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PG_checking (1)" sheetId="1" r:id="rId4"/>
  </sheets>
  <definedNames/>
  <calcPr/>
  <extLst>
    <ext uri="GoogleSheetsCustomDataVersion1">
      <go:sheetsCustomData xmlns:go="http://customooxmlschemas.google.com/" r:id="rId5" roundtripDataSignature="AMtx7mhsxg9+J0hfCChwgAqs3y6q11HlnQ=="/>
    </ext>
  </extLst>
</workbook>
</file>

<file path=xl/sharedStrings.xml><?xml version="1.0" encoding="utf-8"?>
<sst xmlns="http://schemas.openxmlformats.org/spreadsheetml/2006/main" count="38465" uniqueCount="16349">
  <si>
    <t>1910_CX_月21</t>
  </si>
  <si>
    <t>シャーロック</t>
  </si>
  <si>
    <t>番組名シャーロック【危険な天才探偵×スマートな医師ー今夜、運命の出逢い】　#01</t>
  </si>
  <si>
    <t>['#01']</t>
  </si>
  <si>
    <t>['21', '22']</t>
  </si>
  <si>
    <t>都内にある病院の中庭で、この病院に勤務する消化器内科医、赤羽栄光(あかばね・はるき/中尾明慶)が遺体となって発見された。捜査一課の警部・江藤礼二(佐々木蔵之介)は、何者かによって屋上から突き落とされたのではないかと病院関係者へ事情聴取するが、患者からの信頼も厚く、異性関係のトラブルとも皆無だった赤羽が殺されるはずなどないと口をそろえる。その様子を静かに聞いていたのは犯罪捜査専門コンサルタントの誉獅子雄(ディーン・フジオカ)である。公にはしていないが、江藤は、ずばぬけた観察眼と天才的な思考回路を持ち合わせる獅子雄の力を時折借りながら事件捜査に当たっている。彼らの証言に潜む虚偽を瞬時に見抜き、必要な情報と不要な情報を整理していく獅子雄。そんな中、事情調査中にも関わらずその場を静かに立ち去った1人の男がいた。この病院に勤務する精神科医の若宮潤一(岩田剛典)である。その様子を見逃さなかった獅子雄は、彼が何か真実を握っているのではないかと察知し、重要参考人として調査を開始する。</t>
  </si>
  <si>
    <t>番組名シャーロック【探偵×医師最強バディ始動!天才VS聖女の謎解き心理戦】　#02</t>
  </si>
  <si>
    <t>['#02']</t>
  </si>
  <si>
    <t>ついにバディ結成で最初の事件に挑む!新宿駅で死んだ女は別人に成り代わった女だった…。“ディーン"シャーロックが対峙するのは、美しき弁護士・菅野美穂!天才が唯一惚れた特別な聖女との息詰まる心理戦が開幕!オリンピックを翌年に控えたTOKYOの街を舞台に、現代の日本に生まれ変わった世界一有名なバディ〈シャーロック=誉獅子雄×ワトソン=若宮潤一〉が、数々の難事件の謎に立ち向かうミステリーエンタテインメント上の階からの水漏れにより宿無しとなった誉獅子雄(ディーン・フジオカ)は、医師の転落死を巡る事件で知り合った若宮潤一(岩田剛典)のマンションに転がり込んだ。そんな中、捜査一課の江藤礼二(佐々木蔵之介)から獅子雄のもとへ新たな捜査依頼が舞い込んでくる。それはとある女性が急行電車にはねられ死亡した一件。所有していた身分証から亡くなったのは29歳の高橋博美だと判明する。博美はかつて、とあるトラブルを抱えており、敏腕弁護士の青木藍子(菅野美穂)に弁護の依頼をしていた。藍子は、依頼を受けた人にはたとえ弁護が終わっても一生寄り添うことをポリシーとする弁護士であり、生きづらさを抱える人々に対しグループワークを開くなど、社会的弱者の側に立った活動を一貫して続けている人格者。そんな藍子と博美の関係を知った獅子雄は、調査目的で藍子のもとを訪ねる。そこで獅子雄は弁護士としても女性としても完璧な藍子に興味を抱き…。</t>
  </si>
  <si>
    <t>番組名シャーロック【天才VS詐欺師の騙し合い!ノンストップのどんでん返し】　#03</t>
  </si>
  <si>
    <t>['#03']</t>
  </si>
  <si>
    <t>['21', '21']</t>
  </si>
  <si>
    <t>オリンピックを翌年に控えたTOKYOの街を舞台に、現代の日本に生まれ変わった世界一有名なバディ〈シャーロック=誉獅子雄×ワトソン=若宮潤一〉が、数々の難事件の謎に立ち向かうミステリーエンタテインメント!今回のテーマは、地面師詐欺!巨額不動産を巡り詐欺師との息詰まる騙し合いが展開!そして殺された詐欺師が残したダイイングメッセージを解け!現場に残された長・短・短の3本の枝の謎!終わらないどんでん返し!渋谷の一等地にある空き家で、身元不明の高齢男性の死体が発見された。そこは5年前に巨額の地面師詐欺の舞台になった邸宅。事件後、詐欺被害にあった建設会社の社長がその邸宅内で自殺し、いわく付き物件として空き家のままになっていた。  捜査一課の江藤礼二(佐々木蔵之介)に捜査依頼を受けた誉獅子雄(ディーン・フジオカ)は、その遺体があった場所を検分。すると、遺体の手元に3本の木の枝があることに気づく。江藤は壁にあるリースの枝が落ちただけだと言うが、獅子雄は枝の折れた断面が新しいことを指摘する。その後、死体の身元が5年前の地面師詐欺グループの1人だったことが判明。そこに、捜査二課の市川利枝子(伊藤歩)が現れて…。</t>
  </si>
  <si>
    <t>番組名シャーロック【試合直前に消えたボクシング世界王者!オレンジの傘の謎】　#04</t>
  </si>
  <si>
    <t>['#04']</t>
  </si>
  <si>
    <t>誉獅子雄(ディーン・フジオカ)は、若宮潤一(岩田剛典)とボクシングの試合を観戦。ボクシングのこととなると熱くなる獅子雄が飛ばすキツいやじにへきえきする若宮は帰ろうとするが、獅子雄に無理やり引き止められウンザリ顔。  この日のメインイベントは、二階級制覇の世界チャンピオンである梶山裕太(矢野聖人)の初防衛をかけた注目の戦い。観客のボルテージも最高潮となる中、その時を迎えた。しかし、リングアナウンサーが派手にコールするも、梶山は一切姿を現さない。異様な状況に観客がどよめき始めると、梶山の急病による試合中止のアナウンスが。騒然とする観客席を後に、獅子雄は若宮の制止も聞かず梶山の選手控室へと入って行ってしまう。すぐに獅子雄は、梶山の急病はうそと見抜き、ボクシングジム会長の石橋卓也(金子ノブアキ)に梶山を出せと迫る。  その時、江藤礼二(佐々木蔵之介)が現れ、梶山の行方を捜していると言う。1時間ほど前に、近くの坂で、ある男性の遺体が発見され、付近で梶山が目撃されていたのだ。世界チャンピオンから一転して殺人事件の重要参考人となった梶山は一体どこへ消えたのか?そんな中、獅子雄は、梶山の控え室に置かれたプレゼントの山の中に、女性物の傘を見つけ目を輝かせる…。</t>
  </si>
  <si>
    <t>番組名シャーロック【歩く死体の謎!熱帯魚と母の愛…その真相、正義か狂気か】　#05</t>
  </si>
  <si>
    <t>['#05']</t>
  </si>
  <si>
    <r>
      <rPr>
        <rFont val="ＭＳ Ｐゴシック"/>
        <sz val="10.0"/>
      </rPr>
      <t>若宮潤一</t>
    </r>
    <r>
      <rPr>
        <rFont val="Arial"/>
        <sz val="10.0"/>
      </rPr>
      <t>(</t>
    </r>
    <r>
      <rPr>
        <rFont val="ＭＳ Ｐゴシック"/>
        <sz val="10.0"/>
      </rPr>
      <t>岩田剛典</t>
    </r>
    <r>
      <rPr>
        <rFont val="Arial"/>
        <sz val="10.0"/>
      </rPr>
      <t>)</t>
    </r>
    <r>
      <rPr>
        <rFont val="ＭＳ Ｐゴシック"/>
        <sz val="10.0"/>
      </rPr>
      <t>が誉獅子雄</t>
    </r>
    <r>
      <rPr>
        <rFont val="Arial"/>
        <sz val="10.0"/>
      </rPr>
      <t>(</t>
    </r>
    <r>
      <rPr>
        <rFont val="ＭＳ Ｐゴシック"/>
        <sz val="10.0"/>
      </rPr>
      <t>ディーン・フジオカ</t>
    </r>
    <r>
      <rPr>
        <rFont val="Arial"/>
        <sz val="10.0"/>
      </rPr>
      <t>)</t>
    </r>
    <r>
      <rPr>
        <rFont val="ＭＳ Ｐゴシック"/>
        <sz val="10.0"/>
      </rPr>
      <t>に文句を言っている。獅子雄は、同居しているくせに、家賃も生活費も一銭も払っていないのだ。まったく取り合わない獅子雄に手を焼いていると、そこに、江藤礼二</t>
    </r>
    <r>
      <rPr>
        <rFont val="Arial"/>
        <sz val="10.0"/>
      </rPr>
      <t>(</t>
    </r>
    <r>
      <rPr>
        <rFont val="ＭＳ Ｐゴシック"/>
        <sz val="10.0"/>
      </rPr>
      <t>佐々木蔵之介</t>
    </r>
    <r>
      <rPr>
        <rFont val="Arial"/>
        <sz val="10.0"/>
      </rPr>
      <t>)</t>
    </r>
    <r>
      <rPr>
        <rFont val="ＭＳ Ｐゴシック"/>
        <sz val="10.0"/>
      </rPr>
      <t>がやって来る。</t>
    </r>
    <r>
      <rPr>
        <rFont val="Arial"/>
        <sz val="10.0"/>
      </rPr>
      <t xml:space="preserve">  </t>
    </r>
    <r>
      <rPr>
        <rFont val="ＭＳ Ｐゴシック"/>
        <sz val="10.0"/>
      </rPr>
      <t>今回も奇妙な事件だった。彼氏の留守中、部屋に入った女性からの</t>
    </r>
    <r>
      <rPr>
        <rFont val="Arial"/>
        <sz val="10.0"/>
      </rPr>
      <t>110</t>
    </r>
    <r>
      <rPr>
        <rFont val="ＭＳ Ｐゴシック"/>
        <sz val="10.0"/>
      </rPr>
      <t>番通報で警察が駆けつけると、そこはスプラッター映画のような惨状。室内には大量の血液と破れたシャツ、凶器と思われる包丁などが残されていた。しかし、被害者が見当たらない。周辺の目撃証言や、運び出された痕跡もない。</t>
    </r>
    <r>
      <rPr>
        <rFont val="Arial"/>
        <sz val="10.0"/>
      </rPr>
      <t xml:space="preserve">  </t>
    </r>
    <r>
      <rPr>
        <rFont val="ＭＳ Ｐゴシック"/>
        <sz val="10.0"/>
      </rPr>
      <t>部屋の持ち主、町田卓夫</t>
    </r>
    <r>
      <rPr>
        <rFont val="Arial"/>
        <sz val="10.0"/>
      </rPr>
      <t>(</t>
    </r>
    <r>
      <rPr>
        <rFont val="ＭＳ Ｐゴシック"/>
        <sz val="10.0"/>
      </rPr>
      <t>永井大</t>
    </r>
    <r>
      <rPr>
        <rFont val="Arial"/>
        <sz val="10.0"/>
      </rPr>
      <t>)</t>
    </r>
    <r>
      <rPr>
        <rFont val="ＭＳ Ｐゴシック"/>
        <sz val="10.0"/>
      </rPr>
      <t>を江藤と小暮クミコ</t>
    </r>
    <r>
      <rPr>
        <rFont val="Arial"/>
        <sz val="10.0"/>
      </rPr>
      <t>(</t>
    </r>
    <r>
      <rPr>
        <rFont val="ＭＳ Ｐゴシック"/>
        <sz val="10.0"/>
      </rPr>
      <t>山田真歩</t>
    </r>
    <r>
      <rPr>
        <rFont val="Arial"/>
        <sz val="10.0"/>
      </rPr>
      <t>)</t>
    </r>
    <r>
      <rPr>
        <rFont val="ＭＳ Ｐゴシック"/>
        <sz val="10.0"/>
      </rPr>
      <t>が取り調べるが本人は知らないの一点張り。さらに、町田は政治家の息子だったため、江藤は上層部から解放するよう指示されてしまう。なんとか町田の鼻を明かしたい江藤は、獅子雄をたきつける。「死体が歩いたのかも」と言う若宮の言葉を、獅子雄はあっさり否定。</t>
    </r>
    <r>
      <rPr>
        <rFont val="Arial"/>
        <sz val="10.0"/>
      </rPr>
      <t>2</t>
    </r>
    <r>
      <rPr>
        <rFont val="ＭＳ Ｐゴシック"/>
        <sz val="10.0"/>
      </rPr>
      <t>人は</t>
    </r>
    <r>
      <rPr>
        <rFont val="Arial"/>
        <sz val="10.0"/>
      </rPr>
      <t>“</t>
    </r>
    <r>
      <rPr>
        <rFont val="ＭＳ Ｐゴシック"/>
        <sz val="10.0"/>
      </rPr>
      <t>歩く死体</t>
    </r>
    <r>
      <rPr>
        <rFont val="Arial"/>
        <sz val="10.0"/>
      </rPr>
      <t>"</t>
    </r>
    <r>
      <rPr>
        <rFont val="ＭＳ Ｐゴシック"/>
        <sz val="10.0"/>
      </rPr>
      <t>の謎に乗り出すことに。</t>
    </r>
    <r>
      <rPr>
        <rFont val="Arial"/>
        <sz val="10.0"/>
      </rPr>
      <t xml:space="preserve">  </t>
    </r>
    <r>
      <rPr>
        <rFont val="ＭＳ Ｐゴシック"/>
        <sz val="10.0"/>
      </rPr>
      <t>現場に残されたシャツに、町田と同じ会社で働く乾貴之</t>
    </r>
    <r>
      <rPr>
        <rFont val="Arial"/>
        <sz val="10.0"/>
      </rPr>
      <t>(</t>
    </r>
    <r>
      <rPr>
        <rFont val="ＭＳ Ｐゴシック"/>
        <sz val="10.0"/>
      </rPr>
      <t>葉山奨之</t>
    </r>
    <r>
      <rPr>
        <rFont val="Arial"/>
        <sz val="10.0"/>
      </rPr>
      <t>)</t>
    </r>
    <r>
      <rPr>
        <rFont val="ＭＳ Ｐゴシック"/>
        <sz val="10.0"/>
      </rPr>
      <t>のイニシャルが確認された。貴之は</t>
    </r>
    <r>
      <rPr>
        <rFont val="Arial"/>
        <sz val="10.0"/>
      </rPr>
      <t>2</t>
    </r>
    <r>
      <rPr>
        <rFont val="ＭＳ Ｐゴシック"/>
        <sz val="10.0"/>
      </rPr>
      <t>日前から行方不明で、家族から捜索願も出ている。江藤は、貴之の母・千沙子</t>
    </r>
    <r>
      <rPr>
        <rFont val="Arial"/>
        <sz val="10.0"/>
      </rPr>
      <t>(</t>
    </r>
    <r>
      <rPr>
        <rFont val="ＭＳ Ｐゴシック"/>
        <sz val="10.0"/>
      </rPr>
      <t>若村麻由美</t>
    </r>
    <r>
      <rPr>
        <rFont val="Arial"/>
        <sz val="10.0"/>
      </rPr>
      <t>)</t>
    </r>
    <r>
      <rPr>
        <rFont val="ＭＳ Ｐゴシック"/>
        <sz val="10.0"/>
      </rPr>
      <t>から、息子が町田のパワハラを受けていたことを聞く。社員たちはパワハラを否定するが、獅子雄は町田の不自然さを見逃さず</t>
    </r>
    <r>
      <rPr>
        <rFont val="Arial"/>
        <sz val="10.0"/>
      </rPr>
      <t>…</t>
    </r>
    <r>
      <rPr>
        <rFont val="ＭＳ Ｐゴシック"/>
        <sz val="10.0"/>
      </rPr>
      <t>。</t>
    </r>
  </si>
  <si>
    <t>若宮潤一(岩田剛典)が誉獅子雄(ディーン・フジオカ)に文句を言っている。獅子雄は、同居しているくせに、家賃も生活費も一銭も払っていないのだ。まったく取り合わない獅子雄に手を焼いていると、そこに、江藤礼二(佐々木蔵之介)がやって来る。  今回も奇妙な事件だった。彼氏の留守中、部屋に入った女性からの110番通報で警察が駆けつけると、そこはスプラッター映画のような惨状。室内には大量の血液と破れたシャツ、凶器と思われる包丁などが残されていた。しかし、被害者が見当たらない。周辺の目撃証言や、運び出された痕跡もない。  部屋の持ち主、町田卓夫(永井大)を江藤と小暮クミコ(山田真歩)が取り調べるが本人は知らないの一点張り。さらに、町田は政治家の息子だったため、江藤は上層部から解放するよう指示されてしまう。なんとか町田の鼻を明かしたい江藤は、獅子雄をたきつける。「死体が歩いたのかも」と言う若宮の言葉を、獅子雄はあっさり否定。2人は“歩く死体"の謎に乗り出すことに。  現場に残されたシャツに、町田と同じ会社で働く乾貴之(葉山奨之)のイニシャルが確認された。貴之は2日前から行方不明で、家族から捜索願も出ている。江藤は、貴之の母・千沙子(若村麻由美)から、息子が町田のパワハラを受けていたことを聞く。社員たちはパワハラを否定するが、獅子雄は町田の不自然さを見逃さず…。</t>
  </si>
  <si>
    <t>番組名シャーロック【前世で犯した殺人?カナリアとビデオテープが語る真相…】　#06</t>
  </si>
  <si>
    <t>['#06']</t>
  </si>
  <si>
    <r>
      <rPr>
        <rFont val="ＭＳ Ｐゴシック"/>
        <sz val="10.0"/>
      </rPr>
      <t>誉獅子雄</t>
    </r>
    <r>
      <rPr>
        <rFont val="Arial"/>
        <sz val="10.0"/>
      </rPr>
      <t>(</t>
    </r>
    <r>
      <rPr>
        <rFont val="ＭＳ Ｐゴシック"/>
        <sz val="10.0"/>
      </rPr>
      <t>ディーン・フジオカ</t>
    </r>
    <r>
      <rPr>
        <rFont val="Arial"/>
        <sz val="10.0"/>
      </rPr>
      <t>)</t>
    </r>
    <r>
      <rPr>
        <rFont val="ＭＳ Ｐゴシック"/>
        <sz val="10.0"/>
      </rPr>
      <t>が、まだ眠りから覚めやらないベーカーハイツに、いつものように江藤礼二</t>
    </r>
    <r>
      <rPr>
        <rFont val="Arial"/>
        <sz val="10.0"/>
      </rPr>
      <t>(</t>
    </r>
    <r>
      <rPr>
        <rFont val="ＭＳ Ｐゴシック"/>
        <sz val="10.0"/>
      </rPr>
      <t>佐々木蔵之介</t>
    </r>
    <r>
      <rPr>
        <rFont val="Arial"/>
        <sz val="10.0"/>
      </rPr>
      <t>)</t>
    </r>
    <r>
      <rPr>
        <rFont val="ＭＳ Ｐゴシック"/>
        <sz val="10.0"/>
      </rPr>
      <t>が捜査依頼に来ている。江藤が若宮潤一</t>
    </r>
    <r>
      <rPr>
        <rFont val="Arial"/>
        <sz val="10.0"/>
      </rPr>
      <t>(</t>
    </r>
    <r>
      <rPr>
        <rFont val="ＭＳ Ｐゴシック"/>
        <sz val="10.0"/>
      </rPr>
      <t>岩田剛典</t>
    </r>
    <r>
      <rPr>
        <rFont val="Arial"/>
        <sz val="10.0"/>
      </rPr>
      <t>)</t>
    </r>
    <r>
      <rPr>
        <rFont val="ＭＳ Ｐゴシック"/>
        <sz val="10.0"/>
      </rPr>
      <t>と見ているのはテレビやネットで話題の前世殺人のニュース。女子高校生の高遠綾香</t>
    </r>
    <r>
      <rPr>
        <rFont val="Arial"/>
        <sz val="10.0"/>
      </rPr>
      <t>(</t>
    </r>
    <r>
      <rPr>
        <rFont val="ＭＳ Ｐゴシック"/>
        <sz val="10.0"/>
      </rPr>
      <t>吉川愛</t>
    </r>
    <r>
      <rPr>
        <rFont val="Arial"/>
        <sz val="10.0"/>
      </rPr>
      <t>)</t>
    </r>
    <r>
      <rPr>
        <rFont val="ＭＳ Ｐゴシック"/>
        <sz val="10.0"/>
      </rPr>
      <t>が自ら告白した殺人を捜査すると、遺体が発見されたのだ。しかし、遺体は死後</t>
    </r>
    <r>
      <rPr>
        <rFont val="Arial"/>
        <sz val="10.0"/>
      </rPr>
      <t>20</t>
    </r>
    <r>
      <rPr>
        <rFont val="ＭＳ Ｐゴシック"/>
        <sz val="10.0"/>
      </rPr>
      <t>年が経過している。綾香は小暮クミコ</t>
    </r>
    <r>
      <rPr>
        <rFont val="Arial"/>
        <sz val="10.0"/>
      </rPr>
      <t>(</t>
    </r>
    <r>
      <rPr>
        <rFont val="ＭＳ Ｐゴシック"/>
        <sz val="10.0"/>
      </rPr>
      <t>山田真歩</t>
    </r>
    <r>
      <rPr>
        <rFont val="Arial"/>
        <sz val="10.0"/>
      </rPr>
      <t>)</t>
    </r>
    <r>
      <rPr>
        <rFont val="ＭＳ Ｐゴシック"/>
        <sz val="10.0"/>
      </rPr>
      <t>の聴取に</t>
    </r>
    <r>
      <rPr>
        <rFont val="Arial"/>
        <sz val="10.0"/>
      </rPr>
      <t>“</t>
    </r>
    <r>
      <rPr>
        <rFont val="ＭＳ Ｐゴシック"/>
        <sz val="10.0"/>
      </rPr>
      <t>前世で殺害した</t>
    </r>
    <r>
      <rPr>
        <rFont val="Arial"/>
        <sz val="10.0"/>
      </rPr>
      <t>"</t>
    </r>
    <r>
      <rPr>
        <rFont val="ＭＳ Ｐゴシック"/>
        <sz val="10.0"/>
      </rPr>
      <t>と証言したのだ。若宮と江藤が意見を交わしていると、獅子雄が突然、前世は存在すると口を開く。実は瞑想</t>
    </r>
    <r>
      <rPr>
        <rFont val="Arial"/>
        <sz val="10.0"/>
      </rPr>
      <t>(</t>
    </r>
    <r>
      <rPr>
        <rFont val="ＭＳ Ｐゴシック"/>
        <sz val="10.0"/>
      </rPr>
      <t>めいそう</t>
    </r>
    <r>
      <rPr>
        <rFont val="Arial"/>
        <sz val="10.0"/>
      </rPr>
      <t>)</t>
    </r>
    <r>
      <rPr>
        <rFont val="ＭＳ Ｐゴシック"/>
        <sz val="10.0"/>
      </rPr>
      <t>していただけだった獅子雄は、前世殺人だったら盛り上がると飛びついた。</t>
    </r>
    <r>
      <rPr>
        <rFont val="Arial"/>
        <sz val="10.0"/>
      </rPr>
      <t xml:space="preserve">  </t>
    </r>
    <r>
      <rPr>
        <rFont val="ＭＳ Ｐゴシック"/>
        <sz val="10.0"/>
      </rPr>
      <t>獅子雄は若宮、江藤とともに綾香の家に行く。娘を罰するつもりで来たのかと憤る母親の美樹</t>
    </r>
    <r>
      <rPr>
        <rFont val="Arial"/>
        <sz val="10.0"/>
      </rPr>
      <t>(</t>
    </r>
    <r>
      <rPr>
        <rFont val="ＭＳ Ｐゴシック"/>
        <sz val="10.0"/>
      </rPr>
      <t>霧島れいか</t>
    </r>
    <r>
      <rPr>
        <rFont val="Arial"/>
        <sz val="10.0"/>
      </rPr>
      <t>)</t>
    </r>
    <r>
      <rPr>
        <rFont val="ＭＳ Ｐゴシック"/>
        <sz val="10.0"/>
      </rPr>
      <t>に対して、父の一也</t>
    </r>
    <r>
      <rPr>
        <rFont val="Arial"/>
        <sz val="10.0"/>
      </rPr>
      <t>(</t>
    </r>
    <r>
      <rPr>
        <rFont val="ＭＳ Ｐゴシック"/>
        <sz val="10.0"/>
      </rPr>
      <t>二階堂智</t>
    </r>
    <r>
      <rPr>
        <rFont val="Arial"/>
        <sz val="10.0"/>
      </rPr>
      <t>)</t>
    </r>
    <r>
      <rPr>
        <rFont val="ＭＳ Ｐゴシック"/>
        <sz val="10.0"/>
      </rPr>
      <t>は冷静に対応。獅子雄は前世の記憶を持つと言われる人間が存在したことを綾香に話して心を開き、話す機会を得た。綾香の話を聞く獅子雄は、彼女が不眠症であることを見抜く。綾香は塾帰りに男から襲われそうになった</t>
    </r>
    <r>
      <rPr>
        <rFont val="Arial"/>
        <sz val="10.0"/>
      </rPr>
      <t>PTSD</t>
    </r>
    <r>
      <rPr>
        <rFont val="ＭＳ Ｐゴシック"/>
        <sz val="10.0"/>
      </rPr>
      <t>から不眠症になり、大学病院でカウンセリングを受けていた。</t>
    </r>
    <r>
      <rPr>
        <rFont val="Arial"/>
        <sz val="10.0"/>
      </rPr>
      <t xml:space="preserve">  </t>
    </r>
    <r>
      <rPr>
        <rFont val="ＭＳ Ｐゴシック"/>
        <sz val="10.0"/>
      </rPr>
      <t>綾香を治療していたのは、</t>
    </r>
    <r>
      <rPr>
        <rFont val="Arial"/>
        <sz val="10.0"/>
      </rPr>
      <t>PTSD</t>
    </r>
    <r>
      <rPr>
        <rFont val="ＭＳ Ｐゴシック"/>
        <sz val="10.0"/>
      </rPr>
      <t>の権威、平田初雄教授</t>
    </r>
    <r>
      <rPr>
        <rFont val="Arial"/>
        <sz val="10.0"/>
      </rPr>
      <t>(</t>
    </r>
    <r>
      <rPr>
        <rFont val="ＭＳ Ｐゴシック"/>
        <sz val="10.0"/>
      </rPr>
      <t>伊藤洋三郎</t>
    </r>
    <r>
      <rPr>
        <rFont val="Arial"/>
        <sz val="10.0"/>
      </rPr>
      <t>)</t>
    </r>
    <r>
      <rPr>
        <rFont val="ＭＳ Ｐゴシック"/>
        <sz val="10.0"/>
      </rPr>
      <t>。しかし、平田はすでに退官していた。獅子雄たちは平田が勤めていた大学病院を訪ね、准教授の宇井宗司</t>
    </r>
    <r>
      <rPr>
        <rFont val="Arial"/>
        <sz val="10.0"/>
      </rPr>
      <t>(</t>
    </r>
    <r>
      <rPr>
        <rFont val="ＭＳ Ｐゴシック"/>
        <sz val="10.0"/>
      </rPr>
      <t>和田正人</t>
    </r>
    <r>
      <rPr>
        <rFont val="Arial"/>
        <sz val="10.0"/>
      </rPr>
      <t>)</t>
    </r>
    <r>
      <rPr>
        <rFont val="ＭＳ Ｐゴシック"/>
        <sz val="10.0"/>
      </rPr>
      <t>と会う。宇井は平田の退官後、患者を引き継いでいた。</t>
    </r>
  </si>
  <si>
    <t>誉獅子雄(ディーン・フジオカ)が、まだ眠りから覚めやらないベーカーハイツに、いつものように江藤礼二(佐々木蔵之介)が捜査依頼に来ている。江藤が若宮潤一(岩田剛典)と見ているのはテレビやネットで話題の前世殺人のニュース。女子高校生の高遠綾香(吉川愛)が自ら告白した殺人を捜査すると、遺体が発見されたのだ。しかし、遺体は死後20年が経過している。綾香は小暮クミコ(山田真歩)の聴取に“前世で殺害した"と証言したのだ。若宮と江藤が意見を交わしていると、獅子雄が突然、前世は存在すると口を開く。実は瞑想(めいそう)していただけだった獅子雄は、前世殺人だったら盛り上がると飛びついた。  獅子雄は若宮、江藤とともに綾香の家に行く。娘を罰するつもりで来たのかと憤る母親の美樹(霧島れいか)に対して、父の一也(二階堂智)は冷静に対応。獅子雄は前世の記憶を持つと言われる人間が存在したことを綾香に話して心を開き、話す機会を得た。綾香の話を聞く獅子雄は、彼女が不眠症であることを見抜く。綾香は塾帰りに男から襲われそうになったPTSDから不眠症になり、大学病院でカウンセリングを受けていた。  綾香を治療していたのは、PTSDの権威、平田初雄教授(伊藤洋三郎)。しかし、平田はすでに退官していた。獅子雄たちは平田が勤めていた大学病院を訪ね、准教授の宇井宗司(和田正人)と会う。宇井は平田の退官後、患者を引き継いでいた。</t>
  </si>
  <si>
    <t>番組名シャーロック【少年シャーロック現る!消えた祖父と開かずの金庫の謎!】　#07</t>
  </si>
  <si>
    <t>['#07']</t>
  </si>
  <si>
    <r>
      <rPr>
        <rFont val="ＭＳ Ｐゴシック"/>
        <sz val="10.0"/>
      </rPr>
      <t>誉獅子雄</t>
    </r>
    <r>
      <rPr>
        <rFont val="Arial"/>
        <sz val="10.0"/>
      </rPr>
      <t>(</t>
    </r>
    <r>
      <rPr>
        <rFont val="ＭＳ Ｐゴシック"/>
        <sz val="10.0"/>
      </rPr>
      <t>ディーン・フジオカ</t>
    </r>
    <r>
      <rPr>
        <rFont val="Arial"/>
        <sz val="10.0"/>
      </rPr>
      <t>)</t>
    </r>
    <r>
      <rPr>
        <rFont val="ＭＳ Ｐゴシック"/>
        <sz val="10.0"/>
      </rPr>
      <t>と若宮潤一</t>
    </r>
    <r>
      <rPr>
        <rFont val="Arial"/>
        <sz val="10.0"/>
      </rPr>
      <t>(</t>
    </r>
    <r>
      <rPr>
        <rFont val="ＭＳ Ｐゴシック"/>
        <sz val="10.0"/>
      </rPr>
      <t>岩田剛典</t>
    </r>
    <r>
      <rPr>
        <rFont val="Arial"/>
        <sz val="10.0"/>
      </rPr>
      <t>)</t>
    </r>
    <r>
      <rPr>
        <rFont val="ＭＳ Ｐゴシック"/>
        <sz val="10.0"/>
      </rPr>
      <t>が、いつものようにもめている。自分のスイーツを食べたと怒る若宮に、獅子雄が証拠を出せと反論。すると獅子雄は、若宮自身が食べたことを習慣としての固定概念から失念したのではないかとさえ言い出す。獅子雄は自分が小学生の時にクラスで起きた盗難の例を話した。教師が固定観念から行った犯人探しを覆して真実を突き止めたと話す獅子雄に、若宮はイヤなガキだとため息。そんな時、羽佐間虎夫</t>
    </r>
    <r>
      <rPr>
        <rFont val="Arial"/>
        <sz val="10.0"/>
      </rPr>
      <t>(</t>
    </r>
    <r>
      <rPr>
        <rFont val="ＭＳ Ｐゴシック"/>
        <sz val="10.0"/>
      </rPr>
      <t>山城琉飛</t>
    </r>
    <r>
      <rPr>
        <rFont val="Arial"/>
        <sz val="10.0"/>
      </rPr>
      <t>)</t>
    </r>
    <r>
      <rPr>
        <rFont val="ＭＳ Ｐゴシック"/>
        <sz val="10.0"/>
      </rPr>
      <t>という少年が訪ねて来た。虎夫は獅子雄に依頼に来たと告げる。だが、獅子雄は若宮に任せて奥の部屋へ。仕方なく若宮が、獅子雄として虎夫の依頼を聞く。虎夫の依頼は行方不明になった祖父、寅二郎</t>
    </r>
    <r>
      <rPr>
        <rFont val="Arial"/>
        <sz val="10.0"/>
      </rPr>
      <t>(</t>
    </r>
    <r>
      <rPr>
        <rFont val="ＭＳ Ｐゴシック"/>
        <sz val="10.0"/>
      </rPr>
      <t>伊武雅刀</t>
    </r>
    <r>
      <rPr>
        <rFont val="Arial"/>
        <sz val="10.0"/>
      </rPr>
      <t>)</t>
    </r>
    <r>
      <rPr>
        <rFont val="ＭＳ Ｐゴシック"/>
        <sz val="10.0"/>
      </rPr>
      <t>探し。虎夫は河川敷で、寅二郎が持ち歩く小袋を発見していた。本気で取り合おうとしない若宮に、虎夫は本物の獅子雄を出せと迫る。すると、うそを見抜いた虎夫に、若宮より賢そうだと獅子雄。そして、小袋の中を確認した獅子雄は、寅二郎は危険人物かもしれないと、虎夫に発見場所へ案内するよう促す。</t>
    </r>
    <r>
      <rPr>
        <rFont val="Arial"/>
        <sz val="10.0"/>
      </rPr>
      <t xml:space="preserve">  </t>
    </r>
    <r>
      <rPr>
        <rFont val="ＭＳ Ｐゴシック"/>
        <sz val="10.0"/>
      </rPr>
      <t>小袋の発見場所には、</t>
    </r>
    <r>
      <rPr>
        <rFont val="Arial"/>
        <sz val="10.0"/>
      </rPr>
      <t>3</t>
    </r>
    <r>
      <rPr>
        <rFont val="ＭＳ Ｐゴシック"/>
        <sz val="10.0"/>
      </rPr>
      <t>人分の足跡が残されていた。しかし、途中で</t>
    </r>
    <r>
      <rPr>
        <rFont val="Arial"/>
        <sz val="10.0"/>
      </rPr>
      <t>2</t>
    </r>
    <r>
      <rPr>
        <rFont val="ＭＳ Ｐゴシック"/>
        <sz val="10.0"/>
      </rPr>
      <t>人に。タイヤ痕もあることから、寅二郎は</t>
    </r>
    <r>
      <rPr>
        <rFont val="Arial"/>
        <sz val="10.0"/>
      </rPr>
      <t>2</t>
    </r>
    <r>
      <rPr>
        <rFont val="ＭＳ Ｐゴシック"/>
        <sz val="10.0"/>
      </rPr>
      <t>人組に襲われ車で連れ去られたと推測される。だが、付近のホームレスたちは不審な車は見なかったと証言。獅子雄と虎夫は、寅二郎が行方不明当日に出かけたデイサービスの介護施設へ向かう。</t>
    </r>
  </si>
  <si>
    <t>誉獅子雄(ディーン・フジオカ)と若宮潤一(岩田剛典)が、いつものようにもめている。自分のスイーツを食べたと怒る若宮に、獅子雄が証拠を出せと反論。すると獅子雄は、若宮自身が食べたことを習慣としての固定概念から失念したのではないかとさえ言い出す。獅子雄は自分が小学生の時にクラスで起きた盗難の例を話した。教師が固定観念から行った犯人探しを覆して真実を突き止めたと話す獅子雄に、若宮はイヤなガキだとため息。そんな時、羽佐間虎夫(山城琉飛)という少年が訪ねて来た。虎夫は獅子雄に依頼に来たと告げる。だが、獅子雄は若宮に任せて奥の部屋へ。仕方なく若宮が、獅子雄として虎夫の依頼を聞く。虎夫の依頼は行方不明になった祖父、寅二郎(伊武雅刀)探し。虎夫は河川敷で、寅二郎が持ち歩く小袋を発見していた。本気で取り合おうとしない若宮に、虎夫は本物の獅子雄を出せと迫る。すると、うそを見抜いた虎夫に、若宮より賢そうだと獅子雄。そして、小袋の中を確認した獅子雄は、寅二郎は危険人物かもしれないと、虎夫に発見場所へ案内するよう促す。  小袋の発見場所には、3人分の足跡が残されていた。しかし、途中で2人に。タイヤ痕もあることから、寅二郎は2人組に襲われ車で連れ去られたと推測される。だが、付近のホームレスたちは不審な車は見なかったと証言。獅子雄と虎夫は、寅二郎が行方不明当日に出かけたデイサービスの介護施設へ向かう。</t>
  </si>
  <si>
    <t>番組名シャーロック【殺しの暗号!心中事件現場に残されたライオンの写真の謎】　#08</t>
  </si>
  <si>
    <t>['#08']</t>
  </si>
  <si>
    <r>
      <rPr>
        <rFont val="ＭＳ Ｐゴシック"/>
        <sz val="10.0"/>
      </rPr>
      <t>誉獅子雄</t>
    </r>
    <r>
      <rPr>
        <rFont val="Arial"/>
        <sz val="10.0"/>
      </rPr>
      <t>(</t>
    </r>
    <r>
      <rPr>
        <rFont val="ＭＳ Ｐゴシック"/>
        <sz val="10.0"/>
      </rPr>
      <t>ディーン・フジオカ</t>
    </r>
    <r>
      <rPr>
        <rFont val="Arial"/>
        <sz val="10.0"/>
      </rPr>
      <t>)</t>
    </r>
    <r>
      <rPr>
        <rFont val="ＭＳ Ｐゴシック"/>
        <sz val="10.0"/>
      </rPr>
      <t>に江藤礼二</t>
    </r>
    <r>
      <rPr>
        <rFont val="Arial"/>
        <sz val="10.0"/>
      </rPr>
      <t>(</t>
    </r>
    <r>
      <rPr>
        <rFont val="ＭＳ Ｐゴシック"/>
        <sz val="10.0"/>
      </rPr>
      <t>佐々木蔵之介</t>
    </r>
    <r>
      <rPr>
        <rFont val="Arial"/>
        <sz val="10.0"/>
      </rPr>
      <t>)</t>
    </r>
    <r>
      <rPr>
        <rFont val="ＭＳ Ｐゴシック"/>
        <sz val="10.0"/>
      </rPr>
      <t>が、経産省のエリートを含む男性</t>
    </r>
    <r>
      <rPr>
        <rFont val="Arial"/>
        <sz val="10.0"/>
      </rPr>
      <t>2</t>
    </r>
    <r>
      <rPr>
        <rFont val="ＭＳ Ｐゴシック"/>
        <sz val="10.0"/>
      </rPr>
      <t>人の心中事件の動機解明を依頼に来た。心中など現代には存在しないと関心を示さない獅子雄に、江藤は現場に残されていた</t>
    </r>
    <r>
      <rPr>
        <rFont val="Arial"/>
        <sz val="10.0"/>
      </rPr>
      <t>2</t>
    </r>
    <r>
      <rPr>
        <rFont val="ＭＳ Ｐゴシック"/>
        <sz val="10.0"/>
      </rPr>
      <t>枚のライオンの写真を獅子雄に見せた。</t>
    </r>
    <r>
      <rPr>
        <rFont val="Arial"/>
        <sz val="10.0"/>
      </rPr>
      <t>1</t>
    </r>
    <r>
      <rPr>
        <rFont val="ＭＳ Ｐゴシック"/>
        <sz val="10.0"/>
      </rPr>
      <t>枚は吠えていて、もう</t>
    </r>
    <r>
      <rPr>
        <rFont val="Arial"/>
        <sz val="10.0"/>
      </rPr>
      <t>1</t>
    </r>
    <r>
      <rPr>
        <rFont val="ＭＳ Ｐゴシック"/>
        <sz val="10.0"/>
      </rPr>
      <t>枚は死んでいる。若宮潤一</t>
    </r>
    <r>
      <rPr>
        <rFont val="Arial"/>
        <sz val="10.0"/>
      </rPr>
      <t>(</t>
    </r>
    <r>
      <rPr>
        <rFont val="ＭＳ Ｐゴシック"/>
        <sz val="10.0"/>
      </rPr>
      <t>岩田剛典</t>
    </r>
    <r>
      <rPr>
        <rFont val="Arial"/>
        <sz val="10.0"/>
      </rPr>
      <t>)</t>
    </r>
    <r>
      <rPr>
        <rFont val="ＭＳ Ｐゴシック"/>
        <sz val="10.0"/>
      </rPr>
      <t>が、なぜライオンの写真なのか</t>
    </r>
    <r>
      <rPr>
        <rFont val="Arial"/>
        <sz val="10.0"/>
      </rPr>
      <t>?</t>
    </r>
    <r>
      <rPr>
        <rFont val="ＭＳ Ｐゴシック"/>
        <sz val="10.0"/>
      </rPr>
      <t>と疑問を投げると、江藤はライオンではなく</t>
    </r>
    <r>
      <rPr>
        <rFont val="Arial"/>
        <sz val="10.0"/>
      </rPr>
      <t>“</t>
    </r>
    <r>
      <rPr>
        <rFont val="ＭＳ Ｐゴシック"/>
        <sz val="10.0"/>
      </rPr>
      <t>獅子</t>
    </r>
    <r>
      <rPr>
        <rFont val="Arial"/>
        <sz val="10.0"/>
      </rPr>
      <t>"</t>
    </r>
    <r>
      <rPr>
        <rFont val="ＭＳ Ｐゴシック"/>
        <sz val="10.0"/>
      </rPr>
      <t>だと獅子雄をあおる。さらに、写真の裏には暗号らしき文面が書かれていることも伝え、獅子雄は事件解明に乗り出すことに。</t>
    </r>
    <r>
      <rPr>
        <rFont val="Arial"/>
        <sz val="10.0"/>
      </rPr>
      <t xml:space="preserve">  </t>
    </r>
    <r>
      <rPr>
        <rFont val="ＭＳ Ｐゴシック"/>
        <sz val="10.0"/>
      </rPr>
      <t>発見された遺体は、経産省勤務の柴田雅樹</t>
    </r>
    <r>
      <rPr>
        <rFont val="Arial"/>
        <sz val="10.0"/>
      </rPr>
      <t>(</t>
    </r>
    <r>
      <rPr>
        <rFont val="ＭＳ Ｐゴシック"/>
        <sz val="10.0"/>
      </rPr>
      <t>久保田悠来</t>
    </r>
    <r>
      <rPr>
        <rFont val="Arial"/>
        <sz val="10.0"/>
      </rPr>
      <t>)</t>
    </r>
    <r>
      <rPr>
        <rFont val="ＭＳ Ｐゴシック"/>
        <sz val="10.0"/>
      </rPr>
      <t>と永田町のテーラーに勤務している三崎雄一</t>
    </r>
    <r>
      <rPr>
        <rFont val="Arial"/>
        <sz val="10.0"/>
      </rPr>
      <t>(</t>
    </r>
    <r>
      <rPr>
        <rFont val="ＭＳ Ｐゴシック"/>
        <sz val="10.0"/>
      </rPr>
      <t>佐伯大地</t>
    </r>
    <r>
      <rPr>
        <rFont val="Arial"/>
        <sz val="10.0"/>
      </rPr>
      <t>)</t>
    </r>
    <r>
      <rPr>
        <rFont val="ＭＳ Ｐゴシック"/>
        <sz val="10.0"/>
      </rPr>
      <t>。現場に残された写真と文面を読み解いた獅子雄は、あるビジネススクールに行き着き、校長の安蘭世津子</t>
    </r>
    <r>
      <rPr>
        <rFont val="Arial"/>
        <sz val="10.0"/>
      </rPr>
      <t>(</t>
    </r>
    <r>
      <rPr>
        <rFont val="ＭＳ Ｐゴシック"/>
        <sz val="10.0"/>
      </rPr>
      <t>長谷川京子</t>
    </r>
    <r>
      <rPr>
        <rFont val="Arial"/>
        <sz val="10.0"/>
      </rPr>
      <t>)</t>
    </r>
    <r>
      <rPr>
        <rFont val="ＭＳ Ｐゴシック"/>
        <sz val="10.0"/>
      </rPr>
      <t>と面会するが</t>
    </r>
    <r>
      <rPr>
        <rFont val="Arial"/>
        <sz val="10.0"/>
      </rPr>
      <t>…</t>
    </r>
    <r>
      <rPr>
        <rFont val="ＭＳ Ｐゴシック"/>
        <sz val="10.0"/>
      </rPr>
      <t>。</t>
    </r>
  </si>
  <si>
    <t>誉獅子雄(ディーン・フジオカ)に江藤礼二(佐々木蔵之介)が、経産省のエリートを含む男性2人の心中事件の動機解明を依頼に来た。心中など現代には存在しないと関心を示さない獅子雄に、江藤は現場に残されていた2枚のライオンの写真を獅子雄に見せた。1枚は吠えていて、もう1枚は死んでいる。若宮潤一(岩田剛典)が、なぜライオンの写真なのか?と疑問を投げると、江藤はライオンではなく“獅子"だと獅子雄をあおる。さらに、写真の裏には暗号らしき文面が書かれていることも伝え、獅子雄は事件解明に乗り出すことに。  発見された遺体は、経産省勤務の柴田雅樹(久保田悠来)と永田町のテーラーに勤務している三崎雄一(佐伯大地)。現場に残された写真と文面を読み解いた獅子雄は、あるビジネススクールに行き着き、校長の安蘭世津子(長谷川京子)と面会するが…。</t>
  </si>
  <si>
    <t>番組名シャーロック【最終章へ…別れの予感!最後の晩餐は密室殺人レストラン】　#09</t>
  </si>
  <si>
    <t>['#09']</t>
  </si>
  <si>
    <r>
      <rPr>
        <rFont val="ＭＳ Ｐゴシック"/>
        <sz val="10.0"/>
      </rPr>
      <t>謎の宿敵、守谷壬三に繋がっていた安蘭世津子</t>
    </r>
    <r>
      <rPr>
        <rFont val="Arial"/>
        <sz val="10.0"/>
      </rPr>
      <t>(</t>
    </r>
    <r>
      <rPr>
        <rFont val="ＭＳ Ｐゴシック"/>
        <sz val="10.0"/>
      </rPr>
      <t>長谷川京子</t>
    </r>
    <r>
      <rPr>
        <rFont val="Arial"/>
        <sz val="10.0"/>
      </rPr>
      <t>)</t>
    </r>
    <r>
      <rPr>
        <rFont val="ＭＳ Ｐゴシック"/>
        <sz val="10.0"/>
      </rPr>
      <t>に目の前で死なれた誉獅子雄</t>
    </r>
    <r>
      <rPr>
        <rFont val="Arial"/>
        <sz val="10.0"/>
      </rPr>
      <t>(</t>
    </r>
    <r>
      <rPr>
        <rFont val="ＭＳ Ｐゴシック"/>
        <sz val="10.0"/>
      </rPr>
      <t>ディーン・フジオカ</t>
    </r>
    <r>
      <rPr>
        <rFont val="Arial"/>
        <sz val="10.0"/>
      </rPr>
      <t>)</t>
    </r>
    <r>
      <rPr>
        <rFont val="ＭＳ Ｐゴシック"/>
        <sz val="10.0"/>
      </rPr>
      <t>の衝撃は小さくないようだ。そんな獅子雄を、若宮潤一</t>
    </r>
    <r>
      <rPr>
        <rFont val="Arial"/>
        <sz val="10.0"/>
      </rPr>
      <t>(</t>
    </r>
    <r>
      <rPr>
        <rFont val="ＭＳ Ｐゴシック"/>
        <sz val="10.0"/>
      </rPr>
      <t>岩田剛典</t>
    </r>
    <r>
      <rPr>
        <rFont val="Arial"/>
        <sz val="10.0"/>
      </rPr>
      <t>)</t>
    </r>
    <r>
      <rPr>
        <rFont val="ＭＳ Ｐゴシック"/>
        <sz val="10.0"/>
      </rPr>
      <t>、江藤礼二</t>
    </r>
    <r>
      <rPr>
        <rFont val="Arial"/>
        <sz val="10.0"/>
      </rPr>
      <t>(</t>
    </r>
    <r>
      <rPr>
        <rFont val="ＭＳ Ｐゴシック"/>
        <sz val="10.0"/>
      </rPr>
      <t>佐々木蔵之介</t>
    </r>
    <r>
      <rPr>
        <rFont val="Arial"/>
        <sz val="10.0"/>
      </rPr>
      <t>)</t>
    </r>
    <r>
      <rPr>
        <rFont val="ＭＳ Ｐゴシック"/>
        <sz val="10.0"/>
      </rPr>
      <t>は木暮クミコ</t>
    </r>
    <r>
      <rPr>
        <rFont val="Arial"/>
        <sz val="10.0"/>
      </rPr>
      <t>(</t>
    </r>
    <r>
      <rPr>
        <rFont val="ＭＳ Ｐゴシック"/>
        <sz val="10.0"/>
      </rPr>
      <t>山田真歩</t>
    </r>
    <r>
      <rPr>
        <rFont val="Arial"/>
        <sz val="10.0"/>
      </rPr>
      <t>)</t>
    </r>
    <r>
      <rPr>
        <rFont val="ＭＳ Ｐゴシック"/>
        <sz val="10.0"/>
      </rPr>
      <t>の誕生日をダシに外へ連れ出そうと計画。若宮は獅子雄に断られるが、絶対に来いと先に出た。若宮、江藤、クミコが集ったのは、とある有名リストランテ。獅子雄がなかなか来ないことにいら立つ若宮をよそに、ソムリエの加藤茂</t>
    </r>
    <r>
      <rPr>
        <rFont val="Arial"/>
        <sz val="10.0"/>
      </rPr>
      <t>(</t>
    </r>
    <r>
      <rPr>
        <rFont val="ＭＳ Ｐゴシック"/>
        <sz val="10.0"/>
      </rPr>
      <t>田邊和也</t>
    </r>
    <r>
      <rPr>
        <rFont val="Arial"/>
        <sz val="10.0"/>
      </rPr>
      <t>)</t>
    </r>
    <r>
      <rPr>
        <rFont val="ＭＳ Ｐゴシック"/>
        <sz val="10.0"/>
      </rPr>
      <t>に案内されて獅子雄がさっそうと登場、江藤は</t>
    </r>
    <r>
      <rPr>
        <rFont val="Arial"/>
        <sz val="10.0"/>
      </rPr>
      <t>1</t>
    </r>
    <r>
      <rPr>
        <rFont val="ＭＳ Ｐゴシック"/>
        <sz val="10.0"/>
      </rPr>
      <t>番安いコースを促すが、獅子雄はアラカルトを頼みだす。ところが店の看板料理が用意できないと言う。</t>
    </r>
    <r>
      <rPr>
        <rFont val="Arial"/>
        <sz val="10.0"/>
      </rPr>
      <t xml:space="preserve">  </t>
    </r>
    <r>
      <rPr>
        <rFont val="ＭＳ Ｐゴシック"/>
        <sz val="10.0"/>
      </rPr>
      <t>その時、加藤が個室の客、高津みずえ</t>
    </r>
    <r>
      <rPr>
        <rFont val="Arial"/>
        <sz val="10.0"/>
      </rPr>
      <t>(</t>
    </r>
    <r>
      <rPr>
        <rFont val="ＭＳ Ｐゴシック"/>
        <sz val="10.0"/>
      </rPr>
      <t>遊井亮子</t>
    </r>
    <r>
      <rPr>
        <rFont val="Arial"/>
        <sz val="10.0"/>
      </rPr>
      <t>)</t>
    </r>
    <r>
      <rPr>
        <rFont val="ＭＳ Ｐゴシック"/>
        <sz val="10.0"/>
      </rPr>
      <t>に呼ばれる。個室には料理評論家、大石万作</t>
    </r>
    <r>
      <rPr>
        <rFont val="Arial"/>
        <sz val="10.0"/>
      </rPr>
      <t>(</t>
    </r>
    <r>
      <rPr>
        <rFont val="ＭＳ Ｐゴシック"/>
        <sz val="10.0"/>
      </rPr>
      <t>升毅</t>
    </r>
    <r>
      <rPr>
        <rFont val="Arial"/>
        <sz val="10.0"/>
      </rPr>
      <t>)</t>
    </r>
    <r>
      <rPr>
        <rFont val="ＭＳ Ｐゴシック"/>
        <sz val="10.0"/>
      </rPr>
      <t>がいた。取材で来ているのに看板料理がないことに不満を漏らすみずえは、シェフの古賀智志</t>
    </r>
    <r>
      <rPr>
        <rFont val="Arial"/>
        <sz val="10.0"/>
      </rPr>
      <t>(</t>
    </r>
    <r>
      <rPr>
        <rFont val="ＭＳ Ｐゴシック"/>
        <sz val="10.0"/>
      </rPr>
      <t>大友康平</t>
    </r>
    <r>
      <rPr>
        <rFont val="Arial"/>
        <sz val="10.0"/>
      </rPr>
      <t>)</t>
    </r>
    <r>
      <rPr>
        <rFont val="ＭＳ Ｐゴシック"/>
        <sz val="10.0"/>
      </rPr>
      <t>は不在なのかと問うが、加藤は店の体制はいつもと同じだと答えた。大石も料理の味に文句をつけだすと、その声に、客の不破凛子</t>
    </r>
    <r>
      <rPr>
        <rFont val="Arial"/>
        <sz val="10.0"/>
      </rPr>
      <t>(</t>
    </r>
    <r>
      <rPr>
        <rFont val="ＭＳ Ｐゴシック"/>
        <sz val="10.0"/>
      </rPr>
      <t>島かおり</t>
    </r>
    <r>
      <rPr>
        <rFont val="Arial"/>
        <sz val="10.0"/>
      </rPr>
      <t>)</t>
    </r>
    <r>
      <rPr>
        <rFont val="ＭＳ Ｐゴシック"/>
        <sz val="10.0"/>
      </rPr>
      <t>、達彦</t>
    </r>
    <r>
      <rPr>
        <rFont val="Arial"/>
        <sz val="10.0"/>
      </rPr>
      <t>(</t>
    </r>
    <r>
      <rPr>
        <rFont val="ＭＳ Ｐゴシック"/>
        <sz val="10.0"/>
      </rPr>
      <t>綾田俊樹</t>
    </r>
    <r>
      <rPr>
        <rFont val="Arial"/>
        <sz val="10.0"/>
      </rPr>
      <t>)</t>
    </r>
    <r>
      <rPr>
        <rFont val="ＭＳ Ｐゴシック"/>
        <sz val="10.0"/>
      </rPr>
      <t>は不快な表情。別の客、中原聖子</t>
    </r>
    <r>
      <rPr>
        <rFont val="Arial"/>
        <sz val="10.0"/>
      </rPr>
      <t>(</t>
    </r>
    <r>
      <rPr>
        <rFont val="ＭＳ Ｐゴシック"/>
        <sz val="10.0"/>
      </rPr>
      <t>峯村リエ</t>
    </r>
    <r>
      <rPr>
        <rFont val="Arial"/>
        <sz val="10.0"/>
      </rPr>
      <t>)</t>
    </r>
    <r>
      <rPr>
        <rFont val="ＭＳ Ｐゴシック"/>
        <sz val="10.0"/>
      </rPr>
      <t>も、大石に声を落として欲しいと注意した。ギスギスした店内で、若宮は盛り上がって来たと獅子雄をうかがう。なぜ店の料理の味が変わったのか</t>
    </r>
    <r>
      <rPr>
        <rFont val="Arial"/>
        <sz val="10.0"/>
      </rPr>
      <t>?</t>
    </r>
    <r>
      <rPr>
        <rFont val="ＭＳ Ｐゴシック"/>
        <sz val="10.0"/>
      </rPr>
      <t>なぜ名物料理が出せないのか</t>
    </r>
    <r>
      <rPr>
        <rFont val="Arial"/>
        <sz val="10.0"/>
      </rPr>
      <t>?</t>
    </r>
    <r>
      <rPr>
        <rFont val="ＭＳ Ｐゴシック"/>
        <sz val="10.0"/>
      </rPr>
      <t>すると、獅子雄は今日、店がオープンする前に異常事態が起こったと指摘して</t>
    </r>
    <r>
      <rPr>
        <rFont val="Arial"/>
        <sz val="10.0"/>
      </rPr>
      <t>…</t>
    </r>
    <r>
      <rPr>
        <rFont val="ＭＳ Ｐゴシック"/>
        <sz val="10.0"/>
      </rPr>
      <t>。</t>
    </r>
  </si>
  <si>
    <t>謎の宿敵、守谷壬三に繋がっていた安蘭世津子(長谷川京子)に目の前で死なれた誉獅子雄(ディーン・フジオカ)の衝撃は小さくないようだ。そんな獅子雄を、若宮潤一(岩田剛典)、江藤礼二(佐々木蔵之介)は木暮クミコ(山田真歩)の誕生日をダシに外へ連れ出そうと計画。若宮は獅子雄に断られるが、絶対に来いと先に出た。若宮、江藤、クミコが集ったのは、とある有名リストランテ。獅子雄がなかなか来ないことにいら立つ若宮をよそに、ソムリエの加藤茂(田邊和也)に案内されて獅子雄がさっそうと登場、江藤は1番安いコースを促すが、獅子雄はアラカルトを頼みだす。ところが店の看板料理が用意できないと言う。  その時、加藤が個室の客、高津みずえ(遊井亮子)に呼ばれる。個室には料理評論家、大石万作(升毅)がいた。取材で来ているのに看板料理がないことに不満を漏らすみずえは、シェフの古賀智志(大友康平)は不在なのかと問うが、加藤は店の体制はいつもと同じだと答えた。大石も料理の味に文句をつけだすと、その声に、客の不破凛子(島かおり)、達彦(綾田俊樹)は不快な表情。別の客、中原聖子(峯村リエ)も、大石に声を落として欲しいと注意した。ギスギスした店内で、若宮は盛り上がって来たと獅子雄をうかがう。なぜ店の料理の味が変わったのか?なぜ名物料理が出せないのか?すると、獅子雄は今日、店がオープンする前に異常事態が起こったと指摘して…。</t>
  </si>
  <si>
    <t>番組名シャーロック【最終回直前!あの男がついに覚醒…ラスト3分世界が覆る】　#10</t>
  </si>
  <si>
    <t>['#10']</t>
  </si>
  <si>
    <r>
      <rPr>
        <rFont val="ＭＳ Ｐゴシック"/>
        <sz val="10.0"/>
      </rPr>
      <t>アーサー・コナン・ドイルが生んだ原作シリーズの魅力をそのままに、現代の東京を舞台にしたスリリングかつ痛快なミステリーエンターテインメント。主演のディーン・フジオカ演じる犯罪捜査専門コンサルタント、誉獅子雄</t>
    </r>
    <r>
      <rPr>
        <rFont val="Arial"/>
        <sz val="10.0"/>
      </rPr>
      <t>(</t>
    </r>
    <r>
      <rPr>
        <rFont val="ＭＳ Ｐゴシック"/>
        <sz val="10.0"/>
      </rPr>
      <t>ほまれ・ししお</t>
    </r>
    <r>
      <rPr>
        <rFont val="Arial"/>
        <sz val="10.0"/>
      </rPr>
      <t>)</t>
    </r>
    <r>
      <rPr>
        <rFont val="ＭＳ Ｐゴシック"/>
        <sz val="10.0"/>
      </rPr>
      <t>が、岩田剛典演じる精神科医、若宮潤一</t>
    </r>
    <r>
      <rPr>
        <rFont val="Arial"/>
        <sz val="10.0"/>
      </rPr>
      <t>(</t>
    </r>
    <r>
      <rPr>
        <rFont val="ＭＳ Ｐゴシック"/>
        <sz val="10.0"/>
      </rPr>
      <t>わかみや・じゅんいち</t>
    </r>
    <r>
      <rPr>
        <rFont val="Arial"/>
        <sz val="10.0"/>
      </rPr>
      <t>)</t>
    </r>
    <r>
      <rPr>
        <rFont val="ＭＳ Ｐゴシック"/>
        <sz val="10.0"/>
      </rPr>
      <t>とバディを組み、数々の難事件に立ち向かっていく</t>
    </r>
    <r>
      <rPr>
        <rFont val="Arial"/>
        <sz val="10.0"/>
      </rPr>
      <t>!</t>
    </r>
    <r>
      <rPr>
        <rFont val="ＭＳ Ｐゴシック"/>
        <sz val="10.0"/>
      </rPr>
      <t>事件の舞台は、オリンピック開催を翌年に控え、かつてない活気に沸く東京。軽妙な名バディが東京の街をさっそうと駆け回る。</t>
    </r>
  </si>
  <si>
    <t>アーサー・コナン・ドイルが生んだ原作シリーズの魅力をそのままに、現代の東京を舞台にしたスリリングかつ痛快なミステリーエンターテインメント。主演のディーン・フジオカ演じる犯罪捜査専門コンサルタント、誉獅子雄(ほまれ・ししお)が、岩田剛典演じる精神科医、若宮潤一(わかみや・じゅんいち)とバディを組み、数々の難事件に立ち向かっていく!事件の舞台は、オリンピック開催を翌年に控え、かつてない活気に沸く東京。軽妙な名バディが東京の街をさっそうと駆け回る。</t>
  </si>
  <si>
    <t>番組名シャーロック【最終回!愛する者を守れるか?チームCCO最後の決断】　#11</t>
  </si>
  <si>
    <t>['#11']</t>
  </si>
  <si>
    <r>
      <rPr>
        <rFont val="ＭＳ Ｐゴシック"/>
        <sz val="10.0"/>
      </rPr>
      <t>誉獅子雄</t>
    </r>
    <r>
      <rPr>
        <rFont val="Arial"/>
        <sz val="10.0"/>
      </rPr>
      <t>(</t>
    </r>
    <r>
      <rPr>
        <rFont val="ＭＳ Ｐゴシック"/>
        <sz val="10.0"/>
      </rPr>
      <t>ディーン・フジオカ</t>
    </r>
    <r>
      <rPr>
        <rFont val="Arial"/>
        <sz val="10.0"/>
      </rPr>
      <t>)</t>
    </r>
    <r>
      <rPr>
        <rFont val="ＭＳ Ｐゴシック"/>
        <sz val="10.0"/>
      </rPr>
      <t>と若宮潤一</t>
    </r>
    <r>
      <rPr>
        <rFont val="Arial"/>
        <sz val="10.0"/>
      </rPr>
      <t>(</t>
    </r>
    <r>
      <rPr>
        <rFont val="ＭＳ Ｐゴシック"/>
        <sz val="10.0"/>
      </rPr>
      <t>岩田剛典</t>
    </r>
    <r>
      <rPr>
        <rFont val="Arial"/>
        <sz val="10.0"/>
      </rPr>
      <t>)</t>
    </r>
    <r>
      <rPr>
        <rFont val="ＭＳ Ｐゴシック"/>
        <sz val="10.0"/>
      </rPr>
      <t>は拘置所から、かつて獅子雄の推理により拘置所に送った元警視庁捜査二課の職員・市川利枝子</t>
    </r>
    <r>
      <rPr>
        <rFont val="Arial"/>
        <sz val="10.0"/>
      </rPr>
      <t>(</t>
    </r>
    <r>
      <rPr>
        <rFont val="ＭＳ Ｐゴシック"/>
        <sz val="10.0"/>
      </rPr>
      <t>伊藤歩</t>
    </r>
    <r>
      <rPr>
        <rFont val="Arial"/>
        <sz val="10.0"/>
      </rPr>
      <t>)</t>
    </r>
    <r>
      <rPr>
        <rFont val="ＭＳ Ｐゴシック"/>
        <sz val="10.0"/>
      </rPr>
      <t>を含む男女</t>
    </r>
    <r>
      <rPr>
        <rFont val="Arial"/>
        <sz val="10.0"/>
      </rPr>
      <t>4</t>
    </r>
    <r>
      <rPr>
        <rFont val="ＭＳ Ｐゴシック"/>
        <sz val="10.0"/>
      </rPr>
      <t>人の被告が脱走したニュースを見ている。どうやら看守が手引きしていたらしいが、獅子雄は内部に協力者がいないと脱走は無理だと、平然としている。そこに、ベイカーハイツの管理人、波藤園美</t>
    </r>
    <r>
      <rPr>
        <rFont val="Arial"/>
        <sz val="10.0"/>
      </rPr>
      <t>(</t>
    </r>
    <r>
      <rPr>
        <rFont val="ＭＳ Ｐゴシック"/>
        <sz val="10.0"/>
      </rPr>
      <t>かたせ梨乃</t>
    </r>
    <r>
      <rPr>
        <rFont val="Arial"/>
        <sz val="10.0"/>
      </rPr>
      <t>)</t>
    </r>
    <r>
      <rPr>
        <rFont val="ＭＳ Ｐゴシック"/>
        <sz val="10.0"/>
      </rPr>
      <t>が家賃を取り立てに来た。獅子雄を見た園美は「同居は禁止している」と</t>
    </r>
    <r>
      <rPr>
        <rFont val="Arial"/>
        <sz val="10.0"/>
      </rPr>
      <t>2</t>
    </r>
    <r>
      <rPr>
        <rFont val="ＭＳ Ｐゴシック"/>
        <sz val="10.0"/>
      </rPr>
      <t>人の関係を尋ねる。すると、獅子雄は「友人だ」と答えた。「数日中には支払う」と若宮が言うと、獅子雄は、約束が守れなければ自分のバイオリンを渡すと約束。若宮は獅子雄の口から友人と言われたことがうれしかった。そんな時、新たにすべての脱走犯たちの名前が判明したというニュースが流れ、その中に</t>
    </r>
    <r>
      <rPr>
        <rFont val="Arial"/>
        <sz val="10.0"/>
      </rPr>
      <t>“</t>
    </r>
    <r>
      <rPr>
        <rFont val="ＭＳ Ｐゴシック"/>
        <sz val="10.0"/>
      </rPr>
      <t>守谷</t>
    </r>
    <r>
      <rPr>
        <rFont val="Arial"/>
        <sz val="10.0"/>
      </rPr>
      <t>"</t>
    </r>
    <r>
      <rPr>
        <rFont val="ＭＳ Ｐゴシック"/>
        <sz val="10.0"/>
      </rPr>
      <t>の名を見た獅子雄の表情が硬くなり</t>
    </r>
    <r>
      <rPr>
        <rFont val="Arial"/>
        <sz val="10.0"/>
      </rPr>
      <t>…</t>
    </r>
    <r>
      <rPr>
        <rFont val="ＭＳ Ｐゴシック"/>
        <sz val="10.0"/>
      </rPr>
      <t>。</t>
    </r>
    <r>
      <rPr>
        <rFont val="Arial"/>
        <sz val="10.0"/>
      </rPr>
      <t xml:space="preserve">  </t>
    </r>
    <r>
      <rPr>
        <rFont val="ＭＳ Ｐゴシック"/>
        <sz val="10.0"/>
      </rPr>
      <t>一方、警視庁では江藤礼二</t>
    </r>
    <r>
      <rPr>
        <rFont val="Arial"/>
        <sz val="10.0"/>
      </rPr>
      <t>(</t>
    </r>
    <r>
      <rPr>
        <rFont val="ＭＳ Ｐゴシック"/>
        <sz val="10.0"/>
      </rPr>
      <t>佐々木蔵之介</t>
    </r>
    <r>
      <rPr>
        <rFont val="Arial"/>
        <sz val="10.0"/>
      </rPr>
      <t>)</t>
    </r>
    <r>
      <rPr>
        <rFont val="ＭＳ Ｐゴシック"/>
        <sz val="10.0"/>
      </rPr>
      <t>が刑事部長と副総監</t>
    </r>
    <r>
      <rPr>
        <rFont val="Arial"/>
        <sz val="10.0"/>
      </rPr>
      <t>(</t>
    </r>
    <r>
      <rPr>
        <rFont val="ＭＳ Ｐゴシック"/>
        <sz val="10.0"/>
      </rPr>
      <t>篠井英介</t>
    </r>
    <r>
      <rPr>
        <rFont val="Arial"/>
        <sz val="10.0"/>
      </rPr>
      <t>)</t>
    </r>
    <r>
      <rPr>
        <rFont val="ＭＳ Ｐゴシック"/>
        <sz val="10.0"/>
      </rPr>
      <t>に呼び出され、あるミッションを与えられていた。明かされていく江藤の知られざる顔</t>
    </r>
    <r>
      <rPr>
        <rFont val="Arial"/>
        <sz val="10.0"/>
      </rPr>
      <t>…</t>
    </r>
    <r>
      <rPr>
        <rFont val="ＭＳ Ｐゴシック"/>
        <sz val="10.0"/>
      </rPr>
      <t>。そして、獅子雄と江藤の間には決定的な溝が生まれていた</t>
    </r>
    <r>
      <rPr>
        <rFont val="Arial"/>
        <sz val="10.0"/>
      </rPr>
      <t>…</t>
    </r>
    <r>
      <rPr>
        <rFont val="ＭＳ Ｐゴシック"/>
        <sz val="10.0"/>
      </rPr>
      <t>。</t>
    </r>
  </si>
  <si>
    <t>誉獅子雄(ディーン・フジオカ)と若宮潤一(岩田剛典)は拘置所から、かつて獅子雄の推理により拘置所に送った元警視庁捜査二課の職員・市川利枝子(伊藤歩)を含む男女4人の被告が脱走したニュースを見ている。どうやら看守が手引きしていたらしいが、獅子雄は内部に協力者がいないと脱走は無理だと、平然としている。そこに、ベイカーハイツの管理人、波藤園美(かたせ梨乃)が家賃を取り立てに来た。獅子雄を見た園美は「同居は禁止している」と2人の関係を尋ねる。すると、獅子雄は「友人だ」と答えた。「数日中には支払う」と若宮が言うと、獅子雄は、約束が守れなければ自分のバイオリンを渡すと約束。若宮は獅子雄の口から友人と言われたことがうれしかった。そんな時、新たにすべての脱走犯たちの名前が判明したというニュースが流れ、その中に“守谷"の名を見た獅子雄の表情が硬くなり…。  一方、警視庁では江藤礼二(佐々木蔵之介)が刑事部長と副総監(篠井英介)に呼び出され、あるミッションを与えられていた。明かされていく江藤の知られざる顔…。そして、獅子雄と江藤の間には決定的な溝が生まれていた…。</t>
  </si>
  <si>
    <t>番組名シャーロック特別編</t>
  </si>
  <si>
    <r>
      <rPr>
        <rFont val="ＭＳ Ｐゴシック"/>
        <sz val="10.0"/>
      </rPr>
      <t>誉獅子雄</t>
    </r>
    <r>
      <rPr>
        <rFont val="Arial"/>
        <sz val="10.0"/>
      </rPr>
      <t>(</t>
    </r>
    <r>
      <rPr>
        <rFont val="ＭＳ Ｐゴシック"/>
        <sz val="10.0"/>
      </rPr>
      <t>ディーン・フジオカ</t>
    </r>
    <r>
      <rPr>
        <rFont val="Arial"/>
        <sz val="10.0"/>
      </rPr>
      <t>)</t>
    </r>
    <r>
      <rPr>
        <rFont val="ＭＳ Ｐゴシック"/>
        <sz val="10.0"/>
      </rPr>
      <t>が守谷壬三</t>
    </r>
    <r>
      <rPr>
        <rFont val="Arial"/>
        <sz val="10.0"/>
      </rPr>
      <t>(</t>
    </r>
    <r>
      <rPr>
        <rFont val="ＭＳ Ｐゴシック"/>
        <sz val="10.0"/>
      </rPr>
      <t>大西信満</t>
    </r>
    <r>
      <rPr>
        <rFont val="Arial"/>
        <sz val="10.0"/>
      </rPr>
      <t>)</t>
    </r>
    <r>
      <rPr>
        <rFont val="ＭＳ Ｐゴシック"/>
        <sz val="10.0"/>
      </rPr>
      <t>と埠頭</t>
    </r>
    <r>
      <rPr>
        <rFont val="Arial"/>
        <sz val="10.0"/>
      </rPr>
      <t>(</t>
    </r>
    <r>
      <rPr>
        <rFont val="ＭＳ Ｐゴシック"/>
        <sz val="10.0"/>
      </rPr>
      <t>ふとう</t>
    </r>
    <r>
      <rPr>
        <rFont val="Arial"/>
        <sz val="10.0"/>
      </rPr>
      <t>)</t>
    </r>
    <r>
      <rPr>
        <rFont val="ＭＳ Ｐゴシック"/>
        <sz val="10.0"/>
      </rPr>
      <t>から海中へと没してから</t>
    </r>
    <r>
      <rPr>
        <rFont val="Arial"/>
        <sz val="10.0"/>
      </rPr>
      <t>1</t>
    </r>
    <r>
      <rPr>
        <rFont val="ＭＳ Ｐゴシック"/>
        <sz val="10.0"/>
      </rPr>
      <t>週間が経ったが、</t>
    </r>
    <r>
      <rPr>
        <rFont val="Arial"/>
        <sz val="10.0"/>
      </rPr>
      <t>2</t>
    </r>
    <r>
      <rPr>
        <rFont val="ＭＳ Ｐゴシック"/>
        <sz val="10.0"/>
      </rPr>
      <t>人の遺体はまだ発見できず、警察の捜索は縮小気味で、若宮潤一</t>
    </r>
    <r>
      <rPr>
        <rFont val="Arial"/>
        <sz val="10.0"/>
      </rPr>
      <t>(</t>
    </r>
    <r>
      <rPr>
        <rFont val="ＭＳ Ｐゴシック"/>
        <sz val="10.0"/>
      </rPr>
      <t>岩田剛典</t>
    </r>
    <r>
      <rPr>
        <rFont val="Arial"/>
        <sz val="10.0"/>
      </rPr>
      <t>)</t>
    </r>
    <r>
      <rPr>
        <rFont val="ＭＳ Ｐゴシック"/>
        <sz val="10.0"/>
      </rPr>
      <t>は、空虚な日々を送っていた。獅子雄の</t>
    </r>
    <r>
      <rPr>
        <rFont val="Arial"/>
        <sz val="10.0"/>
      </rPr>
      <t>“</t>
    </r>
    <r>
      <rPr>
        <rFont val="ＭＳ Ｐゴシック"/>
        <sz val="10.0"/>
      </rPr>
      <t>最期の場所</t>
    </r>
    <r>
      <rPr>
        <rFont val="Arial"/>
        <sz val="10.0"/>
      </rPr>
      <t>"</t>
    </r>
    <r>
      <rPr>
        <rFont val="ＭＳ Ｐゴシック"/>
        <sz val="10.0"/>
      </rPr>
      <t>である、あの埠頭に再び佇む若宮に声をかける</t>
    </r>
    <r>
      <rPr>
        <rFont val="Arial"/>
        <sz val="10.0"/>
      </rPr>
      <t>1</t>
    </r>
    <r>
      <rPr>
        <rFont val="ＭＳ Ｐゴシック"/>
        <sz val="10.0"/>
      </rPr>
      <t>人の女性の姿が。フリージャーナリストの門司かれん</t>
    </r>
    <r>
      <rPr>
        <rFont val="Arial"/>
        <sz val="10.0"/>
      </rPr>
      <t>(</t>
    </r>
    <r>
      <rPr>
        <rFont val="ＭＳ Ｐゴシック"/>
        <sz val="10.0"/>
      </rPr>
      <t>木南晴夏</t>
    </r>
    <r>
      <rPr>
        <rFont val="Arial"/>
        <sz val="10.0"/>
      </rPr>
      <t>)</t>
    </r>
    <r>
      <rPr>
        <rFont val="ＭＳ Ｐゴシック"/>
        <sz val="10.0"/>
      </rPr>
      <t>だ。獅子雄の功績を後世に残すために話を聞かせて欲しいと言う。　若宮は、まだ死んだと決まったわけではないと抵抗するが、かれんは「獅子雄に関わった人々の思いを一緒に調べることで、獅子雄について何かしらの手掛かりになるかもしれない」と言う</t>
    </r>
    <r>
      <rPr>
        <rFont val="Arial"/>
        <sz val="10.0"/>
      </rPr>
      <t>…</t>
    </r>
    <r>
      <rPr>
        <rFont val="ＭＳ Ｐゴシック"/>
        <sz val="10.0"/>
      </rPr>
      <t>。</t>
    </r>
    <r>
      <rPr>
        <rFont val="Arial"/>
        <sz val="10.0"/>
      </rPr>
      <t xml:space="preserve">  </t>
    </r>
    <r>
      <rPr>
        <rFont val="ＭＳ Ｐゴシック"/>
        <sz val="10.0"/>
      </rPr>
      <t xml:space="preserve">　かくして、若宮はかれんと共に、親愛なる友がどんな男だったのかを探る旅をすることに</t>
    </r>
    <r>
      <rPr>
        <rFont val="Arial"/>
        <sz val="10.0"/>
      </rPr>
      <t>…</t>
    </r>
    <r>
      <rPr>
        <rFont val="ＭＳ Ｐゴシック"/>
        <sz val="10.0"/>
      </rPr>
      <t>。一体この女は何者なのか</t>
    </r>
    <r>
      <rPr>
        <rFont val="Arial"/>
        <sz val="10.0"/>
      </rPr>
      <t>?</t>
    </r>
    <r>
      <rPr>
        <rFont val="ＭＳ Ｐゴシック"/>
        <sz val="10.0"/>
      </rPr>
      <t>そして、誉獅子雄という男は一体何だったのか</t>
    </r>
    <r>
      <rPr>
        <rFont val="Arial"/>
        <sz val="10.0"/>
      </rPr>
      <t>?</t>
    </r>
    <r>
      <rPr>
        <rFont val="ＭＳ Ｐゴシック"/>
        <sz val="10.0"/>
      </rPr>
      <t>聖夜を前に、最期のミステリーが幕を開ける</t>
    </r>
    <r>
      <rPr>
        <rFont val="Arial"/>
        <sz val="10.0"/>
      </rPr>
      <t>!</t>
    </r>
  </si>
  <si>
    <t>誉獅子雄(ディーン・フジオカ)が守谷壬三(大西信満)と埠頭(ふとう)から海中へと没してから1週間が経ったが、2人の遺体はまだ発見できず、警察の捜索は縮小気味で、若宮潤一(岩田剛典)は、空虚な日々を送っていた。獅子雄の“最期の場所"である、あの埠頭に再び佇む若宮に声をかける1人の女性の姿が。フリージャーナリストの門司かれん(木南晴夏)だ。獅子雄の功績を後世に残すために話を聞かせて欲しいと言う。　若宮は、まだ死んだと決まったわけではないと抵抗するが、かれんは「獅子雄に関わった人々の思いを一緒に調べることで、獅子雄について何かしらの手掛かりになるかもしれない」と言う…。  　かくして、若宮はかれんと共に、親愛なる友がどんな男だったのかを探る旅をすることに…。一体この女は何者なのか?そして、誉獅子雄という男は一体何だったのか?聖夜を前に、最期のミステリーが幕を開ける!</t>
  </si>
  <si>
    <t>1910_CX_火22</t>
  </si>
  <si>
    <t>まだ結婚できない男</t>
  </si>
  <si>
    <t>番組名まだ結婚できない男【阿部寛演じる偏屈独身男、13年ぶり復活!】　#01</t>
  </si>
  <si>
    <r>
      <rPr>
        <rFont val="ＭＳ Ｐゴシック"/>
        <sz val="10.0"/>
      </rPr>
      <t>桑野信介</t>
    </r>
    <r>
      <rPr>
        <rFont val="Arial"/>
        <sz val="10.0"/>
      </rPr>
      <t>(</t>
    </r>
    <r>
      <rPr>
        <rFont val="ＭＳ Ｐゴシック"/>
        <sz val="10.0"/>
      </rPr>
      <t>阿部寛</t>
    </r>
    <r>
      <rPr>
        <rFont val="Arial"/>
        <sz val="10.0"/>
      </rPr>
      <t>)</t>
    </r>
    <r>
      <rPr>
        <rFont val="ＭＳ Ｐゴシック"/>
        <sz val="10.0"/>
      </rPr>
      <t>は腕のいい建築士だが、「メリットがない」という考えから結婚の経験はなく、さらに、偏屈で皮肉屋、プライドが高くこだわりも強いので、恋人を作ることもなく、気楽なシングルライフを送っていた。母の桑野育代</t>
    </r>
    <r>
      <rPr>
        <rFont val="Arial"/>
        <sz val="10.0"/>
      </rPr>
      <t>(</t>
    </r>
    <r>
      <rPr>
        <rFont val="ＭＳ Ｐゴシック"/>
        <sz val="10.0"/>
      </rPr>
      <t>草笛光子</t>
    </r>
    <r>
      <rPr>
        <rFont val="Arial"/>
        <sz val="10.0"/>
      </rPr>
      <t>)</t>
    </r>
    <r>
      <rPr>
        <rFont val="ＭＳ Ｐゴシック"/>
        <sz val="10.0"/>
      </rPr>
      <t>と妹の中川圭子</t>
    </r>
    <r>
      <rPr>
        <rFont val="Arial"/>
        <sz val="10.0"/>
      </rPr>
      <t>(</t>
    </r>
    <r>
      <rPr>
        <rFont val="ＭＳ Ｐゴシック"/>
        <sz val="10.0"/>
      </rPr>
      <t>三浦理恵子</t>
    </r>
    <r>
      <rPr>
        <rFont val="Arial"/>
        <sz val="10.0"/>
      </rPr>
      <t>)</t>
    </r>
    <r>
      <rPr>
        <rFont val="ＭＳ Ｐゴシック"/>
        <sz val="10.0"/>
      </rPr>
      <t>は、そんな</t>
    </r>
    <r>
      <rPr>
        <rFont val="Arial"/>
        <sz val="10.0"/>
      </rPr>
      <t>“</t>
    </r>
    <r>
      <rPr>
        <rFont val="ＭＳ Ｐゴシック"/>
        <sz val="10.0"/>
      </rPr>
      <t>結婚できない</t>
    </r>
    <r>
      <rPr>
        <rFont val="Arial"/>
        <sz val="10.0"/>
      </rPr>
      <t>"</t>
    </r>
    <r>
      <rPr>
        <rFont val="ＭＳ Ｐゴシック"/>
        <sz val="10.0"/>
      </rPr>
      <t>桑野の性格を嘆くが、唯一、義弟の中川良雄</t>
    </r>
    <r>
      <rPr>
        <rFont val="Arial"/>
        <sz val="10.0"/>
      </rPr>
      <t>(</t>
    </r>
    <r>
      <rPr>
        <rFont val="ＭＳ Ｐゴシック"/>
        <sz val="10.0"/>
      </rPr>
      <t>尾美としのり</t>
    </r>
    <r>
      <rPr>
        <rFont val="Arial"/>
        <sz val="10.0"/>
      </rPr>
      <t>)</t>
    </r>
    <r>
      <rPr>
        <rFont val="ＭＳ Ｐゴシック"/>
        <sz val="10.0"/>
      </rPr>
      <t>だけは良き理解者。さらに、かつての部下で、現在は共同経営者の村上英治</t>
    </r>
    <r>
      <rPr>
        <rFont val="Arial"/>
        <sz val="10.0"/>
      </rPr>
      <t>(</t>
    </r>
    <r>
      <rPr>
        <rFont val="ＭＳ Ｐゴシック"/>
        <sz val="10.0"/>
      </rPr>
      <t>塚本高史</t>
    </r>
    <r>
      <rPr>
        <rFont val="Arial"/>
        <sz val="10.0"/>
      </rPr>
      <t>)</t>
    </r>
    <r>
      <rPr>
        <rFont val="ＭＳ Ｐゴシック"/>
        <sz val="10.0"/>
      </rPr>
      <t>も、長年の付き合いから桑野の性格を熟知していた。</t>
    </r>
    <r>
      <rPr>
        <rFont val="Arial"/>
        <sz val="10.0"/>
      </rPr>
      <t xml:space="preserve">    </t>
    </r>
    <r>
      <rPr>
        <rFont val="ＭＳ Ｐゴシック"/>
        <sz val="10.0"/>
      </rPr>
      <t>そんなある日、日課のエゴサーチで発見した桑野を非難している</t>
    </r>
    <r>
      <rPr>
        <rFont val="Arial"/>
        <sz val="10.0"/>
      </rPr>
      <t>“</t>
    </r>
    <r>
      <rPr>
        <rFont val="ＭＳ Ｐゴシック"/>
        <sz val="10.0"/>
      </rPr>
      <t>やっくんのブログ</t>
    </r>
    <r>
      <rPr>
        <rFont val="Arial"/>
        <sz val="10.0"/>
      </rPr>
      <t>"</t>
    </r>
    <r>
      <rPr>
        <rFont val="ＭＳ Ｐゴシック"/>
        <sz val="10.0"/>
      </rPr>
      <t>に関して、近所で事務所を構えていた弁護士の吉山まどか</t>
    </r>
    <r>
      <rPr>
        <rFont val="Arial"/>
        <sz val="10.0"/>
      </rPr>
      <t>(</t>
    </r>
    <r>
      <rPr>
        <rFont val="ＭＳ Ｐゴシック"/>
        <sz val="10.0"/>
      </rPr>
      <t>吉田羊</t>
    </r>
    <r>
      <rPr>
        <rFont val="Arial"/>
        <sz val="10.0"/>
      </rPr>
      <t>)</t>
    </r>
    <r>
      <rPr>
        <rFont val="ＭＳ Ｐゴシック"/>
        <sz val="10.0"/>
      </rPr>
      <t>に相談する。例のごとく、偏屈な発言を連発する桑野の言動にまどかは「敵を作りやすい」とチクリ。しかし、嫌味など意に介さない桑野は、後日、まどかの弁護士としての実力を測るべく裁判所を訪れ、驚くまどかをしり目に離婚裁判を傍聴するのであった。</t>
    </r>
    <r>
      <rPr>
        <rFont val="Arial"/>
        <sz val="10.0"/>
      </rPr>
      <t xml:space="preserve">    </t>
    </r>
    <r>
      <rPr>
        <rFont val="ＭＳ Ｐゴシック"/>
        <sz val="10.0"/>
      </rPr>
      <t>まどかは、夫からの離婚の申し出に同意しない妻・岡野有希江</t>
    </r>
    <r>
      <rPr>
        <rFont val="Arial"/>
        <sz val="10.0"/>
      </rPr>
      <t>(</t>
    </r>
    <r>
      <rPr>
        <rFont val="ＭＳ Ｐゴシック"/>
        <sz val="10.0"/>
      </rPr>
      <t>稲森いずみ</t>
    </r>
    <r>
      <rPr>
        <rFont val="Arial"/>
        <sz val="10.0"/>
      </rPr>
      <t>)</t>
    </r>
    <r>
      <rPr>
        <rFont val="ＭＳ Ｐゴシック"/>
        <sz val="10.0"/>
      </rPr>
      <t>の代理人で、この日は原告である夫の浮気が争点に。しかし、浮気を決定づける証拠はなく、有希江は圧倒的不利な状況。しかし閉廷後、桑野は偶然トイレで原告の夫と弁護士のある話を聞いてしまう。</t>
    </r>
    <r>
      <rPr>
        <rFont val="Arial"/>
        <sz val="10.0"/>
      </rPr>
      <t xml:space="preserve">    </t>
    </r>
    <r>
      <rPr>
        <rFont val="ＭＳ Ｐゴシック"/>
        <sz val="10.0"/>
      </rPr>
      <t>一方、桑野が暮らすマンションの隣の部屋には、若い女性、戸波早紀</t>
    </r>
    <r>
      <rPr>
        <rFont val="Arial"/>
        <sz val="10.0"/>
      </rPr>
      <t>(</t>
    </r>
    <r>
      <rPr>
        <rFont val="ＭＳ Ｐゴシック"/>
        <sz val="10.0"/>
      </rPr>
      <t>深川麻衣</t>
    </r>
    <r>
      <rPr>
        <rFont val="Arial"/>
        <sz val="10.0"/>
      </rPr>
      <t>)</t>
    </r>
    <r>
      <rPr>
        <rFont val="ＭＳ Ｐゴシック"/>
        <sz val="10.0"/>
      </rPr>
      <t>が引っ越してきて</t>
    </r>
    <r>
      <rPr>
        <rFont val="Arial"/>
        <sz val="10.0"/>
      </rPr>
      <t>…</t>
    </r>
    <r>
      <rPr>
        <rFont val="ＭＳ Ｐゴシック"/>
        <sz val="10.0"/>
      </rPr>
      <t>。</t>
    </r>
  </si>
  <si>
    <t>桑野信介(阿部寛)は腕のいい建築士だが、「メリットがない」という考えから結婚の経験はなく、さらに、偏屈で皮肉屋、プライドが高くこだわりも強いので、恋人を作ることもなく、気楽なシングルライフを送っていた。母の桑野育代(草笛光子)と妹の中川圭子(三浦理恵子)は、そんな“結婚できない"桑野の性格を嘆くが、唯一、義弟の中川良雄(尾美としのり)だけは良き理解者。さらに、かつての部下で、現在は共同経営者の村上英治(塚本高史)も、長年の付き合いから桑野の性格を熟知していた。    そんなある日、日課のエゴサーチで発見した桑野を非難している“やっくんのブログ"に関して、近所で事務所を構えていた弁護士の吉山まどか(吉田羊)に相談する。例のごとく、偏屈な発言を連発する桑野の言動にまどかは「敵を作りやすい」とチクリ。しかし、嫌味など意に介さない桑野は、後日、まどかの弁護士としての実力を測るべく裁判所を訪れ、驚くまどかをしり目に離婚裁判を傍聴するのであった。    まどかは、夫からの離婚の申し出に同意しない妻・岡野有希江(稲森いずみ)の代理人で、この日は原告である夫の浮気が争点に。しかし、浮気を決定づける証拠はなく、有希江は圧倒的不利な状況。しかし閉廷後、桑野は偶然トイレで原告の夫と弁護士のある話を聞いてしまう。    一方、桑野が暮らすマンションの隣の部屋には、若い女性、戸波早紀(深川麻衣)が引っ越してきて…。</t>
  </si>
  <si>
    <t>番組名まだ結婚できない男【婚活アプリで出会って悪いか!!】　#02</t>
  </si>
  <si>
    <r>
      <rPr>
        <rFont val="ＭＳ Ｐゴシック"/>
        <sz val="10.0"/>
      </rPr>
      <t>ある日、英治</t>
    </r>
    <r>
      <rPr>
        <rFont val="Arial"/>
        <sz val="10.0"/>
      </rPr>
      <t>(</t>
    </r>
    <r>
      <rPr>
        <rFont val="ＭＳ Ｐゴシック"/>
        <sz val="10.0"/>
      </rPr>
      <t>塚本高史</t>
    </r>
    <r>
      <rPr>
        <rFont val="Arial"/>
        <sz val="10.0"/>
      </rPr>
      <t>)</t>
    </r>
    <r>
      <rPr>
        <rFont val="ＭＳ Ｐゴシック"/>
        <sz val="10.0"/>
      </rPr>
      <t>が桑野のプロフィールでひそかに婚活アプリに登録したことを知った桑野</t>
    </r>
    <r>
      <rPr>
        <rFont val="Arial"/>
        <sz val="10.0"/>
      </rPr>
      <t>(</t>
    </r>
    <r>
      <rPr>
        <rFont val="ＭＳ Ｐゴシック"/>
        <sz val="10.0"/>
      </rPr>
      <t>阿部寛</t>
    </r>
    <r>
      <rPr>
        <rFont val="Arial"/>
        <sz val="10.0"/>
      </rPr>
      <t>)</t>
    </r>
    <r>
      <rPr>
        <rFont val="ＭＳ Ｐゴシック"/>
        <sz val="10.0"/>
      </rPr>
      <t>。案の定、「暇人の遊びだ」とバカにする桑野だったが、表情には出さないものの、実はどことなくアプリが気になる様子。一方で、晴れてバツイチとなった有希江</t>
    </r>
    <r>
      <rPr>
        <rFont val="Arial"/>
        <sz val="10.0"/>
      </rPr>
      <t>(</t>
    </r>
    <r>
      <rPr>
        <rFont val="ＭＳ Ｐゴシック"/>
        <sz val="10.0"/>
      </rPr>
      <t>稲森いずみ</t>
    </r>
    <r>
      <rPr>
        <rFont val="Arial"/>
        <sz val="10.0"/>
      </rPr>
      <t>)</t>
    </r>
    <r>
      <rPr>
        <rFont val="ＭＳ Ｐゴシック"/>
        <sz val="10.0"/>
      </rPr>
      <t>にも、桑野は不思議な胸のざわつきを感じ始めていた。さらに、隣の部屋から聞こえてきた早紀</t>
    </r>
    <r>
      <rPr>
        <rFont val="Arial"/>
        <sz val="10.0"/>
      </rPr>
      <t>(</t>
    </r>
    <r>
      <rPr>
        <rFont val="ＭＳ Ｐゴシック"/>
        <sz val="10.0"/>
      </rPr>
      <t>深川麻衣</t>
    </r>
    <r>
      <rPr>
        <rFont val="Arial"/>
        <sz val="10.0"/>
      </rPr>
      <t>)</t>
    </r>
    <r>
      <rPr>
        <rFont val="ＭＳ Ｐゴシック"/>
        <sz val="10.0"/>
      </rPr>
      <t>の話し声から、桑野は早紀がひどく自分勝手な男と付き合っていると思い込んで</t>
    </r>
    <r>
      <rPr>
        <rFont val="Arial"/>
        <sz val="10.0"/>
      </rPr>
      <t>……</t>
    </r>
    <r>
      <rPr>
        <rFont val="ＭＳ Ｐゴシック"/>
        <sz val="10.0"/>
      </rPr>
      <t>。</t>
    </r>
    <r>
      <rPr>
        <rFont val="Arial"/>
        <sz val="10.0"/>
      </rPr>
      <t xml:space="preserve">    </t>
    </r>
    <r>
      <rPr>
        <rFont val="ＭＳ Ｐゴシック"/>
        <sz val="10.0"/>
      </rPr>
      <t>そんななか、削除し損ねた婚活アプリには、桑野のプロフィールを見た女性から、たくさんのメールが届いていた。その中で「一人に疲れました」と哀愁漂うメールを送ってきた、ヨガのインストラクターの女性に心を奪われる桑野。こっそりやりとりしていたが、しばらくすると、その事実は事務所のスタッフや、英治が仕事を依頼したまどか</t>
    </r>
    <r>
      <rPr>
        <rFont val="Arial"/>
        <sz val="10.0"/>
      </rPr>
      <t>(</t>
    </r>
    <r>
      <rPr>
        <rFont val="ＭＳ Ｐゴシック"/>
        <sz val="10.0"/>
      </rPr>
      <t>吉田羊</t>
    </r>
    <r>
      <rPr>
        <rFont val="Arial"/>
        <sz val="10.0"/>
      </rPr>
      <t>)</t>
    </r>
    <r>
      <rPr>
        <rFont val="ＭＳ Ｐゴシック"/>
        <sz val="10.0"/>
      </rPr>
      <t>、有希江の知るところに。一同は、口をそろえて一度会ってみるよう桑野に勧めるのだった。</t>
    </r>
    <r>
      <rPr>
        <rFont val="Arial"/>
        <sz val="10.0"/>
      </rPr>
      <t xml:space="preserve">    </t>
    </r>
    <r>
      <rPr>
        <rFont val="ＭＳ Ｐゴシック"/>
        <sz val="10.0"/>
      </rPr>
      <t>数日後、桑野の異変を察知した英治たちは、桑野が例の女性と会う約束をしていることに気付く。ホテルのラウンジで、緊張した面持ちで相手を待つ桑野を物陰から見守っていた英治は、その状況をまどかに逐一報告。するとそこへ、ついに女性が現れて</t>
    </r>
    <r>
      <rPr>
        <rFont val="Arial"/>
        <sz val="10.0"/>
      </rPr>
      <t>……!?</t>
    </r>
  </si>
  <si>
    <t>ある日、英治(塚本高史)が桑野のプロフィールでひそかに婚活アプリに登録したことを知った桑野(阿部寛)。案の定、「暇人の遊びだ」とバカにする桑野だったが、表情には出さないものの、実はどことなくアプリが気になる様子。一方で、晴れてバツイチとなった有希江(稲森いずみ)にも、桑野は不思議な胸のざわつきを感じ始めていた。さらに、隣の部屋から聞こえてきた早紀(深川麻衣)の話し声から、桑野は早紀がひどく自分勝手な男と付き合っていると思い込んで……。    そんななか、削除し損ねた婚活アプリには、桑野のプロフィールを見た女性から、たくさんのメールが届いていた。その中で「一人に疲れました」と哀愁漂うメールを送ってきた、ヨガのインストラクターの女性に心を奪われる桑野。こっそりやりとりしていたが、しばらくすると、その事実は事務所のスタッフや、英治が仕事を依頼したまどか(吉田羊)、有希江の知るところに。一同は、口をそろえて一度会ってみるよう桑野に勧めるのだった。    数日後、桑野の異変を察知した英治たちは、桑野が例の女性と会う約束をしていることに気付く。ホテルのラウンジで、緊張した面持ちで相手を待つ桑野を物陰から見守っていた英治は、その状況をまどかに逐一報告。するとそこへ、ついに女性が現れて……!?</t>
  </si>
  <si>
    <t>番組名まだ結婚できない男【若い女優とウワサになって悪いか!!】　#03</t>
  </si>
  <si>
    <r>
      <rPr>
        <rFont val="ＭＳ Ｐゴシック"/>
        <sz val="10.0"/>
      </rPr>
      <t>ある日の晩、隣人で女優の早紀</t>
    </r>
    <r>
      <rPr>
        <rFont val="Arial"/>
        <sz val="10.0"/>
      </rPr>
      <t>(</t>
    </r>
    <r>
      <rPr>
        <rFont val="ＭＳ Ｐゴシック"/>
        <sz val="10.0"/>
      </rPr>
      <t>深川麻衣</t>
    </r>
    <r>
      <rPr>
        <rFont val="Arial"/>
        <sz val="10.0"/>
      </rPr>
      <t>)</t>
    </r>
    <r>
      <rPr>
        <rFont val="ＭＳ Ｐゴシック"/>
        <sz val="10.0"/>
      </rPr>
      <t>の部屋から、かすかに聞こえる声を聞いていた桑野</t>
    </r>
    <r>
      <rPr>
        <rFont val="Arial"/>
        <sz val="10.0"/>
      </rPr>
      <t>(</t>
    </r>
    <r>
      <rPr>
        <rFont val="ＭＳ Ｐゴシック"/>
        <sz val="10.0"/>
      </rPr>
      <t>阿部寛</t>
    </r>
    <r>
      <rPr>
        <rFont val="Arial"/>
        <sz val="10.0"/>
      </rPr>
      <t>)</t>
    </r>
    <r>
      <rPr>
        <rFont val="ＭＳ Ｐゴシック"/>
        <sz val="10.0"/>
      </rPr>
      <t>。早紀が女優だと気がつきながらも、イタズラ心に火がついた桑野は、</t>
    </r>
    <r>
      <rPr>
        <rFont val="Arial"/>
        <sz val="10.0"/>
      </rPr>
      <t>“</t>
    </r>
    <r>
      <rPr>
        <rFont val="ＭＳ Ｐゴシック"/>
        <sz val="10.0"/>
      </rPr>
      <t>隣人が殺人計画を立てているのを聞いてしまった</t>
    </r>
    <r>
      <rPr>
        <rFont val="Arial"/>
        <sz val="10.0"/>
      </rPr>
      <t>"</t>
    </r>
    <r>
      <rPr>
        <rFont val="ＭＳ Ｐゴシック"/>
        <sz val="10.0"/>
      </rPr>
      <t>と、からかうつもりでまどか</t>
    </r>
    <r>
      <rPr>
        <rFont val="Arial"/>
        <sz val="10.0"/>
      </rPr>
      <t>(</t>
    </r>
    <r>
      <rPr>
        <rFont val="ＭＳ Ｐゴシック"/>
        <sz val="10.0"/>
      </rPr>
      <t>吉田羊</t>
    </r>
    <r>
      <rPr>
        <rFont val="Arial"/>
        <sz val="10.0"/>
      </rPr>
      <t>)</t>
    </r>
    <r>
      <rPr>
        <rFont val="ＭＳ Ｐゴシック"/>
        <sz val="10.0"/>
      </rPr>
      <t>に相談。慌てたまどかは知り合いの刑事に相談するが、桑野が自分をからかったと分かって大激怒</t>
    </r>
    <r>
      <rPr>
        <rFont val="Arial"/>
        <sz val="10.0"/>
      </rPr>
      <t xml:space="preserve">!    </t>
    </r>
    <r>
      <rPr>
        <rFont val="ＭＳ Ｐゴシック"/>
        <sz val="10.0"/>
      </rPr>
      <t>そんな桑野とまどかは、いなくなったパグ犬のタツオを探す早紀に出くわす。パグのことになると、内心気になって仕方のない桑野は、何食わぬ顔で一緒に探しまわる。そしてついに桑野がタツオを発見</t>
    </r>
    <r>
      <rPr>
        <rFont val="Arial"/>
        <sz val="10.0"/>
      </rPr>
      <t>!</t>
    </r>
    <r>
      <rPr>
        <rFont val="ＭＳ Ｐゴシック"/>
        <sz val="10.0"/>
      </rPr>
      <t>「タツオ</t>
    </r>
    <r>
      <rPr>
        <rFont val="Arial"/>
        <sz val="10.0"/>
      </rPr>
      <t>!</t>
    </r>
    <r>
      <rPr>
        <rFont val="ＭＳ Ｐゴシック"/>
        <sz val="10.0"/>
      </rPr>
      <t>」と呼びかけても応じないので、桑野は思わず「ケン</t>
    </r>
    <r>
      <rPr>
        <rFont val="Arial"/>
        <sz val="10.0"/>
      </rPr>
      <t>!</t>
    </r>
    <r>
      <rPr>
        <rFont val="ＭＳ Ｐゴシック"/>
        <sz val="10.0"/>
      </rPr>
      <t>」と呼びかける。すると、タツオは振り返り、両者は見つめ合うのであった</t>
    </r>
    <r>
      <rPr>
        <rFont val="Arial"/>
        <sz val="10.0"/>
      </rPr>
      <t>…</t>
    </r>
    <r>
      <rPr>
        <rFont val="ＭＳ Ｐゴシック"/>
        <sz val="10.0"/>
      </rPr>
      <t>。</t>
    </r>
    <r>
      <rPr>
        <rFont val="Arial"/>
        <sz val="10.0"/>
      </rPr>
      <t xml:space="preserve">    </t>
    </r>
    <r>
      <rPr>
        <rFont val="ＭＳ Ｐゴシック"/>
        <sz val="10.0"/>
      </rPr>
      <t>それから数日後、桑野は夜道でタツオを散歩させている早紀と出会う。するとそこへ、早紀が別れを告げた元恋人で、人気俳優の野村信吾</t>
    </r>
    <r>
      <rPr>
        <rFont val="Arial"/>
        <sz val="10.0"/>
      </rPr>
      <t>(</t>
    </r>
    <r>
      <rPr>
        <rFont val="ＭＳ Ｐゴシック"/>
        <sz val="10.0"/>
      </rPr>
      <t>平田雄也</t>
    </r>
    <r>
      <rPr>
        <rFont val="Arial"/>
        <sz val="10.0"/>
      </rPr>
      <t>)</t>
    </r>
    <r>
      <rPr>
        <rFont val="ＭＳ Ｐゴシック"/>
        <sz val="10.0"/>
      </rPr>
      <t>がヨリを戻したいとやってくる。</t>
    </r>
    <r>
      <rPr>
        <rFont val="Arial"/>
        <sz val="10.0"/>
      </rPr>
      <t>2</t>
    </r>
    <r>
      <rPr>
        <rFont val="ＭＳ Ｐゴシック"/>
        <sz val="10.0"/>
      </rPr>
      <t>人はとっさに恋人のふりをして、しつこく迫る野村を追い払うが、後日、</t>
    </r>
    <r>
      <rPr>
        <rFont val="Arial"/>
        <sz val="10.0"/>
      </rPr>
      <t>3</t>
    </r>
    <r>
      <rPr>
        <rFont val="ＭＳ Ｐゴシック"/>
        <sz val="10.0"/>
      </rPr>
      <t>人が口論している写真が週刊誌に掲載されてしまう。思わぬ桑野のスキャンダルに、周囲は大盛り上がり。英治</t>
    </r>
    <r>
      <rPr>
        <rFont val="Arial"/>
        <sz val="10.0"/>
      </rPr>
      <t>(</t>
    </r>
    <r>
      <rPr>
        <rFont val="ＭＳ Ｐゴシック"/>
        <sz val="10.0"/>
      </rPr>
      <t>塚本高史</t>
    </r>
    <r>
      <rPr>
        <rFont val="Arial"/>
        <sz val="10.0"/>
      </rPr>
      <t>)</t>
    </r>
    <r>
      <rPr>
        <rFont val="ＭＳ Ｐゴシック"/>
        <sz val="10.0"/>
      </rPr>
      <t>や詩織</t>
    </r>
    <r>
      <rPr>
        <rFont val="Arial"/>
        <sz val="10.0"/>
      </rPr>
      <t>(</t>
    </r>
    <r>
      <rPr>
        <rFont val="ＭＳ Ｐゴシック"/>
        <sz val="10.0"/>
      </rPr>
      <t>奈緒</t>
    </r>
    <r>
      <rPr>
        <rFont val="Arial"/>
        <sz val="10.0"/>
      </rPr>
      <t>)</t>
    </r>
    <r>
      <rPr>
        <rFont val="ＭＳ Ｐゴシック"/>
        <sz val="10.0"/>
      </rPr>
      <t>、圭子</t>
    </r>
    <r>
      <rPr>
        <rFont val="Arial"/>
        <sz val="10.0"/>
      </rPr>
      <t>(</t>
    </r>
    <r>
      <rPr>
        <rFont val="ＭＳ Ｐゴシック"/>
        <sz val="10.0"/>
      </rPr>
      <t>三浦理恵子</t>
    </r>
    <r>
      <rPr>
        <rFont val="Arial"/>
        <sz val="10.0"/>
      </rPr>
      <t>)</t>
    </r>
    <r>
      <rPr>
        <rFont val="ＭＳ Ｐゴシック"/>
        <sz val="10.0"/>
      </rPr>
      <t>らの質問攻めと冷やかしにうんざりした桑野は、肖像権の侵害だと憤慨し再びまどかに相談するものの「訴えたところで勝ち目はない」と一蹴</t>
    </r>
    <r>
      <rPr>
        <rFont val="Arial"/>
        <sz val="10.0"/>
      </rPr>
      <t>(</t>
    </r>
    <r>
      <rPr>
        <rFont val="ＭＳ Ｐゴシック"/>
        <sz val="10.0"/>
      </rPr>
      <t>いっしゅう</t>
    </r>
    <r>
      <rPr>
        <rFont val="Arial"/>
        <sz val="10.0"/>
      </rPr>
      <t>)</t>
    </r>
    <r>
      <rPr>
        <rFont val="ＭＳ Ｐゴシック"/>
        <sz val="10.0"/>
      </rPr>
      <t>され</t>
    </r>
    <r>
      <rPr>
        <rFont val="Arial"/>
        <sz val="10.0"/>
      </rPr>
      <t>…?</t>
    </r>
  </si>
  <si>
    <t>ある日の晩、隣人で女優の早紀(深川麻衣)の部屋から、かすかに聞こえる声を聞いていた桑野(阿部寛)。早紀が女優だと気がつきながらも、イタズラ心に火がついた桑野は、“隣人が殺人計画を立てているのを聞いてしまった"と、からかうつもりでまどか(吉田羊)に相談。慌てたまどかは知り合いの刑事に相談するが、桑野が自分をからかったと分かって大激怒!    そんな桑野とまどかは、いなくなったパグ犬のタツオを探す早紀に出くわす。パグのことになると、内心気になって仕方のない桑野は、何食わぬ顔で一緒に探しまわる。そしてついに桑野がタツオを発見!「タツオ!」と呼びかけても応じないので、桑野は思わず「ケン!」と呼びかける。すると、タツオは振り返り、両者は見つめ合うのであった…。    それから数日後、桑野は夜道でタツオを散歩させている早紀と出会う。するとそこへ、早紀が別れを告げた元恋人で、人気俳優の野村信吾(平田雄也)がヨリを戻したいとやってくる。2人はとっさに恋人のふりをして、しつこく迫る野村を追い払うが、後日、3人が口論している写真が週刊誌に掲載されてしまう。思わぬ桑野のスキャンダルに、周囲は大盛り上がり。英治(塚本高史)や詩織(奈緒)、圭子(三浦理恵子)らの質問攻めと冷やかしにうんざりした桑野は、肖像権の侵害だと憤慨し再びまどかに相談するものの「訴えたところで勝ち目はない」と一蹴(いっしゅう)され…?</t>
  </si>
  <si>
    <t>番組名まだ結婚できない男【母親とケンカして悪いか!!】　#04</t>
  </si>
  <si>
    <r>
      <rPr>
        <rFont val="ＭＳ Ｐゴシック"/>
        <sz val="10.0"/>
      </rPr>
      <t>水漏れした自宅から避難し、娘の圭子</t>
    </r>
    <r>
      <rPr>
        <rFont val="Arial"/>
        <sz val="10.0"/>
      </rPr>
      <t>(</t>
    </r>
    <r>
      <rPr>
        <rFont val="ＭＳ Ｐゴシック"/>
        <sz val="10.0"/>
      </rPr>
      <t>三浦理恵子</t>
    </r>
    <r>
      <rPr>
        <rFont val="Arial"/>
        <sz val="10.0"/>
      </rPr>
      <t>)</t>
    </r>
    <r>
      <rPr>
        <rFont val="ＭＳ Ｐゴシック"/>
        <sz val="10.0"/>
      </rPr>
      <t>の家に泊まっていた育代</t>
    </r>
    <r>
      <rPr>
        <rFont val="Arial"/>
        <sz val="10.0"/>
      </rPr>
      <t>(</t>
    </r>
    <r>
      <rPr>
        <rFont val="ＭＳ Ｐゴシック"/>
        <sz val="10.0"/>
      </rPr>
      <t>草笛光子</t>
    </r>
    <r>
      <rPr>
        <rFont val="Arial"/>
        <sz val="10.0"/>
      </rPr>
      <t>)</t>
    </r>
    <r>
      <rPr>
        <rFont val="ＭＳ Ｐゴシック"/>
        <sz val="10.0"/>
      </rPr>
      <t>が、ささいなことで圭子とケンカをして桑野</t>
    </r>
    <r>
      <rPr>
        <rFont val="Arial"/>
        <sz val="10.0"/>
      </rPr>
      <t>(</t>
    </r>
    <r>
      <rPr>
        <rFont val="ＭＳ Ｐゴシック"/>
        <sz val="10.0"/>
      </rPr>
      <t>阿部寛</t>
    </r>
    <r>
      <rPr>
        <rFont val="Arial"/>
        <sz val="10.0"/>
      </rPr>
      <t>)</t>
    </r>
    <r>
      <rPr>
        <rFont val="ＭＳ Ｐゴシック"/>
        <sz val="10.0"/>
      </rPr>
      <t>の部屋に転がり込んでくる。部屋に人を入れない主義の息子のことなどお構いなしの母親を何とか追い返したい桑野は、仮住まいを用意させるべく水漏れの原因を作ったリフォーム会社と交渉してほしいと、育代を連れてまどか</t>
    </r>
    <r>
      <rPr>
        <rFont val="Arial"/>
        <sz val="10.0"/>
      </rPr>
      <t>(</t>
    </r>
    <r>
      <rPr>
        <rFont val="ＭＳ Ｐゴシック"/>
        <sz val="10.0"/>
      </rPr>
      <t>吉田羊</t>
    </r>
    <r>
      <rPr>
        <rFont val="Arial"/>
        <sz val="10.0"/>
      </rPr>
      <t>)</t>
    </r>
    <r>
      <rPr>
        <rFont val="ＭＳ Ｐゴシック"/>
        <sz val="10.0"/>
      </rPr>
      <t>に依頼する。</t>
    </r>
    <r>
      <rPr>
        <rFont val="Arial"/>
        <sz val="10.0"/>
      </rPr>
      <t xml:space="preserve">    </t>
    </r>
    <r>
      <rPr>
        <rFont val="ＭＳ Ｐゴシック"/>
        <sz val="10.0"/>
      </rPr>
      <t>その後、まどかから有希江</t>
    </r>
    <r>
      <rPr>
        <rFont val="Arial"/>
        <sz val="10.0"/>
      </rPr>
      <t>(</t>
    </r>
    <r>
      <rPr>
        <rFont val="ＭＳ Ｐゴシック"/>
        <sz val="10.0"/>
      </rPr>
      <t>稲森いずみ</t>
    </r>
    <r>
      <rPr>
        <rFont val="Arial"/>
        <sz val="10.0"/>
      </rPr>
      <t>)</t>
    </r>
    <r>
      <rPr>
        <rFont val="ＭＳ Ｐゴシック"/>
        <sz val="10.0"/>
      </rPr>
      <t>を紹介され、英治</t>
    </r>
    <r>
      <rPr>
        <rFont val="Arial"/>
        <sz val="10.0"/>
      </rPr>
      <t>(</t>
    </r>
    <r>
      <rPr>
        <rFont val="ＭＳ Ｐゴシック"/>
        <sz val="10.0"/>
      </rPr>
      <t>塚本高史</t>
    </r>
    <r>
      <rPr>
        <rFont val="Arial"/>
        <sz val="10.0"/>
      </rPr>
      <t>)</t>
    </r>
    <r>
      <rPr>
        <rFont val="ＭＳ Ｐゴシック"/>
        <sz val="10.0"/>
      </rPr>
      <t>とも久しぶりに再会した育代は、まどかに、息子のまわりにたくさんの人がいて安心したと胸の内を明かす。その言葉に母親の愛情を感じ、桑野と育代の母子関係にどこかうらやましさを感じたまどかは、「お母さんといると、自分の母親といるより落ち着きます」と、育代にある悩みを打ち明ける。</t>
    </r>
    <r>
      <rPr>
        <rFont val="Arial"/>
        <sz val="10.0"/>
      </rPr>
      <t xml:space="preserve">    </t>
    </r>
    <r>
      <rPr>
        <rFont val="ＭＳ Ｐゴシック"/>
        <sz val="10.0"/>
      </rPr>
      <t>一方、桑野の元には圭子から電話が。意地を張って素直になれない圭子は、数日後に誕生日を迎える育代のために、今年は自分に代わって桑野に誕生日会を開いてほしいという。さらに、必ずプレゼントを渡すよう命じられ、困り果てた桑野は渋々まどかに相談しに行く。まどかから「要するに照れくさいという事ですね」と指摘され、痛いところを突かれた桑野が、思わず「自分はどうなんですか」とムキになると、まどかは「私は親不孝な娘なんです</t>
    </r>
    <r>
      <rPr>
        <rFont val="Arial"/>
        <sz val="10.0"/>
      </rPr>
      <t>…</t>
    </r>
    <r>
      <rPr>
        <rFont val="ＭＳ Ｐゴシック"/>
        <sz val="10.0"/>
      </rPr>
      <t>」とポツリ。それを聞いた桑野は、いつもと違うまどかの様子に動揺してしまい</t>
    </r>
    <r>
      <rPr>
        <rFont val="Arial"/>
        <sz val="10.0"/>
      </rPr>
      <t>…?</t>
    </r>
  </si>
  <si>
    <t>水漏れした自宅から避難し、娘の圭子(三浦理恵子)の家に泊まっていた育代(草笛光子)が、ささいなことで圭子とケンカをして桑野(阿部寛)の部屋に転がり込んでくる。部屋に人を入れない主義の息子のことなどお構いなしの母親を何とか追い返したい桑野は、仮住まいを用意させるべく水漏れの原因を作ったリフォーム会社と交渉してほしいと、育代を連れてまどか(吉田羊)に依頼する。    その後、まどかから有希江(稲森いずみ)を紹介され、英治(塚本高史)とも久しぶりに再会した育代は、まどかに、息子のまわりにたくさんの人がいて安心したと胸の内を明かす。その言葉に母親の愛情を感じ、桑野と育代の母子関係にどこかうらやましさを感じたまどかは、「お母さんといると、自分の母親といるより落ち着きます」と、育代にある悩みを打ち明ける。    一方、桑野の元には圭子から電話が。意地を張って素直になれない圭子は、数日後に誕生日を迎える育代のために、今年は自分に代わって桑野に誕生日会を開いてほしいという。さらに、必ずプレゼントを渡すよう命じられ、困り果てた桑野は渋々まどかに相談しに行く。まどかから「要するに照れくさいという事ですね」と指摘され、痛いところを突かれた桑野が、思わず「自分はどうなんですか」とムキになると、まどかは「私は親不孝な娘なんです…」とポツリ。それを聞いた桑野は、いつもと違うまどかの様子に動揺してしまい…?</t>
  </si>
  <si>
    <t>番組名まだ結婚できない男【神様にお願い事して悪いか!!】　#05</t>
  </si>
  <si>
    <r>
      <rPr>
        <rFont val="ＭＳ Ｐゴシック"/>
        <sz val="10.0"/>
      </rPr>
      <t>かねてから鎌倉の仏像を愛してやまない、まどか</t>
    </r>
    <r>
      <rPr>
        <rFont val="Arial"/>
        <sz val="10.0"/>
      </rPr>
      <t>(</t>
    </r>
    <r>
      <rPr>
        <rFont val="ＭＳ Ｐゴシック"/>
        <sz val="10.0"/>
      </rPr>
      <t>吉田羊</t>
    </r>
    <r>
      <rPr>
        <rFont val="Arial"/>
        <sz val="10.0"/>
      </rPr>
      <t>)</t>
    </r>
    <r>
      <rPr>
        <rFont val="ＭＳ Ｐゴシック"/>
        <sz val="10.0"/>
      </rPr>
      <t>は、</t>
    </r>
    <r>
      <rPr>
        <rFont val="Arial"/>
        <sz val="10.0"/>
      </rPr>
      <t>1</t>
    </r>
    <r>
      <rPr>
        <rFont val="ＭＳ Ｐゴシック"/>
        <sz val="10.0"/>
      </rPr>
      <t>泊</t>
    </r>
    <r>
      <rPr>
        <rFont val="Arial"/>
        <sz val="10.0"/>
      </rPr>
      <t>2</t>
    </r>
    <r>
      <rPr>
        <rFont val="ＭＳ Ｐゴシック"/>
        <sz val="10.0"/>
      </rPr>
      <t>日の鎌倉旅行に有希江</t>
    </r>
    <r>
      <rPr>
        <rFont val="Arial"/>
        <sz val="10.0"/>
      </rPr>
      <t>(</t>
    </r>
    <r>
      <rPr>
        <rFont val="ＭＳ Ｐゴシック"/>
        <sz val="10.0"/>
      </rPr>
      <t>稲森いずみ</t>
    </r>
    <r>
      <rPr>
        <rFont val="Arial"/>
        <sz val="10.0"/>
      </rPr>
      <t>)</t>
    </r>
    <r>
      <rPr>
        <rFont val="ＭＳ Ｐゴシック"/>
        <sz val="10.0"/>
      </rPr>
      <t>と早紀</t>
    </r>
    <r>
      <rPr>
        <rFont val="Arial"/>
        <sz val="10.0"/>
      </rPr>
      <t>(</t>
    </r>
    <r>
      <rPr>
        <rFont val="ＭＳ Ｐゴシック"/>
        <sz val="10.0"/>
      </rPr>
      <t>深川麻衣</t>
    </r>
    <r>
      <rPr>
        <rFont val="Arial"/>
        <sz val="10.0"/>
      </rPr>
      <t>)</t>
    </r>
    <r>
      <rPr>
        <rFont val="ＭＳ Ｐゴシック"/>
        <sz val="10.0"/>
      </rPr>
      <t>を誘う。縁結びにご利益がある神社に参拝し、おいしいものを食べようと盛り上がる</t>
    </r>
    <r>
      <rPr>
        <rFont val="Arial"/>
        <sz val="10.0"/>
      </rPr>
      <t>3</t>
    </r>
    <r>
      <rPr>
        <rFont val="ＭＳ Ｐゴシック"/>
        <sz val="10.0"/>
      </rPr>
      <t>人。しかし桑野</t>
    </r>
    <r>
      <rPr>
        <rFont val="Arial"/>
        <sz val="10.0"/>
      </rPr>
      <t>(</t>
    </r>
    <r>
      <rPr>
        <rFont val="ＭＳ Ｐゴシック"/>
        <sz val="10.0"/>
      </rPr>
      <t>阿部寛</t>
    </r>
    <r>
      <rPr>
        <rFont val="Arial"/>
        <sz val="10.0"/>
      </rPr>
      <t>)</t>
    </r>
    <r>
      <rPr>
        <rFont val="ＭＳ Ｐゴシック"/>
        <sz val="10.0"/>
      </rPr>
      <t>に知られると皮肉の一つも言われかねないと、女子旅は桑野に内緒で決行することに。</t>
    </r>
    <r>
      <rPr>
        <rFont val="Arial"/>
        <sz val="10.0"/>
      </rPr>
      <t xml:space="preserve">  </t>
    </r>
    <r>
      <rPr>
        <rFont val="ＭＳ Ｐゴシック"/>
        <sz val="10.0"/>
      </rPr>
      <t>ところが、現地に着いた</t>
    </r>
    <r>
      <rPr>
        <rFont val="Arial"/>
        <sz val="10.0"/>
      </rPr>
      <t>3</t>
    </r>
    <r>
      <rPr>
        <rFont val="ＭＳ Ｐゴシック"/>
        <sz val="10.0"/>
      </rPr>
      <t>人が楽しく観光していると、とある神社で</t>
    </r>
    <r>
      <rPr>
        <rFont val="Arial"/>
        <sz val="10.0"/>
      </rPr>
      <t>“</t>
    </r>
    <r>
      <rPr>
        <rFont val="ＭＳ Ｐゴシック"/>
        <sz val="10.0"/>
      </rPr>
      <t>一人鎌倉</t>
    </r>
    <r>
      <rPr>
        <rFont val="Arial"/>
        <sz val="10.0"/>
      </rPr>
      <t>"</t>
    </r>
    <r>
      <rPr>
        <rFont val="ＭＳ Ｐゴシック"/>
        <sz val="10.0"/>
      </rPr>
      <t>に来ている桑野の姿が</t>
    </r>
    <r>
      <rPr>
        <rFont val="Arial"/>
        <sz val="10.0"/>
      </rPr>
      <t>!</t>
    </r>
    <r>
      <rPr>
        <rFont val="ＭＳ Ｐゴシック"/>
        <sz val="10.0"/>
      </rPr>
      <t>何とか気づかれないようその場を去ることに成功した</t>
    </r>
    <r>
      <rPr>
        <rFont val="Arial"/>
        <sz val="10.0"/>
      </rPr>
      <t>3</t>
    </r>
    <r>
      <rPr>
        <rFont val="ＭＳ Ｐゴシック"/>
        <sz val="10.0"/>
      </rPr>
      <t>人だが、宿泊先の旅館の廊下で、なぜか一人不気味に写真を撮りまくる桑野と出くわしてしまう。縁結びのために来ていることを見透かされた上に、皮肉とウンチクをさんざん浴びせられ楽しい女子旅は台無しに。</t>
    </r>
    <r>
      <rPr>
        <rFont val="Arial"/>
        <sz val="10.0"/>
      </rPr>
      <t xml:space="preserve">  </t>
    </r>
    <r>
      <rPr>
        <rFont val="ＭＳ Ｐゴシック"/>
        <sz val="10.0"/>
      </rPr>
      <t>翌日、まどかは偶然、高校時代の後輩・エリカ</t>
    </r>
    <r>
      <rPr>
        <rFont val="Arial"/>
        <sz val="10.0"/>
      </rPr>
      <t>(</t>
    </r>
    <r>
      <rPr>
        <rFont val="ＭＳ Ｐゴシック"/>
        <sz val="10.0"/>
      </rPr>
      <t>野波麻帆</t>
    </r>
    <r>
      <rPr>
        <rFont val="Arial"/>
        <sz val="10.0"/>
      </rPr>
      <t>)</t>
    </r>
    <r>
      <rPr>
        <rFont val="ＭＳ Ｐゴシック"/>
        <sz val="10.0"/>
      </rPr>
      <t>と再会する。絶賛婚活中だと言うエリカが好みの男性のタイプを熱弁し始めると、まどかたちは、ふとある男の顔を思い出し、顔を見合わせる。意外にも、桑野がその条件に当てはまっていたのだ</t>
    </r>
    <r>
      <rPr>
        <rFont val="Arial"/>
        <sz val="10.0"/>
      </rPr>
      <t>!</t>
    </r>
    <r>
      <rPr>
        <rFont val="ＭＳ Ｐゴシック"/>
        <sz val="10.0"/>
      </rPr>
      <t>そうは言っても相手はあの桑野。紹介することに迷いを感じつつも、エリカの婚活への熱意に負けたまどかは思い切って桑野を紹介してみることに。</t>
    </r>
    <r>
      <rPr>
        <rFont val="Arial"/>
        <sz val="10.0"/>
      </rPr>
      <t xml:space="preserve">  </t>
    </r>
    <r>
      <rPr>
        <rFont val="ＭＳ Ｐゴシック"/>
        <sz val="10.0"/>
      </rPr>
      <t>そんなこととはつゆ知らず、桑野は英治</t>
    </r>
    <r>
      <rPr>
        <rFont val="Arial"/>
        <sz val="10.0"/>
      </rPr>
      <t>(</t>
    </r>
    <r>
      <rPr>
        <rFont val="ＭＳ Ｐゴシック"/>
        <sz val="10.0"/>
      </rPr>
      <t>塚本高史</t>
    </r>
    <r>
      <rPr>
        <rFont val="Arial"/>
        <sz val="10.0"/>
      </rPr>
      <t>)</t>
    </r>
    <r>
      <rPr>
        <rFont val="ＭＳ Ｐゴシック"/>
        <sz val="10.0"/>
      </rPr>
      <t>たちを巻き込んで、ブログに桑野の悪口を書きつづっている</t>
    </r>
    <r>
      <rPr>
        <rFont val="Arial"/>
        <sz val="10.0"/>
      </rPr>
      <t>“</t>
    </r>
    <r>
      <rPr>
        <rFont val="ＭＳ Ｐゴシック"/>
        <sz val="10.0"/>
      </rPr>
      <t>やっくん</t>
    </r>
    <r>
      <rPr>
        <rFont val="Arial"/>
        <sz val="10.0"/>
      </rPr>
      <t>"</t>
    </r>
    <r>
      <rPr>
        <rFont val="ＭＳ Ｐゴシック"/>
        <sz val="10.0"/>
      </rPr>
      <t>の正体を暴こうと躍起になっていた。するとそこへ、まどかから電話がかかってきて</t>
    </r>
    <r>
      <rPr>
        <rFont val="Arial"/>
        <sz val="10.0"/>
      </rPr>
      <t>…</t>
    </r>
    <r>
      <rPr>
        <rFont val="ＭＳ Ｐゴシック"/>
        <sz val="10.0"/>
      </rPr>
      <t>。</t>
    </r>
  </si>
  <si>
    <t>かねてから鎌倉の仏像を愛してやまない、まどか(吉田羊)は、1泊2日の鎌倉旅行に有希江(稲森いずみ)と早紀(深川麻衣)を誘う。縁結びにご利益がある神社に参拝し、おいしいものを食べようと盛り上がる3人。しかし桑野(阿部寛)に知られると皮肉の一つも言われかねないと、女子旅は桑野に内緒で決行することに。  ところが、現地に着いた3人が楽しく観光していると、とある神社で“一人鎌倉"に来ている桑野の姿が!何とか気づかれないようその場を去ることに成功した3人だが、宿泊先の旅館の廊下で、なぜか一人不気味に写真を撮りまくる桑野と出くわしてしまう。縁結びのために来ていることを見透かされた上に、皮肉とウンチクをさんざん浴びせられ楽しい女子旅は台無しに。  翌日、まどかは偶然、高校時代の後輩・エリカ(野波麻帆)と再会する。絶賛婚活中だと言うエリカが好みの男性のタイプを熱弁し始めると、まどかたちは、ふとある男の顔を思い出し、顔を見合わせる。意外にも、桑野がその条件に当てはまっていたのだ!そうは言っても相手はあの桑野。紹介することに迷いを感じつつも、エリカの婚活への熱意に負けたまどかは思い切って桑野を紹介してみることに。  そんなこととはつゆ知らず、桑野は英治(塚本高史)たちを巻き込んで、ブログに桑野の悪口を書きつづっている“やっくん"の正体を暴こうと躍起になっていた。するとそこへ、まどかから電話がかかってきて…。</t>
  </si>
  <si>
    <t>番組名まだ結婚できない男【見た目で判断して悪いか!!】　#06</t>
  </si>
  <si>
    <r>
      <rPr>
        <rFont val="ＭＳ Ｐゴシック"/>
        <sz val="10.0"/>
      </rPr>
      <t>桑野</t>
    </r>
    <r>
      <rPr>
        <rFont val="Arial"/>
        <sz val="10.0"/>
      </rPr>
      <t>(</t>
    </r>
    <r>
      <rPr>
        <rFont val="ＭＳ Ｐゴシック"/>
        <sz val="10.0"/>
      </rPr>
      <t>阿部寛</t>
    </r>
    <r>
      <rPr>
        <rFont val="Arial"/>
        <sz val="10.0"/>
      </rPr>
      <t>)</t>
    </r>
    <r>
      <rPr>
        <rFont val="ＭＳ Ｐゴシック"/>
        <sz val="10.0"/>
      </rPr>
      <t>を悩ませる</t>
    </r>
    <r>
      <rPr>
        <rFont val="Arial"/>
        <sz val="10.0"/>
      </rPr>
      <t>“</t>
    </r>
    <r>
      <rPr>
        <rFont val="ＭＳ Ｐゴシック"/>
        <sz val="10.0"/>
      </rPr>
      <t>やっくんのブログ</t>
    </r>
    <r>
      <rPr>
        <rFont val="Arial"/>
        <sz val="10.0"/>
      </rPr>
      <t>"</t>
    </r>
    <r>
      <rPr>
        <rFont val="ＭＳ Ｐゴシック"/>
        <sz val="10.0"/>
      </rPr>
      <t>が、ついに検索ランキングの</t>
    </r>
    <r>
      <rPr>
        <rFont val="Arial"/>
        <sz val="10.0"/>
      </rPr>
      <t>3</t>
    </r>
    <r>
      <rPr>
        <rFont val="ＭＳ Ｐゴシック"/>
        <sz val="10.0"/>
      </rPr>
      <t>位に浮上。いまだ正体が分からず、このままでは</t>
    </r>
    <r>
      <rPr>
        <rFont val="Arial"/>
        <sz val="10.0"/>
      </rPr>
      <t>1</t>
    </r>
    <r>
      <rPr>
        <rFont val="ＭＳ Ｐゴシック"/>
        <sz val="10.0"/>
      </rPr>
      <t>位になる日も近いと焦る桑野は、まどか</t>
    </r>
    <r>
      <rPr>
        <rFont val="Arial"/>
        <sz val="10.0"/>
      </rPr>
      <t>(</t>
    </r>
    <r>
      <rPr>
        <rFont val="ＭＳ Ｐゴシック"/>
        <sz val="10.0"/>
      </rPr>
      <t>吉田羊</t>
    </r>
    <r>
      <rPr>
        <rFont val="Arial"/>
        <sz val="10.0"/>
      </rPr>
      <t>)</t>
    </r>
    <r>
      <rPr>
        <rFont val="ＭＳ Ｐゴシック"/>
        <sz val="10.0"/>
      </rPr>
      <t>にいら立ちをぶつける。</t>
    </r>
    <r>
      <rPr>
        <rFont val="Arial"/>
        <sz val="10.0"/>
      </rPr>
      <t>2</t>
    </r>
    <r>
      <rPr>
        <rFont val="ＭＳ Ｐゴシック"/>
        <sz val="10.0"/>
      </rPr>
      <t>人がいつものように言い争っていると、そこへまどかのいとこ・亮介</t>
    </r>
    <r>
      <rPr>
        <rFont val="Arial"/>
        <sz val="10.0"/>
      </rPr>
      <t>(</t>
    </r>
    <r>
      <rPr>
        <rFont val="ＭＳ Ｐゴシック"/>
        <sz val="10.0"/>
      </rPr>
      <t>磯村勇斗</t>
    </r>
    <r>
      <rPr>
        <rFont val="Arial"/>
        <sz val="10.0"/>
      </rPr>
      <t>)</t>
    </r>
    <r>
      <rPr>
        <rFont val="ＭＳ Ｐゴシック"/>
        <sz val="10.0"/>
      </rPr>
      <t>が現れる。亮介は弁護士を目指して勉強中で、忙しいまどかを手伝うために長野から上京してきたという。しかし実は、同じく弁護士で、娘に自分の事務所を継いでほしいと願うまどかの母から、まどかが地元に戻らない理由を探ってくるよう、密命を受けていた。</t>
    </r>
    <r>
      <rPr>
        <rFont val="Arial"/>
        <sz val="10.0"/>
      </rPr>
      <t xml:space="preserve">    </t>
    </r>
    <r>
      <rPr>
        <rFont val="ＭＳ Ｐゴシック"/>
        <sz val="10.0"/>
      </rPr>
      <t>そんな母の魂胆を見抜いたまどかは、かつて母親との間に何があったのか、自分の過去を亮介に打ち明けることに。しかし、亮介を連れて有希江</t>
    </r>
    <r>
      <rPr>
        <rFont val="Arial"/>
        <sz val="10.0"/>
      </rPr>
      <t>(</t>
    </r>
    <r>
      <rPr>
        <rFont val="ＭＳ Ｐゴシック"/>
        <sz val="10.0"/>
      </rPr>
      <t>稲森いずみ</t>
    </r>
    <r>
      <rPr>
        <rFont val="Arial"/>
        <sz val="10.0"/>
      </rPr>
      <t>)</t>
    </r>
    <r>
      <rPr>
        <rFont val="ＭＳ Ｐゴシック"/>
        <sz val="10.0"/>
      </rPr>
      <t>の店に向かうと、間が悪いことに、そこには桑野の姿が。案の定、まどかの話を聞いた桑野は黙っていられず、いつものように皮肉を連発してまどかを怒らせてしまう。しかし、そんな</t>
    </r>
    <r>
      <rPr>
        <rFont val="Arial"/>
        <sz val="10.0"/>
      </rPr>
      <t>2</t>
    </r>
    <r>
      <rPr>
        <rFont val="ＭＳ Ｐゴシック"/>
        <sz val="10.0"/>
      </rPr>
      <t>人のやり取りを見ていた亮介は、あることを思いついて</t>
    </r>
    <r>
      <rPr>
        <rFont val="Arial"/>
        <sz val="10.0"/>
      </rPr>
      <t>……</t>
    </r>
    <r>
      <rPr>
        <rFont val="ＭＳ Ｐゴシック"/>
        <sz val="10.0"/>
      </rPr>
      <t>。</t>
    </r>
    <r>
      <rPr>
        <rFont val="Arial"/>
        <sz val="10.0"/>
      </rPr>
      <t xml:space="preserve">    </t>
    </r>
    <r>
      <rPr>
        <rFont val="ＭＳ Ｐゴシック"/>
        <sz val="10.0"/>
      </rPr>
      <t>一方、以前から、同じジムに通う薬丸</t>
    </r>
    <r>
      <rPr>
        <rFont val="Arial"/>
        <sz val="10.0"/>
      </rPr>
      <t>(</t>
    </r>
    <r>
      <rPr>
        <rFont val="ＭＳ Ｐゴシック"/>
        <sz val="10.0"/>
      </rPr>
      <t>デビット伊東</t>
    </r>
    <r>
      <rPr>
        <rFont val="Arial"/>
        <sz val="10.0"/>
      </rPr>
      <t>)</t>
    </r>
    <r>
      <rPr>
        <rFont val="ＭＳ Ｐゴシック"/>
        <sz val="10.0"/>
      </rPr>
      <t>こそが</t>
    </r>
    <r>
      <rPr>
        <rFont val="Arial"/>
        <sz val="10.0"/>
      </rPr>
      <t>“</t>
    </r>
    <r>
      <rPr>
        <rFont val="ＭＳ Ｐゴシック"/>
        <sz val="10.0"/>
      </rPr>
      <t>やっくん</t>
    </r>
    <r>
      <rPr>
        <rFont val="Arial"/>
        <sz val="10.0"/>
      </rPr>
      <t>"</t>
    </r>
    <r>
      <rPr>
        <rFont val="ＭＳ Ｐゴシック"/>
        <sz val="10.0"/>
      </rPr>
      <t>ではないかとにらんでいた桑野は、英治</t>
    </r>
    <r>
      <rPr>
        <rFont val="Arial"/>
        <sz val="10.0"/>
      </rPr>
      <t>(</t>
    </r>
    <r>
      <rPr>
        <rFont val="ＭＳ Ｐゴシック"/>
        <sz val="10.0"/>
      </rPr>
      <t>塚本高史</t>
    </r>
    <r>
      <rPr>
        <rFont val="Arial"/>
        <sz val="10.0"/>
      </rPr>
      <t>)</t>
    </r>
    <r>
      <rPr>
        <rFont val="ＭＳ Ｐゴシック"/>
        <sz val="10.0"/>
      </rPr>
      <t>の手を借りて証拠集めに奔走する。やがて、疑惑が確信へと変わった桑野は、ジムのサウナで薬丸を追いつめて</t>
    </r>
    <r>
      <rPr>
        <rFont val="Arial"/>
        <sz val="10.0"/>
      </rPr>
      <t>…</t>
    </r>
    <r>
      <rPr>
        <rFont val="ＭＳ Ｐゴシック"/>
        <sz val="10.0"/>
      </rPr>
      <t>。</t>
    </r>
  </si>
  <si>
    <t>桑野(阿部寛)を悩ませる“やっくんのブログ"が、ついに検索ランキングの3位に浮上。いまだ正体が分からず、このままでは1位になる日も近いと焦る桑野は、まどか(吉田羊)にいら立ちをぶつける。2人がいつものように言い争っていると、そこへまどかのいとこ・亮介(磯村勇斗)が現れる。亮介は弁護士を目指して勉強中で、忙しいまどかを手伝うために長野から上京してきたという。しかし実は、同じく弁護士で、娘に自分の事務所を継いでほしいと願うまどかの母から、まどかが地元に戻らない理由を探ってくるよう、密命を受けていた。    そんな母の魂胆を見抜いたまどかは、かつて母親との間に何があったのか、自分の過去を亮介に打ち明けることに。しかし、亮介を連れて有希江(稲森いずみ)の店に向かうと、間が悪いことに、そこには桑野の姿が。案の定、まどかの話を聞いた桑野は黙っていられず、いつものように皮肉を連発してまどかを怒らせてしまう。しかし、そんな2人のやり取りを見ていた亮介は、あることを思いついて……。    一方、以前から、同じジムに通う薬丸(デビット伊東)こそが“やっくん"ではないかとにらんでいた桑野は、英治(塚本高史)の手を借りて証拠集めに奔走する。やがて、疑惑が確信へと変わった桑野は、ジムのサウナで薬丸を追いつめて…。</t>
  </si>
  <si>
    <t>番組名まだ結婚できない男【カフェが好きで悪いか!!】　#07</t>
  </si>
  <si>
    <r>
      <rPr>
        <rFont val="ＭＳ Ｐゴシック"/>
        <sz val="10.0"/>
      </rPr>
      <t>ある日、桜子</t>
    </r>
    <r>
      <rPr>
        <rFont val="Arial"/>
        <sz val="10.0"/>
      </rPr>
      <t>(</t>
    </r>
    <r>
      <rPr>
        <rFont val="ＭＳ Ｐゴシック"/>
        <sz val="10.0"/>
      </rPr>
      <t>咲妃みゆ</t>
    </r>
    <r>
      <rPr>
        <rFont val="Arial"/>
        <sz val="10.0"/>
      </rPr>
      <t>)</t>
    </r>
    <r>
      <rPr>
        <rFont val="ＭＳ Ｐゴシック"/>
        <sz val="10.0"/>
      </rPr>
      <t>から、店舗デザインの仕事を持ち掛けられた桑野</t>
    </r>
    <r>
      <rPr>
        <rFont val="Arial"/>
        <sz val="10.0"/>
      </rPr>
      <t>(</t>
    </r>
    <r>
      <rPr>
        <rFont val="ＭＳ Ｐゴシック"/>
        <sz val="10.0"/>
      </rPr>
      <t>阿部寛</t>
    </r>
    <r>
      <rPr>
        <rFont val="Arial"/>
        <sz val="10.0"/>
      </rPr>
      <t>)</t>
    </r>
    <r>
      <rPr>
        <rFont val="ＭＳ Ｐゴシック"/>
        <sz val="10.0"/>
      </rPr>
      <t>。人が住む家を作ることがポリシーの桑野は断るが、報酬が期待できるからという映子</t>
    </r>
    <r>
      <rPr>
        <rFont val="Arial"/>
        <sz val="10.0"/>
      </rPr>
      <t>(</t>
    </r>
    <r>
      <rPr>
        <rFont val="ＭＳ Ｐゴシック"/>
        <sz val="10.0"/>
      </rPr>
      <t>阿南敦子</t>
    </r>
    <r>
      <rPr>
        <rFont val="Arial"/>
        <sz val="10.0"/>
      </rPr>
      <t>)</t>
    </r>
    <r>
      <rPr>
        <rFont val="ＭＳ Ｐゴシック"/>
        <sz val="10.0"/>
      </rPr>
      <t>の圧に押され、とりあえず話を聞くことにする。</t>
    </r>
    <r>
      <rPr>
        <rFont val="Arial"/>
        <sz val="10.0"/>
      </rPr>
      <t xml:space="preserve">    </t>
    </r>
    <r>
      <rPr>
        <rFont val="ＭＳ Ｐゴシック"/>
        <sz val="10.0"/>
      </rPr>
      <t>桑野の建築にほれ込んでいる依頼主の大島</t>
    </r>
    <r>
      <rPr>
        <rFont val="Arial"/>
        <sz val="10.0"/>
      </rPr>
      <t>(</t>
    </r>
    <r>
      <rPr>
        <rFont val="ＭＳ Ｐゴシック"/>
        <sz val="10.0"/>
      </rPr>
      <t>岡部たかし</t>
    </r>
    <r>
      <rPr>
        <rFont val="Arial"/>
        <sz val="10.0"/>
      </rPr>
      <t>)</t>
    </r>
    <r>
      <rPr>
        <rFont val="ＭＳ Ｐゴシック"/>
        <sz val="10.0"/>
      </rPr>
      <t>は、現在営業している店を閉め、全面的に作り替えると言う。話を聞くうちにがぜんやる気になった桑野だったが、改装前の店の写真を見せられがくぜん。その店とは、なんと有希江</t>
    </r>
    <r>
      <rPr>
        <rFont val="Arial"/>
        <sz val="10.0"/>
      </rPr>
      <t>(</t>
    </r>
    <r>
      <rPr>
        <rFont val="ＭＳ Ｐゴシック"/>
        <sz val="10.0"/>
      </rPr>
      <t>稲森いずみ</t>
    </r>
    <r>
      <rPr>
        <rFont val="Arial"/>
        <sz val="10.0"/>
      </rPr>
      <t>)</t>
    </r>
    <r>
      <rPr>
        <rFont val="ＭＳ Ｐゴシック"/>
        <sz val="10.0"/>
      </rPr>
      <t>のカフェだったのだーー</t>
    </r>
    <r>
      <rPr>
        <rFont val="Arial"/>
        <sz val="10.0"/>
      </rPr>
      <t>!</t>
    </r>
    <r>
      <rPr>
        <rFont val="ＭＳ Ｐゴシック"/>
        <sz val="10.0"/>
      </rPr>
      <t>激しく動揺した桑野は、有希江に打ち明けようとカフェを訪ねるが、店にまどか</t>
    </r>
    <r>
      <rPr>
        <rFont val="Arial"/>
        <sz val="10.0"/>
      </rPr>
      <t>(</t>
    </r>
    <r>
      <rPr>
        <rFont val="ＭＳ Ｐゴシック"/>
        <sz val="10.0"/>
      </rPr>
      <t>吉田羊</t>
    </r>
    <r>
      <rPr>
        <rFont val="Arial"/>
        <sz val="10.0"/>
      </rPr>
      <t>)</t>
    </r>
    <r>
      <rPr>
        <rFont val="ＭＳ Ｐゴシック"/>
        <sz val="10.0"/>
      </rPr>
      <t>と早紀</t>
    </r>
    <r>
      <rPr>
        <rFont val="Arial"/>
        <sz val="10.0"/>
      </rPr>
      <t>(</t>
    </r>
    <r>
      <rPr>
        <rFont val="ＭＳ Ｐゴシック"/>
        <sz val="10.0"/>
      </rPr>
      <t>深川麻衣</t>
    </r>
    <r>
      <rPr>
        <rFont val="Arial"/>
        <sz val="10.0"/>
      </rPr>
      <t>)</t>
    </r>
    <r>
      <rPr>
        <rFont val="ＭＳ Ｐゴシック"/>
        <sz val="10.0"/>
      </rPr>
      <t>が居て言い出せずにいるうちに、話は思わぬ方向へ。なぜか桑野が自らの恋愛観を暴露する展開となり、気まずくなった桑野は、目的を果たせないまま、カフェを後にする。</t>
    </r>
    <r>
      <rPr>
        <rFont val="Arial"/>
        <sz val="10.0"/>
      </rPr>
      <t xml:space="preserve">    </t>
    </r>
    <r>
      <rPr>
        <rFont val="ＭＳ Ｐゴシック"/>
        <sz val="10.0"/>
      </rPr>
      <t>事情を知らない有希江は、店の譲渡契約の直前になって店を退去するよう命じられ困っていた。オーナー会社内のゴタゴタで、新店舗オープンの話が浮上していると言う。まどかは裁判で争うこともできると有希江を励まし、</t>
    </r>
    <r>
      <rPr>
        <rFont val="Arial"/>
        <sz val="10.0"/>
      </rPr>
      <t>2</t>
    </r>
    <r>
      <rPr>
        <rFont val="ＭＳ Ｐゴシック"/>
        <sz val="10.0"/>
      </rPr>
      <t>人は新店舗の図面を見ることに。するとそこには桑野の名前が</t>
    </r>
    <r>
      <rPr>
        <rFont val="Arial"/>
        <sz val="10.0"/>
      </rPr>
      <t xml:space="preserve">…!    </t>
    </r>
    <r>
      <rPr>
        <rFont val="ＭＳ Ｐゴシック"/>
        <sz val="10.0"/>
      </rPr>
      <t>そのころ桜子は、自分たちの結婚をなかなか桑野に報告しない英治</t>
    </r>
    <r>
      <rPr>
        <rFont val="Arial"/>
        <sz val="10.0"/>
      </rPr>
      <t>(</t>
    </r>
    <r>
      <rPr>
        <rFont val="ＭＳ Ｐゴシック"/>
        <sz val="10.0"/>
      </rPr>
      <t>塚本高史</t>
    </r>
    <r>
      <rPr>
        <rFont val="Arial"/>
        <sz val="10.0"/>
      </rPr>
      <t>)</t>
    </r>
    <r>
      <rPr>
        <rFont val="ＭＳ Ｐゴシック"/>
        <sz val="10.0"/>
      </rPr>
      <t>にいら立っていた。そもそも結婚に否定的な桑野が、自分たちを祝福してくれるはずもないという桜子に、英治は複雑な胸の内を明かし</t>
    </r>
    <r>
      <rPr>
        <rFont val="Arial"/>
        <sz val="10.0"/>
      </rPr>
      <t>…</t>
    </r>
    <r>
      <rPr>
        <rFont val="ＭＳ Ｐゴシック"/>
        <sz val="10.0"/>
      </rPr>
      <t>。</t>
    </r>
  </si>
  <si>
    <t>ある日、桜子(咲妃みゆ)から、店舗デザインの仕事を持ち掛けられた桑野(阿部寛)。人が住む家を作ることがポリシーの桑野は断るが、報酬が期待できるからという映子(阿南敦子)の圧に押され、とりあえず話を聞くことにする。    桑野の建築にほれ込んでいる依頼主の大島(岡部たかし)は、現在営業している店を閉め、全面的に作り替えると言う。話を聞くうちにがぜんやる気になった桑野だったが、改装前の店の写真を見せられがくぜん。その店とは、なんと有希江(稲森いずみ)のカフェだったのだーー!激しく動揺した桑野は、有希江に打ち明けようとカフェを訪ねるが、店にまどか(吉田羊)と早紀(深川麻衣)が居て言い出せずにいるうちに、話は思わぬ方向へ。なぜか桑野が自らの恋愛観を暴露する展開となり、気まずくなった桑野は、目的を果たせないまま、カフェを後にする。    事情を知らない有希江は、店の譲渡契約の直前になって店を退去するよう命じられ困っていた。オーナー会社内のゴタゴタで、新店舗オープンの話が浮上していると言う。まどかは裁判で争うこともできると有希江を励まし、2人は新店舗の図面を見ることに。するとそこには桑野の名前が…!    そのころ桜子は、自分たちの結婚をなかなか桑野に報告しない英治(塚本高史)にいら立っていた。そもそも結婚に否定的な桑野が、自分たちを祝福してくれるはずもないという桜子に、英治は複雑な胸の内を明かし…。</t>
  </si>
  <si>
    <t>番組名まだ結婚できない男【結婚を祝わなくて悪いか!!】　#08</t>
  </si>
  <si>
    <r>
      <rPr>
        <rFont val="ＭＳ Ｐゴシック"/>
        <sz val="10.0"/>
      </rPr>
      <t>恩人である桑野</t>
    </r>
    <r>
      <rPr>
        <rFont val="Arial"/>
        <sz val="10.0"/>
      </rPr>
      <t>(</t>
    </r>
    <r>
      <rPr>
        <rFont val="ＭＳ Ｐゴシック"/>
        <sz val="10.0"/>
      </rPr>
      <t>阿部寛</t>
    </r>
    <r>
      <rPr>
        <rFont val="Arial"/>
        <sz val="10.0"/>
      </rPr>
      <t>)</t>
    </r>
    <r>
      <rPr>
        <rFont val="ＭＳ Ｐゴシック"/>
        <sz val="10.0"/>
      </rPr>
      <t>に桜子</t>
    </r>
    <r>
      <rPr>
        <rFont val="Arial"/>
        <sz val="10.0"/>
      </rPr>
      <t>(</t>
    </r>
    <r>
      <rPr>
        <rFont val="ＭＳ Ｐゴシック"/>
        <sz val="10.0"/>
      </rPr>
      <t>咲妃みゆ</t>
    </r>
    <r>
      <rPr>
        <rFont val="Arial"/>
        <sz val="10.0"/>
      </rPr>
      <t>)</t>
    </r>
    <r>
      <rPr>
        <rFont val="ＭＳ Ｐゴシック"/>
        <sz val="10.0"/>
      </rPr>
      <t>との結婚を認めてもらい、いよいよ式に向けて準備を始める英治</t>
    </r>
    <r>
      <rPr>
        <rFont val="Arial"/>
        <sz val="10.0"/>
      </rPr>
      <t>(</t>
    </r>
    <r>
      <rPr>
        <rFont val="ＭＳ Ｐゴシック"/>
        <sz val="10.0"/>
      </rPr>
      <t>塚本高史</t>
    </r>
    <r>
      <rPr>
        <rFont val="Arial"/>
        <sz val="10.0"/>
      </rPr>
      <t>)</t>
    </r>
    <r>
      <rPr>
        <rFont val="ＭＳ Ｐゴシック"/>
        <sz val="10.0"/>
      </rPr>
      <t>。しかし、肝心の桑野は結婚式に出席してほしいというまな弟子の言葉に渋い表情。まどか</t>
    </r>
    <r>
      <rPr>
        <rFont val="Arial"/>
        <sz val="10.0"/>
      </rPr>
      <t>(</t>
    </r>
    <r>
      <rPr>
        <rFont val="ＭＳ Ｐゴシック"/>
        <sz val="10.0"/>
      </rPr>
      <t>吉田羊</t>
    </r>
    <r>
      <rPr>
        <rFont val="Arial"/>
        <sz val="10.0"/>
      </rPr>
      <t>)</t>
    </r>
    <r>
      <rPr>
        <rFont val="ＭＳ Ｐゴシック"/>
        <sz val="10.0"/>
      </rPr>
      <t>や有希江</t>
    </r>
    <r>
      <rPr>
        <rFont val="Arial"/>
        <sz val="10.0"/>
      </rPr>
      <t>(</t>
    </r>
    <r>
      <rPr>
        <rFont val="ＭＳ Ｐゴシック"/>
        <sz val="10.0"/>
      </rPr>
      <t>稲森いずみ</t>
    </r>
    <r>
      <rPr>
        <rFont val="Arial"/>
        <sz val="10.0"/>
      </rPr>
      <t>)</t>
    </r>
    <r>
      <rPr>
        <rFont val="ＭＳ Ｐゴシック"/>
        <sz val="10.0"/>
      </rPr>
      <t>も英治たちを援護するが、結局、桑野は出席を明言せず、あいまいな返事ではぐらかす。</t>
    </r>
    <r>
      <rPr>
        <rFont val="Arial"/>
        <sz val="10.0"/>
      </rPr>
      <t xml:space="preserve">    </t>
    </r>
    <r>
      <rPr>
        <rFont val="ＭＳ Ｐゴシック"/>
        <sz val="10.0"/>
      </rPr>
      <t>そんななか、桑野の姪のゆみ</t>
    </r>
    <r>
      <rPr>
        <rFont val="Arial"/>
        <sz val="10.0"/>
      </rPr>
      <t>(</t>
    </r>
    <r>
      <rPr>
        <rFont val="ＭＳ Ｐゴシック"/>
        <sz val="10.0"/>
      </rPr>
      <t>平祐奈</t>
    </r>
    <r>
      <rPr>
        <rFont val="Arial"/>
        <sz val="10.0"/>
      </rPr>
      <t>)</t>
    </r>
    <r>
      <rPr>
        <rFont val="ＭＳ Ｐゴシック"/>
        <sz val="10.0"/>
      </rPr>
      <t>がメイドカフェでバイトしていると知った中川</t>
    </r>
    <r>
      <rPr>
        <rFont val="Arial"/>
        <sz val="10.0"/>
      </rPr>
      <t>(</t>
    </r>
    <r>
      <rPr>
        <rFont val="ＭＳ Ｐゴシック"/>
        <sz val="10.0"/>
      </rPr>
      <t>尾美としのり</t>
    </r>
    <r>
      <rPr>
        <rFont val="Arial"/>
        <sz val="10.0"/>
      </rPr>
      <t>)</t>
    </r>
    <r>
      <rPr>
        <rFont val="ＭＳ Ｐゴシック"/>
        <sz val="10.0"/>
      </rPr>
      <t>と圭子</t>
    </r>
    <r>
      <rPr>
        <rFont val="Arial"/>
        <sz val="10.0"/>
      </rPr>
      <t>(</t>
    </r>
    <r>
      <rPr>
        <rFont val="ＭＳ Ｐゴシック"/>
        <sz val="10.0"/>
      </rPr>
      <t>三浦理恵子</t>
    </r>
    <r>
      <rPr>
        <rFont val="Arial"/>
        <sz val="10.0"/>
      </rPr>
      <t>)</t>
    </r>
    <r>
      <rPr>
        <rFont val="ＭＳ Ｐゴシック"/>
        <sz val="10.0"/>
      </rPr>
      <t>は、桑野を呼び出し、娘からバイトの理由を聞きだして、辞めさせるよう説得してほしいと頼む。渋々了承した桑野は、一人でメイドカフェに潜入。ゆみは伯父の突然の来店に驚くものの、事態を察し、メイドカフェでバイトをしている意外な理由を打ち明ける。</t>
    </r>
    <r>
      <rPr>
        <rFont val="Arial"/>
        <sz val="10.0"/>
      </rPr>
      <t xml:space="preserve">    </t>
    </r>
    <r>
      <rPr>
        <rFont val="ＭＳ Ｐゴシック"/>
        <sz val="10.0"/>
      </rPr>
      <t>周囲の後押しもあって、ようやく結婚式に出席することになった桑野に、英治は主賓スピーチをお願いする。桑野にスピーチさせたらロクなことにならないなどと周りは言うが、英治にとって桑野はある意味親以上の恩人。英治は周りが何と言おうと自分と桑野の間には</t>
    </r>
    <r>
      <rPr>
        <rFont val="Arial"/>
        <sz val="10.0"/>
      </rPr>
      <t>“</t>
    </r>
    <r>
      <rPr>
        <rFont val="ＭＳ Ｐゴシック"/>
        <sz val="10.0"/>
      </rPr>
      <t>絆</t>
    </r>
    <r>
      <rPr>
        <rFont val="Arial"/>
        <sz val="10.0"/>
      </rPr>
      <t>"</t>
    </r>
    <r>
      <rPr>
        <rFont val="ＭＳ Ｐゴシック"/>
        <sz val="10.0"/>
      </rPr>
      <t>があると信じていたが、スピーチに気が進まない桑野から二人の絆すらも否定するような発言をされ、失望する。見かねたまどかが、仲裁役を買って出ようと桑野を呼び出すが</t>
    </r>
    <r>
      <rPr>
        <rFont val="Arial"/>
        <sz val="10.0"/>
      </rPr>
      <t>…</t>
    </r>
    <r>
      <rPr>
        <rFont val="ＭＳ Ｐゴシック"/>
        <sz val="10.0"/>
      </rPr>
      <t>。</t>
    </r>
  </si>
  <si>
    <t>恩人である桑野(阿部寛)に桜子(咲妃みゆ)との結婚を認めてもらい、いよいよ式に向けて準備を始める英治(塚本高史)。しかし、肝心の桑野は結婚式に出席してほしいというまな弟子の言葉に渋い表情。まどか(吉田羊)や有希江(稲森いずみ)も英治たちを援護するが、結局、桑野は出席を明言せず、あいまいな返事ではぐらかす。    そんななか、桑野の姪のゆみ(平祐奈)がメイドカフェでバイトしていると知った中川(尾美としのり)と圭子(三浦理恵子)は、桑野を呼び出し、娘からバイトの理由を聞きだして、辞めさせるよう説得してほしいと頼む。渋々了承した桑野は、一人でメイドカフェに潜入。ゆみは伯父の突然の来店に驚くものの、事態を察し、メイドカフェでバイトをしている意外な理由を打ち明ける。    周囲の後押しもあって、ようやく結婚式に出席することになった桑野に、英治は主賓スピーチをお願いする。桑野にスピーチさせたらロクなことにならないなどと周りは言うが、英治にとって桑野はある意味親以上の恩人。英治は周りが何と言おうと自分と桑野の間には“絆"があると信じていたが、スピーチに気が進まない桑野から二人の絆すらも否定するような発言をされ、失望する。見かねたまどかが、仲裁役を買って出ようと桑野を呼び出すが…。</t>
  </si>
  <si>
    <t>番組名まだ結婚できない男【偏屈男が素直になって悪いか!!】　#09</t>
  </si>
  <si>
    <r>
      <rPr>
        <rFont val="ＭＳ Ｐゴシック"/>
        <sz val="10.0"/>
      </rPr>
      <t>桑野</t>
    </r>
    <r>
      <rPr>
        <rFont val="Arial"/>
        <sz val="10.0"/>
      </rPr>
      <t>(</t>
    </r>
    <r>
      <rPr>
        <rFont val="ＭＳ Ｐゴシック"/>
        <sz val="10.0"/>
      </rPr>
      <t>阿部寛</t>
    </r>
    <r>
      <rPr>
        <rFont val="Arial"/>
        <sz val="10.0"/>
      </rPr>
      <t>)</t>
    </r>
    <r>
      <rPr>
        <rFont val="ＭＳ Ｐゴシック"/>
        <sz val="10.0"/>
      </rPr>
      <t>が仕事中に倒れ、中川</t>
    </r>
    <r>
      <rPr>
        <rFont val="Arial"/>
        <sz val="10.0"/>
      </rPr>
      <t>(</t>
    </r>
    <r>
      <rPr>
        <rFont val="ＭＳ Ｐゴシック"/>
        <sz val="10.0"/>
      </rPr>
      <t>尾美としのり</t>
    </r>
    <r>
      <rPr>
        <rFont val="Arial"/>
        <sz val="10.0"/>
      </rPr>
      <t>)</t>
    </r>
    <r>
      <rPr>
        <rFont val="ＭＳ Ｐゴシック"/>
        <sz val="10.0"/>
      </rPr>
      <t>の病院に運び込まれる。見舞いに訪れたまどか</t>
    </r>
    <r>
      <rPr>
        <rFont val="Arial"/>
        <sz val="10.0"/>
      </rPr>
      <t>(</t>
    </r>
    <r>
      <rPr>
        <rFont val="ＭＳ Ｐゴシック"/>
        <sz val="10.0"/>
      </rPr>
      <t>吉田羊</t>
    </r>
    <r>
      <rPr>
        <rFont val="Arial"/>
        <sz val="10.0"/>
      </rPr>
      <t>)</t>
    </r>
    <r>
      <rPr>
        <rFont val="ＭＳ Ｐゴシック"/>
        <sz val="10.0"/>
      </rPr>
      <t>、有希江</t>
    </r>
    <r>
      <rPr>
        <rFont val="Arial"/>
        <sz val="10.0"/>
      </rPr>
      <t>(</t>
    </r>
    <r>
      <rPr>
        <rFont val="ＭＳ Ｐゴシック"/>
        <sz val="10.0"/>
      </rPr>
      <t>稲森いずみ</t>
    </r>
    <r>
      <rPr>
        <rFont val="Arial"/>
        <sz val="10.0"/>
      </rPr>
      <t>)</t>
    </r>
    <r>
      <rPr>
        <rFont val="ＭＳ Ｐゴシック"/>
        <sz val="10.0"/>
      </rPr>
      <t>、早紀</t>
    </r>
    <r>
      <rPr>
        <rFont val="Arial"/>
        <sz val="10.0"/>
      </rPr>
      <t>(</t>
    </r>
    <r>
      <rPr>
        <rFont val="ＭＳ Ｐゴシック"/>
        <sz val="10.0"/>
      </rPr>
      <t>深川麻衣</t>
    </r>
    <r>
      <rPr>
        <rFont val="Arial"/>
        <sz val="10.0"/>
      </rPr>
      <t>)</t>
    </r>
    <r>
      <rPr>
        <rFont val="ＭＳ Ｐゴシック"/>
        <sz val="10.0"/>
      </rPr>
      <t>は、皮肉も全く言わず、いつになく素直で別人のような態度の桑野に大いに驚く。病気をきっかけに桑野が</t>
    </r>
    <r>
      <rPr>
        <rFont val="Arial"/>
        <sz val="10.0"/>
      </rPr>
      <t>“</t>
    </r>
    <r>
      <rPr>
        <rFont val="ＭＳ Ｐゴシック"/>
        <sz val="10.0"/>
      </rPr>
      <t>いい人</t>
    </r>
    <r>
      <rPr>
        <rFont val="Arial"/>
        <sz val="10.0"/>
      </rPr>
      <t>"</t>
    </r>
    <r>
      <rPr>
        <rFont val="ＭＳ Ｐゴシック"/>
        <sz val="10.0"/>
      </rPr>
      <t>になったと喜ぶ有希江と早紀に対して、普段から桑野とケンカばかりのまどかだけは、素直なのはあくまで一時的なものに違いないと疑うが、有希江から「桑野さんに厳しすぎ」と指摘されてしまう。</t>
    </r>
    <r>
      <rPr>
        <rFont val="Arial"/>
        <sz val="10.0"/>
      </rPr>
      <t xml:space="preserve">    </t>
    </r>
    <r>
      <rPr>
        <rFont val="ＭＳ Ｐゴシック"/>
        <sz val="10.0"/>
      </rPr>
      <t>案の定、まどかは回復した桑野とまたもやささいなことで言い争いに。有希江や早紀には好意的なのに、なぜ自分には皮肉ばかり言うのかー。納得がいかないまどかに対し、早紀は、男と女の間には言葉と感情が裏腹になることがあると力説。それを体現した自分の舞台を見にきてほしいと、まどかたちを誘う。数日後、都合が悪くなり、舞台に行けなくなったまどかが困っていると、偶然桑野がやって来て、自分が代わりに行くと言い出す。早紀が、桑野には来てほしくないと言っていたことを思い出したまどかは慌てるが、一度行く気になった桑野を止められず、結局、桑野と有希江が舞台を見に行くことに。まどかは</t>
    </r>
    <r>
      <rPr>
        <rFont val="Arial"/>
        <sz val="10.0"/>
      </rPr>
      <t>2</t>
    </r>
    <r>
      <rPr>
        <rFont val="ＭＳ Ｐゴシック"/>
        <sz val="10.0"/>
      </rPr>
      <t>人のデート</t>
    </r>
    <r>
      <rPr>
        <rFont val="Arial"/>
        <sz val="10.0"/>
      </rPr>
      <t>(?)</t>
    </r>
    <r>
      <rPr>
        <rFont val="ＭＳ Ｐゴシック"/>
        <sz val="10.0"/>
      </rPr>
      <t>が気になって</t>
    </r>
    <r>
      <rPr>
        <rFont val="Arial"/>
        <sz val="10.0"/>
      </rPr>
      <t>…</t>
    </r>
    <r>
      <rPr>
        <rFont val="ＭＳ Ｐゴシック"/>
        <sz val="10.0"/>
      </rPr>
      <t>。</t>
    </r>
  </si>
  <si>
    <t>桑野(阿部寛)が仕事中に倒れ、中川(尾美としのり)の病院に運び込まれる。見舞いに訪れたまどか(吉田羊)、有希江(稲森いずみ)、早紀(深川麻衣)は、皮肉も全く言わず、いつになく素直で別人のような態度の桑野に大いに驚く。病気をきっかけに桑野が“いい人"になったと喜ぶ有希江と早紀に対して、普段から桑野とケンカばかりのまどかだけは、素直なのはあくまで一時的なものに違いないと疑うが、有希江から「桑野さんに厳しすぎ」と指摘されてしまう。    案の定、まどかは回復した桑野とまたもやささいなことで言い争いに。有希江や早紀には好意的なのに、なぜ自分には皮肉ばかり言うのかー。納得がいかないまどかに対し、早紀は、男と女の間には言葉と感情が裏腹になることがあると力説。それを体現した自分の舞台を見にきてほしいと、まどかたちを誘う。数日後、都合が悪くなり、舞台に行けなくなったまどかが困っていると、偶然桑野がやって来て、自分が代わりに行くと言い出す。早紀が、桑野には来てほしくないと言っていたことを思い出したまどかは慌てるが、一度行く気になった桑野を止められず、結局、桑野と有希江が舞台を見に行くことに。まどかは2人のデート(?)が気になって…。</t>
  </si>
  <si>
    <t>番組名まだ結婚できない男【幸せになりたくて悪いか!!】　#10</t>
  </si>
  <si>
    <r>
      <rPr>
        <rFont val="ＭＳ Ｐゴシック"/>
        <sz val="10.0"/>
      </rPr>
      <t>桑野</t>
    </r>
    <r>
      <rPr>
        <rFont val="Arial"/>
        <sz val="10.0"/>
      </rPr>
      <t>(</t>
    </r>
    <r>
      <rPr>
        <rFont val="ＭＳ Ｐゴシック"/>
        <sz val="10.0"/>
      </rPr>
      <t>阿部寛</t>
    </r>
    <r>
      <rPr>
        <rFont val="Arial"/>
        <sz val="10.0"/>
      </rPr>
      <t>)</t>
    </r>
    <r>
      <rPr>
        <rFont val="ＭＳ Ｐゴシック"/>
        <sz val="10.0"/>
      </rPr>
      <t>が家の設計を担当している木村</t>
    </r>
    <r>
      <rPr>
        <rFont val="Arial"/>
        <sz val="10.0"/>
      </rPr>
      <t>(</t>
    </r>
    <r>
      <rPr>
        <rFont val="ＭＳ Ｐゴシック"/>
        <sz val="10.0"/>
      </rPr>
      <t>伊藤正之</t>
    </r>
    <r>
      <rPr>
        <rFont val="Arial"/>
        <sz val="10.0"/>
      </rPr>
      <t>)</t>
    </r>
    <r>
      <rPr>
        <rFont val="ＭＳ Ｐゴシック"/>
        <sz val="10.0"/>
      </rPr>
      <t>と離婚しようと思っている妻が建築差し止めの訴訟を起こす。しかも妻の弁護人はまどか</t>
    </r>
    <r>
      <rPr>
        <rFont val="Arial"/>
        <sz val="10.0"/>
      </rPr>
      <t>(</t>
    </r>
    <r>
      <rPr>
        <rFont val="ＭＳ Ｐゴシック"/>
        <sz val="10.0"/>
      </rPr>
      <t>吉田羊</t>
    </r>
    <r>
      <rPr>
        <rFont val="Arial"/>
        <sz val="10.0"/>
      </rPr>
      <t>)</t>
    </r>
    <r>
      <rPr>
        <rFont val="ＭＳ Ｐゴシック"/>
        <sz val="10.0"/>
      </rPr>
      <t>で、夫側の証人として出廷することになった桑野は、法廷でまどかと対峙することになる。</t>
    </r>
    <r>
      <rPr>
        <rFont val="Arial"/>
        <sz val="10.0"/>
      </rPr>
      <t xml:space="preserve">  </t>
    </r>
    <r>
      <rPr>
        <rFont val="ＭＳ Ｐゴシック"/>
        <sz val="10.0"/>
      </rPr>
      <t>有希江</t>
    </r>
    <r>
      <rPr>
        <rFont val="Arial"/>
        <sz val="10.0"/>
      </rPr>
      <t>(</t>
    </r>
    <r>
      <rPr>
        <rFont val="ＭＳ Ｐゴシック"/>
        <sz val="10.0"/>
      </rPr>
      <t>稲森いずみ</t>
    </r>
    <r>
      <rPr>
        <rFont val="Arial"/>
        <sz val="10.0"/>
      </rPr>
      <t>)</t>
    </r>
    <r>
      <rPr>
        <rFont val="ＭＳ Ｐゴシック"/>
        <sz val="10.0"/>
      </rPr>
      <t>や早紀</t>
    </r>
    <r>
      <rPr>
        <rFont val="Arial"/>
        <sz val="10.0"/>
      </rPr>
      <t>(</t>
    </r>
    <r>
      <rPr>
        <rFont val="ＭＳ Ｐゴシック"/>
        <sz val="10.0"/>
      </rPr>
      <t>深川麻衣</t>
    </r>
    <r>
      <rPr>
        <rFont val="Arial"/>
        <sz val="10.0"/>
      </rPr>
      <t>)</t>
    </r>
    <r>
      <rPr>
        <rFont val="ＭＳ Ｐゴシック"/>
        <sz val="10.0"/>
      </rPr>
      <t>が見守るなか、開かれた裁判では、一同が心配した通り、桑野とまどかの論争がヒートアップ。しかし、まどかのある言葉が桑野の胸に響く。また、そんな</t>
    </r>
    <r>
      <rPr>
        <rFont val="Arial"/>
        <sz val="10.0"/>
      </rPr>
      <t>2</t>
    </r>
    <r>
      <rPr>
        <rFont val="ＭＳ Ｐゴシック"/>
        <sz val="10.0"/>
      </rPr>
      <t>人の姿を見た有希江の胸にもある思いが・・・。</t>
    </r>
    <r>
      <rPr>
        <rFont val="Arial"/>
        <sz val="10.0"/>
      </rPr>
      <t xml:space="preserve">    </t>
    </r>
    <r>
      <rPr>
        <rFont val="ＭＳ Ｐゴシック"/>
        <sz val="10.0"/>
      </rPr>
      <t>そんななか、長野で暮らす母親の体調が良くないと知ったまどかは、地元に戻って母親の弁護士事務所を継ぐべきか迷っていた。話を聞いた有希江は複雑な心境。一方、事情を知らない桑野は「見てほしいものがある」とまどかの事務所へやって来て、ある設計図を取り出す</t>
    </r>
    <r>
      <rPr>
        <rFont val="Arial"/>
        <sz val="10.0"/>
      </rPr>
      <t>…</t>
    </r>
    <r>
      <rPr>
        <rFont val="ＭＳ Ｐゴシック"/>
        <sz val="10.0"/>
      </rPr>
      <t>。</t>
    </r>
    <r>
      <rPr>
        <rFont val="Arial"/>
        <sz val="10.0"/>
      </rPr>
      <t xml:space="preserve">    </t>
    </r>
    <r>
      <rPr>
        <rFont val="ＭＳ Ｐゴシック"/>
        <sz val="10.0"/>
      </rPr>
      <t>持ち前の偏屈さと独りを愛する性格ゆえ、結婚はもちろん恋人も作らず、これまで独身を謳歌してきた桑野。しかし、ケンカしながらも関係を深めてきたまどか、桑野を好意的に見守ってきた有希江が、揺らぐことのなかった桑野の人生観に変化をもたらすのか</t>
    </r>
    <r>
      <rPr>
        <rFont val="Arial"/>
        <sz val="10.0"/>
      </rPr>
      <t>?</t>
    </r>
    <r>
      <rPr>
        <rFont val="ＭＳ Ｐゴシック"/>
        <sz val="10.0"/>
      </rPr>
      <t>人生</t>
    </r>
    <r>
      <rPr>
        <rFont val="Arial"/>
        <sz val="10.0"/>
      </rPr>
      <t>100</t>
    </r>
    <r>
      <rPr>
        <rFont val="ＭＳ Ｐゴシック"/>
        <sz val="10.0"/>
      </rPr>
      <t>年時代。桑野が最後に選ぶ幸せとは・・・</t>
    </r>
    <r>
      <rPr>
        <rFont val="Arial"/>
        <sz val="10.0"/>
      </rPr>
      <t>?</t>
    </r>
  </si>
  <si>
    <t>桑野(阿部寛)が家の設計を担当している木村(伊藤正之)と離婚しようと思っている妻が建築差し止めの訴訟を起こす。しかも妻の弁護人はまどか(吉田羊)で、夫側の証人として出廷することになった桑野は、法廷でまどかと対峙することになる。  有希江(稲森いずみ)や早紀(深川麻衣)が見守るなか、開かれた裁判では、一同が心配した通り、桑野とまどかの論争がヒートアップ。しかし、まどかのある言葉が桑野の胸に響く。また、そんな2人の姿を見た有希江の胸にもある思いが・・・。    そんななか、長野で暮らす母親の体調が良くないと知ったまどかは、地元に戻って母親の弁護士事務所を継ぐべきか迷っていた。話を聞いた有希江は複雑な心境。一方、事情を知らない桑野は「見てほしいものがある」とまどかの事務所へやって来て、ある設計図を取り出す…。    持ち前の偏屈さと独りを愛する性格ゆえ、結婚はもちろん恋人も作らず、これまで独身を謳歌してきた桑野。しかし、ケンカしながらも関係を深めてきたまどか、桑野を好意的に見守ってきた有希江が、揺らぐことのなかった桑野の人生観に変化をもたらすのか?人生100年時代。桑野が最後に選ぶ幸せとは・・・?</t>
  </si>
  <si>
    <t>1910_CX_木22</t>
  </si>
  <si>
    <t>モトカレマニア</t>
  </si>
  <si>
    <t>番組名&lt;木曜劇場&gt;モトカレマニア【初回拡大SP!最低で最高の元カレ現る】　#01</t>
  </si>
  <si>
    <t>['22', '23']</t>
  </si>
  <si>
    <r>
      <rPr>
        <rFont val="ＭＳ Ｐゴシック"/>
        <sz val="10.0"/>
      </rPr>
      <t>現在失業中の</t>
    </r>
    <r>
      <rPr>
        <rFont val="Arial"/>
        <sz val="10.0"/>
      </rPr>
      <t>27</t>
    </r>
    <r>
      <rPr>
        <rFont val="ＭＳ Ｐゴシック"/>
        <sz val="10.0"/>
      </rPr>
      <t>歳独身・難波ユリカ</t>
    </r>
    <r>
      <rPr>
        <rFont val="Arial"/>
        <sz val="10.0"/>
      </rPr>
      <t>(</t>
    </r>
    <r>
      <rPr>
        <rFont val="ＭＳ Ｐゴシック"/>
        <sz val="10.0"/>
      </rPr>
      <t>新木優子</t>
    </r>
    <r>
      <rPr>
        <rFont val="Arial"/>
        <sz val="10.0"/>
      </rPr>
      <t>)</t>
    </r>
    <r>
      <rPr>
        <rFont val="ＭＳ Ｐゴシック"/>
        <sz val="10.0"/>
      </rPr>
      <t>は、見た目にも気を使い、コミュニケーション下手でもないのにうまく恋愛ができない。その理由は</t>
    </r>
    <r>
      <rPr>
        <rFont val="Arial"/>
        <sz val="10.0"/>
      </rPr>
      <t>“</t>
    </r>
    <r>
      <rPr>
        <rFont val="ＭＳ Ｐゴシック"/>
        <sz val="10.0"/>
      </rPr>
      <t>マコチ</t>
    </r>
    <r>
      <rPr>
        <rFont val="Arial"/>
        <sz val="10.0"/>
      </rPr>
      <t>"</t>
    </r>
    <r>
      <rPr>
        <rFont val="ＭＳ Ｐゴシック"/>
        <sz val="10.0"/>
      </rPr>
      <t>こと元カレの斉藤真</t>
    </r>
    <r>
      <rPr>
        <rFont val="Arial"/>
        <sz val="10.0"/>
      </rPr>
      <t>(</t>
    </r>
    <r>
      <rPr>
        <rFont val="ＭＳ Ｐゴシック"/>
        <sz val="10.0"/>
      </rPr>
      <t>高良健吾</t>
    </r>
    <r>
      <rPr>
        <rFont val="Arial"/>
        <sz val="10.0"/>
      </rPr>
      <t>)</t>
    </r>
    <r>
      <rPr>
        <rFont val="ＭＳ Ｐゴシック"/>
        <sz val="10.0"/>
      </rPr>
      <t>にあった。ユリカは、初めての恋愛でマコチと幸せな日々を過ごしたが、ちょっとしたすれ違いから彼を振ってしまう。だが、次に付き合った男はクズ、その次はもっとクズ</t>
    </r>
    <r>
      <rPr>
        <rFont val="Arial"/>
        <sz val="10.0"/>
      </rPr>
      <t>…</t>
    </r>
    <r>
      <rPr>
        <rFont val="ＭＳ Ｐゴシック"/>
        <sz val="10.0"/>
      </rPr>
      <t>という失敗を経てユリカが出した答えは</t>
    </r>
    <r>
      <rPr>
        <rFont val="Arial"/>
        <sz val="10.0"/>
      </rPr>
      <t>“</t>
    </r>
    <r>
      <rPr>
        <rFont val="ＭＳ Ｐゴシック"/>
        <sz val="10.0"/>
      </rPr>
      <t>幸せだった過去の恋の時間に浸る</t>
    </r>
    <r>
      <rPr>
        <rFont val="Arial"/>
        <sz val="10.0"/>
      </rPr>
      <t>"</t>
    </r>
    <r>
      <rPr>
        <rFont val="ＭＳ Ｐゴシック"/>
        <sz val="10.0"/>
      </rPr>
      <t>ことだった。</t>
    </r>
    <r>
      <rPr>
        <rFont val="Arial"/>
        <sz val="10.0"/>
      </rPr>
      <t xml:space="preserve">  </t>
    </r>
    <r>
      <rPr>
        <rFont val="ＭＳ Ｐゴシック"/>
        <sz val="10.0"/>
      </rPr>
      <t>実体験を元にした恋愛描写で人気の小説家・丸の内さくら</t>
    </r>
    <r>
      <rPr>
        <rFont val="Arial"/>
        <sz val="10.0"/>
      </rPr>
      <t>(</t>
    </r>
    <r>
      <rPr>
        <rFont val="ＭＳ Ｐゴシック"/>
        <sz val="10.0"/>
      </rPr>
      <t>山口紗弥加</t>
    </r>
    <r>
      <rPr>
        <rFont val="Arial"/>
        <sz val="10.0"/>
      </rPr>
      <t>)</t>
    </r>
    <r>
      <rPr>
        <rFont val="ＭＳ Ｐゴシック"/>
        <sz val="10.0"/>
      </rPr>
      <t>の小説を愛読し、毎朝</t>
    </r>
    <r>
      <rPr>
        <rFont val="Arial"/>
        <sz val="10.0"/>
      </rPr>
      <t>SNS</t>
    </r>
    <r>
      <rPr>
        <rFont val="ＭＳ Ｐゴシック"/>
        <sz val="10.0"/>
      </rPr>
      <t>でマコチのことを検索しているユリカは、初対面の男性に対し、マコチとのかすかな共通点を見つけることに喜びを感じていた。親友のネイリスト・周防ひろ美</t>
    </r>
    <r>
      <rPr>
        <rFont val="Arial"/>
        <sz val="10.0"/>
      </rPr>
      <t>(</t>
    </r>
    <r>
      <rPr>
        <rFont val="ＭＳ Ｐゴシック"/>
        <sz val="10.0"/>
      </rPr>
      <t>よしこ</t>
    </r>
    <r>
      <rPr>
        <rFont val="Arial"/>
        <sz val="10.0"/>
      </rPr>
      <t>)</t>
    </r>
    <r>
      <rPr>
        <rFont val="ＭＳ Ｐゴシック"/>
        <sz val="10.0"/>
      </rPr>
      <t>は「現実を見ようよ」とユリカに助言するが</t>
    </r>
    <r>
      <rPr>
        <rFont val="Arial"/>
        <sz val="10.0"/>
      </rPr>
      <t>…</t>
    </r>
    <r>
      <rPr>
        <rFont val="ＭＳ Ｐゴシック"/>
        <sz val="10.0"/>
      </rPr>
      <t>。</t>
    </r>
    <r>
      <rPr>
        <rFont val="Arial"/>
        <sz val="10.0"/>
      </rPr>
      <t xml:space="preserve">  </t>
    </r>
    <r>
      <rPr>
        <rFont val="ＭＳ Ｐゴシック"/>
        <sz val="10.0"/>
      </rPr>
      <t>アパートの更新が近づいていたユリカは、チロリアン不動産の面接を受ける。社長の安藤一朗</t>
    </r>
    <r>
      <rPr>
        <rFont val="Arial"/>
        <sz val="10.0"/>
      </rPr>
      <t>(</t>
    </r>
    <r>
      <rPr>
        <rFont val="ＭＳ Ｐゴシック"/>
        <sz val="10.0"/>
      </rPr>
      <t>小手伸也</t>
    </r>
    <r>
      <rPr>
        <rFont val="Arial"/>
        <sz val="10.0"/>
      </rPr>
      <t>)</t>
    </r>
    <r>
      <rPr>
        <rFont val="ＭＳ Ｐゴシック"/>
        <sz val="10.0"/>
      </rPr>
      <t>は、部下の大沢将</t>
    </r>
    <r>
      <rPr>
        <rFont val="Arial"/>
        <sz val="10.0"/>
      </rPr>
      <t>(</t>
    </r>
    <r>
      <rPr>
        <rFont val="ＭＳ Ｐゴシック"/>
        <sz val="10.0"/>
      </rPr>
      <t>森田甘路</t>
    </r>
    <r>
      <rPr>
        <rFont val="Arial"/>
        <sz val="10.0"/>
      </rPr>
      <t>)</t>
    </r>
    <r>
      <rPr>
        <rFont val="ＭＳ Ｐゴシック"/>
        <sz val="10.0"/>
      </rPr>
      <t>、白井忠文</t>
    </r>
    <r>
      <rPr>
        <rFont val="Arial"/>
        <sz val="10.0"/>
      </rPr>
      <t>(</t>
    </r>
    <r>
      <rPr>
        <rFont val="ＭＳ Ｐゴシック"/>
        <sz val="10.0"/>
      </rPr>
      <t>関口メンディー</t>
    </r>
    <r>
      <rPr>
        <rFont val="Arial"/>
        <sz val="10.0"/>
      </rPr>
      <t>)</t>
    </r>
    <r>
      <rPr>
        <rFont val="ＭＳ Ｐゴシック"/>
        <sz val="10.0"/>
      </rPr>
      <t>と共に</t>
    </r>
    <r>
      <rPr>
        <rFont val="Arial"/>
        <sz val="10.0"/>
      </rPr>
      <t>“</t>
    </r>
    <r>
      <rPr>
        <rFont val="ＭＳ Ｐゴシック"/>
        <sz val="10.0"/>
      </rPr>
      <t>ハラミ会</t>
    </r>
    <r>
      <rPr>
        <rFont val="Arial"/>
        <sz val="10.0"/>
      </rPr>
      <t>"(</t>
    </r>
    <r>
      <rPr>
        <rFont val="ＭＳ Ｐゴシック"/>
        <sz val="10.0"/>
      </rPr>
      <t>ハラスメントを未然に防ぐ会</t>
    </r>
    <r>
      <rPr>
        <rFont val="Arial"/>
        <sz val="10.0"/>
      </rPr>
      <t>)</t>
    </r>
    <r>
      <rPr>
        <rFont val="ＭＳ Ｐゴシック"/>
        <sz val="10.0"/>
      </rPr>
      <t>を結成するほどリスクヘッジに敏感な男だが、ユリカの強引さに押し切られ、仮採用を決める。そこでユリカが初めて担当した客が、大手食品会社勤務の山下章生</t>
    </r>
    <r>
      <rPr>
        <rFont val="Arial"/>
        <sz val="10.0"/>
      </rPr>
      <t>(</t>
    </r>
    <r>
      <rPr>
        <rFont val="ＭＳ Ｐゴシック"/>
        <sz val="10.0"/>
      </rPr>
      <t>浜野謙太</t>
    </r>
    <r>
      <rPr>
        <rFont val="Arial"/>
        <sz val="10.0"/>
      </rPr>
      <t>)</t>
    </r>
    <r>
      <rPr>
        <rFont val="ＭＳ Ｐゴシック"/>
        <sz val="10.0"/>
      </rPr>
      <t>だった。</t>
    </r>
    <r>
      <rPr>
        <rFont val="Arial"/>
        <sz val="10.0"/>
      </rPr>
      <t xml:space="preserve">  </t>
    </r>
    <r>
      <rPr>
        <rFont val="ＭＳ Ｐゴシック"/>
        <sz val="10.0"/>
      </rPr>
      <t>そんな折、ユリカは出張中だったもう</t>
    </r>
    <r>
      <rPr>
        <rFont val="Arial"/>
        <sz val="10.0"/>
      </rPr>
      <t>1</t>
    </r>
    <r>
      <rPr>
        <rFont val="ＭＳ Ｐゴシック"/>
        <sz val="10.0"/>
      </rPr>
      <t>人の社員と顔を合わせる。何とそれは、あのマコチだった</t>
    </r>
    <r>
      <rPr>
        <rFont val="Arial"/>
        <sz val="10.0"/>
      </rPr>
      <t>…</t>
    </r>
    <r>
      <rPr>
        <rFont val="ＭＳ Ｐゴシック"/>
        <sz val="10.0"/>
      </rPr>
      <t>。</t>
    </r>
  </si>
  <si>
    <t>現在失業中の27歳独身・難波ユリカ(新木優子)は、見た目にも気を使い、コミュニケーション下手でもないのにうまく恋愛ができない。その理由は“マコチ"こと元カレの斉藤真(高良健吾)にあった。ユリカは、初めての恋愛でマコチと幸せな日々を過ごしたが、ちょっとしたすれ違いから彼を振ってしまう。だが、次に付き合った男はクズ、その次はもっとクズ…という失敗を経てユリカが出した答えは“幸せだった過去の恋の時間に浸る"ことだった。  実体験を元にした恋愛描写で人気の小説家・丸の内さくら(山口紗弥加)の小説を愛読し、毎朝SNSでマコチのことを検索しているユリカは、初対面の男性に対し、マコチとのかすかな共通点を見つけることに喜びを感じていた。親友のネイリスト・周防ひろ美(よしこ)は「現実を見ようよ」とユリカに助言するが…。  アパートの更新が近づいていたユリカは、チロリアン不動産の面接を受ける。社長の安藤一朗(小手伸也)は、部下の大沢将(森田甘路)、白井忠文(関口メンディー)と共に“ハラミ会"(ハラスメントを未然に防ぐ会)を結成するほどリスクヘッジに敏感な男だが、ユリカの強引さに押し切られ、仮採用を決める。そこでユリカが初めて担当した客が、大手食品会社勤務の山下章生(浜野謙太)だった。  そんな折、ユリカは出張中だったもう1人の社員と顔を合わせる。何とそれは、あのマコチだった…。</t>
  </si>
  <si>
    <t>番組名&lt;木曜劇場&gt;モトカレマニア【選ばれる恋か選ぶ恋か…三角関係に急展開】　#02</t>
  </si>
  <si>
    <t>['22', '22']</t>
  </si>
  <si>
    <r>
      <rPr>
        <rFont val="ＭＳ Ｐゴシック"/>
        <sz val="10.0"/>
      </rPr>
      <t>ユリカ</t>
    </r>
    <r>
      <rPr>
        <rFont val="Arial"/>
        <sz val="10.0"/>
      </rPr>
      <t>(</t>
    </r>
    <r>
      <rPr>
        <rFont val="ＭＳ Ｐゴシック"/>
        <sz val="10.0"/>
      </rPr>
      <t>新木優子</t>
    </r>
    <r>
      <rPr>
        <rFont val="Arial"/>
        <sz val="10.0"/>
      </rPr>
      <t>)</t>
    </r>
    <r>
      <rPr>
        <rFont val="ＭＳ Ｐゴシック"/>
        <sz val="10.0"/>
      </rPr>
      <t>は、再会したばかりの元カレ・マコチ</t>
    </r>
    <r>
      <rPr>
        <rFont val="Arial"/>
        <sz val="10.0"/>
      </rPr>
      <t>(</t>
    </r>
    <r>
      <rPr>
        <rFont val="ＭＳ Ｐゴシック"/>
        <sz val="10.0"/>
      </rPr>
      <t>高良健吾</t>
    </r>
    <r>
      <rPr>
        <rFont val="Arial"/>
        <sz val="10.0"/>
      </rPr>
      <t>)</t>
    </r>
    <r>
      <rPr>
        <rFont val="ＭＳ Ｐゴシック"/>
        <sz val="10.0"/>
      </rPr>
      <t>からマンションの購入を勧められ、ショックを受けていた。マコチからその話を聞いた安藤</t>
    </r>
    <r>
      <rPr>
        <rFont val="Arial"/>
        <sz val="10.0"/>
      </rPr>
      <t>(</t>
    </r>
    <r>
      <rPr>
        <rFont val="ＭＳ Ｐゴシック"/>
        <sz val="10.0"/>
      </rPr>
      <t>小手伸也</t>
    </r>
    <r>
      <rPr>
        <rFont val="Arial"/>
        <sz val="10.0"/>
      </rPr>
      <t>)</t>
    </r>
    <r>
      <rPr>
        <rFont val="ＭＳ Ｐゴシック"/>
        <sz val="10.0"/>
      </rPr>
      <t>らチロリアン不動産の面々は、ユリカの気持ちを察し、とりあえず謝った方がいいと告げる。マコチはその助言に従ってユリカに電話するが</t>
    </r>
    <r>
      <rPr>
        <rFont val="Arial"/>
        <sz val="10.0"/>
      </rPr>
      <t>…</t>
    </r>
    <r>
      <rPr>
        <rFont val="ＭＳ Ｐゴシック"/>
        <sz val="10.0"/>
      </rPr>
      <t>。</t>
    </r>
    <r>
      <rPr>
        <rFont val="Arial"/>
        <sz val="10.0"/>
      </rPr>
      <t xml:space="preserve">  </t>
    </r>
    <r>
      <rPr>
        <rFont val="ＭＳ Ｐゴシック"/>
        <sz val="10.0"/>
      </rPr>
      <t>その頃ユリカは、山下</t>
    </r>
    <r>
      <rPr>
        <rFont val="Arial"/>
        <sz val="10.0"/>
      </rPr>
      <t>(</t>
    </r>
    <r>
      <rPr>
        <rFont val="ＭＳ Ｐゴシック"/>
        <sz val="10.0"/>
      </rPr>
      <t>浜野謙太</t>
    </r>
    <r>
      <rPr>
        <rFont val="Arial"/>
        <sz val="10.0"/>
      </rPr>
      <t>)</t>
    </r>
    <r>
      <rPr>
        <rFont val="ＭＳ Ｐゴシック"/>
        <sz val="10.0"/>
      </rPr>
      <t>と一緒にいた。そこで、山下が元カノの動向を追いかけている</t>
    </r>
    <r>
      <rPr>
        <rFont val="Arial"/>
        <sz val="10.0"/>
      </rPr>
      <t>“</t>
    </r>
    <r>
      <rPr>
        <rFont val="ＭＳ Ｐゴシック"/>
        <sz val="10.0"/>
      </rPr>
      <t>モトカノマニア</t>
    </r>
    <r>
      <rPr>
        <rFont val="Arial"/>
        <sz val="10.0"/>
      </rPr>
      <t>"</t>
    </r>
    <r>
      <rPr>
        <rFont val="ＭＳ Ｐゴシック"/>
        <sz val="10.0"/>
      </rPr>
      <t>だと知るユリカ。その元カノとは、山下の部屋から見える看板広告のモデルにもなっている北海道在住のラジオパーソナリティー・来栖むぎ</t>
    </r>
    <r>
      <rPr>
        <rFont val="Arial"/>
        <sz val="10.0"/>
      </rPr>
      <t>(</t>
    </r>
    <r>
      <rPr>
        <rFont val="ＭＳ Ｐゴシック"/>
        <sz val="10.0"/>
      </rPr>
      <t>田中みな実</t>
    </r>
    <r>
      <rPr>
        <rFont val="Arial"/>
        <sz val="10.0"/>
      </rPr>
      <t>)</t>
    </r>
    <r>
      <rPr>
        <rFont val="ＭＳ Ｐゴシック"/>
        <sz val="10.0"/>
      </rPr>
      <t>だった。食べ歩きという同じ趣味を持っていたことが交際のきっかけだったらしい。</t>
    </r>
    <r>
      <rPr>
        <rFont val="Arial"/>
        <sz val="10.0"/>
      </rPr>
      <t xml:space="preserve">  </t>
    </r>
    <r>
      <rPr>
        <rFont val="ＭＳ Ｐゴシック"/>
        <sz val="10.0"/>
      </rPr>
      <t>ユリカは、そんな山下に自分も</t>
    </r>
    <r>
      <rPr>
        <rFont val="Arial"/>
        <sz val="10.0"/>
      </rPr>
      <t>“</t>
    </r>
    <r>
      <rPr>
        <rFont val="ＭＳ Ｐゴシック"/>
        <sz val="10.0"/>
      </rPr>
      <t>モトカレマニア</t>
    </r>
    <r>
      <rPr>
        <rFont val="Arial"/>
        <sz val="10.0"/>
      </rPr>
      <t>"</t>
    </r>
    <r>
      <rPr>
        <rFont val="ＭＳ Ｐゴシック"/>
        <sz val="10.0"/>
      </rPr>
      <t>だと告白。同じマニアとして大いに共感し合った</t>
    </r>
    <r>
      <rPr>
        <rFont val="Arial"/>
        <sz val="10.0"/>
      </rPr>
      <t>2</t>
    </r>
    <r>
      <rPr>
        <rFont val="ＭＳ Ｐゴシック"/>
        <sz val="10.0"/>
      </rPr>
      <t>人は、脱モトカレマニア、脱モトカノマニアを目指し、頭文字をとって脱</t>
    </r>
    <r>
      <rPr>
        <rFont val="Arial"/>
        <sz val="10.0"/>
      </rPr>
      <t>MKM</t>
    </r>
    <r>
      <rPr>
        <rFont val="ＭＳ Ｐゴシック"/>
        <sz val="10.0"/>
      </rPr>
      <t>同盟を結成する。時間をかけて友だち以上恋人未満の交際をしていくことで、徐々に現実への復帰を果たすことが目標だった。</t>
    </r>
    <r>
      <rPr>
        <rFont val="Arial"/>
        <sz val="10.0"/>
      </rPr>
      <t xml:space="preserve">  </t>
    </r>
    <r>
      <rPr>
        <rFont val="ＭＳ Ｐゴシック"/>
        <sz val="10.0"/>
      </rPr>
      <t>そんな中、山下と同じ食品会社に勤務する加賀千鶴</t>
    </r>
    <r>
      <rPr>
        <rFont val="Arial"/>
        <sz val="10.0"/>
      </rPr>
      <t>(</t>
    </r>
    <r>
      <rPr>
        <rFont val="ＭＳ Ｐゴシック"/>
        <sz val="10.0"/>
      </rPr>
      <t>趣里</t>
    </r>
    <r>
      <rPr>
        <rFont val="Arial"/>
        <sz val="10.0"/>
      </rPr>
      <t>)</t>
    </r>
    <r>
      <rPr>
        <rFont val="ＭＳ Ｐゴシック"/>
        <sz val="10.0"/>
      </rPr>
      <t>は、山下に興味を抱く。北海道から栄転してきた将来性と、魚の食べ方がキレイ、というのが理由。</t>
    </r>
    <r>
      <rPr>
        <rFont val="Arial"/>
        <sz val="10.0"/>
      </rPr>
      <t xml:space="preserve">  </t>
    </r>
    <r>
      <rPr>
        <rFont val="ＭＳ Ｐゴシック"/>
        <sz val="10.0"/>
      </rPr>
      <t>一方、マコチと一緒に暮らしている恋愛小説家の丸の内さくら</t>
    </r>
    <r>
      <rPr>
        <rFont val="Arial"/>
        <sz val="10.0"/>
      </rPr>
      <t>(</t>
    </r>
    <r>
      <rPr>
        <rFont val="ＭＳ Ｐゴシック"/>
        <sz val="10.0"/>
      </rPr>
      <t>山口紗弥加</t>
    </r>
    <r>
      <rPr>
        <rFont val="Arial"/>
        <sz val="10.0"/>
      </rPr>
      <t>)</t>
    </r>
    <r>
      <rPr>
        <rFont val="ＭＳ Ｐゴシック"/>
        <sz val="10.0"/>
      </rPr>
      <t>は、マコチの言動から彼が元カノと再会したことを知り</t>
    </r>
    <r>
      <rPr>
        <rFont val="Arial"/>
        <sz val="10.0"/>
      </rPr>
      <t>…</t>
    </r>
    <r>
      <rPr>
        <rFont val="ＭＳ Ｐゴシック"/>
        <sz val="10.0"/>
      </rPr>
      <t>。</t>
    </r>
  </si>
  <si>
    <t>ユリカ(新木優子)は、再会したばかりの元カレ・マコチ(高良健吾)からマンションの購入を勧められ、ショックを受けていた。マコチからその話を聞いた安藤(小手伸也)らチロリアン不動産の面々は、ユリカの気持ちを察し、とりあえず謝った方がいいと告げる。マコチはその助言に従ってユリカに電話するが…。  その頃ユリカは、山下(浜野謙太)と一緒にいた。そこで、山下が元カノの動向を追いかけている“モトカノマニア"だと知るユリカ。その元カノとは、山下の部屋から見える看板広告のモデルにもなっている北海道在住のラジオパーソナリティー・来栖むぎ(田中みな実)だった。食べ歩きという同じ趣味を持っていたことが交際のきっかけだったらしい。  ユリカは、そんな山下に自分も“モトカレマニア"だと告白。同じマニアとして大いに共感し合った2人は、脱モトカレマニア、脱モトカノマニアを目指し、頭文字をとって脱MKM同盟を結成する。時間をかけて友だち以上恋人未満の交際をしていくことで、徐々に現実への復帰を果たすことが目標だった。  そんな中、山下と同じ食品会社に勤務する加賀千鶴(趣里)は、山下に興味を抱く。北海道から栄転してきた将来性と、魚の食べ方がキレイ、というのが理由。  一方、マコチと一緒に暮らしている恋愛小説家の丸の内さくら(山口紗弥加)は、マコチの言動から彼が元カノと再会したことを知り…。</t>
  </si>
  <si>
    <t>番組名&lt;木曜劇場&gt;モトカレマニア【誕生日のキスずっとあなたが好きでした】　#03</t>
  </si>
  <si>
    <r>
      <rPr>
        <rFont val="ＭＳ Ｐゴシック"/>
        <sz val="10.0"/>
      </rPr>
      <t>ユリカ</t>
    </r>
    <r>
      <rPr>
        <rFont val="Arial"/>
        <sz val="10.0"/>
      </rPr>
      <t>(</t>
    </r>
    <r>
      <rPr>
        <rFont val="ＭＳ Ｐゴシック"/>
        <sz val="10.0"/>
      </rPr>
      <t>新木優子</t>
    </r>
    <r>
      <rPr>
        <rFont val="Arial"/>
        <sz val="10.0"/>
      </rPr>
      <t>)</t>
    </r>
    <r>
      <rPr>
        <rFont val="ＭＳ Ｐゴシック"/>
        <sz val="10.0"/>
      </rPr>
      <t>は、マコチ</t>
    </r>
    <r>
      <rPr>
        <rFont val="Arial"/>
        <sz val="10.0"/>
      </rPr>
      <t>(</t>
    </r>
    <r>
      <rPr>
        <rFont val="ＭＳ Ｐゴシック"/>
        <sz val="10.0"/>
      </rPr>
      <t>高良健吾</t>
    </r>
    <r>
      <rPr>
        <rFont val="Arial"/>
        <sz val="10.0"/>
      </rPr>
      <t>)</t>
    </r>
    <r>
      <rPr>
        <rFont val="ＭＳ Ｐゴシック"/>
        <sz val="10.0"/>
      </rPr>
      <t>から山下</t>
    </r>
    <r>
      <rPr>
        <rFont val="Arial"/>
        <sz val="10.0"/>
      </rPr>
      <t>(</t>
    </r>
    <r>
      <rPr>
        <rFont val="ＭＳ Ｐゴシック"/>
        <sz val="10.0"/>
      </rPr>
      <t>浜野謙太</t>
    </r>
    <r>
      <rPr>
        <rFont val="Arial"/>
        <sz val="10.0"/>
      </rPr>
      <t>)</t>
    </r>
    <r>
      <rPr>
        <rFont val="ＭＳ Ｐゴシック"/>
        <sz val="10.0"/>
      </rPr>
      <t>との恋も仕事も全力で応援する、と言われてしまう。ユリカは、再び</t>
    </r>
    <r>
      <rPr>
        <rFont val="Arial"/>
        <sz val="10.0"/>
      </rPr>
      <t>“</t>
    </r>
    <r>
      <rPr>
        <rFont val="ＭＳ Ｐゴシック"/>
        <sz val="10.0"/>
      </rPr>
      <t>モトカレマニア</t>
    </r>
    <r>
      <rPr>
        <rFont val="Arial"/>
        <sz val="10.0"/>
      </rPr>
      <t>"</t>
    </r>
    <r>
      <rPr>
        <rFont val="ＭＳ Ｐゴシック"/>
        <sz val="10.0"/>
      </rPr>
      <t>としてマコチとの思い出の中で生きる決意を固め、そのショックから復活。</t>
    </r>
    <r>
      <rPr>
        <rFont val="Arial"/>
        <sz val="10.0"/>
      </rPr>
      <t xml:space="preserve">  </t>
    </r>
    <r>
      <rPr>
        <rFont val="ＭＳ Ｐゴシック"/>
        <sz val="10.0"/>
      </rPr>
      <t>そんな折、ユリカが配ったチラシを見て「物件を買いたい」という</t>
    </r>
    <r>
      <rPr>
        <rFont val="Arial"/>
        <sz val="10.0"/>
      </rPr>
      <t>1</t>
    </r>
    <r>
      <rPr>
        <rFont val="ＭＳ Ｐゴシック"/>
        <sz val="10.0"/>
      </rPr>
      <t>組の夫婦から連絡が入る。折しも、仮採用期間終了まで残り</t>
    </r>
    <r>
      <rPr>
        <rFont val="Arial"/>
        <sz val="10.0"/>
      </rPr>
      <t>3</t>
    </r>
    <r>
      <rPr>
        <rFont val="ＭＳ Ｐゴシック"/>
        <sz val="10.0"/>
      </rPr>
      <t>日。この契約が成立すれば正社員になれると張り切るユリカ。社長の安藤</t>
    </r>
    <r>
      <rPr>
        <rFont val="Arial"/>
        <sz val="10.0"/>
      </rPr>
      <t>(</t>
    </r>
    <r>
      <rPr>
        <rFont val="ＭＳ Ｐゴシック"/>
        <sz val="10.0"/>
      </rPr>
      <t>小手伸也</t>
    </r>
    <r>
      <rPr>
        <rFont val="Arial"/>
        <sz val="10.0"/>
      </rPr>
      <t>)</t>
    </r>
    <r>
      <rPr>
        <rFont val="ＭＳ Ｐゴシック"/>
        <sz val="10.0"/>
      </rPr>
      <t>は、マコチにユリカのサポートをするよう指示する。</t>
    </r>
    <r>
      <rPr>
        <rFont val="Arial"/>
        <sz val="10.0"/>
      </rPr>
      <t xml:space="preserve">  </t>
    </r>
    <r>
      <rPr>
        <rFont val="ＭＳ Ｐゴシック"/>
        <sz val="10.0"/>
      </rPr>
      <t>その話を聞いた親友のひろ美</t>
    </r>
    <r>
      <rPr>
        <rFont val="Arial"/>
        <sz val="10.0"/>
      </rPr>
      <t>(</t>
    </r>
    <r>
      <rPr>
        <rFont val="ＭＳ Ｐゴシック"/>
        <sz val="10.0"/>
      </rPr>
      <t>よしこ</t>
    </r>
    <r>
      <rPr>
        <rFont val="Arial"/>
        <sz val="10.0"/>
      </rPr>
      <t>)</t>
    </r>
    <r>
      <rPr>
        <rFont val="ＭＳ Ｐゴシック"/>
        <sz val="10.0"/>
      </rPr>
      <t>は、ユリカのことを心配する。しかしユリカは、かつてアルバイト先の焼き肉店でマコチと出会ったときのように、先輩・後輩という関係に立ち戻る</t>
    </r>
    <r>
      <rPr>
        <rFont val="Arial"/>
        <sz val="10.0"/>
      </rPr>
      <t>!</t>
    </r>
    <r>
      <rPr>
        <rFont val="ＭＳ Ｐゴシック"/>
        <sz val="10.0"/>
      </rPr>
      <t>と宣言する。一緒に仕事をして信頼を育むのは、恋愛よりもずっと尊い関係とのこと。</t>
    </r>
    <r>
      <rPr>
        <rFont val="Arial"/>
        <sz val="10.0"/>
      </rPr>
      <t xml:space="preserve">  </t>
    </r>
    <r>
      <rPr>
        <rFont val="ＭＳ Ｐゴシック"/>
        <sz val="10.0"/>
      </rPr>
      <t>一方、山下は食べ歩きマニアが集う</t>
    </r>
    <r>
      <rPr>
        <rFont val="Arial"/>
        <sz val="10.0"/>
      </rPr>
      <t>“</t>
    </r>
    <r>
      <rPr>
        <rFont val="ＭＳ Ｐゴシック"/>
        <sz val="10.0"/>
      </rPr>
      <t>食べログ会</t>
    </r>
    <r>
      <rPr>
        <rFont val="Arial"/>
        <sz val="10.0"/>
      </rPr>
      <t>"</t>
    </r>
    <r>
      <rPr>
        <rFont val="ＭＳ Ｐゴシック"/>
        <sz val="10.0"/>
      </rPr>
      <t>に同僚の千鶴</t>
    </r>
    <r>
      <rPr>
        <rFont val="Arial"/>
        <sz val="10.0"/>
      </rPr>
      <t>(</t>
    </r>
    <r>
      <rPr>
        <rFont val="ＭＳ Ｐゴシック"/>
        <sz val="10.0"/>
      </rPr>
      <t>趣里</t>
    </r>
    <r>
      <rPr>
        <rFont val="Arial"/>
        <sz val="10.0"/>
      </rPr>
      <t>)</t>
    </r>
    <r>
      <rPr>
        <rFont val="ＭＳ Ｐゴシック"/>
        <sz val="10.0"/>
      </rPr>
      <t>を連れていく。その帰り道、山下は千鶴から「好きになった」と突然告白される。</t>
    </r>
    <r>
      <rPr>
        <rFont val="Arial"/>
        <sz val="10.0"/>
      </rPr>
      <t xml:space="preserve">  </t>
    </r>
    <r>
      <rPr>
        <rFont val="ＭＳ Ｐゴシック"/>
        <sz val="10.0"/>
      </rPr>
      <t>ユリカはマコチと共に、購入を申し込んできた花澤健司</t>
    </r>
    <r>
      <rPr>
        <rFont val="Arial"/>
        <sz val="10.0"/>
      </rPr>
      <t>(</t>
    </r>
    <r>
      <rPr>
        <rFont val="ＭＳ Ｐゴシック"/>
        <sz val="10.0"/>
      </rPr>
      <t>金井勇太</t>
    </r>
    <r>
      <rPr>
        <rFont val="Arial"/>
        <sz val="10.0"/>
      </rPr>
      <t>)</t>
    </r>
    <r>
      <rPr>
        <rFont val="ＭＳ Ｐゴシック"/>
        <sz val="10.0"/>
      </rPr>
      <t>・美希</t>
    </r>
    <r>
      <rPr>
        <rFont val="Arial"/>
        <sz val="10.0"/>
      </rPr>
      <t>(</t>
    </r>
    <r>
      <rPr>
        <rFont val="ＭＳ Ｐゴシック"/>
        <sz val="10.0"/>
      </rPr>
      <t>田中こなつ</t>
    </r>
    <r>
      <rPr>
        <rFont val="Arial"/>
        <sz val="10.0"/>
      </rPr>
      <t>)</t>
    </r>
    <r>
      <rPr>
        <rFont val="ＭＳ Ｐゴシック"/>
        <sz val="10.0"/>
      </rPr>
      <t>夫妻を内覧に連れていく。美希は妊娠中だった。物件を気に入った健司たちは、すぐに申し込みをしたいと言う。ただ、彼らは他にも申し込んでいる物件があるらしい。そこでマコチは可能性があるのなら物件を磨いて良さを伝えよう、とユリカに提案するが</t>
    </r>
    <r>
      <rPr>
        <rFont val="Arial"/>
        <sz val="10.0"/>
      </rPr>
      <t>…</t>
    </r>
    <r>
      <rPr>
        <rFont val="ＭＳ Ｐゴシック"/>
        <sz val="10.0"/>
      </rPr>
      <t>。</t>
    </r>
  </si>
  <si>
    <t>ユリカ(新木優子)は、マコチ(高良健吾)から山下(浜野謙太)との恋も仕事も全力で応援する、と言われてしまう。ユリカは、再び“モトカレマニア"としてマコチとの思い出の中で生きる決意を固め、そのショックから復活。  そんな折、ユリカが配ったチラシを見て「物件を買いたい」という1組の夫婦から連絡が入る。折しも、仮採用期間終了まで残り3日。この契約が成立すれば正社員になれると張り切るユリカ。社長の安藤(小手伸也)は、マコチにユリカのサポートをするよう指示する。  その話を聞いた親友のひろ美(よしこ)は、ユリカのことを心配する。しかしユリカは、かつてアルバイト先の焼き肉店でマコチと出会ったときのように、先輩・後輩という関係に立ち戻る!と宣言する。一緒に仕事をして信頼を育むのは、恋愛よりもずっと尊い関係とのこと。  一方、山下は食べ歩きマニアが集う“食べログ会"に同僚の千鶴(趣里)を連れていく。その帰り道、山下は千鶴から「好きになった」と突然告白される。  ユリカはマコチと共に、購入を申し込んできた花澤健司(金井勇太)・美希(田中こなつ)夫妻を内覧に連れていく。美希は妊娠中だった。物件を気に入った健司たちは、すぐに申し込みをしたいと言う。ただ、彼らは他にも申し込んでいる物件があるらしい。そこでマコチは可能性があるのなら物件を磨いて良さを伝えよう、とユリカに提案するが…。</t>
  </si>
  <si>
    <t>番組名&lt;木曜劇場&gt;モトカレマニア【第一章完結!女たちの反撃始まる…決別】　#04</t>
  </si>
  <si>
    <r>
      <rPr>
        <rFont val="ＭＳ Ｐゴシック"/>
        <sz val="10.0"/>
      </rPr>
      <t>誕生日の夜、マコチ</t>
    </r>
    <r>
      <rPr>
        <rFont val="Arial"/>
        <sz val="10.0"/>
      </rPr>
      <t>(</t>
    </r>
    <r>
      <rPr>
        <rFont val="ＭＳ Ｐゴシック"/>
        <sz val="10.0"/>
      </rPr>
      <t>高良健吾</t>
    </r>
    <r>
      <rPr>
        <rFont val="Arial"/>
        <sz val="10.0"/>
      </rPr>
      <t>)</t>
    </r>
    <r>
      <rPr>
        <rFont val="ＭＳ Ｐゴシック"/>
        <sz val="10.0"/>
      </rPr>
      <t>からキスされたユリカ</t>
    </r>
    <r>
      <rPr>
        <rFont val="Arial"/>
        <sz val="10.0"/>
      </rPr>
      <t>(</t>
    </r>
    <r>
      <rPr>
        <rFont val="ＭＳ Ｐゴシック"/>
        <sz val="10.0"/>
      </rPr>
      <t>新木優子</t>
    </r>
    <r>
      <rPr>
        <rFont val="Arial"/>
        <sz val="10.0"/>
      </rPr>
      <t>)</t>
    </r>
    <r>
      <rPr>
        <rFont val="ＭＳ Ｐゴシック"/>
        <sz val="10.0"/>
      </rPr>
      <t>は、今でも彼のことが好きだと確信。</t>
    </r>
    <r>
      <rPr>
        <rFont val="Arial"/>
        <sz val="10.0"/>
      </rPr>
      <t>2</t>
    </r>
    <r>
      <rPr>
        <rFont val="ＭＳ Ｐゴシック"/>
        <sz val="10.0"/>
      </rPr>
      <t>人がキスしている所を偶然目撃してしまったユリカの親友・ひろ美</t>
    </r>
    <r>
      <rPr>
        <rFont val="Arial"/>
        <sz val="10.0"/>
      </rPr>
      <t>(</t>
    </r>
    <r>
      <rPr>
        <rFont val="ＭＳ Ｐゴシック"/>
        <sz val="10.0"/>
      </rPr>
      <t>よしこ</t>
    </r>
    <r>
      <rPr>
        <rFont val="Arial"/>
        <sz val="10.0"/>
      </rPr>
      <t>)</t>
    </r>
    <r>
      <rPr>
        <rFont val="ＭＳ Ｐゴシック"/>
        <sz val="10.0"/>
      </rPr>
      <t>は「キスはしたけど付き合うとは言っていない」と言ってその場から立ち去ったマコチのことを「誠実じゃない」と非難する。</t>
    </r>
    <r>
      <rPr>
        <rFont val="Arial"/>
        <sz val="10.0"/>
      </rPr>
      <t>5</t>
    </r>
    <r>
      <rPr>
        <rFont val="ＭＳ Ｐゴシック"/>
        <sz val="10.0"/>
      </rPr>
      <t>年前にユリカと別れたときもマコチは何も言わなかった、というのだ。</t>
    </r>
    <r>
      <rPr>
        <rFont val="Arial"/>
        <sz val="10.0"/>
      </rPr>
      <t xml:space="preserve">  </t>
    </r>
    <r>
      <rPr>
        <rFont val="ＭＳ Ｐゴシック"/>
        <sz val="10.0"/>
      </rPr>
      <t>一方、さくら</t>
    </r>
    <r>
      <rPr>
        <rFont val="Arial"/>
        <sz val="10.0"/>
      </rPr>
      <t>(</t>
    </r>
    <r>
      <rPr>
        <rFont val="ＭＳ Ｐゴシック"/>
        <sz val="10.0"/>
      </rPr>
      <t>山口紗弥加</t>
    </r>
    <r>
      <rPr>
        <rFont val="Arial"/>
        <sz val="10.0"/>
      </rPr>
      <t>)</t>
    </r>
    <r>
      <rPr>
        <rFont val="ＭＳ Ｐゴシック"/>
        <sz val="10.0"/>
      </rPr>
      <t>は、ユリカと食事をした後に立ち寄ったバーで、ずっと忘れられないでいる元カレの駒込和真</t>
    </r>
    <r>
      <rPr>
        <rFont val="Arial"/>
        <sz val="10.0"/>
      </rPr>
      <t>(</t>
    </r>
    <r>
      <rPr>
        <rFont val="ＭＳ Ｐゴシック"/>
        <sz val="10.0"/>
      </rPr>
      <t>淵上泰史</t>
    </r>
    <r>
      <rPr>
        <rFont val="Arial"/>
        <sz val="10.0"/>
      </rPr>
      <t>)</t>
    </r>
    <r>
      <rPr>
        <rFont val="ＭＳ Ｐゴシック"/>
        <sz val="10.0"/>
      </rPr>
      <t>と再会。さくらの頭の中に甦る、素直になれなかった中学生時代の思い出。和真の左手には結婚指輪が光っていた。</t>
    </r>
    <r>
      <rPr>
        <rFont val="Arial"/>
        <sz val="10.0"/>
      </rPr>
      <t xml:space="preserve">  </t>
    </r>
    <r>
      <rPr>
        <rFont val="ＭＳ Ｐゴシック"/>
        <sz val="10.0"/>
      </rPr>
      <t>山下</t>
    </r>
    <r>
      <rPr>
        <rFont val="Arial"/>
        <sz val="10.0"/>
      </rPr>
      <t>(</t>
    </r>
    <r>
      <rPr>
        <rFont val="ＭＳ Ｐゴシック"/>
        <sz val="10.0"/>
      </rPr>
      <t>浜野謙太</t>
    </r>
    <r>
      <rPr>
        <rFont val="Arial"/>
        <sz val="10.0"/>
      </rPr>
      <t>)</t>
    </r>
    <r>
      <rPr>
        <rFont val="ＭＳ Ｐゴシック"/>
        <sz val="10.0"/>
      </rPr>
      <t>は、好きだと告白してきた同僚の千鶴</t>
    </r>
    <r>
      <rPr>
        <rFont val="Arial"/>
        <sz val="10.0"/>
      </rPr>
      <t>(</t>
    </r>
    <r>
      <rPr>
        <rFont val="ＭＳ Ｐゴシック"/>
        <sz val="10.0"/>
      </rPr>
      <t>趣里</t>
    </r>
    <r>
      <rPr>
        <rFont val="Arial"/>
        <sz val="10.0"/>
      </rPr>
      <t>)</t>
    </r>
    <r>
      <rPr>
        <rFont val="ＭＳ Ｐゴシック"/>
        <sz val="10.0"/>
      </rPr>
      <t>に好きな人がいる、と告げる。しかし千鶴は「私のことは絶対に好きになれないってことですか</t>
    </r>
    <r>
      <rPr>
        <rFont val="Arial"/>
        <sz val="10.0"/>
      </rPr>
      <t>?</t>
    </r>
    <r>
      <rPr>
        <rFont val="ＭＳ Ｐゴシック"/>
        <sz val="10.0"/>
      </rPr>
      <t>」と問い返す。。</t>
    </r>
    <r>
      <rPr>
        <rFont val="Arial"/>
        <sz val="10.0"/>
      </rPr>
      <t xml:space="preserve">  </t>
    </r>
    <r>
      <rPr>
        <rFont val="ＭＳ Ｐゴシック"/>
        <sz val="10.0"/>
      </rPr>
      <t>あくる日、ユリカは重い足取りでチロリアン不動産に出社する。すると、いきなりユリカを祝福する社長の安藤</t>
    </r>
    <r>
      <rPr>
        <rFont val="Arial"/>
        <sz val="10.0"/>
      </rPr>
      <t>(</t>
    </r>
    <r>
      <rPr>
        <rFont val="ＭＳ Ｐゴシック"/>
        <sz val="10.0"/>
      </rPr>
      <t>小手伸也</t>
    </r>
    <r>
      <rPr>
        <rFont val="Arial"/>
        <sz val="10.0"/>
      </rPr>
      <t>)</t>
    </r>
    <r>
      <rPr>
        <rFont val="ＭＳ Ｐゴシック"/>
        <sz val="10.0"/>
      </rPr>
      <t>らハラミ会の面々。担当物件の契約が成立したため、ユリカは正社員採用されたのだ。ハラミ会はユリカの歓迎会の準備もしていた。だがマコチは、熱を出して会社を欠勤。</t>
    </r>
    <r>
      <rPr>
        <rFont val="Arial"/>
        <sz val="10.0"/>
      </rPr>
      <t xml:space="preserve">  </t>
    </r>
    <r>
      <rPr>
        <rFont val="ＭＳ Ｐゴシック"/>
        <sz val="10.0"/>
      </rPr>
      <t>その夜、山下が『</t>
    </r>
    <r>
      <rPr>
        <rFont val="Arial"/>
        <sz val="10.0"/>
      </rPr>
      <t>BAR</t>
    </r>
    <r>
      <rPr>
        <rFont val="ＭＳ Ｐゴシック"/>
        <sz val="10.0"/>
      </rPr>
      <t>ネコ目』をのぞくと、ユリカの姿が。ユリカは、マコチに振られたこと、そして都内で山下の元カノ・むぎ</t>
    </r>
    <r>
      <rPr>
        <rFont val="Arial"/>
        <sz val="10.0"/>
      </rPr>
      <t>(</t>
    </r>
    <r>
      <rPr>
        <rFont val="ＭＳ Ｐゴシック"/>
        <sz val="10.0"/>
      </rPr>
      <t>田中みな実</t>
    </r>
    <r>
      <rPr>
        <rFont val="Arial"/>
        <sz val="10.0"/>
      </rPr>
      <t>)</t>
    </r>
    <r>
      <rPr>
        <rFont val="ＭＳ Ｐゴシック"/>
        <sz val="10.0"/>
      </rPr>
      <t>に会ったことを彼に伝え</t>
    </r>
    <r>
      <rPr>
        <rFont val="Arial"/>
        <sz val="10.0"/>
      </rPr>
      <t>…</t>
    </r>
  </si>
  <si>
    <t>誕生日の夜、マコチ(高良健吾)からキスされたユリカ(新木優子)は、今でも彼のことが好きだと確信。2人がキスしている所を偶然目撃してしまったユリカの親友・ひろ美(よしこ)は「キスはしたけど付き合うとは言っていない」と言ってその場から立ち去ったマコチのことを「誠実じゃない」と非難する。5年前にユリカと別れたときもマコチは何も言わなかった、というのだ。  一方、さくら(山口紗弥加)は、ユリカと食事をした後に立ち寄ったバーで、ずっと忘れられないでいる元カレの駒込和真(淵上泰史)と再会。さくらの頭の中に甦る、素直になれなかった中学生時代の思い出。和真の左手には結婚指輪が光っていた。  山下(浜野謙太)は、好きだと告白してきた同僚の千鶴(趣里)に好きな人がいる、と告げる。しかし千鶴は「私のことは絶対に好きになれないってことですか?」と問い返す。。  あくる日、ユリカは重い足取りでチロリアン不動産に出社する。すると、いきなりユリカを祝福する社長の安藤(小手伸也)らハラミ会の面々。担当物件の契約が成立したため、ユリカは正社員採用されたのだ。ハラミ会はユリカの歓迎会の準備もしていた。だがマコチは、熱を出して会社を欠勤。  その夜、山下が『BARネコ目』をのぞくと、ユリカの姿が。ユリカは、マコチに振られたこと、そして都内で山下の元カノ・むぎ(田中みな実)に会ったことを彼に伝え…</t>
  </si>
  <si>
    <t>番組名&lt;木曜劇場&gt;モトカレマニア【今夜、豪華プレゼントキャンペーン実施!】　#05</t>
  </si>
  <si>
    <r>
      <rPr>
        <rFont val="ＭＳ Ｐゴシック"/>
        <sz val="10.0"/>
      </rPr>
      <t>マコチ</t>
    </r>
    <r>
      <rPr>
        <rFont val="Arial"/>
        <sz val="10.0"/>
      </rPr>
      <t>(</t>
    </r>
    <r>
      <rPr>
        <rFont val="ＭＳ Ｐゴシック"/>
        <sz val="10.0"/>
      </rPr>
      <t>高良健吾</t>
    </r>
    <r>
      <rPr>
        <rFont val="Arial"/>
        <sz val="10.0"/>
      </rPr>
      <t>)</t>
    </r>
    <r>
      <rPr>
        <rFont val="ＭＳ Ｐゴシック"/>
        <sz val="10.0"/>
      </rPr>
      <t>は、ユリカ</t>
    </r>
    <r>
      <rPr>
        <rFont val="Arial"/>
        <sz val="10.0"/>
      </rPr>
      <t>(</t>
    </r>
    <r>
      <rPr>
        <rFont val="ＭＳ Ｐゴシック"/>
        <sz val="10.0"/>
      </rPr>
      <t>新木優子</t>
    </r>
    <r>
      <rPr>
        <rFont val="Arial"/>
        <sz val="10.0"/>
      </rPr>
      <t>)</t>
    </r>
    <r>
      <rPr>
        <rFont val="ＭＳ Ｐゴシック"/>
        <sz val="10.0"/>
      </rPr>
      <t>のもとへ謝りに行ったものの、追い返されてしまう。失意のマコチを救ったのは山下</t>
    </r>
    <r>
      <rPr>
        <rFont val="Arial"/>
        <sz val="10.0"/>
      </rPr>
      <t>(</t>
    </r>
    <r>
      <rPr>
        <rFont val="ＭＳ Ｐゴシック"/>
        <sz val="10.0"/>
      </rPr>
      <t>浜野謙太</t>
    </r>
    <r>
      <rPr>
        <rFont val="Arial"/>
        <sz val="10.0"/>
      </rPr>
      <t>)</t>
    </r>
    <r>
      <rPr>
        <rFont val="ＭＳ Ｐゴシック"/>
        <sz val="10.0"/>
      </rPr>
      <t>だった。さくら</t>
    </r>
    <r>
      <rPr>
        <rFont val="Arial"/>
        <sz val="10.0"/>
      </rPr>
      <t>(</t>
    </r>
    <r>
      <rPr>
        <rFont val="ＭＳ Ｐゴシック"/>
        <sz val="10.0"/>
      </rPr>
      <t>山口紗弥加</t>
    </r>
    <r>
      <rPr>
        <rFont val="Arial"/>
        <sz val="10.0"/>
      </rPr>
      <t>)</t>
    </r>
    <r>
      <rPr>
        <rFont val="ＭＳ Ｐゴシック"/>
        <sz val="10.0"/>
      </rPr>
      <t>との同居を解消したばかりだったマコチは、山下のマンションに身を寄せた。</t>
    </r>
    <r>
      <rPr>
        <rFont val="Arial"/>
        <sz val="10.0"/>
      </rPr>
      <t xml:space="preserve">  </t>
    </r>
    <r>
      <rPr>
        <rFont val="ＭＳ Ｐゴシック"/>
        <sz val="10.0"/>
      </rPr>
      <t>一方、ユリカは、失恋の傷を癒すために温泉旅行に出かける。スケジュールの都合がつかなかったひろ美</t>
    </r>
    <r>
      <rPr>
        <rFont val="Arial"/>
        <sz val="10.0"/>
      </rPr>
      <t>(</t>
    </r>
    <r>
      <rPr>
        <rFont val="ＭＳ Ｐゴシック"/>
        <sz val="10.0"/>
      </rPr>
      <t>よしこ</t>
    </r>
    <r>
      <rPr>
        <rFont val="Arial"/>
        <sz val="10.0"/>
      </rPr>
      <t>)</t>
    </r>
    <r>
      <rPr>
        <rFont val="ＭＳ Ｐゴシック"/>
        <sz val="10.0"/>
      </rPr>
      <t>の代わりにユリカが誘ったのは、さくらだった。ユリカたちが訪れたのは、草木染めや陶芸などレクリエーションが豊富で、傷ついた女性が現世を忘れるのにぴったりの</t>
    </r>
    <r>
      <rPr>
        <rFont val="Arial"/>
        <sz val="10.0"/>
      </rPr>
      <t>“</t>
    </r>
    <r>
      <rPr>
        <rFont val="ＭＳ Ｐゴシック"/>
        <sz val="10.0"/>
      </rPr>
      <t>自分探しの宿</t>
    </r>
    <r>
      <rPr>
        <rFont val="Arial"/>
        <sz val="10.0"/>
      </rPr>
      <t>"</t>
    </r>
    <r>
      <rPr>
        <rFont val="ＭＳ Ｐゴシック"/>
        <sz val="10.0"/>
      </rPr>
      <t>だ。そこでユリカは、むぎ</t>
    </r>
    <r>
      <rPr>
        <rFont val="Arial"/>
        <sz val="10.0"/>
      </rPr>
      <t>(</t>
    </r>
    <r>
      <rPr>
        <rFont val="ＭＳ Ｐゴシック"/>
        <sz val="10.0"/>
      </rPr>
      <t>田中みな実</t>
    </r>
    <r>
      <rPr>
        <rFont val="Arial"/>
        <sz val="10.0"/>
      </rPr>
      <t>)</t>
    </r>
    <r>
      <rPr>
        <rFont val="ＭＳ Ｐゴシック"/>
        <sz val="10.0"/>
      </rPr>
      <t>と偶然再会する。だが、ユリカが山下の知り合いだと知ったむぎは、話すことすら拒否する。</t>
    </r>
    <r>
      <rPr>
        <rFont val="Arial"/>
        <sz val="10.0"/>
      </rPr>
      <t xml:space="preserve">  </t>
    </r>
    <r>
      <rPr>
        <rFont val="ＭＳ Ｐゴシック"/>
        <sz val="10.0"/>
      </rPr>
      <t>大浴場で再びむぎと一緒になったユリカは、山下とは脱</t>
    </r>
    <r>
      <rPr>
        <rFont val="Arial"/>
        <sz val="10.0"/>
      </rPr>
      <t>MKM</t>
    </r>
    <r>
      <rPr>
        <rFont val="ＭＳ Ｐゴシック"/>
        <sz val="10.0"/>
      </rPr>
      <t>同盟の同志だと自己紹介し、彼がいまでもむぎに思いを寄せていることを伝えようとした。するとむぎは、自身がパーソナリティーを務めるラジオの公開収録の現場にやってきた山下が、見せつけるように千鶴</t>
    </r>
    <r>
      <rPr>
        <rFont val="Arial"/>
        <sz val="10.0"/>
      </rPr>
      <t>(</t>
    </r>
    <r>
      <rPr>
        <rFont val="ＭＳ Ｐゴシック"/>
        <sz val="10.0"/>
      </rPr>
      <t>趣里</t>
    </r>
    <r>
      <rPr>
        <rFont val="Arial"/>
        <sz val="10.0"/>
      </rPr>
      <t>)</t>
    </r>
    <r>
      <rPr>
        <rFont val="ＭＳ Ｐゴシック"/>
        <sz val="10.0"/>
      </rPr>
      <t>とキスしていたことを話す。「せっかく忘れようとしていたのに</t>
    </r>
    <r>
      <rPr>
        <rFont val="Arial"/>
        <sz val="10.0"/>
      </rPr>
      <t>…</t>
    </r>
    <r>
      <rPr>
        <rFont val="ＭＳ Ｐゴシック"/>
        <sz val="10.0"/>
      </rPr>
      <t>」。その言葉を聞いたユリカは、むぎもモトカレマニアだと指摘する。</t>
    </r>
    <r>
      <rPr>
        <rFont val="Arial"/>
        <sz val="10.0"/>
      </rPr>
      <t xml:space="preserve">  </t>
    </r>
    <r>
      <rPr>
        <rFont val="ＭＳ Ｐゴシック"/>
        <sz val="10.0"/>
      </rPr>
      <t>同じ頃、自分を責めて落ち込むマコチを見かねた山下は、いまからユリカのいる温泉に行こうと言い出すが</t>
    </r>
    <r>
      <rPr>
        <rFont val="Arial"/>
        <sz val="10.0"/>
      </rPr>
      <t>…</t>
    </r>
    <r>
      <rPr>
        <rFont val="ＭＳ Ｐゴシック"/>
        <sz val="10.0"/>
      </rPr>
      <t>。</t>
    </r>
  </si>
  <si>
    <t>マコチ(高良健吾)は、ユリカ(新木優子)のもとへ謝りに行ったものの、追い返されてしまう。失意のマコチを救ったのは山下(浜野謙太)だった。さくら(山口紗弥加)との同居を解消したばかりだったマコチは、山下のマンションに身を寄せた。  一方、ユリカは、失恋の傷を癒すために温泉旅行に出かける。スケジュールの都合がつかなかったひろ美(よしこ)の代わりにユリカが誘ったのは、さくらだった。ユリカたちが訪れたのは、草木染めや陶芸などレクリエーションが豊富で、傷ついた女性が現世を忘れるのにぴったりの“自分探しの宿"だ。そこでユリカは、むぎ(田中みな実)と偶然再会する。だが、ユリカが山下の知り合いだと知ったむぎは、話すことすら拒否する。  大浴場で再びむぎと一緒になったユリカは、山下とは脱MKM同盟の同志だと自己紹介し、彼がいまでもむぎに思いを寄せていることを伝えようとした。するとむぎは、自身がパーソナリティーを務めるラジオの公開収録の現場にやってきた山下が、見せつけるように千鶴(趣里)とキスしていたことを話す。「せっかく忘れようとしていたのに…」。その言葉を聞いたユリカは、むぎもモトカレマニアだと指摘する。  同じ頃、自分を責めて落ち込むマコチを見かねた山下は、いまからユリカのいる温泉に行こうと言い出すが…。</t>
  </si>
  <si>
    <t>番組名&lt;木曜劇場&gt;モトカレマニア【第二章開幕!ライバル現るも本当の敵は…　#06</t>
  </si>
  <si>
    <r>
      <rPr>
        <rFont val="ＭＳ Ｐゴシック"/>
        <sz val="10.0"/>
      </rPr>
      <t>マコチ</t>
    </r>
    <r>
      <rPr>
        <rFont val="Arial"/>
        <sz val="10.0"/>
      </rPr>
      <t>(</t>
    </r>
    <r>
      <rPr>
        <rFont val="ＭＳ Ｐゴシック"/>
        <sz val="10.0"/>
      </rPr>
      <t>高良健吾</t>
    </r>
    <r>
      <rPr>
        <rFont val="Arial"/>
        <sz val="10.0"/>
      </rPr>
      <t>)</t>
    </r>
    <r>
      <rPr>
        <rFont val="ＭＳ Ｐゴシック"/>
        <sz val="10.0"/>
      </rPr>
      <t>は、ユリカ</t>
    </r>
    <r>
      <rPr>
        <rFont val="Arial"/>
        <sz val="10.0"/>
      </rPr>
      <t>(</t>
    </r>
    <r>
      <rPr>
        <rFont val="ＭＳ Ｐゴシック"/>
        <sz val="10.0"/>
      </rPr>
      <t>新木優子</t>
    </r>
    <r>
      <rPr>
        <rFont val="Arial"/>
        <sz val="10.0"/>
      </rPr>
      <t>)</t>
    </r>
    <r>
      <rPr>
        <rFont val="ＭＳ Ｐゴシック"/>
        <sz val="10.0"/>
      </rPr>
      <t>と向き合って話し合おうと決意し、彼女のアパートを訪れる。だが、そこに戻ってきたユリカは、源翔</t>
    </r>
    <r>
      <rPr>
        <rFont val="Arial"/>
        <sz val="10.0"/>
      </rPr>
      <t>(</t>
    </r>
    <r>
      <rPr>
        <rFont val="ＭＳ Ｐゴシック"/>
        <sz val="10.0"/>
      </rPr>
      <t>柿澤勇人</t>
    </r>
    <r>
      <rPr>
        <rFont val="Arial"/>
        <sz val="10.0"/>
      </rPr>
      <t>)</t>
    </r>
    <r>
      <rPr>
        <rFont val="ＭＳ Ｐゴシック"/>
        <sz val="10.0"/>
      </rPr>
      <t>という男性と一緒だった。翔は、ユリカがマコチと別れた後に付き合った元カレのひとり。「ユリカが大切な人だと気づいた」といって突然連絡をしてきた翔は「自分がマコチを忘れさせてやる」とユリカに宣言する。</t>
    </r>
    <r>
      <rPr>
        <rFont val="Arial"/>
        <sz val="10.0"/>
      </rPr>
      <t xml:space="preserve">  </t>
    </r>
    <r>
      <rPr>
        <rFont val="ＭＳ Ｐゴシック"/>
        <sz val="10.0"/>
      </rPr>
      <t>マコチは、山下</t>
    </r>
    <r>
      <rPr>
        <rFont val="Arial"/>
        <sz val="10.0"/>
      </rPr>
      <t>(</t>
    </r>
    <r>
      <rPr>
        <rFont val="ＭＳ Ｐゴシック"/>
        <sz val="10.0"/>
      </rPr>
      <t>浜野謙太</t>
    </r>
    <r>
      <rPr>
        <rFont val="Arial"/>
        <sz val="10.0"/>
      </rPr>
      <t>)</t>
    </r>
    <r>
      <rPr>
        <rFont val="ＭＳ Ｐゴシック"/>
        <sz val="10.0"/>
      </rPr>
      <t>に翔のことを報告した。どうしてもユリカのことが気になり、</t>
    </r>
    <r>
      <rPr>
        <rFont val="Arial"/>
        <sz val="10.0"/>
      </rPr>
      <t>SNS</t>
    </r>
    <r>
      <rPr>
        <rFont val="ＭＳ Ｐゴシック"/>
        <sz val="10.0"/>
      </rPr>
      <t>を何度もチェックしていたマコチは「このままではモトカノマニアになってしまう」とこぼす。すると山下は「</t>
    </r>
    <r>
      <rPr>
        <rFont val="Arial"/>
        <sz val="10.0"/>
      </rPr>
      <t>“</t>
    </r>
    <r>
      <rPr>
        <rFont val="ＭＳ Ｐゴシック"/>
        <sz val="10.0"/>
      </rPr>
      <t>好き</t>
    </r>
    <r>
      <rPr>
        <rFont val="Arial"/>
        <sz val="10.0"/>
      </rPr>
      <t>"</t>
    </r>
    <r>
      <rPr>
        <rFont val="ＭＳ Ｐゴシック"/>
        <sz val="10.0"/>
      </rPr>
      <t>を全力で追いかけられる人しかマニアにはなれない」とマコチに告げる。</t>
    </r>
    <r>
      <rPr>
        <rFont val="Arial"/>
        <sz val="10.0"/>
      </rPr>
      <t xml:space="preserve">  </t>
    </r>
    <r>
      <rPr>
        <rFont val="ＭＳ Ｐゴシック"/>
        <sz val="10.0"/>
      </rPr>
      <t>一方、さくら</t>
    </r>
    <r>
      <rPr>
        <rFont val="Arial"/>
        <sz val="10.0"/>
      </rPr>
      <t>(</t>
    </r>
    <r>
      <rPr>
        <rFont val="ＭＳ Ｐゴシック"/>
        <sz val="10.0"/>
      </rPr>
      <t>山口紗弥加</t>
    </r>
    <r>
      <rPr>
        <rFont val="Arial"/>
        <sz val="10.0"/>
      </rPr>
      <t>)</t>
    </r>
    <r>
      <rPr>
        <rFont val="ＭＳ Ｐゴシック"/>
        <sz val="10.0"/>
      </rPr>
      <t>は、元カレの和真</t>
    </r>
    <r>
      <rPr>
        <rFont val="Arial"/>
        <sz val="10.0"/>
      </rPr>
      <t>(</t>
    </r>
    <r>
      <rPr>
        <rFont val="ＭＳ Ｐゴシック"/>
        <sz val="10.0"/>
      </rPr>
      <t>淵上泰史</t>
    </r>
    <r>
      <rPr>
        <rFont val="Arial"/>
        <sz val="10.0"/>
      </rPr>
      <t>)</t>
    </r>
    <r>
      <rPr>
        <rFont val="ＭＳ Ｐゴシック"/>
        <sz val="10.0"/>
      </rPr>
      <t>から「多分離婚することになる」という連絡をもらう。さくらはどう返信すべきか考えた後、「大丈夫</t>
    </r>
    <r>
      <rPr>
        <rFont val="Arial"/>
        <sz val="10.0"/>
      </rPr>
      <t>?</t>
    </r>
    <r>
      <rPr>
        <rFont val="ＭＳ Ｐゴシック"/>
        <sz val="10.0"/>
      </rPr>
      <t>」とメッセージを送るが</t>
    </r>
    <r>
      <rPr>
        <rFont val="Arial"/>
        <sz val="10.0"/>
      </rPr>
      <t>…</t>
    </r>
    <r>
      <rPr>
        <rFont val="ＭＳ Ｐゴシック"/>
        <sz val="10.0"/>
      </rPr>
      <t>。チロリアン不動産の大沢</t>
    </r>
    <r>
      <rPr>
        <rFont val="Arial"/>
        <sz val="10.0"/>
      </rPr>
      <t>(</t>
    </r>
    <r>
      <rPr>
        <rFont val="ＭＳ Ｐゴシック"/>
        <sz val="10.0"/>
      </rPr>
      <t>森田甘路</t>
    </r>
    <r>
      <rPr>
        <rFont val="Arial"/>
        <sz val="10.0"/>
      </rPr>
      <t>)</t>
    </r>
    <r>
      <rPr>
        <rFont val="ＭＳ Ｐゴシック"/>
        <sz val="10.0"/>
      </rPr>
      <t>と白井</t>
    </r>
    <r>
      <rPr>
        <rFont val="Arial"/>
        <sz val="10.0"/>
      </rPr>
      <t>(</t>
    </r>
    <r>
      <rPr>
        <rFont val="ＭＳ Ｐゴシック"/>
        <sz val="10.0"/>
      </rPr>
      <t>関口メンディー</t>
    </r>
    <r>
      <rPr>
        <rFont val="Arial"/>
        <sz val="10.0"/>
      </rPr>
      <t>)</t>
    </r>
    <r>
      <rPr>
        <rFont val="ＭＳ Ｐゴシック"/>
        <sz val="10.0"/>
      </rPr>
      <t>は、ユリカとマコチの会話から二人の間に何かあったことを察する。するとそこに突然、翔がやってくる。マンションを探していた翔は、マコチを担当に指名し</t>
    </r>
    <r>
      <rPr>
        <rFont val="Arial"/>
        <sz val="10.0"/>
      </rPr>
      <t>…</t>
    </r>
    <r>
      <rPr>
        <rFont val="ＭＳ Ｐゴシック"/>
        <sz val="10.0"/>
      </rPr>
      <t>。</t>
    </r>
  </si>
  <si>
    <t>マコチ(高良健吾)は、ユリカ(新木優子)と向き合って話し合おうと決意し、彼女のアパートを訪れる。だが、そこに戻ってきたユリカは、源翔(柿澤勇人)という男性と一緒だった。翔は、ユリカがマコチと別れた後に付き合った元カレのひとり。「ユリカが大切な人だと気づいた」といって突然連絡をしてきた翔は「自分がマコチを忘れさせてやる」とユリカに宣言する。  マコチは、山下(浜野謙太)に翔のことを報告した。どうしてもユリカのことが気になり、SNSを何度もチェックしていたマコチは「このままではモトカノマニアになってしまう」とこぼす。すると山下は「“好き"を全力で追いかけられる人しかマニアにはなれない」とマコチに告げる。  一方、さくら(山口紗弥加)は、元カレの和真(淵上泰史)から「多分離婚することになる」という連絡をもらう。さくらはどう返信すべきか考えた後、「大丈夫?」とメッセージを送るが…。チロリアン不動産の大沢(森田甘路)と白井(関口メンディー)は、ユリカとマコチの会話から二人の間に何かあったことを察する。するとそこに突然、翔がやってくる。マンションを探していた翔は、マコチを担当に指名し…。</t>
  </si>
  <si>
    <t>番組名&lt;木曜劇場&gt;モトカレマニア【楽しいホームパーティーが修羅場と化す…　#07</t>
  </si>
  <si>
    <r>
      <rPr>
        <rFont val="ＭＳ Ｐゴシック"/>
        <sz val="10.0"/>
      </rPr>
      <t>ユリカ</t>
    </r>
    <r>
      <rPr>
        <rFont val="Arial"/>
        <sz val="10.0"/>
      </rPr>
      <t>(</t>
    </r>
    <r>
      <rPr>
        <rFont val="ＭＳ Ｐゴシック"/>
        <sz val="10.0"/>
      </rPr>
      <t>新木優子</t>
    </r>
    <r>
      <rPr>
        <rFont val="Arial"/>
        <sz val="10.0"/>
      </rPr>
      <t>)</t>
    </r>
    <r>
      <rPr>
        <rFont val="ＭＳ Ｐゴシック"/>
        <sz val="10.0"/>
      </rPr>
      <t>は、マコチ</t>
    </r>
    <r>
      <rPr>
        <rFont val="Arial"/>
        <sz val="10.0"/>
      </rPr>
      <t>(</t>
    </r>
    <r>
      <rPr>
        <rFont val="ＭＳ Ｐゴシック"/>
        <sz val="10.0"/>
      </rPr>
      <t>高良健吾</t>
    </r>
    <r>
      <rPr>
        <rFont val="Arial"/>
        <sz val="10.0"/>
      </rPr>
      <t>)</t>
    </r>
    <r>
      <rPr>
        <rFont val="ＭＳ Ｐゴシック"/>
        <sz val="10.0"/>
      </rPr>
      <t>から「好きだ」と告白され、もう一度彼と付き合うことになった。朝、目を覚ますと隣には妄想ではないマコチが眠っていることに、幸せを感じるユリカ。マコチは、チロリアン不動産の安藤</t>
    </r>
    <r>
      <rPr>
        <rFont val="Arial"/>
        <sz val="10.0"/>
      </rPr>
      <t>(</t>
    </r>
    <r>
      <rPr>
        <rFont val="ＭＳ Ｐゴシック"/>
        <sz val="10.0"/>
      </rPr>
      <t>小手伸也</t>
    </r>
    <r>
      <rPr>
        <rFont val="Arial"/>
        <sz val="10.0"/>
      </rPr>
      <t>)</t>
    </r>
    <r>
      <rPr>
        <rFont val="ＭＳ Ｐゴシック"/>
        <sz val="10.0"/>
      </rPr>
      <t>たちにユリカとの交際を報告し、皆から祝福を受ける。</t>
    </r>
    <r>
      <rPr>
        <rFont val="Arial"/>
        <sz val="10.0"/>
      </rPr>
      <t xml:space="preserve">  </t>
    </r>
    <r>
      <rPr>
        <rFont val="ＭＳ Ｐゴシック"/>
        <sz val="10.0"/>
      </rPr>
      <t>一方、さくら</t>
    </r>
    <r>
      <rPr>
        <rFont val="Arial"/>
        <sz val="10.0"/>
      </rPr>
      <t>(</t>
    </r>
    <r>
      <rPr>
        <rFont val="ＭＳ Ｐゴシック"/>
        <sz val="10.0"/>
      </rPr>
      <t>山口紗弥加</t>
    </r>
    <r>
      <rPr>
        <rFont val="Arial"/>
        <sz val="10.0"/>
      </rPr>
      <t>)</t>
    </r>
    <r>
      <rPr>
        <rFont val="ＭＳ Ｐゴシック"/>
        <sz val="10.0"/>
      </rPr>
      <t>は、女性たちに幸せを与え、自身の幸せも追求する輝く女性に贈られる『ハッピーウーマン</t>
    </r>
    <r>
      <rPr>
        <rFont val="Arial"/>
        <sz val="10.0"/>
      </rPr>
      <t>2019</t>
    </r>
    <r>
      <rPr>
        <rFont val="ＭＳ Ｐゴシック"/>
        <sz val="10.0"/>
      </rPr>
      <t>』に選ばれる。だが、その賞を主催しているのが自身の小説『がんそば』を出している出版社だと知ったさくらは、複雑な心境だった。</t>
    </r>
    <r>
      <rPr>
        <rFont val="Arial"/>
        <sz val="10.0"/>
      </rPr>
      <t xml:space="preserve">  </t>
    </r>
    <r>
      <rPr>
        <rFont val="ＭＳ Ｐゴシック"/>
        <sz val="10.0"/>
      </rPr>
      <t>ある日、チロリアン不動産にユリカが旅先で知り合った草木染作家の桃香</t>
    </r>
    <r>
      <rPr>
        <rFont val="Arial"/>
        <sz val="10.0"/>
      </rPr>
      <t>(</t>
    </r>
    <r>
      <rPr>
        <rFont val="ＭＳ Ｐゴシック"/>
        <sz val="10.0"/>
      </rPr>
      <t>矢田亜希子</t>
    </r>
    <r>
      <rPr>
        <rFont val="Arial"/>
        <sz val="10.0"/>
      </rPr>
      <t>)</t>
    </r>
    <r>
      <rPr>
        <rFont val="ＭＳ Ｐゴシック"/>
        <sz val="10.0"/>
      </rPr>
      <t>がやってくる。前夫と住んでいた家を売りたいのだという。マコチは、案件を抱えていたユリカに代わって、桃香の担当を引き受ける。</t>
    </r>
    <r>
      <rPr>
        <rFont val="Arial"/>
        <sz val="10.0"/>
      </rPr>
      <t xml:space="preserve">  </t>
    </r>
    <r>
      <rPr>
        <rFont val="ＭＳ Ｐゴシック"/>
        <sz val="10.0"/>
      </rPr>
      <t>そんな中、ユリカの発案でさくらの『ハッピーウーマン</t>
    </r>
    <r>
      <rPr>
        <rFont val="Arial"/>
        <sz val="10.0"/>
      </rPr>
      <t>2019</t>
    </r>
    <r>
      <rPr>
        <rFont val="ＭＳ Ｐゴシック"/>
        <sz val="10.0"/>
      </rPr>
      <t>』受賞祝いのパーティーが開かれることに。海外ドラマに出てくるパーティーのように、知っている人も知らない人も集まってパーッと騒ぎたいという、さくらのリクエストを受け、山下</t>
    </r>
    <r>
      <rPr>
        <rFont val="Arial"/>
        <sz val="10.0"/>
      </rPr>
      <t>(</t>
    </r>
    <r>
      <rPr>
        <rFont val="ＭＳ Ｐゴシック"/>
        <sz val="10.0"/>
      </rPr>
      <t>浜野謙太</t>
    </r>
    <r>
      <rPr>
        <rFont val="Arial"/>
        <sz val="10.0"/>
      </rPr>
      <t>)</t>
    </r>
    <r>
      <rPr>
        <rFont val="ＭＳ Ｐゴシック"/>
        <sz val="10.0"/>
      </rPr>
      <t>やむぎ</t>
    </r>
    <r>
      <rPr>
        <rFont val="Arial"/>
        <sz val="10.0"/>
      </rPr>
      <t>(</t>
    </r>
    <r>
      <rPr>
        <rFont val="ＭＳ Ｐゴシック"/>
        <sz val="10.0"/>
      </rPr>
      <t>田中みな実</t>
    </r>
    <r>
      <rPr>
        <rFont val="Arial"/>
        <sz val="10.0"/>
      </rPr>
      <t>)</t>
    </r>
    <r>
      <rPr>
        <rFont val="ＭＳ Ｐゴシック"/>
        <sz val="10.0"/>
      </rPr>
      <t>、チロリアン不動産の大沢</t>
    </r>
    <r>
      <rPr>
        <rFont val="Arial"/>
        <sz val="10.0"/>
      </rPr>
      <t>(</t>
    </r>
    <r>
      <rPr>
        <rFont val="ＭＳ Ｐゴシック"/>
        <sz val="10.0"/>
      </rPr>
      <t>森田甘路</t>
    </r>
    <r>
      <rPr>
        <rFont val="Arial"/>
        <sz val="10.0"/>
      </rPr>
      <t>)</t>
    </r>
    <r>
      <rPr>
        <rFont val="ＭＳ Ｐゴシック"/>
        <sz val="10.0"/>
      </rPr>
      <t>、白井</t>
    </r>
    <r>
      <rPr>
        <rFont val="Arial"/>
        <sz val="10.0"/>
      </rPr>
      <t>(</t>
    </r>
    <r>
      <rPr>
        <rFont val="ＭＳ Ｐゴシック"/>
        <sz val="10.0"/>
      </rPr>
      <t>関口メンディー</t>
    </r>
    <r>
      <rPr>
        <rFont val="Arial"/>
        <sz val="10.0"/>
      </rPr>
      <t>)</t>
    </r>
    <r>
      <rPr>
        <rFont val="ＭＳ Ｐゴシック"/>
        <sz val="10.0"/>
      </rPr>
      <t>にも声をかけるユリカ。すると、ユリカやひろ美</t>
    </r>
    <r>
      <rPr>
        <rFont val="Arial"/>
        <sz val="10.0"/>
      </rPr>
      <t>(</t>
    </r>
    <r>
      <rPr>
        <rFont val="ＭＳ Ｐゴシック"/>
        <sz val="10.0"/>
      </rPr>
      <t>よしこ</t>
    </r>
    <r>
      <rPr>
        <rFont val="Arial"/>
        <sz val="10.0"/>
      </rPr>
      <t>)</t>
    </r>
    <r>
      <rPr>
        <rFont val="ＭＳ Ｐゴシック"/>
        <sz val="10.0"/>
      </rPr>
      <t>の行きつけの店『</t>
    </r>
    <r>
      <rPr>
        <rFont val="Arial"/>
        <sz val="10.0"/>
      </rPr>
      <t>BAR</t>
    </r>
    <r>
      <rPr>
        <rFont val="ＭＳ Ｐゴシック"/>
        <sz val="10.0"/>
      </rPr>
      <t>ネコ目』を訪れていたむぎは、店にやってきた千鶴</t>
    </r>
    <r>
      <rPr>
        <rFont val="Arial"/>
        <sz val="10.0"/>
      </rPr>
      <t>(</t>
    </r>
    <r>
      <rPr>
        <rFont val="ＭＳ Ｐゴシック"/>
        <sz val="10.0"/>
      </rPr>
      <t>趣里</t>
    </r>
    <r>
      <rPr>
        <rFont val="Arial"/>
        <sz val="10.0"/>
      </rPr>
      <t>)</t>
    </r>
    <r>
      <rPr>
        <rFont val="ＭＳ Ｐゴシック"/>
        <sz val="10.0"/>
      </rPr>
      <t>をパーティーに誘い</t>
    </r>
    <r>
      <rPr>
        <rFont val="Arial"/>
        <sz val="10.0"/>
      </rPr>
      <t>…</t>
    </r>
    <r>
      <rPr>
        <rFont val="ＭＳ Ｐゴシック"/>
        <sz val="10.0"/>
      </rPr>
      <t>。</t>
    </r>
  </si>
  <si>
    <t>ユリカ(新木優子)は、マコチ(高良健吾)から「好きだ」と告白され、もう一度彼と付き合うことになった。朝、目を覚ますと隣には妄想ではないマコチが眠っていることに、幸せを感じるユリカ。マコチは、チロリアン不動産の安藤(小手伸也)たちにユリカとの交際を報告し、皆から祝福を受ける。  一方、さくら(山口紗弥加)は、女性たちに幸せを与え、自身の幸せも追求する輝く女性に贈られる『ハッピーウーマン2019』に選ばれる。だが、その賞を主催しているのが自身の小説『がんそば』を出している出版社だと知ったさくらは、複雑な心境だった。  ある日、チロリアン不動産にユリカが旅先で知り合った草木染作家の桃香(矢田亜希子)がやってくる。前夫と住んでいた家を売りたいのだという。マコチは、案件を抱えていたユリカに代わって、桃香の担当を引き受ける。  そんな中、ユリカの発案でさくらの『ハッピーウーマン2019』受賞祝いのパーティーが開かれることに。海外ドラマに出てくるパーティーのように、知っている人も知らない人も集まってパーッと騒ぎたいという、さくらのリクエストを受け、山下(浜野謙太)やむぎ(田中みな実)、チロリアン不動産の大沢(森田甘路)、白井(関口メンディー)にも声をかけるユリカ。すると、ユリカやひろ美(よしこ)の行きつけの店『BARネコ目』を訪れていたむぎは、店にやってきた千鶴(趣里)をパーティーに誘い…。</t>
  </si>
  <si>
    <t>番組名&lt;木曜劇場&gt;モトカレマニア【物語は最終章へ!究極の匂わせ女子現る】　#08</t>
  </si>
  <si>
    <r>
      <rPr>
        <rFont val="ＭＳ Ｐゴシック"/>
        <sz val="10.0"/>
      </rPr>
      <t>マコチ</t>
    </r>
    <r>
      <rPr>
        <rFont val="Arial"/>
        <sz val="10.0"/>
      </rPr>
      <t>(</t>
    </r>
    <r>
      <rPr>
        <rFont val="ＭＳ Ｐゴシック"/>
        <sz val="10.0"/>
      </rPr>
      <t>高良健吾</t>
    </r>
    <r>
      <rPr>
        <rFont val="Arial"/>
        <sz val="10.0"/>
      </rPr>
      <t>)</t>
    </r>
    <r>
      <rPr>
        <rFont val="ＭＳ Ｐゴシック"/>
        <sz val="10.0"/>
      </rPr>
      <t>は、ユリカ</t>
    </r>
    <r>
      <rPr>
        <rFont val="Arial"/>
        <sz val="10.0"/>
      </rPr>
      <t>(</t>
    </r>
    <r>
      <rPr>
        <rFont val="ＭＳ Ｐゴシック"/>
        <sz val="10.0"/>
      </rPr>
      <t>新木優子</t>
    </r>
    <r>
      <rPr>
        <rFont val="Arial"/>
        <sz val="10.0"/>
      </rPr>
      <t>)</t>
    </r>
    <r>
      <rPr>
        <rFont val="ＭＳ Ｐゴシック"/>
        <sz val="10.0"/>
      </rPr>
      <t>に「ふたりのこれからのことを真剣に考えよう」と言ったものの、自分に自信がないこともあって不安を隠せないでいた。ユリカは、このチャンスを逃せばマコチを失うことになると考え、勝負をかけようとする。そして、ユリカは、ふたりで一緒に住むための部屋探しを始めるが</t>
    </r>
    <r>
      <rPr>
        <rFont val="Arial"/>
        <sz val="10.0"/>
      </rPr>
      <t>…</t>
    </r>
    <r>
      <rPr>
        <rFont val="ＭＳ Ｐゴシック"/>
        <sz val="10.0"/>
      </rPr>
      <t>。</t>
    </r>
    <r>
      <rPr>
        <rFont val="Arial"/>
        <sz val="10.0"/>
      </rPr>
      <t xml:space="preserve">  </t>
    </r>
    <r>
      <rPr>
        <rFont val="ＭＳ Ｐゴシック"/>
        <sz val="10.0"/>
      </rPr>
      <t>そのころマコチは、別れた夫と住んでいた家を売りたいという草木染め作家・桃香</t>
    </r>
    <r>
      <rPr>
        <rFont val="Arial"/>
        <sz val="10.0"/>
      </rPr>
      <t>(</t>
    </r>
    <r>
      <rPr>
        <rFont val="ＭＳ Ｐゴシック"/>
        <sz val="10.0"/>
      </rPr>
      <t>矢田亜希子</t>
    </r>
    <r>
      <rPr>
        <rFont val="Arial"/>
        <sz val="10.0"/>
      </rPr>
      <t>)</t>
    </r>
    <r>
      <rPr>
        <rFont val="ＭＳ Ｐゴシック"/>
        <sz val="10.0"/>
      </rPr>
      <t>を担当していた。大沢</t>
    </r>
    <r>
      <rPr>
        <rFont val="Arial"/>
        <sz val="10.0"/>
      </rPr>
      <t>(</t>
    </r>
    <r>
      <rPr>
        <rFont val="ＭＳ Ｐゴシック"/>
        <sz val="10.0"/>
      </rPr>
      <t>森田甘路</t>
    </r>
    <r>
      <rPr>
        <rFont val="Arial"/>
        <sz val="10.0"/>
      </rPr>
      <t>)</t>
    </r>
    <r>
      <rPr>
        <rFont val="ＭＳ Ｐゴシック"/>
        <sz val="10.0"/>
      </rPr>
      <t>は、もともと桃香がユリカを指名していた経緯もあることから、公私混同を避ける意味で、マコチと交際していることは伏せておくようユリカたちに指示する。</t>
    </r>
    <r>
      <rPr>
        <rFont val="Arial"/>
        <sz val="10.0"/>
      </rPr>
      <t xml:space="preserve">  </t>
    </r>
    <r>
      <rPr>
        <rFont val="ＭＳ Ｐゴシック"/>
        <sz val="10.0"/>
      </rPr>
      <t>そんな折、ユリカは、さくら</t>
    </r>
    <r>
      <rPr>
        <rFont val="Arial"/>
        <sz val="10.0"/>
      </rPr>
      <t>(</t>
    </r>
    <r>
      <rPr>
        <rFont val="ＭＳ Ｐゴシック"/>
        <sz val="10.0"/>
      </rPr>
      <t>山口紗弥加</t>
    </r>
    <r>
      <rPr>
        <rFont val="Arial"/>
        <sz val="10.0"/>
      </rPr>
      <t>)</t>
    </r>
    <r>
      <rPr>
        <rFont val="ＭＳ Ｐゴシック"/>
        <sz val="10.0"/>
      </rPr>
      <t>のマンションで山下</t>
    </r>
    <r>
      <rPr>
        <rFont val="Arial"/>
        <sz val="10.0"/>
      </rPr>
      <t>(</t>
    </r>
    <r>
      <rPr>
        <rFont val="ＭＳ Ｐゴシック"/>
        <sz val="10.0"/>
      </rPr>
      <t>浜野謙太</t>
    </r>
    <r>
      <rPr>
        <rFont val="Arial"/>
        <sz val="10.0"/>
      </rPr>
      <t>)</t>
    </r>
    <r>
      <rPr>
        <rFont val="ＭＳ Ｐゴシック"/>
        <sz val="10.0"/>
      </rPr>
      <t>と別れたばかりのむぎ</t>
    </r>
    <r>
      <rPr>
        <rFont val="Arial"/>
        <sz val="10.0"/>
      </rPr>
      <t>(</t>
    </r>
    <r>
      <rPr>
        <rFont val="ＭＳ Ｐゴシック"/>
        <sz val="10.0"/>
      </rPr>
      <t>田中みな実</t>
    </r>
    <r>
      <rPr>
        <rFont val="Arial"/>
        <sz val="10.0"/>
      </rPr>
      <t>)</t>
    </r>
    <r>
      <rPr>
        <rFont val="ＭＳ Ｐゴシック"/>
        <sz val="10.0"/>
      </rPr>
      <t>に会う。間もなく北海道に帰るというむぎは、山下のことが好きだから自分の生き方で彼の人生を縛りたくない、と笑顔を見せると、さくらと和真</t>
    </r>
    <r>
      <rPr>
        <rFont val="Arial"/>
        <sz val="10.0"/>
      </rPr>
      <t>(</t>
    </r>
    <r>
      <rPr>
        <rFont val="ＭＳ Ｐゴシック"/>
        <sz val="10.0"/>
      </rPr>
      <t>淵上泰史</t>
    </r>
    <r>
      <rPr>
        <rFont val="Arial"/>
        <sz val="10.0"/>
      </rPr>
      <t>)</t>
    </r>
    <r>
      <rPr>
        <rFont val="ＭＳ Ｐゴシック"/>
        <sz val="10.0"/>
      </rPr>
      <t>の話を持ち出す。「ふたりの関係は恋ではなくうまくいかなかった過去への執着に見える」とさくらに告げるむぎ。その言葉を聞いたユリカはなぜか不安を覚え</t>
    </r>
    <r>
      <rPr>
        <rFont val="Arial"/>
        <sz val="10.0"/>
      </rPr>
      <t>…</t>
    </r>
    <r>
      <rPr>
        <rFont val="ＭＳ Ｐゴシック"/>
        <sz val="10.0"/>
      </rPr>
      <t>。</t>
    </r>
  </si>
  <si>
    <t>マコチ(高良健吾)は、ユリカ(新木優子)に「ふたりのこれからのことを真剣に考えよう」と言ったものの、自分に自信がないこともあって不安を隠せないでいた。ユリカは、このチャンスを逃せばマコチを失うことになると考え、勝負をかけようとする。そして、ユリカは、ふたりで一緒に住むための部屋探しを始めるが…。  そのころマコチは、別れた夫と住んでいた家を売りたいという草木染め作家・桃香(矢田亜希子)を担当していた。大沢(森田甘路)は、もともと桃香がユリカを指名していた経緯もあることから、公私混同を避ける意味で、マコチと交際していることは伏せておくようユリカたちに指示する。  そんな折、ユリカは、さくら(山口紗弥加)のマンションで山下(浜野謙太)と別れたばかりのむぎ(田中みな実)に会う。間もなく北海道に帰るというむぎは、山下のことが好きだから自分の生き方で彼の人生を縛りたくない、と笑顔を見せると、さくらと和真(淵上泰史)の話を持ち出す。「ふたりの関係は恋ではなくうまくいかなかった過去への執着に見える」とさくらに告げるむぎ。その言葉を聞いたユリカはなぜか不安を覚え…。</t>
  </si>
  <si>
    <t>番組名&lt;木曜劇場&gt;モトカレマニア【最終回!最後の告白、未来への決意】　#09</t>
  </si>
  <si>
    <r>
      <rPr>
        <rFont val="ＭＳ Ｐゴシック"/>
        <sz val="10.0"/>
      </rPr>
      <t>マコチ</t>
    </r>
    <r>
      <rPr>
        <rFont val="Arial"/>
        <sz val="10.0"/>
      </rPr>
      <t>(</t>
    </r>
    <r>
      <rPr>
        <rFont val="ＭＳ Ｐゴシック"/>
        <sz val="10.0"/>
      </rPr>
      <t>高良健吾</t>
    </r>
    <r>
      <rPr>
        <rFont val="Arial"/>
        <sz val="10.0"/>
      </rPr>
      <t>)</t>
    </r>
    <r>
      <rPr>
        <rFont val="ＭＳ Ｐゴシック"/>
        <sz val="10.0"/>
      </rPr>
      <t>と桃香</t>
    </r>
    <r>
      <rPr>
        <rFont val="Arial"/>
        <sz val="10.0"/>
      </rPr>
      <t>(</t>
    </r>
    <r>
      <rPr>
        <rFont val="ＭＳ Ｐゴシック"/>
        <sz val="10.0"/>
      </rPr>
      <t>矢田亜希子</t>
    </r>
    <r>
      <rPr>
        <rFont val="Arial"/>
        <sz val="10.0"/>
      </rPr>
      <t>)</t>
    </r>
    <r>
      <rPr>
        <rFont val="ＭＳ Ｐゴシック"/>
        <sz val="10.0"/>
      </rPr>
      <t>の関係を疑ってしまったユリカ</t>
    </r>
    <r>
      <rPr>
        <rFont val="Arial"/>
        <sz val="10.0"/>
      </rPr>
      <t>(</t>
    </r>
    <r>
      <rPr>
        <rFont val="ＭＳ Ｐゴシック"/>
        <sz val="10.0"/>
      </rPr>
      <t>新木優子</t>
    </r>
    <r>
      <rPr>
        <rFont val="Arial"/>
        <sz val="10.0"/>
      </rPr>
      <t>)</t>
    </r>
    <r>
      <rPr>
        <rFont val="ＭＳ Ｐゴシック"/>
        <sz val="10.0"/>
      </rPr>
      <t>は、彼に対する気持ちがわからなくなっていた。事情を知った山下</t>
    </r>
    <r>
      <rPr>
        <rFont val="Arial"/>
        <sz val="10.0"/>
      </rPr>
      <t>(</t>
    </r>
    <r>
      <rPr>
        <rFont val="ＭＳ Ｐゴシック"/>
        <sz val="10.0"/>
      </rPr>
      <t>浜野謙太</t>
    </r>
    <r>
      <rPr>
        <rFont val="Arial"/>
        <sz val="10.0"/>
      </rPr>
      <t>)</t>
    </r>
    <r>
      <rPr>
        <rFont val="ＭＳ Ｐゴシック"/>
        <sz val="10.0"/>
      </rPr>
      <t>は、マコチと向き合えないことを悩むのは、向き合おうと思っているからだと、ユリカを励ます。同じころ、さくら</t>
    </r>
    <r>
      <rPr>
        <rFont val="Arial"/>
        <sz val="10.0"/>
      </rPr>
      <t>(</t>
    </r>
    <r>
      <rPr>
        <rFont val="ＭＳ Ｐゴシック"/>
        <sz val="10.0"/>
      </rPr>
      <t>山口紗弥加</t>
    </r>
    <r>
      <rPr>
        <rFont val="Arial"/>
        <sz val="10.0"/>
      </rPr>
      <t>)</t>
    </r>
    <r>
      <rPr>
        <rFont val="ＭＳ Ｐゴシック"/>
        <sz val="10.0"/>
      </rPr>
      <t>は、元カレの和真</t>
    </r>
    <r>
      <rPr>
        <rFont val="Arial"/>
        <sz val="10.0"/>
      </rPr>
      <t>(</t>
    </r>
    <r>
      <rPr>
        <rFont val="ＭＳ Ｐゴシック"/>
        <sz val="10.0"/>
      </rPr>
      <t>淵上泰史</t>
    </r>
    <r>
      <rPr>
        <rFont val="Arial"/>
        <sz val="10.0"/>
      </rPr>
      <t>)</t>
    </r>
    <r>
      <rPr>
        <rFont val="ＭＳ Ｐゴシック"/>
        <sz val="10.0"/>
      </rPr>
      <t>から「絶対幸せにするから待っていてほしい」と言われる。それに対してさくらは、ひとりで考えたいと返す。さくらは、アパートに帰ることができずに訪ねてきたユリカに、和真のことを打ち明けた。さくらは「家族を捨てるような人は好きじゃないのに、揺れている自分が面倒くさい」とユリカに告げる。</t>
    </r>
    <r>
      <rPr>
        <rFont val="Arial"/>
        <sz val="10.0"/>
      </rPr>
      <t xml:space="preserve">  </t>
    </r>
    <r>
      <rPr>
        <rFont val="ＭＳ Ｐゴシック"/>
        <sz val="10.0"/>
      </rPr>
      <t>あくる日、桃香の家を訪れたマコチは、自分で染めた草木染めをユリカにプレゼントするサプライズに失敗したことを話す。その話を聞いた桃香は、マコチの恋人がユリカだと気づき、誤解を解くためにチロリアン不動産を訪ねる。その夜、さくらのマンションにいきなり白井</t>
    </r>
    <r>
      <rPr>
        <rFont val="Arial"/>
        <sz val="10.0"/>
      </rPr>
      <t>(</t>
    </r>
    <r>
      <rPr>
        <rFont val="ＭＳ Ｐゴシック"/>
        <sz val="10.0"/>
      </rPr>
      <t>関口メンディー</t>
    </r>
    <r>
      <rPr>
        <rFont val="Arial"/>
        <sz val="10.0"/>
      </rPr>
      <t>)</t>
    </r>
    <r>
      <rPr>
        <rFont val="ＭＳ Ｐゴシック"/>
        <sz val="10.0"/>
      </rPr>
      <t>が訪ねてくる。冷え性のさくらのためにプロテインを差し入れた白井は、さくらの人気シリーズ『がんそば』を読み始める。それがさくらの実体験だと知った白井は</t>
    </r>
    <r>
      <rPr>
        <rFont val="Arial"/>
        <sz val="10.0"/>
      </rPr>
      <t>…</t>
    </r>
    <r>
      <rPr>
        <rFont val="ＭＳ Ｐゴシック"/>
        <sz val="10.0"/>
      </rPr>
      <t>。</t>
    </r>
    <r>
      <rPr>
        <rFont val="Arial"/>
        <sz val="10.0"/>
      </rPr>
      <t xml:space="preserve">  </t>
    </r>
    <r>
      <rPr>
        <rFont val="ＭＳ Ｐゴシック"/>
        <sz val="10.0"/>
      </rPr>
      <t>そんな中ユリカは、桃香と会ったことをマコチに伝える。「全部俺が悪い」と謝り、ふたりで住む部屋の契約に行こうと誘うマコチ。しかしユリカは、一度距離を置きたいと言いだし</t>
    </r>
    <r>
      <rPr>
        <rFont val="Arial"/>
        <sz val="10.0"/>
      </rPr>
      <t>…</t>
    </r>
    <r>
      <rPr>
        <rFont val="ＭＳ Ｐゴシック"/>
        <sz val="10.0"/>
      </rPr>
      <t>。</t>
    </r>
  </si>
  <si>
    <t>マコチ(高良健吾)と桃香(矢田亜希子)の関係を疑ってしまったユリカ(新木優子)は、彼に対する気持ちがわからなくなっていた。事情を知った山下(浜野謙太)は、マコチと向き合えないことを悩むのは、向き合おうと思っているからだと、ユリカを励ます。同じころ、さくら(山口紗弥加)は、元カレの和真(淵上泰史)から「絶対幸せにするから待っていてほしい」と言われる。それに対してさくらは、ひとりで考えたいと返す。さくらは、アパートに帰ることができずに訪ねてきたユリカに、和真のことを打ち明けた。さくらは「家族を捨てるような人は好きじゃないのに、揺れている自分が面倒くさい」とユリカに告げる。  あくる日、桃香の家を訪れたマコチは、自分で染めた草木染めをユリカにプレゼントするサプライズに失敗したことを話す。その話を聞いた桃香は、マコチの恋人がユリカだと気づき、誤解を解くためにチロリアン不動産を訪ねる。その夜、さくらのマンションにいきなり白井(関口メンディー)が訪ねてくる。冷え性のさくらのためにプロテインを差し入れた白井は、さくらの人気シリーズ『がんそば』を読み始める。それがさくらの実体験だと知った白井は…。  そんな中ユリカは、桃香と会ったことをマコチに伝える。「全部俺が悪い」と謝り、ふたりで住む部屋の契約に行こうと誘うマコチ。しかしユリカは、一度距離を置きたいと言いだし…。</t>
  </si>
  <si>
    <t>1907_CX_木22</t>
  </si>
  <si>
    <t>ルパンの娘</t>
  </si>
  <si>
    <t>番組名&lt;木曜劇場&gt;ルパンの娘【セクシー怪盗・深田恭子!禁断の恋に落ちる】　#01</t>
  </si>
  <si>
    <r>
      <rPr>
        <rFont val="ＭＳ Ｐゴシック"/>
        <sz val="10.0"/>
      </rPr>
      <t>☆笑い</t>
    </r>
    <r>
      <rPr>
        <rFont val="Arial"/>
        <sz val="10.0"/>
      </rPr>
      <t>&amp;</t>
    </r>
    <r>
      <rPr>
        <rFont val="ＭＳ Ｐゴシック"/>
        <sz val="10.0"/>
      </rPr>
      <t>ラブ</t>
    </r>
    <r>
      <rPr>
        <rFont val="Arial"/>
        <sz val="10.0"/>
      </rPr>
      <t>&amp;</t>
    </r>
    <r>
      <rPr>
        <rFont val="ＭＳ Ｐゴシック"/>
        <sz val="10.0"/>
      </rPr>
      <t>家族ドラマ</t>
    </r>
    <r>
      <rPr>
        <rFont val="Arial"/>
        <sz val="10.0"/>
      </rPr>
      <t>&amp;</t>
    </r>
    <r>
      <rPr>
        <rFont val="ＭＳ Ｐゴシック"/>
        <sz val="10.0"/>
      </rPr>
      <t>サスペンス</t>
    </r>
    <r>
      <rPr>
        <rFont val="Arial"/>
        <sz val="10.0"/>
      </rPr>
      <t>&amp;</t>
    </r>
    <r>
      <rPr>
        <rFont val="ＭＳ Ｐゴシック"/>
        <sz val="10.0"/>
      </rPr>
      <t>アクション</t>
    </r>
    <r>
      <rPr>
        <rFont val="Arial"/>
        <sz val="10.0"/>
      </rPr>
      <t>&amp;</t>
    </r>
    <r>
      <rPr>
        <rFont val="ＭＳ Ｐゴシック"/>
        <sz val="10.0"/>
      </rPr>
      <t>ミュージカル</t>
    </r>
    <r>
      <rPr>
        <rFont val="Arial"/>
        <sz val="10.0"/>
      </rPr>
      <t>!</t>
    </r>
    <r>
      <rPr>
        <rFont val="ＭＳ Ｐゴシック"/>
        <sz val="10.0"/>
      </rPr>
      <t>エンタメてんこ盛りの贅沢なラブコメディ</t>
    </r>
    <r>
      <rPr>
        <rFont val="Arial"/>
        <sz val="10.0"/>
      </rPr>
      <t>!!</t>
    </r>
    <r>
      <rPr>
        <rFont val="ＭＳ Ｐゴシック"/>
        <sz val="10.0"/>
      </rPr>
      <t xml:space="preserve">　図書館に勤める三雲華</t>
    </r>
    <r>
      <rPr>
        <rFont val="Arial"/>
        <sz val="10.0"/>
      </rPr>
      <t>(</t>
    </r>
    <r>
      <rPr>
        <rFont val="ＭＳ Ｐゴシック"/>
        <sz val="10.0"/>
      </rPr>
      <t>深田恭子</t>
    </r>
    <r>
      <rPr>
        <rFont val="Arial"/>
        <sz val="10.0"/>
      </rPr>
      <t>)</t>
    </r>
    <r>
      <rPr>
        <rFont val="ＭＳ Ｐゴシック"/>
        <sz val="10.0"/>
      </rPr>
      <t>は、恋人の桜庭和馬</t>
    </r>
    <r>
      <rPr>
        <rFont val="Arial"/>
        <sz val="10.0"/>
      </rPr>
      <t>(</t>
    </r>
    <r>
      <rPr>
        <rFont val="ＭＳ Ｐゴシック"/>
        <sz val="10.0"/>
      </rPr>
      <t>瀬戸康史</t>
    </r>
    <r>
      <rPr>
        <rFont val="Arial"/>
        <sz val="10.0"/>
      </rPr>
      <t>)</t>
    </r>
    <r>
      <rPr>
        <rFont val="ＭＳ Ｐゴシック"/>
        <sz val="10.0"/>
      </rPr>
      <t>の家族を初めて紹介されて、ガチガチに緊張している。和馬の父、典和</t>
    </r>
    <r>
      <rPr>
        <rFont val="Arial"/>
        <sz val="10.0"/>
      </rPr>
      <t>(</t>
    </r>
    <r>
      <rPr>
        <rFont val="ＭＳ Ｐゴシック"/>
        <sz val="10.0"/>
      </rPr>
      <t>信太昌之</t>
    </r>
    <r>
      <rPr>
        <rFont val="Arial"/>
        <sz val="10.0"/>
      </rPr>
      <t>)</t>
    </r>
    <r>
      <rPr>
        <rFont val="ＭＳ Ｐゴシック"/>
        <sz val="10.0"/>
      </rPr>
      <t>の口調は厳しく、母の美佐子</t>
    </r>
    <r>
      <rPr>
        <rFont val="Arial"/>
        <sz val="10.0"/>
      </rPr>
      <t>(</t>
    </r>
    <r>
      <rPr>
        <rFont val="ＭＳ Ｐゴシック"/>
        <sz val="10.0"/>
      </rPr>
      <t>マルシア</t>
    </r>
    <r>
      <rPr>
        <rFont val="Arial"/>
        <sz val="10.0"/>
      </rPr>
      <t>)</t>
    </r>
    <r>
      <rPr>
        <rFont val="ＭＳ Ｐゴシック"/>
        <sz val="10.0"/>
      </rPr>
      <t>も華の勤め先にガッカリした様子。和馬が公務員としか聞いていなかった華だったが、桜庭家は代々警察官の一族だったのだ。それを聞いて震え上がり、さらに和馬が警視庁捜査三課と知った華は</t>
    </r>
    <r>
      <rPr>
        <rFont val="Arial"/>
        <sz val="10.0"/>
      </rPr>
      <t>…</t>
    </r>
    <r>
      <rPr>
        <rFont val="ＭＳ Ｐゴシック"/>
        <sz val="10.0"/>
      </rPr>
      <t>。</t>
    </r>
    <r>
      <rPr>
        <rFont val="Arial"/>
        <sz val="10.0"/>
      </rPr>
      <t xml:space="preserve">    </t>
    </r>
    <r>
      <rPr>
        <rFont val="ＭＳ Ｐゴシック"/>
        <sz val="10.0"/>
      </rPr>
      <t xml:space="preserve">　その日、和馬に送ってもらった華は平凡な一軒家に入って行く。和馬の車が去ると、その家からそっと抜け出し、タワーマンションの高層階へ。実はここが本当の三雲家。高級な猫を抱いた母の悦子</t>
    </r>
    <r>
      <rPr>
        <rFont val="Arial"/>
        <sz val="10.0"/>
      </rPr>
      <t>(</t>
    </r>
    <r>
      <rPr>
        <rFont val="ＭＳ Ｐゴシック"/>
        <sz val="10.0"/>
      </rPr>
      <t>小沢真珠</t>
    </r>
    <r>
      <rPr>
        <rFont val="Arial"/>
        <sz val="10.0"/>
      </rPr>
      <t>)</t>
    </r>
    <r>
      <rPr>
        <rFont val="ＭＳ Ｐゴシック"/>
        <sz val="10.0"/>
      </rPr>
      <t>、キャビアをつまみにワインを傾ける父の尊</t>
    </r>
    <r>
      <rPr>
        <rFont val="Arial"/>
        <sz val="10.0"/>
      </rPr>
      <t>(</t>
    </r>
    <r>
      <rPr>
        <rFont val="ＭＳ Ｐゴシック"/>
        <sz val="10.0"/>
      </rPr>
      <t>渡部篤郎</t>
    </r>
    <r>
      <rPr>
        <rFont val="Arial"/>
        <sz val="10.0"/>
      </rPr>
      <t>)</t>
    </r>
    <r>
      <rPr>
        <rFont val="ＭＳ Ｐゴシック"/>
        <sz val="10.0"/>
      </rPr>
      <t>、トラフグを調理中の祖母マツ</t>
    </r>
    <r>
      <rPr>
        <rFont val="Arial"/>
        <sz val="10.0"/>
      </rPr>
      <t>(</t>
    </r>
    <r>
      <rPr>
        <rFont val="ＭＳ Ｐゴシック"/>
        <sz val="10.0"/>
      </rPr>
      <t>どんぐり</t>
    </r>
    <r>
      <rPr>
        <rFont val="Arial"/>
        <sz val="10.0"/>
      </rPr>
      <t>)</t>
    </r>
    <r>
      <rPr>
        <rFont val="ＭＳ Ｐゴシック"/>
        <sz val="10.0"/>
      </rPr>
      <t>が華を迎え入れた。だが、猫もキャビアもトラフグも</t>
    </r>
    <r>
      <rPr>
        <rFont val="Arial"/>
        <sz val="10.0"/>
      </rPr>
      <t>…</t>
    </r>
    <r>
      <rPr>
        <rFont val="ＭＳ Ｐゴシック"/>
        <sz val="10.0"/>
      </rPr>
      <t>他人様から失敬したものばかり。そう、三雲家は泥棒一家。華は和馬を諦めようと考える。</t>
    </r>
    <r>
      <rPr>
        <rFont val="Arial"/>
        <sz val="10.0"/>
      </rPr>
      <t xml:space="preserve">    </t>
    </r>
    <r>
      <rPr>
        <rFont val="ＭＳ Ｐゴシック"/>
        <sz val="10.0"/>
      </rPr>
      <t xml:space="preserve">　一方、和馬は典和に捜査一課の刑事になれたら華との交際を認めても良いと言われる。和馬が三課の先輩刑事・巻</t>
    </r>
    <r>
      <rPr>
        <rFont val="Arial"/>
        <sz val="10.0"/>
      </rPr>
      <t>(</t>
    </r>
    <r>
      <rPr>
        <rFont val="ＭＳ Ｐゴシック"/>
        <sz val="10.0"/>
      </rPr>
      <t>加藤諒</t>
    </r>
    <r>
      <rPr>
        <rFont val="Arial"/>
        <sz val="10.0"/>
      </rPr>
      <t>)</t>
    </r>
    <r>
      <rPr>
        <rFont val="ＭＳ Ｐゴシック"/>
        <sz val="10.0"/>
      </rPr>
      <t>に相談すると、先祖代々家族全員が盗みの専門家</t>
    </r>
    <r>
      <rPr>
        <rFont val="Arial"/>
        <sz val="10.0"/>
      </rPr>
      <t>“L</t>
    </r>
    <r>
      <rPr>
        <rFont val="ＭＳ Ｐゴシック"/>
        <sz val="10.0"/>
      </rPr>
      <t>の一族</t>
    </r>
    <r>
      <rPr>
        <rFont val="Arial"/>
        <sz val="10.0"/>
      </rPr>
      <t>"</t>
    </r>
    <r>
      <rPr>
        <rFont val="ＭＳ Ｐゴシック"/>
        <sz val="10.0"/>
      </rPr>
      <t>を捕まえろとアドバイスされる。決して尻尾を出さない、それでいて弱者からは盗みを働かない、まるで</t>
    </r>
    <r>
      <rPr>
        <rFont val="Arial"/>
        <sz val="10.0"/>
      </rPr>
      <t>“</t>
    </r>
    <r>
      <rPr>
        <rFont val="ＭＳ Ｐゴシック"/>
        <sz val="10.0"/>
      </rPr>
      <t>アルセーヌ・ルパン</t>
    </r>
    <r>
      <rPr>
        <rFont val="Arial"/>
        <sz val="10.0"/>
      </rPr>
      <t>"</t>
    </r>
    <r>
      <rPr>
        <rFont val="ＭＳ Ｐゴシック"/>
        <sz val="10.0"/>
      </rPr>
      <t>のような大胆不敵な犯行から</t>
    </r>
    <r>
      <rPr>
        <rFont val="Arial"/>
        <sz val="10.0"/>
      </rPr>
      <t>“L"</t>
    </r>
    <r>
      <rPr>
        <rFont val="ＭＳ Ｐゴシック"/>
        <sz val="10.0"/>
      </rPr>
      <t>がつけられる一家。和馬は彼らを捕まえる決心をするが、その一族こそ、華の家族・三雲家だった。</t>
    </r>
  </si>
  <si>
    <t>☆笑い&amp;ラブ&amp;家族ドラマ&amp;サスペンス&amp;アクション&amp;ミュージカル!エンタメてんこ盛りの贅沢なラブコメディ!!　図書館に勤める三雲華(深田恭子)は、恋人の桜庭和馬(瀬戸康史)の家族を初めて紹介されて、ガチガチに緊張している。和馬の父、典和(信太昌之)の口調は厳しく、母の美佐子(マルシア)も華の勤め先にガッカリした様子。和馬が公務員としか聞いていなかった華だったが、桜庭家は代々警察官の一族だったのだ。それを聞いて震え上がり、さらに和馬が警視庁捜査三課と知った華は…。    　その日、和馬に送ってもらった華は平凡な一軒家に入って行く。和馬の車が去ると、その家からそっと抜け出し、タワーマンションの高層階へ。実はここが本当の三雲家。高級な猫を抱いた母の悦子(小沢真珠)、キャビアをつまみにワインを傾ける父の尊(渡部篤郎)、トラフグを調理中の祖母マツ(どんぐり)が華を迎え入れた。だが、猫もキャビアもトラフグも…他人様から失敬したものばかり。そう、三雲家は泥棒一家。華は和馬を諦めようと考える。    　一方、和馬は典和に捜査一課の刑事になれたら華との交際を認めても良いと言われる。和馬が三課の先輩刑事・巻(加藤諒)に相談すると、先祖代々家族全員が盗みの専門家“Lの一族"を捕まえろとアドバイスされる。決して尻尾を出さない、それでいて弱者からは盗みを働かない、まるで“アルセーヌ・ルパン"のような大胆不敵な犯行から“L"がつけられる一家。和馬は彼らを捕まえる決心をするが、その一族こそ、華の家族・三雲家だった。</t>
  </si>
  <si>
    <t>番組名&lt;木曜劇場&gt;ルパンの娘【世界がツッコんだ!濃厚キャラ大渋滞コメディ】　#02</t>
  </si>
  <si>
    <r>
      <rPr>
        <rFont val="ＭＳ Ｐゴシック"/>
        <sz val="10.0"/>
      </rPr>
      <t>☆笑い</t>
    </r>
    <r>
      <rPr>
        <rFont val="Arial"/>
        <sz val="10.0"/>
      </rPr>
      <t>&amp;</t>
    </r>
    <r>
      <rPr>
        <rFont val="ＭＳ Ｐゴシック"/>
        <sz val="10.0"/>
      </rPr>
      <t>ラブ</t>
    </r>
    <r>
      <rPr>
        <rFont val="Arial"/>
        <sz val="10.0"/>
      </rPr>
      <t>&amp;</t>
    </r>
    <r>
      <rPr>
        <rFont val="ＭＳ Ｐゴシック"/>
        <sz val="10.0"/>
      </rPr>
      <t>家族ドラマ</t>
    </r>
    <r>
      <rPr>
        <rFont val="Arial"/>
        <sz val="10.0"/>
      </rPr>
      <t>&amp;</t>
    </r>
    <r>
      <rPr>
        <rFont val="ＭＳ Ｐゴシック"/>
        <sz val="10.0"/>
      </rPr>
      <t>サスペンス</t>
    </r>
    <r>
      <rPr>
        <rFont val="Arial"/>
        <sz val="10.0"/>
      </rPr>
      <t>&amp;</t>
    </r>
    <r>
      <rPr>
        <rFont val="ＭＳ Ｐゴシック"/>
        <sz val="10.0"/>
      </rPr>
      <t>アクション</t>
    </r>
    <r>
      <rPr>
        <rFont val="Arial"/>
        <sz val="10.0"/>
      </rPr>
      <t>&amp;</t>
    </r>
    <r>
      <rPr>
        <rFont val="ＭＳ Ｐゴシック"/>
        <sz val="10.0"/>
      </rPr>
      <t>ミュージカル</t>
    </r>
    <r>
      <rPr>
        <rFont val="Arial"/>
        <sz val="10.0"/>
      </rPr>
      <t>!</t>
    </r>
    <r>
      <rPr>
        <rFont val="ＭＳ Ｐゴシック"/>
        <sz val="10.0"/>
      </rPr>
      <t>エンタメてんこ盛りの贅沢なラブコメディ</t>
    </r>
    <r>
      <rPr>
        <rFont val="Arial"/>
        <sz val="10.0"/>
      </rPr>
      <t>!!</t>
    </r>
    <r>
      <rPr>
        <rFont val="ＭＳ Ｐゴシック"/>
        <sz val="10.0"/>
      </rPr>
      <t>三雲華</t>
    </r>
    <r>
      <rPr>
        <rFont val="Arial"/>
        <sz val="10.0"/>
      </rPr>
      <t>(</t>
    </r>
    <r>
      <rPr>
        <rFont val="ＭＳ Ｐゴシック"/>
        <sz val="10.0"/>
      </rPr>
      <t>深田恭子</t>
    </r>
    <r>
      <rPr>
        <rFont val="Arial"/>
        <sz val="10.0"/>
      </rPr>
      <t>)</t>
    </r>
    <r>
      <rPr>
        <rFont val="ＭＳ Ｐゴシック"/>
        <sz val="10.0"/>
      </rPr>
      <t>は泥棒一家</t>
    </r>
    <r>
      <rPr>
        <rFont val="Arial"/>
        <sz val="10.0"/>
      </rPr>
      <t>“L</t>
    </r>
    <r>
      <rPr>
        <rFont val="ＭＳ Ｐゴシック"/>
        <sz val="10.0"/>
      </rPr>
      <t>の一族</t>
    </r>
    <r>
      <rPr>
        <rFont val="Arial"/>
        <sz val="10.0"/>
      </rPr>
      <t>"</t>
    </r>
    <r>
      <rPr>
        <rFont val="ＭＳ Ｐゴシック"/>
        <sz val="10.0"/>
      </rPr>
      <t>の娘であることに思い悩んでいる。なぜなら、恋人の桜庭和馬</t>
    </r>
    <r>
      <rPr>
        <rFont val="Arial"/>
        <sz val="10.0"/>
      </rPr>
      <t>(</t>
    </r>
    <r>
      <rPr>
        <rFont val="ＭＳ Ｐゴシック"/>
        <sz val="10.0"/>
      </rPr>
      <t>瀬戸康史</t>
    </r>
    <r>
      <rPr>
        <rFont val="Arial"/>
        <sz val="10.0"/>
      </rPr>
      <t>)</t>
    </r>
    <r>
      <rPr>
        <rFont val="ＭＳ Ｐゴシック"/>
        <sz val="10.0"/>
      </rPr>
      <t>は警察一家の息子だからだ。和馬の家族と自分の家族を会わせるなど、華にとってはもってのほか。そんな華の願いもむなしく、和馬が母の美佐子</t>
    </r>
    <r>
      <rPr>
        <rFont val="Arial"/>
        <sz val="10.0"/>
      </rPr>
      <t>(</t>
    </r>
    <r>
      <rPr>
        <rFont val="ＭＳ Ｐゴシック"/>
        <sz val="10.0"/>
      </rPr>
      <t>マルシア</t>
    </r>
    <r>
      <rPr>
        <rFont val="Arial"/>
        <sz val="10.0"/>
      </rPr>
      <t>)</t>
    </r>
    <r>
      <rPr>
        <rFont val="ＭＳ Ｐゴシック"/>
        <sz val="10.0"/>
      </rPr>
      <t>、父の典和</t>
    </r>
    <r>
      <rPr>
        <rFont val="Arial"/>
        <sz val="10.0"/>
      </rPr>
      <t>(</t>
    </r>
    <r>
      <rPr>
        <rFont val="ＭＳ Ｐゴシック"/>
        <sz val="10.0"/>
      </rPr>
      <t>信太昌之</t>
    </r>
    <r>
      <rPr>
        <rFont val="Arial"/>
        <sz val="10.0"/>
      </rPr>
      <t>)</t>
    </r>
    <r>
      <rPr>
        <rFont val="ＭＳ Ｐゴシック"/>
        <sz val="10.0"/>
      </rPr>
      <t>、元警察犬のドンまで連れて三雲家にあいさつに来てしまう。玄関に入った美佐子と典和は、警察官の嗅覚でいろいろと探り始め、華は気が気でない。幸い、ダミーの家に尊</t>
    </r>
    <r>
      <rPr>
        <rFont val="Arial"/>
        <sz val="10.0"/>
      </rPr>
      <t>(</t>
    </r>
    <r>
      <rPr>
        <rFont val="ＭＳ Ｐゴシック"/>
        <sz val="10.0"/>
      </rPr>
      <t>渡部篤郎</t>
    </r>
    <r>
      <rPr>
        <rFont val="Arial"/>
        <sz val="10.0"/>
      </rPr>
      <t>)</t>
    </r>
    <r>
      <rPr>
        <rFont val="ＭＳ Ｐゴシック"/>
        <sz val="10.0"/>
      </rPr>
      <t>、悦子</t>
    </r>
    <r>
      <rPr>
        <rFont val="Arial"/>
        <sz val="10.0"/>
      </rPr>
      <t>(</t>
    </r>
    <r>
      <rPr>
        <rFont val="ＭＳ Ｐゴシック"/>
        <sz val="10.0"/>
      </rPr>
      <t>小沢真珠</t>
    </r>
    <r>
      <rPr>
        <rFont val="Arial"/>
        <sz val="10.0"/>
      </rPr>
      <t>)</t>
    </r>
    <r>
      <rPr>
        <rFont val="ＭＳ Ｐゴシック"/>
        <sz val="10.0"/>
      </rPr>
      <t>たちの姿がなく華は胸を撫で下ろす。ところが、尊たちが秘密の通路からやって来てしまった。</t>
    </r>
    <r>
      <rPr>
        <rFont val="Arial"/>
        <sz val="10.0"/>
      </rPr>
      <t xml:space="preserve">  </t>
    </r>
    <r>
      <rPr>
        <rFont val="ＭＳ Ｐゴシック"/>
        <sz val="10.0"/>
      </rPr>
      <t>図らずも両家の親たちの顔合わせになってしまい、華は和馬たちの職業を尊たちにバレないようにしようと必死。尊たちは泥棒とは言わないが、おかしな職業を作り上げているので、やはりハラハラしっぱなしの華。後から現れたマツ</t>
    </r>
    <r>
      <rPr>
        <rFont val="Arial"/>
        <sz val="10.0"/>
      </rPr>
      <t>(</t>
    </r>
    <r>
      <rPr>
        <rFont val="ＭＳ Ｐゴシック"/>
        <sz val="10.0"/>
      </rPr>
      <t>どんぐり</t>
    </r>
    <r>
      <rPr>
        <rFont val="Arial"/>
        <sz val="10.0"/>
      </rPr>
      <t>)</t>
    </r>
    <r>
      <rPr>
        <rFont val="ＭＳ Ｐゴシック"/>
        <sz val="10.0"/>
      </rPr>
      <t>は、尊と一緒に公務員批判を繰り広げ始める。両家は睨み合いになってしまうが、意外なことで尊と典和が意気投合。別々の高校に在学していた時に、野球部で試合をしていたのだ。</t>
    </r>
    <r>
      <rPr>
        <rFont val="Arial"/>
        <sz val="10.0"/>
      </rPr>
      <t xml:space="preserve">  </t>
    </r>
    <r>
      <rPr>
        <rFont val="ＭＳ Ｐゴシック"/>
        <sz val="10.0"/>
      </rPr>
      <t>とりあえずホッとする華だが、美佐子は典和とは違っていた。後日、華は美佐子から和馬と別れて欲しいと言われてしまう。やはり和馬と別れた方が良いのかと華は悩む。そのころ、和馬はアポ電強盗事件を担当。一方、三雲家は、ある会社社長が所有する名画を盗む計画をしていた。</t>
    </r>
  </si>
  <si>
    <t>☆笑い&amp;ラブ&amp;家族ドラマ&amp;サスペンス&amp;アクション&amp;ミュージカル!エンタメてんこ盛りの贅沢なラブコメディ!!三雲華(深田恭子)は泥棒一家“Lの一族"の娘であることに思い悩んでいる。なぜなら、恋人の桜庭和馬(瀬戸康史)は警察一家の息子だからだ。和馬の家族と自分の家族を会わせるなど、華にとってはもってのほか。そんな華の願いもむなしく、和馬が母の美佐子(マルシア)、父の典和(信太昌之)、元警察犬のドンまで連れて三雲家にあいさつに来てしまう。玄関に入った美佐子と典和は、警察官の嗅覚でいろいろと探り始め、華は気が気でない。幸い、ダミーの家に尊(渡部篤郎)、悦子(小沢真珠)たちの姿がなく華は胸を撫で下ろす。ところが、尊たちが秘密の通路からやって来てしまった。  図らずも両家の親たちの顔合わせになってしまい、華は和馬たちの職業を尊たちにバレないようにしようと必死。尊たちは泥棒とは言わないが、おかしな職業を作り上げているので、やはりハラハラしっぱなしの華。後から現れたマツ(どんぐり)は、尊と一緒に公務員批判を繰り広げ始める。両家は睨み合いになってしまうが、意外なことで尊と典和が意気投合。別々の高校に在学していた時に、野球部で試合をしていたのだ。  とりあえずホッとする華だが、美佐子は典和とは違っていた。後日、華は美佐子から和馬と別れて欲しいと言われてしまう。やはり和馬と別れた方が良いのかと華は悩む。そのころ、和馬はアポ電強盗事件を担当。一方、三雲家は、ある会社社長が所有する名画を盗む計画をしていた。</t>
  </si>
  <si>
    <t>番組名&lt;木曜劇場&gt;ルパンの娘【嫁姑バトル!鬼の鑑識官が泥棒娘の正体に迫る】　#03</t>
  </si>
  <si>
    <r>
      <rPr>
        <rFont val="ＭＳ Ｐゴシック"/>
        <sz val="10.0"/>
      </rPr>
      <t>☆アクション、サスペンス、家族ドラマ、ミュージカル要素まで詰め込んだ極限のラブ</t>
    </r>
    <r>
      <rPr>
        <rFont val="Arial"/>
        <sz val="10.0"/>
      </rPr>
      <t>&amp;</t>
    </r>
    <r>
      <rPr>
        <rFont val="ＭＳ Ｐゴシック"/>
        <sz val="10.0"/>
      </rPr>
      <t>コメディ</t>
    </r>
    <r>
      <rPr>
        <rFont val="Arial"/>
        <sz val="10.0"/>
      </rPr>
      <t>!</t>
    </r>
    <r>
      <rPr>
        <rFont val="ＭＳ Ｐゴシック"/>
        <sz val="10.0"/>
      </rPr>
      <t>令和のロミオ</t>
    </r>
    <r>
      <rPr>
        <rFont val="Arial"/>
        <sz val="10.0"/>
      </rPr>
      <t>&amp;</t>
    </r>
    <r>
      <rPr>
        <rFont val="ＭＳ Ｐゴシック"/>
        <sz val="10.0"/>
      </rPr>
      <t>ジュリエットは今夜も濃厚キャラが大渋滞</t>
    </r>
    <r>
      <rPr>
        <rFont val="Arial"/>
        <sz val="10.0"/>
      </rPr>
      <t>!</t>
    </r>
    <r>
      <rPr>
        <rFont val="ＭＳ Ｐゴシック"/>
        <sz val="10.0"/>
      </rPr>
      <t>三雲華</t>
    </r>
    <r>
      <rPr>
        <rFont val="Arial"/>
        <sz val="10.0"/>
      </rPr>
      <t>(</t>
    </r>
    <r>
      <rPr>
        <rFont val="ＭＳ Ｐゴシック"/>
        <sz val="10.0"/>
      </rPr>
      <t>深田恭子</t>
    </r>
    <r>
      <rPr>
        <rFont val="Arial"/>
        <sz val="10.0"/>
      </rPr>
      <t>)</t>
    </r>
    <r>
      <rPr>
        <rFont val="ＭＳ Ｐゴシック"/>
        <sz val="10.0"/>
      </rPr>
      <t>は、交際相手の桜庭和馬</t>
    </r>
    <r>
      <rPr>
        <rFont val="Arial"/>
        <sz val="10.0"/>
      </rPr>
      <t>(</t>
    </r>
    <r>
      <rPr>
        <rFont val="ＭＳ Ｐゴシック"/>
        <sz val="10.0"/>
      </rPr>
      <t>瀬戸康史</t>
    </r>
    <r>
      <rPr>
        <rFont val="Arial"/>
        <sz val="10.0"/>
      </rPr>
      <t>)</t>
    </r>
    <r>
      <rPr>
        <rFont val="ＭＳ Ｐゴシック"/>
        <sz val="10.0"/>
      </rPr>
      <t>が警察官であることを祖母、マツ</t>
    </r>
    <r>
      <rPr>
        <rFont val="Arial"/>
        <sz val="10.0"/>
      </rPr>
      <t>(</t>
    </r>
    <r>
      <rPr>
        <rFont val="ＭＳ Ｐゴシック"/>
        <sz val="10.0"/>
      </rPr>
      <t>どんぐり</t>
    </r>
    <r>
      <rPr>
        <rFont val="Arial"/>
        <sz val="10.0"/>
      </rPr>
      <t>)</t>
    </r>
    <r>
      <rPr>
        <rFont val="ＭＳ Ｐゴシック"/>
        <sz val="10.0"/>
      </rPr>
      <t>に知られてしまった。華はマツに尊</t>
    </r>
    <r>
      <rPr>
        <rFont val="Arial"/>
        <sz val="10.0"/>
      </rPr>
      <t>(</t>
    </r>
    <r>
      <rPr>
        <rFont val="ＭＳ Ｐゴシック"/>
        <sz val="10.0"/>
      </rPr>
      <t>渡部篤郎</t>
    </r>
    <r>
      <rPr>
        <rFont val="Arial"/>
        <sz val="10.0"/>
      </rPr>
      <t>)</t>
    </r>
    <r>
      <rPr>
        <rFont val="ＭＳ Ｐゴシック"/>
        <sz val="10.0"/>
      </rPr>
      <t>たちには黙っていて欲しいと頼むのだが、答えは得られず。一方、和馬はアポ電強盗逮捕の手柄を典和</t>
    </r>
    <r>
      <rPr>
        <rFont val="Arial"/>
        <sz val="10.0"/>
      </rPr>
      <t>(</t>
    </r>
    <r>
      <rPr>
        <rFont val="ＭＳ Ｐゴシック"/>
        <sz val="10.0"/>
      </rPr>
      <t>信太昌之</t>
    </r>
    <r>
      <rPr>
        <rFont val="Arial"/>
        <sz val="10.0"/>
      </rPr>
      <t>)</t>
    </r>
    <r>
      <rPr>
        <rFont val="ＭＳ Ｐゴシック"/>
        <sz val="10.0"/>
      </rPr>
      <t>に褒められる。だが、美佐子</t>
    </r>
    <r>
      <rPr>
        <rFont val="Arial"/>
        <sz val="10.0"/>
      </rPr>
      <t>(</t>
    </r>
    <r>
      <rPr>
        <rFont val="ＭＳ Ｐゴシック"/>
        <sz val="10.0"/>
      </rPr>
      <t>マルシア</t>
    </r>
    <r>
      <rPr>
        <rFont val="Arial"/>
        <sz val="10.0"/>
      </rPr>
      <t>)</t>
    </r>
    <r>
      <rPr>
        <rFont val="ＭＳ Ｐゴシック"/>
        <sz val="10.0"/>
      </rPr>
      <t>は華からの連絡が和馬の犯人逮捕のきっかけだと知り疑念が深まる。</t>
    </r>
    <r>
      <rPr>
        <rFont val="Arial"/>
        <sz val="10.0"/>
      </rPr>
      <t xml:space="preserve">  </t>
    </r>
    <r>
      <rPr>
        <rFont val="ＭＳ Ｐゴシック"/>
        <sz val="10.0"/>
      </rPr>
      <t>タワーマンションに戻った華は、尊から「</t>
    </r>
    <r>
      <rPr>
        <rFont val="Arial"/>
        <sz val="10.0"/>
      </rPr>
      <t>L</t>
    </r>
    <r>
      <rPr>
        <rFont val="ＭＳ Ｐゴシック"/>
        <sz val="10.0"/>
      </rPr>
      <t>の一族を潰すつもりか」と言われる。マツがバラしたのだと観念する華。しかし、尊が怒っていたのはマツの手刀を浴びた和馬が倒れてしまったこと。そんなことでは泥棒一家に迎え入れることは出来ないと尊と悦子</t>
    </r>
    <r>
      <rPr>
        <rFont val="Arial"/>
        <sz val="10.0"/>
      </rPr>
      <t>(</t>
    </r>
    <r>
      <rPr>
        <rFont val="ＭＳ Ｐゴシック"/>
        <sz val="10.0"/>
      </rPr>
      <t>小沢真珠</t>
    </r>
    <r>
      <rPr>
        <rFont val="Arial"/>
        <sz val="10.0"/>
      </rPr>
      <t>)</t>
    </r>
    <r>
      <rPr>
        <rFont val="ＭＳ Ｐゴシック"/>
        <sz val="10.0"/>
      </rPr>
      <t>。話はズレていたが、どちらにしても華は和馬と別れを決意しなくてはいけない流れになってしまう。そこに渉</t>
    </r>
    <r>
      <rPr>
        <rFont val="Arial"/>
        <sz val="10.0"/>
      </rPr>
      <t>(</t>
    </r>
    <r>
      <rPr>
        <rFont val="ＭＳ Ｐゴシック"/>
        <sz val="10.0"/>
      </rPr>
      <t>栗原類</t>
    </r>
    <r>
      <rPr>
        <rFont val="Arial"/>
        <sz val="10.0"/>
      </rPr>
      <t>)</t>
    </r>
    <r>
      <rPr>
        <rFont val="ＭＳ Ｐゴシック"/>
        <sz val="10.0"/>
      </rPr>
      <t>から、お宝を見つけたと報告が入る。</t>
    </r>
    <r>
      <rPr>
        <rFont val="Arial"/>
        <sz val="10.0"/>
      </rPr>
      <t>IT</t>
    </r>
    <r>
      <rPr>
        <rFont val="ＭＳ Ｐゴシック"/>
        <sz val="10.0"/>
      </rPr>
      <t>会社社長が某王国の秘宝を落札したのだ。社長は脱税した金で購入する悪人。</t>
    </r>
    <r>
      <rPr>
        <rFont val="Arial"/>
        <sz val="10.0"/>
      </rPr>
      <t>L</t>
    </r>
    <r>
      <rPr>
        <rFont val="ＭＳ Ｐゴシック"/>
        <sz val="10.0"/>
      </rPr>
      <t>の一族の次のターゲットが決まった。</t>
    </r>
    <r>
      <rPr>
        <rFont val="Arial"/>
        <sz val="10.0"/>
      </rPr>
      <t xml:space="preserve">  </t>
    </r>
    <r>
      <rPr>
        <rFont val="ＭＳ Ｐゴシック"/>
        <sz val="10.0"/>
      </rPr>
      <t>和馬は</t>
    </r>
    <r>
      <rPr>
        <rFont val="Arial"/>
        <sz val="10.0"/>
      </rPr>
      <t>SNS</t>
    </r>
    <r>
      <rPr>
        <rFont val="ＭＳ Ｐゴシック"/>
        <sz val="10.0"/>
      </rPr>
      <t>強盗の担当に。</t>
    </r>
    <r>
      <rPr>
        <rFont val="Arial"/>
        <sz val="10.0"/>
      </rPr>
      <t>SNS</t>
    </r>
    <r>
      <rPr>
        <rFont val="ＭＳ Ｐゴシック"/>
        <sz val="10.0"/>
      </rPr>
      <t>で目をつけた相手の住所や行動を追って、留守中に高級品を奪う手口だ。その頃、華は美佐子に誘われ桜庭家にいた。美佐子は華に料理などを手伝わせ、指紋や血液型などを、身に付けた鑑識能力で探ろうとする。和馬が帰宅すると、美佐子は和一</t>
    </r>
    <r>
      <rPr>
        <rFont val="Arial"/>
        <sz val="10.0"/>
      </rPr>
      <t>(</t>
    </r>
    <r>
      <rPr>
        <rFont val="ＭＳ Ｐゴシック"/>
        <sz val="10.0"/>
      </rPr>
      <t>藤岡弘、</t>
    </r>
    <r>
      <rPr>
        <rFont val="Arial"/>
        <sz val="10.0"/>
      </rPr>
      <t>)</t>
    </r>
    <r>
      <rPr>
        <rFont val="ＭＳ Ｐゴシック"/>
        <sz val="10.0"/>
      </rPr>
      <t>を呼びに行って欲しいと華に頼む。華が部屋に入ると、瞑想中の和一が真剣をふりかざして</t>
    </r>
    <r>
      <rPr>
        <rFont val="Arial"/>
        <sz val="10.0"/>
      </rPr>
      <t>…</t>
    </r>
    <r>
      <rPr>
        <rFont val="ＭＳ Ｐゴシック"/>
        <sz val="10.0"/>
      </rPr>
      <t>。</t>
    </r>
  </si>
  <si>
    <t>☆アクション、サスペンス、家族ドラマ、ミュージカル要素まで詰め込んだ極限のラブ&amp;コメディ!令和のロミオ&amp;ジュリエットは今夜も濃厚キャラが大渋滞!三雲華(深田恭子)は、交際相手の桜庭和馬(瀬戸康史)が警察官であることを祖母、マツ(どんぐり)に知られてしまった。華はマツに尊(渡部篤郎)たちには黙っていて欲しいと頼むのだが、答えは得られず。一方、和馬はアポ電強盗逮捕の手柄を典和(信太昌之)に褒められる。だが、美佐子(マルシア)は華からの連絡が和馬の犯人逮捕のきっかけだと知り疑念が深まる。  タワーマンションに戻った華は、尊から「Lの一族を潰すつもりか」と言われる。マツがバラしたのだと観念する華。しかし、尊が怒っていたのはマツの手刀を浴びた和馬が倒れてしまったこと。そんなことでは泥棒一家に迎え入れることは出来ないと尊と悦子(小沢真珠)。話はズレていたが、どちらにしても華は和馬と別れを決意しなくてはいけない流れになってしまう。そこに渉(栗原類)から、お宝を見つけたと報告が入る。IT会社社長が某王国の秘宝を落札したのだ。社長は脱税した金で購入する悪人。Lの一族の次のターゲットが決まった。  和馬はSNS強盗の担当に。SNSで目をつけた相手の住所や行動を追って、留守中に高級品を奪う手口だ。その頃、華は美佐子に誘われ桜庭家にいた。美佐子は華に料理などを手伝わせ、指紋や血液型などを、身に付けた鑑識能力で探ろうとする。和馬が帰宅すると、美佐子は和一(藤岡弘、)を呼びに行って欲しいと華に頼む。華が部屋に入ると、瞑想中の和一が真剣をふりかざして…。</t>
  </si>
  <si>
    <t>番組名&lt;木曜劇場&gt;ルパンの娘【華の恋敵参上!ついに華の正体が暴かれる!?】　#04</t>
  </si>
  <si>
    <r>
      <rPr>
        <rFont val="ＭＳ Ｐゴシック"/>
        <sz val="10.0"/>
      </rPr>
      <t>☆アクション、サスペンス、家族ドラマ、ミュージカル要素まで詰め込んだ極限のラブ</t>
    </r>
    <r>
      <rPr>
        <rFont val="Arial"/>
        <sz val="10.0"/>
      </rPr>
      <t>&amp;</t>
    </r>
    <r>
      <rPr>
        <rFont val="ＭＳ Ｐゴシック"/>
        <sz val="10.0"/>
      </rPr>
      <t>コメディ</t>
    </r>
    <r>
      <rPr>
        <rFont val="Arial"/>
        <sz val="10.0"/>
      </rPr>
      <t>!</t>
    </r>
    <r>
      <rPr>
        <rFont val="ＭＳ Ｐゴシック"/>
        <sz val="10.0"/>
      </rPr>
      <t>三雲華</t>
    </r>
    <r>
      <rPr>
        <rFont val="Arial"/>
        <sz val="10.0"/>
      </rPr>
      <t>(</t>
    </r>
    <r>
      <rPr>
        <rFont val="ＭＳ Ｐゴシック"/>
        <sz val="10.0"/>
      </rPr>
      <t>深田恭子</t>
    </r>
    <r>
      <rPr>
        <rFont val="Arial"/>
        <sz val="10.0"/>
      </rPr>
      <t>)</t>
    </r>
    <r>
      <rPr>
        <rFont val="ＭＳ Ｐゴシック"/>
        <sz val="10.0"/>
      </rPr>
      <t>は、桜庭和馬</t>
    </r>
    <r>
      <rPr>
        <rFont val="Arial"/>
        <sz val="10.0"/>
      </rPr>
      <t>(</t>
    </r>
    <r>
      <rPr>
        <rFont val="ＭＳ Ｐゴシック"/>
        <sz val="10.0"/>
      </rPr>
      <t>瀬戸康史</t>
    </r>
    <r>
      <rPr>
        <rFont val="Arial"/>
        <sz val="10.0"/>
      </rPr>
      <t>)</t>
    </r>
    <r>
      <rPr>
        <rFont val="ＭＳ Ｐゴシック"/>
        <sz val="10.0"/>
      </rPr>
      <t>の母、美佐子</t>
    </r>
    <r>
      <rPr>
        <rFont val="Arial"/>
        <sz val="10.0"/>
      </rPr>
      <t>(</t>
    </r>
    <r>
      <rPr>
        <rFont val="ＭＳ Ｐゴシック"/>
        <sz val="10.0"/>
      </rPr>
      <t>マルシア</t>
    </r>
    <r>
      <rPr>
        <rFont val="Arial"/>
        <sz val="10.0"/>
      </rPr>
      <t>)</t>
    </r>
    <r>
      <rPr>
        <rFont val="ＭＳ Ｐゴシック"/>
        <sz val="10.0"/>
      </rPr>
      <t>の信頼を得た。しかし、和馬から</t>
    </r>
    <r>
      <rPr>
        <rFont val="Arial"/>
        <sz val="10.0"/>
      </rPr>
      <t>“L</t>
    </r>
    <r>
      <rPr>
        <rFont val="ＭＳ Ｐゴシック"/>
        <sz val="10.0"/>
      </rPr>
      <t>の一族</t>
    </r>
    <r>
      <rPr>
        <rFont val="Arial"/>
        <sz val="10.0"/>
      </rPr>
      <t>"</t>
    </r>
    <r>
      <rPr>
        <rFont val="ＭＳ Ｐゴシック"/>
        <sz val="10.0"/>
      </rPr>
      <t>逮捕の手柄を立てて捜査一課に入ることが華との結婚条件と聞いてしまい胸中の複雑さは拭えない。そんな折、和馬の父、典和</t>
    </r>
    <r>
      <rPr>
        <rFont val="Arial"/>
        <sz val="10.0"/>
      </rPr>
      <t>(</t>
    </r>
    <r>
      <rPr>
        <rFont val="ＭＳ Ｐゴシック"/>
        <sz val="10.0"/>
      </rPr>
      <t>信太昌之</t>
    </r>
    <r>
      <rPr>
        <rFont val="Arial"/>
        <sz val="10.0"/>
      </rPr>
      <t>)</t>
    </r>
    <r>
      <rPr>
        <rFont val="ＭＳ Ｐゴシック"/>
        <sz val="10.0"/>
      </rPr>
      <t>が見合い話を持って来た。相手は元警視総監の孫娘、橋元エミリ</t>
    </r>
    <r>
      <rPr>
        <rFont val="Arial"/>
        <sz val="10.0"/>
      </rPr>
      <t>(</t>
    </r>
    <r>
      <rPr>
        <rFont val="ＭＳ Ｐゴシック"/>
        <sz val="10.0"/>
      </rPr>
      <t>岸井ゆきの</t>
    </r>
    <r>
      <rPr>
        <rFont val="Arial"/>
        <sz val="10.0"/>
      </rPr>
      <t>)</t>
    </r>
    <r>
      <rPr>
        <rFont val="ＭＳ Ｐゴシック"/>
        <sz val="10.0"/>
      </rPr>
      <t>。華を気に入った美佐子は反対するが、典和は見合いを断れば和馬の昇進はなくなり、捜査一課への異動も出来ないため、華との結婚も無くなると言う。途方に暮れる和馬に美佐子は見合いをするよう勧める。見合いをしてエミリから断ってくれれば良いと言う美佐子に、和馬は勇気づけられる。だが見合いの結果、和馬はエミリに気に入られてしまう。</t>
    </r>
    <r>
      <rPr>
        <rFont val="Arial"/>
        <sz val="10.0"/>
      </rPr>
      <t xml:space="preserve">  </t>
    </r>
    <r>
      <rPr>
        <rFont val="ＭＳ Ｐゴシック"/>
        <sz val="10.0"/>
      </rPr>
      <t>華は円城寺輝</t>
    </r>
    <r>
      <rPr>
        <rFont val="Arial"/>
        <sz val="10.0"/>
      </rPr>
      <t>(</t>
    </r>
    <r>
      <rPr>
        <rFont val="ＭＳ Ｐゴシック"/>
        <sz val="10.0"/>
      </rPr>
      <t>大貫勇輔</t>
    </r>
    <r>
      <rPr>
        <rFont val="Arial"/>
        <sz val="10.0"/>
      </rPr>
      <t>)</t>
    </r>
    <r>
      <rPr>
        <rFont val="ＭＳ Ｐゴシック"/>
        <sz val="10.0"/>
      </rPr>
      <t>の協力で、和馬とエミリのデート現場へ潜入。円城寺が仕掛けた盗聴器で</t>
    </r>
    <r>
      <rPr>
        <rFont val="Arial"/>
        <sz val="10.0"/>
      </rPr>
      <t>2</t>
    </r>
    <r>
      <rPr>
        <rFont val="ＭＳ Ｐゴシック"/>
        <sz val="10.0"/>
      </rPr>
      <t>人の会話を聞く華だが、聞こえて来たのは和馬からエミリへの愛の告白。実は、断片的な会話に過ぎず、和馬はエミリとの結婚を断っていたのだが、華は誤解してしまう。</t>
    </r>
    <r>
      <rPr>
        <rFont val="Arial"/>
        <sz val="10.0"/>
      </rPr>
      <t xml:space="preserve">  </t>
    </r>
    <r>
      <rPr>
        <rFont val="ＭＳ Ｐゴシック"/>
        <sz val="10.0"/>
      </rPr>
      <t>傷心の華が家に帰ると尊</t>
    </r>
    <r>
      <rPr>
        <rFont val="Arial"/>
        <sz val="10.0"/>
      </rPr>
      <t>(</t>
    </r>
    <r>
      <rPr>
        <rFont val="ＭＳ Ｐゴシック"/>
        <sz val="10.0"/>
      </rPr>
      <t>渡部篤郎</t>
    </r>
    <r>
      <rPr>
        <rFont val="Arial"/>
        <sz val="10.0"/>
      </rPr>
      <t>)</t>
    </r>
    <r>
      <rPr>
        <rFont val="ＭＳ Ｐゴシック"/>
        <sz val="10.0"/>
      </rPr>
      <t>たちが騒いでいる。ニュースで</t>
    </r>
    <r>
      <rPr>
        <rFont val="Arial"/>
        <sz val="10.0"/>
      </rPr>
      <t>“L</t>
    </r>
    <r>
      <rPr>
        <rFont val="ＭＳ Ｐゴシック"/>
        <sz val="10.0"/>
      </rPr>
      <t>の一族</t>
    </r>
    <r>
      <rPr>
        <rFont val="Arial"/>
        <sz val="10.0"/>
      </rPr>
      <t>"</t>
    </r>
    <r>
      <rPr>
        <rFont val="ＭＳ Ｐゴシック"/>
        <sz val="10.0"/>
      </rPr>
      <t>の似顔絵が公開されていたのだ。泥棒コスチュームの華だが、本人と見比べた尊たちはこの似顔絵では分からないだろうと一安心。そんな尊たちの新たなターゲットは国際ロマンス詐欺師。この男が女性たちからだまし取った金で集めた金塊を奪い取ろうというものだった。</t>
    </r>
  </si>
  <si>
    <t>☆アクション、サスペンス、家族ドラマ、ミュージカル要素まで詰め込んだ極限のラブ&amp;コメディ!三雲華(深田恭子)は、桜庭和馬(瀬戸康史)の母、美佐子(マルシア)の信頼を得た。しかし、和馬から“Lの一族"逮捕の手柄を立てて捜査一課に入ることが華との結婚条件と聞いてしまい胸中の複雑さは拭えない。そんな折、和馬の父、典和(信太昌之)が見合い話を持って来た。相手は元警視総監の孫娘、橋元エミリ(岸井ゆきの)。華を気に入った美佐子は反対するが、典和は見合いを断れば和馬の昇進はなくなり、捜査一課への異動も出来ないため、華との結婚も無くなると言う。途方に暮れる和馬に美佐子は見合いをするよう勧める。見合いをしてエミリから断ってくれれば良いと言う美佐子に、和馬は勇気づけられる。だが見合いの結果、和馬はエミリに気に入られてしまう。  華は円城寺輝(大貫勇輔)の協力で、和馬とエミリのデート現場へ潜入。円城寺が仕掛けた盗聴器で2人の会話を聞く華だが、聞こえて来たのは和馬からエミリへの愛の告白。実は、断片的な会話に過ぎず、和馬はエミリとの結婚を断っていたのだが、華は誤解してしまう。  傷心の華が家に帰ると尊(渡部篤郎)たちが騒いでいる。ニュースで“Lの一族"の似顔絵が公開されていたのだ。泥棒コスチュームの華だが、本人と見比べた尊たちはこの似顔絵では分からないだろうと一安心。そんな尊たちの新たなターゲットは国際ロマンス詐欺師。この男が女性たちからだまし取った金で集めた金塊を奪い取ろうというものだった。</t>
  </si>
  <si>
    <t>番組名&lt;木曜劇場&gt;ルパンの娘【深田恭子vsドロンジョ!泥棒娘に訪れた悲劇】　#05</t>
  </si>
  <si>
    <r>
      <rPr>
        <rFont val="ＭＳ Ｐゴシック"/>
        <sz val="10.0"/>
      </rPr>
      <t>☆田中みな実演じる女泥棒が大暴れ</t>
    </r>
    <r>
      <rPr>
        <rFont val="Arial"/>
        <sz val="10.0"/>
      </rPr>
      <t>!</t>
    </r>
    <r>
      <rPr>
        <rFont val="ＭＳ Ｐゴシック"/>
        <sz val="10.0"/>
      </rPr>
      <t>深田恭子と新旧ドロンジョ対決</t>
    </r>
    <r>
      <rPr>
        <rFont val="Arial"/>
        <sz val="10.0"/>
      </rPr>
      <t>!!</t>
    </r>
    <r>
      <rPr>
        <rFont val="ＭＳ Ｐゴシック"/>
        <sz val="10.0"/>
      </rPr>
      <t>今夜もツッコミが追いつかない</t>
    </r>
    <r>
      <rPr>
        <rFont val="Arial"/>
        <sz val="10.0"/>
      </rPr>
      <t>!?</t>
    </r>
    <r>
      <rPr>
        <rFont val="ＭＳ Ｐゴシック"/>
        <sz val="10.0"/>
      </rPr>
      <t>金塊を盗み出した時、三雲華</t>
    </r>
    <r>
      <rPr>
        <rFont val="Arial"/>
        <sz val="10.0"/>
      </rPr>
      <t>(</t>
    </r>
    <r>
      <rPr>
        <rFont val="ＭＳ Ｐゴシック"/>
        <sz val="10.0"/>
      </rPr>
      <t>深田恭子</t>
    </r>
    <r>
      <rPr>
        <rFont val="Arial"/>
        <sz val="10.0"/>
      </rPr>
      <t>)</t>
    </r>
    <r>
      <rPr>
        <rFont val="ＭＳ Ｐゴシック"/>
        <sz val="10.0"/>
      </rPr>
      <t>は桜庭和馬</t>
    </r>
    <r>
      <rPr>
        <rFont val="Arial"/>
        <sz val="10.0"/>
      </rPr>
      <t>(</t>
    </r>
    <r>
      <rPr>
        <rFont val="ＭＳ Ｐゴシック"/>
        <sz val="10.0"/>
      </rPr>
      <t>瀬戸康史</t>
    </r>
    <r>
      <rPr>
        <rFont val="Arial"/>
        <sz val="10.0"/>
      </rPr>
      <t>)</t>
    </r>
    <r>
      <rPr>
        <rFont val="ＭＳ Ｐゴシック"/>
        <sz val="10.0"/>
      </rPr>
      <t>と顔を合わせた。ついに自分が</t>
    </r>
    <r>
      <rPr>
        <rFont val="Arial"/>
        <sz val="10.0"/>
      </rPr>
      <t>“L</t>
    </r>
    <r>
      <rPr>
        <rFont val="ＭＳ Ｐゴシック"/>
        <sz val="10.0"/>
      </rPr>
      <t>の一族</t>
    </r>
    <r>
      <rPr>
        <rFont val="Arial"/>
        <sz val="10.0"/>
      </rPr>
      <t>"</t>
    </r>
    <r>
      <rPr>
        <rFont val="ＭＳ Ｐゴシック"/>
        <sz val="10.0"/>
      </rPr>
      <t>だとバレてしまったのではないかと不安な華は、和馬に呼び出される。正体を偽っていたことを謝ろうとする華だが、先に頭を下げたのは和馬。和馬は橋元エミリ</t>
    </r>
    <r>
      <rPr>
        <rFont val="Arial"/>
        <sz val="10.0"/>
      </rPr>
      <t>(</t>
    </r>
    <r>
      <rPr>
        <rFont val="ＭＳ Ｐゴシック"/>
        <sz val="10.0"/>
      </rPr>
      <t>岸井ゆきの</t>
    </r>
    <r>
      <rPr>
        <rFont val="Arial"/>
        <sz val="10.0"/>
      </rPr>
      <t>)</t>
    </r>
    <r>
      <rPr>
        <rFont val="ＭＳ Ｐゴシック"/>
        <sz val="10.0"/>
      </rPr>
      <t>とお見合いしたことを正直に話し、華にわびる。断ったと聞いてホッとする華だが、和馬は昨日の</t>
    </r>
    <r>
      <rPr>
        <rFont val="Arial"/>
        <sz val="10.0"/>
      </rPr>
      <t>18</t>
    </r>
    <r>
      <rPr>
        <rFont val="ＭＳ Ｐゴシック"/>
        <sz val="10.0"/>
      </rPr>
      <t>時ごろにどこにいたのか尋ねて来た。それは華が和馬と顔を合わせた時間。華は明日、結婚記念日を迎える両親への動画を撮影していたと和馬に見せる。撮影時間を見た和馬は華を抱きしめた。和馬の胸の中で華はまたウソを重ねたことを嘆く。</t>
    </r>
    <r>
      <rPr>
        <rFont val="Arial"/>
        <sz val="10.0"/>
      </rPr>
      <t xml:space="preserve">  </t>
    </r>
    <r>
      <rPr>
        <rFont val="ＭＳ Ｐゴシック"/>
        <sz val="10.0"/>
      </rPr>
      <t>華が帰ると、尊</t>
    </r>
    <r>
      <rPr>
        <rFont val="Arial"/>
        <sz val="10.0"/>
      </rPr>
      <t>(</t>
    </r>
    <r>
      <rPr>
        <rFont val="ＭＳ Ｐゴシック"/>
        <sz val="10.0"/>
      </rPr>
      <t>渡部篤郎</t>
    </r>
    <r>
      <rPr>
        <rFont val="Arial"/>
        <sz val="10.0"/>
      </rPr>
      <t>)</t>
    </r>
    <r>
      <rPr>
        <rFont val="ＭＳ Ｐゴシック"/>
        <sz val="10.0"/>
      </rPr>
      <t>、悦子</t>
    </r>
    <r>
      <rPr>
        <rFont val="Arial"/>
        <sz val="10.0"/>
      </rPr>
      <t>(</t>
    </r>
    <r>
      <rPr>
        <rFont val="ＭＳ Ｐゴシック"/>
        <sz val="10.0"/>
      </rPr>
      <t>小沢真珠</t>
    </r>
    <r>
      <rPr>
        <rFont val="Arial"/>
        <sz val="10.0"/>
      </rPr>
      <t>)</t>
    </r>
    <r>
      <rPr>
        <rFont val="ＭＳ Ｐゴシック"/>
        <sz val="10.0"/>
      </rPr>
      <t>、マツ</t>
    </r>
    <r>
      <rPr>
        <rFont val="Arial"/>
        <sz val="10.0"/>
      </rPr>
      <t>(</t>
    </r>
    <r>
      <rPr>
        <rFont val="ＭＳ Ｐゴシック"/>
        <sz val="10.0"/>
      </rPr>
      <t>どんぐり</t>
    </r>
    <r>
      <rPr>
        <rFont val="Arial"/>
        <sz val="10.0"/>
      </rPr>
      <t>)</t>
    </r>
    <r>
      <rPr>
        <rFont val="ＭＳ Ｐゴシック"/>
        <sz val="10.0"/>
      </rPr>
      <t>は次のターゲットを決めていた。世界各国の男にすり寄り金品を奪う女泥棒</t>
    </r>
    <r>
      <rPr>
        <rFont val="Arial"/>
        <sz val="10.0"/>
      </rPr>
      <t>(</t>
    </r>
    <r>
      <rPr>
        <rFont val="ＭＳ Ｐゴシック"/>
        <sz val="10.0"/>
      </rPr>
      <t>田中みな実</t>
    </r>
    <r>
      <rPr>
        <rFont val="Arial"/>
        <sz val="10.0"/>
      </rPr>
      <t>)</t>
    </r>
    <r>
      <rPr>
        <rFont val="ＭＳ Ｐゴシック"/>
        <sz val="10.0"/>
      </rPr>
      <t>から、</t>
    </r>
    <r>
      <rPr>
        <rFont val="Arial"/>
        <sz val="10.0"/>
      </rPr>
      <t>200</t>
    </r>
    <r>
      <rPr>
        <rFont val="ＭＳ Ｐゴシック"/>
        <sz val="10.0"/>
      </rPr>
      <t>億円はするという伝説のダイヤモンドを奪う計画。しかし、まだ女泥棒のアジトがつかめていない。渉</t>
    </r>
    <r>
      <rPr>
        <rFont val="Arial"/>
        <sz val="10.0"/>
      </rPr>
      <t>(</t>
    </r>
    <r>
      <rPr>
        <rFont val="ＭＳ Ｐゴシック"/>
        <sz val="10.0"/>
      </rPr>
      <t>栗原類</t>
    </r>
    <r>
      <rPr>
        <rFont val="Arial"/>
        <sz val="10.0"/>
      </rPr>
      <t>)</t>
    </r>
    <r>
      <rPr>
        <rFont val="ＭＳ Ｐゴシック"/>
        <sz val="10.0"/>
      </rPr>
      <t>はタブレットから、女泥棒には男</t>
    </r>
    <r>
      <rPr>
        <rFont val="Arial"/>
        <sz val="10.0"/>
      </rPr>
      <t>2</t>
    </r>
    <r>
      <rPr>
        <rFont val="ＭＳ Ｐゴシック"/>
        <sz val="10.0"/>
      </rPr>
      <t>人のこわもての手下がいると警告。華はもう泥棒はしないと断った。マツは和馬と何かあったのかと華に聞く。アリバイ動画はマツと作ったものだった。その時、和馬からメッセージが。和馬の両親の結婚記念日も明日なので、合同結婚記念パーティーを桜庭家でやろうとの誘いだ。マツがうっかりメッセージを読み上げると尊たちに聞かれ、桜庭家へ出向くことに</t>
    </r>
    <r>
      <rPr>
        <rFont val="Arial"/>
        <sz val="10.0"/>
      </rPr>
      <t>…</t>
    </r>
    <r>
      <rPr>
        <rFont val="ＭＳ Ｐゴシック"/>
        <sz val="10.0"/>
      </rPr>
      <t>。</t>
    </r>
  </si>
  <si>
    <t>☆田中みな実演じる女泥棒が大暴れ!深田恭子と新旧ドロンジョ対決!!今夜もツッコミが追いつかない!?金塊を盗み出した時、三雲華(深田恭子)は桜庭和馬(瀬戸康史)と顔を合わせた。ついに自分が“Lの一族"だとバレてしまったのではないかと不安な華は、和馬に呼び出される。正体を偽っていたことを謝ろうとする華だが、先に頭を下げたのは和馬。和馬は橋元エミリ(岸井ゆきの)とお見合いしたことを正直に話し、華にわびる。断ったと聞いてホッとする華だが、和馬は昨日の18時ごろにどこにいたのか尋ねて来た。それは華が和馬と顔を合わせた時間。華は明日、結婚記念日を迎える両親への動画を撮影していたと和馬に見せる。撮影時間を見た和馬は華を抱きしめた。和馬の胸の中で華はまたウソを重ねたことを嘆く。  華が帰ると、尊(渡部篤郎)、悦子(小沢真珠)、マツ(どんぐり)は次のターゲットを決めていた。世界各国の男にすり寄り金品を奪う女泥棒(田中みな実)から、200億円はするという伝説のダイヤモンドを奪う計画。しかし、まだ女泥棒のアジトがつかめていない。渉(栗原類)はタブレットから、女泥棒には男2人のこわもての手下がいると警告。華はもう泥棒はしないと断った。マツは和馬と何かあったのかと華に聞く。アリバイ動画はマツと作ったものだった。その時、和馬からメッセージが。和馬の両親の結婚記念日も明日なので、合同結婚記念パーティーを桜庭家でやろうとの誘いだ。マツがうっかりメッセージを読み上げると尊たちに聞かれ、桜庭家へ出向くことに…。</t>
  </si>
  <si>
    <t>番組名&lt;木曜劇場&gt;ルパンの娘【引き裂かれた運命!華を襲う危機に和馬は!?】　#06</t>
  </si>
  <si>
    <r>
      <rPr>
        <rFont val="ＭＳ Ｐゴシック"/>
        <sz val="10.0"/>
      </rPr>
      <t>☆笑いとツッコミで溢れた泥棒</t>
    </r>
    <r>
      <rPr>
        <rFont val="Arial"/>
        <sz val="10.0"/>
      </rPr>
      <t>×</t>
    </r>
    <r>
      <rPr>
        <rFont val="ＭＳ Ｐゴシック"/>
        <sz val="10.0"/>
      </rPr>
      <t>警察の物語がまさかの急展開</t>
    </r>
    <r>
      <rPr>
        <rFont val="Arial"/>
        <sz val="10.0"/>
      </rPr>
      <t>!!</t>
    </r>
    <r>
      <rPr>
        <rFont val="ＭＳ Ｐゴシック"/>
        <sz val="10.0"/>
      </rPr>
      <t>ドラマチックなシーンとアクション盛りだくさんで、物語はいよいよ最終章へ</t>
    </r>
    <r>
      <rPr>
        <rFont val="Arial"/>
        <sz val="10.0"/>
      </rPr>
      <t>!!</t>
    </r>
    <r>
      <rPr>
        <rFont val="ＭＳ Ｐゴシック"/>
        <sz val="10.0"/>
      </rPr>
      <t>三雲華</t>
    </r>
    <r>
      <rPr>
        <rFont val="Arial"/>
        <sz val="10.0"/>
      </rPr>
      <t>(</t>
    </r>
    <r>
      <rPr>
        <rFont val="ＭＳ Ｐゴシック"/>
        <sz val="10.0"/>
      </rPr>
      <t>深田恭子</t>
    </r>
    <r>
      <rPr>
        <rFont val="Arial"/>
        <sz val="10.0"/>
      </rPr>
      <t>)</t>
    </r>
    <r>
      <rPr>
        <rFont val="ＭＳ Ｐゴシック"/>
        <sz val="10.0"/>
      </rPr>
      <t>は自身が</t>
    </r>
    <r>
      <rPr>
        <rFont val="Arial"/>
        <sz val="10.0"/>
      </rPr>
      <t>“L</t>
    </r>
    <r>
      <rPr>
        <rFont val="ＭＳ Ｐゴシック"/>
        <sz val="10.0"/>
      </rPr>
      <t>の一族</t>
    </r>
    <r>
      <rPr>
        <rFont val="Arial"/>
        <sz val="10.0"/>
      </rPr>
      <t>"</t>
    </r>
    <r>
      <rPr>
        <rFont val="ＭＳ Ｐゴシック"/>
        <sz val="10.0"/>
      </rPr>
      <t>であることを桜庭和馬</t>
    </r>
    <r>
      <rPr>
        <rFont val="Arial"/>
        <sz val="10.0"/>
      </rPr>
      <t>(</t>
    </r>
    <r>
      <rPr>
        <rFont val="ＭＳ Ｐゴシック"/>
        <sz val="10.0"/>
      </rPr>
      <t>瀬戸康史</t>
    </r>
    <r>
      <rPr>
        <rFont val="Arial"/>
        <sz val="10.0"/>
      </rPr>
      <t>)</t>
    </r>
    <r>
      <rPr>
        <rFont val="ＭＳ Ｐゴシック"/>
        <sz val="10.0"/>
      </rPr>
      <t>に知られてしまった。もはや警察官の和馬との結婚などあり得ないと嘆き悲しむ華。そんな時、渉</t>
    </r>
    <r>
      <rPr>
        <rFont val="Arial"/>
        <sz val="10.0"/>
      </rPr>
      <t>(</t>
    </r>
    <r>
      <rPr>
        <rFont val="ＭＳ Ｐゴシック"/>
        <sz val="10.0"/>
      </rPr>
      <t>栗原類</t>
    </r>
    <r>
      <rPr>
        <rFont val="Arial"/>
        <sz val="10.0"/>
      </rPr>
      <t>)</t>
    </r>
    <r>
      <rPr>
        <rFont val="ＭＳ Ｐゴシック"/>
        <sz val="10.0"/>
      </rPr>
      <t>が新たな獲物を発見。政務活動費を使い込んで辞職した悪徳政治家が所有する名画が都内の美術館に無償で貸し出されたのだ。だがこの名画は</t>
    </r>
    <r>
      <rPr>
        <rFont val="Arial"/>
        <sz val="10.0"/>
      </rPr>
      <t>“</t>
    </r>
    <r>
      <rPr>
        <rFont val="ＭＳ Ｐゴシック"/>
        <sz val="10.0"/>
      </rPr>
      <t>ブラックマンバ</t>
    </r>
    <r>
      <rPr>
        <rFont val="Arial"/>
        <sz val="10.0"/>
      </rPr>
      <t>"</t>
    </r>
    <r>
      <rPr>
        <rFont val="ＭＳ Ｐゴシック"/>
        <sz val="10.0"/>
      </rPr>
      <t>という史上屈指の国際窃盗団にも目をつけられている代物。しかし尊</t>
    </r>
    <r>
      <rPr>
        <rFont val="Arial"/>
        <sz val="10.0"/>
      </rPr>
      <t>(</t>
    </r>
    <r>
      <rPr>
        <rFont val="ＭＳ Ｐゴシック"/>
        <sz val="10.0"/>
      </rPr>
      <t>渡部篤郎</t>
    </r>
    <r>
      <rPr>
        <rFont val="Arial"/>
        <sz val="10.0"/>
      </rPr>
      <t>)</t>
    </r>
    <r>
      <rPr>
        <rFont val="ＭＳ Ｐゴシック"/>
        <sz val="10.0"/>
      </rPr>
      <t>と悦子</t>
    </r>
    <r>
      <rPr>
        <rFont val="Arial"/>
        <sz val="10.0"/>
      </rPr>
      <t>(</t>
    </r>
    <r>
      <rPr>
        <rFont val="ＭＳ Ｐゴシック"/>
        <sz val="10.0"/>
      </rPr>
      <t>小沢真珠</t>
    </r>
    <r>
      <rPr>
        <rFont val="Arial"/>
        <sz val="10.0"/>
      </rPr>
      <t>)</t>
    </r>
    <r>
      <rPr>
        <rFont val="ＭＳ Ｐゴシック"/>
        <sz val="10.0"/>
      </rPr>
      <t>、マツ</t>
    </r>
    <r>
      <rPr>
        <rFont val="Arial"/>
        <sz val="10.0"/>
      </rPr>
      <t>(</t>
    </r>
    <r>
      <rPr>
        <rFont val="ＭＳ Ｐゴシック"/>
        <sz val="10.0"/>
      </rPr>
      <t>どんぐり</t>
    </r>
    <r>
      <rPr>
        <rFont val="Arial"/>
        <sz val="10.0"/>
      </rPr>
      <t>)</t>
    </r>
    <r>
      <rPr>
        <rFont val="ＭＳ Ｐゴシック"/>
        <sz val="10.0"/>
      </rPr>
      <t>は気にもせず、盗み甲斐があるとさっそく下見に行くことに。するといつもは乗り気でない華が同行すると申し出た。</t>
    </r>
    <r>
      <rPr>
        <rFont val="Arial"/>
        <sz val="10.0"/>
      </rPr>
      <t xml:space="preserve">  </t>
    </r>
    <r>
      <rPr>
        <rFont val="ＭＳ Ｐゴシック"/>
        <sz val="10.0"/>
      </rPr>
      <t>美術館で客を装ってセキュリティーなどを調べる華たち。だが華は和馬のことが気になりミスをしてしまいそうに。尊はそんな華に任務を外れるよう言い渡した。心のやり場を失う華に円城寺輝</t>
    </r>
    <r>
      <rPr>
        <rFont val="Arial"/>
        <sz val="10.0"/>
      </rPr>
      <t>(</t>
    </r>
    <r>
      <rPr>
        <rFont val="ＭＳ Ｐゴシック"/>
        <sz val="10.0"/>
      </rPr>
      <t>大貫勇輔</t>
    </r>
    <r>
      <rPr>
        <rFont val="Arial"/>
        <sz val="10.0"/>
      </rPr>
      <t>)</t>
    </r>
    <r>
      <rPr>
        <rFont val="ＭＳ Ｐゴシック"/>
        <sz val="10.0"/>
      </rPr>
      <t>が、和馬と別れたのかと尋ねる。</t>
    </r>
    <r>
      <rPr>
        <rFont val="Arial"/>
        <sz val="10.0"/>
      </rPr>
      <t>L</t>
    </r>
    <r>
      <rPr>
        <rFont val="ＭＳ Ｐゴシック"/>
        <sz val="10.0"/>
      </rPr>
      <t>の一族だと和馬にバレたと話す華に、円城寺はすぐに逃げるよう促す。しかし華は、和馬は他の警官には話さないと告げる。もし和馬が話していればとっくに逮捕されているからだ。</t>
    </r>
    <r>
      <rPr>
        <rFont val="Arial"/>
        <sz val="10.0"/>
      </rPr>
      <t xml:space="preserve">  </t>
    </r>
    <r>
      <rPr>
        <rFont val="ＭＳ Ｐゴシック"/>
        <sz val="10.0"/>
      </rPr>
      <t>和馬は華の正体を知ってしまったことに悩んでいる。そんな和馬に橋元エミリ</t>
    </r>
    <r>
      <rPr>
        <rFont val="Arial"/>
        <sz val="10.0"/>
      </rPr>
      <t>(</t>
    </r>
    <r>
      <rPr>
        <rFont val="ＭＳ Ｐゴシック"/>
        <sz val="10.0"/>
      </rPr>
      <t>岸井ゆきの</t>
    </r>
    <r>
      <rPr>
        <rFont val="Arial"/>
        <sz val="10.0"/>
      </rPr>
      <t>)</t>
    </r>
    <r>
      <rPr>
        <rFont val="ＭＳ Ｐゴシック"/>
        <sz val="10.0"/>
      </rPr>
      <t>が再び接近。一方、華は尊に和馬と別れたことを打ち明け任務を続けさせて欲しいと頼む。</t>
    </r>
    <r>
      <rPr>
        <rFont val="Arial"/>
        <sz val="10.0"/>
      </rPr>
      <t>L</t>
    </r>
    <r>
      <rPr>
        <rFont val="ＭＳ Ｐゴシック"/>
        <sz val="10.0"/>
      </rPr>
      <t>の一族としての運命を受け入れて生きる覚悟をしようとする華。しかし</t>
    </r>
    <r>
      <rPr>
        <rFont val="Arial"/>
        <sz val="10.0"/>
      </rPr>
      <t>L</t>
    </r>
    <r>
      <rPr>
        <rFont val="ＭＳ Ｐゴシック"/>
        <sz val="10.0"/>
      </rPr>
      <t>の一族逮捕に警察も威信を賭けて動き出す。</t>
    </r>
  </si>
  <si>
    <t>☆笑いとツッコミで溢れた泥棒×警察の物語がまさかの急展開!!ドラマチックなシーンとアクション盛りだくさんで、物語はいよいよ最終章へ!!三雲華(深田恭子)は自身が“Lの一族"であることを桜庭和馬(瀬戸康史)に知られてしまった。もはや警察官の和馬との結婚などあり得ないと嘆き悲しむ華。そんな時、渉(栗原類)が新たな獲物を発見。政務活動費を使い込んで辞職した悪徳政治家が所有する名画が都内の美術館に無償で貸し出されたのだ。だがこの名画は“ブラックマンバ"という史上屈指の国際窃盗団にも目をつけられている代物。しかし尊(渡部篤郎)と悦子(小沢真珠)、マツ(どんぐり)は気にもせず、盗み甲斐があるとさっそく下見に行くことに。するといつもは乗り気でない華が同行すると申し出た。  美術館で客を装ってセキュリティーなどを調べる華たち。だが華は和馬のことが気になりミスをしてしまいそうに。尊はそんな華に任務を外れるよう言い渡した。心のやり場を失う華に円城寺輝(大貫勇輔)が、和馬と別れたのかと尋ねる。Lの一族だと和馬にバレたと話す華に、円城寺はすぐに逃げるよう促す。しかし華は、和馬は他の警官には話さないと告げる。もし和馬が話していればとっくに逮捕されているからだ。  和馬は華の正体を知ってしまったことに悩んでいる。そんな和馬に橋元エミリ(岸井ゆきの)が再び接近。一方、華は尊に和馬と別れたことを打ち明け任務を続けさせて欲しいと頼む。Lの一族としての運命を受け入れて生きる覚悟をしようとする華。しかしLの一族逮捕に警察も威信を賭けて動き出す。</t>
  </si>
  <si>
    <t>番組名&lt;木曜劇場&gt;ルパンの娘【泥棒娘がついに結婚!波乱の結納&amp;温泉旅行!】　#07</t>
  </si>
  <si>
    <r>
      <rPr>
        <rFont val="ＭＳ Ｐゴシック"/>
        <sz val="10.0"/>
      </rPr>
      <t>☆泥棒の娘と警察官の息子がついに婚約</t>
    </r>
    <r>
      <rPr>
        <rFont val="Arial"/>
        <sz val="10.0"/>
      </rPr>
      <t>!</t>
    </r>
    <r>
      <rPr>
        <rFont val="ＭＳ Ｐゴシック"/>
        <sz val="10.0"/>
      </rPr>
      <t>前代未聞のカップルは無事に結婚できるのか</t>
    </r>
    <r>
      <rPr>
        <rFont val="Arial"/>
        <sz val="10.0"/>
      </rPr>
      <t>!?</t>
    </r>
    <r>
      <rPr>
        <rFont val="ＭＳ Ｐゴシック"/>
        <sz val="10.0"/>
      </rPr>
      <t>物語はいよいよ新章へ突入</t>
    </r>
    <r>
      <rPr>
        <rFont val="Arial"/>
        <sz val="10.0"/>
      </rPr>
      <t>!!</t>
    </r>
    <r>
      <rPr>
        <rFont val="ＭＳ Ｐゴシック"/>
        <sz val="10.0"/>
      </rPr>
      <t>三雲華</t>
    </r>
    <r>
      <rPr>
        <rFont val="Arial"/>
        <sz val="10.0"/>
      </rPr>
      <t>(</t>
    </r>
    <r>
      <rPr>
        <rFont val="ＭＳ Ｐゴシック"/>
        <sz val="10.0"/>
      </rPr>
      <t>深田恭子</t>
    </r>
    <r>
      <rPr>
        <rFont val="Arial"/>
        <sz val="10.0"/>
      </rPr>
      <t>)</t>
    </r>
    <r>
      <rPr>
        <rFont val="ＭＳ Ｐゴシック"/>
        <sz val="10.0"/>
      </rPr>
      <t>は桜庭和馬</t>
    </r>
    <r>
      <rPr>
        <rFont val="Arial"/>
        <sz val="10.0"/>
      </rPr>
      <t>(</t>
    </r>
    <r>
      <rPr>
        <rFont val="ＭＳ Ｐゴシック"/>
        <sz val="10.0"/>
      </rPr>
      <t>瀬戸康史</t>
    </r>
    <r>
      <rPr>
        <rFont val="Arial"/>
        <sz val="10.0"/>
      </rPr>
      <t>)</t>
    </r>
    <r>
      <rPr>
        <rFont val="ＭＳ Ｐゴシック"/>
        <sz val="10.0"/>
      </rPr>
      <t>から正式なプロポーズを受ける。和馬は華が</t>
    </r>
    <r>
      <rPr>
        <rFont val="Arial"/>
        <sz val="10.0"/>
      </rPr>
      <t>“L</t>
    </r>
    <r>
      <rPr>
        <rFont val="ＭＳ Ｐゴシック"/>
        <sz val="10.0"/>
      </rPr>
      <t>の一族</t>
    </r>
    <r>
      <rPr>
        <rFont val="Arial"/>
        <sz val="10.0"/>
      </rPr>
      <t>"</t>
    </r>
    <r>
      <rPr>
        <rFont val="ＭＳ Ｐゴシック"/>
        <sz val="10.0"/>
      </rPr>
      <t>と知った上で、ともに運命を乗り越える決心をした。華から話を聞いた尊</t>
    </r>
    <r>
      <rPr>
        <rFont val="Arial"/>
        <sz val="10.0"/>
      </rPr>
      <t>(</t>
    </r>
    <r>
      <rPr>
        <rFont val="ＭＳ Ｐゴシック"/>
        <sz val="10.0"/>
      </rPr>
      <t>渡部篤郎</t>
    </r>
    <r>
      <rPr>
        <rFont val="Arial"/>
        <sz val="10.0"/>
      </rPr>
      <t>)</t>
    </r>
    <r>
      <rPr>
        <rFont val="ＭＳ Ｐゴシック"/>
        <sz val="10.0"/>
      </rPr>
      <t>は折を見て自分たちが</t>
    </r>
    <r>
      <rPr>
        <rFont val="Arial"/>
        <sz val="10.0"/>
      </rPr>
      <t>“L</t>
    </r>
    <r>
      <rPr>
        <rFont val="ＭＳ Ｐゴシック"/>
        <sz val="10.0"/>
      </rPr>
      <t>の一族</t>
    </r>
    <r>
      <rPr>
        <rFont val="Arial"/>
        <sz val="10.0"/>
      </rPr>
      <t>"</t>
    </r>
    <r>
      <rPr>
        <rFont val="ＭＳ Ｐゴシック"/>
        <sz val="10.0"/>
      </rPr>
      <t>だと伝えると言い出す。しかし華は反対。まだマツ</t>
    </r>
    <r>
      <rPr>
        <rFont val="Arial"/>
        <sz val="10.0"/>
      </rPr>
      <t>(</t>
    </r>
    <r>
      <rPr>
        <rFont val="ＭＳ Ｐゴシック"/>
        <sz val="10.0"/>
      </rPr>
      <t>どんぐり</t>
    </r>
    <r>
      <rPr>
        <rFont val="Arial"/>
        <sz val="10.0"/>
      </rPr>
      <t>)</t>
    </r>
    <r>
      <rPr>
        <rFont val="ＭＳ Ｐゴシック"/>
        <sz val="10.0"/>
      </rPr>
      <t>以外で桜庭家が警察一家と知っている家族はいない。</t>
    </r>
    <r>
      <rPr>
        <rFont val="Arial"/>
        <sz val="10.0"/>
      </rPr>
      <t xml:space="preserve">  </t>
    </r>
    <r>
      <rPr>
        <rFont val="ＭＳ Ｐゴシック"/>
        <sz val="10.0"/>
      </rPr>
      <t>一方、和馬も典和</t>
    </r>
    <r>
      <rPr>
        <rFont val="Arial"/>
        <sz val="10.0"/>
      </rPr>
      <t>(</t>
    </r>
    <r>
      <rPr>
        <rFont val="ＭＳ Ｐゴシック"/>
        <sz val="10.0"/>
      </rPr>
      <t>信太昌之</t>
    </r>
    <r>
      <rPr>
        <rFont val="Arial"/>
        <sz val="10.0"/>
      </rPr>
      <t>)</t>
    </r>
    <r>
      <rPr>
        <rFont val="ＭＳ Ｐゴシック"/>
        <sz val="10.0"/>
      </rPr>
      <t>たちに華へのプロポーズを報告。だが典和や美佐子</t>
    </r>
    <r>
      <rPr>
        <rFont val="Arial"/>
        <sz val="10.0"/>
      </rPr>
      <t>(</t>
    </r>
    <r>
      <rPr>
        <rFont val="ＭＳ Ｐゴシック"/>
        <sz val="10.0"/>
      </rPr>
      <t>マルシア</t>
    </r>
    <r>
      <rPr>
        <rFont val="Arial"/>
        <sz val="10.0"/>
      </rPr>
      <t>)</t>
    </r>
    <r>
      <rPr>
        <rFont val="ＭＳ Ｐゴシック"/>
        <sz val="10.0"/>
      </rPr>
      <t>が喜んだのは、和馬の捜査一課への異動だった。典和は、結婚には和一</t>
    </r>
    <r>
      <rPr>
        <rFont val="Arial"/>
        <sz val="10.0"/>
      </rPr>
      <t>(</t>
    </r>
    <r>
      <rPr>
        <rFont val="ＭＳ Ｐゴシック"/>
        <sz val="10.0"/>
      </rPr>
      <t>藤岡弘、</t>
    </r>
    <r>
      <rPr>
        <rFont val="Arial"/>
        <sz val="10.0"/>
      </rPr>
      <t>)</t>
    </r>
    <r>
      <rPr>
        <rFont val="ＭＳ Ｐゴシック"/>
        <sz val="10.0"/>
      </rPr>
      <t>への報告も必要と和馬を促す。和一は、覚悟は出来ているかと和馬に尋ね、滝に打たれに出かけてしまった。</t>
    </r>
    <r>
      <rPr>
        <rFont val="Arial"/>
        <sz val="10.0"/>
      </rPr>
      <t xml:space="preserve">  </t>
    </r>
    <r>
      <rPr>
        <rFont val="ＭＳ Ｐゴシック"/>
        <sz val="10.0"/>
      </rPr>
      <t>和馬が三雲家に挨拶に来ると、尊と悦子</t>
    </r>
    <r>
      <rPr>
        <rFont val="Arial"/>
        <sz val="10.0"/>
      </rPr>
      <t>(</t>
    </r>
    <r>
      <rPr>
        <rFont val="ＭＳ Ｐゴシック"/>
        <sz val="10.0"/>
      </rPr>
      <t>小沢真珠</t>
    </r>
    <r>
      <rPr>
        <rFont val="Arial"/>
        <sz val="10.0"/>
      </rPr>
      <t>)</t>
    </r>
    <r>
      <rPr>
        <rFont val="ＭＳ Ｐゴシック"/>
        <sz val="10.0"/>
      </rPr>
      <t>は泥棒への勧誘を始める始末。見送りに出た華は和馬に謝る。和馬は、これからはお互いに嘘をつかないこと、華は泥棒をもう二度としないことを約束しようと話す。華は和馬に真実を伝えようと、尊たちの留守に本当の住まいであるタワーマンションへ案内する。渉</t>
    </r>
    <r>
      <rPr>
        <rFont val="Arial"/>
        <sz val="10.0"/>
      </rPr>
      <t>(</t>
    </r>
    <r>
      <rPr>
        <rFont val="ＭＳ Ｐゴシック"/>
        <sz val="10.0"/>
      </rPr>
      <t>栗原類</t>
    </r>
    <r>
      <rPr>
        <rFont val="Arial"/>
        <sz val="10.0"/>
      </rPr>
      <t>)</t>
    </r>
    <r>
      <rPr>
        <rFont val="ＭＳ Ｐゴシック"/>
        <sz val="10.0"/>
      </rPr>
      <t>は自室で爆睡。数々の盗品に和馬が目を丸くしているとマツが現れ、</t>
    </r>
    <r>
      <rPr>
        <rFont val="Arial"/>
        <sz val="10.0"/>
      </rPr>
      <t>2</t>
    </r>
    <r>
      <rPr>
        <rFont val="ＭＳ Ｐゴシック"/>
        <sz val="10.0"/>
      </rPr>
      <t>人を応援すると言う。そこに尊と悦子が帰って来た。華は和馬を渉の部屋に隠し、マツの協力で何とか乗り切ろうとする。</t>
    </r>
    <r>
      <rPr>
        <rFont val="Arial"/>
        <sz val="10.0"/>
      </rPr>
      <t xml:space="preserve">  </t>
    </r>
    <r>
      <rPr>
        <rFont val="ＭＳ Ｐゴシック"/>
        <sz val="10.0"/>
      </rPr>
      <t>和馬が家に帰ると、典和が結納を行うと言う。しかも桜庭家が代々結納を行って来た旅館に泊まりがけ。華と和馬はお互いの両親に職業がバレないよう作戦を練るが</t>
    </r>
    <r>
      <rPr>
        <rFont val="Arial"/>
        <sz val="10.0"/>
      </rPr>
      <t>…</t>
    </r>
    <r>
      <rPr>
        <rFont val="ＭＳ Ｐゴシック"/>
        <sz val="10.0"/>
      </rPr>
      <t>。</t>
    </r>
  </si>
  <si>
    <t>☆泥棒の娘と警察官の息子がついに婚約!前代未聞のカップルは無事に結婚できるのか!?物語はいよいよ新章へ突入!!三雲華(深田恭子)は桜庭和馬(瀬戸康史)から正式なプロポーズを受ける。和馬は華が“Lの一族"と知った上で、ともに運命を乗り越える決心をした。華から話を聞いた尊(渡部篤郎)は折を見て自分たちが“Lの一族"だと伝えると言い出す。しかし華は反対。まだマツ(どんぐり)以外で桜庭家が警察一家と知っている家族はいない。  一方、和馬も典和(信太昌之)たちに華へのプロポーズを報告。だが典和や美佐子(マルシア)が喜んだのは、和馬の捜査一課への異動だった。典和は、結婚には和一(藤岡弘、)への報告も必要と和馬を促す。和一は、覚悟は出来ているかと和馬に尋ね、滝に打たれに出かけてしまった。  和馬が三雲家に挨拶に来ると、尊と悦子(小沢真珠)は泥棒への勧誘を始める始末。見送りに出た華は和馬に謝る。和馬は、これからはお互いに嘘をつかないこと、華は泥棒をもう二度としないことを約束しようと話す。華は和馬に真実を伝えようと、尊たちの留守に本当の住まいであるタワーマンションへ案内する。渉(栗原類)は自室で爆睡。数々の盗品に和馬が目を丸くしているとマツが現れ、2人を応援すると言う。そこに尊と悦子が帰って来た。華は和馬を渉の部屋に隠し、マツの協力で何とか乗り切ろうとする。  和馬が家に帰ると、典和が結納を行うと言う。しかも桜庭家が代々結納を行って来た旅館に泊まりがけ。華と和馬はお互いの両親に職業がバレないよう作戦を練るが…。</t>
  </si>
  <si>
    <t>番組名&lt;木曜劇場&gt;ルパンの娘【逃避行!深田恭子が場末のスナックに沈む夜!】　#08</t>
  </si>
  <si>
    <r>
      <rPr>
        <rFont val="ＭＳ Ｐゴシック"/>
        <sz val="10.0"/>
      </rPr>
      <t>「</t>
    </r>
    <r>
      <rPr>
        <rFont val="Arial"/>
        <sz val="10.0"/>
      </rPr>
      <t>2019</t>
    </r>
    <r>
      <rPr>
        <rFont val="ＭＳ Ｐゴシック"/>
        <sz val="10.0"/>
      </rPr>
      <t>世界柔道選手権　男子</t>
    </r>
    <r>
      <rPr>
        <rFont val="Arial"/>
        <sz val="10.0"/>
      </rPr>
      <t>90kg</t>
    </r>
    <r>
      <rPr>
        <rFont val="ＭＳ Ｐゴシック"/>
        <sz val="10.0"/>
      </rPr>
      <t>級　女子</t>
    </r>
    <r>
      <rPr>
        <rFont val="Arial"/>
        <sz val="10.0"/>
      </rPr>
      <t>70kg</t>
    </r>
    <r>
      <rPr>
        <rFont val="ＭＳ Ｐゴシック"/>
        <sz val="10.0"/>
      </rPr>
      <t>級」延長の際、放送時間繰り下げの場合あり。☆今夜はシリアス</t>
    </r>
    <r>
      <rPr>
        <rFont val="Arial"/>
        <sz val="10.0"/>
      </rPr>
      <t>!?</t>
    </r>
    <r>
      <rPr>
        <rFont val="ＭＳ Ｐゴシック"/>
        <sz val="10.0"/>
      </rPr>
      <t>それともコメディさく裂</t>
    </r>
    <r>
      <rPr>
        <rFont val="Arial"/>
        <sz val="10.0"/>
      </rPr>
      <t>!?</t>
    </r>
    <r>
      <rPr>
        <rFont val="ＭＳ Ｐゴシック"/>
        <sz val="10.0"/>
      </rPr>
      <t>どっちもあって大満足の</t>
    </r>
    <r>
      <rPr>
        <rFont val="Arial"/>
        <sz val="10.0"/>
      </rPr>
      <t>1</t>
    </r>
    <r>
      <rPr>
        <rFont val="ＭＳ Ｐゴシック"/>
        <sz val="10.0"/>
      </rPr>
      <t>時間</t>
    </r>
    <r>
      <rPr>
        <rFont val="Arial"/>
        <sz val="10.0"/>
      </rPr>
      <t>!!</t>
    </r>
    <r>
      <rPr>
        <rFont val="ＭＳ Ｐゴシック"/>
        <sz val="10.0"/>
      </rPr>
      <t>三雲華</t>
    </r>
    <r>
      <rPr>
        <rFont val="Arial"/>
        <sz val="10.0"/>
      </rPr>
      <t>(</t>
    </r>
    <r>
      <rPr>
        <rFont val="ＭＳ Ｐゴシック"/>
        <sz val="10.0"/>
      </rPr>
      <t>深田恭子</t>
    </r>
    <r>
      <rPr>
        <rFont val="Arial"/>
        <sz val="10.0"/>
      </rPr>
      <t>)</t>
    </r>
    <r>
      <rPr>
        <rFont val="ＭＳ Ｐゴシック"/>
        <sz val="10.0"/>
      </rPr>
      <t>の家族が</t>
    </r>
    <r>
      <rPr>
        <rFont val="Arial"/>
        <sz val="10.0"/>
      </rPr>
      <t>“L</t>
    </r>
    <r>
      <rPr>
        <rFont val="ＭＳ Ｐゴシック"/>
        <sz val="10.0"/>
      </rPr>
      <t>の一族</t>
    </r>
    <r>
      <rPr>
        <rFont val="Arial"/>
        <sz val="10.0"/>
      </rPr>
      <t>"</t>
    </r>
    <r>
      <rPr>
        <rFont val="ＭＳ Ｐゴシック"/>
        <sz val="10.0"/>
      </rPr>
      <t>だということが警察に知られてしまう。指名手配された華たち家族は落ち合う場所を決めて逃げていた。一方、華と交際していた桜庭和馬</t>
    </r>
    <r>
      <rPr>
        <rFont val="Arial"/>
        <sz val="10.0"/>
      </rPr>
      <t>(</t>
    </r>
    <r>
      <rPr>
        <rFont val="ＭＳ Ｐゴシック"/>
        <sz val="10.0"/>
      </rPr>
      <t>瀬戸康史</t>
    </r>
    <r>
      <rPr>
        <rFont val="Arial"/>
        <sz val="10.0"/>
      </rPr>
      <t>)</t>
    </r>
    <r>
      <rPr>
        <rFont val="ＭＳ Ｐゴシック"/>
        <sz val="10.0"/>
      </rPr>
      <t>は針のむしろ状態。典和</t>
    </r>
    <r>
      <rPr>
        <rFont val="Arial"/>
        <sz val="10.0"/>
      </rPr>
      <t>(</t>
    </r>
    <r>
      <rPr>
        <rFont val="ＭＳ Ｐゴシック"/>
        <sz val="10.0"/>
      </rPr>
      <t>信太昌之</t>
    </r>
    <r>
      <rPr>
        <rFont val="Arial"/>
        <sz val="10.0"/>
      </rPr>
      <t>)</t>
    </r>
    <r>
      <rPr>
        <rFont val="ＭＳ Ｐゴシック"/>
        <sz val="10.0"/>
      </rPr>
      <t>から</t>
    </r>
    <r>
      <rPr>
        <rFont val="Arial"/>
        <sz val="10.0"/>
      </rPr>
      <t>“L</t>
    </r>
    <r>
      <rPr>
        <rFont val="ＭＳ Ｐゴシック"/>
        <sz val="10.0"/>
      </rPr>
      <t>の一族</t>
    </r>
    <r>
      <rPr>
        <rFont val="Arial"/>
        <sz val="10.0"/>
      </rPr>
      <t>"</t>
    </r>
    <r>
      <rPr>
        <rFont val="ＭＳ Ｐゴシック"/>
        <sz val="10.0"/>
      </rPr>
      <t>とは知らずに交際していたことを証明しろと言われてしまった。</t>
    </r>
    <r>
      <rPr>
        <rFont val="Arial"/>
        <sz val="10.0"/>
      </rPr>
      <t xml:space="preserve">  </t>
    </r>
    <r>
      <rPr>
        <rFont val="ＭＳ Ｐゴシック"/>
        <sz val="10.0"/>
      </rPr>
      <t>警察の捜査をかいくぐり、華たちは集合場所へ。そこで、尊</t>
    </r>
    <r>
      <rPr>
        <rFont val="Arial"/>
        <sz val="10.0"/>
      </rPr>
      <t>(</t>
    </r>
    <r>
      <rPr>
        <rFont val="ＭＳ Ｐゴシック"/>
        <sz val="10.0"/>
      </rPr>
      <t>渡部篤郎</t>
    </r>
    <r>
      <rPr>
        <rFont val="Arial"/>
        <sz val="10.0"/>
      </rPr>
      <t>)</t>
    </r>
    <r>
      <rPr>
        <rFont val="ＭＳ Ｐゴシック"/>
        <sz val="10.0"/>
      </rPr>
      <t>は華、悦子</t>
    </r>
    <r>
      <rPr>
        <rFont val="Arial"/>
        <sz val="10.0"/>
      </rPr>
      <t>(</t>
    </r>
    <r>
      <rPr>
        <rFont val="ＭＳ Ｐゴシック"/>
        <sz val="10.0"/>
      </rPr>
      <t>小沢真珠</t>
    </r>
    <r>
      <rPr>
        <rFont val="Arial"/>
        <sz val="10.0"/>
      </rPr>
      <t>)</t>
    </r>
    <r>
      <rPr>
        <rFont val="ＭＳ Ｐゴシック"/>
        <sz val="10.0"/>
      </rPr>
      <t>、渉</t>
    </r>
    <r>
      <rPr>
        <rFont val="Arial"/>
        <sz val="10.0"/>
      </rPr>
      <t>(</t>
    </r>
    <r>
      <rPr>
        <rFont val="ＭＳ Ｐゴシック"/>
        <sz val="10.0"/>
      </rPr>
      <t>栗原類</t>
    </r>
    <r>
      <rPr>
        <rFont val="Arial"/>
        <sz val="10.0"/>
      </rPr>
      <t>)</t>
    </r>
    <r>
      <rPr>
        <rFont val="ＭＳ Ｐゴシック"/>
        <sz val="10.0"/>
      </rPr>
      <t>、マツ</t>
    </r>
    <r>
      <rPr>
        <rFont val="Arial"/>
        <sz val="10.0"/>
      </rPr>
      <t>(</t>
    </r>
    <r>
      <rPr>
        <rFont val="ＭＳ Ｐゴシック"/>
        <sz val="10.0"/>
      </rPr>
      <t>どんぐり</t>
    </r>
    <r>
      <rPr>
        <rFont val="Arial"/>
        <sz val="10.0"/>
      </rPr>
      <t>)</t>
    </r>
    <r>
      <rPr>
        <rFont val="ＭＳ Ｐゴシック"/>
        <sz val="10.0"/>
      </rPr>
      <t>にそれぞれ一万円と偽造免許証を渡し、新しい戸籍で生きるよう告げ、何十年先になるかわからないが必ず迎えに行くと三雲家の解散を宣言する。一方、和馬や巻栄一</t>
    </r>
    <r>
      <rPr>
        <rFont val="Arial"/>
        <sz val="10.0"/>
      </rPr>
      <t>(</t>
    </r>
    <r>
      <rPr>
        <rFont val="ＭＳ Ｐゴシック"/>
        <sz val="10.0"/>
      </rPr>
      <t>加藤諒</t>
    </r>
    <r>
      <rPr>
        <rFont val="Arial"/>
        <sz val="10.0"/>
      </rPr>
      <t>)</t>
    </r>
    <r>
      <rPr>
        <rFont val="ＭＳ Ｐゴシック"/>
        <sz val="10.0"/>
      </rPr>
      <t>たち捜査三課は、三雲家が身を隠しそうな都内の宿泊施設をしらみつぶしに調べていた。</t>
    </r>
    <r>
      <rPr>
        <rFont val="Arial"/>
        <sz val="10.0"/>
      </rPr>
      <t xml:space="preserve">  </t>
    </r>
    <r>
      <rPr>
        <rFont val="ＭＳ Ｐゴシック"/>
        <sz val="10.0"/>
      </rPr>
      <t>華は漫画喫茶に隠れていたが、尊からもらったなけなしの金を奪われてしまい出て行くことになる。華と入れ違いに、和馬が聞き込みに来たが二人が会うことはなかった。</t>
    </r>
    <r>
      <rPr>
        <rFont val="Arial"/>
        <sz val="10.0"/>
      </rPr>
      <t xml:space="preserve">  </t>
    </r>
    <r>
      <rPr>
        <rFont val="ＭＳ Ｐゴシック"/>
        <sz val="10.0"/>
      </rPr>
      <t>途方に暮れた華は、満足に食事も出来ずに街をさ迷ううちに倒れてしまった。華は場末のスナックのソファで目を覚ます。声をかけたのは店のママ、薄井佐知。華を救った佐知は食事を与え、事情も聞かずに店で働かないかと雇ってくれた。和馬はなぜ警察の上層部が執拗に</t>
    </r>
    <r>
      <rPr>
        <rFont val="Arial"/>
        <sz val="10.0"/>
      </rPr>
      <t>“L</t>
    </r>
    <r>
      <rPr>
        <rFont val="ＭＳ Ｐゴシック"/>
        <sz val="10.0"/>
      </rPr>
      <t>の一族</t>
    </r>
    <r>
      <rPr>
        <rFont val="Arial"/>
        <sz val="10.0"/>
      </rPr>
      <t>"</t>
    </r>
    <r>
      <rPr>
        <rFont val="ＭＳ Ｐゴシック"/>
        <sz val="10.0"/>
      </rPr>
      <t>を追うのかを元警視総監の孫、橋元エミリ</t>
    </r>
    <r>
      <rPr>
        <rFont val="Arial"/>
        <sz val="10.0"/>
      </rPr>
      <t>(</t>
    </r>
    <r>
      <rPr>
        <rFont val="ＭＳ Ｐゴシック"/>
        <sz val="10.0"/>
      </rPr>
      <t>岸井ゆきの</t>
    </r>
    <r>
      <rPr>
        <rFont val="Arial"/>
        <sz val="10.0"/>
      </rPr>
      <t>)</t>
    </r>
    <r>
      <rPr>
        <rFont val="ＭＳ Ｐゴシック"/>
        <sz val="10.0"/>
      </rPr>
      <t>に尋ねるのだが</t>
    </r>
    <r>
      <rPr>
        <rFont val="Arial"/>
        <sz val="10.0"/>
      </rPr>
      <t>…</t>
    </r>
    <r>
      <rPr>
        <rFont val="ＭＳ Ｐゴシック"/>
        <sz val="10.0"/>
      </rPr>
      <t>。</t>
    </r>
  </si>
  <si>
    <t>「2019世界柔道選手権　男子90kg級　女子70kg級」延長の際、放送時間繰り下げの場合あり。☆今夜はシリアス!?それともコメディさく裂!?どっちもあって大満足の1時間!!三雲華(深田恭子)の家族が“Lの一族"だということが警察に知られてしまう。指名手配された華たち家族は落ち合う場所を決めて逃げていた。一方、華と交際していた桜庭和馬(瀬戸康史)は針のむしろ状態。典和(信太昌之)から“Lの一族"とは知らずに交際していたことを証明しろと言われてしまった。  警察の捜査をかいくぐり、華たちは集合場所へ。そこで、尊(渡部篤郎)は華、悦子(小沢真珠)、渉(栗原類)、マツ(どんぐり)にそれぞれ一万円と偽造免許証を渡し、新しい戸籍で生きるよう告げ、何十年先になるかわからないが必ず迎えに行くと三雲家の解散を宣言する。一方、和馬や巻栄一(加藤諒)たち捜査三課は、三雲家が身を隠しそうな都内の宿泊施設をしらみつぶしに調べていた。  華は漫画喫茶に隠れていたが、尊からもらったなけなしの金を奪われてしまい出て行くことになる。華と入れ違いに、和馬が聞き込みに来たが二人が会うことはなかった。  途方に暮れた華は、満足に食事も出来ずに街をさ迷ううちに倒れてしまった。華は場末のスナックのソファで目を覚ます。声をかけたのは店のママ、薄井佐知。華を救った佐知は食事を与え、事情も聞かずに店で働かないかと雇ってくれた。和馬はなぜ警察の上層部が執拗に“Lの一族"を追うのかを元警視総監の孫、橋元エミリ(岸井ゆきの)に尋ねるのだが…。</t>
  </si>
  <si>
    <t>番組名&lt;木曜劇場&gt;ルパンの娘【最終章スタート!舞台は一年後…衝撃ラスト!】　#09</t>
  </si>
  <si>
    <r>
      <rPr>
        <rFont val="ＭＳ Ｐゴシック"/>
        <sz val="10.0"/>
      </rPr>
      <t>☆笑い</t>
    </r>
    <r>
      <rPr>
        <rFont val="Arial"/>
        <sz val="10.0"/>
      </rPr>
      <t>&amp;</t>
    </r>
    <r>
      <rPr>
        <rFont val="ＭＳ Ｐゴシック"/>
        <sz val="10.0"/>
      </rPr>
      <t>ラブ</t>
    </r>
    <r>
      <rPr>
        <rFont val="Arial"/>
        <sz val="10.0"/>
      </rPr>
      <t>&amp;</t>
    </r>
    <r>
      <rPr>
        <rFont val="ＭＳ Ｐゴシック"/>
        <sz val="10.0"/>
      </rPr>
      <t>家族ドラマ</t>
    </r>
    <r>
      <rPr>
        <rFont val="Arial"/>
        <sz val="10.0"/>
      </rPr>
      <t>&amp;</t>
    </r>
    <r>
      <rPr>
        <rFont val="ＭＳ Ｐゴシック"/>
        <sz val="10.0"/>
      </rPr>
      <t>サスペンス</t>
    </r>
    <r>
      <rPr>
        <rFont val="Arial"/>
        <sz val="10.0"/>
      </rPr>
      <t>&amp;</t>
    </r>
    <r>
      <rPr>
        <rFont val="ＭＳ Ｐゴシック"/>
        <sz val="10.0"/>
      </rPr>
      <t>アクション</t>
    </r>
    <r>
      <rPr>
        <rFont val="Arial"/>
        <sz val="10.0"/>
      </rPr>
      <t>&amp;</t>
    </r>
    <r>
      <rPr>
        <rFont val="ＭＳ Ｐゴシック"/>
        <sz val="10.0"/>
      </rPr>
      <t>ミュージカル</t>
    </r>
    <r>
      <rPr>
        <rFont val="Arial"/>
        <sz val="10.0"/>
      </rPr>
      <t>!</t>
    </r>
    <r>
      <rPr>
        <rFont val="ＭＳ Ｐゴシック"/>
        <sz val="10.0"/>
      </rPr>
      <t>エンタメてんこ盛りの贅沢なラブコメディ</t>
    </r>
    <r>
      <rPr>
        <rFont val="Arial"/>
        <sz val="10.0"/>
      </rPr>
      <t>!!</t>
    </r>
    <r>
      <rPr>
        <rFont val="ＭＳ Ｐゴシック"/>
        <sz val="10.0"/>
      </rPr>
      <t>三雲華</t>
    </r>
    <r>
      <rPr>
        <rFont val="Arial"/>
        <sz val="10.0"/>
      </rPr>
      <t>(</t>
    </r>
    <r>
      <rPr>
        <rFont val="ＭＳ Ｐゴシック"/>
        <sz val="10.0"/>
      </rPr>
      <t>深田恭子</t>
    </r>
    <r>
      <rPr>
        <rFont val="Arial"/>
        <sz val="10.0"/>
      </rPr>
      <t>)</t>
    </r>
    <r>
      <rPr>
        <rFont val="ＭＳ Ｐゴシック"/>
        <sz val="10.0"/>
      </rPr>
      <t>は、よりにもよって愛する桜庭和馬</t>
    </r>
    <r>
      <rPr>
        <rFont val="Arial"/>
        <sz val="10.0"/>
      </rPr>
      <t>(</t>
    </r>
    <r>
      <rPr>
        <rFont val="ＭＳ Ｐゴシック"/>
        <sz val="10.0"/>
      </rPr>
      <t>瀬戸康史</t>
    </r>
    <r>
      <rPr>
        <rFont val="Arial"/>
        <sz val="10.0"/>
      </rPr>
      <t>)</t>
    </r>
    <r>
      <rPr>
        <rFont val="ＭＳ Ｐゴシック"/>
        <sz val="10.0"/>
      </rPr>
      <t>に手錠をかけられ逮捕されてしまった。護送されるパトカーの中、華は和馬と愛を重ねた日々に思いをはせる。</t>
    </r>
    <r>
      <rPr>
        <rFont val="Arial"/>
        <sz val="10.0"/>
      </rPr>
      <t xml:space="preserve">  </t>
    </r>
    <r>
      <rPr>
        <rFont val="ＭＳ Ｐゴシック"/>
        <sz val="10.0"/>
      </rPr>
      <t>和馬は無事に捜査一課への異動が決まる。だが和馬はこの異動に疑問を持っていた。そこで和馬は橋元エミリ</t>
    </r>
    <r>
      <rPr>
        <rFont val="Arial"/>
        <sz val="10.0"/>
      </rPr>
      <t>(</t>
    </r>
    <r>
      <rPr>
        <rFont val="ＭＳ Ｐゴシック"/>
        <sz val="10.0"/>
      </rPr>
      <t>岸井ゆきの</t>
    </r>
    <r>
      <rPr>
        <rFont val="Arial"/>
        <sz val="10.0"/>
      </rPr>
      <t>)</t>
    </r>
    <r>
      <rPr>
        <rFont val="ＭＳ Ｐゴシック"/>
        <sz val="10.0"/>
      </rPr>
      <t>と会う。そして元警視総監のエミリの祖父に今回の人事の裏に何かあるか聞き出してほしいと頼んだ。エミリは祖父と話などできないと和馬の依頼を断る。エミリは、交際してほしいと言う自分の願いに対する和馬の答えを聞くが、和馬は誰かを好きになることは二度とないと告げる。</t>
    </r>
    <r>
      <rPr>
        <rFont val="Arial"/>
        <sz val="10.0"/>
      </rPr>
      <t xml:space="preserve">  1</t>
    </r>
    <r>
      <rPr>
        <rFont val="ＭＳ Ｐゴシック"/>
        <sz val="10.0"/>
      </rPr>
      <t>年後、三雲家のタワーマンションに、尊</t>
    </r>
    <r>
      <rPr>
        <rFont val="Arial"/>
        <sz val="10.0"/>
      </rPr>
      <t>(</t>
    </r>
    <r>
      <rPr>
        <rFont val="ＭＳ Ｐゴシック"/>
        <sz val="10.0"/>
      </rPr>
      <t>渡部篤郎</t>
    </r>
    <r>
      <rPr>
        <rFont val="Arial"/>
        <sz val="10.0"/>
      </rPr>
      <t>)</t>
    </r>
    <r>
      <rPr>
        <rFont val="ＭＳ Ｐゴシック"/>
        <sz val="10.0"/>
      </rPr>
      <t>、悦子</t>
    </r>
    <r>
      <rPr>
        <rFont val="Arial"/>
        <sz val="10.0"/>
      </rPr>
      <t>(</t>
    </r>
    <r>
      <rPr>
        <rFont val="ＭＳ Ｐゴシック"/>
        <sz val="10.0"/>
      </rPr>
      <t>小沢真珠</t>
    </r>
    <r>
      <rPr>
        <rFont val="Arial"/>
        <sz val="10.0"/>
      </rPr>
      <t>)</t>
    </r>
    <r>
      <rPr>
        <rFont val="ＭＳ Ｐゴシック"/>
        <sz val="10.0"/>
      </rPr>
      <t>、渉</t>
    </r>
    <r>
      <rPr>
        <rFont val="Arial"/>
        <sz val="10.0"/>
      </rPr>
      <t>(</t>
    </r>
    <r>
      <rPr>
        <rFont val="ＭＳ Ｐゴシック"/>
        <sz val="10.0"/>
      </rPr>
      <t>栗原類</t>
    </r>
    <r>
      <rPr>
        <rFont val="Arial"/>
        <sz val="10.0"/>
      </rPr>
      <t>)</t>
    </r>
    <r>
      <rPr>
        <rFont val="ＭＳ Ｐゴシック"/>
        <sz val="10.0"/>
      </rPr>
      <t>、マツ</t>
    </r>
    <r>
      <rPr>
        <rFont val="Arial"/>
        <sz val="10.0"/>
      </rPr>
      <t>(</t>
    </r>
    <r>
      <rPr>
        <rFont val="ＭＳ Ｐゴシック"/>
        <sz val="10.0"/>
      </rPr>
      <t>どんぐり</t>
    </r>
    <r>
      <rPr>
        <rFont val="Arial"/>
        <sz val="10.0"/>
      </rPr>
      <t>)</t>
    </r>
    <r>
      <rPr>
        <rFont val="ＭＳ Ｐゴシック"/>
        <sz val="10.0"/>
      </rPr>
      <t>が戻って来る。相変わらず同じマンションの住人たちから高級食材を盗む泥棒三昧の家族たちだ。</t>
    </r>
    <r>
      <rPr>
        <rFont val="Arial"/>
        <sz val="10.0"/>
      </rPr>
      <t>1</t>
    </r>
    <r>
      <rPr>
        <rFont val="ＭＳ Ｐゴシック"/>
        <sz val="10.0"/>
      </rPr>
      <t>年経てば</t>
    </r>
    <r>
      <rPr>
        <rFont val="Arial"/>
        <sz val="10.0"/>
      </rPr>
      <t>“L</t>
    </r>
    <r>
      <rPr>
        <rFont val="ＭＳ Ｐゴシック"/>
        <sz val="10.0"/>
      </rPr>
      <t>の一族</t>
    </r>
    <r>
      <rPr>
        <rFont val="Arial"/>
        <sz val="10.0"/>
      </rPr>
      <t>"</t>
    </r>
    <r>
      <rPr>
        <rFont val="ＭＳ Ｐゴシック"/>
        <sz val="10.0"/>
      </rPr>
      <t>など世間は忘れてしまっていると、尊たちは余裕を持っている。</t>
    </r>
    <r>
      <rPr>
        <rFont val="Arial"/>
        <sz val="10.0"/>
      </rPr>
      <t xml:space="preserve">  </t>
    </r>
    <r>
      <rPr>
        <rFont val="ＭＳ Ｐゴシック"/>
        <sz val="10.0"/>
      </rPr>
      <t>一方、</t>
    </r>
    <r>
      <rPr>
        <rFont val="Arial"/>
        <sz val="10.0"/>
      </rPr>
      <t>1</t>
    </r>
    <r>
      <rPr>
        <rFont val="ＭＳ Ｐゴシック"/>
        <sz val="10.0"/>
      </rPr>
      <t>年前は華への思いから恋をあきらめようとしていた和馬は、なんとエミリと婚約し結婚式への準備を進めていた。また和馬は捜査一課で新たな事件捜査に乗り出す。飲食店で働く女性が</t>
    </r>
    <r>
      <rPr>
        <rFont val="Arial"/>
        <sz val="10.0"/>
      </rPr>
      <t>2</t>
    </r>
    <r>
      <rPr>
        <rFont val="ＭＳ Ｐゴシック"/>
        <sz val="10.0"/>
      </rPr>
      <t>人連続で、</t>
    </r>
    <r>
      <rPr>
        <rFont val="Arial"/>
        <sz val="10.0"/>
      </rPr>
      <t>3</t>
    </r>
    <r>
      <rPr>
        <rFont val="ＭＳ Ｐゴシック"/>
        <sz val="10.0"/>
      </rPr>
      <t>人組の男たちに連れ去られるという事件だった。捜査会議後、和馬は久しぶりに巻栄一</t>
    </r>
    <r>
      <rPr>
        <rFont val="Arial"/>
        <sz val="10.0"/>
      </rPr>
      <t>(</t>
    </r>
    <r>
      <rPr>
        <rFont val="ＭＳ Ｐゴシック"/>
        <sz val="10.0"/>
      </rPr>
      <t>加藤諒</t>
    </r>
    <r>
      <rPr>
        <rFont val="Arial"/>
        <sz val="10.0"/>
      </rPr>
      <t>)</t>
    </r>
    <r>
      <rPr>
        <rFont val="ＭＳ Ｐゴシック"/>
        <sz val="10.0"/>
      </rPr>
      <t>と会う。エミリと婚約したことに巻も驚きを隠せない。和馬は、なぜ自分がエミリに心を開くことになったのかを、巻に話し始める。</t>
    </r>
  </si>
  <si>
    <t>☆笑い&amp;ラブ&amp;家族ドラマ&amp;サスペンス&amp;アクション&amp;ミュージカル!エンタメてんこ盛りの贅沢なラブコメディ!!三雲華(深田恭子)は、よりにもよって愛する桜庭和馬(瀬戸康史)に手錠をかけられ逮捕されてしまった。護送されるパトカーの中、華は和馬と愛を重ねた日々に思いをはせる。  和馬は無事に捜査一課への異動が決まる。だが和馬はこの異動に疑問を持っていた。そこで和馬は橋元エミリ(岸井ゆきの)と会う。そして元警視総監のエミリの祖父に今回の人事の裏に何かあるか聞き出してほしいと頼んだ。エミリは祖父と話などできないと和馬の依頼を断る。エミリは、交際してほしいと言う自分の願いに対する和馬の答えを聞くが、和馬は誰かを好きになることは二度とないと告げる。  1年後、三雲家のタワーマンションに、尊(渡部篤郎)、悦子(小沢真珠)、渉(栗原類)、マツ(どんぐり)が戻って来る。相変わらず同じマンションの住人たちから高級食材を盗む泥棒三昧の家族たちだ。1年経てば“Lの一族"など世間は忘れてしまっていると、尊たちは余裕を持っている。  一方、1年前は華への思いから恋をあきらめようとしていた和馬は、なんとエミリと婚約し結婚式への準備を進めていた。また和馬は捜査一課で新たな事件捜査に乗り出す。飲食店で働く女性が2人連続で、3人組の男たちに連れ去られるという事件だった。捜査会議後、和馬は久しぶりに巻栄一(加藤諒)と会う。エミリと婚約したことに巻も驚きを隠せない。和馬は、なぜ自分がエミリに心を開くことになったのかを、巻に話し始める。</t>
  </si>
  <si>
    <t>番組名&lt;木曜劇場&gt;ルパンの娘【深田恭子が女子高生に!?60年前の悲恋物語】　#10</t>
  </si>
  <si>
    <r>
      <rPr>
        <rFont val="ＭＳ Ｐゴシック"/>
        <sz val="10.0"/>
      </rPr>
      <t>「</t>
    </r>
    <r>
      <rPr>
        <rFont val="Arial"/>
        <sz val="10.0"/>
      </rPr>
      <t>FIVB</t>
    </r>
    <r>
      <rPr>
        <rFont val="ＭＳ Ｐゴシック"/>
        <sz val="10.0"/>
      </rPr>
      <t>ワールドカップバレーボール</t>
    </r>
    <r>
      <rPr>
        <rFont val="Arial"/>
        <sz val="10.0"/>
      </rPr>
      <t>2019</t>
    </r>
    <r>
      <rPr>
        <rFont val="ＭＳ Ｐゴシック"/>
        <sz val="10.0"/>
      </rPr>
      <t xml:space="preserve">　女子　日本</t>
    </r>
    <r>
      <rPr>
        <rFont val="Arial"/>
        <sz val="10.0"/>
      </rPr>
      <t>×</t>
    </r>
    <r>
      <rPr>
        <rFont val="ＭＳ Ｐゴシック"/>
        <sz val="10.0"/>
      </rPr>
      <t>中国」延長の際、放送時間繰り下げの場合あり。☆物語はクライマックスへ</t>
    </r>
    <r>
      <rPr>
        <rFont val="Arial"/>
        <sz val="10.0"/>
      </rPr>
      <t>!</t>
    </r>
    <r>
      <rPr>
        <rFont val="ＭＳ Ｐゴシック"/>
        <sz val="10.0"/>
      </rPr>
      <t>番組の最後には視聴者プレゼントも</t>
    </r>
    <r>
      <rPr>
        <rFont val="Arial"/>
        <sz val="10.0"/>
      </rPr>
      <t>!“L</t>
    </r>
    <r>
      <rPr>
        <rFont val="ＭＳ Ｐゴシック"/>
        <sz val="10.0"/>
      </rPr>
      <t>の一族</t>
    </r>
    <r>
      <rPr>
        <rFont val="Arial"/>
        <sz val="10.0"/>
      </rPr>
      <t>"</t>
    </r>
    <r>
      <rPr>
        <rFont val="ＭＳ Ｐゴシック"/>
        <sz val="10.0"/>
      </rPr>
      <t>に衝撃が走る。三雲華</t>
    </r>
    <r>
      <rPr>
        <rFont val="Arial"/>
        <sz val="10.0"/>
      </rPr>
      <t>(</t>
    </r>
    <r>
      <rPr>
        <rFont val="ＭＳ Ｐゴシック"/>
        <sz val="10.0"/>
      </rPr>
      <t>深田恭子</t>
    </r>
    <r>
      <rPr>
        <rFont val="Arial"/>
        <sz val="10.0"/>
      </rPr>
      <t>)</t>
    </r>
    <r>
      <rPr>
        <rFont val="ＭＳ Ｐゴシック"/>
        <sz val="10.0"/>
      </rPr>
      <t>の祖父、巌</t>
    </r>
    <r>
      <rPr>
        <rFont val="Arial"/>
        <sz val="10.0"/>
      </rPr>
      <t>(</t>
    </r>
    <r>
      <rPr>
        <rFont val="ＭＳ Ｐゴシック"/>
        <sz val="10.0"/>
      </rPr>
      <t>麿赤兒</t>
    </r>
    <r>
      <rPr>
        <rFont val="Arial"/>
        <sz val="10.0"/>
      </rPr>
      <t>)</t>
    </r>
    <r>
      <rPr>
        <rFont val="ＭＳ Ｐゴシック"/>
        <sz val="10.0"/>
      </rPr>
      <t>が死んだのだ。ニュースで伝えられた河川敷で発見された焼死体の</t>
    </r>
    <r>
      <rPr>
        <rFont val="Arial"/>
        <sz val="10.0"/>
      </rPr>
      <t>“</t>
    </r>
    <r>
      <rPr>
        <rFont val="ＭＳ Ｐゴシック"/>
        <sz val="10.0"/>
      </rPr>
      <t>立嶋雅夫</t>
    </r>
    <r>
      <rPr>
        <rFont val="Arial"/>
        <sz val="10.0"/>
      </rPr>
      <t>"</t>
    </r>
    <r>
      <rPr>
        <rFont val="ＭＳ Ｐゴシック"/>
        <sz val="10.0"/>
      </rPr>
      <t>は、尊</t>
    </r>
    <r>
      <rPr>
        <rFont val="Arial"/>
        <sz val="10.0"/>
      </rPr>
      <t>(</t>
    </r>
    <r>
      <rPr>
        <rFont val="ＭＳ Ｐゴシック"/>
        <sz val="10.0"/>
      </rPr>
      <t>渡部篤郎</t>
    </r>
    <r>
      <rPr>
        <rFont val="Arial"/>
        <sz val="10.0"/>
      </rPr>
      <t>)</t>
    </r>
    <r>
      <rPr>
        <rFont val="ＭＳ Ｐゴシック"/>
        <sz val="10.0"/>
      </rPr>
      <t>によると巌の偽装</t>
    </r>
    <r>
      <rPr>
        <rFont val="Arial"/>
        <sz val="10.0"/>
      </rPr>
      <t>ID</t>
    </r>
    <r>
      <rPr>
        <rFont val="ＭＳ Ｐゴシック"/>
        <sz val="10.0"/>
      </rPr>
      <t>の名前だと言う。ショックを受ける華、そして信じようとしない悦子</t>
    </r>
    <r>
      <rPr>
        <rFont val="Arial"/>
        <sz val="10.0"/>
      </rPr>
      <t>(</t>
    </r>
    <r>
      <rPr>
        <rFont val="ＭＳ Ｐゴシック"/>
        <sz val="10.0"/>
      </rPr>
      <t>小沢真珠</t>
    </r>
    <r>
      <rPr>
        <rFont val="Arial"/>
        <sz val="10.0"/>
      </rPr>
      <t>)</t>
    </r>
    <r>
      <rPr>
        <rFont val="ＭＳ Ｐゴシック"/>
        <sz val="10.0"/>
      </rPr>
      <t>。マツ</t>
    </r>
    <r>
      <rPr>
        <rFont val="Arial"/>
        <sz val="10.0"/>
      </rPr>
      <t>(</t>
    </r>
    <r>
      <rPr>
        <rFont val="ＭＳ Ｐゴシック"/>
        <sz val="10.0"/>
      </rPr>
      <t>どんぐり</t>
    </r>
    <r>
      <rPr>
        <rFont val="Arial"/>
        <sz val="10.0"/>
      </rPr>
      <t>)</t>
    </r>
    <r>
      <rPr>
        <rFont val="ＭＳ Ｐゴシック"/>
        <sz val="10.0"/>
      </rPr>
      <t>も巌は簡単には死なないと言う</t>
    </r>
    <r>
      <rPr>
        <rFont val="Arial"/>
        <sz val="10.0"/>
      </rPr>
      <t>…</t>
    </r>
    <r>
      <rPr>
        <rFont val="ＭＳ Ｐゴシック"/>
        <sz val="10.0"/>
      </rPr>
      <t>。</t>
    </r>
    <r>
      <rPr>
        <rFont val="Arial"/>
        <sz val="10.0"/>
      </rPr>
      <t xml:space="preserve">  </t>
    </r>
    <r>
      <rPr>
        <rFont val="ＭＳ Ｐゴシック"/>
        <sz val="10.0"/>
      </rPr>
      <t>桜庭和馬</t>
    </r>
    <r>
      <rPr>
        <rFont val="Arial"/>
        <sz val="10.0"/>
      </rPr>
      <t>(</t>
    </r>
    <r>
      <rPr>
        <rFont val="ＭＳ Ｐゴシック"/>
        <sz val="10.0"/>
      </rPr>
      <t>瀬戸康史</t>
    </r>
    <r>
      <rPr>
        <rFont val="Arial"/>
        <sz val="10.0"/>
      </rPr>
      <t>)</t>
    </r>
    <r>
      <rPr>
        <rFont val="ＭＳ Ｐゴシック"/>
        <sz val="10.0"/>
      </rPr>
      <t>は焼死体事件の捜査に着手。すると死体について新たな報告が入る。立嶋の直接の死因は鈍器のようなもので殴られたことで、焼かれたのはその後だった。つまり立嶋は何者かに殺害されたことになる。和馬は鈴木花という偽名をたどった必死の捜査で、華と再会することができた。そして河川敷の事件現場の近くに落ちていたと、</t>
    </r>
    <r>
      <rPr>
        <rFont val="Arial"/>
        <sz val="10.0"/>
      </rPr>
      <t>1</t>
    </r>
    <r>
      <rPr>
        <rFont val="ＭＳ Ｐゴシック"/>
        <sz val="10.0"/>
      </rPr>
      <t>枚の写真を渡す。写っていたのは巌が身に着けていた錠前ネックレス。華は和馬に礼を言い、これ以上自分たちに関わらない方がいいと立ち去った。</t>
    </r>
    <r>
      <rPr>
        <rFont val="Arial"/>
        <sz val="10.0"/>
      </rPr>
      <t xml:space="preserve">  </t>
    </r>
    <r>
      <rPr>
        <rFont val="ＭＳ Ｐゴシック"/>
        <sz val="10.0"/>
      </rPr>
      <t>マンションに帰った華は、尊たちに写真を見せる。すると尊とマツはネックレスが本物かどうか確かめると言い出した。巌の錠前はマツが同じくネックレスとして身に着けている鍵で開くのだ。</t>
    </r>
    <r>
      <rPr>
        <rFont val="Arial"/>
        <sz val="10.0"/>
      </rPr>
      <t>“L</t>
    </r>
    <r>
      <rPr>
        <rFont val="ＭＳ Ｐゴシック"/>
        <sz val="10.0"/>
      </rPr>
      <t>の一族</t>
    </r>
    <r>
      <rPr>
        <rFont val="Arial"/>
        <sz val="10.0"/>
      </rPr>
      <t>"</t>
    </r>
    <r>
      <rPr>
        <rFont val="ＭＳ Ｐゴシック"/>
        <sz val="10.0"/>
      </rPr>
      <t>は、錠前ネックレスを盗むため警視庁へと侵入。警察官に変装した華たちは渉</t>
    </r>
    <r>
      <rPr>
        <rFont val="Arial"/>
        <sz val="10.0"/>
      </rPr>
      <t>(</t>
    </r>
    <r>
      <rPr>
        <rFont val="ＭＳ Ｐゴシック"/>
        <sz val="10.0"/>
      </rPr>
      <t>栗原類</t>
    </r>
    <r>
      <rPr>
        <rFont val="Arial"/>
        <sz val="10.0"/>
      </rPr>
      <t>)</t>
    </r>
    <r>
      <rPr>
        <rFont val="ＭＳ Ｐゴシック"/>
        <sz val="10.0"/>
      </rPr>
      <t>のてんとう虫</t>
    </r>
    <r>
      <rPr>
        <rFont val="Arial"/>
        <sz val="10.0"/>
      </rPr>
      <t>3</t>
    </r>
    <r>
      <rPr>
        <rFont val="ＭＳ Ｐゴシック"/>
        <sz val="10.0"/>
      </rPr>
      <t>号、円城寺輝</t>
    </r>
    <r>
      <rPr>
        <rFont val="Arial"/>
        <sz val="10.0"/>
      </rPr>
      <t>(</t>
    </r>
    <r>
      <rPr>
        <rFont val="ＭＳ Ｐゴシック"/>
        <sz val="10.0"/>
      </rPr>
      <t>大貫勇輔</t>
    </r>
    <r>
      <rPr>
        <rFont val="Arial"/>
        <sz val="10.0"/>
      </rPr>
      <t>)</t>
    </r>
    <r>
      <rPr>
        <rFont val="ＭＳ Ｐゴシック"/>
        <sz val="10.0"/>
      </rPr>
      <t>の力も借り、遺留品保管室に潜入してネックレスを盗むことに成功。マンションに戻った華たちが、マツの鍵で錠前が開くか試してみることに</t>
    </r>
    <r>
      <rPr>
        <rFont val="Arial"/>
        <sz val="10.0"/>
      </rPr>
      <t>…</t>
    </r>
    <r>
      <rPr>
        <rFont val="ＭＳ Ｐゴシック"/>
        <sz val="10.0"/>
      </rPr>
      <t>。</t>
    </r>
  </si>
  <si>
    <t>「FIVBワールドカップバレーボール2019　女子　日本×中国」延長の際、放送時間繰り下げの場合あり。☆物語はクライマックスへ!番組の最後には視聴者プレゼントも!“Lの一族"に衝撃が走る。三雲華(深田恭子)の祖父、巌(麿赤兒)が死んだのだ。ニュースで伝えられた河川敷で発見された焼死体の“立嶋雅夫"は、尊(渡部篤郎)によると巌の偽装IDの名前だと言う。ショックを受ける華、そして信じようとしない悦子(小沢真珠)。マツ(どんぐり)も巌は簡単には死なないと言う…。  桜庭和馬(瀬戸康史)は焼死体事件の捜査に着手。すると死体について新たな報告が入る。立嶋の直接の死因は鈍器のようなもので殴られたことで、焼かれたのはその後だった。つまり立嶋は何者かに殺害されたことになる。和馬は鈴木花という偽名をたどった必死の捜査で、華と再会することができた。そして河川敷の事件現場の近くに落ちていたと、1枚の写真を渡す。写っていたのは巌が身に着けていた錠前ネックレス。華は和馬に礼を言い、これ以上自分たちに関わらない方がいいと立ち去った。  マンションに帰った華は、尊たちに写真を見せる。すると尊とマツはネックレスが本物かどうか確かめると言い出した。巌の錠前はマツが同じくネックレスとして身に着けている鍵で開くのだ。“Lの一族"は、錠前ネックレスを盗むため警視庁へと侵入。警察官に変装した華たちは渉(栗原類)のてんとう虫3号、円城寺輝(大貫勇輔)の力も借り、遺留品保管室に潜入してネックレスを盗むことに成功。マンションに戻った華たちが、マツの鍵で錠前が開くか試してみることに…。</t>
  </si>
  <si>
    <t>番組名&lt;木曜劇場&gt;ルパンの娘【ついに完結!愛する人の心を盗め!深田恭子】　#11</t>
  </si>
  <si>
    <r>
      <rPr>
        <rFont val="ＭＳ Ｐゴシック"/>
        <sz val="10.0"/>
      </rPr>
      <t>☆番組の最後には</t>
    </r>
    <r>
      <rPr>
        <rFont val="Arial"/>
        <sz val="10.0"/>
      </rPr>
      <t>DVD</t>
    </r>
    <r>
      <rPr>
        <rFont val="ＭＳ Ｐゴシック"/>
        <sz val="10.0"/>
      </rPr>
      <t>・</t>
    </r>
    <r>
      <rPr>
        <rFont val="Arial"/>
        <sz val="10.0"/>
      </rPr>
      <t>BD</t>
    </r>
    <r>
      <rPr>
        <rFont val="ＭＳ Ｐゴシック"/>
        <sz val="10.0"/>
      </rPr>
      <t>プレゼント等のお知らせも</t>
    </r>
    <r>
      <rPr>
        <rFont val="Arial"/>
        <sz val="10.0"/>
      </rPr>
      <t>!</t>
    </r>
    <r>
      <rPr>
        <rFont val="ＭＳ Ｐゴシック"/>
        <sz val="10.0"/>
      </rPr>
      <t>三雲華</t>
    </r>
    <r>
      <rPr>
        <rFont val="Arial"/>
        <sz val="10.0"/>
      </rPr>
      <t>(</t>
    </r>
    <r>
      <rPr>
        <rFont val="ＭＳ Ｐゴシック"/>
        <sz val="10.0"/>
      </rPr>
      <t>深田恭子</t>
    </r>
    <r>
      <rPr>
        <rFont val="Arial"/>
        <sz val="10.0"/>
      </rPr>
      <t>)</t>
    </r>
    <r>
      <rPr>
        <rFont val="ＭＳ Ｐゴシック"/>
        <sz val="10.0"/>
      </rPr>
      <t>は</t>
    </r>
    <r>
      <rPr>
        <rFont val="Arial"/>
        <sz val="10.0"/>
      </rPr>
      <t>“L</t>
    </r>
    <r>
      <rPr>
        <rFont val="ＭＳ Ｐゴシック"/>
        <sz val="10.0"/>
      </rPr>
      <t>の一族</t>
    </r>
    <r>
      <rPr>
        <rFont val="Arial"/>
        <sz val="10.0"/>
      </rPr>
      <t>"</t>
    </r>
    <r>
      <rPr>
        <rFont val="ＭＳ Ｐゴシック"/>
        <sz val="10.0"/>
      </rPr>
      <t>の力を借りて、橋元エミリ</t>
    </r>
    <r>
      <rPr>
        <rFont val="Arial"/>
        <sz val="10.0"/>
      </rPr>
      <t>(</t>
    </r>
    <r>
      <rPr>
        <rFont val="ＭＳ Ｐゴシック"/>
        <sz val="10.0"/>
      </rPr>
      <t>岸井ゆきの</t>
    </r>
    <r>
      <rPr>
        <rFont val="Arial"/>
        <sz val="10.0"/>
      </rPr>
      <t>)</t>
    </r>
    <r>
      <rPr>
        <rFont val="ＭＳ Ｐゴシック"/>
        <sz val="10.0"/>
      </rPr>
      <t>との結婚式最中の桜庭和馬</t>
    </r>
    <r>
      <rPr>
        <rFont val="Arial"/>
        <sz val="10.0"/>
      </rPr>
      <t>(</t>
    </r>
    <r>
      <rPr>
        <rFont val="ＭＳ Ｐゴシック"/>
        <sz val="10.0"/>
      </rPr>
      <t>瀬戸康史</t>
    </r>
    <r>
      <rPr>
        <rFont val="Arial"/>
        <sz val="10.0"/>
      </rPr>
      <t>)</t>
    </r>
    <r>
      <rPr>
        <rFont val="ＭＳ Ｐゴシック"/>
        <sz val="10.0"/>
      </rPr>
      <t>を奪い返した。隠れ家のタワーマンションで、尊</t>
    </r>
    <r>
      <rPr>
        <rFont val="Arial"/>
        <sz val="10.0"/>
      </rPr>
      <t>(</t>
    </r>
    <r>
      <rPr>
        <rFont val="ＭＳ Ｐゴシック"/>
        <sz val="10.0"/>
      </rPr>
      <t>渡部篤郎</t>
    </r>
    <r>
      <rPr>
        <rFont val="Arial"/>
        <sz val="10.0"/>
      </rPr>
      <t>)</t>
    </r>
    <r>
      <rPr>
        <rFont val="ＭＳ Ｐゴシック"/>
        <sz val="10.0"/>
      </rPr>
      <t>が和馬に事の経緯を話していると、エミリの祖父、英輔</t>
    </r>
    <r>
      <rPr>
        <rFont val="Arial"/>
        <sz val="10.0"/>
      </rPr>
      <t>(</t>
    </r>
    <r>
      <rPr>
        <rFont val="ＭＳ Ｐゴシック"/>
        <sz val="10.0"/>
      </rPr>
      <t>浜田晃</t>
    </r>
    <r>
      <rPr>
        <rFont val="Arial"/>
        <sz val="10.0"/>
      </rPr>
      <t>)</t>
    </r>
    <r>
      <rPr>
        <rFont val="ＭＳ Ｐゴシック"/>
        <sz val="10.0"/>
      </rPr>
      <t>が部下たちとともに踏み込んで来る。英輔は和馬に結婚式場へ戻るよう命令。逆らおうとする和馬だが、英輔の部下たちに強引に連れて行かれてしまい、華たち</t>
    </r>
    <r>
      <rPr>
        <rFont val="Arial"/>
        <sz val="10.0"/>
      </rPr>
      <t>“L</t>
    </r>
    <r>
      <rPr>
        <rFont val="ＭＳ Ｐゴシック"/>
        <sz val="10.0"/>
      </rPr>
      <t>の一族</t>
    </r>
    <r>
      <rPr>
        <rFont val="Arial"/>
        <sz val="10.0"/>
      </rPr>
      <t>"</t>
    </r>
    <r>
      <rPr>
        <rFont val="ＭＳ Ｐゴシック"/>
        <sz val="10.0"/>
      </rPr>
      <t>は拘束されてしまった。結婚式場に和馬が戻されると、そこは報道陣であふれていた。駆け寄って来た典和</t>
    </r>
    <r>
      <rPr>
        <rFont val="Arial"/>
        <sz val="10.0"/>
      </rPr>
      <t>(</t>
    </r>
    <r>
      <rPr>
        <rFont val="ＭＳ Ｐゴシック"/>
        <sz val="10.0"/>
      </rPr>
      <t>信太昌之</t>
    </r>
    <r>
      <rPr>
        <rFont val="Arial"/>
        <sz val="10.0"/>
      </rPr>
      <t>)</t>
    </r>
    <r>
      <rPr>
        <rFont val="ＭＳ Ｐゴシック"/>
        <sz val="10.0"/>
      </rPr>
      <t>に、和馬は英輔の手下たちのおかげで逃げ出すことができたと告げる。そして、後ほど詳細を説明すると報道陣をチャペルの中へ誘導した和馬は、典和から頼んでいた資料を受け取り控え室にいるエミリの元へ向かう。エミリには、美佐子</t>
    </r>
    <r>
      <rPr>
        <rFont val="Arial"/>
        <sz val="10.0"/>
      </rPr>
      <t>(</t>
    </r>
    <r>
      <rPr>
        <rFont val="ＭＳ Ｐゴシック"/>
        <sz val="10.0"/>
      </rPr>
      <t>マルシア</t>
    </r>
    <r>
      <rPr>
        <rFont val="Arial"/>
        <sz val="10.0"/>
      </rPr>
      <t>)</t>
    </r>
    <r>
      <rPr>
        <rFont val="ＭＳ Ｐゴシック"/>
        <sz val="10.0"/>
      </rPr>
      <t>と巻栄一</t>
    </r>
    <r>
      <rPr>
        <rFont val="Arial"/>
        <sz val="10.0"/>
      </rPr>
      <t>(</t>
    </r>
    <r>
      <rPr>
        <rFont val="ＭＳ Ｐゴシック"/>
        <sz val="10.0"/>
      </rPr>
      <t>加藤諒</t>
    </r>
    <r>
      <rPr>
        <rFont val="Arial"/>
        <sz val="10.0"/>
      </rPr>
      <t>)</t>
    </r>
    <r>
      <rPr>
        <rFont val="ＭＳ Ｐゴシック"/>
        <sz val="10.0"/>
      </rPr>
      <t>が付き添っていた。その頃、拘束された華たちは、英輔にマツ</t>
    </r>
    <r>
      <rPr>
        <rFont val="Arial"/>
        <sz val="10.0"/>
      </rPr>
      <t>(</t>
    </r>
    <r>
      <rPr>
        <rFont val="ＭＳ Ｐゴシック"/>
        <sz val="10.0"/>
      </rPr>
      <t>どんぐり</t>
    </r>
    <r>
      <rPr>
        <rFont val="Arial"/>
        <sz val="10.0"/>
      </rPr>
      <t>)</t>
    </r>
    <r>
      <rPr>
        <rFont val="ＭＳ Ｐゴシック"/>
        <sz val="10.0"/>
      </rPr>
      <t>との過去の因縁から巌</t>
    </r>
    <r>
      <rPr>
        <rFont val="Arial"/>
        <sz val="10.0"/>
      </rPr>
      <t>(</t>
    </r>
    <r>
      <rPr>
        <rFont val="ＭＳ Ｐゴシック"/>
        <sz val="10.0"/>
      </rPr>
      <t>麿赤兒</t>
    </r>
    <r>
      <rPr>
        <rFont val="Arial"/>
        <sz val="10.0"/>
      </rPr>
      <t>)</t>
    </r>
    <r>
      <rPr>
        <rFont val="ＭＳ Ｐゴシック"/>
        <sz val="10.0"/>
      </rPr>
      <t>を殺したことは許せないと責めていた。しかし、身動きできない華たちには、英輔の部下たちの銃口が向けられている。すると、悦子</t>
    </r>
    <r>
      <rPr>
        <rFont val="Arial"/>
        <sz val="10.0"/>
      </rPr>
      <t>(</t>
    </r>
    <r>
      <rPr>
        <rFont val="ＭＳ Ｐゴシック"/>
        <sz val="10.0"/>
      </rPr>
      <t>小沢真珠</t>
    </r>
    <r>
      <rPr>
        <rFont val="Arial"/>
        <sz val="10.0"/>
      </rPr>
      <t>)</t>
    </r>
    <r>
      <rPr>
        <rFont val="ＭＳ Ｐゴシック"/>
        <sz val="10.0"/>
      </rPr>
      <t>は命乞いを始め、尊に英輔の過去について知っていることを全て話すよう懇願する。尊はなぜ英輔が巌を殺害するに至ったか、その経緯を話し出す。</t>
    </r>
  </si>
  <si>
    <t>☆番組の最後にはDVD・BDプレゼント等のお知らせも!三雲華(深田恭子)は“Lの一族"の力を借りて、橋元エミリ(岸井ゆきの)との結婚式最中の桜庭和馬(瀬戸康史)を奪い返した。隠れ家のタワーマンションで、尊(渡部篤郎)が和馬に事の経緯を話していると、エミリの祖父、英輔(浜田晃)が部下たちとともに踏み込んで来る。英輔は和馬に結婚式場へ戻るよう命令。逆らおうとする和馬だが、英輔の部下たちに強引に連れて行かれてしまい、華たち“Lの一族"は拘束されてしまった。結婚式場に和馬が戻されると、そこは報道陣であふれていた。駆け寄って来た典和(信太昌之)に、和馬は英輔の手下たちのおかげで逃げ出すことができたと告げる。そして、後ほど詳細を説明すると報道陣をチャペルの中へ誘導した和馬は、典和から頼んでいた資料を受け取り控え室にいるエミリの元へ向かう。エミリには、美佐子(マルシア)と巻栄一(加藤諒)が付き添っていた。その頃、拘束された華たちは、英輔にマツ(どんぐり)との過去の因縁から巌(麿赤兒)を殺したことは許せないと責めていた。しかし、身動きできない華たちには、英輔の部下たちの銃口が向けられている。すると、悦子(小沢真珠)は命乞いを始め、尊に英輔の過去について知っていることを全て話すよう懇願する。尊はなぜ英輔が巌を殺害するに至ったか、その経緯を話し出す。</t>
  </si>
  <si>
    <t>1904_CX_月21</t>
  </si>
  <si>
    <t>ラジエーションハウス</t>
  </si>
  <si>
    <t>番組名ラジエーションハウス～放射線科の診断レポート～【新たな医療ドラマ】　#01</t>
  </si>
  <si>
    <r>
      <rPr>
        <rFont val="ＭＳ Ｐゴシック"/>
        <sz val="10.0"/>
      </rPr>
      <t xml:space="preserve">　五十嵐唯織</t>
    </r>
    <r>
      <rPr>
        <rFont val="Arial"/>
        <sz val="10.0"/>
      </rPr>
      <t>(</t>
    </r>
    <r>
      <rPr>
        <rFont val="ＭＳ Ｐゴシック"/>
        <sz val="10.0"/>
      </rPr>
      <t>窪田正孝</t>
    </r>
    <r>
      <rPr>
        <rFont val="Arial"/>
        <sz val="10.0"/>
      </rPr>
      <t>)</t>
    </r>
    <r>
      <rPr>
        <rFont val="ＭＳ Ｐゴシック"/>
        <sz val="10.0"/>
      </rPr>
      <t>は</t>
    </r>
    <r>
      <rPr>
        <rFont val="Arial"/>
        <sz val="10.0"/>
      </rPr>
      <t>“</t>
    </r>
    <r>
      <rPr>
        <rFont val="ＭＳ Ｐゴシック"/>
        <sz val="10.0"/>
      </rPr>
      <t>写真には必ず真実が映る</t>
    </r>
    <r>
      <rPr>
        <rFont val="Arial"/>
        <sz val="10.0"/>
      </rPr>
      <t>"</t>
    </r>
    <r>
      <rPr>
        <rFont val="ＭＳ Ｐゴシック"/>
        <sz val="10.0"/>
      </rPr>
      <t>と信じる放射線技師。アメリカで最も権威ある放射線科医から才能を認められた唯織は、帰国後ずっと想いを寄せる幼なじみの甘春杏</t>
    </r>
    <r>
      <rPr>
        <rFont val="Arial"/>
        <sz val="10.0"/>
      </rPr>
      <t>(</t>
    </r>
    <r>
      <rPr>
        <rFont val="ＭＳ Ｐゴシック"/>
        <sz val="10.0"/>
      </rPr>
      <t>本田翼</t>
    </r>
    <r>
      <rPr>
        <rFont val="Arial"/>
        <sz val="10.0"/>
      </rPr>
      <t>)</t>
    </r>
    <r>
      <rPr>
        <rFont val="ＭＳ Ｐゴシック"/>
        <sz val="10.0"/>
      </rPr>
      <t>が放射線科医として勤務する甘春総合病院に採用される。</t>
    </r>
    <r>
      <rPr>
        <rFont val="Arial"/>
        <sz val="10.0"/>
      </rPr>
      <t xml:space="preserve">  </t>
    </r>
    <r>
      <rPr>
        <rFont val="ＭＳ Ｐゴシック"/>
        <sz val="10.0"/>
      </rPr>
      <t xml:space="preserve">　初出勤の日、唯織はバスで甘春総合病院へと向かう。バスには、唯織と共に採用された新人放射線技師の広瀬裕乃</t>
    </r>
    <r>
      <rPr>
        <rFont val="Arial"/>
        <sz val="10.0"/>
      </rPr>
      <t>(</t>
    </r>
    <r>
      <rPr>
        <rFont val="ＭＳ Ｐゴシック"/>
        <sz val="10.0"/>
      </rPr>
      <t>広瀬アリス</t>
    </r>
    <r>
      <rPr>
        <rFont val="Arial"/>
        <sz val="10.0"/>
      </rPr>
      <t>)</t>
    </r>
    <r>
      <rPr>
        <rFont val="ＭＳ Ｐゴシック"/>
        <sz val="10.0"/>
      </rPr>
      <t>の姿もあった。その途中、バス運転手・天野</t>
    </r>
    <r>
      <rPr>
        <rFont val="Arial"/>
        <sz val="10.0"/>
      </rPr>
      <t>(</t>
    </r>
    <r>
      <rPr>
        <rFont val="ＭＳ Ｐゴシック"/>
        <sz val="10.0"/>
      </rPr>
      <t>春海四方</t>
    </r>
    <r>
      <rPr>
        <rFont val="Arial"/>
        <sz val="10.0"/>
      </rPr>
      <t>)</t>
    </r>
    <r>
      <rPr>
        <rFont val="ＭＳ Ｐゴシック"/>
        <sz val="10.0"/>
      </rPr>
      <t>の異変に気づいた唯織は、駆けつけた救急隊員に血管造影ができる病院への搬送を指示する。</t>
    </r>
    <r>
      <rPr>
        <rFont val="Arial"/>
        <sz val="10.0"/>
      </rPr>
      <t xml:space="preserve">  </t>
    </r>
    <r>
      <rPr>
        <rFont val="ＭＳ Ｐゴシック"/>
        <sz val="10.0"/>
      </rPr>
      <t xml:space="preserve">　天野は甘春総合病院に搬送される。受け入れたのは救急担当の整形外科医・辻村駿太郎</t>
    </r>
    <r>
      <rPr>
        <rFont val="Arial"/>
        <sz val="10.0"/>
      </rPr>
      <t>(</t>
    </r>
    <r>
      <rPr>
        <rFont val="ＭＳ Ｐゴシック"/>
        <sz val="10.0"/>
      </rPr>
      <t>鈴木伸之</t>
    </r>
    <r>
      <rPr>
        <rFont val="Arial"/>
        <sz val="10.0"/>
      </rPr>
      <t>)</t>
    </r>
    <r>
      <rPr>
        <rFont val="ＭＳ Ｐゴシック"/>
        <sz val="10.0"/>
      </rPr>
      <t>。だが天野は、自力で立てるほど元気だった。</t>
    </r>
    <r>
      <rPr>
        <rFont val="Arial"/>
        <sz val="10.0"/>
      </rPr>
      <t xml:space="preserve">  </t>
    </r>
    <r>
      <rPr>
        <rFont val="ＭＳ Ｐゴシック"/>
        <sz val="10.0"/>
      </rPr>
      <t xml:space="preserve">　放射線科は、診療部長兼放射線科長の鏑木安富</t>
    </r>
    <r>
      <rPr>
        <rFont val="Arial"/>
        <sz val="10.0"/>
      </rPr>
      <t>(</t>
    </r>
    <r>
      <rPr>
        <rFont val="ＭＳ Ｐゴシック"/>
        <sz val="10.0"/>
      </rPr>
      <t>浅野和之</t>
    </r>
    <r>
      <rPr>
        <rFont val="Arial"/>
        <sz val="10.0"/>
      </rPr>
      <t>)</t>
    </r>
    <r>
      <rPr>
        <rFont val="ＭＳ Ｐゴシック"/>
        <sz val="10.0"/>
      </rPr>
      <t>のもと、ギャンブル好きの小野寺俊夫</t>
    </r>
    <r>
      <rPr>
        <rFont val="Arial"/>
        <sz val="10.0"/>
      </rPr>
      <t>(</t>
    </r>
    <r>
      <rPr>
        <rFont val="ＭＳ Ｐゴシック"/>
        <sz val="10.0"/>
      </rPr>
      <t>遠藤憲一</t>
    </r>
    <r>
      <rPr>
        <rFont val="Arial"/>
        <sz val="10.0"/>
      </rPr>
      <t>)</t>
    </r>
    <r>
      <rPr>
        <rFont val="ＭＳ Ｐゴシック"/>
        <sz val="10.0"/>
      </rPr>
      <t>、男勝りな独身女子・黒羽たまき</t>
    </r>
    <r>
      <rPr>
        <rFont val="Arial"/>
        <sz val="10.0"/>
      </rPr>
      <t>(</t>
    </r>
    <r>
      <rPr>
        <rFont val="ＭＳ Ｐゴシック"/>
        <sz val="10.0"/>
      </rPr>
      <t>山口紗弥加</t>
    </r>
    <r>
      <rPr>
        <rFont val="Arial"/>
        <sz val="10.0"/>
      </rPr>
      <t>)</t>
    </r>
    <r>
      <rPr>
        <rFont val="ＭＳ Ｐゴシック"/>
        <sz val="10.0"/>
      </rPr>
      <t>らが放射線技師として働いている。彼らの間では、唯織が病院長・大森渚</t>
    </r>
    <r>
      <rPr>
        <rFont val="Arial"/>
        <sz val="10.0"/>
      </rPr>
      <t>(</t>
    </r>
    <r>
      <rPr>
        <rFont val="ＭＳ Ｐゴシック"/>
        <sz val="10.0"/>
      </rPr>
      <t>和久井映見</t>
    </r>
    <r>
      <rPr>
        <rFont val="Arial"/>
        <sz val="10.0"/>
      </rPr>
      <t>)</t>
    </r>
    <r>
      <rPr>
        <rFont val="ＭＳ Ｐゴシック"/>
        <sz val="10.0"/>
      </rPr>
      <t>の隠し子ではないか、というウワサが</t>
    </r>
    <r>
      <rPr>
        <rFont val="Arial"/>
        <sz val="10.0"/>
      </rPr>
      <t>…</t>
    </r>
    <r>
      <rPr>
        <rFont val="ＭＳ Ｐゴシック"/>
        <sz val="10.0"/>
      </rPr>
      <t>。</t>
    </r>
    <r>
      <rPr>
        <rFont val="Arial"/>
        <sz val="10.0"/>
      </rPr>
      <t xml:space="preserve">  </t>
    </r>
    <r>
      <rPr>
        <rFont val="ＭＳ Ｐゴシック"/>
        <sz val="10.0"/>
      </rPr>
      <t xml:space="preserve">　唯織は、バスの一件で遅刻しながらも杏と再会を果たす。だが杏は、唯織のことなどまったく覚えていなかった。</t>
    </r>
    <r>
      <rPr>
        <rFont val="Arial"/>
        <sz val="10.0"/>
      </rPr>
      <t xml:space="preserve">  </t>
    </r>
    <r>
      <rPr>
        <rFont val="ＭＳ Ｐゴシック"/>
        <sz val="10.0"/>
      </rPr>
      <t xml:space="preserve">　そんな折、甘春総合病院に世界的な写真家・菊島亨</t>
    </r>
    <r>
      <rPr>
        <rFont val="Arial"/>
        <sz val="10.0"/>
      </rPr>
      <t>(</t>
    </r>
    <r>
      <rPr>
        <rFont val="ＭＳ Ｐゴシック"/>
        <sz val="10.0"/>
      </rPr>
      <t>イッセー尾形</t>
    </r>
    <r>
      <rPr>
        <rFont val="Arial"/>
        <sz val="10.0"/>
      </rPr>
      <t>)</t>
    </r>
    <r>
      <rPr>
        <rFont val="ＭＳ Ｐゴシック"/>
        <sz val="10.0"/>
      </rPr>
      <t>が搬送される。頭痛を訴える菊島の頭部</t>
    </r>
    <r>
      <rPr>
        <rFont val="Arial"/>
        <sz val="10.0"/>
      </rPr>
      <t>MRI</t>
    </r>
    <r>
      <rPr>
        <rFont val="ＭＳ Ｐゴシック"/>
        <sz val="10.0"/>
      </rPr>
      <t>検査を行う小野寺たち。しかし、画像の左上が黒く抜け欠損していて</t>
    </r>
    <r>
      <rPr>
        <rFont val="Arial"/>
        <sz val="10.0"/>
      </rPr>
      <t>…</t>
    </r>
    <r>
      <rPr>
        <rFont val="ＭＳ Ｐゴシック"/>
        <sz val="10.0"/>
      </rPr>
      <t>。</t>
    </r>
  </si>
  <si>
    <t xml:space="preserve">　五十嵐唯織(窪田正孝)は“写真には必ず真実が映る"と信じる放射線技師。アメリカで最も権威ある放射線科医から才能を認められた唯織は、帰国後ずっと想いを寄せる幼なじみの甘春杏(本田翼)が放射線科医として勤務する甘春総合病院に採用される。  　初出勤の日、唯織はバスで甘春総合病院へと向かう。バスには、唯織と共に採用された新人放射線技師の広瀬裕乃(広瀬アリス)の姿もあった。その途中、バス運転手・天野(春海四方)の異変に気づいた唯織は、駆けつけた救急隊員に血管造影ができる病院への搬送を指示する。  　天野は甘春総合病院に搬送される。受け入れたのは救急担当の整形外科医・辻村駿太郎(鈴木伸之)。だが天野は、自力で立てるほど元気だった。  　放射線科は、診療部長兼放射線科長の鏑木安富(浅野和之)のもと、ギャンブル好きの小野寺俊夫(遠藤憲一)、男勝りな独身女子・黒羽たまき(山口紗弥加)らが放射線技師として働いている。彼らの間では、唯織が病院長・大森渚(和久井映見)の隠し子ではないか、というウワサが…。  　唯織は、バスの一件で遅刻しながらも杏と再会を果たす。だが杏は、唯織のことなどまったく覚えていなかった。  　そんな折、甘春総合病院に世界的な写真家・菊島亨(イッセー尾形)が搬送される。頭痛を訴える菊島の頭部MRI検査を行う小野寺たち。しかし、画像の左上が黒く抜け欠損していて…。</t>
  </si>
  <si>
    <t>番組名ラジエーションハウス～放射線科の診断レポート～【天才技師が救う命!】　#02</t>
  </si>
  <si>
    <r>
      <rPr>
        <rFont val="ＭＳ Ｐゴシック"/>
        <sz val="10.0"/>
      </rPr>
      <t>唯織</t>
    </r>
    <r>
      <rPr>
        <rFont val="Arial"/>
        <sz val="10.0"/>
      </rPr>
      <t>(</t>
    </r>
    <r>
      <rPr>
        <rFont val="ＭＳ Ｐゴシック"/>
        <sz val="10.0"/>
      </rPr>
      <t>窪田正孝</t>
    </r>
    <r>
      <rPr>
        <rFont val="Arial"/>
        <sz val="10.0"/>
      </rPr>
      <t>)</t>
    </r>
    <r>
      <rPr>
        <rFont val="ＭＳ Ｐゴシック"/>
        <sz val="10.0"/>
      </rPr>
      <t>は、病院長の渚</t>
    </r>
    <r>
      <rPr>
        <rFont val="Arial"/>
        <sz val="10.0"/>
      </rPr>
      <t>(</t>
    </r>
    <r>
      <rPr>
        <rFont val="ＭＳ Ｐゴシック"/>
        <sz val="10.0"/>
      </rPr>
      <t>和久井映見</t>
    </r>
    <r>
      <rPr>
        <rFont val="Arial"/>
        <sz val="10.0"/>
      </rPr>
      <t>)</t>
    </r>
    <r>
      <rPr>
        <rFont val="ＭＳ Ｐゴシック"/>
        <sz val="10.0"/>
      </rPr>
      <t>から、放射線科医として働く気はないのか、と問われる。だが唯織は、医師免許を取ったのは放射線技師として働く上で病気について深く知った方がいいと思ったから、と言って断る。唯織の思いを受け止めた渚は、周囲に医者であることがバレないように、と釘を刺さした。</t>
    </r>
    <r>
      <rPr>
        <rFont val="Arial"/>
        <sz val="10.0"/>
      </rPr>
      <t xml:space="preserve">  </t>
    </r>
    <r>
      <rPr>
        <rFont val="ＭＳ Ｐゴシック"/>
        <sz val="10.0"/>
      </rPr>
      <t xml:space="preserve">　技師長の小野寺</t>
    </r>
    <r>
      <rPr>
        <rFont val="Arial"/>
        <sz val="10.0"/>
      </rPr>
      <t>(</t>
    </r>
    <r>
      <rPr>
        <rFont val="ＭＳ Ｐゴシック"/>
        <sz val="10.0"/>
      </rPr>
      <t>遠藤憲一</t>
    </r>
    <r>
      <rPr>
        <rFont val="Arial"/>
        <sz val="10.0"/>
      </rPr>
      <t>)</t>
    </r>
    <r>
      <rPr>
        <rFont val="ＭＳ Ｐゴシック"/>
        <sz val="10.0"/>
      </rPr>
      <t>は、妻から離婚を突きつけられていた。膝の痛みを訴える少年・健太郎</t>
    </r>
    <r>
      <rPr>
        <rFont val="Arial"/>
        <sz val="10.0"/>
      </rPr>
      <t>(</t>
    </r>
    <r>
      <rPr>
        <rFont val="ＭＳ Ｐゴシック"/>
        <sz val="10.0"/>
      </rPr>
      <t>石田星空</t>
    </r>
    <r>
      <rPr>
        <rFont val="Arial"/>
        <sz val="10.0"/>
      </rPr>
      <t>)</t>
    </r>
    <r>
      <rPr>
        <rFont val="ＭＳ Ｐゴシック"/>
        <sz val="10.0"/>
      </rPr>
      <t>のレントゲン撮影を行った際、離婚したら会えなくなるかもしれない息子のことを思い出す小野寺。辻村</t>
    </r>
    <r>
      <rPr>
        <rFont val="Arial"/>
        <sz val="10.0"/>
      </rPr>
      <t>(</t>
    </r>
    <r>
      <rPr>
        <rFont val="ＭＳ Ｐゴシック"/>
        <sz val="10.0"/>
      </rPr>
      <t>鈴木伸之</t>
    </r>
    <r>
      <rPr>
        <rFont val="Arial"/>
        <sz val="10.0"/>
      </rPr>
      <t>)</t>
    </r>
    <r>
      <rPr>
        <rFont val="ＭＳ Ｐゴシック"/>
        <sz val="10.0"/>
      </rPr>
      <t>と共に健太郎の画像の読影をした杏</t>
    </r>
    <r>
      <rPr>
        <rFont val="Arial"/>
        <sz val="10.0"/>
      </rPr>
      <t>(</t>
    </r>
    <r>
      <rPr>
        <rFont val="ＭＳ Ｐゴシック"/>
        <sz val="10.0"/>
      </rPr>
      <t>本田翼</t>
    </r>
    <r>
      <rPr>
        <rFont val="Arial"/>
        <sz val="10.0"/>
      </rPr>
      <t>)</t>
    </r>
    <r>
      <rPr>
        <rFont val="ＭＳ Ｐゴシック"/>
        <sz val="10.0"/>
      </rPr>
      <t>は、成長痛の可能性が高いことからしばらく経過を見ることに</t>
    </r>
    <r>
      <rPr>
        <rFont val="Arial"/>
        <sz val="10.0"/>
      </rPr>
      <t>…</t>
    </r>
    <r>
      <rPr>
        <rFont val="ＭＳ Ｐゴシック"/>
        <sz val="10.0"/>
      </rPr>
      <t>。</t>
    </r>
    <r>
      <rPr>
        <rFont val="Arial"/>
        <sz val="10.0"/>
      </rPr>
      <t xml:space="preserve">  </t>
    </r>
    <r>
      <rPr>
        <rFont val="ＭＳ Ｐゴシック"/>
        <sz val="10.0"/>
      </rPr>
      <t xml:space="preserve">　唯織と裕乃</t>
    </r>
    <r>
      <rPr>
        <rFont val="Arial"/>
        <sz val="10.0"/>
      </rPr>
      <t>(</t>
    </r>
    <r>
      <rPr>
        <rFont val="ＭＳ Ｐゴシック"/>
        <sz val="10.0"/>
      </rPr>
      <t>広瀬アリス</t>
    </r>
    <r>
      <rPr>
        <rFont val="Arial"/>
        <sz val="10.0"/>
      </rPr>
      <t>)</t>
    </r>
    <r>
      <rPr>
        <rFont val="ＭＳ Ｐゴシック"/>
        <sz val="10.0"/>
      </rPr>
      <t>は、</t>
    </r>
    <r>
      <rPr>
        <rFont val="Arial"/>
        <sz val="10.0"/>
      </rPr>
      <t>MRI</t>
    </r>
    <r>
      <rPr>
        <rFont val="ＭＳ Ｐゴシック"/>
        <sz val="10.0"/>
      </rPr>
      <t>検査にも関わらず携帯電話を手放そうとしない富恵</t>
    </r>
    <r>
      <rPr>
        <rFont val="Arial"/>
        <sz val="10.0"/>
      </rPr>
      <t>(</t>
    </r>
    <r>
      <rPr>
        <rFont val="ＭＳ Ｐゴシック"/>
        <sz val="10.0"/>
      </rPr>
      <t>宮田早苗</t>
    </r>
    <r>
      <rPr>
        <rFont val="Arial"/>
        <sz val="10.0"/>
      </rPr>
      <t>)</t>
    </r>
    <r>
      <rPr>
        <rFont val="ＭＳ Ｐゴシック"/>
        <sz val="10.0"/>
      </rPr>
      <t>に手を焼く。閉所恐怖症だという彼女は、保存してある愛犬の写真を見せ、一緒でないと入れないと騒ぎ立てた。そのとき唯織は、かつて杏が捨て犬の手当てをしたことを思い出す。杏がそれを覚えていれば、自分のことも思い出すかもしれないと考える唯織。</t>
    </r>
    <r>
      <rPr>
        <rFont val="Arial"/>
        <sz val="10.0"/>
      </rPr>
      <t xml:space="preserve">  </t>
    </r>
    <r>
      <rPr>
        <rFont val="ＭＳ Ｐゴシック"/>
        <sz val="10.0"/>
      </rPr>
      <t xml:space="preserve">　健太郎に会った杏は、成長痛のことを話す。そこで健太郎は、母子家庭で仕事ばかりしている母・美佐子</t>
    </r>
    <r>
      <rPr>
        <rFont val="Arial"/>
        <sz val="10.0"/>
      </rPr>
      <t>(</t>
    </r>
    <r>
      <rPr>
        <rFont val="ＭＳ Ｐゴシック"/>
        <sz val="10.0"/>
      </rPr>
      <t>中越典子</t>
    </r>
    <r>
      <rPr>
        <rFont val="Arial"/>
        <sz val="10.0"/>
      </rPr>
      <t>)</t>
    </r>
    <r>
      <rPr>
        <rFont val="ＭＳ Ｐゴシック"/>
        <sz val="10.0"/>
      </rPr>
      <t>にかまってほしくて大げさに痛がったことを打ち明ける。病院を出た健太郎は、美佐子と共にバスを待っていたが、そこで美佐子が突然倒れ</t>
    </r>
    <r>
      <rPr>
        <rFont val="Arial"/>
        <sz val="10.0"/>
      </rPr>
      <t>…</t>
    </r>
    <r>
      <rPr>
        <rFont val="ＭＳ Ｐゴシック"/>
        <sz val="10.0"/>
      </rPr>
      <t>。</t>
    </r>
  </si>
  <si>
    <t>唯織(窪田正孝)は、病院長の渚(和久井映見)から、放射線科医として働く気はないのか、と問われる。だが唯織は、医師免許を取ったのは放射線技師として働く上で病気について深く知った方がいいと思ったから、と言って断る。唯織の思いを受け止めた渚は、周囲に医者であることがバレないように、と釘を刺さした。  　技師長の小野寺(遠藤憲一)は、妻から離婚を突きつけられていた。膝の痛みを訴える少年・健太郎(石田星空)のレントゲン撮影を行った際、離婚したら会えなくなるかもしれない息子のことを思い出す小野寺。辻村(鈴木伸之)と共に健太郎の画像の読影をした杏(本田翼)は、成長痛の可能性が高いことからしばらく経過を見ることに…。  　唯織と裕乃(広瀬アリス)は、MRI検査にも関わらず携帯電話を手放そうとしない富恵(宮田早苗)に手を焼く。閉所恐怖症だという彼女は、保存してある愛犬の写真を見せ、一緒でないと入れないと騒ぎ立てた。そのとき唯織は、かつて杏が捨て犬の手当てをしたことを思い出す。杏がそれを覚えていれば、自分のことも思い出すかもしれないと考える唯織。  　健太郎に会った杏は、成長痛のことを話す。そこで健太郎は、母子家庭で仕事ばかりしている母・美佐子(中越典子)にかまってほしくて大げさに痛がったことを打ち明ける。病院を出た健太郎は、美佐子と共にバスを待っていたが、そこで美佐子が突然倒れ…。</t>
  </si>
  <si>
    <t>番組名ラジエーションハウス～放射線科の診断レポート～【仲間に迫る、乳がん】　#03</t>
  </si>
  <si>
    <r>
      <rPr>
        <rFont val="ＭＳ Ｐゴシック"/>
        <sz val="10.0"/>
      </rPr>
      <t>唯織</t>
    </r>
    <r>
      <rPr>
        <rFont val="Arial"/>
        <sz val="10.0"/>
      </rPr>
      <t>(</t>
    </r>
    <r>
      <rPr>
        <rFont val="ＭＳ Ｐゴシック"/>
        <sz val="10.0"/>
      </rPr>
      <t>窪田正孝</t>
    </r>
    <r>
      <rPr>
        <rFont val="Arial"/>
        <sz val="10.0"/>
      </rPr>
      <t>)</t>
    </r>
    <r>
      <rPr>
        <rFont val="ＭＳ Ｐゴシック"/>
        <sz val="10.0"/>
      </rPr>
      <t>は、甘春総合病院の放射線科入局説明会で挨拶をする杏</t>
    </r>
    <r>
      <rPr>
        <rFont val="Arial"/>
        <sz val="10.0"/>
      </rPr>
      <t>(</t>
    </r>
    <r>
      <rPr>
        <rFont val="ＭＳ Ｐゴシック"/>
        <sz val="10.0"/>
      </rPr>
      <t>本田翼</t>
    </r>
    <r>
      <rPr>
        <rFont val="Arial"/>
        <sz val="10.0"/>
      </rPr>
      <t>)</t>
    </r>
    <r>
      <rPr>
        <rFont val="ＭＳ Ｐゴシック"/>
        <sz val="10.0"/>
      </rPr>
      <t>の姿を見に行く。堂々と話す杏に見とれる唯織。しかし、杏が整形外科医の辻村</t>
    </r>
    <r>
      <rPr>
        <rFont val="Arial"/>
        <sz val="10.0"/>
      </rPr>
      <t>(</t>
    </r>
    <r>
      <rPr>
        <rFont val="ＭＳ Ｐゴシック"/>
        <sz val="10.0"/>
      </rPr>
      <t>鈴木伸之</t>
    </r>
    <r>
      <rPr>
        <rFont val="Arial"/>
        <sz val="10.0"/>
      </rPr>
      <t>)</t>
    </r>
    <r>
      <rPr>
        <rFont val="ＭＳ Ｐゴシック"/>
        <sz val="10.0"/>
      </rPr>
      <t>と食事に行ったことを偶然知り、ショックを受ける</t>
    </r>
    <r>
      <rPr>
        <rFont val="Arial"/>
        <sz val="10.0"/>
      </rPr>
      <t>…</t>
    </r>
    <r>
      <rPr>
        <rFont val="ＭＳ Ｐゴシック"/>
        <sz val="10.0"/>
      </rPr>
      <t>。</t>
    </r>
    <r>
      <rPr>
        <rFont val="Arial"/>
        <sz val="10.0"/>
      </rPr>
      <t xml:space="preserve">  </t>
    </r>
    <r>
      <rPr>
        <rFont val="ＭＳ Ｐゴシック"/>
        <sz val="10.0"/>
      </rPr>
      <t xml:space="preserve">　同じ頃、裕乃</t>
    </r>
    <r>
      <rPr>
        <rFont val="Arial"/>
        <sz val="10.0"/>
      </rPr>
      <t>(</t>
    </r>
    <r>
      <rPr>
        <rFont val="ＭＳ Ｐゴシック"/>
        <sz val="10.0"/>
      </rPr>
      <t>広瀬アリス</t>
    </r>
    <r>
      <rPr>
        <rFont val="Arial"/>
        <sz val="10.0"/>
      </rPr>
      <t>)</t>
    </r>
    <r>
      <rPr>
        <rFont val="ＭＳ Ｐゴシック"/>
        <sz val="10.0"/>
      </rPr>
      <t>はマンモグラフィ検査に苦戦していた。そこに、結婚を控えた女性誌編集者・葉山今日子</t>
    </r>
    <r>
      <rPr>
        <rFont val="Arial"/>
        <sz val="10.0"/>
      </rPr>
      <t>(</t>
    </r>
    <r>
      <rPr>
        <rFont val="ＭＳ Ｐゴシック"/>
        <sz val="10.0"/>
      </rPr>
      <t>内山理名</t>
    </r>
    <r>
      <rPr>
        <rFont val="Arial"/>
        <sz val="10.0"/>
      </rPr>
      <t>)</t>
    </r>
    <r>
      <rPr>
        <rFont val="ＭＳ Ｐゴシック"/>
        <sz val="10.0"/>
      </rPr>
      <t>がやってくる。今日子は、母と祖母がガンに罹患</t>
    </r>
    <r>
      <rPr>
        <rFont val="Arial"/>
        <sz val="10.0"/>
      </rPr>
      <t>(</t>
    </r>
    <r>
      <rPr>
        <rFont val="ＭＳ Ｐゴシック"/>
        <sz val="10.0"/>
      </rPr>
      <t>りかん</t>
    </r>
    <r>
      <rPr>
        <rFont val="Arial"/>
        <sz val="10.0"/>
      </rPr>
      <t>)</t>
    </r>
    <r>
      <rPr>
        <rFont val="ＭＳ Ｐゴシック"/>
        <sz val="10.0"/>
      </rPr>
      <t>していることから毎年検査を受けていた。不安そうな今日子を和ませようと話しかける裕乃。だが、それを聞いていたたまき</t>
    </r>
    <r>
      <rPr>
        <rFont val="Arial"/>
        <sz val="10.0"/>
      </rPr>
      <t>(</t>
    </r>
    <r>
      <rPr>
        <rFont val="ＭＳ Ｐゴシック"/>
        <sz val="10.0"/>
      </rPr>
      <t>山口紗弥加</t>
    </r>
    <r>
      <rPr>
        <rFont val="Arial"/>
        <sz val="10.0"/>
      </rPr>
      <t>)</t>
    </r>
    <r>
      <rPr>
        <rFont val="ＭＳ Ｐゴシック"/>
        <sz val="10.0"/>
      </rPr>
      <t>から「ここはおしゃべりを楽しむ場所じゃない」と叱られてしまう。</t>
    </r>
    <r>
      <rPr>
        <rFont val="Arial"/>
        <sz val="10.0"/>
      </rPr>
      <t xml:space="preserve">  </t>
    </r>
    <r>
      <rPr>
        <rFont val="ＭＳ Ｐゴシック"/>
        <sz val="10.0"/>
      </rPr>
      <t xml:space="preserve">　今日子は、日本人に多いデンスブレスト</t>
    </r>
    <r>
      <rPr>
        <rFont val="Arial"/>
        <sz val="10.0"/>
      </rPr>
      <t>(=</t>
    </r>
    <r>
      <rPr>
        <rFont val="ＭＳ Ｐゴシック"/>
        <sz val="10.0"/>
      </rPr>
      <t>乳腺密度が濃い</t>
    </r>
    <r>
      <rPr>
        <rFont val="Arial"/>
        <sz val="10.0"/>
      </rPr>
      <t>)</t>
    </r>
    <r>
      <rPr>
        <rFont val="ＭＳ Ｐゴシック"/>
        <sz val="10.0"/>
      </rPr>
      <t>の女性だった。読影した杏は、鏑木</t>
    </r>
    <r>
      <rPr>
        <rFont val="Arial"/>
        <sz val="10.0"/>
      </rPr>
      <t>(</t>
    </r>
    <r>
      <rPr>
        <rFont val="ＭＳ Ｐゴシック"/>
        <sz val="10.0"/>
      </rPr>
      <t>浅野和之</t>
    </r>
    <r>
      <rPr>
        <rFont val="Arial"/>
        <sz val="10.0"/>
      </rPr>
      <t>)</t>
    </r>
    <r>
      <rPr>
        <rFont val="ＭＳ Ｐゴシック"/>
        <sz val="10.0"/>
      </rPr>
      <t>に相談したものの、病変が見つからないことから『異常なし』との診断結果を下す。</t>
    </r>
    <r>
      <rPr>
        <rFont val="Arial"/>
        <sz val="10.0"/>
      </rPr>
      <t xml:space="preserve">  </t>
    </r>
    <r>
      <rPr>
        <rFont val="ＭＳ Ｐゴシック"/>
        <sz val="10.0"/>
      </rPr>
      <t xml:space="preserve">　一方たまきは、友人から相談されたと言って杏に</t>
    </r>
    <r>
      <rPr>
        <rFont val="Arial"/>
        <sz val="10.0"/>
      </rPr>
      <t>1</t>
    </r>
    <r>
      <rPr>
        <rFont val="ＭＳ Ｐゴシック"/>
        <sz val="10.0"/>
      </rPr>
      <t>枚のマンモ画像を見せる。杏は、右胸にある腫瘤が悪性の可能性を否定できない、として再検査をした方がいい、とたまきに伝える。そんな中、唯織は今日子のマンモ画像に目を止める。何かに気づいた唯織は今日子の後を追いかけ、なるべく早く超音波検査を受けてほしい、と伝えた。</t>
    </r>
    <r>
      <rPr>
        <rFont val="Arial"/>
        <sz val="10.0"/>
      </rPr>
      <t xml:space="preserve">  </t>
    </r>
    <r>
      <rPr>
        <rFont val="ＭＳ Ｐゴシック"/>
        <sz val="10.0"/>
      </rPr>
      <t xml:space="preserve">　その夜、たまきは裕乃に声をかけ、自ら被検者となってマンモグラフィ検査の練習をさせる。するとたまきは、その画像をこっそり持ち帰り</t>
    </r>
    <r>
      <rPr>
        <rFont val="Arial"/>
        <sz val="10.0"/>
      </rPr>
      <t>…</t>
    </r>
    <r>
      <rPr>
        <rFont val="ＭＳ Ｐゴシック"/>
        <sz val="10.0"/>
      </rPr>
      <t>。</t>
    </r>
  </si>
  <si>
    <t>唯織(窪田正孝)は、甘春総合病院の放射線科入局説明会で挨拶をする杏(本田翼)の姿を見に行く。堂々と話す杏に見とれる唯織。しかし、杏が整形外科医の辻村(鈴木伸之)と食事に行ったことを偶然知り、ショックを受ける…。  　同じ頃、裕乃(広瀬アリス)はマンモグラフィ検査に苦戦していた。そこに、結婚を控えた女性誌編集者・葉山今日子(内山理名)がやってくる。今日子は、母と祖母がガンに罹患(りかん)していることから毎年検査を受けていた。不安そうな今日子を和ませようと話しかける裕乃。だが、それを聞いていたたまき(山口紗弥加)から「ここはおしゃべりを楽しむ場所じゃない」と叱られてしまう。  　今日子は、日本人に多いデンスブレスト(=乳腺密度が濃い)の女性だった。読影した杏は、鏑木(浅野和之)に相談したものの、病変が見つからないことから『異常なし』との診断結果を下す。  　一方たまきは、友人から相談されたと言って杏に1枚のマンモ画像を見せる。杏は、右胸にある腫瘤が悪性の可能性を否定できない、として再検査をした方がいい、とたまきに伝える。そんな中、唯織は今日子のマンモ画像に目を止める。何かに気づいた唯織は今日子の後を追いかけ、なるべく早く超音波検査を受けてほしい、と伝えた。  　その夜、たまきは裕乃に声をかけ、自ら被検者となってマンモグラフィ検査の練習をさせる。するとたまきは、その画像をこっそり持ち帰り…。</t>
  </si>
  <si>
    <t>番組名ラジエーションハウス～放射線科の診断レポート～【話題の医療ドラマ!】　#04</t>
  </si>
  <si>
    <r>
      <rPr>
        <rFont val="ＭＳ Ｐゴシック"/>
        <sz val="10.0"/>
      </rPr>
      <t>唯織</t>
    </r>
    <r>
      <rPr>
        <rFont val="Arial"/>
        <sz val="10.0"/>
      </rPr>
      <t>(</t>
    </r>
    <r>
      <rPr>
        <rFont val="ＭＳ Ｐゴシック"/>
        <sz val="10.0"/>
      </rPr>
      <t>窪田正孝</t>
    </r>
    <r>
      <rPr>
        <rFont val="Arial"/>
        <sz val="10.0"/>
      </rPr>
      <t>)</t>
    </r>
    <r>
      <rPr>
        <rFont val="ＭＳ Ｐゴシック"/>
        <sz val="10.0"/>
      </rPr>
      <t>は、杏</t>
    </r>
    <r>
      <rPr>
        <rFont val="Arial"/>
        <sz val="10.0"/>
      </rPr>
      <t>(</t>
    </r>
    <r>
      <rPr>
        <rFont val="ＭＳ Ｐゴシック"/>
        <sz val="10.0"/>
      </rPr>
      <t>本田翼</t>
    </r>
    <r>
      <rPr>
        <rFont val="Arial"/>
        <sz val="10.0"/>
      </rPr>
      <t>)</t>
    </r>
    <r>
      <rPr>
        <rFont val="ＭＳ Ｐゴシック"/>
        <sz val="10.0"/>
      </rPr>
      <t>と偶然出くわす。杏は、友人を誘って飲みに行った帰りだった。公園で杏を介抱した唯織は、彼女が以前、股関節痛と診断した男性患者のことを気にかけていると知る。画像所見と血液検査の結果が合わないからだった。杏の力になろうと早速動き出す唯織。</t>
    </r>
    <r>
      <rPr>
        <rFont val="Arial"/>
        <sz val="10.0"/>
      </rPr>
      <t xml:space="preserve">  </t>
    </r>
    <r>
      <rPr>
        <rFont val="ＭＳ Ｐゴシック"/>
        <sz val="10.0"/>
      </rPr>
      <t>あくる日、甘春総合病院にロックバンドでギターを弾いている大学生・坂元美月がやってくる。美月は、右肩の痛みを訴えていたが、検査をしてもその原因は特定できなかった。それを受け、整形外科の辻村</t>
    </r>
    <r>
      <rPr>
        <rFont val="Arial"/>
        <sz val="10.0"/>
      </rPr>
      <t>(</t>
    </r>
    <r>
      <rPr>
        <rFont val="ＭＳ Ｐゴシック"/>
        <sz val="10.0"/>
      </rPr>
      <t>鈴木伸之</t>
    </r>
    <r>
      <rPr>
        <rFont val="Arial"/>
        <sz val="10.0"/>
      </rPr>
      <t>)</t>
    </r>
    <r>
      <rPr>
        <rFont val="ＭＳ Ｐゴシック"/>
        <sz val="10.0"/>
      </rPr>
      <t>は、しばらく様子を見ると美月に伝える。</t>
    </r>
    <r>
      <rPr>
        <rFont val="Arial"/>
        <sz val="10.0"/>
      </rPr>
      <t xml:space="preserve">  </t>
    </r>
    <r>
      <rPr>
        <rFont val="ＭＳ Ｐゴシック"/>
        <sz val="10.0"/>
      </rPr>
      <t>診察を終え、慌ててバンドの練習に向かおうとした美月は、病院の廊下で裕乃</t>
    </r>
    <r>
      <rPr>
        <rFont val="Arial"/>
        <sz val="10.0"/>
      </rPr>
      <t>(</t>
    </r>
    <r>
      <rPr>
        <rFont val="ＭＳ Ｐゴシック"/>
        <sz val="10.0"/>
      </rPr>
      <t>広瀬アリス</t>
    </r>
    <r>
      <rPr>
        <rFont val="Arial"/>
        <sz val="10.0"/>
      </rPr>
      <t>)</t>
    </r>
    <r>
      <rPr>
        <rFont val="ＭＳ Ｐゴシック"/>
        <sz val="10.0"/>
      </rPr>
      <t>とぶつかる。その際、落ちたスマホ画面から、美月がある曲を聴いていたことを知る裕乃。その曲は、高校時代バスケットボールに打ち込み、全国大会を目指していた裕乃にとっても、それは大切な、そして苦い思い出の詰まった「</t>
    </r>
    <r>
      <rPr>
        <rFont val="Arial"/>
        <sz val="10.0"/>
      </rPr>
      <t>FLY</t>
    </r>
    <r>
      <rPr>
        <rFont val="ＭＳ Ｐゴシック"/>
        <sz val="10.0"/>
      </rPr>
      <t xml:space="preserve">　</t>
    </r>
    <r>
      <rPr>
        <rFont val="Arial"/>
        <sz val="10.0"/>
      </rPr>
      <t>AGAIN</t>
    </r>
    <r>
      <rPr>
        <rFont val="ＭＳ Ｐゴシック"/>
        <sz val="10.0"/>
      </rPr>
      <t>」と言う曲だった。裕乃は、プロデビューするという夢こそ破れたが、大好きな仲間たちと行う最後のライブを成功させたいと願う美月に、かつての自分の姿を重ね合わせる。</t>
    </r>
    <r>
      <rPr>
        <rFont val="Arial"/>
        <sz val="10.0"/>
      </rPr>
      <t xml:space="preserve">  </t>
    </r>
    <r>
      <rPr>
        <rFont val="ＭＳ Ｐゴシック"/>
        <sz val="10.0"/>
      </rPr>
      <t>そんな折、唯織は患者の情報を盗み見たことを鏑木</t>
    </r>
    <r>
      <rPr>
        <rFont val="Arial"/>
        <sz val="10.0"/>
      </rPr>
      <t>(</t>
    </r>
    <r>
      <rPr>
        <rFont val="ＭＳ Ｐゴシック"/>
        <sz val="10.0"/>
      </rPr>
      <t>浅野和之</t>
    </r>
    <r>
      <rPr>
        <rFont val="Arial"/>
        <sz val="10.0"/>
      </rPr>
      <t>)</t>
    </r>
    <r>
      <rPr>
        <rFont val="ＭＳ Ｐゴシック"/>
        <sz val="10.0"/>
      </rPr>
      <t>から叱責されるが</t>
    </r>
    <r>
      <rPr>
        <rFont val="Arial"/>
        <sz val="10.0"/>
      </rPr>
      <t>…</t>
    </r>
    <r>
      <rPr>
        <rFont val="ＭＳ Ｐゴシック"/>
        <sz val="10.0"/>
      </rPr>
      <t>。</t>
    </r>
  </si>
  <si>
    <t>唯織(窪田正孝)は、杏(本田翼)と偶然出くわす。杏は、友人を誘って飲みに行った帰りだった。公園で杏を介抱した唯織は、彼女が以前、股関節痛と診断した男性患者のことを気にかけていると知る。画像所見と血液検査の結果が合わないからだった。杏の力になろうと早速動き出す唯織。  あくる日、甘春総合病院にロックバンドでギターを弾いている大学生・坂元美月がやってくる。美月は、右肩の痛みを訴えていたが、検査をしてもその原因は特定できなかった。それを受け、整形外科の辻村(鈴木伸之)は、しばらく様子を見ると美月に伝える。  診察を終え、慌ててバンドの練習に向かおうとした美月は、病院の廊下で裕乃(広瀬アリス)とぶつかる。その際、落ちたスマホ画面から、美月がある曲を聴いていたことを知る裕乃。その曲は、高校時代バスケットボールに打ち込み、全国大会を目指していた裕乃にとっても、それは大切な、そして苦い思い出の詰まった「FLY　AGAIN」と言う曲だった。裕乃は、プロデビューするという夢こそ破れたが、大好きな仲間たちと行う最後のライブを成功させたいと願う美月に、かつての自分の姿を重ね合わせる。  そんな折、唯織は患者の情報を盗み見たことを鏑木(浅野和之)から叱責されるが…。</t>
  </si>
  <si>
    <t>番組名ラジエーションハウス～放射線科の診断レポート～【Aiで犯人を捜せ!】　#05</t>
  </si>
  <si>
    <r>
      <rPr>
        <rFont val="ＭＳ Ｐゴシック"/>
        <sz val="10.0"/>
      </rPr>
      <t>唯織</t>
    </r>
    <r>
      <rPr>
        <rFont val="Arial"/>
        <sz val="10.0"/>
      </rPr>
      <t>(</t>
    </r>
    <r>
      <rPr>
        <rFont val="ＭＳ Ｐゴシック"/>
        <sz val="10.0"/>
      </rPr>
      <t>窪田正孝</t>
    </r>
    <r>
      <rPr>
        <rFont val="Arial"/>
        <sz val="10.0"/>
      </rPr>
      <t>)</t>
    </r>
    <r>
      <rPr>
        <rFont val="ＭＳ Ｐゴシック"/>
        <sz val="10.0"/>
      </rPr>
      <t>は杏</t>
    </r>
    <r>
      <rPr>
        <rFont val="Arial"/>
        <sz val="10.0"/>
      </rPr>
      <t>(</t>
    </r>
    <r>
      <rPr>
        <rFont val="ＭＳ Ｐゴシック"/>
        <sz val="10.0"/>
      </rPr>
      <t>本田翼</t>
    </r>
    <r>
      <rPr>
        <rFont val="Arial"/>
        <sz val="10.0"/>
      </rPr>
      <t>)</t>
    </r>
    <r>
      <rPr>
        <rFont val="ＭＳ Ｐゴシック"/>
        <sz val="10.0"/>
      </rPr>
      <t>から、ある</t>
    </r>
    <r>
      <rPr>
        <rFont val="Arial"/>
        <sz val="10.0"/>
      </rPr>
      <t>CT</t>
    </r>
    <r>
      <rPr>
        <rFont val="ＭＳ Ｐゴシック"/>
        <sz val="10.0"/>
      </rPr>
      <t>画像の意見を求められる。画像をのぞき込んだ唯織は、杏との距離が近いことに照れて</t>
    </r>
    <r>
      <rPr>
        <rFont val="Arial"/>
        <sz val="10.0"/>
      </rPr>
      <t>…</t>
    </r>
    <r>
      <rPr>
        <rFont val="ＭＳ Ｐゴシック"/>
        <sz val="10.0"/>
      </rPr>
      <t>。</t>
    </r>
    <r>
      <rPr>
        <rFont val="Arial"/>
        <sz val="10.0"/>
      </rPr>
      <t xml:space="preserve">  </t>
    </r>
    <r>
      <rPr>
        <rFont val="ＭＳ Ｐゴシック"/>
        <sz val="10.0"/>
      </rPr>
      <t xml:space="preserve">　裕乃</t>
    </r>
    <r>
      <rPr>
        <rFont val="Arial"/>
        <sz val="10.0"/>
      </rPr>
      <t>(</t>
    </r>
    <r>
      <rPr>
        <rFont val="ＭＳ Ｐゴシック"/>
        <sz val="10.0"/>
      </rPr>
      <t>広瀬アリス</t>
    </r>
    <r>
      <rPr>
        <rFont val="Arial"/>
        <sz val="10.0"/>
      </rPr>
      <t>)</t>
    </r>
    <r>
      <rPr>
        <rFont val="ＭＳ Ｐゴシック"/>
        <sz val="10.0"/>
      </rPr>
      <t>は威能</t>
    </r>
    <r>
      <rPr>
        <rFont val="Arial"/>
        <sz val="10.0"/>
      </rPr>
      <t>(</t>
    </r>
    <r>
      <rPr>
        <rFont val="ＭＳ Ｐゴシック"/>
        <sz val="10.0"/>
      </rPr>
      <t>丸山智己</t>
    </r>
    <r>
      <rPr>
        <rFont val="Arial"/>
        <sz val="10.0"/>
      </rPr>
      <t>)</t>
    </r>
    <r>
      <rPr>
        <rFont val="ＭＳ Ｐゴシック"/>
        <sz val="10.0"/>
      </rPr>
      <t>が遺体画像を見ていたことに驚く。実は威能は</t>
    </r>
    <r>
      <rPr>
        <rFont val="Arial"/>
        <sz val="10.0"/>
      </rPr>
      <t>CT</t>
    </r>
    <r>
      <rPr>
        <rFont val="ＭＳ Ｐゴシック"/>
        <sz val="10.0"/>
      </rPr>
      <t>や</t>
    </r>
    <r>
      <rPr>
        <rFont val="Arial"/>
        <sz val="10.0"/>
      </rPr>
      <t>MRI</t>
    </r>
    <r>
      <rPr>
        <rFont val="ＭＳ Ｐゴシック"/>
        <sz val="10.0"/>
      </rPr>
      <t>を使って遺体の死因を究明するオートプシー・イメージング、通称『</t>
    </r>
    <r>
      <rPr>
        <rFont val="Arial"/>
        <sz val="10.0"/>
      </rPr>
      <t>Ai</t>
    </r>
    <r>
      <rPr>
        <rFont val="ＭＳ Ｐゴシック"/>
        <sz val="10.0"/>
      </rPr>
      <t>』と呼ばれる死亡時画像診断のスペシャリストだった。鏑木</t>
    </r>
    <r>
      <rPr>
        <rFont val="Arial"/>
        <sz val="10.0"/>
      </rPr>
      <t>(</t>
    </r>
    <r>
      <rPr>
        <rFont val="ＭＳ Ｐゴシック"/>
        <sz val="10.0"/>
      </rPr>
      <t>浅野和之</t>
    </r>
    <r>
      <rPr>
        <rFont val="Arial"/>
        <sz val="10.0"/>
      </rPr>
      <t>)</t>
    </r>
    <r>
      <rPr>
        <rFont val="ＭＳ Ｐゴシック"/>
        <sz val="10.0"/>
      </rPr>
      <t>は放射線科の受診患者増加などを理由に</t>
    </r>
    <r>
      <rPr>
        <rFont val="Arial"/>
        <sz val="10.0"/>
      </rPr>
      <t>Ai</t>
    </r>
    <r>
      <rPr>
        <rFont val="ＭＳ Ｐゴシック"/>
        <sz val="10.0"/>
      </rPr>
      <t>の受け入れを最小限にとどめようと提案。だが、院長の渚</t>
    </r>
    <r>
      <rPr>
        <rFont val="Arial"/>
        <sz val="10.0"/>
      </rPr>
      <t>(</t>
    </r>
    <r>
      <rPr>
        <rFont val="ＭＳ Ｐゴシック"/>
        <sz val="10.0"/>
      </rPr>
      <t>和久井映見</t>
    </r>
    <r>
      <rPr>
        <rFont val="Arial"/>
        <sz val="10.0"/>
      </rPr>
      <t>)</t>
    </r>
    <r>
      <rPr>
        <rFont val="ＭＳ Ｐゴシック"/>
        <sz val="10.0"/>
      </rPr>
      <t>は</t>
    </r>
    <r>
      <rPr>
        <rFont val="Arial"/>
        <sz val="10.0"/>
      </rPr>
      <t>Ai</t>
    </r>
    <r>
      <rPr>
        <rFont val="ＭＳ Ｐゴシック"/>
        <sz val="10.0"/>
      </rPr>
      <t>と解剖を組み合わせることは医療界全体の未来にとって必要だと考えていた。</t>
    </r>
    <r>
      <rPr>
        <rFont val="Arial"/>
        <sz val="10.0"/>
      </rPr>
      <t xml:space="preserve">  </t>
    </r>
    <r>
      <rPr>
        <rFont val="ＭＳ Ｐゴシック"/>
        <sz val="10.0"/>
      </rPr>
      <t xml:space="preserve">　そんな折、公園で倒れている所を発見され、その後死亡が確認された美しい顔の少年・藤本直樹</t>
    </r>
    <r>
      <rPr>
        <rFont val="Arial"/>
        <sz val="10.0"/>
      </rPr>
      <t>(</t>
    </r>
    <r>
      <rPr>
        <rFont val="ＭＳ Ｐゴシック"/>
        <sz val="10.0"/>
      </rPr>
      <t>南出凌嘉</t>
    </r>
    <r>
      <rPr>
        <rFont val="Arial"/>
        <sz val="10.0"/>
      </rPr>
      <t>)</t>
    </r>
    <r>
      <rPr>
        <rFont val="ＭＳ Ｐゴシック"/>
        <sz val="10.0"/>
      </rPr>
      <t>の</t>
    </r>
    <r>
      <rPr>
        <rFont val="Arial"/>
        <sz val="10.0"/>
      </rPr>
      <t>Ai</t>
    </r>
    <r>
      <rPr>
        <rFont val="ＭＳ Ｐゴシック"/>
        <sz val="10.0"/>
      </rPr>
      <t>依頼が届く。第一発見者は直樹とキャッチボールをするために公園に来たという弟の雄太</t>
    </r>
    <r>
      <rPr>
        <rFont val="Arial"/>
        <sz val="10.0"/>
      </rPr>
      <t>(</t>
    </r>
    <r>
      <rPr>
        <rFont val="ＭＳ Ｐゴシック"/>
        <sz val="10.0"/>
      </rPr>
      <t>斎藤汰鷹</t>
    </r>
    <r>
      <rPr>
        <rFont val="Arial"/>
        <sz val="10.0"/>
      </rPr>
      <t>)</t>
    </r>
    <r>
      <rPr>
        <rFont val="ＭＳ Ｐゴシック"/>
        <sz val="10.0"/>
      </rPr>
      <t>。救急通報をしたのは藤本家の近所に住む少年・山村肇</t>
    </r>
    <r>
      <rPr>
        <rFont val="Arial"/>
        <sz val="10.0"/>
      </rPr>
      <t>(</t>
    </r>
    <r>
      <rPr>
        <rFont val="ＭＳ Ｐゴシック"/>
        <sz val="10.0"/>
      </rPr>
      <t>小林喜日</t>
    </r>
    <r>
      <rPr>
        <rFont val="Arial"/>
        <sz val="10.0"/>
      </rPr>
      <t>)</t>
    </r>
    <r>
      <rPr>
        <rFont val="ＭＳ Ｐゴシック"/>
        <sz val="10.0"/>
      </rPr>
      <t>だった。</t>
    </r>
    <r>
      <rPr>
        <rFont val="Arial"/>
        <sz val="10.0"/>
      </rPr>
      <t xml:space="preserve">  </t>
    </r>
    <r>
      <rPr>
        <rFont val="ＭＳ Ｐゴシック"/>
        <sz val="10.0"/>
      </rPr>
      <t xml:space="preserve">　辻村</t>
    </r>
    <r>
      <rPr>
        <rFont val="Arial"/>
        <sz val="10.0"/>
      </rPr>
      <t>(</t>
    </r>
    <r>
      <rPr>
        <rFont val="ＭＳ Ｐゴシック"/>
        <sz val="10.0"/>
      </rPr>
      <t>鈴木伸之</t>
    </r>
    <r>
      <rPr>
        <rFont val="Arial"/>
        <sz val="10.0"/>
      </rPr>
      <t>)</t>
    </r>
    <r>
      <rPr>
        <rFont val="ＭＳ Ｐゴシック"/>
        <sz val="10.0"/>
      </rPr>
      <t>は心臓付近に擦過傷が見られたことから、胸骨の未発達な子どもの胸に衝撃が加わることで起こる心臓震盪</t>
    </r>
    <r>
      <rPr>
        <rFont val="Arial"/>
        <sz val="10.0"/>
      </rPr>
      <t>(</t>
    </r>
    <r>
      <rPr>
        <rFont val="ＭＳ Ｐゴシック"/>
        <sz val="10.0"/>
      </rPr>
      <t>しんとう</t>
    </r>
    <r>
      <rPr>
        <rFont val="Arial"/>
        <sz val="10.0"/>
      </rPr>
      <t>)</t>
    </r>
    <r>
      <rPr>
        <rFont val="ＭＳ Ｐゴシック"/>
        <sz val="10.0"/>
      </rPr>
      <t>の可能性に言及した。直樹は上に向かってボールを投げてそれをキャッチしていた、という目撃情報もあった。だが、直樹の父母、勝彦</t>
    </r>
    <r>
      <rPr>
        <rFont val="Arial"/>
        <sz val="10.0"/>
      </rPr>
      <t>(</t>
    </r>
    <r>
      <rPr>
        <rFont val="ＭＳ Ｐゴシック"/>
        <sz val="10.0"/>
      </rPr>
      <t>三浦誠己</t>
    </r>
    <r>
      <rPr>
        <rFont val="Arial"/>
        <sz val="10.0"/>
      </rPr>
      <t>)</t>
    </r>
    <r>
      <rPr>
        <rFont val="ＭＳ Ｐゴシック"/>
        <sz val="10.0"/>
      </rPr>
      <t>と歩美</t>
    </r>
    <r>
      <rPr>
        <rFont val="Arial"/>
        <sz val="10.0"/>
      </rPr>
      <t>(</t>
    </r>
    <r>
      <rPr>
        <rFont val="ＭＳ Ｐゴシック"/>
        <sz val="10.0"/>
      </rPr>
      <t>森脇英理子</t>
    </r>
    <r>
      <rPr>
        <rFont val="Arial"/>
        <sz val="10.0"/>
      </rPr>
      <t>)</t>
    </r>
    <r>
      <rPr>
        <rFont val="ＭＳ Ｐゴシック"/>
        <sz val="10.0"/>
      </rPr>
      <t>は、小野寺</t>
    </r>
    <r>
      <rPr>
        <rFont val="Arial"/>
        <sz val="10.0"/>
      </rPr>
      <t>(</t>
    </r>
    <r>
      <rPr>
        <rFont val="ＭＳ Ｐゴシック"/>
        <sz val="10.0"/>
      </rPr>
      <t>遠藤憲一</t>
    </r>
    <r>
      <rPr>
        <rFont val="Arial"/>
        <sz val="10.0"/>
      </rPr>
      <t>)</t>
    </r>
    <r>
      <rPr>
        <rFont val="ＭＳ Ｐゴシック"/>
        <sz val="10.0"/>
      </rPr>
      <t>らの説得にも耳を貸さず</t>
    </r>
    <r>
      <rPr>
        <rFont val="Arial"/>
        <sz val="10.0"/>
      </rPr>
      <t>Ai</t>
    </r>
    <r>
      <rPr>
        <rFont val="ＭＳ Ｐゴシック"/>
        <sz val="10.0"/>
      </rPr>
      <t>をかたくなに拒否。周囲は虐待死を隠ぺいするためだと疑い始め</t>
    </r>
    <r>
      <rPr>
        <rFont val="Arial"/>
        <sz val="10.0"/>
      </rPr>
      <t>…</t>
    </r>
    <r>
      <rPr>
        <rFont val="ＭＳ Ｐゴシック"/>
        <sz val="10.0"/>
      </rPr>
      <t>。</t>
    </r>
  </si>
  <si>
    <t>唯織(窪田正孝)は杏(本田翼)から、あるCT画像の意見を求められる。画像をのぞき込んだ唯織は、杏との距離が近いことに照れて…。  　裕乃(広瀬アリス)は威能(丸山智己)が遺体画像を見ていたことに驚く。実は威能はCTやMRIを使って遺体の死因を究明するオートプシー・イメージング、通称『Ai』と呼ばれる死亡時画像診断のスペシャリストだった。鏑木(浅野和之)は放射線科の受診患者増加などを理由にAiの受け入れを最小限にとどめようと提案。だが、院長の渚(和久井映見)はAiと解剖を組み合わせることは医療界全体の未来にとって必要だと考えていた。  　そんな折、公園で倒れている所を発見され、その後死亡が確認された美しい顔の少年・藤本直樹(南出凌嘉)のAi依頼が届く。第一発見者は直樹とキャッチボールをするために公園に来たという弟の雄太(斎藤汰鷹)。救急通報をしたのは藤本家の近所に住む少年・山村肇(小林喜日)だった。  　辻村(鈴木伸之)は心臓付近に擦過傷が見られたことから、胸骨の未発達な子どもの胸に衝撃が加わることで起こる心臓震盪(しんとう)の可能性に言及した。直樹は上に向かってボールを投げてそれをキャッチしていた、という目撃情報もあった。だが、直樹の父母、勝彦(三浦誠己)と歩美(森脇英理子)は、小野寺(遠藤憲一)らの説得にも耳を貸さずAiをかたくなに拒否。周囲は虐待死を隠ぺいするためだと疑い始め…。</t>
  </si>
  <si>
    <t>番組名ラジエーションハウス～放射線科の診断レポート～【ラビリンスを超えて】　#06</t>
  </si>
  <si>
    <t>【ホームページ】  https://www.fujitv.co.jp/radiationhouse/　  【Twitter】  https://twitter.com/radiation_2019　  公式LINEアカウントも登録してください。唯織(窪田正孝)は、杏(本田翼)と辻村(鈴木伸之)がある小説の話で盛り上がっているところを目撃する。その小説とは、鏑木(浅野和之)が取材協力した医療小説だった。さっそくその小説を読み始める唯織。  同じころ、鏑木は、院長の渚(和久井映見)に会い、放射線技師の役割を超えた唯織の行為は医師法に抵触する可能性があり、憂慮すべき事態だと告げる。それに対して、唯織は技師としての所見を述べているに過ぎない、と返す渚。そこで、問題が起きた場合は渚が責任を取るという言質を得た鏑木は、軒下(浜野謙太)に接触し、唯織の行動を監視するよう命じる。  そんな折、公園で遊んでいて手すりから落下し、腹部を強打した女の子・沙里が救急搬送されてくる。腹部CTの依頼を受ける小野寺(遠藤憲一)や、たまき(山口紗弥加)たちラジエーションハウスの面々。CT画像を見た杏は、脾臓(ひぞう)の出血を確認し、将来、傷口が目立たなくて済むように画像診断装置で患者の体の中を透かして見ながら治療を行うIVR〈画像下治療〉による止血を提案する。裕乃(広瀬アリス)たちも沙里への負担が少ないIVRを期待していた。ところが鏑木は、IVRではなく開腹手術をするよう命じ…。窪田正孝　  本田翼　    広瀬アリス　  浜野謙太　  丸山智己　  矢野聖人　    山口紗弥加  　・　  遠藤憲一　    鈴木伸之　  浅野和之  　・　  和久井映見　    他【原作】  「ラジエーションハウス」(原作:横幕智裕　漫画:モリタイシ　グランドジャンプ/集英社)　    【プロデュース】  中野利幸　    【演出】  鈴木雅之　    【制作著作】  フジテレビジョン</t>
  </si>
  <si>
    <t>番組名ラジエーションハウス～放射線科の診断レポート～【命を救う者達の選択】　#07</t>
  </si>
  <si>
    <r>
      <rPr>
        <rFont val="ＭＳ Ｐゴシック"/>
        <sz val="10.0"/>
      </rPr>
      <t>唯織</t>
    </r>
    <r>
      <rPr>
        <rFont val="Arial"/>
        <sz val="10.0"/>
      </rPr>
      <t>(</t>
    </r>
    <r>
      <rPr>
        <rFont val="ＭＳ Ｐゴシック"/>
        <sz val="10.0"/>
      </rPr>
      <t>窪田正孝</t>
    </r>
    <r>
      <rPr>
        <rFont val="Arial"/>
        <sz val="10.0"/>
      </rPr>
      <t>)</t>
    </r>
    <r>
      <rPr>
        <rFont val="ＭＳ Ｐゴシック"/>
        <sz val="10.0"/>
      </rPr>
      <t>が来てから変わりつつあるラジエーションハウスのメンバー。その日は、初めて</t>
    </r>
    <r>
      <rPr>
        <rFont val="Arial"/>
        <sz val="10.0"/>
      </rPr>
      <t>1</t>
    </r>
    <r>
      <rPr>
        <rFont val="ＭＳ Ｐゴシック"/>
        <sz val="10.0"/>
      </rPr>
      <t>人で当直をすることになり、不安でいっぱいの裕乃</t>
    </r>
    <r>
      <rPr>
        <rFont val="Arial"/>
        <sz val="10.0"/>
      </rPr>
      <t>(</t>
    </r>
    <r>
      <rPr>
        <rFont val="ＭＳ Ｐゴシック"/>
        <sz val="10.0"/>
      </rPr>
      <t>広瀬アリス</t>
    </r>
    <r>
      <rPr>
        <rFont val="Arial"/>
        <sz val="10.0"/>
      </rPr>
      <t>)</t>
    </r>
    <r>
      <rPr>
        <rFont val="ＭＳ Ｐゴシック"/>
        <sz val="10.0"/>
      </rPr>
      <t>。しかも、緊急時に備えて待機するオンコール担当は軒下</t>
    </r>
    <r>
      <rPr>
        <rFont val="Arial"/>
        <sz val="10.0"/>
      </rPr>
      <t>(</t>
    </r>
    <r>
      <rPr>
        <rFont val="ＭＳ Ｐゴシック"/>
        <sz val="10.0"/>
      </rPr>
      <t>浜野謙太</t>
    </r>
    <r>
      <rPr>
        <rFont val="Arial"/>
        <sz val="10.0"/>
      </rPr>
      <t>)</t>
    </r>
    <r>
      <rPr>
        <rFont val="ＭＳ Ｐゴシック"/>
        <sz val="10.0"/>
      </rPr>
      <t>だが</t>
    </r>
    <r>
      <rPr>
        <rFont val="Arial"/>
        <sz val="10.0"/>
      </rPr>
      <t>…</t>
    </r>
    <r>
      <rPr>
        <rFont val="ＭＳ Ｐゴシック"/>
        <sz val="10.0"/>
      </rPr>
      <t>。</t>
    </r>
    <r>
      <rPr>
        <rFont val="Arial"/>
        <sz val="10.0"/>
      </rPr>
      <t xml:space="preserve">  </t>
    </r>
    <r>
      <rPr>
        <rFont val="ＭＳ Ｐゴシック"/>
        <sz val="10.0"/>
      </rPr>
      <t xml:space="preserve">　乳腺外科に、軒下と中学時代の同級生だった蛭田真貴</t>
    </r>
    <r>
      <rPr>
        <rFont val="Arial"/>
        <sz val="10.0"/>
      </rPr>
      <t>(</t>
    </r>
    <r>
      <rPr>
        <rFont val="ＭＳ Ｐゴシック"/>
        <sz val="10.0"/>
      </rPr>
      <t>松本若菜</t>
    </r>
    <r>
      <rPr>
        <rFont val="Arial"/>
        <sz val="10.0"/>
      </rPr>
      <t>)</t>
    </r>
    <r>
      <rPr>
        <rFont val="ＭＳ Ｐゴシック"/>
        <sz val="10.0"/>
      </rPr>
      <t>と志朗</t>
    </r>
    <r>
      <rPr>
        <rFont val="Arial"/>
        <sz val="10.0"/>
      </rPr>
      <t>(</t>
    </r>
    <r>
      <rPr>
        <rFont val="ＭＳ Ｐゴシック"/>
        <sz val="10.0"/>
      </rPr>
      <t>篠原篤</t>
    </r>
    <r>
      <rPr>
        <rFont val="Arial"/>
        <sz val="10.0"/>
      </rPr>
      <t>)</t>
    </r>
    <r>
      <rPr>
        <rFont val="ＭＳ Ｐゴシック"/>
        <sz val="10.0"/>
      </rPr>
      <t>夫妻がやってくる。人間ドックで真貴の胸にしこりが見つかり、マンモグラフィ検査を受けに来たのだ。軒下と再会した真貴は、彼が卒業アルバムに将来の夢は医者と書いていたのを覚えていた。初恋の相手の真貴から「夢を叶えたんだね」と言われ、本当のことが言えない軒下。</t>
    </r>
    <r>
      <rPr>
        <rFont val="Arial"/>
        <sz val="10.0"/>
      </rPr>
      <t xml:space="preserve">  </t>
    </r>
    <r>
      <rPr>
        <rFont val="ＭＳ Ｐゴシック"/>
        <sz val="10.0"/>
      </rPr>
      <t xml:space="preserve">　真貴のマンモ画像を読影した杏</t>
    </r>
    <r>
      <rPr>
        <rFont val="Arial"/>
        <sz val="10.0"/>
      </rPr>
      <t>(</t>
    </r>
    <r>
      <rPr>
        <rFont val="ＭＳ Ｐゴシック"/>
        <sz val="10.0"/>
      </rPr>
      <t>本田翼</t>
    </r>
    <r>
      <rPr>
        <rFont val="Arial"/>
        <sz val="10.0"/>
      </rPr>
      <t>)</t>
    </r>
    <r>
      <rPr>
        <rFont val="ＭＳ Ｐゴシック"/>
        <sz val="10.0"/>
      </rPr>
      <t>は、唯織にも意見を求め、悪性の疑いがあるため超音波検査が必要との診断を下す。それを見ていた鏑木</t>
    </r>
    <r>
      <rPr>
        <rFont val="Arial"/>
        <sz val="10.0"/>
      </rPr>
      <t>(</t>
    </r>
    <r>
      <rPr>
        <rFont val="ＭＳ Ｐゴシック"/>
        <sz val="10.0"/>
      </rPr>
      <t>浅野和之</t>
    </r>
    <r>
      <rPr>
        <rFont val="Arial"/>
        <sz val="10.0"/>
      </rPr>
      <t>)</t>
    </r>
    <r>
      <rPr>
        <rFont val="ＭＳ Ｐゴシック"/>
        <sz val="10.0"/>
      </rPr>
      <t>は、杏は技師に甘えていると指摘する。技師には技師の役割があり、一線を越えることは、唯織の首を絞めることになる、というのだ。</t>
    </r>
    <r>
      <rPr>
        <rFont val="Arial"/>
        <sz val="10.0"/>
      </rPr>
      <t xml:space="preserve">  </t>
    </r>
    <r>
      <rPr>
        <rFont val="ＭＳ Ｐゴシック"/>
        <sz val="10.0"/>
      </rPr>
      <t xml:space="preserve">　再検査が</t>
    </r>
    <r>
      <rPr>
        <rFont val="Arial"/>
        <sz val="10.0"/>
      </rPr>
      <t>2</t>
    </r>
    <r>
      <rPr>
        <rFont val="ＭＳ Ｐゴシック"/>
        <sz val="10.0"/>
      </rPr>
      <t>カ月後になると知った志朗は軒下に、医者として検査を何とか早められないか、泣きつく。しかし、特別扱いはできないと答えるしかない軒下。それでも諦めきれない志朗は、通りかかった唯織に声をかけ、事情を説明した。「真貴は自分の人生のすべて」という志朗の言葉に強く共感した唯織は、杏に相談。だが、鏑木の言葉を思い出した杏は、患者を救うのは医者の仕事だと返し</t>
    </r>
    <r>
      <rPr>
        <rFont val="Arial"/>
        <sz val="10.0"/>
      </rPr>
      <t>…</t>
    </r>
    <r>
      <rPr>
        <rFont val="ＭＳ Ｐゴシック"/>
        <sz val="10.0"/>
      </rPr>
      <t>。</t>
    </r>
  </si>
  <si>
    <t>唯織(窪田正孝)が来てから変わりつつあるラジエーションハウスのメンバー。その日は、初めて1人で当直をすることになり、不安でいっぱいの裕乃(広瀬アリス)。しかも、緊急時に備えて待機するオンコール担当は軒下(浜野謙太)だが…。  　乳腺外科に、軒下と中学時代の同級生だった蛭田真貴(松本若菜)と志朗(篠原篤)夫妻がやってくる。人間ドックで真貴の胸にしこりが見つかり、マンモグラフィ検査を受けに来たのだ。軒下と再会した真貴は、彼が卒業アルバムに将来の夢は医者と書いていたのを覚えていた。初恋の相手の真貴から「夢を叶えたんだね」と言われ、本当のことが言えない軒下。  　真貴のマンモ画像を読影した杏(本田翼)は、唯織にも意見を求め、悪性の疑いがあるため超音波検査が必要との診断を下す。それを見ていた鏑木(浅野和之)は、杏は技師に甘えていると指摘する。技師には技師の役割があり、一線を越えることは、唯織の首を絞めることになる、というのだ。  　再検査が2カ月後になると知った志朗は軒下に、医者として検査を何とか早められないか、泣きつく。しかし、特別扱いはできないと答えるしかない軒下。それでも諦めきれない志朗は、通りかかった唯織に声をかけ、事情を説明した。「真貴は自分の人生のすべて」という志朗の言葉に強く共感した唯織は、杏に相談。だが、鏑木の言葉を思い出した杏は、患者を救うのは医者の仕事だと返し…。</t>
  </si>
  <si>
    <t>番組名ラジエーションハウス～放射線科の診断レポート～【二人の約束】　#08</t>
  </si>
  <si>
    <r>
      <rPr>
        <rFont val="ＭＳ Ｐゴシック"/>
        <sz val="10.0"/>
      </rPr>
      <t>けいれん発作で魚谷久美</t>
    </r>
    <r>
      <rPr>
        <rFont val="Arial"/>
        <sz val="10.0"/>
      </rPr>
      <t>(</t>
    </r>
    <r>
      <rPr>
        <rFont val="ＭＳ Ｐゴシック"/>
        <sz val="10.0"/>
      </rPr>
      <t>稲垣来泉</t>
    </r>
    <r>
      <rPr>
        <rFont val="Arial"/>
        <sz val="10.0"/>
      </rPr>
      <t>)</t>
    </r>
    <r>
      <rPr>
        <rFont val="ＭＳ Ｐゴシック"/>
        <sz val="10.0"/>
      </rPr>
      <t>という少女が病院に救急搬送されてくる。唯織</t>
    </r>
    <r>
      <rPr>
        <rFont val="Arial"/>
        <sz val="10.0"/>
      </rPr>
      <t>(</t>
    </r>
    <r>
      <rPr>
        <rFont val="ＭＳ Ｐゴシック"/>
        <sz val="10.0"/>
      </rPr>
      <t>窪田正孝</t>
    </r>
    <r>
      <rPr>
        <rFont val="Arial"/>
        <sz val="10.0"/>
      </rPr>
      <t>)</t>
    </r>
    <r>
      <rPr>
        <rFont val="ＭＳ Ｐゴシック"/>
        <sz val="10.0"/>
      </rPr>
      <t>らは、久美の</t>
    </r>
    <r>
      <rPr>
        <rFont val="Arial"/>
        <sz val="10.0"/>
      </rPr>
      <t>CT</t>
    </r>
    <r>
      <rPr>
        <rFont val="ＭＳ Ｐゴシック"/>
        <sz val="10.0"/>
      </rPr>
      <t>検査を行ったが異常は見られず</t>
    </r>
    <r>
      <rPr>
        <rFont val="Arial"/>
        <sz val="10.0"/>
      </rPr>
      <t>…</t>
    </r>
    <r>
      <rPr>
        <rFont val="ＭＳ Ｐゴシック"/>
        <sz val="10.0"/>
      </rPr>
      <t>。だが、別の日に</t>
    </r>
    <r>
      <rPr>
        <rFont val="Arial"/>
        <sz val="10.0"/>
      </rPr>
      <t>MRI</t>
    </r>
    <r>
      <rPr>
        <rFont val="ＭＳ Ｐゴシック"/>
        <sz val="10.0"/>
      </rPr>
      <t>検査を行ったところ、二相性急性脳症の特徴的な所見である、脳が木の枝のように光る</t>
    </r>
    <r>
      <rPr>
        <rFont val="Arial"/>
        <sz val="10.0"/>
      </rPr>
      <t>“</t>
    </r>
    <r>
      <rPr>
        <rFont val="ＭＳ Ｐゴシック"/>
        <sz val="10.0"/>
      </rPr>
      <t>ブライトツリーアピアランス</t>
    </r>
    <r>
      <rPr>
        <rFont val="Arial"/>
        <sz val="10.0"/>
      </rPr>
      <t>"</t>
    </r>
    <r>
      <rPr>
        <rFont val="ＭＳ Ｐゴシック"/>
        <sz val="10.0"/>
      </rPr>
      <t>が見られ、入院しての治療が行われた。</t>
    </r>
    <r>
      <rPr>
        <rFont val="Arial"/>
        <sz val="10.0"/>
      </rPr>
      <t xml:space="preserve">  </t>
    </r>
    <r>
      <rPr>
        <rFont val="ＭＳ Ｐゴシック"/>
        <sz val="10.0"/>
      </rPr>
      <t>杏</t>
    </r>
    <r>
      <rPr>
        <rFont val="Arial"/>
        <sz val="10.0"/>
      </rPr>
      <t>(</t>
    </r>
    <r>
      <rPr>
        <rFont val="ＭＳ Ｐゴシック"/>
        <sz val="10.0"/>
      </rPr>
      <t>本田翼</t>
    </r>
    <r>
      <rPr>
        <rFont val="Arial"/>
        <sz val="10.0"/>
      </rPr>
      <t>)</t>
    </r>
    <r>
      <rPr>
        <rFont val="ＭＳ Ｐゴシック"/>
        <sz val="10.0"/>
      </rPr>
      <t>は、久美への治療の効果を確認するため再度</t>
    </r>
    <r>
      <rPr>
        <rFont val="Arial"/>
        <sz val="10.0"/>
      </rPr>
      <t>MRI</t>
    </r>
    <r>
      <rPr>
        <rFont val="ＭＳ Ｐゴシック"/>
        <sz val="10.0"/>
      </rPr>
      <t>検査を行うことを決める。その席で、杏が目も合わせてくれないことにショックを受ける唯織。それを知った裕乃</t>
    </r>
    <r>
      <rPr>
        <rFont val="Arial"/>
        <sz val="10.0"/>
      </rPr>
      <t>(</t>
    </r>
    <r>
      <rPr>
        <rFont val="ＭＳ Ｐゴシック"/>
        <sz val="10.0"/>
      </rPr>
      <t>広瀬アリス</t>
    </r>
    <r>
      <rPr>
        <rFont val="Arial"/>
        <sz val="10.0"/>
      </rPr>
      <t>)</t>
    </r>
    <r>
      <rPr>
        <rFont val="ＭＳ Ｐゴシック"/>
        <sz val="10.0"/>
      </rPr>
      <t>は、なぜかモヤモヤした気持ちに</t>
    </r>
    <r>
      <rPr>
        <rFont val="Arial"/>
        <sz val="10.0"/>
      </rPr>
      <t>…</t>
    </r>
    <r>
      <rPr>
        <rFont val="ＭＳ Ｐゴシック"/>
        <sz val="10.0"/>
      </rPr>
      <t>。一方、杏が唯織を気にしていると見抜いたたまき</t>
    </r>
    <r>
      <rPr>
        <rFont val="Arial"/>
        <sz val="10.0"/>
      </rPr>
      <t>(</t>
    </r>
    <r>
      <rPr>
        <rFont val="ＭＳ Ｐゴシック"/>
        <sz val="10.0"/>
      </rPr>
      <t>山口紗弥加</t>
    </r>
    <r>
      <rPr>
        <rFont val="Arial"/>
        <sz val="10.0"/>
      </rPr>
      <t>)</t>
    </r>
    <r>
      <rPr>
        <rFont val="ＭＳ Ｐゴシック"/>
        <sz val="10.0"/>
      </rPr>
      <t>は「素直になれば</t>
    </r>
    <r>
      <rPr>
        <rFont val="Arial"/>
        <sz val="10.0"/>
      </rPr>
      <t>?</t>
    </r>
    <r>
      <rPr>
        <rFont val="ＭＳ Ｐゴシック"/>
        <sz val="10.0"/>
      </rPr>
      <t>」と杏に告げるが</t>
    </r>
    <r>
      <rPr>
        <rFont val="Arial"/>
        <sz val="10.0"/>
      </rPr>
      <t>…</t>
    </r>
    <r>
      <rPr>
        <rFont val="ＭＳ Ｐゴシック"/>
        <sz val="10.0"/>
      </rPr>
      <t>。</t>
    </r>
    <r>
      <rPr>
        <rFont val="Arial"/>
        <sz val="10.0"/>
      </rPr>
      <t xml:space="preserve">  </t>
    </r>
    <r>
      <rPr>
        <rFont val="ＭＳ Ｐゴシック"/>
        <sz val="10.0"/>
      </rPr>
      <t>小児科では久美の強い希望により、季節外れのハロウィーンパーティーを行うことに。枕元に願いごとを書いた紙を置いて寝るとそれがかなうという言い伝えもあることから、唯織や小野寺</t>
    </r>
    <r>
      <rPr>
        <rFont val="Arial"/>
        <sz val="10.0"/>
      </rPr>
      <t>(</t>
    </r>
    <r>
      <rPr>
        <rFont val="ＭＳ Ｐゴシック"/>
        <sz val="10.0"/>
      </rPr>
      <t>遠藤憲一</t>
    </r>
    <r>
      <rPr>
        <rFont val="Arial"/>
        <sz val="10.0"/>
      </rPr>
      <t>)</t>
    </r>
    <r>
      <rPr>
        <rFont val="ＭＳ Ｐゴシック"/>
        <sz val="10.0"/>
      </rPr>
      <t>たちも久美から願いごとカードを手渡されていた。</t>
    </r>
    <r>
      <rPr>
        <rFont val="Arial"/>
        <sz val="10.0"/>
      </rPr>
      <t xml:space="preserve">  </t>
    </r>
    <r>
      <rPr>
        <rFont val="ＭＳ Ｐゴシック"/>
        <sz val="10.0"/>
      </rPr>
      <t>同じ頃、内科には腹部の痛みを訴えて受診した若井陽子</t>
    </r>
    <r>
      <rPr>
        <rFont val="Arial"/>
        <sz val="10.0"/>
      </rPr>
      <t>(</t>
    </r>
    <r>
      <rPr>
        <rFont val="ＭＳ Ｐゴシック"/>
        <sz val="10.0"/>
      </rPr>
      <t>佐藤めぐみ</t>
    </r>
    <r>
      <rPr>
        <rFont val="Arial"/>
        <sz val="10.0"/>
      </rPr>
      <t>)</t>
    </r>
    <r>
      <rPr>
        <rFont val="ＭＳ Ｐゴシック"/>
        <sz val="10.0"/>
      </rPr>
      <t>の姿があった。陽子は、アルバイトを抜け出して病院に駆けつけた夫の祐一</t>
    </r>
    <r>
      <rPr>
        <rFont val="Arial"/>
        <sz val="10.0"/>
      </rPr>
      <t>(</t>
    </r>
    <r>
      <rPr>
        <rFont val="ＭＳ Ｐゴシック"/>
        <sz val="10.0"/>
      </rPr>
      <t>板橋駿谷</t>
    </r>
    <r>
      <rPr>
        <rFont val="Arial"/>
        <sz val="10.0"/>
      </rPr>
      <t>)</t>
    </r>
    <r>
      <rPr>
        <rFont val="ＭＳ Ｐゴシック"/>
        <sz val="10.0"/>
      </rPr>
      <t>に、盲腸だと診断されたが「薬で散らせるから普通に働ける」と言って安心させる。久美は陽子にも願いごとカードを手渡していた。そんな折、</t>
    </r>
    <r>
      <rPr>
        <rFont val="Arial"/>
        <sz val="10.0"/>
      </rPr>
      <t>MRI</t>
    </r>
    <r>
      <rPr>
        <rFont val="ＭＳ Ｐゴシック"/>
        <sz val="10.0"/>
      </rPr>
      <t>検査を受ける予定だった久美が突然けいれんを起こし</t>
    </r>
    <r>
      <rPr>
        <rFont val="Arial"/>
        <sz val="10.0"/>
      </rPr>
      <t>…</t>
    </r>
    <r>
      <rPr>
        <rFont val="ＭＳ Ｐゴシック"/>
        <sz val="10.0"/>
      </rPr>
      <t>。</t>
    </r>
  </si>
  <si>
    <t>けいれん発作で魚谷久美(稲垣来泉)という少女が病院に救急搬送されてくる。唯織(窪田正孝)らは、久美のCT検査を行ったが異常は見られず…。だが、別の日にMRI検査を行ったところ、二相性急性脳症の特徴的な所見である、脳が木の枝のように光る“ブライトツリーアピアランス"が見られ、入院しての治療が行われた。  杏(本田翼)は、久美への治療の効果を確認するため再度MRI検査を行うことを決める。その席で、杏が目も合わせてくれないことにショックを受ける唯織。それを知った裕乃(広瀬アリス)は、なぜかモヤモヤした気持ちに…。一方、杏が唯織を気にしていると見抜いたたまき(山口紗弥加)は「素直になれば?」と杏に告げるが…。  小児科では久美の強い希望により、季節外れのハロウィーンパーティーを行うことに。枕元に願いごとを書いた紙を置いて寝るとそれがかなうという言い伝えもあることから、唯織や小野寺(遠藤憲一)たちも久美から願いごとカードを手渡されていた。  同じ頃、内科には腹部の痛みを訴えて受診した若井陽子(佐藤めぐみ)の姿があった。陽子は、アルバイトを抜け出して病院に駆けつけた夫の祐一(板橋駿谷)に、盲腸だと診断されたが「薬で散らせるから普通に働ける」と言って安心させる。久美は陽子にも願いごとカードを手渡していた。そんな折、MRI検査を受ける予定だった久美が突然けいれんを起こし…。</t>
  </si>
  <si>
    <t>番組名ラジエーションハウス～放射線科の診断レポート～【最強の対決!!】　#09</t>
  </si>
  <si>
    <r>
      <rPr>
        <rFont val="ＭＳ Ｐゴシック"/>
        <sz val="10.0"/>
      </rPr>
      <t>唯織</t>
    </r>
    <r>
      <rPr>
        <rFont val="Arial"/>
        <sz val="10.0"/>
      </rPr>
      <t>(</t>
    </r>
    <r>
      <rPr>
        <rFont val="ＭＳ Ｐゴシック"/>
        <sz val="10.0"/>
      </rPr>
      <t>窪田正孝</t>
    </r>
    <r>
      <rPr>
        <rFont val="Arial"/>
        <sz val="10.0"/>
      </rPr>
      <t>)</t>
    </r>
    <r>
      <rPr>
        <rFont val="ＭＳ Ｐゴシック"/>
        <sz val="10.0"/>
      </rPr>
      <t>は、病院内で意識を失って倒れ、エスカレーターから転落した杏</t>
    </r>
    <r>
      <rPr>
        <rFont val="Arial"/>
        <sz val="10.0"/>
      </rPr>
      <t>(</t>
    </r>
    <r>
      <rPr>
        <rFont val="ＭＳ Ｐゴシック"/>
        <sz val="10.0"/>
      </rPr>
      <t>本田翼</t>
    </r>
    <r>
      <rPr>
        <rFont val="Arial"/>
        <sz val="10.0"/>
      </rPr>
      <t>)</t>
    </r>
    <r>
      <rPr>
        <rFont val="ＭＳ Ｐゴシック"/>
        <sz val="10.0"/>
      </rPr>
      <t>に駆け寄る。杏は、エスカレーターを転がり落ちた際に頭部を強打しており</t>
    </r>
    <r>
      <rPr>
        <rFont val="Arial"/>
        <sz val="10.0"/>
      </rPr>
      <t>…</t>
    </r>
    <r>
      <rPr>
        <rFont val="ＭＳ Ｐゴシック"/>
        <sz val="10.0"/>
      </rPr>
      <t>。</t>
    </r>
    <r>
      <rPr>
        <rFont val="Arial"/>
        <sz val="10.0"/>
      </rPr>
      <t xml:space="preserve">  </t>
    </r>
    <r>
      <rPr>
        <rFont val="ＭＳ Ｐゴシック"/>
        <sz val="10.0"/>
      </rPr>
      <t>同じ頃、甘春総合病院に、大物政治家の安野将司</t>
    </r>
    <r>
      <rPr>
        <rFont val="Arial"/>
        <sz val="10.0"/>
      </rPr>
      <t>(</t>
    </r>
    <r>
      <rPr>
        <rFont val="ＭＳ Ｐゴシック"/>
        <sz val="10.0"/>
      </rPr>
      <t>中村梅雀</t>
    </r>
    <r>
      <rPr>
        <rFont val="Arial"/>
        <sz val="10.0"/>
      </rPr>
      <t>)</t>
    </r>
    <r>
      <rPr>
        <rFont val="ＭＳ Ｐゴシック"/>
        <sz val="10.0"/>
      </rPr>
      <t>が極秘入院することになった。辻村</t>
    </r>
    <r>
      <rPr>
        <rFont val="Arial"/>
        <sz val="10.0"/>
      </rPr>
      <t>(</t>
    </r>
    <r>
      <rPr>
        <rFont val="ＭＳ Ｐゴシック"/>
        <sz val="10.0"/>
      </rPr>
      <t>鈴木伸之</t>
    </r>
    <r>
      <rPr>
        <rFont val="Arial"/>
        <sz val="10.0"/>
      </rPr>
      <t>)</t>
    </r>
    <r>
      <rPr>
        <rFont val="ＭＳ Ｐゴシック"/>
        <sz val="10.0"/>
      </rPr>
      <t>の父親で、麗洋医科大学病院教授の辻村丈介</t>
    </r>
    <r>
      <rPr>
        <rFont val="Arial"/>
        <sz val="10.0"/>
      </rPr>
      <t>(</t>
    </r>
    <r>
      <rPr>
        <rFont val="ＭＳ Ｐゴシック"/>
        <sz val="10.0"/>
      </rPr>
      <t>名高達男</t>
    </r>
    <r>
      <rPr>
        <rFont val="Arial"/>
        <sz val="10.0"/>
      </rPr>
      <t>)</t>
    </r>
    <r>
      <rPr>
        <rFont val="ＭＳ Ｐゴシック"/>
        <sz val="10.0"/>
      </rPr>
      <t>が、鏑木</t>
    </r>
    <r>
      <rPr>
        <rFont val="Arial"/>
        <sz val="10.0"/>
      </rPr>
      <t>(</t>
    </r>
    <r>
      <rPr>
        <rFont val="ＭＳ Ｐゴシック"/>
        <sz val="10.0"/>
      </rPr>
      <t>浅野和之</t>
    </r>
    <r>
      <rPr>
        <rFont val="Arial"/>
        <sz val="10.0"/>
      </rPr>
      <t>)</t>
    </r>
    <r>
      <rPr>
        <rFont val="ＭＳ Ｐゴシック"/>
        <sz val="10.0"/>
      </rPr>
      <t>に依頼したのだ。安野は、政治資金に関するスキャンダルから逃れるために、</t>
    </r>
    <r>
      <rPr>
        <rFont val="Arial"/>
        <sz val="10.0"/>
      </rPr>
      <t>1</t>
    </r>
    <r>
      <rPr>
        <rFont val="ＭＳ Ｐゴシック"/>
        <sz val="10.0"/>
      </rPr>
      <t>週間ほど身を隠したいのだという。丈介は、辻村を安野の主治医にするよう、鏑木に頼んだ。</t>
    </r>
    <r>
      <rPr>
        <rFont val="Arial"/>
        <sz val="10.0"/>
      </rPr>
      <t xml:space="preserve">  </t>
    </r>
    <r>
      <rPr>
        <rFont val="ＭＳ Ｐゴシック"/>
        <sz val="10.0"/>
      </rPr>
      <t>ところがその矢先、安野が甘春総合病院の裏口で、ゴルフスイングのまね事をしている写真が週刊誌に掲載されてしまう。記事には「偽装入院」などという文字も踊っていた。押し掛けてきたマスコミに、出勤早々囲まれてしまう裕乃</t>
    </r>
    <r>
      <rPr>
        <rFont val="Arial"/>
        <sz val="10.0"/>
      </rPr>
      <t>(</t>
    </r>
    <r>
      <rPr>
        <rFont val="ＭＳ Ｐゴシック"/>
        <sz val="10.0"/>
      </rPr>
      <t>広瀬アリス</t>
    </r>
    <r>
      <rPr>
        <rFont val="Arial"/>
        <sz val="10.0"/>
      </rPr>
      <t>)</t>
    </r>
    <r>
      <rPr>
        <rFont val="ＭＳ Ｐゴシック"/>
        <sz val="10.0"/>
      </rPr>
      <t>や小野寺</t>
    </r>
    <r>
      <rPr>
        <rFont val="Arial"/>
        <sz val="10.0"/>
      </rPr>
      <t>(</t>
    </r>
    <r>
      <rPr>
        <rFont val="ＭＳ Ｐゴシック"/>
        <sz val="10.0"/>
      </rPr>
      <t>遠藤憲一</t>
    </r>
    <r>
      <rPr>
        <rFont val="Arial"/>
        <sz val="10.0"/>
      </rPr>
      <t>)</t>
    </r>
    <r>
      <rPr>
        <rFont val="ＭＳ Ｐゴシック"/>
        <sz val="10.0"/>
      </rPr>
      <t>、たまき</t>
    </r>
    <r>
      <rPr>
        <rFont val="Arial"/>
        <sz val="10.0"/>
      </rPr>
      <t>(</t>
    </r>
    <r>
      <rPr>
        <rFont val="ＭＳ Ｐゴシック"/>
        <sz val="10.0"/>
      </rPr>
      <t>山口紗弥加</t>
    </r>
    <r>
      <rPr>
        <rFont val="Arial"/>
        <sz val="10.0"/>
      </rPr>
      <t>)</t>
    </r>
    <r>
      <rPr>
        <rFont val="ＭＳ Ｐゴシック"/>
        <sz val="10.0"/>
      </rPr>
      <t>らラジエーションハウスの面々。一方、記事に激怒した安野は、何かしらの入院理由をつけてすぐにでも発表するよう、鏑木と辻村に命じるが</t>
    </r>
    <r>
      <rPr>
        <rFont val="Arial"/>
        <sz val="10.0"/>
      </rPr>
      <t>…</t>
    </r>
    <r>
      <rPr>
        <rFont val="ＭＳ Ｐゴシック"/>
        <sz val="10.0"/>
      </rPr>
      <t>。</t>
    </r>
  </si>
  <si>
    <t>唯織(窪田正孝)は、病院内で意識を失って倒れ、エスカレーターから転落した杏(本田翼)に駆け寄る。杏は、エスカレーターを転がり落ちた際に頭部を強打しており…。  同じ頃、甘春総合病院に、大物政治家の安野将司(中村梅雀)が極秘入院することになった。辻村(鈴木伸之)の父親で、麗洋医科大学病院教授の辻村丈介(名高達男)が、鏑木(浅野和之)に依頼したのだ。安野は、政治資金に関するスキャンダルから逃れるために、1週間ほど身を隠したいのだという。丈介は、辻村を安野の主治医にするよう、鏑木に頼んだ。  ところがその矢先、安野が甘春総合病院の裏口で、ゴルフスイングのまね事をしている写真が週刊誌に掲載されてしまう。記事には「偽装入院」などという文字も踊っていた。押し掛けてきたマスコミに、出勤早々囲まれてしまう裕乃(広瀬アリス)や小野寺(遠藤憲一)、たまき(山口紗弥加)らラジエーションハウスの面々。一方、記事に激怒した安野は、何かしらの入院理由をつけてすぐにでも発表するよう、鏑木と辻村に命じるが…。</t>
  </si>
  <si>
    <t>番組名ラジエーションハウス～放射線科の診断レポート～【もう一人の天才登場】　#10</t>
  </si>
  <si>
    <r>
      <rPr>
        <rFont val="ＭＳ Ｐゴシック"/>
        <sz val="10.0"/>
      </rPr>
      <t>出勤途中の唯織</t>
    </r>
    <r>
      <rPr>
        <rFont val="Arial"/>
        <sz val="10.0"/>
      </rPr>
      <t>(</t>
    </r>
    <r>
      <rPr>
        <rFont val="ＭＳ Ｐゴシック"/>
        <sz val="10.0"/>
      </rPr>
      <t>窪田正孝</t>
    </r>
    <r>
      <rPr>
        <rFont val="Arial"/>
        <sz val="10.0"/>
      </rPr>
      <t>)</t>
    </r>
    <r>
      <rPr>
        <rFont val="ＭＳ Ｐゴシック"/>
        <sz val="10.0"/>
      </rPr>
      <t>のもとに、放射線科の世界的権威である恩師・ピレス教授</t>
    </r>
    <r>
      <rPr>
        <rFont val="Arial"/>
        <sz val="10.0"/>
      </rPr>
      <t>(Dutch)</t>
    </r>
    <r>
      <rPr>
        <rFont val="ＭＳ Ｐゴシック"/>
        <sz val="10.0"/>
      </rPr>
      <t>からメッセージが届く。人工知能を使った読影補助ソフトを開発することになったピレスは、そのメンバーに唯織を迎えたいと考えていた。</t>
    </r>
    <r>
      <rPr>
        <rFont val="Arial"/>
        <sz val="10.0"/>
      </rPr>
      <t xml:space="preserve">  </t>
    </r>
    <r>
      <rPr>
        <rFont val="ＭＳ Ｐゴシック"/>
        <sz val="10.0"/>
      </rPr>
      <t xml:space="preserve">　鏑木</t>
    </r>
    <r>
      <rPr>
        <rFont val="Arial"/>
        <sz val="10.0"/>
      </rPr>
      <t>(</t>
    </r>
    <r>
      <rPr>
        <rFont val="ＭＳ Ｐゴシック"/>
        <sz val="10.0"/>
      </rPr>
      <t>浅野和之</t>
    </r>
    <r>
      <rPr>
        <rFont val="Arial"/>
        <sz val="10.0"/>
      </rPr>
      <t>)</t>
    </r>
    <r>
      <rPr>
        <rFont val="ＭＳ Ｐゴシック"/>
        <sz val="10.0"/>
      </rPr>
      <t>は、辻村</t>
    </r>
    <r>
      <rPr>
        <rFont val="Arial"/>
        <sz val="10.0"/>
      </rPr>
      <t>(</t>
    </r>
    <r>
      <rPr>
        <rFont val="ＭＳ Ｐゴシック"/>
        <sz val="10.0"/>
      </rPr>
      <t>鈴木伸之</t>
    </r>
    <r>
      <rPr>
        <rFont val="Arial"/>
        <sz val="10.0"/>
      </rPr>
      <t>)</t>
    </r>
    <r>
      <rPr>
        <rFont val="ＭＳ Ｐゴシック"/>
        <sz val="10.0"/>
      </rPr>
      <t>の父で、麗洋医科大学病院教授の辻村丈介</t>
    </r>
    <r>
      <rPr>
        <rFont val="Arial"/>
        <sz val="10.0"/>
      </rPr>
      <t>(</t>
    </r>
    <r>
      <rPr>
        <rFont val="ＭＳ Ｐゴシック"/>
        <sz val="10.0"/>
      </rPr>
      <t>名高達男</t>
    </r>
    <r>
      <rPr>
        <rFont val="Arial"/>
        <sz val="10.0"/>
      </rPr>
      <t>)</t>
    </r>
    <r>
      <rPr>
        <rFont val="ＭＳ Ｐゴシック"/>
        <sz val="10.0"/>
      </rPr>
      <t>から系列病院の院長を任されたことを家族に報告する。妻の聡子</t>
    </r>
    <r>
      <rPr>
        <rFont val="Arial"/>
        <sz val="10.0"/>
      </rPr>
      <t>(</t>
    </r>
    <r>
      <rPr>
        <rFont val="ＭＳ Ｐゴシック"/>
        <sz val="10.0"/>
      </rPr>
      <t>梅沢昌代</t>
    </r>
    <r>
      <rPr>
        <rFont val="Arial"/>
        <sz val="10.0"/>
      </rPr>
      <t>)</t>
    </r>
    <r>
      <rPr>
        <rFont val="ＭＳ Ｐゴシック"/>
        <sz val="10.0"/>
      </rPr>
      <t>と娘の加奈子</t>
    </r>
    <r>
      <rPr>
        <rFont val="Arial"/>
        <sz val="10.0"/>
      </rPr>
      <t>(</t>
    </r>
    <r>
      <rPr>
        <rFont val="ＭＳ Ｐゴシック"/>
        <sz val="10.0"/>
      </rPr>
      <t>丸川ゆい</t>
    </r>
    <r>
      <rPr>
        <rFont val="Arial"/>
        <sz val="10.0"/>
      </rPr>
      <t>)</t>
    </r>
    <r>
      <rPr>
        <rFont val="ＭＳ Ｐゴシック"/>
        <sz val="10.0"/>
      </rPr>
      <t>に、給料も倍になるから</t>
    </r>
    <r>
      <rPr>
        <rFont val="Arial"/>
        <sz val="10.0"/>
      </rPr>
      <t>3</t>
    </r>
    <r>
      <rPr>
        <rFont val="ＭＳ Ｐゴシック"/>
        <sz val="10.0"/>
      </rPr>
      <t>人でハワイ旅行に行こう、とうれしそうに話す鏑木。</t>
    </r>
    <r>
      <rPr>
        <rFont val="Arial"/>
        <sz val="10.0"/>
      </rPr>
      <t xml:space="preserve">  </t>
    </r>
    <r>
      <rPr>
        <rFont val="ＭＳ Ｐゴシック"/>
        <sz val="10.0"/>
      </rPr>
      <t xml:space="preserve">　そんな折、ラジエーションハウスに杏</t>
    </r>
    <r>
      <rPr>
        <rFont val="Arial"/>
        <sz val="10.0"/>
      </rPr>
      <t>(</t>
    </r>
    <r>
      <rPr>
        <rFont val="ＭＳ Ｐゴシック"/>
        <sz val="10.0"/>
      </rPr>
      <t>本田翼</t>
    </r>
    <r>
      <rPr>
        <rFont val="Arial"/>
        <sz val="10.0"/>
      </rPr>
      <t>)</t>
    </r>
    <r>
      <rPr>
        <rFont val="ＭＳ Ｐゴシック"/>
        <sz val="10.0"/>
      </rPr>
      <t>の父親で、元院長の正一</t>
    </r>
    <r>
      <rPr>
        <rFont val="Arial"/>
        <sz val="10.0"/>
      </rPr>
      <t>(</t>
    </r>
    <r>
      <rPr>
        <rFont val="ＭＳ Ｐゴシック"/>
        <sz val="10.0"/>
      </rPr>
      <t>佐戸井けん太</t>
    </r>
    <r>
      <rPr>
        <rFont val="Arial"/>
        <sz val="10.0"/>
      </rPr>
      <t>)</t>
    </r>
    <r>
      <rPr>
        <rFont val="ＭＳ Ｐゴシック"/>
        <sz val="10.0"/>
      </rPr>
      <t>が突然現れる。正一がうつ病の状態だと知る小野寺</t>
    </r>
    <r>
      <rPr>
        <rFont val="Arial"/>
        <sz val="10.0"/>
      </rPr>
      <t>(</t>
    </r>
    <r>
      <rPr>
        <rFont val="ＭＳ Ｐゴシック"/>
        <sz val="10.0"/>
      </rPr>
      <t>遠藤憲一</t>
    </r>
    <r>
      <rPr>
        <rFont val="Arial"/>
        <sz val="10.0"/>
      </rPr>
      <t>)</t>
    </r>
    <r>
      <rPr>
        <rFont val="ＭＳ Ｐゴシック"/>
        <sz val="10.0"/>
      </rPr>
      <t>やたまき</t>
    </r>
    <r>
      <rPr>
        <rFont val="Arial"/>
        <sz val="10.0"/>
      </rPr>
      <t>(</t>
    </r>
    <r>
      <rPr>
        <rFont val="ＭＳ Ｐゴシック"/>
        <sz val="10.0"/>
      </rPr>
      <t>山口紗弥加</t>
    </r>
    <r>
      <rPr>
        <rFont val="Arial"/>
        <sz val="10.0"/>
      </rPr>
      <t>)</t>
    </r>
    <r>
      <rPr>
        <rFont val="ＭＳ Ｐゴシック"/>
        <sz val="10.0"/>
      </rPr>
      <t>らは、努めて明るく彼を出迎える。</t>
    </r>
    <r>
      <rPr>
        <rFont val="Arial"/>
        <sz val="10.0"/>
      </rPr>
      <t xml:space="preserve">  </t>
    </r>
    <r>
      <rPr>
        <rFont val="ＭＳ Ｐゴシック"/>
        <sz val="10.0"/>
      </rPr>
      <t xml:space="preserve">　同じ頃、辻村は、嶋田茜</t>
    </r>
    <r>
      <rPr>
        <rFont val="Arial"/>
        <sz val="10.0"/>
      </rPr>
      <t>(</t>
    </r>
    <r>
      <rPr>
        <rFont val="ＭＳ Ｐゴシック"/>
        <sz val="10.0"/>
      </rPr>
      <t>西原亜希</t>
    </r>
    <r>
      <rPr>
        <rFont val="Arial"/>
        <sz val="10.0"/>
      </rPr>
      <t>)</t>
    </r>
    <r>
      <rPr>
        <rFont val="ＭＳ Ｐゴシック"/>
        <sz val="10.0"/>
      </rPr>
      <t>の</t>
    </r>
    <r>
      <rPr>
        <rFont val="Arial"/>
        <sz val="10.0"/>
      </rPr>
      <t>1</t>
    </r>
    <r>
      <rPr>
        <rFont val="ＭＳ Ｐゴシック"/>
        <sz val="10.0"/>
      </rPr>
      <t>歳</t>
    </r>
    <r>
      <rPr>
        <rFont val="Arial"/>
        <sz val="10.0"/>
      </rPr>
      <t>8</t>
    </r>
    <r>
      <rPr>
        <rFont val="ＭＳ Ｐゴシック"/>
        <sz val="10.0"/>
      </rPr>
      <t>カ月になる息子・光の診察をしていた。骨折の疑いでレントゲン検査のオーダーを受けた裕乃</t>
    </r>
    <r>
      <rPr>
        <rFont val="Arial"/>
        <sz val="10.0"/>
      </rPr>
      <t>(</t>
    </r>
    <r>
      <rPr>
        <rFont val="ＭＳ Ｐゴシック"/>
        <sz val="10.0"/>
      </rPr>
      <t>広瀬アリス</t>
    </r>
    <r>
      <rPr>
        <rFont val="Arial"/>
        <sz val="10.0"/>
      </rPr>
      <t>)</t>
    </r>
    <r>
      <rPr>
        <rFont val="ＭＳ Ｐゴシック"/>
        <sz val="10.0"/>
      </rPr>
      <t>は、赤ちゃんの検査にしり込みし、軒下</t>
    </r>
    <r>
      <rPr>
        <rFont val="Arial"/>
        <sz val="10.0"/>
      </rPr>
      <t>(</t>
    </r>
    <r>
      <rPr>
        <rFont val="ＭＳ Ｐゴシック"/>
        <sz val="10.0"/>
      </rPr>
      <t>浜野謙太</t>
    </r>
    <r>
      <rPr>
        <rFont val="Arial"/>
        <sz val="10.0"/>
      </rPr>
      <t>)</t>
    </r>
    <r>
      <rPr>
        <rFont val="ＭＳ Ｐゴシック"/>
        <sz val="10.0"/>
      </rPr>
      <t>に助けを求める。そこで、</t>
    </r>
    <r>
      <rPr>
        <rFont val="Arial"/>
        <sz val="10.0"/>
      </rPr>
      <t>3</t>
    </r>
    <r>
      <rPr>
        <rFont val="ＭＳ Ｐゴシック"/>
        <sz val="10.0"/>
      </rPr>
      <t>カ月前にも右上腕骨骨折の疑いで光の検査をしたことを思い出すたまき。検査の結果、光は鎖骨を骨折しており、虐待の疑いが</t>
    </r>
    <r>
      <rPr>
        <rFont val="Arial"/>
        <sz val="10.0"/>
      </rPr>
      <t>…</t>
    </r>
    <r>
      <rPr>
        <rFont val="ＭＳ Ｐゴシック"/>
        <sz val="10.0"/>
      </rPr>
      <t>。</t>
    </r>
    <r>
      <rPr>
        <rFont val="Arial"/>
        <sz val="10.0"/>
      </rPr>
      <t xml:space="preserve">  </t>
    </r>
    <r>
      <rPr>
        <rFont val="ＭＳ Ｐゴシック"/>
        <sz val="10.0"/>
      </rPr>
      <t xml:space="preserve">　鏑木は、院長の渚</t>
    </r>
    <r>
      <rPr>
        <rFont val="Arial"/>
        <sz val="10.0"/>
      </rPr>
      <t>(</t>
    </r>
    <r>
      <rPr>
        <rFont val="ＭＳ Ｐゴシック"/>
        <sz val="10.0"/>
      </rPr>
      <t>和久井映見</t>
    </r>
    <r>
      <rPr>
        <rFont val="Arial"/>
        <sz val="10.0"/>
      </rPr>
      <t>)</t>
    </r>
    <r>
      <rPr>
        <rFont val="ＭＳ Ｐゴシック"/>
        <sz val="10.0"/>
      </rPr>
      <t>に辞表を提出。院長室を後にした鏑木は、椅子に座っていた正一に気づく。正一も鏑木にあいさつしようと立ち上がるが、その時、突然頭痛に襲われ、倒れてしまう。</t>
    </r>
  </si>
  <si>
    <t>出勤途中の唯織(窪田正孝)のもとに、放射線科の世界的権威である恩師・ピレス教授(Dutch)からメッセージが届く。人工知能を使った読影補助ソフトを開発することになったピレスは、そのメンバーに唯織を迎えたいと考えていた。  　鏑木(浅野和之)は、辻村(鈴木伸之)の父で、麗洋医科大学病院教授の辻村丈介(名高達男)から系列病院の院長を任されたことを家族に報告する。妻の聡子(梅沢昌代)と娘の加奈子(丸川ゆい)に、給料も倍になるから3人でハワイ旅行に行こう、とうれしそうに話す鏑木。  　そんな折、ラジエーションハウスに杏(本田翼)の父親で、元院長の正一(佐戸井けん太)が突然現れる。正一がうつ病の状態だと知る小野寺(遠藤憲一)やたまき(山口紗弥加)らは、努めて明るく彼を出迎える。  　同じ頃、辻村は、嶋田茜(西原亜希)の1歳8カ月になる息子・光の診察をしていた。骨折の疑いでレントゲン検査のオーダーを受けた裕乃(広瀬アリス)は、赤ちゃんの検査にしり込みし、軒下(浜野謙太)に助けを求める。そこで、3カ月前にも右上腕骨骨折の疑いで光の検査をしたことを思い出すたまき。検査の結果、光は鎖骨を骨折しており、虐待の疑いが…。  　鏑木は、院長の渚(和久井映見)に辞表を提出。院長室を後にした鏑木は、椅子に座っていた正一に気づく。正一も鏑木にあいさつしようと立ち上がるが、その時、突然頭痛に襲われ、倒れてしまう。</t>
  </si>
  <si>
    <t>番組名ラジエーションハウス～放射線科の診断レポート～【最後の選択と決断】　#11</t>
  </si>
  <si>
    <r>
      <rPr>
        <rFont val="ＭＳ Ｐゴシック"/>
        <sz val="10.0"/>
      </rPr>
      <t xml:space="preserve">　唯織</t>
    </r>
    <r>
      <rPr>
        <rFont val="Arial"/>
        <sz val="10.0"/>
      </rPr>
      <t>(</t>
    </r>
    <r>
      <rPr>
        <rFont val="ＭＳ Ｐゴシック"/>
        <sz val="10.0"/>
      </rPr>
      <t>窪田正孝</t>
    </r>
    <r>
      <rPr>
        <rFont val="Arial"/>
        <sz val="10.0"/>
      </rPr>
      <t>)</t>
    </r>
    <r>
      <rPr>
        <rFont val="ＭＳ Ｐゴシック"/>
        <sz val="10.0"/>
      </rPr>
      <t>は、杏</t>
    </r>
    <r>
      <rPr>
        <rFont val="Arial"/>
        <sz val="10.0"/>
      </rPr>
      <t>(</t>
    </r>
    <r>
      <rPr>
        <rFont val="ＭＳ Ｐゴシック"/>
        <sz val="10.0"/>
      </rPr>
      <t>本田翼</t>
    </r>
    <r>
      <rPr>
        <rFont val="Arial"/>
        <sz val="10.0"/>
      </rPr>
      <t>)</t>
    </r>
    <r>
      <rPr>
        <rFont val="ＭＳ Ｐゴシック"/>
        <sz val="10.0"/>
      </rPr>
      <t>の父で、甘春総合病院の前院長・正一</t>
    </r>
    <r>
      <rPr>
        <rFont val="Arial"/>
        <sz val="10.0"/>
      </rPr>
      <t>(</t>
    </r>
    <r>
      <rPr>
        <rFont val="ＭＳ Ｐゴシック"/>
        <sz val="10.0"/>
      </rPr>
      <t>佐戸井けん太</t>
    </r>
    <r>
      <rPr>
        <rFont val="Arial"/>
        <sz val="10.0"/>
      </rPr>
      <t>)</t>
    </r>
    <r>
      <rPr>
        <rFont val="ＭＳ Ｐゴシック"/>
        <sz val="10.0"/>
      </rPr>
      <t>が、うつ病ではなく、別の病気ではないかと考える。全身の慢性的疲労感、起立性頭痛に苦しんでいる正一は、発症前、自転車に追突され、その後、飛行機に乗っていた。ヒントになったのは、裕乃</t>
    </r>
    <r>
      <rPr>
        <rFont val="Arial"/>
        <sz val="10.0"/>
      </rPr>
      <t>(</t>
    </r>
    <r>
      <rPr>
        <rFont val="ＭＳ Ｐゴシック"/>
        <sz val="10.0"/>
      </rPr>
      <t>広瀬アリス</t>
    </r>
    <r>
      <rPr>
        <rFont val="Arial"/>
        <sz val="10.0"/>
      </rPr>
      <t>)</t>
    </r>
    <r>
      <rPr>
        <rFont val="ＭＳ Ｐゴシック"/>
        <sz val="10.0"/>
      </rPr>
      <t>が手伝っていた造影</t>
    </r>
    <r>
      <rPr>
        <rFont val="Arial"/>
        <sz val="10.0"/>
      </rPr>
      <t>CT</t>
    </r>
    <r>
      <rPr>
        <rFont val="ＭＳ Ｐゴシック"/>
        <sz val="10.0"/>
      </rPr>
      <t>の際に、チューブから造影剤が漏れたことだった。</t>
    </r>
    <r>
      <rPr>
        <rFont val="Arial"/>
        <sz val="10.0"/>
      </rPr>
      <t xml:space="preserve">  </t>
    </r>
    <r>
      <rPr>
        <rFont val="ＭＳ Ｐゴシック"/>
        <sz val="10.0"/>
      </rPr>
      <t xml:space="preserve">　小野寺</t>
    </r>
    <r>
      <rPr>
        <rFont val="Arial"/>
        <sz val="10.0"/>
      </rPr>
      <t>(</t>
    </r>
    <r>
      <rPr>
        <rFont val="ＭＳ Ｐゴシック"/>
        <sz val="10.0"/>
      </rPr>
      <t>遠藤憲一</t>
    </r>
    <r>
      <rPr>
        <rFont val="Arial"/>
        <sz val="10.0"/>
      </rPr>
      <t>)</t>
    </r>
    <r>
      <rPr>
        <rFont val="ＭＳ Ｐゴシック"/>
        <sz val="10.0"/>
      </rPr>
      <t>らの協力を得て唯織が行ったのは、</t>
    </r>
    <r>
      <rPr>
        <rFont val="Arial"/>
        <sz val="10.0"/>
      </rPr>
      <t>MRI</t>
    </r>
    <r>
      <rPr>
        <rFont val="ＭＳ Ｐゴシック"/>
        <sz val="10.0"/>
      </rPr>
      <t>検査と、髄液漏れの検査だった。その画像を見た唯織は、正一が低髄液圧症であることを確信する。正一は、追突事故で硬膜に穴が開き、飛行機に乗った際の気圧の変化と乱気流の振動によって低髄液圧症を発症したものと考えられた。髄液が減って脳が下垂したために、起立時に頭痛やめまいに襲われていたのだ。正一の病気が手術で治る可能性があると知り、喜ぶ杏。</t>
    </r>
    <r>
      <rPr>
        <rFont val="Arial"/>
        <sz val="10.0"/>
      </rPr>
      <t xml:space="preserve">  </t>
    </r>
    <r>
      <rPr>
        <rFont val="ＭＳ Ｐゴシック"/>
        <sz val="10.0"/>
      </rPr>
      <t xml:space="preserve">　ところがその矢先、正一が突然意識障害を起こす。辻村</t>
    </r>
    <r>
      <rPr>
        <rFont val="Arial"/>
        <sz val="10.0"/>
      </rPr>
      <t>(</t>
    </r>
    <r>
      <rPr>
        <rFont val="ＭＳ Ｐゴシック"/>
        <sz val="10.0"/>
      </rPr>
      <t>鈴木伸之</t>
    </r>
    <r>
      <rPr>
        <rFont val="Arial"/>
        <sz val="10.0"/>
      </rPr>
      <t>)</t>
    </r>
    <r>
      <rPr>
        <rFont val="ＭＳ Ｐゴシック"/>
        <sz val="10.0"/>
      </rPr>
      <t>ら甘春総合病院の医師には正一の治療をできる人間がいなかった。すると杏は、自分がやると言い出し</t>
    </r>
    <r>
      <rPr>
        <rFont val="Arial"/>
        <sz val="10.0"/>
      </rPr>
      <t>…</t>
    </r>
    <r>
      <rPr>
        <rFont val="ＭＳ Ｐゴシック"/>
        <sz val="10.0"/>
      </rPr>
      <t>。そして、その杏を見つめる唯織はある決断をする</t>
    </r>
    <r>
      <rPr>
        <rFont val="Arial"/>
        <sz val="10.0"/>
      </rPr>
      <t>…</t>
    </r>
    <r>
      <rPr>
        <rFont val="ＭＳ Ｐゴシック"/>
        <sz val="10.0"/>
      </rPr>
      <t>。</t>
    </r>
  </si>
  <si>
    <t xml:space="preserve">　唯織(窪田正孝)は、杏(本田翼)の父で、甘春総合病院の前院長・正一(佐戸井けん太)が、うつ病ではなく、別の病気ではないかと考える。全身の慢性的疲労感、起立性頭痛に苦しんでいる正一は、発症前、自転車に追突され、その後、飛行機に乗っていた。ヒントになったのは、裕乃(広瀬アリス)が手伝っていた造影CTの際に、チューブから造影剤が漏れたことだった。  　小野寺(遠藤憲一)らの協力を得て唯織が行ったのは、MRI検査と、髄液漏れの検査だった。その画像を見た唯織は、正一が低髄液圧症であることを確信する。正一は、追突事故で硬膜に穴が開き、飛行機に乗った際の気圧の変化と乱気流の振動によって低髄液圧症を発症したものと考えられた。髄液が減って脳が下垂したために、起立時に頭痛やめまいに襲われていたのだ。正一の病気が手術で治る可能性があると知り、喜ぶ杏。  　ところがその矢先、正一が突然意識障害を起こす。辻村(鈴木伸之)ら甘春総合病院の医師には正一の治療をできる人間がいなかった。すると杏は、自分がやると言い出し…。そして、その杏を見つめる唯織はある決断をする…。</t>
  </si>
  <si>
    <t>番組名ラジエーションハウス特別編～旅立ち～【ラストフライト!!】</t>
  </si>
  <si>
    <r>
      <rPr>
        <rFont val="ＭＳ Ｐゴシック"/>
        <sz val="10.0"/>
      </rPr>
      <t>唯織</t>
    </r>
    <r>
      <rPr>
        <rFont val="Arial"/>
        <sz val="10.0"/>
      </rPr>
      <t>(</t>
    </r>
    <r>
      <rPr>
        <rFont val="ＭＳ Ｐゴシック"/>
        <sz val="10.0"/>
      </rPr>
      <t>窪田正孝</t>
    </r>
    <r>
      <rPr>
        <rFont val="Arial"/>
        <sz val="10.0"/>
      </rPr>
      <t>)</t>
    </r>
    <r>
      <rPr>
        <rFont val="ＭＳ Ｐゴシック"/>
        <sz val="10.0"/>
      </rPr>
      <t>は、杏</t>
    </r>
    <r>
      <rPr>
        <rFont val="Arial"/>
        <sz val="10.0"/>
      </rPr>
      <t>(</t>
    </r>
    <r>
      <rPr>
        <rFont val="ＭＳ Ｐゴシック"/>
        <sz val="10.0"/>
      </rPr>
      <t>本田翼</t>
    </r>
    <r>
      <rPr>
        <rFont val="Arial"/>
        <sz val="10.0"/>
      </rPr>
      <t>)</t>
    </r>
    <r>
      <rPr>
        <rFont val="ＭＳ Ｐゴシック"/>
        <sz val="10.0"/>
      </rPr>
      <t>との</t>
    </r>
    <r>
      <rPr>
        <rFont val="Arial"/>
        <sz val="10.0"/>
      </rPr>
      <t>“</t>
    </r>
    <r>
      <rPr>
        <rFont val="ＭＳ Ｐゴシック"/>
        <sz val="10.0"/>
      </rPr>
      <t>新しい約束</t>
    </r>
    <r>
      <rPr>
        <rFont val="Arial"/>
        <sz val="10.0"/>
      </rPr>
      <t>"</t>
    </r>
    <r>
      <rPr>
        <rFont val="ＭＳ Ｐゴシック"/>
        <sz val="10.0"/>
      </rPr>
      <t>を胸に、ラジエーションハウスの仲間たちに別れを告げてアメリカへと旅立った。その機内で</t>
    </r>
    <r>
      <rPr>
        <rFont val="Arial"/>
        <sz val="10.0"/>
      </rPr>
      <t>1</t>
    </r>
    <r>
      <rPr>
        <rFont val="ＭＳ Ｐゴシック"/>
        <sz val="10.0"/>
      </rPr>
      <t>枚の写真を見ていた唯織は、不意に背後から「いい写真だね」と声をかけられる。その声の主は、世界的な写真家の菊島亨だった。以前、唯織は、頭痛を訴えて甘春総合病院に搬送されてきた菊島が寄生虫に侵されていたことを突き止めていた。菊島はサンフランシスコ経由でアラスカに向かい、流星群を撮影する予定だという。同じ頃、甘春総合病院には高校球児の平山良平</t>
    </r>
    <r>
      <rPr>
        <rFont val="Arial"/>
        <sz val="10.0"/>
      </rPr>
      <t>(</t>
    </r>
    <r>
      <rPr>
        <rFont val="ＭＳ Ｐゴシック"/>
        <sz val="10.0"/>
      </rPr>
      <t>前田旺志郎</t>
    </r>
    <r>
      <rPr>
        <rFont val="Arial"/>
        <sz val="10.0"/>
      </rPr>
      <t>)</t>
    </r>
    <r>
      <rPr>
        <rFont val="ＭＳ Ｐゴシック"/>
        <sz val="10.0"/>
      </rPr>
      <t>がやってくる。右ひじの痛みを訴える良平のレントゲン検査を始める小野寺</t>
    </r>
    <r>
      <rPr>
        <rFont val="Arial"/>
        <sz val="10.0"/>
      </rPr>
      <t>(</t>
    </r>
    <r>
      <rPr>
        <rFont val="ＭＳ Ｐゴシック"/>
        <sz val="10.0"/>
      </rPr>
      <t>遠藤憲一</t>
    </r>
    <r>
      <rPr>
        <rFont val="Arial"/>
        <sz val="10.0"/>
      </rPr>
      <t>)</t>
    </r>
    <r>
      <rPr>
        <rFont val="ＭＳ Ｐゴシック"/>
        <sz val="10.0"/>
      </rPr>
      <t>。一方、良平が将来を有望視されている投手だと知った軒下</t>
    </r>
    <r>
      <rPr>
        <rFont val="Arial"/>
        <sz val="10.0"/>
      </rPr>
      <t>(</t>
    </r>
    <r>
      <rPr>
        <rFont val="ＭＳ Ｐゴシック"/>
        <sz val="10.0"/>
      </rPr>
      <t>浜野謙太</t>
    </r>
    <r>
      <rPr>
        <rFont val="Arial"/>
        <sz val="10.0"/>
      </rPr>
      <t>)</t>
    </r>
    <r>
      <rPr>
        <rFont val="ＭＳ Ｐゴシック"/>
        <sz val="10.0"/>
      </rPr>
      <t>は、裕乃</t>
    </r>
    <r>
      <rPr>
        <rFont val="Arial"/>
        <sz val="10.0"/>
      </rPr>
      <t>(</t>
    </r>
    <r>
      <rPr>
        <rFont val="ＭＳ Ｐゴシック"/>
        <sz val="10.0"/>
      </rPr>
      <t>広瀬アリス</t>
    </r>
    <r>
      <rPr>
        <rFont val="Arial"/>
        <sz val="10.0"/>
      </rPr>
      <t>)</t>
    </r>
    <r>
      <rPr>
        <rFont val="ＭＳ Ｐゴシック"/>
        <sz val="10.0"/>
      </rPr>
      <t>にサインをもらってくるよう命じ</t>
    </r>
    <r>
      <rPr>
        <rFont val="Arial"/>
        <sz val="10.0"/>
      </rPr>
      <t>…</t>
    </r>
    <r>
      <rPr>
        <rFont val="ＭＳ Ｐゴシック"/>
        <sz val="10.0"/>
      </rPr>
      <t>。菊島は、唯織が意中の人に告白できないまま、また離れ離れになると知ってあわれみの目を向ける。そんな矢先、機内で外国人男性が突然苦しみだした。アナウンスで医療関係者を探す</t>
    </r>
    <r>
      <rPr>
        <rFont val="Arial"/>
        <sz val="10.0"/>
      </rPr>
      <t>CA</t>
    </r>
    <r>
      <rPr>
        <rFont val="ＭＳ Ｐゴシック"/>
        <sz val="10.0"/>
      </rPr>
      <t>の鶴田夏葉</t>
    </r>
    <r>
      <rPr>
        <rFont val="Arial"/>
        <sz val="10.0"/>
      </rPr>
      <t>(</t>
    </r>
    <r>
      <rPr>
        <rFont val="ＭＳ Ｐゴシック"/>
        <sz val="10.0"/>
      </rPr>
      <t>須藤理彩</t>
    </r>
    <r>
      <rPr>
        <rFont val="Arial"/>
        <sz val="10.0"/>
      </rPr>
      <t>)</t>
    </r>
    <r>
      <rPr>
        <rFont val="ＭＳ Ｐゴシック"/>
        <sz val="10.0"/>
      </rPr>
      <t>や内田彩</t>
    </r>
    <r>
      <rPr>
        <rFont val="Arial"/>
        <sz val="10.0"/>
      </rPr>
      <t>(</t>
    </r>
    <r>
      <rPr>
        <rFont val="ＭＳ Ｐゴシック"/>
        <sz val="10.0"/>
      </rPr>
      <t>東加奈子</t>
    </r>
    <r>
      <rPr>
        <rFont val="Arial"/>
        <sz val="10.0"/>
      </rPr>
      <t>)</t>
    </r>
    <r>
      <rPr>
        <rFont val="ＭＳ Ｐゴシック"/>
        <sz val="10.0"/>
      </rPr>
      <t>たち。すると、乗り合わせていた東和医大の内科医・黒川守が男性の元へと駆け寄った。しかし男性は、発作を起こしていて黒川の質問にも答えられず</t>
    </r>
    <r>
      <rPr>
        <rFont val="Arial"/>
        <sz val="10.0"/>
      </rPr>
      <t>…</t>
    </r>
    <r>
      <rPr>
        <rFont val="ＭＳ Ｐゴシック"/>
        <sz val="10.0"/>
      </rPr>
      <t>。その様子をつぶさに観察していた唯織は、男性の腹部に発赤があることに気づくが</t>
    </r>
    <r>
      <rPr>
        <rFont val="Arial"/>
        <sz val="10.0"/>
      </rPr>
      <t>…</t>
    </r>
    <r>
      <rPr>
        <rFont val="ＭＳ Ｐゴシック"/>
        <sz val="10.0"/>
      </rPr>
      <t>。</t>
    </r>
  </si>
  <si>
    <t>唯織(窪田正孝)は、杏(本田翼)との“新しい約束"を胸に、ラジエーションハウスの仲間たちに別れを告げてアメリカへと旅立った。その機内で1枚の写真を見ていた唯織は、不意に背後から「いい写真だね」と声をかけられる。その声の主は、世界的な写真家の菊島亨だった。以前、唯織は、頭痛を訴えて甘春総合病院に搬送されてきた菊島が寄生虫に侵されていたことを突き止めていた。菊島はサンフランシスコ経由でアラスカに向かい、流星群を撮影する予定だという。同じ頃、甘春総合病院には高校球児の平山良平(前田旺志郎)がやってくる。右ひじの痛みを訴える良平のレントゲン検査を始める小野寺(遠藤憲一)。一方、良平が将来を有望視されている投手だと知った軒下(浜野謙太)は、裕乃(広瀬アリス)にサインをもらってくるよう命じ…。菊島は、唯織が意中の人に告白できないまま、また離れ離れになると知ってあわれみの目を向ける。そんな矢先、機内で外国人男性が突然苦しみだした。アナウンスで医療関係者を探すCAの鶴田夏葉(須藤理彩)や内田彩(東加奈子)たち。すると、乗り合わせていた東和医大の内科医・黒川守が男性の元へと駆け寄った。しかし男性は、発作を起こしていて黒川の質問にも答えられず…。その様子をつぶさに観察していた唯織は、男性の腹部に発赤があることに気づくが…。</t>
  </si>
  <si>
    <t>1904_CX_火21</t>
  </si>
  <si>
    <t>パーフェクトワールド</t>
  </si>
  <si>
    <t>番組名パーフェクトワールド【松坂桃李主演の純愛ラブストーリー/山本美月】　#01</t>
  </si>
  <si>
    <r>
      <t>12</t>
    </r>
    <r>
      <rPr>
        <rFont val="ＭＳ Ｐゴシック"/>
        <sz val="10.0"/>
      </rPr>
      <t>年ぶりの再会は偶然か、それとも運命かーー。恋をあきらめた鮎川樹</t>
    </r>
    <r>
      <rPr>
        <rFont val="Arial"/>
        <sz val="10.0"/>
      </rPr>
      <t>(</t>
    </r>
    <r>
      <rPr>
        <rFont val="ＭＳ Ｐゴシック"/>
        <sz val="10.0"/>
      </rPr>
      <t>松坂桃李</t>
    </r>
    <r>
      <rPr>
        <rFont val="Arial"/>
        <sz val="10.0"/>
      </rPr>
      <t>)</t>
    </r>
    <r>
      <rPr>
        <rFont val="ＭＳ Ｐゴシック"/>
        <sz val="10.0"/>
      </rPr>
      <t>と、初恋相手への恋心がよみがえる川奈つぐみ</t>
    </r>
    <r>
      <rPr>
        <rFont val="Arial"/>
        <sz val="10.0"/>
      </rPr>
      <t>(</t>
    </r>
    <r>
      <rPr>
        <rFont val="ＭＳ Ｐゴシック"/>
        <sz val="10.0"/>
      </rPr>
      <t>山本美月</t>
    </r>
    <r>
      <rPr>
        <rFont val="Arial"/>
        <sz val="10.0"/>
      </rPr>
      <t>)</t>
    </r>
    <r>
      <rPr>
        <rFont val="ＭＳ Ｐゴシック"/>
        <sz val="10.0"/>
      </rPr>
      <t>。二人の愛の物語が今始まる。</t>
    </r>
    <r>
      <rPr>
        <rFont val="Arial"/>
        <sz val="10.0"/>
      </rPr>
      <t xml:space="preserve">    </t>
    </r>
    <r>
      <rPr>
        <rFont val="ＭＳ Ｐゴシック"/>
        <sz val="10.0"/>
      </rPr>
      <t>建築士の鮎川樹</t>
    </r>
    <r>
      <rPr>
        <rFont val="Arial"/>
        <sz val="10.0"/>
      </rPr>
      <t>(</t>
    </r>
    <r>
      <rPr>
        <rFont val="ＭＳ Ｐゴシック"/>
        <sz val="10.0"/>
      </rPr>
      <t>松坂</t>
    </r>
    <r>
      <rPr>
        <rFont val="Arial"/>
        <sz val="10.0"/>
      </rPr>
      <t>)</t>
    </r>
    <r>
      <rPr>
        <rFont val="ＭＳ Ｐゴシック"/>
        <sz val="10.0"/>
      </rPr>
      <t>は、大学生の時に事故に遭った事が原因で脊髄を損傷し、下半身が不随に。「恋愛も、好きだったバスケットボールももうしない」と心に固く決めていた。そんなある日、高校時代の同級生・川奈つぐみ</t>
    </r>
    <r>
      <rPr>
        <rFont val="Arial"/>
        <sz val="10.0"/>
      </rPr>
      <t>(</t>
    </r>
    <r>
      <rPr>
        <rFont val="ＭＳ Ｐゴシック"/>
        <sz val="10.0"/>
      </rPr>
      <t>山本</t>
    </r>
    <r>
      <rPr>
        <rFont val="Arial"/>
        <sz val="10.0"/>
      </rPr>
      <t>)</t>
    </r>
    <r>
      <rPr>
        <rFont val="ＭＳ Ｐゴシック"/>
        <sz val="10.0"/>
      </rPr>
      <t>と再会。閉ざされていた樹の心が、少しずつ開かれていくー。</t>
    </r>
    <r>
      <rPr>
        <rFont val="Arial"/>
        <sz val="10.0"/>
      </rPr>
      <t xml:space="preserve">    </t>
    </r>
    <r>
      <rPr>
        <rFont val="ＭＳ Ｐゴシック"/>
        <sz val="10.0"/>
      </rPr>
      <t>二人の前には、さまざまな困難が立ちはだかる。つぐみを一途に想い続ける幼なじみ・是枝洋貴</t>
    </r>
    <r>
      <rPr>
        <rFont val="Arial"/>
        <sz val="10.0"/>
      </rPr>
      <t>(</t>
    </r>
    <r>
      <rPr>
        <rFont val="ＭＳ Ｐゴシック"/>
        <sz val="10.0"/>
      </rPr>
      <t>瀬戸康史</t>
    </r>
    <r>
      <rPr>
        <rFont val="Arial"/>
        <sz val="10.0"/>
      </rPr>
      <t>)</t>
    </r>
    <r>
      <rPr>
        <rFont val="ＭＳ Ｐゴシック"/>
        <sz val="10.0"/>
      </rPr>
      <t>。自暴自棄になっていた樹を励まし続けた恩人・長沢葵</t>
    </r>
    <r>
      <rPr>
        <rFont val="Arial"/>
        <sz val="10.0"/>
      </rPr>
      <t>(</t>
    </r>
    <r>
      <rPr>
        <rFont val="ＭＳ Ｐゴシック"/>
        <sz val="10.0"/>
      </rPr>
      <t>中村ゆり</t>
    </r>
    <r>
      <rPr>
        <rFont val="Arial"/>
        <sz val="10.0"/>
      </rPr>
      <t>)</t>
    </r>
    <r>
      <rPr>
        <rFont val="ＭＳ Ｐゴシック"/>
        <sz val="10.0"/>
      </rPr>
      <t>。突然障がい者となった息子を誰よりも心配する樹の母・文乃</t>
    </r>
    <r>
      <rPr>
        <rFont val="Arial"/>
        <sz val="10.0"/>
      </rPr>
      <t>(</t>
    </r>
    <r>
      <rPr>
        <rFont val="ＭＳ Ｐゴシック"/>
        <sz val="10.0"/>
      </rPr>
      <t>麻生祐未</t>
    </r>
    <r>
      <rPr>
        <rFont val="Arial"/>
        <sz val="10.0"/>
      </rPr>
      <t>)</t>
    </r>
    <r>
      <rPr>
        <rFont val="ＭＳ Ｐゴシック"/>
        <sz val="10.0"/>
      </rPr>
      <t>。樹との恋に反対するつぐみの父・元久</t>
    </r>
    <r>
      <rPr>
        <rFont val="Arial"/>
        <sz val="10.0"/>
      </rPr>
      <t>(</t>
    </r>
    <r>
      <rPr>
        <rFont val="ＭＳ Ｐゴシック"/>
        <sz val="10.0"/>
      </rPr>
      <t>松重豊</t>
    </r>
    <r>
      <rPr>
        <rFont val="Arial"/>
        <sz val="10.0"/>
      </rPr>
      <t>)</t>
    </r>
    <r>
      <rPr>
        <rFont val="ＭＳ Ｐゴシック"/>
        <sz val="10.0"/>
      </rPr>
      <t>。お互いを「幸せにしたい」と思えば思うほど、二人はすれ違いー。無限の可能性が広がる中で、樹とつぐみが選ぶ未来とはー</t>
    </r>
    <r>
      <rPr>
        <rFont val="Arial"/>
        <sz val="10.0"/>
      </rPr>
      <t>?</t>
    </r>
  </si>
  <si>
    <t>12年ぶりの再会は偶然か、それとも運命かーー。恋をあきらめた鮎川樹(松坂桃李)と、初恋相手への恋心がよみがえる川奈つぐみ(山本美月)。二人の愛の物語が今始まる。    建築士の鮎川樹(松坂)は、大学生の時に事故に遭った事が原因で脊髄を損傷し、下半身が不随に。「恋愛も、好きだったバスケットボールももうしない」と心に固く決めていた。そんなある日、高校時代の同級生・川奈つぐみ(山本)と再会。閉ざされていた樹の心が、少しずつ開かれていくー。    二人の前には、さまざまな困難が立ちはだかる。つぐみを一途に想い続ける幼なじみ・是枝洋貴(瀬戸康史)。自暴自棄になっていた樹を励まし続けた恩人・長沢葵(中村ゆり)。突然障がい者となった息子を誰よりも心配する樹の母・文乃(麻生祐未)。樹との恋に反対するつぐみの父・元久(松重豊)。お互いを「幸せにしたい」と思えば思うほど、二人はすれ違いー。無限の可能性が広がる中で、樹とつぐみが選ぶ未来とはー?</t>
  </si>
  <si>
    <t>番組名パーフェクトワールド【車いす建築士と近づく程、遠くなるー急転する恋】　#02</t>
  </si>
  <si>
    <r>
      <rPr>
        <rFont val="ＭＳ Ｐゴシック"/>
        <sz val="10.0"/>
      </rPr>
      <t>大事なコンペ前に無理を重ね、病気を発症し入院した樹</t>
    </r>
    <r>
      <rPr>
        <rFont val="Arial"/>
        <sz val="10.0"/>
      </rPr>
      <t>(</t>
    </r>
    <r>
      <rPr>
        <rFont val="ＭＳ Ｐゴシック"/>
        <sz val="10.0"/>
      </rPr>
      <t>松坂桃李</t>
    </r>
    <r>
      <rPr>
        <rFont val="Arial"/>
        <sz val="10.0"/>
      </rPr>
      <t>)</t>
    </r>
    <r>
      <rPr>
        <rFont val="ＭＳ Ｐゴシック"/>
        <sz val="10.0"/>
      </rPr>
      <t>。しかし、つぐみ</t>
    </r>
    <r>
      <rPr>
        <rFont val="Arial"/>
        <sz val="10.0"/>
      </rPr>
      <t>(</t>
    </r>
    <r>
      <rPr>
        <rFont val="ＭＳ Ｐゴシック"/>
        <sz val="10.0"/>
      </rPr>
      <t>山本美月</t>
    </r>
    <r>
      <rPr>
        <rFont val="Arial"/>
        <sz val="10.0"/>
      </rPr>
      <t>)</t>
    </r>
    <r>
      <rPr>
        <rFont val="ＭＳ Ｐゴシック"/>
        <sz val="10.0"/>
      </rPr>
      <t>のサポートもあり、念願だった仕事を見事勝ち取る。それがきっかけで</t>
    </r>
    <r>
      <rPr>
        <rFont val="Arial"/>
        <sz val="10.0"/>
      </rPr>
      <t>2</t>
    </r>
    <r>
      <rPr>
        <rFont val="ＭＳ Ｐゴシック"/>
        <sz val="10.0"/>
      </rPr>
      <t>人の距離は急速に縮まるが、樹の元担当看護師でヘルパーの長沢葵</t>
    </r>
    <r>
      <rPr>
        <rFont val="Arial"/>
        <sz val="10.0"/>
      </rPr>
      <t>(</t>
    </r>
    <r>
      <rPr>
        <rFont val="ＭＳ Ｐゴシック"/>
        <sz val="10.0"/>
      </rPr>
      <t>中村ゆり</t>
    </r>
    <r>
      <rPr>
        <rFont val="Arial"/>
        <sz val="10.0"/>
      </rPr>
      <t>)</t>
    </r>
    <r>
      <rPr>
        <rFont val="ＭＳ Ｐゴシック"/>
        <sz val="10.0"/>
      </rPr>
      <t>が現れ、樹が彼女に絶大な信頼を寄せていることを悟ったつぐみは胸がざわつく。一方、つぐみが樹の影響でインテリアデザイナーの勉強を始めたことを知った洋貴</t>
    </r>
    <r>
      <rPr>
        <rFont val="Arial"/>
        <sz val="10.0"/>
      </rPr>
      <t>(</t>
    </r>
    <r>
      <rPr>
        <rFont val="ＭＳ Ｐゴシック"/>
        <sz val="10.0"/>
      </rPr>
      <t>瀬戸康史</t>
    </r>
    <r>
      <rPr>
        <rFont val="Arial"/>
        <sz val="10.0"/>
      </rPr>
      <t>)</t>
    </r>
    <r>
      <rPr>
        <rFont val="ＭＳ Ｐゴシック"/>
        <sz val="10.0"/>
      </rPr>
      <t>もまた、つぐみの中で大きくなる樹の存在に焦っていた。</t>
    </r>
    <r>
      <rPr>
        <rFont val="Arial"/>
        <sz val="10.0"/>
      </rPr>
      <t xml:space="preserve">    </t>
    </r>
    <r>
      <rPr>
        <rFont val="ＭＳ Ｐゴシック"/>
        <sz val="10.0"/>
      </rPr>
      <t>ある日、つぐみに行きたいところがあると誘われた樹。着いた場所は体育館で、そこでは車いすバスケの練習が行われていた。実はつぐみは、樹の同僚の晴人</t>
    </r>
    <r>
      <rPr>
        <rFont val="Arial"/>
        <sz val="10.0"/>
      </rPr>
      <t>(</t>
    </r>
    <r>
      <rPr>
        <rFont val="ＭＳ Ｐゴシック"/>
        <sz val="10.0"/>
      </rPr>
      <t>松村北斗</t>
    </r>
    <r>
      <rPr>
        <rFont val="Arial"/>
        <sz val="10.0"/>
      </rPr>
      <t>)</t>
    </r>
    <r>
      <rPr>
        <rFont val="ＭＳ Ｐゴシック"/>
        <sz val="10.0"/>
      </rPr>
      <t>から、樹を練習に連れてきてほしいと頼まれていたのだ。恋愛同様、バスケも一生しないと決めていた樹は、練習への参加を拒むが、つぐみの頼みもあり、晴人の申し出を渋々受け入れる。やがて、バスケの楽しさを思い出した樹はチームに入ることを決意。つぐみも久しぶりに見た樹のまぶしい笑顔にくぎ付けになるが、半面、樹が自分を恋愛対象にならないことに、歯がゆさを感じていた。</t>
    </r>
    <r>
      <rPr>
        <rFont val="Arial"/>
        <sz val="10.0"/>
      </rPr>
      <t xml:space="preserve">    </t>
    </r>
    <r>
      <rPr>
        <rFont val="ＭＳ Ｐゴシック"/>
        <sz val="10.0"/>
      </rPr>
      <t>その頃、樹のマンションでは母親の文乃</t>
    </r>
    <r>
      <rPr>
        <rFont val="Arial"/>
        <sz val="10.0"/>
      </rPr>
      <t>(</t>
    </r>
    <r>
      <rPr>
        <rFont val="ＭＳ Ｐゴシック"/>
        <sz val="10.0"/>
      </rPr>
      <t>麻生祐未</t>
    </r>
    <r>
      <rPr>
        <rFont val="Arial"/>
        <sz val="10.0"/>
      </rPr>
      <t>)</t>
    </r>
    <r>
      <rPr>
        <rFont val="ＭＳ Ｐゴシック"/>
        <sz val="10.0"/>
      </rPr>
      <t>が息子の帰りを待っていた。樹とつぐみの距離感に、文乃はつぐみが樹の新しい恋人だと思って喜ぶが、樹は即座に否定。「ただの友達」という樹の言葉は、つぐみの耳にも届いてしまいショックを受ける</t>
    </r>
    <r>
      <rPr>
        <rFont val="Arial"/>
        <sz val="10.0"/>
      </rPr>
      <t>……</t>
    </r>
    <r>
      <rPr>
        <rFont val="ＭＳ Ｐゴシック"/>
        <sz val="10.0"/>
      </rPr>
      <t>。</t>
    </r>
  </si>
  <si>
    <t>大事なコンペ前に無理を重ね、病気を発症し入院した樹(松坂桃李)。しかし、つぐみ(山本美月)のサポートもあり、念願だった仕事を見事勝ち取る。それがきっかけで2人の距離は急速に縮まるが、樹の元担当看護師でヘルパーの長沢葵(中村ゆり)が現れ、樹が彼女に絶大な信頼を寄せていることを悟ったつぐみは胸がざわつく。一方、つぐみが樹の影響でインテリアデザイナーの勉強を始めたことを知った洋貴(瀬戸康史)もまた、つぐみの中で大きくなる樹の存在に焦っていた。    ある日、つぐみに行きたいところがあると誘われた樹。着いた場所は体育館で、そこでは車いすバスケの練習が行われていた。実はつぐみは、樹の同僚の晴人(松村北斗)から、樹を練習に連れてきてほしいと頼まれていたのだ。恋愛同様、バスケも一生しないと決めていた樹は、練習への参加を拒むが、つぐみの頼みもあり、晴人の申し出を渋々受け入れる。やがて、バスケの楽しさを思い出した樹はチームに入ることを決意。つぐみも久しぶりに見た樹のまぶしい笑顔にくぎ付けになるが、半面、樹が自分を恋愛対象にならないことに、歯がゆさを感じていた。    その頃、樹のマンションでは母親の文乃(麻生祐未)が息子の帰りを待っていた。樹とつぐみの距離感に、文乃はつぐみが樹の新しい恋人だと思って喜ぶが、樹は即座に否定。「ただの友達」という樹の言葉は、つぐみの耳にも届いてしまいショックを受ける……。</t>
  </si>
  <si>
    <t>番組名パーフェクトワールド【付き合い始める2人…はばむ親、恋敵の障壁】　#03</t>
  </si>
  <si>
    <r>
      <rPr>
        <rFont val="ＭＳ Ｐゴシック"/>
        <sz val="10.0"/>
      </rPr>
      <t>事故で下半身不随になってしまったことで、恋愛をあきらめていた樹</t>
    </r>
    <r>
      <rPr>
        <rFont val="Arial"/>
        <sz val="10.0"/>
      </rPr>
      <t>(</t>
    </r>
    <r>
      <rPr>
        <rFont val="ＭＳ Ｐゴシック"/>
        <sz val="10.0"/>
      </rPr>
      <t>松坂桃李</t>
    </r>
    <r>
      <rPr>
        <rFont val="Arial"/>
        <sz val="10.0"/>
      </rPr>
      <t>)</t>
    </r>
    <r>
      <rPr>
        <rFont val="ＭＳ Ｐゴシック"/>
        <sz val="10.0"/>
      </rPr>
      <t>は、つぐみ</t>
    </r>
    <r>
      <rPr>
        <rFont val="Arial"/>
        <sz val="10.0"/>
      </rPr>
      <t>(</t>
    </r>
    <r>
      <rPr>
        <rFont val="ＭＳ Ｐゴシック"/>
        <sz val="10.0"/>
      </rPr>
      <t>山本美月</t>
    </r>
    <r>
      <rPr>
        <rFont val="Arial"/>
        <sz val="10.0"/>
      </rPr>
      <t>)</t>
    </r>
    <r>
      <rPr>
        <rFont val="ＭＳ Ｐゴシック"/>
        <sz val="10.0"/>
      </rPr>
      <t>の思いを一度は拒んだものの、すべてを受け入れるというつぐみの覚悟に胸をうたれ、樹はもう一度、恋愛してみようと思い直す。</t>
    </r>
    <r>
      <rPr>
        <rFont val="Arial"/>
        <sz val="10.0"/>
      </rPr>
      <t>2</t>
    </r>
    <r>
      <rPr>
        <rFont val="ＭＳ Ｐゴシック"/>
        <sz val="10.0"/>
      </rPr>
      <t>人は、江の島へ出かけたり、恋人らしいデートを重ねる。一方、つぐみにプロポーズすることまで考えていた洋貴</t>
    </r>
    <r>
      <rPr>
        <rFont val="Arial"/>
        <sz val="10.0"/>
      </rPr>
      <t>(</t>
    </r>
    <r>
      <rPr>
        <rFont val="ＭＳ Ｐゴシック"/>
        <sz val="10.0"/>
      </rPr>
      <t>瀬戸康史</t>
    </r>
    <r>
      <rPr>
        <rFont val="Arial"/>
        <sz val="10.0"/>
      </rPr>
      <t>)</t>
    </r>
    <r>
      <rPr>
        <rFont val="ＭＳ Ｐゴシック"/>
        <sz val="10.0"/>
      </rPr>
      <t>は内心では大きなショックを受けていた。</t>
    </r>
    <r>
      <rPr>
        <rFont val="Arial"/>
        <sz val="10.0"/>
      </rPr>
      <t xml:space="preserve">  </t>
    </r>
    <r>
      <rPr>
        <rFont val="ＭＳ Ｐゴシック"/>
        <sz val="10.0"/>
      </rPr>
      <t>ゴールデンウイークを迎え、樹の運転でつぐみとしおり</t>
    </r>
    <r>
      <rPr>
        <rFont val="Arial"/>
        <sz val="10.0"/>
      </rPr>
      <t>(</t>
    </r>
    <r>
      <rPr>
        <rFont val="ＭＳ Ｐゴシック"/>
        <sz val="10.0"/>
      </rPr>
      <t>岡崎紗絵</t>
    </r>
    <r>
      <rPr>
        <rFont val="Arial"/>
        <sz val="10.0"/>
      </rPr>
      <t>)</t>
    </r>
    <r>
      <rPr>
        <rFont val="ＭＳ Ｐゴシック"/>
        <sz val="10.0"/>
      </rPr>
      <t>は長野へ帰省することに。しおりが、つぐみが樹と付き合っていることを父・元久</t>
    </r>
    <r>
      <rPr>
        <rFont val="Arial"/>
        <sz val="10.0"/>
      </rPr>
      <t>(</t>
    </r>
    <r>
      <rPr>
        <rFont val="ＭＳ Ｐゴシック"/>
        <sz val="10.0"/>
      </rPr>
      <t>松重豊</t>
    </r>
    <r>
      <rPr>
        <rFont val="Arial"/>
        <sz val="10.0"/>
      </rPr>
      <t>)</t>
    </r>
    <r>
      <rPr>
        <rFont val="ＭＳ Ｐゴシック"/>
        <sz val="10.0"/>
      </rPr>
      <t>が知ったら</t>
    </r>
    <r>
      <rPr>
        <rFont val="Arial"/>
        <sz val="10.0"/>
      </rPr>
      <t>…</t>
    </r>
    <r>
      <rPr>
        <rFont val="ＭＳ Ｐゴシック"/>
        <sz val="10.0"/>
      </rPr>
      <t>と懸念していたところ、元久と偶然鉢合わせ。樹は窓を開けてきちんとあいさつするが、元久は車から降りなかった樹を礼儀知らずだと一刀両断。その言葉にひっかかった、つぐみは思わず、樹の障がいのことを打ち明ける。すると元久は大激怒。母の咲子</t>
    </r>
    <r>
      <rPr>
        <rFont val="Arial"/>
        <sz val="10.0"/>
      </rPr>
      <t>(</t>
    </r>
    <r>
      <rPr>
        <rFont val="ＭＳ Ｐゴシック"/>
        <sz val="10.0"/>
      </rPr>
      <t>堀内敬子</t>
    </r>
    <r>
      <rPr>
        <rFont val="Arial"/>
        <sz val="10.0"/>
      </rPr>
      <t>)</t>
    </r>
    <r>
      <rPr>
        <rFont val="ＭＳ Ｐゴシック"/>
        <sz val="10.0"/>
      </rPr>
      <t>もつぐみの将来を心配する。翌日、樹とつぐみは美姫</t>
    </r>
    <r>
      <rPr>
        <rFont val="Arial"/>
        <sz val="10.0"/>
      </rPr>
      <t>(</t>
    </r>
    <r>
      <rPr>
        <rFont val="ＭＳ Ｐゴシック"/>
        <sz val="10.0"/>
      </rPr>
      <t>水沢エレナ</t>
    </r>
    <r>
      <rPr>
        <rFont val="Arial"/>
        <sz val="10.0"/>
      </rPr>
      <t>)</t>
    </r>
    <r>
      <rPr>
        <rFont val="ＭＳ Ｐゴシック"/>
        <sz val="10.0"/>
      </rPr>
      <t>に呼び出されて公園のカフェへ。そこには、洋貴も来ていて、同級生</t>
    </r>
    <r>
      <rPr>
        <rFont val="Arial"/>
        <sz val="10.0"/>
      </rPr>
      <t>4</t>
    </r>
    <r>
      <rPr>
        <rFont val="ＭＳ Ｐゴシック"/>
        <sz val="10.0"/>
      </rPr>
      <t>人が集い、懐かしい話に花を咲かせるが、父親のことが気になるつぐみの表情はどこか浮かない。洋貴もまた、つぐみを複雑な思いで見つめていた。</t>
    </r>
    <r>
      <rPr>
        <rFont val="Arial"/>
        <sz val="10.0"/>
      </rPr>
      <t xml:space="preserve">  </t>
    </r>
    <r>
      <rPr>
        <rFont val="ＭＳ Ｐゴシック"/>
        <sz val="10.0"/>
      </rPr>
      <t>東京へ帰ってくると樹の部屋にはヘルパーの葵</t>
    </r>
    <r>
      <rPr>
        <rFont val="Arial"/>
        <sz val="10.0"/>
      </rPr>
      <t>(</t>
    </r>
    <r>
      <rPr>
        <rFont val="ＭＳ Ｐゴシック"/>
        <sz val="10.0"/>
      </rPr>
      <t>中村ゆり</t>
    </r>
    <r>
      <rPr>
        <rFont val="Arial"/>
        <sz val="10.0"/>
      </rPr>
      <t>)</t>
    </r>
    <r>
      <rPr>
        <rFont val="ＭＳ Ｐゴシック"/>
        <sz val="10.0"/>
      </rPr>
      <t>がいた。つぐみを見るなり、明らかに顔を曇らせていく葵。樹の苦悩を見てきた葵は、つぐみに強く詰め寄っていき</t>
    </r>
    <r>
      <rPr>
        <rFont val="Arial"/>
        <sz val="10.0"/>
      </rPr>
      <t>…?</t>
    </r>
  </si>
  <si>
    <t>事故で下半身不随になってしまったことで、恋愛をあきらめていた樹(松坂桃李)は、つぐみ(山本美月)の思いを一度は拒んだものの、すべてを受け入れるというつぐみの覚悟に胸をうたれ、樹はもう一度、恋愛してみようと思い直す。2人は、江の島へ出かけたり、恋人らしいデートを重ねる。一方、つぐみにプロポーズすることまで考えていた洋貴(瀬戸康史)は内心では大きなショックを受けていた。  ゴールデンウイークを迎え、樹の運転でつぐみとしおり(岡崎紗絵)は長野へ帰省することに。しおりが、つぐみが樹と付き合っていることを父・元久(松重豊)が知ったら…と懸念していたところ、元久と偶然鉢合わせ。樹は窓を開けてきちんとあいさつするが、元久は車から降りなかった樹を礼儀知らずだと一刀両断。その言葉にひっかかった、つぐみは思わず、樹の障がいのことを打ち明ける。すると元久は大激怒。母の咲子(堀内敬子)もつぐみの将来を心配する。翌日、樹とつぐみは美姫(水沢エレナ)に呼び出されて公園のカフェへ。そこには、洋貴も来ていて、同級生4人が集い、懐かしい話に花を咲かせるが、父親のことが気になるつぐみの表情はどこか浮かない。洋貴もまた、つぐみを複雑な思いで見つめていた。  東京へ帰ってくると樹の部屋にはヘルパーの葵(中村ゆり)がいた。つぐみを見るなり、明らかに顔を曇らせていく葵。樹の苦悩を見てきた葵は、つぐみに強く詰め寄っていき…?</t>
  </si>
  <si>
    <t>番組名パーフェクトワールド【衝撃の事態を招く一途な想い…】　#04</t>
  </si>
  <si>
    <r>
      <rPr>
        <rFont val="ＭＳ Ｐゴシック"/>
        <sz val="10.0"/>
      </rPr>
      <t>樹</t>
    </r>
    <r>
      <rPr>
        <rFont val="Arial"/>
        <sz val="10.0"/>
      </rPr>
      <t>(</t>
    </r>
    <r>
      <rPr>
        <rFont val="ＭＳ Ｐゴシック"/>
        <sz val="10.0"/>
      </rPr>
      <t>松坂桃李</t>
    </r>
    <r>
      <rPr>
        <rFont val="Arial"/>
        <sz val="10.0"/>
      </rPr>
      <t>)</t>
    </r>
    <r>
      <rPr>
        <rFont val="ＭＳ Ｐゴシック"/>
        <sz val="10.0"/>
      </rPr>
      <t>と葵</t>
    </r>
    <r>
      <rPr>
        <rFont val="Arial"/>
        <sz val="10.0"/>
      </rPr>
      <t>(</t>
    </r>
    <r>
      <rPr>
        <rFont val="ＭＳ Ｐゴシック"/>
        <sz val="10.0"/>
      </rPr>
      <t>中村ゆり</t>
    </r>
    <r>
      <rPr>
        <rFont val="Arial"/>
        <sz val="10.0"/>
      </rPr>
      <t>)</t>
    </r>
    <r>
      <rPr>
        <rFont val="ＭＳ Ｐゴシック"/>
        <sz val="10.0"/>
      </rPr>
      <t>の間に自分が入り込む余地はないことを悟り始めた、つぐみ</t>
    </r>
    <r>
      <rPr>
        <rFont val="Arial"/>
        <sz val="10.0"/>
      </rPr>
      <t>(</t>
    </r>
    <r>
      <rPr>
        <rFont val="ＭＳ Ｐゴシック"/>
        <sz val="10.0"/>
      </rPr>
      <t>山本美月</t>
    </r>
    <r>
      <rPr>
        <rFont val="Arial"/>
        <sz val="10.0"/>
      </rPr>
      <t>)</t>
    </r>
    <r>
      <rPr>
        <rFont val="ＭＳ Ｐゴシック"/>
        <sz val="10.0"/>
      </rPr>
      <t>。それでも、恋人として樹と過ごす時間はなにより幸せで、つぐみは次第に自分が葵に代わって樹を支えたいと思うようになる。一方で、つぐみが献身的に樹を思えば思うほど洋貴</t>
    </r>
    <r>
      <rPr>
        <rFont val="Arial"/>
        <sz val="10.0"/>
      </rPr>
      <t>(</t>
    </r>
    <r>
      <rPr>
        <rFont val="ＭＳ Ｐゴシック"/>
        <sz val="10.0"/>
      </rPr>
      <t>瀬戸康史</t>
    </r>
    <r>
      <rPr>
        <rFont val="Arial"/>
        <sz val="10.0"/>
      </rPr>
      <t>)</t>
    </r>
    <r>
      <rPr>
        <rFont val="ＭＳ Ｐゴシック"/>
        <sz val="10.0"/>
      </rPr>
      <t>の一途な想いも膨れ上がり、つぐみを思わず抱きしめてしまう。洋貴はついに「俺はつぐみが好きだ」と樹に宣戦布告をする。樹の生活をもっとサポートしたいと考えたつぐみは、毎日仕事帰りに樹の家へ。「毎日来てくれなくてもいいんだよ」と気遣いを見せる樹に対し、「会いたいから来てるの」と答えるつぐみだったが、冷蔵庫に葵が作った総菜を見つけてしまい思わず嫉妬してしまう。</t>
    </r>
    <r>
      <rPr>
        <rFont val="Arial"/>
        <sz val="10.0"/>
      </rPr>
      <t xml:space="preserve">    </t>
    </r>
    <r>
      <rPr>
        <rFont val="ＭＳ Ｐゴシック"/>
        <sz val="10.0"/>
      </rPr>
      <t>さらにつぐみは樹に内緒で介護の勉強を始めていた。連日深夜まで猛勉強する姉を見たしおり</t>
    </r>
    <r>
      <rPr>
        <rFont val="Arial"/>
        <sz val="10.0"/>
      </rPr>
      <t>(</t>
    </r>
    <r>
      <rPr>
        <rFont val="ＭＳ Ｐゴシック"/>
        <sz val="10.0"/>
      </rPr>
      <t>岡崎紗絵</t>
    </r>
    <r>
      <rPr>
        <rFont val="Arial"/>
        <sz val="10.0"/>
      </rPr>
      <t>)</t>
    </r>
    <r>
      <rPr>
        <rFont val="ＭＳ Ｐゴシック"/>
        <sz val="10.0"/>
      </rPr>
      <t>は尽くしすぎだとあきれ気味。見かねた洋貴も介護セミナーを終えたつぐみを食事に誘うが、お互いを意識する</t>
    </r>
    <r>
      <rPr>
        <rFont val="Arial"/>
        <sz val="10.0"/>
      </rPr>
      <t>2</t>
    </r>
    <r>
      <rPr>
        <rFont val="ＭＳ Ｐゴシック"/>
        <sz val="10.0"/>
      </rPr>
      <t>人の間には、気まずい空気が流れ</t>
    </r>
    <r>
      <rPr>
        <rFont val="Arial"/>
        <sz val="10.0"/>
      </rPr>
      <t>…</t>
    </r>
    <r>
      <rPr>
        <rFont val="ＭＳ Ｐゴシック"/>
        <sz val="10.0"/>
      </rPr>
      <t>。</t>
    </r>
    <r>
      <rPr>
        <rFont val="Arial"/>
        <sz val="10.0"/>
      </rPr>
      <t xml:space="preserve">    </t>
    </r>
    <r>
      <rPr>
        <rFont val="ＭＳ Ｐゴシック"/>
        <sz val="10.0"/>
      </rPr>
      <t>一方、感覚がないはずの足に激痛が走り眠れずにいた樹。次第に増す痛みに我慢ができなくなり助けを求め、ある人物に電話をかける</t>
    </r>
    <r>
      <rPr>
        <rFont val="Arial"/>
        <sz val="10.0"/>
      </rPr>
      <t>…</t>
    </r>
    <r>
      <rPr>
        <rFont val="ＭＳ Ｐゴシック"/>
        <sz val="10.0"/>
      </rPr>
      <t>。</t>
    </r>
  </si>
  <si>
    <t>樹(松坂桃李)と葵(中村ゆり)の間に自分が入り込む余地はないことを悟り始めた、つぐみ(山本美月)。それでも、恋人として樹と過ごす時間はなにより幸せで、つぐみは次第に自分が葵に代わって樹を支えたいと思うようになる。一方で、つぐみが献身的に樹を思えば思うほど洋貴(瀬戸康史)の一途な想いも膨れ上がり、つぐみを思わず抱きしめてしまう。洋貴はついに「俺はつぐみが好きだ」と樹に宣戦布告をする。樹の生活をもっとサポートしたいと考えたつぐみは、毎日仕事帰りに樹の家へ。「毎日来てくれなくてもいいんだよ」と気遣いを見せる樹に対し、「会いたいから来てるの」と答えるつぐみだったが、冷蔵庫に葵が作った総菜を見つけてしまい思わず嫉妬してしまう。    さらにつぐみは樹に内緒で介護の勉強を始めていた。連日深夜まで猛勉強する姉を見たしおり(岡崎紗絵)は尽くしすぎだとあきれ気味。見かねた洋貴も介護セミナーを終えたつぐみを食事に誘うが、お互いを意識する2人の間には、気まずい空気が流れ…。    一方、感覚がないはずの足に激痛が走り眠れずにいた樹。次第に増す痛みに我慢ができなくなり助けを求め、ある人物に電話をかける…。</t>
  </si>
  <si>
    <t>番組名パーフェクトワールド【駅ホーム転落で最大の危機…迫られる決断】　#05</t>
  </si>
  <si>
    <r>
      <rPr>
        <rFont val="ＭＳ Ｐゴシック"/>
        <sz val="10.0"/>
      </rPr>
      <t>つぐみ</t>
    </r>
    <r>
      <rPr>
        <rFont val="Arial"/>
        <sz val="10.0"/>
      </rPr>
      <t>(</t>
    </r>
    <r>
      <rPr>
        <rFont val="ＭＳ Ｐゴシック"/>
        <sz val="10.0"/>
      </rPr>
      <t>山本美月</t>
    </r>
    <r>
      <rPr>
        <rFont val="Arial"/>
        <sz val="10.0"/>
      </rPr>
      <t>)</t>
    </r>
    <r>
      <rPr>
        <rFont val="ＭＳ Ｐゴシック"/>
        <sz val="10.0"/>
      </rPr>
      <t>が駅のホームから転落した。車いすから懸命に手を伸ばすが届かず、線路に落ちていくつぐみをただ見ているしかできなかった樹</t>
    </r>
    <r>
      <rPr>
        <rFont val="Arial"/>
        <sz val="10.0"/>
      </rPr>
      <t>(</t>
    </r>
    <r>
      <rPr>
        <rFont val="ＭＳ Ｐゴシック"/>
        <sz val="10.0"/>
      </rPr>
      <t>松坂桃李</t>
    </r>
    <r>
      <rPr>
        <rFont val="Arial"/>
        <sz val="10.0"/>
      </rPr>
      <t>)</t>
    </r>
    <r>
      <rPr>
        <rFont val="ＭＳ Ｐゴシック"/>
        <sz val="10.0"/>
      </rPr>
      <t>は、一緒にいたのに助けられなかったと、激しく自分を責める。さらに洋貴</t>
    </r>
    <r>
      <rPr>
        <rFont val="Arial"/>
        <sz val="10.0"/>
      </rPr>
      <t>(</t>
    </r>
    <r>
      <rPr>
        <rFont val="ＭＳ Ｐゴシック"/>
        <sz val="10.0"/>
      </rPr>
      <t>瀬戸康史</t>
    </r>
    <r>
      <rPr>
        <rFont val="Arial"/>
        <sz val="10.0"/>
      </rPr>
      <t>)</t>
    </r>
    <r>
      <rPr>
        <rFont val="ＭＳ Ｐゴシック"/>
        <sz val="10.0"/>
      </rPr>
      <t>から、つぐみが仕事のかたわら、介護セミナーに通っていたことや、身の回りの世話をしようと樹のマンションに毎日通っていたことで、かなりの疲れがたまっていたことを聞かされ、がく然とする。</t>
    </r>
    <r>
      <rPr>
        <rFont val="Arial"/>
        <sz val="10.0"/>
      </rPr>
      <t xml:space="preserve">    </t>
    </r>
    <r>
      <rPr>
        <rFont val="ＭＳ Ｐゴシック"/>
        <sz val="10.0"/>
      </rPr>
      <t>しばらくすると、元久</t>
    </r>
    <r>
      <rPr>
        <rFont val="Arial"/>
        <sz val="10.0"/>
      </rPr>
      <t>(</t>
    </r>
    <r>
      <rPr>
        <rFont val="ＭＳ Ｐゴシック"/>
        <sz val="10.0"/>
      </rPr>
      <t>松重豊</t>
    </r>
    <r>
      <rPr>
        <rFont val="Arial"/>
        <sz val="10.0"/>
      </rPr>
      <t>)</t>
    </r>
    <r>
      <rPr>
        <rFont val="ＭＳ Ｐゴシック"/>
        <sz val="10.0"/>
      </rPr>
      <t>と咲子</t>
    </r>
    <r>
      <rPr>
        <rFont val="Arial"/>
        <sz val="10.0"/>
      </rPr>
      <t>(</t>
    </r>
    <r>
      <rPr>
        <rFont val="ＭＳ Ｐゴシック"/>
        <sz val="10.0"/>
      </rPr>
      <t>堀内敬子</t>
    </r>
    <r>
      <rPr>
        <rFont val="Arial"/>
        <sz val="10.0"/>
      </rPr>
      <t>)</t>
    </r>
    <r>
      <rPr>
        <rFont val="ＭＳ Ｐゴシック"/>
        <sz val="10.0"/>
      </rPr>
      <t>が、入院することになったつぐみの元に駆けつける。まな娘が命の危険にさらされたことに憤りを隠せない元久は、負い目を感じる樹に追い打ちをかけるように、ものすごいけんまくで樹を責める。その言葉に、頭を下げて謝罪することしかできない樹を、葵</t>
    </r>
    <r>
      <rPr>
        <rFont val="Arial"/>
        <sz val="10.0"/>
      </rPr>
      <t>(</t>
    </r>
    <r>
      <rPr>
        <rFont val="ＭＳ Ｐゴシック"/>
        <sz val="10.0"/>
      </rPr>
      <t>中村ゆり</t>
    </r>
    <r>
      <rPr>
        <rFont val="Arial"/>
        <sz val="10.0"/>
      </rPr>
      <t>)</t>
    </r>
    <r>
      <rPr>
        <rFont val="ＭＳ Ｐゴシック"/>
        <sz val="10.0"/>
      </rPr>
      <t>や渡辺</t>
    </r>
    <r>
      <rPr>
        <rFont val="Arial"/>
        <sz val="10.0"/>
      </rPr>
      <t>(</t>
    </r>
    <r>
      <rPr>
        <rFont val="ＭＳ Ｐゴシック"/>
        <sz val="10.0"/>
      </rPr>
      <t>木村祐一</t>
    </r>
    <r>
      <rPr>
        <rFont val="Arial"/>
        <sz val="10.0"/>
      </rPr>
      <t>)</t>
    </r>
    <r>
      <rPr>
        <rFont val="ＭＳ Ｐゴシック"/>
        <sz val="10.0"/>
      </rPr>
      <t>は心配する。翌日、つぐみがしばらく仕事を休み両親の暮らす松本の病院で治療に専念すると聞いた樹は、つぐみに会うために病院を訪れ、元久と偶然再会。つぐみの幸せを願う元久が、樹にあることを伝え</t>
    </r>
    <r>
      <rPr>
        <rFont val="Arial"/>
        <sz val="10.0"/>
      </rPr>
      <t>…</t>
    </r>
    <r>
      <rPr>
        <rFont val="ＭＳ Ｐゴシック"/>
        <sz val="10.0"/>
      </rPr>
      <t>。</t>
    </r>
  </si>
  <si>
    <t>つぐみ(山本美月)が駅のホームから転落した。車いすから懸命に手を伸ばすが届かず、線路に落ちていくつぐみをただ見ているしかできなかった樹(松坂桃李)は、一緒にいたのに助けられなかったと、激しく自分を責める。さらに洋貴(瀬戸康史)から、つぐみが仕事のかたわら、介護セミナーに通っていたことや、身の回りの世話をしようと樹のマンションに毎日通っていたことで、かなりの疲れがたまっていたことを聞かされ、がく然とする。    しばらくすると、元久(松重豊)と咲子(堀内敬子)が、入院することになったつぐみの元に駆けつける。まな娘が命の危険にさらされたことに憤りを隠せない元久は、負い目を感じる樹に追い打ちをかけるように、ものすごいけんまくで樹を責める。その言葉に、頭を下げて謝罪することしかできない樹を、葵(中村ゆり)や渡辺(木村祐一)は心配する。翌日、つぐみがしばらく仕事を休み両親の暮らす松本の病院で治療に専念すると聞いた樹は、つぐみに会うために病院を訪れ、元久と偶然再会。つぐみの幸せを願う元久が、樹にあることを伝え…。</t>
  </si>
  <si>
    <t>番組名パーフェクトワールド【新章スタート!男女が迎える新たな人生】　#06</t>
  </si>
  <si>
    <r>
      <rPr>
        <rFont val="ＭＳ Ｐゴシック"/>
        <sz val="10.0"/>
      </rPr>
      <t>「娘は、自分の代わりに背負って歩いてくれる人に任せたい」ーー娘の幸せを願う元久</t>
    </r>
    <r>
      <rPr>
        <rFont val="Arial"/>
        <sz val="10.0"/>
      </rPr>
      <t>(</t>
    </r>
    <r>
      <rPr>
        <rFont val="ＭＳ Ｐゴシック"/>
        <sz val="10.0"/>
      </rPr>
      <t>松重豊</t>
    </r>
    <r>
      <rPr>
        <rFont val="Arial"/>
        <sz val="10.0"/>
      </rPr>
      <t>)</t>
    </r>
    <r>
      <rPr>
        <rFont val="ＭＳ Ｐゴシック"/>
        <sz val="10.0"/>
      </rPr>
      <t>の言葉がきっかけで、つぐみ</t>
    </r>
    <r>
      <rPr>
        <rFont val="Arial"/>
        <sz val="10.0"/>
      </rPr>
      <t>(</t>
    </r>
    <r>
      <rPr>
        <rFont val="ＭＳ Ｐゴシック"/>
        <sz val="10.0"/>
      </rPr>
      <t>山本美月</t>
    </r>
    <r>
      <rPr>
        <rFont val="Arial"/>
        <sz val="10.0"/>
      </rPr>
      <t>)</t>
    </r>
    <r>
      <rPr>
        <rFont val="ＭＳ Ｐゴシック"/>
        <sz val="10.0"/>
      </rPr>
      <t>との未来について改めて考えた樹</t>
    </r>
    <r>
      <rPr>
        <rFont val="Arial"/>
        <sz val="10.0"/>
      </rPr>
      <t>(</t>
    </r>
    <r>
      <rPr>
        <rFont val="ＭＳ Ｐゴシック"/>
        <sz val="10.0"/>
      </rPr>
      <t>松坂桃李</t>
    </r>
    <r>
      <rPr>
        <rFont val="Arial"/>
        <sz val="10.0"/>
      </rPr>
      <t>)</t>
    </r>
    <r>
      <rPr>
        <rFont val="ＭＳ Ｐゴシック"/>
        <sz val="10.0"/>
      </rPr>
      <t>。このまま一緒にいても、自分ではつぐみを幸せにするどころか、ピンチに駆けつけることもできない。つぐみのことを大切に思っているからこそ、悩んだ末に樹が出した答えは</t>
    </r>
    <r>
      <rPr>
        <rFont val="Arial"/>
        <sz val="10.0"/>
      </rPr>
      <t>“</t>
    </r>
    <r>
      <rPr>
        <rFont val="ＭＳ Ｐゴシック"/>
        <sz val="10.0"/>
      </rPr>
      <t>別れ</t>
    </r>
    <r>
      <rPr>
        <rFont val="Arial"/>
        <sz val="10.0"/>
      </rPr>
      <t>"</t>
    </r>
    <r>
      <rPr>
        <rFont val="ＭＳ Ｐゴシック"/>
        <sz val="10.0"/>
      </rPr>
      <t>だった</t>
    </r>
    <r>
      <rPr>
        <rFont val="Arial"/>
        <sz val="10.0"/>
      </rPr>
      <t>…</t>
    </r>
    <r>
      <rPr>
        <rFont val="ＭＳ Ｐゴシック"/>
        <sz val="10.0"/>
      </rPr>
      <t>。樹に突然別れを告げられ、失意のどん底で帰宅したつぐみに、実家からある知らせが届いていた。しおり</t>
    </r>
    <r>
      <rPr>
        <rFont val="Arial"/>
        <sz val="10.0"/>
      </rPr>
      <t>(</t>
    </r>
    <r>
      <rPr>
        <rFont val="ＭＳ Ｐゴシック"/>
        <sz val="10.0"/>
      </rPr>
      <t>岡崎紗絵</t>
    </r>
    <r>
      <rPr>
        <rFont val="Arial"/>
        <sz val="10.0"/>
      </rPr>
      <t>)</t>
    </r>
    <r>
      <rPr>
        <rFont val="ＭＳ Ｐゴシック"/>
        <sz val="10.0"/>
      </rPr>
      <t>と洋貴</t>
    </r>
    <r>
      <rPr>
        <rFont val="Arial"/>
        <sz val="10.0"/>
      </rPr>
      <t>(</t>
    </r>
    <r>
      <rPr>
        <rFont val="ＭＳ Ｐゴシック"/>
        <sz val="10.0"/>
      </rPr>
      <t>瀬戸康史</t>
    </r>
    <r>
      <rPr>
        <rFont val="Arial"/>
        <sz val="10.0"/>
      </rPr>
      <t>)</t>
    </r>
    <r>
      <rPr>
        <rFont val="ＭＳ Ｐゴシック"/>
        <sz val="10.0"/>
      </rPr>
      <t>とともに急いで松本へ向かうが、これを機につぐみは、まだ心に残っている樹への思いを断ち切るためにも、仕事を辞めて東京から離れることを決意。洋貴は、そんなつぐみの胸の内を察しつつも、改めてつぐみへの思いを告げる。一方、みずから恋に終止符を打った樹もまた、つぐみへの思いを捨てきれずにいた。そんなある日、上司の渡辺</t>
    </r>
    <r>
      <rPr>
        <rFont val="Arial"/>
        <sz val="10.0"/>
      </rPr>
      <t>(</t>
    </r>
    <r>
      <rPr>
        <rFont val="ＭＳ Ｐゴシック"/>
        <sz val="10.0"/>
      </rPr>
      <t>木村祐一</t>
    </r>
    <r>
      <rPr>
        <rFont val="Arial"/>
        <sz val="10.0"/>
      </rPr>
      <t>)</t>
    </r>
    <r>
      <rPr>
        <rFont val="ＭＳ Ｐゴシック"/>
        <sz val="10.0"/>
      </rPr>
      <t>から、つぐみが東京から去ることを聞いた樹。二度と会えなくなるかもしれない</t>
    </r>
    <r>
      <rPr>
        <rFont val="Arial"/>
        <sz val="10.0"/>
      </rPr>
      <t>……</t>
    </r>
    <r>
      <rPr>
        <rFont val="ＭＳ Ｐゴシック"/>
        <sz val="10.0"/>
      </rPr>
      <t>そう思った樹は、急いで高速バスの乗り場へ向かう</t>
    </r>
    <r>
      <rPr>
        <rFont val="Arial"/>
        <sz val="10.0"/>
      </rPr>
      <t>…!</t>
    </r>
  </si>
  <si>
    <t>「娘は、自分の代わりに背負って歩いてくれる人に任せたい」ーー娘の幸せを願う元久(松重豊)の言葉がきっかけで、つぐみ(山本美月)との未来について改めて考えた樹(松坂桃李)。このまま一緒にいても、自分ではつぐみを幸せにするどころか、ピンチに駆けつけることもできない。つぐみのことを大切に思っているからこそ、悩んだ末に樹が出した答えは“別れ"だった…。樹に突然別れを告げられ、失意のどん底で帰宅したつぐみに、実家からある知らせが届いていた。しおり(岡崎紗絵)と洋貴(瀬戸康史)とともに急いで松本へ向かうが、これを機につぐみは、まだ心に残っている樹への思いを断ち切るためにも、仕事を辞めて東京から離れることを決意。洋貴は、そんなつぐみの胸の内を察しつつも、改めてつぐみへの思いを告げる。一方、みずから恋に終止符を打った樹もまた、つぐみへの思いを捨てきれずにいた。そんなある日、上司の渡辺(木村祐一)から、つぐみが東京から去ることを聞いた樹。二度と会えなくなるかもしれない……そう思った樹は、急いで高速バスの乗り場へ向かう…!</t>
  </si>
  <si>
    <t>番組名パーフェクトワールド【別れ後に巡り会う二人…激動する運命の行方は】　#07</t>
  </si>
  <si>
    <r>
      <rPr>
        <rFont val="ＭＳ Ｐゴシック"/>
        <sz val="10.0"/>
      </rPr>
      <t>松本に戻って</t>
    </r>
    <r>
      <rPr>
        <rFont val="Arial"/>
        <sz val="10.0"/>
      </rPr>
      <t>3</t>
    </r>
    <r>
      <rPr>
        <rFont val="ＭＳ Ｐゴシック"/>
        <sz val="10.0"/>
      </rPr>
      <t>カ月、つぐみ</t>
    </r>
    <r>
      <rPr>
        <rFont val="Arial"/>
        <sz val="10.0"/>
      </rPr>
      <t>(</t>
    </r>
    <r>
      <rPr>
        <rFont val="ＭＳ Ｐゴシック"/>
        <sz val="10.0"/>
      </rPr>
      <t>山本美月</t>
    </r>
    <r>
      <rPr>
        <rFont val="Arial"/>
        <sz val="10.0"/>
      </rPr>
      <t>)</t>
    </r>
    <r>
      <rPr>
        <rFont val="ＭＳ Ｐゴシック"/>
        <sz val="10.0"/>
      </rPr>
      <t>はインテリアコーディネーターとして働きながら、実家で穏やかに暮らし、父・元久</t>
    </r>
    <r>
      <rPr>
        <rFont val="Arial"/>
        <sz val="10.0"/>
      </rPr>
      <t>(</t>
    </r>
    <r>
      <rPr>
        <rFont val="ＭＳ Ｐゴシック"/>
        <sz val="10.0"/>
      </rPr>
      <t>松重豊</t>
    </r>
    <r>
      <rPr>
        <rFont val="Arial"/>
        <sz val="10.0"/>
      </rPr>
      <t>)</t>
    </r>
    <r>
      <rPr>
        <rFont val="ＭＳ Ｐゴシック"/>
        <sz val="10.0"/>
      </rPr>
      <t>も少しずつ元気を取り戻していた。そして洋貴</t>
    </r>
    <r>
      <rPr>
        <rFont val="Arial"/>
        <sz val="10.0"/>
      </rPr>
      <t>(</t>
    </r>
    <r>
      <rPr>
        <rFont val="ＭＳ Ｐゴシック"/>
        <sz val="10.0"/>
      </rPr>
      <t>瀬戸康史</t>
    </r>
    <r>
      <rPr>
        <rFont val="Arial"/>
        <sz val="10.0"/>
      </rPr>
      <t>)</t>
    </r>
    <r>
      <rPr>
        <rFont val="ＭＳ Ｐゴシック"/>
        <sz val="10.0"/>
      </rPr>
      <t>はつぐみを東京でのデートに誘い、ついにプロポーズ</t>
    </r>
    <r>
      <rPr>
        <rFont val="Arial"/>
        <sz val="10.0"/>
      </rPr>
      <t>!</t>
    </r>
    <r>
      <rPr>
        <rFont val="ＭＳ Ｐゴシック"/>
        <sz val="10.0"/>
      </rPr>
      <t>つぐみも洋貴の思いを受け入れ、結婚を前向きに考えようとするが、そんな二人の様子を、偶然通りかかった樹</t>
    </r>
    <r>
      <rPr>
        <rFont val="Arial"/>
        <sz val="10.0"/>
      </rPr>
      <t>(</t>
    </r>
    <r>
      <rPr>
        <rFont val="ＭＳ Ｐゴシック"/>
        <sz val="10.0"/>
      </rPr>
      <t>松坂桃李</t>
    </r>
    <r>
      <rPr>
        <rFont val="Arial"/>
        <sz val="10.0"/>
      </rPr>
      <t>)</t>
    </r>
    <r>
      <rPr>
        <rFont val="ＭＳ Ｐゴシック"/>
        <sz val="10.0"/>
      </rPr>
      <t>が見ていたーー。そんなある日、つぐみは、東京の樹の元へ向かっていた。つぐみが松本で出会ったシェフの高木圭吾</t>
    </r>
    <r>
      <rPr>
        <rFont val="Arial"/>
        <sz val="10.0"/>
      </rPr>
      <t>(</t>
    </r>
    <r>
      <rPr>
        <rFont val="ＭＳ Ｐゴシック"/>
        <sz val="10.0"/>
      </rPr>
      <t>山中崇</t>
    </r>
    <r>
      <rPr>
        <rFont val="Arial"/>
        <sz val="10.0"/>
      </rPr>
      <t>)</t>
    </r>
    <r>
      <rPr>
        <rFont val="ＭＳ Ｐゴシック"/>
        <sz val="10.0"/>
      </rPr>
      <t>が、車いすで生活する妻・楓</t>
    </r>
    <r>
      <rPr>
        <rFont val="Arial"/>
        <sz val="10.0"/>
      </rPr>
      <t>(</t>
    </r>
    <r>
      <rPr>
        <rFont val="ＭＳ Ｐゴシック"/>
        <sz val="10.0"/>
      </rPr>
      <t>紺野まひる</t>
    </r>
    <r>
      <rPr>
        <rFont val="Arial"/>
        <sz val="10.0"/>
      </rPr>
      <t>)</t>
    </r>
    <r>
      <rPr>
        <rFont val="ＭＳ Ｐゴシック"/>
        <sz val="10.0"/>
      </rPr>
      <t>のために完全バリアフリーの家を建てようとしていることを知り、なんとか樹の力を借りたいと思ったのだ。一方、楓は病気で余命が限られている自分のために、夫が私財を投げうって家を建てようとしていることを素直に喜べず、自分では圭吾を幸せにできないと苦しんでいた。その姿につぐみは樹の言葉を思い出し</t>
    </r>
    <r>
      <rPr>
        <rFont val="Arial"/>
        <sz val="10.0"/>
      </rPr>
      <t>…</t>
    </r>
    <r>
      <rPr>
        <rFont val="ＭＳ Ｐゴシック"/>
        <sz val="10.0"/>
      </rPr>
      <t>。</t>
    </r>
    <r>
      <rPr>
        <rFont val="Arial"/>
        <sz val="10.0"/>
      </rPr>
      <t xml:space="preserve">    </t>
    </r>
    <r>
      <rPr>
        <rFont val="ＭＳ Ｐゴシック"/>
        <sz val="10.0"/>
      </rPr>
      <t>つぐみから高木夫妻の思いを聞いた樹は、二人に会いに行くと約束。樹からの連絡で二人の再会を知っていた洋貴は、つぐみと樹の切っても切れない関係に焦りを感じ、プロポーズの返事を急かしてしまう。それに対し、つぐみは</t>
    </r>
    <r>
      <rPr>
        <rFont val="Arial"/>
        <sz val="10.0"/>
      </rPr>
      <t xml:space="preserve">…?    </t>
    </r>
    <r>
      <rPr>
        <rFont val="ＭＳ Ｐゴシック"/>
        <sz val="10.0"/>
      </rPr>
      <t>一方、樹に思いを打ち明けた葵</t>
    </r>
    <r>
      <rPr>
        <rFont val="Arial"/>
        <sz val="10.0"/>
      </rPr>
      <t>(</t>
    </r>
    <r>
      <rPr>
        <rFont val="ＭＳ Ｐゴシック"/>
        <sz val="10.0"/>
      </rPr>
      <t>中村ゆり</t>
    </r>
    <r>
      <rPr>
        <rFont val="Arial"/>
        <sz val="10.0"/>
      </rPr>
      <t>)</t>
    </r>
    <r>
      <rPr>
        <rFont val="ＭＳ Ｐゴシック"/>
        <sz val="10.0"/>
      </rPr>
      <t>は、圭吾の件でつぐみと会ったと話す樹を見て、顔をこわばらせていくが、それを察知した樹は</t>
    </r>
    <r>
      <rPr>
        <rFont val="Arial"/>
        <sz val="10.0"/>
      </rPr>
      <t>…?</t>
    </r>
  </si>
  <si>
    <t>松本に戻って3カ月、つぐみ(山本美月)はインテリアコーディネーターとして働きながら、実家で穏やかに暮らし、父・元久(松重豊)も少しずつ元気を取り戻していた。そして洋貴(瀬戸康史)はつぐみを東京でのデートに誘い、ついにプロポーズ!つぐみも洋貴の思いを受け入れ、結婚を前向きに考えようとするが、そんな二人の様子を、偶然通りかかった樹(松坂桃李)が見ていたーー。そんなある日、つぐみは、東京の樹の元へ向かっていた。つぐみが松本で出会ったシェフの高木圭吾(山中崇)が、車いすで生活する妻・楓(紺野まひる)のために完全バリアフリーの家を建てようとしていることを知り、なんとか樹の力を借りたいと思ったのだ。一方、楓は病気で余命が限られている自分のために、夫が私財を投げうって家を建てようとしていることを素直に喜べず、自分では圭吾を幸せにできないと苦しんでいた。その姿につぐみは樹の言葉を思い出し…。    つぐみから高木夫妻の思いを聞いた樹は、二人に会いに行くと約束。樹からの連絡で二人の再会を知っていた洋貴は、つぐみと樹の切っても切れない関係に焦りを感じ、プロポーズの返事を急かしてしまう。それに対し、つぐみは…?    一方、樹に思いを打ち明けた葵(中村ゆり)は、圭吾の件でつぐみと会ったと話す樹を見て、顔をこわばらせていくが、それを察知した樹は…?</t>
  </si>
  <si>
    <t>番組名パーフェクトワールド【樹が命の危機…本当の想いを伝えたい】　#08</t>
  </si>
  <si>
    <r>
      <rPr>
        <rFont val="ＭＳ Ｐゴシック"/>
        <sz val="10.0"/>
      </rPr>
      <t>圭吾</t>
    </r>
    <r>
      <rPr>
        <rFont val="Arial"/>
        <sz val="10.0"/>
      </rPr>
      <t>(</t>
    </r>
    <r>
      <rPr>
        <rFont val="ＭＳ Ｐゴシック"/>
        <sz val="10.0"/>
      </rPr>
      <t>山中崇</t>
    </r>
    <r>
      <rPr>
        <rFont val="Arial"/>
        <sz val="10.0"/>
      </rPr>
      <t>)</t>
    </r>
    <r>
      <rPr>
        <rFont val="ＭＳ Ｐゴシック"/>
        <sz val="10.0"/>
      </rPr>
      <t>と楓</t>
    </r>
    <r>
      <rPr>
        <rFont val="Arial"/>
        <sz val="10.0"/>
      </rPr>
      <t>(</t>
    </r>
    <r>
      <rPr>
        <rFont val="ＭＳ Ｐゴシック"/>
        <sz val="10.0"/>
      </rPr>
      <t>紺野まひる</t>
    </r>
    <r>
      <rPr>
        <rFont val="Arial"/>
        <sz val="10.0"/>
      </rPr>
      <t>)</t>
    </r>
    <r>
      <rPr>
        <rFont val="ＭＳ Ｐゴシック"/>
        <sz val="10.0"/>
      </rPr>
      <t>、夫婦の夢をどちらもかなえる樹</t>
    </r>
    <r>
      <rPr>
        <rFont val="Arial"/>
        <sz val="10.0"/>
      </rPr>
      <t>(</t>
    </r>
    <r>
      <rPr>
        <rFont val="ＭＳ Ｐゴシック"/>
        <sz val="10.0"/>
      </rPr>
      <t>松坂桃李</t>
    </r>
    <r>
      <rPr>
        <rFont val="Arial"/>
        <sz val="10.0"/>
      </rPr>
      <t>)</t>
    </r>
    <r>
      <rPr>
        <rFont val="ＭＳ Ｐゴシック"/>
        <sz val="10.0"/>
      </rPr>
      <t>の設計プランは二人に笑顔を取り戻した。樹は、正式に高木夫妻が建てる家の設計を請け負うことになり、つぐみ</t>
    </r>
    <r>
      <rPr>
        <rFont val="Arial"/>
        <sz val="10.0"/>
      </rPr>
      <t>(</t>
    </r>
    <r>
      <rPr>
        <rFont val="ＭＳ Ｐゴシック"/>
        <sz val="10.0"/>
      </rPr>
      <t>山本美月</t>
    </r>
    <r>
      <rPr>
        <rFont val="Arial"/>
        <sz val="10.0"/>
      </rPr>
      <t>)</t>
    </r>
    <r>
      <rPr>
        <rFont val="ＭＳ Ｐゴシック"/>
        <sz val="10.0"/>
      </rPr>
      <t>と一緒に仕事をすることに。一方で、そのことを知り、居ても立ってもいられない葵</t>
    </r>
    <r>
      <rPr>
        <rFont val="Arial"/>
        <sz val="10.0"/>
      </rPr>
      <t>(</t>
    </r>
    <r>
      <rPr>
        <rFont val="ＭＳ Ｐゴシック"/>
        <sz val="10.0"/>
      </rPr>
      <t>中村ゆり</t>
    </r>
    <r>
      <rPr>
        <rFont val="Arial"/>
        <sz val="10.0"/>
      </rPr>
      <t>)</t>
    </r>
    <r>
      <rPr>
        <rFont val="ＭＳ Ｐゴシック"/>
        <sz val="10.0"/>
      </rPr>
      <t>は松本で働くつぐみの元へ向かい、「樹くんと付き合うことになった」とウソをついてけん制する。それを聞いたつぐみは、樹への思いを封印するように、高校時代に描いた思い出の絵を捨てる。樹もまた、つぐみが洋貴</t>
    </r>
    <r>
      <rPr>
        <rFont val="Arial"/>
        <sz val="10.0"/>
      </rPr>
      <t>(</t>
    </r>
    <r>
      <rPr>
        <rFont val="ＭＳ Ｐゴシック"/>
        <sz val="10.0"/>
      </rPr>
      <t>瀬戸康史</t>
    </r>
    <r>
      <rPr>
        <rFont val="Arial"/>
        <sz val="10.0"/>
      </rPr>
      <t>)</t>
    </r>
    <r>
      <rPr>
        <rFont val="ＭＳ Ｐゴシック"/>
        <sz val="10.0"/>
      </rPr>
      <t>と結婚すると知り「幸せになれよ」とエールを送るが</t>
    </r>
    <r>
      <rPr>
        <rFont val="Arial"/>
        <sz val="10.0"/>
      </rPr>
      <t>……</t>
    </r>
    <r>
      <rPr>
        <rFont val="ＭＳ Ｐゴシック"/>
        <sz val="10.0"/>
      </rPr>
      <t>。</t>
    </r>
    <r>
      <rPr>
        <rFont val="Arial"/>
        <sz val="10.0"/>
      </rPr>
      <t xml:space="preserve">    </t>
    </r>
    <r>
      <rPr>
        <rFont val="ＭＳ Ｐゴシック"/>
        <sz val="10.0"/>
      </rPr>
      <t>建設工事の安全を願う地鎮祭当日、つぐみは元久</t>
    </r>
    <r>
      <rPr>
        <rFont val="Arial"/>
        <sz val="10.0"/>
      </rPr>
      <t>(</t>
    </r>
    <r>
      <rPr>
        <rFont val="ＭＳ Ｐゴシック"/>
        <sz val="10.0"/>
      </rPr>
      <t>松重豊</t>
    </r>
    <r>
      <rPr>
        <rFont val="Arial"/>
        <sz val="10.0"/>
      </rPr>
      <t>)</t>
    </r>
    <r>
      <rPr>
        <rFont val="ＭＳ Ｐゴシック"/>
        <sz val="10.0"/>
      </rPr>
      <t>に、樹と一緒に仕事をしていることを打ち明けようとするが、次の瞬間、強い揺れに襲われ、大きな地震が起きる。幸い、つぐみの家は被害が少なかったが、地鎮祭に参加するため、同じく松本にいた樹とは連絡がつかない。心配になったつぐみは、元久や咲子</t>
    </r>
    <r>
      <rPr>
        <rFont val="Arial"/>
        <sz val="10.0"/>
      </rPr>
      <t>(</t>
    </r>
    <r>
      <rPr>
        <rFont val="ＭＳ Ｐゴシック"/>
        <sz val="10.0"/>
      </rPr>
      <t>堀内敬子</t>
    </r>
    <r>
      <rPr>
        <rFont val="Arial"/>
        <sz val="10.0"/>
      </rPr>
      <t>)</t>
    </r>
    <r>
      <rPr>
        <rFont val="ＭＳ Ｐゴシック"/>
        <sz val="10.0"/>
      </rPr>
      <t>が止めるのも聞かず、家を飛び出す。</t>
    </r>
    <r>
      <rPr>
        <rFont val="Arial"/>
        <sz val="10.0"/>
      </rPr>
      <t xml:space="preserve">    </t>
    </r>
    <r>
      <rPr>
        <rFont val="ＭＳ Ｐゴシック"/>
        <sz val="10.0"/>
      </rPr>
      <t>一方、東京で地震のニュースを知った洋貴は、葵と合流して松本へ向かうことに。樹と連絡が取れないつぐみは葵から、樹にとって何より心配なのは排せつができないことによる尿毒症で、最悪の場合、死にいたることもあると聞き、ますます不安が募る</t>
    </r>
    <r>
      <rPr>
        <rFont val="Arial"/>
        <sz val="10.0"/>
      </rPr>
      <t>…</t>
    </r>
    <r>
      <rPr>
        <rFont val="ＭＳ Ｐゴシック"/>
        <sz val="10.0"/>
      </rPr>
      <t>。</t>
    </r>
  </si>
  <si>
    <t>圭吾(山中崇)と楓(紺野まひる)、夫婦の夢をどちらもかなえる樹(松坂桃李)の設計プランは二人に笑顔を取り戻した。樹は、正式に高木夫妻が建てる家の設計を請け負うことになり、つぐみ(山本美月)と一緒に仕事をすることに。一方で、そのことを知り、居ても立ってもいられない葵(中村ゆり)は松本で働くつぐみの元へ向かい、「樹くんと付き合うことになった」とウソをついてけん制する。それを聞いたつぐみは、樹への思いを封印するように、高校時代に描いた思い出の絵を捨てる。樹もまた、つぐみが洋貴(瀬戸康史)と結婚すると知り「幸せになれよ」とエールを送るが……。    建設工事の安全を願う地鎮祭当日、つぐみは元久(松重豊)に、樹と一緒に仕事をしていることを打ち明けようとするが、次の瞬間、強い揺れに襲われ、大きな地震が起きる。幸い、つぐみの家は被害が少なかったが、地鎮祭に参加するため、同じく松本にいた樹とは連絡がつかない。心配になったつぐみは、元久や咲子(堀内敬子)が止めるのも聞かず、家を飛び出す。    一方、東京で地震のニュースを知った洋貴は、葵と合流して松本へ向かうことに。樹と連絡が取れないつぐみは葵から、樹にとって何より心配なのは排せつができないことによる尿毒症で、最悪の場合、死にいたることもあると聞き、ますます不安が募る…。</t>
  </si>
  <si>
    <t>番組名パーフェクトワールド【もう諦めない…純愛を貫く覚悟と代償】　#09</t>
  </si>
  <si>
    <r>
      <rPr>
        <rFont val="ＭＳ Ｐゴシック"/>
        <sz val="10.0"/>
      </rPr>
      <t>地震で資材の下敷きになり身動きが取れなくなった樹</t>
    </r>
    <r>
      <rPr>
        <rFont val="Arial"/>
        <sz val="10.0"/>
      </rPr>
      <t>(</t>
    </r>
    <r>
      <rPr>
        <rFont val="ＭＳ Ｐゴシック"/>
        <sz val="10.0"/>
      </rPr>
      <t>松坂桃李</t>
    </r>
    <r>
      <rPr>
        <rFont val="Arial"/>
        <sz val="10.0"/>
      </rPr>
      <t>)</t>
    </r>
    <r>
      <rPr>
        <rFont val="ＭＳ Ｐゴシック"/>
        <sz val="10.0"/>
      </rPr>
      <t>は死を覚悟するが、つぐみ</t>
    </r>
    <r>
      <rPr>
        <rFont val="Arial"/>
        <sz val="10.0"/>
      </rPr>
      <t>(</t>
    </r>
    <r>
      <rPr>
        <rFont val="ＭＳ Ｐゴシック"/>
        <sz val="10.0"/>
      </rPr>
      <t>山本美月</t>
    </r>
    <r>
      <rPr>
        <rFont val="Arial"/>
        <sz val="10.0"/>
      </rPr>
      <t>)</t>
    </r>
    <r>
      <rPr>
        <rFont val="ＭＳ Ｐゴシック"/>
        <sz val="10.0"/>
      </rPr>
      <t>によって救出され、なんとか命の危機を脱する。同時に、再びつぐみに会えた喜びをかみしめる樹だったが、翌日、東京から駆けつけた洋貴</t>
    </r>
    <r>
      <rPr>
        <rFont val="Arial"/>
        <sz val="10.0"/>
      </rPr>
      <t>(</t>
    </r>
    <r>
      <rPr>
        <rFont val="ＭＳ Ｐゴシック"/>
        <sz val="10.0"/>
      </rPr>
      <t>瀬戸康史</t>
    </r>
    <r>
      <rPr>
        <rFont val="Arial"/>
        <sz val="10.0"/>
      </rPr>
      <t>)</t>
    </r>
    <r>
      <rPr>
        <rFont val="ＭＳ Ｐゴシック"/>
        <sz val="10.0"/>
      </rPr>
      <t>や葵</t>
    </r>
    <r>
      <rPr>
        <rFont val="Arial"/>
        <sz val="10.0"/>
      </rPr>
      <t>(</t>
    </r>
    <r>
      <rPr>
        <rFont val="ＭＳ Ｐゴシック"/>
        <sz val="10.0"/>
      </rPr>
      <t>中村ゆり</t>
    </r>
    <r>
      <rPr>
        <rFont val="Arial"/>
        <sz val="10.0"/>
      </rPr>
      <t>)</t>
    </r>
    <r>
      <rPr>
        <rFont val="ＭＳ Ｐゴシック"/>
        <sz val="10.0"/>
      </rPr>
      <t>の姿に、もう後戻りは許されないのだと思い知らされる。そして、つぐみとの関係をきっぱりと断つためにも、高木夫妻のマイホームの一件は、同僚の沢田</t>
    </r>
    <r>
      <rPr>
        <rFont val="Arial"/>
        <sz val="10.0"/>
      </rPr>
      <t>(</t>
    </r>
    <r>
      <rPr>
        <rFont val="ＭＳ Ｐゴシック"/>
        <sz val="10.0"/>
      </rPr>
      <t>池岡亮介</t>
    </r>
    <r>
      <rPr>
        <rFont val="Arial"/>
        <sz val="10.0"/>
      </rPr>
      <t>)</t>
    </r>
    <r>
      <rPr>
        <rFont val="ＭＳ Ｐゴシック"/>
        <sz val="10.0"/>
      </rPr>
      <t>に引き継ぐことに。</t>
    </r>
    <r>
      <rPr>
        <rFont val="Arial"/>
        <sz val="10.0"/>
      </rPr>
      <t xml:space="preserve">  </t>
    </r>
    <r>
      <rPr>
        <rFont val="ＭＳ Ｐゴシック"/>
        <sz val="10.0"/>
      </rPr>
      <t>しかし、地震を機に、一度は失ったはずの</t>
    </r>
    <r>
      <rPr>
        <rFont val="Arial"/>
        <sz val="10.0"/>
      </rPr>
      <t>“</t>
    </r>
    <r>
      <rPr>
        <rFont val="ＭＳ Ｐゴシック"/>
        <sz val="10.0"/>
      </rPr>
      <t>生きることへの執着</t>
    </r>
    <r>
      <rPr>
        <rFont val="Arial"/>
        <sz val="10.0"/>
      </rPr>
      <t>"</t>
    </r>
    <r>
      <rPr>
        <rFont val="ＭＳ Ｐゴシック"/>
        <sz val="10.0"/>
      </rPr>
      <t>が再び自分の中に芽生えていることに気づき、樹はそれまで胸に秘めていたある後悔を隠し切れなくなり、急いでつぐみの元へ向かう。同じ頃、つぐみもまた、自分たちの人生に悔いはないという圭吾</t>
    </r>
    <r>
      <rPr>
        <rFont val="Arial"/>
        <sz val="10.0"/>
      </rPr>
      <t>(</t>
    </r>
    <r>
      <rPr>
        <rFont val="ＭＳ Ｐゴシック"/>
        <sz val="10.0"/>
      </rPr>
      <t>山中崇</t>
    </r>
    <r>
      <rPr>
        <rFont val="Arial"/>
        <sz val="10.0"/>
      </rPr>
      <t>)</t>
    </r>
    <r>
      <rPr>
        <rFont val="ＭＳ Ｐゴシック"/>
        <sz val="10.0"/>
      </rPr>
      <t>と楓</t>
    </r>
    <r>
      <rPr>
        <rFont val="Arial"/>
        <sz val="10.0"/>
      </rPr>
      <t>(</t>
    </r>
    <r>
      <rPr>
        <rFont val="ＭＳ Ｐゴシック"/>
        <sz val="10.0"/>
      </rPr>
      <t>紺野まひる</t>
    </r>
    <r>
      <rPr>
        <rFont val="Arial"/>
        <sz val="10.0"/>
      </rPr>
      <t>)</t>
    </r>
    <r>
      <rPr>
        <rFont val="ＭＳ Ｐゴシック"/>
        <sz val="10.0"/>
      </rPr>
      <t>の言葉を聞いて、いても立ってもいられなくなり</t>
    </r>
    <r>
      <rPr>
        <rFont val="Arial"/>
        <sz val="10.0"/>
      </rPr>
      <t>……</t>
    </r>
    <r>
      <rPr>
        <rFont val="ＭＳ Ｐゴシック"/>
        <sz val="10.0"/>
      </rPr>
      <t>。</t>
    </r>
    <r>
      <rPr>
        <rFont val="Arial"/>
        <sz val="10.0"/>
      </rPr>
      <t xml:space="preserve">    </t>
    </r>
    <r>
      <rPr>
        <rFont val="ＭＳ Ｐゴシック"/>
        <sz val="10.0"/>
      </rPr>
      <t>自分の気持ちにうそをつけなくなった樹とつぐみは、周囲の人を傷つけることを承知のうえで、洋貴と葵、そして家族にも、正直な気持ちを打ち明けることに。ところが、つぐみが会いに行くより一足先に、洋貴は樹の元を訪ね「一回だけ殴らせてもらっていい</t>
    </r>
    <r>
      <rPr>
        <rFont val="Arial"/>
        <sz val="10.0"/>
      </rPr>
      <t>?</t>
    </r>
    <r>
      <rPr>
        <rFont val="ＭＳ Ｐゴシック"/>
        <sz val="10.0"/>
      </rPr>
      <t>」と静かに怒りをあらわにする</t>
    </r>
    <r>
      <rPr>
        <rFont val="Arial"/>
        <sz val="10.0"/>
      </rPr>
      <t xml:space="preserve">…!    </t>
    </r>
    <r>
      <rPr>
        <rFont val="ＭＳ Ｐゴシック"/>
        <sz val="10.0"/>
      </rPr>
      <t>さらに、樹は葵に区切りをつけようと話を持ちかける。今の自分があるのは葵のおかげだとしながらも、正直に胸の内を明かす樹。しかし葵は樹の気持ちをさえぎるように食い下がり</t>
    </r>
    <r>
      <rPr>
        <rFont val="Arial"/>
        <sz val="10.0"/>
      </rPr>
      <t>…</t>
    </r>
    <r>
      <rPr>
        <rFont val="ＭＳ Ｐゴシック"/>
        <sz val="10.0"/>
      </rPr>
      <t>。</t>
    </r>
  </si>
  <si>
    <t>地震で資材の下敷きになり身動きが取れなくなった樹(松坂桃李)は死を覚悟するが、つぐみ(山本美月)によって救出され、なんとか命の危機を脱する。同時に、再びつぐみに会えた喜びをかみしめる樹だったが、翌日、東京から駆けつけた洋貴(瀬戸康史)や葵(中村ゆり)の姿に、もう後戻りは許されないのだと思い知らされる。そして、つぐみとの関係をきっぱりと断つためにも、高木夫妻のマイホームの一件は、同僚の沢田(池岡亮介)に引き継ぐことに。  しかし、地震を機に、一度は失ったはずの“生きることへの執着"が再び自分の中に芽生えていることに気づき、樹はそれまで胸に秘めていたある後悔を隠し切れなくなり、急いでつぐみの元へ向かう。同じ頃、つぐみもまた、自分たちの人生に悔いはないという圭吾(山中崇)と楓(紺野まひる)の言葉を聞いて、いても立ってもいられなくなり……。    自分の気持ちにうそをつけなくなった樹とつぐみは、周囲の人を傷つけることを承知のうえで、洋貴と葵、そして家族にも、正直な気持ちを打ち明けることに。ところが、つぐみが会いに行くより一足先に、洋貴は樹の元を訪ね「一回だけ殴らせてもらっていい?」と静かに怒りをあらわにする…!    さらに、樹は葵に区切りをつけようと話を持ちかける。今の自分があるのは葵のおかげだとしながらも、正直に胸の内を明かす樹。しかし葵は樹の気持ちをさえぎるように食い下がり…。</t>
  </si>
  <si>
    <t>番組名パーフェクトワールド【最終回…幸せな未来に向かう最後の試練】　#10</t>
  </si>
  <si>
    <r>
      <rPr>
        <rFont val="ＭＳ Ｐゴシック"/>
        <sz val="10.0"/>
      </rPr>
      <t>高校の同級生だったつぐみ</t>
    </r>
    <r>
      <rPr>
        <rFont val="Arial"/>
        <sz val="10.0"/>
      </rPr>
      <t>(</t>
    </r>
    <r>
      <rPr>
        <rFont val="ＭＳ Ｐゴシック"/>
        <sz val="10.0"/>
      </rPr>
      <t>山本美月</t>
    </r>
    <r>
      <rPr>
        <rFont val="Arial"/>
        <sz val="10.0"/>
      </rPr>
      <t>)</t>
    </r>
    <r>
      <rPr>
        <rFont val="ＭＳ Ｐゴシック"/>
        <sz val="10.0"/>
      </rPr>
      <t>と再会したことがきっかけで、事故以来ずっと閉ざしてきた心の扉を開き、恋する気持ちも取り戻した樹</t>
    </r>
    <r>
      <rPr>
        <rFont val="Arial"/>
        <sz val="10.0"/>
      </rPr>
      <t>(</t>
    </r>
    <r>
      <rPr>
        <rFont val="ＭＳ Ｐゴシック"/>
        <sz val="10.0"/>
      </rPr>
      <t>松坂桃李</t>
    </r>
    <r>
      <rPr>
        <rFont val="Arial"/>
        <sz val="10.0"/>
      </rPr>
      <t>)</t>
    </r>
    <r>
      <rPr>
        <rFont val="ＭＳ Ｐゴシック"/>
        <sz val="10.0"/>
      </rPr>
      <t>。幼い頃からつぐみに思いを寄せていた洋貴</t>
    </r>
    <r>
      <rPr>
        <rFont val="Arial"/>
        <sz val="10.0"/>
      </rPr>
      <t>(</t>
    </r>
    <r>
      <rPr>
        <rFont val="ＭＳ Ｐゴシック"/>
        <sz val="10.0"/>
      </rPr>
      <t>瀬戸康史</t>
    </r>
    <r>
      <rPr>
        <rFont val="Arial"/>
        <sz val="10.0"/>
      </rPr>
      <t>)</t>
    </r>
    <r>
      <rPr>
        <rFont val="ＭＳ Ｐゴシック"/>
        <sz val="10.0"/>
      </rPr>
      <t>や、かねてから樹を支えてきたヘルパーの葵</t>
    </r>
    <r>
      <rPr>
        <rFont val="Arial"/>
        <sz val="10.0"/>
      </rPr>
      <t>(</t>
    </r>
    <r>
      <rPr>
        <rFont val="ＭＳ Ｐゴシック"/>
        <sz val="10.0"/>
      </rPr>
      <t>中村ゆり</t>
    </r>
    <r>
      <rPr>
        <rFont val="Arial"/>
        <sz val="10.0"/>
      </rPr>
      <t>)</t>
    </r>
    <r>
      <rPr>
        <rFont val="ＭＳ Ｐゴシック"/>
        <sz val="10.0"/>
      </rPr>
      <t>を巻き込みながらも、二人はさまざまな困難を乗り越えてきた。一度はつぐみの幸せを考え樹から別れを切り出したものの、運命が二人を再び引き合わせた。もう二度と別れないと決めた樹は、つぐみにプロポーズ。共に人生を生きる覚悟を決める。</t>
    </r>
    <r>
      <rPr>
        <rFont val="Arial"/>
        <sz val="10.0"/>
      </rPr>
      <t xml:space="preserve">    </t>
    </r>
    <r>
      <rPr>
        <rFont val="ＭＳ Ｐゴシック"/>
        <sz val="10.0"/>
      </rPr>
      <t>そんな二人の決断に、つぐみの父・元久</t>
    </r>
    <r>
      <rPr>
        <rFont val="Arial"/>
        <sz val="10.0"/>
      </rPr>
      <t>(</t>
    </r>
    <r>
      <rPr>
        <rFont val="ＭＳ Ｐゴシック"/>
        <sz val="10.0"/>
      </rPr>
      <t>松重豊</t>
    </r>
    <r>
      <rPr>
        <rFont val="Arial"/>
        <sz val="10.0"/>
      </rPr>
      <t>)</t>
    </r>
    <r>
      <rPr>
        <rFont val="ＭＳ Ｐゴシック"/>
        <sz val="10.0"/>
      </rPr>
      <t>だけは、娘が苦労するのは目に見えていると断固反対。それでも、元久にも結婚の許しをもらおうと何度も家を訪ねるが、そのたびに門前払いされてしまう。</t>
    </r>
    <r>
      <rPr>
        <rFont val="Arial"/>
        <sz val="10.0"/>
      </rPr>
      <t xml:space="preserve">  </t>
    </r>
    <r>
      <rPr>
        <rFont val="ＭＳ Ｐゴシック"/>
        <sz val="10.0"/>
      </rPr>
      <t>そんなある日、やってきた樹と二人で話をしたいと申し出た元久。つぐみの幸せを願うなら、なぜ苦労をかけると分かっているのに結婚を望むのかと問う元久に、樹はつぐみと別れてから今日までの気持ちを包み隠さず話す。それでも決して首を縦に振ろうとしない元久だったが</t>
    </r>
    <r>
      <rPr>
        <rFont val="Arial"/>
        <sz val="10.0"/>
      </rPr>
      <t xml:space="preserve">…!?    </t>
    </r>
    <r>
      <rPr>
        <rFont val="ＭＳ Ｐゴシック"/>
        <sz val="10.0"/>
      </rPr>
      <t>変わらぬ愛を胸に、逆境に立ち向かう樹とつぐみは、その手で幸せをつかむことができるのか</t>
    </r>
    <r>
      <rPr>
        <rFont val="Arial"/>
        <sz val="10.0"/>
      </rPr>
      <t>?</t>
    </r>
    <r>
      <rPr>
        <rFont val="ＭＳ Ｐゴシック"/>
        <sz val="10.0"/>
      </rPr>
      <t>二人の一途な思いが奇跡を起こす</t>
    </r>
    <r>
      <rPr>
        <rFont val="Arial"/>
        <sz val="10.0"/>
      </rPr>
      <t>…!?</t>
    </r>
  </si>
  <si>
    <t>高校の同級生だったつぐみ(山本美月)と再会したことがきっかけで、事故以来ずっと閉ざしてきた心の扉を開き、恋する気持ちも取り戻した樹(松坂桃李)。幼い頃からつぐみに思いを寄せていた洋貴(瀬戸康史)や、かねてから樹を支えてきたヘルパーの葵(中村ゆり)を巻き込みながらも、二人はさまざまな困難を乗り越えてきた。一度はつぐみの幸せを考え樹から別れを切り出したものの、運命が二人を再び引き合わせた。もう二度と別れないと決めた樹は、つぐみにプロポーズ。共に人生を生きる覚悟を決める。    そんな二人の決断に、つぐみの父・元久(松重豊)だけは、娘が苦労するのは目に見えていると断固反対。それでも、元久にも結婚の許しをもらおうと何度も家を訪ねるが、そのたびに門前払いされてしまう。  そんなある日、やってきた樹と二人で話をしたいと申し出た元久。つぐみの幸せを願うなら、なぜ苦労をかけると分かっているのに結婚を望むのかと問う元久に、樹はつぐみと別れてから今日までの気持ちを包み隠さず話す。それでも決して首を縦に振ろうとしない元久だったが…!?    変わらぬ愛を胸に、逆境に立ち向かう樹とつぐみは、その手で幸せをつかむことができるのか?二人の一途な思いが奇跡を起こす…!?</t>
  </si>
  <si>
    <t>1904_CX_木22</t>
  </si>
  <si>
    <t>ストロベリーナイト・サーガ</t>
  </si>
  <si>
    <t>番組名&lt;木曜劇場&gt;ストロベリーナイト・サーガ【本格刑事サスペンス再始動】　#01</t>
  </si>
  <si>
    <r>
      <rPr>
        <rFont val="ＭＳ Ｐゴシック"/>
        <sz val="10.0"/>
      </rPr>
      <t>警視庁捜査一課殺人犯捜査第十係。男社会の警察組織において、ノンキャリアで警部補まで成り上がった姫川玲子</t>
    </r>
    <r>
      <rPr>
        <rFont val="Arial"/>
        <sz val="10.0"/>
      </rPr>
      <t>(</t>
    </r>
    <r>
      <rPr>
        <rFont val="ＭＳ Ｐゴシック"/>
        <sz val="10.0"/>
      </rPr>
      <t>二階堂ふみ</t>
    </r>
    <r>
      <rPr>
        <rFont val="Arial"/>
        <sz val="10.0"/>
      </rPr>
      <t>)</t>
    </r>
    <r>
      <rPr>
        <rFont val="ＭＳ Ｐゴシック"/>
        <sz val="10.0"/>
      </rPr>
      <t>は、直感と行動力を武器に、数々の難事件の真相に迫ってきた女性刑事。年上の巡査部長・石倉保</t>
    </r>
    <r>
      <rPr>
        <rFont val="Arial"/>
        <sz val="10.0"/>
      </rPr>
      <t>(</t>
    </r>
    <r>
      <rPr>
        <rFont val="ＭＳ Ｐゴシック"/>
        <sz val="10.0"/>
      </rPr>
      <t>宍戸開</t>
    </r>
    <r>
      <rPr>
        <rFont val="Arial"/>
        <sz val="10.0"/>
      </rPr>
      <t>)</t>
    </r>
    <r>
      <rPr>
        <rFont val="ＭＳ Ｐゴシック"/>
        <sz val="10.0"/>
      </rPr>
      <t>や巡査の湯田康平</t>
    </r>
    <r>
      <rPr>
        <rFont val="Arial"/>
        <sz val="10.0"/>
      </rPr>
      <t>(</t>
    </r>
    <r>
      <rPr>
        <rFont val="ＭＳ Ｐゴシック"/>
        <sz val="10.0"/>
      </rPr>
      <t>中林大樹</t>
    </r>
    <r>
      <rPr>
        <rFont val="Arial"/>
        <sz val="10.0"/>
      </rPr>
      <t>)</t>
    </r>
    <r>
      <rPr>
        <rFont val="ＭＳ Ｐゴシック"/>
        <sz val="10.0"/>
      </rPr>
      <t>、そして姫川を心底尊敬し慕う</t>
    </r>
    <r>
      <rPr>
        <rFont val="Arial"/>
        <sz val="10.0"/>
      </rPr>
      <t>“</t>
    </r>
    <r>
      <rPr>
        <rFont val="ＭＳ Ｐゴシック"/>
        <sz val="10.0"/>
      </rPr>
      <t>一番弟子</t>
    </r>
    <r>
      <rPr>
        <rFont val="Arial"/>
        <sz val="10.0"/>
      </rPr>
      <t>"</t>
    </r>
    <r>
      <rPr>
        <rFont val="ＭＳ Ｐゴシック"/>
        <sz val="10.0"/>
      </rPr>
      <t>の大塚真二</t>
    </r>
    <r>
      <rPr>
        <rFont val="Arial"/>
        <sz val="10.0"/>
      </rPr>
      <t>(</t>
    </r>
    <r>
      <rPr>
        <rFont val="ＭＳ Ｐゴシック"/>
        <sz val="10.0"/>
      </rPr>
      <t>重岡大毅</t>
    </r>
    <r>
      <rPr>
        <rFont val="Arial"/>
        <sz val="10.0"/>
      </rPr>
      <t>)</t>
    </r>
    <r>
      <rPr>
        <rFont val="ＭＳ Ｐゴシック"/>
        <sz val="10.0"/>
      </rPr>
      <t>を姫川班として率いている。そこへ</t>
    </r>
    <r>
      <rPr>
        <rFont val="Arial"/>
        <sz val="10.0"/>
      </rPr>
      <t>1</t>
    </r>
    <r>
      <rPr>
        <rFont val="ＭＳ Ｐゴシック"/>
        <sz val="10.0"/>
      </rPr>
      <t>人の巡査部長・菊田和男</t>
    </r>
    <r>
      <rPr>
        <rFont val="Arial"/>
        <sz val="10.0"/>
      </rPr>
      <t>(</t>
    </r>
    <r>
      <rPr>
        <rFont val="ＭＳ Ｐゴシック"/>
        <sz val="10.0"/>
      </rPr>
      <t>亀梨和也</t>
    </r>
    <r>
      <rPr>
        <rFont val="Arial"/>
        <sz val="10.0"/>
      </rPr>
      <t>)</t>
    </r>
    <r>
      <rPr>
        <rFont val="ＭＳ Ｐゴシック"/>
        <sz val="10.0"/>
      </rPr>
      <t>が異動してくる。そんな中、葛飾区の公園内にあるため池付近で、ブルーシートに包まれた変死体が発見された。死体は</t>
    </r>
    <r>
      <rPr>
        <rFont val="Arial"/>
        <sz val="10.0"/>
      </rPr>
      <t>34</t>
    </r>
    <r>
      <rPr>
        <rFont val="ＭＳ Ｐゴシック"/>
        <sz val="10.0"/>
      </rPr>
      <t>歳の営業マンだと判明。死因は出血性ショック死で、薄型の刃物で切り付けられたような細かい傷が</t>
    </r>
    <r>
      <rPr>
        <rFont val="Arial"/>
        <sz val="10.0"/>
      </rPr>
      <t>94</t>
    </r>
    <r>
      <rPr>
        <rFont val="ＭＳ Ｐゴシック"/>
        <sz val="10.0"/>
      </rPr>
      <t>カ所。スパッと切られた喉元の左頸</t>
    </r>
    <r>
      <rPr>
        <rFont val="Arial"/>
        <sz val="10.0"/>
      </rPr>
      <t>(</t>
    </r>
    <r>
      <rPr>
        <rFont val="ＭＳ Ｐゴシック"/>
        <sz val="10.0"/>
      </rPr>
      <t>けい</t>
    </r>
    <r>
      <rPr>
        <rFont val="Arial"/>
        <sz val="10.0"/>
      </rPr>
      <t>)</t>
    </r>
    <r>
      <rPr>
        <rFont val="ＭＳ Ｐゴシック"/>
        <sz val="10.0"/>
      </rPr>
      <t>動脈が致命傷になったと思われる。ため池には、人命に関わる危険な寄生アメーバ</t>
    </r>
    <r>
      <rPr>
        <rFont val="Arial"/>
        <sz val="10.0"/>
      </rPr>
      <t>“</t>
    </r>
    <r>
      <rPr>
        <rFont val="ＭＳ Ｐゴシック"/>
        <sz val="10.0"/>
      </rPr>
      <t>ネグレリアフォーレリ</t>
    </r>
    <r>
      <rPr>
        <rFont val="Arial"/>
        <sz val="10.0"/>
      </rPr>
      <t>"</t>
    </r>
    <r>
      <rPr>
        <rFont val="ＭＳ Ｐゴシック"/>
        <sz val="10.0"/>
      </rPr>
      <t>が繁殖しており一切遊泳禁止となっていた。この</t>
    </r>
    <r>
      <rPr>
        <rFont val="Arial"/>
        <sz val="10.0"/>
      </rPr>
      <t>1</t>
    </r>
    <r>
      <rPr>
        <rFont val="ＭＳ Ｐゴシック"/>
        <sz val="10.0"/>
      </rPr>
      <t>カ月以内に</t>
    </r>
    <r>
      <rPr>
        <rFont val="Arial"/>
        <sz val="10.0"/>
      </rPr>
      <t>“</t>
    </r>
    <r>
      <rPr>
        <rFont val="ＭＳ Ｐゴシック"/>
        <sz val="10.0"/>
      </rPr>
      <t>ネグレリアフォーレリ</t>
    </r>
    <r>
      <rPr>
        <rFont val="Arial"/>
        <sz val="10.0"/>
      </rPr>
      <t>"</t>
    </r>
    <r>
      <rPr>
        <rFont val="ＭＳ Ｐゴシック"/>
        <sz val="10.0"/>
      </rPr>
      <t>に感染し死亡した人間がいることを探り出した姫川は、死体を遺棄する人間の他に、死体をため池に沈める人間がいると推測。つまり、ため池の底に別の死体が沈んでいるのではないかと推測した姫川は水中捜査を依頼する。すると、姫川の読み通り、切創が酷似した別の遺体が出てきた。捜査する中で浮上した「ストロベリーナイト」という謎の言葉。この言葉と連続死体の死因との関係とは</t>
    </r>
    <r>
      <rPr>
        <rFont val="Arial"/>
        <sz val="10.0"/>
      </rPr>
      <t>?</t>
    </r>
  </si>
  <si>
    <t>警視庁捜査一課殺人犯捜査第十係。男社会の警察組織において、ノンキャリアで警部補まで成り上がった姫川玲子(二階堂ふみ)は、直感と行動力を武器に、数々の難事件の真相に迫ってきた女性刑事。年上の巡査部長・石倉保(宍戸開)や巡査の湯田康平(中林大樹)、そして姫川を心底尊敬し慕う“一番弟子"の大塚真二(重岡大毅)を姫川班として率いている。そこへ1人の巡査部長・菊田和男(亀梨和也)が異動してくる。そんな中、葛飾区の公園内にあるため池付近で、ブルーシートに包まれた変死体が発見された。死体は34歳の営業マンだと判明。死因は出血性ショック死で、薄型の刃物で切り付けられたような細かい傷が94カ所。スパッと切られた喉元の左頸(けい)動脈が致命傷になったと思われる。ため池には、人命に関わる危険な寄生アメーバ“ネグレリアフォーレリ"が繁殖しており一切遊泳禁止となっていた。この1カ月以内に“ネグレリアフォーレリ"に感染し死亡した人間がいることを探り出した姫川は、死体を遺棄する人間の他に、死体をため池に沈める人間がいると推測。つまり、ため池の底に別の死体が沈んでいるのではないかと推測した姫川は水中捜査を依頼する。すると、姫川の読み通り、切創が酷似した別の遺体が出てきた。捜査する中で浮上した「ストロベリーナイト」という謎の言葉。この言葉と連続死体の死因との関係とは?</t>
  </si>
  <si>
    <t>番組名&lt;木曜劇場&gt;ストロベリーナイト・サーガ【死体なき殺人!ソウルケイジ】　#02</t>
  </si>
  <si>
    <r>
      <rPr>
        <rFont val="ＭＳ Ｐゴシック"/>
        <sz val="10.0"/>
      </rPr>
      <t>多摩川土手の路上に放置されていた三輪スクーターの荷台から、成人男性の左手首が発見された</t>
    </r>
    <r>
      <rPr>
        <rFont val="Arial"/>
        <sz val="10.0"/>
      </rPr>
      <t>!</t>
    </r>
    <r>
      <rPr>
        <rFont val="ＭＳ Ｐゴシック"/>
        <sz val="10.0"/>
      </rPr>
      <t>被害者は、高岡工務店を営む大工・高岡賢一</t>
    </r>
    <r>
      <rPr>
        <rFont val="Arial"/>
        <sz val="10.0"/>
      </rPr>
      <t>(</t>
    </r>
    <r>
      <rPr>
        <rFont val="ＭＳ Ｐゴシック"/>
        <sz val="10.0"/>
      </rPr>
      <t>寺脇康文</t>
    </r>
    <r>
      <rPr>
        <rFont val="Arial"/>
        <sz val="10.0"/>
      </rPr>
      <t>)</t>
    </r>
    <r>
      <rPr>
        <rFont val="ＭＳ Ｐゴシック"/>
        <sz val="10.0"/>
      </rPr>
      <t>。</t>
    </r>
    <r>
      <rPr>
        <rFont val="Arial"/>
        <sz val="10.0"/>
      </rPr>
      <t>9</t>
    </r>
    <r>
      <rPr>
        <rFont val="ＭＳ Ｐゴシック"/>
        <sz val="10.0"/>
      </rPr>
      <t>年前、同じ工事現場で働いていた鳶</t>
    </r>
    <r>
      <rPr>
        <rFont val="Arial"/>
        <sz val="10.0"/>
      </rPr>
      <t>(</t>
    </r>
    <r>
      <rPr>
        <rFont val="ＭＳ Ｐゴシック"/>
        <sz val="10.0"/>
      </rPr>
      <t>とび</t>
    </r>
    <r>
      <rPr>
        <rFont val="Arial"/>
        <sz val="10.0"/>
      </rPr>
      <t>)</t>
    </r>
    <r>
      <rPr>
        <rFont val="ＭＳ Ｐゴシック"/>
        <sz val="10.0"/>
      </rPr>
      <t>職の三島忠治が建設中のマンションから転落して死亡。忠治を救えなかったことに責任を感じた高岡は、以来、ひとり残された忠治の息子・耕介</t>
    </r>
    <r>
      <rPr>
        <rFont val="Arial"/>
        <sz val="10.0"/>
      </rPr>
      <t>(</t>
    </r>
    <r>
      <rPr>
        <rFont val="ＭＳ Ｐゴシック"/>
        <sz val="10.0"/>
      </rPr>
      <t>堀井新太</t>
    </r>
    <r>
      <rPr>
        <rFont val="Arial"/>
        <sz val="10.0"/>
      </rPr>
      <t>)</t>
    </r>
    <r>
      <rPr>
        <rFont val="ＭＳ Ｐゴシック"/>
        <sz val="10.0"/>
      </rPr>
      <t>を我が子のようにかわいがってきた。中学を卒業した耕介を高岡工務店に誘い、血はつながらなくとも本当の親子のように暮らしてきた</t>
    </r>
    <r>
      <rPr>
        <rFont val="Arial"/>
        <sz val="10.0"/>
      </rPr>
      <t>2</t>
    </r>
    <r>
      <rPr>
        <rFont val="ＭＳ Ｐゴシック"/>
        <sz val="10.0"/>
      </rPr>
      <t>人。だがある朝、耕介がガレージのシャッターを開けるとそこは血の海で</t>
    </r>
    <r>
      <rPr>
        <rFont val="Arial"/>
        <sz val="10.0"/>
      </rPr>
      <t>…</t>
    </r>
    <r>
      <rPr>
        <rFont val="ＭＳ Ｐゴシック"/>
        <sz val="10.0"/>
      </rPr>
      <t>。</t>
    </r>
    <r>
      <rPr>
        <rFont val="Arial"/>
        <sz val="10.0"/>
      </rPr>
      <t xml:space="preserve">  </t>
    </r>
    <r>
      <rPr>
        <rFont val="ＭＳ Ｐゴシック"/>
        <sz val="10.0"/>
      </rPr>
      <t>高岡の身を案じた耕介は電話をかけるもつながらず、自宅も不在だったため交番で事情を説明。すると、多摩川土手で見つかった左手首の血液と</t>
    </r>
    <r>
      <rPr>
        <rFont val="Arial"/>
        <sz val="10.0"/>
      </rPr>
      <t>DNA</t>
    </r>
    <r>
      <rPr>
        <rFont val="ＭＳ Ｐゴシック"/>
        <sz val="10.0"/>
      </rPr>
      <t>が高岡のそれと一致した。さらに、親指の傷跡の形により、警察はその左手首が高岡のものであると断定。</t>
    </r>
    <r>
      <rPr>
        <rFont val="Arial"/>
        <sz val="10.0"/>
      </rPr>
      <t xml:space="preserve">  </t>
    </r>
    <r>
      <rPr>
        <rFont val="ＭＳ Ｐゴシック"/>
        <sz val="10.0"/>
      </rPr>
      <t>蒲田西署に立てられた</t>
    </r>
    <r>
      <rPr>
        <rFont val="Arial"/>
        <sz val="10.0"/>
      </rPr>
      <t>“</t>
    </r>
    <r>
      <rPr>
        <rFont val="ＭＳ Ｐゴシック"/>
        <sz val="10.0"/>
      </rPr>
      <t>多摩川変死体遺棄事件特別捜査本部</t>
    </r>
    <r>
      <rPr>
        <rFont val="Arial"/>
        <sz val="10.0"/>
      </rPr>
      <t>"</t>
    </r>
    <r>
      <rPr>
        <rFont val="ＭＳ Ｐゴシック"/>
        <sz val="10.0"/>
      </rPr>
      <t>に捜査一課の面々が集結する。直感に頼りがちな姫川</t>
    </r>
    <r>
      <rPr>
        <rFont val="Arial"/>
        <sz val="10.0"/>
      </rPr>
      <t>(</t>
    </r>
    <r>
      <rPr>
        <rFont val="ＭＳ Ｐゴシック"/>
        <sz val="10.0"/>
      </rPr>
      <t>二階堂ふみ</t>
    </r>
    <r>
      <rPr>
        <rFont val="Arial"/>
        <sz val="10.0"/>
      </rPr>
      <t>)</t>
    </r>
    <r>
      <rPr>
        <rFont val="ＭＳ Ｐゴシック"/>
        <sz val="10.0"/>
      </rPr>
      <t>の推察に反論するのは「予断は禁物です」が口癖の日下</t>
    </r>
    <r>
      <rPr>
        <rFont val="Arial"/>
        <sz val="10.0"/>
      </rPr>
      <t>(</t>
    </r>
    <r>
      <rPr>
        <rFont val="ＭＳ Ｐゴシック"/>
        <sz val="10.0"/>
      </rPr>
      <t>神保悟志</t>
    </r>
    <r>
      <rPr>
        <rFont val="Arial"/>
        <sz val="10.0"/>
      </rPr>
      <t>)</t>
    </r>
    <r>
      <rPr>
        <rFont val="ＭＳ Ｐゴシック"/>
        <sz val="10.0"/>
      </rPr>
      <t>。正反対のタイプ同士、常にぶつかり合う両者が、この難事件を合同で捜査することに。なぜ高岡は殺されたのか。そして、なぜ手首だけが残されていたのか</t>
    </r>
    <r>
      <rPr>
        <rFont val="Arial"/>
        <sz val="10.0"/>
      </rPr>
      <t>?</t>
    </r>
    <r>
      <rPr>
        <rFont val="ＭＳ Ｐゴシック"/>
        <sz val="10.0"/>
      </rPr>
      <t>死体無き殺人事件の真相を追う姫川たちの前に、次々と驚がくの真実が浮かび上がっていく</t>
    </r>
    <r>
      <rPr>
        <rFont val="Arial"/>
        <sz val="10.0"/>
      </rPr>
      <t>…</t>
    </r>
    <r>
      <rPr>
        <rFont val="ＭＳ Ｐゴシック"/>
        <sz val="10.0"/>
      </rPr>
      <t>。</t>
    </r>
  </si>
  <si>
    <t>多摩川土手の路上に放置されていた三輪スクーターの荷台から、成人男性の左手首が発見された!被害者は、高岡工務店を営む大工・高岡賢一(寺脇康文)。9年前、同じ工事現場で働いていた鳶(とび)職の三島忠治が建設中のマンションから転落して死亡。忠治を救えなかったことに責任を感じた高岡は、以来、ひとり残された忠治の息子・耕介(堀井新太)を我が子のようにかわいがってきた。中学を卒業した耕介を高岡工務店に誘い、血はつながらなくとも本当の親子のように暮らしてきた2人。だがある朝、耕介がガレージのシャッターを開けるとそこは血の海で…。  高岡の身を案じた耕介は電話をかけるもつながらず、自宅も不在だったため交番で事情を説明。すると、多摩川土手で見つかった左手首の血液とDNAが高岡のそれと一致した。さらに、親指の傷跡の形により、警察はその左手首が高岡のものであると断定。  蒲田西署に立てられた“多摩川変死体遺棄事件特別捜査本部"に捜査一課の面々が集結する。直感に頼りがちな姫川(二階堂ふみ)の推察に反論するのは「予断は禁物です」が口癖の日下(神保悟志)。正反対のタイプ同士、常にぶつかり合う両者が、この難事件を合同で捜査することに。なぜ高岡は殺されたのか。そして、なぜ手首だけが残されていたのか?死体無き殺人事件の真相を追う姫川たちの前に、次々と驚がくの真実が浮かび上がっていく…。</t>
  </si>
  <si>
    <t>番組名&lt;木曜劇場&gt;ストロベリーナイト・サーガ【ソウルケイジ～解決編～】　#03</t>
  </si>
  <si>
    <r>
      <rPr>
        <rFont val="ＭＳ Ｐゴシック"/>
        <sz val="10.0"/>
      </rPr>
      <t>多摩川土手で成人男性の左手首が発見された</t>
    </r>
    <r>
      <rPr>
        <rFont val="Arial"/>
        <sz val="10.0"/>
      </rPr>
      <t>“</t>
    </r>
    <r>
      <rPr>
        <rFont val="ＭＳ Ｐゴシック"/>
        <sz val="10.0"/>
      </rPr>
      <t>死体なき殺人事件</t>
    </r>
    <r>
      <rPr>
        <rFont val="Arial"/>
        <sz val="10.0"/>
      </rPr>
      <t>"</t>
    </r>
    <r>
      <rPr>
        <rFont val="ＭＳ Ｐゴシック"/>
        <sz val="10.0"/>
      </rPr>
      <t>。被害者は、高岡工務店を営む大工・高岡賢一</t>
    </r>
    <r>
      <rPr>
        <rFont val="Arial"/>
        <sz val="10.0"/>
      </rPr>
      <t>(</t>
    </r>
    <r>
      <rPr>
        <rFont val="ＭＳ Ｐゴシック"/>
        <sz val="10.0"/>
      </rPr>
      <t>寺脇康文</t>
    </r>
    <r>
      <rPr>
        <rFont val="Arial"/>
        <sz val="10.0"/>
      </rPr>
      <t>)</t>
    </r>
    <r>
      <rPr>
        <rFont val="ＭＳ Ｐゴシック"/>
        <sz val="10.0"/>
      </rPr>
      <t>。姫川玲子</t>
    </r>
    <r>
      <rPr>
        <rFont val="Arial"/>
        <sz val="10.0"/>
      </rPr>
      <t>(</t>
    </r>
    <r>
      <rPr>
        <rFont val="ＭＳ Ｐゴシック"/>
        <sz val="10.0"/>
      </rPr>
      <t>二階堂ふみ</t>
    </r>
    <r>
      <rPr>
        <rFont val="Arial"/>
        <sz val="10.0"/>
      </rPr>
      <t>)</t>
    </r>
    <r>
      <rPr>
        <rFont val="ＭＳ Ｐゴシック"/>
        <sz val="10.0"/>
      </rPr>
      <t>、菊田和男</t>
    </r>
    <r>
      <rPr>
        <rFont val="Arial"/>
        <sz val="10.0"/>
      </rPr>
      <t>(</t>
    </r>
    <r>
      <rPr>
        <rFont val="ＭＳ Ｐゴシック"/>
        <sz val="10.0"/>
      </rPr>
      <t>亀梨和也</t>
    </r>
    <r>
      <rPr>
        <rFont val="Arial"/>
        <sz val="10.0"/>
      </rPr>
      <t>)</t>
    </r>
    <r>
      <rPr>
        <rFont val="ＭＳ Ｐゴシック"/>
        <sz val="10.0"/>
      </rPr>
      <t>たちは、殺害された高岡が、まったく別の人間である可能性が出てきたことを捜査本部で報告する。高岡の生命保険の受取人は、高岡が息子のようにかわいがっていた三島耕介</t>
    </r>
    <r>
      <rPr>
        <rFont val="Arial"/>
        <sz val="10.0"/>
      </rPr>
      <t>(</t>
    </r>
    <r>
      <rPr>
        <rFont val="ＭＳ Ｐゴシック"/>
        <sz val="10.0"/>
      </rPr>
      <t>堀井新太</t>
    </r>
    <r>
      <rPr>
        <rFont val="Arial"/>
        <sz val="10.0"/>
      </rPr>
      <t>)</t>
    </r>
    <r>
      <rPr>
        <rFont val="ＭＳ Ｐゴシック"/>
        <sz val="10.0"/>
      </rPr>
      <t>の他に、内藤君江という女性がいることが判明した。さらに捜査を進める中で、君江の弟である内藤和敏こそが、殺害された高岡の本当の名前である可能性が浮上。和敏には意識不明で入院中の息子、雄太がいた。和敏は</t>
    </r>
    <r>
      <rPr>
        <rFont val="Arial"/>
        <sz val="10.0"/>
      </rPr>
      <t>12</t>
    </r>
    <r>
      <rPr>
        <rFont val="ＭＳ Ｐゴシック"/>
        <sz val="10.0"/>
      </rPr>
      <t>年前に自殺しており、過去になんらかの理由で内藤と高岡が戸籍ごと入れ替わったのではないか、と姫川は推測する。橋爪俊介管理官</t>
    </r>
    <r>
      <rPr>
        <rFont val="Arial"/>
        <sz val="10.0"/>
      </rPr>
      <t>(</t>
    </r>
    <r>
      <rPr>
        <rFont val="ＭＳ Ｐゴシック"/>
        <sz val="10.0"/>
      </rPr>
      <t>岡田浩暉</t>
    </r>
    <r>
      <rPr>
        <rFont val="Arial"/>
        <sz val="10.0"/>
      </rPr>
      <t>)</t>
    </r>
    <r>
      <rPr>
        <rFont val="ＭＳ Ｐゴシック"/>
        <sz val="10.0"/>
      </rPr>
      <t>は、姫川が点と点を勘でつなぎ合わせただけで裏付けがないと反論。「被害者が高岡だろうが内藤だろうが、殺したのは誰なんだよ</t>
    </r>
    <r>
      <rPr>
        <rFont val="Arial"/>
        <sz val="10.0"/>
      </rPr>
      <t>!</t>
    </r>
    <r>
      <rPr>
        <rFont val="ＭＳ Ｐゴシック"/>
        <sz val="10.0"/>
      </rPr>
      <t>」といらだつ橋爪。難航する捜査</t>
    </r>
    <r>
      <rPr>
        <rFont val="Arial"/>
        <sz val="10.0"/>
      </rPr>
      <t>…</t>
    </r>
    <r>
      <rPr>
        <rFont val="ＭＳ Ｐゴシック"/>
        <sz val="10.0"/>
      </rPr>
      <t>。犯人を追う姫川たちを、予想だにしない衝撃の結末が待ち受ける。</t>
    </r>
  </si>
  <si>
    <t>多摩川土手で成人男性の左手首が発見された“死体なき殺人事件"。被害者は、高岡工務店を営む大工・高岡賢一(寺脇康文)。姫川玲子(二階堂ふみ)、菊田和男(亀梨和也)たちは、殺害された高岡が、まったく別の人間である可能性が出てきたことを捜査本部で報告する。高岡の生命保険の受取人は、高岡が息子のようにかわいがっていた三島耕介(堀井新太)の他に、内藤君江という女性がいることが判明した。さらに捜査を進める中で、君江の弟である内藤和敏こそが、殺害された高岡の本当の名前である可能性が浮上。和敏には意識不明で入院中の息子、雄太がいた。和敏は12年前に自殺しており、過去になんらかの理由で内藤と高岡が戸籍ごと入れ替わったのではないか、と姫川は推測する。橋爪俊介管理官(岡田浩暉)は、姫川が点と点を勘でつなぎ合わせただけで裏付けがないと反論。「被害者が高岡だろうが内藤だろうが、殺したのは誰なんだよ!」といらだつ橋爪。難航する捜査…。犯人を追う姫川たちを、予想だにしない衝撃の結末が待ち受ける。</t>
  </si>
  <si>
    <t>番組名&lt;木曜劇場&gt;ストロベリーナイト・サーガ【新章突入!取調室緊迫の攻防】　#04</t>
  </si>
  <si>
    <r>
      <rPr>
        <rFont val="ＭＳ Ｐゴシック"/>
        <sz val="10.0"/>
      </rPr>
      <t>「不審死を遂げた男がいる」と、監察医の國奥定之助</t>
    </r>
    <r>
      <rPr>
        <rFont val="Arial"/>
        <sz val="10.0"/>
      </rPr>
      <t>(</t>
    </r>
    <r>
      <rPr>
        <rFont val="ＭＳ Ｐゴシック"/>
        <sz val="10.0"/>
      </rPr>
      <t>伊武雅刀</t>
    </r>
    <r>
      <rPr>
        <rFont val="Arial"/>
        <sz val="10.0"/>
      </rPr>
      <t>)</t>
    </r>
    <r>
      <rPr>
        <rFont val="ＭＳ Ｐゴシック"/>
        <sz val="10.0"/>
      </rPr>
      <t>に呼び出された姫川玲子</t>
    </r>
    <r>
      <rPr>
        <rFont val="Arial"/>
        <sz val="10.0"/>
      </rPr>
      <t>(</t>
    </r>
    <r>
      <rPr>
        <rFont val="ＭＳ Ｐゴシック"/>
        <sz val="10.0"/>
      </rPr>
      <t>二階堂ふみ</t>
    </r>
    <r>
      <rPr>
        <rFont val="Arial"/>
        <sz val="10.0"/>
      </rPr>
      <t>)</t>
    </r>
    <r>
      <rPr>
        <rFont val="ＭＳ Ｐゴシック"/>
        <sz val="10.0"/>
      </rPr>
      <t>。男の死因は劇症肝炎と判断され、体内からは覚せい剤も検出されていた。時を同じくして、劇症肝炎で死亡した別の男がいることが判明。死体からは同じ成分の覚せい剤が検出され、姫川は連続殺人事件の可能性があるとして捜査を開始する。すると、死亡した</t>
    </r>
    <r>
      <rPr>
        <rFont val="Arial"/>
        <sz val="10.0"/>
      </rPr>
      <t>2</t>
    </r>
    <r>
      <rPr>
        <rFont val="ＭＳ Ｐゴシック"/>
        <sz val="10.0"/>
      </rPr>
      <t>人の男の携帯電話から共通の番号が見つかる。持ち主として浮上したのは意外にも、黒髪で清楚</t>
    </r>
    <r>
      <rPr>
        <rFont val="Arial"/>
        <sz val="10.0"/>
      </rPr>
      <t>(</t>
    </r>
    <r>
      <rPr>
        <rFont val="ＭＳ Ｐゴシック"/>
        <sz val="10.0"/>
      </rPr>
      <t>せいそ</t>
    </r>
    <r>
      <rPr>
        <rFont val="Arial"/>
        <sz val="10.0"/>
      </rPr>
      <t>)</t>
    </r>
    <r>
      <rPr>
        <rFont val="ＭＳ Ｐゴシック"/>
        <sz val="10.0"/>
      </rPr>
      <t>、いかにも優等生らしい女子高生、下坂美樹</t>
    </r>
    <r>
      <rPr>
        <rFont val="Arial"/>
        <sz val="10.0"/>
      </rPr>
      <t>(</t>
    </r>
    <r>
      <rPr>
        <rFont val="ＭＳ Ｐゴシック"/>
        <sz val="10.0"/>
      </rPr>
      <t>山田杏奈</t>
    </r>
    <r>
      <rPr>
        <rFont val="Arial"/>
        <sz val="10.0"/>
      </rPr>
      <t>)</t>
    </r>
    <r>
      <rPr>
        <rFont val="ＭＳ Ｐゴシック"/>
        <sz val="10.0"/>
      </rPr>
      <t>だった。見かけによらず反抗的かつ挑発的な態度を取る下坂。下坂はなぜ成人男性と連絡を取っていたのか</t>
    </r>
    <r>
      <rPr>
        <rFont val="Arial"/>
        <sz val="10.0"/>
      </rPr>
      <t>?</t>
    </r>
    <r>
      <rPr>
        <rFont val="ＭＳ Ｐゴシック"/>
        <sz val="10.0"/>
      </rPr>
      <t>そして彼らを殺したのは下坂なのか</t>
    </r>
    <r>
      <rPr>
        <rFont val="Arial"/>
        <sz val="10.0"/>
      </rPr>
      <t>?</t>
    </r>
    <r>
      <rPr>
        <rFont val="ＭＳ Ｐゴシック"/>
        <sz val="10.0"/>
      </rPr>
      <t>姫川と下坂の緊迫した心理戦が繰り広げられる。</t>
    </r>
  </si>
  <si>
    <t>「不審死を遂げた男がいる」と、監察医の國奥定之助(伊武雅刀)に呼び出された姫川玲子(二階堂ふみ)。男の死因は劇症肝炎と判断され、体内からは覚せい剤も検出されていた。時を同じくして、劇症肝炎で死亡した別の男がいることが判明。死体からは同じ成分の覚せい剤が検出され、姫川は連続殺人事件の可能性があるとして捜査を開始する。すると、死亡した2人の男の携帯電話から共通の番号が見つかる。持ち主として浮上したのは意外にも、黒髪で清楚(せいそ)、いかにも優等生らしい女子高生、下坂美樹(山田杏奈)だった。見かけによらず反抗的かつ挑発的な態度を取る下坂。下坂はなぜ成人男性と連絡を取っていたのか?そして彼らを殺したのは下坂なのか?姫川と下坂の緊迫した心理戦が繰り広げられる。</t>
  </si>
  <si>
    <t>番組名&lt;木曜劇場&gt;ストロベリーナイト・サーガ【超能力者の殺人?!番号の謎】　#05</t>
  </si>
  <si>
    <r>
      <rPr>
        <rFont val="ＭＳ Ｐゴシック"/>
        <sz val="10.0"/>
      </rPr>
      <t>板橋区のアパートで</t>
    </r>
    <r>
      <rPr>
        <rFont val="Arial"/>
        <sz val="10.0"/>
      </rPr>
      <t>50</t>
    </r>
    <r>
      <rPr>
        <rFont val="ＭＳ Ｐゴシック"/>
        <sz val="10.0"/>
      </rPr>
      <t>代男性の死体が見つかった。死因は全身数カ所刺されての外傷性ショック死。現場に駆けつけた姫川玲子</t>
    </r>
    <r>
      <rPr>
        <rFont val="Arial"/>
        <sz val="10.0"/>
      </rPr>
      <t>(</t>
    </r>
    <r>
      <rPr>
        <rFont val="ＭＳ Ｐゴシック"/>
        <sz val="10.0"/>
      </rPr>
      <t>二階堂ふみ</t>
    </r>
    <r>
      <rPr>
        <rFont val="Arial"/>
        <sz val="10.0"/>
      </rPr>
      <t>)</t>
    </r>
    <r>
      <rPr>
        <rFont val="ＭＳ Ｐゴシック"/>
        <sz val="10.0"/>
      </rPr>
      <t>たちに、高島平南署の相楽康江巡査部長</t>
    </r>
    <r>
      <rPr>
        <rFont val="Arial"/>
        <sz val="10.0"/>
      </rPr>
      <t>(</t>
    </r>
    <r>
      <rPr>
        <rFont val="ＭＳ Ｐゴシック"/>
        <sz val="10.0"/>
      </rPr>
      <t>宮地雅子</t>
    </r>
    <r>
      <rPr>
        <rFont val="Arial"/>
        <sz val="10.0"/>
      </rPr>
      <t>)</t>
    </r>
    <r>
      <rPr>
        <rFont val="ＭＳ Ｐゴシック"/>
        <sz val="10.0"/>
      </rPr>
      <t>が状況を説明する。殺害されたのはこのアパートの住人、吉原秀一</t>
    </r>
    <r>
      <rPr>
        <rFont val="Arial"/>
        <sz val="10.0"/>
      </rPr>
      <t>(</t>
    </r>
    <r>
      <rPr>
        <rFont val="ＭＳ Ｐゴシック"/>
        <sz val="10.0"/>
      </rPr>
      <t>小林隆</t>
    </r>
    <r>
      <rPr>
        <rFont val="Arial"/>
        <sz val="10.0"/>
      </rPr>
      <t>)</t>
    </r>
    <r>
      <rPr>
        <rFont val="ＭＳ Ｐゴシック"/>
        <sz val="10.0"/>
      </rPr>
      <t>。指紋が拭き取られた凶器の包丁は、この部屋のものと思われた。死体のそばにある</t>
    </r>
    <r>
      <rPr>
        <rFont val="Arial"/>
        <sz val="10.0"/>
      </rPr>
      <t>“</t>
    </r>
    <r>
      <rPr>
        <rFont val="ＭＳ Ｐゴシック"/>
        <sz val="10.0"/>
      </rPr>
      <t>ある印</t>
    </r>
    <r>
      <rPr>
        <rFont val="Arial"/>
        <sz val="10.0"/>
      </rPr>
      <t>"</t>
    </r>
    <r>
      <rPr>
        <rFont val="ＭＳ Ｐゴシック"/>
        <sz val="10.0"/>
      </rPr>
      <t>に気づいた姫川に、相楽は吉原の持ち物と思われる折りたたみ式携帯電話を見せる。相楽によると携帯には入力途中の番号「</t>
    </r>
    <r>
      <rPr>
        <rFont val="Arial"/>
        <sz val="10.0"/>
      </rPr>
      <t>0456666*</t>
    </r>
    <r>
      <rPr>
        <rFont val="ＭＳ Ｐゴシック"/>
        <sz val="10.0"/>
      </rPr>
      <t>」が表示されていたという。</t>
    </r>
    <r>
      <rPr>
        <rFont val="Arial"/>
        <sz val="10.0"/>
      </rPr>
      <t xml:space="preserve">  </t>
    </r>
    <r>
      <rPr>
        <rFont val="ＭＳ Ｐゴシック"/>
        <sz val="10.0"/>
      </rPr>
      <t>いったい誰が、なんの目的で殺害したのか</t>
    </r>
    <r>
      <rPr>
        <rFont val="Arial"/>
        <sz val="10.0"/>
      </rPr>
      <t>?</t>
    </r>
    <r>
      <rPr>
        <rFont val="ＭＳ Ｐゴシック"/>
        <sz val="10.0"/>
      </rPr>
      <t>そして被害者の携帯にガンテツ</t>
    </r>
    <r>
      <rPr>
        <rFont val="Arial"/>
        <sz val="10.0"/>
      </rPr>
      <t>(</t>
    </r>
    <r>
      <rPr>
        <rFont val="ＭＳ Ｐゴシック"/>
        <sz val="10.0"/>
      </rPr>
      <t>江口洋介</t>
    </r>
    <r>
      <rPr>
        <rFont val="Arial"/>
        <sz val="10.0"/>
      </rPr>
      <t>)</t>
    </r>
    <r>
      <rPr>
        <rFont val="ＭＳ Ｐゴシック"/>
        <sz val="10.0"/>
      </rPr>
      <t>の名前が登録されていた理由とは</t>
    </r>
    <r>
      <rPr>
        <rFont val="Arial"/>
        <sz val="10.0"/>
      </rPr>
      <t>?</t>
    </r>
  </si>
  <si>
    <t>板橋区のアパートで50代男性の死体が見つかった。死因は全身数カ所刺されての外傷性ショック死。現場に駆けつけた姫川玲子(二階堂ふみ)たちに、高島平南署の相楽康江巡査部長(宮地雅子)が状況を説明する。殺害されたのはこのアパートの住人、吉原秀一(小林隆)。指紋が拭き取られた凶器の包丁は、この部屋のものと思われた。死体のそばにある“ある印"に気づいた姫川に、相楽は吉原の持ち物と思われる折りたたみ式携帯電話を見せる。相楽によると携帯には入力途中の番号「0456666*」が表示されていたという。  いったい誰が、なんの目的で殺害したのか?そして被害者の携帯にガンテツ(江口洋介)の名前が登録されていた理由とは?</t>
  </si>
  <si>
    <t>番組名&lt;木曜劇場&gt;ストロベリーナイト・サーガ【初映像化!通り魔事件の真相】　#06</t>
  </si>
  <si>
    <r>
      <rPr>
        <rFont val="ＭＳ Ｐゴシック"/>
        <sz val="10.0"/>
      </rPr>
      <t>民間人を突如襲った連続刺傷事件。計画的犯行なのか、通り魔によるものなのか定かではないが、かつて、通り魔に大切な人の命を奪われた経験のある葉山則之</t>
    </r>
    <r>
      <rPr>
        <rFont val="Arial"/>
        <sz val="10.0"/>
      </rPr>
      <t>(</t>
    </r>
    <r>
      <rPr>
        <rFont val="ＭＳ Ｐゴシック"/>
        <sz val="10.0"/>
      </rPr>
      <t>葉山奨之</t>
    </r>
    <r>
      <rPr>
        <rFont val="Arial"/>
        <sz val="10.0"/>
      </rPr>
      <t>)</t>
    </r>
    <r>
      <rPr>
        <rFont val="ＭＳ Ｐゴシック"/>
        <sz val="10.0"/>
      </rPr>
      <t>は、自身の辛い過去を重ねるように事件解明にのめり込んでいく。捜査本部の立てられた上本所署に赴いた姫川班の面々。担当係長の越野忠光</t>
    </r>
    <r>
      <rPr>
        <rFont val="Arial"/>
        <sz val="10.0"/>
      </rPr>
      <t>(</t>
    </r>
    <r>
      <rPr>
        <rFont val="ＭＳ Ｐゴシック"/>
        <sz val="10.0"/>
      </rPr>
      <t>田中啓三</t>
    </r>
    <r>
      <rPr>
        <rFont val="Arial"/>
        <sz val="10.0"/>
      </rPr>
      <t>)</t>
    </r>
    <r>
      <rPr>
        <rFont val="ＭＳ Ｐゴシック"/>
        <sz val="10.0"/>
      </rPr>
      <t>から詳しい現状を聞く。最初に刃物で襲われた峰岡里美</t>
    </r>
    <r>
      <rPr>
        <rFont val="Arial"/>
        <sz val="10.0"/>
      </rPr>
      <t>(</t>
    </r>
    <r>
      <rPr>
        <rFont val="ＭＳ Ｐゴシック"/>
        <sz val="10.0"/>
      </rPr>
      <t>黒沢あすか</t>
    </r>
    <r>
      <rPr>
        <rFont val="Arial"/>
        <sz val="10.0"/>
      </rPr>
      <t>)</t>
    </r>
    <r>
      <rPr>
        <rFont val="ＭＳ Ｐゴシック"/>
        <sz val="10.0"/>
      </rPr>
      <t>は、数カ所を刺され、すがる思いで通行中の菅沼久志</t>
    </r>
    <r>
      <rPr>
        <rFont val="Arial"/>
        <sz val="10.0"/>
      </rPr>
      <t>(</t>
    </r>
    <r>
      <rPr>
        <rFont val="ＭＳ Ｐゴシック"/>
        <sz val="10.0"/>
      </rPr>
      <t>市川貴之</t>
    </r>
    <r>
      <rPr>
        <rFont val="Arial"/>
        <sz val="10.0"/>
      </rPr>
      <t>)</t>
    </r>
    <r>
      <rPr>
        <rFont val="ＭＳ Ｐゴシック"/>
        <sz val="10.0"/>
      </rPr>
      <t>、小野彩香</t>
    </r>
    <r>
      <rPr>
        <rFont val="Arial"/>
        <sz val="10.0"/>
      </rPr>
      <t>(</t>
    </r>
    <r>
      <rPr>
        <rFont val="ＭＳ Ｐゴシック"/>
        <sz val="10.0"/>
      </rPr>
      <t>横田美紀</t>
    </r>
    <r>
      <rPr>
        <rFont val="Arial"/>
        <sz val="10.0"/>
      </rPr>
      <t>)</t>
    </r>
    <r>
      <rPr>
        <rFont val="ＭＳ Ｐゴシック"/>
        <sz val="10.0"/>
      </rPr>
      <t>に助けを求めたという。菅沼と小野は会社の同僚で、昼食を食べた店から出てきた所だった。そんな</t>
    </r>
    <r>
      <rPr>
        <rFont val="Arial"/>
        <sz val="10.0"/>
      </rPr>
      <t>2</t>
    </r>
    <r>
      <rPr>
        <rFont val="ＭＳ Ｐゴシック"/>
        <sz val="10.0"/>
      </rPr>
      <t>人も事件に巻き込まれ、菅沼は失血死してしまう。その後、容疑者は自殺を図って意識不明の重体となってしまったため、犯行動機や身元の特定が困難になっていた。事件の裏に隠された、犯人の悲しい動機とは</t>
    </r>
    <r>
      <rPr>
        <rFont val="Arial"/>
        <sz val="10.0"/>
      </rPr>
      <t>…?</t>
    </r>
  </si>
  <si>
    <t>民間人を突如襲った連続刺傷事件。計画的犯行なのか、通り魔によるものなのか定かではないが、かつて、通り魔に大切な人の命を奪われた経験のある葉山則之(葉山奨之)は、自身の辛い過去を重ねるように事件解明にのめり込んでいく。捜査本部の立てられた上本所署に赴いた姫川班の面々。担当係長の越野忠光(田中啓三)から詳しい現状を聞く。最初に刃物で襲われた峰岡里美(黒沢あすか)は、数カ所を刺され、すがる思いで通行中の菅沼久志(市川貴之)、小野彩香(横田美紀)に助けを求めたという。菅沼と小野は会社の同僚で、昼食を食べた店から出てきた所だった。そんな2人も事件に巻き込まれ、菅沼は失血死してしまう。その後、容疑者は自殺を図って意識不明の重体となってしまったため、犯行動機や身元の特定が困難になっていた。事件の裏に隠された、犯人の悲しい動機とは…?</t>
  </si>
  <si>
    <t>番組名&lt;木曜劇場&gt;ストロベリーナイト・サーガ【第二部!インビジブルレイン】　#07</t>
  </si>
  <si>
    <r>
      <rPr>
        <rFont val="ＭＳ Ｐゴシック"/>
        <sz val="10.0"/>
      </rPr>
      <t>暴力団組織・六龍会の小林充が何者かに殺害された。顔は傷だらけで、刃物の扱いに慣れていない者がメチャクチャに切りつけたように見えたという。殺害されていたアパートは小林が同棲中の志村恵実の部屋。第一発見者でもある恵実への事情聴取が始まった。</t>
    </r>
    <r>
      <rPr>
        <rFont val="Arial"/>
        <sz val="10.0"/>
      </rPr>
      <t xml:space="preserve">  </t>
    </r>
    <r>
      <rPr>
        <rFont val="ＭＳ Ｐゴシック"/>
        <sz val="10.0"/>
      </rPr>
      <t>特別捜査本部が立つ中野北署に集められた姫川班の面々。その矢先、特捜本部にタレコミの電話が入る。それは「小林を殺したのは</t>
    </r>
    <r>
      <rPr>
        <rFont val="Arial"/>
        <sz val="10.0"/>
      </rPr>
      <t>“</t>
    </r>
    <r>
      <rPr>
        <rFont val="ＭＳ Ｐゴシック"/>
        <sz val="10.0"/>
      </rPr>
      <t>ヤナイケント</t>
    </r>
    <r>
      <rPr>
        <rFont val="Arial"/>
        <sz val="10.0"/>
      </rPr>
      <t>"</t>
    </r>
    <r>
      <rPr>
        <rFont val="ＭＳ Ｐゴシック"/>
        <sz val="10.0"/>
      </rPr>
      <t>」という内容だった。容疑者</t>
    </r>
    <r>
      <rPr>
        <rFont val="Arial"/>
        <sz val="10.0"/>
      </rPr>
      <t>“</t>
    </r>
    <r>
      <rPr>
        <rFont val="ＭＳ Ｐゴシック"/>
        <sz val="10.0"/>
      </rPr>
      <t>ヤナイケント</t>
    </r>
    <r>
      <rPr>
        <rFont val="Arial"/>
        <sz val="10.0"/>
      </rPr>
      <t>"</t>
    </r>
    <r>
      <rPr>
        <rFont val="ＭＳ Ｐゴシック"/>
        <sz val="10.0"/>
      </rPr>
      <t>を追おうとする姫川</t>
    </r>
    <r>
      <rPr>
        <rFont val="Arial"/>
        <sz val="10.0"/>
      </rPr>
      <t>(</t>
    </r>
    <r>
      <rPr>
        <rFont val="ＭＳ Ｐゴシック"/>
        <sz val="10.0"/>
      </rPr>
      <t>二階堂ふみ</t>
    </r>
    <r>
      <rPr>
        <rFont val="Arial"/>
        <sz val="10.0"/>
      </rPr>
      <t>)</t>
    </r>
    <r>
      <rPr>
        <rFont val="ＭＳ Ｐゴシック"/>
        <sz val="10.0"/>
      </rPr>
      <t>に、警察上層部は当人を追及しないよう指示を出す。指示の裏には、過去の不祥事を隠ぺいしようとする上層部の思惑があった。巨大な警察組織の後ろ盾を失ったまま、姫川は菊田</t>
    </r>
    <r>
      <rPr>
        <rFont val="Arial"/>
        <sz val="10.0"/>
      </rPr>
      <t>(</t>
    </r>
    <r>
      <rPr>
        <rFont val="ＭＳ Ｐゴシック"/>
        <sz val="10.0"/>
      </rPr>
      <t>亀梨和也</t>
    </r>
    <r>
      <rPr>
        <rFont val="Arial"/>
        <sz val="10.0"/>
      </rPr>
      <t>)</t>
    </r>
    <r>
      <rPr>
        <rFont val="ＭＳ Ｐゴシック"/>
        <sz val="10.0"/>
      </rPr>
      <t>たちの力を借りることもせず、無謀な単独捜査を進めていく。そんな中、同じく</t>
    </r>
    <r>
      <rPr>
        <rFont val="Arial"/>
        <sz val="10.0"/>
      </rPr>
      <t>“</t>
    </r>
    <r>
      <rPr>
        <rFont val="ＭＳ Ｐゴシック"/>
        <sz val="10.0"/>
      </rPr>
      <t>ヤナイケント</t>
    </r>
    <r>
      <rPr>
        <rFont val="Arial"/>
        <sz val="10.0"/>
      </rPr>
      <t>"</t>
    </r>
    <r>
      <rPr>
        <rFont val="ＭＳ Ｐゴシック"/>
        <sz val="10.0"/>
      </rPr>
      <t>の居場所を探していた極桜会会長、牧田勲</t>
    </r>
    <r>
      <rPr>
        <rFont val="Arial"/>
        <sz val="10.0"/>
      </rPr>
      <t>(</t>
    </r>
    <r>
      <rPr>
        <rFont val="ＭＳ Ｐゴシック"/>
        <sz val="10.0"/>
      </rPr>
      <t>山本耕史</t>
    </r>
    <r>
      <rPr>
        <rFont val="Arial"/>
        <sz val="10.0"/>
      </rPr>
      <t>)</t>
    </r>
    <r>
      <rPr>
        <rFont val="ＭＳ Ｐゴシック"/>
        <sz val="10.0"/>
      </rPr>
      <t>と出会う姫川。相手の素性を知らないまま、姫川と牧田はお互い惹かれ合っていくがー。</t>
    </r>
  </si>
  <si>
    <t>暴力団組織・六龍会の小林充が何者かに殺害された。顔は傷だらけで、刃物の扱いに慣れていない者がメチャクチャに切りつけたように見えたという。殺害されていたアパートは小林が同棲中の志村恵実の部屋。第一発見者でもある恵実への事情聴取が始まった。  特別捜査本部が立つ中野北署に集められた姫川班の面々。その矢先、特捜本部にタレコミの電話が入る。それは「小林を殺したのは“ヤナイケント"」という内容だった。容疑者“ヤナイケント"を追おうとする姫川(二階堂ふみ)に、警察上層部は当人を追及しないよう指示を出す。指示の裏には、過去の不祥事を隠ぺいしようとする上層部の思惑があった。巨大な警察組織の後ろ盾を失ったまま、姫川は菊田(亀梨和也)たちの力を借りることもせず、無謀な単独捜査を進めていく。そんな中、同じく“ヤナイケント"の居場所を探していた極桜会会長、牧田勲(山本耕史)と出会う姫川。相手の素性を知らないまま、姫川と牧田はお互い惹かれ合っていくがー。</t>
  </si>
  <si>
    <t>番組名&lt;木曜劇場&gt;ストロベリーナイト・サーガ【インビジブルレイン後編】　#08</t>
  </si>
  <si>
    <r>
      <rPr>
        <rFont val="ＭＳ Ｐゴシック"/>
        <sz val="10.0"/>
      </rPr>
      <t>暴力団組織・六龍会の構成員、小林充</t>
    </r>
    <r>
      <rPr>
        <rFont val="Arial"/>
        <sz val="10.0"/>
      </rPr>
      <t>(</t>
    </r>
    <r>
      <rPr>
        <rFont val="ＭＳ Ｐゴシック"/>
        <sz val="10.0"/>
      </rPr>
      <t>古野陽大</t>
    </r>
    <r>
      <rPr>
        <rFont val="Arial"/>
        <sz val="10.0"/>
      </rPr>
      <t>)</t>
    </r>
    <r>
      <rPr>
        <rFont val="ＭＳ Ｐゴシック"/>
        <sz val="10.0"/>
      </rPr>
      <t>が殺害された事件。重要参考人として柳井健斗</t>
    </r>
    <r>
      <rPr>
        <rFont val="Arial"/>
        <sz val="10.0"/>
      </rPr>
      <t>(</t>
    </r>
    <r>
      <rPr>
        <rFont val="ＭＳ Ｐゴシック"/>
        <sz val="10.0"/>
      </rPr>
      <t>寺西拓人</t>
    </r>
    <r>
      <rPr>
        <rFont val="Arial"/>
        <sz val="10.0"/>
      </rPr>
      <t>)</t>
    </r>
    <r>
      <rPr>
        <rFont val="ＭＳ Ｐゴシック"/>
        <sz val="10.0"/>
      </rPr>
      <t>の名が浮上する。柳井は過去に実姉を何者かに殺され、さらに、警察の誤認により容疑を着せられた実父を自殺で亡くしていた。警察上層部はその不祥事を隠ぺいするべく「柳井を追うな」と指示を出す。そんな中、姫川玲子</t>
    </r>
    <r>
      <rPr>
        <rFont val="Arial"/>
        <sz val="10.0"/>
      </rPr>
      <t>(</t>
    </r>
    <r>
      <rPr>
        <rFont val="ＭＳ Ｐゴシック"/>
        <sz val="10.0"/>
      </rPr>
      <t>二階堂ふみ</t>
    </r>
    <r>
      <rPr>
        <rFont val="Arial"/>
        <sz val="10.0"/>
      </rPr>
      <t>)</t>
    </r>
    <r>
      <rPr>
        <rFont val="ＭＳ Ｐゴシック"/>
        <sz val="10.0"/>
      </rPr>
      <t>は菊田和男</t>
    </r>
    <r>
      <rPr>
        <rFont val="Arial"/>
        <sz val="10.0"/>
      </rPr>
      <t>(</t>
    </r>
    <r>
      <rPr>
        <rFont val="ＭＳ Ｐゴシック"/>
        <sz val="10.0"/>
      </rPr>
      <t>亀梨和也</t>
    </r>
    <r>
      <rPr>
        <rFont val="Arial"/>
        <sz val="10.0"/>
      </rPr>
      <t>)</t>
    </r>
    <r>
      <rPr>
        <rFont val="ＭＳ Ｐゴシック"/>
        <sz val="10.0"/>
      </rPr>
      <t>たちを巻き込まないよう、単独で捜査を進める。小林殺害事件には暴力団組織同士の内部抗争の可能性があるが、かつて小林は柳井の姉と恋人同士だったことから、もし、柳井の姉を殺害したのが小林だとしたら報復のために柳井が小林を殺害した可能性もある。</t>
    </r>
    <r>
      <rPr>
        <rFont val="Arial"/>
        <sz val="10.0"/>
      </rPr>
      <t xml:space="preserve">  </t>
    </r>
    <r>
      <rPr>
        <rFont val="ＭＳ Ｐゴシック"/>
        <sz val="10.0"/>
      </rPr>
      <t>時を同じくして柳井の行方を追っていた牧田勲</t>
    </r>
    <r>
      <rPr>
        <rFont val="Arial"/>
        <sz val="10.0"/>
      </rPr>
      <t>(</t>
    </r>
    <r>
      <rPr>
        <rFont val="ＭＳ Ｐゴシック"/>
        <sz val="10.0"/>
      </rPr>
      <t>山本耕史</t>
    </r>
    <r>
      <rPr>
        <rFont val="Arial"/>
        <sz val="10.0"/>
      </rPr>
      <t>)</t>
    </r>
    <r>
      <rPr>
        <rFont val="ＭＳ Ｐゴシック"/>
        <sz val="10.0"/>
      </rPr>
      <t>。牧田は西堂組傘下、極桜会の会長だった。初めこそ素性を知らずに接触した姫川だが、その正体が明らかになった後も、お互い本能的に惹かれていく。そんな中、西堂組跡目争いの本命と目される仁龍会会長、藤元英也</t>
    </r>
    <r>
      <rPr>
        <rFont val="Arial"/>
        <sz val="10.0"/>
      </rPr>
      <t>(</t>
    </r>
    <r>
      <rPr>
        <rFont val="ＭＳ Ｐゴシック"/>
        <sz val="10.0"/>
      </rPr>
      <t>鈴木隆仁</t>
    </r>
    <r>
      <rPr>
        <rFont val="Arial"/>
        <sz val="10.0"/>
      </rPr>
      <t>)</t>
    </r>
    <r>
      <rPr>
        <rFont val="ＭＳ Ｐゴシック"/>
        <sz val="10.0"/>
      </rPr>
      <t>が殺害され、組織の内部抗争の可能性が高まる。</t>
    </r>
    <r>
      <rPr>
        <rFont val="Arial"/>
        <sz val="10.0"/>
      </rPr>
      <t xml:space="preserve">  </t>
    </r>
    <r>
      <rPr>
        <rFont val="ＭＳ Ｐゴシック"/>
        <sz val="10.0"/>
      </rPr>
      <t>そんな中、藤元を撃ったと思われる拳銃が見つかり、付着していた指紋が柳井の部屋で勝俣健作</t>
    </r>
    <r>
      <rPr>
        <rFont val="Arial"/>
        <sz val="10.0"/>
      </rPr>
      <t>(</t>
    </r>
    <r>
      <rPr>
        <rFont val="ＭＳ Ｐゴシック"/>
        <sz val="10.0"/>
      </rPr>
      <t>江口洋介</t>
    </r>
    <r>
      <rPr>
        <rFont val="Arial"/>
        <sz val="10.0"/>
      </rPr>
      <t>)</t>
    </r>
    <r>
      <rPr>
        <rFont val="ＭＳ Ｐゴシック"/>
        <sz val="10.0"/>
      </rPr>
      <t>が採取したものと一致した。橋爪</t>
    </r>
    <r>
      <rPr>
        <rFont val="Arial"/>
        <sz val="10.0"/>
      </rPr>
      <t>(</t>
    </r>
    <r>
      <rPr>
        <rFont val="ＭＳ Ｐゴシック"/>
        <sz val="10.0"/>
      </rPr>
      <t>岡田浩暉</t>
    </r>
    <r>
      <rPr>
        <rFont val="Arial"/>
        <sz val="10.0"/>
      </rPr>
      <t>)</t>
    </r>
    <r>
      <rPr>
        <rFont val="ＭＳ Ｐゴシック"/>
        <sz val="10.0"/>
      </rPr>
      <t>は、柳井の身柄を確保するしかないと姫川に命令。姫川は再び牧田と接触し、情報を得ようとするが</t>
    </r>
    <r>
      <rPr>
        <rFont val="Arial"/>
        <sz val="10.0"/>
      </rPr>
      <t>…</t>
    </r>
    <r>
      <rPr>
        <rFont val="ＭＳ Ｐゴシック"/>
        <sz val="10.0"/>
      </rPr>
      <t>。</t>
    </r>
  </si>
  <si>
    <t>暴力団組織・六龍会の構成員、小林充(古野陽大)が殺害された事件。重要参考人として柳井健斗(寺西拓人)の名が浮上する。柳井は過去に実姉を何者かに殺され、さらに、警察の誤認により容疑を着せられた実父を自殺で亡くしていた。警察上層部はその不祥事を隠ぺいするべく「柳井を追うな」と指示を出す。そんな中、姫川玲子(二階堂ふみ)は菊田和男(亀梨和也)たちを巻き込まないよう、単独で捜査を進める。小林殺害事件には暴力団組織同士の内部抗争の可能性があるが、かつて小林は柳井の姉と恋人同士だったことから、もし、柳井の姉を殺害したのが小林だとしたら報復のために柳井が小林を殺害した可能性もある。  時を同じくして柳井の行方を追っていた牧田勲(山本耕史)。牧田は西堂組傘下、極桜会の会長だった。初めこそ素性を知らずに接触した姫川だが、その正体が明らかになった後も、お互い本能的に惹かれていく。そんな中、西堂組跡目争いの本命と目される仁龍会会長、藤元英也(鈴木隆仁)が殺害され、組織の内部抗争の可能性が高まる。  そんな中、藤元を撃ったと思われる拳銃が見つかり、付着していた指紋が柳井の部屋で勝俣健作(江口洋介)が採取したものと一致した。橋爪(岡田浩暉)は、柳井の身柄を確保するしかないと姫川に命令。姫川は再び牧田と接触し、情報を得ようとするが…。</t>
  </si>
  <si>
    <t>番組名&lt;木曜劇場&gt;ストロベリーナイト・サーガ【姫川班解体!再会への旅立ち】　#09</t>
  </si>
  <si>
    <r>
      <rPr>
        <rFont val="ＭＳ Ｐゴシック"/>
        <sz val="10.0"/>
      </rPr>
      <t>暴力団員・小林充</t>
    </r>
    <r>
      <rPr>
        <rFont val="Arial"/>
        <sz val="10.0"/>
      </rPr>
      <t>(</t>
    </r>
    <r>
      <rPr>
        <rFont val="ＭＳ Ｐゴシック"/>
        <sz val="10.0"/>
      </rPr>
      <t>古野陽大</t>
    </r>
    <r>
      <rPr>
        <rFont val="Arial"/>
        <sz val="10.0"/>
      </rPr>
      <t>)</t>
    </r>
    <r>
      <rPr>
        <rFont val="ＭＳ Ｐゴシック"/>
        <sz val="10.0"/>
      </rPr>
      <t>、暴力団組長・藤元英也</t>
    </r>
    <r>
      <rPr>
        <rFont val="Arial"/>
        <sz val="10.0"/>
      </rPr>
      <t>(</t>
    </r>
    <r>
      <rPr>
        <rFont val="ＭＳ Ｐゴシック"/>
        <sz val="10.0"/>
      </rPr>
      <t>鈴木隆仁</t>
    </r>
    <r>
      <rPr>
        <rFont val="Arial"/>
        <sz val="10.0"/>
      </rPr>
      <t>)</t>
    </r>
    <r>
      <rPr>
        <rFont val="ＭＳ Ｐゴシック"/>
        <sz val="10.0"/>
      </rPr>
      <t>が連続して殺害された事件。重要参考人の柳井健斗</t>
    </r>
    <r>
      <rPr>
        <rFont val="Arial"/>
        <sz val="10.0"/>
      </rPr>
      <t>(</t>
    </r>
    <r>
      <rPr>
        <rFont val="ＭＳ Ｐゴシック"/>
        <sz val="10.0"/>
      </rPr>
      <t>寺西拓人</t>
    </r>
    <r>
      <rPr>
        <rFont val="Arial"/>
        <sz val="10.0"/>
      </rPr>
      <t>)</t>
    </r>
    <r>
      <rPr>
        <rFont val="ＭＳ Ｐゴシック"/>
        <sz val="10.0"/>
      </rPr>
      <t>を自殺で亡くし、さらに牧田勲</t>
    </r>
    <r>
      <rPr>
        <rFont val="Arial"/>
        <sz val="10.0"/>
      </rPr>
      <t>(</t>
    </r>
    <r>
      <rPr>
        <rFont val="ＭＳ Ｐゴシック"/>
        <sz val="10.0"/>
      </rPr>
      <t>山本耕史</t>
    </r>
    <r>
      <rPr>
        <rFont val="Arial"/>
        <sz val="10.0"/>
      </rPr>
      <t>)</t>
    </r>
    <r>
      <rPr>
        <rFont val="ＭＳ Ｐゴシック"/>
        <sz val="10.0"/>
      </rPr>
      <t>を目の前で失ったことで、姫川</t>
    </r>
    <r>
      <rPr>
        <rFont val="Arial"/>
        <sz val="10.0"/>
      </rPr>
      <t>(</t>
    </r>
    <r>
      <rPr>
        <rFont val="ＭＳ Ｐゴシック"/>
        <sz val="10.0"/>
      </rPr>
      <t>二階堂ふみ</t>
    </r>
    <r>
      <rPr>
        <rFont val="Arial"/>
        <sz val="10.0"/>
      </rPr>
      <t>)</t>
    </r>
    <r>
      <rPr>
        <rFont val="ＭＳ Ｐゴシック"/>
        <sz val="10.0"/>
      </rPr>
      <t>は心に深い傷を負う。</t>
    </r>
    <r>
      <rPr>
        <rFont val="Arial"/>
        <sz val="10.0"/>
      </rPr>
      <t>4</t>
    </r>
    <r>
      <rPr>
        <rFont val="ＭＳ Ｐゴシック"/>
        <sz val="10.0"/>
      </rPr>
      <t>人の死をもって一応の解決をみたこの事件。数日後、警察は事件についての記者会見を開くことに。長岡刑事部長</t>
    </r>
    <r>
      <rPr>
        <rFont val="Arial"/>
        <sz val="10.0"/>
      </rPr>
      <t>(</t>
    </r>
    <r>
      <rPr>
        <rFont val="ＭＳ Ｐゴシック"/>
        <sz val="10.0"/>
      </rPr>
      <t>小市慢太郎</t>
    </r>
    <r>
      <rPr>
        <rFont val="Arial"/>
        <sz val="10.0"/>
      </rPr>
      <t>)</t>
    </r>
    <r>
      <rPr>
        <rFont val="ＭＳ Ｐゴシック"/>
        <sz val="10.0"/>
      </rPr>
      <t>は過去の不祥事が露呈しないよう、柳井については言及しないよう和田徹捜査一課長</t>
    </r>
    <r>
      <rPr>
        <rFont val="Arial"/>
        <sz val="10.0"/>
      </rPr>
      <t>(</t>
    </r>
    <r>
      <rPr>
        <rFont val="ＭＳ Ｐゴシック"/>
        <sz val="10.0"/>
      </rPr>
      <t>羽場裕一</t>
    </r>
    <r>
      <rPr>
        <rFont val="Arial"/>
        <sz val="10.0"/>
      </rPr>
      <t>)</t>
    </r>
    <r>
      <rPr>
        <rFont val="ＭＳ Ｐゴシック"/>
        <sz val="10.0"/>
      </rPr>
      <t>に命令していたが</t>
    </r>
    <r>
      <rPr>
        <rFont val="Arial"/>
        <sz val="10.0"/>
      </rPr>
      <t>…</t>
    </r>
    <r>
      <rPr>
        <rFont val="ＭＳ Ｐゴシック"/>
        <sz val="10.0"/>
      </rPr>
      <t>。</t>
    </r>
    <r>
      <rPr>
        <rFont val="Arial"/>
        <sz val="10.0"/>
      </rPr>
      <t xml:space="preserve">  </t>
    </r>
  </si>
  <si>
    <t xml:space="preserve">暴力団員・小林充(古野陽大)、暴力団組長・藤元英也(鈴木隆仁)が連続して殺害された事件。重要参考人の柳井健斗(寺西拓人)を自殺で亡くし、さらに牧田勲(山本耕史)を目の前で失ったことで、姫川(二階堂ふみ)は心に深い傷を負う。4人の死をもって一応の解決をみたこの事件。数日後、警察は事件についての記者会見を開くことに。長岡刑事部長(小市慢太郎)は過去の不祥事が露呈しないよう、柳井については言及しないよう和田徹捜査一課長(羽場裕一)に命令していたが…。  </t>
  </si>
  <si>
    <t>番組名&lt;木曜劇場&gt;ストロベリーナイト・サーガ【最終章突入!ブルーマーダー】　#10</t>
  </si>
  <si>
    <r>
      <rPr>
        <rFont val="ＭＳ Ｐゴシック"/>
        <sz val="10.0"/>
      </rPr>
      <t>池袋の貸しビル内で</t>
    </r>
    <r>
      <rPr>
        <rFont val="Arial"/>
        <sz val="10.0"/>
      </rPr>
      <t>1</t>
    </r>
    <r>
      <rPr>
        <rFont val="ＭＳ Ｐゴシック"/>
        <sz val="10.0"/>
      </rPr>
      <t>人の男が遺体となって発見された。殺されたのは暴力団組織、秋庭組組長の河村丈治。銃創、刺創ともに見当たらず致命傷になる出血もない一方で、内臓は破裂し</t>
    </r>
    <r>
      <rPr>
        <rFont val="Arial"/>
        <sz val="10.0"/>
      </rPr>
      <t>27</t>
    </r>
    <r>
      <rPr>
        <rFont val="ＭＳ Ｐゴシック"/>
        <sz val="10.0"/>
      </rPr>
      <t>カ所もの骨折があったという。聞き込み捜査を続けるうちに容疑者として浮上してきたのは</t>
    </r>
    <r>
      <rPr>
        <rFont val="Arial"/>
        <sz val="10.0"/>
      </rPr>
      <t>“</t>
    </r>
    <r>
      <rPr>
        <rFont val="ＭＳ Ｐゴシック"/>
        <sz val="10.0"/>
      </rPr>
      <t>ブルーマーダー</t>
    </r>
    <r>
      <rPr>
        <rFont val="Arial"/>
        <sz val="10.0"/>
      </rPr>
      <t>"</t>
    </r>
    <r>
      <rPr>
        <rFont val="ＭＳ Ｐゴシック"/>
        <sz val="10.0"/>
      </rPr>
      <t>と呼ばれる謎の男。</t>
    </r>
    <r>
      <rPr>
        <rFont val="Arial"/>
        <sz val="10.0"/>
      </rPr>
      <t>“</t>
    </r>
    <r>
      <rPr>
        <rFont val="ＭＳ Ｐゴシック"/>
        <sz val="10.0"/>
      </rPr>
      <t>ブルーマーダー</t>
    </r>
    <r>
      <rPr>
        <rFont val="Arial"/>
        <sz val="10.0"/>
      </rPr>
      <t>"</t>
    </r>
    <r>
      <rPr>
        <rFont val="ＭＳ Ｐゴシック"/>
        <sz val="10.0"/>
      </rPr>
      <t>の名はすでに池袋界隈</t>
    </r>
    <r>
      <rPr>
        <rFont val="Arial"/>
        <sz val="10.0"/>
      </rPr>
      <t>(</t>
    </r>
    <r>
      <rPr>
        <rFont val="ＭＳ Ｐゴシック"/>
        <sz val="10.0"/>
      </rPr>
      <t>かいわい</t>
    </r>
    <r>
      <rPr>
        <rFont val="Arial"/>
        <sz val="10.0"/>
      </rPr>
      <t>)</t>
    </r>
    <r>
      <rPr>
        <rFont val="ＭＳ Ｐゴシック"/>
        <sz val="10.0"/>
      </rPr>
      <t>でとどろいており、行方不明になっている裏社会の人間は何十人もいるという。いったい何者なのか</t>
    </r>
    <r>
      <rPr>
        <rFont val="Arial"/>
        <sz val="10.0"/>
      </rPr>
      <t>?</t>
    </r>
    <r>
      <rPr>
        <rFont val="ＭＳ Ｐゴシック"/>
        <sz val="10.0"/>
      </rPr>
      <t>そして、反社会組織の人間ばかりを狙って殺害し続ける、その理由とは</t>
    </r>
    <r>
      <rPr>
        <rFont val="Arial"/>
        <sz val="10.0"/>
      </rPr>
      <t>…?</t>
    </r>
  </si>
  <si>
    <t>池袋の貸しビル内で1人の男が遺体となって発見された。殺されたのは暴力団組織、秋庭組組長の河村丈治。銃創、刺創ともに見当たらず致命傷になる出血もない一方で、内臓は破裂し27カ所もの骨折があったという。聞き込み捜査を続けるうちに容疑者として浮上してきたのは“ブルーマーダー"と呼ばれる謎の男。“ブルーマーダー"の名はすでに池袋界隈(かいわい)でとどろいており、行方不明になっている裏社会の人間は何十人もいるという。いったい何者なのか?そして、反社会組織の人間ばかりを狙って殺害し続ける、その理由とは…?</t>
  </si>
  <si>
    <t>番組名&lt;木曜劇場&gt;ストロベリーナイト・サーガ【史上最凶!青い怪物の終極】　#11</t>
  </si>
  <si>
    <r>
      <rPr>
        <rFont val="ＭＳ Ｐゴシック"/>
        <sz val="10.0"/>
      </rPr>
      <t>池袋界隈で暗躍する裏社会の者たちを次々に殺害し震撼</t>
    </r>
    <r>
      <rPr>
        <rFont val="Arial"/>
        <sz val="10.0"/>
      </rPr>
      <t>(</t>
    </r>
    <r>
      <rPr>
        <rFont val="ＭＳ Ｐゴシック"/>
        <sz val="10.0"/>
      </rPr>
      <t>しんかん</t>
    </r>
    <r>
      <rPr>
        <rFont val="Arial"/>
        <sz val="10.0"/>
      </rPr>
      <t>)</t>
    </r>
    <r>
      <rPr>
        <rFont val="ＭＳ Ｐゴシック"/>
        <sz val="10.0"/>
      </rPr>
      <t>させている</t>
    </r>
    <r>
      <rPr>
        <rFont val="Arial"/>
        <sz val="10.0"/>
      </rPr>
      <t>“</t>
    </r>
    <r>
      <rPr>
        <rFont val="ＭＳ Ｐゴシック"/>
        <sz val="10.0"/>
      </rPr>
      <t>ブルーマーダー</t>
    </r>
    <r>
      <rPr>
        <rFont val="Arial"/>
        <sz val="10.0"/>
      </rPr>
      <t>"</t>
    </r>
    <r>
      <rPr>
        <rFont val="ＭＳ Ｐゴシック"/>
        <sz val="10.0"/>
      </rPr>
      <t>。その手口は何らかの武器を用い、全身の骨をバラバラにするという残忍さを漂わせる。事件を追っていた姫川玲子</t>
    </r>
    <r>
      <rPr>
        <rFont val="Arial"/>
        <sz val="10.0"/>
      </rPr>
      <t>(</t>
    </r>
    <r>
      <rPr>
        <rFont val="ＭＳ Ｐゴシック"/>
        <sz val="10.0"/>
      </rPr>
      <t>二階堂ふみ</t>
    </r>
    <r>
      <rPr>
        <rFont val="Arial"/>
        <sz val="10.0"/>
      </rPr>
      <t>)</t>
    </r>
    <r>
      <rPr>
        <rFont val="ＭＳ Ｐゴシック"/>
        <sz val="10.0"/>
      </rPr>
      <t>は、勝俣健作</t>
    </r>
    <r>
      <rPr>
        <rFont val="Arial"/>
        <sz val="10.0"/>
      </rPr>
      <t>(</t>
    </r>
    <r>
      <rPr>
        <rFont val="ＭＳ Ｐゴシック"/>
        <sz val="10.0"/>
      </rPr>
      <t>江口洋介</t>
    </r>
    <r>
      <rPr>
        <rFont val="Arial"/>
        <sz val="10.0"/>
      </rPr>
      <t>)</t>
    </r>
    <r>
      <rPr>
        <rFont val="ＭＳ Ｐゴシック"/>
        <sz val="10.0"/>
      </rPr>
      <t>とバディを組む葉山則之</t>
    </r>
    <r>
      <rPr>
        <rFont val="Arial"/>
        <sz val="10.0"/>
      </rPr>
      <t>(</t>
    </r>
    <r>
      <rPr>
        <rFont val="ＭＳ Ｐゴシック"/>
        <sz val="10.0"/>
      </rPr>
      <t>葉山奨之</t>
    </r>
    <r>
      <rPr>
        <rFont val="Arial"/>
        <sz val="10.0"/>
      </rPr>
      <t>)</t>
    </r>
    <r>
      <rPr>
        <rFont val="ＭＳ Ｐゴシック"/>
        <sz val="10.0"/>
      </rPr>
      <t>から</t>
    </r>
    <r>
      <rPr>
        <rFont val="Arial"/>
        <sz val="10.0"/>
      </rPr>
      <t>“</t>
    </r>
    <r>
      <rPr>
        <rFont val="ＭＳ Ｐゴシック"/>
        <sz val="10.0"/>
      </rPr>
      <t>ブルーマーダー</t>
    </r>
    <r>
      <rPr>
        <rFont val="Arial"/>
        <sz val="10.0"/>
      </rPr>
      <t>"</t>
    </r>
    <r>
      <rPr>
        <rFont val="ＭＳ Ｐゴシック"/>
        <sz val="10.0"/>
      </rPr>
      <t>の正体がわかったと連絡を受ける。驚くべきことに、その正体は元警察官の木野一政</t>
    </r>
    <r>
      <rPr>
        <rFont val="Arial"/>
        <sz val="10.0"/>
      </rPr>
      <t>(</t>
    </r>
    <r>
      <rPr>
        <rFont val="ＭＳ Ｐゴシック"/>
        <sz val="10.0"/>
      </rPr>
      <t>要潤</t>
    </r>
    <r>
      <rPr>
        <rFont val="Arial"/>
        <sz val="10.0"/>
      </rPr>
      <t>)</t>
    </r>
    <r>
      <rPr>
        <rFont val="ＭＳ Ｐゴシック"/>
        <sz val="10.0"/>
      </rPr>
      <t>だという。　そんな中、池袋のホテルで警察官も被害を受ける発砲事件が発生。現場に急行した姫川は、近くの公園に身を潜めていた木野を発見、確保する。元警察官の木野はなぜ、反社会組織の連中ばかりを狙った連続殺人を起こしたのか。取調べを進める中で驚くべき真実が明らかになっていく。</t>
    </r>
    <r>
      <rPr>
        <rFont val="Arial"/>
        <sz val="10.0"/>
      </rPr>
      <t xml:space="preserve">  </t>
    </r>
    <r>
      <rPr>
        <rFont val="ＭＳ Ｐゴシック"/>
        <sz val="10.0"/>
      </rPr>
      <t xml:space="preserve">　姫川玲子のサーガ</t>
    </r>
    <r>
      <rPr>
        <rFont val="Arial"/>
        <sz val="10.0"/>
      </rPr>
      <t>(</t>
    </r>
    <r>
      <rPr>
        <rFont val="ＭＳ Ｐゴシック"/>
        <sz val="10.0"/>
      </rPr>
      <t>英雄伝</t>
    </r>
    <r>
      <rPr>
        <rFont val="Arial"/>
        <sz val="10.0"/>
      </rPr>
      <t>)</t>
    </r>
    <r>
      <rPr>
        <rFont val="ＭＳ Ｐゴシック"/>
        <sz val="10.0"/>
      </rPr>
      <t>がついに完結</t>
    </r>
    <r>
      <rPr>
        <rFont val="Arial"/>
        <sz val="10.0"/>
      </rPr>
      <t>!</t>
    </r>
    <r>
      <rPr>
        <rFont val="ＭＳ Ｐゴシック"/>
        <sz val="10.0"/>
      </rPr>
      <t>そして、姫川、菊田和男</t>
    </r>
    <r>
      <rPr>
        <rFont val="Arial"/>
        <sz val="10.0"/>
      </rPr>
      <t>(</t>
    </r>
    <r>
      <rPr>
        <rFont val="ＭＳ Ｐゴシック"/>
        <sz val="10.0"/>
      </rPr>
      <t>亀梨和也</t>
    </r>
    <r>
      <rPr>
        <rFont val="Arial"/>
        <sz val="10.0"/>
      </rPr>
      <t>)</t>
    </r>
    <r>
      <rPr>
        <rFont val="ＭＳ Ｐゴシック"/>
        <sz val="10.0"/>
      </rPr>
      <t>、</t>
    </r>
    <r>
      <rPr>
        <rFont val="Arial"/>
        <sz val="10.0"/>
      </rPr>
      <t>2</t>
    </r>
    <r>
      <rPr>
        <rFont val="ＭＳ Ｐゴシック"/>
        <sz val="10.0"/>
      </rPr>
      <t>人の関係の行方は</t>
    </r>
    <r>
      <rPr>
        <rFont val="Arial"/>
        <sz val="10.0"/>
      </rPr>
      <t>…!</t>
    </r>
  </si>
  <si>
    <t>池袋界隈で暗躍する裏社会の者たちを次々に殺害し震撼(しんかん)させている“ブルーマーダー"。その手口は何らかの武器を用い、全身の骨をバラバラにするという残忍さを漂わせる。事件を追っていた姫川玲子(二階堂ふみ)は、勝俣健作(江口洋介)とバディを組む葉山則之(葉山奨之)から“ブルーマーダー"の正体がわかったと連絡を受ける。驚くべきことに、その正体は元警察官の木野一政(要潤)だという。　そんな中、池袋のホテルで警察官も被害を受ける発砲事件が発生。現場に急行した姫川は、近くの公園に身を潜めていた木野を発見、確保する。元警察官の木野はなぜ、反社会組織の連中ばかりを狙った連続殺人を起こしたのか。取調べを進める中で驚くべき真実が明らかになっていく。  　姫川玲子のサーガ(英雄伝)がついに完結!そして、姫川、菊田和男(亀梨和也)、2人の関係の行方は…!</t>
  </si>
  <si>
    <t>1901_CX_月21</t>
  </si>
  <si>
    <t>トレース</t>
  </si>
  <si>
    <t>番組名トレース～科捜研の男【錦戸亮月9初主演!本格科捜研サスペンス開幕】　#01</t>
  </si>
  <si>
    <r>
      <rPr>
        <rFont val="ＭＳ Ｐゴシック"/>
        <sz val="10.0"/>
      </rPr>
      <t>ある陰惨な過去を持つ真野礼二</t>
    </r>
    <r>
      <rPr>
        <rFont val="Arial"/>
        <sz val="10.0"/>
      </rPr>
      <t>(</t>
    </r>
    <r>
      <rPr>
        <rFont val="ＭＳ Ｐゴシック"/>
        <sz val="10.0"/>
      </rPr>
      <t>錦戸亮</t>
    </r>
    <r>
      <rPr>
        <rFont val="Arial"/>
        <sz val="10.0"/>
      </rPr>
      <t>)</t>
    </r>
    <r>
      <rPr>
        <rFont val="ＭＳ Ｐゴシック"/>
        <sz val="10.0"/>
      </rPr>
      <t>は、警視庁科学捜査研究所法医科に所属する法医研究員。「鑑定結果こそ真実」という信念のもと、膨大な知識と高い鑑定技術、他者とは違う着眼点を持つ真野は周囲からその実力を高く評価されている反面、クールで協調性がなく必要以上に人と係わろうとしないことから科捜研内では浮いた存在</t>
    </r>
    <r>
      <rPr>
        <rFont val="Arial"/>
        <sz val="10.0"/>
      </rPr>
      <t>…</t>
    </r>
    <r>
      <rPr>
        <rFont val="ＭＳ Ｐゴシック"/>
        <sz val="10.0"/>
      </rPr>
      <t>。</t>
    </r>
    <r>
      <rPr>
        <rFont val="Arial"/>
        <sz val="10.0"/>
      </rPr>
      <t xml:space="preserve">  </t>
    </r>
    <r>
      <rPr>
        <rFont val="ＭＳ Ｐゴシック"/>
        <sz val="10.0"/>
      </rPr>
      <t xml:space="preserve">　法医科科長の海塚律子</t>
    </r>
    <r>
      <rPr>
        <rFont val="Arial"/>
        <sz val="10.0"/>
      </rPr>
      <t>(</t>
    </r>
    <r>
      <rPr>
        <rFont val="ＭＳ Ｐゴシック"/>
        <sz val="10.0"/>
      </rPr>
      <t>小雪</t>
    </r>
    <r>
      <rPr>
        <rFont val="Arial"/>
        <sz val="10.0"/>
      </rPr>
      <t>)</t>
    </r>
    <r>
      <rPr>
        <rFont val="ＭＳ Ｐゴシック"/>
        <sz val="10.0"/>
      </rPr>
      <t>は、相楽一臣</t>
    </r>
    <r>
      <rPr>
        <rFont val="Arial"/>
        <sz val="10.0"/>
      </rPr>
      <t>(</t>
    </r>
    <r>
      <rPr>
        <rFont val="ＭＳ Ｐゴシック"/>
        <sz val="10.0"/>
      </rPr>
      <t>山崎樹範</t>
    </r>
    <r>
      <rPr>
        <rFont val="Arial"/>
        <sz val="10.0"/>
      </rPr>
      <t>)</t>
    </r>
    <r>
      <rPr>
        <rFont val="ＭＳ Ｐゴシック"/>
        <sz val="10.0"/>
      </rPr>
      <t>や市原浩</t>
    </r>
    <r>
      <rPr>
        <rFont val="Arial"/>
        <sz val="10.0"/>
      </rPr>
      <t>(</t>
    </r>
    <r>
      <rPr>
        <rFont val="ＭＳ Ｐゴシック"/>
        <sz val="10.0"/>
      </rPr>
      <t>遠山俊也</t>
    </r>
    <r>
      <rPr>
        <rFont val="Arial"/>
        <sz val="10.0"/>
      </rPr>
      <t>)</t>
    </r>
    <r>
      <rPr>
        <rFont val="ＭＳ Ｐゴシック"/>
        <sz val="10.0"/>
      </rPr>
      <t>、水沢英里</t>
    </r>
    <r>
      <rPr>
        <rFont val="Arial"/>
        <sz val="10.0"/>
      </rPr>
      <t>(</t>
    </r>
    <r>
      <rPr>
        <rFont val="ＭＳ Ｐゴシック"/>
        <sz val="10.0"/>
      </rPr>
      <t>岡崎紗絵</t>
    </r>
    <r>
      <rPr>
        <rFont val="Arial"/>
        <sz val="10.0"/>
      </rPr>
      <t>)</t>
    </r>
    <r>
      <rPr>
        <rFont val="ＭＳ Ｐゴシック"/>
        <sz val="10.0"/>
      </rPr>
      <t>ら法医研究員たちに新人の沢口ノンナ</t>
    </r>
    <r>
      <rPr>
        <rFont val="Arial"/>
        <sz val="10.0"/>
      </rPr>
      <t>(</t>
    </r>
    <r>
      <rPr>
        <rFont val="ＭＳ Ｐゴシック"/>
        <sz val="10.0"/>
      </rPr>
      <t>新木優子</t>
    </r>
    <r>
      <rPr>
        <rFont val="Arial"/>
        <sz val="10.0"/>
      </rPr>
      <t>)</t>
    </r>
    <r>
      <rPr>
        <rFont val="ＭＳ Ｐゴシック"/>
        <sz val="10.0"/>
      </rPr>
      <t>を紹介します。すると警視庁捜査一課の刑事・虎丸良平</t>
    </r>
    <r>
      <rPr>
        <rFont val="Arial"/>
        <sz val="10.0"/>
      </rPr>
      <t>(</t>
    </r>
    <r>
      <rPr>
        <rFont val="ＭＳ Ｐゴシック"/>
        <sz val="10.0"/>
      </rPr>
      <t>船越英一郎</t>
    </r>
    <r>
      <rPr>
        <rFont val="Arial"/>
        <sz val="10.0"/>
      </rPr>
      <t>)</t>
    </r>
    <r>
      <rPr>
        <rFont val="ＭＳ Ｐゴシック"/>
        <sz val="10.0"/>
      </rPr>
      <t>と猪瀬祐人</t>
    </r>
    <r>
      <rPr>
        <rFont val="Arial"/>
        <sz val="10.0"/>
      </rPr>
      <t>(</t>
    </r>
    <r>
      <rPr>
        <rFont val="ＭＳ Ｐゴシック"/>
        <sz val="10.0"/>
      </rPr>
      <t>矢本悠馬</t>
    </r>
    <r>
      <rPr>
        <rFont val="Arial"/>
        <sz val="10.0"/>
      </rPr>
      <t>)</t>
    </r>
    <r>
      <rPr>
        <rFont val="ＭＳ Ｐゴシック"/>
        <sz val="10.0"/>
      </rPr>
      <t>、鑑識員の沖田徹</t>
    </r>
    <r>
      <rPr>
        <rFont val="Arial"/>
        <sz val="10.0"/>
      </rPr>
      <t>(</t>
    </r>
    <r>
      <rPr>
        <rFont val="ＭＳ Ｐゴシック"/>
        <sz val="10.0"/>
      </rPr>
      <t>加藤虎ノ介</t>
    </r>
    <r>
      <rPr>
        <rFont val="Arial"/>
        <sz val="10.0"/>
      </rPr>
      <t>)</t>
    </r>
    <r>
      <rPr>
        <rFont val="ＭＳ Ｐゴシック"/>
        <sz val="10.0"/>
      </rPr>
      <t>らがやってきて、イベント会場で発見された切断された左手の鑑定結果を聞きに来ます。</t>
    </r>
    <r>
      <rPr>
        <rFont val="Arial"/>
        <sz val="10.0"/>
      </rPr>
      <t xml:space="preserve">  </t>
    </r>
    <r>
      <rPr>
        <rFont val="ＭＳ Ｐゴシック"/>
        <sz val="10.0"/>
      </rPr>
      <t xml:space="preserve">　真野が、付着物の中から珪藻と通常の</t>
    </r>
    <r>
      <rPr>
        <rFont val="Arial"/>
        <sz val="10.0"/>
      </rPr>
      <t>20</t>
    </r>
    <r>
      <rPr>
        <rFont val="ＭＳ Ｐゴシック"/>
        <sz val="10.0"/>
      </rPr>
      <t>倍のマンガンが検出されたことを伝えると、虎丸は即座に多摩川の捜索に向かおうとします。しかし「多摩川を探しても意味がない」と告げる真野。虎丸は「捜査方針に口を出すのか」と真野を睨みつけー。現場に到着した真野とノンナは、ほどなくそこでバラバラに切断された女性の遺体を発見、そこには土に半分埋もれた一輪の花が</t>
    </r>
    <r>
      <rPr>
        <rFont val="Arial"/>
        <sz val="10.0"/>
      </rPr>
      <t>…</t>
    </r>
    <r>
      <rPr>
        <rFont val="ＭＳ Ｐゴシック"/>
        <sz val="10.0"/>
      </rPr>
      <t>。</t>
    </r>
    <r>
      <rPr>
        <rFont val="Arial"/>
        <sz val="10.0"/>
      </rPr>
      <t xml:space="preserve">  </t>
    </r>
    <r>
      <rPr>
        <rFont val="ＭＳ Ｐゴシック"/>
        <sz val="10.0"/>
      </rPr>
      <t xml:space="preserve">　そんな中、被害者は娘かもしれないという五十嵐千鶴</t>
    </r>
    <r>
      <rPr>
        <rFont val="Arial"/>
        <sz val="10.0"/>
      </rPr>
      <t>(</t>
    </r>
    <r>
      <rPr>
        <rFont val="ＭＳ Ｐゴシック"/>
        <sz val="10.0"/>
      </rPr>
      <t>森口瑤子</t>
    </r>
    <r>
      <rPr>
        <rFont val="Arial"/>
        <sz val="10.0"/>
      </rPr>
      <t>)</t>
    </r>
    <r>
      <rPr>
        <rFont val="ＭＳ Ｐゴシック"/>
        <sz val="10.0"/>
      </rPr>
      <t>と、千鶴の再婚相手で著名な教育評論家の康信</t>
    </r>
    <r>
      <rPr>
        <rFont val="Arial"/>
        <sz val="10.0"/>
      </rPr>
      <t>(</t>
    </r>
    <r>
      <rPr>
        <rFont val="ＭＳ Ｐゴシック"/>
        <sz val="10.0"/>
      </rPr>
      <t>吹越満</t>
    </r>
    <r>
      <rPr>
        <rFont val="Arial"/>
        <sz val="10.0"/>
      </rPr>
      <t>)</t>
    </r>
    <r>
      <rPr>
        <rFont val="ＭＳ Ｐゴシック"/>
        <sz val="10.0"/>
      </rPr>
      <t>が警察署を訪れますが</t>
    </r>
    <r>
      <rPr>
        <rFont val="Arial"/>
        <sz val="10.0"/>
      </rPr>
      <t>…</t>
    </r>
    <r>
      <rPr>
        <rFont val="ＭＳ Ｐゴシック"/>
        <sz val="10.0"/>
      </rPr>
      <t>。</t>
    </r>
  </si>
  <si>
    <t>ある陰惨な過去を持つ真野礼二(錦戸亮)は、警視庁科学捜査研究所法医科に所属する法医研究員。「鑑定結果こそ真実」という信念のもと、膨大な知識と高い鑑定技術、他者とは違う着眼点を持つ真野は周囲からその実力を高く評価されている反面、クールで協調性がなく必要以上に人と係わろうとしないことから科捜研内では浮いた存在…。  　法医科科長の海塚律子(小雪)は、相楽一臣(山崎樹範)や市原浩(遠山俊也)、水沢英里(岡崎紗絵)ら法医研究員たちに新人の沢口ノンナ(新木優子)を紹介します。すると警視庁捜査一課の刑事・虎丸良平(船越英一郎)と猪瀬祐人(矢本悠馬)、鑑識員の沖田徹(加藤虎ノ介)らがやってきて、イベント会場で発見された切断された左手の鑑定結果を聞きに来ます。  　真野が、付着物の中から珪藻と通常の20倍のマンガンが検出されたことを伝えると、虎丸は即座に多摩川の捜索に向かおうとします。しかし「多摩川を探しても意味がない」と告げる真野。虎丸は「捜査方針に口を出すのか」と真野を睨みつけー。現場に到着した真野とノンナは、ほどなくそこでバラバラに切断された女性の遺体を発見、そこには土に半分埋もれた一輪の花が…。  　そんな中、被害者は娘かもしれないという五十嵐千鶴(森口瑤子)と、千鶴の再婚相手で著名な教育評論家の康信(吹越満)が警察署を訪れますが…。</t>
  </si>
  <si>
    <t>番組名トレース～科捜研の男～【15分拡大SP!科捜研が挑む転落死の真相!】　#02</t>
  </si>
  <si>
    <r>
      <rPr>
        <rFont val="ＭＳ Ｐゴシック"/>
        <sz val="10.0"/>
      </rPr>
      <t>科捜研の法医研究員・真野礼二</t>
    </r>
    <r>
      <rPr>
        <rFont val="Arial"/>
        <sz val="10.0"/>
      </rPr>
      <t>(</t>
    </r>
    <r>
      <rPr>
        <rFont val="ＭＳ Ｐゴシック"/>
        <sz val="10.0"/>
      </rPr>
      <t>錦戸亮</t>
    </r>
    <r>
      <rPr>
        <rFont val="Arial"/>
        <sz val="10.0"/>
      </rPr>
      <t>)</t>
    </r>
    <r>
      <rPr>
        <rFont val="ＭＳ Ｐゴシック"/>
        <sz val="10.0"/>
      </rPr>
      <t>と沢口ノンナ</t>
    </r>
    <r>
      <rPr>
        <rFont val="Arial"/>
        <sz val="10.0"/>
      </rPr>
      <t>(</t>
    </r>
    <r>
      <rPr>
        <rFont val="ＭＳ Ｐゴシック"/>
        <sz val="10.0"/>
      </rPr>
      <t>新木優子</t>
    </r>
    <r>
      <rPr>
        <rFont val="Arial"/>
        <sz val="10.0"/>
      </rPr>
      <t>)</t>
    </r>
    <r>
      <rPr>
        <rFont val="ＭＳ Ｐゴシック"/>
        <sz val="10.0"/>
      </rPr>
      <t>は、捜査一課の虎丸良平</t>
    </r>
    <r>
      <rPr>
        <rFont val="Arial"/>
        <sz val="10.0"/>
      </rPr>
      <t>(</t>
    </r>
    <r>
      <rPr>
        <rFont val="ＭＳ Ｐゴシック"/>
        <sz val="10.0"/>
      </rPr>
      <t>船越英一郎</t>
    </r>
    <r>
      <rPr>
        <rFont val="Arial"/>
        <sz val="10.0"/>
      </rPr>
      <t>)</t>
    </r>
    <r>
      <rPr>
        <rFont val="ＭＳ Ｐゴシック"/>
        <sz val="10.0"/>
      </rPr>
      <t>から、東凛大学病院の外科医・真田和寿</t>
    </r>
    <r>
      <rPr>
        <rFont val="Arial"/>
        <sz val="10.0"/>
      </rPr>
      <t>(</t>
    </r>
    <r>
      <rPr>
        <rFont val="ＭＳ Ｐゴシック"/>
        <sz val="10.0"/>
      </rPr>
      <t>名高達男</t>
    </r>
    <r>
      <rPr>
        <rFont val="Arial"/>
        <sz val="10.0"/>
      </rPr>
      <t>)</t>
    </r>
    <r>
      <rPr>
        <rFont val="ＭＳ Ｐゴシック"/>
        <sz val="10.0"/>
      </rPr>
      <t>が殺害された事件に関連する</t>
    </r>
    <r>
      <rPr>
        <rFont val="Arial"/>
        <sz val="10.0"/>
      </rPr>
      <t>DNA</t>
    </r>
    <r>
      <rPr>
        <rFont val="ＭＳ Ｐゴシック"/>
        <sz val="10.0"/>
      </rPr>
      <t>の照合鑑定を依頼されます。</t>
    </r>
    <r>
      <rPr>
        <rFont val="Arial"/>
        <sz val="10.0"/>
      </rPr>
      <t xml:space="preserve">  </t>
    </r>
    <r>
      <rPr>
        <rFont val="ＭＳ Ｐゴシック"/>
        <sz val="10.0"/>
      </rPr>
      <t xml:space="preserve">　事件が起きたのは、真田の教授就任を祝うパーティー。席を外したまま戻らなかった真田を探しに行った娘の有里</t>
    </r>
    <r>
      <rPr>
        <rFont val="Arial"/>
        <sz val="10.0"/>
      </rPr>
      <t>(</t>
    </r>
    <r>
      <rPr>
        <rFont val="ＭＳ Ｐゴシック"/>
        <sz val="10.0"/>
      </rPr>
      <t>関めぐみ</t>
    </r>
    <r>
      <rPr>
        <rFont val="Arial"/>
        <sz val="10.0"/>
      </rPr>
      <t>)</t>
    </r>
    <r>
      <rPr>
        <rFont val="ＭＳ Ｐゴシック"/>
        <sz val="10.0"/>
      </rPr>
      <t>が、控室のバルコニーから転落死している父親を発見したのです。そのとき有里は、現場から逃走する男の姿を目撃。亡くなった真田の首には刃物を突き付けられたような傷があり、男の逃走経路には血痕が残っていました。これらの状況から警察は、犯人は真田にナイフを突きつけた際、抵抗されて傷を負い、バルコニーを乗り越えて逃げようとした真田を突き落としたのではないかと考えます。そして、防犯カメラの映像から逃げた男を特定、被疑者の宮永渉</t>
    </r>
    <r>
      <rPr>
        <rFont val="Arial"/>
        <sz val="10.0"/>
      </rPr>
      <t>(</t>
    </r>
    <r>
      <rPr>
        <rFont val="ＭＳ Ｐゴシック"/>
        <sz val="10.0"/>
      </rPr>
      <t>篠原篤</t>
    </r>
    <r>
      <rPr>
        <rFont val="Arial"/>
        <sz val="10.0"/>
      </rPr>
      <t>)</t>
    </r>
    <r>
      <rPr>
        <rFont val="ＭＳ Ｐゴシック"/>
        <sz val="10.0"/>
      </rPr>
      <t>を拘束していました。現場から採取された血液と宮永の</t>
    </r>
    <r>
      <rPr>
        <rFont val="Arial"/>
        <sz val="10.0"/>
      </rPr>
      <t>DNA</t>
    </r>
    <r>
      <rPr>
        <rFont val="ＭＳ Ｐゴシック"/>
        <sz val="10.0"/>
      </rPr>
      <t>が一致すれば事件は解決だと意気込む虎丸。しかし、照合の結果は不一致</t>
    </r>
    <r>
      <rPr>
        <rFont val="Arial"/>
        <sz val="10.0"/>
      </rPr>
      <t>…</t>
    </r>
    <r>
      <rPr>
        <rFont val="ＭＳ Ｐゴシック"/>
        <sz val="10.0"/>
      </rPr>
      <t>。虎丸は、捜査一課長の江波清志</t>
    </r>
    <r>
      <rPr>
        <rFont val="Arial"/>
        <sz val="10.0"/>
      </rPr>
      <t>(</t>
    </r>
    <r>
      <rPr>
        <rFont val="ＭＳ Ｐゴシック"/>
        <sz val="10.0"/>
      </rPr>
      <t>篠井英介</t>
    </r>
    <r>
      <rPr>
        <rFont val="Arial"/>
        <sz val="10.0"/>
      </rPr>
      <t>)</t>
    </r>
    <r>
      <rPr>
        <rFont val="ＭＳ Ｐゴシック"/>
        <sz val="10.0"/>
      </rPr>
      <t>から、</t>
    </r>
    <r>
      <rPr>
        <rFont val="Arial"/>
        <sz val="10.0"/>
      </rPr>
      <t>1</t>
    </r>
    <r>
      <rPr>
        <rFont val="ＭＳ Ｐゴシック"/>
        <sz val="10.0"/>
      </rPr>
      <t>週間以内に犯人を逮捕できなければ班を解散させると叱責</t>
    </r>
    <r>
      <rPr>
        <rFont val="Arial"/>
        <sz val="10.0"/>
      </rPr>
      <t>(</t>
    </r>
    <r>
      <rPr>
        <rFont val="ＭＳ Ｐゴシック"/>
        <sz val="10.0"/>
      </rPr>
      <t>しっせき</t>
    </r>
    <r>
      <rPr>
        <rFont val="Arial"/>
        <sz val="10.0"/>
      </rPr>
      <t>)</t>
    </r>
    <r>
      <rPr>
        <rFont val="ＭＳ Ｐゴシック"/>
        <sz val="10.0"/>
      </rPr>
      <t>されますが、虎丸はそれでも犯人は宮永だと主張。真野やノンナらを連れて事件現場のレストランを徹底的に調べ直します。しかし、仕事へのプレッシャーから眠れない日々を過ごしていたノンナがふいに意識を失って倒れてしまい</t>
    </r>
    <r>
      <rPr>
        <rFont val="Arial"/>
        <sz val="10.0"/>
      </rPr>
      <t>…</t>
    </r>
    <r>
      <rPr>
        <rFont val="ＭＳ Ｐゴシック"/>
        <sz val="10.0"/>
      </rPr>
      <t>。</t>
    </r>
  </si>
  <si>
    <t>科捜研の法医研究員・真野礼二(錦戸亮)と沢口ノンナ(新木優子)は、捜査一課の虎丸良平(船越英一郎)から、東凛大学病院の外科医・真田和寿(名高達男)が殺害された事件に関連するDNAの照合鑑定を依頼されます。  　事件が起きたのは、真田の教授就任を祝うパーティー。席を外したまま戻らなかった真田を探しに行った娘の有里(関めぐみ)が、控室のバルコニーから転落死している父親を発見したのです。そのとき有里は、現場から逃走する男の姿を目撃。亡くなった真田の首には刃物を突き付けられたような傷があり、男の逃走経路には血痕が残っていました。これらの状況から警察は、犯人は真田にナイフを突きつけた際、抵抗されて傷を負い、バルコニーを乗り越えて逃げようとした真田を突き落としたのではないかと考えます。そして、防犯カメラの映像から逃げた男を特定、被疑者の宮永渉(篠原篤)を拘束していました。現場から採取された血液と宮永のDNAが一致すれば事件は解決だと意気込む虎丸。しかし、照合の結果は不一致…。虎丸は、捜査一課長の江波清志(篠井英介)から、1週間以内に犯人を逮捕できなければ班を解散させると叱責(しっせき)されますが、虎丸はそれでも犯人は宮永だと主張。真野やノンナらを連れて事件現場のレストランを徹底的に調べ直します。しかし、仕事へのプレッシャーから眠れない日々を過ごしていたノンナがふいに意識を失って倒れてしまい…。</t>
  </si>
  <si>
    <t>番組名トレース～科捜研の男～【錦戸亮VS凶悪犯大地康雄月9初出演で刑事役】　#03</t>
  </si>
  <si>
    <r>
      <rPr>
        <rFont val="ＭＳ Ｐゴシック"/>
        <sz val="10.0"/>
      </rPr>
      <t>科捜研の真野</t>
    </r>
    <r>
      <rPr>
        <rFont val="Arial"/>
        <sz val="10.0"/>
      </rPr>
      <t>(</t>
    </r>
    <r>
      <rPr>
        <rFont val="ＭＳ Ｐゴシック"/>
        <sz val="10.0"/>
      </rPr>
      <t>錦戸亮</t>
    </r>
    <r>
      <rPr>
        <rFont val="Arial"/>
        <sz val="10.0"/>
      </rPr>
      <t>)</t>
    </r>
    <r>
      <rPr>
        <rFont val="ＭＳ Ｐゴシック"/>
        <sz val="10.0"/>
      </rPr>
      <t>は、絞殺されたものと思われる</t>
    </r>
    <r>
      <rPr>
        <rFont val="Arial"/>
        <sz val="10.0"/>
      </rPr>
      <t>9</t>
    </r>
    <r>
      <rPr>
        <rFont val="ＭＳ Ｐゴシック"/>
        <sz val="10.0"/>
      </rPr>
      <t>歳の少女</t>
    </r>
    <r>
      <rPr>
        <rFont val="Arial"/>
        <sz val="10.0"/>
      </rPr>
      <t>(</t>
    </r>
    <r>
      <rPr>
        <rFont val="ＭＳ Ｐゴシック"/>
        <sz val="10.0"/>
      </rPr>
      <t>高松咲希</t>
    </r>
    <r>
      <rPr>
        <rFont val="Arial"/>
        <sz val="10.0"/>
      </rPr>
      <t>)</t>
    </r>
    <r>
      <rPr>
        <rFont val="ＭＳ Ｐゴシック"/>
        <sz val="10.0"/>
      </rPr>
      <t>に関する鑑定を依頼される。被害者は、同級生の三島唯</t>
    </r>
    <r>
      <rPr>
        <rFont val="Arial"/>
        <sz val="10.0"/>
      </rPr>
      <t>(</t>
    </r>
    <r>
      <rPr>
        <rFont val="ＭＳ Ｐゴシック"/>
        <sz val="10.0"/>
      </rPr>
      <t>稲垣来泉</t>
    </r>
    <r>
      <rPr>
        <rFont val="Arial"/>
        <sz val="10.0"/>
      </rPr>
      <t>)</t>
    </r>
    <r>
      <rPr>
        <rFont val="ＭＳ Ｐゴシック"/>
        <sz val="10.0"/>
      </rPr>
      <t>と公園内の山林に基地のようなスペースを作って遊んでいた。そして夕方になり唯は先に帰るが、その後、被害者の母親から娘が帰宅しないとの通報があり、翌朝、被害者は遺体となって発見された。死因は窒息死。被害者の通う小学校付近では不審者の目撃情報もあったという。</t>
    </r>
    <r>
      <rPr>
        <rFont val="Arial"/>
        <sz val="10.0"/>
      </rPr>
      <t xml:space="preserve">  </t>
    </r>
    <r>
      <rPr>
        <rFont val="ＭＳ Ｐゴシック"/>
        <sz val="10.0"/>
      </rPr>
      <t xml:space="preserve">　ノンナ</t>
    </r>
    <r>
      <rPr>
        <rFont val="Arial"/>
        <sz val="10.0"/>
      </rPr>
      <t>(</t>
    </r>
    <r>
      <rPr>
        <rFont val="ＭＳ Ｐゴシック"/>
        <sz val="10.0"/>
      </rPr>
      <t>新木優子</t>
    </r>
    <r>
      <rPr>
        <rFont val="Arial"/>
        <sz val="10.0"/>
      </rPr>
      <t>)</t>
    </r>
    <r>
      <rPr>
        <rFont val="ＭＳ Ｐゴシック"/>
        <sz val="10.0"/>
      </rPr>
      <t>とともに付着物の</t>
    </r>
    <r>
      <rPr>
        <rFont val="Arial"/>
        <sz val="10.0"/>
      </rPr>
      <t>DNA</t>
    </r>
    <r>
      <rPr>
        <rFont val="ＭＳ Ｐゴシック"/>
        <sz val="10.0"/>
      </rPr>
      <t>鑑定などを行った真野は、被害者に暴行された形跡がないことを確認する。するとそこに、虎丸</t>
    </r>
    <r>
      <rPr>
        <rFont val="Arial"/>
        <sz val="10.0"/>
      </rPr>
      <t>(</t>
    </r>
    <r>
      <rPr>
        <rFont val="ＭＳ Ｐゴシック"/>
        <sz val="10.0"/>
      </rPr>
      <t>船越英一郎</t>
    </r>
    <r>
      <rPr>
        <rFont val="Arial"/>
        <sz val="10.0"/>
      </rPr>
      <t>)</t>
    </r>
    <r>
      <rPr>
        <rFont val="ＭＳ Ｐゴシック"/>
        <sz val="10.0"/>
      </rPr>
      <t>の先輩でもある刑事・鶴見茂</t>
    </r>
    <r>
      <rPr>
        <rFont val="Arial"/>
        <sz val="10.0"/>
      </rPr>
      <t>(</t>
    </r>
    <r>
      <rPr>
        <rFont val="ＭＳ Ｐゴシック"/>
        <sz val="10.0"/>
      </rPr>
      <t>大地康雄</t>
    </r>
    <r>
      <rPr>
        <rFont val="Arial"/>
        <sz val="10.0"/>
      </rPr>
      <t>)</t>
    </r>
    <r>
      <rPr>
        <rFont val="ＭＳ Ｐゴシック"/>
        <sz val="10.0"/>
      </rPr>
      <t>が現れる。鶴見は、</t>
    </r>
    <r>
      <rPr>
        <rFont val="Arial"/>
        <sz val="10.0"/>
      </rPr>
      <t>20</t>
    </r>
    <r>
      <rPr>
        <rFont val="ＭＳ Ｐゴシック"/>
        <sz val="10.0"/>
      </rPr>
      <t>年前と</t>
    </r>
    <r>
      <rPr>
        <rFont val="Arial"/>
        <sz val="10.0"/>
      </rPr>
      <t>10</t>
    </r>
    <r>
      <rPr>
        <rFont val="ＭＳ Ｐゴシック"/>
        <sz val="10.0"/>
      </rPr>
      <t>年前に起きた連続幼女殺人事件を追っており、今回のケースも犯行手口が酷似しているという。実は鶴見たちは</t>
    </r>
    <r>
      <rPr>
        <rFont val="Arial"/>
        <sz val="10.0"/>
      </rPr>
      <t>10</t>
    </r>
    <r>
      <rPr>
        <rFont val="ＭＳ Ｐゴシック"/>
        <sz val="10.0"/>
      </rPr>
      <t>年前に被疑者として西内智幸</t>
    </r>
    <r>
      <rPr>
        <rFont val="Arial"/>
        <sz val="10.0"/>
      </rPr>
      <t>(</t>
    </r>
    <r>
      <rPr>
        <rFont val="ＭＳ Ｐゴシック"/>
        <sz val="10.0"/>
      </rPr>
      <t>池内万作</t>
    </r>
    <r>
      <rPr>
        <rFont val="Arial"/>
        <sz val="10.0"/>
      </rPr>
      <t>)</t>
    </r>
    <r>
      <rPr>
        <rFont val="ＭＳ Ｐゴシック"/>
        <sz val="10.0"/>
      </rPr>
      <t>をマークしていたものの、証拠不十分で逮捕できなかったのだ。その西内は、被害者も時々訪れていた児童館のボランティア職員だった。虎丸は、被害者の両親・志津香</t>
    </r>
    <r>
      <rPr>
        <rFont val="Arial"/>
        <sz val="10.0"/>
      </rPr>
      <t>(</t>
    </r>
    <r>
      <rPr>
        <rFont val="ＭＳ Ｐゴシック"/>
        <sz val="10.0"/>
      </rPr>
      <t>松本若菜</t>
    </r>
    <r>
      <rPr>
        <rFont val="Arial"/>
        <sz val="10.0"/>
      </rPr>
      <t>)</t>
    </r>
    <r>
      <rPr>
        <rFont val="ＭＳ Ｐゴシック"/>
        <sz val="10.0"/>
      </rPr>
      <t>と直樹</t>
    </r>
    <r>
      <rPr>
        <rFont val="Arial"/>
        <sz val="10.0"/>
      </rPr>
      <t>(</t>
    </r>
    <r>
      <rPr>
        <rFont val="ＭＳ Ｐゴシック"/>
        <sz val="10.0"/>
      </rPr>
      <t>永岡佑</t>
    </r>
    <r>
      <rPr>
        <rFont val="Arial"/>
        <sz val="10.0"/>
      </rPr>
      <t>)</t>
    </r>
    <r>
      <rPr>
        <rFont val="ＭＳ Ｐゴシック"/>
        <sz val="10.0"/>
      </rPr>
      <t>に会いに行くが、</t>
    </r>
    <r>
      <rPr>
        <rFont val="Arial"/>
        <sz val="10.0"/>
      </rPr>
      <t>2</t>
    </r>
    <r>
      <rPr>
        <rFont val="ＭＳ Ｐゴシック"/>
        <sz val="10.0"/>
      </rPr>
      <t>人はお互いに責任をなすりつけケンカを始めてしまう。</t>
    </r>
    <r>
      <rPr>
        <rFont val="Arial"/>
        <sz val="10.0"/>
      </rPr>
      <t xml:space="preserve">  </t>
    </r>
    <r>
      <rPr>
        <rFont val="ＭＳ Ｐゴシック"/>
        <sz val="10.0"/>
      </rPr>
      <t xml:space="preserve">　そんななか、真野たちは証拠を求めて臨場に。そこで木の枝が折れていることに気づいた真野が周辺を調べると、タバコの吸い殻が落ちていた。吸い殻から採取した検体の</t>
    </r>
    <r>
      <rPr>
        <rFont val="Arial"/>
        <sz val="10.0"/>
      </rPr>
      <t>DNA</t>
    </r>
    <r>
      <rPr>
        <rFont val="ＭＳ Ｐゴシック"/>
        <sz val="10.0"/>
      </rPr>
      <t>型は、西内の</t>
    </r>
    <r>
      <rPr>
        <rFont val="Arial"/>
        <sz val="10.0"/>
      </rPr>
      <t>DNA</t>
    </r>
    <r>
      <rPr>
        <rFont val="ＭＳ Ｐゴシック"/>
        <sz val="10.0"/>
      </rPr>
      <t>型と一致し</t>
    </r>
    <r>
      <rPr>
        <rFont val="Arial"/>
        <sz val="10.0"/>
      </rPr>
      <t>…</t>
    </r>
    <r>
      <rPr>
        <rFont val="ＭＳ Ｐゴシック"/>
        <sz val="10.0"/>
      </rPr>
      <t>。</t>
    </r>
  </si>
  <si>
    <t>科捜研の真野(錦戸亮)は、絞殺されたものと思われる9歳の少女(高松咲希)に関する鑑定を依頼される。被害者は、同級生の三島唯(稲垣来泉)と公園内の山林に基地のようなスペースを作って遊んでいた。そして夕方になり唯は先に帰るが、その後、被害者の母親から娘が帰宅しないとの通報があり、翌朝、被害者は遺体となって発見された。死因は窒息死。被害者の通う小学校付近では不審者の目撃情報もあったという。  　ノンナ(新木優子)とともに付着物のDNA鑑定などを行った真野は、被害者に暴行された形跡がないことを確認する。するとそこに、虎丸(船越英一郎)の先輩でもある刑事・鶴見茂(大地康雄)が現れる。鶴見は、20年前と10年前に起きた連続幼女殺人事件を追っており、今回のケースも犯行手口が酷似しているという。実は鶴見たちは10年前に被疑者として西内智幸(池内万作)をマークしていたものの、証拠不十分で逮捕できなかったのだ。その西内は、被害者も時々訪れていた児童館のボランティア職員だった。虎丸は、被害者の両親・志津香(松本若菜)と直樹(永岡佑)に会いに行くが、2人はお互いに責任をなすりつけケンカを始めてしまう。  　そんななか、真野たちは証拠を求めて臨場に。そこで木の枝が折れていることに気づいた真野が周辺を調べると、タバコの吸い殻が落ちていた。吸い殻から採取した検体のDNA型は、西内のDNA型と一致し…。</t>
  </si>
  <si>
    <t>番組名トレース～科捜研の男～【科捜研の男VS科捜研の男?!飛沫血痕の謎…】　#04</t>
  </si>
  <si>
    <r>
      <rPr>
        <rFont val="ＭＳ Ｐゴシック"/>
        <sz val="10.0"/>
      </rPr>
      <t>科捜研法医研究員の相楽</t>
    </r>
    <r>
      <rPr>
        <rFont val="Arial"/>
        <sz val="10.0"/>
      </rPr>
      <t>(</t>
    </r>
    <r>
      <rPr>
        <rFont val="ＭＳ Ｐゴシック"/>
        <sz val="10.0"/>
      </rPr>
      <t>山崎樹範</t>
    </r>
    <r>
      <rPr>
        <rFont val="Arial"/>
        <sz val="10.0"/>
      </rPr>
      <t>)</t>
    </r>
    <r>
      <rPr>
        <rFont val="ＭＳ Ｐゴシック"/>
        <sz val="10.0"/>
      </rPr>
      <t>の兄・浩司</t>
    </r>
    <r>
      <rPr>
        <rFont val="Arial"/>
        <sz val="10.0"/>
      </rPr>
      <t>(</t>
    </r>
    <r>
      <rPr>
        <rFont val="ＭＳ Ｐゴシック"/>
        <sz val="10.0"/>
      </rPr>
      <t>やべきょうすけ</t>
    </r>
    <r>
      <rPr>
        <rFont val="Arial"/>
        <sz val="10.0"/>
      </rPr>
      <t>)</t>
    </r>
    <r>
      <rPr>
        <rFont val="ＭＳ Ｐゴシック"/>
        <sz val="10.0"/>
      </rPr>
      <t>が遺体で発見。発見場所は浩司のアパートで、第一発見者は、アパートの大家から浩司と連絡が取れないとの連絡を受けて訪れた相楽だった。死因は、頸動脈を切られたことによる失血死。また、室内は荒らされており、財布や預金通帳等がなくなっていた。真野</t>
    </r>
    <r>
      <rPr>
        <rFont val="Arial"/>
        <sz val="10.0"/>
      </rPr>
      <t>(</t>
    </r>
    <r>
      <rPr>
        <rFont val="ＭＳ Ｐゴシック"/>
        <sz val="10.0"/>
      </rPr>
      <t>錦戸亮</t>
    </r>
    <r>
      <rPr>
        <rFont val="Arial"/>
        <sz val="10.0"/>
      </rPr>
      <t>)</t>
    </r>
    <r>
      <rPr>
        <rFont val="ＭＳ Ｐゴシック"/>
        <sz val="10.0"/>
      </rPr>
      <t>とノンナ</t>
    </r>
    <r>
      <rPr>
        <rFont val="Arial"/>
        <sz val="10.0"/>
      </rPr>
      <t>(</t>
    </r>
    <r>
      <rPr>
        <rFont val="ＭＳ Ｐゴシック"/>
        <sz val="10.0"/>
      </rPr>
      <t>新木優子</t>
    </r>
    <r>
      <rPr>
        <rFont val="Arial"/>
        <sz val="10.0"/>
      </rPr>
      <t>)</t>
    </r>
    <r>
      <rPr>
        <rFont val="ＭＳ Ｐゴシック"/>
        <sz val="10.0"/>
      </rPr>
      <t>は、臨場要請を受け現場へ。そこで虎丸</t>
    </r>
    <r>
      <rPr>
        <rFont val="Arial"/>
        <sz val="10.0"/>
      </rPr>
      <t>(</t>
    </r>
    <r>
      <rPr>
        <rFont val="ＭＳ Ｐゴシック"/>
        <sz val="10.0"/>
      </rPr>
      <t>船越英一郎</t>
    </r>
    <r>
      <rPr>
        <rFont val="Arial"/>
        <sz val="10.0"/>
      </rPr>
      <t>)</t>
    </r>
    <r>
      <rPr>
        <rFont val="ＭＳ Ｐゴシック"/>
        <sz val="10.0"/>
      </rPr>
      <t>は、遺体に首以外の傷がないことから、強盗に見せかけた顔見知りの犯行だと主張する。</t>
    </r>
    <r>
      <rPr>
        <rFont val="Arial"/>
        <sz val="10.0"/>
      </rPr>
      <t xml:space="preserve">  </t>
    </r>
    <r>
      <rPr>
        <rFont val="ＭＳ Ｐゴシック"/>
        <sz val="10.0"/>
      </rPr>
      <t xml:space="preserve">　真野たちの鑑定によれば、室内から被害者以外の</t>
    </r>
    <r>
      <rPr>
        <rFont val="Arial"/>
        <sz val="10.0"/>
      </rPr>
      <t>DNA</t>
    </r>
    <r>
      <rPr>
        <rFont val="ＭＳ Ｐゴシック"/>
        <sz val="10.0"/>
      </rPr>
      <t>型は見つからなかった。しかし真野は、収納ボックスの引き出し内に付着した飛沫血痕が気になっていた。犯人が浩司を殺してから強盗に見せかけて部屋を荒らしたのなら、引き出しの内側に血痕がつくはずはない。</t>
    </r>
    <r>
      <rPr>
        <rFont val="Arial"/>
        <sz val="10.0"/>
      </rPr>
      <t xml:space="preserve">  </t>
    </r>
    <r>
      <rPr>
        <rFont val="ＭＳ Ｐゴシック"/>
        <sz val="10.0"/>
      </rPr>
      <t xml:space="preserve">　相楽は、浩司とは何年も会っていないと話し、浩司はうそを並べて家族や友人から金を借りており、相楽自身も</t>
    </r>
    <r>
      <rPr>
        <rFont val="Arial"/>
        <sz val="10.0"/>
      </rPr>
      <t>300</t>
    </r>
    <r>
      <rPr>
        <rFont val="ＭＳ Ｐゴシック"/>
        <sz val="10.0"/>
      </rPr>
      <t>万円ほど貸したままだとして、アイツは殺されても仕方のないうそつき野郎と言い放つ。</t>
    </r>
    <r>
      <rPr>
        <rFont val="Arial"/>
        <sz val="10.0"/>
      </rPr>
      <t xml:space="preserve">  </t>
    </r>
    <r>
      <rPr>
        <rFont val="ＭＳ Ｐゴシック"/>
        <sz val="10.0"/>
      </rPr>
      <t xml:space="preserve">　浩司は、金を借りた相手と金額を書き残していた。そのリストを元に犯人を絞り込もうとする虎丸たち。そんな中、浩司が</t>
    </r>
    <r>
      <rPr>
        <rFont val="Arial"/>
        <sz val="10.0"/>
      </rPr>
      <t>3000</t>
    </r>
    <r>
      <rPr>
        <rFont val="ＭＳ Ｐゴシック"/>
        <sz val="10.0"/>
      </rPr>
      <t>万円の定期生命保険に入っており、今月で保険期間が終了することが判明。一方、携帯電話の履歴から、事件前、浩司は相楽に何度も電話しており、ふたりで会っていたこともわかり</t>
    </r>
    <r>
      <rPr>
        <rFont val="Arial"/>
        <sz val="10.0"/>
      </rPr>
      <t>……</t>
    </r>
    <r>
      <rPr>
        <rFont val="ＭＳ Ｐゴシック"/>
        <sz val="10.0"/>
      </rPr>
      <t>。</t>
    </r>
  </si>
  <si>
    <t>科捜研法医研究員の相楽(山崎樹範)の兄・浩司(やべきょうすけ)が遺体で発見。発見場所は浩司のアパートで、第一発見者は、アパートの大家から浩司と連絡が取れないとの連絡を受けて訪れた相楽だった。死因は、頸動脈を切られたことによる失血死。また、室内は荒らされており、財布や預金通帳等がなくなっていた。真野(錦戸亮)とノンナ(新木優子)は、臨場要請を受け現場へ。そこで虎丸(船越英一郎)は、遺体に首以外の傷がないことから、強盗に見せかけた顔見知りの犯行だと主張する。  　真野たちの鑑定によれば、室内から被害者以外のDNA型は見つからなかった。しかし真野は、収納ボックスの引き出し内に付着した飛沫血痕が気になっていた。犯人が浩司を殺してから強盗に見せかけて部屋を荒らしたのなら、引き出しの内側に血痕がつくはずはない。  　相楽は、浩司とは何年も会っていないと話し、浩司はうそを並べて家族や友人から金を借りており、相楽自身も300万円ほど貸したままだとして、アイツは殺されても仕方のないうそつき野郎と言い放つ。  　浩司は、金を借りた相手と金額を書き残していた。そのリストを元に犯人を絞り込もうとする虎丸たち。そんな中、浩司が3000万円の定期生命保険に入っており、今月で保険期間が終了することが判明。一方、携帯電話の履歴から、事件前、浩司は相楽に何度も電話しており、ふたりで会っていたこともわかり……。</t>
  </si>
  <si>
    <t>番組名トレース～科捜研の男～【錦戸亮VS矢田亜希子&amp;山本舞香!第一章完結】　#05</t>
  </si>
  <si>
    <r>
      <rPr>
        <rFont val="ＭＳ Ｐゴシック"/>
        <sz val="10.0"/>
      </rPr>
      <t>科捜研の真野</t>
    </r>
    <r>
      <rPr>
        <rFont val="Arial"/>
        <sz val="10.0"/>
      </rPr>
      <t>(</t>
    </r>
    <r>
      <rPr>
        <rFont val="ＭＳ Ｐゴシック"/>
        <sz val="10.0"/>
      </rPr>
      <t>錦戸亮</t>
    </r>
    <r>
      <rPr>
        <rFont val="Arial"/>
        <sz val="10.0"/>
      </rPr>
      <t>)</t>
    </r>
    <r>
      <rPr>
        <rFont val="ＭＳ Ｐゴシック"/>
        <sz val="10.0"/>
      </rPr>
      <t>のもとに、捜査一課の刑事・虎丸</t>
    </r>
    <r>
      <rPr>
        <rFont val="Arial"/>
        <sz val="10.0"/>
      </rPr>
      <t>(</t>
    </r>
    <r>
      <rPr>
        <rFont val="ＭＳ Ｐゴシック"/>
        <sz val="10.0"/>
      </rPr>
      <t>船越英一郎</t>
    </r>
    <r>
      <rPr>
        <rFont val="Arial"/>
        <sz val="10.0"/>
      </rPr>
      <t>)</t>
    </r>
    <r>
      <rPr>
        <rFont val="ＭＳ Ｐゴシック"/>
        <sz val="10.0"/>
      </rPr>
      <t>から鑑定依頼が届く。黒鷹山の山道付近で殺害遺体が発見されたのだ。</t>
    </r>
    <r>
      <rPr>
        <rFont val="Arial"/>
        <sz val="10.0"/>
      </rPr>
      <t xml:space="preserve">  </t>
    </r>
    <r>
      <rPr>
        <rFont val="ＭＳ Ｐゴシック"/>
        <sz val="10.0"/>
      </rPr>
      <t xml:space="preserve">　被害者は、スナックに勤める海東奈津美</t>
    </r>
    <r>
      <rPr>
        <rFont val="Arial"/>
        <sz val="10.0"/>
      </rPr>
      <t>(</t>
    </r>
    <r>
      <rPr>
        <rFont val="ＭＳ Ｐゴシック"/>
        <sz val="10.0"/>
      </rPr>
      <t>滝沢沙織</t>
    </r>
    <r>
      <rPr>
        <rFont val="Arial"/>
        <sz val="10.0"/>
      </rPr>
      <t>)</t>
    </r>
    <r>
      <rPr>
        <rFont val="ＭＳ Ｐゴシック"/>
        <sz val="10.0"/>
      </rPr>
      <t>。死因は頭部を強打されたことによる脳挫傷で、死後</t>
    </r>
    <r>
      <rPr>
        <rFont val="Arial"/>
        <sz val="10.0"/>
      </rPr>
      <t>3</t>
    </r>
    <r>
      <rPr>
        <rFont val="ＭＳ Ｐゴシック"/>
        <sz val="10.0"/>
      </rPr>
      <t>日が経過していた。また、遺体の周辺からは、被害者とは違う人物の毛髪が見つかっていた。毛髪の</t>
    </r>
    <r>
      <rPr>
        <rFont val="Arial"/>
        <sz val="10.0"/>
      </rPr>
      <t>DNA</t>
    </r>
    <r>
      <rPr>
        <rFont val="ＭＳ Ｐゴシック"/>
        <sz val="10.0"/>
      </rPr>
      <t>鑑定を行ったノンナ</t>
    </r>
    <r>
      <rPr>
        <rFont val="Arial"/>
        <sz val="10.0"/>
      </rPr>
      <t>(</t>
    </r>
    <r>
      <rPr>
        <rFont val="ＭＳ Ｐゴシック"/>
        <sz val="10.0"/>
      </rPr>
      <t>新木優子</t>
    </r>
    <r>
      <rPr>
        <rFont val="Arial"/>
        <sz val="10.0"/>
      </rPr>
      <t>)</t>
    </r>
    <r>
      <rPr>
        <rFont val="ＭＳ Ｐゴシック"/>
        <sz val="10.0"/>
      </rPr>
      <t>は、それが</t>
    </r>
    <r>
      <rPr>
        <rFont val="Arial"/>
        <sz val="10.0"/>
      </rPr>
      <t>18</t>
    </r>
    <r>
      <rPr>
        <rFont val="ＭＳ Ｐゴシック"/>
        <sz val="10.0"/>
      </rPr>
      <t>年前に誘拐され、そのまま行方不明になっている幼児のものであることを知る。</t>
    </r>
    <r>
      <rPr>
        <rFont val="Arial"/>
        <sz val="10.0"/>
      </rPr>
      <t xml:space="preserve">  </t>
    </r>
    <r>
      <rPr>
        <rFont val="ＭＳ Ｐゴシック"/>
        <sz val="10.0"/>
      </rPr>
      <t xml:space="preserve">　</t>
    </r>
    <r>
      <rPr>
        <rFont val="Arial"/>
        <sz val="10.0"/>
      </rPr>
      <t>18</t>
    </r>
    <r>
      <rPr>
        <rFont val="ＭＳ Ｐゴシック"/>
        <sz val="10.0"/>
      </rPr>
      <t>年前に起きた『鶴竹町幼児誘拐事件』は、スーパーで買い物中の母親・島本彩花</t>
    </r>
    <r>
      <rPr>
        <rFont val="Arial"/>
        <sz val="10.0"/>
      </rPr>
      <t>(</t>
    </r>
    <r>
      <rPr>
        <rFont val="ＭＳ Ｐゴシック"/>
        <sz val="10.0"/>
      </rPr>
      <t>矢田亜希子</t>
    </r>
    <r>
      <rPr>
        <rFont val="Arial"/>
        <sz val="10.0"/>
      </rPr>
      <t>)</t>
    </r>
    <r>
      <rPr>
        <rFont val="ＭＳ Ｐゴシック"/>
        <sz val="10.0"/>
      </rPr>
      <t>が目を離した隙に、娘のユウちゃんが誘拐された事件だった。彩花と父親の彰</t>
    </r>
    <r>
      <rPr>
        <rFont val="Arial"/>
        <sz val="10.0"/>
      </rPr>
      <t>(</t>
    </r>
    <r>
      <rPr>
        <rFont val="ＭＳ Ｐゴシック"/>
        <sz val="10.0"/>
      </rPr>
      <t>山中聡</t>
    </r>
    <r>
      <rPr>
        <rFont val="Arial"/>
        <sz val="10.0"/>
      </rPr>
      <t>)</t>
    </r>
    <r>
      <rPr>
        <rFont val="ＭＳ Ｐゴシック"/>
        <sz val="10.0"/>
      </rPr>
      <t>は、誘拐犯からの指示に従って身代金を届けた。だが、ユウちゃんがいるというコテージにはその姿はなく、代わりに誘拐犯と思われる暴力団の準構成員・神崎徹</t>
    </r>
    <r>
      <rPr>
        <rFont val="Arial"/>
        <sz val="10.0"/>
      </rPr>
      <t>(</t>
    </r>
    <r>
      <rPr>
        <rFont val="ＭＳ Ｐゴシック"/>
        <sz val="10.0"/>
      </rPr>
      <t>石垣佑磨</t>
    </r>
    <r>
      <rPr>
        <rFont val="Arial"/>
        <sz val="10.0"/>
      </rPr>
      <t>)</t>
    </r>
    <r>
      <rPr>
        <rFont val="ＭＳ Ｐゴシック"/>
        <sz val="10.0"/>
      </rPr>
      <t>の遺体があったのだ。彩花たちはそこで初めて警察に通報したが、結局ユウちゃんは行方不明のまま。身代金も消え、神崎を殺した人物の正体もわかっていなかった。虎丸は、今も娘の行方を探して街頭でビラ配りをしている彩花たちに事情を伝え、協力を要請した。</t>
    </r>
    <r>
      <rPr>
        <rFont val="Arial"/>
        <sz val="10.0"/>
      </rPr>
      <t xml:space="preserve">  </t>
    </r>
    <r>
      <rPr>
        <rFont val="ＭＳ Ｐゴシック"/>
        <sz val="10.0"/>
      </rPr>
      <t xml:space="preserve">　そんな折、遺体で見つかった奈津美が、</t>
    </r>
    <r>
      <rPr>
        <rFont val="Arial"/>
        <sz val="10.0"/>
      </rPr>
      <t>18</t>
    </r>
    <r>
      <rPr>
        <rFont val="ＭＳ Ｐゴシック"/>
        <sz val="10.0"/>
      </rPr>
      <t>年前に鶴竹町に住んでいたことが判明する。一方、真野は、明日が休日だというノンナに、予定がないなら付き合ってほしい、と声をかけ</t>
    </r>
    <r>
      <rPr>
        <rFont val="Arial"/>
        <sz val="10.0"/>
      </rPr>
      <t>…</t>
    </r>
    <r>
      <rPr>
        <rFont val="ＭＳ Ｐゴシック"/>
        <sz val="10.0"/>
      </rPr>
      <t>。</t>
    </r>
  </si>
  <si>
    <t>科捜研の真野(錦戸亮)のもとに、捜査一課の刑事・虎丸(船越英一郎)から鑑定依頼が届く。黒鷹山の山道付近で殺害遺体が発見されたのだ。  　被害者は、スナックに勤める海東奈津美(滝沢沙織)。死因は頭部を強打されたことによる脳挫傷で、死後3日が経過していた。また、遺体の周辺からは、被害者とは違う人物の毛髪が見つかっていた。毛髪のDNA鑑定を行ったノンナ(新木優子)は、それが18年前に誘拐され、そのまま行方不明になっている幼児のものであることを知る。  　18年前に起きた『鶴竹町幼児誘拐事件』は、スーパーで買い物中の母親・島本彩花(矢田亜希子)が目を離した隙に、娘のユウちゃんが誘拐された事件だった。彩花と父親の彰(山中聡)は、誘拐犯からの指示に従って身代金を届けた。だが、ユウちゃんがいるというコテージにはその姿はなく、代わりに誘拐犯と思われる暴力団の準構成員・神崎徹(石垣佑磨)の遺体があったのだ。彩花たちはそこで初めて警察に通報したが、結局ユウちゃんは行方不明のまま。身代金も消え、神崎を殺した人物の正体もわかっていなかった。虎丸は、今も娘の行方を探して街頭でビラ配りをしている彩花たちに事情を伝え、協力を要請した。  　そんな折、遺体で見つかった奈津美が、18年前に鶴竹町に住んでいたことが判明する。一方、真野は、明日が休日だというノンナに、予定がないなら付き合ってほしい、と声をかけ…。</t>
  </si>
  <si>
    <t>番組名トレース～科捜研の男～【今夜、新章突入!遂に衝撃の過去が動き出す!】　#06</t>
  </si>
  <si>
    <r>
      <rPr>
        <rFont val="ＭＳ Ｐゴシック"/>
        <sz val="10.0"/>
      </rPr>
      <t>真野</t>
    </r>
    <r>
      <rPr>
        <rFont val="Arial"/>
        <sz val="10.0"/>
      </rPr>
      <t>(</t>
    </r>
    <r>
      <rPr>
        <rFont val="ＭＳ Ｐゴシック"/>
        <sz val="10.0"/>
      </rPr>
      <t>錦戸亮</t>
    </r>
    <r>
      <rPr>
        <rFont val="Arial"/>
        <sz val="10.0"/>
      </rPr>
      <t>)</t>
    </r>
    <r>
      <rPr>
        <rFont val="ＭＳ Ｐゴシック"/>
        <sz val="10.0"/>
      </rPr>
      <t>のもとに「君のお兄さんのことで話がある」という男から電話があった。真野は指定された場所で男を待ち続けたが、結局誰も現れなかった。</t>
    </r>
    <r>
      <rPr>
        <rFont val="Arial"/>
        <sz val="10.0"/>
      </rPr>
      <t xml:space="preserve">  </t>
    </r>
    <r>
      <rPr>
        <rFont val="ＭＳ Ｐゴシック"/>
        <sz val="10.0"/>
      </rPr>
      <t xml:space="preserve">　そんな折、河川敷でホームレスの男性の変死体が発見される。被害者は新妻大介</t>
    </r>
    <r>
      <rPr>
        <rFont val="Arial"/>
        <sz val="10.0"/>
      </rPr>
      <t>(</t>
    </r>
    <r>
      <rPr>
        <rFont val="ＭＳ Ｐゴシック"/>
        <sz val="10.0"/>
      </rPr>
      <t>伊藤高史</t>
    </r>
    <r>
      <rPr>
        <rFont val="Arial"/>
        <sz val="10.0"/>
      </rPr>
      <t>)</t>
    </r>
    <r>
      <rPr>
        <rFont val="ＭＳ Ｐゴシック"/>
        <sz val="10.0"/>
      </rPr>
      <t>。高校</t>
    </r>
    <r>
      <rPr>
        <rFont val="Arial"/>
        <sz val="10.0"/>
      </rPr>
      <t>3</t>
    </r>
    <r>
      <rPr>
        <rFont val="ＭＳ Ｐゴシック"/>
        <sz val="10.0"/>
      </rPr>
      <t>年生のときに失踪して以来行方不明で、捜索願が出されていた。死因は溺死。だが、肺などには液体が残っていたものの、体には濡れた痕跡はなかった。また、現場には血液のようなものが付着した軍手も落ちていた。虎丸</t>
    </r>
    <r>
      <rPr>
        <rFont val="Arial"/>
        <sz val="10.0"/>
      </rPr>
      <t>(</t>
    </r>
    <r>
      <rPr>
        <rFont val="ＭＳ Ｐゴシック"/>
        <sz val="10.0"/>
      </rPr>
      <t>船越英一郎</t>
    </r>
    <r>
      <rPr>
        <rFont val="Arial"/>
        <sz val="10.0"/>
      </rPr>
      <t>)</t>
    </r>
    <r>
      <rPr>
        <rFont val="ＭＳ Ｐゴシック"/>
        <sz val="10.0"/>
      </rPr>
      <t>たちは、科捜研の海塚</t>
    </r>
    <r>
      <rPr>
        <rFont val="Arial"/>
        <sz val="10.0"/>
      </rPr>
      <t>(</t>
    </r>
    <r>
      <rPr>
        <rFont val="ＭＳ Ｐゴシック"/>
        <sz val="10.0"/>
      </rPr>
      <t>小雪</t>
    </r>
    <r>
      <rPr>
        <rFont val="Arial"/>
        <sz val="10.0"/>
      </rPr>
      <t>)</t>
    </r>
    <r>
      <rPr>
        <rFont val="ＭＳ Ｐゴシック"/>
        <sz val="10.0"/>
      </rPr>
      <t>に、遺体から採取した液体と軍手の検査を頼むとともに、臨場を依頼する。鑑定の結果、液体は水道水で、鉄のさびと思われる物質が検出された。一方、軍手にはいくつかの小さな穴が開いており、男性ひとり、女性ふたりの古い血液が付着していたが、データベースで照合しても身元は不明だった。また、軍手の内側から検出された皮膚片は、被害者とは別の人物のものだった。</t>
    </r>
    <r>
      <rPr>
        <rFont val="Arial"/>
        <sz val="10.0"/>
      </rPr>
      <t xml:space="preserve">  </t>
    </r>
    <r>
      <rPr>
        <rFont val="ＭＳ Ｐゴシック"/>
        <sz val="10.0"/>
      </rPr>
      <t xml:space="preserve">　臨場に向かった真野たちは、現場付近の水道から水を採取する。するとそこに、早川尚文</t>
    </r>
    <r>
      <rPr>
        <rFont val="Arial"/>
        <sz val="10.0"/>
      </rPr>
      <t>(</t>
    </r>
    <r>
      <rPr>
        <rFont val="ＭＳ Ｐゴシック"/>
        <sz val="10.0"/>
      </rPr>
      <t>萩原聖人</t>
    </r>
    <r>
      <rPr>
        <rFont val="Arial"/>
        <sz val="10.0"/>
      </rPr>
      <t>)</t>
    </r>
    <r>
      <rPr>
        <rFont val="ＭＳ Ｐゴシック"/>
        <sz val="10.0"/>
      </rPr>
      <t>が献花を持って現れる。早川は、新妻の高校時代の担任だという。虎丸は、新妻が失踪した理由を早川に尋ねた。すると早川は、当時新妻が、友人が家族を刺殺して自殺したことにショックを受けていたことを話す。その事件とは、真野の家族が殺された</t>
    </r>
    <r>
      <rPr>
        <rFont val="Arial"/>
        <sz val="10.0"/>
      </rPr>
      <t>25</t>
    </r>
    <r>
      <rPr>
        <rFont val="ＭＳ Ｐゴシック"/>
        <sz val="10.0"/>
      </rPr>
      <t>年前の『武蔵野一家殺人事件』のことだった。</t>
    </r>
  </si>
  <si>
    <t>真野(錦戸亮)のもとに「君のお兄さんのことで話がある」という男から電話があった。真野は指定された場所で男を待ち続けたが、結局誰も現れなかった。  　そんな折、河川敷でホームレスの男性の変死体が発見される。被害者は新妻大介(伊藤高史)。高校3年生のときに失踪して以来行方不明で、捜索願が出されていた。死因は溺死。だが、肺などには液体が残っていたものの、体には濡れた痕跡はなかった。また、現場には血液のようなものが付着した軍手も落ちていた。虎丸(船越英一郎)たちは、科捜研の海塚(小雪)に、遺体から採取した液体と軍手の検査を頼むとともに、臨場を依頼する。鑑定の結果、液体は水道水で、鉄のさびと思われる物質が検出された。一方、軍手にはいくつかの小さな穴が開いており、男性ひとり、女性ふたりの古い血液が付着していたが、データベースで照合しても身元は不明だった。また、軍手の内側から検出された皮膚片は、被害者とは別の人物のものだった。  　臨場に向かった真野たちは、現場付近の水道から水を採取する。するとそこに、早川尚文(萩原聖人)が献花を持って現れる。早川は、新妻の高校時代の担任だという。虎丸は、新妻が失踪した理由を早川に尋ねた。すると早川は、当時新妻が、友人が家族を刺殺して自殺したことにショックを受けていたことを話す。その事件とは、真野の家族が殺された25年前の『武蔵野一家殺人事件』のことだった。</t>
  </si>
  <si>
    <t>番組名トレース～科捜研の男～【錦戸亮VS徳重聡!極悪議員の裏の顔を暴け】　#07</t>
  </si>
  <si>
    <r>
      <rPr>
        <rFont val="ＭＳ Ｐゴシック"/>
        <sz val="10.0"/>
      </rPr>
      <t>真野</t>
    </r>
    <r>
      <rPr>
        <rFont val="Arial"/>
        <sz val="10.0"/>
      </rPr>
      <t>(</t>
    </r>
    <r>
      <rPr>
        <rFont val="ＭＳ Ｐゴシック"/>
        <sz val="10.0"/>
      </rPr>
      <t>錦戸亮</t>
    </r>
    <r>
      <rPr>
        <rFont val="Arial"/>
        <sz val="10.0"/>
      </rPr>
      <t>)</t>
    </r>
    <r>
      <rPr>
        <rFont val="ＭＳ Ｐゴシック"/>
        <sz val="10.0"/>
      </rPr>
      <t>は、</t>
    </r>
    <r>
      <rPr>
        <rFont val="Arial"/>
        <sz val="10.0"/>
      </rPr>
      <t>25</t>
    </r>
    <r>
      <rPr>
        <rFont val="ＭＳ Ｐゴシック"/>
        <sz val="10.0"/>
      </rPr>
      <t>年前に殺害された当時高校生の姉・仁美</t>
    </r>
    <r>
      <rPr>
        <rFont val="Arial"/>
        <sz val="10.0"/>
      </rPr>
      <t>(</t>
    </r>
    <r>
      <rPr>
        <rFont val="ＭＳ Ｐゴシック"/>
        <sz val="10.0"/>
      </rPr>
      <t>夏子</t>
    </r>
    <r>
      <rPr>
        <rFont val="Arial"/>
        <sz val="10.0"/>
      </rPr>
      <t>)</t>
    </r>
    <r>
      <rPr>
        <rFont val="ＭＳ Ｐゴシック"/>
        <sz val="10.0"/>
      </rPr>
      <t>が妊娠していたことを知る。真野は、兄の義一</t>
    </r>
    <r>
      <rPr>
        <rFont val="Arial"/>
        <sz val="10.0"/>
      </rPr>
      <t>(</t>
    </r>
    <r>
      <rPr>
        <rFont val="ＭＳ Ｐゴシック"/>
        <sz val="10.0"/>
      </rPr>
      <t>倉悠貴</t>
    </r>
    <r>
      <rPr>
        <rFont val="Arial"/>
        <sz val="10.0"/>
      </rPr>
      <t>)</t>
    </r>
    <r>
      <rPr>
        <rFont val="ＭＳ Ｐゴシック"/>
        <sz val="10.0"/>
      </rPr>
      <t>も通っていた高校の教師・早川</t>
    </r>
    <r>
      <rPr>
        <rFont val="Arial"/>
        <sz val="10.0"/>
      </rPr>
      <t>(</t>
    </r>
    <r>
      <rPr>
        <rFont val="ＭＳ Ｐゴシック"/>
        <sz val="10.0"/>
      </rPr>
      <t>萩原聖人</t>
    </r>
    <r>
      <rPr>
        <rFont val="Arial"/>
        <sz val="10.0"/>
      </rPr>
      <t>)</t>
    </r>
    <r>
      <rPr>
        <rFont val="ＭＳ Ｐゴシック"/>
        <sz val="10.0"/>
      </rPr>
      <t>に会い、姉に関する情報を求めた。</t>
    </r>
    <r>
      <rPr>
        <rFont val="Arial"/>
        <sz val="10.0"/>
      </rPr>
      <t xml:space="preserve">  </t>
    </r>
    <r>
      <rPr>
        <rFont val="ＭＳ Ｐゴシック"/>
        <sz val="10.0"/>
      </rPr>
      <t xml:space="preserve">　ノンナ</t>
    </r>
    <r>
      <rPr>
        <rFont val="Arial"/>
        <sz val="10.0"/>
      </rPr>
      <t>(</t>
    </r>
    <r>
      <rPr>
        <rFont val="ＭＳ Ｐゴシック"/>
        <sz val="10.0"/>
      </rPr>
      <t>新木優子</t>
    </r>
    <r>
      <rPr>
        <rFont val="Arial"/>
        <sz val="10.0"/>
      </rPr>
      <t>)</t>
    </r>
    <r>
      <rPr>
        <rFont val="ＭＳ Ｐゴシック"/>
        <sz val="10.0"/>
      </rPr>
      <t>は、英里</t>
    </r>
    <r>
      <rPr>
        <rFont val="Arial"/>
        <sz val="10.0"/>
      </rPr>
      <t>(</t>
    </r>
    <r>
      <rPr>
        <rFont val="ＭＳ Ｐゴシック"/>
        <sz val="10.0"/>
      </rPr>
      <t>岡崎紗絵</t>
    </r>
    <r>
      <rPr>
        <rFont val="Arial"/>
        <sz val="10.0"/>
      </rPr>
      <t>)</t>
    </r>
    <r>
      <rPr>
        <rFont val="ＭＳ Ｐゴシック"/>
        <sz val="10.0"/>
      </rPr>
      <t>と科捜研物理科の坂上亜希</t>
    </r>
    <r>
      <rPr>
        <rFont val="Arial"/>
        <sz val="10.0"/>
      </rPr>
      <t>(</t>
    </r>
    <r>
      <rPr>
        <rFont val="ＭＳ Ｐゴシック"/>
        <sz val="10.0"/>
      </rPr>
      <t>木原実優</t>
    </r>
    <r>
      <rPr>
        <rFont val="Arial"/>
        <sz val="10.0"/>
      </rPr>
      <t>)</t>
    </r>
    <r>
      <rPr>
        <rFont val="ＭＳ Ｐゴシック"/>
        <sz val="10.0"/>
      </rPr>
      <t>に誘われ、合コンに参加する。その帰り道、ノンナたちは公園で女性が男たちに絡まれているのを目撃し、助けに行く。男たちは、ノンナが科捜研の研究員だと知ると逃げ去ったが、そのときにはすでに女性の姿はなかった。</t>
    </r>
    <r>
      <rPr>
        <rFont val="Arial"/>
        <sz val="10.0"/>
      </rPr>
      <t xml:space="preserve">  </t>
    </r>
    <r>
      <rPr>
        <rFont val="ＭＳ Ｐゴシック"/>
        <sz val="10.0"/>
      </rPr>
      <t xml:space="preserve">　一方、虎丸</t>
    </r>
    <r>
      <rPr>
        <rFont val="Arial"/>
        <sz val="10.0"/>
      </rPr>
      <t>(</t>
    </r>
    <r>
      <rPr>
        <rFont val="ＭＳ Ｐゴシック"/>
        <sz val="10.0"/>
      </rPr>
      <t>船越英一郎</t>
    </r>
    <r>
      <rPr>
        <rFont val="Arial"/>
        <sz val="10.0"/>
      </rPr>
      <t>)</t>
    </r>
    <r>
      <rPr>
        <rFont val="ＭＳ Ｐゴシック"/>
        <sz val="10.0"/>
      </rPr>
      <t>は、捜査一課長の江波</t>
    </r>
    <r>
      <rPr>
        <rFont val="Arial"/>
        <sz val="10.0"/>
      </rPr>
      <t>(</t>
    </r>
    <r>
      <rPr>
        <rFont val="ＭＳ Ｐゴシック"/>
        <sz val="10.0"/>
      </rPr>
      <t>篠井英介</t>
    </r>
    <r>
      <rPr>
        <rFont val="Arial"/>
        <sz val="10.0"/>
      </rPr>
      <t>)</t>
    </r>
    <r>
      <rPr>
        <rFont val="ＭＳ Ｐゴシック"/>
        <sz val="10.0"/>
      </rPr>
      <t>から、都議会議員・伊集院和明</t>
    </r>
    <r>
      <rPr>
        <rFont val="Arial"/>
        <sz val="10.0"/>
      </rPr>
      <t>(</t>
    </r>
    <r>
      <rPr>
        <rFont val="ＭＳ Ｐゴシック"/>
        <sz val="10.0"/>
      </rPr>
      <t>徳重聡</t>
    </r>
    <r>
      <rPr>
        <rFont val="Arial"/>
        <sz val="10.0"/>
      </rPr>
      <t>)</t>
    </r>
    <r>
      <rPr>
        <rFont val="ＭＳ Ｐゴシック"/>
        <sz val="10.0"/>
      </rPr>
      <t>の秘書が起こした交通事故の捜査を手伝うよう命じられる。事故は、真夜中に徘徊していた認知症の高齢男性が、伊集院の秘書・住井葉子</t>
    </r>
    <r>
      <rPr>
        <rFont val="Arial"/>
        <sz val="10.0"/>
      </rPr>
      <t>(</t>
    </r>
    <r>
      <rPr>
        <rFont val="ＭＳ Ｐゴシック"/>
        <sz val="10.0"/>
      </rPr>
      <t>河井青葉</t>
    </r>
    <r>
      <rPr>
        <rFont val="Arial"/>
        <sz val="10.0"/>
      </rPr>
      <t>)</t>
    </r>
    <r>
      <rPr>
        <rFont val="ＭＳ Ｐゴシック"/>
        <sz val="10.0"/>
      </rPr>
      <t>が運転する車にはねられて死亡したというもので、車には伊集院も同乗していた。所轄の刑事・柏原依子</t>
    </r>
    <r>
      <rPr>
        <rFont val="Arial"/>
        <sz val="10.0"/>
      </rPr>
      <t>(</t>
    </r>
    <r>
      <rPr>
        <rFont val="ＭＳ Ｐゴシック"/>
        <sz val="10.0"/>
      </rPr>
      <t>宇野実彩子</t>
    </r>
    <r>
      <rPr>
        <rFont val="Arial"/>
        <sz val="10.0"/>
      </rPr>
      <t>)</t>
    </r>
    <r>
      <rPr>
        <rFont val="ＭＳ Ｐゴシック"/>
        <sz val="10.0"/>
      </rPr>
      <t>とともに捜査を始めた虎丸は、真野たちに事故車の調査を依頼する。虎丸は、運転をしていたのは葉子ではなく、飲酒していた伊集院ではないかと疑う。実は、事故発生から通報までに約</t>
    </r>
    <r>
      <rPr>
        <rFont val="Arial"/>
        <sz val="10.0"/>
      </rPr>
      <t>1</t>
    </r>
    <r>
      <rPr>
        <rFont val="ＭＳ Ｐゴシック"/>
        <sz val="10.0"/>
      </rPr>
      <t>時間のタイムラグがあったが、その間、伊集院と葉子は事故の衝撃で意識を失っていたというのだ。そんな折、亜希が階段から突き落とされ、バッグを奪われるという事件が起きる。さらにそのすぐ後、今度は英里がひったくりに襲われ</t>
    </r>
    <r>
      <rPr>
        <rFont val="Arial"/>
        <sz val="10.0"/>
      </rPr>
      <t>…</t>
    </r>
    <r>
      <rPr>
        <rFont val="ＭＳ Ｐゴシック"/>
        <sz val="10.0"/>
      </rPr>
      <t>。</t>
    </r>
  </si>
  <si>
    <t>真野(錦戸亮)は、25年前に殺害された当時高校生の姉・仁美(夏子)が妊娠していたことを知る。真野は、兄の義一(倉悠貴)も通っていた高校の教師・早川(萩原聖人)に会い、姉に関する情報を求めた。  　ノンナ(新木優子)は、英里(岡崎紗絵)と科捜研物理科の坂上亜希(木原実優)に誘われ、合コンに参加する。その帰り道、ノンナたちは公園で女性が男たちに絡まれているのを目撃し、助けに行く。男たちは、ノンナが科捜研の研究員だと知ると逃げ去ったが、そのときにはすでに女性の姿はなかった。  　一方、虎丸(船越英一郎)は、捜査一課長の江波(篠井英介)から、都議会議員・伊集院和明(徳重聡)の秘書が起こした交通事故の捜査を手伝うよう命じられる。事故は、真夜中に徘徊していた認知症の高齢男性が、伊集院の秘書・住井葉子(河井青葉)が運転する車にはねられて死亡したというもので、車には伊集院も同乗していた。所轄の刑事・柏原依子(宇野実彩子)とともに捜査を始めた虎丸は、真野たちに事故車の調査を依頼する。虎丸は、運転をしていたのは葉子ではなく、飲酒していた伊集院ではないかと疑う。実は、事故発生から通報までに約1時間のタイムラグがあったが、その間、伊集院と葉子は事故の衝撃で意識を失っていたというのだ。そんな折、亜希が階段から突き落とされ、バッグを奪われるという事件が起きる。さらにそのすぐ後、今度は英里がひったくりに襲われ…。</t>
  </si>
  <si>
    <t>番組名トレース～科捜研の男～【錦戸VS嘘が下手な犯人!ゲストは石井杏奈!】　#08</t>
  </si>
  <si>
    <r>
      <rPr>
        <rFont val="ＭＳ Ｐゴシック"/>
        <sz val="10.0"/>
      </rPr>
      <t>真野</t>
    </r>
    <r>
      <rPr>
        <rFont val="Arial"/>
        <sz val="10.0"/>
      </rPr>
      <t>(</t>
    </r>
    <r>
      <rPr>
        <rFont val="ＭＳ Ｐゴシック"/>
        <sz val="10.0"/>
      </rPr>
      <t>錦戸亮</t>
    </r>
    <r>
      <rPr>
        <rFont val="Arial"/>
        <sz val="10.0"/>
      </rPr>
      <t>)</t>
    </r>
    <r>
      <rPr>
        <rFont val="ＭＳ Ｐゴシック"/>
        <sz val="10.0"/>
      </rPr>
      <t>は、友人を刺殺した男の事件を担当する。同居している友人を刺殺したと自首した御手洗治</t>
    </r>
    <r>
      <rPr>
        <rFont val="Arial"/>
        <sz val="10.0"/>
      </rPr>
      <t>(</t>
    </r>
    <r>
      <rPr>
        <rFont val="ＭＳ Ｐゴシック"/>
        <sz val="10.0"/>
      </rPr>
      <t>渋谷謙人</t>
    </r>
    <r>
      <rPr>
        <rFont val="Arial"/>
        <sz val="10.0"/>
      </rPr>
      <t>)</t>
    </r>
    <r>
      <rPr>
        <rFont val="ＭＳ Ｐゴシック"/>
        <sz val="10.0"/>
      </rPr>
      <t>。夜</t>
    </r>
    <r>
      <rPr>
        <rFont val="Arial"/>
        <sz val="10.0"/>
      </rPr>
      <t>9</t>
    </r>
    <r>
      <rPr>
        <rFont val="ＭＳ Ｐゴシック"/>
        <sz val="10.0"/>
      </rPr>
      <t>時半に帰宅後、口論をきっかけに友人の根岸秀司</t>
    </r>
    <r>
      <rPr>
        <rFont val="Arial"/>
        <sz val="10.0"/>
      </rPr>
      <t>(</t>
    </r>
    <r>
      <rPr>
        <rFont val="ＭＳ Ｐゴシック"/>
        <sz val="10.0"/>
      </rPr>
      <t>落合モトキ</t>
    </r>
    <r>
      <rPr>
        <rFont val="Arial"/>
        <sz val="10.0"/>
      </rPr>
      <t>)</t>
    </r>
    <r>
      <rPr>
        <rFont val="ＭＳ Ｐゴシック"/>
        <sz val="10.0"/>
      </rPr>
      <t>をナイフで刺したという。死亡推定時刻は夜</t>
    </r>
    <r>
      <rPr>
        <rFont val="Arial"/>
        <sz val="10.0"/>
      </rPr>
      <t>9</t>
    </r>
    <r>
      <rPr>
        <rFont val="ＭＳ Ｐゴシック"/>
        <sz val="10.0"/>
      </rPr>
      <t>時から</t>
    </r>
    <r>
      <rPr>
        <rFont val="Arial"/>
        <sz val="10.0"/>
      </rPr>
      <t>11</t>
    </r>
    <r>
      <rPr>
        <rFont val="ＭＳ Ｐゴシック"/>
        <sz val="10.0"/>
      </rPr>
      <t>時ごろ。死因は出血性ショックで、凶器には御手洗の指紋が残っていた。事件から</t>
    </r>
    <r>
      <rPr>
        <rFont val="Arial"/>
        <sz val="10.0"/>
      </rPr>
      <t>2</t>
    </r>
    <r>
      <rPr>
        <rFont val="ＭＳ Ｐゴシック"/>
        <sz val="10.0"/>
      </rPr>
      <t>日後、ノンナ</t>
    </r>
    <r>
      <rPr>
        <rFont val="Arial"/>
        <sz val="10.0"/>
      </rPr>
      <t>(</t>
    </r>
    <r>
      <rPr>
        <rFont val="ＭＳ Ｐゴシック"/>
        <sz val="10.0"/>
      </rPr>
      <t>新木優子</t>
    </r>
    <r>
      <rPr>
        <rFont val="Arial"/>
        <sz val="10.0"/>
      </rPr>
      <t>)</t>
    </r>
    <r>
      <rPr>
        <rFont val="ＭＳ Ｐゴシック"/>
        <sz val="10.0"/>
      </rPr>
      <t>は、妹のカンナ</t>
    </r>
    <r>
      <rPr>
        <rFont val="Arial"/>
        <sz val="10.0"/>
      </rPr>
      <t>(</t>
    </r>
    <r>
      <rPr>
        <rFont val="ＭＳ Ｐゴシック"/>
        <sz val="10.0"/>
      </rPr>
      <t>山谷花純</t>
    </r>
    <r>
      <rPr>
        <rFont val="Arial"/>
        <sz val="10.0"/>
      </rPr>
      <t>)</t>
    </r>
    <r>
      <rPr>
        <rFont val="ＭＳ Ｐゴシック"/>
        <sz val="10.0"/>
      </rPr>
      <t>から、高校時代からの友人だという人気女優・橋本梨央</t>
    </r>
    <r>
      <rPr>
        <rFont val="Arial"/>
        <sz val="10.0"/>
      </rPr>
      <t>(</t>
    </r>
    <r>
      <rPr>
        <rFont val="ＭＳ Ｐゴシック"/>
        <sz val="10.0"/>
      </rPr>
      <t>石井杏奈</t>
    </r>
    <r>
      <rPr>
        <rFont val="Arial"/>
        <sz val="10.0"/>
      </rPr>
      <t>)</t>
    </r>
    <r>
      <rPr>
        <rFont val="ＭＳ Ｐゴシック"/>
        <sz val="10.0"/>
      </rPr>
      <t>を紹介される。実は梨央は、御手洗や根岸とは同じ児童養護施設で育った幼なじみだという。梨央は、家族同然で暮らしたふたりが殺人事件に至る理由がわからず、事件を調べ直してほしいとノンナに懇願する。ノンナから話を聞いた真野が捜査資料を見直すと、夜</t>
    </r>
    <r>
      <rPr>
        <rFont val="Arial"/>
        <sz val="10.0"/>
      </rPr>
      <t>11</t>
    </r>
    <r>
      <rPr>
        <rFont val="ＭＳ Ｐゴシック"/>
        <sz val="10.0"/>
      </rPr>
      <t>時ごろに根岸を刺し、すぐに警察に通報したという御手洗の供述に不審を抱く。写真が撮影されたのは、通報から</t>
    </r>
    <r>
      <rPr>
        <rFont val="Arial"/>
        <sz val="10.0"/>
      </rPr>
      <t>1</t>
    </r>
    <r>
      <rPr>
        <rFont val="ＭＳ Ｐゴシック"/>
        <sz val="10.0"/>
      </rPr>
      <t>時間ほど後の深夜</t>
    </r>
    <r>
      <rPr>
        <rFont val="Arial"/>
        <sz val="10.0"/>
      </rPr>
      <t>0</t>
    </r>
    <r>
      <rPr>
        <rFont val="ＭＳ Ｐゴシック"/>
        <sz val="10.0"/>
      </rPr>
      <t>時ごろ。にもかかわらず、現場の血液は完全に乾いていた。血液の量から推測すると、乾くまでには最低</t>
    </r>
    <r>
      <rPr>
        <rFont val="Arial"/>
        <sz val="10.0"/>
      </rPr>
      <t>2</t>
    </r>
    <r>
      <rPr>
        <rFont val="ＭＳ Ｐゴシック"/>
        <sz val="10.0"/>
      </rPr>
      <t>時間は必要だという真野。つまり、殺害してから通報するまでに</t>
    </r>
    <r>
      <rPr>
        <rFont val="Arial"/>
        <sz val="10.0"/>
      </rPr>
      <t>1</t>
    </r>
    <r>
      <rPr>
        <rFont val="ＭＳ Ｐゴシック"/>
        <sz val="10.0"/>
      </rPr>
      <t>時間以上の空白の時間がある、というのだ。殺害現場に臨場した真野は、珍しい種類のネコの毛を発見、フリーライターの益山英彰</t>
    </r>
    <r>
      <rPr>
        <rFont val="Arial"/>
        <sz val="10.0"/>
      </rPr>
      <t>(</t>
    </r>
    <r>
      <rPr>
        <rFont val="ＭＳ Ｐゴシック"/>
        <sz val="10.0"/>
      </rPr>
      <t>弓削智久</t>
    </r>
    <r>
      <rPr>
        <rFont val="Arial"/>
        <sz val="10.0"/>
      </rPr>
      <t>)</t>
    </r>
    <r>
      <rPr>
        <rFont val="ＭＳ Ｐゴシック"/>
        <sz val="10.0"/>
      </rPr>
      <t>が最近そのネコを購入していたことがわかったが、虎丸が益山のマンションを訪れると、益山は何者かに殺害されていて</t>
    </r>
    <r>
      <rPr>
        <rFont val="Arial"/>
        <sz val="10.0"/>
      </rPr>
      <t>…</t>
    </r>
    <r>
      <rPr>
        <rFont val="ＭＳ Ｐゴシック"/>
        <sz val="10.0"/>
      </rPr>
      <t>。</t>
    </r>
  </si>
  <si>
    <t>真野(錦戸亮)は、友人を刺殺した男の事件を担当する。同居している友人を刺殺したと自首した御手洗治(渋谷謙人)。夜9時半に帰宅後、口論をきっかけに友人の根岸秀司(落合モトキ)をナイフで刺したという。死亡推定時刻は夜9時から11時ごろ。死因は出血性ショックで、凶器には御手洗の指紋が残っていた。事件から2日後、ノンナ(新木優子)は、妹のカンナ(山谷花純)から、高校時代からの友人だという人気女優・橋本梨央(石井杏奈)を紹介される。実は梨央は、御手洗や根岸とは同じ児童養護施設で育った幼なじみだという。梨央は、家族同然で暮らしたふたりが殺人事件に至る理由がわからず、事件を調べ直してほしいとノンナに懇願する。ノンナから話を聞いた真野が捜査資料を見直すと、夜11時ごろに根岸を刺し、すぐに警察に通報したという御手洗の供述に不審を抱く。写真が撮影されたのは、通報から1時間ほど後の深夜0時ごろ。にもかかわらず、現場の血液は完全に乾いていた。血液の量から推測すると、乾くまでには最低2時間は必要だという真野。つまり、殺害してから通報するまでに1時間以上の空白の時間がある、というのだ。殺害現場に臨場した真野は、珍しい種類のネコの毛を発見、フリーライターの益山英彰(弓削智久)が最近そのネコを購入していたことがわかったが、虎丸が益山のマンションを訪れると、益山は何者かに殺害されていて…。</t>
  </si>
  <si>
    <t>番組名トレース～科捜研の男～【最終章開幕!ついに小雪と千原ジュニアが対面】　#09</t>
  </si>
  <si>
    <r>
      <rPr>
        <rFont val="ＭＳ Ｐゴシック"/>
        <sz val="10.0"/>
      </rPr>
      <t>真野</t>
    </r>
    <r>
      <rPr>
        <rFont val="Arial"/>
        <sz val="10.0"/>
      </rPr>
      <t>(</t>
    </r>
    <r>
      <rPr>
        <rFont val="ＭＳ Ｐゴシック"/>
        <sz val="10.0"/>
      </rPr>
      <t>錦戸亮</t>
    </r>
    <r>
      <rPr>
        <rFont val="Arial"/>
        <sz val="10.0"/>
      </rPr>
      <t>)</t>
    </r>
    <r>
      <rPr>
        <rFont val="ＭＳ Ｐゴシック"/>
        <sz val="10.0"/>
      </rPr>
      <t>は、高校教師の早川</t>
    </r>
    <r>
      <rPr>
        <rFont val="Arial"/>
        <sz val="10.0"/>
      </rPr>
      <t>(</t>
    </r>
    <r>
      <rPr>
        <rFont val="ＭＳ Ｐゴシック"/>
        <sz val="10.0"/>
      </rPr>
      <t>萩原聖人</t>
    </r>
    <r>
      <rPr>
        <rFont val="Arial"/>
        <sz val="10.0"/>
      </rPr>
      <t>)</t>
    </r>
    <r>
      <rPr>
        <rFont val="ＭＳ Ｐゴシック"/>
        <sz val="10.0"/>
      </rPr>
      <t>から、姉・仁美</t>
    </r>
    <r>
      <rPr>
        <rFont val="Arial"/>
        <sz val="10.0"/>
      </rPr>
      <t>(</t>
    </r>
    <r>
      <rPr>
        <rFont val="ＭＳ Ｐゴシック"/>
        <sz val="10.0"/>
      </rPr>
      <t>夏子</t>
    </r>
    <r>
      <rPr>
        <rFont val="Arial"/>
        <sz val="10.0"/>
      </rPr>
      <t>)</t>
    </r>
    <r>
      <rPr>
        <rFont val="ＭＳ Ｐゴシック"/>
        <sz val="10.0"/>
      </rPr>
      <t>に関する情報を聞く。早川によれば当時、仁美に交際相手がいたかどうかはわからなかったという。事件解決の糸口を見つけられず憤る真野。仕事帰りのノンナ</t>
    </r>
    <r>
      <rPr>
        <rFont val="Arial"/>
        <sz val="10.0"/>
      </rPr>
      <t>(</t>
    </r>
    <r>
      <rPr>
        <rFont val="ＭＳ Ｐゴシック"/>
        <sz val="10.0"/>
      </rPr>
      <t>新木優子</t>
    </r>
    <r>
      <rPr>
        <rFont val="Arial"/>
        <sz val="10.0"/>
      </rPr>
      <t>)</t>
    </r>
    <r>
      <rPr>
        <rFont val="ＭＳ Ｐゴシック"/>
        <sz val="10.0"/>
      </rPr>
      <t>は、偶然ふたりの姿を目撃するが</t>
    </r>
    <r>
      <rPr>
        <rFont val="Arial"/>
        <sz val="10.0"/>
      </rPr>
      <t>…</t>
    </r>
    <r>
      <rPr>
        <rFont val="ＭＳ Ｐゴシック"/>
        <sz val="10.0"/>
      </rPr>
      <t>。</t>
    </r>
    <r>
      <rPr>
        <rFont val="Arial"/>
        <sz val="10.0"/>
      </rPr>
      <t xml:space="preserve">  </t>
    </r>
    <r>
      <rPr>
        <rFont val="ＭＳ Ｐゴシック"/>
        <sz val="10.0"/>
      </rPr>
      <t>虎丸</t>
    </r>
    <r>
      <rPr>
        <rFont val="Arial"/>
        <sz val="10.0"/>
      </rPr>
      <t>(</t>
    </r>
    <r>
      <rPr>
        <rFont val="ＭＳ Ｐゴシック"/>
        <sz val="10.0"/>
      </rPr>
      <t>船越英一郎</t>
    </r>
    <r>
      <rPr>
        <rFont val="Arial"/>
        <sz val="10.0"/>
      </rPr>
      <t>)</t>
    </r>
    <r>
      <rPr>
        <rFont val="ＭＳ Ｐゴシック"/>
        <sz val="10.0"/>
      </rPr>
      <t>は、アパートで殺害された胡桃沢綾乃</t>
    </r>
    <r>
      <rPr>
        <rFont val="Arial"/>
        <sz val="10.0"/>
      </rPr>
      <t>(</t>
    </r>
    <r>
      <rPr>
        <rFont val="ＭＳ Ｐゴシック"/>
        <sz val="10.0"/>
      </rPr>
      <t>美山加恋</t>
    </r>
    <r>
      <rPr>
        <rFont val="Arial"/>
        <sz val="10.0"/>
      </rPr>
      <t>)</t>
    </r>
    <r>
      <rPr>
        <rFont val="ＭＳ Ｐゴシック"/>
        <sz val="10.0"/>
      </rPr>
      <t>の事件を捜査する。死因は脳挫傷で、凶器は見つかっていなかった。また、頬にはひっかき傷もついていた。被害者の携帯電話に残っていた指紋などから被疑者として浮上したのは富樫康太</t>
    </r>
    <r>
      <rPr>
        <rFont val="Arial"/>
        <sz val="10.0"/>
      </rPr>
      <t>(</t>
    </r>
    <r>
      <rPr>
        <rFont val="ＭＳ Ｐゴシック"/>
        <sz val="10.0"/>
      </rPr>
      <t>和田正人</t>
    </r>
    <r>
      <rPr>
        <rFont val="Arial"/>
        <sz val="10.0"/>
      </rPr>
      <t>)</t>
    </r>
    <r>
      <rPr>
        <rFont val="ＭＳ Ｐゴシック"/>
        <sz val="10.0"/>
      </rPr>
      <t>だ。富樫はかつて綾乃と交際していたが、傷害致死罪で</t>
    </r>
    <r>
      <rPr>
        <rFont val="Arial"/>
        <sz val="10.0"/>
      </rPr>
      <t>7</t>
    </r>
    <r>
      <rPr>
        <rFont val="ＭＳ Ｐゴシック"/>
        <sz val="10.0"/>
      </rPr>
      <t>年間服役し仮出所したばかりだった。</t>
    </r>
    <r>
      <rPr>
        <rFont val="Arial"/>
        <sz val="10.0"/>
      </rPr>
      <t>7</t>
    </r>
    <r>
      <rPr>
        <rFont val="ＭＳ Ｐゴシック"/>
        <sz val="10.0"/>
      </rPr>
      <t>年前、富樫は、綾乃と結婚するためにある企業に就職したが、その企業は暴力団とつながりがあり、悪質な事業をしていた。半ば脅されるような形で仕事を続けざるを得なかった富樫は、利権を争う相手から暴行を受けた際に、相手を刺してしまったのだ。実はその事件で富樫を逮捕したのは虎丸だった。綾乃には、関口章太郎という婚約者がいたことから、事件は痴情のもつれが原因とも思われた。</t>
    </r>
    <r>
      <rPr>
        <rFont val="Arial"/>
        <sz val="10.0"/>
      </rPr>
      <t xml:space="preserve">  </t>
    </r>
    <r>
      <rPr>
        <rFont val="ＭＳ Ｐゴシック"/>
        <sz val="10.0"/>
      </rPr>
      <t>鑑定を行った真野は、着衣にバラの花粉が付着していることを報告した。ほどなく、事件当夜に富樫がバラを購入していたことも判明する。それでも富樫の犯行だと信じられない虎丸に、真野は「あなたが信じるか信じないかは関係ない」と言い放ち</t>
    </r>
    <r>
      <rPr>
        <rFont val="Arial"/>
        <sz val="10.0"/>
      </rPr>
      <t>…</t>
    </r>
    <r>
      <rPr>
        <rFont val="ＭＳ Ｐゴシック"/>
        <sz val="10.0"/>
      </rPr>
      <t>。</t>
    </r>
  </si>
  <si>
    <t>真野(錦戸亮)は、高校教師の早川(萩原聖人)から、姉・仁美(夏子)に関する情報を聞く。早川によれば当時、仁美に交際相手がいたかどうかはわからなかったという。事件解決の糸口を見つけられず憤る真野。仕事帰りのノンナ(新木優子)は、偶然ふたりの姿を目撃するが…。  虎丸(船越英一郎)は、アパートで殺害された胡桃沢綾乃(美山加恋)の事件を捜査する。死因は脳挫傷で、凶器は見つかっていなかった。また、頬にはひっかき傷もついていた。被害者の携帯電話に残っていた指紋などから被疑者として浮上したのは富樫康太(和田正人)だ。富樫はかつて綾乃と交際していたが、傷害致死罪で7年間服役し仮出所したばかりだった。7年前、富樫は、綾乃と結婚するためにある企業に就職したが、その企業は暴力団とつながりがあり、悪質な事業をしていた。半ば脅されるような形で仕事を続けざるを得なかった富樫は、利権を争う相手から暴行を受けた際に、相手を刺してしまったのだ。実はその事件で富樫を逮捕したのは虎丸だった。綾乃には、関口章太郎という婚約者がいたことから、事件は痴情のもつれが原因とも思われた。  鑑定を行った真野は、着衣にバラの花粉が付着していることを報告した。ほどなく、事件当夜に富樫がバラを購入していたことも判明する。それでも富樫の犯行だと信じられない虎丸に、真野は「あなたが信じるか信じないかは関係ない」と言い放ち…。</t>
  </si>
  <si>
    <t>番組名トレース～科捜研の男～【ついに最終回目前!真野の復讐が今夜始まる】　#10</t>
  </si>
  <si>
    <r>
      <rPr>
        <rFont val="ＭＳ Ｐゴシック"/>
        <sz val="10.0"/>
      </rPr>
      <t>家族を失った</t>
    </r>
    <r>
      <rPr>
        <rFont val="Arial"/>
        <sz val="10.0"/>
      </rPr>
      <t>25</t>
    </r>
    <r>
      <rPr>
        <rFont val="ＭＳ Ｐゴシック"/>
        <sz val="10.0"/>
      </rPr>
      <t>年前の『武蔵野一家殺人事件』の真相を追う真野</t>
    </r>
    <r>
      <rPr>
        <rFont val="Arial"/>
        <sz val="10.0"/>
      </rPr>
      <t>(</t>
    </r>
    <r>
      <rPr>
        <rFont val="ＭＳ Ｐゴシック"/>
        <sz val="10.0"/>
      </rPr>
      <t>錦戸亮</t>
    </r>
    <r>
      <rPr>
        <rFont val="Arial"/>
        <sz val="10.0"/>
      </rPr>
      <t>)</t>
    </r>
    <r>
      <rPr>
        <rFont val="ＭＳ Ｐゴシック"/>
        <sz val="10.0"/>
      </rPr>
      <t>は、唯一の協力者である高校教師の早川</t>
    </r>
    <r>
      <rPr>
        <rFont val="Arial"/>
        <sz val="10.0"/>
      </rPr>
      <t>(</t>
    </r>
    <r>
      <rPr>
        <rFont val="ＭＳ Ｐゴシック"/>
        <sz val="10.0"/>
      </rPr>
      <t>萩原聖人</t>
    </r>
    <r>
      <rPr>
        <rFont val="Arial"/>
        <sz val="10.0"/>
      </rPr>
      <t>)</t>
    </r>
    <r>
      <rPr>
        <rFont val="ＭＳ Ｐゴシック"/>
        <sz val="10.0"/>
      </rPr>
      <t>に会う。そこで早川は、数日前に歩道橋の階段から転落死した元テニスプレーヤー・原田恭一</t>
    </r>
    <r>
      <rPr>
        <rFont val="Arial"/>
        <sz val="10.0"/>
      </rPr>
      <t>(</t>
    </r>
    <r>
      <rPr>
        <rFont val="ＭＳ Ｐゴシック"/>
        <sz val="10.0"/>
      </rPr>
      <t>上杉柊平</t>
    </r>
    <r>
      <rPr>
        <rFont val="Arial"/>
        <sz val="10.0"/>
      </rPr>
      <t>)</t>
    </r>
    <r>
      <rPr>
        <rFont val="ＭＳ Ｐゴシック"/>
        <sz val="10.0"/>
      </rPr>
      <t>の話を切り出す。原田は</t>
    </r>
    <r>
      <rPr>
        <rFont val="Arial"/>
        <sz val="10.0"/>
      </rPr>
      <t>2</t>
    </r>
    <r>
      <rPr>
        <rFont val="ＭＳ Ｐゴシック"/>
        <sz val="10.0"/>
      </rPr>
      <t>年前に、ライバル選手だった春日部芳彦</t>
    </r>
    <r>
      <rPr>
        <rFont val="Arial"/>
        <sz val="10.0"/>
      </rPr>
      <t>(</t>
    </r>
    <r>
      <rPr>
        <rFont val="ＭＳ Ｐゴシック"/>
        <sz val="10.0"/>
      </rPr>
      <t>柾木玲弥</t>
    </r>
    <r>
      <rPr>
        <rFont val="Arial"/>
        <sz val="10.0"/>
      </rPr>
      <t>)</t>
    </r>
    <r>
      <rPr>
        <rFont val="ＭＳ Ｐゴシック"/>
        <sz val="10.0"/>
      </rPr>
      <t>のドリンクに禁止薬物を混入させて飲ませたドーピング事件が原因でテニス界から追放されていた。そしてその原田や春日部が所属する実業団チームのオーナー・佐保優作</t>
    </r>
    <r>
      <rPr>
        <rFont val="Arial"/>
        <sz val="10.0"/>
      </rPr>
      <t>(</t>
    </r>
    <r>
      <rPr>
        <rFont val="ＭＳ Ｐゴシック"/>
        <sz val="10.0"/>
      </rPr>
      <t>袴田吉彦</t>
    </r>
    <r>
      <rPr>
        <rFont val="Arial"/>
        <sz val="10.0"/>
      </rPr>
      <t>)</t>
    </r>
    <r>
      <rPr>
        <rFont val="ＭＳ Ｐゴシック"/>
        <sz val="10.0"/>
      </rPr>
      <t>が、唯一消息がつかめなかった早川の教え子で、以前、変死体で発見されたホームレスの新妻大介とともに、真野の兄・義一</t>
    </r>
    <r>
      <rPr>
        <rFont val="Arial"/>
        <sz val="10.0"/>
      </rPr>
      <t>(</t>
    </r>
    <r>
      <rPr>
        <rFont val="ＭＳ Ｐゴシック"/>
        <sz val="10.0"/>
      </rPr>
      <t>倉悠貴</t>
    </r>
    <r>
      <rPr>
        <rFont val="Arial"/>
        <sz val="10.0"/>
      </rPr>
      <t>)</t>
    </r>
    <r>
      <rPr>
        <rFont val="ＭＳ Ｐゴシック"/>
        <sz val="10.0"/>
      </rPr>
      <t>をいじめていた主犯グループのひとりだったことを明かす。</t>
    </r>
    <r>
      <rPr>
        <rFont val="Arial"/>
        <sz val="10.0"/>
      </rPr>
      <t xml:space="preserve">  </t>
    </r>
    <r>
      <rPr>
        <rFont val="ＭＳ Ｐゴシック"/>
        <sz val="10.0"/>
      </rPr>
      <t xml:space="preserve">　そんな折、真野のもとへ虎丸</t>
    </r>
    <r>
      <rPr>
        <rFont val="Arial"/>
        <sz val="10.0"/>
      </rPr>
      <t>(</t>
    </r>
    <r>
      <rPr>
        <rFont val="ＭＳ Ｐゴシック"/>
        <sz val="10.0"/>
      </rPr>
      <t>船越英一郎</t>
    </r>
    <r>
      <rPr>
        <rFont val="Arial"/>
        <sz val="10.0"/>
      </rPr>
      <t>)</t>
    </r>
    <r>
      <rPr>
        <rFont val="ＭＳ Ｐゴシック"/>
        <sz val="10.0"/>
      </rPr>
      <t>がやってくる。虎丸は、新妻の一件が『武蔵野一家殺人事件』と関連があるのなら真相を突き止めたい、と真野に申し出ると同時に、ノンナ</t>
    </r>
    <r>
      <rPr>
        <rFont val="Arial"/>
        <sz val="10.0"/>
      </rPr>
      <t>(</t>
    </r>
    <r>
      <rPr>
        <rFont val="ＭＳ Ｐゴシック"/>
        <sz val="10.0"/>
      </rPr>
      <t>新木優子</t>
    </r>
    <r>
      <rPr>
        <rFont val="Arial"/>
        <sz val="10.0"/>
      </rPr>
      <t>)</t>
    </r>
    <r>
      <rPr>
        <rFont val="ＭＳ Ｐゴシック"/>
        <sz val="10.0"/>
      </rPr>
      <t>にも事情を打ち明けたことを詫びた。それを受け、真野に協力を申し出るノンナ。しかし真野は「お前には関係ない」と言い放ち、ノンナを部屋から追い出してしまう。真相解明のために虎丸の協力を得ようと考えた真野は、早川から聞いた佐保の一件と、姉・仁美</t>
    </r>
    <r>
      <rPr>
        <rFont val="Arial"/>
        <sz val="10.0"/>
      </rPr>
      <t>(</t>
    </r>
    <r>
      <rPr>
        <rFont val="ＭＳ Ｐゴシック"/>
        <sz val="10.0"/>
      </rPr>
      <t>夏子</t>
    </r>
    <r>
      <rPr>
        <rFont val="Arial"/>
        <sz val="10.0"/>
      </rPr>
      <t>)</t>
    </r>
    <r>
      <rPr>
        <rFont val="ＭＳ Ｐゴシック"/>
        <sz val="10.0"/>
      </rPr>
      <t>の司法解剖を担当した解剖医の行方を探していることを虎丸に伝えるが</t>
    </r>
    <r>
      <rPr>
        <rFont val="Arial"/>
        <sz val="10.0"/>
      </rPr>
      <t>…</t>
    </r>
    <r>
      <rPr>
        <rFont val="ＭＳ Ｐゴシック"/>
        <sz val="10.0"/>
      </rPr>
      <t>。</t>
    </r>
  </si>
  <si>
    <t>家族を失った25年前の『武蔵野一家殺人事件』の真相を追う真野(錦戸亮)は、唯一の協力者である高校教師の早川(萩原聖人)に会う。そこで早川は、数日前に歩道橋の階段から転落死した元テニスプレーヤー・原田恭一(上杉柊平)の話を切り出す。原田は2年前に、ライバル選手だった春日部芳彦(柾木玲弥)のドリンクに禁止薬物を混入させて飲ませたドーピング事件が原因でテニス界から追放されていた。そしてその原田や春日部が所属する実業団チームのオーナー・佐保優作(袴田吉彦)が、唯一消息がつかめなかった早川の教え子で、以前、変死体で発見されたホームレスの新妻大介とともに、真野の兄・義一(倉悠貴)をいじめていた主犯グループのひとりだったことを明かす。  　そんな折、真野のもとへ虎丸(船越英一郎)がやってくる。虎丸は、新妻の一件が『武蔵野一家殺人事件』と関連があるのなら真相を突き止めたい、と真野に申し出ると同時に、ノンナ(新木優子)にも事情を打ち明けたことを詫びた。それを受け、真野に協力を申し出るノンナ。しかし真野は「お前には関係ない」と言い放ち、ノンナを部屋から追い出してしまう。真相解明のために虎丸の協力を得ようと考えた真野は、早川から聞いた佐保の一件と、姉・仁美(夏子)の司法解剖を担当した解剖医の行方を探していることを虎丸に伝えるが…。</t>
  </si>
  <si>
    <t>番組名トレース～科捜研の男～【最終回90分SP!真犯人は誰?驚愕の真相】　#11</t>
  </si>
  <si>
    <r>
      <rPr>
        <rFont val="ＭＳ Ｐゴシック"/>
        <sz val="10.0"/>
      </rPr>
      <t>「武蔵野一家殺人事件」の真相を追う真野</t>
    </r>
    <r>
      <rPr>
        <rFont val="Arial"/>
        <sz val="10.0"/>
      </rPr>
      <t>(</t>
    </r>
    <r>
      <rPr>
        <rFont val="ＭＳ Ｐゴシック"/>
        <sz val="10.0"/>
      </rPr>
      <t>錦戸亮</t>
    </r>
    <r>
      <rPr>
        <rFont val="Arial"/>
        <sz val="10.0"/>
      </rPr>
      <t>)</t>
    </r>
    <r>
      <rPr>
        <rFont val="ＭＳ Ｐゴシック"/>
        <sz val="10.0"/>
      </rPr>
      <t>は、早川</t>
    </r>
    <r>
      <rPr>
        <rFont val="Arial"/>
        <sz val="10.0"/>
      </rPr>
      <t>(</t>
    </r>
    <r>
      <rPr>
        <rFont val="ＭＳ Ｐゴシック"/>
        <sz val="10.0"/>
      </rPr>
      <t>萩原聖人</t>
    </r>
    <r>
      <rPr>
        <rFont val="Arial"/>
        <sz val="10.0"/>
      </rPr>
      <t>)</t>
    </r>
    <r>
      <rPr>
        <rFont val="ＭＳ Ｐゴシック"/>
        <sz val="10.0"/>
      </rPr>
      <t>とともに食品会社社長の佐保</t>
    </r>
    <r>
      <rPr>
        <rFont val="Arial"/>
        <sz val="10.0"/>
      </rPr>
      <t>(</t>
    </r>
    <r>
      <rPr>
        <rFont val="ＭＳ Ｐゴシック"/>
        <sz val="10.0"/>
      </rPr>
      <t>袴田吉彦</t>
    </r>
    <r>
      <rPr>
        <rFont val="Arial"/>
        <sz val="10.0"/>
      </rPr>
      <t>)</t>
    </r>
    <r>
      <rPr>
        <rFont val="ＭＳ Ｐゴシック"/>
        <sz val="10.0"/>
      </rPr>
      <t>に会いに行った。しかし佐保は、ボイラー室のガス爆発に巻き込まれて死んでしまう。佐保は、不審死を遂げたホームレスの新妻</t>
    </r>
    <r>
      <rPr>
        <rFont val="Arial"/>
        <sz val="10.0"/>
      </rPr>
      <t>(</t>
    </r>
    <r>
      <rPr>
        <rFont val="ＭＳ Ｐゴシック"/>
        <sz val="10.0"/>
      </rPr>
      <t>伊藤高史</t>
    </r>
    <r>
      <rPr>
        <rFont val="Arial"/>
        <sz val="10.0"/>
      </rPr>
      <t>)</t>
    </r>
    <r>
      <rPr>
        <rFont val="ＭＳ Ｐゴシック"/>
        <sz val="10.0"/>
      </rPr>
      <t>と同じく早川の教え子であり、真野の兄・義一</t>
    </r>
    <r>
      <rPr>
        <rFont val="Arial"/>
        <sz val="10.0"/>
      </rPr>
      <t>(</t>
    </r>
    <r>
      <rPr>
        <rFont val="ＭＳ Ｐゴシック"/>
        <sz val="10.0"/>
      </rPr>
      <t>倉悠貴</t>
    </r>
    <r>
      <rPr>
        <rFont val="Arial"/>
        <sz val="10.0"/>
      </rPr>
      <t>)</t>
    </r>
    <r>
      <rPr>
        <rFont val="ＭＳ Ｐゴシック"/>
        <sz val="10.0"/>
      </rPr>
      <t>をいじめていた主犯格でもあった。真野は、虎丸</t>
    </r>
    <r>
      <rPr>
        <rFont val="Arial"/>
        <sz val="10.0"/>
      </rPr>
      <t>(</t>
    </r>
    <r>
      <rPr>
        <rFont val="ＭＳ Ｐゴシック"/>
        <sz val="10.0"/>
      </rPr>
      <t>船越英一郎</t>
    </r>
    <r>
      <rPr>
        <rFont val="Arial"/>
        <sz val="10.0"/>
      </rPr>
      <t>)</t>
    </r>
    <r>
      <rPr>
        <rFont val="ＭＳ Ｐゴシック"/>
        <sz val="10.0"/>
      </rPr>
      <t>を交え、ノンナ</t>
    </r>
    <r>
      <rPr>
        <rFont val="Arial"/>
        <sz val="10.0"/>
      </rPr>
      <t>(</t>
    </r>
    <r>
      <rPr>
        <rFont val="ＭＳ Ｐゴシック"/>
        <sz val="10.0"/>
      </rPr>
      <t>新木優子</t>
    </r>
    <r>
      <rPr>
        <rFont val="Arial"/>
        <sz val="10.0"/>
      </rPr>
      <t>)</t>
    </r>
    <r>
      <rPr>
        <rFont val="ＭＳ Ｐゴシック"/>
        <sz val="10.0"/>
      </rPr>
      <t>と海塚</t>
    </r>
    <r>
      <rPr>
        <rFont val="Arial"/>
        <sz val="10.0"/>
      </rPr>
      <t>(</t>
    </r>
    <r>
      <rPr>
        <rFont val="ＭＳ Ｐゴシック"/>
        <sz val="10.0"/>
      </rPr>
      <t>小雪</t>
    </r>
    <r>
      <rPr>
        <rFont val="Arial"/>
        <sz val="10.0"/>
      </rPr>
      <t>)</t>
    </r>
    <r>
      <rPr>
        <rFont val="ＭＳ Ｐゴシック"/>
        <sz val="10.0"/>
      </rPr>
      <t>にこれまでの経緯を話す。真野は「武蔵野一家殺人事件」の証拠品だった軍手に残されていた身元不明の</t>
    </r>
    <r>
      <rPr>
        <rFont val="Arial"/>
        <sz val="10.0"/>
      </rPr>
      <t>DNA</t>
    </r>
    <r>
      <rPr>
        <rFont val="ＭＳ Ｐゴシック"/>
        <sz val="10.0"/>
      </rPr>
      <t>型と、妊娠していた姉・仁美</t>
    </r>
    <r>
      <rPr>
        <rFont val="Arial"/>
        <sz val="10.0"/>
      </rPr>
      <t>(</t>
    </r>
    <r>
      <rPr>
        <rFont val="ＭＳ Ｐゴシック"/>
        <sz val="10.0"/>
      </rPr>
      <t>夏子</t>
    </r>
    <r>
      <rPr>
        <rFont val="Arial"/>
        <sz val="10.0"/>
      </rPr>
      <t>)</t>
    </r>
    <r>
      <rPr>
        <rFont val="ＭＳ Ｐゴシック"/>
        <sz val="10.0"/>
      </rPr>
      <t>の胎児の絨毛</t>
    </r>
    <r>
      <rPr>
        <rFont val="Arial"/>
        <sz val="10.0"/>
      </rPr>
      <t>(</t>
    </r>
    <r>
      <rPr>
        <rFont val="ＭＳ Ｐゴシック"/>
        <sz val="10.0"/>
      </rPr>
      <t>じゅうもう</t>
    </r>
    <r>
      <rPr>
        <rFont val="Arial"/>
        <sz val="10.0"/>
      </rPr>
      <t>)</t>
    </r>
    <r>
      <rPr>
        <rFont val="ＭＳ Ｐゴシック"/>
        <sz val="10.0"/>
      </rPr>
      <t>の</t>
    </r>
    <r>
      <rPr>
        <rFont val="Arial"/>
        <sz val="10.0"/>
      </rPr>
      <t>DNA</t>
    </r>
    <r>
      <rPr>
        <rFont val="ＭＳ Ｐゴシック"/>
        <sz val="10.0"/>
      </rPr>
      <t>型を鑑定し、その</t>
    </r>
    <r>
      <rPr>
        <rFont val="Arial"/>
        <sz val="10.0"/>
      </rPr>
      <t>2</t>
    </r>
    <r>
      <rPr>
        <rFont val="ＭＳ Ｐゴシック"/>
        <sz val="10.0"/>
      </rPr>
      <t>つに親子関係が認められることを突き止めていた。つまり仁美を妊娠させた相手が、真野の家族を殺した犯人である可能性が高いのだ。そこで真野は、佐保の</t>
    </r>
    <r>
      <rPr>
        <rFont val="Arial"/>
        <sz val="10.0"/>
      </rPr>
      <t>DNA</t>
    </r>
    <r>
      <rPr>
        <rFont val="ＭＳ Ｐゴシック"/>
        <sz val="10.0"/>
      </rPr>
      <t>型を調べたが、親子鑑定の結果は不一致だった。</t>
    </r>
    <r>
      <rPr>
        <rFont val="Arial"/>
        <sz val="10.0"/>
      </rPr>
      <t xml:space="preserve">  </t>
    </r>
    <r>
      <rPr>
        <rFont val="ＭＳ Ｐゴシック"/>
        <sz val="10.0"/>
      </rPr>
      <t xml:space="preserve">　佐保が死亡したボイラー室に臨場した真野は、ガスの元栓部分に付着した手袋の皮革を発見する。その持ち主と思われる人物の皮膚片から採取した</t>
    </r>
    <r>
      <rPr>
        <rFont val="Arial"/>
        <sz val="10.0"/>
      </rPr>
      <t>DNA</t>
    </r>
    <r>
      <rPr>
        <rFont val="ＭＳ Ｐゴシック"/>
        <sz val="10.0"/>
      </rPr>
      <t>型は「武蔵野一家殺人事件」の軍手の</t>
    </r>
    <r>
      <rPr>
        <rFont val="Arial"/>
        <sz val="10.0"/>
      </rPr>
      <t>DNA</t>
    </r>
    <r>
      <rPr>
        <rFont val="ＭＳ Ｐゴシック"/>
        <sz val="10.0"/>
      </rPr>
      <t>型と一致していた。新妻の事件同様、佐保の事件にも捜査の打ち切り命令が出る中、仁美の交際関係をもう一度洗い直す真野たち。そこで得た証言を基にさらに調べていくと衝撃の名前が浮かび上がる</t>
    </r>
    <r>
      <rPr>
        <rFont val="Arial"/>
        <sz val="10.0"/>
      </rPr>
      <t>…</t>
    </r>
    <r>
      <rPr>
        <rFont val="ＭＳ Ｐゴシック"/>
        <sz val="10.0"/>
      </rPr>
      <t>。そんな折、科捜研に刑事部長の壇</t>
    </r>
    <r>
      <rPr>
        <rFont val="Arial"/>
        <sz val="10.0"/>
      </rPr>
      <t>(</t>
    </r>
    <r>
      <rPr>
        <rFont val="ＭＳ Ｐゴシック"/>
        <sz val="10.0"/>
      </rPr>
      <t>千原ジュニア</t>
    </r>
    <r>
      <rPr>
        <rFont val="Arial"/>
        <sz val="10.0"/>
      </rPr>
      <t>)</t>
    </r>
    <r>
      <rPr>
        <rFont val="ＭＳ Ｐゴシック"/>
        <sz val="10.0"/>
      </rPr>
      <t>が突然視察に訪れ</t>
    </r>
    <r>
      <rPr>
        <rFont val="Arial"/>
        <sz val="10.0"/>
      </rPr>
      <t>…</t>
    </r>
    <r>
      <rPr>
        <rFont val="ＭＳ Ｐゴシック"/>
        <sz val="10.0"/>
      </rPr>
      <t>。</t>
    </r>
  </si>
  <si>
    <t>「武蔵野一家殺人事件」の真相を追う真野(錦戸亮)は、早川(萩原聖人)とともに食品会社社長の佐保(袴田吉彦)に会いに行った。しかし佐保は、ボイラー室のガス爆発に巻き込まれて死んでしまう。佐保は、不審死を遂げたホームレスの新妻(伊藤高史)と同じく早川の教え子であり、真野の兄・義一(倉悠貴)をいじめていた主犯格でもあった。真野は、虎丸(船越英一郎)を交え、ノンナ(新木優子)と海塚(小雪)にこれまでの経緯を話す。真野は「武蔵野一家殺人事件」の証拠品だった軍手に残されていた身元不明のDNA型と、妊娠していた姉・仁美(夏子)の胎児の絨毛(じゅうもう)のDNA型を鑑定し、その2つに親子関係が認められることを突き止めていた。つまり仁美を妊娠させた相手が、真野の家族を殺した犯人である可能性が高いのだ。そこで真野は、佐保のDNA型を調べたが、親子鑑定の結果は不一致だった。  　佐保が死亡したボイラー室に臨場した真野は、ガスの元栓部分に付着した手袋の皮革を発見する。その持ち主と思われる人物の皮膚片から採取したDNA型は「武蔵野一家殺人事件」の軍手のDNA型と一致していた。新妻の事件同様、佐保の事件にも捜査の打ち切り命令が出る中、仁美の交際関係をもう一度洗い直す真野たち。そこで得た証言を基にさらに調べていくと衝撃の名前が浮かび上がる…。そんな折、科捜研に刑事部長の壇(千原ジュニア)が突然視察に訪れ…。</t>
  </si>
  <si>
    <t>1901_CX_火21</t>
  </si>
  <si>
    <t>後妻業</t>
  </si>
  <si>
    <t>番組名後妻業【木村佳乃が遺産を狙う最強の悪女に!愛と欲望のバトル開幕!】　#01</t>
  </si>
  <si>
    <r>
      <rPr>
        <rFont val="ＭＳ Ｐゴシック"/>
        <sz val="10.0"/>
      </rPr>
      <t>武内小夜子</t>
    </r>
    <r>
      <rPr>
        <rFont val="Arial"/>
        <sz val="10.0"/>
      </rPr>
      <t>(</t>
    </r>
    <r>
      <rPr>
        <rFont val="ＭＳ Ｐゴシック"/>
        <sz val="10.0"/>
      </rPr>
      <t>木村佳乃</t>
    </r>
    <r>
      <rPr>
        <rFont val="Arial"/>
        <sz val="10.0"/>
      </rPr>
      <t>)</t>
    </r>
    <r>
      <rPr>
        <rFont val="ＭＳ Ｐゴシック"/>
        <sz val="10.0"/>
      </rPr>
      <t>は、</t>
    </r>
    <r>
      <rPr>
        <rFont val="Arial"/>
        <sz val="10.0"/>
      </rPr>
      <t>“</t>
    </r>
    <r>
      <rPr>
        <rFont val="ＭＳ Ｐゴシック"/>
        <sz val="10.0"/>
      </rPr>
      <t>後妻業</t>
    </r>
    <r>
      <rPr>
        <rFont val="Arial"/>
        <sz val="10.0"/>
      </rPr>
      <t>"</t>
    </r>
    <r>
      <rPr>
        <rFont val="ＭＳ Ｐゴシック"/>
        <sz val="10.0"/>
      </rPr>
      <t>をなりわいとする女。大阪の結婚相談所『ブライダル　微祥』で社長を務める柏木亨</t>
    </r>
    <r>
      <rPr>
        <rFont val="Arial"/>
        <sz val="10.0"/>
      </rPr>
      <t>(</t>
    </r>
    <r>
      <rPr>
        <rFont val="ＭＳ Ｐゴシック"/>
        <sz val="10.0"/>
      </rPr>
      <t>高橋克典</t>
    </r>
    <r>
      <rPr>
        <rFont val="Arial"/>
        <sz val="10.0"/>
      </rPr>
      <t>)</t>
    </r>
    <r>
      <rPr>
        <rFont val="ＭＳ Ｐゴシック"/>
        <sz val="10.0"/>
      </rPr>
      <t>と組み、男をたぶらかす天性の才能で、富裕層の高齢男性の後妻となり、夫の死後に多額の遺産を手にする手法で荒稼ぎしていた。</t>
    </r>
    <r>
      <rPr>
        <rFont val="Arial"/>
        <sz val="10.0"/>
      </rPr>
      <t xml:space="preserve">    </t>
    </r>
    <r>
      <rPr>
        <rFont val="ＭＳ Ｐゴシック"/>
        <sz val="10.0"/>
      </rPr>
      <t>ある日、柏木の計画のもと、元教師の中瀬耕造</t>
    </r>
    <r>
      <rPr>
        <rFont val="Arial"/>
        <sz val="10.0"/>
      </rPr>
      <t>(</t>
    </r>
    <r>
      <rPr>
        <rFont val="ＭＳ Ｐゴシック"/>
        <sz val="10.0"/>
      </rPr>
      <t>泉谷しげる</t>
    </r>
    <r>
      <rPr>
        <rFont val="Arial"/>
        <sz val="10.0"/>
      </rPr>
      <t>)</t>
    </r>
    <r>
      <rPr>
        <rFont val="ＭＳ Ｐゴシック"/>
        <sz val="10.0"/>
      </rPr>
      <t>と見合いをした小夜子は、まんまと後妻の座につき、遺言公正証書を書かせることに成功。しかし、耕造にはまだ財産があることを知り、隠し場所の金庫を何とか開けようと画策する。</t>
    </r>
    <r>
      <rPr>
        <rFont val="Arial"/>
        <sz val="10.0"/>
      </rPr>
      <t xml:space="preserve">    </t>
    </r>
    <r>
      <rPr>
        <rFont val="ＭＳ Ｐゴシック"/>
        <sz val="10.0"/>
      </rPr>
      <t>その頃、東京では、内縁の夫と設計事務所をかまえる耕造の次女・中瀬朋美</t>
    </r>
    <r>
      <rPr>
        <rFont val="Arial"/>
        <sz val="10.0"/>
      </rPr>
      <t>(</t>
    </r>
    <r>
      <rPr>
        <rFont val="ＭＳ Ｐゴシック"/>
        <sz val="10.0"/>
      </rPr>
      <t>木村多江</t>
    </r>
    <r>
      <rPr>
        <rFont val="Arial"/>
        <sz val="10.0"/>
      </rPr>
      <t>)</t>
    </r>
    <r>
      <rPr>
        <rFont val="ＭＳ Ｐゴシック"/>
        <sz val="10.0"/>
      </rPr>
      <t>が、大阪で一人で暮らす年老いた父の身を案じていた。その矢先、姉の西木尚子</t>
    </r>
    <r>
      <rPr>
        <rFont val="Arial"/>
        <sz val="10.0"/>
      </rPr>
      <t>(</t>
    </r>
    <r>
      <rPr>
        <rFont val="ＭＳ Ｐゴシック"/>
        <sz val="10.0"/>
      </rPr>
      <t>濱田マリ</t>
    </r>
    <r>
      <rPr>
        <rFont val="Arial"/>
        <sz val="10.0"/>
      </rPr>
      <t>)</t>
    </r>
    <r>
      <rPr>
        <rFont val="ＭＳ Ｐゴシック"/>
        <sz val="10.0"/>
      </rPr>
      <t>から耕造が倒れたと知らせが。慌てて病院に駆けつけると、耕造が</t>
    </r>
    <r>
      <rPr>
        <rFont val="Arial"/>
        <sz val="10.0"/>
      </rPr>
      <t>4</t>
    </r>
    <r>
      <rPr>
        <rFont val="ＭＳ Ｐゴシック"/>
        <sz val="10.0"/>
      </rPr>
      <t>度目の結婚をしていたことを知り、さらに、病院にふさわしくない派手な格好で現れ、耕造の妻だと名乗る同い年の小夜子に驚がくする。</t>
    </r>
    <r>
      <rPr>
        <rFont val="Arial"/>
        <sz val="10.0"/>
      </rPr>
      <t xml:space="preserve">    </t>
    </r>
    <r>
      <rPr>
        <rFont val="ＭＳ Ｐゴシック"/>
        <sz val="10.0"/>
      </rPr>
      <t>しかし小夜子は、夫婦関係を疑われると、幸せいっぱいの耕造と写った結婚写真を見せ、普段から連絡ひとつ寄こさない朋美たち娘を薄情だと言い放つ。</t>
    </r>
    <r>
      <rPr>
        <rFont val="Arial"/>
        <sz val="10.0"/>
      </rPr>
      <t xml:space="preserve">    </t>
    </r>
    <r>
      <rPr>
        <rFont val="ＭＳ Ｐゴシック"/>
        <sz val="10.0"/>
      </rPr>
      <t>やがて、耕造の容体が安定したため東京に戻った朋美は、父が結婚詐欺に引っかかったのだと考え、探偵事務所に調査を依頼。すると、やってきたのは朋美の先輩で、元刑事の私立探偵・本多芳則</t>
    </r>
    <r>
      <rPr>
        <rFont val="Arial"/>
        <sz val="10.0"/>
      </rPr>
      <t>(</t>
    </r>
    <r>
      <rPr>
        <rFont val="ＭＳ Ｐゴシック"/>
        <sz val="10.0"/>
      </rPr>
      <t>伊原剛志</t>
    </r>
    <r>
      <rPr>
        <rFont val="Arial"/>
        <sz val="10.0"/>
      </rPr>
      <t>)</t>
    </r>
    <r>
      <rPr>
        <rFont val="ＭＳ Ｐゴシック"/>
        <sz val="10.0"/>
      </rPr>
      <t>だった。</t>
    </r>
  </si>
  <si>
    <t>武内小夜子(木村佳乃)は、“後妻業"をなりわいとする女。大阪の結婚相談所『ブライダル　微祥』で社長を務める柏木亨(高橋克典)と組み、男をたぶらかす天性の才能で、富裕層の高齢男性の後妻となり、夫の死後に多額の遺産を手にする手法で荒稼ぎしていた。    ある日、柏木の計画のもと、元教師の中瀬耕造(泉谷しげる)と見合いをした小夜子は、まんまと後妻の座につき、遺言公正証書を書かせることに成功。しかし、耕造にはまだ財産があることを知り、隠し場所の金庫を何とか開けようと画策する。    その頃、東京では、内縁の夫と設計事務所をかまえる耕造の次女・中瀬朋美(木村多江)が、大阪で一人で暮らす年老いた父の身を案じていた。その矢先、姉の西木尚子(濱田マリ)から耕造が倒れたと知らせが。慌てて病院に駆けつけると、耕造が4度目の結婚をしていたことを知り、さらに、病院にふさわしくない派手な格好で現れ、耕造の妻だと名乗る同い年の小夜子に驚がくする。    しかし小夜子は、夫婦関係を疑われると、幸せいっぱいの耕造と写った結婚写真を見せ、普段から連絡ひとつ寄こさない朋美たち娘を薄情だと言い放つ。    やがて、耕造の容体が安定したため東京に戻った朋美は、父が結婚詐欺に引っかかったのだと考え、探偵事務所に調査を依頼。すると、やってきたのは朋美の先輩で、元刑事の私立探偵・本多芳則(伊原剛志)だった。</t>
  </si>
  <si>
    <t>番組名後妻業【金庫に眠る莫大な遺産を奪え!明らかになる小夜子の罪とは!?】　#02</t>
  </si>
  <si>
    <r>
      <rPr>
        <rFont val="ＭＳ Ｐゴシック"/>
        <sz val="10.0"/>
      </rPr>
      <t>裕福な高齢者を惑わせ妻となり、夫の死後に多額の遺産を手にする</t>
    </r>
    <r>
      <rPr>
        <rFont val="Arial"/>
        <sz val="10.0"/>
      </rPr>
      <t>“</t>
    </r>
    <r>
      <rPr>
        <rFont val="ＭＳ Ｐゴシック"/>
        <sz val="10.0"/>
      </rPr>
      <t>後妻業</t>
    </r>
    <r>
      <rPr>
        <rFont val="Arial"/>
        <sz val="10.0"/>
      </rPr>
      <t>"</t>
    </r>
    <r>
      <rPr>
        <rFont val="ＭＳ Ｐゴシック"/>
        <sz val="10.0"/>
      </rPr>
      <t>で荒稼ぎする小夜子</t>
    </r>
    <r>
      <rPr>
        <rFont val="Arial"/>
        <sz val="10.0"/>
      </rPr>
      <t>(</t>
    </r>
    <r>
      <rPr>
        <rFont val="ＭＳ Ｐゴシック"/>
        <sz val="10.0"/>
      </rPr>
      <t>木村佳乃</t>
    </r>
    <r>
      <rPr>
        <rFont val="Arial"/>
        <sz val="10.0"/>
      </rPr>
      <t>)</t>
    </r>
    <r>
      <rPr>
        <rFont val="ＭＳ Ｐゴシック"/>
        <sz val="10.0"/>
      </rPr>
      <t>は、ある日、後妻に入った中瀬耕造</t>
    </r>
    <r>
      <rPr>
        <rFont val="Arial"/>
        <sz val="10.0"/>
      </rPr>
      <t>(</t>
    </r>
    <r>
      <rPr>
        <rFont val="ＭＳ Ｐゴシック"/>
        <sz val="10.0"/>
      </rPr>
      <t>泉谷しげる</t>
    </r>
    <r>
      <rPr>
        <rFont val="Arial"/>
        <sz val="10.0"/>
      </rPr>
      <t>)</t>
    </r>
    <r>
      <rPr>
        <rFont val="ＭＳ Ｐゴシック"/>
        <sz val="10.0"/>
      </rPr>
      <t>が金庫に多額の財産を隠し持っていることに気づく。するとその矢先、小夜子の思惑どおり、耕造が病に倒れて入院。その隙に、小夜子はバディの柏木</t>
    </r>
    <r>
      <rPr>
        <rFont val="Arial"/>
        <sz val="10.0"/>
      </rPr>
      <t>(</t>
    </r>
    <r>
      <rPr>
        <rFont val="ＭＳ Ｐゴシック"/>
        <sz val="10.0"/>
      </rPr>
      <t>高橋克典</t>
    </r>
    <r>
      <rPr>
        <rFont val="Arial"/>
        <sz val="10.0"/>
      </rPr>
      <t>)</t>
    </r>
    <r>
      <rPr>
        <rFont val="ＭＳ Ｐゴシック"/>
        <sz val="10.0"/>
      </rPr>
      <t>と結託し、金庫を開けることに成功する。中には不動産の権利書や預金通帳など、総額</t>
    </r>
    <r>
      <rPr>
        <rFont val="Arial"/>
        <sz val="10.0"/>
      </rPr>
      <t>4000</t>
    </r>
    <r>
      <rPr>
        <rFont val="ＭＳ Ｐゴシック"/>
        <sz val="10.0"/>
      </rPr>
      <t>万円のお宝</t>
    </r>
    <r>
      <rPr>
        <rFont val="Arial"/>
        <sz val="10.0"/>
      </rPr>
      <t>!</t>
    </r>
    <r>
      <rPr>
        <rFont val="ＭＳ Ｐゴシック"/>
        <sz val="10.0"/>
      </rPr>
      <t>早速</t>
    </r>
    <r>
      <rPr>
        <rFont val="Arial"/>
        <sz val="10.0"/>
      </rPr>
      <t>2</t>
    </r>
    <r>
      <rPr>
        <rFont val="ＭＳ Ｐゴシック"/>
        <sz val="10.0"/>
      </rPr>
      <t>人は、それらを解約して現金を手に入れようとするが</t>
    </r>
    <r>
      <rPr>
        <rFont val="Arial"/>
        <sz val="10.0"/>
      </rPr>
      <t xml:space="preserve">…    </t>
    </r>
    <r>
      <rPr>
        <rFont val="ＭＳ Ｐゴシック"/>
        <sz val="10.0"/>
      </rPr>
      <t>何としても金を手に入れたい小夜子は、後日、解約を渋る銀行の担当者を病室へ招き入れ、意識がもうろうとする耕造に、なかば強引に口座解約の意思表示をさせる。こうして、まんまと大金を手に入れた小夜子だったが、偶然、東京で暮らす耕造の次女・朋美</t>
    </r>
    <r>
      <rPr>
        <rFont val="Arial"/>
        <sz val="10.0"/>
      </rPr>
      <t>(</t>
    </r>
    <r>
      <rPr>
        <rFont val="ＭＳ Ｐゴシック"/>
        <sz val="10.0"/>
      </rPr>
      <t>木村多江</t>
    </r>
    <r>
      <rPr>
        <rFont val="Arial"/>
        <sz val="10.0"/>
      </rPr>
      <t>)</t>
    </r>
    <r>
      <rPr>
        <rFont val="ＭＳ Ｐゴシック"/>
        <sz val="10.0"/>
      </rPr>
      <t>の依頼を受け、小夜子の調査をしに大阪へ来ていた探偵の本多</t>
    </r>
    <r>
      <rPr>
        <rFont val="Arial"/>
        <sz val="10.0"/>
      </rPr>
      <t>(</t>
    </r>
    <r>
      <rPr>
        <rFont val="ＭＳ Ｐゴシック"/>
        <sz val="10.0"/>
      </rPr>
      <t>伊原剛志</t>
    </r>
    <r>
      <rPr>
        <rFont val="Arial"/>
        <sz val="10.0"/>
      </rPr>
      <t>)</t>
    </r>
    <r>
      <rPr>
        <rFont val="ＭＳ Ｐゴシック"/>
        <sz val="10.0"/>
      </rPr>
      <t>に、バッグの中の札束を見られてしまう。</t>
    </r>
    <r>
      <rPr>
        <rFont val="Arial"/>
        <sz val="10.0"/>
      </rPr>
      <t xml:space="preserve">    </t>
    </r>
    <r>
      <rPr>
        <rFont val="ＭＳ Ｐゴシック"/>
        <sz val="10.0"/>
      </rPr>
      <t>同じころ、ひとまず容体が安定したことを理由に、病院から耕造の転院を迫られた朋美と姉の尚子</t>
    </r>
    <r>
      <rPr>
        <rFont val="Arial"/>
        <sz val="10.0"/>
      </rPr>
      <t>(</t>
    </r>
    <r>
      <rPr>
        <rFont val="ＭＳ Ｐゴシック"/>
        <sz val="10.0"/>
      </rPr>
      <t>濱田マリ</t>
    </r>
    <r>
      <rPr>
        <rFont val="Arial"/>
        <sz val="10.0"/>
      </rPr>
      <t>)</t>
    </r>
    <r>
      <rPr>
        <rFont val="ＭＳ Ｐゴシック"/>
        <sz val="10.0"/>
      </rPr>
      <t>。在宅介護の可能性も示唆された姉妹は、お互い仕事や家事を理由に面倒を押しつけ合う。そんななか、本多から小夜子が大金を持っていたと報告を受けた朋美は、ますます小夜子への疑いを強める。一方で、仕事とはいえ親身に相談にのってくれる先輩の本多に、かつての胸の高鳴りを思い出し</t>
    </r>
    <r>
      <rPr>
        <rFont val="Arial"/>
        <sz val="10.0"/>
      </rPr>
      <t>……</t>
    </r>
    <r>
      <rPr>
        <rFont val="ＭＳ Ｐゴシック"/>
        <sz val="10.0"/>
      </rPr>
      <t>。</t>
    </r>
  </si>
  <si>
    <t>裕福な高齢者を惑わせ妻となり、夫の死後に多額の遺産を手にする“後妻業"で荒稼ぎする小夜子(木村佳乃)は、ある日、後妻に入った中瀬耕造(泉谷しげる)が金庫に多額の財産を隠し持っていることに気づく。するとその矢先、小夜子の思惑どおり、耕造が病に倒れて入院。その隙に、小夜子はバディの柏木(高橋克典)と結託し、金庫を開けることに成功する。中には不動産の権利書や預金通帳など、総額4000万円のお宝!早速2人は、それらを解約して現金を手に入れようとするが…    何としても金を手に入れたい小夜子は、後日、解約を渋る銀行の担当者を病室へ招き入れ、意識がもうろうとする耕造に、なかば強引に口座解約の意思表示をさせる。こうして、まんまと大金を手に入れた小夜子だったが、偶然、東京で暮らす耕造の次女・朋美(木村多江)の依頼を受け、小夜子の調査をしに大阪へ来ていた探偵の本多(伊原剛志)に、バッグの中の札束を見られてしまう。    同じころ、ひとまず容体が安定したことを理由に、病院から耕造の転院を迫られた朋美と姉の尚子(濱田マリ)。在宅介護の可能性も示唆された姉妹は、お互い仕事や家事を理由に面倒を押しつけ合う。そんななか、本多から小夜子が大金を持っていたと報告を受けた朋美は、ますます小夜子への疑いを強める。一方で、仕事とはいえ親身に相談にのってくれる先輩の本多に、かつての胸の高鳴りを思い出し……。</t>
  </si>
  <si>
    <t>番組名後妻業【驚愕の告白!老人の死の真相とは!?魔女の本性は白なのか】　#03</t>
  </si>
  <si>
    <r>
      <rPr>
        <rFont val="ＭＳ Ｐゴシック"/>
        <sz val="10.0"/>
      </rPr>
      <t>耕造</t>
    </r>
    <r>
      <rPr>
        <rFont val="Arial"/>
        <sz val="10.0"/>
      </rPr>
      <t>(</t>
    </r>
    <r>
      <rPr>
        <rFont val="ＭＳ Ｐゴシック"/>
        <sz val="10.0"/>
      </rPr>
      <t>泉谷しげる</t>
    </r>
    <r>
      <rPr>
        <rFont val="Arial"/>
        <sz val="10.0"/>
      </rPr>
      <t>)</t>
    </r>
    <r>
      <rPr>
        <rFont val="ＭＳ Ｐゴシック"/>
        <sz val="10.0"/>
      </rPr>
      <t>の葬儀が終わって間もなく、小夜子</t>
    </r>
    <r>
      <rPr>
        <rFont val="Arial"/>
        <sz val="10.0"/>
      </rPr>
      <t>(</t>
    </r>
    <r>
      <rPr>
        <rFont val="ＭＳ Ｐゴシック"/>
        <sz val="10.0"/>
      </rPr>
      <t>木村佳乃</t>
    </r>
    <r>
      <rPr>
        <rFont val="Arial"/>
        <sz val="10.0"/>
      </rPr>
      <t>)</t>
    </r>
    <r>
      <rPr>
        <rFont val="ＭＳ Ｐゴシック"/>
        <sz val="10.0"/>
      </rPr>
      <t>と柏木亨</t>
    </r>
    <r>
      <rPr>
        <rFont val="Arial"/>
        <sz val="10.0"/>
      </rPr>
      <t>(</t>
    </r>
    <r>
      <rPr>
        <rFont val="ＭＳ Ｐゴシック"/>
        <sz val="10.0"/>
      </rPr>
      <t>高橋克典</t>
    </r>
    <r>
      <rPr>
        <rFont val="Arial"/>
        <sz val="10.0"/>
      </rPr>
      <t>)</t>
    </r>
    <r>
      <rPr>
        <rFont val="ＭＳ Ｐゴシック"/>
        <sz val="10.0"/>
      </rPr>
      <t>は早くも次のターゲットに接触しようとしていた。相手は、大手外食チェーンの会長を務める富樫幹夫</t>
    </r>
    <r>
      <rPr>
        <rFont val="Arial"/>
        <sz val="10.0"/>
      </rPr>
      <t>(</t>
    </r>
    <r>
      <rPr>
        <rFont val="ＭＳ Ｐゴシック"/>
        <sz val="10.0"/>
      </rPr>
      <t>佐藤蛾次郎</t>
    </r>
    <r>
      <rPr>
        <rFont val="Arial"/>
        <sz val="10.0"/>
      </rPr>
      <t>)</t>
    </r>
    <r>
      <rPr>
        <rFont val="ＭＳ Ｐゴシック"/>
        <sz val="10.0"/>
      </rPr>
      <t>。早速、小夜子は幹夫が暮らす高級老人ホームへ向かうが、待っていた幹夫は、認知症を患っており、さすがの小夜子でも一筋縄ではいかなさそうで</t>
    </r>
    <r>
      <rPr>
        <rFont val="Arial"/>
        <sz val="10.0"/>
      </rPr>
      <t>……</t>
    </r>
    <r>
      <rPr>
        <rFont val="ＭＳ Ｐゴシック"/>
        <sz val="10.0"/>
      </rPr>
      <t>。</t>
    </r>
    <r>
      <rPr>
        <rFont val="Arial"/>
        <sz val="10.0"/>
      </rPr>
      <t xml:space="preserve">    </t>
    </r>
    <r>
      <rPr>
        <rFont val="ＭＳ Ｐゴシック"/>
        <sz val="10.0"/>
      </rPr>
      <t>その頃、本多</t>
    </r>
    <r>
      <rPr>
        <rFont val="Arial"/>
        <sz val="10.0"/>
      </rPr>
      <t>(</t>
    </r>
    <r>
      <rPr>
        <rFont val="ＭＳ Ｐゴシック"/>
        <sz val="10.0"/>
      </rPr>
      <t>伊原剛志</t>
    </r>
    <r>
      <rPr>
        <rFont val="Arial"/>
        <sz val="10.0"/>
      </rPr>
      <t>)</t>
    </r>
    <r>
      <rPr>
        <rFont val="ＭＳ Ｐゴシック"/>
        <sz val="10.0"/>
      </rPr>
      <t>は、小夜子が過去に</t>
    </r>
    <r>
      <rPr>
        <rFont val="Arial"/>
        <sz val="10.0"/>
      </rPr>
      <t>3</t>
    </r>
    <r>
      <rPr>
        <rFont val="ＭＳ Ｐゴシック"/>
        <sz val="10.0"/>
      </rPr>
      <t>度結婚し、すべての夫と死別していることを突き止めた。「あの女が父を殺したことを証明したい」という朋美</t>
    </r>
    <r>
      <rPr>
        <rFont val="Arial"/>
        <sz val="10.0"/>
      </rPr>
      <t>(</t>
    </r>
    <r>
      <rPr>
        <rFont val="ＭＳ Ｐゴシック"/>
        <sz val="10.0"/>
      </rPr>
      <t>木村多江</t>
    </r>
    <r>
      <rPr>
        <rFont val="Arial"/>
        <sz val="10.0"/>
      </rPr>
      <t>)</t>
    </r>
    <r>
      <rPr>
        <rFont val="ＭＳ Ｐゴシック"/>
        <sz val="10.0"/>
      </rPr>
      <t>の依頼を受け、小夜子のマンションで聞き込みを開始。</t>
    </r>
    <r>
      <rPr>
        <rFont val="Arial"/>
        <sz val="10.0"/>
      </rPr>
      <t>3</t>
    </r>
    <r>
      <rPr>
        <rFont val="ＭＳ Ｐゴシック"/>
        <sz val="10.0"/>
      </rPr>
      <t>番目の夫・武内宗治郎が不可解な死を遂げていた事実をつかむ。さらに、亡くなった宗治郎の家族に話を聞くと、小夜子が耕造と入籍しなかった理由も明らかになるーー</t>
    </r>
    <r>
      <rPr>
        <rFont val="Arial"/>
        <sz val="10.0"/>
      </rPr>
      <t xml:space="preserve">!    </t>
    </r>
    <r>
      <rPr>
        <rFont val="ＭＳ Ｐゴシック"/>
        <sz val="10.0"/>
      </rPr>
      <t>一方、朋美は内縁の夫である司郎</t>
    </r>
    <r>
      <rPr>
        <rFont val="Arial"/>
        <sz val="10.0"/>
      </rPr>
      <t>(</t>
    </r>
    <r>
      <rPr>
        <rFont val="ＭＳ Ｐゴシック"/>
        <sz val="10.0"/>
      </rPr>
      <t>長谷川朝晴</t>
    </r>
    <r>
      <rPr>
        <rFont val="Arial"/>
        <sz val="10.0"/>
      </rPr>
      <t>)</t>
    </r>
    <r>
      <rPr>
        <rFont val="ＭＳ Ｐゴシック"/>
        <sz val="10.0"/>
      </rPr>
      <t>に対し、絵美里</t>
    </r>
    <r>
      <rPr>
        <rFont val="Arial"/>
        <sz val="10.0"/>
      </rPr>
      <t>(</t>
    </r>
    <r>
      <rPr>
        <rFont val="ＭＳ Ｐゴシック"/>
        <sz val="10.0"/>
      </rPr>
      <t>田中道子</t>
    </r>
    <r>
      <rPr>
        <rFont val="Arial"/>
        <sz val="10.0"/>
      </rPr>
      <t>)</t>
    </r>
    <r>
      <rPr>
        <rFont val="ＭＳ Ｐゴシック"/>
        <sz val="10.0"/>
      </rPr>
      <t>との浮気を疑い始める。そんな最中、本多から、耕造を含むすべての夫が、柏木が経営する結婚相談所『ブライダル微祥』に入会していた、という報告を受ける。我慢できなくなった朋美は、自ら小夜子と対峙することを決意。ひとりで自宅に乗り込むが、話術に長けた小夜子の前では手も足も出ず、思わず「あなた、後妻業よね」と直球を投じてしまう。しかし、小夜子はその言葉にひるむどころか、とんでもない告白を始めるのだったーー。</t>
    </r>
  </si>
  <si>
    <t>耕造(泉谷しげる)の葬儀が終わって間もなく、小夜子(木村佳乃)と柏木亨(高橋克典)は早くも次のターゲットに接触しようとしていた。相手は、大手外食チェーンの会長を務める富樫幹夫(佐藤蛾次郎)。早速、小夜子は幹夫が暮らす高級老人ホームへ向かうが、待っていた幹夫は、認知症を患っており、さすがの小夜子でも一筋縄ではいかなさそうで……。    その頃、本多(伊原剛志)は、小夜子が過去に3度結婚し、すべての夫と死別していることを突き止めた。「あの女が父を殺したことを証明したい」という朋美(木村多江)の依頼を受け、小夜子のマンションで聞き込みを開始。3番目の夫・武内宗治郎が不可解な死を遂げていた事実をつかむ。さらに、亡くなった宗治郎の家族に話を聞くと、小夜子が耕造と入籍しなかった理由も明らかになるーー!    一方、朋美は内縁の夫である司郎(長谷川朝晴)に対し、絵美里(田中道子)との浮気を疑い始める。そんな最中、本多から、耕造を含むすべての夫が、柏木が経営する結婚相談所『ブライダル微祥』に入会していた、という報告を受ける。我慢できなくなった朋美は、自ら小夜子と対峙することを決意。ひとりで自宅に乗り込むが、話術に長けた小夜子の前では手も足も出ず、思わず「あなた、後妻業よね」と直球を投じてしまう。しかし、小夜子はその言葉にひるむどころか、とんでもない告白を始めるのだったーー。</t>
  </si>
  <si>
    <t>番組名後妻業【後妻VS娘　黒幕VS探偵　互いのプライドを賭けた直接対決!】　#04</t>
  </si>
  <si>
    <t>小夜子(木村佳乃)は朋美(木村多江)に、これまで自分が後妻に入った資産家の老人すべてが“孤独"を抱えていた、さらに、朋美の父親も死を望んでいた、と打ち明ける。それを知った朋美は動揺する。ひとまず朋美の追及を逃れた小夜子は、早速、幹夫(佐藤蛾次郎)に遺言公正証書にサインをさせようと動き出すが、認知症を患っている幹夫には思うように話が通じず、さすがの小夜子も手を焼く。そのころ、本多(伊原剛志)は小夜子が早くも次のターゲットを見つけたことを突き止め、後妻業の黒幕である柏木(高橋克典)に接触。朋美に雇われた探偵だと身の上を明かしたうえで、小夜子について探りを入れるが、当然、柏木はそう簡単に口を割らない。そこで次は、後妻業の片棒を担いでいる司法書士・新井欽司(河本準一)に接触。新井が小夜子が公正証書を作成する際に証人となっていた、という事実をネタに、揺さぶりをかける。小夜子が今までのように簡単に公正証書を作れないよう、手を回したのだ。    そんなやり手の本多が現れたことで、次の手を考える柏木。そこへ、刑務所から出所したばかりの小夜子の弟・黒澤博司(葉山奨之)が訪ねてくる。行くあてのない博司は、金の無心をするため、柏木から小夜子の居場所を聞き出す。小夜子は、5年以上会っていなかった弟が現れたことに立腹するが……。木村佳乃　    高橋克典　  木村多江　    葉山奨之　  長谷川朝晴　  篠田麻里子　  平山祐介　  田中道子　    河本準一(次長課長)　  濱田マリ　  とよた真帆　    泉谷しげる　  伊原剛志【原作】  「後妻業」黒川博行(文春文庫刊)　    【脚本】  関えり香　    【演出】  光野道夫(共同テレビ)　  都築淳一(共同テレビ)　  木村弥寿彦(関西テレビ)　    【企画プロデュース】  栗原美和子(共同テレビ)　    【プロデュース】  杉浦史明(関西テレビ)　  萩原崇(関西テレビ)　  水野綾子(共同テレビ)　    【制作】  関西テレビ　  共同テレビ公式ホームページでさらに詳しい情報をチェック!  【公式ホームページ】  https://www.ktv.jp/gosaigyo/</t>
  </si>
  <si>
    <t>番組名後妻業【エースと黒幕の逆襲!娘の秘密をつかめ!果てしなき攻防戦】　#05</t>
  </si>
  <si>
    <r>
      <rPr>
        <rFont val="ＭＳ Ｐゴシック"/>
        <sz val="10.0"/>
      </rPr>
      <t>本多</t>
    </r>
    <r>
      <rPr>
        <rFont val="Arial"/>
        <sz val="10.0"/>
      </rPr>
      <t>(</t>
    </r>
    <r>
      <rPr>
        <rFont val="ＭＳ Ｐゴシック"/>
        <sz val="10.0"/>
      </rPr>
      <t>伊原剛志</t>
    </r>
    <r>
      <rPr>
        <rFont val="Arial"/>
        <sz val="10.0"/>
      </rPr>
      <t>)</t>
    </r>
    <r>
      <rPr>
        <rFont val="ＭＳ Ｐゴシック"/>
        <sz val="10.0"/>
      </rPr>
      <t>の動きを警戒する柏木</t>
    </r>
    <r>
      <rPr>
        <rFont val="Arial"/>
        <sz val="10.0"/>
      </rPr>
      <t>(</t>
    </r>
    <r>
      <rPr>
        <rFont val="ＭＳ Ｐゴシック"/>
        <sz val="10.0"/>
      </rPr>
      <t>高橋克典</t>
    </r>
    <r>
      <rPr>
        <rFont val="Arial"/>
        <sz val="10.0"/>
      </rPr>
      <t>)</t>
    </r>
    <r>
      <rPr>
        <rFont val="ＭＳ Ｐゴシック"/>
        <sz val="10.0"/>
      </rPr>
      <t>は、小夜子</t>
    </r>
    <r>
      <rPr>
        <rFont val="Arial"/>
        <sz val="10.0"/>
      </rPr>
      <t>(</t>
    </r>
    <r>
      <rPr>
        <rFont val="ＭＳ Ｐゴシック"/>
        <sz val="10.0"/>
      </rPr>
      <t>木村佳乃</t>
    </r>
    <r>
      <rPr>
        <rFont val="Arial"/>
        <sz val="10.0"/>
      </rPr>
      <t>)</t>
    </r>
    <r>
      <rPr>
        <rFont val="ＭＳ Ｐゴシック"/>
        <sz val="10.0"/>
      </rPr>
      <t>の弟である博司</t>
    </r>
    <r>
      <rPr>
        <rFont val="Arial"/>
        <sz val="10.0"/>
      </rPr>
      <t>(</t>
    </r>
    <r>
      <rPr>
        <rFont val="ＭＳ Ｐゴシック"/>
        <sz val="10.0"/>
      </rPr>
      <t>葉山奨之</t>
    </r>
    <r>
      <rPr>
        <rFont val="Arial"/>
        <sz val="10.0"/>
      </rPr>
      <t>)</t>
    </r>
    <r>
      <rPr>
        <rFont val="ＭＳ Ｐゴシック"/>
        <sz val="10.0"/>
      </rPr>
      <t>を東京へ送り込み、本多の過去を探って弱みを握ろうと画策。朋美</t>
    </r>
    <r>
      <rPr>
        <rFont val="Arial"/>
        <sz val="10.0"/>
      </rPr>
      <t>(</t>
    </r>
    <r>
      <rPr>
        <rFont val="ＭＳ Ｐゴシック"/>
        <sz val="10.0"/>
      </rPr>
      <t>木村多江</t>
    </r>
    <r>
      <rPr>
        <rFont val="Arial"/>
        <sz val="10.0"/>
      </rPr>
      <t>)</t>
    </r>
    <r>
      <rPr>
        <rFont val="ＭＳ Ｐゴシック"/>
        <sz val="10.0"/>
      </rPr>
      <t>を尾行するように命じる。小夜子は「天敵女の尻尾をつかめ」と弟にはっぱをかける。一方で、認知症の幹夫</t>
    </r>
    <r>
      <rPr>
        <rFont val="Arial"/>
        <sz val="10.0"/>
      </rPr>
      <t>(</t>
    </r>
    <r>
      <rPr>
        <rFont val="ＭＳ Ｐゴシック"/>
        <sz val="10.0"/>
      </rPr>
      <t>佐藤蛾次郎</t>
    </r>
    <r>
      <rPr>
        <rFont val="Arial"/>
        <sz val="10.0"/>
      </rPr>
      <t>)</t>
    </r>
    <r>
      <rPr>
        <rFont val="ＭＳ Ｐゴシック"/>
        <sz val="10.0"/>
      </rPr>
      <t>に苦戦する小夜子には、元開業医の資産家・笹島雅樹</t>
    </r>
    <r>
      <rPr>
        <rFont val="Arial"/>
        <sz val="10.0"/>
      </rPr>
      <t>(</t>
    </r>
    <r>
      <rPr>
        <rFont val="ＭＳ Ｐゴシック"/>
        <sz val="10.0"/>
      </rPr>
      <t>麿赤兒</t>
    </r>
    <r>
      <rPr>
        <rFont val="Arial"/>
        <sz val="10.0"/>
      </rPr>
      <t>)</t>
    </r>
    <r>
      <rPr>
        <rFont val="ＭＳ Ｐゴシック"/>
        <sz val="10.0"/>
      </rPr>
      <t>との見合いをセッティングする。その頃、夫・司郎</t>
    </r>
    <r>
      <rPr>
        <rFont val="Arial"/>
        <sz val="10.0"/>
      </rPr>
      <t>(</t>
    </r>
    <r>
      <rPr>
        <rFont val="ＭＳ Ｐゴシック"/>
        <sz val="10.0"/>
      </rPr>
      <t>長谷川朝晴</t>
    </r>
    <r>
      <rPr>
        <rFont val="Arial"/>
        <sz val="10.0"/>
      </rPr>
      <t>)</t>
    </r>
    <r>
      <rPr>
        <rFont val="ＭＳ Ｐゴシック"/>
        <sz val="10.0"/>
      </rPr>
      <t>と事務所スタッフの絵美里</t>
    </r>
    <r>
      <rPr>
        <rFont val="Arial"/>
        <sz val="10.0"/>
      </rPr>
      <t>(</t>
    </r>
    <r>
      <rPr>
        <rFont val="ＭＳ Ｐゴシック"/>
        <sz val="10.0"/>
      </rPr>
      <t>田中道子</t>
    </r>
    <r>
      <rPr>
        <rFont val="Arial"/>
        <sz val="10.0"/>
      </rPr>
      <t>)</t>
    </r>
    <r>
      <rPr>
        <rFont val="ＭＳ Ｐゴシック"/>
        <sz val="10.0"/>
      </rPr>
      <t>の浮気を目撃した朋美は、いまわしい記憶をふっしょくするかのように、</t>
    </r>
    <r>
      <rPr>
        <rFont val="Arial"/>
        <sz val="10.0"/>
      </rPr>
      <t>2</t>
    </r>
    <r>
      <rPr>
        <rFont val="ＭＳ Ｐゴシック"/>
        <sz val="10.0"/>
      </rPr>
      <t>人の情事の現場となった事務所のソファを処分。しかし、自分に対して何かと挑戦的な態度をとる絵美里と、何食わぬ顔でいつも通り仕事をする司郎に、朋美の怒りは収まるどころか膨れ上がる。</t>
    </r>
    <r>
      <rPr>
        <rFont val="Arial"/>
        <sz val="10.0"/>
      </rPr>
      <t xml:space="preserve">    </t>
    </r>
    <r>
      <rPr>
        <rFont val="ＭＳ Ｐゴシック"/>
        <sz val="10.0"/>
      </rPr>
      <t>小夜子は、新しいターゲットである笹島と見合いをし、かなりの資産家であることに目を輝かせ、後妻業としてのやる気を漲らせる。</t>
    </r>
    <r>
      <rPr>
        <rFont val="Arial"/>
        <sz val="10.0"/>
      </rPr>
      <t xml:space="preserve">  </t>
    </r>
    <r>
      <rPr>
        <rFont val="ＭＳ Ｐゴシック"/>
        <sz val="10.0"/>
      </rPr>
      <t>そんななか、姉の尚子</t>
    </r>
    <r>
      <rPr>
        <rFont val="Arial"/>
        <sz val="10.0"/>
      </rPr>
      <t>(</t>
    </r>
    <r>
      <rPr>
        <rFont val="ＭＳ Ｐゴシック"/>
        <sz val="10.0"/>
      </rPr>
      <t>濱田マリ</t>
    </r>
    <r>
      <rPr>
        <rFont val="Arial"/>
        <sz val="10.0"/>
      </rPr>
      <t>)</t>
    </r>
    <r>
      <rPr>
        <rFont val="ＭＳ Ｐゴシック"/>
        <sz val="10.0"/>
      </rPr>
      <t>の頼みで大阪での仕事を手掛けることになった朋美は、早速、リフォームを希望する依頼主の自宅へ向かう。豪邸で朋美を出迎えたのは、小夜子が狙いを定めている笹島だった。</t>
    </r>
    <r>
      <rPr>
        <rFont val="Arial"/>
        <sz val="10.0"/>
      </rPr>
      <t xml:space="preserve">    </t>
    </r>
    <r>
      <rPr>
        <rFont val="ＭＳ Ｐゴシック"/>
        <sz val="10.0"/>
      </rPr>
      <t>一方、探偵を命じられた博司は、偵察をさぼってパチンコにいそしんでいるところを柏木にしったされ、本気で朋美と本多の偵察に動き始めるーー。</t>
    </r>
  </si>
  <si>
    <t>本多(伊原剛志)の動きを警戒する柏木(高橋克典)は、小夜子(木村佳乃)の弟である博司(葉山奨之)を東京へ送り込み、本多の過去を探って弱みを握ろうと画策。朋美(木村多江)を尾行するように命じる。小夜子は「天敵女の尻尾をつかめ」と弟にはっぱをかける。一方で、認知症の幹夫(佐藤蛾次郎)に苦戦する小夜子には、元開業医の資産家・笹島雅樹(麿赤兒)との見合いをセッティングする。その頃、夫・司郎(長谷川朝晴)と事務所スタッフの絵美里(田中道子)の浮気を目撃した朋美は、いまわしい記憶をふっしょくするかのように、2人の情事の現場となった事務所のソファを処分。しかし、自分に対して何かと挑戦的な態度をとる絵美里と、何食わぬ顔でいつも通り仕事をする司郎に、朋美の怒りは収まるどころか膨れ上がる。    小夜子は、新しいターゲットである笹島と見合いをし、かなりの資産家であることに目を輝かせ、後妻業としてのやる気を漲らせる。  そんななか、姉の尚子(濱田マリ)の頼みで大阪での仕事を手掛けることになった朋美は、早速、リフォームを希望する依頼主の自宅へ向かう。豪邸で朋美を出迎えたのは、小夜子が狙いを定めている笹島だった。    一方、探偵を命じられた博司は、偵察をさぼってパチンコにいそしんでいるところを柏木にしったされ、本気で朋美と本多の偵察に動き始めるーー。</t>
  </si>
  <si>
    <t>番組名後妻業【大富豪の超高額遺産を巡る攻防戦!エースの罠と不倫妻の決断!】　#06</t>
  </si>
  <si>
    <r>
      <rPr>
        <rFont val="ＭＳ Ｐゴシック"/>
        <sz val="10.0"/>
      </rPr>
      <t>一刻も早く、笹島</t>
    </r>
    <r>
      <rPr>
        <rFont val="Arial"/>
        <sz val="10.0"/>
      </rPr>
      <t>(</t>
    </r>
    <r>
      <rPr>
        <rFont val="ＭＳ Ｐゴシック"/>
        <sz val="10.0"/>
      </rPr>
      <t>麿赤兒</t>
    </r>
    <r>
      <rPr>
        <rFont val="Arial"/>
        <sz val="10.0"/>
      </rPr>
      <t>)</t>
    </r>
    <r>
      <rPr>
        <rFont val="ＭＳ Ｐゴシック"/>
        <sz val="10.0"/>
      </rPr>
      <t>の妻となり、遺産相続人のポジションにつきたい小夜子</t>
    </r>
    <r>
      <rPr>
        <rFont val="Arial"/>
        <sz val="10.0"/>
      </rPr>
      <t>(</t>
    </r>
    <r>
      <rPr>
        <rFont val="ＭＳ Ｐゴシック"/>
        <sz val="10.0"/>
      </rPr>
      <t>木村佳乃</t>
    </r>
    <r>
      <rPr>
        <rFont val="Arial"/>
        <sz val="10.0"/>
      </rPr>
      <t>)</t>
    </r>
    <r>
      <rPr>
        <rFont val="ＭＳ Ｐゴシック"/>
        <sz val="10.0"/>
      </rPr>
      <t>は、「遺産をうちに残してほしい」と笹島にプロポーズ。しかし、形はあくまで</t>
    </r>
    <r>
      <rPr>
        <rFont val="Arial"/>
        <sz val="10.0"/>
      </rPr>
      <t>“</t>
    </r>
    <r>
      <rPr>
        <rFont val="ＭＳ Ｐゴシック"/>
        <sz val="10.0"/>
      </rPr>
      <t>内縁</t>
    </r>
    <r>
      <rPr>
        <rFont val="Arial"/>
        <sz val="10.0"/>
      </rPr>
      <t>"</t>
    </r>
    <r>
      <rPr>
        <rFont val="ＭＳ Ｐゴシック"/>
        <sz val="10.0"/>
      </rPr>
      <t>だといい、籍を入れられない理由を美談として話す小夜子の言葉に、笹島の答えは</t>
    </r>
    <r>
      <rPr>
        <rFont val="Arial"/>
        <sz val="10.0"/>
      </rPr>
      <t>……</t>
    </r>
    <r>
      <rPr>
        <rFont val="ＭＳ Ｐゴシック"/>
        <sz val="10.0"/>
      </rPr>
      <t>。</t>
    </r>
    <r>
      <rPr>
        <rFont val="Arial"/>
        <sz val="10.0"/>
      </rPr>
      <t xml:space="preserve">    </t>
    </r>
    <r>
      <rPr>
        <rFont val="ＭＳ Ｐゴシック"/>
        <sz val="10.0"/>
      </rPr>
      <t>一方、朋美は</t>
    </r>
    <r>
      <rPr>
        <rFont val="Arial"/>
        <sz val="10.0"/>
      </rPr>
      <t>(</t>
    </r>
    <r>
      <rPr>
        <rFont val="ＭＳ Ｐゴシック"/>
        <sz val="10.0"/>
      </rPr>
      <t>木村多江</t>
    </r>
    <r>
      <rPr>
        <rFont val="Arial"/>
        <sz val="10.0"/>
      </rPr>
      <t>)</t>
    </r>
    <r>
      <rPr>
        <rFont val="ＭＳ Ｐゴシック"/>
        <sz val="10.0"/>
      </rPr>
      <t>は、夫の司郎</t>
    </r>
    <r>
      <rPr>
        <rFont val="Arial"/>
        <sz val="10.0"/>
      </rPr>
      <t>(</t>
    </r>
    <r>
      <rPr>
        <rFont val="ＭＳ Ｐゴシック"/>
        <sz val="10.0"/>
      </rPr>
      <t>長谷川朝晴</t>
    </r>
    <r>
      <rPr>
        <rFont val="Arial"/>
        <sz val="10.0"/>
      </rPr>
      <t>)</t>
    </r>
    <r>
      <rPr>
        <rFont val="ＭＳ Ｐゴシック"/>
        <sz val="10.0"/>
      </rPr>
      <t>の浮気のショックから、感情が高ぶり、ついに本多</t>
    </r>
    <r>
      <rPr>
        <rFont val="Arial"/>
        <sz val="10.0"/>
      </rPr>
      <t>(</t>
    </r>
    <r>
      <rPr>
        <rFont val="ＭＳ Ｐゴシック"/>
        <sz val="10.0"/>
      </rPr>
      <t>伊原剛志</t>
    </r>
    <r>
      <rPr>
        <rFont val="Arial"/>
        <sz val="10.0"/>
      </rPr>
      <t>)</t>
    </r>
    <r>
      <rPr>
        <rFont val="ＭＳ Ｐゴシック"/>
        <sz val="10.0"/>
      </rPr>
      <t>と一晩をともにしてしまった。翌朝、互いに自分たちの気持ちを抑えようと、大人の努力をすることに。その</t>
    </r>
    <r>
      <rPr>
        <rFont val="Arial"/>
        <sz val="10.0"/>
      </rPr>
      <t>2</t>
    </r>
    <r>
      <rPr>
        <rFont val="ＭＳ Ｐゴシック"/>
        <sz val="10.0"/>
      </rPr>
      <t>人の浮気現場を押さえ、本多の弱みを握った柏木</t>
    </r>
    <r>
      <rPr>
        <rFont val="Arial"/>
        <sz val="10.0"/>
      </rPr>
      <t>(</t>
    </r>
    <r>
      <rPr>
        <rFont val="ＭＳ Ｐゴシック"/>
        <sz val="10.0"/>
      </rPr>
      <t>高橋克典</t>
    </r>
    <r>
      <rPr>
        <rFont val="Arial"/>
        <sz val="10.0"/>
      </rPr>
      <t>)</t>
    </r>
    <r>
      <rPr>
        <rFont val="ＭＳ Ｐゴシック"/>
        <sz val="10.0"/>
      </rPr>
      <t>はほくそ笑む。</t>
    </r>
    <r>
      <rPr>
        <rFont val="Arial"/>
        <sz val="10.0"/>
      </rPr>
      <t xml:space="preserve">    </t>
    </r>
    <r>
      <rPr>
        <rFont val="ＭＳ Ｐゴシック"/>
        <sz val="10.0"/>
      </rPr>
      <t>弱みを握られたとは知らず、引き続き小夜子の行動を見張っていた本多は、小夜子が司法書士の新井</t>
    </r>
    <r>
      <rPr>
        <rFont val="Arial"/>
        <sz val="10.0"/>
      </rPr>
      <t>(</t>
    </r>
    <r>
      <rPr>
        <rFont val="ＭＳ Ｐゴシック"/>
        <sz val="10.0"/>
      </rPr>
      <t>河本準一</t>
    </r>
    <r>
      <rPr>
        <rFont val="Arial"/>
        <sz val="10.0"/>
      </rPr>
      <t>)</t>
    </r>
    <r>
      <rPr>
        <rFont val="ＭＳ Ｐゴシック"/>
        <sz val="10.0"/>
      </rPr>
      <t>といっしょに、笹島の自宅へ入る姿を目撃する。話を聞いた朋美は、そこで初めて、小夜子の次のターゲットが自分のクライアントだと知って驚がく。同時に、笹島を亡くなった父親の二の舞にはさせないと、小夜子と柏木の計画を阻止するために笹島邸に乗り込む。</t>
    </r>
    <r>
      <rPr>
        <rFont val="Arial"/>
        <sz val="10.0"/>
      </rPr>
      <t xml:space="preserve">    </t>
    </r>
    <r>
      <rPr>
        <rFont val="ＭＳ Ｐゴシック"/>
        <sz val="10.0"/>
      </rPr>
      <t>そんな朋美の動きを知った小夜子は、あくまで自分は</t>
    </r>
    <r>
      <rPr>
        <rFont val="Arial"/>
        <sz val="10.0"/>
      </rPr>
      <t>“</t>
    </r>
    <r>
      <rPr>
        <rFont val="ＭＳ Ｐゴシック"/>
        <sz val="10.0"/>
      </rPr>
      <t>恋愛</t>
    </r>
    <r>
      <rPr>
        <rFont val="Arial"/>
        <sz val="10.0"/>
      </rPr>
      <t>"</t>
    </r>
    <r>
      <rPr>
        <rFont val="ＭＳ Ｐゴシック"/>
        <sz val="10.0"/>
      </rPr>
      <t>を楽しんでいるだけだと言い張り、いつものように巧みな話術で朋美の追及をかわす、しかし、朋美のある一言で怒りに火がつき、浮気の証拠写真を朋美に突きつける</t>
    </r>
    <r>
      <rPr>
        <rFont val="Arial"/>
        <sz val="10.0"/>
      </rPr>
      <t>…</t>
    </r>
    <r>
      <rPr>
        <rFont val="ＭＳ Ｐゴシック"/>
        <sz val="10.0"/>
      </rPr>
      <t>。</t>
    </r>
  </si>
  <si>
    <t>一刻も早く、笹島(麿赤兒)の妻となり、遺産相続人のポジションにつきたい小夜子(木村佳乃)は、「遺産をうちに残してほしい」と笹島にプロポーズ。しかし、形はあくまで“内縁"だといい、籍を入れられない理由を美談として話す小夜子の言葉に、笹島の答えは……。    一方、朋美は(木村多江)は、夫の司郎(長谷川朝晴)の浮気のショックから、感情が高ぶり、ついに本多(伊原剛志)と一晩をともにしてしまった。翌朝、互いに自分たちの気持ちを抑えようと、大人の努力をすることに。その2人の浮気現場を押さえ、本多の弱みを握った柏木(高橋克典)はほくそ笑む。    弱みを握られたとは知らず、引き続き小夜子の行動を見張っていた本多は、小夜子が司法書士の新井(河本準一)といっしょに、笹島の自宅へ入る姿を目撃する。話を聞いた朋美は、そこで初めて、小夜子の次のターゲットが自分のクライアントだと知って驚がく。同時に、笹島を亡くなった父親の二の舞にはさせないと、小夜子と柏木の計画を阻止するために笹島邸に乗り込む。    そんな朋美の動きを知った小夜子は、あくまで自分は“恋愛"を楽しんでいるだけだと言い張り、いつものように巧みな話術で朋美の追及をかわす、しかし、朋美のある一言で怒りに火がつき、浮気の証拠写真を朋美に突きつける…。</t>
  </si>
  <si>
    <t>番組名後妻業【資産家老人殺人の驚きの真相発覚!不倫妻の決意とすれ違いの夜】　#07</t>
  </si>
  <si>
    <r>
      <rPr>
        <rFont val="ＭＳ Ｐゴシック"/>
        <sz val="10.0"/>
      </rPr>
      <t>「小夜子</t>
    </r>
    <r>
      <rPr>
        <rFont val="Arial"/>
        <sz val="10.0"/>
      </rPr>
      <t>(</t>
    </r>
    <r>
      <rPr>
        <rFont val="ＭＳ Ｐゴシック"/>
        <sz val="10.0"/>
      </rPr>
      <t>木村佳乃</t>
    </r>
    <r>
      <rPr>
        <rFont val="Arial"/>
        <sz val="10.0"/>
      </rPr>
      <t>)</t>
    </r>
    <r>
      <rPr>
        <rFont val="ＭＳ Ｐゴシック"/>
        <sz val="10.0"/>
      </rPr>
      <t>より、私と組みませんか</t>
    </r>
    <r>
      <rPr>
        <rFont val="Arial"/>
        <sz val="10.0"/>
      </rPr>
      <t>?</t>
    </r>
    <r>
      <rPr>
        <rFont val="ＭＳ Ｐゴシック"/>
        <sz val="10.0"/>
      </rPr>
      <t>」ー夫の裏切りで失意のどん底に落ち、女としても小夜子に見下されて悔しさがこみ上げる朋美</t>
    </r>
    <r>
      <rPr>
        <rFont val="Arial"/>
        <sz val="10.0"/>
      </rPr>
      <t>(</t>
    </r>
    <r>
      <rPr>
        <rFont val="ＭＳ Ｐゴシック"/>
        <sz val="10.0"/>
      </rPr>
      <t>木村多江</t>
    </r>
    <r>
      <rPr>
        <rFont val="Arial"/>
        <sz val="10.0"/>
      </rPr>
      <t>)</t>
    </r>
    <r>
      <rPr>
        <rFont val="ＭＳ Ｐゴシック"/>
        <sz val="10.0"/>
      </rPr>
      <t>は、何とかして小夜子に勝ちたいと柏木</t>
    </r>
    <r>
      <rPr>
        <rFont val="Arial"/>
        <sz val="10.0"/>
      </rPr>
      <t>(</t>
    </r>
    <r>
      <rPr>
        <rFont val="ＭＳ Ｐゴシック"/>
        <sz val="10.0"/>
      </rPr>
      <t>高橋克典</t>
    </r>
    <r>
      <rPr>
        <rFont val="Arial"/>
        <sz val="10.0"/>
      </rPr>
      <t>)</t>
    </r>
    <r>
      <rPr>
        <rFont val="ＭＳ Ｐゴシック"/>
        <sz val="10.0"/>
      </rPr>
      <t>を誘惑するが、反対に「もう関わるな」とくぎを刺されてしまう。その矢先、本多</t>
    </r>
    <r>
      <rPr>
        <rFont val="Arial"/>
        <sz val="10.0"/>
      </rPr>
      <t>(</t>
    </r>
    <r>
      <rPr>
        <rFont val="ＭＳ Ｐゴシック"/>
        <sz val="10.0"/>
      </rPr>
      <t>伊原剛志</t>
    </r>
    <r>
      <rPr>
        <rFont val="Arial"/>
        <sz val="10.0"/>
      </rPr>
      <t>)</t>
    </r>
    <r>
      <rPr>
        <rFont val="ＭＳ Ｐゴシック"/>
        <sz val="10.0"/>
      </rPr>
      <t>から、小夜子が後妻の座を狙っていた笹島</t>
    </r>
    <r>
      <rPr>
        <rFont val="Arial"/>
        <sz val="10.0"/>
      </rPr>
      <t>(</t>
    </r>
    <r>
      <rPr>
        <rFont val="ＭＳ Ｐゴシック"/>
        <sz val="10.0"/>
      </rPr>
      <t>麿赤兒</t>
    </r>
    <r>
      <rPr>
        <rFont val="Arial"/>
        <sz val="10.0"/>
      </rPr>
      <t>)</t>
    </r>
    <r>
      <rPr>
        <rFont val="ＭＳ Ｐゴシック"/>
        <sz val="10.0"/>
      </rPr>
      <t>が亡くなったと聞いた朋美は、これまでの夫同様、小夜子が殺したのだと確信。朋美は本多と次の作戦に打って出る。</t>
    </r>
    <r>
      <rPr>
        <rFont val="Arial"/>
        <sz val="10.0"/>
      </rPr>
      <t xml:space="preserve">  </t>
    </r>
    <r>
      <rPr>
        <rFont val="ＭＳ Ｐゴシック"/>
        <sz val="10.0"/>
      </rPr>
      <t>その頃、小夜子は「この苦しみから解放されたい。早う、死んでしまいたい」と話していた笹島のことを思い出していた</t>
    </r>
    <r>
      <rPr>
        <rFont val="Arial"/>
        <sz val="10.0"/>
      </rPr>
      <t>……</t>
    </r>
    <r>
      <rPr>
        <rFont val="ＭＳ Ｐゴシック"/>
        <sz val="10.0"/>
      </rPr>
      <t>。</t>
    </r>
    <r>
      <rPr>
        <rFont val="Arial"/>
        <sz val="10.0"/>
      </rPr>
      <t xml:space="preserve">    </t>
    </r>
    <r>
      <rPr>
        <rFont val="ＭＳ Ｐゴシック"/>
        <sz val="10.0"/>
      </rPr>
      <t>数日後、朋美と本多に呼び出された小夜子は、朋美の亡き父・耕造</t>
    </r>
    <r>
      <rPr>
        <rFont val="Arial"/>
        <sz val="10.0"/>
      </rPr>
      <t>(</t>
    </r>
    <r>
      <rPr>
        <rFont val="ＭＳ Ｐゴシック"/>
        <sz val="10.0"/>
      </rPr>
      <t>泉谷しげる</t>
    </r>
    <r>
      <rPr>
        <rFont val="Arial"/>
        <sz val="10.0"/>
      </rPr>
      <t>)</t>
    </r>
    <r>
      <rPr>
        <rFont val="ＭＳ Ｐゴシック"/>
        <sz val="10.0"/>
      </rPr>
      <t>の遺産の半分を支払うよう要求される。応じない場合、裁判で争う覚悟がある、更には記者会見まで行う、と小夜子を脅す。話を聞いた柏木は、その脅しが本気だと悟り、慌てる。しかし当の小夜子は気にするそぶりもなく、見合い後、すっかりとりこになってしまった舟山</t>
    </r>
    <r>
      <rPr>
        <rFont val="Arial"/>
        <sz val="10.0"/>
      </rPr>
      <t>(</t>
    </r>
    <r>
      <rPr>
        <rFont val="ＭＳ Ｐゴシック"/>
        <sz val="10.0"/>
      </rPr>
      <t>中条きよし</t>
    </r>
    <r>
      <rPr>
        <rFont val="Arial"/>
        <sz val="10.0"/>
      </rPr>
      <t>)</t>
    </r>
    <r>
      <rPr>
        <rFont val="ＭＳ Ｐゴシック"/>
        <sz val="10.0"/>
      </rPr>
      <t>とのデートに意気揚々。柏木は、そんな小夜子の様子に嫉妬心を抱く。</t>
    </r>
    <r>
      <rPr>
        <rFont val="Arial"/>
        <sz val="10.0"/>
      </rPr>
      <t xml:space="preserve">    </t>
    </r>
    <r>
      <rPr>
        <rFont val="ＭＳ Ｐゴシック"/>
        <sz val="10.0"/>
      </rPr>
      <t>その頃、朋美のマンションには、海外出張を終えた司郎</t>
    </r>
    <r>
      <rPr>
        <rFont val="Arial"/>
        <sz val="10.0"/>
      </rPr>
      <t>(</t>
    </r>
    <r>
      <rPr>
        <rFont val="ＭＳ Ｐゴシック"/>
        <sz val="10.0"/>
      </rPr>
      <t>長谷川晴朝</t>
    </r>
    <r>
      <rPr>
        <rFont val="Arial"/>
        <sz val="10.0"/>
      </rPr>
      <t>)</t>
    </r>
    <r>
      <rPr>
        <rFont val="ＭＳ Ｐゴシック"/>
        <sz val="10.0"/>
      </rPr>
      <t>が帰ってきていた。しかし、その出張に浮気相手を連れていったことを朋美が切り出すと、いたたまれなくなった司郎は再び家を出ていってしまう</t>
    </r>
    <r>
      <rPr>
        <rFont val="Arial"/>
        <sz val="10.0"/>
      </rPr>
      <t>…</t>
    </r>
    <r>
      <rPr>
        <rFont val="ＭＳ Ｐゴシック"/>
        <sz val="10.0"/>
      </rPr>
      <t>。</t>
    </r>
  </si>
  <si>
    <t>「小夜子(木村佳乃)より、私と組みませんか?」ー夫の裏切りで失意のどん底に落ち、女としても小夜子に見下されて悔しさがこみ上げる朋美(木村多江)は、何とかして小夜子に勝ちたいと柏木(高橋克典)を誘惑するが、反対に「もう関わるな」とくぎを刺されてしまう。その矢先、本多(伊原剛志)から、小夜子が後妻の座を狙っていた笹島(麿赤兒)が亡くなったと聞いた朋美は、これまでの夫同様、小夜子が殺したのだと確信。朋美は本多と次の作戦に打って出る。  その頃、小夜子は「この苦しみから解放されたい。早う、死んでしまいたい」と話していた笹島のことを思い出していた……。    数日後、朋美と本多に呼び出された小夜子は、朋美の亡き父・耕造(泉谷しげる)の遺産の半分を支払うよう要求される。応じない場合、裁判で争う覚悟がある、更には記者会見まで行う、と小夜子を脅す。話を聞いた柏木は、その脅しが本気だと悟り、慌てる。しかし当の小夜子は気にするそぶりもなく、見合い後、すっかりとりこになってしまった舟山(中条きよし)とのデートに意気揚々。柏木は、そんな小夜子の様子に嫉妬心を抱く。    その頃、朋美のマンションには、海外出張を終えた司郎(長谷川晴朝)が帰ってきていた。しかし、その出張に浮気相手を連れていったことを朋美が切り出すと、いたたまれなくなった司郎は再び家を出ていってしまう…。</t>
  </si>
  <si>
    <t>番組名後妻業【最終章に突入!危険な恋人の正体!後妻業のエースが初の敗北か】　#08</t>
  </si>
  <si>
    <r>
      <rPr>
        <rFont val="ＭＳ Ｐゴシック"/>
        <sz val="10.0"/>
      </rPr>
      <t>これまで後妻に入った老人たちとは違い、紳士的で色気が漂う舟山</t>
    </r>
    <r>
      <rPr>
        <rFont val="Arial"/>
        <sz val="10.0"/>
      </rPr>
      <t>(</t>
    </r>
    <r>
      <rPr>
        <rFont val="ＭＳ Ｐゴシック"/>
        <sz val="10.0"/>
      </rPr>
      <t>中条きよし</t>
    </r>
    <r>
      <rPr>
        <rFont val="Arial"/>
        <sz val="10.0"/>
      </rPr>
      <t>)</t>
    </r>
    <r>
      <rPr>
        <rFont val="ＭＳ Ｐゴシック"/>
        <sz val="10.0"/>
      </rPr>
      <t>にすっかり魅了された小夜子</t>
    </r>
    <r>
      <rPr>
        <rFont val="Arial"/>
        <sz val="10.0"/>
      </rPr>
      <t>(</t>
    </r>
    <r>
      <rPr>
        <rFont val="ＭＳ Ｐゴシック"/>
        <sz val="10.0"/>
      </rPr>
      <t>木村佳乃</t>
    </r>
    <r>
      <rPr>
        <rFont val="Arial"/>
        <sz val="10.0"/>
      </rPr>
      <t>)</t>
    </r>
    <r>
      <rPr>
        <rFont val="ＭＳ Ｐゴシック"/>
        <sz val="10.0"/>
      </rPr>
      <t>は、彼からのプロポーズに、女としての喜びを感じる。一方、博司</t>
    </r>
    <r>
      <rPr>
        <rFont val="Arial"/>
        <sz val="10.0"/>
      </rPr>
      <t>(</t>
    </r>
    <r>
      <rPr>
        <rFont val="ＭＳ Ｐゴシック"/>
        <sz val="10.0"/>
      </rPr>
      <t>葉山奨之</t>
    </r>
    <r>
      <rPr>
        <rFont val="Arial"/>
        <sz val="10.0"/>
      </rPr>
      <t>)</t>
    </r>
    <r>
      <rPr>
        <rFont val="ＭＳ Ｐゴシック"/>
        <sz val="10.0"/>
      </rPr>
      <t>と会うために上京していた柏木</t>
    </r>
    <r>
      <rPr>
        <rFont val="Arial"/>
        <sz val="10.0"/>
      </rPr>
      <t>(</t>
    </r>
    <r>
      <rPr>
        <rFont val="ＭＳ Ｐゴシック"/>
        <sz val="10.0"/>
      </rPr>
      <t>高橋克典</t>
    </r>
    <r>
      <rPr>
        <rFont val="Arial"/>
        <sz val="10.0"/>
      </rPr>
      <t>)</t>
    </r>
    <r>
      <rPr>
        <rFont val="ＭＳ Ｐゴシック"/>
        <sz val="10.0"/>
      </rPr>
      <t>は、プロポーズされたことに喜ぶ小夜子に、複雑な感情を抱く。小夜子は、柏木のそっけない態度に不満を感じ、舟山からの誘いに乗ってしまい一夜を共に過ごす。そうとは知らない柏木は、夫と別れて傷心の朋美</t>
    </r>
    <r>
      <rPr>
        <rFont val="Arial"/>
        <sz val="10.0"/>
      </rPr>
      <t>(</t>
    </r>
    <r>
      <rPr>
        <rFont val="ＭＳ Ｐゴシック"/>
        <sz val="10.0"/>
      </rPr>
      <t>木村多江</t>
    </r>
    <r>
      <rPr>
        <rFont val="Arial"/>
        <sz val="10.0"/>
      </rPr>
      <t>)</t>
    </r>
    <r>
      <rPr>
        <rFont val="ＭＳ Ｐゴシック"/>
        <sz val="10.0"/>
      </rPr>
      <t>と偶然バーで出会う。傷ついた朋美をなぐさめているうちに、</t>
    </r>
    <r>
      <rPr>
        <rFont val="Arial"/>
        <sz val="10.0"/>
      </rPr>
      <t>2</t>
    </r>
    <r>
      <rPr>
        <rFont val="ＭＳ Ｐゴシック"/>
        <sz val="10.0"/>
      </rPr>
      <t>人はそのままホテルの一室へと向かうが、その様子を駆けつけた本多</t>
    </r>
    <r>
      <rPr>
        <rFont val="Arial"/>
        <sz val="10.0"/>
      </rPr>
      <t>(</t>
    </r>
    <r>
      <rPr>
        <rFont val="ＭＳ Ｐゴシック"/>
        <sz val="10.0"/>
      </rPr>
      <t>伊原剛志</t>
    </r>
    <r>
      <rPr>
        <rFont val="Arial"/>
        <sz val="10.0"/>
      </rPr>
      <t>)</t>
    </r>
    <r>
      <rPr>
        <rFont val="ＭＳ Ｐゴシック"/>
        <sz val="10.0"/>
      </rPr>
      <t>が見てしまうーー</t>
    </r>
    <r>
      <rPr>
        <rFont val="Arial"/>
        <sz val="10.0"/>
      </rPr>
      <t xml:space="preserve">!    </t>
    </r>
    <r>
      <rPr>
        <rFont val="ＭＳ Ｐゴシック"/>
        <sz val="10.0"/>
      </rPr>
      <t>大阪に戻った柏木は、舟山と男女の関係になったことをにおわす小夜子の言葉に激しく動揺。さらに、小夜子が自分の部屋に舟山を招き、手料理を振る舞うと知り、入れ込みすぎだと警告する。しかし、小夜子の耳には届かない。いら立つ柏木は、何とかして小夜子の目を覚まそうと躍起に。そして、舟山の化けの皮をはがすために彼の資産届を確認すると、とんでもないことが分かる。</t>
    </r>
    <r>
      <rPr>
        <rFont val="Arial"/>
        <sz val="10.0"/>
      </rPr>
      <t xml:space="preserve">    </t>
    </r>
    <r>
      <rPr>
        <rFont val="ＭＳ Ｐゴシック"/>
        <sz val="10.0"/>
      </rPr>
      <t>柏木は小夜子に、舟山についてある重大な事実を告げる。しかし、舟山に愛情を感じ始めていた小夜子は決して信じようとしない。さらに、小夜子は柏木のオフィスで、朋美のイヤリングを見つけてしまう。柏木はごまかすが、</t>
    </r>
    <r>
      <rPr>
        <rFont val="Arial"/>
        <sz val="10.0"/>
      </rPr>
      <t>2</t>
    </r>
    <r>
      <rPr>
        <rFont val="ＭＳ Ｐゴシック"/>
        <sz val="10.0"/>
      </rPr>
      <t>人の間に何かあったことを察知した小夜子はー。</t>
    </r>
  </si>
  <si>
    <t>これまで後妻に入った老人たちとは違い、紳士的で色気が漂う舟山(中条きよし)にすっかり魅了された小夜子(木村佳乃)は、彼からのプロポーズに、女としての喜びを感じる。一方、博司(葉山奨之)と会うために上京していた柏木(高橋克典)は、プロポーズされたことに喜ぶ小夜子に、複雑な感情を抱く。小夜子は、柏木のそっけない態度に不満を感じ、舟山からの誘いに乗ってしまい一夜を共に過ごす。そうとは知らない柏木は、夫と別れて傷心の朋美(木村多江)と偶然バーで出会う。傷ついた朋美をなぐさめているうちに、2人はそのままホテルの一室へと向かうが、その様子を駆けつけた本多(伊原剛志)が見てしまうーー!    大阪に戻った柏木は、舟山と男女の関係になったことをにおわす小夜子の言葉に激しく動揺。さらに、小夜子が自分の部屋に舟山を招き、手料理を振る舞うと知り、入れ込みすぎだと警告する。しかし、小夜子の耳には届かない。いら立つ柏木は、何とかして小夜子の目を覚まそうと躍起に。そして、舟山の化けの皮をはがすために彼の資産届を確認すると、とんでもないことが分かる。    柏木は小夜子に、舟山についてある重大な事実を告げる。しかし、舟山に愛情を感じ始めていた小夜子は決して信じようとしない。さらに、小夜子は柏木のオフィスで、朋美のイヤリングを見つけてしまう。柏木はごまかすが、2人の間に何かあったことを察知した小夜子はー。</t>
  </si>
  <si>
    <t>番組名後妻業【衝撃の最終回!黒い取引!勝つのは誰か!悪女の運命はいかに】　#09</t>
  </si>
  <si>
    <r>
      <rPr>
        <rFont val="ＭＳ Ｐゴシック"/>
        <sz val="10.0"/>
      </rPr>
      <t>柏木</t>
    </r>
    <r>
      <rPr>
        <rFont val="Arial"/>
        <sz val="10.0"/>
      </rPr>
      <t>(</t>
    </r>
    <r>
      <rPr>
        <rFont val="ＭＳ Ｐゴシック"/>
        <sz val="10.0"/>
      </rPr>
      <t>高橋克典</t>
    </r>
    <r>
      <rPr>
        <rFont val="Arial"/>
        <sz val="10.0"/>
      </rPr>
      <t>)</t>
    </r>
    <r>
      <rPr>
        <rFont val="ＭＳ Ｐゴシック"/>
        <sz val="10.0"/>
      </rPr>
      <t>の嫌な予感が的中し、詐欺師だと見破られた舟山</t>
    </r>
    <r>
      <rPr>
        <rFont val="Arial"/>
        <sz val="10.0"/>
      </rPr>
      <t>(</t>
    </r>
    <r>
      <rPr>
        <rFont val="ＭＳ Ｐゴシック"/>
        <sz val="10.0"/>
      </rPr>
      <t>中条きよし</t>
    </r>
    <r>
      <rPr>
        <rFont val="Arial"/>
        <sz val="10.0"/>
      </rPr>
      <t>)</t>
    </r>
    <r>
      <rPr>
        <rFont val="ＭＳ Ｐゴシック"/>
        <sz val="10.0"/>
      </rPr>
      <t>は態度が豹変</t>
    </r>
    <r>
      <rPr>
        <rFont val="Arial"/>
        <sz val="10.0"/>
      </rPr>
      <t>(</t>
    </r>
    <r>
      <rPr>
        <rFont val="ＭＳ Ｐゴシック"/>
        <sz val="10.0"/>
      </rPr>
      <t>ひょうへん</t>
    </r>
    <r>
      <rPr>
        <rFont val="Arial"/>
        <sz val="10.0"/>
      </rPr>
      <t>)</t>
    </r>
    <r>
      <rPr>
        <rFont val="ＭＳ Ｐゴシック"/>
        <sz val="10.0"/>
      </rPr>
      <t>、小夜子</t>
    </r>
    <r>
      <rPr>
        <rFont val="Arial"/>
        <sz val="10.0"/>
      </rPr>
      <t>(</t>
    </r>
    <r>
      <rPr>
        <rFont val="ＭＳ Ｐゴシック"/>
        <sz val="10.0"/>
      </rPr>
      <t>木村佳乃</t>
    </r>
    <r>
      <rPr>
        <rFont val="Arial"/>
        <sz val="10.0"/>
      </rPr>
      <t>)</t>
    </r>
    <r>
      <rPr>
        <rFont val="ＭＳ Ｐゴシック"/>
        <sz val="10.0"/>
      </rPr>
      <t>に激しい暴力を振るう。部屋に駆けつけた柏木は、傷つけられ、恐怖で涙する小夜子を見て怒りが頂点に。すぐさま舟山に報復するが、それがあだとなり、舟山の息子で暴力団員の喜宜</t>
    </r>
    <r>
      <rPr>
        <rFont val="Arial"/>
        <sz val="10.0"/>
      </rPr>
      <t>(</t>
    </r>
    <r>
      <rPr>
        <rFont val="ＭＳ Ｐゴシック"/>
        <sz val="10.0"/>
      </rPr>
      <t>松尾諭</t>
    </r>
    <r>
      <rPr>
        <rFont val="Arial"/>
        <sz val="10.0"/>
      </rPr>
      <t>)</t>
    </r>
    <r>
      <rPr>
        <rFont val="ＭＳ Ｐゴシック"/>
        <sz val="10.0"/>
      </rPr>
      <t>から、後妻業をネタに脅迫されてしまう。しかし実はその裏で、柏木は博司</t>
    </r>
    <r>
      <rPr>
        <rFont val="Arial"/>
        <sz val="10.0"/>
      </rPr>
      <t>(</t>
    </r>
    <r>
      <rPr>
        <rFont val="ＭＳ Ｐゴシック"/>
        <sz val="10.0"/>
      </rPr>
      <t>葉山奨之</t>
    </r>
    <r>
      <rPr>
        <rFont val="Arial"/>
        <sz val="10.0"/>
      </rPr>
      <t>)</t>
    </r>
    <r>
      <rPr>
        <rFont val="ＭＳ Ｐゴシック"/>
        <sz val="10.0"/>
      </rPr>
      <t>を使って、ある工作をしていたーー。</t>
    </r>
    <r>
      <rPr>
        <rFont val="Arial"/>
        <sz val="10.0"/>
      </rPr>
      <t xml:space="preserve">    </t>
    </r>
    <r>
      <rPr>
        <rFont val="ＭＳ Ｐゴシック"/>
        <sz val="10.0"/>
      </rPr>
      <t>そのころ本多</t>
    </r>
    <r>
      <rPr>
        <rFont val="Arial"/>
        <sz val="10.0"/>
      </rPr>
      <t>(</t>
    </r>
    <r>
      <rPr>
        <rFont val="ＭＳ Ｐゴシック"/>
        <sz val="10.0"/>
      </rPr>
      <t>伊原剛志</t>
    </r>
    <r>
      <rPr>
        <rFont val="Arial"/>
        <sz val="10.0"/>
      </rPr>
      <t>)</t>
    </r>
    <r>
      <rPr>
        <rFont val="ＭＳ Ｐゴシック"/>
        <sz val="10.0"/>
      </rPr>
      <t>は、小夜子が夫を始末するよう、柏木が裏で手を引いていた確たる証拠を手に入れる。本多は「何が何でも金を巻き上げてやる」と鼻息を荒くするが、話を聞いた朋美</t>
    </r>
    <r>
      <rPr>
        <rFont val="Arial"/>
        <sz val="10.0"/>
      </rPr>
      <t>(</t>
    </r>
    <r>
      <rPr>
        <rFont val="ＭＳ Ｐゴシック"/>
        <sz val="10.0"/>
      </rPr>
      <t>木村多江</t>
    </r>
    <r>
      <rPr>
        <rFont val="Arial"/>
        <sz val="10.0"/>
      </rPr>
      <t>)</t>
    </r>
    <r>
      <rPr>
        <rFont val="ＭＳ Ｐゴシック"/>
        <sz val="10.0"/>
      </rPr>
      <t>は、離婚して落ち込んでいるとき、遠回しに元気づけてくれた小夜子の顔がチラつき、素直に喜べない。数日後、本多に証拠をマスコミにばらまくと脅され、ついに観念した柏木は、情報を</t>
    </r>
    <r>
      <rPr>
        <rFont val="Arial"/>
        <sz val="10.0"/>
      </rPr>
      <t>3,000</t>
    </r>
    <r>
      <rPr>
        <rFont val="ＭＳ Ｐゴシック"/>
        <sz val="10.0"/>
      </rPr>
      <t>万円で買い取ることを了承。そんなこととはつゆ知らず、傷が癒えた小夜子が「次の獲物を探して」と催促すると、柏木は「それより先に、片付けなあかんことがある」と、ある話を持ちかけて</t>
    </r>
    <r>
      <rPr>
        <rFont val="Arial"/>
        <sz val="10.0"/>
      </rPr>
      <t>……</t>
    </r>
    <r>
      <rPr>
        <rFont val="ＭＳ Ｐゴシック"/>
        <sz val="10.0"/>
      </rPr>
      <t>。</t>
    </r>
    <r>
      <rPr>
        <rFont val="Arial"/>
        <sz val="10.0"/>
      </rPr>
      <t xml:space="preserve">    </t>
    </r>
    <r>
      <rPr>
        <rFont val="ＭＳ Ｐゴシック"/>
        <sz val="10.0"/>
      </rPr>
      <t>はたして、小夜子と柏木、朋美と本多、遺産をめぐる壮絶な争いを制して、最後に笑うのは誰だ</t>
    </r>
    <r>
      <rPr>
        <rFont val="Arial"/>
        <sz val="10.0"/>
      </rPr>
      <t>!?</t>
    </r>
  </si>
  <si>
    <t>柏木(高橋克典)の嫌な予感が的中し、詐欺師だと見破られた舟山(中条きよし)は態度が豹変(ひょうへん)、小夜子(木村佳乃)に激しい暴力を振るう。部屋に駆けつけた柏木は、傷つけられ、恐怖で涙する小夜子を見て怒りが頂点に。すぐさま舟山に報復するが、それがあだとなり、舟山の息子で暴力団員の喜宜(松尾諭)から、後妻業をネタに脅迫されてしまう。しかし実はその裏で、柏木は博司(葉山奨之)を使って、ある工作をしていたーー。    そのころ本多(伊原剛志)は、小夜子が夫を始末するよう、柏木が裏で手を引いていた確たる証拠を手に入れる。本多は「何が何でも金を巻き上げてやる」と鼻息を荒くするが、話を聞いた朋美(木村多江)は、離婚して落ち込んでいるとき、遠回しに元気づけてくれた小夜子の顔がチラつき、素直に喜べない。数日後、本多に証拠をマスコミにばらまくと脅され、ついに観念した柏木は、情報を3,000万円で買い取ることを了承。そんなこととはつゆ知らず、傷が癒えた小夜子が「次の獲物を探して」と催促すると、柏木は「それより先に、片付けなあかんことがある」と、ある話を持ちかけて……。    はたして、小夜子と柏木、朋美と本多、遺産をめぐる壮絶な争いを制して、最後に笑うのは誰だ!?</t>
  </si>
  <si>
    <t>1901_CX_木22</t>
  </si>
  <si>
    <t>QUEEN</t>
  </si>
  <si>
    <t>番組名&lt;木曜劇場&gt;スキャンダル専門弁護士　QUEEN【最強ヒロイン誕生】　#01</t>
  </si>
  <si>
    <r>
      <rPr>
        <rFont val="ＭＳ Ｐゴシック"/>
        <sz val="10.0"/>
      </rPr>
      <t>政治家のパーティー会場にドレスアップして現れたのは氷見江</t>
    </r>
    <r>
      <rPr>
        <rFont val="Arial"/>
        <sz val="10.0"/>
      </rPr>
      <t>(</t>
    </r>
    <r>
      <rPr>
        <rFont val="ＭＳ Ｐゴシック"/>
        <sz val="10.0"/>
      </rPr>
      <t>竹内結子</t>
    </r>
    <r>
      <rPr>
        <rFont val="Arial"/>
        <sz val="10.0"/>
      </rPr>
      <t>)</t>
    </r>
    <r>
      <rPr>
        <rFont val="ＭＳ Ｐゴシック"/>
        <sz val="10.0"/>
      </rPr>
      <t>。招待客として会場にいた鈴木太郎</t>
    </r>
    <r>
      <rPr>
        <rFont val="Arial"/>
        <sz val="10.0"/>
      </rPr>
      <t>(</t>
    </r>
    <r>
      <rPr>
        <rFont val="ＭＳ Ｐゴシック"/>
        <sz val="10.0"/>
      </rPr>
      <t>バカリズム</t>
    </r>
    <r>
      <rPr>
        <rFont val="Arial"/>
        <sz val="10.0"/>
      </rPr>
      <t>)</t>
    </r>
    <r>
      <rPr>
        <rFont val="ＭＳ Ｐゴシック"/>
        <sz val="10.0"/>
      </rPr>
      <t>は、なぜ氷見が来たのかわからない。</t>
    </r>
    <r>
      <rPr>
        <rFont val="Arial"/>
        <sz val="10.0"/>
      </rPr>
      <t xml:space="preserve">  </t>
    </r>
    <r>
      <rPr>
        <rFont val="ＭＳ Ｐゴシック"/>
        <sz val="10.0"/>
      </rPr>
      <t>鈴木は大手法律事務所の副所長で、氷見は同事務所の危機管理部リーダーだ。さらに会場スタッフなどに変装した同僚の与田知恵</t>
    </r>
    <r>
      <rPr>
        <rFont val="Arial"/>
        <sz val="10.0"/>
      </rPr>
      <t>(</t>
    </r>
    <r>
      <rPr>
        <rFont val="ＭＳ Ｐゴシック"/>
        <sz val="10.0"/>
      </rPr>
      <t>水川あさみ</t>
    </r>
    <r>
      <rPr>
        <rFont val="Arial"/>
        <sz val="10.0"/>
      </rPr>
      <t>)</t>
    </r>
    <r>
      <rPr>
        <rFont val="ＭＳ Ｐゴシック"/>
        <sz val="10.0"/>
      </rPr>
      <t>、藤枝修二</t>
    </r>
    <r>
      <rPr>
        <rFont val="Arial"/>
        <sz val="10.0"/>
      </rPr>
      <t>(</t>
    </r>
    <r>
      <rPr>
        <rFont val="ＭＳ Ｐゴシック"/>
        <sz val="10.0"/>
      </rPr>
      <t>中川大志</t>
    </r>
    <r>
      <rPr>
        <rFont val="Arial"/>
        <sz val="10.0"/>
      </rPr>
      <t>)</t>
    </r>
    <r>
      <rPr>
        <rFont val="ＭＳ Ｐゴシック"/>
        <sz val="10.0"/>
      </rPr>
      <t>、事務員である真野聖子</t>
    </r>
    <r>
      <rPr>
        <rFont val="Arial"/>
        <sz val="10.0"/>
      </rPr>
      <t>(</t>
    </r>
    <r>
      <rPr>
        <rFont val="ＭＳ Ｐゴシック"/>
        <sz val="10.0"/>
      </rPr>
      <t>斉藤由貴</t>
    </r>
    <r>
      <rPr>
        <rFont val="Arial"/>
        <sz val="10.0"/>
      </rPr>
      <t>)</t>
    </r>
    <r>
      <rPr>
        <rFont val="ＭＳ Ｐゴシック"/>
        <sz val="10.0"/>
      </rPr>
      <t>も会場に紛れ込み、氷見を政治家や</t>
    </r>
    <r>
      <rPr>
        <rFont val="Arial"/>
        <sz val="10.0"/>
      </rPr>
      <t>SP</t>
    </r>
    <r>
      <rPr>
        <rFont val="ＭＳ Ｐゴシック"/>
        <sz val="10.0"/>
      </rPr>
      <t>の視界から守っている。氷見が接触したのは大物政治家、林光蔵</t>
    </r>
    <r>
      <rPr>
        <rFont val="Arial"/>
        <sz val="10.0"/>
      </rPr>
      <t>(</t>
    </r>
    <r>
      <rPr>
        <rFont val="ＭＳ Ｐゴシック"/>
        <sz val="10.0"/>
      </rPr>
      <t>山田明郷</t>
    </r>
    <r>
      <rPr>
        <rFont val="Arial"/>
        <sz val="10.0"/>
      </rPr>
      <t>)</t>
    </r>
    <r>
      <rPr>
        <rFont val="ＭＳ Ｐゴシック"/>
        <sz val="10.0"/>
      </rPr>
      <t>。氷見は林の息子がテレビ局の記者・東堂裕子</t>
    </r>
    <r>
      <rPr>
        <rFont val="Arial"/>
        <sz val="10.0"/>
      </rPr>
      <t>(</t>
    </r>
    <r>
      <rPr>
        <rFont val="ＭＳ Ｐゴシック"/>
        <sz val="10.0"/>
      </rPr>
      <t>泉里香</t>
    </r>
    <r>
      <rPr>
        <rFont val="Arial"/>
        <sz val="10.0"/>
      </rPr>
      <t>)</t>
    </r>
    <r>
      <rPr>
        <rFont val="ＭＳ Ｐゴシック"/>
        <sz val="10.0"/>
      </rPr>
      <t>に行ったセクハラを公表しない代わりにネタを要求した。</t>
    </r>
    <r>
      <rPr>
        <rFont val="Arial"/>
        <sz val="10.0"/>
      </rPr>
      <t xml:space="preserve">  </t>
    </r>
    <r>
      <rPr>
        <rFont val="ＭＳ Ｐゴシック"/>
        <sz val="10.0"/>
      </rPr>
      <t>その後、ある政治家の不正献金問題が発覚。番組で記事を読んでいるのは東堂だ。氷見が林からネタをもらい東堂に提供したのだ。事務所でテレビを見ていた氷見たちは久々の休みを取ろうとするのだが、すぐに次の案件が舞い込んで来る。</t>
    </r>
    <r>
      <rPr>
        <rFont val="Arial"/>
        <sz val="10.0"/>
      </rPr>
      <t xml:space="preserve">  </t>
    </r>
    <r>
      <rPr>
        <rFont val="ＭＳ Ｐゴシック"/>
        <sz val="10.0"/>
      </rPr>
      <t>依頼にきたのはテレビ局プロデューサー・深川章一</t>
    </r>
    <r>
      <rPr>
        <rFont val="Arial"/>
        <sz val="10.0"/>
      </rPr>
      <t>(</t>
    </r>
    <r>
      <rPr>
        <rFont val="ＭＳ Ｐゴシック"/>
        <sz val="10.0"/>
      </rPr>
      <t>宇野祥平</t>
    </r>
    <r>
      <rPr>
        <rFont val="Arial"/>
        <sz val="10.0"/>
      </rPr>
      <t>)</t>
    </r>
    <r>
      <rPr>
        <rFont val="ＭＳ Ｐゴシック"/>
        <sz val="10.0"/>
      </rPr>
      <t>。深川が担当する国民的アイドル・フォレストの冠番組で問題が起こった。番組で歌唱中にメンバーが「ふざけんなよ」と別のメンバーにつぶやき、歌がストップする事態に。これがネットニュースなどでフォレストの解散説や不仲説として流されたため、深川は番組収録でメンバーの謝罪会見を行うことにしたと言う。そこで、何かあった時のために、危機管理の専門家である氷見たちに協力を求めたのだが</t>
    </r>
    <r>
      <rPr>
        <rFont val="Arial"/>
        <sz val="10.0"/>
      </rPr>
      <t>…</t>
    </r>
    <r>
      <rPr>
        <rFont val="ＭＳ Ｐゴシック"/>
        <sz val="10.0"/>
      </rPr>
      <t>。</t>
    </r>
  </si>
  <si>
    <t>政治家のパーティー会場にドレスアップして現れたのは氷見江(竹内結子)。招待客として会場にいた鈴木太郎(バカリズム)は、なぜ氷見が来たのかわからない。  鈴木は大手法律事務所の副所長で、氷見は同事務所の危機管理部リーダーだ。さらに会場スタッフなどに変装した同僚の与田知恵(水川あさみ)、藤枝修二(中川大志)、事務員である真野聖子(斉藤由貴)も会場に紛れ込み、氷見を政治家やSPの視界から守っている。氷見が接触したのは大物政治家、林光蔵(山田明郷)。氷見は林の息子がテレビ局の記者・東堂裕子(泉里香)に行ったセクハラを公表しない代わりにネタを要求した。  その後、ある政治家の不正献金問題が発覚。番組で記事を読んでいるのは東堂だ。氷見が林からネタをもらい東堂に提供したのだ。事務所でテレビを見ていた氷見たちは久々の休みを取ろうとするのだが、すぐに次の案件が舞い込んで来る。  依頼にきたのはテレビ局プロデューサー・深川章一(宇野祥平)。深川が担当する国民的アイドル・フォレストの冠番組で問題が起こった。番組で歌唱中にメンバーが「ふざけんなよ」と別のメンバーにつぶやき、歌がストップする事態に。これがネットニュースなどでフォレストの解散説や不仲説として流されたため、深川は番組収録でメンバーの謝罪会見を行うことにしたと言う。そこで、何かあった時のために、危機管理の専門家である氷見たちに協力を求めたのだが…。</t>
  </si>
  <si>
    <t>番組名&lt;木曜劇場&gt;スキャンダル専門弁護士　QUEEN【セクハラ騒動の真実】　#02</t>
  </si>
  <si>
    <r>
      <rPr>
        <rFont val="ＭＳ Ｐゴシック"/>
        <sz val="10.0"/>
      </rPr>
      <t>リーダーの氷見江</t>
    </r>
    <r>
      <rPr>
        <rFont val="Arial"/>
        <sz val="10.0"/>
      </rPr>
      <t>(</t>
    </r>
    <r>
      <rPr>
        <rFont val="ＭＳ Ｐゴシック"/>
        <sz val="10.0"/>
      </rPr>
      <t>竹内結子</t>
    </r>
    <r>
      <rPr>
        <rFont val="Arial"/>
        <sz val="10.0"/>
      </rPr>
      <t>)</t>
    </r>
    <r>
      <rPr>
        <rFont val="ＭＳ Ｐゴシック"/>
        <sz val="10.0"/>
      </rPr>
      <t>のもとに新たな案件が持ち込まれる。やって来たのは、大手広告代理店人事部長の藤原貴美子</t>
    </r>
    <r>
      <rPr>
        <rFont val="Arial"/>
        <sz val="10.0"/>
      </rPr>
      <t>(</t>
    </r>
    <r>
      <rPr>
        <rFont val="ＭＳ Ｐゴシック"/>
        <sz val="10.0"/>
      </rPr>
      <t>国生さゆり</t>
    </r>
    <r>
      <rPr>
        <rFont val="Arial"/>
        <sz val="10.0"/>
      </rPr>
      <t>)</t>
    </r>
    <r>
      <rPr>
        <rFont val="ＭＳ Ｐゴシック"/>
        <sz val="10.0"/>
      </rPr>
      <t>とクリエイティブディレクター、谷正輝</t>
    </r>
    <r>
      <rPr>
        <rFont val="Arial"/>
        <sz val="10.0"/>
      </rPr>
      <t>(</t>
    </r>
    <r>
      <rPr>
        <rFont val="ＭＳ Ｐゴシック"/>
        <sz val="10.0"/>
      </rPr>
      <t>波岡一喜</t>
    </r>
    <r>
      <rPr>
        <rFont val="Arial"/>
        <sz val="10.0"/>
      </rPr>
      <t>)</t>
    </r>
    <r>
      <rPr>
        <rFont val="ＭＳ Ｐゴシック"/>
        <sz val="10.0"/>
      </rPr>
      <t>。谷の契約社員へのセクハラ疑惑が週刊誌『週刊文新』に掲載されたことで、代理店の仕事に支障をきたしていた。谷と貴美子は事実無根を訴えるが、すでに問題は</t>
    </r>
    <r>
      <rPr>
        <rFont val="Arial"/>
        <sz val="10.0"/>
      </rPr>
      <t>SNS</t>
    </r>
    <r>
      <rPr>
        <rFont val="ＭＳ Ｐゴシック"/>
        <sz val="10.0"/>
      </rPr>
      <t>などでも拡散され、代理店側は圧倒的に不利な状況にあった。氷見は状況把握のため代理店を調査すると告げる。</t>
    </r>
    <r>
      <rPr>
        <rFont val="Arial"/>
        <sz val="10.0"/>
      </rPr>
      <t xml:space="preserve">  </t>
    </r>
    <r>
      <rPr>
        <rFont val="ＭＳ Ｐゴシック"/>
        <sz val="10.0"/>
      </rPr>
      <t>早速、与田知恵</t>
    </r>
    <r>
      <rPr>
        <rFont val="Arial"/>
        <sz val="10.0"/>
      </rPr>
      <t>(</t>
    </r>
    <r>
      <rPr>
        <rFont val="ＭＳ Ｐゴシック"/>
        <sz val="10.0"/>
      </rPr>
      <t>水川あさみ</t>
    </r>
    <r>
      <rPr>
        <rFont val="Arial"/>
        <sz val="10.0"/>
      </rPr>
      <t>)</t>
    </r>
    <r>
      <rPr>
        <rFont val="ＭＳ Ｐゴシック"/>
        <sz val="10.0"/>
      </rPr>
      <t>と藤枝修二</t>
    </r>
    <r>
      <rPr>
        <rFont val="Arial"/>
        <sz val="10.0"/>
      </rPr>
      <t>(</t>
    </r>
    <r>
      <rPr>
        <rFont val="ＭＳ Ｐゴシック"/>
        <sz val="10.0"/>
      </rPr>
      <t>中川大志</t>
    </r>
    <r>
      <rPr>
        <rFont val="Arial"/>
        <sz val="10.0"/>
      </rPr>
      <t>)</t>
    </r>
    <r>
      <rPr>
        <rFont val="ＭＳ Ｐゴシック"/>
        <sz val="10.0"/>
      </rPr>
      <t>が代理店に赴き、社員たちに話を聞くのだが、谷のセクハラについての証言は得られない。その頃、氷見は『週刊文新』の編集部を訪ねていた。敏腕記者の東堂裕子</t>
    </r>
    <r>
      <rPr>
        <rFont val="Arial"/>
        <sz val="10.0"/>
      </rPr>
      <t>(</t>
    </r>
    <r>
      <rPr>
        <rFont val="ＭＳ Ｐゴシック"/>
        <sz val="10.0"/>
      </rPr>
      <t>泉里香</t>
    </r>
    <r>
      <rPr>
        <rFont val="Arial"/>
        <sz val="10.0"/>
      </rPr>
      <t>)</t>
    </r>
    <r>
      <rPr>
        <rFont val="ＭＳ Ｐゴシック"/>
        <sz val="10.0"/>
      </rPr>
      <t>の紹介で編集者、堀川太郎</t>
    </r>
    <r>
      <rPr>
        <rFont val="Arial"/>
        <sz val="10.0"/>
      </rPr>
      <t>(</t>
    </r>
    <r>
      <rPr>
        <rFont val="ＭＳ Ｐゴシック"/>
        <sz val="10.0"/>
      </rPr>
      <t>津村知与支</t>
    </r>
    <r>
      <rPr>
        <rFont val="Arial"/>
        <sz val="10.0"/>
      </rPr>
      <t>)</t>
    </r>
    <r>
      <rPr>
        <rFont val="ＭＳ Ｐゴシック"/>
        <sz val="10.0"/>
      </rPr>
      <t>に接触した氷見は、谷の被害者が暴露本を出版しようとしていることを知る。一方、与田は貴美子から谷の被害者の名を聞き出すことに成功する。</t>
    </r>
    <r>
      <rPr>
        <rFont val="Arial"/>
        <sz val="10.0"/>
      </rPr>
      <t xml:space="preserve">  </t>
    </r>
    <r>
      <rPr>
        <rFont val="ＭＳ Ｐゴシック"/>
        <sz val="10.0"/>
      </rPr>
      <t>氷見と与田は被害者の女性、佐藤瑠璃</t>
    </r>
    <r>
      <rPr>
        <rFont val="Arial"/>
        <sz val="10.0"/>
      </rPr>
      <t>(</t>
    </r>
    <r>
      <rPr>
        <rFont val="ＭＳ Ｐゴシック"/>
        <sz val="10.0"/>
      </rPr>
      <t>成海璃子</t>
    </r>
    <r>
      <rPr>
        <rFont val="Arial"/>
        <sz val="10.0"/>
      </rPr>
      <t>)</t>
    </r>
    <r>
      <rPr>
        <rFont val="ＭＳ Ｐゴシック"/>
        <sz val="10.0"/>
      </rPr>
      <t>に会う。氷見は金銭的な解決での出版中止を求めるが瑠璃は拒否。金の問題ではなく、谷に謝罪して欲しいと言う。氷見は瑠璃の言葉を貴美子に伝えるが</t>
    </r>
    <r>
      <rPr>
        <rFont val="Arial"/>
        <sz val="10.0"/>
      </rPr>
      <t>…</t>
    </r>
    <r>
      <rPr>
        <rFont val="ＭＳ Ｐゴシック"/>
        <sz val="10.0"/>
      </rPr>
      <t>。</t>
    </r>
  </si>
  <si>
    <t>リーダーの氷見江(竹内結子)のもとに新たな案件が持ち込まれる。やって来たのは、大手広告代理店人事部長の藤原貴美子(国生さゆり)とクリエイティブディレクター、谷正輝(波岡一喜)。谷の契約社員へのセクハラ疑惑が週刊誌『週刊文新』に掲載されたことで、代理店の仕事に支障をきたしていた。谷と貴美子は事実無根を訴えるが、すでに問題はSNSなどでも拡散され、代理店側は圧倒的に不利な状況にあった。氷見は状況把握のため代理店を調査すると告げる。  早速、与田知恵(水川あさみ)と藤枝修二(中川大志)が代理店に赴き、社員たちに話を聞くのだが、谷のセクハラについての証言は得られない。その頃、氷見は『週刊文新』の編集部を訪ねていた。敏腕記者の東堂裕子(泉里香)の紹介で編集者、堀川太郎(津村知与支)に接触した氷見は、谷の被害者が暴露本を出版しようとしていることを知る。一方、与田は貴美子から谷の被害者の名を聞き出すことに成功する。  氷見と与田は被害者の女性、佐藤瑠璃(成海璃子)に会う。氷見は金銭的な解決での出版中止を求めるが瑠璃は拒否。金の問題ではなく、谷に謝罪して欲しいと言う。氷見は瑠璃の言葉を貴美子に伝えるが…。</t>
  </si>
  <si>
    <t>番組名&lt;木曜劇場&gt;スキャンダル専門弁護士　QUEEN【メダリストが殺人!?】　#03</t>
  </si>
  <si>
    <r>
      <rPr>
        <rFont val="ＭＳ Ｐゴシック"/>
        <sz val="10.0"/>
      </rPr>
      <t>鈴木法律事務所では、次から次へと舞い込む仕事に氷見江</t>
    </r>
    <r>
      <rPr>
        <rFont val="Arial"/>
        <sz val="10.0"/>
      </rPr>
      <t>(</t>
    </r>
    <r>
      <rPr>
        <rFont val="ＭＳ Ｐゴシック"/>
        <sz val="10.0"/>
      </rPr>
      <t>竹内結子</t>
    </r>
    <r>
      <rPr>
        <rFont val="Arial"/>
        <sz val="10.0"/>
      </rPr>
      <t>)</t>
    </r>
    <r>
      <rPr>
        <rFont val="ＭＳ Ｐゴシック"/>
        <sz val="10.0"/>
      </rPr>
      <t>と与田知恵</t>
    </r>
    <r>
      <rPr>
        <rFont val="Arial"/>
        <sz val="10.0"/>
      </rPr>
      <t>(</t>
    </r>
    <r>
      <rPr>
        <rFont val="ＭＳ Ｐゴシック"/>
        <sz val="10.0"/>
      </rPr>
      <t>水川あさみ</t>
    </r>
    <r>
      <rPr>
        <rFont val="Arial"/>
        <sz val="10.0"/>
      </rPr>
      <t>)</t>
    </r>
    <r>
      <rPr>
        <rFont val="ＭＳ Ｐゴシック"/>
        <sz val="10.0"/>
      </rPr>
      <t>が、休みも取れないと愚痴っている。そんなところに、副所長の鈴木太郎</t>
    </r>
    <r>
      <rPr>
        <rFont val="Arial"/>
        <sz val="10.0"/>
      </rPr>
      <t>(</t>
    </r>
    <r>
      <rPr>
        <rFont val="ＭＳ Ｐゴシック"/>
        <sz val="10.0"/>
      </rPr>
      <t>バカリズム</t>
    </r>
    <r>
      <rPr>
        <rFont val="Arial"/>
        <sz val="10.0"/>
      </rPr>
      <t>)</t>
    </r>
    <r>
      <rPr>
        <rFont val="ＭＳ Ｐゴシック"/>
        <sz val="10.0"/>
      </rPr>
      <t>が新たなクライアントを招き入れた。マネージャの間宮智也</t>
    </r>
    <r>
      <rPr>
        <rFont val="Arial"/>
        <sz val="10.0"/>
      </rPr>
      <t>(</t>
    </r>
    <r>
      <rPr>
        <rFont val="ＭＳ Ｐゴシック"/>
        <sz val="10.0"/>
      </rPr>
      <t>片山亨</t>
    </r>
    <r>
      <rPr>
        <rFont val="Arial"/>
        <sz val="10.0"/>
      </rPr>
      <t>)</t>
    </r>
    <r>
      <rPr>
        <rFont val="ＭＳ Ｐゴシック"/>
        <sz val="10.0"/>
      </rPr>
      <t>、コーチの渡瀬美央</t>
    </r>
    <r>
      <rPr>
        <rFont val="Arial"/>
        <sz val="10.0"/>
      </rPr>
      <t>(</t>
    </r>
    <r>
      <rPr>
        <rFont val="ＭＳ Ｐゴシック"/>
        <sz val="10.0"/>
      </rPr>
      <t>村岡希美</t>
    </r>
    <r>
      <rPr>
        <rFont val="Arial"/>
        <sz val="10.0"/>
      </rPr>
      <t>)</t>
    </r>
    <r>
      <rPr>
        <rFont val="ＭＳ Ｐゴシック"/>
        <sz val="10.0"/>
      </rPr>
      <t>に伴われて現れたのは、フィギュアスケート選手の相馬紀子</t>
    </r>
    <r>
      <rPr>
        <rFont val="Arial"/>
        <sz val="10.0"/>
      </rPr>
      <t>(</t>
    </r>
    <r>
      <rPr>
        <rFont val="ＭＳ Ｐゴシック"/>
        <sz val="10.0"/>
      </rPr>
      <t>白石聖</t>
    </r>
    <r>
      <rPr>
        <rFont val="Arial"/>
        <sz val="10.0"/>
      </rPr>
      <t>)</t>
    </r>
    <r>
      <rPr>
        <rFont val="ＭＳ Ｐゴシック"/>
        <sz val="10.0"/>
      </rPr>
      <t>だった。紀子の来訪に氷見たちは仰天するも、紀子の依頼内容を聞くと、さらに仰天をすることに</t>
    </r>
    <r>
      <rPr>
        <rFont val="Arial"/>
        <sz val="10.0"/>
      </rPr>
      <t>…</t>
    </r>
    <r>
      <rPr>
        <rFont val="ＭＳ Ｐゴシック"/>
        <sz val="10.0"/>
      </rPr>
      <t>。</t>
    </r>
    <r>
      <rPr>
        <rFont val="Arial"/>
        <sz val="10.0"/>
      </rPr>
      <t xml:space="preserve">  </t>
    </r>
    <r>
      <rPr>
        <rFont val="ＭＳ Ｐゴシック"/>
        <sz val="10.0"/>
      </rPr>
      <t>世界大会で金メダルを獲得し、日本で記者会見を開いた翌日、婚約者である塚越健太</t>
    </r>
    <r>
      <rPr>
        <rFont val="Arial"/>
        <sz val="10.0"/>
      </rPr>
      <t>(</t>
    </r>
    <r>
      <rPr>
        <rFont val="ＭＳ Ｐゴシック"/>
        <sz val="10.0"/>
      </rPr>
      <t>穂満佳佑</t>
    </r>
    <r>
      <rPr>
        <rFont val="Arial"/>
        <sz val="10.0"/>
      </rPr>
      <t>)</t>
    </r>
    <r>
      <rPr>
        <rFont val="ＭＳ Ｐゴシック"/>
        <sz val="10.0"/>
      </rPr>
      <t>の家に向かった紀子。そこには、何者かに殺害された婚約者の姿が</t>
    </r>
    <r>
      <rPr>
        <rFont val="Arial"/>
        <sz val="10.0"/>
      </rPr>
      <t>…</t>
    </r>
    <r>
      <rPr>
        <rFont val="ＭＳ Ｐゴシック"/>
        <sz val="10.0"/>
      </rPr>
      <t>。第一発見者であり、凶器から指紋が検出されたため、紀子は警察から最有力な被疑者にされてしまったのだ。しかし、紀子は塚越の遺体を前に気が動転し、思わず凶器に触れてしまっただけで、殺害したのは絶対に自分ではないと氷見たちに主張。さらに、</t>
    </r>
    <r>
      <rPr>
        <rFont val="Arial"/>
        <sz val="10.0"/>
      </rPr>
      <t>2</t>
    </r>
    <r>
      <rPr>
        <rFont val="ＭＳ Ｐゴシック"/>
        <sz val="10.0"/>
      </rPr>
      <t>日後に予定している凱旋パレードが終わったら、自身が生活拠点としているアメリカにすぐに戻りたいのでなんとかして欲しい、と助けを求める。氷見、与田、藤枝修二</t>
    </r>
    <r>
      <rPr>
        <rFont val="Arial"/>
        <sz val="10.0"/>
      </rPr>
      <t>(</t>
    </r>
    <r>
      <rPr>
        <rFont val="ＭＳ Ｐゴシック"/>
        <sz val="10.0"/>
      </rPr>
      <t>中川大志</t>
    </r>
    <r>
      <rPr>
        <rFont val="Arial"/>
        <sz val="10.0"/>
      </rPr>
      <t>)</t>
    </r>
    <r>
      <rPr>
        <rFont val="ＭＳ Ｐゴシック"/>
        <sz val="10.0"/>
      </rPr>
      <t>、真野聖子</t>
    </r>
    <r>
      <rPr>
        <rFont val="Arial"/>
        <sz val="10.0"/>
      </rPr>
      <t>(</t>
    </r>
    <r>
      <rPr>
        <rFont val="ＭＳ Ｐゴシック"/>
        <sz val="10.0"/>
      </rPr>
      <t>斉藤由貴</t>
    </r>
    <r>
      <rPr>
        <rFont val="Arial"/>
        <sz val="10.0"/>
      </rPr>
      <t>)</t>
    </r>
    <r>
      <rPr>
        <rFont val="ＭＳ Ｐゴシック"/>
        <sz val="10.0"/>
      </rPr>
      <t>らは、ひとまず他に被疑者がいないか四方八方を探ることに。すると、塚越は紀子のライバルとして目下、頭角を現しているフィギュアスケート選手の青山リナ</t>
    </r>
    <r>
      <rPr>
        <rFont val="Arial"/>
        <sz val="10.0"/>
      </rPr>
      <t>(</t>
    </r>
    <r>
      <rPr>
        <rFont val="ＭＳ Ｐゴシック"/>
        <sz val="10.0"/>
      </rPr>
      <t>石田ニコル</t>
    </r>
    <r>
      <rPr>
        <rFont val="Arial"/>
        <sz val="10.0"/>
      </rPr>
      <t>)</t>
    </r>
    <r>
      <rPr>
        <rFont val="ＭＳ Ｐゴシック"/>
        <sz val="10.0"/>
      </rPr>
      <t>とも付き合っていたという事実が発覚し</t>
    </r>
    <r>
      <rPr>
        <rFont val="Arial"/>
        <sz val="10.0"/>
      </rPr>
      <t>…</t>
    </r>
    <r>
      <rPr>
        <rFont val="ＭＳ Ｐゴシック"/>
        <sz val="10.0"/>
      </rPr>
      <t>。</t>
    </r>
  </si>
  <si>
    <t>鈴木法律事務所では、次から次へと舞い込む仕事に氷見江(竹内結子)と与田知恵(水川あさみ)が、休みも取れないと愚痴っている。そんなところに、副所長の鈴木太郎(バカリズム)が新たなクライアントを招き入れた。マネージャの間宮智也(片山亨)、コーチの渡瀬美央(村岡希美)に伴われて現れたのは、フィギュアスケート選手の相馬紀子(白石聖)だった。紀子の来訪に氷見たちは仰天するも、紀子の依頼内容を聞くと、さらに仰天をすることに…。  世界大会で金メダルを獲得し、日本で記者会見を開いた翌日、婚約者である塚越健太(穂満佳佑)の家に向かった紀子。そこには、何者かに殺害された婚約者の姿が…。第一発見者であり、凶器から指紋が検出されたため、紀子は警察から最有力な被疑者にされてしまったのだ。しかし、紀子は塚越の遺体を前に気が動転し、思わず凶器に触れてしまっただけで、殺害したのは絶対に自分ではないと氷見たちに主張。さらに、2日後に予定している凱旋パレードが終わったら、自身が生活拠点としているアメリカにすぐに戻りたいのでなんとかして欲しい、と助けを求める。氷見、与田、藤枝修二(中川大志)、真野聖子(斉藤由貴)らは、ひとまず他に被疑者がいないか四方八方を探ることに。すると、塚越は紀子のライバルとして目下、頭角を現しているフィギュアスケート選手の青山リナ(石田ニコル)とも付き合っていたという事実が発覚し…。</t>
  </si>
  <si>
    <t>番組名&lt;木曜劇場&gt;スキャンダル専門弁護士　QUEEN【ママ友いじめを解決】　#04</t>
  </si>
  <si>
    <r>
      <rPr>
        <rFont val="ＭＳ Ｐゴシック"/>
        <sz val="10.0"/>
      </rPr>
      <t>鈴木法律事務所で氷見江</t>
    </r>
    <r>
      <rPr>
        <rFont val="Arial"/>
        <sz val="10.0"/>
      </rPr>
      <t>(</t>
    </r>
    <r>
      <rPr>
        <rFont val="ＭＳ Ｐゴシック"/>
        <sz val="10.0"/>
      </rPr>
      <t>竹内結子</t>
    </r>
    <r>
      <rPr>
        <rFont val="Arial"/>
        <sz val="10.0"/>
      </rPr>
      <t>)</t>
    </r>
    <r>
      <rPr>
        <rFont val="ＭＳ Ｐゴシック"/>
        <sz val="10.0"/>
      </rPr>
      <t>がテレビ番組をザッピングしていると、子連れで議会に参加し、待機児童問題を訴える土方朝子議員</t>
    </r>
    <r>
      <rPr>
        <rFont val="Arial"/>
        <sz val="10.0"/>
      </rPr>
      <t>(</t>
    </r>
    <r>
      <rPr>
        <rFont val="ＭＳ Ｐゴシック"/>
        <sz val="10.0"/>
      </rPr>
      <t>江藤あや</t>
    </r>
    <r>
      <rPr>
        <rFont val="Arial"/>
        <sz val="10.0"/>
      </rPr>
      <t>)</t>
    </r>
    <r>
      <rPr>
        <rFont val="ＭＳ Ｐゴシック"/>
        <sz val="10.0"/>
      </rPr>
      <t>が映る。泣きわめく子供をなだめながら訴える姿に、与田知恵</t>
    </r>
    <r>
      <rPr>
        <rFont val="Arial"/>
        <sz val="10.0"/>
      </rPr>
      <t>(</t>
    </r>
    <r>
      <rPr>
        <rFont val="ＭＳ Ｐゴシック"/>
        <sz val="10.0"/>
      </rPr>
      <t>水川あさみ</t>
    </r>
    <r>
      <rPr>
        <rFont val="Arial"/>
        <sz val="10.0"/>
      </rPr>
      <t>)</t>
    </r>
    <r>
      <rPr>
        <rFont val="ＭＳ Ｐゴシック"/>
        <sz val="10.0"/>
      </rPr>
      <t>や藤枝修二</t>
    </r>
    <r>
      <rPr>
        <rFont val="Arial"/>
        <sz val="10.0"/>
      </rPr>
      <t>(</t>
    </r>
    <r>
      <rPr>
        <rFont val="ＭＳ Ｐゴシック"/>
        <sz val="10.0"/>
      </rPr>
      <t>中川大志</t>
    </r>
    <r>
      <rPr>
        <rFont val="Arial"/>
        <sz val="10.0"/>
      </rPr>
      <t>)</t>
    </r>
    <r>
      <rPr>
        <rFont val="ＭＳ Ｐゴシック"/>
        <sz val="10.0"/>
      </rPr>
      <t>は、母親たちは大変だと同情気味。すると、真野聖子</t>
    </r>
    <r>
      <rPr>
        <rFont val="Arial"/>
        <sz val="10.0"/>
      </rPr>
      <t>(</t>
    </r>
    <r>
      <rPr>
        <rFont val="ＭＳ Ｐゴシック"/>
        <sz val="10.0"/>
      </rPr>
      <t>斉藤由貴</t>
    </r>
    <r>
      <rPr>
        <rFont val="Arial"/>
        <sz val="10.0"/>
      </rPr>
      <t>)</t>
    </r>
    <r>
      <rPr>
        <rFont val="ＭＳ Ｐゴシック"/>
        <sz val="10.0"/>
      </rPr>
      <t>も自分の子供が停学の瀬戸際だと言い出す。危機管理部として真野の息子が停学から免れる方法を探ろうとした時、鈴木太郎</t>
    </r>
    <r>
      <rPr>
        <rFont val="Arial"/>
        <sz val="10.0"/>
      </rPr>
      <t>(</t>
    </r>
    <r>
      <rPr>
        <rFont val="ＭＳ Ｐゴシック"/>
        <sz val="10.0"/>
      </rPr>
      <t>バカリズム</t>
    </r>
    <r>
      <rPr>
        <rFont val="Arial"/>
        <sz val="10.0"/>
      </rPr>
      <t>)</t>
    </r>
    <r>
      <rPr>
        <rFont val="ＭＳ Ｐゴシック"/>
        <sz val="10.0"/>
      </rPr>
      <t>が新たな依頼を持ち込んできた。大手ゼネコン次期社長候補、佐久間からの依頼と聞いた一同は意気込むが、内容はご近所トラブルというもので</t>
    </r>
    <r>
      <rPr>
        <rFont val="Arial"/>
        <sz val="10.0"/>
      </rPr>
      <t>…</t>
    </r>
    <r>
      <rPr>
        <rFont val="ＭＳ Ｐゴシック"/>
        <sz val="10.0"/>
      </rPr>
      <t>。</t>
    </r>
    <r>
      <rPr>
        <rFont val="Arial"/>
        <sz val="10.0"/>
      </rPr>
      <t xml:space="preserve">  </t>
    </r>
    <r>
      <rPr>
        <rFont val="ＭＳ Ｐゴシック"/>
        <sz val="10.0"/>
      </rPr>
      <t>タワーマンションで妻の佐久間京子</t>
    </r>
    <r>
      <rPr>
        <rFont val="Arial"/>
        <sz val="10.0"/>
      </rPr>
      <t>(</t>
    </r>
    <r>
      <rPr>
        <rFont val="ＭＳ Ｐゴシック"/>
        <sz val="10.0"/>
      </rPr>
      <t>原田佳奈</t>
    </r>
    <r>
      <rPr>
        <rFont val="Arial"/>
        <sz val="10.0"/>
      </rPr>
      <t>)</t>
    </r>
    <r>
      <rPr>
        <rFont val="ＭＳ Ｐゴシック"/>
        <sz val="10.0"/>
      </rPr>
      <t>と息子の怜</t>
    </r>
    <r>
      <rPr>
        <rFont val="Arial"/>
        <sz val="10.0"/>
      </rPr>
      <t>(</t>
    </r>
    <r>
      <rPr>
        <rFont val="ＭＳ Ｐゴシック"/>
        <sz val="10.0"/>
      </rPr>
      <t>南出凌嘉</t>
    </r>
    <r>
      <rPr>
        <rFont val="Arial"/>
        <sz val="10.0"/>
      </rPr>
      <t>)</t>
    </r>
    <r>
      <rPr>
        <rFont val="ＭＳ Ｐゴシック"/>
        <sz val="10.0"/>
      </rPr>
      <t>とともに暮らしている佐久間家は、玄関前にゴミがばら撒かれたり、誹謗中傷のビラを貼られたりしていた。氷見と与田は京子の知人を装いマンションに潜入。さらに藤枝はベビーシッターを装い、マンションの子どもたちに接近。そこで分かったのは、佐久間家に嫌がらせを働いているのはマンション内の人間の可能性が高いこと、そしてそびえ立つタワーマンションの底にドロドロとした人間関係が渦巻いていること。そんな現状を、与田や藤枝が整理していると、京子が何者かに歩道橋から突き落とされたという急報が。一方、氷見はフリーランスの敏腕記者で、氷見の過去を詮索している茂呂裕也</t>
    </r>
    <r>
      <rPr>
        <rFont val="Arial"/>
        <sz val="10.0"/>
      </rPr>
      <t>(</t>
    </r>
    <r>
      <rPr>
        <rFont val="ＭＳ Ｐゴシック"/>
        <sz val="10.0"/>
      </rPr>
      <t>佐野岳</t>
    </r>
    <r>
      <rPr>
        <rFont val="Arial"/>
        <sz val="10.0"/>
      </rPr>
      <t>)</t>
    </r>
    <r>
      <rPr>
        <rFont val="ＭＳ Ｐゴシック"/>
        <sz val="10.0"/>
      </rPr>
      <t>となぜかホテルの一室にいて</t>
    </r>
    <r>
      <rPr>
        <rFont val="Arial"/>
        <sz val="10.0"/>
      </rPr>
      <t>…</t>
    </r>
    <r>
      <rPr>
        <rFont val="ＭＳ Ｐゴシック"/>
        <sz val="10.0"/>
      </rPr>
      <t>。</t>
    </r>
  </si>
  <si>
    <t>鈴木法律事務所で氷見江(竹内結子)がテレビ番組をザッピングしていると、子連れで議会に参加し、待機児童問題を訴える土方朝子議員(江藤あや)が映る。泣きわめく子供をなだめながら訴える姿に、与田知恵(水川あさみ)や藤枝修二(中川大志)は、母親たちは大変だと同情気味。すると、真野聖子(斉藤由貴)も自分の子供が停学の瀬戸際だと言い出す。危機管理部として真野の息子が停学から免れる方法を探ろうとした時、鈴木太郎(バカリズム)が新たな依頼を持ち込んできた。大手ゼネコン次期社長候補、佐久間からの依頼と聞いた一同は意気込むが、内容はご近所トラブルというもので…。  タワーマンションで妻の佐久間京子(原田佳奈)と息子の怜(南出凌嘉)とともに暮らしている佐久間家は、玄関前にゴミがばら撒かれたり、誹謗中傷のビラを貼られたりしていた。氷見と与田は京子の知人を装いマンションに潜入。さらに藤枝はベビーシッターを装い、マンションの子どもたちに接近。そこで分かったのは、佐久間家に嫌がらせを働いているのはマンション内の人間の可能性が高いこと、そしてそびえ立つタワーマンションの底にドロドロとした人間関係が渦巻いていること。そんな現状を、与田や藤枝が整理していると、京子が何者かに歩道橋から突き落とされたという急報が。一方、氷見はフリーランスの敏腕記者で、氷見の過去を詮索している茂呂裕也(佐野岳)となぜかホテルの一室にいて…。</t>
  </si>
  <si>
    <t>番組名&lt;木曜劇場&gt;スキャンダル専門弁護士　QUEEN【ドロ沼離婚劇の結末】　#05</t>
  </si>
  <si>
    <r>
      <rPr>
        <rFont val="ＭＳ Ｐゴシック"/>
        <sz val="10.0"/>
      </rPr>
      <t>鈴木法律事務所、危機管理部の氷見江</t>
    </r>
    <r>
      <rPr>
        <rFont val="Arial"/>
        <sz val="10.0"/>
      </rPr>
      <t>(</t>
    </r>
    <r>
      <rPr>
        <rFont val="ＭＳ Ｐゴシック"/>
        <sz val="10.0"/>
      </rPr>
      <t>竹内結子</t>
    </r>
    <r>
      <rPr>
        <rFont val="Arial"/>
        <sz val="10.0"/>
      </rPr>
      <t>)</t>
    </r>
    <r>
      <rPr>
        <rFont val="ＭＳ Ｐゴシック"/>
        <sz val="10.0"/>
      </rPr>
      <t>たちを訪ねてきたのは経済評論家であり、鬼嫁コメンテーターとして活躍している木村よう子</t>
    </r>
    <r>
      <rPr>
        <rFont val="Arial"/>
        <sz val="10.0"/>
      </rPr>
      <t>(</t>
    </r>
    <r>
      <rPr>
        <rFont val="ＭＳ Ｐゴシック"/>
        <sz val="10.0"/>
      </rPr>
      <t>遠野なぎこ</t>
    </r>
    <r>
      <rPr>
        <rFont val="Arial"/>
        <sz val="10.0"/>
      </rPr>
      <t>)</t>
    </r>
    <r>
      <rPr>
        <rFont val="ＭＳ Ｐゴシック"/>
        <sz val="10.0"/>
      </rPr>
      <t>。依頼内容は、離婚をしたいのだが夫が拒否をしており、夫を離婚に応じさせて欲しいというもの。よう子の夫は、以前は司会として</t>
    </r>
    <r>
      <rPr>
        <rFont val="Arial"/>
        <sz val="10.0"/>
      </rPr>
      <t>TV</t>
    </r>
    <r>
      <rPr>
        <rFont val="ＭＳ Ｐゴシック"/>
        <sz val="10.0"/>
      </rPr>
      <t>で引っ張りだこであったものの、今はめっきり仕事がない落ち目のタレント・中山昌平</t>
    </r>
    <r>
      <rPr>
        <rFont val="Arial"/>
        <sz val="10.0"/>
      </rPr>
      <t>(</t>
    </r>
    <r>
      <rPr>
        <rFont val="ＭＳ Ｐゴシック"/>
        <sz val="10.0"/>
      </rPr>
      <t>デビット伊東</t>
    </r>
    <r>
      <rPr>
        <rFont val="Arial"/>
        <sz val="10.0"/>
      </rPr>
      <t>)</t>
    </r>
    <r>
      <rPr>
        <rFont val="ＭＳ Ｐゴシック"/>
        <sz val="10.0"/>
      </rPr>
      <t>だ。オシドリ夫婦ともっぱら評判の</t>
    </r>
    <r>
      <rPr>
        <rFont val="Arial"/>
        <sz val="10.0"/>
      </rPr>
      <t>2</t>
    </r>
    <r>
      <rPr>
        <rFont val="ＭＳ Ｐゴシック"/>
        <sz val="10.0"/>
      </rPr>
      <t>人であるため、意外に思う氷見や与田知恵</t>
    </r>
    <r>
      <rPr>
        <rFont val="Arial"/>
        <sz val="10.0"/>
      </rPr>
      <t>(</t>
    </r>
    <r>
      <rPr>
        <rFont val="ＭＳ Ｐゴシック"/>
        <sz val="10.0"/>
      </rPr>
      <t>水川あさみ</t>
    </r>
    <r>
      <rPr>
        <rFont val="Arial"/>
        <sz val="10.0"/>
      </rPr>
      <t>)</t>
    </r>
    <r>
      <rPr>
        <rFont val="ＭＳ Ｐゴシック"/>
        <sz val="10.0"/>
      </rPr>
      <t>は離婚専門の弁護士に回そうとするが、よう子は体のアザを見せ、夫から</t>
    </r>
    <r>
      <rPr>
        <rFont val="Arial"/>
        <sz val="10.0"/>
      </rPr>
      <t>DV</t>
    </r>
    <r>
      <rPr>
        <rFont val="ＭＳ Ｐゴシック"/>
        <sz val="10.0"/>
      </rPr>
      <t>を受けていると告白。そこに副所長の鈴木太郎</t>
    </r>
    <r>
      <rPr>
        <rFont val="Arial"/>
        <sz val="10.0"/>
      </rPr>
      <t>(</t>
    </r>
    <r>
      <rPr>
        <rFont val="ＭＳ Ｐゴシック"/>
        <sz val="10.0"/>
      </rPr>
      <t>バカリズム</t>
    </r>
    <r>
      <rPr>
        <rFont val="Arial"/>
        <sz val="10.0"/>
      </rPr>
      <t>)</t>
    </r>
    <r>
      <rPr>
        <rFont val="ＭＳ Ｐゴシック"/>
        <sz val="10.0"/>
      </rPr>
      <t>が来て、危機管理部で扱うと引き受けてしまった。</t>
    </r>
    <r>
      <rPr>
        <rFont val="Arial"/>
        <sz val="10.0"/>
      </rPr>
      <t xml:space="preserve">  </t>
    </r>
    <r>
      <rPr>
        <rFont val="ＭＳ Ｐゴシック"/>
        <sz val="10.0"/>
      </rPr>
      <t>早速、氷見たちは週刊文新の記者・東堂裕子</t>
    </r>
    <r>
      <rPr>
        <rFont val="Arial"/>
        <sz val="10.0"/>
      </rPr>
      <t>(</t>
    </r>
    <r>
      <rPr>
        <rFont val="ＭＳ Ｐゴシック"/>
        <sz val="10.0"/>
      </rPr>
      <t>泉里香</t>
    </r>
    <r>
      <rPr>
        <rFont val="Arial"/>
        <sz val="10.0"/>
      </rPr>
      <t>)</t>
    </r>
    <r>
      <rPr>
        <rFont val="ＭＳ Ｐゴシック"/>
        <sz val="10.0"/>
      </rPr>
      <t>に接触し、中山の</t>
    </r>
    <r>
      <rPr>
        <rFont val="Arial"/>
        <sz val="10.0"/>
      </rPr>
      <t>DV</t>
    </r>
    <r>
      <rPr>
        <rFont val="ＭＳ Ｐゴシック"/>
        <sz val="10.0"/>
      </rPr>
      <t>疑惑をリークする。氷見たちの狙い通り、文新の記事により世間から大バッシングを受ける中山。すぐに中山も離婚に応じるだろうとタカをくくっていると、中山が生配信で釈明をおこなうことに。中山はそこで、</t>
    </r>
    <r>
      <rPr>
        <rFont val="Arial"/>
        <sz val="10.0"/>
      </rPr>
      <t>DV</t>
    </r>
    <r>
      <rPr>
        <rFont val="ＭＳ Ｐゴシック"/>
        <sz val="10.0"/>
      </rPr>
      <t>が事実無根であること、また自分は妻を愛しており離婚をする気は微塵</t>
    </r>
    <r>
      <rPr>
        <rFont val="Arial"/>
        <sz val="10.0"/>
      </rPr>
      <t>(</t>
    </r>
    <r>
      <rPr>
        <rFont val="ＭＳ Ｐゴシック"/>
        <sz val="10.0"/>
      </rPr>
      <t>みじん</t>
    </r>
    <r>
      <rPr>
        <rFont val="Arial"/>
        <sz val="10.0"/>
      </rPr>
      <t>)</t>
    </r>
    <r>
      <rPr>
        <rFont val="ＭＳ Ｐゴシック"/>
        <sz val="10.0"/>
      </rPr>
      <t>もないことを表明する。逆に大慌てになる氷見たちは、すぐによう子に会い、中山の言っていることは本当なのかうそなのか問いただすも、よう子はとにかく「離婚したい」の一点張り。よう子は何かを隠している、と氷見たちは感じ</t>
    </r>
    <r>
      <rPr>
        <rFont val="Arial"/>
        <sz val="10.0"/>
      </rPr>
      <t>…</t>
    </r>
    <r>
      <rPr>
        <rFont val="ＭＳ Ｐゴシック"/>
        <sz val="10.0"/>
      </rPr>
      <t>。</t>
    </r>
  </si>
  <si>
    <t>鈴木法律事務所、危機管理部の氷見江(竹内結子)たちを訪ねてきたのは経済評論家であり、鬼嫁コメンテーターとして活躍している木村よう子(遠野なぎこ)。依頼内容は、離婚をしたいのだが夫が拒否をしており、夫を離婚に応じさせて欲しいというもの。よう子の夫は、以前は司会としてTVで引っ張りだこであったものの、今はめっきり仕事がない落ち目のタレント・中山昌平(デビット伊東)だ。オシドリ夫婦ともっぱら評判の2人であるため、意外に思う氷見や与田知恵(水川あさみ)は離婚専門の弁護士に回そうとするが、よう子は体のアザを見せ、夫からDVを受けていると告白。そこに副所長の鈴木太郎(バカリズム)が来て、危機管理部で扱うと引き受けてしまった。  早速、氷見たちは週刊文新の記者・東堂裕子(泉里香)に接触し、中山のDV疑惑をリークする。氷見たちの狙い通り、文新の記事により世間から大バッシングを受ける中山。すぐに中山も離婚に応じるだろうとタカをくくっていると、中山が生配信で釈明をおこなうことに。中山はそこで、DVが事実無根であること、また自分は妻を愛しており離婚をする気は微塵(みじん)もないことを表明する。逆に大慌てになる氷見たちは、すぐによう子に会い、中山の言っていることは本当なのかうそなのか問いただすも、よう子はとにかく「離婚したい」の一点張り。よう子は何かを隠している、と氷見たちは感じ…。</t>
  </si>
  <si>
    <t>番組名&lt;木曜劇場&gt;スキャンダル専門弁護士　QUEEN【天才作家の資産争い】　#06</t>
  </si>
  <si>
    <r>
      <rPr>
        <rFont val="ＭＳ Ｐゴシック"/>
        <sz val="10.0"/>
      </rPr>
      <t xml:space="preserve">　鈴木法律事務所に新たに持ち込まれた危機管理の仕事は、大物小説家のパワハラ疑惑。氷見江</t>
    </r>
    <r>
      <rPr>
        <rFont val="Arial"/>
        <sz val="10.0"/>
      </rPr>
      <t>(</t>
    </r>
    <r>
      <rPr>
        <rFont val="ＭＳ Ｐゴシック"/>
        <sz val="10.0"/>
      </rPr>
      <t>竹内結子</t>
    </r>
    <r>
      <rPr>
        <rFont val="Arial"/>
        <sz val="10.0"/>
      </rPr>
      <t>)</t>
    </r>
    <r>
      <rPr>
        <rFont val="ＭＳ Ｐゴシック"/>
        <sz val="10.0"/>
      </rPr>
      <t>、与田知恵</t>
    </r>
    <r>
      <rPr>
        <rFont val="Arial"/>
        <sz val="10.0"/>
      </rPr>
      <t>(</t>
    </r>
    <r>
      <rPr>
        <rFont val="ＭＳ Ｐゴシック"/>
        <sz val="10.0"/>
      </rPr>
      <t>水川あさみ</t>
    </r>
    <r>
      <rPr>
        <rFont val="Arial"/>
        <sz val="10.0"/>
      </rPr>
      <t>)</t>
    </r>
    <r>
      <rPr>
        <rFont val="ＭＳ Ｐゴシック"/>
        <sz val="10.0"/>
      </rPr>
      <t>と鈴木太郎</t>
    </r>
    <r>
      <rPr>
        <rFont val="Arial"/>
        <sz val="10.0"/>
      </rPr>
      <t>(</t>
    </r>
    <r>
      <rPr>
        <rFont val="ＭＳ Ｐゴシック"/>
        <sz val="10.0"/>
      </rPr>
      <t>バカリズム</t>
    </r>
    <r>
      <rPr>
        <rFont val="Arial"/>
        <sz val="10.0"/>
      </rPr>
      <t>)</t>
    </r>
    <r>
      <rPr>
        <rFont val="ＭＳ Ｐゴシック"/>
        <sz val="10.0"/>
      </rPr>
      <t>は、依頼主である浮田千代子</t>
    </r>
    <r>
      <rPr>
        <rFont val="Arial"/>
        <sz val="10.0"/>
      </rPr>
      <t>(</t>
    </r>
    <r>
      <rPr>
        <rFont val="ＭＳ Ｐゴシック"/>
        <sz val="10.0"/>
      </rPr>
      <t>真野響子</t>
    </r>
    <r>
      <rPr>
        <rFont val="Arial"/>
        <sz val="10.0"/>
      </rPr>
      <t>)</t>
    </r>
    <r>
      <rPr>
        <rFont val="ＭＳ Ｐゴシック"/>
        <sz val="10.0"/>
      </rPr>
      <t>に会いに行く。</t>
    </r>
    <r>
      <rPr>
        <rFont val="Arial"/>
        <sz val="10.0"/>
      </rPr>
      <t xml:space="preserve">  </t>
    </r>
    <r>
      <rPr>
        <rFont val="ＭＳ Ｐゴシック"/>
        <sz val="10.0"/>
      </rPr>
      <t xml:space="preserve">　氷見たちを迎えたのは千代子の秘書、若月礼二</t>
    </r>
    <r>
      <rPr>
        <rFont val="Arial"/>
        <sz val="10.0"/>
      </rPr>
      <t>(</t>
    </r>
    <r>
      <rPr>
        <rFont val="ＭＳ Ｐゴシック"/>
        <sz val="10.0"/>
      </rPr>
      <t>杉野遥亮</t>
    </r>
    <r>
      <rPr>
        <rFont val="Arial"/>
        <sz val="10.0"/>
      </rPr>
      <t>)</t>
    </r>
    <r>
      <rPr>
        <rFont val="ＭＳ Ｐゴシック"/>
        <sz val="10.0"/>
      </rPr>
      <t>。礼二以外の秘書たちはパワハラを訴えて辞めてしまっていた。礼二は千代子が秘書たちに厳しく当たるようになったのはここ最近で、本当は週刊誌で糾弾されるような人物ではなく、優しく穏やかな人だと擁護。そして千代子と対面する氷見たち。千代子はちゅうちょなく、あっさりと週刊誌の記事は事実だと認め、その上で、ベストセラー作家のスキャンダルということで盛り上がる蜂の巣をつついたような周囲の騒ぎをおさめて欲しいと氷見たちに要請をする。真っ白な衣装に身を包み、終始、豪放磊落</t>
    </r>
    <r>
      <rPr>
        <rFont val="Arial"/>
        <sz val="10.0"/>
      </rPr>
      <t>(</t>
    </r>
    <r>
      <rPr>
        <rFont val="ＭＳ Ｐゴシック"/>
        <sz val="10.0"/>
      </rPr>
      <t>らいらく</t>
    </r>
    <r>
      <rPr>
        <rFont val="Arial"/>
        <sz val="10.0"/>
      </rPr>
      <t>)</t>
    </r>
    <r>
      <rPr>
        <rFont val="ＭＳ Ｐゴシック"/>
        <sz val="10.0"/>
      </rPr>
      <t>な千代子は、礼二の給仕で氷見たちと食事をしながら、礼二の中に秘められた小説家としての可能性を認め、もしも自分が亡くなったら遺産は礼二のような若い才能に使いたいと、氷見たちにこぼす。</t>
    </r>
    <r>
      <rPr>
        <rFont val="Arial"/>
        <sz val="10.0"/>
      </rPr>
      <t xml:space="preserve">  </t>
    </r>
    <r>
      <rPr>
        <rFont val="ＭＳ Ｐゴシック"/>
        <sz val="10.0"/>
      </rPr>
      <t xml:space="preserve">　氷見たちは、過去の仕事で縁ができたミナトテレビの部長を訪ね、礼二にフォーカスをあてた番組を提案。放送後、世論は見事に</t>
    </r>
    <r>
      <rPr>
        <rFont val="Arial"/>
        <sz val="10.0"/>
      </rPr>
      <t>“</t>
    </r>
    <r>
      <rPr>
        <rFont val="ＭＳ Ｐゴシック"/>
        <sz val="10.0"/>
      </rPr>
      <t>スピン</t>
    </r>
    <r>
      <rPr>
        <rFont val="Arial"/>
        <sz val="10.0"/>
      </rPr>
      <t>"</t>
    </r>
    <r>
      <rPr>
        <rFont val="ＭＳ Ｐゴシック"/>
        <sz val="10.0"/>
      </rPr>
      <t>され、騒動は収束しそうな気配を見せる中、礼二が不穏な動きをしていることを氷見が察知し</t>
    </r>
    <r>
      <rPr>
        <rFont val="Arial"/>
        <sz val="10.0"/>
      </rPr>
      <t>…</t>
    </r>
    <r>
      <rPr>
        <rFont val="ＭＳ Ｐゴシック"/>
        <sz val="10.0"/>
      </rPr>
      <t>。</t>
    </r>
  </si>
  <si>
    <t xml:space="preserve">　鈴木法律事務所に新たに持ち込まれた危機管理の仕事は、大物小説家のパワハラ疑惑。氷見江(竹内結子)、与田知恵(水川あさみ)と鈴木太郎(バカリズム)は、依頼主である浮田千代子(真野響子)に会いに行く。  　氷見たちを迎えたのは千代子の秘書、若月礼二(杉野遥亮)。礼二以外の秘書たちはパワハラを訴えて辞めてしまっていた。礼二は千代子が秘書たちに厳しく当たるようになったのはここ最近で、本当は週刊誌で糾弾されるような人物ではなく、優しく穏やかな人だと擁護。そして千代子と対面する氷見たち。千代子はちゅうちょなく、あっさりと週刊誌の記事は事実だと認め、その上で、ベストセラー作家のスキャンダルということで盛り上がる蜂の巣をつついたような周囲の騒ぎをおさめて欲しいと氷見たちに要請をする。真っ白な衣装に身を包み、終始、豪放磊落(らいらく)な千代子は、礼二の給仕で氷見たちと食事をしながら、礼二の中に秘められた小説家としての可能性を認め、もしも自分が亡くなったら遺産は礼二のような若い才能に使いたいと、氷見たちにこぼす。  　氷見たちは、過去の仕事で縁ができたミナトテレビの部長を訪ね、礼二にフォーカスをあてた番組を提案。放送後、世論は見事に“スピン"され、騒動は収束しそうな気配を見せる中、礼二が不穏な動きをしていることを氷見が察知し…。</t>
  </si>
  <si>
    <t>番組名&lt;木曜劇場&gt;スキャンダル専門弁護士　QUEEN【マタハラ騒動を救え】　#07</t>
  </si>
  <si>
    <r>
      <rPr>
        <rFont val="ＭＳ Ｐゴシック"/>
        <sz val="10.0"/>
      </rPr>
      <t>氷見江</t>
    </r>
    <r>
      <rPr>
        <rFont val="Arial"/>
        <sz val="10.0"/>
      </rPr>
      <t>(</t>
    </r>
    <r>
      <rPr>
        <rFont val="ＭＳ Ｐゴシック"/>
        <sz val="10.0"/>
      </rPr>
      <t>竹内結子</t>
    </r>
    <r>
      <rPr>
        <rFont val="Arial"/>
        <sz val="10.0"/>
      </rPr>
      <t>)</t>
    </r>
    <r>
      <rPr>
        <rFont val="ＭＳ Ｐゴシック"/>
        <sz val="10.0"/>
      </rPr>
      <t>と与田知恵</t>
    </r>
    <r>
      <rPr>
        <rFont val="Arial"/>
        <sz val="10.0"/>
      </rPr>
      <t>(</t>
    </r>
    <r>
      <rPr>
        <rFont val="ＭＳ Ｐゴシック"/>
        <sz val="10.0"/>
      </rPr>
      <t>水川あさみ</t>
    </r>
    <r>
      <rPr>
        <rFont val="Arial"/>
        <sz val="10.0"/>
      </rPr>
      <t>)</t>
    </r>
    <r>
      <rPr>
        <rFont val="ＭＳ Ｐゴシック"/>
        <sz val="10.0"/>
      </rPr>
      <t>、鈴木太郎</t>
    </r>
    <r>
      <rPr>
        <rFont val="Arial"/>
        <sz val="10.0"/>
      </rPr>
      <t>(</t>
    </r>
    <r>
      <rPr>
        <rFont val="ＭＳ Ｐゴシック"/>
        <sz val="10.0"/>
      </rPr>
      <t>バカリズム</t>
    </r>
    <r>
      <rPr>
        <rFont val="Arial"/>
        <sz val="10.0"/>
      </rPr>
      <t>)</t>
    </r>
    <r>
      <rPr>
        <rFont val="ＭＳ Ｐゴシック"/>
        <sz val="10.0"/>
      </rPr>
      <t>たちは事務所でワイドショーを見ている。話題に上がっているのは、スマートフォン決済サービス『ペイグッド』のクレジットカード不正利用に関して。顧客のカードが第三者に使用されていたのだ。その報道を聞き呆然とする藤枝修二</t>
    </r>
    <r>
      <rPr>
        <rFont val="Arial"/>
        <sz val="10.0"/>
      </rPr>
      <t>(</t>
    </r>
    <r>
      <rPr>
        <rFont val="ＭＳ Ｐゴシック"/>
        <sz val="10.0"/>
      </rPr>
      <t>中川大志</t>
    </r>
    <r>
      <rPr>
        <rFont val="Arial"/>
        <sz val="10.0"/>
      </rPr>
      <t>)</t>
    </r>
    <r>
      <rPr>
        <rFont val="ＭＳ Ｐゴシック"/>
        <sz val="10.0"/>
      </rPr>
      <t>。どうやら藤枝も被害に遭った様子。ネットを見ていた真野聖子</t>
    </r>
    <r>
      <rPr>
        <rFont val="Arial"/>
        <sz val="10.0"/>
      </rPr>
      <t>(</t>
    </r>
    <r>
      <rPr>
        <rFont val="ＭＳ Ｐゴシック"/>
        <sz val="10.0"/>
      </rPr>
      <t>斉藤由貴</t>
    </r>
    <r>
      <rPr>
        <rFont val="Arial"/>
        <sz val="10.0"/>
      </rPr>
      <t>)</t>
    </r>
    <r>
      <rPr>
        <rFont val="ＭＳ Ｐゴシック"/>
        <sz val="10.0"/>
      </rPr>
      <t>は『ペイグッド』のシステムエンジニア、芦原江梨子</t>
    </r>
    <r>
      <rPr>
        <rFont val="Arial"/>
        <sz val="10.0"/>
      </rPr>
      <t>(</t>
    </r>
    <r>
      <rPr>
        <rFont val="ＭＳ Ｐゴシック"/>
        <sz val="10.0"/>
      </rPr>
      <t>西山繭子</t>
    </r>
    <r>
      <rPr>
        <rFont val="Arial"/>
        <sz val="10.0"/>
      </rPr>
      <t>)</t>
    </r>
    <r>
      <rPr>
        <rFont val="ＭＳ Ｐゴシック"/>
        <sz val="10.0"/>
      </rPr>
      <t>のセキュリティー対策が甘かったと特定されている、と教える。江梨子は与田の大学生時代の先輩だった。</t>
    </r>
    <r>
      <rPr>
        <rFont val="Arial"/>
        <sz val="10.0"/>
      </rPr>
      <t xml:space="preserve">  </t>
    </r>
    <r>
      <rPr>
        <rFont val="ＭＳ Ｐゴシック"/>
        <sz val="10.0"/>
      </rPr>
      <t>与田から連絡を受けた江梨子が事務所に来た。江梨子は『ペイグッド』のシステム開発チームの責任者で、今回のトラブルに関して責任があることは認める。だが、同社のサービスが始まったのは江梨子が育休に入ってからだった。もちろん責任は認めつつ、ただ、休んでいる間に問題が発生したのにも関わらず、自分がやり玉に挙げられ、名前や顔までもネットに晒されていることに江梨子は悩んでいた。</t>
    </r>
    <r>
      <rPr>
        <rFont val="Arial"/>
        <sz val="10.0"/>
      </rPr>
      <t xml:space="preserve">  </t>
    </r>
    <r>
      <rPr>
        <rFont val="ＭＳ Ｐゴシック"/>
        <sz val="10.0"/>
      </rPr>
      <t>『ペイグッド』社の社長、工藤海斗</t>
    </r>
    <r>
      <rPr>
        <rFont val="Arial"/>
        <sz val="10.0"/>
      </rPr>
      <t>(</t>
    </r>
    <r>
      <rPr>
        <rFont val="ＭＳ Ｐゴシック"/>
        <sz val="10.0"/>
      </rPr>
      <t>柳下大</t>
    </r>
    <r>
      <rPr>
        <rFont val="Arial"/>
        <sz val="10.0"/>
      </rPr>
      <t>)</t>
    </r>
    <r>
      <rPr>
        <rFont val="ＭＳ Ｐゴシック"/>
        <sz val="10.0"/>
      </rPr>
      <t>の記者会見に、氷見と与田が潜入。工藤は動揺を隠せない様子だが、氷見たちは謝罪用の芝居と見抜く。工藤ら経営陣は江梨子だけに責任を持って行こうとしていた。事務所では真野が不正利用の流れを追い、原因は江梨子個人にではなく、会社側の管理上の不備にあったことを突き止める。</t>
    </r>
  </si>
  <si>
    <t>氷見江(竹内結子)と与田知恵(水川あさみ)、鈴木太郎(バカリズム)たちは事務所でワイドショーを見ている。話題に上がっているのは、スマートフォン決済サービス『ペイグッド』のクレジットカード不正利用に関して。顧客のカードが第三者に使用されていたのだ。その報道を聞き呆然とする藤枝修二(中川大志)。どうやら藤枝も被害に遭った様子。ネットを見ていた真野聖子(斉藤由貴)は『ペイグッド』のシステムエンジニア、芦原江梨子(西山繭子)のセキュリティー対策が甘かったと特定されている、と教える。江梨子は与田の大学生時代の先輩だった。  与田から連絡を受けた江梨子が事務所に来た。江梨子は『ペイグッド』のシステム開発チームの責任者で、今回のトラブルに関して責任があることは認める。だが、同社のサービスが始まったのは江梨子が育休に入ってからだった。もちろん責任は認めつつ、ただ、休んでいる間に問題が発生したのにも関わらず、自分がやり玉に挙げられ、名前や顔までもネットに晒されていることに江梨子は悩んでいた。  『ペイグッド』社の社長、工藤海斗(柳下大)の記者会見に、氷見と与田が潜入。工藤は動揺を隠せない様子だが、氷見たちは謝罪用の芝居と見抜く。工藤ら経営陣は江梨子だけに責任を持って行こうとしていた。事務所では真野が不正利用の流れを追い、原因は江梨子個人にではなく、会社側の管理上の不備にあったことを突き止める。</t>
  </si>
  <si>
    <t>番組名&lt;木曜劇場&gt;スキャンダル専門弁護士　QUEEN【女性研究員を救え】　#08</t>
  </si>
  <si>
    <r>
      <rPr>
        <rFont val="ＭＳ Ｐゴシック"/>
        <sz val="10.0"/>
      </rPr>
      <t>ニュース番組を見ている氷見江</t>
    </r>
    <r>
      <rPr>
        <rFont val="Arial"/>
        <sz val="10.0"/>
      </rPr>
      <t>(</t>
    </r>
    <r>
      <rPr>
        <rFont val="ＭＳ Ｐゴシック"/>
        <sz val="10.0"/>
      </rPr>
      <t>竹内結子</t>
    </r>
    <r>
      <rPr>
        <rFont val="Arial"/>
        <sz val="10.0"/>
      </rPr>
      <t>)</t>
    </r>
    <r>
      <rPr>
        <rFont val="ＭＳ Ｐゴシック"/>
        <sz val="10.0"/>
      </rPr>
      <t>、与田知恵</t>
    </r>
    <r>
      <rPr>
        <rFont val="Arial"/>
        <sz val="10.0"/>
      </rPr>
      <t>(</t>
    </r>
    <r>
      <rPr>
        <rFont val="ＭＳ Ｐゴシック"/>
        <sz val="10.0"/>
      </rPr>
      <t>水川あさみ</t>
    </r>
    <r>
      <rPr>
        <rFont val="Arial"/>
        <sz val="10.0"/>
      </rPr>
      <t>)</t>
    </r>
    <r>
      <rPr>
        <rFont val="ＭＳ Ｐゴシック"/>
        <sz val="10.0"/>
      </rPr>
      <t>、藤枝修二</t>
    </r>
    <r>
      <rPr>
        <rFont val="Arial"/>
        <sz val="10.0"/>
      </rPr>
      <t>(</t>
    </r>
    <r>
      <rPr>
        <rFont val="ＭＳ Ｐゴシック"/>
        <sz val="10.0"/>
      </rPr>
      <t>中川大志</t>
    </r>
    <r>
      <rPr>
        <rFont val="Arial"/>
        <sz val="10.0"/>
      </rPr>
      <t>)</t>
    </r>
    <r>
      <rPr>
        <rFont val="ＭＳ Ｐゴシック"/>
        <sz val="10.0"/>
      </rPr>
      <t>、真野聖子</t>
    </r>
    <r>
      <rPr>
        <rFont val="Arial"/>
        <sz val="10.0"/>
      </rPr>
      <t>(</t>
    </r>
    <r>
      <rPr>
        <rFont val="ＭＳ Ｐゴシック"/>
        <sz val="10.0"/>
      </rPr>
      <t>斉藤由貴</t>
    </r>
    <r>
      <rPr>
        <rFont val="Arial"/>
        <sz val="10.0"/>
      </rPr>
      <t>)</t>
    </r>
    <r>
      <rPr>
        <rFont val="ＭＳ Ｐゴシック"/>
        <sz val="10.0"/>
      </rPr>
      <t>たち。番組で特集しているのは医療ベンチャー『フィニシス』を立ち上げた帝都医科大学の研究者、和久井純菜</t>
    </r>
    <r>
      <rPr>
        <rFont val="Arial"/>
        <sz val="10.0"/>
      </rPr>
      <t>(</t>
    </r>
    <r>
      <rPr>
        <rFont val="ＭＳ Ｐゴシック"/>
        <sz val="10.0"/>
      </rPr>
      <t>森矢カンナ</t>
    </r>
    <r>
      <rPr>
        <rFont val="Arial"/>
        <sz val="10.0"/>
      </rPr>
      <t>)</t>
    </r>
    <r>
      <rPr>
        <rFont val="ＭＳ Ｐゴシック"/>
        <sz val="10.0"/>
      </rPr>
      <t>。純菜は共同研究者の柏木さつき</t>
    </r>
    <r>
      <rPr>
        <rFont val="Arial"/>
        <sz val="10.0"/>
      </rPr>
      <t>(</t>
    </r>
    <r>
      <rPr>
        <rFont val="ＭＳ Ｐゴシック"/>
        <sz val="10.0"/>
      </rPr>
      <t>伊藤麻実子</t>
    </r>
    <r>
      <rPr>
        <rFont val="Arial"/>
        <sz val="10.0"/>
      </rPr>
      <t>)</t>
    </r>
    <r>
      <rPr>
        <rFont val="ＭＳ Ｐゴシック"/>
        <sz val="10.0"/>
      </rPr>
      <t>と髪の毛</t>
    </r>
    <r>
      <rPr>
        <rFont val="Arial"/>
        <sz val="10.0"/>
      </rPr>
      <t>1</t>
    </r>
    <r>
      <rPr>
        <rFont val="ＭＳ Ｐゴシック"/>
        <sz val="10.0"/>
      </rPr>
      <t>本でさまざまな疫病が判別出来るという検査キットを開発し、いまメディアからも注目の的だ。</t>
    </r>
    <r>
      <rPr>
        <rFont val="Arial"/>
        <sz val="10.0"/>
      </rPr>
      <t xml:space="preserve">  </t>
    </r>
    <r>
      <rPr>
        <rFont val="ＭＳ Ｐゴシック"/>
        <sz val="10.0"/>
      </rPr>
      <t>そんな純菜がネットで叩かれる。彼女の過去の論文に不正があったと疑われ、検査キットも嘘ではないかとネットニュースになったのだ。純菜は鈴木法律事務所に助けを求めて来る。氷見はまず大学の様子を純菜に尋ねた。純菜によると、大学は男性優位で女性にはセクハラやパワハラは日常茶飯事らしい。『フィニシス』の件も、大学側にとっては女性である自分たちが活躍することが目障りなのではないか、と言う。次に氷見はパートナーのさつきのことを聞く。純菜はさつきには才能があり、とにかく研究に専念したいタイプなので、自分は彼女が研究に没頭出来る環境を作っていると答えた。</t>
    </r>
    <r>
      <rPr>
        <rFont val="Arial"/>
        <sz val="10.0"/>
      </rPr>
      <t xml:space="preserve">  </t>
    </r>
    <r>
      <rPr>
        <rFont val="ＭＳ Ｐゴシック"/>
        <sz val="10.0"/>
      </rPr>
      <t>氷見と与田は帝都医大を訪ねる。さつきに話を聞くが、研究のことしか考えていなかった。大学理事長の楽山大作</t>
    </r>
    <r>
      <rPr>
        <rFont val="Arial"/>
        <sz val="10.0"/>
      </rPr>
      <t>(</t>
    </r>
    <r>
      <rPr>
        <rFont val="ＭＳ Ｐゴシック"/>
        <sz val="10.0"/>
      </rPr>
      <t>長谷川初範</t>
    </r>
    <r>
      <rPr>
        <rFont val="Arial"/>
        <sz val="10.0"/>
      </rPr>
      <t>)</t>
    </r>
    <r>
      <rPr>
        <rFont val="ＭＳ Ｐゴシック"/>
        <sz val="10.0"/>
      </rPr>
      <t>も純菜の言葉通り、男尊女卑の塊のような人物だった。事務所に戻ると真野が純菜の論文に盗用があったことを突き止めていた。氷見たちは、論文についての謝罪会見を純菜に開かせることにする。</t>
    </r>
  </si>
  <si>
    <t>ニュース番組を見ている氷見江(竹内結子)、与田知恵(水川あさみ)、藤枝修二(中川大志)、真野聖子(斉藤由貴)たち。番組で特集しているのは医療ベンチャー『フィニシス』を立ち上げた帝都医科大学の研究者、和久井純菜(森矢カンナ)。純菜は共同研究者の柏木さつき(伊藤麻実子)と髪の毛1本でさまざまな疫病が判別出来るという検査キットを開発し、いまメディアからも注目の的だ。  そんな純菜がネットで叩かれる。彼女の過去の論文に不正があったと疑われ、検査キットも嘘ではないかとネットニュースになったのだ。純菜は鈴木法律事務所に助けを求めて来る。氷見はまず大学の様子を純菜に尋ねた。純菜によると、大学は男性優位で女性にはセクハラやパワハラは日常茶飯事らしい。『フィニシス』の件も、大学側にとっては女性である自分たちが活躍することが目障りなのではないか、と言う。次に氷見はパートナーのさつきのことを聞く。純菜はさつきには才能があり、とにかく研究に専念したいタイプなので、自分は彼女が研究に没頭出来る環境を作っていると答えた。  氷見と与田は帝都医大を訪ねる。さつきに話を聞くが、研究のことしか考えていなかった。大学理事長の楽山大作(長谷川初範)も純菜の言葉通り、男尊女卑の塊のような人物だった。事務所に戻ると真野が純菜の論文に盗用があったことを突き止めていた。氷見たちは、論文についての謝罪会見を純菜に開かせることにする。</t>
  </si>
  <si>
    <t>番組名&lt;木曜劇場&gt;スキャンダル専門弁護士　QUEEN【因縁の死亡事故とは】　#09</t>
  </si>
  <si>
    <r>
      <rPr>
        <rFont val="ＭＳ Ｐゴシック"/>
        <sz val="10.0"/>
      </rPr>
      <t>氷見江</t>
    </r>
    <r>
      <rPr>
        <rFont val="Arial"/>
        <sz val="10.0"/>
      </rPr>
      <t>(</t>
    </r>
    <r>
      <rPr>
        <rFont val="ＭＳ Ｐゴシック"/>
        <sz val="10.0"/>
      </rPr>
      <t>竹内結子</t>
    </r>
    <r>
      <rPr>
        <rFont val="Arial"/>
        <sz val="10.0"/>
      </rPr>
      <t>)</t>
    </r>
    <r>
      <rPr>
        <rFont val="ＭＳ Ｐゴシック"/>
        <sz val="10.0"/>
      </rPr>
      <t>は、与田知恵</t>
    </r>
    <r>
      <rPr>
        <rFont val="Arial"/>
        <sz val="10.0"/>
      </rPr>
      <t>(</t>
    </r>
    <r>
      <rPr>
        <rFont val="ＭＳ Ｐゴシック"/>
        <sz val="10.0"/>
      </rPr>
      <t>水川あさみ</t>
    </r>
    <r>
      <rPr>
        <rFont val="Arial"/>
        <sz val="10.0"/>
      </rPr>
      <t>)</t>
    </r>
    <r>
      <rPr>
        <rFont val="ＭＳ Ｐゴシック"/>
        <sz val="10.0"/>
      </rPr>
      <t>から、クライアントを吾妻涼介</t>
    </r>
    <r>
      <rPr>
        <rFont val="Arial"/>
        <sz val="10.0"/>
      </rPr>
      <t>(</t>
    </r>
    <r>
      <rPr>
        <rFont val="ＭＳ Ｐゴシック"/>
        <sz val="10.0"/>
      </rPr>
      <t>山本耕史</t>
    </r>
    <r>
      <rPr>
        <rFont val="Arial"/>
        <sz val="10.0"/>
      </rPr>
      <t>)</t>
    </r>
    <r>
      <rPr>
        <rFont val="ＭＳ Ｐゴシック"/>
        <sz val="10.0"/>
      </rPr>
      <t>のために利用していたのではないかと疑われる。東堂裕子</t>
    </r>
    <r>
      <rPr>
        <rFont val="Arial"/>
        <sz val="10.0"/>
      </rPr>
      <t>(</t>
    </r>
    <r>
      <rPr>
        <rFont val="ＭＳ Ｐゴシック"/>
        <sz val="10.0"/>
      </rPr>
      <t>泉里香</t>
    </r>
    <r>
      <rPr>
        <rFont val="Arial"/>
        <sz val="10.0"/>
      </rPr>
      <t>)</t>
    </r>
    <r>
      <rPr>
        <rFont val="ＭＳ Ｐゴシック"/>
        <sz val="10.0"/>
      </rPr>
      <t>から届いた、吾妻の元秘書を使った政治資金スキャンダルのメールを与田に見せた氷見は、危機管理部でやれることはやったと帰って行った。</t>
    </r>
    <r>
      <rPr>
        <rFont val="Arial"/>
        <sz val="10.0"/>
      </rPr>
      <t xml:space="preserve">  </t>
    </r>
    <r>
      <rPr>
        <rFont val="ＭＳ Ｐゴシック"/>
        <sz val="10.0"/>
      </rPr>
      <t>スキャンダル疑惑は大きく報道され、元秘書も氷見だと特定されたため鈴木法律事務所は対応に追われ、真野聖子</t>
    </r>
    <r>
      <rPr>
        <rFont val="Arial"/>
        <sz val="10.0"/>
      </rPr>
      <t>(</t>
    </r>
    <r>
      <rPr>
        <rFont val="ＭＳ Ｐゴシック"/>
        <sz val="10.0"/>
      </rPr>
      <t>斉藤由貴</t>
    </r>
    <r>
      <rPr>
        <rFont val="Arial"/>
        <sz val="10.0"/>
      </rPr>
      <t>)</t>
    </r>
    <r>
      <rPr>
        <rFont val="ＭＳ Ｐゴシック"/>
        <sz val="10.0"/>
      </rPr>
      <t>も手が回らないほど。与田は氷見に電話するのだが繋がらずにいた。そこに来た鈴木太郎</t>
    </r>
    <r>
      <rPr>
        <rFont val="Arial"/>
        <sz val="10.0"/>
      </rPr>
      <t>(</t>
    </r>
    <r>
      <rPr>
        <rFont val="ＭＳ Ｐゴシック"/>
        <sz val="10.0"/>
      </rPr>
      <t>バカリズム</t>
    </r>
    <r>
      <rPr>
        <rFont val="Arial"/>
        <sz val="10.0"/>
      </rPr>
      <t>)</t>
    </r>
    <r>
      <rPr>
        <rFont val="ＭＳ Ｐゴシック"/>
        <sz val="10.0"/>
      </rPr>
      <t>は、氷見は事務所を辞めたと言い、新たに吾妻がクライアントになったと告げる。</t>
    </r>
    <r>
      <rPr>
        <rFont val="Arial"/>
        <sz val="10.0"/>
      </rPr>
      <t xml:space="preserve">  </t>
    </r>
    <r>
      <rPr>
        <rFont val="ＭＳ Ｐゴシック"/>
        <sz val="10.0"/>
      </rPr>
      <t>吾妻は林光蔵総務大臣</t>
    </r>
    <r>
      <rPr>
        <rFont val="Arial"/>
        <sz val="10.0"/>
      </rPr>
      <t>(</t>
    </r>
    <r>
      <rPr>
        <rFont val="ＭＳ Ｐゴシック"/>
        <sz val="10.0"/>
      </rPr>
      <t>山田明郷</t>
    </r>
    <r>
      <rPr>
        <rFont val="Arial"/>
        <sz val="10.0"/>
      </rPr>
      <t>)</t>
    </r>
    <r>
      <rPr>
        <rFont val="ＭＳ Ｐゴシック"/>
        <sz val="10.0"/>
      </rPr>
      <t>とともに事務所に来た。応対する与田と鈴木に林は、吾妻は党の顔で妻の美咲</t>
    </r>
    <r>
      <rPr>
        <rFont val="Arial"/>
        <sz val="10.0"/>
      </rPr>
      <t>(</t>
    </r>
    <r>
      <rPr>
        <rFont val="ＭＳ Ｐゴシック"/>
        <sz val="10.0"/>
      </rPr>
      <t>山崎紘菜</t>
    </r>
    <r>
      <rPr>
        <rFont val="Arial"/>
        <sz val="10.0"/>
      </rPr>
      <t>)</t>
    </r>
    <r>
      <rPr>
        <rFont val="ＭＳ Ｐゴシック"/>
        <sz val="10.0"/>
      </rPr>
      <t>の父は党のドン・五十嵐幸夫</t>
    </r>
    <r>
      <rPr>
        <rFont val="Arial"/>
        <sz val="10.0"/>
      </rPr>
      <t>(</t>
    </r>
    <r>
      <rPr>
        <rFont val="ＭＳ Ｐゴシック"/>
        <sz val="10.0"/>
      </rPr>
      <t>小野武彦</t>
    </r>
    <r>
      <rPr>
        <rFont val="Arial"/>
        <sz val="10.0"/>
      </rPr>
      <t>)</t>
    </r>
    <r>
      <rPr>
        <rFont val="ＭＳ Ｐゴシック"/>
        <sz val="10.0"/>
      </rPr>
      <t>なので泥を塗るわけにはいかない、と言う。鈴木は吾妻に久しぶりと挨拶。</t>
    </r>
    <r>
      <rPr>
        <rFont val="Arial"/>
        <sz val="10.0"/>
      </rPr>
      <t>2</t>
    </r>
    <r>
      <rPr>
        <rFont val="ＭＳ Ｐゴシック"/>
        <sz val="10.0"/>
      </rPr>
      <t>人は大学の同窓生だった。鈴木が氷見も同窓生だと話すと、林は苦い顔。与田が氷見と不倫関係にあったのかと尋ねると吾妻は否定。スキャンダルも不正献金の疑惑も潰せと、林は半ば脅しのように言い放った。</t>
    </r>
    <r>
      <rPr>
        <rFont val="Arial"/>
        <sz val="10.0"/>
      </rPr>
      <t xml:space="preserve">  </t>
    </r>
    <r>
      <rPr>
        <rFont val="ＭＳ Ｐゴシック"/>
        <sz val="10.0"/>
      </rPr>
      <t>与田と鈴木、真野はまず氷見と吾妻の不倫スキャンダルから対応することに決める。吾妻の会見を準備する間、与田は東堂から氷見の情報を得た。そして、</t>
    </r>
    <r>
      <rPr>
        <rFont val="Arial"/>
        <sz val="10.0"/>
      </rPr>
      <t>5</t>
    </r>
    <r>
      <rPr>
        <rFont val="ＭＳ Ｐゴシック"/>
        <sz val="10.0"/>
      </rPr>
      <t>年前の、とある死亡事故への氷見の関与を知る。</t>
    </r>
  </si>
  <si>
    <t>氷見江(竹内結子)は、与田知恵(水川あさみ)から、クライアントを吾妻涼介(山本耕史)のために利用していたのではないかと疑われる。東堂裕子(泉里香)から届いた、吾妻の元秘書を使った政治資金スキャンダルのメールを与田に見せた氷見は、危機管理部でやれることはやったと帰って行った。  スキャンダル疑惑は大きく報道され、元秘書も氷見だと特定されたため鈴木法律事務所は対応に追われ、真野聖子(斉藤由貴)も手が回らないほど。与田は氷見に電話するのだが繋がらずにいた。そこに来た鈴木太郎(バカリズム)は、氷見は事務所を辞めたと言い、新たに吾妻がクライアントになったと告げる。  吾妻は林光蔵総務大臣(山田明郷)とともに事務所に来た。応対する与田と鈴木に林は、吾妻は党の顔で妻の美咲(山崎紘菜)の父は党のドン・五十嵐幸夫(小野武彦)なので泥を塗るわけにはいかない、と言う。鈴木は吾妻に久しぶりと挨拶。2人は大学の同窓生だった。鈴木が氷見も同窓生だと話すと、林は苦い顔。与田が氷見と不倫関係にあったのかと尋ねると吾妻は否定。スキャンダルも不正献金の疑惑も潰せと、林は半ば脅しのように言い放った。  与田と鈴木、真野はまず氷見と吾妻の不倫スキャンダルから対応することに決める。吾妻の会見を準備する間、与田は東堂から氷見の情報を得た。そして、5年前の、とある死亡事故への氷見の関与を知る。</t>
  </si>
  <si>
    <t>番組名&lt;木曜劇場&gt;スキャンダル専門弁護士　QUEEN【国を敵にした悪女】　#10</t>
  </si>
  <si>
    <r>
      <rPr>
        <rFont val="ＭＳ Ｐゴシック"/>
        <sz val="10.0"/>
      </rPr>
      <t xml:space="preserve">　『週刊文新』で氷見江</t>
    </r>
    <r>
      <rPr>
        <rFont val="Arial"/>
        <sz val="10.0"/>
      </rPr>
      <t>(</t>
    </r>
    <r>
      <rPr>
        <rFont val="ＭＳ Ｐゴシック"/>
        <sz val="10.0"/>
      </rPr>
      <t>竹内結子</t>
    </r>
    <r>
      <rPr>
        <rFont val="Arial"/>
        <sz val="10.0"/>
      </rPr>
      <t>)</t>
    </r>
    <r>
      <rPr>
        <rFont val="ＭＳ Ｐゴシック"/>
        <sz val="10.0"/>
      </rPr>
      <t>が</t>
    </r>
    <r>
      <rPr>
        <rFont val="Arial"/>
        <sz val="10.0"/>
      </rPr>
      <t>5</t>
    </r>
    <r>
      <rPr>
        <rFont val="ＭＳ Ｐゴシック"/>
        <sz val="10.0"/>
      </rPr>
      <t>年前に行ったとされる公職選挙法違反疑惑の記事が掲載されることになる。それは、吾妻涼介</t>
    </r>
    <r>
      <rPr>
        <rFont val="Arial"/>
        <sz val="10.0"/>
      </rPr>
      <t>(</t>
    </r>
    <r>
      <rPr>
        <rFont val="ＭＳ Ｐゴシック"/>
        <sz val="10.0"/>
      </rPr>
      <t>山本耕史</t>
    </r>
    <r>
      <rPr>
        <rFont val="Arial"/>
        <sz val="10.0"/>
      </rPr>
      <t>)</t>
    </r>
    <r>
      <rPr>
        <rFont val="ＭＳ Ｐゴシック"/>
        <sz val="10.0"/>
      </rPr>
      <t>、林光蔵総務大臣</t>
    </r>
    <r>
      <rPr>
        <rFont val="Arial"/>
        <sz val="10.0"/>
      </rPr>
      <t>(</t>
    </r>
    <r>
      <rPr>
        <rFont val="ＭＳ Ｐゴシック"/>
        <sz val="10.0"/>
      </rPr>
      <t>山田明郷</t>
    </r>
    <r>
      <rPr>
        <rFont val="Arial"/>
        <sz val="10.0"/>
      </rPr>
      <t>)</t>
    </r>
    <r>
      <rPr>
        <rFont val="ＭＳ Ｐゴシック"/>
        <sz val="10.0"/>
      </rPr>
      <t>ら、クライアントを守るため、鈴木法律事務所の与田知恵</t>
    </r>
    <r>
      <rPr>
        <rFont val="Arial"/>
        <sz val="10.0"/>
      </rPr>
      <t>(</t>
    </r>
    <r>
      <rPr>
        <rFont val="ＭＳ Ｐゴシック"/>
        <sz val="10.0"/>
      </rPr>
      <t>水川あさみ</t>
    </r>
    <r>
      <rPr>
        <rFont val="Arial"/>
        <sz val="10.0"/>
      </rPr>
      <t>)</t>
    </r>
    <r>
      <rPr>
        <rFont val="ＭＳ Ｐゴシック"/>
        <sz val="10.0"/>
      </rPr>
      <t>が東堂裕子</t>
    </r>
    <r>
      <rPr>
        <rFont val="Arial"/>
        <sz val="10.0"/>
      </rPr>
      <t>(</t>
    </r>
    <r>
      <rPr>
        <rFont val="ＭＳ Ｐゴシック"/>
        <sz val="10.0"/>
      </rPr>
      <t>泉里香</t>
    </r>
    <r>
      <rPr>
        <rFont val="Arial"/>
        <sz val="10.0"/>
      </rPr>
      <t>)</t>
    </r>
    <r>
      <rPr>
        <rFont val="ＭＳ Ｐゴシック"/>
        <sz val="10.0"/>
      </rPr>
      <t>にリークしたものだった。</t>
    </r>
    <r>
      <rPr>
        <rFont val="Arial"/>
        <sz val="10.0"/>
      </rPr>
      <t xml:space="preserve">  </t>
    </r>
    <r>
      <rPr>
        <rFont val="ＭＳ Ｐゴシック"/>
        <sz val="10.0"/>
      </rPr>
      <t xml:space="preserve">　与田は記事が掲載される『週刊文新』の発売前、藤枝修二</t>
    </r>
    <r>
      <rPr>
        <rFont val="Arial"/>
        <sz val="10.0"/>
      </rPr>
      <t>(</t>
    </r>
    <r>
      <rPr>
        <rFont val="ＭＳ Ｐゴシック"/>
        <sz val="10.0"/>
      </rPr>
      <t>中川大志</t>
    </r>
    <r>
      <rPr>
        <rFont val="Arial"/>
        <sz val="10.0"/>
      </rPr>
      <t>)</t>
    </r>
    <r>
      <rPr>
        <rFont val="ＭＳ Ｐゴシック"/>
        <sz val="10.0"/>
      </rPr>
      <t>とともに吾妻と林を訪ねた。記事内容を伝えた与田は、この記事でもう一度氷見を叩くため、公の場を用意して欲しいと頼む。藤枝は出来れば氷見の国会での証人喚問が望ましいと言う。吾妻は、証人喚問は無理だが公聴会や調査会の名目ならと検討すると答えた。</t>
    </r>
    <r>
      <rPr>
        <rFont val="Arial"/>
        <sz val="10.0"/>
      </rPr>
      <t xml:space="preserve">  </t>
    </r>
    <r>
      <rPr>
        <rFont val="ＭＳ Ｐゴシック"/>
        <sz val="10.0"/>
      </rPr>
      <t xml:space="preserve">　与田たちが帰ると、吾妻と林は五十嵐幸夫</t>
    </r>
    <r>
      <rPr>
        <rFont val="Arial"/>
        <sz val="10.0"/>
      </rPr>
      <t>(</t>
    </r>
    <r>
      <rPr>
        <rFont val="ＭＳ Ｐゴシック"/>
        <sz val="10.0"/>
      </rPr>
      <t>小野武彦</t>
    </r>
    <r>
      <rPr>
        <rFont val="Arial"/>
        <sz val="10.0"/>
      </rPr>
      <t>)</t>
    </r>
    <r>
      <rPr>
        <rFont val="ＭＳ Ｐゴシック"/>
        <sz val="10.0"/>
      </rPr>
      <t>に相談。吾妻は調査会を開くことを勧める。調査会の開催決定の知らせは、鈴木太郎</t>
    </r>
    <r>
      <rPr>
        <rFont val="Arial"/>
        <sz val="10.0"/>
      </rPr>
      <t>(</t>
    </r>
    <r>
      <rPr>
        <rFont val="ＭＳ Ｐゴシック"/>
        <sz val="10.0"/>
      </rPr>
      <t>バカリズム</t>
    </r>
    <r>
      <rPr>
        <rFont val="Arial"/>
        <sz val="10.0"/>
      </rPr>
      <t>)</t>
    </r>
    <r>
      <rPr>
        <rFont val="ＭＳ Ｐゴシック"/>
        <sz val="10.0"/>
      </rPr>
      <t>が受けた。喜ぶ与田を見た藤枝は、敵に回すと怖い人だともらす。　氷見への調査会が開かれる。与田、藤枝が控え、マスコミも招かれたため、東堂もいた。調査会の冒頭、氷見は不正に情報を取得し、事実と異なる印象操作をおこなうなど、選挙法において違反行為をおこなったかを聞かれるも否認。すると、進行していた林は氷見の選挙法違反を裏付ける証人として、茂呂裕也</t>
    </r>
    <r>
      <rPr>
        <rFont val="Arial"/>
        <sz val="10.0"/>
      </rPr>
      <t>(</t>
    </r>
    <r>
      <rPr>
        <rFont val="ＭＳ Ｐゴシック"/>
        <sz val="10.0"/>
      </rPr>
      <t>佐野岳</t>
    </r>
    <r>
      <rPr>
        <rFont val="Arial"/>
        <sz val="10.0"/>
      </rPr>
      <t>)</t>
    </r>
    <r>
      <rPr>
        <rFont val="ＭＳ Ｐゴシック"/>
        <sz val="10.0"/>
      </rPr>
      <t>を呼び出す。その頃、真野聖子</t>
    </r>
    <r>
      <rPr>
        <rFont val="Arial"/>
        <sz val="10.0"/>
      </rPr>
      <t>(</t>
    </r>
    <r>
      <rPr>
        <rFont val="ＭＳ Ｐゴシック"/>
        <sz val="10.0"/>
      </rPr>
      <t>斉藤由貴</t>
    </r>
    <r>
      <rPr>
        <rFont val="Arial"/>
        <sz val="10.0"/>
      </rPr>
      <t>)</t>
    </r>
    <r>
      <rPr>
        <rFont val="ＭＳ Ｐゴシック"/>
        <sz val="10.0"/>
      </rPr>
      <t>は与田たちとは別の動きをしていて</t>
    </r>
    <r>
      <rPr>
        <rFont val="Arial"/>
        <sz val="10.0"/>
      </rPr>
      <t>…</t>
    </r>
    <r>
      <rPr>
        <rFont val="ＭＳ Ｐゴシック"/>
        <sz val="10.0"/>
      </rPr>
      <t>。</t>
    </r>
  </si>
  <si>
    <t xml:space="preserve">　『週刊文新』で氷見江(竹内結子)が5年前に行ったとされる公職選挙法違反疑惑の記事が掲載されることになる。それは、吾妻涼介(山本耕史)、林光蔵総務大臣(山田明郷)ら、クライアントを守るため、鈴木法律事務所の与田知恵(水川あさみ)が東堂裕子(泉里香)にリークしたものだった。  　与田は記事が掲載される『週刊文新』の発売前、藤枝修二(中川大志)とともに吾妻と林を訪ねた。記事内容を伝えた与田は、この記事でもう一度氷見を叩くため、公の場を用意して欲しいと頼む。藤枝は出来れば氷見の国会での証人喚問が望ましいと言う。吾妻は、証人喚問は無理だが公聴会や調査会の名目ならと検討すると答えた。  　与田たちが帰ると、吾妻と林は五十嵐幸夫(小野武彦)に相談。吾妻は調査会を開くことを勧める。調査会の開催決定の知らせは、鈴木太郎(バカリズム)が受けた。喜ぶ与田を見た藤枝は、敵に回すと怖い人だともらす。　氷見への調査会が開かれる。与田、藤枝が控え、マスコミも招かれたため、東堂もいた。調査会の冒頭、氷見は不正に情報を取得し、事実と異なる印象操作をおこなうなど、選挙法において違反行為をおこなったかを聞かれるも否認。すると、進行していた林は氷見の選挙法違反を裏付ける証人として、茂呂裕也(佐野岳)を呼び出す。その頃、真野聖子(斉藤由貴)は与田たちとは別の動きをしていて…。</t>
  </si>
  <si>
    <t>1810_CX_月21</t>
  </si>
  <si>
    <t>SUITS</t>
  </si>
  <si>
    <t>番組名SUITS/スーツ【全米大ヒットドラマが原作!痛快弁護士ドラマ!】　#01</t>
  </si>
  <si>
    <r>
      <rPr>
        <rFont val="ＭＳ Ｐゴシック"/>
        <sz val="10.0"/>
      </rPr>
      <t>甲斐正午</t>
    </r>
    <r>
      <rPr>
        <rFont val="Arial"/>
        <sz val="10.0"/>
      </rPr>
      <t>(</t>
    </r>
    <r>
      <rPr>
        <rFont val="ＭＳ Ｐゴシック"/>
        <sz val="10.0"/>
      </rPr>
      <t>織田裕二</t>
    </r>
    <r>
      <rPr>
        <rFont val="Arial"/>
        <sz val="10.0"/>
      </rPr>
      <t>)</t>
    </r>
    <r>
      <rPr>
        <rFont val="ＭＳ Ｐゴシック"/>
        <sz val="10.0"/>
      </rPr>
      <t>は『幸村・上杉法律事務所』に所属する敏腕弁護士。東大入学後にハーバード大学に留学した経歴を持つ甲斐は、企業の買収・合併や、企業間の戦略的提携など、金になる仕事を手がけている。だが、かなり傲慢な性格で勝つためなら違法行為ギリギリの際どい手段を用いることもあった。</t>
    </r>
    <r>
      <rPr>
        <rFont val="Arial"/>
        <sz val="10.0"/>
      </rPr>
      <t xml:space="preserve">  </t>
    </r>
    <r>
      <rPr>
        <rFont val="ＭＳ Ｐゴシック"/>
        <sz val="10.0"/>
      </rPr>
      <t>『幸村・上杉法律事務所』は、幸村チカ</t>
    </r>
    <r>
      <rPr>
        <rFont val="Arial"/>
        <sz val="10.0"/>
      </rPr>
      <t>(</t>
    </r>
    <r>
      <rPr>
        <rFont val="ＭＳ Ｐゴシック"/>
        <sz val="10.0"/>
      </rPr>
      <t>鈴木保奈美</t>
    </r>
    <r>
      <rPr>
        <rFont val="Arial"/>
        <sz val="10.0"/>
      </rPr>
      <t>)</t>
    </r>
    <r>
      <rPr>
        <rFont val="ＭＳ Ｐゴシック"/>
        <sz val="10.0"/>
      </rPr>
      <t>が代表弁護士を務める、日本四大弁護士事務所のひとつ。敏腕弁護士を父に持つ有能なパラリーガル・聖澤真琴</t>
    </r>
    <r>
      <rPr>
        <rFont val="Arial"/>
        <sz val="10.0"/>
      </rPr>
      <t>(</t>
    </r>
    <r>
      <rPr>
        <rFont val="ＭＳ Ｐゴシック"/>
        <sz val="10.0"/>
      </rPr>
      <t>新木優子</t>
    </r>
    <r>
      <rPr>
        <rFont val="Arial"/>
        <sz val="10.0"/>
      </rPr>
      <t>)</t>
    </r>
    <r>
      <rPr>
        <rFont val="ＭＳ Ｐゴシック"/>
        <sz val="10.0"/>
      </rPr>
      <t>、頭脳明晰で人心掌握術にも長けた甲斐の秘書・玉井伽耶子</t>
    </r>
    <r>
      <rPr>
        <rFont val="Arial"/>
        <sz val="10.0"/>
      </rPr>
      <t>(</t>
    </r>
    <r>
      <rPr>
        <rFont val="ＭＳ Ｐゴシック"/>
        <sz val="10.0"/>
      </rPr>
      <t>中村アン</t>
    </r>
    <r>
      <rPr>
        <rFont val="Arial"/>
        <sz val="10.0"/>
      </rPr>
      <t>)</t>
    </r>
    <r>
      <rPr>
        <rFont val="ＭＳ Ｐゴシック"/>
        <sz val="10.0"/>
      </rPr>
      <t>、ハーバード大学のロースクール出身で甲斐をライバル視している弁護士・蟹江貢</t>
    </r>
    <r>
      <rPr>
        <rFont val="Arial"/>
        <sz val="10.0"/>
      </rPr>
      <t>(</t>
    </r>
    <r>
      <rPr>
        <rFont val="ＭＳ Ｐゴシック"/>
        <sz val="10.0"/>
      </rPr>
      <t>小手伸也</t>
    </r>
    <r>
      <rPr>
        <rFont val="Arial"/>
        <sz val="10.0"/>
      </rPr>
      <t>)</t>
    </r>
    <r>
      <rPr>
        <rFont val="ＭＳ Ｐゴシック"/>
        <sz val="10.0"/>
      </rPr>
      <t>らが働いている。</t>
    </r>
    <r>
      <rPr>
        <rFont val="Arial"/>
        <sz val="10.0"/>
      </rPr>
      <t xml:space="preserve">  </t>
    </r>
    <r>
      <rPr>
        <rFont val="ＭＳ Ｐゴシック"/>
        <sz val="10.0"/>
      </rPr>
      <t>事務所の稼ぎ頭である甲斐は、出資者としての地位を持ち、経営にも参画するシニアパートナーへの昇格を狙っていた。チカは、そんな甲斐に、昇格の条件としてパートナーとして働く若手の弁護士</t>
    </r>
    <r>
      <rPr>
        <rFont val="Arial"/>
        <sz val="10.0"/>
      </rPr>
      <t>“</t>
    </r>
    <r>
      <rPr>
        <rFont val="ＭＳ Ｐゴシック"/>
        <sz val="10.0"/>
      </rPr>
      <t>アソシエイト</t>
    </r>
    <r>
      <rPr>
        <rFont val="Arial"/>
        <sz val="10.0"/>
      </rPr>
      <t>"</t>
    </r>
    <r>
      <rPr>
        <rFont val="ＭＳ Ｐゴシック"/>
        <sz val="10.0"/>
      </rPr>
      <t>を雇うよう命じる。気乗りしないものの、その条件を受け入れた甲斐は、新人採用の面接会を開く。そこに偶然やってきたのが、優れた頭脳と一度見たものは決して忘れない完全記憶能力を持ちながら、悪友・谷元遊星</t>
    </r>
    <r>
      <rPr>
        <rFont val="Arial"/>
        <sz val="10.0"/>
      </rPr>
      <t>(</t>
    </r>
    <r>
      <rPr>
        <rFont val="ＭＳ Ｐゴシック"/>
        <sz val="10.0"/>
      </rPr>
      <t>磯村勇斗</t>
    </r>
    <r>
      <rPr>
        <rFont val="Arial"/>
        <sz val="10.0"/>
      </rPr>
      <t>)</t>
    </r>
    <r>
      <rPr>
        <rFont val="ＭＳ Ｐゴシック"/>
        <sz val="10.0"/>
      </rPr>
      <t>の影響でその日暮らしのフリーター生活を送り、さまざまな業種の替え玉受験にも手を染めていた鈴木大貴</t>
    </r>
    <r>
      <rPr>
        <rFont val="Arial"/>
        <sz val="10.0"/>
      </rPr>
      <t>(</t>
    </r>
    <r>
      <rPr>
        <rFont val="ＭＳ Ｐゴシック"/>
        <sz val="10.0"/>
      </rPr>
      <t>中島裕翔</t>
    </r>
    <r>
      <rPr>
        <rFont val="Arial"/>
        <sz val="10.0"/>
      </rPr>
      <t>)</t>
    </r>
    <r>
      <rPr>
        <rFont val="ＭＳ Ｐゴシック"/>
        <sz val="10.0"/>
      </rPr>
      <t>だった。その能力に興味を抱いた甲斐は、大貴を採用することにするが</t>
    </r>
    <r>
      <rPr>
        <rFont val="Arial"/>
        <sz val="10.0"/>
      </rPr>
      <t>…</t>
    </r>
    <r>
      <rPr>
        <rFont val="ＭＳ Ｐゴシック"/>
        <sz val="10.0"/>
      </rPr>
      <t>。</t>
    </r>
  </si>
  <si>
    <t>甲斐正午(織田裕二)は『幸村・上杉法律事務所』に所属する敏腕弁護士。東大入学後にハーバード大学に留学した経歴を持つ甲斐は、企業の買収・合併や、企業間の戦略的提携など、金になる仕事を手がけている。だが、かなり傲慢な性格で勝つためなら違法行為ギリギリの際どい手段を用いることもあった。  『幸村・上杉法律事務所』は、幸村チカ(鈴木保奈美)が代表弁護士を務める、日本四大弁護士事務所のひとつ。敏腕弁護士を父に持つ有能なパラリーガル・聖澤真琴(新木優子)、頭脳明晰で人心掌握術にも長けた甲斐の秘書・玉井伽耶子(中村アン)、ハーバード大学のロースクール出身で甲斐をライバル視している弁護士・蟹江貢(小手伸也)らが働いている。  事務所の稼ぎ頭である甲斐は、出資者としての地位を持ち、経営にも参画するシニアパートナーへの昇格を狙っていた。チカは、そんな甲斐に、昇格の条件としてパートナーとして働く若手の弁護士“アソシエイト"を雇うよう命じる。気乗りしないものの、その条件を受け入れた甲斐は、新人採用の面接会を開く。そこに偶然やってきたのが、優れた頭脳と一度見たものは決して忘れない完全記憶能力を持ちながら、悪友・谷元遊星(磯村勇斗)の影響でその日暮らしのフリーター生活を送り、さまざまな業種の替え玉受験にも手を染めていた鈴木大貴(中島裕翔)だった。その能力に興味を抱いた甲斐は、大貴を採用することにするが…。</t>
  </si>
  <si>
    <t>番組名SUITS/スーツ【痛快リーガルドラマ!新米弁護士、大波乱の初仕事】　#02</t>
  </si>
  <si>
    <r>
      <rPr>
        <rFont val="ＭＳ Ｐゴシック"/>
        <sz val="10.0"/>
      </rPr>
      <t>甲斐正午</t>
    </r>
    <r>
      <rPr>
        <rFont val="Arial"/>
        <sz val="10.0"/>
      </rPr>
      <t>(</t>
    </r>
    <r>
      <rPr>
        <rFont val="ＭＳ Ｐゴシック"/>
        <sz val="10.0"/>
      </rPr>
      <t>織田裕二</t>
    </r>
    <r>
      <rPr>
        <rFont val="Arial"/>
        <sz val="10.0"/>
      </rPr>
      <t>)</t>
    </r>
    <r>
      <rPr>
        <rFont val="ＭＳ Ｐゴシック"/>
        <sz val="10.0"/>
      </rPr>
      <t>は、クライアントである『いろは銀行』の佐橋哲平</t>
    </r>
    <r>
      <rPr>
        <rFont val="Arial"/>
        <sz val="10.0"/>
      </rPr>
      <t>(</t>
    </r>
    <r>
      <rPr>
        <rFont val="ＭＳ Ｐゴシック"/>
        <sz val="10.0"/>
      </rPr>
      <t>米村亮太朗</t>
    </r>
    <r>
      <rPr>
        <rFont val="Arial"/>
        <sz val="10.0"/>
      </rPr>
      <t>)</t>
    </r>
    <r>
      <rPr>
        <rFont val="ＭＳ Ｐゴシック"/>
        <sz val="10.0"/>
      </rPr>
      <t>から内部告発を受ける。部長の谷川好昭</t>
    </r>
    <r>
      <rPr>
        <rFont val="Arial"/>
        <sz val="10.0"/>
      </rPr>
      <t>(</t>
    </r>
    <r>
      <rPr>
        <rFont val="ＭＳ Ｐゴシック"/>
        <sz val="10.0"/>
      </rPr>
      <t>長谷川公彦</t>
    </r>
    <r>
      <rPr>
        <rFont val="Arial"/>
        <sz val="10.0"/>
      </rPr>
      <t>)</t>
    </r>
    <r>
      <rPr>
        <rFont val="ＭＳ Ｐゴシック"/>
        <sz val="10.0"/>
      </rPr>
      <t>が預金を不正流用し水商売の女性に貢いでいるというのだ。</t>
    </r>
    <r>
      <rPr>
        <rFont val="Arial"/>
        <sz val="10.0"/>
      </rPr>
      <t xml:space="preserve">  </t>
    </r>
    <r>
      <rPr>
        <rFont val="ＭＳ Ｐゴシック"/>
        <sz val="10.0"/>
      </rPr>
      <t>同じ頃、鈴木大輔</t>
    </r>
    <r>
      <rPr>
        <rFont val="Arial"/>
        <sz val="10.0"/>
      </rPr>
      <t>(</t>
    </r>
    <r>
      <rPr>
        <rFont val="ＭＳ Ｐゴシック"/>
        <sz val="10.0"/>
      </rPr>
      <t>中島裕翔</t>
    </r>
    <r>
      <rPr>
        <rFont val="Arial"/>
        <sz val="10.0"/>
      </rPr>
      <t>)</t>
    </r>
    <r>
      <rPr>
        <rFont val="ＭＳ Ｐゴシック"/>
        <sz val="10.0"/>
      </rPr>
      <t>は、甲斐に命じられ、プロボノ</t>
    </r>
    <r>
      <rPr>
        <rFont val="Arial"/>
        <sz val="10.0"/>
      </rPr>
      <t>=</t>
    </r>
    <r>
      <rPr>
        <rFont val="ＭＳ Ｐゴシック"/>
        <sz val="10.0"/>
      </rPr>
      <t>無料法律相談会の仕事に取り組んでいた。そこで大輔は、勤めていた病院の院長から愛人にならないかと誘われたが、それを断ったせいで解雇されたという看護師・河瀬今日子</t>
    </r>
    <r>
      <rPr>
        <rFont val="Arial"/>
        <sz val="10.0"/>
      </rPr>
      <t>(</t>
    </r>
    <r>
      <rPr>
        <rFont val="ＭＳ Ｐゴシック"/>
        <sz val="10.0"/>
      </rPr>
      <t>関めぐみ</t>
    </r>
    <r>
      <rPr>
        <rFont val="Arial"/>
        <sz val="10.0"/>
      </rPr>
      <t>)</t>
    </r>
    <r>
      <rPr>
        <rFont val="ＭＳ Ｐゴシック"/>
        <sz val="10.0"/>
      </rPr>
      <t>の相談を受ける。今日子に同情した大輔は、法廷で闘うべきだと彼女に告げると、甲斐にもその旨を伝えた。甲斐は、クライアントに同情するなと言って一度は反対した。だが、相手が東都医科大学病院院長の海部政継</t>
    </r>
    <r>
      <rPr>
        <rFont val="Arial"/>
        <sz val="10.0"/>
      </rPr>
      <t>(</t>
    </r>
    <r>
      <rPr>
        <rFont val="ＭＳ Ｐゴシック"/>
        <sz val="10.0"/>
      </rPr>
      <t>中村育二</t>
    </r>
    <r>
      <rPr>
        <rFont val="Arial"/>
        <sz val="10.0"/>
      </rPr>
      <t>)</t>
    </r>
    <r>
      <rPr>
        <rFont val="ＭＳ Ｐゴシック"/>
        <sz val="10.0"/>
      </rPr>
      <t>だと知ると、すぐに先方に連絡するよう命じる。海部は日本医師協会の次期会長候補。スキャンダルを嫌って示談に応じるはず、という甲斐の読みだった。</t>
    </r>
    <r>
      <rPr>
        <rFont val="Arial"/>
        <sz val="10.0"/>
      </rPr>
      <t xml:space="preserve">  </t>
    </r>
    <r>
      <rPr>
        <rFont val="ＭＳ Ｐゴシック"/>
        <sz val="10.0"/>
      </rPr>
      <t>海部の代理人弁護士・館林憲次</t>
    </r>
    <r>
      <rPr>
        <rFont val="Arial"/>
        <sz val="10.0"/>
      </rPr>
      <t>(</t>
    </r>
    <r>
      <rPr>
        <rFont val="ＭＳ Ｐゴシック"/>
        <sz val="10.0"/>
      </rPr>
      <t>小須田康人</t>
    </r>
    <r>
      <rPr>
        <rFont val="Arial"/>
        <sz val="10.0"/>
      </rPr>
      <t>)</t>
    </r>
    <r>
      <rPr>
        <rFont val="ＭＳ Ｐゴシック"/>
        <sz val="10.0"/>
      </rPr>
      <t>は甲斐の予想通り、大輔が提示した金額での示談に応じる。交渉成功を喜ぶ大輔。だが、甲斐の秘書・玉井伽耶子</t>
    </r>
    <r>
      <rPr>
        <rFont val="Arial"/>
        <sz val="10.0"/>
      </rPr>
      <t>(</t>
    </r>
    <r>
      <rPr>
        <rFont val="ＭＳ Ｐゴシック"/>
        <sz val="10.0"/>
      </rPr>
      <t>中村アン</t>
    </r>
    <r>
      <rPr>
        <rFont val="Arial"/>
        <sz val="10.0"/>
      </rPr>
      <t>)</t>
    </r>
    <r>
      <rPr>
        <rFont val="ＭＳ Ｐゴシック"/>
        <sz val="10.0"/>
      </rPr>
      <t>は、物事が上手くいきすぎているときは必ず不吉なことが起こる、と大輔に告げる。その予言通り、大輔は、アソシエイトを監督する立場でもある蟹江貢</t>
    </r>
    <r>
      <rPr>
        <rFont val="Arial"/>
        <sz val="10.0"/>
      </rPr>
      <t>(</t>
    </r>
    <r>
      <rPr>
        <rFont val="ＭＳ Ｐゴシック"/>
        <sz val="10.0"/>
      </rPr>
      <t>小手伸也</t>
    </r>
    <r>
      <rPr>
        <rFont val="Arial"/>
        <sz val="10.0"/>
      </rPr>
      <t>)</t>
    </r>
    <r>
      <rPr>
        <rFont val="ＭＳ Ｐゴシック"/>
        <sz val="10.0"/>
      </rPr>
      <t>から、仕事に関しては逐一報告書を提出するよう命じられる。さらに、海部のセクハラ疑惑を報じるネットニュースが流れてしまい</t>
    </r>
    <r>
      <rPr>
        <rFont val="Arial"/>
        <sz val="10.0"/>
      </rPr>
      <t>…</t>
    </r>
    <r>
      <rPr>
        <rFont val="ＭＳ Ｐゴシック"/>
        <sz val="10.0"/>
      </rPr>
      <t>。</t>
    </r>
  </si>
  <si>
    <t>甲斐正午(織田裕二)は、クライアントである『いろは銀行』の佐橋哲平(米村亮太朗)から内部告発を受ける。部長の谷川好昭(長谷川公彦)が預金を不正流用し水商売の女性に貢いでいるというのだ。  同じ頃、鈴木大輔(中島裕翔)は、甲斐に命じられ、プロボノ=無料法律相談会の仕事に取り組んでいた。そこで大輔は、勤めていた病院の院長から愛人にならないかと誘われたが、それを断ったせいで解雇されたという看護師・河瀬今日子(関めぐみ)の相談を受ける。今日子に同情した大輔は、法廷で闘うべきだと彼女に告げると、甲斐にもその旨を伝えた。甲斐は、クライアントに同情するなと言って一度は反対した。だが、相手が東都医科大学病院院長の海部政継(中村育二)だと知ると、すぐに先方に連絡するよう命じる。海部は日本医師協会の次期会長候補。スキャンダルを嫌って示談に応じるはず、という甲斐の読みだった。  海部の代理人弁護士・館林憲次(小須田康人)は甲斐の予想通り、大輔が提示した金額での示談に応じる。交渉成功を喜ぶ大輔。だが、甲斐の秘書・玉井伽耶子(中村アン)は、物事が上手くいきすぎているときは必ず不吉なことが起こる、と大輔に告げる。その予言通り、大輔は、アソシエイトを監督する立場でもある蟹江貢(小手伸也)から、仕事に関しては逐一報告書を提出するよう命じられる。さらに、海部のセクハラ疑惑を報じるネットニュースが流れてしまい…。</t>
  </si>
  <si>
    <t>番組名SUITS/スーツ【痛快リーガルドラマ!裏切り社長を引きずり降ろせ】　#03</t>
  </si>
  <si>
    <r>
      <rPr>
        <rFont val="ＭＳ Ｐゴシック"/>
        <sz val="10.0"/>
      </rPr>
      <t>甲斐</t>
    </r>
    <r>
      <rPr>
        <rFont val="Arial"/>
        <sz val="10.0"/>
      </rPr>
      <t>(</t>
    </r>
    <r>
      <rPr>
        <rFont val="ＭＳ Ｐゴシック"/>
        <sz val="10.0"/>
      </rPr>
      <t>織田裕二</t>
    </r>
    <r>
      <rPr>
        <rFont val="Arial"/>
        <sz val="10.0"/>
      </rPr>
      <t>)</t>
    </r>
    <r>
      <rPr>
        <rFont val="ＭＳ Ｐゴシック"/>
        <sz val="10.0"/>
      </rPr>
      <t>は、一緒にクライアントの元へ行きたがる大輔</t>
    </r>
    <r>
      <rPr>
        <rFont val="Arial"/>
        <sz val="10.0"/>
      </rPr>
      <t>(</t>
    </r>
    <r>
      <rPr>
        <rFont val="ＭＳ Ｐゴシック"/>
        <sz val="10.0"/>
      </rPr>
      <t>中島裕翔</t>
    </r>
    <r>
      <rPr>
        <rFont val="Arial"/>
        <sz val="10.0"/>
      </rPr>
      <t>)</t>
    </r>
    <r>
      <rPr>
        <rFont val="ＭＳ Ｐゴシック"/>
        <sz val="10.0"/>
      </rPr>
      <t>に、必要ないと言い放つ。甲斐に同行することはおろか、会議への参加も認めてもらえない大輔は、真琴</t>
    </r>
    <r>
      <rPr>
        <rFont val="Arial"/>
        <sz val="10.0"/>
      </rPr>
      <t>(</t>
    </r>
    <r>
      <rPr>
        <rFont val="ＭＳ Ｐゴシック"/>
        <sz val="10.0"/>
      </rPr>
      <t>新木優子</t>
    </r>
    <r>
      <rPr>
        <rFont val="Arial"/>
        <sz val="10.0"/>
      </rPr>
      <t>)</t>
    </r>
    <r>
      <rPr>
        <rFont val="ＭＳ Ｐゴシック"/>
        <sz val="10.0"/>
      </rPr>
      <t>に仕事が欲しいと愚痴をこぼす。それを聞きつけた蟹江</t>
    </r>
    <r>
      <rPr>
        <rFont val="Arial"/>
        <sz val="10.0"/>
      </rPr>
      <t>(</t>
    </r>
    <r>
      <rPr>
        <rFont val="ＭＳ Ｐゴシック"/>
        <sz val="10.0"/>
      </rPr>
      <t>小手伸也</t>
    </r>
    <r>
      <rPr>
        <rFont val="Arial"/>
        <sz val="10.0"/>
      </rPr>
      <t>)</t>
    </r>
    <r>
      <rPr>
        <rFont val="ＭＳ Ｐゴシック"/>
        <sz val="10.0"/>
      </rPr>
      <t>は、大輔を外に連れ出す。</t>
    </r>
    <r>
      <rPr>
        <rFont val="Arial"/>
        <sz val="10.0"/>
      </rPr>
      <t xml:space="preserve">  </t>
    </r>
    <r>
      <rPr>
        <rFont val="ＭＳ Ｐゴシック"/>
        <sz val="10.0"/>
      </rPr>
      <t>甲斐は、社長の加宮忠が死去した老舗時計メーカー『</t>
    </r>
    <r>
      <rPr>
        <rFont val="Arial"/>
        <sz val="10.0"/>
      </rPr>
      <t>KAMIYA</t>
    </r>
    <r>
      <rPr>
        <rFont val="ＭＳ Ｐゴシック"/>
        <sz val="10.0"/>
      </rPr>
      <t>』を訪れる。</t>
    </r>
    <r>
      <rPr>
        <rFont val="Arial"/>
        <sz val="10.0"/>
      </rPr>
      <t>KAMIYA</t>
    </r>
    <r>
      <rPr>
        <rFont val="ＭＳ Ｐゴシック"/>
        <sz val="10.0"/>
      </rPr>
      <t>では、娘の静佳</t>
    </r>
    <r>
      <rPr>
        <rFont val="Arial"/>
        <sz val="10.0"/>
      </rPr>
      <t>(</t>
    </r>
    <r>
      <rPr>
        <rFont val="ＭＳ Ｐゴシック"/>
        <sz val="10.0"/>
      </rPr>
      <t>東風万智子</t>
    </r>
    <r>
      <rPr>
        <rFont val="Arial"/>
        <sz val="10.0"/>
      </rPr>
      <t>)</t>
    </r>
    <r>
      <rPr>
        <rFont val="ＭＳ Ｐゴシック"/>
        <sz val="10.0"/>
      </rPr>
      <t>と取締役の安樂孝志</t>
    </r>
    <r>
      <rPr>
        <rFont val="Arial"/>
        <sz val="10.0"/>
      </rPr>
      <t>(</t>
    </r>
    <r>
      <rPr>
        <rFont val="ＭＳ Ｐゴシック"/>
        <sz val="10.0"/>
      </rPr>
      <t>久松信美</t>
    </r>
    <r>
      <rPr>
        <rFont val="Arial"/>
        <sz val="10.0"/>
      </rPr>
      <t>)</t>
    </r>
    <r>
      <rPr>
        <rFont val="ＭＳ Ｐゴシック"/>
        <sz val="10.0"/>
      </rPr>
      <t>が葬儀を巡ってもめていた。臨終に立ち会ったという古株の工場長・岡林達樹</t>
    </r>
    <r>
      <rPr>
        <rFont val="Arial"/>
        <sz val="10.0"/>
      </rPr>
      <t>(</t>
    </r>
    <r>
      <rPr>
        <rFont val="ＭＳ Ｐゴシック"/>
        <sz val="10.0"/>
      </rPr>
      <t>きたろう</t>
    </r>
    <r>
      <rPr>
        <rFont val="Arial"/>
        <sz val="10.0"/>
      </rPr>
      <t>)</t>
    </r>
    <r>
      <rPr>
        <rFont val="ＭＳ Ｐゴシック"/>
        <sz val="10.0"/>
      </rPr>
      <t>も不機嫌で</t>
    </r>
    <r>
      <rPr>
        <rFont val="Arial"/>
        <sz val="10.0"/>
      </rPr>
      <t>…</t>
    </r>
    <r>
      <rPr>
        <rFont val="ＭＳ Ｐゴシック"/>
        <sz val="10.0"/>
      </rPr>
      <t>。</t>
    </r>
    <r>
      <rPr>
        <rFont val="Arial"/>
        <sz val="10.0"/>
      </rPr>
      <t xml:space="preserve">  </t>
    </r>
    <r>
      <rPr>
        <rFont val="ＭＳ Ｐゴシック"/>
        <sz val="10.0"/>
      </rPr>
      <t>同じころ、大輔は、総合格闘技の道場で蟹江のスパーリング相手を務めていた。そこに、世界的なゲームメーカー『</t>
    </r>
    <r>
      <rPr>
        <rFont val="Arial"/>
        <sz val="10.0"/>
      </rPr>
      <t>BPM</t>
    </r>
    <r>
      <rPr>
        <rFont val="ＭＳ Ｐゴシック"/>
        <sz val="10.0"/>
      </rPr>
      <t>』の</t>
    </r>
    <r>
      <rPr>
        <rFont val="Arial"/>
        <sz val="10.0"/>
      </rPr>
      <t>CEO</t>
    </r>
    <r>
      <rPr>
        <rFont val="ＭＳ Ｐゴシック"/>
        <sz val="10.0"/>
      </rPr>
      <t>兼チーフクリエーター・藤ヶ谷樹</t>
    </r>
    <r>
      <rPr>
        <rFont val="Arial"/>
        <sz val="10.0"/>
      </rPr>
      <t>(</t>
    </r>
    <r>
      <rPr>
        <rFont val="ＭＳ Ｐゴシック"/>
        <sz val="10.0"/>
      </rPr>
      <t>柳俊太郎</t>
    </r>
    <r>
      <rPr>
        <rFont val="Arial"/>
        <sz val="10.0"/>
      </rPr>
      <t>)</t>
    </r>
    <r>
      <rPr>
        <rFont val="ＭＳ Ｐゴシック"/>
        <sz val="10.0"/>
      </rPr>
      <t>がやってくる。蟹江の狙いは、ハーバード大学で藤ヶ谷と同期だった大輔を利用して自分を売り込むことだった。困惑する大輔。しかし、ハーバード入学直後にゲームが売れ始めた藤ヶ谷が授業どころではなかったことを知った大輔は、ほっと胸をなでおろす。</t>
    </r>
    <r>
      <rPr>
        <rFont val="Arial"/>
        <sz val="10.0"/>
      </rPr>
      <t>BPM</t>
    </r>
    <r>
      <rPr>
        <rFont val="ＭＳ Ｐゴシック"/>
        <sz val="10.0"/>
      </rPr>
      <t>社のゲームで世界ランキング入りしたこともある大輔は、それがきっかけで彼と意気投合する。</t>
    </r>
    <r>
      <rPr>
        <rFont val="Arial"/>
        <sz val="10.0"/>
      </rPr>
      <t xml:space="preserve">  </t>
    </r>
    <r>
      <rPr>
        <rFont val="ＭＳ Ｐゴシック"/>
        <sz val="10.0"/>
      </rPr>
      <t>甲斐は、社長が亡くなる前から安樂たちが国内工場を閉めて東南アジアに生産拠点を移そうと暗躍していたことを知る。甲斐は、取締役会で安樂が新社長に任命される前に、他の社長候補者を見つけようと動き出すが</t>
    </r>
    <r>
      <rPr>
        <rFont val="Arial"/>
        <sz val="10.0"/>
      </rPr>
      <t>…</t>
    </r>
    <r>
      <rPr>
        <rFont val="ＭＳ Ｐゴシック"/>
        <sz val="10.0"/>
      </rPr>
      <t>。</t>
    </r>
  </si>
  <si>
    <t>甲斐(織田裕二)は、一緒にクライアントの元へ行きたがる大輔(中島裕翔)に、必要ないと言い放つ。甲斐に同行することはおろか、会議への参加も認めてもらえない大輔は、真琴(新木優子)に仕事が欲しいと愚痴をこぼす。それを聞きつけた蟹江(小手伸也)は、大輔を外に連れ出す。  甲斐は、社長の加宮忠が死去した老舗時計メーカー『KAMIYA』を訪れる。KAMIYAでは、娘の静佳(東風万智子)と取締役の安樂孝志(久松信美)が葬儀を巡ってもめていた。臨終に立ち会ったという古株の工場長・岡林達樹(きたろう)も不機嫌で…。  同じころ、大輔は、総合格闘技の道場で蟹江のスパーリング相手を務めていた。そこに、世界的なゲームメーカー『BPM』のCEO兼チーフクリエーター・藤ヶ谷樹(柳俊太郎)がやってくる。蟹江の狙いは、ハーバード大学で藤ヶ谷と同期だった大輔を利用して自分を売り込むことだった。困惑する大輔。しかし、ハーバード入学直後にゲームが売れ始めた藤ヶ谷が授業どころではなかったことを知った大輔は、ほっと胸をなでおろす。BPM社のゲームで世界ランキング入りしたこともある大輔は、それがきっかけで彼と意気投合する。  甲斐は、社長が亡くなる前から安樂たちが国内工場を閉めて東南アジアに生産拠点を移そうと暗躍していたことを知る。甲斐は、取締役会で安樂が新社長に任命される前に、他の社長候補者を見つけようと動き出すが…。</t>
  </si>
  <si>
    <t>番組名SUITS/スーツ【痛快弁護士ドラマ!大苦戦!謎だらけの薬害訴訟】　#04</t>
  </si>
  <si>
    <r>
      <rPr>
        <rFont val="ＭＳ Ｐゴシック"/>
        <sz val="10.0"/>
      </rPr>
      <t>甲斐</t>
    </r>
    <r>
      <rPr>
        <rFont val="Arial"/>
        <sz val="10.0"/>
      </rPr>
      <t>(</t>
    </r>
    <r>
      <rPr>
        <rFont val="ＭＳ Ｐゴシック"/>
        <sz val="10.0"/>
      </rPr>
      <t>織田裕二</t>
    </r>
    <r>
      <rPr>
        <rFont val="Arial"/>
        <sz val="10.0"/>
      </rPr>
      <t>)</t>
    </r>
    <r>
      <rPr>
        <rFont val="ＭＳ Ｐゴシック"/>
        <sz val="10.0"/>
      </rPr>
      <t>は、東大法学部教授の退職を祝う会に出席し、大手ファームに所属する後輩弁護士・畠中美智瑠</t>
    </r>
    <r>
      <rPr>
        <rFont val="Arial"/>
        <sz val="10.0"/>
      </rPr>
      <t>(</t>
    </r>
    <r>
      <rPr>
        <rFont val="ＭＳ Ｐゴシック"/>
        <sz val="10.0"/>
      </rPr>
      <t>山本未來</t>
    </r>
    <r>
      <rPr>
        <rFont val="Arial"/>
        <sz val="10.0"/>
      </rPr>
      <t>)</t>
    </r>
    <r>
      <rPr>
        <rFont val="ＭＳ Ｐゴシック"/>
        <sz val="10.0"/>
      </rPr>
      <t>と再会する。甲斐の目的は、訴訟を起こされた製薬ベンチャー「ナノファーマ」に関する情報を得ることだった。なぜなら甲斐は、チカ</t>
    </r>
    <r>
      <rPr>
        <rFont val="Arial"/>
        <sz val="10.0"/>
      </rPr>
      <t>(</t>
    </r>
    <r>
      <rPr>
        <rFont val="ＭＳ Ｐゴシック"/>
        <sz val="10.0"/>
      </rPr>
      <t>鈴木保奈美</t>
    </r>
    <r>
      <rPr>
        <rFont val="Arial"/>
        <sz val="10.0"/>
      </rPr>
      <t>)</t>
    </r>
    <r>
      <rPr>
        <rFont val="ＭＳ Ｐゴシック"/>
        <sz val="10.0"/>
      </rPr>
      <t>と「ナノファーマ」代表の辛島悠紀夫</t>
    </r>
    <r>
      <rPr>
        <rFont val="Arial"/>
        <sz val="10.0"/>
      </rPr>
      <t>(</t>
    </r>
    <r>
      <rPr>
        <rFont val="ＭＳ Ｐゴシック"/>
        <sz val="10.0"/>
      </rPr>
      <t>小市慢太郎</t>
    </r>
    <r>
      <rPr>
        <rFont val="Arial"/>
        <sz val="10.0"/>
      </rPr>
      <t>)</t>
    </r>
    <r>
      <rPr>
        <rFont val="ＭＳ Ｐゴシック"/>
        <sz val="10.0"/>
      </rPr>
      <t>がデートしているところを偶然目撃していたのだ。</t>
    </r>
    <r>
      <rPr>
        <rFont val="Arial"/>
        <sz val="10.0"/>
      </rPr>
      <t xml:space="preserve">  </t>
    </r>
    <r>
      <rPr>
        <rFont val="ＭＳ Ｐゴシック"/>
        <sz val="10.0"/>
      </rPr>
      <t>同じ頃、大輔</t>
    </r>
    <r>
      <rPr>
        <rFont val="Arial"/>
        <sz val="10.0"/>
      </rPr>
      <t>(</t>
    </r>
    <r>
      <rPr>
        <rFont val="ＭＳ Ｐゴシック"/>
        <sz val="10.0"/>
      </rPr>
      <t>中島裕翔</t>
    </r>
    <r>
      <rPr>
        <rFont val="Arial"/>
        <sz val="10.0"/>
      </rPr>
      <t>)</t>
    </r>
    <r>
      <rPr>
        <rFont val="ＭＳ Ｐゴシック"/>
        <sz val="10.0"/>
      </rPr>
      <t>は、蟹江</t>
    </r>
    <r>
      <rPr>
        <rFont val="Arial"/>
        <sz val="10.0"/>
      </rPr>
      <t>(</t>
    </r>
    <r>
      <rPr>
        <rFont val="ＭＳ Ｐゴシック"/>
        <sz val="10.0"/>
      </rPr>
      <t>小手伸也</t>
    </r>
    <r>
      <rPr>
        <rFont val="Arial"/>
        <sz val="10.0"/>
      </rPr>
      <t>)</t>
    </r>
    <r>
      <rPr>
        <rFont val="ＭＳ Ｐゴシック"/>
        <sz val="10.0"/>
      </rPr>
      <t>が主催したクイズ大会で同じアソシエイトの館山健斗</t>
    </r>
    <r>
      <rPr>
        <rFont val="Arial"/>
        <sz val="10.0"/>
      </rPr>
      <t>(</t>
    </r>
    <r>
      <rPr>
        <rFont val="ＭＳ Ｐゴシック"/>
        <sz val="10.0"/>
      </rPr>
      <t>岩井拳士朗</t>
    </r>
    <r>
      <rPr>
        <rFont val="Arial"/>
        <sz val="10.0"/>
      </rPr>
      <t>)</t>
    </r>
    <r>
      <rPr>
        <rFont val="ＭＳ Ｐゴシック"/>
        <sz val="10.0"/>
      </rPr>
      <t>との決勝戦に臨んでいた。しかし大輔はハーバード大トリビアのクイズに答えられずに敗れてしまう。</t>
    </r>
    <r>
      <rPr>
        <rFont val="Arial"/>
        <sz val="10.0"/>
      </rPr>
      <t xml:space="preserve">  </t>
    </r>
    <r>
      <rPr>
        <rFont val="ＭＳ Ｐゴシック"/>
        <sz val="10.0"/>
      </rPr>
      <t>あくる日、甲斐は、チカから「ナノファーマ」を助けるよう命じられる。実は辛島は、チカの元夫だった。</t>
    </r>
    <r>
      <rPr>
        <rFont val="Arial"/>
        <sz val="10.0"/>
      </rPr>
      <t xml:space="preserve">  </t>
    </r>
    <r>
      <rPr>
        <rFont val="ＭＳ Ｐゴシック"/>
        <sz val="10.0"/>
      </rPr>
      <t>大輔は</t>
    </r>
    <r>
      <rPr>
        <rFont val="Arial"/>
        <sz val="10.0"/>
      </rPr>
      <t>2</t>
    </r>
    <r>
      <rPr>
        <rFont val="ＭＳ Ｐゴシック"/>
        <sz val="10.0"/>
      </rPr>
      <t>位の賞品として蟹江からボランティア案件を任せられる。それは、支払い催告を無視して家賃を滞納し、オーナーから訴えられた春日友加里</t>
    </r>
    <r>
      <rPr>
        <rFont val="Arial"/>
        <sz val="10.0"/>
      </rPr>
      <t>(</t>
    </r>
    <r>
      <rPr>
        <rFont val="ＭＳ Ｐゴシック"/>
        <sz val="10.0"/>
      </rPr>
      <t>生越千晴</t>
    </r>
    <r>
      <rPr>
        <rFont val="Arial"/>
        <sz val="10.0"/>
      </rPr>
      <t>)</t>
    </r>
    <r>
      <rPr>
        <rFont val="ＭＳ Ｐゴシック"/>
        <sz val="10.0"/>
      </rPr>
      <t>の弁護だ。友加里は、マンションの管理状態が悪いせいで飼っていたウサギがストレス死したために仕事も辞めることになった、と主張し、法廷で闘うという。</t>
    </r>
    <r>
      <rPr>
        <rFont val="Arial"/>
        <sz val="10.0"/>
      </rPr>
      <t xml:space="preserve">  </t>
    </r>
    <r>
      <rPr>
        <rFont val="ＭＳ Ｐゴシック"/>
        <sz val="10.0"/>
      </rPr>
      <t>辛島は、立花理乃</t>
    </r>
    <r>
      <rPr>
        <rFont val="Arial"/>
        <sz val="10.0"/>
      </rPr>
      <t>(</t>
    </r>
    <r>
      <rPr>
        <rFont val="ＭＳ Ｐゴシック"/>
        <sz val="10.0"/>
      </rPr>
      <t>中原果南</t>
    </r>
    <r>
      <rPr>
        <rFont val="Arial"/>
        <sz val="10.0"/>
      </rPr>
      <t>)</t>
    </r>
    <r>
      <rPr>
        <rFont val="ＭＳ Ｐゴシック"/>
        <sz val="10.0"/>
      </rPr>
      <t>と共同で、ある難病の特効薬『レミゼノール』を開発した。だが、薬の副作用で肝機能障害を起こしたという患者</t>
    </r>
    <r>
      <rPr>
        <rFont val="Arial"/>
        <sz val="10.0"/>
      </rPr>
      <t>8</t>
    </r>
    <r>
      <rPr>
        <rFont val="ＭＳ Ｐゴシック"/>
        <sz val="10.0"/>
      </rPr>
      <t>名から訴えられていた。甲斐は、被害者の会の弁護士・福原太一</t>
    </r>
    <r>
      <rPr>
        <rFont val="Arial"/>
        <sz val="10.0"/>
      </rPr>
      <t>(</t>
    </r>
    <r>
      <rPr>
        <rFont val="ＭＳ Ｐゴシック"/>
        <sz val="10.0"/>
      </rPr>
      <t>渡辺憲吉</t>
    </r>
    <r>
      <rPr>
        <rFont val="Arial"/>
        <sz val="10.0"/>
      </rPr>
      <t>)</t>
    </r>
    <r>
      <rPr>
        <rFont val="ＭＳ Ｐゴシック"/>
        <sz val="10.0"/>
      </rPr>
      <t>に、見舞金を支払うことで和解したいと提案するが</t>
    </r>
    <r>
      <rPr>
        <rFont val="Arial"/>
        <sz val="10.0"/>
      </rPr>
      <t>…</t>
    </r>
    <r>
      <rPr>
        <rFont val="ＭＳ Ｐゴシック"/>
        <sz val="10.0"/>
      </rPr>
      <t>。</t>
    </r>
  </si>
  <si>
    <t>甲斐(織田裕二)は、東大法学部教授の退職を祝う会に出席し、大手ファームに所属する後輩弁護士・畠中美智瑠(山本未來)と再会する。甲斐の目的は、訴訟を起こされた製薬ベンチャー「ナノファーマ」に関する情報を得ることだった。なぜなら甲斐は、チカ(鈴木保奈美)と「ナノファーマ」代表の辛島悠紀夫(小市慢太郎)がデートしているところを偶然目撃していたのだ。  同じ頃、大輔(中島裕翔)は、蟹江(小手伸也)が主催したクイズ大会で同じアソシエイトの館山健斗(岩井拳士朗)との決勝戦に臨んでいた。しかし大輔はハーバード大トリビアのクイズに答えられずに敗れてしまう。  あくる日、甲斐は、チカから「ナノファーマ」を助けるよう命じられる。実は辛島は、チカの元夫だった。  大輔は2位の賞品として蟹江からボランティア案件を任せられる。それは、支払い催告を無視して家賃を滞納し、オーナーから訴えられた春日友加里(生越千晴)の弁護だ。友加里は、マンションの管理状態が悪いせいで飼っていたウサギがストレス死したために仕事も辞めることになった、と主張し、法廷で闘うという。  辛島は、立花理乃(中原果南)と共同で、ある難病の特効薬『レミゼノール』を開発した。だが、薬の副作用で肝機能障害を起こしたという患者8名から訴えられていた。甲斐は、被害者の会の弁護士・福原太一(渡辺憲吉)に、見舞金を支払うことで和解したいと提案するが…。</t>
  </si>
  <si>
    <t>番組名SUITS/スーツ【新章、スタート!超エリート弁護士、衝撃の過去】　#05</t>
  </si>
  <si>
    <r>
      <rPr>
        <rFont val="ＭＳ Ｐゴシック"/>
        <sz val="10.0"/>
      </rPr>
      <t>『幸村・上杉法律事務所』で</t>
    </r>
    <r>
      <rPr>
        <rFont val="Arial"/>
        <sz val="10.0"/>
      </rPr>
      <t>2018</t>
    </r>
    <r>
      <rPr>
        <rFont val="ＭＳ Ｐゴシック"/>
        <sz val="10.0"/>
      </rPr>
      <t>年上半期の決算報告会が行われた。甲斐</t>
    </r>
    <r>
      <rPr>
        <rFont val="Arial"/>
        <sz val="10.0"/>
      </rPr>
      <t>(</t>
    </r>
    <r>
      <rPr>
        <rFont val="ＭＳ Ｐゴシック"/>
        <sz val="10.0"/>
      </rPr>
      <t>織田裕二</t>
    </r>
    <r>
      <rPr>
        <rFont val="Arial"/>
        <sz val="10.0"/>
      </rPr>
      <t>)</t>
    </r>
    <r>
      <rPr>
        <rFont val="ＭＳ Ｐゴシック"/>
        <sz val="10.0"/>
      </rPr>
      <t>は、扱った案件数こそ蟹江</t>
    </r>
    <r>
      <rPr>
        <rFont val="Arial"/>
        <sz val="10.0"/>
      </rPr>
      <t>(</t>
    </r>
    <r>
      <rPr>
        <rFont val="ＭＳ Ｐゴシック"/>
        <sz val="10.0"/>
      </rPr>
      <t>小手伸也</t>
    </r>
    <r>
      <rPr>
        <rFont val="Arial"/>
        <sz val="10.0"/>
      </rPr>
      <t>)</t>
    </r>
    <r>
      <rPr>
        <rFont val="ＭＳ Ｐゴシック"/>
        <sz val="10.0"/>
      </rPr>
      <t>に譲ったものの、売り上げは</t>
    </r>
    <r>
      <rPr>
        <rFont val="Arial"/>
        <sz val="10.0"/>
      </rPr>
      <t>NO.1</t>
    </r>
    <r>
      <rPr>
        <rFont val="ＭＳ Ｐゴシック"/>
        <sz val="10.0"/>
      </rPr>
      <t>だった。チカ</t>
    </r>
    <r>
      <rPr>
        <rFont val="Arial"/>
        <sz val="10.0"/>
      </rPr>
      <t>(</t>
    </r>
    <r>
      <rPr>
        <rFont val="ＭＳ Ｐゴシック"/>
        <sz val="10.0"/>
      </rPr>
      <t>鈴木保奈美</t>
    </r>
    <r>
      <rPr>
        <rFont val="Arial"/>
        <sz val="10.0"/>
      </rPr>
      <t>)</t>
    </r>
    <r>
      <rPr>
        <rFont val="ＭＳ Ｐゴシック"/>
        <sz val="10.0"/>
      </rPr>
      <t>は、甲斐と蟹江にある賞品を手渡す。</t>
    </r>
    <r>
      <rPr>
        <rFont val="Arial"/>
        <sz val="10.0"/>
      </rPr>
      <t xml:space="preserve">  </t>
    </r>
    <r>
      <rPr>
        <rFont val="ＭＳ Ｐゴシック"/>
        <sz val="10.0"/>
      </rPr>
      <t>大輔</t>
    </r>
    <r>
      <rPr>
        <rFont val="Arial"/>
        <sz val="10.0"/>
      </rPr>
      <t>(</t>
    </r>
    <r>
      <rPr>
        <rFont val="ＭＳ Ｐゴシック"/>
        <sz val="10.0"/>
      </rPr>
      <t>中島裕翔</t>
    </r>
    <r>
      <rPr>
        <rFont val="Arial"/>
        <sz val="10.0"/>
      </rPr>
      <t>)</t>
    </r>
    <r>
      <rPr>
        <rFont val="ＭＳ Ｐゴシック"/>
        <sz val="10.0"/>
      </rPr>
      <t>の元には遊星</t>
    </r>
    <r>
      <rPr>
        <rFont val="Arial"/>
        <sz val="10.0"/>
      </rPr>
      <t>(</t>
    </r>
    <r>
      <rPr>
        <rFont val="ＭＳ Ｐゴシック"/>
        <sz val="10.0"/>
      </rPr>
      <t>磯村勇斗</t>
    </r>
    <r>
      <rPr>
        <rFont val="Arial"/>
        <sz val="10.0"/>
      </rPr>
      <t>)</t>
    </r>
    <r>
      <rPr>
        <rFont val="ＭＳ Ｐゴシック"/>
        <sz val="10.0"/>
      </rPr>
      <t>が傷害事件を起こして逮捕されたとの知らせが入る。大輔は、祖母の結衣</t>
    </r>
    <r>
      <rPr>
        <rFont val="Arial"/>
        <sz val="10.0"/>
      </rPr>
      <t>(</t>
    </r>
    <r>
      <rPr>
        <rFont val="ＭＳ Ｐゴシック"/>
        <sz val="10.0"/>
      </rPr>
      <t>田島令子</t>
    </r>
    <r>
      <rPr>
        <rFont val="Arial"/>
        <sz val="10.0"/>
      </rPr>
      <t>)</t>
    </r>
    <r>
      <rPr>
        <rFont val="ＭＳ Ｐゴシック"/>
        <sz val="10.0"/>
      </rPr>
      <t>が転倒して怪我をしたと嘘をつき、遊星の元へと向かおうとした。すると甲斐は、自身が個人で契約している車を使うよう大輔に指示する。</t>
    </r>
    <r>
      <rPr>
        <rFont val="Arial"/>
        <sz val="10.0"/>
      </rPr>
      <t xml:space="preserve">  </t>
    </r>
    <r>
      <rPr>
        <rFont val="ＭＳ Ｐゴシック"/>
        <sz val="10.0"/>
      </rPr>
      <t>大輔は、運転手の赤城達男</t>
    </r>
    <r>
      <rPr>
        <rFont val="Arial"/>
        <sz val="10.0"/>
      </rPr>
      <t>(</t>
    </r>
    <r>
      <rPr>
        <rFont val="ＭＳ Ｐゴシック"/>
        <sz val="10.0"/>
      </rPr>
      <t>ブラザートム</t>
    </r>
    <r>
      <rPr>
        <rFont val="Arial"/>
        <sz val="10.0"/>
      </rPr>
      <t>)</t>
    </r>
    <r>
      <rPr>
        <rFont val="ＭＳ Ｐゴシック"/>
        <sz val="10.0"/>
      </rPr>
      <t>に事情を打ち明け、警察署へ向かった。ところがその途中、赤城がトラックと追突事故を起こしてしまう。事故の相手は、運送会社の運転手・糸井公一</t>
    </r>
    <r>
      <rPr>
        <rFont val="Arial"/>
        <sz val="10.0"/>
      </rPr>
      <t>(</t>
    </r>
    <r>
      <rPr>
        <rFont val="ＭＳ Ｐゴシック"/>
        <sz val="10.0"/>
      </rPr>
      <t>半海一晃</t>
    </r>
    <r>
      <rPr>
        <rFont val="Arial"/>
        <sz val="10.0"/>
      </rPr>
      <t>)</t>
    </r>
    <r>
      <rPr>
        <rFont val="ＭＳ Ｐゴシック"/>
        <sz val="10.0"/>
      </rPr>
      <t>。大輔は糸井に名刺を差し出し、体調を心配した。しかし糸井はそれには答えず「甲斐正午はまだここにいるのか</t>
    </r>
    <r>
      <rPr>
        <rFont val="Arial"/>
        <sz val="10.0"/>
      </rPr>
      <t>?</t>
    </r>
    <r>
      <rPr>
        <rFont val="ＭＳ Ｐゴシック"/>
        <sz val="10.0"/>
      </rPr>
      <t>」と返す。赤城は大輔を気遣い、車を拾って警察署に向かうよう告げる。</t>
    </r>
    <r>
      <rPr>
        <rFont val="Arial"/>
        <sz val="10.0"/>
      </rPr>
      <t xml:space="preserve">  </t>
    </r>
    <r>
      <rPr>
        <rFont val="ＭＳ Ｐゴシック"/>
        <sz val="10.0"/>
      </rPr>
      <t>大輔は、遊星の身柄を引き受ける。遊星は、飲食店で他の客と口論になり暴れたらしい。店側からは壊れた食器の弁償を求められていた。しかし遊星は、マンションや車を失った上、借金も抱えているという。</t>
    </r>
    <r>
      <rPr>
        <rFont val="Arial"/>
        <sz val="10.0"/>
      </rPr>
      <t xml:space="preserve">  </t>
    </r>
    <r>
      <rPr>
        <rFont val="ＭＳ Ｐゴシック"/>
        <sz val="10.0"/>
      </rPr>
      <t>甲斐は、赤城から、糸井が示談を拒否しているとの報告を受ける。甲斐は、事故現場を離れただけでなく、嘘までついていた大輔を非難すると、この機会に遊星との関係を決着させるよう命じるが</t>
    </r>
    <r>
      <rPr>
        <rFont val="Arial"/>
        <sz val="10.0"/>
      </rPr>
      <t>…</t>
    </r>
    <r>
      <rPr>
        <rFont val="ＭＳ Ｐゴシック"/>
        <sz val="10.0"/>
      </rPr>
      <t>。</t>
    </r>
  </si>
  <si>
    <t>『幸村・上杉法律事務所』で2018年上半期の決算報告会が行われた。甲斐(織田裕二)は、扱った案件数こそ蟹江(小手伸也)に譲ったものの、売り上げはNO.1だった。チカ(鈴木保奈美)は、甲斐と蟹江にある賞品を手渡す。  大輔(中島裕翔)の元には遊星(磯村勇斗)が傷害事件を起こして逮捕されたとの知らせが入る。大輔は、祖母の結衣(田島令子)が転倒して怪我をしたと嘘をつき、遊星の元へと向かおうとした。すると甲斐は、自身が個人で契約している車を使うよう大輔に指示する。  大輔は、運転手の赤城達男(ブラザートム)に事情を打ち明け、警察署へ向かった。ところがその途中、赤城がトラックと追突事故を起こしてしまう。事故の相手は、運送会社の運転手・糸井公一(半海一晃)。大輔は糸井に名刺を差し出し、体調を心配した。しかし糸井はそれには答えず「甲斐正午はまだここにいるのか?」と返す。赤城は大輔を気遣い、車を拾って警察署に向かうよう告げる。  大輔は、遊星の身柄を引き受ける。遊星は、飲食店で他の客と口論になり暴れたらしい。店側からは壊れた食器の弁償を求められていた。しかし遊星は、マンションや車を失った上、借金も抱えているという。  甲斐は、赤城から、糸井が示談を拒否しているとの報告を受ける。甲斐は、事故現場を離れただけでなく、嘘までついていた大輔を非難すると、この機会に遊星との関係を決着させるよう命じるが…。</t>
  </si>
  <si>
    <t>番組名SUITS/スーツ【消えた20億円の謎!敵は巨大投資詐欺グループ】　#06</t>
  </si>
  <si>
    <r>
      <rPr>
        <rFont val="ＭＳ Ｐゴシック"/>
        <sz val="10.0"/>
      </rPr>
      <t>甲斐</t>
    </r>
    <r>
      <rPr>
        <rFont val="Arial"/>
        <sz val="10.0"/>
      </rPr>
      <t>(</t>
    </r>
    <r>
      <rPr>
        <rFont val="ＭＳ Ｐゴシック"/>
        <sz val="10.0"/>
      </rPr>
      <t>織田裕二</t>
    </r>
    <r>
      <rPr>
        <rFont val="Arial"/>
        <sz val="10.0"/>
      </rPr>
      <t>)</t>
    </r>
    <r>
      <rPr>
        <rFont val="ＭＳ Ｐゴシック"/>
        <sz val="10.0"/>
      </rPr>
      <t>は、チカ</t>
    </r>
    <r>
      <rPr>
        <rFont val="Arial"/>
        <sz val="10.0"/>
      </rPr>
      <t>(</t>
    </r>
    <r>
      <rPr>
        <rFont val="ＭＳ Ｐゴシック"/>
        <sz val="10.0"/>
      </rPr>
      <t>鈴木保奈美</t>
    </r>
    <r>
      <rPr>
        <rFont val="Arial"/>
        <sz val="10.0"/>
      </rPr>
      <t>)</t>
    </r>
    <r>
      <rPr>
        <rFont val="ＭＳ Ｐゴシック"/>
        <sz val="10.0"/>
      </rPr>
      <t>から、日本有数の資産家で、慈善事業にも尽力している内海財団の会長・内海真須美</t>
    </r>
    <r>
      <rPr>
        <rFont val="Arial"/>
        <sz val="10.0"/>
      </rPr>
      <t>(</t>
    </r>
    <r>
      <rPr>
        <rFont val="ＭＳ Ｐゴシック"/>
        <sz val="10.0"/>
      </rPr>
      <t>ジュディ・オング</t>
    </r>
    <r>
      <rPr>
        <rFont val="Arial"/>
        <sz val="10.0"/>
      </rPr>
      <t>)</t>
    </r>
    <r>
      <rPr>
        <rFont val="ＭＳ Ｐゴシック"/>
        <sz val="10.0"/>
      </rPr>
      <t>を紹介される。内海は、轟フィナンシャルが手がけるインドネシアの発電所建設に</t>
    </r>
    <r>
      <rPr>
        <rFont val="Arial"/>
        <sz val="10.0"/>
      </rPr>
      <t>20</t>
    </r>
    <r>
      <rPr>
        <rFont val="ＭＳ Ｐゴシック"/>
        <sz val="10.0"/>
      </rPr>
      <t>億円を投資していた。だが、建設計画が頓挫したため、資金を回収したいという。チカは、蟹江</t>
    </r>
    <r>
      <rPr>
        <rFont val="Arial"/>
        <sz val="10.0"/>
      </rPr>
      <t>(</t>
    </r>
    <r>
      <rPr>
        <rFont val="ＭＳ Ｐゴシック"/>
        <sz val="10.0"/>
      </rPr>
      <t>小手伸也</t>
    </r>
    <r>
      <rPr>
        <rFont val="Arial"/>
        <sz val="10.0"/>
      </rPr>
      <t>)</t>
    </r>
    <r>
      <rPr>
        <rFont val="ＭＳ Ｐゴシック"/>
        <sz val="10.0"/>
      </rPr>
      <t>と組んで対処するよう甲斐に指示する。</t>
    </r>
    <r>
      <rPr>
        <rFont val="Arial"/>
        <sz val="10.0"/>
      </rPr>
      <t xml:space="preserve">  </t>
    </r>
    <r>
      <rPr>
        <rFont val="ＭＳ Ｐゴシック"/>
        <sz val="10.0"/>
      </rPr>
      <t>蟹江は、大輔</t>
    </r>
    <r>
      <rPr>
        <rFont val="Arial"/>
        <sz val="10.0"/>
      </rPr>
      <t>(</t>
    </r>
    <r>
      <rPr>
        <rFont val="ＭＳ Ｐゴシック"/>
        <sz val="10.0"/>
      </rPr>
      <t>中島裕翔</t>
    </r>
    <r>
      <rPr>
        <rFont val="Arial"/>
        <sz val="10.0"/>
      </rPr>
      <t>)</t>
    </r>
    <r>
      <rPr>
        <rFont val="ＭＳ Ｐゴシック"/>
        <sz val="10.0"/>
      </rPr>
      <t>に轟フィナンシャルの資産をあぶり出すよう命じた。そこにやってきた甲斐は、大輔を連れ出す。甲斐に相談を持ち掛けてきたのは、リゾート開発会社『アテナリゾート』の藤原一輝</t>
    </r>
    <r>
      <rPr>
        <rFont val="Arial"/>
        <sz val="10.0"/>
      </rPr>
      <t>(</t>
    </r>
    <r>
      <rPr>
        <rFont val="ＭＳ Ｐゴシック"/>
        <sz val="10.0"/>
      </rPr>
      <t>大澄賢也</t>
    </r>
    <r>
      <rPr>
        <rFont val="Arial"/>
        <sz val="10.0"/>
      </rPr>
      <t>)</t>
    </r>
    <r>
      <rPr>
        <rFont val="ＭＳ Ｐゴシック"/>
        <sz val="10.0"/>
      </rPr>
      <t>だった。藤原の娘で大学院生の華名</t>
    </r>
    <r>
      <rPr>
        <rFont val="Arial"/>
        <sz val="10.0"/>
      </rPr>
      <t>(</t>
    </r>
    <r>
      <rPr>
        <rFont val="ＭＳ Ｐゴシック"/>
        <sz val="10.0"/>
      </rPr>
      <t>佐久間由衣</t>
    </r>
    <r>
      <rPr>
        <rFont val="Arial"/>
        <sz val="10.0"/>
      </rPr>
      <t>)</t>
    </r>
    <r>
      <rPr>
        <rFont val="ＭＳ Ｐゴシック"/>
        <sz val="10.0"/>
      </rPr>
      <t>が、社員証を偽造して会社に侵入していたのだという。実は華名は、会社の口座から</t>
    </r>
    <r>
      <rPr>
        <rFont val="Arial"/>
        <sz val="10.0"/>
      </rPr>
      <t>1</t>
    </r>
    <r>
      <rPr>
        <rFont val="ＭＳ Ｐゴシック"/>
        <sz val="10.0"/>
      </rPr>
      <t>億円以上を別口座に移していた。</t>
    </r>
    <r>
      <rPr>
        <rFont val="Arial"/>
        <sz val="10.0"/>
      </rPr>
      <t xml:space="preserve">  </t>
    </r>
    <r>
      <rPr>
        <rFont val="ＭＳ Ｐゴシック"/>
        <sz val="10.0"/>
      </rPr>
      <t>同じころ、蟹江は、轟フィナンシャルの経理部長・小堺晴彦</t>
    </r>
    <r>
      <rPr>
        <rFont val="Arial"/>
        <sz val="10.0"/>
      </rPr>
      <t>(</t>
    </r>
    <r>
      <rPr>
        <rFont val="ＭＳ Ｐゴシック"/>
        <sz val="10.0"/>
      </rPr>
      <t>春海四方</t>
    </r>
    <r>
      <rPr>
        <rFont val="Arial"/>
        <sz val="10.0"/>
      </rPr>
      <t>)</t>
    </r>
    <r>
      <rPr>
        <rFont val="ＭＳ Ｐゴシック"/>
        <sz val="10.0"/>
      </rPr>
      <t>と弁護士の毛利徹</t>
    </r>
    <r>
      <rPr>
        <rFont val="Arial"/>
        <sz val="10.0"/>
      </rPr>
      <t>(</t>
    </r>
    <r>
      <rPr>
        <rFont val="ＭＳ Ｐゴシック"/>
        <sz val="10.0"/>
      </rPr>
      <t>小松和重</t>
    </r>
    <r>
      <rPr>
        <rFont val="Arial"/>
        <sz val="10.0"/>
      </rPr>
      <t>)</t>
    </r>
    <r>
      <rPr>
        <rFont val="ＭＳ Ｐゴシック"/>
        <sz val="10.0"/>
      </rPr>
      <t>、アソシエイト弁護士の米倉和博</t>
    </r>
    <r>
      <rPr>
        <rFont val="Arial"/>
        <sz val="10.0"/>
      </rPr>
      <t>(</t>
    </r>
    <r>
      <rPr>
        <rFont val="ＭＳ Ｐゴシック"/>
        <sz val="10.0"/>
      </rPr>
      <t>宮田佳典</t>
    </r>
    <r>
      <rPr>
        <rFont val="Arial"/>
        <sz val="10.0"/>
      </rPr>
      <t>)</t>
    </r>
    <r>
      <rPr>
        <rFont val="ＭＳ Ｐゴシック"/>
        <sz val="10.0"/>
      </rPr>
      <t>と会っていた。小堺が香港に口座を作り</t>
    </r>
    <r>
      <rPr>
        <rFont val="Arial"/>
        <sz val="10.0"/>
      </rPr>
      <t>3000</t>
    </r>
    <r>
      <rPr>
        <rFont val="ＭＳ Ｐゴシック"/>
        <sz val="10.0"/>
      </rPr>
      <t>万円の資金を移したことを掴んでいた蟹江は、彼を厳しい口調で責め立てた。すると小堺は急に体調を崩し、そのまま息を引き取ってしまう。</t>
    </r>
    <r>
      <rPr>
        <rFont val="Arial"/>
        <sz val="10.0"/>
      </rPr>
      <t xml:space="preserve">  </t>
    </r>
    <r>
      <rPr>
        <rFont val="ＭＳ Ｐゴシック"/>
        <sz val="10.0"/>
      </rPr>
      <t>そんな折、大輔は華名に会いに行く。華名は、アテナリゾートが不都合な環境予測データを隠蔽</t>
    </r>
    <r>
      <rPr>
        <rFont val="Arial"/>
        <sz val="10.0"/>
      </rPr>
      <t>(</t>
    </r>
    <r>
      <rPr>
        <rFont val="ＭＳ Ｐゴシック"/>
        <sz val="10.0"/>
      </rPr>
      <t>いんぺい</t>
    </r>
    <r>
      <rPr>
        <rFont val="Arial"/>
        <sz val="10.0"/>
      </rPr>
      <t>)</t>
    </r>
    <r>
      <rPr>
        <rFont val="ＭＳ Ｐゴシック"/>
        <sz val="10.0"/>
      </rPr>
      <t>して人口</t>
    </r>
    <r>
      <rPr>
        <rFont val="Arial"/>
        <sz val="10.0"/>
      </rPr>
      <t>500</t>
    </r>
    <r>
      <rPr>
        <rFont val="ＭＳ Ｐゴシック"/>
        <sz val="10.0"/>
      </rPr>
      <t>人ほどの小さな島にホテルを建てたことが許せないらしく</t>
    </r>
    <r>
      <rPr>
        <rFont val="Arial"/>
        <sz val="10.0"/>
      </rPr>
      <t>…</t>
    </r>
    <r>
      <rPr>
        <rFont val="ＭＳ Ｐゴシック"/>
        <sz val="10.0"/>
      </rPr>
      <t>。</t>
    </r>
  </si>
  <si>
    <t>甲斐(織田裕二)は、チカ(鈴木保奈美)から、日本有数の資産家で、慈善事業にも尽力している内海財団の会長・内海真須美(ジュディ・オング)を紹介される。内海は、轟フィナンシャルが手がけるインドネシアの発電所建設に20億円を投資していた。だが、建設計画が頓挫したため、資金を回収したいという。チカは、蟹江(小手伸也)と組んで対処するよう甲斐に指示する。  蟹江は、大輔(中島裕翔)に轟フィナンシャルの資産をあぶり出すよう命じた。そこにやってきた甲斐は、大輔を連れ出す。甲斐に相談を持ち掛けてきたのは、リゾート開発会社『アテナリゾート』の藤原一輝(大澄賢也)だった。藤原の娘で大学院生の華名(佐久間由衣)が、社員証を偽造して会社に侵入していたのだという。実は華名は、会社の口座から1億円以上を別口座に移していた。  同じころ、蟹江は、轟フィナンシャルの経理部長・小堺晴彦(春海四方)と弁護士の毛利徹(小松和重)、アソシエイト弁護士の米倉和博(宮田佳典)と会っていた。小堺が香港に口座を作り3000万円の資金を移したことを掴んでいた蟹江は、彼を厳しい口調で責め立てた。すると小堺は急に体調を崩し、そのまま息を引き取ってしまう。  そんな折、大輔は華名に会いに行く。華名は、アテナリゾートが不都合な環境予測データを隠蔽(いんぺい)して人口500人ほどの小さな島にホテルを建てたことが許せないらしく…。</t>
  </si>
  <si>
    <t>番組名SUITS/スーツ【超緊急事態発生!!敵は史上最強の弁護士!!】　#07</t>
  </si>
  <si>
    <r>
      <rPr>
        <rFont val="ＭＳ Ｐゴシック"/>
        <sz val="10.0"/>
      </rPr>
      <t>甲斐</t>
    </r>
    <r>
      <rPr>
        <rFont val="Arial"/>
        <sz val="10.0"/>
      </rPr>
      <t>(</t>
    </r>
    <r>
      <rPr>
        <rFont val="ＭＳ Ｐゴシック"/>
        <sz val="10.0"/>
      </rPr>
      <t>織田裕二</t>
    </r>
    <r>
      <rPr>
        <rFont val="Arial"/>
        <sz val="10.0"/>
      </rPr>
      <t>)</t>
    </r>
    <r>
      <rPr>
        <rFont val="ＭＳ Ｐゴシック"/>
        <sz val="10.0"/>
      </rPr>
      <t>は、クライアントの『桜庭リゾート</t>
    </r>
    <r>
      <rPr>
        <rFont val="Arial"/>
        <sz val="10.0"/>
      </rPr>
      <t>&amp;</t>
    </r>
    <r>
      <rPr>
        <rFont val="ＭＳ Ｐゴシック"/>
        <sz val="10.0"/>
      </rPr>
      <t>ホテル』社長・桜庭庸司</t>
    </r>
    <r>
      <rPr>
        <rFont val="Arial"/>
        <sz val="10.0"/>
      </rPr>
      <t>(</t>
    </r>
    <r>
      <rPr>
        <rFont val="ＭＳ Ｐゴシック"/>
        <sz val="10.0"/>
      </rPr>
      <t>高橋洋</t>
    </r>
    <r>
      <rPr>
        <rFont val="Arial"/>
        <sz val="10.0"/>
      </rPr>
      <t>)</t>
    </r>
    <r>
      <rPr>
        <rFont val="ＭＳ Ｐゴシック"/>
        <sz val="10.0"/>
      </rPr>
      <t>に会いに行く。桜庭は、ここ</t>
    </r>
    <r>
      <rPr>
        <rFont val="Arial"/>
        <sz val="10.0"/>
      </rPr>
      <t>10</t>
    </r>
    <r>
      <rPr>
        <rFont val="ＭＳ Ｐゴシック"/>
        <sz val="10.0"/>
      </rPr>
      <t>年の間に</t>
    </r>
    <r>
      <rPr>
        <rFont val="Arial"/>
        <sz val="10.0"/>
      </rPr>
      <t>13</t>
    </r>
    <r>
      <rPr>
        <rFont val="ＭＳ Ｐゴシック"/>
        <sz val="10.0"/>
      </rPr>
      <t>ものホテルを造り上げ、内</t>
    </r>
    <r>
      <rPr>
        <rFont val="Arial"/>
        <sz val="10.0"/>
      </rPr>
      <t>4</t>
    </r>
    <r>
      <rPr>
        <rFont val="ＭＳ Ｐゴシック"/>
        <sz val="10.0"/>
      </rPr>
      <t>カ所は五つ星の評価を得ることが決まっていた。そんな桜庭のもとに、大手ホテルグループ『</t>
    </r>
    <r>
      <rPr>
        <rFont val="Arial"/>
        <sz val="10.0"/>
      </rPr>
      <t>KJO</t>
    </r>
    <r>
      <rPr>
        <rFont val="ＭＳ Ｐゴシック"/>
        <sz val="10.0"/>
      </rPr>
      <t>』社長のジーン・クライン</t>
    </r>
    <r>
      <rPr>
        <rFont val="Arial"/>
        <sz val="10.0"/>
      </rPr>
      <t>(</t>
    </r>
    <r>
      <rPr>
        <rFont val="ＭＳ Ｐゴシック"/>
        <sz val="10.0"/>
      </rPr>
      <t>クリス・バテン</t>
    </r>
    <r>
      <rPr>
        <rFont val="Arial"/>
        <sz val="10.0"/>
      </rPr>
      <t>)</t>
    </r>
    <r>
      <rPr>
        <rFont val="ＭＳ Ｐゴシック"/>
        <sz val="10.0"/>
      </rPr>
      <t>から合併の提案があったという。『</t>
    </r>
    <r>
      <rPr>
        <rFont val="Arial"/>
        <sz val="10.0"/>
      </rPr>
      <t>KJO</t>
    </r>
    <r>
      <rPr>
        <rFont val="ＭＳ Ｐゴシック"/>
        <sz val="10.0"/>
      </rPr>
      <t>』の代理人弁護士は、大手ファーム『弁護士法人セイント』に移籍した木次谷公一</t>
    </r>
    <r>
      <rPr>
        <rFont val="Arial"/>
        <sz val="10.0"/>
      </rPr>
      <t>(</t>
    </r>
    <r>
      <rPr>
        <rFont val="ＭＳ Ｐゴシック"/>
        <sz val="10.0"/>
      </rPr>
      <t>橋本さとし</t>
    </r>
    <r>
      <rPr>
        <rFont val="Arial"/>
        <sz val="10.0"/>
      </rPr>
      <t>)</t>
    </r>
    <r>
      <rPr>
        <rFont val="ＭＳ Ｐゴシック"/>
        <sz val="10.0"/>
      </rPr>
      <t>だった。</t>
    </r>
    <r>
      <rPr>
        <rFont val="Arial"/>
        <sz val="10.0"/>
      </rPr>
      <t xml:space="preserve">  </t>
    </r>
    <r>
      <rPr>
        <rFont val="ＭＳ Ｐゴシック"/>
        <sz val="10.0"/>
      </rPr>
      <t xml:space="preserve">　大輔</t>
    </r>
    <r>
      <rPr>
        <rFont val="Arial"/>
        <sz val="10.0"/>
      </rPr>
      <t>(</t>
    </r>
    <r>
      <rPr>
        <rFont val="ＭＳ Ｐゴシック"/>
        <sz val="10.0"/>
      </rPr>
      <t>中島裕翔</t>
    </r>
    <r>
      <rPr>
        <rFont val="Arial"/>
        <sz val="10.0"/>
      </rPr>
      <t>)</t>
    </r>
    <r>
      <rPr>
        <rFont val="ＭＳ Ｐゴシック"/>
        <sz val="10.0"/>
      </rPr>
      <t>は、司法試験を目指しているものの受験恐怖症に悩んでいた真琴</t>
    </r>
    <r>
      <rPr>
        <rFont val="Arial"/>
        <sz val="10.0"/>
      </rPr>
      <t>(</t>
    </r>
    <r>
      <rPr>
        <rFont val="ＭＳ Ｐゴシック"/>
        <sz val="10.0"/>
      </rPr>
      <t>新木優子</t>
    </r>
    <r>
      <rPr>
        <rFont val="Arial"/>
        <sz val="10.0"/>
      </rPr>
      <t>)</t>
    </r>
    <r>
      <rPr>
        <rFont val="ＭＳ Ｐゴシック"/>
        <sz val="10.0"/>
      </rPr>
      <t>に協力を申し出る。大輔と真琴は、さっそく試験対策に取り組み始める。同じころ『幸村・上杉法律事務所』では新人弁護士の採用面接が行われていた。そこで大輔は、真琴と談笑していた女性・町田日向子</t>
    </r>
    <r>
      <rPr>
        <rFont val="Arial"/>
        <sz val="10.0"/>
      </rPr>
      <t>(</t>
    </r>
    <r>
      <rPr>
        <rFont val="ＭＳ Ｐゴシック"/>
        <sz val="10.0"/>
      </rPr>
      <t>石橋静河</t>
    </r>
    <r>
      <rPr>
        <rFont val="Arial"/>
        <sz val="10.0"/>
      </rPr>
      <t>)</t>
    </r>
    <r>
      <rPr>
        <rFont val="ＭＳ Ｐゴシック"/>
        <sz val="10.0"/>
      </rPr>
      <t>の姿を見つけ驚く。実は大輔は、司法試験で日向子の替え玉受験をしていたのだ。事情を知った甲斐は、本人が替え玉のことを話すわけがないから心配ない、と大輔に告げるが</t>
    </r>
    <r>
      <rPr>
        <rFont val="Arial"/>
        <sz val="10.0"/>
      </rPr>
      <t>……</t>
    </r>
    <r>
      <rPr>
        <rFont val="ＭＳ Ｐゴシック"/>
        <sz val="10.0"/>
      </rPr>
      <t>。</t>
    </r>
    <r>
      <rPr>
        <rFont val="Arial"/>
        <sz val="10.0"/>
      </rPr>
      <t xml:space="preserve">  </t>
    </r>
    <r>
      <rPr>
        <rFont val="ＭＳ Ｐゴシック"/>
        <sz val="10.0"/>
      </rPr>
      <t xml:space="preserve">　甲斐に命じられて『</t>
    </r>
    <r>
      <rPr>
        <rFont val="Arial"/>
        <sz val="10.0"/>
      </rPr>
      <t>KJO</t>
    </r>
    <r>
      <rPr>
        <rFont val="ＭＳ Ｐゴシック"/>
        <sz val="10.0"/>
      </rPr>
      <t>』グループを調べていた大輔は、グループがタイに所有するホテルで従業員のストライキがあったことを掴む。甲斐は、合併交渉を優位に進めるため、木次谷の息子の替え玉受験をしたことがある大輔をともない『セイント』を訪れる。そこで大輔は『セイント』の代表が真琴の父・聖澤敬一郎</t>
    </r>
    <r>
      <rPr>
        <rFont val="Arial"/>
        <sz val="10.0"/>
      </rPr>
      <t>(</t>
    </r>
    <r>
      <rPr>
        <rFont val="ＭＳ Ｐゴシック"/>
        <sz val="10.0"/>
      </rPr>
      <t>竹中直人</t>
    </r>
    <r>
      <rPr>
        <rFont val="Arial"/>
        <sz val="10.0"/>
      </rPr>
      <t>)</t>
    </r>
    <r>
      <rPr>
        <rFont val="ＭＳ Ｐゴシック"/>
        <sz val="10.0"/>
      </rPr>
      <t>であることを知り</t>
    </r>
    <r>
      <rPr>
        <rFont val="Arial"/>
        <sz val="10.0"/>
      </rPr>
      <t>……</t>
    </r>
    <r>
      <rPr>
        <rFont val="ＭＳ Ｐゴシック"/>
        <sz val="10.0"/>
      </rPr>
      <t>。</t>
    </r>
  </si>
  <si>
    <t>甲斐(織田裕二)は、クライアントの『桜庭リゾート&amp;ホテル』社長・桜庭庸司(高橋洋)に会いに行く。桜庭は、ここ10年の間に13ものホテルを造り上げ、内4カ所は五つ星の評価を得ることが決まっていた。そんな桜庭のもとに、大手ホテルグループ『KJO』社長のジーン・クライン(クリス・バテン)から合併の提案があったという。『KJO』の代理人弁護士は、大手ファーム『弁護士法人セイント』に移籍した木次谷公一(橋本さとし)だった。  　大輔(中島裕翔)は、司法試験を目指しているものの受験恐怖症に悩んでいた真琴(新木優子)に協力を申し出る。大輔と真琴は、さっそく試験対策に取り組み始める。同じころ『幸村・上杉法律事務所』では新人弁護士の採用面接が行われていた。そこで大輔は、真琴と談笑していた女性・町田日向子(石橋静河)の姿を見つけ驚く。実は大輔は、司法試験で日向子の替え玉受験をしていたのだ。事情を知った甲斐は、本人が替え玉のことを話すわけがないから心配ない、と大輔に告げるが……。  　甲斐に命じられて『KJO』グループを調べていた大輔は、グループがタイに所有するホテルで従業員のストライキがあったことを掴む。甲斐は、合併交渉を優位に進めるため、木次谷の息子の替え玉受験をしたことがある大輔をともない『セイント』を訪れる。そこで大輔は『セイント』の代表が真琴の父・聖澤敬一郎(竹中直人)であることを知り……。</t>
  </si>
  <si>
    <t>番組名SUITS/スーツ【今夜ドラマ放送中にスペシャルサプライズ決行!!】　#08</t>
  </si>
  <si>
    <r>
      <rPr>
        <rFont val="Arial"/>
        <sz val="10.0"/>
      </rPr>
      <t xml:space="preserve"> </t>
    </r>
    <r>
      <rPr>
        <rFont val="ＭＳ Ｐゴシック"/>
        <sz val="10.0"/>
      </rPr>
      <t>※プレゼント企画あり</t>
    </r>
    <r>
      <rPr>
        <rFont val="Arial"/>
        <sz val="10.0"/>
      </rPr>
      <t>!</t>
    </r>
    <r>
      <rPr>
        <rFont val="ＭＳ Ｐゴシック"/>
        <sz val="10.0"/>
      </rPr>
      <t>甲斐</t>
    </r>
    <r>
      <rPr>
        <rFont val="Arial"/>
        <sz val="10.0"/>
      </rPr>
      <t>(</t>
    </r>
    <r>
      <rPr>
        <rFont val="ＭＳ Ｐゴシック"/>
        <sz val="10.0"/>
      </rPr>
      <t>織田裕二</t>
    </r>
    <r>
      <rPr>
        <rFont val="Arial"/>
        <sz val="10.0"/>
      </rPr>
      <t>)</t>
    </r>
    <r>
      <rPr>
        <rFont val="ＭＳ Ｐゴシック"/>
        <sz val="10.0"/>
      </rPr>
      <t>は、大輔</t>
    </r>
    <r>
      <rPr>
        <rFont val="Arial"/>
        <sz val="10.0"/>
      </rPr>
      <t>(</t>
    </r>
    <r>
      <rPr>
        <rFont val="ＭＳ Ｐゴシック"/>
        <sz val="10.0"/>
      </rPr>
      <t>中島裕翔</t>
    </r>
    <r>
      <rPr>
        <rFont val="Arial"/>
        <sz val="10.0"/>
      </rPr>
      <t>)</t>
    </r>
    <r>
      <rPr>
        <rFont val="ＭＳ Ｐゴシック"/>
        <sz val="10.0"/>
      </rPr>
      <t>、真琴</t>
    </r>
    <r>
      <rPr>
        <rFont val="Arial"/>
        <sz val="10.0"/>
      </rPr>
      <t>(</t>
    </r>
    <r>
      <rPr>
        <rFont val="ＭＳ Ｐゴシック"/>
        <sz val="10.0"/>
      </rPr>
      <t>新木優子</t>
    </r>
    <r>
      <rPr>
        <rFont val="Arial"/>
        <sz val="10.0"/>
      </rPr>
      <t>)</t>
    </r>
    <r>
      <rPr>
        <rFont val="ＭＳ Ｐゴシック"/>
        <sz val="10.0"/>
      </rPr>
      <t>らとともに、大手建設会社『烏丸建設』を相手取った集団訴訟に取り組む。この案件は、烏丸建設が一時期使用していた有害性塗料による健康被害を訴えた、原告団総勢</t>
    </r>
    <r>
      <rPr>
        <rFont val="Arial"/>
        <sz val="10.0"/>
      </rPr>
      <t>462</t>
    </r>
    <r>
      <rPr>
        <rFont val="ＭＳ Ｐゴシック"/>
        <sz val="10.0"/>
      </rPr>
      <t>人の大きな訴訟だが、一審で東京地裁は原告団の請求を棄却していた。</t>
    </r>
    <r>
      <rPr>
        <rFont val="Arial"/>
        <sz val="10.0"/>
      </rPr>
      <t xml:space="preserve">  </t>
    </r>
    <r>
      <rPr>
        <rFont val="ＭＳ Ｐゴシック"/>
        <sz val="10.0"/>
      </rPr>
      <t>甲斐たちは、さっそく原告団代表の水原美咲</t>
    </r>
    <r>
      <rPr>
        <rFont val="Arial"/>
        <sz val="10.0"/>
      </rPr>
      <t>(</t>
    </r>
    <r>
      <rPr>
        <rFont val="ＭＳ Ｐゴシック"/>
        <sz val="10.0"/>
      </rPr>
      <t>矢田亜希子</t>
    </r>
    <r>
      <rPr>
        <rFont val="Arial"/>
        <sz val="10.0"/>
      </rPr>
      <t>)</t>
    </r>
    <r>
      <rPr>
        <rFont val="ＭＳ Ｐゴシック"/>
        <sz val="10.0"/>
      </rPr>
      <t>、佐藤鈴子</t>
    </r>
    <r>
      <rPr>
        <rFont val="Arial"/>
        <sz val="10.0"/>
      </rPr>
      <t>(</t>
    </r>
    <r>
      <rPr>
        <rFont val="ＭＳ Ｐゴシック"/>
        <sz val="10.0"/>
      </rPr>
      <t>宍戸美和公</t>
    </r>
    <r>
      <rPr>
        <rFont val="Arial"/>
        <sz val="10.0"/>
      </rPr>
      <t>)</t>
    </r>
    <r>
      <rPr>
        <rFont val="ＭＳ Ｐゴシック"/>
        <sz val="10.0"/>
      </rPr>
      <t>たちから話を聞く。そこで、一審を担当した原告団の弁護士が、裁判の直前になって過去のスキャンダルで叩かれ、ついには廃業にまで追い込まれていたことを知る甲斐たち。それには、烏丸建設の顧問弁護士ーー甲斐の後輩でもあるスタンリー法律事務所の畠中美智瑠</t>
    </r>
    <r>
      <rPr>
        <rFont val="Arial"/>
        <sz val="10.0"/>
      </rPr>
      <t>(</t>
    </r>
    <r>
      <rPr>
        <rFont val="ＭＳ Ｐゴシック"/>
        <sz val="10.0"/>
      </rPr>
      <t>山本未來</t>
    </r>
    <r>
      <rPr>
        <rFont val="Arial"/>
        <sz val="10.0"/>
      </rPr>
      <t>)</t>
    </r>
    <r>
      <rPr>
        <rFont val="ＭＳ Ｐゴシック"/>
        <sz val="10.0"/>
      </rPr>
      <t>が関わっているといううわさもあるらしい。甲斐は、美智瑠が代理人となった過去の裁判を徹底的に調べるよう大輔たちに指示した。</t>
    </r>
    <r>
      <rPr>
        <rFont val="Arial"/>
        <sz val="10.0"/>
      </rPr>
      <t xml:space="preserve">  </t>
    </r>
    <r>
      <rPr>
        <rFont val="ＭＳ Ｐゴシック"/>
        <sz val="10.0"/>
      </rPr>
      <t>一方、大輔とともに甲斐のサポートをしていた健斗</t>
    </r>
    <r>
      <rPr>
        <rFont val="Arial"/>
        <sz val="10.0"/>
      </rPr>
      <t>(</t>
    </r>
    <r>
      <rPr>
        <rFont val="ＭＳ Ｐゴシック"/>
        <sz val="10.0"/>
      </rPr>
      <t>岩井拳士朗</t>
    </r>
    <r>
      <rPr>
        <rFont val="Arial"/>
        <sz val="10.0"/>
      </rPr>
      <t>)</t>
    </r>
    <r>
      <rPr>
        <rFont val="ＭＳ Ｐゴシック"/>
        <sz val="10.0"/>
      </rPr>
      <t>は、膨大な情報を読み込んでいく大輔の姿に圧倒されつつも、真琴に向かってある疑念を口にする。健斗は、以前、大輔が「ダイキ」と呼ばれているのを聞いたことがあるというのだ。</t>
    </r>
    <r>
      <rPr>
        <rFont val="Arial"/>
        <sz val="10.0"/>
      </rPr>
      <t xml:space="preserve">  </t>
    </r>
    <r>
      <rPr>
        <rFont val="ＭＳ Ｐゴシック"/>
        <sz val="10.0"/>
      </rPr>
      <t>そんな折、甲斐のもとに、突然、美智瑠が現れる。美智瑠は、甲斐たちが作成した原告団情報を含む社外秘の資料を持っていた。何者かから送られてきたのだという。それを受け、チカ</t>
    </r>
    <r>
      <rPr>
        <rFont val="Arial"/>
        <sz val="10.0"/>
      </rPr>
      <t>(</t>
    </r>
    <r>
      <rPr>
        <rFont val="ＭＳ Ｐゴシック"/>
        <sz val="10.0"/>
      </rPr>
      <t>鈴木保奈美</t>
    </r>
    <r>
      <rPr>
        <rFont val="Arial"/>
        <sz val="10.0"/>
      </rPr>
      <t>)</t>
    </r>
    <r>
      <rPr>
        <rFont val="ＭＳ Ｐゴシック"/>
        <sz val="10.0"/>
      </rPr>
      <t>は、蟹江</t>
    </r>
    <r>
      <rPr>
        <rFont val="Arial"/>
        <sz val="10.0"/>
      </rPr>
      <t>(</t>
    </r>
    <r>
      <rPr>
        <rFont val="ＭＳ Ｐゴシック"/>
        <sz val="10.0"/>
      </rPr>
      <t>小手伸也</t>
    </r>
    <r>
      <rPr>
        <rFont val="Arial"/>
        <sz val="10.0"/>
      </rPr>
      <t>)</t>
    </r>
    <r>
      <rPr>
        <rFont val="ＭＳ Ｐゴシック"/>
        <sz val="10.0"/>
      </rPr>
      <t>に情報漏えい者の調査を命じるが</t>
    </r>
    <r>
      <rPr>
        <rFont val="Arial"/>
        <sz val="10.0"/>
      </rPr>
      <t>…</t>
    </r>
    <r>
      <rPr>
        <rFont val="ＭＳ Ｐゴシック"/>
        <sz val="10.0"/>
      </rPr>
      <t>。</t>
    </r>
  </si>
  <si>
    <t xml:space="preserve"> ※プレゼント企画あり!甲斐(織田裕二)は、大輔(中島裕翔)、真琴(新木優子)らとともに、大手建設会社『烏丸建設』を相手取った集団訴訟に取り組む。この案件は、烏丸建設が一時期使用していた有害性塗料による健康被害を訴えた、原告団総勢462人の大きな訴訟だが、一審で東京地裁は原告団の請求を棄却していた。  甲斐たちは、さっそく原告団代表の水原美咲(矢田亜希子)、佐藤鈴子(宍戸美和公)たちから話を聞く。そこで、一審を担当した原告団の弁護士が、裁判の直前になって過去のスキャンダルで叩かれ、ついには廃業にまで追い込まれていたことを知る甲斐たち。それには、烏丸建設の顧問弁護士ーー甲斐の後輩でもあるスタンリー法律事務所の畠中美智瑠(山本未來)が関わっているといううわさもあるらしい。甲斐は、美智瑠が代理人となった過去の裁判を徹底的に調べるよう大輔たちに指示した。  一方、大輔とともに甲斐のサポートをしていた健斗(岩井拳士朗)は、膨大な情報を読み込んでいく大輔の姿に圧倒されつつも、真琴に向かってある疑念を口にする。健斗は、以前、大輔が「ダイキ」と呼ばれているのを聞いたことがあるというのだ。  そんな折、甲斐のもとに、突然、美智瑠が現れる。美智瑠は、甲斐たちが作成した原告団情報を含む社外秘の資料を持っていた。何者かから送られてきたのだという。それを受け、チカ(鈴木保奈美)は、蟹江(小手伸也)に情報漏えい者の調査を命じるが…。</t>
  </si>
  <si>
    <t>番組名SUITS/スーツ【今夜ついに最終章!緊急15分拡大スペシャル!】　#09</t>
  </si>
  <si>
    <r>
      <rPr>
        <rFont val="ＭＳ Ｐゴシック"/>
        <sz val="10.0"/>
      </rPr>
      <t xml:space="preserve">　甲斐</t>
    </r>
    <r>
      <rPr>
        <rFont val="Arial"/>
        <sz val="10.0"/>
      </rPr>
      <t>(</t>
    </r>
    <r>
      <rPr>
        <rFont val="ＭＳ Ｐゴシック"/>
        <sz val="10.0"/>
      </rPr>
      <t>織田裕二</t>
    </r>
    <r>
      <rPr>
        <rFont val="Arial"/>
        <sz val="10.0"/>
      </rPr>
      <t>)</t>
    </r>
    <r>
      <rPr>
        <rFont val="ＭＳ Ｐゴシック"/>
        <sz val="10.0"/>
      </rPr>
      <t>は、『幸村・上杉法律事務所』の経営にも参画するシニアパートナーへと昇格する。そのお披露目パーティーの席上で、チカ</t>
    </r>
    <r>
      <rPr>
        <rFont val="Arial"/>
        <sz val="10.0"/>
      </rPr>
      <t>(</t>
    </r>
    <r>
      <rPr>
        <rFont val="ＭＳ Ｐゴシック"/>
        <sz val="10.0"/>
      </rPr>
      <t>鈴木保奈美</t>
    </r>
    <r>
      <rPr>
        <rFont val="Arial"/>
        <sz val="10.0"/>
      </rPr>
      <t>)</t>
    </r>
    <r>
      <rPr>
        <rFont val="ＭＳ Ｐゴシック"/>
        <sz val="10.0"/>
      </rPr>
      <t>は『</t>
    </r>
    <r>
      <rPr>
        <rFont val="Arial"/>
        <sz val="10.0"/>
      </rPr>
      <t>YURI</t>
    </r>
    <r>
      <rPr>
        <rFont val="ＭＳ Ｐゴシック"/>
        <sz val="10.0"/>
      </rPr>
      <t>綜合会計事務所』所長の華村百合</t>
    </r>
    <r>
      <rPr>
        <rFont val="Arial"/>
        <sz val="10.0"/>
      </rPr>
      <t>(</t>
    </r>
    <r>
      <rPr>
        <rFont val="ＭＳ Ｐゴシック"/>
        <sz val="10.0"/>
      </rPr>
      <t>石田ひかり</t>
    </r>
    <r>
      <rPr>
        <rFont val="Arial"/>
        <sz val="10.0"/>
      </rPr>
      <t>)</t>
    </r>
    <r>
      <rPr>
        <rFont val="ＭＳ Ｐゴシック"/>
        <sz val="10.0"/>
      </rPr>
      <t>と、同事務所のエース会計士・大河原忠</t>
    </r>
    <r>
      <rPr>
        <rFont val="Arial"/>
        <sz val="10.0"/>
      </rPr>
      <t>(</t>
    </r>
    <r>
      <rPr>
        <rFont val="ＭＳ Ｐゴシック"/>
        <sz val="10.0"/>
      </rPr>
      <t>西村まさ彦</t>
    </r>
    <r>
      <rPr>
        <rFont val="Arial"/>
        <sz val="10.0"/>
      </rPr>
      <t>)</t>
    </r>
    <r>
      <rPr>
        <rFont val="ＭＳ Ｐゴシック"/>
        <sz val="10.0"/>
      </rPr>
      <t>を甲斐に紹介する。百合の事務所は『幸村・上杉法律事務所』の顧問会計事務所であり、クライアントでもあった。しかも百合は、チカの大親友なのだという。そこで百合は、チカと甲斐に、大河原を解雇したいから助けてほしい、と頼む。</t>
    </r>
    <r>
      <rPr>
        <rFont val="Arial"/>
        <sz val="10.0"/>
      </rPr>
      <t xml:space="preserve">  </t>
    </r>
    <r>
      <rPr>
        <rFont val="ＭＳ Ｐゴシック"/>
        <sz val="10.0"/>
      </rPr>
      <t xml:space="preserve">　甲斐は、大輔</t>
    </r>
    <r>
      <rPr>
        <rFont val="Arial"/>
        <sz val="10.0"/>
      </rPr>
      <t>(</t>
    </r>
    <r>
      <rPr>
        <rFont val="ＭＳ Ｐゴシック"/>
        <sz val="10.0"/>
      </rPr>
      <t>中島裕翔</t>
    </r>
    <r>
      <rPr>
        <rFont val="Arial"/>
        <sz val="10.0"/>
      </rPr>
      <t>)</t>
    </r>
    <r>
      <rPr>
        <rFont val="ＭＳ Ｐゴシック"/>
        <sz val="10.0"/>
      </rPr>
      <t>を連れてファームに戻ると、百合の事務所の定款</t>
    </r>
    <r>
      <rPr>
        <rFont val="Arial"/>
        <sz val="10.0"/>
      </rPr>
      <t>(</t>
    </r>
    <r>
      <rPr>
        <rFont val="ＭＳ Ｐゴシック"/>
        <sz val="10.0"/>
      </rPr>
      <t>ていかん</t>
    </r>
    <r>
      <rPr>
        <rFont val="Arial"/>
        <sz val="10.0"/>
      </rPr>
      <t>)</t>
    </r>
    <r>
      <rPr>
        <rFont val="ＭＳ Ｐゴシック"/>
        <sz val="10.0"/>
      </rPr>
      <t>と雇用契約書を頭に叩き込めと指示する。実は大河原は、出身大学を偽り、無資格にも関わらず会計士として働いていたのだ。それを知った大輔は、大河原と自分の境遇を重ねてしまい、なかなか仕事に集中できない。</t>
    </r>
    <r>
      <rPr>
        <rFont val="Arial"/>
        <sz val="10.0"/>
      </rPr>
      <t xml:space="preserve">  </t>
    </r>
    <r>
      <rPr>
        <rFont val="ＭＳ Ｐゴシック"/>
        <sz val="10.0"/>
      </rPr>
      <t xml:space="preserve">　あくる日、甲斐は、大河原を呼び出し、解雇を告げる。百合の事務所は大河原を訴えず、十分な額の退職金も用意するという条件だった。しかし、</t>
    </r>
    <r>
      <rPr>
        <rFont val="Arial"/>
        <sz val="10.0"/>
      </rPr>
      <t>25</t>
    </r>
    <r>
      <rPr>
        <rFont val="ＭＳ Ｐゴシック"/>
        <sz val="10.0"/>
      </rPr>
      <t>年も事務所に尽くしてきた大河原は突然の解雇に納得できない。そのやり取りを聞いていて我慢できなくなった大輔は、これまでの功績を考えればこんな解雇の仕方なんておかしい、一度百合と話し合うべきだ、とつい口をはさんだ。すると大河原は、大輔に同調して百合を批判し、不当解雇で訴えると言い残して席を立ってしまう。</t>
    </r>
  </si>
  <si>
    <t xml:space="preserve">　甲斐(織田裕二)は、『幸村・上杉法律事務所』の経営にも参画するシニアパートナーへと昇格する。そのお披露目パーティーの席上で、チカ(鈴木保奈美)は『YURI綜合会計事務所』所長の華村百合(石田ひかり)と、同事務所のエース会計士・大河原忠(西村まさ彦)を甲斐に紹介する。百合の事務所は『幸村・上杉法律事務所』の顧問会計事務所であり、クライアントでもあった。しかも百合は、チカの大親友なのだという。そこで百合は、チカと甲斐に、大河原を解雇したいから助けてほしい、と頼む。  　甲斐は、大輔(中島裕翔)を連れてファームに戻ると、百合の事務所の定款(ていかん)と雇用契約書を頭に叩き込めと指示する。実は大河原は、出身大学を偽り、無資格にも関わらず会計士として働いていたのだ。それを知った大輔は、大河原と自分の境遇を重ねてしまい、なかなか仕事に集中できない。  　あくる日、甲斐は、大河原を呼び出し、解雇を告げる。百合の事務所は大河原を訴えず、十分な額の退職金も用意するという条件だった。しかし、25年も事務所に尽くしてきた大河原は突然の解雇に納得できない。そのやり取りを聞いていて我慢できなくなった大輔は、これまでの功績を考えればこんな解雇の仕方なんておかしい、一度百合と話し合うべきだ、とつい口をはさんだ。すると大河原は、大輔に同調して百合を批判し、不当解雇で訴えると言い残して席を立ってしまう。</t>
  </si>
  <si>
    <t>番組名SUITS/スーツ【市川海老蔵がスペシャルゲスト!最終話前編!!】　#10</t>
  </si>
  <si>
    <r>
      <t>13</t>
    </r>
    <r>
      <rPr>
        <rFont val="ＭＳ Ｐゴシック"/>
        <sz val="10.0"/>
      </rPr>
      <t>年前に起こった世田谷女子高生殺人事件。犯人は捕まり解決したものとされていたが、ここにきて冤罪の疑いが生じていた。そんな最中、甲斐</t>
    </r>
    <r>
      <rPr>
        <rFont val="Arial"/>
        <sz val="10.0"/>
      </rPr>
      <t>(</t>
    </r>
    <r>
      <rPr>
        <rFont val="ＭＳ Ｐゴシック"/>
        <sz val="10.0"/>
      </rPr>
      <t>織田裕二</t>
    </r>
    <r>
      <rPr>
        <rFont val="Arial"/>
        <sz val="10.0"/>
      </rPr>
      <t>)</t>
    </r>
    <r>
      <rPr>
        <rFont val="ＭＳ Ｐゴシック"/>
        <sz val="10.0"/>
      </rPr>
      <t>のもとに、最高検の監察指導部の澤田仁志</t>
    </r>
    <r>
      <rPr>
        <rFont val="Arial"/>
        <sz val="10.0"/>
      </rPr>
      <t>(</t>
    </r>
    <r>
      <rPr>
        <rFont val="ＭＳ Ｐゴシック"/>
        <sz val="10.0"/>
      </rPr>
      <t>市川海老蔵</t>
    </r>
    <r>
      <rPr>
        <rFont val="Arial"/>
        <sz val="10.0"/>
      </rPr>
      <t>)</t>
    </r>
    <r>
      <rPr>
        <rFont val="ＭＳ Ｐゴシック"/>
        <sz val="10.0"/>
      </rPr>
      <t>が現れる。澤田は、甲斐の検事時代の後輩であった。甲斐は最高検次長検事の柳慎次</t>
    </r>
    <r>
      <rPr>
        <rFont val="Arial"/>
        <sz val="10.0"/>
      </rPr>
      <t>(</t>
    </r>
    <r>
      <rPr>
        <rFont val="ＭＳ Ｐゴシック"/>
        <sz val="10.0"/>
      </rPr>
      <t>國村隼</t>
    </r>
    <r>
      <rPr>
        <rFont val="Arial"/>
        <sz val="10.0"/>
      </rPr>
      <t>)</t>
    </r>
    <r>
      <rPr>
        <rFont val="ＭＳ Ｐゴシック"/>
        <sz val="10.0"/>
      </rPr>
      <t>の不正への捜査協力を求められる。柳は甲斐の検事時代の親密な恩師であった。協力を拒む甲斐に澤田は「黙ってると先輩も同罪だと思われますよ」と挑発するが、甲斐は取り合わない。</t>
    </r>
    <r>
      <rPr>
        <rFont val="Arial"/>
        <sz val="10.0"/>
      </rPr>
      <t xml:space="preserve">  </t>
    </r>
    <r>
      <rPr>
        <rFont val="ＭＳ Ｐゴシック"/>
        <sz val="10.0"/>
      </rPr>
      <t xml:space="preserve">　チカ</t>
    </r>
    <r>
      <rPr>
        <rFont val="Arial"/>
        <sz val="10.0"/>
      </rPr>
      <t>(</t>
    </r>
    <r>
      <rPr>
        <rFont val="ＭＳ Ｐゴシック"/>
        <sz val="10.0"/>
      </rPr>
      <t>鈴木保奈美</t>
    </r>
    <r>
      <rPr>
        <rFont val="Arial"/>
        <sz val="10.0"/>
      </rPr>
      <t>)</t>
    </r>
    <r>
      <rPr>
        <rFont val="ＭＳ Ｐゴシック"/>
        <sz val="10.0"/>
      </rPr>
      <t>は、遊星</t>
    </r>
    <r>
      <rPr>
        <rFont val="Arial"/>
        <sz val="10.0"/>
      </rPr>
      <t>(</t>
    </r>
    <r>
      <rPr>
        <rFont val="ＭＳ Ｐゴシック"/>
        <sz val="10.0"/>
      </rPr>
      <t>磯村勇斗</t>
    </r>
    <r>
      <rPr>
        <rFont val="Arial"/>
        <sz val="10.0"/>
      </rPr>
      <t>)</t>
    </r>
    <r>
      <rPr>
        <rFont val="ＭＳ Ｐゴシック"/>
        <sz val="10.0"/>
      </rPr>
      <t>からの密告により大輔</t>
    </r>
    <r>
      <rPr>
        <rFont val="Arial"/>
        <sz val="10.0"/>
      </rPr>
      <t>(</t>
    </r>
    <r>
      <rPr>
        <rFont val="ＭＳ Ｐゴシック"/>
        <sz val="10.0"/>
      </rPr>
      <t>中島裕翔</t>
    </r>
    <r>
      <rPr>
        <rFont val="Arial"/>
        <sz val="10.0"/>
      </rPr>
      <t>)</t>
    </r>
    <r>
      <rPr>
        <rFont val="ＭＳ Ｐゴシック"/>
        <sz val="10.0"/>
      </rPr>
      <t>の素性を知る。甲斐を責め、警察に突き出すべきだと主張するチカ。しかし甲斐は、すでに実務をこなしている大輔のことが表沙汰になればファームは終わりだと言い放つ。その際、甲斐は、澤田が柳の件で動いているとチカに報告した。柳は、</t>
    </r>
    <r>
      <rPr>
        <rFont val="Arial"/>
        <sz val="10.0"/>
      </rPr>
      <t>10</t>
    </r>
    <r>
      <rPr>
        <rFont val="ＭＳ Ｐゴシック"/>
        <sz val="10.0"/>
      </rPr>
      <t>年前に裁判を有利に進めるために証拠隠しをしていたのだという。甲斐が検察を辞めたのもそれが原因だった。チカは、柳の件は責任を持って処理するよう命じると、大輔のことは自分が預かる、と甲斐に告げる。</t>
    </r>
    <r>
      <rPr>
        <rFont val="Arial"/>
        <sz val="10.0"/>
      </rPr>
      <t xml:space="preserve">  </t>
    </r>
    <r>
      <rPr>
        <rFont val="ＭＳ Ｐゴシック"/>
        <sz val="10.0"/>
      </rPr>
      <t xml:space="preserve">　そんな折、甲斐のもとに澤田がファームに直接乗り込んでくる。騒然となるファーム。甲斐は澤田に余裕の応対を見せる中、澤田は柳が証拠隠しをしていたという事実を証言するように執拗に迫り「甲斐の弁護士資格の剥奪」さえもほのめかし</t>
    </r>
    <r>
      <rPr>
        <rFont val="Arial"/>
        <sz val="10.0"/>
      </rPr>
      <t>…</t>
    </r>
    <r>
      <rPr>
        <rFont val="ＭＳ Ｐゴシック"/>
        <sz val="10.0"/>
      </rPr>
      <t>。</t>
    </r>
  </si>
  <si>
    <t>13年前に起こった世田谷女子高生殺人事件。犯人は捕まり解決したものとされていたが、ここにきて冤罪の疑いが生じていた。そんな最中、甲斐(織田裕二)のもとに、最高検の監察指導部の澤田仁志(市川海老蔵)が現れる。澤田は、甲斐の検事時代の後輩であった。甲斐は最高検次長検事の柳慎次(國村隼)の不正への捜査協力を求められる。柳は甲斐の検事時代の親密な恩師であった。協力を拒む甲斐に澤田は「黙ってると先輩も同罪だと思われますよ」と挑発するが、甲斐は取り合わない。  　チカ(鈴木保奈美)は、遊星(磯村勇斗)からの密告により大輔(中島裕翔)の素性を知る。甲斐を責め、警察に突き出すべきだと主張するチカ。しかし甲斐は、すでに実務をこなしている大輔のことが表沙汰になればファームは終わりだと言い放つ。その際、甲斐は、澤田が柳の件で動いているとチカに報告した。柳は、10年前に裁判を有利に進めるために証拠隠しをしていたのだという。甲斐が検察を辞めたのもそれが原因だった。チカは、柳の件は責任を持って処理するよう命じると、大輔のことは自分が預かる、と甲斐に告げる。  　そんな折、甲斐のもとに澤田がファームに直接乗り込んでくる。騒然となるファーム。甲斐は澤田に余裕の応対を見せる中、澤田は柳が証拠隠しをしていたという事実を証言するように執拗に迫り「甲斐の弁護士資格の剥奪」さえもほのめかし…。</t>
  </si>
  <si>
    <t>番組名SUITS/スーツ【最終回15分拡大SP!最強の弁護士最終決戦】　#11</t>
  </si>
  <si>
    <r>
      <rPr>
        <rFont val="ＭＳ Ｐゴシック"/>
        <sz val="10.0"/>
      </rPr>
      <t>甲斐</t>
    </r>
    <r>
      <rPr>
        <rFont val="Arial"/>
        <sz val="10.0"/>
      </rPr>
      <t>(</t>
    </r>
    <r>
      <rPr>
        <rFont val="ＭＳ Ｐゴシック"/>
        <sz val="10.0"/>
      </rPr>
      <t>織田裕二</t>
    </r>
    <r>
      <rPr>
        <rFont val="Arial"/>
        <sz val="10.0"/>
      </rPr>
      <t>)</t>
    </r>
    <r>
      <rPr>
        <rFont val="ＭＳ Ｐゴシック"/>
        <sz val="10.0"/>
      </rPr>
      <t>は、澤田仁志</t>
    </r>
    <r>
      <rPr>
        <rFont val="Arial"/>
        <sz val="10.0"/>
      </rPr>
      <t>(</t>
    </r>
    <r>
      <rPr>
        <rFont val="ＭＳ Ｐゴシック"/>
        <sz val="10.0"/>
      </rPr>
      <t>市川海老蔵</t>
    </r>
    <r>
      <rPr>
        <rFont val="Arial"/>
        <sz val="10.0"/>
      </rPr>
      <t>)</t>
    </r>
    <r>
      <rPr>
        <rFont val="ＭＳ Ｐゴシック"/>
        <sz val="10.0"/>
      </rPr>
      <t>から提供された資料から、自らが検事時代に担当した殺人事件が冤罪だったことを知る。上司だった柳慎次</t>
    </r>
    <r>
      <rPr>
        <rFont val="Arial"/>
        <sz val="10.0"/>
      </rPr>
      <t>(</t>
    </r>
    <r>
      <rPr>
        <rFont val="ＭＳ Ｐゴシック"/>
        <sz val="10.0"/>
      </rPr>
      <t>國村隼</t>
    </r>
    <r>
      <rPr>
        <rFont val="Arial"/>
        <sz val="10.0"/>
      </rPr>
      <t>)</t>
    </r>
    <r>
      <rPr>
        <rFont val="ＭＳ Ｐゴシック"/>
        <sz val="10.0"/>
      </rPr>
      <t>が重要な証拠を隠蔽していたのだ。</t>
    </r>
    <r>
      <rPr>
        <rFont val="Arial"/>
        <sz val="10.0"/>
      </rPr>
      <t xml:space="preserve">  </t>
    </r>
    <r>
      <rPr>
        <rFont val="ＭＳ Ｐゴシック"/>
        <sz val="10.0"/>
      </rPr>
      <t xml:space="preserve">　</t>
    </r>
    <r>
      <rPr>
        <rFont val="Arial"/>
        <sz val="10.0"/>
      </rPr>
      <t>13</t>
    </r>
    <r>
      <rPr>
        <rFont val="ＭＳ Ｐゴシック"/>
        <sz val="10.0"/>
      </rPr>
      <t>年前、世田谷で名門私立高校に通う女子高生が惨殺された。強姦目的の殺人として逮捕されたのは、前科がある無職の男・栗林紡</t>
    </r>
    <r>
      <rPr>
        <rFont val="Arial"/>
        <sz val="10.0"/>
      </rPr>
      <t>(</t>
    </r>
    <r>
      <rPr>
        <rFont val="ＭＳ Ｐゴシック"/>
        <sz val="10.0"/>
      </rPr>
      <t>淵上泰史</t>
    </r>
    <r>
      <rPr>
        <rFont val="Arial"/>
        <sz val="10.0"/>
      </rPr>
      <t>)</t>
    </r>
    <r>
      <rPr>
        <rFont val="ＭＳ Ｐゴシック"/>
        <sz val="10.0"/>
      </rPr>
      <t>だったが、本来検証されるべき新証拠が柳によって甲斐の目に触れないところに置かれていた。甲斐は栗林の再審請求することを決意する。自ら起訴した事件を、自らが再審請求、弁護する前代未聞の事態に法曹界は騒然となる。</t>
    </r>
    <r>
      <rPr>
        <rFont val="Arial"/>
        <sz val="10.0"/>
      </rPr>
      <t xml:space="preserve">  </t>
    </r>
    <r>
      <rPr>
        <rFont val="ＭＳ Ｐゴシック"/>
        <sz val="10.0"/>
      </rPr>
      <t xml:space="preserve">　この件で甲斐が検察を敵に回すことになると、澤田が忠告しにくる。再審を諦めることを迫り、またもし甲斐が言うことを聞かなかった場合は「検察は本気で甲斐を潰しにかかる」とはっきりと脅される。柳や澤田の手引きなのか、警察の邪魔さえも度々入り、窮地に陥る。</t>
    </r>
    <r>
      <rPr>
        <rFont val="Arial"/>
        <sz val="10.0"/>
      </rPr>
      <t xml:space="preserve">  </t>
    </r>
    <r>
      <rPr>
        <rFont val="ＭＳ Ｐゴシック"/>
        <sz val="10.0"/>
      </rPr>
      <t xml:space="preserve">　四面楚歌の中、甲斐は、大輔</t>
    </r>
    <r>
      <rPr>
        <rFont val="Arial"/>
        <sz val="10.0"/>
      </rPr>
      <t>(</t>
    </r>
    <r>
      <rPr>
        <rFont val="ＭＳ Ｐゴシック"/>
        <sz val="10.0"/>
      </rPr>
      <t>中島裕翔</t>
    </r>
    <r>
      <rPr>
        <rFont val="Arial"/>
        <sz val="10.0"/>
      </rPr>
      <t>)</t>
    </r>
    <r>
      <rPr>
        <rFont val="ＭＳ Ｐゴシック"/>
        <sz val="10.0"/>
      </rPr>
      <t>と共に再審請求に向けて苦闘する。甲斐はもしこの再審請求が失敗すれば弁護士をやめる覚悟で、また大輔は無資格であることがチカ</t>
    </r>
    <r>
      <rPr>
        <rFont val="Arial"/>
        <sz val="10.0"/>
      </rPr>
      <t>(</t>
    </r>
    <r>
      <rPr>
        <rFont val="ＭＳ Ｐゴシック"/>
        <sz val="10.0"/>
      </rPr>
      <t>鈴木保奈美</t>
    </r>
    <r>
      <rPr>
        <rFont val="Arial"/>
        <sz val="10.0"/>
      </rPr>
      <t>)</t>
    </r>
    <r>
      <rPr>
        <rFont val="ＭＳ Ｐゴシック"/>
        <sz val="10.0"/>
      </rPr>
      <t>にバレたため、最後の案件であるという覚悟で共に臨む。</t>
    </r>
    <r>
      <rPr>
        <rFont val="Arial"/>
        <sz val="10.0"/>
      </rPr>
      <t xml:space="preserve">  </t>
    </r>
    <r>
      <rPr>
        <rFont val="ＭＳ Ｐゴシック"/>
        <sz val="10.0"/>
      </rPr>
      <t xml:space="preserve">　果たして</t>
    </r>
    <r>
      <rPr>
        <rFont val="Arial"/>
        <sz val="10.0"/>
      </rPr>
      <t>2</t>
    </r>
    <r>
      <rPr>
        <rFont val="ＭＳ Ｐゴシック"/>
        <sz val="10.0"/>
      </rPr>
      <t>人の結末は</t>
    </r>
    <r>
      <rPr>
        <rFont val="Arial"/>
        <sz val="10.0"/>
      </rPr>
      <t>…</t>
    </r>
    <r>
      <rPr>
        <rFont val="ＭＳ Ｐゴシック"/>
        <sz val="10.0"/>
      </rPr>
      <t>。</t>
    </r>
  </si>
  <si>
    <t>甲斐(織田裕二)は、澤田仁志(市川海老蔵)から提供された資料から、自らが検事時代に担当した殺人事件が冤罪だったことを知る。上司だった柳慎次(國村隼)が重要な証拠を隠蔽していたのだ。  　13年前、世田谷で名門私立高校に通う女子高生が惨殺された。強姦目的の殺人として逮捕されたのは、前科がある無職の男・栗林紡(淵上泰史)だったが、本来検証されるべき新証拠が柳によって甲斐の目に触れないところに置かれていた。甲斐は栗林の再審請求することを決意する。自ら起訴した事件を、自らが再審請求、弁護する前代未聞の事態に法曹界は騒然となる。  　この件で甲斐が検察を敵に回すことになると、澤田が忠告しにくる。再審を諦めることを迫り、またもし甲斐が言うことを聞かなかった場合は「検察は本気で甲斐を潰しにかかる」とはっきりと脅される。柳や澤田の手引きなのか、警察の邪魔さえも度々入り、窮地に陥る。  　四面楚歌の中、甲斐は、大輔(中島裕翔)と共に再審請求に向けて苦闘する。甲斐はもしこの再審請求が失敗すれば弁護士をやめる覚悟で、また大輔は無資格であることがチカ(鈴木保奈美)にバレたため、最後の案件であるという覚悟で共に臨む。  　果たして2人の結末は…。</t>
  </si>
  <si>
    <t>1810_CX_火21</t>
  </si>
  <si>
    <t>僕らは奇跡でできている</t>
  </si>
  <si>
    <t>番組名僕らは奇跡でできている【高橋一生、常識破りのマイペース講師に!?】　#01</t>
  </si>
  <si>
    <r>
      <rPr>
        <rFont val="ＭＳ Ｐゴシック"/>
        <sz val="10.0"/>
      </rPr>
      <t>相河一輝</t>
    </r>
    <r>
      <rPr>
        <rFont val="Arial"/>
        <sz val="10.0"/>
      </rPr>
      <t>(</t>
    </r>
    <r>
      <rPr>
        <rFont val="ＭＳ Ｐゴシック"/>
        <sz val="10.0"/>
      </rPr>
      <t>高橋一生</t>
    </r>
    <r>
      <rPr>
        <rFont val="Arial"/>
        <sz val="10.0"/>
      </rPr>
      <t>)</t>
    </r>
    <r>
      <rPr>
        <rFont val="ＭＳ Ｐゴシック"/>
        <sz val="10.0"/>
      </rPr>
      <t>は、動物の行動を研究する</t>
    </r>
    <r>
      <rPr>
        <rFont val="Arial"/>
        <sz val="10.0"/>
      </rPr>
      <t>“</t>
    </r>
    <r>
      <rPr>
        <rFont val="ＭＳ Ｐゴシック"/>
        <sz val="10.0"/>
      </rPr>
      <t>動物行動学</t>
    </r>
    <r>
      <rPr>
        <rFont val="Arial"/>
        <sz val="10.0"/>
      </rPr>
      <t>"</t>
    </r>
    <r>
      <rPr>
        <rFont val="ＭＳ Ｐゴシック"/>
        <sz val="10.0"/>
      </rPr>
      <t>を教える大学講師。陶芸家の祖父・相河義高</t>
    </r>
    <r>
      <rPr>
        <rFont val="Arial"/>
        <sz val="10.0"/>
      </rPr>
      <t>(</t>
    </r>
    <r>
      <rPr>
        <rFont val="ＭＳ Ｐゴシック"/>
        <sz val="10.0"/>
      </rPr>
      <t>田中泯</t>
    </r>
    <r>
      <rPr>
        <rFont val="Arial"/>
        <sz val="10.0"/>
      </rPr>
      <t>)</t>
    </r>
    <r>
      <rPr>
        <rFont val="ＭＳ Ｐゴシック"/>
        <sz val="10.0"/>
      </rPr>
      <t>に見守られて育ち、今は住み込みの家政婦・山田妙子</t>
    </r>
    <r>
      <rPr>
        <rFont val="Arial"/>
        <sz val="10.0"/>
      </rPr>
      <t>(</t>
    </r>
    <r>
      <rPr>
        <rFont val="ＭＳ Ｐゴシック"/>
        <sz val="10.0"/>
      </rPr>
      <t>戸田恵子</t>
    </r>
    <r>
      <rPr>
        <rFont val="Arial"/>
        <sz val="10.0"/>
      </rPr>
      <t>)</t>
    </r>
    <r>
      <rPr>
        <rFont val="ＭＳ Ｐゴシック"/>
        <sz val="10.0"/>
      </rPr>
      <t>と暮らしている。</t>
    </r>
    <r>
      <rPr>
        <rFont val="Arial"/>
        <sz val="10.0"/>
      </rPr>
      <t xml:space="preserve">  </t>
    </r>
    <r>
      <rPr>
        <rFont val="ＭＳ Ｐゴシック"/>
        <sz val="10.0"/>
      </rPr>
      <t>半年前、かつて師事した鮫島瞬教授</t>
    </r>
    <r>
      <rPr>
        <rFont val="Arial"/>
        <sz val="10.0"/>
      </rPr>
      <t>(</t>
    </r>
    <r>
      <rPr>
        <rFont val="ＭＳ Ｐゴシック"/>
        <sz val="10.0"/>
      </rPr>
      <t>小林薫</t>
    </r>
    <r>
      <rPr>
        <rFont val="Arial"/>
        <sz val="10.0"/>
      </rPr>
      <t>)</t>
    </r>
    <r>
      <rPr>
        <rFont val="ＭＳ Ｐゴシック"/>
        <sz val="10.0"/>
      </rPr>
      <t>の薦めで講師になったが、生き物の研究に没頭する一方、それ以外には無頓着な一輝。人の話を聞かなかったり、空気を読めず、悪気なく失言してしまうことも少なくない。さらに、職場のルールを守ることができず、事務長の熊野久志</t>
    </r>
    <r>
      <rPr>
        <rFont val="Arial"/>
        <sz val="10.0"/>
      </rPr>
      <t>(</t>
    </r>
    <r>
      <rPr>
        <rFont val="ＭＳ Ｐゴシック"/>
        <sz val="10.0"/>
      </rPr>
      <t>阿南健治</t>
    </r>
    <r>
      <rPr>
        <rFont val="Arial"/>
        <sz val="10.0"/>
      </rPr>
      <t>)</t>
    </r>
    <r>
      <rPr>
        <rFont val="ＭＳ Ｐゴシック"/>
        <sz val="10.0"/>
      </rPr>
      <t>に叱られ、同じ研究室の樫野木聡</t>
    </r>
    <r>
      <rPr>
        <rFont val="Arial"/>
        <sz val="10.0"/>
      </rPr>
      <t>(</t>
    </r>
    <r>
      <rPr>
        <rFont val="ＭＳ Ｐゴシック"/>
        <sz val="10.0"/>
      </rPr>
      <t>要潤</t>
    </r>
    <r>
      <rPr>
        <rFont val="Arial"/>
        <sz val="10.0"/>
      </rPr>
      <t>)</t>
    </r>
    <r>
      <rPr>
        <rFont val="ＭＳ Ｐゴシック"/>
        <sz val="10.0"/>
      </rPr>
      <t>や沼袋順平</t>
    </r>
    <r>
      <rPr>
        <rFont val="Arial"/>
        <sz val="10.0"/>
      </rPr>
      <t>(</t>
    </r>
    <r>
      <rPr>
        <rFont val="ＭＳ Ｐゴシック"/>
        <sz val="10.0"/>
      </rPr>
      <t>児嶋一哉</t>
    </r>
    <r>
      <rPr>
        <rFont val="Arial"/>
        <sz val="10.0"/>
      </rPr>
      <t>)</t>
    </r>
    <r>
      <rPr>
        <rFont val="ＭＳ Ｐゴシック"/>
        <sz val="10.0"/>
      </rPr>
      <t>からも変わり者扱いされていた。</t>
    </r>
    <r>
      <rPr>
        <rFont val="Arial"/>
        <sz val="10.0"/>
      </rPr>
      <t xml:space="preserve">    </t>
    </r>
    <r>
      <rPr>
        <rFont val="ＭＳ Ｐゴシック"/>
        <sz val="10.0"/>
      </rPr>
      <t>そんなある日、不得意なものは先送りにする悪い癖がたたり、歯の痛みが我慢できなくなった一輝は、鮫島の紹介で歯科クリニックを受診。そこで出会った水本育実</t>
    </r>
    <r>
      <rPr>
        <rFont val="Arial"/>
        <sz val="10.0"/>
      </rPr>
      <t>(</t>
    </r>
    <r>
      <rPr>
        <rFont val="ＭＳ Ｐゴシック"/>
        <sz val="10.0"/>
      </rPr>
      <t>榮倉奈々</t>
    </r>
    <r>
      <rPr>
        <rFont val="Arial"/>
        <sz val="10.0"/>
      </rPr>
      <t>)</t>
    </r>
    <r>
      <rPr>
        <rFont val="ＭＳ Ｐゴシック"/>
        <sz val="10.0"/>
      </rPr>
      <t>は、容姿端麗で若くして院長を務める才色兼備なエリート。歯科衛生士の丹沢あかり</t>
    </r>
    <r>
      <rPr>
        <rFont val="Arial"/>
        <sz val="10.0"/>
      </rPr>
      <t>(</t>
    </r>
    <r>
      <rPr>
        <rFont val="ＭＳ Ｐゴシック"/>
        <sz val="10.0"/>
      </rPr>
      <t>トリンドル玲奈</t>
    </r>
    <r>
      <rPr>
        <rFont val="Arial"/>
        <sz val="10.0"/>
      </rPr>
      <t>)</t>
    </r>
    <r>
      <rPr>
        <rFont val="ＭＳ Ｐゴシック"/>
        <sz val="10.0"/>
      </rPr>
      <t>もうらやむような人生を送っていた。早速、一輝の診療にあたる育実だったが、一方的に話したり、診察の時間を守らない一輝の態度にいら立ちを隠せなくなり、「常識っていうものがないんですか</t>
    </r>
    <r>
      <rPr>
        <rFont val="Arial"/>
        <sz val="10.0"/>
      </rPr>
      <t>?</t>
    </r>
    <r>
      <rPr>
        <rFont val="ＭＳ Ｐゴシック"/>
        <sz val="10.0"/>
      </rPr>
      <t>」とキツイ一言を浴びせてしまう。</t>
    </r>
    <r>
      <rPr>
        <rFont val="Arial"/>
        <sz val="10.0"/>
      </rPr>
      <t xml:space="preserve">    </t>
    </r>
    <r>
      <rPr>
        <rFont val="ＭＳ Ｐゴシック"/>
        <sz val="10.0"/>
      </rPr>
      <t>一方、大学では一輝の講義を受けている新庄龍太郎</t>
    </r>
    <r>
      <rPr>
        <rFont val="Arial"/>
        <sz val="10.0"/>
      </rPr>
      <t>(</t>
    </r>
    <r>
      <rPr>
        <rFont val="ＭＳ Ｐゴシック"/>
        <sz val="10.0"/>
      </rPr>
      <t>西畑大吾</t>
    </r>
    <r>
      <rPr>
        <rFont val="Arial"/>
        <sz val="10.0"/>
      </rPr>
      <t>)</t>
    </r>
    <r>
      <rPr>
        <rFont val="ＭＳ Ｐゴシック"/>
        <sz val="10.0"/>
      </rPr>
      <t>や青山琴音</t>
    </r>
    <r>
      <rPr>
        <rFont val="Arial"/>
        <sz val="10.0"/>
      </rPr>
      <t>(</t>
    </r>
    <r>
      <rPr>
        <rFont val="ＭＳ Ｐゴシック"/>
        <sz val="10.0"/>
      </rPr>
      <t>矢作穂香</t>
    </r>
    <r>
      <rPr>
        <rFont val="Arial"/>
        <sz val="10.0"/>
      </rPr>
      <t>)</t>
    </r>
    <r>
      <rPr>
        <rFont val="ＭＳ Ｐゴシック"/>
        <sz val="10.0"/>
      </rPr>
      <t>、尾崎桜</t>
    </r>
    <r>
      <rPr>
        <rFont val="Arial"/>
        <sz val="10.0"/>
      </rPr>
      <t>(</t>
    </r>
    <r>
      <rPr>
        <rFont val="ＭＳ Ｐゴシック"/>
        <sz val="10.0"/>
      </rPr>
      <t>北香那</t>
    </r>
    <r>
      <rPr>
        <rFont val="Arial"/>
        <sz val="10.0"/>
      </rPr>
      <t>)</t>
    </r>
    <r>
      <rPr>
        <rFont val="ＭＳ Ｐゴシック"/>
        <sz val="10.0"/>
      </rPr>
      <t>、須田巧</t>
    </r>
    <r>
      <rPr>
        <rFont val="Arial"/>
        <sz val="10.0"/>
      </rPr>
      <t>(</t>
    </r>
    <r>
      <rPr>
        <rFont val="ＭＳ Ｐゴシック"/>
        <sz val="10.0"/>
      </rPr>
      <t>広田亮平</t>
    </r>
    <r>
      <rPr>
        <rFont val="Arial"/>
        <sz val="10.0"/>
      </rPr>
      <t>)</t>
    </r>
    <r>
      <rPr>
        <rFont val="ＭＳ Ｐゴシック"/>
        <sz val="10.0"/>
      </rPr>
      <t>ら学生たちが、一輝の出した</t>
    </r>
    <r>
      <rPr>
        <rFont val="Arial"/>
        <sz val="10.0"/>
      </rPr>
      <t>“</t>
    </r>
    <r>
      <rPr>
        <rFont val="ＭＳ Ｐゴシック"/>
        <sz val="10.0"/>
      </rPr>
      <t>一風変わった課題</t>
    </r>
    <r>
      <rPr>
        <rFont val="Arial"/>
        <sz val="10.0"/>
      </rPr>
      <t>"</t>
    </r>
    <r>
      <rPr>
        <rFont val="ＭＳ Ｐゴシック"/>
        <sz val="10.0"/>
      </rPr>
      <t>に頭を悩ませ</t>
    </r>
    <r>
      <rPr>
        <rFont val="Arial"/>
        <sz val="10.0"/>
      </rPr>
      <t>…</t>
    </r>
    <r>
      <rPr>
        <rFont val="ＭＳ Ｐゴシック"/>
        <sz val="10.0"/>
      </rPr>
      <t>。</t>
    </r>
  </si>
  <si>
    <t>相河一輝(高橋一生)は、動物の行動を研究する“動物行動学"を教える大学講師。陶芸家の祖父・相河義高(田中泯)に見守られて育ち、今は住み込みの家政婦・山田妙子(戸田恵子)と暮らしている。  半年前、かつて師事した鮫島瞬教授(小林薫)の薦めで講師になったが、生き物の研究に没頭する一方、それ以外には無頓着な一輝。人の話を聞かなかったり、空気を読めず、悪気なく失言してしまうことも少なくない。さらに、職場のルールを守ることができず、事務長の熊野久志(阿南健治)に叱られ、同じ研究室の樫野木聡(要潤)や沼袋順平(児嶋一哉)からも変わり者扱いされていた。    そんなある日、不得意なものは先送りにする悪い癖がたたり、歯の痛みが我慢できなくなった一輝は、鮫島の紹介で歯科クリニックを受診。そこで出会った水本育実(榮倉奈々)は、容姿端麗で若くして院長を務める才色兼備なエリート。歯科衛生士の丹沢あかり(トリンドル玲奈)もうらやむような人生を送っていた。早速、一輝の診療にあたる育実だったが、一方的に話したり、診察の時間を守らない一輝の態度にいら立ちを隠せなくなり、「常識っていうものがないんですか?」とキツイ一言を浴びせてしまう。    一方、大学では一輝の講義を受けている新庄龍太郎(西畑大吾)や青山琴音(矢作穂香)、尾崎桜(北香那)、須田巧(広田亮平)ら学生たちが、一輝の出した“一風変わった課題"に頭を悩ませ…。</t>
  </si>
  <si>
    <t>番組名僕らは奇跡でできている【鳥と話すフシギ講師、ひとり焼肉へ行く!?】　#02</t>
  </si>
  <si>
    <r>
      <rPr>
        <rFont val="ＭＳ Ｐゴシック"/>
        <sz val="10.0"/>
      </rPr>
      <t>大学で動物行動学を教える一輝</t>
    </r>
    <r>
      <rPr>
        <rFont val="Arial"/>
        <sz val="10.0"/>
      </rPr>
      <t>(</t>
    </r>
    <r>
      <rPr>
        <rFont val="ＭＳ Ｐゴシック"/>
        <sz val="10.0"/>
      </rPr>
      <t>高橋一生</t>
    </r>
    <r>
      <rPr>
        <rFont val="Arial"/>
        <sz val="10.0"/>
      </rPr>
      <t>)</t>
    </r>
    <r>
      <rPr>
        <rFont val="ＭＳ Ｐゴシック"/>
        <sz val="10.0"/>
      </rPr>
      <t>は、通っている歯科クリニックで古い水道の蛇口を発見。その音が鳥の鳴き声に似ていたことから、授業でフィールドワークに出かけることを思いつく。しかし学生は、面倒に思うばかりで、ワクワクしているのは一輝ただ一人。一方、育実</t>
    </r>
    <r>
      <rPr>
        <rFont val="Arial"/>
        <sz val="10.0"/>
      </rPr>
      <t>(</t>
    </r>
    <r>
      <rPr>
        <rFont val="ＭＳ Ｐゴシック"/>
        <sz val="10.0"/>
      </rPr>
      <t>榮倉奈々</t>
    </r>
    <r>
      <rPr>
        <rFont val="Arial"/>
        <sz val="10.0"/>
      </rPr>
      <t>)</t>
    </r>
    <r>
      <rPr>
        <rFont val="ＭＳ Ｐゴシック"/>
        <sz val="10.0"/>
      </rPr>
      <t>は一輝に言われた「先生はウサギっぽい」「ウサギはカメを見下すために走る」という言葉が忘れられず、落ち着かない時間を過ごしていた。ある日、歯科クリニックで出会った虹一</t>
    </r>
    <r>
      <rPr>
        <rFont val="Arial"/>
        <sz val="10.0"/>
      </rPr>
      <t>(</t>
    </r>
    <r>
      <rPr>
        <rFont val="ＭＳ Ｐゴシック"/>
        <sz val="10.0"/>
      </rPr>
      <t>川口和空</t>
    </r>
    <r>
      <rPr>
        <rFont val="Arial"/>
        <sz val="10.0"/>
      </rPr>
      <t>)</t>
    </r>
    <r>
      <rPr>
        <rFont val="ＭＳ Ｐゴシック"/>
        <sz val="10.0"/>
      </rPr>
      <t>と再会した一輝は、生き物に深い興味を示す虹一に、自分が人知れず山で調べている</t>
    </r>
    <r>
      <rPr>
        <rFont val="Arial"/>
        <sz val="10.0"/>
      </rPr>
      <t>“</t>
    </r>
    <r>
      <rPr>
        <rFont val="ＭＳ Ｐゴシック"/>
        <sz val="10.0"/>
      </rPr>
      <t>ある謎</t>
    </r>
    <r>
      <rPr>
        <rFont val="Arial"/>
        <sz val="10.0"/>
      </rPr>
      <t>"</t>
    </r>
    <r>
      <rPr>
        <rFont val="ＭＳ Ｐゴシック"/>
        <sz val="10.0"/>
      </rPr>
      <t>を打ち明ける。虹一も一輝に親しみを感じるが、虹一の母・涼子</t>
    </r>
    <r>
      <rPr>
        <rFont val="Arial"/>
        <sz val="10.0"/>
      </rPr>
      <t>(</t>
    </r>
    <r>
      <rPr>
        <rFont val="ＭＳ Ｐゴシック"/>
        <sz val="10.0"/>
      </rPr>
      <t>松本若菜</t>
    </r>
    <r>
      <rPr>
        <rFont val="Arial"/>
        <sz val="10.0"/>
      </rPr>
      <t>)</t>
    </r>
    <r>
      <rPr>
        <rFont val="ＭＳ Ｐゴシック"/>
        <sz val="10.0"/>
      </rPr>
      <t>は息子に近づく怪しい男を警戒していた。</t>
    </r>
    <r>
      <rPr>
        <rFont val="Arial"/>
        <sz val="10.0"/>
      </rPr>
      <t xml:space="preserve">    </t>
    </r>
    <r>
      <rPr>
        <rFont val="ＭＳ Ｐゴシック"/>
        <sz val="10.0"/>
      </rPr>
      <t>迎えたフィールドワーク当日、山に到着した一行は、音を出して鳥を呼び寄せる</t>
    </r>
    <r>
      <rPr>
        <rFont val="Arial"/>
        <sz val="10.0"/>
      </rPr>
      <t>“</t>
    </r>
    <r>
      <rPr>
        <rFont val="ＭＳ Ｐゴシック"/>
        <sz val="10.0"/>
      </rPr>
      <t>バードコール</t>
    </r>
    <r>
      <rPr>
        <rFont val="Arial"/>
        <sz val="10.0"/>
      </rPr>
      <t>"</t>
    </r>
    <r>
      <rPr>
        <rFont val="ＭＳ Ｐゴシック"/>
        <sz val="10.0"/>
      </rPr>
      <t>を手に鳥との会話を試みるがうまくいかない。そんな中、琴音</t>
    </r>
    <r>
      <rPr>
        <rFont val="Arial"/>
        <sz val="10.0"/>
      </rPr>
      <t>(</t>
    </r>
    <r>
      <rPr>
        <rFont val="ＭＳ Ｐゴシック"/>
        <sz val="10.0"/>
      </rPr>
      <t>矢作穂香</t>
    </r>
    <r>
      <rPr>
        <rFont val="Arial"/>
        <sz val="10.0"/>
      </rPr>
      <t>)</t>
    </r>
    <r>
      <rPr>
        <rFont val="ＭＳ Ｐゴシック"/>
        <sz val="10.0"/>
      </rPr>
      <t>は、子供のような無邪気さでフィールドワークを楽しむ一輝に胸の高鳴りを覚え</t>
    </r>
    <r>
      <rPr>
        <rFont val="Arial"/>
        <sz val="10.0"/>
      </rPr>
      <t xml:space="preserve">…?    </t>
    </r>
    <r>
      <rPr>
        <rFont val="ＭＳ Ｐゴシック"/>
        <sz val="10.0"/>
      </rPr>
      <t>一方、育実は喧嘩した恋人の鳥飼</t>
    </r>
    <r>
      <rPr>
        <rFont val="Arial"/>
        <sz val="10.0"/>
      </rPr>
      <t>(</t>
    </r>
    <r>
      <rPr>
        <rFont val="ＭＳ Ｐゴシック"/>
        <sz val="10.0"/>
      </rPr>
      <t>和田琢磨</t>
    </r>
    <r>
      <rPr>
        <rFont val="Arial"/>
        <sz val="10.0"/>
      </rPr>
      <t>)</t>
    </r>
    <r>
      <rPr>
        <rFont val="ＭＳ Ｐゴシック"/>
        <sz val="10.0"/>
      </rPr>
      <t>と仲直りしようと、自宅で手料理をふるまうことに。しかし、相手を気遣ってついた小さな嘘が、かえって雅也を傷つけてしまい、距離を置かれてしまう。イライラが募る育実は、ある晩、ストレス解消のためにひとりで焼き肉を食べに。ヤケ食いとばかりに次々注文していると、一輝が現れて</t>
    </r>
    <r>
      <rPr>
        <rFont val="Arial"/>
        <sz val="10.0"/>
      </rPr>
      <t>…!?</t>
    </r>
  </si>
  <si>
    <t>大学で動物行動学を教える一輝(高橋一生)は、通っている歯科クリニックで古い水道の蛇口を発見。その音が鳥の鳴き声に似ていたことから、授業でフィールドワークに出かけることを思いつく。しかし学生は、面倒に思うばかりで、ワクワクしているのは一輝ただ一人。一方、育実(榮倉奈々)は一輝に言われた「先生はウサギっぽい」「ウサギはカメを見下すために走る」という言葉が忘れられず、落ち着かない時間を過ごしていた。ある日、歯科クリニックで出会った虹一(川口和空)と再会した一輝は、生き物に深い興味を示す虹一に、自分が人知れず山で調べている“ある謎"を打ち明ける。虹一も一輝に親しみを感じるが、虹一の母・涼子(松本若菜)は息子に近づく怪しい男を警戒していた。    迎えたフィールドワーク当日、山に到着した一行は、音を出して鳥を呼び寄せる“バードコール"を手に鳥との会話を試みるがうまくいかない。そんな中、琴音(矢作穂香)は、子供のような無邪気さでフィールドワークを楽しむ一輝に胸の高鳴りを覚え…?    一方、育実は喧嘩した恋人の鳥飼(和田琢磨)と仲直りしようと、自宅で手料理をふるまうことに。しかし、相手を気遣ってついた小さな嘘が、かえって雅也を傷つけてしまい、距離を置かれてしまう。イライラが募る育実は、ある晩、ストレス解消のためにひとりで焼き肉を食べに。ヤケ食いとばかりに次々注文していると、一輝が現れて…!?</t>
  </si>
  <si>
    <t>番組名僕らは奇跡でできている【一輝ピンチ!動物園に少年連れ去り大事件!?】　#03</t>
  </si>
  <si>
    <t>大学での講義のかたわら動物園に通う一輝(高橋一生)は、サル山のボスが変わりそうだと聞いて胸を躍らせる。貴重な場面を見逃すわけにはいかないと、歯科医の育実(榮倉奈々)の言葉も聞き流し、歯の治療を先送りして、動物園に通う一輝。一方、一輝から「近々、ボスが交代する」と聞いた同僚の樫野木(要潤)は、学部長の鮫島(小林薫)のことだと思い込み、焦って動き始める。    そんな中、一輝のことが気になる琴音(矢作穂香)は、一輝がウキウキと出かける姿を見てデートだと疑い、後を追う。すると、たどり着いたのは新庄(西畑大吾)がバイトする動物園だった。    一輝が動物園に連れていった相手は、歯科クリニックで出会った少年・虹一(川口和空)。サル山を眺める一輝に、「動物たちの謎を見つける!」と虹一は一人園内の探検へ。    その頃、育実のクリニックに、虹一の母・涼子(松本若菜)が血相を変えて飛び込んでくる。虹一の行方が分からなくなり以前見かけた一輝と一緒なのではないかと探しに来たのだ。一同が焦りを覚えるなか、一輝が動物園に通っていることを思い出した育実は、慌ててクリニックを飛び出す。    動物園では、偶然を装い一輝と合流した琴音が、2人きりの時間を楽しんでいた。しばらくして、動物園は閉園の時間に。しかし、虹一が戻ってくる気配はない。駆けつけた育実は、虹一を探そうともせずサルの話を始める一輝に、思わず怒りを爆発させ…。高橋一生　  榮倉奈々　  要潤　  児嶋一哉(アンジャッシュ)　  西畑大吾(なにわ男子/関西ジャニーズJr.)　  矢作穂香　  北香那　  広田亮平  　・　  田中泯  　・　  トリンドル玲奈　  阿南健治　  戸田恵子　  小林薫【脚本】  橋部敦子　  【演出】  河野圭太(共同テレビ)　  星野和成(メディアミックス・ジャパン)　  坂本栄隆　  【プロデューサー】  豊福陽子(関西テレビ)　  千葉行利(ケイファクトリー)　  宮川晶(ケイファクトリー)　  【制作】  関西テレビ　  ケイファクトリー公式ホームページでさらに詳しい情報をチェック!    【公式ホームページ】  https://www.ktv.jp/bokura/index.html</t>
  </si>
  <si>
    <t>番組名僕らは奇跡でできている【星降る夜に『コンニャク』が魅せてくれたナゾ】　#04</t>
  </si>
  <si>
    <r>
      <rPr>
        <rFont val="ＭＳ Ｐゴシック"/>
        <sz val="10.0"/>
      </rPr>
      <t>歯が痛いと訴えた新庄</t>
    </r>
    <r>
      <rPr>
        <rFont val="Arial"/>
        <sz val="10.0"/>
      </rPr>
      <t>(</t>
    </r>
    <r>
      <rPr>
        <rFont val="ＭＳ Ｐゴシック"/>
        <sz val="10.0"/>
      </rPr>
      <t>西畑大吾</t>
    </r>
    <r>
      <rPr>
        <rFont val="Arial"/>
        <sz val="10.0"/>
      </rPr>
      <t>)</t>
    </r>
    <r>
      <rPr>
        <rFont val="ＭＳ Ｐゴシック"/>
        <sz val="10.0"/>
      </rPr>
      <t>を、育実</t>
    </r>
    <r>
      <rPr>
        <rFont val="Arial"/>
        <sz val="10.0"/>
      </rPr>
      <t>(</t>
    </r>
    <r>
      <rPr>
        <rFont val="ＭＳ Ｐゴシック"/>
        <sz val="10.0"/>
      </rPr>
      <t>榮倉奈々</t>
    </r>
    <r>
      <rPr>
        <rFont val="Arial"/>
        <sz val="10.0"/>
      </rPr>
      <t>)</t>
    </r>
    <r>
      <rPr>
        <rFont val="ＭＳ Ｐゴシック"/>
        <sz val="10.0"/>
      </rPr>
      <t>のクリニックへと連れて行った一輝</t>
    </r>
    <r>
      <rPr>
        <rFont val="Arial"/>
        <sz val="10.0"/>
      </rPr>
      <t>(</t>
    </r>
    <r>
      <rPr>
        <rFont val="ＭＳ Ｐゴシック"/>
        <sz val="10.0"/>
      </rPr>
      <t>高橋一生</t>
    </r>
    <r>
      <rPr>
        <rFont val="Arial"/>
        <sz val="10.0"/>
      </rPr>
      <t>)</t>
    </r>
    <r>
      <rPr>
        <rFont val="ＭＳ Ｐゴシック"/>
        <sz val="10.0"/>
      </rPr>
      <t>。帰り道に家政婦の山田</t>
    </r>
    <r>
      <rPr>
        <rFont val="Arial"/>
        <sz val="10.0"/>
      </rPr>
      <t>(</t>
    </r>
    <r>
      <rPr>
        <rFont val="ＭＳ Ｐゴシック"/>
        <sz val="10.0"/>
      </rPr>
      <t>戸田恵子</t>
    </r>
    <r>
      <rPr>
        <rFont val="Arial"/>
        <sz val="10.0"/>
      </rPr>
      <t>)</t>
    </r>
    <r>
      <rPr>
        <rFont val="ＭＳ Ｐゴシック"/>
        <sz val="10.0"/>
      </rPr>
      <t>に頼まれ、コンニャクを買いにスーパーへ立ち寄ると、種類豊富なコンニャクに魅了される。</t>
    </r>
    <r>
      <rPr>
        <rFont val="Arial"/>
        <sz val="10.0"/>
      </rPr>
      <t xml:space="preserve">    </t>
    </r>
    <r>
      <rPr>
        <rFont val="ＭＳ Ｐゴシック"/>
        <sz val="10.0"/>
      </rPr>
      <t>残業する育実のもとには恋人・鳥飼</t>
    </r>
    <r>
      <rPr>
        <rFont val="Arial"/>
        <sz val="10.0"/>
      </rPr>
      <t>(</t>
    </r>
    <r>
      <rPr>
        <rFont val="ＭＳ Ｐゴシック"/>
        <sz val="10.0"/>
      </rPr>
      <t>和田琢磨</t>
    </r>
    <r>
      <rPr>
        <rFont val="Arial"/>
        <sz val="10.0"/>
      </rPr>
      <t>)</t>
    </r>
    <r>
      <rPr>
        <rFont val="ＭＳ Ｐゴシック"/>
        <sz val="10.0"/>
      </rPr>
      <t>がやってくる。しかし、鳥飼が席を外した際に、ケータイに届いた見知らぬ女性からのメールを目にしたことで疑念にかられた育実は、別れを匂わせる言葉をかけてしまう。</t>
    </r>
    <r>
      <rPr>
        <rFont val="Arial"/>
        <sz val="10.0"/>
      </rPr>
      <t xml:space="preserve">    </t>
    </r>
    <r>
      <rPr>
        <rFont val="ＭＳ Ｐゴシック"/>
        <sz val="10.0"/>
      </rPr>
      <t>翌日、大学の研究室には慌てた様子の熊野</t>
    </r>
    <r>
      <rPr>
        <rFont val="Arial"/>
        <sz val="10.0"/>
      </rPr>
      <t>(</t>
    </r>
    <r>
      <rPr>
        <rFont val="ＭＳ Ｐゴシック"/>
        <sz val="10.0"/>
      </rPr>
      <t>阿南健治</t>
    </r>
    <r>
      <rPr>
        <rFont val="Arial"/>
        <sz val="10.0"/>
      </rPr>
      <t>)</t>
    </r>
    <r>
      <rPr>
        <rFont val="ＭＳ Ｐゴシック"/>
        <sz val="10.0"/>
      </rPr>
      <t>の姿が。一輝が届けも出さずに突然、授業を休講にしたという。鮫島</t>
    </r>
    <r>
      <rPr>
        <rFont val="Arial"/>
        <sz val="10.0"/>
      </rPr>
      <t>(</t>
    </r>
    <r>
      <rPr>
        <rFont val="ＭＳ Ｐゴシック"/>
        <sz val="10.0"/>
      </rPr>
      <t>小林薫</t>
    </r>
    <r>
      <rPr>
        <rFont val="Arial"/>
        <sz val="10.0"/>
      </rPr>
      <t>)</t>
    </r>
    <r>
      <rPr>
        <rFont val="ＭＳ Ｐゴシック"/>
        <sz val="10.0"/>
      </rPr>
      <t>はさほど驚かないものの、樫野木</t>
    </r>
    <r>
      <rPr>
        <rFont val="Arial"/>
        <sz val="10.0"/>
      </rPr>
      <t>(</t>
    </r>
    <r>
      <rPr>
        <rFont val="ＭＳ Ｐゴシック"/>
        <sz val="10.0"/>
      </rPr>
      <t>要潤</t>
    </r>
    <r>
      <rPr>
        <rFont val="Arial"/>
        <sz val="10.0"/>
      </rPr>
      <t>)</t>
    </r>
    <r>
      <rPr>
        <rFont val="ＭＳ Ｐゴシック"/>
        <sz val="10.0"/>
      </rPr>
      <t>や沼袋</t>
    </r>
    <r>
      <rPr>
        <rFont val="Arial"/>
        <sz val="10.0"/>
      </rPr>
      <t>(</t>
    </r>
    <r>
      <rPr>
        <rFont val="ＭＳ Ｐゴシック"/>
        <sz val="10.0"/>
      </rPr>
      <t>児嶋一哉</t>
    </r>
    <r>
      <rPr>
        <rFont val="Arial"/>
        <sz val="10.0"/>
      </rPr>
      <t>)</t>
    </r>
    <r>
      <rPr>
        <rFont val="ＭＳ Ｐゴシック"/>
        <sz val="10.0"/>
      </rPr>
      <t>は、突拍子もない行動に呆れるばかり。</t>
    </r>
    <r>
      <rPr>
        <rFont val="Arial"/>
        <sz val="10.0"/>
      </rPr>
      <t xml:space="preserve">    </t>
    </r>
    <r>
      <rPr>
        <rFont val="ＭＳ Ｐゴシック"/>
        <sz val="10.0"/>
      </rPr>
      <t>その頃、とある山あいの道をタクシーに揺られていた一輝は、イノシシの姿を目撃。すぐさまタクシーを停め、イノシシのいた畑へ。そこでイモを拾い上げたところ、「ドロボー</t>
    </r>
    <r>
      <rPr>
        <rFont val="Arial"/>
        <sz val="10.0"/>
      </rPr>
      <t>!</t>
    </r>
    <r>
      <rPr>
        <rFont val="ＭＳ Ｐゴシック"/>
        <sz val="10.0"/>
      </rPr>
      <t>」と叫びながら、一人の男が駆け寄ってきて</t>
    </r>
    <r>
      <rPr>
        <rFont val="Arial"/>
        <sz val="10.0"/>
      </rPr>
      <t>…</t>
    </r>
    <r>
      <rPr>
        <rFont val="ＭＳ Ｐゴシック"/>
        <sz val="10.0"/>
      </rPr>
      <t>。</t>
    </r>
    <r>
      <rPr>
        <rFont val="Arial"/>
        <sz val="10.0"/>
      </rPr>
      <t xml:space="preserve">    </t>
    </r>
    <r>
      <rPr>
        <rFont val="ＭＳ Ｐゴシック"/>
        <sz val="10.0"/>
      </rPr>
      <t>一輝の授業が休講になり暇になった新庄、琴音</t>
    </r>
    <r>
      <rPr>
        <rFont val="Arial"/>
        <sz val="10.0"/>
      </rPr>
      <t>(</t>
    </r>
    <r>
      <rPr>
        <rFont val="ＭＳ Ｐゴシック"/>
        <sz val="10.0"/>
      </rPr>
      <t>矢作穂香</t>
    </r>
    <r>
      <rPr>
        <rFont val="Arial"/>
        <sz val="10.0"/>
      </rPr>
      <t>)</t>
    </r>
    <r>
      <rPr>
        <rFont val="ＭＳ Ｐゴシック"/>
        <sz val="10.0"/>
      </rPr>
      <t>、桜</t>
    </r>
    <r>
      <rPr>
        <rFont val="Arial"/>
        <sz val="10.0"/>
      </rPr>
      <t>(</t>
    </r>
    <r>
      <rPr>
        <rFont val="ＭＳ Ｐゴシック"/>
        <sz val="10.0"/>
      </rPr>
      <t>北香那</t>
    </r>
    <r>
      <rPr>
        <rFont val="Arial"/>
        <sz val="10.0"/>
      </rPr>
      <t>)</t>
    </r>
    <r>
      <rPr>
        <rFont val="ＭＳ Ｐゴシック"/>
        <sz val="10.0"/>
      </rPr>
      <t>、須田</t>
    </r>
    <r>
      <rPr>
        <rFont val="Arial"/>
        <sz val="10.0"/>
      </rPr>
      <t>(</t>
    </r>
    <r>
      <rPr>
        <rFont val="ＭＳ Ｐゴシック"/>
        <sz val="10.0"/>
      </rPr>
      <t>広田亮平</t>
    </r>
    <r>
      <rPr>
        <rFont val="Arial"/>
        <sz val="10.0"/>
      </rPr>
      <t>)</t>
    </r>
    <r>
      <rPr>
        <rFont val="ＭＳ Ｐゴシック"/>
        <sz val="10.0"/>
      </rPr>
      <t>の</t>
    </r>
    <r>
      <rPr>
        <rFont val="Arial"/>
        <sz val="10.0"/>
      </rPr>
      <t>4</t>
    </r>
    <r>
      <rPr>
        <rFont val="ＭＳ Ｐゴシック"/>
        <sz val="10.0"/>
      </rPr>
      <t>人。卒業後の進路について話す中、新庄だけは地元の話をしたがらない。そこへ新庄に電話が。一輝が泥棒と間違えられ、なぜか新庄の実家に身を寄せているという。困惑する一同だが、面白そうだと樫野木の授業を休んで新庄の実家へ。すると、そこには思わぬ格好をした一輝がいて</t>
    </r>
    <r>
      <rPr>
        <rFont val="Arial"/>
        <sz val="10.0"/>
      </rPr>
      <t>!?</t>
    </r>
  </si>
  <si>
    <t>歯が痛いと訴えた新庄(西畑大吾)を、育実(榮倉奈々)のクリニックへと連れて行った一輝(高橋一生)。帰り道に家政婦の山田(戸田恵子)に頼まれ、コンニャクを買いにスーパーへ立ち寄ると、種類豊富なコンニャクに魅了される。    残業する育実のもとには恋人・鳥飼(和田琢磨)がやってくる。しかし、鳥飼が席を外した際に、ケータイに届いた見知らぬ女性からのメールを目にしたことで疑念にかられた育実は、別れを匂わせる言葉をかけてしまう。    翌日、大学の研究室には慌てた様子の熊野(阿南健治)の姿が。一輝が届けも出さずに突然、授業を休講にしたという。鮫島(小林薫)はさほど驚かないものの、樫野木(要潤)や沼袋(児嶋一哉)は、突拍子もない行動に呆れるばかり。    その頃、とある山あいの道をタクシーに揺られていた一輝は、イノシシの姿を目撃。すぐさまタクシーを停め、イノシシのいた畑へ。そこでイモを拾い上げたところ、「ドロボー!」と叫びながら、一人の男が駆け寄ってきて…。    一輝の授業が休講になり暇になった新庄、琴音(矢作穂香)、桜(北香那)、須田(広田亮平)の4人。卒業後の進路について話す中、新庄だけは地元の話をしたがらない。そこへ新庄に電話が。一輝が泥棒と間違えられ、なぜか新庄の実家に身を寄せているという。困惑する一同だが、面白そうだと樫野木の授業を休んで新庄の実家へ。すると、そこには思わぬ格好をした一輝がいて!?</t>
  </si>
  <si>
    <t>番組名僕らは奇跡でできている【女心と虫歯のナゾ!?育実の涙に一輝は…?】　#05</t>
  </si>
  <si>
    <r>
      <rPr>
        <rFont val="ＭＳ Ｐゴシック"/>
        <sz val="10.0"/>
      </rPr>
      <t>一輝</t>
    </r>
    <r>
      <rPr>
        <rFont val="Arial"/>
        <sz val="10.0"/>
      </rPr>
      <t>(</t>
    </r>
    <r>
      <rPr>
        <rFont val="ＭＳ Ｐゴシック"/>
        <sz val="10.0"/>
      </rPr>
      <t>高橋一生</t>
    </r>
    <r>
      <rPr>
        <rFont val="Arial"/>
        <sz val="10.0"/>
      </rPr>
      <t>)</t>
    </r>
    <r>
      <rPr>
        <rFont val="ＭＳ Ｐゴシック"/>
        <sz val="10.0"/>
      </rPr>
      <t>が育実</t>
    </r>
    <r>
      <rPr>
        <rFont val="Arial"/>
        <sz val="10.0"/>
      </rPr>
      <t>(</t>
    </r>
    <r>
      <rPr>
        <rFont val="ＭＳ Ｐゴシック"/>
        <sz val="10.0"/>
      </rPr>
      <t>榮倉奈々</t>
    </r>
    <r>
      <rPr>
        <rFont val="Arial"/>
        <sz val="10.0"/>
      </rPr>
      <t>)</t>
    </r>
    <r>
      <rPr>
        <rFont val="ＭＳ Ｐゴシック"/>
        <sz val="10.0"/>
      </rPr>
      <t>と親しくなるよう、新庄</t>
    </r>
    <r>
      <rPr>
        <rFont val="Arial"/>
        <sz val="10.0"/>
      </rPr>
      <t>(</t>
    </r>
    <r>
      <rPr>
        <rFont val="ＭＳ Ｐゴシック"/>
        <sz val="10.0"/>
      </rPr>
      <t>西畑大吾</t>
    </r>
    <r>
      <rPr>
        <rFont val="Arial"/>
        <sz val="10.0"/>
      </rPr>
      <t>)</t>
    </r>
    <r>
      <rPr>
        <rFont val="ＭＳ Ｐゴシック"/>
        <sz val="10.0"/>
      </rPr>
      <t>の実家でもらったコンニャクのおすそ分けを勧める山田</t>
    </r>
    <r>
      <rPr>
        <rFont val="Arial"/>
        <sz val="10.0"/>
      </rPr>
      <t>(</t>
    </r>
    <r>
      <rPr>
        <rFont val="ＭＳ Ｐゴシック"/>
        <sz val="10.0"/>
      </rPr>
      <t>戸田恵子</t>
    </r>
    <r>
      <rPr>
        <rFont val="Arial"/>
        <sz val="10.0"/>
      </rPr>
      <t>)</t>
    </r>
    <r>
      <rPr>
        <rFont val="ＭＳ Ｐゴシック"/>
        <sz val="10.0"/>
      </rPr>
      <t>。しかし、受け取らなかった育実がますます気になり始め、クリニックへ。患者として対面するが、思わぬ人物と出くわす</t>
    </r>
    <r>
      <rPr>
        <rFont val="Arial"/>
        <sz val="10.0"/>
      </rPr>
      <t xml:space="preserve">!    </t>
    </r>
    <r>
      <rPr>
        <rFont val="ＭＳ Ｐゴシック"/>
        <sz val="10.0"/>
      </rPr>
      <t>一輝は、虹一</t>
    </r>
    <r>
      <rPr>
        <rFont val="Arial"/>
        <sz val="10.0"/>
      </rPr>
      <t>(</t>
    </r>
    <r>
      <rPr>
        <rFont val="ＭＳ Ｐゴシック"/>
        <sz val="10.0"/>
      </rPr>
      <t>川口和空</t>
    </r>
    <r>
      <rPr>
        <rFont val="Arial"/>
        <sz val="10.0"/>
      </rPr>
      <t>)</t>
    </r>
    <r>
      <rPr>
        <rFont val="ＭＳ Ｐゴシック"/>
        <sz val="10.0"/>
      </rPr>
      <t>にリスが渡る橋について報告。虹一は森へ行きたいと話すが、母の許しをもらうのは難しいという。一輝は、虹一が親子で行く歯磨きイベントに参加し、そこで説得すると約束。一方、大学では一輝の授業が面白いと噂が広がっていた。しかし、新庄だけはそんな一輝にいら立つ。両親が作るコンニャクを褒めたにも関わらず、「僕なら</t>
    </r>
    <r>
      <rPr>
        <rFont val="Arial"/>
        <sz val="10.0"/>
      </rPr>
      <t>(</t>
    </r>
    <r>
      <rPr>
        <rFont val="ＭＳ Ｐゴシック"/>
        <sz val="10.0"/>
      </rPr>
      <t>家業を</t>
    </r>
    <r>
      <rPr>
        <rFont val="Arial"/>
        <sz val="10.0"/>
      </rPr>
      <t>)</t>
    </r>
    <r>
      <rPr>
        <rFont val="ＭＳ Ｐゴシック"/>
        <sz val="10.0"/>
      </rPr>
      <t>継がない」と答えた一輝の心中が分からなかったのだ。そんな思い悩む新庄をと、鮫島</t>
    </r>
    <r>
      <rPr>
        <rFont val="Arial"/>
        <sz val="10.0"/>
      </rPr>
      <t>(</t>
    </r>
    <r>
      <rPr>
        <rFont val="ＭＳ Ｐゴシック"/>
        <sz val="10.0"/>
      </rPr>
      <t>小林薫</t>
    </r>
    <r>
      <rPr>
        <rFont val="Arial"/>
        <sz val="10.0"/>
      </rPr>
      <t>)</t>
    </r>
    <r>
      <rPr>
        <rFont val="ＭＳ Ｐゴシック"/>
        <sz val="10.0"/>
      </rPr>
      <t>は</t>
    </r>
    <r>
      <rPr>
        <rFont val="Arial"/>
        <sz val="10.0"/>
      </rPr>
      <t>…</t>
    </r>
    <r>
      <rPr>
        <rFont val="ＭＳ Ｐゴシック"/>
        <sz val="10.0"/>
      </rPr>
      <t>。</t>
    </r>
    <r>
      <rPr>
        <rFont val="Arial"/>
        <sz val="10.0"/>
      </rPr>
      <t xml:space="preserve">    </t>
    </r>
    <r>
      <rPr>
        <rFont val="ＭＳ Ｐゴシック"/>
        <sz val="10.0"/>
      </rPr>
      <t>恋人と別れた育実は、子ども向けの歯磨きイベントを計画するなど、仕事に打ち込んでいた。しかし、寂しさを埋めようと仕事をする余り、あかり</t>
    </r>
    <r>
      <rPr>
        <rFont val="Arial"/>
        <sz val="10.0"/>
      </rPr>
      <t>(</t>
    </r>
    <r>
      <rPr>
        <rFont val="ＭＳ Ｐゴシック"/>
        <sz val="10.0"/>
      </rPr>
      <t>トリンドル玲奈</t>
    </r>
    <r>
      <rPr>
        <rFont val="Arial"/>
        <sz val="10.0"/>
      </rPr>
      <t>)</t>
    </r>
    <r>
      <rPr>
        <rFont val="ＭＳ Ｐゴシック"/>
        <sz val="10.0"/>
      </rPr>
      <t>にキツく当たり反感を買う。</t>
    </r>
    <r>
      <rPr>
        <rFont val="Arial"/>
        <sz val="10.0"/>
      </rPr>
      <t xml:space="preserve">    </t>
    </r>
    <r>
      <rPr>
        <rFont val="ＭＳ Ｐゴシック"/>
        <sz val="10.0"/>
      </rPr>
      <t>イベント当日、育実は盛り上げようとするが、反応はいまひとつ。会場の空気を変えたのは、虹一との約束のために来ていた一輝。おかげでイベントは大成功。しかし、育実は素直に喜べない。頑張っても報われない自分と比べ、好きなことをして楽しそうな一輝に、理不尽さを感じる。そんな矢先、クリニックを訪れた一輝から、突然「森に行きませんか</t>
    </r>
    <r>
      <rPr>
        <rFont val="Arial"/>
        <sz val="10.0"/>
      </rPr>
      <t>?</t>
    </r>
    <r>
      <rPr>
        <rFont val="ＭＳ Ｐゴシック"/>
        <sz val="10.0"/>
      </rPr>
      <t>」と誘われて</t>
    </r>
    <r>
      <rPr>
        <rFont val="Arial"/>
        <sz val="10.0"/>
      </rPr>
      <t>…</t>
    </r>
    <r>
      <rPr>
        <rFont val="ＭＳ Ｐゴシック"/>
        <sz val="10.0"/>
      </rPr>
      <t>。</t>
    </r>
  </si>
  <si>
    <t>一輝(高橋一生)が育実(榮倉奈々)と親しくなるよう、新庄(西畑大吾)の実家でもらったコンニャクのおすそ分けを勧める山田(戸田恵子)。しかし、受け取らなかった育実がますます気になり始め、クリニックへ。患者として対面するが、思わぬ人物と出くわす!    一輝は、虹一(川口和空)にリスが渡る橋について報告。虹一は森へ行きたいと話すが、母の許しをもらうのは難しいという。一輝は、虹一が親子で行く歯磨きイベントに参加し、そこで説得すると約束。一方、大学では一輝の授業が面白いと噂が広がっていた。しかし、新庄だけはそんな一輝にいら立つ。両親が作るコンニャクを褒めたにも関わらず、「僕なら(家業を)継がない」と答えた一輝の心中が分からなかったのだ。そんな思い悩む新庄をと、鮫島(小林薫)は…。    恋人と別れた育実は、子ども向けの歯磨きイベントを計画するなど、仕事に打ち込んでいた。しかし、寂しさを埋めようと仕事をする余り、あかり(トリンドル玲奈)にキツく当たり反感を買う。    イベント当日、育実は盛り上げようとするが、反応はいまひとつ。会場の空気を変えたのは、虹一との約束のために来ていた一輝。おかげでイベントは大成功。しかし、育実は素直に喜べない。頑張っても報われない自分と比べ、好きなことをして楽しそうな一輝に、理不尽さを感じる。そんな矢先、クリニックを訪れた一輝から、突然「森に行きませんか?」と誘われて…。</t>
  </si>
  <si>
    <t>番組名僕らは奇跡でできている【破れギョーザは涙の味!“ウサギ女子"の変化】　#06</t>
  </si>
  <si>
    <r>
      <rPr>
        <rFont val="ＭＳ Ｐゴシック"/>
        <sz val="10.0"/>
      </rPr>
      <t>一輝</t>
    </r>
    <r>
      <rPr>
        <rFont val="Arial"/>
        <sz val="10.0"/>
      </rPr>
      <t>(</t>
    </r>
    <r>
      <rPr>
        <rFont val="ＭＳ Ｐゴシック"/>
        <sz val="10.0"/>
      </rPr>
      <t>高橋一生</t>
    </r>
    <r>
      <rPr>
        <rFont val="Arial"/>
        <sz val="10.0"/>
      </rPr>
      <t>)</t>
    </r>
    <r>
      <rPr>
        <rFont val="ＭＳ Ｐゴシック"/>
        <sz val="10.0"/>
      </rPr>
      <t>に頼まれ、森を訪れた育実</t>
    </r>
    <r>
      <rPr>
        <rFont val="Arial"/>
        <sz val="10.0"/>
      </rPr>
      <t>(</t>
    </r>
    <r>
      <rPr>
        <rFont val="ＭＳ Ｐゴシック"/>
        <sz val="10.0"/>
      </rPr>
      <t>榮倉奈々</t>
    </r>
    <r>
      <rPr>
        <rFont val="Arial"/>
        <sz val="10.0"/>
      </rPr>
      <t>)</t>
    </r>
    <r>
      <rPr>
        <rFont val="ＭＳ Ｐゴシック"/>
        <sz val="10.0"/>
      </rPr>
      <t>は、元恋人・鳥飼</t>
    </r>
    <r>
      <rPr>
        <rFont val="Arial"/>
        <sz val="10.0"/>
      </rPr>
      <t>(</t>
    </r>
    <r>
      <rPr>
        <rFont val="ＭＳ Ｐゴシック"/>
        <sz val="10.0"/>
      </rPr>
      <t>和田琢磨</t>
    </r>
    <r>
      <rPr>
        <rFont val="Arial"/>
        <sz val="10.0"/>
      </rPr>
      <t>)</t>
    </r>
    <r>
      <rPr>
        <rFont val="ＭＳ Ｐゴシック"/>
        <sz val="10.0"/>
      </rPr>
      <t>を信じられず別れを招いた後悔から、涙が溢れてしまう。一輝は、育実が泣く理由が分からず動揺。</t>
    </r>
    <r>
      <rPr>
        <rFont val="Arial"/>
        <sz val="10.0"/>
      </rPr>
      <t xml:space="preserve">    2</t>
    </r>
    <r>
      <rPr>
        <rFont val="ＭＳ Ｐゴシック"/>
        <sz val="10.0"/>
      </rPr>
      <t>人が森へ行ったことを知った山田</t>
    </r>
    <r>
      <rPr>
        <rFont val="Arial"/>
        <sz val="10.0"/>
      </rPr>
      <t>(</t>
    </r>
    <r>
      <rPr>
        <rFont val="ＭＳ Ｐゴシック"/>
        <sz val="10.0"/>
      </rPr>
      <t>戸田恵子</t>
    </r>
    <r>
      <rPr>
        <rFont val="Arial"/>
        <sz val="10.0"/>
      </rPr>
      <t>)</t>
    </r>
    <r>
      <rPr>
        <rFont val="ＭＳ Ｐゴシック"/>
        <sz val="10.0"/>
      </rPr>
      <t>は、鮫島</t>
    </r>
    <r>
      <rPr>
        <rFont val="Arial"/>
        <sz val="10.0"/>
      </rPr>
      <t>(</t>
    </r>
    <r>
      <rPr>
        <rFont val="ＭＳ Ｐゴシック"/>
        <sz val="10.0"/>
      </rPr>
      <t>小林薫</t>
    </r>
    <r>
      <rPr>
        <rFont val="Arial"/>
        <sz val="10.0"/>
      </rPr>
      <t>)</t>
    </r>
    <r>
      <rPr>
        <rFont val="ＭＳ Ｐゴシック"/>
        <sz val="10.0"/>
      </rPr>
      <t>ら付き合いのある</t>
    </r>
    <r>
      <rPr>
        <rFont val="Arial"/>
        <sz val="10.0"/>
      </rPr>
      <t>“</t>
    </r>
    <r>
      <rPr>
        <rFont val="ＭＳ Ｐゴシック"/>
        <sz val="10.0"/>
      </rPr>
      <t>先生</t>
    </r>
    <r>
      <rPr>
        <rFont val="Arial"/>
        <sz val="10.0"/>
      </rPr>
      <t>"</t>
    </r>
    <r>
      <rPr>
        <rFont val="ＭＳ Ｐゴシック"/>
        <sz val="10.0"/>
      </rPr>
      <t>を呼び、家で食事会をしようと提案。その</t>
    </r>
    <r>
      <rPr>
        <rFont val="Arial"/>
        <sz val="10.0"/>
      </rPr>
      <t>“</t>
    </r>
    <r>
      <rPr>
        <rFont val="ＭＳ Ｐゴシック"/>
        <sz val="10.0"/>
      </rPr>
      <t>先生</t>
    </r>
    <r>
      <rPr>
        <rFont val="Arial"/>
        <sz val="10.0"/>
      </rPr>
      <t>"</t>
    </r>
    <r>
      <rPr>
        <rFont val="ＭＳ Ｐゴシック"/>
        <sz val="10.0"/>
      </rPr>
      <t>には育実も含まれていた。指示を受けた一輝は、育実やあかり</t>
    </r>
    <r>
      <rPr>
        <rFont val="Arial"/>
        <sz val="10.0"/>
      </rPr>
      <t>(</t>
    </r>
    <r>
      <rPr>
        <rFont val="ＭＳ Ｐゴシック"/>
        <sz val="10.0"/>
      </rPr>
      <t>トリンドル玲奈</t>
    </r>
    <r>
      <rPr>
        <rFont val="Arial"/>
        <sz val="10.0"/>
      </rPr>
      <t>)</t>
    </r>
    <r>
      <rPr>
        <rFont val="ＭＳ Ｐゴシック"/>
        <sz val="10.0"/>
      </rPr>
      <t>らを誘うためクリニックへ。しかし、育実は食事会には行かないと断言。その日は育実の誕生日で、鳥飼からの連絡を期待していたのだ。</t>
    </r>
    <r>
      <rPr>
        <rFont val="Arial"/>
        <sz val="10.0"/>
      </rPr>
      <t xml:space="preserve">    </t>
    </r>
    <r>
      <rPr>
        <rFont val="ＭＳ Ｐゴシック"/>
        <sz val="10.0"/>
      </rPr>
      <t>迎えた当日、結局育実はあかりらと一輝の家へ。鮫島や樫野木</t>
    </r>
    <r>
      <rPr>
        <rFont val="Arial"/>
        <sz val="10.0"/>
      </rPr>
      <t>(</t>
    </r>
    <r>
      <rPr>
        <rFont val="ＭＳ Ｐゴシック"/>
        <sz val="10.0"/>
      </rPr>
      <t>要潤</t>
    </r>
    <r>
      <rPr>
        <rFont val="Arial"/>
        <sz val="10.0"/>
      </rPr>
      <t>)</t>
    </r>
    <r>
      <rPr>
        <rFont val="ＭＳ Ｐゴシック"/>
        <sz val="10.0"/>
      </rPr>
      <t>、沼袋</t>
    </r>
    <r>
      <rPr>
        <rFont val="Arial"/>
        <sz val="10.0"/>
      </rPr>
      <t>(</t>
    </r>
    <r>
      <rPr>
        <rFont val="ＭＳ Ｐゴシック"/>
        <sz val="10.0"/>
      </rPr>
      <t>児嶋一哉</t>
    </r>
    <r>
      <rPr>
        <rFont val="Arial"/>
        <sz val="10.0"/>
      </rPr>
      <t>)</t>
    </r>
    <r>
      <rPr>
        <rFont val="ＭＳ Ｐゴシック"/>
        <sz val="10.0"/>
      </rPr>
      <t>、熊野</t>
    </r>
    <r>
      <rPr>
        <rFont val="Arial"/>
        <sz val="10.0"/>
      </rPr>
      <t>(</t>
    </r>
    <r>
      <rPr>
        <rFont val="ＭＳ Ｐゴシック"/>
        <sz val="10.0"/>
      </rPr>
      <t>阿南健治</t>
    </r>
    <r>
      <rPr>
        <rFont val="Arial"/>
        <sz val="10.0"/>
      </rPr>
      <t>)</t>
    </r>
    <r>
      <rPr>
        <rFont val="ＭＳ Ｐゴシック"/>
        <sz val="10.0"/>
      </rPr>
      <t>も集まり、盛り上がる。そんななか、山田の狙いで一輝と餃子を作る育実。綺麗に仕上げようとする育実とは反対に、形にこだわらない一輝。その様子を、育実は複雑な気持ちで見ていて</t>
    </r>
    <r>
      <rPr>
        <rFont val="Arial"/>
        <sz val="10.0"/>
      </rPr>
      <t>…</t>
    </r>
    <r>
      <rPr>
        <rFont val="ＭＳ Ｐゴシック"/>
        <sz val="10.0"/>
      </rPr>
      <t>。</t>
    </r>
    <r>
      <rPr>
        <rFont val="Arial"/>
        <sz val="10.0"/>
      </rPr>
      <t xml:space="preserve">    </t>
    </r>
    <r>
      <rPr>
        <rFont val="ＭＳ Ｐゴシック"/>
        <sz val="10.0"/>
      </rPr>
      <t>翌日、一輝は森で泣いた理由を育実に尋ねる。悪気がないことを知る育実は、「相河さんに自分の思いは分からないと思う」と言いながら、まじめすぎる性格とその自分に嫌気がさしている苦しい胸の内を一輝に話す。その思いを聞いた一輝は</t>
    </r>
    <r>
      <rPr>
        <rFont val="Arial"/>
        <sz val="10.0"/>
      </rPr>
      <t>…</t>
    </r>
    <r>
      <rPr>
        <rFont val="ＭＳ Ｐゴシック"/>
        <sz val="10.0"/>
      </rPr>
      <t>。</t>
    </r>
    <r>
      <rPr>
        <rFont val="Arial"/>
        <sz val="10.0"/>
      </rPr>
      <t xml:space="preserve">    </t>
    </r>
    <r>
      <rPr>
        <rFont val="ＭＳ Ｐゴシック"/>
        <sz val="10.0"/>
      </rPr>
      <t>リスが橋を渡らない理由を思いついた一輝は、樫野木と森へ。その夜、育実から電話が。週末に橋を確認しに行くことを告げると、「私も森に行ってもいいですか</t>
    </r>
    <r>
      <rPr>
        <rFont val="Arial"/>
        <sz val="10.0"/>
      </rPr>
      <t>?</t>
    </r>
    <r>
      <rPr>
        <rFont val="ＭＳ Ｐゴシック"/>
        <sz val="10.0"/>
      </rPr>
      <t>」と、思いもよらぬ発言が飛び出して</t>
    </r>
    <r>
      <rPr>
        <rFont val="Arial"/>
        <sz val="10.0"/>
      </rPr>
      <t>…</t>
    </r>
    <r>
      <rPr>
        <rFont val="ＭＳ Ｐゴシック"/>
        <sz val="10.0"/>
      </rPr>
      <t>。</t>
    </r>
  </si>
  <si>
    <t>一輝(高橋一生)に頼まれ、森を訪れた育実(榮倉奈々)は、元恋人・鳥飼(和田琢磨)を信じられず別れを招いた後悔から、涙が溢れてしまう。一輝は、育実が泣く理由が分からず動揺。    2人が森へ行ったことを知った山田(戸田恵子)は、鮫島(小林薫)ら付き合いのある“先生"を呼び、家で食事会をしようと提案。その“先生"には育実も含まれていた。指示を受けた一輝は、育実やあかり(トリンドル玲奈)らを誘うためクリニックへ。しかし、育実は食事会には行かないと断言。その日は育実の誕生日で、鳥飼からの連絡を期待していたのだ。    迎えた当日、結局育実はあかりらと一輝の家へ。鮫島や樫野木(要潤)、沼袋(児嶋一哉)、熊野(阿南健治)も集まり、盛り上がる。そんななか、山田の狙いで一輝と餃子を作る育実。綺麗に仕上げようとする育実とは反対に、形にこだわらない一輝。その様子を、育実は複雑な気持ちで見ていて…。    翌日、一輝は森で泣いた理由を育実に尋ねる。悪気がないことを知る育実は、「相河さんに自分の思いは分からないと思う」と言いながら、まじめすぎる性格とその自分に嫌気がさしている苦しい胸の内を一輝に話す。その思いを聞いた一輝は…。    リスが橋を渡らない理由を思いついた一輝は、樫野木と森へ。その夜、育実から電話が。週末に橋を確認しに行くことを告げると、「私も森に行ってもいいですか?」と、思いもよらぬ発言が飛び出して…。</t>
  </si>
  <si>
    <t>番組名僕らは奇跡でできている【カメは昔、ウサギだった…!?明かされる過去】　#07</t>
  </si>
  <si>
    <r>
      <rPr>
        <rFont val="ＭＳ Ｐゴシック"/>
        <sz val="10.0"/>
      </rPr>
      <t>仮病で学校を休んだ虹一</t>
    </r>
    <r>
      <rPr>
        <rFont val="Arial"/>
        <sz val="10.0"/>
      </rPr>
      <t>(</t>
    </r>
    <r>
      <rPr>
        <rFont val="ＭＳ Ｐゴシック"/>
        <sz val="10.0"/>
      </rPr>
      <t>川口和空</t>
    </r>
    <r>
      <rPr>
        <rFont val="Arial"/>
        <sz val="10.0"/>
      </rPr>
      <t>)</t>
    </r>
    <r>
      <rPr>
        <rFont val="ＭＳ Ｐゴシック"/>
        <sz val="10.0"/>
      </rPr>
      <t>が、家を抜け出して一輝</t>
    </r>
    <r>
      <rPr>
        <rFont val="Arial"/>
        <sz val="10.0"/>
      </rPr>
      <t>(</t>
    </r>
    <r>
      <rPr>
        <rFont val="ＭＳ Ｐゴシック"/>
        <sz val="10.0"/>
      </rPr>
      <t>高橋一生</t>
    </r>
    <r>
      <rPr>
        <rFont val="Arial"/>
        <sz val="10.0"/>
      </rPr>
      <t>)</t>
    </r>
    <r>
      <rPr>
        <rFont val="ＭＳ Ｐゴシック"/>
        <sz val="10.0"/>
      </rPr>
      <t>の大学を訪ねてきた。母親にずる休みがバレ、大切なスケッチブックを取り上げられたのだ。一輝は、「家にいたくない」と言う虹一を自宅へ連れて帰る。虹一の居場所を母・涼子</t>
    </r>
    <r>
      <rPr>
        <rFont val="Arial"/>
        <sz val="10.0"/>
      </rPr>
      <t>(</t>
    </r>
    <r>
      <rPr>
        <rFont val="ＭＳ Ｐゴシック"/>
        <sz val="10.0"/>
      </rPr>
      <t>松本若菜</t>
    </r>
    <r>
      <rPr>
        <rFont val="Arial"/>
        <sz val="10.0"/>
      </rPr>
      <t>)</t>
    </r>
    <r>
      <rPr>
        <rFont val="ＭＳ Ｐゴシック"/>
        <sz val="10.0"/>
      </rPr>
      <t>に伝えるため、育実</t>
    </r>
    <r>
      <rPr>
        <rFont val="Arial"/>
        <sz val="10.0"/>
      </rPr>
      <t>(</t>
    </r>
    <r>
      <rPr>
        <rFont val="ＭＳ Ｐゴシック"/>
        <sz val="10.0"/>
      </rPr>
      <t>榮倉奈々</t>
    </r>
    <r>
      <rPr>
        <rFont val="Arial"/>
        <sz val="10.0"/>
      </rPr>
      <t>)</t>
    </r>
    <r>
      <rPr>
        <rFont val="ＭＳ Ｐゴシック"/>
        <sz val="10.0"/>
      </rPr>
      <t>のクリニックへ向かった一輝。そこで、虹一の家出に慌てふためく涼子と遭遇する。</t>
    </r>
    <r>
      <rPr>
        <rFont val="Arial"/>
        <sz val="10.0"/>
      </rPr>
      <t xml:space="preserve">    </t>
    </r>
    <r>
      <rPr>
        <rFont val="ＭＳ Ｐゴシック"/>
        <sz val="10.0"/>
      </rPr>
      <t>育実と相河家を訪れた涼子は、虹一を連れて帰ろうとするが、自分を</t>
    </r>
    <r>
      <rPr>
        <rFont val="Arial"/>
        <sz val="10.0"/>
      </rPr>
      <t>“</t>
    </r>
    <r>
      <rPr>
        <rFont val="ＭＳ Ｐゴシック"/>
        <sz val="10.0"/>
      </rPr>
      <t>ダメ</t>
    </r>
    <r>
      <rPr>
        <rFont val="Arial"/>
        <sz val="10.0"/>
      </rPr>
      <t>"</t>
    </r>
    <r>
      <rPr>
        <rFont val="ＭＳ Ｐゴシック"/>
        <sz val="10.0"/>
      </rPr>
      <t>呼ばわりする母に、虹一は帰宅を拒む。育実は、虹一のことで周囲の目を気にする涼子に、自信がないゆえ周囲を気にしていた、かつての自分を重ね合わせる。</t>
    </r>
    <r>
      <rPr>
        <rFont val="Arial"/>
        <sz val="10.0"/>
      </rPr>
      <t xml:space="preserve">    </t>
    </r>
    <r>
      <rPr>
        <rFont val="ＭＳ Ｐゴシック"/>
        <sz val="10.0"/>
      </rPr>
      <t>翌日、一輝は虹一と森へ。念願だった森を訪れて笑顔になった虹一が相河家に戻ると、涼子が待ち構えていた。虹一が学校で悪目立ちし、恥ずかしいと嘆く涼子に、一輝は自分の少年時代について話す。その意外な過去に、育実は驚いて</t>
    </r>
    <r>
      <rPr>
        <rFont val="Arial"/>
        <sz val="10.0"/>
      </rPr>
      <t>…</t>
    </r>
    <r>
      <rPr>
        <rFont val="ＭＳ Ｐゴシック"/>
        <sz val="10.0"/>
      </rPr>
      <t>。</t>
    </r>
    <r>
      <rPr>
        <rFont val="Arial"/>
        <sz val="10.0"/>
      </rPr>
      <t xml:space="preserve">    </t>
    </r>
    <r>
      <rPr>
        <rFont val="ＭＳ Ｐゴシック"/>
        <sz val="10.0"/>
      </rPr>
      <t>大学では、一輝に熱をあげる琴音</t>
    </r>
    <r>
      <rPr>
        <rFont val="Arial"/>
        <sz val="10.0"/>
      </rPr>
      <t>(</t>
    </r>
    <r>
      <rPr>
        <rFont val="ＭＳ Ｐゴシック"/>
        <sz val="10.0"/>
      </rPr>
      <t>矢作穂香</t>
    </r>
    <r>
      <rPr>
        <rFont val="Arial"/>
        <sz val="10.0"/>
      </rPr>
      <t>)</t>
    </r>
    <r>
      <rPr>
        <rFont val="ＭＳ Ｐゴシック"/>
        <sz val="10.0"/>
      </rPr>
      <t>が、新庄</t>
    </r>
    <r>
      <rPr>
        <rFont val="Arial"/>
        <sz val="10.0"/>
      </rPr>
      <t>(</t>
    </r>
    <r>
      <rPr>
        <rFont val="ＭＳ Ｐゴシック"/>
        <sz val="10.0"/>
      </rPr>
      <t>西畑大吾</t>
    </r>
    <r>
      <rPr>
        <rFont val="Arial"/>
        <sz val="10.0"/>
      </rPr>
      <t>)</t>
    </r>
    <r>
      <rPr>
        <rFont val="ＭＳ Ｐゴシック"/>
        <sz val="10.0"/>
      </rPr>
      <t>、桜</t>
    </r>
    <r>
      <rPr>
        <rFont val="Arial"/>
        <sz val="10.0"/>
      </rPr>
      <t>(</t>
    </r>
    <r>
      <rPr>
        <rFont val="ＭＳ Ｐゴシック"/>
        <sz val="10.0"/>
      </rPr>
      <t>北香那</t>
    </r>
    <r>
      <rPr>
        <rFont val="Arial"/>
        <sz val="10.0"/>
      </rPr>
      <t>)</t>
    </r>
    <r>
      <rPr>
        <rFont val="ＭＳ Ｐゴシック"/>
        <sz val="10.0"/>
      </rPr>
      <t>、須田</t>
    </r>
    <r>
      <rPr>
        <rFont val="Arial"/>
        <sz val="10.0"/>
      </rPr>
      <t>(</t>
    </r>
    <r>
      <rPr>
        <rFont val="ＭＳ Ｐゴシック"/>
        <sz val="10.0"/>
      </rPr>
      <t>広田亮平</t>
    </r>
    <r>
      <rPr>
        <rFont val="Arial"/>
        <sz val="10.0"/>
      </rPr>
      <t>)</t>
    </r>
    <r>
      <rPr>
        <rFont val="ＭＳ Ｐゴシック"/>
        <sz val="10.0"/>
      </rPr>
      <t>を連れ、一輝の研究室に現れる。琴音は「話がある」と、鮫島</t>
    </r>
    <r>
      <rPr>
        <rFont val="Arial"/>
        <sz val="10.0"/>
      </rPr>
      <t>(</t>
    </r>
    <r>
      <rPr>
        <rFont val="ＭＳ Ｐゴシック"/>
        <sz val="10.0"/>
      </rPr>
      <t>小林薫</t>
    </r>
    <r>
      <rPr>
        <rFont val="Arial"/>
        <sz val="10.0"/>
      </rPr>
      <t>)</t>
    </r>
    <r>
      <rPr>
        <rFont val="ＭＳ Ｐゴシック"/>
        <sz val="10.0"/>
      </rPr>
      <t>を呼び出し</t>
    </r>
    <r>
      <rPr>
        <rFont val="Arial"/>
        <sz val="10.0"/>
      </rPr>
      <t>…</t>
    </r>
    <r>
      <rPr>
        <rFont val="ＭＳ Ｐゴシック"/>
        <sz val="10.0"/>
      </rPr>
      <t>。</t>
    </r>
    <r>
      <rPr>
        <rFont val="Arial"/>
        <sz val="10.0"/>
      </rPr>
      <t xml:space="preserve">    </t>
    </r>
    <r>
      <rPr>
        <rFont val="ＭＳ Ｐゴシック"/>
        <sz val="10.0"/>
      </rPr>
      <t>数日後、再び相河家を訪れた育実。山田</t>
    </r>
    <r>
      <rPr>
        <rFont val="Arial"/>
        <sz val="10.0"/>
      </rPr>
      <t>(</t>
    </r>
    <r>
      <rPr>
        <rFont val="ＭＳ Ｐゴシック"/>
        <sz val="10.0"/>
      </rPr>
      <t>戸田恵子</t>
    </r>
    <r>
      <rPr>
        <rFont val="Arial"/>
        <sz val="10.0"/>
      </rPr>
      <t>)</t>
    </r>
    <r>
      <rPr>
        <rFont val="ＭＳ Ｐゴシック"/>
        <sz val="10.0"/>
      </rPr>
      <t>は口実を作って外出し、一輝と</t>
    </r>
    <r>
      <rPr>
        <rFont val="Arial"/>
        <sz val="10.0"/>
      </rPr>
      <t>2</t>
    </r>
    <r>
      <rPr>
        <rFont val="ＭＳ Ｐゴシック"/>
        <sz val="10.0"/>
      </rPr>
      <t>人きりに。育実が帰った後、一輝が山田に真意を問うと、密かに</t>
    </r>
    <r>
      <rPr>
        <rFont val="Arial"/>
        <sz val="10.0"/>
      </rPr>
      <t>2</t>
    </r>
    <r>
      <rPr>
        <rFont val="ＭＳ Ｐゴシック"/>
        <sz val="10.0"/>
      </rPr>
      <t>人の結婚式を想像していると告白。すると、そんな山田に、一輝が思いもよらない質問を投げかけて</t>
    </r>
    <r>
      <rPr>
        <rFont val="Arial"/>
        <sz val="10.0"/>
      </rPr>
      <t>!?</t>
    </r>
  </si>
  <si>
    <t>仮病で学校を休んだ虹一(川口和空)が、家を抜け出して一輝(高橋一生)の大学を訪ねてきた。母親にずる休みがバレ、大切なスケッチブックを取り上げられたのだ。一輝は、「家にいたくない」と言う虹一を自宅へ連れて帰る。虹一の居場所を母・涼子(松本若菜)に伝えるため、育実(榮倉奈々)のクリニックへ向かった一輝。そこで、虹一の家出に慌てふためく涼子と遭遇する。    育実と相河家を訪れた涼子は、虹一を連れて帰ろうとするが、自分を“ダメ"呼ばわりする母に、虹一は帰宅を拒む。育実は、虹一のことで周囲の目を気にする涼子に、自信がないゆえ周囲を気にしていた、かつての自分を重ね合わせる。    翌日、一輝は虹一と森へ。念願だった森を訪れて笑顔になった虹一が相河家に戻ると、涼子が待ち構えていた。虹一が学校で悪目立ちし、恥ずかしいと嘆く涼子に、一輝は自分の少年時代について話す。その意外な過去に、育実は驚いて…。    大学では、一輝に熱をあげる琴音(矢作穂香)が、新庄(西畑大吾)、桜(北香那)、須田(広田亮平)を連れ、一輝の研究室に現れる。琴音は「話がある」と、鮫島(小林薫)を呼び出し…。    数日後、再び相河家を訪れた育実。山田(戸田恵子)は口実を作って外出し、一輝と2人きりに。育実が帰った後、一輝が山田に真意を問うと、密かに2人の結婚式を想像していると告白。すると、そんな山田に、一輝が思いもよらない質問を投げかけて!?</t>
  </si>
  <si>
    <t>番組名僕らは奇跡でできている【家政婦さんはお母さん!?タコ嫌いと母の秘密】　#08</t>
  </si>
  <si>
    <r>
      <rPr>
        <rFont val="ＭＳ Ｐゴシック"/>
        <sz val="10.0"/>
      </rPr>
      <t>「僕は山田さんから生まれたんですよね</t>
    </r>
    <r>
      <rPr>
        <rFont val="Arial"/>
        <sz val="10.0"/>
      </rPr>
      <t>?</t>
    </r>
    <r>
      <rPr>
        <rFont val="ＭＳ Ｐゴシック"/>
        <sz val="10.0"/>
      </rPr>
      <t>」。一輝</t>
    </r>
    <r>
      <rPr>
        <rFont val="Arial"/>
        <sz val="10.0"/>
      </rPr>
      <t>(</t>
    </r>
    <r>
      <rPr>
        <rFont val="ＭＳ Ｐゴシック"/>
        <sz val="10.0"/>
      </rPr>
      <t>高橋一生</t>
    </r>
    <r>
      <rPr>
        <rFont val="Arial"/>
        <sz val="10.0"/>
      </rPr>
      <t>)</t>
    </r>
    <r>
      <rPr>
        <rFont val="ＭＳ Ｐゴシック"/>
        <sz val="10.0"/>
      </rPr>
      <t>の一言に言葉を失う山田</t>
    </r>
    <r>
      <rPr>
        <rFont val="Arial"/>
        <sz val="10.0"/>
      </rPr>
      <t>(</t>
    </r>
    <r>
      <rPr>
        <rFont val="ＭＳ Ｐゴシック"/>
        <sz val="10.0"/>
      </rPr>
      <t>戸田恵子</t>
    </r>
    <r>
      <rPr>
        <rFont val="Arial"/>
        <sz val="10.0"/>
      </rPr>
      <t>)</t>
    </r>
    <r>
      <rPr>
        <rFont val="ＭＳ Ｐゴシック"/>
        <sz val="10.0"/>
      </rPr>
      <t>。一輝もそんな山田の様子にどう反応していいのか分からず、眠れない夜を過ごし、大学の講義に遅刻。熊野事務長</t>
    </r>
    <r>
      <rPr>
        <rFont val="Arial"/>
        <sz val="10.0"/>
      </rPr>
      <t>(</t>
    </r>
    <r>
      <rPr>
        <rFont val="ＭＳ Ｐゴシック"/>
        <sz val="10.0"/>
      </rPr>
      <t>阿南健治</t>
    </r>
    <r>
      <rPr>
        <rFont val="Arial"/>
        <sz val="10.0"/>
      </rPr>
      <t>)</t>
    </r>
    <r>
      <rPr>
        <rFont val="ＭＳ Ｐゴシック"/>
        <sz val="10.0"/>
      </rPr>
      <t>から嫌味を言われていると、同じく遅刻してきたのは樫野木</t>
    </r>
    <r>
      <rPr>
        <rFont val="Arial"/>
        <sz val="10.0"/>
      </rPr>
      <t>(</t>
    </r>
    <r>
      <rPr>
        <rFont val="ＭＳ Ｐゴシック"/>
        <sz val="10.0"/>
      </rPr>
      <t>要潤</t>
    </r>
    <r>
      <rPr>
        <rFont val="Arial"/>
        <sz val="10.0"/>
      </rPr>
      <t>)</t>
    </r>
    <r>
      <rPr>
        <rFont val="ＭＳ Ｐゴシック"/>
        <sz val="10.0"/>
      </rPr>
      <t>だった。樫野木は娘から、元妻に恋人がいることを知らされ、心ここにあらず。一方、琴音</t>
    </r>
    <r>
      <rPr>
        <rFont val="Arial"/>
        <sz val="10.0"/>
      </rPr>
      <t>(</t>
    </r>
    <r>
      <rPr>
        <rFont val="ＭＳ Ｐゴシック"/>
        <sz val="10.0"/>
      </rPr>
      <t>矢作穂香</t>
    </r>
    <r>
      <rPr>
        <rFont val="Arial"/>
        <sz val="10.0"/>
      </rPr>
      <t>)</t>
    </r>
    <r>
      <rPr>
        <rFont val="ＭＳ Ｐゴシック"/>
        <sz val="10.0"/>
      </rPr>
      <t>が少し様子の違う一輝に気づいて</t>
    </r>
    <r>
      <rPr>
        <rFont val="Arial"/>
        <sz val="10.0"/>
      </rPr>
      <t>…</t>
    </r>
    <r>
      <rPr>
        <rFont val="ＭＳ Ｐゴシック"/>
        <sz val="10.0"/>
      </rPr>
      <t>。そんななか、新庄</t>
    </r>
    <r>
      <rPr>
        <rFont val="Arial"/>
        <sz val="10.0"/>
      </rPr>
      <t>(</t>
    </r>
    <r>
      <rPr>
        <rFont val="ＭＳ Ｐゴシック"/>
        <sz val="10.0"/>
      </rPr>
      <t>西畑大吾</t>
    </r>
    <r>
      <rPr>
        <rFont val="Arial"/>
        <sz val="10.0"/>
      </rPr>
      <t>)</t>
    </r>
    <r>
      <rPr>
        <rFont val="ＭＳ Ｐゴシック"/>
        <sz val="10.0"/>
      </rPr>
      <t>は、ある動画を見つける。</t>
    </r>
    <r>
      <rPr>
        <rFont val="Arial"/>
        <sz val="10.0"/>
      </rPr>
      <t xml:space="preserve">    </t>
    </r>
    <r>
      <rPr>
        <rFont val="ＭＳ Ｐゴシック"/>
        <sz val="10.0"/>
      </rPr>
      <t>山田は義高</t>
    </r>
    <r>
      <rPr>
        <rFont val="Arial"/>
        <sz val="10.0"/>
      </rPr>
      <t>(</t>
    </r>
    <r>
      <rPr>
        <rFont val="ＭＳ Ｐゴシック"/>
        <sz val="10.0"/>
      </rPr>
      <t>田中泯</t>
    </r>
    <r>
      <rPr>
        <rFont val="Arial"/>
        <sz val="10.0"/>
      </rPr>
      <t>)</t>
    </r>
    <r>
      <rPr>
        <rFont val="ＭＳ Ｐゴシック"/>
        <sz val="10.0"/>
      </rPr>
      <t>の工房へ。心情を吐露するが、電話で一輝から夕飯はいらないと言われ、</t>
    </r>
    <r>
      <rPr>
        <rFont val="Arial"/>
        <sz val="10.0"/>
      </rPr>
      <t>“</t>
    </r>
    <r>
      <rPr>
        <rFont val="ＭＳ Ｐゴシック"/>
        <sz val="10.0"/>
      </rPr>
      <t>もう元の関係には戻れない</t>
    </r>
    <r>
      <rPr>
        <rFont val="Arial"/>
        <sz val="10.0"/>
      </rPr>
      <t>"</t>
    </r>
    <r>
      <rPr>
        <rFont val="ＭＳ Ｐゴシック"/>
        <sz val="10.0"/>
      </rPr>
      <t>という思いを強める。その夜、「どうして私が産んだと思ったんですか</t>
    </r>
    <r>
      <rPr>
        <rFont val="Arial"/>
        <sz val="10.0"/>
      </rPr>
      <t>?</t>
    </r>
    <r>
      <rPr>
        <rFont val="ＭＳ Ｐゴシック"/>
        <sz val="10.0"/>
      </rPr>
      <t>」と尋ねる。すると一輝は、真実を知ったきっかけと、今まで黙っていた理由を明かす。一輝も、山田に家政婦として働いてきた理由を尋ねるが、「一生、言わないと決めていた」と答えるだけ。</t>
    </r>
    <r>
      <rPr>
        <rFont val="Arial"/>
        <sz val="10.0"/>
      </rPr>
      <t xml:space="preserve">    </t>
    </r>
    <r>
      <rPr>
        <rFont val="ＭＳ Ｐゴシック"/>
        <sz val="10.0"/>
      </rPr>
      <t>一輝は、以前の関係を取り戻そうと、育実</t>
    </r>
    <r>
      <rPr>
        <rFont val="Arial"/>
        <sz val="10.0"/>
      </rPr>
      <t>(</t>
    </r>
    <r>
      <rPr>
        <rFont val="ＭＳ Ｐゴシック"/>
        <sz val="10.0"/>
      </rPr>
      <t>榮倉奈々</t>
    </r>
    <r>
      <rPr>
        <rFont val="Arial"/>
        <sz val="10.0"/>
      </rPr>
      <t>)</t>
    </r>
    <r>
      <rPr>
        <rFont val="ＭＳ Ｐゴシック"/>
        <sz val="10.0"/>
      </rPr>
      <t>に仲直りする方法を尋ねる。「普通にしていれば自然と元に戻る」と話すが、一輝はその</t>
    </r>
    <r>
      <rPr>
        <rFont val="Arial"/>
        <sz val="10.0"/>
      </rPr>
      <t>“</t>
    </r>
    <r>
      <rPr>
        <rFont val="ＭＳ Ｐゴシック"/>
        <sz val="10.0"/>
      </rPr>
      <t>普通</t>
    </r>
    <r>
      <rPr>
        <rFont val="Arial"/>
        <sz val="10.0"/>
      </rPr>
      <t>"</t>
    </r>
    <r>
      <rPr>
        <rFont val="ＭＳ Ｐゴシック"/>
        <sz val="10.0"/>
      </rPr>
      <t>が分からない。</t>
    </r>
    <r>
      <rPr>
        <rFont val="Arial"/>
        <sz val="10.0"/>
      </rPr>
      <t xml:space="preserve">    </t>
    </r>
    <r>
      <rPr>
        <rFont val="ＭＳ Ｐゴシック"/>
        <sz val="10.0"/>
      </rPr>
      <t>過去を話すか悩んだ山田は鮫島</t>
    </r>
    <r>
      <rPr>
        <rFont val="Arial"/>
        <sz val="10.0"/>
      </rPr>
      <t>(</t>
    </r>
    <r>
      <rPr>
        <rFont val="ＭＳ Ｐゴシック"/>
        <sz val="10.0"/>
      </rPr>
      <t>小林薫</t>
    </r>
    <r>
      <rPr>
        <rFont val="Arial"/>
        <sz val="10.0"/>
      </rPr>
      <t>)</t>
    </r>
    <r>
      <rPr>
        <rFont val="ＭＳ Ｐゴシック"/>
        <sz val="10.0"/>
      </rPr>
      <t>の元へ。しかし「本当のことを言っても言わなくても、</t>
    </r>
    <r>
      <rPr>
        <rFont val="Arial"/>
        <sz val="10.0"/>
      </rPr>
      <t>2</t>
    </r>
    <r>
      <rPr>
        <rFont val="ＭＳ Ｐゴシック"/>
        <sz val="10.0"/>
      </rPr>
      <t>人はうまくいかないと思う」と言われ、ショックを受ける。覚悟を決めた山田は全てを打ち明ける。すると翌日、一輝は一言だけメモを残して姿を消し</t>
    </r>
    <r>
      <rPr>
        <rFont val="Arial"/>
        <sz val="10.0"/>
      </rPr>
      <t>…</t>
    </r>
    <r>
      <rPr>
        <rFont val="ＭＳ Ｐゴシック"/>
        <sz val="10.0"/>
      </rPr>
      <t>。</t>
    </r>
  </si>
  <si>
    <t>「僕は山田さんから生まれたんですよね?」。一輝(高橋一生)の一言に言葉を失う山田(戸田恵子)。一輝もそんな山田の様子にどう反応していいのか分からず、眠れない夜を過ごし、大学の講義に遅刻。熊野事務長(阿南健治)から嫌味を言われていると、同じく遅刻してきたのは樫野木(要潤)だった。樫野木は娘から、元妻に恋人がいることを知らされ、心ここにあらず。一方、琴音(矢作穂香)が少し様子の違う一輝に気づいて…。そんななか、新庄(西畑大吾)は、ある動画を見つける。    山田は義高(田中泯)の工房へ。心情を吐露するが、電話で一輝から夕飯はいらないと言われ、“もう元の関係には戻れない"という思いを強める。その夜、「どうして私が産んだと思ったんですか?」と尋ねる。すると一輝は、真実を知ったきっかけと、今まで黙っていた理由を明かす。一輝も、山田に家政婦として働いてきた理由を尋ねるが、「一生、言わないと決めていた」と答えるだけ。    一輝は、以前の関係を取り戻そうと、育実(榮倉奈々)に仲直りする方法を尋ねる。「普通にしていれば自然と元に戻る」と話すが、一輝はその“普通"が分からない。    過去を話すか悩んだ山田は鮫島(小林薫)の元へ。しかし「本当のことを言っても言わなくても、2人はうまくいかないと思う」と言われ、ショックを受ける。覚悟を決めた山田は全てを打ち明ける。すると翌日、一輝は一言だけメモを残して姿を消し…。</t>
  </si>
  <si>
    <t>番組名僕らは奇跡でできている【楽しかった日々の終わり】　#09</t>
  </si>
  <si>
    <r>
      <rPr>
        <rFont val="ＭＳ Ｐゴシック"/>
        <sz val="10.0"/>
      </rPr>
      <t>山田</t>
    </r>
    <r>
      <rPr>
        <rFont val="Arial"/>
        <sz val="10.0"/>
      </rPr>
      <t>(</t>
    </r>
    <r>
      <rPr>
        <rFont val="ＭＳ Ｐゴシック"/>
        <sz val="10.0"/>
      </rPr>
      <t>戸田恵子</t>
    </r>
    <r>
      <rPr>
        <rFont val="Arial"/>
        <sz val="10.0"/>
      </rPr>
      <t>)</t>
    </r>
    <r>
      <rPr>
        <rFont val="ＭＳ Ｐゴシック"/>
        <sz val="10.0"/>
      </rPr>
      <t>との生活も日常に戻り、一輝</t>
    </r>
    <r>
      <rPr>
        <rFont val="Arial"/>
        <sz val="10.0"/>
      </rPr>
      <t>(</t>
    </r>
    <r>
      <rPr>
        <rFont val="ＭＳ Ｐゴシック"/>
        <sz val="10.0"/>
      </rPr>
      <t>高橋一生</t>
    </r>
    <r>
      <rPr>
        <rFont val="Arial"/>
        <sz val="10.0"/>
      </rPr>
      <t>)</t>
    </r>
    <r>
      <rPr>
        <rFont val="ＭＳ Ｐゴシック"/>
        <sz val="10.0"/>
      </rPr>
      <t>は水泳を始める。大学でも、鮫島</t>
    </r>
    <r>
      <rPr>
        <rFont val="Arial"/>
        <sz val="10.0"/>
      </rPr>
      <t>(</t>
    </r>
    <r>
      <rPr>
        <rFont val="ＭＳ Ｐゴシック"/>
        <sz val="10.0"/>
      </rPr>
      <t>小林薫</t>
    </r>
    <r>
      <rPr>
        <rFont val="Arial"/>
        <sz val="10.0"/>
      </rPr>
      <t>)</t>
    </r>
    <r>
      <rPr>
        <rFont val="ＭＳ Ｐゴシック"/>
        <sz val="10.0"/>
      </rPr>
      <t>に代講を任され、沼袋</t>
    </r>
    <r>
      <rPr>
        <rFont val="Arial"/>
        <sz val="10.0"/>
      </rPr>
      <t>(</t>
    </r>
    <r>
      <rPr>
        <rFont val="ＭＳ Ｐゴシック"/>
        <sz val="10.0"/>
      </rPr>
      <t>児嶋一哉</t>
    </r>
    <r>
      <rPr>
        <rFont val="Arial"/>
        <sz val="10.0"/>
      </rPr>
      <t>)</t>
    </r>
    <r>
      <rPr>
        <rFont val="ＭＳ Ｐゴシック"/>
        <sz val="10.0"/>
      </rPr>
      <t>と言葉を交わすなど、周囲との関係を深めていくが、樫野木</t>
    </r>
    <r>
      <rPr>
        <rFont val="Arial"/>
        <sz val="10.0"/>
      </rPr>
      <t>(</t>
    </r>
    <r>
      <rPr>
        <rFont val="ＭＳ Ｐゴシック"/>
        <sz val="10.0"/>
      </rPr>
      <t>要潤</t>
    </r>
    <r>
      <rPr>
        <rFont val="Arial"/>
        <sz val="10.0"/>
      </rPr>
      <t>)</t>
    </r>
    <r>
      <rPr>
        <rFont val="ＭＳ Ｐゴシック"/>
        <sz val="10.0"/>
      </rPr>
      <t>だけは一輝を快く思っていない様子。離れて暮らす娘から元妻に恋人がいると聞き、焦っていたのだ。</t>
    </r>
    <r>
      <rPr>
        <rFont val="Arial"/>
        <sz val="10.0"/>
      </rPr>
      <t xml:space="preserve">    </t>
    </r>
    <r>
      <rPr>
        <rFont val="ＭＳ Ｐゴシック"/>
        <sz val="10.0"/>
      </rPr>
      <t>一方、進路相談という名目で一輝と</t>
    </r>
    <r>
      <rPr>
        <rFont val="Arial"/>
        <sz val="10.0"/>
      </rPr>
      <t>2</t>
    </r>
    <r>
      <rPr>
        <rFont val="ＭＳ Ｐゴシック"/>
        <sz val="10.0"/>
      </rPr>
      <t>人きりになった琴音</t>
    </r>
    <r>
      <rPr>
        <rFont val="Arial"/>
        <sz val="10.0"/>
      </rPr>
      <t>(</t>
    </r>
    <r>
      <rPr>
        <rFont val="ＭＳ Ｐゴシック"/>
        <sz val="10.0"/>
      </rPr>
      <t>矢作穂香</t>
    </r>
    <r>
      <rPr>
        <rFont val="Arial"/>
        <sz val="10.0"/>
      </rPr>
      <t>)</t>
    </r>
    <r>
      <rPr>
        <rFont val="ＭＳ Ｐゴシック"/>
        <sz val="10.0"/>
      </rPr>
      <t>は、「つきあってほしい」と告白。一輝は断るが、ムキになった琴音は、育実</t>
    </r>
    <r>
      <rPr>
        <rFont val="Arial"/>
        <sz val="10.0"/>
      </rPr>
      <t>(</t>
    </r>
    <r>
      <rPr>
        <rFont val="ＭＳ Ｐゴシック"/>
        <sz val="10.0"/>
      </rPr>
      <t>榮倉奈々</t>
    </r>
    <r>
      <rPr>
        <rFont val="Arial"/>
        <sz val="10.0"/>
      </rPr>
      <t>)</t>
    </r>
    <r>
      <rPr>
        <rFont val="ＭＳ Ｐゴシック"/>
        <sz val="10.0"/>
      </rPr>
      <t>のことが好きなのではないかと問い詰める。思いもよらない問いかけに、うまく答えられない一輝。初めて育実に対する自分の気持ちを考えるものの、答えの出ない一輝は、育実に相談。すると育実は、急に一輝を意識し始めて</t>
    </r>
    <r>
      <rPr>
        <rFont val="Arial"/>
        <sz val="10.0"/>
      </rPr>
      <t>…</t>
    </r>
    <r>
      <rPr>
        <rFont val="ＭＳ Ｐゴシック"/>
        <sz val="10.0"/>
      </rPr>
      <t>。</t>
    </r>
    <r>
      <rPr>
        <rFont val="Arial"/>
        <sz val="10.0"/>
      </rPr>
      <t xml:space="preserve">    </t>
    </r>
    <r>
      <rPr>
        <rFont val="ＭＳ Ｐゴシック"/>
        <sz val="10.0"/>
      </rPr>
      <t>そんな中、部屋にヤモリが現れパニックになった育実は迷った末、一輝に助けを求めることに。部屋にやってきた一輝と</t>
    </r>
    <r>
      <rPr>
        <rFont val="Arial"/>
        <sz val="10.0"/>
      </rPr>
      <t>2</t>
    </r>
    <r>
      <rPr>
        <rFont val="ＭＳ Ｐゴシック"/>
        <sz val="10.0"/>
      </rPr>
      <t>人きりになった育実は</t>
    </r>
    <r>
      <rPr>
        <rFont val="Arial"/>
        <sz val="10.0"/>
      </rPr>
      <t>…?</t>
    </r>
    <r>
      <rPr>
        <rFont val="ＭＳ Ｐゴシック"/>
        <sz val="10.0"/>
      </rPr>
      <t>そして一輝も、ある答えにたどり着き、育実に伝えようと決意。</t>
    </r>
    <r>
      <rPr>
        <rFont val="Arial"/>
        <sz val="10.0"/>
      </rPr>
      <t xml:space="preserve">    </t>
    </r>
    <r>
      <rPr>
        <rFont val="ＭＳ Ｐゴシック"/>
        <sz val="10.0"/>
      </rPr>
      <t>同じ頃、一輝はひょんなことから樫野木の娘・香澄</t>
    </r>
    <r>
      <rPr>
        <rFont val="Arial"/>
        <sz val="10.0"/>
      </rPr>
      <t>(</t>
    </r>
    <r>
      <rPr>
        <rFont val="ＭＳ Ｐゴシック"/>
        <sz val="10.0"/>
      </rPr>
      <t>矢崎由紗</t>
    </r>
    <r>
      <rPr>
        <rFont val="Arial"/>
        <sz val="10.0"/>
      </rPr>
      <t>)</t>
    </r>
    <r>
      <rPr>
        <rFont val="ＭＳ Ｐゴシック"/>
        <sz val="10.0"/>
      </rPr>
      <t>と顔見知りに。フィールドワークの話を興味深く聞いていたことから、一輝はもっと話を聞かせたいと樫野木に声をかける。元妻の再婚話に動揺する樫野木は、自分が離婚する原因になったフィールドワークについて楽しそうに話す一輝を見て、いら立ちを隠せない。そしてついに感情が爆発し、一輝に強烈な一言を浴びせてしまい</t>
    </r>
    <r>
      <rPr>
        <rFont val="Arial"/>
        <sz val="10.0"/>
      </rPr>
      <t>…</t>
    </r>
    <r>
      <rPr>
        <rFont val="ＭＳ Ｐゴシック"/>
        <sz val="10.0"/>
      </rPr>
      <t>。</t>
    </r>
  </si>
  <si>
    <t>山田(戸田恵子)との生活も日常に戻り、一輝(高橋一生)は水泳を始める。大学でも、鮫島(小林薫)に代講を任され、沼袋(児嶋一哉)と言葉を交わすなど、周囲との関係を深めていくが、樫野木(要潤)だけは一輝を快く思っていない様子。離れて暮らす娘から元妻に恋人がいると聞き、焦っていたのだ。    一方、進路相談という名目で一輝と2人きりになった琴音(矢作穂香)は、「つきあってほしい」と告白。一輝は断るが、ムキになった琴音は、育実(榮倉奈々)のことが好きなのではないかと問い詰める。思いもよらない問いかけに、うまく答えられない一輝。初めて育実に対する自分の気持ちを考えるものの、答えの出ない一輝は、育実に相談。すると育実は、急に一輝を意識し始めて…。    そんな中、部屋にヤモリが現れパニックになった育実は迷った末、一輝に助けを求めることに。部屋にやってきた一輝と2人きりになった育実は…?そして一輝も、ある答えにたどり着き、育実に伝えようと決意。    同じ頃、一輝はひょんなことから樫野木の娘・香澄(矢崎由紗)と顔見知りに。フィールドワークの話を興味深く聞いていたことから、一輝はもっと話を聞かせたいと樫野木に声をかける。元妻の再婚話に動揺する樫野木は、自分が離婚する原因になったフィールドワークについて楽しそうに話す一輝を見て、いら立ちを隠せない。そしてついに感情が爆発し、一輝に強烈な一言を浴びせてしまい…。</t>
  </si>
  <si>
    <t>番組名僕らは奇跡でできている【さよなら相河先生!最後のビックリ決断!?】　#10</t>
  </si>
  <si>
    <r>
      <rPr>
        <rFont val="ＭＳ Ｐゴシック"/>
        <sz val="10.0"/>
      </rPr>
      <t>樫野木</t>
    </r>
    <r>
      <rPr>
        <rFont val="Arial"/>
        <sz val="10.0"/>
      </rPr>
      <t>(</t>
    </r>
    <r>
      <rPr>
        <rFont val="ＭＳ Ｐゴシック"/>
        <sz val="10.0"/>
      </rPr>
      <t>要潤</t>
    </r>
    <r>
      <rPr>
        <rFont val="Arial"/>
        <sz val="10.0"/>
      </rPr>
      <t>)</t>
    </r>
    <r>
      <rPr>
        <rFont val="ＭＳ Ｐゴシック"/>
        <sz val="10.0"/>
      </rPr>
      <t>から「迷惑なんだよ。消えてほしい」と強烈な言葉を浴びせられた一輝</t>
    </r>
    <r>
      <rPr>
        <rFont val="Arial"/>
        <sz val="10.0"/>
      </rPr>
      <t>(</t>
    </r>
    <r>
      <rPr>
        <rFont val="ＭＳ Ｐゴシック"/>
        <sz val="10.0"/>
      </rPr>
      <t>高橋一生</t>
    </r>
    <r>
      <rPr>
        <rFont val="Arial"/>
        <sz val="10.0"/>
      </rPr>
      <t>)</t>
    </r>
    <r>
      <rPr>
        <rFont val="ＭＳ Ｐゴシック"/>
        <sz val="10.0"/>
      </rPr>
      <t>は、大学を休んで森へ。帰宅した一輝のもとに届いたのは、沼袋</t>
    </r>
    <r>
      <rPr>
        <rFont val="Arial"/>
        <sz val="10.0"/>
      </rPr>
      <t>(</t>
    </r>
    <r>
      <rPr>
        <rFont val="ＭＳ Ｐゴシック"/>
        <sz val="10.0"/>
      </rPr>
      <t>児嶋一哉</t>
    </r>
    <r>
      <rPr>
        <rFont val="Arial"/>
        <sz val="10.0"/>
      </rPr>
      <t>)</t>
    </r>
    <r>
      <rPr>
        <rFont val="ＭＳ Ｐゴシック"/>
        <sz val="10.0"/>
      </rPr>
      <t>からの一枚のメモだった。</t>
    </r>
    <r>
      <rPr>
        <rFont val="Arial"/>
        <sz val="10.0"/>
      </rPr>
      <t xml:space="preserve">    </t>
    </r>
    <r>
      <rPr>
        <rFont val="ＭＳ Ｐゴシック"/>
        <sz val="10.0"/>
      </rPr>
      <t>次の日一輝は、鮫島</t>
    </r>
    <r>
      <rPr>
        <rFont val="Arial"/>
        <sz val="10.0"/>
      </rPr>
      <t>(</t>
    </r>
    <r>
      <rPr>
        <rFont val="ＭＳ Ｐゴシック"/>
        <sz val="10.0"/>
      </rPr>
      <t>小林薫</t>
    </r>
    <r>
      <rPr>
        <rFont val="Arial"/>
        <sz val="10.0"/>
      </rPr>
      <t>)</t>
    </r>
    <r>
      <rPr>
        <rFont val="ＭＳ Ｐゴシック"/>
        <sz val="10.0"/>
      </rPr>
      <t>に「ここを辞めます」と辞職を願い出る。それを知った新庄</t>
    </r>
    <r>
      <rPr>
        <rFont val="Arial"/>
        <sz val="10.0"/>
      </rPr>
      <t>(</t>
    </r>
    <r>
      <rPr>
        <rFont val="ＭＳ Ｐゴシック"/>
        <sz val="10.0"/>
      </rPr>
      <t>西畑大吾</t>
    </r>
    <r>
      <rPr>
        <rFont val="Arial"/>
        <sz val="10.0"/>
      </rPr>
      <t>)</t>
    </r>
    <r>
      <rPr>
        <rFont val="ＭＳ Ｐゴシック"/>
        <sz val="10.0"/>
      </rPr>
      <t>、琴音</t>
    </r>
    <r>
      <rPr>
        <rFont val="Arial"/>
        <sz val="10.0"/>
      </rPr>
      <t>(</t>
    </r>
    <r>
      <rPr>
        <rFont val="ＭＳ Ｐゴシック"/>
        <sz val="10.0"/>
      </rPr>
      <t>矢作穂香</t>
    </r>
    <r>
      <rPr>
        <rFont val="Arial"/>
        <sz val="10.0"/>
      </rPr>
      <t>)</t>
    </r>
    <r>
      <rPr>
        <rFont val="ＭＳ Ｐゴシック"/>
        <sz val="10.0"/>
      </rPr>
      <t>、桜</t>
    </r>
    <r>
      <rPr>
        <rFont val="Arial"/>
        <sz val="10.0"/>
      </rPr>
      <t>(</t>
    </r>
    <r>
      <rPr>
        <rFont val="ＭＳ Ｐゴシック"/>
        <sz val="10.0"/>
      </rPr>
      <t>北香那</t>
    </r>
    <r>
      <rPr>
        <rFont val="Arial"/>
        <sz val="10.0"/>
      </rPr>
      <t>)</t>
    </r>
    <r>
      <rPr>
        <rFont val="ＭＳ Ｐゴシック"/>
        <sz val="10.0"/>
      </rPr>
      <t>、須田</t>
    </r>
    <r>
      <rPr>
        <rFont val="Arial"/>
        <sz val="10.0"/>
      </rPr>
      <t>(</t>
    </r>
    <r>
      <rPr>
        <rFont val="ＭＳ Ｐゴシック"/>
        <sz val="10.0"/>
      </rPr>
      <t>広田亮平</t>
    </r>
    <r>
      <rPr>
        <rFont val="Arial"/>
        <sz val="10.0"/>
      </rPr>
      <t>)</t>
    </r>
    <r>
      <rPr>
        <rFont val="ＭＳ Ｐゴシック"/>
        <sz val="10.0"/>
      </rPr>
      <t>らは、どうにかして一輝を引き留めようと、育実</t>
    </r>
    <r>
      <rPr>
        <rFont val="Arial"/>
        <sz val="10.0"/>
      </rPr>
      <t>(</t>
    </r>
    <r>
      <rPr>
        <rFont val="ＭＳ Ｐゴシック"/>
        <sz val="10.0"/>
      </rPr>
      <t>榮倉奈々</t>
    </r>
    <r>
      <rPr>
        <rFont val="Arial"/>
        <sz val="10.0"/>
      </rPr>
      <t>)</t>
    </r>
    <r>
      <rPr>
        <rFont val="ＭＳ Ｐゴシック"/>
        <sz val="10.0"/>
      </rPr>
      <t>に説得を頼む。一輝の辞職を知らなかった育実は驚き、治療に訪れた一輝にその理由を尋ねるが</t>
    </r>
    <r>
      <rPr>
        <rFont val="Arial"/>
        <sz val="10.0"/>
      </rPr>
      <t>…</t>
    </r>
    <r>
      <rPr>
        <rFont val="ＭＳ Ｐゴシック"/>
        <sz val="10.0"/>
      </rPr>
      <t>。</t>
    </r>
    <r>
      <rPr>
        <rFont val="Arial"/>
        <sz val="10.0"/>
      </rPr>
      <t xml:space="preserve">    </t>
    </r>
    <r>
      <rPr>
        <rFont val="ＭＳ Ｐゴシック"/>
        <sz val="10.0"/>
      </rPr>
      <t>その後、休講にした分の講義の振り替えのため、一輝は学生たちを連れてフィールドワークに出かける。一方の樫野木も、鮫島のもとを訪れて</t>
    </r>
    <r>
      <rPr>
        <rFont val="Arial"/>
        <sz val="10.0"/>
      </rPr>
      <t>…</t>
    </r>
    <r>
      <rPr>
        <rFont val="ＭＳ Ｐゴシック"/>
        <sz val="10.0"/>
      </rPr>
      <t>。森で学生たちから辞職する理由を問い詰められた一輝は、ついに自らの決断を語り、一同を驚かせる。一輝の決意に刺激を受けた育実、樫野木、沼袋、学生たち</t>
    </r>
    <r>
      <rPr>
        <rFont val="Arial"/>
        <sz val="10.0"/>
      </rPr>
      <t xml:space="preserve">…    </t>
    </r>
    <r>
      <rPr>
        <rFont val="ＭＳ Ｐゴシック"/>
        <sz val="10.0"/>
      </rPr>
      <t>一輝が巻き起こした波紋に影響を受けた周囲の人々が、最後に下す決断とは</t>
    </r>
    <r>
      <rPr>
        <rFont val="Arial"/>
        <sz val="10.0"/>
      </rPr>
      <t>?</t>
    </r>
    <r>
      <rPr>
        <rFont val="ＭＳ Ｐゴシック"/>
        <sz val="10.0"/>
      </rPr>
      <t>そして、大学を辞めることを決意した一輝は、いったいどこへー</t>
    </r>
    <r>
      <rPr>
        <rFont val="Arial"/>
        <sz val="10.0"/>
      </rPr>
      <t>!?</t>
    </r>
  </si>
  <si>
    <t>樫野木(要潤)から「迷惑なんだよ。消えてほしい」と強烈な言葉を浴びせられた一輝(高橋一生)は、大学を休んで森へ。帰宅した一輝のもとに届いたのは、沼袋(児嶋一哉)からの一枚のメモだった。    次の日一輝は、鮫島(小林薫)に「ここを辞めます」と辞職を願い出る。それを知った新庄(西畑大吾)、琴音(矢作穂香)、桜(北香那)、須田(広田亮平)らは、どうにかして一輝を引き留めようと、育実(榮倉奈々)に説得を頼む。一輝の辞職を知らなかった育実は驚き、治療に訪れた一輝にその理由を尋ねるが…。    その後、休講にした分の講義の振り替えのため、一輝は学生たちを連れてフィールドワークに出かける。一方の樫野木も、鮫島のもとを訪れて…。森で学生たちから辞職する理由を問い詰められた一輝は、ついに自らの決断を語り、一同を驚かせる。一輝の決意に刺激を受けた育実、樫野木、沼袋、学生たち…    一輝が巻き起こした波紋に影響を受けた周囲の人々が、最後に下す決断とは?そして、大学を辞めることを決意した一輝は、いったいどこへー!?</t>
  </si>
  <si>
    <t>1810_CX_木22</t>
  </si>
  <si>
    <t>黄昏流星群</t>
  </si>
  <si>
    <t>番組名&lt;木曜劇場&gt;黄昏流星群～人生折り返し、恋をした～　#01</t>
  </si>
  <si>
    <r>
      <rPr>
        <rFont val="ＭＳ Ｐゴシック"/>
        <sz val="10.0"/>
      </rPr>
      <t>瀧沢完治</t>
    </r>
    <r>
      <rPr>
        <rFont val="Arial"/>
        <sz val="10.0"/>
      </rPr>
      <t>(</t>
    </r>
    <r>
      <rPr>
        <rFont val="ＭＳ Ｐゴシック"/>
        <sz val="10.0"/>
      </rPr>
      <t>佐々木蔵之介</t>
    </r>
    <r>
      <rPr>
        <rFont val="Arial"/>
        <sz val="10.0"/>
      </rPr>
      <t>)</t>
    </r>
    <r>
      <rPr>
        <rFont val="ＭＳ Ｐゴシック"/>
        <sz val="10.0"/>
      </rPr>
      <t>は勤続</t>
    </r>
    <r>
      <rPr>
        <rFont val="Arial"/>
        <sz val="10.0"/>
      </rPr>
      <t>28</t>
    </r>
    <r>
      <rPr>
        <rFont val="ＭＳ Ｐゴシック"/>
        <sz val="10.0"/>
      </rPr>
      <t>年の銀行マン。懸命に勤めたかいあり、支店長にまで上り詰め、自他共に認める出世頭だった。優秀ゆえ、部下の女性から熱い視線を送られることもあるが、完治は応えない。不倫は出世の致命傷になるし、興味がなかった。</t>
    </r>
    <r>
      <rPr>
        <rFont val="Arial"/>
        <sz val="10.0"/>
      </rPr>
      <t xml:space="preserve">  </t>
    </r>
    <r>
      <rPr>
        <rFont val="ＭＳ Ｐゴシック"/>
        <sz val="10.0"/>
      </rPr>
      <t>妻の真璃子</t>
    </r>
    <r>
      <rPr>
        <rFont val="Arial"/>
        <sz val="10.0"/>
      </rPr>
      <t>(</t>
    </r>
    <r>
      <rPr>
        <rFont val="ＭＳ Ｐゴシック"/>
        <sz val="10.0"/>
      </rPr>
      <t>中山美穂</t>
    </r>
    <r>
      <rPr>
        <rFont val="Arial"/>
        <sz val="10.0"/>
      </rPr>
      <t>)</t>
    </r>
    <r>
      <rPr>
        <rFont val="ＭＳ Ｐゴシック"/>
        <sz val="10.0"/>
      </rPr>
      <t>もその点は完治を信用し、支え続けている。働き詰めの完治と時間をあまり共有出来ない真璃子の生きがいは娘、美咲</t>
    </r>
    <r>
      <rPr>
        <rFont val="Arial"/>
        <sz val="10.0"/>
      </rPr>
      <t>(</t>
    </r>
    <r>
      <rPr>
        <rFont val="ＭＳ Ｐゴシック"/>
        <sz val="10.0"/>
      </rPr>
      <t>石川恋</t>
    </r>
    <r>
      <rPr>
        <rFont val="Arial"/>
        <sz val="10.0"/>
      </rPr>
      <t>)</t>
    </r>
    <r>
      <rPr>
        <rFont val="ＭＳ Ｐゴシック"/>
        <sz val="10.0"/>
      </rPr>
      <t>。その状態がもう</t>
    </r>
    <r>
      <rPr>
        <rFont val="Arial"/>
        <sz val="10.0"/>
      </rPr>
      <t>20</t>
    </r>
    <r>
      <rPr>
        <rFont val="ＭＳ Ｐゴシック"/>
        <sz val="10.0"/>
      </rPr>
      <t>年以上続き、夫婦にはそれが日常になっていた。</t>
    </r>
    <r>
      <rPr>
        <rFont val="Arial"/>
        <sz val="10.0"/>
      </rPr>
      <t xml:space="preserve">  </t>
    </r>
    <r>
      <rPr>
        <rFont val="ＭＳ Ｐゴシック"/>
        <sz val="10.0"/>
      </rPr>
      <t>そんな中、真璃子は美咲から、近々恋人の日野春輝</t>
    </r>
    <r>
      <rPr>
        <rFont val="Arial"/>
        <sz val="10.0"/>
      </rPr>
      <t>(</t>
    </r>
    <r>
      <rPr>
        <rFont val="ＭＳ Ｐゴシック"/>
        <sz val="10.0"/>
      </rPr>
      <t>藤井流星</t>
    </r>
    <r>
      <rPr>
        <rFont val="Arial"/>
        <sz val="10.0"/>
      </rPr>
      <t>)</t>
    </r>
    <r>
      <rPr>
        <rFont val="ＭＳ Ｐゴシック"/>
        <sz val="10.0"/>
      </rPr>
      <t>を紹介したいと言われ、ショックを受ける。自分から娘を取ったら何が残るのか、これから先どうすればいいのか</t>
    </r>
    <r>
      <rPr>
        <rFont val="Arial"/>
        <sz val="10.0"/>
      </rPr>
      <t>…</t>
    </r>
    <r>
      <rPr>
        <rFont val="ＭＳ Ｐゴシック"/>
        <sz val="10.0"/>
      </rPr>
      <t>。</t>
    </r>
    <r>
      <rPr>
        <rFont val="Arial"/>
        <sz val="10.0"/>
      </rPr>
      <t xml:space="preserve">  </t>
    </r>
    <r>
      <rPr>
        <rFont val="ＭＳ Ｐゴシック"/>
        <sz val="10.0"/>
      </rPr>
      <t>一方、最優秀店舗賞まで獲り、いよいよ本店への昇進かという完治に思わぬ出来事が起こる。出向を言い渡されてしまったのだ。派閥長の不祥事の巻き添えで切られた、と知った完治は、街をさまよい場末の居酒屋でボロボロに酔い潰れる。そんな完治は目の前のグラスの氷を見て、ふとあることを思いつき</t>
    </r>
    <r>
      <rPr>
        <rFont val="Arial"/>
        <sz val="10.0"/>
      </rPr>
      <t>…</t>
    </r>
    <r>
      <rPr>
        <rFont val="ＭＳ Ｐゴシック"/>
        <sz val="10.0"/>
      </rPr>
      <t>。</t>
    </r>
    <r>
      <rPr>
        <rFont val="Arial"/>
        <sz val="10.0"/>
      </rPr>
      <t xml:space="preserve">  </t>
    </r>
    <r>
      <rPr>
        <rFont val="ＭＳ Ｐゴシック"/>
        <sz val="10.0"/>
      </rPr>
      <t>数日後、完治の姿はスイスにあった。真璃子には出張だとうそをつき、</t>
    </r>
    <r>
      <rPr>
        <rFont val="Arial"/>
        <sz val="10.0"/>
      </rPr>
      <t>1</t>
    </r>
    <r>
      <rPr>
        <rFont val="ＭＳ Ｐゴシック"/>
        <sz val="10.0"/>
      </rPr>
      <t>人で来てしまった。しかし、あいにくの悪天候でマッターホルンには登頂はもちろん、見ることも出来ない。それでも完治はマッターホルンへのロープウェイに乗る。吹雪の中、自分</t>
    </r>
    <r>
      <rPr>
        <rFont val="Arial"/>
        <sz val="10.0"/>
      </rPr>
      <t>1</t>
    </r>
    <r>
      <rPr>
        <rFont val="ＭＳ Ｐゴシック"/>
        <sz val="10.0"/>
      </rPr>
      <t>人だと思っていたゴンドラに日本人女性、目黒栞</t>
    </r>
    <r>
      <rPr>
        <rFont val="Arial"/>
        <sz val="10.0"/>
      </rPr>
      <t>(</t>
    </r>
    <r>
      <rPr>
        <rFont val="ＭＳ Ｐゴシック"/>
        <sz val="10.0"/>
      </rPr>
      <t>黒木瞳</t>
    </r>
    <r>
      <rPr>
        <rFont val="Arial"/>
        <sz val="10.0"/>
      </rPr>
      <t>)</t>
    </r>
    <r>
      <rPr>
        <rFont val="ＭＳ Ｐゴシック"/>
        <sz val="10.0"/>
      </rPr>
      <t>が乗り込んできて</t>
    </r>
    <r>
      <rPr>
        <rFont val="Arial"/>
        <sz val="10.0"/>
      </rPr>
      <t>…</t>
    </r>
    <r>
      <rPr>
        <rFont val="ＭＳ Ｐゴシック"/>
        <sz val="10.0"/>
      </rPr>
      <t>。</t>
    </r>
  </si>
  <si>
    <t>瀧沢完治(佐々木蔵之介)は勤続28年の銀行マン。懸命に勤めたかいあり、支店長にまで上り詰め、自他共に認める出世頭だった。優秀ゆえ、部下の女性から熱い視線を送られることもあるが、完治は応えない。不倫は出世の致命傷になるし、興味がなかった。  妻の真璃子(中山美穂)もその点は完治を信用し、支え続けている。働き詰めの完治と時間をあまり共有出来ない真璃子の生きがいは娘、美咲(石川恋)。その状態がもう20年以上続き、夫婦にはそれが日常になっていた。  そんな中、真璃子は美咲から、近々恋人の日野春輝(藤井流星)を紹介したいと言われ、ショックを受ける。自分から娘を取ったら何が残るのか、これから先どうすればいいのか…。  一方、最優秀店舗賞まで獲り、いよいよ本店への昇進かという完治に思わぬ出来事が起こる。出向を言い渡されてしまったのだ。派閥長の不祥事の巻き添えで切られた、と知った完治は、街をさまよい場末の居酒屋でボロボロに酔い潰れる。そんな完治は目の前のグラスの氷を見て、ふとあることを思いつき…。  数日後、完治の姿はスイスにあった。真璃子には出張だとうそをつき、1人で来てしまった。しかし、あいにくの悪天候でマッターホルンには登頂はもちろん、見ることも出来ない。それでも完治はマッターホルンへのロープウェイに乗る。吹雪の中、自分1人だと思っていたゴンドラに日本人女性、目黒栞(黒木瞳)が乗り込んできて…。</t>
  </si>
  <si>
    <t>番組名&lt;木曜劇場&gt;黄昏流星群～人生折り返し、恋をした～　#02</t>
  </si>
  <si>
    <r>
      <rPr>
        <rFont val="ＭＳ Ｐゴシック"/>
        <sz val="10.0"/>
      </rPr>
      <t>瀧沢完治</t>
    </r>
    <r>
      <rPr>
        <rFont val="Arial"/>
        <sz val="10.0"/>
      </rPr>
      <t>(</t>
    </r>
    <r>
      <rPr>
        <rFont val="ＭＳ Ｐゴシック"/>
        <sz val="10.0"/>
      </rPr>
      <t>佐々木蔵之介</t>
    </r>
    <r>
      <rPr>
        <rFont val="Arial"/>
        <sz val="10.0"/>
      </rPr>
      <t>)</t>
    </r>
    <r>
      <rPr>
        <rFont val="ＭＳ Ｐゴシック"/>
        <sz val="10.0"/>
      </rPr>
      <t>はスイスで出会った女性、目黒栞</t>
    </r>
    <r>
      <rPr>
        <rFont val="Arial"/>
        <sz val="10.0"/>
      </rPr>
      <t>(</t>
    </r>
    <r>
      <rPr>
        <rFont val="ＭＳ Ｐゴシック"/>
        <sz val="10.0"/>
      </rPr>
      <t>黒木瞳</t>
    </r>
    <r>
      <rPr>
        <rFont val="Arial"/>
        <sz val="10.0"/>
      </rPr>
      <t>)</t>
    </r>
    <r>
      <rPr>
        <rFont val="ＭＳ Ｐゴシック"/>
        <sz val="10.0"/>
      </rPr>
      <t>のことが忘れられずにいた。そんな時、出向先の荻野倉庫の食堂で働く栞と偶然再会。完治を見つけた途端に逃げ出す栞を引き止め「会いたかったです」と思わず口にしてしまう。既婚者である完治の言動に戸惑いを隠せない栞だったが、スイスで飛ばされた傘の代わりを買ったから送りたいと言われ、母が入居している施設の住所を書いたメモを渡した。一方、真璃子</t>
    </r>
    <r>
      <rPr>
        <rFont val="Arial"/>
        <sz val="10.0"/>
      </rPr>
      <t>(</t>
    </r>
    <r>
      <rPr>
        <rFont val="ＭＳ Ｐゴシック"/>
        <sz val="10.0"/>
      </rPr>
      <t>中山美穂</t>
    </r>
    <r>
      <rPr>
        <rFont val="Arial"/>
        <sz val="10.0"/>
      </rPr>
      <t>)</t>
    </r>
    <r>
      <rPr>
        <rFont val="ＭＳ Ｐゴシック"/>
        <sz val="10.0"/>
      </rPr>
      <t>は完治の浮気疑惑への憤りを抑えきれずにいた。そんな中、娘の恋人、日野春輝</t>
    </r>
    <r>
      <rPr>
        <rFont val="Arial"/>
        <sz val="10.0"/>
      </rPr>
      <t>(</t>
    </r>
    <r>
      <rPr>
        <rFont val="ＭＳ Ｐゴシック"/>
        <sz val="10.0"/>
      </rPr>
      <t>藤井流星</t>
    </r>
    <r>
      <rPr>
        <rFont val="Arial"/>
        <sz val="10.0"/>
      </rPr>
      <t>)</t>
    </r>
    <r>
      <rPr>
        <rFont val="ＭＳ Ｐゴシック"/>
        <sz val="10.0"/>
      </rPr>
      <t>と鮮烈な出会いを果たす。美咲</t>
    </r>
    <r>
      <rPr>
        <rFont val="Arial"/>
        <sz val="10.0"/>
      </rPr>
      <t>(</t>
    </r>
    <r>
      <rPr>
        <rFont val="ＭＳ Ｐゴシック"/>
        <sz val="10.0"/>
      </rPr>
      <t>石川恋</t>
    </r>
    <r>
      <rPr>
        <rFont val="Arial"/>
        <sz val="10.0"/>
      </rPr>
      <t>)</t>
    </r>
    <r>
      <rPr>
        <rFont val="ＭＳ Ｐゴシック"/>
        <sz val="10.0"/>
      </rPr>
      <t>と完治に会う約束で自宅を訪れた春輝に、真璃子は庭の手入れ中にけがをした指の手当をしてもらったのだ。娘の恋人だと知りながらも、冷静で心優しい春輝に惹かれてしまう自分に呆れる真璃子。その後、完治は仕事を理由に帰宅せず、春輝はまた出直すと瀧沢家をあとにした。美咲は仕事のことしか頭にない完治に怒り心頭、瀧沢家の中に溝が生まれ始める。</t>
    </r>
    <r>
      <rPr>
        <rFont val="Arial"/>
        <sz val="10.0"/>
      </rPr>
      <t xml:space="preserve">  </t>
    </r>
    <r>
      <rPr>
        <rFont val="ＭＳ Ｐゴシック"/>
        <sz val="10.0"/>
      </rPr>
      <t>完治は正式に荻野倉庫への出向内示を受けたものの、真璃子と美咲には言えずにいた。思いに沈みながら私物を整理していた完治に、栞から電話が入る。傘のお礼を直接会って話したいと言われ舞い上がる完治。嬉しそうに電話する完治を、部下の篠田薫</t>
    </r>
    <r>
      <rPr>
        <rFont val="Arial"/>
        <sz val="10.0"/>
      </rPr>
      <t>(</t>
    </r>
    <r>
      <rPr>
        <rFont val="ＭＳ Ｐゴシック"/>
        <sz val="10.0"/>
      </rPr>
      <t>本仮屋ユイカ</t>
    </r>
    <r>
      <rPr>
        <rFont val="Arial"/>
        <sz val="10.0"/>
      </rPr>
      <t>)</t>
    </r>
    <r>
      <rPr>
        <rFont val="ＭＳ Ｐゴシック"/>
        <sz val="10.0"/>
      </rPr>
      <t>が見ていて</t>
    </r>
    <r>
      <rPr>
        <rFont val="Arial"/>
        <sz val="10.0"/>
      </rPr>
      <t>…</t>
    </r>
    <r>
      <rPr>
        <rFont val="ＭＳ Ｐゴシック"/>
        <sz val="10.0"/>
      </rPr>
      <t>。</t>
    </r>
  </si>
  <si>
    <t>瀧沢完治(佐々木蔵之介)はスイスで出会った女性、目黒栞(黒木瞳)のことが忘れられずにいた。そんな時、出向先の荻野倉庫の食堂で働く栞と偶然再会。完治を見つけた途端に逃げ出す栞を引き止め「会いたかったです」と思わず口にしてしまう。既婚者である完治の言動に戸惑いを隠せない栞だったが、スイスで飛ばされた傘の代わりを買ったから送りたいと言われ、母が入居している施設の住所を書いたメモを渡した。一方、真璃子(中山美穂)は完治の浮気疑惑への憤りを抑えきれずにいた。そんな中、娘の恋人、日野春輝(藤井流星)と鮮烈な出会いを果たす。美咲(石川恋)と完治に会う約束で自宅を訪れた春輝に、真璃子は庭の手入れ中にけがをした指の手当をしてもらったのだ。娘の恋人だと知りながらも、冷静で心優しい春輝に惹かれてしまう自分に呆れる真璃子。その後、完治は仕事を理由に帰宅せず、春輝はまた出直すと瀧沢家をあとにした。美咲は仕事のことしか頭にない完治に怒り心頭、瀧沢家の中に溝が生まれ始める。  完治は正式に荻野倉庫への出向内示を受けたものの、真璃子と美咲には言えずにいた。思いに沈みながら私物を整理していた完治に、栞から電話が入る。傘のお礼を直接会って話したいと言われ舞い上がる完治。嬉しそうに電話する完治を、部下の篠田薫(本仮屋ユイカ)が見ていて…。</t>
  </si>
  <si>
    <t>番組名&lt;木曜劇場&gt;黄昏流星群～人生折り返し、恋をした～　#03</t>
  </si>
  <si>
    <r>
      <rPr>
        <rFont val="ＭＳ Ｐゴシック"/>
        <sz val="10.0"/>
      </rPr>
      <t>出向先の荻野倉庫に初出社をした瀧沢完治</t>
    </r>
    <r>
      <rPr>
        <rFont val="Arial"/>
        <sz val="10.0"/>
      </rPr>
      <t>(</t>
    </r>
    <r>
      <rPr>
        <rFont val="ＭＳ Ｐゴシック"/>
        <sz val="10.0"/>
      </rPr>
      <t>佐々木蔵之介</t>
    </r>
    <r>
      <rPr>
        <rFont val="Arial"/>
        <sz val="10.0"/>
      </rPr>
      <t>)</t>
    </r>
    <r>
      <rPr>
        <rFont val="ＭＳ Ｐゴシック"/>
        <sz val="10.0"/>
      </rPr>
      <t>だったが、周りの視線は冷たい。銀行からの出向者は社員たちにとって煙たい存在でしかなかった。職場になじもうとする完治の努力もむなしく、川本保</t>
    </r>
    <r>
      <rPr>
        <rFont val="Arial"/>
        <sz val="10.0"/>
      </rPr>
      <t>(</t>
    </r>
    <r>
      <rPr>
        <rFont val="ＭＳ Ｐゴシック"/>
        <sz val="10.0"/>
      </rPr>
      <t>礼二</t>
    </r>
    <r>
      <rPr>
        <rFont val="Arial"/>
        <sz val="10.0"/>
      </rPr>
      <t>)</t>
    </r>
    <r>
      <rPr>
        <rFont val="ＭＳ Ｐゴシック"/>
        <sz val="10.0"/>
      </rPr>
      <t>ら社員たちとの距離は縮まりそうにない。</t>
    </r>
    <r>
      <rPr>
        <rFont val="Arial"/>
        <sz val="10.0"/>
      </rPr>
      <t xml:space="preserve">  </t>
    </r>
    <r>
      <rPr>
        <rFont val="ＭＳ Ｐゴシック"/>
        <sz val="10.0"/>
      </rPr>
      <t>一方、銀行に完治の忘れ物を届けに行った真璃子</t>
    </r>
    <r>
      <rPr>
        <rFont val="Arial"/>
        <sz val="10.0"/>
      </rPr>
      <t>(</t>
    </r>
    <r>
      <rPr>
        <rFont val="ＭＳ Ｐゴシック"/>
        <sz val="10.0"/>
      </rPr>
      <t>中山美穂</t>
    </r>
    <r>
      <rPr>
        <rFont val="Arial"/>
        <sz val="10.0"/>
      </rPr>
      <t>)</t>
    </r>
    <r>
      <rPr>
        <rFont val="ＭＳ Ｐゴシック"/>
        <sz val="10.0"/>
      </rPr>
      <t>は、夫が出向したことを秘書の篠田薫</t>
    </r>
    <r>
      <rPr>
        <rFont val="Arial"/>
        <sz val="10.0"/>
      </rPr>
      <t>(</t>
    </r>
    <r>
      <rPr>
        <rFont val="ＭＳ Ｐゴシック"/>
        <sz val="10.0"/>
      </rPr>
      <t>本仮屋ユイカ</t>
    </r>
    <r>
      <rPr>
        <rFont val="Arial"/>
        <sz val="10.0"/>
      </rPr>
      <t>)</t>
    </r>
    <r>
      <rPr>
        <rFont val="ＭＳ Ｐゴシック"/>
        <sz val="10.0"/>
      </rPr>
      <t>から知らされる。ショックを受けた真璃子は、今までの不満を完治にぶつけてしまう。そこへ帰宅した美咲</t>
    </r>
    <r>
      <rPr>
        <rFont val="Arial"/>
        <sz val="10.0"/>
      </rPr>
      <t>(</t>
    </r>
    <r>
      <rPr>
        <rFont val="ＭＳ Ｐゴシック"/>
        <sz val="10.0"/>
      </rPr>
      <t>石川恋</t>
    </r>
    <r>
      <rPr>
        <rFont val="Arial"/>
        <sz val="10.0"/>
      </rPr>
      <t>)</t>
    </r>
    <r>
      <rPr>
        <rFont val="ＭＳ Ｐゴシック"/>
        <sz val="10.0"/>
      </rPr>
      <t>からも、自分の結婚までは出向を先延ばしにしてほしかったと責められる。婚約者である日野春輝</t>
    </r>
    <r>
      <rPr>
        <rFont val="Arial"/>
        <sz val="10.0"/>
      </rPr>
      <t>(</t>
    </r>
    <r>
      <rPr>
        <rFont val="ＭＳ Ｐゴシック"/>
        <sz val="10.0"/>
      </rPr>
      <t>藤井流星</t>
    </r>
    <r>
      <rPr>
        <rFont val="Arial"/>
        <sz val="10.0"/>
      </rPr>
      <t>)</t>
    </r>
    <r>
      <rPr>
        <rFont val="ＭＳ Ｐゴシック"/>
        <sz val="10.0"/>
      </rPr>
      <t>の母が家柄を気にするから、と。さらに先日、春輝と会う約束をすっぽかした話も持ち出され、完治は謝るほかなかった。</t>
    </r>
    <r>
      <rPr>
        <rFont val="Arial"/>
        <sz val="10.0"/>
      </rPr>
      <t xml:space="preserve">  </t>
    </r>
    <r>
      <rPr>
        <rFont val="ＭＳ Ｐゴシック"/>
        <sz val="10.0"/>
      </rPr>
      <t>家庭でも気が休まらない完治は、昼休みの社員食堂で目黒栞</t>
    </r>
    <r>
      <rPr>
        <rFont val="Arial"/>
        <sz val="10.0"/>
      </rPr>
      <t>(</t>
    </r>
    <r>
      <rPr>
        <rFont val="ＭＳ Ｐゴシック"/>
        <sz val="10.0"/>
      </rPr>
      <t>黒木瞳</t>
    </r>
    <r>
      <rPr>
        <rFont val="Arial"/>
        <sz val="10.0"/>
      </rPr>
      <t>)</t>
    </r>
    <r>
      <rPr>
        <rFont val="ＭＳ Ｐゴシック"/>
        <sz val="10.0"/>
      </rPr>
      <t>に会えることが楽しみだった。しかしその日、栞は目も合わせてもくれなかった。落ち込む完治に先程の態度を謝罪するメールが届く。社外では会えると言う栞を、完治は近いうちに山へ行こうと誘う。栞と約束した日を楽しみにする完治だったが、突然の連絡が若葉銀行時代の同期から入ってしまう。</t>
    </r>
    <r>
      <rPr>
        <rFont val="Arial"/>
        <sz val="10.0"/>
      </rPr>
      <t xml:space="preserve">  </t>
    </r>
    <r>
      <rPr>
        <rFont val="ＭＳ Ｐゴシック"/>
        <sz val="10.0"/>
      </rPr>
      <t>その頃、真瑠子は友人の水原聡美</t>
    </r>
    <r>
      <rPr>
        <rFont val="Arial"/>
        <sz val="10.0"/>
      </rPr>
      <t>(</t>
    </r>
    <r>
      <rPr>
        <rFont val="ＭＳ Ｐゴシック"/>
        <sz val="10.0"/>
      </rPr>
      <t>八木亜希子</t>
    </r>
    <r>
      <rPr>
        <rFont val="Arial"/>
        <sz val="10.0"/>
      </rPr>
      <t>)</t>
    </r>
    <r>
      <rPr>
        <rFont val="ＭＳ Ｐゴシック"/>
        <sz val="10.0"/>
      </rPr>
      <t>に離婚という選択肢を提案され、その時は否定したものの、気になってパソコンで離婚について調べていた。その様子を、美咲を迎えに来た春輝に見られてしまい</t>
    </r>
    <r>
      <rPr>
        <rFont val="Arial"/>
        <sz val="10.0"/>
      </rPr>
      <t>…</t>
    </r>
    <r>
      <rPr>
        <rFont val="ＭＳ Ｐゴシック"/>
        <sz val="10.0"/>
      </rPr>
      <t>。</t>
    </r>
  </si>
  <si>
    <t>出向先の荻野倉庫に初出社をした瀧沢完治(佐々木蔵之介)だったが、周りの視線は冷たい。銀行からの出向者は社員たちにとって煙たい存在でしかなかった。職場になじもうとする完治の努力もむなしく、川本保(礼二)ら社員たちとの距離は縮まりそうにない。  一方、銀行に完治の忘れ物を届けに行った真璃子(中山美穂)は、夫が出向したことを秘書の篠田薫(本仮屋ユイカ)から知らされる。ショックを受けた真璃子は、今までの不満を完治にぶつけてしまう。そこへ帰宅した美咲(石川恋)からも、自分の結婚までは出向を先延ばしにしてほしかったと責められる。婚約者である日野春輝(藤井流星)の母が家柄を気にするから、と。さらに先日、春輝と会う約束をすっぽかした話も持ち出され、完治は謝るほかなかった。  家庭でも気が休まらない完治は、昼休みの社員食堂で目黒栞(黒木瞳)に会えることが楽しみだった。しかしその日、栞は目も合わせてもくれなかった。落ち込む完治に先程の態度を謝罪するメールが届く。社外では会えると言う栞を、完治は近いうちに山へ行こうと誘う。栞と約束した日を楽しみにする完治だったが、突然の連絡が若葉銀行時代の同期から入ってしまう。  その頃、真瑠子は友人の水原聡美(八木亜希子)に離婚という選択肢を提案され、その時は否定したものの、気になってパソコンで離婚について調べていた。その様子を、美咲を迎えに来た春輝に見られてしまい…。</t>
  </si>
  <si>
    <t>番組名&lt;木曜劇場&gt;黄昏流星群～人生折り返し、恋をした～　#04</t>
  </si>
  <si>
    <r>
      <rPr>
        <rFont val="ＭＳ Ｐゴシック"/>
        <sz val="10.0"/>
      </rPr>
      <t>銀行復帰への道を探るため接待ゴルフに参加した瀧沢完治</t>
    </r>
    <r>
      <rPr>
        <rFont val="Arial"/>
        <sz val="10.0"/>
      </rPr>
      <t>(</t>
    </r>
    <r>
      <rPr>
        <rFont val="ＭＳ Ｐゴシック"/>
        <sz val="10.0"/>
      </rPr>
      <t>佐々木蔵之介</t>
    </r>
    <r>
      <rPr>
        <rFont val="Arial"/>
        <sz val="10.0"/>
      </rPr>
      <t>)</t>
    </r>
    <r>
      <rPr>
        <rFont val="ＭＳ Ｐゴシック"/>
        <sz val="10.0"/>
      </rPr>
      <t>だったが、むなしさだけが去来し、その場を去った。目黒栞</t>
    </r>
    <r>
      <rPr>
        <rFont val="Arial"/>
        <sz val="10.0"/>
      </rPr>
      <t>(</t>
    </r>
    <r>
      <rPr>
        <rFont val="ＭＳ Ｐゴシック"/>
        <sz val="10.0"/>
      </rPr>
      <t>黒木瞳</t>
    </r>
    <r>
      <rPr>
        <rFont val="Arial"/>
        <sz val="10.0"/>
      </rPr>
      <t>)</t>
    </r>
    <r>
      <rPr>
        <rFont val="ＭＳ Ｐゴシック"/>
        <sz val="10.0"/>
      </rPr>
      <t>と会うことで心を癒した完治は、別れ際に栞からキスされ驚く。</t>
    </r>
    <r>
      <rPr>
        <rFont val="Arial"/>
        <sz val="10.0"/>
      </rPr>
      <t xml:space="preserve">  </t>
    </r>
    <r>
      <rPr>
        <rFont val="ＭＳ Ｐゴシック"/>
        <sz val="10.0"/>
      </rPr>
      <t>一方、妻の真璃子</t>
    </r>
    <r>
      <rPr>
        <rFont val="Arial"/>
        <sz val="10.0"/>
      </rPr>
      <t>(</t>
    </r>
    <r>
      <rPr>
        <rFont val="ＭＳ Ｐゴシック"/>
        <sz val="10.0"/>
      </rPr>
      <t>中山美穂</t>
    </r>
    <r>
      <rPr>
        <rFont val="Arial"/>
        <sz val="10.0"/>
      </rPr>
      <t>)</t>
    </r>
    <r>
      <rPr>
        <rFont val="ＭＳ Ｐゴシック"/>
        <sz val="10.0"/>
      </rPr>
      <t>は日野春輝</t>
    </r>
    <r>
      <rPr>
        <rFont val="Arial"/>
        <sz val="10.0"/>
      </rPr>
      <t>(</t>
    </r>
    <r>
      <rPr>
        <rFont val="ＭＳ Ｐゴシック"/>
        <sz val="10.0"/>
      </rPr>
      <t>藤井流星</t>
    </r>
    <r>
      <rPr>
        <rFont val="Arial"/>
        <sz val="10.0"/>
      </rPr>
      <t>)</t>
    </r>
    <r>
      <rPr>
        <rFont val="ＭＳ Ｐゴシック"/>
        <sz val="10.0"/>
      </rPr>
      <t>から「最近美咲</t>
    </r>
    <r>
      <rPr>
        <rFont val="Arial"/>
        <sz val="10.0"/>
      </rPr>
      <t>(</t>
    </r>
    <r>
      <rPr>
        <rFont val="ＭＳ Ｐゴシック"/>
        <sz val="10.0"/>
      </rPr>
      <t>石川恋</t>
    </r>
    <r>
      <rPr>
        <rFont val="Arial"/>
        <sz val="10.0"/>
      </rPr>
      <t>)</t>
    </r>
    <r>
      <rPr>
        <rFont val="ＭＳ Ｐゴシック"/>
        <sz val="10.0"/>
      </rPr>
      <t>の元気がない」と聞かされ、その本当の理由を告げに春輝の事務所へ。しかし、夫や娘に募る不安や悩みを吐露するうち、春輝の優しさに触れ、思わず涙が溢れてしまう。春輝はそんな真璃子にそっと自分のハンカチを差し出した。</t>
    </r>
    <r>
      <rPr>
        <rFont val="Arial"/>
        <sz val="10.0"/>
      </rPr>
      <t xml:space="preserve">  </t>
    </r>
    <r>
      <rPr>
        <rFont val="ＭＳ Ｐゴシック"/>
        <sz val="10.0"/>
      </rPr>
      <t>日曜日には、瀧沢家に春輝が再訪。真璃子と美咲は歓迎するが、春輝と初対面の完治は、美咲のためを思って年収や家のことなどを率直に尋ねる。真璃子たちは完治を止めようとするが春輝は臆せず答える。春輝の完璧な返答に圧倒される完治。春輝が帰った途端、美咲から怒りをぶつけられてしまう。</t>
    </r>
    <r>
      <rPr>
        <rFont val="Arial"/>
        <sz val="10.0"/>
      </rPr>
      <t xml:space="preserve">  </t>
    </r>
    <r>
      <rPr>
        <rFont val="ＭＳ Ｐゴシック"/>
        <sz val="10.0"/>
      </rPr>
      <t>荻野倉庫に出社した完治は、重要書類は鍵をかけて保管すべきだと提案。だが、そんなに社内の人間が信用ならないのか、と川本保</t>
    </r>
    <r>
      <rPr>
        <rFont val="Arial"/>
        <sz val="10.0"/>
      </rPr>
      <t>(</t>
    </r>
    <r>
      <rPr>
        <rFont val="ＭＳ Ｐゴシック"/>
        <sz val="10.0"/>
      </rPr>
      <t>礼二</t>
    </r>
    <r>
      <rPr>
        <rFont val="Arial"/>
        <sz val="10.0"/>
      </rPr>
      <t>)</t>
    </r>
    <r>
      <rPr>
        <rFont val="ＭＳ Ｐゴシック"/>
        <sz val="10.0"/>
      </rPr>
      <t>たちにつっぱねられる。完全に社員たちに嫌われてしまった完治。やるせなく社を後にすると栞が待っていた。</t>
    </r>
    <r>
      <rPr>
        <rFont val="Arial"/>
        <sz val="10.0"/>
      </rPr>
      <t xml:space="preserve">  </t>
    </r>
    <r>
      <rPr>
        <rFont val="ＭＳ Ｐゴシック"/>
        <sz val="10.0"/>
      </rPr>
      <t>居酒屋『一番星』に並んだ</t>
    </r>
    <r>
      <rPr>
        <rFont val="Arial"/>
        <sz val="10.0"/>
      </rPr>
      <t>2</t>
    </r>
    <r>
      <rPr>
        <rFont val="ＭＳ Ｐゴシック"/>
        <sz val="10.0"/>
      </rPr>
      <t>人。川本たちとの会話を見ていた栞は、銀行の常識が通用しないこともあると告げる。素直に胸の内を語り合い、食事をして別れるだけの関係。今はまだ、それだけで癒される</t>
    </r>
    <r>
      <rPr>
        <rFont val="Arial"/>
        <sz val="10.0"/>
      </rPr>
      <t>2</t>
    </r>
    <r>
      <rPr>
        <rFont val="ＭＳ Ｐゴシック"/>
        <sz val="10.0"/>
      </rPr>
      <t>人だった。</t>
    </r>
  </si>
  <si>
    <t>銀行復帰への道を探るため接待ゴルフに参加した瀧沢完治(佐々木蔵之介)だったが、むなしさだけが去来し、その場を去った。目黒栞(黒木瞳)と会うことで心を癒した完治は、別れ際に栞からキスされ驚く。  一方、妻の真璃子(中山美穂)は日野春輝(藤井流星)から「最近美咲(石川恋)の元気がない」と聞かされ、その本当の理由を告げに春輝の事務所へ。しかし、夫や娘に募る不安や悩みを吐露するうち、春輝の優しさに触れ、思わず涙が溢れてしまう。春輝はそんな真璃子にそっと自分のハンカチを差し出した。  日曜日には、瀧沢家に春輝が再訪。真璃子と美咲は歓迎するが、春輝と初対面の完治は、美咲のためを思って年収や家のことなどを率直に尋ねる。真璃子たちは完治を止めようとするが春輝は臆せず答える。春輝の完璧な返答に圧倒される完治。春輝が帰った途端、美咲から怒りをぶつけられてしまう。  荻野倉庫に出社した完治は、重要書類は鍵をかけて保管すべきだと提案。だが、そんなに社内の人間が信用ならないのか、と川本保(礼二)たちにつっぱねられる。完全に社員たちに嫌われてしまった完治。やるせなく社を後にすると栞が待っていた。  居酒屋『一番星』に並んだ2人。川本たちとの会話を見ていた栞は、銀行の常識が通用しないこともあると告げる。素直に胸の内を語り合い、食事をして別れるだけの関係。今はまだ、それだけで癒される2人だった。</t>
  </si>
  <si>
    <t>番組名&lt;木曜劇場&gt;黄昏流星群～人生折り返し、恋をした～　#05</t>
  </si>
  <si>
    <r>
      <rPr>
        <rFont val="ＭＳ Ｐゴシック"/>
        <sz val="10.0"/>
      </rPr>
      <t>瀧沢完治</t>
    </r>
    <r>
      <rPr>
        <rFont val="Arial"/>
        <sz val="10.0"/>
      </rPr>
      <t>(</t>
    </r>
    <r>
      <rPr>
        <rFont val="ＭＳ Ｐゴシック"/>
        <sz val="10.0"/>
      </rPr>
      <t>佐々木蔵之介</t>
    </r>
    <r>
      <rPr>
        <rFont val="Arial"/>
        <sz val="10.0"/>
      </rPr>
      <t>)</t>
    </r>
    <r>
      <rPr>
        <rFont val="ＭＳ Ｐゴシック"/>
        <sz val="10.0"/>
      </rPr>
      <t>と目黒栞</t>
    </r>
    <r>
      <rPr>
        <rFont val="Arial"/>
        <sz val="10.0"/>
      </rPr>
      <t>(</t>
    </r>
    <r>
      <rPr>
        <rFont val="ＭＳ Ｐゴシック"/>
        <sz val="10.0"/>
      </rPr>
      <t>黒木瞳</t>
    </r>
    <r>
      <rPr>
        <rFont val="Arial"/>
        <sz val="10.0"/>
      </rPr>
      <t>)</t>
    </r>
    <r>
      <rPr>
        <rFont val="ＭＳ Ｐゴシック"/>
        <sz val="10.0"/>
      </rPr>
      <t>の関係は先へ進もうとしていた。しかし、</t>
    </r>
    <r>
      <rPr>
        <rFont val="Arial"/>
        <sz val="10.0"/>
      </rPr>
      <t>2</t>
    </r>
    <r>
      <rPr>
        <rFont val="ＭＳ Ｐゴシック"/>
        <sz val="10.0"/>
      </rPr>
      <t>人で入ったホテルで完治は娘の美咲</t>
    </r>
    <r>
      <rPr>
        <rFont val="Arial"/>
        <sz val="10.0"/>
      </rPr>
      <t>(</t>
    </r>
    <r>
      <rPr>
        <rFont val="ＭＳ Ｐゴシック"/>
        <sz val="10.0"/>
      </rPr>
      <t>石川恋</t>
    </r>
    <r>
      <rPr>
        <rFont val="Arial"/>
        <sz val="10.0"/>
      </rPr>
      <t>)</t>
    </r>
    <r>
      <rPr>
        <rFont val="ＭＳ Ｐゴシック"/>
        <sz val="10.0"/>
      </rPr>
      <t>と会ってしまう。美咲の隣には婚約者の春輝</t>
    </r>
    <r>
      <rPr>
        <rFont val="Arial"/>
        <sz val="10.0"/>
      </rPr>
      <t>(</t>
    </r>
    <r>
      <rPr>
        <rFont val="ＭＳ Ｐゴシック"/>
        <sz val="10.0"/>
      </rPr>
      <t>藤井流星</t>
    </r>
    <r>
      <rPr>
        <rFont val="Arial"/>
        <sz val="10.0"/>
      </rPr>
      <t>)</t>
    </r>
    <r>
      <rPr>
        <rFont val="ＭＳ Ｐゴシック"/>
        <sz val="10.0"/>
      </rPr>
      <t>ではなく完治より年上の男</t>
    </r>
    <r>
      <rPr>
        <rFont val="Arial"/>
        <sz val="10.0"/>
      </rPr>
      <t>(</t>
    </r>
    <r>
      <rPr>
        <rFont val="ＭＳ Ｐゴシック"/>
        <sz val="10.0"/>
      </rPr>
      <t>高田純次</t>
    </r>
    <r>
      <rPr>
        <rFont val="Arial"/>
        <sz val="10.0"/>
      </rPr>
      <t>)</t>
    </r>
    <r>
      <rPr>
        <rFont val="ＭＳ Ｐゴシック"/>
        <sz val="10.0"/>
      </rPr>
      <t>。あの男は誰なのか。無言ですれ違う父娘だったが、完治は美咲のことで頭がいっぱい。栞と結ばれることが出来なかった。</t>
    </r>
    <r>
      <rPr>
        <rFont val="Arial"/>
        <sz val="10.0"/>
      </rPr>
      <t xml:space="preserve">  </t>
    </r>
    <r>
      <rPr>
        <rFont val="ＭＳ Ｐゴシック"/>
        <sz val="10.0"/>
      </rPr>
      <t>その頃、春輝と映画を見てきた真璃子</t>
    </r>
    <r>
      <rPr>
        <rFont val="Arial"/>
        <sz val="10.0"/>
      </rPr>
      <t>(</t>
    </r>
    <r>
      <rPr>
        <rFont val="ＭＳ Ｐゴシック"/>
        <sz val="10.0"/>
      </rPr>
      <t>中山美穂</t>
    </r>
    <r>
      <rPr>
        <rFont val="Arial"/>
        <sz val="10.0"/>
      </rPr>
      <t>)</t>
    </r>
    <r>
      <rPr>
        <rFont val="ＭＳ Ｐゴシック"/>
        <sz val="10.0"/>
      </rPr>
      <t>が帰宅。まだ美咲は帰っていない。真璃子は美咲には他に好きな人がいるのでは</t>
    </r>
    <r>
      <rPr>
        <rFont val="Arial"/>
        <sz val="10.0"/>
      </rPr>
      <t>?</t>
    </r>
    <r>
      <rPr>
        <rFont val="ＭＳ Ｐゴシック"/>
        <sz val="10.0"/>
      </rPr>
      <t>と言った春輝の言葉が引っかかっていたが打ち消していた。翌朝、完治と美咲は通勤途中で落ち合う。昨晩の事を問いただそうとする完治だが、美咲から栞のことを尋ねられ、答えに窮する。私は春輝と結婚する、結婚と恋愛は別、と言い放つ美咲に完治は二の句が継げなかった。</t>
    </r>
    <r>
      <rPr>
        <rFont val="Arial"/>
        <sz val="10.0"/>
      </rPr>
      <t xml:space="preserve">  </t>
    </r>
    <r>
      <rPr>
        <rFont val="ＭＳ Ｐゴシック"/>
        <sz val="10.0"/>
      </rPr>
      <t>出社した完治は栞と会い、昨晩の事を詫びる。完治と一緒にいるだけで楽しいと答えた栞は週末に山に連れて行って欲しいと頼む。完治は喜んで約束。だが、家に帰った完治に思わぬ出来事が。美咲が春輝も一緒に家族旅行に行こうと言うのだ。完治は栞に電話して山へ行く約束をキャンセル。明るく答える栞だが、その声に完治は寂しさを感じる。</t>
    </r>
    <r>
      <rPr>
        <rFont val="Arial"/>
        <sz val="10.0"/>
      </rPr>
      <t xml:space="preserve">  </t>
    </r>
    <r>
      <rPr>
        <rFont val="ＭＳ Ｐゴシック"/>
        <sz val="10.0"/>
      </rPr>
      <t>週末、春輝の運転で温泉旅行に出かける完治たち。何事もなかったかのように春輝と話す美咲に完治は苦虫を噛み潰したかの表情。そして、この旅行は瀧沢家の溝をさらに深めようとしていた</t>
    </r>
    <r>
      <rPr>
        <rFont val="Arial"/>
        <sz val="10.0"/>
      </rPr>
      <t>…</t>
    </r>
    <r>
      <rPr>
        <rFont val="ＭＳ Ｐゴシック"/>
        <sz val="10.0"/>
      </rPr>
      <t>。</t>
    </r>
  </si>
  <si>
    <t>瀧沢完治(佐々木蔵之介)と目黒栞(黒木瞳)の関係は先へ進もうとしていた。しかし、2人で入ったホテルで完治は娘の美咲(石川恋)と会ってしまう。美咲の隣には婚約者の春輝(藤井流星)ではなく完治より年上の男(高田純次)。あの男は誰なのか。無言ですれ違う父娘だったが、完治は美咲のことで頭がいっぱい。栞と結ばれることが出来なかった。  その頃、春輝と映画を見てきた真璃子(中山美穂)が帰宅。まだ美咲は帰っていない。真璃子は美咲には他に好きな人がいるのでは?と言った春輝の言葉が引っかかっていたが打ち消していた。翌朝、完治と美咲は通勤途中で落ち合う。昨晩の事を問いただそうとする完治だが、美咲から栞のことを尋ねられ、答えに窮する。私は春輝と結婚する、結婚と恋愛は別、と言い放つ美咲に完治は二の句が継げなかった。  出社した完治は栞と会い、昨晩の事を詫びる。完治と一緒にいるだけで楽しいと答えた栞は週末に山に連れて行って欲しいと頼む。完治は喜んで約束。だが、家に帰った完治に思わぬ出来事が。美咲が春輝も一緒に家族旅行に行こうと言うのだ。完治は栞に電話して山へ行く約束をキャンセル。明るく答える栞だが、その声に完治は寂しさを感じる。  週末、春輝の運転で温泉旅行に出かける完治たち。何事もなかったかのように春輝と話す美咲に完治は苦虫を噛み潰したかの表情。そして、この旅行は瀧沢家の溝をさらに深めようとしていた…。</t>
  </si>
  <si>
    <t>番組名&lt;木曜劇場&gt;黄昏流星群～人生折り返し、恋をした～　#06</t>
  </si>
  <si>
    <r>
      <rPr>
        <rFont val="ＭＳ Ｐゴシック"/>
        <sz val="10.0"/>
      </rPr>
      <t>目黒栞</t>
    </r>
    <r>
      <rPr>
        <rFont val="Arial"/>
        <sz val="10.0"/>
      </rPr>
      <t>(</t>
    </r>
    <r>
      <rPr>
        <rFont val="ＭＳ Ｐゴシック"/>
        <sz val="10.0"/>
      </rPr>
      <t>黒木瞳</t>
    </r>
    <r>
      <rPr>
        <rFont val="Arial"/>
        <sz val="10.0"/>
      </rPr>
      <t>)</t>
    </r>
    <r>
      <rPr>
        <rFont val="ＭＳ Ｐゴシック"/>
        <sz val="10.0"/>
      </rPr>
      <t>とついに一晩過ごした瀧沢完治</t>
    </r>
    <r>
      <rPr>
        <rFont val="Arial"/>
        <sz val="10.0"/>
      </rPr>
      <t>(</t>
    </r>
    <r>
      <rPr>
        <rFont val="ＭＳ Ｐゴシック"/>
        <sz val="10.0"/>
      </rPr>
      <t>佐々木蔵之介</t>
    </r>
    <r>
      <rPr>
        <rFont val="Arial"/>
        <sz val="10.0"/>
      </rPr>
      <t>)</t>
    </r>
    <r>
      <rPr>
        <rFont val="ＭＳ Ｐゴシック"/>
        <sz val="10.0"/>
      </rPr>
      <t>。真璃子</t>
    </r>
    <r>
      <rPr>
        <rFont val="Arial"/>
        <sz val="10.0"/>
      </rPr>
      <t>(</t>
    </r>
    <r>
      <rPr>
        <rFont val="ＭＳ Ｐゴシック"/>
        <sz val="10.0"/>
      </rPr>
      <t>中山美穂</t>
    </r>
    <r>
      <rPr>
        <rFont val="Arial"/>
        <sz val="10.0"/>
      </rPr>
      <t>)</t>
    </r>
    <r>
      <rPr>
        <rFont val="ＭＳ Ｐゴシック"/>
        <sz val="10.0"/>
      </rPr>
      <t>には、銀行の同期と飲んでいたらタイミングを逃したので、井上英樹</t>
    </r>
    <r>
      <rPr>
        <rFont val="Arial"/>
        <sz val="10.0"/>
      </rPr>
      <t>(</t>
    </r>
    <r>
      <rPr>
        <rFont val="ＭＳ Ｐゴシック"/>
        <sz val="10.0"/>
      </rPr>
      <t>平山祐介</t>
    </r>
    <r>
      <rPr>
        <rFont val="Arial"/>
        <sz val="10.0"/>
      </rPr>
      <t>)</t>
    </r>
    <r>
      <rPr>
        <rFont val="ＭＳ Ｐゴシック"/>
        <sz val="10.0"/>
      </rPr>
      <t>の家に泊まると電話した。そんな完治を栞は心配そうに見ていた。</t>
    </r>
    <r>
      <rPr>
        <rFont val="Arial"/>
        <sz val="10.0"/>
      </rPr>
      <t xml:space="preserve">  </t>
    </r>
    <r>
      <rPr>
        <rFont val="ＭＳ Ｐゴシック"/>
        <sz val="10.0"/>
      </rPr>
      <t>翌朝、栞と朝食を共にし、清々しい朝を迎えた完治。しかし、帰宅する完治を送り出し、洗濯物を干し始めた栞は体に異変を感じる。一方、家に帰ったもののすぐに出社する完治の姿に途方に暮れる真璃子は、水原聡美</t>
    </r>
    <r>
      <rPr>
        <rFont val="Arial"/>
        <sz val="10.0"/>
      </rPr>
      <t>(</t>
    </r>
    <r>
      <rPr>
        <rFont val="ＭＳ Ｐゴシック"/>
        <sz val="10.0"/>
      </rPr>
      <t>八木亜希子</t>
    </r>
    <r>
      <rPr>
        <rFont val="Arial"/>
        <sz val="10.0"/>
      </rPr>
      <t>)</t>
    </r>
    <r>
      <rPr>
        <rFont val="ＭＳ Ｐゴシック"/>
        <sz val="10.0"/>
      </rPr>
      <t>に夫の浮気は確定的だと打ち明ける。思わず出てしまった完治の携帯電話から聞こえてきた知らない女性の声、表示された目黒栞という名前、そして明らかにおかしい昨晩の外泊</t>
    </r>
    <r>
      <rPr>
        <rFont val="Arial"/>
        <sz val="10.0"/>
      </rPr>
      <t>…</t>
    </r>
    <r>
      <rPr>
        <rFont val="ＭＳ Ｐゴシック"/>
        <sz val="10.0"/>
      </rPr>
      <t>。ここまでハッキリ浮気と分かってしまうと逆に問いただす気にもなれないと真璃子は嘆く。</t>
    </r>
    <r>
      <rPr>
        <rFont val="Arial"/>
        <sz val="10.0"/>
      </rPr>
      <t xml:space="preserve">  </t>
    </r>
    <r>
      <rPr>
        <rFont val="ＭＳ Ｐゴシック"/>
        <sz val="10.0"/>
      </rPr>
      <t>美咲</t>
    </r>
    <r>
      <rPr>
        <rFont val="Arial"/>
        <sz val="10.0"/>
      </rPr>
      <t>(</t>
    </r>
    <r>
      <rPr>
        <rFont val="ＭＳ Ｐゴシック"/>
        <sz val="10.0"/>
      </rPr>
      <t>石川恋</t>
    </r>
    <r>
      <rPr>
        <rFont val="Arial"/>
        <sz val="10.0"/>
      </rPr>
      <t>)</t>
    </r>
    <r>
      <rPr>
        <rFont val="ＭＳ Ｐゴシック"/>
        <sz val="10.0"/>
      </rPr>
      <t>と日野春輝</t>
    </r>
    <r>
      <rPr>
        <rFont val="Arial"/>
        <sz val="10.0"/>
      </rPr>
      <t>(</t>
    </r>
    <r>
      <rPr>
        <rFont val="ＭＳ Ｐゴシック"/>
        <sz val="10.0"/>
      </rPr>
      <t>藤井流星</t>
    </r>
    <r>
      <rPr>
        <rFont val="Arial"/>
        <sz val="10.0"/>
      </rPr>
      <t>)</t>
    </r>
    <r>
      <rPr>
        <rFont val="ＭＳ Ｐゴシック"/>
        <sz val="10.0"/>
      </rPr>
      <t>の結婚を進めるため両家で顔合わせをすることになり、日野家に出向いた完治たちは、豪華な邸宅や春輝の母・冴</t>
    </r>
    <r>
      <rPr>
        <rFont val="Arial"/>
        <sz val="10.0"/>
      </rPr>
      <t>(</t>
    </r>
    <r>
      <rPr>
        <rFont val="ＭＳ Ｐゴシック"/>
        <sz val="10.0"/>
      </rPr>
      <t>麻生祐未</t>
    </r>
    <r>
      <rPr>
        <rFont val="Arial"/>
        <sz val="10.0"/>
      </rPr>
      <t>)</t>
    </r>
    <r>
      <rPr>
        <rFont val="ＭＳ Ｐゴシック"/>
        <sz val="10.0"/>
      </rPr>
      <t>の厳しい目、凜とした物言いに気おされる。特に、早く孫を、と望む冴のプレッシャーに窮屈そうな美咲。帰り道、完治は美咲に、戸浪恭介</t>
    </r>
    <r>
      <rPr>
        <rFont val="Arial"/>
        <sz val="10.0"/>
      </rPr>
      <t>(</t>
    </r>
    <r>
      <rPr>
        <rFont val="ＭＳ Ｐゴシック"/>
        <sz val="10.0"/>
      </rPr>
      <t>高田純次</t>
    </r>
    <r>
      <rPr>
        <rFont val="Arial"/>
        <sz val="10.0"/>
      </rPr>
      <t>)</t>
    </r>
    <r>
      <rPr>
        <rFont val="ＭＳ Ｐゴシック"/>
        <sz val="10.0"/>
      </rPr>
      <t>とは別れるのか問いただす。きちんと別れるから心配しないでと答える美咲。</t>
    </r>
    <r>
      <rPr>
        <rFont val="Arial"/>
        <sz val="10.0"/>
      </rPr>
      <t xml:space="preserve">  </t>
    </r>
    <r>
      <rPr>
        <rFont val="ＭＳ Ｐゴシック"/>
        <sz val="10.0"/>
      </rPr>
      <t>完治が荻野倉庫に出社すると、川本保</t>
    </r>
    <r>
      <rPr>
        <rFont val="Arial"/>
        <sz val="10.0"/>
      </rPr>
      <t>(</t>
    </r>
    <r>
      <rPr>
        <rFont val="ＭＳ Ｐゴシック"/>
        <sz val="10.0"/>
      </rPr>
      <t>礼二</t>
    </r>
    <r>
      <rPr>
        <rFont val="Arial"/>
        <sz val="10.0"/>
      </rPr>
      <t>)</t>
    </r>
    <r>
      <rPr>
        <rFont val="ＭＳ Ｐゴシック"/>
        <sz val="10.0"/>
      </rPr>
      <t>が荒れていた。メインの取引先から契約を打ち切られた、という。完治は融資を頼みにかつての勤め先、若葉銀行へと赴くが</t>
    </r>
    <r>
      <rPr>
        <rFont val="Arial"/>
        <sz val="10.0"/>
      </rPr>
      <t>…</t>
    </r>
    <r>
      <rPr>
        <rFont val="ＭＳ Ｐゴシック"/>
        <sz val="10.0"/>
      </rPr>
      <t>。</t>
    </r>
  </si>
  <si>
    <t>目黒栞(黒木瞳)とついに一晩過ごした瀧沢完治(佐々木蔵之介)。真璃子(中山美穂)には、銀行の同期と飲んでいたらタイミングを逃したので、井上英樹(平山祐介)の家に泊まると電話した。そんな完治を栞は心配そうに見ていた。  翌朝、栞と朝食を共にし、清々しい朝を迎えた完治。しかし、帰宅する完治を送り出し、洗濯物を干し始めた栞は体に異変を感じる。一方、家に帰ったもののすぐに出社する完治の姿に途方に暮れる真璃子は、水原聡美(八木亜希子)に夫の浮気は確定的だと打ち明ける。思わず出てしまった完治の携帯電話から聞こえてきた知らない女性の声、表示された目黒栞という名前、そして明らかにおかしい昨晩の外泊…。ここまでハッキリ浮気と分かってしまうと逆に問いただす気にもなれないと真璃子は嘆く。  美咲(石川恋)と日野春輝(藤井流星)の結婚を進めるため両家で顔合わせをすることになり、日野家に出向いた完治たちは、豪華な邸宅や春輝の母・冴(麻生祐未)の厳しい目、凜とした物言いに気おされる。特に、早く孫を、と望む冴のプレッシャーに窮屈そうな美咲。帰り道、完治は美咲に、戸浪恭介(高田純次)とは別れるのか問いただす。きちんと別れるから心配しないでと答える美咲。  完治が荻野倉庫に出社すると、川本保(礼二)が荒れていた。メインの取引先から契約を打ち切られた、という。完治は融資を頼みにかつての勤め先、若葉銀行へと赴くが…。</t>
  </si>
  <si>
    <t>番組名&lt;木曜劇場&gt;黄昏流星群～人生折り返し、恋をした～【運命の恋、決着】　#07</t>
  </si>
  <si>
    <r>
      <rPr>
        <rFont val="ＭＳ Ｐゴシック"/>
        <sz val="10.0"/>
      </rPr>
      <t>瀧沢完治</t>
    </r>
    <r>
      <rPr>
        <rFont val="Arial"/>
        <sz val="10.0"/>
      </rPr>
      <t>(</t>
    </r>
    <r>
      <rPr>
        <rFont val="ＭＳ Ｐゴシック"/>
        <sz val="10.0"/>
      </rPr>
      <t>佐々木蔵之介</t>
    </r>
    <r>
      <rPr>
        <rFont val="Arial"/>
        <sz val="10.0"/>
      </rPr>
      <t>)</t>
    </r>
    <r>
      <rPr>
        <rFont val="ＭＳ Ｐゴシック"/>
        <sz val="10.0"/>
      </rPr>
      <t>の病室に水原聡美</t>
    </r>
    <r>
      <rPr>
        <rFont val="Arial"/>
        <sz val="10.0"/>
      </rPr>
      <t>(</t>
    </r>
    <r>
      <rPr>
        <rFont val="ＭＳ Ｐゴシック"/>
        <sz val="10.0"/>
      </rPr>
      <t>八木亜希子</t>
    </r>
    <r>
      <rPr>
        <rFont val="Arial"/>
        <sz val="10.0"/>
      </rPr>
      <t>)</t>
    </r>
    <r>
      <rPr>
        <rFont val="ＭＳ Ｐゴシック"/>
        <sz val="10.0"/>
      </rPr>
      <t>と須藤武史</t>
    </r>
    <r>
      <rPr>
        <rFont val="Arial"/>
        <sz val="10.0"/>
      </rPr>
      <t>(</t>
    </r>
    <r>
      <rPr>
        <rFont val="ＭＳ Ｐゴシック"/>
        <sz val="10.0"/>
      </rPr>
      <t>岡田浩暉</t>
    </r>
    <r>
      <rPr>
        <rFont val="Arial"/>
        <sz val="10.0"/>
      </rPr>
      <t>)</t>
    </r>
    <r>
      <rPr>
        <rFont val="ＭＳ Ｐゴシック"/>
        <sz val="10.0"/>
      </rPr>
      <t>が見舞いにやって来た。交際を始めたという</t>
    </r>
    <r>
      <rPr>
        <rFont val="Arial"/>
        <sz val="10.0"/>
      </rPr>
      <t>2</t>
    </r>
    <r>
      <rPr>
        <rFont val="ＭＳ Ｐゴシック"/>
        <sz val="10.0"/>
      </rPr>
      <t>人。聡美と買い物に出た真璃子</t>
    </r>
    <r>
      <rPr>
        <rFont val="Arial"/>
        <sz val="10.0"/>
      </rPr>
      <t>(</t>
    </r>
    <r>
      <rPr>
        <rFont val="ＭＳ Ｐゴシック"/>
        <sz val="10.0"/>
      </rPr>
      <t>中山美穂</t>
    </r>
    <r>
      <rPr>
        <rFont val="Arial"/>
        <sz val="10.0"/>
      </rPr>
      <t>)</t>
    </r>
    <r>
      <rPr>
        <rFont val="ＭＳ Ｐゴシック"/>
        <sz val="10.0"/>
      </rPr>
      <t>は、須藤と屈託なく仕事の話をする完治の姿に寂しさを感じる。</t>
    </r>
    <r>
      <rPr>
        <rFont val="Arial"/>
        <sz val="10.0"/>
      </rPr>
      <t xml:space="preserve">  </t>
    </r>
    <r>
      <rPr>
        <rFont val="ＭＳ Ｐゴシック"/>
        <sz val="10.0"/>
      </rPr>
      <t>真璃子が家に帰ると日野春輝</t>
    </r>
    <r>
      <rPr>
        <rFont val="Arial"/>
        <sz val="10.0"/>
      </rPr>
      <t>(</t>
    </r>
    <r>
      <rPr>
        <rFont val="ＭＳ Ｐゴシック"/>
        <sz val="10.0"/>
      </rPr>
      <t>藤井流星</t>
    </r>
    <r>
      <rPr>
        <rFont val="Arial"/>
        <sz val="10.0"/>
      </rPr>
      <t>)</t>
    </r>
    <r>
      <rPr>
        <rFont val="ＭＳ Ｐゴシック"/>
        <sz val="10.0"/>
      </rPr>
      <t>から電話が。完治の容体について話す</t>
    </r>
    <r>
      <rPr>
        <rFont val="Arial"/>
        <sz val="10.0"/>
      </rPr>
      <t>2</t>
    </r>
    <r>
      <rPr>
        <rFont val="ＭＳ Ｐゴシック"/>
        <sz val="10.0"/>
      </rPr>
      <t>人だが、美咲の話題になると気まずい空気になる。また連絡して良いかと言う春輝に、美咲のいない時にはかけてこないで、と真璃子は電話を切った。</t>
    </r>
    <r>
      <rPr>
        <rFont val="Arial"/>
        <sz val="10.0"/>
      </rPr>
      <t xml:space="preserve">  </t>
    </r>
    <r>
      <rPr>
        <rFont val="ＭＳ Ｐゴシック"/>
        <sz val="10.0"/>
      </rPr>
      <t>退院した完治が荻野倉庫に出社。大口の取引先に契約を打ち切られ経営は相変わらず苦しい。完治の入院に一端の責任を感じる川本保</t>
    </r>
    <r>
      <rPr>
        <rFont val="Arial"/>
        <sz val="10.0"/>
      </rPr>
      <t>(</t>
    </r>
    <r>
      <rPr>
        <rFont val="ＭＳ Ｐゴシック"/>
        <sz val="10.0"/>
      </rPr>
      <t>礼二</t>
    </r>
    <r>
      <rPr>
        <rFont val="Arial"/>
        <sz val="10.0"/>
      </rPr>
      <t>)</t>
    </r>
    <r>
      <rPr>
        <rFont val="ＭＳ Ｐゴシック"/>
        <sz val="10.0"/>
      </rPr>
      <t>は、気まずそうにしながらも経費削減をうったえる。そんな川本に完治は新事業の資料を差し出す。須藤から、別れた家族の思い出の品を倉庫で預かって欲しいと頼まれた完治は、捨てられない品を個別で預かるサービスを考えたのだ。はじめは反対する川本だったが、完治の熱意に負けて渋々了承する。</t>
    </r>
    <r>
      <rPr>
        <rFont val="Arial"/>
        <sz val="10.0"/>
      </rPr>
      <t xml:space="preserve">  </t>
    </r>
    <r>
      <rPr>
        <rFont val="ＭＳ Ｐゴシック"/>
        <sz val="10.0"/>
      </rPr>
      <t>その昼、食堂で働く目黒栞</t>
    </r>
    <r>
      <rPr>
        <rFont val="Arial"/>
        <sz val="10.0"/>
      </rPr>
      <t>(</t>
    </r>
    <r>
      <rPr>
        <rFont val="ＭＳ Ｐゴシック"/>
        <sz val="10.0"/>
      </rPr>
      <t>黒木瞳</t>
    </r>
    <r>
      <rPr>
        <rFont val="Arial"/>
        <sz val="10.0"/>
      </rPr>
      <t>)</t>
    </r>
    <r>
      <rPr>
        <rFont val="ＭＳ Ｐゴシック"/>
        <sz val="10.0"/>
      </rPr>
      <t>を見つけるがなぜかよそよそしい態度。気がかりながらも、完治は新事業を軌道に乗せるため残業をこなす毎日</t>
    </r>
    <r>
      <rPr>
        <rFont val="Arial"/>
        <sz val="10.0"/>
      </rPr>
      <t>…</t>
    </r>
    <r>
      <rPr>
        <rFont val="ＭＳ Ｐゴシック"/>
        <sz val="10.0"/>
      </rPr>
      <t>。その理由を尋ねられないまま栞と会えない日々が続いた。実は栞は、完治と別れて欲しいと美咲に言われたことがきっかけで、ある大きな決断を下そうとしていたのだ。そんななか、美咲と春輝の結納が行われることになり</t>
    </r>
    <r>
      <rPr>
        <rFont val="Arial"/>
        <sz val="10.0"/>
      </rPr>
      <t>…</t>
    </r>
    <r>
      <rPr>
        <rFont val="ＭＳ Ｐゴシック"/>
        <sz val="10.0"/>
      </rPr>
      <t>。</t>
    </r>
  </si>
  <si>
    <t>瀧沢完治(佐々木蔵之介)の病室に水原聡美(八木亜希子)と須藤武史(岡田浩暉)が見舞いにやって来た。交際を始めたという2人。聡美と買い物に出た真璃子(中山美穂)は、須藤と屈託なく仕事の話をする完治の姿に寂しさを感じる。  真璃子が家に帰ると日野春輝(藤井流星)から電話が。完治の容体について話す2人だが、美咲の話題になると気まずい空気になる。また連絡して良いかと言う春輝に、美咲のいない時にはかけてこないで、と真璃子は電話を切った。  退院した完治が荻野倉庫に出社。大口の取引先に契約を打ち切られ経営は相変わらず苦しい。完治の入院に一端の責任を感じる川本保(礼二)は、気まずそうにしながらも経費削減をうったえる。そんな川本に完治は新事業の資料を差し出す。須藤から、別れた家族の思い出の品を倉庫で預かって欲しいと頼まれた完治は、捨てられない品を個別で預かるサービスを考えたのだ。はじめは反対する川本だったが、完治の熱意に負けて渋々了承する。  その昼、食堂で働く目黒栞(黒木瞳)を見つけるがなぜかよそよそしい態度。気がかりながらも、完治は新事業を軌道に乗せるため残業をこなす毎日…。その理由を尋ねられないまま栞と会えない日々が続いた。実は栞は、完治と別れて欲しいと美咲に言われたことがきっかけで、ある大きな決断を下そうとしていたのだ。そんななか、美咲と春輝の結納が行われることになり…。</t>
  </si>
  <si>
    <t>番組名&lt;木曜劇場&gt;黄昏流星群～人生折り返し、恋をした～【いよいよ最終章】　#08</t>
  </si>
  <si>
    <r>
      <rPr>
        <rFont val="ＭＳ Ｐゴシック"/>
        <sz val="10.0"/>
      </rPr>
      <t>瀧沢完治</t>
    </r>
    <r>
      <rPr>
        <rFont val="Arial"/>
        <sz val="10.0"/>
      </rPr>
      <t>(</t>
    </r>
    <r>
      <rPr>
        <rFont val="ＭＳ Ｐゴシック"/>
        <sz val="10.0"/>
      </rPr>
      <t>佐々木蔵之介</t>
    </r>
    <r>
      <rPr>
        <rFont val="Arial"/>
        <sz val="10.0"/>
      </rPr>
      <t>)</t>
    </r>
    <r>
      <rPr>
        <rFont val="ＭＳ Ｐゴシック"/>
        <sz val="10.0"/>
      </rPr>
      <t>と真璃子</t>
    </r>
    <r>
      <rPr>
        <rFont val="Arial"/>
        <sz val="10.0"/>
      </rPr>
      <t>(</t>
    </r>
    <r>
      <rPr>
        <rFont val="ＭＳ Ｐゴシック"/>
        <sz val="10.0"/>
      </rPr>
      <t>中山美穂</t>
    </r>
    <r>
      <rPr>
        <rFont val="Arial"/>
        <sz val="10.0"/>
      </rPr>
      <t>)</t>
    </r>
    <r>
      <rPr>
        <rFont val="ＭＳ Ｐゴシック"/>
        <sz val="10.0"/>
      </rPr>
      <t>の娘、美咲</t>
    </r>
    <r>
      <rPr>
        <rFont val="Arial"/>
        <sz val="10.0"/>
      </rPr>
      <t>(</t>
    </r>
    <r>
      <rPr>
        <rFont val="ＭＳ Ｐゴシック"/>
        <sz val="10.0"/>
      </rPr>
      <t>石川恋</t>
    </r>
    <r>
      <rPr>
        <rFont val="Arial"/>
        <sz val="10.0"/>
      </rPr>
      <t>)</t>
    </r>
    <r>
      <rPr>
        <rFont val="ＭＳ Ｐゴシック"/>
        <sz val="10.0"/>
      </rPr>
      <t>が姿を消した。美咲は日野春輝</t>
    </r>
    <r>
      <rPr>
        <rFont val="Arial"/>
        <sz val="10.0"/>
      </rPr>
      <t>(</t>
    </r>
    <r>
      <rPr>
        <rFont val="ＭＳ Ｐゴシック"/>
        <sz val="10.0"/>
      </rPr>
      <t>藤井流星</t>
    </r>
    <r>
      <rPr>
        <rFont val="Arial"/>
        <sz val="10.0"/>
      </rPr>
      <t>)</t>
    </r>
    <r>
      <rPr>
        <rFont val="ＭＳ Ｐゴシック"/>
        <sz val="10.0"/>
      </rPr>
      <t>との結納をすませたばかりだ。テーブルには「先生とロンドンに行く」という美咲のメモ。相手が戸浪恭介</t>
    </r>
    <r>
      <rPr>
        <rFont val="Arial"/>
        <sz val="10.0"/>
      </rPr>
      <t>(</t>
    </r>
    <r>
      <rPr>
        <rFont val="ＭＳ Ｐゴシック"/>
        <sz val="10.0"/>
      </rPr>
      <t>高田純次</t>
    </r>
    <r>
      <rPr>
        <rFont val="Arial"/>
        <sz val="10.0"/>
      </rPr>
      <t>)</t>
    </r>
    <r>
      <rPr>
        <rFont val="ＭＳ Ｐゴシック"/>
        <sz val="10.0"/>
      </rPr>
      <t>だと完治に聞かされ真璃子は驚愕する。しかしそれ以上に完治だけが関係を知っていたことに大きなショックを受ける。偶然</t>
    </r>
    <r>
      <rPr>
        <rFont val="Arial"/>
        <sz val="10.0"/>
      </rPr>
      <t>2</t>
    </r>
    <r>
      <rPr>
        <rFont val="ＭＳ Ｐゴシック"/>
        <sz val="10.0"/>
      </rPr>
      <t>人が一緒にいるところを見たからだと完治は説明するが、なぜそのような場に完治が居合わせたのかも不信に感じ、真璃子はさらに動揺する。</t>
    </r>
    <r>
      <rPr>
        <rFont val="Arial"/>
        <sz val="10.0"/>
      </rPr>
      <t xml:space="preserve">  </t>
    </r>
    <r>
      <rPr>
        <rFont val="ＭＳ Ｐゴシック"/>
        <sz val="10.0"/>
      </rPr>
      <t>完治と真璃子は日野家に経緯を詫びに行く。謝るしかない完治たちは、帰りに激高する冴</t>
    </r>
    <r>
      <rPr>
        <rFont val="Arial"/>
        <sz val="10.0"/>
      </rPr>
      <t>(</t>
    </r>
    <r>
      <rPr>
        <rFont val="ＭＳ Ｐゴシック"/>
        <sz val="10.0"/>
      </rPr>
      <t>麻生祐未</t>
    </r>
    <r>
      <rPr>
        <rFont val="Arial"/>
        <sz val="10.0"/>
      </rPr>
      <t>)</t>
    </r>
    <r>
      <rPr>
        <rFont val="ＭＳ Ｐゴシック"/>
        <sz val="10.0"/>
      </rPr>
      <t>に塩を撒かれる。昏倒しそうな冴を支え「僕も悪いんだ」と言う春輝の言葉に冴は疑問を抱く。</t>
    </r>
    <r>
      <rPr>
        <rFont val="Arial"/>
        <sz val="10.0"/>
      </rPr>
      <t xml:space="preserve">  </t>
    </r>
    <r>
      <rPr>
        <rFont val="ＭＳ Ｐゴシック"/>
        <sz val="10.0"/>
      </rPr>
      <t>荻野倉庫に出社した完治が食堂をのぞくが栞</t>
    </r>
    <r>
      <rPr>
        <rFont val="Arial"/>
        <sz val="10.0"/>
      </rPr>
      <t>(</t>
    </r>
    <r>
      <rPr>
        <rFont val="ＭＳ Ｐゴシック"/>
        <sz val="10.0"/>
      </rPr>
      <t>黒木瞳</t>
    </r>
    <r>
      <rPr>
        <rFont val="Arial"/>
        <sz val="10.0"/>
      </rPr>
      <t>)</t>
    </r>
    <r>
      <rPr>
        <rFont val="ＭＳ Ｐゴシック"/>
        <sz val="10.0"/>
      </rPr>
      <t>の姿はない。そんな完治は朝礼で社長に想い出ボックスが評判になっていると称えられた。自分の手柄ではなく、川本保</t>
    </r>
    <r>
      <rPr>
        <rFont val="Arial"/>
        <sz val="10.0"/>
      </rPr>
      <t>(</t>
    </r>
    <r>
      <rPr>
        <rFont val="ＭＳ Ｐゴシック"/>
        <sz val="10.0"/>
      </rPr>
      <t>礼二</t>
    </r>
    <r>
      <rPr>
        <rFont val="Arial"/>
        <sz val="10.0"/>
      </rPr>
      <t>)</t>
    </r>
    <r>
      <rPr>
        <rFont val="ＭＳ Ｐゴシック"/>
        <sz val="10.0"/>
      </rPr>
      <t>たちが支えてくれたからだと応える完治。完治は銀行の融資を確約し、川本との距離も縮まりつつあった。</t>
    </r>
    <r>
      <rPr>
        <rFont val="Arial"/>
        <sz val="10.0"/>
      </rPr>
      <t xml:space="preserve">  </t>
    </r>
    <r>
      <rPr>
        <rFont val="ＭＳ Ｐゴシック"/>
        <sz val="10.0"/>
      </rPr>
      <t>食堂で小俣房江</t>
    </r>
    <r>
      <rPr>
        <rFont val="Arial"/>
        <sz val="10.0"/>
      </rPr>
      <t>(</t>
    </r>
    <r>
      <rPr>
        <rFont val="ＭＳ Ｐゴシック"/>
        <sz val="10.0"/>
      </rPr>
      <t>山口美也子</t>
    </r>
    <r>
      <rPr>
        <rFont val="Arial"/>
        <sz val="10.0"/>
      </rPr>
      <t>)</t>
    </r>
    <r>
      <rPr>
        <rFont val="ＭＳ Ｐゴシック"/>
        <sz val="10.0"/>
      </rPr>
      <t>から栞が体調不良で休んでいると聞いた完治は家を訪ねる。すると栞は頑として会おうとせず、完治は追い返されてしまった。家に帰った完治は真璃子と</t>
    </r>
    <r>
      <rPr>
        <rFont val="Arial"/>
        <sz val="10.0"/>
      </rPr>
      <t>2</t>
    </r>
    <r>
      <rPr>
        <rFont val="ＭＳ Ｐゴシック"/>
        <sz val="10.0"/>
      </rPr>
      <t>人きりの夕食。美咲を心配する真璃子を完治がなだめているとドアチャイムが鳴る。やって来たのは戸浪の妻、和代</t>
    </r>
    <r>
      <rPr>
        <rFont val="Arial"/>
        <sz val="10.0"/>
      </rPr>
      <t>(</t>
    </r>
    <r>
      <rPr>
        <rFont val="ＭＳ Ｐゴシック"/>
        <sz val="10.0"/>
      </rPr>
      <t>松本留美</t>
    </r>
    <r>
      <rPr>
        <rFont val="Arial"/>
        <sz val="10.0"/>
      </rPr>
      <t>)</t>
    </r>
    <r>
      <rPr>
        <rFont val="ＭＳ Ｐゴシック"/>
        <sz val="10.0"/>
      </rPr>
      <t>で</t>
    </r>
    <r>
      <rPr>
        <rFont val="Arial"/>
        <sz val="10.0"/>
      </rPr>
      <t>…</t>
    </r>
    <r>
      <rPr>
        <rFont val="ＭＳ Ｐゴシック"/>
        <sz val="10.0"/>
      </rPr>
      <t>。</t>
    </r>
  </si>
  <si>
    <t>瀧沢完治(佐々木蔵之介)と真璃子(中山美穂)の娘、美咲(石川恋)が姿を消した。美咲は日野春輝(藤井流星)との結納をすませたばかりだ。テーブルには「先生とロンドンに行く」という美咲のメモ。相手が戸浪恭介(高田純次)だと完治に聞かされ真璃子は驚愕する。しかしそれ以上に完治だけが関係を知っていたことに大きなショックを受ける。偶然2人が一緒にいるところを見たからだと完治は説明するが、なぜそのような場に完治が居合わせたのかも不信に感じ、真璃子はさらに動揺する。  完治と真璃子は日野家に経緯を詫びに行く。謝るしかない完治たちは、帰りに激高する冴(麻生祐未)に塩を撒かれる。昏倒しそうな冴を支え「僕も悪いんだ」と言う春輝の言葉に冴は疑問を抱く。  荻野倉庫に出社した完治が食堂をのぞくが栞(黒木瞳)の姿はない。そんな完治は朝礼で社長に想い出ボックスが評判になっていると称えられた。自分の手柄ではなく、川本保(礼二)たちが支えてくれたからだと応える完治。完治は銀行の融資を確約し、川本との距離も縮まりつつあった。  食堂で小俣房江(山口美也子)から栞が体調不良で休んでいると聞いた完治は家を訪ねる。すると栞は頑として会おうとせず、完治は追い返されてしまった。家に帰った完治は真璃子と2人きりの夕食。美咲を心配する真璃子を完治がなだめているとドアチャイムが鳴る。やって来たのは戸浪の妻、和代(松本留美)で…。</t>
  </si>
  <si>
    <t>番組名&lt;木曜劇場&gt;黄昏流星群～人生折り返し、恋をした～【最終回直前!】　#09</t>
  </si>
  <si>
    <r>
      <rPr>
        <rFont val="ＭＳ Ｐゴシック"/>
        <sz val="10.0"/>
      </rPr>
      <t>瀧沢完治</t>
    </r>
    <r>
      <rPr>
        <rFont val="Arial"/>
        <sz val="10.0"/>
      </rPr>
      <t>(</t>
    </r>
    <r>
      <rPr>
        <rFont val="ＭＳ Ｐゴシック"/>
        <sz val="10.0"/>
      </rPr>
      <t>佐々木蔵之介</t>
    </r>
    <r>
      <rPr>
        <rFont val="Arial"/>
        <sz val="10.0"/>
      </rPr>
      <t>)</t>
    </r>
    <r>
      <rPr>
        <rFont val="ＭＳ Ｐゴシック"/>
        <sz val="10.0"/>
      </rPr>
      <t>の前から目黒栞</t>
    </r>
    <r>
      <rPr>
        <rFont val="Arial"/>
        <sz val="10.0"/>
      </rPr>
      <t>(</t>
    </r>
    <r>
      <rPr>
        <rFont val="ＭＳ Ｐゴシック"/>
        <sz val="10.0"/>
      </rPr>
      <t>黒木瞳</t>
    </r>
    <r>
      <rPr>
        <rFont val="Arial"/>
        <sz val="10.0"/>
      </rPr>
      <t>)</t>
    </r>
    <r>
      <rPr>
        <rFont val="ＭＳ Ｐゴシック"/>
        <sz val="10.0"/>
      </rPr>
      <t>が姿を消した。家を引き払い、食堂の仕事も辞め、行方が分からない。そんななか完治は若葉銀行から復職を打診される。倉庫の仕事にやりがいを感じ始めていた完治はすぐに答えを出せずにいた。また、真璃子</t>
    </r>
    <r>
      <rPr>
        <rFont val="Arial"/>
        <sz val="10.0"/>
      </rPr>
      <t>(</t>
    </r>
    <r>
      <rPr>
        <rFont val="ＭＳ Ｐゴシック"/>
        <sz val="10.0"/>
      </rPr>
      <t>中山美穂</t>
    </r>
    <r>
      <rPr>
        <rFont val="Arial"/>
        <sz val="10.0"/>
      </rPr>
      <t>)</t>
    </r>
    <r>
      <rPr>
        <rFont val="ＭＳ Ｐゴシック"/>
        <sz val="10.0"/>
      </rPr>
      <t>も大きな決断をしようとしていた。</t>
    </r>
    <r>
      <rPr>
        <rFont val="Arial"/>
        <sz val="10.0"/>
      </rPr>
      <t xml:space="preserve">  </t>
    </r>
    <r>
      <rPr>
        <rFont val="ＭＳ Ｐゴシック"/>
        <sz val="10.0"/>
      </rPr>
      <t>完治は真璃子に銀行からの話をする。そんな完治に、真璃子は家を出て行こうと思うと切り出した。驚く完治に、真璃子は栞の存在を知っていることを打ち明けた。栞と一緒にいる完治が、今まで見たことのないぐらい幸せそうな顔をしているのを見て、私も別の生き方を考えてみたくなったと語る真璃子。完治は何も答えられなかった。</t>
    </r>
    <r>
      <rPr>
        <rFont val="Arial"/>
        <sz val="10.0"/>
      </rPr>
      <t xml:space="preserve">  </t>
    </r>
    <r>
      <rPr>
        <rFont val="ＭＳ Ｐゴシック"/>
        <sz val="10.0"/>
      </rPr>
      <t>真璃子は水原聡美</t>
    </r>
    <r>
      <rPr>
        <rFont val="Arial"/>
        <sz val="10.0"/>
      </rPr>
      <t>(</t>
    </r>
    <r>
      <rPr>
        <rFont val="ＭＳ Ｐゴシック"/>
        <sz val="10.0"/>
      </rPr>
      <t>八木亜希子</t>
    </r>
    <r>
      <rPr>
        <rFont val="Arial"/>
        <sz val="10.0"/>
      </rPr>
      <t>)</t>
    </r>
    <r>
      <rPr>
        <rFont val="ＭＳ Ｐゴシック"/>
        <sz val="10.0"/>
      </rPr>
      <t>のマンションへ。だが、聡美から須藤武史</t>
    </r>
    <r>
      <rPr>
        <rFont val="Arial"/>
        <sz val="10.0"/>
      </rPr>
      <t>(</t>
    </r>
    <r>
      <rPr>
        <rFont val="ＭＳ Ｐゴシック"/>
        <sz val="10.0"/>
      </rPr>
      <t>岡田浩暉</t>
    </r>
    <r>
      <rPr>
        <rFont val="Arial"/>
        <sz val="10.0"/>
      </rPr>
      <t>)</t>
    </r>
    <r>
      <rPr>
        <rFont val="ＭＳ Ｐゴシック"/>
        <sz val="10.0"/>
      </rPr>
      <t>と結婚すると告白を受け、真璃子は自分の存在が聡美の邪魔になると気を遣い、家を出る。とは言うものの行き場所のない真璃子は、街をさまよい自分の無力感を痛感する</t>
    </r>
    <r>
      <rPr>
        <rFont val="Arial"/>
        <sz val="10.0"/>
      </rPr>
      <t>…</t>
    </r>
    <r>
      <rPr>
        <rFont val="ＭＳ Ｐゴシック"/>
        <sz val="10.0"/>
      </rPr>
      <t>。そんな真璃子は、ある場所で偶然、日野春輝</t>
    </r>
    <r>
      <rPr>
        <rFont val="Arial"/>
        <sz val="10.0"/>
      </rPr>
      <t>(</t>
    </r>
    <r>
      <rPr>
        <rFont val="ＭＳ Ｐゴシック"/>
        <sz val="10.0"/>
      </rPr>
      <t>藤井流星</t>
    </r>
    <r>
      <rPr>
        <rFont val="Arial"/>
        <sz val="10.0"/>
      </rPr>
      <t>)</t>
    </r>
    <r>
      <rPr>
        <rFont val="ＭＳ Ｐゴシック"/>
        <sz val="10.0"/>
      </rPr>
      <t>を見かける。冴</t>
    </r>
    <r>
      <rPr>
        <rFont val="Arial"/>
        <sz val="10.0"/>
      </rPr>
      <t>(</t>
    </r>
    <r>
      <rPr>
        <rFont val="ＭＳ Ｐゴシック"/>
        <sz val="10.0"/>
      </rPr>
      <t>麻生祐未</t>
    </r>
    <r>
      <rPr>
        <rFont val="Arial"/>
        <sz val="10.0"/>
      </rPr>
      <t>)</t>
    </r>
    <r>
      <rPr>
        <rFont val="ＭＳ Ｐゴシック"/>
        <sz val="10.0"/>
      </rPr>
      <t>の介護で疲れ果てた様子を見かねた真璃子は日野家を訪ね</t>
    </r>
    <r>
      <rPr>
        <rFont val="Arial"/>
        <sz val="10.0"/>
      </rPr>
      <t>…</t>
    </r>
    <r>
      <rPr>
        <rFont val="ＭＳ Ｐゴシック"/>
        <sz val="10.0"/>
      </rPr>
      <t>。</t>
    </r>
  </si>
  <si>
    <t>瀧沢完治(佐々木蔵之介)の前から目黒栞(黒木瞳)が姿を消した。家を引き払い、食堂の仕事も辞め、行方が分からない。そんななか完治は若葉銀行から復職を打診される。倉庫の仕事にやりがいを感じ始めていた完治はすぐに答えを出せずにいた。また、真璃子(中山美穂)も大きな決断をしようとしていた。  完治は真璃子に銀行からの話をする。そんな完治に、真璃子は家を出て行こうと思うと切り出した。驚く完治に、真璃子は栞の存在を知っていることを打ち明けた。栞と一緒にいる完治が、今まで見たことのないぐらい幸せそうな顔をしているのを見て、私も別の生き方を考えてみたくなったと語る真璃子。完治は何も答えられなかった。  真璃子は水原聡美(八木亜希子)のマンションへ。だが、聡美から須藤武史(岡田浩暉)と結婚すると告白を受け、真璃子は自分の存在が聡美の邪魔になると気を遣い、家を出る。とは言うものの行き場所のない真璃子は、街をさまよい自分の無力感を痛感する…。そんな真璃子は、ある場所で偶然、日野春輝(藤井流星)を見かける。冴(麻生祐未)の介護で疲れ果てた様子を見かねた真璃子は日野家を訪ね…。</t>
  </si>
  <si>
    <t>番組名&lt;木曜劇場&gt;黄昏流星群～人生折り返し、恋をした～【ついに最終回】　#10</t>
  </si>
  <si>
    <r>
      <rPr>
        <rFont val="ＭＳ Ｐゴシック"/>
        <sz val="10.0"/>
      </rPr>
      <t>瀧沢完治</t>
    </r>
    <r>
      <rPr>
        <rFont val="Arial"/>
        <sz val="10.0"/>
      </rPr>
      <t>(</t>
    </r>
    <r>
      <rPr>
        <rFont val="ＭＳ Ｐゴシック"/>
        <sz val="10.0"/>
      </rPr>
      <t>佐々木蔵之介</t>
    </r>
    <r>
      <rPr>
        <rFont val="Arial"/>
        <sz val="10.0"/>
      </rPr>
      <t>)</t>
    </r>
    <r>
      <rPr>
        <rFont val="ＭＳ Ｐゴシック"/>
        <sz val="10.0"/>
      </rPr>
      <t>は異例の人事で若葉銀行に戻ることになった。しかし、妻の真璃子</t>
    </r>
    <r>
      <rPr>
        <rFont val="Arial"/>
        <sz val="10.0"/>
      </rPr>
      <t>(</t>
    </r>
    <r>
      <rPr>
        <rFont val="ＭＳ Ｐゴシック"/>
        <sz val="10.0"/>
      </rPr>
      <t>中山美穂</t>
    </r>
    <r>
      <rPr>
        <rFont val="Arial"/>
        <sz val="10.0"/>
      </rPr>
      <t>)</t>
    </r>
    <r>
      <rPr>
        <rFont val="ＭＳ Ｐゴシック"/>
        <sz val="10.0"/>
      </rPr>
      <t>は家を出て行き、日野冴</t>
    </r>
    <r>
      <rPr>
        <rFont val="Arial"/>
        <sz val="10.0"/>
      </rPr>
      <t>(</t>
    </r>
    <r>
      <rPr>
        <rFont val="ＭＳ Ｐゴシック"/>
        <sz val="10.0"/>
      </rPr>
      <t>麻生祐未</t>
    </r>
    <r>
      <rPr>
        <rFont val="Arial"/>
        <sz val="10.0"/>
      </rPr>
      <t>)</t>
    </r>
    <r>
      <rPr>
        <rFont val="ＭＳ Ｐゴシック"/>
        <sz val="10.0"/>
      </rPr>
      <t>の世話をする形で春輝</t>
    </r>
    <r>
      <rPr>
        <rFont val="Arial"/>
        <sz val="10.0"/>
      </rPr>
      <t>(</t>
    </r>
    <r>
      <rPr>
        <rFont val="ＭＳ Ｐゴシック"/>
        <sz val="10.0"/>
      </rPr>
      <t>藤井流星</t>
    </r>
    <r>
      <rPr>
        <rFont val="Arial"/>
        <sz val="10.0"/>
      </rPr>
      <t>)</t>
    </r>
    <r>
      <rPr>
        <rFont val="ＭＳ Ｐゴシック"/>
        <sz val="10.0"/>
      </rPr>
      <t>を支えている。完治が思いを寄せる目黒栞</t>
    </r>
    <r>
      <rPr>
        <rFont val="Arial"/>
        <sz val="10.0"/>
      </rPr>
      <t>(</t>
    </r>
    <r>
      <rPr>
        <rFont val="ＭＳ Ｐゴシック"/>
        <sz val="10.0"/>
      </rPr>
      <t>黒木瞳</t>
    </r>
    <r>
      <rPr>
        <rFont val="Arial"/>
        <sz val="10.0"/>
      </rPr>
      <t>)</t>
    </r>
    <r>
      <rPr>
        <rFont val="ＭＳ Ｐゴシック"/>
        <sz val="10.0"/>
      </rPr>
      <t>も姿を消し、音沙汰がない。</t>
    </r>
    <r>
      <rPr>
        <rFont val="Arial"/>
        <sz val="10.0"/>
      </rPr>
      <t xml:space="preserve">  </t>
    </r>
    <r>
      <rPr>
        <rFont val="ＭＳ Ｐゴシック"/>
        <sz val="10.0"/>
      </rPr>
      <t>完治は銀行復帰後、不正融資の内部調査委員会委員長を任される。その矢先、同期で融資部長の井上英樹</t>
    </r>
    <r>
      <rPr>
        <rFont val="Arial"/>
        <sz val="10.0"/>
      </rPr>
      <t>(</t>
    </r>
    <r>
      <rPr>
        <rFont val="ＭＳ Ｐゴシック"/>
        <sz val="10.0"/>
      </rPr>
      <t>平山祐介</t>
    </r>
    <r>
      <rPr>
        <rFont val="Arial"/>
        <sz val="10.0"/>
      </rPr>
      <t>)</t>
    </r>
    <r>
      <rPr>
        <rFont val="ＭＳ Ｐゴシック"/>
        <sz val="10.0"/>
      </rPr>
      <t>が自殺を図ってしまう。一方、真璃子は春輝と冴をホスピスへと送る。真璃子のこれまでの献身的な世話に感謝する冴。だが冴は、春輝との関係は今日で終わりにしてほしいと真璃子にくぎを刺した。真璃子は他へ行くところもなく、瀧沢家へ戻ることに</t>
    </r>
    <r>
      <rPr>
        <rFont val="Arial"/>
        <sz val="10.0"/>
      </rPr>
      <t>…</t>
    </r>
    <r>
      <rPr>
        <rFont val="ＭＳ Ｐゴシック"/>
        <sz val="10.0"/>
      </rPr>
      <t>。</t>
    </r>
    <r>
      <rPr>
        <rFont val="Arial"/>
        <sz val="10.0"/>
      </rPr>
      <t xml:space="preserve">  </t>
    </r>
    <r>
      <rPr>
        <rFont val="ＭＳ Ｐゴシック"/>
        <sz val="10.0"/>
      </rPr>
      <t>一度は壊れかけた、完治と真璃子の夫婦仲は修復されるのか</t>
    </r>
    <r>
      <rPr>
        <rFont val="Arial"/>
        <sz val="10.0"/>
      </rPr>
      <t>?</t>
    </r>
    <r>
      <rPr>
        <rFont val="ＭＳ Ｐゴシック"/>
        <sz val="10.0"/>
      </rPr>
      <t>一方で栞の病は日々進行していく。完治と栞は果たして再会することができるのか</t>
    </r>
    <r>
      <rPr>
        <rFont val="Arial"/>
        <sz val="10.0"/>
      </rPr>
      <t>?</t>
    </r>
    <r>
      <rPr>
        <rFont val="ＭＳ Ｐゴシック"/>
        <sz val="10.0"/>
      </rPr>
      <t>運命の恋の行方はいかに</t>
    </r>
    <r>
      <rPr>
        <rFont val="Arial"/>
        <sz val="10.0"/>
      </rPr>
      <t>…!?</t>
    </r>
  </si>
  <si>
    <t>瀧沢完治(佐々木蔵之介)は異例の人事で若葉銀行に戻ることになった。しかし、妻の真璃子(中山美穂)は家を出て行き、日野冴(麻生祐未)の世話をする形で春輝(藤井流星)を支えている。完治が思いを寄せる目黒栞(黒木瞳)も姿を消し、音沙汰がない。  完治は銀行復帰後、不正融資の内部調査委員会委員長を任される。その矢先、同期で融資部長の井上英樹(平山祐介)が自殺を図ってしまう。一方、真璃子は春輝と冴をホスピスへと送る。真璃子のこれまでの献身的な世話に感謝する冴。だが冴は、春輝との関係は今日で終わりにしてほしいと真璃子にくぎを刺した。真璃子は他へ行くところもなく、瀧沢家へ戻ることに…。  一度は壊れかけた、完治と真璃子の夫婦仲は修復されるのか?一方で栞の病は日々進行していく。完治と栞は果たして再会することができるのか?運命の恋の行方はいかに…!?</t>
  </si>
  <si>
    <t>1807_CX_月21</t>
  </si>
  <si>
    <t>絶対零度</t>
  </si>
  <si>
    <t>番組名絶対零度　～未然犯罪潜入捜査～【予測された未来の凶悪犯罪を止めろ】　#01</t>
  </si>
  <si>
    <r>
      <rPr>
        <rFont val="ＭＳ Ｐゴシック"/>
        <sz val="10.0"/>
      </rPr>
      <t>公安のエリート刑事だった井沢範人</t>
    </r>
    <r>
      <rPr>
        <rFont val="Arial"/>
        <sz val="10.0"/>
      </rPr>
      <t>(</t>
    </r>
    <r>
      <rPr>
        <rFont val="ＭＳ Ｐゴシック"/>
        <sz val="10.0"/>
      </rPr>
      <t>沢村一樹</t>
    </r>
    <r>
      <rPr>
        <rFont val="Arial"/>
        <sz val="10.0"/>
      </rPr>
      <t>)</t>
    </r>
    <r>
      <rPr>
        <rFont val="ＭＳ Ｐゴシック"/>
        <sz val="10.0"/>
      </rPr>
      <t>は、ある事件がきっかけで総務部資料課分室への異動を命じられる。資料課分室のメンバーは、痴漢容疑者への必要以上の暴行で異動させられた小田切唯</t>
    </r>
    <r>
      <rPr>
        <rFont val="Arial"/>
        <sz val="10.0"/>
      </rPr>
      <t>(</t>
    </r>
    <r>
      <rPr>
        <rFont val="ＭＳ Ｐゴシック"/>
        <sz val="10.0"/>
      </rPr>
      <t>本田翼</t>
    </r>
    <r>
      <rPr>
        <rFont val="Arial"/>
        <sz val="10.0"/>
      </rPr>
      <t>)</t>
    </r>
    <r>
      <rPr>
        <rFont val="ＭＳ Ｐゴシック"/>
        <sz val="10.0"/>
      </rPr>
      <t>、入庁以来ずっと資料課にいる人づき合いが苦手な南彦太郎</t>
    </r>
    <r>
      <rPr>
        <rFont val="Arial"/>
        <sz val="10.0"/>
      </rPr>
      <t>(</t>
    </r>
    <r>
      <rPr>
        <rFont val="ＭＳ Ｐゴシック"/>
        <sz val="10.0"/>
      </rPr>
      <t>柄本時生</t>
    </r>
    <r>
      <rPr>
        <rFont val="Arial"/>
        <sz val="10.0"/>
      </rPr>
      <t>)</t>
    </r>
    <r>
      <rPr>
        <rFont val="ＭＳ Ｐゴシック"/>
        <sz val="10.0"/>
      </rPr>
      <t>、さまざまな部署をたらい回しにされてきた田村薫</t>
    </r>
    <r>
      <rPr>
        <rFont val="Arial"/>
        <sz val="10.0"/>
      </rPr>
      <t>(</t>
    </r>
    <r>
      <rPr>
        <rFont val="ＭＳ Ｐゴシック"/>
        <sz val="10.0"/>
      </rPr>
      <t>平田満</t>
    </r>
    <r>
      <rPr>
        <rFont val="Arial"/>
        <sz val="10.0"/>
      </rPr>
      <t>)</t>
    </r>
    <r>
      <rPr>
        <rFont val="ＭＳ Ｐゴシック"/>
        <sz val="10.0"/>
      </rPr>
      <t>という、警察内のトラブルメーカーばかり。だが、実はこの資料課分室には、刑事企画課特別捜査官・東堂定春</t>
    </r>
    <r>
      <rPr>
        <rFont val="Arial"/>
        <sz val="10.0"/>
      </rPr>
      <t>(</t>
    </r>
    <r>
      <rPr>
        <rFont val="ＭＳ Ｐゴシック"/>
        <sz val="10.0"/>
      </rPr>
      <t>伊藤淳史</t>
    </r>
    <r>
      <rPr>
        <rFont val="Arial"/>
        <sz val="10.0"/>
      </rPr>
      <t>)</t>
    </r>
    <r>
      <rPr>
        <rFont val="ＭＳ Ｐゴシック"/>
        <sz val="10.0"/>
      </rPr>
      <t>を中心に秘密裏に進められてきた重要プロジェクトが託されていた。それは、日本国民のあらゆる個人情報を解析し、過去の犯罪記録と照らし合わせることによって、</t>
    </r>
    <r>
      <rPr>
        <rFont val="Arial"/>
        <sz val="10.0"/>
      </rPr>
      <t>AI</t>
    </r>
    <r>
      <rPr>
        <rFont val="ＭＳ Ｐゴシック"/>
        <sz val="10.0"/>
      </rPr>
      <t>がこれから起こる重大犯罪、主に殺人を犯す可能性が高い危険人物を割り出す未然犯罪捜査システム、通称『ミハン』システムの実用化プロジェクトだった。</t>
    </r>
    <r>
      <rPr>
        <rFont val="Arial"/>
        <sz val="10.0"/>
      </rPr>
      <t xml:space="preserve">  </t>
    </r>
    <r>
      <rPr>
        <rFont val="ＭＳ Ｐゴシック"/>
        <sz val="10.0"/>
      </rPr>
      <t>一方、特殊捜査班のメンバーだった山内徹</t>
    </r>
    <r>
      <rPr>
        <rFont val="Arial"/>
        <sz val="10.0"/>
      </rPr>
      <t>(</t>
    </r>
    <r>
      <rPr>
        <rFont val="ＭＳ Ｐゴシック"/>
        <sz val="10.0"/>
      </rPr>
      <t>横山裕</t>
    </r>
    <r>
      <rPr>
        <rFont val="Arial"/>
        <sz val="10.0"/>
      </rPr>
      <t>)</t>
    </r>
    <r>
      <rPr>
        <rFont val="ＭＳ Ｐゴシック"/>
        <sz val="10.0"/>
      </rPr>
      <t>は、バディを組んでいた桜木泉</t>
    </r>
    <r>
      <rPr>
        <rFont val="Arial"/>
        <sz val="10.0"/>
      </rPr>
      <t>(</t>
    </r>
    <r>
      <rPr>
        <rFont val="ＭＳ Ｐゴシック"/>
        <sz val="10.0"/>
      </rPr>
      <t>上戸彩</t>
    </r>
    <r>
      <rPr>
        <rFont val="Arial"/>
        <sz val="10.0"/>
      </rPr>
      <t>)</t>
    </r>
    <r>
      <rPr>
        <rFont val="ＭＳ Ｐゴシック"/>
        <sz val="10.0"/>
      </rPr>
      <t>の失踪事件を独自に追っていた。だが、やがて捜査は行き詰まり、その無力感と警察組織への不信感から上司を殴ってしまい、資料課分室への異動を命じられる。</t>
    </r>
    <r>
      <rPr>
        <rFont val="Arial"/>
        <sz val="10.0"/>
      </rPr>
      <t xml:space="preserve">  </t>
    </r>
    <r>
      <rPr>
        <rFont val="ＭＳ Ｐゴシック"/>
        <sz val="10.0"/>
      </rPr>
      <t>ミハンシステムが割り出すのは殺人を犯す危険性のある人物。しかし、いつ、どこで、誰を、なぜ殺すのかはわからない。山内は、冤罪を生み出す可能性もあるミハンシステムに対して疑念を抱く。そんな中、テストケース</t>
    </r>
    <r>
      <rPr>
        <rFont val="Arial"/>
        <sz val="10.0"/>
      </rPr>
      <t>No.5</t>
    </r>
    <r>
      <rPr>
        <rFont val="ＭＳ Ｐゴシック"/>
        <sz val="10.0"/>
      </rPr>
      <t>の危険人物が割り出され</t>
    </r>
    <r>
      <rPr>
        <rFont val="Arial"/>
        <sz val="10.0"/>
      </rPr>
      <t>…</t>
    </r>
    <r>
      <rPr>
        <rFont val="ＭＳ Ｐゴシック"/>
        <sz val="10.0"/>
      </rPr>
      <t>。</t>
    </r>
  </si>
  <si>
    <t>公安のエリート刑事だった井沢範人(沢村一樹)は、ある事件がきっかけで総務部資料課分室への異動を命じられる。資料課分室のメンバーは、痴漢容疑者への必要以上の暴行で異動させられた小田切唯(本田翼)、入庁以来ずっと資料課にいる人づき合いが苦手な南彦太郎(柄本時生)、さまざまな部署をたらい回しにされてきた田村薫(平田満)という、警察内のトラブルメーカーばかり。だが、実はこの資料課分室には、刑事企画課特別捜査官・東堂定春(伊藤淳史)を中心に秘密裏に進められてきた重要プロジェクトが託されていた。それは、日本国民のあらゆる個人情報を解析し、過去の犯罪記録と照らし合わせることによって、AIがこれから起こる重大犯罪、主に殺人を犯す可能性が高い危険人物を割り出す未然犯罪捜査システム、通称『ミハン』システムの実用化プロジェクトだった。  一方、特殊捜査班のメンバーだった山内徹(横山裕)は、バディを組んでいた桜木泉(上戸彩)の失踪事件を独自に追っていた。だが、やがて捜査は行き詰まり、その無力感と警察組織への不信感から上司を殴ってしまい、資料課分室への異動を命じられる。  ミハンシステムが割り出すのは殺人を犯す危険性のある人物。しかし、いつ、どこで、誰を、なぜ殺すのかはわからない。山内は、冤罪を生み出す可能性もあるミハンシステムに対して疑念を抱く。そんな中、テストケースNo.5の危険人物が割り出され…。</t>
  </si>
  <si>
    <t>番組名絶対零度　～未然犯罪潜入捜査～【桜木泉の死の真相-そして残された謎】　#02</t>
  </si>
  <si>
    <r>
      <rPr>
        <rFont val="ＭＳ Ｐゴシック"/>
        <sz val="10.0"/>
      </rPr>
      <t>ミハンチームの井沢範人</t>
    </r>
    <r>
      <rPr>
        <rFont val="Arial"/>
        <sz val="10.0"/>
      </rPr>
      <t>(</t>
    </r>
    <r>
      <rPr>
        <rFont val="ＭＳ Ｐゴシック"/>
        <sz val="10.0"/>
      </rPr>
      <t>沢村一樹</t>
    </r>
    <r>
      <rPr>
        <rFont val="Arial"/>
        <sz val="10.0"/>
      </rPr>
      <t>)</t>
    </r>
    <r>
      <rPr>
        <rFont val="ＭＳ Ｐゴシック"/>
        <sz val="10.0"/>
      </rPr>
      <t>と山内徹</t>
    </r>
    <r>
      <rPr>
        <rFont val="Arial"/>
        <sz val="10.0"/>
      </rPr>
      <t>(</t>
    </r>
    <r>
      <rPr>
        <rFont val="ＭＳ Ｐゴシック"/>
        <sz val="10.0"/>
      </rPr>
      <t>横山裕</t>
    </r>
    <r>
      <rPr>
        <rFont val="Arial"/>
        <sz val="10.0"/>
      </rPr>
      <t>)</t>
    </r>
    <r>
      <rPr>
        <rFont val="ＭＳ Ｐゴシック"/>
        <sz val="10.0"/>
      </rPr>
      <t>は、失踪していた特殊班捜査員・桜木泉</t>
    </r>
    <r>
      <rPr>
        <rFont val="Arial"/>
        <sz val="10.0"/>
      </rPr>
      <t>(</t>
    </r>
    <r>
      <rPr>
        <rFont val="ＭＳ Ｐゴシック"/>
        <sz val="10.0"/>
      </rPr>
      <t>上戸彩</t>
    </r>
    <r>
      <rPr>
        <rFont val="Arial"/>
        <sz val="10.0"/>
      </rPr>
      <t>)</t>
    </r>
    <r>
      <rPr>
        <rFont val="ＭＳ Ｐゴシック"/>
        <sz val="10.0"/>
      </rPr>
      <t>がベトナムで殺害され、遺体となって発見されたことを知る。ミハン責任者の東堂定春</t>
    </r>
    <r>
      <rPr>
        <rFont val="Arial"/>
        <sz val="10.0"/>
      </rPr>
      <t>(</t>
    </r>
    <r>
      <rPr>
        <rFont val="ＭＳ Ｐゴシック"/>
        <sz val="10.0"/>
      </rPr>
      <t>伊藤淳史</t>
    </r>
    <r>
      <rPr>
        <rFont val="Arial"/>
        <sz val="10.0"/>
      </rPr>
      <t>)</t>
    </r>
    <r>
      <rPr>
        <rFont val="ＭＳ Ｐゴシック"/>
        <sz val="10.0"/>
      </rPr>
      <t>は、元バディの死に山内が受けたであろうショックを憂慮して捜査から外そうとする。だが山内は、捜査を続けるという。</t>
    </r>
    <r>
      <rPr>
        <rFont val="Arial"/>
        <sz val="10.0"/>
      </rPr>
      <t xml:space="preserve">  </t>
    </r>
    <r>
      <rPr>
        <rFont val="ＭＳ Ｐゴシック"/>
        <sz val="10.0"/>
      </rPr>
      <t xml:space="preserve">　ミハンが割り出した新たな危険人物は、料理人の藤井早紀</t>
    </r>
    <r>
      <rPr>
        <rFont val="Arial"/>
        <sz val="10.0"/>
      </rPr>
      <t>(</t>
    </r>
    <r>
      <rPr>
        <rFont val="ＭＳ Ｐゴシック"/>
        <sz val="10.0"/>
      </rPr>
      <t>黒谷友香</t>
    </r>
    <r>
      <rPr>
        <rFont val="Arial"/>
        <sz val="10.0"/>
      </rPr>
      <t>)</t>
    </r>
    <r>
      <rPr>
        <rFont val="ＭＳ Ｐゴシック"/>
        <sz val="10.0"/>
      </rPr>
      <t>だった。早紀は、有名創作料理店の総料理長であると同時に、</t>
    </r>
    <r>
      <rPr>
        <rFont val="Arial"/>
        <sz val="10.0"/>
      </rPr>
      <t>13</t>
    </r>
    <r>
      <rPr>
        <rFont val="ＭＳ Ｐゴシック"/>
        <sz val="10.0"/>
      </rPr>
      <t>年前から子どもたちに食事を提供する「こども食堂」の運営にも取り組んでいた。ミハンが早紀を危険人物だと判断したのは、植物から抽出した毒物を海外から仕入れていたからだ。しかも彼女は、すでに遺言状を作成しており、死を覚悟している可能性も考えられた。</t>
    </r>
    <r>
      <rPr>
        <rFont val="Arial"/>
        <sz val="10.0"/>
      </rPr>
      <t xml:space="preserve">  </t>
    </r>
    <r>
      <rPr>
        <rFont val="ＭＳ Ｐゴシック"/>
        <sz val="10.0"/>
      </rPr>
      <t xml:space="preserve">　小田切唯</t>
    </r>
    <r>
      <rPr>
        <rFont val="Arial"/>
        <sz val="10.0"/>
      </rPr>
      <t>(</t>
    </r>
    <r>
      <rPr>
        <rFont val="ＭＳ Ｐゴシック"/>
        <sz val="10.0"/>
      </rPr>
      <t>本田翼</t>
    </r>
    <r>
      <rPr>
        <rFont val="Arial"/>
        <sz val="10.0"/>
      </rPr>
      <t>)</t>
    </r>
    <r>
      <rPr>
        <rFont val="ＭＳ Ｐゴシック"/>
        <sz val="10.0"/>
      </rPr>
      <t>は、料理人志望者として早紀に接近。井沢も、早紀が運営するこども食堂のスタッフとして潜入する。ほどなく井沢たちは、早紀が世間を震撼させた少年犯罪ーー関東女子高生連続殺人事件について調べていたことを知る。そして、その犯人が最近、少年刑務所を出所していたことがわかりーー。</t>
    </r>
  </si>
  <si>
    <t>ミハンチームの井沢範人(沢村一樹)と山内徹(横山裕)は、失踪していた特殊班捜査員・桜木泉(上戸彩)がベトナムで殺害され、遺体となって発見されたことを知る。ミハン責任者の東堂定春(伊藤淳史)は、元バディの死に山内が受けたであろうショックを憂慮して捜査から外そうとする。だが山内は、捜査を続けるという。  　ミハンが割り出した新たな危険人物は、料理人の藤井早紀(黒谷友香)だった。早紀は、有名創作料理店の総料理長であると同時に、13年前から子どもたちに食事を提供する「こども食堂」の運営にも取り組んでいた。ミハンが早紀を危険人物だと判断したのは、植物から抽出した毒物を海外から仕入れていたからだ。しかも彼女は、すでに遺言状を作成しており、死を覚悟している可能性も考えられた。  　小田切唯(本田翼)は、料理人志望者として早紀に接近。井沢も、早紀が運営するこども食堂のスタッフとして潜入する。ほどなく井沢たちは、早紀が世間を震撼させた少年犯罪ーー関東女子高生連続殺人事件について調べていたことを知る。そして、その犯人が最近、少年刑務所を出所していたことがわかりーー。</t>
  </si>
  <si>
    <t>番組名絶対零度　～未然犯罪潜入捜査～【昏睡状態で殺人!?予測不能の犯人!】　#03</t>
  </si>
  <si>
    <r>
      <rPr>
        <rFont val="ＭＳ Ｐゴシック"/>
        <sz val="10.0"/>
      </rPr>
      <t>井沢範人</t>
    </r>
    <r>
      <rPr>
        <rFont val="Arial"/>
        <sz val="10.0"/>
      </rPr>
      <t>(</t>
    </r>
    <r>
      <rPr>
        <rFont val="ＭＳ Ｐゴシック"/>
        <sz val="10.0"/>
      </rPr>
      <t>沢村一樹</t>
    </r>
    <r>
      <rPr>
        <rFont val="Arial"/>
        <sz val="10.0"/>
      </rPr>
      <t>)</t>
    </r>
    <r>
      <rPr>
        <rFont val="ＭＳ Ｐゴシック"/>
        <sz val="10.0"/>
      </rPr>
      <t>らは「ミハン」システムが割り出した新たな危険人物・若槻真帆</t>
    </r>
    <r>
      <rPr>
        <rFont val="Arial"/>
        <sz val="10.0"/>
      </rPr>
      <t>(</t>
    </r>
    <r>
      <rPr>
        <rFont val="ＭＳ Ｐゴシック"/>
        <sz val="10.0"/>
      </rPr>
      <t>柴田杏花</t>
    </r>
    <r>
      <rPr>
        <rFont val="Arial"/>
        <sz val="10.0"/>
      </rPr>
      <t>)</t>
    </r>
    <r>
      <rPr>
        <rFont val="ＭＳ Ｐゴシック"/>
        <sz val="10.0"/>
      </rPr>
      <t>の捜査を始める。真帆は、名門私立栄明大学の学生だったが、</t>
    </r>
    <r>
      <rPr>
        <rFont val="Arial"/>
        <sz val="10.0"/>
      </rPr>
      <t>1</t>
    </r>
    <r>
      <rPr>
        <rFont val="ＭＳ Ｐゴシック"/>
        <sz val="10.0"/>
      </rPr>
      <t>年前、ビルから飛び降り自殺を図り、現在も意識不明のまま入院中だった。しかし、先週になって真帆のスマートフォンから彼女が所属していたテニスサークルの</t>
    </r>
    <r>
      <rPr>
        <rFont val="Arial"/>
        <sz val="10.0"/>
      </rPr>
      <t>SNS</t>
    </r>
    <r>
      <rPr>
        <rFont val="ＭＳ Ｐゴシック"/>
        <sz val="10.0"/>
      </rPr>
      <t>グループに「復讐してやる」というメッセージが送られたという。しかも、同じスマートフォンから大量の医療用ニトログリセリンが購入されていた。</t>
    </r>
    <r>
      <rPr>
        <rFont val="Arial"/>
        <sz val="10.0"/>
      </rPr>
      <t xml:space="preserve">  </t>
    </r>
    <r>
      <rPr>
        <rFont val="ＭＳ Ｐゴシック"/>
        <sz val="10.0"/>
      </rPr>
      <t xml:space="preserve">　井沢は、こん睡状態の真帆にはメッセージを送ることもニトロを買うこともできないことから、真犯人は真帆に成りすまして、自殺の復讐をしようとしている可能性を言及し、小田切唯</t>
    </r>
    <r>
      <rPr>
        <rFont val="Arial"/>
        <sz val="10.0"/>
      </rPr>
      <t>(</t>
    </r>
    <r>
      <rPr>
        <rFont val="ＭＳ Ｐゴシック"/>
        <sz val="10.0"/>
      </rPr>
      <t>本田翼</t>
    </r>
    <r>
      <rPr>
        <rFont val="Arial"/>
        <sz val="10.0"/>
      </rPr>
      <t>)</t>
    </r>
    <r>
      <rPr>
        <rFont val="ＭＳ Ｐゴシック"/>
        <sz val="10.0"/>
      </rPr>
      <t>と田村薫</t>
    </r>
    <r>
      <rPr>
        <rFont val="Arial"/>
        <sz val="10.0"/>
      </rPr>
      <t>(</t>
    </r>
    <r>
      <rPr>
        <rFont val="ＭＳ Ｐゴシック"/>
        <sz val="10.0"/>
      </rPr>
      <t>平田満</t>
    </r>
    <r>
      <rPr>
        <rFont val="Arial"/>
        <sz val="10.0"/>
      </rPr>
      <t>)</t>
    </r>
    <r>
      <rPr>
        <rFont val="ＭＳ Ｐゴシック"/>
        <sz val="10.0"/>
      </rPr>
      <t>を入院先の病院へ潜入させる。そこで小田切は、真帆の父親で、プラスチック製品専門の町工場を経営する周作</t>
    </r>
    <r>
      <rPr>
        <rFont val="Arial"/>
        <sz val="10.0"/>
      </rPr>
      <t>(</t>
    </r>
    <r>
      <rPr>
        <rFont val="ＭＳ Ｐゴシック"/>
        <sz val="10.0"/>
      </rPr>
      <t>遠山俊也</t>
    </r>
    <r>
      <rPr>
        <rFont val="Arial"/>
        <sz val="10.0"/>
      </rPr>
      <t>)</t>
    </r>
    <r>
      <rPr>
        <rFont val="ＭＳ Ｐゴシック"/>
        <sz val="10.0"/>
      </rPr>
      <t>に接触する。</t>
    </r>
    <r>
      <rPr>
        <rFont val="Arial"/>
        <sz val="10.0"/>
      </rPr>
      <t xml:space="preserve">  </t>
    </r>
    <r>
      <rPr>
        <rFont val="ＭＳ Ｐゴシック"/>
        <sz val="10.0"/>
      </rPr>
      <t xml:space="preserve">　一方、山内徹</t>
    </r>
    <r>
      <rPr>
        <rFont val="Arial"/>
        <sz val="10.0"/>
      </rPr>
      <t>(</t>
    </r>
    <r>
      <rPr>
        <rFont val="ＭＳ Ｐゴシック"/>
        <sz val="10.0"/>
      </rPr>
      <t>横山裕</t>
    </r>
    <r>
      <rPr>
        <rFont val="Arial"/>
        <sz val="10.0"/>
      </rPr>
      <t>)</t>
    </r>
    <r>
      <rPr>
        <rFont val="ＭＳ Ｐゴシック"/>
        <sz val="10.0"/>
      </rPr>
      <t>は、大手企業の御曹司で、テニスサークルの代表を務める湯川司</t>
    </r>
    <r>
      <rPr>
        <rFont val="Arial"/>
        <sz val="10.0"/>
      </rPr>
      <t>(</t>
    </r>
    <r>
      <rPr>
        <rFont val="ＭＳ Ｐゴシック"/>
        <sz val="10.0"/>
      </rPr>
      <t>佐野岳</t>
    </r>
    <r>
      <rPr>
        <rFont val="Arial"/>
        <sz val="10.0"/>
      </rPr>
      <t>)</t>
    </r>
    <r>
      <rPr>
        <rFont val="ＭＳ Ｐゴシック"/>
        <sz val="10.0"/>
      </rPr>
      <t>が学生起業したカフェバーを訪れる。その店は、サークルメンバーのたまり場で、自殺未遂騒動の後、周作も訪れていた。</t>
    </r>
    <r>
      <rPr>
        <rFont val="Arial"/>
        <sz val="10.0"/>
      </rPr>
      <t xml:space="preserve">  </t>
    </r>
    <r>
      <rPr>
        <rFont val="ＭＳ Ｐゴシック"/>
        <sz val="10.0"/>
      </rPr>
      <t xml:space="preserve">　真帆がなぜ</t>
    </r>
    <r>
      <rPr>
        <rFont val="Arial"/>
        <sz val="10.0"/>
      </rPr>
      <t>1</t>
    </r>
    <r>
      <rPr>
        <rFont val="ＭＳ Ｐゴシック"/>
        <sz val="10.0"/>
      </rPr>
      <t>年前に自殺未遂したのか。そこに今回の危険人物を見つける鍵があるーー小田切は過去のトラウマ</t>
    </r>
    <r>
      <rPr>
        <rFont val="Arial"/>
        <sz val="10.0"/>
      </rPr>
      <t>(</t>
    </r>
    <r>
      <rPr>
        <rFont val="ＭＳ Ｐゴシック"/>
        <sz val="10.0"/>
      </rPr>
      <t>心的外傷</t>
    </r>
    <r>
      <rPr>
        <rFont val="Arial"/>
        <sz val="10.0"/>
      </rPr>
      <t>)</t>
    </r>
    <r>
      <rPr>
        <rFont val="ＭＳ Ｐゴシック"/>
        <sz val="10.0"/>
      </rPr>
      <t>から、この事件にのめりこんでいき</t>
    </r>
    <r>
      <rPr>
        <rFont val="Arial"/>
        <sz val="10.0"/>
      </rPr>
      <t>…</t>
    </r>
    <r>
      <rPr>
        <rFont val="ＭＳ Ｐゴシック"/>
        <sz val="10.0"/>
      </rPr>
      <t>。山内やミハンメンバーはそれを心配するのだがーー。</t>
    </r>
  </si>
  <si>
    <t>井沢範人(沢村一樹)らは「ミハン」システムが割り出した新たな危険人物・若槻真帆(柴田杏花)の捜査を始める。真帆は、名門私立栄明大学の学生だったが、1年前、ビルから飛び降り自殺を図り、現在も意識不明のまま入院中だった。しかし、先週になって真帆のスマートフォンから彼女が所属していたテニスサークルのSNSグループに「復讐してやる」というメッセージが送られたという。しかも、同じスマートフォンから大量の医療用ニトログリセリンが購入されていた。  　井沢は、こん睡状態の真帆にはメッセージを送ることもニトロを買うこともできないことから、真犯人は真帆に成りすまして、自殺の復讐をしようとしている可能性を言及し、小田切唯(本田翼)と田村薫(平田満)を入院先の病院へ潜入させる。そこで小田切は、真帆の父親で、プラスチック製品専門の町工場を経営する周作(遠山俊也)に接触する。  　一方、山内徹(横山裕)は、大手企業の御曹司で、テニスサークルの代表を務める湯川司(佐野岳)が学生起業したカフェバーを訪れる。その店は、サークルメンバーのたまり場で、自殺未遂騒動の後、周作も訪れていた。  　真帆がなぜ1年前に自殺未遂したのか。そこに今回の危険人物を見つける鍵があるーー小田切は過去のトラウマ(心的外傷)から、この事件にのめりこんでいき…。山内やミハンメンバーはそれを心配するのだがーー。</t>
  </si>
  <si>
    <t>番組名絶対零度　～未然犯罪潜入捜査～【銀行員が殺人!?潜入中に強盗発生!】　#04</t>
  </si>
  <si>
    <r>
      <rPr>
        <rFont val="ＭＳ Ｐゴシック"/>
        <sz val="10.0"/>
      </rPr>
      <t>井沢</t>
    </r>
    <r>
      <rPr>
        <rFont val="Arial"/>
        <sz val="10.0"/>
      </rPr>
      <t>(</t>
    </r>
    <r>
      <rPr>
        <rFont val="ＭＳ Ｐゴシック"/>
        <sz val="10.0"/>
      </rPr>
      <t>沢村一樹</t>
    </r>
    <r>
      <rPr>
        <rFont val="Arial"/>
        <sz val="10.0"/>
      </rPr>
      <t>)</t>
    </r>
    <r>
      <rPr>
        <rFont val="ＭＳ Ｐゴシック"/>
        <sz val="10.0"/>
      </rPr>
      <t>たちは「ミハン」がリストアップした危険人物・佐伯卓郎</t>
    </r>
    <r>
      <rPr>
        <rFont val="Arial"/>
        <sz val="10.0"/>
      </rPr>
      <t>(</t>
    </r>
    <r>
      <rPr>
        <rFont val="ＭＳ Ｐゴシック"/>
        <sz val="10.0"/>
      </rPr>
      <t>小野了</t>
    </r>
    <r>
      <rPr>
        <rFont val="Arial"/>
        <sz val="10.0"/>
      </rPr>
      <t>)</t>
    </r>
    <r>
      <rPr>
        <rFont val="ＭＳ Ｐゴシック"/>
        <sz val="10.0"/>
      </rPr>
      <t>の捜査を始める。佐伯は、わかば銀行勤続</t>
    </r>
    <r>
      <rPr>
        <rFont val="Arial"/>
        <sz val="10.0"/>
      </rPr>
      <t>36</t>
    </r>
    <r>
      <rPr>
        <rFont val="ＭＳ Ｐゴシック"/>
        <sz val="10.0"/>
      </rPr>
      <t>年。妻に先立たれてからはアパートでひとり暮らしをしており、毎朝決まった電車で出勤し、定時に真っ直ぐ家に帰る、殺人とは無縁そうな真面目な男だ。だがこの</t>
    </r>
    <r>
      <rPr>
        <rFont val="Arial"/>
        <sz val="10.0"/>
      </rPr>
      <t>1</t>
    </r>
    <r>
      <rPr>
        <rFont val="ＭＳ Ｐゴシック"/>
        <sz val="10.0"/>
      </rPr>
      <t>年の間に多額の出金記録があり、預金残高はわずか。また前夜は、仕事終わりに西麻布の会員制バーに立ち寄っていた。</t>
    </r>
    <r>
      <rPr>
        <rFont val="Arial"/>
        <sz val="10.0"/>
      </rPr>
      <t xml:space="preserve">  </t>
    </r>
    <r>
      <rPr>
        <rFont val="ＭＳ Ｐゴシック"/>
        <sz val="10.0"/>
      </rPr>
      <t xml:space="preserve">　小田切</t>
    </r>
    <r>
      <rPr>
        <rFont val="Arial"/>
        <sz val="10.0"/>
      </rPr>
      <t>(</t>
    </r>
    <r>
      <rPr>
        <rFont val="ＭＳ Ｐゴシック"/>
        <sz val="10.0"/>
      </rPr>
      <t>本田翼</t>
    </r>
    <r>
      <rPr>
        <rFont val="Arial"/>
        <sz val="10.0"/>
      </rPr>
      <t>)</t>
    </r>
    <r>
      <rPr>
        <rFont val="ＭＳ Ｐゴシック"/>
        <sz val="10.0"/>
      </rPr>
      <t>は、行員としてわかば銀行に潜入。そこに、客を装って田村</t>
    </r>
    <r>
      <rPr>
        <rFont val="Arial"/>
        <sz val="10.0"/>
      </rPr>
      <t>(</t>
    </r>
    <r>
      <rPr>
        <rFont val="ＭＳ Ｐゴシック"/>
        <sz val="10.0"/>
      </rPr>
      <t>平田満</t>
    </r>
    <r>
      <rPr>
        <rFont val="Arial"/>
        <sz val="10.0"/>
      </rPr>
      <t>)</t>
    </r>
    <r>
      <rPr>
        <rFont val="ＭＳ Ｐゴシック"/>
        <sz val="10.0"/>
      </rPr>
      <t>もやってくる。その際、意外な事実が判明した。なんと佐伯は、田村の小学校時代の同級生だった。そのとき、行内に銃声が鳴り響き、</t>
    </r>
    <r>
      <rPr>
        <rFont val="Arial"/>
        <sz val="10.0"/>
      </rPr>
      <t>2</t>
    </r>
    <r>
      <rPr>
        <rFont val="ＭＳ Ｐゴシック"/>
        <sz val="10.0"/>
      </rPr>
      <t>人組の強盗が現れる。防犯カメラや通報ボタンの位置を熟知し、テキパキと金を詰め込んでいく強盗たち。しかし、ほどなく警察が駆けつける。外の車で待機していた共犯者が逃走。強盗犯は、小田切らを人質に行内に立てこもる。　山内</t>
    </r>
    <r>
      <rPr>
        <rFont val="Arial"/>
        <sz val="10.0"/>
      </rPr>
      <t>(</t>
    </r>
    <r>
      <rPr>
        <rFont val="ＭＳ Ｐゴシック"/>
        <sz val="10.0"/>
      </rPr>
      <t>横山裕</t>
    </r>
    <r>
      <rPr>
        <rFont val="Arial"/>
        <sz val="10.0"/>
      </rPr>
      <t>)</t>
    </r>
    <r>
      <rPr>
        <rFont val="ＭＳ Ｐゴシック"/>
        <sz val="10.0"/>
      </rPr>
      <t>や南</t>
    </r>
    <r>
      <rPr>
        <rFont val="Arial"/>
        <sz val="10.0"/>
      </rPr>
      <t>(</t>
    </r>
    <r>
      <rPr>
        <rFont val="ＭＳ Ｐゴシック"/>
        <sz val="10.0"/>
      </rPr>
      <t>柄本時生</t>
    </r>
    <r>
      <rPr>
        <rFont val="Arial"/>
        <sz val="10.0"/>
      </rPr>
      <t>)</t>
    </r>
    <r>
      <rPr>
        <rFont val="ＭＳ Ｐゴシック"/>
        <sz val="10.0"/>
      </rPr>
      <t>が予期せぬ事態に緊迫する中、監視カメラで佐伯の動きを注視していた井沢は、佐伯が強盗犯とアイコンタクトをとっていたことに気づく。</t>
    </r>
    <r>
      <rPr>
        <rFont val="Arial"/>
        <sz val="10.0"/>
      </rPr>
      <t xml:space="preserve">  </t>
    </r>
    <r>
      <rPr>
        <rFont val="ＭＳ Ｐゴシック"/>
        <sz val="10.0"/>
      </rPr>
      <t xml:space="preserve">　「佐伯は強盗が入ることを知っていたーー」</t>
    </r>
    <r>
      <rPr>
        <rFont val="Arial"/>
        <sz val="10.0"/>
      </rPr>
      <t xml:space="preserve">  </t>
    </r>
    <r>
      <rPr>
        <rFont val="ＭＳ Ｐゴシック"/>
        <sz val="10.0"/>
      </rPr>
      <t xml:space="preserve">　危険人物である佐伯が、もし強盗を手引きしているとしたら、彼は一体何をしようとしているのか</t>
    </r>
    <r>
      <rPr>
        <rFont val="Arial"/>
        <sz val="10.0"/>
      </rPr>
      <t>!?</t>
    </r>
    <r>
      <rPr>
        <rFont val="ＭＳ Ｐゴシック"/>
        <sz val="10.0"/>
      </rPr>
      <t>山内は、犯行グループの情報を捜査一課に渡すよう進言。しかし東堂</t>
    </r>
    <r>
      <rPr>
        <rFont val="Arial"/>
        <sz val="10.0"/>
      </rPr>
      <t>(</t>
    </r>
    <r>
      <rPr>
        <rFont val="ＭＳ Ｐゴシック"/>
        <sz val="10.0"/>
      </rPr>
      <t>伊藤淳史</t>
    </r>
    <r>
      <rPr>
        <rFont val="Arial"/>
        <sz val="10.0"/>
      </rPr>
      <t>)</t>
    </r>
    <r>
      <rPr>
        <rFont val="ＭＳ Ｐゴシック"/>
        <sz val="10.0"/>
      </rPr>
      <t>はそれを拒否し</t>
    </r>
    <r>
      <rPr>
        <rFont val="Arial"/>
        <sz val="10.0"/>
      </rPr>
      <t>……</t>
    </r>
    <r>
      <rPr>
        <rFont val="ＭＳ Ｐゴシック"/>
        <sz val="10.0"/>
      </rPr>
      <t>。</t>
    </r>
  </si>
  <si>
    <t>井沢(沢村一樹)たちは「ミハン」がリストアップした危険人物・佐伯卓郎(小野了)の捜査を始める。佐伯は、わかば銀行勤続36年。妻に先立たれてからはアパートでひとり暮らしをしており、毎朝決まった電車で出勤し、定時に真っ直ぐ家に帰る、殺人とは無縁そうな真面目な男だ。だがこの1年の間に多額の出金記録があり、預金残高はわずか。また前夜は、仕事終わりに西麻布の会員制バーに立ち寄っていた。  　小田切(本田翼)は、行員としてわかば銀行に潜入。そこに、客を装って田村(平田満)もやってくる。その際、意外な事実が判明した。なんと佐伯は、田村の小学校時代の同級生だった。そのとき、行内に銃声が鳴り響き、2人組の強盗が現れる。防犯カメラや通報ボタンの位置を熟知し、テキパキと金を詰め込んでいく強盗たち。しかし、ほどなく警察が駆けつける。外の車で待機していた共犯者が逃走。強盗犯は、小田切らを人質に行内に立てこもる。　山内(横山裕)や南(柄本時生)が予期せぬ事態に緊迫する中、監視カメラで佐伯の動きを注視していた井沢は、佐伯が強盗犯とアイコンタクトをとっていたことに気づく。  　「佐伯は強盗が入ることを知っていたーー」  　危険人物である佐伯が、もし強盗を手引きしているとしたら、彼は一体何をしようとしているのか!?山内は、犯行グループの情報を捜査一課に渡すよう進言。しかし東堂(伊藤淳史)はそれを拒否し……。</t>
  </si>
  <si>
    <t>番組名絶対零度　～未然犯罪潜入捜査～【美しき少年殺人者!ミハン最大の危機】　#05</t>
  </si>
  <si>
    <r>
      <rPr>
        <rFont val="ＭＳ Ｐゴシック"/>
        <sz val="10.0"/>
      </rPr>
      <t>井沢</t>
    </r>
    <r>
      <rPr>
        <rFont val="Arial"/>
        <sz val="10.0"/>
      </rPr>
      <t>(</t>
    </r>
    <r>
      <rPr>
        <rFont val="ＭＳ Ｐゴシック"/>
        <sz val="10.0"/>
      </rPr>
      <t>沢村一樹</t>
    </r>
    <r>
      <rPr>
        <rFont val="Arial"/>
        <sz val="10.0"/>
      </rPr>
      <t>)</t>
    </r>
    <r>
      <rPr>
        <rFont val="ＭＳ Ｐゴシック"/>
        <sz val="10.0"/>
      </rPr>
      <t>たちの前にやってきた東堂</t>
    </r>
    <r>
      <rPr>
        <rFont val="Arial"/>
        <sz val="10.0"/>
      </rPr>
      <t>(</t>
    </r>
    <r>
      <rPr>
        <rFont val="ＭＳ Ｐゴシック"/>
        <sz val="10.0"/>
      </rPr>
      <t>伊藤淳史</t>
    </r>
    <r>
      <rPr>
        <rFont val="Arial"/>
        <sz val="10.0"/>
      </rPr>
      <t>)</t>
    </r>
    <r>
      <rPr>
        <rFont val="ＭＳ Ｐゴシック"/>
        <sz val="10.0"/>
      </rPr>
      <t>は、ミハンシステムがリストアップした新たな危険人物が</t>
    </r>
    <r>
      <rPr>
        <rFont val="Arial"/>
        <sz val="10.0"/>
      </rPr>
      <t>17</t>
    </r>
    <r>
      <rPr>
        <rFont val="ＭＳ Ｐゴシック"/>
        <sz val="10.0"/>
      </rPr>
      <t>歳の高校生であることを告げる。私立青葉中央高校</t>
    </r>
    <r>
      <rPr>
        <rFont val="Arial"/>
        <sz val="10.0"/>
      </rPr>
      <t>2</t>
    </r>
    <r>
      <rPr>
        <rFont val="ＭＳ Ｐゴシック"/>
        <sz val="10.0"/>
      </rPr>
      <t>年の岡崎直樹</t>
    </r>
    <r>
      <rPr>
        <rFont val="Arial"/>
        <sz val="10.0"/>
      </rPr>
      <t>(</t>
    </r>
    <r>
      <rPr>
        <rFont val="ＭＳ Ｐゴシック"/>
        <sz val="10.0"/>
      </rPr>
      <t>道枝駿佑</t>
    </r>
    <r>
      <rPr>
        <rFont val="Arial"/>
        <sz val="10.0"/>
      </rPr>
      <t>)</t>
    </r>
    <r>
      <rPr>
        <rFont val="ＭＳ Ｐゴシック"/>
        <sz val="10.0"/>
      </rPr>
      <t>だ。直樹は、成績はトップクラス、バスケットボール部のエースで、父親は文科省の次期事務次官候補というエリートだ。しかし、世田谷区で動物殺傷事件が相次ぎ、防犯カメラの映像から直樹に疑いがかかっていた。</t>
    </r>
    <r>
      <rPr>
        <rFont val="Arial"/>
        <sz val="10.0"/>
      </rPr>
      <t xml:space="preserve">  </t>
    </r>
    <r>
      <rPr>
        <rFont val="ＭＳ Ｐゴシック"/>
        <sz val="10.0"/>
      </rPr>
      <t>東堂は、動物への虐待や殺傷は殺人事件を起こす予兆であるとして、過去の犯罪事例を提示する。そこには、</t>
    </r>
    <r>
      <rPr>
        <rFont val="Arial"/>
        <sz val="10.0"/>
      </rPr>
      <t>25</t>
    </r>
    <r>
      <rPr>
        <rFont val="ＭＳ Ｐゴシック"/>
        <sz val="10.0"/>
      </rPr>
      <t>年前に起きた練馬台無差別殺傷事件も挙がっていた。</t>
    </r>
    <r>
      <rPr>
        <rFont val="Arial"/>
        <sz val="10.0"/>
      </rPr>
      <t xml:space="preserve">  </t>
    </r>
    <r>
      <rPr>
        <rFont val="ＭＳ Ｐゴシック"/>
        <sz val="10.0"/>
      </rPr>
      <t>山内</t>
    </r>
    <r>
      <rPr>
        <rFont val="Arial"/>
        <sz val="10.0"/>
      </rPr>
      <t>(</t>
    </r>
    <r>
      <rPr>
        <rFont val="ＭＳ Ｐゴシック"/>
        <sz val="10.0"/>
      </rPr>
      <t>横山裕</t>
    </r>
    <r>
      <rPr>
        <rFont val="Arial"/>
        <sz val="10.0"/>
      </rPr>
      <t>)</t>
    </r>
    <r>
      <rPr>
        <rFont val="ＭＳ Ｐゴシック"/>
        <sz val="10.0"/>
      </rPr>
      <t>は、バスケ部の外部指導員として青葉中央高校に潜入する。一方、小田切</t>
    </r>
    <r>
      <rPr>
        <rFont val="Arial"/>
        <sz val="10.0"/>
      </rPr>
      <t>(</t>
    </r>
    <r>
      <rPr>
        <rFont val="ＭＳ Ｐゴシック"/>
        <sz val="10.0"/>
      </rPr>
      <t>本田翼</t>
    </r>
    <r>
      <rPr>
        <rFont val="Arial"/>
        <sz val="10.0"/>
      </rPr>
      <t>)</t>
    </r>
    <r>
      <rPr>
        <rFont val="ＭＳ Ｐゴシック"/>
        <sz val="10.0"/>
      </rPr>
      <t>と田村</t>
    </r>
    <r>
      <rPr>
        <rFont val="Arial"/>
        <sz val="10.0"/>
      </rPr>
      <t>(</t>
    </r>
    <r>
      <rPr>
        <rFont val="ＭＳ Ｐゴシック"/>
        <sz val="10.0"/>
      </rPr>
      <t>平田満</t>
    </r>
    <r>
      <rPr>
        <rFont val="Arial"/>
        <sz val="10.0"/>
      </rPr>
      <t>)</t>
    </r>
    <r>
      <rPr>
        <rFont val="ＭＳ Ｐゴシック"/>
        <sz val="10.0"/>
      </rPr>
      <t>は、制服警官になりすまし、岡崎家周辺の住人から情報を集めようとする。そこに現れたのが、大手新聞社の元記者で、凶悪犯罪のルポを何冊も出版しているジャーナリストの川上邦明</t>
    </r>
    <r>
      <rPr>
        <rFont val="Arial"/>
        <sz val="10.0"/>
      </rPr>
      <t>(</t>
    </r>
    <r>
      <rPr>
        <rFont val="ＭＳ Ｐゴシック"/>
        <sz val="10.0"/>
      </rPr>
      <t>近藤公園</t>
    </r>
    <r>
      <rPr>
        <rFont val="Arial"/>
        <sz val="10.0"/>
      </rPr>
      <t>)</t>
    </r>
    <r>
      <rPr>
        <rFont val="ＭＳ Ｐゴシック"/>
        <sz val="10.0"/>
      </rPr>
      <t>だった。直樹に接触したという川上は、動物殺傷をしている少年少女に会い、殺人衝動をくい止めるために話を聞いているのだという。</t>
    </r>
    <r>
      <rPr>
        <rFont val="Arial"/>
        <sz val="10.0"/>
      </rPr>
      <t xml:space="preserve">  </t>
    </r>
    <r>
      <rPr>
        <rFont val="ＭＳ Ｐゴシック"/>
        <sz val="10.0"/>
      </rPr>
      <t>果たして直樹は、川上との出会いにより、殺人を踏みとどまるのか。それとも、動物殺傷への衝動が、ついに殺人の衝動へと変わるのかーー</t>
    </r>
    <r>
      <rPr>
        <rFont val="Arial"/>
        <sz val="10.0"/>
      </rPr>
      <t>!?</t>
    </r>
    <r>
      <rPr>
        <rFont val="ＭＳ Ｐゴシック"/>
        <sz val="10.0"/>
      </rPr>
      <t>東堂の過去も明らかになっていく中、ミハンメンバーは、</t>
    </r>
    <r>
      <rPr>
        <rFont val="Arial"/>
        <sz val="10.0"/>
      </rPr>
      <t>10</t>
    </r>
    <r>
      <rPr>
        <rFont val="ＭＳ Ｐゴシック"/>
        <sz val="10.0"/>
      </rPr>
      <t>代の危うく揺れ動く殺意を未然に止めることができるのだろうか</t>
    </r>
    <r>
      <rPr>
        <rFont val="Arial"/>
        <sz val="10.0"/>
      </rPr>
      <t>!?</t>
    </r>
  </si>
  <si>
    <t>井沢(沢村一樹)たちの前にやってきた東堂(伊藤淳史)は、ミハンシステムがリストアップした新たな危険人物が17歳の高校生であることを告げる。私立青葉中央高校2年の岡崎直樹(道枝駿佑)だ。直樹は、成績はトップクラス、バスケットボール部のエースで、父親は文科省の次期事務次官候補というエリートだ。しかし、世田谷区で動物殺傷事件が相次ぎ、防犯カメラの映像から直樹に疑いがかかっていた。  東堂は、動物への虐待や殺傷は殺人事件を起こす予兆であるとして、過去の犯罪事例を提示する。そこには、25年前に起きた練馬台無差別殺傷事件も挙がっていた。  山内(横山裕)は、バスケ部の外部指導員として青葉中央高校に潜入する。一方、小田切(本田翼)と田村(平田満)は、制服警官になりすまし、岡崎家周辺の住人から情報を集めようとする。そこに現れたのが、大手新聞社の元記者で、凶悪犯罪のルポを何冊も出版しているジャーナリストの川上邦明(近藤公園)だった。直樹に接触したという川上は、動物殺傷をしている少年少女に会い、殺人衝動をくい止めるために話を聞いているのだという。  果たして直樹は、川上との出会いにより、殺人を踏みとどまるのか。それとも、動物殺傷への衝動が、ついに殺人の衝動へと変わるのかーー!?東堂の過去も明らかになっていく中、ミハンメンバーは、10代の危うく揺れ動く殺意を未然に止めることができるのだろうか!?</t>
  </si>
  <si>
    <t>番組名絶対零度　～未然犯罪潜入捜査～【井沢が容疑者!制裁殺人の悲しき真実】　#06</t>
  </si>
  <si>
    <r>
      <rPr>
        <rFont val="ＭＳ Ｐゴシック"/>
        <sz val="10.0"/>
      </rPr>
      <t>井沢</t>
    </r>
    <r>
      <rPr>
        <rFont val="Arial"/>
        <sz val="10.0"/>
      </rPr>
      <t>(</t>
    </r>
    <r>
      <rPr>
        <rFont val="ＭＳ Ｐゴシック"/>
        <sz val="10.0"/>
      </rPr>
      <t>沢村一樹</t>
    </r>
    <r>
      <rPr>
        <rFont val="Arial"/>
        <sz val="10.0"/>
      </rPr>
      <t>)</t>
    </r>
    <r>
      <rPr>
        <rFont val="ＭＳ Ｐゴシック"/>
        <sz val="10.0"/>
      </rPr>
      <t>たち</t>
    </r>
    <r>
      <rPr>
        <rFont val="Arial"/>
        <sz val="10.0"/>
      </rPr>
      <t>“</t>
    </r>
    <r>
      <rPr>
        <rFont val="ＭＳ Ｐゴシック"/>
        <sz val="10.0"/>
      </rPr>
      <t>ミハン</t>
    </r>
    <r>
      <rPr>
        <rFont val="Arial"/>
        <sz val="10.0"/>
      </rPr>
      <t>"</t>
    </r>
    <r>
      <rPr>
        <rFont val="ＭＳ Ｐゴシック"/>
        <sz val="10.0"/>
      </rPr>
      <t>チームが捜査した事件の関係者に不審な出来事が続いていたことが発覚する。猟銃の誤射で少女を殺し、その罪を別の事件の犯人になすりつけた元最高裁判所長官の小松原</t>
    </r>
    <r>
      <rPr>
        <rFont val="Arial"/>
        <sz val="10.0"/>
      </rPr>
      <t>(</t>
    </r>
    <r>
      <rPr>
        <rFont val="ＭＳ Ｐゴシック"/>
        <sz val="10.0"/>
      </rPr>
      <t>中丸新将</t>
    </r>
    <r>
      <rPr>
        <rFont val="Arial"/>
        <sz val="10.0"/>
      </rPr>
      <t>)</t>
    </r>
    <r>
      <rPr>
        <rFont val="ＭＳ Ｐゴシック"/>
        <sz val="10.0"/>
      </rPr>
      <t>は、点検中のエレベーターに転落して死亡</t>
    </r>
    <r>
      <rPr>
        <rFont val="Arial"/>
        <sz val="10.0"/>
      </rPr>
      <t>(</t>
    </r>
    <r>
      <rPr>
        <rFont val="ＭＳ Ｐゴシック"/>
        <sz val="10.0"/>
      </rPr>
      <t>第</t>
    </r>
    <r>
      <rPr>
        <rFont val="Arial"/>
        <sz val="10.0"/>
      </rPr>
      <t>2</t>
    </r>
    <r>
      <rPr>
        <rFont val="ＭＳ Ｐゴシック"/>
        <sz val="10.0"/>
      </rPr>
      <t>話</t>
    </r>
    <r>
      <rPr>
        <rFont val="Arial"/>
        <sz val="10.0"/>
      </rPr>
      <t>)</t>
    </r>
    <r>
      <rPr>
        <rFont val="ＭＳ Ｐゴシック"/>
        <sz val="10.0"/>
      </rPr>
      <t>。女性暴行を重ねていたエリート大学生の湯川</t>
    </r>
    <r>
      <rPr>
        <rFont val="Arial"/>
        <sz val="10.0"/>
      </rPr>
      <t>(</t>
    </r>
    <r>
      <rPr>
        <rFont val="ＭＳ Ｐゴシック"/>
        <sz val="10.0"/>
      </rPr>
      <t>佐野岳</t>
    </r>
    <r>
      <rPr>
        <rFont val="Arial"/>
        <sz val="10.0"/>
      </rPr>
      <t>)</t>
    </r>
    <r>
      <rPr>
        <rFont val="ＭＳ Ｐゴシック"/>
        <sz val="10.0"/>
      </rPr>
      <t>は、行方不明になり、失踪届が</t>
    </r>
    <r>
      <rPr>
        <rFont val="Arial"/>
        <sz val="10.0"/>
      </rPr>
      <t>…(</t>
    </r>
    <r>
      <rPr>
        <rFont val="ＭＳ Ｐゴシック"/>
        <sz val="10.0"/>
      </rPr>
      <t>第</t>
    </r>
    <r>
      <rPr>
        <rFont val="Arial"/>
        <sz val="10.0"/>
      </rPr>
      <t>3</t>
    </r>
    <r>
      <rPr>
        <rFont val="ＭＳ Ｐゴシック"/>
        <sz val="10.0"/>
      </rPr>
      <t>話</t>
    </r>
    <r>
      <rPr>
        <rFont val="Arial"/>
        <sz val="10.0"/>
      </rPr>
      <t>)</t>
    </r>
    <r>
      <rPr>
        <rFont val="ＭＳ Ｐゴシック"/>
        <sz val="10.0"/>
      </rPr>
      <t>。そして、法の目をかいくぐって何人も殺害した上、未成年者の犯罪を後押ししていたジャーナリストの川上</t>
    </r>
    <r>
      <rPr>
        <rFont val="Arial"/>
        <sz val="10.0"/>
      </rPr>
      <t>(</t>
    </r>
    <r>
      <rPr>
        <rFont val="ＭＳ Ｐゴシック"/>
        <sz val="10.0"/>
      </rPr>
      <t>近藤公園</t>
    </r>
    <r>
      <rPr>
        <rFont val="Arial"/>
        <sz val="10.0"/>
      </rPr>
      <t>)</t>
    </r>
    <r>
      <rPr>
        <rFont val="ＭＳ Ｐゴシック"/>
        <sz val="10.0"/>
      </rPr>
      <t>は、射殺体で見つかったのだ</t>
    </r>
    <r>
      <rPr>
        <rFont val="Arial"/>
        <sz val="10.0"/>
      </rPr>
      <t>(</t>
    </r>
    <r>
      <rPr>
        <rFont val="ＭＳ Ｐゴシック"/>
        <sz val="10.0"/>
      </rPr>
      <t>第</t>
    </r>
    <r>
      <rPr>
        <rFont val="Arial"/>
        <sz val="10.0"/>
      </rPr>
      <t>5</t>
    </r>
    <r>
      <rPr>
        <rFont val="ＭＳ Ｐゴシック"/>
        <sz val="10.0"/>
      </rPr>
      <t>話</t>
    </r>
    <r>
      <rPr>
        <rFont val="Arial"/>
        <sz val="10.0"/>
      </rPr>
      <t>)</t>
    </r>
    <r>
      <rPr>
        <rFont val="ＭＳ Ｐゴシック"/>
        <sz val="10.0"/>
      </rPr>
      <t>。</t>
    </r>
    <r>
      <rPr>
        <rFont val="Arial"/>
        <sz val="10.0"/>
      </rPr>
      <t xml:space="preserve">  </t>
    </r>
    <r>
      <rPr>
        <rFont val="ＭＳ Ｐゴシック"/>
        <sz val="10.0"/>
      </rPr>
      <t xml:space="preserve">　</t>
    </r>
    <r>
      <rPr>
        <rFont val="Arial"/>
        <sz val="10.0"/>
      </rPr>
      <t>3</t>
    </r>
    <r>
      <rPr>
        <rFont val="ＭＳ Ｐゴシック"/>
        <sz val="10.0"/>
      </rPr>
      <t>人は、いずれも法でさばけなかった犯罪者ー。犯人がミハンから得た情報をもとに犯行に及んでいると考えた東堂</t>
    </r>
    <r>
      <rPr>
        <rFont val="Arial"/>
        <sz val="10.0"/>
      </rPr>
      <t>(</t>
    </r>
    <r>
      <rPr>
        <rFont val="ＭＳ Ｐゴシック"/>
        <sz val="10.0"/>
      </rPr>
      <t>伊藤淳史</t>
    </r>
    <r>
      <rPr>
        <rFont val="Arial"/>
        <sz val="10.0"/>
      </rPr>
      <t>)</t>
    </r>
    <r>
      <rPr>
        <rFont val="ＭＳ Ｐゴシック"/>
        <sz val="10.0"/>
      </rPr>
      <t>は「ミハンの情報が外部に漏れている」「内通者がいる」「チーム内に犯人がいる」という</t>
    </r>
    <r>
      <rPr>
        <rFont val="Arial"/>
        <sz val="10.0"/>
      </rPr>
      <t>3</t>
    </r>
    <r>
      <rPr>
        <rFont val="ＭＳ Ｐゴシック"/>
        <sz val="10.0"/>
      </rPr>
      <t>つの可能性に言及する。井沢たちは、防犯カメラの映像などから不審な車両にたどり着くが、所有者の個人情報は改ざんされているようだった。</t>
    </r>
    <r>
      <rPr>
        <rFont val="Arial"/>
        <sz val="10.0"/>
      </rPr>
      <t xml:space="preserve">  </t>
    </r>
    <r>
      <rPr>
        <rFont val="ＭＳ Ｐゴシック"/>
        <sz val="10.0"/>
      </rPr>
      <t xml:space="preserve">　一方、川上の事件を追う捜査一課の早川</t>
    </r>
    <r>
      <rPr>
        <rFont val="Arial"/>
        <sz val="10.0"/>
      </rPr>
      <t>(</t>
    </r>
    <r>
      <rPr>
        <rFont val="ＭＳ Ｐゴシック"/>
        <sz val="10.0"/>
      </rPr>
      <t>マギー</t>
    </r>
    <r>
      <rPr>
        <rFont val="Arial"/>
        <sz val="10.0"/>
      </rPr>
      <t>)</t>
    </r>
    <r>
      <rPr>
        <rFont val="ＭＳ Ｐゴシック"/>
        <sz val="10.0"/>
      </rPr>
      <t>たちは、殺害現場付近で不審な男を見たという目撃者を見つけ、犯人の似顔絵を作成することに。そこには、あるミハンメンバーの顔が。</t>
    </r>
    <r>
      <rPr>
        <rFont val="Arial"/>
        <sz val="10.0"/>
      </rPr>
      <t xml:space="preserve">  </t>
    </r>
    <r>
      <rPr>
        <rFont val="ＭＳ Ｐゴシック"/>
        <sz val="10.0"/>
      </rPr>
      <t xml:space="preserve">　ミハンは一連の犯行を予測していない。ミハンを知り尽くし、犯罪者を誰よりも憎み、事件の再発を防ぎたいと強く願う犯人の正体とは</t>
    </r>
    <r>
      <rPr>
        <rFont val="Arial"/>
        <sz val="10.0"/>
      </rPr>
      <t>?</t>
    </r>
    <r>
      <rPr>
        <rFont val="ＭＳ Ｐゴシック"/>
        <sz val="10.0"/>
      </rPr>
      <t>法で裁けない犯罪者を制裁していた人物が、ついに明らかになる</t>
    </r>
    <r>
      <rPr>
        <rFont val="Arial"/>
        <sz val="10.0"/>
      </rPr>
      <t>!</t>
    </r>
  </si>
  <si>
    <t>井沢(沢村一樹)たち“ミハン"チームが捜査した事件の関係者に不審な出来事が続いていたことが発覚する。猟銃の誤射で少女を殺し、その罪を別の事件の犯人になすりつけた元最高裁判所長官の小松原(中丸新将)は、点検中のエレベーターに転落して死亡(第2話)。女性暴行を重ねていたエリート大学生の湯川(佐野岳)は、行方不明になり、失踪届が…(第3話)。そして、法の目をかいくぐって何人も殺害した上、未成年者の犯罪を後押ししていたジャーナリストの川上(近藤公園)は、射殺体で見つかったのだ(第5話)。  　3人は、いずれも法でさばけなかった犯罪者ー。犯人がミハンから得た情報をもとに犯行に及んでいると考えた東堂(伊藤淳史)は「ミハンの情報が外部に漏れている」「内通者がいる」「チーム内に犯人がいる」という3つの可能性に言及する。井沢たちは、防犯カメラの映像などから不審な車両にたどり着くが、所有者の個人情報は改ざんされているようだった。  　一方、川上の事件を追う捜査一課の早川(マギー)たちは、殺害現場付近で不審な男を見たという目撃者を見つけ、犯人の似顔絵を作成することに。そこには、あるミハンメンバーの顔が。  　ミハンは一連の犯行を予測していない。ミハンを知り尽くし、犯罪者を誰よりも憎み、事件の再発を防ぎたいと強く願う犯人の正体とは?法で裁けない犯罪者を制裁していた人物が、ついに明らかになる!</t>
  </si>
  <si>
    <t>番組名絶対零度　～未然犯罪潜入捜査～【仲間の死を乗り越え凶悪犯を止めろ!】　#07</t>
  </si>
  <si>
    <r>
      <rPr>
        <rFont val="ＭＳ Ｐゴシック"/>
        <sz val="10.0"/>
      </rPr>
      <t>井沢</t>
    </r>
    <r>
      <rPr>
        <rFont val="Arial"/>
        <sz val="10.0"/>
      </rPr>
      <t>(</t>
    </r>
    <r>
      <rPr>
        <rFont val="ＭＳ Ｐゴシック"/>
        <sz val="10.0"/>
      </rPr>
      <t>沢村一樹</t>
    </r>
    <r>
      <rPr>
        <rFont val="Arial"/>
        <sz val="10.0"/>
      </rPr>
      <t>)</t>
    </r>
    <r>
      <rPr>
        <rFont val="ＭＳ Ｐゴシック"/>
        <sz val="10.0"/>
      </rPr>
      <t>たち</t>
    </r>
    <r>
      <rPr>
        <rFont val="Arial"/>
        <sz val="10.0"/>
      </rPr>
      <t>“</t>
    </r>
    <r>
      <rPr>
        <rFont val="ＭＳ Ｐゴシック"/>
        <sz val="10.0"/>
      </rPr>
      <t>ミハン</t>
    </r>
    <r>
      <rPr>
        <rFont val="Arial"/>
        <sz val="10.0"/>
      </rPr>
      <t>"</t>
    </r>
    <r>
      <rPr>
        <rFont val="ＭＳ Ｐゴシック"/>
        <sz val="10.0"/>
      </rPr>
      <t>チームは、田村</t>
    </r>
    <r>
      <rPr>
        <rFont val="Arial"/>
        <sz val="10.0"/>
      </rPr>
      <t>(</t>
    </r>
    <r>
      <rPr>
        <rFont val="ＭＳ Ｐゴシック"/>
        <sz val="10.0"/>
      </rPr>
      <t>平田満</t>
    </r>
    <r>
      <rPr>
        <rFont val="Arial"/>
        <sz val="10.0"/>
      </rPr>
      <t>)</t>
    </r>
    <r>
      <rPr>
        <rFont val="ＭＳ Ｐゴシック"/>
        <sz val="10.0"/>
      </rPr>
      <t>の死に大きなショックを受ける。法で裁けない犯罪者たちに制裁を加えていた田村が残した最後の言葉は「ミハンを必ず実現させてください」。その遺志を受け、東堂</t>
    </r>
    <r>
      <rPr>
        <rFont val="Arial"/>
        <sz val="10.0"/>
      </rPr>
      <t>(</t>
    </r>
    <r>
      <rPr>
        <rFont val="ＭＳ Ｐゴシック"/>
        <sz val="10.0"/>
      </rPr>
      <t>伊藤淳史</t>
    </r>
    <r>
      <rPr>
        <rFont val="Arial"/>
        <sz val="10.0"/>
      </rPr>
      <t>)</t>
    </r>
    <r>
      <rPr>
        <rFont val="ＭＳ Ｐゴシック"/>
        <sz val="10.0"/>
      </rPr>
      <t>は、報告書から田村の名前を削除しミハンとの関わりを消すと、捜査の再開を指示する。山内</t>
    </r>
    <r>
      <rPr>
        <rFont val="Arial"/>
        <sz val="10.0"/>
      </rPr>
      <t>(</t>
    </r>
    <r>
      <rPr>
        <rFont val="ＭＳ Ｐゴシック"/>
        <sz val="10.0"/>
      </rPr>
      <t>横山裕</t>
    </r>
    <r>
      <rPr>
        <rFont val="Arial"/>
        <sz val="10.0"/>
      </rPr>
      <t>)</t>
    </r>
    <r>
      <rPr>
        <rFont val="ＭＳ Ｐゴシック"/>
        <sz val="10.0"/>
      </rPr>
      <t>と小田切</t>
    </r>
    <r>
      <rPr>
        <rFont val="Arial"/>
        <sz val="10.0"/>
      </rPr>
      <t>(</t>
    </r>
    <r>
      <rPr>
        <rFont val="ＭＳ Ｐゴシック"/>
        <sz val="10.0"/>
      </rPr>
      <t>本田翼</t>
    </r>
    <r>
      <rPr>
        <rFont val="Arial"/>
        <sz val="10.0"/>
      </rPr>
      <t>)</t>
    </r>
    <r>
      <rPr>
        <rFont val="ＭＳ Ｐゴシック"/>
        <sz val="10.0"/>
      </rPr>
      <t>は同意したが、南</t>
    </r>
    <r>
      <rPr>
        <rFont val="Arial"/>
        <sz val="10.0"/>
      </rPr>
      <t>(</t>
    </r>
    <r>
      <rPr>
        <rFont val="ＭＳ Ｐゴシック"/>
        <sz val="10.0"/>
      </rPr>
      <t>柄本時生</t>
    </r>
    <r>
      <rPr>
        <rFont val="Arial"/>
        <sz val="10.0"/>
      </rPr>
      <t>)</t>
    </r>
    <r>
      <rPr>
        <rFont val="ＭＳ Ｐゴシック"/>
        <sz val="10.0"/>
      </rPr>
      <t>だけは簡単に田村の死を割り切ることが出来ない。井沢は、そんな南を捜査に連れ出すが、南は拒否して資料課に帰ってしまう</t>
    </r>
    <r>
      <rPr>
        <rFont val="Arial"/>
        <sz val="10.0"/>
      </rPr>
      <t>…</t>
    </r>
    <r>
      <rPr>
        <rFont val="ＭＳ Ｐゴシック"/>
        <sz val="10.0"/>
      </rPr>
      <t>。</t>
    </r>
    <r>
      <rPr>
        <rFont val="Arial"/>
        <sz val="10.0"/>
      </rPr>
      <t xml:space="preserve">  </t>
    </r>
    <r>
      <rPr>
        <rFont val="ＭＳ Ｐゴシック"/>
        <sz val="10.0"/>
      </rPr>
      <t xml:space="preserve">　ミハンが選び出した新たな危険人物は、実体のつかめない麻薬密売組織との関わりの疑いがある新谷啓一</t>
    </r>
    <r>
      <rPr>
        <rFont val="Arial"/>
        <sz val="10.0"/>
      </rPr>
      <t>(</t>
    </r>
    <r>
      <rPr>
        <rFont val="ＭＳ Ｐゴシック"/>
        <sz val="10.0"/>
      </rPr>
      <t>小柳友</t>
    </r>
    <r>
      <rPr>
        <rFont val="Arial"/>
        <sz val="10.0"/>
      </rPr>
      <t>)</t>
    </r>
    <r>
      <rPr>
        <rFont val="ＭＳ Ｐゴシック"/>
        <sz val="10.0"/>
      </rPr>
      <t>という男。組織のボスは「喜多野」という名前だが、その正体は謎に包まれていた。</t>
    </r>
    <r>
      <rPr>
        <rFont val="Arial"/>
        <sz val="10.0"/>
      </rPr>
      <t xml:space="preserve">  </t>
    </r>
    <r>
      <rPr>
        <rFont val="ＭＳ Ｐゴシック"/>
        <sz val="10.0"/>
      </rPr>
      <t xml:space="preserve">　新谷は、取り調べを受けた後、涼子</t>
    </r>
    <r>
      <rPr>
        <rFont val="Arial"/>
        <sz val="10.0"/>
      </rPr>
      <t>(</t>
    </r>
    <r>
      <rPr>
        <rFont val="ＭＳ Ｐゴシック"/>
        <sz val="10.0"/>
      </rPr>
      <t>青野楓</t>
    </r>
    <r>
      <rPr>
        <rFont val="Arial"/>
        <sz val="10.0"/>
      </rPr>
      <t>)</t>
    </r>
    <r>
      <rPr>
        <rFont val="ＭＳ Ｐゴシック"/>
        <sz val="10.0"/>
      </rPr>
      <t>という女性と結婚し、とある団地に引っ越していた。小田切たちは、向かいの棟に張り込み部屋を用意し、監視を始める。「喜多野」の正体をつかむ手がかりは新谷しかいない。「喜多野」とはいったい誰なのか</t>
    </r>
    <r>
      <rPr>
        <rFont val="Arial"/>
        <sz val="10.0"/>
      </rPr>
      <t>!?</t>
    </r>
    <r>
      <rPr>
        <rFont val="ＭＳ Ｐゴシック"/>
        <sz val="10.0"/>
      </rPr>
      <t>危険が迫る中、新谷たちの上階に住む</t>
    </r>
    <r>
      <rPr>
        <rFont val="Arial"/>
        <sz val="10.0"/>
      </rPr>
      <t>7</t>
    </r>
    <r>
      <rPr>
        <rFont val="ＭＳ Ｐゴシック"/>
        <sz val="10.0"/>
      </rPr>
      <t>歳の少年・ユキオ</t>
    </r>
    <r>
      <rPr>
        <rFont val="Arial"/>
        <sz val="10.0"/>
      </rPr>
      <t>(</t>
    </r>
    <r>
      <rPr>
        <rFont val="ＭＳ Ｐゴシック"/>
        <sz val="10.0"/>
      </rPr>
      <t>山城琉飛</t>
    </r>
    <r>
      <rPr>
        <rFont val="Arial"/>
        <sz val="10.0"/>
      </rPr>
      <t>)</t>
    </r>
    <r>
      <rPr>
        <rFont val="ＭＳ Ｐゴシック"/>
        <sz val="10.0"/>
      </rPr>
      <t>が母親から虐待されているらしいことを発見する。</t>
    </r>
    <r>
      <rPr>
        <rFont val="Arial"/>
        <sz val="10.0"/>
      </rPr>
      <t xml:space="preserve">  </t>
    </r>
    <r>
      <rPr>
        <rFont val="ＭＳ Ｐゴシック"/>
        <sz val="10.0"/>
      </rPr>
      <t xml:space="preserve">　その頃、井沢は自らの妻子を殺しながらも立証されず、別件逮捕されていた宇佐美</t>
    </r>
    <r>
      <rPr>
        <rFont val="Arial"/>
        <sz val="10.0"/>
      </rPr>
      <t>(</t>
    </r>
    <r>
      <rPr>
        <rFont val="ＭＳ Ｐゴシック"/>
        <sz val="10.0"/>
      </rPr>
      <t>奥野瑛太</t>
    </r>
    <r>
      <rPr>
        <rFont val="Arial"/>
        <sz val="10.0"/>
      </rPr>
      <t>)</t>
    </r>
    <r>
      <rPr>
        <rFont val="ＭＳ Ｐゴシック"/>
        <sz val="10.0"/>
      </rPr>
      <t>が、まもなく出所することを知る。そして、桜木泉</t>
    </r>
    <r>
      <rPr>
        <rFont val="Arial"/>
        <sz val="10.0"/>
      </rPr>
      <t>(</t>
    </r>
    <r>
      <rPr>
        <rFont val="ＭＳ Ｐゴシック"/>
        <sz val="10.0"/>
      </rPr>
      <t>上戸彩</t>
    </r>
    <r>
      <rPr>
        <rFont val="Arial"/>
        <sz val="10.0"/>
      </rPr>
      <t>)</t>
    </r>
    <r>
      <rPr>
        <rFont val="ＭＳ Ｐゴシック"/>
        <sz val="10.0"/>
      </rPr>
      <t>の事件にも新たな真実が発見されて</t>
    </r>
    <r>
      <rPr>
        <rFont val="Arial"/>
        <sz val="10.0"/>
      </rPr>
      <t>…</t>
    </r>
    <r>
      <rPr>
        <rFont val="ＭＳ Ｐゴシック"/>
        <sz val="10.0"/>
      </rPr>
      <t>。</t>
    </r>
  </si>
  <si>
    <t>井沢(沢村一樹)たち“ミハン"チームは、田村(平田満)の死に大きなショックを受ける。法で裁けない犯罪者たちに制裁を加えていた田村が残した最後の言葉は「ミハンを必ず実現させてください」。その遺志を受け、東堂(伊藤淳史)は、報告書から田村の名前を削除しミハンとの関わりを消すと、捜査の再開を指示する。山内(横山裕)と小田切(本田翼)は同意したが、南(柄本時生)だけは簡単に田村の死を割り切ることが出来ない。井沢は、そんな南を捜査に連れ出すが、南は拒否して資料課に帰ってしまう…。  　ミハンが選び出した新たな危険人物は、実体のつかめない麻薬密売組織との関わりの疑いがある新谷啓一(小柳友)という男。組織のボスは「喜多野」という名前だが、その正体は謎に包まれていた。  　新谷は、取り調べを受けた後、涼子(青野楓)という女性と結婚し、とある団地に引っ越していた。小田切たちは、向かいの棟に張り込み部屋を用意し、監視を始める。「喜多野」の正体をつかむ手がかりは新谷しかいない。「喜多野」とはいったい誰なのか!?危険が迫る中、新谷たちの上階に住む7歳の少年・ユキオ(山城琉飛)が母親から虐待されているらしいことを発見する。  　その頃、井沢は自らの妻子を殺しながらも立証されず、別件逮捕されていた宇佐美(奥野瑛太)が、まもなく出所することを知る。そして、桜木泉(上戸彩)の事件にも新たな真実が発見されて…。</t>
  </si>
  <si>
    <t>番組名絶対零度　～未然犯罪潜入捜査～【北大路欣也、白石麻衣がSPゲスト!】　#08</t>
  </si>
  <si>
    <r>
      <rPr>
        <rFont val="ＭＳ Ｐゴシック"/>
        <sz val="10.0"/>
      </rPr>
      <t>東堂</t>
    </r>
    <r>
      <rPr>
        <rFont val="Arial"/>
        <sz val="10.0"/>
      </rPr>
      <t>(</t>
    </r>
    <r>
      <rPr>
        <rFont val="ＭＳ Ｐゴシック"/>
        <sz val="10.0"/>
      </rPr>
      <t>伊藤淳史</t>
    </r>
    <r>
      <rPr>
        <rFont val="Arial"/>
        <sz val="10.0"/>
      </rPr>
      <t>)</t>
    </r>
    <r>
      <rPr>
        <rFont val="ＭＳ Ｐゴシック"/>
        <sz val="10.0"/>
      </rPr>
      <t>は、新たな危険人物・砂田繭美</t>
    </r>
    <r>
      <rPr>
        <rFont val="Arial"/>
        <sz val="10.0"/>
      </rPr>
      <t>(</t>
    </r>
    <r>
      <rPr>
        <rFont val="ＭＳ Ｐゴシック"/>
        <sz val="10.0"/>
      </rPr>
      <t>白石麻衣</t>
    </r>
    <r>
      <rPr>
        <rFont val="Arial"/>
        <sz val="10.0"/>
      </rPr>
      <t>)</t>
    </r>
    <r>
      <rPr>
        <rFont val="ＭＳ Ｐゴシック"/>
        <sz val="10.0"/>
      </rPr>
      <t>の捜査を指示する。繭美は、市役所の戸籍住民課で働く</t>
    </r>
    <r>
      <rPr>
        <rFont val="Arial"/>
        <sz val="10.0"/>
      </rPr>
      <t>25</t>
    </r>
    <r>
      <rPr>
        <rFont val="ＭＳ Ｐゴシック"/>
        <sz val="10.0"/>
      </rPr>
      <t>歳の女性で、</t>
    </r>
    <r>
      <rPr>
        <rFont val="Arial"/>
        <sz val="10.0"/>
      </rPr>
      <t>1</t>
    </r>
    <r>
      <rPr>
        <rFont val="ＭＳ Ｐゴシック"/>
        <sz val="10.0"/>
      </rPr>
      <t>週間後には結婚式を控えていた。実は繭美は、過去に整形手術を受け、美しい顔を手に入れていた。ミハンが彼女をリストアップしたのは、違法に拳銃を入手していたからだった。幸せの絶頂であるはずの花嫁がなぜ殺人を</t>
    </r>
    <r>
      <rPr>
        <rFont val="Arial"/>
        <sz val="10.0"/>
      </rPr>
      <t>?</t>
    </r>
    <r>
      <rPr>
        <rFont val="ＭＳ Ｐゴシック"/>
        <sz val="10.0"/>
      </rPr>
      <t>ミハンチームは捜査を開始する。</t>
    </r>
    <r>
      <rPr>
        <rFont val="Arial"/>
        <sz val="10.0"/>
      </rPr>
      <t xml:space="preserve">  </t>
    </r>
    <r>
      <rPr>
        <rFont val="ＭＳ Ｐゴシック"/>
        <sz val="10.0"/>
      </rPr>
      <t xml:space="preserve">　井沢</t>
    </r>
    <r>
      <rPr>
        <rFont val="Arial"/>
        <sz val="10.0"/>
      </rPr>
      <t>(</t>
    </r>
    <r>
      <rPr>
        <rFont val="ＭＳ Ｐゴシック"/>
        <sz val="10.0"/>
      </rPr>
      <t>沢村一樹</t>
    </r>
    <r>
      <rPr>
        <rFont val="Arial"/>
        <sz val="10.0"/>
      </rPr>
      <t>)</t>
    </r>
    <r>
      <rPr>
        <rFont val="ＭＳ Ｐゴシック"/>
        <sz val="10.0"/>
      </rPr>
      <t>と小田切</t>
    </r>
    <r>
      <rPr>
        <rFont val="Arial"/>
        <sz val="10.0"/>
      </rPr>
      <t>(</t>
    </r>
    <r>
      <rPr>
        <rFont val="ＭＳ Ｐゴシック"/>
        <sz val="10.0"/>
      </rPr>
      <t>本田翼</t>
    </r>
    <r>
      <rPr>
        <rFont val="Arial"/>
        <sz val="10.0"/>
      </rPr>
      <t>)</t>
    </r>
    <r>
      <rPr>
        <rFont val="ＭＳ Ｐゴシック"/>
        <sz val="10.0"/>
      </rPr>
      <t>は、婚姻届を出しにきた年の差カップルを装って繭美に接触。目の前で痴話げんかを演じてみせ、繭美と親しくなるきっかけを得る。繭美が整形手術を受けたのは</t>
    </r>
    <r>
      <rPr>
        <rFont val="Arial"/>
        <sz val="10.0"/>
      </rPr>
      <t>2</t>
    </r>
    <r>
      <rPr>
        <rFont val="ＭＳ Ｐゴシック"/>
        <sz val="10.0"/>
      </rPr>
      <t>年前。それ以前の彼女の行動を探れば、繭美が誰を殺そうとしているのかわかるかもしれない。井沢は、山内</t>
    </r>
    <r>
      <rPr>
        <rFont val="Arial"/>
        <sz val="10.0"/>
      </rPr>
      <t>(</t>
    </r>
    <r>
      <rPr>
        <rFont val="ＭＳ Ｐゴシック"/>
        <sz val="10.0"/>
      </rPr>
      <t>横山裕</t>
    </r>
    <r>
      <rPr>
        <rFont val="Arial"/>
        <sz val="10.0"/>
      </rPr>
      <t>)</t>
    </r>
    <r>
      <rPr>
        <rFont val="ＭＳ Ｐゴシック"/>
        <sz val="10.0"/>
      </rPr>
      <t>と南</t>
    </r>
    <r>
      <rPr>
        <rFont val="Arial"/>
        <sz val="10.0"/>
      </rPr>
      <t>(</t>
    </r>
    <r>
      <rPr>
        <rFont val="ＭＳ Ｐゴシック"/>
        <sz val="10.0"/>
      </rPr>
      <t>柄本時生</t>
    </r>
    <r>
      <rPr>
        <rFont val="Arial"/>
        <sz val="10.0"/>
      </rPr>
      <t>)</t>
    </r>
    <r>
      <rPr>
        <rFont val="ＭＳ Ｐゴシック"/>
        <sz val="10.0"/>
      </rPr>
      <t>に繭美の過去を探るよう指示する。</t>
    </r>
    <r>
      <rPr>
        <rFont val="Arial"/>
        <sz val="10.0"/>
      </rPr>
      <t xml:space="preserve">  </t>
    </r>
    <r>
      <rPr>
        <rFont val="ＭＳ Ｐゴシック"/>
        <sz val="10.0"/>
      </rPr>
      <t xml:space="preserve">　ある日、井沢と小田切は、繭美からの招待で、彼女の婚約者・神谷統一郎</t>
    </r>
    <r>
      <rPr>
        <rFont val="Arial"/>
        <sz val="10.0"/>
      </rPr>
      <t>(</t>
    </r>
    <r>
      <rPr>
        <rFont val="ＭＳ Ｐゴシック"/>
        <sz val="10.0"/>
      </rPr>
      <t>入江甚儀</t>
    </r>
    <r>
      <rPr>
        <rFont val="Arial"/>
        <sz val="10.0"/>
      </rPr>
      <t>)</t>
    </r>
    <r>
      <rPr>
        <rFont val="ＭＳ Ｐゴシック"/>
        <sz val="10.0"/>
      </rPr>
      <t>の実家を訪れる。統一郎の父・竜太郎</t>
    </r>
    <r>
      <rPr>
        <rFont val="Arial"/>
        <sz val="10.0"/>
      </rPr>
      <t>(</t>
    </r>
    <r>
      <rPr>
        <rFont val="ＭＳ Ｐゴシック"/>
        <sz val="10.0"/>
      </rPr>
      <t>羽場裕一</t>
    </r>
    <r>
      <rPr>
        <rFont val="Arial"/>
        <sz val="10.0"/>
      </rPr>
      <t>)</t>
    </r>
    <r>
      <rPr>
        <rFont val="ＭＳ Ｐゴシック"/>
        <sz val="10.0"/>
      </rPr>
      <t>は慶徳大学の理事長で、統一郎も同大の教務課に勤務していた。息子を溺愛する竜太郎は、統一郎と繭美の結婚を大変喜んでいて、それは絵に描いたような幸せな家族だった。しかし、程なく、彼女の悲しい計画が明らかになっていきーー。</t>
    </r>
    <r>
      <rPr>
        <rFont val="Arial"/>
        <sz val="10.0"/>
      </rPr>
      <t xml:space="preserve">  </t>
    </r>
    <r>
      <rPr>
        <rFont val="ＭＳ Ｐゴシック"/>
        <sz val="10.0"/>
      </rPr>
      <t xml:space="preserve">　そんな中、山内の前に、桜木泉</t>
    </r>
    <r>
      <rPr>
        <rFont val="Arial"/>
        <sz val="10.0"/>
      </rPr>
      <t>(</t>
    </r>
    <r>
      <rPr>
        <rFont val="ＭＳ Ｐゴシック"/>
        <sz val="10.0"/>
      </rPr>
      <t>上戸彩</t>
    </r>
    <r>
      <rPr>
        <rFont val="Arial"/>
        <sz val="10.0"/>
      </rPr>
      <t>)</t>
    </r>
    <r>
      <rPr>
        <rFont val="ＭＳ Ｐゴシック"/>
        <sz val="10.0"/>
      </rPr>
      <t>の元上司でもある長嶋秀夫</t>
    </r>
    <r>
      <rPr>
        <rFont val="Arial"/>
        <sz val="10.0"/>
      </rPr>
      <t>(</t>
    </r>
    <r>
      <rPr>
        <rFont val="ＭＳ Ｐゴシック"/>
        <sz val="10.0"/>
      </rPr>
      <t>北大路欣也</t>
    </r>
    <r>
      <rPr>
        <rFont val="Arial"/>
        <sz val="10.0"/>
      </rPr>
      <t>)</t>
    </r>
    <r>
      <rPr>
        <rFont val="ＭＳ Ｐゴシック"/>
        <sz val="10.0"/>
      </rPr>
      <t>が現れて</t>
    </r>
    <r>
      <rPr>
        <rFont val="Arial"/>
        <sz val="10.0"/>
      </rPr>
      <t>……</t>
    </r>
    <r>
      <rPr>
        <rFont val="ＭＳ Ｐゴシック"/>
        <sz val="10.0"/>
      </rPr>
      <t>。</t>
    </r>
  </si>
  <si>
    <t>東堂(伊藤淳史)は、新たな危険人物・砂田繭美(白石麻衣)の捜査を指示する。繭美は、市役所の戸籍住民課で働く25歳の女性で、1週間後には結婚式を控えていた。実は繭美は、過去に整形手術を受け、美しい顔を手に入れていた。ミハンが彼女をリストアップしたのは、違法に拳銃を入手していたからだった。幸せの絶頂であるはずの花嫁がなぜ殺人を?ミハンチームは捜査を開始する。  　井沢(沢村一樹)と小田切(本田翼)は、婚姻届を出しにきた年の差カップルを装って繭美に接触。目の前で痴話げんかを演じてみせ、繭美と親しくなるきっかけを得る。繭美が整形手術を受けたのは2年前。それ以前の彼女の行動を探れば、繭美が誰を殺そうとしているのかわかるかもしれない。井沢は、山内(横山裕)と南(柄本時生)に繭美の過去を探るよう指示する。  　ある日、井沢と小田切は、繭美からの招待で、彼女の婚約者・神谷統一郎(入江甚儀)の実家を訪れる。統一郎の父・竜太郎(羽場裕一)は慶徳大学の理事長で、統一郎も同大の教務課に勤務していた。息子を溺愛する竜太郎は、統一郎と繭美の結婚を大変喜んでいて、それは絵に描いたような幸せな家族だった。しかし、程なく、彼女の悲しい計画が明らかになっていきーー。  　そんな中、山内の前に、桜木泉(上戸彩)の元上司でもある長嶋秀夫(北大路欣也)が現れて……。</t>
  </si>
  <si>
    <t>番組名絶対零度　～未然犯罪潜入捜査～【桜木泉(上戸彩)は生きていたー!?】　#09</t>
  </si>
  <si>
    <r>
      <rPr>
        <rFont val="ＭＳ Ｐゴシック"/>
        <sz val="10.0"/>
      </rPr>
      <t>井沢</t>
    </r>
    <r>
      <rPr>
        <rFont val="Arial"/>
        <sz val="10.0"/>
      </rPr>
      <t>(</t>
    </r>
    <r>
      <rPr>
        <rFont val="ＭＳ Ｐゴシック"/>
        <sz val="10.0"/>
      </rPr>
      <t>沢村一樹</t>
    </r>
    <r>
      <rPr>
        <rFont val="Arial"/>
        <sz val="10.0"/>
      </rPr>
      <t>)</t>
    </r>
    <r>
      <rPr>
        <rFont val="ＭＳ Ｐゴシック"/>
        <sz val="10.0"/>
      </rPr>
      <t>たち「ミハン」チームは着々と成果を上げ、警視庁上層部は、次のステージとなる法制化に向けて政界に働きかけると東堂</t>
    </r>
    <r>
      <rPr>
        <rFont val="Arial"/>
        <sz val="10.0"/>
      </rPr>
      <t>(</t>
    </r>
    <r>
      <rPr>
        <rFont val="ＭＳ Ｐゴシック"/>
        <sz val="10.0"/>
      </rPr>
      <t>伊藤淳史</t>
    </r>
    <r>
      <rPr>
        <rFont val="Arial"/>
        <sz val="10.0"/>
      </rPr>
      <t>)</t>
    </r>
    <r>
      <rPr>
        <rFont val="ＭＳ Ｐゴシック"/>
        <sz val="10.0"/>
      </rPr>
      <t>に伝える。</t>
    </r>
    <r>
      <rPr>
        <rFont val="Arial"/>
        <sz val="10.0"/>
      </rPr>
      <t xml:space="preserve">  </t>
    </r>
    <r>
      <rPr>
        <rFont val="ＭＳ Ｐゴシック"/>
        <sz val="10.0"/>
      </rPr>
      <t xml:space="preserve">　そんな中「ミハン」が驚くべき危険人物をリストアップした。警護課の捜査員・石塚辰也</t>
    </r>
    <r>
      <rPr>
        <rFont val="Arial"/>
        <sz val="10.0"/>
      </rPr>
      <t>(</t>
    </r>
    <r>
      <rPr>
        <rFont val="ＭＳ Ｐゴシック"/>
        <sz val="10.0"/>
      </rPr>
      <t>高橋努</t>
    </r>
    <r>
      <rPr>
        <rFont val="Arial"/>
        <sz val="10.0"/>
      </rPr>
      <t>)</t>
    </r>
    <r>
      <rPr>
        <rFont val="ＭＳ Ｐゴシック"/>
        <sz val="10.0"/>
      </rPr>
      <t>だ。石塚は要人警護のスペシャリストで、逮捕術、格闘術など、すべての面で突出した能力を持つ男で、井沢自身も面識があった。また、プライベートでは、地域住民に武術を教える活動もしていた。人を守るはずの</t>
    </r>
    <r>
      <rPr>
        <rFont val="Arial"/>
        <sz val="10.0"/>
      </rPr>
      <t>SP</t>
    </r>
    <r>
      <rPr>
        <rFont val="ＭＳ Ｐゴシック"/>
        <sz val="10.0"/>
      </rPr>
      <t>が、人を殺す</t>
    </r>
    <r>
      <rPr>
        <rFont val="Arial"/>
        <sz val="10.0"/>
      </rPr>
      <t xml:space="preserve">!?  </t>
    </r>
    <r>
      <rPr>
        <rFont val="ＭＳ Ｐゴシック"/>
        <sz val="10.0"/>
      </rPr>
      <t xml:space="preserve">　東堂は、モニターに直近</t>
    </r>
    <r>
      <rPr>
        <rFont val="Arial"/>
        <sz val="10.0"/>
      </rPr>
      <t>1</t>
    </r>
    <r>
      <rPr>
        <rFont val="ＭＳ Ｐゴシック"/>
        <sz val="10.0"/>
      </rPr>
      <t>週間の石塚の監視記録を映し出した。そこで山内</t>
    </r>
    <r>
      <rPr>
        <rFont val="Arial"/>
        <sz val="10.0"/>
      </rPr>
      <t>(</t>
    </r>
    <r>
      <rPr>
        <rFont val="ＭＳ Ｐゴシック"/>
        <sz val="10.0"/>
      </rPr>
      <t>横山裕</t>
    </r>
    <r>
      <rPr>
        <rFont val="Arial"/>
        <sz val="10.0"/>
      </rPr>
      <t>)</t>
    </r>
    <r>
      <rPr>
        <rFont val="ＭＳ Ｐゴシック"/>
        <sz val="10.0"/>
      </rPr>
      <t>は、</t>
    </r>
    <r>
      <rPr>
        <rFont val="Arial"/>
        <sz val="10.0"/>
      </rPr>
      <t>2</t>
    </r>
    <r>
      <rPr>
        <rFont val="ＭＳ Ｐゴシック"/>
        <sz val="10.0"/>
      </rPr>
      <t>つの監視映像に映り込んでいる桜木泉</t>
    </r>
    <r>
      <rPr>
        <rFont val="Arial"/>
        <sz val="10.0"/>
      </rPr>
      <t>(</t>
    </r>
    <r>
      <rPr>
        <rFont val="ＭＳ Ｐゴシック"/>
        <sz val="10.0"/>
      </rPr>
      <t>上戸彩</t>
    </r>
    <r>
      <rPr>
        <rFont val="Arial"/>
        <sz val="10.0"/>
      </rPr>
      <t>)</t>
    </r>
    <r>
      <rPr>
        <rFont val="ＭＳ Ｐゴシック"/>
        <sz val="10.0"/>
      </rPr>
      <t>らしき女性の姿に気づく。ベトナムで死んだはずの桜木は生きているのではないか</t>
    </r>
    <r>
      <rPr>
        <rFont val="Arial"/>
        <sz val="10.0"/>
      </rPr>
      <t>…</t>
    </r>
    <r>
      <rPr>
        <rFont val="ＭＳ Ｐゴシック"/>
        <sz val="10.0"/>
      </rPr>
      <t>。だとしたら、彼女はなぜ石塚を追っているのか</t>
    </r>
    <r>
      <rPr>
        <rFont val="Arial"/>
        <sz val="10.0"/>
      </rPr>
      <t>!?</t>
    </r>
    <r>
      <rPr>
        <rFont val="ＭＳ Ｐゴシック"/>
        <sz val="10.0"/>
      </rPr>
      <t>井沢は、今回の危険人物を止めることが、桜木やその先の真実にも繋がっていると考えた。　石塚をマークしていた小田切</t>
    </r>
    <r>
      <rPr>
        <rFont val="Arial"/>
        <sz val="10.0"/>
      </rPr>
      <t>(</t>
    </r>
    <r>
      <rPr>
        <rFont val="ＭＳ Ｐゴシック"/>
        <sz val="10.0"/>
      </rPr>
      <t>本田翼</t>
    </r>
    <r>
      <rPr>
        <rFont val="Arial"/>
        <sz val="10.0"/>
      </rPr>
      <t>)</t>
    </r>
    <r>
      <rPr>
        <rFont val="ＭＳ Ｐゴシック"/>
        <sz val="10.0"/>
      </rPr>
      <t>は、早々に尾行を見破られる。小田切は、資料課分室に所属する警察官であることを打ち明け、格闘技を教えてもらおうと思ったとうそをつく。小田切が井沢の部下であることを知った石塚は、彼女の申し出を受け入れる。</t>
    </r>
    <r>
      <rPr>
        <rFont val="Arial"/>
        <sz val="10.0"/>
      </rPr>
      <t xml:space="preserve">  </t>
    </r>
    <r>
      <rPr>
        <rFont val="ＭＳ Ｐゴシック"/>
        <sz val="10.0"/>
      </rPr>
      <t xml:space="preserve">　一方、山内とともに石塚のマンションに潜入した井沢は、石塚が国家公安委員長・滝本健三</t>
    </r>
    <r>
      <rPr>
        <rFont val="Arial"/>
        <sz val="10.0"/>
      </rPr>
      <t>(</t>
    </r>
    <r>
      <rPr>
        <rFont val="ＭＳ Ｐゴシック"/>
        <sz val="10.0"/>
      </rPr>
      <t>山田明郷</t>
    </r>
    <r>
      <rPr>
        <rFont val="Arial"/>
        <sz val="10.0"/>
      </rPr>
      <t>)</t>
    </r>
    <r>
      <rPr>
        <rFont val="ＭＳ Ｐゴシック"/>
        <sz val="10.0"/>
      </rPr>
      <t>の情報を集めていることを知るが</t>
    </r>
    <r>
      <rPr>
        <rFont val="Arial"/>
        <sz val="10.0"/>
      </rPr>
      <t>…</t>
    </r>
    <r>
      <rPr>
        <rFont val="ＭＳ Ｐゴシック"/>
        <sz val="10.0"/>
      </rPr>
      <t>。</t>
    </r>
  </si>
  <si>
    <t>井沢(沢村一樹)たち「ミハン」チームは着々と成果を上げ、警視庁上層部は、次のステージとなる法制化に向けて政界に働きかけると東堂(伊藤淳史)に伝える。  　そんな中「ミハン」が驚くべき危険人物をリストアップした。警護課の捜査員・石塚辰也(高橋努)だ。石塚は要人警護のスペシャリストで、逮捕術、格闘術など、すべての面で突出した能力を持つ男で、井沢自身も面識があった。また、プライベートでは、地域住民に武術を教える活動もしていた。人を守るはずのSPが、人を殺す!?  　東堂は、モニターに直近1週間の石塚の監視記録を映し出した。そこで山内(横山裕)は、2つの監視映像に映り込んでいる桜木泉(上戸彩)らしき女性の姿に気づく。ベトナムで死んだはずの桜木は生きているのではないか…。だとしたら、彼女はなぜ石塚を追っているのか!?井沢は、今回の危険人物を止めることが、桜木やその先の真実にも繋がっていると考えた。　石塚をマークしていた小田切(本田翼)は、早々に尾行を見破られる。小田切は、資料課分室に所属する警察官であることを打ち明け、格闘技を教えてもらおうと思ったとうそをつく。小田切が井沢の部下であることを知った石塚は、彼女の申し出を受け入れる。  　一方、山内とともに石塚のマンションに潜入した井沢は、石塚が国家公安委員長・滝本健三(山田明郷)の情報を集めていることを知るが…。</t>
  </si>
  <si>
    <t>番組名絶対零度　～未然犯罪潜入捜査～【上戸&amp;北大路!凄絶ラストで完結!】　#10</t>
  </si>
  <si>
    <r>
      <rPr>
        <rFont val="ＭＳ Ｐゴシック"/>
        <sz val="10.0"/>
      </rPr>
      <t>井沢</t>
    </r>
    <r>
      <rPr>
        <rFont val="Arial"/>
        <sz val="10.0"/>
      </rPr>
      <t>(</t>
    </r>
    <r>
      <rPr>
        <rFont val="ＭＳ Ｐゴシック"/>
        <sz val="10.0"/>
      </rPr>
      <t>沢村一樹</t>
    </r>
    <r>
      <rPr>
        <rFont val="Arial"/>
        <sz val="10.0"/>
      </rPr>
      <t>)</t>
    </r>
    <r>
      <rPr>
        <rFont val="ＭＳ Ｐゴシック"/>
        <sz val="10.0"/>
      </rPr>
      <t>は、誘拐ビジネスを手がける犯行グループに拉致された山内</t>
    </r>
    <r>
      <rPr>
        <rFont val="Arial"/>
        <sz val="10.0"/>
      </rPr>
      <t>(</t>
    </r>
    <r>
      <rPr>
        <rFont val="ＭＳ Ｐゴシック"/>
        <sz val="10.0"/>
      </rPr>
      <t>横山裕</t>
    </r>
    <r>
      <rPr>
        <rFont val="Arial"/>
        <sz val="10.0"/>
      </rPr>
      <t>)</t>
    </r>
    <r>
      <rPr>
        <rFont val="ＭＳ Ｐゴシック"/>
        <sz val="10.0"/>
      </rPr>
      <t>の救出に向かう。するとそこに、ベトナムで死んだはずの桜木泉</t>
    </r>
    <r>
      <rPr>
        <rFont val="Arial"/>
        <sz val="10.0"/>
      </rPr>
      <t>(</t>
    </r>
    <r>
      <rPr>
        <rFont val="ＭＳ Ｐゴシック"/>
        <sz val="10.0"/>
      </rPr>
      <t>上戸彩</t>
    </r>
    <r>
      <rPr>
        <rFont val="Arial"/>
        <sz val="10.0"/>
      </rPr>
      <t>)</t>
    </r>
    <r>
      <rPr>
        <rFont val="ＭＳ Ｐゴシック"/>
        <sz val="10.0"/>
      </rPr>
      <t>の姿があった。桜木はすでに犯人たちを倒して拘束していたが、なぜか井沢に銃を向ける。「あなたは、ミハンに組み込まれた人間</t>
    </r>
    <r>
      <rPr>
        <rFont val="Arial"/>
        <sz val="10.0"/>
      </rPr>
      <t>?</t>
    </r>
    <r>
      <rPr>
        <rFont val="ＭＳ Ｐゴシック"/>
        <sz val="10.0"/>
      </rPr>
      <t>」。桜木は憎しみのまなざしで井沢にそう告げると、現場から立ち去る。</t>
    </r>
    <r>
      <rPr>
        <rFont val="Arial"/>
        <sz val="10.0"/>
      </rPr>
      <t xml:space="preserve">  </t>
    </r>
    <r>
      <rPr>
        <rFont val="ＭＳ Ｐゴシック"/>
        <sz val="10.0"/>
      </rPr>
      <t xml:space="preserve">　井沢は、桜木がミハンを知っていたこと、彼女の上司だった長嶋</t>
    </r>
    <r>
      <rPr>
        <rFont val="Arial"/>
        <sz val="10.0"/>
      </rPr>
      <t>(</t>
    </r>
    <r>
      <rPr>
        <rFont val="ＭＳ Ｐゴシック"/>
        <sz val="10.0"/>
      </rPr>
      <t>北大路欣也</t>
    </r>
    <r>
      <rPr>
        <rFont val="Arial"/>
        <sz val="10.0"/>
      </rPr>
      <t>)</t>
    </r>
    <r>
      <rPr>
        <rFont val="ＭＳ Ｐゴシック"/>
        <sz val="10.0"/>
      </rPr>
      <t>が資料課を探っていたことに触れ、何か知っているのか、と東堂</t>
    </r>
    <r>
      <rPr>
        <rFont val="Arial"/>
        <sz val="10.0"/>
      </rPr>
      <t>(</t>
    </r>
    <r>
      <rPr>
        <rFont val="ＭＳ Ｐゴシック"/>
        <sz val="10.0"/>
      </rPr>
      <t>伊藤淳史</t>
    </r>
    <r>
      <rPr>
        <rFont val="Arial"/>
        <sz val="10.0"/>
      </rPr>
      <t>)</t>
    </r>
    <r>
      <rPr>
        <rFont val="ＭＳ Ｐゴシック"/>
        <sz val="10.0"/>
      </rPr>
      <t>に尋ねる。すると東堂は、新たな危険人物を表示する</t>
    </r>
    <r>
      <rPr>
        <rFont val="Arial"/>
        <sz val="10.0"/>
      </rPr>
      <t>…</t>
    </r>
    <r>
      <rPr>
        <rFont val="ＭＳ Ｐゴシック"/>
        <sz val="10.0"/>
      </rPr>
      <t>。それは「桜木泉」。死んだと偽装し、日本に潜伏する彼女は、一体誰を殺そうとしているのか</t>
    </r>
    <r>
      <rPr>
        <rFont val="Arial"/>
        <sz val="10.0"/>
      </rPr>
      <t xml:space="preserve">!?  </t>
    </r>
    <r>
      <rPr>
        <rFont val="ＭＳ Ｐゴシック"/>
        <sz val="10.0"/>
      </rPr>
      <t xml:space="preserve">　桜木を捜査することになったミハンチーム。すべての発端はベトナムにある。現地へ向かった井沢と山内は、桜木の事件を担当した元刑事のグエン</t>
    </r>
    <r>
      <rPr>
        <rFont val="Arial"/>
        <sz val="10.0"/>
      </rPr>
      <t>(</t>
    </r>
    <r>
      <rPr>
        <rFont val="ＭＳ Ｐゴシック"/>
        <sz val="10.0"/>
      </rPr>
      <t>フォンチー</t>
    </r>
    <r>
      <rPr>
        <rFont val="Arial"/>
        <sz val="10.0"/>
      </rPr>
      <t>)</t>
    </r>
    <r>
      <rPr>
        <rFont val="ＭＳ Ｐゴシック"/>
        <sz val="10.0"/>
      </rPr>
      <t>に接触。捜査していく中で、桜木は、証券会社社員の谷口正博</t>
    </r>
    <r>
      <rPr>
        <rFont val="Arial"/>
        <sz val="10.0"/>
      </rPr>
      <t>(</t>
    </r>
    <r>
      <rPr>
        <rFont val="ＭＳ Ｐゴシック"/>
        <sz val="10.0"/>
      </rPr>
      <t>斉藤佑介</t>
    </r>
    <r>
      <rPr>
        <rFont val="Arial"/>
        <sz val="10.0"/>
      </rPr>
      <t>)</t>
    </r>
    <r>
      <rPr>
        <rFont val="ＭＳ Ｐゴシック"/>
        <sz val="10.0"/>
      </rPr>
      <t>を追っていたことが分かる。谷口は、日本からベトナムに赴任した同社の支店長と、その娘・由紀子</t>
    </r>
    <r>
      <rPr>
        <rFont val="Arial"/>
        <sz val="10.0"/>
      </rPr>
      <t>(</t>
    </r>
    <r>
      <rPr>
        <rFont val="ＭＳ Ｐゴシック"/>
        <sz val="10.0"/>
      </rPr>
      <t>桜井ユキ</t>
    </r>
    <r>
      <rPr>
        <rFont val="Arial"/>
        <sz val="10.0"/>
      </rPr>
      <t>)</t>
    </r>
    <r>
      <rPr>
        <rFont val="ＭＳ Ｐゴシック"/>
        <sz val="10.0"/>
      </rPr>
      <t>を殺そうとしていた。谷口を射殺してそれを食い止めたのが、井沢の妻の元同僚だった刑事・赤川武志</t>
    </r>
    <r>
      <rPr>
        <rFont val="Arial"/>
        <sz val="10.0"/>
      </rPr>
      <t>(</t>
    </r>
    <r>
      <rPr>
        <rFont val="ＭＳ Ｐゴシック"/>
        <sz val="10.0"/>
      </rPr>
      <t>須田邦裕</t>
    </r>
    <r>
      <rPr>
        <rFont val="Arial"/>
        <sz val="10.0"/>
      </rPr>
      <t>)</t>
    </r>
    <r>
      <rPr>
        <rFont val="ＭＳ Ｐゴシック"/>
        <sz val="10.0"/>
      </rPr>
      <t>だった。</t>
    </r>
    <r>
      <rPr>
        <rFont val="Arial"/>
        <sz val="10.0"/>
      </rPr>
      <t xml:space="preserve">  </t>
    </r>
    <r>
      <rPr>
        <rFont val="ＭＳ Ｐゴシック"/>
        <sz val="10.0"/>
      </rPr>
      <t xml:space="preserve">　だが事件後、赤川はホテルの屋上から転落死し、その翌日、桜木も失踪していた。謎が深まる中、ミハンと桜木の意外な繋がりが浮かび上がってきて</t>
    </r>
    <r>
      <rPr>
        <rFont val="Arial"/>
        <sz val="10.0"/>
      </rPr>
      <t>…</t>
    </r>
    <r>
      <rPr>
        <rFont val="ＭＳ Ｐゴシック"/>
        <sz val="10.0"/>
      </rPr>
      <t>。</t>
    </r>
  </si>
  <si>
    <t>井沢(沢村一樹)は、誘拐ビジネスを手がける犯行グループに拉致された山内(横山裕)の救出に向かう。するとそこに、ベトナムで死んだはずの桜木泉(上戸彩)の姿があった。桜木はすでに犯人たちを倒して拘束していたが、なぜか井沢に銃を向ける。「あなたは、ミハンに組み込まれた人間?」。桜木は憎しみのまなざしで井沢にそう告げると、現場から立ち去る。  　井沢は、桜木がミハンを知っていたこと、彼女の上司だった長嶋(北大路欣也)が資料課を探っていたことに触れ、何か知っているのか、と東堂(伊藤淳史)に尋ねる。すると東堂は、新たな危険人物を表示する…。それは「桜木泉」。死んだと偽装し、日本に潜伏する彼女は、一体誰を殺そうとしているのか!?  　桜木を捜査することになったミハンチーム。すべての発端はベトナムにある。現地へ向かった井沢と山内は、桜木の事件を担当した元刑事のグエン(フォンチー)に接触。捜査していく中で、桜木は、証券会社社員の谷口正博(斉藤佑介)を追っていたことが分かる。谷口は、日本からベトナムに赴任した同社の支店長と、その娘・由紀子(桜井ユキ)を殺そうとしていた。谷口を射殺してそれを食い止めたのが、井沢の妻の元同僚だった刑事・赤川武志(須田邦裕)だった。  　だが事件後、赤川はホテルの屋上から転落死し、その翌日、桜木も失踪していた。謎が深まる中、ミハンと桜木の意外な繋がりが浮かび上がってきて…。</t>
  </si>
  <si>
    <t>1807_CX_火21</t>
  </si>
  <si>
    <t>健康で文化的な最低限度の生活</t>
  </si>
  <si>
    <t>番組名健康で文化的な最低限度の生活【吉岡里帆主演!新人公務員の奮闘記】　#01</t>
  </si>
  <si>
    <r>
      <rPr>
        <rFont val="ＭＳ Ｐゴシック"/>
        <sz val="10.0"/>
      </rPr>
      <t>安定・平凡を求めて公務員になった義経えみる</t>
    </r>
    <r>
      <rPr>
        <rFont val="Arial"/>
        <sz val="10.0"/>
      </rPr>
      <t>(</t>
    </r>
    <r>
      <rPr>
        <rFont val="ＭＳ Ｐゴシック"/>
        <sz val="10.0"/>
      </rPr>
      <t>吉岡里帆</t>
    </r>
    <r>
      <rPr>
        <rFont val="Arial"/>
        <sz val="10.0"/>
      </rPr>
      <t>)</t>
    </r>
    <r>
      <rPr>
        <rFont val="ＭＳ Ｐゴシック"/>
        <sz val="10.0"/>
      </rPr>
      <t>。これでこの先の人生も安泰だとホッとしたのも束の間、栗橋千奈</t>
    </r>
    <r>
      <rPr>
        <rFont val="Arial"/>
        <sz val="10.0"/>
      </rPr>
      <t>(</t>
    </r>
    <r>
      <rPr>
        <rFont val="ＭＳ Ｐゴシック"/>
        <sz val="10.0"/>
      </rPr>
      <t>川栄李奈</t>
    </r>
    <r>
      <rPr>
        <rFont val="Arial"/>
        <sz val="10.0"/>
      </rPr>
      <t>)</t>
    </r>
    <r>
      <rPr>
        <rFont val="ＭＳ Ｐゴシック"/>
        <sz val="10.0"/>
      </rPr>
      <t>や七条竜一</t>
    </r>
    <r>
      <rPr>
        <rFont val="Arial"/>
        <sz val="10.0"/>
      </rPr>
      <t>(</t>
    </r>
    <r>
      <rPr>
        <rFont val="ＭＳ Ｐゴシック"/>
        <sz val="10.0"/>
      </rPr>
      <t>山田裕貴</t>
    </r>
    <r>
      <rPr>
        <rFont val="Arial"/>
        <sz val="10.0"/>
      </rPr>
      <t>)</t>
    </r>
    <r>
      <rPr>
        <rFont val="ＭＳ Ｐゴシック"/>
        <sz val="10.0"/>
      </rPr>
      <t>ら</t>
    </r>
    <r>
      <rPr>
        <rFont val="Arial"/>
        <sz val="10.0"/>
      </rPr>
      <t>4</t>
    </r>
    <r>
      <rPr>
        <rFont val="ＭＳ Ｐゴシック"/>
        <sz val="10.0"/>
      </rPr>
      <t>人の同期とともに配属されたのは、生活保護受給者を支援する、激務必至の生活課だった</t>
    </r>
    <r>
      <rPr>
        <rFont val="Arial"/>
        <sz val="10.0"/>
      </rPr>
      <t>…</t>
    </r>
    <r>
      <rPr>
        <rFont val="ＭＳ Ｐゴシック"/>
        <sz val="10.0"/>
      </rPr>
      <t>。早速、えみるも先輩ケースワーカーの半田明伸</t>
    </r>
    <r>
      <rPr>
        <rFont val="Arial"/>
        <sz val="10.0"/>
      </rPr>
      <t>(</t>
    </r>
    <r>
      <rPr>
        <rFont val="ＭＳ Ｐゴシック"/>
        <sz val="10.0"/>
      </rPr>
      <t>井浦新</t>
    </r>
    <r>
      <rPr>
        <rFont val="Arial"/>
        <sz val="10.0"/>
      </rPr>
      <t>)</t>
    </r>
    <r>
      <rPr>
        <rFont val="ＭＳ Ｐゴシック"/>
        <sz val="10.0"/>
      </rPr>
      <t>から担当を任されるが、その数なんと</t>
    </r>
    <r>
      <rPr>
        <rFont val="Arial"/>
        <sz val="10.0"/>
      </rPr>
      <t>110</t>
    </r>
    <r>
      <rPr>
        <rFont val="ＭＳ Ｐゴシック"/>
        <sz val="10.0"/>
      </rPr>
      <t>世帯</t>
    </r>
    <r>
      <rPr>
        <rFont val="Arial"/>
        <sz val="10.0"/>
      </rPr>
      <t>!</t>
    </r>
    <r>
      <rPr>
        <rFont val="ＭＳ Ｐゴシック"/>
        <sz val="10.0"/>
      </rPr>
      <t>福祉の知識もなければ人生経験も足りないえみるは、大きな不安と戸惑いの中で、キャリアをスタートさせる。</t>
    </r>
    <r>
      <rPr>
        <rFont val="Arial"/>
        <sz val="10.0"/>
      </rPr>
      <t xml:space="preserve">    </t>
    </r>
    <r>
      <rPr>
        <rFont val="ＭＳ Ｐゴシック"/>
        <sz val="10.0"/>
      </rPr>
      <t>そんなある日、役所に一本の電話が。えみるの担当受給者である電話の主は、突然「これから死にます」とだけ告げ、電話を切ってしまう。大慌てのえみるにたいして、前任者や親族は、いつもの事とまともに取り合おうとしない。しかしこれが、新人のえみるにとってはあまりにショックな事件へと発展してしまう。配属早々、厳しい現実を突きつけられたえみるは、自分なりに受給者たちの人生に寄り添っていかなければならないと決意する。</t>
    </r>
    <r>
      <rPr>
        <rFont val="Arial"/>
        <sz val="10.0"/>
      </rPr>
      <t xml:space="preserve">    </t>
    </r>
    <r>
      <rPr>
        <rFont val="ＭＳ Ｐゴシック"/>
        <sz val="10.0"/>
      </rPr>
      <t>しばらくして、えみるは求職活動中の受給者・阿久沢正男</t>
    </r>
    <r>
      <rPr>
        <rFont val="Arial"/>
        <sz val="10.0"/>
      </rPr>
      <t>(</t>
    </r>
    <r>
      <rPr>
        <rFont val="ＭＳ Ｐゴシック"/>
        <sz val="10.0"/>
      </rPr>
      <t>遠藤憲一</t>
    </r>
    <r>
      <rPr>
        <rFont val="Arial"/>
        <sz val="10.0"/>
      </rPr>
      <t>)</t>
    </r>
    <r>
      <rPr>
        <rFont val="ＭＳ Ｐゴシック"/>
        <sz val="10.0"/>
      </rPr>
      <t>と面談をすることに。阿久沢は、健康上の問題はないのになぜか咳が止まらず、聞けば、一日一食しか食べていないという。えみるから報告を受けた、えみるの上司の京極大輝</t>
    </r>
    <r>
      <rPr>
        <rFont val="Arial"/>
        <sz val="10.0"/>
      </rPr>
      <t>(</t>
    </r>
    <r>
      <rPr>
        <rFont val="ＭＳ Ｐゴシック"/>
        <sz val="10.0"/>
      </rPr>
      <t>田中圭</t>
    </r>
    <r>
      <rPr>
        <rFont val="Arial"/>
        <sz val="10.0"/>
      </rPr>
      <t>)</t>
    </r>
    <r>
      <rPr>
        <rFont val="ＭＳ Ｐゴシック"/>
        <sz val="10.0"/>
      </rPr>
      <t>は、「すぐに家庭訪問。徹底調査</t>
    </r>
    <r>
      <rPr>
        <rFont val="Arial"/>
        <sz val="10.0"/>
      </rPr>
      <t>!</t>
    </r>
    <r>
      <rPr>
        <rFont val="ＭＳ Ｐゴシック"/>
        <sz val="10.0"/>
      </rPr>
      <t>」と指示を出す。意を決して阿久沢の家を訪ねたえみるは、家の中であるものを見つけて</t>
    </r>
    <r>
      <rPr>
        <rFont val="Arial"/>
        <sz val="10.0"/>
      </rPr>
      <t>……!?</t>
    </r>
  </si>
  <si>
    <t>安定・平凡を求めて公務員になった義経えみる(吉岡里帆)。これでこの先の人生も安泰だとホッとしたのも束の間、栗橋千奈(川栄李奈)や七条竜一(山田裕貴)ら4人の同期とともに配属されたのは、生活保護受給者を支援する、激務必至の生活課だった…。早速、えみるも先輩ケースワーカーの半田明伸(井浦新)から担当を任されるが、その数なんと110世帯!福祉の知識もなければ人生経験も足りないえみるは、大きな不安と戸惑いの中で、キャリアをスタートさせる。    そんなある日、役所に一本の電話が。えみるの担当受給者である電話の主は、突然「これから死にます」とだけ告げ、電話を切ってしまう。大慌てのえみるにたいして、前任者や親族は、いつもの事とまともに取り合おうとしない。しかしこれが、新人のえみるにとってはあまりにショックな事件へと発展してしまう。配属早々、厳しい現実を突きつけられたえみるは、自分なりに受給者たちの人生に寄り添っていかなければならないと決意する。    しばらくして、えみるは求職活動中の受給者・阿久沢正男(遠藤憲一)と面談をすることに。阿久沢は、健康上の問題はないのになぜか咳が止まらず、聞けば、一日一食しか食べていないという。えみるから報告を受けた、えみるの上司の京極大輝(田中圭)は、「すぐに家庭訪問。徹底調査!」と指示を出す。意を決して阿久沢の家を訪ねたえみるは、家の中であるものを見つけて……!?</t>
  </si>
  <si>
    <t>番組名健康で文化的な最低限度の生活【不正受給疑惑…裏に高校生の夢と秘密】　#02</t>
  </si>
  <si>
    <r>
      <rPr>
        <rFont val="ＭＳ Ｐゴシック"/>
        <sz val="10.0"/>
      </rPr>
      <t>新人ケースワーカーの義経えみる</t>
    </r>
    <r>
      <rPr>
        <rFont val="Arial"/>
        <sz val="10.0"/>
      </rPr>
      <t>(</t>
    </r>
    <r>
      <rPr>
        <rFont val="ＭＳ Ｐゴシック"/>
        <sz val="10.0"/>
      </rPr>
      <t>吉岡里帆</t>
    </r>
    <r>
      <rPr>
        <rFont val="Arial"/>
        <sz val="10.0"/>
      </rPr>
      <t>)</t>
    </r>
    <r>
      <rPr>
        <rFont val="ＭＳ Ｐゴシック"/>
        <sz val="10.0"/>
      </rPr>
      <t>は、勤務初日から、生活保護を受給する</t>
    </r>
    <r>
      <rPr>
        <rFont val="Arial"/>
        <sz val="10.0"/>
      </rPr>
      <t>110</t>
    </r>
    <r>
      <rPr>
        <rFont val="ＭＳ Ｐゴシック"/>
        <sz val="10.0"/>
      </rPr>
      <t>世帯の担当を任され、不安と戸惑いを抱えながらも受給者と向き合う日々がスタート。配属早々に、担当している受給者が自殺してしまうというショックな出来事に遭遇したえみるだったが、指導係の半田明伸</t>
    </r>
    <r>
      <rPr>
        <rFont val="Arial"/>
        <sz val="10.0"/>
      </rPr>
      <t>(</t>
    </r>
    <r>
      <rPr>
        <rFont val="ＭＳ Ｐゴシック"/>
        <sz val="10.0"/>
      </rPr>
      <t>井浦新</t>
    </r>
    <r>
      <rPr>
        <rFont val="Arial"/>
        <sz val="10.0"/>
      </rPr>
      <t>)</t>
    </r>
    <r>
      <rPr>
        <rFont val="ＭＳ Ｐゴシック"/>
        <sz val="10.0"/>
      </rPr>
      <t>のサポートもあり、時が止まったようにただ借金を返済し続けていた受給者・阿久沢正男</t>
    </r>
    <r>
      <rPr>
        <rFont val="Arial"/>
        <sz val="10.0"/>
      </rPr>
      <t>(</t>
    </r>
    <r>
      <rPr>
        <rFont val="ＭＳ Ｐゴシック"/>
        <sz val="10.0"/>
      </rPr>
      <t>遠藤憲一</t>
    </r>
    <r>
      <rPr>
        <rFont val="Arial"/>
        <sz val="10.0"/>
      </rPr>
      <t>)</t>
    </r>
    <r>
      <rPr>
        <rFont val="ＭＳ Ｐゴシック"/>
        <sz val="10.0"/>
      </rPr>
      <t>の人生の再出発を手助けすることに成功。「この仕事、続けていけるかも</t>
    </r>
    <r>
      <rPr>
        <rFont val="Arial"/>
        <sz val="10.0"/>
      </rPr>
      <t>…</t>
    </r>
    <r>
      <rPr>
        <rFont val="ＭＳ Ｐゴシック"/>
        <sz val="10.0"/>
      </rPr>
      <t>」という思いを胸に、別の受給者である母子家庭の日下部家へ向かう。すると、父親の介護もしているシングルマザーの聡美</t>
    </r>
    <r>
      <rPr>
        <rFont val="Arial"/>
        <sz val="10.0"/>
      </rPr>
      <t>(</t>
    </r>
    <r>
      <rPr>
        <rFont val="ＭＳ Ｐゴシック"/>
        <sz val="10.0"/>
      </rPr>
      <t>江口のりこ</t>
    </r>
    <r>
      <rPr>
        <rFont val="Arial"/>
        <sz val="10.0"/>
      </rPr>
      <t>)</t>
    </r>
    <r>
      <rPr>
        <rFont val="ＭＳ Ｐゴシック"/>
        <sz val="10.0"/>
      </rPr>
      <t>から思わぬ褒め言葉をかけられ、すっかり上機嫌に。ギターに熱中している高校生の息子・欣也</t>
    </r>
    <r>
      <rPr>
        <rFont val="Arial"/>
        <sz val="10.0"/>
      </rPr>
      <t>(</t>
    </r>
    <r>
      <rPr>
        <rFont val="ＭＳ Ｐゴシック"/>
        <sz val="10.0"/>
      </rPr>
      <t>吉村界人</t>
    </r>
    <r>
      <rPr>
        <rFont val="Arial"/>
        <sz val="10.0"/>
      </rPr>
      <t>)</t>
    </r>
    <r>
      <rPr>
        <rFont val="ＭＳ Ｐゴシック"/>
        <sz val="10.0"/>
      </rPr>
      <t>には、音楽の夢を応援すると伝える。</t>
    </r>
    <r>
      <rPr>
        <rFont val="Arial"/>
        <sz val="10.0"/>
      </rPr>
      <t xml:space="preserve">    </t>
    </r>
    <r>
      <rPr>
        <rFont val="ＭＳ Ｐゴシック"/>
        <sz val="10.0"/>
      </rPr>
      <t>しかし、日下部家には、えみるの知らない事情がまだまだ隠されていた</t>
    </r>
    <r>
      <rPr>
        <rFont val="Arial"/>
        <sz val="10.0"/>
      </rPr>
      <t>…</t>
    </r>
    <r>
      <rPr>
        <rFont val="ＭＳ Ｐゴシック"/>
        <sz val="10.0"/>
      </rPr>
      <t>。一方、区役所では、栗橋千奈</t>
    </r>
    <r>
      <rPr>
        <rFont val="Arial"/>
        <sz val="10.0"/>
      </rPr>
      <t>(</t>
    </r>
    <r>
      <rPr>
        <rFont val="ＭＳ Ｐゴシック"/>
        <sz val="10.0"/>
      </rPr>
      <t>川栄李奈</t>
    </r>
    <r>
      <rPr>
        <rFont val="Arial"/>
        <sz val="10.0"/>
      </rPr>
      <t>)</t>
    </r>
    <r>
      <rPr>
        <rFont val="ＭＳ Ｐゴシック"/>
        <sz val="10.0"/>
      </rPr>
      <t>らえみる以外の新人ケースワーカーも、窓口を訪れる受給者たちに悪戦苦闘していた。そんななか、課税調査の結果が判明し、えみるたちは上司の京極大輝</t>
    </r>
    <r>
      <rPr>
        <rFont val="Arial"/>
        <sz val="10.0"/>
      </rPr>
      <t>(</t>
    </r>
    <r>
      <rPr>
        <rFont val="ＭＳ Ｐゴシック"/>
        <sz val="10.0"/>
      </rPr>
      <t>田中圭</t>
    </r>
    <r>
      <rPr>
        <rFont val="Arial"/>
        <sz val="10.0"/>
      </rPr>
      <t>)</t>
    </r>
    <r>
      <rPr>
        <rFont val="ＭＳ Ｐゴシック"/>
        <sz val="10.0"/>
      </rPr>
      <t>から、生活保護を受給しながら収入申告を怠る、いわゆる不正受給について説明を受ける。そして、不正を指摘された世帯のリストを受け取ったえみるは、そこに書かれた</t>
    </r>
    <r>
      <rPr>
        <rFont val="Arial"/>
        <sz val="10.0"/>
      </rPr>
      <t>“</t>
    </r>
    <r>
      <rPr>
        <rFont val="ＭＳ Ｐゴシック"/>
        <sz val="10.0"/>
      </rPr>
      <t>日下部欣也</t>
    </r>
    <r>
      <rPr>
        <rFont val="Arial"/>
        <sz val="10.0"/>
      </rPr>
      <t>"</t>
    </r>
    <r>
      <rPr>
        <rFont val="ＭＳ Ｐゴシック"/>
        <sz val="10.0"/>
      </rPr>
      <t>という名前に、思わず自分の目を疑って</t>
    </r>
    <r>
      <rPr>
        <rFont val="Arial"/>
        <sz val="10.0"/>
      </rPr>
      <t>……!?</t>
    </r>
  </si>
  <si>
    <t>新人ケースワーカーの義経えみる(吉岡里帆)は、勤務初日から、生活保護を受給する110世帯の担当を任され、不安と戸惑いを抱えながらも受給者と向き合う日々がスタート。配属早々に、担当している受給者が自殺してしまうというショックな出来事に遭遇したえみるだったが、指導係の半田明伸(井浦新)のサポートもあり、時が止まったようにただ借金を返済し続けていた受給者・阿久沢正男(遠藤憲一)の人生の再出発を手助けすることに成功。「この仕事、続けていけるかも…」という思いを胸に、別の受給者である母子家庭の日下部家へ向かう。すると、父親の介護もしているシングルマザーの聡美(江口のりこ)から思わぬ褒め言葉をかけられ、すっかり上機嫌に。ギターに熱中している高校生の息子・欣也(吉村界人)には、音楽の夢を応援すると伝える。    しかし、日下部家には、えみるの知らない事情がまだまだ隠されていた…。一方、区役所では、栗橋千奈(川栄李奈)らえみる以外の新人ケースワーカーも、窓口を訪れる受給者たちに悪戦苦闘していた。そんななか、課税調査の結果が判明し、えみるたちは上司の京極大輝(田中圭)から、生活保護を受給しながら収入申告を怠る、いわゆる不正受給について説明を受ける。そして、不正を指摘された世帯のリストを受け取ったえみるは、そこに書かれた“日下部欣也"という名前に、思わず自分の目を疑って……!?</t>
  </si>
  <si>
    <t>番組名健康で文化的な最低限度の生活【夢と金…家族崩壊の危機!絆を取り戻せ】　#03</t>
  </si>
  <si>
    <r>
      <rPr>
        <rFont val="ＭＳ Ｐゴシック"/>
        <sz val="10.0"/>
      </rPr>
      <t>えみる</t>
    </r>
    <r>
      <rPr>
        <rFont val="Arial"/>
        <sz val="10.0"/>
      </rPr>
      <t>(</t>
    </r>
    <r>
      <rPr>
        <rFont val="ＭＳ Ｐゴシック"/>
        <sz val="10.0"/>
      </rPr>
      <t>吉岡里帆</t>
    </r>
    <r>
      <rPr>
        <rFont val="Arial"/>
        <sz val="10.0"/>
      </rPr>
      <t>)</t>
    </r>
    <r>
      <rPr>
        <rFont val="ＭＳ Ｐゴシック"/>
        <sz val="10.0"/>
      </rPr>
      <t>が担当する日下部家で、生活保護費の不正受給が発覚。高校生の欣也</t>
    </r>
    <r>
      <rPr>
        <rFont val="Arial"/>
        <sz val="10.0"/>
      </rPr>
      <t>(</t>
    </r>
    <r>
      <rPr>
        <rFont val="ＭＳ Ｐゴシック"/>
        <sz val="10.0"/>
      </rPr>
      <t>吉村界人</t>
    </r>
    <r>
      <rPr>
        <rFont val="Arial"/>
        <sz val="10.0"/>
      </rPr>
      <t>)</t>
    </r>
    <r>
      <rPr>
        <rFont val="ＭＳ Ｐゴシック"/>
        <sz val="10.0"/>
      </rPr>
      <t>が、母・聡美</t>
    </r>
    <r>
      <rPr>
        <rFont val="Arial"/>
        <sz val="10.0"/>
      </rPr>
      <t>(</t>
    </r>
    <r>
      <rPr>
        <rFont val="ＭＳ Ｐゴシック"/>
        <sz val="10.0"/>
      </rPr>
      <t>江口のりこ</t>
    </r>
    <r>
      <rPr>
        <rFont val="Arial"/>
        <sz val="10.0"/>
      </rPr>
      <t>)</t>
    </r>
    <r>
      <rPr>
        <rFont val="ＭＳ Ｐゴシック"/>
        <sz val="10.0"/>
      </rPr>
      <t>に何も言わずにアルバイトをしていたのだ。生活保護受給世帯では、役所に申告せずに稼いだバイト代は不正受給となり、全額徴収が鉄則。何とかしたいと思ったえみるは、返す金額の一部が免除されるかもしれないと口にする。しかし、その考えはえみるの早とちりで、聡美は再び失意の底へ。また、欣也が今もバイトを続けている事が分かり、徴収額は</t>
    </r>
    <r>
      <rPr>
        <rFont val="Arial"/>
        <sz val="10.0"/>
      </rPr>
      <t>60</t>
    </r>
    <r>
      <rPr>
        <rFont val="ＭＳ Ｐゴシック"/>
        <sz val="10.0"/>
      </rPr>
      <t>万円にも膨れ上がってしまっていた。純粋に音楽の夢を持ち、母を気遣ってバイトしていた欣也も納得がいかないと激しく怒り、ギターをたたき壊す。</t>
    </r>
    <r>
      <rPr>
        <rFont val="Arial"/>
        <sz val="10.0"/>
      </rPr>
      <t xml:space="preserve">    </t>
    </r>
    <r>
      <rPr>
        <rFont val="ＭＳ Ｐゴシック"/>
        <sz val="10.0"/>
      </rPr>
      <t>数日後、話を聞いた京極</t>
    </r>
    <r>
      <rPr>
        <rFont val="Arial"/>
        <sz val="10.0"/>
      </rPr>
      <t>(</t>
    </r>
    <r>
      <rPr>
        <rFont val="ＭＳ Ｐゴシック"/>
        <sz val="10.0"/>
      </rPr>
      <t>田中圭</t>
    </r>
    <r>
      <rPr>
        <rFont val="Arial"/>
        <sz val="10.0"/>
      </rPr>
      <t>)</t>
    </r>
    <r>
      <rPr>
        <rFont val="ＭＳ Ｐゴシック"/>
        <sz val="10.0"/>
      </rPr>
      <t>が、欣也のために使わなくなった古いギターを持ってくる。えみるはいつも厳しい上司の思わぬ優しさに感激。京極からは、それとこれとは話が別だと、改めて全額徴収を命じられるが、えみるはこのギターが日下部家の問題に向き合う突破口にならないかと考える。早速、ギター片手に日下部家を訪ねるが、聡美は「音楽とかやってる場合じゃない」と厳しい口調になり、話し合いは険悪なムードに。</t>
    </r>
    <r>
      <rPr>
        <rFont val="Arial"/>
        <sz val="10.0"/>
      </rPr>
      <t xml:space="preserve">    </t>
    </r>
    <r>
      <rPr>
        <rFont val="ＭＳ Ｐゴシック"/>
        <sz val="10.0"/>
      </rPr>
      <t>不正受給発覚をきっかけに複雑化した日下部家の問題に、どう対応したらいいのか</t>
    </r>
    <r>
      <rPr>
        <rFont val="Arial"/>
        <sz val="10.0"/>
      </rPr>
      <t>…</t>
    </r>
    <r>
      <rPr>
        <rFont val="ＭＳ Ｐゴシック"/>
        <sz val="10.0"/>
      </rPr>
      <t>。思い悩むえみるのもとに、妹・リナが訪ねてくる。リナは「ごめんなさい</t>
    </r>
    <r>
      <rPr>
        <rFont val="Arial"/>
        <sz val="10.0"/>
      </rPr>
      <t>…</t>
    </r>
    <r>
      <rPr>
        <rFont val="ＭＳ Ｐゴシック"/>
        <sz val="10.0"/>
      </rPr>
      <t>」とお金を差し出し、これまで隠していた苦しい胸の内を打ち明けて</t>
    </r>
    <r>
      <rPr>
        <rFont val="Arial"/>
        <sz val="10.0"/>
      </rPr>
      <t>……</t>
    </r>
    <r>
      <rPr>
        <rFont val="ＭＳ Ｐゴシック"/>
        <sz val="10.0"/>
      </rPr>
      <t>。</t>
    </r>
  </si>
  <si>
    <t>えみる(吉岡里帆)が担当する日下部家で、生活保護費の不正受給が発覚。高校生の欣也(吉村界人)が、母・聡美(江口のりこ)に何も言わずにアルバイトをしていたのだ。生活保護受給世帯では、役所に申告せずに稼いだバイト代は不正受給となり、全額徴収が鉄則。何とかしたいと思ったえみるは、返す金額の一部が免除されるかもしれないと口にする。しかし、その考えはえみるの早とちりで、聡美は再び失意の底へ。また、欣也が今もバイトを続けている事が分かり、徴収額は60万円にも膨れ上がってしまっていた。純粋に音楽の夢を持ち、母を気遣ってバイトしていた欣也も納得がいかないと激しく怒り、ギターをたたき壊す。    数日後、話を聞いた京極(田中圭)が、欣也のために使わなくなった古いギターを持ってくる。えみるはいつも厳しい上司の思わぬ優しさに感激。京極からは、それとこれとは話が別だと、改めて全額徴収を命じられるが、えみるはこのギターが日下部家の問題に向き合う突破口にならないかと考える。早速、ギター片手に日下部家を訪ねるが、聡美は「音楽とかやってる場合じゃない」と厳しい口調になり、話し合いは険悪なムードに。    不正受給発覚をきっかけに複雑化した日下部家の問題に、どう対応したらいいのか…。思い悩むえみるのもとに、妹・リナが訪ねてくる。リナは「ごめんなさい…」とお金を差し出し、これまで隠していた苦しい胸の内を打ち明けて……。</t>
  </si>
  <si>
    <t>番組名健康で文化的な最低限度の生活【シングルマザーの孤独…チームで救え!】　#04</t>
  </si>
  <si>
    <r>
      <rPr>
        <rFont val="ＭＳ Ｐゴシック"/>
        <sz val="10.0"/>
      </rPr>
      <t>夫の</t>
    </r>
    <r>
      <rPr>
        <rFont val="Arial"/>
        <sz val="10.0"/>
      </rPr>
      <t>DV</t>
    </r>
    <r>
      <rPr>
        <rFont val="ＭＳ Ｐゴシック"/>
        <sz val="10.0"/>
      </rPr>
      <t>が原因で離婚して以来、生活保護を受けている岩佐朋美</t>
    </r>
    <r>
      <rPr>
        <rFont val="Arial"/>
        <sz val="10.0"/>
      </rPr>
      <t>(</t>
    </r>
    <r>
      <rPr>
        <rFont val="ＭＳ Ｐゴシック"/>
        <sz val="10.0"/>
      </rPr>
      <t>安達祐実</t>
    </r>
    <r>
      <rPr>
        <rFont val="Arial"/>
        <sz val="10.0"/>
      </rPr>
      <t>)</t>
    </r>
    <r>
      <rPr>
        <rFont val="ＭＳ Ｐゴシック"/>
        <sz val="10.0"/>
      </rPr>
      <t>が、七条</t>
    </r>
    <r>
      <rPr>
        <rFont val="Arial"/>
        <sz val="10.0"/>
      </rPr>
      <t>(</t>
    </r>
    <r>
      <rPr>
        <rFont val="ＭＳ Ｐゴシック"/>
        <sz val="10.0"/>
      </rPr>
      <t>山田裕貴</t>
    </r>
    <r>
      <rPr>
        <rFont val="Arial"/>
        <sz val="10.0"/>
      </rPr>
      <t>)</t>
    </r>
    <r>
      <rPr>
        <rFont val="ＭＳ Ｐゴシック"/>
        <sz val="10.0"/>
      </rPr>
      <t>を訪ねて窓口へやって来る。朋美は</t>
    </r>
    <r>
      <rPr>
        <rFont val="Arial"/>
        <sz val="10.0"/>
      </rPr>
      <t>6</t>
    </r>
    <r>
      <rPr>
        <rFont val="ＭＳ Ｐゴシック"/>
        <sz val="10.0"/>
      </rPr>
      <t>歳になる娘の育児をしながら求職活動にも積極的で、七条は朋美に、同じく女手一つで自分を育ててくれた母の姿を重ね、熱心に求職活動を勧める。一方、朋美の面談中に娘の咲</t>
    </r>
    <r>
      <rPr>
        <rFont val="Arial"/>
        <sz val="10.0"/>
      </rPr>
      <t>(</t>
    </r>
    <r>
      <rPr>
        <rFont val="ＭＳ Ｐゴシック"/>
        <sz val="10.0"/>
      </rPr>
      <t>吉澤梨里花</t>
    </r>
    <r>
      <rPr>
        <rFont val="Arial"/>
        <sz val="10.0"/>
      </rPr>
      <t>)</t>
    </r>
    <r>
      <rPr>
        <rFont val="ＭＳ Ｐゴシック"/>
        <sz val="10.0"/>
      </rPr>
      <t>と遊んでいたえみる</t>
    </r>
    <r>
      <rPr>
        <rFont val="Arial"/>
        <sz val="10.0"/>
      </rPr>
      <t>(</t>
    </r>
    <r>
      <rPr>
        <rFont val="ＭＳ Ｐゴシック"/>
        <sz val="10.0"/>
      </rPr>
      <t>吉岡里帆</t>
    </r>
    <r>
      <rPr>
        <rFont val="Arial"/>
        <sz val="10.0"/>
      </rPr>
      <t>)</t>
    </r>
    <r>
      <rPr>
        <rFont val="ＭＳ Ｐゴシック"/>
        <sz val="10.0"/>
      </rPr>
      <t>は、咲の異変に気付き、朋美が咲をストレスのはけ口にしているのではないかと疑う。すぐに七条に相談するが、朋美びいきの七条は、「あの人なら大丈夫」とまともに取り合おうとしない。</t>
    </r>
    <r>
      <rPr>
        <rFont val="Arial"/>
        <sz val="10.0"/>
      </rPr>
      <t xml:space="preserve">  </t>
    </r>
    <r>
      <rPr>
        <rFont val="ＭＳ Ｐゴシック"/>
        <sz val="10.0"/>
      </rPr>
      <t>そんな中、突然、朋美が音信不通に</t>
    </r>
    <r>
      <rPr>
        <rFont val="Arial"/>
        <sz val="10.0"/>
      </rPr>
      <t>…</t>
    </r>
    <r>
      <rPr>
        <rFont val="ＭＳ Ｐゴシック"/>
        <sz val="10.0"/>
      </rPr>
      <t>。</t>
    </r>
    <r>
      <rPr>
        <rFont val="Arial"/>
        <sz val="10.0"/>
      </rPr>
      <t xml:space="preserve">    </t>
    </r>
    <r>
      <rPr>
        <rFont val="ＭＳ Ｐゴシック"/>
        <sz val="10.0"/>
      </rPr>
      <t>七条の上司・京極</t>
    </r>
    <r>
      <rPr>
        <rFont val="Arial"/>
        <sz val="10.0"/>
      </rPr>
      <t>(</t>
    </r>
    <r>
      <rPr>
        <rFont val="ＭＳ Ｐゴシック"/>
        <sz val="10.0"/>
      </rPr>
      <t>田中圭</t>
    </r>
    <r>
      <rPr>
        <rFont val="Arial"/>
        <sz val="10.0"/>
      </rPr>
      <t>)</t>
    </r>
    <r>
      <rPr>
        <rFont val="ＭＳ Ｐゴシック"/>
        <sz val="10.0"/>
      </rPr>
      <t>は、これ以上連絡が取れないなら、朋美の生活保護打ち切りを検討するよう指示する。するとそこへ朋美の妹がやってきて、夫の</t>
    </r>
    <r>
      <rPr>
        <rFont val="Arial"/>
        <sz val="10.0"/>
      </rPr>
      <t>DV</t>
    </r>
    <r>
      <rPr>
        <rFont val="ＭＳ Ｐゴシック"/>
        <sz val="10.0"/>
      </rPr>
      <t>、生活保護を受けている負い目</t>
    </r>
    <r>
      <rPr>
        <rFont val="Arial"/>
        <sz val="10.0"/>
      </rPr>
      <t>…</t>
    </r>
    <r>
      <rPr>
        <rFont val="ＭＳ Ｐゴシック"/>
        <sz val="10.0"/>
      </rPr>
      <t>同年代の生き生きした女性たちと自分の人生を比べ、朋美が追い詰められていると話す。七条は、そんな朋美を心配しつつも、今まで通り「負けないでほしい」「頑張ってほしい」と励ましの言葉をかけ続ける。朋美もやる気を見せるが、その表情から、えみるは、このままでは朋美が壊れてしまうのではと心配する。そして、就労に向けて再び話を進めようとする七条と言い争いになり</t>
    </r>
    <r>
      <rPr>
        <rFont val="Arial"/>
        <sz val="10.0"/>
      </rPr>
      <t>…</t>
    </r>
    <r>
      <rPr>
        <rFont val="ＭＳ Ｐゴシック"/>
        <sz val="10.0"/>
      </rPr>
      <t>。</t>
    </r>
    <r>
      <rPr>
        <rFont val="Arial"/>
        <sz val="10.0"/>
      </rPr>
      <t xml:space="preserve">    </t>
    </r>
    <r>
      <rPr>
        <rFont val="ＭＳ Ｐゴシック"/>
        <sz val="10.0"/>
      </rPr>
      <t>一方、元妻の死を知った阿久沢</t>
    </r>
    <r>
      <rPr>
        <rFont val="Arial"/>
        <sz val="10.0"/>
      </rPr>
      <t>(</t>
    </r>
    <r>
      <rPr>
        <rFont val="ＭＳ Ｐゴシック"/>
        <sz val="10.0"/>
      </rPr>
      <t>遠藤憲一</t>
    </r>
    <r>
      <rPr>
        <rFont val="Arial"/>
        <sz val="10.0"/>
      </rPr>
      <t>)</t>
    </r>
    <r>
      <rPr>
        <rFont val="ＭＳ Ｐゴシック"/>
        <sz val="10.0"/>
      </rPr>
      <t>には、さらなる人生の転機が訪れようとしていて</t>
    </r>
    <r>
      <rPr>
        <rFont val="Arial"/>
        <sz val="10.0"/>
      </rPr>
      <t>…</t>
    </r>
  </si>
  <si>
    <t>夫のDVが原因で離婚して以来、生活保護を受けている岩佐朋美(安達祐実)が、七条(山田裕貴)を訪ねて窓口へやって来る。朋美は6歳になる娘の育児をしながら求職活動にも積極的で、七条は朋美に、同じく女手一つで自分を育ててくれた母の姿を重ね、熱心に求職活動を勧める。一方、朋美の面談中に娘の咲(吉澤梨里花)と遊んでいたえみる(吉岡里帆)は、咲の異変に気付き、朋美が咲をストレスのはけ口にしているのではないかと疑う。すぐに七条に相談するが、朋美びいきの七条は、「あの人なら大丈夫」とまともに取り合おうとしない。  そんな中、突然、朋美が音信不通に…。    七条の上司・京極(田中圭)は、これ以上連絡が取れないなら、朋美の生活保護打ち切りを検討するよう指示する。するとそこへ朋美の妹がやってきて、夫のDV、生活保護を受けている負い目…同年代の生き生きした女性たちと自分の人生を比べ、朋美が追い詰められていると話す。七条は、そんな朋美を心配しつつも、今まで通り「負けないでほしい」「頑張ってほしい」と励ましの言葉をかけ続ける。朋美もやる気を見せるが、その表情から、えみるは、このままでは朋美が壊れてしまうのではと心配する。そして、就労に向けて再び話を進めようとする七条と言い争いになり…。    一方、元妻の死を知った阿久沢(遠藤憲一)には、さらなる人生の転機が訪れようとしていて…</t>
  </si>
  <si>
    <t>番組名健康で文化的な最低限度の生活【親子の謎を解け!対立!半田VS京極】　#05</t>
  </si>
  <si>
    <r>
      <rPr>
        <rFont val="ＭＳ Ｐゴシック"/>
        <sz val="10.0"/>
      </rPr>
      <t>ある日、生活保護を受けたいと一人の男が窓口にやって来る。男の名前は島岡光</t>
    </r>
    <r>
      <rPr>
        <rFont val="Arial"/>
        <sz val="10.0"/>
      </rPr>
      <t>(</t>
    </r>
    <r>
      <rPr>
        <rFont val="ＭＳ Ｐゴシック"/>
        <sz val="10.0"/>
      </rPr>
      <t>しまおかこう</t>
    </r>
    <r>
      <rPr>
        <rFont val="Arial"/>
        <sz val="10.0"/>
      </rPr>
      <t>)(</t>
    </r>
    <r>
      <rPr>
        <rFont val="ＭＳ Ｐゴシック"/>
        <sz val="10.0"/>
      </rPr>
      <t>佐野岳</t>
    </r>
    <r>
      <rPr>
        <rFont val="Arial"/>
        <sz val="10.0"/>
      </rPr>
      <t>)</t>
    </r>
    <r>
      <rPr>
        <rFont val="ＭＳ Ｐゴシック"/>
        <sz val="10.0"/>
      </rPr>
      <t>。島岡は、自分がうつ病であること以外は何も話そうとせず、親族による援助が可能かを確認する</t>
    </r>
    <r>
      <rPr>
        <rFont val="Arial"/>
        <sz val="10.0"/>
      </rPr>
      <t>“</t>
    </r>
    <r>
      <rPr>
        <rFont val="ＭＳ Ｐゴシック"/>
        <sz val="10.0"/>
      </rPr>
      <t>扶養照会</t>
    </r>
    <r>
      <rPr>
        <rFont val="Arial"/>
        <sz val="10.0"/>
      </rPr>
      <t>"</t>
    </r>
    <r>
      <rPr>
        <rFont val="ＭＳ Ｐゴシック"/>
        <sz val="10.0"/>
      </rPr>
      <t>も頑なに拒否。京極</t>
    </r>
    <r>
      <rPr>
        <rFont val="Arial"/>
        <sz val="10.0"/>
      </rPr>
      <t>(</t>
    </r>
    <r>
      <rPr>
        <rFont val="ＭＳ Ｐゴシック"/>
        <sz val="10.0"/>
      </rPr>
      <t>田中圭</t>
    </r>
    <r>
      <rPr>
        <rFont val="Arial"/>
        <sz val="10.0"/>
      </rPr>
      <t>)</t>
    </r>
    <r>
      <rPr>
        <rFont val="ＭＳ Ｐゴシック"/>
        <sz val="10.0"/>
      </rPr>
      <t>は頭を抱えつつ、島岡に生活保護を認めるかどうかを判断するための調査をえみる</t>
    </r>
    <r>
      <rPr>
        <rFont val="Arial"/>
        <sz val="10.0"/>
      </rPr>
      <t>(</t>
    </r>
    <r>
      <rPr>
        <rFont val="ＭＳ Ｐゴシック"/>
        <sz val="10.0"/>
      </rPr>
      <t>吉岡里帆</t>
    </r>
    <r>
      <rPr>
        <rFont val="Arial"/>
        <sz val="10.0"/>
      </rPr>
      <t>)</t>
    </r>
    <r>
      <rPr>
        <rFont val="ＭＳ Ｐゴシック"/>
        <sz val="10.0"/>
      </rPr>
      <t>に指示する。島岡の元を訪ねたえみる</t>
    </r>
    <r>
      <rPr>
        <rFont val="Arial"/>
        <sz val="10.0"/>
      </rPr>
      <t>(</t>
    </r>
    <r>
      <rPr>
        <rFont val="ＭＳ Ｐゴシック"/>
        <sz val="10.0"/>
      </rPr>
      <t>吉岡里帆</t>
    </r>
    <r>
      <rPr>
        <rFont val="Arial"/>
        <sz val="10.0"/>
      </rPr>
      <t>)</t>
    </r>
    <r>
      <rPr>
        <rFont val="ＭＳ Ｐゴシック"/>
        <sz val="10.0"/>
      </rPr>
      <t>は、何とか家族について聞き出そうとするが、島岡は途端に激しい貧乏ゆすりを始め、父親への連絡は「無理なんで」と異常な拒絶を見せる。えみるは、島岡がただ甘えているだけなのではないかと思い、いら立ちを募らせる。</t>
    </r>
    <r>
      <rPr>
        <rFont val="Arial"/>
        <sz val="10.0"/>
      </rPr>
      <t xml:space="preserve">    </t>
    </r>
    <r>
      <rPr>
        <rFont val="ＭＳ Ｐゴシック"/>
        <sz val="10.0"/>
      </rPr>
      <t>仕方なく、戸籍をもとにえみるが島岡の父親のことを調べると、驚きの事実が。島岡は、島岡雷</t>
    </r>
    <r>
      <rPr>
        <rFont val="Arial"/>
        <sz val="10.0"/>
      </rPr>
      <t>(</t>
    </r>
    <r>
      <rPr>
        <rFont val="ＭＳ Ｐゴシック"/>
        <sz val="10.0"/>
      </rPr>
      <t>しまおかあずま</t>
    </r>
    <r>
      <rPr>
        <rFont val="Arial"/>
        <sz val="10.0"/>
      </rPr>
      <t>)(</t>
    </r>
    <r>
      <rPr>
        <rFont val="ＭＳ Ｐゴシック"/>
        <sz val="10.0"/>
      </rPr>
      <t>小市慢太郎</t>
    </r>
    <r>
      <rPr>
        <rFont val="Arial"/>
        <sz val="10.0"/>
      </rPr>
      <t>)</t>
    </r>
    <r>
      <rPr>
        <rFont val="ＭＳ Ｐゴシック"/>
        <sz val="10.0"/>
      </rPr>
      <t>という輝かしい経歴をもつ総合病院の院長の息子だったのだ。父親に収入があると判断した京極は、早速、扶養照会を進めるよう指示するが、島岡が何か人に言えない悩みを抱えているのではないかと考えた半田</t>
    </r>
    <r>
      <rPr>
        <rFont val="Arial"/>
        <sz val="10.0"/>
      </rPr>
      <t>(</t>
    </r>
    <r>
      <rPr>
        <rFont val="ＭＳ Ｐゴシック"/>
        <sz val="10.0"/>
      </rPr>
      <t>井浦新</t>
    </r>
    <r>
      <rPr>
        <rFont val="Arial"/>
        <sz val="10.0"/>
      </rPr>
      <t>)</t>
    </r>
    <r>
      <rPr>
        <rFont val="ＭＳ Ｐゴシック"/>
        <sz val="10.0"/>
      </rPr>
      <t>は、慎重になるべきだと京極に進言。</t>
    </r>
    <r>
      <rPr>
        <rFont val="Arial"/>
        <sz val="10.0"/>
      </rPr>
      <t>2</t>
    </r>
    <r>
      <rPr>
        <rFont val="ＭＳ Ｐゴシック"/>
        <sz val="10.0"/>
      </rPr>
      <t>人の意見は真っ向から対立する。</t>
    </r>
    <r>
      <rPr>
        <rFont val="Arial"/>
        <sz val="10.0"/>
      </rPr>
      <t xml:space="preserve">    </t>
    </r>
    <r>
      <rPr>
        <rFont val="ＭＳ Ｐゴシック"/>
        <sz val="10.0"/>
      </rPr>
      <t>案の定、えみるから扶養照会することを聞かされた島岡は、それを激しく拒否。しかし、どんなに尋ねてもその理由を明かさないため、いら立ちを隠せなくなったえみるは「決まりだから仕方ない」と、島岡の希望を突っぱねる。すると島岡はある行動に出て</t>
    </r>
    <r>
      <rPr>
        <rFont val="Arial"/>
        <sz val="10.0"/>
      </rPr>
      <t>…!?</t>
    </r>
  </si>
  <si>
    <t>ある日、生活保護を受けたいと一人の男が窓口にやって来る。男の名前は島岡光(しまおかこう)(佐野岳)。島岡は、自分がうつ病であること以外は何も話そうとせず、親族による援助が可能かを確認する“扶養照会"も頑なに拒否。京極(田中圭)は頭を抱えつつ、島岡に生活保護を認めるかどうかを判断するための調査をえみる(吉岡里帆)に指示する。島岡の元を訪ねたえみる(吉岡里帆)は、何とか家族について聞き出そうとするが、島岡は途端に激しい貧乏ゆすりを始め、父親への連絡は「無理なんで」と異常な拒絶を見せる。えみるは、島岡がただ甘えているだけなのではないかと思い、いら立ちを募らせる。    仕方なく、戸籍をもとにえみるが島岡の父親のことを調べると、驚きの事実が。島岡は、島岡雷(しまおかあずま)(小市慢太郎)という輝かしい経歴をもつ総合病院の院長の息子だったのだ。父親に収入があると判断した京極は、早速、扶養照会を進めるよう指示するが、島岡が何か人に言えない悩みを抱えているのではないかと考えた半田(井浦新)は、慎重になるべきだと京極に進言。2人の意見は真っ向から対立する。    案の定、えみるから扶養照会することを聞かされた島岡は、それを激しく拒否。しかし、どんなに尋ねてもその理由を明かさないため、いら立ちを隠せなくなったえみるは「決まりだから仕方ない」と、島岡の希望を突っぱねる。すると島岡はある行動に出て…!?</t>
  </si>
  <si>
    <t>番組名健康で文化的な最低限度の生活【親子の謎解明!迫る父の恐怖…京極決断】　#06</t>
  </si>
  <si>
    <r>
      <rPr>
        <rFont val="ＭＳ Ｐゴシック"/>
        <sz val="10.0"/>
      </rPr>
      <t>生活保護の申請にあたり、親族に援助が可能かを確認する</t>
    </r>
    <r>
      <rPr>
        <rFont val="Arial"/>
        <sz val="10.0"/>
      </rPr>
      <t>“</t>
    </r>
    <r>
      <rPr>
        <rFont val="ＭＳ Ｐゴシック"/>
        <sz val="10.0"/>
      </rPr>
      <t>扶養照会</t>
    </r>
    <r>
      <rPr>
        <rFont val="Arial"/>
        <sz val="10.0"/>
      </rPr>
      <t>"</t>
    </r>
    <r>
      <rPr>
        <rFont val="ＭＳ Ｐゴシック"/>
        <sz val="10.0"/>
      </rPr>
      <t>を頑なに拒否し、その理由を決して明かそうとしない島岡</t>
    </r>
    <r>
      <rPr>
        <rFont val="Arial"/>
        <sz val="10.0"/>
      </rPr>
      <t>(</t>
    </r>
    <r>
      <rPr>
        <rFont val="ＭＳ Ｐゴシック"/>
        <sz val="10.0"/>
      </rPr>
      <t>佐野岳</t>
    </r>
    <r>
      <rPr>
        <rFont val="Arial"/>
        <sz val="10.0"/>
      </rPr>
      <t>)</t>
    </r>
    <r>
      <rPr>
        <rFont val="ＭＳ Ｐゴシック"/>
        <sz val="10.0"/>
      </rPr>
      <t>。困り果てたえみる</t>
    </r>
    <r>
      <rPr>
        <rFont val="Arial"/>
        <sz val="10.0"/>
      </rPr>
      <t>(</t>
    </r>
    <r>
      <rPr>
        <rFont val="ＭＳ Ｐゴシック"/>
        <sz val="10.0"/>
      </rPr>
      <t>吉岡里帆</t>
    </r>
    <r>
      <rPr>
        <rFont val="Arial"/>
        <sz val="10.0"/>
      </rPr>
      <t>)</t>
    </r>
    <r>
      <rPr>
        <rFont val="ＭＳ Ｐゴシック"/>
        <sz val="10.0"/>
      </rPr>
      <t>は、京極</t>
    </r>
    <r>
      <rPr>
        <rFont val="Arial"/>
        <sz val="10.0"/>
      </rPr>
      <t>(</t>
    </r>
    <r>
      <rPr>
        <rFont val="ＭＳ Ｐゴシック"/>
        <sz val="10.0"/>
      </rPr>
      <t>田中圭</t>
    </r>
    <r>
      <rPr>
        <rFont val="Arial"/>
        <sz val="10.0"/>
      </rPr>
      <t>)</t>
    </r>
    <r>
      <rPr>
        <rFont val="ＭＳ Ｐゴシック"/>
        <sz val="10.0"/>
      </rPr>
      <t>の指示で扶養照会を強行する。すると早速、行方知れずの息子を心配していた父・雷</t>
    </r>
    <r>
      <rPr>
        <rFont val="Arial"/>
        <sz val="10.0"/>
      </rPr>
      <t>(</t>
    </r>
    <r>
      <rPr>
        <rFont val="ＭＳ Ｐゴシック"/>
        <sz val="10.0"/>
      </rPr>
      <t>小市慢太郎</t>
    </r>
    <r>
      <rPr>
        <rFont val="Arial"/>
        <sz val="10.0"/>
      </rPr>
      <t>)</t>
    </r>
    <r>
      <rPr>
        <rFont val="ＭＳ Ｐゴシック"/>
        <sz val="10.0"/>
      </rPr>
      <t>が上京。総合病院の院長である雷には扶養の意思があることから、京極はすぐに親子を会わせるようえみるに指示するが、それを知った島岡は、ひと足早く宿泊施設から逃走してしまう。自分を拒絶する息子の態度に、「構ってほしいだけ」と笑う雷だったが、その笑顔がなぜか引っかかるえみる。そこへ、島岡が駅のホームで自殺をはかったという知らせが飛び込んでくる。</t>
    </r>
    <r>
      <rPr>
        <rFont val="Arial"/>
        <sz val="10.0"/>
      </rPr>
      <t xml:space="preserve">  </t>
    </r>
    <r>
      <rPr>
        <rFont val="ＭＳ Ｐゴシック"/>
        <sz val="10.0"/>
      </rPr>
      <t>幸い、島岡は一命を取りとめたが、そこに雷が再び突然訪ねてくる。激しい剣幕で息子の居場所を聞き出そうとする雷の豹変ぶりに、えみると京極は驚きを隠せない。扶養照会の判断が正しかったのか、悩む京極に半田</t>
    </r>
    <r>
      <rPr>
        <rFont val="Arial"/>
        <sz val="10.0"/>
      </rPr>
      <t>(</t>
    </r>
    <r>
      <rPr>
        <rFont val="ＭＳ Ｐゴシック"/>
        <sz val="10.0"/>
      </rPr>
      <t>井浦新</t>
    </r>
    <r>
      <rPr>
        <rFont val="Arial"/>
        <sz val="10.0"/>
      </rPr>
      <t>)</t>
    </r>
    <r>
      <rPr>
        <rFont val="ＭＳ Ｐゴシック"/>
        <sz val="10.0"/>
      </rPr>
      <t>は「人が死ぬところだったんですよ。」と強い言葉で告げる。</t>
    </r>
    <r>
      <rPr>
        <rFont val="Arial"/>
        <sz val="10.0"/>
      </rPr>
      <t xml:space="preserve">    </t>
    </r>
    <r>
      <rPr>
        <rFont val="ＭＳ Ｐゴシック"/>
        <sz val="10.0"/>
      </rPr>
      <t>一方、病院では島岡の様子に異変が起きていた。面会できるようになったと連絡を受けたえみると京極は早速、島岡の元を訪ねるが、そこで主治医から、島岡親子について衝撃の事実を聞かされるーー</t>
    </r>
    <r>
      <rPr>
        <rFont val="Arial"/>
        <sz val="10.0"/>
      </rPr>
      <t>!</t>
    </r>
  </si>
  <si>
    <t>生活保護の申請にあたり、親族に援助が可能かを確認する“扶養照会"を頑なに拒否し、その理由を決して明かそうとしない島岡(佐野岳)。困り果てたえみる(吉岡里帆)は、京極(田中圭)の指示で扶養照会を強行する。すると早速、行方知れずの息子を心配していた父・雷(小市慢太郎)が上京。総合病院の院長である雷には扶養の意思があることから、京極はすぐに親子を会わせるようえみるに指示するが、それを知った島岡は、ひと足早く宿泊施設から逃走してしまう。自分を拒絶する息子の態度に、「構ってほしいだけ」と笑う雷だったが、その笑顔がなぜか引っかかるえみる。そこへ、島岡が駅のホームで自殺をはかったという知らせが飛び込んでくる。  幸い、島岡は一命を取りとめたが、そこに雷が再び突然訪ねてくる。激しい剣幕で息子の居場所を聞き出そうとする雷の豹変ぶりに、えみると京極は驚きを隠せない。扶養照会の判断が正しかったのか、悩む京極に半田(井浦新)は「人が死ぬところだったんですよ。」と強い言葉で告げる。    一方、病院では島岡の様子に異変が起きていた。面会できるようになったと連絡を受けたえみると京極は早速、島岡の元を訪ねるが、そこで主治医から、島岡親子について衝撃の事実を聞かされるーー!</t>
  </si>
  <si>
    <t>番組名健康で文化的な最低限度の生活【笑わない才女VS働かない無気力中年男】　#07</t>
  </si>
  <si>
    <t>頭脳明晰(めいせき)な優等生・栗橋(川栄李奈)は、その豊富な知識と福祉に対する高い意識でバリバリと仕事をこなす、同期随一の“できる"ケースワーカー。しかし、優秀すぎるが故に、“できない"人の気持ちが分からず、人前で笑うのも苦手。利用者に全身全霊でぶつかり、笑顔で接するえみる(吉岡里帆)を見て、人知れずコンプレックスを感じていた。    そんな栗橋が頭を悩ませていた利用者が中林吉徳(池田鉄洋)。姉を一年前に亡くして以来、働く意欲が全く感じられない。このままでは税金のムダ遣いにしかならないと考えた栗橋は、生活保護廃止につながる内容を文章化した“指示書"を発行。翌日、“指示書"を持って役所を訪れた中林から偶然話を聞いたえみるは、中林が、文字が反転したり、歪んで見えたりする発達障害の一つ“識字障害"だと告白される。  字の読み書き以外のことは普通にできるため、気付かれにくい識字障害。苦しみ抜いて生きてきた中林の事情も知らず、一方的に保護を打ち切りかけた栗橋は、顔には出さないものの落ち込み、半田(井浦新)や同期のメンバーも彼女を心配する。    しかし、栗橋は、翌日には立ち直り、識字障害について猛勉強。中林のため、理解ある就労先を見つけるために動き回る。しかし、肝心の中林とは、全く気持ちが通じ合っておらず、問題はさらに大きくなってしまう…。</t>
  </si>
  <si>
    <t>番組名健康で文化的な最低限度の生活【クズ男の真実…死の病との壮絶な戦い!】　#08</t>
  </si>
  <si>
    <t>ケースワーカーとして2年目を迎えたえみる(吉岡里帆)のもとに、利用者の赤嶺岳人(音尾琢真)が病院に搬送されたと連絡が入る。過度な飲酒で膵臓(すいぞう)を壊し、アルコール依存症の疑いもあるという。しかし、当の本人は治療する気ゼロで、このまま飲み続ければ間違いなく死んでしまう。えみるは、必死に説得し、何とか禁酒を約束させるが、数日後、赤嶺は再び酒を飲んで大暴れする。約束をいとも簡単に破られたことにショックと怒りを覚えるえみるだったが、調べてみると、アルコール依存症はれっきとした病気で、自分の意思では治せないことを知る。    まずはアルコール依存症について知らなければ…と考えたえみるは猛勉強を開始。アルコール依存症患者と向き合うのは、ケースワーカーとして最も困難な作業だと知る半田(井浦新)のアドバイスで、断酒を目指す人たちが集まる“断酒会"を訪ね、驚くべき実態をまざまざと見せつけられる。再び病院に搬送された赤嶺は、「次は、命はありませんよ」という医師の言葉と、えみるの熱い説得でようやく治療に専念することを承諾。ところが、結局本人はいまだに自分が病気だという自覚がないままで…。えみるはアルコール依存症が“否認の病"と言われる理由を思い知る。どうしたら病気だと自覚させ、治療につなげられるのかーー。思い悩んでいると、見かねた石橋(内場勝則)がえみるに声をかけ、ある出来事を話し出す……</t>
  </si>
  <si>
    <t>番組名健康で文化的な最低限度の生活【娘より金!?育児放棄の身勝手母と対決!】　#09</t>
  </si>
  <si>
    <r>
      <rPr>
        <rFont val="ＭＳ Ｐゴシック"/>
        <sz val="10.0"/>
      </rPr>
      <t>ある日、えみる</t>
    </r>
    <r>
      <rPr>
        <rFont val="Arial"/>
        <sz val="10.0"/>
      </rPr>
      <t>(</t>
    </r>
    <r>
      <rPr>
        <rFont val="ＭＳ Ｐゴシック"/>
        <sz val="10.0"/>
      </rPr>
      <t>吉岡里帆</t>
    </r>
    <r>
      <rPr>
        <rFont val="Arial"/>
        <sz val="10.0"/>
      </rPr>
      <t>)</t>
    </r>
    <r>
      <rPr>
        <rFont val="ＭＳ Ｐゴシック"/>
        <sz val="10.0"/>
      </rPr>
      <t>の元に、孫のハルカ</t>
    </r>
    <r>
      <rPr>
        <rFont val="Arial"/>
        <sz val="10.0"/>
      </rPr>
      <t>(</t>
    </r>
    <r>
      <rPr>
        <rFont val="ＭＳ Ｐゴシック"/>
        <sz val="10.0"/>
      </rPr>
      <t>永岡心花</t>
    </r>
    <r>
      <rPr>
        <rFont val="Arial"/>
        <sz val="10.0"/>
      </rPr>
      <t>)</t>
    </r>
    <r>
      <rPr>
        <rFont val="ＭＳ Ｐゴシック"/>
        <sz val="10.0"/>
      </rPr>
      <t>と</t>
    </r>
    <r>
      <rPr>
        <rFont val="Arial"/>
        <sz val="10.0"/>
      </rPr>
      <t>2</t>
    </r>
    <r>
      <rPr>
        <rFont val="ＭＳ Ｐゴシック"/>
        <sz val="10.0"/>
      </rPr>
      <t>人暮らしの高齢受給者・丸山幸子</t>
    </r>
    <r>
      <rPr>
        <rFont val="Arial"/>
        <sz val="10.0"/>
      </rPr>
      <t>(</t>
    </r>
    <r>
      <rPr>
        <rFont val="ＭＳ Ｐゴシック"/>
        <sz val="10.0"/>
      </rPr>
      <t>小野和子</t>
    </r>
    <r>
      <rPr>
        <rFont val="Arial"/>
        <sz val="10.0"/>
      </rPr>
      <t>)</t>
    </r>
    <r>
      <rPr>
        <rFont val="ＭＳ Ｐゴシック"/>
        <sz val="10.0"/>
      </rPr>
      <t>の家でボヤ騒ぎがあったと連絡が入る。慌てて家を訪ねると、そこには見知らぬ女性が。それは、</t>
    </r>
    <r>
      <rPr>
        <rFont val="Arial"/>
        <sz val="10.0"/>
      </rPr>
      <t>4</t>
    </r>
    <r>
      <rPr>
        <rFont val="ＭＳ Ｐゴシック"/>
        <sz val="10.0"/>
      </rPr>
      <t>年前に娘を残して男と姿を消した、ハルカの母・梓</t>
    </r>
    <r>
      <rPr>
        <rFont val="Arial"/>
        <sz val="10.0"/>
      </rPr>
      <t>(</t>
    </r>
    <r>
      <rPr>
        <rFont val="ＭＳ Ｐゴシック"/>
        <sz val="10.0"/>
      </rPr>
      <t>松本まりか</t>
    </r>
    <r>
      <rPr>
        <rFont val="Arial"/>
        <sz val="10.0"/>
      </rPr>
      <t>)</t>
    </r>
    <r>
      <rPr>
        <rFont val="ＭＳ Ｐゴシック"/>
        <sz val="10.0"/>
      </rPr>
      <t>だったーー</t>
    </r>
    <r>
      <rPr>
        <rFont val="Arial"/>
        <sz val="10.0"/>
      </rPr>
      <t>!</t>
    </r>
    <r>
      <rPr>
        <rFont val="ＭＳ Ｐゴシック"/>
        <sz val="10.0"/>
      </rPr>
      <t>梓は、幸子の介護をしながら、今後はハルカをきちんと育てると話し、そのために自分も生活保護を受けたいと申し出る。えみるや半田</t>
    </r>
    <r>
      <rPr>
        <rFont val="Arial"/>
        <sz val="10.0"/>
      </rPr>
      <t>(</t>
    </r>
    <r>
      <rPr>
        <rFont val="ＭＳ Ｐゴシック"/>
        <sz val="10.0"/>
      </rPr>
      <t>井浦新</t>
    </r>
    <r>
      <rPr>
        <rFont val="Arial"/>
        <sz val="10.0"/>
      </rPr>
      <t>)</t>
    </r>
    <r>
      <rPr>
        <rFont val="ＭＳ Ｐゴシック"/>
        <sz val="10.0"/>
      </rPr>
      <t>、京極</t>
    </r>
    <r>
      <rPr>
        <rFont val="Arial"/>
        <sz val="10.0"/>
      </rPr>
      <t>(</t>
    </r>
    <r>
      <rPr>
        <rFont val="ＭＳ Ｐゴシック"/>
        <sz val="10.0"/>
      </rPr>
      <t>田中圭</t>
    </r>
    <r>
      <rPr>
        <rFont val="Arial"/>
        <sz val="10.0"/>
      </rPr>
      <t>)</t>
    </r>
    <r>
      <rPr>
        <rFont val="ＭＳ Ｐゴシック"/>
        <sz val="10.0"/>
      </rPr>
      <t>も突然の展開に戸惑いを覚えるが、一家がすでに生活を共にしていることから、調査の結果、梓は生活保護を受給できることに。しかし、どうしても梓への不信感がぬぐえないえみるは、思い切って</t>
    </r>
    <r>
      <rPr>
        <rFont val="Arial"/>
        <sz val="10.0"/>
      </rPr>
      <t>4</t>
    </r>
    <r>
      <rPr>
        <rFont val="ＭＳ Ｐゴシック"/>
        <sz val="10.0"/>
      </rPr>
      <t>年前に失踪した理由を梓に尋ねる。すると、それまでの態度とはうってかわって、梓が攻撃的な一面を見せ始め、さらに、認知症が進んでいることを理由に、幸子の分の生活保護費も自分の口座に振り込むよう要求してきて</t>
    </r>
    <r>
      <rPr>
        <rFont val="Arial"/>
        <sz val="10.0"/>
      </rPr>
      <t>……</t>
    </r>
    <r>
      <rPr>
        <rFont val="ＭＳ Ｐゴシック"/>
        <sz val="10.0"/>
      </rPr>
      <t>。</t>
    </r>
    <r>
      <rPr>
        <rFont val="Arial"/>
        <sz val="10.0"/>
      </rPr>
      <t xml:space="preserve">    </t>
    </r>
    <r>
      <rPr>
        <rFont val="ＭＳ Ｐゴシック"/>
        <sz val="10.0"/>
      </rPr>
      <t>一方、阿久沢</t>
    </r>
    <r>
      <rPr>
        <rFont val="Arial"/>
        <sz val="10.0"/>
      </rPr>
      <t>(</t>
    </r>
    <r>
      <rPr>
        <rFont val="ＭＳ Ｐゴシック"/>
        <sz val="10.0"/>
      </rPr>
      <t>遠藤憲一</t>
    </r>
    <r>
      <rPr>
        <rFont val="Arial"/>
        <sz val="10.0"/>
      </rPr>
      <t>)</t>
    </r>
    <r>
      <rPr>
        <rFont val="ＭＳ Ｐゴシック"/>
        <sz val="10.0"/>
      </rPr>
      <t>の娘・麻里</t>
    </r>
    <r>
      <rPr>
        <rFont val="Arial"/>
        <sz val="10.0"/>
      </rPr>
      <t>(</t>
    </r>
    <r>
      <rPr>
        <rFont val="ＭＳ Ｐゴシック"/>
        <sz val="10.0"/>
      </rPr>
      <t>阿部純子</t>
    </r>
    <r>
      <rPr>
        <rFont val="Arial"/>
        <sz val="10.0"/>
      </rPr>
      <t>)</t>
    </r>
    <r>
      <rPr>
        <rFont val="ＭＳ Ｐゴシック"/>
        <sz val="10.0"/>
      </rPr>
      <t>が倒れた。知らせを受け、病院に駆けつけた阿久沢は、医師から麻里が妊娠しているという驚きの事実を聞かされる。おなかの子供の父親を教えてほしいと願う阿久沢だが、麻里は何も話そうとしない。困り果てた阿久沢から話を聞いた半田は、ふと何かを思い出し、半田らしからぬ厳しい言葉を口にする。</t>
    </r>
  </si>
  <si>
    <t>ある日、えみる(吉岡里帆)の元に、孫のハルカ(永岡心花)と2人暮らしの高齢受給者・丸山幸子(小野和子)の家でボヤ騒ぎがあったと連絡が入る。慌てて家を訪ねると、そこには見知らぬ女性が。それは、4年前に娘を残して男と姿を消した、ハルカの母・梓(松本まりか)だったーー!梓は、幸子の介護をしながら、今後はハルカをきちんと育てると話し、そのために自分も生活保護を受けたいと申し出る。えみるや半田(井浦新)、京極(田中圭)も突然の展開に戸惑いを覚えるが、一家がすでに生活を共にしていることから、調査の結果、梓は生活保護を受給できることに。しかし、どうしても梓への不信感がぬぐえないえみるは、思い切って4年前に失踪した理由を梓に尋ねる。すると、それまでの態度とはうってかわって、梓が攻撃的な一面を見せ始め、さらに、認知症が進んでいることを理由に、幸子の分の生活保護費も自分の口座に振り込むよう要求してきて……。    一方、阿久沢(遠藤憲一)の娘・麻里(阿部純子)が倒れた。知らせを受け、病院に駆けつけた阿久沢は、医師から麻里が妊娠しているという驚きの事実を聞かされる。おなかの子供の父親を教えてほしいと願う阿久沢だが、麻里は何も話そうとしない。困り果てた阿久沢から話を聞いた半田は、ふと何かを思い出し、半田らしからぬ厳しい言葉を口にする。</t>
  </si>
  <si>
    <t>番組名健康で文化的な最低限度の生活【命守る最後の砦…私たちができること】　#10</t>
  </si>
  <si>
    <r>
      <rPr>
        <rFont val="ＭＳ Ｐゴシック"/>
        <sz val="10.0"/>
      </rPr>
      <t>生活保護受給者の祖母と暮らすハルカ</t>
    </r>
    <r>
      <rPr>
        <rFont val="Arial"/>
        <sz val="10.0"/>
      </rPr>
      <t>(</t>
    </r>
    <r>
      <rPr>
        <rFont val="ＭＳ Ｐゴシック"/>
        <sz val="10.0"/>
      </rPr>
      <t>永岡心花</t>
    </r>
    <r>
      <rPr>
        <rFont val="Arial"/>
        <sz val="10.0"/>
      </rPr>
      <t>)</t>
    </r>
    <r>
      <rPr>
        <rFont val="ＭＳ Ｐゴシック"/>
        <sz val="10.0"/>
      </rPr>
      <t>の元に、失踪した母・梓</t>
    </r>
    <r>
      <rPr>
        <rFont val="Arial"/>
        <sz val="10.0"/>
      </rPr>
      <t>(</t>
    </r>
    <r>
      <rPr>
        <rFont val="ＭＳ Ｐゴシック"/>
        <sz val="10.0"/>
      </rPr>
      <t>松本まりか</t>
    </r>
    <r>
      <rPr>
        <rFont val="Arial"/>
        <sz val="10.0"/>
      </rPr>
      <t>)</t>
    </r>
    <r>
      <rPr>
        <rFont val="ＭＳ Ｐゴシック"/>
        <sz val="10.0"/>
      </rPr>
      <t>が</t>
    </r>
    <r>
      <rPr>
        <rFont val="Arial"/>
        <sz val="10.0"/>
      </rPr>
      <t>4</t>
    </r>
    <r>
      <rPr>
        <rFont val="ＭＳ Ｐゴシック"/>
        <sz val="10.0"/>
      </rPr>
      <t>年ぶりに帰ってきた。梓は、認知症の母の介護をしながらハルカを育てることを理由に、自らも生活保護を申請。しかし、正式に生活保護が決定すると、母親を施設に預けて自分は再び家を空けるなど好き放題。一週間以上放置されたハルカは孤独に耐えきれず、えみる</t>
    </r>
    <r>
      <rPr>
        <rFont val="Arial"/>
        <sz val="10.0"/>
      </rPr>
      <t>(</t>
    </r>
    <r>
      <rPr>
        <rFont val="ＭＳ Ｐゴシック"/>
        <sz val="10.0"/>
      </rPr>
      <t>吉岡里帆</t>
    </r>
    <r>
      <rPr>
        <rFont val="Arial"/>
        <sz val="10.0"/>
      </rPr>
      <t>)</t>
    </r>
    <r>
      <rPr>
        <rFont val="ＭＳ Ｐゴシック"/>
        <sz val="10.0"/>
      </rPr>
      <t>に助けを求める。</t>
    </r>
    <r>
      <rPr>
        <rFont val="Arial"/>
        <sz val="10.0"/>
      </rPr>
      <t xml:space="preserve">    </t>
    </r>
    <r>
      <rPr>
        <rFont val="ＭＳ Ｐゴシック"/>
        <sz val="10.0"/>
      </rPr>
      <t>ハルカは児童相談所で一時的に保護されるが梓とはいっこうに連絡がつかない。業を煮やしたえみるは、梓の生活保護費を口座振り込みから窓口支給に変更。支給日当日、役所に乗り込んでくるであろう梓と話をしようと考えたのだ。案の定、男と連れ立ってやってきた梓は怒り心頭。一方で、娘の心配よりお金に執着する梓の様子に、えみるの怒りも爆発寸前。えみるが、ハルカは児童相談所で保護され、いずれは養護施設への入所も検討されていることを告げると、梓は顔色を変え、「施設に預ける気はない」と断固拒否。挙句、激高した梓たちは暴力に訴え、半田</t>
    </r>
    <r>
      <rPr>
        <rFont val="Arial"/>
        <sz val="10.0"/>
      </rPr>
      <t>(</t>
    </r>
    <r>
      <rPr>
        <rFont val="ＭＳ Ｐゴシック"/>
        <sz val="10.0"/>
      </rPr>
      <t>井浦新</t>
    </r>
    <r>
      <rPr>
        <rFont val="Arial"/>
        <sz val="10.0"/>
      </rPr>
      <t>)</t>
    </r>
    <r>
      <rPr>
        <rFont val="ＭＳ Ｐゴシック"/>
        <sz val="10.0"/>
      </rPr>
      <t>と京極</t>
    </r>
    <r>
      <rPr>
        <rFont val="Arial"/>
        <sz val="10.0"/>
      </rPr>
      <t>(</t>
    </r>
    <r>
      <rPr>
        <rFont val="ＭＳ Ｐゴシック"/>
        <sz val="10.0"/>
      </rPr>
      <t>田中圭</t>
    </r>
    <r>
      <rPr>
        <rFont val="Arial"/>
        <sz val="10.0"/>
      </rPr>
      <t>)</t>
    </r>
    <r>
      <rPr>
        <rFont val="ＭＳ Ｐゴシック"/>
        <sz val="10.0"/>
      </rPr>
      <t>が何とか押さえるという事態に。ハルカの幸せを一番に考え、母親から引き離すべきと考えたえみるは、日を改めて梓を訪ね、再び対峙する。しかし、ハルカの口からは思いがけない言葉が飛び出して</t>
    </r>
    <r>
      <rPr>
        <rFont val="Arial"/>
        <sz val="10.0"/>
      </rPr>
      <t>…</t>
    </r>
    <r>
      <rPr>
        <rFont val="ＭＳ Ｐゴシック"/>
        <sz val="10.0"/>
      </rPr>
      <t>。</t>
    </r>
    <r>
      <rPr>
        <rFont val="Arial"/>
        <sz val="10.0"/>
      </rPr>
      <t xml:space="preserve">    </t>
    </r>
    <r>
      <rPr>
        <rFont val="ＭＳ Ｐゴシック"/>
        <sz val="10.0"/>
      </rPr>
      <t>今、守るべき小さな命。ケースワーカーとしての真価が問われる最終回</t>
    </r>
    <r>
      <rPr>
        <rFont val="Arial"/>
        <sz val="10.0"/>
      </rPr>
      <t>!</t>
    </r>
  </si>
  <si>
    <t>生活保護受給者の祖母と暮らすハルカ(永岡心花)の元に、失踪した母・梓(松本まりか)が4年ぶりに帰ってきた。梓は、認知症の母の介護をしながらハルカを育てることを理由に、自らも生活保護を申請。しかし、正式に生活保護が決定すると、母親を施設に預けて自分は再び家を空けるなど好き放題。一週間以上放置されたハルカは孤独に耐えきれず、えみる(吉岡里帆)に助けを求める。    ハルカは児童相談所で一時的に保護されるが梓とはいっこうに連絡がつかない。業を煮やしたえみるは、梓の生活保護費を口座振り込みから窓口支給に変更。支給日当日、役所に乗り込んでくるであろう梓と話をしようと考えたのだ。案の定、男と連れ立ってやってきた梓は怒り心頭。一方で、娘の心配よりお金に執着する梓の様子に、えみるの怒りも爆発寸前。えみるが、ハルカは児童相談所で保護され、いずれは養護施設への入所も検討されていることを告げると、梓は顔色を変え、「施設に預ける気はない」と断固拒否。挙句、激高した梓たちは暴力に訴え、半田(井浦新)と京極(田中圭)が何とか押さえるという事態に。ハルカの幸せを一番に考え、母親から引き離すべきと考えたえみるは、日を改めて梓を訪ね、再び対峙する。しかし、ハルカの口からは思いがけない言葉が飛び出して…。    今、守るべき小さな命。ケースワーカーとしての真価が問われる最終回!</t>
  </si>
  <si>
    <t>1807_CX_木22</t>
  </si>
  <si>
    <t>グッド・ドクター</t>
  </si>
  <si>
    <t>番組名&lt;木曜劇場&gt;グッド・ドクター【最高にピュアな小児外科医誕生!】　#01</t>
  </si>
  <si>
    <t>幼い頃から小児外科医になることを夢見ていた新堂湊(山崎賢人)にとって今日は記念すべき日だ。なぜなら、あと数時間後にはレジデントとして、東郷記念病院の小児外科で働けるのだからー。  　東郷記念病院の小児外科はいつもの通り多忙を極めていた。一人前の小児外科医を目指して日々激務をこなしている瀬戸夏美(上野樹里)も、食事をとろうとした矢先、患者のことで携帯で呼び出され休む間もない。  　そして今日は、小児外科のエース・高山誠司(藤木直人)も出席し、小児外科長の間宮啓介(戸次重幸)、理事長の東郷美智(中村ゆり)、副院長の猪口隆之介(板尾創路)、院長の司賀明(柄本明)らが一堂に会し経営会議が開かれていた。そこで司賀から、小児外科に今日からレジデントとして新堂湊という青年を招くことが告げられる。  　湊の履歴書が配られると、自閉症スペクトラム障がいであるという記載にざわめきが起こる。司賀は、湊が驚異的な記憶力を持つサヴァン症候群であり、医師としての能力も高く、必ずや東郷記念病院の力となってくれるはずだと説明をする。  　そんな会議のことなどつゆ知らず、病院へ向かう湊は大事故に遭遇。看板が倒れ、子供が血を流して倒れている。わき起こる悲鳴。助けを求める母親の叫び。たまたま居合わせた医師が名乗り出て、応急処置をほどこそうとすると…  　「ダメです!それだと死にます!」  　子どもの元へ、湊が駆けつけた。山崎賢人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金井紘、相沢秀幸最新情報は、以下URLまでアクセスしてください。  ★公式HP　  http://www.fujitv.co.jp/gooddoctor/　  ★公式Twitter　  https://twitter.com/GoodDoctor2018</t>
  </si>
  <si>
    <t>幼い頃から小児外科医になることを夢見ていた新堂湊(山崎賢人)にとって今日は記念すべき日だ。なぜなら、あと数時間後にはレジデントとして、東郷記念病院の小児外科で働けるのだからー。  　東郷記念病院の小児外科はいつもの通り多忙を極めていた。一人前の小児外科医を目指して日々激務をこなしている瀬戸夏美(上野樹里)も、食事をとろうとした矢先、患者のことで携帯で呼び出され休む間もない。  　そして今日は、小児外科のエース・高山誠司(藤木直人)も出席し、小児外科長の間宮啓介(戸次重幸)、理事長の東郷美智(中村ゆり)、副院長の猪口隆之介(板尾創路)、院長の司賀明(柄本明)らが一堂に会し経営会議が開かれていた。そこで司賀から、小児外科に今日からレジデントとして新堂湊という青年を招くことが告げられる。  　湊の履歴書が配られると、自閉症スペクトラム障がいであるという記載にざわめきが起こる。司賀は、湊が驚異的な記憶力を持つサヴァン症候群であり、医師としての能力も高く、必ずや東郷記念病院の力となってくれるはずだと説明をする。  　そんな会議のことなどつゆ知らず、病院へ向かう湊は大事故に遭遇。看板が倒れ、子供が血を流して倒れている。わき起こる悲鳴。助けを求める母親の叫び。たまたま居合わせた医師が名乗り出て、応急処置をほどこそうとすると…  　「ダメです!それだと死にます!」  　子どもの元へ、湊が駆けつけた。</t>
  </si>
  <si>
    <t>番組名&lt;木曜劇場&gt;グッド・ドクター【女子高生が緊急出産!小さな命を救え】　#02</t>
  </si>
  <si>
    <t>新堂湊(山崎賢人)は問題を起こしながらも東郷記念病院小児外科でレジデントとして働くことになった。  そんな時、女子高校生の菅原唯菜(山田杏奈)が学校で破水して救急搬送されてきた。カンファレンスで瀬戸夏美(上野樹里)は唯菜の緊急出産を報告。赤ん坊は低出生体重児で、腸のほとんどが壊死状態で壊死性腸炎が認められると続けた。  その頃、病院の廊下で雑用をしていた湊は歩いて行く唯菜を見つける。唯菜はNICU(新生児集中治療室)で保育器に入れられたわが子にしきりに謝罪していた。すると湊が、このままだと赤ちゃんは死んでしまうが助かる方法はあると言ってしまった。  唯菜の病室に検診に行った夏美は、高山誠司(藤木直人)の手術なら助かると湊が言ったと聞いて驚く。夏美からの報告を受けた高山は湊をきつく叱る。高い術中死がともなう手術はせずに、温存治療で赤ちゃんの回復を待つという医局の方針に反していたからだ。湊は夏美からも唯菜の病室やNICUには行くなと言われてしまう。  子どもを助けたい一心の唯菜は、夏美に手術をして欲しいと食い下がる。だが、未成年の唯菜では保護者の手術の同意書が必要だと夏美が諭す。すると唯菜の母、真紀(黒沢あすか)がやって来た。唯菜の妊娠、出産を責める真紀は手術同意書へのサインを拒否する。  夏美に叱られながらもNICUへ通う湊は、赤ちゃんの診断画像からあることに気づいた。山崎賢人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金井紘、相沢秀幸最新情報は、以下URLまでアクセスしてください。  ★公式HP　  http://www.fujitv.co.jp/gooddoctor/　  ★公式Twitter　  https://twitter.com/GoodDoctor2018</t>
  </si>
  <si>
    <t>新堂湊(山崎賢人)は問題を起こしながらも東郷記念病院小児外科でレジデントとして働くことになった。  そんな時、女子高校生の菅原唯菜(山田杏奈)が学校で破水して救急搬送されてきた。カンファレンスで瀬戸夏美(上野樹里)は唯菜の緊急出産を報告。赤ん坊は低出生体重児で、腸のほとんどが壊死状態で壊死性腸炎が認められると続けた。  その頃、病院の廊下で雑用をしていた湊は歩いて行く唯菜を見つける。唯菜はNICU(新生児集中治療室)で保育器に入れられたわが子にしきりに謝罪していた。すると湊が、このままだと赤ちゃんは死んでしまうが助かる方法はあると言ってしまった。  唯菜の病室に検診に行った夏美は、高山誠司(藤木直人)の手術なら助かると湊が言ったと聞いて驚く。夏美からの報告を受けた高山は湊をきつく叱る。高い術中死がともなう手術はせずに、温存治療で赤ちゃんの回復を待つという医局の方針に反していたからだ。湊は夏美からも唯菜の病室やNICUには行くなと言われてしまう。  子どもを助けたい一心の唯菜は、夏美に手術をして欲しいと食い下がる。だが、未成年の唯菜では保護者の手術の同意書が必要だと夏美が諭す。すると唯菜の母、真紀(黒沢あすか)がやって来た。唯菜の妊娠、出産を責める真紀は手術同意書へのサインを拒否する。  夏美に叱られながらもNICUへ通う湊は、赤ちゃんの診断画像からあることに気づいた。</t>
  </si>
  <si>
    <t>番組名&lt;木曜劇場&gt;グッド・ドクター【病院をたらいまわしにされた少女…!】　#03</t>
  </si>
  <si>
    <t>最新情報は、以下URLまでアクセスしてください。  ★公式HP　  http://www.fujitv.co.jp/gooddoctor/　  ★公式Twitter　  https://twitter.com/GoodDoctor2018　    「最高にピュアな小児外科医誕生!」山崎賢人主演、サヴァン症候群の青年がまきおこす、命の奇跡の物語。この夏一番の感動作が、ついに放送!新堂湊(山崎賢人)は病院のガイドラインを破ってしまった。問題となった新生児の手術は、高山誠司(藤木直人)が成功させたものの、責任の所在が問われることに。高山は全ての責任は自分にあるとして、謹慎処分を受け入れた。  高山のいない小児外科は大忙し。しかし、高山を謹慎に追いやった張本人のはずの湊は、周囲の目から見ると責任を感じているようには見えない。瀬戸夏美(上野樹里)にも負担がかかるが、彼女の目下の問題は翌週に手術を控えた石山舞(中島琴音)の説得。夏美は怖がる舞に、手術を優しく解説した絵本を描いて渡した。その時、夏美にERから連絡が入る。  病院に運び込まれたのは6歳の市川美結(竹野谷咲)。病院をたらい回しにされ、すでに発症から4時間以上が経過していて容態は重篤だった。夏美は高山に連絡するが繋がらない。  美結の両親である英雄(高橋洋)と詩織(前田亜季)は、どうか娘を助けて欲しいと処置室で湊と夏美にすがりつく。美結の様子を見た湊は、一目で緊急手術が必要だと夏美に訴え出す。間もなく美結が心停止。夏美の懸命な心臓マッサージで一命を取り留めた時、間宮啓介(戸次重幸)がやって来た。間宮はすでに美結を手遅れだと判断し、他の病院に回すよう告げる。自分が手術をすると決意する夏美。  そして美結の手術が始まろうとした時、ようやく高山と連絡が取れる。高山は自分が到着するまで、美結の命をつなぐよう指示するが…。山崎賢人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t>
  </si>
  <si>
    <t>最新情報は、以下URLまでアクセスしてください。  ★公式HP　  http://www.fujitv.co.jp/gooddoctor/　  ★公式Twitter　  https://twitter.com/GoodDoctor2018　    「最高にピュアな小児外科医誕生!」山崎賢人主演、サヴァン症候群の青年がまきおこす、命の奇跡の物語。この夏一番の感動作が、ついに放送!新堂湊(山崎賢人)は病院のガイドラインを破ってしまった。問題となった新生児の手術は、高山誠司(藤木直人)が成功させたものの、責任の所在が問われることに。高山は全ての責任は自分にあるとして、謹慎処分を受け入れた。  高山のいない小児外科は大忙し。しかし、高山を謹慎に追いやった張本人のはずの湊は、周囲の目から見ると責任を感じているようには見えない。瀬戸夏美(上野樹里)にも負担がかかるが、彼女の目下の問題は翌週に手術を控えた石山舞(中島琴音)の説得。夏美は怖がる舞に、手術を優しく解説した絵本を描いて渡した。その時、夏美にERから連絡が入る。  病院に運び込まれたのは6歳の市川美結(竹野谷咲)。病院をたらい回しにされ、すでに発症から4時間以上が経過していて容態は重篤だった。夏美は高山に連絡するが繋がらない。  美結の両親である英雄(高橋洋)と詩織(前田亜季)は、どうか娘を助けて欲しいと処置室で湊と夏美にすがりつく。美結の様子を見た湊は、一目で緊急手術が必要だと夏美に訴え出す。間もなく美結が心停止。夏美の懸命な心臓マッサージで一命を取り留めた時、間宮啓介(戸次重幸)がやって来た。間宮はすでに美結を手遅れだと判断し、他の病院に回すよう告げる。自分が手術をすると決意する夏美。  そして美結の手術が始まろうとした時、ようやく高山と連絡が取れる。高山は自分が到着するまで、美結の命をつなぐよう指示するが…。</t>
  </si>
  <si>
    <t>番組名&lt;木曜劇場&gt;グッド・ドクター【身元不明少女を湊が担当!悲しい秘密】　#04</t>
  </si>
  <si>
    <t>最新情報は、以下URLまでアクセスしてください。  ★公式HP　  http://www.fujitv.co.jp/gooddoctor/　  ★公式Twitter　  https://twitter.com/GoodDoctor2018　  ★公式instagram　  @gooddoctor_yuanikki新堂湊(山崎賢人)は瀬戸夏美(上野樹里)と綾瀬奈緒(川島夕空)の病室に行く。術後の不快感を訴える奈緒だが、稚拙なために夏美は要領を得ない。すると傍らで聞いていた湊が症状を言い当てた。奈緒や心配していた同室の子どもたち、夏美も湊に感心。  湊と夏美が病室を出るとナースステーション付近で騒ぎが起きていた。緊急搬送された少女が暴れていたが、湊が近づくと静かになる。少女はオペが必要なのだが、一切話をしないので身元がわからない。しかし、湊は自分が担当医になると高山誠司(藤木直人)に願い出る。高山や夏美、医局のメンバー全員が反対するのだが、間宮啓介(戸次重幸)が来て湊を少女の担当医にしてしまう。間宮は湊に問題を起こさせようとする猪口隆之介(板尾創路)の指示で動いていた。  湊は張り切って少女を診るが、心はなかなかほぐれない。そんな時、少女の母親、大石薫(瑛蓮)が名乗り出て病院に来た。少女の名はあかり(高松咲希)。湊は薫にあかりの病状を説明、夏美は言葉を発さない理由を尋ねる。薫は自分があかりの継母だからかもしれないと話した。  薫が帰ると湊は一緒に絵を描こうとあかりに話す。薫が持って来たあかりのバッグにお絵描きノートが入っていたからだ。しかし、湊がバッグに触ろうとすると、あかりが奪い取る。夜、湊があかりの病室に行くとお絵描きノートが落ちていた。拾い上げた湊に、あかりが「誰にも言わないで」と話しかけて…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t>
  </si>
  <si>
    <t>最新情報は、以下URLまでアクセスしてください。  ★公式HP　  http://www.fujitv.co.jp/gooddoctor/　  ★公式Twitter　  https://twitter.com/GoodDoctor2018　  ★公式instagram　  @gooddoctor_yuanikki新堂湊(山崎賢人)は瀬戸夏美(上野樹里)と綾瀬奈緒(川島夕空)の病室に行く。術後の不快感を訴える奈緒だが、稚拙なために夏美は要領を得ない。すると傍らで聞いていた湊が症状を言い当てた。奈緒や心配していた同室の子どもたち、夏美も湊に感心。  湊と夏美が病室を出るとナースステーション付近で騒ぎが起きていた。緊急搬送された少女が暴れていたが、湊が近づくと静かになる。少女はオペが必要なのだが、一切話をしないので身元がわからない。しかし、湊は自分が担当医になると高山誠司(藤木直人)に願い出る。高山や夏美、医局のメンバー全員が反対するのだが、間宮啓介(戸次重幸)が来て湊を少女の担当医にしてしまう。間宮は湊に問題を起こさせようとする猪口隆之介(板尾創路)の指示で動いていた。  湊は張り切って少女を診るが、心はなかなかほぐれない。そんな時、少女の母親、大石薫(瑛蓮)が名乗り出て病院に来た。少女の名はあかり(高松咲希)。湊は薫にあかりの病状を説明、夏美は言葉を発さない理由を尋ねる。薫は自分があかりの継母だからかもしれないと話した。  薫が帰ると湊は一緒に絵を描こうとあかりに話す。薫が持って来たあかりのバッグにお絵描きノートが入っていたからだ。しかし、湊がバッグに触ろうとすると、あかりが奪い取る。夜、湊があかりの病室に行くとお絵描きノートが落ちていた。拾い上げた湊に、あかりが「誰にも言わないで」と話しかけて…</t>
  </si>
  <si>
    <t>番組名&lt;木曜劇場&gt;グッド・ドクター【天才少年の歌声が病に!湊がクビ!?】　#05</t>
  </si>
  <si>
    <t>最新情報は、以下URLまでアクセスしてください。  ★公式HP　  http://www.fujitv.co.jp/gooddoctor/　  ★公式Twitter　  https://twitter.com/GoodDoctor2018　  ★公式instagram　  @gooddoctor_yuanikki東郷記念病院の大部屋では新堂湊(山崎賢人)や橋口太郎(浜野謙太)たちが患者の子どもたちとテレビを食い入るように見ている。番組には天才ボーイソプラノ歌手、羽山響(城桧吏)が素晴らしい歌声を披露していた。特に患者の武智倫太朗(斎藤汰鷹)は響の大ファン。そして、倫太朗たちは院内で行われるお楽しみ会で合唱を披露することになっていた。  その響が喉の不調を訴え、父の徹郎(三浦誠己)に伴われて東郷記念病院に来た。瀬戸夏美(上野樹里)が診察すると、喉がひどい炎症を起こしている。カンファレンス室で響の造影CT結果を見ながら意見を交わす医師たち。すると高山誠司(藤木直人)が湊に所見を求めた。湊は画像から下咽頭梨状窩瘻と判断。高山が正解だと告げると喜ぶ湊。しかし、夏美は高山が湊を画像診断科に転科させると言っていたことが気になっていた。  響には早急の手術が必要だったが、喉の手術のため術後に高音が出なくなることが懸念される。夏美の説明に徹郎は、歌手である響にそんなリスクのある手術は受けさせられないと反発する。  ともかく入院することになった響。それを知った倫太朗たちは大喜び。湊は倫太朗たちと響の個室に行く。だが、響は倫太朗たちに冷たい。また、湊が響を倫太朗たちの合唱に誘おうとしたと知った徹郎の怒りも買ってしまう。さらに響の早急な手術を求めた湊は徹郎とぶつかってしまい、高山から転科を直接求められることになった。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t>
  </si>
  <si>
    <t>最新情報は、以下URLまでアクセスしてください。  ★公式HP　  http://www.fujitv.co.jp/gooddoctor/　  ★公式Twitter　  https://twitter.com/GoodDoctor2018　  ★公式instagram　  @gooddoctor_yuanikki東郷記念病院の大部屋では新堂湊(山崎賢人)や橋口太郎(浜野謙太)たちが患者の子どもたちとテレビを食い入るように見ている。番組には天才ボーイソプラノ歌手、羽山響(城桧吏)が素晴らしい歌声を披露していた。特に患者の武智倫太朗(斎藤汰鷹)は響の大ファン。そして、倫太朗たちは院内で行われるお楽しみ会で合唱を披露することになっていた。  その響が喉の不調を訴え、父の徹郎(三浦誠己)に伴われて東郷記念病院に来た。瀬戸夏美(上野樹里)が診察すると、喉がひどい炎症を起こしている。カンファレンス室で響の造影CT結果を見ながら意見を交わす医師たち。すると高山誠司(藤木直人)が湊に所見を求めた。湊は画像から下咽頭梨状窩瘻と判断。高山が正解だと告げると喜ぶ湊。しかし、夏美は高山が湊を画像診断科に転科させると言っていたことが気になっていた。  響には早急の手術が必要だったが、喉の手術のため術後に高音が出なくなることが懸念される。夏美の説明に徹郎は、歌手である響にそんなリスクのある手術は受けさせられないと反発する。  ともかく入院することになった響。それを知った倫太朗たちは大喜び。湊は倫太朗たちと響の個室に行く。だが、響は倫太朗たちに冷たい。また、湊が響を倫太朗たちの合唱に誘おうとしたと知った徹郎の怒りも買ってしまう。さらに響の早急な手術を求めた湊は徹郎とぶつかってしまい、高山から転科を直接求められることになった。</t>
  </si>
  <si>
    <t>番組名&lt;木曜劇場&gt;グッド・ドクター【私の赤ちゃんを救って…母体か子か…】　#06</t>
  </si>
  <si>
    <t>新堂湊(山崎賢人)の転科は、瀬戸夏美(上野樹里)の高山誠司(藤木直人)への助言も得て無くなった。高山から当直医も任されることになった湊は、さらに生き生きと働き出す。だが、夏美は湊が心配。湊の父、航(遠山俊也)から連絡先が書かれたメモを渡して欲しいと頼まれていたからだ。湊が航から虐待を受けていたことを知る夏美は、司賀明(柄本明)に相談。すると司賀は、この件は自分に預けて欲しいとメモを預かった。  高山は医局に湊たちを集める。そこには産婦人科医の鶴田皐月(堀内敬子)が来ていた。皐月の要件は出産間近の患者、水野理香(篠原ゆき子)のこと。理香の胎児にリンパ管腫が見つかり、このままでは正常な分娩が出来ない。そのため、帝王切開の分娩時に臍帯を切り離さず血行を確保したまま胎児に処置を行うEXITという手術を、小児外科医に依頼する。だが、理香は周産期心筋症を患っているため胎児の処置は30分以内で終わらなければならない。リスクを伴う手術に間宮啓介(戸次重幸)は反対する。だが、高山は患者が望むならと請け負い、助手に夏美と湊を指名した。  湊と夏美は病室へ行き、子どもだけでも助けて欲しいという理香の強い思いを知る。湊はEXITに関する大量の文献を読み漁った。だが、その帰り道、湊は航に声をかけられる。怯える湊を、会いたかったと抱きしめる航。湊は航と食事に行くことを約束する。これを知った夏美は司賀に報告して…。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金井紘、相沢秀幸最新情報は、以下URLまでアクセスしてください。  ★公式HP　  http://www.fujitv.co.jp/gooddoctor/　  ★公式Twitter　  https://twitter.com/GoodDoctor2018　  ★公式instagram　  @gooddoctor_yuanikki</t>
  </si>
  <si>
    <t>新堂湊(山崎賢人)の転科は、瀬戸夏美(上野樹里)の高山誠司(藤木直人)への助言も得て無くなった。高山から当直医も任されることになった湊は、さらに生き生きと働き出す。だが、夏美は湊が心配。湊の父、航(遠山俊也)から連絡先が書かれたメモを渡して欲しいと頼まれていたからだ。湊が航から虐待を受けていたことを知る夏美は、司賀明(柄本明)に相談。すると司賀は、この件は自分に預けて欲しいとメモを預かった。  高山は医局に湊たちを集める。そこには産婦人科医の鶴田皐月(堀内敬子)が来ていた。皐月の要件は出産間近の患者、水野理香(篠原ゆき子)のこと。理香の胎児にリンパ管腫が見つかり、このままでは正常な分娩が出来ない。そのため、帝王切開の分娩時に臍帯を切り離さず血行を確保したまま胎児に処置を行うEXITという手術を、小児外科医に依頼する。だが、理香は周産期心筋症を患っているため胎児の処置は30分以内で終わらなければならない。リスクを伴う手術に間宮啓介(戸次重幸)は反対する。だが、高山は患者が望むならと請け負い、助手に夏美と湊を指名した。  湊と夏美は病室へ行き、子どもだけでも助けて欲しいという理香の強い思いを知る。湊はEXITに関する大量の文献を読み漁った。だが、その帰り道、湊は航に声をかけられる。怯える湊を、会いたかったと抱きしめる航。湊は航と食事に行くことを約束する。これを知った夏美は司賀に報告して…。</t>
  </si>
  <si>
    <t>番組名&lt;木曜劇場&gt;グッド・ドクター【かつての小児外科患者がまた入院!?】　#07</t>
  </si>
  <si>
    <t>最新情報は、以下URLまでアクセスしてください。  ★公式HP　  http://www.fujitv.co.jp/gooddoctor/　  ★公式Twitter　  https://twitter.com/GoodDoctor2018　  ★公式instagram　  @gooddoctor_yuanikki小児外科でカンファレンスが行なわれている。新堂湊(山崎賢人)は高山誠司(藤木直人)から森下伊代(松風理咲)の肝障がいへの対処法を聞かれ、正確に答えた。高山は湊を伊代の担当医に任じるが、同じレジデントの中島仁(浅香航大)は面白くない。瀬戸夏美(上野樹里)は自分にもわからなかった対処法なので仕方がないと中島を慰める。  夏美を訪ねて倉田菜々子(福田麻由子)が病院に来た。菜々子はかつて夏美が担当した患者。現在は保育士として働く菜々子は、同僚の馬渕健太郎(藤原季節)からプロポーズされたが卵巣摘出手術を受けたことを言い出せないでいた。そこで、夏美から健太郎へ話して欲しいというのだ。夏美は健太郎に説明する。卵巣がひとつ残っていれば妊娠も可能だと言う説明に健太郎は、気持ちは変わらないと答えて結婚へと進むことになった。  一方、高山は東郷美智(中村ゆり)から別れを切り出された。経営者として小児外科廃止へ向かう美智は、高山とは一緒にいられないと告げる。高山もチームを必ず守ると別れを承諾。美智は司賀明(柄本明)にも病院の方針を告げた。その時、美智は院長室のゴミ箱に司賀本人の診断書を見つけてしまう。  菜々子は母の良枝(山下容莉枝)に健太郎との結婚を報告。だが、激しい頭痛に見舞われて東郷記念病院に緊急搬送された。菜々子の担当医は本人の希望で夏美となり、伊代と同じ病室に入院する。菜々子は脳に異常はなかったが…。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t>
  </si>
  <si>
    <t>小児外科でカンファレンスが行なわれている。新堂湊(山崎賢人)は高山誠司(藤木直人)から森下伊代(松風理咲)の肝障がいへの対処法を聞かれ、正確に答えた。高山は湊を伊代の担当医に任じるが、同じレジデントの中島仁(浅香航大)は面白くない。瀬戸夏美(上野樹里)は自分にもわからなかった対処法なので仕方がないと中島を慰める。  夏美を訪ねて倉田菜々子(福田麻由子)が病院に来た。菜々子はかつて夏美が担当した患者。現在は保育士として働く菜々子は、同僚の馬渕健太郎(藤原季節)からプロポーズされたが卵巣摘出手術を受けたことを言い出せないでいた。そこで、夏美から健太郎へ話して欲しいというのだ。夏美は健太郎に説明する。卵巣がひとつ残っていれば妊娠も可能だと言う説明に健太郎は、気持ちは変わらないと答えて結婚へと進むことになった。  一方、高山は東郷美智(中村ゆり)から別れを切り出された。経営者として小児外科廃止へ向かう美智は、高山とは一緒にいられないと告げる。高山もチームを必ず守ると別れを承諾。美智は司賀明(柄本明)にも病院の方針を告げた。その時、美智は院長室のゴミ箱に司賀本人の診断書を見つけてしまう。  菜々子は母の良枝(山下容莉枝)に健太郎との結婚を報告。だが、激しい頭痛に見舞われて東郷記念病院に緊急搬送された。菜々子の担当医は本人の希望で夏美となり、伊代と同じ病室に入院する。菜々子は脳に異常はなかったが…。</t>
  </si>
  <si>
    <t>番組名&lt;木曜劇場&gt;グッド・ドクター【大病を患う幼い弟…兄が抱える想い…】　#08</t>
  </si>
  <si>
    <t>新堂湊(山崎賢人)は森下伊代(松風理咲)の恋にお付き合い。伊代は滝川亮平(萩原利久)が好きなのだが、恥ずかしくて声をかけることすら出来なかった。湊には伊代の気持ちがわからない。病と闘いながらも入院生活を少しでも楽しく過ごそうとする子どもたちがいる一方、深刻な問題に直面する子どももいる。  瀬戸夏美(上野樹里)は患者の早見陽翔(鳥越壮真)と母、香織(酒井若菜)と長男の翔太(池田優斗)を心配していた。香織は高山誠司(藤木直人)に陽翔を診てもらうため翔太を連れ、夫を残して東京へ来ている。夏美は香織の看病疲れはもちろんだが、陽翔のために転校した翔太の環境の変化も気にかけていた。  夏美と湊が回診に行くと、陽翔が次の日曜日に外出したいと願い出る。湊が、外出には高山の許可が必要だと説明していると、香織が階段から転落して運ばれて来たと連絡が入った。病室に運ばれた香織は、命に別状のあるような怪我はなかったが「陽翔には今日は家の用事で行けなくなったと話して欲しい」と夏美たちに頼む。すると付き添ってきた翔太が部屋を出て行く。  湊は翔太を追いかけ、陽翔の病室に案内しようとする。だが、翔太は湊の言葉を聞こうともせずに去ってしまった。湊は翔太がなぜトゲトゲしくなっているのか理解出来ない。  その日、湊は帰り道に酔っ払って管を巻く男に出くわす。それは間宮啓介(戸次重幸)。間宮も翔太のようにトゲトゲしいと湊は感じる。山崎賢人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金井紘、相沢秀幸最新情報は、以下URLまでアクセスしてください。  ★公式HP　  http://www.fujitv.co.jp/gooddoctor/　  ★公式Twitter　  https://twitter.com/GoodDoctor2018　  ★公式instagram　  @gooddoctor_yuanikki</t>
  </si>
  <si>
    <t>新堂湊(山崎賢人)は森下伊代(松風理咲)の恋にお付き合い。伊代は滝川亮平(萩原利久)が好きなのだが、恥ずかしくて声をかけることすら出来なかった。湊には伊代の気持ちがわからない。病と闘いながらも入院生活を少しでも楽しく過ごそうとする子どもたちがいる一方、深刻な問題に直面する子どももいる。  瀬戸夏美(上野樹里)は患者の早見陽翔(鳥越壮真)と母、香織(酒井若菜)と長男の翔太(池田優斗)を心配していた。香織は高山誠司(藤木直人)に陽翔を診てもらうため翔太を連れ、夫を残して東京へ来ている。夏美は香織の看病疲れはもちろんだが、陽翔のために転校した翔太の環境の変化も気にかけていた。  夏美と湊が回診に行くと、陽翔が次の日曜日に外出したいと願い出る。湊が、外出には高山の許可が必要だと説明していると、香織が階段から転落して運ばれて来たと連絡が入った。病室に運ばれた香織は、命に別状のあるような怪我はなかったが「陽翔には今日は家の用事で行けなくなったと話して欲しい」と夏美たちに頼む。すると付き添ってきた翔太が部屋を出て行く。  湊は翔太を追いかけ、陽翔の病室に案内しようとする。だが、翔太は湊の言葉を聞こうともせずに去ってしまった。湊は翔太がなぜトゲトゲしくなっているのか理解出来ない。  その日、湊は帰り道に酔っ払って管を巻く男に出くわす。それは間宮啓介(戸次重幸)。間宮も翔太のようにトゲトゲしいと湊は感じる。</t>
  </si>
  <si>
    <t>番組名&lt;木曜劇場&gt;グッド・ドクター【移植しないと助からない…姉妹の想い】　#09</t>
  </si>
  <si>
    <t>新堂湊(山崎賢人)は、瀬戸夏美(上野樹里)や高山誠司(藤木直人)たち小児外科チームの一員として認められてきた。そんな時、東郷記念病院の経営を立て直すために病院を高齢者向け療養施設にする改革案が会議で可決される。小児外科と産婦人科の年内廃止も決定されてしまった。  湊が担当する森下伊代(松風理咲)が倒れた。湊は夏美とともに伊代の姉、汐里(松井愛莉)に病状を説明。伊代には小腸の移植が必要と聞いた汐里は、ドナーになると言う。また汐里は湊たちに、伊代には自分から説明したいと頼んだ。  高山は脳神経外科の盛岡豊(東根作寿英)から、患者の滝川亮平(萩原利久)についての相談を持ちかけられる。亮平はバスケの練習中に頭を強打したことから水頭症を発症。通常なら脳内に溜まった脳脊髄液を腹腔に流す手術を行うのだが、亮平は腹膜炎の既往で腹腔にひどい癒着があるためこの方法が取れない。また、盛岡は亮平が頭を打った時に腰髄も損傷したため、水頭症が改善されても歩行が困難になることも話す。それは両親の希望で亮平には伝えていないと言う。高山は自分たちに出来ることをするだけだと、小児外科チームにまずは水頭症の治療法を見つけることを指示する。  亮平は伊代の隣の病室に移されて来る。大喜びの伊代だが、自分の症状やドナーの件は、まだ汐里から知らされていなかった。一方、夏美は担当となった亮平の病状を猪口隆之介(板尾創路)から聞かれる。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金井紘、相沢秀幸最新情報は、以下URLまでアクセスしてください。  ★公式HP　  http://www.fujitv.co.jp/gooddoctor/　  ★公式Twitter　  https://twitter.com/GoodDoctor2018　  ★公式instagram　  @gooddoctor_yuanikki</t>
  </si>
  <si>
    <t>新堂湊(山崎賢人)は、瀬戸夏美(上野樹里)や高山誠司(藤木直人)たち小児外科チームの一員として認められてきた。そんな時、東郷記念病院の経営を立て直すために病院を高齢者向け療養施設にする改革案が会議で可決される。小児外科と産婦人科の年内廃止も決定されてしまった。  湊が担当する森下伊代(松風理咲)が倒れた。湊は夏美とともに伊代の姉、汐里(松井愛莉)に病状を説明。伊代には小腸の移植が必要と聞いた汐里は、ドナーになると言う。また汐里は湊たちに、伊代には自分から説明したいと頼んだ。  高山は脳神経外科の盛岡豊(東根作寿英)から、患者の滝川亮平(萩原利久)についての相談を持ちかけられる。亮平はバスケの練習中に頭を強打したことから水頭症を発症。通常なら脳内に溜まった脳脊髄液を腹腔に流す手術を行うのだが、亮平は腹膜炎の既往で腹腔にひどい癒着があるためこの方法が取れない。また、盛岡は亮平が頭を打った時に腰髄も損傷したため、水頭症が改善されても歩行が困難になることも話す。それは両親の希望で亮平には伝えていないと言う。高山は自分たちに出来ることをするだけだと、小児外科チームにまずは水頭症の治療法を見つけることを指示する。  亮平は伊代の隣の病室に移されて来る。大喜びの伊代だが、自分の症状やドナーの件は、まだ汐里から知らされていなかった。一方、夏美は担当となった亮平の病状を猪口隆之介(板尾創路)から聞かれる。</t>
  </si>
  <si>
    <t>番組名&lt;木曜劇場&gt;グッド・ドクター【涙の最終話…命をつなぐ小児外科医…】　#10</t>
  </si>
  <si>
    <t>最新情報は、以下URLまでアクセスしてください。  ★公式HP　  http://www.fujitv.co.jp/gooddoctor/　  ★公式Twitter　  https://twitter.com/GoodDoctor2018　  ★公式instagram　  @gooddoctor_yuanikki東郷記念病院は小児外科の廃止へと向かっていた。だが、新堂湊(山崎賢人)はステージ4のガンで倒れた司賀明(柄本明)に病室で付き添っている。これまでずっと支えてきてくれた司賀の病状を初めて知り、湊はショックを隠せない。その時、湊に森下伊代(松風理咲)の急変を知らせる連絡が入る。司賀に、今心配すべきなのは自分ではなく子どもたちだと促された湊は、伊代の病室へ急ぐ。瀬戸夏美(上野樹里)ら小児外科医を集めた高山誠司(藤木直人)は、伊代が肝硬変も患っていると話す。そして、放置すれば肝不全になるため、すぐにでも肝臓の移植手術が必要だと続けた。しかし、伊代は小腸の移植も予定されている。高山は肝臓と小腸の同時移植以外に伊代を助ける方法はないと告げるも、小腸と肝臓の同時移植は国内で実施された例は少なく、高山ですら行ったことがない。そこにER(救急救命室)から川で溺れた少女、吉本美咲(古川凛)が心肺停止状態で運び込まれたと連絡が入る…。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t>
  </si>
  <si>
    <t>東郷記念病院は小児外科の廃止へと向かっていた。だが、新堂湊(山崎賢人)はステージ4のガンで倒れた司賀明(柄本明)に病室で付き添っている。これまでずっと支えてきてくれた司賀の病状を初めて知り、湊はショックを隠せない。その時、湊に森下伊代(松風理咲)の急変を知らせる連絡が入る。司賀に、今心配すべきなのは自分ではなく子どもたちだと促された湊は、伊代の病室へ急ぐ。瀬戸夏美(上野樹里)ら小児外科医を集めた高山誠司(藤木直人)は、伊代が肝硬変も患っていると話す。そして、放置すれば肝不全になるため、すぐにでも肝臓の移植手術が必要だと続けた。しかし、伊代は小腸の移植も予定されている。高山は肝臓と小腸の同時移植以外に伊代を助ける方法はないと告げるも、小腸と肝臓の同時移植は国内で実施された例は少なく、高山ですら行ったことがない。そこにER(救急救命室)から川で溺れた少女、吉本美咲(古川凛)が心肺停止状態で運び込まれたと連絡が入る…。</t>
  </si>
  <si>
    <t>1804_CX_月21</t>
  </si>
  <si>
    <t>コンフィデンスマンJP</t>
  </si>
  <si>
    <t>番組名コンフィデンスマンJP【ゴッドファーザー編!初回ゲスト江口洋介!】　#01</t>
  </si>
  <si>
    <t>http://www.fujitv.co.jp/confidenceman_jp/index.htmlダー子(長澤まさみ)は、天才的な頭脳と抜群の集中力で、難解な専門知識も短期間でマスターしてしまうコンフィデンスウーマン=信用詐欺師。高級ホテルのスイートルームに居を構える、破天荒な上に天然で、いい加減なところもある女性だ。そんなダー子と組んでいるのは、お人よしで小心者ゆえにいつもダー子に振り回され、早く詐欺師稼業から足を洗って真っ当に生きたいと願っているボクちゃん(東出昌大)と、超一流の変装技術を持ち、生まれながらの品の良さを生かして相手を騙すリチャード(小日向文世)だ。  ダー子が新たなターゲットとして目を付けたのは、公益財団『あかぼし』の会長・赤星栄介(江口洋介)。表の顔は文化芸術やスポーツの振興、慈善事業にいそしむ名士だが、その裏では経済ヤクザとして暗躍し、日本のゴッドファーザーとも呼ばれる男だった。赤星は何よりも仲間を大切にし、そのファミリーは鉄の結束で結ばれているとも言われていた。ダー子は、国税庁からマークされている赤星が、莫大な現金資産を海外に持ち出そうともくろんでいると推測。貨物船舶の船長に扮したリチャードを赤星に接触させる。ところが、なぜかその正体がバレてしまったリチャードは瀕死の重傷を負い、病院に収容されてしまう。詐欺師稼業をやめて一度はダー子のもとを離れていたボクちゃんは、知らせを受けてリチャードの敵を討つと決意。ダー子とともに赤星を騙すための作戦を立てるが…。長澤まさみ　  東出昌大　  小日向文世　    〈第1話ゲスト〉  江口洋介　  未唯mie【脚本】  古沢良太　    【企画】  成河広明　    【プロデュース】  草ヶ谷大輔　  古郡真也(FILM)　    【演出】  田中亮　  金井紘　  三橋利行(FILM)　    【音楽】  fox　capture　plan　    【主題歌】  「ノーダウト」Official髭男dism　    【制作】  フジテレビ</t>
  </si>
  <si>
    <t>ダー子(長澤まさみ)は、天才的な頭脳と抜群の集中力で、難解な専門知識も短期間でマスターしてしまうコンフィデンスウーマン=信用詐欺師。高級ホテルのスイートルームに居を構える、破天荒な上に天然で、いい加減なところもある女性だ。そんなダー子と組んでいるのは、お人よしで小心者ゆえにいつもダー子に振り回され、早く詐欺師稼業から足を洗って真っ当に生きたいと願っているボクちゃん(東出昌大)と、超一流の変装技術を持ち、生まれながらの品の良さを生かして相手を騙すリチャード(小日向文世)だ。  ダー子が新たなターゲットとして目を付けたのは、公益財団『あかぼし』の会長・赤星栄介(江口洋介)。表の顔は文化芸術やスポーツの振興、慈善事業にいそしむ名士だが、その裏では経済ヤクザとして暗躍し、日本のゴッドファーザーとも呼ばれる男だった。赤星は何よりも仲間を大切にし、そのファミリーは鉄の結束で結ばれているとも言われていた。ダー子は、国税庁からマークされている赤星が、莫大な現金資産を海外に持ち出そうともくろんでいると推測。貨物船舶の船長に扮したリチャードを赤星に接触させる。ところが、なぜかその正体がバレてしまったリチャードは瀕死の重傷を負い、病院に収容されてしまう。詐欺師稼業をやめて一度はダー子のもとを離れていたボクちゃんは、知らせを受けてリチャードの敵を討つと決意。ダー子とともに赤星を騙すための作戦を立てるが…。</t>
  </si>
  <si>
    <t>番組名コンフィデンスマンJP【長澤まさみVS吉瀬美智子!リゾート王編】　#02</t>
  </si>
  <si>
    <t>http://www.fujitv.co.jp/confidenceman_jp/index.html信用詐欺師のダー子(長澤まさみ)、ボクちゃん(東出昌大)、リチャード(小日向文世)の3人は、ロシアンマフィアを騙そうとして失敗し、命からがら何とか逃げ切る。この1件で危険な目に遭ったボクちゃんは、ダー子たちと縁を切ると宣言し、職探しを始めた。やがてボクちゃんは、ひなびた温泉町にある老舗旅館『すずや』にたどり着き、住み込みで働く機会を得る。  ところが、そのすずやは2年前に隣町に大手ホテルチェーン・桜田リゾートが出来てから経営不振が続いていた。追い詰められたすずやの女将・操(本仮屋ユイカ)は、旅館を桜田リゾートに売却することを決意する。桜田リゾートの社長・桜田しず子(吉瀬美智子)は、経営難の旅館やリゾート施設を買い取っては見事によみがえらせ、業界の救世主とも呼ばれていた。しかしその裏では、収賄や談合、地上げと手段を選ばないやり口で、日本の観光を牛耳ろうとしていた。  操の前に現れたしず子は、すずやの資産価値を0円と査定し、約束していた従業員の再雇用も反故(ほご)にしようとする。そのやり方に怒ったボクちゃんは、ダー子たちに協力を依頼し、すずやを救うためにしず子から金をせしめようと決意する。  その頃しず子たちは、カジノを中心にした国の統合型リゾート開発に食い込もうとしていた。それを知ったダー子は、猛勉強の末、桜田リゾートのインターンになり、しず子に接触するが…。長澤まさみ　  東出昌大　  小日向文世　    〈第2話ゲスト〉  吉瀬美智子　  本仮屋ユイカ【脚本】  古沢良太　    【企画】  成河広明　    【プロデュース】  草ヶ谷大輔　  古郡真也(FILM)　    【演出】  田中亮　  金井紘　  三橋利行(FILM)　    【音楽】  fox　capture　plan　    【主題歌】  「ノーダウト」Official髭男dism　    【制作】  フジテレビ</t>
  </si>
  <si>
    <t>信用詐欺師のダー子(長澤まさみ)、ボクちゃん(東出昌大)、リチャード(小日向文世)の3人は、ロシアンマフィアを騙そうとして失敗し、命からがら何とか逃げ切る。この1件で危険な目に遭ったボクちゃんは、ダー子たちと縁を切ると宣言し、職探しを始めた。やがてボクちゃんは、ひなびた温泉町にある老舗旅館『すずや』にたどり着き、住み込みで働く機会を得る。  ところが、そのすずやは2年前に隣町に大手ホテルチェーン・桜田リゾートが出来てから経営不振が続いていた。追い詰められたすずやの女将・操(本仮屋ユイカ)は、旅館を桜田リゾートに売却することを決意する。桜田リゾートの社長・桜田しず子(吉瀬美智子)は、経営難の旅館やリゾート施設を買い取っては見事によみがえらせ、業界の救世主とも呼ばれていた。しかしその裏では、収賄や談合、地上げと手段を選ばないやり口で、日本の観光を牛耳ろうとしていた。  操の前に現れたしず子は、すずやの資産価値を0円と査定し、約束していた従業員の再雇用も反故(ほご)にしようとする。そのやり方に怒ったボクちゃんは、ダー子たちに協力を依頼し、すずやを救うためにしず子から金をせしめようと決意する。  その頃しず子たちは、カジノを中心にした国の統合型リゾート開発に食い込もうとしていた。それを知ったダー子は、猛勉強の末、桜田リゾートのインターンになり、しず子に接触するが…。</t>
  </si>
  <si>
    <t>番組名コンフィデンスマンJP【長澤まさみvs石黒賢!セクハラ美術商と対決】　#03</t>
  </si>
  <si>
    <t>コンフィデンスマン=信用詐欺師のダー子(長澤まさみ)、ボクちゃん(東出昌大)、リチャード(小日向文世)は、新たなターゲットとして高名な美術評論家・城ケ崎善三(石黒賢)に狙いを定める。  城ケ崎は、貧しい家庭に生まれ育った。画家だった父は、才能に恵まれなかったものの気位だけは高かったため、母と共に苦労してきたという。美術評論家になったのも父のような画家に引導を渡すためだった。独学で古今東西のあらゆる芸術作品を学んだ城ケ崎は、バブル崩壊後に行方不明になっていたいくつかの名画を発掘して名をはせ、今では美術品を鑑定する冠番組まで持っていた。しかしその本性は、女癖が悪い上に、持ち込まれた美術品の真贋を偽って安く買い上げ、裏社会の顧客に密かに売却して大儲けしている欲と金にまみれた男だった。  ダー子は、中国人バイヤーに化けて城ケ崎のオークションハウスに潜入し、金に糸目をつけずに大量の作品を買い上げることで彼の信頼を得る。さらにダー子は、旧知の贋作(がんさく)画家で、あらゆる時代の有名画家のタッチを知り尽くしているという伴友則(でんでん)に、ピカソの“まだ世に知られていない作品"の制作を依頼するが…。長澤まさみ　  東出昌大　  小日向文世　    〈第3話ゲスト〉  石黒賢【脚本】  古沢良太　    【企画】  成河広明　    【プロデュース】  草ヶ谷大輔　  古郡真也(FILM)　    【演出】  田中亮　  金井紘　  三橋利行(FILM)　    【音楽】  fox　capture　plan　    【主題歌】  「ノーダウト」Official髭男dism　    【制作】  フジテレビhttp://www.fujitv.co.jp/confidenceman_jp/index.html</t>
  </si>
  <si>
    <t>コンフィデンスマン=信用詐欺師のダー子(長澤まさみ)、ボクちゃん(東出昌大)、リチャード(小日向文世)は、新たなターゲットとして高名な美術評論家・城ケ崎善三(石黒賢)に狙いを定める。  城ケ崎は、貧しい家庭に生まれ育った。画家だった父は、才能に恵まれなかったものの気位だけは高かったため、母と共に苦労してきたという。美術評論家になったのも父のような画家に引導を渡すためだった。独学で古今東西のあらゆる芸術作品を学んだ城ケ崎は、バブル崩壊後に行方不明になっていたいくつかの名画を発掘して名をはせ、今では美術品を鑑定する冠番組まで持っていた。しかしその本性は、女癖が悪い上に、持ち込まれた美術品の真贋を偽って安く買い上げ、裏社会の顧客に密かに売却して大儲けしている欲と金にまみれた男だった。  ダー子は、中国人バイヤーに化けて城ケ崎のオークションハウスに潜入し、金に糸目をつけずに大量の作品を買い上げることで彼の信頼を得る。さらにダー子は、旧知の贋作(がんさく)画家で、あらゆる時代の有名画家のタッチを知り尽くしているという伴友則(でんでん)に、ピカソの“まだ世に知られていない作品"の制作を依頼するが…。</t>
  </si>
  <si>
    <t>コンフィデンスマン=信用詐欺師のダー子(長澤まさみ)、ボクちゃん(東出昌大)、リチャード(小日向文世)は、新たなターゲットとして高名な美術評論家・城ケ崎善三(石黒賢)に狙いを定める。  城ケ崎は、貧しい家庭に生まれ育った。画家だった父は、才能に恵まれなかったものの気位だけは高かったため、母と共に苦労してきたという。美術評論家になったのも父のような画家に引導を渡すためだった。独学で古今東西のあらゆる芸術作品を学んだ城ケ崎は、バブル崩壊後に行方不明になっていたいくつかの名画を発掘して名をはせ、今では美術品を鑑定する冠番組まで持っていた。しかしその本性は、女癖が悪い上に、持ち込まれた美術品の真贋を偽って安く買い上げ、裏社会の顧客に密かに売却して大儲けしている欲と金にまみれた男だった。  ダー子は、中国人バイヤーに化けて城ケ崎のオークションハウスに潜入し、金に糸目をつけずに大量の作品を買い上げることで彼の信頼を得る。さらにダー子は、旧知の贋作(がんさく)画家で、あらゆる時代の有名画家のタッチを知り尽くしているという伴友則(でんでん)に、ピカソの“まだ世に知られていない作品"の制作を依頼するが…。長澤まさみ　  東出昌大　  小日向文世　    〈第3話ゲスト〉  石黒賢【脚本】  古沢良太　    【企画】  成河広明　    【プロデュース】  草ヶ谷大輔　  古郡真也(FILM)　    【演出】  田中亮　  金井紘　  三橋利行(FILM)　    【音楽】  fox　capture　plan　    【主題歌】  「ノーダウト」Official髭男dism　    【制作】  フジテレビhttp://www.fujitv.co.jp/confidenceman_jp/index.</t>
  </si>
  <si>
    <t>番組名コンフィデンスマンJP【長澤まさみVS映画マニア佐野史郎!】　#04</t>
  </si>
  <si>
    <t>http://www.fujitv.co.jp/confidenceman_jp/index.htmlダー子(長澤まさみ)は、食品メーカー・俵屋フーズで工場長を務めている宮下正也(近藤公園)が、自社製品の産地偽装を告発しようとしていたことを知る。看板ヒット商品の缶詰「うなぎのカレー煮」で、外国産のうなぎを国産だと偽って使用していたのだ。しかし宮下は、同社社長・俵屋勤(佐野史郎)の脅しに屈し、告発文を出すことはできなかった。俵屋は典型的な二代目のお坊ちゃんで、公私ともにやりたい放題、社員へのどう喝、セクハラも日常茶飯事、というとんでもない男だった。  そんな俵屋を新たなターゲットに選んだダー子は、彼が熱狂的な映画ファンであることに注目する。ダー子たちは、俵屋が定期購読している『月刊キネマ新報』を“映画人が愛した銀座のカフェバー・スワンソン"なる記事を載せたニセモノと差し替えて、彼をその店に誘い込むことに成功する。  そこで、新人映画監督に扮したボクちゃん(東出昌大)と、映画プロデューサー役のリチャード(小日向文世)が巧みに俵屋に近づき、オールスターキャストで制作されるという新作時代劇映画への出資を持ちかける。ところが俵屋は、ボクちゃんたちの話にかなり興奮していたにもかかわらず、なぜか出資話には興味を示さず…。長澤まさみ　  東出昌大　  小日向文世　    〈第4話ゲスト〉  佐野史郎【脚本】  古沢良太　    【企画】  成河広明　    【プロデュース】  草ヶ谷大輔　  古郡真也(FILM)　    【演出】  田中亮　  金井紘　  三橋利行(FILM)　    【音楽】  fox　capture　plan　    【主題歌】  「ノーダウト」Official髭男dism　    【制作】  フジテレビ</t>
  </si>
  <si>
    <t>ダー子(長澤まさみ)は、食品メーカー・俵屋フーズで工場長を務めている宮下正也(近藤公園)が、自社製品の産地偽装を告発しようとしていたことを知る。看板ヒット商品の缶詰「うなぎのカレー煮」で、外国産のうなぎを国産だと偽って使用していたのだ。しかし宮下は、同社社長・俵屋勤(佐野史郎)の脅しに屈し、告発文を出すことはできなかった。俵屋は典型的な二代目のお坊ちゃんで、公私ともにやりたい放題、社員へのどう喝、セクハラも日常茶飯事、というとんでもない男だった。  そんな俵屋を新たなターゲットに選んだダー子は、彼が熱狂的な映画ファンであることに注目する。ダー子たちは、俵屋が定期購読している『月刊キネマ新報』を“映画人が愛した銀座のカフェバー・スワンソン"なる記事を載せたニセモノと差し替えて、彼をその店に誘い込むことに成功する。  そこで、新人映画監督に扮したボクちゃん(東出昌大)と、映画プロデューサー役のリチャード(小日向文世)が巧みに俵屋に近づき、オールスターキャストで制作されるという新作時代劇映画への出資を持ちかける。ところが俵屋は、ボクちゃんたちの話にかなり興奮していたにもかかわらず、なぜか出資話には興味を示さず…。</t>
  </si>
  <si>
    <t>番組名コンフィデンスマンJP【長澤まさみVS大病院の悪徳理事長かたせ梨乃】　#05</t>
  </si>
  <si>
    <t>http://www.fujitv.co.jp/confidenceman_jp/index.htmlダー子(長澤まさみ)たちは、野々宮総合病院理事長の野々宮ナンシー(かたせ梨乃)を新たなターゲットにする。虫垂炎を起こしたリチャード(小日向文世)の手術を担当した同病院の外科医・田淵安晴(正名僕蔵)を、ナンシーがクビにしたのがきっかけだった。  芸能界で活躍した元モデルのナンシーは、開業医と玉の輿婚をした。夫亡き後は病院の経営を引き継ぎ、知名度とイメージ戦略を駆使して成功を収めていた。その中心にいるのが、ナンシーの息子でもある外科医の新琉(永井大)だった。新琉は、困難な手術を次々と成功させ、若きスーパードクターとしてマスコミからも注目されていた。だが、実は新琉の功績のほとんどはオペチームの他の医師によるもので、中でも特に難しい手術を手がけていたのが田淵だった。ナンシーは、薄給に耐えかねて他の病院に移ろうとした田淵に激怒し、医療過誤をでっち上げて彼を医学界から締め出したのだ。ナンシーたちが必死になって田淵の後任を探していると読んだダー子は、ボストンの名医の指導を受けたという触れ込みでボクちゃん(東出昌大)を売り込む。ボクちゃんは、ナンシーがゴルフレッスン中に腰を痛めたという情報をもとに、精密検査を受けるよう持ちかけ……。長澤まさみ　  東出昌大　  小日向文世　    〈第5話ゲスト〉  かたせ梨乃　  永井大　  正名僕蔵【脚本】  古沢良太　    【企画】  成河広明　    【プロデュース】  草ヶ谷大輔　  古郡真也(FILM)　    【演出】  田中亮　  金井紘　  三橋利行(FILM)　    【音楽】  fox　capture　plan　    【主題歌】  「ノーダウト」Official髭男dism　    【制作】  フジテレビ</t>
  </si>
  <si>
    <t>ダー子(長澤まさみ)たちは、野々宮総合病院理事長の野々宮ナンシー(かたせ梨乃)を新たなターゲットにする。虫垂炎を起こしたリチャード(小日向文世)の手術を担当した同病院の外科医・田淵安晴(正名僕蔵)を、ナンシーがクビにしたのがきっかけだった。  芸能界で活躍した元モデルのナンシーは、開業医と玉の輿婚をした。夫亡き後は病院の経営を引き継ぎ、知名度とイメージ戦略を駆使して成功を収めていた。その中心にいるのが、ナンシーの息子でもある外科医の新琉(永井大)だった。新琉は、困難な手術を次々と成功させ、若きスーパードクターとしてマスコミからも注目されていた。だが、実は新琉の功績のほとんどはオペチームの他の医師によるもので、中でも特に難しい手術を手がけていたのが田淵だった。ナンシーは、薄給に耐えかねて他の病院に移ろうとした田淵に激怒し、医療過誤をでっち上げて彼を医学界から締め出したのだ。ナンシーたちが必死になって田淵の後任を探していると読んだダー子は、ボストンの名医の指導を受けたという触れ込みでボクちゃん(東出昌大)を売り込む。ボクちゃんは、ナンシーがゴルフレッスン中に腰を痛めたという情報をもとに、精密検査を受けるよう持ちかけ……。</t>
  </si>
  <si>
    <t>番組名コンフィデンスマンJP【長澤まさみVS強欲非道のエリート内村光良】　#06</t>
  </si>
  <si>
    <t>http://www.fujitv.co.jp/confidenceman_jp/index.html自転車で一人旅をしていたボクちゃん(東出昌大)は、山間にある十色村でラーメン店を営む夫妻と知り合う。夫妻は、この村に特産品などを販売する「ふるさとふれあいモール」が出来ることを喜んでいた。ところがその2年後、再び村を訪れたボクちゃんは、ふれあいモールがいつの間にか産業廃棄物処理場建設計画に変わっていることを知る。このプロジェクトを手掛けていたのは、地方再生や町おこしを得意とするコンサルタント、斑井満(内村光良)だった。斑井は、町おこしのプロジェクトを持ちかけてタダ同然の金額で土地を買い付けると、プロジェクトを頓挫させて、知り合いの産廃処理会社に土地を転売していた。  ボクちゃんは、ダー子(長澤まさみ)とリチャード(小日向文世)に、産廃処理場の建設工事を止める手助けを頼んだ。ダー子は、金にならないという理由で話に乗らなかったが、工事を止めるだけならその土地から遺跡があった証拠が出てくればいい、と助言する。  リチャードから縄文土器を借りたボクちゃんは、アルバイトに扮して潜入し、現場で土器を見つけたと報告する。すると斑井は、いきなりその土器を叩きつけて粉々に壊してしまう。  ボクちゃんを手伝うことにしたダー子は、五十嵐(小手伸也)に斑井の情報収集を依頼。彼の父親・万吉が、家族を顧みずに遺跡発掘に明け暮れていたアマチュアの考古学研究者だったことを知り…。長澤まさみ　  東出昌大　  小日向文世　    〈第6話ゲスト〉  内村光良【脚本】  古沢良太　    【企画】  成河広明　    【プロデュース】  草ヶ谷大輔　  古郡真也(FILM)　    【演出】  田中亮　  金井紘　  三橋利行(FILM)　    【音楽】  fox　capture　plan　    【主題歌】  「ノーダウト」Official髭男dism　    【制作】  フジテレビ</t>
  </si>
  <si>
    <t>自転車で一人旅をしていたボクちゃん(東出昌大)は、山間にある十色村でラーメン店を営む夫妻と知り合う。夫妻は、この村に特産品などを販売する「ふるさとふれあいモール」が出来ることを喜んでいた。ところがその2年後、再び村を訪れたボクちゃんは、ふれあいモールがいつの間にか産業廃棄物処理場建設計画に変わっていることを知る。このプロジェクトを手掛けていたのは、地方再生や町おこしを得意とするコンサルタント、斑井満(内村光良)だった。斑井は、町おこしのプロジェクトを持ちかけてタダ同然の金額で土地を買い付けると、プロジェクトを頓挫させて、知り合いの産廃処理会社に土地を転売していた。  ボクちゃんは、ダー子(長澤まさみ)とリチャード(小日向文世)に、産廃処理場の建設工事を止める手助けを頼んだ。ダー子は、金にならないという理由で話に乗らなかったが、工事を止めるだけならその土地から遺跡があった証拠が出てくればいい、と助言する。  リチャードから縄文土器を借りたボクちゃんは、アルバイトに扮して潜入し、現場で土器を見つけたと報告する。すると斑井は、いきなりその土器を叩きつけて粉々に壊してしまう。  ボクちゃんを手伝うことにしたダー子は、五十嵐(小手伸也)に斑井の情報収集を依頼。彼の父親・万吉が、家族を顧みずに遺跡発掘に明け暮れていたアマチュアの考古学研究者だったことを知り…。</t>
  </si>
  <si>
    <t>番組名コンフィデンスマンJP【長澤まさみVS竜雷太!前田敦子&amp;中尾明慶】　#07</t>
  </si>
  <si>
    <t>http://www.fujitv.co.jp/confidenceman_jp/index.htmlダー子(長澤まさみ)とボクちゃん(東出昌大)は、リチャード(小日向文世)の知り合いで、服役中の矢島理花(佐津川愛美)という女性が資産家の末娘であることを知る。  理花の父親は、鎌倉に住む資産家で現在闘病中の与論要造(竜雷太)という男だった。五十嵐(小手伸也)によれば、その正体は違法すれすれの株式操作で荒稼ぎしていた経済ヤクザだという。理花は要造が愛人に産ませた子どもだったため、母親や兄姉からひどいいじめを受けていたらしい。ゆえに理花は10歳のときに要造のもとを離れて実母のところに戻ったものの、結局17歳でその家も飛び出してしまっていた。  理花と面会したダー子は、彼女が要造の家を出て以来18年もの間、一度も連絡を取っていなかったことを知ると、理花に成りすまして要造のもとを訪ねる。理花の兄・祐弥(岡田義徳)と姉の弥栄(桜井ユキ)は、突然現れたダー子に疑いの目を向けていた。そんななか、ボクちゃんは、ダー子が要造に話した作り話のせいで、理花を振った造り酒屋の息子役を演じる羽目になり……。長澤まさみ　  東出昌大　  小日向文世　  小手伸也　    〈第7話ゲスト〉  竜雷太　  岡田義徳　  桜井ユキ【脚本】  古沢良太　    【企画】  成河広明　    【プロデュース】  草ヶ谷大輔　  古郡真也(FILM)　    【演出】  田中亮　  金井紘　  三橋利行(FILM)　    【音楽】  fox　capture　plan　    【主題歌】  「ノーダウト」Official髭男dism　    【制作】  フジテレビ</t>
  </si>
  <si>
    <t>ダー子(長澤まさみ)とボクちゃん(東出昌大)は、リチャード(小日向文世)の知り合いで、服役中の矢島理花(佐津川愛美)という女性が資産家の末娘であることを知る。  理花の父親は、鎌倉に住む資産家で現在闘病中の与論要造(竜雷太)という男だった。五十嵐(小手伸也)によれば、その正体は違法すれすれの株式操作で荒稼ぎしていた経済ヤクザだという。理花は要造が愛人に産ませた子どもだったため、母親や兄姉からひどいいじめを受けていたらしい。ゆえに理花は10歳のときに要造のもとを離れて実母のところに戻ったものの、結局17歳でその家も飛び出してしまっていた。  理花と面会したダー子は、彼女が要造の家を出て以来18年もの間、一度も連絡を取っていなかったことを知ると、理花に成りすまして要造のもとを訪ねる。理花の兄・祐弥(岡田義徳)と姉の弥栄(桜井ユキ)は、突然現れたダー子に疑いの目を向けていた。そんななか、ボクちゃんは、ダー子が要造に話した作り話のせいで、理花を振った造り酒屋の息子役を演じる羽目になり……。</t>
  </si>
  <si>
    <t>番組名コンフィデンスマンJP【長澤まさみVSパワハラ暴言経営者りょう!】　#08</t>
  </si>
  <si>
    <t>http://www.fujitv.co.jp/confidenceman_jp/index.htmlダー子(長澤まさみ)とボクちゃん(東出昌大)は、リチャード(小日向文世)からの頼みを引き受け、元モデルで女医の美濃部ミカ(りょう)をターゲットにする。以前リチャードは、福田ほのか(堀川杏美)が経営しているメンズエステ店に通っていた。だが、店を畳んでミカの会社に転職したほのかは、ミカからひどいパワハラを受け続けたことが原因で心身ともに病み、退職に追い込まれてしまったのだ。ほのかは、弁護士を名乗っていたリチャードに、ミカの暴言を録音したボイスレコーダーを託し、謝罪と慰謝料を求めていた。  ミカは、美容整形クリニックを開業後『ミカフーズ』『ミカサロン』などさまざまな事業を立ち上げて成功を収めた総合商社『ミカブランド』の代表。その旗艦店は『ミカクリニック』だ。ミカはモデル時代に結婚、二児を設けるも離婚。事業で成功してからは育児もシッター任せにしていた。毎年、ミス・ミカブランドコンテストを主催していたが、1番目立っているのは優勝者ではなく審査委員長のミカ自身という出たがりぶりで、激昂しやすい性格も社内では有名らしい。  リチャードは、ダー子のデリカシーのない発言に憤慨し、ボクちゃんとふたりだけでミカを騙そうとした。しかしミカは、ボクちゃんが考えた作戦には興味を示さなかった。そこでダー子は、フランスの老舗高級ブランドのお家騒動を利用してミカに近づこうとするが…。長澤まさみ　  東出昌大　  小日向文世　  小手伸也　    〈第8話ゲスト〉  りょう【脚本】  古沢良太　    【企画】  成河広明　    【プロデュース】  草ヶ谷大輔　  古郡真也(FILM)　    【演出】  田中亮　  金井紘　  三橋利行(FILM)　    【音楽】  fox　capture　plan　    【主題歌】  「ノーダウト」Official髭男dism　    【制作】  フジテレビ</t>
  </si>
  <si>
    <t>ダー子(長澤まさみ)とボクちゃん(東出昌大)は、リチャード(小日向文世)からの頼みを引き受け、元モデルで女医の美濃部ミカ(りょう)をターゲットにする。以前リチャードは、福田ほのか(堀川杏美)が経営しているメンズエステ店に通っていた。だが、店を畳んでミカの会社に転職したほのかは、ミカからひどいパワハラを受け続けたことが原因で心身ともに病み、退職に追い込まれてしまったのだ。ほのかは、弁護士を名乗っていたリチャードに、ミカの暴言を録音したボイスレコーダーを託し、謝罪と慰謝料を求めていた。  ミカは、美容整形クリニックを開業後『ミカフーズ』『ミカサロン』などさまざまな事業を立ち上げて成功を収めた総合商社『ミカブランド』の代表。その旗艦店は『ミカクリニック』だ。ミカはモデル時代に結婚、二児を設けるも離婚。事業で成功してからは育児もシッター任せにしていた。毎年、ミス・ミカブランドコンテストを主催していたが、1番目立っているのは優勝者ではなく審査委員長のミカ自身という出たがりぶりで、激昂しやすい性格も社内では有名らしい。  リチャードは、ダー子のデリカシーのない発言に憤慨し、ボクちゃんとふたりだけでミカを騙そうとした。しかしミカは、ボクちゃんが考えた作戦には興味を示さなかった。そこでダー子は、フランスの老舗高級ブランドのお家騒動を利用してミカに近づこうとするが…。</t>
  </si>
  <si>
    <t>番組名コンフィデンスマンJP【長澤まさみVS小池徹平&amp;卓球・平野美宇!】　#09</t>
  </si>
  <si>
    <t>http://www.fujitv.co.jp/confidenceman_jp/index.htmlダー子(長澤まさみ)、ボクちゃん(東出昌大)、リチャード(小日向文世)は、新たな詐欺のターゲットとして、若くして億万長者となったIT企業の社長・桂公彦(小池徹平)に狙いを定める。  桂は、人気アプリ『モスモス』を開発した株式会社モスモスの代表。大のスポーツ好きでもある桂は、さまざまなプロスポーツクラブを買収してきたが、クラブを私物化し、横暴ともいえる現場介入を繰り返してチームを崩壊させては放り出していた。ダー子たちが桂をターゲットにしたのも、応援していた独立リーグの野球チームと、下部リーグに属する地元のサッカーチームを桂によって潰されたちょび髭(瀧川英次)からの要請だった。  ダー子たちは、野球界やサッカー界から締め出されている桂が次に目を付けるのはプロ化目前の卓球だと推測。鴨井ミワ(平野美宇)が所属する『東京ジェッツ』に、ダー子とボクちゃん扮する元中国ナショナルチームの選手が加入したという設定で、桂に買収話を売り込む。しかし桂は、その話には乗ってこなかった。  情報収集を続けていた五十嵐(小手伸也)によれば、どうやら桂はプロバスケットボールチームを狙っているらしい。そこでダー子は、ホームレス同様の生活を送っていた元日本代表候補の半原敦(和田聰宏)や、街中で見つけた外国人らを巻き込み、架空のバスケチーム『熱海チーターズ』を結成するが…。長澤まさみ　  東出昌大　  小日向文世　  小手伸也　    〈第9話ゲスト〉  小池徹平【脚本】  古沢良太　    【企画】  成河広明　    【プロデュース】  草ヶ谷大輔　  古郡真也(FILM)　    【演出】  田中亮　  金井紘　  三橋利行(FILM)　    【音楽】  fox　capture　plan　    【主題歌】  「ノーダウト」Official髭男dism　    【制作】  フジテレビ</t>
  </si>
  <si>
    <t>ダー子(長澤まさみ)、ボクちゃん(東出昌大)、リチャード(小日向文世)は、新たな詐欺のターゲットとして、若くして億万長者となったIT企業の社長・桂公彦(小池徹平)に狙いを定める。  桂は、人気アプリ『モスモス』を開発した株式会社モスモスの代表。大のスポーツ好きでもある桂は、さまざまなプロスポーツクラブを買収してきたが、クラブを私物化し、横暴ともいえる現場介入を繰り返してチームを崩壊させては放り出していた。ダー子たちが桂をターゲットにしたのも、応援していた独立リーグの野球チームと、下部リーグに属する地元のサッカーチームを桂によって潰されたちょび髭(瀧川英次)からの要請だった。  ダー子たちは、野球界やサッカー界から締め出されている桂が次に目を付けるのはプロ化目前の卓球だと推測。鴨井ミワ(平野美宇)が所属する『東京ジェッツ』に、ダー子とボクちゃん扮する元中国ナショナルチームの選手が加入したという設定で、桂に買収話を売り込む。しかし桂は、その話には乗ってこなかった。  情報収集を続けていた五十嵐(小手伸也)によれば、どうやら桂はプロバスケットボールチームを狙っているらしい。そこでダー子は、ホームレス同様の生活を送っていた元日本代表候補の半原敦(和田聰宏)や、街中で見つけた外国人らを巻き込み、架空のバスケチーム『熱海チーターズ』を結成するが…。</t>
  </si>
  <si>
    <t>番組名コンフィデンスマンJP【長澤まさみVS佐藤隆太!15分拡大SP】　#10</t>
  </si>
  <si>
    <t>http://www.fujitv.co.jp/confidenceman_jp/index.htmlボクちゃん(東出昌大)は、ダー子(長澤まさみ)とリチャード(小日向文世)に、もう十分稼いだのだから詐欺師稼業から足を洗うべきだと忠告し、ふたりのもとを離れる。  それから1年後、引っ越し業の仕事に就いていたボクちゃんは、新人の鉢巻秀男(佐藤隆太)と親しくなる。体が弱かった鉢巻は、親が残してくれた資産を切り崩しながら暮らしており、いままでまともに働いたことがなかったという。だが、結婚詐欺の被害に遭い、すべてを失ってしまったらしい。  6カ月前、結婚相談所に登録した鉢巻は、紹介された早苗という女性と意気投合し、結婚の約束をした。だが早苗は、両親の借金を理由に結婚できなくなったと言い出したらしい。鉢巻は、迷わず全財産の3000万円を早苗に貸したが、その直後から彼女と連絡が取れなくなり、結婚相談所もなくなっていたのだという。鉢巻が描いた早苗と結婚相談所の所長の似顔絵を見たボクちゃんは、それがダー子とリチャードであると確信する。  ボクちゃんは、鉢巻を引き連れてダー子のスイートルームを訪れ、真相を確かめようとする。すると、鉢巻の態度が急変し……。長澤まさみ　  東出昌大　  小日向文世　  小手伸也　    〈第10話ゲスト〉  佐藤隆太【脚本】  古沢良太　    【企画】  成河広明　    【プロデュース】  草ヶ谷大輔　  古郡真也(FILM)　    【演出】  田中亮　  金井紘　  三橋利行(FILM)　    【音楽】  fox　capture　plan　    【主題歌】  「ノーダウト」Official髭男dism　    【制作】  フジテレビ</t>
  </si>
  <si>
    <t>ボクちゃん(東出昌大)は、ダー子(長澤まさみ)とリチャード(小日向文世)に、もう十分稼いだのだから詐欺師稼業から足を洗うべきだと忠告し、ふたりのもとを離れる。  それから1年後、引っ越し業の仕事に就いていたボクちゃんは、新人の鉢巻秀男(佐藤隆太)と親しくなる。体が弱かった鉢巻は、親が残してくれた資産を切り崩しながら暮らしており、いままでまともに働いたことがなかったという。だが、結婚詐欺の被害に遭い、すべてを失ってしまったらしい。  6カ月前、結婚相談所に登録した鉢巻は、紹介された早苗という女性と意気投合し、結婚の約束をした。だが早苗は、両親の借金を理由に結婚できなくなったと言い出したらしい。鉢巻は、迷わず全財産の3000万円を早苗に貸したが、その直後から彼女と連絡が取れなくなり、結婚相談所もなくなっていたのだという。鉢巻が描いた早苗と結婚相談所の所長の似顔絵を見たボクちゃんは、それがダー子とリチャードであると確信する。  ボクちゃんは、鉢巻を引き連れてダー子のスイートルームを訪れ、真相を確かめようとする。すると、鉢巻の態度が急変し……。</t>
  </si>
  <si>
    <t>1804_CX_火21</t>
  </si>
  <si>
    <t>シグナル</t>
  </si>
  <si>
    <t>番組名シグナル【過去とつながる謎の無線!時効寸前の誘拐事件の真相を暴け】　#01</t>
  </si>
  <si>
    <t>15年前、一人の女子児童が下校途中に誘拐された。当時、小学1年生だった三枝健人(坂口健太郎)は連れ去られる被害者を目撃。ある男を指名手配し行方を追う警察に、犯人は女だと訴えるものの、相手にしてもらえない。数日後、女子児童が遺体で発見され、管理官の中本慎之助(渡部篤郎)のもと、刑事の大山剛志(北村一輝)や岩田一夫(甲本雅裕)らは懸命に捜査を続けるが、犯人の手掛かりは得られず、結局、事件は未解決のまま15年の月日が経っていたー。  事件の時効が近づくなか、健人は独学でプロファイリングを学び、ある思いを胸に警察官になっていた。しかし、過去の事件から決して警察を信用することはせず、そのせいで、先輩刑事の桜井美咲(吉瀬美智子)や山田勉(木村祐一)から目をつけられてしまう。  そんなある日の夜、健人は廃棄処分されるはずの無線機から、誰かが自分を呼んでいることに気づく。声の主は大山という刑事で、巡査の健人をなぜか“警部補"と呼んでいた。さらに、健人の情報を元に訪れた病院で、女児誘拐事件で指名手配された男の首つり遺体を発見したという。  大山とは面識がなく、にわかには信じがたい話だったが、「彼は利用されて殺された。誘拐の真犯人は別にいます」という大山の言葉が気になった健人は、ためらいながらも無線越しに聞いた病院へと向かう。  そこに大山の姿はなかったものの、聞いたとおりの場所で白骨遺体を発見して…。坂口健太郎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　    【制作著作】  関西テレビここだけの(秘)情報が満載!    【公式ホームページ】  https://www.ktv.jp/signal/index.html</t>
  </si>
  <si>
    <t>15年前、一人の女子児童が下校途中に誘拐された。当時、小学1年生だった三枝健人(坂口健太郎)は連れ去られる被害者を目撃。ある男を指名手配し行方を追う警察に、犯人は女だと訴えるものの、相手にしてもらえない。数日後、女子児童が遺体で発見され、管理官の中本慎之助(渡部篤郎)のもと、刑事の大山剛志(北村一輝)や岩田一夫(甲本雅裕)らは懸命に捜査を続けるが、犯人の手掛かりは得られず、結局、事件は未解決のまま15年の月日が経っていたー。  事件の時効が近づくなか、健人は独学でプロファイリングを学び、ある思いを胸に警察官になっていた。しかし、過去の事件から決して警察を信用することはせず、そのせいで、先輩刑事の桜井美咲(吉瀬美智子)や山田勉(木村祐一)から目をつけられてしまう。  そんなある日の夜、健人は廃棄処分されるはずの無線機から、誰かが自分を呼んでいることに気づく。声の主は大山という刑事で、巡査の健人をなぜか“警部補"と呼んでいた。さらに、健人の情報を元に訪れた病院で、女児誘拐事件で指名手配された男の首つり遺体を発見したという。  大山とは面識がなく、にわかには信じがたい話だったが、「彼は利用されて殺された。誘拐の真犯人は別にいます」という大山の言葉が気になった健人は、ためらいながらも無線越しに聞いた病院へと向かう。  そこに大山の姿はなかったものの、聞いたとおりの場所で白骨遺体を発見して…。</t>
  </si>
  <si>
    <t>番組名シグナル【時効成立20分前の攻防!真犯人の罠とは?新たなる事件発生】　#02</t>
  </si>
  <si>
    <t>三枝健人(坂口健太郎)は、15年前に起きた女児誘拐殺人事件で、被害者の女児を連れ去った謎の女を目撃。警察に訴えるものの相手にされず、事件は間もなく時効を迎えようとしていた。  警察官になった健人はある日、廃棄予定の無線機から声がすることに気付く。声の主は刑事の大山剛志(北村一輝)で、15年前の事件で指名手配された男の遺体を発見したと話す。半信半疑の健人が現場へ向かうと、そこには確かに白骨遺体が。時効成立を前に、犯人の自殺で終わるかに見えた事件。しかし、犯人が女だと断言する健人は、刑事の桜井美咲(吉瀬美智子)とともに捜査を再開。捜査線上に浮上した看護師の吉本圭子(長谷川京子)の風貌から、健人はその女こそが真犯人だと確信する。しかし、警察で取り調べを受ける圭子はなかなか口を割らず、時効成立が刻一刻と迫るなか、健人たちには焦りの色が見え始めて…。  やがて、日本での時効撤廃が決まり、警視庁は長期未解決事件捜査班を発足。美咲は班長に任命され、刑事の山田勉(木村祐一)と鑑識官の小島信也(池田鉄洋)が配属される。  一方、健人と一度だけ無線機で交信した大山は、「また無線はつながる。その相手は3年前の私です」と、謎の言葉を残す。  8年後、アメリカでプロファイリングを学んだ健人は、長期未解決事件捜査班に配属される。そして早速、未解決の連続女性殺人事件と対峙することになる。坂口健太郎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　    【制作協力】  ホリプロ　    【制作著作】  関西テレビここだけの(秘)情報が満載!    【公式ホームページ】  https://www.ktv.jp/signal/index.html</t>
  </si>
  <si>
    <t>三枝健人(坂口健太郎)は、15年前に起きた女児誘拐殺人事件で、被害者の女児を連れ去った謎の女を目撃。警察に訴えるものの相手にされず、事件は間もなく時効を迎えようとしていた。  警察官になった健人はある日、廃棄予定の無線機から声がすることに気付く。声の主は刑事の大山剛志(北村一輝)で、15年前の事件で指名手配された男の遺体を発見したと話す。半信半疑の健人が現場へ向かうと、そこには確かに白骨遺体が。時効成立を前に、犯人の自殺で終わるかに見えた事件。しかし、犯人が女だと断言する健人は、刑事の桜井美咲(吉瀬美智子)とともに捜査を再開。捜査線上に浮上した看護師の吉本圭子(長谷川京子)の風貌から、健人はその女こそが真犯人だと確信する。しかし、警察で取り調べを受ける圭子はなかなか口を割らず、時効成立が刻一刻と迫るなか、健人たちには焦りの色が見え始めて…。  やがて、日本での時効撤廃が決まり、警視庁は長期未解決事件捜査班を発足。美咲は班長に任命され、刑事の山田勉(木村祐一)と鑑識官の小島信也(池田鉄洋)が配属される。  一方、健人と一度だけ無線機で交信した大山は、「また無線はつながる。その相手は3年前の私です」と、謎の言葉を残す。  8年後、アメリカでプロファイリングを学んだ健人は、長期未解決事件捜査班に配属される。そして早速、未解決の連続女性殺人事件と対峙することになる。</t>
  </si>
  <si>
    <t>番組名シグナル【変わる過去!再び動き出した凶悪犯!殺人の連鎖を止めろ!】　#03</t>
  </si>
  <si>
    <t>2018年、アメリカでの研修を終え、プロファイラーとして警視庁に戻ってきた健人(坂口健太郎)は、美咲(吉瀬美智子)率いる長期未解決事件捜査班に配属され、1997年に女性7人が被害にあった連続殺人事件を再捜査する。その直後、かつて事件解決の糸口となった謎の無線が再びつながり、健人は大山刑事(北村一輝)と8年ぶりに言葉を交わす。しかし、大山はまるで初めて健人と話すかのような口ぶり。その内容から、健人は無線が1997年とつながっているのではないかと考える。  健人の予想通り、無線機越しの大山は、事件発生当時の捜査真っ只中。最初こそ、健人の言葉が信じられなかったが、無線で聞いた通りの場所で襲われている女性を助けたことから、事件を予知した健人の存在が気になり始める。  一方、大山が犯行を未然に防いだことで、2018年にもある変化が。殺されるはずだった5人目の被害者に関する捜査資料の文字が、“遺体発見"から“未遂"に変わり、ほかの犯行現場などもなぜか変わったのだ。しかも、変化に気づいているのは健人だけ。真実を確かめるため、健人は再びつながった無線で、大山のいる世界で今後起きる出来事を伝えると…。  そんな中、あることで自信を失いかけていた大山は、行きつけの店で働く北野みどり(佐久間由衣)に心を救われる。自分を更生させてくれた大山に恩義を感じているみどりは元気のない大山を励ますのだが…。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石田麻衣(ホリプロ)【制作協力】  ホリプロ　    【制作著作】  関西テレビここだけの(秘)情報が満載!    【公式ホームページ】  https://www.ktv.jp/signal/index.html</t>
  </si>
  <si>
    <t>2018年、アメリカでの研修を終え、プロファイラーとして警視庁に戻ってきた健人(坂口健太郎)は、美咲(吉瀬美智子)率いる長期未解決事件捜査班に配属され、1997年に女性7人が被害にあった連続殺人事件を再捜査する。その直後、かつて事件解決の糸口となった謎の無線が再びつながり、健人は大山刑事(北村一輝)と8年ぶりに言葉を交わす。しかし、大山はまるで初めて健人と話すかのような口ぶり。その内容から、健人は無線が1997年とつながっているのではないかと考える。  健人の予想通り、無線機越しの大山は、事件発生当時の捜査真っ只中。最初こそ、健人の言葉が信じられなかったが、無線で聞いた通りの場所で襲われている女性を助けたことから、事件を予知した健人の存在が気になり始める。  一方、大山が犯行を未然に防いだことで、2018年にもある変化が。殺されるはずだった5人目の被害者に関する捜査資料の文字が、“遺体発見"から“未遂"に変わり、ほかの犯行現場などもなぜか変わったのだ。しかも、変化に気づいているのは健人だけ。真実を確かめるため、健人は再びつながった無線で、大山のいる世界で今後起きる出来事を伝えると…。  そんな中、あることで自信を失いかけていた大山は、行きつけの店で働く北野みどり(佐久間由衣)に心を救われる。自分を更生させてくれた大山に恩義を感じているみどりは元気のない大山を励ますのだが…。</t>
  </si>
  <si>
    <t>番組名シグナル【未来から死の予告!時を超えた連続殺人事件の謎を暴け!】　#04</t>
  </si>
  <si>
    <t>1997年の女性連続殺害事件の再捜査を始めた長期未解決事件捜査班。プロファイラーの三枝健人(坂口健太郎)は、8年前に偶然手にした“過去とつながる無線機"が、今度は1997年とつながっていることに気づき、無線の先の大山剛志刑事(北村一輝)に未来の情報を伝え、殺人を未然に防ごうと考える。  一方で、被害者たちが同じ路線バスの乗客だったことが分かり、車内に犯人がいたとにらむ健人。そこで当時バスを運転していた田中修一(モロ師岡)を探すが、その間に唯一田中の手がかりを知っていた元同僚の八代英子(真瀬樹里)が殺害される。さらに、その犯行の特徴は過去の事件と酷似。犯人が再び動き始めたと考えた健人は、次なる被害者を出さないため、無線に呼びかける。  1997年、無線で健人の話を聞いた大山は、次の被害者が顔なじみの北野みどり(佐久間由衣)だと知り激しく動揺。「事態を変えられるのはあなただけだ」健人の言葉に必死でみどりを探し回る。2018年の健人もまた、事態の好転を待つが…。  長期未解決事件捜査班は、英子が口封じのために殺されたと推測。防犯カメラの映像などから、英子殺しの犯人が田中だと突き止め、桜井美咲(吉瀬美智子)が身柄確保に向かう。  その頃、再びバス会社を訪れた健人は、ある重要な事実にたどり着く。事件の全容をつかんだ健人だったが、それは同時に、美咲の身に危険が迫っていることを意味していて…。坂口健太郎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石田麻衣(ホリプロ)ここだけの(秘)情報が満載!    【公式ホームページ】  https://www.ktv.jp/signal/index.html</t>
  </si>
  <si>
    <t>1997年の女性連続殺害事件の再捜査を始めた長期未解決事件捜査班。プロファイラーの三枝健人(坂口健太郎)は、8年前に偶然手にした“過去とつながる無線機"が、今度は1997年とつながっていることに気づき、無線の先の大山剛志刑事(北村一輝)に未来の情報を伝え、殺人を未然に防ごうと考える。  一方で、被害者たちが同じ路線バスの乗客だったことが分かり、車内に犯人がいたとにらむ健人。そこで当時バスを運転していた田中修一(モロ師岡)を探すが、その間に唯一田中の手がかりを知っていた元同僚の八代英子(真瀬樹里)が殺害される。さらに、その犯行の特徴は過去の事件と酷似。犯人が再び動き始めたと考えた健人は、次なる被害者を出さないため、無線に呼びかける。  1997年、無線で健人の話を聞いた大山は、次の被害者が顔なじみの北野みどり(佐久間由衣)だと知り激しく動揺。「事態を変えられるのはあなただけだ」健人の言葉に必死でみどりを探し回る。2018年の健人もまた、事態の好転を待つが…。  長期未解決事件捜査班は、英子が口封じのために殺されたと推測。防犯カメラの映像などから、英子殺しの犯人が田中だと突き止め、桜井美咲(吉瀬美智子)が身柄確保に向かう。  その頃、再びバス会社を訪れた健人は、ある重要な事実にたどり着く。事件の全容をつかんだ健人だったが、それは同時に、美咲の身に危険が迫っていることを意味していて…。</t>
  </si>
  <si>
    <t>番組名シグナル【無線の悲劇と崩れ去る絆!20年前の連続窃盗に隠された謎】　#05</t>
  </si>
  <si>
    <t>過去とつながる不思議な無線機を通じて、大山(北村一輝)と事件の捜査をともにした健人(坂口健太郎)は、現在の大山を探し出そうと、かつて同僚だった岩田(甲本雅裕)に話を聞く。すると大山が18年前に失踪し、その後収賄で懲戒免職になったことが分かる。にわかには信じられない健人は、当時大山に金を渡した男を訪ねるが、そこで得たのは両者の間で金銭の授受があった確かな証拠。  ショックを受ける健人だったが、大山が消息を絶った日付が2度目に無線のつながった日で、無線の先で銃声が響いた日であることが気にかかる。警視庁では、そんな健人の動向をある人物が注意深く監視していた。  1998年の大山は、高級住宅地で起きた連続窃盗事件を追っていた。犯人は同じ地区で1カ月の間に3件、いずれも厳重なセキュリティーを破って被害者宅に侵入。警察は、窃盗の前歴者による犯行も視野に入れ、犯人の特定を急いでいた。前歴者リストには、かつて大山が逮捕した元窃盗犯・工藤(平田満)の名前も。工藤は娘の和美(吉川愛)のために今は真面目に働いていて、和美もまた父を信じてほしいと、大山に懇願する。  行き詰った大山が頭を抱えていると、再び2018年の健人と無線がつながる。事件が20年後も未解決だと知った大山は犯人の情報を教えてほしいと頼むものの「過去を変えるのは危険だ」と拒否する健人。それでも大山はせめて次の犯行日を教えてほしいと頼み…。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　    【制作協力】  ホリプロ　    【制作著作】  関西テレビここだけの(秘)情報が満載!    【公式ホームページ】  https://www.ktv.jp/signal/index.html</t>
  </si>
  <si>
    <t>過去とつながる不思議な無線機を通じて、大山(北村一輝)と事件の捜査をともにした健人(坂口健太郎)は、現在の大山を探し出そうと、かつて同僚だった岩田(甲本雅裕)に話を聞く。すると大山が18年前に失踪し、その後収賄で懲戒免職になったことが分かる。にわかには信じられない健人は、当時大山に金を渡した男を訪ねるが、そこで得たのは両者の間で金銭の授受があった確かな証拠。  ショックを受ける健人だったが、大山が消息を絶った日付が2度目に無線のつながった日で、無線の先で銃声が響いた日であることが気にかかる。警視庁では、そんな健人の動向をある人物が注意深く監視していた。  1998年の大山は、高級住宅地で起きた連続窃盗事件を追っていた。犯人は同じ地区で1カ月の間に3件、いずれも厳重なセキュリティーを破って被害者宅に侵入。警察は、窃盗の前歴者による犯行も視野に入れ、犯人の特定を急いでいた。前歴者リストには、かつて大山が逮捕した元窃盗犯・工藤(平田満)の名前も。工藤は娘の和美(吉川愛)のために今は真面目に働いていて、和美もまた父を信じてほしいと、大山に懇願する。  行き詰った大山が頭を抱えていると、再び2018年の健人と無線がつながる。事件が20年後も未解決だと知った大山は犯人の情報を教えてほしいと頼むものの「過去を変えるのは危険だ」と拒否する健人。それでも大山はせめて次の犯行日を教えてほしいと頼み…。</t>
  </si>
  <si>
    <t>番組名シグナル【誘拐事件の罠!極限のタイムリミット!20年前の謎とは?】　#06</t>
  </si>
  <si>
    <t>1998年で連続窃盗事件を捜査する大山(北村一輝)から無線で助けを求められた健人(坂口健太郎)は、過去を変えることは危険だと感じつつも、プロファイラーとして解決の糸口を伝える。すると翌日、事件ファイルから捜査に関する記録が消滅。発生から20年後も未解決だったはずの事件は、1998年に元窃盗犯の工藤雅之(平田満)が逮捕されていた。目撃証言に加え、健人の助言通りの場所から指紋が検出されたらしいが、過去の捜査資料によれば、工藤は現場に指紋ひとつ残さない慎重なタイプ。また工藤が逮捕後も否認し続けたことから、健人は、自分の言葉が無実の罪を生んだのではないかと動揺する。  その矢先、刑期を終えたばかりの工藤が誘拐事件を起こす。被害者の矢部香織(野崎萌香)は両親と暮らす自宅で拉致された後、行方が分からなくなっていた。捜査本部は金銭目当ての犯行と断定するが、現場に多くの証拠が残されていることに違和感を覚えた健人は、犯行の動機が怨恨ではないかと推理。無線で確かめようとすると、大山は、健人が最も恐れていた事態について話し始める。  一方、香織本人からの電話がきっかけで、監禁場所を特定した美咲(吉瀬美智子)たち。そこへ健人から連絡が。実は、工藤が連続窃盗犯の容疑者として連行された直後、その娘が事故で焼死。その際、香織とその父・英介(小須田康人)との間にある接点が生まれたと話す。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石田麻衣(ホリプロ)【制作協力】  ホリプロ　    【制作著作】  関西テレビここだけの(秘)情報が満載!    【公式ホームページ】  https://www.ktv.jp/signal/index.html</t>
  </si>
  <si>
    <t>1998年で連続窃盗事件を捜査する大山(北村一輝)から無線で助けを求められた健人(坂口健太郎)は、過去を変えることは危険だと感じつつも、プロファイラーとして解決の糸口を伝える。すると翌日、事件ファイルから捜査に関する記録が消滅。発生から20年後も未解決だったはずの事件は、1998年に元窃盗犯の工藤雅之(平田満)が逮捕されていた。目撃証言に加え、健人の助言通りの場所から指紋が検出されたらしいが、過去の捜査資料によれば、工藤は現場に指紋ひとつ残さない慎重なタイプ。また工藤が逮捕後も否認し続けたことから、健人は、自分の言葉が無実の罪を生んだのではないかと動揺する。  その矢先、刑期を終えたばかりの工藤が誘拐事件を起こす。被害者の矢部香織(野崎萌香)は両親と暮らす自宅で拉致された後、行方が分からなくなっていた。捜査本部は金銭目当ての犯行と断定するが、現場に多くの証拠が残されていることに違和感を覚えた健人は、犯行の動機が怨恨ではないかと推理。無線で確かめようとすると、大山は、健人が最も恐れていた事態について話し始める。  一方、香織本人からの電話がきっかけで、監禁場所を特定した美咲(吉瀬美智子)たち。そこへ健人から連絡が。実は、工藤が連続窃盗犯の容疑者として連行された直後、その娘が事故で焼死。その際、香織とその父・英介(小須田康人)との間にある接点が生まれたと話す。</t>
  </si>
  <si>
    <t>番組名シグナル【衝撃の死!刑事の命を救えるのか!過去と現在がつないだ奇跡】　#07</t>
  </si>
  <si>
    <t>1998年に連続窃盗事件の犯人として逮捕された工藤雅之(平田満)が出所直後に起こした、大学教授・矢部香織(野崎萌香)の誘拐事件。それは、当時愛娘をバス事故で亡くした工藤が立てた、香織の父・英介(小須田康人)への復讐計画だった。  健人(坂口健太郎)から工藤の計画を聞いた美咲(吉瀬美智子)は、すぐさま20年前の事故現場へ。そこで、香織を監禁していると思われる冷凍車を発見するが、それは矢部の殺害をもくろむ工藤のわな。冷凍車は炎に包まれ、燃え跡からは美咲の遺体が見つかる。美咲の死に大きなショックを受けた健人は、真犯人を捕まえて未来を変えることを思いつく。  その頃、1998年の大山(北村一輝)は、連続窃盗事件で工藤を犯人だと証言した被害者宅の息子・白石智弘(白石隼也)の自作自演ではないかと疑っていた。窃盗事件の全容を見直した健人もまた同じ考えで、2人は再び協力して真犯人逮捕へと動き出す。智弘が隠した盗品を探していた大山は、3件の被害者宅の息子が、いずれも同じヨットクラブに所属していたという健人の言葉を思い出し、智弘が所有するクルーザーを捜索。すると、思いがけないものが見つかり、大山はすぐに逮捕状を請求しようとする。しかし、智弘の父親は経済界の権力者であることから、岩田(甲本雅裕)は大山の願いを聞き入れようとしない。  一方、工藤と智弘の接点を探していた健人も、ある事実を見つける。坂口健太郎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石田麻衣(ホリプロ)【制作協力】  ホリプロ　    【制作著作】  関西テレビここだけの(秘)情報が満載!    【公式ホームページ】  https://www.ktv.jp/signal/index.html</t>
  </si>
  <si>
    <t>1998年に連続窃盗事件の犯人として逮捕された工藤雅之(平田満)が出所直後に起こした、大学教授・矢部香織(野崎萌香)の誘拐事件。それは、当時愛娘をバス事故で亡くした工藤が立てた、香織の父・英介(小須田康人)への復讐計画だった。  健人(坂口健太郎)から工藤の計画を聞いた美咲(吉瀬美智子)は、すぐさま20年前の事故現場へ。そこで、香織を監禁していると思われる冷凍車を発見するが、それは矢部の殺害をもくろむ工藤のわな。冷凍車は炎に包まれ、燃え跡からは美咲の遺体が見つかる。美咲の死に大きなショックを受けた健人は、真犯人を捕まえて未来を変えることを思いつく。  その頃、1998年の大山(北村一輝)は、連続窃盗事件で工藤を犯人だと証言した被害者宅の息子・白石智弘(白石隼也)の自作自演ではないかと疑っていた。窃盗事件の全容を見直した健人もまた同じ考えで、2人は再び協力して真犯人逮捕へと動き出す。智弘が隠した盗品を探していた大山は、3件の被害者宅の息子が、いずれも同じヨットクラブに所属していたという健人の言葉を思い出し、智弘が所有するクルーザーを捜索。すると、思いがけないものが見つかり、大山はすぐに逮捕状を請求しようとする。しかし、智弘の父親は経済界の権力者であることから、岩田(甲本雅裕)は大山の願いを聞き入れようとしない。  一方、工藤と智弘の接点を探していた健人も、ある事実を見つける。</t>
  </si>
  <si>
    <t>番組名シグナル【最悪の事件が幕を開ける!容疑者は健人!?殺された刑事の謎】　#08</t>
  </si>
  <si>
    <t>大山(北村一輝)は、連続窃盗事件の押収品の中から衆議院議員・野沢義男(西岡徳馬)の収賄の証拠を見つけるが、野沢の息がかかった中本(渡部篤郎)にもみ消され怒りに震える。その頃、一連の窃盗事件のてん末を知った健人(坂口健太郎)もまた、理不尽な世の中に嫌気がさしていた。そんな健人と大山のやり取りを物陰で聞いていた岩田(甲本雅裕)は、なぜか激しく動揺する。数日後、岩田は健人の兄が“加藤亮太"だと知った中本から、健人の行動を監視するよう命じられる。  一方の健人は大山に、これから武蔵野市で起きる集団暴行事件の真相を教えてほしいと頼む。それは、健人の兄・亮太(神尾楓珠)が主犯として逮捕された事件だった。健人の動きを察知した岩田は、事件の真相を調べるのは危険だと忠告する。しかし健人の強い覚悟を知ると、“すべてを教えてやる"と健人を呼び出す。急いで待ち合わせ場所へ向かう健人だったが、そこにいたのは、何者かに襲われた岩田だった。  1999年、複数の男に乱暴された女子生徒・井口奈々(山田愛奈)が、高校の屋上から飛び降りる事件が発生する。健人の言葉を思い出し、大山は自ら捜査員に名乗りを上げる。  その頃、岩田の襲撃現場に居合わせた健人は容疑者として捜査対象に。取調べでかたくなに口を閉ざす健人に、美咲(吉瀬美智子)が「あなたを助けたい」と声をかけると、健人は瀕死の岩田が告げた驚がくの事実を打ち明ける。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　    【制作協力】  ホリプロ　    【制作著作】  関西テレビここだけの(秘)情報が満載!    【公式ホームページ】  https://www.ktv.jp/signal/index.html</t>
  </si>
  <si>
    <t>大山(北村一輝)は、連続窃盗事件の押収品の中から衆議院議員・野沢義男(西岡徳馬)の収賄の証拠を見つけるが、野沢の息がかかった中本(渡部篤郎)にもみ消され怒りに震える。その頃、一連の窃盗事件のてん末を知った健人(坂口健太郎)もまた、理不尽な世の中に嫌気がさしていた。そんな健人と大山のやり取りを物陰で聞いていた岩田(甲本雅裕)は、なぜか激しく動揺する。数日後、岩田は健人の兄が“加藤亮太"だと知った中本から、健人の行動を監視するよう命じられる。  一方の健人は大山に、これから武蔵野市で起きる集団暴行事件の真相を教えてほしいと頼む。それは、健人の兄・亮太(神尾楓珠)が主犯として逮捕された事件だった。健人の動きを察知した岩田は、事件の真相を調べるのは危険だと忠告する。しかし健人の強い覚悟を知ると、“すべてを教えてやる"と健人を呼び出す。急いで待ち合わせ場所へ向かう健人だったが、そこにいたのは、何者かに襲われた岩田だった。  1999年、複数の男に乱暴された女子生徒・井口奈々(山田愛奈)が、高校の屋上から飛び降りる事件が発生する。健人の言葉を思い出し、大山は自ら捜査員に名乗りを上げる。  その頃、岩田の襲撃現場に居合わせた健人は容疑者として捜査対象に。取調べでかたくなに口を閉ざす健人に、美咲(吉瀬美智子)が「あなたを助けたい」と声をかけると、健人は瀕死の岩田が告げた驚がくの事実を打ち明ける。</t>
  </si>
  <si>
    <t>番組名シグナル【恐るべき黒幕の陰謀!過去への警告!明かされる兄の死の真実】　#09</t>
  </si>
  <si>
    <t>岩田(甲本雅裕)が死の直前に残した言葉がきっかけで、白骨化した大山(北村一輝)の遺体を発見した健人(坂口健太郎)と美咲(吉瀬美智子)。悲しみに暮れる美咲のそばで、健人は遺品から一枚の名刺を見つける。それは、兄・亮太(神尾楓珠)の逮捕後、幼い健人が通った焼き鳥店のものだった。  1999年、亮太が集団暴行事件の主犯として逮捕され、加害者家族となった健人は、母親と離れて親戚の家へ。大山は中本(渡部篤郎)が誰かをかばうために亮太を陥れたことに気付くが、強大な権力を前になすすべもなく、己の無力さを感じていた。そして、せめて健人が食べるものに困らず、寂しさに負けないよう、人知れず健人を見守っていた。  2018年、名刺の焼き鳥店を久しぶりに訪れ、おかみ(濱田マリ)から当時の話を聞いた健人は、初めて知る大山の優しさに胸を熱くする。そして、やがて命を落とす大山の未来を変えようと、事件から手を引いてほしいと頼み込む。その口ぶりから、大山はこの先自分の身に何が起きるか察するが、過去が変わることで健人に幸せを手にしてほしいと願う大山はそれを拒否。無線の先の健人に「必ず真実を暴いてみせる」と告げる。  やがて、大山と岩田の死に警察関係者が関与していることに気付いた健人と美咲は、集団暴行事件を洗い直すことに。被害者の井口奈々(映美くらら)を見つけ出し、話を聞きに行くと、思いもよらぬ事実が明らかになる。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　    【制作協力】  ホリプロ　    【制作著作】  関西テレビここだけの(秘)情報が満載!    【公式ホームページ】  https://www.ktv.jp/signal/index.html</t>
  </si>
  <si>
    <t>岩田(甲本雅裕)が死の直前に残した言葉がきっかけで、白骨化した大山(北村一輝)の遺体を発見した健人(坂口健太郎)と美咲(吉瀬美智子)。悲しみに暮れる美咲のそばで、健人は遺品から一枚の名刺を見つける。それは、兄・亮太(神尾楓珠)の逮捕後、幼い健人が通った焼き鳥店のものだった。  1999年、亮太が集団暴行事件の主犯として逮捕され、加害者家族となった健人は、母親と離れて親戚の家へ。大山は中本(渡部篤郎)が誰かをかばうために亮太を陥れたことに気付くが、強大な権力を前になすすべもなく、己の無力さを感じていた。そして、せめて健人が食べるものに困らず、寂しさに負けないよう、人知れず健人を見守っていた。  2018年、名刺の焼き鳥店を久しぶりに訪れ、おかみ(濱田マリ)から当時の話を聞いた健人は、初めて知る大山の優しさに胸を熱くする。そして、やがて命を落とす大山の未来を変えようと、事件から手を引いてほしいと頼み込む。その口ぶりから、大山はこの先自分の身に何が起きるか察するが、過去が変わることで健人に幸せを手にしてほしいと願う大山はそれを拒否。無線の先の健人に「必ず真実を暴いてみせる」と告げる。  やがて、大山と岩田の死に警察関係者が関与していることに気付いた健人と美咲は、集団暴行事件を洗い直すことに。被害者の井口奈々(映美くらら)を見つけ出し、話を聞きに行くと、思いもよらぬ事実が明らかになる。</t>
  </si>
  <si>
    <t>番組名シグナル【15分拡大!運命の無線が繋ぐ絆!過去を変えろ未来を救え】　#10</t>
  </si>
  <si>
    <t>大山(北村一輝)の死の真相を突き止めるため、武蔵野市集団暴行事件の被害者・井口奈々(映美くらら)に会いに行った健人(坂口健太郎)と美咲(吉瀬美智子)。奈々は、健人が事件の主犯として逮捕された亮太(神尾楓珠)の弟だと知ると、重い口を開き、19年前の真相を語り出す。そして少年院にいた亮太から届いた一通の手紙の内容から、亮太が自殺などするはずがないと訴える。奈々の言葉で兄の自殺に疑念を抱いた健人は、岩田(甲本雅裕)の死の直前の足取りを追う。すると、亮太の死が他殺という証拠にたどり着き、事件の裏にいる黒幕の正体にも気付く。  何としても亮太を助けたい健人は、大山の身に危険がおよぶことを覚悟のうえで、過去を変えるため、美咲の前で無線機を取り出す。見覚えのある大山の無線機を持っている健人を見て動揺する美咲。健人はこれまでに起きた不思議な出来事をすべて打ち明け、美咲の前で「3月20日、兄は自宅で殺されます!助けてください!」と大山に助けを求める。  健人と無線で交信する数時間前、2000年の大山は少年院を出たばかりの亮太から連絡を受けていた。真犯人の証拠を持っているという。その矢先、健人から亮太の死が他殺だと知らされた大山は、急いで亮太の元へ。一方、大山の身にも危険が迫っていた。過去が変えられると知った以上、何とかして大山の死を防ぎたい美咲は、無線機を使って18年ぶりに大山と言葉を交わし…。坂口健太郎　  北村一輝　  吉瀬美智子　    木村祐一　  池田鉄洋　  青野楓　  神尾楓珠　    甲本雅裕　  渡部篤郎【原作】  『シグナル』  脚本:キム・ウニ　  制作:Studio　Dragon　&amp;　ASTORY　    【脚本】  尾崎将也　    【演出】  内片輝　  鈴木浩介　    【音楽】  林ゆうき　  橘麻美　    【プロデューサー】  萩原崇(関西テレビ)　  笠置高弘(関西テレビ)　  石田麻衣(ホリプロ)　    【制作協力】  ホリプロ　    【制作著作】  関西テレビここだけの(秘)情報が満載!    【公式ホームページ】  https://www.ktv.jp/signal/index.html</t>
  </si>
  <si>
    <t>大山(北村一輝)の死の真相を突き止めるため、武蔵野市集団暴行事件の被害者・井口奈々(映美くらら)に会いに行った健人(坂口健太郎)と美咲(吉瀬美智子)。奈々は、健人が事件の主犯として逮捕された亮太(神尾楓珠)の弟だと知ると、重い口を開き、19年前の真相を語り出す。そして少年院にいた亮太から届いた一通の手紙の内容から、亮太が自殺などするはずがないと訴える。奈々の言葉で兄の自殺に疑念を抱いた健人は、岩田(甲本雅裕)の死の直前の足取りを追う。すると、亮太の死が他殺という証拠にたどり着き、事件の裏にいる黒幕の正体にも気付く。  何としても亮太を助けたい健人は、大山の身に危険がおよぶことを覚悟のうえで、過去を変えるため、美咲の前で無線機を取り出す。見覚えのある大山の無線機を持っている健人を見て動揺する美咲。健人はこれまでに起きた不思議な出来事をすべて打ち明け、美咲の前で「3月20日、兄は自宅で殺されます!助けてください!」と大山に助けを求める。  健人と無線で交信する数時間前、2000年の大山は少年院を出たばかりの亮太から連絡を受けていた。真犯人の証拠を持っているという。その矢先、健人から亮太の死が他殺だと知らされた大山は、急いで亮太の元へ。一方、大山の身にも危険が迫っていた。過去が変えられると知った以上、何とかして大山の死を防ぎたい美咲は、無線機を使って18年ぶりに大山と言葉を交わし…。</t>
  </si>
  <si>
    <t>1804_CX_木22</t>
  </si>
  <si>
    <t>モンテ・クリスト伯</t>
  </si>
  <si>
    <t>番組名&lt;木曜劇場&gt;モンテ・クリスト伯ー華麗なる復讐ー【男たちの嫉妬と罠】　#01</t>
  </si>
  <si>
    <t>恋人、親友、同僚、家族…あなたの最も信頼する人が、あなたを地獄に引きずり下ろす人物だったらー。微笑みの下に隠した悪意が交錯する時、運命の歯車が音を立てて狂い始める…。「巌窟王」の名で知られる復讐劇の決定版「モンテ・クリスト伯」が現代日本に蘇る!静かな港町で暮らす純朴な青年が辿る、壮絶な大河ドラマ!裏切り・罠・どんでん返しが止まらない!禁断のストーリー展開と映像美で贈るノンストップエンタテインメント2003年春。小さな漁師町で漁業を営む柴門暖(ディーン・フジオカ)は、同じ町で喫茶店「シンドバッド」を経営する目黒すみれ(山本美月)にプロポーズ。思いは受け入れられ、2人は結婚式に向けて幸せの絶頂にいた。  しかし、その矢先、暖の乗る遠洋漁船「海進丸」が遭難。暖の後輩、南条幸男(大倉忠義)は心配して「シンドバッド」へ。すみれは暖の帰還を信じ、努めて明るく振舞っている。「海進丸」が所属する守尾漁業でも、社長の守尾英一朗(木下ほうか)、船員だが今回の航海にはけがで出られなかった神楽清(新井浩文)たちが憔悴しながらも暖たちの無事を願う。  そんな守尾の事務所を漁協の組合長・遠藤勝也が訪ねて来る。遠藤はもう2週間にも及ぶ遭難で捜索費がかさんでいることを守尾に告げた。守尾は船長のバラジ・イスワランが優秀なので、みんな生きて帰ると譲らない。だが、遠藤はバラジを不安に思っている。バラジはテロ組織のメンバーではないかと疑われていたからだ。それでも、守尾は船員たちを信じていた。暖の実家では、母親の恵(風吹ジュン)が地上げ屋の寺角類(渋川清彦)と対峙していた。と、そこに「海進丸」帰港の連絡が入る。迎えに来たすみれと港に急ぐ恵。船員たちが上陸する中、暖もけがはしたが生還を果たす。亡くなったのは船長のバラジだけ。  すると、バラジの遺体を調べる男たちが…。刑事の入間公平(高橋克典)の姿もあった。ディーン・フジオカ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t>
  </si>
  <si>
    <t>恋人、親友、同僚、家族…あなたの最も信頼する人が、あなたを地獄に引きずり下ろす人物だったらー。微笑みの下に隠した悪意が交錯する時、運命の歯車が音を立てて狂い始める…。「巌窟王」の名で知られる復讐劇の決定版「モンテ・クリスト伯」が現代日本に蘇る!静かな港町で暮らす純朴な青年が辿る、壮絶な大河ドラマ!裏切り・罠・どんでん返しが止まらない!禁断のストーリー展開と映像美で贈るノンストップエンタテインメント2003年春。小さな漁師町で漁業を営む柴門暖(ディーン・フジオカ)は、同じ町で喫茶店「シンドバッド」を経営する目黒すみれ(山本美月)にプロポーズ。思いは受け入れられ、2人は結婚式に向けて幸せの絶頂にいた。  しかし、その矢先、暖の乗る遠洋漁船「海進丸」が遭難。暖の後輩、南条幸男(大倉忠義)は心配して「シンドバッド」へ。すみれは暖の帰還を信じ、努めて明るく振舞っている。「海進丸」が所属する守尾漁業でも、社長の守尾英一朗(木下ほうか)、船員だが今回の航海にはけがで出られなかった神楽清(新井浩文)たちが憔悴しながらも暖たちの無事を願う。  そんな守尾の事務所を漁協の組合長・遠藤勝也が訪ねて来る。遠藤はもう2週間にも及ぶ遭難で捜索費がかさんでいることを守尾に告げた。守尾は船長のバラジ・イスワランが優秀なので、みんな生きて帰ると譲らない。だが、遠藤はバラジを不安に思っている。バラジはテロ組織のメンバーではないかと疑われていたからだ。それでも、守尾は船員たちを信じていた。暖の実家では、母親の恵(風吹ジュン)が地上げ屋の寺角類(渋川清彦)と対峙していた。と、そこに「海進丸」帰港の連絡が入る。迎えに来たすみれと港に急ぐ恵。船員たちが上陸する中、暖もけがはしたが生還を果たす。亡くなったのは船長のバラジだけ。  すると、バラジの遺体を調べる男たちが…。刑事の入間公平(高橋克典)の姿もあった。</t>
  </si>
  <si>
    <t>番組名&lt;木曜劇場&gt;モンテ・クリスト伯ー華麗なる復讐ー【別人に変貌完了】　#02</t>
  </si>
  <si>
    <t>無実の罪を着せられ異国の地に投獄されてしまった柴門暖(ディーン・フジオカ)。テロリストとのつながりを白状するよう激しく拷問されるが、暖は身に覚えがあるはずもなく、答えようがなかった。しかし、暖は潔白を証明することも出来ず、そのまま地下の独房に幽閉されてしまう。与えられるわずかな水と食料で、暖は殺されもせずにただただ孤独と戦い、8年の月日が流れる。だが、暖にもついに生命の限界が訪れようとしていた…。そんな時、地下牢の床から1人の男が顔を出す。暖を脅し、看守への告げ口を封じる闖入者(ちんにゅうしゃ)は日本語を話した。男が床の穴に戻ると、暖は意を決して後を追う。暖が出会った男の名は、ファリア真海(田中泯)。投獄されている国の元大統領だった。暖は、自分が投獄された理由をファリアに尋ね、入間公平(高橋克典)や神楽清(新井浩文)たちにハメられたことを知る。手製の道具で脱獄用の穴掘りを手伝う暖は永遠とも感じられる作業の中、ファリアからさまざまな知識と教養を得る。生かされているだけでなく、目的を持った暖の精神と肉体は輝きを取り戻し始めた。暖の目的とは日本に帰ること、そして何より自分を陥れた人間たちへの復讐だった。  暖がファリアとトンネル掘りを続けて数年後。ついに脱獄可能な場所にたどり着く。だが、暖よりも年長で長い年月を戦い続けたファリアは力尽きようとし、暖はファリアからあるものを託される─。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フジテレビ【公式HP】  http://www.fujitv.co.jp/MONTE-CRISTO/　    【公式Twitter】  @MONTE_CRISTO_cx　    【公式Instagram】  @monte_cristo_cx</t>
  </si>
  <si>
    <t>無実の罪を着せられ異国の地に投獄されてしまった柴門暖(ディーン・フジオカ)。テロリストとのつながりを白状するよう激しく拷問されるが、暖は身に覚えがあるはずもなく、答えようがなかった。しかし、暖は潔白を証明することも出来ず、そのまま地下の独房に幽閉されてしまう。与えられるわずかな水と食料で、暖は殺されもせずにただただ孤独と戦い、8年の月日が流れる。だが、暖にもついに生命の限界が訪れようとしていた…。そんな時、地下牢の床から1人の男が顔を出す。暖を脅し、看守への告げ口を封じる闖入者(ちんにゅうしゃ)は日本語を話した。男が床の穴に戻ると、暖は意を決して後を追う。暖が出会った男の名は、ファリア真海(田中泯)。投獄されている国の元大統領だった。暖は、自分が投獄された理由をファリアに尋ね、入間公平(高橋克典)や神楽清(新井浩文)たちにハメられたことを知る。手製の道具で脱獄用の穴掘りを手伝う暖は永遠とも感じられる作業の中、ファリアからさまざまな知識と教養を得る。生かされているだけでなく、目的を持った暖の精神と肉体は輝きを取り戻し始めた。暖の目的とは日本に帰ること、そして何より自分を陥れた人間たちへの復讐だった。  暖がファリアとトンネル掘りを続けて数年後。ついに脱獄可能な場所にたどり着く。だが、暖よりも年長で長い年月を戦い続けたファリアは力尽きようとし、暖はファリアからあるものを託される─。</t>
  </si>
  <si>
    <t>番組名&lt;木曜劇場&gt;モンテ・クリスト伯ー華麗なる復讐ー【狂気の晩餐会】　#03</t>
  </si>
  <si>
    <t>柴門暖(ディーン・フジオカ)はファリア真海(田中泯)の莫大な隠し資産を譲り受けた。素性を知られぬため暖は「モンテ・クリスト・真海」と改名し、世界屈指の投資家となる。しかし、大金持ちとなった暖=真海の心は満たされることはなく、かつて自分を陥れた者たちへの復讐心に支配されていた。  ある日、江田愛梨(桜井ユキ)と南条明日花(鎌田英怜奈)が2人乗りのシーカヤックで遊んでいると誤ってパドルを落としてしまう。手で漕いで浜に帰ろうとするのだが、潮の流れが悪くなかなか戻れない。その時、クルーザーが近くを通り過ぎた。愛梨と明日花が助けを求めると、クルーザーが戻ってくる。クルーザーに乗っていた真海と秘書の土屋慈(三浦誠己)は愛梨たちを助けた。愛梨は明日花の両親が真海に挨拶がしたいと言うので家に寄って欲しいと頼む。  真海が愛梨たちと明日花の家へ行くと、幸男(大倉忠義)が帰って来た。明日花は幸男とすみれ(山本美月)の娘。愛梨は幸男のマネージャーだった。ほどなくすみれも帰宅。幸男は有名な俳優、すみれはやはり著名な料理研究家になっている。帰り際、真海は自分の別荘でホームパーティーをしたいと幸男とすみれを招待した。  真海が別荘に戻ると神楽清(新井浩文)が秘書とともに現れる。真海はこの別荘を神楽から買っていた。神楽にも夫婦でパーティーに来て欲しいと招待状を渡す真海。さらに、真海は入間公平(高橋克典)にも接近する。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t>
  </si>
  <si>
    <t>柴門暖(ディーン・フジオカ)はファリア真海(田中泯)の莫大な隠し資産を譲り受けた。素性を知られぬため暖は「モンテ・クリスト・真海」と改名し、世界屈指の投資家となる。しかし、大金持ちとなった暖=真海の心は満たされることはなく、かつて自分を陥れた者たちへの復讐心に支配されていた。  ある日、江田愛梨(桜井ユキ)と南条明日花(鎌田英怜奈)が2人乗りのシーカヤックで遊んでいると誤ってパドルを落としてしまう。手で漕いで浜に帰ろうとするのだが、潮の流れが悪くなかなか戻れない。その時、クルーザーが近くを通り過ぎた。愛梨と明日花が助けを求めると、クルーザーが戻ってくる。クルーザーに乗っていた真海と秘書の土屋慈(三浦誠己)は愛梨たちを助けた。愛梨は明日花の両親が真海に挨拶がしたいと言うので家に寄って欲しいと頼む。  真海が愛梨たちと明日花の家へ行くと、幸男(大倉忠義)が帰って来た。明日花は幸男とすみれ(山本美月)の娘。愛梨は幸男のマネージャーだった。ほどなくすみれも帰宅。幸男は有名な俳優、すみれはやはり著名な料理研究家になっている。帰り際、真海は自分の別荘でホームパーティーをしたいと幸男とすみれを招待した。  真海が別荘に戻ると神楽清(新井浩文)が秘書とともに現れる。真海はこの別荘を神楽から買っていた。神楽にも夫婦でパーティーに来て欲しいと招待状を渡す真海。さらに、真海は入間公平(高橋克典)にも接近する。</t>
  </si>
  <si>
    <t>番組名&lt;木曜劇場&gt;モンテ・クリスト伯ー華麗なる復讐ー【一線を越える夜】　#04</t>
  </si>
  <si>
    <t>モンテ・クリスト・真海(ディーン・フジオカ)は、復讐のターゲットとなる者たちとの面通しを済ませる。これは、彼らの大切なものを全て壊すことが目的である真海の序章に過ぎない。  とある土地開発プロジェクトの地鎮祭に、神楽清(新井浩文)が留美(稲森いずみ)とともに出席。政治家の木島義国(嶋田久作)とつながりを持つ神楽は、次の国有地の取引を有利に運ぼうとしている。木島は、取引に他の建設業者も動いていると、神楽にくぎを刺した。神楽は留美を残して先に会場を出る。  そこに真海が現れた。入間公平(高橋克典)から「真海には近づくな」と言われていた留美は驚く。真海は「神楽にテナントの相談に来た」と言う。そして、店を出すのは自らのアパレルブランドを立ち上げようとしている安堂完治(葉山奨之)だと、留美に紹介。安堂の相談を聞いて欲しいと、真海は留美を別荘でのランチに誘った。帰り道、素直で明るい安堂を気に入った様子の留美は、神楽に頼んでテナントなどの件は力になりたいと告げる。  一方、入間は娘の未蘭(岸井ゆきの)の結婚式の日取りを決めた。戸惑う未蘭は貞吉(伊武雅刀)に相談したいと言う。入間は未蘭、妻の瑛理奈(山口紗弥加)と貞吉の部屋へ。貞吉は会話もままならず、介護が必要な状態になっていた。まだ結婚には早いと言って欲しいと頼む未蘭に貞吉は…。言葉を話せない貞吉をバカにするかのように、入間は結婚準備を進め始める。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t>
  </si>
  <si>
    <t>モンテ・クリスト・真海(ディーン・フジオカ)は、復讐のターゲットとなる者たちとの面通しを済ませる。これは、彼らの大切なものを全て壊すことが目的である真海の序章に過ぎない。  とある土地開発プロジェクトの地鎮祭に、神楽清(新井浩文)が留美(稲森いずみ)とともに出席。政治家の木島義国(嶋田久作)とつながりを持つ神楽は、次の国有地の取引を有利に運ぼうとしている。木島は、取引に他の建設業者も動いていると、神楽にくぎを刺した。神楽は留美を残して先に会場を出る。  そこに真海が現れた。入間公平(高橋克典)から「真海には近づくな」と言われていた留美は驚く。真海は「神楽にテナントの相談に来た」と言う。そして、店を出すのは自らのアパレルブランドを立ち上げようとしている安堂完治(葉山奨之)だと、留美に紹介。安堂の相談を聞いて欲しいと、真海は留美を別荘でのランチに誘った。帰り道、素直で明るい安堂を気に入った様子の留美は、神楽に頼んでテナントなどの件は力になりたいと告げる。  一方、入間は娘の未蘭(岸井ゆきの)の結婚式の日取りを決めた。戸惑う未蘭は貞吉(伊武雅刀)に相談したいと言う。入間は未蘭、妻の瑛理奈(山口紗弥加)と貞吉の部屋へ。貞吉は会話もままならず、介護が必要な状態になっていた。まだ結婚には早いと言って欲しいと頼む未蘭に貞吉は…。言葉を話せない貞吉をバカにするかのように、入間は結婚準備を進め始める。</t>
  </si>
  <si>
    <t>番組名&lt;木曜劇場&gt;モンテ・クリスト伯ー華麗なる復讐ー【真の悪魔が覚醒】　#05</t>
  </si>
  <si>
    <t>実の母子に肉体関係を持たせる…。モンテ・クリスト・真海(ディーン・フジオカ)の魔手は神楽清(新井浩文)の妻・留美(稲森いずみ)を、彼女が不倫の果てに産んだ安堂完治(葉山奨之)と結びつけた。  真海の次なる一手は入間公平(高橋克典)。真海は、外務省勤務でマレーシアに駐在していた出口文矢(尾上寛之)を日本に呼び戻して自身の別荘に招待。出口は、入間が自ら選んだ娘・未蘭(岸井ゆきの)の婚約者だ。日本に帰れたことを喜ぶ出口に、真海は頼みがあると持ちかける。それは入間の父・貞吉(伊武雅刀)を殺して欲しいというものだった。驚く出口に真海は冗談だと告げるが、入間家は貞吉の莫大な遺産相続で揉めていることを吹き込む。  一方、未蘭は『富永水産』に頼んでおいたダボハゼを取りに行く。守尾信一朗(高杉真宙)に会った途端、未蘭の顔が輝いた。ランチに出ると未蘭は、貞吉の反対で結婚がなくなったことを信一朗に話す。信一朗と未蘭の未来に明るい陽が差し込んだかに思えたが…。  未蘭が帰宅すると出口が来ていた。入間は出口に、貞吉の遺言書の件を話す。未蘭が出口と結婚したら遺産は全て寄付するというものだ。入間は、それでも未蘭と結婚して欲しいと出口に頼む。出口は真海に成り行きを報告。すると真海は「未蘭との結婚前に貞吉を殺して遺産を相続してしまえば良い」と出口にささやく。逡巡する出口に真海は「貞吉はかつて人を殺している」と話し出した。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t>
  </si>
  <si>
    <t>実の母子に肉体関係を持たせる…。モンテ・クリスト・真海(ディーン・フジオカ)の魔手は神楽清(新井浩文)の妻・留美(稲森いずみ)を、彼女が不倫の果てに産んだ安堂完治(葉山奨之)と結びつけた。  真海の次なる一手は入間公平(高橋克典)。真海は、外務省勤務でマレーシアに駐在していた出口文矢(尾上寛之)を日本に呼び戻して自身の別荘に招待。出口は、入間が自ら選んだ娘・未蘭(岸井ゆきの)の婚約者だ。日本に帰れたことを喜ぶ出口に、真海は頼みがあると持ちかける。それは入間の父・貞吉(伊武雅刀)を殺して欲しいというものだった。驚く出口に真海は冗談だと告げるが、入間家は貞吉の莫大な遺産相続で揉めていることを吹き込む。  一方、未蘭は『富永水産』に頼んでおいたダボハゼを取りに行く。守尾信一朗(高杉真宙)に会った途端、未蘭の顔が輝いた。ランチに出ると未蘭は、貞吉の反対で結婚がなくなったことを信一朗に話す。信一朗と未蘭の未来に明るい陽が差し込んだかに思えたが…。  未蘭が帰宅すると出口が来ていた。入間は出口に、貞吉の遺言書の件を話す。未蘭が出口と結婚したら遺産は全て寄付するというものだ。入間は、それでも未蘭と結婚して欲しいと出口に頼む。出口は真海に成り行きを報告。すると真海は「未蘭との結婚前に貞吉を殺して遺産を相続してしまえば良い」と出口にささやく。逡巡する出口に真海は「貞吉はかつて人を殺している」と話し出した。</t>
  </si>
  <si>
    <t>番組名&lt;木曜劇場&gt;モンテ・クリスト伯ー華麗なる復讐ー【宿敵を潰すとき】　#06</t>
  </si>
  <si>
    <t>恋人、親友、同僚、家族…あなたの最も信頼する人が、あなたを地獄に引きずり下ろす人物だったらー。微笑みの下に隠した悪意が交錯する時、運命の歯車が音を立てて狂い始める…。「巌窟王」の名で知られる復讐劇の決定版「モンテ・クリスト伯」が現代日本に蘇る!静かな港町で暮らす純朴な青年が辿る、壮絶な大河ドラマ!裏切り・罠・どんでん返しが止まらない!禁断のストーリー展開と映像美で贈るノンストップエンタテインメントモンテ・クリスト・真海(ディーン・フジオカ)の復讐は、ついに死者を出すまでに至った。真海が放つ復讐の火種は南条幸男(大倉忠義)と神楽清(新井浩文)の関係も絶ち、大炎上を招こうとしていた。  香港のタブロイド紙が、十数年前に失踪した有名俳優、ショーン・リー(ジョー　ナカムラ)の家族が裏組織ヴァンパに殺害されたという新証言を掲載。記事は真海が裏で手を回したものだが、幸男の弱点を探る神楽も食いつく。その家族の失踪当時の付き人が幸男だったからだ。  バーで飲んでいた幸男は“あの時"を思い起こす。ヴァンパに多額の借金をしていた幸男は、ショーンの家族の留守宅に組織を招き入れる。宝飾品などを盗み出すことで借金をチャラにしようとしたのだ。だが、そこにショーンたちが帰宅。組織のメンバーは、夫婦を殴り倒す…。  幸男が気づくと両隣に男が座っていた。ヴァンパのボス、ダニー・ウォン(葉山ヒロ)たちだ。ヴァンパが裏切り者を始末しに来たのだが、幸男は自宅に脅し文句が書かれたファックスが送られたことを男たちに話す。すると最近、香港で過去の幸男のことを嗅ぎ回る人間がいたと教えられる。神楽の秘書、牛山直紀(久保田悠来)だ。男たちは牛山の動きを止めるよう幸男に命令する。  だが、事件の真相を知っている人間は幸男とヴァンパのメンバーだけではなかった。それは、両親を目の前で殺害されたショーンの娘で…。ディーン・フジオカ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t>
  </si>
  <si>
    <t>恋人、親友、同僚、家族…あなたの最も信頼する人が、あなたを地獄に引きずり下ろす人物だったらー。微笑みの下に隠した悪意が交錯する時、運命の歯車が音を立てて狂い始める…。「巌窟王」の名で知られる復讐劇の決定版「モンテ・クリスト伯」が現代日本に蘇る!静かな港町で暮らす純朴な青年が辿る、壮絶な大河ドラマ!裏切り・罠・どんでん返しが止まらない!禁断のストーリー展開と映像美で贈るノンストップエンタテインメントモンテ・クリスト・真海(ディーン・フジオカ)の復讐は、ついに死者を出すまでに至った。真海が放つ復讐の火種は南条幸男(大倉忠義)と神楽清(新井浩文)の関係も絶ち、大炎上を招こうとしていた。  香港のタブロイド紙が、十数年前に失踪した有名俳優、ショーン・リー(ジョー　ナカムラ)の家族が裏組織ヴァンパに殺害されたという新証言を掲載。記事は真海が裏で手を回したものだが、幸男の弱点を探る神楽も食いつく。その家族の失踪当時の付き人が幸男だったからだ。  バーで飲んでいた幸男は“あの時"を思い起こす。ヴァンパに多額の借金をしていた幸男は、ショーンの家族の留守宅に組織を招き入れる。宝飾品などを盗み出すことで借金をチャラにしようとしたのだ。だが、そこにショーンたちが帰宅。組織のメンバーは、夫婦を殴り倒す…。  幸男が気づくと両隣に男が座っていた。ヴァンパのボス、ダニー・ウォン(葉山ヒロ)たちだ。ヴァンパが裏切り者を始末しに来たのだが、幸男は自宅に脅し文句が書かれたファックスが送られたことを男たちに話す。すると最近、香港で過去の幸男のことを嗅ぎ回る人間がいたと教えられる。神楽の秘書、牛山直紀(久保田悠来)だ。男たちは牛山の動きを止めるよう幸男に命令する。  だが、事件の真相を知っている人間は幸男とヴァンパのメンバーだけではなかった。それは、両親を目の前で殺害されたショーンの娘で…。</t>
  </si>
  <si>
    <t>番組名&lt;木曜劇場&gt;モンテ・クリスト伯ー華麗なる復讐ー【永遠のさよなら】　#07</t>
  </si>
  <si>
    <t>【公式HP】  http://www.fujitv.co.jp/MONTE-CRISTO/　    【公式Twitter】  @MONTE_CRISTO_cx　    【公式Instagram】  @monte_cristo_cxモンテ・クリスト・真海(ディーン・フジオカ)は自分をおとしめた寺角類(渋川清彦)をこの世から抹殺する。そして、真海が復讐のために放った南条幸男(大倉忠義)に向けた矢も、ついに的を射ようとしていた。  幸男の家に、裏組織のダニー・ウォン(葉山ヒロ)とサム・ユンロン(ジョン・リ)が押し入り、何も知らないすみれ(山本美月)と明日花(鎌田英怜奈)を人質にとられる。かつて幸男も片棒を担いだショーン・リー(ジョー　ナカムラ)事件の目撃者が香港警察と接触することになったとダニー。目撃者はショーン夫婦の娘、エデルヴァ。エデルヴァはダニーたちが人身売買したが、日本語を話す男が引き取った。ダニーは、幸男が誰かに狙われているのだろうと、その男を探し出すよう命令する。家を飛び出した幸男は江田愛梨(桜井ユキ)に予定のキャンセルを連絡、神楽清(新井浩文)に電話するもつかまらない。  その頃、神楽は訪ねてきた真海と会っていた。真海は留美(稲森いずみ)に引き合わせた安堂完治(葉山奨之)が詐欺師だったと神楽に謝る。そして、間もなく幸男がショーンの事件に関与していたことを香港警察が知ることになるとも教えた。  寺角の遺体は匿名の通報により警察に発見される。寺角が浜浦町の出身で、15年前に暖が捕まった時の関係者だと国見悠馬(森岡龍)は入間公平(高橋克典)に報告。入間は、ラデル共和国から死亡報告が届いている暖を調べ始めた…。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t>
  </si>
  <si>
    <t>モンテ・クリスト・真海(ディーン・フジオカ)は自分をおとしめた寺角類(渋川清彦)をこの世から抹殺する。そして、真海が復讐のために放った南条幸男(大倉忠義)に向けた矢も、ついに的を射ようとしていた。  幸男の家に、裏組織のダニー・ウォン(葉山ヒロ)とサム・ユンロン(ジョン・リ)が押し入り、何も知らないすみれ(山本美月)と明日花(鎌田英怜奈)を人質にとられる。かつて幸男も片棒を担いだショーン・リー(ジョー　ナカムラ)事件の目撃者が香港警察と接触することになったとダニー。目撃者はショーン夫婦の娘、エデルヴァ。エデルヴァはダニーたちが人身売買したが、日本語を話す男が引き取った。ダニーは、幸男が誰かに狙われているのだろうと、その男を探し出すよう命令する。家を飛び出した幸男は江田愛梨(桜井ユキ)に予定のキャンセルを連絡、神楽清(新井浩文)に電話するもつかまらない。  その頃、神楽は訪ねてきた真海と会っていた。真海は留美(稲森いずみ)に引き合わせた安堂完治(葉山奨之)が詐欺師だったと神楽に謝る。そして、間もなく幸男がショーンの事件に関与していたことを香港警察が知ることになるとも教えた。  寺角の遺体は匿名の通報により警察に発見される。寺角が浜浦町の出身で、15年前に暖が捕まった時の関係者だと国見悠馬(森岡龍)は入間公平(高橋克典)に報告。入間は、ラデル共和国から死亡報告が届いている暖を調べ始めた…。</t>
  </si>
  <si>
    <t>番組名&lt;木曜劇場&gt;モンテ・クリスト伯ー華麗なる復讐ー【全員狂気最終章】　#08</t>
  </si>
  <si>
    <t>【公式HP】  http://www.fujitv.co.jp/MONTE-CRISTO/　    【公式Twitter】  @MONTE_CRISTO_cx　    【公式Instagram】  @monte_cristo_cxモンテ・クリスト・真海(ディーン・フジオカ)の復讐は予定通り南条家を崩壊に導き、幸男(大倉忠義)が自ら命を絶とうとするまでに至る。だが、幸男の娘、明日花(鎌田英怜奈)の存在が江田愛梨(桜井ユキ)を惑わせる。真海が暖だと気づいたすみれ(山本美月)の存在も大きなものとなる。  自分の中にある揺れにぼうぜんとしながら真海が釣りをしていると、守尾信一朗(高杉真宙)が現れた。信一朗と話すことで気分転換になった真海の心は、すぐに曇る…信一朗の交際相手が入間未蘭(岸井ゆきの)と知ったからだ。  その頃、未蘭は父の入間公平(高橋克典)に信一朗と会ってくれと頼んでいた。しかし、入間は頑なに拒絶。瑛理奈(山口紗弥加)は時間をかけて説得しようと未蘭を慰め、貞吉(伊武雅刀)の部屋に連れて行く。瑛理奈の殺害計画を知る貞吉は必死に未蘭に危険を伝えようとする。しかし、会話用のタッチパッドが瑛理奈に操作されていたため、未蘭に伝えることは出来なかった。と、そこに真海が貞吉に会いに来たと現れる。  入間は神楽清(新井浩文)と会う。神楽は幸男の自殺、そして寺角類(渋川清彦)殺害は真海の仕業だと話す。さらに、神楽は真海が自分と入間もターゲットにしていると告げた。真海は何者だと思うと問う入間。入間と神楽の脳裏には共通の人物が浮かぶ。入間は真海を呼び出す。真海と話すために使う取調室は、15年前に柴門暖を陥れた部屋で…。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t>
  </si>
  <si>
    <t>モンテ・クリスト・真海(ディーン・フジオカ)の復讐は予定通り南条家を崩壊に導き、幸男(大倉忠義)が自ら命を絶とうとするまでに至る。だが、幸男の娘、明日花(鎌田英怜奈)の存在が江田愛梨(桜井ユキ)を惑わせる。真海が暖だと気づいたすみれ(山本美月)の存在も大きなものとなる。  自分の中にある揺れにぼうぜんとしながら真海が釣りをしていると、守尾信一朗(高杉真宙)が現れた。信一朗と話すことで気分転換になった真海の心は、すぐに曇る…信一朗の交際相手が入間未蘭(岸井ゆきの)と知ったからだ。  その頃、未蘭は父の入間公平(高橋克典)に信一朗と会ってくれと頼んでいた。しかし、入間は頑なに拒絶。瑛理奈(山口紗弥加)は時間をかけて説得しようと未蘭を慰め、貞吉(伊武雅刀)の部屋に連れて行く。瑛理奈の殺害計画を知る貞吉は必死に未蘭に危険を伝えようとする。しかし、会話用のタッチパッドが瑛理奈に操作されていたため、未蘭に伝えることは出来なかった。と、そこに真海が貞吉に会いに来たと現れる。  入間は神楽清(新井浩文)と会う。神楽は幸男の自殺、そして寺角類(渋川清彦)殺害は真海の仕業だと話す。さらに、神楽は真海が自分と入間もターゲットにしていると告げた。真海は何者だと思うと問う入間。入間と神楽の脳裏には共通の人物が浮かぶ。入間は真海を呼び出す。真海と話すために使う取調室は、15年前に柴門暖を陥れた部屋で…。</t>
  </si>
  <si>
    <t>番組名&lt;木曜劇場&gt;モンテ・クリスト伯ー華麗なる復讐ー【絶望の向こう側】　#09</t>
  </si>
  <si>
    <t>【公式HP】  http://www.fujitv.co.jp/MONTE-CRISTO/　    【公式Twitter】  @MONTE_CRISTO_cx　    【公式Instagram】  @monte_cristo_cx南条幸男(大倉忠義)、神楽清(新井浩文)、入間公平(高橋克典)へのモンテ・クリスト・真海(ディーン・フジオカ)の復讐は、彼らの家族たちも巻き込みながら結末を迎えようとしていた。  真海が守尾信一朗(高杉真宙)に渡した薬を飲んだ未蘭(岸井ゆきの)は、いまだに昏睡したままで面会謝絶。信一朗は入間からも促され、真海の別荘を訪ねる。詰め寄る信一朗に、真海はもうすぐ死んで償うと詫びた。  未蘭を排除した瑛理奈(山口紗弥加)は、いよいよ貞吉(伊武雅刀)を殺害しようとする。だが、そこに入間が帰ってきてしまう。すると貞吉は目で入間に合図。入間と2人きりになった貞吉は、真海が残していったボードを使って会話を始める。  倉庫に閉じ込められた神楽は、国有地売却の件で議員と自分に闇献金疑惑がかけられ東京地検特捜部が捜査に動いたことを知る。そこに天野満(柳俊太郎)が手下を連れて現れた。天野は神楽に拷問を始めるが、それはかつて柴門暖が受けたような過酷なものだった。  幸男とすみれ(山本美月)は真海に会いに行こうとしていた。だが、その途中、愛梨(桜井ユキ)から、明日花(鎌田英怜奈)と一緒にいると連絡が入る。自分に恨みを持つ愛梨と娘が一緒だと知った幸男は、すみれを帰して独りで真海に会いに行くことに。  その頃、真海は入間と会っていた。真海は入間に、留美(稲森いずみ)と安堂完治(葉山奨之)は一緒に逃げていると教える。ディーン・フジオカ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t>
  </si>
  <si>
    <t>南条幸男(大倉忠義)、神楽清(新井浩文)、入間公平(高橋克典)へのモンテ・クリスト・真海(ディーン・フジオカ)の復讐は、彼らの家族たちも巻き込みながら結末を迎えようとしていた。  真海が守尾信一朗(高杉真宙)に渡した薬を飲んだ未蘭(岸井ゆきの)は、いまだに昏睡したままで面会謝絶。信一朗は入間からも促され、真海の別荘を訪ねる。詰め寄る信一朗に、真海はもうすぐ死んで償うと詫びた。  未蘭を排除した瑛理奈(山口紗弥加)は、いよいよ貞吉(伊武雅刀)を殺害しようとする。だが、そこに入間が帰ってきてしまう。すると貞吉は目で入間に合図。入間と2人きりになった貞吉は、真海が残していったボードを使って会話を始める。  倉庫に閉じ込められた神楽は、国有地売却の件で議員と自分に闇献金疑惑がかけられ東京地検特捜部が捜査に動いたことを知る。そこに天野満(柳俊太郎)が手下を連れて現れた。天野は神楽に拷問を始めるが、それはかつて柴門暖が受けたような過酷なものだった。  幸男とすみれ(山本美月)は真海に会いに行こうとしていた。だが、その途中、愛梨(桜井ユキ)から、明日花(鎌田英怜奈)と一緒にいると連絡が入る。自分に恨みを持つ愛梨と娘が一緒だと知った幸男は、すみれを帰して独りで真海に会いに行くことに。  その頃、真海は入間と会っていた。真海は入間に、留美(稲森いずみ)と安堂完治(葉山奨之)は一緒に逃げていると教える。</t>
  </si>
  <si>
    <t>1801_CX_月21</t>
  </si>
  <si>
    <t>海月姫</t>
  </si>
  <si>
    <t>番組名海月姫【東村アキコの傑作をドラマ化!月9史上最も奇妙な三角関係!】　#01</t>
  </si>
  <si>
    <t>【公式HP】http://www.fujitv.co.jp/kuragehime/クラゲを愛しすぎてしまった筋金入りの“クラゲオタク女子"が、とある兄弟と三角関係になり、自分には一生縁はないと思っていた恋を知り、新しい自分、新しい生き方を見つけていく姿を、ギャグを交えて描きます。  ある朝、『天水館』自室のベッドで目覚めた倉下月海(芳根京子)は、隣を見てビックリ。なんと上半身裸の男が寝ているではないか…月海は昨晩のことを思い起こす。月海は、久しぶりに近所の熱帯魚店にクララと名前までつけているクラゲを見に行った。月海は、その水槽にタコクラゲと一緒に飼ってはいけないミズクラゲが一緒に入っていることに気づいた。注意しようと思う月海だが、相手はオシャレな男性店員。月海が大苦手の人種だ。月海は勇気を振り絞って注意するのだが、追い出され、店の前で倒れてしまう。そんな店員を注意するスタイル抜群の美女が月海を助けてくれた。月海がわけを話すと、その美女はクララを買ってしまおうとお持ち帰り。美女は月海とともに『天水館』まで来ると部屋まで見たいと言い出した。美女は月海の部屋に勝手に泊まることにしてしまい…。  そして、次の朝、目覚めた月海が大声を出すことに。美女が上半身裸の男、鯉淵蔵之介(瀬戸康史)に変身していたのだ。蔵之介によると女装は趣味らしい。慌てる月海は『天水館』は男子禁制の尼寺のようなところだと蔵之介に説明。女装姿に戻った蔵之介が月海と部屋を出ると、独特な住人たちがいて…。芳根京子　  瀬戸康史　  工藤阿須加　  木南晴夏　  松井玲奈　  内田理央　  富山えり子  　・　  泉里香　  安井順平　  要潤  　・　  床嶋佳子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t>
  </si>
  <si>
    <t>クラゲを愛しすぎてしまった筋金入りの“クラゲオタク女子"が、とある兄弟と三角関係になり、自分には一生縁はないと思っていた恋を知り、新しい自分、新しい生き方を見つけていく姿を、ギャグを交えて描きます。  ある朝、『天水館』自室のベッドで目覚めた倉下月海(芳根京子)は、隣を見てビックリ。なんと上半身裸の男が寝ているではないか…月海は昨晩のことを思い起こす。月海は、久しぶりに近所の熱帯魚店にクララと名前までつけているクラゲを見に行った。月海は、その水槽にタコクラゲと一緒に飼ってはいけないミズクラゲが一緒に入っていることに気づいた。注意しようと思う月海だが、相手はオシャレな男性店員。月海が大苦手の人種だ。月海は勇気を振り絞って注意するのだが、追い出され、店の前で倒れてしまう。そんな店員を注意するスタイル抜群の美女が月海を助けてくれた。月海がわけを話すと、その美女はクララを買ってしまおうとお持ち帰り。美女は月海とともに『天水館』まで来ると部屋まで見たいと言い出した。美女は月海の部屋に勝手に泊まることにしてしまい…。  そして、次の朝、目覚めた月海が大声を出すことに。美女が上半身裸の男、鯉淵蔵之介(瀬戸康史)に変身していたのだ。蔵之介によると女装は趣味らしい。慌てる月海は『天水館』は男子禁制の尼寺のようなところだと蔵之介に説明。女装姿に戻った蔵之介が月海と部屋を出ると、独特な住人たちがいて…。</t>
  </si>
  <si>
    <t>番組名海月姫【初恋の試練!オタク女子×女装美男子が最大の危機に立ち向かう】　#02</t>
  </si>
  <si>
    <t>【公式HP】  http://www.fujitv.co.jp/kuragehime/    【公式Instagram】  https://www.instagram.com/princess_kurage/    【公式Twitter】  https://twitter.com/princess_kurage『天水館』の朝。大慌ての倉下月海(芳根京子)が広間に駆け込み、ジジ様(木南晴夏)たちに目白先生が締切日を間違えていたことを報告。目白先生はBL漫画家で、収入の乏しい“尼～ず"たちは時にアシスタントをしていた。月海たちは原稿の仕上げを始めるが、そんな時、男同士が抱き合うカットを見た月海の動きが止まり…。月海は鯉淵修(工藤阿須加)に水族館で抱きしめられたことを思い出したのだ。千絵子(富山えり子)たちが月海を心配していると、蔵之介(瀬戸康史)が現れる。月海は修に抱きしめられたことを蔵之介に問われるとますます混乱。そんな月海をよそに蔵之介が手を洗おうと台所の蛇口をひねると排水管が破裂!  月海の部屋で体を拭いて着替えを借りる蔵之介。その時、蔵之介は「修から月海の母の話を聞いた」と話す。そして、ふと「気持ちがわかる」と漏らす蔵之介。月海は聞き返そうとするが、蔵之介が濡れた服を脱ぎ始めたので部屋を出た。排水管の修理代は20万円。だが、ほぼニート状態の月海たちに持ち合わせなどあるはずがなく…。すると、蔵之介は“尼～ず"たちの収集品をフリーマーケットで売ろうと提案。一応、自分たちの持ち物を出品する“尼～ず"たちだが、大事なオタクグッズを売るつもりなどはなからない様子。だが、月海が作ったクラゲのぬいぐるみが普通に売れて評判も上々。これに目をつけた蔵之介はネット販売を思いつく。芳根京子　  瀬戸康史　  工藤阿須加　  木南晴夏　  松井玲奈　  内田理央　  富山えり子  　・　  泉里香　  安井順平　  要潤  　・　  床嶋佳子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t>
  </si>
  <si>
    <t>『天水館』の朝。大慌ての倉下月海(芳根京子)が広間に駆け込み、ジジ様(木南晴夏)たちに目白先生が締切日を間違えていたことを報告。目白先生はBL漫画家で、収入の乏しい“尼～ず"たちは時にアシスタントをしていた。月海たちは原稿の仕上げを始めるが、そんな時、男同士が抱き合うカットを見た月海の動きが止まり…。月海は鯉淵修(工藤阿須加)に水族館で抱きしめられたことを思い出したのだ。千絵子(富山えり子)たちが月海を心配していると、蔵之介(瀬戸康史)が現れる。月海は修に抱きしめられたことを蔵之介に問われるとますます混乱。そんな月海をよそに蔵之介が手を洗おうと台所の蛇口をひねると排水管が破裂!  月海の部屋で体を拭いて着替えを借りる蔵之介。その時、蔵之介は「修から月海の母の話を聞いた」と話す。そして、ふと「気持ちがわかる」と漏らす蔵之介。月海は聞き返そうとするが、蔵之介が濡れた服を脱ぎ始めたので部屋を出た。排水管の修理代は20万円。だが、ほぼニート状態の月海たちに持ち合わせなどあるはずがなく…。すると、蔵之介は“尼～ず"たちの収集品をフリーマーケットで売ろうと提案。一応、自分たちの持ち物を出品する“尼～ず"たちだが、大事なオタクグッズを売るつもりなどはなからない様子。だが、月海が作ったクラゲのぬいぐるみが普通に売れて評判も上々。これに目をつけた蔵之介はネット販売を思いつく。</t>
  </si>
  <si>
    <t>番組名海月姫【祝・初デート!暴かれたシンデレラの魔法とウソ】　#03</t>
  </si>
  <si>
    <t>【公式HP】  http://www.fujitv.co.jp/kuragehime/    【公式Instagram】  https://www.instagram.com/princess_kurage/    【公式Twitter】  https://twitter.com/princess_kurage倉下月海(芳根京子)は、クラゲのドレスを作ろうと言い出した鯉淵蔵之介(瀬戸康史)を信じられずにいた。しかし、蔵之介は本気。蔵之介は早速ドレスのデザインをスケッチし始める。月海は「全然違う」と、自分が描いたハナガサクラゲのデッサンを見せると、蔵之介は思わず「こんなドレスがあったら欲しい」と言う。そこに、ばんばさん(松井玲奈)が、風呂が空いたと月海を呼びに。男の格好だった蔵之介は姿を消す。  蔵之介が家に帰ると修(工藤阿須加)が部屋を訪ねてきた。修は、月海と会いたいがどうすれば良いかわからない状態に。月海と付き合わせると言った約束がまだ有効かと蔵之介に問う修。すると蔵之介は、月海に声をかけると請け負う。  『天水館』に行った蔵之介は修とデートするよう月海に告げる。月海は行きたくないと即答。修と稲荷翔子(泉里香)が交際していると思っていたからだ。蔵之介は「直接修に聞いてみれば良い」と言うが、月海には無理。さらに、男性とデートしたら『天水館』にいられなくなると続ける月海に、蔵之介は強引にメイクを施して出かけさせる。  月海と修は無事に落ち合うが、ギクシャクしたデートが続く。そんな中、メガネをかけた月海を見た修は『天水館』で「気色悪い」と言ってしまった女性だと気づく。一方、蔵之介は“尼～ず"にクラゲのドレスを作ると宣言。気乗りしない面々に、蔵之介はドレスで儲けた金で『天水館』を救おうと言い出す。芳根京子　  瀬戸康史　  工藤阿須加　  木南晴夏　  松井玲奈　  内田理央　  富山えり子  　・　  泉里香　  安井順平　  要潤  　・　  床嶋佳子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t>
  </si>
  <si>
    <t>倉下月海(芳根京子)は、クラゲのドレスを作ろうと言い出した鯉淵蔵之介(瀬戸康史)を信じられずにいた。しかし、蔵之介は本気。蔵之介は早速ドレスのデザインをスケッチし始める。月海は「全然違う」と、自分が描いたハナガサクラゲのデッサンを見せると、蔵之介は思わず「こんなドレスがあったら欲しい」と言う。そこに、ばんばさん(松井玲奈)が、風呂が空いたと月海を呼びに。男の格好だった蔵之介は姿を消す。  蔵之介が家に帰ると修(工藤阿須加)が部屋を訪ねてきた。修は、月海と会いたいがどうすれば良いかわからない状態に。月海と付き合わせると言った約束がまだ有効かと蔵之介に問う修。すると蔵之介は、月海に声をかけると請け負う。  『天水館』に行った蔵之介は修とデートするよう月海に告げる。月海は行きたくないと即答。修と稲荷翔子(泉里香)が交際していると思っていたからだ。蔵之介は「直接修に聞いてみれば良い」と言うが、月海には無理。さらに、男性とデートしたら『天水館』にいられなくなると続ける月海に、蔵之介は強引にメイクを施して出かけさせる。  月海と修は無事に落ち合うが、ギクシャクしたデートが続く。そんな中、メガネをかけた月海を見た修は『天水館』で「気色悪い」と言ってしまった女性だと気づく。一方、蔵之介は“尼～ず"にクラゲのドレスを作ると宣言。気乗りしない面々に、蔵之介はドレスで儲けた金で『天水館』を救おうと言い出す。</t>
  </si>
  <si>
    <t>番組名海月姫【話題沸騰の王道ラブコメ!緊急出動!落ちこぼれ達の大逆転劇!】　#04</t>
  </si>
  <si>
    <t>【公式HP】  http://www.fujitv.co.jp/kuragehime/    【公式Instagram】  https://www.instagram.com/princess_kurage/    【公式Twitter】  https://twitter.com/princess_kurage倉下月海(芳根京子)に思いを届けようと、鯉淵修(工藤阿須加)は『天水館』に行くが、ばんばさん(松井玲奈)とまやや(内田理央)に追い返されてしまう。ばんばさんたちが月海に武勇伝を語っていると、ジジ様(木南晴夏)と千絵子(富山えり子)が帰宅。こちらは蔵之介(瀬戸康史)が男だと知り『天水館』や月海に近づかないよう言いに行ったが、ちょっと様子がおかしくー。千絵子は、蔵之介が『ベルサイユのばら』のオスカルだったと泣き崩れる。政治一家に女として産まれたが男として育てられたと蔵之介がついた嘘を2人は信じ、帰ってきたのだった。  ジジ様たちが北京ダックをおごってもらったと知ったまややは蔵之介に電話。蔵之介が『バタフライ』というクラブにいると聞くと、まややは蝶マニアが集うイベントと勘違い。月海とばんばさんを伴い、自分たちもおごってもらおうと『天水館』を後にする。  蔵之介が桐山琴音(最上もが)たちにクラゲのドレスの写真を見せていると月海たちが到着。そこはオシャレなクラブだった。月海たちは浮きまくり、琴音たちにバカにされ…。蔵之介は月海たちを連れ出すものの、傷ついた“尼～ず"は帰ってしまう。ばんばさんとまややは「蔵之介とは関わらない」と宣言、蔵之介は『天水館』と関わることができなくなってしまうのか。  後日、蔵之介は琴音から「クラゲのドレスを作って欲しい」と連絡を受ける。蔵之介は月海たちに話をするのだが…。芳根京子　  瀬戸康史　  工藤阿須加　  木南晴夏　  松井玲奈　  内田理央　  富山えり子  　・　  泉里香　  安井順平　  要潤  　・　  床嶋佳子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t>
  </si>
  <si>
    <t>倉下月海(芳根京子)に思いを届けようと、鯉淵修(工藤阿須加)は『天水館』に行くが、ばんばさん(松井玲奈)とまやや(内田理央)に追い返されてしまう。ばんばさんたちが月海に武勇伝を語っていると、ジジ様(木南晴夏)と千絵子(富山えり子)が帰宅。こちらは蔵之介(瀬戸康史)が男だと知り『天水館』や月海に近づかないよう言いに行ったが、ちょっと様子がおかしくー。千絵子は、蔵之介が『ベルサイユのばら』のオスカルだったと泣き崩れる。政治一家に女として産まれたが男として育てられたと蔵之介がついた嘘を2人は信じ、帰ってきたのだった。  ジジ様たちが北京ダックをおごってもらったと知ったまややは蔵之介に電話。蔵之介が『バタフライ』というクラブにいると聞くと、まややは蝶マニアが集うイベントと勘違い。月海とばんばさんを伴い、自分たちもおごってもらおうと『天水館』を後にする。  蔵之介が桐山琴音(最上もが)たちにクラゲのドレスの写真を見せていると月海たちが到着。そこはオシャレなクラブだった。月海たちは浮きまくり、琴音たちにバカにされ…。蔵之介は月海たちを連れ出すものの、傷ついた“尼～ず"は帰ってしまう。ばんばさんとまややは「蔵之介とは関わらない」と宣言、蔵之介は『天水館』と関わることができなくなってしまうのか。  後日、蔵之介は琴音から「クラゲのドレスを作って欲しい」と連絡を受ける。蔵之介は月海たちに話をするのだが…。</t>
  </si>
  <si>
    <t>番組名海月姫【一攫千金!ショーにかけた仲間の思いをつなげ!運命の決断なう】　#05</t>
  </si>
  <si>
    <t>【公式HP】  http://www.fujitv.co.jp/kuragehime/    【公式Instagram】  https://www.instagram.com/princess_kurage/    【公式Twitter】  https://twitter.com/princess_kurage稲荷翔子(泉里香)が『天水館』の持ち主である千絵子(富山えり子)の母に直接、土地建物の売買契約を持ち込んだ事を知り、倉下月海(芳根京子)たちは戦々恐々。一方、鯉淵蔵之介(瀬戸康史)も花森よしお(要潤)から、父の慶一郎(北大路欣也)が自ら主催するパーティーで天水地区再開発賛成派を表明すると聞いて危機感を募らせる。  蔵之介が『天水館』へ行くと、月海はドレスをたくさん作って販売したいと訴える。蔵之介も賛成し、慶一郎のパーティー開催日にファッションショーをやろうと言い出した。尻込みする“尼～ず"たちだが、ジジ様(木南晴夏)はそれしかないと同意。ばんばさん(松井玲奈)、まやや(内田理央)はジジ様に「儲けが出たら趣味の品を買えるかも」と言われてやる気に。作戦会議を始めた“尼～ず"だが、販売用のドレスを作るためには彼女たちの力では難しく…。そこで縫製のプロを雇うことを決意。すると千絵子は友人に適任者がいると月海たちを連れて頼みに出かける。  月海たちが通された千絵子の友人、ノムさん(安達祐実)の部屋にはたくさんの人形が飾られていた。ノムさんの服作りは人形専門。しかし、ノムさんの力量は本物で、クラゲのドレスを気に入って即座に人形用の型紙を作り始めた。人間用ドレスに協力してくれたらデザインを人形にも使って良いと千絵子が条件を出すと、ノムさんは了承した。  こうして月海たちは本格的なドレス作りに着手する。芳根京子　  瀬戸康史　  工藤阿須加　  木南晴夏　  松井玲奈　  内田理央　  富山えり子  　・　  泉里香　  安井順平　  要潤  　・　  床嶋佳子　  北大路欣也　    〈ゲスト出演〉  安達祐実【原作】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t>
  </si>
  <si>
    <t>稲荷翔子(泉里香)が『天水館』の持ち主である千絵子(富山えり子)の母に直接、土地建物の売買契約を持ち込んだ事を知り、倉下月海(芳根京子)たちは戦々恐々。一方、鯉淵蔵之介(瀬戸康史)も花森よしお(要潤)から、父の慶一郎(北大路欣也)が自ら主催するパーティーで天水地区再開発賛成派を表明すると聞いて危機感を募らせる。  蔵之介が『天水館』へ行くと、月海はドレスをたくさん作って販売したいと訴える。蔵之介も賛成し、慶一郎のパーティー開催日にファッションショーをやろうと言い出した。尻込みする“尼～ず"たちだが、ジジ様(木南晴夏)はそれしかないと同意。ばんばさん(松井玲奈)、まやや(内田理央)はジジ様に「儲けが出たら趣味の品を買えるかも」と言われてやる気に。作戦会議を始めた“尼～ず"だが、販売用のドレスを作るためには彼女たちの力では難しく…。そこで縫製のプロを雇うことを決意。すると千絵子は友人に適任者がいると月海たちを連れて頼みに出かける。  月海たちが通された千絵子の友人、ノムさん(安達祐実)の部屋にはたくさんの人形が飾られていた。ノムさんの服作りは人形専門。しかし、ノムさんの力量は本物で、クラゲのドレスを気に入って即座に人形用の型紙を作り始めた。人間用ドレスに協力してくれたらデザインを人形にも使って良いと千絵子が条件を出すと、ノムさんは了承した。  こうして月海たちは本格的なドレス作りに着手する。</t>
  </si>
  <si>
    <t>番組名海月姫【第二章突入!尼～ず解散危機!愛と勇気の闘争】　#06</t>
  </si>
  <si>
    <t>【公式HP】  http://www.fujitv.co.jp/kuragehime/    【公式Instagram】  https://www.instagram.com/princess_kurage/    【公式Twitter】  https://twitter.com/princess_kurage『天水館』で行われた月海(芳根京子)たちのブランド“ジェリーフィッシュ"のファッションショーは成功した。しかし、ショーの後に蔵之介(瀬戸康史)にキスされた月海は心ここにあらずの状態に。一方、蔵之介はショーの最中に天水地区再開発反対を発表したことで、賛成派の父、慶一郎(北大路欣也)に叱られてしまう。スポーツ紙などはショーよりも親子対決を大きく取り上げることに…。  その頃、修(工藤阿須加)は議員会館で慶一郎の後援者などの電話対応に追われていた。そこに紛れて別の内容の電話が…。蔵之介の実母、リナ(若村麻由美)からだった。リナは蔵之介がショーで着ていたドレスの注文を修に頼む。しかも「蔵之介には内緒で」ということだった。  慶一郎に自宅謹慎を申し付けられた蔵之介だったが、自宅前で待ち構えるマスコミの前にジェリーフィッシュの服で姿を現した蔵之介はちゃっかり宣伝する。『天水館』を訪ねた蔵之介は“尼～ず"たちに「ジェリーフィッシュのホームページを立ち上げてドレスのオーダーをとろう」と促した。そんな蔵之介を自室に呼んだ月海は、昨夜のキスの意味を尋ねるが、蔵之介に「挨拶みたいなもの」とあっさりかわされてしまう。  月海が生地を買いに行くと修と会う。修は月海に「みんなには内緒でドレスを作ってほしい」と頼むが、リナの注文だとは言わなかった。修に送られて『天水館』に戻る月海の姿を蔵之介が目撃していたー。芳根京子　  瀬戸康史　  工藤阿須加　  木南晴夏　  松井玲奈　  内田理央　  富山えり子  　・　  泉里香　  安井順平　  要潤  　・　  床嶋佳子　  若村麻由美　  北大路欣也　    〈ゲスト出演〉  江口のりこ【原作】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t>
  </si>
  <si>
    <t>『天水館』で行われた月海(芳根京子)たちのブランド“ジェリーフィッシュ"のファッションショーは成功した。しかし、ショーの後に蔵之介(瀬戸康史)にキスされた月海は心ここにあらずの状態に。一方、蔵之介はショーの最中に天水地区再開発反対を発表したことで、賛成派の父、慶一郎(北大路欣也)に叱られてしまう。スポーツ紙などはショーよりも親子対決を大きく取り上げることに…。  その頃、修(工藤阿須加)は議員会館で慶一郎の後援者などの電話対応に追われていた。そこに紛れて別の内容の電話が…。蔵之介の実母、リナ(若村麻由美)からだった。リナは蔵之介がショーで着ていたドレスの注文を修に頼む。しかも「蔵之介には内緒で」ということだった。  慶一郎に自宅謹慎を申し付けられた蔵之介だったが、自宅前で待ち構えるマスコミの前にジェリーフィッシュの服で姿を現した蔵之介はちゃっかり宣伝する。『天水館』を訪ねた蔵之介は“尼～ず"たちに「ジェリーフィッシュのホームページを立ち上げてドレスのオーダーをとろう」と促した。そんな蔵之介を自室に呼んだ月海は、昨夜のキスの意味を尋ねるが、蔵之介に「挨拶みたいなもの」とあっさりかわされてしまう。  月海が生地を買いに行くと修と会う。修は月海に「みんなには内緒でドレスを作ってほしい」と頼むが、リナの注文だとは言わなかった。修に送られて『天水館』に戻る月海の姿を蔵之介が目撃していたー。</t>
  </si>
  <si>
    <t>番組名海月姫【一発逆転!!謎の男の怪しい誘惑…君がほしい!?】　#07</t>
  </si>
  <si>
    <t>【公式HP】  http://www.fujitv.co.jp/kuragehime/    【公式Instagram】  https://www.instagram.com/princess_kurage/    【公式Twitter】  https://twitter.com/princess_kurage修(工藤阿須加)から告白された月海(芳根京子)は大混乱。“尼～ず"に相談出来ない月海は、蔵之介(瀬戸康史)に電話で報告します。話を聞いた蔵之介が修に尋ねると「交際を求めているのではなく、月海にプロポーズしようと思っている」と突っ走ろうとしていました。そんなことをしたら月海がどうなるかわからないと、蔵之介は修をいさめます。  ジジ様(木南晴夏)の生産管理も様になり、『ジェリーフィッシュ』のドレスが順調に出荷されていく中『天水館』の月海宛てに一通の手紙が届きます。差出人の名前がない手紙を怖がる月海の代わりに、封を切ったまやや(内田理央)が固まります。蔵之介が手紙を奪い取ると、差出人は修。内容はまさに月海へのプロポーズだったのです。ばんばさん(松井玲奈)や千絵子(富山えり子)も動転する中、蔵之介は修のフライングに歯噛みします。  そんな混乱の最中に、千絵子の母、千世子(富山えり子・二役)が現れ“尼～ず"たちに『天水館』から早く出て行けと迫ります。千絵子は母に、ここで服を作っていると説明。蔵之介も「服を売って『天水館』を買いたい」と話しましたが、千世子は売却契約に行くと出て行きます。しかし実は、母に内緒で『天水館』の権利証を隠していた千絵子。契約までの時間を引き延ばした月海たちは、ジジ様の提案でファッション界のバイヤーやスタイリストなどが集まるプロモーションスペースに出店することにー。芳根京子　  瀬戸康史　  工藤阿須加　  木南晴夏　  松井玲奈　  内田理央　  富山えり子  　・　  泉里香　  安井順平　  要潤  　・　  床嶋佳子　  若村麻由美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t>
  </si>
  <si>
    <t>修(工藤阿須加)から告白された月海(芳根京子)は大混乱。“尼～ず"に相談出来ない月海は、蔵之介(瀬戸康史)に電話で報告します。話を聞いた蔵之介が修に尋ねると「交際を求めているのではなく、月海にプロポーズしようと思っている」と突っ走ろうとしていました。そんなことをしたら月海がどうなるかわからないと、蔵之介は修をいさめます。  ジジ様(木南晴夏)の生産管理も様になり、『ジェリーフィッシュ』のドレスが順調に出荷されていく中『天水館』の月海宛てに一通の手紙が届きます。差出人の名前がない手紙を怖がる月海の代わりに、封を切ったまやや(内田理央)が固まります。蔵之介が手紙を奪い取ると、差出人は修。内容はまさに月海へのプロポーズだったのです。ばんばさん(松井玲奈)や千絵子(富山えり子)も動転する中、蔵之介は修のフライングに歯噛みします。  そんな混乱の最中に、千絵子の母、千世子(富山えり子・二役)が現れ“尼～ず"たちに『天水館』から早く出て行けと迫ります。千絵子は母に、ここで服を作っていると説明。蔵之介も「服を売って『天水館』を買いたい」と話しましたが、千世子は売却契約に行くと出て行きます。しかし実は、母に内緒で『天水館』の権利証を隠していた千絵子。契約までの時間を引き延ばした月海たちは、ジジ様の提案でファッション界のバイヤーやスタイリストなどが集まるプロモーションスペースに出店することにー。</t>
  </si>
  <si>
    <t>番組名海月姫【涙腺崩壊!月海の決断と涙の別れ…最後の晩餐!行くな、月海!】　#08</t>
  </si>
  <si>
    <t>【公式HP】  http://www.fujitv.co.jp/kuragehime/    【公式Instagram】  https://www.instagram.com/princess_kurage/    【公式Twitter】  https://twitter.com/princess_kurage月海(芳根京子)たちは自身らのブランド『ジェリーフィッシュ』を出店。客足は全く良くなかったが、アジアでセレクトショップを展開するカイ・フィッシュ(賀来賢人)には認められることに。カイは月海と蔵之介(瀬戸康史)に、ドレスとデザインを買い取りたいと申し出る。それどころか、条件として月海をシンガポールに連れて行き、新ブランドを展開したいと…。そして、月海の才能を埋もれさせたくないと、部下のファヨン(伊藤ゆみ)に手付金の用意を命令する。蔵之介は「月海やドレスのことを理解していない」とカイの提案を断るが、蔵之介と部屋を出る月海に、カイは連絡先を教えてー。  蔵之介と月海がプロモーションスペースに戻ると“尼～ず"たちの姿はなく、2人を迎えたのは稲荷翔子(泉里香)と佐々木公平(安井順平)だった。稲荷は『天水館』の売買契約が成立したと月海と蔵之介に伝える。すぐに『天水館』に戻る2人だが、打つ手なく沈んでしまう。  一方「困った時には連絡するように」と修(工藤阿須加)に言われていた月海は彼に電話するも、出てもらえない。勇気を出して鯉淵家を訪ねる月海だが、修は不在。そんな月海を慶一郎(北大路欣也)と容子(床嶋佳子)が家に迎え入れる。月海は『天水館』が売却されてしまったことを慶一郎に相談するが、自分にはどうすることも出来ないと言われてしまう。頼る術がなくなった月海は、カイにもらった名刺に目を落とし…。芳根京子　  瀬戸康史　  工藤阿須加　  木南晴夏　  松井玲奈　  内田理央　  富山えり子  　・　  泉里香　  安井順平　  要潤  　・　  床嶋佳子　  若村麻由美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紙谷楓　    【制作】  フジテレビ　【制作著作】  共同テレビ</t>
  </si>
  <si>
    <t>月海(芳根京子)たちは自身らのブランド『ジェリーフィッシュ』を出店。客足は全く良くなかったが、アジアでセレクトショップを展開するカイ・フィッシュ(賀来賢人)には認められることに。カイは月海と蔵之介(瀬戸康史)に、ドレスとデザインを買い取りたいと申し出る。それどころか、条件として月海をシンガポールに連れて行き、新ブランドを展開したいと…。そして、月海の才能を埋もれさせたくないと、部下のファヨン(伊藤ゆみ)に手付金の用意を命令する。蔵之介は「月海やドレスのことを理解していない」とカイの提案を断るが、蔵之介と部屋を出る月海に、カイは連絡先を教えてー。  蔵之介と月海がプロモーションスペースに戻ると“尼～ず"たちの姿はなく、2人を迎えたのは稲荷翔子(泉里香)と佐々木公平(安井順平)だった。稲荷は『天水館』の売買契約が成立したと月海と蔵之介に伝える。すぐに『天水館』に戻る2人だが、打つ手なく沈んでしまう。  一方「困った時には連絡するように」と修(工藤阿須加)に言われていた月海は彼に電話するも、出てもらえない。勇気を出して鯉淵家を訪ねる月海だが、修は不在。そんな月海を慶一郎(北大路欣也)と容子(床嶋佳子)が家に迎え入れる。月海は『天水館』が売却されてしまったことを慶一郎に相談するが、自分にはどうすることも出来ないと言われてしまう。頼る術がなくなった月海は、カイにもらった名刺に目を落とし…。</t>
  </si>
  <si>
    <t>番組名海月姫【奇跡は俺たちが作る!月海奪還大作戦】　#09</t>
  </si>
  <si>
    <t>【公式HP】  http://www.fujitv.co.jp/kuragehime/    【公式Instagram】  https://www.instagram.com/princess_kurage/    【公式Twitter】  https://twitter.com/princess_kurage月海(芳根京子)は蔵之介(瀬戸康史)や“尼～ず"が映ったテレビ番組を見て号泣。『天水館』に帰って来いという仲間の気持ちが伝わり、寂しい思いがあふれる。そんな月海に、カイ・フィッシュ(賀来賢人)は「戻りたければ戻っても良い」と告げる。ただし、月海が戻れば『天水館』は取り戻せなくなる、とー。月海はカイに従うしかないと決意する。  月海は、カイに雇われたデザイナーたちが集うサロン『CUBE』へ。オシャレ女子たちにドレスのデザイン画を見られる月海。すると彼女たちから、カイに必要なのは利益になるデザインだと言われてしまう。月海のデザインはゴミにすぎない、と…。「訂正してください」と憤る月海をファヨン(伊藤ゆみ)が連れ出す。  ファヨンは在庫として売れ残った服を全て燃やしてしまうのだと教える。売れ残った服を安く売ったら、それを買った客は次回から定価では買ってくれないという論理。月海には理解できず戸惑う一方…。  蔵之介と修(工藤阿須加)は月海を探す方法を、花森よしお(要潤)と杉本(浜野謙太)に相談。杉本は、カイの会社が行う来シーズンのショーモデルのオーディションに潜入して月海の居場所を探るよう提案する。蔵之介はオーディション会場へ。修も行きたかったが、イタリアに行っていた間に溜まった仕事をこなさなければならず断念。一方、“尼～ず"たちはジジ様(木南晴夏)の考えで、自立のために仕事を探し始める。芳根京子　  瀬戸康史　  工藤阿須加　  木南晴夏　  松井玲奈　  内田理央　  富山えり子  　・　  泉里香　  安井順平　  要潤  　・　  床嶋佳子　  若村麻由美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紙谷楓　    【制作】  フジテレビ　【制作著作】  共同テレビ</t>
  </si>
  <si>
    <t>月海(芳根京子)は蔵之介(瀬戸康史)や“尼～ず"が映ったテレビ番組を見て号泣。『天水館』に帰って来いという仲間の気持ちが伝わり、寂しい思いがあふれる。そんな月海に、カイ・フィッシュ(賀来賢人)は「戻りたければ戻っても良い」と告げる。ただし、月海が戻れば『天水館』は取り戻せなくなる、とー。月海はカイに従うしかないと決意する。  月海は、カイに雇われたデザイナーたちが集うサロン『CUBE』へ。オシャレ女子たちにドレスのデザイン画を見られる月海。すると彼女たちから、カイに必要なのは利益になるデザインだと言われてしまう。月海のデザインはゴミにすぎない、と…。「訂正してください」と憤る月海をファヨン(伊藤ゆみ)が連れ出す。  ファヨンは在庫として売れ残った服を全て燃やしてしまうのだと教える。売れ残った服を安く売ったら、それを買った客は次回から定価では買ってくれないという論理。月海には理解できず戸惑う一方…。  蔵之介と修(工藤阿須加)は月海を探す方法を、花森よしお(要潤)と杉本(浜野謙太)に相談。杉本は、カイの会社が行う来シーズンのショーモデルのオーディションに潜入して月海の居場所を探るよう提案する。蔵之介はオーディション会場へ。修も行きたかったが、イタリアに行っていた間に溜まった仕事をこなさなければならず断念。一方、“尼～ず"たちはジジ様(木南晴夏)の考えで、自立のために仕事を探し始める。</t>
  </si>
  <si>
    <t>番組名海月姫【ついに最終決着!尼～ずよ永遠に…涙の卒業制作!最後のキス】　#10</t>
  </si>
  <si>
    <t>【公式HP】  http://www.fujitv.co.jp/kuragehime/    【公式Instagram】  https://www.instagram.com/princess_kurage/    【公式Twitter】  https://twitter.com/princess_kurage『天水館』を出た月海(芳根京子)は、とりあえず漫画喫茶で過ごすことに。そんな月海の個室を蔵之介(瀬戸康史)が訪ねて来た。クラゲのクララを預かった蔵之介は、飼育方法を聞きたかったのだ。すると、隣近所の個室からジジ様(木南晴夏)、ばんばさん(松井玲奈)、まやや(内田理央)、千絵子(富山えり子)が次々に現れー。“尼～ず"卒業と言いつつも、結局みんな一緒にいることにあきれる蔵之介。ともかく蔵之介は月海とともに『天水館』に残してきたクララの飼育道具を取りに行くことに。途中、修(工藤阿須加)からのプロポーズの返事を蔵之介に聞かれた月海は、まだ頭の整理がついていないと答える。  その頃、鯉淵家では、修が月海にプロポーズしたことを花森(要潤)に報告。プロポーズの言葉を聞いた花森は「2点」と酷評します。一方、再開発計画の見直しを知った稲荷(泉里香)は佐々木(安井順平)と慶一郎(北大路欣也)に事実確認に行く。顔を出した修も交えたところで、慶一郎は反対派が無視出来なくなったので行政として見直すと伝えた。  月海たちが『天水館』に着くと人の気配が…。現れたのは、カイ・フィッシュ(賀来賢人)。デザイナーは続けないと言う月海を残念がるカイは、蔵之介が才能を捨てさせたと告げ、よく考えるよう月海に言い残して去った。漫画喫茶に戻った蔵之介は『ジェリーフィッシュ』の解散を改めて宣言。すると“尼～ず"たちは…。芳根京子　  瀬戸康史　  工藤阿須加　  木南晴夏　  松井玲奈　  内田理央　  富山えり子  　・　  泉里香　  安井順平　  要潤  　・　  床嶋佳子　  若村麻由美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紙谷楓　    【制作】  フジテレビ　【制作著作】  共同テレビ</t>
  </si>
  <si>
    <t>『天水館』を出た月海(芳根京子)は、とりあえず漫画喫茶で過ごすことに。そんな月海の個室を蔵之介(瀬戸康史)が訪ねて来た。クラゲのクララを預かった蔵之介は、飼育方法を聞きたかったのだ。すると、隣近所の個室からジジ様(木南晴夏)、ばんばさん(松井玲奈)、まやや(内田理央)、千絵子(富山えり子)が次々に現れー。“尼～ず"卒業と言いつつも、結局みんな一緒にいることにあきれる蔵之介。ともかく蔵之介は月海とともに『天水館』に残してきたクララの飼育道具を取りに行くことに。途中、修(工藤阿須加)からのプロポーズの返事を蔵之介に聞かれた月海は、まだ頭の整理がついていないと答える。  その頃、鯉淵家では、修が月海にプロポーズしたことを花森(要潤)に報告。プロポーズの言葉を聞いた花森は「2点」と酷評します。一方、再開発計画の見直しを知った稲荷(泉里香)は佐々木(安井順平)と慶一郎(北大路欣也)に事実確認に行く。顔を出した修も交えたところで、慶一郎は反対派が無視出来なくなったので行政として見直すと伝えた。  月海たちが『天水館』に着くと人の気配が…。現れたのは、カイ・フィッシュ(賀来賢人)。デザイナーは続けないと言う月海を残念がるカイは、蔵之介が才能を捨てさせたと告げ、よく考えるよう月海に言い残して去った。漫画喫茶に戻った蔵之介は『ジェリーフィッシュ』の解散を改めて宣言。すると“尼～ず"たちは…。</t>
  </si>
  <si>
    <t>1801_CX_木22</t>
  </si>
  <si>
    <t>隣の家族は青く見える</t>
  </si>
  <si>
    <t>番組名&lt;木曜劇場&gt;隣の家族は青く見える　#01</t>
  </si>
  <si>
    <t>スキューバダイビングのインストラクターをしている五十嵐奈々(深田恭子)とおもちゃメーカーに勤務する大器(松山ケンイチ)夫妻は、小さなアパートで暮らしながら資金を貯め、コーポラティブハウスを購入する。同じコーポラティブハウスに住むのは、結婚を控えたバツイチのスタイリスト・川村亮司(平山浩行)とネイリストの杉崎ちひろ(高橋メアリージュン)のカップル、2人の娘を持つ商社マンの小宮山真一郎(野間口徹)と深雪(真飛聖)夫妻、そしてこのコーポラティブハウスの設計も手掛けた建築士の広瀬渉(眞島秀和)。  子どもが大好きな奈々と大器は、1年ほど前から子作りを始めていた。そんな矢先、大器の妹・琴音(伊藤沙莉)が、家業の焼き鳥店で働く糸川啓太(前原滉)の子を妊娠。夫の健作(春海四方)と店を切り盛りする大器たちの母・聡子(高畑淳子)は大喜びし、次は奈々の番だと期待を寄せる。  奈々たちが帰宅すると、共有スペースでは小宮山一家が餅つきをしていた。さっそく手伝い始める奈々たち。その際、奈々は、渉を訪ねてきた青木朔(北村匠海)と出会う。実は朔は渉の恋人で、渉と一緒に暮らすつもりでいた。  早く子どもが欲しいと願う奈々は、大器を説得し、不妊治療専門のクリニックを訪れる。そこで奈々たちは、1年以上避妊していないにもかかわらず妊娠に至らないのは不妊症と言える、という片岡医師(伊藤かずえ)の言葉にショックを受け…。深田恭子　  松山ケンイチ　    平山浩行　  高橋メアリージュン　  北村匠海　  眞島秀和　  真飛聖　  野間口徹  　・　  須賀健太　  伊藤沙莉　  前原滉　  寿大聡  　・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【公式Twitter】  @tona_kazo</t>
  </si>
  <si>
    <t>スキューバダイビングのインストラクターをしている五十嵐奈々(深田恭子)とおもちゃメーカーに勤務する大器(松山ケンイチ)夫妻は、小さなアパートで暮らしながら資金を貯め、コーポラティブハウスを購入する。同じコーポラティブハウスに住むのは、結婚を控えたバツイチのスタイリスト・川村亮司(平山浩行)とネイリストの杉崎ちひろ(高橋メアリージュン)のカップル、2人の娘を持つ商社マンの小宮山真一郎(野間口徹)と深雪(真飛聖)夫妻、そしてこのコーポラティブハウスの設計も手掛けた建築士の広瀬渉(眞島秀和)。  子どもが大好きな奈々と大器は、1年ほど前から子作りを始めていた。そんな矢先、大器の妹・琴音(伊藤沙莉)が、家業の焼き鳥店で働く糸川啓太(前原滉)の子を妊娠。夫の健作(春海四方)と店を切り盛りする大器たちの母・聡子(高畑淳子)は大喜びし、次は奈々の番だと期待を寄せる。  奈々たちが帰宅すると、共有スペースでは小宮山一家が餅つきをしていた。さっそく手伝い始める奈々たち。その際、奈々は、渉を訪ねてきた青木朔(北村匠海)と出会う。実は朔は渉の恋人で、渉と一緒に暮らすつもりでいた。  早く子どもが欲しいと願う奈々は、大器を説得し、不妊治療専門のクリニックを訪れる。そこで奈々たちは、1年以上避妊していないにもかかわらず妊娠に至らないのは不妊症と言える、という片岡医師(伊藤かずえ)の言葉にショックを受け…。</t>
  </si>
  <si>
    <t>番組名&lt;木曜劇場&gt;隣の家族は青く見える　#02</t>
  </si>
  <si>
    <t>奈々(深田恭子)と大器(松山ケンイチ)は、不妊治療の専門医・片岡(伊藤かずえ)の助言に従って、タイミング法を実践し始める。  仕事を終えて帰宅した奈々は、共有スペースの花壇で花を見ていた朔(北村匠海)に出会う。部屋の中にいた渉(眞島秀和)は、奈々と朔が談笑しているのに気づき、慌てて朔に電話して呼び戻そうとする。戻ってきた朔に「余計な詮索をされないよう、他の住人とは関わるな」とくぎを刺す渉。すると朔は、ふて腐れて別の部屋に行ってしまう。  亮司(平山浩行)は、ちひろ(高橋メアリージュン)には内緒で、再び名古屋にある元妻の実家を訪れる。だが、亮司の息子・亮太(和田庵)は、母の死にショックを受け、いまだに亮司とは何も話そうとしなかった。  一方、深雪(真飛聖)は、手作りのマフィンを持って、ちひろや渉、奈々の元を訪ね歩く。その際、深雪は、花壇の水やりやゴミ出しのルールなどを話し合うために月イチで行われる定例会を月2回にすべきだと提案するとともに、みんなでバーベキューパーティーをしたいと言い出す。深田恭子　  松山ケンイチ  　・　  平山浩行　  高橋メアリージュン　  北村匠海　  眞島秀和　  真飛聖　  野間口徹  　・　  須賀健太　  伊藤沙莉　  前原滉　  寿大聡　  橋本マナミ  　・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【公式Twitter】  @tona_kazo</t>
  </si>
  <si>
    <t>奈々(深田恭子)と大器(松山ケンイチ)は、不妊治療の専門医・片岡(伊藤かずえ)の助言に従って、タイミング法を実践し始める。  仕事を終えて帰宅した奈々は、共有スペースの花壇で花を見ていた朔(北村匠海)に出会う。部屋の中にいた渉(眞島秀和)は、奈々と朔が談笑しているのに気づき、慌てて朔に電話して呼び戻そうとする。戻ってきた朔に「余計な詮索をされないよう、他の住人とは関わるな」とくぎを刺す渉。すると朔は、ふて腐れて別の部屋に行ってしまう。  亮司(平山浩行)は、ちひろ(高橋メアリージュン)には内緒で、再び名古屋にある元妻の実家を訪れる。だが、亮司の息子・亮太(和田庵)は、母の死にショックを受け、いまだに亮司とは何も話そうとしなかった。  一方、深雪(真飛聖)は、手作りのマフィンを持って、ちひろや渉、奈々の元を訪ね歩く。その際、深雪は、花壇の水やりやゴミ出しのルールなどを話し合うために月イチで行われる定例会を月2回にすべきだと提案するとともに、みんなでバーベキューパーティーをしたいと言い出す。</t>
  </si>
  <si>
    <t>番組名&lt;木曜劇場&gt;隣の家族は青く見える　#03</t>
  </si>
  <si>
    <t>奈々(深田恭子)は、朔(北村匠海)と渉(眞島秀和)がキスしているところを目撃してしまう。朔は、奈々に渉との関係を打ち明け、ゲイであることを他人に公表していない渉のために、誰にも言わないでほしいと頼む。一方、事情を知らない大器(松山ケンイチ)は、何かと奈々に接近してくる朔のことが気になって仕方ない。  亮司(平山浩行)は、元妻が急死したため、息子の亮太(和田庵)に会いに名古屋へ行っていたことをちひろ(高橋メアリージュン)に話す。亮司は「亮太を引き取ってこの家で一緒に暮らしたい」と、ちひろに告げるが…。  最後のタイミング法に臨む奈々は、レディースクリニックの医師・片岡(伊藤かずえ)のもとを訪ねる。そこで片岡は、奈々に、クロミッドという誘発剤を勧める。  大器は、コンペに出した企画が評価され、本社の土地開発部門が進めているアウトレットモールの開発プロジェクトに参加することになる。大器は、奈々からもアイデアをもらい、早速企画書をまとめる。不妊治療をはじめてから、情緒不安定気味の奈々だったが、妊娠した可能性があることに気付く。  そんな折、義母の聡子(高畑淳子)は、薬局で妊娠検査薬を購入しようとしている奈々を見かけ、大器と奈々が子作りしていると知り大喜びで…。深田恭子　  松山ケンイチ　    平山浩行　  高橋メアリージュン　  北村匠海　  眞島秀和　  真飛聖　  野間口徹  　・　  須賀健太　  伊藤沙莉　  前原滉　  寿大聡　  橋本マナミ　  　・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t>
  </si>
  <si>
    <t>奈々(深田恭子)は、朔(北村匠海)と渉(眞島秀和)がキスしているところを目撃してしまう。朔は、奈々に渉との関係を打ち明け、ゲイであることを他人に公表していない渉のために、誰にも言わないでほしいと頼む。一方、事情を知らない大器(松山ケンイチ)は、何かと奈々に接近してくる朔のことが気になって仕方ない。  亮司(平山浩行)は、元妻が急死したため、息子の亮太(和田庵)に会いに名古屋へ行っていたことをちひろ(高橋メアリージュン)に話す。亮司は「亮太を引き取ってこの家で一緒に暮らしたい」と、ちひろに告げるが…。  最後のタイミング法に臨む奈々は、レディースクリニックの医師・片岡(伊藤かずえ)のもとを訪ねる。そこで片岡は、奈々に、クロミッドという誘発剤を勧める。  大器は、コンペに出した企画が評価され、本社の土地開発部門が進めているアウトレットモールの開発プロジェクトに参加することになる。大器は、奈々からもアイデアをもらい、早速企画書をまとめる。不妊治療をはじめてから、情緒不安定気味の奈々だったが、妊娠した可能性があることに気付く。  そんな折、義母の聡子(高畑淳子)は、薬局で妊娠検査薬を購入しようとしている奈々を見かけ、大器と奈々が子作りしていると知り大喜びで…。</t>
  </si>
  <si>
    <t>番組名&lt;木曜劇場&gt;隣の家族は青く見える　#04</t>
  </si>
  <si>
    <t>話題沸騰中の北村匠海と眞島秀和が副音声企画を実施する事が決定。連続ドラマの副音声は初挑戦となる北村と眞島。最初は緊張しながら副音声に挑んだ2人でしたが、徐々に緊張もほぐれ、まるで劇中のラブラブな渉と朔さながらの仲良しトークが繰り広げられました。第4話を見ながら二人が語り合う撮影秘話、ぶっちゃけ裏話、さらには二人のプライベートの一面も飛び出し、ここだけでしか聞けない二人の副音声トークは必聴です!奈々(深田恭子)は、担当医の片岡(伊藤かずえ)から、人工授精へのステップアップを勧められる。奈々が自宅に戻ると、大器(松山ケンイチ)の母・聡子(高畑淳子)が来ていた。聡子は、体に良いというジュースや冷え予防の靴下と一緒に、いくつもの子宝グッズを持参し、奈々を困惑させる。  渉(眞島秀和)は、朔(北村匠海)から、留美(橋本マナミ)のことをいつまでだますつもりなのかと問われる。女性の好意を利用して自分のセクシャリティをカモフラージュするのは最低だ、というのだ。渉は、朔の言葉に同意するものの「ゲイであることを必死に隠して生きてきた自分は今さら変えられない」と答える。  同じころ、ちひろ(高橋メアリージュン)は、引っ越しに備えて荷造りを始めていた。それを見た亮司(平山浩行)はショックを受けるが、彼女を引き止めることができない。  仕事を終えて帰宅した大器は、棚に並んだ子宝グッズの数々を見てあ然となる。その際、奈々は、人工授精を勧められたことを大器に告げた。すると大器は「理屈ではわかっていても抵抗感がある」と言い出す。一方、深雪(真飛聖)は、次女の誕生会の招待状を持って五十嵐家を訪れる。そこで深雪は「ちひろや渉たちと仲直りもしたいので、招待状を渡してほしい」と奈々に頼む。  そんな折、奈々の母・春枝(原日出子)が伊豆から上京してくる。奈々は、不妊治療のことを春枝に打ち明けるが……。深田恭子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t>
  </si>
  <si>
    <t>話題沸騰中の北村匠海と眞島秀和が副音声企画を実施する事が決定。連続ドラマの副音声は初挑戦となる北村と眞島。最初は緊張しながら副音声に挑んだ2人でしたが、徐々に緊張もほぐれ、まるで劇中のラブラブな渉と朔さながらの仲良しトークが繰り広げられました。第4話を見ながら二人が語り合う撮影秘話、ぶっちゃけ裏話、さらには二人のプライベートの一面も飛び出し、ここだけでしか聞けない二人の副音声トークは必聴です!奈々(深田恭子)は、担当医の片岡(伊藤かずえ)から、人工授精へのステップアップを勧められる。奈々が自宅に戻ると、大器(松山ケンイチ)の母・聡子(高畑淳子)が来ていた。聡子は、体に良いというジュースや冷え予防の靴下と一緒に、いくつもの子宝グッズを持参し、奈々を困惑させる。  渉(眞島秀和)は、朔(北村匠海)から、留美(橋本マナミ)のことをいつまでだますつもりなのかと問われる。女性の好意を利用して自分のセクシャリティをカモフラージュするのは最低だ、というのだ。渉は、朔の言葉に同意するものの「ゲイであることを必死に隠して生きてきた自分は今さら変えられない」と答える。  同じころ、ちひろ(高橋メアリージュン)は、引っ越しに備えて荷造りを始めていた。それを見た亮司(平山浩行)はショックを受けるが、彼女を引き止めることができない。  仕事を終えて帰宅した大器は、棚に並んだ子宝グッズの数々を見てあ然となる。その際、奈々は、人工授精を勧められたことを大器に告げた。すると大器は「理屈ではわかっていても抵抗感がある」と言い出す。一方、深雪(真飛聖)は、次女の誕生会の招待状を持って五十嵐家を訪れる。そこで深雪は「ちひろや渉たちと仲直りもしたいので、招待状を渡してほしい」と奈々に頼む。  そんな折、奈々の母・春枝(原日出子)が伊豆から上京してくる。奈々は、不妊治療のことを春枝に打ち明けるが……。</t>
  </si>
  <si>
    <t>番組名&lt;木曜劇場&gt;隣の家族は青く見える　#05</t>
  </si>
  <si>
    <t>連続ドラマの副音声は、初挑戦となる平山と高橋。最初は無言でシーンに見入ってしまうこともしばしばでしたが、徐々に慣れてくると高橋が奈々を見て「かわいい～」とつぶやくと平山が亮司ばりのチャラさで「ちひろもかわいいよ」と軽口をたたくなど和気あいあいの雰囲気に。二人が語り合う撮影秘話、ぶっちゃけ裏話、まさにここだけでしか聞けない二人の副音声トークは必聴です!妊活に取り組む奈々(深田恭子)と大器(松山ケンイチ)は、タイミング法から人工授精へのステップアップを決意する。それに合わせて奈々は、勤務先のダイビングスクールにシフトの変更を申し出た。だが、上司の倉持(寿大聡)から、他のスタッフから苦情が出ると面倒だから急な変更はほどほどにするよう注意されてしまう。  渉(眞島秀和)は、三沢建築事務所からの独立を決意する。留美(橋本マナミ)は「渉のことを中傷した怪文書の件は誰も気にしていない」と言って引き留めようとした。すると渉は「あの一件が迷っていた自分の背中を押してくれたと思うことにする」と返す。  いつものように図書館で時間をつぶしていた真一郎(野間口徹)は、敷地内でダンスの練習をしていた中学生の中に、長女の優香(安藤美優)が混じっていることに気づく。  一方、ちひろ(高橋メアリージュン)は、奈々と朔(北村匠海)に引っ越しのあいさつをする。亮司(平山浩行)が引き取ることになった息子・亮太(和田庵)が、上京する前に出ていくという。奈々は、本当にこのまま亮司と別れてもいいのか、とちひろに問いかけた。だがちひろは、亮司が何も言ってこないから仕方ないという。  そんなある日、深雪(真飛聖)は、学習塾から優香が来ていないという連絡を受ける。深雪は、優香を探しに行く為に、次女の萌香(古川凛)のことを奈々にみてもらうことに。萌香を預かることになった奈々と大器は…。深田恭子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t>
  </si>
  <si>
    <t>連続ドラマの副音声は、初挑戦となる平山と高橋。最初は無言でシーンに見入ってしまうこともしばしばでしたが、徐々に慣れてくると高橋が奈々を見て「かわいい～」とつぶやくと平山が亮司ばりのチャラさで「ちひろもかわいいよ」と軽口をたたくなど和気あいあいの雰囲気に。二人が語り合う撮影秘話、ぶっちゃけ裏話、まさにここだけでしか聞けない二人の副音声トークは必聴です!妊活に取り組む奈々(深田恭子)と大器(松山ケンイチ)は、タイミング法から人工授精へのステップアップを決意する。それに合わせて奈々は、勤務先のダイビングスクールにシフトの変更を申し出た。だが、上司の倉持(寿大聡)から、他のスタッフから苦情が出ると面倒だから急な変更はほどほどにするよう注意されてしまう。  渉(眞島秀和)は、三沢建築事務所からの独立を決意する。留美(橋本マナミ)は「渉のことを中傷した怪文書の件は誰も気にしていない」と言って引き留めようとした。すると渉は「あの一件が迷っていた自分の背中を押してくれたと思うことにする」と返す。  いつものように図書館で時間をつぶしていた真一郎(野間口徹)は、敷地内でダンスの練習をしていた中学生の中に、長女の優香(安藤美優)が混じっていることに気づく。  一方、ちひろ(高橋メアリージュン)は、奈々と朔(北村匠海)に引っ越しのあいさつをする。亮司(平山浩行)が引き取ることになった息子・亮太(和田庵)が、上京する前に出ていくという。奈々は、本当にこのまま亮司と別れてもいいのか、とちひろに問いかけた。だがちひろは、亮司が何も言ってこないから仕方ないという。  そんなある日、深雪(真飛聖)は、学習塾から優香が来ていないという連絡を受ける。深雪は、優香を探しに行く為に、次女の萌香(古川凛)のことを奈々にみてもらうことに。萌香を預かることになった奈々と大器は…。</t>
  </si>
  <si>
    <t>番組名&lt;木曜劇場&gt;隣の家族は青く見える　#06</t>
  </si>
  <si>
    <t>「平昌オリンピック2018　ショートトラック　男子・女子決勝/男子リレー決勝」延長の際、放送時間繰り下げの場合あり。奈々(深田恭子)と大器(松山ケンイチ)のもとに、聡子(高畑淳子)や健作(春海四方)と一緒にお宮参りに行っていた琴音(伊藤沙莉)夫婦がやってきた。琴音の娘・真奈を抱かせてもらい、思わず涙ぐむ奈々。大器から不妊治療のことを打ち明けられていた聡子は、そんな奈々の姿を見ていられない。  ちひろ(高橋メアリージュン)は、亮司(平山浩行)の息子・亮太(和田庵)と上手くコミュニケーションが取れずにいた。肝心の亮司は親バカ状態で、毎週のように亮太におもちゃを買い与えていた。  深雪(真飛聖)は、受験を控えた長女・優香(安藤美優)の成績が落ちていることを知る。深雪は、学習塾の個別指導を増やすことにするが……。  一方、朔(北村匠海)は、渉(眞島秀和)のために何かをしたい、という思いが空回りし、失敗続きだった。渉は、気持ちは嬉しいが得意じゃないことはする必要がない、と朔に告げる。そんな折、渉は、母親のふみ(田島令子)が骨折しても連絡すらしてこなかったことを知り、久しぶりに実家を訪れることにする。朔は、事務所の後輩のふりをする、といって半ば強引に渉について行く。  奈々は、リセットする度に落ち込みながらも、その思いをひとりで抱えて明るく振る舞っていた。大器は、そんな奈々に対して何もしてあげられないことに悩み……。深田恭子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t>
  </si>
  <si>
    <t>「平昌オリンピック2018　ショートトラック　男子・女子決勝/男子リレー決勝」延長の際、放送時間繰り下げの場合あり。奈々(深田恭子)と大器(松山ケンイチ)のもとに、聡子(高畑淳子)や健作(春海四方)と一緒にお宮参りに行っていた琴音(伊藤沙莉)夫婦がやってきた。琴音の娘・真奈を抱かせてもらい、思わず涙ぐむ奈々。大器から不妊治療のことを打ち明けられていた聡子は、そんな奈々の姿を見ていられない。  ちひろ(高橋メアリージュン)は、亮司(平山浩行)の息子・亮太(和田庵)と上手くコミュニケーションが取れずにいた。肝心の亮司は親バカ状態で、毎週のように亮太におもちゃを買い与えていた。  深雪(真飛聖)は、受験を控えた長女・優香(安藤美優)の成績が落ちていることを知る。深雪は、学習塾の個別指導を増やすことにするが……。  一方、朔(北村匠海)は、渉(眞島秀和)のために何かをしたい、という思いが空回りし、失敗続きだった。渉は、気持ちは嬉しいが得意じゃないことはする必要がない、と朔に告げる。そんな折、渉は、母親のふみ(田島令子)が骨折しても連絡すらしてこなかったことを知り、久しぶりに実家を訪れることにする。朔は、事務所の後輩のふりをする、といって半ば強引に渉について行く。  奈々は、リセットする度に落ち込みながらも、その思いをひとりで抱えて明るく振る舞っていた。大器は、そんな奈々に対して何もしてあげられないことに悩み……。</t>
  </si>
  <si>
    <t>番組名&lt;木曜劇場&gt;隣の家族は青く見える　#07</t>
  </si>
  <si>
    <t>連続ドラマの副音声は、初挑戦となる真飛聖と野間口徹。小宮山夫婦は、深雪の圧力が強くなかなかしゃべらせてもらえない真一郎。しかし、真飛と野間口は息の合った軽妙なしゃべりで副音声収録は終始和やかな雰囲気。第7話を見ながら二人が語り合う撮影秘話、ぶっちゃけ裏話、またあるシーンでは真一郎役の野間口が深雪役の真飛を叱るといったいつもとは真逆なやりとりなど、ここだけでしか聞けない二人の副音声トークは必聴です!区役所を訪れた奈々(深田恭子)は、真一郎(野間口徹)と出会う。そこで奈々は、彼がボランティア塾講師の仕事を始めたことを知る。  家計が苦しくなった深雪(真飛聖)は、実家へ、母親の百合恵(多岐川裕美)に金の無心に行く。その帰り道、深雪は、大器(松山ケンイチ)が女性の住むマンションに入っていくところを目撃し、大器が浮気をしているのではと、奈々に話してしまう…。  奈々と大器、初めての大ケンカ。一方、ちひろ(高橋メアリージュン)は、亮太(和田庵)をめぐって亮司(平山浩行)と口論になってしまう。そして、小宮山家でも夫婦のバトルが繰り広げられ……。部屋を飛び出した男3人が向かった先で、女vs男の本音がぶつかり合う!!!  渉(眞島秀和)にふさわしい男になると決意した朔(北村匠海)は、高卒認定試験に向けてこっそり勉強を続けていた。そんなある日、渉を訪ねて母親のふみ(田島令子)がやってくる。突然、コーポラティブハウスを訪ねてきたふみを、朔は仕事で外出中の渉に代わって部屋に迎え入れた。2人が同棲していることがバレないようにする朔だったが……。  それぞれの家族の問題が爆発して、大波乱の展開へ!!!深田恭子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【公式Twitter】  @tona_kazo</t>
  </si>
  <si>
    <t>連続ドラマの副音声は、初挑戦となる真飛聖と野間口徹。小宮山夫婦は、深雪の圧力が強くなかなかしゃべらせてもらえない真一郎。しかし、真飛と野間口は息の合った軽妙なしゃべりで副音声収録は終始和やかな雰囲気。第7話を見ながら二人が語り合う撮影秘話、ぶっちゃけ裏話、またあるシーンでは真一郎役の野間口が深雪役の真飛を叱るといったいつもとは真逆なやりとりなど、ここだけでしか聞けない二人の副音声トークは必聴です!区役所を訪れた奈々(深田恭子)は、真一郎(野間口徹)と出会う。そこで奈々は、彼がボランティア塾講師の仕事を始めたことを知る。  家計が苦しくなった深雪(真飛聖)は、実家へ、母親の百合恵(多岐川裕美)に金の無心に行く。その帰り道、深雪は、大器(松山ケンイチ)が女性の住むマンションに入っていくところを目撃し、大器が浮気をしているのではと、奈々に話してしまう…。  奈々と大器、初めての大ケンカ。一方、ちひろ(高橋メアリージュン)は、亮太(和田庵)をめぐって亮司(平山浩行)と口論になってしまう。そして、小宮山家でも夫婦のバトルが繰り広げられ……。部屋を飛び出した男3人が向かった先で、女vs男の本音がぶつかり合う!!!  渉(眞島秀和)にふさわしい男になると決意した朔(北村匠海)は、高卒認定試験に向けてこっそり勉強を続けていた。そんなある日、渉を訪ねて母親のふみ(田島令子)がやってくる。突然、コーポラティブハウスを訪ねてきたふみを、朔は仕事で外出中の渉に代わって部屋に迎え入れた。2人が同棲していることがバレないようにする朔だったが……。  それぞれの家族の問題が爆発して、大波乱の展開へ!!!</t>
  </si>
  <si>
    <t>番組名&lt;木曜劇場&gt;隣の家族は青く見える　#08</t>
  </si>
  <si>
    <t>連続ドラマの副音声は、初挑戦となる深田恭子と松山ケンイチに高畑淳子。収録現場では、副音声に集中しなくちゃとシーンを見る間も惜しんでマシンガントークを炸裂させる松山に対して「このシーン、いいシーンです」とついついシーンに見入りながら解説をしていく深田と高畑。さらに高畑はいいシーンで涙が出てきて副音声に集中できないといった場面も。まさにここだけでしか聞けない3人の副音声トークは必聴です!奈々(深田恭子)と大器(松山ケンイチ)は、大器の実家が営む焼き鳥店『いがらし』を訪れる。その際、琴音(伊藤沙莉)は、娘の真奈を保育園に入れて職場復帰するつもりだと奈々たちに話した。すると聡子(高畑淳子)は、まだ早過ぎると怒り出し、琴音と大ゲンカになってしまう。帰宅した奈々と大器は、浮気騒動の前のように仲睦まじい関係を取り戻していた。  朔(北村匠海)は、真一郎(野間口徹)がボランティアで講師を務めている塾で、中学生に交じって勉強を始める。渉(眞島秀和)は、母親のふみ(田島令子)にゲイであることをカミングアウトしたものの理解されず、それ以降、ふみからの電話を無視し続けていた。朔は、そんな渉のことが心配でならない。  一方、ちひろ(高橋メアリージュン)は、亮司(平山浩行)の息子・亮太(和田庵)が、もうすぐ誕生日だと知り、亮太の為にケーキを作ることを決意する。料理が苦手なちひろは、奈々にケーキ作りを手伝ってもらうように頼む。  そんな中、片岡医師(伊藤かずえ)のクリニックを訪れた奈々は…。深田恭子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【公式Twitter】  @tona_kazo</t>
  </si>
  <si>
    <t>連続ドラマの副音声は、初挑戦となる深田恭子と松山ケンイチに高畑淳子。収録現場では、副音声に集中しなくちゃとシーンを見る間も惜しんでマシンガントークを炸裂させる松山に対して「このシーン、いいシーンです」とついついシーンに見入りながら解説をしていく深田と高畑。さらに高畑はいいシーンで涙が出てきて副音声に集中できないといった場面も。まさにここだけでしか聞けない3人の副音声トークは必聴です!奈々(深田恭子)と大器(松山ケンイチ)は、大器の実家が営む焼き鳥店『いがらし』を訪れる。その際、琴音(伊藤沙莉)は、娘の真奈を保育園に入れて職場復帰するつもりだと奈々たちに話した。すると聡子(高畑淳子)は、まだ早過ぎると怒り出し、琴音と大ゲンカになってしまう。帰宅した奈々と大器は、浮気騒動の前のように仲睦まじい関係を取り戻していた。  朔(北村匠海)は、真一郎(野間口徹)がボランティアで講師を務めている塾で、中学生に交じって勉強を始める。渉(眞島秀和)は、母親のふみ(田島令子)にゲイであることをカミングアウトしたものの理解されず、それ以降、ふみからの電話を無視し続けていた。朔は、そんな渉のことが心配でならない。  一方、ちひろ(高橋メアリージュン)は、亮司(平山浩行)の息子・亮太(和田庵)が、もうすぐ誕生日だと知り、亮太の為にケーキを作ることを決意する。料理が苦手なちひろは、奈々にケーキ作りを手伝ってもらうように頼む。  そんな中、片岡医師(伊藤かずえ)のクリニックを訪れた奈々は…。</t>
  </si>
  <si>
    <t>番組名&lt;木曜劇場&gt;隣の家族は青く見える　#09</t>
  </si>
  <si>
    <t>奈々(深田恭子)と大器(松山ケンイチ)は、妊娠のことを周囲に報告する。聡子(高畑淳子)たちはもちろん、上京した奈々の母・春枝(原日出子)も、心から2人を祝福した。  朔(北村匠海)は、渉(眞島秀和)が無理していることを心配して、何度門前払いされても諦めずに渉の母・ふみ(田島令子)の家に通っていた。同じころ、渉の元へは留美(橋本マナミ)が訪ねてきていた…。奈々と大器は、共有スペースにオリーブの苗木を植える。初夏に花が咲くので、子供と同じく、すくすく成長することを祈りながら……。その時、深雪(真飛聖)が血相を変えて家から飛び出してくる。次女の萌香(古川凛)が行方不明になったからだ。大器は、真一郎(野間口徹)らとともに萌香を探しに行くが…。深田恭子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t>
  </si>
  <si>
    <t>奈々(深田恭子)と大器(松山ケンイチ)は、妊娠のことを周囲に報告する。聡子(高畑淳子)たちはもちろん、上京した奈々の母・春枝(原日出子)も、心から2人を祝福した。  朔(北村匠海)は、渉(眞島秀和)が無理していることを心配して、何度門前払いされても諦めずに渉の母・ふみ(田島令子)の家に通っていた。同じころ、渉の元へは留美(橋本マナミ)が訪ねてきていた…。奈々と大器は、共有スペースにオリーブの苗木を植える。初夏に花が咲くので、子供と同じく、すくすく成長することを祈りながら……。その時、深雪(真飛聖)が血相を変えて家から飛び出してくる。次女の萌香(古川凛)が行方不明になったからだ。大器は、真一郎(野間口徹)らとともに萌香を探しに行くが…。</t>
  </si>
  <si>
    <t>番組名&lt;木曜劇場&gt;隣の家族は青く見える　#10</t>
  </si>
  <si>
    <t>母・ふみ(田島令子)にカミングアウトしてから、ふみからの電話にも出ずに無理をしていた渉(眞島秀和)。渉とふみの“家族"を壊してしまいたくない朔(北村匠海)は、ふみの家に通い続けていた。ふみが初めて朔を家に上げると「理解が追いつかない」と、その苦しい胸の内を朔に打ち明ける。朔は「もし母親に会うことがあったら産んでくれてありがとうと伝えたい」と話す。渉もきっと同じ思いだと…。  小宮山家では、深雪(真飛聖)が、家を売りに出すこと、アパートを借りて働くつもりであることを真一郎(野間口徹)に告げ、サインした離婚届を手渡した。優香(安藤美優)と萌香(古川凛)の親権を真一郎が持つことも記載された離婚届を…。  川村家では、互いが抱え込んでいた気持ちをぶつけ合ったことで仲良くなっていったちひろ(高橋メアリージュン)と亮太(和田庵)、そして亮司(平山浩行)が、まるで本当の家族になったように一緒に出かけていく。  一方、奈々(深田恭子)と大器(松山ケンイチ)は、妊娠した喜びもつかの間、流産してしまうという悲しい思いを味わう。流産を受け入れ、表向きは普通の顔で家事などもこなす奈々。しかし、病院に出かける時、かばんに着けていた“マタニティマーク"を目にしたことで思いがあふれ出し、その場に泣き崩れてしまう。そして大器に手紙を書いて姿を消してしまう。  ついに最終回を迎える今回、それぞれの家族の結末は!?深田恭子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【公式Twitter】  @tona_kazo</t>
  </si>
  <si>
    <t>母・ふみ(田島令子)にカミングアウトしてから、ふみからの電話にも出ずに無理をしていた渉(眞島秀和)。渉とふみの“家族"を壊してしまいたくない朔(北村匠海)は、ふみの家に通い続けていた。ふみが初めて朔を家に上げると「理解が追いつかない」と、その苦しい胸の内を朔に打ち明ける。朔は「もし母親に会うことがあったら産んでくれてありがとうと伝えたい」と話す。渉もきっと同じ思いだと…。  小宮山家では、深雪(真飛聖)が、家を売りに出すこと、アパートを借りて働くつもりであることを真一郎(野間口徹)に告げ、サインした離婚届を手渡した。優香(安藤美優)と萌香(古川凛)の親権を真一郎が持つことも記載された離婚届を…。  川村家では、互いが抱え込んでいた気持ちをぶつけ合ったことで仲良くなっていったちひろ(高橋メアリージュン)と亮太(和田庵)、そして亮司(平山浩行)が、まるで本当の家族になったように一緒に出かけていく。  一方、奈々(深田恭子)と大器(松山ケンイチ)は、妊娠した喜びもつかの間、流産してしまうという悲しい思いを味わう。流産を受け入れ、表向きは普通の顔で家事などもこなす奈々。しかし、病院に出かける時、かばんに着けていた“マタニティマーク"を目にしたことで思いがあふれ出し、その場に泣き崩れてしまう。そして大器に手紙を書いて姿を消してしまう。  ついに最終回を迎える今回、それぞれの家族の結末は!?</t>
  </si>
  <si>
    <t>1710_CX_月21</t>
  </si>
  <si>
    <t>民衆の敵</t>
  </si>
  <si>
    <t>番組名民衆の敵～世の中、おかしくないですか!?～【篠原涼子が月9初出馬】　#01</t>
  </si>
  <si>
    <t>「プロ野球クライマックスシリーズ　ファイナルステージ　広島×横浜DeNA」延長の際は、放送時間繰り下げの場合あり。http://www.fujitv.co.jp/minshuunoteki/index.html10月の月9は、主演・篠原涼子と高橋一生、石田ゆり子らがお届けする市政エンターテインメント!  佐藤智子(篠原涼子)と公平(田中圭)夫婦は、息子の駿平(鳥越壮真)と3人で手狭な団地住まいとはいえ、温かくごく平凡で幸せな家庭を営んでいた。しかし、智子はもっと幸せになりたいと思っている。駿平に本物のステーキを食べさせてあげたい…。だが、佐藤夫婦はどうにも仕事が長続きしない。理不尽な業務などについ逆らってしまい、すぐに解雇されてしまう。そしてある時、夫婦同時に仕事を失うことに…。  パソコンのサイトで新しい職場を探す智子だが、なかなか見つからず。そんな時、智子はふと“市議会議員"と検索。ニュースで政治活動費を不正流用した市議会議員を見たからだ。すると、智子が暮らすあおば市の議員当選率は8割以上と知り、すぐさま智子は公平に立候補宣言する。  出馬に必要な供託金として貯金を引き出した智子夫婦は選挙管理委員会で立候補の手続き。だが、すでに選挙戦は始まっていた。素人候補の智子と公平は、現市議会議員・磯部真蔵(笹野高史)の選挙演説を見学。すると、磯部の発言はウソばかりだと憤る女性が…。駿平の保育園のママ友・平田和美(石田ゆり子)だ。智子が自らの立候補を伝えると、和美はあきれて立ち去る…。  選挙には磯部のほかにも、政治家一家の藤堂誠(高橋一生)ら、一癖も二癖もありそうな候補者が名を連ねる。篠原涼子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t>
  </si>
  <si>
    <t>「プロ野球クライマックスシリーズ　ファイナルステージ　広島×横浜DeNA」延長の際は、放送時間繰り下げの場合あり。http://www.fujitv.co.jp/minshuunoteki/index.html10月の月9は、主演・篠原涼子と高橋一生、石田ゆり子らがお届けする市政エンターテインメント!  佐藤智子(篠原涼子)と公平(田中圭)夫婦は、息子の駿平(鳥越壮真)と3人で手狭な団地住まいとはいえ、温かくごく平凡で幸せな家庭を営んでいた。しかし、智子はもっと幸せになりたいと思っている。駿平に本物のステーキを食べさせてあげたい…。だが、佐藤夫婦はどうにも仕事が長続きしない。理不尽な業務などについ逆らってしまい、すぐに解雇されてしまう。そしてある時、夫婦同時に仕事を失うことに…。  パソコンのサイトで新しい職場を探す智子だが、なかなか見つからず。そんな時、智子はふと“市議会議員"と検索。ニュースで政治活動費を不正流用した市議会議員を見たからだ。すると、智子が暮らすあおば市の議員当選率は8割以上と知り、すぐさま智子は公平に立候補宣言する。  出馬に必要な供託金として貯金を引き出した智子夫婦は選挙管理委員会で立候補の手続き。だが、すでに選挙戦は始まっていた。素人候補の智子と公平は、現市議会議員・磯部真蔵(笹野高史)の選挙演説を見学。すると、磯部の発言はウソばかりだと憤る女性が…。駿平の保育園のママ友・平田和美(石田ゆり子)だ。智子が自らの立候補を伝えると、和美はあきれて立ち去る…。  選挙には磯部のほかにも、政治家一家の藤堂誠(高橋一生)ら、一癖も二癖もありそうな候補者が名を連ねる。</t>
  </si>
  <si>
    <t>番組名民衆の敵～世の中、おかしくないですか!?～【市議会議員編スタート!】　#02</t>
  </si>
  <si>
    <t>http://www.fujitv.co.jp/minshuunoteki/index.htmlあおば市議会議員となった佐藤智子(篠原涼子)が初登庁。途中で会った藤堂誠(高橋一生)と新人議員のために用意された研修室に行くと、中から怒鳴り声が。市長の河原田晶子(余貴美子)が創設した新人議員研修室にベテラン市議・前田康(大澄賢也)が文句を言っている。前田は市議会で多数を占める犬崎和久(古田新太)派で、怒鳴られているのは市長の秘書・望月守(細田善彦)。「研修室は市長が新人議員を囲い込む手段では?」と憤る前田を、望月は否定している。すべてが初めての智子は理由がわからず…。  しばらくして始まった本会議に智子が向かうと、居眠りをしている前田を議場で発見。智子は手元の資料を丸めて、前田の頭を叩いて起きるようにと一喝する。この行動に傍聴席が湧いた。様子を見に来ていた平田和美(石田ゆり子)も思わず笑ってしまうが…。  議会が終わり智子が研修室に戻ると、小出未亜(前田敦子)、岡本遼(千葉雄大)、園田龍太郎(斎藤司)が何やら話している。3人は智子を見つけると議会で前田を叩いたことを非難し始めた。犬崎派の幹部の前田になんてことをしてしまったんだと。寝ている人を起こすのは良いことだと反論する智子だが、犬崎派議員の控室に呼び出され…。  智子を迎えた犬崎は「次の議会で前田に謝罪して、自分の会派に入れ」と告げる。即答しない智子に、犬崎は「入りたい委員会も考えておけ」と伝えた。犬崎に目をつけられた智子は…。篠原涼子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t>
  </si>
  <si>
    <t>http://www.fujitv.co.jp/minshuunoteki/index.htmlあおば市議会議員となった佐藤智子(篠原涼子)が初登庁。途中で会った藤堂誠(高橋一生)と新人議員のために用意された研修室に行くと、中から怒鳴り声が。市長の河原田晶子(余貴美子)が創設した新人議員研修室にベテラン市議・前田康(大澄賢也)が文句を言っている。前田は市議会で多数を占める犬崎和久(古田新太)派で、怒鳴られているのは市長の秘書・望月守(細田善彦)。「研修室は市長が新人議員を囲い込む手段では?」と憤る前田を、望月は否定している。すべてが初めての智子は理由がわからず…。  しばらくして始まった本会議に智子が向かうと、居眠りをしている前田を議場で発見。智子は手元の資料を丸めて、前田の頭を叩いて起きるようにと一喝する。この行動に傍聴席が湧いた。様子を見に来ていた平田和美(石田ゆり子)も思わず笑ってしまうが…。  議会が終わり智子が研修室に戻ると、小出未亜(前田敦子)、岡本遼(千葉雄大)、園田龍太郎(斎藤司)が何やら話している。3人は智子を見つけると議会で前田を叩いたことを非難し始めた。犬崎派の幹部の前田になんてことをしてしまったんだと。寝ている人を起こすのは良いことだと反論する智子だが、犬崎派議員の控室に呼び出され…。  智子を迎えた犬崎は「次の議会で前田に謝罪して、自分の会派に入れ」と告げる。即答しない智子に、犬崎は「入りたい委員会も考えておけ」と伝えた。犬崎に目をつけられた智子は…。</t>
  </si>
  <si>
    <t>番組名民衆の敵～世の中、おかしくないですか!?～【篠原涼子×高橋一生!】　#03</t>
  </si>
  <si>
    <t>http://www.fujitv.co.jp/minshuunoteki/index.html佐藤智子(篠原涼子)は希望通り、あおば市議会の教育こども委員会に所属した。自宅では辞書を片手に資料を読むのだが、会議に出ても周りが何を話しているのか分からない。そんな智子に、小出未亜(前田敦子)が断った市民の陳情が持ち込まれる。「話を聞くだけでいい」という議会事務局職員の安部(久保田悠来)の頼みを、智子は引き受けた。  陳情を持ち込んだのは富子(梅沢昌代)。富子はかつての隣人、今井一馬(渋谷謙人)が誘拐犯人として逮捕されたが冤罪(えんざい)だというのだ。富子の訴えに智子が動き出す。まずは、事件を平田和美(石田ゆり子)に調べてもらった。和美は担当警察官から話を聞く。  事件の発端は、不審な男が少女を連れ歩いているとの通報だった。警察の捜査で少女は小川かのん(白鳥玉季)と判明。すぐにかのんの自宅に行くと、応対したのは彼女の母・裕子(安藤玉恵)で、かのんはいなかった。裕子はかのんに携帯電話を持たせていなかったので連絡が取れない。裕子の携帯電話も未払いで止められていた。そのため警察は付近の家をしらみつぶしに調べ始める。すると、一馬のアパートでかのんが発見され、逮捕に至ったのだ。  智子は富子に「一馬の冤罪を晴らす」と約束してしまった。事件に興味を持った和美も引き続き調べることを約束する。智子は藤堂誠(高橋一生)にも相談。藤堂は「弁護士を紹介しようか」と、話に乗る様子はなかったが…。篠原涼子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t>
  </si>
  <si>
    <t>http://www.fujitv.co.jp/minshuunoteki/index.html佐藤智子(篠原涼子)は希望通り、あおば市議会の教育こども委員会に所属した。自宅では辞書を片手に資料を読むのだが、会議に出ても周りが何を話しているのか分からない。そんな智子に、小出未亜(前田敦子)が断った市民の陳情が持ち込まれる。「話を聞くだけでいい」という議会事務局職員の安部(久保田悠来)の頼みを、智子は引き受けた。  陳情を持ち込んだのは富子(梅沢昌代)。富子はかつての隣人、今井一馬(渋谷謙人)が誘拐犯人として逮捕されたが冤罪(えんざい)だというのだ。富子の訴えに智子が動き出す。まずは、事件を平田和美(石田ゆり子)に調べてもらった。和美は担当警察官から話を聞く。  事件の発端は、不審な男が少女を連れ歩いているとの通報だった。警察の捜査で少女は小川かのん(白鳥玉季)と判明。すぐにかのんの自宅に行くと、応対したのは彼女の母・裕子(安藤玉恵)で、かのんはいなかった。裕子はかのんに携帯電話を持たせていなかったので連絡が取れない。裕子の携帯電話も未払いで止められていた。そのため警察は付近の家をしらみつぶしに調べ始める。すると、一馬のアパートでかのんが発見され、逮捕に至ったのだ。  智子は富子に「一馬の冤罪を晴らす」と約束してしまった。事件に興味を持った和美も引き続き調べることを約束する。智子は藤堂誠(高橋一生)にも相談。藤堂は「弁護士を紹介しようか」と、話に乗る様子はなかったが…。</t>
  </si>
  <si>
    <t>番組名民衆の敵～世の中、おかしくないですか!?～【篠原×一生×千葉雄大】　#04</t>
  </si>
  <si>
    <t>http://www.fujitv.co.jp/minshuunoteki/index.html帰宅した佐藤智子(篠原涼子)を公平(田中圭)が、かいがいしく出迎えた。いつもと違う様子に智子が疑問を持つと、公平は「記帳してきた」と通帳を見せる。智子が大声をあげると、駿平(鳥越壮真)とあかね(野澤しおり)が驚く。実は智子に初めての議員報酬が支払われ、その額に驚嘆の声をあげてしまったのだ…。  ともあれ、念願の報酬をもとに公平は焼き肉パーティーを企画。あかねを迎えに来た平田和美(石田ゆり子)も交えて食事を始める。浮かれる佐藤夫婦に、来年は税金も上がると釘を刺す和美は、もうひとつ懸念を抱えていた。  その頃、あおば市では開発が進もうとしていた新しい港の建設、ニューポート計画の中止を河原田晶子市長(余貴美子)が公約通りに宣言。和美の新聞社では市長の独断をけん制するような一文が掲載された。もともとニューポート計画を推進していたのは犬崎和久(古田新太)の派閥。和美は新聞記事には動きが見えるのに、犬崎たちがおとなしすぎるのが気にかかっていたのだ。智子も和美に同調する。  一方、小出未亜(前田敦子)は岡本遼(千葉雄大)の地元商店街でランチ。商店街はすっかりさびれ、もともとここで電器店を営んでいた遼の実家も夜逃げしていた。古い店がシャッターを閉める中、2人が入ったのはファミリーレストラン。ウエートレスに案内されて席につこうとする遼に商店街のおばちゃんたちが声をかけて…。篠原涼子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t>
  </si>
  <si>
    <t>http://www.fujitv.co.jp/minshuunoteki/index.html帰宅した佐藤智子(篠原涼子)を公平(田中圭)が、かいがいしく出迎えた。いつもと違う様子に智子が疑問を持つと、公平は「記帳してきた」と通帳を見せる。智子が大声をあげると、駿平(鳥越壮真)とあかね(野澤しおり)が驚く。実は智子に初めての議員報酬が支払われ、その額に驚嘆の声をあげてしまったのだ…。  ともあれ、念願の報酬をもとに公平は焼き肉パーティーを企画。あかねを迎えに来た平田和美(石田ゆり子)も交えて食事を始める。浮かれる佐藤夫婦に、来年は税金も上がると釘を刺す和美は、もうひとつ懸念を抱えていた。  その頃、あおば市では開発が進もうとしていた新しい港の建設、ニューポート計画の中止を河原田晶子市長(余貴美子)が公約通りに宣言。和美の新聞社では市長の独断をけん制するような一文が掲載された。もともとニューポート計画を推進していたのは犬崎和久(古田新太)の派閥。和美は新聞記事には動きが見えるのに、犬崎たちがおとなしすぎるのが気にかかっていたのだ。智子も和美に同調する。  一方、小出未亜(前田敦子)は岡本遼(千葉雄大)の地元商店街でランチ。商店街はすっかりさびれ、もともとここで電器店を営んでいた遼の実家も夜逃げしていた。古い店がシャッターを閉める中、2人が入ったのはファミリーレストラン。ウエートレスに案内されて席につこうとする遼に商店街のおばちゃんたちが声をかけて…。</t>
  </si>
  <si>
    <t>番組名民衆の敵～世の中、おかしくないですか!?～【篠原×一生!第一章完結】　#05</t>
  </si>
  <si>
    <t>http://www.fujitv.co.jp/minshuunoteki/index.html佐藤智子(篠原涼子)は、犬崎和久(古田新太)に借りを作りながらも、岡本遼(千葉雄大)が提案した行き場のない子供たちを支援する子供食堂の創設を藤堂誠(高橋一生)ら、新人議員たちと協力して議決に持ち込んだ。  その後、智子は「ワーク・ライフ・バランス」という言葉を誠から教えられる。日本人は仕事を優先して休暇も取りにくい状況にあるということで、智子も平田和美(石田ゆり子)とそんな体験をしたばかり。駿平(鳥越壮真)たちの遠足に参加できなかったのだ。「まず実践してみたら」という誠に、智子はSNSに長期休暇を取ると書き込む。  そんな智子に男から電話が入る。男は「手紙を読んでもらえたか」とだけ言って電話を切った。手紙には市議会に汚職議員がいるという告発文だった。智子は小出未亜(前田敦子)や園田龍太郎(斎藤司)に手紙の内容を聞いてみるが、2人ともそそくさと去る。ランチを一緒にした和美にも、先ほどの出来事を聞く智子。和美は、下手につついたら智子たちにも火の粉が降りかかるので、慎重に扱うよう忠告。智子は和美に汚職の件を調べてほしいと頼む。  その夜、智子は落ち込んでいた。SNSでの長期休暇の書き込みが不評の嵐なのだ。公平(田中圭)は「議員としてろくな活動もしていないのに当たり前。SNSへは市議として何をしたかを書いた方がいい」と促す。すると、智子は汚職まみれの議員がいるとの告発を調べると書き込んで…。篠原涼子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t>
  </si>
  <si>
    <t>http://www.fujitv.co.jp/minshuunoteki/index.html佐藤智子(篠原涼子)は、犬崎和久(古田新太)に借りを作りながらも、岡本遼(千葉雄大)が提案した行き場のない子供たちを支援する子供食堂の創設を藤堂誠(高橋一生)ら、新人議員たちと協力して議決に持ち込んだ。  その後、智子は「ワーク・ライフ・バランス」という言葉を誠から教えられる。日本人は仕事を優先して休暇も取りにくい状況にあるということで、智子も平田和美(石田ゆり子)とそんな体験をしたばかり。駿平(鳥越壮真)たちの遠足に参加できなかったのだ。「まず実践してみたら」という誠に、智子はSNSに長期休暇を取ると書き込む。  そんな智子に男から電話が入る。男は「手紙を読んでもらえたか」とだけ言って電話を切った。手紙には市議会に汚職議員がいるという告発文だった。智子は小出未亜(前田敦子)や園田龍太郎(斎藤司)に手紙の内容を聞いてみるが、2人ともそそくさと去る。ランチを一緒にした和美にも、先ほどの出来事を聞く智子。和美は、下手につついたら智子たちにも火の粉が降りかかるので、慎重に扱うよう忠告。智子は和美に汚職の件を調べてほしいと頼む。  その夜、智子は落ち込んでいた。SNSでの長期休暇の書き込みが不評の嵐なのだ。公平(田中圭)は「議員としてろくな活動もしていないのに当たり前。SNSへは市議として何をしたかを書いた方がいい」と促す。すると、智子は汚職まみれの議員がいるとの告発を調べると書き込んで…。</t>
  </si>
  <si>
    <t>番組名民衆の敵～世の中、おかしくないですか!?～【篠原涼子×石田ゆり子!】　#06</t>
  </si>
  <si>
    <t>http://www.fujitv.co.jp/minshuunoteki/index.html佐藤智子(篠原涼子)が始めた、あおば市議会の汚職疑惑は河原田晶子市長(余貴美子)の身に及び、秘書の望月守(細田善彦)が自殺したことで、真相は闇に葬られようとしていた。河原田は市長の職を辞し、市長選で再選することで身の潔白を市民に信じてもらう道を選ぶ。  市民の関心は、河原田の対立候補・犬崎和久(古田新太)派が誰を推すか。平田和美(石田ゆり子)が犬崎派の智子に聞くと、あっさり自分が頼まれたと口にする。和美に「犬崎の操り人形にされる」と忠告される智子だが、さすがに裏があると断ったと告げた。  その頃、智子は市民の陳情を1つずつ解決しようと働いているが、はかどらない。悩む智子に、藤堂誠(高橋一生)は「市長になればいい」と話す。智子は、逆に誠が市長になって力を貸してほしいと頼むが、誠には智子の方が良いと思う、と言われる…。  智子は犬崎から、担当職員より話が通りやすいと福祉課の部長・富田恭一(渡辺いっけい)を紹介される。早速、智子は富田と陳情元を回り出す。そんな時、前田康(大澄賢也)が市長選への出馬を表明。小出未亜(前田敦子)ら、新人議員たちも疑問の色を隠しきれない。  智子が富田と回った陳情は福祉課で素早くまとめられ、実行に移され始める。なぜここまでしてくれるのかと尋ねる智子に、犬崎は「まだ市長にすることを諦めてはいない」と答える。智子には犬崎の本心が分からなかった…。篠原涼子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t>
  </si>
  <si>
    <t>http://www.fujitv.co.jp/minshuunoteki/index.html佐藤智子(篠原涼子)が始めた、あおば市議会の汚職疑惑は河原田晶子市長(余貴美子)の身に及び、秘書の望月守(細田善彦)が自殺したことで、真相は闇に葬られようとしていた。河原田は市長の職を辞し、市長選で再選することで身の潔白を市民に信じてもらう道を選ぶ。  市民の関心は、河原田の対立候補・犬崎和久(古田新太)派が誰を推すか。平田和美(石田ゆり子)が犬崎派の智子に聞くと、あっさり自分が頼まれたと口にする。和美に「犬崎の操り人形にされる」と忠告される智子だが、さすがに裏があると断ったと告げた。  その頃、智子は市民の陳情を1つずつ解決しようと働いているが、はかどらない。悩む智子に、藤堂誠(高橋一生)は「市長になればいい」と話す。智子は、逆に誠が市長になって力を貸してほしいと頼むが、誠には智子の方が良いと思う、と言われる…。  智子は犬崎から、担当職員より話が通りやすいと福祉課の部長・富田恭一(渡辺いっけい)を紹介される。早速、智子は富田と陳情元を回り出す。そんな時、前田康(大澄賢也)が市長選への出馬を表明。小出未亜(前田敦子)ら、新人議員たちも疑問の色を隠しきれない。  智子が富田と回った陳情は福祉課で素早くまとめられ、実行に移され始める。なぜここまでしてくれるのかと尋ねる智子に、犬崎は「まだ市長にすることを諦めてはいない」と答える。智子には犬崎の本心が分からなかった…。</t>
  </si>
  <si>
    <t>番組名民衆の敵～世の中、おかしくないですか!?～【篠原×一生×ゆり子!】　#07</t>
  </si>
  <si>
    <t>http://www.fujitv.co.jp/minshuunoteki/index.html市長となった佐藤智子(篠原涼子)は、副市長に前田康(大澄賢也)、秘書に富田恭一(渡辺いっけい)と、犬崎和久(古田新太)の人事を受け入れ、あおば市議会は犬崎派が牛耳る形となった。それでも、福祉政策を進める智子の市民人気はうなぎのぼりで、ドキュメンタリー番組にも取り上げられる。この人気を盾に、犬崎は元市長の河原田晶子(余貴美子)が中止したニューポート開発を再び進めようと開発委員会を設置。その委員会に智子は出席できなかった。  智子と平田和美(石田ゆり子)の関係は相変わらずギクシャクしたままだ。和美は、あおば市議会から資料として渡された黒塗りだらけのニューポート開発委員会議事録に不信感を抱くが、智子に聞けない。ならばと、移動中の犬崎を捕まえて質問をあびせるが、この和美の行動が犬崎に目をつけられることに…。和美は、藤堂誠(高橋一生)に取材をするが情報は得られない。  智子は誠に相談された非行少年、少女たちを立ち直らせ、子供たちの悩みや相談を受け入れられる仕組みに取り組もうとしていた。だが、犬崎はニューポート開発地区で反対運動を行う市民の強制排除に動く。そのために智子は記者たちに取り囲まれるが、何も答えることができない。智子は犬崎に真相を尋ねに行くのだが「市長にできないことを代わりにやっただけだ」と言われてしまった。智子は、市民から得た信頼を瞬く間になくす窮地に立たされる。篠原涼子　  高橋一生　  古田新太　  前田敦子　  千葉雄大　  斎藤司(トレンディエンジェル)　  若旦那　  細田善彦　  今田美桜  　・　  余貴美子　  渡辺いっけい  　・　  大澄賢也　  田中圭　  石田ゆり子　    他【脚本】  黒沢久子　    【音楽】  井筒昭雄　    【主題歌】  AAA「LIFE」(avex　trax)　    【プロデュース】  草ヶ谷大輔　    【演出】  金井紘　  石井祐介　  相沢秀幸　    【制作】  フジテレビ</t>
  </si>
  <si>
    <t>http://www.fujitv.co.jp/minshuunoteki/index.html市長となった佐藤智子(篠原涼子)は、副市長に前田康(大澄賢也)、秘書に富田恭一(渡辺いっけい)と、犬崎和久(古田新太)の人事を受け入れ、あおば市議会は犬崎派が牛耳る形となった。それでも、福祉政策を進める智子の市民人気はうなぎのぼりで、ドキュメンタリー番組にも取り上げられる。この人気を盾に、犬崎は元市長の河原田晶子(余貴美子)が中止したニューポート開発を再び進めようと開発委員会を設置。その委員会に智子は出席できなかった。  智子と平田和美(石田ゆり子)の関係は相変わらずギクシャクしたままだ。和美は、あおば市議会から資料として渡された黒塗りだらけのニューポート開発委員会議事録に不信感を抱くが、智子に聞けない。ならばと、移動中の犬崎を捕まえて質問をあびせるが、この和美の行動が犬崎に目をつけられることに…。和美は、藤堂誠(高橋一生)に取材をするが情報は得られない。  智子は誠に相談された非行少年、少女たちを立ち直らせ、子供たちの悩みや相談を受け入れられる仕組みに取り組もうとしていた。だが、犬崎はニューポート開発地区で反対運動を行う市民の強制排除に動く。そのために智子は記者たちに取り囲まれるが、何も答えることができない。智子は犬崎に真相を尋ねに行くのだが「市長にできないことを代わりにやっただけだ」と言われてしまった。智子は、市民から得た信頼を瞬く間になくす窮地に立たされる。</t>
  </si>
  <si>
    <t>番組名民衆の敵～世の中、おかしくないですか!?～【篠原涼子VS古田新太】　#08</t>
  </si>
  <si>
    <t>「東アジアE-1サッカー選手権　なでしこジャパン×中国」延長の際、放送時間繰り下げの場合あり。http://www.fujitv.co.jp/minshuunoteki/index.html佐藤智子(篠原涼子)が犬崎和久(古田新太)に対しておこなったクーデターは大成功を収めたかに思えた。智子への市民の人気も高まったからだ。智子は平田和美(石田ゆり子)協力のもと、自ら秘書選定などを進めるが、犬崎の壁は厚かった…。  それは市役所職員の仕事放棄から始まり、犬崎派の前田康(大澄賢也)は、智子が精神的に不安定だという風評を流して人気失墜を企てる。  犬崎は派閥の幹部らに、智子を落とすためにはもう一押しだと、げきを飛ばした。そんな犬崎に、藤堂誠(高橋一生)が智子から副市長就任の打診があったと明かす。自分が副市長になれば、今の市政の混乱を解決できると犬崎に突きつける。  事務所を出た誠を小出未亜(前田敦子)が追いかけてきた。未亜は誠に「副市長になるのか」と聞くが「そのつもりはない」と答える。さらに「市長の味方なのか?」との未亜の質問に、誠は「民衆の味方だ」と答えた。  市役所職員のボイコットに手詰まりを覚えた智子は新人議員研修室へ。園田龍太郎(斎藤司)が「職員に土下座してみては?」などと智子に話していると、未亜が智子の『幸せになりましょう』との政策が、漠然としていてよく分からないと言い出す。結局、全ての政策を犬崎に動いてもらっていたと思った智子は、地道に解決するしかないと部屋を出た。  そんな時、智子の夫・公平(田中圭)の不倫疑惑が報道される。その不倫相手は和美で…。篠原涼子　  高橋一生　  古田新太　  前田敦子　  千葉雄大　  斎藤司(トレンディエンジェル)　  若旦那　  細田善彦　  今田美桜  　・　  余貴美子　  渡辺いっけい  　・　  大澄賢也　  田中圭　  石田ゆり子　    他【脚本】  黒沢久子　    【音楽】  井筒昭雄　    【主題歌】  AAA「LIFE」(avex　trax)　    【プロデュース】  草ヶ谷大輔　    【演出】  金井紘　  石井祐介　  相沢秀幸　    【制作】  フジテレビ</t>
  </si>
  <si>
    <t>「東アジアE-1サッカー選手権　なでしこジャパン×中国」延長の際、放送時間繰り下げの場合あり。http://www.fujitv.co.jp/minshuunoteki/index.html佐藤智子(篠原涼子)が犬崎和久(古田新太)に対しておこなったクーデターは大成功を収めたかに思えた。智子への市民の人気も高まったからだ。智子は平田和美(石田ゆり子)協力のもと、自ら秘書選定などを進めるが、犬崎の壁は厚かった…。  それは市役所職員の仕事放棄から始まり、犬崎派の前田康(大澄賢也)は、智子が精神的に不安定だという風評を流して人気失墜を企てる。  犬崎は派閥の幹部らに、智子を落とすためにはもう一押しだと、げきを飛ばした。そんな犬崎に、藤堂誠(高橋一生)が智子から副市長就任の打診があったと明かす。自分が副市長になれば、今の市政の混乱を解決できると犬崎に突きつける。  事務所を出た誠を小出未亜(前田敦子)が追いかけてきた。未亜は誠に「副市長になるのか」と聞くが「そのつもりはない」と答える。さらに「市長の味方なのか?」との未亜の質問に、誠は「民衆の味方だ」と答えた。  市役所職員のボイコットに手詰まりを覚えた智子は新人議員研修室へ。園田龍太郎(斎藤司)が「職員に土下座してみては?」などと智子に話していると、未亜が智子の『幸せになりましょう』との政策が、漠然としていてよく分からないと言い出す。結局、全ての政策を犬崎に動いてもらっていたと思った智子は、地道に解決するしかないと部屋を出た。  そんな時、智子の夫・公平(田中圭)の不倫疑惑が報道される。その不倫相手は和美で…。</t>
  </si>
  <si>
    <t>番組名民衆の敵～世の中、おかしくないですか!?～【高橋一生が副市長に!】　#09</t>
  </si>
  <si>
    <t>http://www.fujitv.co.jp/minshuunoteki/index.html佐藤智子(篠原涼子)が頼んでいた副市長就任を藤堂誠(高橋一生)は了承した。だが、市議会の承認を得たわけではない。特に犬崎和久(古田新太)が認めるわけはなく、市長リコールに向けて動き出す。  智子、小出未亜(前田敦子)、園田龍太郎(斎藤司)は居酒屋で誠の副市長就任承諾の祝杯をあげた。その席で、誠たちはもう一度、智子の政治姿勢を考える。目の前の1人を幸せにするために、多数の人々を犠牲にできるかどうかだ。智子は1人ずつ幸せにしていくことで、徐々に数を増やすというのだが、それで良いのか…。未亜と園田は難しいと水を差すが、誠は「とりあえず進めてみよう」と言う。  翌朝、智子は未亜から市のキャラクター・あおバッタ君がおかしなチラシを配っていると連絡を受ける。あおバッタ君が配っていたのはアミューズメントパーク「あおばランド」建設計画のチラシだった。  一方、平田和美(石田ゆり子)は誠が副市長就任を了承したことに疑問を抱いていた。エリート政治一家の息子が議員を辞めてまで副市長になる意味があるのだろうか?また、誠の兄・明(山中崇史)が最近、頻繁に地元であるあおば市に戻ってきていることも気になっていた。  そんな時、前田康(大澄賢也)が記者会見を開く。それはニューポート建設に伴う地区開発で「あおばランド」を作るというものだが、智子はもちろん、誠も寝耳に水の話だった…。篠原涼子　  高橋一生　  古田新太　  前田敦子　  千葉雄大　  斎藤司(トレンディエンジェル)　  若旦那　  細田善彦　  今田美桜  　・　  余貴美子　  渡辺いっけい  　・　  大澄賢也　  田中圭　  石田ゆり子　    他【脚本】  黒沢久子　    【音楽】  井筒昭雄　    【主題歌】  AAA「LIFE」(avex　trax)　    【プロデュース】  草ヶ谷大輔　    【演出】  金井紘　  石井祐介　  相沢秀幸　    【制作】  フジテレビ</t>
  </si>
  <si>
    <t>http://www.fujitv.co.jp/minshuunoteki/index.html佐藤智子(篠原涼子)が頼んでいた副市長就任を藤堂誠(高橋一生)は了承した。だが、市議会の承認を得たわけではない。特に犬崎和久(古田新太)が認めるわけはなく、市長リコールに向けて動き出す。  智子、小出未亜(前田敦子)、園田龍太郎(斎藤司)は居酒屋で誠の副市長就任承諾の祝杯をあげた。その席で、誠たちはもう一度、智子の政治姿勢を考える。目の前の1人を幸せにするために、多数の人々を犠牲にできるかどうかだ。智子は1人ずつ幸せにしていくことで、徐々に数を増やすというのだが、それで良いのか…。未亜と園田は難しいと水を差すが、誠は「とりあえず進めてみよう」と言う。  翌朝、智子は未亜から市のキャラクター・あおバッタ君がおかしなチラシを配っていると連絡を受ける。あおバッタ君が配っていたのはアミューズメントパーク「あおばランド」建設計画のチラシだった。  一方、平田和美(石田ゆり子)は誠が副市長就任を了承したことに疑問を抱いていた。エリート政治一家の息子が議員を辞めてまで副市長になる意味があるのだろうか?また、誠の兄・明(山中崇史)が最近、頻繁に地元であるあおば市に戻ってきていることも気になっていた。  そんな時、前田康(大澄賢也)が記者会見を開く。それはニューポート建設に伴う地区開発で「あおばランド」を作るというものだが、智子はもちろん、誠も寝耳に水の話だった…。</t>
  </si>
  <si>
    <t>番組名民衆の敵～世の中、おかしくないですか!?～【篠原涼子VS高橋一生】　#10</t>
  </si>
  <si>
    <t>http://www.fujitv.co.jp/minshuunoteki/index.html身に覚えのない不正献金疑惑、ニューポート計画反対などで佐藤智子市長(篠原涼子)の人気は急落。ついには“民衆の敵"というレッテルまで貼られることに…。平田和美(石田ゆり子)は「前市長・河原田晶子(余貴美子)を追いやったのも今回の件も、あおば市に奇妙な風が吹いているからだ」と智子に告げた。和美はニューポートを作りたがっているのは犬崎和久(古田新太)ではなく、藤堂家ではないかとの疑いを持つ。しかし、智子は藤堂誠(高橋一生)は味方だと信じていた。  和美が誠に呼び出される。誠は犬崎会派の政務活動費の領収書コピーを大量に持ってきていた。不正流用の証拠として犬崎を告発することで、富田恭一(渡辺いっけい)の証言を引き出したいという誠。  智子は富田に電話をし続けるのだが一向に通じない。その頃、富田は犬崎の事務所にいた。犬崎は智子のリコールに必要な署名の不足分を問う。若宮寛(若旦那)が答えると、犬崎は不足分を金で解決しろと命令した。  翌日、智子のもとに富田が…。智子が証言を依頼すると、自分には何の得もないと富田。富田は子供の教育のために金が必要だと訴える。自分を責める前にこんな世の中を責めてくれと言い放ち去った。  智子のリコール署名が規定人数に達し、住民投票の日程が決まった。井上(菅原大吉)とニューポート建設予定地を歩いていた智子は、あるものに目が留まって…篠原涼子　  高橋一生　  古田新太　  前田敦子　  千葉雄大　  斎藤司(トレンディエンジェル)　  若旦那　  細田善彦　  今田美桜  　・　  余貴美子　  渡辺いっけい  　・　  大澄賢也　  田中圭　  石田ゆり子　    他【脚本】  黒沢久子　    【音楽】  井筒昭雄　    【主題歌】  AAA「LIFE」(avex　trax)　    【プロデュース】  草ヶ谷大輔　    【演出】  金井紘　  石井祐介　  相沢秀幸　    【制作】  フジテレビ</t>
  </si>
  <si>
    <t>http://www.fujitv.co.jp/minshuunoteki/index.html身に覚えのない不正献金疑惑、ニューポート計画反対などで佐藤智子市長(篠原涼子)の人気は急落。ついには“民衆の敵"というレッテルまで貼られることに…。平田和美(石田ゆり子)は「前市長・河原田晶子(余貴美子)を追いやったのも今回の件も、あおば市に奇妙な風が吹いているからだ」と智子に告げた。和美はニューポートを作りたがっているのは犬崎和久(古田新太)ではなく、藤堂家ではないかとの疑いを持つ。しかし、智子は藤堂誠(高橋一生)は味方だと信じていた。  和美が誠に呼び出される。誠は犬崎会派の政務活動費の領収書コピーを大量に持ってきていた。不正流用の証拠として犬崎を告発することで、富田恭一(渡辺いっけい)の証言を引き出したいという誠。  智子は富田に電話をし続けるのだが一向に通じない。その頃、富田は犬崎の事務所にいた。犬崎は智子のリコールに必要な署名の不足分を問う。若宮寛(若旦那)が答えると、犬崎は不足分を金で解決しろと命令した。  翌日、智子のもとに富田が…。智子が証言を依頼すると、自分には何の得もないと富田。富田は子供の教育のために金が必要だと訴える。自分を責める前にこんな世の中を責めてくれと言い放ち去った。  智子のリコール署名が規定人数に達し、住民投票の日程が決まった。井上(菅原大吉)とニューポート建設予定地を歩いていた智子は、あるものに目が留まって…</t>
  </si>
  <si>
    <t>1710_CX_火21</t>
  </si>
  <si>
    <t>明日の約束</t>
  </si>
  <si>
    <t>番組名明日の約束【生徒の死の真相、親子問題を描くヒューマンミステリー】　#01</t>
  </si>
  <si>
    <t>藍沢日向(井上真央)は、高校のスクールカウンセラー。ブライダル会社勤務の恋人・本庄和彦(工藤阿須加)からは家に挨拶に行きたいと言われているが、母の尚子(手塚理美)はいわゆる“毒親"で、幼い頃から過干渉な尚子との関係に悩んでいた。    不登校が続く吉岡圭吾(遠藤健慎)が気になる日向は、クラス担任の霧島直樹(及川光博)と家庭訪問へ。母・真紀子(仲間由紀恵)と出迎えた圭吾は一見元気そうだったが、笑顔を崩さない様子が気にかかる。やがて真紀子は診断書を取り出し、イジメが原因で圭吾が“軽いうつ"を患っていると、イジメに気付かなかった学校の対応を非難。しかし日向は、原因は学校だけでなく、真紀子にもあるのではないかと疑う。    そんななか、バスケ部マネージャー・増田希美香(山口まゆ)が万引き騒ぎを起こす。同居する母の麗美(青山倫子)は離婚後に次々と恋人をつくり、希美香の誕生日も男と遊んでいたため、邪魔をしようとしたらしい。希美香の寂しさに気付いた日向は、「思っていることを吐き出してみたら?」とアドバイスするが……。    一方、圭吾のイジメについて、クラスメイトや所属するバスケ部の顧問に聞き取り調査を行っていた霧島。顧問は、問題はなかったと主張するが、日向は部員に話を聞きたいと食い下がる。そこへ真紀子から思いがけない電話が入り、その場に動揺が広がる。井上真央　  及川光博　  工藤阿須加　  白洲迅　  新川優愛　  佐久間由衣　  遠藤健慎　  金子大地　  渡邉剣　  山口まゆ　  井頭愛海　  夏子　  堀家一希　  竹内愛紗　  青山倫子  　・　  青柳翔　  神尾佑　  馬渕英里何　  中林大樹　  羽場裕一　  手塚理美　  仲間由紀恵【脚本】  古家和尚　    【音楽】  眞鍋昭大　    【主題歌】  東方神起「Reboot」(avex　trax)　    【プロデューサー】  河西秀幸　  山崎淳子　    【演出】  土方政人　    【制作協力】  共同テレビ　    【制作著作】  関西テレビ〈公式サイト〉  http://www.ktv.jp/yakusoku/index.html　    →各SNSに登録お願いします  公式ツイッター@yakusokuktv  公式LINE  公式facebook</t>
  </si>
  <si>
    <t>藍沢日向(井上真央)は、高校のスクールカウンセラー。ブライダル会社勤務の恋人・本庄和彦(工藤阿須加)からは家に挨拶に行きたいと言われているが、母の尚子(手塚理美)はいわゆる“毒親"で、幼い頃から過干渉な尚子との関係に悩んでいた。    不登校が続く吉岡圭吾(遠藤健慎)が気になる日向は、クラス担任の霧島直樹(及川光博)と家庭訪問へ。母・真紀子(仲間由紀恵)と出迎えた圭吾は一見元気そうだったが、笑顔を崩さない様子が気にかかる。やがて真紀子は診断書を取り出し、イジメが原因で圭吾が“軽いうつ"を患っていると、イジメに気付かなかった学校の対応を非難。しかし日向は、原因は学校だけでなく、真紀子にもあるのではないかと疑う。    そんななか、バスケ部マネージャー・増田希美香(山口まゆ)が万引き騒ぎを起こす。同居する母の麗美(青山倫子)は離婚後に次々と恋人をつくり、希美香の誕生日も男と遊んでいたため、邪魔をしようとしたらしい。希美香の寂しさに気付いた日向は、「思っていることを吐き出してみたら?」とアドバイスするが……。    一方、圭吾のイジメについて、クラスメイトや所属するバスケ部の顧問に聞き取り調査を行っていた霧島。顧問は、問題はなかったと主張するが、日向は部員に話を聞きたいと食い下がる。そこへ真紀子から思いがけない電話が入り、その場に動揺が広がる。</t>
  </si>
  <si>
    <t>番組名明日の約束【誰が吉岡君を死なせたか…牙をむく毒親▽井上真央】　#02</t>
  </si>
  <si>
    <t>不登校が続いていた1年生の吉岡圭吾(遠藤健慎)が突然の死を遂げた。スクールカウンセラーの日向(井上真央)と担任の霧島(及川光博)が、家庭訪問した矢先の出来事だった。学校は対応に追われ、うわさを聞きつけた生徒の間にも動揺が広がる。一方、日向は「先生のこと、好きになりました」という圭吾の言葉の真意が分からない。そんななか、圭吾と同じクラスの那美(井頭愛海)から、圭吾がクラスでトラブルを抱えていたことを教えられ、早速そのことを霧島に報告する日向。しかし霧島は、クラスのアンケート調査で問題を告発する生徒がほかにいなかったことから、那美の告白を素直に受け入れようとしない。さらに圭吾の通夜では、不可解な死の原因が学校でのトラブルだと主張する遺族が学校関係者の弔問をかたくなに拒否。それでも何とか焼香をさせてほしいと頼む霧島に、圭吾の母・真紀子(仲間由紀恵)はーー。日向が帰宅すると、家には学校での一件を心配して訪ねてきた恋人・本庄(工藤阿須加)の姿が。娘の恋人の存在を初めて知り、人柄も気に入った尚子(手塚理美)は終始上機嫌だったが、本庄が帰った途端に態度が豹変(ひょうへん)する。井上真央　  及川光博　  工藤阿須加　  白洲迅　  新川優愛　  佐久間由衣　  遠藤健慎　  金子大地　  渡邉剣　  山口まゆ　  井頭愛海　  夏子　  堀家一希　  竹内愛紗  　・　  青柳翔　  神尾佑　  馬渕英里何　  中林大樹　  近江谷太朗　  羽場裕一　  手塚理美　  仲間由紀恵【脚本】  古家和尚　    【音楽】  眞鍋昭大　    【主題歌】  東方神起「Reboot」(avex　trax)　    【プロデューサー】  河西秀幸　  山崎淳子　    【演出】  土方政人　    【制作協力】  共同テレビ　    【制作著作】  関西テレビ【公式サイト】  http://www.ktv.jp/yakusoku/index.html　    →各SNSに登録お願いします  公式ツイッター@yakusokuktv  公式LINE  公式facebook</t>
  </si>
  <si>
    <t>不登校が続いていた1年生の吉岡圭吾(遠藤健慎)が突然の死を遂げた。スクールカウンセラーの日向(井上真央)と担任の霧島(及川光博)が、家庭訪問した矢先の出来事だった。学校は対応に追われ、うわさを聞きつけた生徒の間にも動揺が広がる。一方、日向は「先生のこと、好きになりました」という圭吾の言葉の真意が分からない。そんななか、圭吾と同じクラスの那美(井頭愛海)から、圭吾がクラスでトラブルを抱えていたことを教えられ、早速そのことを霧島に報告する日向。しかし霧島は、クラスのアンケート調査で問題を告発する生徒がほかにいなかったことから、那美の告白を素直に受け入れようとしない。さらに圭吾の通夜では、不可解な死の原因が学校でのトラブルだと主張する遺族が学校関係者の弔問をかたくなに拒否。それでも何とか焼香をさせてほしいと頼む霧島に、圭吾の母・真紀子(仲間由紀恵)はーー。日向が帰宅すると、家には学校での一件を心配して訪ねてきた恋人・本庄(工藤阿須加)の姿が。娘の恋人の存在を初めて知り、人柄も気に入った尚子(手塚理美)は終始上機嫌だったが、本庄が帰った途端に態度が豹変(ひょうへん)する。</t>
  </si>
  <si>
    <t>番組名明日の約束【学校に新たな疑惑が…死の原因は?優しさで支配する母】　#03</t>
  </si>
  <si>
    <t>スクールカウンセラーの日向(井上真央)は、不登校が続く1年生の吉岡圭吾(遠藤健慎)から「好きになりました」と告白されるが、翌日圭吾は遺書も残さず不可解な死を遂げてしまう。息子の死は学校の責任だとする母・真紀子(仲間由紀恵)の主張に、校長の轟木(羽場裕一)は記者会見を開いて対応は適切だったと説明。しかし、マスコミや世間の“犯人探し"は勢いを増し、学校は非難をあびる。一方、日向は家でも過干渉の母・尚子(手塚理美)に悩まされていた。幼い頃から自分を縛りつけてきた母が、恋人・本庄(工藤阿須加)の存在を知ってしまったのだ。これから始まる新たな“支配"に日向の心は重くなるばかりで…。  そんななか、テレビで真紀子のインタビューが放送。内部で圭吾へのイジメや暴力があったのではないかと、バスケ部に疑惑の目が向けられる。顧問の辻(神尾佑)は報道の内容を否定するが、日向はマネージャーの希美香(山口まゆ)の話から、圭吾と一部の部員の間でトラブルがあったのではないかと考え、担任の霧島(及川光博)と部員に聞き取り調査を行うことに。その日の放課後、本庄から「急用ができた」と約束をキャンセルされた日向は、帰り道で待っていた香澄(佐久間由衣)にネットで拡散しているという書き込みを見せられる。そこには、辻がかつて体罰で生徒に大ケガを負わせた、などと書かれていた!  その頃、尚子は日向の恋人の本庄と接触しようとして…。井上真央　  及川光博　  工藤阿須加　  白洲迅　  新川優愛　  佐久間由衣　  遠藤健慎　  金子大地　  渡邉剣　  山口まゆ　  井頭愛海　  夏子　  堀家一希　  竹内愛紗  　・　  青柳翔　  神尾佑　  馬渕英里何　  中林大樹  　・　  羽場裕一　  手塚理美　  仲間由紀恵【脚本】  古家和尚　    【音楽】  眞鍋昭大　    【主題歌】  東方神起「Reboot」(avex　trax)　    【プロデューサー】  河西秀幸　  山崎淳子　    【演出】  小林義則　    【制作協力】  共同テレビ　    【制作著作】  関西テレビ【公式サイト】  http://www.ktv.jp/yakusoku/index.html　    →各SNSに登録お願いします  公式ツイッター@yakusokuktv  公式LINE  公式facebook</t>
  </si>
  <si>
    <t>スクールカウンセラーの日向(井上真央)は、不登校が続く1年生の吉岡圭吾(遠藤健慎)から「好きになりました」と告白されるが、翌日圭吾は遺書も残さず不可解な死を遂げてしまう。息子の死は学校の責任だとする母・真紀子(仲間由紀恵)の主張に、校長の轟木(羽場裕一)は記者会見を開いて対応は適切だったと説明。しかし、マスコミや世間の“犯人探し"は勢いを増し、学校は非難をあびる。一方、日向は家でも過干渉の母・尚子(手塚理美)に悩まされていた。幼い頃から自分を縛りつけてきた母が、恋人・本庄(工藤阿須加)の存在を知ってしまったのだ。これから始まる新たな“支配"に日向の心は重くなるばかりで…。  そんななか、テレビで真紀子のインタビューが放送。内部で圭吾へのイジメや暴力があったのではないかと、バスケ部に疑惑の目が向けられる。顧問の辻(神尾佑)は報道の内容を否定するが、日向はマネージャーの希美香(山口まゆ)の話から、圭吾と一部の部員の間でトラブルがあったのではないかと考え、担任の霧島(及川光博)と部員に聞き取り調査を行うことに。その日の放課後、本庄から「急用ができた」と約束をキャンセルされた日向は、帰り道で待っていた香澄(佐久間由衣)にネットで拡散しているという書き込みを見せられる。そこには、辻がかつて体罰で生徒に大ケガを負わせた、などと書かれていた!  その頃、尚子は日向の恋人の本庄と接触しようとして…。</t>
  </si>
  <si>
    <t>番組名明日の約束【愛情という名の母の攻撃…生徒を死なせた悪者の烙印は誰に】　#04</t>
  </si>
  <si>
    <t>不登校だった圭吾(遠藤健慎)が謎の死を遂げ、母の真紀子(仲間由紀恵)は学校でのトラブルが原因だと主張。マスコミや世間は圭吾の死をイジメによる自殺だと決めつけ、学校を糾弾。スクールカウンセラーの日向(井上真央)は、悪意に満ちた報道に恐怖を覚え、恋人の本庄(工藤阿須加)に救いを求める。しかし、本庄が隠れて母の尚子(手塚理美)と会ったことを知り、「あの人は最低の母親だから、もう会ってほしくない」と本音を吐露。幼い頃から母の言葉に支配され、縛られ生きてきたことを打ち明ける。そこへ、圭吾が所属していたバスケ部の顧問・辻(神尾佑)が、夜道で襲われたと霧島(及川光博)から連絡が。辻は過去に体罰を与えたことがあり、その影響で圭吾の一件も部内暴力が原因ではないかと疑われ、責任をとって辞表を提出したばかりだった。通り魔の仕業なのか、それとも何者かによる体罰への報復なのかーー謎が深まるなか、今度は“バスケ部キャプテンの校内暴力"と題した大翔(金子大地)の動画が流出し…。  そんななか、日向は尚子から、本庄と勝手に会ったことを謝罪される。2人が心配だったと弁解する尚子だったが、日向は表情ひとつ変えない。すると、尚子は感情をむき出しにして怒り、心ない言葉で日向を責め立てる。その頃、一向に謝罪する様子を見せない学校側に業を煮やした真紀子は「鎌倉からイジメを根絶する会」に相談を持ちかけるなど、大きく動き出すー。井上真央　  及川光博　  工藤阿須加　  白洲迅　  新川優愛　  佐久間由衣　  遠藤健慎　  金子大地　  渡邉剣　  山口まゆ　  井頭愛海　  夏子　  堀家一希　  竹内愛紗  　・　  青柳翔　  神尾佑　  馬渕英里何　  中林大樹　  近江谷太朗　  草刈麻有　  森岡豊  　・　  羽場裕一　  手塚理美　  仲間由紀恵　    他【脚本】  古家和尚　    【音楽】  眞鍋昭大　    【主題歌】  東方神起「Reboot」(avex　trax)　    【プロデューサー】  河西秀幸　  山崎淳子　    【演出】  小林義則　    【制作協力】  共同テレビ　    【制作著作】  関西テレビ【公式サイト】  http://www.ktv.jp/yakusoku/index.html　    →各SNSに登録お願いします  公式ツイッター@yakusokuktv  公式LINE  公式facebook</t>
  </si>
  <si>
    <t>不登校だった圭吾(遠藤健慎)が謎の死を遂げ、母の真紀子(仲間由紀恵)は学校でのトラブルが原因だと主張。マスコミや世間は圭吾の死をイジメによる自殺だと決めつけ、学校を糾弾。スクールカウンセラーの日向(井上真央)は、悪意に満ちた報道に恐怖を覚え、恋人の本庄(工藤阿須加)に救いを求める。しかし、本庄が隠れて母の尚子(手塚理美)と会ったことを知り、「あの人は最低の母親だから、もう会ってほしくない」と本音を吐露。幼い頃から母の言葉に支配され、縛られ生きてきたことを打ち明ける。そこへ、圭吾が所属していたバスケ部の顧問・辻(神尾佑)が、夜道で襲われたと霧島(及川光博)から連絡が。辻は過去に体罰を与えたことがあり、その影響で圭吾の一件も部内暴力が原因ではないかと疑われ、責任をとって辞表を提出したばかりだった。通り魔の仕業なのか、それとも何者かによる体罰への報復なのかーー謎が深まるなか、今度は“バスケ部キャプテンの校内暴力"と題した大翔(金子大地)の動画が流出し…。  そんななか、日向は尚子から、本庄と勝手に会ったことを謝罪される。2人が心配だったと弁解する尚子だったが、日向は表情ひとつ変えない。すると、尚子は感情をむき出しにして怒り、心ない言葉で日向を責め立てる。その頃、一向に謝罪する様子を見せない学校側に業を煮やした真紀子は「鎌倉からイジメを根絶する会」に相談を持ちかけるなど、大きく動き出すー。</t>
  </si>
  <si>
    <t>番組名明日の約束【遂に核心へ…少年の不穏な過去に母の影。会見で衝撃の告白】　#05</t>
  </si>
  <si>
    <t>1年生のバスケ部員・圭吾(遠藤健慎)の謎の死を、マスコミはイジメによる自殺だと報道し、バスケ部キャプテンの大翔(金子大地)は加害者として世間から誹謗(ひぼう)中傷されることに。そんななか、圭吾の母・真紀子(仲間由紀恵)は弁護士を伴い学校へやって来て抗議する。さらに大翔の喫煙を暴露し、教師たちは強いリーダーシップでチームを率いていた大翔の裏の顔に、思わず絶句する。    喫煙の件で大翔本人に話を聞いた日向(井上真央)は、圭吾が「たばこのことをバラされたくなかったら自分をベンチ入りさせてほしい」と大翔を脅していたことを知る。『僕は、先輩のせいで死にます』ーー圭吾から最後に送られてきたメッセージに苦しむ大翔を何とか救いたい日向は、そもそも脅迫自体が圭吾の意思ではなかったのではないかと疑念を抱く。そして、中学から同じバスケ部だった勝(渡邉剣)に話を聞くと、圭吾が中学のときにクラスで嫌われていた理由が明らかに。    その頃、日向の恋人・本庄(工藤阿須加)は、結婚したい意向を実家の両親に伝える。対する日向の脳裏には、母・尚子(手塚理美)の怒鳴る姿が浮かぶ…。    一方、真紀子は弁護士の力を借りて記者会見を開いて問題を世間に訴えることを決め、事態は収まるどころか、さらなる波紋を呼びそうで…。そして学校では、大翔の暴行疑惑を伝える動画を流出させた犯人探しが始まり、混乱が広がる。井上真央　  及川光博　  工藤阿須加　  白洲迅　  新川優愛　  佐久間由衣　  遠藤健慎　  金子大地　  渡邉剣　  山口まゆ　  井頭愛海　  夏子　  堀家一希　  竹内愛紗  　・　  青柳翔　  神尾佑　  馬渕英里何　  中林大樹　  森岡豊  　・　  羽場裕一　  手塚理美　  仲間由紀恵　    他【脚本】  古家和尚　    【音楽】  眞鍋昭大　    【主題歌】  東方神起「Reboot」(avex　trax)　    【プロデューサー】  河西秀幸　  山崎淳子　    【演出】  小林義則　    【制作協力】  共同テレビ　    【制作著作】  関西テレビ【公式サイト】  http://www.ktv.jp/yakusoku/index.html　    →各SNSに登録お願いします  公式ツイッター@yakusokuktv  公式LINE  公式facebook</t>
  </si>
  <si>
    <t>1年生のバスケ部員・圭吾(遠藤健慎)の謎の死を、マスコミはイジメによる自殺だと報道し、バスケ部キャプテンの大翔(金子大地)は加害者として世間から誹謗(ひぼう)中傷されることに。そんななか、圭吾の母・真紀子(仲間由紀恵)は弁護士を伴い学校へやって来て抗議する。さらに大翔の喫煙を暴露し、教師たちは強いリーダーシップでチームを率いていた大翔の裏の顔に、思わず絶句する。    喫煙の件で大翔本人に話を聞いた日向(井上真央)は、圭吾が「たばこのことをバラされたくなかったら自分をベンチ入りさせてほしい」と大翔を脅していたことを知る。『僕は、先輩のせいで死にます』ーー圭吾から最後に送られてきたメッセージに苦しむ大翔を何とか救いたい日向は、そもそも脅迫自体が圭吾の意思ではなかったのではないかと疑念を抱く。そして、中学から同じバスケ部だった勝(渡邉剣)に話を聞くと、圭吾が中学のときにクラスで嫌われていた理由が明らかに。    その頃、日向の恋人・本庄(工藤阿須加)は、結婚したい意向を実家の両親に伝える。対する日向の脳裏には、母・尚子(手塚理美)の怒鳴る姿が浮かぶ…。    一方、真紀子は弁護士の力を借りて記者会見を開いて問題を世間に訴えることを決め、事態は収まるどころか、さらなる波紋を呼びそうで…。そして学校では、大翔の暴行疑惑を伝える動画を流出させた犯人探しが始まり、混乱が広がる。</t>
  </si>
  <si>
    <t>番組名明日の約束【疑惑の母と対峙で一触即発▽結婚で変わりゆく母娘の関係】　#06</t>
  </si>
  <si>
    <t>バスケ部員・圭吾(遠藤健慎)が不登校の末に謎の死を遂げた。日向(井上真央)がスクールカウンセラーを務める椿が丘高校は、イジメによる自殺だとマスコミから激しいバッシングを浴び、さらに圭吾の母・真紀子(仲間由紀恵)がバスケ部内の暴力を告発したことで、騒ぎは大きくなっていく。そんななか、亡くなった圭吾が煙草を吸っていた先輩部員の大翔(金子大地)を脅迫していたことを知った日向。温和な性格の圭吾がなぜーー日向は脅迫が本人の意思ではなく、真紀子の指示だったのではないかと疑うが、圭吾の担任の霧島(及川光博)は、憶測で騒ぎ立てないよう釘を刺す。ところがその矢先、真紀子が「一度、2人きりで話がしたかった」と、突然日向の前に現れる。真紀子は、たびたび圭吾に接触していた日向にも死の原因があると怒りを露わにし、訴訟の準備を進めていると告げるのだった。  その頃、大翔が何者かに襲われ重傷を負っていた。バスケ部顧問の辻(神尾佑)に続き、またも起きた悲劇。変わり果てた大翔を最初に発見した希美香(山口まゆ)は、現場から逃げていく犯人らしき人物を見たと話し、その証言を聞いた日向の脳裏には、ある人物の顔が浮かぶ。  一方、日向は恋人・本庄(工藤阿須加)から、プロポーズを受けたものの、脳裏をよぎるのは母・尚子(手塚理美)の表情。日向は意を決して尚子に結婚話を告げることに。ここから娘と母との関係に変化の兆しが…。井上真央　  及川光博　  工藤阿須加　  白洲迅　  新川優愛　  佐久間由衣　  遠藤健慎　  金子大地　  渡邉剣　  山口まゆ　  井頭愛海　  夏子　  堀家一希　  竹内愛紗  　・　  青柳翔　  馬渕英里何　  中林大樹　  森岡豊　  近江谷太朗  　・　  羽場裕一　  手塚理美　  仲間由紀恵　    他【脚本】  古家和尚　    【音楽】  眞鍋昭大　    【主題歌】  東方神起「Reboot」(avex　trax)　    【プロデューサー】  河西秀幸　  山崎淳子　    【演出】  土方政人　    【制作協力】  共同テレビ　    【制作著作】  関西テレビ【公式サイト】  http://www.ktv.jp/yakusoku/index.html　    →各SNSに登録お願いします  公式ツイッター@yakusokuktv  公式LINE  公式facebook</t>
  </si>
  <si>
    <t>バスケ部員・圭吾(遠藤健慎)が不登校の末に謎の死を遂げた。日向(井上真央)がスクールカウンセラーを務める椿が丘高校は、イジメによる自殺だとマスコミから激しいバッシングを浴び、さらに圭吾の母・真紀子(仲間由紀恵)がバスケ部内の暴力を告発したことで、騒ぎは大きくなっていく。そんななか、亡くなった圭吾が煙草を吸っていた先輩部員の大翔(金子大地)を脅迫していたことを知った日向。温和な性格の圭吾がなぜーー日向は脅迫が本人の意思ではなく、真紀子の指示だったのではないかと疑うが、圭吾の担任の霧島(及川光博)は、憶測で騒ぎ立てないよう釘を刺す。ところがその矢先、真紀子が「一度、2人きりで話がしたかった」と、突然日向の前に現れる。真紀子は、たびたび圭吾に接触していた日向にも死の原因があると怒りを露わにし、訴訟の準備を進めていると告げるのだった。  その頃、大翔が何者かに襲われ重傷を負っていた。バスケ部顧問の辻(神尾佑)に続き、またも起きた悲劇。変わり果てた大翔を最初に発見した希美香(山口まゆ)は、現場から逃げていく犯人らしき人物を見たと話し、その証言を聞いた日向の脳裏には、ある人物の顔が浮かぶ。  一方、日向は恋人・本庄(工藤阿須加)から、プロポーズを受けたものの、脳裏をよぎるのは母・尚子(手塚理美)の表情。日向は意を決して尚子に結婚話を告げることに。ここから娘と母との関係に変化の兆しが…。</t>
  </si>
  <si>
    <t>番組名明日の約束【悲しき復讐…本当の悪者は誰?▽両家の食事会で結婚に暗雲】　#07</t>
  </si>
  <si>
    <t>不登校が続いていたバスケ部員・吉岡圭吾(遠藤健慎)が謎の死を遂げた。学校とバスケ部にはイジメによる自殺ではないかと非難の声が殺到。圭吾の母・真紀子(仲間由紀恵)も敵意を露わにし、学校や担任教師の霧島(及川光博)、スクールカウンセラーの日向(井上真央)相手に訴訟を起こすと宣戦布告する。そんななか、バスケ部の顧問とキャプテンが立て続けに襲われた。犯人らしき人物を見たと聞いた日向は、犯人が圭吾の幼なじみの香澄(佐久間由衣)だと気付く。香澄は退学後、自分をいじめた人間に復讐を考えていたが、圭吾が代わりに実行したのだという。今度は、自分が圭吾に代わって復讐をー。日向は罪を認めた香澄を説得するが、「まだやることがある」と行方をくらませてしまう。  数日後、記者の小嶋(青柳翔)が姿を現す。小嶋は、香澄が真紀子を狙うと睨んでいた。ネット上には真紀子が毒親であることや、そのせいで圭吾が自殺したと悪評の数々が書き込まれていたのだ。それらの中傷は本人の目にもとまり、真紀子は弁護士に相談する。  一方、結婚の挨拶をするため本庄(工藤阿須加)の実家を訪ねた日向は、本庄に兄がいて、11年前に事故で亡くなったことを知る。さらに、母・尚子(手塚理美)と自分の関係を修復させようとする本庄に、うまく本心を伝えられない日向。家では、尚子が本庄のアラが見えてきたと言い、「ああいうタイプには気をつけた方がいい」と苦言を呈し…。井上真央　  及川光博　  工藤阿須加　  白洲迅　  新川優愛　  佐久間由衣　  遠藤健慎　  渡邉剣　  山口まゆ　  井頭愛海　  夏子　  竹内愛紗  　・　  青柳翔　  馬渕英里何　  中林大樹　  森岡豊　  草刈麻有　  近江谷太朗  　・　  羽場裕一　  手塚理美　  仲間由紀恵　    他【脚本】  古家和尚　    【音楽】  眞鍋昭大　    【主題歌】  東方神起「Reboot」(avex　trax)　    【プロデューサー】  河西秀幸　  山崎淳子　    【演出】  池辺安智　    【制作協力】  共同テレビ　    【制作著作】  関西テレビ【公式サイト】  http://www.ktv.jp/yakusoku/index.html　    →各SNSに登録お願いします  公式ツイッター@yakusokuktv  公式LINE  公式facebook</t>
  </si>
  <si>
    <t>不登校が続いていたバスケ部員・吉岡圭吾(遠藤健慎)が謎の死を遂げた。学校とバスケ部にはイジメによる自殺ではないかと非難の声が殺到。圭吾の母・真紀子(仲間由紀恵)も敵意を露わにし、学校や担任教師の霧島(及川光博)、スクールカウンセラーの日向(井上真央)相手に訴訟を起こすと宣戦布告する。そんななか、バスケ部の顧問とキャプテンが立て続けに襲われた。犯人らしき人物を見たと聞いた日向は、犯人が圭吾の幼なじみの香澄(佐久間由衣)だと気付く。香澄は退学後、自分をいじめた人間に復讐を考えていたが、圭吾が代わりに実行したのだという。今度は、自分が圭吾に代わって復讐をー。日向は罪を認めた香澄を説得するが、「まだやることがある」と行方をくらませてしまう。  数日後、記者の小嶋(青柳翔)が姿を現す。小嶋は、香澄が真紀子を狙うと睨んでいた。ネット上には真紀子が毒親であることや、そのせいで圭吾が自殺したと悪評の数々が書き込まれていたのだ。それらの中傷は本人の目にもとまり、真紀子は弁護士に相談する。  一方、結婚の挨拶をするため本庄(工藤阿須加)の実家を訪ねた日向は、本庄に兄がいて、11年前に事故で亡くなったことを知る。さらに、母・尚子(手塚理美)と自分の関係を修復させようとする本庄に、うまく本心を伝えられない日向。家では、尚子が本庄のアラが見えてきたと言い、「ああいうタイプには気をつけた方がいい」と苦言を呈し…。</t>
  </si>
  <si>
    <t>番組名明日の約束【疑惑の母に非難の声…遂に真相へ▽母娘関係が一変する事件】　#08</t>
  </si>
  <si>
    <t>バスケ部員・圭吾(遠藤健慎)が謎の死を遂げた。世間が部内のいじめによる自殺だと騒ぐ中、圭吾の復讐をするかのように、バスケ部の関係者が何者かに襲われる。圭吾はかつて、幼なじみの香澄(佐久間由衣)をいじめていた人間を仕返しのために襲っていて、バスケ部への襲撃事件は、恩を感じていた香澄による復讐だった。その香澄は更に1人の襲撃を予告して姿をくらませた。    本庄(工藤阿須加)と婚約した日向(井上真央)は、両家の顔合わせに向かう途中、圭吾の妹・英美里(竹内愛紗)が援助交際をしている現場に遭遇。その結果、顔合わせに間に合わず、尚子(手塚理美)から物凄い剣幕で怒鳴られる。そんな母親の愚痴をもらす日向に本庄の態度が豹変。「親を悪く言うな」と日向に手をあげる。    本庄の元を去った日向は、偶然通りかかった霧島(及川光博)と学校へ。するとそこへ、香澄から「学校にいる」と連絡が入る。2人は辺りを探し回るが、香澄の姿は見当たらない。その隙に、香澄は霧島の鞄からあるものを盗み出しー。翌日、恋人からの暴力にショックを引きずる日向の自宅を、本庄が訪ねて来て、尚子にもその事実が知られることに…。同じ頃、ジャーナリストの小嶋(青柳翔)に「吉岡圭吾が死んだ理由、教えます」と電話がかかってきて…。    ネット上では真紀子(仲間由紀恵)の“毒親"ぶりが次々に明かされ、誹謗中傷の的に。世論も一転し、真紀子が糾弾されていく。井上真央　  及川光博　  工藤阿須加　  白洲迅　  新川優愛　  佐久間由衣　  金子大地　  渡邉剣　  山口まゆ　  井頭愛海　  夏子　  堀家一希　  竹内愛紗  　・　  青柳翔　  馬渕英里何　  中林大樹　  森岡豊　  近江谷太朗  　・　  羽場裕一　  手塚理美　  仲間由紀恵　    他【脚本】  古家和尚　    【音楽】  眞鍋昭大　    【主題歌】  東方神起「Reboot」(avex　trax)　    【プロデューサー】  河西秀幸　  山崎淳子　    【演出】  土方政人　    【制作協力】  共同テレビ　    【制作著作】  関西テレビ【公式サイト】  http://www.ktv.jp/yakusoku/index.html　    →各SNSに登録お願いします  公式ツイッター@yakusokuktv  公式LINE  公式facebook</t>
  </si>
  <si>
    <t>バスケ部員・圭吾(遠藤健慎)が謎の死を遂げた。世間が部内のいじめによる自殺だと騒ぐ中、圭吾の復讐をするかのように、バスケ部の関係者が何者かに襲われる。圭吾はかつて、幼なじみの香澄(佐久間由衣)をいじめていた人間を仕返しのために襲っていて、バスケ部への襲撃事件は、恩を感じていた香澄による復讐だった。その香澄は更に1人の襲撃を予告して姿をくらませた。    本庄(工藤阿須加)と婚約した日向(井上真央)は、両家の顔合わせに向かう途中、圭吾の妹・英美里(竹内愛紗)が援助交際をしている現場に遭遇。その結果、顔合わせに間に合わず、尚子(手塚理美)から物凄い剣幕で怒鳴られる。そんな母親の愚痴をもらす日向に本庄の態度が豹変。「親を悪く言うな」と日向に手をあげる。    本庄の元を去った日向は、偶然通りかかった霧島(及川光博)と学校へ。するとそこへ、香澄から「学校にいる」と連絡が入る。2人は辺りを探し回るが、香澄の姿は見当たらない。その隙に、香澄は霧島の鞄からあるものを盗み出しー。翌日、恋人からの暴力にショックを引きずる日向の自宅を、本庄が訪ねて来て、尚子にもその事実が知られることに…。同じ頃、ジャーナリストの小嶋(青柳翔)に「吉岡圭吾が死んだ理由、教えます」と電話がかかってきて…。    ネット上では真紀子(仲間由紀恵)の“毒親"ぶりが次々に明かされ、誹謗中傷の的に。世論も一転し、真紀子が糾弾されていく。</t>
  </si>
  <si>
    <t>番組名明日の約束【暴かれる教師の罪。疑惑の母との接点…遂に最終局面へ】　#09</t>
  </si>
  <si>
    <t>バスケ部員・圭吾(遠藤健慎)が謎の死を遂げた。自殺の原因と噂された関係者が立て続けに襲われ、犯人は圭吾の幼馴染の香澄(佐久間由衣)と判明。圭吾を死に追いやった人物への復讐のためだった。香澄が「あと一人…」と言うターゲットは圭吾の担任教師・霧島(及川光博)。香澄は霧島のノートPCを盗み出し、日向(井上真央)に託す。中身を見た日向は、霧島が圭吾の死に大きく関わっていることを知り愕然。生徒を守るべき立場の霧島がとった行動について、真意を問いただす。  恋人の本庄(工藤阿須加)から暴力を振るわれた日向は、結婚に後ろ向きに。「あの人のようになることが怖い」ーー長年、母・尚子(手塚理美)に支配されてきた日向は、結婚して母親になる覚悟ができていないと分かったのだ。尚子も娘に暴力を振るった本庄を許そうとはせず、見合い話を持ってくる。しかし日向は、「私はお母さんの所有物じゃない」と気持ちを伝え、本庄との今後についても、ある結論を出す。  吉岡家では、圭吾の妹の英美里(竹内愛紗)が、母・真紀子(仲間由紀恵)が息子の部屋を盗聴していた証拠をマスコミに流していた。テレビやネットで異様な行動が報じられ、一時は同情的だったマスコミも、一転して真紀子を糾弾。圭吾を死に追いやったのは、精神的虐待を続けてきた“毒親"にほかならないと、非難する。最愛の息子を失い、自らの愛情を否定され、家族にも見放された真紀子は…。井上真央　  及川光博　  工藤阿須加　  白洲迅　  新川優愛　  佐久間由衣　  遠藤健慎　  渡邉剣　  山口まゆ　  井頭愛海　  夏子　  堀家一希　  竹内愛紗　  立野沙紀  　・　  青柳翔　  馬渕英里何　  中林大樹　  近江谷太朗  　・　  羽場裕一　  手塚理美　  仲間由紀恵　    他【脚本】  古家和尚　    【音楽】  眞鍋昭大　    【主題歌】  東方神起「Reboot」(avex　trax)　    【プロデューサー】  河西秀幸　  山崎淳子　    【演出】  小林義則　    【制作協力】  共同テレビ　    【制作著作】  関西テレビ【公式サイト】  http://www.ktv.jp/yakusoku/index.html　    →各SNSに登録お願いします  公式ツイッター@yakusokuktv  公式LINE  公式facebook</t>
  </si>
  <si>
    <t>バスケ部員・圭吾(遠藤健慎)が謎の死を遂げた。自殺の原因と噂された関係者が立て続けに襲われ、犯人は圭吾の幼馴染の香澄(佐久間由衣)と判明。圭吾を死に追いやった人物への復讐のためだった。香澄が「あと一人…」と言うターゲットは圭吾の担任教師・霧島(及川光博)。香澄は霧島のノートPCを盗み出し、日向(井上真央)に託す。中身を見た日向は、霧島が圭吾の死に大きく関わっていることを知り愕然。生徒を守るべき立場の霧島がとった行動について、真意を問いただす。  恋人の本庄(工藤阿須加)から暴力を振るわれた日向は、結婚に後ろ向きに。「あの人のようになることが怖い」ーー長年、母・尚子(手塚理美)に支配されてきた日向は、結婚して母親になる覚悟ができていないと分かったのだ。尚子も娘に暴力を振るった本庄を許そうとはせず、見合い話を持ってくる。しかし日向は、「私はお母さんの所有物じゃない」と気持ちを伝え、本庄との今後についても、ある結論を出す。  吉岡家では、圭吾の妹の英美里(竹内愛紗)が、母・真紀子(仲間由紀恵)が息子の部屋を盗聴していた証拠をマスコミに流していた。テレビやネットで異様な行動が報じられ、一時は同情的だったマスコミも、一転して真紀子を糾弾。圭吾を死に追いやったのは、精神的虐待を続けてきた“毒親"にほかならないと、非難する。最愛の息子を失い、自らの愛情を否定され、家族にも見放された真紀子は…。</t>
  </si>
  <si>
    <t>番組名明日の約束【最終話…辿り着いた死の意味▽母に告げる決断…未来へ】　#10</t>
  </si>
  <si>
    <t>学校でのいじめ、母・真紀子(仲間由紀恵)による精神的虐待…巷で様々な臆測が飛び交った、吉岡圭吾(遠藤健慎)の自殺。真相は誰にも分からず、クラスメイトや教師、残された家族は日常を取り戻せずにいた。  日向(井上真央)も、スクールカウンセラーとして心をケアする一方、死の前日に圭吾から告白されたことが引っ掛かっていた。「あれは、彼なりのSOSだったのかもしれない。答えが違っていれば何かが変わっていたのかも」ー圭吾を苦しみから救えなかったことを悔やんでいた日向だったが、前に進むためにも、自分にケジメをつけようと決める。そして、圭吾がクラスで孤立する原因を作った霧島(及川光博)の行為を学校に報告し、これまで学校や日向を敵視し続けてきた真紀子にも全てを話そうと自宅を訪ねる。するとそこには亡き息子の気持ちが分からないと絶望する真紀子の姿が。圭吾と真紀子に、自分と母・尚子(手塚理美)の関係を重ね合わせた日向は、自分も幼いころから親の愛情に苦しんできたと告白。そして「高校生の時、母にいなくなってほしいと思った」と、尚子との関係を話し始める。長年にわたり“毒親"に支配されてきた日向の告白は、真紀子の心に届くのか?  さらに日向は学校で「私がこの出来事の中で、いま一番許せないと思っている人がいます」と切り出し、ざわめきが生徒や教師たちの間に広がる。  そして尚子とのいびつな親子関係にも、ある決断を下す。井上真央　  及川光博　  工藤阿須加　  白洲迅　  新川優愛　  佐久間由衣　  遠藤健慎　  金子大地　  渡邉剣　  山口まゆ　  井頭愛海　  夏子　  堀家一希　  竹内愛紗  　・　  青柳翔　  馬渕英里何　  中林大樹　  青山倫子  　・　  羽場裕一　  手塚理美　  仲間由紀恵　    他【脚本】  古家和尚　    【音楽】  眞鍋昭大　    【主題歌】  東方神起「Reboot」(avex　trax)　    【プロデューサー】  河西秀幸　  山崎淳子　    【演出】  土方政人　    【制作協力】  共同テレビ　    【制作著作】  関西テレビ【公式サイト】  http://www.ktv.jp/yakusoku/index.html　    →各SNSに登録お願いします  公式ツイッター@yakusokuktv  公式LINE  公式facebook</t>
  </si>
  <si>
    <t>学校でのいじめ、母・真紀子(仲間由紀恵)による精神的虐待…巷で様々な臆測が飛び交った、吉岡圭吾(遠藤健慎)の自殺。真相は誰にも分からず、クラスメイトや教師、残された家族は日常を取り戻せずにいた。  日向(井上真央)も、スクールカウンセラーとして心をケアする一方、死の前日に圭吾から告白されたことが引っ掛かっていた。「あれは、彼なりのSOSだったのかもしれない。答えが違っていれば何かが変わっていたのかも」ー圭吾を苦しみから救えなかったことを悔やんでいた日向だったが、前に進むためにも、自分にケジメをつけようと決める。そして、圭吾がクラスで孤立する原因を作った霧島(及川光博)の行為を学校に報告し、これまで学校や日向を敵視し続けてきた真紀子にも全てを話そうと自宅を訪ねる。するとそこには亡き息子の気持ちが分からないと絶望する真紀子の姿が。圭吾と真紀子に、自分と母・尚子(手塚理美)の関係を重ね合わせた日向は、自分も幼いころから親の愛情に苦しんできたと告白。そして「高校生の時、母にいなくなってほしいと思った」と、尚子との関係を話し始める。長年にわたり“毒親"に支配されてきた日向の告白は、真紀子の心に届くのか?  さらに日向は学校で「私がこの出来事の中で、いま一番許せないと思っている人がいます」と切り出し、ざわめきが生徒や教師たちの間に広がる。  そして尚子とのいびつな親子関係にも、ある決断を下す。</t>
  </si>
  <si>
    <t>1710_CX_木22</t>
  </si>
  <si>
    <t>刑事ゆがみ</t>
  </si>
  <si>
    <t>番組名&lt;木曜劇場&gt;刑事ゆがみ【浅野忠信と神木隆之介が難事件を鮮やか解決】　#01</t>
  </si>
  <si>
    <t>ここだけの情報満載です。以下、是非ご覧ください!  【番組公式ホームページ】  http://www.fujitv.co.jp/yugami/　    【番組公式ツイッター】  https://twitter.com/keiji_yugami　    【番組公式インスタグラム】  https://www.instagram.com/keiji_yugami/　  公式LINEもやっています!　弓神適当(浅野忠信)は、うきよ署強行犯係の刑事。適当で人と一緒に行動することを嫌う変わり者。だが、事件の捜査になると常識に惑わされず真実を追い求める男だった。そんな弓神とバディを組むのは、上昇志向と正義感が強い若手刑事の羽生虎夫(神木隆之介)。早く出世したいと考える羽生にとって、違法捜査もお構いなしの弓神はやっかいな存在だ。弓神とは同期でもある強行犯係・係長の菅能理香(稲森いずみ)も弓神には手を焼いていた。  　ある日、女子大生の押田マイ(小倉優香)が、歩道橋下で仰向けに死んでいるのが発見される。マイは酒を飲んで帰宅途中に、誤って階段から転落した可能性が高かった。が、死体を見て何かを感じた弓神は、羽生を巻き込んで勝手に捜査を始めてしまう。弓神は、ハッカーの“ヒズミ"こと氷川和美(山本美月)からも情報を得て、事件当日、マイと一緒に飲んでいた友人・倉間藍子(大後寿々花)に会いに行く。藍子は、1週間ほど前にマイが電車内で痴漢した男を捕まえたこと、男から現金を受け取り警察には届けなかったこと、その夜から嫌がらせを受け始めたことを打ち明ける。弓神たちは、痴漢騒動があったうきよ台駅を訪れ、当日勤務していた駅員・坂木望(杉咲花)から話を聞く。望とは中学時代の同級生だった羽生は、思わぬ再会に心が躍る。やがて、弓神と羽生は望の協力を得て、痴漢疑惑の男・沢谷勝己(岡田義徳)を発見するが。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</si>
  <si>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弓神適当(浅野忠信)は、うきよ署強行犯係の刑事。適当で人と一緒に行動することを嫌う変わり者。だが、事件の捜査になると常識に惑わされず真実を追い求める男だった。そんな弓神とバディを組むのは、上昇志向と正義感が強い若手刑事の羽生虎夫(神木隆之介)。早く出世したいと考える羽生にとって、違法捜査もお構いなしの弓神はやっかいな存在だ。弓神とは同期でもある強行犯係・係長の菅能理香(稲森いずみ)も弓神には手を焼いていた。  　ある日、女子大生の押田マイ(小倉優香)が、歩道橋下で仰向けに死んでいるのが発見される。マイは酒を飲んで帰宅途中に、誤って階段から転落した可能性が高かった。が、死体を見て何かを感じた弓神は、羽生を巻き込んで勝手に捜査を始めてしまう。弓神は、ハッカーの“ヒズミ"こと氷川和美(山本美月)からも情報を得て、事件当日、マイと一緒に飲んでいた友人・倉間藍子(大後寿々花)に会いに行く。藍子は、1週間ほど前にマイが電車内で痴漢した男を捕まえたこと、男から現金を受け取り警察には届けなかったこと、その夜から嫌がらせを受け始めたことを打ち明ける。弓神たちは、痴漢騒動があったうきよ台駅を訪れ、当日勤務していた駅員・坂木望(杉咲花)から話を聞く。望とは中学時代の同級生だった羽生は、思わぬ再会に心が躍る。やがて、弓神と羽生は望の協力を得て、痴漢疑惑の男・沢谷勝己(岡田義徳)を発見するが。</t>
  </si>
  <si>
    <t>番組名&lt;木曜劇場&gt;刑事ゆがみ【水野美紀、斎藤工、中川大志ら豪華ゲスト出演】　#02</t>
  </si>
  <si>
    <t>ここだけの情報満載です。以下、是非ご覧ください!  【番組公式ホームページ】  http://www.fujitv.co.jp/yugami/　    【番組公式ツイッター】  https://twitter.com/keiji_yugami　    【番組公式インスタグラム】  https://www.instagram.com/keiji_yugami/　  公式LINEもやっています!うきよ署強行犯係の弓神(浅野忠信)は、相棒の羽生(神木隆之介)らとともに、中学校の教師・早杉千里(水野美紀)が襲われた強姦未遂事件の捜査を始める。事件は、千里が自宅アパートで仮眠中に、窓から侵入した男が彼女を襲おうとした、というものだった。そこに、千里が勤務する中学校で教育実習をしていた大学生・打越将也(中川大志)が訪ねてきて、犯人と争いになったのだという。千里は、犯人が振り回した花瓶で右腕を負傷。犯人を追おうとした打越は、花瓶の水で足を滑らせてベッドの角で頭を強打し、意識不明の重体で病院に搬送されていた。だが、千里は「事件を忘れたい」と言って被害届も出さず、捜査協力を拒んでいた。菅能(稲森いずみ)は、法改正で強制性交等罪の非親告罪化が決定したことを千里に告げて捜査を開始する。が、千里の教師という立場も考慮し、不法侵入と傷害事件として捜査するよう指示する。一方、千里と打越の経歴を調べた弓神は、2人が教師と教え子の関係性だったことに気付く。ほどなく、現場に残されていた足跡から犯人の靴が特定され、ある人物が捜査線上に浮かんでくる…。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</si>
  <si>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うきよ署強行犯係の弓神(浅野忠信)は、相棒の羽生(神木隆之介)らとともに、中学校の教師・早杉千里(水野美紀)が襲われた強姦未遂事件の捜査を始める。事件は、千里が自宅アパートで仮眠中に、窓から侵入した男が彼女を襲おうとした、というものだった。そこに、千里が勤務する中学校で教育実習をしていた大学生・打越将也(中川大志)が訪ねてきて、犯人と争いになったのだという。千里は、犯人が振り回した花瓶で右腕を負傷。犯人を追おうとした打越は、花瓶の水で足を滑らせてベッドの角で頭を強打し、意識不明の重体で病院に搬送されていた。だが、千里は「事件を忘れたい」と言って被害届も出さず、捜査協力を拒んでいた。菅能(稲森いずみ)は、法改正で強制性交等罪の非親告罪化が決定したことを千里に告げて捜査を開始する。が、千里の教師という立場も考慮し、不法侵入と傷害事件として捜査するよう指示する。一方、千里と打越の経歴を調べた弓神は、2人が教師と教え子の関係性だったことに気付く。ほどなく、現場に残されていた足跡から犯人の靴が特定され、ある人物が捜査線上に浮かんでくる…。</t>
  </si>
  <si>
    <t>番組名&lt;木曜劇場&gt;刑事ゆがみ【寺脇康文が熱血警官役!彼を襲ったのは誰だ?】　#03</t>
  </si>
  <si>
    <t>ここだけの情報満載です。以下、是非ご覧ください!  【番組公式ホームページ】  http://www.fujitv.co.jp/yugami/　    【番組公式ツイッター】  https://twitter.com/keiji_yugami　    【番組公式インスタグラム】  https://www.instagram.com/keiji_yugami/　  公式LINEもやっています!弓神(浅野忠信)や羽生(神木隆之介)ら、うきよ署の面々は、今月末で定年を迎え退官する真下誠巡査部長(寺脇康文)の退職辞令交付式に出席する。交番勤務のころに世話になった羽生は、真下のことを「警察官のかがみだ」と尊敬していた。それから数日後、山菜採りで裏山を訪れた老夫婦が、頭から血を流して倒れている男性を発見する。それは、真下だった。真下は、何者かに頭部を殴打され、意識不明のまま病院に搬送されていた。事件現場では無数の足跡と、2トントラックがUターンしたと思われるタイヤ痕、そして耐寒用手袋が片方だけ落ちていた。  弓神とともに病院を訪れた羽生は、必ず自分の手で犯人を捕まえると誓う。その際、弓神は、真下のリュックの中から大きな木が描かれたスケッチブックを見つけていた。するとそこに、真下の娘・唯香(佐藤玲)が訪ねてくる。真下の妻は、唯香が小学生のときに病気で他界しており、唯香の7つ上の姉・静香(小野花梨)は、高校を中退して家を飛び出したきり音信不通状態だった。そんな折、病院に真下の容体をしつこく尋ねる不審な男が現れる。防犯カメラには作業着の男の姿が映っていた。菅能(稲森いずみ)らは、その映像をもとに犯行時刻に山に出入りしていたトラック10台を絞り込む。その中の1台に目を付けた羽生は、病院に現れた男・堀田剛(柳俊太郎)にたどり着き…。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</si>
  <si>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弓神(浅野忠信)や羽生(神木隆之介)ら、うきよ署の面々は、今月末で定年を迎え退官する真下誠巡査部長(寺脇康文)の退職辞令交付式に出席する。交番勤務のころに世話になった羽生は、真下のことを「警察官のかがみだ」と尊敬していた。それから数日後、山菜採りで裏山を訪れた老夫婦が、頭から血を流して倒れている男性を発見する。それは、真下だった。真下は、何者かに頭部を殴打され、意識不明のまま病院に搬送されていた。事件現場では無数の足跡と、2トントラックがUターンしたと思われるタイヤ痕、そして耐寒用手袋が片方だけ落ちていた。  弓神とともに病院を訪れた羽生は、必ず自分の手で犯人を捕まえると誓う。その際、弓神は、真下のリュックの中から大きな木が描かれたスケッチブックを見つけていた。するとそこに、真下の娘・唯香(佐藤玲)が訪ねてくる。真下の妻は、唯香が小学生のときに病気で他界しており、唯香の7つ上の姉・静香(小野花梨)は、高校を中退して家を飛び出したきり音信不通状態だった。そんな折、病院に真下の容体をしつこく尋ねる不審な男が現れる。防犯カメラには作業着の男の姿が映っていた。菅能(稲森いずみ)らは、その映像をもとに犯行時刻に山に出入りしていたトラック10台を絞り込む。その中の1台に目を付けた羽生は、病院に現れた男・堀田剛(柳俊太郎)にたどり着き…。</t>
  </si>
  <si>
    <t>番組名&lt;木曜劇場&gt;刑事ゆがみ【高梨臨出演!転落死は正当防衛?それとも…?】　#04</t>
  </si>
  <si>
    <t>ここだけの情報満載です。以下、是非ご覧ください!  【番組公式ホームページ】  http://www.fujitv.co.jp/yugami/　    【番組公式ツイッター】  https://twitter.com/keiji_yugami　    【番組公式インスタグラム】  https://www.instagram.com/keiji_yugami/　  公式LINEもやっています!うきよ署強行犯係の弓神(浅野忠信)、羽生(神木隆之介)らは、完成間近のデザイナーズビルで起きた男性の転落死について調べ始める。死亡したのはこのビルの設計も手がけた建築士の大山昇(姜暢雄)。現場にいた警備員(前野朋哉)によれば、外階段で人が争う声が聞こえたため確認に行くと、そこに高遠建設の社員・堤祥子(高梨臨)と高遠玲奈(池端レイナ)がいたという。階段下にはすでに大山が倒れていたらしい。祥子と玲奈は同期。玲奈は、高遠建設の社長令嬢で、大山の婚約者でもあった。  菅能(稲森いずみ)たちが祥子と玲奈からそれぞれ事情を聞くと、2人の話は警備員の証言とも一致していた。祥子は、大山が玲奈と付き合う前に一晩だけ関係を持ったが、それ以来、大山のストーカー行為に苦しんでいた。祥子は、相談しても信じなかった玲奈に、ホテルでの写真を見せて、大山にストーカー行為を止めさせようとした。その際、大山は、玲奈に上階で待つよう頼み、祥子と2人だけで話そうとしたという。だが、争う声が聞こえたために玲奈が下に降りてみると、外階段の踊り場で大山が祥子を押さえつけて、祥子が大山を振り払った際にバランスを崩して転落したらしい。  正当防衛だと主張する祥子は「以前大山のストーカーに悩み警察に相談したのに、その時の交番の警官にまともに取り合ってもらえなかった」と怒り出す。実は当時応対をしたのは、交番勤務時代の羽生で…。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</si>
  <si>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うきよ署強行犯係の弓神(浅野忠信)、羽生(神木隆之介)らは、完成間近のデザイナーズビルで起きた男性の転落死について調べ始める。死亡したのはこのビルの設計も手がけた建築士の大山昇(姜暢雄)。現場にいた警備員(前野朋哉)によれば、外階段で人が争う声が聞こえたため確認に行くと、そこに高遠建設の社員・堤祥子(高梨臨)と高遠玲奈(池端レイナ)がいたという。階段下にはすでに大山が倒れていたらしい。祥子と玲奈は同期。玲奈は、高遠建設の社長令嬢で、大山の婚約者でもあった。  菅能(稲森いずみ)たちが祥子と玲奈からそれぞれ事情を聞くと、2人の話は警備員の証言とも一致していた。祥子は、大山が玲奈と付き合う前に一晩だけ関係を持ったが、それ以来、大山のストーカー行為に苦しんでいた。祥子は、相談しても信じなかった玲奈に、ホテルでの写真を見せて、大山にストーカー行為を止めさせようとした。その際、大山は、玲奈に上階で待つよう頼み、祥子と2人だけで話そうとしたという。だが、争う声が聞こえたために玲奈が下に降りてみると、外階段の踊り場で大山が祥子を押さえつけて、祥子が大山を振り払った際にバランスを崩して転落したらしい。  正当防衛だと主張する祥子は「以前大山のストーカーに悩み警察に相談したのに、その時の交番の警官にまともに取り合ってもらえなかった」と怒り出す。実は当時応対をしたのは、交番勤務時代の羽生で…。</t>
  </si>
  <si>
    <t>番組名&lt;木曜劇場&gt;刑事ゆがみ【弓神因縁の事件再び!?ゲストは板谷由夏ら】　#05</t>
  </si>
  <si>
    <t>ここだけの情報満載です。以下、是非ご覧ください!  【番組公式ホームページ】  http://www.fujitv.co.jp/yugami/　    【番組公式ツイッター】  https://twitter.com/keiji_yugami　    【番組公式インスタグラム】  https://www.instagram.com/keiji_yugami/　  公式LINEもやっています!弓神(浅野忠信)と羽生(神木隆之介)は、花道署からの要請で誘拐事件の捜査に協力する。誘拐されたのは、前花道市長を父に持つ宇津巻京子(板谷由夏)と婿で市会議員の誠治(丸山智己)のひとり娘・真利奈(後藤由依良)。弓神に協力要請があったのは、誘拐現場にカタツムリのマークが残されていたからだった。7年前、花道署管内で起きた異質な殺人事件に関係する。事件が異質だったのは、事件内容が小説に酷似していたためで、小説「ロイコ」の名前を取って、ロイコ事件と呼ばれた。ロイコとは「ロイコクロリディウム」の略で、カタツムリに寄生し、脳まで支配する寄生虫のこと。「ロイコ」は、主人公が殺人鬼に寄生されて心を操られ、殺人を犯していくという物語だった。そして、現場にはカタツムリのマークが残されていた。「ロイコ」はベストセラーになったが、実は犯人は作者の横島不二実だった。横島は逮捕前に焼身自殺したが、彼を追い詰めたのが弓神だった。  弓神は、ヒズミ(山本美月)を麻薬の密売人だと偽り、羽生にマークさせると単身で宇津巻邸へ。そこで花道署の刑事・久松(木下ほうか)と合流し「ロイコ」の発禁運動で先頭に立ったのが、前市長の宇津巻喜平だと知る。同じころ、テレビを見ていたヒズミは、誘拐事件の報道でカタツムリの絵を見た途端に動揺し、店を飛び出す。そんな中、誘拐犯から、京子と誠治に身代金を持って指定の場所に来るよう連絡が入り…。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</si>
  <si>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弓神(浅野忠信)と羽生(神木隆之介)は、花道署からの要請で誘拐事件の捜査に協力する。誘拐されたのは、前花道市長を父に持つ宇津巻京子(板谷由夏)と婿で市会議員の誠治(丸山智己)のひとり娘・真利奈(後藤由依良)。弓神に協力要請があったのは、誘拐現場にカタツムリのマークが残されていたからだった。7年前、花道署管内で起きた異質な殺人事件に関係する。事件が異質だったのは、事件内容が小説に酷似していたためで、小説「ロイコ」の名前を取って、ロイコ事件と呼ばれた。ロイコとは「ロイコクロリディウム」の略で、カタツムリに寄生し、脳まで支配する寄生虫のこと。「ロイコ」は、主人公が殺人鬼に寄生されて心を操られ、殺人を犯していくという物語だった。そして、現場にはカタツムリのマークが残されていた。「ロイコ」はベストセラーになったが、実は犯人は作者の横島不二実だった。横島は逮捕前に焼身自殺したが、彼を追い詰めたのが弓神だった。  弓神は、ヒズミ(山本美月)を麻薬の密売人だと偽り、羽生にマークさせると単身で宇津巻邸へ。そこで花道署の刑事・久松(木下ほうか)と合流し「ロイコ」の発禁運動で先頭に立ったのが、前市長の宇津巻喜平だと知る。同じころ、テレビを見ていたヒズミは、誘拐事件の報道でカタツムリの絵を見た途端に動揺し、店を飛び出す。そんな中、誘拐犯から、京子と誠治に身代金を持って指定の場所に来るよう連絡が入り…。</t>
  </si>
  <si>
    <t>番組名&lt;木曜劇場&gt;刑事ゆがみ【新田真剣佑が強烈実業家役!彼を刺したのは?】　#06</t>
  </si>
  <si>
    <t>ここだけの情報満載です。以下、是非ご覧ください!  【番組公式ホームページ】  http://www.fujitv.co.jp/yugami/　    【番組公式ツイッター】  https://twitter.com/keiji_yugami　    【番組公式インスタグラム】  https://www.instagram.com/keiji_yugami/　  公式LINEもやっています!弓神(浅野忠信)や羽生(神木隆之介)らは、総資産300億円を誇る青年実業家・貝取勝平(新田真剣佑)を狙った傷害事件を捜査する。事件は、貝取が来週オープンさせる予定だったプラネタリウムで起きた。貝取をプラネタリウムまで送り届けた運転手が、指示された通り深夜0時に迎えに行くと、彼が血を流して倒れていたという。貝取は、正面から刃物で刺されていた。また貝取は、サプライズ企画の準備でプラネタリムを訪れるとSNSに投稿していた。弓神と羽生は、意識を取り戻した貝取に会いに行く。だが貝取は、イヤホンで音楽を聴いていて振り向いたらいきなり刺されたため、犯人の顔は見ていないという。  強引な企業買収を繰り返す貝取は、多くの人間から恨みを買っていた。そのひとりが、望遠鏡メーカー「スタームーン」の創業者・星月亘(辻萬長)だ。事件現場のプラネタリウムもこの会社が携わっていたが、貝取が出資話を白紙に戻したせいで倒産し、星月の息子・晃介は借金苦で自殺していた。弓神たちが星月から話を聞くと、事件発生時刻は酒を飲んで寝ていたという。孫娘の光希(新井美羽)の証言も同じだった。その際羽生は、モンスターを集めて遊ぶゲームアプリ「モンコレ」がきっかけで光希と仲良くなる。そんな中、弓神たちは、貝取が「モンコレ」人気で急成長した「テンドーカンパニー」の買収も目論んでいたと知り、社長の天堂英里(MEGUMI)に会いに行くが…。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</si>
  <si>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弓神(浅野忠信)や羽生(神木隆之介)らは、総資産300億円を誇る青年実業家・貝取勝平(新田真剣佑)を狙った傷害事件を捜査する。事件は、貝取が来週オープンさせる予定だったプラネタリウムで起きた。貝取をプラネタリウムまで送り届けた運転手が、指示された通り深夜0時に迎えに行くと、彼が血を流して倒れていたという。貝取は、正面から刃物で刺されていた。また貝取は、サプライズ企画の準備でプラネタリムを訪れるとSNSに投稿していた。弓神と羽生は、意識を取り戻した貝取に会いに行く。だが貝取は、イヤホンで音楽を聴いていて振り向いたらいきなり刺されたため、犯人の顔は見ていないという。  強引な企業買収を繰り返す貝取は、多くの人間から恨みを買っていた。そのひとりが、望遠鏡メーカー「スタームーン」の創業者・星月亘(辻萬長)だ。事件現場のプラネタリウムもこの会社が携わっていたが、貝取が出資話を白紙に戻したせいで倒産し、星月の息子・晃介は借金苦で自殺していた。弓神たちが星月から話を聞くと、事件発生時刻は酒を飲んで寝ていたという。孫娘の光希(新井美羽)の証言も同じだった。その際羽生は、モンスターを集めて遊ぶゲームアプリ「モンコレ」がきっかけで光希と仲良くなる。そんな中、弓神たちは、貝取が「モンコレ」人気で急成長した「テンドーカンパニー」の買収も目論んでいたと知り、社長の天堂英里(MEGUMI)に会いに行くが…。</t>
  </si>
  <si>
    <t>番組名&lt;木曜劇場&gt;刑事ゆがみ【友の死、女係長の涙…りょう、早見あかり出演】　#07</t>
  </si>
  <si>
    <t>弓神(浅野忠信)や羽生(神木隆之介)らは、菅能(稲森いずみ)の親友・近江絵里子(りょう)が服毒死した事件を捜査する。前夜、大学時代の同窓会に出席した菅能は、そこで久しぶりに絵里子と再会していた。現在の彼女は一流デザイン会社の管理職で、来年にも10歳年下のイケメン実業家と結婚する予定だという。SNSにアップされた幸せそうな写真を見せられた菅能は「裏切り者。若い男になびきやがって」と言いながらも、彼女を祝福したばかりだった。  そんな絵里子が自宅マンションで死亡したのは菅能と別れた直後のことで、発見者は警察官だった。実は絵里子は、1カ月ほど前に300万円をひったくられており、その件で確認に来たのだという。死因は青酸カリによる服毒死と思われた。絵里子が自殺するはずはないと考えた菅能は、弓神たちに交友関係を徹底的に洗うよう指示した。すると、絵里子は左遷されたことがきっかけで、3カ月も前に会社を辞めていたことが判明。やがて、最近絵里子と親密だった三枝優里(早見あかり)に辿り着く。すると、絵里子には誰にも言えなかった秘密があることが発覚し…。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</si>
  <si>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弓神(浅野忠信)や羽生(神木隆之介)らは、菅能(稲森いずみ)の親友・近江絵里子(りょう)が服毒死した事件を捜査する。前夜、大学時代の同窓会に出席した菅能は、そこで久しぶりに絵里子と再会していた。現在の彼女は一流デザイン会社の管理職で、来年にも10歳年下のイケメン実業家と結婚する予定だという。SNSにアップされた幸せそうな写真を見せられた菅能は「裏切り者。若い男になびきやがって」と言いながらも、彼女を祝福したばかりだった。  そんな絵里子が自宅マンションで死亡したのは菅能と別れた直後のことで、発見者は警察官だった。実は絵里子は、1カ月ほど前に300万円をひったくられており、その件で確認に来たのだという。死因は青酸カリによる服毒死と思われた。絵里子が自殺するはずはないと考えた菅能は、弓神たちに交友関係を徹底的に洗うよう指示した。すると、絵里子は左遷されたことがきっかけで、3カ月も前に会社を辞めていたことが判明。やがて、最近絵里子と親密だった三枝優里(早見あかり)に辿り着く。すると、絵里子には誰にも言えなかった秘密があることが発覚し…。</t>
  </si>
  <si>
    <t>番組名&lt;木曜劇場&gt;刑事ゆがみ【シングルマザー元窃盗犯が転落死…真相は!?】　#08</t>
  </si>
  <si>
    <t>好きだった競走馬の引退を知って落ち込む弓神(浅野忠信)は、憂さ晴らしに羽生(神木隆之介)を連れてキャバクラに行く。馬の話ばかりして呆れられる弓神とは対照的に、キャバクラ嬢のキララ(久松郁実)たちからおだてられ、調子に乗って酒を飲む羽生。そこに猿渡愛実(市川由衣)がやってくる。弓神は、かつて愛実を窃盗容疑で逮捕したことがあった。愛実は、すっかり犯罪からは足を洗い、児童養護施設にいる一人息子の実(吉沢太陽)と一緒に暮らすことを夢見て、キャバクラ嬢をしながら昼の仕事を探しているという。  それから数日後、愛実が高級マンションの敷地内で死体となって発見される。その手には180万円もの現金が握られていた。愛実は、このマンションで1人暮らしをしている元銀行員の資産家・沼田徹(小林隆)の部屋から現金を盗み、逃げようとした際にベランダから転落した可能性が高かった。ただ、現金が戻り、沼田も被害届は出さないと言っているため、今回の1件は事故扱いになるという。しかし弓神は、愛実が誰にも気づかれずに少額を盗むことから“透明人間"という異名を持っていたことや、彼女が弓神に窃盗に手を染めないと誓った様子から、彼女の死に不審を抱く。そんな中うきよ署強行犯係は、県警本部の須崎警視が指揮を執る高齢者を狙った詐欺事件の捜査に協力することになった。が、おとり捜査の最中、現金の受け子として現場に現れたのは…。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</si>
  <si>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好きだった競走馬の引退を知って落ち込む弓神(浅野忠信)は、憂さ晴らしに羽生(神木隆之介)を連れてキャバクラに行く。馬の話ばかりして呆れられる弓神とは対照的に、キャバクラ嬢のキララ(久松郁実)たちからおだてられ、調子に乗って酒を飲む羽生。そこに猿渡愛実(市川由衣)がやってくる。弓神は、かつて愛実を窃盗容疑で逮捕したことがあった。愛実は、すっかり犯罪からは足を洗い、児童養護施設にいる一人息子の実(吉沢太陽)と一緒に暮らすことを夢見て、キャバクラ嬢をしながら昼の仕事を探しているという。  それから数日後、愛実が高級マンションの敷地内で死体となって発見される。その手には180万円もの現金が握られていた。愛実は、このマンションで1人暮らしをしている元銀行員の資産家・沼田徹(小林隆)の部屋から現金を盗み、逃げようとした際にベランダから転落した可能性が高かった。ただ、現金が戻り、沼田も被害届は出さないと言っているため、今回の1件は事故扱いになるという。しかし弓神は、愛実が誰にも気づかれずに少額を盗むことから“透明人間"という異名を持っていたことや、彼女が弓神に窃盗に手を染めないと誓った様子から、彼女の死に不審を抱く。そんな中うきよ署強行犯係は、県警本部の須崎警視が指揮を執る高齢者を狙った詐欺事件の捜査に協力することになった。が、おとり捜査の最中、現金の受け子として現場に現れたのは…。</t>
  </si>
  <si>
    <t>番組名&lt;木曜劇場&gt;刑事ゆがみ【遂に最終章!蘇るあの事件…二階堂ふみ出演!】　#09</t>
  </si>
  <si>
    <t>ここだけの情報満載です。以下、是非ご覧ください!  【番組公式ホームページ】  http://www.fujitv.co.jp/yugami/　    【番組公式ツイッター】  https://twitter.com/keiji_yugami　    【番組公式インスタグラム】  https://www.instagram.com/keiji_yugami/　  公式LINEもやっています!資産家の元医師が自宅で変死体となって発見され、弓神(浅野忠信)や羽生(神木隆之介)らは現場へと急行する。被害者の薮田恒男(渡辺哲)は、熱湯が張られた風呂の中で、体に無数の傷やあざをつけられるという異様な方法で殺されていた。屋敷内の金庫の中身や高価な美術品は盗まれておらず、薮田の上着から「積年の恨み、ここに晴らす」と書かれたノートの切れ端が見つかっていたことからも、怨恨の線で捜査は進む。薮田家に通う家政婦で、死体の第一発見者でもある石崎春菜(二階堂ふみ)によれば、薮田は随分前に妻の波江(仁科亜季子)とも別れ、息子もすでに他界しているという。  そんな中、菅能(稲森いずみ)は「今回と似た事件を捜査した気がする」と言い出す。ほどなくそれは、横島不二実の未完小説『聖なる夜空にサンタが舞う』と酷似していたからだと気づく。横島は小説そっくりの殺人事件を自作自演した『ロイコ事件』の犯人であり、焼身自殺をとげた人物である。一方、『聖なる夜空～』は、度重なる親の虐待に苦しんだ息子が、失踪の後に復讐する物語で、劇中で父親は風呂場で死んでいた。薮田の息子・晴男(鹿間康秀)も、医学部受験に失敗したことを厳しく責められて家出をしており、戸籍上は認定死亡となっていた。息子の父に対する復讐なのか…だが、この一致に興奮気味の菅能や羽生とは対照的に、何故か弓神はやる気を見せず…。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</si>
  <si>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資産家の元医師が自宅で変死体となって発見され、弓神(浅野忠信)や羽生(神木隆之介)らは現場へと急行する。被害者の薮田恒男(渡辺哲)は、熱湯が張られた風呂の中で、体に無数の傷やあざをつけられるという異様な方法で殺されていた。屋敷内の金庫の中身や高価な美術品は盗まれておらず、薮田の上着から「積年の恨み、ここに晴らす」と書かれたノートの切れ端が見つかっていたことからも、怨恨の線で捜査は進む。薮田家に通う家政婦で、死体の第一発見者でもある石崎春菜(二階堂ふみ)によれば、薮田は随分前に妻の波江(仁科亜季子)とも別れ、息子もすでに他界しているという。  そんな中、菅能(稲森いずみ)は「今回と似た事件を捜査した気がする」と言い出す。ほどなくそれは、横島不二実の未完小説『聖なる夜空にサンタが舞う』と酷似していたからだと気づく。横島は小説そっくりの殺人事件を自作自演した『ロイコ事件』の犯人であり、焼身自殺をとげた人物である。一方、『聖なる夜空～』は、度重なる親の虐待に苦しんだ息子が、失踪の後に復讐する物語で、劇中で父親は風呂場で死んでいた。薮田の息子・晴男(鹿間康秀)も、医学部受験に失敗したことを厳しく責められて家出をしており、戸籍上は認定死亡となっていた。息子の父に対する復讐なのか…だが、この一致に興奮気味の菅能や羽生とは対照的に、何故か弓神はやる気を見せず…。</t>
  </si>
  <si>
    <t>番組名&lt;木曜劇場&gt;刑事ゆがみ【最終回!弓神の封印された闇が今解かれる…】　#10</t>
  </si>
  <si>
    <t>弓神(浅野忠信)は、ヒズミ(山本美月)が意識不明のまま収容された病院に現れたのを最後に、羽生(神木隆之介)たちの前から姿を消す。うきよ署では、ドライブレコーダーの映像などから、資産家の元医師・薮田恒男(渡辺哲)を殺害したのは、死んでいるはずの作家・横島不二実(オダギリジョー)であると断定し、捜査を開始する。横島は、7年前に自らの小説『ロイコ』になぞられた殺人事件を自演し、河合武(渋川清彦)・伊代(酒井美紀)夫妻を殺害していた。そのときに生き残ったひとり娘がヒズミだった。横島は、逮捕される直前に焼身自殺したはずだったが、その死は、弓神によって偽装された可能性が高かった。  それから数日後、ヒズミが突然病院からいなくなる。筆談用のボードには「もう元気になりました」という文字と、ロイコ事件で殺害現場に残されていたものと同じカタツムリのマークが描かれていた。同じころ、漫画喫茶にいた弓神は『ロイコの部屋』サイトで「空飛ぶサンタを見たい人募集。豪傑で強靭な男性優遇」という募集告知を見つける。横島が書いた小説『聖なる夜空にサンタが舞う』の中にも「豪傑で強靭な男たちがやってきて、その刑事を襲った」という描写があった。弓神の行方を追っていた羽生は、漫画喫茶でようやく彼の身柄を拘束する。そこで弓神は、横島がまだ犯行を続ける気でいることを羽生に告げた。「お前か俺のどっちかが狙われているんだよ」と。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</si>
  <si>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弓神(浅野忠信)は、ヒズミ(山本美月)が意識不明のまま収容された病院に現れたのを最後に、羽生(神木隆之介)たちの前から姿を消す。うきよ署では、ドライブレコーダーの映像などから、資産家の元医師・薮田恒男(渡辺哲)を殺害したのは、死んでいるはずの作家・横島不二実(オダギリジョー)であると断定し、捜査を開始する。横島は、7年前に自らの小説『ロイコ』になぞられた殺人事件を自演し、河合武(渋川清彦)・伊代(酒井美紀)夫妻を殺害していた。そのときに生き残ったひとり娘がヒズミだった。横島は、逮捕される直前に焼身自殺したはずだったが、その死は、弓神によって偽装された可能性が高かった。  それから数日後、ヒズミが突然病院からいなくなる。筆談用のボードには「もう元気になりました」という文字と、ロイコ事件で殺害現場に残されていたものと同じカタツムリのマークが描かれていた。同じころ、漫画喫茶にいた弓神は『ロイコの部屋』サイトで「空飛ぶサンタを見たい人募集。豪傑で強靭な男性優遇」という募集告知を見つける。横島が書いた小説『聖なる夜空にサンタが舞う』の中にも「豪傑で強靭な男たちがやってきて、その刑事を襲った」という描写があった。弓神の行方を追っていた羽生は、漫画喫茶でようやく彼の身柄を拘束する。そこで弓神は、横島がまだ犯行を続ける気でいることを羽生に告げた。「お前か俺のどっちかが狙われているんだよ」と。</t>
  </si>
  <si>
    <t>1707_CX_火21</t>
  </si>
  <si>
    <t>僕たちがやりました</t>
  </si>
  <si>
    <t>番組名僕たちがやりました【窪田正孝主演!青春逃亡サスペンス今夜開幕】　#01</t>
  </si>
  <si>
    <t>凡下(ぼけ)高校2年生の増渕トビオ(窪田正孝)は、大それた夢は持たず“そこそこで生きられればいい"と考えるイマドキの高校生。新しい彼女・新里今宵(川栄李奈)ができて浮かれている同級生の伊佐美翔(間宮祥太朗)や、“マル"こと丸山友貴(葉山奨之)、“パイセン"こと凡下高OBの小坂秀郎(今野浩喜)と、ボウリングやカラオケに興じる、そこそこ楽しい日々を送っていた。  　そんななか、ヤンキーの巣窟として知られる矢波(やば)高の市橋哲人(新田真剣佑)が仲間に指示し、凡下高の生徒を暴行する事件が頻発。警察も捜査に乗り出し、刑事の飯室成男(三浦翔平)らが動き出す深刻な事態に。トビオたちの担任教師・立花菜摘(水川あさみ)は気をもんでいた。  　ある日、トビオとマルは、矢波高のヤンキーたちが暴力を振るう現場に遭遇。マルが小声で「矢波高全員死ねー!」と毒づいたのを市橋に聞かれてしまって怒りを買い、目をつけられてしまう。  　一方トビオは、幼なじみの蒼川蓮子(永野芽郁)が、市橋と一緒に朝帰りする姿を目撃し、2人の仲が気になり…。  　そしてある日、事件が起こった。マルが市橋のグループに捕まり、ボコボコにされてしまったのだ。血まみれの痛々しいマルにうろたえるトビオ、伊佐美、パイセンの3人。これをあざ笑う市橋たちに怒りがこみ上げたトビオは復讐を誓う。翌日、トビオたちはイタズラ半分で矢波高への復讐計画を思いつき…。窪田正孝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</si>
  <si>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凡下(ぼけ)高校2年生の増渕トビオ(窪田正孝)は、大それた夢は持たず“そこそこで生きられればいい"と考えるイマドキの高校生。新しい彼女・新里今宵(川栄李奈)ができて浮かれている同級生の伊佐美翔(間宮祥太朗)や、“マル"こと丸山友貴(葉山奨之)、“パイセン"こと凡下高OBの小坂秀郎(今野浩喜)と、ボウリングやカラオケに興じる、そこそこ楽しい日々を送っていた。  　そんななか、ヤンキーの巣窟として知られる矢波(やば)高の市橋哲人(新田真剣佑)が仲間に指示し、凡下高の生徒を暴行する事件が頻発。警察も捜査に乗り出し、刑事の飯室成男(三浦翔平)らが動き出す深刻な事態に。トビオたちの担任教師・立花菜摘(水川あさみ)は気をもんでいた。  　ある日、トビオとマルは、矢波高のヤンキーたちが暴力を振るう現場に遭遇。マルが小声で「矢波高全員死ねー!」と毒づいたのを市橋に聞かれてしまって怒りを買い、目をつけられてしまう。  　一方トビオは、幼なじみの蒼川蓮子(永野芽郁)が、市橋と一緒に朝帰りする姿を目撃し、2人の仲が気になり…。  　そしてある日、事件が起こった。マルが市橋のグループに捕まり、ボコボコにされてしまったのだ。血まみれの痛々しいマルにうろたえるトビオ、伊佐美、パイセンの3人。これをあざ笑う市橋たちに怒りがこみ上げたトビオは復讐を誓う。翌日、トビオたちはイタズラ半分で矢波高への復讐計画を思いつき…。</t>
  </si>
  <si>
    <t>番組名僕たちがやりました【謎の大爆発…真相は!?いよいよ逃亡開始!】　#02</t>
  </si>
  <si>
    <t>トビオ(窪田正孝)伊佐美(間宮祥太朗)マル(葉山奨之)パイセン(今野浩喜)がイタズラ半分で矢波(やば)高に仕掛けた爆弾が思わぬ大爆発を起こし、10名の死者が出る惨事に。  　不良たちのリーダー・市橋(新田真剣佑)も死亡したと、蓮子(永野芽郁)から聞かされたトビオは動揺。一方のパイセンは、仕掛けた爆弾に大爆発を起こす威力はないため、別の何者かの仕業に違いないと言い出す。  　警察はテロの可能性も含めた爆破事件として捜査を開始。そんななか、矢波高の教師・熊野直矢(森田甘路)が犯人を見たと名乗り出て…。  　翌日、矢波高生とマルのトラブルを知った刑事の飯室(三浦翔平)らが凡下(ぼけ)高に現れ、担任の菜摘(水川あさみ)に事情を聞く。菜摘は凡下高生の関与を否定するが、事件の前夜に矢波高から出てくるトビオらを見ていただけに、疑念が拭えない。  　一方、捜査の手が自分たちに及ぶことに不安を募らせるトビオは、パイセンに、自分たちが仕掛けた爆弾と、大爆発が無関係のはずがない、と説明。ようやく深刻な状況を悟ったパイセンは、トビオ、伊佐美、マルそれぞれに300万円を渡し、事件について一切口をつぐむよう言い含める。  　真相を知るのは4人だけで、何も無かったことにすればこれまでの日常を取り戻せるー。パイセンの提案をのみ「何も無かったぁ!!!」と盛り上がるトビオたち。その時、とんでもないニュースが舞い込んで…?窪田正孝　  永野芽郁　  新田真剣佑　    間宮祥太朗　  葉山奨之　  今野浩喜　  川栄李奈　  岡崎紗絵　    板尾創路　    榊原郁恵　  水川あさみ　  三浦翔平　  古田新太　    ほか【原作】  『僕たちがやりました』(講談社「ヤングマガジン」刊)　  〈原作〉金城宗之　  〈漫画〉荒木光　    【脚本】  徳永友一　    【演出】  新城毅彦　  瑠東東一郎　    他　    【プロデュース】  米田孝　  平部隆明　  白石裕菜「僕やり」情報満載の公式ホームページはこちら!　  https://www.ktv.jp/bokuyari/index.html</t>
  </si>
  <si>
    <t>トビオ(窪田正孝)伊佐美(間宮祥太朗)マル(葉山奨之)パイセン(今野浩喜)がイタズラ半分で矢波(やば)高に仕掛けた爆弾が思わぬ大爆発を起こし、10名の死者が出る惨事に。  　不良たちのリーダー・市橋(新田真剣佑)も死亡したと、蓮子(永野芽郁)から聞かされたトビオは動揺。一方のパイセンは、仕掛けた爆弾に大爆発を起こす威力はないため、別の何者かの仕業に違いないと言い出す。  　警察はテロの可能性も含めた爆破事件として捜査を開始。そんななか、矢波高の教師・熊野直矢(森田甘路)が犯人を見たと名乗り出て…。  　翌日、矢波高生とマルのトラブルを知った刑事の飯室(三浦翔平)らが凡下(ぼけ)高に現れ、担任の菜摘(水川あさみ)に事情を聞く。菜摘は凡下高生の関与を否定するが、事件の前夜に矢波高から出てくるトビオらを見ていただけに、疑念が拭えない。  　一方、捜査の手が自分たちに及ぶことに不安を募らせるトビオは、パイセンに、自分たちが仕掛けた爆弾と、大爆発が無関係のはずがない、と説明。ようやく深刻な状況を悟ったパイセンは、トビオ、伊佐美、マルそれぞれに300万円を渡し、事件について一切口をつぐむよう言い含める。  　真相を知るのは4人だけで、何も無かったことにすればこれまでの日常を取り戻せるー。パイセンの提案をのみ「何も無かったぁ!!!」と盛り上がるトビオたち。その時、とんでもないニュースが舞い込んで…?</t>
  </si>
  <si>
    <t>番組名僕たちがやりました【裏切り!追跡!全員逮捕のピンチ…真犯人は!?】　#03</t>
  </si>
  <si>
    <t>罪の発覚を恐れてパイセン(今野浩喜)とマル(葉山奨之)と共に海外逃亡を図ろうとするも、目の前でパイセンが警察に逮捕され、空港から逃げ出したトビオ(窪田正孝)。だが、自分も捕まるのではないかとおびえ、学校にも行けず家にも帰れない。  　まもなく、空港に現れなかったマルから電話が入る。最初から2人との約束をすっぽかすつもりだったと、許しを請うマルを呼び出したトビオは、一緒に逃げようと提案。さらに、どうせ捕まるのなら、“死ぬまでにやりたいこと"を実現しようと持ちかける。  　同じ頃、パイセンは警察で飯室(三浦翔平)の取り調べを受けていた。飯室は矢波高の教師・熊野(森田甘路)の証言などから、共犯者がいると確信。パイセンを厳しく問い詰める。  　病院では、爆発で重傷を負った市橋(新田真剣佑)がリハビリに励んでいた。犯人とにらむトビオらへの復讐を誓う市橋は「早く見つけてこい」と仲間に命じて…。一方「やりたいこと」を実現しようと、夜の歓楽街に繰り出すトビオとマル。2人は、初めての世界に大興奮するのだが、翌朝、トビオをがく然とさせるまさかの事態が起こる。  　その夜、トビオはある目的で凡下高に忍び込むが、担任の菜摘(水川あさみ)に見つかってしまう。蓮子(永野芽郁)が心配している、と聞かされて動揺するトビオ。そんななか、菜摘が「爆破事件と関係しているのかも…」と、事件前夜の熊野の不審な行動を話し始める。窪田正孝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</si>
  <si>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罪の発覚を恐れてパイセン(今野浩喜)とマル(葉山奨之)と共に海外逃亡を図ろうとするも、目の前でパイセンが警察に逮捕され、空港から逃げ出したトビオ(窪田正孝)。だが、自分も捕まるのではないかとおびえ、学校にも行けず家にも帰れない。  　まもなく、空港に現れなかったマルから電話が入る。最初から2人との約束をすっぽかすつもりだったと、許しを請うマルを呼び出したトビオは、一緒に逃げようと提案。さらに、どうせ捕まるのなら、“死ぬまでにやりたいこと"を実現しようと持ちかける。  　同じ頃、パイセンは警察で飯室(三浦翔平)の取り調べを受けていた。飯室は矢波高の教師・熊野(森田甘路)の証言などから、共犯者がいると確信。パイセンを厳しく問い詰める。  　病院では、爆発で重傷を負った市橋(新田真剣佑)がリハビリに励んでいた。犯人とにらむトビオらへの復讐を誓う市橋は「早く見つけてこい」と仲間に命じて…。一方「やりたいこと」を実現しようと、夜の歓楽街に繰り出すトビオとマル。2人は、初めての世界に大興奮するのだが、翌朝、トビオをがく然とさせるまさかの事態が起こる。  　その夜、トビオはある目的で凡下高に忍び込むが、担任の菜摘(水川あさみ)に見つかってしまう。蓮子(永野芽郁)が心配している、と聞かされて動揺するトビオ。そんななか、菜摘が「爆破事件と関係しているのかも…」と、事件前夜の熊野の不審な行動を話し始める。</t>
  </si>
  <si>
    <t>番組名僕たちがやりました【爆破事件の真相は…怒涛の新展開でピンチ脱出!?】　#04</t>
  </si>
  <si>
    <t>今宵(川栄李奈)のアパートに伊佐美(間宮祥太朗)と身を隠すも、市橋(新田真剣佑)と仲間たちに捕まってしまったトビオ(窪田正孝)。  爆破事件で負った大ケガがもとで体の自由を奪われた市橋は、その恨みを晴らすため、仲間にトビオを襲わせようとするが、トビオは隙を突いて逃げ出す。    そんな中、蓮子(永野芽郁)からの『今から会えない?』というメッセージに気付くトビオ。  菜摘(水川あさみ)の話をヒントにつかんだ、「矢波高の教師・熊野(森田甘路)こそが爆破の真犯人だ」という疑惑を蓮子に全て話そうと、指定された待ち合わせ場所に向かうが、そこには刑事の飯室(三浦翔平)と話す蓮子の姿が…。    同じ頃、トビオの金を奪って姿を消したマル(葉山奨之)は熱海に逃れていた。  大金を手にしたのをいいことに夜の街で豪遊するマルは、店で知り合った女性に入れあげ、湯水のように金を使っていた…。    また事件の直後から行方をくらましているトビオ、伊佐美、マルを刑事の飯室は共犯者だと確信、パイセン(今野浩喜)への追及を強めていた。  そんななか、弁護士の西塚智広(板尾創路)がパイセンのもとに現れて…。    一方、はぐれていた伊佐美と再会したトビオは、熊野への疑惑を話す。  自分たちの無実を証明するためには、熊野の犯行の証拠をつかむしかない!と息巻く2人は、留守を狙って熊野の家に侵入。  そこで、とんでもないものを見つけて…!?窪田正孝　  永野芽郁　  新田真剣佑　    間宮祥太朗　  葉山奨之　  今野浩喜　  川栄李奈　  岡崎紗絵　    板尾創路　    榊原郁恵　  水川あさみ　  三浦翔平　  古田新太　    ほか【原作】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</si>
  <si>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今宵(川栄李奈)のアパートに伊佐美(間宮祥太朗)と身を隠すも、市橋(新田真剣佑)と仲間たちに捕まってしまったトビオ(窪田正孝)。  爆破事件で負った大ケガがもとで体の自由を奪われた市橋は、その恨みを晴らすため、仲間にトビオを襲わせようとするが、トビオは隙を突いて逃げ出す。    そんな中、蓮子(永野芽郁)からの『今から会えない?』というメッセージに気付くトビオ。  菜摘(水川あさみ)の話をヒントにつかんだ、「矢波高の教師・熊野(森田甘路)こそが爆破の真犯人だ」という疑惑を蓮子に全て話そうと、指定された待ち合わせ場所に向かうが、そこには刑事の飯室(三浦翔平)と話す蓮子の姿が…。    同じ頃、トビオの金を奪って姿を消したマル(葉山奨之)は熱海に逃れていた。  大金を手にしたのをいいことに夜の街で豪遊するマルは、店で知り合った女性に入れあげ、湯水のように金を使っていた…。    また事件の直後から行方をくらましているトビオ、伊佐美、マルを刑事の飯室は共犯者だと確信、パイセン(今野浩喜)への追及を強めていた。  そんななか、弁護士の西塚智広(板尾創路)がパイセンのもとに現れて…。    一方、はぐれていた伊佐美と再会したトビオは、熊野への疑惑を話す。  自分たちの無実を証明するためには、熊野の犯行の証拠をつかむしかない!と息巻く2人は、留守を狙って熊野の家に侵入。  そこで、とんでもないものを見つけて…!?</t>
  </si>
  <si>
    <t>番組名僕たちがやりました【全てを覆す謎の男の新証言!すれ違いの恋の行方は】　#05</t>
  </si>
  <si>
    <t>罪の意識に苛まれながら逃亡を続けるトビオ(窪田正孝)は、ひょんなことから出会ったホームレスの男・ヤング(桐山漣)に関係を迫られ、絶体絶命のピンチに!  だが、このことをきっかけに蓮子(永野芽郁)への思いに改めて気づく。  蓮子もまたトビオへの思いを募らせ、市橋(新田真剣佑)とともに毎日トビオの行方を追っていたが…。  そんななか、あることにショックを受けてぼう然と街をさまよっていたトビオは、偶然、今宵(川栄李奈)に出くわす。  そのまま今宵のアパートに転がり込んだトビオは、かいがいしく世話を焼く今宵のやさしさに甘え、2人きりの生活に溺れていく。  警察では、突然出頭してきた真中幹男(山本浩司)に署内が騒然となっていた。  パイセン(今野浩喜)にそっくりのその男は、爆破事件の真犯人だと名乗り、犯行を自供。  飯室(三浦翔平)は、背後で糸を引くある人物の存在を疑い、「誰に指示された?」と問いただすが、男は「自分がやった」と繰り返すばかり。  一方、ようやく自力で車椅子を動かせるようになった市橋は久しぶりに登校するが、不良のリーダーとして恐れられていたかつての姿は見る影もなく、矢波高生たちの態度はひょう変。  仲間にまで裏切られ絶望する市橋は、蓮子の変わらない態度に励まされる。  そんな折、市橋に子分扱いされていた下級生の有原正樹(吉村界人)がリーダーの座を奪おうとたくらみ、市橋と蓮子に襲いかかって…。窪田正孝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</si>
  <si>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罪の意識に苛まれながら逃亡を続けるトビオ(窪田正孝)は、ひょんなことから出会ったホームレスの男・ヤング(桐山漣)に関係を迫られ、絶体絶命のピンチに!  だが、このことをきっかけに蓮子(永野芽郁)への思いに改めて気づく。  蓮子もまたトビオへの思いを募らせ、市橋(新田真剣佑)とともに毎日トビオの行方を追っていたが…。  そんななか、あることにショックを受けてぼう然と街をさまよっていたトビオは、偶然、今宵(川栄李奈)に出くわす。  そのまま今宵のアパートに転がり込んだトビオは、かいがいしく世話を焼く今宵のやさしさに甘え、2人きりの生活に溺れていく。  警察では、突然出頭してきた真中幹男(山本浩司)に署内が騒然となっていた。  パイセン(今野浩喜)にそっくりのその男は、爆破事件の真犯人だと名乗り、犯行を自供。  飯室(三浦翔平)は、背後で糸を引くある人物の存在を疑い、「誰に指示された?」と問いただすが、男は「自分がやった」と繰り返すばかり。  一方、ようやく自力で車椅子を動かせるようになった市橋は久しぶりに登校するが、不良のリーダーとして恐れられていたかつての姿は見る影もなく、矢波高生たちの態度はひょう変。  仲間にまで裏切られ絶望する市橋は、蓮子の変わらない態度に励まされる。  そんな折、市橋に子分扱いされていた下級生の有原正樹(吉村界人)がリーダーの座を奪おうとたくらみ、市橋と蓮子に襲いかかって…。</t>
  </si>
  <si>
    <t>番組名僕たちがやりました【ついに下される罰…事件の裏に潜む闇!絶望の一夜】　#06</t>
  </si>
  <si>
    <t>爆破事件の真犯人を名乗る真中幹男(山本浩司)が犯行を自供し、パイセン(今野浩喜)は釈放に。矢波高の大爆発は真中の仕業で、自分たちに責任はないと、パイセンから告げられたトビオ(窪田正孝)は、ようやく罪の意識から解放される。  　まもなく、伊佐美(間宮祥太朗)とマル(葉山奨之)も戻り、再会した4人。マルがトビオから奪った金を使い果たし、伊佐美の金まで横取りしようとしたと知ったトビオはあきれるが、事件の前の“そこそこ"に楽しい日常が戻った喜びが、マルへの怒りを忘れさせてしまう。  　同じ頃、菜摘(水川あさみ)が不審な動きを見せていた。弁護士の西塚(板尾創路)から「“協力"の礼に」と金を受け取り、なぜかパイセンの前に現れて…。  　一方、事件の結末に納得がいかない飯室(三浦翔平)は、闇社会のドン・輪島(古田新太)が事件に関わっているのではないかと疑い、輪島に会いに行く。  　ある日、トビオの元を訪ねてきた蓮子(永野芽郁)は、トビオへの容疑が晴れたことを喜ぶ。市橋(新田真剣佑)との仲を疑っていたトビオだが、誤解とわかり、2人はいいムードに。  　翌日、トビオたちはパイセンの自慢げな告白に驚く。なんと菜摘からデートに誘われたというのだ。1人では心細いのか、無線マイクと隠しカメラで、菜摘との会話をこっそりモニターするようトビオたちに頼むパイセン。しかし、菜摘には全く別の思惑が隠されていた…。窪田正孝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</si>
  <si>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爆破事件の真犯人を名乗る真中幹男(山本浩司)が犯行を自供し、パイセン(今野浩喜)は釈放に。矢波高の大爆発は真中の仕業で、自分たちに責任はないと、パイセンから告げられたトビオ(窪田正孝)は、ようやく罪の意識から解放される。  　まもなく、伊佐美(間宮祥太朗)とマル(葉山奨之)も戻り、再会した4人。マルがトビオから奪った金を使い果たし、伊佐美の金まで横取りしようとしたと知ったトビオはあきれるが、事件の前の“そこそこ"に楽しい日常が戻った喜びが、マルへの怒りを忘れさせてしまう。  　同じ頃、菜摘(水川あさみ)が不審な動きを見せていた。弁護士の西塚(板尾創路)から「“協力"の礼に」と金を受け取り、なぜかパイセンの前に現れて…。  　一方、事件の結末に納得がいかない飯室(三浦翔平)は、闇社会のドン・輪島(古田新太)が事件に関わっているのではないかと疑い、輪島に会いに行く。  　ある日、トビオの元を訪ねてきた蓮子(永野芽郁)は、トビオへの容疑が晴れたことを喜ぶ。市橋(新田真剣佑)との仲を疑っていたトビオだが、誤解とわかり、2人はいいムードに。  　翌日、トビオたちはパイセンの自慢げな告白に驚く。なんと菜摘からデートに誘われたというのだ。1人では心細いのか、無線マイクと隠しカメラで、菜摘との会話をこっそりモニターするようトビオたちに頼むパイセン。しかし、菜摘には全く別の思惑が隠されていた…。</t>
  </si>
  <si>
    <t>番組名僕たちがやりました【罪悪感が生む偽りの自分…恋の決着と女教師の過去】　#07</t>
  </si>
  <si>
    <t>爆破事件の真犯人は、やはりトビオ(窪田正孝)たちだったー。飯室(三浦翔平)に真相を突きつけられ、逃れられない罪の意識に苦しむトビオは、校舎の屋上から衝動的に飛び降りるが、奇跡的に命をとりとめる。  トビオが運ばれたのは、偶然にも市橋(新田真剣佑)が入院している病院だった。トビオは「死んだら、それで償おう。でももし生きたら、新しい俺を始めようー」と考え、事件後にどん底を味わった自分は「幸せになってトントン」と言い聞かせ、罪の意識から逃れるように、今までとは違う自分になることを決意。やけに明るく振る舞うトビオに、市橋は戸惑いを隠せない。  そんなある日、市橋から蓮子(永野芽郁)への思いを打ち明けられたトビオは、2人の恋を応援すると市橋の背中を押す。一方の蓮子は、ぷっつりと連絡が途絶えていたトビオに気をもんでいた。  同じ頃、伊佐美(間宮祥太朗)は飯室が言い放った「一生苦しめ」という言葉に罪悪感をあおられ、事件の被害者たちの家を訪ねては遺影に手を合わせる日々を送っていた。マル(葉山奨之)は事件のことなど忘れたかのように、クラスメートとのんきにカラオケに出かける日常を取り戻していた。パイセン(今野浩喜)は、飯室から「お前は父親に愛されていない」と告げられたことで、愛を知らない空虚な自分に絶望。父である輪島宗十郎(古田新太)に会って愛情を確かめようと、菜摘(水川あさみ)のもとを訪ねるが…。窪田正孝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</si>
  <si>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爆破事件の真犯人は、やはりトビオ(窪田正孝)たちだったー。飯室(三浦翔平)に真相を突きつけられ、逃れられない罪の意識に苦しむトビオは、校舎の屋上から衝動的に飛び降りるが、奇跡的に命をとりとめる。  トビオが運ばれたのは、偶然にも市橋(新田真剣佑)が入院している病院だった。トビオは「死んだら、それで償おう。でももし生きたら、新しい俺を始めようー」と考え、事件後にどん底を味わった自分は「幸せになってトントン」と言い聞かせ、罪の意識から逃れるように、今までとは違う自分になることを決意。やけに明るく振る舞うトビオに、市橋は戸惑いを隠せない。  そんなある日、市橋から蓮子(永野芽郁)への思いを打ち明けられたトビオは、2人の恋を応援すると市橋の背中を押す。一方の蓮子は、ぷっつりと連絡が途絶えていたトビオに気をもんでいた。  同じ頃、伊佐美(間宮祥太朗)は飯室が言い放った「一生苦しめ」という言葉に罪悪感をあおられ、事件の被害者たちの家を訪ねては遺影に手を合わせる日々を送っていた。マル(葉山奨之)は事件のことなど忘れたかのように、クラスメートとのんきにカラオケに出かける日常を取り戻していた。パイセン(今野浩喜)は、飯室から「お前は父親に愛されていない」と告げられたことで、愛を知らない空虚な自分に絶望。父である輪島宗十郎(古田新太)に会って愛情を確かめようと、菜摘(水川あさみ)のもとを訪ねるが…。</t>
  </si>
  <si>
    <t>番組名僕たちがやりました【本当の幸せって?恋と友情と罪…それぞれの答えは】　#08</t>
  </si>
  <si>
    <t>ついに蓮子(永野芽郁)とつき合うことになったトビオ(窪田正孝)。飯室(三浦翔平)の「一生苦しめ」という言葉を思い出しても以前のような苦しみには襲われなくなり、幸せの絶頂に浸るが、蓮子に思いを寄せる市橋(新田真剣佑)のことが気になる。蓮子との交際を打ち明けようと病院を訪ねるが、市橋の唯一の身内だった祖母が亡くなったと知り、言いそびれてしまう。  　一方、伊佐美(間宮祥太朗)は事件の被害者たちへの弔いを終え、意気揚々と今宵(川栄李奈)のアパートへ。ところが、伊佐美の子を妊娠したと告白する今宵から、突然別れを切り出されてしまう。マル(葉山奨之)は自分を襲った覆面の男の正体を察し、報復に息巻いていた。  　パイセン(今野浩喜)は飯室から教えられた情報をもとに、ようやく輪島(古田新太)の居所を突き止める。そこに向かうとパイセンの異母弟・玲夢(山田裕貴)が輪島の指示を受け、無防備な男を暴力で痛めつけていた。勇気を振り絞って輪島の前に飛び出し、息子だと名乗るものの…。  　同じ頃トビオは、市橋が足の完治は絶望的だと医者から宣告されたことを知る。全ての原因は自分にあると思い悩みながらも、市橋を支えたいと思い、仲を深めるトビオ。少しの希望を見出すが、蓮子との仲を打ち明けられず、複雑な思いを抱えていた。もんもんとするトビオに気づいた市橋は「言いたいことあんじゃねえのか?」と声をかけ…。窪田正孝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</si>
  <si>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ついに蓮子(永野芽郁)とつき合うことになったトビオ(窪田正孝)。飯室(三浦翔平)の「一生苦しめ」という言葉を思い出しても以前のような苦しみには襲われなくなり、幸せの絶頂に浸るが、蓮子に思いを寄せる市橋(新田真剣佑)のことが気になる。蓮子との交際を打ち明けようと病院を訪ねるが、市橋の唯一の身内だった祖母が亡くなったと知り、言いそびれてしまう。  　一方、伊佐美(間宮祥太朗)は事件の被害者たちへの弔いを終え、意気揚々と今宵(川栄李奈)のアパートへ。ところが、伊佐美の子を妊娠したと告白する今宵から、突然別れを切り出されてしまう。マル(葉山奨之)は自分を襲った覆面の男の正体を察し、報復に息巻いていた。  　パイセン(今野浩喜)は飯室から教えられた情報をもとに、ようやく輪島(古田新太)の居所を突き止める。そこに向かうとパイセンの異母弟・玲夢(山田裕貴)が輪島の指示を受け、無防備な男を暴力で痛めつけていた。勇気を振り絞って輪島の前に飛び出し、息子だと名乗るものの…。  　同じ頃トビオは、市橋が足の完治は絶望的だと医者から宣告されたことを知る。全ての原因は自分にあると思い悩みながらも、市橋を支えたいと思い、仲を深めるトビオ。少しの希望を見出すが、蓮子との仲を打ち明けられず、複雑な思いを抱えていた。もんもんとするトビオに気づいた市橋は「言いたいことあんじゃねえのか?」と声をかけ…。</t>
  </si>
  <si>
    <t>番組名僕たちがやりました【僕ら…世界の中心で自首を叫ぶ!決意と涙の別れ】　#09</t>
  </si>
  <si>
    <t>市橋(新田真剣佑)が自ら命を絶ち、がく然とするトビオ(窪田正孝)。飯室(三浦翔平)は、爆破事件で人生が一変し、生きることに不自由を覚えるようになった市橋が、自由を求めて自殺を選んだのではないかと指摘。結局、事件の真相を市橋に隠し通したままのトビオに「こんなこと言ってもわからないか。君は今“自由"だもんね」と追い打ちをかける。市橋への罪悪感があふれ出したトビオは「俺が殺した」と錯乱状態に。その姿に蓮子(永野芽郁)は、トビオがただならぬ秘密を抱えていることを察する。  　同じ頃、父・輪島(古田新太)に愛されていないことを思い知らされたパイセン(今野浩喜)は、輪島への復しゅうに失敗した菜摘(水川あさみ)に「後は俺に任せて」とある決意を告げる。一方、飯室の言葉が頭から離れないトビオは、本当の“自由"を手に入れるための道は自首しかないと考え、決意を固める。  　翌日、学校に集まった伊佐美(間宮祥太朗)、マル(葉山奨之)、パイセンも時を同じくして、それぞれの思いから自首する覚悟を決めていた。しかし警察に出頭しても、また輪島にもみ消されてしまうと考えた4人は、パイセンの全財産を注ぎ込み“世の中がひっくり返る最高の自首"をしようと計画。そこでトビオが思いついた作戦とは。  　決行の日を前に、蓮子をデートに誘うトビオ。すべてを打ち明けようとするも言い出せず、言葉少ないトビオに蓮子は胸騒ぎを覚えるが…。窪田正孝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</si>
  <si>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市橋(新田真剣佑)が自ら命を絶ち、がく然とするトビオ(窪田正孝)。飯室(三浦翔平)は、爆破事件で人生が一変し、生きることに不自由を覚えるようになった市橋が、自由を求めて自殺を選んだのではないかと指摘。結局、事件の真相を市橋に隠し通したままのトビオに「こんなこと言ってもわからないか。君は今“自由"だもんね」と追い打ちをかける。市橋への罪悪感があふれ出したトビオは「俺が殺した」と錯乱状態に。その姿に蓮子(永野芽郁)は、トビオがただならぬ秘密を抱えていることを察する。  　同じ頃、父・輪島(古田新太)に愛されていないことを思い知らされたパイセン(今野浩喜)は、輪島への復しゅうに失敗した菜摘(水川あさみ)に「後は俺に任せて」とある決意を告げる。一方、飯室の言葉が頭から離れないトビオは、本当の“自由"を手に入れるための道は自首しかないと考え、決意を固める。  　翌日、学校に集まった伊佐美(間宮祥太朗)、マル(葉山奨之)、パイセンも時を同じくして、それぞれの思いから自首する覚悟を決めていた。しかし警察に出頭しても、また輪島にもみ消されてしまうと考えた4人は、パイセンの全財産を注ぎ込み“世の中がひっくり返る最高の自首"をしようと計画。そこでトビオが思いついた作戦とは。  　決行の日を前に、蓮子をデートに誘うトビオ。すべてを打ち明けようとするも言い出せず、言葉少ないトビオに蓮子は胸騒ぎを覚えるが…。</t>
  </si>
  <si>
    <t>番組名僕たちがやりました【償いへの逆転劇!生きろ…罪背負う僕らの最後】　#10</t>
  </si>
  <si>
    <t>ライブ会場に乱入し、大勢の観客の前で「僕たちがやりました!」と罪を告白するド派手な自首をぶち上げた、トビオ(窪田正孝)、伊佐美(間宮祥太朗)、マル(葉山奨之)、パイセン(今野浩喜)。ところが、動物のマスクを被った謎のグループに襲われて気を失い、そのまま連れ去られてしまった。  　トビオらを拉致したのは、輪島(古田新太)の指示を受けた西塚(板尾創路)、玲夢(山田裕貴)たちだった。4人が前代未聞の自首を決行する一方、事件の真相を告白する動画にネットは騒然。この騒動に激怒した輪島から、パイセンを殺せと命じられたというのだ。  　「小坂秀郎はこれから殺される。あなたたちはもう関係ない。全部忘れてください」。西塚はトビオ、伊佐美、マルにそう言い放つと、絶体絶命のパイセンを残して10秒以内に消えろと迫り…。  　一方、動画を見た蓮子(永野芽郁)はトビオを苦しめていた事件の全貌をようやく知り、トビオの元に駆けつけるが、すでにトビオらの姿はなく…。  　同じ頃、安否もわからないトビオらを追う飯室(三浦翔平)に、菜摘(水川あさみ)はある重大な事実を打ち明ける。  　ささいなイタズラ心がきっかけで、大きな過ちを犯してしまったトビオたち。罪の意識にさいなまれ、過酷な逃亡生活を経験した結果、“最高の自首"を選んだ4人。犯した罪は認められ、彼らは罪を償う事ができるのか!?  原作を超える衝撃のラストが待ち受ける!窪田正孝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</si>
  <si>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ライブ会場に乱入し、大勢の観客の前で「僕たちがやりました!」と罪を告白するド派手な自首をぶち上げた、トビオ(窪田正孝)、伊佐美(間宮祥太朗)、マル(葉山奨之)、パイセン(今野浩喜)。ところが、動物のマスクを被った謎のグループに襲われて気を失い、そのまま連れ去られてしまった。  　トビオらを拉致したのは、輪島(古田新太)の指示を受けた西塚(板尾創路)、玲夢(山田裕貴)たちだった。4人が前代未聞の自首を決行する一方、事件の真相を告白する動画にネットは騒然。この騒動に激怒した輪島から、パイセンを殺せと命じられたというのだ。  　「小坂秀郎はこれから殺される。あなたたちはもう関係ない。全部忘れてください」。西塚はトビオ、伊佐美、マルにそう言い放つと、絶体絶命のパイセンを残して10秒以内に消えろと迫り…。  　一方、動画を見た蓮子(永野芽郁)はトビオを苦しめていた事件の全貌をようやく知り、トビオの元に駆けつけるが、すでにトビオらの姿はなく…。  　同じ頃、安否もわからないトビオらを追う飯室(三浦翔平)に、菜摘(水川あさみ)はある重大な事実を打ち明ける。  　ささいなイタズラ心がきっかけで、大きな過ちを犯してしまったトビオたち。罪の意識にさいなまれ、過酷な逃亡生活を経験した結果、“最高の自首"を選んだ4人。犯した罪は認められ、彼らは罪を償う事ができるのか!?  原作を超える衝撃のラストが待ち受ける!</t>
  </si>
  <si>
    <t>1707_CX_木22</t>
  </si>
  <si>
    <t>セシルのもくろみ</t>
  </si>
  <si>
    <t>番組名&lt;木曜劇場&gt;セシルのもくろみ【真木よう子新境地!ガサツ主婦の逆襲】　#01</t>
  </si>
  <si>
    <t>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　宮地奈央(真木よう子)は、金型仕上げのエンジニアである夫・伸行(宇野祥平)、中学生の息子・宏樹(佐藤瑠生亮)と北春日部に暮らす主婦。息子に少しでも多くご飯を食べさせることや、パート先の惣菜店のお手製ポテトサラダが人気なことなど、日々の小さな幸せが自分の幸せだと満足している、体育会出身の威勢が良い女性。  　ある日、奈央は、人気女性ファッション誌『ヴァニティ』の編集デスク・黒沢洵子(板谷由夏)から読者モデルとしてスカウトされる。南城彰(リリー・フランキー)が編集長を務める『ヴァニティ』には、「ハマユカ」の愛称で知られ、絶大な人気を誇る浜口由華子(吉瀬美智子)がカバーモデルとして君臨。情報番組のコメンテーターとして活躍中の安永舞子(長谷川京子)も、かつてはモデルとして在籍していた。ファッションブランドのPRの職を失い、今はファッションライターとして大成しようともがいている沖田江里(伊藤歩)は、洵子から奈央のことを聞き、北春日部まで会いに行く。そこで江里は、命がけで稼げるモデルにする、と必死に説得し、一度は誘いを断っていた奈央をオーディションに参加させる。しかし、自分を美しく見せること自体に抵抗を感じていた奈央は、撮影でうまく笑うことすらできない。それでも奈央は、江里やカメラマンの山上航平(金子ノブアキ)、カリスマヘアメイクの安原トモ(徳井義実)の力を借りて撮影に挑み…。真木よう子　  吉瀬美智子　  伊藤歩　  金子ノブアキ　  小野ゆり子　  眞島秀和　  石橋けい　  伊藤修子　  佐藤江梨子　  藤澤恵麻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澤田鎌作　  並木道子　  高野舞</t>
  </si>
  <si>
    <t xml:space="preserve">　宮地奈央(真木よう子)は、金型仕上げのエンジニアである夫・伸行(宇野祥平)、中学生の息子・宏樹(佐藤瑠生亮)と北春日部に暮らす主婦。息子に少しでも多くご飯を食べさせることや、パート先の惣菜店のお手製ポテトサラダが人気なことなど、日々の小さな幸せが自分の幸せだと満足している、体育会出身の威勢が良い女性。  　ある日、奈央は、人気女性ファッション誌『ヴァニティ』の編集デスク・黒沢洵子(板谷由夏)から読者モデルとしてスカウトされる。南城彰(リリー・フランキー)が編集長を務める『ヴァニティ』には、「ハマユカ」の愛称で知られ、絶大な人気を誇る浜口由華子(吉瀬美智子)がカバーモデルとして君臨。情報番組のコメンテーターとして活躍中の安永舞子(長谷川京子)も、かつてはモデルとして在籍していた。ファッションブランドのPRの職を失い、今はファッションライターとして大成しようともがいている沖田江里(伊藤歩)は、洵子から奈央のことを聞き、北春日部まで会いに行く。そこで江里は、命がけで稼げるモデルにする、と必死に説得し、一度は誘いを断っていた奈央をオーディションに参加させる。しかし、自分を美しく見せること自体に抵抗を感じていた奈央は、撮影でうまく笑うことすらできない。それでも奈央は、江里やカメラマンの山上航平(金子ノブアキ)、カリスマヘアメイクの安原トモ(徳井義実)の力を借りて撮影に挑み…。真木よう子　  吉瀬美智子　  伊藤歩　  金子ノブアキ　  小野ゆり子　  眞島秀和　  石橋けい　  伊藤修子　  佐藤江梨子　  藤澤恵麻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澤田鎌作　  並木道子　  高野舞</t>
  </si>
  <si>
    <t>番組名&lt;木曜劇場&gt;セシルのもくろみ【誰にも言えない…トップモデルの裏の顔】　#02</t>
  </si>
  <si>
    <t>宮地奈央(真木よう子)は、フリーライターの沖田江里(伊藤歩)、カメラマンの山上航平(金子ノブアキ)、カリスマメイクの安原トモ(徳井義実)と組み“チーム・ミヤジ"として雑誌『ヴァニティ』の人気読者モデルを目指すことになった。その矢先、奈央は、江里が勝手にSNSを立ち上げていたことに憤慨。一度は企画を拒絶するが、トモの説得もあり、自分のことを認めさせた上で這い上がってやる、と宣言する。  ある日奈央は、『ヴァニティ』編集部がある晴海書房で“ハマユカ"こと人気モデルの浜口由華子(吉瀬美智子)に出会い、自宅に遊びにこないかと誘われる。さっそく葉山にある由華子の邸宅を訪れた奈央は、そのおしゃれな暮らしぶりに圧倒されるものの、息子同士が同じ学校で先輩後輩の間柄ということもあって彼女と意気投合。由華子から何着か服をもらった奈央は、彼女への憧れを強く抱き「ハマユカになる」などと言い出して江里を呆れさせる。そんな折、『ヴァニティ』の専属モデルふたりが撮影現場で殴り合い寸前のケンカをするというトラブルが起きる。編集デスクで読者モデルの担当でもある黒沢洵子(板谷由夏)は、問題を起こした専属モデルたちが解雇される可能性もあることを視野に入れ、読者モデルの中からひとり、専属モデルに推薦しようと考えている、と江里たちライターに伝える。江里は、すぐに奈央に連絡し、このチャンスをものにしようと張り切るが…。真木よう子　  吉瀬美智子　  伊藤歩　  金子ノブアキ　  小野ゆり子　  眞島秀和　  石橋けい　  伊藤修子　  佐藤江梨子　  藤澤恵麻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t>
  </si>
  <si>
    <t>宮地奈央(真木よう子)は、フリーライターの沖田江里(伊藤歩)、カメラマンの山上航平(金子ノブアキ)、カリスマメイクの安原トモ(徳井義実)と組み“チーム・ミヤジ"として雑誌『ヴァニティ』の人気読者モデルを目指すことになった。その矢先、奈央は、江里が勝手にSNSを立ち上げていたことに憤慨。一度は企画を拒絶するが、トモの説得もあり、自分のことを認めさせた上で這い上がってやる、と宣言する。  ある日奈央は、『ヴァニティ』編集部がある晴海書房で“ハマユカ"こと人気モデルの浜口由華子(吉瀬美智子)に出会い、自宅に遊びにこないかと誘われる。さっそく葉山にある由華子の邸宅を訪れた奈央は、そのおしゃれな暮らしぶりに圧倒されるものの、息子同士が同じ学校で先輩後輩の間柄ということもあって彼女と意気投合。由華子から何着か服をもらった奈央は、彼女への憧れを強く抱き「ハマユカになる」などと言い出して江里を呆れさせる。そんな折、『ヴァニティ』の専属モデルふたりが撮影現場で殴り合い寸前のケンカをするというトラブルが起きる。編集デスクで読者モデルの担当でもある黒沢洵子(板谷由夏)は、問題を起こした専属モデルたちが解雇される可能性もあることを視野に入れ、読者モデルの中からひとり、専属モデルに推薦しようと考えている、と江里たちライターに伝える。江里は、すぐに奈央に連絡し、このチャンスをものにしようと張り切るが…。</t>
  </si>
  <si>
    <t>番組名&lt;木曜劇場&gt;セシルのもくろみ【トップモデルの深い闇と知りすぎた主婦】　#03</t>
  </si>
  <si>
    <t>トラブルを起こした『ヴァニティ』の専属モデルふたりが解雇される。奈央(真木よう子)は、このチャンスをモノにしようと張り切る江里(伊藤歩)とともに、『ミヤジ改造計画』のネタ探しを続けていた。ところがその矢先、由華子(吉瀬美智子)がものもらいを患い、予定されていた撮影がすべて中止になってしまう。編集長の南城(リリー・フランキー)は、撮影スケジュールの組み直しを指示するとともに、由華子が間に合わなかった場合の代案を考えるために編集部員たちを集める。そこで洵子(板谷由夏)は、由華子の代わりを読者モデルに任せてもらえないか、と提案した。いま在籍している15人に、街頭スカウトなどで10数人加えられればカバーできる、というのだ。南城の了承を得た洵子は、江里や早紀(石橋けい)らライター達にモデル探しを指示する。  　同じころ、奈央は、葉山にある由華子の邸宅を訪ねていた。由華子がものもらいではなく、夫・和真(神尾佑)によるDVでケガをしたと確信した奈央は、警察に行くべきだと主張する。しかし由華子は、その必要はないと言い切る。すると奈央は、今度こそ由華子に弟子入りさせてもらう、などと言い出し、勝手に夕飯の準備を始め…。  　江里はモデル探しを続けながら、奈央とともに今回の企画『秋色大研究』のためのコーディネートを考え始める。そんな中『ヴァニティ』編集部を揺るがす“事件"が発生し…。真木よう子　  吉瀬美智子　  伊藤歩　  金子ノブアキ　  小野ゆり子　  眞島秀和　  石橋けい　  伊藤修子　  佐藤江梨子　  藤澤恵麻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t>
  </si>
  <si>
    <t>トラブルを起こした『ヴァニティ』の専属モデルふたりが解雇される。奈央(真木よう子)は、このチャンスをモノにしようと張り切る江里(伊藤歩)とともに、『ミヤジ改造計画』のネタ探しを続けていた。ところがその矢先、由華子(吉瀬美智子)がものもらいを患い、予定されていた撮影がすべて中止になってしまう。編集長の南城(リリー・フランキー)は、撮影スケジュールの組み直しを指示するとともに、由華子が間に合わなかった場合の代案を考えるために編集部員たちを集める。そこで洵子(板谷由夏)は、由華子の代わりを読者モデルに任せてもらえないか、と提案した。いま在籍している15人に、街頭スカウトなどで10数人加えられればカバーできる、というのだ。南城の了承を得た洵子は、江里や早紀(石橋けい)らライター達にモデル探しを指示する。  　同じころ、奈央は、葉山にある由華子の邸宅を訪ねていた。由華子がものもらいではなく、夫・和真(神尾佑)によるDVでケガをしたと確信した奈央は、警察に行くべきだと主張する。しかし由華子は、その必要はないと言い切る。すると奈央は、今度こそ由華子に弟子入りさせてもらう、などと言い出し、勝手に夕飯の準備を始め…。  　江里はモデル探しを続けながら、奈央とともに今回の企画『秋色大研究』のためのコーディネートを考え始める。そんな中『ヴァニティ』編集部を揺るがす“事件"が発生し…。</t>
  </si>
  <si>
    <t>番組名&lt;木曜劇場&gt;セシルのもくろみ【不倫の真相!今夜あの怖いオンナが激白】　#04</t>
  </si>
  <si>
    <t>奈央(真木よう子)は、家庭も『ヴァニティ』も何も手放すつもりはない、という由華子(吉瀬美智子)の強い思いを知る。一方、江里(伊藤歩)は、洵子(板谷由夏)と副編集長の石田(眞島秀和)が密談しているところを偶然目撃し、ふたりの間で何らかの取り引きがあったことを察する。  　『ヴァニティ』は、新たな専属モデルとして手島レイナ(芦名星)と契約する。そして、読者モデルの中から昇格したのは、奈央ではなく葵(佐藤江梨子)だった。葵が発案したメイク企画が、読者アンケートでも反応が良かったことが決め手となったらしい。そんな折、江里は、石田と葵が車の中で抱き合っているところを見てしまう。奈央と会った江里は、石田たちのことを話し「このネタを使わない手はない」と言い出す。しかし奈央は「そんなやり方で専属になんかなりたくない」と言って江里を諭す。同じころ、洵子の元にも、石田と葵がホテルに入っていくところを撮影した写真が送られてくる。差出人は不明だった。洵子に会いに行った江里は、石田との密談の件を切り出す。そこで江里は、葵を専属モデルにしたい石田と、読者モデルから専属モデルを出したい洵子が手を組んでいたことを知る。洵子は、編集会議の場で葵の不倫を報告する。編集長の南城(リリー・フランキー)は、石田に休養を命じると、洵子を副編集長代理に指名し…。真木よう子　  吉瀬美智子　  伊藤歩　  金子ノブアキ　  小野ゆり子　  眞島秀和　  石橋けい　  伊藤修子　  佐藤江梨子　  藤澤恵麻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t>
  </si>
  <si>
    <t>奈央(真木よう子)は、家庭も『ヴァニティ』も何も手放すつもりはない、という由華子(吉瀬美智子)の強い思いを知る。一方、江里(伊藤歩)は、洵子(板谷由夏)と副編集長の石田(眞島秀和)が密談しているところを偶然目撃し、ふたりの間で何らかの取り引きがあったことを察する。  　『ヴァニティ』は、新たな専属モデルとして手島レイナ(芦名星)と契約する。そして、読者モデルの中から昇格したのは、奈央ではなく葵(佐藤江梨子)だった。葵が発案したメイク企画が、読者アンケートでも反応が良かったことが決め手となったらしい。そんな折、江里は、石田と葵が車の中で抱き合っているところを見てしまう。奈央と会った江里は、石田たちのことを話し「このネタを使わない手はない」と言い出す。しかし奈央は「そんなやり方で専属になんかなりたくない」と言って江里を諭す。同じころ、洵子の元にも、石田と葵がホテルに入っていくところを撮影した写真が送られてくる。差出人は不明だった。洵子に会いに行った江里は、石田との密談の件を切り出す。そこで江里は、葵を専属モデルにしたい石田と、読者モデルから専属モデルを出したい洵子が手を組んでいたことを知る。洵子は、編集会議の場で葵の不倫を報告する。編集長の南城(リリー・フランキー)は、石田に休養を命じると、洵子を副編集長代理に指名し…。</t>
  </si>
  <si>
    <t>番組名&lt;木曜劇場&gt;セシルのもくろみ【女の友情は永遠に…!別れの時が来た】　#05</t>
  </si>
  <si>
    <t>奈央(真木よう子)は、2016年11月号をもって『ヴァニティ』を卒業することになった。読者モデル担当の洵子(板谷由夏)は、葵(佐藤江梨子)と萌子(藤澤恵麻)の間で起きたトラブルの責任を鑑み、読者モデルの企画自体を考え直すことになった、と卒業の経緯を奈央と江里(伊藤歩)に説明する。それを受けて江里は「きちんと奈央を卒業させてやりたい」と『ミヤジ改造計画』最終回の企画書を洵子に提出する。　企画の練り直しを経て洵子がOKを出したのは、奈央の1日寺修行。しかも、あくまでも仕上がり次第という条件付きだ。江里は、さっそく奈央とカメラマンの山上(金子ノブアキ)を連れてとある寺を訪れる。  　同じころ、晴海書房のスタジオでは、由華子(吉瀬美智子)が撮影のスタンバイをしていた。そこで由華子は、雅美(小野ゆり子)から、新たに専属モデルとなったレイナ(芦名星)を紹介される。レイナは由華子の大ファンなのだという。レイナが去った後、由華子は、読者モデルの企画をやめるのは本当なのかと洵子に尋ねた。洵子は、それを認め「ヴァニティも変わっていかなければいけない」と答える。  　奈央は、江里とともに山登りや寺での作務、写仏など、ひとつひとつに集中して取り組む。そんな奈央の姿を見ていた江里は…。真木よう子　  吉瀬美智子　  伊藤歩　  金子ノブアキ　  小野ゆり子　  石橋けい　  伊藤修子　  芦名星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t>
  </si>
  <si>
    <t>奈央(真木よう子)は、2016年11月号をもって『ヴァニティ』を卒業することになった。読者モデル担当の洵子(板谷由夏)は、葵(佐藤江梨子)と萌子(藤澤恵麻)の間で起きたトラブルの責任を鑑み、読者モデルの企画自体を考え直すことになった、と卒業の経緯を奈央と江里(伊藤歩)に説明する。それを受けて江里は「きちんと奈央を卒業させてやりたい」と『ミヤジ改造計画』最終回の企画書を洵子に提出する。　企画の練り直しを経て洵子がOKを出したのは、奈央の1日寺修行。しかも、あくまでも仕上がり次第という条件付きだ。江里は、さっそく奈央とカメラマンの山上(金子ノブアキ)を連れてとある寺を訪れる。  　同じころ、晴海書房のスタジオでは、由華子(吉瀬美智子)が撮影のスタンバイをしていた。そこで由華子は、雅美(小野ゆり子)から、新たに専属モデルとなったレイナ(芦名星)を紹介される。レイナは由華子の大ファンなのだという。レイナが去った後、由華子は、読者モデルの企画をやめるのは本当なのかと洵子に尋ねた。洵子は、それを認め「ヴァニティも変わっていかなければいけない」と答える。  　奈央は、江里とともに山登りや寺での作務、写仏など、ひとつひとつに集中して取り組む。そんな奈央の姿を見ていた江里は…。</t>
  </si>
  <si>
    <t>番組名&lt;木曜劇場&gt;セシルのもくろみ【ついに変身!美しくなった私が目覚める】　#06</t>
  </si>
  <si>
    <t>読者モデル企画の廃止に伴い、奈央(真木よう子)は『ヴァニティ』を卒業した。一方、離婚が成立した由華子(吉瀬美智子)は、シングルマザーとして再出発することになった。それから数カ月後、奈央の前に、突然、江里(伊藤歩)が現れる。奈央が『ヴァニティ』の専属モデルとして迎え入れられることになったというのだ。実は、読者モデル企画を廃止して以降、『ヴァニティ』の売り上げ部数は徐々に落ちていた。そこで洵子(板谷由夏)は、思い切ったテコ入れをするために、奈央を専属モデルとして迎えてはどうか、と編集長の南城(リリー・フランキー)に提案したのだ。毎月の読者アンケートにも、奈央がいなくなったことを寂しがるコメントが届いていたらしい。  早速6月号のワンピース特集に参加することになった奈央は、江里やトモ(徳井義実)の協力の下、プロのモデルとしてカメラの前に立つための特訓を開始した。だがいざ撮影が始まると緊張のせいか奈央はうまくポーズや表情を作ることができず、カメラマンや出番を待っていたレイナ(芦名星)の怒りを買ってしまう。  そんな中、有名海外ブランド『フェローニ』の日本上陸50年を記念した3誌限定のタイアップ企画に『ヴァニティ』が選ばれる。『フェローニ』は江里にとっても特別な思い入れがあるブランドだった。南城と洵子は、無名のモデルを起用したいという先方からのリクエストもあり奈央を推薦することにしたが。真木よう子　  吉瀬美智子　  伊藤歩　  金子ノブアキ　  小野ゆり子　  石橋けい　  伊藤修子　  芦名星  　・　  長谷川京子  　/　  徳井義実  　・　  宇野祥平　  佐藤瑠生亮　  加藤雅人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t>
  </si>
  <si>
    <t>読者モデル企画の廃止に伴い、奈央(真木よう子)は『ヴァニティ』を卒業した。一方、離婚が成立した由華子(吉瀬美智子)は、シングルマザーとして再出発することになった。それから数カ月後、奈央の前に、突然、江里(伊藤歩)が現れる。奈央が『ヴァニティ』の専属モデルとして迎え入れられることになったというのだ。実は、読者モデル企画を廃止して以降、『ヴァニティ』の売り上げ部数は徐々に落ちていた。そこで洵子(板谷由夏)は、思い切ったテコ入れをするために、奈央を専属モデルとして迎えてはどうか、と編集長の南城(リリー・フランキー)に提案したのだ。毎月の読者アンケートにも、奈央がいなくなったことを寂しがるコメントが届いていたらしい。  早速6月号のワンピース特集に参加することになった奈央は、江里やトモ(徳井義実)の協力の下、プロのモデルとしてカメラの前に立つための特訓を開始した。だがいざ撮影が始まると緊張のせいか奈央はうまくポーズや表情を作ることができず、カメラマンや出番を待っていたレイナ(芦名星)の怒りを買ってしまう。  そんな中、有名海外ブランド『フェローニ』の日本上陸50年を記念した3誌限定のタイアップ企画に『ヴァニティ』が選ばれる。『フェローニ』は江里にとっても特別な思い入れがあるブランドだった。南城と洵子は、無名のモデルを起用したいという先方からのリクエストもあり奈央を推薦することにしたが。</t>
  </si>
  <si>
    <t>番組名&lt;木曜劇場&gt;セシルのもくろみ【恐怖の新女王降臨!地獄のトークショー】　#07</t>
  </si>
  <si>
    <t>奈央(真木よう子)は、由華子(吉瀬美智子)から『ヴァニティ』を卒業する、と打ち明けられる。編集長の南城(リリー・フランキー)から「40代のキャリア女性をターゲットにした新雑誌でカバーモデルをやってほしい」と依頼されたからだという。「この歳でまた新しいことを始められるなんて、幸せなことだと思わない?」。由華子は、そう言って奈央に笑顔を見せた。由華子の最後の撮影の日、スタジオには南城や洵子(板谷由夏)ら編集部の面々はもちろん、奈央たちも駆けつける。無事撮影を終えた由華子は、皆に別れの挨拶をすると『ヴァニティ』の新しいカバーモデルだと言って舞子(長谷川京子)を紹介する。由華子が去った後、舞子は、奈央やレイナ(芦名星)ら専属モデルを集めた。そこで舞子は「自分には読者を増やす責任があるのだから、奈央たちにも、いつどこで誰に見られても『ヴァニティ』の名に恥じない振る舞いをしてもらいたい」と告げる。続けて舞子は「ついてこられない場合は自分から降りてほしい」と言い放った。  　そんな中、洵子は、江里(伊藤歩)たちライター陣を集め、専属モデル5人で行うウェブ企画の実施を発表する。専属モデルそれぞれの素の魅力を伝えるための企画で、人気投票の1位になったモデルは、舞子のお披露目も兼ねたトークショーにも出演させるという。だが、その企画で奈央が組むことになったライターは江里ではなく…。真木よう子　  吉瀬美智子　  伊藤歩　  金子ノブアキ　  小野ゆり子　  石橋けい　  伊藤修子　  芦名星  　・　  長谷川京子  　/　  徳井義実  　・　  宇野祥平　  佐藤瑠生亮　  加藤雅人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t>
  </si>
  <si>
    <t>奈央(真木よう子)は、由華子(吉瀬美智子)から『ヴァニティ』を卒業する、と打ち明けられる。編集長の南城(リリー・フランキー)から「40代のキャリア女性をターゲットにした新雑誌でカバーモデルをやってほしい」と依頼されたからだという。「この歳でまた新しいことを始められるなんて、幸せなことだと思わない?」。由華子は、そう言って奈央に笑顔を見せた。由華子の最後の撮影の日、スタジオには南城や洵子(板谷由夏)ら編集部の面々はもちろん、奈央たちも駆けつける。無事撮影を終えた由華子は、皆に別れの挨拶をすると『ヴァニティ』の新しいカバーモデルだと言って舞子(長谷川京子)を紹介する。由華子が去った後、舞子は、奈央やレイナ(芦名星)ら専属モデルを集めた。そこで舞子は「自分には読者を増やす責任があるのだから、奈央たちにも、いつどこで誰に見られても『ヴァニティ』の名に恥じない振る舞いをしてもらいたい」と告げる。続けて舞子は「ついてこられない場合は自分から降りてほしい」と言い放った。  　そんな中、洵子は、江里(伊藤歩)たちライター陣を集め、専属モデル5人で行うウェブ企画の実施を発表する。専属モデルそれぞれの素の魅力を伝えるための企画で、人気投票の1位になったモデルは、舞子のお披露目も兼ねたトークショーにも出演させるという。だが、その企画で奈央が組むことになったライターは江里ではなく…。</t>
  </si>
  <si>
    <t>番組名&lt;木曜劇場&gt;セシルのもくろみ【女5人、悪夢の晩餐会!言葉の殴り合い】　#08</t>
  </si>
  <si>
    <t>奈央(真木よう子)は、舞子(長谷川京子)のお披露目を兼ねたトークショーでモデルを辞めようと思った理由を問われ「モデルなんかより大事なものがあると気付いた」と発言し、集まったファンたちをざわつかせる。失言に気づいた奈央は、舞子の巧みな話術によって助けられ、何とかその場を乗り切った。だがその直後、レイナ(芦名星)がいきなり妊娠と『ヴァニティ』の卒業を発表し…。晴海書房に戻った奈央は、江里(伊藤歩)とともにトークショーの反省会をする。その席で江里は、編集長の南城(リリー・フランキー)が異動になり、由華子(吉瀬美智子)がカバーモデルを務める予定だった新雑誌創刊の話も白紙になったことを奈央に打ち明ける。一方『ヴァニティ』編集部では、新編集長の平林(石田佳央)がこれまでの共感路線を捨てて、よりハイクラスな方向へと転換する編集方針を打ち出し、洵子(板谷由夏)たち編集部員を困惑させる。そこには、舞子の意向が大きく反映されているらしい。  ある日奈央は、古書店の店先にいたおしゃれな老婦人を見かけ、心をひかれる。トモ(徳井義実)によれば、その女性はハナちゃん(大方斐紗子)と呼ばれている、ちょっとした有名人なのだという。そんな折、奈央と江里は、南城からの呼び出しでとある高級中華料理店を訪れる。するとそこに、由華子や舞子、洵子もやってきて…。真木よう子　  吉瀬美智子　  伊藤歩　  金子ノブアキ　  小野ゆり子　  石橋けい　  伊藤修子　  芦名星  　・　  長谷川京子  　/　  徳井義実  　・　  宇野祥平　  佐藤瑠生亮　  加藤雅人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t>
  </si>
  <si>
    <t>奈央(真木よう子)は、舞子(長谷川京子)のお披露目を兼ねたトークショーでモデルを辞めようと思った理由を問われ「モデルなんかより大事なものがあると気付いた」と発言し、集まったファンたちをざわつかせる。失言に気づいた奈央は、舞子の巧みな話術によって助けられ、何とかその場を乗り切った。だがその直後、レイナ(芦名星)がいきなり妊娠と『ヴァニティ』の卒業を発表し…。晴海書房に戻った奈央は、江里(伊藤歩)とともにトークショーの反省会をする。その席で江里は、編集長の南城(リリー・フランキー)が異動になり、由華子(吉瀬美智子)がカバーモデルを務める予定だった新雑誌創刊の話も白紙になったことを奈央に打ち明ける。一方『ヴァニティ』編集部では、新編集長の平林(石田佳央)がこれまでの共感路線を捨てて、よりハイクラスな方向へと転換する編集方針を打ち出し、洵子(板谷由夏)たち編集部員を困惑させる。そこには、舞子の意向が大きく反映されているらしい。  ある日奈央は、古書店の店先にいたおしゃれな老婦人を見かけ、心をひかれる。トモ(徳井義実)によれば、その女性はハナちゃん(大方斐紗子)と呼ばれている、ちょっとした有名人なのだという。そんな折、奈央と江里は、南城からの呼び出しでとある高級中華料理店を訪れる。するとそこに、由華子や舞子、洵子もやってきて…。</t>
  </si>
  <si>
    <t>番組名&lt;木曜劇場&gt;セシルのもくろみ【今夜全てを激白!噂の真相と私の決意】　#09</t>
  </si>
  <si>
    <t>奈央(真木よう子)は、由華子(吉瀬美智子)から、新しく立ち上げる雑誌のカバーモデルになってほしい、と誘われる。ある大手IT系企業が『ジョワイユ』という女性誌を創刊するのだという。由華子に連れられて『ジョワイユ』の創刊準備室を訪れた奈央は、編集長を紹介される。それは、晴海書房を辞めたばかりの洵子(板谷由夏)だった。しかも、由華子はモデルをやめて、洵子の下で新人編集者として働くのだという。一方、山上(金子ノブアキ)やトモ(徳井義実)は『ヴァニティ』元編集長の南城(リリー・フランキー)も晴海書房を辞めてしまったことを知る。『ヴァニティ』編集部内では、南城が洵子や由華子と合流するのではないか、と危機感を募らせる。事実、舞子(長谷川京子)がカバーモデルとなった8月号は過去最高の売り上げだったにもかかわらず、続く9月号はリニューアル前より販売部数を落としていたのだ。由華子たちからの誘いを受けるべきか悩んでいた奈央は、江里(伊藤歩)に相談を持ちかける。だが、実は江里も、あるところから誘われており、悩んでいた。奈央と江里は、お互いに自分自身で悔いのない答えを出そう、と決めて…。真木よう子　  吉瀬美智子　  伊藤歩　  金子ノブアキ　  小野ゆり子　  石橋けい　  伊藤修子　  芦名星  　・　  長谷川京子  　/　  徳井義実  　・　  宇野祥平　  佐藤瑠生亮　  加藤雅人  　・　  板谷由夏　  リリー・フランキー【原作】  唯川恵　    【脚本】  ひかわかよ　    【音楽】  井筒昭雄　    【主題歌】  「TAKE　MY　HAND」夜の本気ダンス　    【プロデュース】  太田大　  金城綾香　  浅野澄美(FCC)　    【演出】  澤田鎌作　  並木道子　  高野舞</t>
  </si>
  <si>
    <t>奈央(真木よう子)は、由華子(吉瀬美智子)から、新しく立ち上げる雑誌のカバーモデルになってほしい、と誘われる。ある大手IT系企業が『ジョワイユ』という女性誌を創刊するのだという。由華子に連れられて『ジョワイユ』の創刊準備室を訪れた奈央は、編集長を紹介される。それは、晴海書房を辞めたばかりの洵子(板谷由夏)だった。しかも、由華子はモデルをやめて、洵子の下で新人編集者として働くのだという。一方、山上(金子ノブアキ)やトモ(徳井義実)は『ヴァニティ』元編集長の南城(リリー・フランキー)も晴海書房を辞めてしまったことを知る。『ヴァニティ』編集部内では、南城が洵子や由華子と合流するのではないか、と危機感を募らせる。事実、舞子(長谷川京子)がカバーモデルとなった8月号は過去最高の売り上げだったにもかかわらず、続く9月号はリニューアル前より販売部数を落としていたのだ。由華子たちからの誘いを受けるべきか悩んでいた奈央は、江里(伊藤歩)に相談を持ちかける。だが、実は江里も、あるところから誘われており、悩んでいた。奈央と江里は、お互いに自分自身で悔いのない答えを出そう、と決めて…。</t>
  </si>
  <si>
    <t>1707_CX_日21</t>
  </si>
  <si>
    <t>警視庁いきもの係</t>
  </si>
  <si>
    <t>番組名警視庁いきもの係【十姉妹と秘密の鳥カゴ　動物愛で謎を解け!】　#01</t>
  </si>
  <si>
    <t>捜査一課の須藤友三(渡部篤郎)は、ある事件で銃弾を頭部に食らい負傷。窓際の「総務課動植物管理係」に配属となった。そこは、容疑者のペットを、保護・世話をする通称“警視庁いきもの係"で、所属は、巡査の薄圭子(橋本環奈)のみ。事務員として田丸弘子(浅野温子)と、受付に三笠弥生(石川恋)がいるほか、弥生とのおしゃべり目当てで、元刑事の二出川昭吉(でんでん)がたまにやってくる程度。　捜査一課管理官の鬼頭勉(寺島進)から辞令書を渡され失望する須藤に、かつての相棒で巡査部長の石松和夫(三浦翔平)が声をかける。須藤が捜査一課に復職すると早合点し喜ぶ石松に、須藤は総務課に異動になったと告げた。  　そんな須藤に、弘子が立てこもり事件の現場へ行くよう促した。そこには元同僚の日塔始(長谷川朝晴)や石松、桜井薫(清原翔)ら刑事がいて、アパートに立てこもった犯人に投降を呼び掛けていた。須藤に気づいた日塔は、あんたの現場はあっちだと指示、そこでは圭子が配水管をのぞき込んでいた。圭子は、配水管にはさまって身動きが取れない猫を救出するために来ていた。  　総務課に、ある容疑者がペットを飼っていることが分かったため、その保護を頼みたいという依頼が。須藤と圭子は、容疑者が住むマンションへ。そこには巨大な鳥かごが5つ並び、それぞれに20羽近くの小鳥が入れられていた…。【ホームページ】  http://www.fujitv.co.jp/ikimono/　    【公式Twitter】  @mpd_ikimono　  https://twitter.com/mpd_ikimono　    【公式Instagram】  @mpd_ikimono　  https://www.instagram.com/mpd_ikimono　    【公式LINE】  @sundayanimals渡部篤郎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警視庁いきもの係」「クジャクを愛した容疑者　警視庁いきもの係」(講談社)　    【演出】  木下高男　  松木創　  石川淳一　  菊川誠　    【制作】  フジテレビ　    【制作著作】  共同テレビ</t>
  </si>
  <si>
    <t>捜査一課の須藤友三(渡部篤郎)は、ある事件で銃弾を頭部に食らい負傷。窓際の「総務課動植物管理係」に配属となった。そこは、容疑者のペットを、保護・世話をする通称“警視庁いきもの係"で、所属は、巡査の薄圭子(橋本環奈)のみ。事務員として田丸弘子(浅野温子)と、受付に三笠弥生(石川恋)がいるほか、弥生とのおしゃべり目当てで、元刑事の二出川昭吉(でんでん)がたまにやってくる程度。　捜査一課管理官の鬼頭勉(寺島進)から辞令書を渡され失望する須藤に、かつての相棒で巡査部長の石松和夫(三浦翔平)が声をかける。須藤が捜査一課に復職すると早合点し喜ぶ石松に、須藤は総務課に異動になったと告げた。  　そんな須藤に、弘子が立てこもり事件の現場へ行くよう促した。そこには元同僚の日塔始(長谷川朝晴)や石松、桜井薫(清原翔)ら刑事がいて、アパートに立てこもった犯人に投降を呼び掛けていた。須藤に気づいた日塔は、あんたの現場はあっちだと指示、そこでは圭子が配水管をのぞき込んでいた。圭子は、配水管にはさまって身動きが取れない猫を救出するために来ていた。  　総務課に、ある容疑者がペットを飼っていることが分かったため、その保護を頼みたいという依頼が。須藤と圭子は、容疑者が住むマンションへ。そこには巨大な鳥かごが5つ並び、それぞれに20羽近くの小鳥が入れられていた…。</t>
  </si>
  <si>
    <t>番組名警視庁いきもの係【ペンギン屋敷の謎を解け!ペンギンを愛した容疑者】　#02</t>
  </si>
  <si>
    <t>大手食品グループの会長・藤原(河野洋一郎)が、自宅のペンギン飼育室で溺死しているのを、妻の亜紀子(幸田尚子)が発見した。警察は、藤原がペンギンの世話をしている時に足を滑らせて後頭部を強打し池に落下したと断定。残されたペンギンを保護するために、須藤(渡部篤郎)と圭子(橋本環奈)が、藤原宅を訪ねることとなった。藤原の遺体写真を見た圭子は「藤原がペンギンの世話をしていたとは思えない」「事故ではなく他殺の可能性がある」と須藤に話す。他殺であれば、死亡推定時刻に自宅にいた亜紀子、藤原の秘書の久慈(小柳友)、亜紀子の兄の青木(勝矢)が容疑者となる。  　飼育室に隣接するバックヤードにあった作業服を見た圭子は、それが藤原が着ていたとは思えない大きなサイズだと気づく。作業着にペンギンの臭いが染みついていたことから、この作業着を着ていた人物が、藤原の代わりにペンギンを世話していたのではないか、と推測。その時、須藤は、物陰から自分たちを見ていた久慈に声をかけた。久慈は、ペンギンにエサをやろうとやってきたという。圭子は久慈に近寄ると、クンクンと臭いをかぎはじめた。  　総務部総務課に戻った須藤と圭子は、石松(三浦翔平)から詳細を聞き事件を整理していくと、久慈は藤原から叱責されることが多かったと分かる。弘子(浅野温子)は「それを恨んでの久慈の犯行なのか」と聞くが、須藤は何かが引っかかると言い…。【ホームページ】  http://www.fujitv.co.jp/ikimono/　    【公式Twitter】  @mpd_ikimono　  https://twitter.com/mpd_ikimono　    【公式Instagram】  https://www.instagram.com/mpd_ikimono/　    【公式LINE】  @sundayanimals渡部篤郎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</si>
  <si>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大手食品グループの会長・藤原(河野洋一郎)が、自宅のペンギン飼育室で溺死しているのを、妻の亜紀子(幸田尚子)が発見した。警察は、藤原がペンギンの世話をしている時に足を滑らせて後頭部を強打し池に落下したと断定。残されたペンギンを保護するために、須藤(渡部篤郎)と圭子(橋本環奈)が、藤原宅を訪ねることとなった。藤原の遺体写真を見た圭子は「藤原がペンギンの世話をしていたとは思えない」「事故ではなく他殺の可能性がある」と須藤に話す。他殺であれば、死亡推定時刻に自宅にいた亜紀子、藤原の秘書の久慈(小柳友)、亜紀子の兄の青木(勝矢)が容疑者となる。  　飼育室に隣接するバックヤードにあった作業服を見た圭子は、それが藤原が着ていたとは思えない大きなサイズだと気づく。作業着にペンギンの臭いが染みついていたことから、この作業着を着ていた人物が、藤原の代わりにペンギンを世話していたのではないか、と推測。その時、須藤は、物陰から自分たちを見ていた久慈に声をかけた。久慈は、ペンギンにエサをやろうとやってきたという。圭子は久慈に近寄ると、クンクンと臭いをかぎはじめた。  　総務部総務課に戻った須藤と圭子は、石松(三浦翔平)から詳細を聞き事件を整理していくと、久慈は藤原から叱責されることが多かったと分かる。弘子(浅野温子)は「それを恨んでの久慈の犯行なのか」と聞くが、須藤は何かが引っかかると言い…。</t>
  </si>
  <si>
    <t>番組名警視庁いきもの係【知られざるヘビ愛の世界!驚きの逆転劇】　#03</t>
  </si>
  <si>
    <t>山脇という男性が海に投身自殺し、残されたペットのヘビを、須藤(渡部篤郎)と圭子(橋本環奈)が保護することになった。須藤と圭子、ヘビ好きの弥生(石川恋)の3人で、山脇宅を訪ねると、室内の奥の飼育部屋に大きなヘビが2匹いた。珍しいヘビにテンションがあがる圭子と弥生とは逆に、須藤は腰が引ける。圭子は、飼育部屋の環境やヘビの状態から、山脇が愛情を持ってヘビを育てていたと分析。ここまでヘビに愛情を注いでいた人が自殺するのはおかしい、と須藤に話した。  　須藤は、それを石松(三浦翔平)に報告。すると、石松も、自分にも引っかかっていたところがあると明かした。山脇が自殺したと思われるのは6月15日で、遺体の発見は19日。しかし、17日に隣人が山脇を見たと証言している、というのだ。  　翌日、再び山脇宅に入った須藤と圭子は、浴室のカーテンに血痕が付いているのを見つける。須藤は、何者かが山脇を浴室で殺害し、自殺に見せかけるため海岸に運んだのかもしれない、と推測。そんな時、圭子が見つけた便せんを見た須藤は、最初のページを鉛筆でこすると、あるメッセージが浮かび上がった。  　同じ頃、石松、日塔(長谷川朝晴)、桜井(清原翔)は、10年前に起こった強盗傷害事件を追っていた。時効が3日後に迫った今、食い逃げ事件の現場から採取された指紋が、10年前の事件の容疑者と一致したのだ。そこへ、石松に須藤から連絡が入り…。【ホームページ】  http://www.fujitv.co.jp/ikimono/　    【公式Twitter】  @mpd_ikimono　  https://twitter.com/mpd_ikimono　    【公式Instagram】  @mpd_ikimono　https://www.instagram.com/mpd_ikimono/　    【公式LINE】  @sundayanimals渡部篤郎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</si>
  <si>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山脇という男性が海に投身自殺し、残されたペットのヘビを、須藤(渡部篤郎)と圭子(橋本環奈)が保護することになった。須藤と圭子、ヘビ好きの弥生(石川恋)の3人で、山脇宅を訪ねると、室内の奥の飼育部屋に大きなヘビが2匹いた。珍しいヘビにテンションがあがる圭子と弥生とは逆に、須藤は腰が引ける。圭子は、飼育部屋の環境やヘビの状態から、山脇が愛情を持ってヘビを育てていたと分析。ここまでヘビに愛情を注いでいた人が自殺するのはおかしい、と須藤に話した。  　須藤は、それを石松(三浦翔平)に報告。すると、石松も、自分にも引っかかっていたところがあると明かした。山脇が自殺したと思われるのは6月15日で、遺体の発見は19日。しかし、17日に隣人が山脇を見たと証言している、というのだ。  　翌日、再び山脇宅に入った須藤と圭子は、浴室のカーテンに血痕が付いているのを見つける。須藤は、何者かが山脇を浴室で殺害し、自殺に見せかけるため海岸に運んだのかもしれない、と推測。そんな時、圭子が見つけた便せんを見た須藤は、最初のページを鉛筆でこすると、あるメッセージが浮かび上がった。  　同じ頃、石松、日塔(長谷川朝晴)、桜井(清原翔)は、10年前に起こった強盗傷害事件を追っていた。時効が3日後に迫った今、食い逃げ事件の現場から採取された指紋が、10年前の事件の容疑者と一致したのだ。そこへ、石松に須藤から連絡が入り…。</t>
  </si>
  <si>
    <t>番組名警視庁いきもの係【夏のミステリー・ヤギが食べた真相?息子からの手紙】　#04</t>
  </si>
  <si>
    <t>須藤(渡部篤郎)は、応援に入った捜査一課の事件現場で本部の指示を仰がずに突入。犯人は逮捕したものの、日塔(長谷川朝晴)から大目玉を食らう。そんな折、須藤は、石松(三浦翔平)から手紙を渡される。それは、16歳になったという息子の手紙で、息子がいた記憶がない須藤は、動揺する。  　その後“いきもの係"に戻った須藤は、圭子(橋本環奈)と弘子(浅野温子)がガスマスクをしていることに仰天。聞けば、スカンクを預かっているという。そこへ、石松が新しい事件の詳細を持ってきた。事件が起こったのは3日前の夜、小学校の廊下で教頭・三好(高松克弥)が後頭部を殴打され死亡。容疑者は、そばに倒れていた学習塾の元経営者・津浜(志賀圭二郎)で、意識不明の重体だという。ふたりは、課外授業「ふれあい教室」を巡りもめていた。ふれあい教室では、津浜が飼っていたヤギとの触れ合いが人気だった。津浜が入院中のため、ヤギを圭子らが保護することになったのだ。  　須藤とともにヤギ小屋へ来た圭子は、ふわふわでかわいいシバヤギにテンションが上がる。環境もヤギの状態も良く圭子が安堵していると、少年がやってくる。現場にいた四十万(横山だいすけ)が制しても、少年は小屋まで入って来る。須藤が話を聞くと、少年は“ヤギのおじちゃん"と呼ばれていた津浜はいい人で、絶対に悪いことはしないと譲らない。【ホームページ】  http://www.fujitv.co.jp/ikimono/　    【公式Twitter】  @mpd_ikimono　  https://twitter.com/mpd_ikimono　    【公式Instagram】  @mpd_ikimono　  https://www.instagram.com/mpd_ikimono/　    【公式LINE】  @sundayanimals渡部篤郎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</si>
  <si>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須藤(渡部篤郎)は、応援に入った捜査一課の事件現場で本部の指示を仰がずに突入。犯人は逮捕したものの、日塔(長谷川朝晴)から大目玉を食らう。そんな折、須藤は、石松(三浦翔平)から手紙を渡される。それは、16歳になったという息子の手紙で、息子がいた記憶がない須藤は、動揺する。  　その後“いきもの係"に戻った須藤は、圭子(橋本環奈)と弘子(浅野温子)がガスマスクをしていることに仰天。聞けば、スカンクを預かっているという。そこへ、石松が新しい事件の詳細を持ってきた。事件が起こったのは3日前の夜、小学校の廊下で教頭・三好(高松克弥)が後頭部を殴打され死亡。容疑者は、そばに倒れていた学習塾の元経営者・津浜(志賀圭二郎)で、意識不明の重体だという。ふたりは、課外授業「ふれあい教室」を巡りもめていた。ふれあい教室では、津浜が飼っていたヤギとの触れ合いが人気だった。津浜が入院中のため、ヤギを圭子らが保護することになったのだ。  　須藤とともにヤギ小屋へ来た圭子は、ふわふわでかわいいシバヤギにテンションが上がる。環境もヤギの状態も良く圭子が安堵していると、少年がやってくる。現場にいた四十万(横山だいすけ)が制しても、少年は小屋まで入って来る。須藤が話を聞くと、少年は“ヤギのおじちゃん"と呼ばれていた津浜はいい人で、絶対に悪いことはしないと譲らない。</t>
  </si>
  <si>
    <t>番組名警視庁いきもの係【サルを愛した容疑者…起こるはずのない殺人の真相】　#05</t>
  </si>
  <si>
    <t>【ホームページ】  http://www.fujitv.co.jp/ikimono/　    【公式Twitter】  @mpd_ikimono　  https://twitter.com/mpd_ikimono　    【公式Instagram】  @mpd_ikimono　  https://www.instagram.com/mpd_ikimono/　    【公式LINE】  @sundayanimals　須藤(渡部篤郎)は、過去の記憶があいまいなことを薄巡査(橋本環奈)に指摘されショックを受ける。やがては、警察中の人間の知るところとなり、そうなれば刑事を続けることは難しいと悲観し、辞職を決意する。  　そんな折、石松(三浦翔平)から、薄巡査が殺人事件の第一発見者になっていると連絡が入った。現場に駆け付けた須藤に薄巡査は、知人の五反田(鈴之助)からリスザルのことで相談を受け、様子を見に五反田のマンションに寄ったところ、五反田の恋人の名子(渡辺瞳子)が死んでいるのを見つけた、と証言。鉄アレイで後頭部を殴打されたのが死因だった。  　現場を捜査した日塔(長谷川朝晴)は、暑い部屋の温度を下げようとリモコンを探し、床に落ちていたものを拾う。すると、そこに血痕が付いていた。  　捜査の結果、鉄アレイから五反田の指紋が出たこと、五反田と名子は別れ話でもめていたことから五反田が容疑者となった。　翌日、いきもの係に日塔から、五反田の部屋でリスザルが大暴れしていると報告が入る。須藤と薄巡査が到着すると、リスザルと格闘した警官が数名ヘトヘトになっていた。四十万(横山だいすけ)は、リスザルに噛まれ病院へ向かったという。リスザルは興奮して部屋を飛び回っていたが、薄巡査がつかまえてあやすと、落ち着きを取り戻す。薄巡査は、リスザルのケージの扉のストッパーがゆるんでいたことが気にかかる。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</si>
  <si>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須藤(渡部篤郎)は、過去の記憶があいまいなことを薄巡査(橋本環奈)に指摘されショックを受ける。やがては、警察中の人間の知るところとなり、そうなれば刑事を続けることは難しいと悲観し、辞職を決意する。  　そんな折、石松(三浦翔平)から、薄巡査が殺人事件の第一発見者になっていると連絡が入った。現場に駆け付けた須藤に薄巡査は、知人の五反田(鈴之助)からリスザルのことで相談を受け、様子を見に五反田のマンションに寄ったところ、五反田の恋人の名子(渡辺瞳子)が死んでいるのを見つけた、と証言。鉄アレイで後頭部を殴打されたのが死因だった。  　現場を捜査した日塔(長谷川朝晴)は、暑い部屋の温度を下げようとリモコンを探し、床に落ちていたものを拾う。すると、そこに血痕が付いていた。  　捜査の結果、鉄アレイから五反田の指紋が出たこと、五反田と名子は別れ話でもめていたことから五反田が容疑者となった。　翌日、いきもの係に日塔から、五反田の部屋でリスザルが大暴れしていると報告が入る。須藤と薄巡査が到着すると、リスザルと格闘した警官が数名ヘトヘトになっていた。四十万(横山だいすけ)は、リスザルに噛まれ病院へ向かったという。リスザルは興奮して部屋を飛び回っていたが、薄巡査がつかまえてあやすと、落ち着きを取り戻す。薄巡査は、リスザルのケージの扉のストッパーがゆるんでいたことが気にかかる。</t>
  </si>
  <si>
    <t>番組名警視庁いきもの係【記憶の真実話します!事件の鍵は花言葉?最も賢い鳥】　#06</t>
  </si>
  <si>
    <t>【ホームページ】  http://www.fujitv.co.jp/ikimono/　    【公式Twitter】  @mpd_ikimono　  https://twitter.com/mpd_ikimono　    【公式Instagram】  @mpd_ikimono　  https://www.instagram.com/mpd_ikimono/　    【公式LINE】  @sundayanimals　「殺人現場に得体の知れない動物らしきものがいる」と、いきもの係に連絡が入った。悪魔のようなうなり声がして、誰も手出しができないという。須藤(渡部篤郎)と薄(橋本環奈)は現場に向かう。  　須藤と薄が梶田という被害者の家に着くと、日塔(長谷川朝晴)と桜井(清原翔)が、布がかかったケージの前で立ち尽くしていた。そばには、気落ちした様子の石松(三浦翔平)もいた。石松の顔を見た須藤は、突然、頭痛に襲われる。ところが、薄を見ると頭痛は止んだ。どうやら、たい焼きを見た時と同じ現象のようだ。須藤は、石松に退出するよう頼む。  　桜井によれば、梶田は頭部を殴打され死亡。遺体は隣人が発見したと言う。大きなケージがあるほかは、部屋は殺風景だった。薄が静かに布を取ると、中に体長30cmほどのヨウムがいた。状態は良いが「最も賢い鳥」と言われ知能が高いヨウムは、飼い主が殺害された現場を目撃したため、おびえてエサを取らないのが問題だと薄は話した。  　その後、梶田ともめていた伊勢という男が浮上。ヨウムは、もともと伊勢が飼っていたが、会社が経営不振に陥ったため、梶田に預けていたものだった。梶田が、誰かに大金を貸していることも判明したため、警察は、梶田と伊勢の借金を巡るトラブルではないか、と推測。しかし、伊勢は完全否定する。一方、薄はヨウムが遊ぶブロックが外れていたことに気づき…。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</si>
  <si>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「殺人現場に得体の知れない動物らしきものがいる」と、いきもの係に連絡が入った。悪魔のようなうなり声がして、誰も手出しができないという。須藤(渡部篤郎)と薄(橋本環奈)は現場に向かう。  　須藤と薄が梶田という被害者の家に着くと、日塔(長谷川朝晴)と桜井(清原翔)が、布がかかったケージの前で立ち尽くしていた。そばには、気落ちした様子の石松(三浦翔平)もいた。石松の顔を見た須藤は、突然、頭痛に襲われる。ところが、薄を見ると頭痛は止んだ。どうやら、たい焼きを見た時と同じ現象のようだ。須藤は、石松に退出するよう頼む。  　桜井によれば、梶田は頭部を殴打され死亡。遺体は隣人が発見したと言う。大きなケージがあるほかは、部屋は殺風景だった。薄が静かに布を取ると、中に体長30cmほどのヨウムがいた。状態は良いが「最も賢い鳥」と言われ知能が高いヨウムは、飼い主が殺害された現場を目撃したため、おびえてエサを取らないのが問題だと薄は話した。  　その後、梶田ともめていた伊勢という男が浮上。ヨウムは、もともと伊勢が飼っていたが、会社が経営不振に陥ったため、梶田に預けていたものだった。梶田が、誰かに大金を貸していることも判明したため、警察は、梶田と伊勢の借金を巡るトラブルではないか、と推測。しかし、伊勢は完全否定する。一方、薄はヨウムが遊ぶブロックが外れていたことに気づき…。</t>
  </si>
  <si>
    <t>番組名警視庁いきもの係【ピラニアの恐怖!孤独な刑事とコイする動物オタク】　#07</t>
  </si>
  <si>
    <t>古い一軒家に住む高齢男性の川田(秋間登)が、首を絞めて殺された。発見したのは友人の戸村(坪谷隆寛)で、戸村は川田が飼っていたピラニアを見せてもらうため自宅を訪ねたと証言した。  　須藤(渡部篤郎)と圭子(橋本環奈)は、ピラニアの保護のため川田宅へ。そこで、日塔(長谷川朝晴)から、水槽の底に沈んでいるものを取るよう指示される。圭子が取ると、それは戸村が勤める宅配会社の社章だった。石松(三浦翔平)は、戸村がピラニアを巡り川田ともめていたこと、さらに、周囲の防犯カメラに、戸村が川田の家に石を投げつける様子も映っていたことを説明した。  　事件からさかのぼること2週間前、川田宅の近所の公園の池にピラニアが放流され、その後、区役所に「公園で遊ぶ子どもの声がうるさい」と苦情が寄せられるという騒動が起こっていた。須藤は、この“いかにも川田の犯行"と思える事件の流れを不審に思う。  　川田宅の水槽を見ていた圭子は“ナッテリー"という初心者向けのピラニアの状態が悪いことに気づく。水槽や設備が新しいのを見ても、ピラニア飼育のベテランの川田がナッテリーを飼い始めるとは思えない、と圭子は須藤に話した。ふたりは近くでピラニアを扱っているペットショップへ行き、オーナーの草野(夕輝壽太)に聞くと、草野は川田をよく知っていると答えた。やがて、動物に関する知識が豊富な草野と圭子は意気投合し、草野は圭子をデートに誘う。【ホームページ】  http://www.fujitv.co.jp/ikimono/　    【公式Twitter】  @mpd_ikimono　  https://twitter.com/mpd_ikimono　    【公式Instagram】  @mpd_ikimono　  https://www.instagram.com/mpd_ikimono/　    【公式LINE】  @sundayanimals渡部篤郎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</si>
  <si>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古い一軒家に住む高齢男性の川田(秋間登)が、首を絞めて殺された。発見したのは友人の戸村(坪谷隆寛)で、戸村は川田が飼っていたピラニアを見せてもらうため自宅を訪ねたと証言した。  　須藤(渡部篤郎)と圭子(橋本環奈)は、ピラニアの保護のため川田宅へ。そこで、日塔(長谷川朝晴)から、水槽の底に沈んでいるものを取るよう指示される。圭子が取ると、それは戸村が勤める宅配会社の社章だった。石松(三浦翔平)は、戸村がピラニアを巡り川田ともめていたこと、さらに、周囲の防犯カメラに、戸村が川田の家に石を投げつける様子も映っていたことを説明した。  　事件からさかのぼること2週間前、川田宅の近所の公園の池にピラニアが放流され、その後、区役所に「公園で遊ぶ子どもの声がうるさい」と苦情が寄せられるという騒動が起こっていた。須藤は、この“いかにも川田の犯行"と思える事件の流れを不審に思う。  　川田宅の水槽を見ていた圭子は“ナッテリー"という初心者向けのピラニアの状態が悪いことに気づく。水槽や設備が新しいのを見ても、ピラニア飼育のベテランの川田がナッテリーを飼い始めるとは思えない、と圭子は須藤に話した。ふたりは近くでピラニアを扱っているペットショップへ行き、オーナーの草野(夕輝壽太)に聞くと、草野は川田をよく知っていると答えた。やがて、動物に関する知識が豊富な草野と圭子は意気投合し、草野は圭子をデートに誘う。</t>
  </si>
  <si>
    <t>番組名警視庁いきもの係【フクロウが来たりて謎を解く!凸凹コンビ解散の危機】　#08</t>
  </si>
  <si>
    <t>薄(橋本環奈)が“いきもの係"から抜けるかもしれないと鬼頭(寺島進)から告げられた須藤(渡部篤郎)は、そのことを石松(三浦翔平)に話した。するといつの間にか弘子(浅野温子)、二出川(でんでん)、弥生(石川恋)も来て話を聞いていた。薄に詳細を聞いていないという須藤に、弘子らは聞く、聞かないで揉めはじめる。  　そんな中、石松が新たな事件について明かした。渋谷(岡慶悟)という会計士が自宅書斎で撲殺されているのを、妻の敦子(青山倫子)が発見。容疑者は、隣人で翻訳家の藤田(千葉ペイトン)だという。渋谷は、藤田が飼っているフクロウの鳴き声や羽ばたきがうるさいと苦情を訴え、トラブルになっていた。敦子は2人を和解させるため話し合いを持たせたが、お互い譲らずに関係はさらに悪化した。話し合いには、藤田の友人でミミズクを飼う友塚(佐伯新)が付き添っていた。捜査の結果、藤田の家から、渋谷の血液と藤田の指紋が付いた凶器が発見されたが藤田は犯行を全面否認しているという。  　須藤と薄が藤田の家に着くと、四十万(横山だいすけ)がうれしそうに走ってきた。四十万に確認し、室内に入った2人を体長50cmほどのモリフクロウが迎えた。室内で放し飼いにされているフクロウが空腹だと察した薄は、エサを与える。その後、室内を見回した薄は、止まり木の下に置かれているためフンが付いている地球儀を見て疑問に思う。【ホームページ】  http://www.fujitv.co.jp/ikimono/　    【公式Twitter】  @mpd_ikimono　  https://twitter.com/mpd_ikimono　    【公式Instagram】  @mpd_ikimono　  https://www.instagram.com/mpd_ikimono/　    【公式LINE】  @sundayanimals渡部篤郎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</si>
  <si>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薄(橋本環奈)が“いきもの係"から抜けるかもしれないと鬼頭(寺島進)から告げられた須藤(渡部篤郎)は、そのことを石松(三浦翔平)に話した。するといつの間にか弘子(浅野温子)、二出川(でんでん)、弥生(石川恋)も来て話を聞いていた。薄に詳細を聞いていないという須藤に、弘子らは聞く、聞かないで揉めはじめる。  　そんな中、石松が新たな事件について明かした。渋谷(岡慶悟)という会計士が自宅書斎で撲殺されているのを、妻の敦子(青山倫子)が発見。容疑者は、隣人で翻訳家の藤田(千葉ペイトン)だという。渋谷は、藤田が飼っているフクロウの鳴き声や羽ばたきがうるさいと苦情を訴え、トラブルになっていた。敦子は2人を和解させるため話し合いを持たせたが、お互い譲らずに関係はさらに悪化した。話し合いには、藤田の友人でミミズクを飼う友塚(佐伯新)が付き添っていた。捜査の結果、藤田の家から、渋谷の血液と藤田の指紋が付いた凶器が発見されたが藤田は犯行を全面否認しているという。  　須藤と薄が藤田の家に着くと、四十万(横山だいすけ)がうれしそうに走ってきた。四十万に確認し、室内に入った2人を体長50cmほどのモリフクロウが迎えた。室内で放し飼いにされているフクロウが空腹だと察した薄は、エサを与える。その後、室内を見回した薄は、止まり木の下に置かれているためフンが付いている地球儀を見て疑問に思う。</t>
  </si>
  <si>
    <t>番組名警視庁いきもの係【温泉ハリネズミと雀蜂パニック!動き出す最後の事件】　#09</t>
  </si>
  <si>
    <t>“いきもの係"で慰安旅行が催され、須藤(渡部篤郎)、薄(橋本環奈)、弘子(浅野温子)のほか、石松(三浦翔平)らも参加する。一行が山中にある温泉旅館に到着すると、なぜか四十万(横山だいすけ)がいた。聞くと「ギックリ腰で動けない町の駐在の応援」だという。四十万は、旅館の女将の娘・弓子(西畑澪花)が強盗被害に遭ったため、駆け付けていたのだ。  　女将に案内され館内に入るや、薄は事務所にいたヨツユビハリネズミに釘付けになる。弓子のペットだが、弓子はケガで入院中なので、世話ができずに困っていると女将は訴えた。早速、ヨツユビハリネズミの世話を始めた薄は、その手と腹に小さな傷があることに気づく。女将は理由が思い当たらないと言うため、薄は須藤、四十万と弓子に会いに行く。何者かに頭部を殴られ負傷した弓子は、頭に包帯を巻いた姿でベッドに横たわっていた。弓子は、ヨツユビハリネズミが自分にあまり懐いていないこと、生餌は旅館の従業員のアサクラ(林和義)が与えていることを話した。  　旅館に戻った薄はアサクラに、生餌は何を与えているのか、アサクラ自身は甘いものが好きかなどと聞く。さらに、栗原(檜尾健太)という“ハリネズミ友達"がいるが、栗原の妻・亜希子(高橋美津子)はハリネズミを嫌っていることも分かった。【ホームページ】  http://www.fujitv.co.jp/ikimono/　    【公式Twitter】  @mpd_ikimono　  https://twitter.com/mpd_ikimono　    【公式Instagram】  @mpd_ikimono　  https://www.instagram.com/mpd_ikimono/　    【公式LINE】  @sundayanimals渡部篤郎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</si>
  <si>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いきもの係"で慰安旅行が催され、須藤(渡部篤郎)、薄(橋本環奈)、弘子(浅野温子)のほか、石松(三浦翔平)らも参加する。一行が山中にある温泉旅館に到着すると、なぜか四十万(横山だいすけ)がいた。聞くと「ギックリ腰で動けない町の駐在の応援」だという。四十万は、旅館の女将の娘・弓子(西畑澪花)が強盗被害に遭ったため、駆け付けていたのだ。  　女将に案内され館内に入るや、薄は事務所にいたヨツユビハリネズミに釘付けになる。弓子のペットだが、弓子はケガで入院中なので、世話ができずに困っていると女将は訴えた。早速、ヨツユビハリネズミの世話を始めた薄は、その手と腹に小さな傷があることに気づく。女将は理由が思い当たらないと言うため、薄は須藤、四十万と弓子に会いに行く。何者かに頭部を殴られ負傷した弓子は、頭に包帯を巻いた姿でベッドに横たわっていた。弓子は、ヨツユビハリネズミが自分にあまり懐いていないこと、生餌は旅館の従業員のアサクラ(林和義)が与えていることを話した。  　旅館に戻った薄はアサクラに、生餌は何を与えているのか、アサクラ自身は甘いものが好きかなどと聞く。さらに、栗原(檜尾健太)という“ハリネズミ友達"がいるが、栗原の妻・亜希子(高橋美津子)はハリネズミを嫌っていることも分かった。</t>
  </si>
  <si>
    <t>番組名警視庁いきもの係【蜂に魅かれた容疑者テロ計画を阻止せよ!動物集合】　#10</t>
  </si>
  <si>
    <t>須藤(渡部篤郎)と圭子(橋本環奈)は、四十万(横山だいすけ)に案内された警察病院の部屋で元気な鬼頭(寺島進)と対面する。何者かに撃たれ重傷を負ったと報告されたが、それは敵を欺くための偽装だったのだ。敵とは、表向きは宗教法人だが実態は詐欺集団の「ギヤマンの鐘」だという。鬼頭は、そんな危険な集団と手を組み、無差別テロを主導している庄野(利重剛)の写真を見せた。圭子は、その顔に見覚えがあった。石松(三浦翔平)が蜂に刺されたファミレス、慰安旅行に向かうバスの中で見かけていたのだ。  　実は今から5年前、庄野はある事件の容疑者となり、連日警察で取り調べを受けていた。結局解放されたが、その間にやってきた台風が庄野の経営する養蜂場を襲い、蜂が全滅するという悲劇が起こった。その事件を捜査し、庄野を取り調べたのが鬼頭だった。  　庄野の所在の手がかりを掴むため、須藤と圭子は、庄野の養蜂場を訪ねる。そこに養蜂場の形跡はなく、古びた小屋があるだけだった。すると、小屋の方から犬の声が聞こえた。捨て犬かもしれないと思った圭子は小屋へ向かう。須藤がそれを制止しようとした時、目の前を何かが横切った。須藤はとっさに圭子に覆いかぶさり地面に伏せると、すぐそばの地面が爆ぜた。周囲を見回すと、木陰に須藤たちを狙う庄野と「ギヤマンの鐘」の信者の姿があった。危険を感じた須藤は小屋に逃げ込もうとしたが…。【ホームページ】  http://www.fujitv.co.jp/ikimono/　    【公式Twitter】  @mpd_ikimono　  https://twitter.com/mpd_ikimono　    【公式Instagram】  @mpd_ikimono　  https://www.instagram.com/mpd_ikimono/　    【公式LINE】  @sundayanimals渡部篤郎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</si>
  <si>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須藤(渡部篤郎)と圭子(橋本環奈)は、四十万(横山だいすけ)に案内された警察病院の部屋で元気な鬼頭(寺島進)と対面する。何者かに撃たれ重傷を負ったと報告されたが、それは敵を欺くための偽装だったのだ。敵とは、表向きは宗教法人だが実態は詐欺集団の「ギヤマンの鐘」だという。鬼頭は、そんな危険な集団と手を組み、無差別テロを主導している庄野(利重剛)の写真を見せた。圭子は、その顔に見覚えがあった。石松(三浦翔平)が蜂に刺されたファミレス、慰安旅行に向かうバスの中で見かけていたのだ。  　実は今から5年前、庄野はある事件の容疑者となり、連日警察で取り調べを受けていた。結局解放されたが、その間にやってきた台風が庄野の経営する養蜂場を襲い、蜂が全滅するという悲劇が起こった。その事件を捜査し、庄野を取り調べたのが鬼頭だった。  　庄野の所在の手がかりを掴むため、須藤と圭子は、庄野の養蜂場を訪ねる。そこに養蜂場の形跡はなく、古びた小屋があるだけだった。すると、小屋の方から犬の声が聞こえた。捨て犬かもしれないと思った圭子は小屋へ向かう。須藤がそれを制止しようとした時、目の前を何かが横切った。須藤はとっさに圭子に覆いかぶさり地面に伏せると、すぐそばの地面が爆ぜた。周囲を見回すと、木陰に須藤たちを狙う庄野と「ギヤマンの鐘」の信者の姿があった。危険を感じた須藤は小屋に逃げ込もうとしたが…。</t>
  </si>
  <si>
    <t>1704_CX_月21</t>
  </si>
  <si>
    <t>貴族探偵</t>
  </si>
  <si>
    <t>番組名貴族探偵【推理はしないが、謎は解く!破天荒なニューヒーロー登場!】　#01</t>
  </si>
  <si>
    <t>とある探偵事務所。高徳愛香(武井咲)が動き回っている。そんな愛香を尻目に、ワイングラスを傾けているのは喜多見切子(井川遥)。新米探偵である愛香は、クライアントで日本有数の財閥令嬢・玉村依子(木南晴夏)からパーティーに招かれており、準備に慌ただしい。  愛香がやってきたのは、ガスコン荘。荘内を令嬢に案内されている中、愛香が異変を見つける。血の足跡が…。手袋をはめ、地下室へ足が向く愛香。  愛香が地下室の扉を明けると、そこには異様な光景が広がっていた。  パトカーがガスコン荘へ到着。現場指揮をとる刑事・鼻形雷雨(生瀬勝久)。部下の常見慎吾(岡山天音)とともに、鑑識の冬樹和泉(田中道子)から状況報告を受けると、事件関係者の聴取へ。執事の出で立ちをした男(松重豊)ー名を山本と言うーが「我が主が、公僕殿や皆様とお会いすることを望んでおります」。  メイド服の女性(中山美穂)ー名を田中と言うーがお茶を一同に出すと、古めかしい運転手風情の男(滝藤賢一)ー名を佐藤と言うーと談笑をして現れた男。頭のてっぺんから足の指先まで、すべてが貴族なのだ。  まったく事が飲み込めない愛香と鼻形。一体全体、あなたは何者なのか?  「心ある人からは、こう呼ばれています。貴族探偵と」  名前を聞いた時、わき上がる愛香の敵対心。そして勃発する貴族と愛香の推理対決。既成の推理劇の常識を完全に覆す、前代未聞の謎解きの幕が今、上がったー!相葉雅紀　  武井咲　  生瀬勝久  　/　  木南晴夏　  岡山天音　  田中道子  　・　  井川遥  　・　  仲間由紀恵(特別出演)  　/　  滝藤賢一　  中山美穂　  松重豊【原作】  麻耶雄嵩「貴族探偵」「貴族探偵対女探偵」(集英社文庫刊)　    【脚本】  黒岩勉　    【主題歌】  嵐「I`ll　be　there」(ジェイ・ストーム)　    【プロデュース】  羽鳥健一　  西坂瑞城　    【演出】  中江功　  金井紘　  相沢秀幸　    【制作】  フジテレビ【番組公式ホームページ】  http://www.fujitv.co.jp/kizoku/index.html    【番組公式ツイッター】  https://twitter.com/kizoku_gozen　    番組公式ラインもやっていますので是非、番組公式ホームページをご検索してください!</t>
  </si>
  <si>
    <t>とある探偵事務所。高徳愛香(武井咲)が動き回っている。そんな愛香を尻目に、ワイングラスを傾けているのは喜多見切子(井川遥)。新米探偵である愛香は、クライアントで日本有数の財閥令嬢・玉村依子(木南晴夏)からパーティーに招かれており、準備に慌ただしい。  愛香がやってきたのは、ガスコン荘。荘内を令嬢に案内されている中、愛香が異変を見つける。血の足跡が…。手袋をはめ、地下室へ足が向く愛香。  愛香が地下室の扉を明けると、そこには異様な光景が広がっていた。  パトカーがガスコン荘へ到着。現場指揮をとる刑事・鼻形雷雨(生瀬勝久)。部下の常見慎吾(岡山天音)とともに、鑑識の冬樹和泉(田中道子)から状況報告を受けると、事件関係者の聴取へ。執事の出で立ちをした男(松重豊)ー名を山本と言うーが「我が主が、公僕殿や皆様とお会いすることを望んでおります」。  メイド服の女性(中山美穂)ー名を田中と言うーがお茶を一同に出すと、古めかしい運転手風情の男(滝藤賢一)ー名を佐藤と言うーと談笑をして現れた男。頭のてっぺんから足の指先まで、すべてが貴族なのだ。  まったく事が飲み込めない愛香と鼻形。一体全体、あなたは何者なのか?  「心ある人からは、こう呼ばれています。貴族探偵と」  名前を聞いた時、わき上がる愛香の敵対心。そして勃発する貴族と愛香の推理対決。既成の推理劇の常識を完全に覆す、前代未聞の謎解きの幕が今、上がったー!</t>
  </si>
  <si>
    <t>番組名貴族探偵【第1発見者は御前!メイドと女探偵が推理対決で謎を解く!】　#02</t>
  </si>
  <si>
    <t>【番組公式ホームページ】  http://www.fujitv.co.jp/kizoku/index.html    【番組公式ツイッター】  https://twitter.com/kizoku_gozen　    番組公式ラインもやっていますので是非、番組公式ホームページをご検索してください!自らを貴族と称し、探偵を趣味とする貴族探偵(相葉雅紀)。しかし、推理は使用人の佐藤(滝藤賢一)田中(中山美穂)山本(松重豊)達に任せきり。そんな貴族探偵が、今回現れたのは…。  高徳愛香(武井咲)は、編集者・日岡美咲(紺野まひる)の車で、人気ミステリー作家・厄神春柾(大和田伸也)の別荘に向かっている。探偵に取材したいという厄神の依頼に愛香が招かれたのだ。2人の車の前に、突然巨大な石が落ちて来た。愛香が現場の安全を確保し、警察に通報して車に戻ると美咲がいない。と、愛香の目の前に驚きの光景が。何と美咲は、いつの間にか現れた貴族探偵とお茶をしているではないか。  落石に憤る貴族探偵は、落下場所の真上にある別荘に文句を言いに行こうと動き出す。そこは愛香たちの目的地、厄神の別荘だった。呼び鈴を鳴らしても誰も出ないため、貴族探偵はズカズカと別荘内へ。すると、書斎のベッドに頭から血を流して横たわる厄神の死体が…。  状況を把握しようとする愛香。警察も到着するも、なぜか管轄違いの鼻形雷雨(生瀬勝久)と常見慎吾(岡山天音)が。鼻形たちは貴族探偵専任になったらしく、貴族探偵に不満を抱く管轄の久下村勇気刑事(平山祐介)をなだめている。  厄神の関係者、妻の令子(横山めぐみ)、美咲と同じ編集者の松尾早織(豊田エリー)と滝野光敏(丸山智己)に聴取する愛香と鼻形。厄神のファンだったと言うメイドの田中も捜査に付き添う。相葉雅紀　  武井咲　  生瀬勝久  　/　  木南晴夏　  岡山天音　  田中道子  　・　  井川遥  　・　  仲間由紀恵(特別出演)  　/　  滝藤賢一　  中山美穂　  松重豊【原作】  麻耶雄嵩「貴族探偵」「貴族探偵対女探偵」(集英社文庫刊)　    【脚本】  黒岩勉　    【主題歌】  嵐「I`ll　be　there」(ジェイ・ストーム)　    【プロデュース】  羽鳥健一　  西坂瑞城　    【演出】  中江功　  金井紘　  相沢秀幸　    【制作】  フジテレビ</t>
  </si>
  <si>
    <t>自らを貴族と称し、探偵を趣味とする貴族探偵(相葉雅紀)。しかし、推理は使用人の佐藤(滝藤賢一)田中(中山美穂)山本(松重豊)達に任せきり。そんな貴族探偵が、今回現れたのは…。  高徳愛香(武井咲)は、編集者・日岡美咲(紺野まひる)の車で、人気ミステリー作家・厄神春柾(大和田伸也)の別荘に向かっている。探偵に取材したいという厄神の依頼に愛香が招かれたのだ。2人の車の前に、突然巨大な石が落ちて来た。愛香が現場の安全を確保し、警察に通報して車に戻ると美咲がいない。と、愛香の目の前に驚きの光景が。何と美咲は、いつの間にか現れた貴族探偵とお茶をしているではないか。  落石に憤る貴族探偵は、落下場所の真上にある別荘に文句を言いに行こうと動き出す。そこは愛香たちの目的地、厄神の別荘だった。呼び鈴を鳴らしても誰も出ないため、貴族探偵はズカズカと別荘内へ。すると、書斎のベッドに頭から血を流して横たわる厄神の死体が…。  状況を把握しようとする愛香。警察も到着するも、なぜか管轄違いの鼻形雷雨(生瀬勝久)と常見慎吾(岡山天音)が。鼻形たちは貴族探偵専任になったらしく、貴族探偵に不満を抱く管轄の久下村勇気刑事(平山祐介)をなだめている。  厄神の関係者、妻の令子(横山めぐみ)、美咲と同じ編集者の松尾早織(豊田エリー)と滝野光敏(丸山智己)に聴取する愛香と鼻形。厄神のファンだったと言うメイドの田中も捜査に付き添う。</t>
  </si>
  <si>
    <t>番組名貴族探偵【禁断の恋の末のバラバラ殺人事件発生!?容疑者は愛しの先生!】　#03</t>
  </si>
  <si>
    <t>【番組公式ホームページ】  http://www.fujitv.co.jp/kizoku/index.html    【番組公式ツイッター】  https://twitter.com/kizoku_gozen　    番組公式ラインもやっていますので是非、番組公式ホームページをご検索してください!貴族探偵(相葉雅紀)の絶大な力は、使用人任せの探偵業でも威力を発揮する。貴族探偵の捜査に、警察官も口出しできないのはすでにおわかりであろう。そして、貴族探偵の世話をする神奈川県警捜査一課警部補、鼻形雷雨(生瀬勝久)たちに、新たな展開が…。  喜多見切子探偵事務所に、怯え、戸惑った様子の女子高生、垂水遥(橋本環奈)が訪ねてきた。応対した高徳愛香(武井咲)は、遥の不安を和らげながら依頼を聞くことに。1週間前、廃倉庫で女性の遺体が発見された。遺体は頭と両腕が切断され、遺留品もないため捜査は難航の様相を見せる。しかし、ほどなく現場から数キロの河川敷で、頭部と腕、遺留品を埋めている男が目撃された。男は遥の高校の教師、浜村康介(内野謙太)で、間も無く警察に連行されてしまう。  実は、遥は浜村と結婚を前提とした交際をしていた。だが、事件で交際が公となり、遥は周囲から白い目で見られてしまう。浜村の無罪を信じる遥だが、周囲に頼る術もなく、愛香を頼って来たのだ。  依頼を引き受けた愛香は、遥と事件現場の廃倉庫へ。ひと通り現場を巡り、戻った愛香はあぜん。遥が貴族探偵の飼い犬と戯れているではないか。執事の山本(松重豊)によると、貴族探偵は狩りに出かけた帰り道、現場を通りかかったので、寄り道してこの何とも不可解な事件をひも解いてみようとなったらしい。呆れる愛香をよそに、貴族探偵は勝手に依頼を引き受けてしまう。相葉雅紀　  武井咲　  生瀬勝久  　/　  木南晴夏　  岡山天音　  田中道子  　・　  井川遥  　・　  仲間由紀恵(特別出演)  　/　  滝藤賢一　  中山美穂　  松重豊【原作】  麻耶雄嵩「貴族探偵」「貴族探偵対女探偵」(集英社文庫刊)　    【脚本】  黒岩勉　    【主題歌】  嵐「I`ll　be　there」(ジェイ・ストーム)　    【プロデュース】  羽鳥健一　  西坂瑞城　    【演出】  中江功　  金井紘　  相沢秀幸　    【制作】  フジテレビ</t>
  </si>
  <si>
    <t>貴族探偵(相葉雅紀)の絶大な力は、使用人任せの探偵業でも威力を発揮する。貴族探偵の捜査に、警察官も口出しできないのはすでにおわかりであろう。そして、貴族探偵の世話をする神奈川県警捜査一課警部補、鼻形雷雨(生瀬勝久)たちに、新たな展開が…。  喜多見切子探偵事務所に、怯え、戸惑った様子の女子高生、垂水遥(橋本環奈)が訪ねてきた。応対した高徳愛香(武井咲)は、遥の不安を和らげながら依頼を聞くことに。1週間前、廃倉庫で女性の遺体が発見された。遺体は頭と両腕が切断され、遺留品もないため捜査は難航の様相を見せる。しかし、ほどなく現場から数キロの河川敷で、頭部と腕、遺留品を埋めている男が目撃された。男は遥の高校の教師、浜村康介(内野謙太)で、間も無く警察に連行されてしまう。  実は、遥は浜村と結婚を前提とした交際をしていた。だが、事件で交際が公となり、遥は周囲から白い目で見られてしまう。浜村の無罪を信じる遥だが、周囲に頼る術もなく、愛香を頼って来たのだ。  依頼を引き受けた愛香は、遥と事件現場の廃倉庫へ。ひと通り現場を巡り、戻った愛香はあぜん。遥が貴族探偵の飼い犬と戯れているではないか。執事の山本(松重豊)によると、貴族探偵は狩りに出かけた帰り道、現場を通りかかったので、寄り道してこの何とも不可解な事件をひも解いてみようとなったらしい。呆れる愛香をよそに、貴族探偵は勝手に依頼を引き受けてしまう。</t>
  </si>
  <si>
    <t>番組名貴族探偵【温泉宿で殺人事件!孤立する宿!使用人不在で御前大ピンチ!】　#04</t>
  </si>
  <si>
    <t>喜多見切子探偵事務所で愛香(武井咲)が応対したのは、数名のアイドルオタク。彼らが愛するアイドル、有畑しずる(藤川千愛)がライブ後に自殺。オタクたちは、彼女の死の陰にいる田名部優という人物を愛香に探し出して欲しいというのだ。田名部に責任を取らせるとざわめくオタクたちに、復讐に力は貸せないと愛香は断る。オタクたちと入れ違いに、玉村依子(木南晴香)がやって来た。依子の誘いに興味が惹かれた愛香は、パワースポットで話題の温泉に行くことになる。  「浜梨館」へ向かうための山道の入り口で愛香たちを迎えたのは、女将の浜梨久仁子(釈由美子)。道中で女将は、今夜行われる“いづな様"を迎える儀式の由来の話などをしながら、愛香たちを儀式が行われる旅館の奥の間へ通す。  そこには、赤川和美(柳ゆり菜)、金谷沢広成(小松和重)の先客がいた。お互いに挨拶をしていると、鼻形雷雨(生瀬勝久)が来る。鼻形もご利益を授かりに来たらしい。続けて有戸秀司(阿部力)。壁に書かれた名前によると、残る参加者は下北香苗(草刈麻有)と田名部。田名部はオタクたちが愛香に探して欲しいと頼んだ人物…。すると、香苗を伴って貴族探偵(相葉雅紀)が!ついに貴族探偵の本名判明?しかし、すぐに田名部(渋谷謙人)と名乗る男が現れる。  ついに始まる“いづな様"の儀式。そして、発生してしまった殺人事件!使用人不在の貴族探偵は、どう立ち回るのか?相葉雅紀　  武井咲　  生瀬勝久  　/　  木南晴夏　  岡山天音　  田中道子  　・　  井川遥  　・　  仲間由紀恵(特別出演)  　/　  滝藤賢一　  中山美穂　  松重豊　    他【原作】  麻耶雄嵩「貴族探偵」「貴族探偵対女探偵」(集英社文庫刊)　    【脚本】  黒岩勉　    【主題歌】  嵐「I`ll　be　there」(ジェイ・ストーム)　    【プロデュース】  羽鳥健一　  西坂瑞城　    【演出】  中江功　  金井紘　  相沢秀幸　    【制作】  フジテレビ【番組公式ホームページ】  http://www.fujitv.co.jp/kizoku/index.html    【番組公式ツイッター】  https://twitter.com/kizoku_gozen　    番組公式ラインもやっていますので是非、番組公式ホームページをご検索してください!</t>
  </si>
  <si>
    <t>喜多見切子探偵事務所で愛香(武井咲)が応対したのは、数名のアイドルオタク。彼らが愛するアイドル、有畑しずる(藤川千愛)がライブ後に自殺。オタクたちは、彼女の死の陰にいる田名部優という人物を愛香に探し出して欲しいというのだ。田名部に責任を取らせるとざわめくオタクたちに、復讐に力は貸せないと愛香は断る。オタクたちと入れ違いに、玉村依子(木南晴香)がやって来た。依子の誘いに興味が惹かれた愛香は、パワースポットで話題の温泉に行くことになる。  「浜梨館」へ向かうための山道の入り口で愛香たちを迎えたのは、女将の浜梨久仁子(釈由美子)。道中で女将は、今夜行われる“いづな様"を迎える儀式の由来の話などをしながら、愛香たちを儀式が行われる旅館の奥の間へ通す。  そこには、赤川和美(柳ゆり菜)、金谷沢広成(小松和重)の先客がいた。お互いに挨拶をしていると、鼻形雷雨(生瀬勝久)が来る。鼻形もご利益を授かりに来たらしい。続けて有戸秀司(阿部力)。壁に書かれた名前によると、残る参加者は下北香苗(草刈麻有)と田名部。田名部はオタクたちが愛香に探して欲しいと頼んだ人物…。すると、香苗を伴って貴族探偵(相葉雅紀)が!ついに貴族探偵の本名判明?しかし、すぐに田名部(渋谷謙人)と名乗る男が現れる。  ついに始まる“いづな様"の儀式。そして、発生してしまった殺人事件!使用人不在の貴族探偵は、どう立ち回るのか?</t>
  </si>
  <si>
    <t>番組名貴族探偵【華麗なる一族の惨劇!花婿選びの世継ぎ争いで連続殺人事件!】　#05</t>
  </si>
  <si>
    <t>【番組公式ホームページ】  http://www.fujitv.co.jp/kizoku/index.html    【番組公式ツイッター】  https://twitter.com/kizoku_gozen　    番組公式ラインもやっていますので是非、番組公式ホームページをご検索してください!貴族探偵(相葉雅紀)は何者なのか?正体を探るべく、高徳愛香(武井咲)は玉村依子(木南晴香)の紹介で、貴族探偵と懇意にしているという桜川鷹亮(竜雷太)に会いに行く。  桜川家を訪ねた愛香だが、依子が来ない。帰ろうとする愛香を呼び止める声。鷹亮の外孫、豊郷皐月(加藤あい)だ。皐月はお茶でも、と愛香を屋敷に誘う。  愛香が皐月と話をしていると、猟銃を持ち、獲物のキジを手にした一団が。大事な儀式のためだと教える皐月は、愛香も見てみないかと再び誘ってくれた。  屋敷内には、先ほどの男たちが控えていた。そこに、鷹亮が来る。皐月は、鷹亮の孫・弥生(北香那)の婿、桜川家の次期当主を選ぶための儀式だと愛香に教える。キジを射止めた金山俊市(忍成修吾)をはじめとした先ほどの一団の男たちが婿候補だった。  金山は得意顔で弥生をエスコート。他の参加者たちと、使用人の愛知川友也(白洲迅)が弥生に付き添う。様子を見ていた愛香だったが、思わぬ幸運を得る。なんと、鷹亮が面会すると言うのだ。  鷹亮の書斎に通された愛香は、貴族探偵のことを尋ねる。すると、鷹亮は本人に直接聞いてみるよう促す。愛香が振り返ると貴族探偵が!貴族探偵は儀式の立会人だったのだ。鷹亮は愛香にも立会人を依頼する。2人の探偵を立会人として、いよいよ始まった婿選びの儀式であったが、鷹亮の懸念通り、凄惨な事件が待ち受けていた!相葉雅紀　  武井咲　  生瀬勝久  　/　  木南晴夏　  岡山天音　  田中道子  　・　  井川遥  　・　  仲間由紀恵(特別出演)  　/　  滝藤賢一　  中山美穂　  松重豊　    【第5話ゲスト】  加藤あい　  竜雷太　  忍成修吾　  北香那　    他【原作】  麻耶雄嵩「貴族探偵」「貴族探偵対女探偵」(集英社文庫刊)　    【脚本】  黒岩勉　    【主題歌】  嵐「I`ll　be　there」(ジェイ・ストーム)　    【プロデュース】  羽鳥健一　  西坂瑞城　    【演出】  中江功　  金井紘　  相沢秀幸　    【制作】  フジテレビ</t>
  </si>
  <si>
    <t>貴族探偵(相葉雅紀)は何者なのか?正体を探るべく、高徳愛香(武井咲)は玉村依子(木南晴香)の紹介で、貴族探偵と懇意にしているという桜川鷹亮(竜雷太)に会いに行く。  桜川家を訪ねた愛香だが、依子が来ない。帰ろうとする愛香を呼び止める声。鷹亮の外孫、豊郷皐月(加藤あい)だ。皐月はお茶でも、と愛香を屋敷に誘う。  愛香が皐月と話をしていると、猟銃を持ち、獲物のキジを手にした一団が。大事な儀式のためだと教える皐月は、愛香も見てみないかと再び誘ってくれた。  屋敷内には、先ほどの男たちが控えていた。そこに、鷹亮が来る。皐月は、鷹亮の孫・弥生(北香那)の婿、桜川家の次期当主を選ぶための儀式だと愛香に教える。キジを射止めた金山俊市(忍成修吾)をはじめとした先ほどの一団の男たちが婿候補だった。  金山は得意顔で弥生をエスコート。他の参加者たちと、使用人の愛知川友也(白洲迅)が弥生に付き添う。様子を見ていた愛香だったが、思わぬ幸運を得る。なんと、鷹亮が面会すると言うのだ。  鷹亮の書斎に通された愛香は、貴族探偵のことを尋ねる。すると、鷹亮は本人に直接聞いてみるよう促す。愛香が振り返ると貴族探偵が!貴族探偵は儀式の立会人だったのだ。鷹亮は愛香にも立会人を依頼する。2人の探偵を立会人として、いよいよ始まった婿選びの儀式であったが、鷹亮の懸念通り、凄惨な事件が待ち受けていた!</t>
  </si>
  <si>
    <t>番組名貴族探偵【花婿候補連続殺人!身分違いの恋が生み出した事件なのか!?】　#06</t>
  </si>
  <si>
    <t>【番組公式ホームページ】  http://www.fujitv.co.jp/kizoku/index.html    【番組公式ツイッター】  https://twitter.com/kizoku_gozen　    番組公式ラインもやっていますので是非、番組公式ホームページをご検索してください!　貴族探偵(相葉雅紀)と高徳愛香(武井咲)が立会人となった桜川家、婿選びの儀式で、凄惨な連続殺人が起きてしまった。儀式は桜川家当主、鷹亮(竜雷太)の孫娘、弥生(北香那)の婿を決めるもの。莫大な財産と権力を引き継ぐことになるので、鷹亮はこのような事態が発生することを懸念していた。  　事件は、婿の第一候補となった金山俊市(忍成修吾)が毒を盛られて病院に運ばれたことを皮切りに始まった。そして、その夜別棟に宿泊していた他の婿候補3人が次々に殺されてしまう。しかも、彼らが宿泊していた別棟は密室状態だった…。  　警察の捜査が始まる中、弥生の従姉妹である豊郷皐月(加藤あい)が彼女の身を案じる。それ以上に弥生を案じていそうなのが、桜川家の使用人、愛知川友也(白洲迅)。友也は足を引きずりながら弥生に寄り添っている。愛香が皐月に尋ねると、友也の足は名誉の負傷だと話した。友也は、幼い時に弥生を助けるために大けがを負ってしまったらしい。  　鷹亮の書斎に呼ばれた愛香は、改めて事件の捜査を依頼された。愛香は事件の真相を解いたら貴族探偵の正体を教えてもらうことを条件に引き受ける。だが、鷹亮は貴族探偵にも捜査を依頼していた。  　愛香が鼻形雷雨(生瀬勝久)と天幕に行くと、貴族探偵は婿候補3人の殺害事件それぞれを、佐藤(滝藤賢一)、田中(中山美穂)、山本(松重豊)に調べさせると言う…。相葉雅紀　  武井咲　  生瀬勝久  　/　  木南晴夏　  岡山天音　  田中道子  　・　  井川遥  　・　  仲間由紀恵(特別出演)  　/　  滝藤賢一　  中山美穂　  松重豊　    【第6話ゲスト】  加藤あい　  竜雷太　  北香那　    他【原作】  麻耶雄嵩「貴族探偵」「貴族探偵対女探偵」(集英社文庫刊)　    【脚本】  黒岩勉　    【主題歌】  嵐「I`ll　be　there」(ジェイ・ストーム)　    【プロデュース】  羽鳥健一　  西坂瑞城　    【演出】  中江功　  金井紘　  相沢秀幸　    【制作】  フジテレビ</t>
  </si>
  <si>
    <t>貴族探偵(相葉雅紀)と高徳愛香(武井咲)が立会人となった桜川家、婿選びの儀式で、凄惨な連続殺人が起きてしまった。儀式は桜川家当主、鷹亮(竜雷太)の孫娘、弥生(北香那)の婿を決めるもの。莫大な財産と権力を引き継ぐことになるので、鷹亮はこのような事態が発生することを懸念していた。  　事件は、婿の第一候補となった金山俊市(忍成修吾)が毒を盛られて病院に運ばれたことを皮切りに始まった。そして、その夜別棟に宿泊していた他の婿候補3人が次々に殺されてしまう。しかも、彼らが宿泊していた別棟は密室状態だった…。  　警察の捜査が始まる中、弥生の従姉妹である豊郷皐月(加藤あい)が彼女の身を案じる。それ以上に弥生を案じていそうなのが、桜川家の使用人、愛知川友也(白洲迅)。友也は足を引きずりながら弥生に寄り添っている。愛香が皐月に尋ねると、友也の足は名誉の負傷だと話した。友也は、幼い時に弥生を助けるために大けがを負ってしまったらしい。  　鷹亮の書斎に呼ばれた愛香は、改めて事件の捜査を依頼された。愛香は事件の真相を解いたら貴族探偵の正体を教えてもらうことを条件に引き受ける。だが、鷹亮は貴族探偵にも捜査を依頼していた。  　愛香が鼻形雷雨(生瀬勝久)と天幕に行くと、貴族探偵は婿候補3人の殺害事件それぞれを、佐藤(滝藤賢一)、田中(中山美穂)、山本(松重豊)に調べさせると言う…。</t>
  </si>
  <si>
    <t>番組名貴族探偵【名探偵との直接対決!暴かれる貴族の秘密と謎の使用人登場!】　#07</t>
  </si>
  <si>
    <t>【番組公式ホームページ】  http://www.fujitv.co.jp/kizoku/index.html    【番組公式ツイッター】  https://twitter.com/kizoku_gozen　    番組公式ラインもやっていますので是非、番組公式ホームページをご検索してください!高徳愛香(武井咲)は、師匠・喜多見切子(井川遥)が亡くなる直前に扱った事件の報告書を読んでいる。師匠の死に貴族探偵(相葉雅紀)が関係しているかを調べるために。  1年前、切子の大切なクライアントである都倉電子社長の都倉健一(小木茂光)が亡くなった。自殺との一報を受けた切子は信じられず、都倉家に急ぐ。切子を出迎えたのは、都倉の妻・光恵(広末涼子)、都倉の前妻の息子・忠仁(藤原季節)、同じく娘の江梨子(唐田えりか)、秘書の旗手真佐子(森口瑤子)たち。  切子は現場の管理責任者という交番勤務の警官、鼻形雷雨(生瀬勝久)を説き伏せ、都倉が死亡した書斎に入る。都倉は睡眠薬服用後、自ら手首を切って失血死したと警察は判断していた。書斎は中から鍵がかけられた、いわゆる密室状態だったのだ。しかし、現場を独自に検証した切子は、密室は意図的に作られたと見抜き、都倉が何者かに殺されたと疑う。そこに、田中(中山美穂)がやって来た。田中は主が待っていると、一同を貴族の天幕に誘う。  貴族探偵は、面白そうだから出向いたと言う。こうして、都倉を殺害した犯人暴きを、貴族探偵と切子が競うことになった。もちろん、貴族探偵は現在と同じく、田中、佐藤(滝藤賢一)、山本(松重豊)ら使用人に推理は任せる様子。さらに、貴族探偵は、もう1人の使用人にあることを依頼する。事件を解決するのはどちらなのか?そして、もう1人の使用人とは?相葉雅紀　  武井咲　  生瀬勝久  　/　  木南晴夏　  岡山天音　  田中道子  　・　  井川遥  　・　  仲間由紀恵(特別出演)  　/　  滝藤賢一　  中山美穂　  松重豊　    【第7話ゲスト】  広末涼子　  小木茂光　  森口瑤子　    他【原作】  麻耶雄嵩「貴族探偵」「貴族探偵対女探偵」(集英社文庫刊)　    【脚本】  黒岩勉　    【主題歌】  嵐「I`ll　be　there」(ジェイ・ストーム)　    【プロデュース】  羽鳥健一　  西坂瑞城　    【演出】  中江功　  金井紘　  相沢秀幸　    【制作】  フジテレビ</t>
  </si>
  <si>
    <t>高徳愛香(武井咲)は、師匠・喜多見切子(井川遥)が亡くなる直前に扱った事件の報告書を読んでいる。師匠の死に貴族探偵(相葉雅紀)が関係しているかを調べるために。  1年前、切子の大切なクライアントである都倉電子社長の都倉健一(小木茂光)が亡くなった。自殺との一報を受けた切子は信じられず、都倉家に急ぐ。切子を出迎えたのは、都倉の妻・光恵(広末涼子)、都倉の前妻の息子・忠仁(藤原季節)、同じく娘の江梨子(唐田えりか)、秘書の旗手真佐子(森口瑤子)たち。  切子は現場の管理責任者という交番勤務の警官、鼻形雷雨(生瀬勝久)を説き伏せ、都倉が死亡した書斎に入る。都倉は睡眠薬服用後、自ら手首を切って失血死したと警察は判断していた。書斎は中から鍵がかけられた、いわゆる密室状態だったのだ。しかし、現場を独自に検証した切子は、密室は意図的に作られたと見抜き、都倉が何者かに殺されたと疑う。そこに、田中(中山美穂)がやって来た。田中は主が待っていると、一同を貴族の天幕に誘う。  貴族探偵は、面白そうだから出向いたと言う。こうして、都倉を殺害した犯人暴きを、貴族探偵と切子が競うことになった。もちろん、貴族探偵は現在と同じく、田中、佐藤(滝藤賢一)、山本(松重豊)ら使用人に推理は任せる様子。さらに、貴族探偵は、もう1人の使用人にあることを依頼する。事件を解決するのはどちらなのか?そして、もう1人の使用人とは?</t>
  </si>
  <si>
    <t>番組名貴族探偵【何と女探偵に殺人容疑!色恋沙汰殺人事件は貴族の罠なのか?】　#08</t>
  </si>
  <si>
    <t>【番組公式ホームページ】  http://www.fujitv.co.jp/kizoku/index.html    【番組公式ツイッター】  https://twitter.com/kizoku_gozen　    番組公式ラインもやっていますので是非、番組公式ホームページをご検索してください!貴族探偵(相葉雅紀)は、特命秘書の鈴木(仲間由紀恵)に喜多見切子(井川遥)の殺害命令を下していた?高徳愛香(武井咲)は、切子の手帳から政宗是正という人物の名を見つける。切子はこの男を調べようとして殺害されたのだろうか?政宗是正こそ貴族探偵の正体なのか?  愛香は事務所に鼻形雷雨(生瀬勝久)を呼んで、今まで自分が調べたことを話す。そして、鼻形に政宗是正について警察の力で調べてほしいと頼む。ちょうどその時、愛香の大学時代の先輩、韮山瞳(上原多香子)から電話が入った。  瞳は母校の准教授をしていたため、久しぶりに大学を訪ねた愛香。そこには、最近瞳と知り合った貴族探偵がいた。研究室で扱う光るキノコを見に来た貴族探偵に、愛香の先輩であることが分かった瞳を通して、見にこないかと誘われたのだ。そんな話の途中、貴族探偵は自分のことを調べるのは命がけになると愛香に忠告する。推理の無能ぶりまで指摘された愛香が怒ると、貴族探偵は席を外してしまった。  憤る愛香に優しくお茶を供する田中(中山美穂)。愛香は貴族探偵に仕えた理由を尋ねるが、田中が答えることはなかった。そんな時、女性の悲鳴が!愛香が駆けつけると、韮山研究室のゼミ幹、大場和典(松川尚瑠輝)が殺されていた。  警察の捜査が始まると、貴族探偵はこの事件を愛香に依頼すると言う。だが、それは叶わなかった。なんと、愛香が重要参考人として連行されてしまったのだ!相葉雅紀　  武井咲　  生瀬勝久  　/　  木南晴夏　  岡山天音　  田中道子  　・　  井川遥  　・　  仲間由紀恵(特別出演)  　/　  滝藤賢一　  中山美穂　  松重豊　    【第8話ゲスト】  上原多香子　    他【原作】  麻耶雄嵩「貴族探偵」「貴族探偵対女探偵」(集英社文庫刊)　    【脚本】  黒岩勉　    【主題歌】  嵐「I`ll　be　there」(ジェイ・ストーム)　    【プロデュース】  羽鳥健一　  西坂瑞城　    【演出】  中江功　  金井紘　  相沢秀幸　    【制作】  フジテレビ</t>
  </si>
  <si>
    <t>貴族探偵(相葉雅紀)は、特命秘書の鈴木(仲間由紀恵)に喜多見切子(井川遥)の殺害命令を下していた?高徳愛香(武井咲)は、切子の手帳から政宗是正という人物の名を見つける。切子はこの男を調べようとして殺害されたのだろうか?政宗是正こそ貴族探偵の正体なのか?  愛香は事務所に鼻形雷雨(生瀬勝久)を呼んで、今まで自分が調べたことを話す。そして、鼻形に政宗是正について警察の力で調べてほしいと頼む。ちょうどその時、愛香の大学時代の先輩、韮山瞳(上原多香子)から電話が入った。  瞳は母校の准教授をしていたため、久しぶりに大学を訪ねた愛香。そこには、最近瞳と知り合った貴族探偵がいた。研究室で扱う光るキノコを見に来た貴族探偵に、愛香の先輩であることが分かった瞳を通して、見にこないかと誘われたのだ。そんな話の途中、貴族探偵は自分のことを調べるのは命がけになると愛香に忠告する。推理の無能ぶりまで指摘された愛香が怒ると、貴族探偵は席を外してしまった。  憤る愛香に優しくお茶を供する田中(中山美穂)。愛香は貴族探偵に仕えた理由を尋ねるが、田中が答えることはなかった。そんな時、女性の悲鳴が!愛香が駆けつけると、韮山研究室のゼミ幹、大場和典(松川尚瑠輝)が殺されていた。  警察の捜査が始まると、貴族探偵はこの事件を愛香に依頼すると言う。だが、それは叶わなかった。なんと、愛香が重要参考人として連行されてしまったのだ!</t>
  </si>
  <si>
    <t>番組名貴族探偵【女探偵逆襲暴かれる貴族の真相?美しい遺体に隠された秘密!】　#09</t>
  </si>
  <si>
    <t>【番組公式ホームページ】  http://www.fujitv.co.jp/kizoku/index.html    【番組公式ツイッター】  https://twitter.com/kizoku_gozen　    番組公式ラインもやっていますので是非、番組公式ホームページをご検索してください!喜多見切子(井川遥)の死の真相、そして貴族探偵(相葉雅紀)の関わりを追う高徳愛香(武井咲)は、政宗是正という人物にたどり着く。愛香に頼まれた鼻形雷雨(生瀬勝久)が、政宗を警察庁のデータベースで調べると、シンガポールを拠点に黒い活動をする人物という以外、貴族探偵と同じように一切が謎に包まれた人物だった。  愛香は鼻形と、切子の遺体が発見された渓谷に花を手向けに行く。切子は上流の山道から転落して流された事故死とされていたが、当時の関係者は遺体には目立った外傷がなかったと証言していた。鼻形は近くの喫茶店に後輩の警官を呼び出し、当時の資料を持ち出すよう頼む。  その喫茶店に、作家の大杉道雄(小市慢太郎)がいることに鼻形が気づく。鼻形は大杉の妻で、元女優の本宮真知子(高岡早紀)のファンだったのだ。  そんな時、鼻形の携帯が鳴る。貴族探偵の執事、山本(松重豊)からだ。山本によると、貴族探偵が珍しい蝶を探していると愛犬のシュピーゲルが女性の他殺体を発見したと言う。  愛香たちが指定されたキャンプ場に行くと、貴族探偵の天幕が張られている。貴族探偵はまたしても事件の謎解きを愛香に求めてきた。  殺害されたのは水橋佐和子(田中千絵)。真知子の妹だ。佐和子は夫の洋一(山中崇)、大杉夫妻、友人の堂島尚樹(中村俊介)とキャンプ中に殺害されたのだ。そのあまりに美しい遺体の姿に貴族探偵は目を奪われる…。相葉雅紀　  武井咲　  生瀬勝久  　/　  木南晴夏　  岡山天音　  田中道子  　・　  井川遥  　・　  仲間由紀恵(特別出演)  　/　  滝藤賢一　  中山美穂　  松重豊　    【第9話ゲスト】  田中千絵　  高岡早紀　  小市慢太郎　  中村俊介　  山中崇　    他【原作】  麻耶雄嵩「貴族探偵」「貴族探偵対女探偵」(集英社文庫刊)　    【脚本】  黒岩勉　    【主題歌】  嵐「I`ll　be　there」(ジェイ・ストーム)　    【プロデュース】  羽鳥健一　  西坂瑞城　    【演出】  中江功　  金井紘　  相沢秀幸　    【制作】  フジテレビ</t>
  </si>
  <si>
    <t>喜多見切子(井川遥)の死の真相、そして貴族探偵(相葉雅紀)の関わりを追う高徳愛香(武井咲)は、政宗是正という人物にたどり着く。愛香に頼まれた鼻形雷雨(生瀬勝久)が、政宗を警察庁のデータベースで調べると、シンガポールを拠点に黒い活動をする人物という以外、貴族探偵と同じように一切が謎に包まれた人物だった。  愛香は鼻形と、切子の遺体が発見された渓谷に花を手向けに行く。切子は上流の山道から転落して流された事故死とされていたが、当時の関係者は遺体には目立った外傷がなかったと証言していた。鼻形は近くの喫茶店に後輩の警官を呼び出し、当時の資料を持ち出すよう頼む。  その喫茶店に、作家の大杉道雄(小市慢太郎)がいることに鼻形が気づく。鼻形は大杉の妻で、元女優の本宮真知子(高岡早紀)のファンだったのだ。  そんな時、鼻形の携帯が鳴る。貴族探偵の執事、山本(松重豊)からだ。山本によると、貴族探偵が珍しい蝶を探していると愛犬のシュピーゲルが女性の他殺体を発見したと言う。  愛香たちが指定されたキャンプ場に行くと、貴族探偵の天幕が張られている。貴族探偵はまたしても事件の謎解きを愛香に求めてきた。  殺害されたのは水橋佐和子(田中千絵)。真知子の妹だ。佐和子は夫の洋一(山中崇)、大杉夫妻、友人の堂島尚樹(中村俊介)とキャンプ中に殺害されたのだ。そのあまりに美しい遺体の姿に貴族探偵は目を奪われる…。</t>
  </si>
  <si>
    <t>番組名貴族探偵【最終章!女探偵に悲劇が!想像を絶する貴族探偵の思惑とは?】　#10</t>
  </si>
  <si>
    <t>【番組公式ホームページ】  http://www.fujitv.co.jp/kizoku/index.html    【番組公式ツイッター】  https://twitter.com/kizoku_gozen　    番組公式ラインもやっていますので是非、番組公式ホームページをご検索してください!貴族探偵(相葉雅紀)と対峙した高徳愛香(武井咲)は、喜多見切子(井川遥)を殺害したのはあなただと突きつけた。政宗是正という名前、鈴木(仲間由紀恵)など調べたことを、愛香は貴族探偵に詰め寄る。しかし、貴族探偵は証拠が何もないと一蹴。それでも切子の死の真相を知りたいと訴える愛香に、貴族探偵は自分の前で事件を正しくひも解くことが出来たら教える…と約束する。  愛香が去ると、貴族探偵は佐藤(滝藤賢一)、田中(中山美穂)、山本(松重豊)を呼び、鈴木の所在を確かめると、ケリをつけると伝えておけ、と命令した。  愛香の事務所に、依頼書が舞い込む。それはシンガポールを拠点に武器商人として財をなす具同家からのものだった。シンガポールと言えば、政宗是正と…。貴族探偵の罠かもしれないと疑いながらも、愛香は具同家の別荘へと向かう。  別荘では、具同家当主、次男の娘、真希(矢作穂香)の誕生会が催されようとしていた。玉村依子(木南晴夏)もいる。依子が愛香を紹介したらしい。依頼人は真希。愛香が真希に依頼内容を尋ねると、一通の脅迫状を見せられる。昨年の同じパーティーで、不幸にも参加者の1人が事故死。脅迫状は、それが殺人だったと訴えていた。真希は貴族探偵にも頼んだが、断られてしまったと言う。  やはり、愛香が呼ばれた裏には貴族探偵が?そして、パーティーの夜、凄惨(せいさん)な事件が起きてしまう…。相葉雅紀　  武井咲　  生瀬勝久  　/　  木南晴夏　  岡山天音　  田中道子  　・　  井川遥  　・　  仲間由紀恵(特別出演)  　/　  滝藤賢一　  中山美穂　  松重豊　    【第10話ゲスト】  桐山漣　  南沢奈央　  矢作穂香　  辰巳雄大(ふぉ～ゆ～)　    他【原作】  麻耶雄嵩「貴族探偵」「貴族探偵対女探偵」(集英社文庫刊)　    【脚本】  黒岩勉　    【主題歌】  嵐「I`ll　be　there」(ジェイ・ストーム)　    【プロデュース】  羽鳥健一　  西坂瑞城　    【演出】  中江功　  金井紘　  相沢秀幸　    【制作】  フジテレビ</t>
  </si>
  <si>
    <t>貴族探偵(相葉雅紀)と対峙した高徳愛香(武井咲)は、喜多見切子(井川遥)を殺害したのはあなただと突きつけた。政宗是正という名前、鈴木(仲間由紀恵)など調べたことを、愛香は貴族探偵に詰め寄る。しかし、貴族探偵は証拠が何もないと一蹴。それでも切子の死の真相を知りたいと訴える愛香に、貴族探偵は自分の前で事件を正しくひも解くことが出来たら教える…と約束する。  愛香が去ると、貴族探偵は佐藤(滝藤賢一)、田中(中山美穂)、山本(松重豊)を呼び、鈴木の所在を確かめると、ケリをつけると伝えておけ、と命令した。  愛香の事務所に、依頼書が舞い込む。それはシンガポールを拠点に武器商人として財をなす具同家からのものだった。シンガポールと言えば、政宗是正と…。貴族探偵の罠かもしれないと疑いながらも、愛香は具同家の別荘へと向かう。  別荘では、具同家当主、次男の娘、真希(矢作穂香)の誕生会が催されようとしていた。玉村依子(木南晴夏)もいる。依子が愛香を紹介したらしい。依頼人は真希。愛香が真希に依頼内容を尋ねると、一通の脅迫状を見せられる。昨年の同じパーティーで、不幸にも参加者の1人が事故死。脅迫状は、それが殺人だったと訴えていた。真希は貴族探偵にも頼んだが、断られてしまったと言う。  やはり、愛香が呼ばれた裏には貴族探偵が?そして、パーティーの夜、凄惨(せいさん)な事件が起きてしまう…。</t>
  </si>
  <si>
    <t>番組名貴族探偵【明らかになる全真相!仰天の貴族の思惑と衝撃のラスト!?】　#11</t>
  </si>
  <si>
    <t>【番組公式ホームページ】  http://www.fujitv.co.jp/kizoku/index.html    【番組公式ツイッター】  https://twitter.com/kizoku_gozen　    番組公式ラインもやっていますので是非、番組公式ホームページをご検索してください!「私の前で事件を正しくひも解くことが出来たなら、彼女(喜多見切子(井川遥))の死の真相をお教えしましょう」と言う貴族探偵(相葉雅紀)と約束をした高徳愛香(武井咲)は、まるで導かれるように探偵依頼を受け、日本有数の門閥・具同家の別荘、星見荘で行われる具同真希(矢作穂香)の誕生パーティーへと向かう。  パーティーに集っていたのは、具同家の後継者、弘基(桐山漣)、弘基の従兄弟の佳久(辰巳雄大)と妹の真希、国見奈和(佐藤めぐみ)。そして、佳久の大学の先輩、有岡葉子(南沢奈央)と、具同家の使用人、平田早苗(高橋ひとみ)だった。しかし、この集いには脅迫状が届いていた。そのため、女探偵の愛香に玉村依子(木南晴夏)を介して真希が依頼を出していたのだ(貴族探偵には依頼を断られた)。  脅迫状は、1年前の同じパーティーでジェットスキーでの事故死として処理された緒方修(小松勇司)の死の真相を知っている、というものだった。  一体誰が脅迫状を送ったのだろうか?それぞれの参加者が疑心暗鬼になる中、事件は起きてしまった。その夜、弘基と葉子が殺害されてしまったのだ。発見した愛香も、何者かに襲われて昏倒。その後、愛香を抱き抱えて運ぶ貴族探偵の姿が…。  星見荘で起きた一連の殺人は貴族探偵の犯行なのか?倒れた愛香を運ぶ貴族探偵の目的は?そして、貴族探偵の正体、切子の死の真相とは?最終話、全ての謎が解き明かされるのかー。相葉雅紀　  武井咲　  生瀬勝久  　/　  木南晴夏　  岡山天音　  田中道子  　・　  井川遥  　・　  仲間由紀恵(特別出演)  　/　  滝藤賢一　  中山美穂　  松重豊　    【第10話ゲスト】  高橋ひとみ　  桐山漣　  南沢奈央　  矢作穂香　  辰巳雄大(ふぉ～ゆ～)　  佐藤めぐみ　    他【原作】  麻耶雄嵩「貴族探偵」「貴族探偵対女探偵」(集英社文庫刊)　    【脚本】  黒岩勉　    【主題歌】  嵐「I`ll　be　there」(ジェイ・ストーム)　    【プロデュース】  羽鳥健一　  西坂瑞城　    【演出】  中江功　  金井紘　  相沢秀幸　    【制作】  フジテレビ</t>
  </si>
  <si>
    <t>「私の前で事件を正しくひも解くことが出来たなら、彼女(喜多見切子(井川遥))の死の真相をお教えしましょう」と言う貴族探偵(相葉雅紀)と約束をした高徳愛香(武井咲)は、まるで導かれるように探偵依頼を受け、日本有数の門閥・具同家の別荘、星見荘で行われる具同真希(矢作穂香)の誕生パーティーへと向かう。  パーティーに集っていたのは、具同家の後継者、弘基(桐山漣)、弘基の従兄弟の佳久(辰巳雄大)と妹の真希、国見奈和(佐藤めぐみ)。そして、佳久の大学の先輩、有岡葉子(南沢奈央)と、具同家の使用人、平田早苗(高橋ひとみ)だった。しかし、この集いには脅迫状が届いていた。そのため、女探偵の愛香に玉村依子(木南晴夏)を介して真希が依頼を出していたのだ(貴族探偵には依頼を断られた)。  脅迫状は、1年前の同じパーティーでジェットスキーでの事故死として処理された緒方修(小松勇司)の死の真相を知っている、というものだった。  一体誰が脅迫状を送ったのだろうか?それぞれの参加者が疑心暗鬼になる中、事件は起きてしまった。その夜、弘基と葉子が殺害されてしまったのだ。発見した愛香も、何者かに襲われて昏倒。その後、愛香を抱き抱えて運ぶ貴族探偵の姿が…。  星見荘で起きた一連の殺人は貴族探偵の犯行なのか?倒れた愛香を運ぶ貴族探偵の目的は?そして、貴族探偵の正体、切子の死の真相とは?最終話、全ての謎が解き明かされるのかー。</t>
  </si>
  <si>
    <t>1704_CX_火21</t>
  </si>
  <si>
    <t>CRISIS</t>
  </si>
  <si>
    <t>番組名CRISIS公安機動捜査隊特捜班【巨悪に規格外なチームが挑む!】　#01</t>
  </si>
  <si>
    <t>元自衛隊員の稲見朗(小栗旬)と、元公安の捜査員・田丸三郎(西島秀俊)が所属する公安機動捜査隊特捜班は、警察庁警備局長・鍛冶大輝(長塚京三)直轄の秘密部隊。  常識では計れない事件に脅かされる現代で、各分野のスペシャリスト5人が集結し、国家に危機をもたらす政治的事件やテロを秘密裏に捜査し、解決を図る。    ある日、高層ビルが立ち並ぶ広場に、首に爆弾を巻かれた宇田川圭介(白洲迅)が現れ、辺りは騒然となる。現職の外務大臣の息子である圭介は、これまで薬物や傷害など数々の罪を犯してきたが、親の権力によって逮捕を免れてきた、いわくつきの人物。  犯人は、息子の罪を隠ぺいした外務大臣に、夜のニュース番組での公開謝罪を要求。さもなければ、公衆の面前で圭介を処刑するという。  鍛治からの指令を受けて、現場に急行した稲見や田丸、樫井勇輔(野間口徹)、大山玲(新木優子)ら特殊班のメンバー。親の加護のもと、やりたい放題の圭介に反感を抱きつつも、班長・吉永三成(田中哲司)の指示で実行犯の逮捕に向けて動き出す。    タイムリミットが刻々と迫るなか、稲見と田丸は事件の鍵を握る人物に接触。そこで、ある驚きの事実を知ることに。  さらに稲見は犯行現場に関して“ある疑問"を抱いてーー。小栗旬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t>
  </si>
  <si>
    <t>元自衛隊員の稲見朗(小栗旬)と、元公安の捜査員・田丸三郎(西島秀俊)が所属する公安機動捜査隊特捜班は、警察庁警備局長・鍛冶大輝(長塚京三)直轄の秘密部隊。  常識では計れない事件に脅かされる現代で、各分野のスペシャリスト5人が集結し、国家に危機をもたらす政治的事件やテロを秘密裏に捜査し、解決を図る。    ある日、高層ビルが立ち並ぶ広場に、首に爆弾を巻かれた宇田川圭介(白洲迅)が現れ、辺りは騒然となる。現職の外務大臣の息子である圭介は、これまで薬物や傷害など数々の罪を犯してきたが、親の権力によって逮捕を免れてきた、いわくつきの人物。  犯人は、息子の罪を隠ぺいした外務大臣に、夜のニュース番組での公開謝罪を要求。さもなければ、公衆の面前で圭介を処刑するという。  鍛治からの指令を受けて、現場に急行した稲見や田丸、樫井勇輔(野間口徹)、大山玲(新木優子)ら特殊班のメンバー。親の加護のもと、やりたい放題の圭介に反感を抱きつつも、班長・吉永三成(田中哲司)の指示で実行犯の逮捕に向けて動き出す。    タイムリミットが刻々と迫るなか、稲見と田丸は事件の鍵を握る人物に接触。そこで、ある驚きの事実を知ることに。  さらに稲見は犯行現場に関して“ある疑問"を抱いてーー。</t>
  </si>
  <si>
    <t>番組名CRISIS公安機動捜査隊特捜班【謎の中毒死!恐るべき巨悪を追え】　#02</t>
  </si>
  <si>
    <t>ある日、田丸(西島秀俊)は外事警察時代に知り合ったフリージャーナリストの男から、「国家の危機に関することで話がある」と連絡を受け、会う約束をする。しかし、待ち合わせ場所に現れた男は田丸の目の前で何者かに毒物を注射され、絶命。特捜班は、身の危険を感じていた男があらかじめ田丸に送った1枚の写真と、死ぬ間際に口にした「アリス」という言葉を手掛かりに捜査に乗り出す。写真には、ごく普通の一軒家が写っていた。吉永(田中哲司)は樫井(野間口徹)と大山(新木優子)に家の特定を急がせるとともに、田丸と稲見(小栗旬)には殺された男の自宅を捜索するよう指示。しかし、稲見に見張りを任せて、一人部屋へ入った田丸は、男の遺品を持ち去ろうとしていた侵入者と鉢合わせ。突然の攻撃に必死で応戦するも、一瞬の隙をつかれて取り逃がしてしまう。やがて、田丸の異変に気付いて駆けつけた稲見は、侵入していた男が殺し屋だと察知。激しい攻防戦を繰り広げるが……。    何者かがジャーナリストの死因を隠ぺいしようとしていることから、特捜班は今回の一件に政府が関与しているとにらむ。そしてようやく写真の家を見つけ出すが、そこに人が住んでいる気配はない。不審に思った吉永が近所の住民に話を聞くと、住んでいた家族は数日前に突然引っ越したことが分かりーー。小栗旬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t>
  </si>
  <si>
    <t>ある日、田丸(西島秀俊)は外事警察時代に知り合ったフリージャーナリストの男から、「国家の危機に関することで話がある」と連絡を受け、会う約束をする。しかし、待ち合わせ場所に現れた男は田丸の目の前で何者かに毒物を注射され、絶命。特捜班は、身の危険を感じていた男があらかじめ田丸に送った1枚の写真と、死ぬ間際に口にした「アリス」という言葉を手掛かりに捜査に乗り出す。写真には、ごく普通の一軒家が写っていた。吉永(田中哲司)は樫井(野間口徹)と大山(新木優子)に家の特定を急がせるとともに、田丸と稲見(小栗旬)には殺された男の自宅を捜索するよう指示。しかし、稲見に見張りを任せて、一人部屋へ入った田丸は、男の遺品を持ち去ろうとしていた侵入者と鉢合わせ。突然の攻撃に必死で応戦するも、一瞬の隙をつかれて取り逃がしてしまう。やがて、田丸の異変に気付いて駆けつけた稲見は、侵入していた男が殺し屋だと察知。激しい攻防戦を繰り広げるが……。    何者かがジャーナリストの死因を隠ぺいしようとしていることから、特捜班は今回の一件に政府が関与しているとにらむ。そしてようやく写真の家を見つけ出すが、そこに人が住んでいる気配はない。不審に思った吉永が近所の住民に話を聞くと、住んでいた家族は数日前に突然引っ越したことが分かりーー。</t>
  </si>
  <si>
    <t>番組名CRISIS公安機動捜査隊特捜班【国会議員襲撃!平成維新軍の脅威】　#03</t>
  </si>
  <si>
    <t>贈収賄事件に関与した疑惑の議員が、顔を隠した3人組の男らに襲われ、報道陣の目の前で射殺された。直後に犯行声明を出した“平成維新軍"は、この先も権力を利用して私腹を肥やす者たちを排除すると、テロの続行を宣言。特捜班は犯人を逮捕してテロを未然に防ぐよう命じられる。    班長の吉永(田中哲司)から、襲撃犯が使用していた特殊な拳銃をたどって実行犯を洗い出すよう指示された稲見(小栗旬)と田丸(西島秀俊)は、銃器マニアの暴力団組長が同じ型の拳銃を買い集めていたとの情報を得る。裏取り捜査を進めると、やはり使われた拳銃は組長が所持していたもので、しかも保管していた拳銃はすべて組長の息子の譲(大和孔太)に盗まれていたことがわかる。そして、譲は少年院を出所後に人が変わり、「社会のシステムを変えてやる」と言っていたという組長の証言から、稲見は何者かが譲をそそのかして、今回のテロ行為に及ぶよう誘導したのではないかと考える。    やがて譲の潜伏先を突き止めた特捜班は、拳銃を装備して現場へと向かう。吉永、樫井(野間口徹)、大山(新木優子)が建物の周囲を固め、稲見と田丸が部屋へ近づくと、ちょうど外出しようとしていた譲に出くわす。次の瞬間、譲は部屋の中の仲間に「逃げろ!」と叫び、同時に素早く拳銃を抜き、近づいてきた稲見と田丸に銃口を向けてーー。小栗旬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t>
  </si>
  <si>
    <t>贈収賄事件に関与した疑惑の議員が、顔を隠した3人組の男らに襲われ、報道陣の目の前で射殺された。直後に犯行声明を出した“平成維新軍"は、この先も権力を利用して私腹を肥やす者たちを排除すると、テロの続行を宣言。特捜班は犯人を逮捕してテロを未然に防ぐよう命じられる。    班長の吉永(田中哲司)から、襲撃犯が使用していた特殊な拳銃をたどって実行犯を洗い出すよう指示された稲見(小栗旬)と田丸(西島秀俊)は、銃器マニアの暴力団組長が同じ型の拳銃を買い集めていたとの情報を得る。裏取り捜査を進めると、やはり使われた拳銃は組長が所持していたもので、しかも保管していた拳銃はすべて組長の息子の譲(大和孔太)に盗まれていたことがわかる。そして、譲は少年院を出所後に人が変わり、「社会のシステムを変えてやる」と言っていたという組長の証言から、稲見は何者かが譲をそそのかして、今回のテロ行為に及ぶよう誘導したのではないかと考える。    やがて譲の潜伏先を突き止めた特捜班は、拳銃を装備して現場へと向かう。吉永、樫井(野間口徹)、大山(新木優子)が建物の周囲を固め、稲見と田丸が部屋へ近づくと、ちょうど外出しようとしていた譲に出くわす。次の瞬間、譲は部屋の中の仲間に「逃げろ!」と叫び、同時に素早く拳銃を抜き、近づいてきた稲見と田丸に銃口を向けてーー。</t>
  </si>
  <si>
    <t>番組名CRISIS公安機動捜査隊特捜班【要人警護の罠!特捜班VS暗殺者】　#04</t>
  </si>
  <si>
    <t>稲見(小栗旬)や田丸(西島秀俊)が所属する特捜班は、大学で航空宇宙工学を専攻する有馬丈博教授(小市慢太郎)の身辺警護を命じられる。しかし、有馬に関する詳しい情報は与えられず、分かっているのは命を狙われ、一週間後に出国するということだけ。現れた特捜班に対し、横柄な態度で接する有馬。さらに、大学の構内には護衛のついた有馬を険しい表情で見つめる石黒(近藤公園)の姿がーー。翌朝、大学へ到着した樫井(野間口徹)は爆薬の臭いから研究室内に爆弾が仕掛けられていると察知。注意を促すが、有馬がそれを無視して部屋のドアを開けたため、激しい爆音とともに研究室は破壊されてしまう。近くには拳銃を手にした石黒が待ち構えていたが、裏をかいて何とか建物の外に脱出。しかし、向かった駐車場にはもう一人の暗殺者・石立(浜田学)が潜んでいて、稲見は石立と激しい攻防を繰り広げる。事態を受け、吉永(田中哲司)が今回の任務の背景を問い詰めると、鍛治(長塚京三)はミサイル実験に力を入れるある国が有馬の拉致を画策していると明かすが、吉永は腑に落ちない。暗殺者を割り出そうと、大山(新木優子)も前科者リストをチェックするが、稲見は男たちが暗殺のプロだと確信していてーー。小栗旬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t>
  </si>
  <si>
    <t>稲見(小栗旬)や田丸(西島秀俊)が所属する特捜班は、大学で航空宇宙工学を専攻する有馬丈博教授(小市慢太郎)の身辺警護を命じられる。しかし、有馬に関する詳しい情報は与えられず、分かっているのは命を狙われ、一週間後に出国するということだけ。現れた特捜班に対し、横柄な態度で接する有馬。さらに、大学の構内には護衛のついた有馬を険しい表情で見つめる石黒(近藤公園)の姿がーー。翌朝、大学へ到着した樫井(野間口徹)は爆薬の臭いから研究室内に爆弾が仕掛けられていると察知。注意を促すが、有馬がそれを無視して部屋のドアを開けたため、激しい爆音とともに研究室は破壊されてしまう。近くには拳銃を手にした石黒が待ち構えていたが、裏をかいて何とか建物の外に脱出。しかし、向かった駐車場にはもう一人の暗殺者・石立(浜田学)が潜んでいて、稲見は石立と激しい攻防を繰り広げる。事態を受け、吉永(田中哲司)が今回の任務の背景を問い詰めると、鍛治(長塚京三)はミサイル実験に力を入れるある国が有馬の拉致を画策していると明かすが、吉永は腑に落ちない。暗殺者を割り出そうと、大山(新木優子)も前科者リストをチェックするが、稲見は男たちが暗殺のプロだと確信していてーー。</t>
  </si>
  <si>
    <t>番組名CRISIS公安機動捜査隊特捜班【危険な潜入捜査!本当の正義とは】　#05</t>
  </si>
  <si>
    <t>暴行罪を装って警察の留置場に潜入した稲見(小栗旬)は、暴力団員の沢田(杉本哲太)に接近し、興味を引くことに成功する。実は、沢田が所属する仁愛興業は、政治献金のからくりを巧みに利用して政治家たちを恐喝している疑いがあり、今回、その証拠集めを命じられた特捜班。稲見は、初めてとなる潜入捜査を任されていた。しかし、沢田に気に入られ、仁愛興業の幹部らとも顔を合わせた稲見は、彼らがそんな狡猾(こうかつ)な連中とはどうしても思えない。さらに、次第に人をだますことに罪悪感を抱くようになってしまう稲見。田丸(西島秀俊)は、そんな稲見にかつて自分が潜入捜査をした時の経験を話して聞かせる。その頃、鍛治(長塚京三)は官房長官の神谷(石黒賢)に呼び出され、今回の特捜班の任務について、ある指示を受けていたーー。晴れて仁愛興業の一員として認められた稲見は、沢田から薬物の取引があると教えられる。会長の護衛として稲見も同行することになるが、取引の報告を受けた警察上層部は、チャンスにも関わらず、なぜか直前で摘発を見送るという。危険な取引に身を置く稲見を案じて、吉永(田中哲司)、田丸、樫井(野間口徹)、大山(新木優子)ら特捜班のメンバーは、稲見を追尾して取引現場へと向かうが……。小栗旬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t>
  </si>
  <si>
    <t>暴行罪を装って警察の留置場に潜入した稲見(小栗旬)は、暴力団員の沢田(杉本哲太)に接近し、興味を引くことに成功する。実は、沢田が所属する仁愛興業は、政治献金のからくりを巧みに利用して政治家たちを恐喝している疑いがあり、今回、その証拠集めを命じられた特捜班。稲見は、初めてとなる潜入捜査を任されていた。しかし、沢田に気に入られ、仁愛興業の幹部らとも顔を合わせた稲見は、彼らがそんな狡猾(こうかつ)な連中とはどうしても思えない。さらに、次第に人をだますことに罪悪感を抱くようになってしまう稲見。田丸(西島秀俊)は、そんな稲見にかつて自分が潜入捜査をした時の経験を話して聞かせる。その頃、鍛治(長塚京三)は官房長官の神谷(石黒賢)に呼び出され、今回の特捜班の任務について、ある指示を受けていたーー。晴れて仁愛興業の一員として認められた稲見は、沢田から薬物の取引があると教えられる。会長の護衛として稲見も同行することになるが、取引の報告を受けた警察上層部は、チャンスにも関わらず、なぜか直前で摘発を見送るという。危険な取引に身を置く稲見を案じて、吉永(田中哲司)、田丸、樫井(野間口徹)、大山(新木優子)ら特捜班のメンバーは、稲見を追尾して取引現場へと向かうが……。</t>
  </si>
  <si>
    <t>1704_CX_木22</t>
  </si>
  <si>
    <t>人は見た目が100パーセント</t>
  </si>
  <si>
    <t>番組名&lt;木曜劇場&gt;人は見た目が100パーセント　#01</t>
  </si>
  <si>
    <t>【公式HP】  http://www.fujitv.co.jp/hitopa/    【公式LINE】  hitopa_fuji    【公式Twitter】  https://twitter.com/hitopa_fuji    【公式Instagram】  https://www.instagram.com/hitopa_fuji/城之内純(桐谷美玲)は、八王子製紙で製紙素材の分析をする研究員。“理系女子=リケジョ"だった純は、子どもの頃からファッションやメイクに興味がなく、いつしか周りの女子から置いていかれてしまった、自分に自信がない地味な女性だ。  ある日、純や研究員仲間の前田満子(水川あさみ)、佐藤聖良(ブルゾンちえみ)らが所属する第3研究室が、大手化粧品会社・クレエラジャパンに吸収されることが発表される。クレエラ社は丸の内におしゃれなオフィスを構え、1階には榊圭一(成田凌)らイケメン美容師が揃った人気美容室もあるような、これまでの純の人生とは無縁のおしゃれな世界にある会社だった。  顔見せを兼ねたクレエラ社の新年会に出席した純たちは、その華やかさに圧倒される。おまけに純は、くじ引きでクレエラ社の人気化粧品が当たったものの、使い方すらわからずにステージ上で大恥をかいてしまう。クレエラ社統括マネージャーの松浦栄子(室井滋)とともに冷ややかな目でその姿を見ていた丸の内研究センター長の國木田修(鈴木浩介)は、そんな純に「これからは身なりにも気を遣った方がいい」と言い放つ。困り果てた純、満子、聖良は、ビューティーについて学んでスキルアップを図ろうと決意し、さっそく流行のメイクについて研究を始める。苦労の末“うさぎ顔メイク"を完成させた純たちは、同僚研究員の丸尾拓馬(町田啓太)、三沢基樹(堤下敦)の前に立つが…。城之内純:　桐谷美玲　  前田満子:　水川あさみ　  佐藤聖良:　ブルゾンちえみ　  榊圭一:　成田凌　  丸尾拓馬:　町田啓太　  岸根香澄:　足立梨花　  森村美優:　岡崎紗絵　  岡部和人:　中尾暢樹  　・　  三沢基樹:　堤下敦　  國木田修:　鈴木浩介　  松浦栄子:　室井滋　    他【原作】  大久保ヒロミ　  「人は見た目が100パーセント」(講談社「BE・LOVE」)　    【脚本】  相沢友子　    【チーフプロデュース】  中野利幸　    【プロデュース】  草ヶ谷大輔　    【演出】  松山博昭　  品田俊介　  永山耕三　    【制作】  フジテレビ</t>
  </si>
  <si>
    <t>城之内純(桐谷美玲)は、八王子製紙で製紙素材の分析をする研究員。“理系女子=リケジョ"だった純は、子どもの頃からファッションやメイクに興味がなく、いつしか周りの女子から置いていかれてしまった、自分に自信がない地味な女性だ。  ある日、純や研究員仲間の前田満子(水川あさみ)、佐藤聖良(ブルゾンちえみ)らが所属する第3研究室が、大手化粧品会社・クレエラジャパンに吸収されることが発表される。クレエラ社は丸の内におしゃれなオフィスを構え、1階には榊圭一(成田凌)らイケメン美容師が揃った人気美容室もあるような、これまでの純の人生とは無縁のおしゃれな世界にある会社だった。  顔見せを兼ねたクレエラ社の新年会に出席した純たちは、その華やかさに圧倒される。おまけに純は、くじ引きでクレエラ社の人気化粧品が当たったものの、使い方すらわからずにステージ上で大恥をかいてしまう。クレエラ社統括マネージャーの松浦栄子(室井滋)とともに冷ややかな目でその姿を見ていた丸の内研究センター長の國木田修(鈴木浩介)は、そんな純に「これからは身なりにも気を遣った方がいい」と言い放つ。困り果てた純、満子、聖良は、ビューティーについて学んでスキルアップを図ろうと決意し、さっそく流行のメイクについて研究を始める。苦労の末“うさぎ顔メイク"を完成させた純たちは、同僚研究員の丸尾拓馬(町田啓太)、三沢基樹(堤下敦)の前に立つが…。</t>
  </si>
  <si>
    <t>番組名&lt;木曜劇場&gt;人は見た目が100パーセント【恋と人生の大逆転!!】　#02</t>
  </si>
  <si>
    <t>【公式HP】  http://www.fujitv.co.jp/hitopa/    【公式LINE】  hitopa_fuji    【公式Twitter】  https://twitter.com/hitopa_fuji    【公式Instagram】  https://www.instagram.com/hitopa_fuji/八王子の製紙会社から丸の内の大手化粧品メーカー・クレエラジャパンに吸収された“女子モドキ"研究員・城之内純(桐谷美玲)、前田満子(水川あさみ)、佐藤聖良(ブルゾンちえみ)は、庶務課の“ステキ女子"こと岸根香澄(足立梨花)、森村美優(岡崎紗絵)に、研究室があるラボセンターを案内してもらう。純たちは、広々としたスタイリッシュな空間に圧倒されるが、それ以上に驚いたのは、社内のことをいろいろと載せているという香澄のSNSだった。そこには、男性社員と有名レストランで食事をする様子や、お花見BBQ、ハロウィンナイト、クリスマスディナークルーズなど、きらびやかな社内イベントの画像が掲載されていた。その時、純は、一軒家のフレンチレストランの画像に気づく。純は、週末にこの店で開かれる結婚式に、新婦側の親戚として出席することになっていた。実はその結婚式には、新郎の美容外科医と親交が深いクレエラジャパンの凄腕統括マネージャー・松浦栄子(室井滋)も出席するのだという。「しっかりドレスアップしていかないとマズイですよ」と忠告された純は、満子、聖良の協力の下、さっそくパーティーファッションの研究を開始し、ドレスのレンタルショップを訪れる。さらに純は、人気美容室・ルーチェの美容師・榊圭一(成田凌)にヘアメイクをしてもらえることになったが…。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</si>
  <si>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八王子の製紙会社から丸の内の大手化粧品メーカー・クレエラジャパンに吸収された“女子モドキ"研究員・城之内純(桐谷美玲)、前田満子(水川あさみ)、佐藤聖良(ブルゾンちえみ)は、庶務課の“ステキ女子"こと岸根香澄(足立梨花)、森村美優(岡崎紗絵)に、研究室があるラボセンターを案内してもらう。純たちは、広々としたスタイリッシュな空間に圧倒されるが、それ以上に驚いたのは、社内のことをいろいろと載せているという香澄のSNSだった。そこには、男性社員と有名レストランで食事をする様子や、お花見BBQ、ハロウィンナイト、クリスマスディナークルーズなど、きらびやかな社内イベントの画像が掲載されていた。その時、純は、一軒家のフレンチレストランの画像に気づく。純は、週末にこの店で開かれる結婚式に、新婦側の親戚として出席することになっていた。実はその結婚式には、新郎の美容外科医と親交が深いクレエラジャパンの凄腕統括マネージャー・松浦栄子(室井滋)も出席するのだという。「しっかりドレスアップしていかないとマズイですよ」と忠告された純は、満子、聖良の協力の下、さっそくパーティーファッションの研究を開始し、ドレスのレンタルショップを訪れる。さらに純は、人気美容室・ルーチェの美容師・榊圭一(成田凌)にヘアメイクをしてもらえることになったが…。</t>
  </si>
  <si>
    <t>番組名&lt;木曜劇場&gt;人は見た目が100パーセント【二人きりの夜!!】　#03</t>
  </si>
  <si>
    <t>純(桐谷美玲)は、人気美容室「ルーチェ」の美容師・榊(成田凌)から髪をほめられた際に貧血を起こして倒れてしまう。それ以来、純は、動悸が止まらず、眠れなかったらしい。聖良(ブルゾンちえみ)と一緒に純の話を聞いていた満子(水川あさみ)は、榊に恋をしたのではないか、と指摘した。慌てて否定し、ボロボロの精神状態だったときに優しくされたから脳が錯覚しただけ、と返す純。そこに、國木田(鈴木浩介)がやってくる。國木田は「セルロースナノファイバーの研究は別の研究スタッフが引き継いだので、今後純たちが新しいファンデーションの研究に携われることはない」と告げる。統括マネージャーの栄子(室井滋)は、研究データが欲しかっただけで、純たちのようなさえない人間が自分の領域に入ってくることを許さないのだという。続けて國木田は、何とか挽回して栄子に認めてもらわないと居場所を失うと忠告し、成長への近道は明確なビジョン、お手本になる人を探すことだとアドバイスする。  その夜、仕事を終えて帰路についた純は、庶務課の香澄(足立梨花)、美優(岡崎紗絵)に偶然出会い、食事に誘われる。男性4人との食事会があるが、友人が来られなくなってしまったのだという。半ば強引に店まで引っ張られてしまう純。しかもそこで待っていたのは、榊や岡部(中尾暢樹)、戸川(元木聖也)ら「ルーチェ」のイケメン美容師たちで…。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</si>
  <si>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純(桐谷美玲)は、人気美容室「ルーチェ」の美容師・榊(成田凌)から髪をほめられた際に貧血を起こして倒れてしまう。それ以来、純は、動悸が止まらず、眠れなかったらしい。聖良(ブルゾンちえみ)と一緒に純の話を聞いていた満子(水川あさみ)は、榊に恋をしたのではないか、と指摘した。慌てて否定し、ボロボロの精神状態だったときに優しくされたから脳が錯覚しただけ、と返す純。そこに、國木田(鈴木浩介)がやってくる。國木田は「セルロースナノファイバーの研究は別の研究スタッフが引き継いだので、今後純たちが新しいファンデーションの研究に携われることはない」と告げる。統括マネージャーの栄子(室井滋)は、研究データが欲しかっただけで、純たちのようなさえない人間が自分の領域に入ってくることを許さないのだという。続けて國木田は、何とか挽回して栄子に認めてもらわないと居場所を失うと忠告し、成長への近道は明確なビジョン、お手本になる人を探すことだとアドバイスする。  その夜、仕事を終えて帰路についた純は、庶務課の香澄(足立梨花)、美優(岡崎紗絵)に偶然出会い、食事に誘われる。男性4人との食事会があるが、友人が来られなくなってしまったのだという。半ば強引に店まで引っ張られてしまう純。しかもそこで待っていたのは、榊や岡部(中尾暢樹)、戸川(元木聖也)ら「ルーチェ」のイケメン美容師たちで…。</t>
  </si>
  <si>
    <t>番組名&lt;木曜劇場&gt;人は見た目が100パーセント【止まらない命懸けの想い】　#04</t>
  </si>
  <si>
    <t>【公式HP】  http://www.fujitv.co.jp/hitopa/    【公式LINE】  hitopa_fuji    【公式Twitter】  https://twitter.com/hitopa_fuji    【公式Instagram】  https://www.instagram.com/hitopa_fuji/『人は見た目が100パーセント』初の副音声企画決定!  足立梨花と中尾暢樹が初挑戦!  「女子モドキ」たちの同僚でその女子力の高さから「女子モドキ」たちが、お手本にしようとする庶務課の「ステキ女子」岸根香澄を演じる足立と純が恋する美容師・榊圭一(成田凌)と一緒に働く後輩美容師・岡部和人を演じる中尾が撮影の裏話などここだけトークを繰り広げ、盛り上げていく。果たしてどんな面白トークが展開されるのか?　純(桐谷美玲)は、人気美容室「ルーチェ」のイケメン美容師・榊(成田凌)に恋をしてしまったことを、満子(水川あさみ)と聖良(ブルゾンちえみ)に告白する。しかし純は、どうせ叶わない恋なのだからひたすら地獄の苦しみに耐え続けるという。満子は、そんな純に、諦めてしまう前に何かアクションを起こしてみてはどうかとアドバイスをした。すると純は、榊が褒めてくれた髪をキレイにしたいとつぶやく。　純の提案を受け、3人はさっそくシャンプーについての研究を開始する。実は満子も、夫の芳彦(山崎樹範)から、最近髪が薄くなったと言われて傷ついていたらしい。一方、純は、榊からシャンプーのサンプルをもらっていたが、彼が庶務課のステキ女子・香澄(足立梨花)にも同じものを渡しているのを見てしまい、使えずにいた。純たちは、シャンプーの成分や口コミ情報を比較・検討し、それぞれの髪の状態に合っていると思われる高価なシャンプーを購入する。だが、このシャンプーが原因で、満子と芳彦の間にトラブルが起きてしまい…。  　そんな中、純と聖良は、榊と香澄が親しそうに話しているのを目撃する。香澄と美優(岡崎紗絵)の会話を盗み聞きすると、シャンプーのサンプルを使った感想を榊にメールしたら即レスがあったという。その夜、純は、榊からもらった名刺を取り出し、彼にメールを送ろうとするが…。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</si>
  <si>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女子モドキ」たちの同僚でその女子力の高さから「女子モドキ」たちが、お手本にしようとする庶務課の「ステキ女子」岸根香澄を演じる足立と純が恋する美容師・榊圭一(成田凌)と一緒に働く後輩美容師・岡部和人を演じる中尾が撮影の裏話などここだけトークを繰り広げ、盛り上げていく。果たしてどんな面白トークが展開されるのか?　純(桐谷美玲)は、人気美容室「ルーチェ」のイケメン美容師・榊(成田凌)に恋をしてしまったことを、満子(水川あさみ)と聖良(ブルゾンちえみ)に告白する。しかし純は、どうせ叶わない恋なのだからひたすら地獄の苦しみに耐え続けるという。満子は、そんな純に、諦めてしまう前に何かアクションを起こしてみてはどうかとアドバイスをした。すると純は、榊が褒めてくれた髪をキレイにしたいとつぶやく。　純の提案を受け、3人はさっそくシャンプーについての研究を開始する。実は満子も、夫の芳彦(山崎樹範)から、最近髪が薄くなったと言われて傷ついていたらしい。一方、純は、榊からシャンプーのサンプルをもらっていたが、彼が庶務課のステキ女子・香澄(足立梨花)にも同じものを渡しているのを見てしまい、使えずにいた。純たちは、シャンプーの成分や口コミ情報を比較・検討し、それぞれの髪の状態に合っていると思われる高価なシャンプーを購入する。だが、このシャンプーが原因で、満子と芳彦の間にトラブルが起きてしまい…。  　そんな中、純と聖良は、榊と香澄が親しそうに話しているのを目撃する。香澄と美優(岡崎紗絵)の会話を盗み聞きすると、シャンプーのサンプルを使った感想を榊にメールしたら即レスがあったという。その夜、純は、榊からもらった名刺を取り出し、彼にメールを送ろうとするが…。</t>
  </si>
  <si>
    <t>番組名&lt;木曜劇場&gt;人は見た目が100パーセント【ポジティブ女子に福来たる】　#05</t>
  </si>
  <si>
    <t>純(桐谷美玲)は、美容室『ルーチェ』で、憧れの美容師・榊(成田凌)に髪をカットしてもらう。ところが、翌日出社した純の髪はなぜか落ち武者のようにボサボサで、満子(水川あさみ)や聖良(ブルゾンちえみ)を驚かせる。純いわく、カットの後、榊に編み込みをしてもらい、自分が自分ではないような不思議な気持ちになったという。しかし、ほどくのがもったいないとそのまま眠ってしまったせいか、朝起きたら崩れており、何とか再現しようと試みたもののできなかったらしい。純は、それでもめげずに「キラキラ女子になって榊に近づきたい」と言って、これまで以上にビューティー研究を頑張ると宣言する。しかし、純たちにとってヘアアレンジはあまりにもハードルが高く…。  　その夜、帰宅途中に雨に降られた純は、コンビニでビニール傘を買い求めた。ほどなく、店の軒先で雨宿りしている榊の姿を見つけた純は、困っている様子の彼に声をかけようかどうか迷うが、恥ずかしさもあってできなかった。そんな自分を恥じた純は、同じ失敗を繰り返さないために万全の備えをしておきたい、と満子たちに傘の研究を提案。國木田(鈴木浩介)のアドバイスを参考に、3人で傘を新調したものの…。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</si>
  <si>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純(桐谷美玲)は、美容室『ルーチェ』で、憧れの美容師・榊(成田凌)に髪をカットしてもらう。ところが、翌日出社した純の髪はなぜか落ち武者のようにボサボサで、満子(水川あさみ)や聖良(ブルゾンちえみ)を驚かせる。純いわく、カットの後、榊に編み込みをしてもらい、自分が自分ではないような不思議な気持ちになったという。しかし、ほどくのがもったいないとそのまま眠ってしまったせいか、朝起きたら崩れており、何とか再現しようと試みたもののできなかったらしい。純は、それでもめげずに「キラキラ女子になって榊に近づきたい」と言って、これまで以上にビューティー研究を頑張ると宣言する。しかし、純たちにとってヘアアレンジはあまりにもハードルが高く…。  　その夜、帰宅途中に雨に降られた純は、コンビニでビニール傘を買い求めた。ほどなく、店の軒先で雨宿りしている榊の姿を見つけた純は、困っている様子の彼に声をかけようかどうか迷うが、恥ずかしさもあってできなかった。そんな自分を恥じた純は、同じ失敗を繰り返さないために万全の備えをしておきたい、と満子たちに傘の研究を提案。國木田(鈴木浩介)のアドバイスを参考に、3人で傘を新調したものの…。</t>
  </si>
  <si>
    <t>番組名&lt;木曜劇場&gt;人は見た目が100パーセント【逆境から這い上がれ!!】　#06</t>
  </si>
  <si>
    <t>【公式HP】  http://www.fujitv.co.jp/hitopa/    【公式LINE】  hitopa_fuji    【公式Twitter】  https://twitter.com/hitopa_fuji    【公式Instagram】  https://www.instagram.com/hitopa_fuji/　ベッドの上で勉強していてそのまま眠ってしまった純(桐谷美玲)は、うっかりメガネを壊してしまう。メガネ店に立ち寄るため、早めに家を出た純は、そこで思いを寄せている美容師・榊(成田凌)と出会う。動揺した純は、メガネ店を見つけて一目散に走り出したが、そのまま入口のガラスに激突。榊に助けられ、近くの病院に運び込まれる。同じ頃、満子(水川あさみ)と聖良(ブルゾンちえみ)は、PCのトラブルに遭遇していた。聖良は、データを届けに来た研究員仲間の丸尾(町田啓太)に、その修理を頼む。聖良いわく、男子はこういう時に女子から頼られると嬉しいらしい。そんな聖良の様子を見ていた満子は何かを察し…。  　純は、念のため2、3日検査入院することになったが、純が入院したのは、セレブ達が利用することで有名な病院だった。おしゃれなモデルやイケメン秘書を引き連れた女社長らと同じ病室になってしまった純は、人に見せられるような部屋着もなく、トイレにすら行けないありさまだ。困り果てた純は、おしゃれな部屋着を買ってきてほしい、と満子と聖良に依頼。満子たちは、さっそくルームウエアの研究を始める。そんな折、榊が純の見舞いに来てくれるかもしれないことになり…。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</si>
  <si>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ベッドの上で勉強していてそのまま眠ってしまった純(桐谷美玲)は、うっかりメガネを壊してしまう。メガネ店に立ち寄るため、早めに家を出た純は、そこで思いを寄せている美容師・榊(成田凌)と出会う。動揺した純は、メガネ店を見つけて一目散に走り出したが、そのまま入口のガラスに激突。榊に助けられ、近くの病院に運び込まれる。同じ頃、満子(水川あさみ)と聖良(ブルゾンちえみ)は、PCのトラブルに遭遇していた。聖良は、データを届けに来た研究員仲間の丸尾(町田啓太)に、その修理を頼む。聖良いわく、男子はこういう時に女子から頼られると嬉しいらしい。そんな聖良の様子を見ていた満子は何かを察し…。  　純は、念のため2、3日検査入院することになったが、純が入院したのは、セレブ達が利用することで有名な病院だった。おしゃれなモデルやイケメン秘書を引き連れた女社長らと同じ病室になってしまった純は、人に見せられるような部屋着もなく、トイレにすら行けないありさまだ。困り果てた純は、おしゃれな部屋着を買ってきてほしい、と満子と聖良に依頼。満子たちは、さっそくルームウエアの研究を始める。そんな折、榊が純の見舞いに来てくれるかもしれないことになり…。</t>
  </si>
  <si>
    <t>番組名&lt;木曜劇場&gt;人は見た目が100パーセント【二人きりの夜に急接近!!】　#07</t>
  </si>
  <si>
    <t>25日(木)放送で、イケメン美容師・榊圭一役の成田凌と榊の後輩イケメン美容師・岡部和人役の中尾暢樹が副音声を担当することが決定。成田は、連続ドラマ副音声は初挑戦。実際に美容師免許を持つ成田が、ドラマ内で披露した「ヘアカット」や視聴者から大反響だった「編み込みシーン」の裏話を披露したり、好きな女性のヘアスタイルなど、さまざまな話が飛び出す!?イケメンの巣窟、美容室「ルーチェ」のとっておきの話も!?【公式HP】  http://www.fujitv.co.jp/hitopa/    【公式LINE】  hitopa_fuji    【公式Twitter】  https://twitter.com/hitopa_fuji    【公式Instagram】  https://www.instagram.com/hitopa_fuji/　純(桐谷美玲)は、美容室『ルーチェ』の榊(成田凌)を訪ね、お見舞いに来てくれたお礼にドーナツを差し入れる。その際、純は、榊が業界関係者に海外アーティストの来日公演チケットを頼んでいたことを知る。ところがそのチケットは、榊が庶務課の香澄(足立梨花)のために取ったものだと知り、純は大きなショックを受けてしまう。  　一方、聖良(ブルゾンちえみ)は、突然ダイエットを開始する。脱毛しているところを男子研究員の丸尾(町田啓太)に見られてしまった聖良は、ダイエットをして挽回しようともくろんでいた。そんな中、満子(水川あさみ)は、純と聖良に相談を持ち掛ける。週末に高校の同窓会があり、そこに当時ずっと好きだったサッカー部のキャプテン・守口も来るのだという。満子は、10代の頃のプリプリの肌しか知らない相手と十数年ぶりに会う恐怖を訴え、純たちにリフトアップの研究に付き合ってもらうことに。3人は、さっそく肌のたるみに効くという顔ヨガや、リフトアップ用のグッズをあれこれ試したが、そう簡単には効果がでない。そこにやってきた國木田(鈴木浩介)は、諦めかけていた満子に「リフトアップに最も効果的なのは…」と言いかける。が、その時、統括マネージャーの栄子(室井滋)の視線に気づき、慌てて部屋を出ていってしまい…。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</si>
  <si>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純(桐谷美玲)は、美容室『ルーチェ』の榊(成田凌)を訪ね、お見舞いに来てくれたお礼にドーナツを差し入れる。その際、純は、榊が業界関係者に海外アーティストの来日公演チケットを頼んでいたことを知る。ところがそのチケットは、榊が庶務課の香澄(足立梨花)のために取ったものだと知り、純は大きなショックを受けてしまう。  　一方、聖良(ブルゾンちえみ)は、突然ダイエットを開始する。脱毛しているところを男子研究員の丸尾(町田啓太)に見られてしまった聖良は、ダイエットをして挽回しようともくろんでいた。そんな中、満子(水川あさみ)は、純と聖良に相談を持ち掛ける。週末に高校の同窓会があり、そこに当時ずっと好きだったサッカー部のキャプテン・守口も来るのだという。満子は、10代の頃のプリプリの肌しか知らない相手と十数年ぶりに会う恐怖を訴え、純たちにリフトアップの研究に付き合ってもらうことに。3人は、さっそく肌のたるみに効くという顔ヨガや、リフトアップ用のグッズをあれこれ試したが、そう簡単には効果がでない。そこにやってきた國木田(鈴木浩介)は、諦めかけていた満子に「リフトアップに最も効果的なのは…」と言いかける。が、その時、統括マネージャーの栄子(室井滋)の視線に気づき、慌てて部屋を出ていってしまい…。</t>
  </si>
  <si>
    <t>番組名&lt;木曜劇場&gt;人は見た目が100パーセント【遂に真実のキス!】　#08</t>
  </si>
  <si>
    <t>【公式HP】  http://www.fujitv.co.jp/hitopa/    【公式LINE】  hitopa_fuji    【公式Twitter】  https://twitter.com/hitopa_fuji    【公式Instagram】  https://www.instagram.com/hitopa_fuji/　純(桐谷美玲)は、榊(成田凌)と香澄(足立梨花)がデートするというのは勘違いだったことを知り、嬉しさがこみ上げる。「頑張れば今までの失った時間を取り戻せるような気がする」という満子(水川あさみ)の言葉を思い出す純。一方、榊も、いつも一生懸命な純が次第に気になり始め…。  　そんな中、純、満子、聖良(ブルゾンちえみ)は、高級ファッション誌のインタビュー取材を受けることに。製紙素材であるセルロースナノファイバーを化粧品に転用することに注目した雑誌サイドが、八王子製紙から移ってきた研究員から話が聞きたい、と指名してきたらしい。突然のことに激しく動揺する純たち。國木田(鈴木浩介)は、この機会に成果を見せれば統括マネージャーの栄子(室井滋)にも認めてもらえると純たちを叱咤した。純たちは、取材に備えて研究を始める。写真撮影がとにかく苦手な彼女たちは、写真に慣れることが必要という香澄のアドバイスに従って、まずは自撮りにチャレンジする。ところがその最中、セルロースナノファイバーの機密データが他社に漏えいしていたことが発覚し、純たちが疑われてしまう。丸尾(町田啓太)や三沢(堤下敦)によれば、仕事をさせてもらえない腹いせに八王子製紙組の研究員が情報を漏えいした、というウワサが流れているらしい。研究員仲間からも厳しく非難される純たち。偶然その光景を目撃してしまった榊は、純のことが心配になり…。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</si>
  <si>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純(桐谷美玲)は、榊(成田凌)と香澄(足立梨花)がデートするというのは勘違いだったことを知り、嬉しさがこみ上げる。「頑張れば今までの失った時間を取り戻せるような気がする」という満子(水川あさみ)の言葉を思い出す純。一方、榊も、いつも一生懸命な純が次第に気になり始め…。  　そんな中、純、満子、聖良(ブルゾンちえみ)は、高級ファッション誌のインタビュー取材を受けることに。製紙素材であるセルロースナノファイバーを化粧品に転用することに注目した雑誌サイドが、八王子製紙から移ってきた研究員から話が聞きたい、と指名してきたらしい。突然のことに激しく動揺する純たち。國木田(鈴木浩介)は、この機会に成果を見せれば統括マネージャーの栄子(室井滋)にも認めてもらえると純たちを叱咤した。純たちは、取材に備えて研究を始める。写真撮影がとにかく苦手な彼女たちは、写真に慣れることが必要という香澄のアドバイスに従って、まずは自撮りにチャレンジする。ところがその最中、セルロースナノファイバーの機密データが他社に漏えいしていたことが発覚し、純たちが疑われてしまう。丸尾(町田啓太)や三沢(堤下敦)によれば、仕事をさせてもらえない腹いせに八王子製紙組の研究員が情報を漏えいした、というウワサが流れているらしい。研究員仲間からも厳しく非難される純たち。偶然その光景を目撃してしまった榊は、純のことが心配になり…。</t>
  </si>
  <si>
    <t>番組名&lt;木曜劇場&gt;人は見た目が100パーセント【幸せを掴んだ女子モドキ!】　#09</t>
  </si>
  <si>
    <t>【公式HP】  http://www.fujitv.co.jp/hitopa/    【公式LINE】  hitopa_fuji    【公式Twitter】  https://twitter.com/hitopa_fuji    【公式Instagram】  https://www.instagram.com/hitopa_fuji/　純(桐谷美玲)は、研究に戻れることになったと榊(成田凌)に報告した。嬉しそうな純の顔を見つめていた榊は、不意に彼女にキスをして「好きです」と告白して交際を申し込む。あくる日、純から話を聞いた満子(水川あさみ)と聖良(ブルゾンちえみ)は、まるで自分のことのように大喜びし、彼女を祝福した。ところが純は、『付き合う』というのはどういうことかわからない、と言い出し、満子たちを困惑させる。満子と聖良は、毎日電話やメールをしたり、デートをしたりするのではないか、と返すが、経験のない純には『デートをする』といってもまったくイメージできないらしい。そこに、榊からのメールが届く。休憩時間のタイミングを合わせて会わないか、という内容だった。  　昼休みに榊と会った純は、会社の近所で行われるあじさい祭りに一緒に行こうと誘われる。その話を聞いた満子は、聖良と一緒にあじさい祭りに行くことにし、丸尾(町田啓太)と三沢(堤下敦)も誘う。だが、盛り上がる満子たちとは対照的に、何をどうすれば滞りなくデートを行うことができるのか教えてほしい、という純。満子は、新しい服を買ったらどうか、と純に提案し、丸の内でスマートにショッピングを楽しむ方法を研究する。純は、榊からのメールや電話にどのように対処すればいいのか悩み続けながらも、幸せを噛みしめ…。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</si>
  <si>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純(桐谷美玲)は、研究に戻れることになったと榊(成田凌)に報告した。嬉しそうな純の顔を見つめていた榊は、不意に彼女にキスをして「好きです」と告白して交際を申し込む。あくる日、純から話を聞いた満子(水川あさみ)と聖良(ブルゾンちえみ)は、まるで自分のことのように大喜びし、彼女を祝福した。ところが純は、『付き合う』というのはどういうことかわからない、と言い出し、満子たちを困惑させる。満子と聖良は、毎日電話やメールをしたり、デートをしたりするのではないか、と返すが、経験のない純には『デートをする』といってもまったくイメージできないらしい。そこに、榊からのメールが届く。休憩時間のタイミングを合わせて会わないか、という内容だった。  　昼休みに榊と会った純は、会社の近所で行われるあじさい祭りに一緒に行こうと誘われる。その話を聞いた満子は、聖良と一緒にあじさい祭りに行くことにし、丸尾(町田啓太)と三沢(堤下敦)も誘う。だが、盛り上がる満子たちとは対照的に、何をどうすれば滞りなくデートを行うことができるのか教えてほしい、という純。満子は、新しい服を買ったらどうか、と純に提案し、丸の内でスマートにショッピングを楽しむ方法を研究する。純は、榊からのメールや電話にどのように対処すればいいのか悩み続けながらも、幸せを噛みしめ…。</t>
  </si>
  <si>
    <t>番組名&lt;木曜劇場&gt;人は見た目が100パーセント【最後の選択と決断】　#10</t>
  </si>
  <si>
    <t>【公式HP】  http://www.fujitv.co.jp/hitopa/    【公式LINE】  hitopa_fuji    【公式Twitter】  https://twitter.com/hitopa_fuji    【公式Instagram】  https://www.instagram.com/hitopa_fuji/　純(桐谷美玲)は、榊(成田凌)が女性とキスしているところを目撃し、激しいショックを受ける。しかし榊は、悪びれる様子もなく、純もその女性も自分の彼女だと言い切る。純のすべてを受け入れるつもりだから自分のことも受け入れてほしい、と言うのだ。純は、迷いながらも、榊と距離を置くことに…。報告を受けた満子(水川あさみ)と聖良(ブルゾンちえみ)は、純の決断を支持し、ホッと胸をなでおろす。しかし純は、初めての失恋ゆえになかなか立ち直ることができず、掃除をしたり、運動をしたりしても眠れなかった。満子と聖良は、友人として純の力になろうと決意し、彼女のために弁当を作って励ました。純も、ふたりのペースに巻き込まれ、少しだけ元気を取り戻す。  　そんなある夜、純の前に榊が現れる。榊は、逃げようとする純を追いかけ、あれからずっと純の事を考えていた、と告げる。「城之内さんも同じ気持ちですよね?」。榊からそう問われた純の心は揺れる。別の日、純は、榊から食事に誘われる。純と一緒にいた満子と聖良は、無神経な榊に対して怒りをぶつけた。だが純は、榊の誘いを受けてしまう。満子たちは、榊とよりを戻すという純を非難した。すると純は、この気持ちはふたりにはわからない、と反発する。怒った満子は、勝手にすればいいと言い放って部屋を出ていく…。純は、初めて手に入れた恋愛を取るのか、それとも友情を取るのか?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</si>
  <si>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純(桐谷美玲)は、榊(成田凌)が女性とキスしているところを目撃し、激しいショックを受ける。しかし榊は、悪びれる様子もなく、純もその女性も自分の彼女だと言い切る。純のすべてを受け入れるつもりだから自分のことも受け入れてほしい、と言うのだ。純は、迷いながらも、榊と距離を置くことに…。報告を受けた満子(水川あさみ)と聖良(ブルゾンちえみ)は、純の決断を支持し、ホッと胸をなでおろす。しかし純は、初めての失恋ゆえになかなか立ち直ることができず、掃除をしたり、運動をしたりしても眠れなかった。満子と聖良は、友人として純の力になろうと決意し、彼女のために弁当を作って励ました。純も、ふたりのペースに巻き込まれ、少しだけ元気を取り戻す。  　そんなある夜、純の前に榊が現れる。榊は、逃げようとする純を追いかけ、あれからずっと純の事を考えていた、と告げる。「城之内さんも同じ気持ちですよね?」。榊からそう問われた純の心は揺れる。別の日、純は、榊から食事に誘われる。純と一緒にいた満子と聖良は、無神経な榊に対して怒りをぶつけた。だが純は、榊の誘いを受けてしまう。満子たちは、榊とよりを戻すという純を非難した。すると純は、この気持ちはふたりにはわからない、と反発する。怒った満子は、勝手にすればいいと言い放って部屋を出ていく…。純は、初めて手に入れた恋愛を取るのか、それとも友情を取るのか?</t>
  </si>
  <si>
    <t>1704_CX_日21</t>
  </si>
  <si>
    <t>櫻子さんの足下には死体が埋まっている</t>
  </si>
  <si>
    <t>番組名櫻子さんの足下には死体が埋まっている　#01</t>
  </si>
  <si>
    <t>九条櫻子(観月ありさ)は、日本に数名しかいない骨格標本を組み立てるプロの「標本士」。博物館や研究・教育機関からの依頼を受け、日々動物の骨格標本の組み立てを行っている。そんな櫻子が家政婦の“ばぁや"こと、沢梅(鷲尾真知子)と暮らす邸宅を、博物館の技術補佐員・館脇正太郎(藤ヶ谷太輔)が訪れる。館長の杉森重男(渡辺憲吉)に命じられるままにやってきた正太郎は、ずんどう鍋をかき混ぜる初対面の櫻子にあいさつするが、スルーされる。とまどう正太郎を尻目に、櫻子は博物館から組み立てを依頼されていた骨を入れたトレイを手に戻ってくる。むき出しの骨に驚き、完全に逃げ腰になる正太郎に櫻子は、骨の発見場所を問いただし「そこへ案内しろ」と言い出す。  博物館のスタッフ・志倉愛理(新川優愛)から場所を聞き、学芸員・磯崎齋(上川隆也)からは、珍しい草花の写真を撮ってくるように指示された正太郎は、櫻子の運転する車で骨の発見場所の山中へ。到着した先で見つけたのは、なんと人間の白骨死体だった。  正太郎の通報で、刑事の山路輝彦(高嶋政宏)と近藤卓也(細田善彦)、鑑識の新井隆太(田中聡元)らがやってくるが、遺体は完全に白骨化しているため、詳細は調べないと分からないと言う。ところが櫻子は死亡推定時期、年齢、性別、利き手まで、スラスラと言い始める。驚く刑事たちに、何より気になるのが遺体の歯だと告げ…。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Kis-My-Ft2「PICK　IT　UP」(avex　trax)　    【エンディングテーマ】  BuZZ「LEAN　ON　ME」(SONIC　GROOVE)　    【編成企画】  稲葉直人　    【プロデュース】  森安彩　【演出】  佐藤祐市　  山内大典　    【制作】  フジテレビ　    【制作著作】  共同テレビ</t>
  </si>
  <si>
    <t>九条櫻子(観月ありさ)は、日本に数名しかいない骨格標本を組み立てるプロの「標本士」。博物館や研究・教育機関からの依頼を受け、日々動物の骨格標本の組み立てを行っている。そんな櫻子が家政婦の“ばぁや"こと、沢梅(鷲尾真知子)と暮らす邸宅を、博物館の技術補佐員・館脇正太郎(藤ヶ谷太輔)が訪れる。館長の杉森重男(渡辺憲吉)に命じられるままにやってきた正太郎は、ずんどう鍋をかき混ぜる初対面の櫻子にあいさつするが、スルーされる。とまどう正太郎を尻目に、櫻子は博物館から組み立てを依頼されていた骨を入れたトレイを手に戻ってくる。むき出しの骨に驚き、完全に逃げ腰になる正太郎に櫻子は、骨の発見場所を問いただし「そこへ案内しろ」と言い出す。  博物館のスタッフ・志倉愛理(新川優愛)から場所を聞き、学芸員・磯崎齋(上川隆也)からは、珍しい草花の写真を撮ってくるように指示された正太郎は、櫻子の運転する車で骨の発見場所の山中へ。到着した先で見つけたのは、なんと人間の白骨死体だった。  正太郎の通報で、刑事の山路輝彦(高嶋政宏)と近藤卓也(細田善彦)、鑑識の新井隆太(田中聡元)らがやってくるが、遺体は完全に白骨化しているため、詳細は調べないと分からないと言う。ところが櫻子は死亡推定時期、年齢、性別、利き手まで、スラスラと言い始める。驚く刑事たちに、何より気になるのが遺体の歯だと告げ…。</t>
  </si>
  <si>
    <t>番組名櫻子さんの足下には死体が埋まっている　#02</t>
  </si>
  <si>
    <t>九条櫻子(観月ありさ)の邸宅に招かれ食事を終えた館脇正太郎(藤ヶ谷太輔)は、立ち寄ったコンビニの前で幼い少女を見かける。深夜にも関わらず、少女はパジャマ姿、素足のままで、何を聞いても要領を得ない。親の姿もなく交番も遠いため、正太郎は山路輝彦(高嶋政宏)に連絡を取ると、少女を連れてひとまず櫻子の邸宅へ戻る。  　その後、山路と近藤卓也(細田善彦)がやって来るが、少女は直前まで合コンをしていて酒臭い山路を嫌がり、なぜか櫻子になつく。櫻子は少女が過去に左手を骨折していたが、適切な処置がされていなかったことを見抜く。さらに、背中には引っかいたような跡も残っていた。  　翌日、櫻子と少女と出勤した正太郎は、磯崎齋(上川隆也)や志倉愛理(新川優愛)らに、身元が分かるまで少女をここに滞在させてほしいと頼む。少女は博物館の骨格コーナーを見て回ると、クジラの標本に目を輝かせる。  　その頃、近藤が少女の身元を突き止めた。正太郎は、櫻子、愛理とともに、柚胡香(吉澤梨里花)という少女の自宅へ向かうことに。正太郎は、山路らを待ったほうがいいのでは?と言うが、櫻子は呼び鈴を押す。返事はなく、ドアの側には鍵が落ちていた。不審に思った櫻子がドアノブを回すと開き、中からは異臭がした。驚く正太郎に、櫻子はこれは血のにおいだと言い…。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</si>
  <si>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九条櫻子(観月ありさ)の邸宅に招かれ食事を終えた館脇正太郎(藤ヶ谷太輔)は、立ち寄ったコンビニの前で幼い少女を見かける。深夜にも関わらず、少女はパジャマ姿、素足のままで、何を聞いても要領を得ない。親の姿もなく交番も遠いため、正太郎は山路輝彦(高嶋政宏)に連絡を取ると、少女を連れてひとまず櫻子の邸宅へ戻る。  　その後、山路と近藤卓也(細田善彦)がやって来るが、少女は直前まで合コンをしていて酒臭い山路を嫌がり、なぜか櫻子になつく。櫻子は少女が過去に左手を骨折していたが、適切な処置がされていなかったことを見抜く。さらに、背中には引っかいたような跡も残っていた。  　翌日、櫻子と少女と出勤した正太郎は、磯崎齋(上川隆也)や志倉愛理(新川優愛)らに、身元が分かるまで少女をここに滞在させてほしいと頼む。少女は博物館の骨格コーナーを見て回ると、クジラの標本に目を輝かせる。  　その頃、近藤が少女の身元を突き止めた。正太郎は、櫻子、愛理とともに、柚胡香(吉澤梨里花)という少女の自宅へ向かうことに。正太郎は、山路らを待ったほうがいいのでは?と言うが、櫻子は呼び鈴を押す。返事はなく、ドアの側には鍵が落ちていた。不審に思った櫻子がドアノブを回すと開き、中からは異臭がした。驚く正太郎に、櫻子はこれは血のにおいだと言い…。</t>
  </si>
  <si>
    <t>番組名櫻子さんの足下には死体が埋まっている　#03</t>
  </si>
  <si>
    <t>九条櫻子(観月ありさ)の高校時代の恩師・佐々木敦郎(モロ師岡)が急死し、遺品が櫻子に託された。生物の教師だった佐々木の遺品には多くの標本があり、櫻子はそれらを自然の森博物館に寄贈することにし、九条邸で仕分け作業が始まった。館長の杉森重男(渡辺憲吉)の指示で、館脇正太郎(藤ヶ谷太輔)、磯崎齋(上川隆也)、谷上和裕(近藤公園)が参加した。遺品には珍しい骨格や植物の標本があり、櫻子と磯崎は目を輝かす。　その頃、博物館で客を案内していた志倉愛理(新川優愛)を怪しい男が見つめていた。案内を終えた愛理がスタッフルームに戻ると、弁当の宅配スタッフ(長浜之人)が、大量の弁当を持って現れた。櫻子からの注文だと言うが、櫻子は身に覚えがない。その後も博物館に櫻子に対するクレームの電話やメールが殺到する。  　一方、櫻子らを手伝っていた正太郎は小さな棺のような箱を見つける。中には人骨と「玲子」という人物が書いた和歌が添えられていた。佐々木は生涯独身で、恋人がいた気配もない。なぜ人骨と女性からのメッセージを持っていたのか、櫻子は考えを巡らせる。  　やがて、到着した刑事の山路輝彦(高嶋政宏)と近藤卓也(細田善彦)が捜査を始める。そんな時、博物館の愛理から電話が入り、怪しい男を捕まえたら「櫻子を出せ」と騒いでいると言う。男は入山勇人(浦上晟周)という高校生で、博物館に駆けつけた初対面の櫻子をにらみつける。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</si>
  <si>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九条櫻子(観月ありさ)の高校時代の恩師・佐々木敦郎(モロ師岡)が急死し、遺品が櫻子に託された。生物の教師だった佐々木の遺品には多くの標本があり、櫻子はそれらを自然の森博物館に寄贈することにし、九条邸で仕分け作業が始まった。館長の杉森重男(渡辺憲吉)の指示で、館脇正太郎(藤ヶ谷太輔)、磯崎齋(上川隆也)、谷上和裕(近藤公園)が参加した。遺品には珍しい骨格や植物の標本があり、櫻子と磯崎は目を輝かす。　その頃、博物館で客を案内していた志倉愛理(新川優愛)を怪しい男が見つめていた。案内を終えた愛理がスタッフルームに戻ると、弁当の宅配スタッフ(長浜之人)が、大量の弁当を持って現れた。櫻子からの注文だと言うが、櫻子は身に覚えがない。その後も博物館に櫻子に対するクレームの電話やメールが殺到する。  　一方、櫻子らを手伝っていた正太郎は小さな棺のような箱を見つける。中には人骨と「玲子」という人物が書いた和歌が添えられていた。佐々木は生涯独身で、恋人がいた気配もない。なぜ人骨と女性からのメッセージを持っていたのか、櫻子は考えを巡らせる。  　やがて、到着した刑事の山路輝彦(高嶋政宏)と近藤卓也(細田善彦)が捜査を始める。そんな時、博物館の愛理から電話が入り、怪しい男を捕まえたら「櫻子を出せ」と騒いでいると言う。男は入山勇人(浦上晟周)という高校生で、博物館に駆けつけた初対面の櫻子をにらみつける。</t>
  </si>
  <si>
    <t>番組名櫻子さんの足下には死体が埋まっている　#04</t>
  </si>
  <si>
    <t>自然の森博物館に、オーナーの東藤(佐々木勝彦)とその娘で代表を務める千代田薔子(富田靖子)がやってきた。自分の死後、その骨を標本にして博物館に飾りたいと思う東藤が、参考にナウマンゾウの標本を見に来たのだ。  　薔子は、幼なじみの九条櫻子(観月ありさ)を呼び出すと、強引に父親を押し付ける。櫻子と骨格標本展示コーナーを見て歩いた東藤は、自分も骨を残し、功績とともに語り継がれたいとの思いを明かす。　一方、館脇正太郎(藤ヶ谷太輔)らを前にした薔子は、近々開かれる東藤の誕生会を盛り上げる有志を募っていた。磯崎齋(上川隆也)が逃げたため、正太郎、志倉愛理(新川優愛)、谷上和裕(近藤公園)が、櫻子とともに出席することになった。  　パーティー当日、東藤邸にやってきた櫻子らは、東藤と妻の君子(島かおり)、薔子ら5人の子供たちが集まったディナーに参加する。東藤は子供たちに明日、事業に関する計画のプレゼンをしろと命じた。その結果次第で遺産の配分を決めると言われた子供たちは慌てて準備に取り掛かる。  　同じ頃、山路輝彦(高嶋政宏)は、櫻子に渡したファイルの原本を見ていた。刑事課の係長は、それが山路が追い続けている弟の事件だと、近藤卓也(細田善彦)に明かした。  　そんな翌早朝、東藤が自室で死亡しているのが発見された。すると、子供たちはお互いを疑い、激しいののしり合いを始める…。観月ありさ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</si>
  <si>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自然の森博物館に、オーナーの東藤(佐々木勝彦)とその娘で代表を務める千代田薔子(富田靖子)がやってきた。自分の死後、その骨を標本にして博物館に飾りたいと思う東藤が、参考にナウマンゾウの標本を見に来たのだ。  　薔子は、幼なじみの九条櫻子(観月ありさ)を呼び出すと、強引に父親を押し付ける。櫻子と骨格標本展示コーナーを見て歩いた東藤は、自分も骨を残し、功績とともに語り継がれたいとの思いを明かす。　一方、館脇正太郎(藤ヶ谷太輔)らを前にした薔子は、近々開かれる東藤の誕生会を盛り上げる有志を募っていた。磯崎齋(上川隆也)が逃げたため、正太郎、志倉愛理(新川優愛)、谷上和裕(近藤公園)が、櫻子とともに出席することになった。  　パーティー当日、東藤邸にやってきた櫻子らは、東藤と妻の君子(島かおり)、薔子ら5人の子供たちが集まったディナーに参加する。東藤は子供たちに明日、事業に関する計画のプレゼンをしろと命じた。その結果次第で遺産の配分を決めると言われた子供たちは慌てて準備に取り掛かる。  　同じ頃、山路輝彦(高嶋政宏)は、櫻子に渡したファイルの原本を見ていた。刑事課の係長は、それが山路が追い続けている弟の事件だと、近藤卓也(細田善彦)に明かした。  　そんな翌早朝、東藤が自室で死亡しているのが発見された。すると、子供たちはお互いを疑い、激しいののしり合いを始める…。</t>
  </si>
  <si>
    <t>番組名櫻子さんの足下には死体が埋まっている　#05</t>
  </si>
  <si>
    <t>「井上尚弥&amp;八重樫東　ダブル世界戦～ボクシングフェス2017　SUPER　2DAYS～」延長の際、放送時間繰り下げの場合あり。　元教え子の圓一重(中村ゆりか)から、不審な電話を受けた磯崎齋(上川隆也)は一重の自宅へ駆けつける。娘の行方が分からないにも関わらず、一重の両親は警察に届けていなかった。  　翌日、磯崎は博物館に休暇届を出した。そんな折、館脇正太郎(藤ヶ谷太輔)と志倉愛理(新川優愛)は九条櫻子(観月ありさ)を訪ねる。1週間後に開かれるシンポジウムで、愛理が発表する資料の確認を磯崎の代理でやってくれるよう頼むためだ。愛理の手土産が功を奏したのか、櫻子はしぶしぶ協力を承諾する。  　その夜、正太郎は街中で若い女性に一重の行方を聞いている磯崎を目撃し、声をかける。それに慌てた磯崎は、何でもないと言うと立ち去ってしまう。心配になった正太郎は、櫻子になら何か話してくれるのではと思い、櫻子に頼み込み、共に磯崎の自宅を訪ねる。  　櫻子と正太郎を部屋に通した磯崎は、とまどいながらも高校の教師をしていた頃の話を始める。当時、一重、西沢二葉(三浦透子)、津々見三奈美(山谷花純)という仲良しの女子生徒の担任をしていたが、ある日、二葉が失踪してしまう。警察と一緒になって探したが、結局二葉の行方は分からず、責任を感じた磯崎は、教師の職を辞した。それから5年が経った今、突然一重から電話が来たため、同じ過ちを繰り返したくない磯崎は必死に一重を探しているのだ。話を聞き終えた櫻子は自分を三奈美の家へ連れていけと言い…。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</si>
  <si>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「井上尚弥&amp;八重樫東　ダブル世界戦～ボクシングフェス2017　SUPER　2DAYS～」延長の際、放送時間繰り下げの場合あり。　元教え子の圓一重(中村ゆりか)から、不審な電話を受けた磯崎齋(上川隆也)は一重の自宅へ駆けつける。娘の行方が分からないにも関わらず、一重の両親は警察に届けていなかった。  　翌日、磯崎は博物館に休暇届を出した。そんな折、館脇正太郎(藤ヶ谷太輔)と志倉愛理(新川優愛)は九条櫻子(観月ありさ)を訪ねる。1週間後に開かれるシンポジウムで、愛理が発表する資料の確認を磯崎の代理でやってくれるよう頼むためだ。愛理の手土産が功を奏したのか、櫻子はしぶしぶ協力を承諾する。  　その夜、正太郎は街中で若い女性に一重の行方を聞いている磯崎を目撃し、声をかける。それに慌てた磯崎は、何でもないと言うと立ち去ってしまう。心配になった正太郎は、櫻子になら何か話してくれるのではと思い、櫻子に頼み込み、共に磯崎の自宅を訪ねる。  　櫻子と正太郎を部屋に通した磯崎は、とまどいながらも高校の教師をしていた頃の話を始める。当時、一重、西沢二葉(三浦透子)、津々見三奈美(山谷花純)という仲良しの女子生徒の担任をしていたが、ある日、二葉が失踪してしまう。警察と一緒になって探したが、結局二葉の行方は分からず、責任を感じた磯崎は、教師の職を辞した。それから5年が経った今、突然一重から電話が来たため、同じ過ちを繰り返したくない磯崎は必死に一重を探しているのだ。話を聞き終えた櫻子は自分を三奈美の家へ連れていけと言い…。</t>
  </si>
  <si>
    <t>番組名櫻子さんの足下には死体が埋まっている　#06</t>
  </si>
  <si>
    <t>九条櫻子(観月ありさ)は、入院中の叔父・設楽の自宅へ行き、書斎に置かれていたノートを手に取る。それは、法医学者の設楽が担当した事件に関する手記だったが、山路輝彦(高嶋政宏)の弟の事件に該当する月だけが抜けていた。  　その頃、山路は西沢二葉(三浦透子)を殺害した圓一重(中村ゆりか)を取り調べていた。事件の影に一重が付き合っていた男がいるとにらむ山路は、男のことを聞くが、一重は口を割らない。　翌日、磯崎齋(上川隆也)が仕事復帰し、館脇正太郎(藤ヶ谷太輔)や志倉愛理(新川優愛)らは、さりげなく磯崎を元気づける。その夜、正太郎と愛理は、死体遺棄罪が時効だったため釈放された津々見三奈美(山谷花純)に会いに行く。事件を振り返った三奈美は、精神が不安定になった二葉が、死んでドロドロになったら、新しく生まれ変われる、と話していたと証言した。同じ頃、磯崎と面会していた一重も、自分は二葉が望んだ通り肉をドロドロにとかしてやっただけで何も悪いことはしていない、と主張する。  　そんな折、正太郎と愛理は九条家での夕食に招待される。いつも以上に豪華な食事が並び、愛理はテンションが上がる。沢梅(鷲尾真知子)は、今日は年に1度の記念日だと明かす。デザートのプリンを食べた正太郎は、それが亡くなった祖母が大好きだったプリンに似ていると話す。祖母との思い出を披露した正太郎に櫻子は思いもよらないようなことを…。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</si>
  <si>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九条櫻子(観月ありさ)は、入院中の叔父・設楽の自宅へ行き、書斎に置かれていたノートを手に取る。それは、法医学者の設楽が担当した事件に関する手記だったが、山路輝彦(高嶋政宏)の弟の事件に該当する月だけが抜けていた。  　その頃、山路は西沢二葉(三浦透子)を殺害した圓一重(中村ゆりか)を取り調べていた。事件の影に一重が付き合っていた男がいるとにらむ山路は、男のことを聞くが、一重は口を割らない。　翌日、磯崎齋(上川隆也)が仕事復帰し、館脇正太郎(藤ヶ谷太輔)や志倉愛理(新川優愛)らは、さりげなく磯崎を元気づける。その夜、正太郎と愛理は、死体遺棄罪が時効だったため釈放された津々見三奈美(山谷花純)に会いに行く。事件を振り返った三奈美は、精神が不安定になった二葉が、死んでドロドロになったら、新しく生まれ変われる、と話していたと証言した。同じ頃、磯崎と面会していた一重も、自分は二葉が望んだ通り肉をドロドロにとかしてやっただけで何も悪いことはしていない、と主張する。  　そんな折、正太郎と愛理は九条家での夕食に招待される。いつも以上に豪華な食事が並び、愛理はテンションが上がる。沢梅(鷲尾真知子)は、今日は年に1度の記念日だと明かす。デザートのプリンを食べた正太郎は、それが亡くなった祖母が大好きだったプリンに似ていると話す。祖母との思い出を披露した正太郎に櫻子は思いもよらないようなことを…。</t>
  </si>
  <si>
    <t>番組名櫻子さんの足下には死体が埋まっている　#07</t>
  </si>
  <si>
    <t>ある晩、九条櫻子(観月ありさ)の邸宅で、館脇正太郎(藤ヶ谷太輔)、磯崎齋(上川隆也)、志倉愛理(新川優愛)、谷上和裕(近藤公園)、山路輝彦(高嶋政宏)、近藤卓也(細田善彦)が食卓を囲んでいた。それぞれ櫻子に相談があったのだが、自分が許可する前に沢梅(鷲尾真知子)が全員を夕飯に誘ってしまったことに、櫻子はため息をもらす。  　食事の後、近藤が気鋭の作曲家・藤岡毅(ペジョンミョン)と同級生だったことが話題に。最近、20年ぶりに再会したのだが、その時に藤岡が自分はもうすぐ呪いによって死ぬと言っていたことが気になるという。近藤は正太郎に、明日藤岡を訪ねるので、櫻子も一緒に来てくれるよう説得してほしいと頼む。ある考えが浮かんだ正太郎は、翌日、櫻子にうそをついて、ともに藤岡の自宅へ向かう。  　マネジャーの新谷英一(隈部洋平)は、櫻子らの訪問をいぶかしがるが、藤岡は話だけでも聞いてもらおうと言い、呪いのきっかけが半年前に亡くなった叔父だと語り始めた。そんな時、藤岡が激しくせき込む。妻の美幸(高嶋香帆)が背中をさすると、突然、それまで黙っていた九官鳥が「のろいだ」と声をあげる。九官鳥は叔父が飼っていたもので、藤岡の体調が悪くなった頃から、話すようになったという。病院でも異常はないと言われるので、この不調は呪い以外にない、と諦めたように話す藤岡。美幸も、夫を助けてほしいと訴えるが、櫻子は押し黙る…。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</si>
  <si>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ある晩、九条櫻子(観月ありさ)の邸宅で、館脇正太郎(藤ヶ谷太輔)、磯崎齋(上川隆也)、志倉愛理(新川優愛)、谷上和裕(近藤公園)、山路輝彦(高嶋政宏)、近藤卓也(細田善彦)が食卓を囲んでいた。それぞれ櫻子に相談があったのだが、自分が許可する前に沢梅(鷲尾真知子)が全員を夕飯に誘ってしまったことに、櫻子はため息をもらす。  　食事の後、近藤が気鋭の作曲家・藤岡毅(ペジョンミョン)と同級生だったことが話題に。最近、20年ぶりに再会したのだが、その時に藤岡が自分はもうすぐ呪いによって死ぬと言っていたことが気になるという。近藤は正太郎に、明日藤岡を訪ねるので、櫻子も一緒に来てくれるよう説得してほしいと頼む。ある考えが浮かんだ正太郎は、翌日、櫻子にうそをついて、ともに藤岡の自宅へ向かう。  　マネジャーの新谷英一(隈部洋平)は、櫻子らの訪問をいぶかしがるが、藤岡は話だけでも聞いてもらおうと言い、呪いのきっかけが半年前に亡くなった叔父だと語り始めた。そんな時、藤岡が激しくせき込む。妻の美幸(高嶋香帆)が背中をさすると、突然、それまで黙っていた九官鳥が「のろいだ」と声をあげる。九官鳥は叔父が飼っていたもので、藤岡の体調が悪くなった頃から、話すようになったという。病院でも異常はないと言われるので、この不調は呪い以外にない、と諦めたように話す藤岡。美幸も、夫を助けてほしいと訴えるが、櫻子は押し黙る…。</t>
  </si>
  <si>
    <t>番組名櫻子さんの足下には死体が埋まっている　#08</t>
  </si>
  <si>
    <t>九条櫻子(観月ありさ)は、入院中の叔父・設楽眞理(柴俊夫)を訪ね、20年前に担当した事件について聞きたいと言う。しかし、事故で仕事に関する記憶をなくしている設楽は、まったく覚えていないと答える。  　そんな折、最近骨の勉強をしている志倉愛理(新川優愛)と館脇正太郎(藤ヶ谷太輔)が櫻子を誘い、3人で山に骨拾いに行くことに。目的は小動物の骨だったが、あろうことか人間の白骨死体を発見してしまう。櫻子は、それが高齢の女性のものだと指摘した。  　同じ頃「蝶形骨」の事件から外された山路輝彦(高嶋政宏)と近藤卓也(細田善彦)は、鑑識の新井隆太(田中聡元)を抱き込み情報を入手し、独自に捜査を続ける。  　別の日、博物館に正太郎の中学の同級生・鴻上百合子(小林涼子)がやってくる。驚く正太郎に百合子は、正太郎が祖母を見つけてくれたと言う。先日、櫻子と愛理と発見した白骨化した女性が百合子の祖母だったのだ。　その後、櫻子の邸宅にやってきた百合子は、祖母が投身自殺を図っていたと警察から言われたことを明かす。祖母は認知症の祖父を1人で介護していたが、弱音を吐かなかったため、百合子ら家族は祖母に任せっきりにしていた。自分のせいだと落ち込む百合子に、櫻子は、後悔など無意味で忘れるのが1番の解決策だと言い放つ。その言葉を聞いた正太郎は、そこに櫻子自身の願いが込められていると思い、櫻子の力になりたいと告げる。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</si>
  <si>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九条櫻子(観月ありさ)は、入院中の叔父・設楽眞理(柴俊夫)を訪ね、20年前に担当した事件について聞きたいと言う。しかし、事故で仕事に関する記憶をなくしている設楽は、まったく覚えていないと答える。  　そんな折、最近骨の勉強をしている志倉愛理(新川優愛)と館脇正太郎(藤ヶ谷太輔)が櫻子を誘い、3人で山に骨拾いに行くことに。目的は小動物の骨だったが、あろうことか人間の白骨死体を発見してしまう。櫻子は、それが高齢の女性のものだと指摘した。  　同じ頃「蝶形骨」の事件から外された山路輝彦(高嶋政宏)と近藤卓也(細田善彦)は、鑑識の新井隆太(田中聡元)を抱き込み情報を入手し、独自に捜査を続ける。  　別の日、博物館に正太郎の中学の同級生・鴻上百合子(小林涼子)がやってくる。驚く正太郎に百合子は、正太郎が祖母を見つけてくれたと言う。先日、櫻子と愛理と発見した白骨化した女性が百合子の祖母だったのだ。　その後、櫻子の邸宅にやってきた百合子は、祖母が投身自殺を図っていたと警察から言われたことを明かす。祖母は認知症の祖父を1人で介護していたが、弱音を吐かなかったため、百合子ら家族は祖母に任せっきりにしていた。自分のせいだと落ち込む百合子に、櫻子は、後悔など無意味で忘れるのが1番の解決策だと言い放つ。その言葉を聞いた正太郎は、そこに櫻子自身の願いが込められていると思い、櫻子の力になりたいと告げる。</t>
  </si>
  <si>
    <t>番組名櫻子さんの足下には死体が埋まっている　#09</t>
  </si>
  <si>
    <t>九条櫻子(観月ありさ)は、臼渕沙月(櫻井淳子)に刺された館脇正太郎(藤ヶ谷太輔)のために救急車を呼び止血も行った。しかし、正太郎の意識は遠のいていく。  　正太郎不在のなか、志倉愛理(新川優愛)ら博物館スタッフは通常通り働いていた。そんな折、磯崎齋(上川隆也)にオーストラリアの博物館への引き抜きの話が…。  　櫻子は、アトリエに閉じこもり、ろくに食事すら取ろうとしない。そこへ沢梅(鷲尾真知子)が設楽眞理(柴俊夫)宛ての書類を持ってくる。その中に、山路輝彦(高嶋政宏)の弟・陽介から設楽に宛てた手紙があり、30年前に神奈川県藤浦市で見つかった「頭部のない白骨遺体」についての新聞記事も同封されていた。  　一方の山路は、20年前に起こった沙月の姉・日和の殺害事件の再捜査を申し出るが、係長(ヨシダ朝)に一蹴される。近藤卓也(細田善彦)は、自分たちを事件に介入させない力が働いているのでは、と山路に話す。そんな所へ沙月が来て、自分が日和や仁村聡を殺した、と自供を始める。沙月の背後に黒幕がいるとにらむ山路は、その存在を聞きだそうとするが、沙月は自分ひとりの犯行だと主張する。  　その夜、櫻子の邸宅に山路がやってくる。櫻子は、陽介が設楽に託した記事や資料を見せ、陽介は、20年前の「蝶形骨」を抜き取られた事件と30年前の事件が同一犯によるものだと疑い捜査を訴えたが、署内で退けられたのだろうと話した。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</si>
  <si>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九条櫻子(観月ありさ)は、臼渕沙月(櫻井淳子)に刺された館脇正太郎(藤ヶ谷太輔)のために救急車を呼び止血も行った。しかし、正太郎の意識は遠のいていく。  　正太郎不在のなか、志倉愛理(新川優愛)ら博物館スタッフは通常通り働いていた。そんな折、磯崎齋(上川隆也)にオーストラリアの博物館への引き抜きの話が…。  　櫻子は、アトリエに閉じこもり、ろくに食事すら取ろうとしない。そこへ沢梅(鷲尾真知子)が設楽眞理(柴俊夫)宛ての書類を持ってくる。その中に、山路輝彦(高嶋政宏)の弟・陽介から設楽に宛てた手紙があり、30年前に神奈川県藤浦市で見つかった「頭部のない白骨遺体」についての新聞記事も同封されていた。  　一方の山路は、20年前に起こった沙月の姉・日和の殺害事件の再捜査を申し出るが、係長(ヨシダ朝)に一蹴される。近藤卓也(細田善彦)は、自分たちを事件に介入させない力が働いているのでは、と山路に話す。そんな所へ沙月が来て、自分が日和や仁村聡を殺した、と自供を始める。沙月の背後に黒幕がいるとにらむ山路は、その存在を聞きだそうとするが、沙月は自分ひとりの犯行だと主張する。  　その夜、櫻子の邸宅に山路がやってくる。櫻子は、陽介が設楽に託した記事や資料を見せ、陽介は、20年前の「蝶形骨」を抜き取られた事件と30年前の事件が同一犯によるものだと疑い捜査を訴えたが、署内で退けられたのだろうと話した。</t>
  </si>
  <si>
    <t>番組名櫻子さんの足下には死体が埋まっている　#10</t>
  </si>
  <si>
    <t>九条櫻子(観月ありさ)は、館脇正太郎(藤ヶ谷太輔)に青葉英世(林泰文)の旧姓が「間宮優」であり、青葉こそが一連の「蝶形骨事件」の真犯人である可能性が高いと告げた。山路輝彦(高嶋政宏)も櫻子と同じ見解だと言い、近藤卓也(細田善彦)に青葉の身辺を捜査させているが、決定的な証拠がないため、逮捕できないと嘆く。しかし、必ず正体を暴くから櫻子と正太郎はこれ以上動くなと命じる。  　同じ頃、磯崎齋(上川隆也)のオーストラリア赴任の件を知った谷上和裕(近藤公園)は、そのことを正太郎と志倉愛理(新川優愛)に話す。  　櫻子は、死期が迫る設楽眞理(柴俊夫)を見舞い、青葉の事件のことを問いただす。設楽の記憶が戻っていることに気付いた櫻子は、思い出したことを話してくれと迫るが、設楽は、これは自分の事件で櫻子には無理だと返した。  　その足で青葉の研究室を訪ねた櫻子は、青葉が手を染めたと思われる事件の概要を話し、目的は何だとぶつける。青葉は、仮にそんな犯人がいたとして、その犯行はそれほど悪いことかと他人事のように言う。  　青葉との対面で心を乱された櫻子が邸宅に戻ると、アトリエに正太郎がいた。正太郎は櫻子に声をかけるが、櫻子は自分は家族にさえ必要とされていなかったと悲観的に話す。正太郎はそれを否定し、櫻子に出会う前の自分には戻れないほど櫻子は自分にとって大きな存在なのだと力説する。それを聞いた櫻子は…。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</si>
  <si>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九条櫻子(観月ありさ)は、館脇正太郎(藤ヶ谷太輔)に青葉英世(林泰文)の旧姓が「間宮優」であり、青葉こそが一連の「蝶形骨事件」の真犯人である可能性が高いと告げた。山路輝彦(高嶋政宏)も櫻子と同じ見解だと言い、近藤卓也(細田善彦)に青葉の身辺を捜査させているが、決定的な証拠がないため、逮捕できないと嘆く。しかし、必ず正体を暴くから櫻子と正太郎はこれ以上動くなと命じる。  　同じ頃、磯崎齋(上川隆也)のオーストラリア赴任の件を知った谷上和裕(近藤公園)は、そのことを正太郎と志倉愛理(新川優愛)に話す。  　櫻子は、死期が迫る設楽眞理(柴俊夫)を見舞い、青葉の事件のことを問いただす。設楽の記憶が戻っていることに気付いた櫻子は、思い出したことを話してくれと迫るが、設楽は、これは自分の事件で櫻子には無理だと返した。  　その足で青葉の研究室を訪ねた櫻子は、青葉が手を染めたと思われる事件の概要を話し、目的は何だとぶつける。青葉は、仮にそんな犯人がいたとして、その犯行はそれほど悪いことかと他人事のように言う。  　青葉との対面で心を乱された櫻子が邸宅に戻ると、アトリエに正太郎がいた。正太郎は櫻子に声をかけるが、櫻子は自分は家族にさえ必要とされていなかったと悲観的に話す。正太郎はそれを否定し、櫻子に出会う前の自分には戻れないほど櫻子は自分にとって大きな存在なのだと力説する。それを聞いた櫻子は…。</t>
  </si>
  <si>
    <t>1701_CX_月21</t>
  </si>
  <si>
    <t>突然ですが、明日結婚します</t>
  </si>
  <si>
    <t>番組名突然ですが、明日結婚します【結婚観正反対の恋!すれ違いラブバトル】　#01</t>
  </si>
  <si>
    <t>【番組公式HP】  http://www.fujitv.co.jp/ashita_kekkonshimasu/index.html　    【番組公式Twitter】  https://twitter.com/totsuzen_fuji　    【LINE】  @totsuzendesuga高梨あすか(西内まりや)はいずみ銀行の法人営業課で働く銀行員。金融に関する数々の資格を持つ仕事熱心な女性だ。そんなあすかの夢は、結婚して専業主婦になること。27歳の誕生日、5年付き合っている恋人と水族館でデートしたあすかは期待に胸を膨らませる。が、待ち受けていたのはプロポーズではなく別れ話だった。  数日後、あすかは、同僚の桐山莉央(中村アン)、牧瀬桃子(岸井ゆきの)、小野広紀(森田甘路)と一緒に結婚式に出席する。そこに現れたのは、披露宴の司会を務めるNY帰りのTNNテレビ・アナウンサー“ナナリュー"こと名波竜(山村隆太)だ。  あすかは、プールサイドで行われたブーケトスに参加した。が、ブーケを取ろうとしたあすかは、誤ってプールに落ちてしまう。名波は、とっさにそのハプニングを笑いに変え、会場を盛り上げたが、あすかは、幸せになりたい人の気持ちを笑うなんて、と名波に怒る。  何事にもめげないあすかは、ランニングをしながら行う婚活イベントに参加する。一方、名波は、先輩アナウンサーの三上響(沢村一樹)がメインMCを務める朝の情報番組に1年ぶりに復帰する。  ある夜、莉央たちは、あすかを励ますために飲みに誘い、その流れで小野のマンションを訪れる。酔いつぶれ、早朝目を覚ましたあすかは、寝ている小野を起こそうとした。だがその男性は小野ではなく名波だった。そしてあすかと名波は・・・。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【プロデュース】  後藤博幸　  大木綾子　    【演出】  並木道子　  石井祐介　    【制作著作】  フジテレビ</t>
  </si>
  <si>
    <t>高梨あすか(西内まりや)はいずみ銀行の法人営業課で働く銀行員。金融に関する数々の資格を持つ仕事熱心な女性だ。そんなあすかの夢は、結婚して専業主婦になること。27歳の誕生日、5年付き合っている恋人と水族館でデートしたあすかは期待に胸を膨らませる。が、待ち受けていたのはプロポーズではなく別れ話だった。  数日後、あすかは、同僚の桐山莉央(中村アン)、牧瀬桃子(岸井ゆきの)、小野広紀(森田甘路)と一緒に結婚式に出席する。そこに現れたのは、披露宴の司会を務めるNY帰りのTNNテレビ・アナウンサー“ナナリュー"こと名波竜(山村隆太)だ。  あすかは、プールサイドで行われたブーケトスに参加した。が、ブーケを取ろうとしたあすかは、誤ってプールに落ちてしまう。名波は、とっさにそのハプニングを笑いに変え、会場を盛り上げたが、あすかは、幸せになりたい人の気持ちを笑うなんて、と名波に怒る。  何事にもめげないあすかは、ランニングをしながら行う婚活イベントに参加する。一方、名波は、先輩アナウンサーの三上響(沢村一樹)がメインMCを務める朝の情報番組に1年ぶりに復帰する。  ある夜、莉央たちは、あすかを励ますために飲みに誘い、その流れで小野のマンションを訪れる。酔いつぶれ、早朝目を覚ましたあすかは、寝ている小野を起こそうとした。だがその男性は小野ではなく名波だった。そしてあすかと名波は・・・。</t>
  </si>
  <si>
    <t>番組名突然ですが、明日結婚します【結婚観正反対の恋!すれ違いラブバトル】　#02</t>
  </si>
  <si>
    <t>【番組公式HP】  http://www.fujitv.co.jp/ashita_kekkonshimasu/index.html　    【番組公式Twitter】  https://twitter.com/totsuzen_fuji　    【LINE】  @totsuzendesuga結婚して専業主婦になることを夢見る高梨あすか(西内まりや)は、TNNテレビのアナウンサー“ナナリュー"こと名波竜(山村隆太)から「好きになってもいい?」と告白される。だが、名波には結婚する気がないことを知ると、キスしようと近づいてきた彼の顔を押しのけ、帰ってしまう。  出勤前、あすかは、名波が三上響(沢村一樹)とともにMCを務める情報番組『モーニングYELL』を見ていた。そこで芸能人の結婚スクープが扱われた際、三上から結婚願望はあるのかと問われた名波は「出会いがあれば是非」と答え、あすかを呆れさせる。  外回りでTNNの近くを訪れたあすかは、いずみ証券のエース営業マン・神谷暁人(山崎育三郎)に出会う。神谷は、BSの経済番組に出演するため、TNNテレビで打ち合わせをしていたらしい。そこで神谷は、あすかを誘って一緒に行列店の人気スイーツを買いに行く。あすかが神谷と別れて駅へ向かおうとすると、目の前に名波がいた。名波から神谷のことを尋ねられたあすかは、仕事で世話になっている人だと説明するが…。  あすかは、同僚の桐山莉央(中村アン)、牧瀬桃子(岸井ゆきの)と、小野広紀(森田甘路)のマンションで開かれた飲み会に参加する。そこに、小野の部屋に居候中の名波が帰ってきた。小野から、あすかたちが婚活会に参加したと聞かされていた名波は「なんかムカついた」とあすかに告げ・・・。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t>
  </si>
  <si>
    <t>結婚して専業主婦になることを夢見る高梨あすか(西内まりや)は、TNNテレビのアナウンサー“ナナリュー"こと名波竜(山村隆太)から「好きになってもいい?」と告白される。だが、名波には結婚する気がないことを知ると、キスしようと近づいてきた彼の顔を押しのけ、帰ってしまう。  出勤前、あすかは、名波が三上響(沢村一樹)とともにMCを務める情報番組『モーニングYELL』を見ていた。そこで芸能人の結婚スクープが扱われた際、三上から結婚願望はあるのかと問われた名波は「出会いがあれば是非」と答え、あすかを呆れさせる。  外回りでTNNの近くを訪れたあすかは、いずみ証券のエース営業マン・神谷暁人(山崎育三郎)に出会う。神谷は、BSの経済番組に出演するため、TNNテレビで打ち合わせをしていたらしい。そこで神谷は、あすかを誘って一緒に行列店の人気スイーツを買いに行く。あすかが神谷と別れて駅へ向かおうとすると、目の前に名波がいた。名波から神谷のことを尋ねられたあすかは、仕事で世話になっている人だと説明するが…。  あすかは、同僚の桐山莉央(中村アン)、牧瀬桃子(岸井ゆきの)と、小野広紀(森田甘路)のマンションで開かれた飲み会に参加する。そこに、小野の部屋に居候中の名波が帰ってきた。小野から、あすかたちが婚活会に参加したと聞かされていた名波は「なんかムカついた」とあすかに告げ・・・。</t>
  </si>
  <si>
    <t>番組名突然ですが、明日結婚します　#03</t>
  </si>
  <si>
    <t>【番組公式HP】  http://www.fujitv.co.jp/ashita_kekkonshimasu/index.html　    【番組公式Twitter】  https://twitter.com/totsuzen_fuji　    【LINE】  @totsuzendesugaあすか(西内まりや)は、神谷(山崎育三郎)からプロポーズされる。莉央(中村アン)、桃子(岸井ゆきの)とともに香奈(椿鬼奴)の店『Luz』を訪れたあすかは、それをみんなに打ち明けた。莉央たちは、神谷が専業主婦になりたいというあすかの希望も叶えてくれると聞き「結婚しちゃえ」とはやし立てる。  一方、名波(山村隆太)は、あすかの実家に泊まったときのことを小野(森田甘路)に話す。名波いわく、自分の家とは違い、普段から冗談を言い合うようなあすかの両親の姿に驚いたらしい。  そんな折、あすかは「時間があれば約束をしていた食事を作りに行く」と名波にメールをする。名波から「明後日なら大丈夫」という返信をもらったあすかは、莉央たちも誘い、準備を進める。  その当日、あすかは、仕事で遅くなるという小野から鍵を預かり、彼のマンションで料理を作り始める。すると、莉央と桃子から、行けなくなったとの連絡が。実は、小野たちは、あすかと名波をふたりだけにしようと画策していた。ほどなく、名波が帰ってくる。あすかと名波は、ワインを飲みながら楽しい時間を過ごし…。  別の日、あすかは、上司からの指示で神谷と一緒にゴルフ接待に出かける。その帰り、あすかたちは『いまどきのカップルの結婚事情』というテーマで街頭取材を申し込まれる。あすかが断る前に、勝手にOKしてしまう神谷。だが、そのインタビューアーがなんと名波で…。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t>
  </si>
  <si>
    <t>あすか(西内まりや)は、神谷(山崎育三郎)からプロポーズされる。莉央(中村アン)、桃子(岸井ゆきの)とともに香奈(椿鬼奴)の店『Luz』を訪れたあすかは、それをみんなに打ち明けた。莉央たちは、神谷が専業主婦になりたいというあすかの希望も叶えてくれると聞き「結婚しちゃえ」とはやし立てる。  一方、名波(山村隆太)は、あすかの実家に泊まったときのことを小野(森田甘路)に話す。名波いわく、自分の家とは違い、普段から冗談を言い合うようなあすかの両親の姿に驚いたらしい。  そんな折、あすかは「時間があれば約束をしていた食事を作りに行く」と名波にメールをする。名波から「明後日なら大丈夫」という返信をもらったあすかは、莉央たちも誘い、準備を進める。  その当日、あすかは、仕事で遅くなるという小野から鍵を預かり、彼のマンションで料理を作り始める。すると、莉央と桃子から、行けなくなったとの連絡が。実は、小野たちは、あすかと名波をふたりだけにしようと画策していた。ほどなく、名波が帰ってくる。あすかと名波は、ワインを飲みながら楽しい時間を過ごし…。  別の日、あすかは、上司からの指示で神谷と一緒にゴルフ接待に出かける。その帰り、あすかたちは『いまどきのカップルの結婚事情』というテーマで街頭取材を申し込まれる。あすかが断る前に、勝手にOKしてしまう神谷。だが、そのインタビューアーがなんと名波で…。</t>
  </si>
  <si>
    <t>番組名突然ですが、明日結婚します　#04</t>
  </si>
  <si>
    <t>【番組公式HP】  http://www.fujitv.co.jp/ashita_kekkonshimasu/index.html　    【番組公式Twitter】  https://twitter.com/totsuzen_fuji　    【LINE】  @totsuzendesugaあすか(西内まりや)と名波(山村隆太)は「一緒にいたい」というお互いの思いを確認し合い、交際を始める。  同じころ、舞台俳優である夕子(高岡早紀)の夫が若手女優と不倫関係にあるというスキャンダルが報じられる。『モーニングYELL』のゼネラルプロデューサー・氷室(杉本哲太)は、この騒動に巻き込まれないよう名波に忠告する。  名波は、あすかと交際を始めたことを先輩の三上(沢村一樹)に報告した。三上は、気を付けるよう助言するとともに「ここならだれにも邪魔されない」といってスパの紹介券を手渡す。さっそくスパを訪れ、ふたりだけの時間を過ごすあすかと名波。すると、名波のスマートフォンに、夕子から「もう私、ダメみたい」というメッセージが送られてくる。夕子のことが心配になった名波は、あすかを残して彼女の元へと向かってしまう。  夕子は、やってきた名波に「今夜だけ一緒にいてほしい」と懇願する。名波は、一度席を外してあすかに電話するが、彼女が出なかったため「今日はごめん」とメッセージを送った。名波からの着信に気づいたあすかは、彼に電話をする。ところが夕子は、名波が席を外していたのをいいことに、勝手に電話を切って着信履歴も削除してしまう。  そんな折、あすかが神谷(山崎育三郎)と一緒に受けた街頭インタビューが放送され、驚く典子(石野真子)たち高梨家の面々。あすかが勤務するいずみ銀行内も大騒ぎになり…。西内まりや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t>
  </si>
  <si>
    <t>あすか(西内まりや)と名波(山村隆太)は「一緒にいたい」というお互いの思いを確認し合い、交際を始める。  同じころ、舞台俳優である夕子(高岡早紀)の夫が若手女優と不倫関係にあるというスキャンダルが報じられる。『モーニングYELL』のゼネラルプロデューサー・氷室(杉本哲太)は、この騒動に巻き込まれないよう名波に忠告する。  名波は、あすかと交際を始めたことを先輩の三上(沢村一樹)に報告した。三上は、気を付けるよう助言するとともに「ここならだれにも邪魔されない」といってスパの紹介券を手渡す。さっそくスパを訪れ、ふたりだけの時間を過ごすあすかと名波。すると、名波のスマートフォンに、夕子から「もう私、ダメみたい」というメッセージが送られてくる。夕子のことが心配になった名波は、あすかを残して彼女の元へと向かってしまう。  夕子は、やってきた名波に「今夜だけ一緒にいてほしい」と懇願する。名波は、一度席を外してあすかに電話するが、彼女が出なかったため「今日はごめん」とメッセージを送った。名波からの着信に気づいたあすかは、彼に電話をする。ところが夕子は、名波が席を外していたのをいいことに、勝手に電話を切って着信履歴も削除してしまう。  そんな折、あすかが神谷(山崎育三郎)と一緒に受けた街頭インタビューが放送され、驚く典子(石野真子)たち高梨家の面々。あすかが勤務するいずみ銀行内も大騒ぎになり…。</t>
  </si>
  <si>
    <t>番組名突然ですが、明日結婚します　#05</t>
  </si>
  <si>
    <t>【番組公式HP】  http://www.fujitv.co.jp/ashita_kekkonshimasu/index.html　    【番組公式Twitter】  https://twitter.com/totsuzen_fuji　    【LINE】  @totsuzendesuga打ち合わせを終えたあすか(西内まりや)は、神谷(山崎育三郎)に小野(森田甘路)のマンションまで送ってもらう。ところがそこで、神谷は、いきなりあすかにキスをして彼女を怒らせる。実は神谷は、帰宅途中だった名波(山村隆太)が近くにいて、その光景を見ていることに気づいていた。  あすかは、莉央(中村アン)や桃子(岸井ゆきの)と一緒に小野の部屋でお好み焼きパーティーをする。やたらと明るく振る舞っているあすかをそっと見つめる名波。その席で小野や桃子らは、今度はみんなであすかの実家に集まろうと盛り上がる。  別の日、あすかは上司から、いずみ証券と新しく始める共同プロジェクトを担当しないか、と打診される。3年ほどのプロジェクトで、キャリアアップにもつながるという。  数日後、莉央たちは、約束通りあすかの実家を訪れる。典子(石野真子)と新太郎(古舘寛治)は、大歓迎でみんなを迎え入れた。だが、名波だけは、夕子(高岡早紀)の都合で番組の収録のスケジュールが変更になり、結局参加できなくなってしまう。  そんななか、名波は、インフルエンザで休むことになった三上(沢村一樹)の代役で、経済番組の司会を頼まれる。そこで名波は、出演者のひとり、神谷の控室にあいさつに行くが…。西内まりや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t>
  </si>
  <si>
    <t>打ち合わせを終えたあすか(西内まりや)は、神谷(山崎育三郎)に小野(森田甘路)のマンションまで送ってもらう。ところがそこで、神谷は、いきなりあすかにキスをして彼女を怒らせる。実は神谷は、帰宅途中だった名波(山村隆太)が近くにいて、その光景を見ていることに気づいていた。  あすかは、莉央(中村アン)や桃子(岸井ゆきの)と一緒に小野の部屋でお好み焼きパーティーをする。やたらと明るく振る舞っているあすかをそっと見つめる名波。その席で小野や桃子らは、今度はみんなであすかの実家に集まろうと盛り上がる。  別の日、あすかは上司から、いずみ証券と新しく始める共同プロジェクトを担当しないか、と打診される。3年ほどのプロジェクトで、キャリアアップにもつながるという。  数日後、莉央たちは、約束通りあすかの実家を訪れる。典子(石野真子)と新太郎(古舘寛治)は、大歓迎でみんなを迎え入れた。だが、名波だけは、夕子(高岡早紀)の都合で番組の収録のスケジュールが変更になり、結局参加できなくなってしまう。  そんななか、名波は、インフルエンザで休むことになった三上(沢村一樹)の代役で、経済番組の司会を頼まれる。そこで名波は、出演者のひとり、神谷の控室にあいさつに行くが…。</t>
  </si>
  <si>
    <t>番組名突然ですが、明日結婚します　#06</t>
  </si>
  <si>
    <t>【番組公式HP】  http://www.fujitv.co.jp/ashita_kekkonshimasu/index.html　    【番組公式Twitter】  https://twitter.com/totsuzen_fuji　    【LINE】  @totsuzendesugaあすか(西内まりや)は、名波(山村隆太)と同棲することになった。莉央(中村アン)と交際を始めた小野(森田甘路)が彼女の部屋に引っ越すことになり、小野のマンションを使えることになったのだ。  あすかは、名波たちにも手伝ってもらって引っ越しをする。ところがそこに、典子(石野真子)、新太郎(古舘寛治)、奏(葉山奨之)が現れる。家族には莉央、桃子(岸井ゆきの)と3人で暮らすと嘘をついていたあすかは、とっさに名波と小野をバルコニーに追い出し、何とかその場をしのいだ。  あすかは、毎日深夜2時に家を出る名波を見送ろうと張り切るが、起きることができない。それを知った莉央は、同棲のコツは無理をしないことだと助言する。実はあすかは、名波に心配をかけまいと、夕子(高岡早紀)に誘われて一緒に食事をしたことも打ち明けられずにいた。  名波は『モーニングYELL』のゴールデン特番の準備や、メインキャスターを務める報道特番のための勉強で多忙を極める。名波から、あすかと同棲を始めたとの報告を受けていた三上(沢村一樹)は、彼のことが心配でならない。  一方、神谷(山崎育三郎)は、バスケットボールの試合チケットのことで奏に電話する。そこで神谷は、あすかが同僚とルームシェアを始めたと教えられていた。  ある夜、会社にマンションの鍵を忘れてきてしまったあすかは、名波に連絡して鍵を借りにいくのだが・・・。西内まりや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t>
  </si>
  <si>
    <t>あすか(西内まりや)は、名波(山村隆太)と同棲することになった。莉央(中村アン)と交際を始めた小野(森田甘路)が彼女の部屋に引っ越すことになり、小野のマンションを使えることになったのだ。  あすかは、名波たちにも手伝ってもらって引っ越しをする。ところがそこに、典子(石野真子)、新太郎(古舘寛治)、奏(葉山奨之)が現れる。家族には莉央、桃子(岸井ゆきの)と3人で暮らすと嘘をついていたあすかは、とっさに名波と小野をバルコニーに追い出し、何とかその場をしのいだ。  あすかは、毎日深夜2時に家を出る名波を見送ろうと張り切るが、起きることができない。それを知った莉央は、同棲のコツは無理をしないことだと助言する。実はあすかは、名波に心配をかけまいと、夕子(高岡早紀)に誘われて一緒に食事をしたことも打ち明けられずにいた。  名波は『モーニングYELL』のゴールデン特番の準備や、メインキャスターを務める報道特番のための勉強で多忙を極める。名波から、あすかと同棲を始めたとの報告を受けていた三上(沢村一樹)は、彼のことが心配でならない。  一方、神谷(山崎育三郎)は、バスケットボールの試合チケットのことで奏に電話する。そこで神谷は、あすかが同僚とルームシェアを始めたと教えられていた。  ある夜、会社にマンションの鍵を忘れてきてしまったあすかは、名波に連絡して鍵を借りにいくのだが・・・。</t>
  </si>
  <si>
    <t>番組名突然ですが、明日結婚します　#07</t>
  </si>
  <si>
    <t>副音声放送、実施!    【番組公式HP】  http://www.fujitv.co.jp/ashita_kekkonshimasu/index.html　    【番組公式Twitter】  https://twitter.com/totsuzen_fuji　    【LINE】  @totsuzendesuga名波(山村隆太)の同棲と不倫の二股疑惑を伝えるゴシップが報じられた。あすか(西内まりや)に電話をした名波は、彼女のことを気づかい、マンションの前で記者が張っているかもしれないと忠告する。あすかは、莉央(中村アン)、桃子(岸井ゆきの)、そしてマスコミ対策にも詳しいというカナママ(椿鬼奴)の協力を得て、何とか小野(森田甘路)のマンションに戻る。  三上(沢村一樹)は、記事に掲載された写真が、個人のSNSから流出した可能性が高いことを名波に伝えた。あすかの心情を思いやる三上は「これを機に結婚してしまえば彼女を守れる」と名波に告げる。するとそこに、プロデューサーの氷室(杉本哲太)から電話が入る。名波を呼び出した氷室は「報道特番のメインキャスターを降板させる」と伝え…。  別の日、あすかは、フリーランスの記者だという草ヶ谷(村上航)からいきなり取材を申し込まれる。夕子(高岡早紀)の話を持ち出し、しつこくあすかに迫る草ヶ谷。そのときあすかを救ったのは、神谷(山崎育三郎)だった。  ほどなく『ナナリュー同棲彼女の素顔』というネット記事が公開され、隠し撮りされたあすかの写真まで公開されてしまう。この一件はいずみ銀行内でも騒ぎになり、あすかは上司からも事情説明を求められる。  そんな中、あすかは、マンションの前で張っていた草ヶ谷と再び遭遇し、写真を撮られる。そこにやってきた名波は…。西内まりや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t>
  </si>
  <si>
    <t>名波(山村隆太)の同棲と不倫の二股疑惑を伝えるゴシップが報じられた。あすか(西内まりや)に電話をした名波は、彼女のことを気づかい、マンションの前で記者が張っているかもしれないと忠告する。あすかは、莉央(中村アン)、桃子(岸井ゆきの)、そしてマスコミ対策にも詳しいというカナママ(椿鬼奴)の協力を得て、何とか小野(森田甘路)のマンションに戻る。  三上(沢村一樹)は、記事に掲載された写真が、個人のSNSから流出した可能性が高いことを名波に伝えた。あすかの心情を思いやる三上は「これを機に結婚してしまえば彼女を守れる」と名波に告げる。するとそこに、プロデューサーの氷室(杉本哲太)から電話が入る。名波を呼び出した氷室は「報道特番のメインキャスターを降板させる」と伝え…。  別の日、あすかは、フリーランスの記者だという草ヶ谷(村上航)からいきなり取材を申し込まれる。夕子(高岡早紀)の話を持ち出し、しつこくあすかに迫る草ヶ谷。そのときあすかを救ったのは、神谷(山崎育三郎)だった。  ほどなく『ナナリュー同棲彼女の素顔』というネット記事が公開され、隠し撮りされたあすかの写真まで公開されてしまう。この一件はいずみ銀行内でも騒ぎになり、あすかは上司からも事情説明を求められる。  そんな中、あすかは、マンションの前で張っていた草ヶ谷と再び遭遇し、写真を撮られる。そこにやってきた名波は…。</t>
  </si>
  <si>
    <t>番組名突然ですが、明日結婚します　#08</t>
  </si>
  <si>
    <t>【番組公式HP】  http://www.fujitv.co.jp/ashita_kekkonshimasu/index.html　    【番組公式Twitter】  https://twitter.com/totsuzen_fuji　    【LINE】  @totsuzendesuga　    主題歌プレゼントの告知あります。  今週も、出演者による副音声やります!お楽しみください!名波(山村隆太)から突然別れ話を切り出されたあすか(西内まりや)は、言葉を失う。「あすかのことを嫌いになったわけではないが、ひとりになりたい」と言ってマンションから出ていってしまう名波。あすかは、名波を追いかけることができなかった。  明くる日、莉央(中村アン)や桃子(岸井ゆきの)は、あすかの様子がおかしいことに気づく。しかしあすかは、名波とのことを莉央たちに打ち明けられない。そんなあすかの元を訪れた神谷(山崎育三郎)は「栃木出張に一緒に行かないか」と彼女を誘う。最新金融理論のレクチャーを受けるため、東洋工科大の教授に会いにいくのだという。  一方、名波は、モスクワ支局への異動を命じられる。三上(沢村一樹)や氷室(杉本哲太)は、名波を守れなかったことを悔やんでいた。  仕事を終えたあすかが小野(森田甘路)のマンションに帰ると、名波が戻ってきていた。するとそこに、酒や食事を買い込んだ夕子(高岡早紀)がやってくる。名波が呼んだらしい。夕子から「何故あすかがいるのか」と問われた名波は「荷物を取りに来た」と説明する。ショックを受けたあすかは、涙をこらえて部屋から出ていき…。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t>
  </si>
  <si>
    <t>今週も、出演者による副音声やります!お楽しみください!名波(山村隆太)から突然別れ話を切り出されたあすか(西内まりや)は、言葉を失う。「あすかのことを嫌いになったわけではないが、ひとりになりたい」と言ってマンションから出ていってしまう名波。あすかは、名波を追いかけることができなかった。  明くる日、莉央(中村アン)や桃子(岸井ゆきの)は、あすかの様子がおかしいことに気づく。しかしあすかは、名波とのことを莉央たちに打ち明けられない。そんなあすかの元を訪れた神谷(山崎育三郎)は「栃木出張に一緒に行かないか」と彼女を誘う。最新金融理論のレクチャーを受けるため、東洋工科大の教授に会いにいくのだという。  一方、名波は、モスクワ支局への異動を命じられる。三上(沢村一樹)や氷室(杉本哲太)は、名波を守れなかったことを悔やんでいた。  仕事を終えたあすかが小野(森田甘路)のマンションに帰ると、名波が戻ってきていた。するとそこに、酒や食事を買い込んだ夕子(高岡早紀)がやってくる。名波が呼んだらしい。夕子から「何故あすかがいるのか」と問われた名波は「荷物を取りに来た」と説明する。ショックを受けたあすかは、涙をこらえて部屋から出ていき…。</t>
  </si>
  <si>
    <t>番組名突然ですが、明日結婚します　#09</t>
  </si>
  <si>
    <t>副音声放送、実施!    【番組公式HP】  http://www.fujitv.co.jp/ashita_kekkonshimasu/index.html　    【番組公式Twitter】  https://twitter.com/totsuzen_fuji　    【LINE】  @totsuzendesugaプロジェクトの報告会を成功させたあすか(西内まりや)は、神谷(山崎育三郎)とともにグループの役員たちと会食をする。役員らは、NY支店とのテレカンファレンスに参加するよう、あすかたちに指示した。  一方、名波(山村隆太)は、訪ねてきた小野(森田甘路)にモスクワ支局への転勤を打ち明ける。小野は、あすかにもちゃんと伝えるべきだと主張した。しかし名波は「あすかにはもっと良い相手がいる」と返すだけだった。三上(沢村一樹)と会った夕子(高岡早紀)も、名波があすかと別れたことを知る。「中途半端な優しさで格好をつけている」と名波を非難する夕子。三上は「名波も真剣に考えているのではないか」とかばうが…。  別の日、名波のもとにあすかの弟・奏(葉山奨之)がやってくる。自分のせいでふたりが別れたのではないかと気にしていた奏は「なぜ別れたのか」と名波に切り出す。名波は、価値観の違いだと説明し「一緒にいてもあすかは幸せになれない」と答えた。すると奏は「名波が逃げていることだけはわかった」と捨てぜりふを残して部屋を出ていく。  その夜、あすかは、夕子に誘われて一緒に食事する。その席で夕子は、名波から頼まれて付き合っているかのような芝居をしたこと、彼がモスクワに行ってしまうことを告げる。そんな中、あすかは、一緒に見に行こうと名波と約束していた桜のつぼみが開いていることに気づき…。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t>
  </si>
  <si>
    <t>プロジェクトの報告会を成功させたあすか(西内まりや)は、神谷(山崎育三郎)とともにグループの役員たちと会食をする。役員らは、NY支店とのテレカンファレンスに参加するよう、あすかたちに指示した。  一方、名波(山村隆太)は、訪ねてきた小野(森田甘路)にモスクワ支局への転勤を打ち明ける。小野は、あすかにもちゃんと伝えるべきだと主張した。しかし名波は「あすかにはもっと良い相手がいる」と返すだけだった。三上(沢村一樹)と会った夕子(高岡早紀)も、名波があすかと別れたことを知る。「中途半端な優しさで格好をつけている」と名波を非難する夕子。三上は「名波も真剣に考えているのではないか」とかばうが…。  別の日、名波のもとにあすかの弟・奏(葉山奨之)がやってくる。自分のせいでふたりが別れたのではないかと気にしていた奏は「なぜ別れたのか」と名波に切り出す。名波は、価値観の違いだと説明し「一緒にいてもあすかは幸せになれない」と答えた。すると奏は「名波が逃げていることだけはわかった」と捨てぜりふを残して部屋を出ていく。  その夜、あすかは、夕子に誘われて一緒に食事する。その席で夕子は、名波から頼まれて付き合っているかのような芝居をしたこと、彼がモスクワに行ってしまうことを告げる。そんな中、あすかは、一緒に見に行こうと名波と約束していた桜のつぼみが開いていることに気づき…。</t>
  </si>
  <si>
    <t>1701_CX_火21</t>
  </si>
  <si>
    <t>嘘の戦争</t>
  </si>
  <si>
    <t>番組名嘘の戦争【天才詐欺師の復讐劇!殺された家族の仇を討て▽主演草ナギ剛】　#01</t>
  </si>
  <si>
    <t>犯人の顔を見てしまった9歳の主人公・浩一(草ナギ剛)は、警察に「犯人は父ではない、真犯人の顔を見た」と繰り返し証言するが、信じてもらえない。それどころか、“うそつき"と呼ばれ、親戚からも奇異な目で見られることに…。  やがて浩一は呼び名の通り、巧みなうそつきに成長。タイに渡り、名前を変えて、偽の経歴を手に入れて、たぐいまれなる詐欺師になった浩一は、偶然にも記憶の中の真犯人“アザのある男"と再会。30年間眠っていた“怒り"という感情がよみがえり、復讐することを誓い、ついに日本に戻ってくる。そうして事件当夜について調べていると、事件関係者たちが次々に浮上していく。30年の時を経て、その事実を知った浩一は、詐欺師ならではの手法で、その事件関係者たちにわなを仕掛けていく。  さらに浩一は、事件関係者たちのスキャンダルや犯罪者としての顔も暴き、社会的に抹殺しようとする。しかしそれを阻もうとする大企業の会長・二科興三(市村正親)や次男・隆(藤木直人)、長男・晃(安田顕)との間で熾烈な攻防戦が繰り広げられていく…。こうして浩一の壮絶な復讐劇が始まっていくが、最終的に浩一は復讐を果たすことができるのかーー!?  その一方で、相棒的な女性詐欺師・ハルカ(水原希子)、さらに、二科家の長女の女医・楓(山本美月)が登場。浩一をめぐる三角関係、複雑な愛憎劇も巻き起こるーー。草ナギ剛　  藤木直人　  水原希子　  菊池風磨(Sexy　Zone)　  マギー　  姜暢雄　  野村麻純  たくませいこ　  迫田孝也　  中島亜梨沙　  小林颯　  土屋佑壱  　・　  大杉漣  　・　  山本美月　  安田顕　  市村正親　    他【脚本】  後藤法子　    【音楽】  林ゆうき　  橘麻美　    【演出・プロデューサー】  三宅喜重　    【プロデューサー】  河西秀幸　    【制作著作】  関西テレビ【公式ホームページ】  http://www.ktv.jp/uso/index.html　(検索:嘘の戦争)    【公式Twitter】  @usonosensou_ktv　  https://twitter.com/usonosensou_ktv　    【公式LINE】  アプリの公式アカウント→　検索　嘘の戦争    【公式Facebook】  https://www.facebook.com/uso.ktv/</t>
  </si>
  <si>
    <t>犯人の顔を見てしまった9歳の主人公・浩一(草ナギ剛)は、警察に「犯人は父ではない、真犯人の顔を見た」と繰り返し証言するが、信じてもらえない。それどころか、“うそつき"と呼ばれ、親戚からも奇異な目で見られることに…。  やがて浩一は呼び名の通り、巧みなうそつきに成長。タイに渡り、名前を変えて、偽の経歴を手に入れて、たぐいまれなる詐欺師になった浩一は、偶然にも記憶の中の真犯人“アザのある男"と再会。30年間眠っていた“怒り"という感情がよみがえり、復讐することを誓い、ついに日本に戻ってくる。そうして事件当夜について調べていると、事件関係者たちが次々に浮上していく。30年の時を経て、その事実を知った浩一は、詐欺師ならではの手法で、その事件関係者たちにわなを仕掛けていく。  さらに浩一は、事件関係者たちのスキャンダルや犯罪者としての顔も暴き、社会的に抹殺しようとする。しかしそれを阻もうとする大企業の会長・二科興三(市村正親)や次男・隆(藤木直人)、長男・晃(安田顕)との間で熾烈な攻防戦が繰り広げられていく…。こうして浩一の壮絶な復讐劇が始まっていくが、最終的に浩一は復讐を果たすことができるのかーー!?  その一方で、相棒的な女性詐欺師・ハルカ(水原希子)、さらに、二科家の長女の女医・楓(山本美月)が登場。浩一をめぐる三角関係、複雑な愛憎劇も巻き起こるーー。</t>
  </si>
  <si>
    <t>番組名嘘の戦争【草ナギ剛が天才詐欺師の復讐劇…30年前の衝撃的な嘘と真実】　#02</t>
  </si>
  <si>
    <t>ニシナグループ会長の興三(市村正親)をかばって五十嵐(甲本雅裕)に刺された浩一(草ナギ剛)は、二科家の顧問弁護士を務める六反田健次(飯田基祐)から、今回の一件は事故として済ませたいと言われる。“六反田"という名前を目にした浩一は、男が30年前に新聞配達をしていた苦学生で、事件当時、浩一の父親が一家心中を図ったことを決定づける、うその証言をした人物だと気付く。  一方、浩一を治療した楓(山本美月)は、胸元の大きな傷跡が気になっていた。浩一はタイでの仕事中に負ったものだと説明するが、医師である楓は、もっと古い傷だと気付いていたのだ。なぜ浩一がうそをついたのか、楓は少しずつ浩一のことが気になり始めて…。    その頃浩一は、五十嵐に金を貸していた金融屋になりすまし、六反田に揺さぶりをかけていた。「金を返さなければ、“30年前のうその証言"を公にする」ーー  焦った六反田は興三に助けを求めるが、それを見計らったように、今度は隆(藤木直人)のフリをして次なるワナを浩一は仕掛け…。草ナギ剛　  藤木直人　  水原希子　  菊池風磨(Sexy　Zone)　  マギー　  姜暢雄　  野村麻純　  たくませいこ　  迫田孝也　  中島亜梨沙　  小林颯　  土屋佑壱　  杉野遥亮  　・　  大杉漣　  飯田基祐　  六平直政  　・　  山本美月　  安田顕　  市村正親　    他【脚本】  後藤法子　    【音楽】  林ゆうき　  橘麻美　    【演出・プロデューサー】  三宅喜重　    【プロデューサー】  河西秀幸　    【制作著作】  関西テレビ【公式ホームページ】  http://www.ktv.jp/uso/index.html(検索:嘘の戦争)    【公式Twitter】  @usonosensou_ktv  https://twitter.com/usonosensou_ktv    【公式LINE】  アプリの公式アカウント→　検索　嘘の戦争    【公式Facebook】  https://www.facebook.com/uso.ktv/</t>
  </si>
  <si>
    <t>ニシナグループ会長の興三(市村正親)をかばって五十嵐(甲本雅裕)に刺された浩一(草ナギ剛)は、二科家の顧問弁護士を務める六反田健次(飯田基祐)から、今回の一件は事故として済ませたいと言われる。“六反田"という名前を目にした浩一は、男が30年前に新聞配達をしていた苦学生で、事件当時、浩一の父親が一家心中を図ったことを決定づける、うその証言をした人物だと気付く。  一方、浩一を治療した楓(山本美月)は、胸元の大きな傷跡が気になっていた。浩一はタイでの仕事中に負ったものだと説明するが、医師である楓は、もっと古い傷だと気付いていたのだ。なぜ浩一がうそをついたのか、楓は少しずつ浩一のことが気になり始めて…。    その頃浩一は、五十嵐に金を貸していた金融屋になりすまし、六反田に揺さぶりをかけていた。「金を返さなければ、“30年前のうその証言"を公にする」ーー  焦った六反田は興三に助けを求めるが、それを見計らったように、今度は隆(藤木直人)のフリをして次なるワナを浩一は仕掛け…。</t>
  </si>
  <si>
    <t>番組名嘘の戦争【嘘を強要した刑事に30年分の復讐…首謀者愛娘に禁断の罠】　#03</t>
  </si>
  <si>
    <t>復讐(ふくしゅう)の鬼と化した浩一(草ナギ剛)は、30年前に父親を殺した五十嵐(甲本雅裕)と、うその証言をした見返りに二科家の顧問弁護士にまで上り詰めた六反田(飯田基祐)を次々にワナに陥れ、復讐を遂げていく。一方で晃(安田顕)や楓(山本美月)との距離を縮め、事件を指示していた興三(市村正親)に少しずつ近づいていた。  そんな浩一が次に狙うターゲットは、30年前に捜査を担当した刑事の三輪郁夫(六平直政)。三輪は、浩一の家族が意図的に殺されたことを知っていながら殺人を隠ぺいし、9歳だった陽一(後の浩一)に事件は父親による心中だったとうその証言を強要した人物だった。「あいつだけはこの手で直接、破滅させたい」ーー早速、浩一が三輪の身辺を調べると、思わぬ人物だった事が明らかになり……。  一方、晃を味方につけたことで楓との仲も急接近。浩一の作戦は万事順調だったが、ハルカ(水原希子)は、そんな浩一を複雑な思いで見つめていた。    そして30年前の事件の生き残りである千葉陽一と一ノ瀬浩一が同一人物だとはまだ気づいていない隆(藤木直人)は、浩一に対しての不信感を募らせていく…。草ナギ剛　  藤木直人　  水原希子　  菊池風磨(Sexy　Zone)　  マギー　  姜暢雄　  野村麻純　  たくませいこ　  小林颯  　・　  六平直政　  宮地雅子　  甲本雅裕  　・　  山本美月　  安田顕　  市村正親　    他【脚本】  後藤法子　    【音楽】  林ゆうき　  橘麻美　    【プロデューサー】  河西秀幸　  三宅喜重　    【演出】  宝来忠昭　    【制作著作】  関西テレビ【公式ホームページ】  http://www.ktv.jp/uso/index.html(検索:嘘の戦争)    【公式Twitter】  @usonosensou_ktv  https://twitter.com/usonosensou_ktv    【公式LINE】  アプリの公式アカウント→　検索　嘘の戦争    【公式Facebook】  https://www.facebook.com/uso.ktv/</t>
  </si>
  <si>
    <t>復讐(ふくしゅう)の鬼と化した浩一(草ナギ剛)は、30年前に父親を殺した五十嵐(甲本雅裕)と、うその証言をした見返りに二科家の顧問弁護士にまで上り詰めた六反田(飯田基祐)を次々にワナに陥れ、復讐を遂げていく。一方で晃(安田顕)や楓(山本美月)との距離を縮め、事件を指示していた興三(市村正親)に少しずつ近づいていた。  そんな浩一が次に狙うターゲットは、30年前に捜査を担当した刑事の三輪郁夫(六平直政)。三輪は、浩一の家族が意図的に殺されたことを知っていながら殺人を隠ぺいし、9歳だった陽一(後の浩一)に事件は父親による心中だったとうその証言を強要した人物だった。「あいつだけはこの手で直接、破滅させたい」ーー早速、浩一が三輪の身辺を調べると、思わぬ人物だった事が明らかになり……。  一方、晃を味方につけたことで楓との仲も急接近。浩一の作戦は万事順調だったが、ハルカ(水原希子)は、そんな浩一を複雑な思いで見つめていた。    そして30年前の事件の生き残りである千葉陽一と一ノ瀬浩一が同一人物だとはまだ気づいていない隆(藤木直人)は、浩一に対しての不信感を募らせていく…。</t>
  </si>
  <si>
    <t>番組名嘘の戦争【標的は政治家…裏金5億を奪え!激化する天才詐欺師の復讐劇】　#04</t>
  </si>
  <si>
    <t>30年前に浩一(草ナギ剛)を刺した五十嵐(甲本雅裕)、うその証言をした弁護士の六反田(飯田基祐)、幼い陽一(後の浩一)にうその証言を強要した刑事の三輪(六平直政)と立て続けに復讐を果たした浩一。隆(藤木直人)は、一連の関係者の失脚に、30年前の事件の生き残りである“千葉陽一"が関係していると推察し、本格的に調べを進める。しかしオーストラリアに住んでいるという千葉陽一の正体はつかめず、いら立ちを募らせていた。    そんなある日、家族が殺害される少し前、当時大学生だった2人の男がOLを死なせた件について調べていた浩一は、興三(市村正親)にもみ消しを依頼した人物が代議士の四条綾子(ジュディ・オング)だと気付く。また綾子が溺愛する息子の司(森岡豊)が事業にことごとく失敗し借金だらけだと知った浩一は、占い師に扮したハルカ(水原希子)と協力し、綾子に近づいていく…。一方、楓(山本美月)に結婚を前提に付き合いたいと晃(安田顕)の目の前で交際を申し込んだ浩一は、興三に会えないかと楓に提案する。その頃、晃は兄である自分を過小評価し、厳しい言葉ばかり並べる隆に怒りを覚えていた。浩一は、そんな晃を上手くなだめつつ、経営コンサルタントらしくニシナコーポレーションの未来を案じ、「隆さんにも渡して下さい」と事業戦略を記録したUSBを晃に託すが…。草ナギ剛　  藤木直人　  水原希子　  菊池風磨(Sexy　Zone)　  マギー　  姜暢雄　  野村麻純　  たくませいこ　  杉野遥亮  　・　  大杉漣　  甲本雅裕  　・　  山本美月　  安田顕　  市村正親　    【ゲスト】  ジュディ・オング　  森岡豊【脚本】  後藤法子　    【音楽】  林ゆうき　  橘麻美　    【演出・プロデューサー】  三宅喜重　    【プロデューサー】  河西秀幸　    【制作著作】  関西テレビ【公式ホームページ】  http://www.ktv.jp/uso/index.html(検索:嘘の戦争)    【公式Twitter】  @usonosensou_ktv  https://twitter.com/usonosensou_ktv    【公式LINE】  アプリの公式アカウント→　検索　嘘の戦争    【公式Facebook】  https://www.facebook.com/uso.ktv/</t>
  </si>
  <si>
    <t>30年前に浩一(草ナギ剛)を刺した五十嵐(甲本雅裕)、うその証言をした弁護士の六反田(飯田基祐)、幼い陽一(後の浩一)にうその証言を強要した刑事の三輪(六平直政)と立て続けに復讐を果たした浩一。隆(藤木直人)は、一連の関係者の失脚に、30年前の事件の生き残りである“千葉陽一"が関係していると推察し、本格的に調べを進める。しかしオーストラリアに住んでいるという千葉陽一の正体はつかめず、いら立ちを募らせていた。    そんなある日、家族が殺害される少し前、当時大学生だった2人の男がOLを死なせた件について調べていた浩一は、興三(市村正親)にもみ消しを依頼した人物が代議士の四条綾子(ジュディ・オング)だと気付く。また綾子が溺愛する息子の司(森岡豊)が事業にことごとく失敗し借金だらけだと知った浩一は、占い師に扮したハルカ(水原希子)と協力し、綾子に近づいていく…。一方、楓(山本美月)に結婚を前提に付き合いたいと晃(安田顕)の目の前で交際を申し込んだ浩一は、興三に会えないかと楓に提案する。その頃、晃は兄である自分を過小評価し、厳しい言葉ばかり並べる隆に怒りを覚えていた。浩一は、そんな晃を上手くなだめつつ、経営コンサルタントらしくニシナコーポレーションの未来を案じ、「隆さんにも渡して下さい」と事業戦略を記録したUSBを晃に託すが…。</t>
  </si>
  <si>
    <t>番組名嘘の戦争【一流銀行マンに華麗なる復讐!新事実が発覚…首謀者と最接近】　#05</t>
  </si>
  <si>
    <t>医師の五十嵐(甲本雅裕)、弁護士の六反田(飯田基祐)、刑事の三輪(六平直政)、さらに一家殺害の原因となる事件をもみ消した四条(ジュディ・オング)とその息子も陥れ、浩一(草ナギ剛)はついに興三(市村正親)への復讐に王手をかける。その頃、二科家では30年前の犯行の証拠となる録音テープの存在を知った興三が、再び悪に手を染めようとしていた。隆(藤木直人)はそれを阻止しようと、自らテープの在りかを突き止めようと動き出す。また隆は浩一と“千葉陽一"との関係を確かめようとバー800に乗り込み、「千葉という人物を知っているか?」と浩一に直接問いただす。    浩一は、30年前に起きたOL殺しの主犯で、今は大手銀行に勤める九島亨(平岳大)の存在に気がつく。九島の亡き父は銀行の元副頭取で、30年前、興三に多額の融資をしていた。その融資こそが一家殺害の報酬だとにらんだ浩一は、九島と彼の弱みを握っている愛人の五十川芙美(真飛聖)にも接近。相棒のハルカ(水原希子)と共にパイロットとキャビンアテンダントに扮し2人の前に現れて…?    一方、楓(山本美月)は長年にわたり興三との間に確執があることを浩一に打ち明ける。なんとか興三に会いたい浩一は、そんな楓をやさしく諭し、心を動かされた楓は興三に会いに行くが…。草ナギ剛　  藤木直人　  水原希子　  菊池風磨(Sexy　Zone)　  マギー　  姜暢雄　  野村麻純　  たくませいこ  　・　  山本美月　  安田顕　  市村正親　    他　    【ゲスト】  平岳大　  真飛聖【脚本】  後藤法子　    【音楽】  林ゆうき　  橘麻美　    【プロデューサー】  三宅喜重　  河西秀幸　    【演出】  宝来忠昭　    【制作著作】  関西テレビ【公式ホームページ】  http://www.ktv.jp/uso/index.html(検索:嘘の戦争)    【公式Twitter】  @usonosensou_ktv  https://twitter.com/usonosensou_ktv    【公式LINE】  アプリの公式アカウント→　検索　嘘の戦争    【公式Facebook】  https://www.facebook.com/uso.ktv/</t>
  </si>
  <si>
    <t>医師の五十嵐(甲本雅裕)、弁護士の六反田(飯田基祐)、刑事の三輪(六平直政)、さらに一家殺害の原因となる事件をもみ消した四条(ジュディ・オング)とその息子も陥れ、浩一(草ナギ剛)はついに興三(市村正親)への復讐に王手をかける。その頃、二科家では30年前の犯行の証拠となる録音テープの存在を知った興三が、再び悪に手を染めようとしていた。隆(藤木直人)はそれを阻止しようと、自らテープの在りかを突き止めようと動き出す。また隆は浩一と“千葉陽一"との関係を確かめようとバー800に乗り込み、「千葉という人物を知っているか?」と浩一に直接問いただす。    浩一は、30年前に起きたOL殺しの主犯で、今は大手銀行に勤める九島亨(平岳大)の存在に気がつく。九島の亡き父は銀行の元副頭取で、30年前、興三に多額の融資をしていた。その融資こそが一家殺害の報酬だとにらんだ浩一は、九島と彼の弱みを握っている愛人の五十川芙美(真飛聖)にも接近。相棒のハルカ(水原希子)と共にパイロットとキャビンアテンダントに扮し2人の前に現れて…?    一方、楓(山本美月)は長年にわたり興三との間に確執があることを浩一に打ち明ける。なんとか興三に会いたい浩一は、そんな楓をやさしく諭し、心を動かされた楓は興三に会いに行くが…。</t>
  </si>
  <si>
    <t>番組名嘘の戦争【ついに宿敵と激突!一族の反撃…詐欺師の正体が暴かれる危機】　#06</t>
  </si>
  <si>
    <t>9歳の時、一家心中に見せかけて家族を殺された浩一(草ナギ剛)は、やがて天才詐欺師となり、30年の時を経て当時の事件関係者に次々と復讐を果たしてきた。最大の敵・興三(市村正親)に復讐を果たすため、浩一は結婚詐欺師のように正体を隠し、長女・楓(山本美月)とウソの交際。近々家族にあいさつをしたいからと楓をさとし、浩一はついに興三と直接会うチャンスを得る。  二科家に招かれた浩一は、さっそく興三と隆(藤木直人)から過去について詮索される。緊張感あふれる昼食会が開かれるが、話は意外な方向に進んでいき…。その頃、ハルカ(水原希子)は何者かに尾行される気配を感じ、二科家が本格的に動き出したことに焦りを覚える。  一方、隆は何者かが30年前の事件の復讐に動いていると推測し、事件の生き残りである“千葉陽一"を疑っていた。楓と交際して急速に二科家に近づいてきた浩一に対しても警戒を強め、隆は再び児童養護施設の守(大杉漣)を訪ねる。「千葉陽一さんについて確認したいことがある」ーー隆の再三の申し出に守は…?草ナギ剛　  藤木直人　  水原希子　  菊池風磨(Sexy　Zone)　  マギー　  姜暢雄　  野村麻純　  たくませいこ　  杉野遥亮  　・　  大杉漣  　・　  山本美月　  安田顕　  市村正親　    他【脚本】  後藤法子　    【音楽】  林ゆうき　  橘麻美　    【演出・プロデューサー】  三宅喜重　    【プロデューサー】  河西秀幸　    【制作著作】  関西テレビ【公式ホームページ】  http://www.ktv.jp/uso/index.html(検索:嘘の戦争)    【公式Twitter】  @usonosensou_ktv  https://twitter.com/usonosensou_ktv    【公式LINE】  アプリの公式アカウント→　検索　嘘の戦争    【公式Facebook】  https://www.facebook.com/uso.ktv/</t>
  </si>
  <si>
    <t>9歳の時、一家心中に見せかけて家族を殺された浩一(草ナギ剛)は、やがて天才詐欺師となり、30年の時を経て当時の事件関係者に次々と復讐を果たしてきた。最大の敵・興三(市村正親)に復讐を果たすため、浩一は結婚詐欺師のように正体を隠し、長女・楓(山本美月)とウソの交際。近々家族にあいさつをしたいからと楓をさとし、浩一はついに興三と直接会うチャンスを得る。  二科家に招かれた浩一は、さっそく興三と隆(藤木直人)から過去について詮索される。緊張感あふれる昼食会が開かれるが、話は意外な方向に進んでいき…。その頃、ハルカ(水原希子)は何者かに尾行される気配を感じ、二科家が本格的に動き出したことに焦りを覚える。  一方、隆は何者かが30年前の事件の復讐に動いていると推測し、事件の生き残りである“千葉陽一"を疑っていた。楓と交際して急速に二科家に近づいてきた浩一に対しても警戒を強め、隆は再び児童養護施設の守(大杉漣)を訪ねる。「千葉陽一さんについて確認したいことがある」ーー隆の再三の申し出に守は…?</t>
  </si>
  <si>
    <t>番組名嘘の戦争【宿敵長男に復讐…容赦なき罠で一族崩壊へ▼謎の男六車の正体】　#07</t>
  </si>
  <si>
    <t>30年前、一家心中に見せかけて殺された家族の復讐を次々に果たした浩一(草ナギ剛)は、ついに、事件の首謀者である興三(市村正親)に近づくことに成功。興三の娘・楓(山本美月)との結婚も決まる。一方、またしても浩一の巧みなウソに翻弄され、興三もまた「2人で話がしたい」と浩一を呼び出すが、思わぬ事態に…。  そして隆(藤木直人)は浩一が30年前の事件で生き残った“千葉陽一"だと疑いつつも、確固たる証拠をつかめずにいた。    隆の事を気にしつつも、浩一は30年前のOL殺人事件に関わっていながら、これまで何の罰も受けずに生きてきた晃(安田顕)に狙いを定め、事業拡大のために工場を全面改修するよう勧める。  そして晃が早速、隆に工事に必要な多額の費用を用立ててくれるよう頼むと、隆は意外にもそれをあっさり承諾するが、それには隆なりの考えがあり…?上機嫌の晃に、浩一はそれとなく、興三や隆のまわりで怪しい動きを見せる六車という男について尋ねる。晃の話を聞いた浩一の脳裏には、ある疑惑が浮かんで…。草ナギ剛　  藤木直人　  水原希子　  菊池風磨(Sexy　Zone)　  マギー　  姜暢雄　  野村麻純　  たくませいこ　  土屋佑壱  　・　  山本美月　  安田顕　  市村正親　    他【脚本】  後藤法子　    【音楽】  林ゆうき　  橘麻美　    【プロデューサー】  三宅喜重　  河西秀幸　    【演出】  中西正茂　    【制作著作】  関西テレビ【公式ホームページ】  http://www.ktv.jp/uso/index.html(検索:嘘の戦争)    【公式Twitter】  @usonosensou_ktv  https://twitter.com/usonosensou_ktv    【公式LINE】  アプリの公式アカウント→　検索　嘘の戦争    【公式Facebook】  https://www.facebook.com/uso.ktv/</t>
  </si>
  <si>
    <t>30年前、一家心中に見せかけて殺された家族の復讐を次々に果たした浩一(草ナギ剛)は、ついに、事件の首謀者である興三(市村正親)に近づくことに成功。興三の娘・楓(山本美月)との結婚も決まる。一方、またしても浩一の巧みなウソに翻弄され、興三もまた「2人で話がしたい」と浩一を呼び出すが、思わぬ事態に…。  そして隆(藤木直人)は浩一が30年前の事件で生き残った“千葉陽一"だと疑いつつも、確固たる証拠をつかめずにいた。    隆の事を気にしつつも、浩一は30年前のOL殺人事件に関わっていながら、これまで何の罰も受けずに生きてきた晃(安田顕)に狙いを定め、事業拡大のために工場を全面改修するよう勧める。  そして晃が早速、隆に工事に必要な多額の費用を用立ててくれるよう頼むと、隆は意外にもそれをあっさり承諾するが、それには隆なりの考えがあり…?上機嫌の晃に、浩一はそれとなく、興三や隆のまわりで怪しい動きを見せる六車という男について尋ねる。晃の話を聞いた浩一の脳裏には、ある疑惑が浮かんで…。</t>
  </si>
  <si>
    <t>番組名嘘の戦争【暗殺者に復讐…衝撃の真実が!予測不能クライマックスに突入】　#08</t>
  </si>
  <si>
    <t>30年前、一家心中に見せかけて家族を殺された浩一(草ナギ剛)は、事件の首謀者で復讐の最終目標でもある興三(市村正親)に近づくため、娘の楓(山本美月)と婚約。一家殺害のきっかけを作った長男の晃(安田顕)も破滅させ、着実に興三を追い詰めていく。さらに、二科家の周辺で怪しい動きを見せる六車(神保悟志)も30年前の実行犯だとにらんだ浩一は、六車を陥れるための罠を仕掛けることに。危険な計画を前に浩一の身が心配になったハルカ(水原希子)は、「死ぬところなんて見たくない。浩一が好きだから」と、思わず自分の思いを口にしてしまう。しかしそんなハルカの身に六車が忍び寄っていた…!    病院ではわずかに言葉を取り戻した興三が千葉陽一の名前を口にしていた。聞き覚えのない名前に浩一との関係を疑う楓。しかし隆(藤木直人)は、浩一こそが千葉陽一だと気づく。隆は、自分や晃に仕掛けられたUSBのウィルスで2000万円をだまし取られた事で、浩一を警察に突き出せるだけの証拠を持っていた。浩一に会いにやって来た隆は金で解決しようと話を進めるが、浩一は興三が“30年前の事件の隠ぺい"を語る録音テープでニシナコーポレーションの弱みを握っていた。張りつめた空気の中で二人が取引を行っていると、そこにある人物が現れて…?    いよいよ浩一の壮絶な復讐劇もクライマックスに突入し、一刻を争う事態に発展していく…!草ナギ剛　  藤木直人　  水原希子　  菊池風磨(Sexy　Zone)　  マギー　  姜暢雄　  野村麻純  　・　  大杉漣　  神保悟志　  甲本雅裕  　・　  山本美月　  安田顕　  市村正親　    他【脚本】  後藤法子　    【音楽】  林ゆうき　  橘麻美　    【プロデューサー】  三宅喜重　  河西秀幸    【演出】  宝来忠昭　    【制作著作】  関西テレビ【公式ホームページ】  http://www.ktv.jp/uso/index.html(検索:嘘の戦争)    【公式Twitter】  @usonosensou_ktv  https://twitter.com/usonosensou_ktv    【公式LINE】  アプリの公式アカウント→　検索　嘘の戦争    【公式Facebook】  https://www.facebook.com/uso.ktv/</t>
  </si>
  <si>
    <t>30年前、一家心中に見せかけて家族を殺された浩一(草ナギ剛)は、事件の首謀者で復讐の最終目標でもある興三(市村正親)に近づくため、娘の楓(山本美月)と婚約。一家殺害のきっかけを作った長男の晃(安田顕)も破滅させ、着実に興三を追い詰めていく。さらに、二科家の周辺で怪しい動きを見せる六車(神保悟志)も30年前の実行犯だとにらんだ浩一は、六車を陥れるための罠を仕掛けることに。危険な計画を前に浩一の身が心配になったハルカ(水原希子)は、「死ぬところなんて見たくない。浩一が好きだから」と、思わず自分の思いを口にしてしまう。しかしそんなハルカの身に六車が忍び寄っていた…!    病院ではわずかに言葉を取り戻した興三が千葉陽一の名前を口にしていた。聞き覚えのない名前に浩一との関係を疑う楓。しかし隆(藤木直人)は、浩一こそが千葉陽一だと気づく。隆は、自分や晃に仕掛けられたUSBのウィルスで2000万円をだまし取られた事で、浩一を警察に突き出せるだけの証拠を持っていた。浩一に会いにやって来た隆は金で解決しようと話を進めるが、浩一は興三が“30年前の事件の隠ぺい"を語る録音テープでニシナコーポレーションの弱みを握っていた。張りつめた空気の中で二人が取引を行っていると、そこにある人物が現れて…?    いよいよ浩一の壮絶な復讐劇もクライマックスに突入し、一刻を争う事態に発展していく…!</t>
  </si>
  <si>
    <t>番組名嘘の戦争【最終章へ!暴走する復讐、標的は恩人…宿敵一族と全面戦争へ】　#09</t>
  </si>
  <si>
    <t>30年前の一家殺害事件に関わる人物を次々とワナにはめ、ついに最大の標的である興三(市村正親)に復讐するチャンスをつかんだ浩一(草ナギ剛)だったが、30年前に生き残った“千葉陽一"と同一人物だとバレてしまう。浩一は事件の証拠となる録音テープをネットでばらまき、ニシナコーポレーションの粉飾決算をバラすと脅し、会長に謝罪を要求。その一方で興三の手下である六車(神保悟志)と激しい攻防戦を繰り広げる。そんななか、浩一は亡き父が一家殺害の元凶となったOL殺害事件の証拠を守(大杉漣)に託していたことを知り、がくぜん。守にも復讐しようと、離婚して以来疎遠になっている娘・七沢由美子(国仲涼子)に接触をはかる。恩人にも決して容赦はしないーー復讐の鬼と化した浩一を心配するハルカ(水原希子)は…?    一方、浩一の策略で30年前の事件が晃(安田顕)や楓(山本美月)の知るところとなり、さらに会社の粉飾決算の事実も浩一に知られてしまった二科家は、窮地に陥る。そして家族と会社を守りたい一心の隆(藤木直人)は、晃のミスに見せかけ、浩一が2000万円を強奪した詐欺の証拠を握り、警察に突き出そうとする。さらには百田(マギー)に接触し、浩一に反撃しようと動き出すー。    正体がバレ、恩師への復讐も果たそうとする浩一は、この最大のピンチをどう切り抜けるのか!?草ナギ剛　  藤木直人　  水原希子　  菊池風磨(Sexy　Zone)　  マギー　  姜暢雄　  野村麻純　  たくませいこ　  杉野遥亮  　・　  大杉漣　  神保悟志  　・　  山本美月　  安田顕　  市村正親　    【ゲスト】  国仲涼子　  浜田学【脚本】  後藤法子　    【音楽】  林ゆうき　  橘麻美　    【プロデューサー・演出】  三宅喜重　    【プロデューサー】  河西秀幸　    【制作著作】  関西テレビ【公式ホームページ】  http://www.ktv.jp/uso/index.html　(検索:嘘の戦争)    【公式Twitter】  @usonosensou_ktv　  https://twitter.com/usonosensou_ktv　    【公式LINE】  アプリの公式アカウント→　検索　嘘の戦争    【公式Facebook】  https://www.facebook.com/uso.ktv/</t>
  </si>
  <si>
    <t>30年前の一家殺害事件に関わる人物を次々とワナにはめ、ついに最大の標的である興三(市村正親)に復讐するチャンスをつかんだ浩一(草ナギ剛)だったが、30年前に生き残った“千葉陽一"と同一人物だとバレてしまう。浩一は事件の証拠となる録音テープをネットでばらまき、ニシナコーポレーションの粉飾決算をバラすと脅し、会長に謝罪を要求。その一方で興三の手下である六車(神保悟志)と激しい攻防戦を繰り広げる。そんななか、浩一は亡き父が一家殺害の元凶となったOL殺害事件の証拠を守(大杉漣)に託していたことを知り、がくぜん。守にも復讐しようと、離婚して以来疎遠になっている娘・七沢由美子(国仲涼子)に接触をはかる。恩人にも決して容赦はしないーー復讐の鬼と化した浩一を心配するハルカ(水原希子)は…?    一方、浩一の策略で30年前の事件が晃(安田顕)や楓(山本美月)の知るところとなり、さらに会社の粉飾決算の事実も浩一に知られてしまった二科家は、窮地に陥る。そして家族と会社を守りたい一心の隆(藤木直人)は、晃のミスに見せかけ、浩一が2000万円を強奪した詐欺の証拠を握り、警察に突き出そうとする。さらには百田(マギー)に接触し、浩一に反撃しようと動き出すー。    正体がバレ、恩師への復讐も果たそうとする浩一は、この最大のピンチをどう切り抜けるのか!?</t>
  </si>
  <si>
    <t>番組名嘘の戦争【最終回。華麗なる詐欺師の復讐が完結…衝撃クライマックス】　#10</t>
  </si>
  <si>
    <t>30年前、一家心中に見せかけて家族を殺された天才詐欺師の浩一(草ナギ剛)は事件の首謀者がニシナコーポレーションの会長である興三(市村正親)だと知り、巧みなウソで長男の晃(安田顕)に近づき、娘の楓(山本美月)と結婚の約束をする。    正体を明らかにした浩一は、興三が30年前の罪を告白した録音テープを公開しない代わりに謝罪会見を開くよう要求。しかし、興三が会見の席で口にしたのは謝罪ではなく、浩一に受けた脅迫や一連の詐欺行為についてだった。  返り討ちにあい、怒りに震える浩一は、例の録音テープを公表しようとするが、データはすでに、隆(藤木直人)に寝返った百田(マギー)とカズキ(菊池風磨)によって削除されていた。さらに興三の訴えによって、浩一は警察に追われる羽目にーー。    二科家の反撃と仲間の裏切りによって絶体絶命のピンチに陥った浩一だが、いかに興三にざんげをさせるかと、さらなる復讐に燃えていた。一転して浩一は30年前のOL殺人事件を隠ぺいした“新たな証拠と証人が見つかった"と隆に電話をする。「ダマされたら、ダマし返す。詐欺師は詐欺師らしいやり方で…30年前を終わらせる」と笑みを浮かべて話す浩一を心配するハルカ(水原希子)と守(大杉漣)、果たして浩一が仕掛ける大がかりな新しいワナとは?果たして浩一は30年前の悪夢から解き放たれるのか?ーー天才詐欺師が見た、復讐劇の結末はいかに!?草ナギ剛　  藤木直人　  水原希子　  菊池風磨(Sexy　Zone)　  マギー　  姜暢雄　  野村麻純  　・　  大杉漣  　・　  山本美月　  安田顕　  市村正親【脚本】  後藤法子　    【音楽】  林ゆうき　  橘麻美　    【演出・プロデューサー】  三宅喜重　    【演出】  宝来忠昭　    【プロデューサー】  河西秀幸　    【制作著作】  関西テレビ【公式ホームページ】  http://www.ktv.jp/uso/index.html(検索:嘘の戦争)    【公式Twitter】  @usonosensou_ktv　  https://twitter.com/usonosensou_ktv    【公式LINE】  アプリの公式アカウント→　検索　嘘の戦争    【公式Facebook】  http://www.facebook.com/uso.ktv/</t>
  </si>
  <si>
    <t>30年前、一家心中に見せかけて家族を殺された天才詐欺師の浩一(草ナギ剛)は事件の首謀者がニシナコーポレーションの会長である興三(市村正親)だと知り、巧みなウソで長男の晃(安田顕)に近づき、娘の楓(山本美月)と結婚の約束をする。    正体を明らかにした浩一は、興三が30年前の罪を告白した録音テープを公開しない代わりに謝罪会見を開くよう要求。しかし、興三が会見の席で口にしたのは謝罪ではなく、浩一に受けた脅迫や一連の詐欺行為についてだった。  返り討ちにあい、怒りに震える浩一は、例の録音テープを公表しようとするが、データはすでに、隆(藤木直人)に寝返った百田(マギー)とカズキ(菊池風磨)によって削除されていた。さらに興三の訴えによって、浩一は警察に追われる羽目にーー。    二科家の反撃と仲間の裏切りによって絶体絶命のピンチに陥った浩一だが、いかに興三にざんげをさせるかと、さらなる復讐に燃えていた。一転して浩一は30年前のOL殺人事件を隠ぺいした“新たな証拠と証人が見つかった"と隆に電話をする。「ダマされたら、ダマし返す。詐欺師は詐欺師らしいやり方で…30年前を終わらせる」と笑みを浮かべて話す浩一を心配するハルカ(水原希子)と守(大杉漣)、果たして浩一が仕掛ける大がかりな新しいワナとは?果たして浩一は30年前の悪夢から解き放たれるのか?ーー天才詐欺師が見た、復讐劇の結末はいかに!?</t>
  </si>
  <si>
    <t>1701_CX_木22</t>
  </si>
  <si>
    <t>嫌われる勇気</t>
  </si>
  <si>
    <t>番組名&lt;木曜劇場&gt;嫌われる勇気【アドラー心理学×刑事ドラマ!!】　#01</t>
  </si>
  <si>
    <t>公式ホームページ:　http://www.fujitv.co.jp/kira-yu/　刑事の庵堂蘭子(香里奈)が属する捜査一課に、新人刑事の青山年雄(加藤シゲアキ)が配属された。係長の半田陽介(升毅)は青山に、蘭子と組んでモデル殺害事件に加わるように命じる。青山は、刑事の三宅隆俊(桜田通)から教えられ、携帯電話を持たない主義だという蘭子を探しに行く。青山が蘭子を探し当てた時、青山の携帯が鳴り、第二の殺人が起きたと告げられる。蘭子は青山の携帯を取り上げ、情報を得ると現場へ急行する。　第二の被害者もモデルだった。鑑識課の梶準之助(正名僕蔵)と、刑事の浦部義孝(丸山智己)が遺体を調べているところに、蘭子と青山が到着。浦部はふたりに周辺の聞き込みに行くよう指示するが、蘭子は無視して遺体を調べ始める。さらに蘭子は、遺体を見た帝都大学医学部助教の相馬めい子(相楽樹)が明かした見解も、安易な妄想だと一蹴する。  　別の日、モデル連続殺人事件の捜査会議が開かれ、刑事の小宮山正明(戸次重幸)が概要などを説明していた。捜査に関わる刑事が勢揃いするなか、蘭子は参加せずにパソコンに向かっていた。マイペースな蘭子に、青山はうんざり。半田に相談すると、別の任務を与えられる。青山が訪れたのは帝都大学の研究室で、そこには警視庁のコンサルタントも務める教授の大文字哲人(椎名桔平)がいた。大文字は、蘭子の下の配属だという青山に、蘭子を理解するには「アドラー心理学」を知る必要があると話し始めた…。香里奈　  加藤シゲアキ(NEWS)　  相楽樹　  戸次重幸　  丸山智己　  桜田通　  飯豊まりえ　  岡崎紗絵　  寿大聡  　・　  正名僕蔵　  升毅　  椎名桔平【原案】  岸見一郎　  古賀史健　「嫌われる勇気」(ダイヤモンド社)　    【脚本】  徳永友一　  大石哲也　  ひかわかよ　    【企画】  渡辺恒也　  橋爪駿輝　    【プロデュース】  目黒正之　  井元隆佑　    【演出】  池澤辰也　  及川拓郎　  星野和成　    【音楽】  得田真裕　    【主題歌】  大塚愛　「私」    【オープニングテーマ】  NEWS　「EMMA」　    【制作】  フジテレビ　  東映</t>
  </si>
  <si>
    <t>刑事の庵堂蘭子(香里奈)が属する捜査一課に、新人刑事の青山年雄(加藤シゲアキ)が配属された。係長の半田陽介(升毅)は青山に、蘭子と組んでモデル殺害事件に加わるように命じる。青山は、刑事の三宅隆俊(桜田通)から教えられ、携帯電話を持たない主義だという蘭子を探しに行く。青山が蘭子を探し当てた時、青山の携帯が鳴り、第二の殺人が起きたと告げられる。蘭子は青山の携帯を取り上げ、情報を得ると現場へ急行する。　第二の被害者もモデルだった。鑑識課の梶準之助(正名僕蔵)と、刑事の浦部義孝(丸山智己)が遺体を調べているところに、蘭子と青山が到着。浦部はふたりに周辺の聞き込みに行くよう指示するが、蘭子は無視して遺体を調べ始める。さらに蘭子は、遺体を見た帝都大学医学部助教の相馬めい子(相楽樹)が明かした見解も、安易な妄想だと一蹴する。  　別の日、モデル連続殺人事件の捜査会議が開かれ、刑事の小宮山正明(戸次重幸)が概要などを説明していた。捜査に関わる刑事が勢揃いするなか、蘭子は参加せずにパソコンに向かっていた。マイペースな蘭子に、青山はうんざり。半田に相談すると、別の任務を与えられる。青山が訪れたのは帝都大学の研究室で、そこには警視庁のコンサルタントも務める教授の大文字哲人(椎名桔平)がいた。大文字は、蘭子の下の配属だという青山に、蘭子を理解するには「アドラー心理学」を知る必要があると話し始めた…。</t>
  </si>
  <si>
    <t>番組名&lt;木曜劇場&gt;嫌われる勇気【ブラック企業狂想曲!呪われた部屋の謎】　#02</t>
  </si>
  <si>
    <t>【公式ホームページ】  http://www.fujitv.co.jp/kira-yu/「絶対に消えないペン」などのヒット商品があるメーカーの執行役員の市川が、深夜に会社の窓から転落死した。現場の状況や第一発見者の証言から、浦部(丸山智己)は自殺だと断定するが、青山(加藤シゲアキ)とともに現場に駆け付けた蘭子(香里奈)は、それを否定。自殺に見せかけた殺人で、犯人は被害者と同じ会社にいると推理した。遺体を司法解剖しためい子(相楽樹)も、蘭子の見立てを支持する。  市川が率いていた商品開発部には、絵実華(大後寿々花)や竹内(笠原秀幸)ら10名ほどの社員がいた。聞き込みに来た蘭子は、社員たちのデスクに目覚ましドリンクやグッズが置かれていることに気づく。さらに、市川が転落した窓がある小部屋で、1年前に同じ部の成美という若い女性が自殺していたことが判明。1年の間に同じ部屋から2人の死者が出たことを怪しんだ半田(升毅)は、小宮山(戸次重幸)と浦部に人間関係の洗い出しを、三宅(桜田通)には事件当日の市川の足取りを追うよう指示。自分は何をすればいいのか、と聞く青山には、蘭子に従えと言う。  社内を歩き回り事情を聴く蘭子を、追うように付いていく青山。何か分かったことがあるか、と聞くと、蘭子は社員たちが“変わらない"という決断をしていると返した。まるで意味が分からない青山は、大文字(椎名桔平)を訪ね、そのことを報告。すると蘭子が意図するのは「目的論だろう」と話し始めた。香里奈　  加藤シゲアキ(NEWS)　  相楽樹　  戸次重幸　  丸山智己　  桜田通　  飯豊まりえ　  岡崎紗絵　  寿大聡  　・　  正名僕蔵　  升毅　  椎名桔平【原案】  岸見一郎　  古賀史健　「嫌われる勇気」(ダイヤモンド社)　    【脚本】  徳永友一　  大石哲也　  ひかわかよ　    【企画】  渡辺恒也　  橋爪駿輝　    【プロデュース】  目黒正之　  井元隆佑　    【演出】  池澤辰也　  及川拓郎　  星野和成　    【音楽】  得田真裕　    【主題歌】  大塚愛　「私」　    【オープニングテーマ】  NEWS　「EMMA」　    【制作】  フジテレビ　  東映</t>
  </si>
  <si>
    <t>「絶対に消えないペン」などのヒット商品があるメーカーの執行役員の市川が、深夜に会社の窓から転落死した。現場の状況や第一発見者の証言から、浦部(丸山智己)は自殺だと断定するが、青山(加藤シゲアキ)とともに現場に駆け付けた蘭子(香里奈)は、それを否定。自殺に見せかけた殺人で、犯人は被害者と同じ会社にいると推理した。遺体を司法解剖しためい子(相楽樹)も、蘭子の見立てを支持する。  市川が率いていた商品開発部には、絵実華(大後寿々花)や竹内(笠原秀幸)ら10名ほどの社員がいた。聞き込みに来た蘭子は、社員たちのデスクに目覚ましドリンクやグッズが置かれていることに気づく。さらに、市川が転落した窓がある小部屋で、1年前に同じ部の成美という若い女性が自殺していたことが判明。1年の間に同じ部屋から2人の死者が出たことを怪しんだ半田(升毅)は、小宮山(戸次重幸)と浦部に人間関係の洗い出しを、三宅(桜田通)には事件当日の市川の足取りを追うよう指示。自分は何をすればいいのか、と聞く青山には、蘭子に従えと言う。  社内を歩き回り事情を聴く蘭子を、追うように付いていく青山。何か分かったことがあるか、と聞くと、蘭子は社員たちが“変わらない"という決断をしていると返した。まるで意味が分からない青山は、大文字(椎名桔平)を訪ね、そのことを報告。すると蘭子が意図するのは「目的論だろう」と話し始めた。</t>
  </si>
  <si>
    <t>番組名&lt;木曜劇場&gt;嫌われる勇気【天才女子高生VS女刑事!競争が生んだ悲劇】　#03</t>
  </si>
  <si>
    <t>公式ホームページ:　http://www.fujitv.co.jp/kira-yu/名門女子高の数学教師・吉野沙織(上野なつひ)が自宅マンションで殺害された。部屋は荒らされ、財布、パソコン、携帯電話などが持ち去られていることから、浦部(丸山智己)は強盗殺人だろうと推測。沙織の教え子で、遺体の第一発見者の仁科恵(高月彩良)は、犯人らしき男を見たと証言した。蘭子(香里奈)は、小宮山(戸次重幸)と浦部からの事情聴取を終えた恵に声をかけた。なぜ沙織のマンションを訪ねたのか、と聞く蘭子に恵は、事件とは関係ないと言い放つ。  沙織を司法解剖しためい子(相楽樹)は、右の手のひらに赤いかぶれのようなものがあると報告。早急に原因を調べてくれとそっけなく返す蘭子に、それが人に物を頼む態度かと、いら立ちをあらわにする。めい子は、蘭子に不満を募らせていて、それを大文字(椎名桔平)に相談していた。  蘭子は青山(加藤シゲアキ)と、沙織が勤めた高校へ行き、恵の同級生に話を聞いた。沙織が優秀な教師で生徒からも信頼されていたこと、特に恵と親しかったことなどを確認。一方、恵は入学以来学年トップの成績だが、同級生の誰とも交流をしていないことがわかった。  その後、蘭子と青山は恵の自宅を訪問。母親の美子(霧島れいか)は、恵が学業でとった数々の賞状に驚く青山に、恵が優秀なのは自分ではなく夫に似たせいだろうと話した。娘のため、自分にできることは何でもしてきたと話す美子に、蘭子はある違和感を抱く。香里奈　  加藤シゲアキ(NEWS)　  相楽樹　  戸次重幸　  丸山智己　  桜田通　  飯豊まりえ　  岡崎紗絵　  寿大聡  　・　  正名僕蔵　  升毅　  椎名桔平【原案】  岸見一郎　  古賀史健　「嫌われる勇気」(ダイヤモンド社)　    【脚本】  徳永友一　  大石哲也　  ひかわかよ　    【企画】  渡辺恒也　  橋爪駿輝　    【プロデュース】  目黒正之　  井元隆佑　    【演出】  池澤辰也　  及川拓郎　  星野和成　    【音楽】  得田真裕　    【主題歌】  大塚愛　「私」　    【オープニングテーマ】  NEWS　「EMMA」　    【制作】  フジテレビ　  東映</t>
  </si>
  <si>
    <t>名門女子高の数学教師・吉野沙織(上野なつひ)が自宅マンションで殺害された。部屋は荒らされ、財布、パソコン、携帯電話などが持ち去られていることから、浦部(丸山智己)は強盗殺人だろうと推測。沙織の教え子で、遺体の第一発見者の仁科恵(高月彩良)は、犯人らしき男を見たと証言した。蘭子(香里奈)は、小宮山(戸次重幸)と浦部からの事情聴取を終えた恵に声をかけた。なぜ沙織のマンションを訪ねたのか、と聞く蘭子に恵は、事件とは関係ないと言い放つ。  沙織を司法解剖しためい子(相楽樹)は、右の手のひらに赤いかぶれのようなものがあると報告。早急に原因を調べてくれとそっけなく返す蘭子に、それが人に物を頼む態度かと、いら立ちをあらわにする。めい子は、蘭子に不満を募らせていて、それを大文字(椎名桔平)に相談していた。  蘭子は青山(加藤シゲアキ)と、沙織が勤めた高校へ行き、恵の同級生に話を聞いた。沙織が優秀な教師で生徒からも信頼されていたこと、特に恵と親しかったことなどを確認。一方、恵は入学以来学年トップの成績だが、同級生の誰とも交流をしていないことがわかった。  その後、蘭子と青山は恵の自宅を訪問。母親の美子(霧島れいか)は、恵が学業でとった数々の賞状に驚く青山に、恵が優秀なのは自分ではなく夫に似たせいだろうと話した。娘のため、自分にできることは何でもしてきたと話す美子に、蘭子はある違和感を抱く。</t>
  </si>
  <si>
    <t>番組名&lt;木曜劇場&gt;嫌われる勇気【一族全員容疑者!承認欲求を否定せよ】　#04</t>
  </si>
  <si>
    <t>公式ホームページ:　http://www.fujitv.co.jp/kira-yu/蘭子(香里奈)と青山(加藤シゲアキ)が元大臣・狸穴勝利(山田明郷)の葬儀に現れると、葬儀は中止だと言った。勝利の死に不審な点があると説明する蘭子に、勝利の妻・治子(朝加真由美)は、夫は病気で死んだのだと主張。蘭子はさえぎるように、霊きゅう車に収められた勝利の遺体を帝都大学の解剖室へと送った。その様子を、家政婦・吉川(小松彩夏)が見ていた。  狸穴家のかかりつけ医によると、治子からの連絡で狸穴家に駆け付けると、自室で勝利が死んでいた。医師が死因を調べようとすると、治子、長男・寿也(水橋研二)、秘書が反対した。不審に思った医師は、警察に相談したのだ。事情を聞いた浦部(丸山智己)は他殺を疑い、半田(升毅)も賛同するが、小宮山(戸次重幸)は相手が国会議員だと聞きちゅうちょする。  一方、蘭子の行動に怒りを爆発させた青山は大文字(椎名桔平)を訪ね、自由過ぎる蘭子を理解するにはどうすればいいかと問いかけた。大文字は、自由とは他者から嫌われることであり、嫌われることを恐れるな、と答えたが、青山は反発する。  勝利の遺体を解剖しためい子(相楽樹)は、直接の死因は心不全だが、左側頭部に内出血があると報告。さらに、遺体の髪にガラスの破片が付着していたことも指摘する。  その後、蘭子は小宮山らと、狸穴の邸宅に捜査に行く。そこで蘭子は、勝利、寿也、長女・さゆり(前田亜季)が写っている家族写真に目をとめた。香里奈　  加藤シゲアキ(NEWS)　  相楽樹　  戸次重幸　  丸山智己　  桜田通　  飯豊まりえ　  岡崎紗絵　  寿大聡  　・　  正名僕蔵　  升毅　  椎名桔平【原案】  岸見一郎　  古賀史健　「嫌われる勇気」(ダイヤモンド社)　    【脚本】  徳永友一　  大石哲也　  ひかわかよ　    【企画】  渡辺恒也　  橋爪駿輝　    【プロデュース】  目黒正之　  井元隆佑　    【演出】  池澤辰也　  及川拓郎　  星野和成　    【音楽】  得田真裕　    【主題歌】  大塚愛　「私」　    【オープニングテーマ】  NEWS　「EMMA」　    【制作】  フジテレビ　  東映</t>
  </si>
  <si>
    <t>蘭子(香里奈)と青山(加藤シゲアキ)が元大臣・狸穴勝利(山田明郷)の葬儀に現れると、葬儀は中止だと言った。勝利の死に不審な点があると説明する蘭子に、勝利の妻・治子(朝加真由美)は、夫は病気で死んだのだと主張。蘭子はさえぎるように、霊きゅう車に収められた勝利の遺体を帝都大学の解剖室へと送った。その様子を、家政婦・吉川(小松彩夏)が見ていた。  狸穴家のかかりつけ医によると、治子からの連絡で狸穴家に駆け付けると、自室で勝利が死んでいた。医師が死因を調べようとすると、治子、長男・寿也(水橋研二)、秘書が反対した。不審に思った医師は、警察に相談したのだ。事情を聞いた浦部(丸山智己)は他殺を疑い、半田(升毅)も賛同するが、小宮山(戸次重幸)は相手が国会議員だと聞きちゅうちょする。  一方、蘭子の行動に怒りを爆発させた青山は大文字(椎名桔平)を訪ね、自由過ぎる蘭子を理解するにはどうすればいいかと問いかけた。大文字は、自由とは他者から嫌われることであり、嫌われることを恐れるな、と答えたが、青山は反発する。  勝利の遺体を解剖しためい子(相楽樹)は、直接の死因は心不全だが、左側頭部に内出血があると報告。さらに、遺体の髪にガラスの破片が付着していたことも指摘する。  その後、蘭子は小宮山らと、狸穴の邸宅に捜査に行く。そこで蘭子は、勝利、寿也、長女・さゆり(前田亜季)が写っている家族写真に目をとめた。</t>
  </si>
  <si>
    <t>番組名&lt;木曜劇場&gt;嫌われる勇気【美しき計画殺人!血塗られたバレンタイン】　#05</t>
  </si>
  <si>
    <t>公式ホームページ:　http://www.fujitv.co.jp/kira-yu/蘭子(香里奈)は、大文字(椎名桔平)ゼミのOB会に出席していた。そこには、犬猿の仲で知られる塔子(内山理名)と美沙(中島亜梨沙)の姿もあった。その時、美沙の夫で帝都大学の准教授・山岸(六角慎司)が殺害されたとの報せが入る。  山岸は、自分の研究室で刺殺されていた。遺体を見た大文字は、遺体の状態だけを見ると、犯人は男の可能性が高いと指摘。蘭子は、山岸の机に置かれた「フラワーバレンタイン」というイベントのチラシに塔子の名前があることに気づく。  蘭子が青山(加藤シゲアキ)とともに、イベントについて塔子から事情を聞いていると、美沙が来て、自分に隠れて夫に会っていたのかと激怒する。山岸は美沙へのサプライズを考えていたのだ、と山岸と会っていた理由を説明する塔子。しかし美沙は納得せず、2人は大ゲンカになる。もともと塔子と美沙は、大の仲良しだった。しかし、学生時代に塔子が交際していた山岸を美沙が略奪してから絶縁状態となっていた。  山岸殺害時のアリバイがなく、動機もあることから、塔子が容疑者として浮上。青山は、15年以上前の恨みで今さら男を殺そうと思うかと疑問を投げかけるが、小宮山(戸次重幸)は、女は執念深い生き物だと一蹴する。後日、塔子主催のイベントが開かれ、蘭子も手伝いで参加する。そこへやってきた青山に、蘭子は自分にもフラワーバレンタインをくれと頼む。青山は、蘭子へ贈る花束を作り始める。香里奈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t>
  </si>
  <si>
    <t>蘭子(香里奈)は、大文字(椎名桔平)ゼミのOB会に出席していた。そこには、犬猿の仲で知られる塔子(内山理名)と美沙(中島亜梨沙)の姿もあった。その時、美沙の夫で帝都大学の准教授・山岸(六角慎司)が殺害されたとの報せが入る。  山岸は、自分の研究室で刺殺されていた。遺体を見た大文字は、遺体の状態だけを見ると、犯人は男の可能性が高いと指摘。蘭子は、山岸の机に置かれた「フラワーバレンタイン」というイベントのチラシに塔子の名前があることに気づく。  蘭子が青山(加藤シゲアキ)とともに、イベントについて塔子から事情を聞いていると、美沙が来て、自分に隠れて夫に会っていたのかと激怒する。山岸は美沙へのサプライズを考えていたのだ、と山岸と会っていた理由を説明する塔子。しかし美沙は納得せず、2人は大ゲンカになる。もともと塔子と美沙は、大の仲良しだった。しかし、学生時代に塔子が交際していた山岸を美沙が略奪してから絶縁状態となっていた。  山岸殺害時のアリバイがなく、動機もあることから、塔子が容疑者として浮上。青山は、15年以上前の恨みで今さら男を殺そうと思うかと疑問を投げかけるが、小宮山(戸次重幸)は、女は執念深い生き物だと一蹴する。後日、塔子主催のイベントが開かれ、蘭子も手伝いで参加する。そこへやってきた青山に、蘭子は自分にもフラワーバレンタインをくれと頼む。青山は、蘭子へ贈る花束を作り始める。</t>
  </si>
  <si>
    <t>番組名&lt;木曜劇場&gt;嫌われる勇気【被害者は元カレ!?遺体が語る四年前の約束】　#06</t>
  </si>
  <si>
    <t>「四大陸フィギュアスケート選手権2017女子ショートプログラム」延長の際、放送時間繰り下げの場合あり。公式ホームページ:　http://www.fujitv.co.jp/kira-yu/青山(加藤シゲアキ)は、蘭子(香里奈)が若い男(堀井新太)に抱きつき、うれしそうにしている様子を目の当たりにする。ふたりはそのまま行ってしまい、青山はひとりその場に取り残される。そのことを不服そうに大文字(椎名桔平)に話すと、蘭子のことが気になって仕方がないんですねと言われ、動揺してしまう。  ある夜、めい子(相楽樹)は、公園で人を待っていた。しばらくあたりを見回すが、誰もやって来る気配がない。めい子は、半ばあきらめたように、黙って公園をあとにした。  そんな中、河川敷で男性の水死体が発見される。片方の靴がなく、所持品もない。身元判明には時間がかかると思われ、遺体は解剖室に運び込まれた。その顔を見て、めい子の表情は一変、固まってしまう。遺体の男性は、かつてのめい子の恋人・繁田諒(渋江譲二)だった。蘭子は、そんなめい子に対し、諒との関係をずけずけと問いただしていく。  諒の直接の死因は溺死、しかし、全身に創傷と打撲があった。諒は、ケガのためにバスケットボール選手を引退、現在はスポーツジムでインストラクターをしていた。諒が亡くなる1週間ほど前、ジムに、諒が弁護士・木本正晴(河相我聞)の自宅で、妻の遥(知花くらら)に個人指導をし、不適切な関係を結んでいるから辞めさせるようにとの匿名メールが届いていたことがわかる。蘭子と青山は、木本夫妻の自宅へ向かい、ふたりから話を聞くことにする。香里奈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t>
  </si>
  <si>
    <t>青山(加藤シゲアキ)は、蘭子(香里奈)が若い男(堀井新太)に抱きつき、うれしそうにしている様子を目の当たりにする。ふたりはそのまま行ってしまい、青山はひとりその場に取り残される。そのことを不服そうに大文字(椎名桔平)に話すと、蘭子のことが気になって仕方がないんですねと言われ、動揺してしまう。  ある夜、めい子(相楽樹)は、公園で人を待っていた。しばらくあたりを見回すが、誰もやって来る気配がない。めい子は、半ばあきらめたように、黙って公園をあとにした。  そんな中、河川敷で男性の水死体が発見される。片方の靴がなく、所持品もない。身元判明には時間がかかると思われ、遺体は解剖室に運び込まれた。その顔を見て、めい子の表情は一変、固まってしまう。遺体の男性は、かつてのめい子の恋人・繁田諒(渋江譲二)だった。蘭子は、そんなめい子に対し、諒との関係をずけずけと問いただしていく。  諒の直接の死因は溺死、しかし、全身に創傷と打撲があった。諒は、ケガのためにバスケットボール選手を引退、現在はスポーツジムでインストラクターをしていた。諒が亡くなる1週間ほど前、ジムに、諒が弁護士・木本正晴(河相我聞)の自宅で、妻の遥(知花くらら)に個人指導をし、不適切な関係を結んでいるから辞めさせるようにとの匿名メールが届いていたことがわかる。蘭子と青山は、木本夫妻の自宅へ向かい、ふたりから話を聞くことにする。</t>
  </si>
  <si>
    <t>番組名&lt;木曜劇場&gt;嫌われる勇気【爆弾魔VS蘭子!刻む死のカウントダウン!】　#07</t>
  </si>
  <si>
    <t>公式ホームページ:　http://www.fujitv.co.jp/kira-yu/蘭子(香里奈)が出勤すると、応接室で青山(加藤シゲアキ)と半田(升毅)が、佐藤という男性(板尾創路)と向き合っていた。佐藤は、先日起こった爆発事件の目撃者で、犯人に命を狙われているから保護してくれ、と青山に訴えてきたのだ。佐藤は、犯人から渡されたというカバンの中身を出すよう青山に指示。そこには、ぬいぐるみ、スマホ、タブレットが入っていた。青山がぬいぐるみを取り上げると、爆弾が仕掛けられていたことが判明。下に置くと爆発する、と佐藤に言われた青山は、手を離せなくなる。そこへ、犯人からスマホに着信が。自分は先日の爆発事件の犯人で、8係を監視している。外部と連絡を取ったりすれば、ぬいぐるみを爆発させると予告。目的は何か、と聞いた蘭子に、君と勝負がしたい、と言った。  その後、犯人から二度目の着信があり、自分が指定した場所にある手紙に書かれたクイズに答えろ、と命じられる。ヒントは1枚の写真だったが、三宅(桜田通)の分析で場所を特定。蘭子は、その場へ向かう。爆弾を抱えた青山は、不安を感じながらも、蘭子を見送った。犯人の狙いは蘭子なのに、巻き込まれて気の毒だ、という佐藤に、青山は、自分と蘭子は共同体だと返す。実は、その共同体感覚こそが、アドラー心理学のゴールだと、青山は大文字(椎名桔平)から教えられていた。  その頃、小宮山(戸次重幸)と浦部(丸山智己)は、一心不乱に駆けていく蘭子を目撃する。香里奈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t>
  </si>
  <si>
    <t>蘭子(香里奈)が出勤すると、応接室で青山(加藤シゲアキ)と半田(升毅)が、佐藤という男性(板尾創路)と向き合っていた。佐藤は、先日起こった爆発事件の目撃者で、犯人に命を狙われているから保護してくれ、と青山に訴えてきたのだ。佐藤は、犯人から渡されたというカバンの中身を出すよう青山に指示。そこには、ぬいぐるみ、スマホ、タブレットが入っていた。青山がぬいぐるみを取り上げると、爆弾が仕掛けられていたことが判明。下に置くと爆発する、と佐藤に言われた青山は、手を離せなくなる。そこへ、犯人からスマホに着信が。自分は先日の爆発事件の犯人で、8係を監視している。外部と連絡を取ったりすれば、ぬいぐるみを爆発させると予告。目的は何か、と聞いた蘭子に、君と勝負がしたい、と言った。  その後、犯人から二度目の着信があり、自分が指定した場所にある手紙に書かれたクイズに答えろ、と命じられる。ヒントは1枚の写真だったが、三宅(桜田通)の分析で場所を特定。蘭子は、その場へ向かう。爆弾を抱えた青山は、不安を感じながらも、蘭子を見送った。犯人の狙いは蘭子なのに、巻き込まれて気の毒だ、という佐藤に、青山は、自分と蘭子は共同体だと返す。実は、その共同体感覚こそが、アドラー心理学のゴールだと、青山は大文字(椎名桔平)から教えられていた。  その頃、小宮山(戸次重幸)と浦部(丸山智己)は、一心不乱に駆けていく蘭子を目撃する。</t>
  </si>
  <si>
    <t>番組名&lt;木曜劇場&gt;嫌われる勇気【死者からの復讐!?連続殺人犯からの招待状】　#08</t>
  </si>
  <si>
    <t>公式ホームページ:　http://www.fujitv.co.jp/kira-yu/医療機器メーカー勤務の松田が、バットで頭を殴られ殺害された。現場の外壁には、赤いスプレーで「六五」というメッセージが残されていた。  翌日、蘭子(香里奈)らが捜査会議で話していると、鑑識の由稀菜(岡崎紗絵)が、凶器のバットに付着した指紋の該当者が見つかったと駆け込んでくる。その人物は、15年前に殺害された中学生の鈴木将也だという。しかし、バットは5年前に製造されたもので、鈴木の指紋が付くことはありえないと説明。その時、三宅(桜田通)が、15年前に鈴木を殺害した加害者の1人が松田であることを突き止めた。  かつて松田は、有名な不良グループの一員だった。鈴木殺害の主犯は、グループのリーダーの佐野。見張りをしていたのが、松田と前畑という男だった。佐野は、17年の懲役刑を受け服役中。松田と前畑は、普通の生活を送ってはいるが、松田は何者かに命を狙われている、と前畑に知らせていた。  半田(升毅)は青山(加藤シゲアキ)に大文字(椎名桔平)のところへ行き「六五」の解釈を聞いてくれと命じる。青山は蘭子に声をかけるが、蘭子は何かに気を取られている様子で、今回は別行動だと言い、出て行ってしまう。鈴木の実家を訪れた蘭子は、母親に鈴木の遺品を見せてほしいと頼む。しかし母親は、次男がすべて捨ててしまったのだ、と明かした。同じ頃、青山は、鈴木の実家に隣接する作業場で次男の夏輝(高杉真宙)から話を聞いていた。香里奈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t>
  </si>
  <si>
    <t>医療機器メーカー勤務の松田が、バットで頭を殴られ殺害された。現場の外壁には、赤いスプレーで「六五」というメッセージが残されていた。  翌日、蘭子(香里奈)らが捜査会議で話していると、鑑識の由稀菜(岡崎紗絵)が、凶器のバットに付着した指紋の該当者が見つかったと駆け込んでくる。その人物は、15年前に殺害された中学生の鈴木将也だという。しかし、バットは5年前に製造されたもので、鈴木の指紋が付くことはありえないと説明。その時、三宅(桜田通)が、15年前に鈴木を殺害した加害者の1人が松田であることを突き止めた。  かつて松田は、有名な不良グループの一員だった。鈴木殺害の主犯は、グループのリーダーの佐野。見張りをしていたのが、松田と前畑という男だった。佐野は、17年の懲役刑を受け服役中。松田と前畑は、普通の生活を送ってはいるが、松田は何者かに命を狙われている、と前畑に知らせていた。  半田(升毅)は青山(加藤シゲアキ)に大文字(椎名桔平)のところへ行き「六五」の解釈を聞いてくれと命じる。青山は蘭子に声をかけるが、蘭子は何かに気を取られている様子で、今回は別行動だと言い、出て行ってしまう。鈴木の実家を訪れた蘭子は、母親に鈴木の遺品を見せてほしいと頼む。しかし母親は、次男がすべて捨ててしまったのだ、と明かした。同じ頃、青山は、鈴木の実家に隣接する作業場で次男の夏輝(高杉真宙)から話を聞いていた。</t>
  </si>
  <si>
    <t>番組名&lt;木曜劇場&gt;嫌われる勇気【黒幕は誰だ!真実が引き裂く孤独なバディ】　#09</t>
  </si>
  <si>
    <t>公式ホームページ:　http://www.fujitv.co.jp/kira-yu/何者かに刺され重傷を負った青山(加藤シゲアキ)は、病院に搬送された。蘭子(香里奈)は、小宮山(戸次重幸)、浦部(丸山智己)とともに、梶(正名僕蔵)と由稀菜(岡崎紗絵)が、現場検証を終えたところに駆けつけた。蘭子は現場に残された青山のカバンが開いていたことが気にかかる。  そんな時、青山が襲われた場所の近くで刺殺体が見つかった。被害者は近藤という男で、青山同様、真っ正面から刺されていた。近藤は、キーホルダーを持っていたが、それを見た蘭子は息を飲む。かつて、自分が父親に贈ったもので、中の鍵は蘭子の実家のものだった。なぜ、見ず知らずの人間が実家の鍵を持っていたのか。青山まで巻き込んだ事件は、自分の過去を知る者の犯行だと確信した蘭子は、悠真(堀井新太)とともに実家へ行った。すると、今は誰も暮らしていない実家の書斎に、白い花が生けられていた。その花は、蘭子が18年前に誘拐された現場に咲いていた花によく似ていた。  蘭子は、そのまま大文字(椎名桔平)を訪ねると、前夜のアリバイを聞いた。事件との関与を否定した大文字は、蘭子は過去にとらわれている、それを払拭しなければ変わらず孤独なままだろう、と言った。  蘭子は、大文字の助手・道子(飯豊まりえ)に、青山が事件に遭う前に大文字を訪ねていたこと、襲われた青山のカバンが開いていたことを明かし、何か気付いたことがあれば、自分だけに伝えてほしいと頼んだ。香里奈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t>
  </si>
  <si>
    <t>何者かに刺され重傷を負った青山(加藤シゲアキ)は、病院に搬送された。蘭子(香里奈)は、小宮山(戸次重幸)、浦部(丸山智己)とともに、梶(正名僕蔵)と由稀菜(岡崎紗絵)が、現場検証を終えたところに駆けつけた。蘭子は現場に残された青山のカバンが開いていたことが気にかかる。  そんな時、青山が襲われた場所の近くで刺殺体が見つかった。被害者は近藤という男で、青山同様、真っ正面から刺されていた。近藤は、キーホルダーを持っていたが、それを見た蘭子は息を飲む。かつて、自分が父親に贈ったもので、中の鍵は蘭子の実家のものだった。なぜ、見ず知らずの人間が実家の鍵を持っていたのか。青山まで巻き込んだ事件は、自分の過去を知る者の犯行だと確信した蘭子は、悠真(堀井新太)とともに実家へ行った。すると、今は誰も暮らしていない実家の書斎に、白い花が生けられていた。その花は、蘭子が18年前に誘拐された現場に咲いていた花によく似ていた。  蘭子は、そのまま大文字(椎名桔平)を訪ねると、前夜のアリバイを聞いた。事件との関与を否定した大文字は、蘭子は過去にとらわれている、それを払拭しなければ変わらず孤独なままだろう、と言った。  蘭子は、大文字の助手・道子(飯豊まりえ)に、青山が事件に遭う前に大文字を訪ねていたこと、襲われた青山のカバンが開いていたことを明かし、何か気付いたことがあれば、自分だけに伝えてほしいと頼んだ。</t>
  </si>
  <si>
    <t>番組名&lt;木曜劇場&gt;嫌われる勇気【真犯人の正体は●●●!8係最後の事件!】　#10</t>
  </si>
  <si>
    <t>公式ホームページ:　http://www.fujitv.co.jp/kira-yu/　病院を抜け出した青山(加藤シゲアキ)は、大文字(椎名桔平)の研究室に駆け込むと室内を物色し、古びたファイルを見つける。そこには、18年前の蘭子(香里奈)の誘拐事件の記事とともに、赤い印が付いた森の地図があった。  　一方、監禁された蘭子のもとへ大文字がやってくる。大文字は、気を失っていた蘭子を起こし、拘束を解いてやる。自由になった蘭子は、何者かに撃たれ倒れている土方(寿大聡)と、そのそばに自分の銃が落ちているのに気付く。そこへ青山と道子(飯豊まりえ)が入って来る。青山は、銃を拾い大文字に向けると、蘭子から離れろと命じた。大文字は、ゆっくりと手を挙げた。  　その後、梶(正名僕蔵)らが行った検証の結果、現場に残された足跡が、土方と警察関係者を除くと、大文字のものだけだったことが分かる。  　半田(升毅)は、大文字を取り調べ、監禁場所にいた理由を問いただす。大文字は、蘭子が監禁されているのなら、18年前と同じ場所の可能性があるからだと説明。しかし半田は、当時、監禁場所が公開されていなかったことを指摘する。  　そんな中、大文字は、自分と土方が共犯関係だと考えるのは浅はかだと反論。蘭子とともに取り調べを見ていた青山は、取調室に乱入すると、あなたが土方らの狙撃を指示した「メシア」だろうと怒りを爆発させる。  　取り調べが終わり、部屋から出た大文字は、蘭子にハンカチを手渡した。そこには、メモが…。香里奈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t>
  </si>
  <si>
    <t>病院を抜け出した青山(加藤シゲアキ)は、大文字(椎名桔平)の研究室に駆け込むと室内を物色し、古びたファイルを見つける。そこには、18年前の蘭子(香里奈)の誘拐事件の記事とともに、赤い印が付いた森の地図があった。  　一方、監禁された蘭子のもとへ大文字がやってくる。大文字は、気を失っていた蘭子を起こし、拘束を解いてやる。自由になった蘭子は、何者かに撃たれ倒れている土方(寿大聡)と、そのそばに自分の銃が落ちているのに気付く。そこへ青山と道子(飯豊まりえ)が入って来る。青山は、銃を拾い大文字に向けると、蘭子から離れろと命じた。大文字は、ゆっくりと手を挙げた。  　その後、梶(正名僕蔵)らが行った検証の結果、現場に残された足跡が、土方と警察関係者を除くと、大文字のものだけだったことが分かる。  　半田(升毅)は、大文字を取り調べ、監禁場所にいた理由を問いただす。大文字は、蘭子が監禁されているのなら、18年前と同じ場所の可能性があるからだと説明。しかし半田は、当時、監禁場所が公開されていなかったことを指摘する。  　そんな中、大文字は、自分と土方が共犯関係だと考えるのは浅はかだと反論。蘭子とともに取り調べを見ていた青山は、取調室に乱入すると、あなたが土方らの狙撃を指示した「メシア」だろうと怒りを爆発させる。  　取り調べが終わり、部屋から出た大文字は、蘭子にハンカチを手渡した。そこには、メモが…。</t>
  </si>
  <si>
    <t>1701_CX_日21</t>
  </si>
  <si>
    <t>大貧乏</t>
  </si>
  <si>
    <t>番組名大貧乏【ラブコメ時々サスペンスの新ドラマ!】　#01</t>
  </si>
  <si>
    <t>【公式HP】  http://www.fujitv.co.jp/daibinbo/    【公式Twitter】  @DAIBINBO_sun9    【公式LINE】  大貧乏　元旦。シングルマザーの七草ゆず子(小雪)は、息子の翔太(今井暖大)、娘の実結(野澤しおり)と近所の神社に初詣。お願いごとをする子どもたちの姿がほほえましく、くじも大吉で「今年はいいことありそう」と幸せ気分でアパートに帰るゆず子。  　同じ頃、大きな神社では法律事務所を営む柿原新一(伊藤淳史)がうやうやしく祈祷を受けていた。初穂料を包む熨斗袋は分厚い。そんな彼が人目を気にしながら広げたのは“恋みくじ"。こちらも大吉で柿原の顔はほころんだ。  　ゆず子がアパートに着くと幸せ気分が一気に吹き飛ぶ。自宅から大量の水が溢れ出て、階下の住人の部屋まで水浸し。保証は保険では追いつかずコツコツ貯めた貯金はほぼ底をついた。それでもまた頑張って働けば大丈夫だと自分を励ますゆず子だったが…。  　初出勤の日。出社すると会社前が騒然としている。そこには、ゆず子の勤める人材派遣会社DOH(ディメンションズ・オブ・ヒューマニティ)廃業の告示が。ぼうぜんとするゆず子、顔見知りの社員、加瀬春木(成田凌)も驚いた様子で…。  　水浸しの家に続いて会社が倒産。社内預金も全て失い、ほぼ無一文状態のゆず子。再就職には知り合いを頼るのが近道だとママ友の櫻沢まりえ(内田理央)に勧められ、高校の同窓会に顔を出す。仕事のつてを求めるも上手くは行かない。途方に暮れるゆず子だが、そんな彼女に必死に近づこうとする柿原の姿が…。小雪　  伊藤淳史　  成田凌　  神山智洋(ジャニーズWEST)　  内田理央　  今井暖大　  野澤しおり  　・　  滝藤賢一　  奥田瑛二【脚本】  安達奈緒子　    【編成企画】  増本淳　  西原恵　    【プロデュース】  小林宙　    【演出】  土方政人　    【主題歌】  SOLIDEMO(avex　trax)　    【制作】  フジテレビ　    【制作著作】  共同テレビ</t>
  </si>
  <si>
    <t xml:space="preserve">  大貧乏　元旦。シングルマザーの七草ゆず子(小雪)は、息子の翔太(今井暖大)、娘の実結(野澤しおり)と近所の神社に初詣。お願いごとをする子どもたちの姿がほほえましく、くじも大吉で「今年はいいことありそう」と幸せ気分でアパートに帰るゆず子。  　同じ頃、大きな神社では法律事務所を営む柿原新一(伊藤淳史)がうやうやしく祈祷を受けていた。初穂料を包む熨斗袋は分厚い。そんな彼が人目を気にしながら広げたのは“恋みくじ"。こちらも大吉で柿原の顔はほころんだ。  　ゆず子がアパートに着くと幸せ気分が一気に吹き飛ぶ。自宅から大量の水が溢れ出て、階下の住人の部屋まで水浸し。保証は保険では追いつかずコツコツ貯めた貯金はほぼ底をついた。それでもまた頑張って働けば大丈夫だと自分を励ますゆず子だったが…。  　初出勤の日。出社すると会社前が騒然としている。そこには、ゆず子の勤める人材派遣会社DOH(ディメンションズ・オブ・ヒューマニティ)廃業の告示が。ぼうぜんとするゆず子、顔見知りの社員、加瀬春木(成田凌)も驚いた様子で…。  　水浸しの家に続いて会社が倒産。社内預金も全て失い、ほぼ無一文状態のゆず子。再就職には知り合いを頼るのが近道だとママ友の櫻沢まりえ(内田理央)に勧められ、高校の同窓会に顔を出す。仕事のつてを求めるも上手くは行かない。途方に暮れるゆず子だが、そんな彼女に必死に近づこうとする柿原の姿が…。</t>
  </si>
  <si>
    <t>番組名大貧乏【今夜はサスペンス時々ラブコメ!大逆転!?手にした裏金30億】　#02</t>
  </si>
  <si>
    <t>【公式HP】  http://www.fujitv.co.jp/daibinbo/    【公式Twitter】  @DAIBINBO_sun9    【公式LINE】  大貧乏　七草ゆず子(小雪)が出かけようとしている朝。実結(野澤しおり)が翔太(今井暖大)の靴を隠したと大ゲンカ。翔太に突き飛ばされた実結を助けようとしたゆず子は、手に怪我をしてしまう。驚いた兄妹はケンカを止める。ゆず子は、そんな子供たちの心配を振り払うように、お出かけの号令。そして、古びたソファの中に隠された翔太の靴を発見。そこは、実結がいつも何かを隠す場所だった。  　柿原新一(伊藤淳史)はM&amp;Aを成功させ、木暮祐人(神山智洋)に持ち上げられてニコニコ。しかし、心中は別。実は、柿原は検事になりたかったのだ。その夢は今も無くしていない。そんなところへ加瀬春木(成田凌)が来た。柿原の思いを知った加瀬は、DOHの不正を暴きたいだろう?とあおる。もちろん、柿原は真実を追求したいが、ゆず子に会いたいと言う欲求も大きい。  　夕方、ゆず子が子供たちとスーパーで買い物をしていると、実結の姿が見えなくなった。スーパー中を懸命に捜すゆず子。と、男に手を引かれた実結の姿が。実結の名を叫ぶと男が振り返る。浅岡礼司(滝藤賢一)…その時、背後から翔太に呼ばれるゆず子。翔太は実結の手を握っていた。男を浅岡と勘違いしたのは、ゆず子の恐怖心。しばらく、ゆず子の震えは止まらなかった。  　翌日、加瀬とともに柿原を訪ねたゆず子は、子供の身を案じ、DOHの件にはこれ以上関わりたくないと話す。柿原は、必死に食い下がるが…。小雪　  伊藤淳史　  成田凌　  神山智洋(ジャニーズWEST)　  内田理央　  今井暖大　  野澤しおり  　・　  滝藤賢一　  奥田瑛二【脚本】  安達奈緒子　    【編成企画】  増本淳　  西原恵　    【プロデュース】  小林宙　    【演出】  土方政人　    【主題歌】  SOLIDEMO(avex　trax)　    【制作】  フジテレビ　    【制作著作】  共同テレビ</t>
  </si>
  <si>
    <t>公式LINE】  大貧乏　七草ゆず子(小雪)が出かけようとしている朝。実結(野澤しおり)が翔太(今井暖大)の靴を隠したと大ゲンカ。翔太に突き飛ばされた実結を助けようとしたゆず子は、手に怪我をしてしまう。驚いた兄妹はケンカを止める。ゆず子は、そんな子供たちの心配を振り払うように、お出かけの号令。そして、古びたソファの中に隠された翔太の靴を発見。そこは、実結がいつも何かを隠す場所だった。  　柿原新一(伊藤淳史)はM&amp;Aを成功させ、木暮祐人(神山智洋)に持ち上げられてニコニコ。しかし、心中は別。実は、柿原は検事になりたかったのだ。その夢は今も無くしていない。そんなところへ加瀬春木(成田凌)が来た。柿原の思いを知った加瀬は、DOHの不正を暴きたいだろう?とあおる。もちろん、柿原は真実を追求したいが、ゆず子に会いたいと言う欲求も大きい。  　夕方、ゆず子が子供たちとスーパーで買い物をしていると、実結の姿が見えなくなった。スーパー中を懸命に捜すゆず子。と、男に手を引かれた実結の姿が。実結の名を叫ぶと男が振り返る。浅岡礼司(滝藤賢一)…その時、背後から翔太に呼ばれるゆず子。翔太は実結の手を握っていた。男を浅岡と勘違いしたのは、ゆず子の恐怖心。しばらく、ゆず子の震えは止まらなかった。  　翌日、加瀬とともに柿原を訪ねたゆず子は、子供の身を案じ、DOHの件にはこれ以上関わりたくないと話す。柿原は、必死に食い下がるが…。小雪　  伊藤淳史　  成田凌　  神山智洋(ジャニーズWEST)　  内田理央　  今井暖大　  野澤しおり  　・　  滝藤賢一　  奥田瑛二</t>
  </si>
  <si>
    <t>番組名大貧乏【今夜はラブコメ!緊急入院したゆず子に柿原の魔の手が伸びる?】　#03</t>
  </si>
  <si>
    <t>【公式HP】  http://www.fujitv.co.jp/daibinbo/    【公式Twitter】  @DAIBINBO_sun9    【公式LINE】  大貧乏　柿原法律事務所で、七草ゆず子(小雪)と柿原新一(伊藤淳史)が珍しく口論。ゆず子が1人で浅岡礼司(滝藤賢一)に30億円の裏金を取り返すと宣言した無謀な行動を、彼女の身を案じた柿原がいさめようとしたことから始まった。いつの間にか、高校時代のことに話がずれる2人を加瀬春木(成田凌)が冷静にさばく。この日、ゆず子が来たのは、柿原を正式な代理人として契約し、DOHの不正を追及するためだった。  　痕跡を残さず30億もの大金を消すためには、現金のまま国外に出す方法しか考えられない、と柿原。「30億が国外に出てしまった時点でゲームオーバーだ」。  　大人たちが真剣に話し合う中、翔太(今井暖大)と実結(野澤しおり)がぐずりだす。すると加瀬が、子供たちは、いつもゆず子について来るのか?と、冷たい言葉を投げる。一方、柿原は自分がどれだけ子供たちのことを思っているか、むしろ家族になりたいという思いをアピール。だが、柿原は友人で今は友人以上の存在を作るつもりはないと、ゆず子にハッキリ言われてしまうのだった。  　柿原は加瀬とともに天満利章(奥田瑛二)のもとへ。裏金の事実、DOHに損害賠償請求すると告げる柿原に、天満は信頼していた浅岡の隠れた行動に耳を疑いながらも、他の社員が救われるならと真摯な態度で受け止める。  　そんな折、ゆず子が倒れ柿原は病院へ急ぐ。ゆず子の帰りを待つ子供たちの前に現れたのは加瀬で…。小雪　  伊藤淳史　  成田凌　  神山智洋(ジャニーズWEST)　  内田理央　  今井暖大　  野澤しおり  　・　  滝藤賢一　  奥田瑛二【脚本】  安達奈緒子　    【編成企画】  増本淳　  西原恵　    【プロデュース】  小林宙　    【演出】  土方政人　    【主題歌】  SOLIDEMO(avex　trax)　    【制作】  フジテレビ　    【制作著作】  共同テレビ</t>
  </si>
  <si>
    <t xml:space="preserve">  大貧乏　柿原法律事務所で、七草ゆず子(小雪)と柿原新一(伊藤淳史)が珍しく口論。ゆず子が1人で浅岡礼司(滝藤賢一)に30億円の裏金を取り返すと宣言した無謀な行動を、彼女の身を案じた柿原がいさめようとしたことから始まった。いつの間にか、高校時代のことに話がずれる2人を加瀬春木(成田凌)が冷静にさばく。この日、ゆず子が来たのは、柿原を正式な代理人として契約し、DOHの不正を追及するためだった。  　痕跡を残さず30億もの大金を消すためには、現金のまま国外に出す方法しか考えられない、と柿原。「30億が国外に出てしまった時点でゲームオーバーだ」。  　大人たちが真剣に話し合う中、翔太(今井暖大)と実結(野澤しおり)がぐずりだす。すると加瀬が、子供たちは、いつもゆず子について来るのか?と、冷たい言葉を投げる。一方、柿原は自分がどれだけ子供たちのことを思っているか、むしろ家族になりたいという思いをアピール。だが、柿原は友人で今は友人以上の存在を作るつもりはないと、ゆず子にハッキリ言われてしまうのだった。  　柿原は加瀬とともに天満利章(奥田瑛二)のもとへ。裏金の事実、DOHに損害賠償請求すると告げる柿原に、天満は信頼していた浅岡の隠れた行動に耳を疑いながらも、他の社員が救われるならと真摯な態度で受け止める。  　そんな折、ゆず子が倒れ柿原は病院へ急ぐ。ゆず子の帰りを待つ子供たちの前に現れたのは加瀬で…。</t>
  </si>
  <si>
    <t>番組名大貧乏【ママがスパイに!?迫る危険!奥手弁護士にはモテ期到来!?】　#04</t>
  </si>
  <si>
    <t>【公式HP】  http://www.fujitv.co.jp/daibinbo/    【公式Twitter】  @DAIBINBO_sun9    【公式LINE】  大貧乏　七草ゆず子(小雪)が慣れない雰囲気の店で黙々と食事をしている。そんなゆず子の目の前にずらっと並ぶ男性4人。柿原新一(伊藤淳史)、加瀬春木(成田凌)、木暮祐人(神山智洋)という、ゆず子にはおなじみの面々と、イタリア人のジャンルイジ(BEN　L)。ゆず子側には、若々しくキラキラしたOLが3人。そう、ゆず子と柿原たちは合コンをしているのだ。  　発端は5日前。柿原がDOH倒産には別のからくりがあると思い当たったことに始まる。柿原は濱中電子工業の新型リチウムバッテリーの設計図に重大な欠陥があったと仮定。そこから発した損害を埋めるために濱中電子工業が意図的に設計図を流出させDOHに罪を負わせたのではないか、というのが柿原の仮説だった。このからくりを探るために、加瀬の人脈をたどり、ゆず子は濱中電子工業の新年度経営方針発表会の資料を作るチームに臨時の短期スタッフとして潜入していた。そこで、ゆず子は月島レイコ(泉里香)たち女性社員と知り合う。中には、研究職から転属してきた橋本亜香里(沢井美優)もいた。  　一方、柿原たちは天満利章(奥田瑛二)に、濱中電子工業との和解の件を聞きに行くが、断られてしまう。  　ゆず子も、何とかして亜香里からバッテリー開発に関する情報を聞き出そうと、距離を縮めようとしていた。そんな折に、彼女たちが合コンに参加することを知り、ゆず子も参加することになったのだが…。小雪　  伊藤淳史　  成田凌　  神山智洋(ジャニーズWEST)　  内田理央　  今井暖大　  野澤しおり  　・　  滝藤賢一　  奥田瑛二【脚本】  安達奈緒子　    【編成企画】  増本淳　  西原恵　    【プロデュース】  小林宙　    【演出】  土方政人　    【主題歌】  SOLIDEMO(avex　trax)　    【制作】  フジテレビ　    【制作著作】  共同テレビ</t>
  </si>
  <si>
    <t xml:space="preserve">  大貧乏　七草ゆず子(小雪)が慣れない雰囲気の店で黙々と食事をしている。そんなゆず子の目の前にずらっと並ぶ男性4人。柿原新一(伊藤淳史)、加瀬春木(成田凌)、木暮祐人(神山智洋)という、ゆず子にはおなじみの面々と、イタリア人のジャンルイジ(BEN　L)。ゆず子側には、若々しくキラキラしたOLが3人。そう、ゆず子と柿原たちは合コンをしているのだ。  　発端は5日前。柿原がDOH倒産には別のからくりがあると思い当たったことに始まる。柿原は濱中電子工業の新型リチウムバッテリーの設計図に重大な欠陥があったと仮定。そこから発した損害を埋めるために濱中電子工業が意図的に設計図を流出させDOHに罪を負わせたのではないか、というのが柿原の仮説だった。このからくりを探るために、加瀬の人脈をたどり、ゆず子は濱中電子工業の新年度経営方針発表会の資料を作るチームに臨時の短期スタッフとして潜入していた。そこで、ゆず子は月島レイコ(泉里香)たち女性社員と知り合う。中には、研究職から転属してきた橋本亜香里(沢井美優)もいた。  　一方、柿原たちは天満利章(奥田瑛二)に、濱中電子工業との和解の件を聞きに行くが、断られてしまう。  　ゆず子も、何とかして亜香里からバッテリー開発に関する情報を聞き出そうと、距離を縮めようとしていた。そんな折に、彼女たちが合コンに参加することを知り、ゆず子も参加することになったのだが…。</t>
  </si>
  <si>
    <t>番組名大貧乏【嘘の婚約話で嫁姑争い勃発?250億奪還は敵仲間入りで新展開】　#05</t>
  </si>
  <si>
    <t>【公式HP】  http://www.fujitv.co.jp/daibinbo/    【公式Twitter】  @DAIBINBO_sun9    【公式LINE】  大貧乏　濱中電子工業にDOHが支払った賠償金250億円を取り戻そうとする七草ゆず子(小雪)たちの前に、柿原新一(伊藤淳史)が新たな仲間として連れてきたのは浅岡礼司(滝藤賢一)だった。消えた30億円と浅岡の関係もハッキリしない中、ゆず子と加瀬春木(成田凌)は彼を信用できない。  　ともあれ、ここまでの経緯を浅岡に説明し、戦略を練る。柿原は濱中の新型バッテリー、アウセルの設計図にミスがあったことを、作った本人に証言させるしかないと言う。しかし、誰が?柿原は、それを知るために浅岡を招いたのだ。浅岡は、開発責任者は高野由鶴(奥貫薫)だと教える。  　一同が由鶴への接触を心に決めたその時、ミーティングルームに女性が飛び込んで来た。柿原が「おふくろ!?」と呼びかける。正美(山本道子)は柿原の母親だった。柿原の結婚が嬉しくて来てしまったと言う。  　帰ろうとしたゆず子を柿原が追いかけて来て、結婚は正美についたウソだと必死に説明。そこで、柿原はゆず子に、婚約者役をやって欲しいと懇願するが…。  　ゆず子は、濱中電子工業内で何とか由鶴に接触を試みる。彼女の様子を報告する電話で、ゆず子は柿原から突然、明日、正美に会ってくれないか、と言われる。困ったゆず子が月島レイコ(泉里香)にこの話を持ちかけると、レイコは嘘でも婚約者を演じたら柿原が振り向いてくれるかも知れない!と、前のめりになり正美と会うことに…。小雪　  伊藤淳史　  成田凌　  神山智洋(ジャニーズWEST)　  内田理央　  今井暖大　  野澤しおり  　・　  滝藤賢一　  奥田瑛二【脚本】  安達奈緒子　    【編成企画】  増本淳　  西原恵　    【プロデュース】  小林宙　    【演出】  土方政人　    【主題歌】  SOLIDEMO(avex　trax)　    【制作】  フジテレビ　    【制作著作】  共同テレビ</t>
  </si>
  <si>
    <t xml:space="preserve">  大貧乏　濱中電子工業にDOHが支払った賠償金250億円を取り戻そうとする七草ゆず子(小雪)たちの前に、柿原新一(伊藤淳史)が新たな仲間として連れてきたのは浅岡礼司(滝藤賢一)だった。消えた30億円と浅岡の関係もハッキリしない中、ゆず子と加瀬春木(成田凌)は彼を信用できない。  　ともあれ、ここまでの経緯を浅岡に説明し、戦略を練る。柿原は濱中の新型バッテリー、アウセルの設計図にミスがあったことを、作った本人に証言させるしかないと言う。しかし、誰が?柿原は、それを知るために浅岡を招いたのだ。浅岡は、開発責任者は高野由鶴(奥貫薫)だと教える。  　一同が由鶴への接触を心に決めたその時、ミーティングルームに女性が飛び込んで来た。柿原が「おふくろ!?」と呼びかける。正美(山本道子)は柿原の母親だった。柿原の結婚が嬉しくて来てしまったと言う。  　帰ろうとしたゆず子を柿原が追いかけて来て、結婚は正美についたウソだと必死に説明。そこで、柿原はゆず子に、婚約者役をやって欲しいと懇願するが…。  　ゆず子は、濱中電子工業内で何とか由鶴に接触を試みる。彼女の様子を報告する電話で、ゆず子は柿原から突然、明日、正美に会ってくれないか、と言われる。困ったゆず子が月島レイコ(泉里香)にこの話を持ちかけると、レイコは嘘でも婚約者を演じたら柿原が振り向いてくれるかも知れない!と、前のめりになり正美と会うことに…。</t>
  </si>
  <si>
    <t>番組名大貧乏【正義のママvsメディア!本命vs義理!決戦はバレンタイン!】　#06</t>
  </si>
  <si>
    <t>【公式HP】  http://www.fujitv.co.jp/daibinbo/    【公式Twitter】  @DAIBINBO_sun9    【公式LINE】  大貧乏　七草ゆず子(小雪)は、濱中電子工業を訴えるためにDOHの原告団に加わって欲しい、一緒に戦って欲しいと天満利章(奥田瑛二)に頼む。しかし、天満からは濱中の行動を見抜けなかった責任は自分にもあると断られてしまった。  　その頃、柿原新一(伊藤淳史)は百貨店のクライアントと、売り場の様子を見て回っていた。そんな柿原を月島レイコ(泉里香)が発見。2月14日の予定を尋ね、自分に時間をくれないかと言うレイコに、柿原は少しだけならと応じてしまう。  　事務所に戻った柿原は、反省しきりで落ち着かない。なぜレイコの誘いに乗ってしまったのか…悩む柿原に、加瀬春木(成田凌)は、いっその事レイコに乗り換えれば?と、軽いノリ。そこに、ゆず子がやって来た。手には大きな紙袋。バレンタイン用の買い物をして来たと言うゆず子に、柿原の頬は何かを期待して緩みっぱなし。  　そんな柿原をよそに、ゆず子は被害者の会を作ろうと思うと提案する。大きな原告団を作り、マスコミが騒ぎ出せば濱中の行為を世間にも知らせることが出来る。それは濱中が一番恐れることだと柿原もゆず子の提案を受け入れた。  　早速、旧DOH社員に連絡するが、参加者はなかなか集まらない。そんな時、原告団には求心力のある人物が必要だと浅岡礼司(滝藤賢一)が連れてきたのは天満で…。小雪　  伊藤淳史　  成田凌　  神山智洋(ジャニーズWEST)　  内田理央　  今井暖大　  野澤しおり  　・　  滝藤賢一　  奥田瑛二【脚本】  安達奈緒子　    【編成企画】  増本淳　  西原恵　    【プロデュース】  小林宙　    【演出】  土方政人　    【主題歌】  「Happiness」SOLIDEMO(avex　trax)　    【制作】  フジテレビ　    【制作著作】  共同テレビ</t>
  </si>
  <si>
    <t xml:space="preserve">  大貧乏　七草ゆず子(小雪)は、濱中電子工業を訴えるためにDOHの原告団に加わって欲しい、一緒に戦って欲しいと天満利章(奥田瑛二)に頼む。しかし、天満からは濱中の行動を見抜けなかった責任は自分にもあると断られてしまった。  　その頃、柿原新一(伊藤淳史)は百貨店のクライアントと、売り場の様子を見て回っていた。そんな柿原を月島レイコ(泉里香)が発見。2月14日の予定を尋ね、自分に時間をくれないかと言うレイコに、柿原は少しだけならと応じてしまう。  　事務所に戻った柿原は、反省しきりで落ち着かない。なぜレイコの誘いに乗ってしまったのか…悩む柿原に、加瀬春木(成田凌)は、いっその事レイコに乗り換えれば?と、軽いノリ。そこに、ゆず子がやって来た。手には大きな紙袋。バレンタイン用の買い物をして来たと言うゆず子に、柿原の頬は何かを期待して緩みっぱなし。  　そんな柿原をよそに、ゆず子は被害者の会を作ろうと思うと提案する。大きな原告団を作り、マスコミが騒ぎ出せば濱中の行為を世間にも知らせることが出来る。それは濱中が一番恐れることだと柿原もゆず子の提案を受け入れた。  　早速、旧DOH社員に連絡するが、参加者はなかなか集まらない。そんな時、原告団には求心力のある人物が必要だと浅岡礼司(滝藤賢一)が連れてきたのは天満で…。</t>
  </si>
  <si>
    <t>番組名大貧乏【ドキドキの初旅行!幸せなひと時を襲う真実。裏切り者は隣に…】　#07</t>
  </si>
  <si>
    <t>【公式HP】  http://www.fujitv.co.jp/daibinbo/    【公式Twitter】  @DAIBINBO_sun9    【公式LINE】  大貧乏　七草ゆず子(小雪)、柿原新一(伊藤淳史)たちは、元DOH社員を募った被害者の会の結成に成功する。そこには、加瀬春木(成田凌)のほかに、天満利章(奥田瑛二)、浅岡礼司(滝藤賢一)らもいた。  　その説明会で、ゆず子たちは濱中電子工業から元社員たちの金を取り返すこと、リチウムイオンバッテリー“アウセル"の開発失敗の隠蔽と意図的な情報漏えいを追及することを掲げる。  　一方、バレンタイン以降、ゆず子との距離をさらに縮めたく思っている柿原だが、いつも通り空回り。そんな2人の関係を見るに見かねた天満と浅岡が、元DOHの地方営業所社員たちに向けた説明会には、ゆず子と柿原の2人で行けば良いと提案する。その誘いを断ろうとするゆず子だが、被害者の会の象徴ともなっているゆず子が参加することの意義、翔太(今井暖大)と実結(野澤しおり)も連れて行けるという周囲からの後押しを受け、説明会に参加することを決める。　出発の当日、柿原が車で迎えに来る。目的地の途中で立ち寄ったサービスエリアで、柿原はゆず子と2人きりになるチャンスが…!ここぞとばかりに“ゆず子さん"と名前で呼んでみようと試みるも、うまくはいかない。それでも、大満足の柿原。説明会も滞りなく終了し、順風満帆な旅路。しかし、帰途につこうとした時、木暮祐人(神山智洋)から柿原に、加瀬に関する意外な情報が入る。さらに柿原本人にも異変が生じ…。小雪　  伊藤淳史　  成田凌　  神山智洋(ジャニーズWEST)　  内田理央　  今井暖大　  野澤しおり  　・　  滝藤賢一　  奥田瑛二【脚本】  安達奈緒子　    【編成企画】  増本淳　  西原恵　    【プロデュース】  小林宙　    【演出】  土方政人　    【主題歌】  「Happiness」SOLIDEMO(avex　trax)　    【制作】  フジテレビ　    【制作著作】  共同テレビ</t>
  </si>
  <si>
    <t xml:space="preserve">  大貧乏　七草ゆず子(小雪)、柿原新一(伊藤淳史)たちは、元DOH社員を募った被害者の会の結成に成功する。そこには、加瀬春木(成田凌)のほかに、天満利章(奥田瑛二)、浅岡礼司(滝藤賢一)らもいた。  　その説明会で、ゆず子たちは濱中電子工業から元社員たちの金を取り返すこと、リチウムイオンバッテリー“アウセル"の開発失敗の隠蔽と意図的な情報漏えいを追及することを掲げる。  　一方、バレンタイン以降、ゆず子との距離をさらに縮めたく思っている柿原だが、いつも通り空回り。そんな2人の関係を見るに見かねた天満と浅岡が、元DOHの地方営業所社員たちに向けた説明会には、ゆず子と柿原の2人で行けば良いと提案する。その誘いを断ろうとするゆず子だが、被害者の会の象徴ともなっているゆず子が参加することの意義、翔太(今井暖大)と実結(野澤しおり)も連れて行けるという周囲からの後押しを受け、説明会に参加することを決める。　出発の当日、柿原が車で迎えに来る。目的地の途中で立ち寄ったサービスエリアで、柿原はゆず子と2人きりになるチャンスが…!ここぞとばかりに“ゆず子さん"と名前で呼んでみようと試みるも、うまくはいかない。それでも、大満足の柿原。説明会も滞りなく終了し、順風満帆な旅路。しかし、帰途につこうとした時、木暮祐人(神山智洋)から柿原に、加瀬に関する意外な情報が入る。さらに柿原本人にも異変が生じ…。</t>
  </si>
  <si>
    <t>番組名大貧乏【ママを買収!?1億円の魔力!本当の悪が牙をむく!】　#08</t>
  </si>
  <si>
    <t>【公式HP】  http://www.fujitv.co.jp/daibinbo/    【公式Twitter】  @DAIBINBO_sun9    【公式LINE】  大貧乏　七草ゆず子(小雪)と柿原新一(伊藤淳史)は、天満利章(奥田瑛二)と浅岡礼司(滝藤賢一)らに裏切られ、被害者の会を外されてしまった。しかし、ゆず子は柿原を弁護人に訴訟を続けることを決意。そこには、加瀬春木(成田凌)も戻って来ていた。  　加瀬の辛い過去も知ったことで、ゆず子たちは天満を倒すことで一致。そのためにも、柿原は引き続き濱中電子工業の内部を調査することになる。一方、天満と浅岡を探る加瀬を、ゆず子と柿原は心配していた。  　今後の作戦について打ち合わせしていると、木暮祐人(神山智洋)が飛び込んで来る。『正義の検事　ジャスティス・ゴトー』の制作会社が、柿原の事務所で撮影させて欲しいと頼んで来たのだ。翔太(今井暖大)と実結(野澤しおり)は大喜び。もちろん、大ファンの柿原も。余計なことをしている暇はないと言うゆず子に、柿原はジャスティス・ゴトーへの熱い思いを語る。それは20年前にさかのぼり、高校時代のゆず子との会話でジャスティス・ゴトーのファンになったことを明かす。彼のような法律家に憧れ、弁護士になったのだが…。すっかり忘れているゆず子に落胆する柿原。そんな柿原に、ゆず子もダメとは言えず撮影が行われることになった。  　その日の夕方、制作会社の都鳥仁(片桐仁)が撮影の打ち合わせに来た。法律監修も頼まれた柿原は大乗り気。しかし、撮影されるストーリーをそばで聞いていた加瀬の様子が変わる。小雪　  伊藤淳史　  成田凌　  神山智洋(ジャニーズWEST)　  内田理央　  今井暖大　  野澤しおり  　・　  滝藤賢一　  奥田瑛二【脚本】  安達奈緒子　    【編成企画】  増本淳　  西原恵　    【プロデュース】  小林宙　    【演出】  土方政人　    【主題歌】  「Happiness」SOLIDEMO(avex　trax)　    【制作】  フジテレビ　    【制作著作】  共同テレビ</t>
  </si>
  <si>
    <t xml:space="preserve">  大貧乏　七草ゆず子(小雪)と柿原新一(伊藤淳史)は、天満利章(奥田瑛二)と浅岡礼司(滝藤賢一)らに裏切られ、被害者の会を外されてしまった。しかし、ゆず子は柿原を弁護人に訴訟を続けることを決意。そこには、加瀬春木(成田凌)も戻って来ていた。  　加瀬の辛い過去も知ったことで、ゆず子たちは天満を倒すことで一致。そのためにも、柿原は引き続き濱中電子工業の内部を調査することになる。一方、天満と浅岡を探る加瀬を、ゆず子と柿原は心配していた。  　今後の作戦について打ち合わせしていると、木暮祐人(神山智洋)が飛び込んで来る。『正義の検事　ジャスティス・ゴトー』の制作会社が、柿原の事務所で撮影させて欲しいと頼んで来たのだ。翔太(今井暖大)と実結(野澤しおり)は大喜び。もちろん、大ファンの柿原も。余計なことをしている暇はないと言うゆず子に、柿原はジャスティス・ゴトーへの熱い思いを語る。それは20年前にさかのぼり、高校時代のゆず子との会話でジャスティス・ゴトーのファンになったことを明かす。彼のような法律家に憧れ、弁護士になったのだが…。すっかり忘れているゆず子に落胆する柿原。そんな柿原に、ゆず子もダメとは言えず撮影が行われることになった。  　その日の夕方、制作会社の都鳥仁(片桐仁)が撮影の打ち合わせに来た。法律監修も頼まれた柿原は大乗り気。しかし、撮影されるストーリーをそばで聞いていた加瀬の様子が変わる。</t>
  </si>
  <si>
    <t>番組名大貧乏【今夜すべてが明らかに!!奪われた250億円の真相とは…】　#09</t>
  </si>
  <si>
    <t>ドラマ「大貧乏」オリジナルサウンドトラックを30名様にプレゼント。詳しくは放送終了後、番組公式HPまで。    【公式HP】  http://www.fujitv.co.jp/daibinbo/    【公式Twitter】  @DAIBINBO_sun9    【公式LINE】  大貧乏　七草ゆず子(小雪)が天満利章(奥田瑛二)に脅されたことを知った柿原新一(伊藤淳史)は、彼女のアパートに駆け付けた。天満がターゲットにしそうなのは、ゆず子の子供、翔太(今井暖大)と実結(野澤しおり)。柿原は、加瀬春木(成田凌)とアパート近くに車を停めて見張ることに。困ったゆず子は柿原と加瀬を自宅に泊めることにする。2人のお泊りに子供たちは大はしゃぎ。  　翌朝、ゆず子はいつものように朝の支度。柿原はゆず子の手料理を大喜びで頬張るが、朝が苦手な加瀬は朝ごはんには手をつけない。すると、ゆず子はキチンと食べるよう加瀬を促す。柿原も支度を急かされた。だが、柿原も加瀬も、そんな家庭的な朝に居心地の良さを感じていた。  　午後、柿原の事務所で打ち合わせ。問題は、なぜ今さら天満が原告団代表になったのか。やり残したことがあるのでは?と言うゆず子に、柿原は聞いてみるか…と、ある人を訪ねることに。　柿原が向かった先は留置場。拘留中の浅岡礼司(滝藤賢一)と面会するためだった。早速疑問をぶつけると、浅岡は取引を持ちかける。横領した30億円の返済時に、うまく5億円を残してくれと言うのだ。天満は濱中電子工業の未公開株を大量に持っていた。その株が一部上場されるのを待っているのだと…。  　濱中の上場は6日後に迫っていた。それまでに、ゆず子たちは濱中、そして天満の悪行を暴くことが出来るのか?小雪　  伊藤淳史　  成田凌　  神山智洋(ジャニーズWEST)　  内田理央　  今井暖大　  野澤しおり  　・　  滝藤賢一　  奥田瑛二【脚本】  安達奈緒子　    【編成企画】  増本淳　  西原恵　    【プロデュース】  小林宙　    【演出】  土方政人　  小林義則　  三木茂　    【主題歌】  「Happiness」SOLIDEMO(avex　trax)　    【制作】  フジテレビ　    【制作著作】  共同テレビ</t>
  </si>
  <si>
    <t xml:space="preserve">  大貧乏　七草ゆず子(小雪)が天満利章(奥田瑛二)に脅されたことを知った柿原新一(伊藤淳史)は、彼女のアパートに駆け付けた。天満がターゲットにしそうなのは、ゆず子の子供、翔太(今井暖大)と実結(野澤しおり)。柿原は、加瀬春木(成田凌)とアパート近くに車を停めて見張ることに。困ったゆず子は柿原と加瀬を自宅に泊めることにする。2人のお泊りに子供たちは大はしゃぎ。  　翌朝、ゆず子はいつものように朝の支度。柿原はゆず子の手料理を大喜びで頬張るが、朝が苦手な加瀬は朝ごはんには手をつけない。すると、ゆず子はキチンと食べるよう加瀬を促す。柿原も支度を急かされた。だが、柿原も加瀬も、そんな家庭的な朝に居心地の良さを感じていた。  　午後、柿原の事務所で打ち合わせ。問題は、なぜ今さら天満が原告団代表になったのか。やり残したことがあるのでは?と言うゆず子に、柿原は聞いてみるか…と、ある人を訪ねることに。　柿原が向かった先は留置場。拘留中の浅岡礼司(滝藤賢一)と面会するためだった。早速疑問をぶつけると、浅岡は取引を持ちかける。横領した30億円の返済時に、うまく5億円を残してくれと言うのだ。天満は濱中電子工業の未公開株を大量に持っていた。その株が一部上場されるのを待っているのだと…。  　濱中の上場は6日後に迫っていた。それまでに、ゆず子たちは濱中、そして天満の悪行を暴くことが出来るのか?</t>
  </si>
  <si>
    <t>番組名大貧乏【いよいよ最終決戦!小さき正義が賭けに出る!?巨悪への罠!】　#10</t>
  </si>
  <si>
    <t>【公式HP】  http://www.fujitv.co.jp/daibinbo/    【公式Twitter】  @DAIBINBO_sun9    【公式LINE】  大貧乏　七草ゆず子(小雪)たちの奮闘むなしく、濱中電子工業の株は上場され、天満利章(奥田瑛二)の元に多額の利益が流れ込んだ。さらに、天満は国外へと姿をくらませてしまい、裁きを与えることは出来なくなる。  　柿原新一(伊藤淳史)の落胆は激しく、濱中を詐欺罪で刑事告訴すると息巻く。そうすれば、上場を取り下げられるだけでなく、濱中そのものを解体に追い込むことが出来ると言うのだ。いつもと様相の違う柿原を、ゆず子は冷静に諭す。自分たちの目的は濱中を潰すことではない、と。会社がなくなれば、多くの社員たちが路頭に迷うからだ。加瀬春木(成田凌)も、ゆず子に賛同するが、柿原は悔しさに顔をゆがめて何度も机を叩いて怒りを吐き出した。  　浅岡礼司(滝藤賢一)に面会した柿原は、ここまでの経緯とこれからの方針を告げる。濱中とは和解し、250億円を一括返済させ、アウセルの不具合を公表させる代わりに、意図的な情報漏えいは公にしないというものだ。天満のことは諦めるのか?と問う浅岡に、柿原はきっぱりと追究しないと答えるが…。  　その後、濱中は約束通りにアウセルの不具合に関する会見を行い、事は落着。柿原と加瀬はゆず子のアパートから出て行った。そして、ゆず子は柿原との代理人契約を終了させることになる。  　会う機会を逸したゆず子と柿原の関係は…?そして、海外のどこかで高笑いする天満との結末はいかに…?小雪　  伊藤淳史　  成田凌　  神山智洋(ジャニーズWEST)　  内田理央　  今井暖大　  野澤しおり  　・　  滝藤賢一　  奥田瑛二【脚本】  安達奈緒子　    【編成企画】  増本淳　  西原恵　    【プロデュース】  小林宙　    【演出】  土方政人　  小林義則　  三木茂　    【主題歌】  「Happiness」SOLIDEMO(avex　trax)　    【制作】  フジテレビ　    【制作著作】  共同テレビ</t>
  </si>
  <si>
    <t xml:space="preserve">  大貧乏　七草ゆず子(小雪)たちの奮闘むなしく、濱中電子工業の株は上場され、天満利章(奥田瑛二)の元に多額の利益が流れ込んだ。さらに、天満は国外へと姿をくらませてしまい、裁きを与えることは出来なくなる。  　柿原新一(伊藤淳史)の落胆は激しく、濱中を詐欺罪で刑事告訴すると息巻く。そうすれば、上場を取り下げられるだけでなく、濱中そのものを解体に追い込むことが出来ると言うのだ。いつもと様相の違う柿原を、ゆず子は冷静に諭す。自分たちの目的は濱中を潰すことではない、と。会社がなくなれば、多くの社員たちが路頭に迷うからだ。加瀬春木(成田凌)も、ゆず子に賛同するが、柿原は悔しさに顔をゆがめて何度も机を叩いて怒りを吐き出した。  　浅岡礼司(滝藤賢一)に面会した柿原は、ここまでの経緯とこれからの方針を告げる。濱中とは和解し、250億円を一括返済させ、アウセルの不具合を公表させる代わりに、意図的な情報漏えいは公にしないというものだ。天満のことは諦めるのか?と問う浅岡に、柿原はきっぱりと追究しないと答えるが…。  　その後、濱中は約束通りにアウセルの不具合に関する会見を行い、事は落着。柿原と加瀬はゆず子のアパートから出て行った。そして、ゆず子は柿原との代理人契約を終了させることになる。  　会う機会を逸したゆず子と柿原の関係は…?そして、海外のどこかで高笑いする天満との結末はいかに…?</t>
  </si>
  <si>
    <t>1610_CX_月21</t>
  </si>
  <si>
    <t>カインとアベル</t>
  </si>
  <si>
    <t>番組名カインとアベル【～僕とアニキの2つの三角関係～山田涼介主演】　#01</t>
  </si>
  <si>
    <t>【番組公式HP】　  http://www.fujitv.co.jp/CainandAbel/　  【公式Twitter】  「#カインとアベル」で検索よろしくお願いします!「高田総合地所株式会社」の創立50周年記念パーティーが行われている。しかし、その席に高田優(山田涼介)の姿がない。優は、社長の貴行(高嶋政伸)の次男。優の兄で、副社長の隆一(桐谷健太)が探しに行く。  優は貴行の会社で働いている。だが、できる兄の隆一と何かと比較され、他の社員たちからも冷ややかな目で見られる存在だ。  優自身もわかっている。だから、この日も、1人で飲もうとしていた。優がシャンパンの栓を開けると、ある女性にかかってしまう。慌てて謝る優。その女性と飲んでいると、優は社員に発見され会場に連れ戻された。  貴行のスピーチの間も、優は隆一と比較されてばかりいた幼少期を思っていた。貴行の期待は隆一に集中。会社の重要な案件に優が意見を求められることは一切ない。  優は担当している土地の買い上げを地主がやめようとしていることを知る。地主に会いに行くが、取り付く島もない。だが、地主が売ることにしたと連絡してくる。裏で兄の隆一が動いた様子だった。  そんな優がアウトレットモール開発のプロジェクトチームの一員に選ばれた。これも隆一の一声があったから。プロジェクトルームに行くと、パーティーの時に会った女性がいる。彼女は、矢作梓(倉科カナ)。優と同じく高田総合地所の社員だった。梓は、チームのメンバーとして消極的な優を励ます。優は慣れないながらも、大きなプロジェクトに取り組むことになってしまう。山田涼介　    桐谷健太　    倉科カナ　    木下ほうか　  日野陽仁　  山崎紘菜　  西村元貴　  戸塚純貴  　・　  高嶋政伸  　・　  大塚寧々　    南果歩　    平幹二朗　    他【脚本】  阿相クミコ　    【脚本協力】  金沢達也　    【プロデュース】  羽鳥健一　  西坂瑞城　  池田拓也　    【演出】  武内英樹　  葉山浩樹　  谷村政樹　    【音楽】  菅野祐悟　    【主題歌】  Hey!　Say!　JUMP　    【制作著作】  フジテレビ</t>
  </si>
  <si>
    <t>!「高田総合地所株式会社」の創立50周年記念パーティーが行われている。しかし、その席に高田優(山田涼介)の姿がない。優は、社長の貴行(高嶋政伸)の次男。優の兄で、副社長の隆一(桐谷健太)が探しに行く。  優は貴行の会社で働いている。だが、できる兄の隆一と何かと比較され、他の社員たちからも冷ややかな目で見られる存在だ。  優自身もわかっている。だから、この日も、1人で飲もうとしていた。優がシャンパンの栓を開けると、ある女性にかかってしまう。慌てて謝る優。その女性と飲んでいると、優は社員に発見され会場に連れ戻された。  貴行のスピーチの間も、優は隆一と比較されてばかりいた幼少期を思っていた。貴行の期待は隆一に集中。会社の重要な案件に優が意見を求められることは一切ない。  優は担当している土地の買い上げを地主がやめようとしていることを知る。地主に会いに行くが、取り付く島もない。だが、地主が売ることにしたと連絡してくる。裏で兄の隆一が動いた様子だった。  そんな優がアウトレットモール開発のプロジェクトチームの一員に選ばれた。これも隆一の一声があったから。プロジェクトルームに行くと、パーティーの時に会った女性がいる。彼女は、矢作梓(倉科カナ)。優と同じく高田総合地所の社員だった。梓は、チームのメンバーとして消極的な優を励ます。優は慣れないながらも、大きなプロジェクトに取り組むことになってしまう。</t>
  </si>
  <si>
    <t>番組名カインとアベル【三角関係に急展開!衝撃のラスト2分47秒を見逃すな】　#02</t>
  </si>
  <si>
    <t>【番組公式HP】　  http://www.fujitv.co.jp/CainandAbel/　  【公式Twitter】  「#カインとアベル」で検索よろしくお願いします!アウトレットモールのプロジェクトチームは、次の段階へ。高田優(山田涼介)は、矢作梓(倉科カナ)と設計の担当になった。設計を依頼するのは大御所建築家、神谷仁(竜雷太)。団衛(木下ほうか)によると、神谷はわがままでクセが強いため、優と梓は苦戦を強いられそう。  一方、隆一(桐谷健太)の表情はこわばっている。バンコクの事業で組む現地ゼネコンの経営不振が発覚。貴行(高嶋政伸)は事業から手を引くことも考えていいと言うのだが、隆一は乗り切れる見込みがあると、資金繰りを進めることに。  優と梓は、同じ会社の設計部でイメージ図を描いた長谷川守(小林隆)と神谷を訪問する。優があいさつをすると、神谷は意味あり気にうなずく。実は、神谷は優の祖父、宗一郎(平幹二朗)に孫の印象を教えてほしいと頼まれていたのだ。つまり、宗一郎と神谷は旧知の仲。それでも、神谷の厳しさは変わらない。長谷川のイメージ図をいちべつした神谷は、好きなように設計させてもらうと、3人を帰してしまう。  翌朝、優が隆一より早く出社する姿に貴行は驚く。そして、貴行は隆一に見合いをさせようとしている代議士の娘とゴルフに行くと告げる。貴行は梓のことをハッキリと言い出せずにいた。  数日後、優たちは再び神谷のもとへ。神谷の設計図は確かに立派だが、コストが膨大なものになってしまう。長谷川の提案で、一度チームに持ち帰るのだが、やはり受け入れられず…。山田涼介　    桐谷健太　    倉科カナ　    木下ほうか　  日野陽仁　  山崎紘菜　  西村元貴　  戸塚純貴  　・　  高嶋政伸  　・　  大塚寧々　    南果歩　    平幹二朗　    他【脚本】  阿相クミコ　    【音楽】  菅野祐悟　    【主題歌】  Hey!　Say!　JUMP「Give　Me　Love」(ジェイ・ストーム)　    【プロデュース】  羽鳥健一　  西坂瑞城　  池田拓也　    【演出】  葉山浩樹　    【制作著作】  フジテレビ</t>
  </si>
  <si>
    <t>!アウトレットモールのプロジェクトチームは、次の段階へ。高田優(山田涼介)は、矢作梓(倉科カナ)と設計の担当になった。設計を依頼するのは大御所建築家、神谷仁(竜雷太)。団衛(木下ほうか)によると、神谷はわがままでクセが強いため、優と梓は苦戦を強いられそう。  一方、隆一(桐谷健太)の表情はこわばっている。バンコクの事業で組む現地ゼネコンの経営不振が発覚。貴行(高嶋政伸)は事業から手を引くことも考えていいと言うのだが、隆一は乗り切れる見込みがあると、資金繰りを進めることに。  優と梓は、同じ会社の設計部でイメージ図を描いた長谷川守(小林隆)と神谷を訪問する。優があいさつをすると、神谷は意味あり気にうなずく。実は、神谷は優の祖父、宗一郎(平幹二朗)に孫の印象を教えてほしいと頼まれていたのだ。つまり、宗一郎と神谷は旧知の仲。それでも、神谷の厳しさは変わらない。長谷川のイメージ図をいちべつした神谷は、好きなように設計させてもらうと、3人を帰してしまう。  翌朝、優が隆一より早く出社する姿に貴行は驚く。そして、貴行は隆一に見合いをさせようとしている代議士の娘とゴルフに行くと告げる。貴行は梓のことをハッキリと言い出せずにいた。  数日後、優たちは再び神谷のもとへ。神谷の設計図は確かに立派だが、コストが膨大なものになってしまう。長谷川の提案で、一度チームに持ち帰るのだが、やはり受け入れられず…。</t>
  </si>
  <si>
    <t>番組名カインとアベル【緊急事態を乗り越えろ!ピンチは最大のチャンスなり!】　#03</t>
  </si>
  <si>
    <t>【番組公式HP】　  http://www.fujitv.co.jp/CainandAbel/　  【公式Twitter】  「#カインとアベル」で検索よろしくお願いします!高田優(山田涼介)は、兄の隆一(桐谷健太)と父の貴行(高嶋政伸)から食事に誘われた。そこには、矢作梓(倉科カナ)もいて、隆一の恋人で近々結婚すると知らされた。少なからず梓に好意を抱いていた優はショックを受けるが、表情には出さず明るく振る舞う。幼い頃のエピソードを持ち出し、隆一を褒めあげた。  優のプロジェクトチームは団衛(木下ほうか)からアウトレットモール建設のゼネコン選定に入ることを知らされる。バンコクの都市開発参入の危機を乗り越えた隆一は、役員たちから次期社長就任も早まるのではないかとうわさされていた。その夜、隆一と優がそろうと貴行が話を切り出す。貴行はバンコクの件がこのまま軌道に乗ることを条件に、来たる株主総会で隆一を社長に推薦すると告げた。嬉しさを隠せない隆一に、優も賛同する。  プロジェクトチームにアウトレット建設地の地元有力者・兵頭光一(イッセー尾形)が来た。応対した優、梓、団に兵頭は地元の建設会社を入札に加えてほしいと言う。しかし、すでに有力会社の選定を終えているため、優たちはやんわり断った。  その頃、隆一が進めるバンコクの事業に異変が…。うまく収めたはずの地元企業の債務が新たに発覚。その額は、莫大なものだった。  一方、優たちのチームには、環境団体の代表が建設計画を全面的に見直すよう求めて来る。  優と隆一、それぞれの仕事に新たな壁が立ちはだかった…。山田涼介　    桐谷健太　    倉科カナ　    木下ほうか　  日野陽仁　  山崎紘菜　  西村元貴　  戸塚純貴  　・　  高嶋政伸  　・　  大塚寧々　    南果歩　    平幹二朗　    他【脚本】  阿相クミコ　    【音楽】  菅野祐悟　    【主題歌】  Hey!　Say!　JUMP「Give　Me　Love」(ジェイ・ストーム)　    【プロデュース】  羽鳥健一　  西坂瑞城　  池田拓也　    【演出】  谷村政樹　    【制作著作】  フジテレビ</t>
  </si>
  <si>
    <t>!高田優(山田涼介)は、兄の隆一(桐谷健太)と父の貴行(高嶋政伸)から食事に誘われた。そこには、矢作梓(倉科カナ)もいて、隆一の恋人で近々結婚すると知らされた。少なからず梓に好意を抱いていた優はショックを受けるが、表情には出さず明るく振る舞う。幼い頃のエピソードを持ち出し、隆一を褒めあげた。  優のプロジェクトチームは団衛(木下ほうか)からアウトレットモール建設のゼネコン選定に入ることを知らされる。バンコクの都市開発参入の危機を乗り越えた隆一は、役員たちから次期社長就任も早まるのではないかとうわさされていた。その夜、隆一と優がそろうと貴行が話を切り出す。貴行はバンコクの件がこのまま軌道に乗ることを条件に、来たる株主総会で隆一を社長に推薦すると告げた。嬉しさを隠せない隆一に、優も賛同する。  プロジェクトチームにアウトレット建設地の地元有力者・兵頭光一(イッセー尾形)が来た。応対した優、梓、団に兵頭は地元の建設会社を入札に加えてほしいと言う。しかし、すでに有力会社の選定を終えているため、優たちはやんわり断った。  その頃、隆一が進めるバンコクの事業に異変が…。うまく収めたはずの地元企業の債務が新たに発覚。その額は、莫大なものだった。  一方、優たちのチームには、環境団体の代表が建設計画を全面的に見直すよう求めて来る。  優と隆一、それぞれの仕事に新たな壁が立ちはだかった…。</t>
  </si>
  <si>
    <t>番組名カインとアベル【奇跡の大逆転!運命を変えたひらめきと怒涛のラスト!】　#04</t>
  </si>
  <si>
    <t>【番組公式HP】  http://www.fujitv.co.jp/CainandAbel/　  【公式Twitter】  「#カインとアベル」で検索よろしくお願いします!高田優(山田涼介)は、兄・隆一(桐谷健太)が出社していないことをプロジェクトルームで団衛(木下ほうか)から知らされる。隆一の携帯にすぐ電話をかける優だが、留守電に。優が矢作梓(倉科カナ)に昨夜の様子を聞いた。すると梓は、隆一は戻ってこないかもと言う。梓によると、隆一はかなり酒を飲んで部屋に来たのだが、何も話さずに帰ってしまったのだそう。様子のおかしい隆一には、優も心当たりがあった。隆一は幼い頃に父の貴行(高嶋政伸)からもらった大事な万年筆を優に譲っていたのだ。  その頃、社長室では貴行が隆一の行方が知れぬことを隠して役員会を乗り切っていた。役員会が終わると、会長の宗一郎(寺尾聰)が来た。隆一の欠席を心配する宗一郎だが、貴行は問題ないと答える。だが、宗一郎は隆一のように完璧に見える人間の方が脆いのではないかと貴行に問う。それでも、貴行は隆一を信頼しきった様子だった。  家に帰った優は、隆一の部屋で行方の手がかりを探すのだが、何も見つからず。しかし、隆一から譲られた万年筆を見つめていた優は、あることに思い当たる。  翌日、優は梓に隆一の居所に心当たりがあることを伝えた。すると、梓は一緒に連れて行ってほしいと言う。2人はその夜、高田家の別荘へ。  一方、高田家では桃子(南果歩)がフィアンセに会ってほしいと貴行に頼んでいた。桃子の結婚に反対する貴行はかたくなに断るが…。山田涼介　    桐谷健太　    倉科カナ　    木下ほうか　  日野陽仁　  山崎紘菜　  西村元貴　  戸塚純貴  　・　  高嶋政伸  　・　  竹中直人　    大塚寧々　    南果歩　    寺尾聰　    他【脚本】  阿相クミコ　    【音楽】  菅野祐悟　    【主題歌】  Hey!　Say!　JUMP「Give　Me　Love」(ジェイ・ストーム)　    【プロデュース】  羽鳥健一　  西坂瑞城　  池田拓也　    【演出】  武内英樹　    【制作著作】  フジテレビ</t>
  </si>
  <si>
    <t>!高田優(山田涼介)は、兄・隆一(桐谷健太)が出社していないことをプロジェクトルームで団衛(木下ほうか)から知らされる。隆一の携帯にすぐ電話をかける優だが、留守電に。優が矢作梓(倉科カナ)に昨夜の様子を聞いた。すると梓は、隆一は戻ってこないかもと言う。梓によると、隆一はかなり酒を飲んで部屋に来たのだが、何も話さずに帰ってしまったのだそう。様子のおかしい隆一には、優も心当たりがあった。隆一は幼い頃に父の貴行(高嶋政伸)からもらった大事な万年筆を優に譲っていたのだ。  その頃、社長室では貴行が隆一の行方が知れぬことを隠して役員会を乗り切っていた。役員会が終わると、会長の宗一郎(寺尾聰)が来た。隆一の欠席を心配する宗一郎だが、貴行は問題ないと答える。だが、宗一郎は隆一のように完璧に見える人間の方が脆いのではないかと貴行に問う。それでも、貴行は隆一を信頼しきった様子だった。  家に帰った優は、隆一の部屋で行方の手がかりを探すのだが、何も見つからず。しかし、隆一から譲られた万年筆を見つめていた優は、あることに思い当たる。  翌日、優は梓に隆一の居所に心当たりがあることを伝えた。すると、梓は一緒に連れて行ってほしいと言う。2人はその夜、高田家の別荘へ。  一方、高田家では桃子(南果歩)がフィアンセに会ってほしいと貴行に頼んでいた。桃子の結婚に反対する貴行はかたくなに断るが…。</t>
  </si>
  <si>
    <t>番組名カインとアベル【山田涼介主演!絡み合った運命の糸、あっ!と驚く展開】　#05</t>
  </si>
  <si>
    <t>【番組公式HP】  http://www.fujitv.co.jp/CainandAbel/　  【公式Twitter】  「#カインとアベル」で検索よろしくお願いします!高田優(山田涼介)は、隆一(桐谷健太)に殴られる。隆一が手掛けるバンコクのプロジェクトに対する黒沢幸助(竹中直人)からの出資は、優が頼んだからだと矢作梓(倉科カナ)に聞いたからだ。隆一には、優が黒沢に出資を頼んだ意味がわからなかった。  貴行(高嶋政伸)も隆一のプロジェクトを助けたのが黒沢だと知る。桃子(南果歩)からフィアンセだと紹介された時、貴行は金目当てかと疑っただけに、苦虫をかみつぶす思いだ。それでも隆一の判断は正しかったと貴行は、宗一郎(寺尾聰)に報告。隆一も優の介在を貴行には話さなかった。  優は梓から、黒沢の出資の件を隆一に話したことを知らされる。それが原因で隆一が優を殴ったのだろうと謝る梓。しかし優は意に介していない様子。だが、梓は優の行動を誰かに知ってほしかったのだと訴える。  そんな時、貴行のもとを桃子が訪ねて来た。黒沢の出資には納得できないが、隆一の判断は正しかったと言う貴行は、桃子にも礼を言う。すると、桃子の口から貴行にとって驚くべき言葉が飛び出る。黒沢に認められ、出資を取り付けたのは隆一ではなく優だと…。  帰宅した優は貴行に出資の件を尋ねられる。余計なことをしたと謝る優。なぜ怪しげな黒沢に頼んだのかと続ける貴行に、優はリスクを背負ってでもやらなければいけない時だと思ったと答えた。  翌日、貴行に呼び出されて優は社長室へ。貴行は会食に同行するよう優に求め…。山田涼介　    桐谷健太　    倉科カナ　    木下ほうか　  日野陽仁　  山崎紘菜　  西村元貴　  戸塚純貴  　・　  高嶋政伸  　・　  竹中直人　    大塚寧々　    南果歩　    寺尾聰　    他【脚本】  山崎宇子　    【音楽】  菅野祐悟　    【主題歌】  Hey!　Say!　JUMP「Give　Me　Love」(ジェイ・ストーム)　    【プロデュース】  羽鳥健一　  西坂瑞城　  池田拓也　    【演出】  洞功二　    【制作著作】  フジテレビ</t>
  </si>
  <si>
    <t>!高田優(山田涼介)は、隆一(桐谷健太)に殴られる。隆一が手掛けるバンコクのプロジェクトに対する黒沢幸助(竹中直人)からの出資は、優が頼んだからだと矢作梓(倉科カナ)に聞いたからだ。隆一には、優が黒沢に出資を頼んだ意味がわからなかった。  貴行(高嶋政伸)も隆一のプロジェクトを助けたのが黒沢だと知る。桃子(南果歩)からフィアンセだと紹介された時、貴行は金目当てかと疑っただけに、苦虫をかみつぶす思いだ。それでも隆一の判断は正しかったと貴行は、宗一郎(寺尾聰)に報告。隆一も優の介在を貴行には話さなかった。  優は梓から、黒沢の出資の件を隆一に話したことを知らされる。それが原因で隆一が優を殴ったのだろうと謝る梓。しかし優は意に介していない様子。だが、梓は優の行動を誰かに知ってほしかったのだと訴える。  そんな時、貴行のもとを桃子が訪ねて来た。黒沢の出資には納得できないが、隆一の判断は正しかったと言う貴行は、桃子にも礼を言う。すると、桃子の口から貴行にとって驚くべき言葉が飛び出る。黒沢に認められ、出資を取り付けたのは隆一ではなく優だと…。  帰宅した優は貴行に出資の件を尋ねられる。余計なことをしたと謝る優。なぜ怪しげな黒沢に頼んだのかと続ける貴行に、優はリスクを背負ってでもやらなければいけない時だと思ったと答えた。  翌日、貴行に呼び出されて優は社長室へ。貴行は会食に同行するよう優に求め…。</t>
  </si>
  <si>
    <t>番組名カインとアベル【山田涼介主演!止められない恋心、キュンとする展開に】　#06</t>
  </si>
  <si>
    <t>休日出勤していた優(山田涼介)は、矢作梓(倉科カナ)に後ろから優しく抱きしめられた。しばらくこのままでいてほしいと頼む梓に、どう接していいのか分からない優。時間がたつと、梓は優から離れ、いつもの明るさに戻って残業する優を励まして帰った。  優が家に帰ると隆一(桐谷健太)がいた。そして、ケンカをして以来、2人きりでの初めての会話は以前と同じ。隆一は、梓との結婚準備が進んでいることに充実していると話し、優にも結婚を勧める。部屋に戻った優は、梓のことを考えた。その頃、梓は自宅マンションでぼんやりと過ごしていた。  翌朝も、隆一は貴行(高嶋政伸)と結婚式の話をしている。隆一を見習えと貴行に言われてしまう優。しかし、貴行は新たなプロジェクトのプレゼンの話をしたいと優に会社への同行を求めた。  会社着後、貴行と別れた優は、梓に会う。昨夜のことなどなかったかのように、いつもと変わらない様子で挨拶する梓のことが優はますます分からない。  優が手掛けるプロジェクトの最終プレゼンは2週間後に迫っていた。梓をはじめ、メンバーにコンセプトを告げる。仕事を手分けして準備しようと話す優に、メンバーたちは快く応じる。団衛(木下ほうか)は、そんな優の仕事ぶりを隆一に報告していた。  仕事を始めようとした優に、黒沢幸助(竹中直人)から電話が。黒沢と会った優は、隆一のバンコクでのプロジェクトについて意外なことを言われる…。山田涼介　    桐谷健太　    倉科カナ　    木下ほうか　  日野陽仁　  山崎紘菜　  西村元貴　  戸塚純貴  　・　  高嶋政伸  　・　  竹中直人　    大塚寧々　    南果歩　    寺尾聰　    他【脚本】  阿相クミコ　    【音楽】  菅野祐悟　    【主題歌】  Hey!　Say!　JUMP「Give　Me　Love」(ジェイ・ストーム)　    【プロデュース】  羽鳥健一　  西坂瑞城　  池田拓也　    【演出】  葉山浩樹　    【制作著作】  フジテレビ</t>
  </si>
  <si>
    <t>休日出勤していた優(山田涼介)は、矢作梓(倉科カナ)に後ろから優しく抱きしめられた。しばらくこのままでいてほしいと頼む梓に、どう接していいのか分からない優。時間がたつと、梓は優から離れ、いつもの明るさに戻って残業する優を励まして帰った。  優が家に帰ると隆一(桐谷健太)がいた。そして、ケンカをして以来、2人きりでの初めての会話は以前と同じ。隆一は、梓との結婚準備が進んでいることに充実していると話し、優にも結婚を勧める。部屋に戻った優は、梓のことを考えた。その頃、梓は自宅マンションでぼんやりと過ごしていた。  翌朝も、隆一は貴行(高嶋政伸)と結婚式の話をしている。隆一を見習えと貴行に言われてしまう優。しかし、貴行は新たなプロジェクトのプレゼンの話をしたいと優に会社への同行を求めた。  会社着後、貴行と別れた優は、梓に会う。昨夜のことなどなかったかのように、いつもと変わらない様子で挨拶する梓のことが優はますます分からない。  優が手掛けるプロジェクトの最終プレゼンは2週間後に迫っていた。梓をはじめ、メンバーにコンセプトを告げる。仕事を手分けして準備しようと話す優に、メンバーたちは快く応じる。団衛(木下ほうか)は、そんな優の仕事ぶりを隆一に報告していた。  仕事を始めようとした優に、黒沢幸助(竹中直人)から電話が。黒沢と会った優は、隆一のバンコクでのプロジェクトについて意外なことを言われる…。</t>
  </si>
  <si>
    <t>番組名カインとアベル【山田涼介主演!衝撃のラスト!迫りくる決別のとき…!】　#07</t>
  </si>
  <si>
    <t>【番組公式HP】  http://www.fujitv.co.jp/CainandAbel/　  【公式Twitter】  「#カインとアベル」で検索よろしくお願いします!高田優(山田涼介)は、矢作梓(倉科カナ)への禁断の愛に揺れる。梓も結婚を控えた隆一(桐谷健太)と優への想いのてんびんが均衡を失おうとしていた。  そんな中、優と梓はドレイモンドとのリゾートホテル共同開発の事業計画の最終プレゼンの日を迎える。ドレイモンドからは、CEOのスティーブン・ホールも出席。スティーブンは厳しい経営者として知られていて、彼を共同経営に参画させることは高田総合地所の将来に関わる案件だ。  優は、ここまで築き上げて来たプロジェクトチームのメンバーの思いも背負ってプレゼンを始める。梓は優のフォローを完璧にこなしていくのだが、スティーブンの表情は和らぐことはない。その夜の夕食会で、優はちょっとしたミスをするのだが、それも梓のおかげで事なきを得た。  その頃、隆一は貴行(高嶋政伸)に自分が優のフォローに行くと話す。しかし、貴行はすべてを優に任せるとキッパリ。さらに優が成功したら高田総合地所の英雄になると言う貴行に、隆一は言葉を失った。  翌日、優たちはスティーブンをホテル建設の候補地へと案内する。手つかずの野原には、優が手配したテーブルやソファなどが置いてあった。コンセプトを肌で感じてもらおうとする優に、スティーブンの固い表情もほどけていく。  プレゼンは支払報酬の割合を決める段階に入った。優はドレイモンドへの報酬の妥協点を20%と貴行たちに厳命されているが…。山田涼介　    桐谷健太　    倉科カナ　    木下ほうか　  日野陽仁　  山崎紘菜　  西村元貴　  戸塚純貴  　・　  高嶋政伸  　・　  竹中直人　    大塚寧々　    南果歩　    寺尾聰　    他【脚本】  阿相クミコ　    【音楽】  菅野祐悟　    【主題歌】  Hey!　Say!　JUMP「Give　Me　Love」(ジェイ・ストーム)　    【プロデュース】  羽鳥健一　  西坂瑞城　  池田拓也　    【演出】  谷村政樹　    【制作著作】  フジテレビ</t>
  </si>
  <si>
    <t>!高田優(山田涼介)は、矢作梓(倉科カナ)への禁断の愛に揺れる。梓も結婚を控えた隆一(桐谷健太)と優への想いのてんびんが均衡を失おうとしていた。  そんな中、優と梓はドレイモンドとのリゾートホテル共同開発の事業計画の最終プレゼンの日を迎える。ドレイモンドからは、CEOのスティーブン・ホールも出席。スティーブンは厳しい経営者として知られていて、彼を共同経営に参画させることは高田総合地所の将来に関わる案件だ。  優は、ここまで築き上げて来たプロジェクトチームのメンバーの思いも背負ってプレゼンを始める。梓は優のフォローを完璧にこなしていくのだが、スティーブンの表情は和らぐことはない。その夜の夕食会で、優はちょっとしたミスをするのだが、それも梓のおかげで事なきを得た。  その頃、隆一は貴行(高嶋政伸)に自分が優のフォローに行くと話す。しかし、貴行はすべてを優に任せるとキッパリ。さらに優が成功したら高田総合地所の英雄になると言う貴行に、隆一は言葉を失った。  翌日、優たちはスティーブンをホテル建設の候補地へと案内する。手つかずの野原には、優が手配したテーブルやソファなどが置いてあった。コンセプトを肌で感じてもらおうとする優に、スティーブンの固い表情もほどけていく。  プレゼンは支払報酬の割合を決める段階に入った。優はドレイモンドへの報酬の妥協点を20%と貴行たちに厳命されているが…。</t>
  </si>
  <si>
    <t>番組名カインとアベル【山田涼介主演!英雄となった弟と堕ちゆく兄の運命は?】　#08</t>
  </si>
  <si>
    <t>【番組公式HP】  http://www.fujitv.co.jp/CainandAbel/　  【公式Twitter】  「#カインとアベル」で検索よろしくお願いします!高田総合地所の取締役に就任した高田優(山田涼介)は、ますます仕事への意欲が増していく。一方、一時は仕事と家庭のどちらを選ぶかで悩んだ矢作梓(倉科カナ)は、隆一(桐谷健太)との結婚=家庭を選ぶことを決意。上司の団衛(木下ほうか)に退社を申し出た。  貴行(高嶋政伸)と優の接近が面白くない隆一は黒沢幸助(竹中直人)から食事に誘われる。黒沢は優の台頭に焦りを感じているのではないかと、隆一の痛いところをストレートに突く。否定できない隆一。しかし、黒沢は、優は危うさも併せ持っている気がするとも告げた。  隆一が家に帰ると梓がいた。披露宴の進捗が気になる貴行が呼び出したのだ。そこに優も帰宅。貴行から、梓が結婚を機に退社すると聞き、優の様子が一変する。正直な気持ちではないと梓に迫る優。だが、自分から望んだことだと梓に冷静にたしなめられてしまう。  翌日、梓の決断にいら立つ優は仕事で紛らわせようとするが、社員としては先輩の安藤充(西村元貴)を怒鳴りつけてしまう。休憩室で自己嫌悪になる優を慰めたのは、柴田ひかり(山崎紘菜)だった。  その頃、高田総合地所には地方空港の開発プロジェクトの件が持ち上がっていた。参入を勧める優に対して、隆一は慎重な態度を崩さない。だが、優と貴行は仕事上での親密度を増していき、隆一は2人の会話や考えが気になって仕方がなくなってくる。そして、隆一の焦燥は取り返しのつかない方向へと…。山田涼介　    桐谷健太　    倉科カナ　    木下ほうか　  日野陽仁　  山崎紘菜　  西村元貴　  戸塚純貴  　・　  今井朋彦  　・　  高嶋政伸  　・　  竹中直人　    大塚寧々　    南果歩　    寺尾聰　    他【脚本】  山崎宇子　    【音楽】  菅野祐悟　    【主題歌】  Hey!　Say!　JUMP「Give　Me　Love」(ジェイ・ストーム)　    【プロデュース】  羽鳥健一　  西坂瑞城　  池田拓也　    【演出】  武内英樹　    【制作著作】  フジテレビ</t>
  </si>
  <si>
    <t>!高田総合地所の取締役に就任した高田優(山田涼介)は、ますます仕事への意欲が増していく。一方、一時は仕事と家庭のどちらを選ぶかで悩んだ矢作梓(倉科カナ)は、隆一(桐谷健太)との結婚=家庭を選ぶことを決意。上司の団衛(木下ほうか)に退社を申し出た。  貴行(高嶋政伸)と優の接近が面白くない隆一は黒沢幸助(竹中直人)から食事に誘われる。黒沢は優の台頭に焦りを感じているのではないかと、隆一の痛いところをストレートに突く。否定できない隆一。しかし、黒沢は、優は危うさも併せ持っている気がするとも告げた。  隆一が家に帰ると梓がいた。披露宴の進捗が気になる貴行が呼び出したのだ。そこに優も帰宅。貴行から、梓が結婚を機に退社すると聞き、優の様子が一変する。正直な気持ちではないと梓に迫る優。だが、自分から望んだことだと梓に冷静にたしなめられてしまう。  翌日、梓の決断にいら立つ優は仕事で紛らわせようとするが、社員としては先輩の安藤充(西村元貴)を怒鳴りつけてしまう。休憩室で自己嫌悪になる優を慰めたのは、柴田ひかり(山崎紘菜)だった。  その頃、高田総合地所には地方空港の開発プロジェクトの件が持ち上がっていた。参入を勧める優に対して、隆一は慎重な態度を崩さない。だが、優と貴行は仕事上での親密度を増していき、隆一は2人の会話や考えが気になって仕方がなくなってくる。そして、隆一の焦燥は取り返しのつかない方向へと…。</t>
  </si>
  <si>
    <t>番組名カインとアベル【山田涼介主演!裏切りの瞬間、ついに姿を現わす黒幕!】　#09</t>
  </si>
  <si>
    <t>【番組公式HP】  http://www.fujitv.co.jp/CainandAbel/　  【公式Twitter】  「#カインとアベル」で検索よろしくお願いします!高田総合地所の役員となった高田優(山田涼介)は兄でもある副社長・隆一(桐谷健太)の不正を暴いて会社から放逐。優の情熱は、ますます仕事へと傾斜していく。  優には、仕事の他にもう1つ手に入れたいものがあった。それは、仕事を通じた信頼感から芽生えた隆一のフィアンセ・矢作梓(倉科カナ)への禁断の思い。役員室に梓を呼び出した優は、隆一との結婚式が中止になったことを理由に仕事を続けてほしいと頼む。しかし、梓はかたくなに退職すると告げる。  仕事も、そして梓をも失ったことにショックを受ける隆一は、別荘に身を隠していた。そこに、梓が訪ねて来るのだが…。  一方、隆一が会社から抜けた穴は大きかった。抱えていたプロジェクトが多岐に渡っていたからだ。貴行(高嶋政伸)は頭を悩ませながらこれを役員たちに分配する。もちろん優にも仕事が割り振られたのだが、貴行が手元に残した古いファイルが気になる。貴行は、会長の宗一郎(寺尾聰)が社長の時代から検討されていた巨大プロジェクトだが、リスクが大きすぎると封印され続けた案件だと話す。もちろん、隆一も検討はしたが断念していた。興味を示す優に、貴行は社長命令として、このプロジェクトに手を出すことを禁じる。  仕事における禁断の果実。隆一すら成し得なかったというプロジェクトにひきつけられた優は、黒沢幸助(竹中直人)に、ある事を頼むのだが…。山田涼介　    桐谷健太　    倉科カナ　    木下ほうか　  日野陽仁　  山崎紘菜　  西村元貴　  戸塚純貴  　・　  高嶋政伸  　・　  竹中直人　    大塚寧々　    南果歩　    寺尾聰　    他【脚本】  阿相クミコ　    【音楽】  菅野祐悟　    【主題歌】  Hey!　Say!　JUMP「Give　Me　Love」(ジェイ・ストーム)　    【プロデュース】  羽鳥健一　  西坂瑞城　  池田拓也　    【演出】  洞功二　    【制作著作】  フジテレビ</t>
  </si>
  <si>
    <t>!高田総合地所の役員となった高田優(山田涼介)は兄でもある副社長・隆一(桐谷健太)の不正を暴いて会社から放逐。優の情熱は、ますます仕事へと傾斜していく。  優には、仕事の他にもう1つ手に入れたいものがあった。それは、仕事を通じた信頼感から芽生えた隆一のフィアンセ・矢作梓(倉科カナ)への禁断の思い。役員室に梓を呼び出した優は、隆一との結婚式が中止になったことを理由に仕事を続けてほしいと頼む。しかし、梓はかたくなに退職すると告げる。  仕事も、そして梓をも失ったことにショックを受ける隆一は、別荘に身を隠していた。そこに、梓が訪ねて来るのだが…。  一方、隆一が会社から抜けた穴は大きかった。抱えていたプロジェクトが多岐に渡っていたからだ。貴行(高嶋政伸)は頭を悩ませながらこれを役員たちに分配する。もちろん優にも仕事が割り振られたのだが、貴行が手元に残した古いファイルが気になる。貴行は、会長の宗一郎(寺尾聰)が社長の時代から検討されていた巨大プロジェクトだが、リスクが大きすぎると封印され続けた案件だと話す。もちろん、隆一も検討はしたが断念していた。興味を示す優に、貴行は社長命令として、このプロジェクトに手を出すことを禁じる。  仕事における禁断の果実。隆一すら成し得なかったというプロジェクトにひきつけられた優は、黒沢幸助(竹中直人)に、ある事を頼むのだが…。</t>
  </si>
  <si>
    <t>番組名カインとアベル【山田涼介主演!激動の最終回!お前だけは許さない!】　#10</t>
  </si>
  <si>
    <t>【番組公式HP】  http://www.fujitv.co.jp/CainandAbel/　  【公式Twitter】  「#カインとアベル」で検索よろしくお願いします!高田優(山田涼介)は、贈賄容疑で拘置所に収監されることに。隆一(桐谷健太)が面会に行くも優は応じず、食事にも手をつけようとしない。柴田ひかり(山崎紘菜)が面会に行くと、そこにはやつれた姿の優が。心配するひかりに優はあることを告げる。  隆一は、久しぶりに貴行(高嶋政伸)のもとへ優について相談に行く。貴行は、まだ優に会いに行っていない。マスコミに騒ぎ立てられることを懸念する貴行の真意が隆一には分からない。加えて、貴行は今回の一件の責任のすべてを優に背負わせると告げる。貴行の冷たい姿勢が、やはり隆一には理解できない。しかしそれは高田総合地所を守るため。貴行の苦渋の決断だった。父親としては優の身代わりになってやりたいと本音を漏らす。そんな中、高田総合地所の株価は、今回の不祥事でじわじわと下落し始めていた。ある程度の下落は予想できるが、下げ止まる気配すら見せようとしない。果たして、会社はどうなってしまうのか?拘留された優、そして隆一、貴行たちは、この最大の危機を乗り越えることができるのか!?山田涼介　    桐谷健太　    倉科カナ　    木下ほうか　  日野陽仁　  山崎紘菜　  西村元貴　  戸塚純貴　    今井朋彦　    鶴田忍  　・　  高嶋政伸  　・　  竹中直人　    大塚寧々　    南果歩　    寺尾聰　    他【脚本】  阿相クミコ　    【音楽】  菅野祐悟　    【主題歌】  Hey!　Say!　JUMP「Give　Me　Love」(ジェイ・ストーム)　    【プロデュース】  羽鳥健一　  西坂瑞城　  池田拓也　    【演出】  武内英樹　    【制作著作】  フジテレビ</t>
  </si>
  <si>
    <t>!高田優(山田涼介)は、贈賄容疑で拘置所に収監されることに。隆一(桐谷健太)が面会に行くも優は応じず、食事にも手をつけようとしない。柴田ひかり(山崎紘菜)が面会に行くと、そこにはやつれた姿の優が。心配するひかりに優はあることを告げる。  隆一は、久しぶりに貴行(高嶋政伸)のもとへ優について相談に行く。貴行は、まだ優に会いに行っていない。マスコミに騒ぎ立てられることを懸念する貴行の真意が隆一には分からない。加えて、貴行は今回の一件の責任のすべてを優に背負わせると告げる。貴行の冷たい姿勢が、やはり隆一には理解できない。しかしそれは高田総合地所を守るため。貴行の苦渋の決断だった。父親としては優の身代わりになってやりたいと本音を漏らす。そんな中、高田総合地所の株価は、今回の不祥事でじわじわと下落し始めていた。ある程度の下落は予想できるが、下げ止まる気配すら見せようとしない。果たして、会社はどうなってしまうのか?拘留された優、そして隆一、貴行たちは、この最大の危機を乗り越えることができるのか!?</t>
  </si>
  <si>
    <t>1610_CX_火21</t>
  </si>
  <si>
    <t>レディ・ダ・ヴィンチの診断</t>
  </si>
  <si>
    <t>番組名レディ・ダ・ヴィンチの診断【手術をしない天才外科医!謎の病を推理】　#01</t>
  </si>
  <si>
    <t>ゴッドハンドの呼び声高い脳神経外科医の橘志帆(吉田羊)は、ある日、手術中に幻覚を見たことから医師を辞めようと決意するが、恩師の北畠昌幸(高橋克典)から、オペをしないことを条件に、解析診断部の診断医として自分が院長を務める東光大学病院に来ないかと言われ、その誘いを受けることに。しかし、病院では院長の座を狙う解析診断部のチーフで内科医の岩倉葉子(伊藤蘭)らが、北畠を更迭させようと目論んでいた。勤務初日、通勤途中の志帆は腹痛を訴え吐血した保育園児の増山宏太(五十嵐陽向)に遭遇。東光大学病院に搬送すると、胃の中に釘が入っていることが判明する。志帆は、その場にいた研修医の田丸綾香(吉岡里帆)や救命救急医の里見藍(白鳥久美子)、外科医の新田雪野(相武紗季)らにテキパキと指示を出すが、志帆の配属を聞かされていなかった岩倉は北畠への怒りを露わに。処置が終わり、病理医の植松結衣(滝沢沙織)と神経内科医の村上夏海(笛木優子)が事情を聞きに行くが、宏太は何も答えない。一方、志帆は手術で宏太の胃の中から出てきたある物について、詳細を調べるよう綾香に指示。その結果、宏太の病名が明らかになるが、しばらくすると再び容態が悪化。しかも今度はなぜか、母親の美希(堀内敬子)も同じ症状を発症して…。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</si>
  <si>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ゴッドハンドの呼び声高い脳神経外科医の橘志帆(吉田羊)は、ある日、手術中に幻覚を見たことから医師を辞めようと決意するが、恩師の北畠昌幸(高橋克典)から、オペをしないことを条件に、解析診断部の診断医として自分が院長を務める東光大学病院に来ないかと言われ、その誘いを受けることに。しかし、病院では院長の座を狙う解析診断部のチーフで内科医の岩倉葉子(伊藤蘭)らが、北畠を更迭させようと目論んでいた。勤務初日、通勤途中の志帆は腹痛を訴え吐血した保育園児の増山宏太(五十嵐陽向)に遭遇。東光大学病院に搬送すると、胃の中に釘が入っていることが判明する。志帆は、その場にいた研修医の田丸綾香(吉岡里帆)や救命救急医の里見藍(白鳥久美子)、外科医の新田雪野(相武紗季)らにテキパキと指示を出すが、志帆の配属を聞かされていなかった岩倉は北畠への怒りを露わに。処置が終わり、病理医の植松結衣(滝沢沙織)と神経内科医の村上夏海(笛木優子)が事情を聞きに行くが、宏太は何も答えない。一方、志帆は手術で宏太の胃の中から出てきたある物について、詳細を調べるよう綾香に指示。その結果、宏太の病名が明らかになるが、しばらくすると再び容態が悪化。しかも今度はなぜか、母親の美希(堀内敬子)も同じ症状を発症して…。</t>
  </si>
  <si>
    <t>番組名レディ・ダ・ヴィンチの診断【母想い水泳選手が謎の病!】　#02</t>
  </si>
  <si>
    <t>世界大会でメダルを期待される注目の水泳選手・南野和己(浅香航大)が、東光大学病院に極秘で検査入院することに。全身の倦怠(けんたい)感と筋力低下に悩んでいた南野は、とある病院でALS(筋萎縮性側索硬化症)と診断されたのだが、ALSは進行を遅らせることはできるものの、根本的な治療法がないとされる病。メダルどころか、いずれ命を落とす危険性もあることから、南野はセカンドオピニオンを求めてやって来たのだ。志帆(吉田羊)は、葉子(伊藤蘭)からくれぐれも口を出さないようくぎを刺されるが、大量に水を飲む南野の様子が気にかかり、早速、綾香(吉岡里帆)と練習施設のプールで聞き込みを開始。雪野(相武紗季)らとALS以外の病気の可能性を探るが、検査の結果は南野がALSであることを裏付けるものばかりだった。そんななか、南野の入院がマスコミにかぎつけられ、一部で重病説も飛び交う事態に発展し…。  南野のコーチから入手したタイム表の数字が気になっていた志帆は、綾香を使って南野の練習を再現してみることに。さらに、南野が以前に自転車で転んで頭を強打していたことを知り、病はその時の外傷が原因ではないかと考える。それならば外科手術で治療ができるかもしれないと、いちるの望みを抱いたその矢先、今度は突然、南野が全身の痛みを訴えて…。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</si>
  <si>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世界大会でメダルを期待される注目の水泳選手・南野和己(浅香航大)が、東光大学病院に極秘で検査入院することに。全身の倦怠(けんたい)感と筋力低下に悩んでいた南野は、とある病院でALS(筋萎縮性側索硬化症)と診断されたのだが、ALSは進行を遅らせることはできるものの、根本的な治療法がないとされる病。メダルどころか、いずれ命を落とす危険性もあることから、南野はセカンドオピニオンを求めてやって来たのだ。志帆(吉田羊)は、葉子(伊藤蘭)からくれぐれも口を出さないようくぎを刺されるが、大量に水を飲む南野の様子が気にかかり、早速、綾香(吉岡里帆)と練習施設のプールで聞き込みを開始。雪野(相武紗季)らとALS以外の病気の可能性を探るが、検査の結果は南野がALSであることを裏付けるものばかりだった。そんななか、南野の入院がマスコミにかぎつけられ、一部で重病説も飛び交う事態に発展し…。  南野のコーチから入手したタイム表の数字が気になっていた志帆は、綾香を使って南野の練習を再現してみることに。さらに、南野が以前に自転車で転んで頭を強打していたことを知り、病はその時の外傷が原因ではないかと考える。それならば外科手術で治療ができるかもしれないと、いちるの望みを抱いたその矢先、今度は突然、南野が全身の痛みを訴えて…。</t>
  </si>
  <si>
    <t>番組名レディ・ダ・ヴィンチの診断【ハロウィーン集団発症事件簿】　#03</t>
  </si>
  <si>
    <t>ハロウィーンの夜、仮装した女子高生の集団がカラオケ店を出た直後に次々と倒れ、志帆(吉田羊)が務める東光大学病院に救急で運ばれてくる。けいれんや嘔吐(おうと)などの症状から食中毒と判断されるが、運ばれてきた6人のうち、なぜか岡野朋美(唐田えりか)だけは全く症状が出ていない。一方、長瀬理恵(久保田紗友)は処置中に突然体にじんましんが出て、呼吸困難に陥ってしまう。幸い、雪野(相武紗季)の適切な処置で大事には至らなかったが、6人全員が別の疾患を抱えている可能性も浮上し、解析診断部のメンバーは食中毒以外の感染症や薬物中毒も視野に入れて診断を始める。    翌日、唯一何の症状も出なかった朋美に話を聞きに行った志帆は、「みんなを助けて下さい」と懇願する朋美の様子にどこか違和感を覚えていた。一方で、理恵以外の4人は今回の騒動が朋美の仕業だと疑い始めて……。    事態が進展しないことから、志帆は搬送直後に呼吸困難を起こした理恵に、チャレンジテストを行うことを提案する。呼吸困難の原因がアナフィラキシーショックではないかと考えたのだ。カラオケ店で食べたものをもう一度食べさせ、アレルギー反応を確かめれば、すべての謎が解けるかもしれない。しかし、あまりにリスクが高いことから葉子(伊藤蘭)と佐々木(戸次重幸)は猛反対。結局、北畠(高橋克典)が機転をきかせ、志帆たちは何とかチャレンジテストに踏み切るがーー!?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</si>
  <si>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ハロウィーンの夜、仮装した女子高生の集団がカラオケ店を出た直後に次々と倒れ、志帆(吉田羊)が務める東光大学病院に救急で運ばれてくる。けいれんや嘔吐(おうと)などの症状から食中毒と判断されるが、運ばれてきた6人のうち、なぜか岡野朋美(唐田えりか)だけは全く症状が出ていない。一方、長瀬理恵(久保田紗友)は処置中に突然体にじんましんが出て、呼吸困難に陥ってしまう。幸い、雪野(相武紗季)の適切な処置で大事には至らなかったが、6人全員が別の疾患を抱えている可能性も浮上し、解析診断部のメンバーは食中毒以外の感染症や薬物中毒も視野に入れて診断を始める。    翌日、唯一何の症状も出なかった朋美に話を聞きに行った志帆は、「みんなを助けて下さい」と懇願する朋美の様子にどこか違和感を覚えていた。一方で、理恵以外の4人は今回の騒動が朋美の仕業だと疑い始めて……。    事態が進展しないことから、志帆は搬送直後に呼吸困難を起こした理恵に、チャレンジテストを行うことを提案する。呼吸困難の原因がアナフィラキシーショックではないかと考えたのだ。カラオケ店で食べたものをもう一度食べさせ、アレルギー反応を確かめれば、すべての謎が解けるかもしれない。しかし、あまりにリスクが高いことから葉子(伊藤蘭)と佐々木(戸次重幸)は猛反対。結局、北畠(高橋克典)が機転をきかせ、志帆たちは何とかチャレンジテストに踏み切るがーー!?</t>
  </si>
  <si>
    <t>番組名レディ・ダ・ヴィンチの診断【対決!女医と女将と大女将】　#04</t>
  </si>
  <si>
    <t>老舗料亭・真田を訪れた葉子(伊藤蘭)は、病気を理由に隠居した大女将・静香(黒田福美)の見舞いに行きたいと申し出るが、女将の芽依(小西真奈美)に断られてしまう。一方、通勤途中に若年性認知症を患った初老の女性に遭遇した志帆(吉田羊)は、保護される際に暴れたり、歩行障害が見られたりする彼女の様子に違和感を覚えていた。やがて、その女性こそが、葉子が面会を希望していた大女将の静香だと判明。芽依に静香の診察を断られた志帆は、密かに静香を連れ出し勝手に診察。腕に強い脈を感じ、循環器系の病気を疑うが、次の瞬間、乗り込んできた芽依に頬を叩かれ、葉子にも「あなたは患者さんの病気だけを見て、患者さんの人生がまるで見えていない」と叱責される。しかしその裏で、葉子も静香の症状が気になっていた。翌朝、静香が暴れた本当の理由に気付いた志帆は再び静香を連れ出すが、それを知った芽依は警察に通報。志帆は駆けつけた警察官に連行されてーー!?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布施等(メディアミックス・ジャパン)【制作】  カンテレ　  メディアミックス・ジャパン番組公式ホームページ  http://www.ktv.jp/ladydavinci/index.html</t>
  </si>
  <si>
    <t>老舗料亭・真田を訪れた葉子(伊藤蘭)は、病気を理由に隠居した大女将・静香(黒田福美)の見舞いに行きたいと申し出るが、女将の芽依(小西真奈美)に断られてしまう。一方、通勤途中に若年性認知症を患った初老の女性に遭遇した志帆(吉田羊)は、保護される際に暴れたり、歩行障害が見られたりする彼女の様子に違和感を覚えていた。やがて、その女性こそが、葉子が面会を希望していた大女将の静香だと判明。芽依に静香の診察を断られた志帆は、密かに静香を連れ出し勝手に診察。腕に強い脈を感じ、循環器系の病気を疑うが、次の瞬間、乗り込んできた芽依に頬を叩かれ、葉子にも「あなたは患者さんの病気だけを見て、患者さんの人生がまるで見えていない」と叱責される。しかしその裏で、葉子も静香の症状が気になっていた。翌朝、静香が暴れた本当の理由に気付いた志帆は再び静香を連れ出すが、それを知った芽依は警察に通報。志帆は駆けつけた警察官に連行されてーー!?</t>
  </si>
  <si>
    <t>番組名レディ・ダ・ヴィンチの診断【頻発する脳梗塞の謎を発見】　#05</t>
  </si>
  <si>
    <t>志帆(吉田羊)の過去が気になる雪野(相武紗季)は、高杉(小林且弥)とともに志帆が以前勤めていた病院を訪ねるが、これといった成果は得られない。    そんなある日、公園の展望台から飛び降りた建築士の奥山賢太郎(桐山漣)が解析診断部に回されてくる。  目撃証言から自殺と見られるが、本人はそれを否定。  志帆は、奥山が朝食の左半分だけを残していることが気になり、奥山に絵を描いてもらう。すると、完成したのは右半分のみ。  奥山は脳梗塞が原因で、左側半分に見えているものを認識できていなかったのだ。    数日後、奥山が今度は突然、左手で周囲のものを投げ始める。自分の意思とは関係なく勝手に手が動き出す病気で、これも脳梗塞が原因だった。  さらに最近、一時的にスマホの使い方が分からなくなったといい、志帆は恐らくそれも脳梗塞が原因だと考える。連続して脳梗塞が起きるのはなぜか?  解析診断部が理由を探り始めた矢先、奥山の容態が急変して…。吉田羊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</si>
  <si>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志帆(吉田羊)の過去が気になる雪野(相武紗季)は、高杉(小林且弥)とともに志帆が以前勤めていた病院を訪ねるが、これといった成果は得られない。    そんなある日、公園の展望台から飛び降りた建築士の奥山賢太郎(桐山漣)が解析診断部に回されてくる。  目撃証言から自殺と見られるが、本人はそれを否定。  志帆は、奥山が朝食の左半分だけを残していることが気になり、奥山に絵を描いてもらう。すると、完成したのは右半分のみ。  奥山は脳梗塞が原因で、左側半分に見えているものを認識できていなかったのだ。    数日後、奥山が今度は突然、左手で周囲のものを投げ始める。自分の意思とは関係なく勝手に手が動き出す病気で、これも脳梗塞が原因だった。  さらに最近、一時的にスマホの使い方が分からなくなったといい、志帆は恐らくそれも脳梗塞が原因だと考える。連続して脳梗塞が起きるのはなぜか?  解析診断部が理由を探り始めた矢先、奥山の容態が急変して…。</t>
  </si>
  <si>
    <t>番組名レディ・ダ・ヴィンチの診断【医療ミス!?度重なる心不全】　#06</t>
  </si>
  <si>
    <t>地元選出の国会議員・北村英一郎(飯田基祐)の妻・詩織(高橋かおり)が急性心不全で運ばれてくる。詩織は、一年前に雪野(相武紗季)が心臓血管外科を追い出されるきっかけとなった患者で、当時、雪野と高杉(小林且弥)が手術を行うも症状は改善せず、北村はその原因を雪野の手術が失敗したせいだと考えていた。執刀医の雪野は完璧な手術だったと主張するが、結局、病院側は失敗とみなし、雪野は責任を取る形で異動ーー。そんな詩織を解析診断部で診ることになり、雪野はこの機会に汚名を返上しようと必死で、志帆(吉田羊)たちの言葉が耳に入らない。一方の志帆は、詩織がお湯の入ったカップに触れた途端、ビクッと反応したことが気になるが、その矢先、雪野の治療で詩織が急性呼吸不全を発症。北村から「こんなのは殺人と同じだ!」と怒鳴られた雪野はショックを受ける。  しかし、志帆の言葉に勇気づけられ、「患者さんを救うためなら何でもします」と決意を新たにして……。吉田羊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</si>
  <si>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地元選出の国会議員・北村英一郎(飯田基祐)の妻・詩織(高橋かおり)が急性心不全で運ばれてくる。詩織は、一年前に雪野(相武紗季)が心臓血管外科を追い出されるきっかけとなった患者で、当時、雪野と高杉(小林且弥)が手術を行うも症状は改善せず、北村はその原因を雪野の手術が失敗したせいだと考えていた。執刀医の雪野は完璧な手術だったと主張するが、結局、病院側は失敗とみなし、雪野は責任を取る形で異動ーー。そんな詩織を解析診断部で診ることになり、雪野はこの機会に汚名を返上しようと必死で、志帆(吉田羊)たちの言葉が耳に入らない。一方の志帆は、詩織がお湯の入ったカップに触れた途端、ビクッと反応したことが気になるが、その矢先、雪野の治療で詩織が急性呼吸不全を発症。北村から「こんなのは殺人と同じだ!」と怒鳴られた雪野はショックを受ける。  しかし、志帆の言葉に勇気づけられ、「患者さんを救うためなら何でもします」と決意を新たにして……。</t>
  </si>
  <si>
    <t>番組名レディ・ダ・ヴィンチの診断【治療するたびに悪化する病】　#07</t>
  </si>
  <si>
    <t>高杉(小林且弥)の調べで、志帆(吉田羊)の娘がすでに亡くなっていることを知った雪野(相武紗季)。ならば、志帆に見えているのは幻覚ではないかーー雪野はますます志帆のことが気になる。    街中で突然倒れた男性が運び込まれてきた。男の名前は神田光一郎(田中幸太朗)。対応した藍(白鳥久美子)は低血糖と判断して処置をするが、しばらくすると、神田は激しいけいれんを起こす。血液検査の結果、原因は低ナトリウム血症だと分かるが、志帆は藍と2人で問診に訪れた際、神田が「女医さんが4人も来てくれた」と話していたことが気にかかり……。    一方、藍は外資系の金融マンを名乗り、独身で恋人もいないという神田にひそかに恋心を抱いていた。神田もまた、そんな藍に絶大な信頼を寄せている様子。その後、神田が後頭部の痛みを訴え、突如、錯乱状態に陥ったことから、藍は脳炎を疑い、髄液検査を行うが、緊張から救命救急医らしからぬミスをしてしまう。それにより検査は延期となるが、もし脳炎なら、一刻も早く治療をしないと命に関わる事態。すぐに薬が投与され、症状は治まると思われたが、その夜、神田は薬の副作用で腎不全を起こしてしまう。神田から「先生のことが好きです」と告白され、退院後のデートにも誘われた藍は、何とかして神田を助けようと必死になるが、そんな患者と担当医の恋のうわさは、葉子(伊藤蘭)の耳にも入り……。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</si>
  <si>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高杉(小林且弥)の調べで、志帆(吉田羊)の娘がすでに亡くなっていることを知った雪野(相武紗季)。ならば、志帆に見えているのは幻覚ではないかーー雪野はますます志帆のことが気になる。    街中で突然倒れた男性が運び込まれてきた。男の名前は神田光一郎(田中幸太朗)。対応した藍(白鳥久美子)は低血糖と判断して処置をするが、しばらくすると、神田は激しいけいれんを起こす。血液検査の結果、原因は低ナトリウム血症だと分かるが、志帆は藍と2人で問診に訪れた際、神田が「女医さんが4人も来てくれた」と話していたことが気にかかり……。    一方、藍は外資系の金融マンを名乗り、独身で恋人もいないという神田にひそかに恋心を抱いていた。神田もまた、そんな藍に絶大な信頼を寄せている様子。その後、神田が後頭部の痛みを訴え、突如、錯乱状態に陥ったことから、藍は脳炎を疑い、髄液検査を行うが、緊張から救命救急医らしからぬミスをしてしまう。それにより検査は延期となるが、もし脳炎なら、一刻も早く治療をしないと命に関わる事態。すぐに薬が投与され、症状は治まると思われたが、その夜、神田は薬の副作用で腎不全を起こしてしまう。神田から「先生のことが好きです」と告白され、退院後のデートにも誘われた藍は、何とかして神田を助けようと必死になるが、そんな患者と担当医の恋のうわさは、葉子(伊藤蘭)の耳にも入り……。</t>
  </si>
  <si>
    <t>番組名レディ・ダ・ヴィンチの診断【人食いバクテリアに感染!?】　#08</t>
  </si>
  <si>
    <t>「幻覚を見ているんですよね?」ーー雪野(相武紗季)が志帆(吉田羊)に尋ねると、志帆は「誰かに迷惑をかけているわけではない」と答え、娘の姿がたとえ幻覚であろうと意に介さない様子。    一方、葉子(伊藤蘭)が出演する番組の収録中に、こわもてで売っている大御所俳優・堂島謙三(大和田伸也)が突然倒れる。右腕の痛みを訴えて苦しむ堂島を診察すると、右腕に発赤がみられ、それは時間の経過とともに広がっていく。葉子は、堂島が前日に廃虚でロケをしていたと聞き、そこで人食いバクテリアに感染したのではないかと考える。もしそうだとしたら、発症後24時間以内に患部を切除しなければ命を落とす。しかし、撮影中の映画に支障が出るからと、堂島は治療を拒否。原因も特定できないまま、さらに一部の薬剤にアレルギー反応を起こすという不測の事態も重なり、治療は難航する。  命のタイムリミットが近づくなか、休暇中の志帆に連絡がつかず、途方に暮れる綾香(吉岡里帆)。すると、葉子が意外な行動に出る。まるでいつもの志帆のように、綾香に病気の原因追究のための調査を依頼したのだ。早速、綾香は宮部(庄野崎謙)とともに、堂島がロケをしていたという廃虚へ。そして、そこで出会ったケンジ(藤野大輝)という少年から、堂島が敷地内にある井戸を使っていたことを教えられる。綾香がくみ上げて触ってみると、なぜかその水はぬるくて…。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</si>
  <si>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「幻覚を見ているんですよね?」ーー雪野(相武紗季)が志帆(吉田羊)に尋ねると、志帆は「誰かに迷惑をかけているわけではない」と答え、娘の姿がたとえ幻覚であろうと意に介さない様子。    一方、葉子(伊藤蘭)が出演する番組の収録中に、こわもてで売っている大御所俳優・堂島謙三(大和田伸也)が突然倒れる。右腕の痛みを訴えて苦しむ堂島を診察すると、右腕に発赤がみられ、それは時間の経過とともに広がっていく。葉子は、堂島が前日に廃虚でロケをしていたと聞き、そこで人食いバクテリアに感染したのではないかと考える。もしそうだとしたら、発症後24時間以内に患部を切除しなければ命を落とす。しかし、撮影中の映画に支障が出るからと、堂島は治療を拒否。原因も特定できないまま、さらに一部の薬剤にアレルギー反応を起こすという不測の事態も重なり、治療は難航する。  命のタイムリミットが近づくなか、休暇中の志帆に連絡がつかず、途方に暮れる綾香(吉岡里帆)。すると、葉子が意外な行動に出る。まるでいつもの志帆のように、綾香に病気の原因追究のための調査を依頼したのだ。早速、綾香は宮部(庄野崎謙)とともに、堂島がロケをしていたという廃虚へ。そして、そこで出会ったケンジ(藤野大輝)という少年から、堂島が敷地内にある井戸を使っていたことを教えられる。綾香がくみ上げて触ってみると、なぜかその水はぬるくて…。</t>
  </si>
  <si>
    <t>番組名レディ・ダ・ヴィンチの診断【運命の小さな患者との再会】　#09</t>
  </si>
  <si>
    <t>将来を有望視されている天才ピアノ少女・藤原ひかり(根岸姫奈)が、コンクールに出場した直後に意識を失い、けいれんを起こして運ばれてくる。病名が分からず解析診断部で受け入れることになり、ひかりと対面した志帆(吉田羊)は、彼女と以前に会ったことがあるような気がするが、思い出せない。    翌日、ひかりが一カ月ほど前から、度々意識を失っていたことを知った志帆。ピアノ講師によると、その頃からフルートの練習を始めたという。そんななか、お茶を飲んでいたひかりが突然胸を押さえて苦しみ出し、その処置中、志帆がひかりの背中に見覚えのある傷痕を発見。目の前にいる少女が背負った運命に気付き、あぜんとする。    心臓を詳しく調べた結果、ひかりは狭心症を発症していることが判明。意識消失とけいれんもモヤモヤ病によるものだと分かり、どちらの病気も発症のきっかけは過換気だった。狭心症は投薬治療で改善が見込めるものの、モヤモヤ病は脳外科手術が必要。オペの執刀医は雪野(相武紗季)になると誰もが思った瞬間、「私がやる」と名乗りをあげたのは、志帆だった。「どうしても私の手で、ひかりちゃんを助けたい」という言葉に葉子(伊藤蘭)は執刀を許可するが、雪野はいつもと違う志帆の様子が気になる。その真意を尋ねる雪野に、志帆は2年前に起きた爆発事件の現場に、自分たち親子とひかりがいたと話し出し…。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</si>
  <si>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将来を有望視されている天才ピアノ少女・藤原ひかり(根岸姫奈)が、コンクールに出場した直後に意識を失い、けいれんを起こして運ばれてくる。病名が分からず解析診断部で受け入れることになり、ひかりと対面した志帆(吉田羊)は、彼女と以前に会ったことがあるような気がするが、思い出せない。    翌日、ひかりが一カ月ほど前から、度々意識を失っていたことを知った志帆。ピアノ講師によると、その頃からフルートの練習を始めたという。そんななか、お茶を飲んでいたひかりが突然胸を押さえて苦しみ出し、その処置中、志帆がひかりの背中に見覚えのある傷痕を発見。目の前にいる少女が背負った運命に気付き、あぜんとする。    心臓を詳しく調べた結果、ひかりは狭心症を発症していることが判明。意識消失とけいれんもモヤモヤ病によるものだと分かり、どちらの病気も発症のきっかけは過換気だった。狭心症は投薬治療で改善が見込めるものの、モヤモヤ病は脳外科手術が必要。オペの執刀医は雪野(相武紗季)になると誰もが思った瞬間、「私がやる」と名乗りをあげたのは、志帆だった。「どうしても私の手で、ひかりちゃんを助けたい」という言葉に葉子(伊藤蘭)は執刀を許可するが、雪野はいつもと違う志帆の様子が気になる。その真意を尋ねる雪野に、志帆は2年前に起きた爆発事件の現場に、自分たち親子とひかりがいたと話し出し…。</t>
  </si>
  <si>
    <t>番組名レディ・ダ・ヴィンチの診断【天才外科医ついに復活】　#10</t>
  </si>
  <si>
    <t>藤原ひかり(根岸姫奈)は、2年前に亡くなった娘の真央(藤澤遥)が、自らの命に代えて助けた患者ーーそれに気付いた志帆(吉田羊)はひかりのオペの執刀を申し出るが、手術当日、突然頭痛に襲われ倒れてしまう。志帆に代わり、モヤモヤ病の手術を執刀したのは雪野(相武紗季)。しかし、実際には手の施しようがなく、助けるには手術可能な病院に転院するか、脳神経外科医として腕の立つ志帆が執刀するしかない。一方、志帆が脳動脈瘤を抱えていることが分かり、ついに北畠(高橋克典)は2年前に志帆の身に起きた出来事を解析診断部のメンバーに打ち明ける。雪野もまた、志帆が幻覚を見ていることを明かす。たとえ幻覚でも愛する娘との生活を続けるため、脳動脈瘤に気付きながら放置していた志帆。一同は、そんな志帆の思いに胸を痛めるが、それでも葉子(伊藤蘭)は「オペを執刀するなら脳動脈瘤の摘出が必要」と断言。それは、もう真央の幻覚を見られなくなることを意味する。ひかりの命を救うか、真央の幻覚を取るかー。葉子からその選択を一任された志帆は、この2年間の奇跡のような日々を真央と語り合い、やがて一つの答えを導き出して……。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</si>
  <si>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藤原ひかり(根岸姫奈)は、2年前に亡くなった娘の真央(藤澤遥)が、自らの命に代えて助けた患者ーーそれに気付いた志帆(吉田羊)はひかりのオペの執刀を申し出るが、手術当日、突然頭痛に襲われ倒れてしまう。志帆に代わり、モヤモヤ病の手術を執刀したのは雪野(相武紗季)。しかし、実際には手の施しようがなく、助けるには手術可能な病院に転院するか、脳神経外科医として腕の立つ志帆が執刀するしかない。一方、志帆が脳動脈瘤を抱えていることが分かり、ついに北畠(高橋克典)は2年前に志帆の身に起きた出来事を解析診断部のメンバーに打ち明ける。雪野もまた、志帆が幻覚を見ていることを明かす。たとえ幻覚でも愛する娘との生活を続けるため、脳動脈瘤に気付きながら放置していた志帆。一同は、そんな志帆の思いに胸を痛めるが、それでも葉子(伊藤蘭)は「オペを執刀するなら脳動脈瘤の摘出が必要」と断言。それは、もう真央の幻覚を見られなくなることを意味する。ひかりの命を救うか、真央の幻覚を取るかー。葉子からその選択を一任された志帆は、この2年間の奇跡のような日々を真央と語り合い、やがて一つの答えを導き出して……。</t>
  </si>
  <si>
    <t>1610_CX_木22</t>
  </si>
  <si>
    <t>Chef</t>
  </si>
  <si>
    <t>番組名&lt;木曜劇場&gt;Chef　～三ツ星の給食～【天海祐希が天才シェフに!】　#01</t>
  </si>
  <si>
    <t>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撮影現場での裏話やキャストの素顔などが見られますよ!　三ツ星レストラン「ラ・キュイジーヌ・ドゥ・ラ・レーヌ」の厨房に、総料理長・星野光子(天海祐希)が現れた。副料理長らが出迎えるなか、光子はスペシャリテの鹿の下ごしらえを始めると告げた。そこへ、オーナーの篠田章吾(小泉孝太郎)が雑誌の記者を引き連れてやってきた。鹿に包丁を入れる光子を見た篠田は激怒。ゲストの料理評論家に、スペシャリテは鴨だと伝えてあるからだという。やがて、店は開店し、予約客が案内されていく中、店前に高山晴子(川口春奈)がたたずんでいた。  　翌朝、光子は、昨夜料理を食べた料理評論家が食中毒を起こしたと聞かされる。光子は信じないが、篠田から辞職を迫られたため、それを承諾して店を後にする。ところがその後、食中毒のニュースは世界にまで発信され、光子の評判は地に落ちる。それまであった引き抜きの話も白紙となり、光子は次の職場を見つけることができない。そこへ、テレビプロデューサー・矢口早紀(友近)から、光子を雇いたいと言っているところがあると連絡が入った。新しい仕事場となる三つ葉小学校にやってきた光子は、そこで働く小松稔(荒川良々)ら調理師たちのやる気のなさに愕然とする。さらにそこには、栄養士兼調理師・荒木平介(遠藤憲一)がいて、メニューを決めるのは自分だ、と光子をにらむ。三ツ星を失い反骨心を燃やす光子は、子供たちが食べたことのない本物の味を教えてやるとたんかを切った。天海祐希　  小泉孝太郎　  川口春奈　  荒川良々　  池田成志　  市川しんぺー　  伊藤修子  　・　  豊原功補  　・　  友近　  遠藤憲一　    他【脚本】  浜田秀哉(『ナオミとカナコ』、『ラストホープ』他)　    【演出】  平野眞(『5→9　～私に恋したお坊さん～』、『HERO』他)　  田中亮(『ラスト・シンデレラ』、『オトナ女子』他)　  森脇智延(『HERO』、『医龍-Team　Medical　Dragon-』他)　    【プロデュース】  長部聡介(『離婚弁護士』、『医龍-Team　Medical　Dragon-』他)　高田雄貴(『OUR　HOUSE』、『テディ・ゴー!』他)　    【主題歌】  松任谷由実「Smile　for　me」(EMI　Records/ユニバーサルミュージック)　    【制作】  フジテレビ</t>
  </si>
  <si>
    <t xml:space="preserve">　三ツ星レストラン「ラ・キュイジーヌ・ドゥ・ラ・レーヌ」の厨房に、総料理長・星野光子(天海祐希)が現れた。副料理長らが出迎えるなか、光子はスペシャリテの鹿の下ごしらえを始めると告げた。そこへ、オーナーの篠田章吾(小泉孝太郎)が雑誌の記者を引き連れてやってきた。鹿に包丁を入れる光子を見た篠田は激怒。ゲストの料理評論家に、スペシャリテは鴨だと伝えてあるからだという。やがて、店は開店し、予約客が案内されていく中、店前に高山晴子(川口春奈)がたたずんでいた。  　翌朝、光子は、昨夜料理を食べた料理評論家が食中毒を起こしたと聞かされる。光子は信じないが、篠田から辞職を迫られたため、それを承諾して店を後にする。ところがその後、食中毒のニュースは世界にまで発信され、光子の評判は地に落ちる。それまであった引き抜きの話も白紙となり、光子は次の職場を見つけることができない。そこへ、テレビプロデューサー・矢口早紀(友近)から、光子を雇いたいと言っているところがあると連絡が入った。新しい仕事場となる三つ葉小学校にやってきた光子は、そこで働く小松稔(荒川良々)ら調理師たちのやる気のなさに愕然とする。さらにそこには、栄養士兼調理師・荒木平介(遠藤憲一)がいて、メニューを決めるのは自分だ、と光子をにらむ。三ツ星を失い反骨心を燃やす光子は、子供たちが食べたことのない本物の味を教えてやるとたんかを切った。</t>
  </si>
  <si>
    <t>番組名&lt;木曜劇場&gt;Chef　～三ツ星の給食～【天才シェフvs給食鬼ルール】　#02</t>
  </si>
  <si>
    <t>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見られますよ!三つ葉小学校の給食事務エリアで「調理前ミーティング」が行われていた。荒木(遠藤憲一)から献立について聞かされた光子(天海祐希)は、全然、ワクワクしない、と不満を口にした。荒木は、ワクワクで胸を膨らませることよりも、腹を膨らませることを考えろと一喝する。そこから「食材の検品」「洗浄」「切裁」と下準備が始まった。徹底された衛生管理の下、厳格なルールに従い行われていくことに光子はとまどうが、荒木や調理師補助の小松(荒川良々)らは黙々とこなしていく。いざ「調理」となった時、肉が少ないと思った光子が肉を追加しようとするが、荒木に肉はもう無いと言われる。一食640キロカロリーという規定があり、それを超えてはいけないため、使う量きっちりしか発注していないのだ。光子は野菜の組み合わせを減らしたり、塩を加えようとするが、ことごとく制止されてしまう。そんな光子を、早紀(友近)は面白がるように見つめていた。一方「ラ・キュイジーヌ・ドゥ・ラ・レーヌ」の厨房では、奥寺(豊原功補)が中心となって動いていた。そこへ来た篠田(小泉孝太郎)は、席数を増やそうと思っていると満足気に話した。昼時となり、できあがった給食を光子らが食べていた。ルール通りだがおいしいとは言えない給食に、光子はため息をつく。そこへ、新しい調理補助として晴子(川口春奈)が入ってくる。光子は晴子を一瞥(いちべつ)するも、まるで興味を示さず…。天海祐希　  小泉孝太郎　  川口春奈　  荒川良々　  池田成志　  市川しんぺー　  伊藤修子  　・　  豊原功補  　・　  友近　  遠藤憲一　    他【脚本】  浜田秀哉(『ナオミとカナコ』、『ラストホープ』他)　    【演出】  平野眞(『5→9　～私に恋したお坊さん～』、『HERO』他)　  田中亮(『ラスト・シンデレラ』、『オトナ女子』他)　  森脇智延(『HERO』、『医龍-Team　Medical　Dragon-』他)　    【プロデュース】  長部聡介(『離婚弁護士』、『医龍-Team　Medical　Dragon-』他)　高田雄貴(『OUR　HOUSE』、『テディ・ゴー!』他)　    【主題歌】  松任谷由実「Smile　for　me」(EMI　Records/ユニバーサルミュージック)　    【制作】  フジテレビ</t>
  </si>
  <si>
    <t>三つ葉小学校の給食事務エリアで「調理前ミーティング」が行われていた。荒木(遠藤憲一)から献立について聞かされた光子(天海祐希)は、全然、ワクワクしない、と不満を口にした。荒木は、ワクワクで胸を膨らませることよりも、腹を膨らませることを考えろと一喝する。そこから「食材の検品」「洗浄」「切裁」と下準備が始まった。徹底された衛生管理の下、厳格なルールに従い行われていくことに光子はとまどうが、荒木や調理師補助の小松(荒川良々)らは黙々とこなしていく。いざ「調理」となった時、肉が少ないと思った光子が肉を追加しようとするが、荒木に肉はもう無いと言われる。一食640キロカロリーという規定があり、それを超えてはいけないため、使う量きっちりしか発注していないのだ。光子は野菜の組み合わせを減らしたり、塩を加えようとするが、ことごとく制止されてしまう。そんな光子を、早紀(友近)は面白がるように見つめていた。一方「ラ・キュイジーヌ・ドゥ・ラ・レーヌ」の厨房では、奥寺(豊原功補)が中心となって動いていた。そこへ来た篠田(小泉孝太郎)は、席数を増やそうと思っていると満足気に話した。昼時となり、できあがった給食を光子らが食べていた。ルール通りだがおいしいとは言えない給食に、光子はため息をつく。そこへ、新しい調理補助として晴子(川口春奈)が入ってくる。光子は晴子を一瞥(いちべつ)するも、まるで興味を示さず…。</t>
  </si>
  <si>
    <t>番組名&lt;木曜劇場&gt;Chef　～三ツ星の給食～【最高においしいナポリタン!】　#03</t>
  </si>
  <si>
    <t>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撮影現場での裏話やキャストの素顔などが見られますよ!　自分が作った給食よりも、コンビニの唐揚げの方が「おいしい」と言われショックを受けた光子(天海祐希)は、自分が作った給食を「最高においしい」と言わせるまで学校に残ると決断。それを聞いた荒木(遠藤憲一)や晴子(川口春奈)らは、光子の料理にかけるプライドに驚きを隠せない。同じ頃、光子を訪ねてフランスのファッションブランド“ミッシェル・ブランショ"の金沢(西村和彦)がやってくる。店舗の最上階にオープンするフレンチレストランのシェフへのオファーは断られたが、光子以上のシェフはいないと熱望する社長が、3カ月間待つと言っているという。光子は、そんなに待たせるつもりはないと断言する。  　そうはいっても、給食作りでの苦戦は続いていた。その様子を映したテレビ番組は、相変わらず人気で、篠田(小泉孝太郎)も光子の動向を気にしていた。そんな折、親子で一緒に給食を食べる行事が行われることになり、メインがナポリタンだと発表された。親子ともに「最高においしい」と言わせるために、光子はやる気満々に。ところが、小松(荒川良々)から、子供向けに作ったものを最後に大人向けに調味するのだと聞かされ不快感を示す。今まで同じ料理で味付けを変えたことはないという光子は、自分なら全く同じ味付けのナポリタンで、大人にも子供にも「最高においしい」と言わせる自信があると胸を張る。天海祐希　  小泉孝太郎　  川口春奈　  荒川良々　  池田成志　  市川しんぺー　  伊藤修子  　・　  豊原功補  　・　  友近　  遠藤憲一　    他【脚本】  浜田秀哉(『ナオミとカナコ』、『ラストホープ』他)　    【演出】  平野眞(『5→9　～私に恋したお坊さん～』、『HERO』他)　  田中亮(『ラスト・シンデレラ』、『オトナ女子』他)　  森脇智延(『HERO』、『医龍-Team　Medical　Dragon-』他)　    【プロデュース】  長部聡介(『離婚弁護士』、『医龍-Team　Medical　Dragon-』他)　高田雄貴(『OUR　HOUSE』、『テディ・ゴー!』他)　    【主題歌】  松任谷由実「Smile　for　me」(EMI　Records/ユニバーサルミュージック)　    【制作】  フジテレビ</t>
  </si>
  <si>
    <t xml:space="preserve">　自分が作った給食よりも、コンビニの唐揚げの方が「おいしい」と言われショックを受けた光子(天海祐希)は、自分が作った給食を「最高においしい」と言わせるまで学校に残ると決断。それを聞いた荒木(遠藤憲一)や晴子(川口春奈)らは、光子の料理にかけるプライドに驚きを隠せない。同じ頃、光子を訪ねてフランスのファッションブランド“ミッシェル・ブランショ"の金沢(西村和彦)がやってくる。店舗の最上階にオープンするフレンチレストランのシェフへのオファーは断られたが、光子以上のシェフはいないと熱望する社長が、3カ月間待つと言っているという。光子は、そんなに待たせるつもりはないと断言する。  　そうはいっても、給食作りでの苦戦は続いていた。その様子を映したテレビ番組は、相変わらず人気で、篠田(小泉孝太郎)も光子の動向を気にしていた。そんな折、親子で一緒に給食を食べる行事が行われることになり、メインがナポリタンだと発表された。親子ともに「最高においしい」と言わせるために、光子はやる気満々に。ところが、小松(荒川良々)から、子供向けに作ったものを最後に大人向けに調味するのだと聞かされ不快感を示す。今まで同じ料理で味付けを変えたことはないという光子は、自分なら全く同じ味付けのナポリタンで、大人にも子供にも「最高においしい」と言わせる自信があると胸を張る。</t>
  </si>
  <si>
    <t>番組名&lt;木曜劇場&gt;Chef　～三ツ星の給食～【開店!三ツ星フレンチ屋台!】　#04</t>
  </si>
  <si>
    <t>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見られますよ!三ツ星を取り戻すために自分の店を作ると宣言した光子(天海祐希)は、大工さながらに角材を切り落とし、クギを打ち付けていく。翌朝、光子は、晴子(川口春奈)、小松(荒川良々)らに、自分の店ができたと誇らしげに言う。呼び出された早紀(友近)らテレビクルーや、荒木(遠藤憲一)ら給食チームも見守る中、光子が披露したのは「シェ　ミツコ」という店名と三ツ星が手書きされた看板の付いた屋台だった。三ツ星の料理が屋台で食べられるのだ、と自信満々の光子。昼は給食を作り、夜は屋台でフレンチを出すと言う。  一方、荒木は献立作りに頭を悩ませていた。食品構成上、豆料理をメニューに組み込まなければならないが、豆を使った料理は子供に不人気で残食率が高くなるからだ。光子は、屋台でも最高の料理を出すべく準備を進め、ついに店をオープンさせた。ところが、宣伝不足や1万5000円のお任せコースのみという設定もあり、いくら待っても客が来ない。初日は、酔っ払いのサラリーマン・迫田(飯尾和樹)だけだった。その様子をみて早紀はあることを思いつく。一方、篠田(小泉孝太郎)は、シェフ・奥寺(豊原功補)のもと再開した「ラ・キュイジーヌ・ドゥ・ラ・レーヌ」の経営が順調であることに満足しながらも光子の屋台の様子が気になっていた。数日後の朝、光子は荒木が決めた「五目豆とじゃがいもの煮込み」を、最高においしくする方法を見つけたと目を輝かせる。天海祐希　  小泉孝太郎　  川口春奈　  荒川良々　  池田成志　  市川しんぺー　  伊藤修子  　・　  豊原功補  　・　  友近　  遠藤憲一　    他【脚本】  浜田秀哉(『ナオミとカナコ』、『ラストホープ』他)　    【演出】  平野眞　  田中亮　  森脇智延　    【プロデュース】  長部聡介　  高田雄貴　    【主題歌】  松任谷由実「Smile　for　me」(EMI　Records/ユニバーサルミュージック)　    【制作】  フジテレビ第一制作センター</t>
  </si>
  <si>
    <t>三ツ星を取り戻すために自分の店を作ると宣言した光子(天海祐希)は、大工さながらに角材を切り落とし、クギを打ち付けていく。翌朝、光子は、晴子(川口春奈)、小松(荒川良々)らに、自分の店ができたと誇らしげに言う。呼び出された早紀(友近)らテレビクルーや、荒木(遠藤憲一)ら給食チームも見守る中、光子が披露したのは「シェ　ミツコ」という店名と三ツ星が手書きされた看板の付いた屋台だった。三ツ星の料理が屋台で食べられるのだ、と自信満々の光子。昼は給食を作り、夜は屋台でフレンチを出すと言う。  一方、荒木は献立作りに頭を悩ませていた。食品構成上、豆料理をメニューに組み込まなければならないが、豆を使った料理は子供に不人気で残食率が高くなるからだ。光子は、屋台でも最高の料理を出すべく準備を進め、ついに店をオープンさせた。ところが、宣伝不足や1万5000円のお任せコースのみという設定もあり、いくら待っても客が来ない。初日は、酔っ払いのサラリーマン・迫田(飯尾和樹)だけだった。その様子をみて早紀はあることを思いつく。一方、篠田(小泉孝太郎)は、シェフ・奥寺(豊原功補)のもと再開した「ラ・キュイジーヌ・ドゥ・ラ・レーヌ」の経営が順調であることに満足しながらも光子の屋台の様子が気になっていた。数日後の朝、光子は荒木が決めた「五目豆とじゃがいもの煮込み」を、最高においしくする方法を見つけたと目を輝かせる。</t>
  </si>
  <si>
    <t>番組名&lt;木曜劇場&gt;Chef　～三ツ星の給食～【給食中止?食材高騰大ピンチ】　#05</t>
  </si>
  <si>
    <t>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撮影現場での裏話やキャストの素顔などが見られますよ!　光子(天海祐希)は、屋台の看板メニューにしたい鴨を、篠田(小泉孝太郎)に買い占められてしまった。同じころ、荒木(遠藤憲一)は、環境の変化や天候不順による魚と野菜の高騰に頭を悩ませていた。食材の値段が上がると給食の予算にはまらなくなってしまうからだ。小松(荒川良々)らは、授業の影響の少ない日に給食を休んではどうかと提案するが、荒木は300人の客がいるのに店を閉めるわけにはいかないと一蹴する。　荒木のあきらめない姿勢に触発された光子は、再び市場を訪れ鴨を売ってくれと卸売業者に声をかけるが、相手にされない。業者たちの強固な態度に光子が帰ろうとした時、ひとりの業者がある精肉店の名前を口にした。一方の荒木も、市場で予算の範囲で買える魚を探していた。給食のルールでは一定の量の魚を献立に組み入れなければならないのだった。本来はサワラが欲しいのだが、現状の予算で買えたのは、味にクセのあるサメだった。  　晴子(川口春奈)らを前にした荒木は、小松の活躍で通常よりも安く仕入れた野菜とサメで、子供たちが食べられる代案レシピを考えると言った。日高(池田成志)、馬場(市川しんぺー)、敏子(伊藤修子)らも意見を出す。早紀(友近)は、篠田からレストランに関する計画を聞かされる。やがて、荒木が考えた代案レシピが完成し、光子も興味を示す。ところが試食をした光子は「マズい」と言い放つ。天海祐希　  小泉孝太郎　  川口春奈　  荒川良々　  池田成志　  市川しんぺー　  伊藤修子  　・　  豊原功補  　・　  友近　  遠藤憲一　    他【脚本】  浜田秀哉(『ナオミとカナコ』、『ラストホープ』他)　    【演出】  平野眞(『5→9　～私に恋したお坊さん～』、『HERO』他)　  田中亮(『ラスト・シンデレラ』、『オトナ女子』他)　  森脇智延(『HERO』、『医龍-Team　Medical　Dragon-』他)　    【プロデュース】  長部聡介(『離婚弁護士』、『医龍-Team　Medical　Dragon-』他)　高田雄貴(『OUR　HOUSE』、『テディ・ゴー!』他)　    【主題歌】  松任谷由実「Smile　for　me」(EMI　Records/ユニバーサルミュージック)　    【制作】  フジテレビ</t>
  </si>
  <si>
    <t xml:space="preserve">　光子(天海祐希)は、屋台の看板メニューにしたい鴨を、篠田(小泉孝太郎)に買い占められてしまった。同じころ、荒木(遠藤憲一)は、環境の変化や天候不順による魚と野菜の高騰に頭を悩ませていた。食材の値段が上がると給食の予算にはまらなくなってしまうからだ。小松(荒川良々)らは、授業の影響の少ない日に給食を休んではどうかと提案するが、荒木は300人の客がいるのに店を閉めるわけにはいかないと一蹴する。　荒木のあきらめない姿勢に触発された光子は、再び市場を訪れ鴨を売ってくれと卸売業者に声をかけるが、相手にされない。業者たちの強固な態度に光子が帰ろうとした時、ひとりの業者がある精肉店の名前を口にした。一方の荒木も、市場で予算の範囲で買える魚を探していた。給食のルールでは一定の量の魚を献立に組み入れなければならないのだった。本来はサワラが欲しいのだが、現状の予算で買えたのは、味にクセのあるサメだった。  　晴子(川口春奈)らを前にした荒木は、小松の活躍で通常よりも安く仕入れた野菜とサメで、子供たちが食べられる代案レシピを考えると言った。日高(池田成志)、馬場(市川しんぺー)、敏子(伊藤修子)らも意見を出す。早紀(友近)は、篠田からレストランに関する計画を聞かされる。やがて、荒木が考えた代案レシピが完成し、光子も興味を示す。ところが試食をした光子は「マズい」と言い放つ。</t>
  </si>
  <si>
    <t>番組名&lt;木曜劇場&gt;Chef　～三ツ星の給食～【大切な人に作る奇跡のスープ】　#06</t>
  </si>
  <si>
    <t>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撮影現場での裏話やキャストの素顔などが見られますよ!　光子(天海祐希)が、1品しか出せないという屋台のメニューに選んだ鴨のコンフィは、999円という価格、二流の鴨の欠点を感じさせない洗練されたカレー風味が受け、大人気となっていた。同じ頃、篠田(小泉孝太郎)は、三ツ星レストランの味を手頃な値段で楽しめる新店舗「ネオ・ビストロ・ラ・レーヌ」のオープンを控え、メニューの最終調整をしていた。そこへ、新人スタッフが光子の鴨のコンフィを購入し持ってくる。シェフの奥寺(豊原功補)とともにそれを食べた篠田は、想像以上のおいしさに衝撃を受ける。  　一方、荒木(遠藤憲一)が作った給食の献立に、オニオングラタンスープがあると気づいた光子はテンションがあがる。自分にとって特別な一品だという光子に、荒木は高級食材を使ったスープではダメだと警告。しかし光子は、三ツ星レストランのレシピとまったく同じで給食の予算にはめられる上に、絶対子供が大好きな味だと自信満々。すると、晴子(川口春奈)が、子供の好みに関心のない光子が作るオニオングラタンスープよりはるかにおいしい、特別なレシピで作るオニオングラタンスープを知っていると言った。光子は、自分のスープを食べたら考えが変わると余裕を見せるが、晴子は絶対に変わらないと譲らない。翌朝、晴子が調理室に入ると、光子がスープの下ごしらえをしていた。光子がスープについて話すうち、晴子の顔が曇り、怒りをあらわにするようになる。天海祐希　  小泉孝太郎　  川口春奈　  荒川良々　  池田成志　  市川しんぺー　  伊藤修子  　・　  豊原功補  　・　  友近　  遠藤憲一　    他【脚本】  浜田秀哉(『ナオミとカナコ』、『ラストホープ』他)　    【演出】  平野眞(『5→9　～私に恋したお坊さん～』、『HERO』他)　  田中亮(『ラスト・シンデレラ』、『オトナ女子』他)　  森脇智延(『HERO』、『医龍-Team　Medical　Dragon-』他)　    【プロデュース】  長部聡介(『離婚弁護士』、『医龍-Team　Medical　Dragon-』他)　高田雄貴(『OUR　HOUSE』、『テディ・ゴー!』他)　    【主題歌】  松任谷由実「Smile　for　me」(EMI　Records/ユニバーサルミュージック)　    【制作】  フジテレビ</t>
  </si>
  <si>
    <t xml:space="preserve">　光子(天海祐希)が、1品しか出せないという屋台のメニューに選んだ鴨のコンフィは、999円という価格、二流の鴨の欠点を感じさせない洗練されたカレー風味が受け、大人気となっていた。同じ頃、篠田(小泉孝太郎)は、三ツ星レストランの味を手頃な値段で楽しめる新店舗「ネオ・ビストロ・ラ・レーヌ」のオープンを控え、メニューの最終調整をしていた。そこへ、新人スタッフが光子の鴨のコンフィを購入し持ってくる。シェフの奥寺(豊原功補)とともにそれを食べた篠田は、想像以上のおいしさに衝撃を受ける。  　一方、荒木(遠藤憲一)が作った給食の献立に、オニオングラタンスープがあると気づいた光子はテンションがあがる。自分にとって特別な一品だという光子に、荒木は高級食材を使ったスープではダメだと警告。しかし光子は、三ツ星レストランのレシピとまったく同じで給食の予算にはめられる上に、絶対子供が大好きな味だと自信満々。すると、晴子(川口春奈)が、子供の好みに関心のない光子が作るオニオングラタンスープよりはるかにおいしい、特別なレシピで作るオニオングラタンスープを知っていると言った。光子は、自分のスープを食べたら考えが変わると余裕を見せるが、晴子は絶対に変わらないと譲らない。翌朝、晴子が調理室に入ると、光子がスープの下ごしらえをしていた。光子がスープについて話すうち、晴子の顔が曇り、怒りをあらわにするようになる。</t>
  </si>
  <si>
    <t>番組名&lt;木曜劇場&gt;Chef　～三ツ星の給食～　#07</t>
  </si>
  <si>
    <t>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見られますよ!光子(天海祐希)が999円の「鴨のコンフィ」一品で勝負する屋台は、連日行列ができる盛況ぶり。一方、篠田(小泉孝太郎)がオープンした「ネオ・ビストロ・ラ・レーヌ」も、若い客たちで賑わっていた。本家の「ラ・キュイジーヌ・ドゥ・ラ・レーヌ」も、相変わらず予約は3年待ちという人気で、篠田はご機嫌だった。早紀(友近)から「ネオ・ビストロ」の2号店をどこに出すのかと聞かれると、光子がいつも最高のヒントをくれるのだ、と不敵な笑みを見せる。  小学校では、荒木(遠藤憲一)が、子どもたちに人気の「魚と野菜のハンバーグ」を改良すると言う。すでに人気のメニューを変える必要はないのでは、と晴子(川口春奈)が聞くと、子どもたちが野菜と魚を食べさせるためのメニューだと気が付いて残す量が少し増えてきたことを受けて、さらに残食率を下げるための新しいメニューが必要だと荒木は返した。現状に満足せず、新メニューを考え始めた給食チームに、光子は、自分も屋台の新メニューを考案中だと明かす。  そんな折、光子が屋台の準備に向かおうとすると、目の前に巨大なキッチンカーが止まった。降り立ったのは篠田で、今日から光子と同業者だと告げた。「ラ・レーヌ」の新事業は「ネオ・ビストロ」のコンセプトを進化させたフレンチ屋台「スタンド・ラ・レーヌ」だと言う。屋台での経験は自分が上だと言う光子に、篠田は屋台には屋台のルールがあると笑みを浮かべる。天海祐希　  小泉孝太郎　  川口春奈　  荒川良々　  池田成志　  市川しんぺー　  伊藤修子  　・　  豊原功補  　・　  友近　  遠藤憲一　    他【脚本】  浜田秀哉(『ナオミとカナコ』、『ラストホープ』他)　    【演出】  平野眞(『5→9　～私に恋したお坊さん～』、『HERO』他)　  田中亮(『ラスト・シンデレラ』、『オトナ女子』他)　  森脇智延(『HERO』、『医龍-Team　Medical　Dragon-』他)　    【プロデュース】  長部聡介(『離婚弁護士』、『医龍-Team　Medical　Dragon-』他)　高田雄貴(『OUR　HOUSE』、『テディ・ゴー!』他)　    【主題歌】  松任谷由実「Smile　for　me」(EMI　Records/ユニバーサルミュージック)　    【制作】  フジテレビ</t>
  </si>
  <si>
    <t>光子(天海祐希)が999円の「鴨のコンフィ」一品で勝負する屋台は、連日行列ができる盛況ぶり。一方、篠田(小泉孝太郎)がオープンした「ネオ・ビストロ・ラ・レーヌ」も、若い客たちで賑わっていた。本家の「ラ・キュイジーヌ・ドゥ・ラ・レーヌ」も、相変わらず予約は3年待ちという人気で、篠田はご機嫌だった。早紀(友近)から「ネオ・ビストロ」の2号店をどこに出すのかと聞かれると、光子がいつも最高のヒントをくれるのだ、と不敵な笑みを見せる。  小学校では、荒木(遠藤憲一)が、子どもたちに人気の「魚と野菜のハンバーグ」を改良すると言う。すでに人気のメニューを変える必要はないのでは、と晴子(川口春奈)が聞くと、子どもたちが野菜と魚を食べさせるためのメニューだと気が付いて残す量が少し増えてきたことを受けて、さらに残食率を下げるための新しいメニューが必要だと荒木は返した。現状に満足せず、新メニューを考え始めた給食チームに、光子は、自分も屋台の新メニューを考案中だと明かす。  そんな折、光子が屋台の準備に向かおうとすると、目の前に巨大なキッチンカーが止まった。降り立ったのは篠田で、今日から光子と同業者だと告げた。「ラ・レーヌ」の新事業は「ネオ・ビストロ」のコンセプトを進化させたフレンチ屋台「スタンド・ラ・レーヌ」だと言う。屋台での経験は自分が上だと言う光子に、篠田は屋台には屋台のルールがあると笑みを浮かべる。</t>
  </si>
  <si>
    <t>番組名&lt;木曜劇場&gt;Chef　～三ツ星の給食～【水が使えない!大逆転給食!】　#08</t>
  </si>
  <si>
    <t>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見られますよ!小学校で、1学期に1度の「お楽しみ給食」の日がやってきた。メニューは、荒木(遠藤憲一)特製のピザトーストとコーンポタージュで、前学期に子供たちに人気だったものだ。光子(天海祐希)は、自分が作れば何倍もおいしくなると豪語。荒木も、それならやってみろ、と応じる。早速、さまざまな工夫を織り交ぜ調理の準備に入る光子に、晴子(川口春奈)も、さらにおいしくなりそうだと興味を寄せる。  そのころ、厳しい審査基準で知られる世界的な料理雑誌が主催するレストランの格付けの発表が迫り、3年連続で三ツ星を獲得している「ラ・キュイジーヌ・ドゥ・ラ・レーヌ」が、光子なき後で、再び三ツ星を維持できるかが注目されていた。早紀(友近)は番組で大々的に取り上げたいと考えていた。一方、「ラ・キュイジーヌ・ドゥ・ラ・レーヌ」では、シェフ・奥寺(豊原功補)が、三ツ星を維持するために、例のメニューを出し始めるかと篠田(小泉孝太郎)に聞いていた。篠田は施錠された机から取り出したレシピを渡すと試作するよう命じた。  「お楽しみ給食」を作り始めようとした時、調理室エリアを含む学校のすべての水道から茶色の水が出ていることが分かった。検査すると、水道管工事の影響でさびが出たと判明。校長は子供たちを帰宅させ給食も中止にすると言った。水がなければ調理も、野菜を洗うこともできない。中止は当然と思われたが、光子は給食は休まないと宣言する。天海祐希　  小泉孝太郎　  川口春奈　  荒川良々　  池田成志　  市川しんぺー　  伊藤修子  　・　  豊原功補  　・　  友近　  遠藤憲一　    他【脚本】  浜田秀哉(『ナオミとカナコ』、『ラストホープ』他)　    【演出】  平野眞　  田中亮　  森脇智延　    【プロデュース】  長部聡介　  高田雄貴　    【主題歌】  松任谷由実「Smile　for　me」(EMI　Records/ユニバーサルミュージック)　    【制作】  フジテレビ第一制作センター</t>
  </si>
  <si>
    <t>小学校で、1学期に1度の「お楽しみ給食」の日がやってきた。メニューは、荒木(遠藤憲一)特製のピザトーストとコーンポタージュで、前学期に子供たちに人気だったものだ。光子(天海祐希)は、自分が作れば何倍もおいしくなると豪語。荒木も、それならやってみろ、と応じる。早速、さまざまな工夫を織り交ぜ調理の準備に入る光子に、晴子(川口春奈)も、さらにおいしくなりそうだと興味を寄せる。  そのころ、厳しい審査基準で知られる世界的な料理雑誌が主催するレストランの格付けの発表が迫り、3年連続で三ツ星を獲得している「ラ・キュイジーヌ・ドゥ・ラ・レーヌ」が、光子なき後で、再び三ツ星を維持できるかが注目されていた。早紀(友近)は番組で大々的に取り上げたいと考えていた。一方、「ラ・キュイジーヌ・ドゥ・ラ・レーヌ」では、シェフ・奥寺(豊原功補)が、三ツ星を維持するために、例のメニューを出し始めるかと篠田(小泉孝太郎)に聞いていた。篠田は施錠された机から取り出したレシピを渡すと試作するよう命じた。  「お楽しみ給食」を作り始めようとした時、調理室エリアを含む学校のすべての水道から茶色の水が出ていることが分かった。検査すると、水道管工事の影響でさびが出たと判明。校長は子供たちを帰宅させ給食も中止にすると言った。水がなければ調理も、野菜を洗うこともできない。中止は当然と思われたが、光子は給食は休まないと宣言する。</t>
  </si>
  <si>
    <t>番組名&lt;木曜劇場&gt;Chef　～三ツ星の給食～【給食室消滅?セロリで大逆転】　#09</t>
  </si>
  <si>
    <t>光子(天海祐希)の屋台に現れた奥寺(豊原功補)は、光子に頭を下げると助けてほしいと言った。世界的な料理雑誌が主催するレストランの格付け審査が迫る中、今年新作を発表していない「ラ・キュイジーヌ・ドゥ・ラ・レーヌ」は、このままでは審査で最も重要な「料理の独創性」がクリアできない。そこで篠田(小泉孝太郎)は、光子の未発表のレシピ「三種の神器のトゥルト」を出すと決断。早速、奥寺が試作したが難易度が高く料理を完成できないと明かした。すると光子は、火加減の細かい指示など具体的な調理のポイントを教える。なぜ結果的に光子を裏切った形になった自分に教えてくれるのかと聞く奥寺に、自分は「三種の神器を超える」料理をいくらでも生み出せるからだと答えた。  そんな頃、小学校では「地産地消イベント」の一環で、給食に地元で取れたセロリを使うことが決まった。荒木(遠藤憲一)は、来週にでもメニューに組み込みたいと言うが、セロリは子供たちに不人気で、残食率が高く“残食王"の異名を取るという。それを聞いた光子は、残食王の汚名を晴らしてやると奮い立つ。ところが数日後、光子は荒木に呼び出され自宅に行くと、晴子(川口春奈)ら給食チームがぼうぜんとしていた。荒木は、年内で三つ葉小学校の給食が給食センターに移行し、学校内での調理ができなくなると告げた。作業は民間委託になるため、調理師補助は全員クビ。突然のことに驚く光子は…。天海祐希　  小泉孝太郎　  川口春奈　  荒川良々　  池田成志　  市川しんぺー　  伊藤修子  　・　  豊原功補  　・　  友近　  遠藤憲一　    他【脚本】  浜田秀哉(『ナオミとカナコ』、『ラストホープ』他)　    【演出】  平野眞　  田中亮　  森脇智延　    【プロデュース】  長部聡介　  高田雄貴　    【主題歌】  松任谷由実「Smile　for　me」(EMI　Records/ユニバーサルミュージック)　    【制作】  フジテレビ第一制作センター</t>
  </si>
  <si>
    <t>光子(天海祐希)の屋台に現れた奥寺(豊原功補)は、光子に頭を下げると助けてほしいと言った。世界的な料理雑誌が主催するレストランの格付け審査が迫る中、今年新作を発表していない「ラ・キュイジーヌ・ドゥ・ラ・レーヌ」は、このままでは審査で最も重要な「料理の独創性」がクリアできない。そこで篠田(小泉孝太郎)は、光子の未発表のレシピ「三種の神器のトゥルト」を出すと決断。早速、奥寺が試作したが難易度が高く料理を完成できないと明かした。すると光子は、火加減の細かい指示など具体的な調理のポイントを教える。なぜ結果的に光子を裏切った形になった自分に教えてくれるのかと聞く奥寺に、自分は「三種の神器を超える」料理をいくらでも生み出せるからだと答えた。  そんな頃、小学校では「地産地消イベント」の一環で、給食に地元で取れたセロリを使うことが決まった。荒木(遠藤憲一)は、来週にでもメニューに組み込みたいと言うが、セロリは子供たちに不人気で、残食率が高く“残食王"の異名を取るという。それを聞いた光子は、残食王の汚名を晴らしてやると奮い立つ。ところが数日後、光子は荒木に呼び出され自宅に行くと、晴子(川口春奈)ら給食チームがぼうぜんとしていた。荒木は、年内で三つ葉小学校の給食が給食センターに移行し、学校内での調理ができなくなると告げた。作業は民間委託になるため、調理師補助は全員クビ。突然のことに驚く光子は…。</t>
  </si>
  <si>
    <t>番組名&lt;木曜劇場&gt;Chef　～三ツ星の給食～【奇跡起こせ!三ツ星の給食】　#10</t>
  </si>
  <si>
    <t>番組公式ホームページは、　http://www.fujitv.co.jp/Chef/　  ここでしか見られないインタビューはもちろん、キャラクター紹介、そしてオリジナルコンテンツが目白押しです!    番組公式twitterは、　https://twitter.com/Chef_fuji　  撮影現場での裏話やキャストの素顔などが見られますよ!篠田(小泉孝太郎)から「ラ・キュイジーヌ・ドゥ・ラ・レーヌ」に戻ってほしいと頼まれた光子(天海祐希)は、自分を追い出しておいて今さら身勝手な言い分だと反発する。しかし篠田は意外な告白をして、光子が輝けるのは三ツ星のステージだと言い残して去って行く。予想もしなかった篠田の言葉に、光子も内心揺れ動く。そんなふたりのやりとりを、晴子(川口春奈)が目撃する。  荒木(遠藤憲一)は、校長・坂東(春風ひとみ)とともに市長を訪ね、学校で開催する「給食の地産地消イベント」に来てほしいと要請する。荒木は、うちの給食は世界一だと言ってしまう。イベントまで1週間となった頃、給食で使用する地元野菜のサンプルが届けられた。しいたけ、ピーマン、ネギ、セロリで、光子は、どれも最高の食材だと目を輝かせるが、荒木らは絶句。それは「残食四天王」と言われる、子どもが最も苦手な野菜だった。これを最高においしくすることが、給食をアピールする絶好のチャンスだと光子は言うが、荒木のメニュー作りは難航。3日前になっても、しいたけを使ったメインのメニューが決まらない。早紀(友近)は、イベントを盛り上げるべく、イベントをアピールする動画を制作してネット上で流すことを提案する。一方、奥寺(豊原功補)は光子のアドバイスを受けて「三種の神器のトゥルト」の改良に取り組んでいた。イベントが迫ったある夜、光子は篠田と向かい合い…。天海祐希　  小泉孝太郎　  川口春奈　  荒川良々　  池田成志　  市川しんぺー　  伊藤修子  　・　  豊原功補  　・　  友近　  遠藤憲一　    他【脚本】  浜田秀哉(『ナオミとカナコ』、『ラストホープ』他)　    【演出】  平野眞　  田中亮　  森脇智延　    【プロデュース】  長部聡介　  高田雄貴　    【主題歌】  松任谷由実「Smile　for　me」(EMI　Records/ユニバーサルミュージック)　    【制作】  フジテレビ第一制作センター</t>
  </si>
  <si>
    <t>篠田(小泉孝太郎)から「ラ・キュイジーヌ・ドゥ・ラ・レーヌ」に戻ってほしいと頼まれた光子(天海祐希)は、自分を追い出しておいて今さら身勝手な言い分だと反発する。しかし篠田は意外な告白をして、光子が輝けるのは三ツ星のステージだと言い残して去って行く。予想もしなかった篠田の言葉に、光子も内心揺れ動く。そんなふたりのやりとりを、晴子(川口春奈)が目撃する。  荒木(遠藤憲一)は、校長・坂東(春風ひとみ)とともに市長を訪ね、学校で開催する「給食の地産地消イベント」に来てほしいと要請する。荒木は、うちの給食は世界一だと言ってしまう。イベントまで1週間となった頃、給食で使用する地元野菜のサンプルが届けられた。しいたけ、ピーマン、ネギ、セロリで、光子は、どれも最高の食材だと目を輝かせるが、荒木らは絶句。それは「残食四天王」と言われる、子どもが最も苦手な野菜だった。これを最高においしくすることが、給食をアピールする絶好のチャンスだと光子は言うが、荒木のメニュー作りは難航。3日前になっても、しいたけを使ったメインのメニューが決まらない。早紀(友近)は、イベントを盛り上げるべく、イベントをアピールする動画を制作してネット上で流すことを提案する。一方、奥寺(豊原功補)は光子のアドバイスを受けて「三種の神器のトゥルト」の改良に取り組んでいた。イベントが迫ったある夜、光子は篠田と向かい合い…。</t>
  </si>
  <si>
    <t>1610_CX_日21</t>
  </si>
  <si>
    <t>キャリア</t>
  </si>
  <si>
    <t>番組名キャリア～掟破りの警察署長～　#01</t>
  </si>
  <si>
    <t>ホームページ　  http://www.fujitv.co.jp/career/　    ツイッター　  @CAREER_fujitv　北町署に新たなキャリア署長が就任する日、署員は歓迎式の準備もあって浮ついていた。同じころ、市民の乗ったバスが男にジャックされる。しかし男の持ち物から事前に犯行を察知していた遠山金志郎(玉木宏)は犯人を説得し、バスごと北町署に横づけさせて見事に事件を解決してしまう。彼こそが、北町署の新署長だったー。  　キャリアらしくない金志郎は、叩き上げの刑事・南洋三(高嶋政宏)や女性刑事の相川実里(瀧本美織)、副署長の半田順二(柳沢慎吾)らに気軽に接する。キャリアらしからぬ金志郎の振る舞いに戸惑う刑事たち。昔の事件がきっかけでキャリアに対して反発心を抱くようになった南は、金志郎が気に入らない。  　そのころ南たちは、指名手配中の連続強盗殺人犯・谷口を追っていた。谷口は現金1億円を持って逃走していた。刑事課にふらっとやってきた金志郎は、被害通報件数No.1の落書きを捜査すべきだと提案する。落書きを取り締まって治安が回復したという海外の例を持ち出し、ついには刑事の勘で「落書きと手配犯が繋がる」と言い出す。南は、現場への口出しは無用、と言って取り合わない。  　制服を脱ぎ捨て普段着で街に出た金志郎は、勝手に落書きの捜査を始める。といっても、単なる落書き消し。手配犯の捜査から外され、金志郎の案内係を命じられた実里は不満を隠せない。そんな中、街中の落書きにあるメッセージが隠されていることがわかり…。遠山金志郎(36):　玉木宏　  南洋三(51):　高嶋政宏　  相川実里(25):　瀧本美織　  松本秀樹:　白洲迅　  元山照夫:　半海一晃　  加納理香:　知花くらら　  水口琢郎:　平山祐介　  花岡市太郎:　勝矢　  南めぐみ:　駒井蓮　  青木忍:　松本岳  　　・　　  南みどり:　田中美奈子  　　・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</si>
  <si>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 xml:space="preserve">　北町署に新たなキャリア署長が就任する日、署員は歓迎式の準備もあって浮ついていた。同じころ、市民の乗ったバスが男にジャックされる。しかし男の持ち物から事前に犯行を察知していた遠山金志郎(玉木宏)は犯人を説得し、バスごと北町署に横づけさせて見事に事件を解決してしまう。彼こそが、北町署の新署長だったー。  　キャリアらしくない金志郎は、叩き上げの刑事・南洋三(高嶋政宏)や女性刑事の相川実里(瀧本美織)、副署長の半田順二(柳沢慎吾)らに気軽に接する。キャリアらしからぬ金志郎の振る舞いに戸惑う刑事たち。昔の事件がきっかけでキャリアに対して反発心を抱くようになった南は、金志郎が気に入らない。  　そのころ南たちは、指名手配中の連続強盗殺人犯・谷口を追っていた。谷口は現金1億円を持って逃走していた。刑事課にふらっとやってきた金志郎は、被害通報件数No.1の落書きを捜査すべきだと提案する。落書きを取り締まって治安が回復したという海外の例を持ち出し、ついには刑事の勘で「落書きと手配犯が繋がる」と言い出す。南は、現場への口出しは無用、と言って取り合わない。  　制服を脱ぎ捨て普段着で街に出た金志郎は、勝手に落書きの捜査を始める。といっても、単なる落書き消し。手配犯の捜査から外され、金志郎の案内係を命じられた実里は不満を隠せない。そんな中、街中の落書きにあるメッセージが隠されていることがわかり…。</t>
  </si>
  <si>
    <t>番組名キャリア～掟破りの警察署長～　#02</t>
  </si>
  <si>
    <t>ホームページ　  http://www.fujitv.co.jp/career/　    ツイッター　  @CAREER_fujitv　北町署で、子どもたちを集めた署内見学会が行われた。発案者はもちろん、署長の遠山金志郎(玉木宏)だ。その案内係を命じられた実里(瀧本美織)は、言うことを聞かない子どもたちに手を焼くばかり。すると、その中のひとり・友樹(松浦理仁)が「これでオオカミ男を捕まえられる?」といって手錠を持ち出し、金志郎と南(高嶋政宏)を手錠でつなぐと、何と手錠の鍵を飲み込んでしまう。幸い友樹にケガはなかったが、鍵は自然に出てくるのを待つしかなく、金志郎と南はしばらく手錠で繋がったままに…。  　そんな騒動の中、金志郎は、女性の悲鳴が聞こえたという通報に目を留める。金志郎は、通報者の女性を北町署に呼んで話を聞いた。その女性によれば、悲鳴は友樹の家でもある大鳥家から聞こえてきたのだという。友樹の母・真理恵(霧島れいか)に会い、彼女が夫からDVを受けているのではないかと疑う実里。  　実はそのころ、南たちは、駅前のマンションで会社社長の愛人が殺害された事件を追っており、社長の弁護士を務める友樹の父親・敦彦(飯田基祐)から証言を得ようとしていた。敦彦にDV疑惑があることを知った南は、いま彼ともめ事を起こすわけにはいかない、と言うと、被害届も出ていない以上何もできないと主張する。「どうしてあげたいですか?」と金志郎から問いかけられた実里は、真理恵の元を訪れるが…。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</si>
  <si>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 xml:space="preserve">　北町署で、子どもたちを集めた署内見学会が行われた。発案者はもちろん、署長の遠山金志郎(玉木宏)だ。その案内係を命じられた実里(瀧本美織)は、言うことを聞かない子どもたちに手を焼くばかり。すると、その中のひとり・友樹(松浦理仁)が「これでオオカミ男を捕まえられる?」といって手錠を持ち出し、金志郎と南(高嶋政宏)を手錠でつなぐと、何と手錠の鍵を飲み込んでしまう。幸い友樹にケガはなかったが、鍵は自然に出てくるのを待つしかなく、金志郎と南はしばらく手錠で繋がったままに…。  　そんな騒動の中、金志郎は、女性の悲鳴が聞こえたという通報に目を留める。金志郎は、通報者の女性を北町署に呼んで話を聞いた。その女性によれば、悲鳴は友樹の家でもある大鳥家から聞こえてきたのだという。友樹の母・真理恵(霧島れいか)に会い、彼女が夫からDVを受けているのではないかと疑う実里。  　実はそのころ、南たちは、駅前のマンションで会社社長の愛人が殺害された事件を追っており、社長の弁護士を務める友樹の父親・敦彦(飯田基祐)から証言を得ようとしていた。敦彦にDV疑惑があることを知った南は、いま彼ともめ事を起こすわけにはいかない、と言うと、被害届も出ていない以上何もできないと主張する。「どうしてあげたいですか?」と金志郎から問いかけられた実里は、真理恵の元を訪れるが…。</t>
  </si>
  <si>
    <t>番組名キャリア～掟破りの警察署長～　#03</t>
  </si>
  <si>
    <t>「SMBCプロ野球日本シリーズ2016　第2戦～野球道～広島×日本ハム」延長の際は、放送時間繰り下げの場合あり。ホームページ　  http://www.fujitv.co.jp/career/　    ツイッター　  @CAREER_fujitv　金志郎(玉木宏)がオープンカフェの前で知り合った城山(柴田義之)が倒れ病院に緊急搬送された。城山はひとり暮らしの高齢者で、車椅子生活を送っていた。署長室を抜け出した金志郎は、刑事課の南(高嶋政宏)や実里(瀧本美織)を追って搬送先の病院を訪れる。するとそこに、城山が利用していた介護施設で働く女性・奥田百合子(奥菜恵)が知らせを聞いてやってくる。だが、百合子の姿を見た城山の息子(小林博)は、彼女が遺産目当てで父を殺そうとした、と言い出す。実は城山は、百合子に財産を譲るために遺言書を書き換えていた。百合子は、城山宅の合鍵を持っていること、当日も午後3時に城山を送り届けた後、午後6時まで彼の家にいたことを金志郎たちに話す。しかし、城山が遺言書を書き換えたことは知らなかったという。  　南たちとともに百合子が働く介護施設を訪れた金志郎は、入居者の木暮(唐沢民賢)から、百合子が城山宅を出た後、近所の公園まで一緒に散歩に行ったという証言を得る。ふたりが散歩していたのは、百合子が城山の家を出た午後6時から8時半まで。城山が発見されたのは午後8時過ぎだったため、百合子のアリバイは成立していた。それでも南たちが百合子に疑いを向けていることを知った金志郎は、決めつけの捜査が冤罪(えんざい)を生む、と主張する。ところが、公園管理員の証言から、百合子と木暮は公園に来ていなかったことが判明し…。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</si>
  <si>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 xml:space="preserve">　金志郎(玉木宏)がオープンカフェの前で知り合った城山(柴田義之)が倒れ病院に緊急搬送された。城山はひとり暮らしの高齢者で、車椅子生活を送っていた。署長室を抜け出した金志郎は、刑事課の南(高嶋政宏)や実里(瀧本美織)を追って搬送先の病院を訪れる。するとそこに、城山が利用していた介護施設で働く女性・奥田百合子(奥菜恵)が知らせを聞いてやってくる。だが、百合子の姿を見た城山の息子(小林博)は、彼女が遺産目当てで父を殺そうとした、と言い出す。実は城山は、百合子に財産を譲るために遺言書を書き換えていた。百合子は、城山宅の合鍵を持っていること、当日も午後3時に城山を送り届けた後、午後6時まで彼の家にいたことを金志郎たちに話す。しかし、城山が遺言書を書き換えたことは知らなかったという。  　南たちとともに百合子が働く介護施設を訪れた金志郎は、入居者の木暮(唐沢民賢)から、百合子が城山宅を出た後、近所の公園まで一緒に散歩に行ったという証言を得る。ふたりが散歩していたのは、百合子が城山の家を出た午後6時から8時半まで。城山が発見されたのは午後8時過ぎだったため、百合子のアリバイは成立していた。それでも南たちが百合子に疑いを向けていることを知った金志郎は、決めつけの捜査が冤罪(えんざい)を生む、と主張する。ところが、公園管理員の証言から、百合子と木暮は公園に来ていなかったことが判明し…。</t>
  </si>
  <si>
    <t>番組名キャリア～掟破りの警察署長～　#04</t>
  </si>
  <si>
    <t>ホームページ　  http://www.fujitv.co.jp/career/　    ツイッター　  @CAREER_fujitv　金志郎(玉木宏)は、副署長の半田(柳沢慎吾)から頼まれて、署員たちのあいさつや身だしなみの抜き打ち検査をしていた。するとそこに、刑事課の水口(平山祐介)が駆け込んでくる。署に来る途中、建物上階から花瓶が落ちてきて命を狙われた、というのだ。南(高嶋政宏)は、考えすぎだと水口を諭すと、机の上にあった差出人不明の封筒を手に取った。が、その中には、脅迫状とカッターナイフの刃が入っていて…。  　南は、家出した女子高生の捜索願や窃盗事件を後回しにして、強盗致傷事件に集中するよう、松本(白洲迅)に告げる。そこにやってきた金志郎は、脅迫状の送り主を見つけてからでもいいのではないか、と南に助言した。だが、南は聞く耳を持たない。金志郎は、水口が南からもらったジャケットを着ていたことから、狙われているのは南だと判断し、ベテラン刑事の元山(半海一晃)に、南を恨んでいそうな人物のリストアップを依頼する。　金志郎は、実里(瀧本美織)とともに、リストアップされた人物を調べ始める。ところがその矢先、南のもとに、娘のめぐみ(駒井蓮)のスマートフォンが入った郵便物が届けられる。その中には、車の後部座席で後ろ手に縛られているめぐみの画像があった。  　事件を受け、警視庁の秋嶋方面本部長(東根作寿英)が捜査の指揮をすることになった。そんな中、南は、誘拐犯から、全国ネットのテレビ中継で謝罪するよう命じられ…。遠山金志郎(36):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</si>
  <si>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 xml:space="preserve">　金志郎(玉木宏)は、副署長の半田(柳沢慎吾)から頼まれて、署員たちのあいさつや身だしなみの抜き打ち検査をしていた。するとそこに、刑事課の水口(平山祐介)が駆け込んでくる。署に来る途中、建物上階から花瓶が落ちてきて命を狙われた、というのだ。南(高嶋政宏)は、考えすぎだと水口を諭すと、机の上にあった差出人不明の封筒を手に取った。が、その中には、脅迫状とカッターナイフの刃が入っていて…。  　南は、家出した女子高生の捜索願や窃盗事件を後回しにして、強盗致傷事件に集中するよう、松本(白洲迅)に告げる。そこにやってきた金志郎は、脅迫状の送り主を見つけてからでもいいのではないか、と南に助言した。だが、南は聞く耳を持たない。金志郎は、水口が南からもらったジャケットを着ていたことから、狙われているのは南だと判断し、ベテラン刑事の元山(半海一晃)に、南を恨んでいそうな人物のリストアップを依頼する。　金志郎は、実里(瀧本美織)とともに、リストアップされた人物を調べ始める。ところがその矢先、南のもとに、娘のめぐみ(駒井蓮)のスマートフォンが入った郵便物が届けられる。その中には、車の後部座席で後ろ手に縛られているめぐみの画像があった。  　事件を受け、警視庁の秋嶋方面本部長(東根作寿英)が捜査の指揮をすることになった。そんな中、南は、誘拐犯から、全国ネットのテレビ中継で謝罪するよう命じられ…。</t>
  </si>
  <si>
    <t>番組名キャリア～掟破りの警察署長～　#05</t>
  </si>
  <si>
    <t>ホームページ　  http://www.fujitv.co.jp/career/　    ツイッター　  @CAREER_fujitv　金志郎(玉木宏)たち北町署の面々は、1日警察署長として人気ドラマ『暴れん坊刑事』の主演俳優・小松平健介(新納慎也)を迎える。女性アイドルではないことでテンションが下がっている松本(白洲迅)や水口(平山祐介)とは対照的に、ドラマの大ファンだった実里(瀧本美織)はメイクもバッチリ決めて浮かれていた。  　警視庁の広報課長・春本(阪田マサノブ)とともに北町署にやってきた小松平は、実里を見つけるなり案内役を頼み、彼女とのツーショット写真をSNSにアップする。だが、金志郎とふたりきりになるといきなり態度が変わり「1日署長をやっておいたら交通違反をもみ消してくれるでしょ?」などと言いだし…。  　小松平は、万引きで逮捕された主婦を言葉巧みに説得して反省させ、取材陣からも称賛を得ていた。ところがその矢先、署内に貼られていた小松平の警察広報用ポスターが何者かによって切り裂かれていることが判明。さらに、小松平の名前で、北町署にピザや寿司などが大量に出前され、署内は大騒ぎに。  　金志郎や南(高嶋政宏)は、恨みを持つ人物に心当たりがあるかどうか小松平に尋ねる。が、成功した人間に嫌がらせはつきものだ、とうそぶく小松平。春本は、安全を考慮し、予定されていたイベントの中止を主張する。しかし、今回の騒動を起こした人物がイベント会場に現れると確信した金志郎は、カメラ班を配置し、予定通りイベントを行うことにするが…。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</si>
  <si>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 xml:space="preserve">　金志郎(玉木宏)たち北町署の面々は、1日警察署長として人気ドラマ『暴れん坊刑事』の主演俳優・小松平健介(新納慎也)を迎える。女性アイドルではないことでテンションが下がっている松本(白洲迅)や水口(平山祐介)とは対照的に、ドラマの大ファンだった実里(瀧本美織)はメイクもバッチリ決めて浮かれていた。  　警視庁の広報課長・春本(阪田マサノブ)とともに北町署にやってきた小松平は、実里を見つけるなり案内役を頼み、彼女とのツーショット写真をSNSにアップする。だが、金志郎とふたりきりになるといきなり態度が変わり「1日署長をやっておいたら交通違反をもみ消してくれるでしょ?」などと言いだし…。  　小松平は、万引きで逮捕された主婦を言葉巧みに説得して反省させ、取材陣からも称賛を得ていた。ところがその矢先、署内に貼られていた小松平の警察広報用ポスターが何者かによって切り裂かれていることが判明。さらに、小松平の名前で、北町署にピザや寿司などが大量に出前され、署内は大騒ぎに。  　金志郎や南(高嶋政宏)は、恨みを持つ人物に心当たりがあるかどうか小松平に尋ねる。が、成功した人間に嫌がらせはつきものだ、とうそぶく小松平。春本は、安全を考慮し、予定されていたイベントの中止を主張する。しかし、今回の騒動を起こした人物がイベント会場に現れると確信した金志郎は、カメラ班を配置し、予定通りイベントを行うことにするが…。</t>
  </si>
  <si>
    <t>番組名キャリア～掟破りの警察署長～　#06</t>
  </si>
  <si>
    <t>ホームページ　  http://www.fujitv.co.jp/career/　    ツイッター　  @CAREER_fujitv　金志郎(玉木宏)にお見合い話が持ち上がった。相手は、警察庁長官官房長の愛娘だ。副署長の半田(柳沢慎吾)から、北町署の将来だけでなく自分の首もかかっている、と懇願された金志郎は、そのお見合いを承諾した。  　実里(瀧本美織)は、半田から、金志郎がお見合いに着ていくスーツのコーディネートを頼まれる。が、楽しそうにネクタイを選ぶ金志郎の姿に、なぜかモヤモヤした気持ちになり…。  　お見合い当日、北町署を出ようとしていた金志郎は、紙袋を持った男性・吉野(松尾諭)とぶつかってしまう。吉野は、署長につないでほしい、と言いかけたものの、そこに金志郎のお見合い話を聞きつけた主婦たちが押し寄せたため、その場を立ち去る。  　金志郎は、官房長の娘・佳奈子(山崎静代)と対面する。が、ふたりきりになった途端「どうせ断るんでしょう?」と言って泣き出す佳奈子。これまでに、99回も断られてきたのだという。佳奈子が、警察キャリアと結婚させたいという父親の期待に苦しんでいることを知った金志郎は、肩に力が入り過ぎて素敵な部分が伝わらなかっただけ、と慰める。  　同じころ北町署では、金志郎に会いたいという市民が殺到し、署員たちが対応に追われていた。その中には吉野の姿もあった。  　一方、実里は刑事だった金志郎の父親が殉職した事件のファイルをこっそり調べる。そこにやってきた南(高嶋政宏)は、実里からファイルを奪い取り…。遠山金志郎(36):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</si>
  <si>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 xml:space="preserve">　金志郎(玉木宏)にお見合い話が持ち上がった。相手は、警察庁長官官房長の愛娘だ。副署長の半田(柳沢慎吾)から、北町署の将来だけでなく自分の首もかかっている、と懇願された金志郎は、そのお見合いを承諾した。  　実里(瀧本美織)は、半田から、金志郎がお見合いに着ていくスーツのコーディネートを頼まれる。が、楽しそうにネクタイを選ぶ金志郎の姿に、なぜかモヤモヤした気持ちになり…。  　お見合い当日、北町署を出ようとしていた金志郎は、紙袋を持った男性・吉野(松尾諭)とぶつかってしまう。吉野は、署長につないでほしい、と言いかけたものの、そこに金志郎のお見合い話を聞きつけた主婦たちが押し寄せたため、その場を立ち去る。  　金志郎は、官房長の娘・佳奈子(山崎静代)と対面する。が、ふたりきりになった途端「どうせ断るんでしょう?」と言って泣き出す佳奈子。これまでに、99回も断られてきたのだという。佳奈子が、警察キャリアと結婚させたいという父親の期待に苦しんでいることを知った金志郎は、肩に力が入り過ぎて素敵な部分が伝わらなかっただけ、と慰める。  　同じころ北町署では、金志郎に会いたいという市民が殺到し、署員たちが対応に追われていた。その中には吉野の姿もあった。  　一方、実里は刑事だった金志郎の父親が殉職した事件のファイルをこっそり調べる。そこにやってきた南(高嶋政宏)は、実里からファイルを奪い取り…。</t>
  </si>
  <si>
    <t>番組名キャリア～掟破りの警察署長～　#07</t>
  </si>
  <si>
    <t>ホームページ　  http://www.fujitv.co.jp/career/　    ツイッター　  @CAREER_fujitv　金志郎(玉木宏)と実里(瀧本美織)は、理香(知花くらら)のヨガ教室で、クレーマー主婦4人のグループに遭遇する。体験入会で初めて教室にやってきたグループのひとり、朋世(黒谷友香)が、無理なポーズをさせられたせいで体を痛めた、と言い出したのだ。だが、金志郎が、医者に診てもらってはどうかと提案すると、グループのリーダー格・園子(楠見薫)は、捨て台詞を残し、皆を引き連れて去って行く。  　あくる日、今度は北町署に園子たちが現れる。同じ社宅に住んでいるという園子らは、ポストにゴミを入れられるなどの悪質な嫌がらせに遭い、被害届を出しにきたのだという。そこにやってきた南(高嶋政宏)は、園子たちと一緒にいる朋世の姿に驚く。実は南は、20年ほど前に起きたある事件で、朋世と知り合っていたのだ。被害届を受理した南は、社宅周辺の警備を強化することを約束し、朋世に名刺を手渡す。  　金志郎は、南の反対を押し切って、園子たちの一件を捜査する。しかし実里は、社宅内で園子たち4人だけが被害者、という点から、自業自得ではないかと言い出す。実際、園子たちは、他の店でもクレームをつけてはお詫びの品等を受け取っていたのだ。それでも捜査を止めない金志郎は、駐車場から男が逃げていくのを見た、という朋世の証言に不審を抱く。と同時に、主婦グループ内で朋世が1番弱い立場に置かれていることを知り…。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</si>
  <si>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 xml:space="preserve">　金志郎(玉木宏)と実里(瀧本美織)は、理香(知花くらら)のヨガ教室で、クレーマー主婦4人のグループに遭遇する。体験入会で初めて教室にやってきたグループのひとり、朋世(黒谷友香)が、無理なポーズをさせられたせいで体を痛めた、と言い出したのだ。だが、金志郎が、医者に診てもらってはどうかと提案すると、グループのリーダー格・園子(楠見薫)は、捨て台詞を残し、皆を引き連れて去って行く。  　あくる日、今度は北町署に園子たちが現れる。同じ社宅に住んでいるという園子らは、ポストにゴミを入れられるなどの悪質な嫌がらせに遭い、被害届を出しにきたのだという。そこにやってきた南(高嶋政宏)は、園子たちと一緒にいる朋世の姿に驚く。実は南は、20年ほど前に起きたある事件で、朋世と知り合っていたのだ。被害届を受理した南は、社宅周辺の警備を強化することを約束し、朋世に名刺を手渡す。  　金志郎は、南の反対を押し切って、園子たちの一件を捜査する。しかし実里は、社宅内で園子たち4人だけが被害者、という点から、自業自得ではないかと言い出す。実際、園子たちは、他の店でもクレームをつけてはお詫びの品等を受け取っていたのだ。それでも捜査を止めない金志郎は、駐車場から男が逃げていくのを見た、という朋世の証言に不審を抱く。と同時に、主婦グループ内で朋世が1番弱い立場に置かれていることを知り…。</t>
  </si>
  <si>
    <t>番組名キャリア～掟破りの警察署長～　#08</t>
  </si>
  <si>
    <t>ホームページ　  http://www.fujitv.co.jp/career/　    ツイッター　  @CAREER_fujitv　北町署の署長・遠山金志郎(玉木宏)のもとに、息子が昨晩オートバイ事故を起こして迷惑をかけた、と言って春日吾郎(田山涼成)という男がやってきた。だが、管内で事故の報告がなかったことから、吾郎は「オレオレ詐欺」に遭っていたことが判明する。連絡を受けて署にやってきた吾郎の息子・亮平(高橋光臣)は、詐欺に遭うなんて恥ずかしい、と父親を非難した。金志郎は、口論になった吾郎と亮平を落ち着かせようとするが、吾郎と不仲だった亮平は、金志郎の言葉に耳を貸さず、最低な父親だと言い放つ。  　ここ数週間で「オレオレ詐欺」の被害が多発していることを知った金志郎は、各不動産会社で最近入居した個人・法人の記録の調査を指示。ほどなく、詐欺グループのアジトと思われるマンションにたどり着く。そのマンションは、南洋三(高嶋政宏)の家のすぐ近所だった。  　金志郎と相川実里(瀧本美織)は、捜査中に腰を痛めて自宅療養を余儀なくされたものの、みどり(田中美奈子)とめぐみ(駒井蓮)が旅行に出かけてしまい、不便な生活を強いられていた南に事情を伝え、彼の家からマンションの監視をすることに。南の食事の世話もしながら監視を続けていた金志郎たちは、部屋に出入りしていた男・藤本(袴田吉彦)らの写真を撮る。そんな折、南家に、警視監の長下部(近藤正臣)まで現れ…。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</si>
  <si>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 xml:space="preserve">　北町署の署長・遠山金志郎(玉木宏)のもとに、息子が昨晩オートバイ事故を起こして迷惑をかけた、と言って春日吾郎(田山涼成)という男がやってきた。だが、管内で事故の報告がなかったことから、吾郎は「オレオレ詐欺」に遭っていたことが判明する。連絡を受けて署にやってきた吾郎の息子・亮平(高橋光臣)は、詐欺に遭うなんて恥ずかしい、と父親を非難した。金志郎は、口論になった吾郎と亮平を落ち着かせようとするが、吾郎と不仲だった亮平は、金志郎の言葉に耳を貸さず、最低な父親だと言い放つ。  　ここ数週間で「オレオレ詐欺」の被害が多発していることを知った金志郎は、各不動産会社で最近入居した個人・法人の記録の調査を指示。ほどなく、詐欺グループのアジトと思われるマンションにたどり着く。そのマンションは、南洋三(高嶋政宏)の家のすぐ近所だった。  　金志郎と相川実里(瀧本美織)は、捜査中に腰を痛めて自宅療養を余儀なくされたものの、みどり(田中美奈子)とめぐみ(駒井蓮)が旅行に出かけてしまい、不便な生活を強いられていた南に事情を伝え、彼の家からマンションの監視をすることに。南の食事の世話もしながら監視を続けていた金志郎たちは、部屋に出入りしていた男・藤本(袴田吉彦)らの写真を撮る。そんな折、南家に、警視監の長下部(近藤正臣)まで現れ…。</t>
  </si>
  <si>
    <t>番組名キャリア～掟破りの警察署長～　#09</t>
  </si>
  <si>
    <t>ホームページ　  http://www.fujitv.co.jp/career/　    ツイッター　  @CAREER_fujitv　金志郎(玉木宏)は、美容師の沙織(黒川芽以)がストーカー被害に遭っていることを知る。北町署刑事課を訪れた沙織は、元恋人の岡崎(中村倫也)から付きまとわれている、と松本(白洲迅)に相談した。別れ話に納得しなかった岡崎から離れるため、職場も変えてこの町に引っ越してきた沙織の前に、突然彼が現れたのだという。沙織は、ゴミが荒らされるなどの不審な出来事があったことも訴えた。しかし松本は、明確な被害がなければ警察は動けない、と返すしかなく…。  　岡崎が、婚約者だと名乗って勤め先の美容室にも現れたことを知った沙織は、再び北町署を訪れる。だが、それでも警察が動いてくれないことを知り、諦めて帰ろうとする沙織。金志郎は、彼女を追いかけ、何かあれば連絡してほしい、と刑事課の直通電話番号を伝える。  　そんな中、再び岡崎からの電話を受けた沙織は、刑事課に連絡する。が、電話に出た松本は、連行されてきた無銭飲食犯が暴れだしたこともあって、あとで連絡する、といって沙織からの電話を切ってしまう。すると、沙織の勤務先に岡崎が現れ、逃げようとした沙織が転倒してけがを負うという事件が起きる。それを知った金志郎は、沙織を訪ねて謝罪すると「市民からのSOSにきちんと応じていれば未然に防げた」と言って松本に自宅謹慎を命じる。金志郎は、実里(瀧本美織)に沙織の警護を頼むが…。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</si>
  <si>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 xml:space="preserve">　金志郎(玉木宏)は、美容師の沙織(黒川芽以)がストーカー被害に遭っていることを知る。北町署刑事課を訪れた沙織は、元恋人の岡崎(中村倫也)から付きまとわれている、と松本(白洲迅)に相談した。別れ話に納得しなかった岡崎から離れるため、職場も変えてこの町に引っ越してきた沙織の前に、突然彼が現れたのだという。沙織は、ゴミが荒らされるなどの不審な出来事があったことも訴えた。しかし松本は、明確な被害がなければ警察は動けない、と返すしかなく…。  　岡崎が、婚約者だと名乗って勤め先の美容室にも現れたことを知った沙織は、再び北町署を訪れる。だが、それでも警察が動いてくれないことを知り、諦めて帰ろうとする沙織。金志郎は、彼女を追いかけ、何かあれば連絡してほしい、と刑事課の直通電話番号を伝える。  　そんな中、再び岡崎からの電話を受けた沙織は、刑事課に連絡する。が、電話に出た松本は、連行されてきた無銭飲食犯が暴れだしたこともあって、あとで連絡する、といって沙織からの電話を切ってしまう。すると、沙織の勤務先に岡崎が現れ、逃げようとした沙織が転倒してけがを負うという事件が起きる。それを知った金志郎は、沙織を訪ねて謝罪すると「市民からのSOSにきちんと応じていれば未然に防げた」と言って松本に自宅謹慎を命じる。金志郎は、実里(瀧本美織)に沙織の警護を頼むが…。</t>
  </si>
  <si>
    <t>番組名キャリア～掟破りの警察署長～　#10</t>
  </si>
  <si>
    <t>ホームページ　  http://www.fujitv.co.jp/career/　    ツイッター　  @CAREER_fujitv　25年前、金志郎(玉木宏)の父・桜井周平(宇梶剛士)を射殺した真犯人を追っていた南(高嶋政宏)が拳銃で撃たれ、意識不明のまま病院に収容される。南を撃ったのは、元副総監の息子・桐島真司(中村俊介)だった。  　一方、真相を確かめるべく長下部(近藤正臣)に会いに行った金志郎は、上層部から呼び出される。そこで金志郎は、時効が成立している事件の捜査をさせた上、捜査員が撃たれた今回の事件の責任を問われ、謹慎処分と北町署署長の解任を言い渡される。  　金志郎の処分を受け、北町署の署長代理となった秋嶋(東根作寿英)は、半田副署長(柳沢慎吾)や実里(瀧本美織)ら署員たちに、署長官舎から姿を消し、桐島の行方を追っていると思われる金志郎の身柄を拘束するよう命じる。さらに秋嶋は、南を撃った犯人として、拳銃密売でマークされていた柴田という男をすでに逮捕したと皆に告げた。  　金志郎は、本庁の刑事たちに追われながらも、単身聞き込み捜査を続けていた。そんな金志郎の前に現れた北町署刑事課のメンバーーー松本(白洲迅)、元山(半海一晃)、水口(平山祐介)、花岡(勝矢)は、桐島が犯人であることを証明すべきだと申し出る。しかし金志郎は、父の事件は個人の問題だとして、この件に関わらないよう命じ…。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</si>
  <si>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 xml:space="preserve">　25年前、金志郎(玉木宏)の父・桜井周平(宇梶剛士)を射殺した真犯人を追っていた南(高嶋政宏)が拳銃で撃たれ、意識不明のまま病院に収容される。南を撃ったのは、元副総監の息子・桐島真司(中村俊介)だった。  　一方、真相を確かめるべく長下部(近藤正臣)に会いに行った金志郎は、上層部から呼び出される。そこで金志郎は、時効が成立している事件の捜査をさせた上、捜査員が撃たれた今回の事件の責任を問われ、謹慎処分と北町署署長の解任を言い渡される。  　金志郎の処分を受け、北町署の署長代理となった秋嶋(東根作寿英)は、半田副署長(柳沢慎吾)や実里(瀧本美織)ら署員たちに、署長官舎から姿を消し、桐島の行方を追っていると思われる金志郎の身柄を拘束するよう命じる。さらに秋嶋は、南を撃った犯人として、拳銃密売でマークされていた柴田という男をすでに逮捕したと皆に告げた。  　金志郎は、本庁の刑事たちに追われながらも、単身聞き込み捜査を続けていた。そんな金志郎の前に現れた北町署刑事課のメンバーーー松本(白洲迅)、元山(半海一晃)、水口(平山祐介)、花岡(勝矢)は、桐島が犯人であることを証明すべきだと申し出る。しかし金志郎は、父の事件は個人の問題だとして、この件に関わらないよう命じ…。</t>
  </si>
  <si>
    <t>1607_CX_月21</t>
  </si>
  <si>
    <t>好きな人がいること</t>
  </si>
  <si>
    <t>番組名好きな人がいること　#01</t>
  </si>
  <si>
    <t>番組公式HP　  http://www.fujitv.co.jp/sukinahitogairukoto/index.html　    番組公式Twitter  @Getsu9_Suki    番組公式LINE  フジ月9『好きな人がいること』公式パティシエの櫻井美咲(桐谷美玲)は、一流ホテルの中途採用試験に自作のウェディングケーキを持ち込んで披露する。しかし、面接官の評判は良くない。結果、不採用。レストランで愚痴る美咲は、後輩の石川若葉(阿部純子)からケーキを飾った人形のキス顏が唇を突き出しすぎだったからだと指摘される。悔しさがこみ上げる。心を落ち着かせ出ようとすると鍵が開かない。しばらくすると、店員が探しに来た。ドアをこじ開けた店員は美咲の初恋の人、柴崎千秋(三浦翔平)だった。  千秋に近況を話す美咲は一流ホテルのパティシエだが、今は厨房が改装中で休みだと嘘をつく。すると、千秋はその間、湘南にある自分のレストランで、住み込みで働かないかと美咲を誘った。  湘南に着いた美咲が、砂浜で写真を撮ってもらおうと相手を探すとひとりのサーファー(山崎賢人)が現れた。その男に強引にスマホを渡した美咲は、ジャンプの瞬間を撮ってもらおうとするが倒れてしまう。波もかぶってずぶ濡れの姿を撮影され、カチンと来る美咲。だが男は無愛想に去って行く。  柴崎家に着いた美咲。すると後ろから男に抱きつかれる。千秋?と、期待する美咲だが別人。冬真(野村周平)と名乗る男は千秋の弟で、一緒に住むことになると言う。さらにそこには先ほどの海の男も!柴崎家の次男で柴崎夏向といい、レストランを支えるシェフだと言う。美咲はこの3兄弟たちと共同生活をすることに!?桐谷美玲　  山崎賢人　  三浦翔平　  野村周平　    大原櫻子　  浜野謙太　  佐野ひなこ　  飯豊まりえ　    菜々緒　    吉田鋼太郎【脚本】  桑村さや香　    【音楽】  世武裕子　    【主題歌】  JY　「好きな人がいること」　(ソニー・ミュージックレコーズ)　    【プロデュース】  藤野良太　    【演出】  金井紘　  田中亮　  森脇智延　    【制作】  フジテレビ　ドラマ制作センター</t>
  </si>
  <si>
    <t xml:space="preserve">  フジ月9『好きな人がいること』公式パティシエの櫻井美咲(桐谷美玲)は、一流ホテルの中途採用試験に自作のウェディングケーキを持ち込んで披露する。しかし、面接官の評判は良くない。結果、不採用。レストランで愚痴る美咲は、後輩の石川若葉(阿部純子)からケーキを飾った人形のキス顏が唇を突き出しすぎだったからだと指摘される。悔しさがこみ上げる。心を落ち着かせ出ようとすると鍵が開かない。しばらくすると、店員が探しに来た。ドアをこじ開けた店員は美咲の初恋の人、柴崎千秋(三浦翔平)だった。  千秋に近況を話す美咲は一流ホテルのパティシエだが、今は厨房が改装中で休みだと嘘をつく。すると、千秋はその間、湘南にある自分のレストランで、住み込みで働かないかと美咲を誘った。  湘南に着いた美咲が、砂浜で写真を撮ってもらおうと相手を探すとひとりのサーファー(山崎賢人)が現れた。その男に強引にスマホを渡した美咲は、ジャンプの瞬間を撮ってもらおうとするが倒れてしまう。波もかぶってずぶ濡れの姿を撮影され、カチンと来る美咲。だが男は無愛想に去って行く。  柴崎家に着いた美咲。すると後ろから男に抱きつかれる。千秋?と、期待する美咲だが別人。冬真(野村周平)と名乗る男は千秋の弟で、一緒に住むことになると言う。さらにそこには先ほどの海の男も!柴崎家の次男で柴崎夏向といい、レストランを支えるシェフだと言う。美咲はこの3兄弟たちと共同生活をすることに!?</t>
  </si>
  <si>
    <t>番組名好きな人がいること【最高のご褒美】　#02</t>
  </si>
  <si>
    <t>番組公式HP　  http://www.fujitv.co.jp/sukinahitogairukoto/index.html　    番組公式Twitter  @Getsu9_Suki    番組公式LINE  フジ月9『好きな人がいること』公式櫻井美咲(桐谷美玲)は買い出しの途中で、結婚式場へと入っていく柴崎千秋(三浦翔平)と高月楓(菜々緒)を見てしまいショックを受ける。しばらく海辺でボーッと過ごした美咲は、ぼうぜんとしたまま『Sea　Sons』に帰る。すると、柴崎夏向(山崎賢人)に何をしていたと怒られてしまう。それでも、美咲はうわの空だ。  そこに、千秋と楓が来た。いたたまれずにその場を離れようとする美咲だが、千秋に呼び止められ、結婚パーティー用のウエディングケーキを作って欲しいと頼まれてしまう。美咲は、千秋と楓のケーキなら仕方ないと、しぶしぶ祝辞を述べた。  千秋と楓によると、結婚パーティーは明後日に迫っている。ところが予定していた会場で食中毒が発生して厨房が使えなくなってしまった。そこで、美咲にはウエディングケーキ、夏向には参加者の料理を頼みたいとのこと。準備する時間がないと断ろうとする夏向。だが、欲しがっていたサーフボードの件を千秋が持ち出すと夏向は引き受けた。  その夜、夏向は柴崎冬真(野村周平)に結婚式の料理作りの手伝いを頼む。ところが、冬真は試験が近いからと断った。  美咲はパーティー用の食材の買い出しと、夏向に連れ出される。その途中、仲良さそうに歩く、千秋と楓に遭遇。美咲は、夏向とともに物陰に隠れようとするのだが、楓に見つかってしまった。今はまだ、千秋たちと話したくない美咲だが、千秋に食事へ誘われてしまう。桐谷美玲　  山崎賢人　  三浦翔平　  野村周平　    大原櫻子　  浜野謙太　  佐野ひなこ　  飯豊まりえ　    菜々緒　    吉田鋼太郎【脚本】  桑村さや香　    【音楽】  世武裕子　    【主題歌】  JY　「好きな人がいること」　(ソニー・ミュージックレコーズ)    【プロデュース】  藤野良太　    【演出】  金井紘　  田中亮　  森脇智延　    【制作】  フジテレビ　第一制作センター</t>
  </si>
  <si>
    <t xml:space="preserve">  フジ月9『好きな人がいること』公式櫻井美咲(桐谷美玲)は買い出しの途中で、結婚式場へと入っていく柴崎千秋(三浦翔平)と高月楓(菜々緒)を見てしまいショックを受ける。しばらく海辺でボーッと過ごした美咲は、ぼうぜんとしたまま『Sea　Sons』に帰る。すると、柴崎夏向(山崎賢人)に何をしていたと怒られてしまう。それでも、美咲はうわの空だ。  そこに、千秋と楓が来た。いたたまれずにその場を離れようとする美咲だが、千秋に呼び止められ、結婚パーティー用のウエディングケーキを作って欲しいと頼まれてしまう。美咲は、千秋と楓のケーキなら仕方ないと、しぶしぶ祝辞を述べた。  千秋と楓によると、結婚パーティーは明後日に迫っている。ところが予定していた会場で食中毒が発生して厨房が使えなくなってしまった。そこで、美咲にはウエディングケーキ、夏向には参加者の料理を頼みたいとのこと。準備する時間がないと断ろうとする夏向。だが、欲しがっていたサーフボードの件を千秋が持ち出すと夏向は引き受けた。  その夜、夏向は柴崎冬真(野村周平)に結婚式の料理作りの手伝いを頼む。ところが、冬真は試験が近いからと断った。  美咲はパーティー用の食材の買い出しと、夏向に連れ出される。その途中、仲良さそうに歩く、千秋と楓に遭遇。美咲は、夏向とともに物陰に隠れようとするのだが、楓に見つかってしまった。今はまだ、千秋たちと話したくない美咲だが、千秋に食事へ誘われてしまう。</t>
  </si>
  <si>
    <t>番組名好きな人がいること【好きです】　#03</t>
  </si>
  <si>
    <t>番組公式HP　  http://www.fujitv.co.jp/sukinahitogairukoto/index.html　    番組公式Twitter  @Getsu9_Suki    番組公式LINE  フジ月9『好きな人がいること』公式柴崎千秋(三浦翔平)だけには、可愛いと思われたい。櫻井美咲(桐谷美玲)のささやかな願いは、結婚パーティーで砕かれてしまう。その上、美咲は高月楓(菜々緒)とキスする千秋も見てしまったのだ。そんな美咲の傷心を癒したのは夏向(山崎賢人)。クルーザーで美咲を海に連れ出した夏向は、結婚パーティーでの活躍をねぎらった。  もしかすると、美咲と夏向の距離が?しかし『Sea　Sons』が通常営業に戻ると、以前と何の変わりもない。相変わらず夏向は美咲に無愛想。そんな夏向にイラっと来る美咲だ。  その頃『LEG　END』の日村信之(浜野謙太)は、店に来た西島愛海(大原櫻子)に頼まれ、千秋、夏向、冬真(野村周平)の柴崎三兄弟の話をしていた。日村が話し終わると、愛海は“タクミ"と言う名前に心当たりはないかと尋ねる。日村が知らないと答えた時、冬真がやって来た。日村が「話していた冬真だ」と愛海に紹介。すると、愛海はすぐに店を出て行った。  ディナータイムの『Sea　Sons』に楓がやって来た。休憩中の美咲は気が気ではない。2人がよりを戻したことを疑う美咲に、夏向が「聞いてこい」と促す。「関係を?」と驚く美咲に夏向は「オーダーだ」と切り返す。仕方なくオーダーを取りに行く美咲。すると、楓が千秋を「この後、飲みに行こう」と誘っていた。千秋は美咲もどうかと尋ねる。2人の関係を疑う美咲は断ってしまい、またもや落ち込んで…。桐谷美玲　  山崎賢人　  三浦翔平　  野村周平　    大原櫻子　  浜野謙太　  佐野ひなこ　  飯豊まりえ　    菜々緒　    吉田鋼太郎【脚本】  桑村さや香　    【音楽】  世武裕子　    【主題歌】  JY　「好きな人がいること」　(ソニー・ミュージックレコーズ)    【プロデュース】  藤野良太　    【演出】  金井紘　  田中亮　  森脇智延　    【制作】  フジテレビ　第一制作センター</t>
  </si>
  <si>
    <t xml:space="preserve">  フジ月9『好きな人がいること』公式柴崎千秋(三浦翔平)だけには、可愛いと思われたい。櫻井美咲(桐谷美玲)のささやかな願いは、結婚パーティーで砕かれてしまう。その上、美咲は高月楓(菜々緒)とキスする千秋も見てしまったのだ。そんな美咲の傷心を癒したのは夏向(山崎賢人)。クルーザーで美咲を海に連れ出した夏向は、結婚パーティーでの活躍をねぎらった。  もしかすると、美咲と夏向の距離が?しかし『Sea　Sons』が通常営業に戻ると、以前と何の変わりもない。相変わらず夏向は美咲に無愛想。そんな夏向にイラっと来る美咲だ。  その頃『LEG　END』の日村信之(浜野謙太)は、店に来た西島愛海(大原櫻子)に頼まれ、千秋、夏向、冬真(野村周平)の柴崎三兄弟の話をしていた。日村が話し終わると、愛海は“タクミ"と言う名前に心当たりはないかと尋ねる。日村が知らないと答えた時、冬真がやって来た。日村が「話していた冬真だ」と愛海に紹介。すると、愛海はすぐに店を出て行った。  ディナータイムの『Sea　Sons』に楓がやって来た。休憩中の美咲は気が気ではない。2人がよりを戻したことを疑う美咲に、夏向が「聞いてこい」と促す。「関係を?」と驚く美咲に夏向は「オーダーだ」と切り返す。仕方なくオーダーを取りに行く美咲。すると、楓が千秋を「この後、飲みに行こう」と誘っていた。千秋は美咲もどうかと尋ねる。2人の関係を疑う美咲は断ってしまい、またもや落ち込んで…。</t>
  </si>
  <si>
    <t>番組名好きな人がいること【つのる想い】　#04</t>
  </si>
  <si>
    <t>番組公式HP　  http://www.fujitv.co.jp/sukinahitogairukoto/index.html　    番組公式Twitter  @Getsu9_Suki    番組公式LINE  フジ月9『好きな人がいること』公式目覚めた櫻井美咲(桐谷美玲)がリビングに行くと誰もいない。釣りに行ってくると柴崎千秋(三浦翔平)のメモが残されていた。  千秋は夏向(山崎賢人)、冬真(野村周平)と釣りの真っ最中。そんな時でも、冬真は女の子の話。先日会った西島愛海(大原櫻子)が気になっているのだ。二宮風花(飯豊まりえ)とは別れたのかと尋ねる千秋だが、そうではないらしい。千秋に、冬真は美咲のことを聞く。すると、千秋は美咲のことは真剣に考えていると答えた。夏向は黙って聞いている。冬真は、夏向の美咲への気持ちにも興味があった。  『Sea　Sons』で美咲が開店準備をしていると、高月楓(菜々緒)が来た。そして、楓は千秋への気持ちは譲らないと美咲につきつけて帰ってしまった。  冬真は、釣りの帰り道で愛海と出会う。冬真を待っていたと言う愛海に冬真は有頂天。愛海は、冬真の兄弟にも会いたいと言う。  その夜、美咲は石川若葉(阿部純子)に電話。美咲は勢いで楓に恋のライバル宣言をしてしまったのだ。どうすれば良いのかと聞く美咲に、若葉は花火大会で告白しろとアドバイスする。  早速、千秋を花火大会に誘おうとする美咲だが、なかなか言い出せない。そんなところに、日村信之(浜野謙太)が奥田実果子(佐野ひなこ)と一緒に現れ『Sea　Sons』メンバーをバーベキュー大会に誘う。普段言えないようなことも、こういう場所でなら言えると話す実果子に、美咲は…。桐谷美玲　  山崎賢人　  三浦翔平　  野村周平　    大原櫻子　  浜野謙太　  佐野ひなこ　  飯豊まりえ　    菜々緒　    吉田鋼太郎【脚本】  桑村さや香　    【音楽】  世武裕子　    【主題歌】  JY　「好きな人がいること」　(ソニー・ミュージックレコーズ)    【プロデュース】  藤野良太　    【演出】  金井紘　  田中亮　  森脇智延　    【制作】  フジテレビ　第一制作センター</t>
  </si>
  <si>
    <t xml:space="preserve">  フジ月9『好きな人がいること』公式目覚めた櫻井美咲(桐谷美玲)がリビングに行くと誰もいない。釣りに行ってくると柴崎千秋(三浦翔平)のメモが残されていた。  千秋は夏向(山崎賢人)、冬真(野村周平)と釣りの真っ最中。そんな時でも、冬真は女の子の話。先日会った西島愛海(大原櫻子)が気になっているのだ。二宮風花(飯豊まりえ)とは別れたのかと尋ねる千秋だが、そうではないらしい。千秋に、冬真は美咲のことを聞く。すると、千秋は美咲のことは真剣に考えていると答えた。夏向は黙って聞いている。冬真は、夏向の美咲への気持ちにも興味があった。  『Sea　Sons』で美咲が開店準備をしていると、高月楓(菜々緒)が来た。そして、楓は千秋への気持ちは譲らないと美咲につきつけて帰ってしまった。  冬真は、釣りの帰り道で愛海と出会う。冬真を待っていたと言う愛海に冬真は有頂天。愛海は、冬真の兄弟にも会いたいと言う。  その夜、美咲は石川若葉(阿部純子)に電話。美咲は勢いで楓に恋のライバル宣言をしてしまったのだ。どうすれば良いのかと聞く美咲に、若葉は花火大会で告白しろとアドバイスする。  早速、千秋を花火大会に誘おうとする美咲だが、なかなか言い出せない。そんなところに、日村信之(浜野謙太)が奥田実果子(佐野ひなこ)と一緒に現れ『Sea　Sons』メンバーをバーベキュー大会に誘う。普段言えないようなことも、こういう場所でなら言えると話す実果子に、美咲は…。</t>
  </si>
  <si>
    <t>番組名好きな人がいること【告白】　#05</t>
  </si>
  <si>
    <t>番組公式HP　  http://www.fujitv.co.jp/sukinahitogairukoto/index.html　    番組公式Twitter  @Getsu9_Suki    番組公式LINE  フジ月9『好きな人がいること』公式櫻井美咲(桐谷美玲)は、柴崎千秋(三浦翔平)と花火大会に行くことになったと夏向(山崎賢人)に報告。すると夏向から意外な言葉が出るのだが美咲には届かない。  花火大会前日、千秋に告白しようと決意した美咲は朝からソワソワ。テレビ番組の浴衣特集を見ていると、冬真(野村周平)に千秋と花火大会に行くのかと声をかけられる。肯定する美咲に、冬真は浴衣を着て行くようにと勧める。  買い出しの途中、呉服屋に飾られた浴衣に引き寄せられる美咲。そんな様子を日村信之(浜野謙太)に見つかってしまう。  一方、千秋は別のことで頭を悩ませていた。ランチタイム中の『Sea　Sons』に、西島愛海(大原櫻子)が現れたのだ。何か話がある様子の愛海だったが、千秋は聞く耳を持たずに愛海を冷たく追い返してしまう。  日村に勧められるままに浴衣一式を買ってしまった美咲は、店に帰る途中、男に金を渡している高月楓(菜々緒)を目撃する。楓は美咲に、友達に金を返していただけだと話し、花火大会の夜に街を出て行くと宣言する。  夜、美咲は夏向に、楓のことを千秋に話した方が良いのかと相談する。言う必要ないと答える夏向に安心する美咲。しかし、浮かれて千秋のことを話し始めると、夏向に出て行けと言われ、喧嘩になってしまう。  そして、運命の花火大会の日。夏向との喧嘩を気にしながらも千秋とのデートに向かう美咲。果たして千秋に想いを告げられるのだろうか?桐谷美玲　  山崎賢人　  三浦翔平　  野村周平　    大原櫻子　  浜野謙太　  佐野ひなこ　  飯豊まりえ　    菜々緒　    吉田鋼太郎【脚本】  桑村さや香　    【音楽】  世武裕子　    【主題歌】  JY　「好きな人がいること」　(ソニー・ミュージックレコーズ)    【プロデュース】  藤野良太　    【演出】  金井紘　  田中亮　  森脇智延　    【制作】  フジテレビ　第一制作センター</t>
  </si>
  <si>
    <t xml:space="preserve">  フジ月9『好きな人がいること』公式櫻井美咲(桐谷美玲)は、柴崎千秋(三浦翔平)と花火大会に行くことになったと夏向(山崎賢人)に報告。すると夏向から意外な言葉が出るのだが美咲には届かない。  花火大会前日、千秋に告白しようと決意した美咲は朝からソワソワ。テレビ番組の浴衣特集を見ていると、冬真(野村周平)に千秋と花火大会に行くのかと声をかけられる。肯定する美咲に、冬真は浴衣を着て行くようにと勧める。  買い出しの途中、呉服屋に飾られた浴衣に引き寄せられる美咲。そんな様子を日村信之(浜野謙太)に見つかってしまう。  一方、千秋は別のことで頭を悩ませていた。ランチタイム中の『Sea　Sons』に、西島愛海(大原櫻子)が現れたのだ。何か話がある様子の愛海だったが、千秋は聞く耳を持たずに愛海を冷たく追い返してしまう。  日村に勧められるままに浴衣一式を買ってしまった美咲は、店に帰る途中、男に金を渡している高月楓(菜々緒)を目撃する。楓は美咲に、友達に金を返していただけだと話し、花火大会の夜に街を出て行くと宣言する。  夜、美咲は夏向に、楓のことを千秋に話した方が良いのかと相談する。言う必要ないと答える夏向に安心する美咲。しかし、浮かれて千秋のことを話し始めると、夏向に出て行けと言われ、喧嘩になってしまう。  そして、運命の花火大会の日。夏向との喧嘩を気にしながらも千秋とのデートに向かう美咲。果たして千秋に想いを告げられるのだろうか?</t>
  </si>
  <si>
    <t>番組名好きな人がいること【彼の真実】　#06</t>
  </si>
  <si>
    <t>三浦翔平&amp;野村周平の副音声が決定!!  兄弟ふたりと一緒に月9を楽しもう!    番組公式HP　  http://www.fujitv.co.jp/sukinahitogairukoto/index.html　    番組公式Twitter  @Getsu9_Suki    番組公式LINE  フジ月9『好きな人がいること』公式花火大会の夜、櫻井美咲(桐谷美玲)は柴崎千秋(三浦翔平)への想いをあきらめざるを得なくなった。そんな美咲だが、夏向(山崎賢人)に「俺がそばにいてやる」と抱きしめられる。複雑な心境の美咲…。  翌朝、夏向と顔を合わせた美咲は、動揺を隠しきれない。しかし、夏向は今までと同じように、ムスッとしたぶっきらぼうな態度。そこに来た千秋は、高月楓(菜々緒)とやり直すことにしたと美咲に告げる。分かっていたとは言え、千秋から直接聞いてしまうとは…。美咲は1人になるために洗面所へ急ぎ、涙を隠すために、しばらく顔を洗い続けた。  そんなある日、千秋はレストラン同士が期間限定で店を出すイベント、ダイニングアウトの企画を持ち込んだ。コラボする店は超有名レストランだと聞いて、冬真(野村周平)は驚く。千秋によると、先方が夏向と一緒に仕事がしたいと指名してきたそう。すると、話を聞いていた冬真の表情が少し曇った。  早速、夏向は美咲と一緒に先方のレストランに打ち合わせに向かう。そこで、2人を出迎えたのはレストランプロデューサー、大橋尚美。美咲は有名プロデューサー登場に大はしゃぎだが、夏向は尚美に軽い挨拶。夏向と尚美は知り合いのようだ。  打ち合わせを終えた美咲は、久しぶりに石川若葉(阿部純子)に会おうと待ち合わせの約束。そして、帰ろうとした美咲を夏向が引き止めた。行きたいところがあるので付き合えと言う夏向に、美咲は…。桐谷美玲　  山崎賢人　  三浦翔平　  野村周平　    大原櫻子　  浜野謙太　  佐野ひなこ　  飯豊まりえ　    菜々緒　    吉田鋼太郎【脚本】  桑村さや香　    【音楽】  世武裕子　    【主題歌】  JY　「好きな人がいること」　(ソニー・ミュージックレコーズ)    【プロデュース】  藤野良太　    【演出】  金井紘　  田中亮　  森脇智延　    【制作】  フジテレビ　第一制作センター</t>
  </si>
  <si>
    <t xml:space="preserve">  フジ月9『好きな人がいること』公式花火大会の夜、櫻井美咲(桐谷美玲)は柴崎千秋(三浦翔平)への想いをあきらめざるを得なくなった。そんな美咲だが、夏向(山崎賢人)に「俺がそばにいてやる」と抱きしめられる。複雑な心境の美咲…。  翌朝、夏向と顔を合わせた美咲は、動揺を隠しきれない。しかし、夏向は今までと同じように、ムスッとしたぶっきらぼうな態度。そこに来た千秋は、高月楓(菜々緒)とやり直すことにしたと美咲に告げる。分かっていたとは言え、千秋から直接聞いてしまうとは…。美咲は1人になるために洗面所へ急ぎ、涙を隠すために、しばらく顔を洗い続けた。  そんなある日、千秋はレストラン同士が期間限定で店を出すイベント、ダイニングアウトの企画を持ち込んだ。コラボする店は超有名レストランだと聞いて、冬真(野村周平)は驚く。千秋によると、先方が夏向と一緒に仕事がしたいと指名してきたそう。すると、話を聞いていた冬真の表情が少し曇った。  早速、夏向は美咲と一緒に先方のレストランに打ち合わせに向かう。そこで、2人を出迎えたのはレストランプロデューサー、大橋尚美。美咲は有名プロデューサー登場に大はしゃぎだが、夏向は尚美に軽い挨拶。夏向と尚美は知り合いのようだ。  打ち合わせを終えた美咲は、久しぶりに石川若葉(阿部純子)に会おうと待ち合わせの約束。そして、帰ろうとした美咲を夏向が引き止めた。行きたいところがあるので付き合えと言う夏向に、美咲は…。</t>
  </si>
  <si>
    <t>番組名好きな人がいること【君の傍にいたい】　#07</t>
  </si>
  <si>
    <t>番組公式HP　  http://www.fujitv.co.jp/sukinahitogairukoto/index.html　    番組公式Twitter  @Getsu9_Suki    番組公式LINE  フジ月9『好きな人がいること』公式柴崎千秋(三浦翔平)の制止も聞かず、冬真(野村周平)は夏向(山崎賢人)が本当の兄弟ではないと言い放った。それは、今まで千秋が隠し続けて来た事実だった。しかし、突然のことに夏向は信じられない。そばにいた櫻井美咲(桐谷美玲)も唖然とするばかり。  すると、冬真は夏向の本当の妹だと西島愛海(大原櫻子)を連れて来た。愛海は、実の兄、夏向を探していたと言う。愛海の母、つまり夏向の本当の母親が重篤な病で苦しんでいて、一刻も早く輸血が必要な治療をしたいらしい。しかし、母親は珍しい血液型なので、血の繋がった夏向に輸血を頼みたかったのだ。いきなりの事に、動揺を隠しきれず夏向は出て行ってしまう。美咲は追いかけるが、かける言葉が見つからなかった。  柴崎家に戻った美咲は、冬真に夏向が心配ではないのかと問いかける。だが、冬真は自分のせいでこんな事になったと言いたいのかと怒ってしまう。美咲や千秋は、いつも夏向の味方で、自分が本当の兄弟でない方が良かったのではないかと言い放ち、冬真も家を出て行ってしまった。冬真とすれ違いに、夏向が帰ってくるのだが…。  翌朝、美咲は夏向の部屋に食事を持って行く。ノックをするのだが返事がない。美咲が部屋に入ると、そこに夏向の姿はなかった。冬真も昨夜出て行ったきり。  美咲は千秋とともにレストランの予約客にキャンセルの連絡。千秋は、夏向を傷つけてしまったのではないかと自分を責めていた。桐谷美玲　  山崎賢人　  三浦翔平　  野村周平　    大原櫻子　  浜野謙太　  佐野ひなこ　  飯豊まりえ　    菜々緒　    吉田鋼太郎【脚本】  桑村さや香　    【音楽】  世武裕子　    【主題歌】  JY　「好きな人がいること」　(ソニー・ミュージックレコーズ)    【プロデュース】  藤野良太　    【演出】  金井紘　  田中亮　  森脇智延　    【制作】  フジテレビ　第一制作センター</t>
  </si>
  <si>
    <t xml:space="preserve">  フジ月9『好きな人がいること』公式柴崎千秋(三浦翔平)の制止も聞かず、冬真(野村周平)は夏向(山崎賢人)が本当の兄弟ではないと言い放った。それは、今まで千秋が隠し続けて来た事実だった。しかし、突然のことに夏向は信じられない。そばにいた櫻井美咲(桐谷美玲)も唖然とするばかり。  すると、冬真は夏向の本当の妹だと西島愛海(大原櫻子)を連れて来た。愛海は、実の兄、夏向を探していたと言う。愛海の母、つまり夏向の本当の母親が重篤な病で苦しんでいて、一刻も早く輸血が必要な治療をしたいらしい。しかし、母親は珍しい血液型なので、血の繋がった夏向に輸血を頼みたかったのだ。いきなりの事に、動揺を隠しきれず夏向は出て行ってしまう。美咲は追いかけるが、かける言葉が見つからなかった。  柴崎家に戻った美咲は、冬真に夏向が心配ではないのかと問いかける。だが、冬真は自分のせいでこんな事になったと言いたいのかと怒ってしまう。美咲や千秋は、いつも夏向の味方で、自分が本当の兄弟でない方が良かったのではないかと言い放ち、冬真も家を出て行ってしまった。冬真とすれ違いに、夏向が帰ってくるのだが…。  翌朝、美咲は夏向の部屋に食事を持って行く。ノックをするのだが返事がない。美咲が部屋に入ると、そこに夏向の姿はなかった。冬真も昨夜出て行ったきり。  美咲は千秋とともにレストランの予約客にキャンセルの連絡。千秋は、夏向を傷つけてしまったのではないかと自分を責めていた。</t>
  </si>
  <si>
    <t>番組名好きな人がいること【運命の夜】　#08</t>
  </si>
  <si>
    <t>番組公式HP　  http://www.fujitv.co.jp/sukinahitogairukoto/index.html　    番組公式Twitter  @Getsu9_Suki    番組公式LINE  フジ月9『好きな人がいること』公式柴崎兄弟のわだかまりが解け『Sea　Sons』の営業も元に戻った。櫻井美咲(桐谷美玲)への夏向(山崎賢人)の態度は相変わらずだが、冬真(野村周平)が厨房のアシスタントを始めたため、以前より活気にあふれている。そんな様子を千秋(三浦翔平)が見つめていた。  美咲には、2つの課題ができていた。1つは、大橋尚美(池端レイナ)プロデュースで夏向と行うダイニングアウトに提供する料理のプレゼンを成功させること。もう1つは、夏向の告白への返事。答えは決まっている美咲だが、タイミングが分からずにいた。美咲は自室から石川若葉(阿部純子)に電話で相談。若葉は、すぐに返事をしろと言うが、美咲はダイニングアウトの仕事中だともじもじ。そこに、冬真が来て、夏の思い出を作ろうと美咲を誘う。  冬真は兄弟と楽しむ花火に美咲を連れ出した。絶好のチャンスと、美咲は夏向に接近。勇気を出して返事を決めたと切り出す美咲に、夏向はそれでは明日一緒に食材探しに行こうと言う。夏向は、美咲がダイニングアウトのデザートを決めたと思ったのだ。結局、美咲は告白の返事ができない。2人を見ていた冬真は、くっつくのも時間の問題だと千秋に話す。美咲は千秋のことは吹っ切れたみたいだと続ける冬真。千秋は…。  次の日から、美咲と夏向の食材集めが始まった。そして、プレゼンの日がやって来る。美咲はプレゼンが成功したら、2人でお祝いをしようと夏向に提案した。桐谷美玲　  山崎賢人　  三浦翔平　  野村周平　    大原櫻子　  浜野謙太　  佐野ひなこ　  飯豊まりえ　    菜々緒　    吉田鋼太郎【脚本】  桑村さや香　  大北はるか　    【音楽】  世武裕子　    【主題歌】  JY　「好きな人がいること」　(ソニー・ミュージックレコーズ)　    【プロデュース】  藤野良太　    【演出】  金井紘　  田中亮　  森脇智延　    【制作】  フジテレビ　第一制作センター</t>
  </si>
  <si>
    <t xml:space="preserve">  フジ月9『好きな人がいること』公式柴崎兄弟のわだかまりが解け『Sea　Sons』の営業も元に戻った。櫻井美咲(桐谷美玲)への夏向(山崎賢人)の態度は相変わらずだが、冬真(野村周平)が厨房のアシスタントを始めたため、以前より活気にあふれている。そんな様子を千秋(三浦翔平)が見つめていた。  美咲には、2つの課題ができていた。1つは、大橋尚美(池端レイナ)プロデュースで夏向と行うダイニングアウトに提供する料理のプレゼンを成功させること。もう1つは、夏向の告白への返事。答えは決まっている美咲だが、タイミングが分からずにいた。美咲は自室から石川若葉(阿部純子)に電話で相談。若葉は、すぐに返事をしろと言うが、美咲はダイニングアウトの仕事中だともじもじ。そこに、冬真が来て、夏の思い出を作ろうと美咲を誘う。  冬真は兄弟と楽しむ花火に美咲を連れ出した。絶好のチャンスと、美咲は夏向に接近。勇気を出して返事を決めたと切り出す美咲に、夏向はそれでは明日一緒に食材探しに行こうと言う。夏向は、美咲がダイニングアウトのデザートを決めたと思ったのだ。結局、美咲は告白の返事ができない。2人を見ていた冬真は、くっつくのも時間の問題だと千秋に話す。美咲は千秋のことは吹っ切れたみたいだと続ける冬真。千秋は…。  次の日から、美咲と夏向の食材集めが始まった。そして、プレゼンの日がやって来る。美咲はプレゼンが成功したら、2人でお祝いをしようと夏向に提案した。</t>
  </si>
  <si>
    <t>番組名好きな人がいること【KISS】　#09</t>
  </si>
  <si>
    <t>番組公式HP　  http://www.fujitv.co.jp/sukinahitogairukoto/index.html　    番組公式Twitter  @Getsu9_Suki    番組公式LINE  フジ月9『好きな人がいること』公式料理プレゼンに成功した櫻井美咲(桐谷美玲)は、柴崎夏向(山崎賢人)とお祝いをすることに。美咲は、その時に夏向の告白に答えるつもりだった。しかし『Sea　Sons』でケーキを作って夏向のもとへ戻ろうとした矢先、美咲は千秋(三浦翔平)に突然抱きしめられてしまう。あまりの衝撃に美咲は、作ったばかりのケーキを落としてしまった。  美咲が柴崎家に帰ると、夏向が料理を用意して待っていた。ケーキを落としてしまったと言い訳する美咲。そこに、千秋も帰って来る。千秋と夏向の間で動揺する美咲は、腹痛を装って自室に戻ってしまう。  翌日、美咲は石川若葉(阿部純子)に電話をかけて昨日の出来事を話して恋愛相談。すると若葉は、千秋は美咲が好きだと断定。千秋には高月楓(菜々緒)がいると否定する美咲に、若葉は何とも思っていない女性を抱きしめるわけがないと言う。さらに、夏向への返事をまだ保留にしていることを話した美咲は、いつまでも待ってくれないと若葉に忠告されてしまった。  その日、千秋は話したいことがあると楓を呼び出していた。楓は、話を聞く前に一緒に行きたいところがあると千秋を連れて行く。  一方、美咲は冬真(野村周平)から夏向が現場へ下見に行ったと聞いて追いかける。昨夜のお祝いをキャンセルしたことをわびる美咲に、夏向は腹痛なら仕方ないと言う。夏向がひとりで下見に来たのも、自分の体調を気遣ったからだと知った美咲は…。桐谷美玲　  山崎賢人　  三浦翔平　  野村周平　    大原櫻子　  浜野謙太　  佐野ひなこ　  飯豊まりえ　    菜々緒　    吉田鋼太郎【脚本】  桑村さや香　  大北はるか　    【音楽】  世武裕子　    【主題歌】  JY　「好きな人がいること」　(ソニー・ミュージックレコーズ)　    【プロデュース】  藤野良太　    【演出】  金井紘　  田中亮　  森脇智延　    【制作】  フジテレビ　第一制作センター</t>
  </si>
  <si>
    <t xml:space="preserve">  フジ月9『好きな人がいること』公式料理プレゼンに成功した櫻井美咲(桐谷美玲)は、柴崎夏向(山崎賢人)とお祝いをすることに。美咲は、その時に夏向の告白に答えるつもりだった。しかし『Sea　Sons』でケーキを作って夏向のもとへ戻ろうとした矢先、美咲は千秋(三浦翔平)に突然抱きしめられてしまう。あまりの衝撃に美咲は、作ったばかりのケーキを落としてしまった。  美咲が柴崎家に帰ると、夏向が料理を用意して待っていた。ケーキを落としてしまったと言い訳する美咲。そこに、千秋も帰って来る。千秋と夏向の間で動揺する美咲は、腹痛を装って自室に戻ってしまう。  翌日、美咲は石川若葉(阿部純子)に電話をかけて昨日の出来事を話して恋愛相談。すると若葉は、千秋は美咲が好きだと断定。千秋には高月楓(菜々緒)がいると否定する美咲に、若葉は何とも思っていない女性を抱きしめるわけがないと言う。さらに、夏向への返事をまだ保留にしていることを話した美咲は、いつまでも待ってくれないと若葉に忠告されてしまった。  その日、千秋は話したいことがあると楓を呼び出していた。楓は、話を聞く前に一緒に行きたいところがあると千秋を連れて行く。  一方、美咲は冬真(野村周平)から夏向が現場へ下見に行ったと聞いて追いかける。昨夜のお祝いをキャンセルしたことをわびる美咲に、夏向は腹痛なら仕方ないと言う。夏向がひとりで下見に来たのも、自分の体調を気遣ったからだと知った美咲は…。</t>
  </si>
  <si>
    <t>番組名好きな人がいること【それだけ。】　#10</t>
  </si>
  <si>
    <t>番組公式HP　  http://www.fujitv.co.jp/sukinahitogairukoto/index.html　    番組公式Twitter  @Getsu9_Suki    番組公式LINE  フジ月9『好きな人がいること』公式櫻井美咲(桐谷美玲)は、ついに柴崎夏向(山崎賢人)の告白に「私が好きなのは…夏向です」と返事ができた。しかし、夏向からは「もう、お前が好きじゃなくなった」と、予想外の言葉を突きつけられてしまう。  翌日『Sea　Sons』の仕事中も、美咲は夏向が気になって仕方ない。夏向への告白が成功したと思っている冬真(野村周平)に祝福される美咲だが、返事ができない。一方、夏向にはダイニングアウトの反響の良さから、インタビューの取材依頼が殺到している。また、千秋(三浦翔平)は、日本を代表する料理評論家がレストランに食べに来ることを、みんなに伝えた。  その夜、美咲はやっと夏向に昨日の言葉の理由を聞く機会を得た。だが、夏向は気が変わっただけだと素っ気ない返事をするだけ。思い悩む美咲が自室にいると千秋が来た。夏向の取材の時にデザートを作ってほしいと頼みに来た千秋だが、美咲が元気を失っていることにも気づいていた。美咲がフラれたと知った千秋は夏向の部屋へ。千秋も理由を尋ねるのだが、夏向は何も答えず…。桐谷美玲　  山崎賢人　  三浦翔平　  野村周平　    大原櫻子　  浜野謙太　  佐野ひなこ　  飯豊まりえ　    菜々緒　    吉田鋼太郎【脚本】  桑村さや香　  大北はるか　    【音楽】  世武裕子　    【主題歌】  JY　「好きな人がいること」　(ソニー・ミュージックレコーズ)　    【プロデュース】  藤野良太　    【演出】  金井紘　  田中亮　  森脇智延　    【制作】  フジテレビ　第一制作センター</t>
  </si>
  <si>
    <t xml:space="preserve">  フジ月9『好きな人がいること』公式櫻井美咲(桐谷美玲)は、ついに柴崎夏向(山崎賢人)の告白に「私が好きなのは…夏向です」と返事ができた。しかし、夏向からは「もう、お前が好きじゃなくなった」と、予想外の言葉を突きつけられてしまう。  翌日『Sea　Sons』の仕事中も、美咲は夏向が気になって仕方ない。夏向への告白が成功したと思っている冬真(野村周平)に祝福される美咲だが、返事ができない。一方、夏向にはダイニングアウトの反響の良さから、インタビューの取材依頼が殺到している。また、千秋(三浦翔平)は、日本を代表する料理評論家がレストランに食べに来ることを、みんなに伝えた。  その夜、美咲はやっと夏向に昨日の言葉の理由を聞く機会を得た。だが、夏向は気が変わっただけだと素っ気ない返事をするだけ。思い悩む美咲が自室にいると千秋が来た。夏向の取材の時にデザートを作ってほしいと頼みに来た千秋だが、美咲が元気を失っていることにも気づいていた。美咲がフラれたと知った千秋は夏向の部屋へ。千秋も理由を尋ねるのだが、夏向は何も答えず…。</t>
  </si>
  <si>
    <t>1607_CX_火22</t>
  </si>
  <si>
    <t>ON</t>
  </si>
  <si>
    <t>番組名ON　異常犯罪捜査官・藤堂比奈子【波瑠主演…猟奇殺人の真実を暴く】　#01</t>
  </si>
  <si>
    <t>藤堂比奈子(波瑠)は警視庁捜査一課の新人刑事。母親の形見である七味缶を持ち歩きあらゆるものに振りかけるので、周囲からは変わり者扱いされている。  ある日、捜査一課に宮原秋雄(清水優)という男が遺体で発見されたと連絡が入る。比奈子は先輩刑事の東海林泰久(横山裕)や倉島敬一郎(要潤)と初めて現場へ。無残な遺体を前に一同は言葉を失うが、比奈子だけは平然としていた。また、遺体の状況が3年前に殺された女子高生の遺体とそっくりだと判明。しかも宮原は当時事件の容疑者として警察がマークしていた人物だった。やがて、東海林が事件現場で宮原のスマートフォンを発見。中には宮原が何者かに襲撃されていると思われる凄惨な映像が残されていた。  後日、宮原に襲われた被害者に聞き込みをしていた比奈子は、心療内科医の中島保(林遣都)に出くわす。さらに、その家に住んでいた被害者が、3カ月前に自殺していたことが分かり…。同じ頃、遺体の解剖結果も明らかに。監察医の石上妙子(原田美枝子)によると、宮原の傷は3年前の女子高生の遺体とすべて一致。しかしそれらは宮原が自らつけたものだという。宮原の死は自殺ということになるが、厚田巌夫(渡部篤郎)はどうも腑に落ちない。そんななか、例の宮原の死に際の映像がネット上に流出していることが判明。やはり単純な自殺で処理することはできない、警察がそう睨んだ矢先、今度は公園で女性の遺体が発見されてー。波瑠　  横山裕　  要潤　  高橋努　  斉藤慎二(ジャングルポケット)　  百瀬朔　  佐藤玲　  　・　  三浦貴大　  篠田麻里子　  山中崇　  　・　  林遣都　  奥貫薫　  光石研　  原田美枝子　  渡部篤郎【原作】  内藤了『ON　猟奇犯罪捜査班・藤堂比奈子』シリーズ(角川ホラー文庫刊)　    【脚本】  古家和尚　    【音楽】  菅野祐悟　    【主題歌】  [Alexandros]「Swan」  (ユニバーサルJ/RX-RECORDS)　    【演出】  白木啓一郎　    【プロデューサー】  河西秀幸　  萩原崇　  石田麻衣　    【制作協力】  ホリプロ　    【制作著作】  カンテレ番組公式ホームページ  http://www.ktv.jp/on/index.html</t>
  </si>
  <si>
    <t>藤堂比奈子(波瑠)は警視庁捜査一課の新人刑事。母親の形見である七味缶を持ち歩きあらゆるものに振りかけるので、周囲からは変わり者扱いされている。  ある日、捜査一課に宮原秋雄(清水優)という男が遺体で発見されたと連絡が入る。比奈子は先輩刑事の東海林泰久(横山裕)や倉島敬一郎(要潤)と初めて現場へ。無残な遺体を前に一同は言葉を失うが、比奈子だけは平然としていた。また、遺体の状況が3年前に殺された女子高生の遺体とそっくりだと判明。しかも宮原は当時事件の容疑者として警察がマークしていた人物だった。やがて、東海林が事件現場で宮原のスマートフォンを発見。中には宮原が何者かに襲撃されていると思われる凄惨な映像が残されていた。  後日、宮原に襲われた被害者に聞き込みをしていた比奈子は、心療内科医の中島保(林遣都)に出くわす。さらに、その家に住んでいた被害者が、3カ月前に自殺していたことが分かり…。同じ頃、遺体の解剖結果も明らかに。監察医の石上妙子(原田美枝子)によると、宮原の傷は3年前の女子高生の遺体とすべて一致。しかしそれらは宮原が自らつけたものだという。宮原の死は自殺ということになるが、厚田巌夫(渡部篤郎)はどうも腑に落ちない。そんななか、例の宮原の死に際の映像がネット上に流出していることが判明。やはり単純な自殺で処理することはできない、警察がそう睨んだ矢先、今度は公園で女性の遺体が発見されてー。</t>
  </si>
  <si>
    <t>番組名ON　異常犯罪捜査官・藤堂比奈子【凍結遺体事件の驚愕真相▽波瑠主演】　#02</t>
  </si>
  <si>
    <t>空き地で、乗り捨てられた冷凍車と椅子に座った冷凍遺体2体が発見された。解剖の結果、両者は兄弟で、殺害後に冷凍、遺棄されたと判明。警察は遺体の身元を割り出すため、冷凍車の足取りを追跡する。  一方、東京拘置所では1人の死刑囚が変死する。妙子(原田美枝子)によると、先日留置所で自殺と思われる不審な死を遂げた殺人犯の大友(三浦貴大)と同じケースだという。比奈子(波瑠)は検死のため拘置所へ向かう妙子に同行。そこで受刑者の面談をしている中島(林遣都)と再会するが、大友の事件を振り返った中島は、比奈子が殺人犯の犯行の動機を“ある種の衝動"だと決めつけたことを指摘。「犯罪者の心理は一筋縄で解き明かせるものではない」と比奈子の考え方に苦言を呈する。  やがて、冷凍遺体遺棄事件を追っていた厚田(渡部篤郎)たちは冷凍設備のある一軒の商店にたどり着く。しかし、比奈子や東海林(横山裕)が現場へ向かうと、3カ月前に閉店した店はもぬけの殻。そこに住んでいるはずの父親と3人の子供の姿もない。ところが、裏庭にはなぜか今も動いている大型の冷凍庫があり、ドアを開けると、そこにはテーブルセットの前に座っている老人と女性の冷凍遺体があったーー!波瑠　  横山裕　  要潤　  高橋努　  斉藤慎二(ジャングルポケット)　  百瀬朔　  佐藤玲  　・　  間宮祥太朗　  三浦貴大　  篠田麻里子　  不破万作  　・　  林遣都　  奥貫薫　  光石研　  原田美枝子　  渡部篤郎【原作】  内藤了『ON　猟奇犯罪捜査班・藤堂比奈子』シリーズ(角川ホラー文庫刊)　    【脚本】  古家和尚　    【音楽】  菅野祐悟　    【主題歌】  [Alexandros]「Swan」(ユニバーサルJ/RX-RECORDS)　    【演出】  白木啓一郎　    【プロデューサー】  河西秀幸　  萩原崇　  石田麻衣　    【制作協力】  ホリプロ　    【制作著作】  カンテレ【番組公式ホームページ】  http://www.ktv.jp/on/index.html</t>
  </si>
  <si>
    <t>空き地で、乗り捨てられた冷凍車と椅子に座った冷凍遺体2体が発見された。解剖の結果、両者は兄弟で、殺害後に冷凍、遺棄されたと判明。警察は遺体の身元を割り出すため、冷凍車の足取りを追跡する。  一方、東京拘置所では1人の死刑囚が変死する。妙子(原田美枝子)によると、先日留置所で自殺と思われる不審な死を遂げた殺人犯の大友(三浦貴大)と同じケースだという。比奈子(波瑠)は検死のため拘置所へ向かう妙子に同行。そこで受刑者の面談をしている中島(林遣都)と再会するが、大友の事件を振り返った中島は、比奈子が殺人犯の犯行の動機を“ある種の衝動"だと決めつけたことを指摘。「犯罪者の心理は一筋縄で解き明かせるものではない」と比奈子の考え方に苦言を呈する。  やがて、冷凍遺体遺棄事件を追っていた厚田(渡部篤郎)たちは冷凍設備のある一軒の商店にたどり着く。しかし、比奈子や東海林(横山裕)が現場へ向かうと、3カ月前に閉店した店はもぬけの殻。そこに住んでいるはずの父親と3人の子供の姿もない。ところが、裏庭にはなぜか今も動いている大型の冷凍庫があり、ドアを開けると、そこにはテーブルセットの前に座っている老人と女性の冷凍遺体があったーー!</t>
  </si>
  <si>
    <t>番組名ON　異常犯罪捜査官・藤堂比奈子【洋館女性連続殺人…奪われた完全美】　#03</t>
  </si>
  <si>
    <t>近隣住民から幽霊屋敷と呼ばれている廃虚で、体の一部が切り取られた4体の遺体が発見される。被害者はいずれも若い女性で、犯人は殺害後、遺体に自らが用意した服を着せ、切り取った体の一部を持ち去ったと見られる。先日の冷凍殺人の一件で、中島(林遣都)が犯人像の特定に一役買ったことを東海林(横山裕)から聞いた厚田(渡部篤郎)は、プロファイリングを中島に頼むことに。  一方、比奈子(波瑠)は、遺体発見の前日、幽霊屋敷に雨がっぱを着たオバケがいるのを見たと証言する少女・吉田遙香(住田萌乃)に出会う。さらに遙香は、一週間前にも自宅近くで同じオバケを見たという。聞き込みを進める中で、比奈子は遥香とその母親・佐和(中島亜梨沙)と親しい仲で近所のクリーニング屋を営む佐藤都夜(佐々木希)と知り合う。都夜は、佐和が以前からストーカーに付きまとわれており、雨がっぱを着たオバケと関係しているのではと相談する。  やがて、遺体に着せてあった服が被害者にぴったりのサイズだったことから、犯人がデザイナーではないかと推理した比奈子。遺体を切り取った道具が、デザイナーが使うような特殊なハサミだったことも判明する。  そんななか、妙子(原田美枝子)は、自殺と思われる不審な死を遂げた宮原、大友、鮫島の3人に共通点を見つけたと比奈子に話す。3人の脳内には、同じ箇所に腫瘍が発生していたというのだ。その頃、捜査本部には中島がやって来てー。波瑠　  横山裕　  要潤　  高橋努　  斉藤慎二(ジャングルポケット)　  百瀬朔　  佐藤玲　  　・　  佐々木希　  間宮祥太朗　  中島亜梨沙　  　・　  林遣都　  奥貫薫　  光石研　  原田美枝子　  渡部篤郎【原作】  内藤了『ON　猟奇犯罪捜査班・藤堂比奈子』シリーズ(角川ホラー文庫刊)　    【脚本】  古家和尚　    【音楽】  菅野祐悟　    【主題歌】  [Alexandros]「Swan」(ユニバーサルJ/RX-RECORDS)　    【演出】  宝来忠昭　    【プロデューサー】  河西秀幸　  萩原崇　  石田麻衣　    【制作協力】  ホリプロ　    【制作著作】  カンテレ【番組公式ホームページ】  http://www.ktv.jp/on/index.html</t>
  </si>
  <si>
    <t>近隣住民から幽霊屋敷と呼ばれている廃虚で、体の一部が切り取られた4体の遺体が発見される。被害者はいずれも若い女性で、犯人は殺害後、遺体に自らが用意した服を着せ、切り取った体の一部を持ち去ったと見られる。先日の冷凍殺人の一件で、中島(林遣都)が犯人像の特定に一役買ったことを東海林(横山裕)から聞いた厚田(渡部篤郎)は、プロファイリングを中島に頼むことに。  一方、比奈子(波瑠)は、遺体発見の前日、幽霊屋敷に雨がっぱを着たオバケがいるのを見たと証言する少女・吉田遙香(住田萌乃)に出会う。さらに遙香は、一週間前にも自宅近くで同じオバケを見たという。聞き込みを進める中で、比奈子は遥香とその母親・佐和(中島亜梨沙)と親しい仲で近所のクリーニング屋を営む佐藤都夜(佐々木希)と知り合う。都夜は、佐和が以前からストーカーに付きまとわれており、雨がっぱを着たオバケと関係しているのではと相談する。  やがて、遺体に着せてあった服が被害者にぴったりのサイズだったことから、犯人がデザイナーではないかと推理した比奈子。遺体を切り取った道具が、デザイナーが使うような特殊なハサミだったことも判明する。  そんななか、妙子(原田美枝子)は、自殺と思われる不審な死を遂げた宮原、大友、鮫島の3人に共通点を見つけたと比奈子に話す。3人の脳内には、同じ箇所に腫瘍が発生していたというのだ。その頃、捜査本部には中島がやって来てー。</t>
  </si>
  <si>
    <t>番組名ON　異常犯罪捜査官・藤堂比奈子【VS女殺人鬼…自死事件に急展開】　#04</t>
  </si>
  <si>
    <t>体の一部を切り取られた4人の若い女性の遺体が発見され、新たに事件現場の近くに住む佐和(中島亜梨沙)が何者かに連れ去られた。佐和と親しい佐藤都夜(佐々木希)によると、佐和は以前からストーカーの男につきまとわれていたという。しかし実際は、一連の殺人事件も佐和を狙ったのも、すべて都夜の犯行。その目的は、彼女たちの美しい皮膚を手に入れることだった。さらに、比奈子(波瑠)の顔を気に入り拉致した都夜は、顔の皮でマスクを作ろうと、比奈子にハサミを突きつける。犯人の正体に気付いた東海林(横山裕)も、中島(林遣都)と比奈子の行方を追うがーー。    一方で、自殺と思われる不審な死を遂げた宮原と鮫島の死に際の映像がなぜかテレビで放送される。どうやら、何者かが匿名でテレビ局に送りつけたらしい。番組には、中島の上司でハヤサカメンタルクリニックの院長・早坂雅臣(光石研)が出演。この現象を“神の裁き"と呼び、凶悪犯罪に対する抑止力になると明言する。    テレビ局から押収したDVDには、白衣姿の医師が注射で自殺する映像も残されていた。警察が知る限り、ほかにも小学生を殺害した男が心臓をナイフで突いて自殺、殺人犯の大友も留置場で頭を砕いて自殺している。厚田(渡部篤郎)は、誰かが一連の出来事を世間に公表しようとしていると指摘したうえで、故意に自殺を誘発している人物を調べ上げ、食い止めるよう指示する。波瑠　  横山裕　  要潤　  高橋努　  斉藤慎二(ジャングルポケット)　  百瀬朔　  佐藤玲  　・　  佐々木希　  中島亜梨沙  　・　  林遣都　  奥貫薫　  光石研　  原田美枝子　  渡部篤郎【原作】  内藤了『ON　猟奇犯罪捜査班・藤堂比奈子』シリーズ(角川ホラー文庫刊)　    【脚本】  古家和尚　    【音楽】  菅野祐悟　    【主題歌】  [Alexandros]「Swan」  (ユニバーサルJ/RX-RECORDS)　    【演出】  白木啓一郎　    【プロデューサー】  河西秀幸　  萩原崇　  石田麻衣　    【制作協力】  ホリプロ　    【制作著作】  カンテレ番組公式ホームページ  http://www.ktv.jp/on/index.html</t>
  </si>
  <si>
    <t>体の一部を切り取られた4人の若い女性の遺体が発見され、新たに事件現場の近くに住む佐和(中島亜梨沙)が何者かに連れ去られた。佐和と親しい佐藤都夜(佐々木希)によると、佐和は以前からストーカーの男につきまとわれていたという。しかし実際は、一連の殺人事件も佐和を狙ったのも、すべて都夜の犯行。その目的は、彼女たちの美しい皮膚を手に入れることだった。さらに、比奈子(波瑠)の顔を気に入り拉致した都夜は、顔の皮でマスクを作ろうと、比奈子にハサミを突きつける。犯人の正体に気付いた東海林(横山裕)も、中島(林遣都)と比奈子の行方を追うがーー。    一方で、自殺と思われる不審な死を遂げた宮原と鮫島の死に際の映像がなぜかテレビで放送される。どうやら、何者かが匿名でテレビ局に送りつけたらしい。番組には、中島の上司でハヤサカメンタルクリニックの院長・早坂雅臣(光石研)が出演。この現象を“神の裁き"と呼び、凶悪犯罪に対する抑止力になると明言する。    テレビ局から押収したDVDには、白衣姿の医師が注射で自殺する映像も残されていた。警察が知る限り、ほかにも小学生を殺害した男が心臓をナイフで突いて自殺、殺人犯の大友も留置場で頭を砕いて自殺している。厚田(渡部篤郎)は、誰かが一連の出来事を世間に公表しようとしていると指摘したうえで、故意に自殺を誘発している人物を調べ上げ、食い止めるよう指示する。</t>
  </si>
  <si>
    <t>番組名ON　異常犯罪捜査官・藤堂比奈子【猟奇自殺事件の謎が遂に…首謀者は】　#05</t>
  </si>
  <si>
    <t>事件の知らせを聞いて駆け付けた比奈子(波瑠)と東海林(横山裕)の目線の先に現れた少女の遺体は口にキャンディを詰められており、5年前に起きた猟奇殺人事件とそっくりで、まるで当時の犯人が、5年の時を経て自分の存在をアピールしているかのようだった。東海林は、今回の事件も中島(林遣都)に捜査協力を要請しようと提案。中島が5年前の事件の第一発見者だったことを知る比奈子は心配するが、当の中島は過去の悪夢と向き合う良い機会だと話す。    同じ頃、比奈子と厚田(渡部篤郎)は、妙子(原田美枝子)から、とある未発表の論文を見せられる。ネグレクトが原因で犯罪に手を染める人間の脳に直接刺激を与え、感情を操作するというテーマで、書いたのは中島と早坂(光石研)だった。倫理的な問題もあり、研究は途中で頓挫したというが、妙子は何か引っかかる様子。その晩、誰もいない院長室には、早坂のパソコンを起動させる中島の姿があった。    一方、東海林はこれまでに起きた5件の猟奇自殺が早坂の仕業ではないかと考えていた。比奈子を連れてクリニックへ向かった東海林は、自殺した5人全員がハヤサカメンタルクリニックと接点があることを指摘。比奈子も、自殺に追い込む方法として例の論文の話を持ち出すが、早坂は関与をきっぱり否定。詰め寄る東海林に「証拠を持ってきたまえ」と告げて……。波瑠　  横山裕　  要潤　  高橋努　  斉藤慎二(ジャングルポケット)　  百瀬朔　  佐藤玲　  　・　  林遣都　  奥貫薫　  光石研　  原田美枝子　  渡部篤郎【原作】  内藤了『ON　猟奇犯罪捜査班・藤堂比奈子』シリーズ(角川ホラー文庫刊)    【脚本】  古家和尚    【音楽】  菅野祐悟    【主題歌】  [Alexandros]「Swan」  (ユニバーサルJ/RX-RECORDS)    【演出】  白木啓一郎　  宝来忠昭    【プロデューサー】  河西秀幸　  萩原崇　  石田麻衣    【制作協力】  ホリプロ    【制作著作】  カンテレ番組公式ホームページ  http://www.ktv.jp/on/index.html</t>
  </si>
  <si>
    <t>事件の知らせを聞いて駆け付けた比奈子(波瑠)と東海林(横山裕)の目線の先に現れた少女の遺体は口にキャンディを詰められており、5年前に起きた猟奇殺人事件とそっくりで、まるで当時の犯人が、5年の時を経て自分の存在をアピールしているかのようだった。東海林は、今回の事件も中島(林遣都)に捜査協力を要請しようと提案。中島が5年前の事件の第一発見者だったことを知る比奈子は心配するが、当の中島は過去の悪夢と向き合う良い機会だと話す。    同じ頃、比奈子と厚田(渡部篤郎)は、妙子(原田美枝子)から、とある未発表の論文を見せられる。ネグレクトが原因で犯罪に手を染める人間の脳に直接刺激を与え、感情を操作するというテーマで、書いたのは中島と早坂(光石研)だった。倫理的な問題もあり、研究は途中で頓挫したというが、妙子は何か引っかかる様子。その晩、誰もいない院長室には、早坂のパソコンを起動させる中島の姿があった。    一方、東海林はこれまでに起きた5件の猟奇自殺が早坂の仕業ではないかと考えていた。比奈子を連れてクリニックへ向かった東海林は、自殺した5人全員がハヤサカメンタルクリニックと接点があることを指摘。比奈子も、自殺に追い込む方法として例の論文の話を持ち出すが、早坂は関与をきっぱり否定。詰め寄る東海林に「証拠を持ってきたまえ」と告げて……。</t>
  </si>
  <si>
    <t>番組名ON　異常犯罪捜査官・藤堂比奈子【リッチマン殺人事件…比奈子の過去】　#06</t>
  </si>
  <si>
    <t>中島(林遣都)の逮捕以来、元気がない比奈子(波瑠)を厚田(渡部篤郎)や倉島(要潤)は心配するが、東海林(横山裕)だけは比奈子の落ち込んだ表情を「うそくさい」と言い、どこか警戒している様子。そんななか、公園で他殺体が発見されたと通報が入る。見つかった遺体の口には大量の100円硬貨が詰め込まれ、解剖の結果、特殊な器具を使って、胃に到達するほどの量を無理やり流し込まれたことが分かる。また、遺体の指紋が焼かれ、所持品もなかったことから、厚田は身元の洗い出しと目撃情報の収集を指示。自らも比奈子と一緒に聞き込みへ向かう。すると、街中で転んで怪我をした老人・稲富信吾(浜田晃)に出くわした2人。稲富を家まで送り届けると、そこは身寄りのない老人たちが共同生活を送るシェアハウスだった。    捜査が進展しないまま数日が経ち、再び口から大量の100円硬貨を流し込まれた遺体が発見される。一方、比奈子は妙子(原田美枝子)から、中島が『精神・神経研究センター』という施設に入所したことを聞く。表向きには人体に関する研究施設だが、実際には罪を犯した天才科学者や猟奇犯罪者の隔離矯正施設だという。    その頃、捜査に行き詰まり、いつものように情報屋の藤川(不破万作)と接触した東海林だったが……。波瑠　  横山裕　  要潤　  高橋努　  斉藤慎二(ジャングルポケット)　  百瀬朔　  佐藤玲　  伊藤麻実子　  松本穂香  　・　  林遣都　  モロ師岡　  不破万作　  奥貫薫　  原田美枝子　  渡部篤郎【原作】  内藤了『ON　猟奇犯罪捜査班・藤堂比奈子』シリーズ(角川ホラー文庫刊)　    【脚本】  古家和尚　    【音楽】  菅野祐悟　    【主題歌】  [Alexandros]「Swan」  (ユニバーサルJ/RX-RECORDS)　    【演出】  宝来忠昭　    【プロデューサー】  河西秀幸　  萩原崇　  石田麻衣　    【制作協力】  ホリプロ　    【制作著作】  カンテレ番組公式ホームページ  http://www.ktv.jp/on/index.html</t>
  </si>
  <si>
    <t>中島(林遣都)の逮捕以来、元気がない比奈子(波瑠)を厚田(渡部篤郎)や倉島(要潤)は心配するが、東海林(横山裕)だけは比奈子の落ち込んだ表情を「うそくさい」と言い、どこか警戒している様子。そんななか、公園で他殺体が発見されたと通報が入る。見つかった遺体の口には大量の100円硬貨が詰め込まれ、解剖の結果、特殊な器具を使って、胃に到達するほどの量を無理やり流し込まれたことが分かる。また、遺体の指紋が焼かれ、所持品もなかったことから、厚田は身元の洗い出しと目撃情報の収集を指示。自らも比奈子と一緒に聞き込みへ向かう。すると、街中で転んで怪我をした老人・稲富信吾(浜田晃)に出くわした2人。稲富を家まで送り届けると、そこは身寄りのない老人たちが共同生活を送るシェアハウスだった。    捜査が進展しないまま数日が経ち、再び口から大量の100円硬貨を流し込まれた遺体が発見される。一方、比奈子は妙子(原田美枝子)から、中島が『精神・神経研究センター』という施設に入所したことを聞く。表向きには人体に関する研究施設だが、実際には罪を犯した天才科学者や猟奇犯罪者の隔離矯正施設だという。    その頃、捜査に行き詰まり、いつものように情報屋の藤川(不破万作)と接触した東海林だったが……。</t>
  </si>
  <si>
    <t>番組名ON　異常犯罪捜査官・藤堂比奈子【毒物死へ誘うAID…比奈子の殺意】　#07</t>
  </si>
  <si>
    <t>「お前の素の顔……人殺しと同じだよな」  「……私は刑事です。まだ」  東海林(横山裕)が比奈子(波瑠)の異常性を疑い始めた矢先、情報屋の藤川(不破万作)が殺される。藤川との間にトラブルを抱えていたことから疑惑をかけられていた東海林は、厚田(渡部篤郎)から藤川殺害事件の捜査を外れるよう命じられる。    一方、ちまたでは劇薬の除草剤を使った服毒自殺が4件立て続けに起きていた。遺体が握りしめていた遺書に『生きた証をAIDに託します』と書かれていたことから、何者かが毒物を送りつけ、自殺を手助けしているとにらんだ警察は、早速、毒物の入手経路を調べることに。その捜査の途中、比奈子は交番勤務の警官・原島(モロ師岡)と再会する。原島は、藤川の一件で東海林のことを心配していたが、一方で、命の重みをよく知る東海林が藤川を殺すはずがないと信じていた。    そこへ今度は、5人目の服毒自殺者が見つかったと知らせが入る。遺体の傍には『AID』とダイイングメッセージが残され、それはまるで殺人事件のような現場だった。遺体を解剖した妙子(原田美枝子)の話では、一連の自殺に使われた除草剤はすべて25年前に製造されたもので、恐らく自殺をほう助した何者かが、製造中止になる前から保管していたものと思われ……。波瑠　  横山裕　  要潤　  高橋努　  斉藤慎二(ジャングルポケット)　  百瀬朔　  佐藤玲　  伊藤麻実子　  松本穂香　  　・　  林遣都　  モロ師岡　  不破万作　  奥貫薫　  原田美枝子　  渡部篤郎【原作】  内藤了『ON　猟奇犯罪捜査班・藤堂比奈子』シリーズ(角川ホラー文庫刊)　    【脚本】  古家和尚　    【音楽】  菅野祐悟　    【主題歌】  [Alexandros]「Swan」  (ユニバーサルJ/RX-RECORDS)　    【演出】  大内隆弘　    【プロデューサー】  河西秀幸　  萩原崇　  石田麻衣　    【制作協力】  ホリプロ　    【制作著作】  カンテレ番組公式ホームページ  http://www.ktv.jp/on/index.html</t>
  </si>
  <si>
    <t>「お前の素の顔……人殺しと同じだよな」  「……私は刑事です。まだ」  東海林(横山裕)が比奈子(波瑠)の異常性を疑い始めた矢先、情報屋の藤川(不破万作)が殺される。藤川との間にトラブルを抱えていたことから疑惑をかけられていた東海林は、厚田(渡部篤郎)から藤川殺害事件の捜査を外れるよう命じられる。    一方、ちまたでは劇薬の除草剤を使った服毒自殺が4件立て続けに起きていた。遺体が握りしめていた遺書に『生きた証をAIDに託します』と書かれていたことから、何者かが毒物を送りつけ、自殺を手助けしているとにらんだ警察は、早速、毒物の入手経路を調べることに。その捜査の途中、比奈子は交番勤務の警官・原島(モロ師岡)と再会する。原島は、藤川の一件で東海林のことを心配していたが、一方で、命の重みをよく知る東海林が藤川を殺すはずがないと信じていた。    そこへ今度は、5人目の服毒自殺者が見つかったと知らせが入る。遺体の傍には『AID』とダイイングメッセージが残され、それはまるで殺人事件のような現場だった。遺体を解剖した妙子(原田美枝子)の話では、一連の自殺に使われた除草剤はすべて25年前に製造されたもので、恐らく自殺をほう助した何者かが、製造中止になる前から保管していたものと思われ……。</t>
  </si>
  <si>
    <t>番組名ON　異常犯罪捜査官・藤堂比奈子【女殺人鬼が脱走…比奈子へ壮絶復讐】　#08</t>
  </si>
  <si>
    <t>東海林(横山裕)から「テメーはもう、刑事じゃねぇ」と糾弾された比奈子(波瑠)は、辞職を決意して中島(林遣都)の元を訪ねる。話を聞いた中島は、「もう一度考えるべきだ」と説得するが、比奈子の心には届かない。    同じ頃、捜査一課には、拘置所近くの病院で、勾留中の連続殺人犯が刑務官を殺して脱走したと知らせが入る。逃げ出したのは、美しい皮膚を狙って女性たちを次々に殺害、比奈子のことも標的として拉致・監禁した佐藤都夜(佐々木希)だった!脱走の理由が分からない比奈子に対し、厚田(渡部篤郎)は、都夜が逮捕後も比奈子に強い執着を抱いていたことを打ち明け、身辺に十分注意するよう警告。東海林に比奈子の警護役を命じる。    一方、都内では、警察も看過できない猟奇的な動物死体が発見される。妙子(原田美枝子)の話では、他県でも同様の事件が起きているという。しかも、最初の犯行が行われた場所は、偶然にも比奈子の生まれ故郷でーー!?波瑠　  横山裕　  要潤　  高橋努　  斉藤慎二(ジャングルポケット)　  百瀬朔　  佐藤玲　  　・　  林遣都　  佐々木希　  原田美枝子　  渡部篤郎【原作】  内藤了『ON　猟奇犯罪捜査班・藤堂比奈子』シリーズ(角川ホラー文庫刊)　    【脚本】  古家和尚　    【音楽】  菅野祐悟　    【主題歌】  [Alexandros]「Swan」  (ユニバーサルJ/RX-RECORDS)　    【演出】  白木啓一郎　    【プロデューサー】  河西秀幸　  萩原崇　  石田麻衣　    【制作協力】  ホリプロ　    【制作著作】  カンテレ番組公式ホームページ  http://www.ktv.jp/on/index.html</t>
  </si>
  <si>
    <t>東海林(横山裕)から「テメーはもう、刑事じゃねぇ」と糾弾された比奈子(波瑠)は、辞職を決意して中島(林遣都)の元を訪ねる。話を聞いた中島は、「もう一度考えるべきだ」と説得するが、比奈子の心には届かない。    同じ頃、捜査一課には、拘置所近くの病院で、勾留中の連続殺人犯が刑務官を殺して脱走したと知らせが入る。逃げ出したのは、美しい皮膚を狙って女性たちを次々に殺害、比奈子のことも標的として拉致・監禁した佐藤都夜(佐々木希)だった!脱走の理由が分からない比奈子に対し、厚田(渡部篤郎)は、都夜が逮捕後も比奈子に強い執着を抱いていたことを打ち明け、身辺に十分注意するよう警告。東海林に比奈子の警護役を命じる。    一方、都内では、警察も看過できない猟奇的な動物死体が発見される。妙子(原田美枝子)の話では、他県でも同様の事件が起きているという。しかも、最初の犯行が行われた場所は、偶然にも比奈子の生まれ故郷でーー!?</t>
  </si>
  <si>
    <t>番組名ON　異常犯罪捜査官・藤堂比奈子【最終回…因縁の女殺人鬼と決戦】　#09</t>
  </si>
  <si>
    <t>東海林(横山裕)に異常性を暴かれたことで辞職を決意した比奈子(波瑠)。ところがその矢先、比奈子に強い執着を抱く佐藤都夜(佐々木希)が脱走し、命を狙われる危険性の高い比奈子は東海林の警護の元、ホテル住まいすることに。  　しかし、そんな警察の計画をあざ笑うかのように、都夜は比奈子の居場所を突き止める。一方、警視庁・片岡(高橋努)は都夜を追跡し、追い詰める間際で、突然現れた女性に切り付けられる。その女性こそ、高校生だった比奈子にナイフを渡し、「自分らしく人を殺せばいい」と進言した真壁永久(芦名星)だった!ぼう然とする比奈子に何事かを語りかけ、永久は再び姿を消す……。  　一方、ホテルから行方をくらませた東海林は永久に拉致・監禁されていた。彼女の恐るべき計画に恐れ戦く東海林……。永久に翻弄(ほんろう)され、最悪の窮地に陥る比奈子は、かつての進言通り、殺人者になってしまうのかー!?　これまで殺人者への強い探究心で犯罪者と対峙(たいじ)し、「人を殺す者と殺さない者の境界線」に立ってきた比奈子は、最恐かつ因縁の女性・永久との再会をきっかけに、どんな答えを見出すのか?闇を抱える女刑事の物語が、衝撃のクライマックスを迎える。波瑠　  横山裕　  要潤　  高橋努　  斉藤慎二(ジャングルポケット)　  百瀬朔　  佐藤玲　  伊藤麻実子　  松本穂香  　・　  芦名星　  佐々木希  　・　  林遣都　  奥貫薫　  原田美枝子　  渡部篤郎【原作】  内藤了『ON　猟奇犯罪捜査班・藤堂比奈子』シリーズ(角川ホラー文庫刊)　    【脚本】  古家和尚　    【音楽】  菅野祐悟　    【主題歌】  [Alexandros]「Swan」  (ユニバーサルJ/RX-RECORDS)　    【演出】  白木啓一郎　    【プロデューサー】  河西秀幸　  萩原崇　  石田麻衣　    【制作協力】  ホリプロ　    【制作著作】  カンテレ</t>
  </si>
  <si>
    <t>東海林(横山裕)に異常性を暴かれたことで辞職を決意した比奈子(波瑠)。ところがその矢先、比奈子に強い執着を抱く佐藤都夜(佐々木希)が脱走し、命を狙われる危険性の高い比奈子は東海林の警護の元、ホテル住まいすることに。  　しかし、そんな警察の計画をあざ笑うかのように、都夜は比奈子の居場所を突き止める。一方、警視庁・片岡(高橋努)は都夜を追跡し、追い詰める間際で、突然現れた女性に切り付けられる。その女性こそ、高校生だった比奈子にナイフを渡し、「自分らしく人を殺せばいい」と進言した真壁永久(芦名星)だった!ぼう然とする比奈子に何事かを語りかけ、永久は再び姿を消す……。  　一方、ホテルから行方をくらませた東海林は永久に拉致・監禁されていた。彼女の恐るべき計画に恐れ戦く東海林……。永久に翻弄(ほんろう)され、最悪の窮地に陥る比奈子は、かつての進言通り、殺人者になってしまうのかー!?　これまで殺人者への強い探究心で犯罪者と対峙(たいじ)し、「人を殺す者と殺さない者の境界線」に立ってきた比奈子は、最恐かつ因縁の女性・永久との再会をきっかけに、どんな答えを見出すのか?闇を抱える女刑事の物語が、衝撃のクライマックスを迎える。</t>
  </si>
  <si>
    <t>1607_CX_日21</t>
  </si>
  <si>
    <t>HOPE</t>
  </si>
  <si>
    <t>番組名HOPE～期待ゼロの新入社員～【共感度100%のヒューマンドラマ】　#01</t>
  </si>
  <si>
    <t>【番組HP】  http://www.fujitv.co.jp/hope/index.html　一ノ瀬歩(中島裕翔)、22歳。高校生の頃、父親が病気で他界。母子家庭となり苦しくなった家計の助けになるよう、アルバイトをしながらプロ棋士を目指す日々を送ることに。  　日本のプロ棋士採用試験には23歳未満の人しか受けられない、という年齢制限があるため、22歳になった一ノ瀬はアルバイトも辞め、囲碁に励む。しかしプロ棋士採用試験前日の夜、母親(朝加真由美)が過労で倒れ動揺した一ノ瀬は試験に落ちてしまうことに…。  　そして現在。家に帰った一ノ瀬に母親が「この会社、受けてみない?」。母が知人に頼み、与一物産という総合商社の採用試験に一ノ瀬が受けられるようにしたのだ。試験内容は1カ月のインターンシップ。  　与一物産営業3課でインターンとして働くこととなった一ノ瀬。課の長である織田勇仁(遠藤憲一)はあいにく外回りに出ており、課にいるのは主任の安芸公介(山内圭哉)だけ。一ノ瀬から高卒であることを聞き、安芸は耳を疑う。コピーならできるだろうと仕事を言いつける安芸だが、一ノ瀬はトナーの意味すら分からず、同期でインターン試験を受けている桐明真司(瀬戸康史)に助けてもらい、電話に出るも、英語で分からず、同じく同期でインターン試験を受けている香月あかね(山本美月)に電話を代わってもらう始末…。一ノ瀬とインターン試験を受けている人見将吾(桐山照史)は、一ノ瀬は専務のコネだと社員が話しているのを耳にする。中島裕翔(Hey!　Say!　JUMP)　  遠藤憲一　  瀬戸康史　  山本美月　  桐山照史(ジャニーズWEST)　  マギー　  中村ゆり　  丸山智己　  松田賢二　  山内圭哉　  朝加真由美　  風間杜夫【原作/制作】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</si>
  <si>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 xml:space="preserve">　一ノ瀬歩(中島裕翔)、22歳。高校生の頃、父親が病気で他界。母子家庭となり苦しくなった家計の助けになるよう、アルバイトをしながらプロ棋士を目指す日々を送ることに。  　日本のプロ棋士採用試験には23歳未満の人しか受けられない、という年齢制限があるため、22歳になった一ノ瀬はアルバイトも辞め、囲碁に励む。しかしプロ棋士採用試験前日の夜、母親(朝加真由美)が過労で倒れ動揺した一ノ瀬は試験に落ちてしまうことに…。  　そして現在。家に帰った一ノ瀬に母親が「この会社、受けてみない?」。母が知人に頼み、与一物産という総合商社の採用試験に一ノ瀬が受けられるようにしたのだ。試験内容は1カ月のインターンシップ。  　与一物産営業3課でインターンとして働くこととなった一ノ瀬。課の長である織田勇仁(遠藤憲一)はあいにく外回りに出ており、課にいるのは主任の安芸公介(山内圭哉)だけ。一ノ瀬から高卒であることを聞き、安芸は耳を疑う。コピーならできるだろうと仕事を言いつける安芸だが、一ノ瀬はトナーの意味すら分からず、同期でインターン試験を受けている桐明真司(瀬戸康史)に助けてもらい、電話に出るも、英語で分からず、同じく同期でインターン試験を受けている香月あかね(山本美月)に電話を代わってもらう始末…。一ノ瀬とインターン試験を受けている人見将吾(桐山照史)は、一ノ瀬は専務のコネだと社員が話しているのを耳にする。</t>
  </si>
  <si>
    <t>番組名HOPE～期待ゼロの新入社員～【涙あふれる満足度NO.1ドラマ!】　#02</t>
  </si>
  <si>
    <t>【番組HP】  http://www.fujitv.co.jp/hope/index.html　囲碁のプロ棋士になれず失意の底にいた一ノ瀬歩(中島裕翔)。見かねた母親(朝加真由美)のコネで総合商社・与一物産のインターン採用試験を受けることになるも、同期から爪はじきにされ、仕事ではミスばかり。「やはり自分なんかの来るところではなかった」と試験から降りる決意をした一ノ瀬だったが、上司の織田勇仁(遠藤憲一)から「ウチのヤツ」と受け入れられ、せめて試験だけは最後までがんばろうと一ノ瀬は心に決めた。　その翌日、揚々と出社する一ノ瀬に、織田は酩酊していたため「ウチのヤツ」と言った覚えはないと言う。拍子抜けする一ノ瀬を織田は、大手スーパーチェーンの社長・宮脇和久(温水洋一)との商談に同席させる。宮脇は織田の同級生で、商談は順風満帆に進むだろうと明言する織田だったが、同級生同士の仕事というのは、それはそれで難しいもの。一ノ瀬はまた新たな仕事の厳しい側面を目の当たりにすることとなる。  　一方、インターンの同期の桐明真司(瀬戸康史)や香月あかね(山本美月)らは、採用試験の最終日に行われるプレゼン試験に向けて着々と準備を進めていた。一ノ瀬はお調子者の人見将吾(桐山照史)とパートナーを組むことにしたが、プレゼンのテーマを決めると人見は資料作りを一ノ瀬に一任する。持ち前の実直な性格で、仕事の合間にひたむきに資料作りに励む一ノ瀬だったが、プレゼン試験の前日に、人見の一言から2人は衝突してしまう。中島裕翔(Hey!　Say!　JUMP)　  遠藤憲一　  瀬戸康史　  山本美月　  桐山照史(ジャニーズWEST)　  マギー　  中村ゆり　  丸山智己　  松田賢二　  山内圭哉　  朝加真由美　  風間杜夫　    【第2話ゲスト】  温水洋一【原作/制作】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</si>
  <si>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 xml:space="preserve">　囲碁のプロ棋士になれず失意の底にいた一ノ瀬歩(中島裕翔)。見かねた母親(朝加真由美)のコネで総合商社・与一物産のインターン採用試験を受けることになるも、同期から爪はじきにされ、仕事ではミスばかり。「やはり自分なんかの来るところではなかった」と試験から降りる決意をした一ノ瀬だったが、上司の織田勇仁(遠藤憲一)から「ウチのヤツ」と受け入れられ、せめて試験だけは最後までがんばろうと一ノ瀬は心に決めた。　その翌日、揚々と出社する一ノ瀬に、織田は酩酊していたため「ウチのヤツ」と言った覚えはないと言う。拍子抜けする一ノ瀬を織田は、大手スーパーチェーンの社長・宮脇和久(温水洋一)との商談に同席させる。宮脇は織田の同級生で、商談は順風満帆に進むだろうと明言する織田だったが、同級生同士の仕事というのは、それはそれで難しいもの。一ノ瀬はまた新たな仕事の厳しい側面を目の当たりにすることとなる。  　一方、インターンの同期の桐明真司(瀬戸康史)や香月あかね(山本美月)らは、採用試験の最終日に行われるプレゼン試験に向けて着々と準備を進めていた。一ノ瀬はお調子者の人見将吾(桐山照史)とパートナーを組むことにしたが、プレゼンのテーマを決めると人見は資料作りを一ノ瀬に一任する。持ち前の実直な性格で、仕事の合間にひたむきに資料作りに励む一ノ瀬だったが、プレゼン試験の前日に、人見の一言から2人は衝突してしまう。</t>
  </si>
  <si>
    <t>番組名HOPE～期待ゼロの新入社員～【社内事件勃発!上司の危機を救え!】　#03</t>
  </si>
  <si>
    <t>【番組HP】  http://www.fujitv.co.jp/hope/index.html　囲碁のプロ棋士になれず失意の底にいた一ノ瀬歩(中島裕翔)。見かねた母親(朝加真由美)のコネで総合商社・与一物産のインターン採用試験を受けることになり、同期から爪はじきにされ、仕事ではミスばかり犯すも、最終のプレゼン試験で役員たちの心を動かし、桐明真司(瀬戸康史)、香月あかね(山本美月)、人見将吾(桐山照史)らとともに見事、採用試験を突破した。ただし1年契約という条件付きでー。  　桐明は鉄鋼2課、あかねは資源2課、人見は繊維1課に、そして一ノ瀬はインターン試験で世話になった織田勇仁(遠藤憲一)課長の営業3課に配属される。  　桐明は上司の結城雅治(丸山智己)から基礎的で単調な仕事ばかりふられ、うんざりしていた。人見は自分よりも要領が良い主任・鳴海亮太(マギー)の鴨にされ、戸惑いを隠せない。そして、同期の中で1番優秀だったあかねは、ただの雑用係という扱いを受けていた。  　そんな折、資源2課長の寺崎京介(矢柴俊博)が、営業3課から書類が届いていない、と織田に文句を言いに来る。織田の部下である安芸公介(山内圭哉)は、渡しているはずだと主張した。しかし寺崎はそれを聞き入れないばかりか、織田が忘れたくても忘れられない心の傷に、塩を塗るような辛辣(しんらつ)な一言を口にする。寺崎の言葉に怒り、思わず彼を突き飛ばしてしまう安芸。その行為が会社的に問題視され、安芸は懲罰委員会にかけられることになる。中島裕翔(Hey!　Say!　JUMP)　  遠藤憲一　  瀬戸康史　  山本美月　  桐山照史(ジャニーズWEST)　  マギー　  中村ゆり　  丸山智己　  松田賢二　  矢柴俊博　    山内圭哉　  朝加真由美　  風間杜夫【原作/制作】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</si>
  <si>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 xml:space="preserve">　囲碁のプロ棋士になれず失意の底にいた一ノ瀬歩(中島裕翔)。見かねた母親(朝加真由美)のコネで総合商社・与一物産のインターン採用試験を受けることになり、同期から爪はじきにされ、仕事ではミスばかり犯すも、最終のプレゼン試験で役員たちの心を動かし、桐明真司(瀬戸康史)、香月あかね(山本美月)、人見将吾(桐山照史)らとともに見事、採用試験を突破した。ただし1年契約という条件付きでー。  　桐明は鉄鋼2課、あかねは資源2課、人見は繊維1課に、そして一ノ瀬はインターン試験で世話になった織田勇仁(遠藤憲一)課長の営業3課に配属される。  　桐明は上司の結城雅治(丸山智己)から基礎的で単調な仕事ばかりふられ、うんざりしていた。人見は自分よりも要領が良い主任・鳴海亮太(マギー)の鴨にされ、戸惑いを隠せない。そして、同期の中で1番優秀だったあかねは、ただの雑用係という扱いを受けていた。  　そんな折、資源2課長の寺崎京介(矢柴俊博)が、営業3課から書類が届いていない、と織田に文句を言いに来る。織田の部下である安芸公介(山内圭哉)は、渡しているはずだと主張した。しかし寺崎はそれを聞き入れないばかりか、織田が忘れたくても忘れられない心の傷に、塩を塗るような辛辣(しんらつ)な一言を口にする。寺崎の言葉に怒り、思わず彼を突き飛ばしてしまう安芸。その行為が会社的に問題視され、安芸は懲罰委員会にかけられることになる。</t>
  </si>
  <si>
    <t>番組名HOPE～期待ゼロの新入社員～【僕が会社を辞めなかった理由】　#04</t>
  </si>
  <si>
    <t>【番組HP】  http://www.fujitv.co.jp/hope/index.html　一ノ瀬(中島裕翔)ら与一物産の新人は、実際に業務を行いながら仕事を学ぶ研修を命じられる。あかね(山本美月)は織田勇仁(遠藤憲一)が課長を務める営業3課へ、人見(桐山照史)は鉄鋼2課へ研修に行くことに。そして一ノ瀬は、桐明(瀬戸康史)とともに資源1課の大平竜也(山崎樹範)の下で研修を受けることになった。「大平は取引先に礼儀を尽くす模範社員だからしっかり学んでこい」。織田は、一ノ瀬にそう声をかけた。　一ノ瀬と桐明が資源1課を訪れると、取引先とトラブルが起きていた。大平は、一ノ瀬たちを連れて取引先の東洋鉱石を訪れ、担当課長の武林悟史(伊藤正之)に会う。武林は、親の介護という個人的な事情もあって確認を怠っていた、と詫びると、納品はあと2、3日待ってほしい、と大平に泣きつく。大平はそれを了承し、資源1課長の高柳清志(佐伯新)に報告する。だが高柳は、相手の要望を受け入れた大平を叱責(しっせき)し、確約が取れるまで戻ってくるな、と言い放つ。一ノ瀬は、自分を盾にしてでも取引先を守ろうとする大平に感心していた。それに対して桐明は、気弱な性格のせいで出世の見込みもないという大平への失望感をあらわにする。  　あくる日、大平は、一ノ瀬と桐明を連れて再び東洋鉱石を訪れる。そこで大平たちは思わぬ事実を知ってしまい…。中島裕翔(Hey!　Say!　JUMP)　  遠藤憲一　  瀬戸康史　  山本美月　  桐山照史(ジャニーズWEST)　  マギー　  中村ゆり　  丸山智己　  松田賢二　  矢柴俊博　    山内圭哉　  朝加真由美　  風間杜夫【原作/制作】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</si>
  <si>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 xml:space="preserve">　一ノ瀬(中島裕翔)ら与一物産の新人は、実際に業務を行いながら仕事を学ぶ研修を命じられる。あかね(山本美月)は織田勇仁(遠藤憲一)が課長を務める営業3課へ、人見(桐山照史)は鉄鋼2課へ研修に行くことに。そして一ノ瀬は、桐明(瀬戸康史)とともに資源1課の大平竜也(山崎樹範)の下で研修を受けることになった。「大平は取引先に礼儀を尽くす模範社員だからしっかり学んでこい」。織田は、一ノ瀬にそう声をかけた。　一ノ瀬と桐明が資源1課を訪れると、取引先とトラブルが起きていた。大平は、一ノ瀬たちを連れて取引先の東洋鉱石を訪れ、担当課長の武林悟史(伊藤正之)に会う。武林は、親の介護という個人的な事情もあって確認を怠っていた、と詫びると、納品はあと2、3日待ってほしい、と大平に泣きつく。大平はそれを了承し、資源1課長の高柳清志(佐伯新)に報告する。だが高柳は、相手の要望を受け入れた大平を叱責(しっせき)し、確約が取れるまで戻ってくるな、と言い放つ。一ノ瀬は、自分を盾にしてでも取引先を守ろうとする大平に感心していた。それに対して桐明は、気弱な性格のせいで出世の見込みもないという大平への失望感をあらわにする。  　あくる日、大平は、一ノ瀬と桐明を連れて再び東洋鉱石を訪れる。そこで大平たちは思わぬ事実を知ってしまい…。</t>
  </si>
  <si>
    <t>番組名HOPE～期待ゼロの新入社員～【負けたくない、お前にだけは】　#05</t>
  </si>
  <si>
    <t>【番組HP】  http://www.fujitv.co.jp/hope/index.html　与一物産で半年に一度ある新規事業企画の募集が行われることとなった。今回は、営業2課と、一ノ瀬歩(中島裕翔)が働く営業3課の一騎打ちになるという。営業3課主任の安芸公介(山内圭哉)は、パームヤシを使った再生可能エネルギー・PKSはどうかと提案した。しかし課長の織田勇仁(遠藤憲一)は、イランの原油事業で勝負をかけたいと言い出す。そんな織田に対して安芸は、企画を提出する前に一席設けて、企画決定権を持つ営業部長・宇野(松澤一之)を口説き落とすべきだと進言した。  　鉄鋼2課の桐明真司(瀬戸康史)は、転職エージェントに登録する。桐明は、上司の結城(丸山智己)から事務作業しか与えられないことに反発し、仕事をしながらでも基本的なことは学べる、と主張した。すると結城は、鉄鋼の仕事にパフォーマンスは必要ないと返し、不満があるなら他部署に移っても構わないと言い放つ。  　一方、資源2課の香月あかね(山本美月)は、主任の桧山(松田賢二)から、保留案件の作り直しを命じられる。実はその案件は、桧山自身が提案した企画だったが、財務部長から何度も却下され、捨てられたものだった。  　織田たち営業3課のメンバーは、情報通の人見将吾(桐山照史)から宇野に関するデータを入手し、作戦を練る。中華料理店に宇野を招いた織田たちは、彼が上機嫌になったところでイランの案件を切り出すが、あっさり却下されてしまい…。中島裕翔(Hey!　Say!　JUMP)　  遠藤憲一　  瀬戸康史　  山本美月　  桐山照史(ジャニーズWEST)　  マギー　  中村ゆり　  丸山智己　  松田賢二　  矢柴俊博　    山内圭哉　  朝加真由美　  風間杜夫【原作/制作】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</si>
  <si>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 xml:space="preserve">　与一物産で半年に一度ある新規事業企画の募集が行われることとなった。今回は、営業2課と、一ノ瀬歩(中島裕翔)が働く営業3課の一騎打ちになるという。営業3課主任の安芸公介(山内圭哉)は、パームヤシを使った再生可能エネルギー・PKSはどうかと提案した。しかし課長の織田勇仁(遠藤憲一)は、イランの原油事業で勝負をかけたいと言い出す。そんな織田に対して安芸は、企画を提出する前に一席設けて、企画決定権を持つ営業部長・宇野(松澤一之)を口説き落とすべきだと進言した。  　鉄鋼2課の桐明真司(瀬戸康史)は、転職エージェントに登録する。桐明は、上司の結城(丸山智己)から事務作業しか与えられないことに反発し、仕事をしながらでも基本的なことは学べる、と主張した。すると結城は、鉄鋼の仕事にパフォーマンスは必要ないと返し、不満があるなら他部署に移っても構わないと言い放つ。  　一方、資源2課の香月あかね(山本美月)は、主任の桧山(松田賢二)から、保留案件の作り直しを命じられる。実はその案件は、桧山自身が提案した企画だったが、財務部長から何度も却下され、捨てられたものだった。  　織田たち営業3課のメンバーは、情報通の人見将吾(桐山照史)から宇野に関するデータを入手し、作戦を練る。中華料理店に宇野を招いた織田たちは、彼が上機嫌になったところでイランの案件を切り出すが、あっさり却下されてしまい…。</t>
  </si>
  <si>
    <t>番組名HOPE～期待ゼロの新入社員～【30分拡大SP願いは必ず届けてやる】　#06</t>
  </si>
  <si>
    <t>【番組HP】  http://www.fujitv.co.jp/hope/index.html　一ノ瀬(中島裕翔)は、財務部から却下されていた炭素排出権の企画を成立させたあかね(山本美月)に刺激され、新規事業の企画を考えたいと課長の織田(遠藤憲一)に願い出る。織田は、安芸(山内圭哉)とふたりでみっちりしごいてやる、と言ってそれを許可した。  　同じころ、鉄鋼2課では、太平洋沖を航行中の貨物船の船体に亀裂が見つかり、その対応に追われていた。港に引き返すことも、別の船に積み替えることも難しい状況だという。それを知った一ノ瀬は、亀裂をふさぐことはできないのかと言い出す。鉄鋼2課主任の結城(丸山智己)は、一ノ瀬の言葉をヒントに船体溶接の手配を進め、何とかトラブルを回避する。結城は、一ノ瀬のおかげで助かった、と織田に報告した。そんな一ノ瀬の活躍ぶりに、桐明(瀬戸康史)はいら立ちを隠せない。  　営業3課内で新規事業の企画をプレゼンした一ノ瀬は、織田から酷評される。そこで一ノ瀬に課せられたのは、1万円を元手に商品を仕入れ、それを売って利益を出してくる、という営業課恒例の研修だった。安芸から話を聞いた結城は、桐明もその研修に参加させたいと申し出る。  　一方、あかねは、波丘コークス工業に出向き、コークスをコンテナに移す手配をしてくるよう命じられる。上司の鳴海(マギー)ともめて早退を申し出た人見(桐山照史)は、たまたまあかねと出会い、彼女と一緒に波丘コークスに行くが…。中島裕翔(Hey!　Say!　JUMP)　  遠藤憲一　  瀬戸康史　  山本美月　  桐山照史(ジャニーズWEST)　  マギー　  中村ゆり　  丸山智己　  松田賢二　  矢柴俊博　    山内圭哉　  朝加真由美　  風間杜夫【原作/制作】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</si>
  <si>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 xml:space="preserve">　一ノ瀬(中島裕翔)は、財務部から却下されていた炭素排出権の企画を成立させたあかね(山本美月)に刺激され、新規事業の企画を考えたいと課長の織田(遠藤憲一)に願い出る。織田は、安芸(山内圭哉)とふたりでみっちりしごいてやる、と言ってそれを許可した。  　同じころ、鉄鋼2課では、太平洋沖を航行中の貨物船の船体に亀裂が見つかり、その対応に追われていた。港に引き返すことも、別の船に積み替えることも難しい状況だという。それを知った一ノ瀬は、亀裂をふさぐことはできないのかと言い出す。鉄鋼2課主任の結城(丸山智己)は、一ノ瀬の言葉をヒントに船体溶接の手配を進め、何とかトラブルを回避する。結城は、一ノ瀬のおかげで助かった、と織田に報告した。そんな一ノ瀬の活躍ぶりに、桐明(瀬戸康史)はいら立ちを隠せない。  　営業3課内で新規事業の企画をプレゼンした一ノ瀬は、織田から酷評される。そこで一ノ瀬に課せられたのは、1万円を元手に商品を仕入れ、それを売って利益を出してくる、という営業課恒例の研修だった。安芸から話を聞いた結城は、桐明もその研修に参加させたいと申し出る。  　一方、あかねは、波丘コークス工業に出向き、コークスをコンテナに移す手配をしてくるよう命じられる。上司の鳴海(マギー)ともめて早退を申し出た人見(桐山照史)は、たまたまあかねと出会い、彼女と一緒に波丘コークスに行くが…。</t>
  </si>
  <si>
    <t>番組名HOPE～期待ゼロの新入社員～【同期の絆…俺たちがそばにいる!】　#07</t>
  </si>
  <si>
    <t>【番組HP】  http://www.fujitv.co.jp/hope/index.html　一ノ瀬(中島裕翔)が所属する営業3課は、役員会で小売り事業企画の承認を得る。専務の鷹野(風間杜夫)は、営業3課の新たな戦力として江部(宮川一朗太)を送り込んだ。だが江部は、出向先の仕事が残っていると主張し、織田(遠藤憲一)の指示に従おうともしなかった。安芸(山内圭哉)によれば、江部は入社早々大きな契約をまとめるなどの功績を残し、専務派の急先鋒とも呼ばれていたが、対立する社長派によって関連会社に飛ばされたのだという。  　鉄鋼2課の桐明(瀬戸康史)は、中国向け線材の企画を承認される。主任の結城(丸山智己)は、勉強のために双菱商事との合同会議に出てはどうかと桐明に提案する。  　一方、かつて双菱商事で働いていた資源2課のあかね(山本美月)は、会議のために来社した元上司・高瀬(長谷川朝晴)と再会する。それを知った資源2課長の寺崎(矢柴俊博)は、あかねが双菱商事を辞めたのは男女関係のトラブルだと決めつけ、桧山(松田賢二)の態度が変わったのも色目を使ったからだろう、と言い出す。  　小売り事業を進める織田たちは、食品2課長の涼子(中村ゆり)にも協力を求めた。しかし、涼子の部下たちは、営業3課に手を貸すのは反対だという。そんな折、一ノ瀬は、適当な理由をつけて外に出てこい、と江部に呼び出される。指示された雑居ビルを訪れた一ノ瀬は江部から封筒を手渡され、赤城プランニングに届けるよう命じられるが…。中島裕翔(Hey!　Say!　JUMP)　  遠藤憲一　  瀬戸康史　  山本美月　  桐山照史(ジャニーズWEST)　  マギー　  中村ゆり　  丸山智己　  松田賢二　  矢柴俊博　    山内圭哉　  朝加真由美　  風間杜夫　    宮川一朗太【原作/制作】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</si>
  <si>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 xml:space="preserve">　一ノ瀬(中島裕翔)が所属する営業3課は、役員会で小売り事業企画の承認を得る。専務の鷹野(風間杜夫)は、営業3課の新たな戦力として江部(宮川一朗太)を送り込んだ。だが江部は、出向先の仕事が残っていると主張し、織田(遠藤憲一)の指示に従おうともしなかった。安芸(山内圭哉)によれば、江部は入社早々大きな契約をまとめるなどの功績を残し、専務派の急先鋒とも呼ばれていたが、対立する社長派によって関連会社に飛ばされたのだという。  　鉄鋼2課の桐明(瀬戸康史)は、中国向け線材の企画を承認される。主任の結城(丸山智己)は、勉強のために双菱商事との合同会議に出てはどうかと桐明に提案する。  　一方、かつて双菱商事で働いていた資源2課のあかね(山本美月)は、会議のために来社した元上司・高瀬(長谷川朝晴)と再会する。それを知った資源2課長の寺崎(矢柴俊博)は、あかねが双菱商事を辞めたのは男女関係のトラブルだと決めつけ、桧山(松田賢二)の態度が変わったのも色目を使ったからだろう、と言い出す。  　小売り事業を進める織田たちは、食品2課長の涼子(中村ゆり)にも協力を求めた。しかし、涼子の部下たちは、営業3課に手を貸すのは反対だという。そんな折、一ノ瀬は、適当な理由をつけて外に出てこい、と江部に呼び出される。指示された雑居ビルを訪れた一ノ瀬は江部から封筒を手渡され、赤城プランニングに届けるよう命じられるが…。</t>
  </si>
  <si>
    <t>番組名HOPE～期待ゼロの新入社員～【最終決戦!必ずお前を守ってみせる】　#08</t>
  </si>
  <si>
    <t>【番組HP】  http://www.fujitv.co.jp/hope/index.html　一ノ瀬歩(中島裕翔)は、江部(宮川一朗太)から呼び出され、再び封筒を届けるよう命じられる。歩は、同行した安芸(山内圭哉)とともに封筒を開け、中身を確認した。それは契約書だったが、協力業者の手数料が高く設定されていた。一ノ瀬と安芸は、姿を現した江部にその数字について説明を求めた。しかし江部は、財務部や法務部から承認を得た案件だ、と言って取り合わない。  　一方、織田(遠藤憲一)は、専務の鷹野(風間杜夫)から持ちかけられた太陽熱発電の案件を営業3課で引き受けることにする。中国企業・汀洲社との合同プロジェクトとなるこの案件は、500億円規模の大事業だった。鷹野は、汀洲社との窓口を江部に任せるよう織田に指示した。  　織田たちは、さっそくこのプロジェクトに取り組み、高品質パネルの手配を進めた。だが、契約を交わす直前に、思いもよらない問題が発生する。汀洲社が与一物産との間に九垓社という仲介業者を入れると言い出したのだ。しかも、与一物産のマージンが3%なのに対して、仲介手数料は2.5%だという。  　そのころ、営業3課には何度か江部宛の不審な電話がかかってきていた。汀洲社とのプロジェクトに疑問を抱く一ノ瀬と安芸。しかし織田は、この案件は何があってもやり通すという。いつもと違う織田のやり方に不安を覚えた一ノ瀬は、桐明(瀬戸康史)やあかね(山本美月)、人見(桐山照史)にも相談を持ちかけるが…。中島裕翔(Hey!　Say!　JUMP)　  遠藤憲一　  瀬戸康史　  山本美月　  桐山照史(ジャニーズWEST)　  マギー　  中村ゆり　  丸山智己　  松田賢二　  矢柴俊博　    山内圭哉　  朝加真由美　  風間杜夫　    宮川一朗太【原作/制作】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</si>
  <si>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 xml:space="preserve">　一ノ瀬歩(中島裕翔)は、江部(宮川一朗太)から呼び出され、再び封筒を届けるよう命じられる。歩は、同行した安芸(山内圭哉)とともに封筒を開け、中身を確認した。それは契約書だったが、協力業者の手数料が高く設定されていた。一ノ瀬と安芸は、姿を現した江部にその数字について説明を求めた。しかし江部は、財務部や法務部から承認を得た案件だ、と言って取り合わない。  　一方、織田(遠藤憲一)は、専務の鷹野(風間杜夫)から持ちかけられた太陽熱発電の案件を営業3課で引き受けることにする。中国企業・汀洲社との合同プロジェクトとなるこの案件は、500億円規模の大事業だった。鷹野は、汀洲社との窓口を江部に任せるよう織田に指示した。  　織田たちは、さっそくこのプロジェクトに取り組み、高品質パネルの手配を進めた。だが、契約を交わす直前に、思いもよらない問題が発生する。汀洲社が与一物産との間に九垓社という仲介業者を入れると言い出したのだ。しかも、与一物産のマージンが3%なのに対して、仲介手数料は2.5%だという。  　そのころ、営業3課には何度か江部宛の不審な電話がかかってきていた。汀洲社とのプロジェクトに疑問を抱く一ノ瀬と安芸。しかし織田は、この案件は何があってもやり通すという。いつもと違う織田のやり方に不安を覚えた一ノ瀬は、桐明(瀬戸康史)やあかね(山本美月)、人見(桐山照史)にも相談を持ちかけるが…。</t>
  </si>
  <si>
    <t>番組名HOPE～期待ゼロの新入社員～【未来へ!旅立つ君に贈る言葉】　#09</t>
  </si>
  <si>
    <t>【番組HP】  http://www.fujitv.co.jp/hope/index.html　中国・汀洲社と進めていた太陽熱発電プロジェクトに監査が入ることになった。きっかけは、一ノ瀬歩(中島裕翔)が上海の駐在員と電話で話した際に、鷹野専務(風間杜夫)の不正をほのめかす発言をしたことだった。    　監査部による聴取は、営業3課長の織田(遠藤憲一)や汀洲社との窓口だった江部(宮川一朗太)だけでなく鷹野にもおよび、やがて事件の概要が明らかになった。実は、汀洲社サイドの希望で与一物産との間に入った仲介エージェント会社には実態がないばかりか、その社外取締役には江部のいとこがおり、赤城プランニングとも繋がっていた。江部は、過去に何度も赤城プランニングを通じて自分の案件を受注し、エージェント手数料を得ていたらしい。    　ほどなく、汀洲社とのトラブルが原因で、これまで与一物産と付き合いがあった中国企業が取り引きを拒否し始める。あかね(山本美月)がいる資源2課や、涼子(中村ゆり)が課長を務める食品2課もその対応に追われていた。すべては自分の軽率な発言から起きたことだと責任を痛感する一ノ瀬。それを知った織田は、責任を負うのは自分の義務であり権利なのだからお前は堂々としていればいい、と一ノ瀬に伝える。    　そんな矢先、織田は人事部長から呼び出される。与一物産が今回の騒動を一個人の責任とすることで幕引きしようとしていることを知った織田は、営業部長の宇野(松澤一之)に辞表を提出し…。中島裕翔(Hey!　Say!　JUMP)　  遠藤憲一　  瀬戸康史　  山本美月　  桐山照史(ジャニーズWEST)　  マギー　  中村ゆり　  丸山智己　  松田賢二　  松澤一之　  矢柴俊博　    山内圭哉　  朝加真由美　  風間杜夫　    宮川一朗太【原作/制作】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</si>
  <si>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 xml:space="preserve">　中国・汀洲社と進めていた太陽熱発電プロジェクトに監査が入ることになった。きっかけは、一ノ瀬歩(中島裕翔)が上海の駐在員と電話で話した際に、鷹野専務(風間杜夫)の不正をほのめかす発言をしたことだった。    　監査部による聴取は、営業3課長の織田(遠藤憲一)や汀洲社との窓口だった江部(宮川一朗太)だけでなく鷹野にもおよび、やがて事件の概要が明らかになった。実は、汀洲社サイドの希望で与一物産との間に入った仲介エージェント会社には実態がないばかりか、その社外取締役には江部のいとこがおり、赤城プランニングとも繋がっていた。江部は、過去に何度も赤城プランニングを通じて自分の案件を受注し、エージェント手数料を得ていたらしい。    　ほどなく、汀洲社とのトラブルが原因で、これまで与一物産と付き合いがあった中国企業が取り引きを拒否し始める。あかね(山本美月)がいる資源2課や、涼子(中村ゆり)が課長を務める食品2課もその対応に追われていた。すべては自分の軽率な発言から起きたことだと責任を痛感する一ノ瀬。それを知った織田は、責任を負うのは自分の義務であり権利なのだからお前は堂々としていればいい、と一ノ瀬に伝える。    　そんな矢先、織田は人事部長から呼び出される。与一物産が今回の騒動を一個人の責任とすることで幕引きしようとしていることを知った織田は、営業部長の宇野(松澤一之)に辞表を提出し…。</t>
  </si>
  <si>
    <t>1604_CX_月21</t>
  </si>
  <si>
    <t>ラヴソング</t>
  </si>
  <si>
    <t>番組名ラヴソング【福山雅治が3年振りに月9に帰って来る!30分拡大SP】　#01</t>
  </si>
  <si>
    <t>【番組ホームページ】  http://www.fujitv.co.jp/lovesong/　神代広平(福山雅治)はプロのミュージシャンだったが、今は別の仕事をしている。独身で定住はせず、持ち前のルックスを活かして女性の家を転々とする生活。この日も、そろそろ潮時と感じた女性に別れを告げ、少ない荷物とギターケースを担いで出て行った。  　佐野さくら(藤原さくら)は、大型車販売店の整備工場で働いている。愛想は悪くないのだが、同僚とうまくコミュニケーションがとれず、上司の滝川文雄(木下ほうか)にいつも注意されていた。さくらへの注意を終えた滝川が、先生と呼んで挨拶したのが神代。神代は企業カウンセラーとしてこの会社に勤務していた。  　仕事を終えた神代はライヴハウス『S』へ。家を失った神代はオーナーの笹裕司(宇崎竜童)に当面の宿を頼むが、断られてしまう。笹はまた宍戸夏希(水野美紀)に頼めば良いと神代に促す。夏希に頼むのは気がひける様子の神代はマンガ喫茶に一夜の宿を求めるが、どうにも居心地が悪く、仕方なく、夏希の家に転がり込むことになった。  　そんなある日、さくらは職場でミスをしてしまう。仕事仲間とのコミュニケーション不足を案じる滝川は、さくらを神代に診てもらうことに。神代はさくらに優しく対応する。  　その後、さくらが児童養護施設時代からの姉代わり・中村真美(夏帆)と一緒に暮らす家に帰ると、同じく幼なじみの天野空一(菅田将暉)が来ていた。そこでさくらは、真美からあることを頼まれる。福山雅治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</si>
  <si>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 xml:space="preserve">　神代広平(福山雅治)はプロのミュージシャンだったが、今は別の仕事をしている。独身で定住はせず、持ち前のルックスを活かして女性の家を転々とする生活。この日も、そろそろ潮時と感じた女性に別れを告げ、少ない荷物とギターケースを担いで出て行った。  　佐野さくら(藤原さくら)は、大型車販売店の整備工場で働いている。愛想は悪くないのだが、同僚とうまくコミュニケーションがとれず、上司の滝川文雄(木下ほうか)にいつも注意されていた。さくらへの注意を終えた滝川が、先生と呼んで挨拶したのが神代。神代は企業カウンセラーとしてこの会社に勤務していた。  　仕事を終えた神代はライヴハウス『S』へ。家を失った神代はオーナーの笹裕司(宇崎竜童)に当面の宿を頼むが、断られてしまう。笹はまた宍戸夏希(水野美紀)に頼めば良いと神代に促す。夏希に頼むのは気がひける様子の神代はマンガ喫茶に一夜の宿を求めるが、どうにも居心地が悪く、仕方なく、夏希の家に転がり込むことになった。  　そんなある日、さくらは職場でミスをしてしまう。仕事仲間とのコミュニケーション不足を案じる滝川は、さくらを神代に診てもらうことに。神代はさくらに優しく対応する。  　その後、さくらが児童養護施設時代からの姉代わり・中村真美(夏帆)と一緒に暮らす家に帰ると、同じく幼なじみの天野空一(菅田将暉)が来ていた。そこでさくらは、真美からあることを頼まれる。</t>
  </si>
  <si>
    <t>番組名ラヴソング【話題沸騰!臨床心理士の男と吃音に悩む女性の成長物語!】　#02</t>
  </si>
  <si>
    <t>【番組ホームページ】  http://www.fujitv.co.jp/lovesong/　神代広平(福山雅治)はライブハウス『S』で宍戸夏希(水野美紀)たちと飲んでいる。ステージでは若手バンドが演奏。そんな中、マスターの笹裕司(宇崎竜童)が、ダイヤの原石のようなミュージシャンはいないものかと愚痴る。『S』ではライブ出演者を募集していた。一瞬、顔を見合わす神代と夏希。しかし、増村泰造(田中哲司)が若手バンドに絡み、現場は乱闘騒ぎになってしまった。  　佐野さくら(藤原さくら)は天野空一(菅田将暉)のアパートへ。以前、空一に売りつけたギターを取り戻すためだ。返す、返さないと揉めた挙句、ギターを手にしたさくらは楽しそうに帰って行く。  　翌日の昼休み、同期と食事をしていたさくらは神代に声をかけられた。医務室へ行ったさくらに、神代は夏希が来て欲しいと言っていたと伝える。返答しないさくらだが、神代が自分も一緒に行くと言うと目を輝かせた。  　神代と2人でのお出掛けに、さくらは“デートっぽいやつに行く"と中村真美(夏帆)にメール。その時、真美は空一に手伝ってもらい、結婚準備のため洋服などの整理をしていた。  　夏希に会う前に、神代とさくらは食事。神代はさっさと注文を済ませるが、さくらは中々出来ない。後ろの客に急かされ焦るさくらは、神代と同じものを注文。すると神代はさくらに、本当は何を食べたかったのかと尋ねる。答えるさくらに、神代は注文にかかるのは7秒だと言い・・・。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</si>
  <si>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 xml:space="preserve">　神代広平(福山雅治)はライブハウス『S』で宍戸夏希(水野美紀)たちと飲んでいる。ステージでは若手バンドが演奏。そんな中、マスターの笹裕司(宇崎竜童)が、ダイヤの原石のようなミュージシャンはいないものかと愚痴る。『S』ではライブ出演者を募集していた。一瞬、顔を見合わす神代と夏希。しかし、増村泰造(田中哲司)が若手バンドに絡み、現場は乱闘騒ぎになってしまった。  　佐野さくら(藤原さくら)は天野空一(菅田将暉)のアパートへ。以前、空一に売りつけたギターを取り戻すためだ。返す、返さないと揉めた挙句、ギターを手にしたさくらは楽しそうに帰って行く。  　翌日の昼休み、同期と食事をしていたさくらは神代に声をかけられた。医務室へ行ったさくらに、神代は夏希が来て欲しいと言っていたと伝える。返答しないさくらだが、神代が自分も一緒に行くと言うと目を輝かせた。  　神代と2人でのお出掛けに、さくらは“デートっぽいやつに行く"と中村真美(夏帆)にメール。その時、真美は空一に手伝ってもらい、結婚準備のため洋服などの整理をしていた。  　夏希に会う前に、神代とさくらは食事。神代はさっさと注文を済ませるが、さくらは中々出来ない。後ろの客に急かされ焦るさくらは、神代と同じものを注文。すると神代はさくらに、本当は何を食べたかったのかと尋ねる。答えるさくらに、神代は注文にかかるのは7秒だと言い・・・。</t>
  </si>
  <si>
    <t>番組名ラヴソング【感動のライブステージへ!あなたを想って歌います】　#03</t>
  </si>
  <si>
    <t>【番組ホームページ】  http://www.fujitv.co.jp/lovesong/　神代広平(福山雅治)は、ライブハウス『S』に佐野さくら(藤原さくら)を連れて行きライブに向けての練習をする。客はいないが、初めてステージに立つさくらは緊張。世間話で緊張をほぐそうとする神代だが、さくらはためらったまま。そんな神代にクライアントから電話が入る。店の外に出て電話を済ませた神代が戻ると、さくらが独りで熱唱していた。そんなさくらに見入ってしまう神代。　中村真美(夏帆)と野村健太(駿河太郎)の2人は偶然、楽しそうに男と歩くさくらを発見。その時、真美はその男が神代だと野村に教えられた。  　夜、アパートに帰ったさくらは、真美に神代との関係をからかわれる。神代への想いを否定しきれないさくらは、ごまかすようにライブで歌うためだと真美に告げる。遊びに来ていた天野空一(菅田将暉)は興味なさそうにしているが…。  　一方、神代は宍戸夏希(水野美紀)に、さくらとライブに出ることを教えていなかったことをとがめられる。さくらは夏希のクリニックで治療を再開することになっていた。また夏希には、かたくなにステージを避けてきた神代の変化も気になる様子。夏希はクライアントとの距離感を考えた方が良いと、神代をからかうように忠告する。  　次の日、さくらは同僚から神代が独身だと聞いて嬉しくなる。その気持ちで、夏希のクリニックに行ったさくらは…。福山雅治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</si>
  <si>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 xml:space="preserve">　神代広平(福山雅治)は、ライブハウス『S』に佐野さくら(藤原さくら)を連れて行きライブに向けての練習をする。客はいないが、初めてステージに立つさくらは緊張。世間話で緊張をほぐそうとする神代だが、さくらはためらったまま。そんな神代にクライアントから電話が入る。店の外に出て電話を済ませた神代が戻ると、さくらが独りで熱唱していた。そんなさくらに見入ってしまう神代。　中村真美(夏帆)と野村健太(駿河太郎)の2人は偶然、楽しそうに男と歩くさくらを発見。その時、真美はその男が神代だと野村に教えられた。  　夜、アパートに帰ったさくらは、真美に神代との関係をからかわれる。神代への想いを否定しきれないさくらは、ごまかすようにライブで歌うためだと真美に告げる。遊びに来ていた天野空一(菅田将暉)は興味なさそうにしているが…。  　一方、神代は宍戸夏希(水野美紀)に、さくらとライブに出ることを教えていなかったことをとがめられる。さくらは夏希のクリニックで治療を再開することになっていた。また夏希には、かたくなにステージを避けてきた神代の変化も気になる様子。夏希はクライアントとの距離感を考えた方が良いと、神代をからかうように忠告する。  　次の日、さくらは同僚から神代が独身だと聞いて嬉しくなる。その気持ちで、夏希のクリニックに行ったさくらは…。</t>
  </si>
  <si>
    <t>番組名ラヴソング【第二章スタート!物語は新展開へ】　#04</t>
  </si>
  <si>
    <t>【番組ホームページ】  http://www.fujitv.co.jp/lovesong/　神代広平(福山雅治)は、宍戸夏希(水野美紀)や他の女性たちの家を転々とすることをやめて部屋を借りた。引越しは、増村泰造(田中哲司)、星田和夫(渋川清彦)、そして天野空一(菅田将暉)にも手伝ってもらったため、神代はライブハウス『S』で慰労会を行う。  　4人が飲んでいると、夏希が神代の忘れ物を届けに来た。神代と夏希の関係を詮索する空一だが、2人はいわゆる恋愛関係などは否定。納得できない空一に、笹裕司(宇崎竜童)は大人には男女の垣根を越えた関係もあると告げた。そんな話をしていると、店に1人の女性が入ってきて神代に名刺を差し出す。その女性、水原亜矢(りょう)の肩書きは、レコード会社のものだった。  　その頃、アパートにいた佐野さくら(藤原さくら)は、中村真美(夏帆)の傍でギターの練習をしていた。さくらが真美から神代への想いをからかわれていると、空一が飛び込んで来る。そして、空一は水原がさくらをスカウトしに来たことを伝えた。無理だと拒否しようとするさくら。だが、空一の話から神代が夏希とは何でもなかったと聞いて…。  　『ビッグモービル』の屋上で、神代とさくらはスカウトの件を話し合う。怪しい会社ではと疑うさくらに、神代は大きなレコード会社だから大丈夫だと請け負った。さらに、プロになれる可能性もあると言われたさくらは、レコード会社の人物と会うことになり・・・。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</si>
  <si>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 xml:space="preserve">　神代広平(福山雅治)は、宍戸夏希(水野美紀)や他の女性たちの家を転々とすることをやめて部屋を借りた。引越しは、増村泰造(田中哲司)、星田和夫(渋川清彦)、そして天野空一(菅田将暉)にも手伝ってもらったため、神代はライブハウス『S』で慰労会を行う。  　4人が飲んでいると、夏希が神代の忘れ物を届けに来た。神代と夏希の関係を詮索する空一だが、2人はいわゆる恋愛関係などは否定。納得できない空一に、笹裕司(宇崎竜童)は大人には男女の垣根を越えた関係もあると告げた。そんな話をしていると、店に1人の女性が入ってきて神代に名刺を差し出す。その女性、水原亜矢(りょう)の肩書きは、レコード会社のものだった。  　その頃、アパートにいた佐野さくら(藤原さくら)は、中村真美(夏帆)の傍でギターの練習をしていた。さくらが真美から神代への想いをからかわれていると、空一が飛び込んで来る。そして、空一は水原がさくらをスカウトしに来たことを伝えた。無理だと拒否しようとするさくら。だが、空一の話から神代が夏希とは何でもなかったと聞いて…。  　『ビッグモービル』の屋上で、神代とさくらはスカウトの件を話し合う。怪しい会社ではと疑うさくらに、神代は大きなレコード会社だから大丈夫だと請け負った。さらに、プロになれる可能性もあると言われたさくらは、レコード会社の人物と会うことになり・・・。</t>
  </si>
  <si>
    <t>番組名ラヴソング【失ったチャンスを取り戻す!私とあなたの終わらない歌】　#05</t>
  </si>
  <si>
    <t>【番組ホームページ】  http://www.fujitv.co.jp/lovesong/　神代広平(福山雅治)は、レコード会社との話し合いが不調に終わった佐野さくら(藤原さくら)が気になっている。一方、さくらは、天野空一(菅田将暉)から思わぬ告白をされて動揺していた。  　『ビッグモール』の医務室にいた神代は、滝川文雄(木下ほうか)から社員のアンケート書類を渡された。その時、神代はさくらが社内広報誌の取材を受けることを知らされる。　神代はさくらを医務室に呼んだ。滝川の情報をきっかけに話を始めた神代は、さくらに笹裕司(宇崎竜童)が作ってくれたライブハウス『S』でのライブCDを渡す。そして、チャンスはまだあると、さくらに一緒に練習を再開しようと提案。さくらは嬉しそうに受け入れた。  　さくらは空一と会う。気まずい雰囲気が漂う中、空一は友達のままでいようと話す。また、空一はさくらの夢にこれからも協力させて欲しいと頼んだ。そんな空一に、さくらは練習再開を報告する。  　開店前の『S』で神代とさくらは練習を始める。空一もやって来た。教則本ではなく、曲を練習したいと言うさくらだが、演奏したい曲が見つからない。そんな様子を見ていた空一が、あることを思いつく。  　空一は、さくらと中村真美(夏帆)のアパートに神代も連れて行く。そこで、さくらの弾き語りを録画して、ネットに公開しようというのだが。福山雅治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</si>
  <si>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 xml:space="preserve">　神代広平(福山雅治)は、レコード会社との話し合いが不調に終わった佐野さくら(藤原さくら)が気になっている。一方、さくらは、天野空一(菅田将暉)から思わぬ告白をされて動揺していた。  　『ビッグモール』の医務室にいた神代は、滝川文雄(木下ほうか)から社員のアンケート書類を渡された。その時、神代はさくらが社内広報誌の取材を受けることを知らされる。　神代はさくらを医務室に呼んだ。滝川の情報をきっかけに話を始めた神代は、さくらに笹裕司(宇崎竜童)が作ってくれたライブハウス『S』でのライブCDを渡す。そして、チャンスはまだあると、さくらに一緒に練習を再開しようと提案。さくらは嬉しそうに受け入れた。  　さくらは空一と会う。気まずい雰囲気が漂う中、空一は友達のままでいようと話す。また、空一はさくらの夢にこれからも協力させて欲しいと頼んだ。そんな空一に、さくらは練習再開を報告する。  　開店前の『S』で神代とさくらは練習を始める。空一もやって来た。教則本ではなく、曲を練習したいと言うさくらだが、演奏したい曲が見つからない。そんな様子を見ていた空一が、あることを思いつく。  　空一は、さくらと中村真美(夏帆)のアパートに神代も連れて行く。そこで、さくらの弾き語りを録画して、ネットに公開しようというのだが。</t>
  </si>
  <si>
    <t>番組名ラヴソング【こんな歌ができたの…新たなラブソングが今夜誕生!】　#06</t>
  </si>
  <si>
    <t>【番組ホームページ】  http://www.fujitv.co.jp/lovesong/　レコード会社の弦巻竜介(大谷亮平)にラブソングを作るように言われた神代広平(福山雅治)は、宍戸夏希(水野美紀)にキーボードを借りて準備を始める。  　一方、中村真美(夏帆)は、佐野さくら(藤原さくら)と天野空一(菅田将暉)を仲直りさせようと、野村健太(駿河太郎)も呼んで、アパートで食事会。だが、すでに2人の関係は修復済み。それどころか、さくらは別のレコード会社から声をかけられていることを、真美は空一に知らされた。しかし、真美は空一がさくらに、まだ想いを寄せていることを知っている。さくらは、空一ではなく神代を想っていることも…。  　神代は、曲の打ち合わせをしようとさくらを呼び出す。カフェで会うと、さくらは神代の女性関係に興味津々。そして、神代は過去に1人だけ真面目にほれた女性がいるとポツリ。ドキッとするさくらだが、神代には話を変えられてしまった。  　神代は、自分のマンションにさくらを連れて行く。この日は、作曲用の機材セッティングの手伝いに増村泰造(田中哲司)も来ていた。増村がさくらを助手にセッティングを始めると、キーボードを前にした神代はすぐに作曲に没頭し始め、2人の存在も忘れたかの様子。その後、増村が帰ったことにも、神代は気づかない。一段落した神代は、さくらに詞を書いてみるよう宿題を出して、家に帰した。ここから神代の作曲、さくらが歌詞を担当するラブソング作りがスタートした。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</si>
  <si>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 xml:space="preserve">　レコード会社の弦巻竜介(大谷亮平)にラブソングを作るように言われた神代広平(福山雅治)は、宍戸夏希(水野美紀)にキーボードを借りて準備を始める。  　一方、中村真美(夏帆)は、佐野さくら(藤原さくら)と天野空一(菅田将暉)を仲直りさせようと、野村健太(駿河太郎)も呼んで、アパートで食事会。だが、すでに2人の関係は修復済み。それどころか、さくらは別のレコード会社から声をかけられていることを、真美は空一に知らされた。しかし、真美は空一がさくらに、まだ想いを寄せていることを知っている。さくらは、空一ではなく神代を想っていることも…。  　神代は、曲の打ち合わせをしようとさくらを呼び出す。カフェで会うと、さくらは神代の女性関係に興味津々。そして、神代は過去に1人だけ真面目にほれた女性がいるとポツリ。ドキッとするさくらだが、神代には話を変えられてしまった。  　神代は、自分のマンションにさくらを連れて行く。この日は、作曲用の機材セッティングの手伝いに増村泰造(田中哲司)も来ていた。増村がさくらを助手にセッティングを始めると、キーボードを前にした神代はすぐに作曲に没頭し始め、2人の存在も忘れたかの様子。その後、増村が帰ったことにも、神代は気づかない。一段落した神代は、さくらに詞を書いてみるよう宿題を出して、家に帰した。ここから神代の作曲、さくらが歌詞を担当するラブソング作りがスタートした。</t>
  </si>
  <si>
    <t>番組名ラヴソング【溢れ出す想い…涙の告白】　#07</t>
  </si>
  <si>
    <t>【番組ホームページ】  http://www.fujitv.co.jp/lovesong/　神代広平(福山雅治)が佐野さくら(藤原さくら)に作った曲。それは、宍戸夏希(水野美紀)の亡き姉に、かつて神代が用意した曲をアレンジしたものだった。それに気づいた夏希にわだかまりが生まれる。  　さくらのレコーディングは順調に進み、ライブハウス『S』で新曲のお披露目会が開かれた。弦巻竜介(大谷亮平)は20年近く音楽から離れていたのに良い曲が作れたと、神代は天才だとたたえる。さくらも同意するのだが、夏希は複雑な心境。すると、弦巻は自社のトップアーティストが神代の曲に興味を持っていると伝えた。  　傍らで、天野空一(菅田将暉)は笹裕司(宇崎竜童)にギターを教えて欲しいとねだる。快く承知する笹は、さくらのデビューに一役買った褒美と、空一にウイスキーのボトルを店のキープ用に1本プレゼントした。  　さくらは、中村真美(夏帆)と話していた。真美の婚約者、野村健太(駿河太郎)は仕事の都合で現れていない。すると、真美の携帯に野村から電話着信が。真美が野村ともめ始めたので、トイレに向かったさくらは増村泰造(田中哲司)とすれ違う。その時、増村はさくらに声の不調を尋ねる。うなずくさくらに、耳鼻咽喉科医の増村は病院へ診察に来るよう促した。  　アパートに帰ると、真美はさくらの詞は神代への気持ちをつづったものだろうと話す。否定はしないさくらだが、神代に思いは伝わっていないと答え・・・。福山雅治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</si>
  <si>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 xml:space="preserve">　神代広平(福山雅治)が佐野さくら(藤原さくら)に作った曲。それは、宍戸夏希(水野美紀)の亡き姉に、かつて神代が用意した曲をアレンジしたものだった。それに気づいた夏希にわだかまりが生まれる。  　さくらのレコーディングは順調に進み、ライブハウス『S』で新曲のお披露目会が開かれた。弦巻竜介(大谷亮平)は20年近く音楽から離れていたのに良い曲が作れたと、神代は天才だとたたえる。さくらも同意するのだが、夏希は複雑な心境。すると、弦巻は自社のトップアーティストが神代の曲に興味を持っていると伝えた。  　傍らで、天野空一(菅田将暉)は笹裕司(宇崎竜童)にギターを教えて欲しいとねだる。快く承知する笹は、さくらのデビューに一役買った褒美と、空一にウイスキーのボトルを店のキープ用に1本プレゼントした。  　さくらは、中村真美(夏帆)と話していた。真美の婚約者、野村健太(駿河太郎)は仕事の都合で現れていない。すると、真美の携帯に野村から電話着信が。真美が野村ともめ始めたので、トイレに向かったさくらは増村泰造(田中哲司)とすれ違う。その時、増村はさくらに声の不調を尋ねる。うなずくさくらに、耳鼻咽喉科医の増村は病院へ診察に来るよう促した。  　アパートに帰ると、真美はさくらの詞は神代への気持ちをつづったものだろうと話す。否定はしないさくらだが、神代に思いは伝わっていないと答え・・・。</t>
  </si>
  <si>
    <t>番組名ラヴソング【君とキスをした夜…今夜、第3章スタート!】　#08</t>
  </si>
  <si>
    <t>【番組ホームページ】  http://www.fujitv.co.jp/lovesong/　神代広平(福山雅治)は、シェリル(Leola)への提供楽曲の相談を、弦巻竜介(大谷亮平)らレコード会社のスタッフたちと始める。一方、佐野さくら(藤原さくら)は、喉の不調を診てもらった増村泰造(田中哲司)から精密検査の必要を告げられた。  　中村真美(夏帆)は、天野空一(菅田将暉)に手伝ってもらい引っ越しのための荷造り。真美は空一に、最近さくらの様子がおかしいのではないかと聞く。すると、さくらは真美に頼らないようにがんばっているのではと空一。それでも心配する真美に、空一はさくらには自分がいるから大丈夫と請け負う。  　増村とライブハウス『S』で飲む神代は、さくらの喉に悪性の肉腫が発見されたことを知らされる。転移はないが手術が必要で、病状によっては声帯を切除しなければならない。増村は、検査結果をさくらに伝える際、神代に立ち会うよう求める。だが、神代はさくらとは話が出来る状態ではないと断った。  　さくらが喉の事情を話せないまま、真美はアパートから引っ越す。一人で増村から検査結果を聞くさくらは、声帯切除の可能性に驚く。スピーチを頼まれている真美の結婚式まで手術を待ってほしいと頼むさくら。だが、増村は転移の可能性が高まるので早い方が良いと答えた。そしてさくらが診察室を出ると、神代がいた。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</si>
  <si>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 xml:space="preserve">　神代広平(福山雅治)は、シェリル(Leola)への提供楽曲の相談を、弦巻竜介(大谷亮平)らレコード会社のスタッフたちと始める。一方、佐野さくら(藤原さくら)は、喉の不調を診てもらった増村泰造(田中哲司)から精密検査の必要を告げられた。  　中村真美(夏帆)は、天野空一(菅田将暉)に手伝ってもらい引っ越しのための荷造り。真美は空一に、最近さくらの様子がおかしいのではないかと聞く。すると、さくらは真美に頼らないようにがんばっているのではと空一。それでも心配する真美に、空一はさくらには自分がいるから大丈夫と請け負う。  　増村とライブハウス『S』で飲む神代は、さくらの喉に悪性の肉腫が発見されたことを知らされる。転移はないが手術が必要で、病状によっては声帯を切除しなければならない。増村は、検査結果をさくらに伝える際、神代に立ち会うよう求める。だが、神代はさくらとは話が出来る状態ではないと断った。  　さくらが喉の事情を話せないまま、真美はアパートから引っ越す。一人で増村から検査結果を聞くさくらは、声帯切除の可能性に驚く。スピーチを頼まれている真美の結婚式まで手術を待ってほしいと頼むさくら。だが、増村は転移の可能性が高まるので早い方が良いと答えた。そしてさくらが診察室を出ると、神代がいた。</t>
  </si>
  <si>
    <t>番組名ラヴソング【私が最後にしたい事…】　#09</t>
  </si>
  <si>
    <t>【番組ホームページ】  http://www.fujitv.co.jp/lovesong/　神代広平(福山雅治)は、シェリル(Leola)と曲の打ち合わせ。とにかく売れる曲を作ってほしいと言うシェリルに、神代は交換条件を提示。神代は、佐野さくら(藤原さくら)がネット配信している曲をSNSでシェリルにレコメンドして欲しいと頼む。すると、シェリルは自分が満足できる曲を神代が作れたらと約束した。　打ち合わせを終えた神代は急いでライブハウス『S』に行くが、すでにさくらのライブは終わっていた。宍戸夏希(水野美紀)や増村泰造(田中哲司)にあきれられる神代。しかし、神代はシェリルを動かすことで、さくらとレコード会社との契約を成功させたいと告げる。そんな神代に、増村はさくらの声が手術後に残る可能性が極めて低いことを伝えた。　そこに、忘れ物をしたさくらが、天野空一(菅田将暉)と戻ってくる。神代が来てくれただけでも嬉しいと喜ぶさくら。神代は、さくらにかける言葉が出なかった。  　次の日、神代は職場でさくらが探していた忘れ物を渡す。さくらは、神代に曲の作り方を聞く。中村真美(夏帆)の結婚式でオリジナルソングを歌いたいと言うのだ。手術後に曲作りを始めると続けるさくらは、まだ声を失ってしまうかもしれないことを知らなかった。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</si>
  <si>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 xml:space="preserve">　神代広平(福山雅治)は、シェリル(Leola)と曲の打ち合わせ。とにかく売れる曲を作ってほしいと言うシェリルに、神代は交換条件を提示。神代は、佐野さくら(藤原さくら)がネット配信している曲をSNSでシェリルにレコメンドして欲しいと頼む。すると、シェリルは自分が満足できる曲を神代が作れたらと約束した。　打ち合わせを終えた神代は急いでライブハウス『S』に行くが、すでにさくらのライブは終わっていた。宍戸夏希(水野美紀)や増村泰造(田中哲司)にあきれられる神代。しかし、神代はシェリルを動かすことで、さくらとレコード会社との契約を成功させたいと告げる。そんな神代に、増村はさくらの声が手術後に残る可能性が極めて低いことを伝えた。　そこに、忘れ物をしたさくらが、天野空一(菅田将暉)と戻ってくる。神代が来てくれただけでも嬉しいと喜ぶさくら。神代は、さくらにかける言葉が出なかった。  　次の日、神代は職場でさくらが探していた忘れ物を渡す。さくらは、神代に曲の作り方を聞く。中村真美(夏帆)の結婚式でオリジナルソングを歌いたいと言うのだ。手術後に曲作りを始めると続けるさくらは、まだ声を失ってしまうかもしれないことを知らなかった。</t>
  </si>
  <si>
    <t>番組名ラヴソング【いよいよ今夜、涙のフィナーレ!希望という名の最後の歌】　#10</t>
  </si>
  <si>
    <t>【番組ホームページ】  http://www.fujitv.co.jp/lovesong/　神代広平(福山雅治)に、佐野さくら(藤原さくら)が言いたかったこと…。  　さくらの手術を知った中村真美(夏帆)は野村健太(駿河太郎)との結婚式を前倒し。披露宴で、さくらに頼んでいたスピーチをしてもらうためだ。万が一、手術でさくらが声を失ってしまったら、その願いはかなわなくなる。そのスピーチ前に、さくらは神代に今まで言えなかったことを伝えようとした。しかし、天野空一(菅田将暉)がスピーチの時間だと迎えに来てしまう。  　手術が翌日と迫った時、神代は増村泰造(田中哲司)から相談される。さくらが手術の同意書へのサインを拒絶しているのだ。神代は、さくらの病室へ。さくらはまだサインしておらず、真美や空一、神代の言葉にも反応しない状態だ。神代は、みんなにさくらと2人きりにして欲しいと頼む。出て行きかけた空一は、神代を廊下に呼んで、さくらの心が落ち着くまで手術を延期できないかと問う。だが、神代は延ばせば延ばすほど、さくらが声を失ってしまう可能性が高くなると指摘した。  　病室に戻った神代は、さくらが持って来ていたギターを奏で始める。初めて、さくらの歌を聴いた時の曲だ。ギターとともに歌う神代。すると、さくらに表情が戻って来る。ついには、もう一度歌いたいと泣きじゃくるさくら。神代は、歌うためにも手術をしようとさくらに伝えた。  　さくらは手術を受けることに。果たして、さくらの声は…。福山雅治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</si>
  <si>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 xml:space="preserve">　神代広平(福山雅治)に、佐野さくら(藤原さくら)が言いたかったこと…。  　さくらの手術を知った中村真美(夏帆)は野村健太(駿河太郎)との結婚式を前倒し。披露宴で、さくらに頼んでいたスピーチをしてもらうためだ。万が一、手術でさくらが声を失ってしまったら、その願いはかなわなくなる。そのスピーチ前に、さくらは神代に今まで言えなかったことを伝えようとした。しかし、天野空一(菅田将暉)がスピーチの時間だと迎えに来てしまう。  　手術が翌日と迫った時、神代は増村泰造(田中哲司)から相談される。さくらが手術の同意書へのサインを拒絶しているのだ。神代は、さくらの病室へ。さくらはまだサインしておらず、真美や空一、神代の言葉にも反応しない状態だ。神代は、みんなにさくらと2人きりにして欲しいと頼む。出て行きかけた空一は、神代を廊下に呼んで、さくらの心が落ち着くまで手術を延期できないかと問う。だが、神代は延ばせば延ばすほど、さくらが声を失ってしまう可能性が高くなると指摘した。  　病室に戻った神代は、さくらが持って来ていたギターを奏で始める。初めて、さくらの歌を聴いた時の曲だ。ギターとともに歌う神代。すると、さくらに表情が戻って来る。ついには、もう一度歌いたいと泣きじゃくるさくら。神代は、歌うためにも手術をしようとさくらに伝えた。  　さくらは手術を受けることに。果たして、さくらの声は…。</t>
  </si>
  <si>
    <t>1604_CX_火22</t>
  </si>
  <si>
    <t>僕のヤバイ妻</t>
  </si>
  <si>
    <t>番組名僕のヤバイ妻【妻殺しを計画した不倫夫、妻を誘拐される!?】　#01</t>
  </si>
  <si>
    <t>望月幸平(伊藤英明)は、資産家令嬢の真理亜(木村佳乃)と結婚、義両親の遺産を元手にカフェをオープンするが、実際は愛人の北里杏南(相武紗季)と真理亜の殺害を企てるほど、妻への愛情は冷めていた。ある日、杏南にそそのかされ、ついに殺害計画を実行することにした幸平。しかし、杏南から渡された毒を“夫婦の思い出のワイン"に混入し、帰宅すると、「2億円用意しろ。警察に連絡したら妻を殺す」というメッセージが残され、妻は何者かに誘拐されていた!  幸平の通報で刑事の相馬誠一郎(佐藤隆太)と矢吹豊(浅香航大)がやって来る。すると翌朝、向かいに住む鯨井有希(キムラ緑子)・和樹(高橋一生)夫婦の家のポストには、「妻は死んだ」というメッセージと“血の付いた真理亜の爪"が。相馬は夫婦間で金の貸し借りがあったことなどから、幸平に疑いの目を向ける。  焦った幸平は元・義兄で興信所を経営する横路正道(宮迫博之)に相談。さらに、事件当夜に見かけた不審な男・緒方彰吾(眞島秀和)から、真理亜の思いもよらない一面を聞き、罪の意識にさいなまれていく。やがて、幸平は重要参考人として連行されることになるが、そこへ犯人から1枚のDVDが届いてーー!?  一方、とあるバーでは、誘拐事件のニュースに耳を傾ける男(佐々木蔵之介)の姿があったーー。伊藤英明　  木村佳乃　  相武紗季　  浅香航大　  眞島秀和　  小園凌央　  児玉絹世　  関口アナム  　・　  キムラ緑子　  佐々木蔵之介  　・　  高橋一生　  佐藤隆太　  宮迫博之</t>
  </si>
  <si>
    <t>望月幸平(伊藤英明)は、資産家令嬢の真理亜(木村佳乃)と結婚、義両親の遺産を元手にカフェをオープンするが、実際は愛人の北里杏南(相武紗季)と真理亜の殺害を企てるほど、妻への愛情は冷めていた。ある日、杏南にそそのかされ、ついに殺害計画を実行することにした幸平。しかし、杏南から渡された毒を“夫婦の思い出のワイン"に混入し、帰宅すると、「2億円用意しろ。警察に連絡したら妻を殺す」というメッセージが残され、妻は何者かに誘拐されていた!  幸平の通報で刑事の相馬誠一郎(佐藤隆太)と矢吹豊(浅香航大)がやって来る。すると翌朝、向かいに住む鯨井有希(キムラ緑子)・和樹(高橋一生)夫婦の家のポストには、「妻は死んだ」というメッセージと“血の付いた真理亜の爪"が。相馬は夫婦間で金の貸し借りがあったことなどから、幸平に疑いの目を向ける。  焦った幸平は元・義兄で興信所を経営する横路正道(宮迫博之)に相談。さらに、事件当夜に見かけた不審な男・緒方彰吾(眞島秀和)から、真理亜の思いもよらない一面を聞き、罪の意識にさいなまれていく。やがて、幸平は重要参考人として連行されることになるが、そこへ犯人から1枚のDVDが届いてーー!?  一方、とあるバーでは、誘拐事件のニュースに耳を傾ける男(佐々木蔵之介)の姿があったーー。</t>
  </si>
  <si>
    <t>番組名僕のヤバイ妻【“貞淑な妻"の仮面を脱いだ魔女!夫の知らなかった真実】　#02</t>
  </si>
  <si>
    <t>身代金の受け渡しが成功し、真理亜(木村佳乃)は無事解放される。病室に駆け込み「良かった……」と妻の無事を心から喜ぶ幸平(伊藤英明)。  しかし、世間をも巻き込んだ誘拐事件は、なんと、夫への復讐(ふくしゅう)を決意した真理亜の仕業だった!    一方、刑事の相馬(佐藤隆太)は幸平への疑いを捨てきれずにいたが、幸平は杏南(相武紗季)との浮気によりアリバイが成立。  相馬は何者かが幸平を犯人に仕立てようと偽装工作した可能性があるとして、夫婦と接点をもつ人物を洗い始める。  やがて捜査の手は、真理亜の協力者である緒方(眞島秀和)にも伸びーー。  その夜、望月家では、真理亜の退院準備をする幸平のもとに横路(宮迫博之)がやってくる。犯人の目星はついている、と元刑事の仮説を披露すると、家の中を調べ始める横路。  翌日、真理亜は退院し帰宅。生まれ変わったように献身的に真理亜を迎える幸平。しかし、部屋で一人になった瞬間、真理亜は自分が誘拐事件に関与している“ある決定的な証拠"を幸平に見られてしまう!  「真理亜……お前だったのか……」にわかには信じがたい光景を目の当たりにし、衝撃を受ける幸平。  すると真理亜はついに恐ろしい素顔をあらわにして……!?伊藤英明　  木村佳乃　  相武紗季　  浅香航大　  眞島秀和　  小園凌央　  児玉絹世　  関口アナム  　・　  キムラ緑子　  佐々木蔵之介  　・　  高橋一生　  佐藤隆太　  宮迫博之</t>
  </si>
  <si>
    <t>身代金の受け渡しが成功し、真理亜(木村佳乃)は無事解放される。病室に駆け込み「良かった……」と妻の無事を心から喜ぶ幸平(伊藤英明)。  しかし、世間をも巻き込んだ誘拐事件は、なんと、夫への復讐(ふくしゅう)を決意した真理亜の仕業だった!    一方、刑事の相馬(佐藤隆太)は幸平への疑いを捨てきれずにいたが、幸平は杏南(相武紗季)との浮気によりアリバイが成立。  相馬は何者かが幸平を犯人に仕立てようと偽装工作した可能性があるとして、夫婦と接点をもつ人物を洗い始める。  やがて捜査の手は、真理亜の協力者である緒方(眞島秀和)にも伸びーー。  その夜、望月家では、真理亜の退院準備をする幸平のもとに横路(宮迫博之)がやってくる。犯人の目星はついている、と元刑事の仮説を披露すると、家の中を調べ始める横路。  翌日、真理亜は退院し帰宅。生まれ変わったように献身的に真理亜を迎える幸平。しかし、部屋で一人になった瞬間、真理亜は自分が誘拐事件に関与している“ある決定的な証拠"を幸平に見られてしまう!  「真理亜……お前だったのか……」にわかには信じがたい光景を目の当たりにし、衝撃を受ける幸平。  すると真理亜はついに恐ろしい素顔をあらわにして……!?</t>
  </si>
  <si>
    <t>番組名僕のヤバイ妻【魔女の新たなる罠!戦慄の夫婦生活の果ての殺人!?】　#03</t>
  </si>
  <si>
    <t>緒方(眞島秀和)のアトリエが何者かによって放火された。相馬(佐藤隆太)は焼け跡から地下室への扉を発見。今回の誘拐事件が緒方の犯行ではないかと考え始める。  その頃、放火のニュースを知った幸平(伊藤英明)は、“真理亜が協力者だった緒方を殺したのかもしれない"と恐怖におびえていた。しかしふと、今回の誘拐事件が自作自演ならば“身代金の2億円は今も真理亜が持っているはずだ"という事に気付く。その金を奪って逃げようと考えた幸平は、真理亜を尾行。すると、真理亜は意外な場所である人物と接触していた。ついに2億円のありかを突き止める幸平。  そんな中、真理亜が店を手伝うと言い出す。幸平は煩わしさを感じるが、「金を手に入れるまでの我慢だ…」と渋々了承。  店にやって来た真理亜は、まるで用済みだと言わんばかりに、店にあった杏南(相武紗季)のネームプレートをゴミ箱に捨てる一方で、従業員たちには笑顔を振りまき、“奇跡の生還を果たした幸せな妻"を演じる。しかし、そんな楽しそうな様子を、店の外から杏南が見ていた。自室に誰かが盗聴器を仕掛けていたことを知った杏南は、真理亜の誘拐事件に疑惑を抱き、ある行動に出るーー!?伊藤英明　  木村佳乃　  相武紗季　  浅香航大　  眞島秀和　  小園凌央　  児玉絹世　  関口アナム  　・　  キムラ緑子　  佐々木蔵之介  　・　  高橋一生　  佐藤隆太　  宮迫博之</t>
  </si>
  <si>
    <t>緒方(眞島秀和)のアトリエが何者かによって放火された。相馬(佐藤隆太)は焼け跡から地下室への扉を発見。今回の誘拐事件が緒方の犯行ではないかと考え始める。  その頃、放火のニュースを知った幸平(伊藤英明)は、“真理亜が協力者だった緒方を殺したのかもしれない"と恐怖におびえていた。しかしふと、今回の誘拐事件が自作自演ならば“身代金の2億円は今も真理亜が持っているはずだ"という事に気付く。その金を奪って逃げようと考えた幸平は、真理亜を尾行。すると、真理亜は意外な場所である人物と接触していた。ついに2億円のありかを突き止める幸平。  そんな中、真理亜が店を手伝うと言い出す。幸平は煩わしさを感じるが、「金を手に入れるまでの我慢だ…」と渋々了承。  店にやって来た真理亜は、まるで用済みだと言わんばかりに、店にあった杏南(相武紗季)のネームプレートをゴミ箱に捨てる一方で、従業員たちには笑顔を振りまき、“奇跡の生還を果たした幸せな妻"を演じる。しかし、そんな楽しそうな様子を、店の外から杏南が見ていた。自室に誰かが盗聴器を仕掛けていたことを知った杏南は、真理亜の誘拐事件に疑惑を抱き、ある行動に出るーー!?</t>
  </si>
  <si>
    <t>番組名僕のヤバイ妻【期限は午後4時!殺人容疑の夫を救う完璧妻のシナリオ】　#04</t>
  </si>
  <si>
    <t>緒方(眞島秀和)が潜伏先のビルから落ちて死んだ。2億円を奪おうとやって来た幸平(伊藤英明)は、死体を見つけ慌てて逃げようとしたところを警察官に見られてしまう。  真理亜(木村佳乃)が自分を犯人に仕立てようとしているのだと考えた幸平は、ひとまず杏南(相武紗季)の部屋へ。しかし、相馬(佐藤隆太)がやって来たため再び逃走。  追い詰められる幸平に意外にも手を差し伸べたのは、真理亜だった。  「大丈夫、4時まで我慢すれば無実が証明される」と真理亜は幸平に意味深な言葉を残しーー。    警察で、緒方の死が自殺ではなく他殺だと聞かされた幸平は、真理亜が緒方を殺したのではないかと疑いをますます募らせる。だが明らかになるのは幸平が現場付近にいた証拠ばかり。一方、幸平の絶体絶命のピンチに駆け付けた杏南は、真理亜の弁護士から手切れ金を渡され、屈辱を味わう。  幸平が行方をくらませていた頃、一人カフェにやってきた横路(宮迫博之)は、店内を物色し1枚の伝票を見つける。さらに緒方の死体発見現場には、望月家の向かいに住む鯨井有希(キムラ緑子)の夫・和樹(高橋一生)の姿がーー。伊藤英明　  木村佳乃　  相武紗季　  浅香航大　  眞島秀和　  小園凌央　  児玉絹世　  関口アナム  　・　  キムラ緑子　  佐々木蔵之介  　・　  高橋一生　  佐藤隆太　  宮迫博之番組公式ホームページ  http://www.ktv.jp/yabatsuma/index.html</t>
  </si>
  <si>
    <t>緒方(眞島秀和)が潜伏先のビルから落ちて死んだ。2億円を奪おうとやって来た幸平(伊藤英明)は、死体を見つけ慌てて逃げようとしたところを警察官に見られてしまう。  真理亜(木村佳乃)が自分を犯人に仕立てようとしているのだと考えた幸平は、ひとまず杏南(相武紗季)の部屋へ。しかし、相馬(佐藤隆太)がやって来たため再び逃走。  追い詰められる幸平に意外にも手を差し伸べたのは、真理亜だった。  「大丈夫、4時まで我慢すれば無実が証明される」と真理亜は幸平に意味深な言葉を残しーー。    警察で、緒方の死が自殺ではなく他殺だと聞かされた幸平は、真理亜が緒方を殺したのではないかと疑いをますます募らせる。だが明らかになるのは幸平が現場付近にいた証拠ばかり。一方、幸平の絶体絶命のピンチに駆け付けた杏南は、真理亜の弁護士から手切れ金を渡され、屈辱を味わう。  幸平が行方をくらませていた頃、一人カフェにやってきた横路(宮迫博之)は、店内を物色し1枚の伝票を見つける。さらに緒方の死体発見現場には、望月家の向かいに住む鯨井有希(キムラ緑子)の夫・和樹(高橋一生)の姿がーー。</t>
  </si>
  <si>
    <t>番組名僕のヤバイ妻【元刑事から2億を奪い返す!完璧妻アメ一粒の逆襲!】　#05</t>
  </si>
  <si>
    <t>「2016リオ五輪　バレーボール世界最終予選　女子日本×韓国」延長の際、放送時間繰り下げの場合あり。2億円を奪おうとした幸平(伊藤英明)が横路(宮迫博之)に襲われた。やって来た真理亜(木村佳乃)に、「焙煎しようとしたら誰かに襲われた」とうそをつく幸平。  2億円を盗まれたことに気付いた真理亜は、「大丈夫、私がかたきをとってあげる」と幸平を優しく介抱する。  実は横路と争い金の半分を手に入れていた幸平は、自分も金を盗んだと真理亜に知られる前に、杏南(相武紗季)と海外へ逃げようと思いつく。  その頃、相馬(佐藤隆太)は防犯カメラの映像の中に、緒方(眞島秀和)が転落死した日の朝、ビルから逃げる女の姿を発見。それが杏南ではないかと考える。  一方、幸平の店では、夫婦で食事にきた和樹(高橋一生)が、なぜか杏南あてにこっそり手紙を残し……。    金を持ち去ってから数時間後、横路の事務所に真理亜がやって来る。「2億円返してください。」と単刀直入に告げる真理亜に対し、シラを切る横路。  するとしばらくして、横路の携帯電話に娘の楓(木内心結)から一通のメールが届く。しかしそれは、楓を誘拐したことを知らせる“N31"からのメッセージだった。  そこには椅子に縛られグッタリした楓の写真が!そしてさらにもう一枚、衝撃的な写真も送られてくる。  2億円を返さなければ楓の命が危ないーー慌てた横路は、幸平に電話。杏南と海外逃亡に向かっていた幸平は……?伊藤英明　  木村佳乃　  相武紗季　  浅香航大　  眞島秀和　  小園凌央　  児玉絹世　  関口アナム  　・　  キムラ緑子　  佐々木蔵之介  　・　  高橋一生　  佐藤隆太　  宮迫博之番組公式ホームページ  http://www.ktv.jp/yabatsuma/index.html</t>
  </si>
  <si>
    <t>「2016リオ五輪　バレーボール世界最終予選　女子日本×韓国」延長の際、放送時間繰り下げの場合あり。2億円を奪おうとした幸平(伊藤英明)が横路(宮迫博之)に襲われた。やって来た真理亜(木村佳乃)に、「焙煎しようとしたら誰かに襲われた」とうそをつく幸平。  2億円を盗まれたことに気付いた真理亜は、「大丈夫、私がかたきをとってあげる」と幸平を優しく介抱する。  実は横路と争い金の半分を手に入れていた幸平は、自分も金を盗んだと真理亜に知られる前に、杏南(相武紗季)と海外へ逃げようと思いつく。  その頃、相馬(佐藤隆太)は防犯カメラの映像の中に、緒方(眞島秀和)が転落死した日の朝、ビルから逃げる女の姿を発見。それが杏南ではないかと考える。  一方、幸平の店では、夫婦で食事にきた和樹(高橋一生)が、なぜか杏南あてにこっそり手紙を残し……。    金を持ち去ってから数時間後、横路の事務所に真理亜がやって来る。「2億円返してください。」と単刀直入に告げる真理亜に対し、シラを切る横路。  するとしばらくして、横路の携帯電話に娘の楓(木内心結)から一通のメールが届く。しかしそれは、楓を誘拐したことを知らせる“N31"からのメッセージだった。  そこには椅子に縛られグッタリした楓の写真が!そしてさらにもう一枚、衝撃的な写真も送られてくる。  2億円を返さなければ楓の命が危ないーー慌てた横路は、幸平に電話。杏南と海外逃亡に向かっていた幸平は……?</t>
  </si>
  <si>
    <t>番組名僕のヤバイ妻【離婚に応じた完璧妻…夫殺しの罠がはじまる!】　#06</t>
  </si>
  <si>
    <t>「君だよね、緒方彰吾(眞島秀和)を殺したの。」和樹(高橋一生)は、緒方が死亡する前夜、杏南(相武紗季)が望月家から緒方を尾行する姿を目撃していた。黙っているかわりに金をよこせと言う和樹。杏南は緒方殺害を否定するが、和樹がひそかに睡眠薬を入れたワインを飲み、意識を失ってしまう。    その頃、真理亜(木村佳乃)から2億円を奪った幸平(伊藤英明)は浮足立って杏南のマンションへ向かう。しかしそこで和樹とキスをする杏南を目撃し、怒りと裏切られた思いにとらわれる。    翌朝、そんな幸平の元に真理亜の弁護士から連絡が入る。あれだけかたくなに拒否していた真理亜が離婚に応じるという。やっと金も自由も手に入れたが、孤独を感じる幸平。そんな時、横路(宮迫博之)から、真理亜の近くに木暮(佐々木蔵之介)という男がいることを聞く。木暮のバーを訪れたふたりは、そこで木暮と真理亜を結びつける意外な証拠を見つける。一方、真理亜は杏南にも「幸平を譲る」と離婚を宣言。そして新しい毒を作ってほしいと依頼する。使い道を尋ねる杏南に、真理亜はためらうことなく「幸平を殺す」と告げる。真理亜は杏南の本当の狙いを見透かしていたのだった。伊藤英明　  木村佳乃　  相武紗季　  浅香航大　  眞島秀和　  小園凌央　  児玉絹世　  関口アナム  　・　  キムラ緑子　  佐々木蔵之介  　・　  高橋一生　  佐藤隆太　  宮迫博之番組公式ホームページ  http://www.ktv.jp/yabatsuma/index.html</t>
  </si>
  <si>
    <t>「君だよね、緒方彰吾(眞島秀和)を殺したの。」和樹(高橋一生)は、緒方が死亡する前夜、杏南(相武紗季)が望月家から緒方を尾行する姿を目撃していた。黙っているかわりに金をよこせと言う和樹。杏南は緒方殺害を否定するが、和樹がひそかに睡眠薬を入れたワインを飲み、意識を失ってしまう。    その頃、真理亜(木村佳乃)から2億円を奪った幸平(伊藤英明)は浮足立って杏南のマンションへ向かう。しかしそこで和樹とキスをする杏南を目撃し、怒りと裏切られた思いにとらわれる。    翌朝、そんな幸平の元に真理亜の弁護士から連絡が入る。あれだけかたくなに拒否していた真理亜が離婚に応じるという。やっと金も自由も手に入れたが、孤独を感じる幸平。そんな時、横路(宮迫博之)から、真理亜の近くに木暮(佐々木蔵之介)という男がいることを聞く。木暮のバーを訪れたふたりは、そこで木暮と真理亜を結びつける意外な証拠を見つける。一方、真理亜は杏南にも「幸平を譲る」と離婚を宣言。そして新しい毒を作ってほしいと依頼する。使い道を尋ねる杏南に、真理亜はためらうことなく「幸平を殺す」と告げる。真理亜は杏南の本当の狙いを見透かしていたのだった。</t>
  </si>
  <si>
    <t>番組名僕のヤバイ妻【勝つのはどっちだ?手料理に毒を盛る妻VS妻を欺く夫】　#07</t>
  </si>
  <si>
    <t>突然背後から有希(キムラ緑子)に襲われた杏南(相武紗季)は反撃しようとするが、あと一歩のところで和樹(高橋一生)に止められる。怒りを抑えきれない杏南は、幸平(伊藤英明)の前で和樹がレンタル夫であることをばらし、有希は激しく取り乱す。    真理亜(木村佳乃)が幸平を招待する夕食会の日、杏南は頼まれていた毒薬・アドキシンを真理亜に渡す。すると真理亜は毒の半分を料理に入れ、残りは杏南がワインに入れて持ってきてほしいという。この用意周到な計画を杏南から聞いた幸平は、真理亜を返り討ちにしようと、自らも毒入り料理を真理亜に振る舞うことを思いつく。    一方、真理亜が木暮(佐々木蔵之介)と共謀している可能性にたどりついた相馬(佐藤隆太)は、緒方(眞島秀和)の遺体発見現場から逃げた女が履いていた靴の特徴から、ある人物に突き当たる。    夕食会の夜、幸平は真理亜と表向きは仲良くスーパーでの買い出しを済ませ、2人でキッチンに立ち、相手にバレないよう、それぞれの料理に毒を入れる。ついに始まる夫婦最後の晩さん。幸平は真理亜が作った毒入り料理をかわしながら、なんとか自分が作ったアクアパッツァを真理亜に食べさせようと躍起になる。そんな幸平の思惑とは裏腹に、アクアパッツァにまつわる2人の思い出を楽しげに話し始める真理亜。すると突然、言葉が途切れ、幸平が見ると真理亜が目に涙を浮かべていた。そのとき幸平は…!?伊藤英明　  木村佳乃　  相武紗季　  浅香航大　  眞島秀和　  小園凌央　  児玉絹世　  関口アナム  　・　  キムラ緑子　  佐々木蔵之介  　・　  高橋一生　  佐藤隆太　  宮迫博之番組公式ホームページ　  http://www.ktv.jp/yabatsuma/index.html</t>
  </si>
  <si>
    <t>突然背後から有希(キムラ緑子)に襲われた杏南(相武紗季)は反撃しようとするが、あと一歩のところで和樹(高橋一生)に止められる。怒りを抑えきれない杏南は、幸平(伊藤英明)の前で和樹がレンタル夫であることをばらし、有希は激しく取り乱す。    真理亜(木村佳乃)が幸平を招待する夕食会の日、杏南は頼まれていた毒薬・アドキシンを真理亜に渡す。すると真理亜は毒の半分を料理に入れ、残りは杏南がワインに入れて持ってきてほしいという。この用意周到な計画を杏南から聞いた幸平は、真理亜を返り討ちにしようと、自らも毒入り料理を真理亜に振る舞うことを思いつく。    一方、真理亜が木暮(佐々木蔵之介)と共謀している可能性にたどりついた相馬(佐藤隆太)は、緒方(眞島秀和)の遺体発見現場から逃げた女が履いていた靴の特徴から、ある人物に突き当たる。    夕食会の夜、幸平は真理亜と表向きは仲良くスーパーでの買い出しを済ませ、2人でキッチンに立ち、相手にバレないよう、それぞれの料理に毒を入れる。ついに始まる夫婦最後の晩さん。幸平は真理亜が作った毒入り料理をかわしながら、なんとか自分が作ったアクアパッツァを真理亜に食べさせようと躍起になる。そんな幸平の思惑とは裏腹に、アクアパッツァにまつわる2人の思い出を楽しげに話し始める真理亜。すると突然、言葉が途切れ、幸平が見ると真理亜が目に涙を浮かべていた。そのとき幸平は…!?</t>
  </si>
  <si>
    <t>番組名僕のヤバイ妻【隣人からの脅迫状!目撃された殺人…完璧妻、最大の誤算】　#08</t>
  </si>
  <si>
    <t>杏南(相武紗季)を殺してしまった衝撃と罪悪感にさいなまれる幸平(伊藤英明)。遺体を運び出し、戻ってきた真理亜(木村佳乃)は、情緒不安定な夫を「私も同罪よ。幸平は一人じゃない」と気丈に励まし、罪を分かち合う。しかし翌朝、2人の元に『2億円用意しろ。北里杏南を殺したことを知っている』と脅迫状が届くと、幸平は再びパニックに。  幸平を何とか落ち着かせると、真理亜は幸平に2億円を回収していつも通り仕事に出かけるよう促し、自分は脅迫状の送り主をつきとめると言う。    脅迫状の送り主は鯨井和樹(高橋一生)だった。有希(キムラ緑子)から緒方(眞島秀和)殺しを告白され、レンタル夫の契約解消を申し出られた和樹は、望月家を盗聴して知った杏南の毒殺をネタに、幸平と真理亜をゆすろうと計画し、有希にも協力を促す。    真理亜に言われた通り2億円を回収し、店に出かけた幸平だったが、杏南を殺してしまった恐怖に悩まされ、幻聴や幻覚を見るまでに追い詰められていく。そこへ、杏南と連絡がとれないと相馬(佐藤隆太)がやってくる。ついに耐えられなくなった幸平は、相馬に「杏南を殺しました。」と告白する。    一方、真理亜は家の中にしかけられた盗聴器を見つけると、今まさに盗聴しているはずの相手を挑発。焦った有希が慌てて和樹に電話するとその直後、インターフォンが鳴り、有希の家の前には真理亜が立っていた!伊藤英明　  木村佳乃　  相武紗季　  浅香航大　  眞島秀和　  小園凌央　  児玉絹世　  関口アナム  　・　  キムラ緑子　  佐々木蔵之介  　・　  高橋一生　  佐藤隆太　  宮迫博之番組公式ホームページ  http://www.ktv.jp/yabatsuma/index.html</t>
  </si>
  <si>
    <t>杏南(相武紗季)を殺してしまった衝撃と罪悪感にさいなまれる幸平(伊藤英明)。遺体を運び出し、戻ってきた真理亜(木村佳乃)は、情緒不安定な夫を「私も同罪よ。幸平は一人じゃない」と気丈に励まし、罪を分かち合う。しかし翌朝、2人の元に『2億円用意しろ。北里杏南を殺したことを知っている』と脅迫状が届くと、幸平は再びパニックに。  幸平を何とか落ち着かせると、真理亜は幸平に2億円を回収していつも通り仕事に出かけるよう促し、自分は脅迫状の送り主をつきとめると言う。    脅迫状の送り主は鯨井和樹(高橋一生)だった。有希(キムラ緑子)から緒方(眞島秀和)殺しを告白され、レンタル夫の契約解消を申し出られた和樹は、望月家を盗聴して知った杏南の毒殺をネタに、幸平と真理亜をゆすろうと計画し、有希にも協力を促す。    真理亜に言われた通り2億円を回収し、店に出かけた幸平だったが、杏南を殺してしまった恐怖に悩まされ、幻聴や幻覚を見るまでに追い詰められていく。そこへ、杏南と連絡がとれないと相馬(佐藤隆太)がやってくる。ついに耐えられなくなった幸平は、相馬に「杏南を殺しました。」と告白する。    一方、真理亜は家の中にしかけられた盗聴器を見つけると、今まさに盗聴しているはずの相手を挑発。焦った有希が慌てて和樹に電話するとその直後、インターフォンが鳴り、有希の家の前には真理亜が立っていた!</t>
  </si>
  <si>
    <t>番組名僕のヤバイ妻【誘拐は真実か罠か?完璧妻が2億より欲しいモノ】　#09</t>
  </si>
  <si>
    <t>杏南(相武紗季)殺しをネタに脅迫状を送ってきたのが有希(キムラ緑子)だと気付き、有希のもとを訪ねた真理亜(木村佳乃)。しかし、真理亜から緒方殺しとレンタル夫婦であることを突きつけられ逆上した有希は真理亜を刺し、真理亜は瀕死(ひんし)の重傷を負ってしまう。  杏南に死んだフリをさせたことが幸平(伊藤英明)にバレてしまった今、幸平が自分を助けに来ることなどもはやありえないだろう。もうろうとした意識の中で真理亜は、あきらめたように悲しい笑みを浮かべる。    その頃、自宅で「真理亜を誘拐した」という新たな脅迫状を見つけた幸平は、真理亜が再び狂言で自分をだまそうとしているのだと怒りに震えていた。しかし、望月家に侵入した和樹(高橋一生)からナイフを突きつけられ、真理亜の命と引き換えに2億円を出せと脅される。幸平は、半信半疑のまま和樹をガレージへと連れて行くが、なぜか車から金が消えていて…?一方、木暮(佐々木蔵之介)の元には真理亜から荷物が届く。そこに書かれていたメッセージに胸騒ぎを覚えた木暮は、ついにある行動に出る。    果たして、鯨井夫婦に監禁された真理亜の命は!?幸平は真理亜を助けに行くのか?  ついに明らかになる木暮と真理亜の関係、そして“N31"の本当の意味と真理亜の真の目的!そのとき望月夫婦が選ぶ結末とは!?そこには、誰も予想できない衝撃の真実が待っていた!伊藤英明　  木村佳乃　  相武紗季　  浅香航大　  眞島秀和　  小園凌央　  児玉絹世　  関口アナム  　・　  キムラ緑子　  佐々木蔵之介  　・　  高橋一生　  佐藤隆太　  宮迫博之番組公式ホームページ　  http://www.ktv.jp/yabatsuma/index.html</t>
  </si>
  <si>
    <t>杏南(相武紗季)殺しをネタに脅迫状を送ってきたのが有希(キムラ緑子)だと気付き、有希のもとを訪ねた真理亜(木村佳乃)。しかし、真理亜から緒方殺しとレンタル夫婦であることを突きつけられ逆上した有希は真理亜を刺し、真理亜は瀕死(ひんし)の重傷を負ってしまう。  杏南に死んだフリをさせたことが幸平(伊藤英明)にバレてしまった今、幸平が自分を助けに来ることなどもはやありえないだろう。もうろうとした意識の中で真理亜は、あきらめたように悲しい笑みを浮かべる。    その頃、自宅で「真理亜を誘拐した」という新たな脅迫状を見つけた幸平は、真理亜が再び狂言で自分をだまそうとしているのだと怒りに震えていた。しかし、望月家に侵入した和樹(高橋一生)からナイフを突きつけられ、真理亜の命と引き換えに2億円を出せと脅される。幸平は、半信半疑のまま和樹をガレージへと連れて行くが、なぜか車から金が消えていて…?一方、木暮(佐々木蔵之介)の元には真理亜から荷物が届く。そこに書かれていたメッセージに胸騒ぎを覚えた木暮は、ついにある行動に出る。    果たして、鯨井夫婦に監禁された真理亜の命は!?幸平は真理亜を助けに行くのか?  ついに明らかになる木暮と真理亜の関係、そして“N31"の本当の意味と真理亜の真の目的!そのとき望月夫婦が選ぶ結末とは!?そこには、誰も予想できない衝撃の真実が待っていた!</t>
  </si>
  <si>
    <t>1604_CX_木22</t>
  </si>
  <si>
    <t>早子先生、結婚するって本当ですか?</t>
  </si>
  <si>
    <t>番組名&lt;木曜劇場&gt;早子先生、結婚するって本当ですか?　#01</t>
  </si>
  <si>
    <t>★番組公式HPはこちら　  http://www.fujitv.co.jp/hayako/　    ★Twitterも稼働中!　  https://twitter.com/Hayako_cx　    ★公式LINEも要チェック!　立木早子(松下奈緒)は、34歳独身の小学校教師。東京郊外にある平和町小学校で1年1組の担任を務めている。豆腐店を営んでいる実家で、真面目な父・辰志(尾藤イサオ)、楽天家の母・尚子(松坂慶子)と3人暮らしだ。マイペースでサバサバした性格の早子は、子どもたちから慕われ、同僚教師の久我山ミカ(貫地谷しほり)、成増梅子(佐藤仁美)、千駄木廉太郎(八嶋智人)らとも良好な関係を築き、教師として充実した日々を送っている。ミカ、梅子、廉太郎はいずれも独身で、中でもミカは結婚願望が強く、合コンにも積極的に参加しているらしいが、何故それほど結婚したいのか踏み込んだ質問はしたことがなかった。とはいえ、実は早子自身も、何気ない日常の中でふと寂しさを感じることもあった。そんなある日、思わぬ騒動が起きる。辰志が倒れ、病院に運ばれたのだ。幸い命に別状はなかったものの、この機会に店を畳んではどうかと両親に提案しようと考える早子。その矢先、早子は、居間の引き出しにお見合い写真が隠してあるのを発見して…。【キャスト】  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</si>
  <si>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 xml:space="preserve">　立木早子(松下奈緒)は、34歳独身の小学校教師。東京郊外にある平和町小学校で1年1組の担任を務めている。豆腐店を営んでいる実家で、真面目な父・辰志(尾藤イサオ)、楽天家の母・尚子(松坂慶子)と3人暮らしだ。マイペースでサバサバした性格の早子は、子どもたちから慕われ、同僚教師の久我山ミカ(貫地谷しほり)、成増梅子(佐藤仁美)、千駄木廉太郎(八嶋智人)らとも良好な関係を築き、教師として充実した日々を送っている。ミカ、梅子、廉太郎はいずれも独身で、中でもミカは結婚願望が強く、合コンにも積極的に参加しているらしいが、何故それほど結婚したいのか踏み込んだ質問はしたことがなかった。とはいえ、実は早子自身も、何気ない日常の中でふと寂しさを感じることもあった。そんなある日、思わぬ騒動が起きる。辰志が倒れ、病院に運ばれたのだ。幸い命に別状はなかったものの、この機会に店を畳んではどうかと両親に提案しようと考える早子。その矢先、早子は、居間の引き出しにお見合い写真が隠してあるのを発見して…。</t>
  </si>
  <si>
    <t>番組名&lt;木曜劇場&gt;早子先生、結婚するって本当ですか?　#02</t>
  </si>
  <si>
    <t>★番組公式HPはこちら　  http://www.fujitv.co.jp/hayako/　    ★Twitterも稼働中!　  https://twitter.com/Hayako_cx　    ★公式LINEも要チェック!　早子(松下奈緒)は、ダンディーな雰囲気の男性・月島遼一(坂上忍)とお見合いをする。その席でちょっとしたトラブルが発生したが、動じずに落ち着いた対応を見せる月島。早子はそんな月島に好感を抱いていた。逆上がりが苦手だった千駄木(八嶋智人)は、港(間宮祥太朗)の指導の下で練習を重ねる。やがて逆上がりをマスターした千駄木は、自分のことをからかっていた児童たちの前で披露した。そんな千駄木のもとに、目黒(足立梨花)という女性から電話が入る。職員室でその電話を受けた早子は、もうすぐ約束の誕生日だから会いたいという彼女の言葉を千駄木に伝えるが…。  　一方、ミカ(貫地谷しほり)、梅子(佐藤仁美)、舞(舞羽美海)は、ひとり1品料理を持ち寄ってピクニック合コンに出かける。が途中で激しい雨に見舞われてしまい、合コン相手の佐賀俊介(田中圭)たちとともに、ピクニックの場所から近かった早子の家へと避難する。早子の母・尚子(松坂慶子)と父・辰志(尾藤イサオ)は、ミカたちを歓迎した。そんな中、早子は、月島から「すぐにでも会って話がしたい」というメールをもらい…。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</si>
  <si>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 xml:space="preserve">　早子(松下奈緒)は、ダンディーな雰囲気の男性・月島遼一(坂上忍)とお見合いをする。その席でちょっとしたトラブルが発生したが、動じずに落ち着いた対応を見せる月島。早子はそんな月島に好感を抱いていた。逆上がりが苦手だった千駄木(八嶋智人)は、港(間宮祥太朗)の指導の下で練習を重ねる。やがて逆上がりをマスターした千駄木は、自分のことをからかっていた児童たちの前で披露した。そんな千駄木のもとに、目黒(足立梨花)という女性から電話が入る。職員室でその電話を受けた早子は、もうすぐ約束の誕生日だから会いたいという彼女の言葉を千駄木に伝えるが…。  　一方、ミカ(貫地谷しほり)、梅子(佐藤仁美)、舞(舞羽美海)は、ひとり1品料理を持ち寄ってピクニック合コンに出かける。が途中で激しい雨に見舞われてしまい、合コン相手の佐賀俊介(田中圭)たちとともに、ピクニックの場所から近かった早子の家へと避難する。早子の母・尚子(松坂慶子)と父・辰志(尾藤イサオ)は、ミカたちを歓迎した。そんな中、早子は、月島から「すぐにでも会って話がしたい」というメールをもらい…。</t>
  </si>
  <si>
    <t>番組名&lt;木曜劇場&gt;早子先生、結婚するって本当ですか?　#03</t>
  </si>
  <si>
    <t>★番組公式HPはこちら　  http://www.fujitv.co.jp/hayako/　    ★Twitterも稼働中!　  https://twitter.com/Hayako_cx　    ★公式LINEも要チェック!　早子(松下奈緒)の実家『立木豆富店』に、赤い傘と旅行カバンを持った客・三田凪太郎(吉岡秀隆)がやってくる。ところが、応対した早子の姿を見た凪太郎は困惑し、豆腐を買い求めると逃げるように去ってしまう。店先には、凪太郎の傘が残されていた。  　早子は、ピクニック合コンに参加していた男性のひとり、佐賀(田中圭)から電話をもらい、彼と会うことになった。早子が約束した場所へ向かうと、佐賀が酒に酔った男にからまれ、トラブルになっていた。相手の男は、梅子(佐藤仁美)の元カレ・木の下(とにかく明るい安村)だ。早子は、ミカ(貫地谷しほり)と梅子に連絡を取り、木の下のことは梅子に任せて、佐賀を連れて自宅に戻る。実は佐賀は、ミカの友人・舞(舞羽美海)のことが気になっており、相談したかったらしい。  　別の日、平和町小学校の職員室では、転校することになったミカのクラスの児童・中野一斗(高木星来)が体調不良を訴える。一斗は、ある理由から別の小学校へ転校するのが嫌で駄々をこねていた。そんな折、立木豆富店に再び凪太郎が現れて…。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</si>
  <si>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 xml:space="preserve">　早子(松下奈緒)の実家『立木豆富店』に、赤い傘と旅行カバンを持った客・三田凪太郎(吉岡秀隆)がやってくる。ところが、応対した早子の姿を見た凪太郎は困惑し、豆腐を買い求めると逃げるように去ってしまう。店先には、凪太郎の傘が残されていた。  　早子は、ピクニック合コンに参加していた男性のひとり、佐賀(田中圭)から電話をもらい、彼と会うことになった。早子が約束した場所へ向かうと、佐賀が酒に酔った男にからまれ、トラブルになっていた。相手の男は、梅子(佐藤仁美)の元カレ・木の下(とにかく明るい安村)だ。早子は、ミカ(貫地谷しほり)と梅子に連絡を取り、木の下のことは梅子に任せて、佐賀を連れて自宅に戻る。実は佐賀は、ミカの友人・舞(舞羽美海)のことが気になっており、相談したかったらしい。  　別の日、平和町小学校の職員室では、転校することになったミカのクラスの児童・中野一斗(高木星来)が体調不良を訴える。一斗は、ある理由から別の小学校へ転校するのが嫌で駄々をこねていた。そんな折、立木豆富店に再び凪太郎が現れて…。</t>
  </si>
  <si>
    <t>番組名&lt;木曜劇場&gt;早子先生、結婚するって本当ですか?　#04</t>
  </si>
  <si>
    <t>★番組公式HPはこちら　  http://www.fujitv.co.jp/hayako/　    ★Twitterも稼働中!　  https://twitter.com/Hayako_cx　    ★公式LINEも要チェック!　夏休み早々、早子(松下奈緒)は、小学校の教師たちが集まる研修会に参加する。そこで早子は、初対面にも関わらず軽いノリでなれなれしく話しかけてくる伊東慶太(佐藤アツヒロ)と出会う。伊東は四人兄弟の末っ子で、兄弟はみんな、教職についているため、なんとなく自分も教師になったらしい。早子は、注意事項を読まず、昼食を持参してこなかった伊東に、自分の弁当を分けてやる。すると伊東は、今日のお礼がしたいから今度食事に行こうと早子を誘い…。  　早子が研修を終えて帰宅すると、妊娠中の妹・風子(川栄李奈)が里帰りしていた。風子は、ある出来事がきっかけで夫とケンカになり、家を飛び出してきたらしい。  　別の日、夏休み出勤した早子は、練習試合の引率で平和町小学校にやってきた伊東と再会する。そこで再び食事に誘われた早子は、合コンはどうかと持ちかける。早子は、ミカ(貫地谷しほり)、梅子(佐藤仁美)を誘い、伊東や彼の草野球仲間だという大学生・喜連川隼人(吉沢亮)らとの合コンに臨むが…。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</si>
  <si>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 xml:space="preserve">　夏休み早々、早子(松下奈緒)は、小学校の教師たちが集まる研修会に参加する。そこで早子は、初対面にも関わらず軽いノリでなれなれしく話しかけてくる伊東慶太(佐藤アツヒロ)と出会う。伊東は四人兄弟の末っ子で、兄弟はみんな、教職についているため、なんとなく自分も教師になったらしい。早子は、注意事項を読まず、昼食を持参してこなかった伊東に、自分の弁当を分けてやる。すると伊東は、今日のお礼がしたいから今度食事に行こうと早子を誘い…。  　早子が研修を終えて帰宅すると、妊娠中の妹・風子(川栄李奈)が里帰りしていた。風子は、ある出来事がきっかけで夫とケンカになり、家を飛び出してきたらしい。  　別の日、夏休み出勤した早子は、練習試合の引率で平和町小学校にやってきた伊東と再会する。そこで再び食事に誘われた早子は、合コンはどうかと持ちかける。早子は、ミカ(貫地谷しほり)、梅子(佐藤仁美)を誘い、伊東や彼の草野球仲間だという大学生・喜連川隼人(吉沢亮)らとの合コンに臨むが…。</t>
  </si>
  <si>
    <t>番組名&lt;木曜劇場&gt;早子先生、結婚するって本当ですか?　#05</t>
  </si>
  <si>
    <t>★番組公式HPはこちら　  http://www.fujitv.co.jp/hayako/　    ★Twitterも稼働中!　  https://twitter.com/Hayako_cx　    ★公式LINEも要チェック!　早子(松下奈緒)の実家・立木豆富店に、以前、店先に赤い傘を忘れていった男・三田凪太郎(吉岡秀隆)が現れる。しかし、何故か傘は見つからず、応対した尚子(松坂慶子)は、名刺に携帯電話の番号を書いてもらい、見つけ次第、連絡すると凪太郎に約束した。同じころ、平和町小学校では1年生の児童・菊名大介(木村皐誠)が病気になったウサギを持って登校し、騒動になっていた。本郷(山内圭哉)らは、事情を聞いても何も答えない大介にお手上げ状態だ。早子は、スマホで見つけた最寄りの動物病院まで一緒に行こうと声をかける。すると大介は、ウサギが入ったカゴを持って逃げ出してしまう。  　一方、腐れ縁だった木の下(とにかく明るい安村)と別れた梅子(佐藤仁美)は、占い師に勧められて、すぐに結婚相手が見つかるというブレスレットを購入していた。ミカ(貫地谷しほり)は、そんな梅子に千駄木(八嶋智人)がふたりだけで話がしたいと言っていたと伝える。  　大介は、早子が見つけた動物病院は嫌だと言ってきかなかった。困った早子は、以前学校で世話になったことがある動物病院の電話番号を調べてもらうために尚子に連絡すると、その病院はすでに廃業しているが、別に心当たりがあるという。尚子からの紹介で、早子と大介が待つ教室に現れたのは、凪太郎で…。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</si>
  <si>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 xml:space="preserve">　早子(松下奈緒)の実家・立木豆富店に、以前、店先に赤い傘を忘れていった男・三田凪太郎(吉岡秀隆)が現れる。しかし、何故か傘は見つからず、応対した尚子(松坂慶子)は、名刺に携帯電話の番号を書いてもらい、見つけ次第、連絡すると凪太郎に約束した。同じころ、平和町小学校では1年生の児童・菊名大介(木村皐誠)が病気になったウサギを持って登校し、騒動になっていた。本郷(山内圭哉)らは、事情を聞いても何も答えない大介にお手上げ状態だ。早子は、スマホで見つけた最寄りの動物病院まで一緒に行こうと声をかける。すると大介は、ウサギが入ったカゴを持って逃げ出してしまう。  　一方、腐れ縁だった木の下(とにかく明るい安村)と別れた梅子(佐藤仁美)は、占い師に勧められて、すぐに結婚相手が見つかるというブレスレットを購入していた。ミカ(貫地谷しほり)は、そんな梅子に千駄木(八嶋智人)がふたりだけで話がしたいと言っていたと伝える。  　大介は、早子が見つけた動物病院は嫌だと言ってきかなかった。困った早子は、以前学校で世話になったことがある動物病院の電話番号を調べてもらうために尚子に連絡すると、その病院はすでに廃業しているが、別に心当たりがあるという。尚子からの紹介で、早子と大介が待つ教室に現れたのは、凪太郎で…。</t>
  </si>
  <si>
    <t>番組名&lt;木曜劇場&gt;早子先生、結婚するって本当ですか?　#06</t>
  </si>
  <si>
    <t>★番組公式HPはこちら　  http://www.fujitv.co.jp/hayako/　    ★Twitterも稼働中!　  https://twitter.com/Hayako_cx　    ★公式LINEも要チェック!　早子(松下奈緒)、ミカ(貫地谷しほり)、梅子(佐藤仁美)は、千駄木(八嶋智人)の後輩がセッティングした合コンで、岡山藤吾(成宮寛貴)と出会う。岡山は、食品メーカーの営業マンをしている心優しい男だった。  　それから数日後、立木家では、辰志(尾藤イサオ)が所用で出かけたため、尚子(松坂慶子)のたっての希望で女子会が開かれる。が女子会の意味がわかっていなかった早子は、ミカや梅子、莉々(小芝風花)だけでなく、何故か千駄木や本郷(山内圭哉)らにも声をかけていた。その席で酒を飲んだ莉々は、早子たち婚活同盟のメンバーに、友情を育んでいないで愛情を育め、と説教を始めてしまう。  　千駄木や莉々たちが帰った後、改めて飲み直した早子、ミカ、梅子は、莉々の言葉を受けて、お互いにこれ以上深入りしないようにしよう、と誓い合う。退屈な時間をともに過ごせる仲間がいると大概のことは満たされてしまって危険だというのだ。ミカは、さっそくスマホを取り出し、岡山にメッセージを送った。負けじと梅子も岡山にメッセージを送ろうとするが、何を書けばいいのかわからない。それからも飲み続け、すっかり酔ってしまう早子たち。岡山はミカが初めて連絡先を交換するほど本気の相手であることを察知した梅子は、自分は引くから頑張れ、と言ってミカを励ます。翌日、ミカは岡山に対して積極的に行動に出るが…。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</si>
  <si>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 xml:space="preserve">　早子(松下奈緒)、ミカ(貫地谷しほり)、梅子(佐藤仁美)は、千駄木(八嶋智人)の後輩がセッティングした合コンで、岡山藤吾(成宮寛貴)と出会う。岡山は、食品メーカーの営業マンをしている心優しい男だった。  　それから数日後、立木家では、辰志(尾藤イサオ)が所用で出かけたため、尚子(松坂慶子)のたっての希望で女子会が開かれる。が女子会の意味がわかっていなかった早子は、ミカや梅子、莉々(小芝風花)だけでなく、何故か千駄木や本郷(山内圭哉)らにも声をかけていた。その席で酒を飲んだ莉々は、早子たち婚活同盟のメンバーに、友情を育んでいないで愛情を育め、と説教を始めてしまう。  　千駄木や莉々たちが帰った後、改めて飲み直した早子、ミカ、梅子は、莉々の言葉を受けて、お互いにこれ以上深入りしないようにしよう、と誓い合う。退屈な時間をともに過ごせる仲間がいると大概のことは満たされてしまって危険だというのだ。ミカは、さっそくスマホを取り出し、岡山にメッセージを送った。負けじと梅子も岡山にメッセージを送ろうとするが、何を書けばいいのかわからない。それからも飲み続け、すっかり酔ってしまう早子たち。岡山はミカが初めて連絡先を交換するほど本気の相手であることを察知した梅子は、自分は引くから頑張れ、と言ってミカを励ます。翌日、ミカは岡山に対して積極的に行動に出るが…。</t>
  </si>
  <si>
    <t>番組名&lt;木曜劇場&gt;早子先生、結婚するって本当ですか?　#07</t>
  </si>
  <si>
    <t>★番組公式HPはこちら　  http://www.fujitv.co.jp/hayako/　    ★Twitterも稼働中!　  https://twitter.com/Hayako_cx　    ★公式LINEも要チェック!　早子(松下奈緒)は、ミカ(貫地谷しほり)を自宅に招き、一緒にアイメイクの練習をしていた。そこに、多摩銀行の行員・香川優介(平岡祐太)が、秋祭りの相談をするために辰志(尾藤イサオ)を訪ねてくる。実は優介は、ミカの学生時代の先輩だった。思いがけない再会に驚くミカ。立木家を後にしたミカは、優介に誘われて食事に行く。  　別の日、早子たちは放課後を利用して運動会の準備を始める。そこに、本郷(山内圭哉)の妻・ゆきえ(川村ゆきえ)が差し入れを持ってやってきた。本郷は、元・グラビアアイドルの妻を早子たちに自慢したくて呼んだらしい。すると、ゆきえと一緒に、以前早子たちと合コンをした大学生・喜連川隼人(吉沢亮)も姿を現す。隼人はゆきえの従兄弟で、荷物持ちとして駆り出されたのだという。早子にもう一度会いたかったという隼人は、いきなり早子に結婚を申し込む。それを聞いて騒ぎ出す梅子(佐藤仁美)や千駄木(八嶋智人)たち。早子がプロポーズされた話は、すぐに辰志や尚子(松坂慶子)、風子(川栄李奈)にも伝わっていた。一方、優介とデートしたミカは、彼から交際を申し込まれ…。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</si>
  <si>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 xml:space="preserve">　早子(松下奈緒)は、ミカ(貫地谷しほり)を自宅に招き、一緒にアイメイクの練習をしていた。そこに、多摩銀行の行員・香川優介(平岡祐太)が、秋祭りの相談をするために辰志(尾藤イサオ)を訪ねてくる。実は優介は、ミカの学生時代の先輩だった。思いがけない再会に驚くミカ。立木家を後にしたミカは、優介に誘われて食事に行く。  　別の日、早子たちは放課後を利用して運動会の準備を始める。そこに、本郷(山内圭哉)の妻・ゆきえ(川村ゆきえ)が差し入れを持ってやってきた。本郷は、元・グラビアアイドルの妻を早子たちに自慢したくて呼んだらしい。すると、ゆきえと一緒に、以前早子たちと合コンをした大学生・喜連川隼人(吉沢亮)も姿を現す。隼人はゆきえの従兄弟で、荷物持ちとして駆り出されたのだという。早子にもう一度会いたかったという隼人は、いきなり早子に結婚を申し込む。それを聞いて騒ぎ出す梅子(佐藤仁美)や千駄木(八嶋智人)たち。早子がプロポーズされた話は、すぐに辰志や尚子(松坂慶子)、風子(川栄李奈)にも伝わっていた。一方、優介とデートしたミカは、彼から交際を申し込まれ…。</t>
  </si>
  <si>
    <t>番組名&lt;木曜劇場&gt;早子先生、結婚するって本当ですか?　#08</t>
  </si>
  <si>
    <t>★番組公式HPはこちら　  http://www.fujitv.co.jp/hayako/　    ★Twitterも稼働中!　  https://twitter.com/Hayako_cx　    ★公式LINEも要チェック!　早子(松下奈緒)は、三田凪太郎(吉岡秀隆)にメールを送った。だが、いつまで経っても凪太郎からの返信はなく、スマートフォンを確認してはため息をついていた。  　そんな中、早子たちの婚活同盟に、赤坂亜衣子(佐々木希)という新メンバーが加わることになった。亜衣子は、風子(川栄李奈)の夫の同僚で、最近、名古屋支社から東京の本社に異動してきたのだという。恋人がいない亜衣子は、婚活ではなく、恋愛をするための活動=“恋活"をしたいらしい。  　ある夜、早子は、婚活同盟のミカ(貫地谷しほり)、梅子(佐藤仁美)、千駄木(八嶋智人)、舞(舞羽美海)をカラオケに誘い、亜衣子を紹介する。そこで千駄木は、気さくで優しい亜衣子にあっという間に心を惹かれてしまう。  　数日後、早子たちは、自分から連絡する勇気がない千駄木をたきつけ、半ば強引に亜衣子に電話させるが…。  　一方、風子は、早子と凪太郎のメールのやり取りが止まっていることを知る。風子は、会いたいなら会いたいと送ればいいと言うと、早子のスマホを奪って凪太郎にメールを送ってしまう。松下奈緒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</si>
  <si>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 xml:space="preserve">　早子(松下奈緒)は、三田凪太郎(吉岡秀隆)にメールを送った。だが、いつまで経っても凪太郎からの返信はなく、スマートフォンを確認してはため息をついていた。  　そんな中、早子たちの婚活同盟に、赤坂亜衣子(佐々木希)という新メンバーが加わることになった。亜衣子は、風子(川栄李奈)の夫の同僚で、最近、名古屋支社から東京の本社に異動してきたのだという。恋人がいない亜衣子は、婚活ではなく、恋愛をするための活動=“恋活"をしたいらしい。  　ある夜、早子は、婚活同盟のミカ(貫地谷しほり)、梅子(佐藤仁美)、千駄木(八嶋智人)、舞(舞羽美海)をカラオケに誘い、亜衣子を紹介する。そこで千駄木は、気さくで優しい亜衣子にあっという間に心を惹かれてしまう。  　数日後、早子たちは、自分から連絡する勇気がない千駄木をたきつけ、半ば強引に亜衣子に電話させるが…。  　一方、風子は、早子と凪太郎のメールのやり取りが止まっていることを知る。風子は、会いたいなら会いたいと送ればいいと言うと、早子のスマホを奪って凪太郎にメールを送ってしまう。</t>
  </si>
  <si>
    <t>番組名&lt;木曜劇場&gt;早子先生、結婚するって本当ですか?　#09</t>
  </si>
  <si>
    <t>★番組公式HPはこちら　  http://www.fujitv.co.jp/hayako/　    ★Twitterも稼働中!　  https://twitter.com/Hayako_cx　    ★公式LINEも要チェック!　早子(松下奈緒)の元に、獣医の三田凪太郎(吉岡秀隆)が訪ねてきた。ちょうどそのタイミングで妊娠中の風子(川栄李奈)が破水し、尚子(松坂慶子)と辰志(尾藤イサオ)は大慌てで彼女を病院へと連れていく。早子は、気を遣って帰ろうとする凪太郎に、あと5分話したいと頼むと、「逢いたかったんです…」と続けた。その思いを受けとめる凪太郎。早子たちは、子どものころに好きだった給食の話や、初めて見た映画の話などをしながら、ふたりだけの時を過ごす。  　一方、ミカ(貫地谷しほり)は、合コンである男性と出会う。外資系の男性ばかりがそろった合コンに、祖父と行ったというリンゴ園のリンゴを持って遅れてやってきた京都在住の男、十条慎介(尾上松也)だった。ミカは、十条が京都に帰るという日に、一緒に食事に行った。そこでミカは、「例えば結婚をしてもいまの仕事は続けますか?」と十条に問われる。  　そんな中、思わぬ騒動が起きる。辰志が心臓疾患で緊急手術を受けることになったのだ。凪太郎が辰志の見舞いに来てくれたことを知った早子は、彼にお礼のメールをする。その際、早子は、凪太郎が来週にもまた海外に行ってしまうことを知り…。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</si>
  <si>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 xml:space="preserve">　早子(松下奈緒)の元に、獣医の三田凪太郎(吉岡秀隆)が訪ねてきた。ちょうどそのタイミングで妊娠中の風子(川栄李奈)が破水し、尚子(松坂慶子)と辰志(尾藤イサオ)は大慌てで彼女を病院へと連れていく。早子は、気を遣って帰ろうとする凪太郎に、あと5分話したいと頼むと、「逢いたかったんです…」と続けた。その思いを受けとめる凪太郎。早子たちは、子どものころに好きだった給食の話や、初めて見た映画の話などをしながら、ふたりだけの時を過ごす。  　一方、ミカ(貫地谷しほり)は、合コンである男性と出会う。外資系の男性ばかりがそろった合コンに、祖父と行ったというリンゴ園のリンゴを持って遅れてやってきた京都在住の男、十条慎介(尾上松也)だった。ミカは、十条が京都に帰るという日に、一緒に食事に行った。そこでミカは、「例えば結婚をしてもいまの仕事は続けますか?」と十条に問われる。  　そんな中、思わぬ騒動が起きる。辰志が心臓疾患で緊急手術を受けることになったのだ。凪太郎が辰志の見舞いに来てくれたことを知った早子は、彼にお礼のメールをする。その際、早子は、凪太郎が来週にもまた海外に行ってしまうことを知り…。</t>
  </si>
  <si>
    <t>1604_CX_土23</t>
  </si>
  <si>
    <t>火の粉</t>
  </si>
  <si>
    <t>番組名&lt;オトナの土ドラ&gt;火の粉【隣に引っ越してきた男。善意の殺人者!?】　#01</t>
  </si>
  <si>
    <t>['23', '00']</t>
  </si>
  <si>
    <t>オトナに向けた本格派ドラマ“オトナの土ドラ"第一作目は、手に汗握るせめぎ合いのハラハラ感!真相が明かされてゆくスリリングな謎解き!たたみ掛ける展開の心理サスペンスをお届けします。  　原作者・雫井脩介は、サスペンスフルかつ奥深いテーマを持つ『犯人に告ぐ』『クローズド・ノート』『ビター・ブラッド』など映像化作品も多く、数々の受賞歴を持つミステリー作家です。　『火の粉』。それは、人間の心の中に潜む、狂気の種。人は、人に裏切られたとき、その種が芽生え、善から悪に変わるのかもしれない…。閑静な住宅街の、隣に住む人の笑顔に隠された本性。それは狂気なのか…!?  ーーあなたのお隣さんは大丈夫ですか?ーー　「私は殺人鬼を無罪にして解き放ってしまったのだろうか…?」  　元裁判官の梶間勲とその家族の隣家に、2年前に勲が無罪判決を下した男、武内真伍が越してきた。愛嬌のある笑顔、気の利いた贈り物、老人介護の手伝い…。武内は溢れんばかりの善意で梶間家の人々の心をつかむ。しかし梶間家の周辺で次々と不可解な事件が起こるようになり…。武内真伍:　ユースケ・サンタマリア　  梶間雪見:　優香  　/　  梶間尋恵:　朝加真由美　  梶間俊郎:　大倉孝二  　/　  佐々木琴音:　木南晴夏　  池本亨:　佐藤隆太  　/　  梶間勲:　伊武雅刀【原作】  雫井脩介「火の粉」(幻冬舎文庫)　    【主題歌】  鈴木雅之「Melancholia」(作詞・作曲　松任谷由実)　    【脚本】  香坂隆史　  高橋悠也　    【演出】  森雅弘　  竹村謙太郎　    【プロデュース】  市野直親(東海テレビ)　  高橋史典(ケイファクトリー)　    【制作・著作】  ケイファクトリー　    【制作】  東海テレビ公式サイトやSNSなど、充実のウェブコンテンツは「オトナの土ドラ」で検索!!    ◆公式サイトURL◆  http://tokai-tv.com/hinoko/　    ◆公式ツイッター◆  @tokaitv_dodora　    YouTube東海テレビ公式チャンネルも好評配信中!</t>
  </si>
  <si>
    <t>オトナに向けた本格派ドラマ“オトナの土ドラ"第一作目は、手に汗握るせめぎ合いのハラハラ感!真相が明かされてゆくスリリングな謎解き!たたみ掛ける展開の心理サスペンスをお届けします。  　原作者・雫井脩介は、サスペンスフルかつ奥深いテーマを持つ『犯人に告ぐ』『クローズド・ノート』『ビター・ブラッド』など映像化作品も多く、数々の受賞歴を持つミステリー作家です。　『火の粉』。それは、人間の心の中に潜む、狂気の種。人は、人に裏切られたとき、その種が芽生え、善から悪に変わるのかもしれない…。閑静な住宅街の、隣に住む人の笑顔に隠された本性。それは狂気なのか…!?  ーーあなたのお隣さんは大丈夫ですか?ーー　「私は殺人鬼を無罪にして解き放ってしまったのだろうか…?」  　元裁判官の梶間勲とその家族の隣家に、2年前に勲が無罪判決を下した男、武内真伍が越してきた。愛嬌のある笑顔、気の利いた贈り物、老人介護の手伝い…。武内は溢れんばかりの善意で梶間家の人々の心をつかむ。しかし梶間家の周辺で次々と不可解な事件が起こるようになり…。</t>
  </si>
  <si>
    <t>番組名&lt;オトナの土ドラ&gt;火の粉【突然の家族の死…笑顔の奥に闇が潜む】　#02</t>
  </si>
  <si>
    <t>『拒絶された男』  武内(ユースケ・サンタマリア)が、勲(伊武雅刀)の母・曜子(星野晶子)の介護を始めてすぐ、曜子が不慮の事故で亡くなった。熱心に介護をしていた尋恵(朝加真由美)は喪失感に襲われるが、現状を理解してくれる武内への信頼は深まる。しかし勲は武内に通夜に来ないよう宣告。元裁判官と元被告が隣人同士、あらぬ誤解を生むとの説明に武内は切ない表情で納得する。『善人か、それとも悪魔か』  曜子の死に疑いを持つ人物がいた。以前、武内に注意するよう雪見(優香)に警告した、新聞記者の寺西と名乗る男(佐藤隆太)。武内が家に出入りし始めた直後の事故のことが気になっていた雪見は、武内が曜子を殺害したという寺西の推理に戸惑いながらも耳を傾ける。「奴は自分にとって邪魔な人間は、どんな手を使ってでも排除するんだ…。あいつは善人面で人を惹きつける悪魔のような奴なんです!」寺西の言葉が離れぬ雪見。帰宅した彼女を迎えたのは満面の笑顔を見せる武内だった。　  『夫が隠した真実』  再就職を目指す雪見の夫・俊郎(大倉孝二)に高級スーツを用意していた武内。遠慮なく受け取るよう勧めるが、雪見はどこかいい気がしない。その甲斐あってか順調に就職活動を進めていく俊郎。彼には雪見に隠していた重大な秘密があった。そのことを武内に打ち明ける俊郎。そして、武内がとった行動とは…?武内真吾:　ユースケ・サンタマリア　  梶間雪見:　優香  　・　  梶間尋恵:　朝加真由美　  梶間俊郎:　大倉孝二　  梶間まどか:　庄野凛　  関孝之助:　迫田孝也  　・　  佐々木琴音:　木南晴夏　  池本亨:　佐藤隆太  　・　  梶間勲:　伊武雅刀【原作】  雫井脩介「火の粉」(幻冬舎文庫)　    【主題歌】  鈴木雅之「Melancholia」(作詞・作曲　松任谷由実)　    【脚本】  香坂隆史　    【演出】  森雅弘　    【プロデュース】  市野直親(東海テレビ)　  高橋史典(ケイファクトリー)　    【音楽】  兼松衆　  大間々昴　    【制作・著作】  ケイファクトリー　    【制作】東海テレビ公式サイトやSNSなど、充実のウェブコンテンツは「オトナの土ドラ」で検索!!    ◆公式サイトURL◆  http://tokai-tv.com/hinoko/　    ◆公式ツイッター◆  @tokaitv_dodora　    YouTube東海テレビ公式チャンネルも好評配信中!</t>
  </si>
  <si>
    <t>『拒絶された男』  武内(ユースケ・サンタマリア)が、勲(伊武雅刀)の母・曜子(星野晶子)の介護を始めてすぐ、曜子が不慮の事故で亡くなった。熱心に介護をしていた尋恵(朝加真由美)は喪失感に襲われるが、現状を理解してくれる武内への信頼は深まる。しかし勲は武内に通夜に来ないよう宣告。元裁判官と元被告が隣人同士、あらぬ誤解を生むとの説明に武内は切ない表情で納得する。『善人か、それとも悪魔か』  曜子の死に疑いを持つ人物がいた。以前、武内に注意するよう雪見(優香)に警告した、新聞記者の寺西と名乗る男(佐藤隆太)。武内が家に出入りし始めた直後の事故のことが気になっていた雪見は、武内が曜子を殺害したという寺西の推理に戸惑いながらも耳を傾ける。「奴は自分にとって邪魔な人間は、どんな手を使ってでも排除するんだ…。あいつは善人面で人を惹きつける悪魔のような奴なんです!」寺西の言葉が離れぬ雪見。帰宅した彼女を迎えたのは満面の笑顔を見せる武内だった。　  『夫が隠した真実』  再就職を目指す雪見の夫・俊郎(大倉孝二)に高級スーツを用意していた武内。遠慮なく受け取るよう勧めるが、雪見はどこかいい気がしない。その甲斐あってか順調に就職活動を進めていく俊郎。彼には雪見に隠していた重大な秘密があった。そのことを武内に打ち明ける俊郎。そして、武内がとった行動とは…?</t>
  </si>
  <si>
    <t>番組名&lt;オトナの土ドラ&gt;火の粉【絶対に知られたくない過去】　#03</t>
  </si>
  <si>
    <t>『異変』  　武内(ユースケ・サンタマリア)は雪見(優香)の娘・まどか(庄野凛)に、特製の手作りジュースをふるまう。美味しそうに飲むまどかだが、それを見かけた雪見が血相を変えて飛び込んでくる。「勝手なことしないでもらえませんか…」そう言い放ち、雪見は武内からまどかを引き離す。しかし家に帰ると、まどかの腕には謎の痣があった…。『謎の男の正体』  　武内の恐ろしさについて雪見に何度も警告に来た、新聞記者の寺西という男(佐藤隆太)。彼の正体は、かつて武内が殺害したとされた的場一家の遺族、池本だった。武内の異常とも言える親切心に違和感を覚えていた雪見は、池本から彼が知る武内の全てを聞く。「裁判は誤審、武内はあなたがたの家族を次のターゲットにしている!」『雪見の過去』  　池本の一言に、雪見は激しく動揺し、ますます武内への疑念が募る。しかも、夜はまどかがなかなか寝付かず、寝不足な日々が続く。積もった鬱憤を琴音(木南晴夏)に話した帰り、梶間家では思いもかけぬ訪問者が待ち受けていた。やがて、雪見にとって絶対に触れられたくない、過去の秘密が暴かれてしまうことに…。武内真吾:　ユースケ・サンタマリア　  梶間雪見:　優香  　/　  梶間尋恵:　朝加真由美　  梶間俊郎:　大倉孝二　  梶間まどか:　庄野凛　  関孝之助:　迫田孝也  　/　  佐々木琴音:　木南晴夏　  池本亨:　佐藤隆太  　/　  梶間勲:　伊武雅刀【原作】  雫井脩介「火の粉」(幻冬舎文庫)　    【主題歌】  鈴木雅之「Melancholia」(作詞・作曲　松任谷由実)　    【脚本】  高橋悠也　    【演出】  森雅弘　  竹村謙太郎　    【プロデュース】  市野直親(東海テレビ)　  高橋史典(ケイファクトリー)　    【音楽】  兼松衆　  大間々昴　    【制作・著作】  ケイファクトリー　    【制作】  東海テレビ公式サイトやSNSなど、充実のウェブコンテンツは「オトナの土ドラ」で検索!!　    ◆公式サイトURL◆  http://tokai-tv.com/hinoko/　    ◆公式ツイッター◆  @tokaitv_dodora　    YouTube東海テレビ公式チャンネルも好評配信中!</t>
  </si>
  <si>
    <t>『異変』  　武内(ユースケ・サンタマリア)は雪見(優香)の娘・まどか(庄野凛)に、特製の手作りジュースをふるまう。美味しそうに飲むまどかだが、それを見かけた雪見が血相を変えて飛び込んでくる。「勝手なことしないでもらえませんか…」そう言い放ち、雪見は武内からまどかを引き離す。しかし家に帰ると、まどかの腕には謎の痣があった…。『謎の男の正体』  　武内の恐ろしさについて雪見に何度も警告に来た、新聞記者の寺西という男(佐藤隆太)。彼の正体は、かつて武内が殺害したとされた的場一家の遺族、池本だった。武内の異常とも言える親切心に違和感を覚えていた雪見は、池本から彼が知る武内の全てを聞く。「裁判は誤審、武内はあなたがたの家族を次のターゲットにしている!」『雪見の過去』  　池本の一言に、雪見は激しく動揺し、ますます武内への疑念が募る。しかも、夜はまどかがなかなか寝付かず、寝不足な日々が続く。積もった鬱憤を琴音(木南晴夏)に話した帰り、梶間家では思いもかけぬ訪問者が待ち受けていた。やがて、雪見にとって絶対に触れられたくない、過去の秘密が暴かれてしまうことに…。</t>
  </si>
  <si>
    <t>番組名&lt;オトナの土ドラ&gt;火の粉【全面対決】　#04</t>
  </si>
  <si>
    <t>◆家出◆  　知られたくない過去を暴かれ、身に覚えのない疑いをかけられてしまった雪見(優香)。梶間家を出て、親友の琴音(木南晴夏)のもとに身を寄せる。ますます武内(ユースケ・サンタマリア)への疑念は強まるが、なんと琴音はそんな武内に好意を抱いていた。そのころ武内家では、勲(伊武雅刀)や尋恵(朝加真由美)ら梶間家の面々を招いて、武内が豪勢な料理を振る舞っていた。その場で武内も琴音への思いを明かす。◆頼りになる男?◆  　雪見は的場一家殺害事件の遺族・池本(佐藤隆太)に現状を相談。「武内の仕業だ!」そう断言し雪見への協力を約束する。一方、勲も雪見の立場を心配し家に戻ってくるよう声をかける。その優しさにほだされる雪見。しかし勲の何気ない一言で雪見の態度は硬直する。「本当は武内さんのこと、なんとなく怪しいって思ってるんじゃないですか?」雪見に核心を突かれた勲は必死で否定するが心中穏やかでは無い。◆対決◆  　勲への失望から落ち込む雪見。そこへ池本から、武内を追い込むことができる証拠を得たと連絡があった。自らの潔白を証明したい雪見と、武内に復讐したい池本。2人がとった手段は、一緒に梶間家へ乗り込み、家族を説得することだった。しかし事態は思いもよらぬ方向へ転がることとなる…。武内真伍:　ユースケ・サンタマリア　  梶間雪見:　優香  　/　  梶間尋恵:　朝加真由美　  梶間俊郎:　大倉孝二　  梶間まどか:　庄野凛　  関孝之助:　迫田孝也  　/　  佐々木琴音:　木南晴夏　  池本亨:　佐藤隆太  　/　  梶間勲:　伊武雅刀【原作】  雫井脩介「火の粉」(幻冬舎文庫)　    【主題歌】  鈴木雅之「Melancholia」(作詞・作曲　松任谷由実)　    【脚本】  高橋悠也　    【演出】  竹村謙太郎　    【プロデュース】  市野直親(東海テレビ)　  高橋史典(ケイファクトリー)　    【音楽】  兼松衆　  大間々昴　    【制作・著作】  ケイファクトリー　    【制作】東海テレビ公式サイトやSNSなど、充実のウェブコンテンツは「オトナの土ドラ」で検索!!    ◆公式サイトURL◆  http://tokai-tv.com/hinoko/　    ◆公式ツイッター◆  @tokaitv_dodora　    YouTube東海テレビ公式チャンネルも好評配信中!</t>
  </si>
  <si>
    <t>◆家出◆  　知られたくない過去を暴かれ、身に覚えのない疑いをかけられてしまった雪見(優香)。梶間家を出て、親友の琴音(木南晴夏)のもとに身を寄せる。ますます武内(ユースケ・サンタマリア)への疑念は強まるが、なんと琴音はそんな武内に好意を抱いていた。そのころ武内家では、勲(伊武雅刀)や尋恵(朝加真由美)ら梶間家の面々を招いて、武内が豪勢な料理を振る舞っていた。その場で武内も琴音への思いを明かす。◆頼りになる男?◆  　雪見は的場一家殺害事件の遺族・池本(佐藤隆太)に現状を相談。「武内の仕業だ!」そう断言し雪見への協力を約束する。一方、勲も雪見の立場を心配し家に戻ってくるよう声をかける。その優しさにほだされる雪見。しかし勲の何気ない一言で雪見の態度は硬直する。「本当は武内さんのこと、なんとなく怪しいって思ってるんじゃないですか?」雪見に核心を突かれた勲は必死で否定するが心中穏やかでは無い。◆対決◆  　勲への失望から落ち込む雪見。そこへ池本から、武内を追い込むことができる証拠を得たと連絡があった。自らの潔白を証明したい雪見と、武内に復讐したい池本。2人がとった手段は、一緒に梶間家へ乗り込み、家族を説得することだった。しかし事態は思いもよらぬ方向へ転がることとなる…。</t>
  </si>
  <si>
    <t>番組名世界ふしぎ発見！火の島ジャワ　火山遺跡ボロブドゥールの謎</t>
  </si>
  <si>
    <t>【司会】  草野仁  【MCアシスタント】  出水麻衣（TBSアナウンサー）  【解答者】  黒柳徹子　野々村真　デーモン閣下　宍戸開　篠原ともえ　鈴木ちなみ  【ミステリーハンター】  野々すみ花視聴者プレゼントの応募は、電話とHPから。抽選で豪華賞品とクリスタルヒトシ君が当たります。全問正解者が出た場合のみ、海外旅行プレゼントもあります。  ◇番組HP  http://www.tbs.co.jp/f-hakken/  テレビマンユニオン番組の内容と放送時間は、変更になる場合があります。</t>
  </si>
  <si>
    <t>番組名&lt;オトナの土ドラ&gt;火の粉【そして、また一人消える…。】　#05</t>
  </si>
  <si>
    <t>◆失踪◆  武内(ユースケ・サンタマリア)の罪を暴こうとし、失敗した池本(佐藤隆太)が失踪。妻・杏子(酒井若菜)は、池本は武内に殺され、遺体が武内家の中にあると主張。深夜に武内が大きなスーツケースを運び入れるのを目撃していた勲(伊武雅刀)は、言葉を失う。一方、梶間家へと戻った雪見(優香)は、以前の生活を取り戻しつつあった。雪見と武内の微妙な距離感を気にしていた琴音(木南晴夏)は、これまで以上に武内との関係を深めていく。しかし雪見は、琴音の顔の痣に気付く。  ◆判決の苦悩◆  武内にすっかり心酔している俊郎(大倉孝二)は、勲の裁判官時代の苦労話を彼に聞かせる。勲は武内の裁判よりも前に一度だけ死刑判決を言い渡し、その責任の重圧から胃潰瘍となり、休職したことがあった。実は勲は、武内のことを信じたのではなく、単に誰かを死刑にするのが嫌だったのではないか…俊郎の見立てに武内は…。  ◆恐怖のネクタイ◆「今日は記念日です」梶間家を訪れた武内は、そう言って姿勢を正す。2年前、勲が無罪を言い渡した日だった。感謝の言葉とともに武内が取り出したのは、1本のネクタイ。これに勲は激しく狼狽える。かつて、武内が一家を殺害した動機とされたのが“彼の贈ったネクタイを相手が気に入らなかったから"。自分が裁いた凄惨な事件と似た状況に追い込まれた勲は、意を決して武内の家に忍び込み、件のスーツケースを開けようとするが…。武内真伍:　ユースケ・サンタマリア　  梶間雪見:　優香  　/　  梶間尋恵:　朝加真由美　  梶間俊郎:　大倉孝二  　/　  佐々木琴音:　木南晴夏　  池本亨:　佐藤隆太  　/　  梶間勲:　伊武雅刀【原作】  雫井脩介「火の粉」(幻冬舎文庫)　    【主題歌】  鈴木雅之「Melancholia」(作詞・作曲　松任谷由実)　    【脚本】  香坂隆史　  高橋悠也　    【演出】  森雅弘　  竹村謙太郎　    【プロデュース】  市野直親(東海テレビ)　  高橋史典(ケイファクトリー)　    【制作・著作】  ケイファクトリー　    【制作】東海テレビ公式サイトやSNSなど、充実のウェブコンテンツは「オトナの土ドラ」で検索!!    ◆公式サイトURL◆  http://tokai-tv.com/hinoko/　    ◆公式ツイッター◆  @tokaitv_dodora　    YouTube東海テレビ公式チャンネルも好評配信中!</t>
  </si>
  <si>
    <t>◆失踪◆  武内(ユースケ・サンタマリア)の罪を暴こうとし、失敗した池本(佐藤隆太)が失踪。妻・杏子(酒井若菜)は、池本は武内に殺され、遺体が武内家の中にあると主張。深夜に武内が大きなスーツケースを運び入れるのを目撃していた勲(伊武雅刀)は、言葉を失う。一方、梶間家へと戻った雪見(優香)は、以前の生活を取り戻しつつあった。雪見と武内の微妙な距離感を気にしていた琴音(木南晴夏)は、これまで以上に武内との関係を深めていく。しかし雪見は、琴音の顔の痣に気付く。  ◆判決の苦悩◆  武内にすっかり心酔している俊郎(大倉孝二)は、勲の裁判官時代の苦労話を彼に聞かせる。勲は武内の裁判よりも前に一度だけ死刑判決を言い渡し、その責任の重圧から胃潰瘍となり、休職したことがあった。実は勲は、武内のことを信じたのではなく、単に誰かを死刑にするのが嫌だったのではないか…俊郎の見立てに武内は…。  ◆恐怖のネクタイ◆「今日は記念日です」梶間家を訪れた武内は、そう言って姿勢を正す。2年前、勲が無罪を言い渡した日だった。感謝の言葉とともに武内が取り出したのは、1本のネクタイ。これに勲は激しく狼狽える。かつて、武内が一家を殺害した動機とされたのが“彼の贈ったネクタイを相手が気に入らなかったから"。自分が裁いた凄惨な事件と似た状況に追い込まれた勲は、意を決して武内の家に忍び込み、件のスーツケースを開けようとするが…。</t>
  </si>
  <si>
    <t>番組名&lt;オトナの土ドラ&gt;火の粉【愛の説教部屋】　#07</t>
  </si>
  <si>
    <t>「2016リオ五輪　バレーボール世界最終予選　女子日本×ペルー」延長の際、放送時間繰り下げの場合あり。◆恐怖のマッサージチェア◆  梶間家では、尋恵(朝加真由美)が新品のマッサージチェアに満足そうな様子で座っていた。それは武内(ユースケ・サンタマリア)からのプレゼント。居間に鎮座する大きなマッサージチェアを俊郎(大倉孝二)が邪魔扱いし、空き部屋にチェアを移動させてしまう。それを武内に見られてしまった勲は必死に弁解するが…。「お気に召しませんか?」武内の目に、勲は戦慄する。◆ヨーロッパ出張◆  仕事の都合で、1週間ほどヨーロッパに出張に行くという武内。その留守を狙い、雪見(優香)と勲は、武内の本性を知らない尋恵と俊郎に、事実を告げる。「もし武内の好意を無下にすれば…皆殺しにされるんだ。的場さん一家のように!」しかし、その事実を知らされた尋恵は、思わぬ反応を見せる。◆個人面接◆  危機を迎えた梶間家に、再び武内が現れる。「放っておけるわけがない!皆さん一人一人と話をさせてください!」家族それぞれの思いを吐き出させるため、一人ずつ奥の部屋に呼び出し、話を聞く武内。しかし、その真の目的は…?武内真伍:　ユースケ・サンタマリア　  梶間雪見:　優香  　/　  梶間尋恵:　朝加真由美　  梶間俊郎:　大倉孝二  　/　  佐々木琴音:　木南晴夏　  池本亨:　佐藤隆太  　/　  梶間勲:　伊武雅刀【原作】  雫井脩介「火の粉」(幻冬舎文庫)　    【主題歌】  鈴木雅之「Melancholia」(作詞・作曲　松任谷由実)　    【脚本】  香坂隆史　  高橋悠也　    【演出】  森雅弘　  竹村謙太郎　    【プロデュース】  市野直親(東海テレビ)　  高橋史典(ケイファクトリー)　    【制作・著作】  ケイファクトリー　    【制作】東海テレビ公式サイトやSNSなど、充実のウェブコンテンツは「オトナの土ドラ」で検索!!    ◆公式サイトURL◆  http://tokai-tv.com/hinoko/　    ◆公式ツイッター◆  @tokaitv_dodora　    YouTube東海テレビ公式チャンネルも好評配信中!</t>
  </si>
  <si>
    <t>◆恐怖のマッサージチェア◆  梶間家では、尋恵(朝加真由美)が新品のマッサージチェアに満足そうな様子で座っていた。それは武内(ユースケ・サンタマリア)からのプレゼント。居間に鎮座する大きなマッサージチェアを俊郎(大倉孝二)が邪魔扱いし、空き部屋にチェアを移動させてしまう。それを武内に見られてしまった勲は必死に弁解するが…。「お気に召しませんか?」武内の目に、勲は戦慄する。◆ヨーロッパ出張◆  仕事の都合で、1週間ほどヨーロッパに出張に行くという武内。その留守を狙い、雪見(優香)と勲は、武内の本性を知らない尋恵と俊郎に、事実を告げる。「もし武内の好意を無下にすれば…皆殺しにされるんだ。的場さん一家のように!」しかし、その事実を知らされた尋恵は、思わぬ反応を見せる。◆個人面接◆  危機を迎えた梶間家に、再び武内が現れる。「放っておけるわけがない!皆さん一人一人と話をさせてください!」家族それぞれの思いを吐き出させるため、一人ずつ奥の部屋に呼び出し、話を聞く武内。しかし、その真の目的は…?</t>
  </si>
  <si>
    <t>番組名&lt;オトナの土ドラ&gt;火の粉【最後の晩餐】　#09</t>
  </si>
  <si>
    <t>◆心のこもった贈り物◆  武内(ユースケ・サンタマリア)と雪見(優香)の目の前で、池本(佐藤隆太)が琴音(木南晴夏)に刺し殺された。事件を目撃した雪見は、警察から事情を聴かれることに。その後武内は、引っ越してきた初日のように、たくさんの品物を携えて梶間家を訪問する。しかし、勲(伊武雅刀)、尋恵(朝加真由美)、俊郎(大倉孝二)は、拒絶の眼差しを向ける。「皆さんとやり直す、これが最後のチャンスだったんです!」泣き出すまどか(庄野凛)に武内はすがるように近づくが…    ◆“再審"◆  梶間家の奥の部屋で、武内は椅子に縛られていた。その目の前にいたのは、勲。「開廷します」狂気に駆られた目でそう宣言する。かつての的場一家、勲の母、関弁護士(迫田孝也)、そして琴音の元夫(渋江譲二)…。勲は武内を、彼ら全員に対する殺人の罪で、私的に裁こうと考えていた。勲になら何をされても後悔はないと吐露する。そんな武内に勲が言い渡した判決は…    ◆最後の晩餐◆  過去の罪を認め、警察に行くことを決意。しかしその前に、どうしても梶間家で最後に食事がしたいと懇願する。その気持ちを受け入れる雪見と尋恵。料理を梶間家で作ることを条件に、最後の晩餐を受け入れる。その夜…手作りのバウムクーヘンを手に真剣な表情で訪れる殺人犯。それぞれの思惑は…?響き渡るのは食器の音のみ。世にも奇妙な、最後の晩餐が始まった…。武内真伍:　ユースケ・サンタマリア　  梶間雪見:　優香  　/　  梶間尋恵:　朝加真由美　  梶間俊郎:　大倉孝二  　/　  佐々木琴音:　木南晴夏  　/　  梶間勲:　伊武雅刀【原作】  雫井脩介「火の粉」(幻冬舎文庫)　    【主題歌】  鈴木雅之「Melancholia」(作詞・作曲　松任谷由実)　    【脚本】  香坂隆史　  高橋悠也　    【演出】  森雅弘　  竹村謙太郎　    【プロデュース】  市野直親(東海テレビ)　  高橋史典(ケイファクトリー)　    【制作・著作】  ケイファクトリー　    【制作】東海テレビ公式サイトやSNSなど、充実のウェブコンテンツは「オトナの土ドラ」で検索!!    ◆公式サイトURL◆  http://tokai-tv.com/hinoko/　    ◆公式ツイッター◆  @tokaitv_dodora　    YouTube東海テレビ公式チャンネルも好評配信中!</t>
  </si>
  <si>
    <t>◆心のこもった贈り物◆  武内(ユースケ・サンタマリア)と雪見(優香)の目の前で、池本(佐藤隆太)が琴音(木南晴夏)に刺し殺された。事件を目撃した雪見は、警察から事情を聴かれることに。その後武内は、引っ越してきた初日のように、たくさんの品物を携えて梶間家を訪問する。しかし、勲(伊武雅刀)、尋恵(朝加真由美)、俊郎(大倉孝二)は、拒絶の眼差しを向ける。「皆さんとやり直す、これが最後のチャンスだったんです!」泣き出すまどか(庄野凛)に武内はすがるように近づくが…    ◆“再審"◆  梶間家の奥の部屋で、武内は椅子に縛られていた。その目の前にいたのは、勲。「開廷します」狂気に駆られた目でそう宣言する。かつての的場一家、勲の母、関弁護士(迫田孝也)、そして琴音の元夫(渋江譲二)…。勲は武内を、彼ら全員に対する殺人の罪で、私的に裁こうと考えていた。勲になら何をされても後悔はないと吐露する。そんな武内に勲が言い渡した判決は…    ◆最後の晩餐◆  過去の罪を認め、警察に行くことを決意。しかしその前に、どうしても梶間家で最後に食事がしたいと懇願する。その気持ちを受け入れる雪見と尋恵。料理を梶間家で作ることを条件に、最後の晩餐を受け入れる。その夜…手作りのバウムクーヘンを手に真剣な表情で訪れる殺人犯。それぞれの思惑は…?響き渡るのは食器の音のみ。世にも奇妙な、最後の晩餐が始まった…。</t>
  </si>
  <si>
    <t>1601_CX_月21</t>
  </si>
  <si>
    <t>いつかこの恋を…</t>
  </si>
  <si>
    <t>番組名いつかこの恋を思い出してきっと泣いてしまう【有村架純、恋が始まる】　#01</t>
  </si>
  <si>
    <t>幼いころに女手ひとつで育ててくれた母を亡くした杉原音(有村架純)は、育ての親である林田雅彦(柄本明)・知恵(大谷直子)夫妻のもと、北海道のさびれた町で暮らしていた。雅彦は音を家政婦扱いし、寝たきりになった知恵は音の介護がなければ暮らせない状態だった。音は、「あきらめること」を教え込まれてきたため、そんな状況をただただ受け入れて生きていた。  　曽田練(高良健吾)は東京の運送会社で引っ越しの仕事に就いていた。福島で、農業に従事する祖父・健二(田中泯)に育てられた練は、人を疑うことを知らない。健二がだまし取られた畑を買い戻すために上京した練は、運送会社の先輩たちからひどくこき使われ、毎日へとへとになるまで働いていた。給料は安く、貯金などできないまま、古ぼけたアパートで苦しい生活を送っている。そんな練には日向木穂子(高畑充希)という恋人がいた。練のアパートに日常的に泊まっている木穂子は、何かとだまされがちで借金を作ってしまう練に金の工面もしていた。練は、困惑しながらもそれを拒絶することができない。  　ある日、練は、悪友の中條晴太(坂口健太郎)が、旅先の北海道で拾ったというカバンの中から古ぼけた手紙を見つける。「音へ」と書かれたその手紙を読んだ練は、これは絶対に持ち主に返さなければならないと強く感じ、会社のトラックを飛ばして北海道へと向かう…。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並木道子　    【音楽】  得田真裕　    【主題歌】  手嶌葵「明日への手紙」(ビクターエンタテインメント)★「いつ恋」公式番組ホームページ★　  http://www.fujitv.co.jp/itsu_koi/　    ドラマの最新情報をお届けしています!  ★「いつ恋」公式twitter★　  @itsu_koi　で検索して下さい!  有村架純、高良健吾、高畑充希、西島隆弘(AAA)、森川葵、坂口健太郎といった出演者本人がツイートすることも!要チェック!!</t>
  </si>
  <si>
    <t>幼いころに女手ひとつで育ててくれた母を亡くした杉原音(有村架純)は、育ての親である林田雅彦(柄本明)・知恵(大谷直子)夫妻のもと、北海道のさびれた町で暮らしていた。雅彦は音を家政婦扱いし、寝たきりになった知恵は音の介護がなければ暮らせない状態だった。音は、「あきらめること」を教え込まれてきたため、そんな状況をただただ受け入れて生きていた。  　曽田練(高良健吾)は東京の運送会社で引っ越しの仕事に就いていた。福島で、農業に従事する祖父・健二(田中泯)に育てられた練は、人を疑うことを知らない。健二がだまし取られた畑を買い戻すために上京した練は、運送会社の先輩たちからひどくこき使われ、毎日へとへとになるまで働いていた。給料は安く、貯金などできないまま、古ぼけたアパートで苦しい生活を送っている。そんな練には日向木穂子(高畑充希)という恋人がいた。練のアパートに日常的に泊まっている木穂子は、何かとだまされがちで借金を作ってしまう練に金の工面もしていた。練は、困惑しながらもそれを拒絶することができない。  　ある日、練は、悪友の中條晴太(坂口健太郎)が、旅先の北海道で拾ったというカバンの中から古ぼけた手紙を見つける。「音へ」と書かれたその手紙を読んだ練は、これは絶対に持ち主に返さなければならないと強く感じ、会社のトラックを飛ばして北海道へと向かう…。</t>
  </si>
  <si>
    <t>番組名いつかこの恋を思い出してきっと泣いてしまう【有村架純・高良健吾主演】　#02</t>
  </si>
  <si>
    <t>音(有村架純)が東京に来てから1年が過ぎた。雪が谷大塚駅から徒歩20分の古いアパートを借りた音は、介護施設『春寿の杜』で働き始める。出勤前と帰宅途中、音は駅前に立って練(高良健吾)を探していたが、あの日以来、一度も会えずにいた。  　練は、出勤前にひとり暮らしの静恵(八千草薫)の家に立ち寄るのが日課だった。静恵の家は練や晴太(坂口健太郎)らのたまり場になっており、練は庭の手入れなどを手伝っていた。そこで練は、デザイナーになる夢をかなえるために上京してきた幼なじみの小夏(森川葵)を晴太に紹介する。  　引っ越し作業中、練たちは、荷物の中にあったビンテージのスピーカーを壊してしまう。先輩の佐引(高橋一生)がいい加減な扱いをしたせいだった。だが、柿谷運送社長の嘉美(松田美由紀)は、スピーカーを設置した練にその弁償を命じる。　音は、毎日ヘトヘトになるまで働いていた。早番だった日に、同僚の玲美(永野芽郁)の代役でそのまま遅番として働く日もあった。そんな折、音の前に、『春寿の杜』を経営しているグループ企業の御曹司・朝陽(西島隆弘)が現れる。朝陽は、音に興味を抱き…。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並木道子　    【音楽】  得田真裕　    【主題歌】  手嶌葵「明日への手紙」(ビクターエンタテインメント)　    【制作】  フジテレビドラマ制作センター★公式番組ホームページ★　  http://www.fujitv.co.jp/itsu_koi/　  ★公式twitter★　  @itsu_koi　で検索して下さい!  ★公式LINE★  LINE公式アカウントで「いつ恋」を検索して下さい!  番組の最新情報、現場で撮った秘蔵写真も満載!有村架純、高良健吾、高畑充希、西島隆弘(AAA)、森川葵、坂口健太郎といった出演者本人がアップすることも!要チェック!!</t>
  </si>
  <si>
    <t>音(有村架純)が東京に来てから1年が過ぎた。雪が谷大塚駅から徒歩20分の古いアパートを借りた音は、介護施設『春寿の杜』で働き始める。出勤前と帰宅途中、音は駅前に立って練(高良健吾)を探していたが、あの日以来、一度も会えずにいた。  　練は、出勤前にひとり暮らしの静恵(八千草薫)の家に立ち寄るのが日課だった。静恵の家は練や晴太(坂口健太郎)らのたまり場になっており、練は庭の手入れなどを手伝っていた。そこで練は、デザイナーになる夢をかなえるために上京してきた幼なじみの小夏(森川葵)を晴太に紹介する。  　引っ越し作業中、練たちは、荷物の中にあったビンテージのスピーカーを壊してしまう。先輩の佐引(高橋一生)がいい加減な扱いをしたせいだった。だが、柿谷運送社長の嘉美(松田美由紀)は、スピーカーを設置した練にその弁償を命じる。　音は、毎日ヘトヘトになるまで働いていた。早番だった日に、同僚の玲美(永野芽郁)の代役でそのまま遅番として働く日もあった。そんな折、音の前に、『春寿の杜』を経営しているグループ企業の御曹司・朝陽(西島隆弘)が現れる。朝陽は、音に興味を抱き…。</t>
  </si>
  <si>
    <t>番組名いつかこの恋を思い出してきっと泣いてしまう【突然のキス、幸せな一日】　#03</t>
  </si>
  <si>
    <t>音(有村架純)は練(高良健吾)と再会を果たす。音は、練から携帯電話の番号を教えてもらっていた。  　木穂子(高畑充希)は、練のために調理器具や食器、部屋のカーテンなどを買いそろえる。練の部屋を訪れた木穂子は、勤務している広告代理店で自分の企画が通った、と報告する。練は、それを聞いて喜んだ。  　ある日、音は、勤めている介護施設『春寿の杜』で再び朝陽(西島隆弘)と顔を合わせる。朝陽は、本社から派遣されてこの春寿の杜で働くことになったのだという。夜勤を終え、静恵(八千草薫)の家に立ち寄ろうとした音は、木穂子と一緒にいる練に出会う。練は、付き合っている人、と言って木穂子を音に紹介した。音と別れた後、練は、「俺だけを見てくれないかな」といって木穂子に交際を申し込む。木穂子は、気持ちは嬉しい、と応えるが…。　一方、小夏(森川葵)は、晴太(坂口健太郎)に連れられて、ヘアサロンやセレクトショップを訪れる。その際、小夏は、晴太から“儲かるバイト"を紹介してもらう。  　そんななか、練は、木穂子にメールをして食事に誘う。金券ショップでプラネタリウムのチケットを買い、木穂子を待つ練。しかし、何故か彼女は現れなかった。諦めてバスに乗った練は、そこで仕事帰りの音と一緒になり…。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並木道子　    【音楽】  得田真裕　    【主題歌】  手嶌葵「明日への手紙」(ビクターエンタテインメント)　    【制作】  フジテレビドラマ制作センター★「いつ恋」公式番組ホームページ★　  http://www.fujitv.co.jp/itsu_koi/　    ドラマの最新情報をお届けしています!  ★「いつ恋」公式twitter★　  @itsu_koi　で検索して下さい!  有村架純、高良健吾、高畑充希、西島隆弘(AAA)、森川葵、坂口健太郎といった出演者本人がツイートすることも!要チェック!!</t>
  </si>
  <si>
    <t>音(有村架純)は練(高良健吾)と再会を果たす。音は、練から携帯電話の番号を教えてもらっていた。  　木穂子(高畑充希)は、練のために調理器具や食器、部屋のカーテンなどを買いそろえる。練の部屋を訪れた木穂子は、勤務している広告代理店で自分の企画が通った、と報告する。練は、それを聞いて喜んだ。  　ある日、音は、勤めている介護施設『春寿の杜』で再び朝陽(西島隆弘)と顔を合わせる。朝陽は、本社から派遣されてこの春寿の杜で働くことになったのだという。夜勤を終え、静恵(八千草薫)の家に立ち寄ろうとした音は、木穂子と一緒にいる練に出会う。練は、付き合っている人、と言って木穂子を音に紹介した。音と別れた後、練は、「俺だけを見てくれないかな」といって木穂子に交際を申し込む。木穂子は、気持ちは嬉しい、と応えるが…。　一方、小夏(森川葵)は、晴太(坂口健太郎)に連れられて、ヘアサロンやセレクトショップを訪れる。その際、小夏は、晴太から“儲かるバイト"を紹介してもらう。  　そんななか、練は、木穂子にメールをして食事に誘う。金券ショップでプラネタリウムのチケットを買い、木穂子を待つ練。しかし、何故か彼女は現れなかった。諦めてバスに乗った練は、そこで仕事帰りの音と一緒になり…。</t>
  </si>
  <si>
    <t>番組名いつかこの恋を思い出してきっと泣いてしまう【涙の告白、切なさの連鎖】　#04</t>
  </si>
  <si>
    <t>練(高良健吾)は、退院することになった木穂子(高畑充希)に会うために病院を訪れる。木穂子は、迎えに来る母親と一緒に、しばらくの間帰省することになっていた。木穂子は、不倫相手とはもう会わないと練に約束する。練は、そんな木穂子を温かく受け入れる。  　音(有村架純)は、朝陽(西島隆弘)が心配するほど働き詰めだった。ある日、仕事帰りの音はバスの中で練と会った。しかし、彼の態度は何故かそっけなかった。  　柿谷運送の給料日、佐引(高橋一生)は、加持(森岡龍)や練から金を借りようとしてトラブルを起こす。手取りが減り、小学校に入学する息子の養育費が払えないらしい。  　一方、小夏(森川葵)は、モデル事務所からスカウトされたことを練や晴太(坂口健太郎)に報告する。契約金をもらえて、青山にマンションも借りてくれるのだという。　ある朝、出勤するためにバスを待っていた音は、練と出会う。そのバスの中で、泣きだした幼児をめぐって乗客同士が口論になった。いたたまれなくなった音は、助けを求めるように練の方を見た。しかし練は、目をそらすだけで…。騒動も収まり、停留場でバスを降りようとする練。そのとき、目を閉じて座っていた音の手から荷物が落ち、彼女はそのまま座席に倒れ込んでしまう。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並木道子　    【音楽】  得田真裕　    【主題歌】  手嶌葵「明日への手紙」(ビクターエンタテインメント)　    【制作】  フジテレビドラマ制作センター★公式番組ホームページ★　  http://www.fujitv.co.jp/itsu_koi/　  ★公式twitter★　  @itsu_koi　で検索して下さい!  ★公式LINE★  LINE公式アカウントで「いつ恋」を検索して下さい!  番組の最新情報、現場で撮った秘蔵写真も満載!有村架純、高良健吾、高畑充希、西島隆弘(AAA)、森川葵、坂口健太郎といった出演者本人がアップすることも!要チェック!!</t>
  </si>
  <si>
    <t>練(高良健吾)は、退院することになった木穂子(高畑充希)に会うために病院を訪れる。木穂子は、迎えに来る母親と一緒に、しばらくの間帰省することになっていた。木穂子は、不倫相手とはもう会わないと練に約束する。練は、そんな木穂子を温かく受け入れる。  　音(有村架純)は、朝陽(西島隆弘)が心配するほど働き詰めだった。ある日、仕事帰りの音はバスの中で練と会った。しかし、彼の態度は何故かそっけなかった。  　柿谷運送の給料日、佐引(高橋一生)は、加持(森岡龍)や練から金を借りようとしてトラブルを起こす。手取りが減り、小学校に入学する息子の養育費が払えないらしい。  　一方、小夏(森川葵)は、モデル事務所からスカウトされたことを練や晴太(坂口健太郎)に報告する。契約金をもらえて、青山にマンションも借りてくれるのだという。　ある朝、出勤するためにバスを待っていた音は、練と出会う。そのバスの中で、泣きだした幼児をめぐって乗客同士が口論になった。いたたまれなくなった音は、助けを求めるように練の方を見た。しかし練は、目をそらすだけで…。騒動も収まり、停留場でバスを降りようとする練。そのとき、目を閉じて座っていた音の手から荷物が落ち、彼女はそのまま座席に倒れ込んでしまう。</t>
  </si>
  <si>
    <t>番組名いつかこの恋を思い出してきっと泣いてしまう【第一部完結!運命の日】　#05</t>
  </si>
  <si>
    <t>音(有村架純)は、朝陽(西島隆弘)に誘われて屋上へ行く。朝陽が用意した望遠鏡で一緒に星を見るふたり。そこで朝陽は、僕のことを好きになれば両想いをあげられる、と彼女に気持ちを伝える。  　小夏(森川葵)が練(高良健吾)に思いを寄せていることを知る晴太(坂口健太郎)は、その恋をかなえてあげる、と言い出す。晴太は、練が地元に帰りたくなるようにすればいい、と小夏に助言した。　音は、仕事帰りのバスの中で練と出会う。練は木穂子(高畑充希)と一緒だった。音はバスを降りた練と木穂子が腕を組んで歩いていく後姿をせつなく見つめる。  　練たちがアパートに着くと、部屋の中には小夏と晴太がいた。そこで小夏は、会津で暮らす練の祖父・健二(田中泯)が転倒してケガをしたことを伝える。練は、商店街もなくなってしまったために健二が買い物にも苦労していることを知り、ショックを受ける。　音と玲美(永野芽郁)は、介護施設「春寿の杜」を経営する会社から、雇用契約の更新はしないという旨のメールを受ける。ふたりは、「春寿の杜」所長の神部(浦井健治)と話し合うものの、状況は変わるはずもなかった。  　そんななか、犬の散歩のために静恵(八千草薫)の家を訪れた音は、練と出会う。そこで音は、健二のケガの事を知り…。杉原音: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並木道子　    【音楽】  得田真裕　    【主題歌】  手嶌葵「明日への手紙」(ビクターエンタテインメント)　    【制作】  フジテレビドラマ制作センター★公式番組ホームページ★　  http://www.fujitv.co.jp/itsu_koi/　  ★公式twitter★　  @itsu_koi　で検索して下さい!  ★公式LINE★  LINE公式アカウントで「いつ恋」を検索して下さい!  番組の最新情報、現場で撮った秘蔵写真も満載!有村架純、高良健吾、高畑充希、西島隆弘(AAA)、森川葵、坂口健太郎といった出演者本人がアップすることも!要チェック!!</t>
  </si>
  <si>
    <t>音(有村架純)は、朝陽(西島隆弘)に誘われて屋上へ行く。朝陽が用意した望遠鏡で一緒に星を見るふたり。そこで朝陽は、僕のことを好きになれば両想いをあげられる、と彼女に気持ちを伝える。  　小夏(森川葵)が練(高良健吾)に思いを寄せていることを知る晴太(坂口健太郎)は、その恋をかなえてあげる、と言い出す。晴太は、練が地元に帰りたくなるようにすればいい、と小夏に助言した。　音は、仕事帰りのバスの中で練と出会う。練は木穂子(高畑充希)と一緒だった。音はバスを降りた練と木穂子が腕を組んで歩いていく後姿をせつなく見つめる。  　練たちがアパートに着くと、部屋の中には小夏と晴太がいた。そこで小夏は、会津で暮らす練の祖父・健二(田中泯)が転倒してケガをしたことを伝える。練は、商店街もなくなってしまったために健二が買い物にも苦労していることを知り、ショックを受ける。　音と玲美(永野芽郁)は、介護施設「春寿の杜」を経営する会社から、雇用契約の更新はしないという旨のメールを受ける。ふたりは、「春寿の杜」所長の神部(浦井健治)と話し合うものの、状況は変わるはずもなかった。  　そんななか、犬の散歩のために静恵(八千草薫)の家を訪れた音は、練と出会う。そこで音は、健二のケガの事を知り…。</t>
  </si>
  <si>
    <t>番組名いつかこの恋を思い出してきっと泣いてしまう【衝撃の第二章、スタート】　#06</t>
  </si>
  <si>
    <t>27歳になった音(有村架純)は、介護福祉士の資格を取り、いまも『春寿の杜』で働いている。元同僚の朋子(桜井ユキ)、今月で契約が切れる美織(林田岬優)と食事に出かけた帰り、静恵(八千草薫)の家に立ち寄った音は、そこで木穂子(高畑充希)と再会する。木穂子は、3年前に会社を辞めていまはデザイン系の事務所で働いているのだという。木穂子は、音が練(高良健吾)ではなく、朝陽(西島隆弘)と付き合っていることを知って驚く。実は音も木穂子も、小夏(森川葵)や晴太(坂口健太郎)らとともにこの家で練と会ったのが最後だった。木穂子は、練の携帯電話に電話をしてみた。しかし、その番号はもう別の持ち主に変わっていた。  　朝陽と食事に出かけた音は、派遣先でトラブルに巻き込まれた玲美(永野芽郁)の相談に乗ってやってほしい、と彼に頼む。朝陽は、困惑しながらもそれに応じ、その代りと言って音をパーティーに誘う。　そんな折、仕事帰りの音は、柿谷運送のトラックを見かける。作業中の加持(森岡龍)に声をかけ、練のことを尋ねる音。加持は、音を社長の嘉美(松田美由紀)のもとへ連れていった。嘉美は、練が5年前に辞めたことを告げると、佐引(高橋一生)なら何か知っているかもしれない、と言って彼を紹介する。そこで佐引は、練が東京にいることを音に告げ、1枚の名刺を差し出す…。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並木道子　    【音楽】  得田真裕　    【主題歌】  手嶌葵「明日への手紙」(ビクターエンタテインメント)　    【制作】  フジテレビドラマ制作センター★公式番組ホームページ★　  http://www.fujitv.co.jp/itsu_koi/　  ★公式twitter★　  @itsu_koi　で検索して下さい!  ★公式LINE★  LINE公式アカウントで「いつ恋」を検索して下さい!  番組の最新情報、現場で撮った秘蔵写真も満載!有村架純、高良健吾、高畑充希、西島隆弘(AAA)、森川葵、坂口健太郎といった出演者本人がアップすることも!要チェック!!</t>
  </si>
  <si>
    <t>27歳になった音(有村架純)は、介護福祉士の資格を取り、いまも『春寿の杜』で働いている。元同僚の朋子(桜井ユキ)、今月で契約が切れる美織(林田岬優)と食事に出かけた帰り、静恵(八千草薫)の家に立ち寄った音は、そこで木穂子(高畑充希)と再会する。木穂子は、3年前に会社を辞めていまはデザイン系の事務所で働いているのだという。木穂子は、音が練(高良健吾)ではなく、朝陽(西島隆弘)と付き合っていることを知って驚く。実は音も木穂子も、小夏(森川葵)や晴太(坂口健太郎)らとともにこの家で練と会ったのが最後だった。木穂子は、練の携帯電話に電話をしてみた。しかし、その番号はもう別の持ち主に変わっていた。  　朝陽と食事に出かけた音は、派遣先でトラブルに巻き込まれた玲美(永野芽郁)の相談に乗ってやってほしい、と彼に頼む。朝陽は、困惑しながらもそれに応じ、その代りと言って音をパーティーに誘う。　そんな折、仕事帰りの音は、柿谷運送のトラックを見かける。作業中の加持(森岡龍)に声をかけ、練のことを尋ねる音。加持は、音を社長の嘉美(松田美由紀)のもとへ連れていった。嘉美は、練が5年前に辞めたことを告げると、佐引(高橋一生)なら何か知っているかもしれない、と言って彼を紹介する。そこで佐引は、練が東京にいることを音に告げ、1枚の名刺を差し出す…。</t>
  </si>
  <si>
    <t>番組名いつかこの恋を思い出してきっと泣いてしまう【話題騒然、衝撃の第二章】　#07</t>
  </si>
  <si>
    <t>音(有村架純)は、朝陽(西島隆弘)からプロポーズされる。しかし音は、朝陽が差し出した指輪を受け取ることができない。朝陽は、そんな音に、返事はいますぐでなくてもいい、と告げる。音は、帰ろうとしていた朝陽に、練(高良健吾)と会ったことを切り出す。朝陽は、練には助けてもらったことがあるから力になってあげたい、という音の思いを受け入れるが…。　別の日、音は、柿谷運送の佐引(高橋一生)に会いに行く。そこで音は、練の祖父・健二(田中泯)が他界したときのことを教えられる。健二は、入院していた病院を抜け出し、駅で倒れていたところを発見されたのだという。  　練のオフィスへと向かった音は、静恵(八千草薫)が会いたがっていることを彼に伝えた。続けて、愛犬のサスケのこと、佐引のこと、そして健二のことを話し出す音。いら立ちを隠せない練は、健二の遺品が入っている段ボールの中から汚れたパジャマを取り出し、会ったこともないのに勝手なことを言わないでほしい、と言ってゴミ箱に投げ捨ててしまい…。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並木道子　    【音楽】  得田真裕　    【主題歌】  手嶌葵「明日への手紙」(ビクターエンタテインメント)　    【制作】  フジテレビドラマ制作センター★公式番組ホームページ★　  http://www.fujitv.co.jp/itsu_koi/　  ★公式twitter★　  @itsu_koi　で検索して下さい!  ★公式LINE★  LINE公式アカウントで「いつ恋」を検索して下さい!  番組の最新情報、現場で撮った秘蔵写真も満載!有村架純、高良健吾、高畑充希、西島隆弘(AAA)、森川葵、坂口健太郎といった出演者本人がアップすることも!要チェック!!</t>
  </si>
  <si>
    <t>音(有村架純)は、朝陽(西島隆弘)からプロポーズされる。しかし音は、朝陽が差し出した指輪を受け取ることができない。朝陽は、そんな音に、返事はいますぐでなくてもいい、と告げる。音は、帰ろうとしていた朝陽に、練(高良健吾)と会ったことを切り出す。朝陽は、練には助けてもらったことがあるから力になってあげたい、という音の思いを受け入れるが…。　別の日、音は、柿谷運送の佐引(高橋一生)に会いに行く。そこで音は、練の祖父・健二(田中泯)が他界したときのことを教えられる。健二は、入院していた病院を抜け出し、駅で倒れていたところを発見されたのだという。  　練のオフィスへと向かった音は、静恵(八千草薫)が会いたがっていることを彼に伝えた。続けて、愛犬のサスケのこと、佐引のこと、そして健二のことを話し出す音。いら立ちを隠せない練は、健二の遺品が入っている段ボールの中から汚れたパジャマを取り出し、会ったこともないのに勝手なことを言わないでほしい、と言ってゴミ箱に投げ捨ててしまい…。</t>
  </si>
  <si>
    <t>番組名いつかこの恋を思い出してきっと泣いてしまう【今夜、三角関係が始まる】　#08</t>
  </si>
  <si>
    <t>音(有村架純)のアパートに木穂子(高畑充希)がやってくる。木穂子は、いま恋人からプロポーズされるのを待っているのだという。以前、一度プロポーズされたが忙しくてスルーしてしまったらしい。木穂子は、プロポーズされたら何も考えないでOKしなければいけない、と音にアドバイスする。    　練(高良健吾)は、小夏(森川葵)を連れて静恵(八千草薫)の家に身を寄せ、再び柿谷運送で働き始める。柿谷運送社長の嘉美(松田美由紀)や、先輩の佐引(高橋一生)、加持(森岡龍)らは、そんな練を手荒く歓迎する。    　仕事帰りのバスで練と一緒になった音は、サスケに会うために静恵の家に立ち寄る。小夏は専門学校の制作があってまだ帰っていなかった。その際、練は、観覧車の近くにあったピアノが聞こえる店を探したが見つからなかったことを音に話し、「今度探しに行きませんか?」と続けた。そんな練に、音は、朝陽(西島隆弘)からプロポーズされたことを告げ…。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高野舞　    【音楽】  得田真裕　    【主題歌】  手嶌葵「明日への手紙」(ビクターエンタテインメント)　    【制作】  フジテレビドラマ制作センター★公式番組ホームページ★　  http://www.fujitv.co.jp/itsu_koi/　  ★公式twitter★　  @itsu_koi　で検索して下さい!  ★公式LINE★  LINE公式アカウントで「いつ恋」を検索して下さい!  番組の最新情報、現場で撮った秘蔵写真も満載!有村架純、高良健吾、高畑充希、西島隆弘(AAA)、森川葵、坂口健太郎といった出演者本人がアップすることも!要チェック!!</t>
  </si>
  <si>
    <t>音(有村架純)のアパートに木穂子(高畑充希)がやってくる。木穂子は、いま恋人からプロポーズされるのを待っているのだという。以前、一度プロポーズされたが忙しくてスルーしてしまったらしい。木穂子は、プロポーズされたら何も考えないでOKしなければいけない、と音にアドバイスする。    　練(高良健吾)は、小夏(森川葵)を連れて静恵(八千草薫)の家に身を寄せ、再び柿谷運送で働き始める。柿谷運送社長の嘉美(松田美由紀)や、先輩の佐引(高橋一生)、加持(森岡龍)らは、そんな練を手荒く歓迎する。    　仕事帰りのバスで練と一緒になった音は、サスケに会うために静恵の家に立ち寄る。小夏は専門学校の制作があってまだ帰っていなかった。その際、練は、観覧車の近くにあったピアノが聞こえる店を探したが見つからなかったことを音に話し、「今度探しに行きませんか?」と続けた。そんな練に、音は、朝陽(西島隆弘)からプロポーズされたことを告げ…。</t>
  </si>
  <si>
    <t>番組名いつかこの恋を思い出してきっと泣いてしまう【最終回へカウントダウン】　#09</t>
  </si>
  <si>
    <t>「杉原さん、好きです」。音(有村架純)のアパートを訪れた練(高良健吾)は、彼女への思いを伝えた。が、練の気持ちに応えて音が話そうとしたとき、そこに朝陽(西島隆弘)が現れる。練は外で朝陽と話がしたい、と提案するのだった。  　別の日、仕事を終えた練が家に戻ると、小夏(森川葵)が会津の母親と電話で話をしていた。電話を代わった練は、亡き祖父が残した種を使って育てた大根が収穫の時期を迎えたから手伝いにこないか、と誘われる。するとそこに、木穂子(高畑充希)がやってきた。木穂子が練に語り始めた言葉とは。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石井祐介　    【音楽】  得田真裕　    【主題歌】  手嶌葵「明日への手紙」(ビクターエンタテインメント)　    【制作】  フジテレビドラマ制作センター★公式番組ホームページ★　  http://www.fujitv.co.jp/itsu_koi/　  ★公式twitter★　  @itsu_koi　で検索して下さい!  ★公式LINE★  LINE公式アカウントで「いつ恋」を検索して下さい!  番組の最新情報、現場で撮った秘蔵写真も満載!有村架純、高良健吾、高畑充希、西島隆弘(AAA)、森川葵、坂口健太郎といった出演者本人がアップすることも!要チェック!!</t>
  </si>
  <si>
    <t>「杉原さん、好きです」。音(有村架純)のアパートを訪れた練(高良健吾)は、彼女への思いを伝えた。が、練の気持ちに応えて音が話そうとしたとき、そこに朝陽(西島隆弘)が現れる。練は外で朝陽と話がしたい、と提案するのだった。  　別の日、仕事を終えた練が家に戻ると、小夏(森川葵)が会津の母親と電話で話をしていた。電話を代わった練は、亡き祖父が残した種を使って育てた大根が収穫の時期を迎えたから手伝いにこないか、と誘われる。するとそこに、木穂子(高畑充希)がやってきた。木穂子が練に語り始めた言葉とは。</t>
  </si>
  <si>
    <t>番組名いつかこの恋を思い出してきっと泣いてしまう【最終回…心に残す物語】　#10</t>
  </si>
  <si>
    <t>音(有村架純)と練(高良健吾)は互いのことを好きであるという気持ちをあらためて確認した一方で朝陽(西島隆弘)はあらためて音に2人で幸せになろうと訴える。木穂子(高畑充希)はそんな音と練の2人が自分の気持ちに正直に生きてくれるよう2人それぞれに会って懇願していた。  　そんな中、音は自分の心を決め、練に会って話をすることを決意、2人は会う約束をする。約束の日、音はなかなか時間になっても現れない。練に会いに行く途中の駅で音は奈良から東京に出てきたばかりの少女に出会う。鞄をとられてしまったという少女、明日香(芳根京子)を助けるために音は騒動に巻き込まれてしまい病院に運ばれる。  　音が病院に運ばれたと聞いて駆けつける練、朝陽、木穂子ら。音にいったい何が起きたのか。　朝陽は音の鞄の中から音が書いたと思われる手紙を見つける。朝陽は、この手紙の中には音が練と朝陽のどちらを選んだのか答えがあるのではないかと考える。木穂子は朝陽に音を信じて祈っているよう伝えるのだった。  　駅で音と出逢い助けてもらった少女、明日香も病院にかけつける。音が大変なことになっていることを知りショックを受ける。音の命は、そして練、朝陽、木穂子、小夏、晴太の行く末にどんな未来が待っているのか。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植草明日香:　芳根京子　  内藤三希也:　葉山奨之　佐引穣次:　高橋一生　  柿谷嘉美:　松田美由紀　  井吹征二郎:　小日向文世　  仙道静恵:　八千草薫　    ほか【脚本】  坂元裕二　    【プロデュース】  村瀬健　    【演出】  並木道子　    【音楽】  得田真裕　    【主題歌】  手嶌葵「明日への手紙」(ビクターエンタテインメント)　    【制作】  フジテレビドラマ制作センター★公式番組ホームページ★　  http://www.fujitv.co.jp/itsu_koi/　  ★公式twitter★　  @itsu_koi　で検索して下さい!  ★公式LINE★  LINE公式アカウントで「いつ恋」を検索して下さい!  番組の最新情報、現場で撮った秘蔵写真も満載!有村架純、高良健吾、高畑充希、西島隆弘(AAA)、森川葵、坂口健太郎といった出演者本人がアップすることも!要チェック!!</t>
  </si>
  <si>
    <t>音(有村架純)と練(高良健吾)は互いのことを好きであるという気持ちをあらためて確認した一方で朝陽(西島隆弘)はあらためて音に2人で幸せになろうと訴える。木穂子(高畑充希)はそんな音と練の2人が自分の気持ちに正直に生きてくれるよう2人それぞれに会って懇願していた。  　そんな中、音は自分の心を決め、練に会って話をすることを決意、2人は会う約束をする。約束の日、音はなかなか時間になっても現れない。練に会いに行く途中の駅で音は奈良から東京に出てきたばかりの少女に出会う。鞄をとられてしまったという少女、明日香(芳根京子)を助けるために音は騒動に巻き込まれてしまい病院に運ばれる。  　音が病院に運ばれたと聞いて駆けつける練、朝陽、木穂子ら。音にいったい何が起きたのか。　朝陽は音の鞄の中から音が書いたと思われる手紙を見つける。朝陽は、この手紙の中には音が練と朝陽のどちらを選んだのか答えがあるのではないかと考える。木穂子は朝陽に音を信じて祈っているよう伝えるのだった。  　駅で音と出逢い助けてもらった少女、明日香も病院にかけつける。音が大変なことになっていることを知りショックを受ける。音の命は、そして練、朝陽、木穂子、小夏、晴太の行く末にどんな未来が待っているのか。</t>
  </si>
  <si>
    <t>1601_CX_火22</t>
  </si>
  <si>
    <t>お義父さんと呼ばせて</t>
  </si>
  <si>
    <t>番組名お義父さんと呼ばせて【お義父さん　娘さんをもらっていいですか?】　#01</t>
  </si>
  <si>
    <t>大道寺保(遠藤憲一)は中堅の専門商社に勤める51歳。仕事熱心な営業マンで、その誠実さから“土下座の大道寺"の異名を持つ。ある日、取引先との交渉でホテルを訪れた保は、結婚式を挙げたばかりの幸せそうなカップルを見て一念発起、システムエンジニアで28歳年下の恋人・花澤美蘭(蓮佛美沙子)との結婚を決意し、プロポーズする。  その頃、大手総合商社に勤めるエリートビジネスマンの花澤紀一郎(渡部篤郎)は、妻の静香(和久井映見)から、娘の美蘭に恋人がいることを聞き、胸がザワついていた。しかも、近々その男が家に来るという。もちろん、娘の恋人が自分と同い年だとは知る由もないが、美蘭のことを「相当なダメ男好き」「案外遊んでる」と話す次女の真理乃(新川優愛)や長男の葉理男(中村倫也)の言葉に、紀一郎の不安は募るばかり。  険悪なムードが漂う中、迎えた顔合わせ当日、美蘭が保を連れて帰ってきた。相手の男が26歳だと聞いていた紀一郎は明らかに自分と同世代の保を見てがくぜん!一方の保も以前雑誌で見かけた、いけ好かない男がまさか美蘭の父親だったとは……と驚きを隠せない。  そんな恋人と父親の反応をよそに2人のなれ初めを家族に聞かせる美蘭。しかし、同い年で同じ商社マンでありながら、生き方も考え方もまるで違う保と紀一郎が相いれるはずもなく、紀一郎は2人の結婚に猛反対。  言い争いの末「出て行く」と宣言する美蘭だったがー。遠藤憲一　  渡部篤郎　  蓮佛美沙子　  新川優愛　  中村倫也　  山崎育三郎　  中村アン  　・　  品川徹　  和久井映見【脚本】  林宏司　    【主題歌】  超特急「Yell」(SDR)　    【オープニングテーマ】  HY(ユニバーサルJ/ASSE!!　Records)　    【音楽】  木村秀彬　    【演出】  星野和成　  植田尚　    【プロデューサー】  安藤和久(関西テレビ)　  萩原崇(関西テレビ)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</si>
  <si>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大道寺保(遠藤憲一)は中堅の専門商社に勤める51歳。仕事熱心な営業マンで、その誠実さから“土下座の大道寺"の異名を持つ。ある日、取引先との交渉でホテルを訪れた保は、結婚式を挙げたばかりの幸せそうなカップルを見て一念発起、システムエンジニアで28歳年下の恋人・花澤美蘭(蓮佛美沙子)との結婚を決意し、プロポーズする。  その頃、大手総合商社に勤めるエリートビジネスマンの花澤紀一郎(渡部篤郎)は、妻の静香(和久井映見)から、娘の美蘭に恋人がいることを聞き、胸がザワついていた。しかも、近々その男が家に来るという。もちろん、娘の恋人が自分と同い年だとは知る由もないが、美蘭のことを「相当なダメ男好き」「案外遊んでる」と話す次女の真理乃(新川優愛)や長男の葉理男(中村倫也)の言葉に、紀一郎の不安は募るばかり。  険悪なムードが漂う中、迎えた顔合わせ当日、美蘭が保を連れて帰ってきた。相手の男が26歳だと聞いていた紀一郎は明らかに自分と同世代の保を見てがくぜん!一方の保も以前雑誌で見かけた、いけ好かない男がまさか美蘭の父親だったとは……と驚きを隠せない。  そんな恋人と父親の反応をよそに2人のなれ初めを家族に聞かせる美蘭。しかし、同い年で同じ商社マンでありながら、生き方も考え方もまるで違う保と紀一郎が相いれるはずもなく、紀一郎は2人の結婚に猛反対。  言い争いの末「出て行く」と宣言する美蘭だったがー。</t>
  </si>
  <si>
    <t>番組名お義父さんと呼ばせて【お義父さん　そんな家族でいいんですか?】　#02</t>
  </si>
  <si>
    <t>花澤家と保(遠藤憲一)の顔合わせ翌日、紀一郎(渡部篤郎)と美蘭(蓮佛美沙子)の間には朝から不穏な空気が。気まずい美蘭はそそくさと家を出ようとするが、静香(和久井映見)に呼び止められ、自分も保との結婚には反対だと言われてしまう。一方、出社した紀一郎も早速、秘書の希和(中村アン)に美蘭の件を相談。51歳でいまだ独身、しかもバツなしの保に何か秘密があるのでは……とにらむ。    その頃、美蘭はもう一度両親と話したいという保に、真理乃(新川優愛)と葉理男(中村倫也)と4人で食事をしようと提案。静香にまで反対されたことに少なからずショックを受けた美蘭は、再び両親とたいじする前に、まずは兄妹から説得しようと考えたのだ。しかし当日、食事の途中で美蘭は職場に呼び戻されてしまい、残された保、真理乃、葉理男の3人は……。    しばらくして、自社が買収した会社との懇親会に顔を出した紀一郎は、集まった関係者の中に保の姿を見つけ、驚く。そして、チャンスとばかりに保の素性を探っていると、目の前に衝撃的な格好をした保が現れ、その姿に紀一郎は絶句してしまう。    週末、昭栄(品川徹)に呼び出された保は、紀一郎に醜態をさらしたことを引きずりながらも、再び花澤家に向かっていた。するとそこへ、仕事で家に不在の美蘭から電話が。  「わかってるよね……絶対ばれたらアウトだからね。あの秘密だけは」。そうくぎをさされた保はーー!?遠藤憲一　  渡部篤郎　  蓮佛美沙子　  新川優愛　  中村倫也　  山崎育三郎　  中村アン  　・　  品川徹　  和久井映見【脚本】  林宏司　    【主題歌】  超特急「Yell」(SDR)　    【オープニングテーマ】  HY「極愛」(ユニバーサルJ/ASSE!!　Records)　    【音楽】  木村秀彬　    【演出】  星野和成　  植田尚　    【プロデューサー】  安藤和久(関西テレビ)　  萩原崇(関西テレビ)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</si>
  <si>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花澤家と保(遠藤憲一)の顔合わせ翌日、紀一郎(渡部篤郎)と美蘭(蓮佛美沙子)の間には朝から不穏な空気が。気まずい美蘭はそそくさと家を出ようとするが、静香(和久井映見)に呼び止められ、自分も保との結婚には反対だと言われてしまう。一方、出社した紀一郎も早速、秘書の希和(中村アン)に美蘭の件を相談。51歳でいまだ独身、しかもバツなしの保に何か秘密があるのでは……とにらむ。    その頃、美蘭はもう一度両親と話したいという保に、真理乃(新川優愛)と葉理男(中村倫也)と4人で食事をしようと提案。静香にまで反対されたことに少なからずショックを受けた美蘭は、再び両親とたいじする前に、まずは兄妹から説得しようと考えたのだ。しかし当日、食事の途中で美蘭は職場に呼び戻されてしまい、残された保、真理乃、葉理男の3人は……。    しばらくして、自社が買収した会社との懇親会に顔を出した紀一郎は、集まった関係者の中に保の姿を見つけ、驚く。そして、チャンスとばかりに保の素性を探っていると、目の前に衝撃的な格好をした保が現れ、その姿に紀一郎は絶句してしまう。    週末、昭栄(品川徹)に呼び出された保は、紀一郎に醜態をさらしたことを引きずりながらも、再び花澤家に向かっていた。するとそこへ、仕事で家に不在の美蘭から電話が。  「わかってるよね……絶対ばれたらアウトだからね。あの秘密だけは」。そうくぎをさされた保はーー!?</t>
  </si>
  <si>
    <t>番組名お義父さんと呼ばせて【お義父さん　女の幸せってなんですか?】　#03</t>
  </si>
  <si>
    <t>美蘭(蓮佛美沙子)の誕生日を5日後に控えたある日、紀一郎(渡部篤郎)が「当日は家族だけで誕生会をやる」と言い出す。保(遠藤憲一)の裸踊りと酒癖の悪さを目の当たりにした紀一郎は、美蘭の誕生日までに何としても2人を別れさせ、保を花澤家から排除しようと考えていた。そして早速、美蘭を説得するよう真理乃(新川優愛)をけしかけ、さらには、会社の人間を使って保の経歴を調べ上げる。一方の保は、花澤家での大失態を思い出してぼうぜん自失、仕事も手につかない。見かねた部下が声をかけると、保は美蘭との関係を打ち明け、格上の紀一郎に自分がどう対抗すべきか意見を求める。そして、作戦を練っている矢先、突然、紀一郎から呼び出しの電話が。部下にハッパをかけられ、強気で立ち向かおうとする保だったが、ホテルのバーで待ち構えていた紀一郎の口から出た言葉は……。その日の夜、紀一郎のある一言が胸に刺さり、落ち込んでしまう保。美蘭も、いつもと違う保の様子が気にかかる。翌日、何とか気持ちを立て直す保だったが、追い打ちをかけるように、ジムで待ち合わせていた保と美蘭の前に紀一郎が現れてーー!?遠藤憲一　  渡部篤郎　  蓮佛美沙子　  新川優愛　  中村倫也　  山崎育三郎　  中村アン  　・　  品川徹　  和久井映見【脚本】  林宏司　    【主題歌】  超特急「Yell」(SDR)　    【オープニングテーマ】  HY「極愛」(ユニバーサルJ/ASSE!!　Records)　    【音楽】  木村秀彬　    【演出】  星野和成　  植田尚　    【プロデューサー】  安藤和久(関西テレビ)　  萩原崇(関西テレビ)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</si>
  <si>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美蘭(蓮佛美沙子)の誕生日を5日後に控えたある日、紀一郎(渡部篤郎)が「当日は家族だけで誕生会をやる」と言い出す。保(遠藤憲一)の裸踊りと酒癖の悪さを目の当たりにした紀一郎は、美蘭の誕生日までに何としても2人を別れさせ、保を花澤家から排除しようと考えていた。そして早速、美蘭を説得するよう真理乃(新川優愛)をけしかけ、さらには、会社の人間を使って保の経歴を調べ上げる。一方の保は、花澤家での大失態を思い出してぼうぜん自失、仕事も手につかない。見かねた部下が声をかけると、保は美蘭との関係を打ち明け、格上の紀一郎に自分がどう対抗すべきか意見を求める。そして、作戦を練っている矢先、突然、紀一郎から呼び出しの電話が。部下にハッパをかけられ、強気で立ち向かおうとする保だったが、ホテルのバーで待ち構えていた紀一郎の口から出た言葉は……。その日の夜、紀一郎のある一言が胸に刺さり、落ち込んでしまう保。美蘭も、いつもと違う保の様子が気にかかる。翌日、何とか気持ちを立て直す保だったが、追い打ちをかけるように、ジムで待ち合わせていた保と美蘭の前に紀一郎が現れてーー!?</t>
  </si>
  <si>
    <t>番組名お義父さんと呼ばせて【バレンタインの策略!恋の刺客登場で破局危機!】　#04</t>
  </si>
  <si>
    <t>もうすぐバレンタインデー。今度こそ美蘭(蓮佛美沙子)奪還を心に誓う紀一郎(渡部篤郎)は、美蘭に思いを寄せる砂清水(山崎育三郎)を利用し、ある計画を進めることに。程なくして、仕事の話という名目で、呼び出された保(遠藤憲一)。しかし、そこに現れたのは砂清水で、保を見るやいなや「美蘭ちゃんの元カレです!」と自己紹介し挑戦的な目つきで保を見つめる。さらに、なぜかその場に美蘭まで呼び出して……。美蘭は、何日も徹夜して、保の上司から発注された新たなシステム作りに取り組んでいた。しかし、仕上がりに文句をつけられたうえ、理不尽な扱いまで受け、怒り心頭。両者の間に入り、何とか丸く収めようとする保の言葉も耳に入らない。それどころか、自分の味方をしてくれない保に反発し、2人の関係はギクシャクしてしまう。そんななか、偶然、相手に100%非があるにも関わらず、自分がミスしたかのように土下座して謝る保の姿を目撃した美蘭。保の部下は「保身のために情けない」と嘆き複雑な気分に。  翌日、美蘭は保から「バレンタインデーは外で食事をしよう」と誘われるが、同じ頃、紀一郎はすでに次の手を考えていて……。遠藤憲一　  渡部篤郎　  蓮佛美沙子　  新川優愛　  中村倫也　  山崎育三郎　  中村アン　  　・　  品川徹　  和久井映見【脚本】  林宏司  【主題歌】  超特急「Yell」(SDR)  【オープニングテーマ】  HY「極愛」(ユニバーサルJ/ASSE!!　Records)  【音楽】  木村秀彬  【演出】  星野和成・植田尚  【プロデューサー】  安藤和久(関西テレビ)　  萩原崇　(関西テレビ)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</si>
  <si>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もうすぐバレンタインデー。今度こそ美蘭(蓮佛美沙子)奪還を心に誓う紀一郎(渡部篤郎)は、美蘭に思いを寄せる砂清水(山崎育三郎)を利用し、ある計画を進めることに。程なくして、仕事の話という名目で、呼び出された保(遠藤憲一)。しかし、そこに現れたのは砂清水で、保を見るやいなや「美蘭ちゃんの元カレです!」と自己紹介し挑戦的な目つきで保を見つめる。さらに、なぜかその場に美蘭まで呼び出して……。美蘭は、何日も徹夜して、保の上司から発注された新たなシステム作りに取り組んでいた。しかし、仕上がりに文句をつけられたうえ、理不尽な扱いまで受け、怒り心頭。両者の間に入り、何とか丸く収めようとする保の言葉も耳に入らない。それどころか、自分の味方をしてくれない保に反発し、2人の関係はギクシャクしてしまう。そんななか、偶然、相手に100%非があるにも関わらず、自分がミスしたかのように土下座して謝る保の姿を目撃した美蘭。保の部下は「保身のために情けない」と嘆き複雑な気分に。  翌日、美蘭は保から「バレンタインデーは外で食事をしよう」と誘われるが、同じ頃、紀一郎はすでに次の手を考えていて……。</t>
  </si>
  <si>
    <t>番組名お義父さんと呼ばせて【長男の衝撃の秘密!真夜中の顔は絶世の美女!?】　#05</t>
  </si>
  <si>
    <t>ある日の晩、保(遠藤憲一)は街中で見覚えのある一人の若い女性を見かける。それは以前、葉理男(中村倫也)の部屋で見つけた写真の女性。葉理男の彼女だと思い込んでいた保は思い切って声をかけるが、よく見ると、それは女装した葉理男だった!ぼうぜんとする保を残し、慌ててその場から逃げ出す葉理男。後日、紀一郎(渡部篤郎)の留守中に保が家に来ると知り、葉理男は極度の緊張に襲われるが、やって来た保が「大丈夫、誰にも言わないから」と約束してくれたことで、ひとまず安心する。    しばらくして、仕事中の紀一郎の元に、葉理男が突然、会社に辞表を出したと静香(和久井映見)から連絡が入る。聞けば、きっかけは保だという。おかげで紀一郎のさらなる怒りを買ってしまった保は、何とか辞表を撤回させようと、葉理男を待ち伏せ。しかし、やっとの思いでつかまえたものの、会社を辞める理由については固く口を閉ざしたまま。保は頭を抱える。    数日後、保が女性を追いかけ回している映像が動画サイトにアップされる。少し前から、保が何か隠し事をしていると怪しんでいた美蘭(蓮佛美沙子)は浮気を確信。美蘭に問い詰められるものの、その女性が葉理男だとは口が裂けても言えない保は大ピンチ!そのうえ、動画を見た静香が保の家にやって来てーー!?遠藤憲一　  渡部篤郎　  蓮佛美沙子　  新川優愛　  中村倫也　  山崎育三郎　  中村アン　  　・　  品川徹　  和久井映見【脚本】  林宏司　    【主題歌】  超特急「Yell」(SDR)　    【オープニングテーマ】  HY「極愛」(ユニバーサルJ/ASSE!!　Records)　    【音楽】  木村秀彬　    【演出】  星野和成　  植田尚　    【プロデューサー】  安藤和久(関西テレビ)　  萩原崇(関西テレビ)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</si>
  <si>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ある日の晩、保(遠藤憲一)は街中で見覚えのある一人の若い女性を見かける。それは以前、葉理男(中村倫也)の部屋で見つけた写真の女性。葉理男の彼女だと思い込んでいた保は思い切って声をかけるが、よく見ると、それは女装した葉理男だった!ぼうぜんとする保を残し、慌ててその場から逃げ出す葉理男。後日、紀一郎(渡部篤郎)の留守中に保が家に来ると知り、葉理男は極度の緊張に襲われるが、やって来た保が「大丈夫、誰にも言わないから」と約束してくれたことで、ひとまず安心する。    しばらくして、仕事中の紀一郎の元に、葉理男が突然、会社に辞表を出したと静香(和久井映見)から連絡が入る。聞けば、きっかけは保だという。おかげで紀一郎のさらなる怒りを買ってしまった保は、何とか辞表を撤回させようと、葉理男を待ち伏せ。しかし、やっとの思いでつかまえたものの、会社を辞める理由については固く口を閉ざしたまま。保は頭を抱える。    数日後、保が女性を追いかけ回している映像が動画サイトにアップされる。少し前から、保が何か隠し事をしていると怪しんでいた美蘭(蓮佛美沙子)は浮気を確信。美蘭に問い詰められるものの、その女性が葉理男だとは口が裂けても言えない保は大ピンチ!そのうえ、動画を見た静香が保の家にやって来てーー!?</t>
  </si>
  <si>
    <t>番組名お義父さんと呼ばせて【嵐を呼ぶ小姑が登場!カレVS父の関係が急転!】　#06</t>
  </si>
  <si>
    <t>ある日、保(遠藤憲一)の家に突然、姉の留美子(秋野暢子)が「一週間泊めてほしい」と押しかけてくる。すると、徹夜明けで眠りこけていた美蘭(蓮佛美沙子)とまさかの鉢合わせ!2人が結婚するつもりだと知った留美子は驚きの声をあげ、かわいい弟の相手があまりに若いことに難色を示す。やがて、美蘭を家に送るついでに両親にあいさつすると言い出す留美子。しかし、到着した花澤家で保が紀一郎(渡部篤郎)に煙たがられていると知ると怒り心頭。紀一郎も留美子の憎まれ口で火がつき、2人は激しい言い争いになる。  その頃、紀一郎の会社では急激な業績悪化で、その責任が紀一郎一人にのしかかる事態へ発展。次の経営会議に向け根回しに奔走する紀一郎は窮地に追いやられてしまう。そんななか、昭栄(品川徹)が散歩から帰ってこないと静香(和久井映見)から連絡が入る。実は、留美子に一目ぼれした昭栄は保の家を訪れていたのだ。さらに、連れ戻しに行ったはずの真理乃(新川優愛)までも巻き込まれてしまう。  やがて、仕事が終わった保と美蘭が駆けつけると、部屋の中では3人が和気あいあいと昔話に花を咲かせていた。真理乃が作った料理をつまみに、昭栄から紀一郎の話を聞き出していた留美子。そして、現れた美蘭の前であからさまに真理乃を褒め、姉妹を比較。揚げ句の果てに「妹さんの方がよっぽどいいじゃない」と言い放つ。その一言で、ついに堪忍袋の緒が切れた美蘭はーー!?遠藤憲一　  渡部篤郎　  蓮佛美沙子　  新川優愛　  中村倫也　  山崎育三郎　  中村アン　  　・　  品川徹　  和久井映見【脚本】  林宏司　    【主題歌】  超特急「Yell」(SDR)　    【オープニングテーマ】  HY「極愛」(ユニバーサルJ/ASSE!!　Records)　    【音楽】  木村秀彬　    【演出】  星野和成　  植田尚　    【プロデューサー】  安藤和久(関西テレビ)　  萩原崇(関西テレビ)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</si>
  <si>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ある日、保(遠藤憲一)の家に突然、姉の留美子(秋野暢子)が「一週間泊めてほしい」と押しかけてくる。すると、徹夜明けで眠りこけていた美蘭(蓮佛美沙子)とまさかの鉢合わせ!2人が結婚するつもりだと知った留美子は驚きの声をあげ、かわいい弟の相手があまりに若いことに難色を示す。やがて、美蘭を家に送るついでに両親にあいさつすると言い出す留美子。しかし、到着した花澤家で保が紀一郎(渡部篤郎)に煙たがられていると知ると怒り心頭。紀一郎も留美子の憎まれ口で火がつき、2人は激しい言い争いになる。  その頃、紀一郎の会社では急激な業績悪化で、その責任が紀一郎一人にのしかかる事態へ発展。次の経営会議に向け根回しに奔走する紀一郎は窮地に追いやられてしまう。そんななか、昭栄(品川徹)が散歩から帰ってこないと静香(和久井映見)から連絡が入る。実は、留美子に一目ぼれした昭栄は保の家を訪れていたのだ。さらに、連れ戻しに行ったはずの真理乃(新川優愛)までも巻き込まれてしまう。  やがて、仕事が終わった保と美蘭が駆けつけると、部屋の中では3人が和気あいあいと昔話に花を咲かせていた。真理乃が作った料理をつまみに、昭栄から紀一郎の話を聞き出していた留美子。そして、現れた美蘭の前であからさまに真理乃を褒め、姉妹を比較。揚げ句の果てに「妹さんの方がよっぽどいいじゃない」と言い放つ。その一言で、ついに堪忍袋の緒が切れた美蘭はーー!?</t>
  </si>
  <si>
    <t>番組名お義父さんと呼ばせて【大波乱の同居生活開始!妹のカレにも問題発覚!!】　#07</t>
  </si>
  <si>
    <t>火事で自分のマンションに住めなくなった保(遠藤憲一)が花澤家に転がり込んできた。一時は保との距離を縮めたかに見えた紀一郎(渡部篤郎)だったが、どこかガサツな保の振る舞いにいら立ちを隠せず、静香(和久井映見)をはじめ、自分以外の家族が思いのほか保を歓迎していることも気に食わない。    一方、保とのプチ新婚生活を楽しんでいた美蘭(蓮佛美沙子)は、就職活動真っただ中の妹・真理乃(新川優愛)に恋人がいることを知る。しかも、偶然見かけた相手はどう見ても20歳以上年上!その情報は、砂清水(山崎育三郎)に真理乃の交友関係を調べさせていた紀一郎の耳にも入る。「まさか真理乃まで結婚!?」と胸がざわつく紀一郎は、何とか真理乃から彼氏のことを聞き出そうとするが、あえなく失敗。そこで、同じく事情を知っているらしい保と美蘭と手を組み、情報を共有することに。やがて、真理乃の彼氏について調べ始めた保は、男の勤務先を突き止める。しかし、聞き込みで分かったのは男のとんでもない素性!それを聞いた美蘭はすぐさま真理乃と話をしようとするが、保はそれを制し、事を荒立てないためにも自分が話してみると言い出し……。遠藤憲一　  渡部篤郎　  蓮佛美沙子　  新川優愛　  中村倫也　  山崎育三郎　  中村アン  　・　  品川徹　  和久井映見【脚本】  林宏司　    【主題歌】  超特急「Yell」(SDR)　    【オープニングテーマ】  HY「極愛」(ユニバーサルJ/ASSE!!　Records)　    【音楽】  木村秀彬　    【演出】  星野和成　  植田尚　    【プロデューサー】  安藤和久(関西テレビ)　  萩原崇(関西テレビ)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</si>
  <si>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火事で自分のマンションに住めなくなった保(遠藤憲一)が花澤家に転がり込んできた。一時は保との距離を縮めたかに見えた紀一郎(渡部篤郎)だったが、どこかガサツな保の振る舞いにいら立ちを隠せず、静香(和久井映見)をはじめ、自分以外の家族が思いのほか保を歓迎していることも気に食わない。    一方、保とのプチ新婚生活を楽しんでいた美蘭(蓮佛美沙子)は、就職活動真っただ中の妹・真理乃(新川優愛)に恋人がいることを知る。しかも、偶然見かけた相手はどう見ても20歳以上年上!その情報は、砂清水(山崎育三郎)に真理乃の交友関係を調べさせていた紀一郎の耳にも入る。「まさか真理乃まで結婚!?」と胸がざわつく紀一郎は、何とか真理乃から彼氏のことを聞き出そうとするが、あえなく失敗。そこで、同じく事情を知っているらしい保と美蘭と手を組み、情報を共有することに。やがて、真理乃の彼氏について調べ始めた保は、男の勤務先を突き止める。しかし、聞き込みで分かったのは男のとんでもない素性!それを聞いた美蘭はすぐさま真理乃と話をしようとするが、保はそれを制し、事を荒立てないためにも自分が話してみると言い出し……。</t>
  </si>
  <si>
    <t>番組名お義父さんと呼ばせて【カレに隠し子!?衝撃の過去が発覚で父の怒り爆発】　#08</t>
  </si>
  <si>
    <t>真理乃(新川優愛)から、紀一郎(渡部篤郎)が保(遠藤憲一)のことを褒めていたと聞き、嬉しくてたまらない美蘭(蓮佛美沙子)は、そろそろ式場を探そうと提案するが、当の保は、紀一郎のいつにも増して厳しい視線が気になり、それどころではない。一方、前夜の保の携帯にかかってきた電話で保に女のかげを感じた紀一郎は、「うそであってほしい…」と願いながらも、胸のモヤモヤを晴らすべく、再び砂清水(山崎育三郎)に保の調査を命じる。するとその矢先、街中で保が小学生の男の子と手をつないで歩く姿を目撃!その姿はまるで親子のようでーー!?    その晩、まだリフォーム中の保のマンションに、昼間、紀一郎が見かけた男の子の姿があった。母親は、保が10年前に別れた元恋人で、ある事情から、息子といっしょに保の部屋に身を潜めていたのだ。しかし紀一郎は保に隠し子がいると思い、怒りに震えるが、幸せそうな美蘭にはとても言い出せない。その頃、葉理男(中村倫也)は母・静香(和久井映見)の動向が気になっていた。静香のSNSには外出先で撮った楽しそうな写真の数々がアップされ、近頃は家を空けることも少なくない。葉理男は不穏な空気を感じる。    そんななか、砂清水たちと酒を飲んだ保が泥酔して帰ってくる。上着を脱がせた美蘭は、ポケットに入っていた小学校の保護者章を見つけてしまいーー!?遠藤憲一　  渡部篤郎　  蓮佛美沙子　  新川優愛　  中村倫也　  山崎育三郎　  中村アン　  　・　  品川徹　  和久井映見【脚本】  林宏司　    【主題歌】  超特急「Yell」(SDR)　    【オープニングテーマ】  HY「極愛」(ユニバーサルJ/ASSE!!　Records)　    【音楽】  木村秀彬　    【演出】  星野和成・植田尚　    【プロデューサー】  安藤和久(関西テレビ)　  萩原崇　(関西テレビ)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</si>
  <si>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真理乃(新川優愛)から、紀一郎(渡部篤郎)が保(遠藤憲一)のことを褒めていたと聞き、嬉しくてたまらない美蘭(蓮佛美沙子)は、そろそろ式場を探そうと提案するが、当の保は、紀一郎のいつにも増して厳しい視線が気になり、それどころではない。一方、前夜の保の携帯にかかってきた電話で保に女のかげを感じた紀一郎は、「うそであってほしい…」と願いながらも、胸のモヤモヤを晴らすべく、再び砂清水(山崎育三郎)に保の調査を命じる。するとその矢先、街中で保が小学生の男の子と手をつないで歩く姿を目撃!その姿はまるで親子のようでーー!?    その晩、まだリフォーム中の保のマンションに、昼間、紀一郎が見かけた男の子の姿があった。母親は、保が10年前に別れた元恋人で、ある事情から、息子といっしょに保の部屋に身を潜めていたのだ。しかし紀一郎は保に隠し子がいると思い、怒りに震えるが、幸せそうな美蘭にはとても言い出せない。その頃、葉理男(中村倫也)は母・静香(和久井映見)の動向が気になっていた。静香のSNSには外出先で撮った楽しそうな写真の数々がアップされ、近頃は家を空けることも少なくない。葉理男は不穏な空気を感じる。    そんななか、砂清水たちと酒を飲んだ保が泥酔して帰ってくる。上着を脱がせた美蘭は、ポケットに入っていた小学校の保護者章を見つけてしまいーー!?</t>
  </si>
  <si>
    <t>番組名お義父さんと呼ばせて【母が失踪!一家崩壊!カレは家族になれるのか】　#09</t>
  </si>
  <si>
    <t>静香(和久井映見)が離婚届を残して家を出て行った。行き先に心当たりもなく美蘭(蓮佛美沙子)や葉理男(中村倫也)は心配するが、帰ってきた紀一郎(渡部篤郎)は慌てるどころか「アイドルのコンサートツアーにでも行ってるんじゃないの?」とあっけらかん。それもそのはず、紀一郎は会社で巨額の損失の全責任を押しつけられ失脚目前。とても家庭内のことに構っていられるような状況ではなかったのだ。唯一、紀一郎が窮地に陥っていることを人づてに聞いていた保(遠藤憲一)はサラリーマンとして崖っぷちに立たされた紀一郎の心中を察しつつも、夫として花澤家の家長として今は静香を迎えに行くべきだと紀一郎を説得。しかし、紀一郎は「男がいるなら行けばいい。そんな女房はこっちから願い下げだ」と三くだり半を突きつけ強がるばかり。  一方、美蘭はひそかに静香のパソコンを調べていた。すると、静香が学生時代の恋人と頻繁に連絡を取っていたことが判明。さらに、SNSの情報から海辺にいることが分かるが詳しい場所までは特定できない。そんなある日、砂清水(山崎育三郎)から出張先で静香を見かけたと連絡が入る。急いで駆けつけた美蘭に静香はかつての恋人との関係やこれまで誰にも言えなかった胸の内を明かし……。  はたして静香は家族が待つ花澤家に戻るのか!?そして、保が紀一郎に認められ晴れて美蘭と夫婦になる日はくるのか!?28歳差カップルの行く末をお見逃しなく!遠藤憲一　  渡部篤郎　  蓮佛美沙子　  新川優愛　  中村倫也　  山崎育三郎　  中村アン　  　・　  品川徹　  和久井映見【脚本】  林宏司　    【主題歌】  超特急「Yell」(SDR)　    【オープニングテーマ】  HY「極愛」(ユニバーサルJ/ASSE!!　Records)　    【音楽】  木村秀彬　    【演出】  星野和成・植田尚　    【プロデューサー】  安藤和久(関西テレビ)　  萩原崇　(関西テレビ)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</si>
  <si>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静香(和久井映見)が離婚届を残して家を出て行った。行き先に心当たりもなく美蘭(蓮佛美沙子)や葉理男(中村倫也)は心配するが、帰ってきた紀一郎(渡部篤郎)は慌てるどころか「アイドルのコンサートツアーにでも行ってるんじゃないの?」とあっけらかん。それもそのはず、紀一郎は会社で巨額の損失の全責任を押しつけられ失脚目前。とても家庭内のことに構っていられるような状況ではなかったのだ。唯一、紀一郎が窮地に陥っていることを人づてに聞いていた保(遠藤憲一)はサラリーマンとして崖っぷちに立たされた紀一郎の心中を察しつつも、夫として花澤家の家長として今は静香を迎えに行くべきだと紀一郎を説得。しかし、紀一郎は「男がいるなら行けばいい。そんな女房はこっちから願い下げだ」と三くだり半を突きつけ強がるばかり。  一方、美蘭はひそかに静香のパソコンを調べていた。すると、静香が学生時代の恋人と頻繁に連絡を取っていたことが判明。さらに、SNSの情報から海辺にいることが分かるが詳しい場所までは特定できない。そんなある日、砂清水(山崎育三郎)から出張先で静香を見かけたと連絡が入る。急いで駆けつけた美蘭に静香はかつての恋人との関係やこれまで誰にも言えなかった胸の内を明かし……。  はたして静香は家族が待つ花澤家に戻るのか!?そして、保が紀一郎に認められ晴れて美蘭と夫婦になる日はくるのか!?28歳差カップルの行く末をお見逃しなく!</t>
  </si>
  <si>
    <t>1601_CX_水22</t>
  </si>
  <si>
    <t>フラジャイル</t>
  </si>
  <si>
    <t>番組名フラジャイル【ニュータイプ・ヒーロー誕生!!】　#01</t>
  </si>
  <si>
    <t>番組公式ホームページ　  http://www.fujitv.co.jp/FG/index.html　    番組公式Twitter  〈公式〉フラジャイル〈ドラマ〉  #フラジャイル    ぜひご覧ください!!　壮望会第一総合病院病理診断科の岸京一郎(長瀬智也)は一癖も二癖もある病理医。医師たちに煙たがられる厄介者だが、岸の判断に逆らえるものはいない。“強烈な変人だが極めて優秀"と評される男なのだ。  　岸と同じ病院で働く新米の神経内科医、宮崎智尋(武井咲)は先輩医師の高坂英利(平岳大)に小言を言われる毎日。仕事の効率を優先する高坂に疑問を持つ宮崎だが、反論出来ない。そんな時、転倒して頭を打った女子高生、景山花梨(上白石萌歌)が入院。腰痛を訴える花梨に、椎間板変性の可能性を伝える高坂だが、宮崎は納得出来ない。宮崎は詳しい検査が必要だと思っていた。  　翌日、神経内科のカンファレンスが行われ、高坂は花梨の症状を報告。他の医師たちが高坂に同意する中、宮崎は自分の意見を言えずにいた。すると、スーツ姿の男が発言を求める。岸だ。岸は初期的な検査だけで病状を決めつける高坂の診断に猛反論。ついには、神経内科部長から椎間板変性確定のために花梨の腰のMRI検査を約束させた。  　病理診断科に戻った岸が検査技師の森井久志(野村周平)と仕事を始めようとすると宮崎が来た。花梨が椎間板変性ではないと疑っていた宮崎は、岸に直接患者を診てほしいと頼むが断られてしまう。宮崎は自分の疑いをカンファレンスで言えなかったことを岸に責められる。それでも食い下がる宮崎に、岸は花梨が転んだ理由を探るよう指示すると…。長瀬智也　  武井咲　  野村周平  　・　  小雪  　・　  北大路欣也　    他【原作】  「フラジャイル」原作・草水敏　漫画・恵三朗(講談社「アフタヌーン」連載)　    【脚本】  橋部敦子　    【編成企画】  成河広明　  池田拓也　    【プロデュース】  小林宙　    【演出】  石川淳一　  城宝秀則　    【音楽】  林ゆうき　  橘麻美　    【主題歌】  TOKIO「fragile」(ジェイ・ストーム)　    【制作】  フジテレビ　    【制作著作】  共同テレビ</t>
  </si>
  <si>
    <t xml:space="preserve">　壮望会第一総合病院病理診断科の岸京一郎(長瀬智也)は一癖も二癖もある病理医。医師たちに煙たがられる厄介者だが、岸の判断に逆らえるものはいない。“強烈な変人だが極めて優秀"と評される男なのだ。  　岸と同じ病院で働く新米の神経内科医、宮崎智尋(武井咲)は先輩医師の高坂英利(平岳大)に小言を言われる毎日。仕事の効率を優先する高坂に疑問を持つ宮崎だが、反論出来ない。そんな時、転倒して頭を打った女子高生、景山花梨(上白石萌歌)が入院。腰痛を訴える花梨に、椎間板変性の可能性を伝える高坂だが、宮崎は納得出来ない。宮崎は詳しい検査が必要だと思っていた。  　翌日、神経内科のカンファレンスが行われ、高坂は花梨の症状を報告。他の医師たちが高坂に同意する中、宮崎は自分の意見を言えずにいた。すると、スーツ姿の男が発言を求める。岸だ。岸は初期的な検査だけで病状を決めつける高坂の診断に猛反論。ついには、神経内科部長から椎間板変性確定のために花梨の腰のMRI検査を約束させた。  　病理診断科に戻った岸が検査技師の森井久志(野村周平)と仕事を始めようとすると宮崎が来た。花梨が椎間板変性ではないと疑っていた宮崎は、岸に直接患者を診てほしいと頼むが断られてしまう。宮崎は自分の疑いをカンファレンスで言えなかったことを岸に責められる。それでも食い下がる宮崎に、岸は花梨が転んだ理由を探るよう指示すると…。</t>
  </si>
  <si>
    <t>番組名フラジャイル【長瀬智也主演!僕の言葉は絶対だ!!】　#02</t>
  </si>
  <si>
    <t>番組公式ホームページ　  http://www.fujitv.co.jp/FG/index.html　    番組公式Twitter  〈公式〉フラジャイル〈ドラマ〉  #フラジャイル    ぜひご覧ください!!　岸京一郎(長瀬智也)に認められ、宮崎智尋(武井咲)は病理診断科で働くことになった。しかし、岸は宮崎に何かを教えようとするそぶりはまったくない。また、宮崎は森井久志(野村周平)からも「自分は技師だから助言はしない」と言われてしまう。そんな職場ということで、今までに来た医師はすぐに辞めていた。部長の佐田直人(津田寛治)は「こんな状態だと病理診断科の存在がなくなる」と岸を諭すが、岸は別の病院へ行くだけだと意に介さない。  　病理診断科に細木まどか(小雪)が現れた。昨日のコンパの成果を聞く森井に、細木は「10秒で帰りたくなったが5分我慢した」と答える。岸は細木の10秒という言葉に何かを思う。  　岸は宮崎を救命救急へ遣いに出す。昨日搬送された患者、大塚洋治(林和義)についての岸の判断だ。救命医の倉木浩介(藤本隆宏)は急性アルコール中毒と診ていたが、病理診断科に伺いを立てたのだ。宮崎は倉木に要件を伝える。岸は詳しい診察が必要だと促していたが、倉木は自分の診断を曲げようとしない。挙げ句、倉木は岸からの書類をゴミ箱に捨ててしまった。  　岸は宮崎に「倉木が考えを変えるような医師ではない」と断言。戸惑う宮崎に、岸は「決定的証拠を突きつけなければいけない」と告げる。  　すると宮崎は「席を空ける」と言って飛び出してしまった。宮崎は大塚が営む時計店に、彼の妻、佐知代(宮地雅子)を訪ねると…。長瀬智也　  武井咲　  野村周平　  津田寛治  　・　  小雪  　・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【制作】  フジテレビ　    【制作著作】  共同テレビ</t>
  </si>
  <si>
    <t xml:space="preserve">　岸京一郎(長瀬智也)に認められ、宮崎智尋(武井咲)は病理診断科で働くことになった。しかし、岸は宮崎に何かを教えようとするそぶりはまったくない。また、宮崎は森井久志(野村周平)からも「自分は技師だから助言はしない」と言われてしまう。そんな職場ということで、今までに来た医師はすぐに辞めていた。部長の佐田直人(津田寛治)は「こんな状態だと病理診断科の存在がなくなる」と岸を諭すが、岸は別の病院へ行くだけだと意に介さない。  　病理診断科に細木まどか(小雪)が現れた。昨日のコンパの成果を聞く森井に、細木は「10秒で帰りたくなったが5分我慢した」と答える。岸は細木の10秒という言葉に何かを思う。  　岸は宮崎を救命救急へ遣いに出す。昨日搬送された患者、大塚洋治(林和義)についての岸の判断だ。救命医の倉木浩介(藤本隆宏)は急性アルコール中毒と診ていたが、病理診断科に伺いを立てたのだ。宮崎は倉木に要件を伝える。岸は詳しい診察が必要だと促していたが、倉木は自分の診断を曲げようとしない。挙げ句、倉木は岸からの書類をゴミ箱に捨ててしまった。  　岸は宮崎に「倉木が考えを変えるような医師ではない」と断言。戸惑う宮崎に、岸は「決定的証拠を突きつけなければいけない」と告げる。  　すると宮崎は「席を空ける」と言って飛び出してしまった。宮崎は大塚が営む時計店に、彼の妻、佐知代(宮地雅子)を訪ねると…。</t>
  </si>
  <si>
    <t>番組名フラジャイル【長瀬智也主演!嘘の診断は許さない!!】　#03</t>
  </si>
  <si>
    <t>番組公式ホームページ　  http://www.fujitv.co.jp/FG/index.html　    番組公式Twitter  〈公式〉フラジャイル〈ドラマ〉  #フラジャイル    ぜひご覧ください!!　岸京一郎(長瀬智也)が電話口で相手を怒鳴りつける病理診断科の朝。細木まどか(小雪)も顔を出す。電話を終えた岸は、宮崎智尋(武井咲)に診断を受け持つように指示。診断のチェック方法を尋ねる宮崎だが、岸は確認しないと言う。戸惑う宮崎に、細木や森井久志(野村周平)は何の助け舟も出さない。  　宮崎が岸に意見しようと追うと、ロビーで白根由希子(原田佳奈)、智文(清水伸)夫婦に会った。大腸の内視鏡検査を受けるという由希子を宮崎が案内する。  　岸は消化器内科のカンファレンスに出席。宮崎が遅れて会議室に入ると、いつものように医師の報告に文句をつける岸。しかし今回は岸の意見に最初から同意する中西篤也(中村俊介)が現れた。  　その中西が病理診断科に現れ、内視鏡検査を行う由希子の最初の疾患鑑別を岸に求める。中西自身は回盲部(小腸と大腸のつなぎ目付近)に何かあると見ているが、岸は答えない。それでも岸に診断を任せると言う中西。  　由希子の内視鏡検査が行われ、組織片が病理診断部に送られてきた。クローン病を疑う中西だが、岸は確定できないと答える。その後も中西は何度も由希子の内視鏡検査を行うが、岸は病気の確定をしない。  　そんな時、宮崎は中熊薫(北大路欣也)と昼食。岸と中西の話をする宮崎に、中熊は苦笑い。その夜、宮崎は森井に誘われる。少しドキドキの宮崎だが、居酒屋で火箱直美(松井玲奈)という女性を紹介されて…。長瀬智也　  武井咲　  野村周平　  松井玲奈  　・　  小雪  　・　  津田寛治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池辺安智　    【制作】  フジテレビ　    【制作著作】  共同テレビ</t>
  </si>
  <si>
    <t xml:space="preserve">　岸京一郎(長瀬智也)が電話口で相手を怒鳴りつける病理診断科の朝。細木まどか(小雪)も顔を出す。電話を終えた岸は、宮崎智尋(武井咲)に診断を受け持つように指示。診断のチェック方法を尋ねる宮崎だが、岸は確認しないと言う。戸惑う宮崎に、細木や森井久志(野村周平)は何の助け舟も出さない。  　宮崎が岸に意見しようと追うと、ロビーで白根由希子(原田佳奈)、智文(清水伸)夫婦に会った。大腸の内視鏡検査を受けるという由希子を宮崎が案内する。  　岸は消化器内科のカンファレンスに出席。宮崎が遅れて会議室に入ると、いつものように医師の報告に文句をつける岸。しかし今回は岸の意見に最初から同意する中西篤也(中村俊介)が現れた。  　その中西が病理診断科に現れ、内視鏡検査を行う由希子の最初の疾患鑑別を岸に求める。中西自身は回盲部(小腸と大腸のつなぎ目付近)に何かあると見ているが、岸は答えない。それでも岸に診断を任せると言う中西。  　由希子の内視鏡検査が行われ、組織片が病理診断部に送られてきた。クローン病を疑う中西だが、岸は確定できないと答える。その後も中西は何度も由希子の内視鏡検査を行うが、岸は病気の確定をしない。  　そんな時、宮崎は中熊薫(北大路欣也)と昼食。岸と中西の話をする宮崎に、中熊は苦笑い。その夜、宮崎は森井に誘われる。少しドキドキの宮崎だが、居酒屋で火箱直美(松井玲奈)という女性を紹介されて…。</t>
  </si>
  <si>
    <t>番組名フラジャイル【長瀬智也主演!僕の診断が患者を救う!!】　#04</t>
  </si>
  <si>
    <t>番組公式ホームページ　  http://www.fujitv.co.jp/FG/index.html　    番組公式Twitter  〈公式〉フラジャイル〈ドラマ〉  #フラジャイル    ぜひご覧ください!!　岸京一郎(長瀬智也)が病理診断科に出勤すると、宮崎智尋(武井咲)が病理の本を広げて勉強中。宮崎を褒める岸は、この日行われるアミノ製薬の勉強会に出てみないかと持ちかける。仕事があると断ろうとする宮崎に、岸は豪華な弁当が出るとあおり、今日の仕事も自分が全部やると請け負った。そこまで上司に勧められれば断る道理はない。早速、宮崎は出かけることに。そんな岸を、森井久志(野村周平)は半ばあきれて見ていた。　外科医の細木まどか(小雪)は患者の安田春香(中越典子)の病室にいた。子宮の検査結果を聞く春香に、細木はまだ出ていないと答える。そして、細木は悪性腫瘍の場合、子宮全摘手術が必要と説明。すると春香はもう一人子どもが生みたいと細木に訴える。  　勉強会の会場で、宮崎は火箱直美(松井玲奈)に岸は来ないのかと聞かれる。代わりに来たと言う宮崎に、火箱が焦りだす。岸は講演を頼まれていたのだ。火箱から講演の代行を頼まれる宮崎だが務まるはずもなく、慌てて帰ろうとするが…。  　岸は春香の病理診断を迷っていた。そこに宮崎が怒りながら戻ってくる。実は岸の講演予定を知っていた森井が尋ねると、宮崎は会場にいた中熊薫(北大路欣也)が代行してくれたと答えた。  　春香の診断に迷う岸は、中熊に相談。中熊は岸の診断を肯定も否定もしない。それでも岸は細木に自分の診断を報告する。その報告が岸と細木の仲違いを生んでしまうことに…。長瀬智也　  武井咲　  野村周平　  松井玲奈  　・　  小雪  　・　  津田寛治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池辺安智　    【制作】  フジテレビ　    【制作著作】  共同テレビ</t>
  </si>
  <si>
    <t xml:space="preserve">　岸京一郎(長瀬智也)が病理診断科に出勤すると、宮崎智尋(武井咲)が病理の本を広げて勉強中。宮崎を褒める岸は、この日行われるアミノ製薬の勉強会に出てみないかと持ちかける。仕事があると断ろうとする宮崎に、岸は豪華な弁当が出るとあおり、今日の仕事も自分が全部やると請け負った。そこまで上司に勧められれば断る道理はない。早速、宮崎は出かけることに。そんな岸を、森井久志(野村周平)は半ばあきれて見ていた。　外科医の細木まどか(小雪)は患者の安田春香(中越典子)の病室にいた。子宮の検査結果を聞く春香に、細木はまだ出ていないと答える。そして、細木は悪性腫瘍の場合、子宮全摘手術が必要と説明。すると春香はもう一人子どもが生みたいと細木に訴える。  　勉強会の会場で、宮崎は火箱直美(松井玲奈)に岸は来ないのかと聞かれる。代わりに来たと言う宮崎に、火箱が焦りだす。岸は講演を頼まれていたのだ。火箱から講演の代行を頼まれる宮崎だが務まるはずもなく、慌てて帰ろうとするが…。  　岸は春香の病理診断を迷っていた。そこに宮崎が怒りながら戻ってくる。実は岸の講演予定を知っていた森井が尋ねると、宮崎は会場にいた中熊薫(北大路欣也)が代行してくれたと答えた。  　春香の診断に迷う岸は、中熊に相談。中熊は岸の診断を肯定も否定もしない。それでも岸は細木に自分の診断を報告する。その報告が岸と細木の仲違いを生んでしまうことに…。</t>
  </si>
  <si>
    <t>番組名フラジャイル【長瀬智也主演!僕の言葉で患者を救い出す!!】　#05</t>
  </si>
  <si>
    <t>番組公式ホームページ　  http://www.fujitv.co.jp/FG/index.html　    番組公式Twitter  〈公式〉フラジャイル〈ドラマ〉  #フラジャイル    ぜひご覧ください!!　岸京一郎(長瀬智也)は、宮崎智尋(武井咲)が診断した結果を女性外科のカンファレンスで発表するよう指示。自分の診断を初めて発表することになった宮崎は気合が入る。しかし、居合わせた細木まどか(小雪)に楽しみだとからかわれると、宮崎は緊張するので止めてほしいと頼む。宮崎はあがり症で、子供の頃のピアノ発表会でも緊張したそう。ピアノという言葉に反応した佐田直人(津田寛治)に、宮崎は院内コンサートの出演スタッフにされてしまう。  　そんな夜、森井久志(野村周平)が帰ろうとすると、これから腫瘍内科に入院する小早川洋行(安田章大)という患者と出会う。入院しなくてはいけないのに笑顔の小早川に森井は違和感を覚えた。その後、主治医と会った小早川は緩和ケア科への転科を承諾。小早川は余命宣告された患者だった。  　翌日、森井は岸に小早川のカルテを見せてもらう。小早川は岸の病理診断でも治癒が望まれる病気ではなかった。カルテを見ていた岸は、ある抗がん剤を試していないことに気づく。森井は興味を示すが、宮崎はその抗がん剤は特定のがんにしか効かないと言う。また、岸は保険が効かない薬なので大変に高価だと補足。  　買い物に出かけた森井は、再会した小早川と一緒に出かける。途中、人生でやり残したことはないが、唯一、音大に入って作曲したかったと話す小早川。それも今の状態ではと諦めている小早川に、森井は…。長瀬智也　  武井咲　  野村周平  　・　  小雪  　・　  津田寛治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池辺安智　    【制作】  フジテレビ　    【制作著作】  共同テレビ</t>
  </si>
  <si>
    <t xml:space="preserve">　岸京一郎(長瀬智也)は、宮崎智尋(武井咲)が診断した結果を女性外科のカンファレンスで発表するよう指示。自分の診断を初めて発表することになった宮崎は気合が入る。しかし、居合わせた細木まどか(小雪)に楽しみだとからかわれると、宮崎は緊張するので止めてほしいと頼む。宮崎はあがり症で、子供の頃のピアノ発表会でも緊張したそう。ピアノという言葉に反応した佐田直人(津田寛治)に、宮崎は院内コンサートの出演スタッフにされてしまう。  　そんな夜、森井久志(野村周平)が帰ろうとすると、これから腫瘍内科に入院する小早川洋行(安田章大)という患者と出会う。入院しなくてはいけないのに笑顔の小早川に森井は違和感を覚えた。その後、主治医と会った小早川は緩和ケア科への転科を承諾。小早川は余命宣告された患者だった。  　翌日、森井は岸に小早川のカルテを見せてもらう。小早川は岸の病理診断でも治癒が望まれる病気ではなかった。カルテを見ていた岸は、ある抗がん剤を試していないことに気づく。森井は興味を示すが、宮崎はその抗がん剤は特定のがんにしか効かないと言う。また、岸は保険が効かない薬なので大変に高価だと補足。  　買い物に出かけた森井は、再会した小早川と一緒に出かける。途中、人生でやり残したことはないが、唯一、音大に入って作曲したかったと話す小早川。それも今の状態ではと諦めている小早川に、森井は…。</t>
  </si>
  <si>
    <t>番組名フラジャイル【長瀬智也主演!僕の診断が親子を救う!!】　#06</t>
  </si>
  <si>
    <t>番組公式ホームページ　  http://www.fujitv.co.jp/FG/index.html　    番組公式Twitter  〈公式〉フラジャイル〈ドラマ〉  #フラジャイル    ぜひご覧ください!!　壮望会第一総合病院、病理診断科はその存続のため、セカンドオピニオンなどに対応する診療相談外来を受け持つことになる。医師の岸京一郎(長瀬智也)と宮崎智尋(武井咲)が担当するのだが、初日から雲行きが怪しい。患者と会わなくて済むから病理医になったと口にする岸に我慢できるかどうかは疑わしい。森井久志(野村周平)は1日ぐらい大丈夫だろうと予想するが、細木まどか(小雪)は半日も持たないと断言する。　案の定、岸は間もなく病理診断科に戻ってきてしまった。相談外来を提案した中熊薫(北大路欣也)と佐田直人(津田寛治)もあきれてしまう。何より迷惑なのは1人で相談外来を任された宮崎だった。  　その宮崎のもとに、須藤由美(赤間麻里子)が娘の玲奈(村上穂乃佳)を連れてやって来た。玲奈の薬が何度も変わることに不安を覚える由美だが、宮崎には治療も薬の処方も妥当に思える。そこに中熊が現れ、すぐに玲奈の状況を的確に当てた。感心する宮崎に中熊は自分なりの患者の見方を見つければいいと助言する。  　翌日、宮崎1人の相談外来に紹介状なしで梅木みゆき(山崎紘菜)が訪ねて来た。みゆきは、急病で入院した息子の診断が次々変わるので、どうしたら良いかわからないと宮崎に訴える。宮崎は担当医の紹介状をもらってきて欲しいと伝えた。  　みゆきは早速、息子の担当医、奈良井(篠井英介)に紹介状を頼む。しかし、奈良井の表情は曇り…。長瀬智也　  武井咲　  野村周平  　・　  小雪  　・　  津田寛治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池辺安智　    【制作】  フジテレビ　    【制作著作】  共同テレビ</t>
  </si>
  <si>
    <t xml:space="preserve">　壮望会第一総合病院、病理診断科はその存続のため、セカンドオピニオンなどに対応する診療相談外来を受け持つことになる。医師の岸京一郎(長瀬智也)と宮崎智尋(武井咲)が担当するのだが、初日から雲行きが怪しい。患者と会わなくて済むから病理医になったと口にする岸に我慢できるかどうかは疑わしい。森井久志(野村周平)は1日ぐらい大丈夫だろうと予想するが、細木まどか(小雪)は半日も持たないと断言する。　案の定、岸は間もなく病理診断科に戻ってきてしまった。相談外来を提案した中熊薫(北大路欣也)と佐田直人(津田寛治)もあきれてしまう。何より迷惑なのは1人で相談外来を任された宮崎だった。  　その宮崎のもとに、須藤由美(赤間麻里子)が娘の玲奈(村上穂乃佳)を連れてやって来た。玲奈の薬が何度も変わることに不安を覚える由美だが、宮崎には治療も薬の処方も妥当に思える。そこに中熊が現れ、すぐに玲奈の状況を的確に当てた。感心する宮崎に中熊は自分なりの患者の見方を見つければいいと助言する。  　翌日、宮崎1人の相談外来に紹介状なしで梅木みゆき(山崎紘菜)が訪ねて来た。みゆきは、急病で入院した息子の診断が次々変わるので、どうしたら良いかわからないと宮崎に訴える。宮崎は担当医の紹介状をもらってきて欲しいと伝えた。  　みゆきは早速、息子の担当医、奈良井(篠井英介)に紹介状を頼む。しかし、奈良井の表情は曇り…。</t>
  </si>
  <si>
    <t>番組名フラジャイル【長瀬智也主演!僕の言葉で組織を討つ!!】　#07</t>
  </si>
  <si>
    <t>番組公式ホームページ　  http://www.fujitv.co.jp/FG/index.html　    番組公式Twitter  〈公式〉フラジャイル〈ドラマ〉  #フラジャイル    ぜひご覧ください!!　岸京一郎(長瀬智也)は、かつて世話になった定年間近の放射線診断医、高柴善太郎(志賀廣太郎)に宮崎智尋(武井咲)を預ける。岸はその件を宮崎本人には伝えなかった。  　呼吸器外科のカンファレンスに1人で出向いた宮崎は、医師の診療方針に意見する高柴と出会う。岸とは正反対の低姿勢で発言し、医師にさらなる検査を納得させる高柴に宮崎は注目。そんな宮崎を高柴は放射線診断科に招待し仕事を説明する。  　一方、岸は佐田直人(津田寛治)に引っ張られ経営会議に出席。佐田は理事長(志賀圭二郎)に病理の診療相談外来の開設をほめられるが、人員整理を含めたさらなる経費削減を求められる。  　その夜、宮崎が森井久志(野村周平)、火箱直美(松井玲奈)と出かけた居酒屋に佐田がいた。そして、宮崎は高柴が佐田の指導医だったことを知る。  　宮崎は高柴と消化器外科のカンファレンスで顔を合わす。細木まどか(小雪)も同席。細木が胃がんを発見した患者、北山奈央(ハマカワフミエ)の診療方針が議題だからだ。奈央を担当した副院長でもある岡崎(中丸新将)は早期胃がんだったためESD(内視鏡治療)を行ったと説明。しかし肝臓への転移が疑われるため化学療法後の切除をする方針だと言う。高柴や細木、そして宮崎も再検査を求めるが、岡崎は応じない。その様子を岸が見ていた。  　岡崎は奈央の化学療法を始めるが、肝臓がんと思われる病巣は、大きくなっていた…。長瀬智也　  武井咲　  野村周平  　・　  小雪  　・　  津田寛治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池辺安智　    【制作】  フジテレビ　    【制作著作】  共同テレビ</t>
  </si>
  <si>
    <t xml:space="preserve">　岸京一郎(長瀬智也)は、かつて世話になった定年間近の放射線診断医、高柴善太郎(志賀廣太郎)に宮崎智尋(武井咲)を預ける。岸はその件を宮崎本人には伝えなかった。  　呼吸器外科のカンファレンスに1人で出向いた宮崎は、医師の診療方針に意見する高柴と出会う。岸とは正反対の低姿勢で発言し、医師にさらなる検査を納得させる高柴に宮崎は注目。そんな宮崎を高柴は放射線診断科に招待し仕事を説明する。  　一方、岸は佐田直人(津田寛治)に引っ張られ経営会議に出席。佐田は理事長(志賀圭二郎)に病理の診療相談外来の開設をほめられるが、人員整理を含めたさらなる経費削減を求められる。  　その夜、宮崎が森井久志(野村周平)、火箱直美(松井玲奈)と出かけた居酒屋に佐田がいた。そして、宮崎は高柴が佐田の指導医だったことを知る。  　宮崎は高柴と消化器外科のカンファレンスで顔を合わす。細木まどか(小雪)も同席。細木が胃がんを発見した患者、北山奈央(ハマカワフミエ)の診療方針が議題だからだ。奈央を担当した副院長でもある岡崎(中丸新将)は早期胃がんだったためESD(内視鏡治療)を行ったと説明。しかし肝臓への転移が疑われるため化学療法後の切除をする方針だと言う。高柴や細木、そして宮崎も再検査を求めるが、岡崎は応じない。その様子を岸が見ていた。  　岡崎は奈央の化学療法を始めるが、肝臓がんと思われる病巣は、大きくなっていた…。</t>
  </si>
  <si>
    <t>番組名フラジャイル【長瀬智也主演!天才病理医、最大のピンチ!!】　#08</t>
  </si>
  <si>
    <t>番組公式ホームページ　  http://www.fujitv.co.jp/FG/index.html　    番組公式Twitter  〈公式〉フラジャイル〈ドラマ〉  #フラジャイル    ぜひご覧ください!!　岸京一郎(長瀬智也)と宮崎智尋(武井咲)は、医学生に病理医の仕事を学ばせるために温泉旅館で開催された“病理の学校"に参加。中熊薫(北大路欣也)に強制的に連れ出された岸の学生たちへの言葉は辛辣(しんらつ)。しかし、そんな岸を出羽カナ(恒松祐里)という学生が見つめていた。  　その頃、病理診断科では、森井久志(野村周平)が1人で仕事をしていた。そこに、細木まどか(小雪)の女性外科から複数の検体が送られてくる。そこに、火箱直美(松井玲奈)がやって来た。部外者が部屋に入ったことが岸にバレたら怒られると慌てる森井をからかい、火箱は去るのだが…。  　翌日、岸と宮崎が帰ってきた。鋭く部外者が部屋に来たかと問う岸に、森井は何も変わりなかったと答える。岸はそれ以上詮索せず、森井が用意した女性外科の検体を調べる。  　岸の病理診断で細木の患者は問題なかったが、同じ女性外科の柳原亮子(森口瑤子)の患者にがんが発見され手術をすることになる。一方、病理診断科に中熊がカナを連れてきた。先日の勉強会でカナは病理に興味を持った様子。自分は面倒を見ないと無視しようとする岸。しかしカナは岸に自分から接近していこうとする。  　柳原の患者の手術が始まり、術中迅速病理診断のために検体を岸が診る。だが、組織にがんは認められない。説明を聞いた柳原が怒鳴り込んで来た。これでは医療ミスになってしまう。岸の診断に誤りが!?長瀬智也　  武井咲　  野村周平  　・　  小雪  　・　  津田寛治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池辺安智　    【制作】  フジテレビ　    【制作著作】  共同テレビ</t>
  </si>
  <si>
    <t xml:space="preserve">　岸京一郎(長瀬智也)と宮崎智尋(武井咲)は、医学生に病理医の仕事を学ばせるために温泉旅館で開催された“病理の学校"に参加。中熊薫(北大路欣也)に強制的に連れ出された岸の学生たちへの言葉は辛辣(しんらつ)。しかし、そんな岸を出羽カナ(恒松祐里)という学生が見つめていた。  　その頃、病理診断科では、森井久志(野村周平)が1人で仕事をしていた。そこに、細木まどか(小雪)の女性外科から複数の検体が送られてくる。そこに、火箱直美(松井玲奈)がやって来た。部外者が部屋に入ったことが岸にバレたら怒られると慌てる森井をからかい、火箱は去るのだが…。  　翌日、岸と宮崎が帰ってきた。鋭く部外者が部屋に来たかと問う岸に、森井は何も変わりなかったと答える。岸はそれ以上詮索せず、森井が用意した女性外科の検体を調べる。  　岸の病理診断で細木の患者は問題なかったが、同じ女性外科の柳原亮子(森口瑤子)の患者にがんが発見され手術をすることになる。一方、病理診断科に中熊がカナを連れてきた。先日の勉強会でカナは病理に興味を持った様子。自分は面倒を見ないと無視しようとする岸。しかしカナは岸に自分から接近していこうとする。  　柳原の患者の手術が始まり、術中迅速病理診断のために検体を岸が診る。だが、組織にがんは認められない。説明を聞いた柳原が怒鳴り込んで来た。これでは医療ミスになってしまう。岸の診断に誤りが!?</t>
  </si>
  <si>
    <t>番組名フラジャイル【長瀬智也主演!忍び寄る魔法の新薬の影】　#09</t>
  </si>
  <si>
    <t>番組公式ホームページ　  http://www.fujitv.co.jp/FG/index.html　    番組公式Twitter  〈公式〉フラジャイル〈ドラマ〉  #フラジャイル    ぜひご覧ください!!　岸京一郎(長瀬智也)は、宮崎智尋(武井咲)を助手に剖検(遺体を解剖して病気などを詳しく調べること)を実施。今回は細木まどか(小雪)が担当していた患者だった。作業を進めながら、岸は宮崎に剖検の意味を尋ねる。死因の解明と予期せぬ病変の発見と答える宮崎に、岸は未来の誰かの命のためだと付け加えた。  　一方、アミノ製薬の火箱直美(松井玲奈)は自社が開発した抗がん剤の治験協力を得ようと中熊薫(北大路欣也)に会っていた。抗がん剤AM105の効能を熱く語る火箱だが、中熊にあっさりと断られてしまう。その頃、火箱の上司、間瀬辰人(高嶋政宏)は料亭で会社に協力的な医師を接待。AM105の治験を頼む間瀬に、その医師は協力を表明する。  　いつものように病理診断科の朝が始まるが、いつもとは違う。技師の森井久志(野村周平)が岸と半ば仲たがいしたまま、辞めてしまったからだ。新たな技師も来たのだが、もともと5人分とも言われる仕事量をテキパキとこなしていた森井には遠く及ばないため、仕事は溜まっていく一方。その頃、森井は新たな病院で技師として働いていた。岸の病理とは違い、残業が不必要なので、医師を目指す勉強も進められる。その病院を森井に紹介したのは火箱だった。  　そんな時、宮崎の幼なじみ、松田幸司(小出恵介)が検査入院。検査の結果、松田は重篤なガンだとわかる。結果を知った松田は抗がん剤AM105を探し出し…。長瀬智也　  武井咲　  野村周平  　・　  小雪  　・　  津田寛治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池辺安智　    【制作】  フジテレビ　    【制作著作】  共同テレビ</t>
  </si>
  <si>
    <t xml:space="preserve">　岸京一郎(長瀬智也)は、宮崎智尋(武井咲)を助手に剖検(遺体を解剖して病気などを詳しく調べること)を実施。今回は細木まどか(小雪)が担当していた患者だった。作業を進めながら、岸は宮崎に剖検の意味を尋ねる。死因の解明と予期せぬ病変の発見と答える宮崎に、岸は未来の誰かの命のためだと付け加えた。  　一方、アミノ製薬の火箱直美(松井玲奈)は自社が開発した抗がん剤の治験協力を得ようと中熊薫(北大路欣也)に会っていた。抗がん剤AM105の効能を熱く語る火箱だが、中熊にあっさりと断られてしまう。その頃、火箱の上司、間瀬辰人(高嶋政宏)は料亭で会社に協力的な医師を接待。AM105の治験を頼む間瀬に、その医師は協力を表明する。  　いつものように病理診断科の朝が始まるが、いつもとは違う。技師の森井久志(野村周平)が岸と半ば仲たがいしたまま、辞めてしまったからだ。新たな技師も来たのだが、もともと5人分とも言われる仕事量をテキパキとこなしていた森井には遠く及ばないため、仕事は溜まっていく一方。その頃、森井は新たな病院で技師として働いていた。岸の病理とは違い、残業が不必要なので、医師を目指す勉強も進められる。その病院を森井に紹介したのは火箱だった。  　そんな時、宮崎の幼なじみ、松田幸司(小出恵介)が検査入院。検査の結果、松田は重篤なガンだとわかる。結果を知った松田は抗がん剤AM105を探し出し…。</t>
  </si>
  <si>
    <t>番組名フラジャイル【長瀬智也主演!医療の巨悪に挑む!大逆転の幕が開く!!】　#10</t>
  </si>
  <si>
    <t>番組公式ホームページ　  http://www.fujitv.co.jp/FG/index.html　    番組公式Twitter  〈公式〉フラジャイル〈ドラマ〉  #フラジャイル    ぜひご覧ください!!　アミノ製薬の火箱直美(松井玲奈)から新薬AM105の治験への協力を頼まれた岸京一郎(長瀬智也)は、意外にもあっさりと承諾。早速、火箱はAM105を直接使用することになる患者、松田幸司(小出恵介)の病室に持ち込む。松田の担当医、稲垣大道(平山祐介)と宮崎智尋(武井咲)もいた。その時、火箱と話の合う松田の様子を見て、宮崎は2人を友人にさせようとする。  　一方、岸は火箱から預かったAM105の症例報告書を精査していた。すると、気になる箇所が見つかり、それは新東京医療センターでの症例だった。患者は薬によって腫瘍が消えたことになっていたが、退院後は受診していない。岸は細木まどか(小雪)から森井久志(野村周平)がこの病院で働いていることを聞いていた。森井の帰りを待った岸は、患者の情報を教えて欲しいと頼む。  　中熊薫(北大路欣也)は、アミノ製薬が怪しいと岸に忠告。岸は火箱を呼んで、症例報告書が改ざんされているのではと問いただす。しかし火箱は否定。岸は森井に調べてもらった患者の件を火箱に伝える。新東京医療センターで治験を受けて退院した患者は、2日後に多臓器不全で亡くなっていた。傍らで話を耳にした宮崎は、AM105の副作用を疑う。信じがたい火箱だが、治験情報のすべてを把握してはいない。真相を知っているのは部長の間瀬辰人(高嶋政宏)だけ。火箱は患者が本当に亡くなったのか確かめると飛び出し…。長瀬智也　  武井咲　  野村周平  　・　  小雪  　・　  津田寛治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池辺安智　    【制作】  フジテレビ　    【制作著作】  共同テレビ</t>
  </si>
  <si>
    <t xml:space="preserve">　アミノ製薬の火箱直美(松井玲奈)から新薬AM105の治験への協力を頼まれた岸京一郎(長瀬智也)は、意外にもあっさりと承諾。早速、火箱はAM105を直接使用することになる患者、松田幸司(小出恵介)の病室に持ち込む。松田の担当医、稲垣大道(平山祐介)と宮崎智尋(武井咲)もいた。その時、火箱と話の合う松田の様子を見て、宮崎は2人を友人にさせようとする。  　一方、岸は火箱から預かったAM105の症例報告書を精査していた。すると、気になる箇所が見つかり、それは新東京医療センターでの症例だった。患者は薬によって腫瘍が消えたことになっていたが、退院後は受診していない。岸は細木まどか(小雪)から森井久志(野村周平)がこの病院で働いていることを聞いていた。森井の帰りを待った岸は、患者の情報を教えて欲しいと頼む。  　中熊薫(北大路欣也)は、アミノ製薬が怪しいと岸に忠告。岸は火箱を呼んで、症例報告書が改ざんされているのではと問いただす。しかし火箱は否定。岸は森井に調べてもらった患者の件を火箱に伝える。新東京医療センターで治験を受けて退院した患者は、2日後に多臓器不全で亡くなっていた。傍らで話を耳にした宮崎は、AM105の副作用を疑う。信じがたい火箱だが、治験情報のすべてを把握してはいない。真相を知っているのは部長の間瀬辰人(高嶋政宏)だけ。火箱は患者が本当に亡くなったのか確かめると飛び出し…。</t>
  </si>
  <si>
    <t>1601_CX_木22</t>
  </si>
  <si>
    <t>ナオミとカナコ</t>
  </si>
  <si>
    <t>番組名&lt;木曜劇場&gt;ナオミとカナコ【いっそ二人で殺そうか、あんたの旦那…】　#01</t>
  </si>
  <si>
    <t>番組HP:　http://www.fujitv.co.jp/naomi-kanako/index.html　    番組公式LINEアカウントあります!  LINE@naomiandkanako　大学時代からの親友、小田直美(広末涼子)と服部加奈子(内田有紀)は、半年ぶりに再会した。加奈子の瀟洒なマンションに招かれた直美は、お互いの自宅が近くなったことを喜んだ。そこには、加奈子の夫で、エリート銀行マンの服部達郎(佐藤隆太)がいて、遅れて達郎の姉の服部陽子(吉田羊)もやってきた。食後、直美と加奈子はデザートの用意をしにキッチンに立つ。その時、直美が笑って加奈子の腕を軽くたたくと、加奈子は飛び上がるほど痛がった。さらに、加奈子は洋ナシを見て固まり、額に脂汗を浮かべた。感情が欠落したようなその表情に、直美は得も言われぬ違和感を覚える。  　そんな折、直美が勤める葵百貨店の外商部が、華僑の大物を招いての商談会を開催。会場には高級品が揃えられた。課長の内藤伸吾(宮川一朗太)から、客は10人程度だと聞いていた直美だったが、実際は大人数の華僑が押し寄せ、会場は大混乱。そんな中、200万円超の腕時計が紛失するという事件が起こった。直美は、その腕時計を勝手にはめていた女性(高畑淳子)に思い至る。  　一方、専業主婦の加奈子は、深夜、帰宅した達郎を玄関で迎えた。酔った達郎は、いきなり加奈子に抱きつくと、強引にキスをして体を求めてくる。思わず後ずさりした加奈子に、嫌なのか、と憤った達郎は顔色を変える。翌日、加奈子を見た直美は凍り付く。加奈子の顔は腫れ上がり、どす黒いアザが浮かんでいたのだ。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</si>
  <si>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 xml:space="preserve">　大学時代からの親友、小田直美(広末涼子)と服部加奈子(内田有紀)は、半年ぶりに再会した。加奈子の瀟洒なマンションに招かれた直美は、お互いの自宅が近くなったことを喜んだ。そこには、加奈子の夫で、エリート銀行マンの服部達郎(佐藤隆太)がいて、遅れて達郎の姉の服部陽子(吉田羊)もやってきた。食後、直美と加奈子はデザートの用意をしにキッチンに立つ。その時、直美が笑って加奈子の腕を軽くたたくと、加奈子は飛び上がるほど痛がった。さらに、加奈子は洋ナシを見て固まり、額に脂汗を浮かべた。感情が欠落したようなその表情に、直美は得も言われぬ違和感を覚える。  　そんな折、直美が勤める葵百貨店の外商部が、華僑の大物を招いての商談会を開催。会場には高級品が揃えられた。課長の内藤伸吾(宮川一朗太)から、客は10人程度だと聞いていた直美だったが、実際は大人数の華僑が押し寄せ、会場は大混乱。そんな中、200万円超の腕時計が紛失するという事件が起こった。直美は、その腕時計を勝手にはめていた女性(高畑淳子)に思い至る。  　一方、専業主婦の加奈子は、深夜、帰宅した達郎を玄関で迎えた。酔った達郎は、いきなり加奈子に抱きつくと、強引にキスをして体を求めてくる。思わず後ずさりした加奈子に、嫌なのか、と憤った達郎は顔色を変える。翌日、加奈子を見た直美は凍り付く。加奈子の顔は腫れ上がり、どす黒いアザが浮かんでいたのだ。</t>
  </si>
  <si>
    <t>番組名&lt;木曜劇場&gt;ナオミとカナコ【いっそ二人で殺そうか、あんたの旦那……】　#02</t>
  </si>
  <si>
    <t>番組HP:　http://www.fujitv.co.jp/naomi-kanako/index.html　    番組公式LINEアカウントあります!  LINE@naomiandkanako小田直美(広末涼子)は、服部加奈子(内田有紀)に暴力をふるう彼女の夫・服部達郎(佐藤隆太)を、いっそ二人で殺そうか、と口走った自分に困惑していた。  そんな朝、加奈子は、達郎から一緒に産婦人科に行こうと言われ凍りつく。自分も早く子供が欲しいと言うのだ。実は達郎の暴力が始まってから妊娠するのが怖くてピルを飲んでいる加奈子は、まずはひとりで行ってみる、とごまかした。  後日、直美は加奈子のマンションに立ち寄った。達郎は残業で留守のため、加奈子は直美に手料理を振る舞う。その際、話が達郎の暴力に及び、離婚を勧める直美に対して加奈子は、達郎と話し合ってみると言った。話が通じる相手ではない、と直美が語気を強めると、加奈子は、近く結婚記念日があるから、そこでもう一度だけ話し合ってみる、と直美を見据えた。  翌日、直美は李朱美(高畑淳子)に呼び出された。やってきた直美に朱美は、従業員の林竜輝(佐藤隆太)が借りるアパートの連帯保証人になってくれ、と頼む。直美は朱美に交換条件を突きつけ、それを引き受ける。  加奈子と達郎の結婚記念日。レストランに現れた達郎は上機嫌だった。直美に客を紹介してもらったこともあり、営業成績がトップに躍り出たという。そんな達郎に加奈子は、今後子供を持つこともあるのだから暴力は止めてほしい、と懇願した。しばし固まった達郎だったが、震える加奈子の手を握ると、もうしないと約束する…。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</si>
  <si>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小田直美(広末涼子)は、服部加奈子(内田有紀)に暴力をふるう彼女の夫・服部達郎(佐藤隆太)を、いっそ二人で殺そうか、と口走った自分に困惑していた。  そんな朝、加奈子は、達郎から一緒に産婦人科に行こうと言われ凍りつく。自分も早く子供が欲しいと言うのだ。実は達郎の暴力が始まってから妊娠するのが怖くてピルを飲んでいる加奈子は、まずはひとりで行ってみる、とごまかした。  後日、直美は加奈子のマンションに立ち寄った。達郎は残業で留守のため、加奈子は直美に手料理を振る舞う。その際、話が達郎の暴力に及び、離婚を勧める直美に対して加奈子は、達郎と話し合ってみると言った。話が通じる相手ではない、と直美が語気を強めると、加奈子は、近く結婚記念日があるから、そこでもう一度だけ話し合ってみる、と直美を見据えた。  翌日、直美は李朱美(高畑淳子)に呼び出された。やってきた直美に朱美は、従業員の林竜輝(佐藤隆太)が借りるアパートの連帯保証人になってくれ、と頼む。直美は朱美に交換条件を突きつけ、それを引き受ける。  加奈子と達郎の結婚記念日。レストランに現れた達郎は上機嫌だった。直美に客を紹介してもらったこともあり、営業成績がトップに躍り出たという。そんな達郎に加奈子は、今後子供を持つこともあるのだから暴力は止めてほしい、と懇願した。しばし固まった達郎だったが、震える加奈子の手を握ると、もうしないと約束する…。</t>
  </si>
  <si>
    <t>番組名&lt;木曜劇場&gt;ナオミとカナコ【DV夫殺害への完全犯罪が遂に動き出す!】　#03</t>
  </si>
  <si>
    <t>番組HP:　http://www.fujitv.co.jp/naomi-kanako/index.html　    番組公式LINEアカウントあります!  LINE@naomiandkanako　小田直美(広末涼子)に連れられてチャイナタウンにやってきた服部加奈子(内田有紀)は、そこで服部達郎(佐藤隆太)にうり二つの中国人・林竜輝(佐藤隆太/二役)を見て驚がくする。林は、直美の顧客・李朱美(高畑淳子)の会社の従業員だったが、不法滞在であることが発覚し、クビになった。直美は、そんな林を達郎の替え玉にすることを思いついたのだ。達郎殺害後、達郎のパスポートで林を出国させれば、達郎の死体が見つからない限り、警察は失踪事件として扱うだろう、と。直美から計画を聞いた加奈子は、揺れ動く。  　後日、林は200万円の報酬と引き換えに、達郎になりすまし、出国することを承諾。その頃、達郎に再び暴力を振るわれた加奈子は、殺害を真剣に考えるようになる。  　別の日、直美は顧客・斎藤順子(富司純子)を達郎に紹介するため、達郎とともに順子宅を訪ねる。高齢で認知症を患っている順子は、直美を全面的に信頼し、直美の勧めで達郎の銀行に口座を開設することになった。新規の顧客獲得を喜ぶ達郎だったが、それこそが、直美の計画の第一歩だった。  　一方、加奈子は、林を達郎に仕立てるため、林のアパートを訪ね、左利きの林に右手で達郎のサインをさせる特訓を始めた。直美と加奈子は、達郎殺害を翌週の金曜日と決め、着々と準備に取り掛かる。  　ある日、達郎の姉で大手不動産会社に勤める服部陽子(吉田羊)が葵百貨店外商部に現れる…。広末涼子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</si>
  <si>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 xml:space="preserve">　小田直美(広末涼子)に連れられてチャイナタウンにやってきた服部加奈子(内田有紀)は、そこで服部達郎(佐藤隆太)にうり二つの中国人・林竜輝(佐藤隆太/二役)を見て驚がくする。林は、直美の顧客・李朱美(高畑淳子)の会社の従業員だったが、不法滞在であることが発覚し、クビになった。直美は、そんな林を達郎の替え玉にすることを思いついたのだ。達郎殺害後、達郎のパスポートで林を出国させれば、達郎の死体が見つからない限り、警察は失踪事件として扱うだろう、と。直美から計画を聞いた加奈子は、揺れ動く。  　後日、林は200万円の報酬と引き換えに、達郎になりすまし、出国することを承諾。その頃、達郎に再び暴力を振るわれた加奈子は、殺害を真剣に考えるようになる。  　別の日、直美は顧客・斎藤順子(富司純子)を達郎に紹介するため、達郎とともに順子宅を訪ねる。高齢で認知症を患っている順子は、直美を全面的に信頼し、直美の勧めで達郎の銀行に口座を開設することになった。新規の顧客獲得を喜ぶ達郎だったが、それこそが、直美の計画の第一歩だった。  　一方、加奈子は、林を達郎に仕立てるため、林のアパートを訪ね、左利きの林に右手で達郎のサインをさせる特訓を始めた。直美と加奈子は、達郎殺害を翌週の金曜日と決め、着々と準備に取り掛かる。  　ある日、達郎の姉で大手不動産会社に勤める服部陽子(吉田羊)が葵百貨店外商部に現れる…。</t>
  </si>
  <si>
    <t>番組名&lt;木曜劇場&gt;ナオミとカナコ【遂に殺害実行日!不測の事態が2人を襲う】　#04</t>
  </si>
  <si>
    <t>番組ホームページ→　http://www.fujitv.co.jp/naomi-kanako/index.html　    番組公式LINEアカウントあります!  LINE@naomiandkanako　    原作「ナオミとカナコ」(幻冬舎刊)絶賛発売中!　小田直美(広末涼子)と服部加奈子(内田有紀)は、服部達郎(佐藤隆太)の殺害を一週間後の深夜と決め、着々と準備を進める。  　その頃、チャイナタウンで不法滞在の中国人たちが警察に連行される事件が起こった。これで林竜輝(佐藤隆太/二役)が捕まれば計画が成立しなくなってしまう。李朱美(高畑淳子)は、林の居場所を知らないというが、加奈子が探し当て、林をホテルにかくまう。  　犯行数日前の夜、直美と加奈子は、達郎の留守を狙って予行練習を行うことに。殺害はロープによる絞殺だが、達郎の遺体を部屋から駐車場へ運ぶまでの間に、予想外の問題があることが発覚。それを確認しながら、2人は本番さながらにリハーサルを行っていく。  　犯行前日、直美は達郎とともに斎藤順子(富司純子)宅を訪ねる。直美が順子のパソコンを操作し、順子の口座から一千万円を加奈子の口座へ振り込む工作をするためだ。達郎を伴ったのは、後々、捜査が及んだときに、その振り込みを達郎が行ったと見せかける目的だ。  　そして、犯行当日。すべての準備を終え、直美が出社すると、そこに服部陽子(吉田羊)がいた。驚く直美に部長の浅井信之(山路和弘)は、これから陽子とともに京都へ出張に行ってくれと命じた。共同プロジェクトの成功のカギを握る芸術家を説得するために、どうしても直美の力が必要だという陽子。とまどう直美は…。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</si>
  <si>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 xml:space="preserve">　    原作「ナオミとカナコ」(幻冬舎刊)絶賛発売中!　小田直美(広末涼子)と服部加奈子(内田有紀)は、服部達郎(佐藤隆太)の殺害を一週間後の深夜と決め、着々と準備を進める。  　その頃、チャイナタウンで不法滞在の中国人たちが警察に連行される事件が起こった。これで林竜輝(佐藤隆太/二役)が捕まれば計画が成立しなくなってしまう。李朱美(高畑淳子)は、林の居場所を知らないというが、加奈子が探し当て、林をホテルにかくまう。  　犯行数日前の夜、直美と加奈子は、達郎の留守を狙って予行練習を行うことに。殺害はロープによる絞殺だが、達郎の遺体を部屋から駐車場へ運ぶまでの間に、予想外の問題があることが発覚。それを確認しながら、2人は本番さながらにリハーサルを行っていく。  　犯行前日、直美は達郎とともに斎藤順子(富司純子)宅を訪ねる。直美が順子のパソコンを操作し、順子の口座から一千万円を加奈子の口座へ振り込む工作をするためだ。達郎を伴ったのは、後々、捜査が及んだときに、その振り込みを達郎が行ったと見せかける目的だ。  　そして、犯行当日。すべての準備を終え、直美が出社すると、そこに服部陽子(吉田羊)がいた。驚く直美に部長の浅井信之(山路和弘)は、これから陽子とともに京都へ出張に行ってくれと命じた。共同プロジェクトの成功のカギを握る芸術家を説得するために、どうしても直美の力が必要だという陽子。とまどう直美は…。</t>
  </si>
  <si>
    <t>番組名&lt;木曜劇場&gt;ナオミとカナコ【二人を待つのは、真の自由か破滅の影か…】　#05</t>
  </si>
  <si>
    <t>番組ホームページ→　http://www.fujitv.co.jp/naomi-kanako/index.html　    番組公式LINEアカウントあります!  LINE@naomiandkanako　    原作「ナオミとカナコ」(幻冬舎刊)絶賛発売中!小田直美(広末涼子)と服部加奈子(内田有紀)は、酔って熟睡している服部達郎(佐藤隆太)の枕の下にロープを差し込むと、その端をそれぞれで握った。顔を見合わせ、意志を確認したふたりは、カウントダウンから、ロープを締め上げようとした。と、その瞬間、けたたましい音をたて、達郎の携帯電話が鳴り響く。着信履歴は、服部陽子(吉田羊)だった。電話に反応した達郎は、ゆっくりと目を開け、自分の両脇にいる直美と加奈子に気づいた。驚がくして硬直状態になる直美。加奈子は、直美に声をかけると自らロープを引っ張った。我に返った直美も慌ててロープを引く。ふたりは、全体重をかけて引いたーー。  翌日、直美と加奈子は、達郎になりすました林竜輝(佐藤隆太/二役)と落ち合うと、林にATMで報酬を引き出させた。防犯カメラに自分の姿が映っていることを意識しながら、林は達郎の利き手である右手で機械を操作した。  さらに翌日の日曜日、直美と加奈子は人気のパンケーキ店に並びランチをとり、その後、達郎の失踪が明らかになる月曜日からの対処法を話し合った。  月曜日の朝9時半過ぎーー。予想通り、達郎の銀行の同僚の山本(近藤公園)から、自宅に電話がかかってくる。加奈子は直美との打ち合わせ通り、達郎は土曜の昼に「休日出勤」だと言って自宅を出たまま戻っていないと話した。同じ頃、直美には李朱美(高畑淳子)から、大事な話がある、と電話がかかってきて…。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</si>
  <si>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 xml:space="preserve">　    原作「ナオミとカナコ」(幻冬舎刊)絶賛発売中!小田直美(広末涼子)と服部加奈子(内田有紀)は、酔って熟睡している服部達郎(佐藤隆太)の枕の下にロープを差し込むと、その端をそれぞれで握った。顔を見合わせ、意志を確認したふたりは、カウントダウンから、ロープを締め上げようとした。と、その瞬間、けたたましい音をたて、達郎の携帯電話が鳴り響く。着信履歴は、服部陽子(吉田羊)だった。電話に反応した達郎は、ゆっくりと目を開け、自分の両脇にいる直美と加奈子に気づいた。驚がくして硬直状態になる直美。加奈子は、直美に声をかけると自らロープを引っ張った。我に返った直美も慌ててロープを引く。ふたりは、全体重をかけて引いたーー。  翌日、直美と加奈子は、達郎になりすました林竜輝(佐藤隆太/二役)と落ち合うと、林にATMで報酬を引き出させた。防犯カメラに自分の姿が映っていることを意識しながら、林は達郎の利き手である右手で機械を操作した。  さらに翌日の日曜日、直美と加奈子は人気のパンケーキ店に並びランチをとり、その後、達郎の失踪が明らかになる月曜日からの対処法を話し合った。  月曜日の朝9時半過ぎーー。予想通り、達郎の銀行の同僚の山本(近藤公園)から、自宅に電話がかかってくる。加奈子は直美との打ち合わせ通り、達郎は土曜の昼に「休日出勤」だと言って自宅を出たまま戻っていないと話した。同じ頃、直美には李朱美(高畑淳子)から、大事な話がある、と電話がかかってきて…。</t>
  </si>
  <si>
    <t>番組名&lt;木曜劇場&gt;ナオミとカナコ【共犯者となった二人に静かに迫る疑惑の影】　#06</t>
  </si>
  <si>
    <t>「四大陸フィギュアスケート選手権2016　女子ショートプログラム」延長の際、放送時間繰り下げの場合あり。番組ホームページ→　http://www.fujitv.co.jp/naomi-kanako/index.html　    番組公式LINEアカウントあります!  LINE@naomiandkanako　    ドラマ原作「ナオミとカナコ」奥田英朗著(幻冬舎刊)絶賛発売中!　小田直美(広末涼子)は、服部達郎(佐藤隆太)を本気で知らないと発言する斎藤順子(富司純子)に、なんとか達郎のことを思い出させようとするが、順子の記憶は戻らない。直美は、達郎の同僚・山本(近藤公園)らに事情説明を求められる。  　同じ頃、服部加奈子(内田有紀)は、服部陽子(吉田羊)と対峙していた。陽子は、昇進が決まって輝かしい未来が開けていた達郎が失踪するはずはない、と強固に主張し加奈子を見据えた。　翌日、銀行に出向いた加奈子は、山本からATMの防犯カメラの画像を見せられる。そこには、達郎になりすましATMを操作する林竜輝(佐藤隆太/二役)が映っていた。加奈子は、それを達郎だと思う、と計画通り答えた。  　一方、外商部にいた直美のところへ、陽子がやってくる。陽子は直美に、達郎が失踪する前日の金曜日の夜、京都から戻った後に加奈子に会ったことを問いただす。  　後日、銀行から達郎の失踪に関する「最終調査報告書」が提示されることになり、達郎の実家に加奈子が呼び出される。達郎の両親を前に緊張を強いられているところにチャイムが鳴る。加奈子が玄関に出ると、陽子が立っていた。  　その頃、直美は、李朱美(高畑淳子)の事務所にいた。営業に同行してほしいと頼む朱美の話を聞いていると、加奈子からメールが入った。その場を離れ、メールを食い入るように見る直美を、朱美は見つめていて…。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</si>
  <si>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 xml:space="preserve">　    ドラマ原作「ナオミとカナコ」奥田英朗著(幻冬舎刊)絶賛発売中!　小田直美(広末涼子)は、服部達郎(佐藤隆太)を本気で知らないと発言する斎藤順子(富司純子)に、なんとか達郎のことを思い出させようとするが、順子の記憶は戻らない。直美は、達郎の同僚・山本(近藤公園)らに事情説明を求められる。  　同じ頃、服部加奈子(内田有紀)は、服部陽子(吉田羊)と対峙していた。陽子は、昇進が決まって輝かしい未来が開けていた達郎が失踪するはずはない、と強固に主張し加奈子を見据えた。　翌日、銀行に出向いた加奈子は、山本からATMの防犯カメラの画像を見せられる。そこには、達郎になりすましATMを操作する林竜輝(佐藤隆太/二役)が映っていた。加奈子は、それを達郎だと思う、と計画通り答えた。  　一方、外商部にいた直美のところへ、陽子がやってくる。陽子は直美に、達郎が失踪する前日の金曜日の夜、京都から戻った後に加奈子に会ったことを問いただす。  　後日、銀行から達郎の失踪に関する「最終調査報告書」が提示されることになり、達郎の実家に加奈子が呼び出される。達郎の両親を前に緊張を強いられているところにチャイムが鳴る。加奈子が玄関に出ると、陽子が立っていた。  　その頃、直美は、李朱美(高畑淳子)の事務所にいた。営業に同行してほしいと頼む朱美の話を聞いていると、加奈子からメールが入った。その場を離れ、メールを食い入るように見る直美を、朱美は見つめていて…。</t>
  </si>
  <si>
    <t>番組名&lt;木曜劇場&gt;ナオミとカナコ【あの人は殺したはず…まさかの男再登場!】　#07</t>
  </si>
  <si>
    <t>番組ホームページ→　http://www.fujitv.co.jp/naomi-kanako/index.html　    番組公式LINEアカウントあります!  LINE@naomiandkanako　    ドラマ原作「ナオミとカナコ」奥田英朗著(幻冬舎刊)絶賛発売中!　小田直美(広末涼子)と服部加奈子(内田有紀)は、マンションの防犯カメラの映像を確認すると言って一歩も譲らない服部陽子(吉田羊)と管理人の坂下(ト字たかお)を訪ねるが、住人のプライバシーにかかわる問題だから見せられない、と言われてしまう。直美と加奈子は密かに安堵するが、陽子はあきらめず、なんとか見られるように調整してくれと坂下に迫る。  　防犯カメラの映像の保管期間は3週間。数日経てば証拠は消えるが、陽子の執拗な追跡に、直美と加奈子は不安が募る。加奈子は、当分、働くことは考えないほうがいいだろうと言うが、直美は加奈子の新たな人生のスタートのためには必要だとし、後日、李朱美(高畑淳子)の面接に一緒に出向く。  　同じ頃、陽子は、興信所へ駆け込み所員の三枝(前川泰之)に詳細を説明。三枝は、服部達郎(佐藤隆太)が失踪した理由は、仕事だけとは限らない、との見解を話す。興信所を出た陽子は、達郎の銀行の同僚の山本芳樹(近藤公園)に電話をかけ、あることを依頼する。  　別の日、直美は、顧客の斎藤順子(富司純子)の自宅で昼食をごちそうになった。帰ろうとしたところに、山本がやってくる。達郎の行方が分からなくなったため、自分が順子を担当している、と聞いた直美は、銀行が行っている達郎に関する追加調査について探りを入れる。そこで直美は、山本の口から驚きの事実を聞き…。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</si>
  <si>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 xml:space="preserve">　    ドラマ原作「ナオミとカナコ」奥田英朗著(幻冬舎刊)絶賛発売中!　小田直美(広末涼子)と服部加奈子(内田有紀)は、マンションの防犯カメラの映像を確認すると言って一歩も譲らない服部陽子(吉田羊)と管理人の坂下(ト字たかお)を訪ねるが、住人のプライバシーにかかわる問題だから見せられない、と言われてしまう。直美と加奈子は密かに安堵するが、陽子はあきらめず、なんとか見られるように調整してくれと坂下に迫る。  　防犯カメラの映像の保管期間は3週間。数日経てば証拠は消えるが、陽子の執拗な追跡に、直美と加奈子は不安が募る。加奈子は、当分、働くことは考えないほうがいいだろうと言うが、直美は加奈子の新たな人生のスタートのためには必要だとし、後日、李朱美(高畑淳子)の面接に一緒に出向く。  　同じ頃、陽子は、興信所へ駆け込み所員の三枝(前川泰之)に詳細を説明。三枝は、服部達郎(佐藤隆太)が失踪した理由は、仕事だけとは限らない、との見解を話す。興信所を出た陽子は、達郎の銀行の同僚の山本芳樹(近藤公園)に電話をかけ、あることを依頼する。  　別の日、直美は、顧客の斎藤順子(富司純子)の自宅で昼食をごちそうになった。帰ろうとしたところに、山本がやってくる。達郎の行方が分からなくなったため、自分が順子を担当している、と聞いた直美は、銀行が行っている達郎に関する追加調査について探りを入れる。そこで直美は、山本の口から驚きの事実を聞き…。</t>
  </si>
  <si>
    <t>番組名&lt;木曜劇場&gt;ナオミとカナコ【共犯決裂!!裏切りと越えてはならぬ一線】　#08</t>
  </si>
  <si>
    <t>第8話、15分拡大スペシャルです!    番組ホームページ→　http://www.fujitv.co.jp/naomi-kanako/index.html　    番組公式LINEアカウントあります!  LINE@naomiandkanako　    ドラマ原作「ナオミとカナコ」奥田英朗著(幻冬舎刊)絶賛発売中!　小田直美(広末涼子)は、対峙した服部陽子(吉田羊)から、銀行が横領事件をもみ消すのを待って服部達郎(佐藤隆太)を帰国させ、その後、達郎とともに海外へ逃げようとしているのだろう、と予想だにしなかったことを言われ、狼狽する。言葉に詰まる直美に、達郎を連れて来い、と一層激しく迫る陽子。直美が窮地に陥った時、李朱美(高畑淳子)が、ふたりの間に割って入った。  　一方、服部加奈子(内田有紀)が自宅に戻ると、物陰からスーツ姿の林竜輝(佐藤隆太/二役)が声をかけてきた。ぼう然とする加奈子に林は、どうしても会いたかったとほほ笑んだ。加奈子はとまどいながらも人目につかない場所へ林を連れていくと、林はそこで「林竜輝」名義のパスポートを見せ、今度中国に戻る時は自分と一緒に来て欲しい、と言う。その真剣でストレートな告白に、加奈子の心は揺れ動く。  　その後、加奈子のマンションへやって来た直美は、陽子がふたつの誤解をしていると加奈子に告げた。ひとつは、直美と達郎は不倫関係にあり、直美がそそのかして達郎が横領事件を起こしたと思っていること、ふたつめは、日本に戻っている林を達郎だと信じていることだと言う。陽子が林を見つけてしまったら、すべてが終わる、と焦る直美に、もし林が日本を出て行かないと言ったらどうするのか、と聞く加奈子。直美は、どうしても中国に帰らないと言うのなら、いなくなってもらうしかない、と言い放った。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</si>
  <si>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 xml:space="preserve">　    ドラマ原作「ナオミとカナコ」奥田英朗著(幻冬舎刊)絶賛発売中!　小田直美(広末涼子)は、対峙した服部陽子(吉田羊)から、銀行が横領事件をもみ消すのを待って服部達郎(佐藤隆太)を帰国させ、その後、達郎とともに海外へ逃げようとしているのだろう、と予想だにしなかったことを言われ、狼狽する。言葉に詰まる直美に、達郎を連れて来い、と一層激しく迫る陽子。直美が窮地に陥った時、李朱美(高畑淳子)が、ふたりの間に割って入った。  　一方、服部加奈子(内田有紀)が自宅に戻ると、物陰からスーツ姿の林竜輝(佐藤隆太/二役)が声をかけてきた。ぼう然とする加奈子に林は、どうしても会いたかったとほほ笑んだ。加奈子はとまどいながらも人目につかない場所へ林を連れていくと、林はそこで「林竜輝」名義のパスポートを見せ、今度中国に戻る時は自分と一緒に来て欲しい、と言う。その真剣でストレートな告白に、加奈子の心は揺れ動く。  　その後、加奈子のマンションへやって来た直美は、陽子がふたつの誤解をしていると加奈子に告げた。ひとつは、直美と達郎は不倫関係にあり、直美がそそのかして達郎が横領事件を起こしたと思っていること、ふたつめは、日本に戻っている林を達郎だと信じていることだと言う。陽子が林を見つけてしまったら、すべてが終わる、と焦る直美に、もし林が日本を出て行かないと言ったらどうするのか、と聞く加奈子。直美は、どうしても中国に帰らないと言うのなら、いなくなってもらうしかない、と言い放った。</t>
  </si>
  <si>
    <t>番組名&lt;木曜劇場&gt;ナオミとカナコ【友情の崩壊、義姉の執念が警察を動かす!】　#09</t>
  </si>
  <si>
    <t>番組ホームページ→　http://www.fujitv.co.jp/naomi-kanako/index.html　    番組公式LINEアカウントあります!  LINE@naomiandkanako　    ドラマ原作「ナオミとカナコ」奥田英朗著(幻冬舎刊)絶賛発売中!    EXILE　ATSUSHIとAIが書き下ろした珠玉の主題歌「No　more」3月9日発売!　ここまで、何が起こっても揺るがなかった小田直美(広末涼子)と服部加奈子(内田有紀)の友情が決定的に決裂し、部屋に残された加奈子は抜け殻のようになっていた。どう声を掛けていいかわからない林竜輝(佐藤隆太)に、加奈子は決定的な別れを告げる。  　その頃、服部陽子(吉田羊)は、興信所の三枝(前川泰之)と、直美の家で違法に盗聴した音声データを分析していた。「達郎(佐藤隆太/二役)がいない」という意味が状況的にすんなりのみ込めない陽子だが、三枝は、まず林が何者なのかを知る必要があると話し、陽子は追及の手をますます強めていく。  　マンションに戻った加奈子は、直美の携帯電話にコールするが、留守番電話に切り替わる。加奈子はそこに、涙ながらに謝罪の言葉を残す。そんな時、突然の吐き気が再び加奈子を襲った。加奈子のことが許せない直美は、携帯電話から加奈子の連絡先を削除してしまう。  　次の日、加奈子は李商会に出勤したが、発熱と倦怠(けんたい)感、直美との決別で憔悴(しょうすい)しきっていた。それを見た李朱美(高畑淳子)は、どんな病気でも治すという漢方薬を加奈子に手渡した。  　一方、直美はホテルにいる林を呼び出すと、加奈子との関係について言及するつもりは一切ないが、日本にいてもらうのは困るから、中国に帰ってくれと頼む。林は、自分がいることで加奈子が苦しむなら帰ってもいいが、ひとつ頼みがあると言い…。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</si>
  <si>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 xml:space="preserve">　    ドラマ原作「ナオミとカナコ」奥田英朗著(幻冬舎刊)絶賛発売中!    EXILE　ATSUSHIとAIが書き下ろした珠玉の主題歌「No　more」3月9日発売!　ここまで、何が起こっても揺るがなかった小田直美(広末涼子)と服部加奈子(内田有紀)の友情が決定的に決裂し、部屋に残された加奈子は抜け殻のようになっていた。どう声を掛けていいかわからない林竜輝(佐藤隆太)に、加奈子は決定的な別れを告げる。  　その頃、服部陽子(吉田羊)は、興信所の三枝(前川泰之)と、直美の家で違法に盗聴した音声データを分析していた。「達郎(佐藤隆太/二役)がいない」という意味が状況的にすんなりのみ込めない陽子だが、三枝は、まず林が何者なのかを知る必要があると話し、陽子は追及の手をますます強めていく。  　マンションに戻った加奈子は、直美の携帯電話にコールするが、留守番電話に切り替わる。加奈子はそこに、涙ながらに謝罪の言葉を残す。そんな時、突然の吐き気が再び加奈子を襲った。加奈子のことが許せない直美は、携帯電話から加奈子の連絡先を削除してしまう。  　次の日、加奈子は李商会に出勤したが、発熱と倦怠(けんたい)感、直美との決別で憔悴(しょうすい)しきっていた。それを見た李朱美(高畑淳子)は、どんな病気でも治すという漢方薬を加奈子に手渡した。  　一方、直美はホテルにいる林を呼び出すと、加奈子との関係について言及するつもりは一切ないが、日本にいてもらうのは困るから、中国に帰ってくれと頼む。林は、自分がいることで加奈子が苦しむなら帰ってもいいが、ひとつ頼みがあると言い…。</t>
  </si>
  <si>
    <t>番組名&lt;木曜劇場&gt;ナオミとカナコ【遂に逮捕状が!逃げ切れ!直美と加奈子】　#10</t>
  </si>
  <si>
    <t>番組ホームページ→　http://www.fujitv.co.jp/naomi-kanako/index.html　    番組公式LINEアカウントあります!  LINE@naomiandkanako　    ドラマ原作「ナオミとカナコ」奥田英朗著(幻冬舎刊)絶賛発売中!    EXILE　ATSUSHIとAIが書き下ろした珠玉の主題歌「No　more」絶賛発売中!　小田直美(広末涼子)と服部加奈子(内田有紀)の前に現れた刑事の鍋島(モロ師岡)は、加奈子を促すと、警察車両に乗せた。そこへ服部陽子(吉田羊)が来て、警察に決定的な証拠となりうるマンションとATMの防犯カメラの映像を提出したこと、替え玉にした林竜輝(佐藤隆太)の存在を明かしたと告げる。加奈子は必ず自白するだろうと自信を見せる陽子に、直美は言葉を失った。  　その後、直美は李朱美(高畑淳子)の元へ駆け込むと、自分たちを助けてくれ、と訴える。朱美は試すように、警察は服部達郎(佐藤隆太/二役)の死体をすぐに見つけるだろうと言った。直美は、ついにすべてを打ち明け、その上でもう一度助けてくれ、と頭を下げた。  　同じ頃、加奈子は鍋島から厳しい取り調べを受けていた。陽子が直美に言った通り、警察は林を達郎の替え玉にしたことまでもつかんでいた。加奈子は黙り込むが、鍋島は二人の友情に付け込み、正直に話せば共犯者の直美にも情状酌量の余地があると仕掛けてくる。加奈子は心身ともに追い詰められ……。  　一方の陽子は、林が身を潜めていたホテルを突き止め、林に直美と加奈子が殺人者であることを明かす。さらに、自分は味方だと主張し、今警察に知っていることをすべて話せば、林にとって有利な証言をして助けることができると持ち掛け、林を動揺させる。  　直美と加奈子の最後の決断、それは本当の意味で二人を解き放つのか……。広末涼子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</si>
  <si>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 xml:space="preserve">　    ドラマ原作「ナオミとカナコ」奥田英朗著(幻冬舎刊)絶賛発売中!    EXILE　ATSUSHIとAIが書き下ろした珠玉の主題歌「No　more」絶賛発売中!　小田直美(広末涼子)と服部加奈子(内田有紀)の前に現れた刑事の鍋島(モロ師岡)は、加奈子を促すと、警察車両に乗せた。そこへ服部陽子(吉田羊)が来て、警察に決定的な証拠となりうるマンションとATMの防犯カメラの映像を提出したこと、替え玉にした林竜輝(佐藤隆太)の存在を明かしたと告げる。加奈子は必ず自白するだろうと自信を見せる陽子に、直美は言葉を失った。  　その後、直美は李朱美(高畑淳子)の元へ駆け込むと、自分たちを助けてくれ、と訴える。朱美は試すように、警察は服部達郎(佐藤隆太/二役)の死体をすぐに見つけるだろうと言った。直美は、ついにすべてを打ち明け、その上でもう一度助けてくれ、と頭を下げた。  　同じ頃、加奈子は鍋島から厳しい取り調べを受けていた。陽子が直美に言った通り、警察は林を達郎の替え玉にしたことまでもつかんでいた。加奈子は黙り込むが、鍋島は二人の友情に付け込み、正直に話せば共犯者の直美にも情状酌量の余地があると仕掛けてくる。加奈子は心身ともに追い詰められ……。  　一方の陽子は、林が身を潜めていたホテルを突き止め、林に直美と加奈子が殺人者であることを明かす。さらに、自分は味方だと主張し、今警察に知っていることをすべて話せば、林にとって有利な証言をして助けることができると持ち掛け、林を動揺させる。  　直美と加奈子の最後の決断、それは本当の意味で二人を解き放つのか……。</t>
  </si>
  <si>
    <t>1510_CX_月21</t>
  </si>
  <si>
    <t>5→9</t>
  </si>
  <si>
    <t>番組名5→9～私に恋したお坊さん～【5時から9時まで】　#01</t>
  </si>
  <si>
    <t>★5→9公式番組ホームページ★　  http://www.fujitv.co.jp/5ji9ji/　    ★公式twitter★　  @5ji9ji　で検索してね!　桜庭潤子(石原さとみ)は、地元町内会の長老の葬儀に出席していた。やがて、焼香のために立ち上がろうとする潤子だったが、足がしびれておぼつかない足取りで焼香台に向かううち、前に突っ込みそうになる。そこで、体を支えようと潤子が台に手をついた瞬間、台が傾いて香炉が宙を舞った。香炉はあろうことか、僧侶・星川高嶺(山下智久)の全身に降りかかった。  　その後、潤子が働く英会話教室「ELA」に出勤。潤子がスタッフルームにいると、旧友で「ELA」に通う商社マンの三嶋聡(古川雄輝)がニューヨーク出張の土産を届けに来た。将来、ニューヨークで働くことを夢見る潤子は、講師の木村アーサー(速水もこみち)に、「三嶋と結婚すればいいのに」と無邪気に言われる。  　そんな折、潤子は母・桜庭恵子(戸田恵子)の策略で、見合いをすることに。そうとは知らず、高級料亭にやってくる潤子。通された部屋にいたのは、なんと高嶺。驚いて部屋を出ようとする潤子に、入るよう促す高嶺は、「あなたを私の妻にして差し上げます」と言い放つ。あまりに突然のことに、潤子は開いた口がふさがらない。  　後日、いつものように「ELA」に出勤し、教室のドアを開けた潤子は驚がくする。なんと高嶺がいたのだ。そこへ生徒の蜂屋蓮司(長妻怜央)らが来ると、高嶺はふたりに丁寧にあいさつ。そんな高嶺は、授業が始まると、流ちょうな英語で潤子にプロポーズし始める。石原さとみ　    田中圭　  古川雄輝　  高梨臨　  紗栄子　  吉本実憂　  長妻怜央(ジャニーズJr.)　  恒松祐里　  寺田心　  中村アン  　・　  速水もこみち　  戸田恵子　  上島竜兵(ダチョウ倶楽部)  　・　  小野武彦　  加賀まりこ　    山下智久【原作】  相原実貴「5時から9時まで」(小学館　月刊「Cheese!」)　    【脚本】  小山正太　    【音楽】  出羽良彰　  羽深由理　    【主題歌】  back　number(ユニバーサル　シグマ)　    【プロデュース】  後藤博幸　  金城綾香　    【演出】  平野眞　  谷村政樹　    【制作】  フジテレビ　ドラマ制作センター</t>
  </si>
  <si>
    <t xml:space="preserve">　桜庭潤子(石原さとみ)は、地元町内会の長老の葬儀に出席していた。やがて、焼香のために立ち上がろうとする潤子だったが、足がしびれておぼつかない足取りで焼香台に向かううち、前に突っ込みそうになる。そこで、体を支えようと潤子が台に手をついた瞬間、台が傾いて香炉が宙を舞った。香炉はあろうことか、僧侶・星川高嶺(山下智久)の全身に降りかかった。  　その後、潤子が働く英会話教室「ELA」に出勤。潤子がスタッフルームにいると、旧友で「ELA」に通う商社マンの三嶋聡(古川雄輝)がニューヨーク出張の土産を届けに来た。将来、ニューヨークで働くことを夢見る潤子は、講師の木村アーサー(速水もこみち)に、「三嶋と結婚すればいいのに」と無邪気に言われる。  　そんな折、潤子は母・桜庭恵子(戸田恵子)の策略で、見合いをすることに。そうとは知らず、高級料亭にやってくる潤子。通された部屋にいたのは、なんと高嶺。驚いて部屋を出ようとする潤子に、入るよう促す高嶺は、「あなたを私の妻にして差し上げます」と言い放つ。あまりに突然のことに、潤子は開いた口がふさがらない。  　後日、いつものように「ELA」に出勤し、教室のドアを開けた潤子は驚がくする。なんと高嶺がいたのだ。そこへ生徒の蜂屋蓮司(長妻怜央)らが来ると、高嶺はふたりに丁寧にあいさつ。そんな高嶺は、授業が始まると、流ちょうな英語で潤子にプロポーズし始める。</t>
  </si>
  <si>
    <t>番組名5→9～私に恋したお坊さん～【5時から9時まで】　#02</t>
  </si>
  <si>
    <t>★5→9公式番組ホームページ★　  http://www.fujitv.co.jp/5ji9ji/　    ★公式twitter★　  @5ji9ji　で検索してね!　桜庭潤子(石原さとみ)は、星川高嶺(山下智久)によって一橋寺の離れに閉じ込められてしまう。そこは説教部屋として使われていた場所で、外に声が響くことはないという。恐怖を感じた潤子は開けてくれと頼むが、高嶺はそれを拒否。潤子を見張るかのように、部屋の外に座り続ける。  　やがてそこへ星川ひばり(加賀まりこ)がやってくる。ひばりは、高嶺が足利香織(吉本実憂)との見合いを切り上げたことを叱責。潤子のようなガサツな女性に寺の嫁が務まるわけがない、と文句を言う。すると高嶺は、潤子にきちんと接すれば良い部分が分かるはずだと返す。もう二度と会うつもりはない、と言い放つひばりに、今すぐ会ってもらうと言って、高嶺は離れの扉を開けた。  　その後、潤子がヘトヘトになって帰宅すると、家族に交ざって高嶺がいた。すっかり家族になじみ、潤子の両親から結婚の許しももらったという高嶺。潤子は、想定外の展開の連続にあきれ返る。そんな時、ひばりが小坊主を従えて桜庭家に現れた。一橋寺で花嫁修業をさせるため、潤子を迎えに来たという。潤子以外の全員が賛成したため、潤子の荷物は一橋寺に運び出されてしまう。  　翌日、潤子は清宮真言(田中圭)から正社員昇格試験を受けてみないか、と勧められる。それはゼネラルマネジャーの推薦がなければ受けられない特別な試験で、合格すればすぐにニューヨーク本部に異動になると言う。それを聞いた潤子は…。石原さとみ　    田中圭　  古川雄輝　  高梨臨　  紗栄子　  吉本実憂　  長妻怜央(ジャニーズJr.)　  恒松祐里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</si>
  <si>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 xml:space="preserve">　桜庭潤子(石原さとみ)は、星川高嶺(山下智久)によって一橋寺の離れに閉じ込められてしまう。そこは説教部屋として使われていた場所で、外に声が響くことはないという。恐怖を感じた潤子は開けてくれと頼むが、高嶺はそれを拒否。潤子を見張るかのように、部屋の外に座り続ける。  　やがてそこへ星川ひばり(加賀まりこ)がやってくる。ひばりは、高嶺が足利香織(吉本実憂)との見合いを切り上げたことを叱責。潤子のようなガサツな女性に寺の嫁が務まるわけがない、と文句を言う。すると高嶺は、潤子にきちんと接すれば良い部分が分かるはずだと返す。もう二度と会うつもりはない、と言い放つひばりに、今すぐ会ってもらうと言って、高嶺は離れの扉を開けた。  　その後、潤子がヘトヘトになって帰宅すると、家族に交ざって高嶺がいた。すっかり家族になじみ、潤子の両親から結婚の許しももらったという高嶺。潤子は、想定外の展開の連続にあきれ返る。そんな時、ひばりが小坊主を従えて桜庭家に現れた。一橋寺で花嫁修業をさせるため、潤子を迎えに来たという。潤子以外の全員が賛成したため、潤子の荷物は一橋寺に運び出されてしまう。  　翌日、潤子は清宮真言(田中圭)から正社員昇格試験を受けてみないか、と勧められる。それはゼネラルマネジャーの推薦がなければ受けられない特別な試験で、合格すればすぐにニューヨーク本部に異動になると言う。それを聞いた潤子は…。</t>
  </si>
  <si>
    <t>番組名5→9～私に恋したお坊さん～【5時から9時まで】　#03</t>
  </si>
  <si>
    <t>★5→9公式番組ホームページ★　  http://www.fujitv.co.jp/5ji9ji/　    ★公式twitter★　  @5ji9ji　で検索してね!　桜庭潤子(石原さとみ)は、正社員昇格試験に不合格となったのが、潤子をニューヨークに行かせたくない星川高嶺(山下智久)の策略だったと知り、呆然とする。高嶺は、そんな潤子を抱きしめるが、潤子はそれを振りほどくと、何があってもあなたを好きになることはない、と言って立ち去った。  　道を歩く潤子の脳裏には、高嶺との思い出がフラッシュバックする。涙をこらえようとするが、涙は止まらず、それを振り払うかのように潤子は足早になる。潤子が来たのは、ハロウィーンムード一色の「フォーティーナイナーズ」だった。そこには、清宮真言(田中圭)、山渕百絵(高梨臨)らがいた。潤子は、テーブルに並んだ料理を見ると、片っ端から食べまくる。事情を察した清宮は、気分を替えさせようと、翌週に開催されるハロウィーンパーティーの責任者に潤子を任命する。  　その頃、高嶺は一心不乱に読経を続け、その姿を那覇三休(寺田心)が見つめていた。　一方、ホテルのベッドで目覚めた三嶋聡(古川雄輝)は、隣に毛利まさこ(紗栄子)がいることに驚愕する。しかも、スマホには潤子からの着信が残っていた。  　翌日、潤子は「ELA」に出勤する。そこに高嶺も来て、潤子に話しかけようとするが、里中由希や蜂屋蓮司(長妻怜央)に邪魔されてしまう。始業のベルが鳴り、潤子は生徒たちを教室に入るよう促した。高嶺だけがロビーに残ったが、潤子はそのまま扉を閉めてしまう。石原さとみ　    田中圭　  古川雄輝　  高梨臨　  紗栄子　  吉本実憂　  長妻怜央(ジャニーズJr.)　  恒松祐里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</si>
  <si>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 xml:space="preserve">　桜庭潤子(石原さとみ)は、正社員昇格試験に不合格となったのが、潤子をニューヨークに行かせたくない星川高嶺(山下智久)の策略だったと知り、呆然とする。高嶺は、そんな潤子を抱きしめるが、潤子はそれを振りほどくと、何があってもあなたを好きになることはない、と言って立ち去った。  　道を歩く潤子の脳裏には、高嶺との思い出がフラッシュバックする。涙をこらえようとするが、涙は止まらず、それを振り払うかのように潤子は足早になる。潤子が来たのは、ハロウィーンムード一色の「フォーティーナイナーズ」だった。そこには、清宮真言(田中圭)、山渕百絵(高梨臨)らがいた。潤子は、テーブルに並んだ料理を見ると、片っ端から食べまくる。事情を察した清宮は、気分を替えさせようと、翌週に開催されるハロウィーンパーティーの責任者に潤子を任命する。  　その頃、高嶺は一心不乱に読経を続け、その姿を那覇三休(寺田心)が見つめていた。　一方、ホテルのベッドで目覚めた三嶋聡(古川雄輝)は、隣に毛利まさこ(紗栄子)がいることに驚愕する。しかも、スマホには潤子からの着信が残っていた。  　翌日、潤子は「ELA」に出勤する。そこに高嶺も来て、潤子に話しかけようとするが、里中由希や蜂屋蓮司(長妻怜央)に邪魔されてしまう。始業のベルが鳴り、潤子は生徒たちを教室に入るよう促した。高嶺だけがロビーに残ったが、潤子はそのまま扉を閉めてしまう。</t>
  </si>
  <si>
    <t>番組名5→9～私に恋したお坊さん～【5時から9時まで】　#04</t>
  </si>
  <si>
    <t>★5→9公式番組ホームページ★　  http://www.fujitv.co.jp/5ji9ji/　    ★公式twitter★　  @5ji9ji　で検索してね!　桜庭潤子(石原さとみ)の両親の結婚のきっかけが“お泊り"だったと聞いた星川高嶺(山下智久)は、一橋寺を宿坊にしようと思いつく。星川ひばり(加賀まりこ)は、元総理の大事な法要が控えている時期だから、と反対するが、高嶺は計画を進めてしまう。  　宿坊体験の日、一橋寺に潤子と山渕百絵(高梨臨)がやってくる。高嶺は、潤子と百絵を別々の部屋へ案内。潤子とお泊まりをして結婚のきっかけを作ろうというのだ。潤子があきれていると、百絵と木村アーサー(速水もこみち)が部屋に駆け込んで来る。  　その頃、ELAでは、三嶋聡(古川雄輝)が、潤子とキスしていたことを毛利まさこ(紗栄子)に責められていた。泣きじゃくるまさこに、三嶋はオロオロするしかない。そんなまさこに、蜂屋蓮司(長妻怜央)が声をかける。一方、校長室にいた清宮真言(田中圭)は、2年前、ニューヨーク勤務時に潤子から届いたクリスマスカードを見つめていた。さらにそこには、清宮が出せなかった潤子へのカードもあった。  　後日、ELAに高嶺が倒れたと連絡が入る。法要を前にしながら、潤子たちをもてなすために働いた疲れが出たのでは、と心配になった潤子は寺に向かう決心をする。同じ頃、熱でうなされる高嶺を、足利香織(吉本実憂)が看病していた。  　やがて寺に着いた潤子は、苦しそうに寝ている高嶺のそばに座る。そんな潤子に気づいた高嶺は、手を握ってくれと頼む。石原さとみ　    田中圭　  古川雄輝　  高梨臨　  紗栄子　  吉本実憂　  長妻怜央(ジャニーズJr.)　  恒松祐里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</si>
  <si>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 xml:space="preserve">　桜庭潤子(石原さとみ)の両親の結婚のきっかけが“お泊り"だったと聞いた星川高嶺(山下智久)は、一橋寺を宿坊にしようと思いつく。星川ひばり(加賀まりこ)は、元総理の大事な法要が控えている時期だから、と反対するが、高嶺は計画を進めてしまう。  　宿坊体験の日、一橋寺に潤子と山渕百絵(高梨臨)がやってくる。高嶺は、潤子と百絵を別々の部屋へ案内。潤子とお泊まりをして結婚のきっかけを作ろうというのだ。潤子があきれていると、百絵と木村アーサー(速水もこみち)が部屋に駆け込んで来る。  　その頃、ELAでは、三嶋聡(古川雄輝)が、潤子とキスしていたことを毛利まさこ(紗栄子)に責められていた。泣きじゃくるまさこに、三嶋はオロオロするしかない。そんなまさこに、蜂屋蓮司(長妻怜央)が声をかける。一方、校長室にいた清宮真言(田中圭)は、2年前、ニューヨーク勤務時に潤子から届いたクリスマスカードを見つめていた。さらにそこには、清宮が出せなかった潤子へのカードもあった。  　後日、ELAに高嶺が倒れたと連絡が入る。法要を前にしながら、潤子たちをもてなすために働いた疲れが出たのでは、と心配になった潤子は寺に向かう決心をする。同じ頃、熱でうなされる高嶺を、足利香織(吉本実憂)が看病していた。  　やがて寺に着いた潤子は、苦しそうに寝ている高嶺のそばに座る。そんな潤子に気づいた高嶺は、手を握ってくれと頼む。</t>
  </si>
  <si>
    <t>番組名5→9～私に恋したお坊さん～【5時から9時まで】　#05</t>
  </si>
  <si>
    <t>★5→9公式番組ホームページ★　  http://www.fujitv.co.jp/5ji9ji/　    ★公式twitter★　  @5ji9ji　で検索してね!　桜庭潤子(石原さとみ)とデートがしたい星川高嶺(山下智久)は、潤子の家族や一橋寺の住職たちに意見を求め、潤子が喜ぶデートプラン作りにまい進する。  　一方の潤子は、ビジネス英語のクラスの兼任が決まり、一層仕事にやる気が出る。さらに清宮真言(田中圭)から一緒にニューヨークに行ってほしい、と告白され、浮足立つ。そんな潤子を見て、山渕百絵(高梨臨)は良いことがあったのか、とツッコミを入れる。潤子が早速、ビジネス英語のクラスに入ると、そこに高嶺と三嶋聡(古川雄輝)がいた。潤子の脳裏に、三嶋とのキスの記憶がよみがえるが、それを振り払い授業を始めた。すると、高嶺と三嶋の、潤子を巡る英語でのトークバトルが勃発。それぞれがいかに潤子と親しいかをアピールするバトルに、潤子はへきえきとなる。　潤子がレッスンを終えてロビーに戻ると、そこに里中由希がいた。よく来たね、と頭をなでると由希は、先日、潤子に告白した件を謝った。そんな由希の側には、蜂屋蓮司(長妻怜央)がいた。  　高嶺が着々とデートの準備を進める一方、潤子は清宮との距離を縮めていた。ニューヨーク行きが現実味を帯びる中、潤子は高嶺との交際を正式に断ろうと決めた。ところが、タイミングが合わず話を切り出せない。そんな折、ELAに足利香織(吉本実憂)がやってくる。香織は潤子に、高嶺と結婚する気がないのなら思わせぶりな態度を取らないでくれ、と忠告する。石原さとみ　    田中圭　  古川雄輝　  高梨臨　  紗栄子　  吉本実憂　  長妻怜央(ジャニーズJr.)　  恒松祐里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</si>
  <si>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 xml:space="preserve">　桜庭潤子(石原さとみ)とデートがしたい星川高嶺(山下智久)は、潤子の家族や一橋寺の住職たちに意見を求め、潤子が喜ぶデートプラン作りにまい進する。  　一方の潤子は、ビジネス英語のクラスの兼任が決まり、一層仕事にやる気が出る。さらに清宮真言(田中圭)から一緒にニューヨークに行ってほしい、と告白され、浮足立つ。そんな潤子を見て、山渕百絵(高梨臨)は良いことがあったのか、とツッコミを入れる。潤子が早速、ビジネス英語のクラスに入ると、そこに高嶺と三嶋聡(古川雄輝)がいた。潤子の脳裏に、三嶋とのキスの記憶がよみがえるが、それを振り払い授業を始めた。すると、高嶺と三嶋の、潤子を巡る英語でのトークバトルが勃発。それぞれがいかに潤子と親しいかをアピールするバトルに、潤子はへきえきとなる。　潤子がレッスンを終えてロビーに戻ると、そこに里中由希がいた。よく来たね、と頭をなでると由希は、先日、潤子に告白した件を謝った。そんな由希の側には、蜂屋蓮司(長妻怜央)がいた。  　高嶺が着々とデートの準備を進める一方、潤子は清宮との距離を縮めていた。ニューヨーク行きが現実味を帯びる中、潤子は高嶺との交際を正式に断ろうと決めた。ところが、タイミングが合わず話を切り出せない。そんな折、ELAに足利香織(吉本実憂)がやってくる。香織は潤子に、高嶺と結婚する気がないのなら思わせぶりな態度を取らないでくれ、と忠告する。</t>
  </si>
  <si>
    <t>番組名5→9～私に恋したお坊さん～【5時から9時まで】　#06</t>
  </si>
  <si>
    <t>★5→9公式番組ホームページ★　  http://www.fujitv.co.jp/5ji9ji/　    ★公式twitter★　  @5ji9ji　で検索してね!　英会話学校ELAの外国人講師同士が結婚することになり、桜庭潤子(石原さとみ)がパーティーの司会に任命される。潤子が引き受けたと知った木村アーサー(速水もこみち)は、もうひとりの司会者である清宮真言(田中圭)に声をかける。目を合わせた潤子と清宮の間に、気まずい空気が漂う。そんな中、アーサーと山渕百絵(高梨臨)は、新郎新婦のなれそめVTR作りを担当することが決まった。　一方、星川高嶺(山下智久)は、潤子の祖母・幸江の十七回忌の法事を取り仕切ることに。そのために、幸江の人柄を知りたいという高嶺は、潤子の家を訪ねて、幼い潤子と幸江が映るホームビデオの映像を食い入るように見る。すると、映像に触発されたのか、高嶺は桜庭満(上島竜兵)のビデオカメラを手にし、これからは自分が潤子の成長記録を残すと言って、潤子を撮り始める。翌日、ELAでも撮り続け、潤子はうんざりするが、そんな様子を清宮が見ていた。そんなところへ、メガネを外しイメージチェンジをした三嶋聡(古川雄輝)がやってくる。三嶋の変化にすぐに気付いた毛利まさこ(紗栄子)が声をかけるが、三嶋は潤子のもとへ行ってしまう。  　終業後、清宮は潤子に、自分が女性と写っていた写真を見たのか、と聞く。その話はもういいんです、と返す潤子に、お前にはちゃんと話したいんだ、と引き留める清宮。しかし、潤子は・・・。石原さとみ　    田中圭　  古川雄輝　  高梨臨　  紗栄子　  吉本実憂　  長妻怜央(ジャニーズJr.)　  高田彪我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</si>
  <si>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 xml:space="preserve">　英会話学校ELAの外国人講師同士が結婚することになり、桜庭潤子(石原さとみ)がパーティーの司会に任命される。潤子が引き受けたと知った木村アーサー(速水もこみち)は、もうひとりの司会者である清宮真言(田中圭)に声をかける。目を合わせた潤子と清宮の間に、気まずい空気が漂う。そんな中、アーサーと山渕百絵(高梨臨)は、新郎新婦のなれそめVTR作りを担当することが決まった。　一方、星川高嶺(山下智久)は、潤子の祖母・幸江の十七回忌の法事を取り仕切ることに。そのために、幸江の人柄を知りたいという高嶺は、潤子の家を訪ねて、幼い潤子と幸江が映るホームビデオの映像を食い入るように見る。すると、映像に触発されたのか、高嶺は桜庭満(上島竜兵)のビデオカメラを手にし、これからは自分が潤子の成長記録を残すと言って、潤子を撮り始める。翌日、ELAでも撮り続け、潤子はうんざりするが、そんな様子を清宮が見ていた。そんなところへ、メガネを外しイメージチェンジをした三嶋聡(古川雄輝)がやってくる。三嶋の変化にすぐに気付いた毛利まさこ(紗栄子)が声をかけるが、三嶋は潤子のもとへ行ってしまう。  　終業後、清宮は潤子に、自分が女性と写っていた写真を見たのか、と聞く。その話はもういいんです、と返す潤子に、お前にはちゃんと話したいんだ、と引き留める清宮。しかし、潤子は・・・。</t>
  </si>
  <si>
    <t>番組名5→9～私に恋したお坊さん～【5時から9時まで】　#07</t>
  </si>
  <si>
    <t>★5→9公式番組ホームページ★　  http://www.fujitv.co.jp/5ji9ji/　    ★公式twitter★　  @5ji9ji　で検索してね!　桜庭潤子(石原さとみ)は、星川高嶺(山下智久)のことを意識するようになるが、それが恋なのかどうか、自分でもよく分からない。一方で、清宮真言(田中圭)のことは避けるようになってしまう。  　そんな折、ELAにパーカー姿でニット帽をかぶった若者が現れる。どことなく近寄りがたい雰囲気に毛利まさこ(紗栄子)らが不安がる中、若者は潤子の前に来ると、上から下までなめるように見つめた。潤子が身構えると、高嶺が若者の肩をつかんだ。若者は、高嶺の弟の天音(志尊淳)だった。京都の寺で修行をしていたはずの天音がなぜ戻ってきたのか。  　同じ頃、桜庭寧々(恒松祐里)の誕生日が近づき、蜂屋蓮司(長妻怜央)と里中由希(高田彪我)がパーティーを開くことを計画。高嶺もはりきって豪勢なプランを考える。  　高嶺を意識すればするほど、潤子の態度はぎこちなくなり、潤子の変化を感じ取った高嶺は不審に思う。そんな潤子に、まさこはやり方がズルいと怒る。高嶺に保険をかけて、清宮を焦らしたままにしているというのだ。思い当たるふしがある潤子は、ちゃんと恋愛するのが久しぶりで自分でも分からないのだ、と明かした。  　別の日、潤子は自分に会いに来た天音と対峙する。天音は潤子に高嶺と結婚するつもりなのか、とぶしつけに聞き、潤子が返答に困ると、それがいかに苦労を伴うことかを力説。そこに踏み込む覚悟があるのか、と詰め寄られた潤子は…。石原さとみ　    田中圭　  古川雄輝　  高梨臨　  紗栄子　  吉本実憂　  長妻怜央(ジャニーズJr.)　  高田彪我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</si>
  <si>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 xml:space="preserve">　桜庭潤子(石原さとみ)は、星川高嶺(山下智久)のことを意識するようになるが、それが恋なのかどうか、自分でもよく分からない。一方で、清宮真言(田中圭)のことは避けるようになってしまう。  　そんな折、ELAにパーカー姿でニット帽をかぶった若者が現れる。どことなく近寄りがたい雰囲気に毛利まさこ(紗栄子)らが不安がる中、若者は潤子の前に来ると、上から下までなめるように見つめた。潤子が身構えると、高嶺が若者の肩をつかんだ。若者は、高嶺の弟の天音(志尊淳)だった。京都の寺で修行をしていたはずの天音がなぜ戻ってきたのか。  　同じ頃、桜庭寧々(恒松祐里)の誕生日が近づき、蜂屋蓮司(長妻怜央)と里中由希(高田彪我)がパーティーを開くことを計画。高嶺もはりきって豪勢なプランを考える。  　高嶺を意識すればするほど、潤子の態度はぎこちなくなり、潤子の変化を感じ取った高嶺は不審に思う。そんな潤子に、まさこはやり方がズルいと怒る。高嶺に保険をかけて、清宮を焦らしたままにしているというのだ。思い当たるふしがある潤子は、ちゃんと恋愛するのが久しぶりで自分でも分からないのだ、と明かした。  　別の日、潤子は自分に会いに来た天音と対峙する。天音は潤子に高嶺と結婚するつもりなのか、とぶしつけに聞き、潤子が返答に困ると、それがいかに苦労を伴うことかを力説。そこに踏み込む覚悟があるのか、と詰め寄られた潤子は…。</t>
  </si>
  <si>
    <t>番組名5→9～私に恋したお坊さん～【5時から9時まで】　#08</t>
  </si>
  <si>
    <t>★5→9公式番組ホームページ★　  http://www.fujitv.co.jp/5ji9ji/　    ★公式twitter★　  @5ji9ji　で検索してね!　桜庭潤子(石原さとみ)は、星川高嶺(山下智久)と交際することを決め、家族に報告。それを喜んだ桜庭恵子(戸田恵子)の発案で、二人は桜庭家で“同棲"することになる。  　その頃、一橋寺では、約束の時間に現れなかった高嶺に失望した星川ひばり(加賀まりこ)が、星川天音(志尊淳)を次期住職として、檀家にお披露目する、と意気込んでいた。さらに、その席で、天音と足利香織(吉本実憂)の婚約を発表するという。その後、一橋寺に戻った高嶺は、約束を破ってしまったことを謝りたいとひばりに面会を求めるが、拒絶される。それどころか、一橋寺に高嶺の居場所はないとまで言われてしまう。  　英会話学校ELAに出勤した潤子は、山渕百絵(高梨臨)と毛利まさこ(紗栄子)に高嶺とのことを報告。するとまさこが、ニューヨーク行きはあきらめるのか、仕事を辞めて寺に嫁ぐ覚悟はあるのか、と潤子に迫る。そこまで深く考えていなかった潤子は、返答に困ってしまう。さらに、潤子は清宮真言(田中圭)から、受かればニューヨークに行ける正社員採用試験のエントリーシートを受け取った。仕事で認められて、夢をかなえるんだろ、と背中を押してくれる清宮に、潤子は複雑な思いになる。  　その夜、自宅に戻った潤子は、高嶺が着ていた輪袈裟に口紅が付いていることを発見。高嶺に突きつけると、香織のものだと認めた。怒った潤子は…。石原さとみ　    田中圭　  古川雄輝　  高梨臨　  紗栄子　  吉本実憂　  長妻怜央(ジャニーズJr.)　  高田彪我(さくらしめじ)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</si>
  <si>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 xml:space="preserve">　桜庭潤子(石原さとみ)は、星川高嶺(山下智久)と交際することを決め、家族に報告。それを喜んだ桜庭恵子(戸田恵子)の発案で、二人は桜庭家で“同棲"することになる。  　その頃、一橋寺では、約束の時間に現れなかった高嶺に失望した星川ひばり(加賀まりこ)が、星川天音(志尊淳)を次期住職として、檀家にお披露目する、と意気込んでいた。さらに、その席で、天音と足利香織(吉本実憂)の婚約を発表するという。その後、一橋寺に戻った高嶺は、約束を破ってしまったことを謝りたいとひばりに面会を求めるが、拒絶される。それどころか、一橋寺に高嶺の居場所はないとまで言われてしまう。  　英会話学校ELAに出勤した潤子は、山渕百絵(高梨臨)と毛利まさこ(紗栄子)に高嶺とのことを報告。するとまさこが、ニューヨーク行きはあきらめるのか、仕事を辞めて寺に嫁ぐ覚悟はあるのか、と潤子に迫る。そこまで深く考えていなかった潤子は、返答に困ってしまう。さらに、潤子は清宮真言(田中圭)から、受かればニューヨークに行ける正社員採用試験のエントリーシートを受け取った。仕事で認められて、夢をかなえるんだろ、と背中を押してくれる清宮に、潤子は複雑な思いになる。  　その夜、自宅に戻った潤子は、高嶺が着ていた輪袈裟に口紅が付いていることを発見。高嶺に突きつけると、香織のものだと認めた。怒った潤子は…。</t>
  </si>
  <si>
    <t>番組名5→9～私に恋したお坊さん～【5時から9時まで　最終回前】　#09</t>
  </si>
  <si>
    <t>★5→9公式番組ホームページ★　  http://www.fujitv.co.jp/5ji9ji/　    ★公式twitter★　  @5ji9ji　で検索してね!　桜庭潤子(石原さとみ)は、星川高嶺(山下智久)との結婚を決意し、ELAを辞めることを決断する。潤子が手渡した退職届を清宮真言(田中圭)は無言で受け取った。潤子の突然の退職発表に、山渕百絵(高梨臨)や毛利まさこ(紗栄子)らは、衝撃を受ける。  　自宅に戻った潤子は、高嶺や家族に退職の件を報告。一橋寺の嫁として星川ひばり(加賀まりこ)に認めてもらうためには、仕事をしている場合ではない、と前のめりの潤子に、高嶺は、ひばりのことは自分が何とかするから、退職を考え直してほしい、と言う。  　後日、高嶺は一橋寺に出向くと、星川天音(志尊淳)が企てる「一橋寺解体計画」の計画書をひばりに差し出した。ひばりは、そんな計画通りにはいかないと豪語。さらに、天音も高嶺も住職にするつもりはないと言い放つ。高嶺は、潤子が仕事を辞め一橋寺に嫁ごうとしていることを伝え、結婚を認めてほしい、と頼む。しかし、ひばりは潤子がどれほど努力しても決して認めない、とかたくなな態度を崩さない。  　桜庭家に戻った高嶺は、ひばりのことを潤子に報告。それを聞いてかえってやる気になった潤子は、翌日、高嶺とともにひばりを訪ねるが、ひばりは潤子に会おうともしない。それでもめげない潤子は、ひばりの出先で待ち伏せをするが・・・。石原さとみ　    田中圭　  古川雄輝　  高梨臨　  紗栄子　  吉本実憂　  長妻怜央(ジャニーズJr.)　  高田彪我(さくらしめじ)　  恒松祐里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</si>
  <si>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 xml:space="preserve">　桜庭潤子(石原さとみ)は、星川高嶺(山下智久)との結婚を決意し、ELAを辞めることを決断する。潤子が手渡した退職届を清宮真言(田中圭)は無言で受け取った。潤子の突然の退職発表に、山渕百絵(高梨臨)や毛利まさこ(紗栄子)らは、衝撃を受ける。  　自宅に戻った潤子は、高嶺や家族に退職の件を報告。一橋寺の嫁として星川ひばり(加賀まりこ)に認めてもらうためには、仕事をしている場合ではない、と前のめりの潤子に、高嶺は、ひばりのことは自分が何とかするから、退職を考え直してほしい、と言う。  　後日、高嶺は一橋寺に出向くと、星川天音(志尊淳)が企てる「一橋寺解体計画」の計画書をひばりに差し出した。ひばりは、そんな計画通りにはいかないと豪語。さらに、天音も高嶺も住職にするつもりはないと言い放つ。高嶺は、潤子が仕事を辞め一橋寺に嫁ごうとしていることを伝え、結婚を認めてほしい、と頼む。しかし、ひばりは潤子がどれほど努力しても決して認めない、とかたくなな態度を崩さない。  　桜庭家に戻った高嶺は、ひばりのことを潤子に報告。それを聞いてかえってやる気になった潤子は、翌日、高嶺とともにひばりを訪ねるが、ひばりは潤子に会おうともしない。それでもめげない潤子は、ひばりの出先で待ち伏せをするが・・・。</t>
  </si>
  <si>
    <t>番組名5→9～私に恋したお坊さん～【感動の最終回!　5時から9時まで】　#10</t>
  </si>
  <si>
    <t>★5→9公式番組ホームページ★　  http://www.fujitv.co.jp/5ji9ji/　    ★公式twitter★　  @5ji9ji　で検索してね!　桜庭潤子(石原さとみ)は、星川高嶺(山下智久)と別れることになったと、ELAの人々に報告。清宮真言(田中圭)は、潤子に復職するように言い、潤子もそれを受け入れる。一方、高嶺は足利香織(吉本実憂)との結婚を決意。星川ひばり(加賀まりこ)によって、日取りも決められてしまう。  　その頃、桜庭家では、元気のない潤子を励まそうと家族が必死になる。そこへ、高嶺が合鍵を返却しにやってくる。潤子と別れたと言う高嶺に、ショックを受ける潤子の家族。納得がいかない桜庭満(上島竜兵)は、自宅を後にした高嶺を追うが、目を真っ赤に充血させた高嶺を見て核心を突けなくなる。  　ELAでは、潤子と高嶺を仲直りさせようと、山渕百絵(高梨臨)や木村アーサー(速水もこみち)らが動き始める。高嶺に手料理を食べさせられなかったことが心残りだと言う潤子に、弁当を作らせ、一橋寺に連れて行く。寺に着いた潤子が戸惑っていると、あいさつ回りを終えた高嶺と香織が戻ってくる。潤子を認めた香織は、一礼するとその場を立ち去る。残された高嶺に、潤子は弁当を差し出すが、高嶺は一言も発さず行ってしまう。そこへ、星川天音(志尊淳)が現れた。事情を察した天音は、潤子の弁当を食べ始める。弁当を持ち帰るのが嫌だった潤子は、うまいと言って食べる天音に感謝し、帰っていく。すると、入れ替わりに高嶺がやってきて・・・。石原さとみ　    田中圭　  古川雄輝　  高梨臨　  紗栄子　  吉本実憂　  長妻怜央(ジャニーズJr.)　  高田彪我(さくらしめじ)　  恒松祐里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</si>
  <si>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 xml:space="preserve">　桜庭潤子(石原さとみ)は、星川高嶺(山下智久)と別れることになったと、ELAの人々に報告。清宮真言(田中圭)は、潤子に復職するように言い、潤子もそれを受け入れる。一方、高嶺は足利香織(吉本実憂)との結婚を決意。星川ひばり(加賀まりこ)によって、日取りも決められてしまう。  　その頃、桜庭家では、元気のない潤子を励まそうと家族が必死になる。そこへ、高嶺が合鍵を返却しにやってくる。潤子と別れたと言う高嶺に、ショックを受ける潤子の家族。納得がいかない桜庭満(上島竜兵)は、自宅を後にした高嶺を追うが、目を真っ赤に充血させた高嶺を見て核心を突けなくなる。  　ELAでは、潤子と高嶺を仲直りさせようと、山渕百絵(高梨臨)や木村アーサー(速水もこみち)らが動き始める。高嶺に手料理を食べさせられなかったことが心残りだと言う潤子に、弁当を作らせ、一橋寺に連れて行く。寺に着いた潤子が戸惑っていると、あいさつ回りを終えた高嶺と香織が戻ってくる。潤子を認めた香織は、一礼するとその場を立ち去る。残された高嶺に、潤子は弁当を差し出すが、高嶺は一言も発さず行ってしまう。そこへ、星川天音(志尊淳)が現れた。事情を察した天音は、潤子の弁当を食べ始める。弁当を持ち帰るのが嫌だった潤子は、うまいと言って食べる天音に感謝し、帰っていく。すると、入れ替わりに高嶺がやってきて・・・。</t>
  </si>
  <si>
    <t>1510_CX_火22</t>
  </si>
  <si>
    <t>サイレーン</t>
  </si>
  <si>
    <t>番組名サイレーン　刑事×彼女×完全悪女【主演・松坂桃李!衝撃サスペンス】　#01</t>
  </si>
  <si>
    <t>警視庁機動捜査隊員の里見偲(松坂桃李)は、先輩で相棒の猪熊夕貴(木村文乃)と周囲には内緒で付き合っている。  ある日2人は変死体発見現場で、橘カラ(菜々緒)に出会う。カラの猪熊に対する異様な視線に不安を覚える里見。翌日カラは里見のアパートを調べ上げ、猪熊の行動を監視すべく向かいのマンションに住む渡公平(光石研)に接触し、部屋に転がり込む。  目的は分からないもののカラのターゲットにされてしまった猪熊。そんな中、口の中に白いソックスが詰められた女性の変死体が発見される。刑事課の速水翔(北山宏光)からの報告を聞き、里見は上司の安藤実(船越英一郎)に「連続殺人事件では?」と進言するが相手にされない。  その夜里見は自宅で『シリアルキラー』という本を読んでいた。「シリアルキラーはしばしば被害者をストーキングする。獲物が決まったら獲物の信頼を得ようとする…」。里見が犯人像を探る中、カラが乗り込んだタクシーが闇へ消えて行く…。  また新たな遺体が発見され、被害者の携帯電話から殺害した女性達の写真が見つかる。そして遺留品には『シリアルキラー』の本が…。自分の推理が当たっていたにも関わらず、どこか腑に落ちない里見は猪熊と居酒屋で“ある香り"を嗅ぐ。「最近よく嗅ぐんだよね。いい香り…」。その言葉を聞いて静かに席を立ったのは、2人を尾行していたカラだった。勘の良い里見に、カラは「邪魔だな…」とつぶやいてー。松坂桃李　  木村文乃　  菜々緒　  北山宏光　  高田翔(ジャニーズJr.)　  西尾宇宙　  岡崎紗絵  　・　  要潤　  山口紗弥加　  光石研　  大杉漣　  船越英一郎【原作】  「サイレーン」山崎紗也夏　  (講談社モーニングKC刊)　    【脚本】  佐藤嗣麻子　    【音楽】  住友紀人　    【主題歌】  Anly「太陽に笑え」  (ソニー・ミュージックレコーズ)　    【オープニング曲】  [Alexandros]「Girl　A」  (ユニバーサルJ/RX-RECORDS)    【演出】  本橋圭太　  白木啓一郎　    【プロデューサー】  三宅喜重　  河西秀幸　  平部隆明【制作著作】  関西テレビ放送</t>
  </si>
  <si>
    <t>警視庁機動捜査隊員の里見偲(松坂桃李)は、先輩で相棒の猪熊夕貴(木村文乃)と周囲には内緒で付き合っている。  ある日2人は変死体発見現場で、橘カラ(菜々緒)に出会う。カラの猪熊に対する異様な視線に不安を覚える里見。翌日カラは里見のアパートを調べ上げ、猪熊の行動を監視すべく向かいのマンションに住む渡公平(光石研)に接触し、部屋に転がり込む。  目的は分からないもののカラのターゲットにされてしまった猪熊。そんな中、口の中に白いソックスが詰められた女性の変死体が発見される。刑事課の速水翔(北山宏光)からの報告を聞き、里見は上司の安藤実(船越英一郎)に「連続殺人事件では?」と進言するが相手にされない。  その夜里見は自宅で『シリアルキラー』という本を読んでいた。「シリアルキラーはしばしば被害者をストーキングする。獲物が決まったら獲物の信頼を得ようとする…」。里見が犯人像を探る中、カラが乗り込んだタクシーが闇へ消えて行く…。  また新たな遺体が発見され、被害者の携帯電話から殺害した女性達の写真が見つかる。そして遺留品には『シリアルキラー』の本が…。自分の推理が当たっていたにも関わらず、どこか腑に落ちない里見は猪熊と居酒屋で“ある香り"を嗅ぐ。「最近よく嗅ぐんだよね。いい香り…」。その言葉を聞いて静かに席を立ったのは、2人を尾行していたカラだった。勘の良い里見に、カラは「邪魔だな…」とつぶやいてー。</t>
  </si>
  <si>
    <t>番組名サイレーン　刑事×彼女×完全悪女【主演・松坂桃李VS美しき女殺人鬼】　#02</t>
  </si>
  <si>
    <t>「SMBC　日本シリーズ第3戦　東京ヤクルト×福岡ソフトバンク」延長の際は、放送時間繰り下げの場合あり。管内で起きた2つの事件がきっかけで、里見(松坂桃李)はカラ(菜々緒)の存在が気になり始めるが、自殺した絞殺事件の被疑者とカラの接点が見つからない。  そんなある日、安藤(船越英一郎)の指示で、被疑者が通っていた美容整形外科にカルテを借りに行った里見は、院長の月本(要潤)と対面する。  その晩里見は、酔った勢いで安藤や速水(北山宏光)をカラが働くキャバクラへと案内する。泥酔した里見がトイレで寝ていると、目の前にカラが現れ、いとも簡単に里見の体を抱き起こす。女性とは思えないその腕力に、思わず正気に返る里見。一方のカラは、突然店に来た里見の真意が分からず、いら立ちを覚える。    翌日、里見は以前に猪熊(木村文乃)たちと訪れたカラオケ店で、カラだけでなく、月本にも会ったことを思い出す。自殺した被疑者同様、カラも月本が整形した患者なのでは…と考えた里見は早速、猪熊にも内緒でクリニックを見張り始める。その頃、猪熊を格闘技の試合に誘ったカラは、その距離を急速に縮めようとしていた。  猪熊の家族関係や幼少期の話を聞き出し、上手く懐に入り込むカラ。  その数日後、繁華街で男が無差別に刃物を振り回していると通報が入る。騒ぎを聞きつけたカラは、里見と猪熊が現場に向かっていることを確認して店を飛び出し、犯人の前に立ちはだかる。すると、興奮した男はカラにナイフを向けて襲いかかり…。松坂桃李　  木村文乃　  菜々緒　  北山宏光　  高田翔(ジャニーズJr.)　  西尾宇宙　  岡崎紗絵  　・　  要潤　  山口紗弥加　  光石研　  大杉漣　  船越英一郎【原作】  「サイレーン」山崎紗也夏　  (講談社モーニングKC刊)　    【脚本】  佐藤嗣麻子　    【音楽】  住友紀人　    【主題歌】  Anly「太陽に笑え」  (ソニー・ミュージックレコーズ)　    【オープニング曲】  [Alexandros]「Girl　A」(ユニバーサルJ/RX-RECORDS)　  【演出】  本橋圭太　    【プロデューサー】  三宅喜重　  河西秀幸　  平部隆明【制作著作】  関西テレビ放送■公式ホームページ  検索→「サイレーン　ドラマ」  ・ツイッターやフェイスブックも!  ・出演者待受やサインプレゼント実施中!  詳しくは番組HP内の「モバイル」で    ■データ放送  原作・山崎紗也夏先生の書き下ろし漫画を大公開!(リアルタイムでご覧頂いている際、リモコンのdボタンを押して下さい)</t>
  </si>
  <si>
    <t>「SMBC　日本シリーズ第3戦　東京ヤクルト×福岡ソフトバンク」延長の際は、放送時間繰り下げの場合あり。管内で起きた2つの事件がきっかけで、里見(松坂桃李)はカラ(菜々緒)の存在が気になり始めるが、自殺した絞殺事件の被疑者とカラの接点が見つからない。  そんなある日、安藤(船越英一郎)の指示で、被疑者が通っていた美容整形外科にカルテを借りに行った里見は、院長の月本(要潤)と対面する。  その晩里見は、酔った勢いで安藤や速水(北山宏光)をカラが働くキャバクラへと案内する。泥酔した里見がトイレで寝ていると、目の前にカラが現れ、いとも簡単に里見の体を抱き起こす。女性とは思えないその腕力に、思わず正気に返る里見。一方のカラは、突然店に来た里見の真意が分からず、いら立ちを覚える。    翌日、里見は以前に猪熊(木村文乃)たちと訪れたカラオケ店で、カラだけでなく、月本にも会ったことを思い出す。自殺した被疑者同様、カラも月本が整形した患者なのでは…と考えた里見は早速、猪熊にも内緒でクリニックを見張り始める。その頃、猪熊を格闘技の試合に誘ったカラは、その距離を急速に縮めようとしていた。  猪熊の家族関係や幼少期の話を聞き出し、上手く懐に入り込むカラ。  その数日後、繁華街で男が無差別に刃物を振り回していると通報が入る。騒ぎを聞きつけたカラは、里見と猪熊が現場に向かっていることを確認して店を飛び出し、犯人の前に立ちはだかる。すると、興奮した男はカラにナイフを向けて襲いかかり…。</t>
  </si>
  <si>
    <t>番組名サイレーン　刑事×彼女×完全悪女【松坂桃李主演!女殺人鬼、次の犯行】　#03</t>
  </si>
  <si>
    <t>通り魔の一件で猪熊(木村文乃)の正義感に強い憧れを抱いたカラ(菜々緒)は、自分もそれを手に入れたいと考えていた。  一方、月本(要潤)こそが一連の事件の黒幕ではないかと考えた里見(松坂桃李)は、その行動をマーク。  月本がとある会員制のクラブに出入りしていることが分かると、自らも高級ブランドに身を包んで変装し周囲に内緒で潜入捜査を開始する。  やがて、クラブからアイ(佐野ひなこ)とレナ(入山杏奈)を紹介された里見は、クラブの実態が売春組織であること、さらに月本とクラブの関係も突き止める。  しかし、その話をライバルの速水(北山宏光)が聞いていた…!  速水は里見に貸した時計に、ひそかに盗聴器を仕掛けて里見の動きを探っていたのだ。  そうとは知らない里見が一人マンションへ帰ると、そこには電話がつながらないことを心配した猪熊の姿が。  猪熊は、里見から香るかすかな香水の匂いに気づき不安を覚えて…。  しばらくして、里見の報告書がきっかけで、署に会員制クラブを摘発するための捜査本部が置かれることに。  里見も猪熊とともに捜査のメンバーに加わるが、突如「捜査中断」の指示が。  どうやら、速水がクラブの客に関する重大な情報をつかんだらしい。  一方、捜査の手が自分に及ぶことを察知した月本は、逃亡を企てていた。  そんな中、カラが突然月本の前に現れる。  猪熊の正義感を追体験するため、カラは新たな計画を実行しようと…。松坂桃李　  木村文乃　  菜々緒　  北山宏光　  高田翔(ジャニーズJr.)　  佐野ひなこ　  入山杏奈　  西尾宇宙　  岡崎紗絵  　・　  要潤　  山口紗弥加　  光石研　  船越英一郎【原作】  「サイレーン」山崎紗也夏　  (講談社モーニングKC刊)　    【脚本】  佐藤嗣麻子　    【音楽】  住友紀人　    【主題歌】  Anly「太陽に笑え」  (ソニー・ミュージックレコーズ)　    【オープニング曲】  [Alexandros]「Girl　A」(ユニバーサルJ/RX-RECORDS)　  【演出】  白木啓一郎　    【プロデューサー】  三宅喜重　  河西秀幸　  平部隆明【制作著作】  関西テレビ放送■公式ホームページ  検索→「サイレーン　ドラマ」  ・ツイッターやフェイスブックも!  ・出演者待受やサインプレゼント実施中!  詳しくは番組HP内の「モバイル」で    ■データ放送  原作・山崎紗也夏先生の書き下ろし漫画を大公開!(リアルタイムでご覧頂いている際、リモコンのdボタンを押して下さい)</t>
  </si>
  <si>
    <t>通り魔の一件で猪熊(木村文乃)の正義感に強い憧れを抱いたカラ(菜々緒)は、自分もそれを手に入れたいと考えていた。  一方、月本(要潤)こそが一連の事件の黒幕ではないかと考えた里見(松坂桃李)は、その行動をマーク。  月本がとある会員制のクラブに出入りしていることが分かると、自らも高級ブランドに身を包んで変装し周囲に内緒で潜入捜査を開始する。  やがて、クラブからアイ(佐野ひなこ)とレナ(入山杏奈)を紹介された里見は、クラブの実態が売春組織であること、さらに月本とクラブの関係も突き止める。  しかし、その話をライバルの速水(北山宏光)が聞いていた…!  速水は里見に貸した時計に、ひそかに盗聴器を仕掛けて里見の動きを探っていたのだ。  そうとは知らない里見が一人マンションへ帰ると、そこには電話がつながらないことを心配した猪熊の姿が。  猪熊は、里見から香るかすかな香水の匂いに気づき不安を覚えて…。  しばらくして、里見の報告書がきっかけで、署に会員制クラブを摘発するための捜査本部が置かれることに。  里見も猪熊とともに捜査のメンバーに加わるが、突如「捜査中断」の指示が。  どうやら、速水がクラブの客に関する重大な情報をつかんだらしい。  一方、捜査の手が自分に及ぶことを察知した月本は、逃亡を企てていた。  そんな中、カラが突然月本の前に現れる。  猪熊の正義感を追体験するため、カラは新たな計画を実行しようと…。</t>
  </si>
  <si>
    <t>番組名サイレーン　刑事×彼女×完全悪女【松坂桃李主演!反撃開始!正体暴け】　#04</t>
  </si>
  <si>
    <t>月本(要潤)が行方をくらませたことで、警察は麻弥(三上紗弥)に手をかけたのが月本だと断定する。  しかし月本のクリニックにカラ(菜々緒)のカルテがなかったことが引っかかる里見(松坂桃李)は、再び調査を開始する。  すると、担当医の証言で、麻弥が病院に運び込まれた際、「助けて」とうわ言をつぶやいていたことが判明。  里見は、麻弥を襲ったのが月本ではなく、第三者である可能性を考えるが、確証は得られず、もはや犯人を見た麻弥の意識が戻るのを祈るしかない。  一方、里見と別行動することが多くなった猪熊(木村文乃)は、里見の背後にたびたび女性の気配を感じ、不安を募らせていた。    その頃、月本に制裁を加えたカラは、渡(光石研)に誘われ田舎の別荘へ行くことに。  渡はカラにプロポーズし、そこを新居に二人で新婚生活を送ろうと考えていたのだ。  しかし、そんな渡の恋心を逆手に取り、カラはその別荘を自分のある計画に使おうともくろみ、渡の決死のプロポーズにも「考えておく」と思わせぶりな返事をする。    翌日、新聞に麻弥が一命を取りとめたことが掲載される。  記事を読んだ犯人が麻弥の口を封じに来るのではと、慌てて病院へ向かう里見。  やがて、麻弥の無事を確認し、署に戻ろうとすると、すれ違った女性から嗅いだことのある香りが。呼び止めると、それは変装したカラだったー!松坂桃李　  木村文乃　  菜々緒　  北山宏光　  高田翔(ジャニーズJr.)　  佐野ひなこ　  入山杏奈　  西尾宇宙　  岡崎紗絵  　・　  山口紗弥加　  笛木優子　  光石研　  船越英一郎【原作】  「サイレーン」山崎紗也夏　  (講談社モーニングKC刊)　    【脚本】  佐藤嗣麻子　    【音楽】  住友紀人　    【主題歌】  Anly「太陽に笑え」  (ソニー・ミュージックレコーズ)　    【オープニング曲】  [Alexandros]「Girl　A」(ユニバーサルJ/RX-RECORDS)　    【演出】  白木啓一郎　    【プロデューサー】  三宅喜重　  河西秀幸　  平部隆明【制作著作】  関西テレビ放送■公式ホームページ  検索→「サイレーン　ドラマ」  ・ツイッターやフェイスブックも!  ・出演者待受やサインプレゼント実施中!  詳しくは番組HP内の「モバイル」で。    ■データ放送  原作・山崎紗也夏先生の書き下ろし漫画を大公開!(リアルタイムでご覧頂いている際、リモコンのdボタンを押して下さい)</t>
  </si>
  <si>
    <t>月本(要潤)が行方をくらませたことで、警察は麻弥(三上紗弥)に手をかけたのが月本だと断定する。  しかし月本のクリニックにカラ(菜々緒)のカルテがなかったことが引っかかる里見(松坂桃李)は、再び調査を開始する。  すると、担当医の証言で、麻弥が病院に運び込まれた際、「助けて」とうわ言をつぶやいていたことが判明。  里見は、麻弥を襲ったのが月本ではなく、第三者である可能性を考えるが、確証は得られず、もはや犯人を見た麻弥の意識が戻るのを祈るしかない。  一方、里見と別行動することが多くなった猪熊(木村文乃)は、里見の背後にたびたび女性の気配を感じ、不安を募らせていた。    その頃、月本に制裁を加えたカラは、渡(光石研)に誘われ田舎の別荘へ行くことに。  渡はカラにプロポーズし、そこを新居に二人で新婚生活を送ろうと考えていたのだ。  しかし、そんな渡の恋心を逆手に取り、カラはその別荘を自分のある計画に使おうともくろみ、渡の決死のプロポーズにも「考えておく」と思わせぶりな返事をする。    翌日、新聞に麻弥が一命を取りとめたことが掲載される。  記事を読んだ犯人が麻弥の口を封じに来るのではと、慌てて病院へ向かう里見。  やがて、麻弥の無事を確認し、署に戻ろうとすると、すれ違った女性から嗅いだことのある香りが。呼び止めると、それは変装したカラだったー!</t>
  </si>
  <si>
    <t>番組名サイレーン　刑事×彼女×完全悪女【謎の正体をついに暴く▽松坂桃李他】　#05</t>
  </si>
  <si>
    <t>カラ(菜々緒)とホテルのエレベーターで接近しているところを猪熊(木村佳乃)に目撃された里見(松坂桃李)。  カラが2人を罠にはめるために送ったメールにおびき寄せられた猪熊に、カラとの関係を誤解された里見は何とか話をしようとするが、露骨に避ける猪熊。2人の間に、明らかな溝ができ始める。    翌朝、安藤(船越英一郎)に呼ばれた猪熊は、本庁捜査一課への異動を命じられるが、「どちらかが捜査一課へ行ったら結婚しよう」と里見と約束していたことが頭をよぎり、ちゅうちょしてしまう。前日の一件で、里見が何か隠し事をしていると確信した猪熊は返事を保留。  千歳(山口紗弥加)のアドバイスもあり、里見のことをもっとよく知ろうと、巡査になりたての里見が担当した過去の未解決事件について調べ始める。  一方、猪熊栄転のウワサを聞きつけた速水(北山宏光)は、猪熊が活躍するきっかけになったのはカラだとあたりをつけて、密かにカラに接触して…。    その頃、自分一人でカラと対峙することに限界を感じた里見は、アイ(佐野ひなこ)とレナ(入山杏奈)に協力を依頼していた。アイが会員制クラブの関係者からカラの住所を聞き出し、家の侵入に成功した里見。そこで、カラの過去を暴く思わぬものを発見する!松坂桃李　  木村文乃　  菜々緒　  北山宏光　  高田翔(ジャニーズJr.)　  佐野ひなこ　  入山杏奈　  西尾宇宙　  岡崎紗絵  　・　  山口紗弥加　  藤吉久美子　  光石研　  大杉漣　  船越英一郎【原作】  「サイレーン」山崎紗也夏　  (講談社モーニングKC刊)　    【脚本】  佐藤嗣麻子　    【音楽】  住友紀人　    【主題歌】  Anly「太陽に笑え」  (ソニー・ミュージックレコーズ)　    【オープニング曲】  [Alexandros]「Girl　A」(ユニバーサルJ/RX-RECORDS)　    【演出】  本橋圭太　    【プロデューサー】  三宅喜重　  河西秀幸　  平部隆明【制作著作】  関西テレビ放送■公式ホームページ  検索→「サイレーン　ドラマ」  ・ツイッターやフェイスブックも!  ・出演者待受やサインプレゼント実施中!  詳しくは番組HP内の「モバイル」で。    ■データ放送  原作・山崎紗也夏先生の書き下ろし漫画を大公開!(リアルタイムでご覧頂いている際、リモコンのdボタンを押して下さい)</t>
  </si>
  <si>
    <t>カラ(菜々緒)とホテルのエレベーターで接近しているところを猪熊(木村佳乃)に目撃された里見(松坂桃李)。  カラが2人を罠にはめるために送ったメールにおびき寄せられた猪熊に、カラとの関係を誤解された里見は何とか話をしようとするが、露骨に避ける猪熊。2人の間に、明らかな溝ができ始める。    翌朝、安藤(船越英一郎)に呼ばれた猪熊は、本庁捜査一課への異動を命じられるが、「どちらかが捜査一課へ行ったら結婚しよう」と里見と約束していたことが頭をよぎり、ちゅうちょしてしまう。前日の一件で、里見が何か隠し事をしていると確信した猪熊は返事を保留。  千歳(山口紗弥加)のアドバイスもあり、里見のことをもっとよく知ろうと、巡査になりたての里見が担当した過去の未解決事件について調べ始める。  一方、猪熊栄転のウワサを聞きつけた速水(北山宏光)は、猪熊が活躍するきっかけになったのはカラだとあたりをつけて、密かにカラに接触して…。    その頃、自分一人でカラと対峙することに限界を感じた里見は、アイ(佐野ひなこ)とレナ(入山杏奈)に協力を依頼していた。アイが会員制クラブの関係者からカラの住所を聞き出し、家の侵入に成功した里見。そこで、カラの過去を暴く思わぬものを発見する!</t>
  </si>
  <si>
    <t>番組名サイレーン　刑事×彼女×完全悪女【破滅への罠…あの女を絶対許さない】　#06</t>
  </si>
  <si>
    <t>猪熊(木村文乃)に拒絶された里見(松坂桃李)は、速水(北山宏光)から猪熊が捜査一課へ異動することを聞かされる。しかも猪熊が返事を保留していると知り、自分との結婚をちゅうちょしているのではと、ショックを受ける。  その頃、里見に自宅アパートを突き止められ、恋人が殺された過去の事件も嗅ぎつけられたカラ(菜々緒)は、少なからず危機感を覚えていた。そして、里見に情報をリークした人物がレナ(入山杏奈)だと分かると、それを逆手にとり、あることを企てる。その一方で、渡(光石研)には警察官にストーカーされていると訴え、里見の写真を見せるカラ。心配した渡はカラの思惑通り、街で偶然見かけた里見を尾行して…。  一方、8年前の事件を追う猪熊は、カラを呼び出して当時の話を聞くことに。するとカラは、ある場所に事件の資料を保管してあると告げ、誰にも言わないことを条件に、信用する猪熊にだけ、それを見せるという。そんな約束を知る由もない里見は、結婚の意思を確かめようと猪熊と居酒屋で待ち合わせる。しかし、近頃の里見の不審な行動が原因で、2人は再び言い争いに。怒った猪熊が店を出て行くと、そこへレナから呼び出しのメールが届く。猪熊のことを気にしながらも、指定されたホテルへと急ぐ里見。その様子を物陰から見ていた猪熊も、こっそり後を追う。しかし、到着した里見が部屋に入ると、突然、何者かが襲いかかってきてーー!?松坂桃李　  木村文乃　  菜々緒　  北山宏光　  高田翔(ジャニーズJr.)　  佐野ひなこ　  入山杏奈　  西尾宇宙　  岡崎紗絵  　・　  山口紗弥加　  藤吉久美子　  光石研　  大杉漣　  船越英一郎【原作】  「サイレーン」山崎紗也夏　  (講談社モーニングKC刊)　    【脚本】  佐藤嗣麻子　    【音楽】  住友紀人　    【主題歌】  Anly「太陽に笑え」  (ソニー・ミュージックレコーズ)　    【オープニング曲】  [Alexandros]「Girl　A」(ユニバーサルJ/RX-RECORDS)　    【演出】  浜弘大　    【プロデューサー】  三宅喜重　  河西秀幸　  平部隆明【制作著作】  関西テレビ放送■公式ホームページ  検索→「サイレーン　ドラマ」  ・ツイッターやフェイスブックも!  ・出演者待受やサインプレゼント実施中!  詳しくは番組HP内の「モバイル」で。    ■データ放送  原作・山崎紗也夏先生の書き下ろし漫画を大公開!(リアルタイムでご覧頂いている際、リモコンのdボタンを押して下さい)</t>
  </si>
  <si>
    <t>猪熊(木村文乃)に拒絶された里見(松坂桃李)は、速水(北山宏光)から猪熊が捜査一課へ異動することを聞かされる。しかも猪熊が返事を保留していると知り、自分との結婚をちゅうちょしているのではと、ショックを受ける。  その頃、里見に自宅アパートを突き止められ、恋人が殺された過去の事件も嗅ぎつけられたカラ(菜々緒)は、少なからず危機感を覚えていた。そして、里見に情報をリークした人物がレナ(入山杏奈)だと分かると、それを逆手にとり、あることを企てる。その一方で、渡(光石研)には警察官にストーカーされていると訴え、里見の写真を見せるカラ。心配した渡はカラの思惑通り、街で偶然見かけた里見を尾行して…。  一方、8年前の事件を追う猪熊は、カラを呼び出して当時の話を聞くことに。するとカラは、ある場所に事件の資料を保管してあると告げ、誰にも言わないことを条件に、信用する猪熊にだけ、それを見せるという。そんな約束を知る由もない里見は、結婚の意思を確かめようと猪熊と居酒屋で待ち合わせる。しかし、近頃の里見の不審な行動が原因で、2人は再び言い争いに。怒った猪熊が店を出て行くと、そこへレナから呼び出しのメールが届く。猪熊のことを気にしながらも、指定されたホテルへと急ぐ里見。その様子を物陰から見ていた猪熊も、こっそり後を追う。しかし、到着した里見が部屋に入ると、突然、何者かが襲いかかってきてーー!?</t>
  </si>
  <si>
    <t>番組名サイレーン　刑事×彼女×完全悪女【遂に牙をむく悪女、獲物は女刑事!】　#07</t>
  </si>
  <si>
    <t>カラ(菜々緒)に殴られ意識を失った猪熊(木村文乃)が目を覚ますと、そこは地下室だった。  手足は拘束され、口もふさがれ、助けを呼ぶことは到底できそうにない。  自分を陥れたのがカラだとは想像もしていない猪熊は、姿が見えないカラの安否を気にするが、現れたカラは笑みを浮かべ、「恨みは一切ないです。でも殺します」とついに本性を現す。さらに、状況が飲み込めずぼうぜんとする猪熊に追い打ちをかけるように、自分が犯した殺人の数々について平然と語り出す。  警察官として犯行に気付かなかった自分のふがいなさを責める猪熊は、一方で、唯一、里見だけがカラの正体に気付き、自分を守ろうとしていたことを知り、涙する。  やがて、痛めつけられ、ボロボロになった体を引きずる猪熊に、カラはあることを語り始めて……。その頃、カラの故郷へ向かった里見(松坂桃李)は、出身校や実家を訪ねて回り、カラがいつも特定の友達と2人で遊んでいたことを突き止める。  するとそこへ、レナ(入山杏奈)と連絡がつかないとアイ(佐野ひなこ)から電話が。  さらに、猪熊も所在が分からないという。カラが絡んでいると確信した里見は、焦る気持ちを抑え、カラが働くキャバクラへと1人で乗り込んでーー!?松坂桃李　  木村文乃　  菜々緒　  北山宏光　  高田翔(ジャニーズJr.)　  佐野ひなこ　  入山杏奈　  西尾宇宙　  岡崎紗絵  　・　  山口紗弥加　  藤吉久美子　  光石研　  大杉漣　  船越英一郎【原作】  「サイレーン」山崎紗也夏　  (講談社モーニングKC刊)　    【脚本】  佐藤嗣麻子　    【音楽】  住友紀人　    【主題歌】  Anly「太陽に笑え」  (ソニー・ミュージックレコーズ)　    【オープニング曲】  [Alexandros]「Girl　A」(ユニバーサルJ/RX-RECORDS)　  【演出】  白木啓一郎　    【プロデューサー】  三宅喜重　  河西秀幸　  平部隆明【制作著作】  関西テレビ放送■公式ホームページ  検索→「サイレーン　ドラマ」  ・ツイッターやフェイスブックも!  ・出演者待受やサインプレゼント実施中!  詳しくは番組HP内の「モバイル」で。    ■データ放送  原作・山崎紗也夏先生の書き下ろし漫画を大公開!(リアルタイムでご覧頂いている際、リモコンのdボタンを押して下さい)</t>
  </si>
  <si>
    <t>カラ(菜々緒)に殴られ意識を失った猪熊(木村文乃)が目を覚ますと、そこは地下室だった。  手足は拘束され、口もふさがれ、助けを呼ぶことは到底できそうにない。  自分を陥れたのがカラだとは想像もしていない猪熊は、姿が見えないカラの安否を気にするが、現れたカラは笑みを浮かべ、「恨みは一切ないです。でも殺します」とついに本性を現す。さらに、状況が飲み込めずぼうぜんとする猪熊に追い打ちをかけるように、自分が犯した殺人の数々について平然と語り出す。  警察官として犯行に気付かなかった自分のふがいなさを責める猪熊は、一方で、唯一、里見だけがカラの正体に気付き、自分を守ろうとしていたことを知り、涙する。  やがて、痛めつけられ、ボロボロになった体を引きずる猪熊に、カラはあることを語り始めて……。その頃、カラの故郷へ向かった里見(松坂桃李)は、出身校や実家を訪ねて回り、カラがいつも特定の友達と2人で遊んでいたことを突き止める。  するとそこへ、レナ(入山杏奈)と連絡がつかないとアイ(佐野ひなこ)から電話が。  さらに、猪熊も所在が分からないという。カラが絡んでいると確信した里見は、焦る気持ちを抑え、カラが働くキャバクラへと1人で乗り込んでーー!?</t>
  </si>
  <si>
    <t>番組名サイレーン　刑事×彼女×完全悪女【愛する恋人を救え!驚愕の結末へ…】　#08</t>
  </si>
  <si>
    <t>渡(光石研)に襲われ、意識不明の重体に陥った里見(松坂桃李)は、懸命の処置が施されるなか、途切れる意識の中で、初めて猪熊(木村文乃)に出会った頃のことを思い出していた。4年前、まだ巡査だった里見は、街中でひったくり犯を捕まえたことがきっかけで、当時交番勤務だった猪熊と出会い、一瞬にしてその笑顔に惹かれる。そして何度か会った後、初めて猪熊を部屋に呼ぶが、あまりに色気のない展開に業を煮やして思わず…逮捕した渡を取り調べた速水(北山宏光)と安藤(船越英一郎)は、渡がカラ(菜々緒)の婚約者と名乗り、カラのストーカー被害を訴えていたことから、犯行の動機が里見への復讐ではないかと考える。一方で、猪熊失踪との関連性も調べ始めるが、手がかりは見つからない。    監禁された猪熊のもとには、一連の事件の後に行方をくらませていた月本(要潤)が、憔悴しきった様子で姿を現す。さらに、カラから里見襲撃の話を聞き、深い絶望を味わう猪熊。やがてカラは、高校時代にある女子生徒と仲良くなったこと、その子がきっかけで整形を始めたこと、そして、恐るべきある衝動に駆られたことなどを話し始める。カラはすべてを語ると猪熊のスマホで両親へ「しばらく一人になりたい」と偽装メールを送り、「私の計画に変更は無い」と語って、ついに…!!松坂桃李　  木村文乃　  菜々緒　  北山宏光　  高田翔(ジャニーズJr.)　  佐野ひなこ　  入山杏奈　  西尾宇宙　  岡崎紗絵　  三上紗弥  　・　  要潤　  山口紗弥加　  笛木優子　  藤吉久美子　  光石研　  大杉漣　  船越英一郎【原作】  「サイレーン」山崎紗也夏　  (講談社モーニングKC刊)　    【脚本】  佐藤嗣麻子　    【音楽】  住友紀人　    【主題歌】  Anly「太陽に笑え」  (ソニー・ミュージックレコーズ)　    【オープニング曲】  [Alexandros]「Girl　A」(ユニバーサルJ/RX-RECORDS)　  【演出】  本橋圭太　    【プロデューサー】  三宅喜重　  河西秀幸　  平部隆明【制作著作】  関西テレビ放送■公式ホームページ  検索→「サイレーン　ドラマ」  ・ツイッターやフェイスブックも!  ・出演者待受やサインプレゼント実施中!  詳しくは番組HP内の「モバイル」で。    ■データ放送  原作・山崎紗也夏先生の書き下ろし漫画を大公開!(リアルタイムでご覧頂いている際、リモコンのdボタンを押して下さい)</t>
  </si>
  <si>
    <t>渡(光石研)に襲われ、意識不明の重体に陥った里見(松坂桃李)は、懸命の処置が施されるなか、途切れる意識の中で、初めて猪熊(木村文乃)に出会った頃のことを思い出していた。4年前、まだ巡査だった里見は、街中でひったくり犯を捕まえたことがきっかけで、当時交番勤務だった猪熊と出会い、一瞬にしてその笑顔に惹かれる。そして何度か会った後、初めて猪熊を部屋に呼ぶが、あまりに色気のない展開に業を煮やして思わず…逮捕した渡を取り調べた速水(北山宏光)と安藤(船越英一郎)は、渡がカラ(菜々緒)の婚約者と名乗り、カラのストーカー被害を訴えていたことから、犯行の動機が里見への復讐ではないかと考える。一方で、猪熊失踪との関連性も調べ始めるが、手がかりは見つからない。    監禁された猪熊のもとには、一連の事件の後に行方をくらませていた月本(要潤)が、憔悴しきった様子で姿を現す。さらに、カラから里見襲撃の話を聞き、深い絶望を味わう猪熊。やがてカラは、高校時代にある女子生徒と仲良くなったこと、その子がきっかけで整形を始めたこと、そして、恐るべきある衝動に駆られたことなどを話し始める。カラはすべてを語ると猪熊のスマホで両親へ「しばらく一人になりたい」と偽装メールを送り、「私の計画に変更は無い」と語って、ついに…!!</t>
  </si>
  <si>
    <t>番組名サイレーン　刑事×彼女×完全悪女【遂に最終回!悪女との死闘決着!】　#09</t>
  </si>
  <si>
    <t>カラ(菜々緒)との壮絶なバトルの末、地下室で監禁され弱りきった猪熊(木村文乃)を発見した里見(松坂桃李)。しかし、一度は拘束したカラが再び2人に襲いかかり、最後は斧を振りかざすカラに猪熊が発砲。胸を撃ち抜かれたカラは死亡する。そして、燃えさかる別荘から何とか脱出した里見と猪熊は、駆け付けた速水(北山宏光)たちに保護され、焼け跡からはカラの遺体が見つかった。病院で目を覚ました里見が猪熊の病室を訪ねると、そこには無事保護されたアイ(佐野ひなこ)とレナ(入山杏奈)の姿が。猪熊と同じく監禁されていたレナだったが、もう退院できるという。アイとレナが病室を出ていくと、里見は「生きた心地がしなかった」と猪熊を抱きしめる。久しぶりに恋人同士の平穏な時間を取り戻した2人は、自然とキスを交わす…。一方で、里見はまだ、心のどこかで今回の事件のことが引っかかっていた。猪熊の証言によると、カラは里見と猪熊の関係に嫉妬していたというが、これまで幾度となくカラと対峙してきた里見には、完璧な悪女であるカラの犯行動機が、単なる“嫉妬"だとは到底思えなかったのだ。そして、ある疑惑を胸に、もう一度カラの過去を洗い直そうと再び単独捜査を開始。しかしそこには、誰も予想していなかった、驚きの結末が待っていたーーカラの恐ろしい計画は、まだ終わっていなかった!松坂桃李　  木村文乃　  菜々緒　  北山宏光　  高田翔(ジャニーズJr.)　  佐野ひなこ　  入山杏奈　  西尾宇宙　  岡崎紗絵　  三上紗弥  　・　  要潤　  山口紗弥加　  笛木優子　  藤吉久美子　  光石研　  大杉漣　  船越英一郎【原作】  「サイレーン」山崎紗也夏　  (講談社モーニングKC刊)　    【脚本】  佐藤嗣麻子　    【音楽】  住友紀人　    【主題歌】  Anly「太陽に笑え」  (ソニー・ミュージックレコーズ)　    【オープニング曲】  [Alexandros]「Girl　A」(ユニバーサルJ/RX-RECORDS)　  【演出】  本橋圭太　    【プロデューサー】  三宅喜重　  河西秀幸　  平部隆明【制作著作】  関西テレビ放送■公式ホームページ  検索→「サイレーン　ドラマ」  ・ツイッターやフェイスブックも!  ・出演者待受やサインプレゼント実施中!  詳しくは番組HP内の「モバイル」で。    ■データ放送  原作・山崎紗也夏先生の書き下ろし漫画を大公開!(リアルタイムでご覧頂いている際、リモコンのdボタンを押して下さい)</t>
  </si>
  <si>
    <t>カラ(菜々緒)との壮絶なバトルの末、地下室で監禁され弱りきった猪熊(木村文乃)を発見した里見(松坂桃李)。しかし、一度は拘束したカラが再び2人に襲いかかり、最後は斧を振りかざすカラに猪熊が発砲。胸を撃ち抜かれたカラは死亡する。そして、燃えさかる別荘から何とか脱出した里見と猪熊は、駆け付けた速水(北山宏光)たちに保護され、焼け跡からはカラの遺体が見つかった。病院で目を覚ました里見が猪熊の病室を訪ねると、そこには無事保護されたアイ(佐野ひなこ)とレナ(入山杏奈)の姿が。猪熊と同じく監禁されていたレナだったが、もう退院できるという。アイとレナが病室を出ていくと、里見は「生きた心地がしなかった」と猪熊を抱きしめる。久しぶりに恋人同士の平穏な時間を取り戻した2人は、自然とキスを交わす…。一方で、里見はまだ、心のどこかで今回の事件のことが引っかかっていた。猪熊の証言によると、カラは里見と猪熊の関係に嫉妬していたというが、これまで幾度となくカラと対峙してきた里見には、完璧な悪女であるカラの犯行動機が、単なる“嫉妬"だとは到底思えなかったのだ。そして、ある疑惑を胸に、もう一度カラの過去を洗い直そうと再び単独捜査を開始。しかしそこには、誰も予想していなかった、驚きの結末が待っていたーーカラの恐ろしい計画は、まだ終わっていなかった!</t>
  </si>
  <si>
    <t>1510_CX_水22</t>
  </si>
  <si>
    <t>無痛</t>
  </si>
  <si>
    <t>番組名無痛～診える眼～　#01</t>
  </si>
  <si>
    <t>['21', '23']</t>
  </si>
  <si>
    <t>番組ホームページはこちら→　http://www.fujitv.co.jp/mutsu/index.html　住宅街の片隅で小さな診療所を営む為頼英介(西島秀俊)は、患者の病気を外観から見ただけで判断出来る特殊な能力を持つ。それは一見、素晴らしい能力なのだが、為頼には手の施しようがない患者までわかってしまう。その研ぎ澄まされた診察眼は、為頼に犯罪者特有の徴候“犯因症"をも見せてしまう。  　為頼は診療所の看護師で義姉の井上和枝(浅田美代子)と町を歩いていた。その間も道行く人々の病状が見えてしまいむなしく思う為頼。そんな為頼が和枝と別れた直後、犯因症の徴候を持つ男(小久保寿人)とすれ違う。男が和枝の去った方に行くのを確認した為頼は、和枝の身を案じ警察に通報した後、自身もその男を追う。和枝に危険を報せて付近の人々を安全な店に誘導しようとした矢先、男が暴れ出した。為頼は傷ついた人たちに素早く治療を施し始める。そこに、報告を受けた早瀬順一郎刑事(伊藤淳史)が到着して男に発砲、取り押さえた。　通り魔によるけが人たちは白神陽児(伊藤英明)が経営する病院に運び込まれる。救急隊員から現場での為頼の迅速な処置の様子を聞いた白神も為頼に関心を持った。白神はけがをした和枝のオペを開始。だが、なぜかオペの見学を掃除係のイバラ(中村蒼)にも許した。  　事件現場で聞き込みをしていた早瀬は、為頼からの通報が事件発生前だったことを知る。なぜ事件が起きることを為頼が知る事が出来たのか?興味を抱いた早瀬は…。西島秀俊　      伊藤淳史　      石橋杏奈　    中村蒼　  浜辺美波　    宮本真希　  兵動大樹　  馬場徹　  和泉佑三子　    津嘉山正種　    浅田美代子    　○　    伊藤英明【原作】  久坂部羊「無痛」(幻冬舎文庫)　    【脚本】  大久保ともみ　  香坂隆史　    【編成企画】  清水一幸(フジテレビ)　    【プロデュース】  貸川聡子　    【アソシエイトプロデュース】  稲田秀樹　    【演出】  佐藤祐市　  木下高男　  山内大典　    【音楽】  塩谷哲　    【主題歌】  Superfly「黒い雫」(ワーナーミュージック・ジャパン)　【挿入歌】  ミソッカス「闇夜のキャラバン」(avex　trax)　    【制作】  フジテレビ　    【制作著作】  共同テレビ</t>
  </si>
  <si>
    <t xml:space="preserve">　住宅街の片隅で小さな診療所を営む為頼英介(西島秀俊)は、患者の病気を外観から見ただけで判断出来る特殊な能力を持つ。それは一見、素晴らしい能力なのだが、為頼には手の施しようがない患者までわかってしまう。その研ぎ澄まされた診察眼は、為頼に犯罪者特有の徴候“犯因症"をも見せてしまう。  　為頼は診療所の看護師で義姉の井上和枝(浅田美代子)と町を歩いていた。その間も道行く人々の病状が見えてしまいむなしく思う為頼。そんな為頼が和枝と別れた直後、犯因症の徴候を持つ男(小久保寿人)とすれ違う。男が和枝の去った方に行くのを確認した為頼は、和枝の身を案じ警察に通報した後、自身もその男を追う。和枝に危険を報せて付近の人々を安全な店に誘導しようとした矢先、男が暴れ出した。為頼は傷ついた人たちに素早く治療を施し始める。そこに、報告を受けた早瀬順一郎刑事(伊藤淳史)が到着して男に発砲、取り押さえた。　通り魔によるけが人たちは白神陽児(伊藤英明)が経営する病院に運び込まれる。救急隊員から現場での為頼の迅速な処置の様子を聞いた白神も為頼に関心を持った。白神はけがをした和枝のオペを開始。だが、なぜかオペの見学を掃除係のイバラ(中村蒼)にも許した。  　事件現場で聞き込みをしていた早瀬は、為頼からの通報が事件発生前だったことを知る。なぜ事件が起きることを為頼が知る事が出来たのか?興味を抱いた早瀬は…。</t>
  </si>
  <si>
    <t>番組名無痛～診える眼～　#02</t>
  </si>
  <si>
    <t>番組ホームページはこちら→　http://www.fujitv.co.jp/mutsu/index.html　為頼英介(西島秀俊)は、通り魔事件で負傷して白神メディカルセンターで治療を受けた義姉、井上和枝(浅田美代子)の退院を手伝いに行く。するとセンターの院長、白神陽児(伊藤英明)が為頼に院内を案内したいと伝えてきた。ためらう為頼だが和枝の勧めもあり、白神のもとへ。  　白神は為頼を歓迎し、最新設備が整った施設を案内。為頼が驚いたのは診療を待つ患者が少ないことだ。白神は裕福な患者に医療保険外のオプションサービスで特別料金を取り、その分、医師の数を増やすことなどで質の高いサービスに務めると言う。為頼は、これからも自分の診療所では手に負えない患者に白神の病院を紹介すると告げた。  　一方、早瀬順一郎刑事(伊藤淳史)は為頼の能力に高い関心を寄せ、ネットなどで調べていた。そんな時、管内で殺人事件が発生。被害者は山田輝久(ジジ・ぶぅ)というアパートの住人で、自室で腹部を刺されて死んでいた。しばらくすると工藤一尊(有薗芳記)という男が挙動不審で逮捕される。工藤は自ら山田殺しを告白するが、何か腑に落ちない早瀬は取り調べを同僚に任せて出かける。  　早瀬が向かったのは、診断学の権威で為頼の恩師、久留米実(津嘉山正種)の家。早瀬は久留米から、為頼には殺人を犯す人間に顕れる犯因症が見えると教えられた。  　果たして工藤は、本当に山田を殺したのか?早瀬は為頼に、工藤の面通しを頼む。早瀬に従い、工藤を診た為頼は…。為頼英介: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</si>
  <si>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 xml:space="preserve">　為頼英介(西島秀俊)は、通り魔事件で負傷して白神メディカルセンターで治療を受けた義姉、井上和枝(浅田美代子)の退院を手伝いに行く。するとセンターの院長、白神陽児(伊藤英明)が為頼に院内を案内したいと伝えてきた。ためらう為頼だが和枝の勧めもあり、白神のもとへ。  　白神は為頼を歓迎し、最新設備が整った施設を案内。為頼が驚いたのは診療を待つ患者が少ないことだ。白神は裕福な患者に医療保険外のオプションサービスで特別料金を取り、その分、医師の数を増やすことなどで質の高いサービスに務めると言う。為頼は、これからも自分の診療所では手に負えない患者に白神の病院を紹介すると告げた。  　一方、早瀬順一郎刑事(伊藤淳史)は為頼の能力に高い関心を寄せ、ネットなどで調べていた。そんな時、管内で殺人事件が発生。被害者は山田輝久(ジジ・ぶぅ)というアパートの住人で、自室で腹部を刺されて死んでいた。しばらくすると工藤一尊(有薗芳記)という男が挙動不審で逮捕される。工藤は自ら山田殺しを告白するが、何か腑に落ちない早瀬は取り調べを同僚に任せて出かける。  　早瀬が向かったのは、診断学の権威で為頼の恩師、久留米実(津嘉山正種)の家。早瀬は久留米から、為頼には殺人を犯す人間に顕れる犯因症が見えると教えられた。  　果たして工藤は、本当に山田を殺したのか?早瀬は為頼に、工藤の面通しを頼む。早瀬に従い、工藤を診た為頼は…。為頼英介:　</t>
  </si>
  <si>
    <t>番組名無痛～診える眼～　#03</t>
  </si>
  <si>
    <t>番組ホームページはこちら→　http://www.fujitv.co.jp/mutsu/index.html　為頼英介(西島秀俊)は井上和枝(浅田美代子)と亡き妻、倫子(相築あきこ)の墓参り。暗くなりそうな為頼を和枝が陽気にサポートする。  　その頃、早瀬順一郎(伊藤淳史)を県警本部の元同僚が訪ねて来た。彼は3年前に早瀬が逮捕した篠崎(松下洸平)の退院を知らせる。篠崎には殺人容疑がかけられたが、妄想型統合失調症と診断され無罪となり、精神病院に入院していた。すぐさま早瀬が病院へと向かうと、母親に付き添われた篠崎が出てきた。  　そんなある日、早瀬に太田武司(馬場徹)が深夜に発生した殺人未遂事件について話す。20代の女性が男に顔を殴られ、首を絞められたというのだ。早瀬は被害者の指の爪が剥がされていなかったかと聞くが…。  　為頼が診療所で診察していると、早瀬がやって来た。太田から聞いた殺人未遂事件について話す早瀬は、よく似た事件が3年前にも発生したと言う。その時は、被害者は殺害され薬指の爪を剥がされていた。犯人は篠崎。早瀬は、無罪となった篠崎は病気を装っていたのではないかと疑っている。そして、為頼に篠崎を診て欲しいと詰め寄る。  　早瀬に付き合い篠崎を診た為頼は、犯因症を確認。すると、即座に早瀬は篠崎の尾行を開始する。  　一方、白神陽児(伊藤英明)の病院では問題が発生していた。南サトミ(浜辺美波)が病室からいなくなったのだ。焦って探し回る高島菜見子(石橋杏奈)。さらに、菜見子に迫る謎の影が…。為頼英介: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</si>
  <si>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 xml:space="preserve">　為頼英介(西島秀俊)は井上和枝(浅田美代子)と亡き妻、倫子(相築あきこ)の墓参り。暗くなりそうな為頼を和枝が陽気にサポートする。  　その頃、早瀬順一郎(伊藤淳史)を県警本部の元同僚が訪ねて来た。彼は3年前に早瀬が逮捕した篠崎(松下洸平)の退院を知らせる。篠崎には殺人容疑がかけられたが、妄想型統合失調症と診断され無罪となり、精神病院に入院していた。すぐさま早瀬が病院へと向かうと、母親に付き添われた篠崎が出てきた。  　そんなある日、早瀬に太田武司(馬場徹)が深夜に発生した殺人未遂事件について話す。20代の女性が男に顔を殴られ、首を絞められたというのだ。早瀬は被害者の指の爪が剥がされていなかったかと聞くが…。  　為頼が診療所で診察していると、早瀬がやって来た。太田から聞いた殺人未遂事件について話す早瀬は、よく似た事件が3年前にも発生したと言う。その時は、被害者は殺害され薬指の爪を剥がされていた。犯人は篠崎。早瀬は、無罪となった篠崎は病気を装っていたのではないかと疑っている。そして、為頼に篠崎を診て欲しいと詰め寄る。  　早瀬に付き合い篠崎を診た為頼は、犯因症を確認。すると、即座に早瀬は篠崎の尾行を開始する。  　一方、白神陽児(伊藤英明)の病院では問題が発生していた。南サトミ(浜辺美波)が病室からいなくなったのだ。焦って探し回る高島菜見子(石橋杏奈)。さらに、菜見子に迫る謎の影が…。為頼英介:　</t>
  </si>
  <si>
    <t>番組名無痛～診える眼～　#04</t>
  </si>
  <si>
    <t>「SMBC　日本シリーズ第4戦　東京ヤクルト×福岡ソフトバンク」延長の際は、放送時間繰り下げの場合あり。番組ホームページはこちら→　http://www.fujitv.co.jp/mutsu/index.html　為頼英介(西島秀俊)は、早瀬順一郎(伊藤淳史)から犯因症の治療を頼まれる。しかし、為頼は自分には症状が見えるだけで、治すことは出来ないと答えた。精神的なアドバイスを与えようとする為頼だが、刑事として常に犯罪と対峙(たいじ)する早瀬はあきらめられない。早瀬は治癒不能な患者に寄り添うというのは、為頼の自己満足だと罵ってしまう。その後、久留米実(津嘉山正種)を往診した為頼は早瀬とのやりとりを話す。すると、久留米から早瀬には為頼の助けが必要だと諭された。  　そんな時、早瀬は野々村涼(奥野瑛太)殺害事件を担当。石で頭部を何度も殴られた惨殺だった。ニュースで事件を知った高島菜見子(石橋杏奈)は驚く。野々村は菜見子がよく行くコンビニの店員で、昨夜も仕事帰りに立ち寄っていたからだ。すると、菜見子の携帯が佐田要造(加藤虎ノ介)からのメールを着信。コンビニでの菜見子と野々村の写真が添付されたメールのテキストは“天罰が下った"。凍りつく菜見子。  　佐田は2年前に菜見子が瀬野愛莉という少女のカウンセリングを担当していた頃に交際していた。愛莉は快方に向かったが、佐田は次第に菜見子への独占欲を露わにしだす。ついに暴力までふるわれるようになった菜見子は佐田のもとを去った。  　一方、白神陽児(伊藤英明)は、病院内で騒ぎを起こした南サトミ(浜辺美波)のカルテを取り寄せて会いに行く。為頼英介: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</si>
  <si>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 xml:space="preserve">　為頼英介(西島秀俊)は、早瀬順一郎(伊藤淳史)から犯因症の治療を頼まれる。しかし、為頼は自分には症状が見えるだけで、治すことは出来ないと答えた。精神的なアドバイスを与えようとする為頼だが、刑事として常に犯罪と対峙(たいじ)する早瀬はあきらめられない。早瀬は治癒不能な患者に寄り添うというのは、為頼の自己満足だと罵ってしまう。その後、久留米実(津嘉山正種)を往診した為頼は早瀬とのやりとりを話す。すると、久留米から早瀬には為頼の助けが必要だと諭された。  　そんな時、早瀬は野々村涼(奥野瑛太)殺害事件を担当。石で頭部を何度も殴られた惨殺だった。ニュースで事件を知った高島菜見子(石橋杏奈)は驚く。野々村は菜見子がよく行くコンビニの店員で、昨夜も仕事帰りに立ち寄っていたからだ。すると、菜見子の携帯が佐田要造(加藤虎ノ介)からのメールを着信。コンビニでの菜見子と野々村の写真が添付されたメールのテキストは“天罰が下った"。凍りつく菜見子。  　佐田は2年前に菜見子が瀬野愛莉という少女のカウンセリングを担当していた頃に交際していた。愛莉は快方に向かったが、佐田は次第に菜見子への独占欲を露わにしだす。ついに暴力までふるわれるようになった菜見子は佐田のもとを去った。  　一方、白神陽児(伊藤英明)は、病院内で騒ぎを起こした南サトミ(浜辺美波)のカルテを取り寄せて会いに行く。為頼英介:　</t>
  </si>
  <si>
    <t>番組名無痛～診える眼～　#05</t>
  </si>
  <si>
    <t>番組ホームページはこちら→　http://www.fujitv.co.jp/mutsu/index.html　為頼英介(西島秀俊)の診療所に、頭痛を訴えてある男がやってくる。佐田要造(加藤虎ノ介)というその男は、自分が高島菜見子(石橋杏奈)の婚約者だと話す。井上和枝(浅田美代子)は半ば信用していなかったが、為頼は祝辞を述べ、いつものように診察した。  　為頼は白神陽児(伊藤英明)からの申し出を受け、白神メディカルセンターで患者の診察を行うことになった。その初日、為頼は病院内で早瀬順一郎(伊藤淳史)を発見。石川家一家惨殺事件の真相を追う早瀬は、病院内でよく絵を描いている患者はいないかと為頼に尋ねる。為頼には思い当たる人物がいた。南サトミ(浜辺美波)だ。絵を描いた人物から話を聞きたいと訴える早瀬に、為頼はサトミの名を伏せたまま協力することに。  　早速、為頼は菜見子を訪ねた。菜見子によると、サトミは自分が絵に描いた家族を殺害したと思っているらしい。しかし、サトミに殺人など出来るはずがないと菜見子は否定する。そんな菜見子に為頼は、思い出したように自分の診療所へ彼女の婚約者だと佐田が来たことを伝える。  　為頼は早瀬に絵の件を報告。中学生の女子と聞いた早瀬には思い当たることがあった。現場に残された遺留品の中に、金髪の毛が付着した子供か女性用の帽子があったのだ。また、早瀬は病院で金髪の少女…サトミとすれ違っていた。  　そんな折、菜見子は為頼の診療所を訪ね、佐田にストーキングされていることを打ち明ける。為頼英介: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</si>
  <si>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 xml:space="preserve">　為頼英介(西島秀俊)の診療所に、頭痛を訴えてある男がやってくる。佐田要造(加藤虎ノ介)というその男は、自分が高島菜見子(石橋杏奈)の婚約者だと話す。井上和枝(浅田美代子)は半ば信用していなかったが、為頼は祝辞を述べ、いつものように診察した。  　為頼は白神陽児(伊藤英明)からの申し出を受け、白神メディカルセンターで患者の診察を行うことになった。その初日、為頼は病院内で早瀬順一郎(伊藤淳史)を発見。石川家一家惨殺事件の真相を追う早瀬は、病院内でよく絵を描いている患者はいないかと為頼に尋ねる。為頼には思い当たる人物がいた。南サトミ(浜辺美波)だ。絵を描いた人物から話を聞きたいと訴える早瀬に、為頼はサトミの名を伏せたまま協力することに。  　早速、為頼は菜見子を訪ねた。菜見子によると、サトミは自分が絵に描いた家族を殺害したと思っているらしい。しかし、サトミに殺人など出来るはずがないと菜見子は否定する。そんな菜見子に為頼は、思い出したように自分の診療所へ彼女の婚約者だと佐田が来たことを伝える。  　為頼は早瀬に絵の件を報告。中学生の女子と聞いた早瀬には思い当たることがあった。現場に残された遺留品の中に、金髪の毛が付着した子供か女性用の帽子があったのだ。また、早瀬は病院で金髪の少女…サトミとすれ違っていた。  　そんな折、菜見子は為頼の診療所を訪ね、佐田にストーキングされていることを打ち明ける。為頼英介:　</t>
  </si>
  <si>
    <t>番組名無痛～診える眼～　#06</t>
  </si>
  <si>
    <t>番組ホームページはこちら→　http://www.fujitv.co.jp/mutsu/index.html　為頼英介(西島秀俊)は、かかってきた電話に高島菜見子(石橋杏奈)のストーカー・佐田要造(加藤虎ノ介)の気配を感じ、菜見子のマンションへ急いだ。室内に入ると、ビニール袋を被せられた菜見子が倒れていた。  　為頼は搬送される菜見子に付き添い、白神メディカルセンターへ。パニック状態ながらも、出迎えた白神陽児(伊藤英明)に菜見子の症状を伝える為頼。  　通報を受けた早瀬順一郎(伊藤淳史)は太田武司(馬場徹)とともに菜見子のマンションを検証する。頭に被せられたビニール袋、残されたプリンの容器…未解決の一家殺害現場との酷似に早瀬は憤る。  　為頼が菜見子の手術の無事を祈りながら待っていると早瀬が現れた。早瀬は為頼に佐田との面識がありながら野放しにしていたことを責める。為頼なら佐田の犯因症を診てとれたはず。今回の事件と一家殺害の酷似を早瀬に知らされた為頼は、佐田に犯因症が見えなかったことにショックを受ける。　科学捜査を進めると、菜見子のマンションに残された佐田の足跡が、一家殺害現場のものと一致。さらに、一家殺害現場に落ちていた毛髪が、南サトミ(浜辺美波)のものであることを知る早瀬は、関連性を追おうと意気込むが、暴走を案じた上司によって捜査から外されてしまう。  　サトミは菜見子の体を心配してメールを打つが、返事は来ない。菜見子の携帯は事件で紛失していた。イバラ(中村蒼)も菜見子の身を案じていて…。為頼英介: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</si>
  <si>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 xml:space="preserve">　為頼英介(西島秀俊)は、かかってきた電話に高島菜見子(石橋杏奈)のストーカー・佐田要造(加藤虎ノ介)の気配を感じ、菜見子のマンションへ急いだ。室内に入ると、ビニール袋を被せられた菜見子が倒れていた。  　為頼は搬送される菜見子に付き添い、白神メディカルセンターへ。パニック状態ながらも、出迎えた白神陽児(伊藤英明)に菜見子の症状を伝える為頼。  　通報を受けた早瀬順一郎(伊藤淳史)は太田武司(馬場徹)とともに菜見子のマンションを検証する。頭に被せられたビニール袋、残されたプリンの容器…未解決の一家殺害現場との酷似に早瀬は憤る。  　為頼が菜見子の手術の無事を祈りながら待っていると早瀬が現れた。早瀬は為頼に佐田との面識がありながら野放しにしていたことを責める。為頼なら佐田の犯因症を診てとれたはず。今回の事件と一家殺害の酷似を早瀬に知らされた為頼は、佐田に犯因症が見えなかったことにショックを受ける。　科学捜査を進めると、菜見子のマンションに残された佐田の足跡が、一家殺害現場のものと一致。さらに、一家殺害現場に落ちていた毛髪が、南サトミ(浜辺美波)のものであることを知る早瀬は、関連性を追おうと意気込むが、暴走を案じた上司によって捜査から外されてしまう。  　サトミは菜見子の体を心配してメールを打つが、返事は来ない。菜見子の携帯は事件で紛失していた。イバラ(中村蒼)も菜見子の身を案じていて…。為頼英介:　</t>
  </si>
  <si>
    <t>番組名無痛～診える眼～　#07</t>
  </si>
  <si>
    <t>番組ホームページはこちら→　http://www.fujitv.co.jp/mutsu/index.html　  原作本プレゼント実施中!原作『無痛』、続編『第五番　無痛II』をセットにして30人にプレゼントします。締切は11月17日夜11時59分。  詳しくはこちらまで→　http://www.fujitv.co.jp/mutsu/present/　久留米実(津嘉山正種)の往診に出かけた為頼英介(西島秀俊)は、白神陽児(伊藤英明)の無痛治療の新薬研究に携わるつもりだと話す。もし新薬が出来ても服用しないと首をふる久留米は、痛みは私だ、孫の手が一番の癒しだと為頼に告げた。  　『白神メディカルセンター』では、高島菜見子(石橋杏奈)のロッカーから切断された手首が発見されたことで騒然としている。駆けつけた早瀬順一郎(伊藤淳史)に心当たりを尋ねられた菜見子は、怯えながら佐田要造(加藤虎ノ介)の名を答える。  　手首と佐田の指紋が一致。港中央署刑事課では、早瀬が仁川康男(兵動大樹)、太田武司(馬場徹)と捜査方針の打ち合わせ。石川一家殺害事件の重要参考人だった佐田が殺されたとしたら、犯人は一家殺害と関係があるのではないかと意気込む早瀬。しかし、早瀬は一家殺害の捜査本部からは外されていた。仁川に釘を刺されている早瀬は、あくまで佐田殺しの捜査だと飛び出して行く。  　白神は秘書の横井清美(宮本真希)から、佐田と手首の件の報告を受ける。続けて菜見子の解雇を申し出る横井。すると白神は、横井に疑いの眼差しを向ける…。白神は横井の今までの行動を全て話すよう促し、なぜか手術器具の管理状況も調べるよう命令した。  　その頃、『白神メディカルセンター』に出勤して来た為頼は、イバラ(中村蒼)とぶつかる。その時、為頼はイバラの右手に異常を診てとる。為頼英介: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</si>
  <si>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 xml:space="preserve">　  原作本プレゼント実施中!原作『無痛』、続編『第五番　無痛II』をセットにして30人にプレゼントします。締切は11月17日夜11時59分。  詳しくはこちらまで→　http://www.fujitv.co.jp/mutsu/present/　久留米実(津嘉山正種)の往診に出かけた為頼英介(西島秀俊)は、白神陽児(伊藤英明)の無痛治療の新薬研究に携わるつもりだと話す。もし新薬が出来ても服用しないと首をふる久留米は、痛みは私だ、孫の手が一番の癒しだと為頼に告げた。  　『白神メディカルセンター』では、高島菜見子(石橋杏奈)のロッカーから切断された手首が発見されたことで騒然としている。駆けつけた早瀬順一郎(伊藤淳史)に心当たりを尋ねられた菜見子は、怯えながら佐田要造(加藤虎ノ介)の名を答える。  　手首と佐田の指紋が一致。港中央署刑事課では、早瀬が仁川康男(兵動大樹)、太田武司(馬場徹)と捜査方針の打ち合わせ。石川一家殺害事件の重要参考人だった佐田が殺されたとしたら、犯人は一家殺害と関係があるのではないかと意気込む早瀬。しかし、早瀬は一家殺害の捜査本部からは外されていた。仁川に釘を刺されている早瀬は、あくまで佐田殺しの捜査だと飛び出して行く。  　白神は秘書の横井清美(宮本真希)から、佐田と手首の件の報告を受ける。続けて菜見子の解雇を申し出る横井。すると白神は、横井に疑いの眼差しを向ける…。白神は横井の今までの行動を全て話すよう促し、なぜか手術器具の管理状況も調べるよう命令した。  　その頃、『白神メディカルセンター』に出勤して来た為頼は、イバラ(中村蒼)とぶつかる。その時、為頼はイバラの右手に異常を診てとる。為頼英介:　</t>
  </si>
  <si>
    <t>番組名無痛～診える眼～【西島秀俊主演】　#08</t>
  </si>
  <si>
    <t>番組ホームページはこちら→　http://www.fujitv.co.jp/mutsu/index.html　  挿入歌CDプレゼント実施中!ミソッカス『闇夜のキャラバン』収録CDを30人にプレゼントします。締切は11月24日夜11時59分。詳しくはこちらまで→　http://www.fujitv.co.jp/mutsu/present/　為頼英介(西島秀俊)は、イバラ(中村蒼)が佐田要造(加藤虎ノ介)を殺害したことに疑問を感じる。イバラに犯因症は出ていなかったからだ。しかし、逮捕直前のイバラには突然、犯因症が現れていた。  　白神陽児(伊藤英明)はイバラの事件に少なからず動揺していたが、病院のイメージ失墜を防ごうと事態の収拾に努めていた。一方、職場復帰した高島菜見子(石橋杏奈)は南サトミ(浜辺美波)に、ある提案をする。　為頼の診療所に早瀬順一郎(伊藤淳史)が来た。早瀬によると、イバラは殺害時のことを覚えていないのだという。このままでは精神鑑定に持ち込まれると焦る早瀬に、為頼はイバラとの面会を求める。  　為頼の面会に、イバラは佐田のオペをしたと認めるが殺害は覚えていないと言う。為頼は続けてイバラに、服用していた薬について尋ねた。強くなれる薬だと答えるイバラだが、大量摂取した後のことは覚えていない。反対にイバラは、為頼に白神の様子を聞く。イバラにとって白神は“大切な人"。さらにイバラは“大切な人、大切な場所…"とつぶやく。  　次の日、菜見子がサトミを連れて為頼を訪ねてくる。菜見子はサトミに温かい家庭を見せたいと井上和枝(浅田美代子)に頼んでいたのだ。和枝の機転で料理を手伝ったりするうちにサトミの表情が少し和らいでいった。料理を食べ終えた頃、菜見子はサトミに、刑事が話を聞きに来ると告げ、為頼にも同席を求めた。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</si>
  <si>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 xml:space="preserve">　  挿入歌CDプレゼント実施中!ミソッカス『闇夜のキャラバン』収録CDを30人にプレゼントします。締切は11月24日夜11時59分。詳しくはこちらまで→　http://www.fujitv.co.jp/mutsu/present/　為頼英介(西島秀俊)は、イバラ(中村蒼)が佐田要造(加藤虎ノ介)を殺害したことに疑問を感じる。イバラに犯因症は出ていなかったからだ。しかし、逮捕直前のイバラには突然、犯因症が現れていた。  　白神陽児(伊藤英明)はイバラの事件に少なからず動揺していたが、病院のイメージ失墜を防ごうと事態の収拾に努めていた。一方、職場復帰した高島菜見子(石橋杏奈)は南サトミ(浜辺美波)に、ある提案をする。　為頼の診療所に早瀬順一郎(伊藤淳史)が来た。早瀬によると、イバラは殺害時のことを覚えていないのだという。このままでは精神鑑定に持ち込まれると焦る早瀬に、為頼はイバラとの面会を求める。  　為頼の面会に、イバラは佐田のオペをしたと認めるが殺害は覚えていないと言う。為頼は続けてイバラに、服用していた薬について尋ねた。強くなれる薬だと答えるイバラだが、大量摂取した後のことは覚えていない。反対にイバラは、為頼に白神の様子を聞く。イバラにとって白神は“大切な人"。さらにイバラは“大切な人、大切な場所…"とつぶやく。  　次の日、菜見子がサトミを連れて為頼を訪ねてくる。菜見子はサトミに温かい家庭を見せたいと井上和枝(浅田美代子)に頼んでいたのだ。和枝の機転で料理を手伝ったりするうちにサトミの表情が少し和らいでいった。料理を食べ終えた頃、菜見子はサトミに、刑事が話を聞きに来ると告げ、為頼にも同席を求めた。為頼英介:　</t>
  </si>
  <si>
    <t>番組名無痛～診える眼～【西島秀俊主演】　#09</t>
  </si>
  <si>
    <t>番組ホームページはこちら→　http://www.fujitv.co.jp/mutsu/index.html　為頼英介(西島秀俊)、早瀬順一郎(伊藤淳史)、高島菜見子(石橋杏奈)、白神陽児(伊藤英明)らが院長室に集まっていた。南サトミ(浜辺美波)が、病室に血の付いた携帯電話を残していなくなったのだ。早瀬は、イバラ(中村蒼)がサトミを誘拐したものと判断し、付近の緊急封鎖を要請。為頼と菜見子は、もう一度病院を探すが、2人の姿はない。  　その夜、1人院長室に残った白神は、デスクに付着したイバラの血液に気づく。デスクの引き出しを開けると、保存していたUSBメモリーが消えていた。  　イバラは一家殺害現場で自分を見たというサトミに、何を見たのか教えて欲しいと話す。イバラ自身には記憶がないからだ。2人はトラックの荷台に身を隠し、逃走して行く。  　翌朝、診療所にいる為頼と菜見子のもとへ早瀬から連絡が入る。サトミの携帯電話に残された血液がイバラのものと判明したのだ。為頼と井上和枝(浅田美代子)は、やはりイバラがサトミを誘拐したのだろうと話すが、菜見子は疑う。サトミが描く一家殺害の絵と曖昧な記憶に、イバラが関係しているのではないかと菜見子。サトミは記憶を求め、自らイバラに同行したのでは…?と。  　為頼は白神がなぜ無痛治療にこだわっているのかが気になり、早瀬を訪ねる。しかしちょうど同じころ、早瀬は白神に呼び出されたためにすれ違ってしまった。白神が早瀬に伝えようとしていることとは…。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　    【ゲスト出演】  宮根誠司【原作】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</si>
  <si>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 xml:space="preserve">　為頼英介(西島秀俊)、早瀬順一郎(伊藤淳史)、高島菜見子(石橋杏奈)、白神陽児(伊藤英明)らが院長室に集まっていた。南サトミ(浜辺美波)が、病室に血の付いた携帯電話を残していなくなったのだ。早瀬は、イバラ(中村蒼)がサトミを誘拐したものと判断し、付近の緊急封鎖を要請。為頼と菜見子は、もう一度病院を探すが、2人の姿はない。  　その夜、1人院長室に残った白神は、デスクに付着したイバラの血液に気づく。デスクの引き出しを開けると、保存していたUSBメモリーが消えていた。  　イバラは一家殺害現場で自分を見たというサトミに、何を見たのか教えて欲しいと話す。イバラ自身には記憶がないからだ。2人はトラックの荷台に身を隠し、逃走して行く。  　翌朝、診療所にいる為頼と菜見子のもとへ早瀬から連絡が入る。サトミの携帯電話に残された血液がイバラのものと判明したのだ。為頼と井上和枝(浅田美代子)は、やはりイバラがサトミを誘拐したのだろうと話すが、菜見子は疑う。サトミが描く一家殺害の絵と曖昧な記憶に、イバラが関係しているのではないかと菜見子。サトミは記憶を求め、自らイバラに同行したのでは…?と。  　為頼は白神がなぜ無痛治療にこだわっているのかが気になり、早瀬を訪ねる。しかしちょうど同じころ、早瀬は白神に呼び出されたためにすれ違ってしまった。白神が早瀬に伝えようとしていることとは…。為頼英介:　</t>
  </si>
  <si>
    <t>番組名無痛～診える眼～【西島秀俊主演】　#10</t>
  </si>
  <si>
    <t>番組ホームページはこちら→　http://www.fujitv.co.jp/mutsu/index.html　  サウンドトラックCDプレゼント実施中!30人にプレゼントします。締切は12月15日夜11時59分。詳しくはこちらまで→　http://www.fujitv.co.jp/mutsu/present/　診療所に戻った為頼英介(西島秀俊)は、早瀬順一郎(伊藤淳史)がイバラ(中村蒼)に拳銃で発砲したことを高島菜見子(石橋杏奈)、井上和枝(浅田美代子)に話す。イバラは川に転落したまま行方がわからない。和枝は発砲を焦った早瀬の方が危険ではないかと危惧。寝ていたはずの南サトミ(浜辺美波)が話を聞いてしまい、玄関から飛び出そうとするのを和枝は必死に抑えた。  　翌日も警察はイバラの捜索を続ける。一方、信用を失った「白神メディカルクリニック」では患者の転院などの整理が進められていた。秘書の横井清美(宮本真希)は今後の相談をしようと院長室へ行くが、白神陽児(伊藤英明)の姿はなく、携帯電話もつながらない。  　為頼の診療所には早瀬が姿を現す。イバラを撃ったことを責める為頼に、早瀬は彼を殺害するしかないと口走る。その発言を聞き、為頼は早瀬に白神から言われたのではないかと問う。為頼は、白神が早瀬にイバラを殺すようそそのかしたのでは、と思ったのだ。そして、為頼はイバラの治験データを早瀬に見せる。データはイバラが白神に処方された薬の影響で一家殺害時の記憶の喪失、薬による強暴性の増加を語っていた。早瀬は一家殺害に白神の関与がありそうなことに気づかされる。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</si>
  <si>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 xml:space="preserve">　  サウンドトラックCDプレゼント実施中!30人にプレゼントします。締切は12月15日夜11時59分。詳しくはこちらまで→　http://www.fujitv.co.jp/mutsu/present/　診療所に戻った為頼英介(西島秀俊)は、早瀬順一郎(伊藤淳史)がイバラ(中村蒼)に拳銃で発砲したことを高島菜見子(石橋杏奈)、井上和枝(浅田美代子)に話す。イバラは川に転落したまま行方がわからない。和枝は発砲を焦った早瀬の方が危険ではないかと危惧。寝ていたはずの南サトミ(浜辺美波)が話を聞いてしまい、玄関から飛び出そうとするのを和枝は必死に抑えた。  　翌日も警察はイバラの捜索を続ける。一方、信用を失った「白神メディカルクリニック」では患者の転院などの整理が進められていた。秘書の横井清美(宮本真希)は今後の相談をしようと院長室へ行くが、白神陽児(伊藤英明)の姿はなく、携帯電話もつながらない。  　為頼の診療所には早瀬が姿を現す。イバラを撃ったことを責める為頼に、早瀬は彼を殺害するしかないと口走る。その発言を聞き、為頼は早瀬に白神から言われたのではないかと問う。為頼は、白神が早瀬にイバラを殺すようそそのかしたのでは、と思ったのだ。そして、為頼はイバラの治験データを早瀬に見せる。データはイバラが白神に処方された薬の影響で一家殺害時の記憶の喪失、薬による強暴性の増加を語っていた。早瀬は一家殺害に白神の関与がありそうなことに気づかされる。為頼英介:　</t>
  </si>
  <si>
    <t>1510_CX_木22</t>
  </si>
  <si>
    <t>オトナ女子</t>
  </si>
  <si>
    <t>番組名&lt;木曜劇場&gt;オトナ女子　#01</t>
  </si>
  <si>
    <t>40歳独身の中原亜紀(篠原涼子)は、恋愛アプリを手がける会社のキャリアウーマン。デビューを目指す年下のミュージシャン・伸治、愛猫のちくわと暮らしている。しっかり者だが恋愛では相手に尽くしすぎてしまい、なかなか幸せをつかめないでいた亜紀は、伸治の前では本音を出せない。心を許せるのは、同い年で独身の女友達ーーホレっぽくさまざまな男性にアプローチしているフラワーショップオーナーの大崎萠子(吉瀬美智子)と、バツイチで3人の男の子を女手ひとつで育てている坂田みどり(鈴木砂羽)だけ。亜紀たちは、何かにつけて女子会を開き、気兼ねなく愚痴を言い合っている。  　モバイルコンテンツ部に所属する亜紀は、工藤美和(市川実和子)、立花沙織(平山あや)、前川亮介(吉沢亮)ら年下の部下とともに、アラフォー向けの恋愛アプリに取り組んでいる。この企画には、プレイボーイとして有名な社長の栗田純一(谷原章介)も期待を寄せていた。あるとき亜紀は、10年以上前に何本もの恋愛ドラマをヒットさせた脚本家・高山文夫(江口洋介)にゲームの監修を依頼しようと思いつく。高山の居場所を調べ、彼が入り浸っているカフェを訪れる亜紀。しかし高山は、企画書を見るなり「いい年して胸キュンもない」「40歳は女子とは言わない」と言って取り合わない。そんな高山の態度にカチンときた亜紀は「あなたこそ思春期丸出しの偏屈男だ」と言ってしまい…。篠原涼子　  吉瀬美智子　  鈴木砂羽　  谷原章介　  江口洋介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「花束」中島美嘉(ソニー・ミュージックアソシエイテッドレコード)【制作】  フジテレビジョン『オトナ女子』公式HP　  http://www.fujitv.co.jp/otona_joshi/index.html</t>
  </si>
  <si>
    <t>40歳独身の中原亜紀(篠原涼子)は、恋愛アプリを手がける会社のキャリアウーマン。デビューを目指す年下のミュージシャン・伸治、愛猫のちくわと暮らしている。しっかり者だが恋愛では相手に尽くしすぎてしまい、なかなか幸せをつかめないでいた亜紀は、伸治の前では本音を出せない。心を許せるのは、同い年で独身の女友達ーーホレっぽくさまざまな男性にアプローチしているフラワーショップオーナーの大崎萠子(吉瀬美智子)と、バツイチで3人の男の子を女手ひとつで育てている坂田みどり(鈴木砂羽)だけ。亜紀たちは、何かにつけて女子会を開き、気兼ねなく愚痴を言い合っている。  　モバイルコンテンツ部に所属する亜紀は、工藤美和(市川実和子)、立花沙織(平山あや)、前川亮介(吉沢亮)ら年下の部下とともに、アラフォー向けの恋愛アプリに取り組んでいる。この企画には、プレイボーイとして有名な社長の栗田純一(谷原章介)も期待を寄せていた。あるとき亜紀は、10年以上前に何本もの恋愛ドラマをヒットさせた脚本家・高山文夫(江口洋介)にゲームの監修を依頼しようと思いつく。高山の居場所を調べ、彼が入り浸っているカフェを訪れる亜紀。しかし高山は、企画書を見るなり「いい年して胸キュンもない」「40歳は女子とは言わない」と言って取り合わない。そんな高山の態度にカチンときた亜紀は「あなたこそ思春期丸出しの偏屈男だ」と言ってしまい…。</t>
  </si>
  <si>
    <t>番組名&lt;木曜劇場&gt;オトナ女子　#02</t>
  </si>
  <si>
    <t>亜紀(篠原涼子)は、脚本家の高山(江口洋介)にアラフォー向け恋愛アプリの監修を引き受けてもらうことに成功する。が、年下の恋人・伸治(斎藤工)に振られたショックからは立ち直れないでいた。萠子(吉瀬美智子)とみどり(鈴木砂羽)は、失恋の特効薬は新しい恋だと亜紀を励ますが…。  　別の日、亜紀の会社『フルテージ』に高山が打ち合わせにやってくる。その席で高山は、独自の恋愛論を展開し、白馬に乗った王子様などいない、夢を見るのはいいがそれにつけ込んで儲けようとするビジネスが発生する、などと主張する。  　萠子は、フラワーショップに客としてやってきた栗田(谷原章介)から食事に誘われる。栗田がフルテージの社長だと知らない萠子は、優良物件を引き当てた、と嬉しそうに亜紀に報告する。そのころフルテージ内では、栗田に関する怪しい噂が広まっており…。  　一方、みどりは、進路相談で三男・陵(浦上晟周)が通う中学校を訪れる。そこでみどりは、陵の担任・沢田健太(千葉雄大)に出会う。沢田は、真面目そうでさわやかな印象の青年だった。  　そんな中、亜紀は、社内プレゼン用に高山のコメントをもらいに行く。そこで亜紀は、注文しておいた品物を受け取ってきてほしい、と高山から頼まれる。仕方なく受け取りに行った亜紀は、その帰り道、編集者の池田優(平山浩行)と出会う。それぞれの新しい出会いの行方は!?篠原涼子　  吉瀬美智子　  鈴木砂羽　  谷原章介　  江口洋介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</si>
  <si>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亜紀(篠原涼子)は、脚本家の高山(江口洋介)にアラフォー向け恋愛アプリの監修を引き受けてもらうことに成功する。が、年下の恋人・伸治(斎藤工)に振られたショックからは立ち直れないでいた。萠子(吉瀬美智子)とみどり(鈴木砂羽)は、失恋の特効薬は新しい恋だと亜紀を励ますが…。  　別の日、亜紀の会社『フルテージ』に高山が打ち合わせにやってくる。その席で高山は、独自の恋愛論を展開し、白馬に乗った王子様などいない、夢を見るのはいいがそれにつけ込んで儲けようとするビジネスが発生する、などと主張する。  　萠子は、フラワーショップに客としてやってきた栗田(谷原章介)から食事に誘われる。栗田がフルテージの社長だと知らない萠子は、優良物件を引き当てた、と嬉しそうに亜紀に報告する。そのころフルテージ内では、栗田に関する怪しい噂が広まっており…。  　一方、みどりは、進路相談で三男・陵(浦上晟周)が通う中学校を訪れる。そこでみどりは、陵の担任・沢田健太(千葉雄大)に出会う。沢田は、真面目そうでさわやかな印象の青年だった。  　そんな中、亜紀は、社内プレゼン用に高山のコメントをもらいに行く。そこで亜紀は、注文しておいた品物を受け取ってきてほしい、と高山から頼まれる。仕方なく受け取りに行った亜紀は、その帰り道、編集者の池田優(平山浩行)と出会う。それぞれの新しい出会いの行方は!?</t>
  </si>
  <si>
    <t>番組名&lt;木曜劇場&gt;オトナ女子　#03</t>
  </si>
  <si>
    <t>「SMBC　日本シリーズ第5戦　東京ヤクルト×福岡ソフトバンク」延長の際は、放送時間繰り下げの場合あり。　亜紀(篠原涼子)は、高山(江口洋介)の担当編集者でもある池田(平山浩行)から地元の秋祭りに誘われる。だが、そこで亜紀が見たのは、子連れの女性と仲良さそうに話す池田の姿だった。亜紀は、萠子(吉瀬美智子)とみどり(鈴木砂羽)に、池田は妻子持ちみたいだと報告するが…。  　一方、みどりの家には、三男の陵(浦上晟周)の担任・沢田(千葉雄大)が家庭訪問にやってくることに。母子家庭だからという偏見を持たれたくないと考えたみどりは、長男・昂(平埜生成)、次男・碧(矢部昌暉)にも協力してもらって対応マニュアルを作成し、沢田を迎える。  　萠子は、「フルテージ」の社長・栗田(谷原章介)との交際を続けていた。彼の前では、物分かりの良いオトナの女性を演じる萠子。ある日、栗田とデートしていた萠子は、元カノらしい若い女性と鉢合わせしてしまう。萠子は、若い元カノからおばさん扱いされるが、真っ向から彼女とやり合って撃退し、栗田を感心させる。  　そんな折、亜紀の前に、元恋人の伸治(斎藤工)が現れる。伸治は、メジャーデビューをきっかけに亜紀を捨て、若い女性のもとへと行ってしまった男だ。亜紀は、話があるといってマンションまでやってきた伸治を無視して部屋に戻るが…。篠原涼子　  吉瀬美智子　  鈴木砂羽　  谷原章介　  江口洋介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</si>
  <si>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「SMBC　日本シリーズ第5戦　東京ヤクルト×福岡ソフトバンク」延長の際は、放送時間繰り下げの場合あり。　亜紀(篠原涼子)は、高山(江口洋介)の担当編集者でもある池田(平山浩行)から地元の秋祭りに誘われる。だが、そこで亜紀が見たのは、子連れの女性と仲良さそうに話す池田の姿だった。亜紀は、萠子(吉瀬美智子)とみどり(鈴木砂羽)に、池田は妻子持ちみたいだと報告するが…。  　一方、みどりの家には、三男の陵(浦上晟周)の担任・沢田(千葉雄大)が家庭訪問にやってくることに。母子家庭だからという偏見を持たれたくないと考えたみどりは、長男・昂(平埜生成)、次男・碧(矢部昌暉)にも協力してもらって対応マニュアルを作成し、沢田を迎える。  　萠子は、「フルテージ」の社長・栗田(谷原章介)との交際を続けていた。彼の前では、物分かりの良いオトナの女性を演じる萠子。ある日、栗田とデートしていた萠子は、元カノらしい若い女性と鉢合わせしてしまう。萠子は、若い元カノからおばさん扱いされるが、真っ向から彼女とやり合って撃退し、栗田を感心させる。  　そんな折、亜紀の前に、元恋人の伸治(斎藤工)が現れる。伸治は、メジャーデビューをきっかけに亜紀を捨て、若い女性のもとへと行ってしまった男だ。亜紀は、話があるといってマンションまでやってきた伸治を無視して部屋に戻るが…。</t>
  </si>
  <si>
    <t>番組名&lt;木曜劇場&gt;オトナ女子　#04</t>
  </si>
  <si>
    <t>亜紀(篠原涼子)は、高山(江口洋介)の担当編集者・池田(平山浩行)から、結婚を前提とした交際を申し込まれた。それを知った萠子(吉瀬美智子)やみどり(鈴木砂羽)は、体の相性が大事、時間をかけて愛を育む余裕はない、などと勝手なことを言い始める。そんなふたりに対して亜紀は、池田は誠実な人だからゆっくり考えたいと返す。  　亜紀たちが制作を進めているアラフォー向け恋愛アプリのシナリオが上がった。それを読んだ高山は、波乱が足りないと助言する。風がなければヨットが進まないように、恋愛にも適度な波風はあった方が刺激になるというのだ。  　萠子は、栗田(谷原章介)の自宅で開かれたパーティーに呼ばれる。が、そこで「お花屋さんの大崎さん」と紹介されたことに傷ついた萠子は、他に女性がいてもいいがせめて1番にしてと栗田に迫る。  　みどりは、陵(浦上晟周)の担任・沢田(千葉雄大)から学校に呼び出される。陵が、階段を滑り落ちそうになった生徒を助けようとして軽いケガをしたという。その際、沢田は、またダンスの練習を見学に来てほしいとみどりに伝える。  　池田とのデートのため、カフェで待ち合わせていた亜紀だが、大雨のために外に出られず高山と2人だけカフェに取り残されてしまい。中原亜紀・・・　篠原涼子　  大崎萠子・・・　吉瀬美智子　  坂田みどり・・・　鈴木砂羽　  栗田純一・・・　谷原章介　  高山文夫・・・　江口洋介　    工藤美和・・・　市川実和子　  立花沙織・・・　平山あや　  前川亮介・・・　吉沢亮　    沢田健太・・・　千葉雄大　  池田優・・・　平山浩行　    山岡伸治・・・　斎藤工(友情出演)　    霜田賢三・・・　池田成志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</si>
  <si>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 xml:space="preserve">亜紀(篠原涼子)は、高山(江口洋介)の担当編集者・池田(平山浩行)から、結婚を前提とした交際を申し込まれた。それを知った萠子(吉瀬美智子)やみどり(鈴木砂羽)は、体の相性が大事、時間をかけて愛を育む余裕はない、などと勝手なことを言い始める。そんなふたりに対して亜紀は、池田は誠実な人だからゆっくり考えたいと返す。  　亜紀たちが制作を進めているアラフォー向け恋愛アプリのシナリオが上がった。それを読んだ高山は、波乱が足りないと助言する。風がなければヨットが進まないように、恋愛にも適度な波風はあった方が刺激になるというのだ。  　萠子は、栗田(谷原章介)の自宅で開かれたパーティーに呼ばれる。が、そこで「お花屋さんの大崎さん」と紹介されたことに傷ついた萠子は、他に女性がいてもいいがせめて1番にしてと栗田に迫る。  　みどりは、陵(浦上晟周)の担任・沢田(千葉雄大)から学校に呼び出される。陵が、階段を滑り落ちそうになった生徒を助けようとして軽いケガをしたという。その際、沢田は、またダンスの練習を見学に来てほしいとみどりに伝える。  　池田とのデートのため、カフェで待ち合わせていた亜紀だが、大雨のために外に出られず高山と2人だけカフェに取り残されてしまい。中原亜紀・・・　</t>
  </si>
  <si>
    <t>番組名&lt;木曜劇場&gt;オトナ女子　#05</t>
  </si>
  <si>
    <t>「2018FIFAワールドカップアジア2次予選日本VSシンガポール」延長の際、放送時間繰り下げの場合あり。　亜紀(篠原涼子)と池田(平山浩行)は交際を続けていた。順調すぎで逆に不安を覚えているという池田に、愛とは決して後悔しないこと、前に進むしかないと助言する高山(江口洋介)。  　萠子(吉瀬美智子)のフラワーショップにやってきた栗田(谷原章介)は、以前付き合っていた女の子から、妊娠したので責任を取ってほしいと言われて困っていると相談する。交際していたのは1年以上前なので、つじつまは合わないが、下手に騒がれても困るというのだ。栗田の言動に腹を立てていたはずの萠子は、相談されたことが嬉しくてつい彼を許してしまう。  　一方、三男・陵(浦上晟周)の担任でもある沢田(千葉雄大)とベッドをともにしてしまったみどり(鈴木砂羽)は、亜紀と萠子にその件を告白する。しかも、子どもたちがそれに気づいているかもしれないらしい。そんな話をしている間にも、沢田から「あなたに会いたい」というメールが届き、困惑するみどり。萠子は、「もう会わない」と言って自分を責めるみどりに、お互い独身なのだから何も悪くないと告げる。それに対して亜紀は、子どもたちのことや立場も考えるべきだと言い出し…。  　そんな折、高山のもとを訪ねた亜紀は、どこかしっくりいっていない池田との交際について相談する。高山は、亜紀たちはお互いに気を遣い過ぎだと指摘し、一度思い切り甘えてみてはどうかと提案する。中原亜紀:　篠原涼子　  大崎萠子:　吉瀬美智子　  坂田みどり:　鈴木砂羽　  栗田純一:　谷原章介　  高山文夫:　江口洋介　    工藤美和:　市川実和子　  立花沙織:　平山あや　  前川亮介:　吉沢亮　    沢田健太:　千葉雄大　  池田優:　平山浩行　    山岡伸治:　斎藤工(友情出演)　    霜田賢三:　池田成志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</si>
  <si>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「2018FIFAワールドカップアジア2次予選日本VSシンガポール」延長の際、放送時間繰り下げの場合あり。　亜紀(篠原涼子)と池田(平山浩行)は交際を続けていた。順調すぎで逆に不安を覚えているという池田に、愛とは決して後悔しないこと、前に進むしかないと助言する高山(江口洋介)。  　萠子(吉瀬美智子)のフラワーショップにやってきた栗田(谷原章介)は、以前付き合っていた女の子から、妊娠したので責任を取ってほしいと言われて困っていると相談する。交際していたのは1年以上前なので、つじつまは合わないが、下手に騒がれても困るというのだ。栗田の言動に腹を立てていたはずの萠子は、相談されたことが嬉しくてつい彼を許してしまう。  　一方、三男・陵(浦上晟周)の担任でもある沢田(千葉雄大)とベッドをともにしてしまったみどり(鈴木砂羽)は、亜紀と萠子にその件を告白する。しかも、子どもたちがそれに気づいているかもしれないらしい。そんな話をしている間にも、沢田から「あなたに会いたい」というメールが届き、困惑するみどり。萠子は、「もう会わない」と言って自分を責めるみどりに、お互い独身なのだから何も悪くないと告げる。それに対して亜紀は、子どもたちのことや立場も考えるべきだと言い出し…。  　そんな折、高山のもとを訪ねた亜紀は、どこかしっくりいっていない池田との交際について相談する。高山は、亜紀たちはお互いに気を遣い過ぎだと指摘し、一度思い切り甘えてみてはどうかと提案する。</t>
  </si>
  <si>
    <t>番組名&lt;木曜劇場&gt;オトナ女子　#06</t>
  </si>
  <si>
    <t>亜紀(篠原涼子)の会社・フルテージに雑誌の取材が入った。がやってきたカメラマン・里中(前川泰之)は、無遠慮な振る舞いで亜紀たちを困惑させる。そこに高山(江口洋介)から、亜紀に会いたいという連絡が入る。亜紀が高山を訪ねてカフェ『caldo』に行くと、入れ違いで彼はフルテージに現れる。高山は、美和(市川実和子)たちにひとしきり恋愛レクチャーをすると、帰り際、亜紀にキスをした件に触れ、「ただの誤作動だった、とだけ伝えてほしい」と伝言を残す。同じころ、みどり(鈴木砂羽)は、次男の碧(矢部昌暉)が怪しげな店でアルバイトしているのではないかと疑っていた。三男・陵(浦上晟周)のいじめ問題の件で電話してきた沢田(千葉雄大)は、みどりから碧のことを聞くと、「好きな人の役に立ちたい」と言って一緒にその店に行こうと提案する。一方、栗田(谷原章介)とデートしていた萠子(吉瀬美智子)の前には、レンタル彼氏で頼んだ田代(丸山智己)が現れる。そこで田代は、もう一度萠子に会いたかったなどと言い出す。最初は嫌がっていたものの、遠慮なく話しかけてくる田代に、最後は思わず笑ってしまう萠子。その姿を見ていた栗田は、半ば強引に萠子をホテルに誘い…。そんな折、亜紀のマンションに池田(平山浩行)がやってくる。そこで亜紀は、池田から衝撃の告白を受け…。中原亜紀:　篠原涼子　  大崎萠子:　吉瀬美智子　  坂田みどり:　鈴木砂羽　  栗田純一:　谷原章介　  高山文夫:　江口洋介　    工藤美和:　市川実和子　  立花沙織:　平山あや　  前川亮介:　吉沢亮　    沢田健太:　千葉雄大　  池田優:　平山浩行　    山岡伸治:　斎藤工(友情出演)　    霜田賢三:　池田成志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</si>
  <si>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亜紀(篠原涼子)の会社・フルテージに雑誌の取材が入った。がやってきたカメラマン・里中(前川泰之)は、無遠慮な振る舞いで亜紀たちを困惑させる。そこに高山(江口洋介)から、亜紀に会いたいという連絡が入る。亜紀が高山を訪ねてカフェ『caldo』に行くと、入れ違いで彼はフルテージに現れる。高山は、美和(市川実和子)たちにひとしきり恋愛レクチャーをすると、帰り際、亜紀にキスをした件に触れ、「ただの誤作動だった、とだけ伝えてほしい」と伝言を残す。同じころ、みどり(鈴木砂羽)は、次男の碧(矢部昌暉)が怪しげな店でアルバイトしているのではないかと疑っていた。三男・陵(浦上晟周)のいじめ問題の件で電話してきた沢田(千葉雄大)は、みどりから碧のことを聞くと、「好きな人の役に立ちたい」と言って一緒にその店に行こうと提案する。一方、栗田(谷原章介)とデートしていた萠子(吉瀬美智子)の前には、レンタル彼氏で頼んだ田代(丸山智己)が現れる。そこで田代は、もう一度萠子に会いたかったなどと言い出す。最初は嫌がっていたものの、遠慮なく話しかけてくる田代に、最後は思わず笑ってしまう萠子。その姿を見ていた栗田は、半ば強引に萠子をホテルに誘い…。そんな折、亜紀のマンションに池田(平山浩行)がやってくる。そこで亜紀は、池田から衝撃の告白を受け…。</t>
  </si>
  <si>
    <t>番組名&lt;木曜劇場&gt;オトナ女子　#07</t>
  </si>
  <si>
    <t>亜紀(篠原涼子)を心配して温泉宿まで駆けつけた高山(江口洋介)。酔って寝ている亜紀を見て、そのまま立ち去ろうとするが…。翌日、萠子(吉瀬美智子)と電話をした亜紀は、高山が亜紀のメッセージを見て店を飛び出して行ったことを聞く。亜紀は、駆けつけてくれたと聞いた、と高山を問いただすも、「妙な誤解をしているんじゃないか」と言われてしまう。するとそこに池田(平山浩行)がやって来て…。　一方、萠子の店には、連日、田代(丸山智己)が来ていた。嫌がる萠子をよそに話し続ける田代。すると、一度だけでいいから一緒に飲みに行ってくれたらもう来ないと言い出し…。  　その頃、みどり(鈴木砂羽)は沢田(千葉雄大)から、次男・碧(矢部昌暉)が年上の女性と腕を組んで歩いているところを見た、と連絡を受ける。後日、バイト終わりの碧をこっそりつけたみどりは…。　ある夜、亜紀は高山に、別の部署に異動して悪戦苦闘していることを話す。その後、高山の話を聞いた亜紀はある決意をして…。中原亜紀:　篠原涼子　  大崎萠子:　吉瀬美智子　  坂田みどり:　鈴木砂羽　  栗田純一:　谷原章介　  高山文夫:　江口洋介　    工藤美和:　市川実和子　  立花沙織:　平山あや　  前川亮介:　吉沢亮　    沢田健太:　千葉雄大　  池田優:　平山浩行　    山岡伸治:　斎藤工(友情出演)　    霜田賢三:　池田成志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</si>
  <si>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亜紀(篠原涼子)を心配して温泉宿まで駆けつけた高山(江口洋介)。酔って寝ている亜紀を見て、そのまま立ち去ろうとするが…。翌日、萠子(吉瀬美智子)と電話をした亜紀は、高山が亜紀のメッセージを見て店を飛び出して行ったことを聞く。亜紀は、駆けつけてくれたと聞いた、と高山を問いただすも、「妙な誤解をしているんじゃないか」と言われてしまう。するとそこに池田(平山浩行)がやって来て…。　一方、萠子の店には、連日、田代(丸山智己)が来ていた。嫌がる萠子をよそに話し続ける田代。すると、一度だけでいいから一緒に飲みに行ってくれたらもう来ないと言い出し…。  　その頃、みどり(鈴木砂羽)は沢田(千葉雄大)から、次男・碧(矢部昌暉)が年上の女性と腕を組んで歩いているところを見た、と連絡を受ける。後日、バイト終わりの碧をこっそりつけたみどりは…。　ある夜、亜紀は高山に、別の部署に異動して悪戦苦闘していることを話す。その後、高山の話を聞いた亜紀はある決意をして…。</t>
  </si>
  <si>
    <t>番組名&lt;木曜劇場&gt;オトナ女子　#08</t>
  </si>
  <si>
    <t>亜紀(篠原涼子)は、高山(江口洋介)らの助力もあってモバイルコンテンツ部への復帰を果たす。亮介(吉沢亮)も、社長の栗田(谷原章介)に何度も亜紀の復帰を訴えていたらしい。そこに美和(市川実和子)がやってきて、仕事を辞めようと思っていると言い出す。亜紀は、そんな彼女に、相談に乗るからもう一度考えてほしいと告げた。  　萠子(吉瀬美智子)は、母親の絹江(朝加真由美)から栗田と別れたことを責められ、口論になってしまう。そこに現れた田代(丸山智己)は、絹江を上手く外に連れ出し、その場を収める。みどり(鈴木砂羽)は、沢田(千葉雄大)から電話をもらい、陵(浦上晟周)が通う中学校を訪れる。応対した教頭(児玉頼信)は、調査の結果、陵に対するいじめの事実はなかったとみどりに告げるが…。  　一方、小説の執筆を進めていた高山は、主人公が無邪気に喜んでいる描写の参考に、と亜紀の好きなものをリサーチする。亜紀がJAZZ好きだと知った高山は、有名なJAZZミュージシャンのディナー付き演奏会のチケットを入手し、彼女を誘う。演奏会当日、亜紀は、ドレスアップして高山が待つカフェ『caldo』を訪れる。マスター(池田成志)から車を借りた高山は、亜紀をエスコートして会場へと向かうが…。中原亜紀:　篠原涼子　  大崎萠子:　吉瀬美智子　  坂田みどり:　鈴木砂羽　  栗田純一:　谷原章介　  高山文夫:　江口洋介　    工藤美和:　市川実和子　  立花沙織:　平山あや　  前川亮介:　吉沢亮　    沢田健太:　千葉雄大　  池田優:　平山浩行　    山岡伸治:　斎藤工(友情出演)　    霜田賢三:　池田成志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</si>
  <si>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亜紀(篠原涼子)は、高山(江口洋介)らの助力もあってモバイルコンテンツ部への復帰を果たす。亮介(吉沢亮)も、社長の栗田(谷原章介)に何度も亜紀の復帰を訴えていたらしい。そこに美和(市川実和子)がやってきて、仕事を辞めようと思っていると言い出す。亜紀は、そんな彼女に、相談に乗るからもう一度考えてほしいと告げた。  　萠子(吉瀬美智子)は、母親の絹江(朝加真由美)から栗田と別れたことを責められ、口論になってしまう。そこに現れた田代(丸山智己)は、絹江を上手く外に連れ出し、その場を収める。みどり(鈴木砂羽)は、沢田(千葉雄大)から電話をもらい、陵(浦上晟周)が通う中学校を訪れる。応対した教頭(児玉頼信)は、調査の結果、陵に対するいじめの事実はなかったとみどりに告げるが…。  　一方、小説の執筆を進めていた高山は、主人公が無邪気に喜んでいる描写の参考に、と亜紀の好きなものをリサーチする。亜紀がJAZZ好きだと知った高山は、有名なJAZZミュージシャンのディナー付き演奏会のチケットを入手し、彼女を誘う。演奏会当日、亜紀は、ドレスアップして高山が待つカフェ『caldo』を訪れる。マスター(池田成志)から車を借りた高山は、亜紀をエスコートして会場へと向かうが…。</t>
  </si>
  <si>
    <t>番組名&lt;木曜劇場&gt;オトナ女子　#09</t>
  </si>
  <si>
    <t>亜紀(篠原涼子)のマンションに、いきなり高山(江口洋介)がやってくる。応対した亜紀に、「会いたくて…」という高山。亜紀は、戸惑いながらも高山を迎え入れるが…。  　萠子(吉瀬美智子)は、店にやってきた母・絹江(朝加真由美)に、ひとり暮らしをするために部屋を借りようと思っていることを告げる。しかし絹江は、それを認めようとはせず、「私のこと、捨てるつもりなの?」と言い出す。  　同じころ、とあるネット掲示板に、栗田(谷原章介)と関係を持ったという女性たちが集まり、彼に関する書き込みをしていることが判明する。秘書の玲子(東加奈子)からその話を聞いた栗田は、このくらいやられても仕方ないと返す。  　亮介(吉沢亮)は、カフェ『caldo』を訪れ、高山に恋愛相談を持ち掛ける。亮介が亜紀に思いを寄せているとは知らない高山は、相手の趣味や嗜好を知ることの必要性を説き、若いのだから失うことを恐れずにぶつかってみればいい、とアドバイスした。  　一方、みどり(鈴木砂羽)は、もう一度話し合いをするために、三男・陵(浦上晟周)をいじめていた相手の家を訪れる。するとそこに沢田(千葉雄大)もやってくる。しかし、相手側の両親は、みどりが金目当てで騒ぎ立てていると決めつける。  　そんな折、亜紀たちが取り組んでいたアラフォー向け恋愛アプリがとうとう完成する。社内で打ち上げをすることにした亜紀は、高山にも声をかけ…。中原亜紀:　篠原涼子　  大崎萠子:　吉瀬美智子　  坂田みどり:　鈴木砂羽　  栗田純一:　谷原章介　  高山文夫:　江口洋介　    工藤美和:　市川実和子　  立花沙織:　平山あや　  前川亮介:　吉沢亮　    沢田健太:　千葉雄大　  池田優:　平山浩行　    山岡伸治:　斎藤工(友情出演)　    霜田賢三:　池田成志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</si>
  <si>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亜紀(篠原涼子)のマンションに、いきなり高山(江口洋介)がやってくる。応対した亜紀に、「会いたくて…」という高山。亜紀は、戸惑いながらも高山を迎え入れるが…。  　萠子(吉瀬美智子)は、店にやってきた母・絹江(朝加真由美)に、ひとり暮らしをするために部屋を借りようと思っていることを告げる。しかし絹江は、それを認めようとはせず、「私のこと、捨てるつもりなの?」と言い出す。  　同じころ、とあるネット掲示板に、栗田(谷原章介)と関係を持ったという女性たちが集まり、彼に関する書き込みをしていることが判明する。秘書の玲子(東加奈子)からその話を聞いた栗田は、このくらいやられても仕方ないと返す。  　亮介(吉沢亮)は、カフェ『caldo』を訪れ、高山に恋愛相談を持ち掛ける。亮介が亜紀に思いを寄せているとは知らない高山は、相手の趣味や嗜好を知ることの必要性を説き、若いのだから失うことを恐れずにぶつかってみればいい、とアドバイスした。  　一方、みどり(鈴木砂羽)は、もう一度話し合いをするために、三男・陵(浦上晟周)をいじめていた相手の家を訪れる。するとそこに沢田(千葉雄大)もやってくる。しかし、相手側の両親は、みどりが金目当てで騒ぎ立てていると決めつける。  　そんな折、亜紀たちが取り組んでいたアラフォー向け恋愛アプリがとうとう完成する。社内で打ち上げをすることにした亜紀は、高山にも声をかけ…。</t>
  </si>
  <si>
    <t>番組名&lt;木曜劇場&gt;オトナ女子　#10</t>
  </si>
  <si>
    <t>亜紀(篠原涼子)は、高山(江口洋介)が執筆していた小説を偶然読んでしまい、大きなショックを受ける。そこには、高山と出会ってからの亜紀のことが綴られていた。池田(平山浩行)は、泣きながらカフェ『caldo』を飛び出した亜紀の姿を見つけ、彼女を追いかける。しかし亜紀は、何も話そうとはしなかった。  　あくる日、亮介(吉沢亮)は、徹夜して作った企画書を亜紀に提出する。そのとき、亜紀のようすがどこかおかしいことに気づいた亮介は、何かあれば相談に乗る、と声をかける。そんな中、フルテージに高山がやってきて、亜紀を呼び出す。そこで高山は、小説を書くことを認めてほしい、と言い出し、亜紀を怒らせてしまう。  　萠子(吉瀬美智子)は、母・絹江(朝加真由美)と別居することを田代(丸山智己)に打ち明ける。すると田代は、もっといい解決法があると思う、と告げる。　一方、みどり(鈴木砂羽)は、授業参観で三男・陵(浦上晟周)のクラスを訪れる。そこで陵は、「最近思うこと」というテーマで書いた作文を発表する。  　別の日、亜紀は萠子、みどりと女子会を開く。そこに、池田から「会いたい」という電話が入り…。中原亜紀:　篠原涼子　  大崎萠子:　吉瀬美智子　  坂田みどり:　鈴木砂羽　  栗田純一:　谷原章介　  高山文夫:　江口洋介　    工藤美和:　市川実和子　  立花沙織:　平山あや　  前川亮介:　吉沢亮　    沢田健太:　千葉雄大　  池田優:　平山浩行　    山岡伸治:　斎藤工(友情出演)　    霜田賢三:　池田成志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</si>
  <si>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亜紀(篠原涼子)は、高山(江口洋介)が執筆していた小説を偶然読んでしまい、大きなショックを受ける。そこには、高山と出会ってからの亜紀のことが綴られていた。池田(平山浩行)は、泣きながらカフェ『caldo』を飛び出した亜紀の姿を見つけ、彼女を追いかける。しかし亜紀は、何も話そうとはしなかった。  　あくる日、亮介(吉沢亮)は、徹夜して作った企画書を亜紀に提出する。そのとき、亜紀のようすがどこかおかしいことに気づいた亮介は、何かあれば相談に乗る、と声をかける。そんな中、フルテージに高山がやってきて、亜紀を呼び出す。そこで高山は、小説を書くことを認めてほしい、と言い出し、亜紀を怒らせてしまう。  　萠子(吉瀬美智子)は、母・絹江(朝加真由美)と別居することを田代(丸山智己)に打ち明ける。すると田代は、もっといい解決法があると思う、と告げる。　一方、みどり(鈴木砂羽)は、授業参観で三男・陵(浦上晟周)のクラスを訪れる。そこで陵は、「最近思うこと」というテーマで書いた作文を発表する。  　別の日、亜紀は萠子、みどりと女子会を開く。そこに、池田から「会いたい」という電話が入り…。</t>
  </si>
  <si>
    <t>1507_CX_月21</t>
  </si>
  <si>
    <t>恋仲</t>
  </si>
  <si>
    <t>番組名恋仲　#01</t>
  </si>
  <si>
    <t>★「恋仲」公式番組ホームページ　  http://www.fujitv.co.jp/koinaka/　    ★公式twitterも大好評展開中!　  #恋仲　今からそう遠くない未来ーー。とあるチャペルで結婚式が行われようとしている。ウエディングドレスに身を包んだ新婦・芹沢あかり(本田翼)は不安げだ。夫となる新郎がまだ到着していない。その頃、三浦葵(福士蒼汰)はチャペルへ向かって猛ダッシュをしていた。また、新幹線から駅に降り立った蒼井翔太(野村周平)も急いでいた。これは、2人の“アオイ"のどちらかが芹沢あかりと結婚するまでの物語…。　2015年、東京。葵は建築設計事務所で働いている。建築家という夢の入り口に立った葵だったが、日々の仕事に忙殺され、夢を見失っていた。社長の丹波万里子(吉田羊)にはつまらないと指摘され、仕事同様恋愛も上手くいかない踏んだり蹴ったりの毎日を送っている。ある日、葵の携帯電話が鳴る。高校時代の友人、金沢公平(太賀)から同窓会の連絡。葵は思わず高校時代に想いをはせる…7年間会っていないあかりのことに…。　2008年、富山。幼なじみの葵とあかりは、お互いの家を自由に行き来するような関係。葵は、あかりの父・寛利(小林薫)とも顔なじみだ。互いに想いを寄せる葵とあかりだったが、素直になれず微妙な関係が続いていた。そんな中、翔太が転校してくることによって2人の関係は変化を迎える…。高校3年の夏、卒業すればあかりと離れ離れになるかもしれないと思った葵は、「あかりを花火大会に誘い告白しよう」と意気込むが…。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</si>
  <si>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 xml:space="preserve">　今からそう遠くない未来ーー。とあるチャペルで結婚式が行われようとしている。ウエディングドレスに身を包んだ新婦・芹沢あかり(本田翼)は不安げだ。夫となる新郎がまだ到着していない。その頃、三浦葵(福士蒼汰)はチャペルへ向かって猛ダッシュをしていた。また、新幹線から駅に降り立った蒼井翔太(野村周平)も急いでいた。これは、2人の“アオイ"のどちらかが芹沢あかりと結婚するまでの物語…。　2015年、東京。葵は建築設計事務所で働いている。建築家という夢の入り口に立った葵だったが、日々の仕事に忙殺され、夢を見失っていた。社長の丹波万里子(吉田羊)にはつまらないと指摘され、仕事同様恋愛も上手くいかない踏んだり蹴ったりの毎日を送っている。ある日、葵の携帯電話が鳴る。高校時代の友人、金沢公平(太賀)から同窓会の連絡。葵は思わず高校時代に想いをはせる…7年間会っていないあかりのことに…。　2008年、富山。幼なじみの葵とあかりは、お互いの家を自由に行き来するような関係。葵は、あかりの父・寛利(小林薫)とも顔なじみだ。互いに想いを寄せる葵とあかりだったが、素直になれず微妙な関係が続いていた。そんな中、翔太が転校してくることによって2人の関係は変化を迎える…。高校3年の夏、卒業すればあかりと離れ離れになるかもしれないと思った葵は、「あかりを花火大会に誘い告白しよう」と意気込むが…。</t>
  </si>
  <si>
    <t>番組名恋仲　#02</t>
  </si>
  <si>
    <t>★「恋仲」公式番組ホームページ　  http://www.fujitv.co.jp/koinaka/　    ★公式twitterも大好評展開中!　  #恋仲　“かつての想い人が親友の恋人"という衝撃的な事実を受け止めきれない三浦葵(福士蒼汰)は、帰り道、思わず金沢公平(太賀)に携帯電話で思いをぶつける。葵が自宅マンションの前まで来ると、目の前には今電話しているはずの公平が…。公平は葵の家にひと夏の居候をしに上京してきたのだった。葵があきれていると、妹の七海(大原櫻子)が帰宅。美しく変貌した七海との再会に、公平の気持ちは高まる。そんな公平の様子に、久しぶりに再会した芹沢あかり(本田翼)への思いを募らせる葵。  　公平が高校の同窓会を企画した日。研修医の蒼井翔太(野村周平)は、優秀で周囲の評価も高く、早くも患者への病状説明を任されていた。そんな翔太の前に公平が現れ、同窓会に誘う。  　一方、葵はあかりの事が気になり仕事に集中出来ない。そんな葵に丹羽万里子(吉田羊)が保育園リフォームの設計を担当してみないかと声をかける。喜ぶ葵だが、任せられたのはウサギ小屋だった。先輩の富永美玲(山本美月)にからかわれながらも、真剣に設計に取り組む葵に公平から同窓会に早く来いと電話が入る。あかりと翔太も来ていると聞いた葵は仕事が終わらないと断る。  　仕事を終えた葵がマンションに帰ると、玄関に見慣れないたくさんの靴が並んでいた。部屋に入ると、あかりと翔太がいた。あかりと翔太の馴れ初めや、自分と翔太のスペックの差を見せつけられ、居たたまれなくなった葵は…。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</si>
  <si>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 xml:space="preserve">　“かつての想い人が親友の恋人"という衝撃的な事実を受け止めきれない三浦葵(福士蒼汰)は、帰り道、思わず金沢公平(太賀)に携帯電話で思いをぶつける。葵が自宅マンションの前まで来ると、目の前には今電話しているはずの公平が…。公平は葵の家にひと夏の居候をしに上京してきたのだった。葵があきれていると、妹の七海(大原櫻子)が帰宅。美しく変貌した七海との再会に、公平の気持ちは高まる。そんな公平の様子に、久しぶりに再会した芹沢あかり(本田翼)への思いを募らせる葵。  　公平が高校の同窓会を企画した日。研修医の蒼井翔太(野村周平)は、優秀で周囲の評価も高く、早くも患者への病状説明を任されていた。そんな翔太の前に公平が現れ、同窓会に誘う。  　一方、葵はあかりの事が気になり仕事に集中出来ない。そんな葵に丹羽万里子(吉田羊)が保育園リフォームの設計を担当してみないかと声をかける。喜ぶ葵だが、任せられたのはウサギ小屋だった。先輩の富永美玲(山本美月)にからかわれながらも、真剣に設計に取り組む葵に公平から同窓会に早く来いと電話が入る。あかりと翔太も来ていると聞いた葵は仕事が終わらないと断る。  　仕事を終えた葵がマンションに帰ると、玄関に見慣れないたくさんの靴が並んでいた。部屋に入ると、あかりと翔太がいた。あかりと翔太の馴れ初めや、自分と翔太のスペックの差を見せつけられ、居たたまれなくなった葵は…。</t>
  </si>
  <si>
    <t>番組名恋仲　#03</t>
  </si>
  <si>
    <t>★「恋仲」公式番組ホームページ　  http://www.fujitv.co.jp/koinaka/　    ★公式twitterも大好評展開中!　  #恋仲　芹沢あかり(本田翼)と期せずして映画館で2人きりの時間を過した三浦葵(福士蒼汰)は、帰宅するなり金沢公平(太賀)にからかわれるも、否定する。だが、確かにあかりへの懐かしい想いを感じていた。一方、あかりは、映画館での出来事を楽しそうに蒼井翔太(野村周平)に話す。そんなあかりの様子に翔太は…。  　アパートに帰ったあかりは、高梨恵里香(馬場園梓)に幼なじみの葵と昔のような仲に戻れたと話す。そして高校時代には恋心を抱いたが結局ふられた、と。恵里香は再燃もあるのではないかと盛り上がるが、あかりは打ち消した。  　葵が新たな仕事の建築予定地へ行くと、建設作業員の中にあかりの父、寛利(小林薫)に似た人物が…。だが見失ってしまう。  　そんなある日、葵はあかりから自宅のラックを作って欲しいと連絡を受ける。日曜日に材料の買い出しにホームセンターへ。ラックが完成すると、葵は寛利の所在をあかりに聞く。あかりは、わからないと答えるも、翔太も探してくれているので、いつか見つかると信じていた。  　葵は恵里香から「東京で出会った頃のあかりはとても暗かったが翔太と付き合いだして変わった、翔太に救われたのだ」と聞く。あかりへの想いが増していた葵は、「あかりの横にいるのは自分ではなく翔太」という現実を突きつけられる。さらに、翔太に呼び出された葵は、そこで衝撃的な事実を告げられ…。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</si>
  <si>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 xml:space="preserve">　芹沢あかり(本田翼)と期せずして映画館で2人きりの時間を過した三浦葵(福士蒼汰)は、帰宅するなり金沢公平(太賀)にからかわれるも、否定する。だが、確かにあかりへの懐かしい想いを感じていた。一方、あかりは、映画館での出来事を楽しそうに蒼井翔太(野村周平)に話す。そんなあかりの様子に翔太は…。  　アパートに帰ったあかりは、高梨恵里香(馬場園梓)に幼なじみの葵と昔のような仲に戻れたと話す。そして高校時代には恋心を抱いたが結局ふられた、と。恵里香は再燃もあるのではないかと盛り上がるが、あかりは打ち消した。  　葵が新たな仕事の建築予定地へ行くと、建設作業員の中にあかりの父、寛利(小林薫)に似た人物が…。だが見失ってしまう。  　そんなある日、葵はあかりから自宅のラックを作って欲しいと連絡を受ける。日曜日に材料の買い出しにホームセンターへ。ラックが完成すると、葵は寛利の所在をあかりに聞く。あかりは、わからないと答えるも、翔太も探してくれているので、いつか見つかると信じていた。  　葵は恵里香から「東京で出会った頃のあかりはとても暗かったが翔太と付き合いだして変わった、翔太に救われたのだ」と聞く。あかりへの想いが増していた葵は、「あかりの横にいるのは自分ではなく翔太」という現実を突きつけられる。さらに、翔太に呼び出された葵は、そこで衝撃的な事実を告げられ…。</t>
  </si>
  <si>
    <t>番組名恋仲【葵　あかり　翔太　三人の運命を変えた一冊の本で動き始める】　#04</t>
  </si>
  <si>
    <t>★「恋仲」公式番組ホームページ　  http://www.fujitv.co.jp/koinaka/　    ★公式twitterも大好評展開中!　  #恋仲　三浦葵(福士蒼汰)は仕事の成功を祝って、久しぶりに元カノの冴木瑠衣子(市川由衣)と食事をして帰宅。すると、金沢公平(太賀)の様子がおかしい。公平は、七海(大原櫻子)に恋をしてしまったと告白。前のめりな公平に、葵は就活中の七海の気持ちも考えろとくぎを刺す。  　一方、蒼井翔太(野村周平)の家で、葵に送ったラブレターを見つけてしまった芹沢あかり(本田翼)のショックは大きかった。翔太と顔を合わせるのも辛い。その翔太を沢田一葉(新川優愛)が心配していた。翔太が男に金を渡すところを見たからだ。直接聞いてみるが、翔太から一葉には関係ないと言われる。その後、一葉は翔太が金を渡した人が芹沢寛利(小林薫)だと知る。  　葵に建築コンクールへの出品の話が持ち上がる。出品はともかく心躍る葵。さらに、磯原新一(永井大)からは瑠衣子とよりを戻してみないかと言われる。磯原は瑠衣子が葵と別れた事を後悔していると教えた。  　そんな時、公平がバーベキューをしようと言いだす。就活に追われる七海にひとときの癒やしをプレゼントしたいらしい。車ならと言う七海だが公平は免許すらない。と、葵が瑠衣子に車を出してもらおうと助け舟。すると公平は、あかりと翔太も呼ぼうとうっかり口に出す。葵の気持ちを知る七海は公平をたしなめる。だが、葵はあかりへの想いは吹っ切れたと言い、仲間たちで出かけるのだが…。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</si>
  <si>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 xml:space="preserve">　三浦葵(福士蒼汰)は仕事の成功を祝って、久しぶりに元カノの冴木瑠衣子(市川由衣)と食事をして帰宅。すると、金沢公平(太賀)の様子がおかしい。公平は、七海(大原櫻子)に恋をしてしまったと告白。前のめりな公平に、葵は就活中の七海の気持ちも考えろとくぎを刺す。  　一方、蒼井翔太(野村周平)の家で、葵に送ったラブレターを見つけてしまった芹沢あかり(本田翼)のショックは大きかった。翔太と顔を合わせるのも辛い。その翔太を沢田一葉(新川優愛)が心配していた。翔太が男に金を渡すところを見たからだ。直接聞いてみるが、翔太から一葉には関係ないと言われる。その後、一葉は翔太が金を渡した人が芹沢寛利(小林薫)だと知る。  　葵に建築コンクールへの出品の話が持ち上がる。出品はともかく心躍る葵。さらに、磯原新一(永井大)からは瑠衣子とよりを戻してみないかと言われる。磯原は瑠衣子が葵と別れた事を後悔していると教えた。  　そんな時、公平がバーベキューをしようと言いだす。就活に追われる七海にひとときの癒やしをプレゼントしたいらしい。車ならと言う七海だが公平は免許すらない。と、葵が瑠衣子に車を出してもらおうと助け舟。すると公平は、あかりと翔太も呼ぼうとうっかり口に出す。葵の気持ちを知る七海は公平をたしなめる。だが、葵はあかりへの想いは吹っ切れたと言い、仲間たちで出かけるのだが…。</t>
  </si>
  <si>
    <t>番組名恋仲【翔太に裏切られたあかり…ついに葵が動き出す】　#05</t>
  </si>
  <si>
    <t>★「恋仲」公式番組ホームページ　  http://www.fujitv.co.jp/koinaka/　    ★公式twitterも大好評展開中!　  #恋仲　高梨恵里香(馬場園梓)から芹沢あかり(本田翼)が帰って来ないと連絡を受けた三浦葵(福士蒼汰)が向かったのは、蒼井翔太(野村周平)のマンションだった。翔太を追及すると、芹沢寛利(小林薫)に金を渡し、2度とあかりに会うなと告げたと言う。そのことを知ったあかりは、部屋から飛び出していってしまったのだ。翔太のあまりにも勝手な言い分に腹を立てる葵だが、あかりの行方は全く分からない。　職場に戻った葵は、あかりと翔太のことを考え仕事が手につかない。そんな葵を冴木瑠衣子(市川由衣)は、明日の休日、美術館に行かないかと誘う。美術館の設計者が、出品しようとしているコンクールの出身者と聞いた葵は行く事にする。  　翌朝、瑠衣子が葵の会社に行くと、徹夜をしていた小谷照吉(前野朋哉)の様子がおかしい。見知らぬ美女が訪ねてきて建築現場の作業員リストを見せてほしいと言われたという。　瑠衣子と美術館デートをする葵に、恵里香からあかりがまだ帰らないと連絡が入る。傍らで様子を見ていた瑠衣子は、葵にあかりが事務所を訪ねて来た事を教える。あかりが向かったであろう場所を知った葵は翔太に連絡をする。しかし翔太から返ってきたのは予想外の言葉だった…。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</si>
  <si>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 xml:space="preserve">　高梨恵里香(馬場園梓)から芹沢あかり(本田翼)が帰って来ないと連絡を受けた三浦葵(福士蒼汰)が向かったのは、蒼井翔太(野村周平)のマンションだった。翔太を追及すると、芹沢寛利(小林薫)に金を渡し、2度とあかりに会うなと告げたと言う。そのことを知ったあかりは、部屋から飛び出していってしまったのだ。翔太のあまりにも勝手な言い分に腹を立てる葵だが、あかりの行方は全く分からない。　職場に戻った葵は、あかりと翔太のことを考え仕事が手につかない。そんな葵を冴木瑠衣子(市川由衣)は、明日の休日、美術館に行かないかと誘う。美術館の設計者が、出品しようとしているコンクールの出身者と聞いた葵は行く事にする。  　翌朝、瑠衣子が葵の会社に行くと、徹夜をしていた小谷照吉(前野朋哉)の様子がおかしい。見知らぬ美女が訪ねてきて建築現場の作業員リストを見せてほしいと言われたという。　瑠衣子と美術館デートをする葵に、恵里香からあかりがまだ帰らないと連絡が入る。傍らで様子を見ていた瑠衣子は、葵にあかりが事務所を訪ねて来た事を教える。あかりが向かったであろう場所を知った葵は翔太に連絡をする。しかし翔太から返ってきたのは予想外の言葉だった…。</t>
  </si>
  <si>
    <t>番組名恋仲【3人の運命を変えた一冊の本…】　#06</t>
  </si>
  <si>
    <t>「ワールドカップバレーボール2015女子　日本×キューバ」延長の際、放送時間繰り下げの場合あり。副音声では、野村周平&amp;太賀の“濃い仲"コンビによる座談会コメントも。ぜひこちらもチェック!　    ★「恋仲」公式番組ホームページ　  http://www.fujitv.co.jp/koinaka/　    ★公式twitterも大好評展開中!　  #恋仲　芹沢あかり(本田翼)が思い描いていた父・寛利(小林薫)との再会は、あまりにも受け入れがたい現実だった。そんなあかりに三浦葵(福士蒼汰)は昔のように言いたいことを言い、気が晴れるまであかりのそばにいた。今まで言えなかった想い、お互いが初恋の人だったことも。  　気がつけば夜は明けていた。葵は、自分の肩に寄り添って眠っているあかりにキスをする。7年越しのキスは葵から…。眠っていたあかりはそっと目を覚ます。そんな2人は、互いに胸が高鳴る事を意識しながら帰路につく。  　葵との時間があかりの中に、何かを芽生えさせていた。  　そんなあかりの気持ちを察してか、蒼井翔太(野村周平)はあかりが間もなく迎える教員採用試験の健闘を陰ながら応援すると告げ、そして側にいる資格がないと別れを切り出す。　一方、葵は仕事に身が入らないまま過ごしていた。そんな葵を翔太が訪ねてくる。葵があかりを迎えに行ってくれたことに感謝する翔太。そして3人の運命を変えた一冊の本を差し出す・・・。福士蒼汰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</si>
  <si>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 xml:space="preserve">　芹沢あかり(本田翼)が思い描いていた父・寛利(小林薫)との再会は、あまりにも受け入れがたい現実だった。そんなあかりに三浦葵(福士蒼汰)は昔のように言いたいことを言い、気が晴れるまであかりのそばにいた。今まで言えなかった想い、お互いが初恋の人だったことも。  　気がつけば夜は明けていた。葵は、自分の肩に寄り添って眠っているあかりにキスをする。7年越しのキスは葵から…。眠っていたあかりはそっと目を覚ます。そんな2人は、互いに胸が高鳴る事を意識しながら帰路につく。  　葵との時間があかりの中に、何かを芽生えさせていた。  　そんなあかりの気持ちを察してか、蒼井翔太(野村周平)はあかりが間もなく迎える教員採用試験の健闘を陰ながら応援すると告げ、そして側にいる資格がないと別れを切り出す。　一方、葵は仕事に身が入らないまま過ごしていた。そんな葵を翔太が訪ねてくる。葵があかりを迎えに行ってくれたことに感謝する翔太。そして3人の運命を変えた一冊の本を差し出す・・・。</t>
  </si>
  <si>
    <t>番組名恋仲【すれ違う葵とあかりの運命が変わるー】　#07</t>
  </si>
  <si>
    <t>「ワールドカップバレーボール2015女子　日本×韓国」延長の際、放送時間繰り下げの場合あり。★「恋仲」公式番組ホームページ　  http://www.fujitv.co.jp/koinaka/　    ★公式twitterも大好評展開中!　  #恋仲　三浦葵(福士蒼汰)は、教員採用試験に合格した芹沢あかり(本田翼)を祝うため、三浦家特製カレーを作って待っていた。しかし、あかりからは蒼井翔太(野村周平)に会ってから行くと連絡が入ったきり、全く連絡がないまま夜が明けてしまっていた。急いで病院から葵のマンションへ向かったあかりだったが、葵は理由を聞く気にならずあかりを帰す。モヤモヤする気持ちは、葵の仕事に現れる。富永美玲(山本美月)に頼まれた模型作りや図面描きでミスを連発し、葵の大失敗を建築事務所のみんながカバーすることになってしまう。集中力に欠けている様子を磯原新一(永井大)にとがめられ、プロジェクトから抜けろと言われてしまう。そんな葵の様子を見ていた丹羽万里子(吉田羊)には、このまま続けていても建築家にはなれないと言い放ち、転職を勧められてしまう…。仕事もあかりとも上手くいかず、自暴自棄になる葵。  　一方、心音(大友花恋)は恋心を抱く星野悠真(萩原利久)への想いが実らないまま、病院を転院することが決まってしまう。おそらく今年の花火大会が最後になる心音と悠真に残された時間は少ない。翔太は心音の相談に乗って欲しいとあかりに頼む。  　葵がマンションに戻ると、あかりが待ち伏せをしていた。誤解を解こうとわびるあかりに葵は心を許さないままだった…。福士蒼汰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</si>
  <si>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 xml:space="preserve">　三浦葵(福士蒼汰)は、教員採用試験に合格した芹沢あかり(本田翼)を祝うため、三浦家特製カレーを作って待っていた。しかし、あかりからは蒼井翔太(野村周平)に会ってから行くと連絡が入ったきり、全く連絡がないまま夜が明けてしまっていた。急いで病院から葵のマンションへ向かったあかりだったが、葵は理由を聞く気にならずあかりを帰す。モヤモヤする気持ちは、葵の仕事に現れる。富永美玲(山本美月)に頼まれた模型作りや図面描きでミスを連発し、葵の大失敗を建築事務所のみんながカバーすることになってしまう。集中力に欠けている様子を磯原新一(永井大)にとがめられ、プロジェクトから抜けろと言われてしまう。そんな葵の様子を見ていた丹羽万里子(吉田羊)には、このまま続けていても建築家にはなれないと言い放ち、転職を勧められてしまう…。仕事もあかりとも上手くいかず、自暴自棄になる葵。  　一方、心音(大友花恋)は恋心を抱く星野悠真(萩原利久)への想いが実らないまま、病院を転院することが決まってしまう。おそらく今年の花火大会が最後になる心音と悠真に残された時間は少ない。翔太は心音の相談に乗って欲しいとあかりに頼む。  　葵がマンションに戻ると、あかりが待ち伏せをしていた。誤解を解こうとわびるあかりに葵は心を許さないままだった…。</t>
  </si>
  <si>
    <t>番組名恋仲【7年前のあの場所から再び始まる…】　#08</t>
  </si>
  <si>
    <t>★「恋仲」公式番組ホームページ　  http://www.fujitv.co.jp/koinaka/　    ★公式twitterも大好評展開中!　  #恋仲　あかり(本田翼)を抱き締め、結婚してくれないかとプロポーズする翔太(野村周平)。翔太はあかりに、手紙のことを言いだせず5年間うそをついてしまったがあかりを想う気持ちにうそはなかったと言い、今度は葵(福士蒼汰)ではなく俺に会いに来て欲しい、8月31日、7年前あかりが葵に宛てたメモに残したあの場所で待っていると。葵は、そんな光景を目にして、あまりの衝撃に動くことが出来ず…。　あかりの将来を支え続けるとプロポーズする翔太を見たことで、自分にそんな覚悟はまだないと自信を失った葵。仕事から帰宅すると公平(太賀)が、七海(大原櫻子)の就職祝いのために、パーティーの準備をしていた。そこへ七海が、あかりの教員採用試験合格も一緒に祝おうと言って、あかりと一緒に帰ってくる。葵はあかりを前にすると翔太のことがあって、気まずさを感じてしまい…。葵と2人きりになったあかりは葵に、翔太からプロポーズされていることを相談する。そんなあかりを葵は引き留めることができず…。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</si>
  <si>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 xml:space="preserve">　あかり(本田翼)を抱き締め、結婚してくれないかとプロポーズする翔太(野村周平)。翔太はあかりに、手紙のことを言いだせず5年間うそをついてしまったがあかりを想う気持ちにうそはなかったと言い、今度は葵(福士蒼汰)ではなく俺に会いに来て欲しい、8月31日、7年前あかりが葵に宛てたメモに残したあの場所で待っていると。葵は、そんな光景を目にして、あまりの衝撃に動くことが出来ず…。　あかりの将来を支え続けるとプロポーズする翔太を見たことで、自分にそんな覚悟はまだないと自信を失った葵。仕事から帰宅すると公平(太賀)が、七海(大原櫻子)の就職祝いのために、パーティーの準備をしていた。そこへ七海が、あかりの教員採用試験合格も一緒に祝おうと言って、あかりと一緒に帰ってくる。葵はあかりを前にすると翔太のことがあって、気まずさを感じてしまい…。葵と2人きりになったあかりは葵に、翔太からプロポーズされていることを相談する。そんなあかりを葵は引き留めることができず…。</t>
  </si>
  <si>
    <t>番組名恋仲【あかりが選ぶのはどちらの“アオイ"かー】　#09</t>
  </si>
  <si>
    <t>★「恋仲」公式番組ホームページ　  http://www.fujitv.co.jp/koinaka/　    ★公式twitterも大好評展開中!　  #恋仲　新人建築設計コンクールで審査員賞を受賞した三浦葵(福士蒼汰)は、自分の作品説明をするうちに、芹沢あかり(本田翼)がどれだけ自分にとって大切な存在だったのか気付く。そして受賞式のさなかに飛び出し、蒼井翔太(野村周平)のもとへ向かったあかりを追いかける。しかし、あかりが乗った新幹線には間に合いそうもなく…。  　7年ぶりに富山に降り立ったあかりが見た風景は、すっかり変わっていた。葵や翔太、金沢公平(太賀)と無邪気に笑い合っていた高校時代。通学に使っていた駅。いつもみんなが一緒にいた“あの頃"は永遠に続くのだと思っていたが…。  　あかりが翔太との待ち合わせ場所に着くと、そこには葵の姿が…。あかりは、葵から今の思いを打ち明けられる。不器用だが正直で素直な気持ちを告白した葵は、もしあかりも同じ気持ちなら約束の場所で待っていると伝える。葵と翔太、あかりが選んだのは…。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</si>
  <si>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 xml:space="preserve">　新人建築設計コンクールで審査員賞を受賞した三浦葵(福士蒼汰)は、自分の作品説明をするうちに、芹沢あかり(本田翼)がどれだけ自分にとって大切な存在だったのか気付く。そして受賞式のさなかに飛び出し、蒼井翔太(野村周平)のもとへ向かったあかりを追いかける。しかし、あかりが乗った新幹線には間に合いそうもなく…。  　7年ぶりに富山に降り立ったあかりが見た風景は、すっかり変わっていた。葵や翔太、金沢公平(太賀)と無邪気に笑い合っていた高校時代。通学に使っていた駅。いつもみんなが一緒にいた“あの頃"は永遠に続くのだと思っていたが…。  　あかりが翔太との待ち合わせ場所に着くと、そこには葵の姿が…。あかりは、葵から今の思いを打ち明けられる。不器用だが正直で素直な気持ちを告白した葵は、もしあかりも同じ気持ちなら約束の場所で待っていると伝える。葵と翔太、あかりが選んだのは…。</t>
  </si>
  <si>
    <t>1507_CX_火22</t>
  </si>
  <si>
    <t>HEAT</t>
  </si>
  <si>
    <t>番組名HEAT　#01</t>
  </si>
  <si>
    <t>大手不動産会社にヘッドハンティングされた池上タツヤ(AKIRA)は、大型都市再開発プロジェクトの準備に奔走していた。ある日、消防隊員の注意を無視して勝手な行動をとったタツヤは、隊長の合田篤志(佐藤隆太)からいさめられてしまう。    そんな折、準備を進めていた再開発候補地をライバルの同僚・濱田直紀(田中圭)に横取りされてしまう。タツヤは立地は申し分ないが住民の反対が強く、誰もが敬遠してきた幸多市を新たな候補地に選ぶ。    偵察に向かったタツヤは「幸多市消防団・第十一分団」のリーダー・安住咲良(栗山千明)に出会い、素性を隠して入団することを決意。住民と密に関わる消防団員なら、地権者たちの個人情報が手に入ると目論んだのだ。    社長の日比野仁(稲垣吾郎)は、タツヤと濱田のどちらか今後2カ月間でより多くの成果を上げた方を最終候補地に決めると言い出した。対抗心に燃えるタツヤはさっそく「第十一分団」に入団。ところがそこにいたのは、本業が幼稚園教諭の咲良をはじめ6人だけ。第十一分団は、とある理由から住民たちの信頼を失っており、深刻な団員不足に悩む弱小集団だったのだ。    入団早々、うんざりするタツヤだったが、用地取得のため地元の大地主・相良絹江(銀粉蝶)の逃げた愛犬の捜索には張り切り、咲良を不審がらせる。そんな中、近所で火災が発生。駆けつけたタツヤが真っ先に放水しようとすると、それを遮る人物が…。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「あらすじや動画、注目のトピックスはこちらでチェック」　  http://www.ktv.jp/heat/    【公式Twitter】  「ここでしか見られない舞台裏や最新情報つぶやいています!」　  https://mobile.twitter.com/heat8official    【公式ハッシュタグ】  #HEAT</t>
  </si>
  <si>
    <t>大手不動産会社にヘッドハンティングされた池上タツヤ(AKIRA)は、大型都市再開発プロジェクトの準備に奔走していた。ある日、消防隊員の注意を無視して勝手な行動をとったタツヤは、隊長の合田篤志(佐藤隆太)からいさめられてしまう。    そんな折、準備を進めていた再開発候補地をライバルの同僚・濱田直紀(田中圭)に横取りされてしまう。タツヤは立地は申し分ないが住民の反対が強く、誰もが敬遠してきた幸多市を新たな候補地に選ぶ。    偵察に向かったタツヤは「幸多市消防団・第十一分団」のリーダー・安住咲良(栗山千明)に出会い、素性を隠して入団することを決意。住民と密に関わる消防団員なら、地権者たちの個人情報が手に入ると目論んだのだ。    社長の日比野仁(稲垣吾郎)は、タツヤと濱田のどちらか今後2カ月間でより多くの成果を上げた方を最終候補地に決めると言い出した。対抗心に燃えるタツヤはさっそく「第十一分団」に入団。ところがそこにいたのは、本業が幼稚園教諭の咲良をはじめ6人だけ。第十一分団は、とある理由から住民たちの信頼を失っており、深刻な団員不足に悩む弱小集団だったのだ。    入団早々、うんざりするタツヤだったが、用地取得のため地元の大地主・相良絹江(銀粉蝶)の逃げた愛犬の捜索には張り切り、咲良を不審がらせる。そんな中、近所で火災が発生。駆けつけたタツヤが真っ先に放水しようとすると、それを遮る人物が…。</t>
  </si>
  <si>
    <t>番組名HEAT　#02</t>
  </si>
  <si>
    <t>消防団を利用し、再開発計画の準備を進めてきたタツヤ(AKIRA)を慌てさせる話が。プロジェクトに欠かせない重要な土地を幸多市が買い取ったというのだ。公共事業の計画が進行しているとすれば、これまでの努力も水の泡に!?真相を探るため、市長の星野周一郎(国広富之)に接触を試みる。    そのころ「幸多市消防団第十一分団」では、咲良(栗山千明)らが開催の迫った防災教室のPRに悪戦苦闘。住民に防災を呼びかける毎年恒例のイベントだが、昨年は消火剤をぶちまけるなど大失敗の連続でひんしゅくを買い、参加者が集まるのかさえ危ういのだ。タツヤは防災教室で担当するAED(自動体外式除細動器)の体験コーナーを任されるが、張り切る団員たちをよそにやる気を見せず…。    そんな折、タツヤはエリ(菜々緒)の口利きで星野が出席するパーティーに潜入。星野が人気取りのため市民にアピールできるイベントに出席したがっていると知る。星野に近づくチャンスと踏んだタツヤは、防災教室に急に熱心になり、事前に人気ゆるキャラを招くPRイベントを計画。当日、ハプニングに見舞われるが、なんとか切り抜け、防災教室には参加希望者が殺到する。    いよいよイベントの日、大盛況の会場に星野を呼び寄せたタツヤは、公共事業の話を聞き出そうと躍起に。そんななか、突然場内に非常ベルの音が鳴り響き…。AKIRA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「これまでのあらすじや次回動画、注目のトピックスはこちらでチェック」　  http://www.ktv.jp/heat/    【公式Twitter】  「ここでしか見られない舞台裏や最新情報つぶやいています!」　  https://mobile.twitter.com/heat8official    【公式ハッシュタグ】  #HEAT</t>
  </si>
  <si>
    <t>消防団を利用し、再開発計画の準備を進めてきたタツヤ(AKIRA)を慌てさせる話が。プロジェクトに欠かせない重要な土地を幸多市が買い取ったというのだ。公共事業の計画が進行しているとすれば、これまでの努力も水の泡に!?真相を探るため、市長の星野周一郎(国広富之)に接触を試みる。    そのころ「幸多市消防団第十一分団」では、咲良(栗山千明)らが開催の迫った防災教室のPRに悪戦苦闘。住民に防災を呼びかける毎年恒例のイベントだが、昨年は消火剤をぶちまけるなど大失敗の連続でひんしゅくを買い、参加者が集まるのかさえ危ういのだ。タツヤは防災教室で担当するAED(自動体外式除細動器)の体験コーナーを任されるが、張り切る団員たちをよそにやる気を見せず…。    そんな折、タツヤはエリ(菜々緒)の口利きで星野が出席するパーティーに潜入。星野が人気取りのため市民にアピールできるイベントに出席したがっていると知る。星野に近づくチャンスと踏んだタツヤは、防災教室に急に熱心になり、事前に人気ゆるキャラを招くPRイベントを計画。当日、ハプニングに見舞われるが、なんとか切り抜け、防災教室には参加希望者が殺到する。    いよいよイベントの日、大盛況の会場に星野を呼び寄せたタツヤは、公共事業の話を聞き出そうと躍起に。そんななか、突然場内に非常ベルの音が鳴り響き…。</t>
  </si>
  <si>
    <t>番組名HEAT【病に苦しむ少年を救え!緊急通報119番に隠されたSOS】　#03</t>
  </si>
  <si>
    <t>再開発プロジェクトで濱田(田中圭)を出し抜きたいタツヤ(AKIRA)は、次なる用地取得のターゲットを幸多市内の大型総合病院「幸多病院」に定める。そんな折、近所で火災発生との通報が相次いでいた。    タツヤは、消防団の活動服のまま幸多病院に潜入。院内の事情にくわしい入院患者の少年・藤井カイト(藤本哉汰)の言葉をヒントに院長に接触し、再開発の交渉にこぎ着ける。    そんなある日、エリ(菜々緒)が気になる話を持ちかけてきた。幸多市長とつながりの深い国会議員の秘書が、金と引き替えに市の再開発計画で便宜を図るよう口を利いてやるというのだ。最初は、不正献金だと退けるタツヤだったが、病院長に再開発計画への同意を断られ、社長の日比野(稲垣吾郎)に痛烈な言葉を浴びせられて追い詰められ、この申し出を受けることに。    一方、第十一分団のメンバーは、消防士にあこがれているカイトの病状を知る。カイトは、リハビリをしても治る可能性はわずか。  リハビリにも身が入らず、「どんなに頑張っても、無理なものは無理」と絶望していた…。    そんなカイトを励まそうと、咲良(栗山千明)らは消防士の仕事を体験させるサプライズを計画。  その当日にエリの仲介で議員秘書と会う約束をしていたタツヤは参加を断ると、「アイツに夢だけ見せるのは残酷」と咲良を批難するが…。AKIRA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「これまでのあらすじや次回動画、注目のトピックスはこちらでチェック」　  http://www.ktv.jp/heat/    【公式Twitter】  「ここでしか見られない舞台裏や最新情報つぶやいています!」　  https://mobile.twitter.com/heat8official    【公式ハッシュタグ】  #HEAT</t>
  </si>
  <si>
    <t>再開発プロジェクトで濱田(田中圭)を出し抜きたいタツヤ(AKIRA)は、次なる用地取得のターゲットを幸多市内の大型総合病院「幸多病院」に定める。そんな折、近所で火災発生との通報が相次いでいた。    タツヤは、消防団の活動服のまま幸多病院に潜入。院内の事情にくわしい入院患者の少年・藤井カイト(藤本哉汰)の言葉をヒントに院長に接触し、再開発の交渉にこぎ着ける。    そんなある日、エリ(菜々緒)が気になる話を持ちかけてきた。幸多市長とつながりの深い国会議員の秘書が、金と引き替えに市の再開発計画で便宜を図るよう口を利いてやるというのだ。最初は、不正献金だと退けるタツヤだったが、病院長に再開発計画への同意を断られ、社長の日比野(稲垣吾郎)に痛烈な言葉を浴びせられて追い詰められ、この申し出を受けることに。    一方、第十一分団のメンバーは、消防士にあこがれているカイトの病状を知る。カイトは、リハビリをしても治る可能性はわずか。  リハビリにも身が入らず、「どんなに頑張っても、無理なものは無理」と絶望していた…。    そんなカイトを励まそうと、咲良(栗山千明)らは消防士の仕事を体験させるサプライズを計画。  その当日にエリの仲介で議員秘書と会う約束をしていたタツヤは参加を断ると、「アイツに夢だけ見せるのは残酷」と咲良を批難するが…。</t>
  </si>
  <si>
    <t>番組名HEAT【亡き夫を思う老女を救え!台風直撃の中で、決死の救出】　#04</t>
  </si>
  <si>
    <t>タツヤ(AKIRA)と濱田(田中圭)が競い合う再開発プロジェクトの最終候補地決定まで、期限は残り一週間。タツヤは日比野(稲垣吾郎)から、これまで勝つことだけにこだわってきたタツヤが「今は少し変わっているように思える」と指摘され、焦りを覚える。そしてエリ(菜々緒)もまた、そんなタツヤの変化に気づいていた。  そんな折、咲良(栗山千明)が入院することになり、第十一分団の分団長代理を任されたタツヤは、近所に住む老人・蓮見シズ(高林由紀子)に出会う。認知症のシズはタツヤを5年前に亡くした夫と思い込み、そばを離れようとしないばかりか、タツヤが経営コンサルタントと素性を偽って借りた事務所にまで押し掛けてきてしまう。  ひとり暮らしのシズを心配する恭子(堀内敬子)から、大規模な老人ホーム「健朗園」が改築を検討していると知ったタツヤは、さっそく理事長のもとへ。建設予定の大型商業施設にホームを移転させる話を持ちかける。難なく承諾を取りつけ、新たな土地が手に入ったと喜ぶタツヤ。だが同じ頃、濱田に接触したエリが重要な秘密を伝えていようとは知るよしもなく…。  翌日、幸多市に大型台風が接近。第十一分団は危険な場所の見回りや住民への警告などに追われ、分団長代理を渋々引き受けたタツヤもかり出されるが、期限の迫った再開発プロジェクトに夢中で団の仕事に身が入らない。  そんなとき、タツヤの事務所に不審な無言電話が入り…。AKIRA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「これまでのあらすじや次回動画、注目のトピックスはこちらでチェック」　  http://www.ktv.jp/heat/    【公式Twitter】  「ここでしか見られない舞台裏や最新情報つぶやいています!」　  https://mobile.twitter.com/heat8official    【公式ハッシュタグ】  #HEAT</t>
  </si>
  <si>
    <t>タツヤ(AKIRA)と濱田(田中圭)が競い合う再開発プロジェクトの最終候補地決定まで、期限は残り一週間。タツヤは日比野(稲垣吾郎)から、これまで勝つことだけにこだわってきたタツヤが「今は少し変わっているように思える」と指摘され、焦りを覚える。そしてエリ(菜々緒)もまた、そんなタツヤの変化に気づいていた。  そんな折、咲良(栗山千明)が入院することになり、第十一分団の分団長代理を任されたタツヤは、近所に住む老人・蓮見シズ(高林由紀子)に出会う。認知症のシズはタツヤを5年前に亡くした夫と思い込み、そばを離れようとしないばかりか、タツヤが経営コンサルタントと素性を偽って借りた事務所にまで押し掛けてきてしまう。  ひとり暮らしのシズを心配する恭子(堀内敬子)から、大規模な老人ホーム「健朗園」が改築を検討していると知ったタツヤは、さっそく理事長のもとへ。建設予定の大型商業施設にホームを移転させる話を持ちかける。難なく承諾を取りつけ、新たな土地が手に入ったと喜ぶタツヤ。だが同じ頃、濱田に接触したエリが重要な秘密を伝えていようとは知るよしもなく…。  翌日、幸多市に大型台風が接近。第十一分団は危険な場所の見回りや住民への警告などに追われ、分団長代理を渋々引き受けたタツヤもかり出されるが、期限の迫った再開発プロジェクトに夢中で団の仕事に身が入らない。  そんなとき、タツヤの事務所に不審な無言電話が入り…。</t>
  </si>
  <si>
    <t>番組名HEAT【候補地バトルついに決着!夏祭りで事件!別れの決断に流す涙】　#05</t>
  </si>
  <si>
    <t>ついに日比野(稲垣吾郎)が再開発プロジェクトの最終候補地を決定。タツヤ(AKIRA)と濱田(田中圭)の争いに決着がつく。負けた一方は、勝者のチームのサポートに加わり、決定した候補地との折衝をともに進めることに。その指示の裏には、なにか思惑があるようで…。    プロジェクトが本格始動し、仕事に追われるタツヤ。エリ(菜々緒)から、「もう消防団の活動を続ける必要はない」と言われ、日比野からも「消防団をまだ続けるつもりなのか」と問われて退団の潮時だと悟るが、辞めることを迷っている自分に気づいて戸惑う。    そのころ、第十一分団のメンバーは夏祭りの準備に大ハリキリ。出店する露天商たちへの指導や当日の見回りなどを任されている夏祭りは、消防団の活動の中でも一、二を争うほど忙しくなる一大イベント。タツヤも加わり、頼もしいと喜ぶ咲良(栗山千明)に、タツヤは退団を切り出すことができない。    そんなある日エリが咲良を訪ねてきた。エリは消防団の活動がタツヤの本業に支障をきたし、負担を強いていると告げ、「彼を解放してもらえませんか?」と辞めさせるよう咲良に詰め寄る。この言葉にショックを受けた咲良は、タツヤに退団を勧め、タツヤも夏祭りを最後に辞めることを決意。複雑な思いを抱えたまま、当日を迎える。  互いの思いが交錯する夏祭りがいよいよ始まる中、タツヤたちが想像していなかったトラブルが起きてしまうー。AKIRA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「これまでのあらすじや次回動画、注目のトピックスはこちらでチェック」　  http://www.ktv.jp/heat/    【公式Twitter】  「ここでしか見られない舞台裏や最新情報つぶやいています!」　  https://mobile.twitter.com/heat8official    【公式ハッシュタグ】  #HEAT</t>
  </si>
  <si>
    <t>ついに日比野(稲垣吾郎)が再開発プロジェクトの最終候補地を決定。タツヤ(AKIRA)と濱田(田中圭)の争いに決着がつく。負けた一方は、勝者のチームのサポートに加わり、決定した候補地との折衝をともに進めることに。その指示の裏には、なにか思惑があるようで…。    プロジェクトが本格始動し、仕事に追われるタツヤ。エリ(菜々緒)から、「もう消防団の活動を続ける必要はない」と言われ、日比野からも「消防団をまだ続けるつもりなのか」と問われて退団の潮時だと悟るが、辞めることを迷っている自分に気づいて戸惑う。    そのころ、第十一分団のメンバーは夏祭りの準備に大ハリキリ。出店する露天商たちへの指導や当日の見回りなどを任されている夏祭りは、消防団の活動の中でも一、二を争うほど忙しくなる一大イベント。タツヤも加わり、頼もしいと喜ぶ咲良(栗山千明)に、タツヤは退団を切り出すことができない。    そんなある日エリが咲良を訪ねてきた。エリは消防団の活動がタツヤの本業に支障をきたし、負担を強いていると告げ、「彼を解放してもらえませんか?」と辞めさせるよう咲良に詰め寄る。この言葉にショックを受けた咲良は、タツヤに退団を勧め、タツヤも夏祭りを最後に辞めることを決意。複雑な思いを抱えたまま、当日を迎える。  互いの思いが交錯する夏祭りがいよいよ始まる中、タツヤたちが想像していなかったトラブルが起きてしまうー。</t>
  </si>
  <si>
    <t>番組名HEAT【リストラ危機!消防団が分裂!仲間の絆つなぐ真実】　#06</t>
  </si>
  <si>
    <t>消防団の活動を続けながら再開発プロジェクトの仕事を進める決意をしたタツヤ(AKIRA)。再開発に賛成する地権者を着々と増やす中、かたくなに反対を貫く地権者・菅井武雄(斉木しげる)に頭を悩ませていた。  一方、就活中の大学生団員・松山(吉沢亮)は、面接で消防団の活動をアピールするが不採用ばかり。イライラを募らせる松山は、第十一分団のメンバーに八つ当たりし、会社で成績不振にあえぐ鳴海(正名僕蔵)に「鳴海さんみたいになりたくない」と言い放つ。  翌日、第十一分団と幸多消防署の合同訓練が行われたが、松山のやる気のない態度に等々力(鈴木伸之)が憤慨。「就活に有利って聞いたから入ったのに。全然役に立たない」と消防団をバカにする松山につかみかかり、2人は大ゲンカに。その揚げ句、「就活に集中したい」と団の活動を休むと言い出した松山を、咲良(栗山千明)は複雑な思いで送り出す。  同じ頃、菅井に手を焼いていたタツヤはエリ(菜々緒)に相談しようとするが、エリは電話に出ようとしない。そして、タツヤと力を合わせてプロジェクトを進めるはずの濱田(田中圭)にもあやしい動きが…。    そんな折、鳴海が取引先との商談をすっぽかし、リストラの危機に追い込まれてしまった。幸多市にある会社をクビになれば、消防団も続けられなくなる鳴海を案じる第十一分団の面々。そんな咲良らに追い打ちをかけるように、松山も団を辞めると言い出して…。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「これまでのあらすじや次回動画、注目のトピックスはこちらでチェック」　  http://www.ktv.jp/heat/    【公式Twitter】  「ここでしか見られない舞台裏や最新情報つぶやいています!」　  https://mobile.twitter.com/heat8official    【公式ハッシュタグ】  #HEAT</t>
  </si>
  <si>
    <t>消防団の活動を続けながら再開発プロジェクトの仕事を進める決意をしたタツヤ(AKIRA)。再開発に賛成する地権者を着々と増やす中、かたくなに反対を貫く地権者・菅井武雄(斉木しげる)に頭を悩ませていた。  一方、就活中の大学生団員・松山(吉沢亮)は、面接で消防団の活動をアピールするが不採用ばかり。イライラを募らせる松山は、第十一分団のメンバーに八つ当たりし、会社で成績不振にあえぐ鳴海(正名僕蔵)に「鳴海さんみたいになりたくない」と言い放つ。  翌日、第十一分団と幸多消防署の合同訓練が行われたが、松山のやる気のない態度に等々力(鈴木伸之)が憤慨。「就活に有利って聞いたから入ったのに。全然役に立たない」と消防団をバカにする松山につかみかかり、2人は大ゲンカに。その揚げ句、「就活に集中したい」と団の活動を休むと言い出した松山を、咲良(栗山千明)は複雑な思いで送り出す。  同じ頃、菅井に手を焼いていたタツヤはエリ(菜々緒)に相談しようとするが、エリは電話に出ようとしない。そして、タツヤと力を合わせてプロジェクトを進めるはずの濱田(田中圭)にもあやしい動きが…。    そんな折、鳴海が取引先との商談をすっぽかし、リストラの危機に追い込まれてしまった。幸多市にある会社をクビになれば、消防団も続けられなくなる鳴海を案じる第十一分団の面々。そんな咲良らに追い打ちをかけるように、松山も団を辞めると言い出して…。</t>
  </si>
  <si>
    <t>番組名HEAT【恐るべき社長の本性!最大の裏切りに消防団が崩壊】　#07</t>
  </si>
  <si>
    <t>住民の笑顔を守る町を作りたいーーそんな思いからタツヤ(AKIRA)が練り直した再開発プロジェクトの新しいプランを破り捨てた日比野(稲垣吾郎)は、別のプランでプロジェクトを進めるようタツヤに命じる。日比野は密かに濱田(田中圭)を動かし、会社の利益を最優先するプランを準備させていたのだ。この計画に異論があるならプロジェクトの全権を濱田に任せると非情に言い放つ日比野に、返す言葉もないタツヤは激しく葛藤するが…。    一方、幸多市では住宅街や商店街に空き家が増え始め、スプレーで落書きされるトラブルが頻発。治安の悪化を案じる第十一分団のメンバーは、落書きを消す作業や町の見回りなどの対策に追われていた。咲良(栗山千明)はタツヤにも手助けを頼もうとするが、タツヤは呼び出しにまったく応じず、詰所にも顔を出そうとしない。そんなある日、住民説明会の開催を告知するポスターが町中に貼られ、ついに大規模な再開発計画が明るみになる。    そんななか、咲良らは再開発を推進するクローバー都市開発の気になるうわさを知る。もともと住んでいた人々を町から追い出し、住民を丸ごと富裕層に入れ替える強引な手法で莫大な利益を上げている危険な会社だというのだ。不安を募らせた団員たちは、真相を確かめようと住民説明会に参加。ところが、クローバー都市開発の担当者として壇上に現れたのは、他ならぬタツヤだった…。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「これまでのあらすじや次回動画、注目のトピックスはこちらでチェック」　  http://www.ktv.jp/heat/    【公式Twitter】  「ここでしか見られない舞台裏や最新情報つぶやいています!」　  https://mobile.twitter.com/heat8official    【公式ハッシュタグ】  #HEAT</t>
  </si>
  <si>
    <t>住民の笑顔を守る町を作りたいーーそんな思いからタツヤ(AKIRA)が練り直した再開発プロジェクトの新しいプランを破り捨てた日比野(稲垣吾郎)は、別のプランでプロジェクトを進めるようタツヤに命じる。日比野は密かに濱田(田中圭)を動かし、会社の利益を最優先するプランを準備させていたのだ。この計画に異論があるならプロジェクトの全権を濱田に任せると非情に言い放つ日比野に、返す言葉もないタツヤは激しく葛藤するが…。    一方、幸多市では住宅街や商店街に空き家が増え始め、スプレーで落書きされるトラブルが頻発。治安の悪化を案じる第十一分団のメンバーは、落書きを消す作業や町の見回りなどの対策に追われていた。咲良(栗山千明)はタツヤにも手助けを頼もうとするが、タツヤは呼び出しにまったく応じず、詰所にも顔を出そうとしない。そんなある日、住民説明会の開催を告知するポスターが町中に貼られ、ついに大規模な再開発計画が明るみになる。    そんななか、咲良らは再開発を推進するクローバー都市開発の気になるうわさを知る。もともと住んでいた人々を町から追い出し、住民を丸ごと富裕層に入れ替える強引な手法で莫大な利益を上げている危険な会社だというのだ。不安を募らせた団員たちは、真相を確かめようと住民説明会に参加。ところが、クローバー都市開発の担当者として壇上に現れたのは、他ならぬタツヤだった…。</t>
  </si>
  <si>
    <t>番組名HEAT【最大の敵社長との全面対決!再開発止める秘策とは】　#08</t>
  </si>
  <si>
    <t>火事を起こそうとしていた少年に刺され重傷を負ったタツヤ(AKIRA)は、榊(井出卓也)に発見され、一命を取り留めた。咲良(栗山千明)は病院に駆けつけるが、「タツヤはもう消防団とは関係ない」とエリ(菜々緒)に追い返されてしまう。  同じ頃、事件は思わぬ騒動に。タツヤを襲ったのは再開発反対派の住民だとのうわさが流れたことから、賛成派が暴力に屈さず計画を推し進めるべきだと声を挙げ、具体案を決定する準備組合総会が一週間後に行われることになったのだ。そんななか、等々力(鈴木伸之)が真犯人を突き止め、タツヤが火災の発生を防ごうと少年を注意していたことを知る。    一方、咲良は榊から、タツヤが住民に寄り添った「災害に強い町」を目指すプランを提案するも日比野(稲垣吾郎)に握りつぶされ、葛藤していたことを打ち明けられる。消防団員として必死に町を守ろうとしていたタツヤの思いを知った第十一分団の面々は病院へ。悩み、苦しんでいたタツヤは、仲間たちのやさしさにふれ、和解し、笑顔が戻る。    「もう一度俺にチャンスをくれませんか」と咲良らに告げたタツヤは、日比野のもとへ。住民の意向を無視した強引な再開発に異論を唱えると、準備組合総会に自らも出席し、計画に反対すると宣言する。総会までのわずか一週間で、日比野の計画を覆す無謀な戦いに身を投じたタツヤ。再開発をめぐるある疑惑を胸に、日比野が起用した建設会社に接触を図り…。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「これまでのあらすじや次回動画、注目のトピックスはこちらでチェック」　  http://www.ktv.jp/heat/    【公式Twitter】  「ここでしか見られない舞台裏や最新情報つぶやいています!」　  https://mobile.twitter.com/heat8official    【公式ハッシュタグ】  #HEAT</t>
  </si>
  <si>
    <t>火事を起こそうとしていた少年に刺され重傷を負ったタツヤ(AKIRA)は、榊(井出卓也)に発見され、一命を取り留めた。咲良(栗山千明)は病院に駆けつけるが、「タツヤはもう消防団とは関係ない」とエリ(菜々緒)に追い返されてしまう。  同じ頃、事件は思わぬ騒動に。タツヤを襲ったのは再開発反対派の住民だとのうわさが流れたことから、賛成派が暴力に屈さず計画を推し進めるべきだと声を挙げ、具体案を決定する準備組合総会が一週間後に行われることになったのだ。そんななか、等々力(鈴木伸之)が真犯人を突き止め、タツヤが火災の発生を防ごうと少年を注意していたことを知る。    一方、咲良は榊から、タツヤが住民に寄り添った「災害に強い町」を目指すプランを提案するも日比野(稲垣吾郎)に握りつぶされ、葛藤していたことを打ち明けられる。消防団員として必死に町を守ろうとしていたタツヤの思いを知った第十一分団の面々は病院へ。悩み、苦しんでいたタツヤは、仲間たちのやさしさにふれ、和解し、笑顔が戻る。    「もう一度俺にチャンスをくれませんか」と咲良らに告げたタツヤは、日比野のもとへ。住民の意向を無視した強引な再開発に異論を唱えると、準備組合総会に自らも出席し、計画に反対すると宣言する。総会までのわずか一週間で、日比野の計画を覆す無謀な戦いに身を投じたタツヤ。再開発をめぐるある疑惑を胸に、日比野が起用した建設会社に接触を図り…。</t>
  </si>
  <si>
    <t>番組名HEAT【大火災の中、決死の救出!最後の無線と涙の敬礼】　#09</t>
  </si>
  <si>
    <t>「ワールドカップバレーボール2015女子　日本×セルビア」延長の際、放送時間繰り下げの場合あり。再開発準備組合の総会でタツヤ(AKIRA)が告発した星乃市長(国広富之)の収賄容疑に組合員たちが騒然となる中、会場となった建物の別棟で火災が発生。改装工事中の作業場から上がった炎は勢いを増し、立ち上る煙は会場をも覆い尽くそうとしていた。  タツヤと咲良(栗山千明)は避難を誘導するが、パニックに陥った組合員たちは出口扉に殺到。日比野(稲垣吾郎)は混乱を避けるようにひとり別の扉から会場を出るが、煙に巻かれ動けなくなってしまう…。  まもなく、通報を受けた第十一分団のメンバーと合田(佐藤隆太)ら消防隊も現場に到着。そのころ、タツヤは出火元の建物に向かい、逃げ遅れた作業員を救い出そうとしていた。だが、完治していなかった腹の傷が開き、痛みと充満する煙の息苦しさで立ち往生してしまう。  そのとき、煙の向こうから合田が救助に現れた。合田に励まされながら出口へと急ぐタツヤ。だが次の瞬間、現場で爆発が起こり、吹き飛ばされた合田が資材の下敷きに。タツヤは助け出そうとするが、「早く行け!」と一刻も早い作業員の救助を命じる合田にうながされ、現場を後にする。  「必ず助けに来るからな!」と合田に誓ったタツヤは建物の中に戻ろうとするが、団員たちに押しとどめられる。現場はまたいつ爆発が起こってもおかしくない危険な状況にあったのだ。「まだ中に合田がいるんだ!」と必死に救出を訴えるタツヤ。そのとき、無線機から合田の声が…。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「これまでのあらすじや、注目のトピックスはこちらでチェック」　  http://www.ktv.jp/heat/    【公式Twitter】  「ここでしか見られない舞台裏や最新情報つぶやいています!」　  https://mobile.twitter.com/heat8official    【公式ハッシュタグ】  #HEAT</t>
  </si>
  <si>
    <t>「ワールドカップバレーボール2015女子　日本×セルビア」延長の際、放送時間繰り下げの場合あり。再開発準備組合の総会でタツヤ(AKIRA)が告発した星乃市長(国広富之)の収賄容疑に組合員たちが騒然となる中、会場となった建物の別棟で火災が発生。改装工事中の作業場から上がった炎は勢いを増し、立ち上る煙は会場をも覆い尽くそうとしていた。  タツヤと咲良(栗山千明)は避難を誘導するが、パニックに陥った組合員たちは出口扉に殺到。日比野(稲垣吾郎)は混乱を避けるようにひとり別の扉から会場を出るが、煙に巻かれ動けなくなってしまう…。  まもなく、通報を受けた第十一分団のメンバーと合田(佐藤隆太)ら消防隊も現場に到着。そのころ、タツヤは出火元の建物に向かい、逃げ遅れた作業員を救い出そうとしていた。だが、完治していなかった腹の傷が開き、痛みと充満する煙の息苦しさで立ち往生してしまう。  そのとき、煙の向こうから合田が救助に現れた。合田に励まされながら出口へと急ぐタツヤ。だが次の瞬間、現場で爆発が起こり、吹き飛ばされた合田が資材の下敷きに。タツヤは助け出そうとするが、「早く行け!」と一刻も早い作業員の救助を命じる合田にうながされ、現場を後にする。  「必ず助けに来るからな!」と合田に誓ったタツヤは建物の中に戻ろうとするが、団員たちに押しとどめられる。現場はまたいつ爆発が起こってもおかしくない危険な状況にあったのだ。「まだ中に合田がいるんだ!」と必死に救出を訴えるタツヤ。そのとき、無線機から合田の声が…。</t>
  </si>
  <si>
    <t>1507_CX_水22</t>
  </si>
  <si>
    <t>リスクの神様</t>
  </si>
  <si>
    <t>番組名リスクの神様　#01</t>
  </si>
  <si>
    <t>西行寺智(堤真一)は、これまで数々のトラブルを解決してきた伝説的な危機管理専門家。日本最大の商社・サンライズ物産社長の坂手光輝(吉田鋼太郎)にその手腕を見込まれた西行寺は、同社の危機対策室長に迎え入れられ、久しぶりに帰国する。  　その頃、サンライズ物産では、電機メーカー・生島電機とともに新素材を使った次世代型バッテリー「LIFE」を共同開発し、注目を集めていた。その開発責任者は、東大卒の帰国子女で電機部主任の神狩かおり(戸田恵梨香)だ。サンライズ物産と生島電機は、新会社ライフパワー社を設立し、社長には生島電機専務の生島徹(風間トオル)が就任、かおりも商品開発担当役員に抜てきされる。  　ある夜、かおりは、サンライズ物産専務・白川誠一郎(小日向文世)の呼びかけで始まった若手社員の勉強会に出席する。そこには、広報部主任の橘由香(山口紗弥加)、薬品部主任でかおりの恋人の原田清志(満島真之介)らも顔をそろえた。その席で白川は、社長の坂手が危機対策室を立ち上げ、業界内で“the　God　of　risk"とウワサされる西行寺を引き抜いてきたことを明かす。  　そんな折、ある家庭で、「LIFE」バッテリーを内蔵した自走式掃除機が発火し、子どもがやけどを負ったという苦情が入った。生島は、メーカーには悪質なクレーマーがつきものだからこちらで対処しておく、とかおりに伝えるが。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石川淳一　  城宝秀則　    【音楽】  林ゆうき　    【制作】  フジテレビ　  共同テレビ　    【制作著作】  共同テレビ</t>
  </si>
  <si>
    <t>西行寺智(堤真一)は、これまで数々のトラブルを解決してきた伝説的な危機管理専門家。日本最大の商社・サンライズ物産社長の坂手光輝(吉田鋼太郎)にその手腕を見込まれた西行寺は、同社の危機対策室長に迎え入れられ、久しぶりに帰国する。  　その頃、サンライズ物産では、電機メーカー・生島電機とともに新素材を使った次世代型バッテリー「LIFE」を共同開発し、注目を集めていた。その開発責任者は、東大卒の帰国子女で電機部主任の神狩かおり(戸田恵梨香)だ。サンライズ物産と生島電機は、新会社ライフパワー社を設立し、社長には生島電機専務の生島徹(風間トオル)が就任、かおりも商品開発担当役員に抜てきされる。  　ある夜、かおりは、サンライズ物産専務・白川誠一郎(小日向文世)の呼びかけで始まった若手社員の勉強会に出席する。そこには、広報部主任の橘由香(山口紗弥加)、薬品部主任でかおりの恋人の原田清志(満島真之介)らも顔をそろえた。その席で白川は、社長の坂手が危機対策室を立ち上げ、業界内で“the　God　of　risk"とウワサされる西行寺を引き抜いてきたことを明かす。  　そんな折、ある家庭で、「LIFE」バッテリーを内蔵した自走式掃除機が発火し、子どもがやけどを負ったという苦情が入った。生島は、メーカーには悪質なクレーマーがつきものだからこちらで対処しておく、とかおりに伝えるが。</t>
  </si>
  <si>
    <t>番組名リスクの神様【異物混入事件!会社倒産の危機を救え】　#02</t>
  </si>
  <si>
    <t>サンライズ物産危機対策室室長の西行寺智(堤真一)は、次世代型バッテリー『LIFE』のリコール問題の責任を負って同部署への異動を命じられた神狩かおり(戸田恵梨香)らとともに、傘下の食品会社・豊川フーズで発生した異物混入事件に対処する。  　事件は、豊川フーズの主力商品・カップマカロニに小さなネジが混入していたというものだった。気づかずにその商品を食べ、口の中を切る被害者もいた。しかし、同社社長の天野昭雄(飯田基祐)は、相次ぐ異物混入事件に便乗した愉快犯の仕業だとして返金などに応じようとはしなかった。するとネット上には豊川フーズを非難する書き込みが溢れ、不買運動の呼びかけが始まる。  　対応に苦慮した豊川フーズは、総務部長の麻生次郎(岡本信人)が謝罪会見を行った。が、会見に社長が不在だったこと、質問に対して狼狽する麻生の姿が報じられたことで、株価下落や小売店からの取り引き中止という事態にまで発展してしまう。  　天野のもとを訪れた西行寺たちは豊川フーズ側の初期対応のミスを指摘し、信頼回復のためには思い切った対応が必要だと訴えた。それでも天野は自分たちは被害者だと主張し、謝罪広告や商品回収に反対する。  　危機対策室に戻った西行寺は、かおりや結城実(森田剛)らにネット投稿された製品の番号解析や、豊川フーズの社内事情の調査を指示し、こう続けた。「時間との戦いだ。3度目の失敗は許されない」と。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石川淳一　  城宝秀則　    【音楽】  林ゆうき　    【制作】  フジテレビ　  共同テレビ　    【制作著作】  共同テレビ</t>
  </si>
  <si>
    <t>サンライズ物産危機対策室室長の西行寺智(堤真一)は、次世代型バッテリー『LIFE』のリコール問題の責任を負って同部署への異動を命じられた神狩かおり(戸田恵梨香)らとともに、傘下の食品会社・豊川フーズで発生した異物混入事件に対処する。  　事件は、豊川フーズの主力商品・カップマカロニに小さなネジが混入していたというものだった。気づかずにその商品を食べ、口の中を切る被害者もいた。しかし、同社社長の天野昭雄(飯田基祐)は、相次ぐ異物混入事件に便乗した愉快犯の仕業だとして返金などに応じようとはしなかった。するとネット上には豊川フーズを非難する書き込みが溢れ、不買運動の呼びかけが始まる。  　対応に苦慮した豊川フーズは、総務部長の麻生次郎(岡本信人)が謝罪会見を行った。が、会見に社長が不在だったこと、質問に対して狼狽する麻生の姿が報じられたことで、株価下落や小売店からの取り引き中止という事態にまで発展してしまう。  　天野のもとを訪れた西行寺たちは豊川フーズ側の初期対応のミスを指摘し、信頼回復のためには思い切った対応が必要だと訴えた。それでも天野は自分たちは被害者だと主張し、謝罪広告や商品回収に反対する。  　危機対策室に戻った西行寺は、かおりや結城実(森田剛)らにネット投稿された製品の番号解析や、豊川フーズの社内事情の調査を指示し、こう続けた。「時間との戦いだ。3度目の失敗は許されない」と。</t>
  </si>
  <si>
    <t>番組名リスクの神様【トップアイドル&amp;次期首相に起きた2つのスキャンダル】　#03</t>
  </si>
  <si>
    <t>サンライズ物産が所有するクルーザーが座礁事故を起こした。西行寺智(堤真一)は、神狩かおり(戸田恵梨香)、結城実(森田剛)とともに現場に向かい、極秘裏に事故処理をする。クルーザーに乗っていたのは、次期総裁候補の民自党代議士・薮谷虎之助(名高達男)と若い女性(エミ　レナータ)だった。薮谷らが収容された病院に現れたサンライズ物産社長・坂手光輝(吉田鋼太郎)は、薮谷と女性の密会そのものをなかったことにするよう、西行寺に指示した。  　同じころ、広報部の橘由香(山口紗弥加)は、公私ともに親しいトップアイドルの北条ちなみ(新川優愛)から、友人が血を吐いて倒れているとの連絡を受ける。由香が向かったのは、ちなみの知り合いだという映画スタッフ・高原(若林誠)のマンションだった。無名だったちなみをCMに抜擢して以来、姉妹のように親しく付き合っていた由香は、ちなみの痕跡を消して彼女を帰すと、高原を病院に連れていく。幸い高原は命に別状はなかった。  　翌日ちなみの前にライターを名乗る男・大友(岡部たかし)が現れ、高原の件を切り出す。知らせを受けた由香は大友に会った。すると大友は、高原には危険ドラッグの常習者という噂もあると言い出し2000万円を要求する。  　西行寺たちは、薮谷と密会していた女性の素性を追っていた。が、薮谷は、女性と一緒だったことすら認めない。そんな中、問題の女性が病室から姿を消し…。西行寺智: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石川淳一　  城宝秀則　    【音楽】  林ゆうき　    【制作】  フジテレビ　  共同テレビ　    【制作著作】  共同テレビ</t>
  </si>
  <si>
    <t>サンライズ物産が所有するクルーザーが座礁事故を起こした。西行寺智(堤真一)は、神狩かおり(戸田恵梨香)、結城実(森田剛)とともに現場に向かい、極秘裏に事故処理をする。クルーザーに乗っていたのは、次期総裁候補の民自党代議士・薮谷虎之助(名高達男)と若い女性(エミ　レナータ)だった。薮谷らが収容された病院に現れたサンライズ物産社長・坂手光輝(吉田鋼太郎)は、薮谷と女性の密会そのものをなかったことにするよう、西行寺に指示した。  　同じころ、広報部の橘由香(山口紗弥加)は、公私ともに親しいトップアイドルの北条ちなみ(新川優愛)から、友人が血を吐いて倒れているとの連絡を受ける。由香が向かったのは、ちなみの知り合いだという映画スタッフ・高原(若林誠)のマンションだった。無名だったちなみをCMに抜擢して以来、姉妹のように親しく付き合っていた由香は、ちなみの痕跡を消して彼女を帰すと、高原を病院に連れていく。幸い高原は命に別状はなかった。  　翌日ちなみの前にライターを名乗る男・大友(岡部たかし)が現れ、高原の件を切り出す。知らせを受けた由香は大友に会った。すると大友は、高原には危険ドラッグの常習者という噂もあると言い出し2000万円を要求する。  　西行寺たちは、薮谷と密会していた女性の素性を追っていた。が、薮谷は、女性と一緒だったことすら認めない。そんな中、問題の女性が病室から姿を消し…。</t>
  </si>
  <si>
    <t>番組名リスクの神様【美しき海を救え!爆発事故と海洋汚染…隠された罪とは?】　#04</t>
  </si>
  <si>
    <t>サンライズ物産のグループ企業である波丘樹脂の工業薬品倉庫で火災が発生した。西行寺(堤真一)は、サンライズ物産社長・坂手(吉田鋼太郎)の指示で、かおり(戸田恵梨香)、結城(森田剛)とともに現地に向かった。西行寺らを出迎えた波丘樹脂社長の塚原(浅野和之)は、特殊な薬品を扱っているため専門知識が必要であることを理由に、対応は自分たちに任せてほしいと告げる。マスコミ対応も、塚原自身が行うという。実は塚原は、過去に会社の危機を何度も救い、危機対策のプロという異名を持つ人物だった。  　消防署による現場検証の結果、出火の原因は出入り業者によるタバコの火の不始末であることが判明した。倉庫近くの河川へ薬品が流出した可能性もあるため、塚原は、倉庫内の薬品に関するデータはすべて公表し、川の水が流れ込む湾内の漁業停止および遊泳禁止を依頼するとともに、水質検査の実施も行うと発表する。  　そんななか、西行寺らは遊泳禁止のはずの波丘湾で泳いでいた子どものひとりが浜辺で倒れているのを発見し、病院に運ぶ。倒れていたのは波丘樹脂工場で働く有田俊介(坂田聡)と水産加工場で働く水江(西尾まり)夫妻の息子・剛(藤本哉汰)。海岸には、子どもたちが貝や魚をたき火で焼いて食べたあとも残っていた。医師による診察の結果、剛は軽い食中毒とのことだった。西行寺は、念のため市の保健所に剛たちが食べた貝の検査を依頼するが…。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石川淳一　  城宝秀則　    【音楽】  林ゆうき　    【制作】  フジテレビ　  共同テレビ　    【制作著作】  共同テレビ</t>
  </si>
  <si>
    <t>サンライズ物産のグループ企業である波丘樹脂の工業薬品倉庫で火災が発生した。西行寺(堤真一)は、サンライズ物産社長・坂手(吉田鋼太郎)の指示で、かおり(戸田恵梨香)、結城(森田剛)とともに現地に向かった。西行寺らを出迎えた波丘樹脂社長の塚原(浅野和之)は、特殊な薬品を扱っているため専門知識が必要であることを理由に、対応は自分たちに任せてほしいと告げる。マスコミ対応も、塚原自身が行うという。実は塚原は、過去に会社の危機を何度も救い、危機対策のプロという異名を持つ人物だった。  　消防署による現場検証の結果、出火の原因は出入り業者によるタバコの火の不始末であることが判明した。倉庫近くの河川へ薬品が流出した可能性もあるため、塚原は、倉庫内の薬品に関するデータはすべて公表し、川の水が流れ込む湾内の漁業停止および遊泳禁止を依頼するとともに、水質検査の実施も行うと発表する。  　そんななか、西行寺らは遊泳禁止のはずの波丘湾で泳いでいた子どものひとりが浜辺で倒れているのを発見し、病院に運ぶ。倒れていたのは波丘樹脂工場で働く有田俊介(坂田聡)と水産加工場で働く水江(西尾まり)夫妻の息子・剛(藤本哉汰)。海岸には、子どもたちが貝や魚をたき火で焼いて食べたあとも残っていた。医師による診察の結果、剛は軽い食中毒とのことだった。西行寺は、念のため市の保健所に剛たちが食べた貝の検査を依頼するが…。</t>
  </si>
  <si>
    <t>番組名リスクの神様【誘拐事件を解決せよ、命を懸けた究極の選択】　#05</t>
  </si>
  <si>
    <t>西行寺(堤真一)は、父・関口孝雄(田中泯)の主治医に会った。脳梗塞を患って以来、脳血管性認知症が急速に進行していた関口が西行寺の言葉に反応したことを知った医師は、今後も辛抱強く話しかけることで何か思い出すかもしれない、と告げる。  　一方、かおり(戸田恵梨香)は、天然ゴムの産地であるマーレーンに置かれたサンライズ物産の駐在所から、所長の袴田明(桜井聖)と昨日から連絡が取れないという知らせを受ける。あくる日、サンライズ物産社長・坂手(吉田鋼太郎)宛ての国際郵便が届いた。その中身は、ひび割れたメガネと袴田の写真。写真の裏にはわざわざ日本時間で記された撮影日時があり、制限時間は72時間と書かれていた。日本で暮らす袴田の妻・美沙(田中美里)に連絡を取り、メガネが袴田のものだと確認した西行寺は、彼が誘拐された可能性が高いこと、また誘拐犯が共産ゲリラだった場合、現地警察も信用できないことから、危機対策室を中心に非常時態勢で臨むよう指示。ブラジルに向かう機内にいる社長の坂手、京都に向かっていた専務の白川(小日向文世)に連絡を取るよう命じ、種子島(古田新太)を現地に向かわせる。  　そんな中、誘拐犯からのメールが届く。犯人の要求は、身代金とマーレーン駐在所の撤退だった。西行寺は、出来る限り要求に応える意思があることを伝え、袴田の無事を確認できる映像を送るよう交渉しろ、とかおりに指示するが。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石川淳一　  城宝秀則　    【音楽】  林ゆうき　    【制作】  フジテレビ　  共同テレビ　    【制作著作】  共同テレビ</t>
  </si>
  <si>
    <t>西行寺(堤真一)は、父・関口孝雄(田中泯)の主治医に会った。脳梗塞を患って以来、脳血管性認知症が急速に進行していた関口が西行寺の言葉に反応したことを知った医師は、今後も辛抱強く話しかけることで何か思い出すかもしれない、と告げる。  　一方、かおり(戸田恵梨香)は、天然ゴムの産地であるマーレーンに置かれたサンライズ物産の駐在所から、所長の袴田明(桜井聖)と昨日から連絡が取れないという知らせを受ける。あくる日、サンライズ物産社長・坂手(吉田鋼太郎)宛ての国際郵便が届いた。その中身は、ひび割れたメガネと袴田の写真。写真の裏にはわざわざ日本時間で記された撮影日時があり、制限時間は72時間と書かれていた。日本で暮らす袴田の妻・美沙(田中美里)に連絡を取り、メガネが袴田のものだと確認した西行寺は、彼が誘拐された可能性が高いこと、また誘拐犯が共産ゲリラだった場合、現地警察も信用できないことから、危機対策室を中心に非常時態勢で臨むよう指示。ブラジルに向かう機内にいる社長の坂手、京都に向かっていた専務の白川(小日向文世)に連絡を取るよう命じ、種子島(古田新太)を現地に向かわせる。  　そんな中、誘拐犯からのメールが届く。犯人の要求は、身代金とマーレーン駐在所の撤退だった。西行寺は、出来る限り要求に応える意思があることを伝え、袴田の無事を確認できる映像を送るよう交渉しろ、とかおりに指示するが。</t>
  </si>
  <si>
    <t>番組名リスクの神様【会社の機密が盗まれた!産業スパイは誰だ】　#06</t>
  </si>
  <si>
    <t>サンライズ物産と新陽薬品は、共同開発した花粉症治療新薬の特許を出願した。だが、全く同じ製法の新薬特許が他社からすでに出願されており、認可されなかった。西行寺(堤真一)は、この一件は機密情報の漏えいだと判断し、新薬開発プロジェクトに関わっていた薬品部主任の原田(満島真之介)から事情を聴く。原田によれば、機密情報にアクセスできる人間は新薬開発プロジェクトのメンバーに限られているという。西行寺は、かおり(戸田恵梨香)、結城(森田剛)らに極秘で内部調査を行うよう指示した。  　新陽薬品の進藤社長(中丸新将)は、危機対策室による内部調査に同意し、プロジェクトリーダーの望月貴子(中山忍)に調査への協力を命じる。望月の案内でプロジェクトルームを訪れた西行寺たちは、入室用ナンバーキーや、製剤機密へアクセスするためのパスワードを定期的に変更していなかったことを知る。そこでかおりは、機密データへのアクセス履歴やプロジェクトの全記録を提出してほしいと貴子に依頼した。  　ほどなく新陽薬品の役員室から盗聴器が発見される。さらに、プロジェクトメンバー全員が研修出張していた昨年の4月10日に何者かが機密にアクセスした記録もあった。プロジェクトメンバーに原田を加えた関係者11人の調査を進めていた西行寺たちは、社長の進藤と、プロジェクト総責任者・大鷹取締役(筒井真理子)の関係が上手くいっていないことを知るが…。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菊川誠　    【音楽】  林ゆうき　    【制作】  フジテレビ　  共同テレビ　    【制作著作】  共同テレビ</t>
  </si>
  <si>
    <t>サンライズ物産と新陽薬品は、共同開発した花粉症治療新薬の特許を出願した。だが、全く同じ製法の新薬特許が他社からすでに出願されており、認可されなかった。西行寺(堤真一)は、この一件は機密情報の漏えいだと判断し、新薬開発プロジェクトに関わっていた薬品部主任の原田(満島真之介)から事情を聴く。原田によれば、機密情報にアクセスできる人間は新薬開発プロジェクトのメンバーに限られているという。西行寺は、かおり(戸田恵梨香)、結城(森田剛)らに極秘で内部調査を行うよう指示した。  　新陽薬品の進藤社長(中丸新将)は、危機対策室による内部調査に同意し、プロジェクトリーダーの望月貴子(中山忍)に調査への協力を命じる。望月の案内でプロジェクトルームを訪れた西行寺たちは、入室用ナンバーキーや、製剤機密へアクセスするためのパスワードを定期的に変更していなかったことを知る。そこでかおりは、機密データへのアクセス履歴やプロジェクトの全記録を提出してほしいと貴子に依頼した。  　ほどなく新陽薬品の役員室から盗聴器が発見される。さらに、プロジェクトメンバー全員が研修出張していた昨年の4月10日に何者かが機密にアクセスした記録もあった。プロジェクトメンバーに原田を加えた関係者11人の調査を進めていた西行寺たちは、社長の進藤と、プロジェクト総責任者・大鷹取締役(筒井真理子)の関係が上手くいっていないことを知るが…。</t>
  </si>
  <si>
    <t>番組名リスクの神様【お家騒動に潜む罠!会社乗っ取りを救え】　#07</t>
  </si>
  <si>
    <t>「ワールドカップバレーボール2015女子　日本×ケニア」延長の際、放送時間繰り下げの場合あり。　西行寺(堤真一)は、呉服店からスタートし、百貨店、スーパー、ホテルと事業を拡大してきた烏丸屋ホールディングスが乗っ取りの危機にあることを知る。事の起こりは、1年前、社長の岡崎竜太郎(小野武彦)を、息子である大樹(中村俊介)が解任し、自ら新社長に就任したお家騒動だった。その後、買収した日陽ホテルがわずか3カ月で経営破たんしたこともあって烏丸屋の株価は下がり続けていた。サンライズ物産は竜太郎と並ぶ筆頭株主でもあった。  　大樹を訪ねた西行寺とかおり(戸田恵梨香)は、監査役の花村(大谷亮介)という男が日陽ホテルの負債を意図的に見逃した上、突然姿を消したことを知る。日陽ホテルの買収自体が烏丸屋乗っ取りを狙ったわなだと判断した西行寺は、竜太郎に会いに行く。そもそも日陽ホテルの買収は、竜太郎が持ち込んだ話だった。しかし竜太郎は、その経緯を明かそうとはしなかった。  　そんな折、投資会社代表の片山(手塚とおる)が烏丸屋株の10%を購入したと報道される。市場では、2週間後の株主総会へ向けた、経営権を巡る動きとの見方が広がっていた。大樹の前に現れた片山は、竜太郎を経営トップに復帰させることを提案、それが拒まれた場合は敵対的買収も辞さないと宣言する。  　西行寺の指示で花村と片山の関係を追っていた結城(森田剛)は、両者がつながっており、片山の背後にはある外資系ファンドがついていることをつかむが…。西行寺智: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石川淳一　  城宝秀則　    【音楽】  林ゆうき　    【制作】  フジテレビ　  共同テレビ　    【制作著作】  共同テレビ</t>
  </si>
  <si>
    <t>「ワールドカップバレーボール2015女子　日本×ケニア」延長の際、放送時間繰り下げの場合あり。　西行寺(堤真一)は、呉服店からスタートし、百貨店、スーパー、ホテルと事業を拡大してきた烏丸屋ホールディングスが乗っ取りの危機にあることを知る。事の起こりは、1年前、社長の岡崎竜太郎(小野武彦)を、息子である大樹(中村俊介)が解任し、自ら新社長に就任したお家騒動だった。その後、買収した日陽ホテルがわずか3カ月で経営破たんしたこともあって烏丸屋の株価は下がり続けていた。サンライズ物産は竜太郎と並ぶ筆頭株主でもあった。  　大樹を訪ねた西行寺とかおり(戸田恵梨香)は、監査役の花村(大谷亮介)という男が日陽ホテルの負債を意図的に見逃した上、突然姿を消したことを知る。日陽ホテルの買収自体が烏丸屋乗っ取りを狙ったわなだと判断した西行寺は、竜太郎に会いに行く。そもそも日陽ホテルの買収は、竜太郎が持ち込んだ話だった。しかし竜太郎は、その経緯を明かそうとはしなかった。  　そんな折、投資会社代表の片山(手塚とおる)が烏丸屋株の10%を購入したと報道される。市場では、2週間後の株主総会へ向けた、経営権を巡る動きとの見方が広がっていた。大樹の前に現れた片山は、竜太郎を経営トップに復帰させることを提案、それが拒まれた場合は敵対的買収も辞さないと宣言する。  　西行寺の指示で花村と片山の関係を追っていた結城(森田剛)は、両者がつながっており、片山の背後にはある外資系ファンドがついていることをつかむが…。</t>
  </si>
  <si>
    <t>番組名リスクの神様【カリスマ女社長の嘘を暴け】　#08</t>
  </si>
  <si>
    <t>西行寺(堤真一)は、サンライズ物産専務の白川(小日向文世)から、かおり(戸田恵梨香)を希望する部署に戻してやりたいとの提案を受ける。白川は、LIFE事業失敗の責任をかおりだけに負わせたやり方に納得していないらしい。続けて白川は、社長の坂手(吉田鋼太郎)が進めるメタンハイドレート開発プロジェクトなどの資料を提示し、坂手の独断的な経営がこれ以上続けば会社にとって大きな危機になるかもしれない、と西行寺に告げる。  　そんな折、グループ企業の社員を名乗る人物から内部告発のメールが届く。サンライズ物産創設期から取引がある総合衣料メーカーのトウセンが、不正会計を行って黒字を計上しているという告発だった。西行寺は、かおりや結城(森田剛)らに内密で調査をするよう指示する。財務諸表からは問題は見つからなかったが、トウセンがこの5年間、常に同じ割合で業績を伸ばしていることに不審を抱いたかおりは、繊維事業部を統括する白川に相談を持ちかけ、調査に協力してくれそうな取引先企業をあたってもらうことにする。  　ほどなく、調査した結果、帳簿上では仕入れているはずの商品在庫が倉庫にないことが判明する。するとそこに、危機対策室の動きを察知したトウセン側から抗議が入った。秘密裏に動けなくなった西行寺たちは、トウセンの高中桐子社長(高橋ひとみ)と小松史郎経理部長(阿南健治)に会い、不正会計疑惑の真偽を探ろうとするが…。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石川淳一　  城宝秀則　    【音楽】  林ゆうき　    【制作】  フジテレビ　  共同テレビ　    【制作著作】  共同テレビ</t>
  </si>
  <si>
    <t>西行寺(堤真一)は、サンライズ物産専務の白川(小日向文世)から、かおり(戸田恵梨香)を希望する部署に戻してやりたいとの提案を受ける。白川は、LIFE事業失敗の責任をかおりだけに負わせたやり方に納得していないらしい。続けて白川は、社長の坂手(吉田鋼太郎)が進めるメタンハイドレート開発プロジェクトなどの資料を提示し、坂手の独断的な経営がこれ以上続けば会社にとって大きな危機になるかもしれない、と西行寺に告げる。  　そんな折、グループ企業の社員を名乗る人物から内部告発のメールが届く。サンライズ物産創設期から取引がある総合衣料メーカーのトウセンが、不正会計を行って黒字を計上しているという告発だった。西行寺は、かおりや結城(森田剛)らに内密で調査をするよう指示する。財務諸表からは問題は見つからなかったが、トウセンがこの5年間、常に同じ割合で業績を伸ばしていることに不審を抱いたかおりは、繊維事業部を統括する白川に相談を持ちかけ、調査に協力してくれそうな取引先企業をあたってもらうことにする。  　ほどなく、調査した結果、帳簿上では仕入れているはずの商品在庫が倉庫にないことが判明する。するとそこに、危機対策室の動きを察知したトウセン側から抗議が入った。秘密裏に動けなくなった西行寺たちは、トウセンの高中桐子社長(高橋ひとみ)と小松史郎経理部長(阿南健治)に会い、不正会計疑惑の真偽を探ろうとするが…。</t>
  </si>
  <si>
    <t>番組名リスクの神様【絶体絶命に陥った女と暴かれた過去と復讐】　#09</t>
  </si>
  <si>
    <t>「ワールドカップバレーボール2015男子　日本×アメリカ」延長の際、放送時間繰り下げの場合あり。　西行寺(堤真一)は、メタンハイドレート開発事業の会計資料を調べていた。そこに、シャツや手を血に染めた坂手社長(吉田鋼太郎)が現れ、一緒にいた相手が吐血して倒れたと言ってホテルのルームキーを取り出す。西行寺は、別件の調査報告で連絡をしてきた結城(森田剛)に、坂手の件も対処するよう指示する。  　同じころ、かおり(戸田恵梨香)は、サンエナジーに出向中の由香(山口紗弥加)と会っていた。由香が、危機対策室からの聞き取り調査で帰国したことを知らなかったかおりは、戸惑いを隠せない。  　深夜、対策室に呼び戻されたかおりは、サンライズ物産が100%出資した事業会社サンエアーズが、工業用硫化水素除去装置の認可を通すために検査数値を改ざんしていたことを告げられる。調査を開始した西行寺らは、環境事業部長の峰岸(伊藤正之)が、サンエアーズ開発部主任ののぞみ(黒坂真美)に「どんな工夫をしても成功させろ」と強く要求していたことを知る。  　そんな中、坂手の還暦を祝うパーティーが開かれ、民自党総務会長の薮谷(名高達男)らそうそうたるメンバーが顔をそろえる。会場を訪れた西行寺は、坂手にサンエアーズの件を報告した後、密かに薮谷にも接触する。  　あくる日、西行寺は、坂手や環境事業担当常務の永嶋(羽場裕一)らと話し合い、株価下落を最小限に抑えられる週末の東京市場終了後に、サンエアーズの件を公表することにするが…。西行寺智: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小日向文世【脚本】  橋本裕志　    【企画】  成河広明　  加藤達也　    【プロデュース】  高丸雅隆　    【演出】  石川淳一　  城宝秀則　    【音楽】  林ゆうき　    【制作】  フジテレビ　  共同テレビ　    【制作著作】  共同テレビ</t>
  </si>
  <si>
    <t>「ワールドカップバレーボール2015男子　日本×アメリカ」延長の際、放送時間繰り下げの場合あり。　西行寺(堤真一)は、メタンハイドレート開発事業の会計資料を調べていた。そこに、シャツや手を血に染めた坂手社長(吉田鋼太郎)が現れ、一緒にいた相手が吐血して倒れたと言ってホテルのルームキーを取り出す。西行寺は、別件の調査報告で連絡をしてきた結城(森田剛)に、坂手の件も対処するよう指示する。  　同じころ、かおり(戸田恵梨香)は、サンエナジーに出向中の由香(山口紗弥加)と会っていた。由香が、危機対策室からの聞き取り調査で帰国したことを知らなかったかおりは、戸惑いを隠せない。  　深夜、対策室に呼び戻されたかおりは、サンライズ物産が100%出資した事業会社サンエアーズが、工業用硫化水素除去装置の認可を通すために検査数値を改ざんしていたことを告げられる。調査を開始した西行寺らは、環境事業部長の峰岸(伊藤正之)が、サンエアーズ開発部主任ののぞみ(黒坂真美)に「どんな工夫をしても成功させろ」と強く要求していたことを知る。  　そんな中、坂手の還暦を祝うパーティーが開かれ、民自党総務会長の薮谷(名高達男)らそうそうたるメンバーが顔をそろえる。会場を訪れた西行寺は、坂手にサンエアーズの件を報告した後、密かに薮谷にも接触する。  　あくる日、西行寺は、坂手や環境事業担当常務の永嶋(羽場裕一)らと話し合い、株価下落を最小限に抑えられる週末の東京市場終了後に、サンエアーズの件を公表することにするが…。</t>
  </si>
  <si>
    <t>番組名リスクの神様【危機こそチャンス…救世主の真の狙いとは?】　#10</t>
  </si>
  <si>
    <t>「ワールドカップバレーボール2015男子　日本×チュニジア」延長の際、放送時間繰り下げの場合あり。　サンライズ物産の役員会で坂手社長(吉田鋼太郎)解任の緊急動議が賛成多数で可決され、新社長には専務の白川(小日向文世)が就任した。西行寺(堤真一)は、白川の指示を受け、組織再編に伴い危機対策室が解散になることをかおり(戸田恵梨香)たちに報告する。今後は、各部署に危機対策担当を配置することになったという。かおりは、西行寺が坂手を裏切って白川社長を誕生させた真意がわからず、ますます疑念を深めていた。　あくる朝、かおりは、由香(山口紗弥加)から、西行寺が社長室長に就任したことを聞かされる。すでに西行寺は、白川が掲げた積極的な経営戦略の一環として3社の買収を提案し、役員会で承認されていた。西行寺が父親を見捨てたサンライズ物産に復讐をしようとしていると考えたかおりは、それを阻止すべく彼の行動をマーク。西行寺が、アジアグローバル証券代表のフォー(木下ほうか)と会っているのを目撃する。だが、ふたりを追おうとすると、突然現れた結城(森田剛)に止められてしまう。  　危機対策室に戻ったかおりは、西行寺のデスクに残されていた資料を調べ、18社もの系列企業で実態の伴わない取引が行われていることを知る。去年1年で100億円近い資金が流出しており、そのほとんどはケイマン諸島にある3つの会社に集中していた。かおりは、坂手の自宅に押しかけ、資金流出の件を切り出すが…。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石川淳一　  城宝秀則　    【音楽】  林ゆうき　    【制作】  フジテレビ　  共同テレビ　    【制作著作】  共同テレビ</t>
  </si>
  <si>
    <t>「ワールドカップバレーボール2015男子　日本×チュニジア」延長の際、放送時間繰り下げの場合あり。　サンライズ物産の役員会で坂手社長(吉田鋼太郎)解任の緊急動議が賛成多数で可決され、新社長には専務の白川(小日向文世)が就任した。西行寺(堤真一)は、白川の指示を受け、組織再編に伴い危機対策室が解散になることをかおり(戸田恵梨香)たちに報告する。今後は、各部署に危機対策担当を配置することになったという。かおりは、西行寺が坂手を裏切って白川社長を誕生させた真意がわからず、ますます疑念を深めていた。　あくる朝、かおりは、由香(山口紗弥加)から、西行寺が社長室長に就任したことを聞かされる。すでに西行寺は、白川が掲げた積極的な経営戦略の一環として3社の買収を提案し、役員会で承認されていた。西行寺が父親を見捨てたサンライズ物産に復讐をしようとしていると考えたかおりは、それを阻止すべく彼の行動をマーク。西行寺が、アジアグローバル証券代表のフォー(木下ほうか)と会っているのを目撃する。だが、ふたりを追おうとすると、突然現れた結城(森田剛)に止められてしまう。  　危機対策室に戻ったかおりは、西行寺のデスクに残されていた資料を調べ、18社もの系列企業で実態の伴わない取引が行われていることを知る。去年1年で100億円近い資金が流出しており、そのほとんどはケイマン諸島にある3つの会社に集中していた。かおりは、坂手の自宅に押しかけ、資金流出の件を切り出すが…。</t>
  </si>
  <si>
    <t>1507_CX_木22</t>
  </si>
  <si>
    <t>探偵の探偵</t>
  </si>
  <si>
    <t>番組名&lt;木曜劇場&gt;探偵の探偵【北川景子が挑む!本格アクションサスペンス】　#01</t>
  </si>
  <si>
    <t>番組ホームページは『探偵の探偵』で検索!　  http://www.fujitv.co.jp/tantei/　紗崎玲奈(北川景子)は、須磨康臣(井浦新)が社長を務める探偵社「スマ・リサーチ」の道場で、ハードなトレーニングに励んでいた。玲奈は、探偵を調査する「対探偵課」のたった一人の探偵だが、そこへ、須磨に連れられて新人の峰森琴葉(川口春奈)がやってくる。琴葉を助手に、と須磨は命じるが、玲奈は自分だけで十分だと言い放つ。その頃、警視庁捜査一課の会議室では、窪塚悠馬(三浦貴大)ら刑事が集まる中、係長の坂東志郎(相島一之)が、腕組みをして座る男にある事件の調査を依頼していた。その男は、探偵の阿比留佳則(ユースケ・サンタマリア)だった。  　玲奈が初めて須磨の元を訪ねたのは、3年前だった。その2年前に当時、高校3年生だった妹の咲良(芳根京子)が何者かにより惨殺。犯人が、探偵を使い咲良の情報を得ていたと知った玲奈は、その探偵を探し出すため、自分も探偵のスキルを習得しようと思い立つ。養成学校での2年間の厳しい訓練を終えた玲奈に、須磨は「対探偵課」の仕事を任命。妹を死に導いた探偵=“死神"に対する復讐心を燃やす玲奈は、自ら大嫌いな探偵になったのだ。  　そんな「探偵の探偵」玲奈の元に、ひとりの依頼人が訪れる。紗崎玲奈:　北川景子　  峰森琴葉:　川口春奈　  窪塚悠馬:　三浦貴大　  桐嶋颯太:　DEAN　FUJIOKA　  土井修三:　伊藤正之　  佐伯祐司:　六角慎司　  伊根涼子:　高山侑子　  長谷部憲保:　渋谷謙人　  船瀬卓:　阪田マサノブ　  紗崎咲良:　芳根京子  　　・　　  坂東志郎:　相島一之　  織田彩音:　中村ゆり　  藤戸俊久:　佐戸井けん太  　　・　　阿比留佳則:　ユースケ・サンタマリア  　　・　　  矢吹洋子:　高岡早紀　  須磨康臣:　井浦新【原作】  松岡圭祐「探偵の探偵」「探偵の探偵II」「探偵の探偵III」(講談社文庫刊)　    【脚本】  徳永友一　    【プロデュース】  渡辺恒也　  草ヶ谷大輔　    【演出】  石井祐介　  品田俊介　  森脇智延　    【音楽】  Nima　Fakhrara　    【主題歌】  「Beautiful　Chaser」超特急　feat.マーティー・フリードマン(SDR)　    【制作】  フジテレビドラマ制作センター</t>
  </si>
  <si>
    <t xml:space="preserve">　紗崎玲奈(北川景子)は、須磨康臣(井浦新)が社長を務める探偵社「スマ・リサーチ」の道場で、ハードなトレーニングに励んでいた。玲奈は、探偵を調査する「対探偵課」のたった一人の探偵だが、そこへ、須磨に連れられて新人の峰森琴葉(川口春奈)がやってくる。琴葉を助手に、と須磨は命じるが、玲奈は自分だけで十分だと言い放つ。その頃、警視庁捜査一課の会議室では、窪塚悠馬(三浦貴大)ら刑事が集まる中、係長の坂東志郎(相島一之)が、腕組みをして座る男にある事件の調査を依頼していた。その男は、探偵の阿比留佳則(ユースケ・サンタマリア)だった。  　玲奈が初めて須磨の元を訪ねたのは、3年前だった。その2年前に当時、高校3年生だった妹の咲良(芳根京子)が何者かにより惨殺。犯人が、探偵を使い咲良の情報を得ていたと知った玲奈は、その探偵を探し出すため、自分も探偵のスキルを習得しようと思い立つ。養成学校での2年間の厳しい訓練を終えた玲奈に、須磨は「対探偵課」の仕事を任命。妹を死に導いた探偵=“死神"に対する復讐心を燃やす玲奈は、自ら大嫌いな探偵になったのだ。  　そんな「探偵の探偵」玲奈の元に、ひとりの依頼人が訪れる。</t>
  </si>
  <si>
    <t>番組名&lt;木曜劇場&gt;探偵の探偵【壮絶アクション満載!話題の本格サスペンス!】　#02</t>
  </si>
  <si>
    <t>番組ホームページは『探偵の探偵』で検索!　  http://www.fujitv.co.jp/tantei/　紗崎玲奈(北川景子)の留守中、「スマ・リサーチ社」に阿比留佳則(ユースケ・サンタマリア)が現れた。阿比留は須磨康臣(井浦新)と峰森琴葉(川口春奈)にリボンの付いた小箱を見せると、これを玲奈に渡して欲しいと言い立ち去った。箱の中身が盗聴器かもしれないと疑った琴葉は電波を確認するも、盗聴器ではないと分かる。  　琴葉は電話で玲奈に状況を説明すると、玲奈は自分がいる場所まで来いと言う。琴葉が着いたのは中華街で、玲奈は行き交う人たちを撮影していた。外国人が多く住む地域は、悪徳探偵の寄生率が高いから片っ端から撮影し、画像を検証するのだという。そんな玲奈に感心しながら、琴葉は例の箱を差し出した。それを見た玲奈は驚き、琴葉にマンションへ直帰しろと命じる。箱の中身はGPS発信機だという。箱を奪った玲奈は車で走り去った。取り残された琴葉に、桐嶋颯太(DEAN　FUJIOKA)が声をかける。  　その頃、警視庁に日銀総裁の孫娘(玉野るな)が誘拐されたという一報が入る。誘拐事件対策室が設けられ、窪塚悠馬(三浦貴大)、坂東志郎(相島一之)、船瀬卓(阪田マサノブ)、長谷部憲保(渋谷謙人)ら捜査一課の刑事たちが集まる。  　車で埠頭へやってきた玲奈は、立ち入り禁止区域でライトを消しエンジンを切った。そこで箱を開け、GPS発信機を確認するが追っ手が来る気配はない。すると、ごう音とともにブルドーザーが突進して来て…。紗崎玲奈:　北川景子　  峰森琴葉:　川口春奈　  窪塚悠馬:　三浦貴大　  桐嶋颯太:　DEAN　FUJIOKA　  土井修三:　伊藤正之　  佐伯祐司:　六角慎司　  伊根涼子:　高山侑子　  長谷部憲保:　渋谷謙人　  船瀬卓:　阪田マサノブ　  紗崎咲良:　芳根京子  　　・　　  坂東志郎:　相島一之　  織田彩音:　中村ゆり　  藤戸俊久:　佐戸井けん太  　　・　　阿比留佳則:　ユースケ・サンタマリア  　　・　　  矢吹洋子:　高岡早紀　  須磨康臣:　井浦新【原作】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</si>
  <si>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 xml:space="preserve">　紗崎玲奈(北川景子)の留守中、「スマ・リサーチ社」に阿比留佳則(ユースケ・サンタマリア)が現れた。阿比留は須磨康臣(井浦新)と峰森琴葉(川口春奈)にリボンの付いた小箱を見せると、これを玲奈に渡して欲しいと言い立ち去った。箱の中身が盗聴器かもしれないと疑った琴葉は電波を確認するも、盗聴器ではないと分かる。  　琴葉は電話で玲奈に状況を説明すると、玲奈は自分がいる場所まで来いと言う。琴葉が着いたのは中華街で、玲奈は行き交う人たちを撮影していた。外国人が多く住む地域は、悪徳探偵の寄生率が高いから片っ端から撮影し、画像を検証するのだという。そんな玲奈に感心しながら、琴葉は例の箱を差し出した。それを見た玲奈は驚き、琴葉にマンションへ直帰しろと命じる。箱の中身はGPS発信機だという。箱を奪った玲奈は車で走り去った。取り残された琴葉に、桐嶋颯太(DEAN　FUJIOKA)が声をかける。  　その頃、警視庁に日銀総裁の孫娘(玉野るな)が誘拐されたという一報が入る。誘拐事件対策室が設けられ、窪塚悠馬(三浦貴大)、坂東志郎(相島一之)、船瀬卓(阪田マサノブ)、長谷部憲保(渋谷謙人)ら捜査一課の刑事たちが集まる。  　車で埠頭へやってきた玲奈は、立ち入り禁止区域でライトを消しエンジンを切った。そこで箱を開け、GPS発信機を確認するが追っ手が来る気配はない。すると、ごう音とともにブルドーザーが突進して来て…。</t>
  </si>
  <si>
    <t>番組名&lt;木曜劇場&gt;探偵の探偵【探偵ドラマの常識を打ち破る前代未聞の衝撃作】　#03</t>
  </si>
  <si>
    <t>番組ホームページは『探偵の探偵』で検索!　  http://www.fujitv.co.jp/tantei/　紗崎玲奈(北川景子)は5年前に紗崎咲良(芳根京子)のDNA鑑定を受け持った医師・矢吹洋子(高岡早紀)から、咲良とともに死亡したはずの被疑者・岡尾芯也(岡田義徳)が生きていると聞かされる。しかも、先日発生した女児誘拐事件に関与している疑いがあり、現在、警察が探偵と協力して調査を進めているという。玲奈は、その探偵のことを尋ねるが、矢吹は知らないと答える。  　その後、玲奈は探偵・藪沼(宅間孝行)から、阿比留佳則(ユースケ・サンタマリア)が、警察の信頼を得ようとする裏に意外な野望があることを聞く。「スマ・リサーチ社」に戻ると、玲奈は須磨康臣(井浦新)と峰森琴葉(川口春奈)にそのことを報告。今回の誘拐事件も警察の信頼を得るために阿比留が企てた自作自演かもしれない、と話した。しかも、警察がマークさえしていない岡尾を犯人として挙げられれば、警察の阿比留への信頼は絶大なものになる、と言う。阿比留と岡尾がつながっているとすれば、咲良の情報を岡尾に流した探偵は阿比留である可能性が高まる。玲奈は、何としても真相に迫りたかった。  　同じ頃、誘拐事件対策室では、阿比留が捜査の実権を握っていることに不信感を募らせた窪塚悠馬(三浦貴大)が、阿比留に不満をぶつける。  　その夜、玲奈は矢吹から、明朝、誘拐事件に関する家宅捜索が行われるとの情報を得る。玲奈と一緒に行きたいと譲らない琴葉の口から意外な事実が語られる。北川景子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</si>
  <si>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 xml:space="preserve">　紗崎玲奈(北川景子)は5年前に紗崎咲良(芳根京子)のDNA鑑定を受け持った医師・矢吹洋子(高岡早紀)から、咲良とともに死亡したはずの被疑者・岡尾芯也(岡田義徳)が生きていると聞かされる。しかも、先日発生した女児誘拐事件に関与している疑いがあり、現在、警察が探偵と協力して調査を進めているという。玲奈は、その探偵のことを尋ねるが、矢吹は知らないと答える。  　その後、玲奈は探偵・藪沼(宅間孝行)から、阿比留佳則(ユースケ・サンタマリア)が、警察の信頼を得ようとする裏に意外な野望があることを聞く。「スマ・リサーチ社」に戻ると、玲奈は須磨康臣(井浦新)と峰森琴葉(川口春奈)にそのことを報告。今回の誘拐事件も警察の信頼を得るために阿比留が企てた自作自演かもしれない、と話した。しかも、警察がマークさえしていない岡尾を犯人として挙げられれば、警察の阿比留への信頼は絶大なものになる、と言う。阿比留と岡尾がつながっているとすれば、咲良の情報を岡尾に流した探偵は阿比留である可能性が高まる。玲奈は、何としても真相に迫りたかった。  　同じ頃、誘拐事件対策室では、阿比留が捜査の実権を握っていることに不信感を募らせた窪塚悠馬(三浦貴大)が、阿比留に不満をぶつける。  　その夜、玲奈は矢吹から、明朝、誘拐事件に関する家宅捜索が行われるとの情報を得る。玲奈と一緒に行きたいと譲らない琴葉の口から意外な事実が語られる。</t>
  </si>
  <si>
    <t>番組名&lt;木曜劇場&gt;探偵の探偵【第1章完結!】　#04</t>
  </si>
  <si>
    <t>番組ホームページは『探偵の探偵』で検索!　  http://www.fujitv.co.jp/tantei/　女児誘拐犯が潜伏しているとされる工場に、阿比留佳則(ユースケ・サンタマリア)を筆頭に、坂東志郎(相島一之)ら捜査員たちが続々と入っていく。そこには、捜査から外された窪塚悠馬(三浦貴大)も紛れ込んでいた。  　一同は、阿比留の指示に従い、犯人がいると思われる場所へと向かう。すると、張り詰めた空気の中、コツコツという靴音が。身構える捜査員たちがその方向を見つめると、全身傷だらけの紗崎玲奈(北川景子)が鉄パイプを手に立っていた。玲奈は阿比留の前まで来ると、視線を隣の矢吹洋子(高岡早紀)に移す。そして、妹と峰森琴葉(川口春奈)が世話になったな、と言うと、鉄パイプを洋子の頭めがけて振りかざした。突然のことに、あ然とする捜査員たちを前に、玲奈は身をひるがえして走り去る。その後を窪塚が追いーー。  　それから1カ月。玲奈は、桐嶋颯太(DEAN　FUJIOKA)の後押しもあり、それまで避けていた琴葉の見舞いに向かう。病室の前まで来た玲奈は、中から聞こえてくる楽しそうな声を聞く。そんなところへ、須磨康臣(井浦新)から連絡が入り、「対探偵課」に回したい仕事が来たが1人で対応できるか、と聞かれる。1人ではない、と言った玲奈の手には、琴葉から渡された白熊のポーレット(キーホルダー)が握られていた。  　さらに1年後、対探偵課には変わらず2つのデスクがあったが、琴葉が使っていたデスクは片付けられていて…。北川景子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</si>
  <si>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 xml:space="preserve">　女児誘拐犯が潜伏しているとされる工場に、阿比留佳則(ユースケ・サンタマリア)を筆頭に、坂東志郎(相島一之)ら捜査員たちが続々と入っていく。そこには、捜査から外された窪塚悠馬(三浦貴大)も紛れ込んでいた。  　一同は、阿比留の指示に従い、犯人がいると思われる場所へと向かう。すると、張り詰めた空気の中、コツコツという靴音が。身構える捜査員たちがその方向を見つめると、全身傷だらけの紗崎玲奈(北川景子)が鉄パイプを手に立っていた。玲奈は阿比留の前まで来ると、視線を隣の矢吹洋子(高岡早紀)に移す。そして、妹と峰森琴葉(川口春奈)が世話になったな、と言うと、鉄パイプを洋子の頭めがけて振りかざした。突然のことに、あ然とする捜査員たちを前に、玲奈は身をひるがえして走り去る。その後を窪塚が追いーー。  　それから1カ月。玲奈は、桐嶋颯太(DEAN　FUJIOKA)の後押しもあり、それまで避けていた琴葉の見舞いに向かう。病室の前まで来た玲奈は、中から聞こえてくる楽しそうな声を聞く。そんなところへ、須磨康臣(井浦新)から連絡が入り、「対探偵課」に回したい仕事が来たが1人で対応できるか、と聞かれる。1人ではない、と言った玲奈の手には、琴葉から渡された白熊のポーレット(キーホルダー)が握られていた。  　さらに1年後、対探偵課には変わらず2つのデスクがあったが、琴葉が使っていたデスクは片付けられていて…。</t>
  </si>
  <si>
    <t>番組名&lt;木曜劇場&gt;探偵の探偵　#05</t>
  </si>
  <si>
    <t>番組ホームページは『探偵の探偵』で検索!　  http://www.fujitv.co.jp/tantei/　紗崎玲奈(北川景子)は、病院で意識を取り戻した檜池(尾上寛之)に会いに行くことを決める。かつて、檜池がストーキングの果てに殺害した女性の調査報告書が、紗崎咲良(芳根京子)の調査報告書に酷似していることが判明。報告書が作成された時期も前後していることから、玲奈は2通の報告書を作成したのが“死神"ではないかと疑い、真相を檜池から聞き出そうと考えたのだ。病院には警察関係者もいることから、須磨康臣(井浦新)は無謀だと止めるが、玲奈の意志は固い。やがて、単身で病院に現れた玲奈は、堂々と正面玄関から入っていく。その姿を認めた坂東志郎(相島一之)は、窪塚悠馬(三浦貴大)らに包囲網を敷くよう指示を出す。  　同じ頃、郊外にあるDV被害者を保護する施設から、入所者の女性たち11名が失踪するという事件が起こった。報告を受けた坂東は、窪塚に長谷部憲保(渋谷謙人)とともに事件を捜査するよう命じる。窪塚と長谷部が施設に出向き、スタッフに話を聞くとスタッフは、11名は自主的に出ていったように感じると話した。  　一方、姉の織田彩音(中村ゆり)のマンションで暮らす峰森琴葉(川口春奈)は、偶然目にした傷だらけの玲奈が映っていた映像を見ようと、彩音のパソコンを探すが、映像はすでに削除されていた。琴葉はソフトを使い、その映像を復元することに成功。  　病院から戻った玲奈は、須磨に檜池に関する衝撃の事実を告げ…。北川景子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</si>
  <si>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 xml:space="preserve">　紗崎玲奈(北川景子)は、病院で意識を取り戻した檜池(尾上寛之)に会いに行くことを決める。かつて、檜池がストーキングの果てに殺害した女性の調査報告書が、紗崎咲良(芳根京子)の調査報告書に酷似していることが判明。報告書が作成された時期も前後していることから、玲奈は2通の報告書を作成したのが“死神"ではないかと疑い、真相を檜池から聞き出そうと考えたのだ。病院には警察関係者もいることから、須磨康臣(井浦新)は無謀だと止めるが、玲奈の意志は固い。やがて、単身で病院に現れた玲奈は、堂々と正面玄関から入っていく。その姿を認めた坂東志郎(相島一之)は、窪塚悠馬(三浦貴大)らに包囲網を敷くよう指示を出す。  　同じ頃、郊外にあるDV被害者を保護する施設から、入所者の女性たち11名が失踪するという事件が起こった。報告を受けた坂東は、窪塚に長谷部憲保(渋谷謙人)とともに事件を捜査するよう命じる。窪塚と長谷部が施設に出向き、スタッフに話を聞くとスタッフは、11名は自主的に出ていったように感じると話した。  　一方、姉の織田彩音(中村ゆり)のマンションで暮らす峰森琴葉(川口春奈)は、偶然目にした傷だらけの玲奈が映っていた映像を見ようと、彩音のパソコンを探すが、映像はすでに削除されていた。琴葉はソフトを使い、その映像を復元することに成功。  　病院から戻った玲奈は、須磨に檜池に関する衝撃の事実を告げ…。</t>
  </si>
  <si>
    <t>番組名&lt;木曜劇場&gt;探偵の探偵【物語は急展開へ!クライマックスへの序章!】　#06</t>
  </si>
  <si>
    <t>番組ホームページは『探偵の探偵』で検索!　  http://www.fujitv.co.jp/tantei/　紗崎玲奈(北川景子)は、DVシェルターから失踪した芦原遥香(西原亜希)の夫・升瀬淳史(中野裕太)のアパートの前で、窪塚悠馬(三浦貴大)と対峙(たいじ)していた。窪塚は、警察が先日病院で死亡した檜池(尾上寛之)を殺害したのは玲奈だと疑い捜査を進めていると明かし、目立つ行動を控えるよう忠告する。窪塚が立ち去ると、玲奈は峰森琴葉(川口春奈)にスマ・リサーチ社に戻り、升瀬が使っている銀行を調べるように命じた。  　同じ頃、琴葉の姉・織田彩音(中村ゆり)は、夫・哲哉(柏原収史)を会社の前で待っていた。やがて、出てきた哲哉に声をかけると、琴葉に謝ってほしいと言う。玲奈の元にいる琴葉が心配だという彩音に、もう子供じゃないんだから、と返す哲哉。彩音は声を荒らげ、琴葉には自分がいないとダメなのだ、と怒りをあらわにする。  　一方、升瀬の銀行口座を突き止めた琴葉は玲奈に報告。玲奈は、それをもとに升瀬に連絡を取り、彼が潜伏しているホテルを割り出す。早速、ホテルに向かった玲奈は、升瀬が滞在している部屋の隣室を取る。その後、升瀬が留守にした隙を狙い部屋に侵入、充電中だった升瀬の携帯電話を手に取った。そこには、「野放図」という“半グレ"グループからの呼び出しのメールがあった。さらに、探偵が書いたと思われる遥香の調査報告書を見つける。それは、死神が書いた紗崎咲良(芳根京子)の調査報告書の書式と一致していた…。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</si>
  <si>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 xml:space="preserve">　紗崎玲奈(北川景子)は、DVシェルターから失踪した芦原遥香(西原亜希)の夫・升瀬淳史(中野裕太)のアパートの前で、窪塚悠馬(三浦貴大)と対峙(たいじ)していた。窪塚は、警察が先日病院で死亡した檜池(尾上寛之)を殺害したのは玲奈だと疑い捜査を進めていると明かし、目立つ行動を控えるよう忠告する。窪塚が立ち去ると、玲奈は峰森琴葉(川口春奈)にスマ・リサーチ社に戻り、升瀬が使っている銀行を調べるように命じた。  　同じ頃、琴葉の姉・織田彩音(中村ゆり)は、夫・哲哉(柏原収史)を会社の前で待っていた。やがて、出てきた哲哉に声をかけると、琴葉に謝ってほしいと言う。玲奈の元にいる琴葉が心配だという彩音に、もう子供じゃないんだから、と返す哲哉。彩音は声を荒らげ、琴葉には自分がいないとダメなのだ、と怒りをあらわにする。  　一方、升瀬の銀行口座を突き止めた琴葉は玲奈に報告。玲奈は、それをもとに升瀬に連絡を取り、彼が潜伏しているホテルを割り出す。早速、ホテルに向かった玲奈は、升瀬が滞在している部屋の隣室を取る。その後、升瀬が留守にした隙を狙い部屋に侵入、充電中だった升瀬の携帯電話を手に取った。そこには、「野放図」という“半グレ"グループからの呼び出しのメールがあった。さらに、探偵が書いたと思われる遥香の調査報告書を見つける。それは、死神が書いた紗崎咲良(芳根京子)の調査報告書の書式と一致していた…。</t>
  </si>
  <si>
    <t>番組名&lt;木曜劇場&gt;探偵の探偵【前代未聞のラスト15分!失踪事件の真相解明】　#07</t>
  </si>
  <si>
    <t>番組ホームページは『探偵の探偵』で検索!　  http://www.fujitv.co.jp/tantei/　“半グレ"集団「野放図」に連れ去られた紗崎玲奈(北川景子)は、目覚めると薄暗いスナックのようなところにいた。周囲には、升瀬淳史(中野裕太)らDV男たちが、身を寄せ合うように立っている。そこへ淀野瑛斗(丸山智己)が現れて、玲奈を見下ろすと、お前は誰だ、と聞く。玲奈はそれに答えずに、DV被害者の女性たちが保護されていた場所を突き止めるために探偵を使っただろうと聞き、その探偵に用があると言った。すると、淀野が1人の女に視線を向け、その女・宇佐美秋子(今村美乃)は、自分がその探偵とのパイプ役になっていると明かす。その探偵こそが「死神」だと疑う玲奈は、探偵を連れて来てくれと頼むが、淀野はそれを遮ると、玲奈を処分すると言う。  　その頃、峰森琴葉(川口春奈)は、社員寮のリビングで玲奈からの電話を待ちわびていた。  　一方、スマ・リサーチ社では、探偵課の伊根涼子(高山侑子)が、病院で殺害された檜池(尾上寛之)の事件以来、会社に姿を見せない玲奈に対して不満を爆発させていた。そこへ須磨康臣(井浦新)がやってくると、涼子は須磨に食ってかかる。さらに、佐伯祐司(六角慎司)が同調するのを桐嶋颯太(DEAN　FUJIOKA)が制す。探偵たちの怒りを受け止めた須磨は、玲奈が何をしているのか調べてみるといいと言い放つ。  　その頃、琴葉から連絡を受けた窪塚悠馬(三浦貴大)は、玲奈を救出すべく車を走らせて…。北川景子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</si>
  <si>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 xml:space="preserve">　“半グレ"集団「野放図」に連れ去られた紗崎玲奈(北川景子)は、目覚めると薄暗いスナックのようなところにいた。周囲には、升瀬淳史(中野裕太)らDV男たちが、身を寄せ合うように立っている。そこへ淀野瑛斗(丸山智己)が現れて、玲奈を見下ろすと、お前は誰だ、と聞く。玲奈はそれに答えずに、DV被害者の女性たちが保護されていた場所を突き止めるために探偵を使っただろうと聞き、その探偵に用があると言った。すると、淀野が1人の女に視線を向け、その女・宇佐美秋子(今村美乃)は、自分がその探偵とのパイプ役になっていると明かす。その探偵こそが「死神」だと疑う玲奈は、探偵を連れて来てくれと頼むが、淀野はそれを遮ると、玲奈を処分すると言う。  　その頃、峰森琴葉(川口春奈)は、社員寮のリビングで玲奈からの電話を待ちわびていた。  　一方、スマ・リサーチ社では、探偵課の伊根涼子(高山侑子)が、病院で殺害された檜池(尾上寛之)の事件以来、会社に姿を見せない玲奈に対して不満を爆発させていた。そこへ須磨康臣(井浦新)がやってくると、涼子は須磨に食ってかかる。さらに、佐伯祐司(六角慎司)が同調するのを桐嶋颯太(DEAN　FUJIOKA)が制す。探偵たちの怒りを受け止めた須磨は、玲奈が何をしているのか調べてみるといいと言い放つ。  　その頃、琴葉から連絡を受けた窪塚悠馬(三浦貴大)は、玲奈を救出すべく車を走らせて…。</t>
  </si>
  <si>
    <t>番組名&lt;木曜劇場&gt;探偵の探偵【最終章突入!反撃の幕開け】　#08</t>
  </si>
  <si>
    <t>「ワールドカップバレーボール2015女子　日本×ドミニカ共和国」延長の際、放送時間繰り下げの場合あり。番組ホームページは『探偵の探偵』で検索!　  http://www.fujitv.co.jp/tantei/　DV被害女性救出劇における惨劇の末、瀕死の重傷を負った窪塚悠馬(三浦貴大)は病院へと運ばれた。紗崎玲奈(北川景子)は、迎えに来た峰森琴葉(川口春奈)の車に乗り込むと、飛行場へ行くよう指示。玲奈は、窪塚に「傷害罪」という不名誉を残さないため、県警が上空から撮っていた映像を消去しようと考えたのだ。  　同じ頃、窪塚の容態を心配して東京から駆け付けた坂東志郎(相島一之)、長谷部憲保(渋谷謙人)、船瀬卓(阪田マサノブ)は、窪塚を巻き込んだことを許さない、と玲奈への怒りを新たにする。  　数日後、玲奈は取り調べを受けるために警察にいた。担当した船瀬と長谷部は、事件について知っていることをすべて話せと迫るが、玲奈は答えない。  　一方の琴葉は、探偵として単独で仕事をこなしていた。琴葉は、自由に動けない玲奈の分まで「対探偵」の仕事に取り組んでいたが、須磨康臣(井浦新)の指示で桐嶋颯太(DEAN　FUJIOKA)と組んで潜入捜査を行うことに。精神科の医師と看護師に扮(ふん)したふたりがやってきたのは、野放図の中心メンバーである宇佐美秋子(今村美乃)の自宅だった。本名を「さわやなぎなな」という「死神」についての情報を得るべく潜入したが…。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</si>
  <si>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 xml:space="preserve">　DV被害女性救出劇における惨劇の末、瀕死の重傷を負った窪塚悠馬(三浦貴大)は病院へと運ばれた。紗崎玲奈(北川景子)は、迎えに来た峰森琴葉(川口春奈)の車に乗り込むと、飛行場へ行くよう指示。玲奈は、窪塚に「傷害罪」という不名誉を残さないため、県警が上空から撮っていた映像を消去しようと考えたのだ。  　同じ頃、窪塚の容態を心配して東京から駆け付けた坂東志郎(相島一之)、長谷部憲保(渋谷謙人)、船瀬卓(阪田マサノブ)は、窪塚を巻き込んだことを許さない、と玲奈への怒りを新たにする。  　数日後、玲奈は取り調べを受けるために警察にいた。担当した船瀬と長谷部は、事件について知っていることをすべて話せと迫るが、玲奈は答えない。  　一方の琴葉は、探偵として単独で仕事をこなしていた。琴葉は、自由に動けない玲奈の分まで「対探偵」の仕事に取り組んでいたが、須磨康臣(井浦新)の指示で桐嶋颯太(DEAN　FUJIOKA)と組んで潜入捜査を行うことに。精神科の医師と看護師に扮(ふん)したふたりがやってきたのは、野放図の中心メンバーである宇佐美秋子(今村美乃)の自宅だった。本名を「さわやなぎなな」という「死神」についての情報を得るべく潜入したが…。</t>
  </si>
  <si>
    <t>番組名&lt;木曜劇場&gt;探偵の探偵【ついに死神が姿を現す!】　#09</t>
  </si>
  <si>
    <t>番組ホームページは『探偵の探偵』で検索!　  http://www.fujitv.co.jp/tantei/　紗崎玲奈(北川景子)は、峰森琴葉(川口春奈)とともに、高橋理佳(陽月華)という女性を訪ねる。理佳の兄は「澤柳菜々」と結婚したが、その8日後に不審死。疑念を抱いた理佳が「阿比留綜合探偵社」に相談に行ったことがあったからだ。玲奈は、澤柳に関する調査報告書を見る。そこには、高校の卒業アルバムのコピーがあり、当時の澤柳の写真が載っていた。琴葉は、写真を手がかりに澤柳の旧友をあたるが、同級生たちは澤柳を記憶していなかった。  　同じ頃、とある商工会議所で、探偵社の代表が集まる会議が開かれ、須磨康臣(井浦新)と桐嶋颯太(DEAN　FUJIOKA)が出席していた。そこで、玲奈が関わった事件に関して警察からクレームが来ていることが議題にあがる。須磨は事情説明を求められるが、関知していないと白を切る。  　玲奈と琴葉が「スマ・リサーチ社」で澤柳について調べていると、伊根涼子(高山侑子)が女性を連れて駆け込んでくる。女性は、先日の事件で窪塚悠馬(三浦貴大)が助けた市村凜(門脇麦)だった。暴力を振るう夫・沼園賢治(姜暢雄)から逃げて来たという。その後、玲奈は、凜にスマ・リサーチ社に来た理由を聞くと、凜はバッグから封筒を取り出した。そこには、玲奈の名前で、何かトラブルがあったらいつでも連絡して良い、と書かれていた。さらに、同じ書類が他のDV被害者の女性にも届いていることが発覚。身に覚えのない玲奈は…。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</si>
  <si>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 xml:space="preserve">　紗崎玲奈(北川景子)は、峰森琴葉(川口春奈)とともに、高橋理佳(陽月華)という女性を訪ねる。理佳の兄は「澤柳菜々」と結婚したが、その8日後に不審死。疑念を抱いた理佳が「阿比留綜合探偵社」に相談に行ったことがあったからだ。玲奈は、澤柳に関する調査報告書を見る。そこには、高校の卒業アルバムのコピーがあり、当時の澤柳の写真が載っていた。琴葉は、写真を手がかりに澤柳の旧友をあたるが、同級生たちは澤柳を記憶していなかった。  　同じ頃、とある商工会議所で、探偵社の代表が集まる会議が開かれ、須磨康臣(井浦新)と桐嶋颯太(DEAN　FUJIOKA)が出席していた。そこで、玲奈が関わった事件に関して警察からクレームが来ていることが議題にあがる。須磨は事情説明を求められるが、関知していないと白を切る。  　玲奈と琴葉が「スマ・リサーチ社」で澤柳について調べていると、伊根涼子(高山侑子)が女性を連れて駆け込んでくる。女性は、先日の事件で窪塚悠馬(三浦貴大)が助けた市村凜(門脇麦)だった。暴力を振るう夫・沼園賢治(姜暢雄)から逃げて来たという。その後、玲奈は、凜にスマ・リサーチ社に来た理由を聞くと、凜はバッグから封筒を取り出した。そこには、玲奈の名前で、何かトラブルがあったらいつでも連絡して良い、と書かれていた。さらに、同じ書類が他のDV被害者の女性にも届いていることが発覚。身に覚えのない玲奈は…。</t>
  </si>
  <si>
    <t>番組名&lt;木曜劇場&gt;探偵の探偵【今夜、ついに明らかになる死神の正体!!】　#10</t>
  </si>
  <si>
    <t>「ワールドカップバレーボール2015男子　日本×オーストラリア」延長の際、放送時間繰り下げの場合あり。番組ホームページは『探偵の探偵』で検索!　  http://www.fujitv.co.jp/tantei/　紗崎玲奈(北川景子)が、スタンガンで倒した男は鴨居秀一(梶原善)という探偵だった。なぜ、正規の探偵事務所が自分をマークしているのか、と聞く玲奈に、狙っているのは自分だけではない、と答える。事実、児玉庄治(葛山信吾)、黒川勇介(袴田吉彦)というふたりの探偵も玲奈の前に姿を現した。3人は、別の探偵事務所の「対探偵課」に所属する探偵だという。そんな玲奈と男たちのやりとりを、密かに見つめる人影がいた。　その頃、織田彩音(中村ゆり)から自殺をほのめかすメールを受け取った峰森琴葉(川口春奈)は、市村凜(門脇麦)を潜伏先に残して彩音の元に駆けつけた。そこは踏み切りで、彩音はやって来た琴葉をぼんやりと見つめる。姉の無事に安堵(あんど)した琴葉に、彩音は「菜々」という名前を口にした。  　同じ頃、「スマ・リサーチ社」に公安委員会から15日間の営業停止命令が下ったことが、須磨康臣(井浦新)により報告された。土井修三(伊藤正之)は、警察が玲奈の逮捕に向けて本腰を入れてきたのだろう、との見解を明かした。  　一方、玲奈はウィークリーマンションで「死神」を待っていた。そこへ、リュックを背負いゴーグルとマスクをした男が入って来る。凜に暴力を振るっていた沼園賢治(姜暢雄)だった。沼園は、背負った噴霧器から玲奈に向かってガスを噴射。激しい呼吸困難に陥った玲奈に向かい、凜の居場所を教えろ、と迫る。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</si>
  <si>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 xml:space="preserve">　紗崎玲奈(北川景子)が、スタンガンで倒した男は鴨居秀一(梶原善)という探偵だった。なぜ、正規の探偵事務所が自分をマークしているのか、と聞く玲奈に、狙っているのは自分だけではない、と答える。事実、児玉庄治(葛山信吾)、黒川勇介(袴田吉彦)というふたりの探偵も玲奈の前に姿を現した。3人は、別の探偵事務所の「対探偵課」に所属する探偵だという。そんな玲奈と男たちのやりとりを、密かに見つめる人影がいた。　その頃、織田彩音(中村ゆり)から自殺をほのめかすメールを受け取った峰森琴葉(川口春奈)は、市村凜(門脇麦)を潜伏先に残して彩音の元に駆けつけた。そこは踏み切りで、彩音はやって来た琴葉をぼんやりと見つめる。姉の無事に安堵(あんど)した琴葉に、彩音は「菜々」という名前を口にした。  　同じ頃、「スマ・リサーチ社」に公安委員会から15日間の営業停止命令が下ったことが、須磨康臣(井浦新)により報告された。土井修三(伊藤正之)は、警察が玲奈の逮捕に向けて本腰を入れてきたのだろう、との見解を明かした。  　一方、玲奈はウィークリーマンションで「死神」を待っていた。そこへ、リュックを背負いゴーグルとマスクをした男が入って来る。凜に暴力を振るっていた沼園賢治(姜暢雄)だった。沼園は、背負った噴霧器から玲奈に向かってガスを噴射。激しい呼吸困難に陥った玲奈に向かい、凜の居場所を教えろ、と迫る。</t>
  </si>
  <si>
    <t>番組名&lt;木曜劇場&gt;探偵の探偵【今夜、ついに狂乱の最終回!】　　#11</t>
  </si>
  <si>
    <t>「ワールドカップバレーボール2015男子　日本×ベネズエラ」延長の際、放送時間繰り下げの場合あり。番組ホームページは『探偵の探偵』で検索!　  http://www.fujitv.co.jp/tantei/　紗崎玲奈(北川景子)は、目の前に立つ市村凜(門脇麦)に、あなたが死神なのか、と尋ねた。凜はそれに答えず、自分の偽装工作を見抜けなかったことが悔しいか、と玲奈に言う。そこで、峰森琴葉(川口春奈)が口をはさむと、凜は以前とは別人のような口調で、お前は黙っていろ、と怒鳴りつける。凜は、これまでに自分が犯した数々の犯罪について、饒舌(じょうぜつ)に話す。それを冷静に聞く玲奈に凜は、いつもはすぐに手を出すのに、なぜ襲って来ないのだ、と挑発。玲奈は、もしも自分が凜を襲えば、拘束している琴葉か織田彩音(中村ゆり)を傷つけるつもりだろう、と答えた。  　凜は、「スマ・リサーチ社」社内の監視カメラにも、通報装置にも細工をしたので、管理会社が異変に気づくのは明日の朝になるだろうし、さらに、筋弛緩剤を打たれた彩音はあと20分ほどで呼吸が止まるだろう、と言った。  　玲奈は、核心に迫る思いで、紗崎咲良(芳根京子)を殺害したストーカーの岡尾芯也(岡田義徳)の依頼を受けたことに罪はないと思っているのか、と聞くと、凜は平然と、ないと思っていると答え、さらに、岡尾が咲良を殺害する様を見ていたことを明かした。ケラケラと笑いながら咲良の最期の様子を話す凜に、玲奈の中で何かが切れた。デスクの上にあった工具を手に取ると、凜に向かって突進する・・・。北川景子　  川口春奈　  三浦貴大　  DEAN　FUJIOKA　  伊藤正之　  六角慎司　  高山侑子　  渋谷謙人　  阪田マサノブ　  芳根京子  　　・　　  相島一之　  中村ゆり　  佐戸井けん太  　　・　　  門脇麦  　　・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</si>
  <si>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 xml:space="preserve">　紗崎玲奈(北川景子)は、目の前に立つ市村凜(門脇麦)に、あなたが死神なのか、と尋ねた。凜はそれに答えず、自分の偽装工作を見抜けなかったことが悔しいか、と玲奈に言う。そこで、峰森琴葉(川口春奈)が口をはさむと、凜は以前とは別人のような口調で、お前は黙っていろ、と怒鳴りつける。凜は、これまでに自分が犯した数々の犯罪について、饒舌(じょうぜつ)に話す。それを冷静に聞く玲奈に凜は、いつもはすぐに手を出すのに、なぜ襲って来ないのだ、と挑発。玲奈は、もしも自分が凜を襲えば、拘束している琴葉か織田彩音(中村ゆり)を傷つけるつもりだろう、と答えた。  　凜は、「スマ・リサーチ社」社内の監視カメラにも、通報装置にも細工をしたので、管理会社が異変に気づくのは明日の朝になるだろうし、さらに、筋弛緩剤を打たれた彩音はあと20分ほどで呼吸が止まるだろう、と言った。  　玲奈は、核心に迫る思いで、紗崎咲良(芳根京子)を殺害したストーカーの岡尾芯也(岡田義徳)の依頼を受けたことに罪はないと思っているのか、と聞くと、凜は平然と、ないと思っていると答え、さらに、岡尾が咲良を殺害する様を見ていたことを明かした。ケラケラと笑いながら咲良の最期の様子を話す凜に、玲奈の中で何かが切れた。デスクの上にあった工具を手に取ると、凜に向かって突進する・・・。北川景子　  川口春奈　  三浦貴大　  DEAN　FUJIOKA　  伊藤正之　  六角慎司　  高山侑子　  渋谷謙人　  阪田マサノブ　  芳根京子  　　・　　  相島一之　  中村ゆり　  佐戸井けん太  　　・　　  門脇麦  　　・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</si>
  <si>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1504_CX_月21</t>
  </si>
  <si>
    <t>ようこそ、わが家へ</t>
  </si>
  <si>
    <t>番組名ようこそ、わが家へ【恐怖のゲームが始まる!池井戸潤VS相葉雅紀!】　#01</t>
  </si>
  <si>
    <t>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詳しくは各ドラマのHPをご覧ください!【番組公式ホームページ】  http://www.fujitv.co.jp/wagayae/　とある郊外の一軒家。そこには長男の倉田健太(相葉雅紀)、父親の太一(寺尾聰)、長女の七菜(有村架純)、母親の珪子(南果歩)の家族4人が暮らしている。  　健太は人と争うのが苦手で、つい相手に合わせてしまう気弱な青年。職業はデザイナーだが自己主張のない作品ばかりで売れていない。太一は健太とそっくりな気弱な男性。勤めている大手都市銀行の出世レースから脱落し、今は取引先の中小企業に出向中だ。七菜は大学生で今は就活中。元カレに追い回されていることに悩んでいる。専業主婦の珪子は子育ても一段落し、自分の時間を作ろうと陶芸教室に通っている。  　幸せとは言い切れないが不幸せではない、平凡な家族の日々。それは突然、終わりを告げた。  　ある日のこと、健太は駅のホームで割り込み乗車をしようとした男を注意する。たまたま居合わせた神取明日香(沢尻エリカ)は「とても立派だったと思います」と声を掛けた。誇らしさが込み上げる健太だが、注意された男は、なんと健太を尾行してくる。自宅付近でまくことができたが翌朝、家の花壇の花が無残にもすべて引き抜かれていた。  　あの男がやったのだろうかー?疑惑が頭から離れない健太は、駅のホームでまたしても明日香と出くわし、明日香の意外な正体が明らかに…。  　時を同じくして太一は会社で不正の疑惑を見つける。よもや、それが姿の見えない謀略との闘いの始まりとは知らずに…。相葉雅紀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</si>
  <si>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 xml:space="preserve">　とある郊外の一軒家。そこには長男の倉田健太(相葉雅紀)、父親の太一(寺尾聰)、長女の七菜(有村架純)、母親の珪子(南果歩)の家族4人が暮らしている。  　健太は人と争うのが苦手で、つい相手に合わせてしまう気弱な青年。職業はデザイナーだが自己主張のない作品ばかりで売れていない。太一は健太とそっくりな気弱な男性。勤めている大手都市銀行の出世レースから脱落し、今は取引先の中小企業に出向中だ。七菜は大学生で今は就活中。元カレに追い回されていることに悩んでいる。専業主婦の珪子は子育ても一段落し、自分の時間を作ろうと陶芸教室に通っている。  　幸せとは言い切れないが不幸せではない、平凡な家族の日々。それは突然、終わりを告げた。  　ある日のこと、健太は駅のホームで割り込み乗車をしようとした男を注意する。たまたま居合わせた神取明日香(沢尻エリカ)は「とても立派だったと思います」と声を掛けた。誇らしさが込み上げる健太だが、注意された男は、なんと健太を尾行してくる。自宅付近でまくことができたが翌朝、家の花壇の花が無残にもすべて引き抜かれていた。  　あの男がやったのだろうかー?疑惑が頭から離れない健太は、駅のホームでまたしても明日香と出くわし、明日香の意外な正体が明らかに…。  　時を同じくして太一は会社で不正の疑惑を見つける。よもや、それが姿の見えない謀略との闘いの始まりとは知らずに…。</t>
  </si>
  <si>
    <t>番組名ようこそ、わが家へ【混迷する犯人像!作・池井戸潤　主演・相葉雅紀(他)】　#02</t>
  </si>
  <si>
    <t>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詳しくは各ドラマのHPをご覧ください!【番組公式ホームページ】  http://www.fujitv.co.jp/wagayae/　ある日、突然、理不尽な悪意にさらされることとなった倉田家。ポストに傷つけられた猫が入れられ、不気味なFAXを自宅に送りつけられた健太(相葉雅紀)は、警察に通報する。やってきた警官に父の太一(寺尾聰)は、家に届いたFAXから犯人を突き止められないか要請。一方、傷ついた猫は治療を受け、七菜(有村架純)の提案から倉田家で飼う事になった。　太一が『ナカノ電子部品』に出社すると、先日、不正を指摘しながら返り討ちにされた営業部長・真瀬博樹(竹中直人)にやゆされる。そんな真瀬の新たな不正の疑惑を、部下の西沢摂子(山口紗弥加)から報告される。今度は接待費の横領だった。  　陶芸教室に通う珪子(南果歩)は、講師の波戸清治(眞島秀和)からお茶に誘われる。断ろうとする珪子だが、主婦仲間の下村民子(堀内敬子)の勧めもあり行く事にした。　健太は、ひょんなことから知り合った女性記者・神取明日香(沢尻エリカ)に会うため、勤めている出版社へ。そして健太は明日香に、あれから自宅に起こった出来事を話す。相葉雅紀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</si>
  <si>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 xml:space="preserve">　ある日、突然、理不尽な悪意にさらされることとなった倉田家。ポストに傷つけられた猫が入れられ、不気味なFAXを自宅に送りつけられた健太(相葉雅紀)は、警察に通報する。やってきた警官に父の太一(寺尾聰)は、家に届いたFAXから犯人を突き止められないか要請。一方、傷ついた猫は治療を受け、七菜(有村架純)の提案から倉田家で飼う事になった。　太一が『ナカノ電子部品』に出社すると、先日、不正を指摘しながら返り討ちにされた営業部長・真瀬博樹(竹中直人)にやゆされる。そんな真瀬の新たな不正の疑惑を、部下の西沢摂子(山口紗弥加)から報告される。今度は接待費の横領だった。  　陶芸教室に通う珪子(南果歩)は、講師の波戸清治(眞島秀和)からお茶に誘われる。断ろうとする珪子だが、主婦仲間の下村民子(堀内敬子)の勧めもあり行く事にした。　健太は、ひょんなことから知り合った女性記者・神取明日香(沢尻エリカ)に会うため、勤めている出版社へ。そして健太は明日香に、あれから自宅に起こった出来事を話す。</t>
  </si>
  <si>
    <t>番組名ようこそ、わが家へ【遂に捉えたストーカーの姿!原作・池井戸潤】　#03</t>
  </si>
  <si>
    <t>【番組公式ホームページ】  http://www.fujitv.co.jp/wagayae/　倉田家の自動車が深夜、何者かに傷つけられた。健太(相葉雅紀)は、『円タウン出版社』で神取明日香(沢尻エリカ)と、自宅に取り付けておいた防犯カメラが捉えた映像を検証する。すると、深夜に自動車に近寄る人物が映っていた。しかし、その人物はカメラの存在を知っていたかのように体を隠している。明日香は倉田家の誰かが、カメラのことを第三者に話したのではないかと疑う。そのまま映像を見ていると、明け方に不審な車が倉田家の前に停まっていた事も判明した。  　太一(寺尾聰)は、会社にFAXで送られた西沢摂子(山口紗弥加)との密会をほのめかす怪文書を社長の持川徹(近藤芳正)に釈明。持川は怪文書の内容は意に介さなかったが、太一と摂子に注意するようにと伝えた。社長室を出た2人は真瀬博樹(竹中直人)が怪文書の犯人ではないかと疑う。  　その夜、倉田家に新たな嫌がらせが行われた。七菜(有村架純)がアナウンサー試験の4次面接に受かった事を健太に報告していると、自宅前にバイクが止まる。宅配のピザが大量に届いたのだ。珪子(南果歩)が受け取りを拒まなかったため、家族の夕食はピザに。そんな夕食を食べながら、健太は防犯カメラの映像を家族に見せる。そして、カメラの話を他人にしたかと聞くが、妹の七菜を含め誰も心当たりがない。すると、倉田家の不安を見透かしたかのようにリビングに無言電話が…。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</si>
  <si>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 xml:space="preserve">　倉田家の自動車が深夜、何者かに傷つけられた。健太(相葉雅紀)は、『円タウン出版社』で神取明日香(沢尻エリカ)と、自宅に取り付けておいた防犯カメラが捉えた映像を検証する。すると、深夜に自動車に近寄る人物が映っていた。しかし、その人物はカメラの存在を知っていたかのように体を隠している。明日香は倉田家の誰かが、カメラのことを第三者に話したのではないかと疑う。そのまま映像を見ていると、明け方に不審な車が倉田家の前に停まっていた事も判明した。  　太一(寺尾聰)は、会社にFAXで送られた西沢摂子(山口紗弥加)との密会をほのめかす怪文書を社長の持川徹(近藤芳正)に釈明。持川は怪文書の内容は意に介さなかったが、太一と摂子に注意するようにと伝えた。社長室を出た2人は真瀬博樹(竹中直人)が怪文書の犯人ではないかと疑う。  　その夜、倉田家に新たな嫌がらせが行われた。七菜(有村架純)がアナウンサー試験の4次面接に受かった事を健太に報告していると、自宅前にバイクが止まる。宅配のピザが大量に届いたのだ。珪子(南果歩)が受け取りを拒まなかったため、家族の夕食はピザに。そんな夕食を食べながら、健太は防犯カメラの映像を家族に見せる。そして、カメラの話を他人にしたかと聞くが、妹の七菜を含め誰も心当たりがない。すると、倉田家の不安を見透かしたかのようにリビングに無言電話が…。</t>
  </si>
  <si>
    <t>番組名ようこそ、わが家へ【ストーカー最接近!!遂に家族の反撃が始まる!!】　#04</t>
  </si>
  <si>
    <t>【番組公式ホームページ】  http://www.fujitv.co.jp/wagayae/　相次ぐストーカーからの嫌がらせに悩む倉田家。ついに何者かが家の中に忍び込んだ。飼い猫、ガスの首輪に「おじゃましました」というメモが巻かれていたのだ。健太(相葉雅紀)は、防犯カメラの映像を確認するも、忍び込む姿はどこにも写っていない…。  　その夜、健太は太一(寺尾聰)と就寝前に自宅の周辺を見回りに行く。太一は珪子(南果歩)と七菜(有村架純)には、これ以上怖い思いをさせたくないと話す。そんな太一に健太はスマートフォンで撮影した、ある画像を見せた。  　翌日、『ナカノ電子部品』に出社した太一は、西沢摂子(山口紗弥加)を会議室に呼ぶ。太一は『アサヒ電子』の件で、なぜ不正の疑惑のある真瀬博樹(竹中直人)をかばったのかを尋ねる。答えようとしない摂子に、太一は健太が撮った画像を見せた。それは、熟女パブで摂子が働き、さらに真瀬を接待している姿だった。摂子は母親の介護医療費を捻出するために副業として働いているのだが、『ナカノ電子部品』ではアルバイトは禁止されている。そのため、真瀬に脅されていたのだ。太一は摂子に、このピンチを乗り切る方法を探そうと提案。すると摂子はアイデアを思いつく。  　健太は神取明日香(沢尻エリカ)に、昨日の出来事を話す。そしてあることに気づく。ストーカーは、家に誰もいないことを知っていたのではないだろうか。つまり、家の中に盗聴器が仕掛けられているのではないだろうか、と…。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</si>
  <si>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 xml:space="preserve">　相次ぐストーカーからの嫌がらせに悩む倉田家。ついに何者かが家の中に忍び込んだ。飼い猫、ガスの首輪に「おじゃましました」というメモが巻かれていたのだ。健太(相葉雅紀)は、防犯カメラの映像を確認するも、忍び込む姿はどこにも写っていない…。  　その夜、健太は太一(寺尾聰)と就寝前に自宅の周辺を見回りに行く。太一は珪子(南果歩)と七菜(有村架純)には、これ以上怖い思いをさせたくないと話す。そんな太一に健太はスマートフォンで撮影した、ある画像を見せた。  　翌日、『ナカノ電子部品』に出社した太一は、西沢摂子(山口紗弥加)を会議室に呼ぶ。太一は『アサヒ電子』の件で、なぜ不正の疑惑のある真瀬博樹(竹中直人)をかばったのかを尋ねる。答えようとしない摂子に、太一は健太が撮った画像を見せた。それは、熟女パブで摂子が働き、さらに真瀬を接待している姿だった。摂子は母親の介護医療費を捻出するために副業として働いているのだが、『ナカノ電子部品』ではアルバイトは禁止されている。そのため、真瀬に脅されていたのだ。太一は摂子に、このピンチを乗り切る方法を探そうと提案。すると摂子はアイデアを思いつく。  　健太は神取明日香(沢尻エリカ)に、昨日の出来事を話す。そしてあることに気づく。ストーカーは、家に誰もいないことを知っていたのではないだろうか。つまり、家の中に盗聴器が仕掛けられているのではないだろうか、と…。</t>
  </si>
  <si>
    <t>番組名ようこそ、わが家へ【犠牲者発生!!最弱のヒーローが遂に動き出す!!】　#05</t>
  </si>
  <si>
    <t>【番組公式ホームページ】  http://www.fujitv.co.jp/wagayae/　  第5話の放送はプレゼント告知あります!　倉田家で、また金が盗まれた。リビングに仕掛けた防犯カメラの映像から健太(相葉雅紀)は、意外な犯人に驚く。そこに珪子(南果歩)が来て、盗まれた金が戻っていたと告げた。珪子は、盗まれたと思ったのは勘違いで、金は七菜(有村架純)が見つけたと言うのだ。しかし、健太は金をとった人物を知っている。その人物と話した健太は、何者かに脅されての行動だったことを聞かされる。そんな時、健太に蟹江秀太朗(佐藤二朗)から電話がかかってくる。神取明日香(沢尻エリカ)が、誰かに階段で突き飛ばされて落下したという。明日香の容体は、果たして…。健太は、脱兎のごとく家を飛び出した。  　一方、『ナカノ電子部品』では、太一(寺尾聰)が西沢摂子(山口紗弥加)から、新たな問題の報告を受ける。今度は商品の在庫が合わないと言うのだ。商品の担当は真瀬博樹(竹中直人)だった。太一は真瀬に尋ねるが、また勘違いではないかと取りつく島もなく…。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</si>
  <si>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 xml:space="preserve">　  第5話の放送はプレゼント告知あります!　倉田家で、また金が盗まれた。リビングに仕掛けた防犯カメラの映像から健太(相葉雅紀)は、意外な犯人に驚く。そこに珪子(南果歩)が来て、盗まれた金が戻っていたと告げた。珪子は、盗まれたと思ったのは勘違いで、金は七菜(有村架純)が見つけたと言うのだ。しかし、健太は金をとった人物を知っている。その人物と話した健太は、何者かに脅されての行動だったことを聞かされる。そんな時、健太に蟹江秀太朗(佐藤二朗)から電話がかかってくる。神取明日香(沢尻エリカ)が、誰かに階段で突き飛ばされて落下したという。明日香の容体は、果たして…。健太は、脱兎のごとく家を飛び出した。  　一方、『ナカノ電子部品』では、太一(寺尾聰)が西沢摂子(山口紗弥加)から、新たな問題の報告を受ける。今度は商品の在庫が合わないと言うのだ。商品の担当は真瀬博樹(竹中直人)だった。太一は真瀬に尋ねるが、また勘違いではないかと取りつく島もなく…。</t>
  </si>
  <si>
    <t>番組名ようこそ、わが家へ【妹は絶対に守る!卑劣なストーカーと直接対決!】　#06</t>
  </si>
  <si>
    <t>【番組公式ホームページ】  http://www.fujitv.co.jp/wagayae/　    第6話プレゼント告知あります!　倉田健太(相葉雅紀)は神取明日香(沢尻エリカ)の事件からヒントを得て、ストーカーの足取りを追うことを思いつく。最初に健太が駅で注意して、自宅までつけて来た人物のその後の行動だ。明日香とともに手がかりを探す健太へ、タクシー会社から、倉田家付近で怪しい人物を乗せたと情報が入る。  　健太たちは、その人物が降車した場所へ。すると見覚えのある人物を発見。七菜(有村架純)の元カレ、辻本正輝(藤井流星)だ。健太と明日香は、倉田家への嫌がらせと七菜へのストーカー行為を止めるよう辻本に詰め寄る。だが、辻本は意外なことを健太に告げる。  　その頃、『ナカノ電子部品』では、在庫数の合わなかった商品が見つかっていた。太一(寺尾聰)と西沢摂子(山口紗弥加)は、確認したときにはなかった商品を平井光雄(戸田昌宏)に見せられる。見落としたと平井は言うが、摂子は真瀬博樹(竹中直人)が裏で糸を引いていると太一に告げた。　健太と明日香は、七菜に辻本の話を聞く。しかし、健太は辻本にストーカーの疑いがあることは、七菜に話さなかった。アナウンサー面接も大詰めを迎えようとしている七菜に余計な心配をさせたくなかったのだ。その夜、珪子(南果歩)が波戸清治(眞島秀和)たち陶芸教室の仲間と一泊旅行に行って良いかと太一に聞く。その話を聞いて、健太の胸中はさざめく。以前、波戸から「君のお母さんが好きだ」と告げられていたからだ…。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</si>
  <si>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 xml:space="preserve">　    第6話プレゼント告知あります!　倉田健太(相葉雅紀)は神取明日香(沢尻エリカ)の事件からヒントを得て、ストーカーの足取りを追うことを思いつく。最初に健太が駅で注意して、自宅までつけて来た人物のその後の行動だ。明日香とともに手がかりを探す健太へ、タクシー会社から、倉田家付近で怪しい人物を乗せたと情報が入る。  　健太たちは、その人物が降車した場所へ。すると見覚えのある人物を発見。七菜(有村架純)の元カレ、辻本正輝(藤井流星)だ。健太と明日香は、倉田家への嫌がらせと七菜へのストーカー行為を止めるよう辻本に詰め寄る。だが、辻本は意外なことを健太に告げる。  　その頃、『ナカノ電子部品』では、在庫数の合わなかった商品が見つかっていた。太一(寺尾聰)と西沢摂子(山口紗弥加)は、確認したときにはなかった商品を平井光雄(戸田昌宏)に見せられる。見落としたと平井は言うが、摂子は真瀬博樹(竹中直人)が裏で糸を引いていると太一に告げた。　健太と明日香は、七菜に辻本の話を聞く。しかし、健太は辻本にストーカーの疑いがあることは、七菜に話さなかった。アナウンサー面接も大詰めを迎えようとしている七菜に余計な心配をさせたくなかったのだ。その夜、珪子(南果歩)が波戸清治(眞島秀和)たち陶芸教室の仲間と一泊旅行に行って良いかと太一に聞く。その話を聞いて、健太の胸中はさざめく。以前、波戸から「君のお母さんが好きだ」と告げられていたからだ…。</t>
  </si>
  <si>
    <t>番組名ようこそ、わが家へ【健太を刺したのは誰?遂に犯人の正体が明らかに!】　#07</t>
  </si>
  <si>
    <t>【番組公式ホームページ】  http://www.fujitv.co.jp/wagayae/　倉田家に次々と嫌がらせを繰り返すストーカー。健太(相葉雅紀)は、家に仕掛けられた盗聴器を逆に利用しようと思いつく。家族全員の留守を装ってストーカーをおびき出し、顔を確認しようと考えたのだ。  　決行当日。健太が七菜(有村架純)と身を潜ませていると、ストーカーが現れた。しかし、健太たちはストーカーに気づかれてしまう。逃げるストーカーを追う健太と七菜。だが、ストーカーの逆襲に遭い、七菜を庇おうとした健太が刺されてしまった。様子を見に来た神取明日香(沢尻エリカ)の通報で、健太は病院に搬送。ストーカーは逃走してしまった。  　家路を急いでいた太一(寺尾聰)は自宅前の騒然とした雰囲気にぼうぜん。木下巡査(夙川アトム)から健太が刺されたことを知らされた太一は、明日香から状況を聞き、動揺する七菜を落ち着かせる。そして、太一は珪子(南果歩)に連絡。  　珪子は一緒に行くはずだった下村民子(堀内敬子)にキャンセルされたため、波戸清治(眞島秀和)と旅先で2人きりの夜を過ごそうとしていた。すると、そんな状況からか波戸は珪子に自分の想いを告白。その時、珪子の携帯電話が鳴る。太一から健太の急を知らされた珪子は病院へと急ぐ。  　病院で倉田家の面々、明日香が健太の緊急手術を不安の中で待つ。そこで七菜は、元カレの辻本正輝(藤井流星)にストーキングされていることを家族に打ち明ける中、家族の前に辻本が姿を現し…。相葉雅紀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</si>
  <si>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 xml:space="preserve">　倉田家に次々と嫌がらせを繰り返すストーカー。健太(相葉雅紀)は、家に仕掛けられた盗聴器を逆に利用しようと思いつく。家族全員の留守を装ってストーカーをおびき出し、顔を確認しようと考えたのだ。  　決行当日。健太が七菜(有村架純)と身を潜ませていると、ストーカーが現れた。しかし、健太たちはストーカーに気づかれてしまう。逃げるストーカーを追う健太と七菜。だが、ストーカーの逆襲に遭い、七菜を庇おうとした健太が刺されてしまった。様子を見に来た神取明日香(沢尻エリカ)の通報で、健太は病院に搬送。ストーカーは逃走してしまった。  　家路を急いでいた太一(寺尾聰)は自宅前の騒然とした雰囲気にぼうぜん。木下巡査(夙川アトム)から健太が刺されたことを知らされた太一は、明日香から状況を聞き、動揺する七菜を落ち着かせる。そして、太一は珪子(南果歩)に連絡。  　珪子は一緒に行くはずだった下村民子(堀内敬子)にキャンセルされたため、波戸清治(眞島秀和)と旅先で2人きりの夜を過ごそうとしていた。すると、そんな状況からか波戸は珪子に自分の想いを告白。その時、珪子の携帯電話が鳴る。太一から健太の急を知らされた珪子は病院へと急ぐ。  　病院で倉田家の面々、明日香が健太の緊急手術を不安の中で待つ。そこで七菜は、元カレの辻本正輝(藤井流星)にストーキングされていることを家族に打ち明ける中、家族の前に辻本が姿を現し…。</t>
  </si>
  <si>
    <t>番組名ようこそ、わが家へ【ゴメン、僕は母さんを守ることが出来なかった…】　#08</t>
  </si>
  <si>
    <t>【番組公式ホームページ】  http://www.fujitv.co.jp/wagayae/　    第8話プレゼント告知あります!　倉田家では、健太(相葉雅紀)の退院祝いが行われようとしていた。パーティーには神取明日香(沢尻エリカ)も参加。そんな倉田家に、刑事の枚方(乃木涼介)と尾村(俵山峻)が来た。なんと住居侵入と窃盗の容疑で、珪子(南果歩)を警察署で取り調べると言う。明日香の機転で珪子の出頭は回避され、取り調べは自宅で行われることとなった。  　刑事たちによると、ここのところ倉田家周辺の所轄管内で空き巣被害が連続。珪子が通う陶芸教室の仲間たちも被害に遭っていた。しかもその日の朝、狙われた中嶋家には、珪子の指紋がついたペットボトルと波戸清治(眞島秀和)からもらったブローチが落ちていたという。珪子を疑わざるを得ないと話す刑事に、明日香は他の家では発見されなかった犯人の遺留品が、中嶋家だけに残されたのはおかしいと疑問を投げる。  　翌日、健太と明日香は、珪子が返したというブローチの行方を波戸に確認。波戸は施錠せずに駐めておいた車から盗まれたと答える。その頃、倉田家に珪子の主婦仲間が集まっていた。主婦たちにつるし上げられそうになる珪子。そんな珪子を下村民子(堀内敬子)がかばい、主婦たちは帰って行った。  　しかし、珪子への疑いは晴れない。健太と七菜(有村架純)が帰宅すると珪子を誹謗(ひぼう)するメモがポストに入っていた。防犯カメラの映像には、主婦の中嶋(歌川椎子)が映っていた。次の日、健太は明日香と中嶋宅へ…。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</si>
  <si>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 xml:space="preserve">　    第8話プレゼント告知あります!　倉田家では、健太(相葉雅紀)の退院祝いが行われようとしていた。パーティーには神取明日香(沢尻エリカ)も参加。そんな倉田家に、刑事の枚方(乃木涼介)と尾村(俵山峻)が来た。なんと住居侵入と窃盗の容疑で、珪子(南果歩)を警察署で取り調べると言う。明日香の機転で珪子の出頭は回避され、取り調べは自宅で行われることとなった。  　刑事たちによると、ここのところ倉田家周辺の所轄管内で空き巣被害が連続。珪子が通う陶芸教室の仲間たちも被害に遭っていた。しかもその日の朝、狙われた中嶋家には、珪子の指紋がついたペットボトルと波戸清治(眞島秀和)からもらったブローチが落ちていたという。珪子を疑わざるを得ないと話す刑事に、明日香は他の家では発見されなかった犯人の遺留品が、中嶋家だけに残されたのはおかしいと疑問を投げる。  　翌日、健太と明日香は、珪子が返したというブローチの行方を波戸に確認。波戸は施錠せずに駐めておいた車から盗まれたと答える。その頃、倉田家に珪子の主婦仲間が集まっていた。主婦たちにつるし上げられそうになる珪子。そんな珪子を下村民子(堀内敬子)がかばい、主婦たちは帰って行った。  　しかし、珪子への疑いは晴れない。健太と七菜(有村架純)が帰宅すると珪子を誹謗(ひぼう)するメモがポストに入っていた。防犯カメラの映像には、主婦の中嶋(歌川椎子)が映っていた。次の日、健太は明日香と中嶋宅へ…。</t>
  </si>
  <si>
    <t>番組名ようこそ、わが家へ【あなたがやったんですよね。絶対に逃しませんから】　#09</t>
  </si>
  <si>
    <t>【番組公式ホームページ】  http://www.fujitv.co.jp/wagayae/　倉田健太(相葉雅紀)は、下村民子(堀内敬子)が危険な人物であることを伝えようと珪子(南果歩)に電話。しかし、珪子は民子とともにいると言い、通話は不自然に切れてしまった。  　健太が急いで自宅に戻ると、民子に殴られた珪子がリビングに倒れている。室内には灯油がまかれていた。健太が珪子に駆け寄ると、目の前に火を灯したライターが突きつけられる。民子だった。健太は、なぜこんなことをするのかと民子に問い、説得を試みようとするが、民子の瞳に宿った恐ろしい炎は消えようとしない。  　その頃、『ナカノ電子部品』への残留がかかっている太一(寺尾聰)は『イーグル精密』の不渡りを確認するため奔走していた。自社の持川徹社長(近藤芳正)に連絡し、担当の真瀬博樹(竹中直人)への確認を依頼。すると、やはり『イーグル精密』の不渡りは確実なものと判明してしまう。真瀬は持川に謝罪するが、その責任を太一にかぶせようとし始めた。太一は『イーグル精密』の危機的状況を話していたのだが、真瀬は知らないと言い張る。太一は、同じことを報告書として上げていたのだが、持川も読んでいないと言うのだ。そして、社長の閲覧印が押されて戻っていたはずの報告書は、太一のデスクから消えていた。  　もはやこれまでと、真瀬と持川に頭を下げる太一。持川はあきれ顔で去っていく。そんな太一を見ていた西沢摂子(山口紗弥加)は、ある夜の出来事を思い出した。相葉雅紀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</si>
  <si>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 xml:space="preserve">　倉田健太(相葉雅紀)は、下村民子(堀内敬子)が危険な人物であることを伝えようと珪子(南果歩)に電話。しかし、珪子は民子とともにいると言い、通話は不自然に切れてしまった。  　健太が急いで自宅に戻ると、民子に殴られた珪子がリビングに倒れている。室内には灯油がまかれていた。健太が珪子に駆け寄ると、目の前に火を灯したライターが突きつけられる。民子だった。健太は、なぜこんなことをするのかと民子に問い、説得を試みようとするが、民子の瞳に宿った恐ろしい炎は消えようとしない。  　その頃、『ナカノ電子部品』への残留がかかっている太一(寺尾聰)は『イーグル精密』の不渡りを確認するため奔走していた。自社の持川徹社長(近藤芳正)に連絡し、担当の真瀬博樹(竹中直人)への確認を依頼。すると、やはり『イーグル精密』の不渡りは確実なものと判明してしまう。真瀬は持川に謝罪するが、その責任を太一にかぶせようとし始めた。太一は『イーグル精密』の危機的状況を話していたのだが、真瀬は知らないと言い張る。太一は、同じことを報告書として上げていたのだが、持川も読んでいないと言うのだ。そして、社長の閲覧印が押されて戻っていたはずの報告書は、太一のデスクから消えていた。  　もはやこれまでと、真瀬と持川に頭を下げる太一。持川はあきれ顔で去っていく。そんな太一を見ていた西沢摂子(山口紗弥加)は、ある夜の出来事を思い出した。</t>
  </si>
  <si>
    <t>番組名ようこそ、わが家へ【恐怖の日々の終焉!全ての謎の答えが明らかに?】　#10</t>
  </si>
  <si>
    <t>【番組公式ホームページ】  http://www.fujitv.co.jp/wagayae/　    最終回プレゼント告知あります!　倉田健太(相葉雅紀)はニット帽の男と再会。しかし逃げられてしまう。太一(寺尾聰)は深追いするなと健太に注意。しかし、ニット帽の男が始めた倉田家への嫌がらせをきっかけに、七菜(有村架純)や珪子(南果歩)が傷つき、太一の仕事場にも少なからず影響があった。健太の、ニット帽の男と決着をつけようとする意思は固い。  　その矢先、倉田家の表の壁や門に派手な落書きがされた。家族は警察に通報、防犯カメラの映像で犯人は段ボールで身を隠していた。落書きがニット帽の男の仕業だとしたら、なぜ防犯カメラの存在を知っていたのだろうか…?  　『円タウン出版』で、健太はニット帽の男に会ったことと落書きの経緯を神取明日香(沢尻エリカ)と蟹江秀太朗(佐藤二朗)に話す。さらに、健太はもみ合った時に、ニット帽の男がしていたネックレスの詳細を覚えていた。健太は明日香とともに、このネックレスから男の身元を確かめようと出版社を出る。そんな2人を、何者かが見つめていた…。  　太一も西沢摂子(山口紗弥加)とともに、『ナカノ電子部品』で不正を繰り返す真瀬博樹(竹中直人)との戦いにけりをつけようとしていた。  　ついに決着する、ひきょう者たちと平凡な家族の壮絶な闘い。そして倉田家が狙われた真の理由が判明したとき、明らかになる「ようこそ、わが家へ」に込められた意味。その意味を知ったとき、誰もが身震いせずにはいられない!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</si>
  <si>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 xml:space="preserve">　    最終回プレゼント告知あります!　倉田健太(相葉雅紀)はニット帽の男と再会。しかし逃げられてしまう。太一(寺尾聰)は深追いするなと健太に注意。しかし、ニット帽の男が始めた倉田家への嫌がらせをきっかけに、七菜(有村架純)や珪子(南果歩)が傷つき、太一の仕事場にも少なからず影響があった。健太の、ニット帽の男と決着をつけようとする意思は固い。  　その矢先、倉田家の表の壁や門に派手な落書きがされた。家族は警察に通報、防犯カメラの映像で犯人は段ボールで身を隠していた。落書きがニット帽の男の仕業だとしたら、なぜ防犯カメラの存在を知っていたのだろうか…?  　『円タウン出版』で、健太はニット帽の男に会ったことと落書きの経緯を神取明日香(沢尻エリカ)と蟹江秀太朗(佐藤二朗)に話す。さらに、健太はもみ合った時に、ニット帽の男がしていたネックレスの詳細を覚えていた。健太は明日香とともに、このネックレスから男の身元を確かめようと出版社を出る。そんな2人を、何者かが見つめていた…。  　太一も西沢摂子(山口紗弥加)とともに、『ナカノ電子部品』で不正を繰り返す真瀬博樹(竹中直人)との戦いにけりをつけようとしていた。  　ついに決着する、ひきょう者たちと平凡な家族の壮絶な闘い。そして倉田家が狙われた真の理由が判明したとき、明らかになる「ようこそ、わが家へ」に込められた意味。その意味を知ったとき、誰もが身震いせずにはいられない!</t>
  </si>
  <si>
    <t>1504_CX_水22</t>
  </si>
  <si>
    <t>心がポキッとね</t>
  </si>
  <si>
    <t>番組名心がポキッとね【阿部サダヲ主演!オトナの男女4人のラブコメディー】　#01</t>
  </si>
  <si>
    <t>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対象ドラマ:月9『ようこそ、わが家へ』火10『戦う!書店ガール』水10『心がポキッとね』木10『医師たちの恋愛事情』★公式HPも要チェック!  劇中にも出てくる「静のブログ」や、若手俳優たちによる「現場レポート」など、HPでしか見られないコンテンツがいっぱい!  URL:　http://www.fujitv.co.jp/kokopoki/　小島春太(阿部サダヲ)は、アンティーク家具店の倉庫の一角に作った居住スペースで目を覚ました。いつもの通り深呼吸をすると、身支度を整えて出かけていく。春太が着いたのは、大竹心(藤木直人)が社長を勤める家具店「リオ　ボニート!」だ。修理担当として働く春太に、店員の糸山扶美(徳永えり)が声をかける。一見、癒やし系だが、自分におせっかいを焼く扶美が春太は苦手だった。店にはほかに、富田涼(永瀬匡)、庄司加代子(池津祥子)もいた。  　同じ頃、葉山みやこ(水原希子)は、悪態をついてアパートを出るとアルバイト先へやって来るが、店長からクビを通達されてしまう。  　仕事を終えた春太は、思い切って「白神メンタル相談所」のドアをたたく。春太を迎えたのは、所長の白神(山西惇)。  　その頃、空間コーディネーターの鴨田静(山口智子)は、完璧な夕食を用意すると、テレビでスポーツ観戦中の心に声をかける。一瞬迷いながらも、心はテレビを消すと、料理を絶賛。うれしい静は、料理を写真に撮るとブログにアップする。  　カウンセリングを終えた春太は、公園の大きな桜の木に目を留める。そこには桜を見つめるみやこがいて、そのあまりの美しさに春太は見とれてしまう。すると突然、みやこが堤防に登り始めた。そこへ、牧野江里子(山下リオ)が走って来る。ここにヘンな女がいただろう、と聞かれた春太は…。小島春太:　阿部サダヲ　    葉山みやこ:　水原希子　    糸山扶美:　徳永えり　  牧野江里子:　山下リオ　  富田涼:　永瀬匡  　　・　　  庄司加代子:　池津祥子　  白神:　山西惇　    大竹心:　藤木直人　    鴨田静:　山口智子【脚本】  岡田惠和　    【編成企画】  若松央樹　  野崎理　    【演出】  宮本理江子　  都築淳一　  宮脇亮　    【医療監修】  香山リカ　    【音楽】  瀬川英史　    【主題歌】  星野源「SUN」(ビクター/スピードスターレコーズ)　    【制作】  フジテレビ　    【制作著作】  共同テレビ</t>
  </si>
  <si>
    <t xml:space="preserve">　小島春太(阿部サダヲ)は、アンティーク家具店の倉庫の一角に作った居住スペースで目を覚ました。いつもの通り深呼吸をすると、身支度を整えて出かけていく。春太が着いたのは、大竹心(藤木直人)が社長を勤める家具店「リオ　ボニート!」だ。修理担当として働く春太に、店員の糸山扶美(徳永えり)が声をかける。一見、癒やし系だが、自分におせっかいを焼く扶美が春太は苦手だった。店にはほかに、富田涼(永瀬匡)、庄司加代子(池津祥子)もいた。  　同じ頃、葉山みやこ(水原希子)は、悪態をついてアパートを出るとアルバイト先へやって来るが、店長からクビを通達されてしまう。  　仕事を終えた春太は、思い切って「白神メンタル相談所」のドアをたたく。春太を迎えたのは、所長の白神(山西惇)。  　その頃、空間コーディネーターの鴨田静(山口智子)は、完璧な夕食を用意すると、テレビでスポーツ観戦中の心に声をかける。一瞬迷いながらも、心はテレビを消すと、料理を絶賛。うれしい静は、料理を写真に撮るとブログにアップする。  　カウンセリングを終えた春太は、公園の大きな桜の木に目を留める。そこには桜を見つめるみやこがいて、そのあまりの美しさに春太は見とれてしまう。すると突然、みやこが堤防に登り始めた。そこへ、牧野江里子(山下リオ)が走って来る。ここにヘンな女がいただろう、と聞かれた春太は…。</t>
  </si>
  <si>
    <t>番組名心がポキッとね【まさかの再会、元夫婦!そして4人での暮らしが開始!】　#02</t>
  </si>
  <si>
    <t>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詳しくは各ドラマのHPをご覧ください!★公式HPも要チェック!  劇中にも出てくる「静のブログ」や、若手俳優たちによる「現場レポート」など、HPでしか見られないコンテンツがいっぱい!  URL:　http://www.fujitv.co.jp/kokopoki/　小島春太(阿部サダヲ)は、元妻の鴨田静(山口智子)に再会するも、別人になり切っている静にあわせて、初対面を装い続けた。そんな中、大竹心(藤木直人)を神とあがめる葉山みやこ(水原希子)が、心に静との関係を尋ねる。心は、愛し合っている関係だと、屈託もなく答えた。すると、みやこは静に敵意をあらわにし、静の過去の結婚歴や年齢についてズバズバと質問を続ける。一方で、静がみやこの身上について尋ねると、自分のことを話すのは嫌いだ、と口をつぐむ。  　心と静の住居スペースから、階下の自分たちのスペースに戻った春太とみやこ。みやこは、心と静の関係には違和感がある、春太と静が付き合った方がお似合いだ、などと勝手なことを言う。さらにみやこは、心を思うあまり暴走しそうだから、そんな自分を見張ってくれ、と頼む。  　翌朝、春太は睡眠不足のまま家具店「リオ　ボニート!」に出勤する。そんな春太を見た糸山扶美(徳永えり)は顔色が悪いことを異常に心配し、救急車を呼ぼうか、などと言う。へきえきとする春太の気も知らずに突っ走る扶美。そのやりとりを、富田涼(永瀬匡)と庄司加代子(池津祥子)が見ていた。  　昼休憩になり、1人の時間を取り戻した春太。公園でくつろいでいると、静が現れて、ちょっと付き合って欲しいと言う。驚きながらも、静の後ろを付いて歩く春太。さらにその後を、牧野江里子(山下リオ)が付いて行き…。小島春太:　阿部サダヲ　    葉山みやこ:　水原希子　    糸山扶美:　徳永えり　  牧野江里子:　山下リオ　  富田涼:　永瀬匡  　　・　　  庄司加代子:　池津祥子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</si>
  <si>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 xml:space="preserve">　小島春太(阿部サダヲ)は、元妻の鴨田静(山口智子)に再会するも、別人になり切っている静にあわせて、初対面を装い続けた。そんな中、大竹心(藤木直人)を神とあがめる葉山みやこ(水原希子)が、心に静との関係を尋ねる。心は、愛し合っている関係だと、屈託もなく答えた。すると、みやこは静に敵意をあらわにし、静の過去の結婚歴や年齢についてズバズバと質問を続ける。一方で、静がみやこの身上について尋ねると、自分のことを話すのは嫌いだ、と口をつぐむ。  　心と静の住居スペースから、階下の自分たちのスペースに戻った春太とみやこ。みやこは、心と静の関係には違和感がある、春太と静が付き合った方がお似合いだ、などと勝手なことを言う。さらにみやこは、心を思うあまり暴走しそうだから、そんな自分を見張ってくれ、と頼む。  　翌朝、春太は睡眠不足のまま家具店「リオ　ボニート!」に出勤する。そんな春太を見た糸山扶美(徳永えり)は顔色が悪いことを異常に心配し、救急車を呼ぼうか、などと言う。へきえきとする春太の気も知らずに突っ走る扶美。そのやりとりを、富田涼(永瀬匡)と庄司加代子(池津祥子)が見ていた。  　昼休憩になり、1人の時間を取り戻した春太。公園でくつろいでいると、静が現れて、ちょっと付き合って欲しいと言う。驚きながらも、静の後ろを付いて歩く春太。さらにその後を、牧野江里子(山下リオ)が付いて行き…。</t>
  </si>
  <si>
    <t>番組名心がポキッとね【阿部サダヲ×水原希子×藤木直人×山口智子のラブコメ】　#03</t>
  </si>
  <si>
    <t>★公式HPも要チェック!  劇中にも出てくる「静のブログ」や、若手俳優たちによる「現場レポート」など、HPでしか見られないコンテンツがいっぱい!  URL:　http://www.fujitv.co.jp/kokopoki/　雑誌の撮影が中止となった翌朝、小島春太(阿部サダヲ)は一人で店へ出かけていく。鴨田静(山口智子)は、葉山みやこ(水原希子)と大竹心(藤木直人)に指示しながら、片付けを始める。そんな中、撮影用に作ったが手を付けられていない料理を見た心は、それを「リオ　ボニート!」に運んでパーティーをしよう、と提案する。  　心に誘われ渋々パーティーに参加することを決めたみやこは、静が支度をしている間に春太の居住スペースで時間をつぶす。そこで見つけた、春太の古い携帯電話。裏側には、春太と静のプリクラが貼られていて、それを見たみやこは機嫌が悪くなる。  　その頃、春太は「リオ　ボニート!」の作業場にいたが、疲れたため長椅子で休憩することに。携帯電話を広げ、静のブログをチェックしたり、保存していた新婚時代の自分と静の写真を見たりするうち寝入ってしまう。  　そこへ、料理を持ったみやこ、心、静がやってくる。みやこが来たことに反応した糸山扶美(徳永えり)に、心はみやこが倉庫で暮らしていることを明かす。扶美は驚くが、状況が分からない富田涼(永瀬匡)と庄司加代子(池津祥子)は、顔を見合わせる。  　やがて、春太を呼びに加代子が作業場に入ってくる。床に落ちていた春太の携帯を見つけ、拾いあげた加代子は、ロックを解除して画面を見る。そこで目を覚ました春太は…。小島春太:　阿部サダヲ　    葉山みやこ:　水原希子　    糸山扶美:　徳永えり　  牧野江里子:　山下リオ　  富田涼:　永瀬匡  　　・　　  庄司加代子:　池津祥子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</si>
  <si>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 xml:space="preserve">　雑誌の撮影が中止となった翌朝、小島春太(阿部サダヲ)は一人で店へ出かけていく。鴨田静(山口智子)は、葉山みやこ(水原希子)と大竹心(藤木直人)に指示しながら、片付けを始める。そんな中、撮影用に作ったが手を付けられていない料理を見た心は、それを「リオ　ボニート!」に運んでパーティーをしよう、と提案する。  　心に誘われ渋々パーティーに参加することを決めたみやこは、静が支度をしている間に春太の居住スペースで時間をつぶす。そこで見つけた、春太の古い携帯電話。裏側には、春太と静のプリクラが貼られていて、それを見たみやこは機嫌が悪くなる。  　その頃、春太は「リオ　ボニート!」の作業場にいたが、疲れたため長椅子で休憩することに。携帯電話を広げ、静のブログをチェックしたり、保存していた新婚時代の自分と静の写真を見たりするうち寝入ってしまう。  　そこへ、料理を持ったみやこ、心、静がやってくる。みやこが来たことに反応した糸山扶美(徳永えり)に、心はみやこが倉庫で暮らしていることを明かす。扶美は驚くが、状況が分からない富田涼(永瀬匡)と庄司加代子(池津祥子)は、顔を見合わせる。  　やがて、春太を呼びに加代子が作業場に入ってくる。床に落ちていた春太の携帯を見つけ、拾いあげた加代子は、ロックを解除して画面を見る。そこで目を覚ました春太は…。</t>
  </si>
  <si>
    <t>番組名心がポキッとね【阿部サダヲ×水原希子×藤木直人×山口智子のラブコメ】　#04</t>
  </si>
  <si>
    <t>★公式HPも要チェック!  劇中にも出てくる「静のブログ」や、若手俳優たちによる「現場レポート」など、HPでしか見られないコンテンツがいっぱい!  URL:　http://www.fujitv.co.jp/kokopoki/　春太(阿部サダヲ)と静(山口智子)が、夜中にこそこそと2人で会っていたのではないか、と誤解したみやこ(水原希子)によって、川に突き落とされ、ずぶぬれになってしまった3人。なぜそんな目に遭わされないといけないのか理解できない静がみやこに詰め寄ると、ただ殴ろうとしただけなのに、春太のせいで川に落ちてしまったのだと言う。とんでもない責任転嫁に驚がくの春太を尻目に、何も出来なかった自分が悪いのだ、男として情けない、と心(藤木直人)は謝り始める。  　偶然会っただけだと事情を説明する春太と静に、みやこは「偶然会うな」と理不尽なことを言い出す。それならば心とみやこはどうなのかと、逆に静が詰め寄ると、偶然だ、と平然と答えるみやこ。元夫婦であることを隠していた2人を許してくれた心に、少しは気を遣うべきだと言い、感情をあらわにするみやこに心は…。  　その後、春太と倉庫の1階に戻ったみやこは、今回の件は自分を1人にした春太が悪いのだ、と言い、自分が危ない時に1人にしないでくれ、と頼む。春太がそれを了承すると、喜んだみやこは春太を抱きしめ、春太は思わずキュンとしてしまう。さらに翌朝、みやこが用意してくれた朝食をとり、春太はちょっと幸せな時間を満喫する。しかし、そのことで逆に精神状態が乱されてしまい、足早に「白神メンタル相談所」へと向う。だが、そこには静が先客として来ていた。小島春太:　阿部サダヲ　    葉山みやこ:　水原希子　    糸山扶美:　徳永えり　  牧野江里子:　山下リオ　  富田涼:　永瀬匡  　　・　　  庄司加代子:　池津祥子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</si>
  <si>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 xml:space="preserve">　春太(阿部サダヲ)と静(山口智子)が、夜中にこそこそと2人で会っていたのではないか、と誤解したみやこ(水原希子)によって、川に突き落とされ、ずぶぬれになってしまった3人。なぜそんな目に遭わされないといけないのか理解できない静がみやこに詰め寄ると、ただ殴ろうとしただけなのに、春太のせいで川に落ちてしまったのだと言う。とんでもない責任転嫁に驚がくの春太を尻目に、何も出来なかった自分が悪いのだ、男として情けない、と心(藤木直人)は謝り始める。  　偶然会っただけだと事情を説明する春太と静に、みやこは「偶然会うな」と理不尽なことを言い出す。それならば心とみやこはどうなのかと、逆に静が詰め寄ると、偶然だ、と平然と答えるみやこ。元夫婦であることを隠していた2人を許してくれた心に、少しは気を遣うべきだと言い、感情をあらわにするみやこに心は…。  　その後、春太と倉庫の1階に戻ったみやこは、今回の件は自分を1人にした春太が悪いのだ、と言い、自分が危ない時に1人にしないでくれ、と頼む。春太がそれを了承すると、喜んだみやこは春太を抱きしめ、春太は思わずキュンとしてしまう。さらに翌朝、みやこが用意してくれた朝食をとり、春太はちょっと幸せな時間を満喫する。しかし、そのことで逆に精神状態が乱されてしまい、足早に「白神メンタル相談所」へと向う。だが、そこには静が先客として来ていた。</t>
  </si>
  <si>
    <t>番組名心がポキッとね【今からでもまだ間に合う前回ダイジェスト付き!】　#05</t>
  </si>
  <si>
    <t>★公式HPも要チェック!  劇中にも出てくる「静のブログ」や、若手俳優たちによる「現場レポート」など、HPでしか見られないコンテンツがいっぱい!  URL:　http://www.fujitv.co.jp/kokopoki/　大竹心(藤木直人)を殴ってしまった小島春太(阿部サダヲ)は、自分がまた壊れてしまったのではないかと怖くなり、混乱しながら倉庫を出ていく。鴨田静(山口智子)は、心を気遣うが、心はなぜかポカンとしている。  　春太は、公園をぼんやりと歩きながら、ベンチに座っていた葉山みやこ(水原希子)を見つけた。いつものように一方的にしゃべりながらも、みやこは春太の様子がおかしいことに気づき、何かあったのか、と聞く。春太が心を殴ったことを明かすと、みやこは意外にも春太を気遣った。春太は、そんなみやこの優しさが嬉しくて、切ない。  　そこへ、心が2人を迎えに来る。春太もみやこもまともに心の顔を見られないが、心はいつもの笑顔だった。心にうながされて歩き始めるふたり。道すがら、春太は心に謝ろうとするが、心は、帰るまで今日あったことについてしゃべってはいけない、と静に釘を刺されているという。そんなことを素直に明かす心にツッコミを入れているうち、3人は和んだ雰囲気で帰宅する。そんな3人を迎えた静は、軽く不機嫌になりつつも、部屋に入るように指示する。  　春太、みやこ、心を前にした静は、みやこのストーカー問題と、春太による心の殴打事件について、中立の立場の自分が仕切るのが適任だと言って、冷静に問題点を挙げ、解決方法を理路整然と提示していく静。やがて、みやこの問題になったとき、春太がみやこを擁護する発言をし…。小島春太:　阿部サダヲ　    葉山みやこ:　水原希子　    糸山扶美:　徳永えり　  牧野江里子:　山下リオ　  富田涼:　永瀬匡  　　・　　  庄司加代子:　池津祥子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</si>
  <si>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 xml:space="preserve">　大竹心(藤木直人)を殴ってしまった小島春太(阿部サダヲ)は、自分がまた壊れてしまったのではないかと怖くなり、混乱しながら倉庫を出ていく。鴨田静(山口智子)は、心を気遣うが、心はなぜかポカンとしている。  　春太は、公園をぼんやりと歩きながら、ベンチに座っていた葉山みやこ(水原希子)を見つけた。いつものように一方的にしゃべりながらも、みやこは春太の様子がおかしいことに気づき、何かあったのか、と聞く。春太が心を殴ったことを明かすと、みやこは意外にも春太を気遣った。春太は、そんなみやこの優しさが嬉しくて、切ない。  　そこへ、心が2人を迎えに来る。春太もみやこもまともに心の顔を見られないが、心はいつもの笑顔だった。心にうながされて歩き始めるふたり。道すがら、春太は心に謝ろうとするが、心は、帰るまで今日あったことについてしゃべってはいけない、と静に釘を刺されているという。そんなことを素直に明かす心にツッコミを入れているうち、3人は和んだ雰囲気で帰宅する。そんな3人を迎えた静は、軽く不機嫌になりつつも、部屋に入るように指示する。  　春太、みやこ、心を前にした静は、みやこのストーカー問題と、春太による心の殴打事件について、中立の立場の自分が仕切るのが適任だと言って、冷静に問題点を挙げ、解決方法を理路整然と提示していく静。やがて、みやこの問題になったとき、春太がみやこを擁護する発言をし…。</t>
  </si>
  <si>
    <t>番組名心がポキッとね【今からでもまだ間に合う前回ダイジェスト付き!】　#06</t>
  </si>
  <si>
    <t>★公式HPも要チェック!  劇中にも出てくる「静のブログ」や、若手俳優たちによる「現場レポート」など、HPでしか見られないコンテンツがいっぱい!  URL:　http://www.fujitv.co.jp/kokopoki/　小島春太(阿部サダヲ)と結婚する、と言い出した葉山みやこ(水原希子)に、春太は慌てるが、みやこは冗談で言っているのではない、自分と結婚するのは嫌なのか、と春太に迫る。  　その頃、鴨田静(山口智子)は、大竹心(藤木直人)に連れられて心の友人宅のパーティーに参加していた。初めて心の友人に会う静は、気合い十分でドレスアップしていたが、そこは予想に反してカジュアルな会だった。Tシャツにジーンズ姿の人たちの中、セレブのような出で立ちの静は完全に浮いてしまう。そんなとき、「圭子」と静の昔の名前を呼ぶ人がいた。静の同級生で、今や時の人となっている空間コーディネーターの波野栞(渡辺美奈代)だった。静と2人きりになった栞は、同業者の先輩として、と前置きをしながら、静に痛烈な言葉をお見舞いする。それが次々と心に刺さった静は、言い返すことが出来ない。  　一方春太はみやこに、結婚ではなく付き合うのではダメなのかと妥協案を出すが一蹴されてしまう。その後も、次々と正論をぶつける春太に怒ったみやこは、もう、結婚はしない、と言って出て行く。置き捨てられた婚姻届を見て複雑な思いになった春太は、みやこを追いかけるが、どこを探しても見つからない。商店街へ入りゲームセンターをのぞくと、そこには静がいた。1人で黙々とモグラたたきをする静。やがて春太に気づいた静は、お願いがあると言う。みやこが気になりながらも、春太は…。小島春太:　阿部サダヲ　    葉山みやこ:　水原希子　    糸山扶美:　徳永えり　  牧野江里子:　山下リオ　  富田涼:　永瀬匡  　　・　　  庄司加代子:　池津祥子　  波野栞:　渡辺美奈代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</si>
  <si>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 xml:space="preserve">　小島春太(阿部サダヲ)と結婚する、と言い出した葉山みやこ(水原希子)に、春太は慌てるが、みやこは冗談で言っているのではない、自分と結婚するのは嫌なのか、と春太に迫る。  　その頃、鴨田静(山口智子)は、大竹心(藤木直人)に連れられて心の友人宅のパーティーに参加していた。初めて心の友人に会う静は、気合い十分でドレスアップしていたが、そこは予想に反してカジュアルな会だった。Tシャツにジーンズ姿の人たちの中、セレブのような出で立ちの静は完全に浮いてしまう。そんなとき、「圭子」と静の昔の名前を呼ぶ人がいた。静の同級生で、今や時の人となっている空間コーディネーターの波野栞(渡辺美奈代)だった。静と2人きりになった栞は、同業者の先輩として、と前置きをしながら、静に痛烈な言葉をお見舞いする。それが次々と心に刺さった静は、言い返すことが出来ない。  　一方春太はみやこに、結婚ではなく付き合うのではダメなのかと妥協案を出すが一蹴されてしまう。その後も、次々と正論をぶつける春太に怒ったみやこは、もう、結婚はしない、と言って出て行く。置き捨てられた婚姻届を見て複雑な思いになった春太は、みやこを追いかけるが、どこを探しても見つからない。商店街へ入りゲームセンターをのぞくと、そこには静がいた。1人で黙々とモグラたたきをする静。やがて春太に気づいた静は、お願いがあると言う。みやこが気になりながらも、春太は…。</t>
  </si>
  <si>
    <t>番組名心がポキッとね【主演・阿部サダヲ×脚本・岡田惠和によるラブコメ】　#07</t>
  </si>
  <si>
    <t>★公式HPも要チェック!  劇中にも出てくる「静のブログ」や、若手俳優たちによる「現場レポート」など、HPでしか見られないコンテンツがいっぱい!  URL:　http://www.fujitv.co.jp/kokopoki/　倉庫で目を覚ました小島春太(阿部サダヲ)は、そばにいた大竹心(藤木直人)から、春太と心が一階に、葉山みやこ(水原希子)と鴨田静(山口智子)が二階に住むことになったと聞く。酒に酔った自分が何かひどいことをしたのでは、と不安になる春太に「ぶっちゃけていた」と心は明かすが、詳細は話してくれない。  　同じ頃、みやこと静は朝食をとりながら、みやこがキスをされた心にドキドキしなかった原因について分析していた。  　「最低」と言われ、何かケジメをつけなければと息巻く心をよそに、不安を抱えながらも部屋を出た春太は、いつもの公園で牧野江里子(山下リオ)に出会う。昨日、江里子も海に来ていたことを思い出した春太があいさつをすると、江里子は、昨日は面白いものを見せてもらったと言い、春太の暴走の様子を収録した音声を聞かせる。  　江里子と別れた春太が「リオ　ボニート!」への道を歩いていると、春太を見かけて驚く女性がいた。その女性ー野村郁子(岡本玲)は、春太を追って「リオ　ボニート!」までやってくる。  　疲れ切った春太が店に入ると、春太を待っていた糸山扶美(徳永えり)が声をかけてくる。しかし、いつもと様子の違う扶美に、春太は逆にペースを乱される。さらに、庄司加代子(池津祥子)、富田涼(永瀬匡)にも心を乱された春太は、一人になりたくて公園へ。ところが、そこで静に会ってしまう。春太は昨日のことを謝るが…。小島春太:　阿部サダヲ　    葉山みやこ:　水原希子　    糸山扶美:　徳永えり　  牧野江里子:　山下リオ　  富田涼:　永瀬匡  　　・　　  庄司加代子:　池津祥子　  波野栞:　渡辺美奈代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</si>
  <si>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 xml:space="preserve">　倉庫で目を覚ました小島春太(阿部サダヲ)は、そばにいた大竹心(藤木直人)から、春太と心が一階に、葉山みやこ(水原希子)と鴨田静(山口智子)が二階に住むことになったと聞く。酒に酔った自分が何かひどいことをしたのでは、と不安になる春太に「ぶっちゃけていた」と心は明かすが、詳細は話してくれない。  　同じ頃、みやこと静は朝食をとりながら、みやこがキスをされた心にドキドキしなかった原因について分析していた。  　「最低」と言われ、何かケジメをつけなければと息巻く心をよそに、不安を抱えながらも部屋を出た春太は、いつもの公園で牧野江里子(山下リオ)に出会う。昨日、江里子も海に来ていたことを思い出した春太があいさつをすると、江里子は、昨日は面白いものを見せてもらったと言い、春太の暴走の様子を収録した音声を聞かせる。  　江里子と別れた春太が「リオ　ボニート!」への道を歩いていると、春太を見かけて驚く女性がいた。その女性ー野村郁子(岡本玲)は、春太を追って「リオ　ボニート!」までやってくる。  　疲れ切った春太が店に入ると、春太を待っていた糸山扶美(徳永えり)が声をかけてくる。しかし、いつもと様子の違う扶美に、春太は逆にペースを乱される。さらに、庄司加代子(池津祥子)、富田涼(永瀬匡)にも心を乱された春太は、一人になりたくて公園へ。ところが、そこで静に会ってしまう。春太は昨日のことを謝るが…。</t>
  </si>
  <si>
    <t>番組名心がポキッとね【主演・阿部サダヲ×脚本・岡田惠和によるラブコメ】　#08</t>
  </si>
  <si>
    <t>★公式HPも要チェック!  劇中にも出てくる「静のブログ」や、若手俳優たちによる「現場レポート」など、HPでしか見られないコンテンツがいっぱい!  URL:　http://www.fujitv.co.jp/kokopoki/　小島春太(阿部サダヲ)と大竹心(藤木直人)が倉庫の1階に、葉山みやこ(水原希子)と鴨田静(山口智子)が2階に暮らし始めて数日、春太は心と、みやこは静と穏やかな時間を過ごしながら、それぞれの恋愛観や家族などについて、突っ込んだ話をするようになる。そんななか、みやこの母親と静が同い年であることが発覚し、静は驚がくする。  　「リオ　ボニート!」では、一夜を共に過ごした富田涼(永瀬匡)と庄司加代子(池津祥子)が気まずい雰囲気のなか、黙り込んでいた。その頃、作業場にいた春太は、みやこに頼まれたオルゴールの修理に没頭していた。そこへ、糸山扶美(徳永えり)がひとりの女性を連れて店内へ戻ってくる。女性は、春太の母親の久江(市毛良枝)だった。知人の見舞いのついでに顔を見に来た、という母親との久しぶりの再会に、春太は複雑な思いになる。すると再び扶美が来て、あれこれとおせっかいを焼いたため、結局、春太は母親を倉庫に案内するはめになる。  　その頃、みやこ、静、心は一緒に倉庫に戻ってくるが、2階から物音がしたため警戒する。そんなところへ、春太と久江がやってくる。春太の元妻である静を見た久江は驚き、春太が事情を説明しようとしたとき、部屋からある女性が出てきた。「マリさん!」と心が声をかけた女性は、心の母親のマリ(烏丸せつこ)だった。まったく予期せぬ状況に春太は…。小島春太:　阿部サダヲ　    葉山みやこ:　水原希子　    糸山扶美:　徳永えり　  牧野江里子:　山下リオ　  富田涼:　永瀬匡  　　・　　  庄司加代子:　池津祥子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</si>
  <si>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 xml:space="preserve">　小島春太(阿部サダヲ)と大竹心(藤木直人)が倉庫の1階に、葉山みやこ(水原希子)と鴨田静(山口智子)が2階に暮らし始めて数日、春太は心と、みやこは静と穏やかな時間を過ごしながら、それぞれの恋愛観や家族などについて、突っ込んだ話をするようになる。そんななか、みやこの母親と静が同い年であることが発覚し、静は驚がくする。  　「リオ　ボニート!」では、一夜を共に過ごした富田涼(永瀬匡)と庄司加代子(池津祥子)が気まずい雰囲気のなか、黙り込んでいた。その頃、作業場にいた春太は、みやこに頼まれたオルゴールの修理に没頭していた。そこへ、糸山扶美(徳永えり)がひとりの女性を連れて店内へ戻ってくる。女性は、春太の母親の久江(市毛良枝)だった。知人の見舞いのついでに顔を見に来た、という母親との久しぶりの再会に、春太は複雑な思いになる。すると再び扶美が来て、あれこれとおせっかいを焼いたため、結局、春太は母親を倉庫に案内するはめになる。  　その頃、みやこ、静、心は一緒に倉庫に戻ってくるが、2階から物音がしたため警戒する。そんなところへ、春太と久江がやってくる。春太の元妻である静を見た久江は驚き、春太が事情を説明しようとしたとき、部屋からある女性が出てきた。「マリさん!」と心が声をかけた女性は、心の母親のマリ(烏丸せつこ)だった。まったく予期せぬ状況に春太は…。</t>
  </si>
  <si>
    <t>番組名心がポキッとね【主演・阿部サダヲ×脚本・岡田惠和によるラブコメ】　#09</t>
  </si>
  <si>
    <t>★公式HPも要チェック!  劇中にも出てくる「静のブログ」や、若手俳優たちによる「現場レポート」など、HPでしか見られないコンテンツがいっぱい!  URL:　http://www.fujitv.co.jp/kokopoki/　小島春太(阿部サダヲ)と葉山みやこ(水原希子)が倉庫の1階、鴨田静(山口智子)と大竹心(藤木直人)が2階と、4人は再び元どおりの組み合わせで暮らすことになった。春太は、一人にしないと約束したみやこに「世界で一番都合がいい男」と呼ばれながらも、穏やかに過ぎる時間に幸せを感じていた。  　一方、改めて恋を始めた静と心は、恋人らしい関係を築きつつあった。そんな折、心は春太に、恋人とうまくいくようになったら、次のステップは結婚なのか、結婚となればどれほど大変なことがあるのか教えて欲しい、と教えを請いに来る。  　その後、家に戻った春太を、ご機嫌なみやこと静が迎える。何か良いことがあったのか、と聞く春太に、静がウエディングに関する本を出版できることになった、と伝えた。とはいえ、リアリティーを追求した本のため、モデルとなる新郎新婦は、実際に近々挙式するカップルに頼むという。そこで、ひらめいたみやこが、富田涼(永瀬匡)と庄司加代子(池津祥子)を推薦する。  　さらに、みやこは、仕事で知り合ったカメラマンからモデルにスカウトされたことを春太に明かす。みやこは大変そうだから、と誘いを断ったという。春太はそんなみやこを説得し、ついに、もう一度カメラマンと連絡を取ると約束した。しかし、みやこが仕事より、自分との暮らしを大事に思っていると気づいた春太は…。小島春太:　阿部サダヲ　    葉山みやこ:　水原希子　    糸山扶美:　徳永えり　  牧野江里子:　山下リオ　  富田涼:　永瀬匡  　　・　　  庄司加代子:　池津祥子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</si>
  <si>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 xml:space="preserve">　小島春太(阿部サダヲ)と葉山みやこ(水原希子)が倉庫の1階、鴨田静(山口智子)と大竹心(藤木直人)が2階と、4人は再び元どおりの組み合わせで暮らすことになった。春太は、一人にしないと約束したみやこに「世界で一番都合がいい男」と呼ばれながらも、穏やかに過ぎる時間に幸せを感じていた。  　一方、改めて恋を始めた静と心は、恋人らしい関係を築きつつあった。そんな折、心は春太に、恋人とうまくいくようになったら、次のステップは結婚なのか、結婚となればどれほど大変なことがあるのか教えて欲しい、と教えを請いに来る。  　その後、家に戻った春太を、ご機嫌なみやこと静が迎える。何か良いことがあったのか、と聞く春太に、静がウエディングに関する本を出版できることになった、と伝えた。とはいえ、リアリティーを追求した本のため、モデルとなる新郎新婦は、実際に近々挙式するカップルに頼むという。そこで、ひらめいたみやこが、富田涼(永瀬匡)と庄司加代子(池津祥子)を推薦する。  　さらに、みやこは、仕事で知り合ったカメラマンからモデルにスカウトされたことを春太に明かす。みやこは大変そうだから、と誘いを断ったという。春太はそんなみやこを説得し、ついに、もう一度カメラマンと連絡を取ると約束した。しかし、みやこが仕事より、自分との暮らしを大事に思っていると気づいた春太は…。</t>
  </si>
  <si>
    <t>番組名心がポキッとね【いよいよ最終回!こじれた全ての恋がフィナーレへ!】　#10</t>
  </si>
  <si>
    <t>★公式HPも要チェック!  劇中にも出てくる「静のブログ」や、若手俳優たちによる「現場レポート」など、HPでしか見られないコンテンツがいっぱい!  URL:　http://www.fujitv.co.jp/kokopoki/　大竹心(藤木直人)が、何も言わずに旅に出たのは、自分が強引に結婚の話を進めたからだ、と鴨田静(山口智子)は責任を感じていた。小島春太(阿部サダヲ)は、心は静との結婚にあたり、考えていることがあると言っていたから静に責任はない、と明かし、むしろ、自分が結婚について幻滅させるような話をしたからではないか、と謝罪する。静は、相手が帰ってくるかどうかもわからないようでは仕方がない、とウエディングの本の出版を断ることを決めた。  　そんな静を見ていた葉山みやこ(水原希子)は、突然のことにも取り乱さず気丈に振る舞える静はかっこいい、と感心する。しかし付き合いの長い春太は、内心では取り乱しているだろうけれど、必死で持ちこたえようとしているのでは、と静の気持ちを察していた。みやこは、そんな憂いを含んだ春太の表情が妙に気になり…。  　その頃、心は人知れず暗い洞窟の中にいた。真剣な表情で、奥へと進んで行く…。  　翌日、春太は「リオ　ボニート!」の糸山扶美(徳永えり)に電話をかけ、心の交友関係について聞いた。静のために、と必死になって心の行方を探す春太を見たみやこは、少し複雑な思いになる。  　静が心配な春太は、静を夕食に誘うと、台所でみやこを含めた3人分の食事の用意を始める。そこへ、みやこ、静が帰ってきて…。小島春太:　阿部サダヲ　    葉山みやこ:　水原希子　    糸山扶美:　徳永えり　  牧野江里子:　山下リオ　  富田涼:　永瀬匡  　　・　　  庄司加代子:　池津祥子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</si>
  <si>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 xml:space="preserve">　大竹心(藤木直人)が、何も言わずに旅に出たのは、自分が強引に結婚の話を進めたからだ、と鴨田静(山口智子)は責任を感じていた。小島春太(阿部サダヲ)は、心は静との結婚にあたり、考えていることがあると言っていたから静に責任はない、と明かし、むしろ、自分が結婚について幻滅させるような話をしたからではないか、と謝罪する。静は、相手が帰ってくるかどうかもわからないようでは仕方がない、とウエディングの本の出版を断ることを決めた。  　そんな静を見ていた葉山みやこ(水原希子)は、突然のことにも取り乱さず気丈に振る舞える静はかっこいい、と感心する。しかし付き合いの長い春太は、内心では取り乱しているだろうけれど、必死で持ちこたえようとしているのでは、と静の気持ちを察していた。みやこは、そんな憂いを含んだ春太の表情が妙に気になり…。  　その頃、心は人知れず暗い洞窟の中にいた。真剣な表情で、奥へと進んで行く…。  　翌日、春太は「リオ　ボニート!」の糸山扶美(徳永えり)に電話をかけ、心の交友関係について聞いた。静のために、と必死になって心の行方を探す春太を見たみやこは、少し複雑な思いになる。  　静が心配な春太は、静を夕食に誘うと、台所でみやこを含めた3人分の食事の用意を始める。そこへ、みやこ、静が帰ってきて…。</t>
  </si>
  <si>
    <t>1504_CX_木22</t>
  </si>
  <si>
    <t>医師たちの恋愛事情</t>
  </si>
  <si>
    <t>番組名&lt;木曜劇場&gt;医師たちの恋愛事情【斎藤工がセクシーな外科医に!!】　#01</t>
  </si>
  <si>
    <t>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詳しくは各ドラマのHPをご覧ください!　外科医の守田春樹(斎藤工)は、腕を磨くために、江洋医科大学附属病院の第一外科准教授の先輩・仁志祐介(伊原剛志)を頼り、同病院に移籍することになった。ホテルで仁志と会っていた春樹は、披露宴会場で来客のひとりが吐血して倒れたことを知り、現場に駆けつける。すでにそこでは、披露宴に出席していた江洋医科大学附属病院の外科医・近藤千鶴(石田ゆり子)が処置にあたっていた。ところがそこに、千鶴の担当患者の容体が急変したとの知らせが入る。春樹は、ここは自分が引き継ぐと千鶴に申し出る。  　あくる日、江洋医科大学附属病院を訪れた春樹は、千鶴と再会し、一緒に働くことになったことを伝える。朝、カンファレンスルームでは、シングルマザーの麻酔医・河合奈々(相武紗季)、第一外科講師の高橋宗太郎(平山浩行)、内科医・市川友子(板谷由夏)らスタッフの前で、経営本部長の渡辺幹夫(生瀬勝久)が話をしていた。渡辺は、不貞行為を働いた医局長を退職させたことを報告し、今後は院内の恋愛トラブルに厳しく対処すると宣言する。春樹は、先輩医師の大根良太(三宅弘城)から、紹介状に書いてあること以外は診るなとの忠告を受け、さっそく外来患者の診察にあたる。しかし春樹は、紹介オペの患者を自分の判断で帰してしまい、大根と衝突してしまう。そんな折、春樹は、千鶴の担当患者で、間もなく退院予定だった三浦が体の不調を訴えていることを知り・・・。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平野眞(フジテレビドラマ制作センター『HERO』『ディア・シスター』ほか)関野宗紀(『ディア・シスター』ほか)　    【制作】  フジテレビ</t>
  </si>
  <si>
    <t>番組名&lt;木曜劇場&gt;医師たちの恋愛事情【熱血ドクターが組織と対決!!】　#02</t>
  </si>
  <si>
    <t>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詳しくは各ドラマのHPをご覧ください!　守田春樹(斎藤工)は、担当だった患者の死にショックを受けている近藤千鶴(石田ゆり子)を抱きしめた。だが、その姿を高橋宗太郎(平山浩行)に見られていたことには気づかなかった。千鶴は、ルール違反のオペをしたことに対するペナルティで、通常より多くの仕事をこなさなければならなくなっていた。ある夜、春樹とともに当直になった千鶴は、この間のことは忘れるからと告げる。続けて、優しすぎる医者はここではやっていけないと忠告する千鶴。すると春樹は、優しいから抱きしめたのではない「千鶴先生だから」だと答え・・・。  　そのころ、春樹たちが勤務する江洋医科大学附属病院の第一外科では、千鶴と宗太郎のどちらが次期医局長になるか注目を集めていた。千鶴の親友で内科医の市川友子(板谷由夏)や、麻酔医の河合奈々(相武紗季)は、千鶴に医局長になってほしいという。実は、准教授の仁志(伊原剛志)や病院の実権を握る経営本部長の渡辺(生瀬勝久)も、あるもくろみがあって千鶴を医局長に推していた。  　そんなある夜、春樹は、疲れて眠ってしまった千鶴に代わって、腹痛を訴えていた患者の処置をする。目を覚まし、事情を知った千鶴から、お礼をすると言われた春樹は、お礼の代わりに今度食事に行きましょうと誘う。そこに、春樹がかつて交際していた女性・由梨絵(小松彩夏)から、助けを求める電話が入る。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</si>
  <si>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番組名&lt;木曜劇場&gt;医師たちの恋愛事情【今夜、熱血医師が2つの命を救う!!】　#03</t>
  </si>
  <si>
    <t>守田春樹(斎藤工)は近藤千鶴(石田ゆり子)と高橋宗太郎(平山浩行)がキスしているところを目撃する。宗太郎は春樹に気づいたが千鶴は気づいていなかった。そこへ術後の患者の容体が急変したとの知らせが入る。3人は病室へと駆けつけ処置にあたった。  　あくる朝、医局に見知らぬ女性・白石久仁子(床嶋佳子)が現れる。寝袋で寝ていた春樹に声をかけると、医局を出ていく久仁子。入れ違いでやってきた大根良太(三宅弘城)は、春樹が年上の女性を連れ込んだと千鶴に告げ口した。そこに、急患2名が運び込まれる。解体中の建物の倒壊に巻き込まれた菊池正文(今野浩喜)と10歳年上の妻・なつみ(須藤理彩)だ。なつみは、妊娠12週だった。春樹は正文の、千鶴は産科医とともになつみの処置にあたる。正文は左肩を脱臼していたが、なつみのケガは軽く、お腹の子も無事だった。カンファレンスルームでは、経営本部長の渡辺幹夫(生瀬勝久)が、第一外科教授の永島淳三(金田明夫)の退職をみんなに報告する。研究費の不正流用があったらしい。大根は、さんざん教授にゴマをすっていたのに残念だったなと宗太郎をからかった。永島は、仁志祐介(伊原剛志)に、自分がいなくなれば次の教授は君だろうと告げる。そんな中、春樹は、宗太郎が宿直室に看護師を連れ込んでいるところを目撃し、彼と口論になる。千鶴の唇は柔らかかったと挑発された春樹は、思わず宗太郎につかみかかり…。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</si>
  <si>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守田春樹(斎藤工)は近藤千鶴(石田ゆり子)と高橋宗太郎(平山浩行)がキスしているところを目撃する。宗太郎は春樹に気づいたが千鶴は気づいていなかった。そこへ術後の患者の容体が急変したとの知らせが入る。3人は病室へと駆けつけ処置にあたった。  　あくる朝、医局に見知らぬ女性・白石久仁子(床嶋佳子)が現れる。寝袋で寝ていた春樹に声をかけると、医局を出ていく久仁子。入れ違いでやってきた大根良太(三宅弘城)は、春樹が年上の女性を連れ込んだと千鶴に告げ口した。そこに、急患2名が運び込まれる。解体中の建物の倒壊に巻き込まれた菊池正文(今野浩喜)と10歳年上の妻・なつみ(須藤理彩)だ。なつみは、妊娠12週だった。春樹は正文の、千鶴は産科医とともになつみの処置にあたる。正文は左肩を脱臼していたが、なつみのケガは軽く、お腹の子も無事だった。カンファレンスルームでは、経営本部長の渡辺幹夫(生瀬勝久)が、第一外科教授の永島淳三(金田明夫)の退職をみんなに報告する。研究費の不正流用があったらしい。大根は、さんざん教授にゴマをすっていたのに残念だったなと宗太郎をからかった。永島は、仁志祐介(伊原剛志)に、自分がいなくなれば次の教授は君だろうと告げる。そんな中、春樹は、宗太郎が宿直室に看護師を連れ込んでいるところを目撃し、彼と口論になる。千鶴の唇は柔らかかったと挑発された春樹は、思わず宗太郎につかみかかり…。</t>
  </si>
  <si>
    <t>番組名&lt;木曜劇場&gt;医師たちの恋愛事情【熱血ドクターが組織と対決!!】　#04</t>
  </si>
  <si>
    <t>守田春樹(斎藤工)は、乳頭部がんの手術を受けるために転院してきた患者・柏木誠司(鶴見辰吾)が、近藤千鶴(石田ゆり子)の婚約者だったことを知る。仁志祐介(伊原剛志)から、柏木がかつて江洋医科大学附属病院に勤務していた医師であること、ある出来事がきっかけで婚約が破談になったことを聞き、千鶴のようすが気になる春樹。柏木の手術は、彼の希望で千鶴が執刀医を務めることになった。春樹は、千鶴の助手をやらせてほしいと第一外科医局長の高橋宗太郎(平山浩行)に申し出る。経営本部長の渡辺幹夫(生瀬勝久)は、古い知り合いでも特別な感情移入はしないよう、千鶴にくぎを刺した。その夜、千鶴は、河合奈々(相武紗季)や市川友子(板谷由夏)と食事に出かける。そこで、友子が妊娠したこと、しかも父親が仁志であることを知り、驚く千鶴たち。奈々は、たくさんの人を傷つけてしまうから産まない方がいい、と言う友子に、最低だと怒りをぶつけ、店を飛び出した。千鶴は、感情に流されないでもう一度考えてみてほしい、と友子に助言するが・・・。そんなある日、外来に来ていた患者が倒れるという騒ぎが起きる。その患者とは、春樹の母・和佳子(根岸季衣)だった。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</si>
  <si>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守田春樹(斎藤工)は、乳頭部がんの手術を受けるために転院してきた患者・柏木誠司(鶴見辰吾)が、近藤千鶴(石田ゆり子)の婚約者だったことを知る。仁志祐介(伊原剛志)から、柏木がかつて江洋医科大学附属病院に勤務していた医師であること、ある出来事がきっかけで婚約が破談になったことを聞き、千鶴のようすが気になる春樹。柏木の手術は、彼の希望で千鶴が執刀医を務めることになった。春樹は、千鶴の助手をやらせてほしいと第一外科医局長の高橋宗太郎(平山浩行)に申し出る。経営本部長の渡辺幹夫(生瀬勝久)は、古い知り合いでも特別な感情移入はしないよう、千鶴にくぎを刺した。その夜、千鶴は、河合奈々(相武紗季)や市川友子(板谷由夏)と食事に出かける。そこで、友子が妊娠したこと、しかも父親が仁志であることを知り、驚く千鶴たち。奈々は、たくさんの人を傷つけてしまうから産まない方がいい、と言う友子に、最低だと怒りをぶつけ、店を飛び出した。千鶴は、感情に流されないでもう一度考えてみてほしい、と友子に助言するが・・・。そんなある日、外来に来ていた患者が倒れるという騒ぎが起きる。その患者とは、春樹の母・和佳子(根岸季衣)だった。</t>
  </si>
  <si>
    <t>番組名&lt;木曜劇場&gt;医師たちの恋愛事情【熱血ドクターが組織と対決!!】　#05</t>
  </si>
  <si>
    <t>守田春樹(斎藤工)たちが勤務する江洋医科大附属病院の第一外科に、医大生4人が研修体験にやってきた。そのなかのひとり、あずさ(東加奈子)は、案内役を務めていた近藤千鶴(石田ゆり子)に対して、仕事と恋愛は両立できるかと尋ねる。千鶴は、思いがけない質問に驚きながらも、外科医はプライベートを犠牲にしなければならない職業だと返す。  　高橋宗太郎(平山浩行)は、VIP患者・伊崎(平岳大)の退院を見送る。その際、伊崎は、河合奈々(相武紗季)に渡してほしいと言って名刺を手渡した。だが、それを預かった宗太郎は、なぜか名刺を握りつぶしてしまう。千鶴を訪ねて第一外科の医局にやってきた市川友子(板谷由夏)は、そこで仁志祐介(伊原剛志)に出会う。仁志から、お腹の子のことを尋ねられ、もういないと答える友子。偶然その会話を聞いてしまった春樹は、友子に真相を尋ねるが・・・。  　一方、経営本部長の渡辺幹夫(生瀬勝久)は、第一外科の売り上げ停滞を問題視し、顧客単価を上げるために、通常の開腹手術よりも点数の高い内視鏡手術の件数を増やすよう指示する。春樹はその提案に反発したが、体への負担が少ない内視鏡手術の方が患者のためになるのではないか、と渡辺に指摘され、反論できない。  　そんな折、手術予定時刻になっても麻酔医の奈々が現れないという騒動が起きる。春樹は、責任は自分がとると言って、奈々の代わりを務める。守田春樹: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</si>
  <si>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守田春樹(斎藤工)たちが勤務する江洋医科大附属病院の第一外科に、医大生4人が研修体験にやってきた。そのなかのひとり、あずさ(東加奈子)は、案内役を務めていた近藤千鶴(石田ゆり子)に対して、仕事と恋愛は両立できるかと尋ねる。千鶴は、思いがけない質問に驚きながらも、外科医はプライベートを犠牲にしなければならない職業だと返す。  　高橋宗太郎(平山浩行)は、VIP患者・伊崎(平岳大)の退院を見送る。その際、伊崎は、河合奈々(相武紗季)に渡してほしいと言って名刺を手渡した。だが、それを預かった宗太郎は、なぜか名刺を握りつぶしてしまう。千鶴を訪ねて第一外科の医局にやってきた市川友子(板谷由夏)は、そこで仁志祐介(伊原剛志)に出会う。仁志から、お腹の子のことを尋ねられ、もういないと答える友子。偶然その会話を聞いてしまった春樹は、友子に真相を尋ねるが・・・。  　一方、経営本部長の渡辺幹夫(生瀬勝久)は、第一外科の売り上げ停滞を問題視し、顧客単価を上げるために、通常の開腹手術よりも点数の高い内視鏡手術の件数を増やすよう指示する。春樹はその提案に反発したが、体への負担が少ない内視鏡手術の方が患者のためになるのではないか、と渡辺に指摘され、反論できない。  　そんな折、手術予定時刻になっても麻酔医の奈々が現れないという騒動が起きる。春樹は、責任は自分がとると言って、奈々の代わりを務める。</t>
  </si>
  <si>
    <t>番組名&lt;木曜劇場&gt;医師たちの恋愛事情【熱血ドクターが組織と対決!!】　#06</t>
  </si>
  <si>
    <t>守田春樹(斎藤工)のもとに、かつての恋人・由梨絵(小松彩夏)が助けを求めてやってきた。腹痛を訴え、春樹に抱きつく由梨絵。その光景を見てしまった近藤千鶴(石田ゆり子)は、複雑な心境だった。以前から痛みを我慢していた由梨絵は、春樹のそばにいたい、と懇願した。彼女は、暴力を振るう恋人の貴也(加藤厚成)と別れたくても、逃げることができないのだという。春樹は、ここにいればみんなが守ってくれるから、と言って優しく由梨絵にほほ笑んだ。  　同じころ、市川友子(板谷由夏)は、病院の屋上で仁志祐介(伊原剛志)の妻・恵美(櫻井淳子)と対峙(たいじ)していた。恵美は、金が入った封筒を差し出し、主人と別れてほしい、と友子に切り出す。そのとき、ふいに気分が悪くなり、その場にうずくまってしまう友子。物陰からふたりのようすを見守っていた仁志は、友子に駆け寄って手を貸そうとした。しかし友子は、その手を振り払うと、仁志とは別れる、と言い残して立ち去ってしまう。残された仁志は、友子が自分の子を身ごもっていることを恵美に告げ…。春樹と由梨絵が近しい間柄ということで、彼女の担当医は千鶴になった。春樹を呼び出した医局長の高橋宗太郎(平山浩行)は、由梨絵に関わるのを止めろ、と忠告する。それに対して春樹は、いま由梨絵をひとりにすることはできない、と返す。宗太郎は、そういう態度が千鶴を傷つけている、と言って春樹に怒りをぶつけ…。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</si>
  <si>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守田春樹(斎藤工)のもとに、かつての恋人・由梨絵(小松彩夏)が助けを求めてやってきた。腹痛を訴え、春樹に抱きつく由梨絵。その光景を見てしまった近藤千鶴(石田ゆり子)は、複雑な心境だった。以前から痛みを我慢していた由梨絵は、春樹のそばにいたい、と懇願した。彼女は、暴力を振るう恋人の貴也(加藤厚成)と別れたくても、逃げることができないのだという。春樹は、ここにいればみんなが守ってくれるから、と言って優しく由梨絵にほほ笑んだ。  　同じころ、市川友子(板谷由夏)は、病院の屋上で仁志祐介(伊原剛志)の妻・恵美(櫻井淳子)と対峙(たいじ)していた。恵美は、金が入った封筒を差し出し、主人と別れてほしい、と友子に切り出す。そのとき、ふいに気分が悪くなり、その場にうずくまってしまう友子。物陰からふたりのようすを見守っていた仁志は、友子に駆け寄って手を貸そうとした。しかし友子は、その手を振り払うと、仁志とは別れる、と言い残して立ち去ってしまう。残された仁志は、友子が自分の子を身ごもっていることを恵美に告げ…。春樹と由梨絵が近しい間柄ということで、彼女の担当医は千鶴になった。春樹を呼び出した医局長の高橋宗太郎(平山浩行)は、由梨絵に関わるのを止めろ、と忠告する。それに対して春樹は、いま由梨絵をひとりにすることはできない、と返す。宗太郎は、そういう態度が千鶴を傷つけている、と言って春樹に怒りをぶつけ…。</t>
  </si>
  <si>
    <t>番組名&lt;木曜劇場&gt;医師たちの恋愛事情【熱血ドクターが組織と対決!!】　#07</t>
  </si>
  <si>
    <t>守田春樹(斎藤工)は、関連病院からの紹介でやってきた男性患者・星野(笠原秀幸)を診察する。星野は、進行胃ガンで腹膜播種も疑われており、前の病院では手に負えないとさじを投げられたという。春樹は、いろいろな可能性を探るから一緒に頑張ろうと言って星野を励ました。しかし近藤千鶴(石田ゆり子)は、無責任に希望を抱かせるような言動はどうなのかと春樹を責めた。具体的な治療方法が見つからない限り、「可能性」という言葉は言うべきではないというのだ。話を聞いていた高橋宗太郎(平山浩行)は、わざと厳しく言ったのではないかと千鶴に言うが。カンファレンスでも星野の治療を巡って春樹と経営本部長の渡辺幹夫(生瀬勝久)が対立する。病院の方針に逆らうのならそれなりの措置をとると春樹に告げる渡辺。助け船を出した仁志祐介(伊原剛志)は、原発巣をとる手術だけでも行おうと提案し、教授の白石久仁子(床嶋佳子)の了承を得る。千鶴は、入院中の春樹の母・和佳子(根岸季衣)が、春樹と元恋人の由梨絵(小松彩夏)の復縁を望んでいることを知る。和佳子は、春樹に、早く一緒に生きていく家族を見つけてほしいと強く願っていた。一方、市川友子(板谷由夏)は、仁志との間にできた子を産むことにしたと河合奈々(相武紗季)に打ち明ける。奈々は、全力で応援すると友子に伝えた。そんな折、春樹は、星野の治療に関して、千鶴にある方法を提案するが・・・。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</si>
  <si>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守田春樹(斎藤工)は、関連病院からの紹介でやってきた男性患者・星野(笠原秀幸)を診察する。星野は、進行胃ガンで腹膜播種も疑われており、前の病院では手に負えないとさじを投げられたという。春樹は、いろいろな可能性を探るから一緒に頑張ろうと言って星野を励ました。しかし近藤千鶴(石田ゆり子)は、無責任に希望を抱かせるような言動はどうなのかと春樹を責めた。具体的な治療方法が見つからない限り、「可能性」という言葉は言うべきではないというのだ。話を聞いていた高橋宗太郎(平山浩行)は、わざと厳しく言ったのではないかと千鶴に言うが。カンファレンスでも星野の治療を巡って春樹と経営本部長の渡辺幹夫(生瀬勝久)が対立する。病院の方針に逆らうのならそれなりの措置をとると春樹に告げる渡辺。助け船を出した仁志祐介(伊原剛志)は、原発巣をとる手術だけでも行おうと提案し、教授の白石久仁子(床嶋佳子)の了承を得る。千鶴は、入院中の春樹の母・和佳子(根岸季衣)が、春樹と元恋人の由梨絵(小松彩夏)の復縁を望んでいることを知る。和佳子は、春樹に、早く一緒に生きていく家族を見つけてほしいと強く願っていた。一方、市川友子(板谷由夏)は、仁志との間にできた子を産むことにしたと河合奈々(相武紗季)に打ち明ける。奈々は、全力で応援すると友子に伝えた。そんな折、春樹は、星野の治療に関して、千鶴にある方法を提案するが・・・。</t>
  </si>
  <si>
    <t>番組名&lt;木曜劇場&gt;医師たちの恋愛事情【動き出した運命の行方!!】　#08</t>
  </si>
  <si>
    <t>守田春樹(斎藤工)は、整形外科から転科してきた岩瀬重雄(岩松了)の担当になり、手術の日程を相談しにいく。だが岩瀬は、死んでも構わないと言ってなぜか手術を拒む。同じころ、近藤千鶴(石田ゆり子)も、仕事中毒のキャリアウーマン・朝倉貴子(MEGUMI)から手術を拒否される。さらに高橋宗太郎(平山浩行)も、幼い3人の子どもを抱えるシングルマザーでキャバクラ嬢の前川留美(岩佐真悠子)から、金がないという理由で手術を断られていた。  　別の日、春樹の元恋人・由梨絵(小松彩夏)が退院する。駅まで春樹に送ってもらうことになった由梨絵は、いまでも好きだと告白する。一方、河合奈々(相武紗季)は、宗太郎の息子・悠馬(矢村央希)が骨髄移植を受けなければならないことを知る。しかし、悠馬と母親の菜穂(上野なつひ)とはHLA=ヒト白血球抗原が適応せず、いま宗太郎と適合するかどうかを調べているのだという。泣いている菜穂の姿を目の当たりにした奈々は、千鶴や市川友子(板谷由夏)にその複雑な胸の内を告白する。その際、奈々から春樹との関係を問われた千鶴は、もう止めたと答えるが…。  　岩瀬は、壊死(えし)した右足を切断しなければ命にかかわる状態だった。改めて岩瀬の説得を試みた春樹は、家族にも相談してはどうかと話す。しかし岩瀬は、家族なんかいないといって背を向けてしまう。そんな中、留美、そして貴子の容体が相次いで急変し…。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</si>
  <si>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守田春樹(斎藤工)は、整形外科から転科してきた岩瀬重雄(岩松了)の担当になり、手術の日程を相談しにいく。だが岩瀬は、死んでも構わないと言ってなぜか手術を拒む。同じころ、近藤千鶴(石田ゆり子)も、仕事中毒のキャリアウーマン・朝倉貴子(MEGUMI)から手術を拒否される。さらに高橋宗太郎(平山浩行)も、幼い3人の子どもを抱えるシングルマザーでキャバクラ嬢の前川留美(岩佐真悠子)から、金がないという理由で手術を断られていた。  　別の日、春樹の元恋人・由梨絵(小松彩夏)が退院する。駅まで春樹に送ってもらうことになった由梨絵は、いまでも好きだと告白する。一方、河合奈々(相武紗季)は、宗太郎の息子・悠馬(矢村央希)が骨髄移植を受けなければならないことを知る。しかし、悠馬と母親の菜穂(上野なつひ)とはHLA=ヒト白血球抗原が適応せず、いま宗太郎と適合するかどうかを調べているのだという。泣いている菜穂の姿を目の当たりにした奈々は、千鶴や市川友子(板谷由夏)にその複雑な胸の内を告白する。その際、奈々から春樹との関係を問われた千鶴は、もう止めたと答えるが…。  　岩瀬は、壊死(えし)した右足を切断しなければ命にかかわる状態だった。改めて岩瀬の説得を試みた春樹は、家族にも相談してはどうかと話す。しかし岩瀬は、家族なんかいないといって背を向けてしまう。そんな中、留美、そして貴子の容体が相次いで急変し…。</t>
  </si>
  <si>
    <t>番組名&lt;木曜劇場&gt;医師たちの恋愛事情【大切な人を守りたい!医師たちの決断】　#09</t>
  </si>
  <si>
    <t>守田春樹(斎藤工)は、近藤千鶴(石田ゆり子)の元婚約者・柏木誠司(鶴見辰吾)と再会する。手術後の経過を診てもらった誠司は、話があると春樹に切り出し、勤めていた病院を辞めて開業すること、その病院に千鶴を誘ったことを伝える。「フェアにいきたい」と誠司はそう春樹に告げた。別の日、新しいナビゲーションシステムの導入を要望していた千鶴は、カンファレンスの最後に、その件は検討してくれているのかと切り出した。すると経営本部長の渡辺幹夫(生瀬勝久)は、費用対効果が得られないと判断し見送ったと答える。異議を唱える春樹や仁志祐介(伊原剛志)に対して、教授の白石久仁子(床嶋佳子)や渡辺は、予算には限りがあるのだから購入費用をねん出するには人件費を削るしかないと言い出す。その発言がきっかけとなり、病院内では第一外科でリストラがあるかもしれないといううわさが広がる。  　一方、医局長の高橋宗太郎(平山浩行)は、息子・悠馬(矢村央希)の骨髄移植のドナーになるため、シフトを変更する。その際、宗太郎は、悠馬の父親は死んだことになっているから気を付けてほしいとスタッフに頼んだ。だが、春樹だけは、なぜうそをつかなければいけないのかと納得がいかない。そんな折、白石と渡辺は、辣腕(らつわん)経営者として知られる超VIP患者・辺見義剛(名高達男)の主治医に、仁志ではなく春樹を指名し・・・。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</si>
  <si>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守田春樹(斎藤工)は、近藤千鶴(石田ゆり子)の元婚約者・柏木誠司(鶴見辰吾)と再会する。手術後の経過を診てもらった誠司は、話があると春樹に切り出し、勤めていた病院を辞めて開業すること、その病院に千鶴を誘ったことを伝える。「フェアにいきたい」と誠司はそう春樹に告げた。別の日、新しいナビゲーションシステムの導入を要望していた千鶴は、カンファレンスの最後に、その件は検討してくれているのかと切り出した。すると経営本部長の渡辺幹夫(生瀬勝久)は、費用対効果が得られないと判断し見送ったと答える。異議を唱える春樹や仁志祐介(伊原剛志)に対して、教授の白石久仁子(床嶋佳子)や渡辺は、予算には限りがあるのだから購入費用をねん出するには人件費を削るしかないと言い出す。その発言がきっかけとなり、病院内では第一外科でリストラがあるかもしれないといううわさが広がる。  　一方、医局長の高橋宗太郎(平山浩行)は、息子・悠馬(矢村央希)の骨髄移植のドナーになるため、シフトを変更する。その際、宗太郎は、悠馬の父親は死んだことになっているから気を付けてほしいとスタッフに頼んだ。だが、春樹だけは、なぜうそをつかなければいけないのかと納得がいかない。そんな折、白石と渡辺は、辣腕(らつわん)経営者として知られる超VIP患者・辺見義剛(名高達男)の主治医に、仁志ではなく春樹を指名し・・・。</t>
  </si>
  <si>
    <t>番組名&lt;木曜劇場&gt;医師たちの恋愛事情【ふたり、結ばれる夜】　#10</t>
  </si>
  <si>
    <t>守田春樹(斎藤工)は、これまでの度重なるルール違反行為を理由に、経営本部長の渡辺幹夫(生瀬勝久)と第一外科教授の白石久仁子(床嶋佳子)から退職勧告を言い渡される。すると近藤千鶴(石田ゆり子)は、人件費削減が目的ならば春樹の代わりに自分が辞めると言い出す。その夜、春樹は千鶴に謝罪した。千鶴は、ちょうどいいタイミングだったから気にする必要はないと返すと母親の肝臓移植を執刀したいという思いを諦めないでほしいと春樹に告げる。  　そんなある日、思わぬ事件が起きる。渡辺が、病院内で意識を失って倒れていたのだ。発見者だった春樹は、渡辺の検査を行い、彼が末期の肝臓がんであることを知る。高橋宗太郎(平山浩行)ら第一外科のスタッフもショックを隠せなかった。しかし渡辺は、治る見込みのない顧客がベッドを埋めるのは無駄だと主張し、ただちに退院手続きをするよう春樹に命じる。春樹は、せめて食事が取れるようになるまでは入院してほしいと説得するが。  　別の日、千鶴と市川友子(板谷由夏)は、河合奈々(相武紗季)と彼女の息子・真人(加藤瑛斗)に付き合って公園を訪れる。実は、奈々、そして友子も、それぞれ大きな決断をしていた。ふたりから話を聞いた千鶴は・・・。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</si>
  <si>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守田春樹(斎藤工)は、これまでの度重なるルール違反行為を理由に、経営本部長の渡辺幹夫(生瀬勝久)と第一外科教授の白石久仁子(床嶋佳子)から退職勧告を言い渡される。すると近藤千鶴(石田ゆり子)は、人件費削減が目的ならば春樹の代わりに自分が辞めると言い出す。その夜、春樹は千鶴に謝罪した。千鶴は、ちょうどいいタイミングだったから気にする必要はないと返すと母親の肝臓移植を執刀したいという思いを諦めないでほしいと春樹に告げる。  　そんなある日、思わぬ事件が起きる。渡辺が、病院内で意識を失って倒れていたのだ。発見者だった春樹は、渡辺の検査を行い、彼が末期の肝臓がんであることを知る。高橋宗太郎(平山浩行)ら第一外科のスタッフもショックを隠せなかった。しかし渡辺は、治る見込みのない顧客がベッドを埋めるのは無駄だと主張し、ただちに退院手続きをするよう春樹に命じる。春樹は、せめて食事が取れるようになるまでは入院してほしいと説得するが。  　別の日、千鶴と市川友子(板谷由夏)は、河合奈々(相武紗季)と彼女の息子・真人(加藤瑛斗)に付き合って公園を訪れる。実は、奈々、そして友子も、それぞれ大きな決断をしていた。ふたりから話を聞いた千鶴は・・・。</t>
  </si>
  <si>
    <t>番組名&lt;木曜劇場&gt;医師たちの恋愛事情【最終回ふたりの結末・・・!!】　#11</t>
  </si>
  <si>
    <t>守田春樹(斎藤工)と近藤千鶴(石田ゆり子)はお互いの気持ちを確認し合った。ある朝、千鶴は、いつものように自宅に帰らず、医局で眠っていた春樹に朝食を差し入れる。春樹の提案で、病院の屋上で“朝食デート"をするふたり。誰かに見られそうと落ち着かないようすの千鶴に、春樹は、本当のデートをしようと言ってほほ笑んだ。  　高橋宗太郎(平山浩行)は、河合奈々(相武紗季)にプロポーズしたものの「OK」の返事はもらえずにいた。宗太郎は、「お前には俺を後押しする義務がある」と言って春樹に相談を持ちかける。  　一方、市川友子(板谷由夏)は、実家に戻って出産することを仁志祐介(伊原剛志)に話す。すると仁志は、離婚が決まったこと、そして本部長の渡辺幹夫(生瀬勝久)に辞表を提出したことを告げる。驚いた友子は、自分の思いを仁志に伝える。  　別の日、春樹は、仕事を終えて帰宅する千鶴を途中まで送りに行く。職場の同僚たちに見られたら何かと面倒だなどという千鶴に、ふいに結婚を申し込む春樹。それに対して千鶴は・・・。守田春樹: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</si>
  <si>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守田春樹(斎藤工)と近藤千鶴(石田ゆり子)はお互いの気持ちを確認し合った。ある朝、千鶴は、いつものように自宅に帰らず、医局で眠っていた春樹に朝食を差し入れる。春樹の提案で、病院の屋上で“朝食デート"をするふたり。誰かに見られそうと落ち着かないようすの千鶴に、春樹は、本当のデートをしようと言ってほほ笑んだ。  　高橋宗太郎(平山浩行)は、河合奈々(相武紗季)にプロポーズしたものの「OK」の返事はもらえずにいた。宗太郎は、「お前には俺を後押しする義務がある」と言って春樹に相談を持ちかける。  　一方、市川友子(板谷由夏)は、実家に戻って出産することを仁志祐介(伊原剛志)に話す。すると仁志は、離婚が決まったこと、そして本部長の渡辺幹夫(生瀬勝久)に辞表を提出したことを告げる。驚いた友子は、自分の思いを仁志に伝える。  　別の日、春樹は、仕事を終えて帰宅する千鶴を途中まで送りに行く。職場の同僚たちに見られたら何かと面倒だなどという千鶴に、ふいに結婚を申し込む春樹。それに対して千鶴は・・・。</t>
  </si>
  <si>
    <t>1501_CX_月21</t>
  </si>
  <si>
    <t>デート</t>
  </si>
  <si>
    <t>番組名デート～恋とはどんなものかしら～【杏×長谷川博己!新感覚恋愛ドラマ】　#01</t>
  </si>
  <si>
    <t>東大大学院を卒業し、内閣府の研究所で働く藪下依子(杏)は、徹底的に効率を重視する超合理主義者。そんな依子が、30歳を目前にして父親の俊雄(松重豊)から見合いをすすめられる。今まで男性と付き合ったことはないが、亡くなった母親の小夜子(和久井映見)が29歳の時には結婚も出産もしていたこと、子供が生まれれば国の少子化対策にも貢献できると考えてそれを承諾。しかし、結婚を相手との「契約」ととらえる依子は、ことごとく見合いに失敗してしまう。  　一方、「高等遊民」を自称するが、実際はニートと変わらない日々を送る谷口巧(長谷川博己)は、自宅で美術教室を営む母親の留美(風吹ジュン)と2人暮らし。昼過ぎに目覚めると、新聞を読みながら食事を済ませ、ソファに座り気取ったポーズで小説を読み始める。無職のため当然収入はなく、すべてを留美に頼っているが、働く代わりに文学や芸術の世界に好きなだけ触れられる自分の生き方に誇りを持っている。  　そんな巧を心配して幼なじみの島田宗太郎(松尾諭)が、結婚相談所の資料を持ってくるが、巧は猛反発。それでも内心では、母親に万一のことがあれば路頭に迷ってしまう自分を不安に感じていた。  　一度は結婚をあきらめた依子だが、俊雄が責任を感じていることを知り、結婚相談所に登録。そこで、一目ぼれした人とデートをすることにした、と報告する。その相手こそ、出版社勤務と経歴を偽った巧で…。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共同テレビ【公式HP】  http://www.fujitv.co.jp/date/index.html</t>
  </si>
  <si>
    <t>東大大学院を卒業し、内閣府の研究所で働く藪下依子(杏)は、徹底的に効率を重視する超合理主義者。そんな依子が、30歳を目前にして父親の俊雄(松重豊)から見合いをすすめられる。今まで男性と付き合ったことはないが、亡くなった母親の小夜子(和久井映見)が29歳の時には結婚も出産もしていたこと、子供が生まれれば国の少子化対策にも貢献できると考えてそれを承諾。しかし、結婚を相手との「契約」ととらえる依子は、ことごとく見合いに失敗してしまう。  　一方、「高等遊民」を自称するが、実際はニートと変わらない日々を送る谷口巧(長谷川博己)は、自宅で美術教室を営む母親の留美(風吹ジュン)と2人暮らし。昼過ぎに目覚めると、新聞を読みながら食事を済ませ、ソファに座り気取ったポーズで小説を読み始める。無職のため当然収入はなく、すべてを留美に頼っているが、働く代わりに文学や芸術の世界に好きなだけ触れられる自分の生き方に誇りを持っている。  　そんな巧を心配して幼なじみの島田宗太郎(松尾諭)が、結婚相談所の資料を持ってくるが、巧は猛反発。それでも内心では、母親に万一のことがあれば路頭に迷ってしまう自分を不安に感じていた。  　一度は結婚をあきらめた依子だが、俊雄が責任を感じていることを知り、結婚相談所に登録。そこで、一目ぼれした人とデートをすることにした、と報告する。その相手こそ、出版社勤務と経歴を偽った巧で…。</t>
  </si>
  <si>
    <t>番組名デート～恋とはどんなものかしら～【遊園地にて一世一代のプロポーズ!?】　#02</t>
  </si>
  <si>
    <t>藪下依子(杏)は、一度のデートで谷口巧(長谷川博己)との結婚を決めたが、困惑する父親の俊雄(松重豊)を思いやり、二度目のデートを決行することに。前回の反省を踏まえ、「楽しむこと」を目的に掲げた2人はテーマパークを訪れるも、家族連れやカップルでにぎわう雰囲気に巧が拒否反応を示す。しかし、俊雄に納得してもらうため、と奮起し、人混みの中へ。それでもどうしていいかわからず、2人はいかにも楽しそうにはしゃいでいたカップルの行動をマネすることにする。  　順番待ちにうんざりしながらも、アトラクションに乗ったり、お化け屋敷を回ったりと、一見普通のデートをする2人。そんな中、依子はもう少しお互いのことを話そう、と巧に声をかける。実は数日前、巧の経歴に疑いを持つ鷲尾豊(中島裕翔)から、巧に隠し事がないか調査したほうがいいと忠告を受けていた。それを断ったものの、亡き母親の小夜子(和久井映見)からも豊の言うことが正論だと指摘され、依子は揺れていた。同じ頃、豊は巧の母の留美(風吹ジュン)が美術教室を営む自宅を探していた。  　やがてデートも終盤を迎えた頃、巧が依子を引き留めた。巧は、宗太郎(松尾諭)と佳織(国仲涼子)とともにあるサプライズ計画を立てていたのだ。その時間までなんとか引き延ばそうと、必死に話をつなぐ巧。ところがそこへ、豊が現れてあろうことか巧のうそを暴露してしまう。それを聞いた依子は…。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共同テレビ【公式HP】  http://www.fujitv.co.jp/date/index.html</t>
  </si>
  <si>
    <t>藪下依子(杏)は、一度のデートで谷口巧(長谷川博己)との結婚を決めたが、困惑する父親の俊雄(松重豊)を思いやり、二度目のデートを決行することに。前回の反省を踏まえ、「楽しむこと」を目的に掲げた2人はテーマパークを訪れるも、家族連れやカップルでにぎわう雰囲気に巧が拒否反応を示す。しかし、俊雄に納得してもらうため、と奮起し、人混みの中へ。それでもどうしていいかわからず、2人はいかにも楽しそうにはしゃいでいたカップルの行動をマネすることにする。  　順番待ちにうんざりしながらも、アトラクションに乗ったり、お化け屋敷を回ったりと、一見普通のデートをする2人。そんな中、依子はもう少しお互いのことを話そう、と巧に声をかける。実は数日前、巧の経歴に疑いを持つ鷲尾豊(中島裕翔)から、巧に隠し事がないか調査したほうがいいと忠告を受けていた。それを断ったものの、亡き母親の小夜子(和久井映見)からも豊の言うことが正論だと指摘され、依子は揺れていた。同じ頃、豊は巧の母の留美(風吹ジュン)が美術教室を営む自宅を探していた。  　やがてデートも終盤を迎えた頃、巧が依子を引き留めた。巧は、宗太郎(松尾諭)と佳織(国仲涼子)とともにあるサプライズ計画を立てていたのだ。その時間までなんとか引き延ばそうと、必死に話をつなぐ巧。ところがそこへ、豊が現れてあろうことか巧のうそを暴露してしまう。それを聞いた依子は…。</t>
  </si>
  <si>
    <t>番組名デート～恋とはどんなものかしら～【お見合いパーティーで偶然の再会!?】　#03</t>
  </si>
  <si>
    <t>谷口巧(長谷川博己)との交際終了を決めた藪下依子(杏)は、ホテルで開催されたお見合いパーティーに参加する。そこには、なぜか巧と島田宗太郎(松尾諭)も来ていたが、依子は気にせず新しい出会いを探し始める。ところが、ストレート過ぎる言動が災いし、依子は誰からも連絡先を聞き出せない。一方の巧は、宗太郎から「唯一可能性がある」と言われた会社経営者のみどり(杉本彩)に声をかける。  　巧を援護射撃すると言って参加した宗太郎は、既婚者にもかかわらず秀子(三倉茉奈)と意気投合。巧を置き去りにする。  　1人でいた依子の元へ巧がやって来る。依子は巧にある質問を切り出そうとするが、そこへ、榊原まゆ(吉谷彩子)が割り込んで来る。マンガが大好きだというまゆは、巧と盛り上がる。  　同じ頃、島田佳織(国仲涼子)は、谷口留美(風吹ジュン)の美術教室で子供たちに絵を教えていた。その陰で、薬を飲む留美を佳織は心配する。また、藪下俊雄(松重豊)から、依子がお見合いパーティーに参加すると聞いていた鷲尾豊(中島裕翔)は気が気ではない。  　1人になった依子の元に藪下小夜子(和久井映見)が現れ、依子の現状を皮肉る。イラついた依子が小夜子を消そうとチョップすると、その手が見ず知らずの岡島(岡田浩暉)に当たってしまう。依子は、謝罪をしようとホテルのバーで岡島に酒をおごる。心理カウンセラーだという岡島とグラスを傾けた依子は…。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共同テレビ【公式HP】  http://www.fujitv.co.jp/date/index.html</t>
  </si>
  <si>
    <t>谷口巧(長谷川博己)との交際終了を決めた藪下依子(杏)は、ホテルで開催されたお見合いパーティーに参加する。そこには、なぜか巧と島田宗太郎(松尾諭)も来ていたが、依子は気にせず新しい出会いを探し始める。ところが、ストレート過ぎる言動が災いし、依子は誰からも連絡先を聞き出せない。一方の巧は、宗太郎から「唯一可能性がある」と言われた会社経営者のみどり(杉本彩)に声をかける。  　巧を援護射撃すると言って参加した宗太郎は、既婚者にもかかわらず秀子(三倉茉奈)と意気投合。巧を置き去りにする。  　1人でいた依子の元へ巧がやって来る。依子は巧にある質問を切り出そうとするが、そこへ、榊原まゆ(吉谷彩子)が割り込んで来る。マンガが大好きだというまゆは、巧と盛り上がる。  　同じ頃、島田佳織(国仲涼子)は、谷口留美(風吹ジュン)の美術教室で子供たちに絵を教えていた。その陰で、薬を飲む留美を佳織は心配する。また、藪下俊雄(松重豊)から、依子がお見合いパーティーに参加すると聞いていた鷲尾豊(中島裕翔)は気が気ではない。  　1人になった依子の元に藪下小夜子(和久井映見)が現れ、依子の現状を皮肉る。イラついた依子が小夜子を消そうとチョップすると、その手が見ず知らずの岡島(岡田浩暉)に当たってしまう。依子は、謝罪をしようとホテルのバーで岡島に酒をおごる。心理カウンセラーだという岡島とグラスを傾けた依子は…。</t>
  </si>
  <si>
    <t>番組名デート～恋とはどんなものかしら～【クリスマスに依子と巧が大ゲンカ!?】　#04</t>
  </si>
  <si>
    <t>藪下依子(杏)と谷口巧(長谷川博己)は、クリスマスイブにデートをすることになった。本来なら受け入れないふたりだが、依子は藪下俊雄(松重豊)と小夜子(和久井映見)の、巧は谷口留美(風吹ジュン)の過干渉に辟易として、イブの直前に約束をする。  　デート当日、なぜかサンタクロースの格好をした依子と普段着の巧は、カップルでにぎわう商業施設にやってくる。ところが、巧が高熱を出してしまったためデートは中止となり、依子は巧を自宅まで送り届けることに。  　その頃、谷口家はクリスマス会の最中で、留美の美術教室の生徒や、島田佳織(国仲涼子)、宗太郎(松尾諭)らが盛り上がっていた。巧は自室に倒れ込んでしまったが、依子はクリスマス会に参加させられる。  　同じ頃、藪下家の俊雄を、鷲尾豊(中島裕翔)が訪ねてくる。一人でいるのが辛いという鷲尾に、俊雄は酒を付き合ってやる。やがて、酔いが回った俊雄は、押し入れからサンタクロースの衣装を引っ張り出す。それを着て幼い依子のサンタクロースになったのか、と聞く鷲尾に、俊雄は依子の幼少時代のエピソードを明かす。  　一方、谷口家では、留美が依子に、巧の子供時代の話をしていた。クリスマスが大好きで、サンタクロースの存在も信じ、両親にプレゼントも贈っていたという幼い巧の話を、依子は意外な思いで聞いていた。さらに、巧が「高等遊民」になったきっかけを話し始め…。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共同テレビ【公式HP】  http://www.fujitv.co.jp/date/index.html</t>
  </si>
  <si>
    <t>藪下依子(杏)と谷口巧(長谷川博己)は、クリスマスイブにデートをすることになった。本来なら受け入れないふたりだが、依子は藪下俊雄(松重豊)と小夜子(和久井映見)の、巧は谷口留美(風吹ジュン)の過干渉に辟易として、イブの直前に約束をする。  　デート当日、なぜかサンタクロースの格好をした依子と普段着の巧は、カップルでにぎわう商業施設にやってくる。ところが、巧が高熱を出してしまったためデートは中止となり、依子は巧を自宅まで送り届けることに。  　その頃、谷口家はクリスマス会の最中で、留美の美術教室の生徒や、島田佳織(国仲涼子)、宗太郎(松尾諭)らが盛り上がっていた。巧は自室に倒れ込んでしまったが、依子はクリスマス会に参加させられる。  　同じ頃、藪下家の俊雄を、鷲尾豊(中島裕翔)が訪ねてくる。一人でいるのが辛いという鷲尾に、俊雄は酒を付き合ってやる。やがて、酔いが回った俊雄は、押し入れからサンタクロースの衣装を引っ張り出す。それを着て幼い依子のサンタクロースになったのか、と聞く鷲尾に、俊雄は依子の幼少時代のエピソードを明かす。  　一方、谷口家では、留美が依子に、巧の子供時代の話をしていた。クリスマスが大好きで、サンタクロースの存在も信じ、両親にプレゼントも贈っていたという幼い巧の話を、依子は意外な思いで聞いていた。さらに、巧が「高等遊民」になったきっかけを話し始め…。</t>
  </si>
  <si>
    <t>番組名デート～恋とはどんなものかしら～【人生初のキスは波乱の幕開け!?】　#05</t>
  </si>
  <si>
    <t>年の瀬が迫る頃、谷口巧(長谷川博己)は、島田佳織(国仲涼子)からカウントダウンパーティーに誘われる。新年を迎えた瞬間に、参加者同士がキスをするのが目玉のイベントで、仮装での参加が条件だという。佳織は巧に、藪下依子(杏)を誘って参加しろと言うが、巧は難色を示す。そんな巧に、島田宗太郎(松尾諭)は、交際して1カ月が経つのにキスすらしていない依子と巧にとって、イベントは絶好のチャンスだとけしかける。　同じ頃、依子も交際の進展について考えていた。藪下小夜子(和久井映見)も、4回もデートを重ねているのに何も経験していないのは異常だ、と依子を責める。気になった依子は、藪下俊雄(松重豊)に、小夜子との関係はどうだったのかと聞く。俊雄は5回目のデートで、キスから性交渉まで行ったことを明かした。  　がぜんやる気になった依子は巧に電話をかけ、その時が来た、と宣言。自分がデートプランをすべて立てるから、身一つで来てくれ、と言うと電話を切った。事情を悟った巧はおじけづくが、谷口留美(風吹ジュン)のためにも結婚は譲れないのだ、と思い直す。  　決戦の日、すっぽん料理店で落ち合った依子と巧は、黙々と鍋を食べる。やがて、やってきたタクシーに乗り、2人は依子の官舎へ。  　その頃、依子の部屋には、合鍵で入った鷲尾豊(中島裕翔)がいた。何も知らない2人は、官舎に到着。巧を部屋に招き入れた依子は…。藪下依子: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共同テレビ【公式HP】  http://www.fujitv.co.jp/date/index.html</t>
  </si>
  <si>
    <t>年の瀬が迫る頃、谷口巧(長谷川博己)は、島田佳織(国仲涼子)からカウントダウンパーティーに誘われる。新年を迎えた瞬間に、参加者同士がキスをするのが目玉のイベントで、仮装での参加が条件だという。佳織は巧に、藪下依子(杏)を誘って参加しろと言うが、巧は難色を示す。そんな巧に、島田宗太郎(松尾諭)は、交際して1カ月が経つのにキスすらしていない依子と巧にとって、イベントは絶好のチャンスだとけしかける。　同じ頃、依子も交際の進展について考えていた。藪下小夜子(和久井映見)も、4回もデートを重ねているのに何も経験していないのは異常だ、と依子を責める。気になった依子は、藪下俊雄(松重豊)に、小夜子との関係はどうだったのかと聞く。俊雄は5回目のデートで、キスから性交渉まで行ったことを明かした。  　がぜんやる気になった依子は巧に電話をかけ、その時が来た、と宣言。自分がデートプランをすべて立てるから、身一つで来てくれ、と言うと電話を切った。事情を悟った巧はおじけづくが、谷口留美(風吹ジュン)のためにも結婚は譲れないのだ、と思い直す。  　決戦の日、すっぽん料理店で落ち合った依子と巧は、黙々と鍋を食べる。やがて、やってきたタクシーに乗り、2人は依子の官舎へ。  　その頃、依子の部屋には、合鍵で入った鷲尾豊(中島裕翔)がいた。何も知らない2人は、官舎に到着。巧を部屋に招き入れた依子は…。</t>
  </si>
  <si>
    <t>番組名デート～恋とはどんなものかしら～【巧、依子の実家へ緊張の初訪問!】　#06</t>
  </si>
  <si>
    <t>新年を迎えた1月3日、藪下依子(杏)の実家に谷口巧(長谷川博己)がやってくる。そこには、依子の叔母の富田初枝(田島令子)と、叔父の富田康行(田口主将)も来ていたが、巧は横浜から慣れない東京への移動と緊張で絶不調だった。  　数日前、巧を、新年恒例の行事に誘ってはどうか、と依子に進言したのは藪下俊雄(松重豊)だった。ところが、巧はその誘いをあっさりと断ってしまう。怒った依子は、自分の家族に会おうとしないのは結婚の意志がないからだ、と交際終了を宣言。慌てた巧は、島田宗太郎(松尾諭)と佳織(国仲涼子)に相談。するとそこに依子が現れる。谷口留美(風吹ジュン)も巻き込んで話し合った結果、行事に参加すべく、依子の指導の下、対策が練られることになった。  　そして迎えた1月3日、行事はまず「あいさつ」から始まった。1人ずつ順番に姿勢を正して前年の総括と今年の抱負を述べ、終わると一同で礼をするというものだが、あまりの迫力に巧は萎縮してしまう。  　そんな頃、あろうことか和装でキメた鷲尾豊(中島裕翔)が訪ねてくる。早速、スマートかつ爽やかにあいさつをする豊に、初枝と康行は拍手喝さい。さらに、豊は俊雄とも盛り上がり始め、巧は一層、居心地が悪い。豊を気にいった初枝は、依子に豊と付き合ってみたらどうか、と猛烈にプッシュする。今まで考えたことがなかったという依子は悩み始め…。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共同テレビ【公式HP】  http://www.fujitv.co.jp/date/index.html</t>
  </si>
  <si>
    <t>新年を迎えた1月3日、藪下依子(杏)の実家に谷口巧(長谷川博己)がやってくる。そこには、依子の叔母の富田初枝(田島令子)と、叔父の富田康行(田口主将)も来ていたが、巧は横浜から慣れない東京への移動と緊張で絶不調だった。  　数日前、巧を、新年恒例の行事に誘ってはどうか、と依子に進言したのは藪下俊雄(松重豊)だった。ところが、巧はその誘いをあっさりと断ってしまう。怒った依子は、自分の家族に会おうとしないのは結婚の意志がないからだ、と交際終了を宣言。慌てた巧は、島田宗太郎(松尾諭)と佳織(国仲涼子)に相談。するとそこに依子が現れる。谷口留美(風吹ジュン)も巻き込んで話し合った結果、行事に参加すべく、依子の指導の下、対策が練られることになった。  　そして迎えた1月3日、行事はまず「あいさつ」から始まった。1人ずつ順番に姿勢を正して前年の総括と今年の抱負を述べ、終わると一同で礼をするというものだが、あまりの迫力に巧は萎縮してしまう。  　そんな頃、あろうことか和装でキメた鷲尾豊(中島裕翔)が訪ねてくる。早速、スマートかつ爽やかにあいさつをする豊に、初枝と康行は拍手喝さい。さらに、豊は俊雄とも盛り上がり始め、巧は一層、居心地が悪い。豊を気にいった初枝は、依子に豊と付き合ってみたらどうか、と猛烈にプッシュする。今まで考えたことがなかったという依子は悩み始め…。</t>
  </si>
  <si>
    <t>番組名デート～恋とはどんなものかしら～【母入院!!結婚に向けて急ピッチ!?】　#07</t>
  </si>
  <si>
    <t>藪下依子(杏)と谷口巧(長谷川博己)は、「結婚契約書」の作成を急ピッチで進めていた。ふたりが急ぐのは、谷口留美(風吹ジュン)が体調を崩したからだった。以前の検査では異常はないと言われたが、最近、貧血と体重の減少があると言う。依子に紹介された病院で検査を受けた留美は、胃潰瘍と診断され手術が行われることになった。  　結果を聞いた巧、島田佳織(国仲涼子)、島田宗太郎(松尾諭)も安堵するが、不安がよぎった依子は、藪下俊雄(松重豊)に胃がんで亡くなった藪下小夜子(和久井映見)の当時の症状を尋ねる。  　そんな日の深夜、巧がリビングに下りてくると、留美が読んでいた書類を引き出しに片づけて去っていった。巧が取り出して見ると、それは、家や土地の権利書だった。さらに、佳織や宗太郎も、留美が身辺整理らしいことをしている言動を目撃。小夜子のことで後悔がある依子は、自分たちが出来ることを速やかに実行しよう、と巧らに呼びかける。  　その裏で宗太郎は、鷲尾豊(中島裕翔)に、依子と巧が結婚を合意するタイムリミットが迫っている、とハッパをかける。  　ある日、谷口家で「結婚契約書」の作成をしていた依子がリビングに下りると、留美が不要品の整理をしていた。そこで依子は、巧の父親の写真を目にする。留美の夫でもあるこの男性がいつ亡くなったのか、と依子が尋ねると、留美は意外な事実を告げた。それを聞いた依子は…。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共同テレビ【公式HP】  http://www.fujitv.co.jp/date/index.html</t>
  </si>
  <si>
    <t>藪下依子(杏)と谷口巧(長谷川博己)は、「結婚契約書」の作成を急ピッチで進めていた。ふたりが急ぐのは、谷口留美(風吹ジュン)が体調を崩したからだった。以前の検査では異常はないと言われたが、最近、貧血と体重の減少があると言う。依子に紹介された病院で検査を受けた留美は、胃潰瘍と診断され手術が行われることになった。  　結果を聞いた巧、島田佳織(国仲涼子)、島田宗太郎(松尾諭)も安堵するが、不安がよぎった依子は、藪下俊雄(松重豊)に胃がんで亡くなった藪下小夜子(和久井映見)の当時の症状を尋ねる。  　そんな日の深夜、巧がリビングに下りてくると、留美が読んでいた書類を引き出しに片づけて去っていった。巧が取り出して見ると、それは、家や土地の権利書だった。さらに、佳織や宗太郎も、留美が身辺整理らしいことをしている言動を目撃。小夜子のことで後悔がある依子は、自分たちが出来ることを速やかに実行しよう、と巧らに呼びかける。  　その裏で宗太郎は、鷲尾豊(中島裕翔)に、依子と巧が結婚を合意するタイムリミットが迫っている、とハッパをかける。  　ある日、谷口家で「結婚契約書」の作成をしていた依子がリビングに下りると、留美が不要品の整理をしていた。そこで依子は、巧の父親の写真を目にする。留美の夫でもあるこの男性がいつ亡くなったのか、と依子が尋ねると、留美は意外な事実を告げた。それを聞いた依子は…。</t>
  </si>
  <si>
    <t>番組名デート～恋とはどんなものかしら～【結婚は愛か理念か?皆の本音が爆発!】　#08</t>
  </si>
  <si>
    <t>【公式HP】  http://www.fujitv.co.jp/date/index.html　    【モバイルコンテンツ】  恋愛不適合度診断・キャスト待受けなど、オリジナルコンテンツ好評配信中!「デート　コンテンツストア」で検索!!　ついに、藪下依子(杏)と谷口巧(長谷川博己)の結納が執り行われることになり、藪下家に両家が集まった。厳かな雰囲気の中、儀式は始まるが、藪下俊雄(松重豊)と谷口努(平田満)の口上がしどろもどろで、谷口留美(風吹ジュン)は笑いが止まらない。そんな中、依子は、沈んだ様子の巧のことが気にかかる。  　その1週間前、依子と巧のお祝いパーティーが開かれ、島田佳織(国仲涼子)、島田宗太郎(松尾諭)、鷲尾豊(中島裕翔)が谷口家にそろった。結納が2月14日だと聞いた佳織はロマンティックだと言い、依子にバレンタインデーの思い出を聞くが、依子は今まで一度もチョコを渡したことがないと答える。それを聞いた巧は賢明だと依子をほめ、バレンタインデーなど製菓業界が仕組んだイベントに過ぎない、とさげすむように言う。豊は、依子の心のどこかには誰かにチョコをあげたいという気持ちがあるのでは、と食い下がるが、依子に否定されてしまう。  　依子が席を外すと、豊は、自分はもう依子のことは諦めたが、依子はきっと誰かにチョコをあげたいはずだし、恋もしたいはずだから依子と恋をしてあげてほしい、と巧に頼む。  　今から19年前、10歳の頃の依子(内田愛)は、バレンタインデーに藪下小夜子(和久井映見)からある予言をされていた。藪下依子: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t>
  </si>
  <si>
    <t>ついに、藪下依子(杏)と谷口巧(長谷川博己)の結納が執り行われることになり、藪下家に両家が集まった。厳かな雰囲気の中、儀式は始まるが、藪下俊雄(松重豊)と谷口努(平田満)の口上がしどろもどろで、谷口留美(風吹ジュン)は笑いが止まらない。そんな中、依子は、沈んだ様子の巧のことが気にかかる。  　その1週間前、依子と巧のお祝いパーティーが開かれ、島田佳織(国仲涼子)、島田宗太郎(松尾諭)、鷲尾豊(中島裕翔)が谷口家にそろった。結納が2月14日だと聞いた佳織はロマンティックだと言い、依子にバレンタインデーの思い出を聞くが、依子は今まで一度もチョコを渡したことがないと答える。それを聞いた巧は賢明だと依子をほめ、バレンタインデーなど製菓業界が仕組んだイベントに過ぎない、とさげすむように言う。豊は、依子の心のどこかには誰かにチョコをあげたいという気持ちがあるのでは、と食い下がるが、依子に否定されてしまう。  　依子が席を外すと、豊は、自分はもう依子のことは諦めたが、依子はきっと誰かにチョコをあげたいはずだし、恋もしたいはずだから依子と恋をしてあげてほしい、と巧に頼む。  　今から19年前、10歳の頃の依子(内田愛)は、バレンタインデーに藪下小夜子(和久井映見)からある予言をされていた。</t>
  </si>
  <si>
    <t>番組名デート～恋とはどんなものかしら～【高等遊民誕生の秘密と結婚式の思い?】　#09</t>
  </si>
  <si>
    <t>【公式HP】  http://www.fujitv.co.jp/date/index.html　    【モバイルコンテンツ】  恋愛不適合度診断・キャスト待受けなど、オリジナルコンテンツ好評配信中!「デート　コンテンツストア」で検索!!　藪下依子(杏)と谷口巧(長谷川博己)の結納が取り止めになってから1カ月後の3月15日、依子、島田佳織(国仲涼子)、鷲尾豊(中島裕翔)、島田宗太郎(松尾諭)、藪下俊雄(松重豊)、谷口留美(風吹ジュン)、谷口努(平田満)は、結婚式場にいた。この日が無事に迎えられてよかった、と喜ぶ俊雄に、留美も努も安堵の表情を見せた。ところが、スタッフの女性がウエディングドレスを持って入室してくると、そこに巧がいないことが発覚。全員で手分けをして探すが見当たらない。努は巧抜きでやるか、と言うが、依子は一蹴。心当たりがあるという依子は、部屋を飛び出していく。  　その1カ月前の2月14日、結納が取り止めになった後、依子は豊に、佳織は巧にバレンタインチョコレートを渡し、それぞれの交際が始まった。依子は巧に電話をかけ、豊とデートをすることになったと報告。すると、巧も佳織とデートの予定があると話した。2人はお互いの恋の成就を祈り、今後これ以上話はしないほうがいいと確認し、電話を切った。  　巧からありのままの自分でデートに行くことが大事だ、と忠告されていた依子は、部屋着にぼさぼさの頭で出かけていく。それを見た豊は、最高だと喜び、依子を美容院やショップへと連れていく。やがて、美しくドレスアップされた自分に、依子もまんざらではなく…。一方の巧は、佳織と自宅で映画とマンガ鑑賞という自分らしいデートを満喫していた。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t>
  </si>
  <si>
    <t>藪下依子(杏)と谷口巧(長谷川博己)の結納が取り止めになってから1カ月後の3月15日、依子、島田佳織(国仲涼子)、鷲尾豊(中島裕翔)、島田宗太郎(松尾諭)、藪下俊雄(松重豊)、谷口留美(風吹ジュン)、谷口努(平田満)は、結婚式場にいた。この日が無事に迎えられてよかった、と喜ぶ俊雄に、留美も努も安堵の表情を見せた。ところが、スタッフの女性がウエディングドレスを持って入室してくると、そこに巧がいないことが発覚。全員で手分けをして探すが見当たらない。努は巧抜きでやるか、と言うが、依子は一蹴。心当たりがあるという依子は、部屋を飛び出していく。  　その1カ月前の2月14日、結納が取り止めになった後、依子は豊に、佳織は巧にバレンタインチョコレートを渡し、それぞれの交際が始まった。依子は巧に電話をかけ、豊とデートをすることになったと報告。すると、巧も佳織とデートの予定があると話した。2人はお互いの恋の成就を祈り、今後これ以上話はしないほうがいいと確認し、電話を切った。  　巧からありのままの自分でデートに行くことが大事だ、と忠告されていた依子は、部屋着にぼさぼさの頭で出かけていく。それを見た豊は、最高だと喜び、依子を美容院やショップへと連れていく。やがて、美しくドレスアップされた自分に、依子もまんざらではなく…。一方の巧は、佳織と自宅で映画とマンガ鑑賞という自分らしいデートを満喫していた。</t>
  </si>
  <si>
    <t>番組名デート～恋とはどんなものかしら～【恋愛不適合な2人の本当の恋とは?】　#10</t>
  </si>
  <si>
    <t>【公式HP】  http://www.fujitv.co.jp/date/index.html　    【モバイルコンテンツ】  恋愛不適合度診断・キャスト待受けなど、オリジナルコンテンツ好評配信中!「デート　コンテンツストア」で検索!!　3月22日、藪下依子(杏)は30歳の誕生日を迎えた。いつもの時間に起床し、いつものように日課をこなしながらも、依子はチラチラと鳴らない携帯電話を見る。やがて、自分から鷲尾豊(中島裕翔)に電話をかけて今日の予定を聞くが、大事な商談が入ったため会えないと言われてしまう。気を取り直して、藪下俊雄(松重豊)にかけると、あろうことか俊雄にも振られてしまう。そんな依子を見て、藪下小夜子(和久井映見)は笑い出す。  　暇を持て余した依子は、大好きな路線バスに乗り、横浜市内を巡ることにした。すると、谷口巧(長谷川博己)が乗り込んでくる。突然のことにとまどいながらも、隣同士に座った2人はいつものように会話の応酬を始める。しかし、議論が白熱し過ぎた結果、巧が依子の手を踏み、依子の頭が巧の鼻を直撃し、巧が鼻血を出すというハプニングが起こる。そんなとき、依子と巧のことを見ていた上品な老婦人(白石加代子)が声をかけてくる。  　やがて、老婦人が誕生日プレゼントだと言って、依子にリンゴを1個手渡して降りていくと、巧の携帯が鳴った。島田佳織(国仲涼子)からだったが、依子と一緒にいると言うと切れてしまう。すると今度は、依子の携帯に佳織から電話がかかってくる。依子が出ると、佳織は谷口留美(風吹ジュン)が倒れたと伝える。慌てた2人は、巧の自宅へと駆け出し…。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t>
  </si>
  <si>
    <t>3月22日、藪下依子(杏)は30歳の誕生日を迎えた。いつもの時間に起床し、いつものように日課をこなしながらも、依子はチラチラと鳴らない携帯電話を見る。やがて、自分から鷲尾豊(中島裕翔)に電話をかけて今日の予定を聞くが、大事な商談が入ったため会えないと言われてしまう。気を取り直して、藪下俊雄(松重豊)にかけると、あろうことか俊雄にも振られてしまう。そんな依子を見て、藪下小夜子(和久井映見)は笑い出す。  　暇を持て余した依子は、大好きな路線バスに乗り、横浜市内を巡ることにした。すると、谷口巧(長谷川博己)が乗り込んでくる。突然のことにとまどいながらも、隣同士に座った2人はいつものように会話の応酬を始める。しかし、議論が白熱し過ぎた結果、巧が依子の手を踏み、依子の頭が巧の鼻を直撃し、巧が鼻血を出すというハプニングが起こる。そんなとき、依子と巧のことを見ていた上品な老婦人(白石加代子)が声をかけてくる。  　やがて、老婦人が誕生日プレゼントだと言って、依子にリンゴを1個手渡して降りていくと、巧の携帯が鳴った。島田佳織(国仲涼子)からだったが、依子と一緒にいると言うと切れてしまう。すると今度は、依子の携帯に佳織から電話がかかってくる。依子が出ると、佳織は谷口留美(風吹ジュン)が倒れたと伝える。慌てた2人は、巧の自宅へと駆け出し…。</t>
  </si>
  <si>
    <t>1501_CX_火21</t>
  </si>
  <si>
    <t>ゴーストライター</t>
  </si>
  <si>
    <t>番組名ゴーストライター　#01</t>
  </si>
  <si>
    <t>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会場では、ある新人賞授賞式の準備が進んでいた。たぐいまれな才能と美貌とを兼ね備えた遠野リサ(中谷美紀)は授賞式の目玉となる存在。その頃、出版社・駿峰社の一室ではリサの作品の映画化が決定されようとしていた。幹部たちに説明をしているのが、やり手編集マン・神崎雄司(田中哲司)。リサの作品はこの7年間で映像化された10作品全て大ヒット、文庫も300万部を売り上げた作品もある。誰から見ても順風満帆そのもののリサだったが実は既に行き詰まりを感じていた。  　小説家を夢見て東京にやってきた川原由樹(水川あさみ)。田舎で待つ婚約者には1年限りという約束をして最後の挑戦と意気込み東京へやってきた。いくつもの新人賞に応募を続けたが結果を出すことなく1年が経ってしまった。故郷に戻り結婚することを心に決める。はずだったが、由樹はまだあきらめきれなかった。手元に残していた原稿を持って出版社を訪れる。プロの編集者から「君には才能がない」そう言ってもらえればきっぱりあきらめがつく。由樹が向かったのは大手出版社・駿峰社。由樹と受付係のやりとりを偶然耳にした新人編集マン・小田颯人(三浦翔平)は由樹に声をかける。「遠野リサのアシスタントを探しているんですが…」。憧れの大作家のアシスタントの仕事に由樹の心は揺れた。田舎に帰って結婚するはずの由樹の人生が今、大きな転換点を迎えようとしていた。  　そしてリサの作家人生も…。【脚本】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　    【制作】  フジテレビ　    【制作著作】  共同テレビ番組ホームページはこちら　  http://www.fujitv.co.jp/ghostwriter/</t>
  </si>
  <si>
    <t>会場では、ある新人賞授賞式の準備が進んでいた。たぐいまれな才能と美貌とを兼ね備えた遠野リサ(中谷美紀)は授賞式の目玉となる存在。その頃、出版社・駿峰社の一室ではリサの作品の映画化が決定されようとしていた。幹部たちに説明をしているのが、やり手編集マン・神崎雄司(田中哲司)。リサの作品はこの7年間で映像化された10作品全て大ヒット、文庫も300万部を売り上げた作品もある。誰から見ても順風満帆そのもののリサだったが実は既に行き詰まりを感じていた。  　小説家を夢見て東京にやってきた川原由樹(水川あさみ)。田舎で待つ婚約者には1年限りという約束をして最後の挑戦と意気込み東京へやってきた。いくつもの新人賞に応募を続けたが結果を出すことなく1年が経ってしまった。故郷に戻り結婚することを心に決める。はずだったが、由樹はまだあきらめきれなかった。手元に残していた原稿を持って出版社を訪れる。プロの編集者から「君には才能がない」そう言ってもらえればきっぱりあきらめがつく。由樹が向かったのは大手出版社・駿峰社。由樹と受付係のやりとりを偶然耳にした新人編集マン・小田颯人(三浦翔平)は由樹に声をかける。「遠野リサのアシスタントを探しているんですが…」。憧れの大作家のアシスタントの仕事に由樹の心は揺れた。田舎に帰って結婚するはずの由樹の人生が今、大きな転換点を迎えようとしていた。  　そしてリサの作家人生も…。</t>
  </si>
  <si>
    <t>番組名ゴーストライター　#02</t>
  </si>
  <si>
    <t>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遠野リサ(中谷美紀)は、川原由樹(水川あさみ)を正式にアシスタントとして採用する。由樹は、婚約者の尾崎浩康(小柳友)にそれを報告し、すぐに辞めることを約束する。  　あくる日、リサは、やってきた由樹にいきなり連載中の小説のプロットを書くように言い渡す。有無を言わさぬリサの口調に、由樹は辞めることを切り出せないまま引き受ける。  　神崎雄司(田中哲司)は、プレゼンしていたリサの小説の映画化が決まり、出世に手応えを感じる。そんな矢先、これまで一度も締切りを落としたことのないリサが、別会社の連載を落としたと報告が入った。  　映画化する新作の取材のためウエディングサロンへ向かったリサは、助手席に座る由樹に対し、提出したプロットのダメ出しをして書き直しを命じる。サロンで合流した神崎に、差し替え前の追悼文を書いた人だと由樹を紹介するリサ。さして気にした様子のない神崎は、リサに原稿を落とさないように念を押した。  　由樹は、書き直したプロットをリサに渡し、アシスタントを続けられないことを告げる。リサは一瞬の沈黙の後了承するが、再びプロットの書き直しを命じ、代わりのアシスタントを探す手配をしようとする秘書の田浦美鈴(キムラ緑子)をなぜか制した。  　その夜、執筆中のリサのもとに、母親の元子(江波杏子)が入所している施設から元子がいなくなったと連絡が入り…。【脚本】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　    【制作】  フジテレビ　    【制作著作】  共同テレビ番組ホームページはこちら　  http://www.fujitv.co.jp/ghostwriter/</t>
  </si>
  <si>
    <t>遠野リサ(中谷美紀)は、川原由樹(水川あさみ)を正式にアシスタントとして採用する。由樹は、婚約者の尾崎浩康(小柳友)にそれを報告し、すぐに辞めることを約束する。  　あくる日、リサは、やってきた由樹にいきなり連載中の小説のプロットを書くように言い渡す。有無を言わさぬリサの口調に、由樹は辞めることを切り出せないまま引き受ける。  　神崎雄司(田中哲司)は、プレゼンしていたリサの小説の映画化が決まり、出世に手応えを感じる。そんな矢先、これまで一度も締切りを落としたことのないリサが、別会社の連載を落としたと報告が入った。  　映画化する新作の取材のためウエディングサロンへ向かったリサは、助手席に座る由樹に対し、提出したプロットのダメ出しをして書き直しを命じる。サロンで合流した神崎に、差し替え前の追悼文を書いた人だと由樹を紹介するリサ。さして気にした様子のない神崎は、リサに原稿を落とさないように念を押した。  　由樹は、書き直したプロットをリサに渡し、アシスタントを続けられないことを告げる。リサは一瞬の沈黙の後了承するが、再びプロットの書き直しを命じ、代わりのアシスタントを探す手配をしようとする秘書の田浦美鈴(キムラ緑子)をなぜか制した。  　その夜、執筆中のリサのもとに、母親の元子(江波杏子)が入所している施設から元子がいなくなったと連絡が入り…。</t>
  </si>
  <si>
    <t>番組名ゴーストライター　#03</t>
  </si>
  <si>
    <t>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向井七恵:　山本未來　小説執筆に行き詰った遠野リサ(中谷美紀)に代わり、川原由樹(水川あさみ)がプロットを書くようになってから連載小説の評判が上がり始めた。リサは罪悪感を抱えながらも、由樹のために彼女の才能の扉を開いただけだと自分に言い聞かせてプロットを書かせ続ける。  　事情を知らない小田颯人(三浦翔平)は、再び神崎雄司(田中哲司)に由樹の原稿を読んで欲しいとお願いする。耳を貸そうとしない神崎だったが、由樹の名前を聞くと原稿を受け取る。  　リサは、由樹に豪華な仕事部屋を与えた。恐縮する由樹に、リサは駿峰社で始まる新連載のプロットは設定からストーリーまで自由に書いていいと告げる。  　神崎がリサの事務所にやって来た。対応した由樹に神崎は、新連載はプロットだけでなく小説を書いてみないかと持ちかけた。突然のことに戸惑う由樹。  　リサはテレビ局の廊下で、同時期に新人賞を受賞して以来ライバルと言われていた女性作家の向井七恵(山本未來)とすれ違う。人気作家となったリサとは反対に数年で姿を消した七恵は、10年ぶりにエッセイ本を出すことになったという。事務所に戻ったリサは、神崎から七恵のエッセイ本と自分のエッセイ本の発売日が同日であると知らされる。  　数日後、由樹が新連載『おとぎの国の住人』のプロットを提出した。それを基に小説を書き始めるリサだったが、由樹もまたひそかに『おとぎの国の住人』の小説を書き始めていた…。【脚本】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　    【制作】  フジテレビ　    【制作著作】  共同テレビhttp://www.fujitv.co.jp/ghostwriter/</t>
  </si>
  <si>
    <t xml:space="preserve">    向井七恵:　山本未來　小説執筆に行き詰った遠野リサ(中谷美紀)に代わり、川原由樹(水川あさみ)がプロットを書くようになってから連載小説の評判が上がり始めた。リサは罪悪感を抱えながらも、由樹のために彼女の才能の扉を開いただけだと自分に言い聞かせてプロットを書かせ続ける。  　事情を知らない小田颯人(三浦翔平)は、再び神崎雄司(田中哲司)に由樹の原稿を読んで欲しいとお願いする。耳を貸そうとしない神崎だったが、由樹の名前を聞くと原稿を受け取る。  　リサは、由樹に豪華な仕事部屋を与えた。恐縮する由樹に、リサは駿峰社で始まる新連載のプロットは設定からストーリーまで自由に書いていいと告げる。  　神崎がリサの事務所にやって来た。対応した由樹に神崎は、新連載はプロットだけでなく小説を書いてみないかと持ちかけた。突然のことに戸惑う由樹。  　リサはテレビ局の廊下で、同時期に新人賞を受賞して以来ライバルと言われていた女性作家の向井七恵(山本未來)とすれ違う。人気作家となったリサとは反対に数年で姿を消した七恵は、10年ぶりにエッセイ本を出すことになったという。事務所に戻ったリサは、神崎から七恵のエッセイ本と自分のエッセイ本の発売日が同日であると知らされる。  　数日後、由樹が新連載『おとぎの国の住人』のプロットを提出した。それを基に小説を書き始めるリサだったが、由樹もまたひそかに『おとぎの国の住人』の小説を書き始めていた…。</t>
  </si>
  <si>
    <t>番組名ゴーストライター　#04</t>
  </si>
  <si>
    <t>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田中哲司http://www.fujitv.co.jp/ghostwriter/　  ホームページで予告動画や新垣隆氏による特別解説を公開中　いまやリサ(中谷美紀)が抱えている連載小説3本は、すべて由樹(水川あさみ)が書くようになっていた。神崎(田中哲司)から映画の原作小説はどうするのかと問われたリサは、せめてそれだけは自分で書きたいと申し出る。  　由樹が自らの名前で出した小説「二番目のわたしへ」のほとんどが駿峰社へ返本されてきた。努めて明るく振る舞う由樹に、小田(三浦翔平)は、最初は誰でもこんなものだと励ましの言葉をかける。一方、真奈美(菜々緒)は、最近のリサの作風と、「二番目のわたしへ」が似ている、と言い出し、由樹の反応をうかがっていた。  　リサのサイン会で書店へ来た由樹は、本当は自分が書いた小説がベストセラーコーナーに積み上げられているのをじっと見つめる。リサは、そんな由樹に、私たちは共犯者だと告げた。  　常務室に呼び出された神崎は、鳥飼(石橋凌)から映画原作の遅れを指摘される。由樹ではなくリサに書かせようとしている神崎の意図に気付き苦笑いする鳥飼。神崎は、映画は必ず大ヒットさせる、とだけ鳥飼に返す。  　リサのもとを訪れた神崎は、映画原作の進行具合を尋ねる。まだタイトルだけしか決まっていないと知った神崎は、もうこれ以上待たせるわけにはいかない状況だと、リサに告げ…。【脚本】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　    【制作】  フジテレビ　    【制作著作】  共同テレビ</t>
  </si>
  <si>
    <t>いまやリサ(中谷美紀)が抱えている連載小説3本は、すべて由樹(水川あさみ)が書くようになっていた。神崎(田中哲司)から映画の原作小説はどうするのかと問われたリサは、せめてそれだけは自分で書きたいと申し出る。  　由樹が自らの名前で出した小説「二番目のわたしへ」のほとんどが駿峰社へ返本されてきた。努めて明るく振る舞う由樹に、小田(三浦翔平)は、最初は誰でもこんなものだと励ましの言葉をかける。一方、真奈美(菜々緒)は、最近のリサの作風と、「二番目のわたしへ」が似ている、と言い出し、由樹の反応をうかがっていた。  　リサのサイン会で書店へ来た由樹は、本当は自分が書いた小説がベストセラーコーナーに積み上げられているのをじっと見つめる。リサは、そんな由樹に、私たちは共犯者だと告げた。  　常務室に呼び出された神崎は、鳥飼(石橋凌)から映画原作の遅れを指摘される。由樹ではなくリサに書かせようとしている神崎の意図に気付き苦笑いする鳥飼。神崎は、映画は必ず大ヒットさせる、とだけ鳥飼に返す。  　リサのもとを訪れた神崎は、映画原作の進行具合を尋ねる。まだタイトルだけしか決まっていないと知った神崎は、もうこれ以上待たせるわけにはいかない状況だと、リサに告げ…。</t>
  </si>
  <si>
    <t>番組名ゴーストライター【舞台に上がったゴースト　逆襲の始まり】　#05</t>
  </si>
  <si>
    <t>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映画の原作となる小説「エターナルレシピ」が書きあがり、リサ(中谷美紀)は主演の女優・菅原可奈(西内ひろ)とのトークショーに出席する。帰宅したリサは、連載小説を書いていた由樹(水川あさみ)に、トークショーで受けた拍手の半分は由樹のものであり、私たちはふたりで遠野リサだと話す。  　編集部で、リサの連載小説「窓際の席で待っています」の原稿を読んでいた小田(三浦翔平)は、文中にあったある言葉に目を留め、疑念を抱く。  　由樹を食事に誘った小田は、「窓際の席で待っています」のキャラクターを批判する。ムキになって反論する由樹を見て、疑惑が確信に変わった小田は、小説を書いているのはリサではなく由樹ではないかと切り出した。助けになりたいと申し出る小田に由樹は…。  　そんななか、編集部にリサの担当者宛ての荷物が届いた。小田が荷物を開けると、そこには手りゅう弾が入っていた。すぐに手りゅう弾は偽物であることが判明するが、警察に呼び出されたリサは、同封されていた脅迫文ともとれるメッセージを見て顔色を変え…。番組ホームページで予告動画など公開中!　  http://www.fujitv.co.jp/ghostwriter/【脚本】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t>
  </si>
  <si>
    <t>映画の原作となる小説「エターナルレシピ」が書きあがり、リサ(中谷美紀)は主演の女優・菅原可奈(西内ひろ)とのトークショーに出席する。帰宅したリサは、連載小説を書いていた由樹(水川あさみ)に、トークショーで受けた拍手の半分は由樹のものであり、私たちはふたりで遠野リサだと話す。  　編集部で、リサの連載小説「窓際の席で待っています」の原稿を読んでいた小田(三浦翔平)は、文中にあったある言葉に目を留め、疑念を抱く。  　由樹を食事に誘った小田は、「窓際の席で待っています」のキャラクターを批判する。ムキになって反論する由樹を見て、疑惑が確信に変わった小田は、小説を書いているのはリサではなく由樹ではないかと切り出した。助けになりたいと申し出る小田に由樹は…。  　そんななか、編集部にリサの担当者宛ての荷物が届いた。小田が荷物を開けると、そこには手りゅう弾が入っていた。すぐに手りゅう弾は偽物であることが判明するが、警察に呼び出されたリサは、同封されていた脅迫文ともとれるメッセージを見て顔色を変え…。</t>
  </si>
  <si>
    <t>番組名ゴーストライター【私は真実を述べます…嘘つきにくだされる法の裁き】　#06</t>
  </si>
  <si>
    <t>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映画「エターナルレシピ」の完成披露試写会でリサ(中谷美紀)が挨拶をしようとしたその時、会場にリサと同じ髪型と服装の由樹(水川あさみ)が現れた。平然とステージに上がった由樹は、リサのマイクを奪うと、「エターナルレシピ」を書いたのはリサのゴーストライターである自分だと言い放つ。  　会場は騒然となり、試写会は一時中断される。神崎(田中哲司)は、激しく動揺して控室に戻ってきたリサをなだめると舞台挨拶の続行を求める。そんなことはできないと拒むリサ。  　自らの運転で試写会場の駐車場から出てきたリサの車に、由樹が乗り込んできた。ふてぶてしい態度で話しかけてくる由樹に、努めて冷静に対応しようとしていたリサだが、やがて…。  　あくる朝、由樹はスポーツ新聞を全紙買ってくる。芸能面を開くと、そこには昨日の試写会の記事が大きく載っていた。会社には内緒で由樹をサポートしている小田(三浦翔平)は、真奈美(菜々緒)に、行き場のなくなった由樹を居候させて欲しいと頼む。真奈美は面倒なことに巻き込まれたくないと言いつつも、ゴーストライターの件は一切話題にしないという条件で許可をした。  　「エターナルレシピ」の大ヒットを祝うパーティーが開催された。神崎は、これまでの功績が認められて取締役になっていた。上機嫌で挨拶に回っていた神崎だが、そこで携帯電話にある連絡が入る…。予告動画や、新垣隆氏による特別動画をホームページにて公開中。　  http://www.fujitv.co.jp/ghostwriter/【脚本】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t>
  </si>
  <si>
    <t>映画「エターナルレシピ」の完成披露試写会でリサ(中谷美紀)が挨拶をしようとしたその時、会場にリサと同じ髪型と服装の由樹(水川あさみ)が現れた。平然とステージに上がった由樹は、リサのマイクを奪うと、「エターナルレシピ」を書いたのはリサのゴーストライターである自分だと言い放つ。  　会場は騒然となり、試写会は一時中断される。神崎(田中哲司)は、激しく動揺して控室に戻ってきたリサをなだめると舞台挨拶の続行を求める。そんなことはできないと拒むリサ。  　自らの運転で試写会場の駐車場から出てきたリサの車に、由樹が乗り込んできた。ふてぶてしい態度で話しかけてくる由樹に、努めて冷静に対応しようとしていたリサだが、やがて…。  　あくる朝、由樹はスポーツ新聞を全紙買ってくる。芸能面を開くと、そこには昨日の試写会の記事が大きく載っていた。会社には内緒で由樹をサポートしている小田(三浦翔平)は、真奈美(菜々緒)に、行き場のなくなった由樹を居候させて欲しいと頼む。真奈美は面倒なことに巻き込まれたくないと言いつつも、ゴーストライターの件は一切話題にしないという条件で許可をした。  　「エターナルレシピ」の大ヒットを祝うパーティーが開催された。神崎は、これまでの功績が認められて取締役になっていた。上機嫌で挨拶に回っていた神崎だが、そこで携帯電話にある連絡が入る…。</t>
  </si>
  <si>
    <t>番組名ゴーストライター【私は消えたい…勝利のシナリオの結末】　#07</t>
  </si>
  <si>
    <t>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ゴーストライター裁判はリサ(中谷美紀)の勝訴に終わり、世間やマスコミからバッシングを受けた由樹(水川あさみ)は心労で倒れ、入院する。  　退院した由樹は小田(三浦翔平)に付き添われて真奈美(菜々緒)の部屋に戻る。テレビの情報番組では、レポーターが由樹の実家に押し寄せている映像が流れていた。由樹は、食欲もなく、婚約者だった尾崎(小柳友)からの電話にも出られず…。  　一方、リサは引退を決意していた。神崎(田中哲司)は、このタイミングでの引退発表は余計な臆測をよぶと難色を示すが、リサは“切り札がある"と言い切る。  　後日、リサの記者会見が行われることとなった。小田から連絡を受けた由樹は、テレビで会見の様子を見つめる。そして会見が始まった…!  　会見の付き添いを終えて編集部に戻ってきた神崎のもとへ小田がやってきた。由樹を傷つけたことを責める小田に、神崎は原因は小田にもあると冷静に返す。　騒動がひと段落すると、神崎は鳥飼(石橋凌)から休暇を与えられた。その休暇を利用して旅行に行かないかという神崎の誘いに、リサは戸惑いながらも了承するが…。特別動画や予告動画はホームページにて　  http://www.fujitv.co.jp/ghostwriter/【脚本】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t>
  </si>
  <si>
    <t>ゴーストライター裁判はリサ(中谷美紀)の勝訴に終わり、世間やマスコミからバッシングを受けた由樹(水川あさみ)は心労で倒れ、入院する。  　退院した由樹は小田(三浦翔平)に付き添われて真奈美(菜々緒)の部屋に戻る。テレビの情報番組では、レポーターが由樹の実家に押し寄せている映像が流れていた。由樹は、食欲もなく、婚約者だった尾崎(小柳友)からの電話にも出られず…。  　一方、リサは引退を決意していた。神崎(田中哲司)は、このタイミングでの引退発表は余計な臆測をよぶと難色を示すが、リサは“切り札がある"と言い切る。  　後日、リサの記者会見が行われることとなった。小田から連絡を受けた由樹は、テレビで会見の様子を見つめる。そして会見が始まった…!  　会見の付き添いを終えて編集部に戻ってきた神崎のもとへ小田がやってきた。由樹を傷つけたことを責める小田に、神崎は原因は小田にもあると冷静に返す。　騒動がひと段落すると、神崎は鳥飼(石橋凌)から休暇を与えられた。その休暇を利用して旅行に行かないかという神崎の誘いに、リサは戸惑いながらも了承するが…。</t>
  </si>
  <si>
    <t>番組名ゴーストライター【作家・遠野リサの死。よみがえる若き才能】　#08</t>
  </si>
  <si>
    <t>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リサ(中谷美紀)は生放送の情報番組でゴーストライターの存在を認め、真実を話した。仕事場に押し寄せてきたマスコミにも堂々と対応し、後日謝罪会見を開くと告げる。  　駿峰社もまた、マスコミや読者からの電話対応に追われていた。そんな中、神崎(田中哲司)は小田(三浦翔平)に由樹(水川あさみ)に会わせて欲しいと頼む。  　神崎は、会議室にやって来た由樹に頭を下げ、これまでのことを謝罪する。さらに由樹がリサの名前で書いた本はすべて回収して川原由樹の名前に刷り直すといい、今後は駿峰社が全面的にバックアップしたいと申し出る。そのうえで早急に描き下ろしを1冊書いて欲しいと言い出した。神崎の真意がわからず不信感を抱いた由樹は、返事をしないまま駿峰社を後にする。  　神崎は鳥飼(石橋凌)に、ゴーストライターの件はリサの独断であり、駿峰社は何も知らなかった被害者であると公式発表することを告げる。そして渦中の人となった由樹の本を出版する計画を話す。  　リサの会見が始まった。マスコミから矢継ぎ早に飛んでくる厳しい質問にもきちんと答えていき、すべては自分ひとりがやったことだと謝罪するリサ。  　後日、由樹はリサの仕事場を訪れる。玄関先まで来たものの、ためらい、踵(きびす)を返した由樹にリサが声をかけた。うながされ部屋に入った由樹は、リサにある問いかけをする…。特別動画や予告動画をホームページにて公開中。　http://www.fujitv.co.jp/ghostwriter/【脚本】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t>
  </si>
  <si>
    <t>リサ(中谷美紀)は生放送の情報番組でゴーストライターの存在を認め、真実を話した。仕事場に押し寄せてきたマスコミにも堂々と対応し、後日謝罪会見を開くと告げる。  　駿峰社もまた、マスコミや読者からの電話対応に追われていた。そんな中、神崎(田中哲司)は小田(三浦翔平)に由樹(水川あさみ)に会わせて欲しいと頼む。  　神崎は、会議室にやって来た由樹に頭を下げ、これまでのことを謝罪する。さらに由樹がリサの名前で書いた本はすべて回収して川原由樹の名前に刷り直すといい、今後は駿峰社が全面的にバックアップしたいと申し出る。そのうえで早急に描き下ろしを1冊書いて欲しいと言い出した。神崎の真意がわからず不信感を抱いた由樹は、返事をしないまま駿峰社を後にする。  　神崎は鳥飼(石橋凌)に、ゴーストライターの件はリサの独断であり、駿峰社は何も知らなかった被害者であると公式発表することを告げる。そして渦中の人となった由樹の本を出版する計画を話す。  　リサの会見が始まった。マスコミから矢継ぎ早に飛んでくる厳しい質問にもきちんと答えていき、すべては自分ひとりがやったことだと謝罪するリサ。  　後日、由樹はリサの仕事場を訪れる。玄関先まで来たものの、ためらい、踵(きびす)を返した由樹にリサが声をかけた。うながされ部屋に入った由樹は、リサにある問いかけをする…。特</t>
  </si>
  <si>
    <t>番組名ゴーストライター【天才は帰ってくるのか?　退屈で平和な日々の果てに】　#09</t>
  </si>
  <si>
    <t>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小説家を辞めたリサ(中谷美紀)は、家事にいそしみ、元子(江波杏子)の介護にもさらに力を入れる。荷物を取るために家に立ち寄った大樹(高杉真宙)はそんなリサの姿を見てもぶっきらぼうな態度を貫く。  　一方、由樹(水川あさみ)は小説を書きながら、雑誌の取材やトークショーの仕事を精力的にこなしていた。話題性もあり小説の売れ行きは順調だった。  　編集部にいた小田(三浦翔平)のもとに、岡野(羽場裕一)が由樹の次回作の表紙サンプルを持ってきた。小田は帯に書かれた“元ゴーストライター"の文字を外せないかと神崎(田中哲司)に打診するが、一蹴されてしまう。  　リサにけがを負わせた美鈴(キムラ緑子)は精神科に入院していた。美鈴は、見舞いに来たリサに、由樹への謝罪の手紙を書いたことを告げる。リサはついでに出しておくと言って手紙を預かると、後日、由樹の家を訪れる。帰り際、由樹からもう小説は書かないのかと問われたリサは…。  　ある日、由樹と真奈美(菜々緒)が居酒屋で飲んでいると、酔ったサラリーマンが声をかけてきた。ゴーストライターと言われて一瞬顔を曇らせる由樹だが、すぐに笑顔に戻り丁寧に対応する。そんななか、小田が新作の本を届けにくるが…。特別動画や予告動画はホームページにて　  http://www.fujitv.co.jp/ghostwriter/【脚本】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t>
  </si>
  <si>
    <t>小説家を辞めたリサ(中谷美紀)は、家事にいそしみ、元子(江波杏子)の介護にもさらに力を入れる。荷物を取るために家に立ち寄った大樹(高杉真宙)はそんなリサの姿を見てもぶっきらぼうな態度を貫く。  　一方、由樹(水川あさみ)は小説を書きながら、雑誌の取材やトークショーの仕事を精力的にこなしていた。話題性もあり小説の売れ行きは順調だった。  　編集部にいた小田(三浦翔平)のもとに、岡野(羽場裕一)が由樹の次回作の表紙サンプルを持ってきた。小田は帯に書かれた“元ゴーストライター"の文字を外せないかと神崎(田中哲司)に打診するが、一蹴されてしまう。  　リサにけがを負わせた美鈴(キムラ緑子)は精神科に入院していた。美鈴は、見舞いに来たリサに、由樹への謝罪の手紙を書いたことを告げる。リサはついでに出しておくと言って手紙を預かると、後日、由樹の家を訪れる。帰り際、由樹からもう小説は書かないのかと問われたリサは…。  　ある日、由樹と真奈美(菜々緒)が居酒屋で飲んでいると、酔ったサラリーマンが声をかけてきた。ゴーストライターと言われて一瞬顔を曇らせる由樹だが、すぐに笑顔に戻り丁寧に対応する。そんななか、小田が新作の本を届けにくるが…。</t>
  </si>
  <si>
    <t>番組名ゴーストライター【最終回・女王の帰還。罪深き二人の女の逆襲】　#10</t>
  </si>
  <si>
    <t>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リサ(中谷美紀)は、新たに書きあげた小説「私の愛しい人」のデータを由樹(水川あさみ)に手渡した。小説を読んだ由樹は、一度はリサにそれを返そうとするが、思い直して神崎(田中哲司)を訪ねる。由樹はリサの原稿を差し出して書籍にしてほしいと頼む。しかし神崎は、出せないの一点張りで聞く耳を持たない。  　原稿を置いて帰る由樹を、小田(三浦翔平)が追いかけてきた。小田は小説が書けなくなっている由樹を心配しつつ、リサとは関わらないように助言する。  　ビジネス雑誌で絶賛される神崎をわずらわしく感じていた鳥飼(石橋凌)のもとに小田がやってきた。小田はリサの原稿を差し出してなんとかしたいと訴えた。リサと由樹に共同執筆させて話題性を出すことを提案するが…。  　元子(江波杏子)のもとを訪ねていたリサは、元子が遠野リサという名前すらわからなくなっていることを知りショックを受ける。そんな中、小田から会いたいと連絡が入った。  　待ち合わせ場所にやってきたリサの前に小田と由樹が現れた。小田は、リサと由樹の共同執筆で新しく小説を書いて自費出版で本を出さないかと提案する。それを聞いたリサは…。予告動画や特別動画はホームページで　  http://www.fujitv.co.jp/ghostwriter/【脚本】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t>
  </si>
  <si>
    <t>リサ(中谷美紀)は、新たに書きあげた小説「私の愛しい人」のデータを由樹(水川あさみ)に手渡した。小説を読んだ由樹は、一度はリサにそれを返そうとするが、思い直して神崎(田中哲司)を訪ねる。由樹はリサの原稿を差し出して書籍にしてほしいと頼む。しかし神崎は、出せないの一点張りで聞く耳を持たない。  　原稿を置いて帰る由樹を、小田(三浦翔平)が追いかけてきた。小田は小説が書けなくなっている由樹を心配しつつ、リサとは関わらないように助言する。  　ビジネス雑誌で絶賛される神崎をわずらわしく感じていた鳥飼(石橋凌)のもとに小田がやってきた。小田はリサの原稿を差し出してなんとかしたいと訴えた。リサと由樹に共同執筆させて話題性を出すことを提案するが…。  　元子(江波杏子)のもとを訪ねていたリサは、元子が遠野リサという名前すらわからなくなっていることを知りショックを受ける。そんな中、小田から会いたいと連絡が入った。  　待ち合わせ場所にやってきたリサの前に小田と由樹が現れた。小田は、リサと由樹の共同執筆で新しく小説を書いて自費出版で本を出さないかと提案する。それを聞いたリサは…。</t>
  </si>
  <si>
    <t>1501_CX_火22</t>
  </si>
  <si>
    <t>銭の戦争</t>
  </si>
  <si>
    <t>番組名銭の戦争【草ナギ剛主演…壮絶な復讐劇が開幕!初回2時間SP】　#01</t>
  </si>
  <si>
    <t>外資系証券会社で、日々巨額の金を動かす白石富生(草ナギ剛)は、恋人・青池梢(木村文乃)と婚約し、順風満帆な毎日を送っていた。ある日、母の三保子(木野花)から、実家の工場が不渡りを出し、社長である父の孝夫(志賀廣太郎)が行方不明だと連絡が入る。その後、孝夫が悪質な業者からも多額の借金をしていたことが判明し、孝夫の連帯保証人になっていた富生は借金地獄に陥る。そんななか、心労を重ねた三保子が倒れてしまう。更には借金まみれである事を知った会社から退社に追い込まれる富生。    その頃、富生の恩師で高校教師の紺野(大杉漣)も赤松金融の赤松(渡部篤郎)から親戚の借金を肩代わりさせられ、苦しんでいた。一人娘・未央(大島優子)には本当のことを言えず…。数日後、富生は梢の祖母で大手金融グループの会長でもある早和子(ジュディ・オング)に呼び出され、1千万円で梢と別れてほしいと言われる。そこへ弟の光太郎(玉森裕太)から電話がかかってきて…。草ナギ剛　  大島優子　  木村文乃　  高田翔(ジャニーズJr.)　  新川優愛　  志賀廣太郎　  木野花  　/　  玉森裕太(特別出演)  　/　  津川雅彦  　/　  ジュディ・オング　  大杉漣　  渡部篤郎　    他【原作】  「銭の戦争」パク・イングォン　    【脚本】  後藤法子　    【音楽】  菅野祐悟　    【主題歌】  SMAP「華麗なる逆襲」(ビクターエンタテインメント)　    【チーフプロデューサー】  笠置高弘　    【プロデューサー】  河西秀幸　    【演出・プロデューサー】  三宅喜重　    【制作著作】  関西テレビ■番組公式ホームページ  予告動画や番組トピックスを公開中!  公式ツイッターや公式フェイスブック情報も。  公式ホームページは「銭の戦争」で検索してください。　  http://www.ktv.jp/zeni/</t>
  </si>
  <si>
    <t>外資系証券会社で、日々巨額の金を動かす白石富生(草ナギ剛)は、恋人・青池梢(木村文乃)と婚約し、順風満帆な毎日を送っていた。ある日、母の三保子(木野花)から、実家の工場が不渡りを出し、社長である父の孝夫(志賀廣太郎)が行方不明だと連絡が入る。その後、孝夫が悪質な業者からも多額の借金をしていたことが判明し、孝夫の連帯保証人になっていた富生は借金地獄に陥る。そんななか、心労を重ねた三保子が倒れてしまう。更には借金まみれである事を知った会社から退社に追い込まれる富生。    その頃、富生の恩師で高校教師の紺野(大杉漣)も赤松金融の赤松(渡部篤郎)から親戚の借金を肩代わりさせられ、苦しんでいた。一人娘・未央(大島優子)には本当のことを言えず…。数日後、富生は梢の祖母で大手金融グループの会長でもある早和子(ジュディ・オング)に呼び出され、1千万円で梢と別れてほしいと言われる。そこへ弟の光太郎(玉森裕太)から電話がかかってきて…。</t>
  </si>
  <si>
    <t>番組名銭の戦争【草ナギ剛主演!借金地獄のホームレスから這い上がれ!逆襲の時】　#02</t>
  </si>
  <si>
    <t>亡くなった父・孝夫(志賀廣太郎)の葬儀で、「金で失くしたもの全て、金で取り戻す」と宣言した富生(草ナギ剛)だったが、住所不定とあって再就職先はなかなか見つからない。行く当てのない富生は紺野洋(大杉漣)の家を訪ねる。しかし未央(大島優子)が洋の借金を知ってしまい、親子げんかを繰り広げていた。あきれながらも、そんな洋の温かさに救われる富生。それから数日後、手応えがあった会社からも不採用を告げられた富生は、路上生活を余儀なくされてしまう。しかし、ルールを知らないためホームレスたちとトラブルを起こし、紅谷(津川雅彦)という謎の老人に助けられる。聞けばホームレスから300億を動かす金貸しにまで上り詰めた男だと知り、借金を申し込むが、紅谷は取り合わず。そんな富生の様子を祖母の早和子(ジュディ・オング)から聞いて心配になった元婚約者・梢(木村文乃)は富生に会いに公園へ行き…。    一方、自分も金貸しを始めようと考えた富生は、紅谷について回るがノウハウを教えてもらうどころか、食い逃げ犯に仕立て上げられる始末。それでもあきらめない富生に対し、紅谷は「お前に、借金の取り立てができるか?」と、食い逃げした定食屋への借金取り立てを任すが…?草ナギ剛　  大島優子　  木村文乃　  高田翔(ジャニーズJr.)　  新川優愛　  志賀廣太郎　  木野花  　/　  玉森裕太(特別出演)  　/　  津川雅彦  　/　  宇梶剛士　  ジュディ・オング　  大杉漣　  渡部篤郎　    他■原作　  「銭の戦争」パク・イングォン　    ■脚本　  後藤法子　    ■音楽　  菅野祐悟　    ■SMAP「華麗なる逆襲」(ビクターエンタテインメント)　    ■チーフプロデューサー　  笠置高弘　    ■プロデューサー　  河西秀幸　    ■演出・プロデューサー　  三宅喜重　    ■制作著作　  関西テレビ■番組公式ホームページ  予告動画や番組トピックスを公開中!  公式ツイッターや公式フェイスブック情報も。  公式ホームページは「銭の戦争」で検索してください。</t>
  </si>
  <si>
    <t>亡くなった父・孝夫(志賀廣太郎)の葬儀で、「金で失くしたもの全て、金で取り戻す」と宣言した富生(草ナギ剛)だったが、住所不定とあって再就職先はなかなか見つからない。行く当てのない富生は紺野洋(大杉漣)の家を訪ねる。しかし未央(大島優子)が洋の借金を知ってしまい、親子げんかを繰り広げていた。あきれながらも、そんな洋の温かさに救われる富生。それから数日後、手応えがあった会社からも不採用を告げられた富生は、路上生活を余儀なくされてしまう。しかし、ルールを知らないためホームレスたちとトラブルを起こし、紅谷(津川雅彦)という謎の老人に助けられる。聞けばホームレスから300億を動かす金貸しにまで上り詰めた男だと知り、借金を申し込むが、紅谷は取り合わず。そんな富生の様子を祖母の早和子(ジュディ・オング)から聞いて心配になった元婚約者・梢(木村文乃)は富生に会いに公園へ行き…。    一方、自分も金貸しを始めようと考えた富生は、紅谷について回るがノウハウを教えてもらうどころか、食い逃げ犯に仕立て上げられる始末。それでもあきらめない富生に対し、紅谷は「お前に、借金の取り立てができるか?」と、食い逃げした定食屋への借金取り立てを任すが…?</t>
  </si>
  <si>
    <t>番組名銭の戦争【愛、金、人生、全てを奪い返すまで復讐は終わらない▽草ナギ剛】　#03</t>
  </si>
  <si>
    <t>紺野家へ向かった富生(草ナギ剛)は、洋(大杉漣)と未央(大島優子)に金貸しになったことを告げ、借金の返済を迫る。そして金がないことが分かると、洋が大事にしている古書を古本業者に売り、金を作らせるのだった。    数日後、富生は赤松金融社長の赤松(渡部篤郎)に連れられ会員制のレストランへ向かう。そこでは、早和子(ジュディ・オング)をはじめとする金融業界の大物たちが集まる懇親会が開かれていた。二人は梢(木村文乃)の計らいで何とか会場に入ったものの、当然、招かれざる客。早和子は露骨な態度で赤松を追い払おうとするが、そこで富生が思いもよらぬ行動を起こし……。    同じ頃、契約が切れて次の派遣先が見つからない未央は、再び植草(丸山智己)から食事に誘われ、そこで突然のプロポーズをされる。しかも、結納金として洋の借金を肩代わりしてくれるという。複雑な思いのまま家に帰った未央は、早速そのことを洋に伝えるが、「好きでもない相手とお金のために結婚するなんてダメだ」と反対され、思わず家を飛び出す。そんな未央を追いかけて話を聞いた富生は、結婚を祝福し、まだ迷っている未央に自分の境遇を話す。そして、富生の胸中を思って涙を流す未央に「どん底からやり直すには、泣いてる暇なんかない」と言葉をかけ、その背中を押す。富生の本当の姿を知った未央に笑顔が戻り、二人の距離は縮まるが、その様子を少し離れたところから梢が見ていて……。草ナギ剛　  大島優子　  木村文乃　  高田翔(ジャニーズJr.)　  新川優愛　  丸山智己　  立石涼子　  ジュディ・オング　  大杉漣　  渡部篤郎　    他■原作　  「銭の戦争」パク・イングォン　    ■脚本　  後藤法子　    ■音楽　  菅野祐悟　    ■SMAP「華麗なる逆襲」(ビクターエンタテインメント)　    ■チーフプロデューサー　  笠置高弘　    ■プロデューサー　  三宅喜重　  河西秀幸　    ■演出　  白木啓一郎　    ■制作著作　  関西テレビ■番組公式ホームページ  予告動画や番組トピックスを公開中!  公式ツイッターや公式フェイスブック情報も。  公式ホームページは「銭の戦争」で検索してください。</t>
  </si>
  <si>
    <t>紺野家へ向かった富生(草ナギ剛)は、洋(大杉漣)と未央(大島優子)に金貸しになったことを告げ、借金の返済を迫る。そして金がないことが分かると、洋が大事にしている古書を古本業者に売り、金を作らせるのだった。    数日後、富生は赤松金融社長の赤松(渡部篤郎)に連れられ会員制のレストランへ向かう。そこでは、早和子(ジュディ・オング)をはじめとする金融業界の大物たちが集まる懇親会が開かれていた。二人は梢(木村文乃)の計らいで何とか会場に入ったものの、当然、招かれざる客。早和子は露骨な態度で赤松を追い払おうとするが、そこで富生が思いもよらぬ行動を起こし……。    同じ頃、契約が切れて次の派遣先が見つからない未央は、再び植草(丸山智己)から食事に誘われ、そこで突然のプロポーズをされる。しかも、結納金として洋の借金を肩代わりしてくれるという。複雑な思いのまま家に帰った未央は、早速そのことを洋に伝えるが、「好きでもない相手とお金のために結婚するなんてダメだ」と反対され、思わず家を飛び出す。そんな未央を追いかけて話を聞いた富生は、結婚を祝福し、まだ迷っている未央に自分の境遇を話す。そして、富生の胸中を思って涙を流す未央に「どん底からやり直すには、泣いてる暇なんかない」と言葉をかけ、その背中を押す。富生の本当の姿を知った未央に笑顔が戻り、二人の距離は縮まるが、その様子を少し離れたところから梢が見ていて……。</t>
  </si>
  <si>
    <t>番組名銭の戦争【愛、金、人生、全てを奪い返すまで復讐は終わらない▽草ナギ剛】　#04</t>
  </si>
  <si>
    <t>結婚式当日、富生(草ナギ剛)に手を引かれて式場を飛び出した未央(大島優子)は、結婚相手の植草(丸山智己)から式の費用や慰謝料など多額の金を請求される。2人は借金が増えたことを洋(大杉漣)に謝るが、それでも未央が結婚するより良かったと笑顔を見せる洋。翌日、洋の借金を回収し損ねたことを赤松(渡部篤郎)に報告した富生は、代わりに赤松金融で取り立て不能になっている債権を回収すると言い出す。未回収金額は占めて8750万円。しかし相手はタチの悪いヤクザで、命を落としかねない危険な取り立てになることは間違いない。そこで富生は、赤松にある条件を出す。    一方、借金返済のためひそかにアルバイトを始めた洋が、腰を痛めて入院してしまう。困った未央が、式場で何とか披露宴の残金を分割払いにしてほしいと頼み込んでいると、そこへ騒ぎを聞きつけた梢(木村文乃)が現れる。富生と未央の関係が気になる梢は、それとなく探りを入れつつ、未央の申し出に対して少し考えさせてほしいと返答する。そして数日後、未央にある提案を持ちかけて…。    その頃、富生は、回収相手であるヤクザの大黒(高杉亘)から手ひどい暴行を受け、ボロボロになっていた。しかし、大黒が投資詐欺でもうけていると知り、富生はその手口を逆手にとった回収方法を思いつき……。草ナギ剛　  大島優子　  木村文乃　  高田翔(ジャニーズJr.)　  新川優愛　  丸山智己　  立石涼子　  ジュディ・オング　  大杉漣　  渡部篤郎　    他■原作　  「銭の戦争」パク・イングォン　    ■脚本　  後藤法子　    ■音楽　  菅野祐悟　    ■SMAP「華麗なる逆襲」(ビクターエンタテインメント)　    ■チーフプロデューサー　  笠置高弘　    ■プロデューサー　  河西秀幸　    ■演出・プロデューサー　  三宅喜重　    ■制作著作　  関西テレビ■番組公式ホームページ　  予告動画や番組トピックスを公開中!　  公式ツイッターや公式フェイスブック情報も。　  公式ホームページは「銭の戦争」で検索してください。</t>
  </si>
  <si>
    <t>結婚式当日、富生(草ナギ剛)に手を引かれて式場を飛び出した未央(大島優子)は、結婚相手の植草(丸山智己)から式の費用や慰謝料など多額の金を請求される。2人は借金が増えたことを洋(大杉漣)に謝るが、それでも未央が結婚するより良かったと笑顔を見せる洋。翌日、洋の借金を回収し損ねたことを赤松(渡部篤郎)に報告した富生は、代わりに赤松金融で取り立て不能になっている債権を回収すると言い出す。未回収金額は占めて8750万円。しかし相手はタチの悪いヤクザで、命を落としかねない危険な取り立てになることは間違いない。そこで富生は、赤松にある条件を出す。    一方、借金返済のためひそかにアルバイトを始めた洋が、腰を痛めて入院してしまう。困った未央が、式場で何とか披露宴の残金を分割払いにしてほしいと頼み込んでいると、そこへ騒ぎを聞きつけた梢(木村文乃)が現れる。富生と未央の関係が気になる梢は、それとなく探りを入れつつ、未央の申し出に対して少し考えさせてほしいと返答する。そして数日後、未央にある提案を持ちかけて…。    その頃、富生は、回収相手であるヤクザの大黒(高杉亘)から手ひどい暴行を受け、ボロボロになっていた。しかし、大黒が投資詐欺でもうけていると知り、富生はその手口を逆手にとった回収方法を思いつき……。</t>
  </si>
  <si>
    <t>番組名銭の戦争【愛、金、人生、全てを奪い返すまで復讐は終わらない▽草ナギ剛】　#05</t>
  </si>
  <si>
    <t>自分が自殺に追いやったホワイト化学の社長の息子が富生(草ナギ剛)だと知った赤松(渡部篤郎)は、身の危険を感じて富生の周辺を探り始める。さらに、富生から借りた金で借金を返済しに来た未央(大島優子)にも揺さぶりをかけ、富生の動向を把握しようと画策する。    一方、赤松に素性を知られているとは気づいていない富生は、元カリスマ美容師の藍沢(坪倉由幸)の取り立てを任され、店の景気を調べるため、未央を藍沢の美容室へ偵察に行かせる。すると、休日にもかかわらず店内はガラガラ。近いうちに店がつぶれて金が回収できなくなると予想した赤松は、藍沢を追い詰めた末にトバシ携帯を大量に買わせる。しかし、その手口を見た富生は何かに引っかかり……。    その頃、梢(木村文乃)に近づいた赤松は、早和子(ジュディ・オング)がホワイト化学と関係していたことを耳打ちする。疑念を抱いた梢が独自に調べると、ホワイト化学が青池グループの傘下に入っていたことが判明。梢は早和子を問いただすが、早和子は会社の価値を知って助けただけだと答えるだけで…。    紺野家に居候し、未央と生活を共にするようになった富生は、未央が職場の顧客情報を持ち出したことをネタに、赤松から脅されていることを知る。赤松の不穏な動きに不安を覚え富生を心配する未央。富生は赤松の動きに注意を払うが、赤松金融で、父・孝夫(志賀廣太郎)の死にまつわる、ある資料を発見してしまう…!草ナギ剛　  大島優子　  木村文乃　  高田翔(ジャニーズJr.)　  新川優愛　  朝倉えりか　  おかやまはじめ　  志賀廣太郎  木野花　  ジュディ・オング　  渡部篤郎　    他　    【ゲスト】  安藤玉恵　  坪倉由幸　  上白石萌歌■原作　  「銭の戦争」パク・イングォン　    ■脚本　  後藤法子　    ■音楽　  菅野祐悟　    ■SMAP「華麗なる逆襲」(ビクターエンタテインメント)　    ■チーフプロデューサー　  笠置高弘　    ■プロデューサー　  三宅喜重　  河西秀幸　    ■演出　  白木啓一郎　    ■制作著作　  関西テレビ■番組公式ホームページ  予告動画や番組トピックスを公開中!  公式ツイッターや公式フェイスブック情報も。  公式ホームページは「銭の戦争」で検索してください。</t>
  </si>
  <si>
    <t>自分が自殺に追いやったホワイト化学の社長の息子が富生(草ナギ剛)だと知った赤松(渡部篤郎)は、身の危険を感じて富生の周辺を探り始める。さらに、富生から借りた金で借金を返済しに来た未央(大島優子)にも揺さぶりをかけ、富生の動向を把握しようと画策する。    一方、赤松に素性を知られているとは気づいていない富生は、元カリスマ美容師の藍沢(坪倉由幸)の取り立てを任され、店の景気を調べるため、未央を藍沢の美容室へ偵察に行かせる。すると、休日にもかかわらず店内はガラガラ。近いうちに店がつぶれて金が回収できなくなると予想した赤松は、藍沢を追い詰めた末にトバシ携帯を大量に買わせる。しかし、その手口を見た富生は何かに引っかかり……。    その頃、梢(木村文乃)に近づいた赤松は、早和子(ジュディ・オング)がホワイト化学と関係していたことを耳打ちする。疑念を抱いた梢が独自に調べると、ホワイト化学が青池グループの傘下に入っていたことが判明。梢は早和子を問いただすが、早和子は会社の価値を知って助けただけだと答えるだけで…。    紺野家に居候し、未央と生活を共にするようになった富生は、未央が職場の顧客情報を持ち出したことをネタに、赤松から脅されていることを知る。赤松の不穏な動きに不安を覚え富生を心配する未央。富生は赤松の動きに注意を払うが、赤松金融で、父・孝夫(志賀廣太郎)の死にまつわる、ある資料を発見してしまう…!</t>
  </si>
  <si>
    <t>番組名銭の戦争【愛、金、人生、全てを奪い返すまで復讐は終わらない▽草ナギ剛】　#06</t>
  </si>
  <si>
    <t>富生(草ナギ剛)が父親を死に追いやった男のもとで働いているとは知る由もない光太郎(玉森裕太)。富生が金貸しになったと聞き、軽蔑する一方、母親の治療費さえも工面できない自分の無力さに、悔しい気持ちがこみ上げていた。そんなある日、バイト仲間から「金になる仕事がある」と持ちかけられた光太郎は、危険な香りのする雑居ビルに足を踏み入れて……。    一方、早和子(ジュディ・オング)の許しを得てホワイト化学の再建に乗り出した梢(木村文乃)は、早速工場へ。「いかにも町工場的な体質を変える」と断言する梢に対し、専務の金原(おかやまはじめ)らは戸惑い、反発するが、梢は青池ファイナンスが株を所有していることを理由に、工員たちを解雇する可能性もあると非情な宣告を突きつける。    その頃、未央(大島優子)は赤松(渡部篤郎)を襲撃した後に行方をくらませた富生を探していた。赤松金融、ホワイト化学、思い当たる場所を方々探し回っていると、偶然、梢と再会する。富生が行方不明だと告げ、なぜ彼を支えてあげなかったのかと梢に尋ねる未央。すると梢は、ずっと心の内に秘めていた想いを打ち明ける。  とある場所を訪れていた富生は、生前の父の姿を思い出し、一人静かに物思いにふけっていた。果たして、富生が考える、這い上がるための次なる野望とは…?  するとそこへ1本の電話がかかってくる。出ると、相手は警察で……。草ナギ剛　  大島優子　  木村文乃　  高田翔(ジャニーズJr.)　  新川優愛　  志賀廣太郎　  木野花  　/　  玉森裕太(特別出演)  　/　  津川雅彦  　/　  ジュディ・オング　  渡部篤郎　    他■原作　  「銭の戦争」パク・イングォン　    ■脚本　  後藤法子　    ■音楽　  菅野祐悟　    ■SMAP「華麗なる逆襲」(ビクターエンタテインメント)　    ■チーフプロデューサー　  笠置高弘　    ■プロデューサー　  河西秀幸　    ■演出・プロデューサー　  三宅喜重　    ■制作著作　  関西テレビ■番組公式ホームページ  予告動画や番組トピックスを公開中!  公式ツイッターや公式フェイスブック情報も。  公式ホームページは「銭の戦争」で検索してください。</t>
  </si>
  <si>
    <t>富生(草ナギ剛)が父親を死に追いやった男のもとで働いているとは知る由もない光太郎(玉森裕太)。富生が金貸しになったと聞き、軽蔑する一方、母親の治療費さえも工面できない自分の無力さに、悔しい気持ちがこみ上げていた。そんなある日、バイト仲間から「金になる仕事がある」と持ちかけられた光太郎は、危険な香りのする雑居ビルに足を踏み入れて……。    一方、早和子(ジュディ・オング)の許しを得てホワイト化学の再建に乗り出した梢(木村文乃)は、早速工場へ。「いかにも町工場的な体質を変える」と断言する梢に対し、専務の金原(おかやまはじめ)らは戸惑い、反発するが、梢は青池ファイナンスが株を所有していることを理由に、工員たちを解雇する可能性もあると非情な宣告を突きつける。    その頃、未央(大島優子)は赤松(渡部篤郎)を襲撃した後に行方をくらませた富生を探していた。赤松金融、ホワイト化学、思い当たる場所を方々探し回っていると、偶然、梢と再会する。富生が行方不明だと告げ、なぜ彼を支えてあげなかったのかと梢に尋ねる未央。すると梢は、ずっと心の内に秘めていた想いを打ち明ける。  とある場所を訪れていた富生は、生前の父の姿を思い出し、一人静かに物思いにふけっていた。果たして、富生が考える、這い上がるための次なる野望とは…?  するとそこへ1本の電話がかかってくる。出ると、相手は警察で……。</t>
  </si>
  <si>
    <t>番組名銭の戦争【愛、金、人生、全てを奪い返すまで復讐は終わらない▽草ナギ剛】　#07</t>
  </si>
  <si>
    <t>赤松金融の地下に現金の隠し部屋があることを突き止めた富生(草ナギ剛)。しかし、監視カメラが設置されていることに気付き、不用意には近づけない。そこへ、未央(大島優子)から「赤松が戻ってきた」とメールが届く。機転を利かせた未央のおかげで、その日は赤松(渡部篤郎)にバレず事なきを得たものの、翌朝、出社した赤松は事務所の雰囲気に違和感を覚え、一人密かに地下室に設置した監視カメラの映像をチェックする。その晩、紺野家では未央から富生の話を聞いた洋(大杉漣)が計画を何とか阻止しようと説得を試みるが、あえなく失敗。それどころか富生は、隠し部屋の鍵の暗証番号を解読しようと、ある仕掛けを考え、さらに監視カメラの目を欺くための作戦も実行しようとする。  しかし、自分の動きを赤松に勘付かれることを恐れ、焦った富生は、ある晩、正解が分からないまま金庫破りに挑むことを決意。それを知った未央もまた、「あの人には、大きな借りがあるから」と洋の制止も聞かず、富生の後を追い、赤松金融へと向かっていく!  果たして、父親を自殺に追い込んだ赤松への復讐(ふくしゅう)のため、金庫破りに挑む富生は、赤松にバレずに大金を奪うことができるのか!?草ナギ剛　  大島優子　  木村文乃　  高田翔(ジャニーズJr.)　  新川優愛　  ジュディ・オング　  大杉漣　  渡部篤郎　    他■原作　  「銭の戦争」パク・イングォン　    ■脚本　  後藤法子　    ■音楽　  菅野祐悟　    ■SMAP「華麗なる逆襲」(ビクターエンタテインメント)　    ■チーフプロデューサー　  笠置高弘　    ■プロデューサー　  三宅喜重　  河西秀幸　    ■演出　  鈴木浩介　    ■制作著作　  関西テレビ■番組公式ホームページ  予告動画や番組トピックスを公開中!  公式ツイッターや公式フェイスブック情報も。  公式ホームページは「銭の戦争」で検索してください。</t>
  </si>
  <si>
    <t>赤松金融の地下に現金の隠し部屋があることを突き止めた富生(草ナギ剛)。しかし、監視カメラが設置されていることに気付き、不用意には近づけない。そこへ、未央(大島優子)から「赤松が戻ってきた」とメールが届く。機転を利かせた未央のおかげで、その日は赤松(渡部篤郎)にバレず事なきを得たものの、翌朝、出社した赤松は事務所の雰囲気に違和感を覚え、一人密かに地下室に設置した監視カメラの映像をチェックする。その晩、紺野家では未央から富生の話を聞いた洋(大杉漣)が計画を何とか阻止しようと説得を試みるが、あえなく失敗。それどころか富生は、隠し部屋の鍵の暗証番号を解読しようと、ある仕掛けを考え、さらに監視カメラの目を欺くための作戦も実行しようとする。  しかし、自分の動きを赤松に勘付かれることを恐れ、焦った富生は、ある晩、正解が分からないまま金庫破りに挑むことを決意。それを知った未央もまた、「あの人には、大きな借りがあるから」と洋の制止も聞かず、富生の後を追い、赤松金融へと向かっていく!  果たして、父親を自殺に追い込んだ赤松への復讐(ふくしゅう)のため、金庫破りに挑む富生は、赤松にバレずに大金を奪うことができるのか!?</t>
  </si>
  <si>
    <t>番組名銭の戦争【愛、金、人生、全てを奪い返すまで復讐は終わらない▽草ナギ剛】　#08</t>
  </si>
  <si>
    <t>ホワイト化学が経営難に陥った裏に、早和子(ジュディ・オング)の思惑があったことを知った富生(草ナギ剛)は怒りを抑えきれない。赤松(渡部篤郎)は、そんな富生をけしかけるかのように、早和子と特許庁の水越(浅野和之)という男が手を組み、ホワイト化学が出願した特許が下りないよう、画策していたことを教える。    翌日、青池ファイナンスの人間を装い水越を訪ねた富生は、ホワイト化学の件で捜査が入るかもしれないと揺さぶりをかけ、さらに、水越が早和子から金を受け取った証拠をつかもうと、彼の行動を徹底的に調べ始める。赤松と手を組むことに反対しながらも、富生が再び無茶をしないか心配な未央(大島優子)もまた、ある場所へと潜入して……。    同じ頃、富生から話を聞いて早和子を信じられなくなった梢(木村文乃)は、独自に社内の金の流れを調べ始める。そして、早和子が隠してきた重大な秘密を知り、がくぜんとする。    そんなある日、富生のもとに水越と青池ファイナンスが接触するとの情報が入るが、何者かに尾行されていることに気付いた水越は接触直前に姿を消してしまう。あきらめかけたその時、富生の携帯が鳴り、出ると相手は未央。「今、水越を追いかけてる」ーー。その声を聞いた富生は、「水越には近づくな!」と告げ、慌ててその後を追うが……。草ナギ剛　  大島優子　  木村文乃　  高田翔(ジャニーズJr.)　  新川優愛　  朝倉えりか　  中林大樹　  笠原秀幸　  黒坂真美　  浅野和之　  ジュディ・オング　  大杉漣　  渡部篤郎　    他■原作　  「銭の戦争」パク・イングォン　    ■脚本　  後藤法子　    ■音楽　  菅野祐悟　    ■SMAP「華麗なる逆襲」(ビクターエンタテインメント)　    ■チーフプロデューサー　  笠置高弘　    ■プロデューサー　  河西秀幸　    ■演出・プロデューサー　  三宅喜重　    ■制作著作　  関西テレビ■番組公式ホームページ  予告動画や番組トピックスを公開中!  公式ツイッターや公式フェイスブック情報も。  公式ホームページは「銭の戦争」で検索してください。</t>
  </si>
  <si>
    <t>ホワイト化学が経営難に陥った裏に、早和子(ジュディ・オング)の思惑があったことを知った富生(草ナギ剛)は怒りを抑えきれない。赤松(渡部篤郎)は、そんな富生をけしかけるかのように、早和子と特許庁の水越(浅野和之)という男が手を組み、ホワイト化学が出願した特許が下りないよう、画策していたことを教える。    翌日、青池ファイナンスの人間を装い水越を訪ねた富生は、ホワイト化学の件で捜査が入るかもしれないと揺さぶりをかけ、さらに、水越が早和子から金を受け取った証拠をつかもうと、彼の行動を徹底的に調べ始める。赤松と手を組むことに反対しながらも、富生が再び無茶をしないか心配な未央(大島優子)もまた、ある場所へと潜入して……。    同じ頃、富生から話を聞いて早和子を信じられなくなった梢(木村文乃)は、独自に社内の金の流れを調べ始める。そして、早和子が隠してきた重大な秘密を知り、がくぜんとする。    そんなある日、富生のもとに水越と青池ファイナンスが接触するとの情報が入るが、何者かに尾行されていることに気付いた水越は接触直前に姿を消してしまう。あきらめかけたその時、富生の携帯が鳴り、出ると相手は未央。「今、水越を追いかけてる」ーー。その声を聞いた富生は、「水越には近づくな!」と告げ、慌ててその後を追うが……。</t>
  </si>
  <si>
    <t>番組名銭の戦争【愛、金、人生、全てを奪い返すまで復讐は終わらない▽草ナギ剛】　#09</t>
  </si>
  <si>
    <t>赤松(渡部篤郎)が青池グループの株の51%を手に入れた。しかし、その買い取り額はわずか20億円と破格。富生(草ナギ剛)は早和子(ジュディ・オング)が赤松に弱みを握られていると察知し、突然の事態に動転する梢(木村文乃)に「青池を守る方法が一つだけある」とささやく。一方で、赤松を挑発し、20億円の在りかをさも知っているかのような素振りを見せる富生。  警戒した赤松は桜田(高田翔)に富生をマークさせるが、それこそが富生の狙いだった…!    その晩、富生を訪ねて梢が紺野家にやって来る。ホワイト化学を赤松に渡したくない富生と青池グループを守りたい梢。利害が一致した二人は赤松の動きを阻止すべく作戦を練るが、そんな二人の様子を近くで見ていた未央(大島優子)は胸がざわつく。そのうえ、梢からこれまでのことを謝罪され、複雑な気持ちに。  翌日、富生が自分に何も話してくれないことに耐えられなくなった未央は、赤松相手に何か無茶をしようとしている富生に手伝わせてほしいと願い出る。しかし、「危ないから巻きこめない」と断られ、思わず富生への想いを告白してしまう。その時、富生の携帯電話に梢から連絡が入る。梢と今後の作戦を確認した富生は電話を切って……。草ナギ剛　  大島優子　  木村文乃　  高田翔(ジャニーズJr.)　  新川優愛　  朝倉えりか　  ジュディ・オング　  大杉漣　  渡部篤郎　    他■原作　  「銭の戦争」パク・イングォン　    ■脚本　  後藤法子　    ■音楽　  菅野祐悟　    ■SMAP「華麗なる逆襲」(ビクターエンタテインメント)　    ■チーフプロデューサー　  笠置高弘　    ■プロデューサー　  三宅喜重　  河西秀幸　    ■演出　  鈴木浩介　    ■制作著作　  関西テレビ■番組公式ホームページ  予告動画や番組トピックスを公開中!  公式ツイッターや公式フェイスブック情報も。  公式ホームページは「銭の戦争」で検索してください。</t>
  </si>
  <si>
    <t>赤松(渡部篤郎)が青池グループの株の51%を手に入れた。しかし、その買い取り額はわずか20億円と破格。富生(草ナギ剛)は早和子(ジュディ・オング)が赤松に弱みを握られていると察知し、突然の事態に動転する梢(木村文乃)に「青池を守る方法が一つだけある」とささやく。一方で、赤松を挑発し、20億円の在りかをさも知っているかのような素振りを見せる富生。  警戒した赤松は桜田(高田翔)に富生をマークさせるが、それこそが富生の狙いだった…!    その晩、富生を訪ねて梢が紺野家にやって来る。ホワイト化学を赤松に渡したくない富生と青池グループを守りたい梢。利害が一致した二人は赤松の動きを阻止すべく作戦を練るが、そんな二人の様子を近くで見ていた未央(大島優子)は胸がざわつく。そのうえ、梢からこれまでのことを謝罪され、複雑な気持ちに。  翌日、富生が自分に何も話してくれないことに耐えられなくなった未央は、赤松相手に何か無茶をしようとしている富生に手伝わせてほしいと願い出る。しかし、「危ないから巻きこめない」と断られ、思わず富生への想いを告白してしまう。その時、富生の携帯電話に梢から連絡が入る。梢と今後の作戦を確認した富生は電話を切って……。</t>
  </si>
  <si>
    <t>番組名銭の戦争【愛、金、人生、全てを奪い返すまで復讐は終わらない▽草ナギ剛】　#10</t>
  </si>
  <si>
    <t>赤松(渡部篤郎)から奪った20億にもかかわらず、その金を増やそうと考えた富生(草ナギ剛)は、かつての上司・黒田(飯田基祐)を訪ね、利益の一部を渡すことを条件にインサイダー取引をもちかける。一方、怒りに震える赤松は、桜田(高田翔)たちを紺野家やホワイト化学に向かわせ、血眼になって金の在り処を探していた。そんななか、ふと富生の経歴を思い出した赤松は黒田に接触。富生が金を増やそうとしていることを知り、不敵な笑みを浮かべて…。    その頃、早和子(ジュディ・オング)の自首により脱税が明らかになった青池ファイナンスでは、弁護士から追徴課税が50億円に上ると聞いた梢(木村文乃)が頭をかかえていた。今すぐ現金が必要な梢は、富生に40億円でホワイト化学を売ってほしいと提案され、その提案を受け入れる。数日後、喫茶店に呼び出された富生は、黒田から株価が確実に上がる会社の情報を教えてもらうが、少し離れたところでその話を赤松が聞いていた。そうとは知らず、紺野家に戻り、黒田から聞いた情報を元に株を買おうとする富生。しかし、話を聞いた未央(大島優子)は、今まさに犯罪行為に手を出そうとしている富生を見ていられず、思わず頬を叩いてしまう。草ナギ剛　  大島優子　  木村文乃　  高田翔(ジャニーズJr.)　  新川優愛　  おかやまはじめ　  木野花　  飯田基祐　  高杉亘　  笠原秀幸　  ジュディ・オング　  大杉漣　  渡部篤郎　    他■原作　  「銭の戦争」パク・イングォン　    ■脚本　  後藤法子　    ■音楽　  菅野祐悟　    ■SMAP「華麗なる逆襲」(ビクターエンタテインメント)　    ■チーフプロデューサー　  笠置高弘　    ■プロデューサー　  河西秀幸　    ■演出・プロデューサー　  三宅喜重　    ■制作著作　  関西テレビ■番組公式ホームページ  予告動画や番組トピックスを公開中!  公式ツイッターや公式フェイスブック情報も。　  公式ホームページは「銭の戦争」で検索してください。</t>
  </si>
  <si>
    <t>赤松(渡部篤郎)から奪った20億にもかかわらず、その金を増やそうと考えた富生(草ナギ剛)は、かつての上司・黒田(飯田基祐)を訪ね、利益の一部を渡すことを条件にインサイダー取引をもちかける。一方、怒りに震える赤松は、桜田(高田翔)たちを紺野家やホワイト化学に向かわせ、血眼になって金の在り処を探していた。そんななか、ふと富生の経歴を思い出した赤松は黒田に接触。富生が金を増やそうとしていることを知り、不敵な笑みを浮かべて…。    その頃、早和子(ジュディ・オング)の自首により脱税が明らかになった青池ファイナンスでは、弁護士から追徴課税が50億円に上ると聞いた梢(木村文乃)が頭をかかえていた。今すぐ現金が必要な梢は、富生に40億円でホワイト化学を売ってほしいと提案され、その提案を受け入れる。数日後、喫茶店に呼び出された富生は、黒田から株価が確実に上がる会社の情報を教えてもらうが、少し離れたところでその話を赤松が聞いていた。そうとは知らず、紺野家に戻り、黒田から聞いた情報を元に株を買おうとする富生。しかし、話を聞いた未央(大島優子)は、今まさに犯罪行為に手を出そうとしている富生を見ていられず、思わず頬を叩いてしまう。</t>
  </si>
  <si>
    <t>番組名銭の戦争【最終回15分拡大SP!愛、金、人生を取り戻す復讐が終結】　#11</t>
  </si>
  <si>
    <t>未央(大島優子)を助けに向かった先で赤松(渡部篤郎)と対峙(たいじ)した富生(草ナギ剛)は、未央と引き換えに20億円を返すよう迫られる。一日の猶予をもらった富生は、洋(大杉漣)の言葉をヒントに、ある方法で20億円を返すため、再び灰谷(中林大樹)や桃子(朝倉えりか)らに声をかけ……。    一方、20億円が手元に戻ることを確信した赤松は、早和子(ジュディ・オング)の保釈金5億を用意できず苦しむ梢(木村文乃)に電話をかけ、金を援助する代わりに自分を青池ファイナンスの役員に加えるよう持ちかける。    そして、すべての準備を整えた富生が、20億円の受け渡し場所に選んだのは赤松金融。    待ち構える赤松に、富生は一体どんな方法で20億円を返すのか!?  未央、梢、光太郎(玉森裕太)、ホワイト化学、それぞれの行方は…?  金に人生を翻弄(ほんろう)された富生の闘いが、ついに幕を閉じる…!草ナギ剛　  大島優子　  木村文乃　  高田翔(ジャニーズJr.)　  新川優愛　  朝倉えりか　  おかやまはじめ　  高杉亘　  中林大樹　  木野花  　/　  玉森裕太(特別出演)  　/　  津川雅彦  　/　  ジュディ・オング　  大杉漣　  渡部篤郎　    他■原作　  「銭の戦争」パク・イングォン　    ■脚本　  後藤法子　    ■音楽　  菅野祐悟　    ■SMAP「華麗なる逆襲」(ビクターエンタテインメント)　    ■チーフプロデューサー　  笠置高弘　    ■プロデューサー　  河西秀幸　    ■演出・プロデューサー　  三宅喜重　    ■制作著作　  関西テレビ■番組公式ホームページ  予告動画や番組トピックスを公開中!  公式ツイッターや公式フェイスブック情報も。  公式ホームページは「銭の戦争」で検索してください。</t>
  </si>
  <si>
    <t>未央(大島優子)を助けに向かった先で赤松(渡部篤郎)と対峙(たいじ)した富生(草ナギ剛)は、未央と引き換えに20億円を返すよう迫られる。一日の猶予をもらった富生は、洋(大杉漣)の言葉をヒントに、ある方法で20億円を返すため、再び灰谷(中林大樹)や桃子(朝倉えりか)らに声をかけ……。    一方、20億円が手元に戻ることを確信した赤松は、早和子(ジュディ・オング)の保釈金5億を用意できず苦しむ梢(木村文乃)に電話をかけ、金を援助する代わりに自分を青池ファイナンスの役員に加えるよう持ちかける。    そして、すべての準備を整えた富生が、20億円の受け渡し場所に選んだのは赤松金融。    待ち構える赤松に、富生は一体どんな方法で20億円を返すのか!?  未央、梢、光太郎(玉森裕太)、ホワイト化学、それぞれの行方は…?  金に人生を翻弄(ほんろう)された富生の闘いが、ついに幕を閉じる…!</t>
  </si>
  <si>
    <t>1501_CX_水22</t>
  </si>
  <si>
    <t>残念な夫。</t>
  </si>
  <si>
    <t>番組名残念な夫。　#01</t>
  </si>
  <si>
    <t>★フジテレビHP内で、ドラマ公式ページ公開中!  オリジナルコンテンツもチェック!    ★公式twitter稼働中!  残念な夫。で検索!オリジナル画像多数公開中!　榛野陽一(玉木宏)と知里(倉科カナ)夫婦は、温かくて明るい、“理想の家庭"を夢見て結婚。しかし、その夢は知里の出産を期に変化しようとしていた。  　育児に追われる知里は、新婚の頃のような初々しさをなくし、少しイライラ気味。陽一は育児を手伝うどころか、独身時代からの趣味グッズの収集を続け、なぜ知里がイライラしているのかは全くわからない。  　ある日の朝、陽一は出社途中に会社の先輩、細井茂(岸谷五朗)に相談。すると、家庭での地位が落ちているのではないかと言われてしまう。そんな陽一は仕事が出来て、他人には親切…。知里はそれを理解しているからこそ、陽一が育児を手伝わないことにイライラが増しているのだが…。  　育児にお金がかかることを知った知里は、趣味などに浪費する陽一に小遣い制導入を宣言。阻止しようと陽一が再び茂に相談すると、妻の扱い方なるものを伝授される。陽一は早速、知里に試してみるが上手くいかない。実は、茂も家庭内では地位を失っている夫のひとり。さらに、陽一と茂は、お互いの妻、知里と美和子(大塚寧々)が知り合っていることなど気づいていない。  　陽一の地位失墜はさらに加速。リビングに陽一が飾っている趣味グッズも知里に片付けられてしまう始末。そんな時、陽一は客の須藤俊也(黒木啓司)から夫婦円満の秘訣を聞く。いわく、贈り物、新婚時の初心に戻ること。この言葉で、陽一はあることを思いつく。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</si>
  <si>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 xml:space="preserve">  残念な夫。で検索!オリジナル画像多数公開中!　榛野陽一(玉木宏)と知里(倉科カナ)夫婦は、温かくて明るい、“理想の家庭"を夢見て結婚。しかし、その夢は知里の出産を期に変化しようとしていた。  　育児に追われる知里は、新婚の頃のような初々しさをなくし、少しイライラ気味。陽一は育児を手伝うどころか、独身時代からの趣味グッズの収集を続け、なぜ知里がイライラしているのかは全くわからない。  　ある日の朝、陽一は出社途中に会社の先輩、細井茂(岸谷五朗)に相談。すると、家庭での地位が落ちているのではないかと言われてしまう。そんな陽一は仕事が出来て、他人には親切…。知里はそれを理解しているからこそ、陽一が育児を手伝わないことにイライラが増しているのだが…。  　育児にお金がかかることを知った知里は、趣味などに浪費する陽一に小遣い制導入を宣言。阻止しようと陽一が再び茂に相談すると、妻の扱い方なるものを伝授される。陽一は早速、知里に試してみるが上手くいかない。実は、茂も家庭内では地位を失っている夫のひとり。さらに、陽一と茂は、お互いの妻、知里と美和子(大塚寧々)が知り合っていることなど気づいていない。  　陽一の地位失墜はさらに加速。リビングに陽一が飾っている趣味グッズも知里に片付けられてしまう始末。そんな時、陽一は客の須藤俊也(黒木啓司)から夫婦円満の秘訣を聞く。いわく、贈り物、新婚時の初心に戻ること。この言葉で、陽一はあることを思いつく。</t>
  </si>
  <si>
    <t>番組名残念な夫。　#02</t>
  </si>
  <si>
    <t>★フジテレビHP内で、ドラマ公式ページ公開中!  オリジナルコンテンツもチェック!    ★公式twitter稼働中!  残念な夫。で検索!オリジナル画像多数公開中!　榛野陽一(玉木宏)は、知里(倉科カナ)がつけている育児日記に離婚届が挟まっているのを見つけてしまう。信じられない陽一はオロオロするばかり。  　翌日、不安を抱えながら出社した陽一は、細井茂(岸谷五朗)とクライアントを出迎える。約束の時間に遅れてやって来たクライアントは、家を建てられなくなったと切り出す。妻に離婚を切り出されたのだ。話を聞いた陽一は、我がことのように動揺する。  　茂は、そんな陽一も妻の離婚届を発見したのではないかと見抜く。妻の気持ちをハッキリ聞くと言う陽一を制した茂は、知里が産後鬱(うつ)になっているのではないかと指摘する。  　家に帰った陽一は、知里が大学時代の友人の結婚式に招待されたが、育児のために断ったことを知る。どうやら行きたそうだった知里に、陽一は出席するよう勧める。陽一は茂の言った産後鬱(うつ)で、離婚まで考え始めた知里を気分転換させようと思ったのだ。代休をとってまで面倒をみるという陽一に、知里は結婚式への出席を決意。  　まず、知里は子供を陽一に預けて美容院に出かける。ほんの数時間だが陽一は初めてひとりで赤ちゃんの世話。知里が帰ると、陽一は赤ちゃんを膝に乗せてビールを飲んでいた。知里に飲酒をたしなめられる陽一。さらに、陽一は面倒を見るのは大変だったので気晴らしに…と出て行ってしまう。  　結婚式の日、知里は陽一への不安が残るものの出かけて行く。榛野陽一(34):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</si>
  <si>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 xml:space="preserve">  残念な夫。で検索!オリジナル画像多数公開中!　榛野陽一(玉木宏)は、知里(倉科カナ)がつけている育児日記に離婚届が挟まっているのを見つけてしまう。信じられない陽一はオロオロするばかり。  　翌日、不安を抱えながら出社した陽一は、細井茂(岸谷五朗)とクライアントを出迎える。約束の時間に遅れてやって来たクライアントは、家を建てられなくなったと切り出す。妻に離婚を切り出されたのだ。話を聞いた陽一は、我がことのように動揺する。  　茂は、そんな陽一も妻の離婚届を発見したのではないかと見抜く。妻の気持ちをハッキリ聞くと言う陽一を制した茂は、知里が産後鬱(うつ)になっているのではないかと指摘する。  　家に帰った陽一は、知里が大学時代の友人の結婚式に招待されたが、育児のために断ったことを知る。どうやら行きたそうだった知里に、陽一は出席するよう勧める。陽一は茂の言った産後鬱(うつ)で、離婚まで考え始めた知里を気分転換させようと思ったのだ。代休をとってまで面倒をみるという陽一に、知里は結婚式への出席を決意。  　まず、知里は子供を陽一に預けて美容院に出かける。ほんの数時間だが陽一は初めてひとりで赤ちゃんの世話。知里が帰ると、陽一は赤ちゃんを膝に乗せてビールを飲んでいた。知里に飲酒をたしなめられる陽一。さらに、陽一は面倒を見るのは大変だったので気晴らしに…と出て行ってしまう。  　結婚式の日、知里は陽一への不安が残るものの出かけて行く。</t>
  </si>
  <si>
    <t>番組名残念な夫。　#03</t>
  </si>
  <si>
    <t>★フジテレビHP内で、ドラマ公式ページ公開中!  オリジナルコンテンツもチェック!    ★公式twitter稼働中!  残念な夫。で検索!オリジナル画像多数公開中!    ★youtubeにて、オリジナル動画「温水洋一、謝ります」公開中!　非行少女が父親をバットで殴ったとの雑誌記事を読んだ榛野陽一(玉木宏)は、娘の将来を思って不安になる。そんな時、陽一は子育てに自信満々のクライアント、須藤俊也(黒木啓司)に子供は乳幼児から英才教育した方が良いと言われる。細井茂(岸谷五朗)も俊也の意見にうなずいた。陽一は早速、知育グッズを買って帰るが、知里(倉科カナ)は大反対。知里は英才教育よりも娘には心豊かに育ってもらいたかったのだ。  　一方、茂の家庭では高校生の娘、美香(生田絵梨花)の将来を真剣に考える時期が来ていた。自立出来る女性になって欲しいと願う美和子(大塚寧々)は、茂の意見など聞こうともしないで、美香にピアノを辞めさせて普通大学への受験を課そうとしている。美和子と仲の良い美香も、素直に従っているように思えたのだが…。  　陽一は浜中遼(林遣都)がセッティングした大石かおり(笛木優子)の着任歓迎会に参加。そこで、陽一は、かおりがかつてNBAのチアリーダーをしていたと聞く。親の影響でチアを始めたと言うかおりに、陽一は娘の教育方針を変更。家に帰った陽一はあきれる知里をよそに、娘にチアやバスケットボールの教育を始めた。  　知里は陽一のイクメンとして張り切る姿勢が迷惑だと美和子と由衣(高橋メアリージュン)に愚痴る。陽一のことを考えると体がかゆくなると知里が話すと、2人から夫病だと言われてしまう・・・。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</si>
  <si>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 xml:space="preserve">  残念な夫。で検索!オリジナル画像多数公開中!    ★youtubeにて、オリジナル動画「温水洋一、謝ります」公開中!　非行少女が父親をバットで殴ったとの雑誌記事を読んだ榛野陽一(玉木宏)は、娘の将来を思って不安になる。そんな時、陽一は子育てに自信満々のクライアント、須藤俊也(黒木啓司)に子供は乳幼児から英才教育した方が良いと言われる。細井茂(岸谷五朗)も俊也の意見にうなずいた。陽一は早速、知育グッズを買って帰るが、知里(倉科カナ)は大反対。知里は英才教育よりも娘には心豊かに育ってもらいたかったのだ。  　一方、茂の家庭では高校生の娘、美香(生田絵梨花)の将来を真剣に考える時期が来ていた。自立出来る女性になって欲しいと願う美和子(大塚寧々)は、茂の意見など聞こうともしないで、美香にピアノを辞めさせて普通大学への受験を課そうとしている。美和子と仲の良い美香も、素直に従っているように思えたのだが…。  　陽一は浜中遼(林遣都)がセッティングした大石かおり(笛木優子)の着任歓迎会に参加。そこで、陽一は、かおりがかつてNBAのチアリーダーをしていたと聞く。親の影響でチアを始めたと言うかおりに、陽一は娘の教育方針を変更。家に帰った陽一はあきれる知里をよそに、娘にチアやバスケットボールの教育を始めた。  　知里は陽一のイクメンとして張り切る姿勢が迷惑だと美和子と由衣(高橋メアリージュン)に愚痴る。陽一のことを考えると体がかゆくなると知里が話すと、2人から夫病だと言われてしまう・・・。</t>
  </si>
  <si>
    <t>番組名残念な夫。　#04</t>
  </si>
  <si>
    <t>★フジテレビHP内で、ドラマ公式ページ公開中!  オリジナルコンテンツもチェック!    ★公式twitter稼働中!  残念な夫。で検索!オリジナル画像多数公開中!　#残念な夫    ★YouTubeにて、オリジナル動画「温水洋一、謝ります」公開中!　榛野陽一(玉木宏)が出勤しようとしていると、知里(倉科カナ)がハガキを見ながらうらやましがっている。ハガキは、知里の友人が新婚旅行先のハワイから送ったものだった。知里は近くで良いから華と3人でレジャーに行きたいと陽一におねだり。気乗りしない陽一だが、知里の機嫌が悪くなるのを危惧して、2月3日の節分に家族で出かけることを約束した。  　出社した陽一は、細井茂(岸谷五朗)から新規でのモデルハウスデザインの仕事を任される。ただし、今回は建築資材メーカーとのコラボレーションで、先方の社長に認めてもらえるものでなくてはならない。しかも、デザインの提出期限は2月3日。それまでに社長に認めてもらえなければ、他社に契約が移ってしまう。陽一は了解するのだが、期限が知里とレジャーに行く約束をした日だと気づく。  　仕事を終えた陽一は、茂、須藤俊也(黒木啓司)とスーパー銭湯へ。仕事か家族サービスかで悩む陽一に、俊也は男なら家族を黙らせてでも仕事だと言い切る。陽一もその気になり、家族サービス中止を宣言。  　家に帰ると陽一は、さっそくレジャー中止の話を切り出そうとするが、すでに知里は“お出かけプラン"まで作って大はしゃぎ。やはり機嫌を損ねたくない陽一は、話すことが出来ない。それなら3日以前にコラボ相手の社長にデザインを認めてもらえば良い。しかし、陽一は社長のお眼鏡にかなう作品がなかなか出来ずに…。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</si>
  <si>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 xml:space="preserve">  残念な夫。で検索!オリジナル画像多数公開中!　#残念な夫    ★YouTubeにて、オリジナル動画「温水洋一、謝ります」公開中!　榛野陽一(玉木宏)が出勤しようとしていると、知里(倉科カナ)がハガキを見ながらうらやましがっている。ハガキは、知里の友人が新婚旅行先のハワイから送ったものだった。知里は近くで良いから華と3人でレジャーに行きたいと陽一におねだり。気乗りしない陽一だが、知里の機嫌が悪くなるのを危惧して、2月3日の節分に家族で出かけることを約束した。  　出社した陽一は、細井茂(岸谷五朗)から新規でのモデルハウスデザインの仕事を任される。ただし、今回は建築資材メーカーとのコラボレーションで、先方の社長に認めてもらえるものでなくてはならない。しかも、デザインの提出期限は2月3日。それまでに社長に認めてもらえなければ、他社に契約が移ってしまう。陽一は了解するのだが、期限が知里とレジャーに行く約束をした日だと気づく。  　仕事を終えた陽一は、茂、須藤俊也(黒木啓司)とスーパー銭湯へ。仕事か家族サービスかで悩む陽一に、俊也は男なら家族を黙らせてでも仕事だと言い切る。陽一もその気になり、家族サービス中止を宣言。  　家に帰ると陽一は、さっそくレジャー中止の話を切り出そうとするが、すでに知里は“お出かけプラン"まで作って大はしゃぎ。やはり機嫌を損ねたくない陽一は、話すことが出来ない。それなら3日以前にコラボ相手の社長にデザインを認めてもらえば良い。しかし、陽一は社長のお眼鏡にかなう作品がなかなか出来ずに…。</t>
  </si>
  <si>
    <t>番組名残念な夫。　#05</t>
  </si>
  <si>
    <t>★フジテレビHP内で、ドラマ公式ページ公開中!  オリジナルコンテンツもチェック!    ★公式twitter稼働中!  残念な夫。で検索!オリジナル画像多数公開中!　#残念な夫    ★YouTubeにて、オリジナル動画「温水洋一、謝ります」公開中!　榛野陽一(玉木宏)は細井茂(岸谷五朗)と、須藤俊也(黒木啓司)宅設計の打ち合わせをしていたが、この日の俊也は陽一に鋭い視線を飛ばしている。俊也は妻の由衣(高橋メアリージュン)と陽一が会話しているのを目撃し、2人の関係を疑っていたのだ。陽一は見られていたこと、また俊也と由衣が夫婦だということは知らなかった。  　知里(倉科カナ)は、以前働いていた職場の先輩に声をかけられ、インテリアデザインの仕事を頼まれる。反対する陽一に対し、知里は自分が働けば陽一の欲しがっていた趣味のNBAグッズが買えると説得する。  　知里は働くために、華を預ける保育施設を探すもののどこもいっぱい。父、牧田仁輔(石倉三郎)と義母の明美(浅田美代子)にも頼めそうもない。美和子(大塚寧々)と由衣に相談したところ、美和子は陽一を細井家に連れて来るよう促す。「奥さんの気持ちを分かってあげて」という美和子の厳しい指摘に、あらがえない陽一。茂は陽一に加担するどころか、すぐに美和子側に寝返ってしまう。  　残すは華を預かってくれる場所。そんな時、知里は保育所に空きが出来たとママ友から連絡をもらう。知里は陽一に迷惑はかけないと約束して働きに出ることになった。  　一方、茂は美香(生田絵梨花)がピアノバーで働いていることを知ってしまう。また俊也は、前回の仕事をミスしたことで職を失ってしまうかもしれない瀬戸際に立たされていた。榛野陽一(34):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</si>
  <si>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 xml:space="preserve">  残念な夫。で検索!オリジナル画像多数公開中!　#残念な夫    ★YouTubeにて、オリジナル動画「温水洋一、謝ります」公開中!　榛野陽一(玉木宏)は細井茂(岸谷五朗)と、須藤俊也(黒木啓司)宅設計の打ち合わせをしていたが、この日の俊也は陽一に鋭い視線を飛ばしている。俊也は妻の由衣(高橋メアリージュン)と陽一が会話しているのを目撃し、2人の関係を疑っていたのだ。陽一は見られていたこと、また俊也と由衣が夫婦だということは知らなかった。  　知里(倉科カナ)は、以前働いていた職場の先輩に声をかけられ、インテリアデザインの仕事を頼まれる。反対する陽一に対し、知里は自分が働けば陽一の欲しがっていた趣味のNBAグッズが買えると説得する。  　知里は働くために、華を預ける保育施設を探すもののどこもいっぱい。父、牧田仁輔(石倉三郎)と義母の明美(浅田美代子)にも頼めそうもない。美和子(大塚寧々)と由衣に相談したところ、美和子は陽一を細井家に連れて来るよう促す。「奥さんの気持ちを分かってあげて」という美和子の厳しい指摘に、あらがえない陽一。茂は陽一に加担するどころか、すぐに美和子側に寝返ってしまう。  　残すは華を預かってくれる場所。そんな時、知里は保育所に空きが出来たとママ友から連絡をもらう。知里は陽一に迷惑はかけないと約束して働きに出ることになった。  　一方、茂は美香(生田絵梨花)がピアノバーで働いていることを知ってしまう。また俊也は、前回の仕事をミスしたことで職を失ってしまうかもしれない瀬戸際に立たされていた。</t>
  </si>
  <si>
    <t>番組名残念な夫。　#06</t>
  </si>
  <si>
    <t>★YouTubeにて、かわいい赤ちゃん動画「今週の華ちゃん」公開開始!    ★フジテレビHP内で、ドラマ公式ページ公開中!  オリジナルコンテンツもチェック!    ★公式twitter稼働中!  残念な夫。で検索!オリジナル画像多数公開中!　#残念な夫    ★YouTubeにて、オリジナル動画「温水洋一、謝ります」公開中!　榛野陽一(玉木宏)は、須藤俊也(黒木啓司)の妻、由衣(高橋メアリージュン)との写真を知里(倉科カナ)に見られてしまう。陽一は由衣がサークルの後輩で、一時期交際していたことを素直に告白。知里は、今は何もないと正直に語る陽一を信じるものの、ママ友の由衣とどう向き合うか悩まなくてはいけないのは陽一のせいだと言う。  　細井茂(岸谷五朗)の家では、美和子(大塚寧々)と美香(生田絵梨花)の対立が深刻化。そんな中、美香をピアノに真剣に向き合わせたきっかけが、陽一だったことが判明していた。  　出社した陽一は、由衣の件を茂に伝え、須藤家新居の設計担当から外して欲しいと頼んで了承された。さらに、陽一の営業推進部兼任が決定。早速、デスクを移す陽一の指導係として大石かおり(笛木優子)が待っていた。そんな時、陽一は美香に呼び出され、美和子を説得して欲しいと頼まれてしまう。  　一方知里は美和子から、陽一が美香の進路に口出ししたと知らされ、陽一に余計なことをしないようにさせると約束。そして、知里は陽一と由衣の件を相談する。  　陽一と茂は俊也と打ち合わせの際に陽一の設計担当替えを切り出すが、俊也は即座に断る。サウナ仲間、パパ友として昔のことなど気にしないと寛大さを見せる俊也。ホッとした陽一は、3家族そろって鍋パーティーをしようと口走る。すると俊也が即座に応じ、細井家での開催が決定してしまった。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</si>
  <si>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 xml:space="preserve">  残念な夫。で検索!オリジナル画像多数公開中!　#残念な夫    ★YouTubeにて、オリジナル動画「温水洋一、謝ります」公開中!　榛野陽一(玉木宏)は、須藤俊也(黒木啓司)の妻、由衣(高橋メアリージュン)との写真を知里(倉科カナ)に見られてしまう。陽一は由衣がサークルの後輩で、一時期交際していたことを素直に告白。知里は、今は何もないと正直に語る陽一を信じるものの、ママ友の由衣とどう向き合うか悩まなくてはいけないのは陽一のせいだと言う。  　細井茂(岸谷五朗)の家では、美和子(大塚寧々)と美香(生田絵梨花)の対立が深刻化。そんな中、美香をピアノに真剣に向き合わせたきっかけが、陽一だったことが判明していた。  　出社した陽一は、由衣の件を茂に伝え、須藤家新居の設計担当から外して欲しいと頼んで了承された。さらに、陽一の営業推進部兼任が決定。早速、デスクを移す陽一の指導係として大石かおり(笛木優子)が待っていた。そんな時、陽一は美香に呼び出され、美和子を説得して欲しいと頼まれてしまう。  　一方知里は美和子から、陽一が美香の進路に口出ししたと知らされ、陽一に余計なことをしないようにさせると約束。そして、知里は陽一と由衣の件を相談する。  　陽一と茂は俊也と打ち合わせの際に陽一の設計担当替えを切り出すが、俊也は即座に断る。サウナ仲間、パパ友として昔のことなど気にしないと寛大さを見せる俊也。ホッとした陽一は、3家族そろって鍋パーティーをしようと口走る。すると俊也が即座に応じ、細井家での開催が決定してしまった。</t>
  </si>
  <si>
    <t>番組名残念な夫。　#07</t>
  </si>
  <si>
    <t>★YouTubeにて、かわいい赤ちゃん動画「今週の華ちゃん」公開中!    ★フジテレビHP内で、ドラマ公式ページ公開中!  オリジナルコンテンツもチェック!    ★公式twitter稼働中!  残念な夫。で検索!オリジナル画像多数公開中!　#残念な夫    ★YouTubeにて、オリジナル動画「温水洋一、謝ります」公開中!　榛野陽一(玉木宏)宅に、知里(倉科カナ)が須藤由衣(高橋メアリージュン)、優斗(高村佳偉人)母子を連れて来て、由衣たちを泊めたいと言う。由衣が夫の俊也(黒木啓司)から時折、DV(家庭内暴力)を受けているという事情を知った陽一は承諾する。  　翌日、由衣母子は陽一たちに心配されながらも帰宅。出社した陽一は、昨夜の出来事を細井茂(岸谷五朗)に話す。理想の夫婦と思えた須藤家の問題に2人とも驚いていた。茂自身も妻の美和子(大塚寧々)と娘の美香(生田絵梨花)の衝突が解決していない。茂は、夫婦関係を良好にするためにも、もう1人子どもを作ったらどうかと陽一に勧める。  　茂の勧めを考えている陽一に、大石かおり(笛木優子)が知里とセックスレスになっているのではないのかとささやいた。かおりは自分の離婚原因がセックスレスだったと話す。離婚への発展を避けるため知里に接近するが良いタイミングがつかめない。　知里が陽一の意味深な行動を友人の桐島楓(西原亜希)に相談すると、求められていたのではないかと言われる。楓は産後セックスレス夫婦の危機を特集した雑誌を知里に見せた。そこに知里の元カレ、向井和之(田中圭)が現れる。話の流れを知った和之に、妻との関係がなくなったら自分なら浮気に走るかもしれないと言われ驚く知里。  　その頃、陽一はNBAの試合観戦をしようと、かおりからスポーツバーに誘われていた。榛野陽一(34):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</si>
  <si>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 xml:space="preserve">  残念な夫。で検索!オリジナル画像多数公開中!　#残念な夫    ★YouTubeにて、オリジナル動画「温水洋一、謝ります」公開中!　榛野陽一(玉木宏)宅に、知里(倉科カナ)が須藤由衣(高橋メアリージュン)、優斗(高村佳偉人)母子を連れて来て、由衣たちを泊めたいと言う。由衣が夫の俊也(黒木啓司)から時折、DV(家庭内暴力)を受けているという事情を知った陽一は承諾する。  　翌日、由衣母子は陽一たちに心配されながらも帰宅。出社した陽一は、昨夜の出来事を細井茂(岸谷五朗)に話す。理想の夫婦と思えた須藤家の問題に2人とも驚いていた。茂自身も妻の美和子(大塚寧々)と娘の美香(生田絵梨花)の衝突が解決していない。茂は、夫婦関係を良好にするためにも、もう1人子どもを作ったらどうかと陽一に勧める。  　茂の勧めを考えている陽一に、大石かおり(笛木優子)が知里とセックスレスになっているのではないのかとささやいた。かおりは自分の離婚原因がセックスレスだったと話す。離婚への発展を避けるため知里に接近するが良いタイミングがつかめない。　知里が陽一の意味深な行動を友人の桐島楓(西原亜希)に相談すると、求められていたのではないかと言われる。楓は産後セックスレス夫婦の危機を特集した雑誌を知里に見せた。そこに知里の元カレ、向井和之(田中圭)が現れる。話の流れを知った和之に、妻との関係がなくなったら自分なら浮気に走るかもしれないと言われ驚く知里。  　その頃、陽一はNBAの試合観戦をしようと、かおりからスポーツバーに誘われていた。</t>
  </si>
  <si>
    <t>番組名残念な夫。　#08</t>
  </si>
  <si>
    <t>★YouTubeにて、かわいい赤ちゃん動画「今週の華ちゃん」公開中!!    ★フジテレビHP内で、ドラマ公式ページ公開中!  オリジナルコンテンツもチェック!    ★公式twitter稼働中!  残念な夫。で検索!オリジナル画像多数公開中!　#残念な夫    ★YouTubeにて、オリジナル動画「温水洋一、謝ります」公開中!　榛野陽一(玉木宏)は、大石かおり(笛木優子)とホテルで一晩過ごして朝帰り。酔っていたためホテルで何があったか覚えていない陽一は、怪しむ知里(倉科カナ)に苦しい言い訳をするも雰囲気に耐えられず、すぐに出社する。  　会社に着いても、陽一はソワソワ。なぜなら、会社にはかおりがいるのだ。細井茂(岸谷五朗)から声をかけられ、陽一は簡単に昨晩の出来事を話す。すると茂は、浮気は墓場まで持って行くつもりで妻に隠せとアドバイス。  　その頃、陽一の朝帰りに疑いを持つ知里は、美和子(大塚寧々)に相談。美和子は、陽一が浮気をするような男ではないと言い切り、安心できないなら陽一を観察してみるよう促す。美和子によると、浮気をしている男は携帯を気にし、口数が増え、急に家族思いになるのだそうだ。  　退社時、かおりに待ち伏せされた陽一は昨夜のことを謝り、ホテルで何かあったかと尋ねる。すると、かおりは携帯電話で撮影した陽一の寝姿を見せ、私の宝物にすると意味深にほほ笑んだ。  　帰宅した陽一を知里が観察。陽一の口数は明らかに多くなり、急に華のひな祭りをやろうと言いだし、携帯電話を握りしめ、バスルームへ…。知里は陽一が何かを隠していると確信する。  　ひな祭りの日、陽一はかおりから最後の思い出にしたいので、今夜デートして欲しいとのメールを受信。浮気が清算出来ると思った陽一は、誘いを受けてしまい・・・。榛野陽一(34):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</si>
  <si>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 xml:space="preserve">  残念な夫。で検索!オリジナル画像多数公開中!　#残念な夫    ★YouTubeにて、オリジナル動画「温水洋一、謝ります」公開中!　榛野陽一(玉木宏)は、大石かおり(笛木優子)とホテルで一晩過ごして朝帰り。酔っていたためホテルで何があったか覚えていない陽一は、怪しむ知里(倉科カナ)に苦しい言い訳をするも雰囲気に耐えられず、すぐに出社する。  　会社に着いても、陽一はソワソワ。なぜなら、会社にはかおりがいるのだ。細井茂(岸谷五朗)から声をかけられ、陽一は簡単に昨晩の出来事を話す。すると茂は、浮気は墓場まで持って行くつもりで妻に隠せとアドバイス。  　その頃、陽一の朝帰りに疑いを持つ知里は、美和子(大塚寧々)に相談。美和子は、陽一が浮気をするような男ではないと言い切り、安心できないなら陽一を観察してみるよう促す。美和子によると、浮気をしている男は携帯を気にし、口数が増え、急に家族思いになるのだそうだ。  　退社時、かおりに待ち伏せされた陽一は昨夜のことを謝り、ホテルで何かあったかと尋ねる。すると、かおりは携帯電話で撮影した陽一の寝姿を見せ、私の宝物にすると意味深にほほ笑んだ。  　帰宅した陽一を知里が観察。陽一の口数は明らかに多くなり、急に華のひな祭りをやろうと言いだし、携帯電話を握りしめ、バスルームへ…。知里は陽一が何かを隠していると確信する。  　ひな祭りの日、陽一はかおりから最後の思い出にしたいので、今夜デートして欲しいとのメールを受信。浮気が清算出来ると思った陽一は、誘いを受けてしまい・・・。</t>
  </si>
  <si>
    <t>番組名残念な夫。　#09</t>
  </si>
  <si>
    <t>★前回の第8話をフジテレビ+7(プラスセブン)で無料配信中!    ★YouTubeにて、かわいい赤ちゃん動画「今週の華ちゃん」公開中!!    ★公式HPでオリジナル企画実施中!    ★公式twitter稼働中!  残念な夫。で検索!オリジナル画像多数公開中!　#残念な夫    ★YouTubeにて、オリジナル動画「温水洋一、謝ります」公開中!　榛野陽一(玉木宏)は知里(倉科カナ)に会うため、彼女の実家がある新潟へ。知里は、父親の牧田仁輔(石倉三郎)に伴われて現れた。離婚の真偽を尋ねる陽一に、知里は黙ってうなずく。信じられない陽一に、知里はもう話もしたくないと告げる。知里は陽一が結婚した時に“嘘つかない、隠し事しない、浮気しない"と交わした約束をすべて破ったと、取りつく島もなかった。  　数日後、陽一のもとに知里が申し立てた離婚調停の書類が届く。第三者が間に入ることで知里も冷静になるかもしれないという仁輔の計らいだが、陽一の衝撃は大きい。そんな陽一を細井茂(岸谷五朗)が心配する。  　同じ頃、須藤俊也(黒木啓司)は由衣(高橋メアリージュン)から誓約書を渡される。由衣は俊也が心療内科に通うことと、次に自分に暴力をふるったら即離婚という条件で、家族としてやり直そうとしていた。  　陽一、茂、俊也が久しぶりにサウナで顔を合わす。そこで俊也は3組に1組の夫婦が離婚するらしいと口にする。現在、一番離婚に近い距離にいるのは陽一だった。  　浮気を確かめたい陽一だが、大石かおり(笛木優子)にはハッキリと事実だと言われてしまう。部下の渡辺聡(末原拓馬)に陽一が貸した金も知里が浮気を疑う一因。ところが、浜中遼(林遣都)によると渡辺は姿をくらましていた。  　陽一が浮気の疑いを晴らす材料を見つけられないまま、知里との離婚調停が始まってしまう。榛野陽一(34):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</si>
  <si>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 xml:space="preserve">  残念な夫。で検索!オリジナル画像多数公開中!　#残念な夫    ★YouTubeにて、オリジナル動画「温水洋一、謝ります」公開中!　榛野陽一(玉木宏)は知里(倉科カナ)に会うため、彼女の実家がある新潟へ。知里は、父親の牧田仁輔(石倉三郎)に伴われて現れた。離婚の真偽を尋ねる陽一に、知里は黙ってうなずく。信じられない陽一に、知里はもう話もしたくないと告げる。知里は陽一が結婚した時に“嘘つかない、隠し事しない、浮気しない"と交わした約束をすべて破ったと、取りつく島もなかった。  　数日後、陽一のもとに知里が申し立てた離婚調停の書類が届く。第三者が間に入ることで知里も冷静になるかもしれないという仁輔の計らいだが、陽一の衝撃は大きい。そんな陽一を細井茂(岸谷五朗)が心配する。  　同じ頃、須藤俊也(黒木啓司)は由衣(高橋メアリージュン)から誓約書を渡される。由衣は俊也が心療内科に通うことと、次に自分に暴力をふるったら即離婚という条件で、家族としてやり直そうとしていた。  　陽一、茂、俊也が久しぶりにサウナで顔を合わす。そこで俊也は3組に1組の夫婦が離婚するらしいと口にする。現在、一番離婚に近い距離にいるのは陽一だった。  　浮気を確かめたい陽一だが、大石かおり(笛木優子)にはハッキリと事実だと言われてしまう。部下の渡辺聡(末原拓馬)に陽一が貸した金も知里が浮気を疑う一因。ところが、浜中遼(林遣都)によると渡辺は姿をくらましていた。  　陽一が浮気の疑いを晴らす材料を見つけられないまま、知里との離婚調停が始まってしまう。</t>
  </si>
  <si>
    <t>番組名残念な夫。　#10</t>
  </si>
  <si>
    <t>★前回の第9話をフジテレビ+7(プラスセブン)で無料配信中!    ★YouTubeにて、かわいい赤ちゃん動画「今週の華ちゃん」公開中!!    ★公式HPでオリジナル企画実施中!    ★公式Twitter稼働中!  残念な夫。で検索!オリジナル画像多数公開中!　#残念な夫    ★YouTubeにて、オリジナル動画「温水洋一、謝ります」公開中!　榛野陽一(玉木宏)は調停で、知里(倉科カナ)の要求を全て認め、離婚に同意した。最終的な離婚届の提出も、知里に任せることも承諾する。  　新潟の実家に戻った知里は、父の牧田仁輔(石倉三郎)、母の京子(角替和枝)に本当にこれでよかったのかと心配される。うなずく知里だが、離婚届を目の前に、まだどこか迷っていた。  　一方、陽一の家には、細井茂(岸谷五朗)と月島博(温水洋一)が訪ねて来た。自分の非を全て認め、離婚にも同意の上で、娘の華に恥じることのない父親になるという陽一の決意に、月島と茂は感心する。  　条件付きで須藤俊也(黒木啓司)に、やり直すことを認めた由衣(高橋メアリージュン)。しかし、俊也の方が離婚を求めていた。由衣は、心療内科のカウンセラーを訪ねる。  　知里との離婚の引き金となった陽一の浮気相手、大石かおり(笛木優子)がヘッドハンティングで会社を辞めるという。陽一があいさつに行くと、かおりは知里と会ったと意外なことを話し出した。必死に家族を守ろうとする知里の姿を見て、陽一をあきらめることにしたと言うかおり。  　細井家では、美香(生田絵梨花)のピアノコンクールが一週間後に迫っていた。美和子(大塚寧々)は知里に会うため新潟に向かう。やんわりと離婚を思いとどまらせようとする美和子だが、知里の陽一への幻滅は重かった。  　その頃、陽一は今までの自分を変えようと必死になっていて…。榛野陽一(34):　玉木宏　  榛野知里(28):　倉科カナ　  須藤俊也(34):　黒木啓司(EXILE)　  細井美香(17):　生田絵梨花(乃木坂46)　  浜中遼(26):　林遣都　  由衣(30):　高橋メアリージュン　  月島博: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</si>
  <si>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 xml:space="preserve">  残念な夫。で検索!オリジナル画像多数公開中!　#残念な夫    ★YouTubeにて、オリジナル動画「温水洋一、謝ります」公開中!　榛野陽一(玉木宏)は調停で、知里(倉科カナ)の要求を全て認め、離婚に同意した。最終的な離婚届の提出も、知里に任せることも承諾する。  　新潟の実家に戻った知里は、父の牧田仁輔(石倉三郎)、母の京子(角替和枝)に本当にこれでよかったのかと心配される。うなずく知里だが、離婚届を目の前に、まだどこか迷っていた。  　一方、陽一の家には、細井茂(岸谷五朗)と月島博(温水洋一)が訪ねて来た。自分の非を全て認め、離婚にも同意の上で、娘の華に恥じることのない父親になるという陽一の決意に、月島と茂は感心する。  　条件付きで須藤俊也(黒木啓司)に、やり直すことを認めた由衣(高橋メアリージュン)。しかし、俊也の方が離婚を求めていた。由衣は、心療内科のカウンセラーを訪ねる。  　知里との離婚の引き金となった陽一の浮気相手、大石かおり(笛木優子)がヘッドハンティングで会社を辞めるという。陽一があいさつに行くと、かおりは知里と会ったと意外なことを話し出した。必死に家族を守ろうとする知里の姿を見て、陽一をあきらめることにしたと言うかおり。  　細井家では、美香(生田絵梨花)のピアノコンクールが一週間後に迫っていた。美和子(大塚寧々)は知里に会うため新潟に向かう。やんわりと離婚を思いとどまらせようとする美和子だが、知里の陽一への幻滅は重かった。  　その頃、陽一は今までの自分を変えようと必死になっていて…。</t>
  </si>
  <si>
    <t>1501_CX_木22</t>
  </si>
  <si>
    <t>問題のあるレストラン</t>
  </si>
  <si>
    <t>番組名&lt;木曜劇場&gt;問題のあるレストラン【セクハラパワハラに負けるな女たち】　#01</t>
  </si>
  <si>
    <t>http://www.fujitv.co.jp/mondainoaru_restaurant/index.html　田中たま子(真木よう子)は、真面目で働くことが大好きな独身女性。小さな仕出し会社に勤めていたたま子は、その会社がカリスマ社長・雨木太郎(杉本哲太)率いる大手飲食会社『ライクダイニングサービス』に吸収合併されたのを機に、全国展開を見据えた新規店舗のプロジェクトに参加することになった。だが『ライクダイニングサービス』は極端なほど男性偏重で、手柄はすべて男たちのもの。おまけにセクハラ、パワハラが日常的に横行していた。それでもたま子は、物件や料理人探しに奔走し、やがて優れた腕を持つシェフ・門司誠人(東出昌大)と出会う。  　そんな折、たま子は高校時代の友人でもある同僚・藤村五月(菊池亜希子)が、屈辱的ともいえるひどいセクハラを受けた上に異動させられたことを知り、ある復讐を決行する。職を失ったたま子は、元同僚でプライドばかり高い東大卒の新田結実(二階堂ふみ)、家出中のフリーターで人間嫌いの雨木千佳(松岡茉優)、高校時代の同級生で子どもを連れて家を出た専業主婦・森村鏡子(臼田あさ美)、前の会社の同僚だが謎の多い烏森奈々美(YOU)、女装好きのゲイという理由で仕事を得られなかった一流パティシエの几ハイジ(安田顕)に声をかける。  　『ライクダイニングサービス』が門司をシェフに起用し、表参道にオープンさせるビストロ『シンフォニック表参道』のすぐそばにあるビルの屋上で、一緒にビストロを始めようと…。真木よう子　  東出昌大　  二階堂ふみ　  高畑充希　  菅田将暉　  松岡茉優　  臼田あさ美  　●　  YOU　  安田顕  　●　  田山涼成　  吹越満　  杉本哲太【脚本】  坂元裕二　    【演出】  並木道子　  加藤裕将　    【主題歌】  きゃりーぱみゅぱみゅ「もんだいガール」(unBORDE/ワーナーミュージック・ジャパン)　    【音楽】  出羽良彰　  羽深由理　    【プロデュース】  清水一幸　    【制作】  フジテレビドラマ制作センター</t>
  </si>
  <si>
    <t xml:space="preserve">　田中たま子(真木よう子)は、真面目で働くことが大好きな独身女性。小さな仕出し会社に勤めていたたま子は、その会社がカリスマ社長・雨木太郎(杉本哲太)率いる大手飲食会社『ライクダイニングサービス』に吸収合併されたのを機に、全国展開を見据えた新規店舗のプロジェクトに参加することになった。だが『ライクダイニングサービス』は極端なほど男性偏重で、手柄はすべて男たちのもの。おまけにセクハラ、パワハラが日常的に横行していた。それでもたま子は、物件や料理人探しに奔走し、やがて優れた腕を持つシェフ・門司誠人(東出昌大)と出会う。  　そんな折、たま子は高校時代の友人でもある同僚・藤村五月(菊池亜希子)が、屈辱的ともいえるひどいセクハラを受けた上に異動させられたことを知り、ある復讐を決行する。職を失ったたま子は、元同僚でプライドばかり高い東大卒の新田結実(二階堂ふみ)、家出中のフリーターで人間嫌いの雨木千佳(松岡茉優)、高校時代の同級生で子どもを連れて家を出た専業主婦・森村鏡子(臼田あさ美)、前の会社の同僚だが謎の多い烏森奈々美(YOU)、女装好きのゲイという理由で仕事を得られなかった一流パティシエの几ハイジ(安田顕)に声をかける。  　『ライクダイニングサービス』が門司をシェフに起用し、表参道にオープンさせるビストロ『シンフォニック表参道』のすぐそばにあるビルの屋上で、一緒にビストロを始めようと…。</t>
  </si>
  <si>
    <t>番組名&lt;木曜劇場&gt;問題のあるレストラン【夢への第一歩!でも開店は前途多難?】　#02</t>
  </si>
  <si>
    <t>http://www.fujitv.co.jp/mondainoaru_restaurant/index.html　たま子(真木よう子)は、ビストロをオープンさせるべく、表参道にある『獅子丸ビル』屋上の格安ペントハウスを借りた。たま子は、パティシエのハイジ(安田顕)、シェフの千佳(松岡茉優)と店の階下で共同生活を送りながら、経費節減のため、可能な限り自分たちの力で準備を進めようとしていた。だが、千佳だけは何も手伝わずに、ひたすら漫画を読んでいた。  　同じころ、息子の洋武(庵原匠悟)を連れてファミレスを訪れた離婚調停中の専業主婦・鏡子(臼田あさ美)は、そこで奈々美(YOU)と出会う。奈々美は、東大卒の結実(二階堂ふみ)はともかく、鏡子はたま子の店に参加すると思った、と告げた。すると鏡子は、一度も働いたことがなければ料理もできない自分は不良品だと言い出し…。  　たま子たちが、資材を搬入していると、それに気づいた門司(東出昌大)や藍里(高畑充希)、土田(吹越満)ら、ライクダイニングサービス社の面々が近づいてきた。たま子たちが、門司がシェフを務める新店舗『シンフォニック表参道』のすぐそばでビストロをオープンさせることを知った土田たちは、口では応援しているなどと言いながらも完全にバカにしていた。  　そんな折、鏡子は、夫の森村真三(丸山智己)から、洋武の親権と養育権はこちらが持つ、と一方的に告げられてしまい…。真木よう子　  東出昌大　  二階堂ふみ　  高畑充希　  菅田将暉　  松岡茉優　  臼田あさ美  　●　  YOU　  安田顕  　●　  田山涼成　  吹越満　  杉本哲太【脚本】  坂元裕二　    【演出】  並木道子　  加藤裕将　    【主題歌】  きゃりーぱみゅぱみゅ「もんだいガール」(unBORDE/ワーナーミュージック・ジャパン)　    【音楽】  出羽良彰　  羽深由理　    【プロデュース】  清水一幸　    【制作】  フジテレビドラマ制作センター</t>
  </si>
  <si>
    <t xml:space="preserve">　たま子(真木よう子)は、ビストロをオープンさせるべく、表参道にある『獅子丸ビル』屋上の格安ペントハウスを借りた。たま子は、パティシエのハイジ(安田顕)、シェフの千佳(松岡茉優)と店の階下で共同生活を送りながら、経費節減のため、可能な限り自分たちの力で準備を進めようとしていた。だが、千佳だけは何も手伝わずに、ひたすら漫画を読んでいた。  　同じころ、息子の洋武(庵原匠悟)を連れてファミレスを訪れた離婚調停中の専業主婦・鏡子(臼田あさ美)は、そこで奈々美(YOU)と出会う。奈々美は、東大卒の結実(二階堂ふみ)はともかく、鏡子はたま子の店に参加すると思った、と告げた。すると鏡子は、一度も働いたことがなければ料理もできない自分は不良品だと言い出し…。  　たま子たちが、資材を搬入していると、それに気づいた門司(東出昌大)や藍里(高畑充希)、土田(吹越満)ら、ライクダイニングサービス社の面々が近づいてきた。たま子たちが、門司がシェフを務める新店舗『シンフォニック表参道』のすぐそばでビストロをオープンさせることを知った土田たちは、口では応援しているなどと言いながらも完全にバカにしていた。  　そんな折、鏡子は、夫の森村真三(丸山智己)から、洋武の親権と養育権はこちらが持つ、と一方的に告げられてしまい…。</t>
  </si>
  <si>
    <t>番組名&lt;木曜劇場&gt;問題のあるレストラン【いよいよ開店!問題のあるレストラン】　#03</t>
  </si>
  <si>
    <t>http://www.fujitv.co.jp/mondainoaru_restaurant/index.html　たま子(真木よう子)たちは、『ビストロ　フー』のオープンに向けて準備を続けていた。ところがその矢先、シェフを務める千佳(松岡茉優)が、荷物をまとめてたま子たちのもとから出ていこうとする。理由を問われ、料理をするのが嫌だ、面倒くさい、と答える千佳。たま子は、出ていくにしてもひと晩考えてからにしてはどうか、と提案し、千佳のために用意したコックコートを手渡した。千佳の料理の腕は宝物だから、出ていくにしてもコックコートを持っていってほしいーーたま子は、そう千佳に告げる。  　あくる日、たま子が千佳の部屋を訪れると、そこに彼女の姿はなかった。たま子は、遅れてやってきた結実(二階堂ふみ)やハイジ(安田顕)たちに、千佳が戻ってきたいと思える店にしよう、と言ってほほ笑んだ。  　別の日、たま子は、結実、鏡子(臼田あさ美)、ハイジとともに、魚の卸売市場を訪れる。が、その際に立ち寄った回転寿司店で、門司(東出昌大)や藍里(高畑充希)らライバル店『シンフォニック表参道』のスタッフと鉢合わせしてしまう。たま子を店の外に連れ出した門司は、『ビストロ　フー』が『シンフォニック表参道』と同じレシピのフォンを使うことに触れ、同じレシピで勝てると思っているのか、と言い放つ。そもそも門司は、たま子の同級生が作ったフォンなど使いたくなかったのだという。そんな門司に、たま子は「勝ちます」と宣言し…。真木よう子　  東出昌大　  二階堂ふみ　  高畑充希　  菅田将暉　  松岡茉優　  臼田あさ美  　●　  YOU　  安田顕  　●　  田山涼成　  吹越満　  杉本哲太【脚本】  坂元裕二　    【主題歌】  きゃりーぱみゅぱみゅ「もんだいガール(unBORDE/ワーナーミュージック・ジャパン)　    【音楽】  出羽良彰　  羽深由理　    【プロデュース】  清水一幸　    【演出】  並木道子　  加藤裕将　    【制作】  フジテレビ　ドラマ制作センター</t>
  </si>
  <si>
    <t xml:space="preserve">　たま子(真木よう子)たちは、『ビストロ　フー』のオープンに向けて準備を続けていた。ところがその矢先、シェフを務める千佳(松岡茉優)が、荷物をまとめてたま子たちのもとから出ていこうとする。理由を問われ、料理をするのが嫌だ、面倒くさい、と答える千佳。たま子は、出ていくにしてもひと晩考えてからにしてはどうか、と提案し、千佳のために用意したコックコートを手渡した。千佳の料理の腕は宝物だから、出ていくにしてもコックコートを持っていってほしいーーたま子は、そう千佳に告げる。  　あくる日、たま子が千佳の部屋を訪れると、そこに彼女の姿はなかった。たま子は、遅れてやってきた結実(二階堂ふみ)やハイジ(安田顕)たちに、千佳が戻ってきたいと思える店にしよう、と言ってほほ笑んだ。  　別の日、たま子は、結実、鏡子(臼田あさ美)、ハイジとともに、魚の卸売市場を訪れる。が、その際に立ち寄った回転寿司店で、門司(東出昌大)や藍里(高畑充希)らライバル店『シンフォニック表参道』のスタッフと鉢合わせしてしまう。たま子を店の外に連れ出した門司は、『ビストロ　フー』が『シンフォニック表参道』と同じレシピのフォンを使うことに触れ、同じレシピで勝てると思っているのか、と言い放つ。そもそも門司は、たま子の同級生が作ったフォンなど使いたくなかったのだという。そんな門司に、たま子は「勝ちます」と宣言し…。</t>
  </si>
  <si>
    <t>番組名&lt;木曜劇場&gt;問題のあるレストラン【再始動!憎きライバル店をぶっ潰せ!】　#04</t>
  </si>
  <si>
    <t>http://www.fujitv.co.jp/mondainoaru_restaurant/index.html　たま子(真木よう子)たちの店『ビストロフー』はしばらくの間営業を停止する。採算を度外視して食材にこだわるシェフの千佳(松岡茉優)がハイジ(安田顕)と衝突し、メニューの見直しが進まないのだ。たま子は、シェフが作りたいものを作ってもらおうと提案してみんなを納得させ、試作に取り組む。  　再オープンの前日、たま子は、店で身につけるために用意した6色のスカーフをみんなに手渡す。それぞれが自分の好きな色を手にする中、いまも就職活動を続けていた結実(二階堂ふみ)も、最後に残った赤と緑から緑を選ぶ。  　ところが、運悪くオープンの日もその翌日も雨に見舞われ、3日目はとうとう雪が降ってしまう。たま子は、集客のために鏡子(臼田あさ美)たちとウェブサイトを作った。その際、結実は、古めかしいデザインをあざ笑い、ビラを配った方がましだと発言したため、本当にビラ配りをするはめに。するとそこに藍里(高畑充希)が現れ、結実を合コンに誘う。藍里とともにカラオケ店を訪れた結実は、そこで『シンフォニック表参道』の見習い料理人・星野(菅田将暉)と出会い…。  　同じころ、『ビストロフー』には、原宿ファッション界の著名人・伊達和美(銀粉蝶)が訪れていた。料理を気に入った和美は、金曜日に大切な友人の誕生会を開きたい、といって、『シンフォニック表参道』から『ビストロフー』に予約を変更する。それを知った門司(東出昌大)は…。真木よう子　  東出昌大　  二階堂ふみ　  高畑充希　  菅田将暉　  松岡茉優　  臼田あさ美  　●　  YOU　  安田顕  　●　  田山涼成　  吹越満　  杉本哲太【脚本】  坂元裕二　    【演出】  並木道子　  加藤裕将　    【主題歌】  きゃりーぱみゅぱみゅ「もんだいガール」(unBORDE/ワーナーミュージック・ジャパン)　    【音楽】  出羽良彰　  羽深由理　    【プロデュース】  清水一幸　    【制作】  フジテレビドラマ制作センター</t>
  </si>
  <si>
    <t xml:space="preserve">　たま子(真木よう子)たちの店『ビストロフー』はしばらくの間営業を停止する。採算を度外視して食材にこだわるシェフの千佳(松岡茉優)がハイジ(安田顕)と衝突し、メニューの見直しが進まないのだ。たま子は、シェフが作りたいものを作ってもらおうと提案してみんなを納得させ、試作に取り組む。  　再オープンの前日、たま子は、店で身につけるために用意した6色のスカーフをみんなに手渡す。それぞれが自分の好きな色を手にする中、いまも就職活動を続けていた結実(二階堂ふみ)も、最後に残った赤と緑から緑を選ぶ。  　ところが、運悪くオープンの日もその翌日も雨に見舞われ、3日目はとうとう雪が降ってしまう。たま子は、集客のために鏡子(臼田あさ美)たちとウェブサイトを作った。その際、結実は、古めかしいデザインをあざ笑い、ビラを配った方がましだと発言したため、本当にビラ配りをするはめに。するとそこに藍里(高畑充希)が現れ、結実を合コンに誘う。藍里とともにカラオケ店を訪れた結実は、そこで『シンフォニック表参道』の見習い料理人・星野(菅田将暉)と出会い…。  　同じころ、『ビストロフー』には、原宿ファッション界の著名人・伊達和美(銀粉蝶)が訪れていた。料理を気に入った和美は、金曜日に大切な友人の誕生会を開きたい、といって、『シンフォニック表参道』から『ビストロフー』に予約を変更する。それを知った門司(東出昌大)は…。</t>
  </si>
  <si>
    <t>番組名&lt;木曜劇場&gt;問題のあるレストラン【バレンタイン決戦!今日奇跡が訪れる】　#05</t>
  </si>
  <si>
    <t>http://www.fujitv.co.jp/mondainoaru_restaurant/index.html　たま子(真木よう子)たちは、客のいない『ビストロフー』の店内でヒマを持て余していた。そこにやってきた奈々美(YOU)は、六本木ヒルズで結実(二階堂ふみ)を見かけたことをたま子たちに伝える。  　『フー』とは対照的に、ライバル店『シンフォニック表参道』には客の行列ができていた。門司(東出昌大)が新たに開発したポトフがテレビで紹介されたからだった。  　たま子たちは、店をより多くの人に知ってもらうためにどうすればいいか話し合う。そこでたま子は、街角でお弁当を売ろうと提案する。そこに突然、ライクダイニングサービス社長の雨木(杉本哲太)が、部下の土田(吹越満)を伴ってやってくる。雨木は、料理を注文すると、娘の千佳(松岡茉優)の話を聞きたい、といってたま子を自分たちの席に座らせた。すると雨木は、屈辱的な仕打ちを受けて会社を辞めたたま子の友人・五月のことを侮辱するような発言をした上、たま子に向かって愛人にならないかと言い出す。たま子は、そんな雨木に、五月の無念を晴らすためにこの店を始めたと告げ、ふたりを追い出すが…。  　一方、藍里(高畑充希)は、同僚の池辺(川口覚)のことで悩んでいた。藍里には何の覚えもないのに付き合っていると思い込んだ池辺の行動がどんどんエスカレートしていたのだ。  　そんな中、たま子たちはお弁当の販売を開始する。が、思うような成果を上げることができず…。真木よう子　  東出昌大　  二階堂ふみ　  高畑充希　  菅田将暉　  松岡茉優　  臼田あさ美  　●　  YOU　  安田顕  　●　  田山涼成　  吹越満　  杉本哲太【脚本】  坂元裕二　    【演出】  並木道子　  加藤裕将　    【主題歌】  きゃりーぱみゅぱみゅ「もんだいガール」(unBORDE/ワーナーミュージック・ジャパン)　    【音楽】  出羽良彰　  羽深由理　    【プロデュース】  清水一幸　    【制作】  フジテレビドラマ制作センター</t>
  </si>
  <si>
    <t xml:space="preserve">　たま子(真木よう子)たちは、客のいない『ビストロフー』の店内でヒマを持て余していた。そこにやってきた奈々美(YOU)は、六本木ヒルズで結実(二階堂ふみ)を見かけたことをたま子たちに伝える。  　『フー』とは対照的に、ライバル店『シンフォニック表参道』には客の行列ができていた。門司(東出昌大)が新たに開発したポトフがテレビで紹介されたからだった。  　たま子たちは、店をより多くの人に知ってもらうためにどうすればいいか話し合う。そこでたま子は、街角でお弁当を売ろうと提案する。そこに突然、ライクダイニングサービス社長の雨木(杉本哲太)が、部下の土田(吹越満)を伴ってやってくる。雨木は、料理を注文すると、娘の千佳(松岡茉優)の話を聞きたい、といってたま子を自分たちの席に座らせた。すると雨木は、屈辱的な仕打ちを受けて会社を辞めたたま子の友人・五月のことを侮辱するような発言をした上、たま子に向かって愛人にならないかと言い出す。たま子は、そんな雨木に、五月の無念を晴らすためにこの店を始めたと告げ、ふたりを追い出すが…。  　一方、藍里(高畑充希)は、同僚の池辺(川口覚)のことで悩んでいた。藍里には何の覚えもないのに付き合っていると思い込んだ池辺の行動がどんどんエスカレートしていたのだ。  　そんな中、たま子たちはお弁当の販売を開始する。が、思うような成果を上げることができず…。</t>
  </si>
  <si>
    <t>番組名&lt;木曜劇場&gt;問題のあるレストラン【遂に全員集合!いよいよ恋も新展開!】　#06</t>
  </si>
  <si>
    <t>http://www.fujitv.co.jp/mondainoaru_restaurant/index.html　たま子(真木よう子)に会うために『ビストロフー』にやってきた門司(東出昌大)は、持参したポトフを差し出し、「店を辞めて俺の嫁になれ」と告げる。たま子にポトフを食べるよう促した門司は、心のこもった温かい味がするかどうか尋ねた。門司は、料理に心がこもっていない、とたま子に言われたことをずっと気にしていたらしい。  　同じころ、結実(二階堂ふみ)は、星野(菅田将暉)とともに、とあるタワーマンションを訪れていた。ベンチャー企業の融資の相談に乗ってもらえると、星野から紹介されたのだ。だが、そこで結実が目にしたのは、水着姿やバニーガール姿で待機している女性たちだった。しかも星野は、部屋にいた米田(加藤慶祐)という男から10万円ほど受け取ると、結実を残して帰ってしまう。  　一方、千佳(松岡茉優)や鏡子(臼田あさ美)は、ハイジ(安田顕)がロビン(ジョナサン・シガー)という客に恋をしてしいることに気づく。ハイジは注文も受けていないのに愛情たっぷりのかわいいデザートをロビンのために作っていた。  　ある日、開店準備をしていたたま子は、通りであたりを見回していた結実の姿を見つけ、強引に店まで引っ張っていく。そんな結実を温かく迎え入れるハイジたち。するとそこへ、結実がタワーマンションで出会った米田たちが客として現れ…。真木よう子　  東出昌大　  二階堂ふみ　  高畑充希　  菅田将暉　  松岡茉優　  臼田あさ美  　●　  YOU　  安田顕  　●　  田山涼成　  吹越満　  杉本哲太【脚本】  坂元裕二　    【主題歌】  きゃりーぱみゅぱみゅ「もんだいガール(unBORDE/ワーナーミュージック・ジャパン)　    【音楽】  出羽良彰　  羽深由理　    【プロデュース】  清水一幸　    【演出】  並木道子　  加藤裕将　    【制作】  フジテレビ　ドラマ制作センター</t>
  </si>
  <si>
    <t xml:space="preserve">　たま子(真木よう子)に会うために『ビストロフー』にやってきた門司(東出昌大)は、持参したポトフを差し出し、「店を辞めて俺の嫁になれ」と告げる。たま子にポトフを食べるよう促した門司は、心のこもった温かい味がするかどうか尋ねた。門司は、料理に心がこもっていない、とたま子に言われたことをずっと気にしていたらしい。  　同じころ、結実(二階堂ふみ)は、星野(菅田将暉)とともに、とあるタワーマンションを訪れていた。ベンチャー企業の融資の相談に乗ってもらえると、星野から紹介されたのだ。だが、そこで結実が目にしたのは、水着姿やバニーガール姿で待機している女性たちだった。しかも星野は、部屋にいた米田(加藤慶祐)という男から10万円ほど受け取ると、結実を残して帰ってしまう。  　一方、千佳(松岡茉優)や鏡子(臼田あさ美)は、ハイジ(安田顕)がロビン(ジョナサン・シガー)という客に恋をしてしいることに気づく。ハイジは注文も受けていないのに愛情たっぷりのかわいいデザートをロビンのために作っていた。  　ある日、開店準備をしていたたま子は、通りであたりを見回していた結実の姿を見つけ、強引に店まで引っ張っていく。そんな結実を温かく迎え入れるハイジたち。するとそこへ、結実がタワーマンションで出会った米田たちが客として現れ…。</t>
  </si>
  <si>
    <t>番組名&lt;木曜劇場&gt;問題のあるレストラン【完全勝利!いい仕事がしたいんです!】　#07</t>
  </si>
  <si>
    <t>http://www.fujitv.co.jp/mondainoaru_restaurant/index.html　たま子(真木よう子)や結実(二階堂ふみ)、千佳(松岡茉優)らが共同生活を送っている部屋に、いきなり藍里(高畑充希)が引っ越してきた。藍里は、寝起きでぼうぜんとしているたま子たちなどお構いなしに大声で自己紹介をすると、引っ越し業者とともに荷物を運び込む。  　藍里は、仕事中も一方的にしゃべり続けていたが、誰よりもよく動き、客ともすぐに打ち解けた。それを見たたま子やハイジ(安田顕)は、藍里は『ビストロフー』の戦力になると認める。1週間連続で黒字を記録するなど着実に客を増やしてきたたま子たちは、このチャンスをものにしようと動画サイトにレシピも公開する。  　フーとは対照的に、『シンフォニック表参道』は客足が落ちていた。本社から新しいメニューを押し付けられた門司(東出昌大)は不満を隠せない。  　ある日、ランチタイムを終えた千佳は、母親の奏子(堀内敬子)と再会する。奏子は、宇宙ロケットの開発をしているという恋人の寺川草輔(菅原大吉)と一緒だった。寺川の仕事の都合で北海道に引っ越すことになった奏子は、一緒に暮そう、と千佳に持ちかけるが…。  　そんな折、たま子たちは、限定販売されているまぼろしのベーコンに目をつける。その生産者を訪ねて、とある牧場を訪れたたま子らは、そこで門司たちと遭遇。ベーコンの契約をめぐって、どちらがおいしい料理を作れるか対決することになってしまう。真木よう子　  東出昌大　  二階堂ふみ　  高畑充希　  菅田将暉　  松岡茉優　  臼田あさ美  　●　  YOU　  安田顕  　●　  田山涼成　  吹越満　  杉本哲太【脚本】  坂元裕二　    【主題歌】  きゃりーぱみゅぱみゅ「もんだいガール(unBORDE/ワーナーミュージック・ジャパン)　    【音楽】  出羽良彰　  羽深由理　    【プロデュース】  清水一幸　    【演出】  並木道子　  加藤裕将　    【制作】  フジテレビ　ドラマ制作センター</t>
  </si>
  <si>
    <t xml:space="preserve">　たま子(真木よう子)や結実(二階堂ふみ)、千佳(松岡茉優)らが共同生活を送っている部屋に、いきなり藍里(高畑充希)が引っ越してきた。藍里は、寝起きでぼうぜんとしているたま子たちなどお構いなしに大声で自己紹介をすると、引っ越し業者とともに荷物を運び込む。  　藍里は、仕事中も一方的にしゃべり続けていたが、誰よりもよく動き、客ともすぐに打ち解けた。それを見たたま子やハイジ(安田顕)は、藍里は『ビストロフー』の戦力になると認める。1週間連続で黒字を記録するなど着実に客を増やしてきたたま子たちは、このチャンスをものにしようと動画サイトにレシピも公開する。  　フーとは対照的に、『シンフォニック表参道』は客足が落ちていた。本社から新しいメニューを押し付けられた門司(東出昌大)は不満を隠せない。  　ある日、ランチタイムを終えた千佳は、母親の奏子(堀内敬子)と再会する。奏子は、宇宙ロケットの開発をしているという恋人の寺川草輔(菅原大吉)と一緒だった。寺川の仕事の都合で北海道に引っ越すことになった奏子は、一緒に暮そう、と千佳に持ちかけるが…。  　そんな折、たま子たちは、限定販売されているまぼろしのベーコンに目をつける。その生産者を訪ねて、とある牧場を訪れたたま子らは、そこで門司たちと遭遇。ベーコンの契約をめぐって、どちらがおいしい料理を作れるか対決することになってしまう。</t>
  </si>
  <si>
    <t>番組名&lt;木曜劇場&gt;問題のあるレストラン【終盤戦…イケメンシェフ引き抜き!?】　#08</t>
  </si>
  <si>
    <t>http://www.fujitv.co.jp/mondainoaru_restaurant/index.html　たま子(真木よう子)たちの店『ビストロ　フー』に、五月(菊池亜希子)がやってきた。五月は、恋人の高村新(風間俊介)と一緒だった。雨木(杉本哲太)による屈辱的なパワハラのせいで会社を辞め、福井の実家に戻っていた五月は、東京の旅行代理店に勤務し、北陸新幹線の開業に合わせたツアーの視察できていた高村と知り合ったのだという。高村は五月にプロポーズしていたが、五月はまだ返事をしていないらしい。  　同じころハイジ(安田顕)を訪ねて、彼の弟・恭平(矢野聖人)がやってくる。間もなく結婚する予定の恭平は、親戚から疎まれていることもあって欠席のはがきを出していたハイジを、どうしても結婚式に出席させたいという。式に出ないなら二次会を『フー』でやる、とまで言う恭平の思いを受け止めたハイジは、弟のために最高のウエディングケーキを作ってあげたい、と言って、結実(二階堂ふみ)や千佳(松岡茉優)たちに頭を下げる。　一方、門司(東出昌大)がシェフを務める『シンフォニック表参道』では土田(吹越満)が担当から外されていた。『フー』に負けたことを認め、料理への取り組み方を見直した門司は、みんなで力を合わせて頑張ろう、とスタッフを鼓舞した。  　そんな折、たま子たちのもとに、五月の母・静子(藤田弓子)がやってくる。たま子や鏡子(臼田あさ美)たちと楽しいひと時を過ごす静子。五月は、そんな静子にある重大な決意を伝える…。真木よう子　  東出昌大　  二階堂ふみ　  高畑充希　  菅田将暉　  松岡茉優　  臼田あさ美  　●　  YOU　  安田顕  　●　  田山涼成　  吹越満　  杉本哲太【脚本】  坂元裕二　    【演出】  並木道子　  加藤裕将　    【主題歌】  きゃりーぱみゅぱみゅ「もんだいガール」(unBORDE/ワーナーミュージック・ジャパン)　    【音楽】  出羽良彰　  羽深由理　    【プロデュース】  清水一幸　    【制作】  フジテレビドラマ制作センター</t>
  </si>
  <si>
    <t xml:space="preserve">　たま子(真木よう子)たちの店『ビストロ　フー』に、五月(菊池亜希子)がやってきた。五月は、恋人の高村新(風間俊介)と一緒だった。雨木(杉本哲太)による屈辱的なパワハラのせいで会社を辞め、福井の実家に戻っていた五月は、東京の旅行代理店に勤務し、北陸新幹線の開業に合わせたツアーの視察できていた高村と知り合ったのだという。高村は五月にプロポーズしていたが、五月はまだ返事をしていないらしい。  　同じころハイジ(安田顕)を訪ねて、彼の弟・恭平(矢野聖人)がやってくる。間もなく結婚する予定の恭平は、親戚から疎まれていることもあって欠席のはがきを出していたハイジを、どうしても結婚式に出席させたいという。式に出ないなら二次会を『フー』でやる、とまで言う恭平の思いを受け止めたハイジは、弟のために最高のウエディングケーキを作ってあげたい、と言って、結実(二階堂ふみ)や千佳(松岡茉優)たちに頭を下げる。　一方、門司(東出昌大)がシェフを務める『シンフォニック表参道』では土田(吹越満)が担当から外されていた。『フー』に負けたことを認め、料理への取り組み方を見直した門司は、みんなで力を合わせて頑張ろう、とスタッフを鼓舞した。  　そんな折、たま子たちのもとに、五月の母・静子(藤田弓子)がやってくる。たま子や鏡子(臼田あさ美)たちと楽しいひと時を過ごす静子。五月は、そんな静子にある重大な決意を伝える…。</t>
  </si>
  <si>
    <t>番組名&lt;木曜劇場&gt;問題のあるレストラン【衝撃!急展開!ライバルシェフ解雇!】　#09</t>
  </si>
  <si>
    <t>http://www.fujitv.co.jp/mondainoaru_restaurant/index.html　たま子(真木よう子)は、奈々美(YOU)の手伝いをするため、しばらくの間、『ビストロフー』を休むことになった。奈々美は、元社員の五月(菊池亜希子)に対するセクハラに関して、ライクダイニングサービス社長の雨木(杉本哲太)に謝罪と慰謝料の支払いを要求する通知書を送っていた。回答期限は5日間。その間、たま子は裁判になったときのために証人探しを開始する。  　一方、五月の一件を知った門司(東出昌大)は、店にやってきた雨木にその話を切り出し、相手にきちんと謝ってほしい、と訴える。すると雨木は、会社として対応しているので心配しなくても店がつぶれるようなことはない、と返す。  　『ビストロフー』は、たま子だけでなく、離婚調停が始まる鏡子(臼田あさ美)も休んでいるため、ハイジ(安田顕)を中心に、結実(二階堂ふみ)、藍里(高畑充希)、千佳(松岡茉優)がたま子たちの仕事を分担して営業していた。  　証人探しを続けていたたま子は、ライクダイニングサービスの本社前で土田(吹越満)に出会う。そば店で昼食をともにしたたま子は、証人になってほしい、と土田に頭を下げるが…。  　そんな折、奈々美のもとに、ライクダイニングサービス社側からの回答書が届く。真木よう子　  東出昌大　  二階堂ふみ　  高畑充希　  菅田将暉　  松岡茉優　  臼田あさ美  　●　  YOU　  安田顕  　●　  田山涼成　  吹越満　  杉本哲太【脚本】  坂元裕二　    【演出】  並木道子　  加藤裕将　    【主題歌】  きゃりーぱみゅぱみゅ「もんだいガール」(unBORDE/ワーナーミュージック・ジャパン)　    【音楽】  出羽良彰　  羽深由理　    【プロデュース】  清水一幸　    【制作】  フジテレビドラマ制作センター</t>
  </si>
  <si>
    <t xml:space="preserve">　たま子(真木よう子)は、奈々美(YOU)の手伝いをするため、しばらくの間、『ビストロフー』を休むことになった。奈々美は、元社員の五月(菊池亜希子)に対するセクハラに関して、ライクダイニングサービス社長の雨木(杉本哲太)に謝罪と慰謝料の支払いを要求する通知書を送っていた。回答期限は5日間。その間、たま子は裁判になったときのために証人探しを開始する。  　一方、五月の一件を知った門司(東出昌大)は、店にやってきた雨木にその話を切り出し、相手にきちんと謝ってほしい、と訴える。すると雨木は、会社として対応しているので心配しなくても店がつぶれるようなことはない、と返す。  　『ビストロフー』は、たま子だけでなく、離婚調停が始まる鏡子(臼田あさ美)も休んでいるため、ハイジ(安田顕)を中心に、結実(二階堂ふみ)、藍里(高畑充希)、千佳(松岡茉優)がたま子たちの仕事を分担して営業していた。  　証人探しを続けていたたま子は、ライクダイニングサービスの本社前で土田(吹越満)に出会う。そば店で昼食をともにしたたま子は、証人になってほしい、と土田に頭を下げるが…。  　そんな折、奈々美のもとに、ライクダイニングサービス社側からの回答書が届く。</t>
  </si>
  <si>
    <t>番組名&lt;木曜劇場&gt;問題のあるレストラン【いよいよ最終回!頑張れ、女の子!】　#10</t>
  </si>
  <si>
    <t>http://www.fujitv.co.jp/mondainoaru_restaurant/index.html　たま子(真木よう子)たちの店『ビストロ　フー』は、今日も大勢の客でにぎわっていた。海外転勤を前に恋人にプロポーズしようとしている常連客、結実(二階堂ふみ)の元同級生で東大卒であることをひけらかす女性、鏡子(臼田あさ美)の息子・洋武(庵原匠悟)の初恋相手だという女の子もいた。店には、予約の電話もひっきりなしにかかっていた。だが、何故かたま子は翌日以降の予約を受けなかった。  　そこへ門司(東出昌大)が星野(菅田将暉)とともに“まかない"を持って現れる。門司は、雨木(杉本哲太)を殴ったことが原因でシンフォニック表参道をクビになっていた。が、ライクダイニングサービスも、雨木がセクハラ事件の責任を取って辞任に追い込まれ、シンフォニック表参道も休業を余儀なくされていた。  　門司の持ってきた“まかない"を食べるたま子たち。千佳(松岡茉優)は、門司とオムレツ作りで対決することに。一方、結実は、洗い場で星野と一緒になり…。  　そんな中、門司は、『ビストロ　フー』が直面しているある問題についてたま子から話を聞く。門司は、「俺と店をやろうよ」とたま子に告げるが…。真木よう子　  東出昌大　  二階堂ふみ　  高畑充希　  菅田将暉　  松岡茉優　  臼田あさ美  　●　  YOU　  安田顕  　●　  田山涼成　  吹越満　  杉本哲太【脚本】  坂元裕二　    【演出】  並木道子　  加藤裕将　    【主題歌】  きゃりーぱみゅぱみゅ「もんだいガール」(unBORDE/ワーナーミュージック・ジャパン)　    【音楽】  出羽良彰　  羽深由理　    【プロデュース】  清水一幸　    【制作】  フジテレビドラマ制作センター</t>
  </si>
  <si>
    <t xml:space="preserve">　たま子(真木よう子)たちの店『ビストロ　フー』は、今日も大勢の客でにぎわっていた。海外転勤を前に恋人にプロポーズしようとしている常連客、結実(二階堂ふみ)の元同級生で東大卒であることをひけらかす女性、鏡子(臼田あさ美)の息子・洋武(庵原匠悟)の初恋相手だという女の子もいた。店には、予約の電話もひっきりなしにかかっていた。だが、何故かたま子は翌日以降の予約を受けなかった。  　そこへ門司(東出昌大)が星野(菅田将暉)とともに“まかない"を持って現れる。門司は、雨木(杉本哲太)を殴ったことが原因でシンフォニック表参道をクビになっていた。が、ライクダイニングサービスも、雨木がセクハラ事件の責任を取って辞任に追い込まれ、シンフォニック表参道も休業を余儀なくされていた。  　門司の持ってきた“まかない"を食べるたま子たち。千佳(松岡茉優)は、門司とオムレツ作りで対決することに。一方、結実は、洗い場で星野と一緒になり…。  　そんな中、門司は、『ビストロ　フー』が直面しているある問題についてたま子から話を聞く。門司は、「俺と店をやろうよ」とたま子に告げるが…。</t>
  </si>
  <si>
    <t>1410_CX_月21</t>
  </si>
  <si>
    <t>信長協奏曲</t>
  </si>
  <si>
    <t>番組名フジテレビ開局55周年記念プロジェクト　信長協奏曲【高校生が戦国へ】　#01</t>
  </si>
  <si>
    <t>修学旅行で時代村にやって来た高校生のサブロー(小栗旬)は、武士や町人に扮したアトラクションキャストが行き交う中、同級生の女子に告白。良い返事がもらえそうにないと感じると、電話がかかってきたふりをして逃げ出した。仲間の男子たちに、フラれたわけではないと強がるサブロー。だが、男子たちは過去のさまざまな例を挙げ、サブローは逃げ癖があると責める。そんな時、サブローが転ぶ。足下には“戦国武将体験コース"などと書かれた看板。見回すと友人の姿がない。ひとりでアトラクションに迷い込んだと思ったサブローは、抜け出そうと高い壁に登るが落下してしまう。  　サブローが目を覚ますと、建物など何もない自然風景。携帯電話も圏外。そこに馬に乗った2人の侍が来た。声をかけたサブローはビックリ。片方の侍が自分そっくりなのだ。サブローのそっくりさんは、織田信長(小栗旬・二役)と名乗る。そして、「自分の代わりに織田信長として生きてくれないか?」とサブローに問う。アトラクションだと疑わないサブローは、刀を受け取って承諾した。  　信長たちが去ると、新たに3人の侍が出現。侍たちは、サブローを信長と疑わずに那古野城へ連れて行く。そこに今川勢が攻めて来たとの報せ。すぐに戦場へと向かうことになるサブロー。まだ、アトラクションと思い込むサブローだが、戦場で繰り広げられる命のやりとりに、ようやくここが本物の戦国だと気づいて…。小栗旬　  柴咲コウ　  向井理　  山田孝之　    他【原作】  「信長協奏曲」石井あゆみ(小学館「ゲッサン」)　    【脚本】  西田征史　    【プロデュース】  村瀬健　  羽鳥健一　    【演出】  松山博昭　    【音楽】  ☆Taku　Takahashi(m-flo/Tachytelic　inc./block.fm)　    【主題歌】  「足音　～Be　Strong」Mr.Children(TOY'S　FACTORY)　    【制作】  フジテレビドラマ制作センター「信長協奏曲」公式番組ホームページ　  http://www.fujitv.co.jp/nobunaga-concerto-drama/</t>
  </si>
  <si>
    <t>修学旅行で時代村にやって来た高校生のサブロー(小栗旬)は、武士や町人に扮したアトラクションキャストが行き交う中、同級生の女子に告白。良い返事がもらえそうにないと感じると、電話がかかってきたふりをして逃げ出した。仲間の男子たちに、フラれたわけではないと強がるサブロー。だが、男子たちは過去のさまざまな例を挙げ、サブローは逃げ癖があると責める。そんな時、サブローが転ぶ。足下には“戦国武将体験コース"などと書かれた看板。見回すと友人の姿がない。ひとりでアトラクションに迷い込んだと思ったサブローは、抜け出そうと高い壁に登るが落下してしまう。  　サブローが目を覚ますと、建物など何もない自然風景。携帯電話も圏外。そこに馬に乗った2人の侍が来た。声をかけたサブローはビックリ。片方の侍が自分そっくりなのだ。サブローのそっくりさんは、織田信長(小栗旬・二役)と名乗る。そして、「自分の代わりに織田信長として生きてくれないか?」とサブローに問う。アトラクションだと疑わないサブローは、刀を受け取って承諾した。  　信長たちが去ると、新たに3人の侍が出現。侍たちは、サブローを信長と疑わずに那古野城へ連れて行く。そこに今川勢が攻めて来たとの報せ。すぐに戦場へと向かうことになるサブロー。まだ、アトラクションと思い込むサブローだが、戦場で繰り広げられる命のやりとりに、ようやくここが本物の戦国だと気づいて…。</t>
  </si>
  <si>
    <t>番組名フジテレビ開局55周年記念プロジェクト　信長協奏曲【サブロー初出陣!】　#02</t>
  </si>
  <si>
    <t>「信長協奏曲」公式番組ホームページ　  http://www.fujitv.co.jp/nobunaga-concerto-drama/　戦国時代に迷い込んだサブロー(小栗旬)は、織田信長(小栗旬・二役)に容姿がそっくりなことを理由に身代わりを頼まれてしまう。折しも織田家は家督争いの真っ最中。本物の戦、醜い争いに辟易しながらも、サブローは織田家当主地位を勝ち取った。だが、信長の妻、帰蝶(柴咲コウ)は美人だがどうにも気が強く、なかなかサブローに打ち解けようとしない。  　そんな時、帰蝶の父、斎藤道三(西田敏行)が会見を申し込んでくる。美濃の蝮と恐れられる道三の申し込みに、サブローは逃げ回るが池田恒興(向井理)らに捕まる。最後の頼みと帰蝶に同行を頼むサブローだが、潔く斬られてこいと言われる始末。だが、帰蝶は道三に会いたくない理由も…。  　その頃、今川義元(生瀬勝久)は、引き続き織田の内情を探るよう、伝次郎(山田孝之)ら密偵に命じていた。  　織田家をつぶしてはならないという家臣らの願いで、サブローは道三と会見。しかし、衣装が気に入らないと道三に戦を仕掛けられた国があると聞いたサブローは、自分なりの正装をしてみた。それは、タイムスリップした時に着ていた学生服。戦国時代としては何とも珍妙な服だ。恒興たちの不安は尋常ではない。ところがサブローの姿を見た道三は、家臣たちを遠ざけ二人きりになると宣言。待たされるサブローの前に、服装を整えた道三が現れる。道三は、現代の警察官の制服を着ていた。道三もタイムスリップして来た男だった。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西田征史　    【プロデュース】  村瀬健　  羽鳥健一　    【演出】  松山博昭　    【音楽】  ☆Taku　Takahashi(m-flo/Tachytelic　inc./block.fm)　    【主題歌】  「足音　～Be　Strong」Mr.Children(TOY'S　FACTORY)　    【制作】  フジテレビドラマ制作センター</t>
  </si>
  <si>
    <t xml:space="preserve">「信長協奏曲」公式番組ホームページ　  http://www.fujitv.co.jp/nobunaga-concerto-drama/　戦国時代に迷い込んだサブロー(小栗旬)は、織田信長(小栗旬・二役)に容姿がそっくりなことを理由に身代わりを頼まれてしまう。折しも織田家は家督争いの真っ最中。本物の戦、醜い争いに辟易しながらも、サブローは織田家当主地位を勝ち取った。だが、信長の妻、帰蝶(柴咲コウ)は美人だがどうにも気が強く、なかなかサブローに打ち解けようとしない。  　そんな時、帰蝶の父、斎藤道三(西田敏行)が会見を申し込んでくる。美濃の蝮と恐れられる道三の申し込みに、サブローは逃げ回るが池田恒興(向井理)らに捕まる。最後の頼みと帰蝶に同行を頼むサブローだが、潔く斬られてこいと言われる始末。だが、帰蝶は道三に会いたくない理由も…。  　その頃、今川義元(生瀬勝久)は、引き続き織田の内情を探るよう、伝次郎(山田孝之)ら密偵に命じていた。  　織田家をつぶしてはならないという家臣らの願いで、サブローは道三と会見。しかし、衣装が気に入らないと道三に戦を仕掛けられた国があると聞いたサブローは、自分なりの正装をしてみた。それは、タイムスリップした時に着ていた学生服。戦国時代としては何とも珍妙な服だ。恒興たちの不安は尋常ではない。ところがサブローの姿を見た道三は、家臣たちを遠ざけ二人きりになると宣言。待たされるサブローの前に、服装を整えた道三が現れる。道三は、現代の警察官の制服を着ていた。道三もタイムスリップして来た男だった。サブロー/織田信長(一人二役):　</t>
  </si>
  <si>
    <t>番組名フジテレビ開局55周年記念プロジェクト　信長協奏曲【桶狭間の奇跡!!】　#03</t>
  </si>
  <si>
    <t>サブロー(小栗旬)は、村人を集めて相撲を楽しんでいる。サブロー自ら軍配らしきものを握り、家臣の前田犬千代(藤ヶ谷太輔)と佐々成政(阿部進之介)の取り組みをさばこうとした時、池田恒興(向井理)が馬で駆け込んで来た。なんと今川勢が尾張に向けて軍を発したと言うのだ。  　那古野城に戻ったサブローは軍議を開くが、真っ向勝負を唱える柴田勝家(高嶋政宏)派と、ろう城を良しとする恒興派と家臣の意見はまっぷたつ。戦わずに済ます方法はないのかと家臣に問うサブローだが、勝利以外は自分の首が刎ねられると言われてしまう。おびえるサブローは、帰蝶(柴咲コウ)からも勝つための算段を考えろと尻を叩かれる。答えが出せないサブローは、城から逃げ出した。今川軍から遠ざかろうとするサブローだが、道に迷ってしまう。そんな時、馬の前に村娘が飛び出し、サブローは落馬。一方、主君逃亡を知った那古野城の家臣たちは大騒ぎ。犬千代と成政が捜索に向かう。  　サブローが目を覚ましたのは、先ほど飛び出した村娘、お春(前田敦子)の家。サブローはお春から、ここが今川領の田楽村だと教えられる。そんなところに、今川の同心頭が侍たちを引き連れて戦用物資の調達に来た。もう何もないと懇願する村長(前田吟)に、同心頭は女衆を差し出すよう命じる。止めようとするサブローだが、お春はこれが自分たちの使命と家から出て行き…。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岡田道尚　    【脚本協力】  宇山佳佑　    【シリーズ構成】  西田征史　    【演出】  金井紘　    【音楽】  ☆Taku　Takahashi(m-flo/Tachytelic　inc./block.fm)　    【主題歌】  「足音　～Be　Strong」Mr.Children(TOY'S　FACTORY)　【制作】  フジテレビ　ドラマ制作センター「信長協奏曲」公式番組ホームページ　  http://www.fujitv.co.jp/nobunaga-concerto-drama/</t>
  </si>
  <si>
    <t>サブロー(小栗旬)は、村人を集めて相撲を楽しんでいる。サブロー自ら軍配らしきものを握り、家臣の前田犬千代(藤ヶ谷太輔)と佐々成政(阿部進之介)の取り組みをさばこうとした時、池田恒興(向井理)が馬で駆け込んで来た。なんと今川勢が尾張に向けて軍を発したと言うのだ。  　那古野城に戻ったサブローは軍議を開くが、真っ向勝負を唱える柴田勝家(高嶋政宏)派と、ろう城を良しとする恒興派と家臣の意見はまっぷたつ。戦わずに済ます方法はないのかと家臣に問うサブローだが、勝利以外は自分の首が刎ねられると言われてしまう。おびえるサブローは、帰蝶(柴咲コウ)からも勝つための算段を考えろと尻を叩かれる。答えが出せないサブローは、城から逃げ出した。今川軍から遠ざかろうとするサブローだが、道に迷ってしまう。そんな時、馬の前に村娘が飛び出し、サブローは落馬。一方、主君逃亡を知った那古野城の家臣たちは大騒ぎ。犬千代と成政が捜索に向かう。  　サブローが目を覚ましたのは、先ほど飛び出した村娘、お春(前田敦子)の家。サブローはお春から、ここが今川領の田楽村だと教えられる。そんなところに、今川の同心頭が侍たちを引き連れて戦用物資の調達に来た。もう何もないと懇願する村長(前田吟)に、同心頭は女衆を差し出すよう命じる。止めようとするサブローだが、お春はこれが自分たちの使命と家から出て行き…。</t>
  </si>
  <si>
    <t>番組名フジテレビ開局55周年記念プロジェクト　信長協奏曲【徳川家康、登場!】　#04</t>
  </si>
  <si>
    <t>信長として暮らすサブロー(小栗旬)の居城に、松平元康(濱田岳)が同盟のために訪ねて来た。先の戦で今川勢として戦ったことを詫びる元康は織田家への帰順を示し、自らは徳川家康と改名すると言う。名を聞いたサブローは歴史上の人物とまではわかるのだが、何を成し遂げたかは思い至らない。  　家康が何者かを知ろうと、サブローは居室で教科書を探すが見あたらない。そんなサブローに突然声をかける女性が…。サブローが驚いていると、池田恒興(向井理)が妹の市(水原希子)だと教える。信長に妹がいると知ったサブローは大喜び。早速、市と遊び始める。そこに木下藤吉郎(山田孝之)が現れ、初陣を覚えているかとサブローに問う。  　家臣に聞くと、信長の初陣は13歳。サブローは子供が戦場に行くのは良くないので、早く自分が天下を獲って戦を無くそうと思い立つ。家臣らによると天下を獲るには、京都に行く必要があるらしい。しかし京に上るためには斎藤が治める美濃を通らなければならない。方法を探るサブローは斎藤龍興(間宮祥太朗)に通行許可をもらおうと提案。だが、通りがかった帰蝶(柴咲コウ)に気性の荒い龍興には通じないとバッサリ。また、恒興は斎藤の軍師、竹中半兵衛(藤木直人)も一筋縄ではいかないと告げる。そんな話をしていると前田利家(藤ヶ谷太輔)が、サブローへの面会を求める者がいると伝えに来た。なんと、その男は半兵衛で…。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宇山佳佑　    【脚本協力】  岡田道尚　    【シリーズ構成】  西田征史　    【演出】  林徹　    【音楽】  ☆Taku　Takahashi(m-flo/Tachytelic　inc./block.fm)　    【主題歌】  「足音　～Be　Strong」Mr.Children(TOY'S　FACTORY)　【制作】  フジテレビ　ドラマ制作センター「信長協奏曲」公式番組ホームページ　  http://www.fujitv.co.jp/nobunaga-concerto-drama/</t>
  </si>
  <si>
    <t>信長として暮らすサブロー(小栗旬)の居城に、松平元康(濱田岳)が同盟のために訪ねて来た。先の戦で今川勢として戦ったことを詫びる元康は織田家への帰順を示し、自らは徳川家康と改名すると言う。名を聞いたサブローは歴史上の人物とまではわかるのだが、何を成し遂げたかは思い至らない。  　家康が何者かを知ろうと、サブローは居室で教科書を探すが見あたらない。そんなサブローに突然声をかける女性が…。サブローが驚いていると、池田恒興(向井理)が妹の市(水原希子)だと教える。信長に妹がいると知ったサブローは大喜び。早速、市と遊び始める。そこに木下藤吉郎(山田孝之)が現れ、初陣を覚えているかとサブローに問う。  　家臣に聞くと、信長の初陣は13歳。サブローは子供が戦場に行くのは良くないので、早く自分が天下を獲って戦を無くそうと思い立つ。家臣らによると天下を獲るには、京都に行く必要があるらしい。しかし京に上るためには斎藤が治める美濃を通らなければならない。方法を探るサブローは斎藤龍興(間宮祥太朗)に通行許可をもらおうと提案。だが、通りがかった帰蝶(柴咲コウ)に気性の荒い龍興には通じないとバッサリ。また、恒興は斎藤の軍師、竹中半兵衛(藤木直人)も一筋縄ではいかないと告げる。そんな話をしていると前田利家(藤ヶ谷太輔)が、サブローへの面会を求める者がいると伝えに来た。なんと、その男は半兵衛で…。</t>
  </si>
  <si>
    <t>番組名信長協奏曲【信長の妹、お市の嫁入り・・・今夜は「戦国ラブストーリー」】　#05</t>
  </si>
  <si>
    <t>「日米野球壮行試合侍ジャパンvs福岡ソフトバンク・北海道日本ハム連合チーム」延長の際は、放送時間繰り下げの場合あり。　サブロー(小栗旬)は帰蝶(柴咲コウ)と斎藤道三(西田敏行)の墓参り。その帰り、ひとりきりになったサブローの前に、本物の織田信長(小栗旬・二役)が現れた。恨み言をぶつけるサブローに、信長は明智光秀と名乗っていることを告げる。そして、罪滅ぼしとして、今後はサブローの天下取りに利用して欲しいと言う。と、そこに前田利家(藤ヶ谷太輔)が信長を捜しに来た。サブローと信長は身を隠す。しかし、利家は見つけた…それは本物の信長。利家は、そのまま信長を城に連れ帰ってしまう。  　本物の信長は、家臣たちと句会や軍議。軍議での目下の問題は上洛最後の難所、近江の浅井領をどう抜けるか。竹中半兵衛(藤木直人)は、市(水原希子)を浅井家に嫁がせ、同盟を結ぶことを提案。信長は承諾してしまう。軍議を終えた信長は、帰蝶と会う。帰蝶の変化に驚く信長。そこに信長の従者、沢彦(でんでん)が迎えに来た。信長は、そのまま城を抜け出す。　一方、利家は信長がいつもと違うことに気づいた様子。だが、柴田勝家(高嶋政宏)たちは意に介さず、輿入れの話を市に告げる役を池田恒興(向井理)に託す。恒興が伝えると、市は明るく承知した。  　その夜、サブローがこっそり帰城。利家から市の輿入れ話を聞いたサブローは猛反対。すると勝家は、浅井家と同盟を結ばない以上、戦をするしかないと言いだす。サブローは、浅井に赴き無条件での同盟を頼むことにするが…。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宇山佳佑　    【脚本協力】  岡田道尚　    【シリーズ構成】  西田征史　    【演出】  金井紘　    【音楽】  ☆Taku　Takahashi(m-flo/Tachytelic　inc./block.fm)　    【主題歌】  「足音　～Be　Strong」Mr.Children(TOY'S　FACTORY)　【制作】  フジテレビ　ドラマ制作センター</t>
  </si>
  <si>
    <t>「日米野球壮行試合侍ジャパンvs福岡ソフトバンク・北海道日本ハム連合チーム」延長の際は、放送時間繰り下げの場合あり。　サブロー(小栗旬)は帰蝶(柴咲コウ)と斎藤道三(西田敏行)の墓参り。その帰り、ひとりきりになったサブローの前に、本物の織田信長(小栗旬・二役)が現れた。恨み言をぶつけるサブローに、信長は明智光秀と名乗っていることを告げる。そして、罪滅ぼしとして、今後はサブローの天下取りに利用して欲しいと言う。と、そこに前田利家(藤ヶ谷太輔)が信長を捜しに来た。サブローと信長は身を隠す。しかし、利家は見つけた…それは本物の信長。利家は、そのまま信長を城に連れ帰ってしまう。  　本物の信長は、家臣たちと句会や軍議。軍議での目下の問題は上洛最後の難所、近江の浅井領をどう抜けるか。竹中半兵衛(藤木直人)は、市(水原希子)を浅井家に嫁がせ、同盟を結ぶことを提案。信長は承諾してしまう。軍議を終えた信長は、帰蝶と会う。帰蝶の変化に驚く信長。そこに信長の従者、沢彦(でんでん)が迎えに来た。信長は、そのまま城を抜け出す。　一方、利家は信長がいつもと違うことに気づいた様子。だが、柴田勝家(高嶋政宏)たちは意に介さず、輿入れの話を市に告げる役を池田恒興(向井理)に託す。恒興が伝えると、市は明るく承知した。  　その夜、サブローがこっそり帰城。利家から市の輿入れ話を聞いたサブローは猛反対。すると勝家は、浅井家と同盟を結ばない以上、戦をするしかないと言いだす。サブローは、浅井に赴き無条件での同盟を頼むことにするが…</t>
  </si>
  <si>
    <t>番組名信長協奏曲【毎回泣けると大好評!家族で見れる月9戦国エンタテイメント】　#06</t>
  </si>
  <si>
    <t>サブロー(小栗旬)の居城に明智光秀(小栗旬・二役)が家臣になるとやって来た。光秀は他の家臣たちに信長だと悟られぬよう覆面姿で、彼の手土産は上洛の良案だった。足利義昭(堀部圭亮)を将軍と擁立するという大義名分をもって織田の上洛を朝廷に了承させようと言うのだ。竹中半兵衛(藤木直人)もこの策を認めたため、家臣一同了承。しかし池田恒興(向井理)が問題点を指摘。それは織田の人々が京での作法を知らないこと。さっそくサブローは家臣たちと作法を学ぼうとするが上手くいかない。すると、光秀が妙案を持ちかけた。  　京に上った織田勢だが、サブローはのんきに街でお買い物。義昭とともにみかどと対面したのは、覆面を取って信長に戻った光秀だった。思い通りに征夷大将軍をみかどから拝命した義昭は、光秀と再度“信長"を入れ替わったサブローに副将軍を任命する。だがサブローは断り、さらには自分が天下を獲ると宣言した。  　京からの帰り道、サブローたちは市(水原希子)が嫁いだ浅井長政(高橋一生)の小谷城に立ち寄ってから自身の城へと帰った。  　サブローが帰蝶(柴咲コウ)に京土産を渡していると、家臣たちが鬼が来たと騒ぎだす。サブローがのぞきにいくと、背中に鬼を背負った松永弾正久秀(古田新太)がいた。松永は義昭が信長を討伐するよう全国の大名に布令を出したと教える。サブローは念願の上洛を果たしたものの義昭の怒りを買ってしまったのだ。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宇山佳佑　    【脚本協力】  岡田道尚　    【演出】  松山博昭　    【音楽】  ☆Taku　Takahashi(m-flo/Tachytelic　inc./block.fm)　    【主題歌】  「足音　～Be　Strong」Mr.Children(TOY'S　FACTORY)　    【制作】  フジテレビ　ドラマ制作センター「信長協奏曲」公式番組ホームページ　  http://www.fujitv.co.jp/nobunaga-concerto-drama/</t>
  </si>
  <si>
    <t>サブロー(小栗旬)の居城に明智光秀(小栗旬・二役)が家臣になるとやって来た。光秀は他の家臣たちに信長だと悟られぬよう覆面姿で、彼の手土産は上洛の良案だった。足利義昭(堀部圭亮)を将軍と擁立するという大義名分をもって織田の上洛を朝廷に了承させようと言うのだ。竹中半兵衛(藤木直人)もこの策を認めたため、家臣一同了承。しかし池田恒興(向井理)が問題点を指摘。それは織田の人々が京での作法を知らないこと。さっそくサブローは家臣たちと作法を学ぼうとするが上手くいかない。すると、光秀が妙案を持ちかけた。  　京に上った織田勢だが、サブローはのんきに街でお買い物。義昭とともにみかどと対面したのは、覆面を取って信長に戻った光秀だった。思い通りに征夷大将軍をみかどから拝命した義昭は、光秀と再度“信長"を入れ替わったサブローに副将軍を任命する。だがサブローは断り、さらには自分が天下を獲ると宣言した。  　京からの帰り道、サブローたちは市(水原希子)が嫁いだ浅井長政(高橋一生)の小谷城に立ち寄ってから自身の城へと帰った。  　サブローが帰蝶(柴咲コウ)に京土産を渡していると、家臣たちが鬼が来たと騒ぎだす。サブローがのぞきにいくと、背中に鬼を背負った松永弾正久秀(古田新太)がいた。松永は義昭が信長を討伐するよう全国の大名に布令を出したと教える。サブローは念願の上洛を果たしたものの義昭の怒りを買ってしまったのだ。</t>
  </si>
  <si>
    <t>番組名信長協奏曲【戦、そして、裏切り・・・戦国で生きるということ】　#07</t>
  </si>
  <si>
    <t>サブロー(小栗旬)たちは、市(水原希子)から浅井長政(高橋一生)の裏切りを伝えられて退却を始める。木下藤吉郎(山田孝之)は、自ら最後尾で浅井勢を抑えると申し出た。それは浅井の追っ手に加担し、憎き信長を討とうとする藤吉郎の策だった。しかし、手なずけた蜂須賀小六(勝矢)らの兵とともに藤吉郎が最後尾に向かおうとすると、竹中半兵衛(藤木直人)たちが加えて欲しいと現れる。藤吉郎は自分の真意を半兵衛らに気づかれるわけにもいかず、意に反して浅井勢と戦うはめになった。  　一方、次々と切り崩される兵の犠牲をともないながらも、サブローはわずかな手勢とともになんとか帰城。出迎えた帰蝶(柴咲コウ)に安堵の笑みを浮かべるサブロー。だが、次の瞬間、銃声が轟く。何者かがサブローを撃ったのだ。駆けつける帰蝶の腕の中で血に染まるサブロー。遅れて帰城した池田恒興(向井理)も顔色を失ってしまう。  　そのころ、長政は市にサブローに急を報せたのだろうと尋ねていた。夫と兄が戦わなければならないことを悲しむ市。サブローが逃げ切ったことを知る市だが、久政(村井國夫)から朝倉義景(小市慢太郎)の間者に撃たれたと聞かされ絶句する。  　一命は取り留めたが、意識の戻らないサブローを帰蝶とゆき(夏帆)が必死に看病する。だが、ゆきの様子はどこかおかしい。なぜならゆきこそが朝倉の間者。ゆきは信長の命を必ず奪うことを命じられているのだ。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徳永友一　  宇山佳佑　    【脚本協力】  岡田道尚　    【演出】  林徹　    【音楽】  ☆Taku　Takahashi(m-flo/Tachytelic　inc./block.fm)　    【主題歌】  「足音　～Be　Strong」Mr.Children(TOY'S　FACTORY)　    【制作】  フジテレビ　ドラマ制作センター「信長協奏曲」公式番組ホームページ　  http://www.fujitv.co.jp/nobunaga-concerto-drama/</t>
  </si>
  <si>
    <t>サブロー(小栗旬)たちは、市(水原希子)から浅井長政(高橋一生)の裏切りを伝えられて退却を始める。木下藤吉郎(山田孝之)は、自ら最後尾で浅井勢を抑えると申し出た。それは浅井の追っ手に加担し、憎き信長を討とうとする藤吉郎の策だった。しかし、手なずけた蜂須賀小六(勝矢)らの兵とともに藤吉郎が最後尾に向かおうとすると、竹中半兵衛(藤木直人)たちが加えて欲しいと現れる。藤吉郎は自分の真意を半兵衛らに気づかれるわけにもいかず、意に反して浅井勢と戦うはめになった。  　一方、次々と切り崩される兵の犠牲をともないながらも、サブローはわずかな手勢とともになんとか帰城。出迎えた帰蝶(柴咲コウ)に安堵の笑みを浮かべるサブロー。だが、次の瞬間、銃声が轟く。何者かがサブローを撃ったのだ。駆けつける帰蝶の腕の中で血に染まるサブロー。遅れて帰城した池田恒興(向井理)も顔色を失ってしまう。  　そのころ、長政は市にサブローに急を報せたのだろうと尋ねていた。夫と兄が戦わなければならないことを悲しむ市。サブローが逃げ切ったことを知る市だが、久政(村井國夫)から朝倉義景(小市慢太郎)の間者に撃たれたと聞かされ絶句する。  　一命は取り留めたが、意識の戻らないサブローを帰蝶とゆき(夏帆)が必死に看病する。だが、ゆきの様子はどこかおかしい。なぜならゆきこそが朝倉の間者。ゆきは信長の命を必ず奪うことを命じられているのだ。</t>
  </si>
  <si>
    <t>番組名信長協奏曲【さらば、友よ。戦国に散る命…父の想いは時を越えて…】　#08</t>
  </si>
  <si>
    <t>サブロー(小栗旬)は、浅井、朝倉らと戦いを繰り広げた。そして、姉川の戦いで横山城を落とし、ひとまず浅井らを退ける。その勝利で松永弾正久秀(古田新太)も織田勢に加わるとサブローと約束。また、松永はサブローに一国の主としての政治をするよう進言し、領民の声を聞くことから始めるよう促した。ちょうどその時、領民が年貢を下げるよう城門に押し寄せてくる。  　森可成(森下能幸)が領民を押しとどめていると、サブローが現れて自ら話を聞きその場を治める。サブローは、そのまま帰蝶(柴咲コウ)を連れて城下町へ。そこで、サブローは町には座と言う制度があって、自由にものの売り買いが出来ないことを知る。座は商いを独占するための商人組合で、新たに加わるためには多額の金が必要だった。  　サブローは木下藤吉郎(山田孝之)と商人頭に直談判。藤吉郎の機転で、自由な売買を認めさせることに成功。この楽市楽座、関所の撤廃をもって織田領内の経済は活性化。藤吉郎は、この功で名を羽柴秀吉に改めた。さらにサブローは織田領までの街道沿いにある宇佐山城下に、もうひとつ楽市楽座の町を作ることにして、名乗り出た森を責任者に任命する。  　織田家の繁栄を見過ごせないのが浅井長政(高橋一生)たち敵対勢力。摂津、三好と交戦中の松永不利を匂わせ、サブロー率いる織田の主力を援軍に向かわせる。しかし、浅井の真の狙いは町作りを進める宇佐山城にあった。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宇山佳佑　  岡田道尚　    【演出】  品田俊介　    【音楽】  ☆Taku　Takahashi(m-flo/Tachytelic　inc./block.fm)　    【主題歌】  「足音　～Be　Strong」Mr.Children(TOY'S　FACTORY)　    【制作】  フジテレビ　ドラマ制作センター「信長協奏曲」公式番組ホームページ　  http://www.fujitv.co.jp/nobunaga-concerto-drama/</t>
  </si>
  <si>
    <t>サブロー(小栗旬)は、浅井、朝倉らと戦いを繰り広げた。そして、姉川の戦いで横山城を落とし、ひとまず浅井らを退ける。その勝利で松永弾正久秀(古田新太)も織田勢に加わるとサブローと約束。また、松永はサブローに一国の主としての政治をするよう進言し、領民の声を聞くことから始めるよう促した。ちょうどその時、領民が年貢を下げるよう城門に押し寄せてくる。  　森可成(森下能幸)が領民を押しとどめていると、サブローが現れて自ら話を聞きその場を治める。サブローは、そのまま帰蝶(柴咲コウ)を連れて城下町へ。そこで、サブローは町には座と言う制度があって、自由にものの売り買いが出来ないことを知る。座は商いを独占するための商人組合で、新たに加わるためには多額の金が必要だった。  　サブローは木下藤吉郎(山田孝之)と商人頭に直談判。藤吉郎の機転で、自由な売買を認めさせることに成功。この楽市楽座、関所の撤廃をもって織田領内の経済は活性化。藤吉郎は、この功で名を羽柴秀吉に改めた。さらにサブローは織田領までの街道沿いにある宇佐山城下に、もうひとつ楽市楽座の町を作ることにして、名乗り出た森を責任者に任命する。  　織田家の繁栄を見過ごせないのが浅井長政(高橋一生)たち敵対勢力。摂津、三好と交戦中の松永不利を匂わせ、サブロー率いる織田の主力を援軍に向かわせる。しかし、浅井の真の狙いは町作りを進める宇佐山城にあった。</t>
  </si>
  <si>
    <t>番組名信長協奏曲【戦国のメリークリスマス…言えない想いが涙に変わる夜】　#09</t>
  </si>
  <si>
    <t>サブロー(小栗旬)は楽市楽座に続いて、領内での異国人によるキリスト教の布教を認める。明智光秀(小栗旬・二役)は延暦寺の僧たちの反対を心配するが、サブローは大丈夫だと答えた。そんな会話をする2人を、羽柴秀吉(山田孝之)がうかがっていた。秀吉はサブローと光秀がうり二つの顔を持つことを知り、その関係に疑いを抱いている。  　そんな時、徳川家康(濱田岳)が織田の城に急を報せに来た。武田信玄が全国の武将たちに織田討伐を訴えたのだ。すでに武田勢は織田領に向かって進軍を開始していた。動揺する織田家臣たちの心配をぬぐうかのように、家康は自分が浜松で食い止めると三方ヶ原に軍を出す。ところが、武田の激しい攻めに即座に退却。これを知ったサブローは松永弾正久秀(古田新太)に援軍を求める。しかし、松永はすでに武田に寝返っていた。  　織田の軍議で、サブローは武田の最強と言われる騎馬隊に鉄砲で対抗しようと提案。さらにサブローは単発の鉄砲が連射出来る用兵を思いつくのだが、もはや武田勢は目前に迫っていた。連射するための用兵に必要な鉄砲の数をそろえる暇もない。予想をはるかに超えた迅速な武田の攻めに、あきらめようとする家臣たち。すると、サブローは家臣たちを鼓舞して武田と戦うことを決意する。そして、サブローは城を秀吉と光秀に任せて出陣した。突き進んでくる武田軍を、援軍のない乏しい手勢で迎え撃とうとするが…。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徳永友一　    【脚本協力】  宇山佳佑　  岡田道尚　    【演出】  金井紘　    【音楽】  ☆Taku　Takahashi(m-flo/Tachytelic　inc./block.fm)　    【主題歌】  「足音　～Be　Strong」Mr.Children(TOY'S　FACTORY)　    【制作】  フジテレビ　ドラマ制作センター「信長協奏曲」公式番組ホームページ　  http://www.fujitv.co.jp/nobunaga-concerto-drama/</t>
  </si>
  <si>
    <t>サブロー(小栗旬)は楽市楽座に続いて、領内での異国人によるキリスト教の布教を認める。明智光秀(小栗旬・二役)は延暦寺の僧たちの反対を心配するが、サブローは大丈夫だと答えた。そんな会話をする2人を、羽柴秀吉(山田孝之)がうかがっていた。秀吉はサブローと光秀がうり二つの顔を持つことを知り、その関係に疑いを抱いている。  　そんな時、徳川家康(濱田岳)が織田の城に急を報せに来た。武田信玄が全国の武将たちに織田討伐を訴えたのだ。すでに武田勢は織田領に向かって進軍を開始していた。動揺する織田家臣たちの心配をぬぐうかのように、家康は自分が浜松で食い止めると三方ヶ原に軍を出す。ところが、武田の激しい攻めに即座に退却。これを知ったサブローは松永弾正久秀(古田新太)に援軍を求める。しかし、松永はすでに武田に寝返っていた。  　織田の軍議で、サブローは武田の最強と言われる騎馬隊に鉄砲で対抗しようと提案。さらにサブローは単発の鉄砲が連射出来る用兵を思いつくのだが、もはや武田勢は目前に迫っていた。連射するための用兵に必要な鉄砲の数をそろえる暇もない。予想をはるかに超えた迅速な武田の攻めに、あきらめようとする家臣たち。すると、サブローは家臣たちを鼓舞して武田と戦うことを決意する。そして、サブローは城を秀吉と光秀に任せて出陣した。突き進んでくる武田軍を、援軍のない乏しい手勢で迎え撃とうとするが…。</t>
  </si>
  <si>
    <t>番組名信長協奏曲【ニセモノの信長vsホンモノの信長!衝撃のクライマックス!】　#10</t>
  </si>
  <si>
    <t>延暦寺の一件で、サブロー(小栗旬)はもう信長を続けられないと明智光秀(小栗旬・二役)に話す。家臣たちにどう説明すればよいのかと訴えるサブローに、光秀は代わりに自分が申し開きをすると言う。しかし、サブローは光秀にこれ以上余計なマネはしないで欲しいと遮り、説明は自分が行うと決意した。  　家臣たちを前にしたサブローは、延暦寺攻めが間違っていたと頭を下げる。だが家臣たちは織田家を守るためには仕方なかったという見解で一致していた。それでもサブローは、二度と同じ行為はしないと誓い、家臣たちにも念を押す。サブローが大広間を後にすると、光秀も出て行った。その時、池田恒興(向井理)は光秀が忘れた扇子に気づく。拾い上げて開いた扇子の柄は、恒興を驚かせた。  　羽柴秀吉(山田孝之)に疑いを抱く竹中半兵衛(藤木直人)は、重矩(上山竜治)に木下藤吉郎の素性を調べるよう命令する。藤吉郎は秀吉が改名する前に名乗っていた名前。一方、秀吉は蜂須賀小六(勝矢)に、面白いものを見せてやると不気味な予告をしていた。  　帰蝶(柴咲コウ)は、ゆき(夏帆)の将来を憂い、サブローに相談。サブローは前田利家(藤ヶ谷太輔)に、ゆきとデートするよう薦める。だが、サブローは他人の心配をしている場合ではなかった。信頼していた恒興が、光秀が本当の信長ではないかと気づいたのだ。恒興は、光秀、沢彦(でんでん)と密談。ついに恒興は真実を知る。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岡田道尚　  宇山佳佑　    【演出】  林徹　    【音楽】  ☆Taku　Takahashi(m-flo/Tachytelic　inc./block.fm)　    【主題歌】  「足音　～Be　Strong」Mr.Children(TOY'S　FACTORY)　    【制作】  フジテレビ　ドラマ制作センター「信長協奏曲」公式番組ホームページ　  http://www.fujitv.co.jp/nobunaga-concerto-drama/</t>
  </si>
  <si>
    <t>延暦寺の一件で、サブロー(小栗旬)はもう信長を続けられないと明智光秀(小栗旬・二役)に話す。家臣たちにどう説明すればよいのかと訴えるサブローに、光秀は代わりに自分が申し開きをすると言う。しかし、サブローは光秀にこれ以上余計なマネはしないで欲しいと遮り、説明は自分が行うと決意した。  　家臣たちを前にしたサブローは、延暦寺攻めが間違っていたと頭を下げる。だが家臣たちは織田家を守るためには仕方なかったという見解で一致していた。それでもサブローは、二度と同じ行為はしないと誓い、家臣たちにも念を押す。サブローが大広間を後にすると、光秀も出て行った。その時、池田恒興(向井理)は光秀が忘れた扇子に気づく。拾い上げて開いた扇子の柄は、恒興を驚かせた。  　羽柴秀吉(山田孝之)に疑いを抱く竹中半兵衛(藤木直人)は、重矩(上山竜治)に木下藤吉郎の素性を調べるよう命令する。藤吉郎は秀吉が改名する前に名乗っていた名前。一方、秀吉は蜂須賀小六(勝矢)に、面白いものを見せてやると不気味な予告をしていた。  　帰蝶(柴咲コウ)は、ゆき(夏帆)の将来を憂い、サブローに相談。サブローは前田利家(藤ヶ谷太輔)に、ゆきとデートするよう薦める。だが、サブローは他人の心配をしている場合ではなかった。信頼していた恒興が、光秀が本当の信長ではないかと気づいたのだ。恒興は、光秀、沢彦(でんでん)と密談。ついに恒興は真実を知る。</t>
  </si>
  <si>
    <t>番組名信長協奏曲【最終回15分拡大　友との約束!500年後の未来のために】　#11</t>
  </si>
  <si>
    <t>サブロー(小栗旬)は本物の信長でないことを池田恒興(向井理)に知られ、織田家から出て行けと突きつけられる。そんな時、浅井、朝倉軍が合流し、攻めてくるとの報がもたらされた。いざ開戦とはやる家臣たちだが、サブローは両家との和睦を主張。憎しみの連鎖を断ち切りたいと告げるサブローに、家臣たちも納得した。サブローは、竹中半兵衛(藤木直人)を和睦の使者に任命し、浅井と会見の約束を取り付けるよう頼む。だが、羽柴秀吉(山田孝之)が危険だと遮ったため、書状を送ることに。  　軍議後、サブローはこの件が終わったら城を去ると恒興と約束。恒興は、サブローの決意を明智光秀(小栗旬・二役)に報告する。今や家臣たちの信頼はサブローが一身に集めていると語る光秀。すると沢彦(でんでん)は、サブローが去った時こそ実権を取り戻さなくてはならないと諭す。  　半兵衛は秀吉に疑念を抱いていた。秀吉は、浅井に通じていることを伏せたかったのはもちろん、すでに一計を案じている様子。一方、織田の書状が届いた浅井家は揺れる。やはり身内を亡くした家臣たちの恨みは根深かった。それでも会見に応じようとする長政(高橋一生)だが、思いがけない事件が起きてしまう。  　サブローは帰蝶(柴咲コウ)に全てを打ち明けようとするが、上手く話すことが出来なかった。そんな中、サブローは同じ思いを持つ友と信じる長政との会見に臨むが…。サブロー/織田信長(一人二役):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宇山佳佑　  岡田道尚　    【演出】  松山博昭　    【音楽】  ☆Taku　Takahashi(m-flo/Tachytelic　inc./block.fm)　    【主題歌】  「足音　～Be　Strong」Mr.Children(TOY'S　FACTORY)　    【制作】  フジテレビ　ドラマ制作センター「信長協奏曲」公式番組ホームページ　  http://www.fujitv.co.jp/nobunaga-concerto-drama/</t>
  </si>
  <si>
    <t>サブロー(小栗旬)は本物の信長でないことを池田恒興(向井理)に知られ、織田家から出て行けと突きつけられる。そんな時、浅井、朝倉軍が合流し、攻めてくるとの報がもたらされた。いざ開戦とはやる家臣たちだが、サブローは両家との和睦を主張。憎しみの連鎖を断ち切りたいと告げるサブローに、家臣たちも納得した。サブローは、竹中半兵衛(藤木直人)を和睦の使者に任命し、浅井と会見の約束を取り付けるよう頼む。だが、羽柴秀吉(山田孝之)が危険だと遮ったため、書状を送ることに。  　軍議後、サブローはこの件が終わったら城を去ると恒興と約束。恒興は、サブローの決意を明智光秀(小栗旬・二役)に報告する。今や家臣たちの信頼はサブローが一身に集めていると語る光秀。すると沢彦(でんでん)は、サブローが去った時こそ実権を取り戻さなくてはならないと諭す。  　半兵衛は秀吉に疑念を抱いていた。秀吉は、浅井に通じていることを伏せたかったのはもちろん、すでに一計を案じている様子。一方、織田の書状が届いた浅井家は揺れる。やはり身内を亡くした家臣たちの恨みは根深かった。それでも会見に応じようとする長政(高橋一生)だが、思いがけない事件が起きてしまう。  　サブローは帰蝶(柴咲コウ)に全てを打ち明けようとするが、上手く話すことが出来なかった。そんな中、サブローは同じ思いを持つ友と信じる長政との会見に臨むが…。</t>
  </si>
  <si>
    <t>1410_CX_火21</t>
  </si>
  <si>
    <t>すべてがFになる</t>
  </si>
  <si>
    <t>番組名すべてがFになる【不必要な密室と氷点下20度の実験室に潜む殺意】　#01</t>
  </si>
  <si>
    <t>神南大学工学部建築学科3年の西之園萌絵(武井咲)は、同学科の准教授の犀川創平(綾野剛)に、ある報告をした。“もっとも神に近い人間"と犀川も絶賛する天才プログラマーの真賀田四季(早見あかり)に、面会して来たというのだ。四季は、事情により幽閉されているが、萌絵は、県知事の叔母に頼んで面会にこぎつけた。  　犀川がそれをうらやんでいると、助教の国枝桃子(水沢エレナ)がやって来る。犀川は国枝に、これから同大学の極地環境研究センターに出かけると話す。犀川に好意を持つ萌絵は、一緒に付いて行く。  　ふたりを迎えた工学部土木工学科准教授の喜多北斗(小澤征悦)の案内で、萌絵と犀川はマイナス20度の低温実験室を見学する。その後、萌絵の先輩の服部珠子(吉谷彩子)に誘われ、ふたりは実験終了の打ち上げに参加。そこには、土木工学科教授の木熊京介(平田満)や助教の市ノ瀬里佳(市川由衣)を始め、複数の学生もいた。  　打ち上げは始まったが、なんと実験室の隣室で珠子が、さらにその隣室で丹羽健二郎(菊田大輔)が殺害されていた。  　駆けつけた警察により、喜多らは事情を聞かれる。萌絵と犀川もそこにいたが、刑事の鵜飼大介(戸次重幸)によって帰宅を許される。驚く現場の刑事に鵜飼は、萌絵が県警本部長の西之園捷輔(吉田鋼太郎)の姪だと明かす。すると、突然萌絵が、犯人の逃走経路について話し始め…。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</si>
  <si>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神南大学工学部建築学科3年の西之園萌絵(武井咲)は、同学科の准教授の犀川創平(綾野剛)に、ある報告をした。“もっとも神に近い人間"と犀川も絶賛する天才プログラマーの真賀田四季(早見あかり)に、面会して来たというのだ。四季は、事情により幽閉されているが、萌絵は、県知事の叔母に頼んで面会にこぎつけた。  　犀川がそれをうらやんでいると、助教の国枝桃子(水沢エレナ)がやって来る。犀川は国枝に、これから同大学の極地環境研究センターに出かけると話す。犀川に好意を持つ萌絵は、一緒に付いて行く。  　ふたりを迎えた工学部土木工学科准教授の喜多北斗(小澤征悦)の案内で、萌絵と犀川はマイナス20度の低温実験室を見学する。その後、萌絵の先輩の服部珠子(吉谷彩子)に誘われ、ふたりは実験終了の打ち上げに参加。そこには、土木工学科教授の木熊京介(平田満)や助教の市ノ瀬里佳(市川由衣)を始め、複数の学生もいた。  　打ち上げは始まったが、なんと実験室の隣室で珠子が、さらにその隣室で丹羽健二郎(菊田大輔)が殺害されていた。  　駆けつけた警察により、喜多らは事情を聞かれる。萌絵と犀川もそこにいたが、刑事の鵜飼大介(戸次重幸)によって帰宅を許される。驚く現場の刑事に鵜飼は、萌絵が県警本部長の西之園捷輔(吉田鋼太郎)の姪だと明かす。すると、突然萌絵が、犯人の逃走経路について話し始め…。</t>
  </si>
  <si>
    <t>番組名すべてがFになる【暴かれる冷たい密室の謎と哀しき殺人者の記憶】　#02</t>
  </si>
  <si>
    <t>何者かにより低温実験室に閉じ込められた萌絵(武井咲)は、犀川(綾野剛)に救助され一命を取り留める。集中治療室に運ばれた萌絵の元へ、叔父の捷輔(吉田鋼太郎)がやってくる。捷輔は犀川に、萌絵が事件のことを調べているのは、犀川に認められたいからだろう、と話した。  　翌朝、一般病棟に移った萌絵のそばには犀川がいた。犀川は萌絵に、犯人の目星が付いているだろう、誰だと思うか、と聞く。萌絵は、犀川の推察と同じだと答え、自分の代わりにそれを確かめて来てほしいと頼む。  　同じ頃、極地環境研究センターに里佳(市川由衣)が出勤して来る。早い出勤に驚く守衛に里佳は、出張先から直接戻ったのだ、と明かした。  　その頃、研究センターに着いた犀川は、悲鳴を聞いて建物に駆け込む。なんと木熊(平田満)が倒れていて、隣では里佳が震えていた。  　刑事の鵜飼(戸次重幸)は、同じ場所から4つも遺体が出るとはと、ため息をもらす。犀川は、そんな鵜飼から情報を収集し考察を重ねる。さらに喜多(小澤征悦)に、亡くなった増田のパソコンに残された「shika」というフォルダについて聞くと、喜多は、誰かの登録名では、と答える。  　研究室に戻った犀川は、桃子(水沢エレナ)から、犀川のパソコンのセキュリティーが何者かによって破られていたことを聞く。やがて犀川は誰かにメールを打つ。手法はすべて自明ーー、と書き始めた相手は、shikaだった。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</si>
  <si>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何者かにより低温実験室に閉じ込められた萌絵(武井咲)は、犀川(綾野剛)に救助され一命を取り留める。集中治療室に運ばれた萌絵の元へ、叔父の捷輔(吉田鋼太郎)がやってくる。捷輔は犀川に、萌絵が事件のことを調べているのは、犀川に認められたいからだろう、と話した。  　翌朝、一般病棟に移った萌絵のそばには犀川がいた。犀川は萌絵に、犯人の目星が付いているだろう、誰だと思うか、と聞く。萌絵は、犀川の推察と同じだと答え、自分の代わりにそれを確かめて来てほしいと頼む。  　同じ頃、極地環境研究センターに里佳(市川由衣)が出勤して来る。早い出勤に驚く守衛に里佳は、出張先から直接戻ったのだ、と明かした。  　その頃、研究センターに着いた犀川は、悲鳴を聞いて建物に駆け込む。なんと木熊(平田満)が倒れていて、隣では里佳が震えていた。  　刑事の鵜飼(戸次重幸)は、同じ場所から4つも遺体が出るとはと、ため息をもらす。犀川は、そんな鵜飼から情報を収集し考察を重ねる。さらに喜多(小澤征悦)に、亡くなった増田のパソコンに残された「shika」というフォルダについて聞くと、喜多は、誰かの登録名では、と答える。  　研究室に戻った犀川は、桃子(水沢エレナ)から、犀川のパソコンのセキュリティーが何者かによって破られていたことを聞く。やがて犀川は誰かにメールを打つ。手法はすべて自明ーー、と書き始めた相手は、shikaだった。</t>
  </si>
  <si>
    <t>番組名すべてがFになる【呪われた仏画師一族と家宝が眠る密室の殺人】　#03</t>
  </si>
  <si>
    <t>萌絵(武井咲)は犀川(綾野剛)を誘い、香山という一家が暮らす日本家屋にやってくる。名目は「歴史的建造物の調査」だが、萌絵の興味は香山家に伝わる壺と匣(はこ)にあった。鍵のかかった匣には対となる壺があり、中に鍵らしきものが入っているがそれを取り出すことはできない。50年前、当主で仏画師の香山風采の死亡事件が起こったとき、壺に風采の血痕が付着していた。それを見た警察が匣を開けようとしたが、息子で同じく仏画師の林水がそれを拒んだという。  　いわく付きの壺と匣を見たい萌絵は犀川とともにそれが置かれている蔵まで来るが使用人に制される。それでも粘る萌絵を現在の当主・香山林水(横内正)の妻であるフミ(真野響子)が厳しく制した。  　別の日、萌絵、犀川、萌絵の叔父・捷輔(吉田鋼太郎)がレストランにいると、林水の長女で漫画家のマリモ(原田夏希)がやってくる。捷輔の妻が風采の画が好きだったことから、捷輔はマリモと知り合ったという。  　マリモの取り計らいで再び香山家を訪ねた萌絵と犀川は通された客間でマリモを待つが、約束の時間を過ぎてもマリモは帰宅しない。やがて萌絵が部屋を出ようと襖を開けると、蔵の方から叫び声がした。萌絵と犀川が駆けつけると、フミら一族が集まっていた。蔵の中に大量の血痕があったが、そこにいるはずの林水の姿はなかった。しかし、そばにはあの壺と匣があり、白い壺の表面には血痕が…。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</si>
  <si>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萌絵(武井咲)は犀川(綾野剛)を誘い、香山という一家が暮らす日本家屋にやってくる。名目は「歴史的建造物の調査」だが、萌絵の興味は香山家に伝わる壺と匣(はこ)にあった。鍵のかかった匣には対となる壺があり、中に鍵らしきものが入っているがそれを取り出すことはできない。50年前、当主で仏画師の香山風采の死亡事件が起こったとき、壺に風采の血痕が付着していた。それを見た警察が匣を開けようとしたが、息子で同じく仏画師の林水がそれを拒んだという。  　いわく付きの壺と匣を見たい萌絵は犀川とともにそれが置かれている蔵まで来るが使用人に制される。それでも粘る萌絵を現在の当主・香山林水(横内正)の妻であるフミ(真野響子)が厳しく制した。  　別の日、萌絵、犀川、萌絵の叔父・捷輔(吉田鋼太郎)がレストランにいると、林水の長女で漫画家のマリモ(原田夏希)がやってくる。捷輔の妻が風采の画が好きだったことから、捷輔はマリモと知り合ったという。  　マリモの取り計らいで再び香山家を訪ねた萌絵と犀川は通された客間でマリモを待つが、約束の時間を過ぎてもマリモは帰宅しない。やがて萌絵が部屋を出ようと襖を開けると、蔵の方から叫び声がした。萌絵と犀川が駆けつけると、フミら一族が集まっていた。蔵の中に大量の血痕があったが、そこにいるはずの林水の姿はなかった。しかし、そばにはあの壺と匣があり、白い壺の表面には血痕が…。</t>
  </si>
  <si>
    <t>番組名すべてがFになる【50年の時を超えた殺人と封印された真相】　#04</t>
  </si>
  <si>
    <t>萌絵(武井咲)は、大広間に集まった香山家の人々に病院から失踪したマリモ(原田夏希)が、林水(横内正)の死に関連している可能性があると切り出した。一方、犀川(綾野剛)は一人、部屋の隅にいた。  　また、刑事の鵜飼(戸次重幸)は、屋敷の裏門付近にマリモのタバコの吸い殻が落ちていたこと、さらに、林水の息子・多可志(高橋洋)が屋敷を売却しようとして林水に反対されていたことを挙げ、疑いの目を向ける。多可志は、この家は呪われているから売却したほうがいいのだ、とつぶやく。  　その後、萌絵と犀川は、ヒーローのおもちゃで遊ぶ多可志の息子・祐介(高橋來)に声をかける。ヒーローは強いのかと聞く萌絵に、祐介は「もういない」と答える。不思議に思った萌絵は外れていた電池をヒーローにはめてやる。動き出したヒーローを見た祐介は「いた」と答えた。そのやりとりを見ていた犀川は、何かに気づく。　後日、萌絵が再び香山家にやって来ると、犀川が蔵を観察していた。犀川は萌絵に、蔵がウェザリングという技法で古く見えるように塗装されているが、内部にはシリコン素材が使われていて密閉空間になることを教えた。画を湿気から守るためとはいえ、かなりの手間がかかる改装をした理由を、芸術家だからだろう、と犀川は推測した。  　そんな時、中庭から悲鳴が聞こえた。萌絵と犀川が駆け寄ると…。武井咲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</si>
  <si>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萌絵(武井咲)は、大広間に集まった香山家の人々に病院から失踪したマリモ(原田夏希)が、林水(横内正)の死に関連している可能性があると切り出した。一方、犀川(綾野剛)は一人、部屋の隅にいた。  　また、刑事の鵜飼(戸次重幸)は、屋敷の裏門付近にマリモのタバコの吸い殻が落ちていたこと、さらに、林水の息子・多可志(高橋洋)が屋敷を売却しようとして林水に反対されていたことを挙げ、疑いの目を向ける。多可志は、この家は呪われているから売却したほうがいいのだ、とつぶやく。  　その後、萌絵と犀川は、ヒーローのおもちゃで遊ぶ多可志の息子・祐介(高橋來)に声をかける。ヒーローは強いのかと聞く萌絵に、祐介は「もういない」と答える。不思議に思った萌絵は外れていた電池をヒーローにはめてやる。動き出したヒーローを見た祐介は「いた」と答えた。そのやりとりを見ていた犀川は、何かに気づく。　後日、萌絵が再び香山家にやって来ると、犀川が蔵を観察していた。犀川は萌絵に、蔵がウェザリングという技法で古く見えるように塗装されているが、内部にはシリコン素材が使われていて密閉空間になることを教えた。画を湿気から守るためとはいえ、かなりの手間がかかる改装をした理由を、芸術家だからだろう、と犀川は推測した。  　そんな時、中庭から悲鳴が聞こえた。萌絵と犀川が駆け寄ると…。</t>
  </si>
  <si>
    <t>番組名すべてがFになる【天才博士が仕組んだ孤島の謎】　#05</t>
  </si>
  <si>
    <t>西之園萌絵(武井咲)と犀川創平(綾野剛)は、ゼミ旅行と称して真賀田四季(早見あかり)の研究所がある島へやってくる。  　15年前、当時14歳だった四季は両親を殺害した容疑で裁判にかけられるが、心神喪失が認められ無罪となっていた。天才プログラマーとしてその名を馳せた四季の事件は、世間を大きく騒がせた。以来、四季は研究所にこもり、一度も外出していないという。  　特別な許可を得て研究所を訪ねた萌絵と犀川は、不在の所長・新藤清二(冨家規政)に代わり副所長の山根幸宏(利重剛)から最新鋭の管理システムについて説明を受ける。そこへ、四季からの緊急コールが入った。地下にいる四季の部屋へと駆けだした山根に続き、萌絵と犀川も走り出した。  　四季の部屋の前室は、警報音が鳴り響きパニック状態に陥っていた。部屋に入りたいが、システムエラーで扉が開かないという。そこへ、清二の妻で四季の叔母の新藤裕見子(藤吉久美子)が現われる。扉を壊して進入するしかないというスタッフに、裕見子は清二の許可がいるとちゅうちょする。  　そのとき、警報音が止んで照明が明滅し始める。主任プログラマーの島田文子(山田真歩)が確認するが原因はわからない。すると今度は、ロックが自動で解除されゆっくりと扉が開き始めた。暗闇の中、萌絵らが目を凝らすと、ウエディングドレスのような白い服を着た人影がいて…。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</si>
  <si>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西之園萌絵(武井咲)と犀川創平(綾野剛)は、ゼミ旅行と称して真賀田四季(早見あかり)の研究所がある島へやってくる。  　15年前、当時14歳だった四季は両親を殺害した容疑で裁判にかけられるが、心神喪失が認められ無罪となっていた。天才プログラマーとしてその名を馳せた四季の事件は、世間を大きく騒がせた。以来、四季は研究所にこもり、一度も外出していないという。  　特別な許可を得て研究所を訪ねた萌絵と犀川は、不在の所長・新藤清二(冨家規政)に代わり副所長の山根幸宏(利重剛)から最新鋭の管理システムについて説明を受ける。そこへ、四季からの緊急コールが入った。地下にいる四季の部屋へと駆けだした山根に続き、萌絵と犀川も走り出した。  　四季の部屋の前室は、警報音が鳴り響きパニック状態に陥っていた。部屋に入りたいが、システムエラーで扉が開かないという。そこへ、清二の妻で四季の叔母の新藤裕見子(藤吉久美子)が現われる。扉を壊して進入するしかないというスタッフに、裕見子は清二の許可がいるとちゅうちょする。  　そのとき、警報音が止んで照明が明滅し始める。主任プログラマーの島田文子(山田真歩)が確認するが原因はわからない。すると今度は、ロックが自動で解除されゆっくりと扉が開き始めた。暗闇の中、萌絵らが目を凝らすと、ウエディングドレスのような白い服を着た人影がいて…。</t>
  </si>
  <si>
    <t>番組名すべてがFになる【美しき狂気の殺人者】　#06</t>
  </si>
  <si>
    <t>西之園萌絵(武井咲)と犀川創平(綾野剛)は、真賀田四季(早見あかり)を殺害した犯人がコンピュータシステムで厳重に監視されている研究所の中にどうやって侵入しどこへ消えたのか、手がかりをつかめずにいた。  　そんな折、主任プログラマーの島田文子(山田真歩)が、翌朝10時に記者が所長の新藤清二(冨家規政)を訪ねて来る約束になっていることを突き止める。記者は船で来るためその時間に港に行けば外部と連絡を取ることができる。しかし、副所長の山根幸宏(利重剛)は明日を待たずにコンピュータのオペレーションを別のシステムに切り替え通信を復旧させることを決めた。そうすればすぐに警察にも通報できるが、山根は萌絵と犀川に四季が殺害されたことは黙っていてほしいと頼む。四季の死は研究所の死を意味するから、四季の妹の未来(早見あかり)を代役に仕立てることで研究所を維持するつもりだと言う。  　その後、監視室のモニターで監視カメラの映像を見ていた萌絵があることに気づく。四季の遺体が台車ロボットに乗って現われた時、エレベーターの階数表示は萌絵らがいた地下の「B1」になっていたが、その直後、システムの強制再起動が行われた時の映像では屋上を示す「R」になっていた。それはつまり、あの場にいた全員がパニックに陥るなか、誰かが四季の部屋を出て屋上へと向かった可能性を示していた。しかし映像には誰も映っていない。そのことに萌絵は…。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t>
  </si>
  <si>
    <t>西之園萌絵(武井咲)と犀川創平(綾野剛)は、真賀田四季(早見あかり)を殺害した犯人がコンピュータシステムで厳重に監視されている研究所の中にどうやって侵入しどこへ消えたのか、手がかりをつかめずにいた。  　そんな折、主任プログラマーの島田文子(山田真歩)が、翌朝10時に記者が所長の新藤清二(冨家規政)を訪ねて来る約束になっていることを突き止める。記者は船で来るためその時間に港に行けば外部と連絡を取ることができる。しかし、副所長の山根幸宏(利重剛)は明日を待たずにコンピュータのオペレーションを別のシステムに切り替え通信を復旧させることを決めた。そうすればすぐに警察にも通報できるが、山根は萌絵と犀川に四季が殺害されたことは黙っていてほしいと頼む。四季の死は研究所の死を意味するから、四季の妹の未来(早見あかり)を代役に仕立てることで研究所を維持するつもりだと言う。  　その後、監視室のモニターで監視カメラの映像を見ていた萌絵があることに気づく。四季の遺体が台車ロボットに乗って現われた時、エレベーターの階数表示は萌絵らがいた地下の「B1」になっていたが、その直後、システムの強制再起動が行われた時の映像では屋上を示す「R」になっていた。それはつまり、あの場にいた全員がパニックに陥るなか、誰かが四季の部屋を出て屋上へと向かった可能性を示していた。しかし映像には誰も映っていない。そのことに萌絵は…。</t>
  </si>
  <si>
    <t>番組名すべてがFになる【孤独な模型マニアの狂気】　#07</t>
  </si>
  <si>
    <t>西之園萌絵(武井咲)は、従兄で有名作家の大御坊安朋(小松和重)から緊急事態だと連絡を受け、彼が主催するイベント会場にやってくる。そこは模型とフィギュアが展示された「モデラーズフェス」で、有名モデラーや造形師が作った作品にマニアが集まり、雑誌記者の儀同世津子(臼田あさ美)も取材に来ていた。  　そんな会場の控室で大御坊は萌絵に、SFのコスプレスーツを着てくれと頼む。それを着るはずだった筒見明日香(山川紗弥)と連絡が取れなくなったため、萌絵に代役としてイベントに出てほしいと言う。  　同じ頃、犀川創平(綾野剛)も喜多北斗(小澤征悦)と会場にいた。ふたりは大御坊の中学高校の同級生で招待されていたのだ。  　大御坊の頼みを断り切れなかった萌絵は、渋々スーツを着ることに。するとそこへ、明日香の兄の紀世都(中島歩)が来て「寺林」を知らないか、と大御坊に尋ねる。寺林が第二控室の鍵を持ったまま連絡が取れないので、みんなが困っていると言う。  　そんな時、廊下から悲鳴が聞こえ駆けだした萌絵は、守衛によって開けられた第二控室をのぞく。そこには、頭部が切断された明日香の遺体があった。さらに近くには出血して倒れている男ーー寺林高司(山本耕史)がいた。  　そこへ、鵜飼大介(戸次重幸)と片桐誠人(坂本真)が駆け込んでくる。鵜飼は別の事件の容疑者となっている寺林を探していたのだ。一方、萌絵は…。武井咲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</si>
  <si>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西之園萌絵(武井咲)は、従兄で有名作家の大御坊安朋(小松和重)から緊急事態だと連絡を受け、彼が主催するイベント会場にやってくる。そこは模型とフィギュアが展示された「モデラーズフェス」で、有名モデラーや造形師が作った作品にマニアが集まり、雑誌記者の儀同世津子(臼田あさ美)も取材に来ていた。  　そんな会場の控室で大御坊は萌絵に、SFのコスプレスーツを着てくれと頼む。それを着るはずだった筒見明日香(山川紗弥)と連絡が取れなくなったため、萌絵に代役としてイベントに出てほしいと言う。  　同じ頃、犀川創平(綾野剛)も喜多北斗(小澤征悦)と会場にいた。ふたりは大御坊の中学高校の同級生で招待されていたのだ。  　大御坊の頼みを断り切れなかった萌絵は、渋々スーツを着ることに。するとそこへ、明日香の兄の紀世都(中島歩)が来て「寺林」を知らないか、と大御坊に尋ねる。寺林が第二控室の鍵を持ったまま連絡が取れないので、みんなが困っていると言う。  　そんな時、廊下から悲鳴が聞こえ駆けだした萌絵は、守衛によって開けられた第二控室をのぞく。そこには、頭部が切断された明日香の遺体があった。さらに近くには出血して倒れている男ーー寺林高司(山本耕史)がいた。  　そこへ、鵜飼大介(戸次重幸)と片桐誠人(坂本真)が駆け込んでくる。鵜飼は別の事件の容疑者となっている寺林を探していたのだ。一方、萌絵は…。</t>
  </si>
  <si>
    <t>番組名すべてがFになる【殺人者の異常な愛情】　#08</t>
  </si>
  <si>
    <t>西之園萌絵(武井咲)は、筒見紀世都(中島歩)のアトリエに明日香(山川紗弥)の等身大のフィギュアがあったこと、異常としか思えない一面を目撃したことから、明日香を偏愛する紀世都が彼女を殺害したのでは、と犀川創平(綾野剛)に話す。  　そこへ、儀同世津子(臼田あさ美)がやってくる。犀川に対する世津子の親しげな態度にいらだち萌絵は研究室を出る。すると、浜中深志(岡山天音)が来て封筒を手渡した。紀世都から送られたその手紙を読んだ萌絵はどこかへと向かうが、そのとき、寺林高司(山本耕史)から連絡が入る。寺林はどうしても調べたいことがあり病院を抜け出したという。萌絵が問い詰めると、紀世都のところに行くつもりだと明かした。  　萌絵と寺林が紀世都のアトリエの前に来ると、喜多北斗(小澤征悦)と大御坊安朋(小松和重)に声をかけられる。紀世都と連絡が取れないため、心配して来たのだと大御坊は言う。4人でアトリエに入ると、そこはロウソクの光が蛍のように点灯する幻想的な空間だった。紀世都の姿は見当たらないが、大御坊は、紀世都はこれを自分たちに見せようとしているのでは、と鑑賞し始める。そのとき、大きな機械音が響き、アトリエに置かれたペットボトルのロケットが四方に発射される。ペットボトル内の液体が雨のように巻き散らかされるが、それはアルコールでロウソクに引火し炎が上がる。煙が立ちこめるなか萌絵が紀世都を探すと…。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</si>
  <si>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西之園萌絵(武井咲)は、筒見紀世都(中島歩)のアトリエに明日香(山川紗弥)の等身大のフィギュアがあったこと、異常としか思えない一面を目撃したことから、明日香を偏愛する紀世都が彼女を殺害したのでは、と犀川創平(綾野剛)に話す。  　そこへ、儀同世津子(臼田あさ美)がやってくる。犀川に対する世津子の親しげな態度にいらだち萌絵は研究室を出る。すると、浜中深志(岡山天音)が来て封筒を手渡した。紀世都から送られたその手紙を読んだ萌絵はどこかへと向かうが、そのとき、寺林高司(山本耕史)から連絡が入る。寺林はどうしても調べたいことがあり病院を抜け出したという。萌絵が問い詰めると、紀世都のところに行くつもりだと明かした。  　萌絵と寺林が紀世都のアトリエの前に来ると、喜多北斗(小澤征悦)と大御坊安朋(小松和重)に声をかけられる。紀世都と連絡が取れないため、心配して来たのだと大御坊は言う。4人でアトリエに入ると、そこはロウソクの光が蛍のように点灯する幻想的な空間だった。紀世都の姿は見当たらないが、大御坊は、紀世都はこれを自分たちに見せようとしているのでは、と鑑賞し始める。そのとき、大きな機械音が響き、アトリエに置かれたペットボトルのロケットが四方に発射される。ペットボトル内の液体が雨のように巻き散らかされるが、それはアルコールでロウソクに引火し炎が上がる。煙が立ちこめるなか萌絵が紀世都を探すと…。</t>
  </si>
  <si>
    <t>番組名すべてがFになる【有限と微小のパン】　#09</t>
  </si>
  <si>
    <t>スーツケースを手にした西之園萌絵(武井咲)は、「ユーロパーク」に到着した。パーク内の貸別荘で犀川ゼミの旅行が計画されていたが、大株主である萌絵は前乗りしてパークを運営するナノクラフト社長の塙理生哉(城田優)と食事の約束をしていた。塙は現在のIT業界で一番の成功者と言われる人物で、萌絵との縁談が浮上したこともあった。  　事情を知った儀同世津子(臼田あさ美)は、犀川創平(綾野剛)に萌絵が心配ではないのか、と聞く。  　萌絵を出迎えたのは、塙の秘書の新庄久美子(青山倫子)だった。萌絵は久美子にパーク内のホテルに案内され、早速、部屋に入った萌絵は、電話の横のメモに書かれた不可思議なメッセージに目を留める。すぐに犀川に電話をし、それが自分の死を予告するものではないか、と話すが、犀川は単なるいたずらで気にすることはないと答える。  　塙との会食の時間になり、萌絵は久美子とエレベーターに乗り込む。久美子がエレベーターにカードキーを差し込むと、表示パネルにはなかった「B1」のボタンが現われた。地下にナノクラフトの研究施設があるが、その存在を知っているのは社内でも限られた人間だけだ、と久美子は話した。地下に着くと通路を歩き、さらに別のエレベーターで今度は1階に上がる。地上に戻ったと思いきや、エレベーターホールの外に出ると、そこは教会の内部だった。すると、塙が現われて…。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</si>
  <si>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スーツケースを手にした西之園萌絵(武井咲)は、「ユーロパーク」に到着した。パーク内の貸別荘で犀川ゼミの旅行が計画されていたが、大株主である萌絵は前乗りしてパークを運営するナノクラフト社長の塙理生哉(城田優)と食事の約束をしていた。塙は現在のIT業界で一番の成功者と言われる人物で、萌絵との縁談が浮上したこともあった。  　事情を知った儀同世津子(臼田あさ美)は、犀川創平(綾野剛)に萌絵が心配ではないのか、と聞く。  　萌絵を出迎えたのは、塙の秘書の新庄久美子(青山倫子)だった。萌絵は久美子にパーク内のホテルに案内され、早速、部屋に入った萌絵は、電話の横のメモに書かれた不可思議なメッセージに目を留める。すぐに犀川に電話をし、それが自分の死を予告するものではないか、と話すが、犀川は単なるいたずらで気にすることはないと答える。  　塙との会食の時間になり、萌絵は久美子とエレベーターに乗り込む。久美子がエレベーターにカードキーを差し込むと、表示パネルにはなかった「B1」のボタンが現われた。地下にナノクラフトの研究施設があるが、その存在を知っているのは社内でも限られた人間だけだ、と久美子は話した。地下に着くと通路を歩き、さらに別のエレベーターで今度は1階に上がる。地上に戻ったと思いきや、エレベーターホールの外に出ると、そこは教会の内部だった。すると、塙が現われて…。</t>
  </si>
  <si>
    <t>番組名すべてがFになる【神に最も近い犯罪者】　#10</t>
  </si>
  <si>
    <t>西之園萌絵(武井咲)はホテルの自室のベッドで目を覚ますと、ふらつきながら教会へとやってくる。警察の規制線をくぐって見上げた天井のガラスは割れたままだった。萌絵は、犀川創平(綾野剛)に会いに行くと、自分は夢を見ているのではない、と確認するようにつぶやいた。  　ホテルに戻った萌絵は、鵜飼大介(戸次重幸)に電話し「ユーロパーク」に真賀田四季(早見あかり)が潜伏しているから捜索要請をしてくれ、と頼む。やがて、鵜飼から連絡を受けた愛知県警の芝池護(小林隆)がやってくる。萌絵は芝池に、自分とともに塙理生哉(城田優)のところへ行き、四季の居場所を聞き出して欲しいと言う。  　萌絵と芝池はナノクラフト社で塙と藤原博(鈴木一真)と面会する。萌絵は、自分に睡眠薬を飲ませ四季のいる場所に連れていったはずだ、と塙を問いただすが、塙は萌絵の妄想だと言って取り合わない。  　同じ頃、犀川はホテルの公衆電話から国枝桃子(水沢エレナ)に電話をかけると、他愛もない話をして電話を切る。すると、ほどなくその電話が鳴った。受話器を取った犀川が名乗ると、相手は四季だった。  　塙に相手にされなかった萌絵がロビーに戻ると、藤原がやって来る。藤原は、ナノクラフトを世界一のソフトウェア会社に成長させた塙が、ユーロパークを作ったのは、ここで萌絵に会いたかったからだと話す。さらに、いい物を見せると言って、萌絵を地下へと案内し…。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</si>
  <si>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西之園萌絵(武井咲)はホテルの自室のベッドで目を覚ますと、ふらつきながら教会へとやってくる。警察の規制線をくぐって見上げた天井のガラスは割れたままだった。萌絵は、犀川創平(綾野剛)に会いに行くと、自分は夢を見ているのではない、と確認するようにつぶやいた。  　ホテルに戻った萌絵は、鵜飼大介(戸次重幸)に電話し「ユーロパーク」に真賀田四季(早見あかり)が潜伏しているから捜索要請をしてくれ、と頼む。やがて、鵜飼から連絡を受けた愛知県警の芝池護(小林隆)がやってくる。萌絵は芝池に、自分とともに塙理生哉(城田優)のところへ行き、四季の居場所を聞き出して欲しいと言う。  　萌絵と芝池はナノクラフト社で塙と藤原博(鈴木一真)と面会する。萌絵は、自分に睡眠薬を飲ませ四季のいる場所に連れていったはずだ、と塙を問いただすが、塙は萌絵の妄想だと言って取り合わない。  　同じ頃、犀川はホテルの公衆電話から国枝桃子(水沢エレナ)に電話をかけると、他愛もない話をして電話を切る。すると、ほどなくその電話が鳴った。受話器を取った犀川が名乗ると、相手は四季だった。  　塙に相手にされなかった萌絵がロビーに戻ると、藤原がやって来る。藤原は、ナノクラフトを世界一のソフトウェア会社に成長させた塙が、ユーロパークを作ったのは、ここで萌絵に会いたかったからだと話す。さらに、いい物を見せると言って、萌絵を地下へと案内し…。</t>
  </si>
  <si>
    <t>1410_CX_火22</t>
  </si>
  <si>
    <t>素敵な選TAXI</t>
  </si>
  <si>
    <t>番組名素敵な選TAXI【竹野内豊がお節介タクシー運転手!バカリズム脚本】　#01</t>
  </si>
  <si>
    <t>「もしもあの時、別の道を選んでいたら…」。人生にそんな後悔はつきもの。選TAXIは、過去に戻って人生の選択をやり直すことができる不思議なタクシー。話好きでおせっかいな運転手の枝分(竹野内豊)が、あなたの人生の再生をお手伝いします。最初のお客様は、売れない俳優!!村上秀樹(安田顕)は、恋人の浦沢香(小西真奈美)にプロポーズしようと待ち合わせ高級レストランへ急いでいた。しかし店に着くと、二人は些細なことで喧嘩に。村上は香から別れを告げられてしまう。店を飛び出した香を追いかけようと、慌ててタクシーに乗り込む村上。しばらくすると、運転手の枝分から「彼女がいた時の店に戻りましょうか?」と持ちかけられる。村上が乗った選TAXIは、乗客がやり直したい分岐点に戻ることができるタクシーだという。半信半疑ながら30分前に戻ることを選択し、1万円で枝分に戻してもらった村上は、今度こそ揉めないように気をつけながら香にプロポーズ。ところが香が村上に内緒で合コンに参加し、村上の愚痴をこぼしていたことが判明。怒りを抑えられない村上は、香の制止を振り切って再び選TAXIに乗るが、思いとどまって再度30分前の店へ戻る選択をする。香とのわだかまりが消え、幸せな気分に浸ったのも束の間、店内に突如銃声が響き渡りーー!?はたして、将来を誓った村上と香にハッピーエンドは訪れるのか!?選TAXIの乗客を待ち受ける予想外の結末とは!?竹野内豊  　/　  安田顕　  小西真奈美  　/　  バカリズム　  南沢奈央　  清野菜名　  升毅【脚本】  バカリズム　    【音楽】  本間勇輔　    【主題歌】  aiko「あたしの向こう」　    【演出】  筧昌也　  星野和成　    ほか【番組ホームページ】  http://www.ktv.jp/sentaxi/　    ドラマ放送中にデータ放送でプレゼントクイズ実施!</t>
  </si>
  <si>
    <t>「もしもあの時、別の道を選んでいたら…」。人生にそんな後悔はつきもの。選TAXIは、過去に戻って人生の選択をやり直すことができる不思議なタクシー。話好きでおせっかいな運転手の枝分(竹野内豊)が、あなたの人生の再生をお手伝いします。最初のお客様は、売れない俳優!!村上秀樹(安田顕)は、恋人の浦沢香(小西真奈美)にプロポーズしようと待ち合わせ高級レストランへ急いでいた。しかし店に着くと、二人は些細なことで喧嘩に。村上は香から別れを告げられてしまう。店を飛び出した香を追いかけようと、慌ててタクシーに乗り込む村上。しばらくすると、運転手の枝分から「彼女がいた時の店に戻りましょうか?」と持ちかけられる。村上が乗った選TAXIは、乗客がやり直したい分岐点に戻ることができるタクシーだという。半信半疑ながら30分前に戻ることを選択し、1万円で枝分に戻してもらった村上は、今度こそ揉めないように気をつけながら香にプロポーズ。ところが香が村上に内緒で合コンに参加し、村上の愚痴をこぼしていたことが判明。怒りを抑えられない村上は、香の制止を振り切って再び選TAXIに乗るが、思いとどまって再度30分前の店へ戻る選択をする。香とのわだかまりが消え、幸せな気分に浸ったのも束の間、店内に突如銃声が響き渡りーー!?はたして、将来を誓った村上と香にハッピーエンドは訪れるのか!?選TAXIの乗客を待ち受ける予想外の結末とは!?</t>
  </si>
  <si>
    <t>番組名素敵な選TAXI【乗客・仲村トオルが過去へ!切ない四十路男の恋冒険】　#02</t>
  </si>
  <si>
    <t>海辺の田舎町で町長の娘が誘拐された。警察は、犯人が選挙カーで逃走しているとの情報を入手する。その頃、民宿を営む平野(仲村トオル)は、枝分(竹野内豊)の頼みで“選TAXI"に同乗し、この町に古くから伝わるカップルに人気のスポットまで道案内をすることに。しかしその道中、一台の選挙カーとすれ違い、誘拐事件のことを思い出した平野は慌てて警察に通報する。やがて、人質の娘は無事に保護される。平野が警察署を訪れると、そこには学生時代の恋人で、今は町長の妻となった高橋加奈子(霧島れいか)の姿が。久しぶりに加奈子と再会した平野は、かつて見合いが決まった加奈子を引き止められなかった苦い過去を思い出す。さらに誘拐された加奈子の娘と、犯人として捕まった若者を見た平野は、自分が二人の駆け落ちを邪魔したことに気付く。  話を聞いた枝分は、呆然とする平野に「だったら戻ればいい」と提案し、“選TAXI"がやり直したいと思った分岐点まで戻れることを説明する。選挙カーとすれ違う前の時点に戻って、19500円を支払った平野。選挙カーの前に立ちはだかり、若い二人の話を聞こうとするが、車はなおも逃げ続ける。平野もあきらめず、枝分に「追って!」とお願いし、“選TAXI"で選挙カーを追いかけるが…。竹野内豊  　/　  仲村トオル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</si>
  <si>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海辺の田舎町で町長の娘が誘拐された。警察は、犯人が選挙カーで逃走しているとの情報を入手する。その頃、民宿を営む平野(仲村トオル)は、枝分(竹野内豊)の頼みで“選TAXI"に同乗し、この町に古くから伝わるカップルに人気のスポットまで道案内をすることに。しかしその道中、一台の選挙カーとすれ違い、誘拐事件のことを思い出した平野は慌てて警察に通報する。やがて、人質の娘は無事に保護される。平野が警察署を訪れると、そこには学生時代の恋人で、今は町長の妻となった高橋加奈子(霧島れいか)の姿が。久しぶりに加奈子と再会した平野は、かつて見合いが決まった加奈子を引き止められなかった苦い過去を思い出す。さらに誘拐された加奈子の娘と、犯人として捕まった若者を見た平野は、自分が二人の駆け落ちを邪魔したことに気付く。  話を聞いた枝分は、呆然とする平野に「だったら戻ればいい」と提案し、“選TAXI"がやり直したいと思った分岐点まで戻れることを説明する。選挙カーとすれ違う前の時点に戻って、19500円を支払った平野。選挙カーの前に立ちはだかり、若い二人の話を聞こうとするが、車はなおも逃げ続ける。平野もあきらめず、枝分に「追って!」とお願いし、“選TAXI"で選挙カーを追いかけるが…。</t>
  </si>
  <si>
    <t>番組名素敵な選TAXI【社長と不倫!秘書の許されぬ恋に残された選択肢は?】　#03</t>
  </si>
  <si>
    <t>運転手の枝分(竹野内豊)が不倫の恋に悩む女と傷心ドライブ!?今週のお客さんは、社長秘書の麻里奈(木村文乃)。IT会社社長の野々山(中村俊介)と不倫関係にある秘書の麻里奈は、「奥さんと別れて、私と結婚して」と野々山に迫り、妊娠したことを告げる。しかし、その言葉に興ざめした野々山は離婚を考えるどころか金目当ての嘘だと麻里奈を拒絶。別れを告げて去って行く。ショックを受けた麻里奈は泣きながら、停まっていた“選TAXI"に乗り込み、様子を心配した運転手の枝分に事情を話す。すると枝分は、「このタクシーなら、やり直したい分岐点に戻ることができる」と“選TAXI"のシステムを説明。麻里奈は野々山と言い合いになる前に戻り、今度は慎重に妊娠の話を切り出すタイミングを計ることにする。そのお代は60000円。ところが、過去に戻った麻里奈が見たものは、密かに男性と会っている野々山の妻・明歩(笛木優子)の姿。「そっちも不倫してるじゃん」ーー。明歩の浮気を確信した麻里奈が次にとった行動とは!?選択し直すことで野々山との関係は、はたしてどうなる!?竹野内豊  　/　  木村文乃　  中村俊介　  笛木優子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</si>
  <si>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運転手の枝分(竹野内豊)が不倫の恋に悩む女と傷心ドライブ!?今週のお客さんは、社長秘書の麻里奈(木村文乃)。IT会社社長の野々山(中村俊介)と不倫関係にある秘書の麻里奈は、「奥さんと別れて、私と結婚して」と野々山に迫り、妊娠したことを告げる。しかし、その言葉に興ざめした野々山は離婚を考えるどころか金目当ての嘘だと麻里奈を拒絶。別れを告げて去って行く。ショックを受けた麻里奈は泣きながら、停まっていた“選TAXI"に乗り込み、様子を心配した運転手の枝分に事情を話す。すると枝分は、「このタクシーなら、やり直したい分岐点に戻ることができる」と“選TAXI"のシステムを説明。麻里奈は野々山と言い合いになる前に戻り、今度は慎重に妊娠の話を切り出すタイミングを計ることにする。そのお代は60000円。ところが、過去に戻った麻里奈が見たものは、密かに男性と会っている野々山の妻・明歩(笛木優子)の姿。「そっちも不倫してるじゃん」ーー。明歩の浮気を確信した麻里奈が次にとった行動とは!?選択し直すことで野々山との関係は、はたしてどうなる!?</t>
  </si>
  <si>
    <t>番組名素敵な選TAXI【拾った宝くじが1億円!リストラ男の金と欲の選択肢】　#04</t>
  </si>
  <si>
    <t>町工場で働く朝倉(勝地涼)は、会社からクビを宣告された帰り道、バスの中で偶然拾った宝くじが1億円の当選くじだと気付く。早速、停まっていた“選TAXI"に乗り込み、銀行へ換金しに行くが、途中で窓口が閉まる午後3時を過ぎてしまう。さらに、拾った宝くじが去年のもので、支払い期限も今日までと判明。「あと30分早ければ…」と肩を落とす朝倉に、運転手の枝分(竹野内豊)は「このタクシーなら、やり直したい過去の分岐点に戻れる」と説明。朝倉はバスに乗る前へ戻ることに。再び宝くじを拾い、今度は脇目も振らず銀行へ向かった朝倉。しかし、窓口で身分証と印鑑が必要だと告げられ、印鑑を取りに大慌てで自宅へ戻り、夫の怪しい行動に気付いた妻・明日香(真野恵里菜)の制止をも振り切って、再び銀行へ猛ダッシュするが、またしても間に合わない。諦めきれない朝倉は、“選TAXI"でもう一度、バスに乗る前へ戻る。ところが、バスの中で思いもかけない事件に巻き込まれてしまう。犯人に吊し上げられた朝倉は、警察に連れて行かれそうになり…。朝倉の運命は果たして!?そして当選金1億円の行方は!?竹野内豊  　/　  勝地涼　  真野恵里菜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</si>
  <si>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町工場で働く朝倉(勝地涼)は、会社からクビを宣告された帰り道、バスの中で偶然拾った宝くじが1億円の当選くじだと気付く。早速、停まっていた“選TAXI"に乗り込み、銀行へ換金しに行くが、途中で窓口が閉まる午後3時を過ぎてしまう。さらに、拾った宝くじが去年のもので、支払い期限も今日までと判明。「あと30分早ければ…」と肩を落とす朝倉に、運転手の枝分(竹野内豊)は「このタクシーなら、やり直したい過去の分岐点に戻れる」と説明。朝倉はバスに乗る前へ戻ることに。再び宝くじを拾い、今度は脇目も振らず銀行へ向かった朝倉。しかし、窓口で身分証と印鑑が必要だと告げられ、印鑑を取りに大慌てで自宅へ戻り、夫の怪しい行動に気付いた妻・明日香(真野恵里菜)の制止をも振り切って、再び銀行へ猛ダッシュするが、またしても間に合わない。諦めきれない朝倉は、“選TAXI"でもう一度、バスに乗る前へ戻る。ところが、バスの中で思いもかけない事件に巻き込まれてしまう。犯人に吊し上げられた朝倉は、警察に連れて行かれそうになり…。朝倉の運命は果たして!?そして当選金1億円の行方は!?</t>
  </si>
  <si>
    <t>番組名素敵な選TAXI【美人女医VS年下ナース!婚活女バトルで勝つ選択肢】　#05</t>
  </si>
  <si>
    <t>アラフォー独身女医の美佐子(吉田羊)は、婚活パーティーで結婚相手を見つけたという友人の話がきっかけで、自分も婚活目的のクッキングパーティーに参加。早速、大手商社に勤める工藤(袴田吉彦)に狙いを定めるが、なかなか近付くチャンスがない。そんななか、セクシーなボディーを武器に工藤に猛アピールしていた参加女性が調理中にミスをする。すかさず、看護師の知美(浅見れいな)が美佐子に絶妙なアシストをしてくれるものの、結果的に工藤は知美を選び、美佐子は敗北してしまう。  帰り道、疲れた美佐子は停まっていた選TAXIに乗車。知美の行動がすべて計算だと気づき悔しがる美佐子に対し、枝分(竹野内豊)は「リベンジします?」と持ちかけ、選TAXIのシステムを説明。それを聞いた美佐子は再びパーティー会場へと戻り、前回と違う展開を目論むが…。新しい選択肢を選んだことで、美佐子は意中の工藤をオトすことができるのか!?女医VS看護師のバトルの行方はいかに!?竹野内豊  　/　  吉田羊　  浅見れいな　  袴田吉彦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</si>
  <si>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アラフォー独身女医の美佐子(吉田羊)は、婚活パーティーで結婚相手を見つけたという友人の話がきっかけで、自分も婚活目的のクッキングパーティーに参加。早速、大手商社に勤める工藤(袴田吉彦)に狙いを定めるが、なかなか近付くチャンスがない。そんななか、セクシーなボディーを武器に工藤に猛アピールしていた参加女性が調理中にミスをする。すかさず、看護師の知美(浅見れいな)が美佐子に絶妙なアシストをしてくれるものの、結果的に工藤は知美を選び、美佐子は敗北してしまう。  帰り道、疲れた美佐子は停まっていた選TAXIに乗車。知美の行動がすべて計算だと気づき悔しがる美佐子に対し、枝分(竹野内豊)は「リベンジします?」と持ちかけ、選TAXIのシステムを説明。それを聞いた美佐子は再びパーティー会場へと戻り、前回と違う展開を目論むが…。新しい選択肢を選んだことで、美佐子は意中の工藤をオトすことができるのか!?女医VS看護師のバトルの行方はいかに!?</t>
  </si>
  <si>
    <t>番組名素敵な選TAXI【お人よしとデキる女の選択肢!枝分が想い人に告白?】　#06</t>
  </si>
  <si>
    <t>人気漫画『おひとよしトレジャー』を担当する編集者の美空(栗山千明)は、締め切り当日になってもあがらない原稿を待ち続けていた。原作者の虫海暗(三宅弘城)がストーリーに悩み、ペンを止めてしまったのだ。すでに3週休載し、もう後がない美空。しかし虫海はあっさり逃亡し、失意の美空は停まっていた選TAXIに乗り込む。  事情を聞いた枝分(竹野内豊)は、大ファンの『おひトレ』が次回も休載になると知り、早速「戻りましょう!」と提案。虫海が逃げる前に戻り、逃亡を阻止しようと奮闘する美空だったが、そこへ友人の佑香(臼田あさ美)から「彼氏が浮気している」と電話が。「今から来て」という頼みを断ると、しばらくして佑香が自殺を図ったと警察から連絡が入る。未遂に終わったものの、ショックを受けた美空は枝分を呼び出し、佑香を助けるために再び過去に戻りたいと頼む。しかし、それでは『おひトレ』をあきらめなければならない。何とか漫画の続きを読みたい枝分は、原稿と友人のどちらも救えばいいと、ある提案をして…?はたして美空は大切な友達を救うことができるのか?そして枝分は待ちに待った『おひトレ』の続きを読むことができるのか!?竹野内豊  　/　  栗山千明　  臼田あさ美　  三宅弘城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</si>
  <si>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人気漫画『おひとよしトレジャー』を担当する編集者の美空(栗山千明)は、締め切り当日になってもあがらない原稿を待ち続けていた。原作者の虫海暗(三宅弘城)がストーリーに悩み、ペンを止めてしまったのだ。すでに3週休載し、もう後がない美空。しかし虫海はあっさり逃亡し、失意の美空は停まっていた選TAXIに乗り込む。  事情を聞いた枝分(竹野内豊)は、大ファンの『おひトレ』が次回も休載になると知り、早速「戻りましょう!」と提案。虫海が逃げる前に戻り、逃亡を阻止しようと奮闘する美空だったが、そこへ友人の佑香(臼田あさ美)から「彼氏が浮気している」と電話が。「今から来て」という頼みを断ると、しばらくして佑香が自殺を図ったと警察から連絡が入る。未遂に終わったものの、ショックを受けた美空は枝分を呼び出し、佑香を助けるために再び過去に戻りたいと頼む。しかし、それでは『おひトレ』をあきらめなければならない。何とか漫画の続きを読みたい枝分は、原稿と友人のどちらも救えばいいと、ある提案をして…?はたして美空は大切な友達を救うことができるのか?そして枝分は待ちに待った『おひトレ』の続きを読むことができるのか!?</t>
  </si>
  <si>
    <t>番組名素敵な選TAXI【美人OLに隠された過去!玉の輿直前の選択肢】　#07</t>
  </si>
  <si>
    <t>今週のお客さんは、聡明な美人OL・真理(貫地谷しほり)!大手企業のCEOで、恋人の彰(葛山信吾)と結婚が決まった真理は、ある日、彰から両親に挨拶に行きたいと言われる。ある理由から、どうしても実家に帰りたくない真理は、暴力的な父親と遊びほうけている母親から逃げるために家出したとウソをつくが、彰からは「だったら親子の関係修復を」と言われ、渋々、彰を連れて故郷へと戻ることに。駅に着いた二人は、そこで枝分(竹野内豊)が地元のレディースにからまれている現場に遭遇する。彰が間に入るも、かえって事態が悪化。「女同士の方がいいから」と真理が一人で話をしに行くと、レディースはなぜかあっさり退散。実は、真理こそがそのレディースの初代総長であり、当時両親に散々迷惑をかけた挙句、自ら家を飛び出したのだ。全てを知った彰は怒って帰ってしまい、追いかけようとした真理は選TAXIを呼ぶ。事情を聞いた枝分は早速、「戻ります?」と選TAXIのシステムを説明。実家に到着した時刻に戻った真理は、まずは両親にこれまでのことを謝ろうと、彰を家の前で待たせて一人で家の中へと入っていき…。真理は両親と和解して、晴れて彰と結婚できるのか!?真理の決断は、どんなエンディングを迎えるのか!?竹野内豊  　/　  貫地谷しほり　  葛山信吾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</si>
  <si>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今週のお客さんは、聡明な美人OL・真理(貫地谷しほり)!大手企業のCEOで、恋人の彰(葛山信吾)と結婚が決まった真理は、ある日、彰から両親に挨拶に行きたいと言われる。ある理由から、どうしても実家に帰りたくない真理は、暴力的な父親と遊びほうけている母親から逃げるために家出したとウソをつくが、彰からは「だったら親子の関係修復を」と言われ、渋々、彰を連れて故郷へと戻ることに。駅に着いた二人は、そこで枝分(竹野内豊)が地元のレディースにからまれている現場に遭遇する。彰が間に入るも、かえって事態が悪化。「女同士の方がいいから」と真理が一人で話をしに行くと、レディースはなぜかあっさり退散。実は、真理こそがそのレディースの初代総長であり、当時両親に散々迷惑をかけた挙句、自ら家を飛び出したのだ。全てを知った彰は怒って帰ってしまい、追いかけようとした真理は選TAXIを呼ぶ。事情を聞いた枝分は早速、「戻ります?」と選TAXIのシステムを説明。実家に到着した時刻に戻った真理は、まずは両親にこれまでのことを謝ろうと、彰を家の前で待たせて一人で家の中へと入っていき…。真理は両親と和解して、晴れて彰と結婚できるのか!?真理の決断は、どんなエンディングを迎えるのか!?</t>
  </si>
  <si>
    <t>番組名素敵な選TAXI【家族を生き返らせてほしい!?夫と妻と奇跡の選択肢】　#08</t>
  </si>
  <si>
    <t>とある病院の一室で、佑香(臼田あさ美)はベッドに横たわる祖父・泰三(津嘉山正種)と、傍らで涙を流す祖母の六実(左時枝)を見つめていた。入院中の泰三の見舞いに訪れた佑香だったが、わずかな差で祖父の最期に立ち会うことができなかったのだ。「こんな事ならもっと早く来ればよかった」ーー。佑香はふと、かつて友人の美空(栗山千明)と一緒に選TAXIで過去に戻ったことを思い出し、枝分(竹野内豊)に電話する。話を聞いた枝分は、「せめて亡くなる前に一目会いたい」という佑香を乗せて1時間前へ。過去に戻った佑香が急いで病院へ向かうと、本当に泰三はまだ生きていた。穏やかに泰三と最後の時を過ごす佑香。しばらくすると泰三は眠るように静かに息を引き取る。しかしその後、祖母の六実が、泰三が亡くなる前、六実が作ったいなりずしを食べたいと言っていたのに食べさせてあげられなかったことを後悔していると知る。佑香は六実のために再び枝分に連絡。夫の最後の願いを叶えたいという一心から、六実も選TAXIに乗り込んで…。愛する者の最期に向き合う家族たちの心温まる物語。佑香と六実、二人の想いが届いたとき、泰三は…!?竹野内豊  　/　  津嘉山正種　  左時枝　  臼田あさ美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</si>
  <si>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とある病院の一室で、佑香(臼田あさ美)はベッドに横たわる祖父・泰三(津嘉山正種)と、傍らで涙を流す祖母の六実(左時枝)を見つめていた。入院中の泰三の見舞いに訪れた佑香だったが、わずかな差で祖父の最期に立ち会うことができなかったのだ。「こんな事ならもっと早く来ればよかった」ーー。佑香はふと、かつて友人の美空(栗山千明)と一緒に選TAXIで過去に戻ったことを思い出し、枝分(竹野内豊)に電話する。話を聞いた枝分は、「せめて亡くなる前に一目会いたい」という佑香を乗せて1時間前へ。過去に戻った佑香が急いで病院へ向かうと、本当に泰三はまだ生きていた。穏やかに泰三と最後の時を過ごす佑香。しばらくすると泰三は眠るように静かに息を引き取る。しかしその後、祖母の六実が、泰三が亡くなる前、六実が作ったいなりずしを食べたいと言っていたのに食べさせてあげられなかったことを後悔していると知る。佑香は六実のために再び枝分に連絡。夫の最後の願いを叶えたいという一心から、六実も選TAXIに乗り込んで…。愛する者の最期に向き合う家族たちの心温まる物語。佑香と六実、二人の想いが届いたとき、泰三は…!?</t>
  </si>
  <si>
    <t>番組名素敵な選TAXI【乗客は強盗!どうする枝分?ツイてない日の選択肢】　#09</t>
  </si>
  <si>
    <t>競輪で大負けし、自分の人生ツイてないことだらけだと嘆く久保(高橋努)は、やけを起こしてコンビニへ押し入るも強盗失敗、慌てて選TAXIに乗り込み逃走を図る。    久保同様、今日はツイてない日だと苛立ち気味の枝分(竹野内豊)は、乗せた客がまさかコンビニ強盗だとは思わず、自分のツイてない話をペラペラと喋り出す。すると久保も応戦し、二人は自分のツイてない自慢合戦に。ところが、話の内容から久保が逃走中の強盗だと発覚!と同時に、枝分は凶器を突きつけられてしまう。    やがて選TAXIのシステムを知った久保は、競輪で負ける前に戻れと枝分に命じる。そうすれば、すでに勝敗を知っている競輪で大儲けができ、強盗もチャラになる。だが、枝分は「道徳的に無理」と断り二人で押し問答に。すると突然、そこへ一人の男(梶原善)が乗り込んできて……。竹野内豊  　/　  高橋努　  梶原善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</si>
  <si>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競輪で大負けし、自分の人生ツイてないことだらけだと嘆く久保(高橋努)は、やけを起こしてコンビニへ押し入るも強盗失敗、慌てて選TAXIに乗り込み逃走を図る。    久保同様、今日はツイてない日だと苛立ち気味の枝分(竹野内豊)は、乗せた客がまさかコンビニ強盗だとは思わず、自分のツイてない話をペラペラと喋り出す。すると久保も応戦し、二人は自分のツイてない自慢合戦に。ところが、話の内容から久保が逃走中の強盗だと発覚!と同時に、枝分は凶器を突きつけられてしまう。    やがて選TAXIのシステムを知った久保は、競輪で負ける前に戻れと枝分に命じる。そうすれば、すでに勝敗を知っている競輪で大儲けができ、強盗もチャラになる。だが、枝分は「道徳的に無理」と断り二人で押し問答に。すると突然、そこへ一人の男(梶原善)が乗り込んできて……。</t>
  </si>
  <si>
    <t>番組名素敵な選TAXI【運転手引退!?さよなら枝分、最後にベストな選択肢】　#10</t>
  </si>
  <si>
    <t>枝分(竹野内豊)が選TAXIの運転手を引退する事態が発生!?謎に包まれた運転手の知られざる過去が、ついに明らかになる!はたして枝分が最後に選ぶ選択肢とは?  「枝さん、3カ月間、お疲れ様でした」。カフェ『choice』でいつものようにメニューを迷っていた枝分は、店にやってきた標(升毅)に声をかけられる。それを聞き、「え?…あ、そっか」と何かに気付く枝分。過去の分岐点へ戻り、人生をやり直すことができる不思議な乗り物“選TAXI"。その運転手として、これまで様々な事情を抱えた客を乗せ、少々お節介ながらも彼らの人生を応援してきた枝分。なぜ枝分は選TAXIの運転手をやめなければならないのか?標の言葉の意味とは?そもそもどうして枝分は選TAXIの運転手になったのか?驚きの真実が次々と明らかになるなか、はたして枝分はどんな分岐点に立ち、どんな選択を最後にするのか、その結末はまさに予測不可能!さよなら枝分さん!  やはり、人生は選択肢の連続だ!竹野内豊  　/　  奥田恵梨華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</si>
  <si>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枝分(竹野内豊)が選TAXIの運転手を引退する事態が発生!?謎に包まれた運転手の知られざる過去が、ついに明らかになる!はたして枝分が最後に選ぶ選択肢とは?  「枝さん、3カ月間、お疲れ様でした」。カフェ『choice』でいつものようにメニューを迷っていた枝分は、店にやってきた標(升毅)に声をかけられる。それを聞き、「え?…あ、そっか」と何かに気付く枝分。過去の分岐点へ戻り、人生をやり直すことができる不思議な乗り物“選TAXI"。その運転手として、これまで様々な事情を抱えた客を乗せ、少々お節介ながらも彼らの人生を応援してきた枝分。なぜ枝分は選TAXIの運転手をやめなければならないのか?標の言葉の意味とは?そもそもどうして枝分は選TAXIの運転手になったのか?驚きの真実が次々と明らかになるなか、はたして枝分はどんな分岐点に立ち、どんな選択を最後にするのか、その結末はまさに予測不可能!さよなら枝分さん!  やはり、人生は選択肢の連続だ!</t>
  </si>
  <si>
    <t>1410_CX_水22</t>
  </si>
  <si>
    <t>ファーストクラス</t>
  </si>
  <si>
    <t>番組名ファーストクラス　#01</t>
  </si>
  <si>
    <t>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雑誌「FIRST　CLASS」を辞めて、ファッションブランドという新たな世界へ足を踏み入れた吉成ちなみ(沢尻エリカ)。そのファッションブランドは、経営危機にある「TATSUKO　YANO」。社長・矢野竜子(夏木マリ)は、その状況を打破すべく、クリエーティブディレクターの廣木リカ(木村佳乃)を雇う。リカは着任早々に今年の秋冬コレクションを1週間後に発表すると宣言。デザイナーの多武峰凪子(ともさかりえ)と川島ナミ絵(シシド・カフカ)、アシスタントデザイナーの須賀さくら(倉科カナ)、冴木大五郎(中村倫也)を集め、早急に新規デザインを提出するよう指示。チーフデザイナーも決定するという社内コンペに、ちなみは突如加わることとなる…。そんなビッグイベントを前に、プレスチームの荒巻千冬(小島聖)とアシスタントの向井山華(鈴木ちなみ)は、ちなみのことを気にしつつ発表方法と段どりを考え始める。　また、竜子とリカ、竜子の息子で専務の矢野隆太郎(淵上泰史)は、数々のブランドを吸収合併しているNGSホールディングスのパーティーに出席。1年前に竜子のもとから去ってNGSホールディングスのCEOとなった瀧川蘭子(余貴美子)は、笑顔で竜子に接しながら片腕である間宮充(青柳翔)に「TATSUKO　YANO」の資産状況を調べるよう命じる。同じころ、誰もいないオフィスには大五郎の姿が…。沢尻エリカ　  木村佳乃　  倉科カナ　  青柳翔　  シシド・カフカ　  淵上泰史　  篠原ともえ　  鈴木ちなみ　  中村倫也　  岡本圭人(Hey!Say!JUMP)　  山谷花純  　・　  〈FIRST　CLASS編集部〉  佐々木希　  菜々緒　  三浦理恵子　  田畑智子    　/　    板谷由夏  　・　  余貴美子  　・　  市川実和子　  小島聖　  ともさかりえ　  夏木マリ　    〈ナレーション〉  LiLiCo【編成企画】  太田大　    【プロデュース】  浅野澄美　    【脚本】  及川博則　    【演出】  西浦正記　  宮脇亮　    【制作】  フジテレビ　    【制作著作】  FCC</t>
  </si>
  <si>
    <t>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雑誌「FIRST　CLASS」を辞めて、ファッションブランドという新たな世界へ足を踏み入れた吉成ちなみ(沢尻エリカ)。そのファッションブランドは、経営危機にある「TATSUKO　YANO」。社長・矢野竜子(夏木マリ)は、その状況を打破すべく、クリエーティブディレクターの廣木リカ(木村佳乃)を雇う。リカは着任早々に今年の秋冬コレクションを1週間後に発表すると宣言。デザイナーの多武峰凪子(ともさかりえ)と川島ナミ絵(シシド・カフカ)、アシスタントデザイナーの須賀さくら(倉科カナ)、冴木大五郎(中村倫也)を集め、早急に新規デザインを提出するよう指示。チーフデザイナーも決定するという社内コンペに、ちなみは突如加わることとなる…。そんなビッグイベントを前に、プレスチームの荒巻千冬(小島聖)とアシスタントの向井山華(鈴木ちなみ)は、ちなみのことを気にしつつ発表方法と段どりを考え始める。　また、竜子とリカ、竜子の息子で専務の矢野隆太郎(淵上泰史)は、数々のブランドを吸収合併しているNGSホールディングスのパーティーに出席。1年前に竜子のもとから去ってNGSホールディングスのCEOとなった瀧川蘭子(余貴美子)は、笑顔で竜子に接しながら片腕である間宮充(青柳翔)に「TATSUKO　YANO」の資産状況を調べるよう命じる。同じころ、誰もいないオフィスには大五郎の姿が…。</t>
  </si>
  <si>
    <t>番組名ファーストクラス【沢尻主演!女の格付け地獄!今夜からドロドロ本領発揮】　#02</t>
  </si>
  <si>
    <t>雑誌編集部で成り上がっていくシンデレラストーリー「ファーストクラス」が衝撃度100倍で還って来た!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地獄!どの話から見ても分かる悪女バトルドラマ!　セレブに自分のデザインした洋服を着せて話題を呼んだ吉成ちなみ(沢尻エリカ)。その効果は絶大で「TATSUKO　YANO」に、注文が殺到。廣木リカ(木村佳乃)は2週間後に販売を開始すると発表するなど販売計画は順調に動き出したかに見えた。しかし、製造を依頼していた工場から突然断りの連絡が入り、デザイナーチームを含めちなみも対処に追われる。ちなみは、渉外を担当する専務の矢野隆太郎(淵上泰史)と工場へ向かい、なんとかしようと直談判するも解決の糸口を見つけることができない・・・。  　さらに「TATSUKO　YANO」が、瀧川蘭子(余貴美子)がトップに君臨するNGSホールディングスに買収されるというニュースも飛び込み、プレスチームも対処に追われる。そんなトラブルが続く中、ちなみは何とか当初の計画を立て直そうとある行動にでる・・・。沢尻エリカ　  木村佳乃　  倉科カナ　  青柳翔　  シシド・カフカ　  淵上泰史　  篠原ともえ　  鈴木ちなみ　  中村倫也　  岡本圭人(Hey!Say!JUMP)　  山谷花純  　・　  〈FIRST　CLASS編集部〉  佐々木希　  菜々緒　  三浦理恵子　  田畑智子    　/　    板谷由夏  　・　  余貴美子  　・　  市川実和子　  小島聖　  ともさかりえ　  夏木マリ　    〈ナレーション〉  LiLiCo【編成企画】  太田大　    【プロデュース】  浅野澄美　    【脚本】  及川博則　    【演出】  西浦正記　  宮脇亮　    【制作】  フジテレビ　    【制作著作】  FCC</t>
  </si>
  <si>
    <t>雑誌編集部で成り上がっていくシンデレラストーリー「ファーストクラス」が衝撃度100倍で還って来た!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地獄!どの話から見ても分かる悪女バトルドラマ!　セレブに自分のデザインした洋服を着せて話題を呼んだ吉成ちなみ(沢尻エリカ)。その効果は絶大で「TATSUKO　YANO」に、注文が殺到。廣木リカ(木村佳乃)は2週間後に販売を開始すると発表するなど販売計画は順調に動き出したかに見えた。しかし、製造を依頼していた工場から突然断りの連絡が入り、デザイナーチームを含めちなみも対処に追われる。ちなみは、渉外を担当する専務の矢野隆太郎(淵上泰史)と工場へ向かい、なんとかしようと直談判するも解決の糸口を見つけることができない・・・。  　さらに「TATSUKO　YANO」が、瀧川蘭子(余貴美子)がトップに君臨するNGSホールディングスに買収されるというニュースも飛び込み、プレスチームも対処に追われる。そんなトラブルが続く中、ちなみは何とか当初の計画を立て直そうとある行動にでる・・・。</t>
  </si>
  <si>
    <t>番組名ファーストクラス【沢尻エリカ主演★虐げられるシンデレラ今夜最下位転落】　#03</t>
  </si>
  <si>
    <t>「SMBC日本シリーズ2014第4戦　ソフトバンク×阪神」延長の際は、放送時間繰り下げの場合あり。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吉成ちなみ(沢尻エリカ)がデザインした服がようやく完成した矢先“TATSUKO　YANO"に一通の告訴状が届く。それは、ファストファッションブランドがすでに店頭販売している服が、ちなみの新作とそっくりという内容・・・。社内にスパイがいると確信した廣木リカ(木村佳乃)は犯人を見つけ出し、それを話題に記者会見を開いて広告代わりにしようと画策する。多武峰凪子(ともさかりえ)が犯人であるとにらんだ冴木大五郎(中村倫也)は、国木田久志(岡本圭人)と手を組んで証拠をそろえ出す。しかし弱みを握られた凪子が黙っているわけもなく・・・。そんななか、久志はリカに犯人を密告することに。  　一方、社内スキャンダルを広告代わりにしようとするリカの方針がふに落ちないちなみは、ある行動にでる・・・。沢尻エリカ　  木村佳乃　  倉科カナ　  青柳翔　  シシド・カフカ　  淵上泰史　  篠原ともえ　  鈴木ちなみ　  中村倫也　  岡本圭人(Hey!Say!JUMP)　  山谷花純  　・　  〈FIRST　CLASS編集部〉  佐々木希　  菜々緒　  三浦理恵子　  田畑智子    　/　    板谷由夏  　・　  余貴美子  　・　  市川実和子　  小島聖　  ともさかりえ　  夏木マリ　    〈ナレーション〉  LiLiCo【編成企画】  太田大　    【プロデュース】  浅野澄美　    【脚本】  及川博則　    【演出】  西浦正記　  宮脇亮　    【制作】  フジテレビ　    【制作著作】  FCC</t>
  </si>
  <si>
    <t>「SMBC日本シリーズ2014第4戦　ソフトバンク×阪神」延長の際は、放送時間繰り下げの場合あり。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吉成ちなみ(沢尻エリカ)がデザインした服がようやく完成した矢先“TATSUKO　YANO"に一通の告訴状が届く。それは、ファストファッションブランドがすでに店頭販売している服が、ちなみの新作とそっくりという内容・・・。社内にスパイがいると確信した廣木リカ(木村佳乃)は犯人を見つけ出し、それを話題に記者会見を開いて広告代わりにしようと画策する。多武峰凪子(ともさかりえ)が犯人であるとにらんだ冴木大五郎(中村倫也)は、国木田久志(岡本圭人)と手を組んで証拠をそろえ出す。しかし弱みを握られた凪子が黙っているわけもなく・・・。そんななか、久志はリカに犯人を密告することに。  　一方、社内スキャンダルを広告代わりにしようとするリカの方針がふに落ちないちなみは、ある行動にでる・・・。</t>
  </si>
  <si>
    <t>番組名ファーストクラス【最下位!受付嬢に転落でトイレ掃除!私も会社休みたい】　#04</t>
  </si>
  <si>
    <t>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「TATSUKO　YANO」が買収され、責任をとる形でNGSホールディングスの受付嬢となった吉成ちなみ(沢尻エリカ)。ちなみのことをあざ笑いながらも、この先もリストラが続くと感じた「TATSUKO　YANO」のスタッフたちは、オフィスへやって来たCEOである瀧川蘭子(余貴美子)に必死でこびを売る。そんな女たちの姿に、佐丹野結衣(山谷花純)だけは怪しいほほ笑みを浮かべ・・・。  　そんな中、ちなみは受付嬢の先輩から「TATSUKO　YANO」への届け物を頼まれる。渡された荷物は、ちなみがデザインして返品された洋服の山だった。制服姿で現れたちなみに、ここぞとばかりに嫌味をぶつける川島ナミ絵(シシド・カフカ)や多武峰凪子(ともさかりえ)たち。一方で、それぞれが「TATSUKO　YANO」で生き残るための策略を練り始める・・・。沢尻エリカ　  木村佳乃　  倉科カナ　  青柳翔　  シシド・カフカ　  淵上泰史　  篠原ともえ　  鈴木ちなみ　  中村倫也　  岡本圭人(Hey!Say!JUMP)　  山谷花純  　・　  〈FIRST　CLASS編集部〉  佐々木希　  菜々緒　  三浦理恵子　  田畑智子    　/　    板谷由夏  　・　  余貴美子  　・　  市川実和子　  小島聖　  ともさかりえ　  夏木マリ　    〈ナレーション〉  LiLiCo【編成企画】  太田大　    【プロデュース】  浅野澄美　    【脚本】  及川博則　    【演出】  西浦正記　  宮脇亮　    【制作】  フジテレビ　    【制作著作】  FCC</t>
  </si>
  <si>
    <t>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「TATSUKO　YANO」が買収され、責任をとる形でNGSホールディングスの受付嬢となった吉成ちなみ(沢尻エリカ)。ちなみのことをあざ笑いながらも、この先もリストラが続くと感じた「TATSUKO　YANO」のスタッフたちは、オフィスへやって来たCEOである瀧川蘭子(余貴美子)に必死でこびを売る。そんな女たちの姿に、佐丹野結衣(山谷花純)だけは怪しいほほ笑みを浮かべ・・・。  　そんな中、ちなみは受付嬢の先輩から「TATSUKO　YANO」への届け物を頼まれる。渡された荷物は、ちなみがデザインして返品された洋服の山だった。制服姿で現れたちなみに、ここぞとばかりに嫌味をぶつける川島ナミ絵(シシド・カフカ)や多武峰凪子(ともさかりえ)たち。一方で、それぞれが「TATSUKO　YANO」で生き残るための策略を練り始める・・・。</t>
  </si>
  <si>
    <t>番組名ファーストクラス　#05</t>
  </si>
  <si>
    <t>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大久保円香(知念里奈)から伝言を受けてNGSホールディングスの倉庫にやってきた吉成ちなみ(沢尻エリカ)の前に、佐野議員秘書の西村(近江谷太朗)が現れる。倉庫から逃げ道を失い、ちなみはその身が危険にさらされ・・・。  　一方、「TATSUKO　YANO」のオフィスは穏やかではない。廣木リカ(木村佳乃)からスタッフの人事異動が発表になり、これまでとはまったく畑違いのNGSホールディングスの各部署へスタッフは異動させられる衝撃の人事が!!新しい部署で、年下の社員たちから下働きをさせられる屈辱的な仕打ちに、怒りを抑えながら働く「TATSUKO　YANO」の元スタッフたち・・・。そのNGSホールディングスの商品開発部では、トップモデルのERENA(石田ニコル)が自分のプロデュースブランドを展開していて・・・。  　そんな人事異動をよそに、またしても新しいプロジェクトを携えて、瀧川蘭子(余貴美子)と間宮充(青柳翔)の元にやってくるリカ。そして蘭子の背後には、なんとちなみの姿が・・・!?沢尻エリカ　  木村佳乃　  倉科カナ　  青柳翔　  シシド・カフカ　  淵上泰史　  篠原ともえ　  鈴木ちなみ　  中村倫也　  岡本圭人(Hey!Say!JUMP)　  山谷花純  　・　  〈FIRST　CLASS編集部〉  佐々木希　  菜々緒　  石田ニコル　  三浦理恵子　  田畑智子    　/　    板谷由夏  　・　  余貴美子  　・　  市川実和子　  小島聖　  ともさかりえ　  夏木マリ　〈ナレーション〉  LiLiCo【編成企画】  太田大　    【プロデュース】  浅野澄美　    【脚本】  及川博則　    【演出】  西浦正記　  宮脇亮　    【制作】  フジテレビ　    【制作著作】  FCC</t>
  </si>
  <si>
    <t>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大久保円香(知念里奈)から伝言を受けてNGSホールディングスの倉庫にやってきた吉成ちなみ(沢尻エリカ)の前に、佐野議員秘書の西村(近江谷太朗)が現れる。倉庫から逃げ道を失い、ちなみはその身が危険にさらされ・・・。  　一方、「TATSUKO　YANO」のオフィスは穏やかではない。廣木リカ(木村佳乃)からスタッフの人事異動が発表になり、これまでとはまったく畑違いのNGSホールディングスの各部署へスタッフは異動させられる衝撃の人事が!!新しい部署で、年下の社員たちから下働きをさせられる屈辱的な仕打ちに、怒りを抑えながら働く「TATSUKO　YANO」の元スタッフたち・・・。そのNGSホールディングスの商品開発部では、トップモデルのERENA(石田ニコル)が自分のプロデュースブランドを展開していて・・・。  　そんな人事異動をよそに、またしても新しいプロジェクトを携えて、瀧川蘭子(余貴美子)と間宮充(青柳翔)の元にやってくるリカ。そして蘭子の背後には、なんとちなみの姿が・・・!?</t>
  </si>
  <si>
    <t>番組名ファーストクラス　#06</t>
  </si>
  <si>
    <t>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吉成ちなみ(沢尻エリカ)の働きかけで全員が協力して作り上げたラインが海外で買い付けられた。「TATSUKO　YANO　JAPAN」として、新たな道が開けそうになった矢先、ERENA(石田ニコル)ブランドのゴーストデザイナーを告発する週刊誌の原稿が廣木リカ(木村佳乃)に届く・・・。妹のレミ絵(菜々緒)の仕業と察した川島ナミ絵(シシド・カフカ)は・・・。  　そんな中、瀧川蘭子(余貴美子)と間宮充(青柳翔)によって「TATSUKO　YANO　JAPAN」へ、女子校の制服デザインの仕事が舞い込んでくる。その学校とは、リカが隠し通している娘でモデルのYURINAこと山内友梨菜(中川可菜)が通っている高校でもある。また、制服デザインで選ばれたデザイナーを、実質上のトップとなるクリエイティブディレクターにするというリカの言葉に色めき立つ多武峰凪子(ともさかりえ)とナミ絵。デザインの打ち合わせのために、早速学校へと向かうちなみ、凪子、荒巻千冬(小島聖)は・・・。沢尻エリカ　  木村佳乃　  倉科カナ　  青柳翔　  シシド・カフカ　  淵上泰史　  篠原ともえ　  鈴木ちなみ　  中村倫也　  岡本圭人(Hey!Say!JUMP)　  山谷花純  　・　  〈FIRST　CLASS編集部〉  佐々木希　  菜々緒　  石田ニコル　  三浦理恵子　  田畑智子    　/　    板谷由夏  　・　  余貴美子  　・　  市川実和子　  小島聖　  ともさかりえ　  夏木マリ　〈ナレーション〉  LiLiCo【編成企画】  太田大　    【プロデュース】  浅野澄美　    【脚本】  及川博則　    【演出】  西浦正記　  宮脇亮　    【制作】  フジテレビ　    【制作著作】  FCC</t>
  </si>
  <si>
    <t>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吉成ちなみ(沢尻エリカ)の働きかけで全員が協力して作り上げたラインが海外で買い付けられた。「TATSUKO　YANO　JAPAN」として、新たな道が開けそうになった矢先、ERENA(石田ニコル)ブランドのゴーストデザイナーを告発する週刊誌の原稿が廣木リカ(木村佳乃)に届く・・・。妹のレミ絵(菜々緒)の仕業と察した川島ナミ絵(シシド・カフカ)は・・・。  　そんな中、瀧川蘭子(余貴美子)と間宮充(青柳翔)によって「TATSUKO　YANO　JAPAN」へ、女子校の制服デザインの仕事が舞い込んでくる。その学校とは、リカが隠し通している娘でモデルのYURINAこと山内友梨菜(中川可菜)が通っている高校でもある。また、制服デザインで選ばれたデザイナーを、実質上のトップとなるクリエイティブディレクターにするというリカの言葉に色めき立つ多武峰凪子(ともさかりえ)とナミ絵。デザインの打ち合わせのために、早速学校へと向かうちなみ、凪子、荒巻千冬(小島聖)は・・・。</t>
  </si>
  <si>
    <t>番組名ファーストクラス【女の友情は地獄へのカウントダウン!爆発5秒前…】　#07</t>
  </si>
  <si>
    <t>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全員が協力して仕上げた女子校の制服が無事採用され、吉成ちなみ(沢尻エリカ)は多武峰凪子(ともさかりえ)の指名により「TATSUKO　YANO　JAPAN」のクリエイティブディレクターに就任。目的を達成したことで団結力が生まれたように思えたが、ちなみたちに新たな試練が・・・!  　そんな中、株主総会が開かれたNGSホールディングス。CEOの瀧川蘭子(余貴美子)が檀上に立つと、株主席にいた矢野竜子(夏木マリ)が突然手を挙げ、驚きの発言を始める。動揺する蘭子を尻目に、素早く説明に立った間宮充(青柳翔)。しかし、そこで間宮がとった行動は・・・・。  　NGSホールディングスと「TATSUKO　YANO」は、新たな局面を迎えて大きく動き出す・・・。沢尻エリカ　  木村佳乃　  倉科カナ　  青柳翔　  シシド・カフカ　  淵上泰史　  篠原ともえ　  鈴木ちなみ　  中村倫也　  岡本圭人(Hey!Say!JUMP)　  山谷花純  　・　  〈FIRST　CLASS編集部〉  佐々木希　  菜々緒　  石田ニコル　  三浦理恵子　  田畑智子    　/　    板谷由夏  　・　  余貴美子  　・　  市川実和子　  小島聖　  ともさかりえ　  夏木マリ　〈ナレーション〉  LiLiCo【編成企画】  太田大　    【プロデュース】  浅野澄美　    【脚本】  及川博則　    【演出】  西浦正記　  宮脇亮　    【制作】  フジテレビ　    【制作著作】  FCC</t>
  </si>
  <si>
    <t>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全員が協力して仕上げた女子校の制服が無事採用され、吉成ちなみ(沢尻エリカ)は多武峰凪子(ともさかりえ)の指名により「TATSUKO　YANO　JAPAN」のクリエイティブディレクターに就任。目的を達成したことで団結力が生まれたように思えたが、ちなみたちに新たな試練が・・・!  　そんな中、株主総会が開かれたNGSホールディングス。CEOの瀧川蘭子(余貴美子)が檀上に立つと、株主席にいた矢野竜子(夏木マリ)が突然手を挙げ、驚きの発言を始める。動揺する蘭子を尻目に、素早く説明に立った間宮充(青柳翔)。しかし、そこで間宮がとった行動は・・・・。  　NGSホールディングスと「TATSUKO　YANO」は、新たな局面を迎えて大きく動き出す・・・。</t>
  </si>
  <si>
    <t>番組名ファーストクラス【女性監督が撮り下ろす衝撃作】　#08</t>
  </si>
  <si>
    <t>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Tシャツの販売対決は、吉成ちなみ(沢尻エリカ)、須賀さくら(倉科カナ)、国木田久志(岡本圭人)の「TATSUKO　YANO　JAPAN」が勝利。間宮充(青柳翔)の裏工作を見抜いた廣木リカ(木村佳乃)だが、それを口外しない代わりにちなみのブランドトップ就任と、自分を除くスタッフの残留という条件をだす。そしてリカは姿を消してしまい・・・。  　そんな折り、セレクトショップに来たちなみたちは、若いカップルに遭遇。「TATSUKO　YANO　JAPAN」が好きだという女性から欲しいアイテムを聞き出したちなみは、なんとウエディングドレス制作を決める。このカップルには結婚を急いでいる事情があることがわかり、スタッフはウエディングドレス制作に一層力を注ぎ、早速ドレスを試着したりリサーチを開始する。そんなちなみたちを横目に、影で動き出す矢野隆太郎(淵上泰史)。  　さらに、リエコ(LiLiCo)が社長を務めるファスベンダー&amp;マッカートニー・ジャパンにも新たな動きが・・・。沢尻エリカ　  木村佳乃　  倉科カナ　  青柳翔　  シシド・カフカ　  淵上泰史　  篠原ともえ　  鈴木ちなみ　  中村倫也　  岡本圭人(Hey!Say!JUMP)　  山谷花純  　・　  〈FIRST　CLASS編集部〉  佐々木希　  菜々緒　  石田ニコル　  三浦理恵子　  田畑智子    　/　    板谷由夏  　・　  余貴美子  　・　  市川実和子　  小島聖　  ともさかりえ　  夏木マリ　〈ナレーション〉  LiLiCo【編成企画】  太田大　    【プロデュース】  浅野澄美　    【脚本】  及川博則　    【演出】  西浦正記　  宮脇亮　  楢木野礼　    【制作】  フジテレビ　    【制作著作】  FCC</t>
  </si>
  <si>
    <t>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Tシャツの販売対決は、吉成ちなみ(沢尻エリカ)、須賀さくら(倉科カナ)、国木田久志(岡本圭人)の「TATSUKO　YANO　JAPAN」が勝利。間宮充(青柳翔)の裏工作を見抜いた廣木リカ(木村佳乃)だが、それを口外しない代わりにちなみのブランドトップ就任と、自分を除くスタッフの残留という条件をだす。そしてリカは姿を消してしまい・・・。  　そんな折り、セレクトショップに来たちなみたちは、若いカップルに遭遇。「TATSUKO　YANO　JAPAN」が好きだという女性から欲しいアイテムを聞き出したちなみは、なんとウエディングドレス制作を決める。このカップルには結婚を急いでいる事情があることがわかり、スタッフはウエディングドレス制作に一層力を注ぎ、早速ドレスを試着したりリサーチを開始する。そんなちなみたちを横目に、影で動き出す矢野隆太郎(淵上泰史)。  　さらに、リエコ(LiLiCo)が社長を務めるファスベンダー&amp;マッカートニー・ジャパンにも新たな動きが・・・。</t>
  </si>
  <si>
    <t>番組名ファーストクラス　#09</t>
  </si>
  <si>
    <t>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「TATSUKO　YANO　ORIGINAL」の設立により、スタッフはすべて引き抜かれ、ひとりになってしまった吉成ちなみ(沢尻エリカ)。また、多額の負債を抱えていたNGSホールディングスは間宮充(青柳翔)の手によってファスベンダー&amp;マッカートニー・ジャパンに売却され、充も職を失っていた・・・。そんな充だが、売却時に唯一手放さなかった「TATSUKO　YANO　JAPAN」の登記簿を、おちこんでいるちなみに差し出す。しかしちなみは、受け取らず去っていく・・・。その一部始終を見ていた川島レミ絵(菜々緒)は、ちなみに近づき・・・。  　一方、矢野竜子(夏木マリ)の下で再び働くことになった多武峰凪子(ともさかりえ)たちデザイナーチームだが、デザインはさせてもらえず竜子の書いたデザインを清書するだけになっていた。そんな竜子もまたリエコ(LiLiCo)にデザインを全否定されて・・・。沢尻エリカ　  木村佳乃　  倉科カナ　  青柳翔　  シシド・カフカ　  淵上泰史　  篠原ともえ　  鈴木ちなみ　  中村倫也　  岡本圭人(Hey!Say!JUMP)　  山谷花純  　・　  〈FIRST　CLASS編集部〉  佐々木希　  菜々緒　  平山浩行　  遊井亮子　  三浦理恵子　  田畑智子    　/　    板谷由夏　    LiLiCo　  ミッツ・マングローブ  　・　  余貴美子  　・　  市川実和子　  小島聖　ともさかりえ　  夏木マリ　    〈ナレーション〉  LiLiCo【編成企画】  太田大　    【プロデュース】  浅野澄美　    【脚本】  及川博則　    【演出】  西浦正記　  宮脇亮　  楢木野礼　    【制作】  フジテレビ　    【制作著作】  FCC</t>
  </si>
  <si>
    <t>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「TATSUKO　YANO　ORIGINAL」の設立により、スタッフはすべて引き抜かれ、ひとりになってしまった吉成ちなみ(沢尻エリカ)。また、多額の負債を抱えていたNGSホールディングスは間宮充(青柳翔)の手によってファスベンダー&amp;マッカートニー・ジャパンに売却され、充も職を失っていた・・・。そんな充だが、売却時に唯一手放さなかった「TATSUKO　YANO　JAPAN」の登記簿を、おちこんでいるちなみに差し出す。しかしちなみは、受け取らず去っていく・・・。その一部始終を見ていた川島レミ絵(菜々緒)は、ちなみに近づき・・・。  　一方、矢野竜子(夏木マリ)の下で再び働くことになった多武峰凪子(ともさかりえ)たちデザイナーチームだが、デザインはさせてもらえず竜子の書いたデザインを清書するだけになっていた。そんな竜子もまたリエコ(LiLiCo)にデザインを全否定されて・・・。</t>
  </si>
  <si>
    <t>番組名ファーストクラス　#10</t>
  </si>
  <si>
    <t>「TATSUKO　YANO　JAPAN」でたったひとり受注生産を始めた吉成ちなみ(沢尻エリカ)だったが、「TATSUKO　YANO　ORIGINAL」からの妨害工作により、業者から生地が届かず作業が止まってしまう。手を下したのは・・・。  　洋服を作ることもできず、顧客の信頼も失い、激しく落ち込むちなみに間宮充(青柳翔)は、冴木大五郎(中村倫也)から届いた一通の手紙を差し出した。その手紙に書かれていた場所を訪ねたちなみ。そこには、子供たちと遊びながら写真を撮っている西原樹(中丸雄一)の姿が!!  　一方「TATSUKO　YANO」オフィスでは、リエコ(LiLiCo)の要望だけを押し付けてくるファスベンダー&amp;マッカートニー・ジャパンの方針に多武峰凪子(ともさかりえ)らのスタッフは不満をかかえ、瀧川蘭子(余貴美子)は突如ある行動にでる。個々の衝撃的な発言や行動により、もはや予測不能・・・。ちなみは?リカ(木村佳乃)は?“悪女軍団"はどうなる!?  　最終回『ファーストクラス』の結末はいかに・・・!?沢尻エリカ　  木村佳乃　  倉科カナ　  青柳翔　  シシド・カフカ　  淵上泰史　  篠原ともえ　  鈴木ちなみ　  中村倫也　  岡本圭人(Hey!Say!JUMP)　  山谷花純  　・　  〈FIRST　CLASS編集部〉  佐々木希　  菜々緒　  平山浩行　  遊井亮子　  三浦理恵子　  田畑智子    　/　    板谷由夏　    中丸雄一(KAT-TUN)　  LiLiCo  　・　  余貴美子  　・　  市川実和子　  小島聖　ともさかりえ　  夏木マリ　    〈ナレーション〉  LiLiCo【編成企画】  太田大　    【プロデュース】  浅野澄美　    【脚本】  及川博則　    【演出】  西浦正記　  宮脇亮　  楢木野礼　    【制作】  フジテレビ　    【制作著作】  FCC</t>
  </si>
  <si>
    <t>「TATSUKO　YANO　JAPAN」でたったひとり受注生産を始めた吉成ちなみ(沢尻エリカ)だったが、「TATSUKO　YANO　ORIGINAL」からの妨害工作により、業者から生地が届かず作業が止まってしまう。手を下したのは・・・。  　洋服を作ることもできず、顧客の信頼も失い、激しく落ち込むちなみに間宮充(青柳翔)は、冴木大五郎(中村倫也)から届いた一通の手紙を差し出した。その手紙に書かれていた場所を訪ねたちなみ。そこには、子供たちと遊びながら写真を撮っている西原樹(中丸雄一)の姿が!!  　一方「TATSUKO　YANO」オフィスでは、リエコ(LiLiCo)の要望だけを押し付けてくるファスベンダー&amp;マッカートニー・ジャパンの方針に多武峰凪子(ともさかりえ)らのスタッフは不満をかかえ、瀧川蘭子(余貴美子)は突如ある行動にでる。個々の衝撃的な発言や行動により、もはや予測不能・・・。ちなみは?リカ(木村佳乃)は?“悪女軍団"はどうなる!?  　最終回『ファーストクラス』の結末はいかに・・・!?</t>
  </si>
  <si>
    <t>1410_CX_木22</t>
  </si>
  <si>
    <t>ディア・シスター</t>
  </si>
  <si>
    <t>番組名&lt;木曜劇場&gt;ディア・シスター【石原さとみ・松下奈緒W主演&amp;初共演!】　#01</t>
  </si>
  <si>
    <t>★「ディア・シスター」公式番組ホームページ-　http://www.fujitv.co.jp/dearsister/　  出演者の皆様からの動画メッセージや、番組関連情報を随時アップ中!  ★「ディア・シスター」公式Twitterも大好評展開中!　#ディアシスター　高校卒業から音信不通状態だった深沢家の2人姉妹の妹・美咲(石原さとみ)が、姉・葉月(松下奈緒)の前に突然姿を現したー。  　区役所で働く葉月は隣の課で働く恋人・吉村達也(平岡祐太)と、萩原陽平(平山浩行)と姉の上杉香織(堀内敬子)が営む行きつけのオーガニックカフェ『APPLESEED』でランチをする。30歳の誕生日を翌日に控えた葉月は、それとなく結婚の話題を持ち出すが、達也は乗ってこない。するとそこに、葉月の母・七重(片平なぎさ)から電話が入る。だが、日頃から折り合いの悪い母に意見した葉月は電話を切られてしまう。  　その夜、葉月が帰宅すると部屋に妹の美咲がいた。人生の大事なイベントを美咲のせいで何度も台無しにされてきた葉月は、身勝手な美咲に怒りをぶつけるが、美咲は葉月の好きな焼酎で機嫌をとる。そして葉月が酔いつぶれた後、葉月の持ち物や部屋をチェックするのだった。翌朝、葉月は親友の佐藤和子(森カンナ)と日課のジョギングをする。美咲を知る和子は1日でも早く追い出すべきと忠告する。  　昼過ぎに目覚めた美咲は、高校時代の担任・櫻庭宗一郎(田辺誠一)からの着信に気づく。だが美咲は宗一郎の弟で親友の永人(岩田剛典)に電話をかける。永人から依頼していた調査の報告を聞いた美咲はある計画を進める…。  　一方、誕生日に達也と会う約束ができなかった葉月は和子と飲みに行く。だが、店に入った葉月の前には…。石原さとみ　松下奈緒　    岩田剛典(EXILE/三代目　J　Soul　Brothers)　  平山浩行　  森カンナ  　　・　　  田辺誠一  　　・　　  堀内敬子  　　★　　  片平なぎさ　    他【脚本】  中谷まゆみ　    【プロデュース】  中野利幸　    【演出】  田中亮　  平野眞　  関野宗紀　    【主題歌】  「Happiness」シェネル(ユニバーサル　ミュージック)　    【制作】  フジテレビドラマ制作センター</t>
  </si>
  <si>
    <t xml:space="preserve">  出演者の皆様からの動画メッセージや、番組関連情報を随時アップ中!  ★「ディア・シスター」公式Twitterも大好評展開中!　#ディアシスター　高校卒業から音信不通状態だった深沢家の2人姉妹の妹・美咲(石原さとみ)が、姉・葉月(松下奈緒)の前に突然姿を現したー。  　区役所で働く葉月は隣の課で働く恋人・吉村達也(平岡祐太)と、萩原陽平(平山浩行)と姉の上杉香織(堀内敬子)が営む行きつけのオーガニックカフェ『APPLESEED』でランチをする。30歳の誕生日を翌日に控えた葉月は、それとなく結婚の話題を持ち出すが、達也は乗ってこない。するとそこに、葉月の母・七重(片平なぎさ)から電話が入る。だが、日頃から折り合いの悪い母に意見した葉月は電話を切られてしまう。  　その夜、葉月が帰宅すると部屋に妹の美咲がいた。人生の大事なイベントを美咲のせいで何度も台無しにされてきた葉月は、身勝手な美咲に怒りをぶつけるが、美咲は葉月の好きな焼酎で機嫌をとる。そして葉月が酔いつぶれた後、葉月の持ち物や部屋をチェックするのだった。翌朝、葉月は親友の佐藤和子(森カンナ)と日課のジョギングをする。美咲を知る和子は1日でも早く追い出すべきと忠告する。  　昼過ぎに目覚めた美咲は、高校時代の担任・櫻庭宗一郎(田辺誠一)からの着信に気づく。だが美咲は宗一郎の弟で親友の永人(岩田剛典)に電話をかける。永人から依頼していた調査の報告を聞いた美咲はある計画を進める…。  　一方、誕生日に達也と会う約束ができなかった葉月は和子と飲みに行く。だが、店に入った葉月の前には…。</t>
  </si>
  <si>
    <t>番組名&lt;木曜劇場&gt;ディア・シスター【石原さとみ・松下奈緒姉妹が恋した男登場】　#02</t>
  </si>
  <si>
    <t>番組ホームページでは、あらすじ・インタビュー・Vine動画・YouTubeなど配信中!詳しくは「ディア・シスター」で検索!　  http://www.fujitv.co.jp/dearsister/　美咲(石原さとみ)が姉・葉月(松下奈緒)のマンションに転がり込んでから一週間。ふたりは、朝のトイレを取り合ったり、小競り合いを繰り返す。生活のペースを完全に美咲に握られてしまった葉月は、イライラが募り、朝から親友の和子(森カンナ)に愚痴る。同じ頃、美咲のもとには、再び宗一郎(田辺誠一)から電話が入るが、美咲はかたくなに出ようとしない。  　弟・永人(岩田剛典)のトレーラーハウスに泊まっていた宗一郎は、不動産業者を訪れて新居を決める。静岡で塾の講師をしていたのだが、急な人事で都内の教室に移ることになったのだ。やがて転居の手続きのために区役所を訪れた宗一郎は、そこで高校教師時代の教え子だった葉月と再会する。葉月は高校時代、宗一郎に憧れていた。  　一方、キャバクラで働き始めた美咲は、その愛されキャラぶりをいかんなく発揮。客からの注目はもちろん、他のキャバクラ嬢からも嫉妬と羨望(せんぼう)の眼差しを向けられる。  　その夜、美咲が仕事を終えて帰宅すると、葉月の部屋には宗一郎の姿が…。高校時代、宗一郎と問題を起こしたことのある美咲はいたたまれなくなって席を立ち、永人に助けを求めるが…。石原さとみ　松下奈緒　    岩田剛典(EXILE/三代目　J　Soul　Brothers)　  平山浩行　  森カンナ  　　・　　  田辺誠一  　　・　　  堀内敬子  　　★　　  片平なぎさ　    他【脚本】  中谷まゆみ　    【プロデュース】  中野利幸　    【演出】  田中亮　  平野眞　  関野宗紀　    【主題歌】  「Happiness」シェネル(ユニバーサル　ミュージック)　    【制作】  フジテレビドラマ制作センター</t>
  </si>
  <si>
    <t>美咲(石原さとみ)が姉・葉月(松下奈緒)のマンションに転がり込んでから一週間。ふたりは、朝のトイレを取り合ったり、小競り合いを繰り返す。生活のペースを完全に美咲に握られてしまった葉月は、イライラが募り、朝から親友の和子(森カンナ)に愚痴る。同じ頃、美咲のもとには、再び宗一郎(田辺誠一)から電話が入るが、美咲はかたくなに出ようとしない。  　弟・永人(岩田剛典)のトレーラーハウスに泊まっていた宗一郎は、不動産業者を訪れて新居を決める。静岡で塾の講師をしていたのだが、急な人事で都内の教室に移ることになったのだ。やがて転居の手続きのために区役所を訪れた宗一郎は、そこで高校教師時代の教え子だった葉月と再会する。葉月は高校時代、宗一郎に憧れていた。  　一方、キャバクラで働き始めた美咲は、その愛されキャラぶりをいかんなく発揮。客からの注目はもちろん、他のキャバクラ嬢からも嫉妬と羨望(せんぼう)の眼差しを向けられる。  　その夜、美咲が仕事を終えて帰宅すると、葉月の部屋には宗一郎の姿が…。高校時代、宗一郎と問題を起こしたことのある美咲はいたたまれなくなって席を立ち、永人に助けを求めるが…。</t>
  </si>
  <si>
    <t>番組名&lt;木曜劇場&gt;ディア・シスター【初めての朝帰り!?】　#03</t>
  </si>
  <si>
    <t>★「ディア・シスター」公式番組ホームページ-　http://www.fujitv.co.jp/dearsister/　  出演者の皆様からの動画メッセージや、番組関連情報を随時アップ中!  ★「ディア・シスター」公式Twitterも大好評展開中!　#ディアシスター　日光アレルギーで赤い湿疹が出てしまった美咲(石原さとみ)は、姉の葉月(松下奈緒)に余計な心配をかけたくない、と永人(岩田剛典)が住むトレーラーハウスに泊まる。美咲の寝顔を見つめていた永人は彼女に顔を近づけ・・・。  　一方、区役所に出勤した葉月は、結婚が破談になったため辞職願を取り下げてもらおうと考えていた。ところが、そこで思わぬ事件が起きる。課内のファックスに「深沢葉月は妹に婚約者を寝取られた」「深沢葉月の婚約者には本命の恋人がいた」などと、葉月を中傷する怪文書が次々と送り付けられてきたのだ。困惑した葉月は、宗一郎(田辺誠一)に相談しようとしたが予定があって会えないという。  　その夜、葉月は『APPLESEED』で親友の和子(森カンナ)と会う。和子は、犯人は元婚約者の達也(平岡祐太)らに違いないと憤る。偶然その紙を見てしまった陽平(平山浩行)も葉月が心配でたまらない。  　葉月が帰宅すると母・七重(片平なぎさ)が美咲と酒盛りをしていた。七重の婚約者・渋川(渡辺裕之)が、日曜日に葉月、美咲と一緒に食事をしたいと言っているからスケジュールを空けておいてほしい、と伝える七重。しかし葉月は、今はそんな気分ではないと返し七重と口論になってしまう。  　七重が帰った後、美咲は例の怪文書のことを知る。すると美咲は、いい機会だからドレスデザイナーになる夢にチャレンジしてみるべきだと言い出し・・・。石原さとみ　松下奈緒　    岩田剛典(EXILE/三代目　J　Soul　Brothers)　  平山浩行　  森カンナ  　　●　　  田辺誠一  　　●　　  堀内敬子  　　★　　  片平なぎさ　    他【脚本】  中谷まゆみ　    【主題歌】  「Happiness」シェネル(ユニバーサル　ミュージック)　    【プロデュース】  中野利幸　    【演出】  田中亮　  平野眞　  関野宗紀　    【制作】  フジテレビドラマ制作センター</t>
  </si>
  <si>
    <t xml:space="preserve">  出演者の皆様からの動画メッセージや、番組関連情報を随時アップ中!  ★「ディア・シスター」公式Twitterも大好評展開中!　#ディアシスター　日光アレルギーで赤い湿疹が出てしまった美咲(石原さとみ)は、姉の葉月(松下奈緒)に余計な心配をかけたくない、と永人(岩田剛典)が住むトレーラーハウスに泊まる。美咲の寝顔を見つめていた永人は彼女に顔を近づけ・・・。  　一方、区役所に出勤した葉月は、結婚が破談になったため辞職願を取り下げてもらおうと考えていた。ところが、そこで思わぬ事件が起きる。課内のファックスに「深沢葉月は妹に婚約者を寝取られた」「深沢葉月の婚約者には本命の恋人がいた」などと、葉月を中傷する怪文書が次々と送り付けられてきたのだ。困惑した葉月は、宗一郎(田辺誠一)に相談しようとしたが予定があって会えないという。  　その夜、葉月は『APPLESEED』で親友の和子(森カンナ)と会う。和子は、犯人は元婚約者の達也(平岡祐太)らに違いないと憤る。偶然その紙を見てしまった陽平(平山浩行)も葉月が心配でたまらない。  　葉月が帰宅すると母・七重(片平なぎさ)が美咲と酒盛りをしていた。七重の婚約者・渋川(渡辺裕之)が、日曜日に葉月、美咲と一緒に食事をしたいと言っているからスケジュールを空けておいてほしい、と伝える七重。しかし葉月は、今はそんな気分ではないと返し七重と口論になってしまう。  　七重が帰った後、美咲は例の怪文書のことを知る。すると美咲は、いい機会だからドレスデザイナーになる夢にチャレンジしてみるべきだと言い出し・・・。</t>
  </si>
  <si>
    <t>番組名&lt;木曜劇場&gt;ディア・シスター【お前は俺が守る!!】　#04</t>
  </si>
  <si>
    <t>★「ディア・シスター」公式番組ホームページ-　http://www.fujitv.co.jp/dearsister/　  出演者の皆様からの動画メッセージや、番組関連情報を随時アップ中!  ★「ディア・シスター」公式Twitterも大好評展開中!　#ディアシスター　キャバクラの仕事を終えた美咲(石原さとみ)は、帰り道、ふいに誰かの視線を感じる。が、振り返っても誰もいない・・・。  　一方、宗一郎(田辺誠一)と食事をした葉月(松下奈緒)は、朝からご機嫌でジョギングに出かける。宗一郎に会い、改めて彼への思いを強くする葉月。葉月が家に戻ると、七重(片平なぎさ)が待ち構えていた。葉月が区役所を辞めたことに怒った七重は、葉月を公務員にするまでどれほど苦労してきたかをまくしたて、辞表を取り下げてもらえと言い出す。しかし葉月は、なりたくて公務員になったわけではないのだからこの機会にやりたいことを見つける、と返す…。  　その夜、美咲は上客の清水(前川泰之)と同伴出勤する。美咲は、清水からもらったばかりの高価なペンダントをそのまま質店にもっていき、彼の目の前で金に換える。2400万円ためるのが目標ーー美咲は、清水にそう告げた。  　そんな中、美咲は、葉月に節約をするよう指示する。葉月の生活を見て以前から気になっていたらしい。風呂やトイレの使い方から待機電力のことまで細かく口出しする美咲。続けて美咲は、銀行もネットバンキングにした方が得だと言うと、期日が迫っているマンションの更新手続きもやっておくと葉月に告げる。  　別の日、葉月は、手引書に従ってネットバンクの登録をする。が、そこで葉月は、口座から100万円が引き出されていることに気づき…。石原さとみ　松下奈緒　    岩田剛典(EXILE/三代目　J　Soul　Brothers)　  平山浩行　  森カンナ  　　・　　  田辺誠一  　　・　　  堀内敬子  　　★　　  片平なぎさ　    他【脚本】  中谷まゆみ　    【プロデュース】  中野利幸　    【演出】  田中亮　  平野眞　  関野宗紀　    【主題歌】  「Happiness」シェネル(ユニバーサル　ミュージック)　    【制作】  フジテレビドラマ制作センター</t>
  </si>
  <si>
    <t xml:space="preserve">  出演者の皆様からの動画メッセージや、番組関連情報を随時アップ中!  ★「ディア・シスター」公式Twitterも大好評展開中!　#ディアシスター　キャバクラの仕事を終えた美咲(石原さとみ)は、帰り道、ふいに誰かの視線を感じる。が、振り返っても誰もいない・・・。  　一方、宗一郎(田辺誠一)と食事をした葉月(松下奈緒)は、朝からご機嫌でジョギングに出かける。宗一郎に会い、改めて彼への思いを強くする葉月。葉月が家に戻ると、七重(片平なぎさ)が待ち構えていた。葉月が区役所を辞めたことに怒った七重は、葉月を公務員にするまでどれほど苦労してきたかをまくしたて、辞表を取り下げてもらえと言い出す。しかし葉月は、なりたくて公務員になったわけではないのだからこの機会にやりたいことを見つける、と返す…。  　その夜、美咲は上客の清水(前川泰之)と同伴出勤する。美咲は、清水からもらったばかりの高価なペンダントをそのまま質店にもっていき、彼の目の前で金に換える。2400万円ためるのが目標ーー美咲は、清水にそう告げた。  　そんな中、美咲は、葉月に節約をするよう指示する。葉月の生活を見て以前から気になっていたらしい。風呂やトイレの使い方から待機電力のことまで細かく口出しする美咲。続けて美咲は、銀行もネットバンキングにした方が得だと言うと、期日が迫っているマンションの更新手続きもやっておくと葉月に告げる。  　別の日、葉月は、手引書に従ってネットバンクの登録をする。が、そこで葉月は、口座から100万円が引き出されていることに気づき…。</t>
  </si>
  <si>
    <t>番組名&lt;木曜劇場&gt;ディア・シスター【暴かれたヒミツ!?】　#05</t>
  </si>
  <si>
    <t>美咲(石原さとみ)が紛失し慌てていたのは、母子手帳だった。同じ頃、葉月(松下奈緒)の部屋でその母子手帳を偶然見つけた宗一郎(田辺誠一)は顔色を変え、葉月を置いて帰ってしまう。  　慌てた美咲が永人(岩田剛典)のトレーラーハウスを飛び出すと、宗一郎が現れ、誰の子どもなのか、と問い詰める。美咲は、とっさに永人の子どもだと返すが、そこに、何も知らない永人が帰ってきてしまう。美咲はその場をしのぐために永人に…。  　一方、宗一郎が突然帰ってしまったことにショックを受けた葉月は、彼に好きな相手がいることを察する。自分も陽平(平山浩行)に対して同じことをしてしまった、と反省した葉月は、APPLESEEDの農場を訪れて陽平に謝ると、もう宗一郎のことは諦めると告げるが…。  　そして週末、永人のスケートボードの大会がやってきた。久しぶりの出場、そして優勝候補と言われ、気合十分でウォーミングアップする永人。そこに宗一郎が激励の差し入れを持ってくる。てっきり美咲と永人が付き合っていると思い「二人を邪魔する気はない」と言う宗一郎に、永人は「自分と美咲は付き合っていない」と断りを入れる。その言葉に混乱した宗一郎は思わず永人に衝撃の事実を告げてしまう…。石原さとみ　松下奈緒　    岩田剛典(EXILE/三代目　J　Soul　Brothers)　  平山浩行　  森カンナ  　　●　　  田辺誠一  　　●　　  堀内敬子  　　★　　  片平なぎさ　    他★「ディア・シスター」公式番組ホームページ-　http://www.fujitv.co.jp/dearsister/　  出演者の皆様からの動画メッセージや、番組関連情報を随時アップ中!  ★「ディア・シスター」公式Twitterも大好評展開中!　#ディアシスター【脚本】  中谷まゆみ　    【主題歌】  「Happiness」シェネル(ユニバーサル　ミュージック)　    【プロデュース】  中野利幸　    【演出】  田中亮　  平野眞　  関野宗紀　    【制作】  フジテレビドラマ制作センター</t>
  </si>
  <si>
    <t>美咲(石原さとみ)が紛失し慌てていたのは、母子手帳だった。同じ頃、葉月(松下奈緒)の部屋でその母子手帳を偶然見つけた宗一郎(田辺誠一)は顔色を変え、葉月を置いて帰ってしまう。  　慌てた美咲が永人(岩田剛典)のトレーラーハウスを飛び出すと、宗一郎が現れ、誰の子どもなのか、と問い詰める。美咲は、とっさに永人の子どもだと返すが、そこに、何も知らない永人が帰ってきてしまう。美咲はその場をしのぐために永人に…。  　一方、宗一郎が突然帰ってしまったことにショックを受けた葉月は、彼に好きな相手がいることを察する。自分も陽平(平山浩行)に対して同じことをしてしまった、と反省した葉月は、APPLESEEDの農場を訪れて陽平に謝ると、もう宗一郎のことは諦めると告げるが…。  　そして週末、永人のスケートボードの大会がやってきた。久しぶりの出場、そして優勝候補と言われ、気合十分でウォーミングアップする永人。そこに宗一郎が激励の差し入れを持ってくる。てっきり美咲と永人が付き合っていると思い「二人を邪魔する気はない」と言う宗一郎に、永人は「自分と美咲は付き合っていない」と断りを入れる。その言葉に混乱した宗一郎は思わず永人に衝撃の事実を告げてしまう…。</t>
  </si>
  <si>
    <t>番組名&lt;木曜劇場&gt;ディア・シスター【心も体もハダカに】　#06</t>
  </si>
  <si>
    <t>美咲(石原さとみ)は、現在妊娠15週目で、子どもの父親は宗一郎(田辺誠一)だと永人(岩田剛典)に告白した。さらに美咲は、もうひとつ話しておきたいことがある、と続け、自身に関するある秘密を打ち明ける…。  　一方、葉月(松下奈緒)は、陽平(平山浩行)からアプローチを受けていた。一緒に畑仕事をしたことや、料理を教えてもらったことを親友の和子(森カンナ)に報告する。  　別の日、美咲は、永人を誘って両親学級に参加する。楽しそうに沐浴(もくよく)指導や沐浴(もくよく)後のお手入れ指導を受けるふたり。帰り道、永人は、転んだら大変だから、と言って美咲に手を差し出した。美咲は、その手を握り、彼と手をつないで歩きだす。  　大ゲンカをして以来、美咲と葉月はまだどこかぎくしゃくしたままの状態が続いていたが、そんな折、美咲の提案で葉月・七重(片平なぎさ)と毎年家族旅行していた熱海に行くことになった。さらにこれも美咲の提案で永人のみならず、陽平も誘おうという話になり慌てる葉月だったが、逆に七重に陽平が新しい彼氏だと誤解される始末。  　そして旅行当日。美咲と葉月が玄関を開けると、そこには永人と…陽平。したり顔の美咲を思いっきりつねる葉月。結局5人で熱海に向い、早速浴衣に着替え、露天風呂に行こうと舞い上がる一同だったが…。石原さとみ　松下奈緒　    岩田剛典(EXILE/三代目　J　Soul　Brothers)　  平山浩行　  森カンナ  　　●　　  田辺誠一  　　●　　  堀内敬子  　　★　　  片平なぎさ　    他★「ディア・シスター」公式番組ホームページ-　http://www.fujitv.co.jp/dearsister/　  出演者の皆様からの動画メッセージや、番組関連情報を随時アップ中!  ★「ディア・シスター」公式Twitterも大好評展開中!　#ディアシスター【脚本】  中谷まゆみ　    【プロデュース】  中野利幸　    【演出】  田中亮　  平野眞　  関野宗紀　    【主題歌】  「Happiness」シェネル(ユニバーサル　ミュージック)　    【制作】  フジテレビドラマ制作センター</t>
  </si>
  <si>
    <t>美咲(石原さとみ)は、現在妊娠15週目で、子どもの父親は宗一郎(田辺誠一)だと永人(岩田剛典)に告白した。さらに美咲は、もうひとつ話しておきたいことがある、と続け、自身に関するある秘密を打ち明ける…。  　一方、葉月(松下奈緒)は、陽平(平山浩行)からアプローチを受けていた。一緒に畑仕事をしたことや、料理を教えてもらったことを親友の和子(森カンナ)に報告する。  　別の日、美咲は、永人を誘って両親学級に参加する。楽しそうに沐浴(もくよく)指導や沐浴(もくよく)後のお手入れ指導を受けるふたり。帰り道、永人は、転んだら大変だから、と言って美咲に手を差し出した。美咲は、その手を握り、彼と手をつないで歩きだす。  　大ゲンカをして以来、美咲と葉月はまだどこかぎくしゃくしたままの状態が続いていたが、そんな折、美咲の提案で葉月・七重(片平なぎさ)と毎年家族旅行していた熱海に行くことになった。さらにこれも美咲の提案で永人のみならず、陽平も誘おうという話になり慌てる葉月だったが、逆に七重に陽平が新しい彼氏だと誤解される始末。  　そして旅行当日。美咲と葉月が玄関を開けると、そこには永人と…陽平。したり顔の美咲を思いっきりつねる葉月。結局5人で熱海に向い、早速浴衣に着替え、露天風呂に行こうと舞い上がる一同だったが…。</t>
  </si>
  <si>
    <t>番組名&lt;木曜劇場&gt;ディア・シスター【命がけの愛情】　#07</t>
  </si>
  <si>
    <t>美咲(石原さとみ)の前に現れた宗一郎(田辺誠一)が、おなかの子どものDNA鑑定を要求してきた。宗一郎は「もし自分の子なら一緒に育てたい」と美咲に告げる。  　一方、葉月(松下奈緒)は陽平(平山浩行)からプロポーズされて…。  　そして、宗一郎に迫られた美咲は、永人(岩田剛典)に相談する。頼ってばっかりで恐縮する美咲に、永人は「俺は美咲にとって唯一無二の存在になると決意したから」と力強く宣言、弁護士の友人に連絡を取りつける。  　後日、美咲と永人は、永人の友人の弁護士を訪ね、親権についての助言を受ける。美咲の「母親が死んだ場合はどうなるのか」という質問に、不安を抱く永人。  　その夜、美咲が帰宅すると、そこにはなんと宗一郎の姿が…。そして葉月は、宗一郎から美咲の妊娠を聞かされていた…。石原さとみ　松下奈緒　    岩田剛典(EXILE/三代目　J　Soul　Brothers)　  平山浩行　  森カンナ  　　●　　  田辺誠一  　　●　　  堀内敬子  　　★　　  片平なぎさ　    他★「ディア・シスター」公式番組ホームページ-　http://www.fujitv.co.jp/dearsister/　  出演者の皆様からの動画メッセージや、番組関連情報を随時アップ中!  ★「ディア・シスター」公式Twitterも大好評展開中!　#ディアシスター【脚本】  中谷まゆみ　    【主題歌】  「Happiness」シェネル(ユニバーサル　ミュージック)　    【プロデュース】  中野利幸　    【演出】  田中亮　  平野眞　  関野宗紀　    【制作】  フジテレビドラマ制作センター</t>
  </si>
  <si>
    <t>美咲(石原さとみ)の前に現れた宗一郎(田辺誠一)が、おなかの子どものDNA鑑定を要求してきた。宗一郎は「もし自分の子なら一緒に育てたい」と美咲に告げる。  　一方、葉月(松下奈緒)は陽平(平山浩行)からプロポーズされて…。  　そして、宗一郎に迫られた美咲は、永人(岩田剛典)に相談する。頼ってばっかりで恐縮する美咲に、永人は「俺は美咲にとって唯一無二の存在になると決意したから」と力強く宣言、弁護士の友人に連絡を取りつける。  　後日、美咲と永人は、永人の友人の弁護士を訪ね、親権についての助言を受ける。美咲の「母親が死んだ場合はどうなるのか」という質問に、不安を抱く永人。  　その夜、美咲が帰宅すると、そこにはなんと宗一郎の姿が…。そして葉月は、宗一郎から美咲の妊娠を聞かされていた…。</t>
  </si>
  <si>
    <t>番組名&lt;木曜劇場&gt;ディア・シスター【秘密のラブレター】　#08</t>
  </si>
  <si>
    <t>美咲(石原さとみ)は、永人(岩田剛典)のトレーラーハウス内で高熱を出して倒れてしまう。スケートボードの練習を終えて帰宅した永人は、倒れている美咲の姿に気付き驚いて…。  　一方、美咲の姉・葉月(松下奈緒)は、ドレスデザイナーになる夢を実現させるため、大手メーカーの面接を次々と受ける。結果は全て不採用。しかし、めげずに就職活動を続けた葉月は、やがて小さなドレス工房に仮採用される。そんな葉月のもとに、陽平(平山浩行)の姉・香織(堀内敬子)が訪ねてきて…。  　ある日、葉月が家に戻ると、テーブルの上に美咲からの置手紙が残されていることに気付く。そして、いつまでたっても音沙汰のない美咲が心配になり、葉月は美咲を探しに行くことにする…。石原さとみ　松下奈緒　    岩田剛典(EXILE/三代目　J　Soul　Brothers)　  平山浩行　  森カンナ  　　●　　  田辺誠一  　　●　　  堀内敬子  　　★　　  片平なぎさ　    他★「ディア・シスター」公式番組ホームページ-　http://www.fujitv.co.jp/dearsister/　  出演者の皆様からの動画メッセージや、番組関連情報を随時アップ中!  ★「ディア・シスター」公式Twitterも大好評展開中!　#ディアシスター【脚本】  中谷まゆみ　    【主題歌】  「Happiness」シェネル(ユニバーサル　ミュージック)　    【プロデュース】  中野利幸　    【演出】  田中亮　  平野眞　  関野宗紀　    【制作】  フジテレビドラマ制作センター</t>
  </si>
  <si>
    <t>美咲(石原さとみ)は、永人(岩田剛典)のトレーラーハウス内で高熱を出して倒れてしまう。スケートボードの練習を終えて帰宅した永人は、倒れている美咲の姿に気付き驚いて…。  　一方、美咲の姉・葉月(松下奈緒)は、ドレスデザイナーになる夢を実現させるため、大手メーカーの面接を次々と受ける。結果は全て不採用。しかし、めげずに就職活動を続けた葉月は、やがて小さなドレス工房に仮採用される。そんな葉月のもとに、陽平(平山浩行)の姉・香織(堀内敬子)が訪ねてきて…。  　ある日、葉月が家に戻ると、テーブルの上に美咲からの置手紙が残されていることに気付く。そして、いつまでたっても音沙汰のない美咲が心配になり、葉月は美咲を探しに行くことにする…。</t>
  </si>
  <si>
    <t>番組名&lt;木曜劇場&gt;ディア・シスター【最後の約束】　#09</t>
  </si>
  <si>
    <t>美咲(石原さとみ)は産婦人科へ健診に行く。次は性別がわかるかも、と聞いていたことを思い出した永人(岩田剛典)は、「一緒に行く」と言って大慌てで支度する。子どもの名前を考え始める気が早い永人に、「自分の子どもみたい」と言って笑う美咲。すると永人は、「俺はそのくらい大事に思ってる」と返し「今度の大会で優勝したら…」と言いかけるが…。  　宗一郎(田辺誠一)は、別れた妻の貴子(音月桂)と会っていた。美咲が妊娠したことを知った貴子は、「自分の人生はあの子のせいで全てが狂った」と憤る。  　一方、葉月(松下奈緒)は、クビになったドレス工房「RYO」の展示会に招待される。ひとりで行く勇気がない葉月は、陽平(平山浩行)を誘う。会場には「RYO」オーナー兼デザイナーの柴田亮(鈴木一真)もいて、そこで葉月は、意外なものを目にする。  　そんな中、永人が出場するスケートボードの大会が開かれる。応援に駆け付けた美咲だったが、その背後には怪しい人影があり…。石原さとみ　松下奈緒　    岩田剛典(EXILE/三代目　J　Soul　Brothers)　  平山浩行　  森カンナ  　　●　　  田辺誠一  　　●　　  堀内敬子  　　★　　  片平なぎさ　    他★「ディア・シスター」公式番組ホームページ-　http://www.fujitv.co.jp/dearsister/　  出演者の皆様からの動画メッセージや、番組関連情報を随時アップ中!  ★「ディア・シスター」公式Twitterも大好評展開中!　#ディアシスター【脚本】  中谷まゆみ　    【主題歌】  「Happiness」シェネル(ユニバーサル　ミュージック)　    【プロデュース】  中野利幸　    【演出】  田中亮　  平野眞　  関野宗紀　    【制作】  フジテレビドラマ制作センター</t>
  </si>
  <si>
    <t>美咲(石原さとみ)は産婦人科へ健診に行く。次は性別がわかるかも、と聞いていたことを思い出した永人(岩田剛典)は、「一緒に行く」と言って大慌てで支度する。子どもの名前を考え始める気が早い永人に、「自分の子どもみたい」と言って笑う美咲。すると永人は、「俺はそのくらい大事に思ってる」と返し「今度の大会で優勝したら…」と言いかけるが…。  　宗一郎(田辺誠一)は、別れた妻の貴子(音月桂)と会っていた。美咲が妊娠したことを知った貴子は、「自分の人生はあの子のせいで全てが狂った」と憤る。  　一方、葉月(松下奈緒)は、クビになったドレス工房「RYO」の展示会に招待される。ひとりで行く勇気がない葉月は、陽平(平山浩行)を誘う。会場には「RYO」オーナー兼デザイナーの柴田亮(鈴木一真)もいて、そこで葉月は、意外なものを目にする。  　そんな中、永人が出場するスケートボードの大会が開かれる。応援に駆け付けた美咲だったが、その背後には怪しい人影があり…。</t>
  </si>
  <si>
    <t>番組名&lt;木曜劇場&gt;ディア・シスター【星に願いを】　#10</t>
  </si>
  <si>
    <t>美咲(石原さとみ)は、永人(岩田剛典)からプロポーズされた。荷物を取りに来た際に偶然話を聞いてしまった葉月(松下奈緒)は、永人に返事はしたのか、と美咲に尋ねる。しかし美咲は、いろいろなことが起こりすぎて永人のことをどう思っているのか、自分自身でもわからない、と答え…。  　そんな折、永人は美咲にプロポーズのことを再度切り出そうとするが、永人と宗一郎(田辺誠一)の父・永一郎(清水紘治)の突然の訪問を受けてしまう。事情を知った永一郎は、「息子の人生を考えたら、親としてこんな結婚は認めるわけにはいかない」と怒り、美咲を追い返してしまい…。  　そして、出産予定日まで1カ月を切った4月のある夜、無事に産んでほしいという葉月と七重(片平なぎさ)の願いもむなしく、美咲の容体が急変してしまう。ストレッチャーに乗せられ手術室に運ばれる道中で、美咲は、葉月に対し「もしものときはお願いね…」と後を託し…。石原さとみ　松下奈緒　    岩田剛典(EXILE/三代目　J　Soul　Brothers)　  平山浩行　  森カンナ  　　●　　  田辺誠一  　　●　　  堀内敬子  　　★　　  片平なぎさ　    他★「ディア・シスター」公式番組ホームページ-　http://www.fujitv.co.jp/dearsister/　  出演者の皆様からの動画メッセージや、番組関連情報を随時アップ中!  ★「ディア・シスター」公式Twitterも大好評展開中!　#ディアシスター【脚本】  中谷まゆみ　    【主題歌】  「Happiness」シェネル(ユニバーサル　ミュージック)　    【プロデュース】  中野利幸　    【演出】  田中亮　  平野眞　  関野宗紀　    【制作】  フジテレビドラマ制作センター</t>
  </si>
  <si>
    <t>美咲(石原さとみ)は、永人(岩田剛典)からプロポーズされた。荷物を取りに来た際に偶然話を聞いてしまった葉月(松下奈緒)は、永人に返事はしたのか、と美咲に尋ねる。しかし美咲は、いろいろなことが起こりすぎて永人のことをどう思っているのか、自分自身でもわからない、と答え…。  　そんな折、永人は美咲にプロポーズのことを再度切り出そうとするが、永人と宗一郎(田辺誠一)の父・永一郎(清水紘治)の突然の訪問を受けてしまう。事情を知った永一郎は、「息子の人生を考えたら、親としてこんな結婚は認めるわけにはいかない」と怒り、美咲を追い返してしまい…。  　そして、出産予定日まで1カ月を切った4月のある夜、無事に産んでほしいという葉月と七重(片平なぎさ)の願いもむなしく、美咲の容体が急変してしまう。ストレッチャーに乗せられ手術室に運ばれる道中で、美咲は、葉月に対し「もしものときはお願いね…」と後を託し…。</t>
  </si>
  <si>
    <t>1407_CX_月21</t>
  </si>
  <si>
    <t>HERO</t>
  </si>
  <si>
    <t>番組名フジテレビ開局55周年記念ドラマ　HERO【時効寸前の宝石強盗事件】　#01</t>
  </si>
  <si>
    <t>いつものように城西支部の1日が始まる。ひとつだけいつもと違うのは久利生公平(木村拓哉)が新たに着任するということ。久利生には麻木千佳(北川景子)が担当事務官として付くことが発表される。いきなりジーパン姿で登場した久利生を一目見た瞬間、千佳はめまいを覚える。  　久利生は居酒屋で起きた傷害事件を担当することとなり、早速取り調べを始める。すると驚きの事実が発覚する。傷害事件の被疑者大西祐二(森山直太朗)と、15年前に起きた宝石強盗事件の現場に残っていた指紋が一致したというのだ。しかも時効成立の3日前。被害が50カラット時価13億円相当と、強盗事件では史上最高額で、一気に世間の注目の的となる。城西支部の他の検事たちは、いきなり“おいしい"事件を担当することになった久利生をうらやましがる。だが久利生の本当の“怖さ"を忘れていた。大西は宝石を盗んだということを一切認めない。周りが時間がないといくらせかそうとも、久利生はいつものスタイルを変えず、まずは宝石強盗事件の現場に向かうのだった。  　ついには嫌疑を否認し続ける大西を前に久利生は「起訴はできない」と言い始める。時効まであと2日。次席の牛丸豊(角野卓造)、部長の川尻健三郎(松重豊)をはじめ城西支部の皆は頭を抱える。時効までに真相解明にいたるのか…!?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【第1話　出演者】  大西祐二  :　森山直太朗【脚本】  福田靖　    【企画】  鈴木吉弘　    【プロデュース】  渡辺恒也　    【演出】  鈴木雅之    【音楽】  服部隆之　    【制作】  フジテレビドラマ制作センター「HERO」公式番組ホームページ　  http://www.fujitv.co.jp/HERO/</t>
  </si>
  <si>
    <t>いつものように城西支部の1日が始まる。ひとつだけいつもと違うのは久利生公平(木村拓哉)が新たに着任するということ。久利生には麻木千佳(北川景子)が担当事務官として付くことが発表される。いきなりジーパン姿で登場した久利生を一目見た瞬間、千佳はめまいを覚える。  　久利生は居酒屋で起きた傷害事件を担当することとなり、早速取り調べを始める。すると驚きの事実が発覚する。傷害事件の被疑者大西祐二(森山直太朗)と、15年前に起きた宝石強盗事件の現場に残っていた指紋が一致したというのだ。しかも時効成立の3日前。被害が50カラット時価13億円相当と、強盗事件では史上最高額で、一気に世間の注目の的となる。城西支部の他の検事たちは、いきなり“おいしい"事件を担当することになった久利生をうらやましがる。だが久利生の本当の“怖さ"を忘れていた。大西は宝石を盗んだということを一切認めない。周りが時間がないといくらせかそうとも、久利生はいつものスタイルを変えず、まずは宝石強盗事件の現場に向かうのだった。  　ついには嫌疑を否認し続ける大西を前に久利生は「起訴はできない」と言い始める。時効まであと2日。次席の牛丸豊(角野卓造)、部長の川尻健三郎(松重豊)をはじめ城西支部の皆は頭を抱える。時効までに真相解明にいたるのか…!?</t>
  </si>
  <si>
    <t>番組名フジテレビ開局55周年記念ドラマ　HERO【久利生VS敏腕弁護士!】　#02</t>
  </si>
  <si>
    <t>この日久利生公平(木村拓哉)が担当したのは、エリートサラリーマンの勝俣大毅(岩瀬亮)の痴漢事件。久利生の取り調べに、勝俣は素直に容疑を認める。しかし事務官の麻木千佳(北川景子)は、勝俣の身勝手な動機に我慢ならない。  　久利生と千佳が勝俣の取り調べを終えると、桜井丈太郎弁護士(谷原章介)が訪ねてきた。勝俣の弁護人だ。桜井は勝俣の一時帰宅を求める。また、今回被害に遭った女性と示談交渉をしたいと相談。さらに桜井は、勝俣が警察での取り調べを録音していたと、久利生たちに聞かせた。そこには、取り調べた刑事の恫喝(どうかつ)まがいの声と、怯えた様子の勝俣の声。桜井は違法な取り調べを盾に、要求を飲ませようという構え。久利生は冷静に話を聞くが、千佳は悪いのは勝俣だと言ってしまう。すると千佳は桜井から、事務官は検事のサポート役で法律には素人なので黙っていて欲しいと一蹴された。  　結局、久利生は勝俣を釈放。腹立ちが納まらない千佳は、勝俣を取り調べた警察署に抗議の電話をするが、ここでも事務官と相手にされずイジけてしまう。そんな千佳に、久利生は自分の最終学歴を話す。茫然としてしまう千佳。久利生は、そんな千佳を促して勝俣の被害者、宮原祥子(大谷英子)のもとへ。  　祥子は、桜井から示談のコンタクトがあったが応じるつもりはないとキッパリ。ところが後日、久利生のもとに祥子との示談が成立したと桜井が現れる。久利生公平(東京地検城西支部検事)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【第2話　出演者】  桜井丈太郎  :　谷原章介    勝俣大毅  :　岩瀬亮　    宮原祥子  :　大谷英子【脚本】  福田靖　    【企画】  鈴木吉弘　    【プロデュース】  渡辺恒也　    【演出】  鈴木雅之　    【音楽】  服部隆之　    【制作】  フジテレビドラマ制作センター</t>
  </si>
  <si>
    <t>この日久利生公平(木村拓哉)が担当したのは、エリートサラリーマンの勝俣大毅(岩瀬亮)の痴漢事件。久利生の取り調べに、勝俣は素直に容疑を認める。しかし事務官の麻木千佳(北川景子)は、勝俣の身勝手な動機に我慢ならない。  　久利生と千佳が勝俣の取り調べを終えると、桜井丈太郎弁護士(谷原章介)が訪ねてきた。勝俣の弁護人だ。桜井は勝俣の一時帰宅を求める。また、今回被害に遭った女性と示談交渉をしたいと相談。さらに桜井は、勝俣が警察での取り調べを録音していたと、久利生たちに聞かせた。そこには、取り調べた刑事の恫喝(どうかつ)まがいの声と、怯えた様子の勝俣の声。桜井は違法な取り調べを盾に、要求を飲ませようという構え。久利生は冷静に話を聞くが、千佳は悪いのは勝俣だと言ってしまう。すると千佳は桜井から、事務官は検事のサポート役で法律には素人なので黙っていて欲しいと一蹴された。  　結局、久利生は勝俣を釈放。腹立ちが納まらない千佳は、勝俣を取り調べた警察署に抗議の電話をするが、ここでも事務官と相手にされずイジけてしまう。そんな千佳に、久利生は自分の最終学歴を話す。茫然としてしまう千佳。久利生は、そんな千佳を促して勝俣の被害者、宮原祥子(大谷英子)のもとへ。  　祥子は、桜井から示談のコンタクトがあったが応じるつもりはないとキッパリ。ところが後日、久利生のもとに祥子との示談が成立したと桜井が現れる。</t>
  </si>
  <si>
    <t>番組名フジテレビ開局55周年記念ドラマ　HERO【絶対に謝らない検事!】　#03</t>
  </si>
  <si>
    <t>久利生公平(木村拓哉)の担当事務官は、多忙な毎日。他の検事たちより取り調べに時間がかかるからだ。もちろん、麻木千佳(北川景子)も例外ではない。その日の夜も、久しぶりに仕事が早く終わったので、大好きな食べ歩きをしようと店に入って、注文した料理が来たところに久利生から電話。久利生が城西支部の夜当番の日だった。千佳は仕方なく料理をテイクアウトして、久利生に呼び出された城西署へ向かう。　城西署では、取調中の被疑者、佐伯亘(山崎画大)が留置場で亡くなっていた。立ち会った医師は、心筋梗塞と判断。久利生と千佳は、佐伯の死に事件性がないことを確認して城西署を後にする。  　翌日の城西支部で、佐伯を取り調べていた田村雅史(杉本哲太)が、もう少しで起訴出来たと悔しがっていると長谷川洋介という人物から電話がかかってきた。その名に驚く田村と遠藤賢司(八嶋智人)。なぜなら、洋介は佐伯に殺害された被害者なのだ。電話を受けていた千佳が確認すると、相手は洋介の父、誠一(前田吟)と判明。誠一は佐伯の裁判がいつ始まるかを知りたかった。電話を代わった遠藤が被疑者死亡で起訴されないと説明すると、誠一は絶句してしまう。  　この日から、誠一が城西支部を何度も訪ねたり、電話をかけてくるようになってしまう。担当検事に会わせて欲しいと訴える誠一。だが、当の田村は相手をしようとせず、遠藤に応対を押し付けてしまう。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【第3話　出演者】  長谷川誠一  :　前田吟　    川邊涼子  :　西原亜希　    鴨頭真理子  :　駒木宏美　川邊芳樹  :　真田幹也　    佐伯亘  :　山崎画大【脚本】  福田靖　    【企画】  鈴木吉弘　    【プロデュース】  渡辺恒也　    【演出】  平野眞　    【音楽】  服部隆之　    【制作】  フジテレビドラマ制作センター</t>
  </si>
  <si>
    <t>久利生公平(木村拓哉)の担当事務官は、多忙な毎日。他の検事たちより取り調べに時間がかかるからだ。もちろん、麻木千佳(北川景子)も例外ではない。その日の夜も、久しぶりに仕事が早く終わったので、大好きな食べ歩きをしようと店に入って、注文した料理が来たところに久利生から電話。久利生が城西支部の夜当番の日だった。千佳は仕方なく料理をテイクアウトして、久利生に呼び出された城西署へ向かう。　城西署では、取調中の被疑者、佐伯亘(山崎画大)が留置場で亡くなっていた。立ち会った医師は、心筋梗塞と判断。久利生と千佳は、佐伯の死に事件性がないことを確認して城西署を後にする。  　翌日の城西支部で、佐伯を取り調べていた田村雅史(杉本哲太)が、もう少しで起訴出来たと悔しがっていると長谷川洋介という人物から電話がかかってきた。その名に驚く田村と遠藤賢司(八嶋智人)。なぜなら、洋介は佐伯に殺害された被害者なのだ。電話を受けていた千佳が確認すると、相手は洋介の父、誠一(前田吟)と判明。誠一は佐伯の裁判がいつ始まるかを知りたかった。電話を代わった遠藤が被疑者死亡で起訴されないと説明すると、誠一は絶句してしまう。  　この日から、誠一が城西支部を何度も訪ねたり、電話をかけてくるようになってしまう。担当検事に会わせて欲しいと訴える誠一。だが、当の田村は相手をしようとせず、遠藤に応対を押し付けてしまう。</t>
  </si>
  <si>
    <t>番組名フジテレビ開局55周年記念ドラマ　HERO【美鈴検事・大塚寧々が登場】　#04</t>
  </si>
  <si>
    <t>城西支部に京都地検から女性検事が出張してくる。その検事は、久利生公平(木村拓哉)や遠藤賢司(八嶋智人)、末次隆之(小日向文世)には懐かしい仲間、中村美鈴(大塚寧々)だった。美鈴には事務官の小金沢克雄(温水洋一)が同行している。宇野大介(濱田岳)が取り調べている健康器具詐欺の被疑者、土井垣次郎(西村和彦)が、関西でも同じ犯罪を行っていたため、美鈴はそちらの件での取り調べを行うことになる。  　一方、久利生は麻木千佳(北川景子)とマンホールの蓋を盗もうとして逮捕された飛田丞治(阿部亮平)を取り調べ。飛田は素直に犯行を認めた。しかし、久利生は逮捕から3日しか経過していないのに、飛田に寄せられた多くの減刑嘆願書が気にかかる。そんな取り調べ中、飛田がいきなり千佳を呼び捨て。千佳と飛田はかつての知り合いだった。  　宇野は口八丁な土井垣の取り調べに大苦戦。ところが、美鈴が土井垣を取り調べると、あっさりと詐欺を認めさせてしまった。美鈴の華麗な取り調べに、宇野は負けたとショックを受ける。  　久利生と千佳はマンホール窃盗の捜査。案内の警察官によると、付近では他にもマンホールの盗難があり、公園からは金属性の滑り台も盗まれていた。久利生は共犯者を疑い、飛田の嘆願書を書いた人に話を聞きに行く。その中にも、かつての仲間がいたため千佳の素性は次々と明るみに。そんな捜査中、久利生と別れた千佳が何者かに襲われ…。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【第4話　出演者】  中村美鈴  :　大塚寧々　    小金沢克雄  :　温水洋一　    土井垣次郎  :　西村和彦　    飛田丞治  :　阿部亮平【脚本】  福田靖　    【企画】  鈴木吉弘　    【プロデュース】  渡辺恒也　    【演出】  平野眞　    【音楽】  服部隆之　    【制作】  フジテレビドラマ制作センター</t>
  </si>
  <si>
    <t>城西支部に京都地検から女性検事が出張してくる。その検事は、久利生公平(木村拓哉)や遠藤賢司(八嶋智人)、末次隆之(小日向文世)には懐かしい仲間、中村美鈴(大塚寧々)だった。美鈴には事務官の小金沢克雄(温水洋一)が同行している。宇野大介(濱田岳)が取り調べている健康器具詐欺の被疑者、土井垣次郎(西村和彦)が、関西でも同じ犯罪を行っていたため、美鈴はそちらの件での取り調べを行うことになる。  　一方、久利生は麻木千佳(北川景子)とマンホールの蓋を盗もうとして逮捕された飛田丞治(阿部亮平)を取り調べ。飛田は素直に犯行を認めた。しかし、久利生は逮捕から3日しか経過していないのに、飛田に寄せられた多くの減刑嘆願書が気にかかる。そんな取り調べ中、飛田がいきなり千佳を呼び捨て。千佳と飛田はかつての知り合いだった。  　宇野は口八丁な土井垣の取り調べに大苦戦。ところが、美鈴が土井垣を取り調べると、あっさりと詐欺を認めさせてしまった。美鈴の華麗な取り調べに、宇野は負けたとショックを受ける。  　久利生と千佳はマンホール窃盗の捜査。案内の警察官によると、付近では他にもマンホールの盗難があり、公園からは金属性の滑り台も盗まれていた。久利生は共犯者を疑い、飛田の嘆願書を書いた人に話を聞きに行く。その中にも、かつての仲間がいたため千佳の素性は次々と明るみに。そんな捜査中、久利生と別れた千佳が何者かに襲われ…。</t>
  </si>
  <si>
    <t>番組名フジテレビ開局55周年記念ドラマ　HERO【鬼の検事と秘密を知る少女】　#05</t>
  </si>
  <si>
    <t>城西支部で健康診断の結果が出た。健康だったのは久利生公平(木村拓哉)だけ。体脂肪が増加した麻木千佳(北川景子)は、仕事量の多すぎる久利生に付き合わされているからだと嘆く。川尻健三郎(松重豊)は、ほぼ全ての数値が昨年を下回ったことで、朝から不機嫌になってしまう。  　キレ気味の川尻は新たに加わった多くの案件を八つ当たりのように振り分ける。久利生も珍しく新規案件の引き受けを躊躇。久利生はゴルフ場の吊り橋崩落でキャディーが怪我をした事件を抱えていた。取り調べを確実なものにするために、久利生は吊り橋の構造から勉強しようとしていたのだ。それでも、久利生は川尻の要請を断ろうとしないが、千佳が遮る。  　結局、川尻の手元に置き引き事件が残った。久利生と千佳は、川尻が調べれば良いと言い出す。城西支部メンバーも、川尻の仕事を見てみたいと賛同。川尻は特捜部に籍を置いたこともあり、かつては“鬼の川尻"と異名を持った凄腕だったのだ。部下の期待に、川尻は自ら取り調べることに。  　早速、川尻は置き引き事件の被疑者、小茂田繁樹(矢崎広)と対面。しかし、どうにも歯切れが悪い。否認する小茂田に鋭い追求をしないのだ。落胆する城西支部メンバー。少し自信を失った川尻は、目撃者の事情聴取を始めた。ところが、事件が午後の公園で発生したため目撃者は子供ばかり。強面かつ子供が苦手な川尻は、こちらでも大苦戦を強いられることに…。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【第5話　出演者】  小茂田繁樹  :　矢崎広【脚本】  福田靖　    【企画】  鈴木吉弘　    【プロデュース】  渡辺恒也　    【演出】  金井紘　    【音楽】  服部隆之　    【制作】  フジテレビドラマ制作センター「HERO」公式番組ホームページ　  http://www.fujitv.co.jp/HERO/</t>
  </si>
  <si>
    <t>城西支部で健康診断の結果が出た。健康だったのは久利生公平(木村拓哉)だけ。体脂肪が増加した麻木千佳(北川景子)は、仕事量の多すぎる久利生に付き合わされているからだと嘆く。川尻健三郎(松重豊)は、ほぼ全ての数値が昨年を下回ったことで、朝から不機嫌になってしまう。  　キレ気味の川尻は新たに加わった多くの案件を八つ当たりのように振り分ける。久利生も珍しく新規案件の引き受けを躊躇。久利生はゴルフ場の吊り橋崩落でキャディーが怪我をした事件を抱えていた。取り調べを確実なものにするために、久利生は吊り橋の構造から勉強しようとしていたのだ。それでも、久利生は川尻の要請を断ろうとしないが、千佳が遮る。  　結局、川尻の手元に置き引き事件が残った。久利生と千佳は、川尻が調べれば良いと言い出す。城西支部メンバーも、川尻の仕事を見てみたいと賛同。川尻は特捜部に籍を置いたこともあり、かつては“鬼の川尻"と異名を持った凄腕だったのだ。部下の期待に、川尻は自ら取り調べることに。  　早速、川尻は置き引き事件の被疑者、小茂田繁樹(矢崎広)と対面。しかし、どうにも歯切れが悪い。否認する小茂田に鋭い追求をしないのだ。落胆する城西支部メンバー。少し自信を失った川尻は、目撃者の事情聴取を始めた。ところが、事件が午後の公園で発生したため目撃者は子供ばかり。強面かつ子供が苦手な川尻は、こちらでも大苦戦を強いられることに…。</t>
  </si>
  <si>
    <t>番組名フジテレビ開局55周年記念ドラマ　HERO【遠藤が逮捕!惨劇の合コン】　#06</t>
  </si>
  <si>
    <t>いつものような城西支部の朝。寝不足気味で登庁した久利生公平(木村拓哉)は、麻木千佳(北川景子)にネット通販のやり過ぎを指摘され、田村雅史(杉本哲太)は妻が勝手に飼い犬を増やしたことを嘆く。ところが、いつもとは違うことが起きていた。遠藤賢司(八嶋智人)がいない。その時、電話に応対していた川尻健三郎(松重豊)の驚がくの声が響く。牛丸豊(角野卓造)からの連絡で、なんと遠藤は殺人未遂で逮捕されていた。　城西支部には特捜部が乗り込み、遠藤の身の回りの品物が押収される。そして、特捜部検事の首藤礼二(石黒賢)が、遠藤の取り調べは自分たちで行うと宣言した。  　首藤は神田川事務官(渋川清彦)を伴って取り調べを始める。遠藤にかけられた嫌疑は、ダイニングバーで発生した男性の刺傷。合コン中、たまたま事件に巻き込まれたと主張する遠藤だが首藤は納得しない。遠藤の私物から、自らを検事とする名刺が発見されたことも信用を失っていた。  　久利生と千佳は、別の案件でお出かけ捜査。その帰り、遠藤に刺されたという被害者が入院する病院へ。しかし、被害者の病室には検察官が張り付いていた。それでも、久利生と千佳は看護師から、被害者は代議士の私設秘書だという情報を得る。  　川尻は牛丸に被害者の身元を確認するが、何かを隠している様子。首藤の取り調べも進む気配がない。本当に遠藤の犯行なのか?久利生たちは事件の真実を捜し始める。久利生公平(東京地検城西支部検事)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【第6話　出演者】  首藤礼二検事  :　石黒賢　    神田川事務官  :　渋川清彦　    ほか【脚本】  福田靖　    【企画】  鈴木吉弘　    【プロデュース】  渡辺恒也　    【演出】  平野眞　    【音楽】  服部隆之　    【制作】  フジテレビドラマ制作センター「HERO」公式番組ホームページ　  http://www.fujitv.co.jp/HERO/</t>
  </si>
  <si>
    <t>いつものような城西支部の朝。寝不足気味で登庁した久利生公平(木村拓哉)は、麻木千佳(北川景子)にネット通販のやり過ぎを指摘され、田村雅史(杉本哲太)は妻が勝手に飼い犬を増やしたことを嘆く。ところが、いつもとは違うことが起きていた。遠藤賢司(八嶋智人)がいない。その時、電話に応対していた川尻健三郎(松重豊)の驚がくの声が響く。牛丸豊(角野卓造)からの連絡で、なんと遠藤は殺人未遂で逮捕されていた。　城西支部には特捜部が乗り込み、遠藤の身の回りの品物が押収される。そして、特捜部検事の首藤礼二(石黒賢)が、遠藤の取り調べは自分たちで行うと宣言した。  　首藤は神田川事務官(渋川清彦)を伴って取り調べを始める。遠藤にかけられた嫌疑は、ダイニングバーで発生した男性の刺傷。合コン中、たまたま事件に巻き込まれたと主張する遠藤だが首藤は納得しない。遠藤の私物から、自らを検事とする名刺が発見されたことも信用を失っていた。  　久利生と千佳は、別の案件でお出かけ捜査。その帰り、遠藤に刺されたという被害者が入院する病院へ。しかし、被害者の病室には検察官が張り付いていた。それでも、久利生と千佳は看護師から、被害者は代議士の私設秘書だという情報を得る。  　川尻は牛丸に被害者の身元を確認するが、何かを隠している様子。首藤の取り調べも進む気配がない。本当に遠藤の犯行なのか?久利生たちは事件の真実を捜し始める。</t>
  </si>
  <si>
    <t>番組名フジテレビ開局55周年記念ドラマ　HERO【これって運命の出会い!?】　#07</t>
  </si>
  <si>
    <t>久利生公平(木村拓哉)と馬場礼子(吉田羊)が『St.George's　Tavern』で飲んでいる。さばき切れない案件を頼んだ礼子が、申し送りを兼ね、お礼として久利生に飲み代をおごることに。酔って昔付き合っていた男の愚痴をこぼしだす礼子。ついには、礼子の口から久利生もビックリの男の名が飛び出した。  　次の日、久利生は礼子に頼まれた事件の取り調べを始める。被疑者は城山圭吾(竹財輝之助)。城山には同居中の恋人、綾野さくら(中村ゆり)への暴力による傷害容疑がかけられていた。城山は、別れを切り出されてカッとなったと素直に容疑を認める。  　取り調べを終えた久利生は、川尻健三郎(松重豊)に熱海への出張を申し出る。城山の被害者、さくらの事情聴取のためだ。もちろん、麻木千佳(北川景子)も同行を申し出るが、1泊2日の2人きりの出張と聞いた宇野大介(濱田岳)は気が気ではない。  　そんな城西支部に、検察官請求予定証拠の閲覧のため梶原洋人(戸次重幸)が来ていた。顔を合わせた礼子と梶原は驚く。2人は元夫婦だった。この話に、田村雅史(杉本哲太)、末次隆之(小日向文世)の胸が騒ぎ出す。遠藤賢司(八嶋智人)たちも興味津々。  　久利生は千佳と熱海へ。だが千佳の風邪が悪化し、久利生は千佳をホテルに残して、さくらに会いに行く。母親に伴われて久利生と面会したさくら。母親は城山の処罰を求めるが…。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【第7話　出演者】  梶原洋人  :　戸次重幸　    城山圭吾  :　竹財輝之助　    綾野さくら  :　中村ゆり【脚本】  福田靖　    【企画】  鈴木吉弘　    【プロデュース】  渡辺恒也　    【演出】  平野眞　    【音楽】  服部隆之　    【制作】  フジテレビドラマ制作センター「HERO」公式番組ホームページ　  http://www.fujitv.co.jp/HERO/</t>
  </si>
  <si>
    <t>久利生公平(木村拓哉)と馬場礼子(吉田羊)が『St.George's　Tavern』で飲んでいる。さばき切れない案件を頼んだ礼子が、申し送りを兼ね、お礼として久利生に飲み代をおごることに。酔って昔付き合っていた男の愚痴をこぼしだす礼子。ついには、礼子の口から久利生もビックリの男の名が飛び出した。  　次の日、久利生は礼子に頼まれた事件の取り調べを始める。被疑者は城山圭吾(竹財輝之助)。城山には同居中の恋人、綾野さくら(中村ゆり)への暴力による傷害容疑がかけられていた。城山は、別れを切り出されてカッとなったと素直に容疑を認める。  　取り調べを終えた久利生は、川尻健三郎(松重豊)に熱海への出張を申し出る。城山の被害者、さくらの事情聴取のためだ。もちろん、麻木千佳(北川景子)も同行を申し出るが、1泊2日の2人きりの出張と聞いた宇野大介(濱田岳)は気が気ではない。  　そんな城西支部に、検察官請求予定証拠の閲覧のため梶原洋人(戸次重幸)が来ていた。顔を合わせた礼子と梶原は驚く。2人は元夫婦だった。この話に、田村雅史(杉本哲太)、末次隆之(小日向文世)の胸が騒ぎ出す。遠藤賢司(八嶋智人)たちも興味津々。  　久利生は千佳と熱海へ。だが千佳の風邪が悪化し、久利生は千佳をホテルに残して、さくらに会いに行く。母親に伴われて久利生と面会したさくら。母親は城山の処罰を求めるが…。</t>
  </si>
  <si>
    <t>番組名フジテレビ開局55周年記念ドラマ　HERO【久利生危機!身代わり出頭】　#08</t>
  </si>
  <si>
    <t>城西支部に、暴力団幹部を襲撃し殺害したと警察に出頭した被疑者が送致されてくることになる。検事たちは、暴力団員同士の事件で面倒に巻き込まれることを敬遠したため、結局、久利生公平(木村拓哉)が担当となった。  　被疑者、権藤明(池内博之)の到着より先に、城西支部を小此木誠(鶴見辰吾)という弁護士が訪ねてきた。小此木は暴力団の顧問弁護士で、権藤の弁護人。見るからに強面の小此木は、久利生に速やかに検察での取り調べを終わらせようと促す。そんな時、権藤が警察官とともに現れた。帰ろうとした小此木は、宇野大介(濱田岳)、末次隆之(小日向文世)と会う。すると小此木が宇野に声をかけた。小此木と言葉を交わす宇野に、末次は関係を尋ねる。宇野は、小此木は自分が司法修習生の時の先生だったと末次に答えた。  　久利生による権藤の取り調べが始まる。よどみなく事件の経緯を語る権藤に、久利生は身代わりではないかと疑問を持った。久利生は麻木千佳(北川景子)と一緒に警察署に向かい、担当した警察官に、権藤が身代わりではないかと尋ねる。すると、警察官はあっさりうなずいた。  　宇野は再会した小此木と飲みに行く。そこで宇野は、なぜ小此木が暴力団の顧問になったのかと問う。すると、小此木は弁護士の正当性を解き、検事の正義を否定した。  　久利生の権藤への取り調べは続く。だが、権藤は身代わりであることを認めようとしない。久利生公平(東京地検城西支部検事)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【第8話　出演者】  権藤明  :　池内博之　    小此木誠  :　鶴見辰吾【脚本】  福田靖　    【企画】  鈴木吉弘　    【プロデュース】  渡辺恒也　    【演出】  平野眞　    【音楽】  服部隆之　    【制作】  フジテレビドラマ制作センター</t>
  </si>
  <si>
    <t>城西支部に、暴力団幹部を襲撃し殺害したと警察に出頭した被疑者が送致されてくることになる。検事たちは、暴力団員同士の事件で面倒に巻き込まれることを敬遠したため、結局、久利生公平(木村拓哉)が担当となった。  　被疑者、権藤明(池内博之)の到着より先に、城西支部を小此木誠(鶴見辰吾)という弁護士が訪ねてきた。小此木は暴力団の顧問弁護士で、権藤の弁護人。見るからに強面の小此木は、久利生に速やかに検察での取り調べを終わらせようと促す。そんな時、権藤が警察官とともに現れた。帰ろうとした小此木は、宇野大介(濱田岳)、末次隆之(小日向文世)と会う。すると小此木が宇野に声をかけた。小此木と言葉を交わす宇野に、末次は関係を尋ねる。宇野は、小此木は自分が司法修習生の時の先生だったと末次に答えた。  　久利生による権藤の取り調べが始まる。よどみなく事件の経緯を語る権藤に、久利生は身代わりではないかと疑問を持った。久利生は麻木千佳(北川景子)と一緒に警察署に向かい、担当した警察官に、権藤が身代わりではないかと尋ねる。すると、警察官はあっさりうなずいた。  　宇野は再会した小此木と飲みに行く。そこで宇野は、なぜ小此木が暴力団の顧問になったのかと問う。すると、小此木は弁護士の正当性を解き、検事の正義を否定した。  　久利生の権藤への取り調べは続く。だが、権藤は身代わりであることを認めようとしない。</t>
  </si>
  <si>
    <t>番組名フジテレビ開局55周年記念ドラマ　HERO【城西支部VSグループ犯罪】　#09</t>
  </si>
  <si>
    <t>登庁途中の久利生公平(木村拓哉)たちは、顔が合うとおしゃべりに花が咲く。今日は、末次隆之(小日向文世)が背中を痛めた話や、麻木千佳(北川景子)の取り寄せたDVDが届かないというぼやきを話題に、職場に着いた。  　この日、そんな久利生たちを待っていたのは、大学生4人による暴行致死容疑。仲間のひとりを集団暴行によって死なせてしまったのだ。しかし、最終的な死因となった凶器は発見されておらず、凶器を使った大学生も特定されていない。川尻健三郎(松重豊)は、久利生、田村雅史(杉本哲太)、宇野大介(濱田岳)、馬場礼子(吉田羊)それぞれに被疑者1人を担当させ事件を調べるよう促す。  　だが、大学生たちの口は重く、事件について語ろうとしない。分かったのは被害者を含めた5人がフットサル仲間だということだけ。久利生と千佳は、5人の関係を探るため、通っている大学で聞き込み。いつも5人が集まっていた食堂を突き止めるがその日は休業していた。  　次の日、再び久利生たちは食堂へ。女店主、カルロス玉恵(片桐はいり)から有力な情報を得る。5人は、いつも大学教授のような人物と店で話をしていたと言うのだ。殺害現場の指紋調査を警察に依頼した久利生は、ある男を特定して検察庁に呼び出す。久利生は担当していた大学生の取り調べを川尻に預け、自らは呼び出した男を担当。4人別々の大学生と同時に、男に話を聞くという形で事件の真相に迫る。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【第9話　出演者】  カルロス玉恵  :　片桐はいり【脚本】  福田靖　    【企画】  鈴木吉弘　    【プロデュース】  渡辺恒也　    【演出】  平野眞　    【音楽】  服部隆之　    【制作】  フジテレビドラマ制作センター「HERO」公式番組ホームページ　  http://www.fujitv.co.jp/HERO/</t>
  </si>
  <si>
    <t>登庁途中の久利生公平(木村拓哉)たちは、顔が合うとおしゃべりに花が咲く。今日は、末次隆之(小日向文世)が背中を痛めた話や、麻木千佳(北川景子)の取り寄せたDVDが届かないというぼやきを話題に、職場に着いた。  　この日、そんな久利生たちを待っていたのは、大学生4人による暴行致死容疑。仲間のひとりを集団暴行によって死なせてしまったのだ。しかし、最終的な死因となった凶器は発見されておらず、凶器を使った大学生も特定されていない。川尻健三郎(松重豊)は、久利生、田村雅史(杉本哲太)、宇野大介(濱田岳)、馬場礼子(吉田羊)それぞれに被疑者1人を担当させ事件を調べるよう促す。  　だが、大学生たちの口は重く、事件について語ろうとしない。分かったのは被害者を含めた5人がフットサル仲間だということだけ。久利生と千佳は、5人の関係を探るため、通っている大学で聞き込み。いつも5人が集まっていた食堂を突き止めるがその日は休業していた。  　次の日、再び久利生たちは食堂へ。女店主、カルロス玉恵(片桐はいり)から有力な情報を得る。5人は、いつも大学教授のような人物と店で話をしていたと言うのだ。殺害現場の指紋調査を警察に依頼した久利生は、ある男を特定して検察庁に呼び出す。久利生は担当していた大学生の取り調べを川尻に預け、自らは呼び出した男を担当。4人別々の大学生と同時に、男に話を聞くという形で事件の真相に迫る。</t>
  </si>
  <si>
    <t>番組名フジテレビ開局55周年記念ドラマ　HERO【暴かれる真実!最後の事件】　#10</t>
  </si>
  <si>
    <t>久利生公平(木村拓哉)と麻木千佳(北川景子)は、川尻健三郎(松重豊)に東京地検特捜部のサポートを命じられる。特捜部は現職大臣と建設会社の贈収賄を裏付けるため、人手不足になっていたのだ。千佳は特捜部と色めき立つが、久利生は淡々と応じる。  　特捜部で、久利生たちを迎えたのは江上達夫(勝村政信)。早速、江上は久利生と千佳に仕事を説明するが、それは地味な作業だった。久利生の活躍をサポート出来ると張り切っていた千佳は、がっかり。  　しかし、江上が胃潰瘍で入院。急きょ、久利生は江上が担当していた建設会社運転手の取り調べを引き継ぐ。早速、久利生は運転手に事実確認。すると、運転手は現職大臣に金を運んだ日は休んでいて車の運転はしていないと主張。久利生は、もう一度運転手の行動を調べ直すことにする。  　一方、城西支部には南雲尊之(加藤虎ノ介)という被疑者が殺人容疑で送致された。田村雅史(杉本哲太)が担当するが、南雲は黙秘。また、南雲には大手事務所の弁護人、松平一臣(羽場裕一)がついていた。何か裏が…。遠藤賢司(八嶋智人)が警察の過去の捜査資料を調べると、南雲が容疑者として浮上した事件を見つける。傷害事件だが、今回の事件と地域が近接しているため城西支部は南雲の犯行を疑う。それらの事件はいずれも容疑者逮捕に至っていない。だが、1件だけ別の男が起訴され、判決直後に亡くなっていた。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【第10話　出演者】  南雲尊之  :　加藤虎ノ介　    松平一臣  :　羽場裕一　    八木  :　小市慢太郎　    光恵  :　朝加真由美　平野  :　橘家二三蔵　    徳倉  :　川嶋秀明【脚本】  福田靖　    【企画】  鈴木吉弘　    【プロデュース】  渡辺恒也　    【演出】  平野眞　    【音楽】  服部隆之　    【制作】  フジテレビドラマ制作センター「HERO」公式番組ホームページ　  http://www.fujitv.co.jp/HERO/</t>
  </si>
  <si>
    <t>久利生公平(木村拓哉)と麻木千佳(北川景子)は、川尻健三郎(松重豊)に東京地検特捜部のサポートを命じられる。特捜部は現職大臣と建設会社の贈収賄を裏付けるため、人手不足になっていたのだ。千佳は特捜部と色めき立つが、久利生は淡々と応じる。  　特捜部で、久利生たちを迎えたのは江上達夫(勝村政信)。早速、江上は久利生と千佳に仕事を説明するが、それは地味な作業だった。久利生の活躍をサポート出来ると張り切っていた千佳は、がっかり。  　しかし、江上が胃潰瘍で入院。急きょ、久利生は江上が担当していた建設会社運転手の取り調べを引き継ぐ。早速、久利生は運転手に事実確認。すると、運転手は現職大臣に金を運んだ日は休んでいて車の運転はしていないと主張。久利生は、もう一度運転手の行動を調べ直すことにする。  　一方、城西支部には南雲尊之(加藤虎ノ介)という被疑者が殺人容疑で送致された。田村雅史(杉本哲太)が担当するが、南雲は黙秘。また、南雲には大手事務所の弁護人、松平一臣(羽場裕一)がついていた。何か裏が…。遠藤賢司(八嶋智人)が警察の過去の捜査資料を調べると、南雲が容疑者として浮上した事件を見つける。傷害事件だが、今回の事件と地域が近接しているため城西支部は南雲の犯行を疑う。それらの事件はいずれも容疑者逮捕に至っていない。だが、1件だけ別の男が起訴され、判決直後に亡くなっていた。</t>
  </si>
  <si>
    <t>番組名フジテレビ開局55周年記念ドラマ　HERO【正義のための最終決戦!】　#11</t>
  </si>
  <si>
    <t>特捜部の捜査から外された久利生公平(木村拓哉)が、麻木千佳(北川景子)と戻った城西支部は揺れている。殺人容疑で送致された南雲尊之(加藤虎ノ介)が担当検事の田村雅史(杉本哲太)と事務官の遠藤賢司(八嶋智人)の調べにより過去にも同じような傷害事件を犯していた可能性が浮上したからだ。そのうちの1件では、別の被疑者が逮捕、起訴され、刑罰が確定した直後、病気で他界している。もし、南雲の犯罪であれば、検察は冤罪(えんざい)を自ら認めることになってしまうからだ。  　そんな中、南雲の第1回公判が開かれ、久利生が過去の事件を追求し始める。  　一方、城西支部のメンバーは手分けして、過去の事件を検証し始める。当時の関係者として元検事の、国分秀雄(井上順)を訪ねて捜査への協力を求める。しかし、国分は頑として応じようとしない。　過去の事件を含めた南雲の裁判が始まる。未だ決め手を欠くままの久利生たちに対し、南雲の弁護士、松平一臣(羽場裕一)は驚くべき手段をこうじてくるのだった。久利生公平(東京地検城西支部検事)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【第11話　出演者】  国分秀雄  :　井上順　    南雲尊之  :　加藤虎ノ介　    松平一臣  :　羽場裕一　    滝光恵(被害者妻)  :　朝加真由美【脚本】  福田靖　    【企画】  鈴木吉弘　    【プロデュース】  渡辺恒也　    【演出】  平野眞　    【音楽】  服部隆之　    【制作】  フジテレビドラマ制作センター「HERO」公式番組ホームページ　  http://www.fujitv.co.jp/HERO/</t>
  </si>
  <si>
    <t>特捜部の捜査から外された久利生公平(木村拓哉)が、麻木千佳(北川景子)と戻った城西支部は揺れている。殺人容疑で送致された南雲尊之(加藤虎ノ介)が担当検事の田村雅史(杉本哲太)と事務官の遠藤賢司(八嶋智人)の調べにより過去にも同じような傷害事件を犯していた可能性が浮上したからだ。そのうちの1件では、別の被疑者が逮捕、起訴され、刑罰が確定した直後、病気で他界している。もし、南雲の犯罪であれば、検察は冤罪(えんざい)を自ら認めることになってしまうからだ。  　そんな中、南雲の第1回公判が開かれ、久利生が過去の事件を追求し始める。  　一方、城西支部のメンバーは手分けして、過去の事件を検証し始める。当時の関係者として元検事の、国分秀雄(井上順)を訪ねて捜査への協力を求める。しかし、国分は頑として応じようとしない。　過去の事件を含めた南雲の裁判が始まる。未だ決め手を欠くままの久利生たちに対し、南雲の弁護士、松平一臣(羽場裕一)は驚くべき手段をこうじてくるのだった。</t>
  </si>
  <si>
    <t>1407_CX_火21</t>
  </si>
  <si>
    <t>あすなろ三三七拍子</t>
  </si>
  <si>
    <t>番組名あすなろ三三七拍子　#01</t>
  </si>
  <si>
    <t>藤巻大介(柳葉敏郎)は、エール物産で総務部課長を務めるサラリーマン。  　ある休日、娘の美紀(飯豊まりえ)の恋人が遊びに来るとはしゃぐ妻の広子(菊池桃子)を見て、1人面白くない大介。家にやって来た保阪翔(風間俊介)の、金髪ピアス姿、そして敬語を使えずチャラチャラしている様子に腹を立てる。  　とあるホテルで開かれている旧・世田谷商科大学応援団のOB会。今はエール物産で社長をしている幹事長の荒川剛(西田敏行)をはじめとしたOBの齊藤裕一(反町隆史)、山下正人(ほんこん)らは、10年前に女子大と合併して翌檜(あすなろ)大学と名前を変えて以来、応援団が衰退の一途をたどっていることを嘆く。  　数日後、社長室に呼び出された大介。荒川から、翌檜大学へ社会人入学をして廃部寸前の応援団を立て直してほしいと頼み込まれる。荒川は大介がリストラ候補であることを告げ、強引に了承させる。  　3月。翌檜大学の応援団室へ向かった大介は、チアリーダー部部長の葉月玲奈(高畑充希)と出会い、新歓ステージの存在を教えられる。そこへ齊藤と山下がやって来て、大介を河原へ連れ出す。多摩川の土手を学ラン姿で走らされ、応援団の特訓を受ける大介。その様子を遠くから観察している謎の女子大生・松下沙耶(剛力彩芽)。  　翌檜大学入学式。講堂では新歓ステージが始まり、大介は新入生勧誘のため必死で覚えたてのエールを披露するが・・・。藤巻大介: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反町隆史【原作】  重松清「あすなろ三三七拍子」(講談社文庫刊)(C)重松清/講談社　    【脚本】  吉田紀子　  ふじきみつ彦　    【編成企画】  水野綾子　    【プロデュース】  小林宙　    【演出】  土方政人　  植田泰史　    【音楽】  大友良英　    【劇中歌】  Sachiko　M　    【制作】  フジテレビ　    【制作著作】  共同テレビ番組HP(http://www.fujitv.co.jp/asunaro337/)や番組公式Twitter(@asunaro337)もチェック!  撮影現場の様子や他ではわからない情報満載です。  主題歌はスピッツの19年前の名曲「愛のことば」(「愛のことば-2014mix-」)</t>
  </si>
  <si>
    <t>藤巻大介(柳葉敏郎)は、エール物産で総務部課長を務めるサラリーマン。  　ある休日、娘の美紀(飯豊まりえ)の恋人が遊びに来るとはしゃぐ妻の広子(菊池桃子)を見て、1人面白くない大介。家にやって来た保阪翔(風間俊介)の、金髪ピアス姿、そして敬語を使えずチャラチャラしている様子に腹を立てる。  　とあるホテルで開かれている旧・世田谷商科大学応援団のOB会。今はエール物産で社長をしている幹事長の荒川剛(西田敏行)をはじめとしたOBの齊藤裕一(反町隆史)、山下正人(ほんこん)らは、10年前に女子大と合併して翌檜(あすなろ)大学と名前を変えて以来、応援団が衰退の一途をたどっていることを嘆く。  　数日後、社長室に呼び出された大介。荒川から、翌檜大学へ社会人入学をして廃部寸前の応援団を立て直してほしいと頼み込まれる。荒川は大介がリストラ候補であることを告げ、強引に了承させる。  　3月。翌檜大学の応援団室へ向かった大介は、チアリーダー部部長の葉月玲奈(高畑充希)と出会い、新歓ステージの存在を教えられる。そこへ齊藤と山下がやって来て、大介を河原へ連れ出す。多摩川の土手を学ラン姿で走らされ、応援団の特訓を受ける大介。その様子を遠くから観察している謎の女子大生・松下沙耶(剛力彩芽)。  　翌檜大学入学式。講堂では新歓ステージが始まり、大介は新入生勧誘のため必死で覚えたてのエールを披露するが・・・。</t>
  </si>
  <si>
    <t>番組名あすなろ三三七拍子　#02</t>
  </si>
  <si>
    <t>翌檜(あすなろ)大学の応援団長となった藤巻大介(柳葉敏郎)は、OBの齊藤裕一(反町隆史)、山下正人(ほんこん)と新歓ステージでエールを披露した。団室に戻ると、入団を希望する1年生の野口健太(大内田悠平)と3年生の松下沙耶(剛力彩芽)がやって来る。沙耶に戸惑う齊藤と山下だが、部員を増やした方がいいという大介の提案を受け、彼女の入団は許可される。  　デート中に、大介の娘・美紀(飯豊まりえ)は、恋人の保阪翔(風間俊介)から応援団の件を聞き、ショックを受ける。翔はなぐさめるつもりで美紀の頬にキスをするが、それを帰宅中だった大介が目撃。怒り心頭の大介は、美紀と付き合う条件として応援団に入るよう翔に言い渡す。  　応援団顧問の准教授・原智子(森口瑤子)は大介を呼び出し、応援団に否定的な自らの立場を告げつつ、団室に案内させる。大介と原と沙耶が団室へ行くと、翔のチャラチャラした出で立ちに怒った齊藤が彼の上に馬乗りになっていた。原はそんな齊藤を激しく非難する。  　すると、団室の電話が鳴る。相手は“ケイガク"こと京浜学院大学応援団指導部の副団長・江本慎也(塩野瑛久)だった。毎年恒例の定期戦の打ち合わせも含めた“顔合わせ"の日程を決めたいと言う。大介が電話を切ると、齊藤と山下はケイガクは永遠のライバル校であると話し、“顔合わせ"に向けて特訓を始めると言い出し…。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反町隆史番組HP(http://www.fujitv.co.jp/asunaro337/)や番組公式Twitter(@asunaro337)もチェック!  撮影現場の様子や他ではわからない情報満載です。  主題歌はスピッツの19年前の名曲「愛のことば」(「愛のことば-2014mix-」)【原作】  重松清「あすなろ三三七拍子」(講談社文庫刊)(C)重松清/講談社　    【脚本】  吉田紀子　  ふじきみつ彦　    【主題歌】  「愛のことば-2014mix-」スピッツ(UNIVERSAL　J)　    【音楽】  大友良英　    【劇中歌】  Sachiko　M　    【編成企画】  水野綾子　    【プロデュース】  小林宙　    【演出】  土方政人　  植田泰史　    【制作】  フジテレビ　【制作著作】  共同テレビ</t>
  </si>
  <si>
    <t>翌檜(あすなろ)大学の応援団長となった藤巻大介(柳葉敏郎)は、OBの齊藤裕一(反町隆史)、山下正人(ほんこん)と新歓ステージでエールを披露した。団室に戻ると、入団を希望する1年生の野口健太(大内田悠平)と3年生の松下沙耶(剛力彩芽)がやって来る。沙耶に戸惑う齊藤と山下だが、部員を増やした方がいいという大介の提案を受け、彼女の入団は許可される。  　デート中に、大介の娘・美紀(飯豊まりえ)は、恋人の保阪翔(風間俊介)から応援団の件を聞き、ショックを受ける。翔はなぐさめるつもりで美紀の頬にキスをするが、それを帰宅中だった大介が目撃。怒り心頭の大介は、美紀と付き合う条件として応援団に入るよう翔に言い渡す。  　応援団顧問の准教授・原智子(森口瑤子)は大介を呼び出し、応援団に否定的な自らの立場を告げつつ、団室に案内させる。大介と原と沙耶が団室へ行くと、翔のチャラチャラした出で立ちに怒った齊藤が彼の上に馬乗りになっていた。原はそんな齊藤を激しく非難する。  　すると、団室の電話が鳴る。相手は“ケイガク"こと京浜学院大学応援団指導部の副団長・江本慎也(塩野瑛久)だった。毎年恒例の定期戦の打ち合わせも含めた“顔合わせ"の日程を決めたいと言う。大介が電話を切ると、齊藤と山下はケイガクは永遠のライバル校であると話し、“顔合わせ"に向けて特訓を始めると言い出し…。</t>
  </si>
  <si>
    <t>番組名あすなろ三三七拍子　#03</t>
  </si>
  <si>
    <t>ゴールデンウィークになり、翌檜(あすなろ)大学応援団は合宿を行うことになった。駅前に集合した藤巻大介(柳葉敏郎)、松下沙耶(剛力彩芽)、保阪翔(風間俊介)、野口健太(大内田悠平)とOBの齊藤裕一(反町隆史)は、電車に乗り込む。  　デッキに団旗や太鼓を置いて座席に向かおうとする大介たちを齊藤が呼び止めた。齋藤は、大介に直立不動で団の魂である団旗と太鼓を守るように言い渡し、沙耶たちには座席の上に正座をさせる。  　合宿地に着いた大介たちは、チアリーダー部や吹奏楽部が使用するきれいなセミナーハウスではなく朽ちかけた山荘に連れていかれる。  　ほどなく、齊藤による“地獄の合宿"が始まった。声出しの練習では、太鼓を叩く健太のリズムが悪いと全員に腹筋が命じられる。責任を感じる健太。夜練習が終わると、自宅に電話をするため山荘の外へ出ていた大介は、母親を心配して電話をするという健太に優しく声をかける。　合宿2日目。齊藤のダメ出しで何時間もエールの練習が続いた。健太は、自分が原因ではないかと思い、罰の腕立て伏せ100回をひとりでやると申し出る。しかし齊藤は、団は家族だからという理由で全員にやるように命じる。  　その夜、責任を感じて眠れないでいた健太に、大介は気にしないようにと励ます。しかし、夜明けに物音で目を覚ました大介が部屋を見回すと、健太の姿がなく…。藤巻大介: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反町隆史“エール"を投稿しよう!くわしくは番組HP(http://www.fujitv.co.jp/asunaro337/)へ。  番組公式Twitter(@asunaro337)もチェック!  撮影現場の様子や他ではわからない情報満載です。  主題歌はスピッツの19年前の名曲「愛のことば」(「愛のことば-2014mix-」)【原作】  重松清「あすなろ三三七拍子」(講談社文庫刊)(C)重松清/講談社　    【脚本】  吉田紀子　  ふじきみつ彦　    【編成企画】  水野綾子　    【プロデュース】  小林宙　    【演出】  土方政人　  植田泰史　    【音楽】  大友良英　    【劇中歌】  Sachiko　M　    【制作】  フジテレビ　    【制作著作】  共同テレビ</t>
  </si>
  <si>
    <t>ゴールデンウィークになり、翌檜(あすなろ)大学応援団は合宿を行うことになった。駅前に集合した藤巻大介(柳葉敏郎)、松下沙耶(剛力彩芽)、保阪翔(風間俊介)、野口健太(大内田悠平)とOBの齊藤裕一(反町隆史)は、電車に乗り込む。  　デッキに団旗や太鼓を置いて座席に向かおうとする大介たちを齊藤が呼び止めた。齋藤は、大介に直立不動で団の魂である団旗と太鼓を守るように言い渡し、沙耶たちには座席の上に正座をさせる。  　合宿地に着いた大介たちは、チアリーダー部や吹奏楽部が使用するきれいなセミナーハウスではなく朽ちかけた山荘に連れていかれる。  　ほどなく、齊藤による“地獄の合宿"が始まった。声出しの練習では、太鼓を叩く健太のリズムが悪いと全員に腹筋が命じられる。責任を感じる健太。夜練習が終わると、自宅に電話をするため山荘の外へ出ていた大介は、母親を心配して電話をするという健太に優しく声をかける。　合宿2日目。齊藤のダメ出しで何時間もエールの練習が続いた。健太は、自分が原因ではないかと思い、罰の腕立て伏せ100回をひとりでやると申し出る。しかし齊藤は、団は家族だからという理由で全員にやるように命じる。  　その夜、責任を感じて眠れないでいた健太に、大介は気にしないようにと励ます。しかし、夜明けに物音で目を覚ました大介が部屋を見回すと、健太の姿がなく…。</t>
  </si>
  <si>
    <t>番組名あすなろ三三七拍子　#04</t>
  </si>
  <si>
    <t>合宿中の藤巻大介(柳葉敏郎)ら翌檜大学応援団は駆け付けた荒川剛(西田敏行)らOBに松下沙耶(剛力彩芽)を男だと偽って紹介する。最終日の宴会中OBのひとりから、男なら裸になってみろと言われた沙耶は…。  　そんな中、齊藤裕一(反町隆史)は野口健太(大内田悠平)が同期の野球部のエースだった野口康夫(三浦誠己)の息子であることを思い出す。健太から家には母親ひとりだと聞いていた大介は不思議に思うが、直後、腰を痛め動けなくなってしまう。翌日、沙耶や保阪翔(風間俊介)らが応援団室にやってくると電話が鳴った。大介からだと思い込んで出た翔は、相手は京浜学院大学応援団の副団長・江本慎也(塩野瑛久)だとわかると驚いて思わず電話を切ってしまう。  　病院に来ていた大介は、看護師から野口康夫と呼ばれていた入院患者を見かけて声をかける。帰宅後、大介は見舞いに来た健太に父親に会いに行くよう勧めるが、健太は会いたくないと言う。  　沙耶、翔、健太は電話の一件を謝罪するため京浜学院大学の応援団室を訪れる。謝罪とともに一升瓶を差し出す沙耶にお酌をするよう要求する江本。腹を立てた沙耶が向けられた杯を払いのけると、その杯が当たった“応援指導部訓"の書のガラスが割れてしまう。怒った江本は、間近に迫る野球部の定期戦のボイコットを宣言。翌檜大学の野球部員がこの定期戦に向けて必死で練習していることを知る沙耶たちは激しく落ち込み…。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反町隆史“エール"を投稿しよう!くわしくは番組HP(http://www.fujitv.co.jp/asunaro337/)へ。  番組公式Twitter(@asunaro337)もチェック!  撮影現場の様子や他ではわからない情報満載です。  主題歌はスピッツの19年前の名曲「愛のことば」(「愛のことば-2014mix-」)【原作】  重松清「あすなろ三三七拍子」(講談社文庫刊)(C)重松清/講談社　    【脚本】  吉田紀子　  ふじきみつ彦　    【編成企画】  水野綾子　    【プロデュース】  小林宙　    【演出】  土方政人　  植田泰史　    【音楽】  大友良英　    【劇中歌】  Sachiko　M　    【制作】  フジテレビ　    【制作著作】  共同テレビ</t>
  </si>
  <si>
    <t>合宿中の藤巻大介(柳葉敏郎)ら翌檜大学応援団は駆け付けた荒川剛(西田敏行)らOBに松下沙耶(剛力彩芽)を男だと偽って紹介する。最終日の宴会中OBのひとりから、男なら裸になってみろと言われた沙耶は…。  　そんな中、齊藤裕一(反町隆史)は野口健太(大内田悠平)が同期の野球部のエースだった野口康夫(三浦誠己)の息子であることを思い出す。健太から家には母親ひとりだと聞いていた大介は不思議に思うが、直後、腰を痛め動けなくなってしまう。翌日、沙耶や保阪翔(風間俊介)らが応援団室にやってくると電話が鳴った。大介からだと思い込んで出た翔は、相手は京浜学院大学応援団の副団長・江本慎也(塩野瑛久)だとわかると驚いて思わず電話を切ってしまう。  　病院に来ていた大介は、看護師から野口康夫と呼ばれていた入院患者を見かけて声をかける。帰宅後、大介は見舞いに来た健太に父親に会いに行くよう勧めるが、健太は会いたくないと言う。  　沙耶、翔、健太は電話の一件を謝罪するため京浜学院大学の応援団室を訪れる。謝罪とともに一升瓶を差し出す沙耶にお酌をするよう要求する江本。腹を立てた沙耶が向けられた杯を払いのけると、その杯が当たった“応援指導部訓"の書のガラスが割れてしまう。怒った江本は、間近に迫る野球部の定期戦のボイコットを宣言。翌檜大学の野球部員がこの定期戦に向けて必死で練習していることを知る沙耶たちは激しく落ち込み…。</t>
  </si>
  <si>
    <t>番組名あすなろ三三七拍子　#05</t>
  </si>
  <si>
    <t>藤巻大介(柳葉敏郎)と保阪翔(風間俊介)は、翌檜(あすなろ)大学と京浜学院大学の伝統の定期戦に向けた準備に追われていた。松下沙耶(剛力彩芽)は、原智子(森口瑤子)の公開授業の手伝いで地方の大学へ。野口健太(大内田悠平)は、病院で余命いくばくもないと診断された父親・康夫(三浦誠己)の付き添いをしていた。ゆえに、2人で準備を進めなければならない状況で、遅刻と早退を繰り返す翔に大介はあきれるばかり。　大介は、大学時代に野球部のエースとしてマウンドに立つ康夫にスタンドからエールをおくっていた齊藤裕一(反町隆史)と山下正人(ほんこん)に、康夫の病状を伝える。康夫が病気と戦っている“マウンド"に自分たちが足を踏み入れてはいけないと、齊藤たちは病院へ駆けつけたい思いを必死で抑える。  　そんな中、チアリーダー部部長・葉月玲奈(高畑充希)から、定期戦にチア部は参加できないと告げられる。不安を抱く大介を励まそうと、翔は応援が選手に届いているかわからないし、勝敗に応援は関係ないと軽口を叩く。その言葉を聞いた大介は、翔に応援団を辞めるように言い渡した。  　定期戦前日、健太から康夫は今夜が最期かもしれないと連絡が入る。大介はすぐに齊藤と山下に連絡し、3人で病院へ向かった。健太は、昨晩一度目を覚ました康夫と少しだけ話ができたと言い、その内容を大介と齊藤と山下に聞かせ…。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反町隆史“エール動画"を投稿しよう!くわしくは番組HP(http://www.fujitv.co.jp/asunaro337/)へ。  番組公式Twitter(@asunaro337)もチェック!  撮影現場の様子や他ではわからない情報満載です。  主題歌はスピッツの19年前の名曲「愛のことば」(「愛のことば-2014mix-」)【原作】  重松清「あすなろ三三七拍子」(講談社文庫刊)(C)重松清/講談社　    【脚本】  吉田紀子　  ふじきみつ彦　    【編成企画】  水野綾子　    【プロデュース】  小林宙　    【演出】  土方政人　  植田泰史　    【音楽】  大友良英　    【劇中歌】  Sachiko　M　    【制作】  フジテレビ　    【制作著作】  共同テレビ</t>
  </si>
  <si>
    <t>藤巻大介(柳葉敏郎)と保阪翔(風間俊介)は、翌檜(あすなろ)大学と京浜学院大学の伝統の定期戦に向けた準備に追われていた。松下沙耶(剛力彩芽)は、原智子(森口瑤子)の公開授業の手伝いで地方の大学へ。野口健太(大内田悠平)は、病院で余命いくばくもないと診断された父親・康夫(三浦誠己)の付き添いをしていた。ゆえに、2人で準備を進めなければならない状況で、遅刻と早退を繰り返す翔に大介はあきれるばかり。　大介は、大学時代に野球部のエースとしてマウンドに立つ康夫にスタンドからエールをおくっていた齊藤裕一(反町隆史)と山下正人(ほんこん)に、康夫の病状を伝える。康夫が病気と戦っている“マウンド"に自分たちが足を踏み入れてはいけないと、齊藤たちは病院へ駆けつけたい思いを必死で抑える。  　そんな中、チアリーダー部部長・葉月玲奈(高畑充希)から、定期戦にチア部は参加できないと告げられる。不安を抱く大介を励まそうと、翔は応援が選手に届いているかわからないし、勝敗に応援は関係ないと軽口を叩く。その言葉を聞いた大介は、翔に応援団を辞めるように言い渡した。  　定期戦前日、健太から康夫は今夜が最期かもしれないと連絡が入る。大介はすぐに齊藤と山下に連絡し、3人で病院へ向かった。健太は、昨晩一度目を覚ました康夫と少しだけ話ができたと言い、その内容を大介と齊藤と山下に聞かせ…。</t>
  </si>
  <si>
    <t>番組名あすなろ三三七拍子　#06</t>
  </si>
  <si>
    <t>翌檜(あすなろ)大学と京浜学院大学の定期戦当日。藤巻大介(柳葉敏郎)の家へやってきた保阪翔(風間俊介)は、高熱を出し玄関で倒れ込んでしまう。美紀(飯豊まりえ)は、翔が応援団に入ったことにより、学費を稼ぐためのバイトの時間でかなり無理をしていたと大介を責め立てる。事情を知った大介は、定期戦に行こうとする翔を止め、球場へ向かう。  　大介と松下沙耶(剛力彩芽)が球場で準備をしていると、齊藤裕一(反町隆史)と山下正人(ほんこん)たちセタショー応援団OBがやってきた。大介は齊藤と山下に応援に加わってもらえないかと頼んだ。が、正式な試合でOBが応援するわけにはいかないと一蹴される。すると、チアリーダー部部長の葉月玲奈(高畑充希)が現れ、太鼓を担当すると申し出る。  　様子を見に来た原智子(森口瑤子)は閑散としたスタンドを見てあきれ、メール連絡だけで手伝いを抜け出した沙耶を叱責する。帰ろうとする原を、美紀に付き添われてやってきた翔が引き止めた。続いて、野口健太(大内田悠平)も姿を見せる。必死の思いでかけつけたふたりに胸を熱くした大介は、学生たちの“初陣"を見て欲しいと原に頭を下げる。  　いよいよ試合が始まった。エール交換で声を張り上げた大介だが、緊張のあまり声が裏返ってしまう。その緊張は沙耶たちにも伝わり…。藤巻大介: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反町隆史“エール動画"を投稿しよう!くわしくは番組HP(http://www.fujitv.co.jp/asunaro337/)へ。  番組公式Twitter(@asunaro337)もチェック!  撮影現場の様子や他ではわからない情報満載です。  主題歌はスピッツの19年前の名曲「愛のことば」(「愛のことば-2014mix-」)【原作】  重松清「あすなろ三三七拍子」(講談社文庫刊)(C)重松清/講談社　    【脚本】  吉田紀子　  ふじきみつ彦　    【編成企画】  水野綾子　    【プロデュース】  小林宙　    【演出】  土方政人　  植田泰史　    【音楽】  大友良英　    【劇中歌】  Sachiko　M　    【制作】  フジテレビ　    【制作著作】  共同テレビ</t>
  </si>
  <si>
    <t>翌檜(あすなろ)大学と京浜学院大学の定期戦当日。藤巻大介(柳葉敏郎)の家へやってきた保阪翔(風間俊介)は、高熱を出し玄関で倒れ込んでしまう。美紀(飯豊まりえ)は、翔が応援団に入ったことにより、学費を稼ぐためのバイトの時間でかなり無理をしていたと大介を責め立てる。事情を知った大介は、定期戦に行こうとする翔を止め、球場へ向かう。  　大介と松下沙耶(剛力彩芽)が球場で準備をしていると、齊藤裕一(反町隆史)と山下正人(ほんこん)たちセタショー応援団OBがやってきた。大介は齊藤と山下に応援に加わってもらえないかと頼んだ。が、正式な試合でOBが応援するわけにはいかないと一蹴される。すると、チアリーダー部部長の葉月玲奈(高畑充希)が現れ、太鼓を担当すると申し出る。  　様子を見に来た原智子(森口瑤子)は閑散としたスタンドを見てあきれ、メール連絡だけで手伝いを抜け出した沙耶を叱責する。帰ろうとする原を、美紀に付き添われてやってきた翔が引き止めた。続いて、野口健太(大内田悠平)も姿を見せる。必死の思いでかけつけたふたりに胸を熱くした大介は、学生たちの“初陣"を見て欲しいと原に頭を下げる。  　いよいよ試合が始まった。エール交換で声を張り上げた大介だが、緊張のあまり声が裏返ってしまう。その緊張は沙耶たちにも伝わり…。</t>
  </si>
  <si>
    <t>番組名あすなろ三三七拍子　#07</t>
  </si>
  <si>
    <t>朝、目を覚ました藤巻大介(柳葉敏郎)がリビングへ行くと、昨晩けんかした広子(菊池桃子)の姿がなかった。保阪翔(風間俊介)の看病から帰宅した美紀(飯豊まりえ)は、家出すると記された広子のメモを大介に突きつける。  　ゼミ室にいた松下沙耶(剛力彩芽)は、原智子(森口瑤子)から夏のゼミ合宿への出席を促される。しかし沙耶は応援団の夏合宿と日程が重なっていることを理由に不参加を告げると、逃げるようにゼミ室を出ていく。  　応援団室にやってきた沙耶は、大介と翔の会話から広子が家出したことを知る。応援団に原因があると聞いた沙耶は、なぜか激しく動揺する。  　齊藤裕一(反町隆史)は、担当作家で京浜学院大学応援団名誉顧問である森田幸作(長谷川初範)を訪ねて京浜学院大学に来ていた。森田は原が嫌いだと言い放つと、何かあった際には翌檜(あすなろ)よりケイガク側に付くよう齊藤に強要する。その帰り道、齊藤は無言で後をつけてきたケイガク応援団団長・渡辺啓治(一ノ瀬ワタル)に物影に引っ張り込まれ…。  　一方、家出中の広子は、翔の家に滞在していた。翔は広子の止まらない大介への愚痴を笑顔で聞いていた。  　大介、沙耶、翔、野口健太(大内田悠平)が団室にいると、齊藤が渡辺を連れてやってくる。突然の訪問に一同は身構えるが、渡辺は沙耶に話があると言い…。藤巻大介: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反町隆史“エール動画"を投稿しよう!くわしくは番組HP(http://www.fujitv.co.jp/asunaro337/)へ。  番組公式Twitter(@asunaro337)もチェック!  撮影現場の様子や他ではわからない情報満載です。  主題歌はスピッツの19年前の名曲「愛のことば」(「愛のことば-2014mix-」)【原作】  重松清「あすなろ三三七拍子」(講談社文庫刊)(C)重松清/講談社　    【脚本】  吉田紀子　  ふじきみつ彦　    【編成企画】  水野綾子　    【プロデュース】  小林宙　    【演出】  土方政人　  植田泰史　    【音楽】  大友良英　    【劇中歌】  Sachiko　M　    【制作】  フジテレビ　    【制作著作】  共同テレビ</t>
  </si>
  <si>
    <t>朝、目を覚ました藤巻大介(柳葉敏郎)がリビングへ行くと、昨晩けんかした広子(菊池桃子)の姿がなかった。保阪翔(風間俊介)の看病から帰宅した美紀(飯豊まりえ)は、家出すると記された広子のメモを大介に突きつける。  　ゼミ室にいた松下沙耶(剛力彩芽)は、原智子(森口瑤子)から夏のゼミ合宿への出席を促される。しかし沙耶は応援団の夏合宿と日程が重なっていることを理由に不参加を告げると、逃げるようにゼミ室を出ていく。  　応援団室にやってきた沙耶は、大介と翔の会話から広子が家出したことを知る。応援団に原因があると聞いた沙耶は、なぜか激しく動揺する。  　齊藤裕一(反町隆史)は、担当作家で京浜学院大学応援団名誉顧問である森田幸作(長谷川初範)を訪ねて京浜学院大学に来ていた。森田は原が嫌いだと言い放つと、何かあった際には翌檜(あすなろ)よりケイガク側に付くよう齊藤に強要する。その帰り道、齊藤は無言で後をつけてきたケイガク応援団団長・渡辺啓治(一ノ瀬ワタル)に物影に引っ張り込まれ…。  　一方、家出中の広子は、翔の家に滞在していた。翔は広子の止まらない大介への愚痴を笑顔で聞いていた。  　大介、沙耶、翔、野口健太(大内田悠平)が団室にいると、齊藤が渡辺を連れてやってくる。突然の訪問に一同は身構えるが、渡辺は沙耶に話があると言い…。</t>
  </si>
  <si>
    <t>番組名あすなろ三三七拍子　#08</t>
  </si>
  <si>
    <t>夏休み明け、秋の首都圏大学野球連盟杯の応援に行っていた藤巻大介(柳葉敏郎)たち応援団は野球部の勝利を喜び上機嫌で団室に戻ってくる。齊藤裕一(反町隆史)は団員たちの成長を褒めて焼き肉をおごると言い出す。ところが球場に来られなかった山下正人(ほんこん)が現れると急に不機嫌になって帰ってしまう。  　後日、山下に誘われた大介はふたりで居酒屋へ行く。山下は具合の悪い母親の面倒をみるために次の日曜日に単身で大阪へ戻ることを決意していた。齊藤が怒っているのは、それを早く相談しなかったからだという。大事な“連れ"だからこそなかなか言い出せなかったという山下の言葉を大介は静かに聞く。大介は仲直りのきっかけにと山下の送別会を開こうと齊藤に電話するが、行かないと一蹴される。  　一方、チアリーダー部では練習中、小泉紫乃(長谷川ニイナ)を支えようとした葉月玲奈(高畑充希)がケガをしてしまう。駆けつけた大介と保阪翔(風間俊介)、吹奏楽部の園田善彦(山本涼介)に玲奈は自分が悪いと言い続ける。すると紫乃はいつも自分だけで責任を取ろうとする玲奈の態度は仲間として寂しいと言って飛び出していく。驚きながらもショックを受ける玲奈。  　山下の帰郷を翌日に控え、大介は齊藤と話すため齊藤が担当する作家・森田幸作(長谷川初範)の新刊発売イベント会場へ足を運ぶ。イベント会場には森田と犬猿の仲である原智子(森口瑤子)も来ていて…。“エール動画"を投稿しよう!くわしくは番組HP(http://www.fujitv.co.jp/asunaro337/)へ。  番組公式Twitter(@asunaro337)もチェック!  撮影現場の様子や他ではわからない情報満載です。  主題歌はスピッツの19年前の名曲「愛のことば」(「愛のことば-2014mix-」)藤巻大介: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反町隆史【原作】  重松清「あすなろ三三七拍子」(講談社文庫刊)(C)重松清/講談社　    【脚本】  吉田紀子　  ふじきみつ彦　    【編成企画】  水野綾子　    【プロデュース】  小林宙　    【演出】  土方政人　  植田泰史　    【音楽】  大友良英　    【劇中歌】  Sachiko　M　    【制作】  フジテレビ　    【制作著作】  共同テレビ</t>
  </si>
  <si>
    <t>夏休み明け、秋の首都圏大学野球連盟杯の応援に行っていた藤巻大介(柳葉敏郎)たち応援団は野球部の勝利を喜び上機嫌で団室に戻ってくる。齊藤裕一(反町隆史)は団員たちの成長を褒めて焼き肉をおごると言い出す。ところが球場に来られなかった山下正人(ほんこん)が現れると急に不機嫌になって帰ってしまう。  　後日、山下に誘われた大介はふたりで居酒屋へ行く。山下は具合の悪い母親の面倒をみるために次の日曜日に単身で大阪へ戻ることを決意していた。齊藤が怒っているのは、それを早く相談しなかったからだという。大事な“連れ"だからこそなかなか言い出せなかったという山下の言葉を大介は静かに聞く。大介は仲直りのきっかけにと山下の送別会を開こうと齊藤に電話するが、行かないと一蹴される。  　一方、チアリーダー部では練習中、小泉紫乃(長谷川ニイナ)を支えようとした葉月玲奈(高畑充希)がケガをしてしまう。駆けつけた大介と保阪翔(風間俊介)、吹奏楽部の園田善彦(山本涼介)に玲奈は自分が悪いと言い続ける。すると紫乃はいつも自分だけで責任を取ろうとする玲奈の態度は仲間として寂しいと言って飛び出していく。驚きながらもショックを受ける玲奈。  　山下の帰郷を翌日に控え、大介は齊藤と話すため齊藤が担当する作家・森田幸作(長谷川初範)の新刊発売イベント会場へ足を運ぶ。イベント会場には森田と犬猿の仲である原智子(森口瑤子)も来ていて…。“</t>
  </si>
  <si>
    <t>番組名あすなろ三三七拍子　#09</t>
  </si>
  <si>
    <t>首都圏大学野球連盟杯で翌檜(あすなろ)大学と京浜学院大学の対決が決まり、藤巻大介(柳葉敏郎)たち応援団の練習にもますます力が入る。大介は再び吹奏楽部の園田善彦(山本涼介)に、試合の日だけでも協力して欲しいと頼むが、その日はコンテストと重なっているため無理だと言われる。  　松下沙耶(剛力彩芽)は原智子(森口瑤子)のゼミを辞める決意をする。退ゼミ届の提出に向かった沙耶は、事務局から出てきた原から、大介と一緒にゼミ室に来るよう指示される。原は、ネット上にあがった、大介が不良に絡まれた時の写真を見せて事情を聞く。  　大介が、不良との乱闘は事実だと認めた数日後、応援団に無期限の活動停止処分が下る。ケイガク戦が応援できないどころか、事実上廃部に等しい処分に沙耶、保阪翔(風間俊介)、野口健太(大内田悠平)は激しく落ち込んだ。  　別の日、大介と齊藤裕一(反町隆史)は、荒川剛(西田敏行)に処分を報告するためエール物産に向かう。野球部が勝ち進んでいることに上機嫌な荒川は、ふたりを満面の笑顔で迎える。さらに、ここまでの大介の努力を認め、ケイガク戦が終わったら会社に戻すとまで言い出した。ますます言い出しづらくなる中、齊藤は恐る恐る活動停止処分について荒川に切り出し…。皆さま、これまで応援ありがとうございました!番組の終わりに素敵なプレゼントのお知らせがありますのでお見逃しなく!　    番組HP(http://www.fujitv.co.jp/asunaro337/)や番組公式Twitter(@asunaro337)もチェック!  撮影現場の様子や他ではわからない情報満載です。藤巻大介: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反町隆史【原作】  重松清「あすなろ三三七拍子」(講談社文庫刊)(C)重松清/講談社　    【脚本】  吉田紀子　  ふじきみつ彦　    【編成企画】  水野綾子　    【プロデュース】  小林宙　    【演出】  土方政人　  植田泰史　    【音楽】  大友良英　    【劇中歌】  Sachiko　M　    【制作】  フジテレビ　    【制作著作】  共同テレビ</t>
  </si>
  <si>
    <t>首都圏大学野球連盟杯で翌檜(あすなろ)大学と京浜学院大学の対決が決まり、藤巻大介(柳葉敏郎)たち応援団の練習にもますます力が入る。大介は再び吹奏楽部の園田善彦(山本涼介)に、試合の日だけでも協力して欲しいと頼むが、その日はコンテストと重なっているため無理だと言われる。  　松下沙耶(剛力彩芽)は原智子(森口瑤子)のゼミを辞める決意をする。退ゼミ届の提出に向かった沙耶は、事務局から出てきた原から、大介と一緒にゼミ室に来るよう指示される。原は、ネット上にあがった、大介が不良に絡まれた時の写真を見せて事情を聞く。  　大介が、不良との乱闘は事実だと認めた数日後、応援団に無期限の活動停止処分が下る。ケイガク戦が応援できないどころか、事実上廃部に等しい処分に沙耶、保阪翔(風間俊介)、野口健太(大内田悠平)は激しく落ち込んだ。  　別の日、大介と齊藤裕一(反町隆史)は、荒川剛(西田敏行)に処分を報告するためエール物産に向かう。野球部が勝ち進んでいることに上機嫌な荒川は、ふたりを満面の笑顔で迎える。さらに、ここまでの大介の努力を認め、ケイガク戦が終わったら会社に戻すとまで言い出した。ますます言い出しづらくなる中、齊藤は恐る恐る活動停止処分について荒川に切り出し…。</t>
  </si>
  <si>
    <t>1407_CX_火22</t>
  </si>
  <si>
    <t>GTO</t>
  </si>
  <si>
    <t>番組名GTO【学園ドラマ新シリーズ!鬼塚が母校で問題児にグレート授業!】　#01</t>
  </si>
  <si>
    <t>高校教師の鬼塚英吉(AKIRA)は、明修学苑の傘下に入った地元・湘南の母校に赴任。職員として学校に残るかつての担任教師・富士宮司(小野武彦)に再会。母校を懐かしむ鬼塚に、理事長の桜井良子(黒木瞳)は大いに暴れて欲しいと頼む。    　鬼塚は、藤川ほなみ(比嘉愛未)が担任を務める2年A組の副担任に。学級委員の葛木隆一(菊池風磨)や志条あゆな(松岡茉優)をはじめ、一見にぎやかなクラスだが、不登校の宮地めいり(三吉彩花)のことになると空気が変わる。放課後、鬼塚は読者モデルをしている女子生徒・波多野麻理子(松浦雅)が、トイレでのどに指を突っ込んで昼食を吐いているのを目撃する。    　その夜、親友の弾間龍二(城田優)が湘南で始めたカフェに鬼塚が向かうと、冴島俊行(山本裕典)が「彼女ができた」と大喜びで生徒の麻理子を連れてくる。しかし鬼塚を見て逃げ出した麻理子は、その後さらに別の男とラブホテルへ。読者モデルの人気投票イベントで何としても勝ちたい麻理子は、ライバルを蹴落とす捏造写真をでっちあげようとしていたのだが、追ってきた鬼塚に踏み込まれ再び逃げ出す。    　翌日、ラブホテルから出てきた鬼塚と麻理子の写真が匿名でばらまかれ、芹澤航平(竜星涼)や成瀬つぐみ(小芝風花)を始め、校内は騒然!副校長として赴任してきた内山田ひろし(田山涼成)は鬼塚にクビを宣告、麻理子も鬼塚との仲を疑われ…。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山岡潤平　    ほか　    【音楽】  羽岡佳　  海田庄吾　    【監督・脚本・編集】  飯塚健　    【演出】  白木啓一郎(関西テレビ)　  大塚徹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</si>
  <si>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高校教師の鬼塚英吉(AKIRA)は、明修学苑の傘下に入った地元・湘南の母校に赴任。職員として学校に残るかつての担任教師・富士宮司(小野武彦)に再会。母校を懐かしむ鬼塚に、理事長の桜井良子(黒木瞳)は大いに暴れて欲しいと頼む。    　鬼塚は、藤川ほなみ(比嘉愛未)が担任を務める2年A組の副担任に。学級委員の葛木隆一(菊池風磨)や志条あゆな(松岡茉優)をはじめ、一見にぎやかなクラスだが、不登校の宮地めいり(三吉彩花)のことになると空気が変わる。放課後、鬼塚は読者モデルをしている女子生徒・波多野麻理子(松浦雅)が、トイレでのどに指を突っ込んで昼食を吐いているのを目撃する。    　その夜、親友の弾間龍二(城田優)が湘南で始めたカフェに鬼塚が向かうと、冴島俊行(山本裕典)が「彼女ができた」と大喜びで生徒の麻理子を連れてくる。しかし鬼塚を見て逃げ出した麻理子は、その後さらに別の男とラブホテルへ。読者モデルの人気投票イベントで何としても勝ちたい麻理子は、ライバルを蹴落とす捏造写真をでっちあげようとしていたのだが、追ってきた鬼塚に踏み込まれ再び逃げ出す。    　翌日、ラブホテルから出てきた鬼塚と麻理子の写真が匿名でばらまかれ、芹澤航平(竜星涼)や成瀬つぐみ(小芝風花)を始め、校内は騒然!副校長として赴任してきた内山田ひろし(田山涼成)は鬼塚にクビを宣告、麻理子も鬼塚との仲を疑われ…。</t>
  </si>
  <si>
    <t>番組名GTO【家族崩壊の危機に鬼塚絶叫!純情少年を救え!涙のマラソン】　#02</t>
  </si>
  <si>
    <t>鬼塚(AKIRA)のクラスの生徒・宇佐美太一(佐野玲於)が病院で、ある障害を持つと診断された。太一を心配していた父親の雅史(奥田達士)、母親の美代子(山下容莉枝)はショックを受ける。  太一は学校でもとっぴな行動を繰り返し、クラスメイトにからかわれていた。ある日、授業中にいなくなった太一を探していた鬼塚は、砂浜で太一を発見。太一は、受験を控えた弟・佑二(横山幸汰)の合格を願い、望みが叶うお守りといわれているイルカの耳骨を集めていた。鬼塚は、太一の優しさに心を動かされ、一緒に耳骨を探し始めるが、同様に太一を探しに来たほなみ(比嘉愛未)に見つかり、授業に戻れとブチ切れられる。  翌日、雅史が学校に現れ、障害支援のある高校に太一を転校させると言い出す。その学校には寮があり、太一は家族と離れて暮らすという。雅史が太一に相談もせず、勝手に転校を決めたと聞いた鬼塚は猛反対するが、雅史は聞く耳を持たない。まもなく、転校を知った太一が家族と離れたくないと教室で暴れ出し、クラスメイトに殴りかかる。転校を阻止してやりたい鬼塚は桜井(黒木瞳)にかけ合うが、親の決断に従うしかないと諭され、どうすることもできない。  そんな折、太一は自分のせいで佑二が同級生にイジメられていたことを知ってがく然。その日から、教室で自分の腕をつねって衝動を抑え、動き出したいのを我慢するようになった。太一の様子が気になった鬼塚は…。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山岡潤平　    ほか　    【音楽】  羽岡佳　  海田庄吾　    【監督・脚本・編集】  飯塚健　    【演出】  白木啓一郎(関西テレビ)　  大塚徹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</si>
  <si>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鬼塚(AKIRA)のクラスの生徒・宇佐美太一(佐野玲於)が病院で、ある障害を持つと診断された。太一を心配していた父親の雅史(奥田達士)、母親の美代子(山下容莉枝)はショックを受ける。  太一は学校でもとっぴな行動を繰り返し、クラスメイトにからかわれていた。ある日、授業中にいなくなった太一を探していた鬼塚は、砂浜で太一を発見。太一は、受験を控えた弟・佑二(横山幸汰)の合格を願い、望みが叶うお守りといわれているイルカの耳骨を集めていた。鬼塚は、太一の優しさに心を動かされ、一緒に耳骨を探し始めるが、同様に太一を探しに来たほなみ(比嘉愛未)に見つかり、授業に戻れとブチ切れられる。  翌日、雅史が学校に現れ、障害支援のある高校に太一を転校させると言い出す。その学校には寮があり、太一は家族と離れて暮らすという。雅史が太一に相談もせず、勝手に転校を決めたと聞いた鬼塚は猛反対するが、雅史は聞く耳を持たない。まもなく、転校を知った太一が家族と離れたくないと教室で暴れ出し、クラスメイトに殴りかかる。転校を阻止してやりたい鬼塚は桜井(黒木瞳)にかけ合うが、親の決断に従うしかないと諭され、どうすることもできない。  そんな折、太一は自分のせいで佑二が同級生にイジメられていたことを知ってがく然。その日から、教室で自分の腕をつねって衝動を抑え、動き出したいのを我慢するようになった。太一の様子が気になった鬼塚は…。</t>
  </si>
  <si>
    <t>番組名GTO【鬼塚怒りの鉄拳!ストーカーに震える生徒を救え!謎の殺人予告】　#03</t>
  </si>
  <si>
    <t>2年A組の百合原さつき(木崎ゆりあ)がビーチで出会ったイケメンのノリ(平沼紀久)にひと目ぼれ。彼氏だったクラスメイトの徳山宏尚(堀井新太)をあっさりと振ったことから、2人は学校で大ゲンカに。事情を聞いた鬼塚(AKIRA)は、さつきに未練タラタラで別れ話に納得できない徳山を慰める。    一方、さつきは徳山の気持ちなど気にも留めず、バイト先のファストフード店でいつもと変わらぬ様子で笑顔を振りまいていた。店のサイトでブログを書いているさつきはファンの客も多く、アイドルのようにチヤホヤされることを楽しんでいたのだ。さらに、ノリが仲間と暮らすシェアハウスにも通い始め、2人の仲は急接近していく。そして数日後、ついにノリとキスをしたさつきに、徳山から中傷メールが届く。追い打ちをかけるように、家の外にはさつきの様子をうかがう徳山の姿が…。    さらに翌日、さつきに似たキャラクターが惨殺される残酷なゲームがネットに投稿され、殺人予告だと校内は騒然となる。姿を消した徳山を犯人だと疑う大前(風見しんご)は、徳山をかばった鬼塚を批難。内山田(田山涼成)も「場合によっては警察に通報する」と強硬な態度を見せ、徳山の行方を追う。  とうとう、さつきの母親が学校に乗り込んできて、ストーカー生徒を退学させろと迫る騒動にまで発展し、ほなみ(比嘉愛未)もなすすべもなく…。AKIRA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山岡潤平　    ほか　    【音楽】  羽岡佳　  海田庄吾　    【監督・脚本・編集】  飯塚健　    【演出】  白木啓一郎(関西テレビ)　  大塚徹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</si>
  <si>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2年A組の百合原さつき(木崎ゆりあ)がビーチで出会ったイケメンのノリ(平沼紀久)にひと目ぼれ。彼氏だったクラスメイトの徳山宏尚(堀井新太)をあっさりと振ったことから、2人は学校で大ゲンカに。事情を聞いた鬼塚(AKIRA)は、さつきに未練タラタラで別れ話に納得できない徳山を慰める。    一方、さつきは徳山の気持ちなど気にも留めず、バイト先のファストフード店でいつもと変わらぬ様子で笑顔を振りまいていた。店のサイトでブログを書いているさつきはファンの客も多く、アイドルのようにチヤホヤされることを楽しんでいたのだ。さらに、ノリが仲間と暮らすシェアハウスにも通い始め、2人の仲は急接近していく。そして数日後、ついにノリとキスをしたさつきに、徳山から中傷メールが届く。追い打ちをかけるように、家の外にはさつきの様子をうかがう徳山の姿が…。    さらに翌日、さつきに似たキャラクターが惨殺される残酷なゲームがネットに投稿され、殺人予告だと校内は騒然となる。姿を消した徳山を犯人だと疑う大前(風見しんご)は、徳山をかばった鬼塚を批難。内山田(田山涼成)も「場合によっては警察に通報する」と強硬な態度を見せ、徳山の行方を追う。  とうとう、さつきの母親が学校に乗り込んできて、ストーカー生徒を退学させろと迫る騒動にまで発展し、ほなみ(比嘉愛未)もなすすべもなく…。</t>
  </si>
  <si>
    <t>番組名GTO【不良少年に隠された出生の秘密…父は他人?鬼塚が繋ぐ家族の絆】　#04</t>
  </si>
  <si>
    <t>生徒の桐谷優(片寄涼太)は芹澤(竜星涼)とともに、バスケ部のエースと期待されていたが、突然、部活動を辞めて不良グループとつき合い始め、かつてのチームメイトと険悪な仲に。鬼塚(AKIRA)は退部の理由を探ろうと桐谷の父親・徹也(嶋田久作)を訪ねるが、そこに桐谷がケンカをして補導されたと連絡が入る。    　鬼塚、ほなみ(比嘉愛未)とともに警察に駆けつけた徹也に、桐谷は「俺はあんたの子じゃないんだろ」と吐き捨てる。桐谷は徹也とは血縁のない養子だった。その事実を偶然知ってしまい、だまされていたと怒りをぶつける桐谷に徹也は動揺を隠しきれない。    　問題を起こした桐谷は停学処分に。鬼塚が桐谷家を訪ねると、桐谷がグレたのは自分のせいだと徹也が苦しんでいた。徹也は妻を亡くした後、得意のバスケを教えながら男手一つで桐谷を育ててきたという。親子の心をつないでいたバスケも「うんざりだ」と拒絶され、徹也は親としての自信をなくしていた。    　一方、不良グループのもとに身を寄せていた桐谷は、頼まれたものを取りに公園へ。公衆トイレに隠されていた怪しい包みを持ち去ろうとしたとき、後をつけてきた鬼塚に踏み込まれる。桐谷を校内の自分の部屋に連れ帰り、徹也の思いを伝える鬼塚。そんな中、何気なく開けた包みの中にとんでもないものを発見して…。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田中眞一　    【音楽】  羽岡佳　  海田庄吾　    【監督】  大塚徹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</si>
  <si>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生徒の桐谷優(片寄涼太)は芹澤(竜星涼)とともに、バスケ部のエースと期待されていたが、突然、部活動を辞めて不良グループとつき合い始め、かつてのチームメイトと険悪な仲に。鬼塚(AKIRA)は退部の理由を探ろうと桐谷の父親・徹也(嶋田久作)を訪ねるが、そこに桐谷がケンカをして補導されたと連絡が入る。    　鬼塚、ほなみ(比嘉愛未)とともに警察に駆けつけた徹也に、桐谷は「俺はあんたの子じゃないんだろ」と吐き捨てる。桐谷は徹也とは血縁のない養子だった。その事実を偶然知ってしまい、だまされていたと怒りをぶつける桐谷に徹也は動揺を隠しきれない。    　問題を起こした桐谷は停学処分に。鬼塚が桐谷家を訪ねると、桐谷がグレたのは自分のせいだと徹也が苦しんでいた。徹也は妻を亡くした後、得意のバスケを教えながら男手一つで桐谷を育ててきたという。親子の心をつないでいたバスケも「うんざりだ」と拒絶され、徹也は親としての自信をなくしていた。    　一方、不良グループのもとに身を寄せていた桐谷は、頼まれたものを取りに公園へ。公衆トイレに隠されていた怪しい包みを持ち去ろうとしたとき、後をつけてきた鬼塚に踏み込まれる。桐谷を校内の自分の部屋に連れ帰り、徹也の思いを伝える鬼塚。そんな中、何気なく開けた包みの中にとんでもないものを発見して…。</t>
  </si>
  <si>
    <t>番組名GTO【鬼塚流いじめ撲滅大作戦!友達をかばう健気な女子生徒を救え!】　#05</t>
  </si>
  <si>
    <t>クラス劇で優勝を競う恒例行事「演劇祭」が近づいてきた。ほなみ(比嘉愛未)から昨年のA組の様子を聞いた鬼塚(AKIRA)は、演劇部のつぐみ(小芝風花)が先頭に立ってクラスを引っ張っていたと知る。    　そんなある日、智美(宮武美桜)と加奈子(伊藤沙莉)が、エアガンで撃ち抜かれた自分たちの写真を見つけて憤慨。ミリタリー好きの沼尻圭(武井証)の仕業と決めつけ、沼尻のエアガンを悪質なイタズラで台無しにした。復讐すると息巻く沼尻をなだめたつぐみは、大前(風見しんご)に事情を話す。    　その結果、智美らは大前に大目玉を食らい、大学推薦の取り消しをほのめかされてしまう。つぐみを逆恨みする智美たちは、クラス劇の演目に「シンデレラ」を提案し、主役につぐみを推薦。継母や姉の役を買って出ると、練習にかこつけてつぐみを突き飛ばし、陰湿なイジメを始める。　これを耳にした鬼塚はつぐみを救おうとするが、つぐみはイジメを否定。事実確認ができないからと、内山田(田山涼成)ら職員は様子見の姿勢。そんななか、つぐみがイジメに耐え抜く姿に心痛めていた鬼塚は、桜井理事長(黒木瞳)の“イジメは犯罪"という言葉に、何事かひらめいて…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山岡潤平　    【音楽】  羽岡佳　  海田庄吾　    【演出】  大塚徹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</si>
  <si>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クラス劇で優勝を競う恒例行事「演劇祭」が近づいてきた。ほなみ(比嘉愛未)から昨年のA組の様子を聞いた鬼塚(AKIRA)は、演劇部のつぐみ(小芝風花)が先頭に立ってクラスを引っ張っていたと知る。    　そんなある日、智美(宮武美桜)と加奈子(伊藤沙莉)が、エアガンで撃ち抜かれた自分たちの写真を見つけて憤慨。ミリタリー好きの沼尻圭(武井証)の仕業と決めつけ、沼尻のエアガンを悪質なイタズラで台無しにした。復讐すると息巻く沼尻をなだめたつぐみは、大前(風見しんご)に事情を話す。    　その結果、智美らは大前に大目玉を食らい、大学推薦の取り消しをほのめかされてしまう。つぐみを逆恨みする智美たちは、クラス劇の演目に「シンデレラ」を提案し、主役につぐみを推薦。継母や姉の役を買って出ると、練習にかこつけてつぐみを突き飛ばし、陰湿なイジメを始める。　これを耳にした鬼塚はつぐみを救おうとするが、つぐみはイジメを否定。事実確認ができないからと、内山田(田山涼成)ら職員は様子見の姿勢。そんななか、つぐみがイジメに耐え抜く姿に心痛めていた鬼塚は、桜井理事長(黒木瞳)の“イジメは犯罪"という言葉に、何事かひらめいて…</t>
  </si>
  <si>
    <t>番組名GTO【夢は叶わない?鬼塚夏休み授業!歌手目指す貧乏少女に親の反対】　#06</t>
  </si>
  <si>
    <t>ネットの動画サイトでギターを片手に歌う、話題の“謎の女性シンガー"が2年A組の柊佐奈(岡本夏美)だったとわかり、クラスは大騒ぎに。佐奈は4人兄弟の長女で早くに父親を亡くし、仕事で留守がちな母親・久美子(船木幸)に代わって幼い妹と弟たちの面倒を見ながら、アルバイトで家計を助けるがんばり屋。忙しい日々の合間に撮った歌の動画を多くの人に見てもらうことが、密かな楽しみだったのだ。佐奈の歌の才能を知った鬼塚(AKIRA)は麻理子(松浦雅)らクラスの生徒に声をかけ、プロシンガーのオーディションに合格させるプロジェクトを始動!発声やメイク、体力作りのジョギングなど、生徒たちがそれぞれの得意分野を生かして特訓につき合い、クラスを挙げて佐奈をサポートする。  オーディションも一次審査を見事突破し、盛り上がる鬼塚プロジェクトメンバー。そんな折、佐奈は大切にしていた父親の形見のギターが壊され、捨てられているのを発見する。さらには、とっくに届いているはずの二次審査の結果も来ず、失意のどん底に突き落とされる。    そのころ、鬼塚と生徒たちは特訓に来るはずの佐奈を待っていた。ところが、佐奈は現れず、携帯も繋がらなくなって…。AKIRA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ひかわかよ　    【音楽】  羽岡佳　  海田庄吾　    【演出】  白木啓一郎(関西テレビ)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</si>
  <si>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ネットの動画サイトでギターを片手に歌う、話題の“謎の女性シンガー"が2年A組の柊佐奈(岡本夏美)だったとわかり、クラスは大騒ぎに。佐奈は4人兄弟の長女で早くに父親を亡くし、仕事で留守がちな母親・久美子(船木幸)に代わって幼い妹と弟たちの面倒を見ながら、アルバイトで家計を助けるがんばり屋。忙しい日々の合間に撮った歌の動画を多くの人に見てもらうことが、密かな楽しみだったのだ。佐奈の歌の才能を知った鬼塚(AKIRA)は麻理子(松浦雅)らクラスの生徒に声をかけ、プロシンガーのオーディションに合格させるプロジェクトを始動!発声やメイク、体力作りのジョギングなど、生徒たちがそれぞれの得意分野を生かして特訓につき合い、クラスを挙げて佐奈をサポートする。  オーディションも一次審査を見事突破し、盛り上がる鬼塚プロジェクトメンバー。そんな折、佐奈は大切にしていた父親の形見のギターが壊され、捨てられているのを発見する。さらには、とっくに届いているはずの二次審査の結果も来ず、失意のどん底に突き落とされる。    そのころ、鬼塚と生徒たちは特訓に来るはずの佐奈を待っていた。ところが、佐奈は現れず、携帯も繋がらなくなって…。</t>
  </si>
  <si>
    <t>番組名GTO【妊娠高校生…悩む男子が暴力事件!見捨てる教師に鬼塚激怒!】　#07</t>
  </si>
  <si>
    <t>鬼塚(AKIRA)を中心にまとまりを見せ始めた2年A組の中で、生徒たちとの距離が縮められないことを気に病むほなみ(比嘉愛未)。そんな折、ほなみは思い詰めた様子で海辺に佇む葛木(菊池風磨)を見かけ、心配になって声をかける。だが、葛木は足早に立ち去ってしまった。あゆな(松岡茉優)から妊娠を告げられた葛木は、誰にも相談できず、動揺していた。  翌日、ほなみは葛木の様子を鬼塚に報告する。すると鬼塚は、その理由をなぜ葛木に直接聞かないのかとほなみを問いただし、生徒の問題から逃げていると指摘。ほなみは怒り出すが、鬼塚の言葉が鋭く胸に突き刺さっていた。  そんなある夜、夏祭りで葛木が他校の生徒・木内圭輔(高橋龍輝)とケンカをする騒ぎを起こした。ほなみは葛木から事情を聞くが、生徒に関心もないのに心配するふりをするなと突っぱねられてしまう。  明くる日、圭輔の父親で市議会議員の木内剛(佐戸井けん太)が学校に現れ葛木が一方的に因縁をつけ、暴力を振るったと主張。葛木に処分を下すよう内山田(田山涼成)に迫る。鬼塚は、葛木をかばうが、ほなみは反論もせず、木内の要求を受け入れてしまう。  納得できない鬼塚に対し、ほなみは学校の雑事に忙殺される教師にすべての生徒の問題と向き合う時間などないと反発。これに激怒した鬼塚は「教師ならしっかり踏みとどまって生徒と向き合え」と厳しく非難し、立ち去る。一人残されたほなみは…。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田中眞一　    【音楽】  羽岡佳　  海田庄吾　    【演出】  白木啓一郎(関西テレビ)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</si>
  <si>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鬼塚(AKIRA)を中心にまとまりを見せ始めた2年A組の中で、生徒たちとの距離が縮められないことを気に病むほなみ(比嘉愛未)。そんな折、ほなみは思い詰めた様子で海辺に佇む葛木(菊池風磨)を見かけ、心配になって声をかける。だが、葛木は足早に立ち去ってしまった。あゆな(松岡茉優)から妊娠を告げられた葛木は、誰にも相談できず、動揺していた。  翌日、ほなみは葛木の様子を鬼塚に報告する。すると鬼塚は、その理由をなぜ葛木に直接聞かないのかとほなみを問いただし、生徒の問題から逃げていると指摘。ほなみは怒り出すが、鬼塚の言葉が鋭く胸に突き刺さっていた。  そんなある夜、夏祭りで葛木が他校の生徒・木内圭輔(高橋龍輝)とケンカをする騒ぎを起こした。ほなみは葛木から事情を聞くが、生徒に関心もないのに心配するふりをするなと突っぱねられてしまう。  明くる日、圭輔の父親で市議会議員の木内剛(佐戸井けん太)が学校に現れ葛木が一方的に因縁をつけ、暴力を振るったと主張。葛木に処分を下すよう内山田(田山涼成)に迫る。鬼塚は、葛木をかばうが、ほなみは反論もせず、木内の要求を受け入れてしまう。  納得できない鬼塚に対し、ほなみは学校の雑事に忙殺される教師にすべての生徒の問題と向き合う時間などないと反発。これに激怒した鬼塚は「教師ならしっかり踏みとどまって生徒と向き合え」と厳しく非難し、立ち去る。一人残されたほなみは…。</t>
  </si>
  <si>
    <t>番組名GTO【夢絶たれたバスケ部エースに鬼塚授業…人生は絶対やり直せる!】　#08</t>
  </si>
  <si>
    <t>バスケ部のエース・芹澤(竜星涼)は、慢性硬膜下血腫と診断された。頭を打ったときに傷ついた血管から出血していたようだが、処置が早かったのが幸いし、大事には至らないと聞いた鬼塚(AKIRA)とほなみ(比嘉愛未)はホッと胸をなで下ろす。  バスケ部の全国制覇がかかった大切な試合が近づき、一日も早く復帰したい芹澤だったが思うように体が動かない。遊沢(荒井敦史)らチームメイトや顧問の神谷(丸山智己)に迷惑をかけたくないと、無理を押して練習に戻ろうとする芹澤を心配した鬼塚は、焦らずゆっくり治していこうとなだめる。  ところが、芹澤は完治を待たずに練習を再開。転倒して頭を打ち、病院に運ばれてしまう。その結果、治りかけていた血管の傷が再び出血し、脳が重いダメージを受けてしまったため、バスケはおろか立って歩くことすらできない深刻な障害が残ることに。  バスケでアメリカに留学することが決まり、夢だったプロ選手への道が開けようとしていた矢先、二度とバスケができないと宣告された芹澤は自暴自棄に。見舞いに来た遊沢らに当たり散らし、医師にはなんとしても治して欲しいと泣きすがる。一方、司令塔だった芹澤のいないバスケ部はチームプレーもままならず、イライラを募らせる部員たちも険悪なムードに。  一方、あゆな(松岡茉優)から、二人をつなぐ赤ちゃんはもういなくなったので、普通の友達に戻ろうと告げられた葛木(菊池風磨)は…。AKIRA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山岡潤平　    【音楽】  羽岡佳　  海田庄吾　    【演出】  白木啓一郎(関西テレビ)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</si>
  <si>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バスケ部のエース・芹澤(竜星涼)は、慢性硬膜下血腫と診断された。頭を打ったときに傷ついた血管から出血していたようだが、処置が早かったのが幸いし、大事には至らないと聞いた鬼塚(AKIRA)とほなみ(比嘉愛未)はホッと胸をなで下ろす。  バスケ部の全国制覇がかかった大切な試合が近づき、一日も早く復帰したい芹澤だったが思うように体が動かない。遊沢(荒井敦史)らチームメイトや顧問の神谷(丸山智己)に迷惑をかけたくないと、無理を押して練習に戻ろうとする芹澤を心配した鬼塚は、焦らずゆっくり治していこうとなだめる。  ところが、芹澤は完治を待たずに練習を再開。転倒して頭を打ち、病院に運ばれてしまう。その結果、治りかけていた血管の傷が再び出血し、脳が重いダメージを受けてしまったため、バスケはおろか立って歩くことすらできない深刻な障害が残ることに。  バスケでアメリカに留学することが決まり、夢だったプロ選手への道が開けようとしていた矢先、二度とバスケができないと宣告された芹澤は自暴自棄に。見舞いに来た遊沢らに当たり散らし、医師にはなんとしても治して欲しいと泣きすがる。一方、司令塔だった芹澤のいないバスケ部はチームプレーもままならず、イライラを募らせる部員たちも険悪なムードに。  一方、あゆな(松岡茉優)から、二人をつなぐ赤ちゃんはもういなくなったので、普通の友達に戻ろうと告げられた葛木(菊池風磨)は…。</t>
  </si>
  <si>
    <t>番組名GTO【教師と禁断の恋…不登校女子の危ない復讐!クラス崩壊の危機】　#09</t>
  </si>
  <si>
    <t>めいり(三吉彩花)の不審な行動に気づき始めていた鬼塚(AKIRA)は、教室にめいりが姿を現さない理由をほなみ(比嘉愛未)に直撃。前の担任教師・木原元一(竹財輝之助)とめいりが禁断の恋愛関係にあったと聞かされる。木原は人気教師だったが、このことをきっかけに校内で激しいバッシングを受け、心を病んで休職に追い込まれたという。この話を鬼塚がめいりに向けると、めいりは鬼塚が赴任してからA組で起こったトラブルは、自分が火付け役だったと白状。以前、皆が自分や木原にしたのと同じ、ちょっとした実験だと明かし、「学校もクラスのやつらも許せない」と恨みを口にする。鬼塚は「俺が絶対におめぇをクラスに戻す」とめいりに心を開かせようとするが…。    翌朝、校内の壁に「志条あゆなは葛木隆一の子供を妊娠している」という怪文書と産婦人科から出て来るあゆな(松岡茉優)の写真が無数に貼られ、職員や生徒たちは騒然。内山田(田山涼成)らはあゆなと葛木(菊池風磨)を問いただすが、すでに中絶手術を受けたとあゆなに打ち明けられ、この問題を隠匿しようとする。    翌日、鬼塚にめいりからメールが届く。そこに書かれたURLを開くと、「今から1時間後に…自殺します」と自殺をネットで生中継しようとするめいりの姿が…!AKIRA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田中眞一　    【音楽】  羽岡佳　  海田庄吾　    【演出】  白木啓一郎(関西テレビ)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</si>
  <si>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めいり(三吉彩花)の不審な行動に気づき始めていた鬼塚(AKIRA)は、教室にめいりが姿を現さない理由をほなみ(比嘉愛未)に直撃。前の担任教師・木原元一(竹財輝之助)とめいりが禁断の恋愛関係にあったと聞かされる。木原は人気教師だったが、このことをきっかけに校内で激しいバッシングを受け、心を病んで休職に追い込まれたという。この話を鬼塚がめいりに向けると、めいりは鬼塚が赴任してからA組で起こったトラブルは、自分が火付け役だったと白状。以前、皆が自分や木原にしたのと同じ、ちょっとした実験だと明かし、「学校もクラスのやつらも許せない」と恨みを口にする。鬼塚は「俺が絶対におめぇをクラスに戻す」とめいりに心を開かせようとするが…。    翌朝、校内の壁に「志条あゆなは葛木隆一の子供を妊娠している」という怪文書と産婦人科から出て来るあゆな(松岡茉優)の写真が無数に貼られ、職員や生徒たちは騒然。内山田(田山涼成)らはあゆなと葛木(菊池風磨)を問いただすが、すでに中絶手術を受けたとあゆなに打ち明けられ、この問題を隠匿しようとする。    翌日、鬼塚にめいりからメールが届く。そこに書かれたURLを開くと、「今から1時間後に…自殺します」と自殺をネットで生中継しようとするめいりの姿が…!</t>
  </si>
  <si>
    <t>番組名GTO【最終章突入!鬼塚10年前の悲劇とは?復讐の連鎖…生徒を守れ】　#10</t>
  </si>
  <si>
    <t>突然の腹痛に襲われたあゆな(松岡茉優)。病院に運んだ桜井理事長(黒木瞳)は、あゆなが鬼塚(AKIRA)や葛木(菊池風磨)らにはウソをついてまで、妊娠を継続していたことに驚く。一方、ほなみ(比嘉愛未)は、10年前に亡くなった兄・沢村(金井勇太)が鬼塚の高校時代の親友だったと富士宮(小野武彦)から聞かされ、思わぬ偶然に驚いていた。    翌朝、桐谷(片寄涼太)と遊沢(荒井敦史)が見知らぬ男たちにリンチを受け、校門の前に放置される騒ぎが起こった。前代未聞の事件に内山田(田山涼成)や大前(風見しんご)は動揺。ほなみは桐谷の体に鬼塚の過去を告発する怪文書が貼られているのを見つけるが、その驚くべき内容に衝撃を受け、とっさに文書を隠してしまう。    放課後、ほなみは鬼塚につきまとう男・瀧澤(阿部亮平)に声をかけられる。瀧澤は「鬼塚英吉は人殺しだ」と告げると、「沢村はあいつに殺されたようなもんだ」と言って立ち去った。捨てられないでいた怪文書を思わず見返すほなみ。そこには、生徒へのリンチは10年前に人を殺した鬼塚への「復讐」と書かれていた。    この件を龍二(城田優)に問いただしたほなみは、兄の死の真相を聞いてがく然となる。翌日、ほなみは自分が沢村の妹であることを鬼塚に告白。「あなたがいなければ、兄は、死ぬことはなかった!」とあふれ出す感情をぶつけて…。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山岡潤平　    【音楽】  羽岡佳　  海田庄吾　    【演出】  白木啓一郎(関西テレビ)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</si>
  <si>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突然の腹痛に襲われたあゆな(松岡茉優)。病院に運んだ桜井理事長(黒木瞳)は、あゆなが鬼塚(AKIRA)や葛木(菊池風磨)らにはウソをついてまで、妊娠を継続していたことに驚く。一方、ほなみ(比嘉愛未)は、10年前に亡くなった兄・沢村(金井勇太)が鬼塚の高校時代の親友だったと富士宮(小野武彦)から聞かされ、思わぬ偶然に驚いていた。    翌朝、桐谷(片寄涼太)と遊沢(荒井敦史)が見知らぬ男たちにリンチを受け、校門の前に放置される騒ぎが起こった。前代未聞の事件に内山田(田山涼成)や大前(風見しんご)は動揺。ほなみは桐谷の体に鬼塚の過去を告発する怪文書が貼られているのを見つけるが、その驚くべき内容に衝撃を受け、とっさに文書を隠してしまう。    放課後、ほなみは鬼塚につきまとう男・瀧澤(阿部亮平)に声をかけられる。瀧澤は「鬼塚英吉は人殺しだ」と告げると、「沢村はあいつに殺されたようなもんだ」と言って立ち去った。捨てられないでいた怪文書を思わず見返すほなみ。そこには、生徒へのリンチは10年前に人を殺した鬼塚への「復讐」と書かれていた。    この件を龍二(城田優)に問いただしたほなみは、兄の死の真相を聞いてがく然となる。翌日、ほなみは自分が沢村の妹であることを鬼塚に告白。「あなたがいなければ、兄は、死ぬことはなかった!」とあふれ出す感情をぶつけて…。</t>
  </si>
  <si>
    <t>番組名GTO【シリーズ完結!妊娠高校生の涙…鬼塚が一番伝えたい命の授業】　#11</t>
  </si>
  <si>
    <t>子どもを産むと決心したあゆな(松岡茉優)を案じる鬼塚(AKIRA)とほなみ(比嘉愛未)。だが、大前(風見しんご)は学校の評判に関わるという理由で、産むならあゆなを退学させるという。改めて意思を確かめる鬼塚に、あゆなは自分に宿った命を守り抜くといい、子どもを育てるために学校も辞めると宣言。その覚悟を聞いた桜井(黒木瞳)に、ある思いが…。    そんな折、家出をした葛木(菊池風磨)があゆなの前に現れ、子どもと3人で暮らそうと駆け落ちを持ちかけた。だが、あゆなは「何もわかってない」と拒絶。その理由がわからず、混乱する葛木は鬼塚の手で家に連れ戻されてしまう。    さっそく母親の一美(床嶋佳子)と口論になった葛木は、2人の仲を認めてくれなければ死ぬと自分に刃物を向ける。そんな葛木を鬼塚は「それがてめぇの覚悟か」と一喝。銀行へ連れて行くと、あゆなと子どもとの生活のため、現金輸送車を襲って金を奪えと葛木をけしかけ、包丁を持って駆け出す!    一方、妊娠の噂は広まり、ネット上にあゆなや葛木の実名までさらされ、学校や葛木家にマスコミが押しかける事態に。PTA会長の一美は、葛木の関与をもみ消して騒動をおさめるよう学校に圧力をかけるが、桜井はあゆなと葛木の双方を退学処分にすると宣告。桜井の思わぬ決断に職員らも驚く中、あゆなが出血して病院に運ばれたと知らせが入り…。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山岡潤平　    【音楽】  羽岡佳　  海田庄吾　    【監督・編集】  飯塚健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</si>
  <si>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子どもを産むと決心したあゆな(松岡茉優)を案じる鬼塚(AKIRA)とほなみ(比嘉愛未)。だが、大前(風見しんご)は学校の評判に関わるという理由で、産むならあゆなを退学させるという。改めて意思を確かめる鬼塚に、あゆなは自分に宿った命を守り抜くといい、子どもを育てるために学校も辞めると宣言。その覚悟を聞いた桜井(黒木瞳)に、ある思いが…。    そんな折、家出をした葛木(菊池風磨)があゆなの前に現れ、子どもと3人で暮らそうと駆け落ちを持ちかけた。だが、あゆなは「何もわかってない」と拒絶。その理由がわからず、混乱する葛木は鬼塚の手で家に連れ戻されてしまう。    さっそく母親の一美(床嶋佳子)と口論になった葛木は、2人の仲を認めてくれなければ死ぬと自分に刃物を向ける。そんな葛木を鬼塚は「それがてめぇの覚悟か」と一喝。銀行へ連れて行くと、あゆなと子どもとの生活のため、現金輸送車を襲って金を奪えと葛木をけしかけ、包丁を持って駆け出す!    一方、妊娠の噂は広まり、ネット上にあゆなや葛木の実名までさらされ、学校や葛木家にマスコミが押しかける事態に。PTA会長の一美は、葛木の関与をもみ消して騒動をおさめるよう学校に圧力をかけるが、桜井はあゆなと葛木の双方を退学処分にすると宣告。桜井の思わぬ決断に職員らも驚く中、あゆなが出血して病院に運ばれたと知らせが入り…。</t>
  </si>
  <si>
    <t>1407_CX_水22</t>
  </si>
  <si>
    <t>若者たち2014</t>
  </si>
  <si>
    <t>番組名フジテレビ開局55周年記念ドラマ　若者たち2014　#01</t>
  </si>
  <si>
    <t>佐藤旭(妻夫木聡)、ひかり(満島ひかり)、陽(柄本佑)、旦(野村周平)の兄弟は、東京・下町の年季が入った一軒家に暮らしている。4人のほかに、次男の暁(瑛太)もいるが、ある事情により家を離れていた。彼らは早くに両親を亡くしているため、長男の旭が親代わりとして兄弟たちを育ててきた。昔かたぎで頑固な旭は、お前たちを養ってきたのは自分だ、と口癖のように言うが、兄弟たちにはそれが煩わしい。  　工事現場で働く旭が昼食を買いに通う総菜店では、澤辺梓(蒼井優)が働いていた。  　長女のひかりは、大学病院の新生児集中治療室(NICU)で看護師として勤務していた。そこには、以前佐藤家の近くに住んでいたこともあり、兄弟が信頼している医師の新城正臣(吉岡秀隆)も勤務していた。  　大学で勉強よりも芝居に打ち込む陽は、座長として劇団を引っ張るが、自分と団員たちの熱量の違いにイライラを募らせる。  　事情により高校を中退した旦は、高校卒業の資格“高卒認定"を取るために予備校に通う日々を送る。そこには、謎めいた美少女の永原香澄(橋本愛)も通っていた。  　一方、ある場所から出てきた暁に、タバコを吸い作業着を着た屋代多香子(長澤まさみ)が声をかけてきた。突然、「あなたが母を殺したんだろう」と言われた暁は…。  　兄弟5人がさまざまな事情や問題を抱える佐藤家に、やがて思いも寄らない出来事が起こりーー。佐藤旭: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</si>
  <si>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佐藤旭(妻夫木聡)、ひかり(満島ひかり)、陽(柄本佑)、旦(野村周平)の兄弟は、東京・下町の年季が入った一軒家に暮らしている。4人のほかに、次男の暁(瑛太)もいるが、ある事情により家を離れていた。彼らは早くに両親を亡くしているため、長男の旭が親代わりとして兄弟たちを育ててきた。昔かたぎで頑固な旭は、お前たちを養ってきたのは自分だ、と口癖のように言うが、兄弟たちにはそれが煩わしい。  　工事現場で働く旭が昼食を買いに通う総菜店では、澤辺梓(蒼井優)が働いていた。  　長女のひかりは、大学病院の新生児集中治療室(NICU)で看護師として勤務していた。そこには、以前佐藤家の近くに住んでいたこともあり、兄弟が信頼している医師の新城正臣(吉岡秀隆)も勤務していた。  　大学で勉強よりも芝居に打ち込む陽は、座長として劇団を引っ張るが、自分と団員たちの熱量の違いにイライラを募らせる。  　事情により高校を中退した旦は、高校卒業の資格“高卒認定"を取るために予備校に通う日々を送る。そこには、謎めいた美少女の永原香澄(橋本愛)も通っていた。  　一方、ある場所から出てきた暁に、タバコを吸い作業着を着た屋代多香子(長澤まさみ)が声をかけてきた。突然、「あなたが母を殺したんだろう」と言われた暁は…。  　兄弟5人がさまざまな事情や問題を抱える佐藤家に、やがて思いも寄らない出来事が起こりーー。</t>
  </si>
  <si>
    <t>番組名フジテレビ開局55周年記念ドラマ　若者たち2014　#02</t>
  </si>
  <si>
    <t>出所した佐藤暁(瑛太)が戻ってきたことで、佐藤家は大混乱となる。旭(妻夫木聡)と陽(柄本佑)は同居は認めないと言い、旦(野村周平)は暁のせいで高校を中退するはめになった、と怒りをあらわにする。ひかり(満島ひかり)はそんなやりとりを見つめていた。  　そのうち陽が、問題はまるで罪を悔いている様子がない暁の態度だと指摘。それに対して暁は、陽の言う罪を悔いる様子とは何なのか、自分は2年刑務所にいて十分罪は償っている、と言い返す。すると旭が暁に、まず3000万円をだまし取った後に亡くなった屋代昌江(根岸季衣)の家族に謝罪に行けと命じる。しかし、暁は聞き流すと旭のへそくりを手にして家を出て行く。  　その後、屋代家を訪ねたのは旭だった。昌江の遺影の前で手を合わせた旭に、娘の多香子(長澤まさみ)は、なぜ暁が来ないのか、と文句を言う。そんな多香子と部屋を見回した旭は、ある違和感を抱く。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</si>
  <si>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出所した佐藤暁(瑛太)が戻ってきたことで、佐藤家は大混乱となる。旭(妻夫木聡)と陽(柄本佑)は同居は認めないと言い、旦(野村周平)は暁のせいで高校を中退するはめになった、と怒りをあらわにする。ひかり(満島ひかり)はそんなやりとりを見つめていた。  　そのうち陽が、問題はまるで罪を悔いている様子がない暁の態度だと指摘。それに対して暁は、陽の言う罪を悔いる様子とは何なのか、自分は2年刑務所にいて十分罪は償っている、と言い返す。すると旭が暁に、まず3000万円をだまし取った後に亡くなった屋代昌江(根岸季衣)の家族に謝罪に行けと命じる。しかし、暁は聞き流すと旭のへそくりを手にして家を出て行く。  　その後、屋代家を訪ねたのは旭だった。昌江の遺影の前で手を合わせた旭に、娘の多香子(長澤まさみ)は、なぜ暁が来ないのか、と文句を言う。そんな多香子と部屋を見回した旭は、ある違和感を抱く。</t>
  </si>
  <si>
    <t>番組名フジテレビ開局55周年記念ドラマ　若者たち2014　#03</t>
  </si>
  <si>
    <t>佐藤家に戻った暁(瑛太)は、仕事もせず夜な夜なナンパを繰り返す自分を正当化する理由をまくし立てる。金持ちの女性と知り合い逆玉の輿を狙っていると自慢げに話す暁を、旭(妻夫木聡)は痛烈に批判。どれだけ大変でも人間は働く者なんだ、と暁の主張を退けるが、陽(柄本佑)は、我慢してまで働くのはアイデンティティーの喪失につながりかねない、などと反論する。そこにひかり(満島ひかり)や旦(野村周平)も加わり、いつものように言い争いが始まった。  　旭は、そんな弟妹たちを、社会に出ていない半人前の考えだ、と決めつけたように言う。すると暁が、10年前に自分がこの家を出た理由を弟妹たちに教えても同じことが言えるのか、と詰め寄り、10年前のことを謝罪するまで、旭を兄だとは認めない、と言い放つ。旭は、ならば家には来るな、と怒りをあらわにするが、暁はこの家は父親が子供たちに残してくれたものだから、当然自分にも住む権利があると言う。そんな弟に旭は…。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</si>
  <si>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佐藤家に戻った暁(瑛太)は、仕事もせず夜な夜なナンパを繰り返す自分を正当化する理由をまくし立てる。金持ちの女性と知り合い逆玉の輿を狙っていると自慢げに話す暁を、旭(妻夫木聡)は痛烈に批判。どれだけ大変でも人間は働く者なんだ、と暁の主張を退けるが、陽(柄本佑)は、我慢してまで働くのはアイデンティティーの喪失につながりかねない、などと反論する。そこにひかり(満島ひかり)や旦(野村周平)も加わり、いつものように言い争いが始まった。  　旭は、そんな弟妹たちを、社会に出ていない半人前の考えだ、と決めつけたように言う。すると暁が、10年前に自分がこの家を出た理由を弟妹たちに教えても同じことが言えるのか、と詰め寄り、10年前のことを謝罪するまで、旭を兄だとは認めない、と言い放つ。旭は、ならば家には来るな、と怒りをあらわにするが、暁はこの家は父親が子供たちに残してくれたものだから、当然自分にも住む権利があると言う。そんな弟に旭は…。</t>
  </si>
  <si>
    <t>番組名フジテレビ開局55周年記念ドラマ　若者たち2014　#04</t>
  </si>
  <si>
    <t>佐藤旭(妻夫木聡)と澤辺梓(蒼井優)は暁(瑛太)ら弟妹に見守られながら、婚姻届けにサインをした。  　1カ月後、陽(柄本佑)が演出を手がける舞台「飛龍伝」のチケットとチラシが出来上がってきた。しかし、旭は苦しい家計を助けるために芝居など辞めて就職しろ、と文句を言う。自分の就職が決まらないから、夢を諦めろというのは筋違いだ、と言い返す陽に、暁もひかり(満島ひかり)も旦(野村周平)も賛同する。　そんななか、劇団の資金30万円を劇団員の斉藤昌伸(小久保寿人)が持ち逃げするという事件が起こる。舞台の上演のために必要な経費がなくなり、陽たちは途方に暮れるが、今や女優として芝居に打ち込む永原香澄(橋本愛)は、斉藤を探そう、と諦めない。  　病院にいたひかりは、同僚の内海弘喜(馬場徹)から新城正臣(吉岡秀隆)が不倫をしているらしいと聞きドキリとするが、その証拠だと言って新城のデスクから取り出した写真には自分ではない女性が写っていた。ひかりはそこに書かれた「キッカワミズキ」という名前が気にかかる。  　斉藤が見つからず、資金繰りに苦労し劇団の統制も失われた陽は舞台の中止を決める。弟妹たちは仕方がないと励ますが、それを聞いた旭は、お前に覚悟がないからこうなったのだと怒り、舞台を上演しろ、と命じる。しなければ家から出て行け、と怒る旭に、弟妹たちはあ然とする。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</si>
  <si>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佐藤旭(妻夫木聡)と澤辺梓(蒼井優)は暁(瑛太)ら弟妹に見守られながら、婚姻届けにサインをした。  　1カ月後、陽(柄本佑)が演出を手がける舞台「飛龍伝」のチケットとチラシが出来上がってきた。しかし、旭は苦しい家計を助けるために芝居など辞めて就職しろ、と文句を言う。自分の就職が決まらないから、夢を諦めろというのは筋違いだ、と言い返す陽に、暁もひかり(満島ひかり)も旦(野村周平)も賛同する。　そんななか、劇団の資金30万円を劇団員の斉藤昌伸(小久保寿人)が持ち逃げするという事件が起こる。舞台の上演のために必要な経費がなくなり、陽たちは途方に暮れるが、今や女優として芝居に打ち込む永原香澄(橋本愛)は、斉藤を探そう、と諦めない。  　病院にいたひかりは、同僚の内海弘喜(馬場徹)から新城正臣(吉岡秀隆)が不倫をしているらしいと聞きドキリとするが、その証拠だと言って新城のデスクから取り出した写真には自分ではない女性が写っていた。ひかりはそこに書かれた「キッカワミズキ」という名前が気にかかる。  　斉藤が見つからず、資金繰りに苦労し劇団の統制も失われた陽は舞台の中止を決める。弟妹たちは仕方がないと励ますが、それを聞いた旭は、お前に覚悟がないからこうなったのだと怒り、舞台を上演しろ、と命じる。しなければ家から出て行け、と怒る旭に、弟妹たちはあ然とする。</t>
  </si>
  <si>
    <t>番組名フジテレビ開局55周年記念ドラマ　若者たち2014　#05</t>
  </si>
  <si>
    <t>家の前で倒れていた妻・梓(蒼井優)を慌てて救急病院に連れて行く旭(妻夫木聡)。医師の診断によると前置胎盤による貧血だという。旭は、お腹の子が早産の超低出生体重児の可能性があると聞いて焦るが、普通に出産できるケースもあると聞いてひとまず安心する。  　医者の言葉にすっかり安心して、早産についても前向きに考えるようになった旭に対し、そんな軽く考えるな、と激怒するひかり(満島ひかり)。旭がどれほど兄弟たちの「親代わり」となってきたか言い張るうちに、兄弟の間で「本当の親とはなにか」について、相変わらずの言い合いとなる。  　転院した赤ん坊を引き連れ、改めて新城正臣(吉岡秀隆)のもとで診てもらいたいと訪ねてくる仲川志保(中村優子)。以前からひかりが作っていた赤ん坊のアルバムを見せると、「育てる自信がないんです。…産まなきゃよかった…」と思わず漏らす。　その頃、陽(柄本佑)と永原香澄(橋本愛)は初公演の成功を祝って劇団員たちと飲んでいた。そこへやってきた旦(野村周平)は、香澄を呼ぶと、勇気を振り絞って「つきあってほしい」と告白する。そこへ陽がやってきて、香澄は…。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</si>
  <si>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家の前で倒れていた妻・梓(蒼井優)を慌てて救急病院に連れて行く旭(妻夫木聡)。医師の診断によると前置胎盤による貧血だという。旭は、お腹の子が早産の超低出生体重児の可能性があると聞いて焦るが、普通に出産できるケースもあると聞いてひとまず安心する。  　医者の言葉にすっかり安心して、早産についても前向きに考えるようになった旭に対し、そんな軽く考えるな、と激怒するひかり(満島ひかり)。旭がどれほど兄弟たちの「親代わり」となってきたか言い張るうちに、兄弟の間で「本当の親とはなにか」について、相変わらずの言い合いとなる。  　転院した赤ん坊を引き連れ、改めて新城正臣(吉岡秀隆)のもとで診てもらいたいと訪ねてくる仲川志保(中村優子)。以前からひかりが作っていた赤ん坊のアルバムを見せると、「育てる自信がないんです。…産まなきゃよかった…」と思わず漏らす。　その頃、陽(柄本佑)と永原香澄(橋本愛)は初公演の成功を祝って劇団員たちと飲んでいた。そこへやってきた旦(野村周平)は、香澄を呼ぶと、勇気を振り絞って「つきあってほしい」と告白する。そこへ陽がやってきて、香澄は…。</t>
  </si>
  <si>
    <t>番組名フジテレビ開局55周年記念ドラマ　若者たち2014　#06</t>
  </si>
  <si>
    <t>「女子バレーボールワールドグランプリ2014日本×ロシア」延長の際、放送時間繰り下げの場合あり。　永原香澄(橋本愛)と付き合うことになった佐藤旦(野村周平)は浮かれまくる。それを見た陽(柄本佑)は、受験でつまずかなければいいが、と皮肉を言う。  　ひかり(満島ひかり)は、新城正臣(吉岡秀隆)からリサ・ローブのライブに誘われる。リサ・ローブは新城が学生時代から好きだったシンガー・ソングライターだという。嬉しいひかりは、大量のCDを買い込んで予習を始める。旭(妻夫木聡)は、そんなひかりを黙認する。　同じ頃、屋代多香子(長澤まさみ)の家の倉庫でギターを見つけた暁(瑛太)は、それをつま弾く。そこへ来た多香子は、ギターを弾くのも見るのもつらいから捨ててくれ、と頼む。暁がひかりの影響で最近ずっと聴いていたリサ・ローブの曲を弾くと、多香子は彼女の曲を聴いてギターを始めたのだ、と明かした。  　ライブ当日、会場には「チケット譲ってください」と書かれたボードを持った暁がいた。チケットを取っていないにも関わらず、多香子が行きたいと言い出したのだ。そこへ遅れて多香子がやってくる。ライブ用にドレスアップした彼女に暁は目を奪われる。さらに、ひかりと新城もやってくる。そこで新城の携帯が鳴った。相手は妻の美穂(斉藤由貴)で、新城のマンションにいて、そばには旭もいると言う。後で連絡すると言うと、新城はチケットをひかりに渡してその場を去る。それを見送るしかないひかり。暁はひかりが手にしたチケットを取り上げ…。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</si>
  <si>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「女子バレーボールワールドグランプリ2014日本×ロシア」延長の際、放送時間繰り下げの場合あり。　永原香澄(橋本愛)と付き合うことになった佐藤旦(野村周平)は浮かれまくる。それを見た陽(柄本佑)は、受験でつまずかなければいいが、と皮肉を言う。  　ひかり(満島ひかり)は、新城正臣(吉岡秀隆)からリサ・ローブのライブに誘われる。リサ・ローブは新城が学生時代から好きだったシンガー・ソングライターだという。嬉しいひかりは、大量のCDを買い込んで予習を始める。旭(妻夫木聡)は、そんなひかりを黙認する。　同じ頃、屋代多香子(長澤まさみ)の家の倉庫でギターを見つけた暁(瑛太)は、それをつま弾く。そこへ来た多香子は、ギターを弾くのも見るのもつらいから捨ててくれ、と頼む。暁がひかりの影響で最近ずっと聴いていたリサ・ローブの曲を弾くと、多香子は彼女の曲を聴いてギターを始めたのだ、と明かした。  　ライブ当日、会場には「チケット譲ってください」と書かれたボードを持った暁がいた。チケットを取っていないにも関わらず、多香子が行きたいと言い出したのだ。そこへ遅れて多香子がやってくる。ライブ用にドレスアップした彼女に暁は目を奪われる。さらに、ひかりと新城もやってくる。そこで新城の携帯が鳴った。相手は妻の美穂(斉藤由貴)で、新城のマンションにいて、そばには旭もいると言う。後で連絡すると言うと、新城はチケットをひかりに渡してその場を去る。それを見送るしかないひかり。暁はひかりが手にしたチケットを取り上げ…。</t>
  </si>
  <si>
    <t>番組名フジテレビ開局55周年記念ドラマ　若者たち2014　#07</t>
  </si>
  <si>
    <t>ある朝、旭(妻夫木聡)と梓(蒼井優)は、子供に付ける名前をめぐって口論していた。旭のアイデアにあきれた梓は、旭ら兄弟のように「太陽」をイメージした名前にしてみては、と提案。旭は、旭と梓のように「あ」から始まって、太陽をイメージする名前を考え始める。  　その頃、旦(野村周平)は、陽(柄本佑)がしていたバングルが香澄(橋本愛)のものと同じだと気づき、ショックを受ける。  　一方、新城(吉岡秀隆)からメールを受け取ったひかり(満島ひかり)は、大事な話があるので今夜会いたい、という文面に、よくない話を切り出されるのではと不安に陥る。そんな中、朝食当番である暁(瑛太)は、朝食にカップ麺を用意。暁の無精に激怒する旭。  　夜になり、ひかりは新城と会う。行き場を失った2人の関係に、ひかりは…。  　翌朝、旭の出勤後に、梓がやってくる。洗濯物を片付けようと旭の部屋にあがった梓に、ひかりが声をかけるが、反応がない。ひかりが部屋をのぞくと、梓が倒れていた。救急車を手配し、自分が勤める病院へ梓を連れていくひかり。慌てて駆けつけた旭は、帝王切開の手術が行われると聞かされ…。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</si>
  <si>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ある朝、旭(妻夫木聡)と梓(蒼井優)は、子供に付ける名前をめぐって口論していた。旭のアイデアにあきれた梓は、旭ら兄弟のように「太陽」をイメージした名前にしてみては、と提案。旭は、旭と梓のように「あ」から始まって、太陽をイメージする名前を考え始める。  　その頃、旦(野村周平)は、陽(柄本佑)がしていたバングルが香澄(橋本愛)のものと同じだと気づき、ショックを受ける。  　一方、新城(吉岡秀隆)からメールを受け取ったひかり(満島ひかり)は、大事な話があるので今夜会いたい、という文面に、よくない話を切り出されるのではと不安に陥る。そんな中、朝食当番である暁(瑛太)は、朝食にカップ麺を用意。暁の無精に激怒する旭。  　夜になり、ひかりは新城と会う。行き場を失った2人の関係に、ひかりは…。  　翌朝、旭の出勤後に、梓がやってくる。洗濯物を片付けようと旭の部屋にあがった梓に、ひかりが声をかけるが、反応がない。ひかりが部屋をのぞくと、梓が倒れていた。救急車を手配し、自分が勤める病院へ梓を連れていくひかり。慌てて駆けつけた旭は、帝王切開の手術が行われると聞かされ…。</t>
  </si>
  <si>
    <t>番組名フジテレビ開局55周年記念ドラマ　若者たち2014　#08</t>
  </si>
  <si>
    <t>佐藤旭(妻夫木聡)は、娘・あかりの容態が安定したことに安堵する。嬉しくてあかりにあれこれ話しかける旭を、梓(蒼井優)はほほ笑ましく見る。  　そんな折、香澄(橋本愛)の裸の画像がインターネット上に流出するという事件が起こる。陽(柄本佑)に事情を聞かれた香澄は、旦(野村周平)の携帯カメラで撮ったものだと明かした。  　陽が問いただすと、旦はそれを認め、1枚載せたくらいじゃ誰も気付かない、と開き直る。その態度に怒りが爆発した陽は、自分のやったことの意味が分かっているのか、と旦を責め立てる。  　画像はすでに香澄の学校でも話題となっていて、香澄は追い込まれる。芝居の稽古を休んだ香澄を心配して陽が自宅を訪ねると、香澄は部屋に閉じこもっているという。  　陽から事情を聞いた旭が血相を変えて自宅に戻ってきた。そんな旭にひかり(満島ひかり)は、旦は追い詰められたら何をするかわからないから、叱る前に話し合おうと提案。何をするのか、と聞いた暁(瑛太)に、陽は旦が高校を退学するきっかけになったある出来事を話す。  　押し入れに閉じこもる旦を引っ張り出した旭は、香澄の自宅に連れていく。応対した父(鶴見辰吾)と母(山下容莉枝)の後ろから、香澄が現れた。佐藤旭: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</si>
  <si>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佐藤旭(妻夫木聡)は、娘・あかりの容態が安定したことに安堵する。嬉しくてあかりにあれこれ話しかける旭を、梓(蒼井優)はほほ笑ましく見る。  　そんな折、香澄(橋本愛)の裸の画像がインターネット上に流出するという事件が起こる。陽(柄本佑)に事情を聞かれた香澄は、旦(野村周平)の携帯カメラで撮ったものだと明かした。  　陽が問いただすと、旦はそれを認め、1枚載せたくらいじゃ誰も気付かない、と開き直る。その態度に怒りが爆発した陽は、自分のやったことの意味が分かっているのか、と旦を責め立てる。  　画像はすでに香澄の学校でも話題となっていて、香澄は追い込まれる。芝居の稽古を休んだ香澄を心配して陽が自宅を訪ねると、香澄は部屋に閉じこもっているという。  　陽から事情を聞いた旭が血相を変えて自宅に戻ってきた。そんな旭にひかり(満島ひかり)は、旦は追い詰められたら何をするかわからないから、叱る前に話し合おうと提案。何をするのか、と聞いた暁(瑛太)に、陽は旦が高校を退学するきっかけになったある出来事を話す。  　押し入れに閉じこもる旦を引っ張り出した旭は、香澄の自宅に連れていく。応対した父(鶴見辰吾)と母(山下容莉枝)の後ろから、香澄が現れた。</t>
  </si>
  <si>
    <t>番組名フジテレビ開局55周年記念ドラマ　若者たち2014　#09</t>
  </si>
  <si>
    <t>暁(瑛太)は、最近、多香子(長澤まさみ)が携帯メールを受け取る度に顔を曇らせていることが気にかかる。  　そんな折、暁が自宅に戻ると顔を腫らした旭(妻夫木聡)が、梓(蒼井優)に手当てをしてもらっていた。警備の仕事中、手を出してきた客と殴り合いになったのだという。  　別の日、旭と梓は新城(吉岡秀隆)からあかりの容態について説明を受けていた。気道が炎症を起こしているものの深刻な状況ではないと言われるが、梓は不安が晴れない。そんなふたりを、ひかり(満島ひかり)が見ていた。  　一方、暁と多香子が農作業を終えた頃、多香子の携帯に「土居正登」という人物から着信があった。暁は、電話に出ずおびえる多香子に、メールの送り主と同じか、と尋ねる。多香子は、土居(鈴木一真)は著名な音楽プロデューサーで以前接点があったのだ、と答える。  　同じ頃、自宅で台本の直しをしていた陽(柄本佑)は、旦(野村周平)に書き直したせりふの感想を聞く。旦は、自分のせいで香澄(橋本愛)が劇団を辞めざるを得なくなったことを謝る。  　その頃、旭は夕食の支度をしていた梓に買い物を頼まれ家を出る。旭に付き合った暁は、コンビニの雑誌コーナーで土居が特集された雑誌を見つける。  　ふたりが自宅に戻ると、ひかり、陽、旦、梓が食事を始めていた。多香子の不在に気づいた暁が聞くと、電話をしに行ったという。嫌な予感がした暁は…。佐藤旭: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</si>
  <si>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暁(瑛太)は、最近、多香子(長澤まさみ)が携帯メールを受け取る度に顔を曇らせていることが気にかかる。  　そんな折、暁が自宅に戻ると顔を腫らした旭(妻夫木聡)が、梓(蒼井優)に手当てをしてもらっていた。警備の仕事中、手を出してきた客と殴り合いになったのだという。  　別の日、旭と梓は新城(吉岡秀隆)からあかりの容態について説明を受けていた。気道が炎症を起こしているものの深刻な状況ではないと言われるが、梓は不安が晴れない。そんなふたりを、ひかり(満島ひかり)が見ていた。  　一方、暁と多香子が農作業を終えた頃、多香子の携帯に「土居正登」という人物から着信があった。暁は、電話に出ずおびえる多香子に、メールの送り主と同じか、と尋ねる。多香子は、土居(鈴木一真)は著名な音楽プロデューサーで以前接点があったのだ、と答える。  　同じ頃、自宅で台本の直しをしていた陽(柄本佑)は、旦(野村周平)に書き直したせりふの感想を聞く。旦は、自分のせいで香澄(橋本愛)が劇団を辞めざるを得なくなったことを謝る。  　その頃、旭は夕食の支度をしていた梓に買い物を頼まれ家を出る。旭に付き合った暁は、コンビニの雑誌コーナーで土居が特集された雑誌を見つける。  　ふたりが自宅に戻ると、ひかり、陽、旦、梓が食事を始めていた。多香子の不在に気づいた暁が聞くと、電話をしに行ったという。嫌な予感がした暁は…。</t>
  </si>
  <si>
    <t>番組名フジテレビ開局55周年記念ドラマ　若者たち2014　#10</t>
  </si>
  <si>
    <t>旭(妻夫木聡)は、ひかり(満島ひかり)や梓(蒼井優)が見守る中、容態の安定したあかりを抱き上げて男泣きする。  　1カ月後、佐藤家のリビングで旭がはしゃいでいた。そろそろあかりの退院が決まる頃だが、そこへ新城(吉岡秀隆)から呼び出しがあったため、これは間違いない、と言うのだ。暁(瑛太)らはいぶかしがるが、旭は聞く耳を持たない。  　その後、梓とともに病院を訪ねた旭に、新城はあかりの精密検査の結果を伝える。  　夕方、陽(柄本佑)と旦(野村周平)は、旭が寿司を買って帰ってくるのを待っていたが、帰宅したのはひかりだった。ひかりは、兄弟たちにあかりの検査結果について話した。そこへ、寿司を手にした旭と梓が帰ってくる。  　そんな頃、新城に、ある大学病院の教授職への推薦話が舞い込む。上司からそれを伝えられた新城は、少し考えさせてほしいと頼む。  　同じ頃、意を決して学校へやってきた香澄(橋本愛)は、同級生に声を掛けられる。明るいその態度に安堵(あんど)したのもつかの間、香澄の机のなかから裸の画像のコピーが出てくる。  　一方、仕事場にいた旭にひかりから電話がかかってくる。搾乳に来るはずの梓が病院に来ていないという。それを聞いた旭は…。佐藤旭: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</si>
  <si>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旭(妻夫木聡)は、ひかり(満島ひかり)や梓(蒼井優)が見守る中、容態の安定したあかりを抱き上げて男泣きする。  　1カ月後、佐藤家のリビングで旭がはしゃいでいた。そろそろあかりの退院が決まる頃だが、そこへ新城(吉岡秀隆)から呼び出しがあったため、これは間違いない、と言うのだ。暁(瑛太)らはいぶかしがるが、旭は聞く耳を持たない。  　その後、梓とともに病院を訪ねた旭に、新城はあかりの精密検査の結果を伝える。  　夕方、陽(柄本佑)と旦(野村周平)は、旭が寿司を買って帰ってくるのを待っていたが、帰宅したのはひかりだった。ひかりは、兄弟たちにあかりの検査結果について話した。そこへ、寿司を手にした旭と梓が帰ってくる。  　そんな頃、新城に、ある大学病院の教授職への推薦話が舞い込む。上司からそれを伝えられた新城は、少し考えさせてほしいと頼む。  　同じ頃、意を決して学校へやってきた香澄(橋本愛)は、同級生に声を掛けられる。明るいその態度に安堵(あんど)したのもつかの間、香澄の机のなかから裸の画像のコピーが出てくる。  　一方、仕事場にいた旭にひかりから電話がかかってくる。搾乳に来るはずの梓が病院に来ていないという。それを聞いた旭は…。</t>
  </si>
  <si>
    <t>番組名フジテレビ開局55周年記念ドラマ　若者たち2014　#11</t>
  </si>
  <si>
    <t>多香子(長澤まさみ)から、佐藤家の土地に買い手が付いたと聞かされた旭(妻夫木聡)は、土地を手放す決心をする。その決断に暁(瑛太)らは猛反発するが、旭は自分が売ると言ったら売るんだ、と譲らない。  　その後、梓(蒼井優)とともに病院に行った旭は、そこで会った新城(吉岡秀隆)に土地の話をする。新たな一歩を踏み出すために売るんだろう、と新城は旭の心情を察する。  　同じ頃、劇団の稽古場に向かって歩いていた陽(柄本佑)と旦(野村周平)は、自分たちの将来の不安を口にする。そんななか、稽古場の扉を開けると、そこに香澄(橋本愛)がいた。  　暁は多香子とともに、多香子の兄・正一(小林高鹿)に会いに行き、土地の権利書の返却を頼むが断られる。証券マンの正一は、土地を売った金の使い道はすでに決まっているため、その代わりになる金がなければ無理だと言う。暁は、自分が多香子の母から奪った3000万円が手つかずだと切り出した。  　そんな夜、旭は、ひかり(満島ひかり)、陽、旦に、土地を売ることは自分たちが旅立つきっかけになる、と話していた。そこへ、暁が帰ってきて3000万円のことを明かした。旭が、金があるなら今すぐに持ってこい、と言うと、暁はシャベルを持って家を出ていく。そのあとを旭が付いて来て…。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</si>
  <si>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多香子(長澤まさみ)から、佐藤家の土地に買い手が付いたと聞かされた旭(妻夫木聡)は、土地を手放す決心をする。その決断に暁(瑛太)らは猛反発するが、旭は自分が売ると言ったら売るんだ、と譲らない。  　その後、梓(蒼井優)とともに病院に行った旭は、そこで会った新城(吉岡秀隆)に土地の話をする。新たな一歩を踏み出すために売るんだろう、と新城は旭の心情を察する。  　同じ頃、劇団の稽古場に向かって歩いていた陽(柄本佑)と旦(野村周平)は、自分たちの将来の不安を口にする。そんななか、稽古場の扉を開けると、そこに香澄(橋本愛)がいた。  　暁は多香子とともに、多香子の兄・正一(小林高鹿)に会いに行き、土地の権利書の返却を頼むが断られる。証券マンの正一は、土地を売った金の使い道はすでに決まっているため、その代わりになる金がなければ無理だと言う。暁は、自分が多香子の母から奪った3000万円が手つかずだと切り出した。  　そんな夜、旭は、ひかり(満島ひかり)、陽、旦に、土地を売ることは自分たちが旅立つきっかけになる、と話していた。そこへ、暁が帰ってきて3000万円のことを明かした。旭が、金があるなら今すぐに持ってこい、と言うと、暁はシャベルを持って家を出ていく。そのあとを旭が付いて来て…。</t>
  </si>
  <si>
    <t>1407_CX_木22</t>
  </si>
  <si>
    <t>昼顔</t>
  </si>
  <si>
    <t>番組名&lt;木曜劇場&gt;昼顔～平日午後3時の恋人たち～【上戸彩・不倫妻に挑戦!】　#01</t>
  </si>
  <si>
    <t>笹本紗和(上戸彩)は、結婚5年目の主婦。家具メーカーに勤務する夫・俊介(鈴木浩介)と平凡ながら幸せな日々を送っている。ある日、スーパーのパートを終えた紗和は、客として店に来ていた滝川利佳子(吉瀬美智子)から不倫のアリバイ作りへの協力を頼まれる。利佳子は最近この街に引っ越してきたばかりで、大手出版社の女性誌編集長をしている夫の徹(木下ほうか)、ふたりの娘と新築の一軒家で裕福な暮らしをしている。だが、実は彼女は、平日の昼間に不倫を繰り返している、いわゆる“平日昼顔妻"だった。この日も萩原智也(淵上泰史)と不倫をしていた利佳子は、スーパーの駐車場で車上荒らしに遭ってしまい、とっさに紗和を利用したのだ。利佳子にある弱みを握られていた紗和は、警察の事情聴取で、利佳子とは友人で仕事の後に彼女と会う約束をしていたと嘘をつく。そこに、車上荒らしをした高校生・木下啓太(健太郎)が、担任教師の北野裕一郎(斎藤工)と一緒にやってくる。北野の謝罪を受けた利佳子は、示談でいいと彼に告げた。数日後紗和は、利佳子とともに北野に会う。北野は、事件を起こした生徒の家庭には事情があるため、自分が対応するとふたりに説明した。そんな北野に、誠意が感じられないと示談書を突き返す利佳子。それでも北野が説得しようとすると利佳子は、デートしてくれるなら考えてもいいと言い出し・・・。笹本紗和:　上戸彩　  滝川利佳子:　吉瀬美智子　  北野裕一郎:　斎藤工　  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feat.SOIL&amp;“PIMP"SESSIONS」(ユニバーサルミュージック/EMIRecords)　    【制作】  フジテレビドラマ制作センター</t>
  </si>
  <si>
    <t>笹本紗和(上戸彩)は、結婚5年目の主婦。家具メーカーに勤務する夫・俊介(鈴木浩介)と平凡ながら幸せな日々を送っている。ある日、スーパーのパートを終えた紗和は、客として店に来ていた滝川利佳子(吉瀬美智子)から不倫のアリバイ作りへの協力を頼まれる。利佳子は最近この街に引っ越してきたばかりで、大手出版社の女性誌編集長をしている夫の徹(木下ほうか)、ふたりの娘と新築の一軒家で裕福な暮らしをしている。だが、実は彼女は、平日の昼間に不倫を繰り返している、いわゆる“平日昼顔妻"だった。この日も萩原智也(淵上泰史)と不倫をしていた利佳子は、スーパーの駐車場で車上荒らしに遭ってしまい、とっさに紗和を利用したのだ。利佳子にある弱みを握られていた紗和は、警察の事情聴取で、利佳子とは友人で仕事の後に彼女と会う約束をしていたと嘘をつく。そこに、車上荒らしをした高校生・木下啓太(健太郎)が、担任教師の北野裕一郎(斎藤工)と一緒にやってくる。北野の謝罪を受けた利佳子は、示談でいいと彼に告げた。数日後紗和は、利佳子とともに北野に会う。北野は、事件を起こした生徒の家庭には事情があるため、自分が対応するとふたりに説明した。そんな北野に、誠意が感じられないと示談書を突き返す利佳子。それでも北野が説得しようとすると利佳子は、デートしてくれるなら考えてもいいと言い出し・・・。</t>
  </si>
  <si>
    <t>番組名&lt;木曜劇場&gt;昼顔～平日午後3時の恋人たち～【上戸彩・不倫妻に挑戦!!】　#02</t>
  </si>
  <si>
    <t>笹本紗和(上戸彩)のもとに姑の慶子(高畑淳子)がやってきた。慶子は、紗和が滝川利佳子(吉瀬美智子)の元不倫相手・萩原智也(淵上泰史)と立ち話をしているところを目撃し、浮気をしているのではないかと疑っていた。北野裕一郎(斎藤工)と会って以来、彼のことばかり考えるようになっていた紗和は、慶子の言葉に内心動揺しながらも、智也とはただの知り合いだと説明する。一方、利佳子は、画家の加藤修(北村一輝)に自分の肖像画を描いてもらう。しかし、出来上がった絵はグロテスクなものだった。利佳子は、夫の徹(木下ほうか)に、もう一度加藤に頼んでほしいと話す。しかし徹は、加藤は俺にケンカを売っているだけだと言って、利佳子の絵を捨ててしまう。紗和のパート先にやってきた利佳子は、仕事が終わったら会おうと彼女を誘った。紗和が利佳子との待ち合わせ場所に行くと、そこにいたのは北野だった。北野は、利佳子から示談の件について話したいと連絡をもらったのだという。そのころ利佳子は、徹に内緒で加藤のアトリエを訪れていた。そこで利佳子は、もう一度私を描いてほしいと頼む。しかし加藤は、あなたには美しさを感じないと言って断ってしまう。紗和と北野は、お互いに結婚していること、子どもがいないことなどを話した。北野の笑顔に心惹かれながらも、夕飯の支度があると言ってその場を後にする紗和。だがそんなふたりの姿をまたもや慶子が目撃してしまい…。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feat.SOIL&amp;“PIMP"SESSIONS」(ユニバーサルミュージック/EMIRecords)　    【制作】  フジテレビドラマ制作センター</t>
  </si>
  <si>
    <t>笹本紗和(上戸彩)のもとに姑の慶子(高畑淳子)がやってきた。慶子は、紗和が滝川利佳子(吉瀬美智子)の元不倫相手・萩原智也(淵上泰史)と立ち話をしているところを目撃し、浮気をしているのではないかと疑っていた。北野裕一郎(斎藤工)と会って以来、彼のことばかり考えるようになっていた紗和は、慶子の言葉に内心動揺しながらも、智也とはただの知り合いだと説明する。一方、利佳子は、画家の加藤修(北村一輝)に自分の肖像画を描いてもらう。しかし、出来上がった絵はグロテスクなものだった。利佳子は、夫の徹(木下ほうか)に、もう一度加藤に頼んでほしいと話す。しかし徹は、加藤は俺にケンカを売っているだけだと言って、利佳子の絵を捨ててしまう。紗和のパート先にやってきた利佳子は、仕事が終わったら会おうと彼女を誘った。紗和が利佳子との待ち合わせ場所に行くと、そこにいたのは北野だった。北野は、利佳子から示談の件について話したいと連絡をもらったのだという。そのころ利佳子は、徹に内緒で加藤のアトリエを訪れていた。そこで利佳子は、もう一度私を描いてほしいと頼む。しかし加藤は、あなたには美しさを感じないと言って断ってしまう。紗和と北野は、お互いに結婚していること、子どもがいないことなどを話した。北野の笑顔に心惹かれながらも、夕飯の支度があると言ってその場を後にする紗和。だがそんなふたりの姿をまたもや慶子が目撃してしまい…。</t>
  </si>
  <si>
    <t>番組名&lt;木曜劇場&gt;昼顔～平日午後3時の恋人たち～【妻の失恋…本音を語る七夕】　#03</t>
  </si>
  <si>
    <t>紗和(上戸彩)は、北野(斎藤工)にキスしようとするが拒まれてしまう。激しい自己嫌悪に陥った紗和は、降りしきる雨の中、ずぶ濡れになりながら帰宅する。同じころ利佳子(吉瀬美智子)は、肖像画を描いてもらうために加藤(北村一輝)のアトリエを訪れていた。だが、服を脱ぐように指示されたものの、どうしても最後まで脱ぐことができない利佳子。加藤は、そんな利佳子に、暇を持て余している奥様の相手をしている時間はない、と言い放つ。  　その夜、紗和が食事の支度をしていると、帰宅した夫・俊介(鈴木浩介)が、パソコンで作ったというハムスターの迷子チラシを見せた。紗和は北野から拒絶されたいら立ちから、ハムスターを逃がした私へのあてつけなのかとつい俊介に怒りをぶつけてしまう。  　数日後、紗和のもとに利佳子から電話が入る。利佳子も男に振られてしまったらしい。紗和は、周囲に不倫がばれてしまえばすべて終わりなのだから、上手くいかなくてよかったのではないかと利佳子に告げる。それに対して利佳子は、ばれなければいいのなら、ほんの少し行動に気を付ければ大丈夫だと返す。続けて利佳子は、自分を見てくれる人がいなければ何のために生きているのかわからない、それは紗和も同じ気持ちのはずだ、と彼女に告げる。紗和は、利佳子の言葉を否定し、もう二度と北野にも会うつもりもないと言って電話を切るが・・・。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</si>
  <si>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紗和(上戸彩)は、北野(斎藤工)にキスしようとするが拒まれてしまう。激しい自己嫌悪に陥った紗和は、降りしきる雨の中、ずぶ濡れになりながら帰宅する。同じころ利佳子(吉瀬美智子)は、肖像画を描いてもらうために加藤(北村一輝)のアトリエを訪れていた。だが、服を脱ぐように指示されたものの、どうしても最後まで脱ぐことができない利佳子。加藤は、そんな利佳子に、暇を持て余している奥様の相手をしている時間はない、と言い放つ。  　その夜、紗和が食事の支度をしていると、帰宅した夫・俊介(鈴木浩介)が、パソコンで作ったというハムスターの迷子チラシを見せた。紗和は北野から拒絶されたいら立ちから、ハムスターを逃がした私へのあてつけなのかとつい俊介に怒りをぶつけてしまう。  　数日後、紗和のもとに利佳子から電話が入る。利佳子も男に振られてしまったらしい。紗和は、周囲に不倫がばれてしまえばすべて終わりなのだから、上手くいかなくてよかったのではないかと利佳子に告げる。それに対して利佳子は、ばれなければいいのなら、ほんの少し行動に気を付ければ大丈夫だと返す。続けて利佳子は、自分を見てくれる人がいなければ何のために生きているのかわからない、それは紗和も同じ気持ちのはずだ、と彼女に告げる。紗和は、利佳子の言葉を否定し、もう二度と北野にも会うつもりもないと言って電話を切るが・・・。</t>
  </si>
  <si>
    <t>番組名&lt;木曜劇場&gt;昼顔～平日午後3時の恋人たち～【不倫の恋が妻を強くする…】　#04</t>
  </si>
  <si>
    <t>紗和(上戸彩)は、北野(斎藤工)と一緒に昆虫採集をするために森林公園を訪れる。最初は会話もぎこちなかったものの、次第に距離が近づいていくふたり。紗和にカマキリの生殖活動の話をした北野は、自分はこんな話しかできない面白味のない男だと続けた。紗和は、そんな北野にそっと手を差し出し、彼と手をつなぐ。が、そのとき紗和たちは、北野の教え子、啓太(健太郎)とまなみ(田中日奈子)がこっそり後をつけてきていることに気づいていなかった。  　同じころ、加藤(北村一輝)との情事を終えた利佳子(吉瀬美智子)は、手慣れた様子で身支度をしていた。帰り際、利佳子はテーブルの上に何枚かの1万円札を置くと、お互いの生活は壊さない、どちらかが関係を終わらせたいと言ったときは理由を問わずに精算するという条件で時々会わないかと彼に告げる。しかし加藤は、そんな金をもらうくらいなら餓死した方がましだといって利佳子のバッグに金をつっこみ、彼女を追い返してしまう。  　あくる日、仕事中の紗和のところに智也(淵上泰史)がやってくる。心配なことがあるのだという。そこで紗和は、利佳子と思われる女性が出会い系サイトで不倫相手を募っていることを知る。実は智也も、このサイトで利佳子と知り合ったのだという。心配になった紗和は利佳子を訪ね、危ないことは止めた方がいいと忠告するが・・・。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</si>
  <si>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紗和(上戸彩)は、北野(斎藤工)と一緒に昆虫採集をするために森林公園を訪れる。最初は会話もぎこちなかったものの、次第に距離が近づいていくふたり。紗和にカマキリの生殖活動の話をした北野は、自分はこんな話しかできない面白味のない男だと続けた。紗和は、そんな北野にそっと手を差し出し、彼と手をつなぐ。が、そのとき紗和たちは、北野の教え子、啓太(健太郎)とまなみ(田中日奈子)がこっそり後をつけてきていることに気づいていなかった。  　同じころ、加藤(北村一輝)との情事を終えた利佳子(吉瀬美智子)は、手慣れた様子で身支度をしていた。帰り際、利佳子はテーブルの上に何枚かの1万円札を置くと、お互いの生活は壊さない、どちらかが関係を終わらせたいと言ったときは理由を問わずに精算するという条件で時々会わないかと彼に告げる。しかし加藤は、そんな金をもらうくらいなら餓死した方がましだといって利佳子のバッグに金をつっこみ、彼女を追い返してしまう。  　あくる日、仕事中の紗和のところに智也(淵上泰史)がやってくる。心配なことがあるのだという。そこで紗和は、利佳子と思われる女性が出会い系サイトで不倫相手を募っていることを知る。実は智也も、このサイトで利佳子と知り合ったのだという。心配になった紗和は利佳子を訪ね、危ないことは止めた方がいいと忠告するが・・・。</t>
  </si>
  <si>
    <t>番組名&lt;木曜劇場&gt;昼顔～平日午後3時の恋人たち～【悪女誕生!一線を越える日】　#05</t>
  </si>
  <si>
    <t>森林公園で出会った紗和(上戸彩)と北野(斎藤工)は、海辺の小さなホテルに入る。しかし、お互いを求める気持ちとは裏腹に一線を越えることができないふたり。北野は、これ以上進んだら後戻りできなくなるから帰ろうと紗和に告げる。紗和は、そんな北野に賭けを持ちかけた。窓下に見える道を次に通るのが女性だったら友だちのままでいる、男性だったら結ばれると・・・。  　同じころ、利佳子(吉瀬美智子)は、智也(淵上泰史)とともにホテルの一室にいた。利佳子への思いを抑えることができなかった智也は、彼女が利用している出会い系サイトを使って誘い出したのだ。智也は、旦那のことは我慢できるが他の男とは許せないと言うと、電話をしてきた相手・加藤(北村一輝)と別れるよう命じる。智也から、加藤にリダイヤルした携帯電話を手渡された利佳子は、ホテルに監禁されていることを打ち明け、自分とは関係ないことを説明してほしいと加藤に頼む。すると加藤は、利佳子は自分の女だと智也に言い放ち、いまから会って話をつけようと提案する。  　そんな中、紗和のもとに利佳子の夫・滝川(木下ほうか)から電話が入る。自宅に電話した際に利佳子がまだ帰宅していないことを知ったらしい。利佳子に何かあったのではないかと心配になった紗和は、一緒に行くという北野の申し出を断り、利佳子から聞いたホテルへと向かうが・・・。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</si>
  <si>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森林公園で出会った紗和(上戸彩)と北野(斎藤工)は、海辺の小さなホテルに入る。しかし、お互いを求める気持ちとは裏腹に一線を越えることができないふたり。北野は、これ以上進んだら後戻りできなくなるから帰ろうと紗和に告げる。紗和は、そんな北野に賭けを持ちかけた。窓下に見える道を次に通るのが女性だったら友だちのままでいる、男性だったら結ばれると・・・。  　同じころ、利佳子(吉瀬美智子)は、智也(淵上泰史)とともにホテルの一室にいた。利佳子への思いを抑えることができなかった智也は、彼女が利用している出会い系サイトを使って誘い出したのだ。智也は、旦那のことは我慢できるが他の男とは許せないと言うと、電話をしてきた相手・加藤(北村一輝)と別れるよう命じる。智也から、加藤にリダイヤルした携帯電話を手渡された利佳子は、ホテルに監禁されていることを打ち明け、自分とは関係ないことを説明してほしいと加藤に頼む。すると加藤は、利佳子は自分の女だと智也に言い放ち、いまから会って話をつけようと提案する。  　そんな中、紗和のもとに利佳子の夫・滝川(木下ほうか)から電話が入る。自宅に電話した際に利佳子がまだ帰宅していないことを知ったらしい。利佳子に何かあったのではないかと心配になった紗和は、一緒に行くという北野の申し出を断り、利佳子から聞いたホテルへと向かうが・・・。</t>
  </si>
  <si>
    <t>番組名&lt;木曜劇場&gt;昼顔～平日午後3時の恋人たち～【秘密の恋バレる時…夫の罠】　#06</t>
  </si>
  <si>
    <t>「女子バレーボールワールドグランプリ2014日本×トルコ」延長の際、放送時間繰り下げの場合あり。　花火大会の日、紗和(上戸彩)は、動物園で北野(斎藤工)とデートする。夫の俊介(鈴木浩介)は、滝川(木下ほうか)に誘われて、部下の美鈴(木南晴夏)と一緒に花火大会に行っていた。途中、紗和は、北野とはぐれてしまった。北野を探していると、向こうからやってきた彼の携帯電話に妻の乃里子(伊藤歩)から着信があった。しかし北野は電話には出ず、紗和を探す。隠れてその姿を見ていた紗和は…。  　利佳子(吉瀬美智子)は、加藤(北村一輝)と一緒に海へ行く。子どもたちと一緒じゃない海は久しぶり、と言ってはしゃぐ利佳子。一方、急な仕事ができたと俊介に伝えて花火大会に行かなかった滝川は、利佳子の車に仕掛けたGPS機器で彼女を追っていた。それに気づいた利佳子は、一旦ホテルの駐車場に車を止め、タクシーを使って移動していた。だが、滝川は、何故か利佳子の居場所を突き止め、怒りに震えながら加藤と一緒にいるところを写真に収める。  　月曜日の朝、利佳子は、娘たちを夏期講習に送り出す。出勤の支度をしてやってきた滝川は、ふいに床の掃除をするよう利佳子に頼む。海の砂のようなものが落ちているというのだ。さらに滝川は、契約プランを変えたいからと利佳子のスマートフォンを預かり、家を出ていく。紗和を訪ねた利佳子は、花火大会の件は滝川が仕組んだ罠で、加藤とのことはすべてバレてしまったことを告げる。そこに乃里子がやってきて…。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</si>
  <si>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「女子バレーボールワールドグランプリ2014日本×トルコ」延長の際、放送時間繰り下げの場合あり。　花火大会の日、紗和(上戸彩)は、動物園で北野(斎藤工)とデートする。夫の俊介(鈴木浩介)は、滝川(木下ほうか)に誘われて、部下の美鈴(木南晴夏)と一緒に花火大会に行っていた。途中、紗和は、北野とはぐれてしまった。北野を探していると、向こうからやってきた彼の携帯電話に妻の乃里子(伊藤歩)から着信があった。しかし北野は電話には出ず、紗和を探す。隠れてその姿を見ていた紗和は…。  　利佳子(吉瀬美智子)は、加藤(北村一輝)と一緒に海へ行く。子どもたちと一緒じゃない海は久しぶり、と言ってはしゃぐ利佳子。一方、急な仕事ができたと俊介に伝えて花火大会に行かなかった滝川は、利佳子の車に仕掛けたGPS機器で彼女を追っていた。それに気づいた利佳子は、一旦ホテルの駐車場に車を止め、タクシーを使って移動していた。だが、滝川は、何故か利佳子の居場所を突き止め、怒りに震えながら加藤と一緒にいるところを写真に収める。  　月曜日の朝、利佳子は、娘たちを夏期講習に送り出す。出勤の支度をしてやってきた滝川は、ふいに床の掃除をするよう利佳子に頼む。海の砂のようなものが落ちているというのだ。さらに滝川は、契約プランを変えたいからと利佳子のスマートフォンを預かり、家を出ていく。紗和を訪ねた利佳子は、花火大会の件は滝川が仕組んだ罠で、加藤とのことはすべてバレてしまったことを告げる。そこに乃里子がやってきて…。</t>
  </si>
  <si>
    <t>番組名&lt;木曜劇場&gt;昼顔～平日午後3時の恋人たち～【恋の終焉…日常に戻る辛さ】　#07</t>
  </si>
  <si>
    <t>紗和(上戸彩)は北野(斎藤工)と別れた。乃里子(伊藤歩)が北野の妻だと知ったことが大きな理由だった。利佳子(吉瀬美智子)は、涙を浮かべながら事情を話す紗和に、目を腫らして帰ったら疑われるから泣いてはいけないと告げる。不倫の恋は、別れた後ですら人に知られるわけにはいかないというのだ。紗和は、それでもこらえ切れず、利佳子に抱きついて泣いた。  　加藤(北村一輝)は、『BONITO』編集部の滝川(木下ほうか)を訪ねる。と、スタッフたちが拍手で加藤を出迎えた。加藤が描いたWEB版『BONITO』の絵が大変な評判を呼んでいるのだという。加藤は、画家紹介のページ用に、滝川と握手をして写真に納まる。そんな折、紗和の元に乃里子がやってくる。乃里子は、夫に好きな女性がいたことは間違いないが、もう気にするのは止めたという。その際紗和は、秘密の恋はどうなったのかと尋ねられた。紗和は、自分ひとりが盛り上がっていただけで始まってもいない感じだと返すが…。  　一方、利佳子は、スマートフォンを返してほしいと滝川に頼む。しかし滝川はそれには応えず、クレジットカードを止めたことを告げ、気に入らなければ出て行ってもいいと言い出す。そんな滝川に対して利佳子は、自分がなぜ一生懸命、家事や子育てをしていられたかわかるかと問いかけ、加藤だけでなく、出会い系サイトで知り合った男たちと不倫をしていたことをぶちまけてしまう。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</si>
  <si>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紗和(上戸彩)は北野(斎藤工)と別れた。乃里子(伊藤歩)が北野の妻だと知ったことが大きな理由だった。利佳子(吉瀬美智子)は、涙を浮かべながら事情を話す紗和に、目を腫らして帰ったら疑われるから泣いてはいけないと告げる。不倫の恋は、別れた後ですら人に知られるわけにはいかないというのだ。紗和は、それでもこらえ切れず、利佳子に抱きついて泣いた。  　加藤(北村一輝)は、『BONITO』編集部の滝川(木下ほうか)を訪ねる。と、スタッフたちが拍手で加藤を出迎えた。加藤が描いたWEB版『BONITO』の絵が大変な評判を呼んでいるのだという。加藤は、画家紹介のページ用に、滝川と握手をして写真に納まる。そんな折、紗和の元に乃里子がやってくる。乃里子は、夫に好きな女性がいたことは間違いないが、もう気にするのは止めたという。その際紗和は、秘密の恋はどうなったのかと尋ねられた。紗和は、自分ひとりが盛り上がっていただけで始まってもいない感じだと返すが…。  　一方、利佳子は、スマートフォンを返してほしいと滝川に頼む。しかし滝川はそれには応えず、クレジットカードを止めたことを告げ、気に入らなければ出て行ってもいいと言い出す。そんな滝川に対して利佳子は、自分がなぜ一生懸命、家事や子育てをしていられたかわかるかと問いかけ、加藤だけでなく、出会い系サイトで知り合った男たちと不倫をしていたことをぶちまけてしまう。</t>
  </si>
  <si>
    <t>番組名&lt;木曜劇場&gt;昼顔～平日午後3時の恋人たち～【妻の追及…修羅場はじまる】　#08</t>
  </si>
  <si>
    <t>紗和(上戸彩)と俊介(鈴木浩介)は、スーパーで出会った北野(斎藤工)と乃里子(伊藤歩)夫妻を自宅に招き入れた。俊介が家具会社に勤務していると知った乃里子は、俊介の案内で室内を見て回る。その際、乃里子は、紗和が鏡台の引き出しにしまっておいたゴリラのマスコットに気づく。  　離婚届を置いて家を出た利佳子(吉瀬美智子)は、加藤(北村一輝)のもとに身を寄せる。加藤から、子どものことはどうするのか、と問われた利佳子は、引き取りたいがついてくるはずはないと答えた。加藤は、そんな利佳子に「あんたの人生は背負えない」と言い、離婚歴があることを明かす。  　帰り際、乃里子は、なぜ主人の苗字を知っていたのかと紗和に尋ねる。そこで北野は、教え子が車上荒らしをした際、その車に乗っていたのが紗和だとうそをつく。とっさに紗和も、その生徒のために黙っていた方がいいと思ったから知り合いだと言わなかったと話を合わせた。　あくる日出勤した紗和のもとに、滝川(木下ほうか)がやってくる。滝川は、利佳子が家を出たことを紗和に打ち明け、すべてを水に流すから戻って来いと伝えてほしいと頼み、金が入った封筒と加藤のアトリエの住所を記したメモを差し出す。  　加藤のアトリエを訪れた紗和は、利佳子が子どもたちと会えるようにすると申し出る。しかし利佳子はそれを拒否し、他人のおせっかいよりも北野とのことがばれないようにすべきだと返し…。笹本紗和: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</si>
  <si>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紗和(上戸彩)と俊介(鈴木浩介)は、スーパーで出会った北野(斎藤工)と乃里子(伊藤歩)夫妻を自宅に招き入れた。俊介が家具会社に勤務していると知った乃里子は、俊介の案内で室内を見て回る。その際、乃里子は、紗和が鏡台の引き出しにしまっておいたゴリラのマスコットに気づく。  　離婚届を置いて家を出た利佳子(吉瀬美智子)は、加藤(北村一輝)のもとに身を寄せる。加藤から、子どものことはどうするのか、と問われた利佳子は、引き取りたいがついてくるはずはないと答えた。加藤は、そんな利佳子に「あんたの人生は背負えない」と言い、離婚歴があることを明かす。  　帰り際、乃里子は、なぜ主人の苗字を知っていたのかと紗和に尋ねる。そこで北野は、教え子が車上荒らしをした際、その車に乗っていたのが紗和だとうそをつく。とっさに紗和も、その生徒のために黙っていた方がいいと思ったから知り合いだと言わなかったと話を合わせた。　あくる日出勤した紗和のもとに、滝川(木下ほうか)がやってくる。滝川は、利佳子が家を出たことを紗和に打ち明け、すべてを水に流すから戻って来いと伝えてほしいと頼み、金が入った封筒と加藤のアトリエの住所を記したメモを差し出す。  　加藤のアトリエを訪れた紗和は、利佳子が子どもたちと会えるようにすると申し出る。しかし利佳子はそれを拒否し、他人のおせっかいよりも北野とのことがばれないようにすべきだと返し…。</t>
  </si>
  <si>
    <t>番組名&lt;木曜劇場&gt;昼顔～平日午後3時の恋人たち～【崩れていく日常…夫の涙】　#09</t>
  </si>
  <si>
    <t>図書館で密会していた紗和(上戸彩)と北野(斎藤工)の前に、北野の妻・乃里子(伊藤歩)が現れる。そこで、逆上した乃里子が紗和につかみかかるなど大きな騒ぎになり、3人は警察から任意同行を求められる。乃里子は不倫のことをぶちまけ、絶対に紗和を許さないと声を荒げた。  　利佳子(吉瀬美智子)は、ホステスの面接を受け採用される。利佳子が加藤(北村一輝)のアトリエに戻ると、佐倉亜紀(高橋かおり)という女性が訪ねてきていた。亜紀は、国内のアート作品を海外に売り込む仕事をしており、滝川(木下ほうか)が編集長を務める『BONITO』の紹介でやってきたのだという。それを聞いて嫌な予感がする利佳子。そこに、紗和の件で警察から連絡が入る。  　紗和を迎えに行った利佳子は、一緒に笹本家へ行く。経緯を知った利佳子は、俊介(鈴木浩介)と別れて北野と一緒になりたいという紗和に、気持ちはわかるが無理だと返す。するとそこに俊介が帰ってくる。俊介は、北野夫妻との食事会のためにマンションを訪ねたが、中止になったと聞かされて戻ってきたのだという。俊介は、帰ろうとしていた利佳子に、もう紗和とは付き合わないでほしいと告げる。  　あくる日、パートに出かけた紗和は、店長に呼び出される。乃里子から、夫を誘惑されたというクレームがあったというのだ。一方、北野も、校長の高橋茂子(りりィ)と増沢教頭(螢雪次朗)から転任を勧められるが…。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</si>
  <si>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図書館で密会していた紗和(上戸彩)と北野(斎藤工)の前に、北野の妻・乃里子(伊藤歩)が現れる。そこで、逆上した乃里子が紗和につかみかかるなど大きな騒ぎになり、3人は警察から任意同行を求められる。乃里子は不倫のことをぶちまけ、絶対に紗和を許さないと声を荒げた。  　利佳子(吉瀬美智子)は、ホステスの面接を受け採用される。利佳子が加藤(北村一輝)のアトリエに戻ると、佐倉亜紀(高橋かおり)という女性が訪ねてきていた。亜紀は、国内のアート作品を海外に売り込む仕事をしており、滝川(木下ほうか)が編集長を務める『BONITO』の紹介でやってきたのだという。それを聞いて嫌な予感がする利佳子。そこに、紗和の件で警察から連絡が入る。  　紗和を迎えに行った利佳子は、一緒に笹本家へ行く。経緯を知った利佳子は、俊介(鈴木浩介)と別れて北野と一緒になりたいという紗和に、気持ちはわかるが無理だと返す。するとそこに俊介が帰ってくる。俊介は、北野夫妻との食事会のためにマンションを訪ねたが、中止になったと聞かされて戻ってきたのだという。俊介は、帰ろうとしていた利佳子に、もう紗和とは付き合わないでほしいと告げる。  　あくる日、パートに出かけた紗和は、店長に呼び出される。乃里子から、夫を誘惑されたというクレームがあったというのだ。一方、北野も、校長の高橋茂子(りりィ)と増沢教頭(螢雪次朗)から転任を勧められるが…。</t>
  </si>
  <si>
    <t>番組名&lt;木曜劇場&gt;昼顔～平日午後3時の恋人たち～【逃避行…試される愛の強さ】　#10</t>
  </si>
  <si>
    <t>家を飛び出した紗和(上戸彩)は、北野(斎藤工)とともに湖畔の貸別荘に身を寄せる。そこは、北野が学生時代に滞在したことがある場所だった。北野の妻・乃里子(伊藤歩)は、俊介(鈴木浩介)に電話し、こうなった原因は俊介にあるのだからふたりを探して引き離してほしいと叫んだ。  　ホステスとして働き始めた利佳子(吉瀬美智子)は、給料を前借してスマートフォンを購入し、真っ先にバルセロナに旅立った加藤(北村一輝)に連絡する。しかし加藤は電話に出なかった。出勤しようとした利佳子の前に現れた智也(淵上泰史)は、紗和がパートを無断欠勤していることを伝える。利佳子は紗和に連絡するが、紗和は電源を切っていた。あくる朝、スマホの電源を入れた紗和のもとに見知らぬ番号から着信がある。利佳子だった。どうするつもりなのか、と利佳子から問われた紗和は、もう少しだけ夢を見させてほしいと返す。利佳子は、そんな紗和に、気持ちだけで突っ走ってしまったら終わりは早いと告げる。  　一方、ショックで会社を休んでいた俊介のもとに美鈴(木南晴夏)が訪ねてくる。俊介のことが心配になって会社を抜け出してきたらしい。俊介は、そんな美鈴の優しさにすがり、彼女を抱きしめる。北野とピクニックに出かけた紗和は、いままで言えなかった言葉を彼に伝える。しかし、紗和の薬指の指輪が目に入った北野は、それに応えることができず・・・。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</si>
  <si>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家を飛び出した紗和(上戸彩)は、北野(斎藤工)とともに湖畔の貸別荘に身を寄せる。そこは、北野が学生時代に滞在したことがある場所だった。北野の妻・乃里子(伊藤歩)は、俊介(鈴木浩介)に電話し、こうなった原因は俊介にあるのだからふたりを探して引き離してほしいと叫んだ。  　ホステスとして働き始めた利佳子(吉瀬美智子)は、給料を前借してスマートフォンを購入し、真っ先にバルセロナに旅立った加藤(北村一輝)に連絡する。しかし加藤は電話に出なかった。出勤しようとした利佳子の前に現れた智也(淵上泰史)は、紗和がパートを無断欠勤していることを伝える。利佳子は紗和に連絡するが、紗和は電源を切っていた。あくる朝、スマホの電源を入れた紗和のもとに見知らぬ番号から着信がある。利佳子だった。どうするつもりなのか、と利佳子から問われた紗和は、もう少しだけ夢を見させてほしいと返す。利佳子は、そんな紗和に、気持ちだけで突っ走ってしまったら終わりは早いと告げる。  　一方、ショックで会社を休んでいた俊介のもとに美鈴(木南晴夏)が訪ねてくる。俊介のことが心配になって会社を抜け出してきたらしい。俊介は、そんな美鈴の優しさにすがり、彼女を抱きしめる。北野とピクニックに出かけた紗和は、いままで言えなかった言葉を彼に伝える。しかし、紗和の薬指の指輪が目に入った北野は、それに応えることができず・・・。</t>
  </si>
  <si>
    <t>番組名&lt;木曜劇場&gt;昼顔～平日午後3時の恋人たち～【妻が選ぶのは夫か恋人か】　#11</t>
  </si>
  <si>
    <t>紗和(上戸彩)は、貸別荘で北野(斎藤工)の帰りを待っていた。紗和の夫・俊介(鈴木浩介)、妻の乃里子(伊藤歩)と会って思いを伝えた北野は、約束通り紗和の元へと戻る。ところがその夜、紗和たちの元に探偵会社の調査員(神農直隆)とともに俊介や乃里子、慶子(高畑淳子)らが現れ、ふたりは無理矢理引き離され、連れ戻されてしまう。  　数日後、紗和は利佳子(吉瀬美智子)と再会する。紗和が北野を諦められずにいることを知った利佳子は、ここまできたら自分の意思で決めるしかないと助言する。しかし、利佳子自身は、加藤(北村一輝)と別れるべきかどうか悩んでいるという。スポットライトを浴びる加藤の隣に立つのは、離婚でもめている子持ちの人妻ではないと言うのだ。  　そんな中、加藤がバルセロナから帰国する。一方、笹本家と北野家は、弁護士を間に入れて話し合うが・・・。笹本紗和: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</si>
  <si>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紗和(上戸彩)は、貸別荘で北野(斎藤工)の帰りを待っていた。紗和の夫・俊介(鈴木浩介)、妻の乃里子(伊藤歩)と会って思いを伝えた北野は、約束通り紗和の元へと戻る。ところがその夜、紗和たちの元に探偵会社の調査員(神農直隆)とともに俊介や乃里子、慶子(高畑淳子)らが現れ、ふたりは無理矢理引き離され、連れ戻されてしまう。  　数日後、紗和は利佳子(吉瀬美智子)と再会する。紗和が北野を諦められずにいることを知った利佳子は、ここまできたら自分の意思で決めるしかないと助言する。しかし、利佳子自身は、加藤(北村一輝)と別れるべきかどうか悩んでいるという。スポットライトを浴びる加藤の隣に立つのは、離婚でもめている子持ちの人妻ではないと言うのだ。  　そんな中、加藤がバルセロナから帰国する。一方、笹本家と北野家は、弁護士を間に入れて話し合うが・・・。</t>
  </si>
  <si>
    <t>1407_CX_土23</t>
  </si>
  <si>
    <t>水球ヤンキース</t>
  </si>
  <si>
    <t>番組名&lt;土ドラ&gt;水球ヤンキース【イケメン水球男子達がこの夏を盛り上げる!】　#01</t>
  </si>
  <si>
    <t>['23', '23']</t>
  </si>
  <si>
    <t>稲葉尚弥(中島裕翔)と幼なじみで名門私立・水蘭高校女子水球部マネージャーの岩崎渚(大原櫻子)は10年ぶりに尚弥と再会し、その姿を見て絶句してしまう。胸に抱いていた淡い期待は完全に裏切られていた。  　霞野工業高校、通称・カス高の職員室では、水蘭高校の帰国子女枠を断ってカス高への入学を希望した尚弥の話題でもちきりに。カス高3年A組の3バカトリオの木村朋生(千葉雄大)、志村公平(中川大志)、加東慎介(吉沢亮)も尚弥の話題で盛り上がっていると、ついに尚弥が教室に姿を見せた。その姿にクラス全員があぜんとしてしまう。  　尚弥はカス高のてっぺんをとるべく、番長の指定席である窓際の1番後ろの席を奪取しようとするが、その席に座っている三船龍二(山崎賢人)の鋭い眼を見て龍二を番長と決めつけ果たし状を叩きつける。その後渚は、尚弥が龍二に果たし状を叩きつけたことを知り、家に帰ってきた尚弥を問い詰め、そしてカス高が廃校になることを告げる。  　カス高の廃校を阻止するため町内に貼り紙をしていた尚弥は、偶然会った龍二に休戦を告げ、手伝わせようとする。そこへ水蘭高校水球部のキャプテン北島虎雄(高木雄也)が現れ、尚弥とつるんでいる龍二に罵声を浴びせる。龍二と虎雄の間には何やら因縁めいたものがあるようだ。さらにその場に現れた郷田剛(鈴木伸之)からもカス高をバカにされた尚弥は意を決して走り出した。中島裕翔(Hey!Say!JUMP)　  山崎賢人　  高木雄也(Hey!Say!JUMP)　  大原櫻子　  千葉雄大　  間宮祥太朗　  中川大志　  吉沢亮　  矢本悠馬  　・　  横山裕☆伝説の先輩☆  　・　  新川優愛　  筧美和子　  佐野ひなこ　  鈴木伸之  　・　  大政絢　  池津祥子　  皆川猿時　  倉科カナ(友情出演)　  北村有起哉　  森本レオ　    他「水球ヤンキース」番組公式ホームページでは随時情報更新中!是非ご覧ください!!⇒http://www.fujitv.co.jp/suikyuyankees/index.html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公式ツイッターも話題沸騰中!!現場から最新情報をお届け!フォロー&amp;リツイートよろしくお願いします!!⇒@suikyu_yankees【脚本】  徳永友一　  麻倉圭司　  松田沙也　    【プロデュース】  藤野良太　    【演出】  宮木正悟　  品田俊介　    【音楽】  高見優　  やまだ豊　    【主題歌】  Hey!Say!JUMP「明日へのYELL」(ジェイ・ストーム)　    【制作】  フジテレビドラマ制作センター</t>
  </si>
  <si>
    <t>稲葉尚弥(中島裕翔)と幼なじみで名門私立・水蘭高校女子水球部マネージャーの岩崎渚(大原櫻子)は10年ぶりに尚弥と再会し、その姿を見て絶句してしまう。胸に抱いていた淡い期待は完全に裏切られていた。  　霞野工業高校、通称・カス高の職員室では、水蘭高校の帰国子女枠を断ってカス高への入学を希望した尚弥の話題でもちきりに。カス高3年A組の3バカトリオの木村朋生(千葉雄大)、志村公平(中川大志)、加東慎介(吉沢亮)も尚弥の話題で盛り上がっていると、ついに尚弥が教室に姿を見せた。その姿にクラス全員があぜんとしてしまう。  　尚弥はカス高のてっぺんをとるべく、番長の指定席である窓際の1番後ろの席を奪取しようとするが、その席に座っている三船龍二(山崎賢人)の鋭い眼を見て龍二を番長と決めつけ果たし状を叩きつける。その後渚は、尚弥が龍二に果たし状を叩きつけたことを知り、家に帰ってきた尚弥を問い詰め、そしてカス高が廃校になることを告げる。  　カス高の廃校を阻止するため町内に貼り紙をしていた尚弥は、偶然会った龍二に休戦を告げ、手伝わせようとする。そこへ水蘭高校水球部のキャプテン北島虎雄(高木雄也)が現れ、尚弥とつるんでいる龍二に罵声を浴びせる。龍二と虎雄の間には何やら因縁めいたものがあるようだ。さらにその場に現れた郷田剛(鈴木伸之)からもカス高をバカにされた尚弥は意を決して走り出した。</t>
  </si>
  <si>
    <t>番組名&lt;土ドラ&gt;水球ヤンキース【第2話ももちろんイケメン水球男子祭り!】　#02</t>
  </si>
  <si>
    <t>カス高の廃校を阻止するため、水球で水蘭を倒すことを決意した稲葉尚弥(中島裕翔)は水球部員集めに奔走するが、マイルドヤンキーたちのモチベーションは低く、誰一人として入部を希望する者はでてこない。それでも男気をもったヤツが必ずいると信じる尚弥はプールへと向かったが、誰一人いない泥水とゴミで埋まったプールを前に言葉を失ってしまう。  　水球部の発足に反対する教頭の桑原半蔵(北村有起哉)に条件付きながら顧問になることを承諾させた英語教師の青山千春(大政絢)は、尚弥の強い覚悟を知り、かたい握手を交わす。  　そんな2人の姿を見ていたのは、千春に好意を持つ千秋亮(間宮祥太朗)とその舎弟の宮口幸喜(矢本悠馬)。一度は尚弥の誘いを断った千秋と幸喜だったが…。  　水球経験者の三船龍二(山崎賢人)をなんとかして入部させたい尚弥は、まず龍二と幼なじみの3バカトリオ・木村朋生(千葉雄大)、志村公平(中川大志)、加東慎介(吉沢亮)を入部させようとするがまったく相手にされない。ところが、千春の顧問就任により、最初の態度とは打って変わってなんとか入部しようと画策する千秋と幸喜から「これをお使いください」と渡されたものを見せると、3バカトリオの態度は一転。3人の入部は決まったかに思えたが、そのことで水球部発足を阻止したい教頭の桑原や水蘭高校水球部員の郷田剛(鈴木伸之)たちから様々な妨害を受けることになる。中島裕翔(Hey!Say!JUMP)　  山崎賢人　  高木雄也(Hey!Say!JUMP)　  大原櫻子　  千葉雄大　  間宮祥太朗　  中川大志　  吉沢亮　  矢本悠馬  　・　  横山裕☆伝説の先輩☆  　・　  新川優愛　  筧美和子　  佐野ひなこ　  鈴木伸之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</si>
  <si>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カス高の廃校を阻止するため、水球で水蘭を倒すことを決意した稲葉尚弥(中島裕翔)は水球部員集めに奔走するが、マイルドヤンキーたちのモチベーションは低く、誰一人として入部を希望する者はでてこない。それでも男気をもったヤツが必ずいると信じる尚弥はプールへと向かったが、誰一人いない泥水とゴミで埋まったプールを前に言葉を失ってしまう。  　水球部の発足に反対する教頭の桑原半蔵(北村有起哉)に条件付きながら顧問になることを承諾させた英語教師の青山千春(大政絢)は、尚弥の強い覚悟を知り、かたい握手を交わす。  　そんな2人の姿を見ていたのは、千春に好意を持つ千秋亮(間宮祥太朗)とその舎弟の宮口幸喜(矢本悠馬)。一度は尚弥の誘いを断った千秋と幸喜だったが…。  　水球経験者の三船龍二(山崎賢人)をなんとかして入部させたい尚弥は、まず龍二と幼なじみの3バカトリオ・木村朋生(千葉雄大)、志村公平(中川大志)、加東慎介(吉沢亮)を入部させようとするがまったく相手にされない。ところが、千春の顧問就任により、最初の態度とは打って変わってなんとか入部しようと画策する千秋と幸喜から「これをお使いください」と渡されたものを見せると、3バカトリオの態度は一転。3人の入部は決まったかに思えたが、そのことで水球部発足を阻止したい教頭の桑原や水蘭高校水球部員の郷田剛(鈴木伸之)たちから様々な妨害を受けることになる。</t>
  </si>
  <si>
    <t>番組名&lt;土ドラ&gt;水球ヤンキース【ついにあのイケメンが学ランを脱ぐ!!】　#03</t>
  </si>
  <si>
    <t>稲葉尚弥(中島裕翔)の真っ直ぐでバカ正直な行動と言葉に心を動かされ、ついにカス高水球部に入部した3バカトリオの木村朋生(千葉雄大)、志村公平(中川大志)、加東慎介(吉沢亮)。青山千春(大政絢)の顧問就任をきっかけに結局は自ら志願して入部した千秋亮(間宮祥太朗)と宮口幸喜(矢本悠馬)。総勢6人となった水球部員だが、水球部の正式な発足にはあと1人部員が必要だった。そして、その1人は三船龍二(山崎賢人)以外にはいないと、尚弥と3バカトリオは龍二の説得に乗り出す。  　教頭の桑原半蔵(北村有起哉)は尚弥たちが練習する姿にふと足を止める龍二の姿を目撃する。水蘭高校水球部顧問・庄司真冬(倉科カナ)の電話での言葉が気にはなっていたが、あくまでも水球部発足に反対の桑原は龍二を問い詰め、尚弥たちの妨害をしようとする。  　自分たちが水球部に入ったことを告げ、その勢いで龍二を入部させようと試みる3バカトリオだったが、3人の入部には反対しないものの、自分の入部だけは頑なに拒否をする龍二。尚弥の作戦も功を奏さず、龍二はますます態度を硬化させる。  　追い詰められた尚弥と3バカトリオは、龍二に果たし状を叩きつける。相手にしようともしない龍二に対し、公平が果たし状を見るように促す。果たし状を開ける龍二。そこには朋生、公平、慎介の大きな決断の文字が記されていた。中島裕翔(Hey!Say!JUMP)　  山崎賢人　  高木雄也(Hey!Say!JUMP)　  大原櫻子　  千葉雄大　  間宮祥太朗　  中川大志　  吉沢亮　  矢本悠馬  　・　  横山裕☆伝説の先輩☆  　・　  新川優愛　  筧美和子　  佐野ひなこ　  鈴木伸之　  橋本環奈(Rev.　from　DVL)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</si>
  <si>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稲葉尚弥(中島裕翔)の真っ直ぐでバカ正直な行動と言葉に心を動かされ、ついにカス高水球部に入部した3バカトリオの木村朋生(千葉雄大)、志村公平(中川大志)、加東慎介(吉沢亮)。青山千春(大政絢)の顧問就任をきっかけに結局は自ら志願して入部した千秋亮(間宮祥太朗)と宮口幸喜(矢本悠馬)。総勢6人となった水球部員だが、水球部の正式な発足にはあと1人部員が必要だった。そして、その1人は三船龍二(山崎賢人)以外にはいないと、尚弥と3バカトリオは龍二の説得に乗り出す。  　教頭の桑原半蔵(北村有起哉)は尚弥たちが練習する姿にふと足を止める龍二の姿を目撃する。水蘭高校水球部顧問・庄司真冬(倉科カナ)の電話での言葉が気にはなっていたが、あくまでも水球部発足に反対の桑原は龍二を問い詰め、尚弥たちの妨害をしようとする。  　自分たちが水球部に入ったことを告げ、その勢いで龍二を入部させようと試みる3バカトリオだったが、3人の入部には反対しないものの、自分の入部だけは頑なに拒否をする龍二。尚弥の作戦も功を奏さず、龍二はますます態度を硬化させる。  　追い詰められた尚弥と3バカトリオは、龍二に果たし状を叩きつける。相手にしようともしない龍二に対し、公平が果たし状を見るように促す。果たし状を開ける龍二。そこには朋生、公平、慎介の大きな決断の文字が記されていた。</t>
  </si>
  <si>
    <t>番組名&lt;土ドラ&gt;水球ヤンキース【いよいよ恋や友情が動き始める!】　#04</t>
  </si>
  <si>
    <t>三船龍二(山崎賢人)の入部が決まり、正式に活動を開始したカス高水球部。それぞれの決意を胸に「てっぺん」を目指し一致団結して・・・と思いきや、フローターの座をめぐって早速、稲葉尚弥(中島裕翔)と千秋亮(間宮祥太朗)が火花を散らしていた。そんな2人を見兼ねた顧問の青山千春(大政絢)はフローター、そしてキャプテンに龍二を任命し1カ月後に水蘭高校と練習試合をすることになったと告げる。　どうにかこうにか水球部を発足させた尚弥たちだったが、問題は山積みだった。水蘭との練習試合に向けて、まずは水球専用の水着とキャップを人数分そろえる必要がある。ところが教頭の桑原半蔵(北村有起哉)は千春の嘆願を受け入れず、部活動予算を出そうとはしない。打開策を図るため、いつものようにお好み焼き屋「かとちゃん」に集合した尚弥たちだったが、そこに現れた水蘭水球部の郷田剛(鈴木伸之)と前畑涼子(筧美和子)により、千秋の思いもよらぬ過去を知ることになる。  　千秋が学校をサボるようになって数日後。窃盗の被害にあったという女性からカス高に電話が掛かってくる。犯人の名前は千秋だという。桑原に廃部を言い渡され反論すらできない部員たち。だが、宮口幸喜(矢本悠馬)だけは千秋を信じていた。絶対に千秋ではないと信じる理由が幸喜にはあった。中島裕翔(Hey!Say!JUMP)　  山崎賢人　  高木雄也(Hey!Say!JUMP)　  大原櫻子　  千葉雄大　  間宮祥太朗　  中川大志　  吉沢亮　  矢本悠馬  　・　  横山裕☆伝説の先輩☆  　・　  新川優愛　  筧美和子　  佐野ひなこ　  鈴木伸之　  橋本環奈(Rev.　from　DVL)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</si>
  <si>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三船龍二(山崎賢人)の入部が決まり、正式に活動を開始したカス高水球部。それぞれの決意を胸に「てっぺん」を目指し一致団結して・・・と思いきや、フローターの座をめぐって早速、稲葉尚弥(中島裕翔)と千秋亮(間宮祥太朗)が火花を散らしていた。そんな2人を見兼ねた顧問の青山千春(大政絢)はフローター、そしてキャプテンに龍二を任命し1カ月後に水蘭高校と練習試合をすることになったと告げる。　どうにかこうにか水球部を発足させた尚弥たちだったが、問題は山積みだった。水蘭との練習試合に向けて、まずは水球専用の水着とキャップを人数分そろえる必要がある。ところが教頭の桑原半蔵(北村有起哉)は千春の嘆願を受け入れず、部活動予算を出そうとはしない。打開策を図るため、いつものようにお好み焼き屋「かとちゃん」に集合した尚弥たちだったが、そこに現れた水蘭水球部の郷田剛(鈴木伸之)と前畑涼子(筧美和子)により、千秋の思いもよらぬ過去を知ることになる。  　千秋が学校をサボるようになって数日後。窃盗の被害にあったという女性からカス高に電話が掛かってくる。犯人の名前は千秋だという。桑原に廃部を言い渡され反論すらできない部員たち。だが、宮口幸喜(矢本悠馬)だけは千秋を信じていた。絶対に千秋ではないと信じる理由が幸喜にはあった。</t>
  </si>
  <si>
    <t>番組名&lt;土ドラ&gt;水球ヤンキース【夏だ!水着だ!男と女のミズタマ勝負!!】　#05</t>
  </si>
  <si>
    <t>練習試合の為、血気盛んに水蘭高校に乗り込んだ稲葉尚弥(中島裕翔)らカス高水球部員たちだったが、相手が藤崎玲(新川優愛)率いる女子水球部だと知って激怒する。ただ1人、三船龍二(山崎賢人)を除いては…。  　龍二の言葉に一念発起した部員は改めて水蘭高校女子水球部との練習試合に挑むことになった。第1ピリオドは華麗な連携プレイでリードしたカス高だったが、第2ピリオドは水蘭女子のパス回しに翻弄(ほんろう)され、逆転を許す。第3ピリオド、部員たちの体力が奪われ、勝機がないと判断した龍二は、連携プレイを諦めて個人プレイに徹しゴールラッシュ。やはり女子では龍二を止められない。そう思った水蘭のエース・北島虎雄(高木雄也)は顧問の庄司真冬(倉科カナ)に出場を直訴、ついに尚弥、龍二らカス高水球部が虎雄と相まみえることに。  　気合の入る尚弥らだったが、いざ試合が始まると実力の差は歴然…。カス高水球部員たちはショックを隠せない。おまけに龍二の個人プレイに不満をあらわにする千秋亮(間宮祥太朗)と龍二の間では内紛も勃発。そんな最中、龍二は真冬から「水蘭水球部に来てほしい」と告げられる。  　水蘭との練習試合後、龍二の動向が気になって仕方がないカス高部員たちは険悪な雰囲気で崩壊寸前。そしてその翌日から、龍二は練習に姿を見せなくなってしまう。中島裕翔(Hey!Say!JUMP)　  山崎賢人　  高木雄也(Hey!Say!JUMP)　  大原櫻子　  千葉雄大　  間宮祥太朗　  中川大志　  吉沢亮　  矢本悠馬  　・　  横山裕☆伝説の先輩☆  　・　  新川優愛　  筧美和子　  佐野ひなこ　  鈴木伸之　  橋本環奈(Rev.　from　DVL)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</si>
  <si>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練習試合の為、血気盛んに水蘭高校に乗り込んだ稲葉尚弥(中島裕翔)らカス高水球部員たちだったが、相手が藤崎玲(新川優愛)率いる女子水球部だと知って激怒する。ただ1人、三船龍二(山崎賢人)を除いては…。  　龍二の言葉に一念発起した部員は改めて水蘭高校女子水球部との練習試合に挑むことになった。第1ピリオドは華麗な連携プレイでリードしたカス高だったが、第2ピリオドは水蘭女子のパス回しに翻弄(ほんろう)され、逆転を許す。第3ピリオド、部員たちの体力が奪われ、勝機がないと判断した龍二は、連携プレイを諦めて個人プレイに徹しゴールラッシュ。やはり女子では龍二を止められない。そう思った水蘭のエース・北島虎雄(高木雄也)は顧問の庄司真冬(倉科カナ)に出場を直訴、ついに尚弥、龍二らカス高水球部が虎雄と相まみえることに。  　気合の入る尚弥らだったが、いざ試合が始まると実力の差は歴然…。カス高水球部員たちはショックを隠せない。おまけに龍二の個人プレイに不満をあらわにする千秋亮(間宮祥太朗)と龍二の間では内紛も勃発。そんな最中、龍二は真冬から「水蘭水球部に来てほしい」と告げられる。  　水蘭との練習試合後、龍二の動向が気になって仕方がないカス高部員たちは険悪な雰囲気で崩壊寸前。そしてその翌日から、龍二は練習に姿を見せなくなってしまう。</t>
  </si>
  <si>
    <t>番組名&lt;土ドラ&gt;水球ヤンキース【ミズタマ部解散!?救世主はあのアイドル!?】　#06</t>
  </si>
  <si>
    <t>「女子バレーボールワールドグランプリ2014日本×ベルギー」延長の際、放送時間繰り下げの場合あり。　水蘭高校との練習試合に大敗し、落ち込む部員たちに追い打ちをかけるように三船龍二(山崎賢人)が水蘭水球部に引き抜かれ、崩壊寸前のカス高水球部。しかし他の部員が誰1人練習に姿を見せないプールで稲葉尚弥(中島裕翔)は仲間を信じ、黙々と練習を続けていた。そんな尚弥の傍らでボンヤリとしている顧問の青山千春(大政絢)に尚弥は「強化合宿をしよう」と言い出す。  　お手製の旅のしおりを持って部員たちを強化合宿に誘う尚弥だったが、まるで相手にされない。一方、龍二は水蘭高校水球部顧問の庄司真冬(倉科カナ)のもとを訪れていた。尚弥たちを密かに応援していた岩崎渚(大原櫻子)は、そんな龍二の姿を見て複雑な心境。  　強化合宿当日。部員たちが集まることを信じて家を出る尚弥。しかしもう龍二の足を引っ張りたくない、そんな気持ちを抱く3バカトリオはRev.　from　DVLのコンサート会場に来ていた。大ファンの橋本環奈(橋本環奈)が水球インターハイの応援ツアーで蓮水町に来ているのだ。その橋本は開演前に散歩に出てみたのは良いが途中で迷子になってしまう。そこで偶然にも合宿に向かう尚弥と遭遇し…。  　水蘭水球部の練習に初めて参加することになった龍二。龍二も含めた新しいフォーメーションを発表しようとする真冬に対し、水蘭のエース・北島虎雄(高木雄也)はどっちが水蘭のエースにふさわしいか、龍二と勝負したいと申し出る。中島裕翔(Hey!Say!JUMP)　  山崎賢人　  高木雄也(Hey!Say!JUMP)　  大原櫻子　  千葉雄大　  間宮祥太朗　  中川大志　  吉沢亮　  矢本悠馬  　・　  横山裕☆伝説の先輩☆  　・　  新川優愛　  筧美和子　  佐野ひなこ　  鈴木伸之　  橋本環奈(Rev.　from　DVL)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</si>
  <si>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「女子バレーボールワールドグランプリ2014日本×ベルギー」延長の際、放送時間繰り下げの場合あり。　水蘭高校との練習試合に大敗し、落ち込む部員たちに追い打ちをかけるように三船龍二(山崎賢人)が水蘭水球部に引き抜かれ、崩壊寸前のカス高水球部。しかし他の部員が誰1人練習に姿を見せないプールで稲葉尚弥(中島裕翔)は仲間を信じ、黙々と練習を続けていた。そんな尚弥の傍らでボンヤリとしている顧問の青山千春(大政絢)に尚弥は「強化合宿をしよう」と言い出す。  　お手製の旅のしおりを持って部員たちを強化合宿に誘う尚弥だったが、まるで相手にされない。一方、龍二は水蘭高校水球部顧問の庄司真冬(倉科カナ)のもとを訪れていた。尚弥たちを密かに応援していた岩崎渚(大原櫻子)は、そんな龍二の姿を見て複雑な心境。  　強化合宿当日。部員たちが集まることを信じて家を出る尚弥。しかしもう龍二の足を引っ張りたくない、そんな気持ちを抱く3バカトリオはRev.　from　DVLのコンサート会場に来ていた。大ファンの橋本環奈(橋本環奈)が水球インターハイの応援ツアーで蓮水町に来ているのだ。その橋本は開演前に散歩に出てみたのは良いが途中で迷子になってしまう。そこで偶然にも合宿に向かう尚弥と遭遇し…。  　水蘭水球部の練習に初めて参加することになった龍二。龍二も含めた新しいフォーメーションを発表しようとする真冬に対し、水蘭のエース・北島虎雄(高木雄也)はどっちが水蘭のエースにふさわしいか、龍二と勝負したいと申し出る。</t>
  </si>
  <si>
    <t>番組名&lt;土ドラ&gt;水球ヤンキース【尚弥が退学に!?ミズタマ部存続の大ピンチ!】　#07</t>
  </si>
  <si>
    <t>それぞれの思いを胸に、再び結束を固めたカス高水球部員たちだったが、またしても彼らに試練が襲いかかる。商店街に掲げられていた水蘭水球部を応援するポスターやのぼりが破り捨てられ、シャッターには『カス高ミズタマ部　夜露死苦』と派手な落書きがされていた。そして、荒らされた現場には稲葉尚弥(中島裕翔)の生徒手帳が…。  　尚弥を犯人と決めつける教頭の桑原半蔵(北村有起哉)は、水球部の活動停止を言い渡す。水球部を温かく見守ってきた校長の荒川重信(森本レオ)も、今回ばかりはうなずくしかない。顧問の青山千春(大政絢)から尚弥の自宅謹慎と水球部の活動停止を聞いた部員たちは激高するが、三船龍二(山崎賢人)は「ハメられた」と感じていた。  　尚弥を信じる部員たちが商店街で犯人の手がかりを探していると、またしてもシャッターに『カス高参上!』などと落書きされているのを見つける。ところが落書きを消そうとしているところを目撃され、再びカス高水球部員たちが犯人だと疑われてしまう。商店街の人には何を言っても信じてもらえず、桑原からは廃部を検討すると告げられ、なす術のない水球部員たち。  　部員たちから事の次第を聞いた尚弥は、カス高水球部を守るため、自分を信じてくれた仲間の思いをつぶさないため、辛く苦しい決断をすることになる。しかし、そんな尚弥の思いを知った部員たちは…。中島裕翔(Hey!Say!JUMP)　  山崎賢人　  高木雄也(Hey!Say!JUMP)　  大原櫻子　  千葉雄大　  間宮祥太朗　  中川大志　  吉沢亮　  矢本悠馬  　・　  横山裕☆伝説の先輩☆  　・　  新川優愛　  筧美和子　  佐野ひなこ　  鈴木伸之　  橋本環奈(Rev.　from　DVL)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</si>
  <si>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それぞれの思いを胸に、再び結束を固めたカス高水球部員たちだったが、またしても彼らに試練が襲いかかる。商店街に掲げられていた水蘭水球部を応援するポスターやのぼりが破り捨てられ、シャッターには『カス高ミズタマ部　夜露死苦』と派手な落書きがされていた。そして、荒らされた現場には稲葉尚弥(中島裕翔)の生徒手帳が…。  　尚弥を犯人と決めつける教頭の桑原半蔵(北村有起哉)は、水球部の活動停止を言い渡す。水球部を温かく見守ってきた校長の荒川重信(森本レオ)も、今回ばかりはうなずくしかない。顧問の青山千春(大政絢)から尚弥の自宅謹慎と水球部の活動停止を聞いた部員たちは激高するが、三船龍二(山崎賢人)は「ハメられた」と感じていた。  　尚弥を信じる部員たちが商店街で犯人の手がかりを探していると、またしてもシャッターに『カス高参上!』などと落書きされているのを見つける。ところが落書きを消そうとしているところを目撃され、再びカス高水球部員たちが犯人だと疑われてしまう。商店街の人には何を言っても信じてもらえず、桑原からは廃部を検討すると告げられ、なす術のない水球部員たち。  　部員たちから事の次第を聞いた尚弥は、カス高水球部を守るため、自分を信じてくれた仲間の思いをつぶさないため、辛く苦しい決断をすることになる。しかし、そんな尚弥の思いを知った部員たちは…。</t>
  </si>
  <si>
    <t>番組名&lt;土ドラ&gt;水球ヤンキース【恋!水着!青い海!!胸キュン夏合宿SP!】　#08</t>
  </si>
  <si>
    <t>インターハイ予選に向け強化合宿を組んだカス高水球部だったが、ここでも水蘭高校との格差が露呈する。プールを使えるのは水蘭の練習がない時間だけ。そして宿舎は水蘭のそれとは比較にならないボロボロな民宿。それでもヤル気まんまんの稲葉尚弥(中島裕翔)をはじめ水球部員一同は宿に着くなり水着に着替えるが、民宿のオーナー・鮫島仁(宇梶剛士)にプールとは違う場所に連れていかれて…。  　3バカトリオの木村朋生(千葉雄大)、志村公平(中川大志)、加東慎介(吉沢亮)と千秋亮(間宮祥太朗)、宮口幸喜(矢本悠馬)の5人は合宿の楽しみはこれからとばかりに何か良からぬ相談をしている。尚弥は水球の練習ができない鬱憤(うっぷん)が爆発して、民宿のツボを壊してしまう。そして、三船龍二(山崎賢人)は海岸で水蘭の女子水球部キャプテン・藤崎玲(新川優愛)と会っていた。2人とも水蘭の水球部キャプテン・北島虎雄(高木雄也)のことを気にかけているようだ。  　一方、虎雄は夜のプールでただ1人、無心にシュートの練習を続けていた。そこへ片づけに現れた水蘭の水球部マネージャー・岩崎渚(大原櫻子)は練習する虎雄の姿を見て、虎雄の身に異変があることに気づく。  　翌日、プールサイドに集合し円陣を組むカス高水球部。いよいよ水球の練習が始まる。と思いきや、またしても鮫島が現れ、ツボを割ったと白状した尚弥をプールの表に引きずり出してしまう。中島裕翔(Hey!Say!JUMP)　  山崎賢人　  高木雄也(Hey!Say!JUMP)　  大原櫻子　  千葉雄大　  間宮祥太朗　  中川大志　  吉沢亮　  矢本悠馬  　・　  横山裕☆伝説の先輩☆  　・　  新川優愛　  筧美和子　  佐野ひなこ　  鈴木伸之　  橋本環奈(Rev.　from　DVL)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</si>
  <si>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インターハイ予選に向け強化合宿を組んだカス高水球部だったが、ここでも水蘭高校との格差が露呈する。プールを使えるのは水蘭の練習がない時間だけ。そして宿舎は水蘭のそれとは比較にならないボロボロな民宿。それでもヤル気まんまんの稲葉尚弥(中島裕翔)をはじめ水球部員一同は宿に着くなり水着に着替えるが、民宿のオーナー・鮫島仁(宇梶剛士)にプールとは違う場所に連れていかれて…。  　3バカトリオの木村朋生(千葉雄大)、志村公平(中川大志)、加東慎介(吉沢亮)と千秋亮(間宮祥太朗)、宮口幸喜(矢本悠馬)の5人は合宿の楽しみはこれからとばかりに何か良からぬ相談をしている。尚弥は水球の練習ができない鬱憤(うっぷん)が爆発して、民宿のツボを壊してしまう。そして、三船龍二(山崎賢人)は海岸で水蘭の女子水球部キャプテン・藤崎玲(新川優愛)と会っていた。2人とも水蘭の水球部キャプテン・北島虎雄(高木雄也)のことを気にかけているようだ。  　一方、虎雄は夜のプールでただ1人、無心にシュートの練習を続けていた。そこへ片づけに現れた水蘭の水球部マネージャー・岩崎渚(大原櫻子)は練習する虎雄の姿を見て、虎雄の身に異変があることに気づく。  　翌日、プールサイドに集合し円陣を組むカス高水球部。いよいよ水球の練習が始まる。と思いきや、またしても鮫島が現れ、ツボを割ったと白状した尚弥をプールの表に引きずり出してしまう。</t>
  </si>
  <si>
    <t>番組名&lt;土ドラ&gt;水球ヤンキース【最終章!ミズタマ部のアツい夏ついに完結へ】　#09</t>
  </si>
  <si>
    <t>強化合宿を無事に終えたカス高水球部。部員たちを乗せたバスは見慣れた街並みに差し掛かっていた。部員一同がぐっすりと眠る中、ひとり目を覚ました稲葉尚弥(中島裕翔)は何気なく視線を送った先にいた1人の男に目を奪われる。尚弥が10年間憧れ続け、誇りに思ってきたその男の名は黒澤義男(横山裕)。尚弥、そしてもう1人、青山千春(大政絢)の人生を変えたカス高の元番長だった。　バスを止め、道路に飛び出した尚弥は黒澤に声を掛ける。「黒澤さんですよね」。しかし黒澤は尚弥から顔を背け、社名の入ったワゴン車に乗り込み、走り去ってしまう。それでも残された尚弥は興奮冷めやらず「やっと会えた…!」  　ワゴン車に書かれていた社名を足掛かりに、黒澤の会社を訪れた尚弥。ビルの中から作業着姿の黒澤が出て来るのを見つけ、10年間の思いの丈を打ち明ける。しかし、黒澤の口からこぼれたのは尚弥が想像すらしていなかった言葉だった。ショックで言葉の出ない尚弥。そんな2人をぼうぜんと見つめる千春。  　姿を消した尚弥を心配し岩崎渚(大原櫻子)の家に集まった部員たち。渚は黒澤と出会った日から尚弥がどんなふうに生きていたのかを語り始めるが、尚弥への思いが込み上げてきて動揺をあらわにする。中島裕翔(Hey!Say!JUMP)　  山崎賢人　  高木雄也(Hey!Say!JUMP)　  大原櫻子　  千葉雄大　  間宮祥太朗　  中川大志　  吉沢亮　  矢本悠馬  　・　  横山裕☆伝説の先輩☆  　・　  新川優愛　  筧美和子　  佐野ひなこ　  鈴木伸之　  橋本環奈(Rev.　from　DVL)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</si>
  <si>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強化合宿を無事に終えたカス高水球部。部員たちを乗せたバスは見慣れた街並みに差し掛かっていた。部員一同がぐっすりと眠る中、ひとり目を覚ました稲葉尚弥(中島裕翔)は何気なく視線を送った先にいた1人の男に目を奪われる。尚弥が10年間憧れ続け、誇りに思ってきたその男の名は黒澤義男(横山裕)。尚弥、そしてもう1人、青山千春(大政絢)の人生を変えたカス高の元番長だった。　バスを止め、道路に飛び出した尚弥は黒澤に声を掛ける。「黒澤さんですよね」。しかし黒澤は尚弥から顔を背け、社名の入ったワゴン車に乗り込み、走り去ってしまう。それでも残された尚弥は興奮冷めやらず「やっと会えた…!」  　ワゴン車に書かれていた社名を足掛かりに、黒澤の会社を訪れた尚弥。ビルの中から作業着姿の黒澤が出て来るのを見つけ、10年間の思いの丈を打ち明ける。しかし、黒澤の口からこぼれたのは尚弥が想像すらしていなかった言葉だった。ショックで言葉の出ない尚弥。そんな2人をぼうぜんと見つめる千春。  　姿を消した尚弥を心配し岩崎渚(大原櫻子)の家に集まった部員たち。渚は黒澤と出会った日から尚弥がどんなふうに生きていたのかを語り始めるが、尚弥への思いが込み上げてきて動揺をあらわにする。</t>
  </si>
  <si>
    <t>番組名&lt;土ドラ&gt;水球ヤンキース【ついに感動の最終回…さよならミズタマ部!】　#10</t>
  </si>
  <si>
    <t>いよいよ水蘭との決勝戦を迎えたカス高水球部。試合前の控室では大事な一戦を目前にした部員たちが緊張で固くなっている。そんな中、稲葉尚弥(中島裕翔)の右肩を三船龍二(山崎賢人)は気に掛けていた。昨夜、何者かによって尚弥が襲われたのだ。  　とあるオフィス。黒澤義男(横山裕)はポケットから取り出した大会のチラシを眺めていた。尚弥と出会って10年…、自分から誇りを奪い去るには十分な時間だった。カス高での栄光も、番長としての誇りも、社会に出れば一切通用しなかった。いつしか自分は過去から逃れながら生きるようになった。そんな時、あの時の少年が高校生になって、突然自分の前に現れた。それが尚弥だった。  　客席は水蘭を応援する人たちで埋まっていた。カス高にとっては完全にアウェイな状況の中、運命の笛が鳴った。中央に浮かぶボールに向かい、両校の選手たちが一斉に泳ぎだす。真っ先にボールをつかみ取った尚弥はフローターバックの龍二にパスを出す。龍二との1対1の勝負を挑む水蘭のエース・北島虎雄(高木雄也)。しかし龍二は前線に泳ぐ木村朋生(千葉雄大)にパスを出す。それぞれが体を張ったブロックでパスコースを作りチームプレイに徹するカス高。それに対し強引な攻めの目立つ水蘭。一進一退の激しい攻防が続くなか、尚弥の肩が遂に悲鳴をあげる。中島裕翔(Hey!Say!JUMP)　  山崎賢人　  高木雄也(Hey!Say!JUMP)　  大原櫻子　  千葉雄大　  間宮祥太朗　  中川大志　  吉沢亮　  矢本悠馬  　・　  横山裕☆伝説の先輩☆  　・　  新川優愛　  筧美和子　  佐野ひなこ　  鈴木伸之　  橋本環奈(Rev.　from　DVL)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</si>
  <si>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いよいよ水蘭との決勝戦を迎えたカス高水球部。試合前の控室では大事な一戦を目前にした部員たちが緊張で固くなっている。そんな中、稲葉尚弥(中島裕翔)の右肩を三船龍二(山崎賢人)は気に掛けていた。昨夜、何者かによって尚弥が襲われたのだ。  　とあるオフィス。黒澤義男(横山裕)はポケットから取り出した大会のチラシを眺めていた。尚弥と出会って10年…、自分から誇りを奪い去るには十分な時間だった。カス高での栄光も、番長としての誇りも、社会に出れば一切通用しなかった。いつしか自分は過去から逃れながら生きるようになった。そんな時、あの時の少年が高校生になって、突然自分の前に現れた。それが尚弥だった。  　客席は水蘭を応援する人たちで埋まっていた。カス高にとっては完全にアウェイな状況の中、運命の笛が鳴った。中央に浮かぶボールに向かい、両校の選手たちが一斉に泳ぎだす。真っ先にボールをつかみ取った尚弥はフローターバックの龍二にパスを出す。龍二との1対1の勝負を挑む水蘭のエース・北島虎雄(高木雄也)。しかし龍二は前線に泳ぐ木村朋生(千葉雄大)にパスを出す。それぞれが体を張ったブロックでパスコースを作りチームプレイに徹するカス高。それに対し強引な攻めの目立つ水蘭。一進一退の激しい攻防が続くなか、尚弥の肩が遂に悲鳴をあげる。</t>
  </si>
  <si>
    <t>1404_CX_月21</t>
  </si>
  <si>
    <t>極悪がんぼ</t>
  </si>
  <si>
    <t>番組名極悪がんぼ【尾野真千子、民放連ドラ初主演!豪華俳優陣、夢の競演!!】　#01</t>
  </si>
  <si>
    <t>フリーターの神崎薫(尾野真千子)は、ファミレスの店内で怒突工事(中野英雄)に迷惑料の200万円を払えとすごまれていた。元カレの茸本和磨(三浦翔平)が、怒突のクレジットカードを偽造し金を作ったのがばれたのだ。ところが、茸本が雲隠れしたため、薫はとばっちりで怒突と対面するはめになった。そこへ金子千秋(三浦友和)と夏目大作(竹内力)が入ってくる。さらに巻上輝男(宇梶剛士)が、矢敷聡美(夏菜)を連れて来た。聡美も借金があるという。怒突に代わりその場を仕切り始めた金子は、「小清水経営コンサルタント」と書かれた名刺を差し出した。「小清水経営コンサルタント」ではその頃、所長の小清水元(小林薫)が冬月啓(椎名桔平)を呼び一通の公正証書を手渡すと、不良債権の回収を指示した。その傍には弁護士の豊臣嫌太郎(宮藤官九郎)と会計士の抜道琢己(板尾創路)もいた。金子は、薫と聡美に札束を見せ、この金を怒突らに渡し誓約書を取り戻せば手が切れると説明。提案を受け入れた薫らは新たな借用書にサインし、怒突らに金を返す。新たに借りた金の返済はどうすればいいのかと聞く薫らを、金子は真矢樫キリコ(仲里依紗)のいるスナックに案内。そこである島で住み込みで働くコンパニオンの仕事を紹介。いかにも怪しげな仕事をいぶかしがる薫らに金子は、これなら3カ月で200万円を稼げると断言。明日の出発までに答えを出せと言われた薫は…。尾野真千子　  椎名桔平　  三浦翔平　  仲里依紗　  竹内力　  板尾創路  　・　  小林薫  　・　  宮藤官九郎　  オダギリ　ジョー  　・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フジテレビドラマ制作部★「極悪がんぼ」公式番組ホームページ　  http://www.fujitv.co.jp/ganbo　  出演者の皆様からの盛りだくさん動画メッセージや、番組関連情報を随時アップしていきます!  ★金暮TAROが吟じる極悪がんぼ公式Twitterも大好評展開中!　#極悪がんぼ</t>
  </si>
  <si>
    <t>フリーターの神崎薫(尾野真千子)は、ファミレスの店内で怒突工事(中野英雄)に迷惑料の200万円を払えとすごまれていた。元カレの茸本和磨(三浦翔平)が、怒突のクレジットカードを偽造し金を作ったのがばれたのだ。ところが、茸本が雲隠れしたため、薫はとばっちりで怒突と対面するはめになった。そこへ金子千秋(三浦友和)と夏目大作(竹内力)が入ってくる。さらに巻上輝男(宇梶剛士)が、矢敷聡美(夏菜)を連れて来た。聡美も借金があるという。怒突に代わりその場を仕切り始めた金子は、「小清水経営コンサルタント」と書かれた名刺を差し出した。「小清水経営コンサルタント」ではその頃、所長の小清水元(小林薫)が冬月啓(椎名桔平)を呼び一通の公正証書を手渡すと、不良債権の回収を指示した。その傍には弁護士の豊臣嫌太郎(宮藤官九郎)と会計士の抜道琢己(板尾創路)もいた。金子は、薫と聡美に札束を見せ、この金を怒突らに渡し誓約書を取り戻せば手が切れると説明。提案を受け入れた薫らは新たな借用書にサインし、怒突らに金を返す。新たに借りた金の返済はどうすればいいのかと聞く薫らを、金子は真矢樫キリコ(仲里依紗)のいるスナックに案内。そこである島で住み込みで働くコンパニオンの仕事を紹介。いかにも怪しげな仕事をいぶかしがる薫らに金子は、これなら3カ月で200万円を稼げると断言。明日の出発までに答えを出せと言われた薫は…。</t>
  </si>
  <si>
    <t>番組名極悪がんぼ　#02</t>
  </si>
  <si>
    <t>ある日、神崎薫(尾野真千子)は金子千秋(三浦友和)の命令で、とある予備校から運ばれたテレビ、パソコン、コピー機などを倉庫に収めていた。金子は予備校代表の沌面(田窪一世)にそれらを売って出来た金を借金返済に充てろと指示。薫は、借金を踏み倒して夜逃げしようとする沌面の片棒を担ぐことに不快感を示すが、金子に一蹴される。  そのころ、無人の予備校には、印刷会社の社長・橋呉(笹野高史)ら、沌面に金を貸している債権者たちが集まり激怒していた。  一方「小清水経営コンサルタント」では、小清水元(小林薫)が、冬月啓(椎名桔平)に薫が事務所に払う看板料2千万円を立て替えてやってほしいと頼む。そこへ真矢樫キリコ(仲里依紗)が営むスナック「まやかし」で働き始めた茸本和磨(三浦翔平)が、店のメニューを持ってくる。金子に言われ予備校の様子を見に来た薫は、そこで刑事の伊集院保(オダギリ　ジョー)に尋問される橋呉を目撃。予備校の様子が知りたかった橋呉は、無断でドアを破って中に入ったのだ。橋呉は、沌面から400万円以上の未払いがあり、それが回収できなければ自分が倒産してしまうと訴えるが…。  事務所に戻った薫は、沌面が債権者たちから詐欺罪で訴えられるのではと金子に進言。そんな薫に冬月は、看板料を立て替えた借用書を差し出した。内容を見た薫は、利息が月10%、つまり200万円の支払いになると書かれていたことに驚愕する。尾野真千子　  椎名桔平　  三浦翔平　  仲里依紗　  竹内力　  板尾創路  　・　  小林薫  　・　  宮藤官九郎　  オダギリ　ジョー  　・　  三浦友和　    ほか【原作】  「極悪がんぼ」(講談社「イブニングKC」所載)　  田島隆　  東風孝広　    【プロデュース】  後藤博幸　  草ヶ谷大輔　    【演出】  河毛俊作　  林徹　  石井祐介　    【脚本】  いずみ吉紘　  池上純哉　    他    【主題歌】  「喧嘩上等」氣志團(影別苦須　虎津苦須)　    【制作】  フジテレビドラマ制作部★「極悪がんぼ」公式番組ホームページ　  http://www.fujitv.co.jp/ganbo　  出演者の皆様からの盛りだくさん動画メッセージや、番組関連情報を随時アップしていきます!  ★金暮TAROが吟じる極悪がんぼ公式Twitterも大好評展開中!　#極悪がんぼ</t>
  </si>
  <si>
    <t>ある日、神崎薫(尾野真千子)は金子千秋(三浦友和)の命令で、とある予備校から運ばれたテレビ、パソコン、コピー機などを倉庫に収めていた。金子は予備校代表の沌面(田窪一世)にそれらを売って出来た金を借金返済に充てろと指示。薫は、借金を踏み倒して夜逃げしようとする沌面の片棒を担ぐことに不快感を示すが、金子に一蹴される。  そのころ、無人の予備校には、印刷会社の社長・橋呉(笹野高史)ら、沌面に金を貸している債権者たちが集まり激怒していた。  一方「小清水経営コンサルタント」では、小清水元(小林薫)が、冬月啓(椎名桔平)に薫が事務所に払う看板料2千万円を立て替えてやってほしいと頼む。そこへ真矢樫キリコ(仲里依紗)が営むスナック「まやかし」で働き始めた茸本和磨(三浦翔平)が、店のメニューを持ってくる。金子に言われ予備校の様子を見に来た薫は、そこで刑事の伊集院保(オダギリ　ジョー)に尋問される橋呉を目撃。予備校の様子が知りたかった橋呉は、無断でドアを破って中に入ったのだ。橋呉は、沌面から400万円以上の未払いがあり、それが回収できなければ自分が倒産してしまうと訴えるが…。  事務所に戻った薫は、沌面が債権者たちから詐欺罪で訴えられるのではと金子に進言。そんな薫に冬月は、看板料を立て替えた借用書を差し出した。内容を見た薫は、利息が月10%、つまり200万円の支払いになると書かれていたことに驚愕する。</t>
  </si>
  <si>
    <t>番組名極悪がんぼ　#03</t>
  </si>
  <si>
    <t>★「極悪がんぼ」公式番組ホームページ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神崎薫(尾野真千子)は、総額1800万円にまで膨れあがった借金に頭を抱えていた。それを見た夏目大作(竹内力)や抜道琢己(板尾創路)は、冬月啓(椎名桔平)のような人間から金を借りるからだとあきれ返る。  　そんな折「小清水経営コンサルタント」に不動産会社の地揚四郎(ラサール石井)がやってくる。開発工事のため土地買収を行っているエリアで、古い集合住宅に住む飛騨という夫婦が立ち退きに合意せず困っているという。夫の林五郎(要潤)は、大手の建設会社勤務のエリート、年上の妻の満利子(猫背椿)は有力な県会議員の娘だという夫婦は、立ち退き料をつり上げる目的で居座り続けていると地揚は話した。  　話を聞いた金子千秋(三浦友和)は、薫にこの件に噛んでみろと指示。知恵も経験もない薫が、唯一使える武器があると金子は言った。  　薫は早速、林五郎の勤務先や立ち寄り先で捜査を始める。そのうち、林五郎が愛妻家で真面目なサラリーマンだと知り、強制撤去させることに疑問を持ち始める。一方、夏目は飛騨家のゴミ箱から大量のセレブ女性の名刺を発見。金子も林五郎はまともに立ち向かって勝てる相手ではないと言う。金子が言う薫が使える武器とは、色仕掛けで林五郎に迫りシッポを掴むことだった。気乗りがしない薫は、真矢樫キリコ(仲里依紗)に相談。キリコが、林五郎はセレブが集まって行われるパーティーの常連だと教える。それを聞いた薫は…。神崎薫:　尾野真千子　    冬月啓:　椎名桔平　    茸本和磨:　三浦翔平　    真矢樫キリコ:　仲里依紗　    夏目大作:　竹内力　    抜道琢己:板尾創路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</si>
  <si>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 xml:space="preserve">★「極悪がんぼ」公式番組ホームページ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神崎薫(尾野真千子)は、総額1800万円にまで膨れあがった借金に頭を抱えていた。それを見た夏目大作(竹内力)や抜道琢己(板尾創路)は、冬月啓(椎名桔平)のような人間から金を借りるからだとあきれ返る。  　そんな折「小清水経営コンサルタント」に不動産会社の地揚四郎(ラサール石井)がやってくる。開発工事のため土地買収を行っているエリアで、古い集合住宅に住む飛騨という夫婦が立ち退きに合意せず困っているという。夫の林五郎(要潤)は、大手の建設会社勤務のエリート、年上の妻の満利子(猫背椿)は有力な県会議員の娘だという夫婦は、立ち退き料をつり上げる目的で居座り続けていると地揚は話した。  　話を聞いた金子千秋(三浦友和)は、薫にこの件に噛んでみろと指示。知恵も経験もない薫が、唯一使える武器があると金子は言った。  　薫は早速、林五郎の勤務先や立ち寄り先で捜査を始める。そのうち、林五郎が愛妻家で真面目なサラリーマンだと知り、強制撤去させることに疑問を持ち始める。一方、夏目は飛騨家のゴミ箱から大量のセレブ女性の名刺を発見。金子も林五郎はまともに立ち向かって勝てる相手ではないと言う。金子が言う薫が使える武器とは、色仕掛けで林五郎に迫りシッポを掴むことだった。気乗りがしない薫は、真矢樫キリコ(仲里依紗)に相談。キリコが、林五郎はセレブが集まって行われるパーティーの常連だと教える。それを聞いた薫は…。神崎薫:　</t>
  </si>
  <si>
    <t>番組名極悪がんぼ　#04</t>
  </si>
  <si>
    <t>★「極悪がんぼ」公式番組ホームページ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金子千秋(三浦友和)と豊臣嫌太郎(宮藤官九郎)への借金が膨らみ返済のめどが立たなくなってしまう。困り果てた薫は、ついに「大安ローン」というヤミ金へ足を踏み入れる。連帯保証人がいない薫に、社長の高利十一(マキタスポーツ)と事務員の桃尻花瑠子(井上和香)は、保証人の代行をしてくれる「ハイエナ保証」を紹介。恐る恐る訪ねた薫は、そこで夏目大作(竹内力)と鉢合わせする。夏目は、社長の跳田鉄男(石井正則)と幼なじみだという。薫が夏目と同じ「小清水経営コンサルタント」の所属だと知った跳田は、実は「大安ローン」と「ハイエナ保証」はグルで、保証人代行という名目で「大安ローン」の客から高利で借金の取立てを行っていると明かす。驚く薫に、跳田は、借金を踏み倒して逃げている藤原(酒井敏也)という男を、夏目と一緒に探してほしいと依頼。金に困っている薫は、夏目を説得して共に引き受ける。　薫と夏目は、藤原の個人情報を得るために、真矢樫キリコ(仲里依紗)に協力を要請。そんな時、金子がやってくる。茸本和磨(三浦翔平)は笑顔で迎えるが、薫と夏目は気まずい雰囲気に。仕方なく、薫は夏目と仕事をしていることを報告する。金子は、二人が何かを企んでいるのではと疑う。後日、仕事を終えた薫と夏目が、跳田とともに「ハイエナ保証」に戻ると、金子が鎮座し、跳田に挨拶に来たという。突然のことに戸惑う薫は…。神崎薫:　尾野真千子　    冬月啓:　椎名桔平　    茸本和磨:　三浦翔平　    真矢樫キリコ:　仲里依紗　    夏目大作:　竹内力　    抜道琢己:　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</si>
  <si>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 xml:space="preserve">★「極悪がんぼ」公式番組ホームページ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金子千秋(三浦友和)と豊臣嫌太郎(宮藤官九郎)への借金が膨らみ返済のめどが立たなくなってしまう。困り果てた薫は、ついに「大安ローン」というヤミ金へ足を踏み入れる。連帯保証人がいない薫に、社長の高利十一(マキタスポーツ)と事務員の桃尻花瑠子(井上和香)は、保証人の代行をしてくれる「ハイエナ保証」を紹介。恐る恐る訪ねた薫は、そこで夏目大作(竹内力)と鉢合わせする。夏目は、社長の跳田鉄男(石井正則)と幼なじみだという。薫が夏目と同じ「小清水経営コンサルタント」の所属だと知った跳田は、実は「大安ローン」と「ハイエナ保証」はグルで、保証人代行という名目で「大安ローン」の客から高利で借金の取立てを行っていると明かす。驚く薫に、跳田は、借金を踏み倒して逃げている藤原(酒井敏也)という男を、夏目と一緒に探してほしいと依頼。金に困っている薫は、夏目を説得して共に引き受ける。　薫と夏目は、藤原の個人情報を得るために、真矢樫キリコ(仲里依紗)に協力を要請。そんな時、金子がやってくる。茸本和磨(三浦翔平)は笑顔で迎えるが、薫と夏目は気まずい雰囲気に。仕方なく、薫は夏目と仕事をしていることを報告する。金子は、二人が何かを企んでいるのではと疑う。後日、仕事を終えた薫と夏目が、跳田とともに「ハイエナ保証」に戻ると、金子が鎮座し、跳田に挨拶に来たという。突然のことに戸惑う薫は…。神崎薫:　</t>
  </si>
  <si>
    <t>番組名極悪がんぼ【最強のライバルあらわる!】　#05</t>
  </si>
  <si>
    <t>★「極悪がんぼ」公式番組ホームページ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小清水経営コンサルタント」で小清水元(小林薫)による内部監査が行われることになり、金子千秋(三浦友和)らは狼狽する。そんな折、会社社長の名真津(ビートきよし)が金子を訪ねて来るが、金子は監査を理由に断ってしまう。そこで、神崎薫(尾野真千子)が名乗り出るが、金子に一蹴される。最近、勉強を積んでいる薫は、名真津が話していた手形絡みの仕事がしたかったのだ。薫は仕事をさせてもらえなかったことを真矢樫キリコ(仲里依紗)や茸本和磨(三浦翔平)にグチる。そこへ、夏目大作(竹内力)が来て薫に仕事を譲ってやると1000万円の手形を取り出す。金を支払う振出人が、金を用意できなくなったため、受取人から取り立てを頼まれたと言う。回収できたら500万円の報酬になると聞いた薫は引き受ける。薫が、振出人に会いに行くと、相手は名真津だった。株で大損した名真津は、3日以内に手形を取り戻さないと会社が倒産してしまうと手形の返却を迫る。薫は、それならば1000万円を払えと譲らない。ふたりがもめていると、鬼切虎子(室井滋)が現れた。同じころ、冬月啓(椎名桔平)、金子らは最近自分たちの顧客に格安で営業をかけている鬼切について話していた。もし、顧客を取られてそれが小清水に知られたら、自分たちは破滅するかもしれないと言う冬月に、金子は返す言葉がない。一方、薫は、名真津から相談を受けていると話す鬼切と対面し…。神崎薫:　尾野真千子　    冬月啓:　椎名桔平　    茸本和磨:　三浦翔平　    真矢樫キリコ:　仲里依紗　    夏目大作:　竹内力　    抜道琢己:　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</si>
  <si>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 xml:space="preserve">★「極悪がんぼ」公式番組ホームページ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小清水経営コンサルタント」で小清水元(小林薫)による内部監査が行われることになり、金子千秋(三浦友和)らは狼狽する。そんな折、会社社長の名真津(ビートきよし)が金子を訪ねて来るが、金子は監査を理由に断ってしまう。そこで、神崎薫(尾野真千子)が名乗り出るが、金子に一蹴される。最近、勉強を積んでいる薫は、名真津が話していた手形絡みの仕事がしたかったのだ。薫は仕事をさせてもらえなかったことを真矢樫キリコ(仲里依紗)や茸本和磨(三浦翔平)にグチる。そこへ、夏目大作(竹内力)が来て薫に仕事を譲ってやると1000万円の手形を取り出す。金を支払う振出人が、金を用意できなくなったため、受取人から取り立てを頼まれたと言う。回収できたら500万円の報酬になると聞いた薫は引き受ける。薫が、振出人に会いに行くと、相手は名真津だった。株で大損した名真津は、3日以内に手形を取り戻さないと会社が倒産してしまうと手形の返却を迫る。薫は、それならば1000万円を払えと譲らない。ふたりがもめていると、鬼切虎子(室井滋)が現れた。同じころ、冬月啓(椎名桔平)、金子らは最近自分たちの顧客に格安で営業をかけている鬼切について話していた。もし、顧客を取られてそれが小清水に知られたら、自分たちは破滅するかもしれないと言う冬月に、金子は返す言葉がない。一方、薫は、名真津から相談を受けていると話す鬼切と対面し…。神崎薫:　</t>
  </si>
  <si>
    <t>番組名極悪がんぼ【今回の敵は県警ナンバー2!】　#06</t>
  </si>
  <si>
    <t>★「極悪がんぼ」公式番組ホームページ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相変わらず金策に頭を痛める神崎薫(尾野真千子)の前に、冬月啓(椎名桔平)が「投遣警備保障」という会社の株券60株を置いた。それは2000万円の借金の担保として社長の投遣(今井雅之)が冬月に渡したもので、総株数の30%に相当した。冬月は薫にこれで投遣警備保障を乗っ取れと言う。合法的に乗っ取るには、51%以上の株券が必要なので残りは自分が集めるから、まずは投遣の会社に乗り込んで株主総会の開催を要求しろと命じた。  　金子千秋(三浦友和)や夏目大作(竹内力)には無理だとバカにされたが、薫は投遣を訪ねると、株券を提示し株主総会を開いてくれと頼んだ。ところが、投遣はそれを受け入れるどころか薫の胸ぐらを掴んでどう喝する。そんなところへ冬月から電話が入り、この件から今すぐに撤退しろと命じられる。  　何が起きたのかわからないまま投遣警備保障を後にした薫は、冬月と伊集院保(オダギリジョー)が話しているところに遭遇する。伊集院は、投遣のバックには金暮県警の犬神(國村隼)がついていると明かしていた。  　別の日、スナック「まやかし」に顔を出した薫に、茸本和磨(三浦翔平)が会社は乗っ取れたかと声をかける。会社のバックに警察がいて中止になったと話す薫に真矢樫キリコ(仲里依紗)は、公務員の副職は違法だからそこを突けばいいと教える。神崎薫:　尾野真千子　    冬月啓:　椎名桔平　    茸本和磨:　三浦翔平　    真矢樫キリコ:　仲里依紗　    夏目大作:　竹内力　    抜道琢己:　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</si>
  <si>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 xml:space="preserve">★「極悪がんぼ」公式番組ホームページ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相変わらず金策に頭を痛める神崎薫(尾野真千子)の前に、冬月啓(椎名桔平)が「投遣警備保障」という会社の株券60株を置いた。それは2000万円の借金の担保として社長の投遣(今井雅之)が冬月に渡したもので、総株数の30%に相当した。冬月は薫にこれで投遣警備保障を乗っ取れと言う。合法的に乗っ取るには、51%以上の株券が必要なので残りは自分が集めるから、まずは投遣の会社に乗り込んで株主総会の開催を要求しろと命じた。  　金子千秋(三浦友和)や夏目大作(竹内力)には無理だとバカにされたが、薫は投遣を訪ねると、株券を提示し株主総会を開いてくれと頼んだ。ところが、投遣はそれを受け入れるどころか薫の胸ぐらを掴んでどう喝する。そんなところへ冬月から電話が入り、この件から今すぐに撤退しろと命じられる。  　何が起きたのかわからないまま投遣警備保障を後にした薫は、冬月と伊集院保(オダギリジョー)が話しているところに遭遇する。伊集院は、投遣のバックには金暮県警の犬神(國村隼)がついていると明かしていた。  　別の日、スナック「まやかし」に顔を出した薫に、茸本和磨(三浦翔平)が会社は乗っ取れたかと声をかける。会社のバックに警察がいて中止になったと話す薫に真矢樫キリコ(仲里依紗)は、公務員の副職は違法だからそこを突けばいいと教える。神崎薫:　</t>
  </si>
  <si>
    <t>番組名極悪がんぼ【銀行にハメられた親友を救え!】　#07</t>
  </si>
  <si>
    <t>★「極悪がんぼ」公式番組ホームページ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金子千秋(三浦友和)、夏目大作(竹内力)は、不渡り手形を出して逃亡中だった鼠商事社長の鼠(半海一晃)を捕まえ、鼠に3000万円を貸していた本真商事社長の本真(平田満)に引き渡す。金子は、旧友の本真の頼みということもあり、捜索を引き受けていた。一件落着した薫と金子はスナック「まやかし」にやってくる。すると、代金を支払っていた女(小泉今日子)が、去り際に薫と金子に会釈をした。それを見た茸本和磨(三浦翔平)は、女が誰かに似ていることが気にかかる。真矢樫キリコ(仲里依紗)は、女は東京の人間のようだと言うが…。  　そんな夜、本真の誘いで薫は金子とともに高級クラブで飲むことになった。本真は上機嫌で、金子の高校時代の恋愛の失敗談を薫やホステスらに暴露。一方の金子も、同級生でその後、本真の妻となる志保(朝加真由美)とのことを暴露した。  　別の日、冬月啓(椎名桔平)の使いで巻上金融に行った薫は、そこで社長の巻上(宇梶剛士)から本真商事が払えもしない手形を乱発しており倒産の危機にあるという情報を入手。薫から報告を受けた金子が本真に会いに行くと本真は銀行から融資を受けた金の返済を迫られる「貸し剥がし」をされていると明かした。すでに5000万円を返済したが、さらに5億円の借金があるという。金子は、資金繰りができなくなっていると嘆く本真の胸ぐらをつかむ。それを見た薫は…。神崎薫:　尾野真千子　    冬月啓:　椎名桔平　    茸本和磨:　三浦翔平　    真矢樫キリコ:　仲里依紗　    夏目大作:　竹内力　    抜道琢己:　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</si>
  <si>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 xml:space="preserve">★「極悪がんぼ」公式番組ホームページ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金子千秋(三浦友和)、夏目大作(竹内力)は、不渡り手形を出して逃亡中だった鼠商事社長の鼠(半海一晃)を捕まえ、鼠に3000万円を貸していた本真商事社長の本真(平田満)に引き渡す。金子は、旧友の本真の頼みということもあり、捜索を引き受けていた。一件落着した薫と金子はスナック「まやかし」にやってくる。すると、代金を支払っていた女(小泉今日子)が、去り際に薫と金子に会釈をした。それを見た茸本和磨(三浦翔平)は、女が誰かに似ていることが気にかかる。真矢樫キリコ(仲里依紗)は、女は東京の人間のようだと言うが…。  　そんな夜、本真の誘いで薫は金子とともに高級クラブで飲むことになった。本真は上機嫌で、金子の高校時代の恋愛の失敗談を薫やホステスらに暴露。一方の金子も、同級生でその後、本真の妻となる志保(朝加真由美)とのことを暴露した。  　別の日、冬月啓(椎名桔平)の使いで巻上金融に行った薫は、そこで社長の巻上(宇梶剛士)から本真商事が払えもしない手形を乱発しており倒産の危機にあるという情報を入手。薫から報告を受けた金子が本真に会いに行くと本真は銀行から融資を受けた金の返済を迫られる「貸し剥がし」をされていると明かした。すでに5000万円を返済したが、さらに5億円の借金があるという。金子は、資金繰りができなくなっていると嘆く本真の胸ぐらをつかむ。それを見た薫は…。神崎薫:　</t>
  </si>
  <si>
    <t>番組名極悪がんぼ【今夜決着!悪徳銀行に仇討ち!】　#08</t>
  </si>
  <si>
    <t>★「極悪がんぼ」公式番組ホームページ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金子千秋(三浦友和)の指示で、自殺した本真(平田満)に最後に電話をかけてきた人物を探し始める。真矢樫キリコ(仲里依紗)に協力を依頼し調査すると、本真に借金の返済を迫っていた破綻銀行・課長の吉良(袴田吉彦)が浮上した。薫は早速、吉良に会うと電話の件を問い詰める。吉良は、常務の破綻(佐野史郎)の指示に従っただけだと明かした。本真商事の再建をすべく薫が動き始めると、破綻銀行からすぐに手を引け、と冬月啓(椎名桔平)に命じられる。破綻銀行は、「小清水経営コンサルタント」所長の小清水元(小林薫)のクライアントだからだという。しかしそれは、小清水が本真商事の一件に関係している可能性があることを暗示している。夏目大作(竹内力)や抜道琢己(板尾創路)からも手を引けと言われた薫だが…。  　薫から報告を受けた金子は、破綻の徹底調査を行い、破綻の親戚が経営している会社の経理部長・狸(春海四方)に目を付ける。金子は、茸本和磨(三浦翔平)に狸の行きつけのクラブへの潜入を指示。クラブにやってきた茸本は、そこで「大安ローン」の事務員だった桃尻花瑠子(井上和香)に遭遇する。「大安ローン」倒産後、花瑠子はクラブで働いているという。茸本に気がある花瑠子は、求められるままに狸の情報を教えてしまう。着々と情報が集まる中、金子と薫は意を決して破綻銀行に乗り込むが…。神崎薫:　尾野真千子　    冬月啓:　椎名桔平　    茸本和磨:　三浦翔平　    真矢樫キリコ:　仲里依紗　    夏目大作:　竹内力　    抜道琢己:　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</si>
  <si>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金子千秋(三浦友和)の指示で、自殺した本真(平田満)に最後に電話をかけてきた人物を探し始める。真矢樫キリコ(仲里依紗)に協力を依頼し調査すると、本真に借金の返済を迫っていた破綻銀行・課長の吉良(袴田吉彦)が浮上した。薫は早速、吉良に会うと電話の件を問い詰める。吉良は、常務の破綻(佐野史郎)の指示に従っただけだと明かした。本真商事の再建をすべく薫が動き始めると、破綻銀行からすぐに手を引け、と冬月啓(椎名桔平)に命じられる。破綻銀行は、「小清水経営コンサルタント」所長の小清水元(小林薫)のクライアントだからだという。しかしそれは、小清水が本真商事の一件に関係している可能性があることを暗示している。夏目大作(竹内力)や抜道琢己(板尾創路)からも手を引けと言われた薫だが…。  　薫から報告を受けた金子は、破綻の徹底調査を行い、破綻の親戚が経営している会社の経理部長・狸(春海四方)に目を付ける。金子は、茸本和磨(三浦翔平)に狸の行きつけのクラブへの潜入を指示。クラブにやってきた茸本は、そこで「大安ローン」の事務員だった桃尻花瑠子(井上和香)に遭遇する。「大安ローン」倒産後、花瑠子はクラブで働いているという。茸本に気がある花瑠子は、求められるままに狸の情報を教えてしまう。着々と情報が集まる中、金子と薫は意を決して破綻銀行に乗り込むが</t>
  </si>
  <si>
    <t>番組名極悪がんぼ【今夜号泣、幼き兄妹へ愛の抱擁】　#09</t>
  </si>
  <si>
    <t>★「極悪がんぼ」公式番組ホームページ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小清水元(小林薫)による監査結果が発表され、神崎薫(尾野真千子)は、薫にしかできない仕事を見つけるようにと通達される。一方、金子千秋(三浦友和)は、東京に進出した際には事務所を任せると言われる。冬月啓(椎名桔平)や夏目大作(竹内力)は、それが左遷を意味するのではと気にするが、金子は意に介さない。  　そんな時、薫は借金返済ができずに困っている天枝太郎(六角慎司)と出会う。天枝は、200年ほど続く寺の一人息子だが、住職の父親・史郎(片岡鶴太郎)とは絶縁状態のため借金の相談はできないと明かす。薫は、史郎から金を引き出せたら寺の経営に参画することを条件に、太郎の支援を約束する。薫は早速、太郎を連れて寺を訪ねるが、史郎は10年ぶりの再会を懐かしがるどころか、ほうきで息子をめった打ちにする。寺の金に手を付け事業に失敗した息子が許せない史郎は、薫にまで罵詈(ばり)雑言を浴びせる。  　史郎の態度に怒った薫は、寺が所有するという重要文化財を奪う計画を立てる。茸本和磨(三浦翔平)に頼み、バールを用意した薫は、太郎とともに寺の蔵に忍び込む。そこには情報通り、重要文化財の指定書が付いた骨董品が置かれていた。  　別の日、薫が寺の経営について夏目らに聞いていると、抜道琢己(板尾創路)が自分にも手伝わせてほしいという。薫の初仕事の邪魔はしない、手間賃だけもらえればいいという抜道に、薫は応援を頼み…。神崎薫:　尾野真千子　    冬月啓:　椎名桔平　    茸本和磨:　三浦翔平　    真矢樫キリコ:　仲里依紗　    夏目大作:　竹内力　    抜道琢己:　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</si>
  <si>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小清水元(小林薫)による監査結果が発表され、神崎薫(尾野真千子)は、薫にしかできない仕事を見つけるようにと通達される。一方、金子千秋(三浦友和)は、東京に進出した際には事務所を任せると言われる。冬月啓(椎名桔平)や夏目大作(竹内力)は、それが左遷を意味するのではと気にするが、金子は意に介さない。  　そんな時、薫は借金返済ができずに困っている天枝太郎(六角慎司)と出会う。天枝は、200年ほど続く寺の一人息子だが、住職の父親・史郎(片岡鶴太郎)とは絶縁状態のため借金の相談はできないと明かす。薫は、史郎から金を引き出せたら寺の経営に参画することを条件に、太郎の支援を約束する。薫は早速、太郎を連れて寺を訪ねるが、史郎は10年ぶりの再会を懐かしがるどころか、ほうきで息子をめった打ちにする。寺の金に手を付け事業に失敗した息子が許せない史郎は、薫にまで罵詈(ばり)雑言を浴びせる。  　史郎の態度に怒った薫は、寺が所有するという重要文化財を奪う計画を立てる。茸本和磨(三浦翔平)に頼み、バールを用意した薫は、太郎とともに寺の蔵に忍び込む。そこには情報通り、重要文化財の指定書が付いた骨董品が置かれていた。  　別の日、薫が寺の経営について夏目らに聞いていると、抜道琢己(板尾創路)が自分にも手伝わせてほしいという。薫の初仕事の邪魔はしない、手間賃だけもらえればいいという抜道に、薫は応援を頼み…。</t>
  </si>
  <si>
    <t>番組名極悪がんぼ【最終決戦!次期総理を叩き潰す!】　#10</t>
  </si>
  <si>
    <t>★「極悪がんぼ」公式番組ホームページ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金暮市に西日本最大級のアウトレットモールが建設されることになったが、地元選出の大物議員・銭山貞夫(武田鉄矢)がそれに反対する声明を発表しニュースになる。  　そんな折、神崎薫(尾野真千子)は、東京に向かう金子千秋(三浦友和)に本当に行くつもりかと意思を確認する。金子は、小清水元(小林薫)の命令だから仕方がないと答え、薫には、冬月啓(椎名桔平)への借金を返済したら、事件屋から足を洗うようにと命じる。しかし、仕事は辞めないという薫に、金子は20年前、借金のカタに取られた薫の実家のことについて話し始める。それは、薫が思いもよらない事実で…。  　別の日の朝、小清水の指示で事務所に、薫、冬月、夏目大作(竹内力)、抜道琢己(板尾創路)が集まっていた。一同を前に小清水は、例のアウトレットモールのことを話し始める。運営するのが外資系企業のため、地元の政治家でも利権に食い込めないのだが、なぜか「金市商事」という無名の会社が食い込んでいるのだと明かした。しかも、金市商事が受け取る利権は、年間で10億円にもなるという。そこに裏がありそうだと睨んだ冬月は、その利権を自分たちが手に入れると小清水に宣言する。ところが小清水は、この件は薫が担当し、抜道がバックアップに付けと命じた。小清水直々の案件に失敗したらクビが飛ぶ…。恐怖を感じながらも薫は、二度とないチャンスだとと腹をくくる。神崎薫:　尾野真千子　    冬月啓:　椎名桔平　    茸本和磨:　三浦翔平　    真矢樫キリコ:　仲里依紗　    夏目大作:　竹内力　    抜道琢己:　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</si>
  <si>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金暮市に西日本最大級のアウトレットモールが建設されることになったが、地元選出の大物議員・銭山貞夫(武田鉄矢)がそれに反対する声明を発表しニュースになる。  　そんな折、神崎薫(尾野真千子)は、東京に向かう金子千秋(三浦友和)に本当に行くつもりかと意思を確認する。金子は、小清水元(小林薫)の命令だから仕方がないと答え、薫には、冬月啓(椎名桔平)への借金を返済したら、事件屋から足を洗うようにと命じる。しかし、仕事は辞めないという薫に、金子は20年前、借金のカタに取られた薫の実家のことについて話し始める。それは、薫が思いもよらない事実で…。  　別の日の朝、小清水の指示で事務所に、薫、冬月、夏目大作(竹内力)、抜道琢己(板尾創路)が集まっていた。一同を前に小清水は、例のアウトレットモールのことを話し始める。運営するのが外資系企業のため、地元の政治家でも利権に食い込めないのだが、なぜか「金市商事」という無名の会社が食い込んでいるのだと明かした。しかも、金市商事が受け取る利権は、年間で10億円にもなるという。そこに裏がありそうだと睨んだ冬月は、その利権を自分たちが手に入れると小清水に宣言する。ところが小清水は、この件は薫が担当し、抜道がバックアップに付けと命じた。小清水直々の案件に失敗したらクビが飛ぶ…。恐怖を感じながらも薫は、二度とないチャンスだとと腹をくくる。</t>
  </si>
  <si>
    <t>番組名極悪がんぼ【波乱の最終回!最期の結束】　#11</t>
  </si>
  <si>
    <t>★「極悪がんぼ」公式番組ホームページ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神崎薫(尾野真千子)は、公安警察から小清水元(小林薫)について取り調べを受け、事件屋としてやっていきたいのなら、公安に協力したほうがいいと言われる。  　別の日、薫を訪ねて「禿高コーポレーション」社長の禿高(武田義晴)がやってくる。禿高は、薫がアウトレットモールの利権を手に入れた「金市商事」を引き継ぐように小清水に指示されたと言い、手数料として1000万円を差し出した。納得がいかない薫は、入院中の小清水を訪ね事情を聞くが、小清水ははぐらかすような物言いしかしない。いら立った薫は、銭山議員(武田鉄矢)が絡んでいるのかと詰め寄る。公安が小清水を調べるのは、かつて銭山の影で汚れた仕事を小清水が仕切ってきたが、銭山が総裁候補となったことで、裏の事情を知る小清水を切ろうとしているからだと冬月啓(椎名桔平)は薫らに話した。さらに、禿高コーポレーションの背後にも銭山がいるらしいと言う抜道琢己(板尾創路)に、金子千秋(三浦友和)は、銭山が表向きはアウトレットモールの建設に反対しながらも、裏では建設を推し進め利権を手にしようとしているのだと教える。  　そんな折、薫は豊臣嫌太郎(宮藤官九郎)から、ある資料を渡される。もしものことがあったら薫に託してほしいと小清水に頼まれていたと言う。それは、小清水が関わった金暮市のスキャンダルの一部始終を記録したものだった。ファイルを手にした薫は…。神崎薫:　尾野真千子　    冬月啓:　椎名桔平　    茸本和磨:　三浦翔平　    真矢樫キリコ:　仲里依紗　    夏目大作:　竹内力　    抜道琢己:　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</si>
  <si>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 xml:space="preserve">神崎薫(尾野真千子)は、公安警察から小清水元(小林薫)について取り調べを受け、事件屋としてやっていきたいのなら、公安に協力したほうがいいと言われる。  　別の日、薫を訪ねて「禿高コーポレーション」社長の禿高(武田義晴)がやってくる。禿高は、薫がアウトレットモールの利権を手に入れた「金市商事」を引き継ぐように小清水に指示されたと言い、手数料として1000万円を差し出した。納得がいかない薫は、入院中の小清水を訪ね事情を聞くが、小清水ははぐらかすような物言いしかしない。いら立った薫は、銭山議員(武田鉄矢)が絡んでいるのかと詰め寄る。公安が小清水を調べるのは、かつて銭山の影で汚れた仕事を小清水が仕切ってきたが、銭山が総裁候補となったことで、裏の事情を知る小清水を切ろうとしているからだと冬月啓(椎名桔平)は薫らに話した。さらに、禿高コーポレーションの背後にも銭山がいるらしいと言う抜道琢己(板尾創路)に、金子千秋(三浦友和)は、銭山が表向きはアウトレットモールの建設に反対しながらも、裏では建設を推し進め利権を手にしようとしているのだと教える。  　そんな折、薫は豊臣嫌太郎(宮藤官九郎)から、ある資料を渡される。もしものことがあったら薫に託してほしいと小清水に頼まれていたと言う。それは、小清水が関わった金暮市のスキャンダルの一部始終を記録したものだった。ファイルを手にした薫は…。神崎薫:　</t>
  </si>
  <si>
    <t>1404_CX_火21</t>
  </si>
  <si>
    <t>ビター・ブラッド</t>
  </si>
  <si>
    <t>番組名ビター・ブラッド～最悪で最強の親子刑事～　#01</t>
  </si>
  <si>
    <t>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佐原夏輝(佐藤健)は銀座署の新人刑事。出勤初日に職場へ向かう途中、老女を狙ったひったくり現場に遭遇する。逃げた犯人の男ともみあいになる夏輝、とそこに突然現れた女性が男を華麗に投げ飛ばす。それは、偶然通りかかった新人刑事・前田瞳(忽那汐里)だった。  　夏輝と瞳が配属された銀座署刑事課捜査第一係・鍵山班には、班長の鍵山謙介(高橋克実)以下、尾行の達人・稲木俊文(吹越満)、結婚願望の強い独身・古雅久志(田中哲司)、口臭がクサい富樫薫(皆川猿時)、刑事ドラマおたくであだ名付けの達人・鷹野浩次(KEIJI)、そして夏輝の実父・島尾明村(渡部篤郎)がいた。幼い頃に両親が離婚して以来、明村とは犬猿の仲だった夏輝は、父との再会に頭を抱える。が、鍵山は明村を夏輝の指導係に任命し、いきなり2人はバディを組む羽目に…。  　殺人事件の容疑者の近隣住民への聞きこみ捜査へ向かう途中、明村は、自分とバディを組むのなら上質のジャケットを着るように、と夏輝に命令する。ほどなく容疑者の死体が自宅アパートで発見される。第一発見者である娘の事情聴取を行った夏輝は、思わず感情移入してしまい涙をこぼす。  　そんなある日、銀行強盗が発生。たまたま行内のトイレにいた夏輝は、現場にいることを電話で報告する。明村はその場を動かず状況を報告するよう夏輝に指示した。が、子どもが犯人の標的にされそうになるのを目撃した夏輝は…。佐藤健　  渡部篤郎　    忽那汐里  　●　  吹越満　  田中哲司　  皆川猿時　  KEIJI(EXILE)  　●　  広瀬すず　  草村礼子  　●　  及川光博  　●　  高橋克実　    ほか【原作】  雫井脩介「ビター・ブラッド」(幻冬舎文庫)　    【脚本】  小山正太　  小峯裕之　    【主題歌】  Mayday「Do　You　Ever　Shine?」(A-Sketch)　    【プロデュース】  中野利幸　    【演出】  金井紘　  谷村政樹　  長瀬国博(FILM)　    【制作】  フジテレビドラマ制作部</t>
  </si>
  <si>
    <t xml:space="preserve">　佐原夏輝(佐藤健)は銀座署の新人刑事。出勤初日に職場へ向かう途中、老女を狙ったひったくり現場に遭遇する。逃げた犯人の男ともみあいになる夏輝、とそこに突然現れた女性が男を華麗に投げ飛ばす。それは、偶然通りかかった新人刑事・前田瞳(忽那汐里)だった。  　夏輝と瞳が配属された銀座署刑事課捜査第一係・鍵山班には、班長の鍵山謙介(高橋克実)以下、尾行の達人・稲木俊文(吹越満)、結婚願望の強い独身・古雅久志(田中哲司)、口臭がクサい富樫薫(皆川猿時)、刑事ドラマおたくであだ名付けの達人・鷹野浩次(KEIJI)、そして夏輝の実父・島尾明村(渡部篤郎)がいた。幼い頃に両親が離婚して以来、明村とは犬猿の仲だった夏輝は、父との再会に頭を抱える。が、鍵山は明村を夏輝の指導係に任命し、いきなり2人はバディを組む羽目に…。  　殺人事件の容疑者の近隣住民への聞きこみ捜査へ向かう途中、明村は、自分とバディを組むのなら上質のジャケットを着るように、と夏輝に命令する。ほどなく容疑者の死体が自宅アパートで発見される。第一発見者である娘の事情聴取を行った夏輝は、思わず感情移入してしまい涙をこぼす。  　そんなある日、銀行強盗が発生。たまたま行内のトイレにいた夏輝は、現場にいることを電話で報告する。明村はその場を動かず状況を報告するよう夏輝に指示した。が、子どもが犯人の標的にされそうになるのを目撃した夏輝は…。</t>
  </si>
  <si>
    <t>番組名ビター・ブラッド～最悪で最強の親子刑事～　#02</t>
  </si>
  <si>
    <t>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佐原夏輝(佐藤健)のもとへ事件発生を知らせるメールが届く。が、慌てて現場に向かうと、それは古雅久志(田中哲司)と鷹野浩次(KEIJI)が合コンに夏輝を呼び出したメールだった。呆れつつも合コンに参加する夏輝。そこへ今度は誘拐事件が発生したとの連絡が入る。  　誘拐されたのは、高級住宅地に住む今村洋一(デビット伊東)と優子(奥貫薫)夫妻の長男で10歳の和道(土師野隆之介)だった。島尾明村(渡部篤郎)が現場の指揮をとることになり、夏輝、前田瞳(忽那汐里)、稲木俊文(吹越満)、古雅らとともに今村家へと向かった。  　明け方、誘拐犯から電話が入る。犯人は、身代金5000万円を要求すると同時に、家の窓を開けるように指示してきた。夏輝たちはとっさに物影に隠れるが、窓からカメラを搭載したラジコンヘリが室内まで入ってきて警察の存在がばれてしまう。犯人は交渉決裂を告げ、電話を切った。夏輝はラジコンの操作のために犯人が近くにいると判断し、家を飛び出した。急発進するワゴン車を発見した夏輝は銃を構えるが…。  　泣き崩れる優子に、古雅たちは犯人から再度連絡があるはずだから身代金を用意しておくように話す。そんな中、洋一が会社に行くという。夏輝はそんな洋一を責めるが、明村に止められる。  　数時間後、犯人はネット上に拘束した和道の映像を公開する。そこに覆面姿で現れた犯人は、24時間以内に1億円を用意するよう告げる。佐藤健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</si>
  <si>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 xml:space="preserve">　佐原夏輝(佐藤健)のもとへ事件発生を知らせるメールが届く。が、慌てて現場に向かうと、それは古雅久志(田中哲司)と鷹野浩次(KEIJI)が合コンに夏輝を呼び出したメールだった。呆れつつも合コンに参加する夏輝。そこへ今度は誘拐事件が発生したとの連絡が入る。  　誘拐されたのは、高級住宅地に住む今村洋一(デビット伊東)と優子(奥貫薫)夫妻の長男で10歳の和道(土師野隆之介)だった。島尾明村(渡部篤郎)が現場の指揮をとることになり、夏輝、前田瞳(忽那汐里)、稲木俊文(吹越満)、古雅らとともに今村家へと向かった。  　明け方、誘拐犯から電話が入る。犯人は、身代金5000万円を要求すると同時に、家の窓を開けるように指示してきた。夏輝たちはとっさに物影に隠れるが、窓からカメラを搭載したラジコンヘリが室内まで入ってきて警察の存在がばれてしまう。犯人は交渉決裂を告げ、電話を切った。夏輝はラジコンの操作のために犯人が近くにいると判断し、家を飛び出した。急発進するワゴン車を発見した夏輝は銃を構えるが…。  　泣き崩れる優子に、古雅たちは犯人から再度連絡があるはずだから身代金を用意しておくように話す。そんな中、洋一が会社に行くという。夏輝はそんな洋一を責めるが、明村に止められる。  　数時間後、犯人はネット上に拘束した和道の映像を公開する。そこに覆面姿で現れた犯人は、24時間以内に1億円を用意するよう告げる。</t>
  </si>
  <si>
    <t>番組名ビター・ブラッド～最悪で最強の親子刑事～　#03</t>
  </si>
  <si>
    <t>佐原夏輝(佐藤健)と島尾明村(渡部篤郎)は、銀座署署長(山田明郷)に愛犬のチャッピーを数日間預かるよう頼まれる。だが、犬が苦手な明村は、夏輝にチャッピーを強引に押し付ける。  　目を離した隙に逃げ出したチャッピーを追いかけて資料室にやってきた夏輝は、父親の前田修一(鈴木一真)が殺害された12年前の事件資料を見ている前田瞳(忽那汐里)と遭遇する。瞳は、犯人がみつかるかもしれないと夏輝に話す。　瞳にはなつくが、すぐに夏輝のもとから逃げ出すチャッピー。見かねた鍵山謙介(高橋克実)はゲージを買ってくるように提案する。夏輝は、瞳と買い物に出ることに。だが、瞳は父親殺しの情報を握っている情報屋に会うと言って、どこかへ行ってしまう。  　ホームセンターを訪れた夏輝は、偶然、店内で万引きをしていた少年・元気(山崎光)を発見する。夏輝が元気を捕まえると、彼は遠くにいた挙動不審な中年男性に逃げるように叫び・・・。  　情報屋の男と会っている瞳。男は事件の資料を見せ、重要な証拠を握っている人物を追いかけている最中であると告げる。  　ある日、その男から見せたい資料があると連絡を受けた瞳は、単身、男の部屋へと向かった。何の疑いもなく室内に足を踏み入れた瞳は、部屋の壁に切り裂かれた自分の写真があるのを発見してしまい・・・。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</si>
  <si>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佐原夏輝(佐藤健)と島尾明村(渡部篤郎)は、銀座署署長(山田明郷)に愛犬のチャッピーを数日間預かるよう頼まれる。だが、犬が苦手な明村は、夏輝にチャッピーを強引に押し付ける。  　目を離した隙に逃げ出したチャッピーを追いかけて資料室にやってきた夏輝は、父親の前田修一(鈴木一真)が殺害された12年前の事件資料を見ている前田瞳(忽那汐里)と遭遇する。瞳は、犯人がみつかるかもしれないと夏輝に話す。　瞳にはなつくが、すぐに夏輝のもとから逃げ出すチャッピー。見かねた鍵山謙介(高橋克実)はゲージを買ってくるように提案する。夏輝は、瞳と買い物に出ることに。だが、瞳は父親殺しの情報を握っている情報屋に会うと言って、どこかへ行ってしまう。  　ホームセンターを訪れた夏輝は、偶然、店内で万引きをしていた少年・元気(山崎光)を発見する。夏輝が元気を捕まえると、彼は遠くにいた挙動不審な中年男性に逃げるように叫び・・・。  　情報屋の男と会っている瞳。男は事件の資料を見せ、重要な証拠を握っている人物を追いかけている最中であると告げる。  　ある日、その男から見せたい資料があると連絡を受けた瞳は、単身、男の部屋へと向かった。何の疑いもなく室内に足を踏み入れた瞳は、部屋の壁に切り裂かれた自分の写真があるのを発見してしまい・・・。</t>
  </si>
  <si>
    <t>番組名ビター・ブラッド～最悪で最強の親子刑事～　#04</t>
  </si>
  <si>
    <t>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夏輝(佐藤健)や明村(渡部篤郎)ら鍵山班の面々は、“銀座署春のレクリエーション大会"の企画会議を開く。採用者には金一封が出るため、さまざまな案が出されるが、結局何も決まらず、一同はそれを夏輝に押し付ける。  　鍵山(高橋克実)の息子・功太(小関裕太)は、帰宅途中に見知らぬ男・鮫島(渋川清彦)が男性をナイフで刺すところを目撃する。功太に気づいて追いかけてきた鮫島は、誰かに話したら殺す、と叫ぶ。男をまいて家に戻った功太は、警察に通報しようとするが怖くなって電話を切ってしまう。  　一方、瞳(忽那汐里)は、貝塚(及川光博)の件で迷惑をかけたお詫びに食事をご馳走すると、夏輝に待ち合わせの時間と店を告げる。  　仕事を終え、瞳と約束した店へ向かっていた夏輝は、功太が同級生たちに殴られているのを目撃する。夏輝は、止めに入り功太を救ったが、そのせいで待ち合わせに遅刻してしまう。　翌日、レクリエーション企画を考えるために書店を訪れた夏輝は功太を見つける。功太が持っていた問題集を見た夏輝は、妹の忍(広瀬すず)が使っていた問題集を譲るともちかけた。断ろうとした功太だが、書店内で鮫島の姿を見つけたため書店を飛び出す。  　そんな折、銀座署に夏輝宛ての荷物が届く。明村は、不在の夏輝に代わってバイク便業者(坂本真)から荷物を受け取ろうとするが、ナゼか人質に取られてしまい・・・。佐藤健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</si>
  <si>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 xml:space="preserve">　夏輝(佐藤健)や明村(渡部篤郎)ら鍵山班の面々は、“銀座署春のレクリエーション大会"の企画会議を開く。採用者には金一封が出るため、さまざまな案が出されるが、結局何も決まらず、一同はそれを夏輝に押し付ける。  　鍵山(高橋克実)の息子・功太(小関裕太)は、帰宅途中に見知らぬ男・鮫島(渋川清彦)が男性をナイフで刺すところを目撃する。功太に気づいて追いかけてきた鮫島は、誰かに話したら殺す、と叫ぶ。男をまいて家に戻った功太は、警察に通報しようとするが怖くなって電話を切ってしまう。  　一方、瞳(忽那汐里)は、貝塚(及川光博)の件で迷惑をかけたお詫びに食事をご馳走すると、夏輝に待ち合わせの時間と店を告げる。  　仕事を終え、瞳と約束した店へ向かっていた夏輝は、功太が同級生たちに殴られているのを目撃する。夏輝は、止めに入り功太を救ったが、そのせいで待ち合わせに遅刻してしまう。　翌日、レクリエーション企画を考えるために書店を訪れた夏輝は功太を見つける。功太が持っていた問題集を見た夏輝は、妹の忍(広瀬すず)が使っていた問題集を譲るともちかけた。断ろうとした功太だが、書店内で鮫島の姿を見つけたため書店を飛び出す。  　そんな折、銀座署に夏輝宛ての荷物が届く。明村は、不在の夏輝に代わってバイク便業者(坂本真)から荷物を受け取ろうとするが、ナゼか人質に取られてしまい・・・。</t>
  </si>
  <si>
    <t>番組名ビター・ブラッド～最悪で最強の親子刑事～　#05</t>
  </si>
  <si>
    <t>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銀座署前にいた佐原夏輝(佐藤健)や島尾明村(渡部篤郎)ら鍵山班の前に、血だらけの男が倒れ込んだ。男は、夏輝の祖父で元刑事の佐原富成(伊武雅刀)だった。　  　富成を刺したのは3年前に現金輸送車から2億円を強奪し、警備員2名を殺害した城之内利也(山中聡)だと言う。海外逃亡中だった城之内を銀座で発見した富成が、声をかけたところを刺されたのだった。城之内が銀座に現れたのは、当時付き合っていた関根綾子(野波麻帆)が原因であると推測した富成は、銀座周辺で城之内の捜索を指示。同時に、夏輝と明村には綾子の24時間監視を言い渡す。  　綾子の部屋が見える廃屋で張り込みを始めた夏輝と明村。綾子の留守を狙って部屋の前にやってきた夏輝は、水道のバルブに細工を施し、偽の水道修理業者のチラシをポストに入れる。  　帰宅した綾子は、夏輝と明村の思惑通りに水道が故障していると勘違いし、修理を依頼する電話をかける。修理業者に変装した夏輝は、綾子の部屋に向かい、水道を直すふりをして部屋に盗聴器を仕掛けた。夏輝の退出後、すぐに綾子の携帯が鳴る。綾子は言葉少なに電話を切ると、激しく動揺する。  　やがて、部屋の前に取り付けていた監視カメラの映像にニット帽を深くかぶった男が現れた。男が部屋に入るのを見た夏輝は、修理業者の格好のまま駆け出していく。部屋に飛び込むと、綾子はその男に押し倒されていて…。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</si>
  <si>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 xml:space="preserve">　銀座署前にいた佐原夏輝(佐藤健)や島尾明村(渡部篤郎)ら鍵山班の前に、血だらけの男が倒れ込んだ。男は、夏輝の祖父で元刑事の佐原富成(伊武雅刀)だった。　  　富成を刺したのは3年前に現金輸送車から2億円を強奪し、警備員2名を殺害した城之内利也(山中聡)だと言う。海外逃亡中だった城之内を銀座で発見した富成が、声をかけたところを刺されたのだった。城之内が銀座に現れたのは、当時付き合っていた関根綾子(野波麻帆)が原因であると推測した富成は、銀座周辺で城之内の捜索を指示。同時に、夏輝と明村には綾子の24時間監視を言い渡す。  　綾子の部屋が見える廃屋で張り込みを始めた夏輝と明村。綾子の留守を狙って部屋の前にやってきた夏輝は、水道のバルブに細工を施し、偽の水道修理業者のチラシをポストに入れる。  　帰宅した綾子は、夏輝と明村の思惑通りに水道が故障していると勘違いし、修理を依頼する電話をかける。修理業者に変装した夏輝は、綾子の部屋に向かい、水道を直すふりをして部屋に盗聴器を仕掛けた。夏輝の退出後、すぐに綾子の携帯が鳴る。綾子は言葉少なに電話を切ると、激しく動揺する。  　やがて、部屋の前に取り付けていた監視カメラの映像にニット帽を深くかぶった男が現れた。男が部屋に入るのを見た夏輝は、修理業者の格好のまま駆け出していく。部屋に飛び込むと、綾子はその男に押し倒されていて…。</t>
  </si>
  <si>
    <t>番組名ビター・ブラッド～最悪で最強の親子刑事～　#06</t>
  </si>
  <si>
    <t>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出勤中の佐原夏輝(佐藤健)の前に一台の車が止まる。夏輝は、その車から降りてきた男たちに強引に車に押し込まれてしまう…。  　夏輝が連れてこられたのは銀座署の大会議室だった。そこには島尾明村(渡部篤郎)や前田瞳(忽那汐里)ら鍵山班をはじめ、大勢の署員が集められていた。そこへ警視庁警務部人事一課の木暮竜也(西村雅彦)がやってきた。木暮は、全員に許可なく外出することを禁止すると告げると、鍵山班だけを刑事課へ連れ出す。  　刑事課の床には血だまりがあり、すでに捜査が始まっていた。驚く夏輝たちに、昨晩、鍵山謙介(高橋克実)が何者かにナイフで刺されたことが告げられた。非常に危険な状態であると聞き、病院に行こうとする夏輝たちの前に木暮が立ちふさがる。昨晩、鍵山は部下と会うと話していたという家族の証言から、鍵山班全員が容疑者となっていたのだ。  　納得できず、捜査のために部屋を出ようとした富樫薫(皆川猿時)に、木暮は拳銃を向ける。そんな木暮に詰め寄ろうとした夏輝にまで拳銃が向けられる。木暮は鍵山班の面々に対し、今後、部屋から出ようとした場合は逃亡とみなし、場合によっては拳銃の使用も辞さないと宣告する。  　監視を付けられ、刑事課に軟禁される鍵山班の面々。やがて木暮による取り調べが始まった。最初に呼ばれた夏輝と瞳は、容疑者から外す代わりに、他の鍵山班メンバーの内偵をするように命じられるが…。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</si>
  <si>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 xml:space="preserve">　出勤中の佐原夏輝(佐藤健)の前に一台の車が止まる。夏輝は、その車から降りてきた男たちに強引に車に押し込まれてしまう…。  　夏輝が連れてこられたのは銀座署の大会議室だった。そこには島尾明村(渡部篤郎)や前田瞳(忽那汐里)ら鍵山班をはじめ、大勢の署員が集められていた。そこへ警視庁警務部人事一課の木暮竜也(西村雅彦)がやってきた。木暮は、全員に許可なく外出することを禁止すると告げると、鍵山班だけを刑事課へ連れ出す。  　刑事課の床には血だまりがあり、すでに捜査が始まっていた。驚く夏輝たちに、昨晩、鍵山謙介(高橋克実)が何者かにナイフで刺されたことが告げられた。非常に危険な状態であると聞き、病院に行こうとする夏輝たちの前に木暮が立ちふさがる。昨晩、鍵山は部下と会うと話していたという家族の証言から、鍵山班全員が容疑者となっていたのだ。  　納得できず、捜査のために部屋を出ようとした富樫薫(皆川猿時)に、木暮は拳銃を向ける。そんな木暮に詰め寄ろうとした夏輝にまで拳銃が向けられる。木暮は鍵山班の面々に対し、今後、部屋から出ようとした場合は逃亡とみなし、場合によっては拳銃の使用も辞さないと宣告する。  　監視を付けられ、刑事課に軟禁される鍵山班の面々。やがて木暮による取り調べが始まった。最初に呼ばれた夏輝と瞳は、容疑者から外す代わりに、他の鍵山班メンバーの内偵をするように命じられるが…。</t>
  </si>
  <si>
    <t>番組名ビター・ブラッド～最悪で最強の親子刑事～　#07</t>
  </si>
  <si>
    <t>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朝、佐原夏輝(佐藤健)がベッドで目を覚ますと、隣りに前田瞳(忽那汐里)がいた。驚き、飛び起きる夏輝。直後、瞳も目を覚まし…。  　日々婚活にいそしんでいた古雅久志(田中哲司)の結婚が決まった。古雅の突然の報告に、驚きつつも盛大に祝福する鍵山班の面々。相手の佐藤真琴(上原多香子)とは10日前にお見合いパーティーで知り合ったという。古雅は、真琴にねだられ、運転免許を取るための教習所費用を渡したことや、200万円の指輪を買う約束をしたことをうれしそうに話す。  　そこへ、結婚詐欺にあったかもしれないという男性が相談にやってきた。夏輝と島尾明村(渡部篤郎)が事情を聞くと、指輪を買ったとたん連絡がとれなくなったという相手の女性の手口が古雅の話と一致した。  　夏輝は刑事課に戻るが、古雅は指輪を買いに出た後だった。宝石店へ走り、ギリギリのところで指輪の購入を止めた夏輝は、古雅を刑事課に連れて帰る。夏輝と明村は結婚詐欺の可能性が高いことを訴えるが、古雅は耳を貸そうとしない。  　そんな中、瞳に冷たくされて落ち込む夏輝を見た明村は、捜査と偽って夏輝をキャバクラに連れて行く。明村と共にキャバクラ嬢・ユナ(小蜜)らと座っていた夏輝は、店のキャバ嬢の中に真琴を発見して明村に報告する。  　捜査を続け、真琴があるお見合いパーティーに出席することを突き止めた夏輝は、潜入捜査をすることに…。佐藤健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</si>
  <si>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 xml:space="preserve">　朝、佐原夏輝(佐藤健)がベッドで目を覚ますと、隣りに前田瞳(忽那汐里)がいた。驚き、飛び起きる夏輝。直後、瞳も目を覚まし…。  　日々婚活にいそしんでいた古雅久志(田中哲司)の結婚が決まった。古雅の突然の報告に、驚きつつも盛大に祝福する鍵山班の面々。相手の佐藤真琴(上原多香子)とは10日前にお見合いパーティーで知り合ったという。古雅は、真琴にねだられ、運転免許を取るための教習所費用を渡したことや、200万円の指輪を買う約束をしたことをうれしそうに話す。  　そこへ、結婚詐欺にあったかもしれないという男性が相談にやってきた。夏輝と島尾明村(渡部篤郎)が事情を聞くと、指輪を買ったとたん連絡がとれなくなったという相手の女性の手口が古雅の話と一致した。  　夏輝は刑事課に戻るが、古雅は指輪を買いに出た後だった。宝石店へ走り、ギリギリのところで指輪の購入を止めた夏輝は、古雅を刑事課に連れて帰る。夏輝と明村は結婚詐欺の可能性が高いことを訴えるが、古雅は耳を貸そうとしない。  　そんな中、瞳に冷たくされて落ち込む夏輝を見た明村は、捜査と偽って夏輝をキャバクラに連れて行く。明村と共にキャバクラ嬢・ユナ(小蜜)らと座っていた夏輝は、店のキャバ嬢の中に真琴を発見して明村に報告する。  　捜査を続け、真琴があるお見合いパーティーに出席することを突き止めた夏輝は、潜入捜査をすることに…。</t>
  </si>
  <si>
    <t>番組名ビター・ブラッド～最悪で最強の親子刑事～　#08</t>
  </si>
  <si>
    <t>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佐原夏輝(佐藤健)は、前田瞳(忽那汐里)から島尾明村(渡部篤郎)が好きだと相談を受け、言葉を失う。自分の席に戻ってからも、つい明村と瞳に目線がいってしまう夏輝。そんな夏輝の態度をみかねた瞳は、鍵山謙介(高橋克実)に頼まれ買い出しに出かける夏輝の後を追いかける。そこへ偶然やってきた明村も含め、3人はコンビニへ向かった。  　一方、銀座署の取調べ室では、富樫薫(皆川猿時)が公務執行妨害で捕まえた相模修吾(中野裕太)の取調べを行っていた。すると、相模が電話で背を向けた富樫にイスを武器にして襲い掛かる。さらに、差し入れのカツ丼を運んできた鷹野浩次(KEIJI)にも襲いかかり逃走を図る。  　鷹野からの報告を受け、鍵山はすぐに銀座署全出入口の完全封鎖を指示する。直後、電源室に向かった相模が機械を壊したことで署内中が停電となる。予備電源で主要機器はかろうじて動いていたが、コンビニから戻って署内のエレベーターに乗っていた夏輝と明村と瞳は閉じ込められてしまう。管理会社に連絡をするが、銀座署が封鎖されているため入ることができないと分かる。  　やがて、医務室で目を覚ました富樫が相模の腕に入れ墨があったことを報告。総動員で相模の捜索にあたる中、古雅久志(田中哲司)は見覚えのない制服警官に声をかけるが…。佐藤健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</si>
  <si>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 xml:space="preserve">　佐原夏輝(佐藤健)は、前田瞳(忽那汐里)から島尾明村(渡部篤郎)が好きだと相談を受け、言葉を失う。自分の席に戻ってからも、つい明村と瞳に目線がいってしまう夏輝。そんな夏輝の態度をみかねた瞳は、鍵山謙介(高橋克実)に頼まれ買い出しに出かける夏輝の後を追いかける。そこへ偶然やってきた明村も含め、3人はコンビニへ向かった。  　一方、銀座署の取調べ室では、富樫薫(皆川猿時)が公務執行妨害で捕まえた相模修吾(中野裕太)の取調べを行っていた。すると、相模が電話で背を向けた富樫にイスを武器にして襲い掛かる。さらに、差し入れのカツ丼を運んできた鷹野浩次(KEIJI)にも襲いかかり逃走を図る。  　鷹野からの報告を受け、鍵山はすぐに銀座署全出入口の完全封鎖を指示する。直後、電源室に向かった相模が機械を壊したことで署内中が停電となる。予備電源で主要機器はかろうじて動いていたが、コンビニから戻って署内のエレベーターに乗っていた夏輝と明村と瞳は閉じ込められてしまう。管理会社に連絡をするが、銀座署が封鎖されているため入ることができないと分かる。  　やがて、医務室で目を覚ました富樫が相模の腕に入れ墨があったことを報告。総動員で相模の捜索にあたる中、古雅久志(田中哲司)は見覚えのない制服警官に声をかけるが…。</t>
  </si>
  <si>
    <t>番組名ビター・ブラッド～最悪で最強の親子刑事～　#09</t>
  </si>
  <si>
    <t>佐原夏輝(佐藤健)たち鍵山班は、暴力団の青竜会が麻薬売買を行うという情報を得て、港近くの倉庫へやって来た。正面入口に島尾明村(渡部篤郎)と鷹野浩次(KEIJI)、裏口は夏輝と前田瞳(忽那汐里)、窓には古雅久志(田中哲司)と富樫薫(皆川猿時)がそれぞれ配置され、突入準備を整える。明村の合図で一斉に倉庫へ突入するが、トラブルにより青竜会を逃がしてしまう。  　同じ頃、私用で捜査に参加していなかった稲木俊文(吹越満)は、夜の公園でひとり佇んでいた。  　麻薬が青竜会に渡ったことを受け、夏輝と明村は事務所を張り込む。すると、幹部の藤崎達雄(嶋田久作)が出てきた。藤崎が麻薬を売るとにらんだ夏輝と明村は、後をつけてカフェに行く。  　やがて、ひとりの男がやって来て藤崎のテーブルについた。男は藤崎から小さな紙袋を受け取ると、代わりに現金が入った封筒を差し出す。取引現場を目撃した夏輝と明村が確保しようと近づいたその時、男の顔が見えて稲木であることがわかる。とっさに物影に隠れ、その場をやり過ごすふたり。  　後日、夏輝は稲木が電話でクスリを入手したと話しているのを聞いてしまい…。佐藤健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</si>
  <si>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佐原夏輝(佐藤健)たち鍵山班は、暴力団の青竜会が麻薬売買を行うという情報を得て、港近くの倉庫へやって来た。正面入口に島尾明村(渡部篤郎)と鷹野浩次(KEIJI)、裏口は夏輝と前田瞳(忽那汐里)、窓には古雅久志(田中哲司)と富樫薫(皆川猿時)がそれぞれ配置され、突入準備を整える。明村の合図で一斉に倉庫へ突入するが、トラブルにより青竜会を逃がしてしまう。  　同じ頃、私用で捜査に参加していなかった稲木俊文(吹越満)は、夜の公園でひとり佇んでいた。  　麻薬が青竜会に渡ったことを受け、夏輝と明村は事務所を張り込む。すると、幹部の藤崎達雄(嶋田久作)が出てきた。藤崎が麻薬を売るとにらんだ夏輝と明村は、後をつけてカフェに行く。  　やがて、ひとりの男がやって来て藤崎のテーブルについた。男は藤崎から小さな紙袋を受け取ると、代わりに現金が入った封筒を差し出す。取引現場を目撃した夏輝と明村が確保しようと近づいたその時、男の顔が見えて稲木であることがわかる。とっさに物影に隠れ、その場をやり過ごすふたり。  　後日、夏輝は稲木が電話でクスリを入手したと話しているのを聞いてしまい…。</t>
  </si>
  <si>
    <t>番組名ビター・ブラッド～最悪で最強の親子刑事～　#10</t>
  </si>
  <si>
    <t>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研修を終えて、東京行きのバスに乗っていた佐原夏輝(佐藤健)と前田瞳(忽那汐里)。すると、乗客のひとり、大村国男(東根作寿英)が立ち上がり、夏輝に拳銃を突きつける。大村は、悲鳴をあげる乗客たちを怒鳴りつけて黙らせた。  　同じころ、島尾明村(渡部篤郎)は警視庁人事一課の木暮竜也(西村雅彦)に呼び出されて喫茶店へ来ていた。木暮は、明村に警視庁捜査一課への栄転の話が出ていることを話し、翌日、人事課へ来るように告げる。木暮と別れ、上機嫌で歩いていた明村だが、背後から鼻歌が聞こえ振り向くとそこには…。  　出動要請を受け、ビルの屋上へやってきた鍵山謙介(高橋克実)、稲木俊文(吹越満)、古雅久志(田中哲司)、富樫薫(皆川猿時)、鷹野浩次(KEIJI)。屋上では、飛び降りようとする本田加奈子(平岩紙)を滑川(古川雄輝)と竹田(敦士)が説得していた。しかし、まったく耳を貸そうとしない加奈子に、鍵山班が説得に乗り出す。  　一方、バスジャックされた車中では、逃げ出そうとした乗客のひとりが足を撃たれた。怯える乗客を見た夏輝は、老人と子どもだけでも解放して欲しいと願い出るが聞き入れてもらえず…。佐藤健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</si>
  <si>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 xml:space="preserve">　研修を終えて、東京行きのバスに乗っていた佐原夏輝(佐藤健)と前田瞳(忽那汐里)。すると、乗客のひとり、大村国男(東根作寿英)が立ち上がり、夏輝に拳銃を突きつける。大村は、悲鳴をあげる乗客たちを怒鳴りつけて黙らせた。  　同じころ、島尾明村(渡部篤郎)は警視庁人事一課の木暮竜也(西村雅彦)に呼び出されて喫茶店へ来ていた。木暮は、明村に警視庁捜査一課への栄転の話が出ていることを話し、翌日、人事課へ来るように告げる。木暮と別れ、上機嫌で歩いていた明村だが、背後から鼻歌が聞こえ振り向くとそこには…。  　出動要請を受け、ビルの屋上へやってきた鍵山謙介(高橋克実)、稲木俊文(吹越満)、古雅久志(田中哲司)、富樫薫(皆川猿時)、鷹野浩次(KEIJI)。屋上では、飛び降りようとする本田加奈子(平岩紙)を滑川(古川雄輝)と竹田(敦士)が説得していた。しかし、まったく耳を貸そうとしない加奈子に、鍵山班が説得に乗り出す。  　一方、バスジャックされた車中では、逃げ出そうとした乗客のひとりが足を撃たれた。怯える乗客を見た夏輝は、老人と子どもだけでも解放して欲しいと願い出るが聞き入れてもらえず…。</t>
  </si>
  <si>
    <t>番組名ビター・ブラッド～最悪で最強の親子刑事～　#11</t>
  </si>
  <si>
    <t>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佐原夏輝(佐藤健)は、遊園地で貝塚剛久(及川光博)と対峙(たいじ)する。貝塚は、遊園地内にある廃屋で逆さ吊りにされた島尾明村(渡部篤郎)の映像を見せた後、客でにぎわう遊園地の観覧車に爆弾を仕掛けたことを告げる。どちらかしか救えない状況の中、選択を迫られた夏輝が向かったのは観覧車だった。  　観覧車に到着した夏輝は、係員に事情を話して客を避難させるように指示を出すと、爆弾のもとへ走る。稲木俊文(吹越満)へ画像を送り、電話で爆弾の解除方法を聞いた夏輝は説明された通りに操作を行う。最後に解除スイッチを押すが…。  　同じころ、廃屋へやってきた貝塚は明村に向かって殺すのは自分ではなく夏輝だ、と話す。夏輝が爆弾の解除スイッチだと思って押したのは、明村の体に装着された爆弾のタイマー起動のスイッチだったのだ。  　明村の爆弾のタイマーが動き出したことを確認した貝塚は、その場を離れる。そして、バスジャックから解放されて銀座署へ戻っていた前田瞳(忽那汐里)に電話をする。電話は一方的にURLが読み上げられるだけだったが、瞳は背後に流れていた音楽で相手が貝塚であることに気付く。瞳がメモしたURLに稲木がアクセスすると、傷だらけで拘束されている明村の動画が映し出され…。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</si>
  <si>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 xml:space="preserve">　佐原夏輝(佐藤健)は、遊園地で貝塚剛久(及川光博)と対峙(たいじ)する。貝塚は、遊園地内にある廃屋で逆さ吊りにされた島尾明村(渡部篤郎)の映像を見せた後、客でにぎわう遊園地の観覧車に爆弾を仕掛けたことを告げる。どちらかしか救えない状況の中、選択を迫られた夏輝が向かったのは観覧車だった。  　観覧車に到着した夏輝は、係員に事情を話して客を避難させるように指示を出すと、爆弾のもとへ走る。稲木俊文(吹越満)へ画像を送り、電話で爆弾の解除方法を聞いた夏輝は説明された通りに操作を行う。最後に解除スイッチを押すが…。  　同じころ、廃屋へやってきた貝塚は明村に向かって殺すのは自分ではなく夏輝だ、と話す。夏輝が爆弾の解除スイッチだと思って押したのは、明村の体に装着された爆弾のタイマー起動のスイッチだったのだ。  　明村の爆弾のタイマーが動き出したことを確認した貝塚は、その場を離れる。そして、バスジャックから解放されて銀座署へ戻っていた前田瞳(忽那汐里)に電話をする。電話は一方的にURLが読み上げられるだけだったが、瞳は背後に流れていた音楽で相手が貝塚であることに気付く。瞳がメモしたURLに稲木がアクセスすると、傷だらけで拘束されている明村の動画が映し出され…。</t>
  </si>
  <si>
    <t>1404_CX_火22</t>
  </si>
  <si>
    <t>ブラック・プレジデント</t>
  </si>
  <si>
    <t>番組名ブラック・プレジデント【ブラック社長VSゆとり大学生】　#01</t>
  </si>
  <si>
    <t>第1話『自分の値段を考えろ!』    三田村幸雄(沢村一樹)は、急成長を遂げたアパレル会社の創業社長。会社の利益のためなら、社員を酷使することも当然と考えるワンマン経営者だ。    そんな三田村がある日「俺、大学行くから」と言い出し、秘書の冴島真理(国仲涼子)と専務の明智志郎(永井大)を驚かせる。会社の経営が安定し余裕ができたことから、経営学を本格的に学ぼうと大学に通うのだという。    通学初日、三田村は経営学の新米講師・秋山杏子(黒木メイサ)の講義に出席。三田村が有名企業の社長と知った杏子は、講義にケチをつける気ではないかと警戒する。また、たまたま勧誘のチラシをもらった映画サークル「アルゴノーツ」にも入部するが、新入生の中年男に、岡島百合(門脇麦)、工藤亮介(永瀬匡)、前川健太(高田翔)らサークルの面々は戸惑うばかり。    そんな中、サークルに問題が勃発。上映会の会場から15万円もの使用料を要求されたのだ。困ったサークルの一同はサークルOBでもある杏子に相談する。同じ頃、三田村の会社にも問題が発生。買収交渉を進めていた企業が、売却額を吊り上げてきたのだ。それだけの金額を払うからには役員や株主を納得させるだけの理由がいると明智に言われ、買収をあきらめたくない三田村は頭を悩ませる。    お金の問題を巡り、意見の食い違う三田村と杏子は大ゲンカに。さらに、会社が“ブラック企業"として訴えられて…。沢村一樹　    黒木メイサ　    国仲涼子　      門脇麦　  永瀬匡　  高田翔　  高月彩良    　・　    壇蜜　  澤部佑(ハライチ)    　/　    青木さやか　  永井大　  白川由美　    ほか【脚本】  尾崎将也　    【音楽】  仲西匡　    【主題歌】  コブクロ『陽だまりの道』(ワーナーミュージック・ジャパン)　    【演出】  三宅喜重　    【プロデューサー】  安藤和久　  山下有為　  木曽貴美子　  伊藤達哉　    【協力プロデューサー】  東城祐司　    【制作】  関西テレビ　  MMJ【HP】  http://www.ktv.jp/black/  【データ放送】  リモコンのdボタンを押してアクセス!クイズに答えてQUOカード当てよう!!  【Twitter】  @blackpresident8にて最新情報つぶやき中!  ハッシュタグは　#ブラックプレジデントで!</t>
  </si>
  <si>
    <t>第1話『自分の値段を考えろ!』    三田村幸雄(沢村一樹)は、急成長を遂げたアパレル会社の創業社長。会社の利益のためなら、社員を酷使することも当然と考えるワンマン経営者だ。    そんな三田村がある日「俺、大学行くから」と言い出し、秘書の冴島真理(国仲涼子)と専務の明智志郎(永井大)を驚かせる。会社の経営が安定し余裕ができたことから、経営学を本格的に学ぼうと大学に通うのだという。    通学初日、三田村は経営学の新米講師・秋山杏子(黒木メイサ)の講義に出席。三田村が有名企業の社長と知った杏子は、講義にケチをつける気ではないかと警戒する。また、たまたま勧誘のチラシをもらった映画サークル「アルゴノーツ」にも入部するが、新入生の中年男に、岡島百合(門脇麦)、工藤亮介(永瀬匡)、前川健太(高田翔)らサークルの面々は戸惑うばかり。    そんな中、サークルに問題が勃発。上映会の会場から15万円もの使用料を要求されたのだ。困ったサークルの一同はサークルOBでもある杏子に相談する。同じ頃、三田村の会社にも問題が発生。買収交渉を進めていた企業が、売却額を吊り上げてきたのだ。それだけの金額を払うからには役員や株主を納得させるだけの理由がいると明智に言われ、買収をあきらめたくない三田村は頭を悩ませる。    お金の問題を巡り、意見の食い違う三田村と杏子は大ゲンカに。さらに、会社が“ブラック企業"として訴えられて…。</t>
  </si>
  <si>
    <t>番組名ブラック・プレジデント【毒舌社長VSスゴ腕女弁護士】　#02</t>
  </si>
  <si>
    <t>【第2話】～サビ残は預金だ!～    三田村(沢村一樹)の会社が、過剰な労働でサービス残業を強いているとして社員に訴えを起こされ、弁護士の美穂(田中美奈子)が会社に乗り込んでくる。納得がいかない三田村だが、「ブラック企業」と非難されることを危惧する明智(永井大)や真理(国仲涼子)の説得もあり、残業代の全額を払う和解案と謝罪文の発表を受け入れる。    一方、大学の映画サークルでは、学生たちに言いたい放題の三田村に、亮介(永瀬匡)や健太(高田翔)らは迷惑顔だ。あきれた杏子(黒木メイサ)が、何のために大学に来ているのか?と問い詰めると、三田村は遠い記憶をたぐり寄せるような表情でふと口ごもる。    高慢な三田村に反感を抱きながらも、なぜかその存在が気にかかる杏子。そして、三田村について調べていくうちに、思いがけない“過去"を知ることになり…。    そんな中、思わぬトラブルが発生。健太が監督を務める映画の撮影で、主演の百合(門脇麦)が着ていた脚も露わなミニスカートの衣装に、人権研究サークルの学生が「女性の人権をおとしめている」と抗議してきたのだ。これを突っぱねた三田村は、ファッションの自由について熱弁を振るい、クレームを取り下げさせてしまう。    だが、この騒ぎをきっかけに健太と百合は気まずいムードに。責任を感じた三田村は、杏子に頼んで2人のデートを仕掛けるが…。沢村一樹　    黒木メイサ　    国仲涼子　    門脇麦　  永瀬匡　  高田翔　  高月彩良  　・　  壇蜜　  澤部佑(ハライチ)  　/　  青木さやか　  永井大　  白川由美　    【第2話ゲスト】  田中美奈子　    ほか【脚本】  尾崎将也　    【音楽】  仲西匡　    【主題歌】  コブクロ「陽だまりの道」(ワーナーミュージック・ジャパン)　    【演出】  三宅喜重(関西テレビ)　    【プロデューサー】  安藤和久(関西テレビ)　  山下有為(関西テレビ)　  木曽貴美子(MMJ)　  伊藤達哉(MMJ)　    【協力プロデューサー】  東城祐司(MMJ)【HP】  http://www.ktv.jp/black/  【データ放送】  リモコンのdボタンを押してアクセス!特製QUOカードが当たるプレゼントクイズを実施中!!  【Twitter】  @blackpresident8にて最新情報つぶやき中!  ハッシュタグは　#ブラックプレジデントで!</t>
  </si>
  <si>
    <t>【第2話】～サビ残は預金だ!～    三田村(沢村一樹)の会社が、過剰な労働でサービス残業を強いているとして社員に訴えを起こされ、弁護士の美穂(田中美奈子)が会社に乗り込んでくる。納得がいかない三田村だが、「ブラック企業」と非難されることを危惧する明智(永井大)や真理(国仲涼子)の説得もあり、残業代の全額を払う和解案と謝罪文の発表を受け入れる。    一方、大学の映画サークルでは、学生たちに言いたい放題の三田村に、亮介(永瀬匡)や健太(高田翔)らは迷惑顔だ。あきれた杏子(黒木メイサ)が、何のために大学に来ているのか?と問い詰めると、三田村は遠い記憶をたぐり寄せるような表情でふと口ごもる。    高慢な三田村に反感を抱きながらも、なぜかその存在が気にかかる杏子。そして、三田村について調べていくうちに、思いがけない“過去"を知ることになり…。    そんな中、思わぬトラブルが発生。健太が監督を務める映画の撮影で、主演の百合(門脇麦)が着ていた脚も露わなミニスカートの衣装に、人権研究サークルの学生が「女性の人権をおとしめている」と抗議してきたのだ。これを突っぱねた三田村は、ファッションの自由について熱弁を振るい、クレームを取り下げさせてしまう。    だが、この騒ぎをきっかけに健太と百合は気まずいムードに。責任を感じた三田村は、杏子に頼んで2人のデートを仕掛けるが…。</t>
  </si>
  <si>
    <t>番組名ブラック・プレジデント【社員を愛する和装の女社長現る!】　#03</t>
  </si>
  <si>
    <t>沢村一樹　    黒木メイサ　    国仲涼子　    門脇麦　  永瀬匡　  高田翔　  高月彩良    　・　    壇蜜　  澤部佑(ハライチ)    　/　    青木さやか　  永井大　  白川由美　    ほか　    【第3話ゲスト】  萬田久子【第3話】  急成長中のアパレル企業の社長・三田村幸雄(沢村一樹)は、会社の利益を第一に考え、そのための過酷な労働は当然のことだと思っている…。そんな三田村が、経営学を勉強しようと大学に入学。映画サークルにも入った。しかし、会社がブラック企業だと社員から訴えられてしまった。    「心にもない謝罪はできません!」と社員との和解をひっくり返し、弁護士を怒らせてしまった三田村。明智(永井大)と真理(国仲涼子)の尽力でなんとか和解交渉は続けられることになったものの、ブラック企業という風評は広まるばかり。    一方、杏子(黒木メイサ)は三田村をブラック社長として告発する本を出版しようと大ハリキリ。そんな折、ブライダル会社の社長・篠崎佳代子(萬田久子)が大学に招かれ、杏子の特別講義にゲストとして登場。佳代子は“ホワイト企業"の経営者として有名であり、杏子はまさに正反対の三田村と対決させようともくろむ。学生達を前に佳代子は、会社経営に一番大切なことは「社員を愛すること」で、ブラック企業は問題外だと痛烈な批判をする。しかし、ひょんな事から佳代子が三田村の会社を訪問することに…。    翌日、佳代子と杏子が三田村の会社に現れた。佳代子を利用して会社のイメージアップを図ろうと、明智は三田村との対談を決行。そんなとき、会社を訴えた2人の社員が、直接話がしたいと三田村の元を訪ねてきて…。【脚本】  尾崎将也　    【音楽】  仲西匡　    【主題歌】  コブクロ『陽だまりの道』(ワーナーミュージック・ジャパン)　    【演出】  白木啓一郎　    【プロデューサー】  安藤和久　  山下有為　  木曽貴美子　  伊藤達哉　    【協力プロデューサー】  東城祐司　    【制作】  関西テレビ　  MMJ【HP】  http://www.ktv.jp/black/  【データ放送】  リモコンのdボタンを押してアクセス!特製QUOカードが当たるプレゼントクイズを実施中!!  【Twitter】  @blackpresident8にて最新情報つぶやき中!  【お知らせ】  ドラマポスターの待ち受け画像を無料配信!  詳しくはPC/携帯/スマートフォンから「ブラック・プレジデント」で検索!</t>
  </si>
  <si>
    <t xml:space="preserve">    黒木メイサ　    国仲涼子　    門脇麦　  永瀬匡　  高田翔　  高月彩良    　・　    壇蜜　  澤部佑(ハライチ)    　/　    青木さやか　  永井大　  白川由美　    ほか　    【第3話ゲスト】  萬田久子【第3話】  急成長中のアパレル企業の社長・三田村幸雄(沢村一樹)は、会社の利益を第一に考え、そのための過酷な労働は当然のことだと思っている…。そんな三田村が、経営学を勉強しようと大学に入学。映画サークルにも入った。しかし、会社がブラック企業だと社員から訴えられてしまった。    「心にもない謝罪はできません!」と社員との和解をひっくり返し、弁護士を怒らせてしまった三田村。明智(永井大)と真理(国仲涼子)の尽力でなんとか和解交渉は続けられることになったものの、ブラック企業という風評は広まるばかり。    一方、杏子(黒木メイサ)は三田村をブラック社長として告発する本を出版しようと大ハリキリ。そんな折、ブライダル会社の社長・篠崎佳代子(萬田久子)が大学に招かれ、杏子の特別講義にゲストとして登場。佳代子は“ホワイト企業"の経営者として有名であり、杏子はまさに正反対の三田村と対決させようともくろむ。学生達を前に佳代子は、会社経営に一番大切なことは「社員を愛すること」で、ブラック企業は問題外だと痛烈な批判をする。しかし、ひょんな事から佳代子が三田村の会社を訪問することに…。    翌日、佳代子と杏子が三田村の会社に現れた。佳代子を利用して会社のイメージアップを図ろうと、明智は三田村との対談を決行。そんなとき、会社を訴えた2人の社員が、直接話がしたいと三田村の元を訪ねてきて…。【脚本】  尾崎将也　    【音楽】  仲西匡　    【主題歌】  コブクロ『陽だまりの道』(ワーナーミュージック・ジャパン)　    【演出】  白木啓一郎　    【プロデューサー】  安藤和久　  山下有為　  木曽貴美子　  伊藤達哉　    【協力プロデューサー】  東城祐司　    【制作】  関西テレビ　  MMJ【HP】  http://www.ktv.jp/black/  【データ放送】  リモコンのdボタンを押してアクセス!特製QUOカードが当たるプレゼントクイズを実施中!!  【Twitter】  @blackpresident8にて最新情報つぶやき中!  【お知らせ】  ドラマポスターの待ち受け画像を無料配信!  詳しくはPC/携帯/スマートフォンから「ブラック・プレジデント」で検索!</t>
  </si>
  <si>
    <t>番組名ブラック・プレジデント【毒舌社長が学園祭をブラック化!?】　#04</t>
  </si>
  <si>
    <t>ブラック社長がまさかの大学入学!!毒舌男に翻弄される社員や若者たちの運命は!?モヤモヤを抱えたあなたに贈る、世代を超えた異色の痛快人間ドラマ!!    【第4話】ムリは負け犬の言葉だ!    大学は学園祭シーズン。大学生活の一大イベントに盛り上がる三田村(沢村一樹)は、映画サークルで模擬店を出そうと提案するが「手間がかかるわりに儲からない」と相手にしてもらえない。    「この“ゆとり君"どもが…」とムカつく三田村を、学生たちの協力もなしに模擬店など出来るわけがないと鼻で笑う杏子(黒木メイサ)。しかし三田村は「出来ないとか無理とか言った瞬間が負けるときだ」と言い放つと、亮介(永瀬匡)や健太(高田翔)らを巧みに丸め込み、出店に賛成させてしまう。三田村に乗せられ、模擬店の準備に励む映画サークルのメンバーたち。杏子は「よくないことが起こりそうな気がする」と不安を覚えるが…。    一方、三田村の会社では、倉庫に積まれた返品の山に明智(永井大)が頭を抱えていた。発注ミスで、ある商品が先方に突き返されてしまったのだ。追い込まれた三田村は、ピンチを乗り切る極秘プロジェクトを計画。それは、学園祭を利用して問題を解決するというものだった!    いよいよ迎えた学園祭の朝。三田村と学生たち、そしてなぜか手伝わされた杏子が徹夜で作った模擬店も完成し、あとは開店を待つばかり。その時、学園祭の実行委員が突然乗り込んできて…。沢村一樹　    黒木メイサ　    国仲涼子　    門脇麦　  永瀬匡　  高田翔　  高月彩良  　・　  壇蜜　  澤部佑(ハライチ)  　/　  青木さやか　  永井大　  白川由美　    ほか【脚本】  尾崎将也　    【音楽】  仲西匡　    【主題歌】  コブクロ「陽だまりの道」(ワーナーミュージック・ジャパン)　    【演出】  小松隆志(MMJ)　    【プロデュース】  安藤和久(関西テレビ)　  山下有為(関西テレビ)　  木曽貴美子(MMJ)　  伊藤達哉(MMJ)【HP】  http://www.ktv.jp/black/  モバイルサイトにて番組オリジナルポスター待ち受け画像を無料配信中!  【データ放送】  リモコンのdボタンを押してアクセス!特製QUOカードが当たるプレゼントクイズを実施中!!  【Twitter】  @blackpresident8にて最新情報つぶやき中!  ハッシュタグは　#ブラックプレジデントで!</t>
  </si>
  <si>
    <t>ブラック社長がまさかの大学入学!!毒舌男に翻弄される社員や若者たちの運命は!?モヤモヤを抱えたあなたに贈る、世代を超えた異色の痛快人間ドラマ!!    【第4話】ムリは負け犬の言葉だ!    大学は学園祭シーズン。大学生活の一大イベントに盛り上がる三田村(沢村一樹)は、映画サークルで模擬店を出そうと提案するが「手間がかかるわりに儲からない」と相手にしてもらえない。    「この“ゆとり君"どもが…」とムカつく三田村を、学生たちの協力もなしに模擬店など出来るわけがないと鼻で笑う杏子(黒木メイサ)。しかし三田村は「出来ないとか無理とか言った瞬間が負けるときだ」と言い放つと、亮介(永瀬匡)や健太(高田翔)らを巧みに丸め込み、出店に賛成させてしまう。三田村に乗せられ、模擬店の準備に励む映画サークルのメンバーたち。杏子は「よくないことが起こりそうな気がする」と不安を覚えるが…。    一方、三田村の会社では、倉庫に積まれた返品の山に明智(永井大)が頭を抱えていた。発注ミスで、ある商品が先方に突き返されてしまったのだ。追い込まれた三田村は、ピンチを乗り切る極秘プロジェクトを計画。それは、学園祭を利用して問題を解決するというものだった!    いよいよ迎えた学園祭の朝。三田村と学生たち、そしてなぜか手伝わされた杏子が徹夜で作った模擬店も完成し、あとは開店を待つばかり。その時、学園祭の実行委員が突然乗り込んできて…。</t>
  </si>
  <si>
    <t>番組名ブラック・プレジデント【まさかのセクハラ根絶宣言!?】　#05</t>
  </si>
  <si>
    <t>言いたい放題のわがまま社長・三田村(沢村一樹)がまさかの大学入学!現代社会のモヤモヤを毒舌でぶった斬る、痛快人間ドラマ!    三田村の会社が社内のセクハラ防止に乗り出すことに。コンプライアンス部の坂田玲子(金谷真由美)は、セクハラ発言を連発している社長がそもそも問題だというが、当の三田村はまったく反省する様子がない。  その夜、映画サークルの面々と居酒屋で飲む三田村。口から飛び出すのは、相変わらずセクハラ発言ばかり。そんな中「どんな男がタイプなの?」と三田村にからかわれた百合(門脇麦)が、突然店を飛び出していってしまう。  翌日、百合は連絡もつかない状態に。健太(高田翔)に「お前のせいだ!」と責められ、杏子(黒木メイサ)からも「彼女を傷つけた」と説教され、腑に落ちないながらも珍しく落ち込む三田村。それからというもの、三田村は会社のセクハラ対策に人が変わったように熱心になり、明智(永井大)や真理(国仲涼子)を驚かせる。  そんな折、杏子の研究室に百合がひょっこり現れ、店を飛び出した本当の理由を打ち明けた。思わぬ真相にあ然とする杏子は、三田村には決して話さないよう百合に口止めする。  一方、三田村のところに、大学の女性人権サークルから講演して欲しいとの依頼が舞い込んできた。テーマはなんと「セクハラ防止」。「今の社長なら話せるでしょう」と明智に説得され、三田村はシンポジウムへの登壇を決めるが…。沢村一樹　  黒木メイサ　  国仲涼子　  門脇麦　  永瀬匡　  高田翔　  高月彩良  　・　  壇蜜　  澤部佑(ハライチ)  　/　  青木さやか　  永井大　  白川由美　    ほか【脚本】  尾崎将也　    【音楽】  仲西匡　    【主題歌】  コブクロ「陽だまりの道」(ワーナーミュージック・ジャパン)　    【演出】  小松隆志(MMJ)　    【プロデュース】  安藤和久(関西テレビ)　  山下有為(関西テレビ)　  木曽貴美子(MMJ)　  伊藤達哉(MMJ)【HP】  http://www.ktv.jp/black/  これまでの放送を見逃したあなた!これまでの放送がPCや携帯電話でもご覧いただけます!詳しくは公式HPまで!  【データ放送】  リモコンのdボタンを押してアクセス!特製QUOカードが当たるプレゼントクイズを実施中!!  【Twitter】  @blackpresident8にて最新情報つぶやき中!  ハッシュタグは　#ブラックプレジデント!</t>
  </si>
  <si>
    <t>言いたい放題のわがまま社長・三田村(沢村一樹)がまさかの大学入学!現代社会のモヤモヤを毒舌でぶった斬る、痛快人間ドラマ!    三田村の会社が社内のセクハラ防止に乗り出すことに。コンプライアンス部の坂田玲子(金谷真由美)は、セクハラ発言を連発している社長がそもそも問題だというが、当の三田村はまったく反省する様子がない。  その夜、映画サークルの面々と居酒屋で飲む三田村。口から飛び出すのは、相変わらずセクハラ発言ばかり。そんな中「どんな男がタイプなの?」と三田村にからかわれた百合(門脇麦)が、突然店を飛び出していってしまう。  翌日、百合は連絡もつかない状態に。健太(高田翔)に「お前のせいだ!」と責められ、杏子(黒木メイサ)からも「彼女を傷つけた」と説教され、腑に落ちないながらも珍しく落ち込む三田村。それからというもの、三田村は会社のセクハラ対策に人が変わったように熱心になり、明智(永井大)や真理(国仲涼子)を驚かせる。  そんな折、杏子の研究室に百合がひょっこり現れ、店を飛び出した本当の理由を打ち明けた。思わぬ真相にあ然とする杏子は、三田村には決して話さないよう百合に口止めする。  一方、三田村のところに、大学の女性人権サークルから講演して欲しいとの依頼が舞い込んできた。テーマはなんと「セクハラ防止」。「今の社長なら話せるでしょう」と明智に説得され、三田村はシンポジウムへの登壇を決めるが…。</t>
  </si>
  <si>
    <t>番組名ブラック・プレジデント【お金より大切なモノってある?】　#06</t>
  </si>
  <si>
    <t>言いたい放題の社長・三田村が大学に入学!現代ニッポンにズバリ物申す、異色の痛快人間ドラマ!    数日後に誕生日を迎える三田村(沢村一樹)のもとに、パーティーの席で開けてはどうかと、なじみの業者が100万円の高級ワインを持ち込む。三田村はパーティーなんか時間のムダだと言いながらもワインを購入する。三田村の景気のよさとは裏腹に、金欠ぞろいの学生たち。アパートの更新料10万円が払えないと悩む百合(門脇麦)を、亮介(永瀬匡)や健太(高田翔)らが助けてやれるはずもない。そんな折、三田村がぶち上げた“金もうけの極意"を聞いた百合は、10万円を稼ぐ方法を思いつく。  一方、杏子(黒木メイサ)は、三田村の会社にアルバイトとして送り込んでいた増山(澤部佑)から、厳しい経費削減のせいで従業員がさらにこき使われていることを聞く。告発本のネタ探しに躍起になる杏子はニンマリ。ここぞとばかりに真理(国仲涼子)から内情を探ろうとするが…。  ある夜、キャバクラに出かけた三田村は、新人のキャバクラ嬢を紹介されてビックリ。なんと、三田村の言葉に刺激された百合が、「てっとり早く稼げる」とキャバクラで働いていたのだ。そんな百合に、「合理的な考え方だ」と感心した三田村は、次の日も店に明智(永井大)を送り込み、百合の売り上げアップに協力する。  ところが翌日、なぜか浮かない表情の百合が三田村の会社に乗り込んできて…。沢村一樹　  黒木メイサ　  国仲涼子　  門脇麦　  永瀬匡　  高田翔　  高月彩良  　・　  壇蜜　  澤部佑(ハライチ)  　/　  青木さやか　  永井大　  白川由美【脚本】  尾崎将也　    【音楽】  仲西匡　    【主題歌】  コブクロ「陽だまりの道」(ワーナーミュージック・ジャパン)　    【演出】  白木啓一郎(関西テレビ)　    【協力プロデューサー】  東城祐司(MMJ)　    【プロデューサー】  安藤和久(関西テレビ)　  山下有為(関西テレビ)　  木曽貴美子(MMJ)　  伊藤達哉(MMJ)【HP】  http://www.ktv.jp/black/  放送終了後に三田村支持率調査を実施!ぜひご参加ください!  【データ放送】  リモコンのdボタンを押してアクセス!特製QUOカードが当たるプレゼントクイズを実施中!!  【Twitter】  @blackpresident8にて最新情報つぶやき中!  ハッシュタグは　#ブラックプレジデントで!</t>
  </si>
  <si>
    <t>言いたい放題の社長・三田村が大学に入学!現代ニッポンにズバリ物申す、異色の痛快人間ドラマ!    数日後に誕生日を迎える三田村(沢村一樹)のもとに、パーティーの席で開けてはどうかと、なじみの業者が100万円の高級ワインを持ち込む。三田村はパーティーなんか時間のムダだと言いながらもワインを購入する。三田村の景気のよさとは裏腹に、金欠ぞろいの学生たち。アパートの更新料10万円が払えないと悩む百合(門脇麦)を、亮介(永瀬匡)や健太(高田翔)らが助けてやれるはずもない。そんな折、三田村がぶち上げた“金もうけの極意"を聞いた百合は、10万円を稼ぐ方法を思いつく。  一方、杏子(黒木メイサ)は、三田村の会社にアルバイトとして送り込んでいた増山(澤部佑)から、厳しい経費削減のせいで従業員がさらにこき使われていることを聞く。告発本のネタ探しに躍起になる杏子はニンマリ。ここぞとばかりに真理(国仲涼子)から内情を探ろうとするが…。  ある夜、キャバクラに出かけた三田村は、新人のキャバクラ嬢を紹介されてビックリ。なんと、三田村の言葉に刺激された百合が、「てっとり早く稼げる」とキャバクラで働いていたのだ。そんな百合に、「合理的な考え方だ」と感心した三田村は、次の日も店に明智(永井大)を送り込み、百合の売り上げアップに協力する。  ところが翌日、なぜか浮かない表情の百合が三田村の会社に乗り込んできて…。</t>
  </si>
  <si>
    <t>番組名ブラック・プレジデント【小悪魔女子、社長を落とす!?】　#07</t>
  </si>
  <si>
    <t>言いたい放題の社長・三田村が大学に入学!現代ニッポンにズバリ物申す、異色の痛快人間ドラマ!    三田村(沢村一樹)は大学で経営学部4年の高岡まゆみ(足立梨花)に声をかけられる。三田村がトレスフィールズの社長であることを杏子(黒木メイサ)から聞き、話を聞かせて欲しいというのだ。「三田村社長の経営理念に共感しているんです」と目を輝かせるまゆみに三田村はまんざらでもない。  その日から、三田村とまゆみはベッタリ。三田村の話を熱心に聞くまゆみと、まゆみに鼻の下をのばす三田村。急接近する2人に百合(門脇麦)は気が気でない。そんな百合の気持ちを察した杏子は三田村に意見しようとするが、女性に服を売る会社の社長として市場調査をしているだけだとうそぶかれてしまう。  だが、まゆみと知り合ってからというもの、三田村が浮かれているのは誰が見ても明らか。仕事中にもいそいそと携帯をチェックする三田村に「もしかして恋?」と勘ぐる明智(永井大)と真理(国仲涼子)。そんな折、三田村がまゆみを会社に連れてくる。まるで恋人同士のように仲むつまじい様子に、明智は2人の関係を怪しむが…。  その夜、食事に出かけた三田村とまゆみはいいムードに。やがて、まゆみが「これから三田村さんの家に行っちゃダメですか?」と誘いをかけてくる。一方、ブラック企業の告発本のネタを探していた杏子は、まゆみが三田村に近づく理由に気付いてしまい…沢村一樹　  黒木メイサ　  国仲涼子　  門脇麦　  永瀬匡　  高田翔　  高月彩良  　・　  壇蜜　  澤部佑(ハライチ)  　/　  青木さやか　  永井大　  白川由美　    【第7話ゲスト】  足立梨花【脚本】  尾崎将也　    【音楽】  仲西匡　    【主題歌】  コブクロ「陽だまりの道」(ワーナーミュージック・ジャパン)　    【演出】  小松隆志(MMJ)　    【協力プロデューサー】  東城祐司(MMJ)　    【プロデューサー】  安藤和久(関西テレビ)　  山下有為(関西テレビ)　  木曽貴美子(MMJ)　  伊藤達哉(MMJ)【HP】  http://www.ktv.jp/black/  放送終了後に「三田村支持率調査」を実施!ぜひご投票ください!    【データ放送】  リモコンのdボタンを押してアクセス!  特製QUOカードが当たるプレゼントクイズを実施中!!    【Twitter】  @blackpresident8にて最新情報つぶやき中!  ハッシュタグは　#ブラックプレジデントで!</t>
  </si>
  <si>
    <t>言いたい放題の社長・三田村が大学に入学!現代ニッポンにズバリ物申す、異色の痛快人間ドラマ!    三田村(沢村一樹)は大学で経営学部4年の高岡まゆみ(足立梨花)に声をかけられる。三田村がトレスフィールズの社長であることを杏子(黒木メイサ)から聞き、話を聞かせて欲しいというのだ。「三田村社長の経営理念に共感しているんです」と目を輝かせるまゆみに三田村はまんざらでもない。  その日から、三田村とまゆみはベッタリ。三田村の話を熱心に聞くまゆみと、まゆみに鼻の下をのばす三田村。急接近する2人に百合(門脇麦)は気が気でない。そんな百合の気持ちを察した杏子は三田村に意見しようとするが、女性に服を売る会社の社長として市場調査をしているだけだとうそぶかれてしまう。  だが、まゆみと知り合ってからというもの、三田村が浮かれているのは誰が見ても明らか。仕事中にもいそいそと携帯をチェックする三田村に「もしかして恋?」と勘ぐる明智(永井大)と真理(国仲涼子)。そんな折、三田村がまゆみを会社に連れてくる。まるで恋人同士のように仲むつまじい様子に、明智は2人の関係を怪しむが…。  その夜、食事に出かけた三田村とまゆみはいいムードに。やがて、まゆみが「これから三田村さんの家に行っちゃダメですか?」と誘いをかけてくる。一方、ブラック企業の告発本のネタを探していた杏子は、まゆみが三田村に近づく理由に気付いてしまい…</t>
  </si>
  <si>
    <t>番組名ブラック・プレジデント【社長、女性の活用を考える!?】　#08</t>
  </si>
  <si>
    <t>言いたい放題のわがまま社長・三田村が大学に入学!現代ニッポンにズバリ物申す、異色の痛快人間ドラマ!    いつものように社長・三田村(沢村一樹)に振り回されていた秘書の真理(国仲涼子)は、ねぎらいの言葉ひとつない三田村に不満をぶつける。ところが、「女はこれだから」と暴言を吐かれ、ついにブチ切れ!溜まっていた有給休暇を一気に取り、仕事をボイコットする。  「思う存分休んでくれ」と強気の三田村だったが、真理がいないことで仕事は滞るばかり。さらに「女性活用」をテーマに依頼されていた寄稿文の締め切りが明後日に迫っていることが判明。面倒な原稿はいつも真理に丸投げしていた三田村は、代わりに杏子(黒木メイサ)に頼もうとするがキッパリと断られ、仕方なく自分で書くことに。そうして迎えた締め切り日の朝、風邪をひいて寝込んでしまう。    同じ頃、大学に真理が現れる。休みは取ったものの、やはり会社のことが気になっていた真理は、自分が書いた原稿を三田村に渡してほしいと杏子に託しに来たのだ。杏子は「これを渡すかどうかは、三田村さんの態度次第ってことにしません?」とある提案をして…。  会社を休んだ三田村を杏子が訪ねると、百合(門脇麦)が見舞いに来ていた。原稿もなんとかまとまり、締め切りに間に合いそうだという三田村だが、そんな時、最悪の事態が!百合がパソコンの操作を誤り、三田村が書いた原稿を消してしまったと言い出して…沢村一樹　  黒木メイサ　  国仲涼子　  門脇麦　  永瀬匡　  高田翔　  高月彩良  　・　  壇蜜　  澤部佑(ハライチ)  　/　  青木さやか　  永井大　  白川由美　    ほか【脚本】  尾崎将也　    【音楽】  仲西匡　    【主題歌】  コブクロ「陽だまりの道」(ワーナーミュージック・ジャパン)　    【演出】  三宅喜重　    【協力プロデューサー】  東城祐司(MMJ)　    【プロデューサー】  安藤和久(関西テレビ)　  山下有為(関西テレビ)　  木曽貴美子(MMJ)　  伊藤達哉(MMJ)【HP】  http://www.ktv.jp/black/  放送終了後に「三田村支持率調査」を実施!ぜひご投票ください!    【データ放送】  リモコンのdボタンを押してアクセス!  特製QUOカードが当たるプレゼントクイズを実施中!!    【Twitter】  @blackpresident8にて最新情報つぶやき中!  ハッシュタグは　#ブラックプレジデントで!</t>
  </si>
  <si>
    <t>言いたい放題のわがまま社長・三田村が大学に入学!現代ニッポンにズバリ物申す、異色の痛快人間ドラマ!    いつものように社長・三田村(沢村一樹)に振り回されていた秘書の真理(国仲涼子)は、ねぎらいの言葉ひとつない三田村に不満をぶつける。ところが、「女はこれだから」と暴言を吐かれ、ついにブチ切れ!溜まっていた有給休暇を一気に取り、仕事をボイコットする。  「思う存分休んでくれ」と強気の三田村だったが、真理がいないことで仕事は滞るばかり。さらに「女性活用」をテーマに依頼されていた寄稿文の締め切りが明後日に迫っていることが判明。面倒な原稿はいつも真理に丸投げしていた三田村は、代わりに杏子(黒木メイサ)に頼もうとするがキッパリと断られ、仕方なく自分で書くことに。そうして迎えた締め切り日の朝、風邪をひいて寝込んでしまう。    同じ頃、大学に真理が現れる。休みは取ったものの、やはり会社のことが気になっていた真理は、自分が書いた原稿を三田村に渡してほしいと杏子に託しに来たのだ。杏子は「これを渡すかどうかは、三田村さんの態度次第ってことにしません?」とある提案をして…。  会社を休んだ三田村を杏子が訪ねると、百合(門脇麦)が見舞いに来ていた。原稿もなんとかまとまり、締め切りに間に合いそうだという三田村だが、そんな時、最悪の事態が!百合がパソコンの操作を誤り、三田村が書いた原稿を消してしまったと言い出して…</t>
  </si>
  <si>
    <t>番組名ブラック・プレジデント【ブラック社長流就職活動!】　#09</t>
  </si>
  <si>
    <t>言いたい放題のわがまま社長・三田村が大学に入学!現代ニッポンにズバリ物申す異色の痛快人間ドラマ!    【第9話】  就職活動中の先輩が内定をもらえずに悩んでいると知り、就活を来年に控えた百合(門脇麦)や亮介(永瀬匡)らサークルの面々は不安に。一方、杏子(黒木メイサ)は大学が講師をリストラしようとしているとの噂を聞く。生き残るには三田村(沢村一樹)の告発本を出版し名をあげるしかないが、執筆は一向に進まない。そんな折、杏子はゼミの同級生だった田島(大東駿介)と再会。田島は就活を支援する会社を立ち上げ、学生の立場に立った情報提供で評判を得ていた。杏子は田島を映画サークルのメンバーに紹介し、就活のアドバイスをもらうことに。しかし、三田村は助言が気にいらず田島に食ってかかり、一同のひんしゅくを買う。  ある日、田島の会社が運営する就活サイトの掲示板に、トレスフィールズの悪評が投稿される。このことから、田島の会社を調べるうちにある事実を発見した三田村は、企業の弱みにつけこんで利益をあげようとする田島の裏の顔に気づく…。同じころ田島は杏子に、学生時代に好意を持っていたと告白。さらに「うちで働かない?」と持ちかけ…。  数日後、杏子とサークルの面々は、田島の会社の就活セミナーに参加。実際の就活を想定した、田島が面接官を務める模擬面接を受けたいと名乗り出た男に杏子らは仰天。それは、なんと三田村だった!沢村一樹　  黒木メイサ　  国仲涼子　  門脇麦　  永瀬匡　  高田翔　  高月彩良  　・　  壇蜜　  澤部佑(ハライチ)  　/　  青木さやか　  永井大　  白川由美　    ほか　    【第9話ゲスト】  大東駿介【脚本】  尾崎将也　    【音楽】  仲西匡　    【主題歌】  コブクロ「陽だまりの道」(ワーナーミュージック・ジャパン)　    【演出】  白木啓一郎　    【協力プロデューサー】  東城祐司(MMJ)　    【プロデューサー】  安藤和久(関西テレビ)　  山下有為(関西テレビ)　  木曽貴美子(MMJ)　  伊藤達哉(MMJ)【HP】  http://www.ktv.jp/black/  放送終了後に「三田村支持率調査」を実施!ぜひご投票ください!    【データ放送】  リモコンのdボタンを押してアクセス!  特製QUOカードが当たるプレゼントクイズを実施中!!    【Twitter】  @blackpresident8にて最新情報つぶやき中!  ハッシュタグは　#ブラックプレジデントで!</t>
  </si>
  <si>
    <t>言いたい放題のわがまま社長・三田村が大学に入学!現代ニッポンにズバリ物申す異色の痛快人間ドラマ!    【第9話】  就職活動中の先輩が内定をもらえずに悩んでいると知り、就活を来年に控えた百合(門脇麦)や亮介(永瀬匡)らサークルの面々は不安に。一方、杏子(黒木メイサ)は大学が講師をリストラしようとしているとの噂を聞く。生き残るには三田村(沢村一樹)の告発本を出版し名をあげるしかないが、執筆は一向に進まない。そんな折、杏子はゼミの同級生だった田島(大東駿介)と再会。田島は就活を支援する会社を立ち上げ、学生の立場に立った情報提供で評判を得ていた。杏子は田島を映画サークルのメンバーに紹介し、就活のアドバイスをもらうことに。しかし、三田村は助言が気にいらず田島に食ってかかり、一同のひんしゅくを買う。  ある日、田島の会社が運営する就活サイトの掲示板に、トレスフィールズの悪評が投稿される。このことから、田島の会社を調べるうちにある事実を発見した三田村は、企業の弱みにつけこんで利益をあげようとする田島の裏の顔に気づく…。同じころ田島は杏子に、学生時代に好意を持っていたと告白。さらに「うちで働かない?」と持ちかけ…。  数日後、杏子とサークルの面々は、田島の会社の就活セミナーに参加。実際の就活を想定した、田島が面接官を務める模擬面接を受けたいと名乗り出た男に杏子らは仰天。それは、なんと三田村だった!</t>
  </si>
  <si>
    <t>番組名ブラック・プレジデント【結婚する君へ…社長、人生を悟る!?】　#10</t>
  </si>
  <si>
    <t>言いたい放題の社長・三田村が大学に入学!現代ニッポンに物申す異色の痛快人間ドラマ!  【第10話】  三田村(沢村一樹)が杏子(黒木メイサ)が書いている本に協力すると言い出した。さっそく三田村を飲みに誘い、話を進めようと急かす杏子。    深夜、酔った杏子を三田村が家に送り届けると、そこには杏子の母・彩子(戸田恵子)が。実は杏子は新潟の由緒ある寺のひとり娘で、杏子に養子を迎えて寺を継がせたい彩子が、見合いをさせようと乗り込んできたのだ。三田村と杏子を男女の仲だと誤解する彩子だが、いつも通り金の話ばかりする三田村にあきれ顔。「煩悩を断ち切りさえすれば、心安らかに生きていける」と仏教の教えを持ち出して諭すも、三田村は聞く耳を持たない。    そんな折、健康診断で問題が見つかり、再検査の結果を聞くために病院を訪れた三田村は「人間いつ死んでもおかしくない」と医師から言われ、ふと人生を省みる気に。これまで興味すら持ったことのなかった仏教の本を読んですっかり感化され、別人のように温和な性格に豹変して真理(国仲涼子)や百合(門脇麦)ら周囲を面食らわせる。    一方、渋々見合いをした杏子は、仕事にかける自分の情熱に自信が持てず、結婚に心が傾き始めていた。しかし、「この本だけはちゃんと形にしたい」と本の原稿を三田村に託す。杏子の原稿を読んだ三田村は…。    そして、見合い相手を前に返事を迫られた杏子の答えとは…?沢村一樹　  黒木メイサ　  国仲涼子　  門脇麦　  永瀬匡　  高田翔　  高月彩良  　・　  壇蜜　  澤部佑(ハライチ)  　/　  青木さやか　  永井大　  白川由美　    ほか　    【第10話ゲスト】  戸田恵子【脚本】  尾崎将也　    【音楽】  仲西匡　    【主題歌】  コブクロ「陽だまりの道」(ワーナーミュージック・ジャパン)　    【演出】  小松隆志(MMJ)　    【協力プロデューサー】  東城祐司(MMJ)　    【プロデューサー】  安藤和久(関西テレビ)　  山下有為(関西テレビ)　  木曽貴美子(MMJ)　  伊藤達哉(MMJ)【HP】  http://www.ktv.jp/black/  放送終了後に「三田村支持率調査」を実施!ぜひご投票ください!    【データ放送】  リモコンのdボタンを押してアクセス!  特製QUOカードが当たるプレゼントクイズを実施中!!    【Twitter】  @blackpresident8にて最新情報つぶやき中!  ハッシュタグは　#ブラックプレジデントで!</t>
  </si>
  <si>
    <t>言いたい放題の社長・三田村が大学に入学!現代ニッポンに物申す異色の痛快人間ドラマ!  【第10話】  三田村(沢村一樹)が杏子(黒木メイサ)が書いている本に協力すると言い出した。さっそく三田村を飲みに誘い、話を進めようと急かす杏子。    深夜、酔った杏子を三田村が家に送り届けると、そこには杏子の母・彩子(戸田恵子)が。実は杏子は新潟の由緒ある寺のひとり娘で、杏子に養子を迎えて寺を継がせたい彩子が、見合いをさせようと乗り込んできたのだ。三田村と杏子を男女の仲だと誤解する彩子だが、いつも通り金の話ばかりする三田村にあきれ顔。「煩悩を断ち切りさえすれば、心安らかに生きていける」と仏教の教えを持ち出して諭すも、三田村は聞く耳を持たない。    そんな折、健康診断で問題が見つかり、再検査の結果を聞くために病院を訪れた三田村は「人間いつ死んでもおかしくない」と医師から言われ、ふと人生を省みる気に。これまで興味すら持ったことのなかった仏教の本を読んですっかり感化され、別人のように温和な性格に豹変して真理(国仲涼子)や百合(門脇麦)ら周囲を面食らわせる。    一方、渋々見合いをした杏子は、仕事にかける自分の情熱に自信が持てず、結婚に心が傾き始めていた。しかし、「この本だけはちゃんと形にしたい」と本の原稿を三田村に託す。杏子の原稿を読んだ三田村は…。    そして、見合い相手を前に返事を迫られた杏子の答えとは…?</t>
  </si>
  <si>
    <t>番組名ブラック・プレジデント【成功も失敗も、自分でしろ!】　#11</t>
  </si>
  <si>
    <t>言いたい放題の社長・三田村が大学に入学!現代ニッポンに物申す異色の痛快人間ドラマ!    【最終話】  杏子(黒木メイサ)が書いた三田村(沢村一樹)の暴露本がついに出版され、売れ行きは好調。だが、杏子は機嫌が悪い。三田村と出版社が、杏子と三田村の共著ではなく三田村が著者だということにしてしまったのだ。杏子は「許せない!」とかみつくが、三田村は「資本主義がどういうものか、勉強させてやった」と高笑い。そんな折、三田村の会社にアメリカの企業との提携話が持ち上がる。先方の条件は、ニューヨークに新設する合弁会社の社長として、三田村がアメリカに5年間赴任すること。三田村は乗り気だが、専務の明智(永井大)は5年も社長が不在では会社が潰れてしまうと猛反対。「行くと仰るのなら、私は辞表を提出します」と三田村に反発する。  三田村と明智が険悪なムードになり、困り果てる真理(国仲涼子)。杏子は「私が言ってやります」と三田村を呼び出すと、三田村の自分勝手な行動が周囲を傷つけていると責め、「ブラックなのは、あなた自身です!」と糾弾する。反省し、アメリカ行きをあきらめたかのように思われた三田村だが…。  数日後、契約交渉の席で「喜んで参ります」と三田村はアメリカ赴任を承諾。「辞めさせていただくと申し上げたはず」と辞表を叩きつけ、会社を去ろうとする明智を「俺がお前の言葉を忘れるわけないだろ」と三田村は引き留め…。沢村一樹　  黒木メイサ　  国仲涼子　  門脇麦　  永瀬匡　  高田翔　  高月彩良  　・　  壇蜜　  澤部佑(ハライチ)  　/　  青木さやか　  永井大　  白川由美　    ほか【脚本】  尾崎将也　    【音楽】  仲西匡　    【主題歌】  コブクロ「陽だまりの道」(ワーナーミュージック・ジャパン)　    【演出】  三宅喜重　    【協力プロデューサー】  東城祐司(MMJ)　    【プロデューサー】  安藤和久(関西テレビ)　  山下有為(関西テレビ)　  木曽貴美子(MMJ)　  伊藤達哉(MMJ)【HP】  http://www.ktv.jp/black/  放送終了後に「三田村支持率調査」を実施!ぜひご投票ください!    【データ放送】  リモコンのdボタンを押してアクセス!  特製QUOカードが当たるプレゼントクイズを実施中!!    【Twitter】  @blackpresident8にて最新情報つぶやき中!  ハッシュタグは　#ブラックプレジデントで!</t>
  </si>
  <si>
    <t>言いたい放題の社長・三田村が大学に入学!現代ニッポンに物申す異色の痛快人間ドラマ!    【最終話】  杏子(黒木メイサ)が書いた三田村(沢村一樹)の暴露本がついに出版され、売れ行きは好調。だが、杏子は機嫌が悪い。三田村と出版社が、杏子と三田村の共著ではなく三田村が著者だということにしてしまったのだ。杏子は「許せない!」とかみつくが、三田村は「資本主義がどういうものか、勉強させてやった」と高笑い。そんな折、三田村の会社にアメリカの企業との提携話が持ち上がる。先方の条件は、ニューヨークに新設する合弁会社の社長として、三田村がアメリカに5年間赴任すること。三田村は乗り気だが、専務の明智(永井大)は5年も社長が不在では会社が潰れてしまうと猛反対。「行くと仰るのなら、私は辞表を提出します」と三田村に反発する。  三田村と明智が険悪なムードになり、困り果てる真理(国仲涼子)。杏子は「私が言ってやります」と三田村を呼び出すと、三田村の自分勝手な行動が周囲を傷つけていると責め、「ブラックなのは、あなた自身です!」と糾弾する。反省し、アメリカ行きをあきらめたかのように思われた三田村だが…。  数日後、契約交渉の席で「喜んで参ります」と三田村はアメリカ赴任を承諾。「辞めさせていただくと申し上げたはず」と辞表を叩きつけ、会社を去ろうとする明智を「俺がお前の言葉を忘れるわけないだろ」と三田村は引き留め…。</t>
  </si>
  <si>
    <t>1404_CX_木22</t>
  </si>
  <si>
    <t>続・最後から二番目の恋</t>
  </si>
  <si>
    <t>番組名&lt;木曜劇場&gt;続・最後から二番目の恋　#01</t>
  </si>
  <si>
    <t>JMTテレビに勤務する吉野千明(小泉今日子)は、鎌倉の古民家で暮らす独身女性。ドラマプロデューサーとして数々の作品を手がけてきた千明は、副部長に昇進し、制作現場を離れて後輩の指導育成をする立場になっていた。  　鎌倉市役所観光推進課課長の長倉和平(中井貴一)は、世界遺産の登録に失敗した責任を押し付けられた上、秘書課長も兼務させられる。新しい女性市長・伊佐山良子(柴田理恵)が和平を指名したらしい。　和平の弟で、自宅1階を改装したカフェを営む長倉真平(坂口憲二)は、大橋知美(佐津川愛美)と順調に交際中。和平の妹で専業主婦の水谷典子(飯島直子)は、夫・広行(浅野和之)の浮気を疑い、さっそく和平や千明らに相談を持ち掛けていた。  　ある夜、仕事を終えて帰宅した和平は、極楽寺駅で、娘のえりな(白本彩奈)が1歳年上のボーイフレンド・原田蒼太(中島凱斗)と一緒にいるところを目撃する。その際、和平は、蒼太と一緒にえりなを送ってきた母親・薫子(長谷川京子)と知り合った。  　そんな折、和平は、市長に同行して、急きょ鎌倉の姉妹都市であるフランスのニースまで行くことになる。同じころ、千明は、長倉万理子(内田有紀)やAP三井さん(久保田磨希)たちがある作家の作品をドラマ化するのに苦労していることを知り、パリにいるというその作家に直談判して原作権を取ってくると宣言。帰国後、千明の前に現れたのは…。吉野千明:　小泉今日子　  長倉和平:　中井貴一　  長倉真平:　坂口憲二　  長倉万理子:　内田有紀  　　　☆　　　  高山涼太:　加瀬亮　  原田薫子:　長谷川京子　  水谷典子:　飯島直子【脚本】  岡田惠和　    【監督】  宮本理江子　  加藤裕将　  宮脇亮　    【音楽】  平沢敦士　    【制作】  フジテレビ　ドラマ制作部</t>
  </si>
  <si>
    <t>JMTテレビに勤務する吉野千明(小泉今日子)は、鎌倉の古民家で暮らす独身女性。ドラマプロデューサーとして数々の作品を手がけてきた千明は、副部長に昇進し、制作現場を離れて後輩の指導育成をする立場になっていた。  　鎌倉市役所観光推進課課長の長倉和平(中井貴一)は、世界遺産の登録に失敗した責任を押し付けられた上、秘書課長も兼務させられる。新しい女性市長・伊佐山良子(柴田理恵)が和平を指名したらしい。　和平の弟で、自宅1階を改装したカフェを営む長倉真平(坂口憲二)は、大橋知美(佐津川愛美)と順調に交際中。和平の妹で専業主婦の水谷典子(飯島直子)は、夫・広行(浅野和之)の浮気を疑い、さっそく和平や千明らに相談を持ち掛けていた。  　ある夜、仕事を終えて帰宅した和平は、極楽寺駅で、娘のえりな(白本彩奈)が1歳年上のボーイフレンド・原田蒼太(中島凱斗)と一緒にいるところを目撃する。その際、和平は、蒼太と一緒にえりなを送ってきた母親・薫子(長谷川京子)と知り合った。  　そんな折、和平は、市長に同行して、急きょ鎌倉の姉妹都市であるフランスのニースまで行くことになる。同じころ、千明は、長倉万理子(内田有紀)やAP三井さん(久保田磨希)たちがある作家の作品をドラマ化するのに苦労していることを知り、パリにいるというその作家に直談判して原作権を取ってくると宣言。帰国後、千明の前に現れたのは…。</t>
  </si>
  <si>
    <t>番組名&lt;木曜劇場&gt;続・最後から二番目の恋【恋はいくつになっても上達しない】　#02</t>
  </si>
  <si>
    <t>千明(小泉今日子)の前に、かつての恋人でもある脚本家の高山涼太(加瀬亮)が突然現れる。涼太は、千明と暮らし始めて3日目に、「ごめん、無理」とだけ書いた付箋をマンションのドアに貼りつけて姿を消した相手だ。そんな涼太が、住む場所もなく、仕事も上手くいっていないと知った千明は、食事をおごり、もし困っているなら来てもいい、といって鎌倉の自宅住所を教える。  　一方、和平(中井貴一)は、伊佐山市長(柴田理恵)に呼び出され、ゴルフ練習のお供をする。その際伊佐山は、和平の荷物の中に、50代のセックスについて特集している男性週刊誌が入っていることに気づく。それは、一条さん(織本順吉)が原因で買う羽目になった雑誌で、グラビアページには、娘・えりな(白本彩奈)の彼氏の母親ということで知り合った原田薫子(長谷川京子)によく似た女性が載っていた。  　あくる朝、千明は、涼太と付き合っていた当時の服を着てカフェ『ナガクラ』を訪れる。それに反応し、つい「今日は若作りだ」と言ってしまう和平。そこへ、典子(飯島直子)がやってきた。夫・広行(浅野和之)が浮気をしているのではないかと疑っていた典子は、彼の後を尾行したのだという。と、そのとき、千明は、イスの上にあった男性週刊誌に気づく。それを覗き見たえりなは、グラビアのモデルを見て「彼氏のママにそっくり」と言い出し…。吉野千明:　小泉今日子　  長倉和平:　中井貴一　  長倉真平:　坂口憲二　  長倉万理子:　内田有紀  　　　☆　　　  高山涼太:　加瀬亮　  原田薫子:　長谷川京子　  水谷典子:　飯島直子【脚本】  岡田惠和　    【監督】  宮本理江子　  加藤裕将　  宮脇亮　    【音楽】  平沢敦士　    【制作】  フジテレビ　ドラマ制作部</t>
  </si>
  <si>
    <t>千明(小泉今日子)の前に、かつての恋人でもある脚本家の高山涼太(加瀬亮)が突然現れる。涼太は、千明と暮らし始めて3日目に、「ごめん、無理」とだけ書いた付箋をマンションのドアに貼りつけて姿を消した相手だ。そんな涼太が、住む場所もなく、仕事も上手くいっていないと知った千明は、食事をおごり、もし困っているなら来てもいい、といって鎌倉の自宅住所を教える。  　一方、和平(中井貴一)は、伊佐山市長(柴田理恵)に呼び出され、ゴルフ練習のお供をする。その際伊佐山は、和平の荷物の中に、50代のセックスについて特集している男性週刊誌が入っていることに気づく。それは、一条さん(織本順吉)が原因で買う羽目になった雑誌で、グラビアページには、娘・えりな(白本彩奈)の彼氏の母親ということで知り合った原田薫子(長谷川京子)によく似た女性が載っていた。  　あくる朝、千明は、涼太と付き合っていた当時の服を着てカフェ『ナガクラ』を訪れる。それに反応し、つい「今日は若作りだ」と言ってしまう和平。そこへ、典子(飯島直子)がやってきた。夫・広行(浅野和之)が浮気をしているのではないかと疑っていた典子は、彼の後を尾行したのだという。と、そのとき、千明は、イスの上にあった男性週刊誌に気づく。それを覗き見たえりなは、グラビアのモデルを見て「彼氏のママにそっくり」と言い出し…。</t>
  </si>
  <si>
    <t>番組名&lt;木曜劇場&gt;続・最後から二番目の恋【過去の恋は、笑って葬りたい!!】　#03</t>
  </si>
  <si>
    <t>千明(小泉今日子)は、自分の前から姿を消した理由を涼太(加瀬亮)から聞き、大きなショックを受けていた。あくる朝、千明は、涼太とともに『ナガクラ』を訪れる。そこで、和平(中井貴一)や真平(坂口憲二)たち長倉家の面々を涼太に紹介する千明。万理子(内田有紀)は、涼太がかつて千明を奈落の底に突き落とした男だと付け加えた。千明は、涼太とよりを戻したと勘違いした典子(飯島直子)に、単なる友人としての同居だと説明する。が、典子や和平にはそれが理解できないらしい。すると、それまで千明たちの話を聞いていたえりな(白本彩奈)が、和平と薫子(長谷川京子)が友だちになる約束をしたことを皆にバラしてしまう。和平は、隠しているところがいやらしい、などと千明や典子から責められるが…。  　そんな折、千明は現場復帰を果たすことになる。隣のチームがやるはずだった連続ドラマが主役の都合で先送りになったため、急きょ、空いた枠を埋めなければならなくなったからだった。主役も内容も何も決まっていない状態で連続ドラマを作ることになった千明は、万理子や武田(坂本真)、AP三井さん(久保田磨希)たちが取り組んでいたドラマをいったん保留にし、元・チーム千明を再結集させる。  　同じころ、和平は、市長の伊佐山(柴田理恵)から呼び出される。そこで伊佐山は、「あなたはどういう女性が嫌いですか?」と和平に問いかけ…。吉野千明:　小泉今日子　  長倉和平:　中井貴一　  長倉真平:　坂口憲二　  長倉万理子:　内田有紀  　　　☆　　　  高山涼太:　加瀬亮　  原田薫子:　長谷川京子　  水谷典子:　飯島直子【脚本】  岡田惠和　    【監督】  宮本理江子　  加藤裕将　  宮脇亮　    【音楽】  平沢敦士　    【制作】  フジテレビ　ドラマ制作部</t>
  </si>
  <si>
    <t>千明(小泉今日子)は、自分の前から姿を消した理由を涼太(加瀬亮)から聞き、大きなショックを受けていた。あくる朝、千明は、涼太とともに『ナガクラ』を訪れる。そこで、和平(中井貴一)や真平(坂口憲二)たち長倉家の面々を涼太に紹介する千明。万理子(内田有紀)は、涼太がかつて千明を奈落の底に突き落とした男だと付け加えた。千明は、涼太とよりを戻したと勘違いした典子(飯島直子)に、単なる友人としての同居だと説明する。が、典子や和平にはそれが理解できないらしい。すると、それまで千明たちの話を聞いていたえりな(白本彩奈)が、和平と薫子(長谷川京子)が友だちになる約束をしたことを皆にバラしてしまう。和平は、隠しているところがいやらしい、などと千明や典子から責められるが…。  　そんな折、千明は現場復帰を果たすことになる。隣のチームがやるはずだった連続ドラマが主役の都合で先送りになったため、急きょ、空いた枠を埋めなければならなくなったからだった。主役も内容も何も決まっていない状態で連続ドラマを作ることになった千明は、万理子や武田(坂本真)、AP三井さん(久保田磨希)たちが取り組んでいたドラマをいったん保留にし、元・チーム千明を再結集させる。  　同じころ、和平は、市長の伊佐山(柴田理恵)から呼び出される。そこで伊佐山は、「あなたはどういう女性が嫌いですか?」と和平に問いかけ…。</t>
  </si>
  <si>
    <t>番組名&lt;木曜劇場&gt;続・最後から二番目の恋【恋する鎌倉で、私の人生、計算外】　#04</t>
  </si>
  <si>
    <t>千明(小泉今日子)の家に上がり込んだ典子(飯島直子)は、涼太(加瀬亮)に興味を抱く。夫の広行(浅野和之)ともめて家を飛び出した典子は、その腹いせに自分も涼太と遊んでやろうなどと考えたらしい。困った千明は、新ドラマの企画打ち合わせをするためにやってきた万理子(内田有紀)に涼太を任せ、ふたりでどこかに行って企画を考えるよう指示する。  　同じころ、和平(中井貴一)は、薫子(長谷川京子)と一緒にそば打ち教室に参加していた。そこで和平は、薫子から、鎌倉にいるという寂しい女性を癒してくれる“天使"に会えた、と聞かされる。それが真平(坂口憲二)のことだと確信した和平は、動揺し、そば打ちにも集中できない。  　千明は、典子から広行とケンカした理由を聞く。広行は、不動産業者のアンケートに答えたことがきっかけでその店の若い女性に惹かれ、彼女と話がしたくて新築プランの相談をすることにして通い詰めていたらしい。事情を知った千明は、それくらいは普通のことだ、と言って典子を諭すが…。  　和平が家に戻ると、真平の婚約者・知美(佐津川愛美)が来ていた。ほどなく典子、千明も現れ、一同は、和平から薫とのそば打ちデートの話を聞き出そうとする。するとそこに、薫子が息子の蒼太(中島凱斗)を連れてやってくる。そこで薫子は、“鎌倉の天使"こと真平と再会し…。吉野千明:　小泉今日子　  長倉和平:　中井貴一　  長倉真平:　坂口憲二　  長倉万理子:　内田有紀  　　　☆　　　  高山涼太:　加瀬亮　  原田薫子:　長谷川京子　  水谷典子:　飯島直子【脚本】  岡田惠和　    【監督】  宮本理江子　  加藤裕将　  宮脇亮　    【音楽】  平沢敦士　    【制作】  フジテレビ　ドラマ制作部</t>
  </si>
  <si>
    <t>千明(小泉今日子)の家に上がり込んだ典子(飯島直子)は、涼太(加瀬亮)に興味を抱く。夫の広行(浅野和之)ともめて家を飛び出した典子は、その腹いせに自分も涼太と遊んでやろうなどと考えたらしい。困った千明は、新ドラマの企画打ち合わせをするためにやってきた万理子(内田有紀)に涼太を任せ、ふたりでどこかに行って企画を考えるよう指示する。  　同じころ、和平(中井貴一)は、薫子(長谷川京子)と一緒にそば打ち教室に参加していた。そこで和平は、薫子から、鎌倉にいるという寂しい女性を癒してくれる“天使"に会えた、と聞かされる。それが真平(坂口憲二)のことだと確信した和平は、動揺し、そば打ちにも集中できない。  　千明は、典子から広行とケンカした理由を聞く。広行は、不動産業者のアンケートに答えたことがきっかけでその店の若い女性に惹かれ、彼女と話がしたくて新築プランの相談をすることにして通い詰めていたらしい。事情を知った千明は、それくらいは普通のことだ、と言って典子を諭すが…。  　和平が家に戻ると、真平の婚約者・知美(佐津川愛美)が来ていた。ほどなく典子、千明も現れ、一同は、和平から薫とのそば打ちデートの話を聞き出そうとする。するとそこに、薫子が息子の蒼太(中島凱斗)を連れてやってくる。そこで薫子は、“鎌倉の天使"こと真平と再会し…。</t>
  </si>
  <si>
    <t>番組名&lt;木曜劇場&gt;続・最後から二番目の恋【まったく大人って生き物は…】　#05</t>
  </si>
  <si>
    <t>急きょ、連続ドラマを制作することになった千明(小泉今日子)は、涼太(加瀬亮)と万理子(内田有紀)に脚本を書かせる。だが、涼太が書いてきた脚本は、千明を満足させるには程遠いレベルーー千明いわく「いままで読んだ本の中で一番つまらない」というほどの内容だった。千明は、事情を知った友人の祥子(渡辺真起子)、啓子(森口博子)に諭され、彼女たちとの飲み会を止めて涼太と話をするために帰宅する。  　一方、和平(中井貴一)は、薫子(長谷川京子)から、セックスフレンドを前提とした友人関係を求められる。困惑した和平は、帰宅途中にバーに立ち寄った。するとそこに、典子(飯島直子)の夫・広行(浅野和之)が現れる。広行は、不動産会社の若い女性・詩織(中西美帆)に恋していることを和平に打ち明けると、こともあろうに応援してほしいなどと言い出す。  　千明が帰宅すると、万理子と涼太が泥酔状態の典子に手を焼いていた。万理子たちが帰ってきたときには、すでに典子はこの状態だったらしい。典子は、千明に抱きついて泣き出したりしていたが、やがて倒れるように眠ってしまう。万理子は、千明が涼太に話があることを察し、その場を後にした。そこで千明は、脚本を読んだ感想を涼太に切り出そうとするが…。吉野千明:　小泉今日子　  長倉和平:　中井貴一　  長倉真平:　坂口憲二　  長倉万理子:　内田有紀  　　　☆　　　  高山涼太:　加瀬亮　  原田薫子:　長谷川京子　  水谷典子:　飯島直子【脚本】  岡田惠和　    【監督】  宮本理江子　  加藤裕将　  宮脇亮　    【音楽】  平沢敦士　    【制作】  フジテレビ　ドラマ制作部</t>
  </si>
  <si>
    <t>急きょ、連続ドラマを制作することになった千明(小泉今日子)は、涼太(加瀬亮)と万理子(内田有紀)に脚本を書かせる。だが、涼太が書いてきた脚本は、千明を満足させるには程遠いレベルーー千明いわく「いままで読んだ本の中で一番つまらない」というほどの内容だった。千明は、事情を知った友人の祥子(渡辺真起子)、啓子(森口博子)に諭され、彼女たちとの飲み会を止めて涼太と話をするために帰宅する。  　一方、和平(中井貴一)は、薫子(長谷川京子)から、セックスフレンドを前提とした友人関係を求められる。困惑した和平は、帰宅途中にバーに立ち寄った。するとそこに、典子(飯島直子)の夫・広行(浅野和之)が現れる。広行は、不動産会社の若い女性・詩織(中西美帆)に恋していることを和平に打ち明けると、こともあろうに応援してほしいなどと言い出す。  　千明が帰宅すると、万理子と涼太が泥酔状態の典子に手を焼いていた。万理子たちが帰ってきたときには、すでに典子はこの状態だったらしい。典子は、千明に抱きついて泣き出したりしていたが、やがて倒れるように眠ってしまう。万理子は、千明が涼太に話があることを察し、その場を後にした。そこで千明は、脚本を読んだ感想を涼太に切り出そうとするが…。</t>
  </si>
  <si>
    <t>番組名&lt;木曜劇場&gt;続・最後から二番目の恋【それでも人生は素敵だ】　#06</t>
  </si>
  <si>
    <t>千明(小泉今日子)は、早朝の海岸で、知美(佐津川愛美)との結婚を明日に控えている真平(坂口憲二)を見かける。真平は、持病のことや、両親の死後、苦労して一家を支えてきた和平(中井貴一)の姿を見てきたこともあって、親になれないかもしれないと悩んでいた。いままで知美と関係を持たなかったのはそのせいだった。そんな真平の気持ちを知った千明は、未来を信じよう、と励ます。  　その日、和平たち長倉家の面々は、知美を連れて墓参りに行く。そこで、墓前に結婚の報告をする真平と知美。真平の様子を気にかけていた和平は、知美と楽しそうにしている真平の姿に安心する。  　千明は、万理子(内田有紀)、典子(飯島直子)、えりな(白本彩奈)とともに、知美の独身生活最後の夜をともに過ごす、バチェロレッテ・パーティーを開く。そこで千明は、典子に行方不明中の夫・広行(浅野和之)のことを尋ねた。すると典子は、結婚生活を放棄したのは広行の方なのだから自分は婚活を始める、などと言い出す。  　一方、和平と真平は、カフェ『ながくら』で開かれる結婚式の準備に追われていた。するとそこに、広行が現れる。たまたま玄関先に出てきた真平と出くわした広行は、紙に包んだお祝い金を手渡すと、幸せな結婚生活を送ってくれと言い残してその場から立ち去ってしまい…。吉野千明:　小泉今日子　  長倉和平:　中井貴一　  長倉真平:　坂口憲二　  長倉万理子:　内田有紀  　　　☆　　　  原田薫子:　長谷川京子　  水谷典子:　飯島直子　【脚本】  岡田惠和　    【監督】  宮本理江子　  加藤裕将　  宮脇亮　    【音楽】  平沢敦士　    【制作】  フジテレビ　ドラマ制作部</t>
  </si>
  <si>
    <t>千明(小泉今日子)は、早朝の海岸で、知美(佐津川愛美)との結婚を明日に控えている真平(坂口憲二)を見かける。真平は、持病のことや、両親の死後、苦労して一家を支えてきた和平(中井貴一)の姿を見てきたこともあって、親になれないかもしれないと悩んでいた。いままで知美と関係を持たなかったのはそのせいだった。そんな真平の気持ちを知った千明は、未来を信じよう、と励ます。  　その日、和平たち長倉家の面々は、知美を連れて墓参りに行く。そこで、墓前に結婚の報告をする真平と知美。真平の様子を気にかけていた和平は、知美と楽しそうにしている真平の姿に安心する。  　千明は、万理子(内田有紀)、典子(飯島直子)、えりな(白本彩奈)とともに、知美の独身生活最後の夜をともに過ごす、バチェロレッテ・パーティーを開く。そこで千明は、典子に行方不明中の夫・広行(浅野和之)のことを尋ねた。すると典子は、結婚生活を放棄したのは広行の方なのだから自分は婚活を始める、などと言い出す。  　一方、和平と真平は、カフェ『ながくら』で開かれる結婚式の準備に追われていた。するとそこに、広行が現れる。たまたま玄関先に出てきた真平と出くわした広行は、紙に包んだお祝い金を手渡すと、幸せな結婚生活を送ってくれと言い残してその場から立ち去ってしまい…。</t>
  </si>
  <si>
    <t>番組名&lt;木曜劇場&gt;続・最後から二番目の恋【歳を重ねてピュアになる!!】　#07</t>
  </si>
  <si>
    <t>千明(小泉今日子)は、和平(中井貴一)とえりな(白本彩奈)が、薫子(長谷川京子)親子と仲むつまじく食卓を囲んでいる姿を目撃し、何故か心がざわつく。和平は、そんな千明を気にかけていたが、彼女が万理子(内田有紀)らとともに連続ドラマの台本入稿作業に追われていたこともあって、なかなか会えずにいた。  　そんな折、鎌倉市役所内では、伊佐山市長(柴田理恵)が和平に対してハラスメントをしているという噂が立っていた。それを知った伊佐山は、秘書課長の解任を和平に提案する。しかし和平は、くだらない噂のせいで仕事を投げ出すのは嫌だと反対し、自分が市長を守ると宣言する。  　和平は、多忙な伊佐山に気分転換をしてもらうため、田所(松尾諭)、知美(佐津川愛美)とともに彼女を展望台に連れていく。するとそこに、一条さん(織本順吉)が現れた。一条さんと伊佐山が親しい間柄だと知って驚く和平。一条さんは、和平がキャバクラ仲間で、母娘と同時にお見合いしたことも伊佐山に話していた。そこに、友人と散歩に来た薫子も現れて話はさらにややこしくなり…。  　一方、脚本家・栗山ハルカ(益若つばさ)の子どもの面倒を見ていた典子(飯島直子)は、そのシッターぶりを評価されて喜んでいた。千明は、生活のために働く必要があるなどと言う典子のことが心配で…。吉野千明:　小泉今日子　  長倉和平:　中井貴一　  長倉真平:　坂口憲二　  長倉万理子:　内田有紀  　　　☆　　　  原田薫子:　長谷川京子　  水谷典子:　飯島直子【脚本】  岡田惠和　    【監督】  宮本理江子　  加藤裕将　  宮脇亮　    【音楽】  平沢敦士　    【制作】  フジテレビ　ドラマ制作部</t>
  </si>
  <si>
    <t>千明(小泉今日子)は、和平(中井貴一)とえりな(白本彩奈)が、薫子(長谷川京子)親子と仲むつまじく食卓を囲んでいる姿を目撃し、何故か心がざわつく。和平は、そんな千明を気にかけていたが、彼女が万理子(内田有紀)らとともに連続ドラマの台本入稿作業に追われていたこともあって、なかなか会えずにいた。  　そんな折、鎌倉市役所内では、伊佐山市長(柴田理恵)が和平に対してハラスメントをしているという噂が立っていた。それを知った伊佐山は、秘書課長の解任を和平に提案する。しかし和平は、くだらない噂のせいで仕事を投げ出すのは嫌だと反対し、自分が市長を守ると宣言する。  　和平は、多忙な伊佐山に気分転換をしてもらうため、田所(松尾諭)、知美(佐津川愛美)とともに彼女を展望台に連れていく。するとそこに、一条さん(織本順吉)が現れた。一条さんと伊佐山が親しい間柄だと知って驚く和平。一条さんは、和平がキャバクラ仲間で、母娘と同時にお見合いしたことも伊佐山に話していた。そこに、友人と散歩に来た薫子も現れて話はさらにややこしくなり…。  　一方、脚本家・栗山ハルカ(益若つばさ)の子どもの面倒を見ていた典子(飯島直子)は、そのシッターぶりを評価されて喜んでいた。千明は、生活のために働く必要があるなどと言う典子のことが心配で…。</t>
  </si>
  <si>
    <t>番組名&lt;木曜劇場&gt;続・最後から二番目の恋【大人はみんな問題児。】　#08</t>
  </si>
  <si>
    <t>上司から呼び出された千明(小泉今日子)は、ふたつの指示を受ける。ひとつは、千明たちが現在取り組んでいる連続ドラマの初回放送が2時間スペシャルになったこと。そしてもうひとつは、JMTテレビが社運をかけて制作するという映画の脚本家に、万理子(内田有紀)が抜てきされたことだった。千明は、万理子を抱きしめて祝福するが…。  　一方、伊佐山市長(柴田理恵)とともに、広報誌の取材を兼ねた海岸清掃に向かっていた和平(中井貴一)は、失踪中の典子(飯島直子)の夫・広行(浅野和之)を見かける。広行は、女性と一緒だった。  　同じころ、カフェ『ながくら』では、真平(坂口憲二)が薫子(長谷川京子)の助けを得て混雑する時間帯を切り抜けていた。その際、真平は不意に体の異変に気づき、不安に襲われる。  　JMTテレビでベビーシッターの仕事をしていた典子は、和平から電話をもらい、広行の件を知る。海岸のベンチで寝そべっていた広行を発見した典子は、逃げようとした彼を捕まえ、長倉家まで引っ張ってくるが…。吉野千明:　小泉今日子　  長倉和平:　中井貴一　  長倉真平:　坂口憲二　  長倉万理子:　内田有紀  　　　☆　　　  原田薫子:　長谷川京子　  水谷典子:　飯島直子【脚本】  岡田惠和　    【監督】  宮本理江子　  加藤裕将　  宮脇亮　    【音楽】  平沢敦士　    【制作】  フジテレビ　ドラマ制作部</t>
  </si>
  <si>
    <t>上司から呼び出された千明(小泉今日子)は、ふたつの指示を受ける。ひとつは、千明たちが現在取り組んでいる連続ドラマの初回放送が2時間スペシャルになったこと。そしてもうひとつは、JMTテレビが社運をかけて制作するという映画の脚本家に、万理子(内田有紀)が抜てきされたことだった。千明は、万理子を抱きしめて祝福するが…。  　一方、伊佐山市長(柴田理恵)とともに、広報誌の取材を兼ねた海岸清掃に向かっていた和平(中井貴一)は、失踪中の典子(飯島直子)の夫・広行(浅野和之)を見かける。広行は、女性と一緒だった。  　同じころ、カフェ『ながくら』では、真平(坂口憲二)が薫子(長谷川京子)の助けを得て混雑する時間帯を切り抜けていた。その際、真平は不意に体の異変に気づき、不安に襲われる。  　JMTテレビでベビーシッターの仕事をしていた典子は、和平から電話をもらい、広行の件を知る。海岸のベンチで寝そべっていた広行を発見した典子は、逃げようとした彼を捕まえ、長倉家まで引っ張ってくるが…。</t>
  </si>
  <si>
    <t>番組名&lt;木曜劇場&gt;続・最後から二番目の恋【恋で泣く大人も悪くない】　#09</t>
  </si>
  <si>
    <t>千明(小泉今日子)は、薫子(長谷川京子)と一緒に酒を飲みに行く。極楽寺駅で偶然出会った薫子から、ふたりで話したいと誘われたのだ。千明と薫子は、お互いに苦手なタイプであることを認識しながらも、大人なのだから親友にはなれなくても認め合うことぐらいはできる、と納得して飲み続けた。  　同じころ、和平(中井貴一)は、娘のえりな(白本彩奈)とふたりだけで夕食をとっていた。何か会話の糸口を探そうとあれこれ考える和平。しかし、それを察したえりなに、面倒くさい空気が伝わるから止めてほしい、と言われてしまう。そんなえりなに、和平は、父親らしいことを何もしてやれなかった、と謝り…。  　飲み続けていた千明たちの話題は、男の前で泣いたことがあるかどうかに。計算して泣くわけではないが我慢はしない、という薫子に対し、男の前で泣いたら負けだと思って生きてきた、という千明。そんな話をしているうちに、和平の話になった。千明は、和平とは恋愛しないのか、と薫子から問われるが、はっきり答えられない。薫子も、和平が自分のことをどう思っているのか知りたいらしい。そこで千明は、和平をこの場に呼びつけて直接問い詰めようと提案。さらに、ふたりで同時に電話してどちらが先につながるか、どちらに先に折り返しがあるか、やってみようということになり…。吉野千明:　小泉今日子　  長倉和平:　中井貴一　  長倉真平:　坂口憲二　  長倉万理子:　内田有紀  　　　☆　　　  原田薫子:　長谷川京子　  水谷典子:　飯島直子【脚本】  岡田惠和　    【監督】  宮本理江子　  加藤裕将　  宮脇亮　    【音楽】  平沢敦士　    【制作】  フジテレビ　ドラマ制作部</t>
  </si>
  <si>
    <t>千明(小泉今日子)は、薫子(長谷川京子)と一緒に酒を飲みに行く。極楽寺駅で偶然出会った薫子から、ふたりで話したいと誘われたのだ。千明と薫子は、お互いに苦手なタイプであることを認識しながらも、大人なのだから親友にはなれなくても認め合うことぐらいはできる、と納得して飲み続けた。  　同じころ、和平(中井貴一)は、娘のえりな(白本彩奈)とふたりだけで夕食をとっていた。何か会話の糸口を探そうとあれこれ考える和平。しかし、それを察したえりなに、面倒くさい空気が伝わるから止めてほしい、と言われてしまう。そんなえりなに、和平は、父親らしいことを何もしてやれなかった、と謝り…。  　飲み続けていた千明たちの話題は、男の前で泣いたことがあるかどうかに。計算して泣くわけではないが我慢はしない、という薫子に対し、男の前で泣いたら負けだと思って生きてきた、という千明。そんな話をしているうちに、和平の話になった。千明は、和平とは恋愛しないのか、と薫子から問われるが、はっきり答えられない。薫子も、和平が自分のことをどう思っているのか知りたいらしい。そこで千明は、和平をこの場に呼びつけて直接問い詰めようと提案。さらに、ふたりで同時に電話してどちらが先につながるか、どちらに先に折り返しがあるか、やってみようということになり…。</t>
  </si>
  <si>
    <t>番組名&lt;木曜劇場&gt;続・最後から二番目の恋【恋をのぞけば、順調な毎日です!!】　#10</t>
  </si>
  <si>
    <t>千明(小泉今日子)は、人間ドックに行くよう、AP三井さん(久保田磨希)に詰め寄られる。会社から人間ドックを受けるよう命じられていた千明は、三井さんから何度も念押しされていたにもかかわらず、多忙を理由にいまだに行っていなかった。が、人間ドックに行ってほしいというのがスタッフ全員の総意だ、と万理子(内田有紀)たちからも言われた千明はしぶしぶ了承し、早速明日病院に行くことになる。  　あくる朝、和平(中井貴一)がいつものように海岸で桜貝を探していると、千明がやってくる。千明は、人間ドックに向けて、気合を入れるためにジョギングしているのだという。千明が人間ドックに行くと知った和平は驚いた。実は和平も、半年に一度休みをとって人間ドックを受けており今日、病院に行く予定になっていた。しかも、千明が行くという病院は和平と同じところだった。  　千明と和平は、そろって病院を訪れる。現実を知りたくないから怖い、という千明を、まだ若いから心配しなくても大丈夫だと言って励ます和平。ふたりは、さまざまな検査を受けた後、医師のカウンセリングを受けるが…。吉野千明:　小泉今日子　  長倉和平:　中井貴一　  長倉真平:　坂口憲二　  長倉万理子:　内田有紀  　　　☆　　　  原田薫子:　長谷川京子　  水谷典子:　飯島直子【脚本】  岡田惠和　    【監督】  宮本理江子　  加藤裕将　  宮脇亮　    【音楽】  平沢敦士　    【制作】  フジテレビ　ドラマ制作部</t>
  </si>
  <si>
    <t>千明(小泉今日子)は、人間ドックに行くよう、AP三井さん(久保田磨希)に詰め寄られる。会社から人間ドックを受けるよう命じられていた千明は、三井さんから何度も念押しされていたにもかかわらず、多忙を理由にいまだに行っていなかった。が、人間ドックに行ってほしいというのがスタッフ全員の総意だ、と万理子(内田有紀)たちからも言われた千明はしぶしぶ了承し、早速明日病院に行くことになる。  　あくる朝、和平(中井貴一)がいつものように海岸で桜貝を探していると、千明がやってくる。千明は、人間ドックに向けて、気合を入れるためにジョギングしているのだという。千明が人間ドックに行くと知った和平は驚いた。実は和平も、半年に一度休みをとって人間ドックを受けており今日、病院に行く予定になっていた。しかも、千明が行くという病院は和平と同じところだった。  　千明と和平は、そろって病院を訪れる。現実を知りたくないから怖い、という千明を、まだ若いから心配しなくても大丈夫だと言って励ます和平。ふたりは、さまざまな検査を受けた後、医師のカウンセリングを受けるが…。</t>
  </si>
  <si>
    <t>番組名&lt;木曜劇場&gt;続・最後から二番目の恋【人生まだまだファンキーだ!!】　#11</t>
  </si>
  <si>
    <t>新作ドラマのロケを千明(小泉今日子)の家で行うことになった関係で、千明は長倉家に居候することになった。撮影期間中、千明はホテルなどに宿泊するつもりでいたが、和平(中井貴一)が「ウチにくればいい」と誘ってくれたのだ。  　長倉家での最初の朝、千明は、ノーメイクの素顔を和平に見られてしまう。それがきっかけで、いつものように言いたことを言い合うふたり。その際、千明は、「もうずっと一緒に暮らしますか」という和平の言葉に一瞬ドキッとして…。  　撮影に向けて、真平(坂口憲二)や万理子(内田有紀)は早朝からケータリングの準備などに追われる。千明もえりな(白本彩奈)と一緒に、朝食の準備を手伝った。するとそこに、宅配ピザの制服を着た典子(飯島直子)が現れる。典子は、千明や万理子にはバレないように監督に接触し、宅配ピザの店員役をもらっていたのだ。典子は、ドラマの主人公を演じる俳優のファンらしい。  　撮影が始まると、知美(佐津川愛美)、薫子(長谷川京子)と息子の蒼太(中島凱斗)もやってきて真平の手伝いをする。そんな折、撮影が中断するトラブルが起こり…。吉野千明:　小泉今日子　  長倉和平:　中井貴一　  長倉真平:　坂口憲二　  長倉万理子:　内田有紀  　　　☆　　　  原田薫子:　長谷川京子　  水谷典子:　飯島直子【脚本】  岡田惠和　    【監督】  宮本理江子　  加藤裕将　  宮脇亮　    【音楽】  平沢敦士　    【制作】  フジテレビ　ドラマ制作部</t>
  </si>
  <si>
    <t>新作ドラマのロケを千明(小泉今日子)の家で行うことになった関係で、千明は長倉家に居候することになった。撮影期間中、千明はホテルなどに宿泊するつもりでいたが、和平(中井貴一)が「ウチにくればいい」と誘ってくれたのだ。  　長倉家での最初の朝、千明は、ノーメイクの素顔を和平に見られてしまう。それがきっかけで、いつものように言いたことを言い合うふたり。その際、千明は、「もうずっと一緒に暮らしますか」という和平の言葉に一瞬ドキッとして…。  　撮影に向けて、真平(坂口憲二)や万理子(内田有紀)は早朝からケータリングの準備などに追われる。千明もえりな(白本彩奈)と一緒に、朝食の準備を手伝った。するとそこに、宅配ピザの制服を着た典子(飯島直子)が現れる。典子は、千明や万理子にはバレないように監督に接触し、宅配ピザの店員役をもらっていたのだ。典子は、ドラマの主人公を演じる俳優のファンらしい。  　撮影が始まると、知美(佐津川愛美)、薫子(長谷川京子)と息子の蒼太(中島凱斗)もやってきて真平の手伝いをする。そんな折、撮影が中断するトラブルが起こり…。</t>
  </si>
  <si>
    <t>1404_CX_土23</t>
  </si>
  <si>
    <t>ファースト・クラス</t>
  </si>
  <si>
    <t>番組名&lt;土ドラ&gt;ファースト・クラス【沢尻エリカ8年ぶり地上波連ドラ主演!】　#01</t>
  </si>
  <si>
    <t>ファッション業界で働くことを夢見ながら、下町の衣料材料店で日々地味にボタンや生地を売っていた主人公、吉成ちなみ(沢尻エリカ)は、ふとしたことから自分には縁のない世界だと思っていたファッション雑誌の編集部で働くことになった。見たことのないキラキラした世界・・・。そんな期待を胸に新たな世界の扉を開けたが、そこにあったのは日々女たちがお互いを捕食しあう恐ろしき伏魔殿だった・・・。一生雑用の底辺から雑誌や広告を自由自在に操る最高層まで、高低差が激しい業界。  　ファッション業界のトップに君臨する鬼編集長の大沢留美(板谷由夏)以下、社員エディター川島レミ絵(菜々緒)と契約社員エディター木村白雪(田畑智子)の編集部内をはじめとし、MIINA(佐々木希)とERENA(石田ニコル)のトップモデル同士の争いが繰り広げられる・・・。そんな日々ランキングが変わる滑稽な女の世界“マウンティング"=“人間の格付け"の世界に引きずり込まれることになったちなみは・・・。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</si>
  <si>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ファッション業界で働くことを夢見ながら、下町の衣料材料店で日々地味にボタンや生地を売っていた主人公、吉成ちなみ(沢尻エリカ)は、ふとしたことから自分には縁のない世界だと思っていたファッション雑誌の編集部で働くことになった。見たことのないキラキラした世界・・・。そんな期待を胸に新たな世界の扉を開けたが、そこにあったのは日々女たちがお互いを捕食しあう恐ろしき伏魔殿だった・・・。一生雑用の底辺から雑誌や広告を自由自在に操る最高層まで、高低差が激しい業界。  　ファッション業界のトップに君臨する鬼編集長の大沢留美(板谷由夏)以下、社員エディター川島レミ絵(菜々緒)と契約社員エディター木村白雪(田畑智子)の編集部内をはじめとし、MIINA(佐々木希)とERENA(石田ニコル)のトップモデル同士の争いが繰り広げられる・・・。そんな日々ランキングが変わる滑稽な女の世界“マウンティング"=“人間の格付け"の世界に引きずり込まれることになったちなみは・・・。</t>
  </si>
  <si>
    <t>番組名&lt;土ドラ&gt;ファースト・クラス【沢尻が今夜やり返す!衝撃の格付け地獄!】　#02</t>
  </si>
  <si>
    <t>憧れだったファッション雑誌の編集部であらたな一歩を踏み出した吉成ちなみ(沢尻エリカ)。先輩エディターの木村白雪(田畑智子)に早くも嫌がらせをうけるも、めげずに一刻も早く仕事内容を覚えようと川島レミ絵(菜々緒)と白雪の2人の先輩と共に展示会へ積極的に出かけていく。  　そこには「ファースト・クラス」のトップモデルの1人で、熱愛スキャンダルで時の人となっているERENA(石田ニコル)の姿も。そんな彼女とライバル関係にある現在ナンバーワンモデルMIINA(佐々木希)とのモデル同士の争いは激烈…。その余波は、ERENAと仕事のパートナーのレミ絵、MIINAとパートナーの白雪の間にも広がり、最悪の状況…。  　そんな中、売り上げ部数が減っている「ファースト・クラス」で新企画を募集することになった。レミ絵からも企画提出を勧められたちなみ。意気込んで企画を考えるちなみだが、しかしそこにもまた壮絶な“試練"が待ち受けていた・・・。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</si>
  <si>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憧れだったファッション雑誌の編集部であらたな一歩を踏み出した吉成ちなみ(沢尻エリカ)。先輩エディターの木村白雪(田畑智子)に早くも嫌がらせをうけるも、めげずに一刻も早く仕事内容を覚えようと川島レミ絵(菜々緒)と白雪の2人の先輩と共に展示会へ積極的に出かけていく。  　そこには「ファースト・クラス」のトップモデルの1人で、熱愛スキャンダルで時の人となっているERENA(石田ニコル)の姿も。そんな彼女とライバル関係にある現在ナンバーワンモデルMIINA(佐々木希)とのモデル同士の争いは激烈…。その余波は、ERENAと仕事のパートナーのレミ絵、MIINAとパートナーの白雪の間にも広がり、最悪の状況…。  　そんな中、売り上げ部数が減っている「ファースト・クラス」で新企画を募集することになった。レミ絵からも企画提出を勧められたちなみ。意気込んで企画を考えるちなみだが、しかしそこにもまた壮絶な“試練"が待ち受けていた・・・。</t>
  </si>
  <si>
    <t>番組名&lt;土ドラ&gt;ファースト・クラス【沢尻主演!中毒性MAXのドロドロドラマ】　#03</t>
  </si>
  <si>
    <t>吉成ちなみ(沢尻エリカ)の企画書を消した犯人が、木村白雪(田畑智子)だと判明し、編集部の状況は一転する。次号の目玉企画『ミランダインタビュー企画』は、副編集長の八巻小夏(三浦理恵子)とちなみが担当し、さらに白雪の企画だった『MIINA(佐々木希)企画』も、ちなみが担当するようにと編集長の大沢留美(板谷由夏)は指示を出す。  　ちなみは八巻と共に、企画を成功させるべく準備を始めるが、そのアシスタントについたのは白雪・・・。やりにくさを感じながらも、仕事をこなしていくちなみ。  　また、売り上げ部数が伸び悩んでいる雑誌「ファースト・クラス」は、センターモデルを読者投票で選ぶ、“総選挙"の実施を決定。編集長の大沢によって売り上げV字回復を狙う方針がたてられる。センターモデルはMIINAか・・・それともERENA(石田ニコル)か・・・。気持ちが穏やかでないMIINAに対し、“時の人"で余裕が見られるERENA。  　そんな中迎えた『ミランダインタビュー企画』当日。またしても白雪による嫌がらせでピンチを迎えることになったちなみは・・・。沢尻エリカ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</si>
  <si>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吉成ちなみ(沢尻エリカ)の企画書を消した犯人が、木村白雪(田畑智子)だと判明し、編集部の状況は一転する。次号の目玉企画『ミランダインタビュー企画』は、副編集長の八巻小夏(三浦理恵子)とちなみが担当し、さらに白雪の企画だった『MIINA(佐々木希)企画』も、ちなみが担当するようにと編集長の大沢留美(板谷由夏)は指示を出す。  　ちなみは八巻と共に、企画を成功させるべく準備を始めるが、そのアシスタントについたのは白雪・・・。やりにくさを感じながらも、仕事をこなしていくちなみ。  　また、売り上げ部数が伸び悩んでいる雑誌「ファースト・クラス」は、センターモデルを読者投票で選ぶ、“総選挙"の実施を決定。編集長の大沢によって売り上げV字回復を狙う方針がたてられる。センターモデルはMIINAか・・・それともERENA(石田ニコル)か・・・。気持ちが穏やかでないMIINAに対し、“時の人"で余裕が見られるERENA。  　そんな中迎えた『ミランダインタビュー企画』当日。またしても白雪による嫌がらせでピンチを迎えることになったちなみは・・・。</t>
  </si>
  <si>
    <t>番組名&lt;土ドラ&gt;ファースト・クラス【沢尻エリカ主演!口コミで話題沸騰中!】　#04</t>
  </si>
  <si>
    <t>雑誌「ファースト・クラス」のセンターモデル投票のトップ3には、MIINA(佐々木希)、ERENA(石田ニコル)、のツートップの他、“リメイク企画"で自分自身が紙面に登場した“編集者モデル"吉成ちなみ(沢尻エリカ)の名前もあがっている。そんな中、MIINAを起用した新たなプロジェクトが立ち上がり、現場の仕切りを任されることになったちなみ。編集部のメンバーも、ちなみの起用に驚きを隠せない。一方で、川島レミ絵(菜々緒)や木村白雪(田畑智子)からは、ねたみをかってしまうことに…。しかしその起用も実は、プロジェクトのトップである副編集長の八巻小夏(三浦理恵子)の下心が…。  　そんなこととは知らず、仕事を精一杯頑張るちなみだが、ちなみ自身は、偶然目にしてしまったダイエットピルを服用しているMIINAのことが気になってしかたがない…。沢尻エリカ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</si>
  <si>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雑誌「ファースト・クラス」のセンターモデル投票のトップ3には、MIINA(佐々木希)、ERENA(石田ニコル)、のツートップの他、“リメイク企画"で自分自身が紙面に登場した“編集者モデル"吉成ちなみ(沢尻エリカ)の名前もあがっている。そんな中、MIINAを起用した新たなプロジェクトが立ち上がり、現場の仕切りを任されることになったちなみ。編集部のメンバーも、ちなみの起用に驚きを隠せない。一方で、川島レミ絵(菜々緒)や木村白雪(田畑智子)からは、ねたみをかってしまうことに…。しかしその起用も実は、プロジェクトのトップである副編集長の八巻小夏(三浦理恵子)の下心が…。  　そんなこととは知らず、仕事を精一杯頑張るちなみだが、ちなみ自身は、偶然目にしてしまったダイエットピルを服用しているMIINAのことが気になってしかたがない…。</t>
  </si>
  <si>
    <t>番組名&lt;土ドラ&gt;ファースト・クラス　#05</t>
  </si>
  <si>
    <t>毎回大好評を博している白雪(田畑智子)&amp;レミ絵(菜々緒)の最凶悪口コンビの心の声が、今回副音声にて全編解説に挑みます!キツイ嫌味から笑える説明まで、2人のキレッキレの心の声が楽しめる副音声もご期待ください!　MIINA(佐々木希)の一件で、連載も契約も白紙になった吉成ちなみ(沢尻エリカ)は、再び木村白雪(田畑智子)のアシスタントにまわることになる。そんなちなみと白雪の構図を、おもしろがる川島レミ絵(菜々緒)とERENA(石田ニコル)。ちなみ自身は編集部での居場所がなくなり、助けてくれる同僚もいない。しかし、下心のある副編集長の八巻小夏(三浦理恵子)だけは、ちなみに対して恩を売ろうと必死に優しい言葉をかけている。窮地に追い込まれたちなみは、立場が逆転した白雪に再びワナをしかけられ、嫌がらせをされる…。  　一方、張り切って仕事をする白雪の姿が面白くないレミ絵は、白雪を陥れる嫌がらせを思いつく…。白雪はちなみを、レミ絵は白雪を…。そのしわ寄せは最終的に、下働きを強いられるちなみのピンチへと繋がってしまう。そんな中、あるアクシデントも重なって、事態は編集部だけでなくカメラアシスタントの西原樹(中丸雄一)まで巻き込んでいくことに…。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</si>
  <si>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毎回大好評を博している白雪(田畑智子)&amp;レミ絵(菜々緒)の最凶悪口コンビの心の声が、今回副音声にて全編解説に挑みます!キツイ嫌味から笑える説明まで、2人のキレッキレの心の声が楽しめる副音声もご期待ください!　MIINA(佐々木希)の一件で、連載も契約も白紙になった吉成ちなみ(沢尻エリカ)は、再び木村白雪(田畑智子)のアシスタントにまわることになる。そんなちなみと白雪の構図を、おもしろがる川島レミ絵(菜々緒)とERENA(石田ニコル)。ちなみ自身は編集部での居場所がなくなり、助けてくれる同僚もいない。しかし、下心のある副編集長の八巻小夏(三浦理恵子)だけは、ちなみに対して恩を売ろうと必死に優しい言葉をかけている。窮地に追い込まれたちなみは、立場が逆転した白雪に再びワナをしかけられ、嫌がらせをされる…。  　一方、張り切って仕事をする白雪の姿が面白くないレミ絵は、白雪を陥れる嫌がらせを思いつく…。白雪はちなみを、レミ絵は白雪を…。そのしわ寄せは最終的に、下働きを強いられるちなみのピンチへと繋がってしまう。そんな中、あるアクシデントも重なって、事態は編集部だけでなくカメラアシスタントの西原樹(中丸雄一)まで巻き込んでいくことに…。</t>
  </si>
  <si>
    <t>番組名&lt;土ドラ&gt;ファースト・クラス【沢尻エリカに狂気の菜々緒が襲い掛かる!】　#06</t>
  </si>
  <si>
    <t>吉成ちなみ(沢尻エリカ)は、木村白雪(田畑智子)と一緒にMIINA(佐々木希)が入院する病院を訪ねる。しかし、病室にはMIINAの姿はない。MIINAを追い込んでしまったと、今更ながら責任を感じてしまう白雪もまた姿を消してしまう。そんな中でも雑誌の校了は待ってはくれない。本来の仕事はもちろん、白雪の企画も担当することになる川島レミ絵(菜々緒)、そしてちなみも1人で業務をこなすよう副編集長の八巻小夏(三浦理恵子)から指示が出る。あらゆるところにしわ寄せが及ぶ編集部…。  　そんなトラブル続きの編集部だが、一方水面下では、あるプロジェクトも動き出している…。姿を消したMIINAと白雪…。2人を探すちなみ…。いつもポジティブなちなみも、今回は自分のせいだと落ち込む。そんな弱気になったちなみに手を差し伸べたのは…。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</si>
  <si>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吉成ちなみ(沢尻エリカ)は、木村白雪(田畑智子)と一緒にMIINA(佐々木希)が入院する病院を訪ねる。しかし、病室にはMIINAの姿はない。MIINAを追い込んでしまったと、今更ながら責任を感じてしまう白雪もまた姿を消してしまう。そんな中でも雑誌の校了は待ってはくれない。本来の仕事はもちろん、白雪の企画も担当することになる川島レミ絵(菜々緒)、そしてちなみも1人で業務をこなすよう副編集長の八巻小夏(三浦理恵子)から指示が出る。あらゆるところにしわ寄せが及ぶ編集部…。  　そんなトラブル続きの編集部だが、一方水面下では、あるプロジェクトも動き出している…。姿を消したMIINAと白雪…。2人を探すちなみ…。いつもポジティブなちなみも、今回は自分のせいだと落ち込む。そんな弱気になったちなみに手を差し伸べたのは…。</t>
  </si>
  <si>
    <t>番組名&lt;土ドラ&gt;ファースト・クラス　#07</t>
  </si>
  <si>
    <t>「ファースト・クラス」のライバル雑誌として「プエルト」が創刊されることが決定。満を持して八巻小夏(三浦理恵子)が編集長となり、「ファースト・クラス」編集長の大沢留美(板谷由夏)と、ついにライバル関係に…。編集部内のエディターが振り分けられ、この時を待っていたとばかりに、豹変(ひょうへん)する編集長の八巻。さらに川島レミ絵(菜々緒)、吉成ちなみ(沢尻エリカ)をはじめ、驚きの“マウンティング"構図が出来上がった新体制…。  　新たな“マウンティング"が構築される一方、いくつもの波乱を乗り越えたちなみは、木村白雪(田畑智子)、MIINA(佐々木希)と新たな友好関係を築き、次の一歩を踏み出していた。  　しかしその翌日、その関係にまさかの展開が待ち受ける…。そんな中「プエルト」の創刊に伴い、あるインタビューが目玉企画として進んでいく。その人物は、八巻をはじめ、大沢、磯貝拓海(平山浩行)のよく知る人物だという。この企画から、ちなみはある過去の秘密を知ることに…。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</si>
  <si>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ファースト・クラス」のライバル雑誌として「プエルト」が創刊されることが決定。満を持して八巻小夏(三浦理恵子)が編集長となり、「ファースト・クラス」編集長の大沢留美(板谷由夏)と、ついにライバル関係に…。編集部内のエディターが振り分けられ、この時を待っていたとばかりに、豹変(ひょうへん)する編集長の八巻。さらに川島レミ絵(菜々緒)、吉成ちなみ(沢尻エリカ)をはじめ、驚きの“マウンティング"構図が出来上がった新体制…。  　新たな“マウンティング"が構築される一方、いくつもの波乱を乗り越えたちなみは、木村白雪(田畑智子)、MIINA(佐々木希)と新たな友好関係を築き、次の一歩を踏み出していた。  　しかしその翌日、その関係にまさかの展開が待ち受ける…。そんな中「プエルト」の創刊に伴い、あるインタビューが目玉企画として進んでいく。その人物は、八巻をはじめ、大沢、磯貝拓海(平山浩行)のよく知る人物だという。この企画から、ちなみはある過去の秘密を知ることに…。</t>
  </si>
  <si>
    <t>番組名&lt;土ドラ&gt;ファースト・クラス【沢尻エリカ八つ裂き!最狂の敵登場!】　#08</t>
  </si>
  <si>
    <t>大沢留美(板谷由夏)が編集長を退き、退職することを決意。吉成ちなみ(沢尻エリカ)は大沢から後任の編集長に任命される。引き継ぎを受け、「ファースト・クラス」編集長のちなみ、「プエルト」編集長の八巻小夏(三浦理恵子)の新たな対立関係が生まれる。そんな中、両編集長は詢香社の社長(高知東生)から、驚きの計画を発表される。編集部では、編集長に成り上がったちなみをねたみ、アシスタントのころから嫌がらせを続けてきた川島レミ絵(菜々緒)の“マウンティング"がエスカレート。さらには、新編集長のお披露目会でも各ファッション雑誌編集長から思いもよらない仕打ちをうけ、編集長の洗礼を受けるちなみ…。それでも、スタイリストの磯貝拓海(平山浩行)やカメラマンの松田静香(遊井亮子)をはじめ、ちなみの昇格を喜んでくれるメンバーも。しかし、カメラアシスタントの西原樹(中丸雄一)とレミ絵がキスしていたのを偶然見てしまったちなみ。樹との関係は、ぎくしゃくしたままに…。  　そんな激動の中で、ちなみは編集長としての第一歩を踏み出すものの、新たな問題が勃発し…。沢尻エリカ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</si>
  <si>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大沢留美(板谷由夏)が編集長を退き、退職することを決意。吉成ちなみ(沢尻エリカ)は大沢から後任の編集長に任命される。引き継ぎを受け、「ファースト・クラス」編集長のちなみ、「プエルト」編集長の八巻小夏(三浦理恵子)の新たな対立関係が生まれる。そんな中、両編集長は詢香社の社長(高知東生)から、驚きの計画を発表される。編集部では、編集長に成り上がったちなみをねたみ、アシスタントのころから嫌がらせを続けてきた川島レミ絵(菜々緒)の“マウンティング"がエスカレート。さらには、新編集長のお披露目会でも各ファッション雑誌編集長から思いもよらない仕打ちをうけ、編集長の洗礼を受けるちなみ…。それでも、スタイリストの磯貝拓海(平山浩行)やカメラマンの松田静香(遊井亮子)をはじめ、ちなみの昇格を喜んでくれるメンバーも。しかし、カメラアシスタントの西原樹(中丸雄一)とレミ絵がキスしていたのを偶然見てしまったちなみ。樹との関係は、ぎくしゃくしたままに…。  　そんな激動の中で、ちなみは編集長としての第一歩を踏み出すものの、新たな問題が勃発し…。</t>
  </si>
  <si>
    <t>番組名&lt;土ドラ&gt;ファースト・クラス【最終章は悪女W杯開幕!頂点も結局地獄】　#09</t>
  </si>
  <si>
    <t>突然起こった「詢香社」の買収…。超大企業の外資系出版社の面々が「詢香社」にのり込んでくる。そこにいたのは、なんと「ファースト・クラス」の元編集長・大沢留美(板谷由夏)と、「プエルト」編集長・八巻小夏(三浦理恵子)。状況を理解できない現編集長の吉成ちなみ(沢尻エリカ)や、川島レミ絵(菜々緒)そして編集部員たち…。  　そんな中、ちなみは今後ファッション編集部門が、再編・縮小を余儀なくされるという方針を大沢から伝えられる。ちなみに課せられたミッションは、各編集部の部員を3分の1に減らすリストラだ。  　モデルのMIINA(佐々木希)をはじめ、事あるごとにちなみを助けてくれた西原樹(中丸雄一)、カメラマン松田静香(遊井亮子)、スタイリストの磯貝拓海(平山浩行)にも「詢香社」の状況はすぐに伝わり、ちなみの心配をする。リストラという最大の課題と向きあうことになったちなみ。一方、自分の今後が心配でしかたがない編集部員たち。もはや編集部は崩壊寸前だ。  　そんな中、ちなみは大沢と八巻、そして新社長のリエコ(LiLiCo)に対し、ある宣言をすることに…。沢尻エリカ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</si>
  <si>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突然起こった「詢香社」の買収…。超大企業の外資系出版社の面々が「詢香社」にのり込んでくる。そこにいたのは、なんと「ファースト・クラス」の元編集長・大沢留美(板谷由夏)と、「プエルト」編集長・八巻小夏(三浦理恵子)。状況を理解できない現編集長の吉成ちなみ(沢尻エリカ)や、川島レミ絵(菜々緒)そして編集部員たち…。  　そんな中、ちなみは今後ファッション編集部門が、再編・縮小を余儀なくされるという方針を大沢から伝えられる。ちなみに課せられたミッションは、各編集部の部員を3分の1に減らすリストラだ。  　モデルのMIINA(佐々木希)をはじめ、事あるごとにちなみを助けてくれた西原樹(中丸雄一)、カメラマン松田静香(遊井亮子)、スタイリストの磯貝拓海(平山浩行)にも「詢香社」の状況はすぐに伝わり、ちなみの心配をする。リストラという最大の課題と向きあうことになったちなみ。一方、自分の今後が心配でしかたがない編集部員たち。もはや編集部は崩壊寸前だ。  　そんな中、ちなみは大沢と八巻、そして新社長のリエコ(LiLiCo)に対し、ある宣言をすることに…。</t>
  </si>
  <si>
    <t>番組名&lt;土ドラ&gt;ファースト・クラス　#10</t>
  </si>
  <si>
    <t>突然起こった「詢香社」の買収。これまでとは大きく経営方針が変わり、吉成ちなみ(沢尻エリカ)に課せられたのは大幅なリストラ…。しかし、ちなみは編集部員を何とか守ろうと試行錯誤を繰り返し、ついに「ファースト・クラス」の売り上げを2倍にすると大沢留美(板谷由夏)、八巻小夏(三浦理恵子)そして新社長のリエコ(LiLiCo)に公言。ちなみは最後の賭けにでる。　そんな中、暴走を続ける川島レミ絵(菜々緒)は、これまで“仲良しごっこ"を演じていたERENA(石田ニコル)にまで牙をむき、編集部はもはや崩壊寸前…。ちなみに「ファースト・クラス」を立て直す術は残されているのだろうか!?ちなみが下した決断は!?ちなみの幸せは!?ちなみの今後、そして「ファースト・クラス」はどうなるのか!?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</si>
  <si>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突然起こった「詢香社」の買収。これまでとは大きく経営方針が変わり、吉成ちなみ(沢尻エリカ)に課せられたのは大幅なリストラ…。しかし、ちなみは編集部員を何とか守ろうと試行錯誤を繰り返し、ついに「ファースト・クラス」の売り上げを2倍にすると大沢留美(板谷由夏)、八巻小夏(三浦理恵子)そして新社長のリエコ(LiLiCo)に公言。ちなみは最後の賭けにでる。　そんな中、暴走を続ける川島レミ絵(菜々緒)は、これまで“仲良しごっこ"を演じていたERENA(石田ニコル)にまで牙をむき、編集部はもはや崩壊寸前…。ちなみに「ファースト・クラス」を立て直す術は残されているのだろうか!?ちなみが下した決断は!?ちなみの幸せは!?ちなみの今後、そして「ファースト・クラス」はどうなるのか!?</t>
  </si>
  <si>
    <t>1401_CX_月21</t>
  </si>
  <si>
    <t>失恋ショコラティエ</t>
  </si>
  <si>
    <t>番組名失恋ショコラティエ　#01</t>
  </si>
  <si>
    <t>★番組内で、豪華賞品が抽選で当たる「失恋じゃんけん」をデータ放送で毎回実施します　  ★番組HPは、こちら!　⇒　http://www.fujitv.co.jp/chocolatier/index.html　  ★失恋ショコラティエ公式Twitter展開中　#失恋ショコラティエ　パリの有名チョコレート専門店「ラトゥリエ・ド・ボネール」に、小動爽太(松本潤)がやってきた。製菓学校出身だがチョコレート専門店で働いた経験もなく、フランス語も話せない。それでも「ボネール」を訪ねた爽太は、働かせてくれ、と懇願する。  　彼をパリまで連れてきたのは、高橋紗絵子(石原さとみ)への恋心だった。高校時代から紗絵子に片思い中の爽太は、無類のチョコレート好き、特に「ボネール」が大好きな彼女を、ショコラティエになって振り向かせたかった。  　6年後の2013年秋。爽太は「ボネール」で知り合ったオリヴィエ・トレルイエ(溝端淳平)とともに帰国し開店準備に追われていた。するとそこに紗絵子が現れた。今や「チョコレート王子」として有名になった爽太のことを、紗絵子はテレビで知ったのだ。再会に胸が高鳴るも、クールに振る舞う爽太。オリヴィエは紗絵子から来たことが進歩だと喜ぶ。そのオリヴィエは、爽太、妹のまつり(有村架純)、父親の誠(竹中直人)とともに暮らしスタッフの井上薫子(水川あさみ)とも打ち解けていた。  　そんな折、爽太は紗絵子に呼び出された。告白でもされるのか、と期待する爽太に紗絵子は、結婚することを告げる。  　同じ頃、爽太が載った雑誌をショコラティエの六道誠之助(佐藤隆太)が見ていた。側にはモデルの加藤えれな(水原希子)がいた。やがて、爽太の店「ショコラ・ヴィ」が開店の日を迎え…。松本潤　  石原さとみ　  水川あさみ　  水原希子　  溝端淳平　  有村架純　  加藤シゲアキ(NEWS)　    佐藤隆太　  竹中直人【原作】  「失恋ショコラティエ」(水城せとな/月刊フラワーズ連載中)　    【脚本】  安達奈緒子　    【演出】  松山博昭　    【音楽】  Ken　Arai　    【制作】  フジテレビ</t>
  </si>
  <si>
    <t xml:space="preserve">　パリの有名チョコレート専門店「ラトゥリエ・ド・ボネール」に、小動爽太(松本潤)がやってきた。製菓学校出身だがチョコレート専門店で働いた経験もなく、フランス語も話せない。それでも「ボネール」を訪ねた爽太は、働かせてくれ、と懇願する。  　彼をパリまで連れてきたのは、高橋紗絵子(石原さとみ)への恋心だった。高校時代から紗絵子に片思い中の爽太は、無類のチョコレート好き、特に「ボネール」が大好きな彼女を、ショコラティエになって振り向かせたかった。  　6年後の2013年秋。爽太は「ボネール」で知り合ったオリヴィエ・トレルイエ(溝端淳平)とともに帰国し開店準備に追われていた。するとそこに紗絵子が現れた。今や「チョコレート王子」として有名になった爽太のことを、紗絵子はテレビで知ったのだ。再会に胸が高鳴るも、クールに振る舞う爽太。オリヴィエは紗絵子から来たことが進歩だと喜ぶ。そのオリヴィエは、爽太、妹のまつり(有村架純)、父親の誠(竹中直人)とともに暮らしスタッフの井上薫子(水川あさみ)とも打ち解けていた。  　そんな折、爽太は紗絵子に呼び出された。告白でもされるのか、と期待する爽太に紗絵子は、結婚することを告げる。  　同じ頃、爽太が載った雑誌をショコラティエの六道誠之助(佐藤隆太)が見ていた。側にはモデルの加藤えれな(水原希子)がいた。やがて、爽太の店「ショコラ・ヴィ」が開店の日を迎え…。</t>
  </si>
  <si>
    <t>番組名失恋ショコラティエ　#02</t>
  </si>
  <si>
    <t>★番組内で、豪華賞品が抽選で当たる「失恋じゃんけん」をデータ放送で毎回実施します　  ★番組HPは、こちら!　⇒　http://www.fujitv.co.jp/chocolatier/index.html　  ★失恋ショコラティエ公式Twitter展開中　#失恋ショコラティエ　念願のチョコレート専門店「ショコラ・ヴィ」をオープンさせた爽太(松本潤)は、初日から賑わう店内を見回し幸せな気分に浸っていた。そこに祝いの花を持った紗絵子(石原さとみ)がやってくる。紗絵子の来店に爽太はテンションが上がり、一方の紗絵子は華やかなチョコレートやスイーツに目を輝かせる。異常に盛り上がるふたりに薫子(水川あさみ)はあきれてしまう。  　そんな頃、テレビで「リクドー」のショコラティエの六道(佐藤隆太)が紹介される。まつり(有村架純)が見ていると爽太がやってきた。まつりは慌てるが、爽太は気にしていないようだった。そこへ紗絵子が現れ「リクドー」からの帰りだと言い購入してきたチョコレートを見せびらかす。さらに、六道が男前だったと褒めちぎり、本物に出会ってしまったかも、と絶賛。爽太は打ちのめされる。  　1カ月ほど経ったある日、「ショコラ・ヴィ」に「リクドー」の従業員の関谷(加藤シゲアキ)が訪ねてくる。関谷は六道の誕生日パーティーの招待券を手にしていた。後日、爽太は薫子、オリヴィエ(溝端淳平)とともにパーティーにやってくる。初対面の六道は以前から爽太のことが気になっていたと親しげに声をかける。そこにはモデルのえれな(水原希子)もいて、爽太は話すうちに、えれなも自分と同じ片想い中であることを知り親近感を覚える。その日の夜、えれなは自宅に爽太を招き、爽太もそれを受け入れ…。松本潤　  石原さとみ　  水川あさみ　  水原希子　  溝端淳平　  有村架純　  加藤シゲアキ(NEWS)　    佐藤隆太　  竹中直人【原作】  「失恋ショコラティエ」(水城せとな/小学館月刊フラワーズ連載中)　    【脚本】  安達奈緒子　    【プロデュース】  若松央樹　  小原一隆　    【演出】  松山博昭　    【音楽】  Ken　Arai　    【制作著作】  フジテレビ</t>
  </si>
  <si>
    <t xml:space="preserve">　念願のチョコレート専門店「ショコラ・ヴィ」をオープンさせた爽太(松本潤)は、初日から賑わう店内を見回し幸せな気分に浸っていた。そこに祝いの花を持った紗絵子(石原さとみ)がやってくる。紗絵子の来店に爽太はテンションが上がり、一方の紗絵子は華やかなチョコレートやスイーツに目を輝かせる。異常に盛り上がるふたりに薫子(水川あさみ)はあきれてしまう。  　そんな頃、テレビで「リクドー」のショコラティエの六道(佐藤隆太)が紹介される。まつり(有村架純)が見ていると爽太がやってきた。まつりは慌てるが、爽太は気にしていないようだった。そこへ紗絵子が現れ「リクドー」からの帰りだと言い購入してきたチョコレートを見せびらかす。さらに、六道が男前だったと褒めちぎり、本物に出会ってしまったかも、と絶賛。爽太は打ちのめされる。  　1カ月ほど経ったある日、「ショコラ・ヴィ」に「リクドー」の従業員の関谷(加藤シゲアキ)が訪ねてくる。関谷は六道の誕生日パーティーの招待券を手にしていた。後日、爽太は薫子、オリヴィエ(溝端淳平)とともにパーティーにやってくる。初対面の六道は以前から爽太のことが気になっていたと親しげに声をかける。そこにはモデルのえれな(水原希子)もいて、爽太は話すうちに、えれなも自分と同じ片想い中であることを知り親近感を覚える。その日の夜、えれなは自宅に爽太を招き、爽太もそれを受け入れ…。</t>
  </si>
  <si>
    <t>番組名失恋ショコラティエ　#03</t>
  </si>
  <si>
    <t>★番組内で、豪華賞品が抽選で当たる「失恋じゃんけん」をデータ放送で毎回実施します　  ★番組HPは、こちら!　⇒　http://www.fujitv.co.jp/chocolatier/index.html　  ★失恋ショコラティエ公式Twitter展開中　#失恋ショコラティエ　紗絵子(石原さとみ)が「ショコラ・ヴィ」に姿を見せなくなって1カ月半、爽太(松本潤)は、紗絵子に会いたい気持ちをショコラ作りにぶつけていた。  　その頃、「ショコラ・ヴィ」に海外ロケから戻ったえれな(水原希子)がやってくる。爽太に会いたくて空港から直行したというえれなは、爽太にまとわりつく。恋人同士のようにいちゃつくふたりを、薫子(水川あさみ)が冷たい目で見ていた。さらにもうひとり、ふたりを凝視する人物がいた。紗絵子だった。  　爽太は内心激しく動揺しながらも、平静を装いえれなを帰らせる。すると、紗絵子がえれなのことを聞いてきた。えれなと自分の関係を気にしているのかと思うと、爽太は主導権を握った気分になる。  　その夜、オリヴィエ(溝端淳平)が帰宅すると、まつり(有村架純)が出かけるところだった。彼氏に会いに行くのか、と聞くオリヴィエに、友達の彼氏と付き合っている自分は最低だがそれでも会いたいのだ、と言いまつりは出ていく。  　別の日、相変わらず紗絵子のことばかり考えている爽太に薫子は、男性受けを意識したり自己演出しているのが明白な紗絵子をいつまで好きでいるのか、と毒づく。すると爽太は、その頑張っているなと思えるところが可愛いのだと答え、薫子を閉口させる。  　数日後、爽太は紗絵子から買い物に付き合ってほしい、と頼まれる。「付き合って」という言葉に妄想は膨らむが、爽太はそれを断ってしまう。松本潤　  石原さとみ　  水川あさみ　  水原希子　  溝端淳平　  有村架純　  加藤シゲアキ(NEWS)　    佐藤隆太　  竹中直人【原作】  「失恋ショコラティエ」(水城せとな/小学館月刊フラワーズ連載中)　    【脚本】  安達奈緒子　    【プロデュース】  若松央樹　  小原一隆　    【演出】  宮木正悟　    【音楽】  Ken　Arai　    【制作著作】  フジテレビ</t>
  </si>
  <si>
    <t xml:space="preserve">　紗絵子(石原さとみ)が「ショコラ・ヴィ」に姿を見せなくなって1カ月半、爽太(松本潤)は、紗絵子に会いたい気持ちをショコラ作りにぶつけていた。  　その頃、「ショコラ・ヴィ」に海外ロケから戻ったえれな(水原希子)がやってくる。爽太に会いたくて空港から直行したというえれなは、爽太にまとわりつく。恋人同士のようにいちゃつくふたりを、薫子(水川あさみ)が冷たい目で見ていた。さらにもうひとり、ふたりを凝視する人物がいた。紗絵子だった。  　爽太は内心激しく動揺しながらも、平静を装いえれなを帰らせる。すると、紗絵子がえれなのことを聞いてきた。えれなと自分の関係を気にしているのかと思うと、爽太は主導権を握った気分になる。  　その夜、オリヴィエ(溝端淳平)が帰宅すると、まつり(有村架純)が出かけるところだった。彼氏に会いに行くのか、と聞くオリヴィエに、友達の彼氏と付き合っている自分は最低だがそれでも会いたいのだ、と言いまつりは出ていく。  　別の日、相変わらず紗絵子のことばかり考えている爽太に薫子は、男性受けを意識したり自己演出しているのが明白な紗絵子をいつまで好きでいるのか、と毒づく。すると爽太は、その頑張っているなと思えるところが可愛いのだと答え、薫子を閉口させる。  　数日後、爽太は紗絵子から買い物に付き合ってほしい、と頼まれる。「付き合って」という言葉に妄想は膨らむが、爽太はそれを断ってしまう。</t>
  </si>
  <si>
    <t>番組名失恋ショコラティエ　#04</t>
  </si>
  <si>
    <t>★番組内で、豪華賞品が抽選で当たる「失恋じゃんけん」をデータ放送で毎回実施します　  ★番組HPは、こちら!　⇒　http://www.fujitv.co.jp/chocolatier/index.html　  ★失恋ショコラティエ公式Twitter展開中　#失恋ショコラティエ　爽太(松本潤)は、紗絵子(石原さとみ)と約束した買い物デートのことを考えすぎて疲れ切っていた。そんな折、「ショコラ・ヴィ」に「リクドー」の関谷(加藤シゲアキ)がやってくる。爽太が聞くと、薫子(水川あさみ)を食事に誘いに来たという。爽太は誘いを受けるよう促すが、薫子は断ってしまう。よく知らない人と食事には行けないと言う薫子。爽太は、関谷の上司である六道(佐藤隆太)にメールで関谷の人柄を尋ねてみる。爽太に気がある六道は、爽太が関谷に興味を持ったのかと疑う。  　同じ頃、オリヴィエ(溝端淳平)は対面したまつり(有村架純)にキスしたことを謝罪。さらに、まつりが誰と付き合おうとも自分はまつりが好きだと告白する。  　別の日、爽太と薫子は、「リクドー」が出店するチョコレートフェアにやってくる。爽太は薫子と関谷を引き合わせたかったが、関谷はそこに来ていなかった。そんな爽太を見つけた六道は、爽太を連れ出すと、自分のことをどう思うか、と迫る。  　デート当日。いつも以上におしゃれでかわいい紗絵子にテンションが上がりっぱなしの爽太は、買い物中も幸せな気分だった。ところが、紗絵子が異常に至近距離で接してくることに激しく動揺、やがて、そこまで動揺する自分が悲しくなってしまう。その後、紗絵子に褒められたり自宅に誘われたりもするが気は滅入る一方で、ついにはえれな(水原希子)の部屋のドアを叩いてしまう。松本潤　  石原さとみ　  水川あさみ　  水原希子　  溝端淳平　  有村架純　  加藤シゲアキ(NEWS)　    佐藤隆太　  竹中直人【原作】  「失恋ショコラティエ」(水城せとな/小学館月刊フラワーズ連載中)　    【脚本】  越川美埜子　    【プロデュース】  若松央樹　  小原一隆　    【演出】  宮木正悟　    【音楽】  Ken　Arai　    【制作著作】  フジテレビ</t>
  </si>
  <si>
    <t xml:space="preserve">　爽太(松本潤)は、紗絵子(石原さとみ)と約束した買い物デートのことを考えすぎて疲れ切っていた。そんな折、「ショコラ・ヴィ」に「リクドー」の関谷(加藤シゲアキ)がやってくる。爽太が聞くと、薫子(水川あさみ)を食事に誘いに来たという。爽太は誘いを受けるよう促すが、薫子は断ってしまう。よく知らない人と食事には行けないと言う薫子。爽太は、関谷の上司である六道(佐藤隆太)にメールで関谷の人柄を尋ねてみる。爽太に気がある六道は、爽太が関谷に興味を持ったのかと疑う。  　同じ頃、オリヴィエ(溝端淳平)は対面したまつり(有村架純)にキスしたことを謝罪。さらに、まつりが誰と付き合おうとも自分はまつりが好きだと告白する。  　別の日、爽太と薫子は、「リクドー」が出店するチョコレートフェアにやってくる。爽太は薫子と関谷を引き合わせたかったが、関谷はそこに来ていなかった。そんな爽太を見つけた六道は、爽太を連れ出すと、自分のことをどう思うか、と迫る。  　デート当日。いつも以上におしゃれでかわいい紗絵子にテンションが上がりっぱなしの爽太は、買い物中も幸せな気分だった。ところが、紗絵子が異常に至近距離で接してくることに激しく動揺、やがて、そこまで動揺する自分が悲しくなってしまう。その後、紗絵子に褒められたり自宅に誘われたりもするが気は滅入る一方で、ついにはえれな(水原希子)の部屋のドアを叩いてしまう。</t>
  </si>
  <si>
    <t>番組名失恋ショコラティエ　#05</t>
  </si>
  <si>
    <t>★番組内で、豪華賞品が抽選で当たる「失恋じゃんけん」をデータ放送で毎回実施します　  ★番組HPは、こちら!　⇒　http://www.fujitv.co.jp/chocolatier/index.html　  ★失恋ショコラティエ公式Twitter展開中　#失恋ショコラティエ　爽太(松本潤)は、紗絵子(石原さとみ)の誕生日が近づくにつれ、紗絵子と過ごす記念日を妄想し、薫子(水川あさみ)に呆れられる。一方、紗絵子は夫の吉岡(眞島秀和)に不満を抱えていた。自分の都合ですべてを決めてしまう夫に納得がいかなかった。  　そんな折、紗絵子が「ショコラ・ヴィ」にやって来る。紗絵子は日持ちのするショコラや洋菓子を大量に購入する。さらに、自分のバースデーケーキを注文すると帰っていく。いつもとは違う決意を秘めたような表情に爽太は胸騒ぎを覚える。  　別の日、爽太は薫子とオリヴィエ(溝端淳平)にケーキのデザイン画を見せる。それは蝶のモチーフが飾られたかわいくもシックなケーキだった。蝶には爽太の紗絵子への歪んだ愛情が表現されていて、それを聞いた薫子は苦笑するが、爽太は真剣だった。  　「ショコラ・ヴィ」で飲み会が開かれることになり、薫子は日程を紗絵子の誕生日に決めた。紗絵子にケーキを渡したあとひとりでいるのは辛いのでは、との配慮からで、オリヴィエ、まつり(有村架純)も参加することになった。その時爽太はえれな(水原希子)と電話中で、何気なく側を通った薫子に会話が聞こえてしまう。そこからふたりの関係を察知した薫子は言葉を失う。  　紗絵子の誕生日当日。爽太は紗絵子の来店を心待ちにするが紗絵子は現れない。やがて閉店間際、やって来たのは吉岡だった。動揺を隠しつつケーキを渡した爽太は…。松本潤　  石原さとみ　  水川あさみ　  水原希子　  溝端淳平　  有村架純　  加藤シゲアキ(NEWS)　    佐藤隆太　  竹中直人【原作】  「失恋ショコラティエ」(水城せとな/小学館月刊フラワーズ連載中)　    【脚本】  越川美埜子　    【プロデュース】  若松央樹　  小原一隆　    【演出】  松山博昭　    【音楽】  Ken　Arai　    【制作著作】  フジテレビ</t>
  </si>
  <si>
    <t xml:space="preserve">　爽太(松本潤)は、紗絵子(石原さとみ)の誕生日が近づくにつれ、紗絵子と過ごす記念日を妄想し、薫子(水川あさみ)に呆れられる。一方、紗絵子は夫の吉岡(眞島秀和)に不満を抱えていた。自分の都合ですべてを決めてしまう夫に納得がいかなかった。  　そんな折、紗絵子が「ショコラ・ヴィ」にやって来る。紗絵子は日持ちのするショコラや洋菓子を大量に購入する。さらに、自分のバースデーケーキを注文すると帰っていく。いつもとは違う決意を秘めたような表情に爽太は胸騒ぎを覚える。  　別の日、爽太は薫子とオリヴィエ(溝端淳平)にケーキのデザイン画を見せる。それは蝶のモチーフが飾られたかわいくもシックなケーキだった。蝶には爽太の紗絵子への歪んだ愛情が表現されていて、それを聞いた薫子は苦笑するが、爽太は真剣だった。  　「ショコラ・ヴィ」で飲み会が開かれることになり、薫子は日程を紗絵子の誕生日に決めた。紗絵子にケーキを渡したあとひとりでいるのは辛いのでは、との配慮からで、オリヴィエ、まつり(有村架純)も参加することになった。その時爽太はえれな(水原希子)と電話中で、何気なく側を通った薫子に会話が聞こえてしまう。そこからふたりの関係を察知した薫子は言葉を失う。  　紗絵子の誕生日当日。爽太は紗絵子の来店を心待ちにするが紗絵子は現れない。やがて閉店間際、やって来たのは吉岡だった。動揺を隠しつつケーキを渡した爽太は…。</t>
  </si>
  <si>
    <t>番組名失恋ショコラティエ　#06</t>
  </si>
  <si>
    <t>★番組内で、豪華賞品が抽選で当たる「失恋じゃんけん」をデータ放送で毎回実施します　  ★番組HPは、こちら!　⇒　http://www.fujitv.co.jp/chocolatier/index.html　  ★失恋ショコラティエ公式Twitter展開中　#失恋ショコラティエ　爽太(松本潤)はえれな(水原希子)の部屋に駆け込むが、そこに人の気配はなかった。えれなに何かあったのでは、と不安になるが、えれなは思わぬところに身を潜めていた。安堵した爽太にえれなは、倉科(佐藤祐基)への告白の一部始終を再現して聞かせ、恋は終わったと言い放つ。倉科に妻子がいることがわかったからだという。それを聞いた爽太は、自分はなぜ人妻である紗絵子(石原さとみ)を思い続けているのだろうか、と自問する。  　その頃、自宅にひとりきりの紗絵子は、爽太が作ったバースデーケーキを食べていた。その姿は、頭には包帯、目には眼帯という痛々しいものだった。心細い紗絵子は爽太からの連絡を期待するが、メールさえ届いていなかった。  　翌日、「ショコラ・ヴィ」に戻った爽太にオリヴィエ(溝端淳平)とまつり(有村架純)が声をかけるが、爽太にいつもの覇気はなかった。しかし爽太は薫子(水川あさみ)に会うと、前日の発言を謝罪。自分は薫子が好きだから、好きな人の口から人の悪口を聞きたくなかったんだ、と説明した。「好き」という言葉が薫子に突き刺さる。  　その後爽太は薫子、オリヴィエ、まつりに向き合うと、失恋することにした、と宣言する。自分は本当に紗絵子が好きだが、どうやっても手に入らないから、今度のバレンタインデーに、ちゃんと振られて恋を終わりにするという。薫子らはあっけに取られるが、爽太は吹っ切れたような表情で…。松本潤　  石原さとみ　  水川あさみ　  水原希子　  溝端淳平　  有村架純　  加藤シゲアキ(NEWS)　    佐藤隆太　  竹中直人【原作】  「失恋ショコラティエ」(水城せとな/小学館月刊フラワーズ連載中)　    【脚本】  安達奈緒子　    【プロデュース】  若松央樹　  小原一隆　    【演出】  関野宗紀　    【音楽】  Ken　Arai　    【制作著作】  フジテレビ</t>
  </si>
  <si>
    <t xml:space="preserve">　爽太(松本潤)はえれな(水原希子)の部屋に駆け込むが、そこに人の気配はなかった。えれなに何かあったのでは、と不安になるが、えれなは思わぬところに身を潜めていた。安堵した爽太にえれなは、倉科(佐藤祐基)への告白の一部始終を再現して聞かせ、恋は終わったと言い放つ。倉科に妻子がいることがわかったからだという。それを聞いた爽太は、自分はなぜ人妻である紗絵子(石原さとみ)を思い続けているのだろうか、と自問する。  　その頃、自宅にひとりきりの紗絵子は、爽太が作ったバースデーケーキを食べていた。その姿は、頭には包帯、目には眼帯という痛々しいものだった。心細い紗絵子は爽太からの連絡を期待するが、メールさえ届いていなかった。  　翌日、「ショコラ・ヴィ」に戻った爽太にオリヴィエ(溝端淳平)とまつり(有村架純)が声をかけるが、爽太にいつもの覇気はなかった。しかし爽太は薫子(水川あさみ)に会うと、前日の発言を謝罪。自分は薫子が好きだから、好きな人の口から人の悪口を聞きたくなかったんだ、と説明した。「好き」という言葉が薫子に突き刺さる。  　その後爽太は薫子、オリヴィエ、まつりに向き合うと、失恋することにした、と宣言する。自分は本当に紗絵子が好きだが、どうやっても手に入らないから、今度のバレンタインデーに、ちゃんと振られて恋を終わりにするという。薫子らはあっけに取られるが、爽太は吹っ切れたような表情で…。</t>
  </si>
  <si>
    <t>番組名失恋ショコラティエ　#07</t>
  </si>
  <si>
    <t>★番組内で、豪華賞品が抽選で当たる「失恋じゃんけん」をデータ放送で毎回実施します　  ★番組HPは、こちら!　⇒　http://www.fujitv.co.jp/chocolatier/index.html　  ★失恋ショコラティエ公式Twitter展開中　#失恋ショコラティエ　バレンタインの季節が近づき、「ショコラ・ヴィ」は一層賑わい、爽太(松本潤)らは多忙を極めていた。特に爽太は、紗絵子(石原さとみ)に贈るショコラを同時に準備していたため睡眠時間も激減していた。  　それでも、このバレンタインに紗絵子に最後の告白をして振られ、長い片想いを終わらせようと決めた爽太は気合いをみなぎらせる。えれな(水原希子)との関係を修正させたい気持ちも後押ししていた。  　そんな折、紗絵子が「ショコラ・ヴィ」にやってくる。混雑する店内から厨房の爽太を見つめるが、爽太は気づかない。紗絵子は薫子(水川あさみ)から商品を受け取ると帰っていく。  　その日の夜、オリヴィエ(溝端淳平)は、携帯電話を見ていたまつり(有村架純)の表情が曇ったのを見逃さなかった。まつりは、元カレの部屋に残っている私物を取りに行くことになったと明かす。その様子に疑念を感じたオリヴィエは、一緒に行くと主張する。　同じ頃、紗絵子は吉岡(眞島秀和)とペットショップにいた。猫が飼いたいと言う紗絵子に当初は反対していたものの、猫を買ってやる。紗絵子は吉岡に笑顔を向ける。  　バレンタインデー前日。ついに爽太は紗絵子に贈るショコラを完成させた。この日、爽太は紗絵子を呼び出して不意打ちで告白をする計画だった。自分が計画の主導権を握っていることで冷静を保っていた。しかし突然、「ショコラ・ヴィ」に現れた紗絵子を見ると…。松本潤　  石原さとみ　  水川あさみ　  水原希子　  溝端淳平　  有村架純　  加藤シゲアキ(NEWS)　    佐藤隆太　  竹中直人【原作】  「失恋ショコラティエ」(水城せとな/小学館月刊フラワーズ連載中)　    【脚本】  安達奈緒子　    【プロデュース】  若松央樹　  小原一隆　    【演出】  宮木正悟　    【音楽】  Ken　Arai　    【制作著作】  フジテレビ</t>
  </si>
  <si>
    <t xml:space="preserve">　バレンタインの季節が近づき、「ショコラ・ヴィ」は一層賑わい、爽太(松本潤)らは多忙を極めていた。特に爽太は、紗絵子(石原さとみ)に贈るショコラを同時に準備していたため睡眠時間も激減していた。  　それでも、このバレンタインに紗絵子に最後の告白をして振られ、長い片想いを終わらせようと決めた爽太は気合いをみなぎらせる。えれな(水原希子)との関係を修正させたい気持ちも後押ししていた。  　そんな折、紗絵子が「ショコラ・ヴィ」にやってくる。混雑する店内から厨房の爽太を見つめるが、爽太は気づかない。紗絵子は薫子(水川あさみ)から商品を受け取ると帰っていく。  　その日の夜、オリヴィエ(溝端淳平)は、携帯電話を見ていたまつり(有村架純)の表情が曇ったのを見逃さなかった。まつりは、元カレの部屋に残っている私物を取りに行くことになったと明かす。その様子に疑念を感じたオリヴィエは、一緒に行くと主張する。　同じ頃、紗絵子は吉岡(眞島秀和)とペットショップにいた。猫が飼いたいと言う紗絵子に当初は反対していたものの、猫を買ってやる。紗絵子は吉岡に笑顔を向ける。  　バレンタインデー前日。ついに爽太は紗絵子に贈るショコラを完成させた。この日、爽太は紗絵子を呼び出して不意打ちで告白をする計画だった。自分が計画の主導権を握っていることで冷静を保っていた。しかし突然、「ショコラ・ヴィ」に現れた紗絵子を見ると…。</t>
  </si>
  <si>
    <t>番組名失恋ショコラティエ　#08</t>
  </si>
  <si>
    <t>★番組内で、豪華賞品が抽選で当たる「失恋じゃんけん」をデータ放送で毎回実施します　  ★番組HPは、こちら!　⇒　http://www.fujitv.co.jp/chocolatier/index.html　  ★失恋ショコラティエ公式Twitter展開中　#失恋ショコラティエ　爽太(松本潤)は、紗絵子(石原さとみ)が自分とキスしたことが信じられず、その理由をあれこれ想像するもわからずに困惑する。  　一方、自宅に戻った紗絵子は、爽太から贈られた美しいショコラを眺めていた。やがて、爽太へメールを打ち始めるが、途中ですべてを削除してしまう。  　別の日、爽太から相談を受けたえれな(水原希子)は、ホワイトデーまでには紗絵子からリアクションがあるのでは、と励ました。  　バレンタインデーが終わり、「ショコラ・ヴィ」は平穏を取り戻す。薫子(水川あさみ)やオリヴィエ(溝端淳平)は平和な日々を喜ぶが、爽太は余裕があると紗絵子のことを考えてしまうため疲労を募らせる。そんな爽太を心配するえれなに、爽太はホワイトデーの夜の予定を聞く。ホワイトデーまでに紗絵子から返事がもらえなければ、えれなと新しい関係を始めようと、爽太は心に決めていた。  　ホワイトデー当日、「ショコラ・ヴィ」の営業が終わっても紗絵子は現れなかった。オリヴィエはこれからまつり(有村架純)とデートだと言い、爽太もえれなと来ないかと誘う。えれなを「彼女」と呼ぶオリヴィエに、爽太はこれから彼女になるのだ、と指摘。そんな爽太に薫子は、本当にそれでいいのか、と確認するが、爽太は、うんと答える。  　その直後、爽太が閉店の準備をしに外へ出ると、通りに紗絵子が立っていた。大きなトランクとカバンを抱えた紗絵子に爽太は…。松本潤　  石原さとみ　  水川あさみ　  水原希子　  溝端淳平　  有村架純　  加藤シゲアキ(NEWS)　    佐藤隆太　  竹中直人【原作】  「失恋ショコラティエ」(水城せとな/小学館月刊フラワーズ連載中)　    【脚本】  越川美埜子　    【プロデュース】  若松央樹　  小原一隆　    【演出】  品田俊介　    【音楽】  Ken　Arai　    【制作著作】  フジテレビ</t>
  </si>
  <si>
    <t xml:space="preserve">　爽太(松本潤)は、紗絵子(石原さとみ)が自分とキスしたことが信じられず、その理由をあれこれ想像するもわからずに困惑する。  　一方、自宅に戻った紗絵子は、爽太から贈られた美しいショコラを眺めていた。やがて、爽太へメールを打ち始めるが、途中ですべてを削除してしまう。  　別の日、爽太から相談を受けたえれな(水原希子)は、ホワイトデーまでには紗絵子からリアクションがあるのでは、と励ました。  　バレンタインデーが終わり、「ショコラ・ヴィ」は平穏を取り戻す。薫子(水川あさみ)やオリヴィエ(溝端淳平)は平和な日々を喜ぶが、爽太は余裕があると紗絵子のことを考えてしまうため疲労を募らせる。そんな爽太を心配するえれなに、爽太はホワイトデーの夜の予定を聞く。ホワイトデーまでに紗絵子から返事がもらえなければ、えれなと新しい関係を始めようと、爽太は心に決めていた。  　ホワイトデー当日、「ショコラ・ヴィ」の営業が終わっても紗絵子は現れなかった。オリヴィエはこれからまつり(有村架純)とデートだと言い、爽太もえれなと来ないかと誘う。えれなを「彼女」と呼ぶオリヴィエに、爽太はこれから彼女になるのだ、と指摘。そんな爽太に薫子は、本当にそれでいいのか、と確認するが、爽太は、うんと答える。  　その直後、爽太が閉店の準備をしに外へ出ると、通りに紗絵子が立っていた。大きなトランクとカバンを抱えた紗絵子に爽太は…。</t>
  </si>
  <si>
    <t>番組名失恋ショコラティエ　#09</t>
  </si>
  <si>
    <t>★番組内で、豪華賞品が抽選で当たる「失恋じゃんけん」をデータ放送で毎回実施します　  ★番組HPは、こちら!　⇒　http://www.fujitv.co.jp/chocolatier/index.html　  ★失恋ショコラティエ公式Twitter展開中　#失恋ショコラティエ　爽太(松本潤)は、「ショコラ・ヴィ」の2階に暮らし始めた紗絵子(石原さとみ)と恋人同士のような甘い時間を過ごしていた。ふたりの関係に不快感を持つ薫子(水川あさみ)は、イライラを募らせる。爽太から連絡が途絶えたえれな(水原希子)は、連絡が来ない理由がわからず傷ついていた。  　そんな朝、薫子が店の前を掃除していると、えれなが立っていた。自分が出演するファッションショーの招待状を爽太に渡したいというえれなに、薫子は爽太の現状を話してしまう。きつい口調で、えれなさえも非難するように話す薫子に、言いにくいことを教えてくれてありがとう、とえれなは頭を下げる。  　店に戻った薫子は、正しいことをしたと自分を納得させようとするが内心では落ち込む。オリヴィエ(溝端淳平)は、自分が正しいと思うのならそれでいいのでは、と声をかける。その頃、爽太は、紗絵子からのリクエストで新作の構想を練り始める。一方、紗絵子は掃除や洗濯を手伝うが、健気に働く姿が薫子は気に入らず、まつり(有村架純)に文句を言う。  　そんな日の夜、爽太が試作品のイラストを描いていると、紗絵子の携帯電話が鳴る。爽太は着信が紗絵子の夫・吉岡(眞島秀和)だと確認、バスルームにいる紗絵子に声をかけた。紗絵子は着信を見ると顔を曇らせるが、すぐにいつもの顔に戻り爽太に甘えてくる。爽太は、これまで家出の理由を説明しようとしない紗絵子の態度に困惑し…。松本潤　  石原さとみ　  水川あさみ　  水原希子　  溝端淳平　  有村架純　  加藤シゲアキ(NEWS)　    佐藤隆太　  竹中直人【原作】  「失恋ショコラティエ」(水城せとな/小学館月刊フラワーズ連載中)　    【脚本】  越川美埜子　    【プロデュース】  若松央樹　  小原一隆　    【演出】  松山博昭　  宮木正悟　    【音楽】  Ken　Arai　    【制作著作】  フジテレビ</t>
  </si>
  <si>
    <t xml:space="preserve">　爽太(松本潤)は、「ショコラ・ヴィ」の2階に暮らし始めた紗絵子(石原さとみ)と恋人同士のような甘い時間を過ごしていた。ふたりの関係に不快感を持つ薫子(水川あさみ)は、イライラを募らせる。爽太から連絡が途絶えたえれな(水原希子)は、連絡が来ない理由がわからず傷ついていた。  　そんな朝、薫子が店の前を掃除していると、えれなが立っていた。自分が出演するファッションショーの招待状を爽太に渡したいというえれなに、薫子は爽太の現状を話してしまう。きつい口調で、えれなさえも非難するように話す薫子に、言いにくいことを教えてくれてありがとう、とえれなは頭を下げる。  　店に戻った薫子は、正しいことをしたと自分を納得させようとするが内心では落ち込む。オリヴィエ(溝端淳平)は、自分が正しいと思うのならそれでいいのでは、と声をかける。その頃、爽太は、紗絵子からのリクエストで新作の構想を練り始める。一方、紗絵子は掃除や洗濯を手伝うが、健気に働く姿が薫子は気に入らず、まつり(有村架純)に文句を言う。  　そんな日の夜、爽太が試作品のイラストを描いていると、紗絵子の携帯電話が鳴る。爽太は着信が紗絵子の夫・吉岡(眞島秀和)だと確認、バスルームにいる紗絵子に声をかけた。紗絵子は着信を見ると顔を曇らせるが、すぐにいつもの顔に戻り爽太に甘えてくる。爽太は、これまで家出の理由を説明しようとしない紗絵子の態度に困惑し…。</t>
  </si>
  <si>
    <t>番組名失恋ショコラティエ　#10</t>
  </si>
  <si>
    <t>★番組内で、豪華賞品が抽選で当たる「失恋じゃんけん」をデータ放送で毎回実施します　  ★番組HPは、こちら!　⇒　http://www.fujitv.co.jp/chocolatier/index.html　  ★失恋ショコラティエ公式Twitter展開中　#失恋ショコラティエ　爽太(松本潤)は、紗絵子(石原さとみ)に恋い焦がれながらも、ふたりの関係に行き詰まりを感じ始めていた。そんな折、かつて爽太が修行したフランスの老舗ショコラティエ「ボネール」からエアメールが届く。オリヴィエ(溝端淳平)は、「ボネール」が探しているというチーフショコラティエの候補に、爽太の名前が挙がったのでは、と話す。  　もしも、「ボネール」のショコラティエになれたら、紗絵子との未来を切り開くことができるかもしれない、爽太は祈るような思いを抱く。  　その頃、薫子(水川あさみ)は、関谷(加藤シゲアキ)からの「くわしく」とだけ書かれたメールへの返信に頭を抱えていた。困った薫子は、紗絵子に相談。紗絵子は、薫子が想像すらしなかった返信を提案する。  　同じ頃、えれな(水原希子)は念願のショーへの出演を終えた。そこに爽太の姿はなかったが、六道(佐藤隆太)が見守ってくれていた。　後日、軽井沢に滞在中のボネールに招かれた爽太は、自作のショコラを携えて出かけていく。オリヴィエとまつり(有村架純)は京都旅行に出かけ、「ショコラ・ヴィ」には紗絵子がいるだけだった。そんな夜、「ショコラ・ヴィ」が停電してしまい、困った紗絵子は薫子に電話をする。冷蔵庫や冷凍庫にあるショコラの材料が心配だという紗絵子。薫子はタクシーで店にかけつけた。まさにその頃、爽太はボネールの部屋をノックし…。松本潤　  石原さとみ　  水川あさみ　  水原希子　  溝端淳平　  有村架純　  加藤シゲアキ(NEWS)　    佐藤隆太　  竹中直人【原作】  「失恋ショコラティエ」(水城せとな/小学館月刊フラワーズ連載中)　    【脚本】  越川美埜子　    【プロデュース】  若松央樹　  小原一隆　    【演出】  宮木正悟　    【音楽】  Ken　Arai　    【制作著作】  フジテレビ</t>
  </si>
  <si>
    <t xml:space="preserve">　爽太(松本潤)は、紗絵子(石原さとみ)に恋い焦がれながらも、ふたりの関係に行き詰まりを感じ始めていた。そんな折、かつて爽太が修行したフランスの老舗ショコラティエ「ボネール」からエアメールが届く。オリヴィエ(溝端淳平)は、「ボネール」が探しているというチーフショコラティエの候補に、爽太の名前が挙がったのでは、と話す。  　もしも、「ボネール」のショコラティエになれたら、紗絵子との未来を切り開くことができるかもしれない、爽太は祈るような思いを抱く。  　その頃、薫子(水川あさみ)は、関谷(加藤シゲアキ)からの「くわしく」とだけ書かれたメールへの返信に頭を抱えていた。困った薫子は、紗絵子に相談。紗絵子は、薫子が想像すらしなかった返信を提案する。  　同じ頃、えれな(水原希子)は念願のショーへの出演を終えた。そこに爽太の姿はなかったが、六道(佐藤隆太)が見守ってくれていた。　後日、軽井沢に滞在中のボネールに招かれた爽太は、自作のショコラを携えて出かけていく。オリヴィエとまつり(有村架純)は京都旅行に出かけ、「ショコラ・ヴィ」には紗絵子がいるだけだった。そんな夜、「ショコラ・ヴィ」が停電してしまい、困った紗絵子は薫子に電話をする。冷蔵庫や冷凍庫にあるショコラの材料が心配だという紗絵子。薫子はタクシーで店にかけつけた。まさにその頃、爽太はボネールの部屋をノックし…。</t>
  </si>
  <si>
    <t>番組名失恋ショコラティエ　#11</t>
  </si>
  <si>
    <t>★番組内で、豪華賞品が抽選で当たる「失恋じゃんけん」をデータ放送で毎回実施します　  ★番組HPは、こちら!　⇒　http://www.fujitv.co.jp/chocolatier/index.html　  ★失恋ショコラティエ公式Twitter展開中　#失恋ショコラティエ　爽太(松本潤)は、紗絵子(石原さとみ)のリクエストに応えるべくチョコバーの試作を重ねるが、どうしてもうまくいかない。紗絵子は、創作に励む爽太を心配するが、爽太は取り繕うように自信を見せる。  　そんなところへ、えれな(水原希子)が現れる。久しぶりの再会に爽太は言葉が出ないが、えれなは話はすぐに済むという。爽太があれこれ想像するうち、えれなは爽太のことが好きだと告白。さらに、自分のことが好きなら見に来てほしい、とファッションショーのチケットを手渡すと「ショコラ・ヴィ」を後にする。潔く思いを伝えるえれなを前に、立ち尽くすしかなかった爽太。その様子を紗絵子が見ていた。  　その頃、薫子(水川あさみ)は紗絵子に言われ、関谷(加藤シゲアキ)を食事に誘うメールを送った。プライベートな相談に乗ってもらううち、薫子と紗絵子は意気投合。一緒に買い物に出かけるようにもなる。  　一方の爽太は相変わらず創作に苦戦していた。紗絵子を思うとショコラ作りのインスピレーションがわき上がっていた頃の気持ちを取り戻そうとするが、出口を見いだせないでいた。そんなとき、紗絵子が帰ってくる。紗絵子は爽太に声をかけ、バックヤードへ行こうとするが、突然、倒れ込んでしまう。紗絵子を病院へ運んだ爽太は、医師から貧血を起こしたようだと告げられた。目を覚ました紗絵子を心配そうに見つめる爽太。紗絵子は、爽太が思いもよらない事実を告げた。松本潤　  石原さとみ　  水川あさみ　  水原希子　  溝端淳平　  有村架純　  加藤シゲアキ(NEWS)　    佐藤隆太　  竹中直人【原作】  「失恋ショコラティエ」(水城せとな/小学館月刊フラワーズ連載中)　    【脚本】  越川美埜子　    【プロデュース】  若松央樹　  小原一隆　    【演出】  松山博昭　    【音楽】  Ken　Arai　    【制作著作】  フジテレビ</t>
  </si>
  <si>
    <t xml:space="preserve">　爽太(松本潤)は、紗絵子(石原さとみ)のリクエストに応えるべくチョコバーの試作を重ねるが、どうしてもうまくいかない。紗絵子は、創作に励む爽太を心配するが、爽太は取り繕うように自信を見せる。  　そんなところへ、えれな(水原希子)が現れる。久しぶりの再会に爽太は言葉が出ないが、えれなは話はすぐに済むという。爽太があれこれ想像するうち、えれなは爽太のことが好きだと告白。さらに、自分のことが好きなら見に来てほしい、とファッションショーのチケットを手渡すと「ショコラ・ヴィ」を後にする。潔く思いを伝えるえれなを前に、立ち尽くすしかなかった爽太。その様子を紗絵子が見ていた。  　その頃、薫子(水川あさみ)は紗絵子に言われ、関谷(加藤シゲアキ)を食事に誘うメールを送った。プライベートな相談に乗ってもらううち、薫子と紗絵子は意気投合。一緒に買い物に出かけるようにもなる。  　一方の爽太は相変わらず創作に苦戦していた。紗絵子を思うとショコラ作りのインスピレーションがわき上がっていた頃の気持ちを取り戻そうとするが、出口を見いだせないでいた。そんなとき、紗絵子が帰ってくる。紗絵子は爽太に声をかけ、バックヤードへ行こうとするが、突然、倒れ込んでしまう。紗絵子を病院へ運んだ爽太は、医師から貧血を起こしたようだと告げられた。目を覚ました紗絵子を心配そうに見つめる爽太。紗絵子は、爽太が思いもよらない事実を告げた。</t>
  </si>
  <si>
    <t>1401_CX_火21</t>
  </si>
  <si>
    <t>福家警部補の挨拶</t>
  </si>
  <si>
    <t>番組名福家警部補の挨拶　#01</t>
  </si>
  <si>
    <t>人気脚本家・藤堂昌也(反町隆史)は、三室勘司(小林且弥)を呼び出して自分の別荘へ。三室は藤堂に頼まれた拳銃とロープを用意していた。藤堂は三室に誘拐犯の役を与えると役作りを始める。しかし、しばらくすると藤堂は三室に睡眠薬を飲ませて眠らせてしまう。三室が眠っている間に藤堂は自分の事務所に電話。事務員の大城加奈子(水崎綾女)が出ると、三室に読ませて録音した脅迫文を再生した。  　次に藤堂は骨董商の辻伸彦(有薗芳記)の家へ。藤堂は辻から古い原稿の取引を持ちかけられていた。原稿は藤堂の脚本家としてのキャリアを脅かすもの。藤堂は応じるそぶりをして辻を殺し、家に火をつけて別荘に戻る。  　その頃、藤堂の事務所には石松和夫警部(稲垣吾郎)ら警官たちが詰めていた。そこにまた脅迫電話が入る。大城は声の主が三室だと気づいた。  　電話を終えた藤堂は三室を起こす。全ては辻殺害を完全犯罪にするための策略だった。仕上げは三室を消すこと。それを知った三室は逆上して藤堂に襲いかかる。もみ合いの中、藤堂の撃った銃弾が三室を貫く。直後、警官たちが突入するが、傷だらけの藤堂が誘拐されていたことを疑うものはいなかった。  　ただ1人、福家警部補(檀れい)を除いては…。福家は石松から辻の放火殺人事件の担当を命じられていたが、なぜか藤堂の誘拐事件を調べ始める。福家は鑑識係の二岡友成(柄本時生)に車を出させて藤堂の別荘へと向かった。福家警部補(強行犯第十三係　主任):　檀れい　  石松和夫警部(強行犯第十三係　係長):　稲垣吾郎　  二岡友成巡査(現場鑑識係):　柄本時生　  田所勉(強行犯第十三係　筆頭主任):　中本賢  　　○　　  藤堂昌也(脚本家):　反町隆史　    ほか毎週「番組特製グッズが当たる!オンエアクイズ」を実施します!  詳しくは番組ホームページをご覧ください。  http://www.fujitv.co.jp/fukuie/index.html【原作】  大倉崇裕(東京創元社/創元推理文庫)　    【脚本】  正岡謙一郎　    【脚本協力】  麻倉圭司　    【企画】  水野綾子　    【編成企画】  清水一幸　    【プロデュース】  貸川聡子　    【演出】  佐藤祐市　    【音楽】  横山克　    【制作】  フジテレビ　    【制作著作】  共同テレビ</t>
  </si>
  <si>
    <t>人気脚本家・藤堂昌也(反町隆史)は、三室勘司(小林且弥)を呼び出して自分の別荘へ。三室は藤堂に頼まれた拳銃とロープを用意していた。藤堂は三室に誘拐犯の役を与えると役作りを始める。しかし、しばらくすると藤堂は三室に睡眠薬を飲ませて眠らせてしまう。三室が眠っている間に藤堂は自分の事務所に電話。事務員の大城加奈子(水崎綾女)が出ると、三室に読ませて録音した脅迫文を再生した。  　次に藤堂は骨董商の辻伸彦(有薗芳記)の家へ。藤堂は辻から古い原稿の取引を持ちかけられていた。原稿は藤堂の脚本家としてのキャリアを脅かすもの。藤堂は応じるそぶりをして辻を殺し、家に火をつけて別荘に戻る。  　その頃、藤堂の事務所には石松和夫警部(稲垣吾郎)ら警官たちが詰めていた。そこにまた脅迫電話が入る。大城は声の主が三室だと気づいた。  　電話を終えた藤堂は三室を起こす。全ては辻殺害を完全犯罪にするための策略だった。仕上げは三室を消すこと。それを知った三室は逆上して藤堂に襲いかかる。もみ合いの中、藤堂の撃った銃弾が三室を貫く。直後、警官たちが突入するが、傷だらけの藤堂が誘拐されていたことを疑うものはいなかった。  　ただ1人、福家警部補(檀れい)を除いては…。福家は石松から辻の放火殺人事件の担当を命じられていたが、なぜか藤堂の誘拐事件を調べ始める。福家は鑑識係の二岡友成(柄本時生)に車を出させて藤堂の別荘へと向かった。</t>
  </si>
  <si>
    <t>番組名福家警部補の挨拶　#02</t>
  </si>
  <si>
    <t>漫画家の河出みどり(富田靖子)は、大御所漫画家・細田理恵子(銀粉蝶)のパーティーに出席。帰り道、タクシーに同乗した出版社「湧泉舎」の少女漫画雑誌『ルル』の編集部員、馬場康之(石井智也)から、みどりは不穏な話を聞く。湧泉舎の三浦真理子営業部長(渡辺真起子)が、『ルル』のリニューアルに文句をつけ、連載のラインアップを変えるよう渡辺良進編集長(橋沢進一)に詰め寄っているらしい。リニューアル後の新連載が予定されているみどりには、聞き流すことが出来なかった。  　馬場と別れたみどりは、真理子のマンションへ。真理子のみどりへの態度は横柄。屈辱感に苛まれながらもみどりは従い、自分の新連載を切るつもりなのかと真理子に聞く。すると真理子は、みどりが書いた新連載用のネームをバッサリと切り捨てた。さらに、考えの甘さを指摘し、漫画家を辞めたらとまで突きつける真理子の頭を、みどりは文鎮で殴りつけてしまう。倒れた真理子をバスルームに運んだみどりは、真理子をバスタブに落とした。足にケガをしている真理子が、自ら倒れ込んだかのように見せかけて…。  　翌日、真理子の不審死が発見され警察の現場検証が始まる。やって来たのは福家警部補(檀れい)。鑑識係の二岡友成(柄本時生)から現状報告を受け、バスルームを検証した福家は、第一発見者の話を聞く。その話から、福家はバスルームのドアが開いていたことに引っかかる。福家警部補(強行犯第十三係　主任):　檀れい　  石松和夫警部(強行犯第十三係　係長):　稲垣吾郎　  二岡友成巡査(現場鑑識係):　柄本時生　  田所勉警部補(強行犯第十三係　筆頭主任):　中本賢  　　○　　  河出みどり(少女漫画家):　富田靖子　  細田理恵子(大御所漫画家):　銀粉蝶　  三浦真理子(湧泉舎営業部長):　渡辺真起子毎週「番組特製グッズが当たる!オンエアクイズ」を実施します!  詳しくは番組ホームページをご覧ください。  http://www.fujitv.co.jp/fukuie/index.html【原作】  大倉崇裕(東京創元社/創元推理文庫)　    【脚本】  正岡謙一郎　    【企画】  水野綾子　    【編成企画】  清水一幸　    【プロデュース】  貸川聡子　    【演出】  佐藤祐市　    【音楽】  横山克　    【制作】  フジテレビ　    【制作著作】  共同テレビ</t>
  </si>
  <si>
    <t>漫画家の河出みどり(富田靖子)は、大御所漫画家・細田理恵子(銀粉蝶)のパーティーに出席。帰り道、タクシーに同乗した出版社「湧泉舎」の少女漫画雑誌『ルル』の編集部員、馬場康之(石井智也)から、みどりは不穏な話を聞く。湧泉舎の三浦真理子営業部長(渡辺真起子)が、『ルル』のリニューアルに文句をつけ、連載のラインアップを変えるよう渡辺良進編集長(橋沢進一)に詰め寄っているらしい。リニューアル後の新連載が予定されているみどりには、聞き流すことが出来なかった。  　馬場と別れたみどりは、真理子のマンションへ。真理子のみどりへの態度は横柄。屈辱感に苛まれながらもみどりは従い、自分の新連載を切るつもりなのかと真理子に聞く。すると真理子は、みどりが書いた新連載用のネームをバッサリと切り捨てた。さらに、考えの甘さを指摘し、漫画家を辞めたらとまで突きつける真理子の頭を、みどりは文鎮で殴りつけてしまう。倒れた真理子をバスルームに運んだみどりは、真理子をバスタブに落とした。足にケガをしている真理子が、自ら倒れ込んだかのように見せかけて…。  　翌日、真理子の不審死が発見され警察の現場検証が始まる。やって来たのは福家警部補(檀れい)。鑑識係の二岡友成(柄本時生)から現状報告を受け、バスルームを検証した福家は、第一発見者の話を聞く。その話から、福家はバスルームのドアが開いていたことに引っかかる。</t>
  </si>
  <si>
    <t>番組名福家警部補の挨拶　#03</t>
  </si>
  <si>
    <t>『スワンプ・インプ』社長で、フィギュア造型家の新井信弘(北村有起哉)は、大手玩具メーカー『丸吉』とコラボ企画を進めている。それは『丸吉』が販売する『銀河戦士ブルーマン』の新フィギュアの造型を新井が製作するという大きなプロジェクト。新井の会社に品物を納める塗料会社の小寺浩二(中山祐一朗)も興味津々。『ブルーマン』のデザインが決定し試作品を急ぐ『丸吉』に、新井は一晩で作ると約束。しかし、新井はフリーの造型家・西村浩(片桐仁)の作業場へ向かった。  　十数年前、『丸吉』が限定品で販売し、マニア間では高値で売買される『ミリバール』というロボットフィギュアの贋作が出回る事件があった。西村は、贋作を作り売ったのが新井だというのを嗅ぎ付け、その事実を『丸吉』にばらすと新井をゆすりにかかる。  　新井は持参した本物の『ミリバール』と偽物の交換でけりをつけようとする。だが、あくまで金を要求する西村を思い余って撲殺。そこに小寺が西村の発注した塗料を届けに来た。西村の死体を発見し、パニックで立ち去ってしまう小寺。物陰に身を潜めていた新井はあることを思いつく。  　翌早朝、臨場する石松和夫警部(稲垣吾郎)たち。後から現れた福家警部補(檀れい)に、石松は苦い顔。二岡友成(柄本時生)から殺害状況を聞いた福家の頭の中には多くの疑問が浮かぶのだった。一方、石松たちは西村が最後に電話した小寺に容疑者の目星をつけた。福家警部補(強行犯第十三係　主任):　檀れい　  石松和夫警部(強行犯第十三係　係長):　稲垣吾郎　  二岡友成巡査(現場鑑識係):　柄本時生　  田所勉警部補(強行犯第十三係　筆頭主任):　中本賢  　　○　　  新井信弘(『スワンプ・インプ』社長・フィギュア造型家):　北村有起哉　  西村浩(フリーのフィギュア造型家):　片桐仁　  小寺浩二(塗料会社『クレオ』営業):　中山祐一朗【原作】  大倉崇裕(東京創元社/創元推理文庫)　    【脚本】  麻倉圭司　    【企画】  水野綾子　    【編成企画】  清水一幸　    【プロデュース】  貸川聡子　    【演出】  岩田和行　    【音楽】  横山克　    【制作】  フジテレビ　    【制作著作】  共同テレビ毎週「番組特製グッズが当たる!オンエアクイズ」を実施します!  詳しくは番組ホームページをご覧ください。  http://www.fujitv.co.jp/fukuie/index.html</t>
  </si>
  <si>
    <t>『スワンプ・インプ』社長で、フィギュア造型家の新井信弘(北村有起哉)は、大手玩具メーカー『丸吉』とコラボ企画を進めている。それは『丸吉』が販売する『銀河戦士ブルーマン』の新フィギュアの造型を新井が製作するという大きなプロジェクト。新井の会社に品物を納める塗料会社の小寺浩二(中山祐一朗)も興味津々。『ブルーマン』のデザインが決定し試作品を急ぐ『丸吉』に、新井は一晩で作ると約束。しかし、新井はフリーの造型家・西村浩(片桐仁)の作業場へ向かった。  　十数年前、『丸吉』が限定品で販売し、マニア間では高値で売買される『ミリバール』というロボットフィギュアの贋作が出回る事件があった。西村は、贋作を作り売ったのが新井だというのを嗅ぎ付け、その事実を『丸吉』にばらすと新井をゆすりにかかる。  　新井は持参した本物の『ミリバール』と偽物の交換でけりをつけようとする。だが、あくまで金を要求する西村を思い余って撲殺。そこに小寺が西村の発注した塗料を届けに来た。西村の死体を発見し、パニックで立ち去ってしまう小寺。物陰に身を潜めていた新井はあることを思いつく。  　翌早朝、臨場する石松和夫警部(稲垣吾郎)たち。後から現れた福家警部補(檀れい)に、石松は苦い顔。二岡友成(柄本時生)から殺害状況を聞いた福家の頭の中には多くの疑問が浮かぶのだった。一方、石松たちは西村が最後に電話した小寺に容疑者の目星をつけた。</t>
  </si>
  <si>
    <t>番組名福家警部補の挨拶　#04</t>
  </si>
  <si>
    <t>谷元酒造社長・谷元雫(片平なぎさ)はその日、佐藤酒造社長・佐藤一成(清水こう治)を助手席に乗せて車を走らせていた。到着したのは谷元酒造の酒蔵。先祖から受け継いだ酒「月の雫」を守り抜くため雫が心血を注いで守ってきた酒蔵だ。谷元酒造は一切の妥協を許さず、効率よりも品質にこだわり続ける酒造りにこだわってきたが、佐藤酒造から徹底した値引き攻勢にあい、経営は逼迫(ひっぱく)していた。佐藤は谷元酒造を窮地に追い込み、吸収合併してしまおうともくろんでいたのだった。  　雫はそんな佐藤の計画を阻止し、先祖伝来の酒を守るため佐藤を酒蔵に呼びだし、水がはられたタンクへと突き落とし殺害してしまうのだった。遺体が発見され、鑑識の結果から佐藤は足場から転落し側頭部を強打の後、溺死したと見られていた。が、福家警部補(檀れい)は現場を訪れた時から事故と判断を下すにはおかしい点に気づくのだった。　福家は雫に何度も会い捜査を続ける中で、二人の間には男性社会で闘いながらも、自分の信念のもとプロとしての仕事に徹するという点で、共感のような感情が芽生えていた。福家は雫の真実に迫ることが出来るのか。福家警部補(強行犯第十三係　主任):　檀れい　  石松和夫警部(強行犯第十三係　係長):　稲垣吾郎　  二岡友成巡査(現場鑑識係):　柄本時生　  田所勉警部補(強行犯第十三係　筆頭主任):　中本賢  　　○　　  谷元雫(谷元酒造・社長):　片平なぎさ　    佐藤一成(佐藤酒造・社長):　清水こう治　    鍋谷五郎(リカーショップ『ウエアハウス』社長):　近江谷太朗毎週「番組特製グッズが当たる!オンエアクイズ」を実施します!  詳しくは番組ホームページをご覧ください。  http://www.fujitv.co.jp/fukuie/index.html【原作】  大倉崇裕(東京創元社/創元推理文庫)　    【脚本】  麻倉圭司　    【企画】  水野綾子　    【編成企画】  清水一幸　    【プロデュース】  貸川聡子　    【演出】  岩田和行　  佐藤祐市　    【音楽】  横山克　    【制作】  フジテレビ　    【制作著作】  共同テレビ</t>
  </si>
  <si>
    <t>谷元酒造社長・谷元雫(片平なぎさ)はその日、佐藤酒造社長・佐藤一成(清水こう治)を助手席に乗せて車を走らせていた。到着したのは谷元酒造の酒蔵。先祖から受け継いだ酒「月の雫」を守り抜くため雫が心血を注いで守ってきた酒蔵だ。谷元酒造は一切の妥協を許さず、効率よりも品質にこだわり続ける酒造りにこだわってきたが、佐藤酒造から徹底した値引き攻勢にあい、経営は逼迫(ひっぱく)していた。佐藤は谷元酒造を窮地に追い込み、吸収合併してしまおうともくろんでいたのだった。  　雫はそんな佐藤の計画を阻止し、先祖伝来の酒を守るため佐藤を酒蔵に呼びだし、水がはられたタンクへと突き落とし殺害してしまうのだった。遺体が発見され、鑑識の結果から佐藤は足場から転落し側頭部を強打の後、溺死したと見られていた。が、福家警部補(檀れい)は現場を訪れた時から事故と判断を下すにはおかしい点に気づくのだった。　福家は雫に何度も会い捜査を続ける中で、二人の間には男性社会で闘いながらも、自分の信念のもとプロとしての仕事に徹するという点で、共感のような感情が芽生えていた。福家は雫の真実に迫ることが出来るのか。</t>
  </si>
  <si>
    <t>番組名福家警部補の挨拶　#05</t>
  </si>
  <si>
    <t>ベテラン漫才コンビ、京阪のぼり・くだりは、かつてのような人気を失っていた。原因はボケ担当のくだりこと内海珠雄(ほんこん)が“天才"と呼ばれた精彩を欠いたこと。反対に相方の、のぼりこと立石浩二(板尾創路)には、単独仕事の話も来ていた。酔ったまま舞台に上がる内海の傍若無人ぶりに、事務所社長(笑福亭鶴光)やマネジャーの浜本雅志(福田転球)もあきれ果てている。  　ある日、立石は内海にコンビを解散して欲しいと頼む。だが内海は半年待てと強い口調で答える。立石は何か内海に負い目がある様子で、それ以上解散を迫れない。すると立石は漫才を続けるのならば練習をしようと内海をある場所に誘う。  　その夜、郊外の一軒家で立石は内海を待っていた。そこに内海がやってくる。内海は玄関を開けようとするがカギがない。立石があらかじめかすめ取っていたのだ。仕方なく、内海は塀を伝い木に移って2階のベランダの手すりに飛び移る。と、そこに立石がいた。立石は手すりから内海を突き落した。すぐさま立石が様子を見に行くと、内海は虫の息。大きな石をつかみ、とどめを刺そうとする立石に内海は「捨てな」と言い残して息を引き取った。  　翌日、内海の死体が見つかり、警察が状況検分。石松和夫警部(稲垣吾郎)らは事故による転落死と見るのだが、福家警部補(檀れい)は玄関内に落ちていたチラシ、そして玄関先の植木鉢の下に隠してあった合鍵に疑問を持つ。福家警部補(強行犯第十三係　主任):　檀れい　  石松和夫警部(強行犯第十三係　係長):　稲垣吾郎　  二岡友成巡査(現場鑑識係):　柄本時生　  田所勉警部補(強行犯第十三係　筆頭主任):　中本賢　    立石浩二(京阪のぼり):　板尾創路　  内海珠雄(京阪くだり):　ほんこん　  浜本雅志(京阪のぼり・くだりマネジャー):　福田転球　  京阪のぼり・くだり所属事務所社長:　笑福亭鶴光　テレビプロデューサー:　なだぎ武毎週「番組特製グッズが当たる!オンエアクイズ」を実施します!  詳しくは番組ホームページをご覧ください。  http://www.fujitv.co.jp/fukuie/index.html【原作】  大倉崇裕(東京創元社/創元推理文庫)　    【脚本】  麻倉圭司　    【企画】  水野綾子　    【編成企画】  清水一幸　    【プロデュース】  貸川聡子　    【演出】  佐藤祐市　    【音楽】  横山克　    【制作】  フジテレビ　    【制作著作】  共同テレビ</t>
  </si>
  <si>
    <t>ベテラン漫才コンビ、京阪のぼり・くだりは、かつてのような人気を失っていた。原因はボケ担当のくだりこと内海珠雄(ほんこん)が“天才"と呼ばれた精彩を欠いたこと。反対に相方の、のぼりこと立石浩二(板尾創路)には、単独仕事の話も来ていた。酔ったまま舞台に上がる内海の傍若無人ぶりに、事務所社長(笑福亭鶴光)やマネジャーの浜本雅志(福田転球)もあきれ果てている。  　ある日、立石は内海にコンビを解散して欲しいと頼む。だが内海は半年待てと強い口調で答える。立石は何か内海に負い目がある様子で、それ以上解散を迫れない。すると立石は漫才を続けるのならば練習をしようと内海をある場所に誘う。  　その夜、郊外の一軒家で立石は内海を待っていた。そこに内海がやってくる。内海は玄関を開けようとするがカギがない。立石があらかじめかすめ取っていたのだ。仕方なく、内海は塀を伝い木に移って2階のベランダの手すりに飛び移る。と、そこに立石がいた。立石は手すりから内海を突き落した。すぐさま立石が様子を見に行くと、内海は虫の息。大きな石をつかみ、とどめを刺そうとする立石に内海は「捨てな」と言い残して息を引き取った。  　翌日、内海の死体が見つかり、警察が状況検分。石松和夫警部(稲垣吾郎)らは事故による転落死と見るのだが、福家警部補(檀れい)は玄関内に落ちていたチラシ、そして玄関先の植木鉢の下に隠してあった合鍵に疑問を持つ。</t>
  </si>
  <si>
    <t>番組名福家警部補の挨拶　#06</t>
  </si>
  <si>
    <t>映画『東京ローズ』の出演者オーディションを間近に控えたある日。女優の小野木マリ(若村麻由美)は、同じく女優の柿沼恵美(黒沢あすか)のマンションにいた。恵美はマリに数枚の写真を見せる。写真には『東京ローズ』のプロデューサー二階堂道義(アラキマキヒコ)とマリの熱愛現場が写っていた。恵美はこの写真を公にすると脅し、『東京ローズ』オーディションから降りるようマリに迫るのだった。追いつめられたマリは恵美を自殺に見せかけ殺害してしまう。  　恵美のマンション下を通りかかったカップルが転落する恵美を目撃し、彼らの通報で警察が駆けつける。二岡友成(柄本時生)が鑑識作業をしていると福家警部補(檀れい)が現れた。恵美の部屋に遺書があり、部屋には鍵がかかっていた。自殺のように思われるが福家は、恵美の部屋に残されたさまざまな痕跡や恵美が飼っている文鳥、さらにはテレビの下にあるレコーダーの録画検索ワードに、小野木マリの名前が登録されていることを確認し自殺に疑問を持つのだった・・・。福家警部補(強行犯第十三係　主任):　檀れい　  石松和夫警部(強行犯第十三係　係長):　稲垣吾郎　  二岡友成巡査(現場鑑識係):　柄本時生　  田所勉警部補(強行犯第十三係　筆頭主任):　中本賢　    小野木マリ:　若村麻由美　    柿沼恵美:　黒沢あすか　  吉野利香:　高月彩良　  二階堂道義:　アラキマキヒコ毎週「番組特製グッズが当たる!オンエアクイズ」を実施します!  詳しくは番組ホームページをご覧ください。  http://www.fujitv.co.jp/fukuie/index.html【原作】  大倉崇裕(東京創元社/創元推理文庫)　    【脚本】  正岡謙一郎　  麻倉圭司　    【脚本協力】  丸茂周　    【企画】  水野綾子　    【編成企画】  清水一幸　    【プロデュース】  貸川聡子　    【演出】  岩田和行　    【音楽】  横山克　    【制作】  フジテレビ　    【制作著作】  共同テレビ</t>
  </si>
  <si>
    <t>映画『東京ローズ』の出演者オーディションを間近に控えたある日。女優の小野木マリ(若村麻由美)は、同じく女優の柿沼恵美(黒沢あすか)のマンションにいた。恵美はマリに数枚の写真を見せる。写真には『東京ローズ』のプロデューサー二階堂道義(アラキマキヒコ)とマリの熱愛現場が写っていた。恵美はこの写真を公にすると脅し、『東京ローズ』オーディションから降りるようマリに迫るのだった。追いつめられたマリは恵美を自殺に見せかけ殺害してしまう。  　恵美のマンション下を通りかかったカップルが転落する恵美を目撃し、彼らの通報で警察が駆けつける。二岡友成(柄本時生)が鑑識作業をしていると福家警部補(檀れい)が現れた。恵美の部屋に遺書があり、部屋には鍵がかかっていた。自殺のように思われるが福家は、恵美の部屋に残されたさまざまな痕跡や恵美が飼っている文鳥、さらにはテレビの下にあるレコーダーの録画検索ワードに、小野木マリの名前が登録されていることを確認し自殺に疑問を持つのだった・・・。</t>
  </si>
  <si>
    <t>番組名福家警部補の挨拶　#07</t>
  </si>
  <si>
    <t>城北大学の近辺で、黒ずくめの服装で被害者を襲う強盗事件が多発。大学でも学生や教授に事件に対する注意を喚起していた。  　そんなある日、城北法科学科特任教授の柳田嘉文(古谷一行)は、元教え子で同じ大学の講師、池内国雄(みのすけ)の研究室を訪ねる。柳田は、池内に弱みを握られ、警察庁科学警察研究所への推薦を頼まれていた。約束通り推薦したことを伝える柳田。しかし、池内は今後も柳田を利用するため、柳田の弱みの証拠のディスクを返さなかった。その夜、柳田は黒ずくめの衣装で池内を待ち伏せ、殺害してしまう。  　池内の死体は、数時間後に発見され警察の捜査が始まる。陣頭指揮に立つ石松和夫警部(稲垣吾郎)たちは、これまでに発生した一連の強盗事件容疑者による犯行と目星をつけた。しかし、福家警部補(檀れい)は石松の指示に従わず、どこかへ向かってしまう。  　福家は城北大学にある池内の研究室へ。そこに、柳田がやって来る。福家は池内の所持品のキーリングに「自宅」とシールが貼られた鍵が1本だけがあったことに疑問を持っていた。「自宅」と区別する以上は、同じような鍵が別にあったのではないかと、思い当たる。  　その件をはじめ、不審な点を見つけた福家は池内を教えていた柳田に直接話を聞くことにする。そして、福家は何者かが池内の研究室に寸前に入った痕跡に気づく。実は直前まで柳田が証拠を隠滅していたのだった。福家警部補(強行犯第十三係　主任):　檀れい　  石松和夫警部(強行犯第十三係　係長):　稲垣吾郎　  二岡友成巡査(現場鑑識係):　柄本時生　  田所勉警部補(強行犯第十三係　筆頭主任):　中本賢　    柳田嘉文(城北大学法科学科特任教授):　古谷一行毎週「番組特製グッズが当たる!オンエアクイズ」を実施します!  詳しくは番組ホームページをご覧ください。  http://www.fujitv.co.jp/fukuie/index.html【原作】  大倉崇裕(東京創元社/創元推理文庫)　    【脚本】  麻倉圭司　    【企画】  水野綾子　    【編成企画】  清水一幸　    【プロデュース】  貸川聡子　    【演出】  岩田和行　    【音楽】  横山克　    【制作】  フジテレビ　    【制作著作】  共同テレビ</t>
  </si>
  <si>
    <t>城北大学の近辺で、黒ずくめの服装で被害者を襲う強盗事件が多発。大学でも学生や教授に事件に対する注意を喚起していた。  　そんなある日、城北法科学科特任教授の柳田嘉文(古谷一行)は、元教え子で同じ大学の講師、池内国雄(みのすけ)の研究室を訪ねる。柳田は、池内に弱みを握られ、警察庁科学警察研究所への推薦を頼まれていた。約束通り推薦したことを伝える柳田。しかし、池内は今後も柳田を利用するため、柳田の弱みの証拠のディスクを返さなかった。その夜、柳田は黒ずくめの衣装で池内を待ち伏せ、殺害してしまう。  　池内の死体は、数時間後に発見され警察の捜査が始まる。陣頭指揮に立つ石松和夫警部(稲垣吾郎)たちは、これまでに発生した一連の強盗事件容疑者による犯行と目星をつけた。しかし、福家警部補(檀れい)は石松の指示に従わず、どこかへ向かってしまう。  　福家は城北大学にある池内の研究室へ。そこに、柳田がやって来る。福家は池内の所持品のキーリングに「自宅」とシールが貼られた鍵が1本だけがあったことに疑問を持っていた。「自宅」と区別する以上は、同じような鍵が別にあったのではないかと、思い当たる。  　その件をはじめ、不審な点を見つけた福家は池内を教えていた柳田に直接話を聞くことにする。そして、福家は何者かが池内の研究室に寸前に入った痕跡に気づく。実は直前まで柳田が証拠を隠滅していたのだった。</t>
  </si>
  <si>
    <t>番組名福家警部補の挨拶　#08</t>
  </si>
  <si>
    <t>4件の連続強盗事件が続くなか、ついに5件目で、死亡者が出たとあって警察の威信にかけた捜査が続いていた。  　福家警部補(檀れい)は真犯人は、城北大学法科学科特任教授・柳田嘉文(古谷一行)と見て捜査を続けていたが確証が得られないまま、5件すべての事件の犯人は今井圭三(柳憂怜)と断定される。しかし彼は遺体で発見され、事件は終着する。  　福家は捜査を継続しようとするが、これ以上同事件に関わることを許さないと石松警部(稲垣吾郎)に言われてしまう。  　一方、石松も今井が犯人であることを証明する揺るぎない物証が次々と出てくるため、逆に今井が犯人であるのか疑問を持ち始めていた。  　福家が捜査から離れ、二岡鑑識係(柄本時生)らは、福家が警察を辞めてしまうのではと心配しながら、今井の所持品の捜査を続けていた。  　だが、福家がここで引き下がるはずはなかった。福家は柳田教授が徹底して証拠を隠滅しているはずで、殺害された被害者・池内国雄の研究室には証拠はないと考える。そして福家は23年前に亡くなった柳田の妻の実家を訪れ、話を聞いていたのだった。毎週「番組特製グッズが当たる!オンエアクイズ」を実施します!  詳しくは番組ホームページをご覧ください。  http://www.fujitv.co.jp/fukuie/index.html福家警部補(強行犯第十三係　主任):　檀れい　  石松和夫警部(強行犯第十三係　係長):　稲垣吾郎　  二岡友成巡査(現場鑑識係):　柄本時生　  田所勉警部補(強行犯第十三係　筆頭主任):　中本賢　    柳田嘉文(城北大学法科学科特任教授):　古谷一行【原作】  大倉崇裕(東京創元社/創元推理文庫)　    【脚本】  麻倉圭司　    【企画】  水野綾子　    【編成企画】  清水一幸　    【プロデュース】  貸川聡子　    【演出】  岩田和行　    【音楽】  横山克　    【制作】  フジテレビ　    【制作著作】  共同テレビ</t>
  </si>
  <si>
    <t xml:space="preserve">4件の連続強盗事件が続くなか、ついに5件目で、死亡者が出たとあって警察の威信にかけた捜査が続いていた。  　福家警部補(檀れい)は真犯人は、城北大学法科学科特任教授・柳田嘉文(古谷一行)と見て捜査を続けていたが確証が得られないまま、5件すべての事件の犯人は今井圭三(柳憂怜)と断定される。しかし彼は遺体で発見され、事件は終着する。  　福家は捜査を継続しようとするが、これ以上同事件に関わることを許さないと石松警部(稲垣吾郎)に言われてしまう。  　一方、石松も今井が犯人であることを証明する揺るぎない物証が次々と出てくるため、逆に今井が犯人であるのか疑問を持ち始めていた。  　福家が捜査から離れ、二岡鑑識係(柄本時生)らは、福家が警察を辞めてしまうのではと心配しながら、今井の所持品の捜査を続けていた。  　だが、福家がここで引き下がるはずはなかった。福家は柳田教授が徹底して証拠を隠滅しているはずで、殺害された被害者・池内国雄の研究室には証拠はないと考える。そして福家は23年前に亡くなった柳田の妻の実家を訪れ、話を聞いていたのだった。毎週「番組特製グッズが当たる!オンエアクイズ」を実施します!  詳しくは番組ホームページをご覧ください。 </t>
  </si>
  <si>
    <t>番組名福家警部補の挨拶　#09</t>
  </si>
  <si>
    <t>ここは聖南総合病院救命センターの初療室。今は稼働しておらず、備品置き場になっている。  　ある晩、その場所に入ってきたのは、聖南総合病院・外科部長の森本和弘(長谷川公彦)。しかし、彼はこの後死体となって発見されることになる。  　同じ備品置き場にやってきたのは先日、同病院に配属されたばかりと語る眼科医の木原幸信(林遣都)、そして丸山陽子(室井滋)。さらに少し時間をおいて荒川勉(きたろう)が黒い大きなかばんを持って入ってきた。お互い不審人物ではと疑う中、ふいにその隅に、白い布を被った森本医師の死体を発見する。驚きおののく3人のところへさらに福家警部補(檀れい)が入ってくる。遺体に驚きながらも皆に現場を保持するべく動かないよう指示を出す。しかし、刑事であることを証明するものを福家は持っていなかった。同僚の見舞いに来て手洗いに出た後、迷いこんでしまったと説明するが、警察手帳も持たず、いつも通り全く刑事らしくないいでたちのため、誰も福家が刑事だと信じてくれない。かばんを置いてきてしまったため福家は携帯電話も持っていない。その場で唯一携帯電話を持っていた木原が警察に連絡をする。しかし、一向に警察は現れない。福家は3人に質問を重ね、推理を始めるが、他の3人は刑事であるとは信じず、福家は妄想の激しい人間と扱われてしまう。  　福家はこの前代未聞の事態をどうやって切り抜け、真実に迫ることができるのか。福家警部補(強行犯第十三係　主任):　檀れい　  石松和夫警部(強行犯第十三係　係長):　稲垣吾郎　  二岡友成巡査(現場鑑識係):　柄本時生　  田所勉警部補(強行犯第十三係　筆頭主任):　中本賢　    木原幸信(聖南総合病院・眼科医):　林遣都　  丸山陽子(聖南総合病院・外科看護師):　室井滋　  荒川勉(ジェスター製薬株式会社・営業部次長):　きたろう毎週「番組特製グッズが当たる!オンエアクイズ」を実施します!  詳しくは番組ホームページをご覧ください。  http://www.fujitv.co.jp/fukuie/index.html【原作】  大倉崇裕(東京創元社/創元推理文庫)　    【脚本】  麻倉圭司　    【企画】  水野綾子　    【編成企画】  清水一幸　    【プロデュース】  貸川聡子　    【演出】  佐藤祐市　    【音楽】  横山克　    【制作】  フジテレビ　    【制作著作】  共同テレビ</t>
  </si>
  <si>
    <t>ここは聖南総合病院救命センターの初療室。今は稼働しておらず、備品置き場になっている。  　ある晩、その場所に入ってきたのは、聖南総合病院・外科部長の森本和弘(長谷川公彦)。しかし、彼はこの後死体となって発見されることになる。  　同じ備品置き場にやってきたのは先日、同病院に配属されたばかりと語る眼科医の木原幸信(林遣都)、そして丸山陽子(室井滋)。さらに少し時間をおいて荒川勉(きたろう)が黒い大きなかばんを持って入ってきた。お互い不審人物ではと疑う中、ふいにその隅に、白い布を被った森本医師の死体を発見する。驚きおののく3人のところへさらに福家警部補(檀れい)が入ってくる。遺体に驚きながらも皆に現場を保持するべく動かないよう指示を出す。しかし、刑事であることを証明するものを福家は持っていなかった。同僚の見舞いに来て手洗いに出た後、迷いこんでしまったと説明するが、警察手帳も持たず、いつも通り全く刑事らしくないいでたちのため、誰も福家が刑事だと信じてくれない。かばんを置いてきてしまったため福家は携帯電話も持っていない。その場で唯一携帯電話を持っていた木原が警察に連絡をする。しかし、一向に警察は現れない。福家は3人に質問を重ね、推理を始めるが、他の3人は刑事であるとは信じず、福家は妄想の激しい人間と扱われてしまう。  　福家はこの前代未聞の事態をどうやって切り抜け、真実に迫ることができるのか。</t>
  </si>
  <si>
    <t>番組名福家警部補の挨拶　#10</t>
  </si>
  <si>
    <t>菅村巽(岩城滉一)はかつて菅村組三代目組長の婿養子として四代目組長を務めていたが、三代目の娘でもある自身の妻が組同士の抗争に巻き込まれ、失ってしまう。娘を失った三代目は組を解散することを決定。その言葉に従い菅村は組をたたみ、警備会社をたちあげ組員たちを社員として働かせて1年が経とうとしていた。  　そんな四代目を不甲斐なく思った元組員たちがいた。そのひとり、元若頭の遠藤次郎(デビット伊東)は組の復活という要求を菅村にのませるために菅村の長女・菅村比奈(吉田里琴)を誘拐してしまう。だが、遠藤の本当の狙いは組復活によって麻薬の販売ルートを確保することだった。  　菅村は娘とカタギとなった元組員たちを守るため、ある手段をとる。菅村は遠藤とつながる元組員・金沢肇(米村亮太朗)を利用して遠藤に会いに行き、そこで一気に遠藤と金沢を殺害。菅村は、誘拐犯たちが仲間割れにより起こした殺害事件と見せかけることに成功した、はずだった。  　事件現場に駆けつけた福家警部補(檀れい)を石松和夫警部(稲垣吾郎)は制止することなく事件の担当を命じる。というのも、田所勉警部補(中本賢)が凄惨を極める事件現場を正視することもできない状況だったからだ。悲惨な状況に福家は一切動じない。そんな福家の様子を見るにつけ石松は彼女の過去に何があったのかを探らずにはいられないのだった。福家の過去がついに明らかになる時がくるのか…。福家警部補(強行犯第十三係　主任):　檀れい　  石松和夫警部(強行犯第十三係　係長):　稲垣吾郎　  二岡友成巡査(現場鑑識係):　柄本時生　  田所勉警部補(強行犯第十三係　筆頭主任):　中本賢　    菅村巽(元菅村組組長・現警備会社社長):　岩城滉一　  菅村比奈(菅村の娘):　吉田里琴　  遠藤次郎(元菅村組幹部):　デビット伊東　  金沢肇(元菅村組組員):　米村亮太朗毎週「番組特製グッズが当たる!オンエアクイズ」を実施します!  詳しくは番組ホームページをご覧ください。  http://www.fujitv.co.jp/fukuie/index.html【原作】  大倉崇裕(東京創元社/創元推理文庫)　    【脚本】  麻倉圭司　    【企画】  水野綾子　    【編成企画】  清水一幸　    【プロデュース】  貸川聡子　    【演出】  岩田和行　    【音楽】  横山克　    【制作】  フジテレビ　    【制作著作】  共同テレビ</t>
  </si>
  <si>
    <t>菅村巽(岩城滉一)はかつて菅村組三代目組長の婿養子として四代目組長を務めていたが、三代目の娘でもある自身の妻が組同士の抗争に巻き込まれ、失ってしまう。娘を失った三代目は組を解散することを決定。その言葉に従い菅村は組をたたみ、警備会社をたちあげ組員たちを社員として働かせて1年が経とうとしていた。  　そんな四代目を不甲斐なく思った元組員たちがいた。そのひとり、元若頭の遠藤次郎(デビット伊東)は組の復活という要求を菅村にのませるために菅村の長女・菅村比奈(吉田里琴)を誘拐してしまう。だが、遠藤の本当の狙いは組復活によって麻薬の販売ルートを確保することだった。  　菅村は娘とカタギとなった元組員たちを守るため、ある手段をとる。菅村は遠藤とつながる元組員・金沢肇(米村亮太朗)を利用して遠藤に会いに行き、そこで一気に遠藤と金沢を殺害。菅村は、誘拐犯たちが仲間割れにより起こした殺害事件と見せかけることに成功した、はずだった。  　事件現場に駆けつけた福家警部補(檀れい)を石松和夫警部(稲垣吾郎)は制止することなく事件の担当を命じる。というのも、田所勉警部補(中本賢)が凄惨を極める事件現場を正視することもできない状況だったからだ。悲惨な状況に福家は一切動じない。そんな福家の様子を見るにつけ石松は彼女の過去に何があったのかを探らずにはいられないのだった。福家の過去がついに明らかになる時がくるのか…。</t>
  </si>
  <si>
    <t>番組名福家警部補の挨拶　#11</t>
  </si>
  <si>
    <t>車椅子の老女、後藤喜子(八千草薫)がミカンを落とし、通りがかりの男、網山聡(松本実)に拾ってもらう。その間に、老人、後藤秀治(山本學)が網山の持っていた黒かばんと用意していた黒かばんをすり替えた。その後、合流した喜子と秀治。二人は実は夫婦であった。二人は静かに近くの喫茶店へ場所を移す。  　一方、網山は宝石店強盗殺人事件の犯人グループの一人で、この黒かばんを持ったまま、仲間と次の犯罪計画を練っていた。そのとき、すり替えられたかばんに入っていた爆弾がさく裂する。犯人たちは、この爆発で全員即死してしまった。  　野次馬でごった返す爆発現場に駆けつけた福家警部補(檀れい)は、車いすに乗った喜子とぶつかってしまう。この出会いがすべての始まりだった。福家は爆破が起きた際、近くの喫茶店に老夫婦がいたとの証言を得て後藤夫婦の家を訪ねる。この老夫婦に違和感を覚えていたのだ。そんな福家の訪問を夫の秀治はいぶかしむ。だが、喜子はどこかうれしそうに応対していた。  　一方、石松和夫警部(稲垣吾郎)は、福家のこれまでの経歴を把握し、処遇についてある決断をし、告げる。福家は意外な反応をするが…。なぜ自ら捜査一課に異動して来たのか。自身の口から、あることが語られようとしていた。  　福家自らの過去と重なる老夫婦の悲しき犯行。彼女にとって過去最大の捜査が始まろうとしていた。福家警部補(強行犯第十三係　主任):　檀れい　  石松和夫警部(強行犯第十三係　係長):　稲垣吾郎　  二岡友成巡査(現場鑑識係):　柄本時生　  田所勉警部補(強行犯第十三係　筆頭主任):　中本賢　    後藤喜子:　八千草薫　  後藤秀治:　山本學　    矢崎良太郎(宝石店強盗犯):　阿部亮平　  麻生孝史(宝石店強盗犯):　山根和馬　  鳥島秀(宝石店強盗犯):　白洲迅　  網山聡(宝石店強盗犯):　松本実　ほか毎週「番組特製グッズが当たる!オンエアクイズ」を実施します!  詳しくは番組ホームページをご覧ください。  http://www.fujitv.co.jp/fukuie/index.html【原作】  大倉崇裕(東京創元社/創元推理文庫)　    【脚本】  麻倉圭司　    【企画】  水野綾子　    【編成企画】  清水一幸　    【プロデュース】  貸川聡子　    【演出】  岩田和行　    【音楽】  横山克　    【制作】  フジテレビ　    【制作著作】  共同テレビ</t>
  </si>
  <si>
    <t>車椅子の老女、後藤喜子(八千草薫)がミカンを落とし、通りがかりの男、網山聡(松本実)に拾ってもらう。その間に、老人、後藤秀治(山本學)が網山の持っていた黒かばんと用意していた黒かばんをすり替えた。その後、合流した喜子と秀治。二人は実は夫婦であった。二人は静かに近くの喫茶店へ場所を移す。  　一方、網山は宝石店強盗殺人事件の犯人グループの一人で、この黒かばんを持ったまま、仲間と次の犯罪計画を練っていた。そのとき、すり替えられたかばんに入っていた爆弾がさく裂する。犯人たちは、この爆発で全員即死してしまった。  　野次馬でごった返す爆発現場に駆けつけた福家警部補(檀れい)は、車いすに乗った喜子とぶつかってしまう。この出会いがすべての始まりだった。福家は爆破が起きた際、近くの喫茶店に老夫婦がいたとの証言を得て後藤夫婦の家を訪ねる。この老夫婦に違和感を覚えていたのだ。そんな福家の訪問を夫の秀治はいぶかしむ。だが、喜子はどこかうれしそうに応対していた。  　一方、石松和夫警部(稲垣吾郎)は、福家のこれまでの経歴を把握し、処遇についてある決断をし、告げる。福家は意外な反応をするが…。なぜ自ら捜査一課に異動して来たのか。自身の口から、あることが語られようとしていた。  　福家自らの過去と重なる老夫婦の悲しき犯行。彼女にとって過去最大の捜査が始まろうとしていた。</t>
  </si>
  <si>
    <t>1401_CX_火22</t>
  </si>
  <si>
    <t>チーム・バチスタ4</t>
  </si>
  <si>
    <t>番組名チーム・バチスタ4螺鈿迷宮【医師が消えた?】　#01</t>
  </si>
  <si>
    <t>東城医大病院心療内科の特別愁訴外来担当医・田口公平(伊藤淳史)は、ある日、病院長の高階権太(林隆三)の命を受け、地方の総合病院「碧翠院」へ派遣される。碧翠院では、回復の見込みがない患者の痛みを緩和し、積極的延命治療よりQOL(生活の質)を高めることを尊重する“終末期医療"に取り組んでおり、院長の桜宮巌雄(柳葉敏郎)は周辺の死因不明遺体の検死を一手に引き受ける警察医も兼務。2人の娘とともに患者たちから絶大な信頼を得ており、碧翠院を町の人にとってなくてはならない病院に築き上げた。  　到着した田口を出迎えたのは、巌雄の長女で、同院の緩和ケア医でもある桜宮小百合(水野美紀)。そして、次女で産婦人科医の桜宮すみれ(栗山千明)。さらに、そこにはなぜか、厚生労働省の官僚である自らの立場を隠し、皮膚科医として患者を治療する白衣の白鳥圭輔(仲村トオル)の姿もあった。　驚く田口をよそに、ある思惑を抱いて病院に潜入していた白鳥は、久しぶりに碧翠院を訪れたという放射線科医の立花善次(宅間孝行)に声をかけられる。これから桜宮一族に会いに行くという立花は、「この病院で行われていることは重罪だ」と白鳥に告げ、2人は後ほど会う約束を交わす。しかし、時間になっても一向に姿を見せない立花。不思議に思った白鳥が立花について調べると、思わぬ事実が発覚して…。伊藤淳史　  仲村トオル　  栗山千明　  上遠野太洸　  山崎賢人　  渡部豪太  　/　  名取裕子　  林隆三  　/　  西島秀俊  　/　  相築あきこ　  宅間孝行　  左時枝　  水野美紀　  柳葉敏郎【原作】  海堂尊　    【主題歌】  東方神起　「Hide&amp;Seek」　    【脚本】  後藤法子　    【音楽】  羽岡佳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</si>
  <si>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東城医大病院心療内科の特別愁訴外来担当医・田口公平(伊藤淳史)は、ある日、病院長の高階権太(林隆三)の命を受け、地方の総合病院「碧翠院」へ派遣される。碧翠院では、回復の見込みがない患者の痛みを緩和し、積極的延命治療よりQOL(生活の質)を高めることを尊重する“終末期医療"に取り組んでおり、院長の桜宮巌雄(柳葉敏郎)は周辺の死因不明遺体の検死を一手に引き受ける警察医も兼務。2人の娘とともに患者たちから絶大な信頼を得ており、碧翠院を町の人にとってなくてはならない病院に築き上げた。  　到着した田口を出迎えたのは、巌雄の長女で、同院の緩和ケア医でもある桜宮小百合(水野美紀)。そして、次女で産婦人科医の桜宮すみれ(栗山千明)。さらに、そこにはなぜか、厚生労働省の官僚である自らの立場を隠し、皮膚科医として患者を治療する白衣の白鳥圭輔(仲村トオル)の姿もあった。　驚く田口をよそに、ある思惑を抱いて病院に潜入していた白鳥は、久しぶりに碧翠院を訪れたという放射線科医の立花善次(宅間孝行)に声をかけられる。これから桜宮一族に会いに行くという立花は、「この病院で行われていることは重罪だ」と白鳥に告げ、2人は後ほど会う約束を交わす。しかし、時間になっても一向に姿を見せない立花。不思議に思った白鳥が立花について調べると、思わぬ事実が発覚して…。</t>
  </si>
  <si>
    <t>番組名チーム・バチスタ4螺鈿迷宮　#02</t>
  </si>
  <si>
    <t>田口(伊藤淳史)は、碧翠院に「螺鈿の部屋」という、死が迫った患者のみ入れる特別な部屋があることを入院患者たちから聞き出す。巌雄(柳葉敏郎)が家族ぐるみで、その部屋に失踪した立花(宅間孝行)を隠しているのではと考えた白鳥(仲村トオル)は、小百合(水野美紀)に疑心を突き付けて鍵を開けさせ、部屋の中へ。するとそこには、黙々と螺鈿細工を作る小百合の母・華緒(相築あきこ)の姿があった。やがて、部屋を出た白鳥の携帯電話に一通のメールが届く。差出人は“タチバナ"と名乗る人物。メールには、太股と手のCT画像が添付されており、東城医大放射線科の島津(安田顕)に見てもらうと、画像はおそらく死後に撮影されたもので、男性の可能性が高いという。はたして失踪中の立花からのメールか、それとも誰かが立花になりすまして送ってきているのか…?その頃、碧翠院では入院患者のトク(佐々木すみ江)の容体が悪化。トクは苦しみに耐えながらも、立花と小百合が会っていたのを目撃したことは秘密にすると小百合に告げる。一方、白鳥は長野に出向き、立花の自宅で古い写真を発見。そこには、立花と小百合、すみれ(栗山千明)のほかに、見知らぬ少年が写っていてーー。伊藤淳史　  仲村トオル　  栗山千明　  上遠野太洸　  山崎賢人　  相築あきこ　  宅間孝行　  左時枝　  水野美紀　  柳葉敏郎【原作】  海堂尊　    【主題歌】  東方神起　「Hide&amp;Seek」　    【脚本】  後藤法子　    【音楽】  羽岡佳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</si>
  <si>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田口(伊藤淳史)は、碧翠院に「螺鈿の部屋」という、死が迫った患者のみ入れる特別な部屋があることを入院患者たちから聞き出す。巌雄(柳葉敏郎)が家族ぐるみで、その部屋に失踪した立花(宅間孝行)を隠しているのではと考えた白鳥(仲村トオル)は、小百合(水野美紀)に疑心を突き付けて鍵を開けさせ、部屋の中へ。するとそこには、黙々と螺鈿細工を作る小百合の母・華緒(相築あきこ)の姿があった。やがて、部屋を出た白鳥の携帯電話に一通のメールが届く。差出人は“タチバナ"と名乗る人物。メールには、太股と手のCT画像が添付されており、東城医大放射線科の島津(安田顕)に見てもらうと、画像はおそらく死後に撮影されたもので、男性の可能性が高いという。はたして失踪中の立花からのメールか、それとも誰かが立花になりすまして送ってきているのか…?その頃、碧翠院では入院患者のトク(佐々木すみ江)の容体が悪化。トクは苦しみに耐えながらも、立花と小百合が会っていたのを目撃したことは秘密にすると小百合に告げる。一方、白鳥は長野に出向き、立花の自宅で古い写真を発見。そこには、立花と小百合、すみれ(栗山千明)のほかに、見知らぬ少年が写っていてーー。</t>
  </si>
  <si>
    <t>番組名チーム・バチスタ4螺鈿迷宮【CT画像は語る】　#03</t>
  </si>
  <si>
    <t>白鳥(仲村トオル)が、再び送られてきたCT画像を島津(安田顕)に見せると、画像の撮影者が専門家ではない“素人"だと判明。さらに、島津から遺体の推定年齢と骨格の特徴を聞いた白鳥は、心当たりで表情を曇らせ、撮影された場所は碧翠院ではないかと田口(伊藤淳史)に告げる。  一方、碧翠院には、すい臓がんを宣告された25歳の中学校教師・菊池日菜(南沢奈央)が転院してくる。死を間近に感じ、自暴自棄になった日菜は、治療や検査、食事までも一切拒否。そんな日菜に対し、田口は「一緒に頑張っていきましょう」と励ましの言葉をかけるが、かえって日菜を怒らせてしまう。母親をがんで亡くした日菜は、治療に伴う苦しみを十分に知っているため、自分は痛みや苦しみを味わうことなく早く楽に死にたいと考えていたのだ。しかし、消灯後の病室には、おえつをもらしながら、ひそかに涙する日菜の姿があり…。その頃、白鳥の元には“タチバナ"から3通目のメールが届く。1通目には太股と手、2通目には胸と腹のバラバラのCT画像。そして、今回添付されていたのは頭部の画像。後頭部に皮下出血があることに気付いた白鳥は、島津に転送して死因の特定を急ぐ。そして「画像の送り主は、そろそろ明かす気になったみたいだね」と、それが誰の遺体なのか、死因は何なのか、特定に思いをめぐらせ…。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</si>
  <si>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白鳥(仲村トオル)が、再び送られてきたCT画像を島津(安田顕)に見せると、画像の撮影者が専門家ではない“素人"だと判明。さらに、島津から遺体の推定年齢と骨格の特徴を聞いた白鳥は、心当たりで表情を曇らせ、撮影された場所は碧翠院ではないかと田口(伊藤淳史)に告げる。  一方、碧翠院には、すい臓がんを宣告された25歳の中学校教師・菊池日菜(南沢奈央)が転院してくる。死を間近に感じ、自暴自棄になった日菜は、治療や検査、食事までも一切拒否。そんな日菜に対し、田口は「一緒に頑張っていきましょう」と励ましの言葉をかけるが、かえって日菜を怒らせてしまう。母親をがんで亡くした日菜は、治療に伴う苦しみを十分に知っているため、自分は痛みや苦しみを味わうことなく早く楽に死にたいと考えていたのだ。しかし、消灯後の病室には、おえつをもらしながら、ひそかに涙する日菜の姿があり…。その頃、白鳥の元には“タチバナ"から3通目のメールが届く。1通目には太股と手、2通目には胸と腹のバラバラのCT画像。そして、今回添付されていたのは頭部の画像。後頭部に皮下出血があることに気付いた白鳥は、島津に転送して死因の特定を急ぐ。そして「画像の送り主は、そろそろ明かす気になったみたいだね」と、それが誰の遺体なのか、死因は何なのか、特定に思いをめぐらせ…。</t>
  </si>
  <si>
    <t>番組名チーム・バチスタ4螺鈿迷宮【狙われた厚労省】　#04</t>
  </si>
  <si>
    <t>白鳥(仲村トオル)は立花(宅間孝行)の死を確信し、巌雄(柳葉敏郎)を追及するが、巌雄は「さっぱり分からない」と答えるのみ。遺体が見つからない以上、警察は動いてはくれず、完全に行く手を阻まれた白鳥は、碧翠院での立花の目撃者を探すことに。しかし、患者たちから「これ以上、碧翠院を調べ回るのはよしな」と忠告を受ける。そこで、立花のAi画像が碧翠院で撮られたのではと疑う白鳥は、放射線技師の戸山(渡部豪太)に揺さぶりをかける。  　一方、碧翠院では、入院患者のうめ(丘みつ子)の誕生日に、本人の希望で生前葬を行うことになる。乗り気ではない田口(伊藤淳史)とすみれ(栗山千明)をよそに、死は特別な恐怖ではないと教えるのも医者の仕事だと前向きな巌雄。生前葬の前日、田口はうめに夫の墓参りを頼まれ出向くと、そこで、うめの隣人だった男性と出会う。　数日後、戸山にこっそり呼び出された白鳥は、立花から自分宛てにメールが届いていたと打ち明けられる。勤務先の長野の病院の医療ミスを告発しようとしていた立花は、その患者を巌雄が解剖すると知り、事前にAi画像を送ってきていたのだった。しかし、巌雄は、画像を処分するよう指示したという。そして、問題の画像は、自分のパソコンに内緒で保存してあると明かし…。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</si>
  <si>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白鳥(仲村トオル)は立花(宅間孝行)の死を確信し、巌雄(柳葉敏郎)を追及するが、巌雄は「さっぱり分からない」と答えるのみ。遺体が見つからない以上、警察は動いてはくれず、完全に行く手を阻まれた白鳥は、碧翠院での立花の目撃者を探すことに。しかし、患者たちから「これ以上、碧翠院を調べ回るのはよしな」と忠告を受ける。そこで、立花のAi画像が碧翠院で撮られたのではと疑う白鳥は、放射線技師の戸山(渡部豪太)に揺さぶりをかける。  　一方、碧翠院では、入院患者のうめ(丘みつ子)の誕生日に、本人の希望で生前葬を行うことになる。乗り気ではない田口(伊藤淳史)とすみれ(栗山千明)をよそに、死は特別な恐怖ではないと教えるのも医者の仕事だと前向きな巌雄。生前葬の前日、田口はうめに夫の墓参りを頼まれ出向くと、そこで、うめの隣人だった男性と出会う。　数日後、戸山にこっそり呼び出された白鳥は、立花から自分宛てにメールが届いていたと打ち明けられる。勤務先の長野の病院の医療ミスを告発しようとしていた立花は、その患者を巌雄が解剖すると知り、事前にAi画像を送ってきていたのだった。しかし、巌雄は、画像を処分するよう指示したという。そして、問題の画像は、自分のパソコンに内緒で保存してあると明かし…。</t>
  </si>
  <si>
    <t>番組名チーム・バチスタ4螺鈿迷宮【暴かれた解剖ミス】　#05</t>
  </si>
  <si>
    <t>CT室ですみれ(栗山千明)を追い詰めている最中に背後から殴られ、意識を失った白鳥(仲村トオル)。階段の下で倒れているところを救助された白鳥は、自分を殴った人物を探すため、記憶を失くしたふりをすることに。  　すみれは、消されたはずのCT画像が白鳥の手に渡っていると知り激しく動揺するが、姉の小百合(水野美紀)があくまで落ち着いていることにも、いら立ちを覚えていた。そんな中、患者の美智(左時枝)の容体が急変。原因は薬の過剰投与で、処方したのはすみれだった。白鳥は、美智が何かの秘密を知っているが故に、すみれが処方ミスと見せかけて美智を殺そうとしたのではと追及するが、すみれはいつになく感情を高ぶらせ否定。そんなすみれの様子を見た田口(伊藤淳史)は、薬の過剰投与の原因が別にあることを見抜き…。　その頃、入手したCT画像を見ていた白鳥は、画像の、ある箇所に違和感を抱く。ついに巌雄(柳葉敏郎)らを呼び集めた白鳥は、「立花先生が訴えたかった真実が分かった」と切り出し…。伊藤淳史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</si>
  <si>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CT室ですみれ(栗山千明)を追い詰めている最中に背後から殴られ、意識を失った白鳥(仲村トオル)。階段の下で倒れているところを救助された白鳥は、自分を殴った人物を探すため、記憶を失くしたふりをすることに。  　すみれは、消されたはずのCT画像が白鳥の手に渡っていると知り激しく動揺するが、姉の小百合(水野美紀)があくまで落ち着いていることにも、いら立ちを覚えていた。そんな中、患者の美智(左時枝)の容体が急変。原因は薬の過剰投与で、処方したのはすみれだった。白鳥は、美智が何かの秘密を知っているが故に、すみれが処方ミスと見せかけて美智を殺そうとしたのではと追及するが、すみれはいつになく感情を高ぶらせ否定。そんなすみれの様子を見た田口(伊藤淳史)は、薬の過剰投与の原因が別にあることを見抜き…。　その頃、入手したCT画像を見ていた白鳥は、画像の、ある箇所に違和感を抱く。ついに巌雄(柳葉敏郎)らを呼び集めた白鳥は、「立花先生が訴えたかった真実が分かった」と切り出し…。</t>
  </si>
  <si>
    <t>番組名チーム・バチスタ4螺鈿迷宮【目撃者、消される】　#06</t>
  </si>
  <si>
    <t>巌雄(柳葉敏郎)に立花(宅間孝行)殺害への関与を否定された白鳥(仲村トオル)は、桜宮一族と立花の関係を調べ始める。そんな中、患者の神岡(神保悟志)が「病院から出せ」と暴れ出す。すると、神岡の体を支えきれずに倒れ込んだ小百合(水野美紀)は、突然何かを思い出したようにおびえ出し、動けなくなってしまう。田口(伊藤淳史)から、その様子が恋人から暴力を受けた女性の症状に似ていると聞いた白鳥は、小百合が過去に何者かに暴力を振るわれたのではないかと推測し、8年前のある事件にたどりつく。そして、立花殺害は小百合による復讐(ふくしゅう)のための犯行だとして田口やすみれ(栗山千明)の前で小百合を追及するが…。  　その晩、白鳥は小百合の事件と葵(山崎賢人)の死亡事故が、いずれも8年前に起きていることに気付く。同時期に、桜宮家で悲劇が連続して起こったのは偶然なのか?と違和感を覚える田口と白鳥。一方、天馬(上遠野太洸)は桜宮家の重大な秘密を知り、さらに放射線技師の戸山(渡部豪太)は夜、CT室で驚きの光景を目にして……。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</si>
  <si>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巌雄(柳葉敏郎)に立花(宅間孝行)殺害への関与を否定された白鳥(仲村トオル)は、桜宮一族と立花の関係を調べ始める。そんな中、患者の神岡(神保悟志)が「病院から出せ」と暴れ出す。すると、神岡の体を支えきれずに倒れ込んだ小百合(水野美紀)は、突然何かを思い出したようにおびえ出し、動けなくなってしまう。田口(伊藤淳史)から、その様子が恋人から暴力を受けた女性の症状に似ていると聞いた白鳥は、小百合が過去に何者かに暴力を振るわれたのではないかと推測し、8年前のある事件にたどりつく。そして、立花殺害は小百合による復讐(ふくしゅう)のための犯行だとして田口やすみれ(栗山千明)の前で小百合を追及するが…。  　その晩、白鳥は小百合の事件と葵(山崎賢人)の死亡事故が、いずれも8年前に起きていることに気付く。同時期に、桜宮家で悲劇が連続して起こったのは偶然なのか?と違和感を覚える田口と白鳥。一方、天馬(上遠野太洸)は桜宮家の重大な秘密を知り、さらに放射線技師の戸山(渡部豪太)は夜、CT室で驚きの光景を目にして……。</t>
  </si>
  <si>
    <t>番組名チーム・バチスタ4螺鈿迷宮【闇に葬られた殺人】　#07</t>
  </si>
  <si>
    <t>放射線技師・戸山(渡部豪太)が遺体で発見され、白鳥(仲村トオル)は「殺人の可能性が高く、碧翠院の関係者は全員容疑者だ」として、碧翠院と利害関係のない東城医大に解剖を依頼。さらに、田口(伊藤淳史)や刑事の小幡(池内万作)とともに、小百合(水野美紀)の案内で碧翠院の中を詳しく調べ始める。すると、「螺鈿の部屋」の奥にも部屋が設置されていることや、解剖室や桜宮家の住居、病院棟をつなぐ地下通路など、碧翠院は桜宮家の人々が人目につかず敷地内を自由に移動できる構造になっていた。白鳥は、早速、巌雄(柳葉敏郎)らに戸山殺害時のアリバイを確認するが、どれも偽装できそうなものばかり。しかし、巌雄に恩義を感じる警察は、必要以上の捜査をしようとしない。そこで白鳥は、亡くなる2日前の夜、戸山がCT室で密かに遺体を撮影している人物の姿を目撃していたことから、その時に撮影された画像を自ら復元。すると、その特徴が、立花(宅間孝行)の遺体を撮影した人間と同じものだと気付く。やがて、戸山の死因が溺死だと判明するが、同時に睡眠薬も検出され、桜宮一族への疑いはますます強まる。  　一方、戸山が亡くなった晩に、天馬(上遠野太洸)とすみれ(栗山千明)が二人で病院を出て行ったことが明らかに。白鳥が、再び病院を抜け出す二人を見つけ、尾行すると……。伊藤淳史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</si>
  <si>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放射線技師・戸山(渡部豪太)が遺体で発見され、白鳥(仲村トオル)は「殺人の可能性が高く、碧翠院の関係者は全員容疑者だ」として、碧翠院と利害関係のない東城医大に解剖を依頼。さらに、田口(伊藤淳史)や刑事の小幡(池内万作)とともに、小百合(水野美紀)の案内で碧翠院の中を詳しく調べ始める。すると、「螺鈿の部屋」の奥にも部屋が設置されていることや、解剖室や桜宮家の住居、病院棟をつなぐ地下通路など、碧翠院は桜宮家の人々が人目につかず敷地内を自由に移動できる構造になっていた。白鳥は、早速、巌雄(柳葉敏郎)らに戸山殺害時のアリバイを確認するが、どれも偽装できそうなものばかり。しかし、巌雄に恩義を感じる警察は、必要以上の捜査をしようとしない。そこで白鳥は、亡くなる2日前の夜、戸山がCT室で密かに遺体を撮影している人物の姿を目撃していたことから、その時に撮影された画像を自ら復元。すると、その特徴が、立花(宅間孝行)の遺体を撮影した人間と同じものだと気付く。やがて、戸山の死因が溺死だと判明するが、同時に睡眠薬も検出され、桜宮一族への疑いはますます強まる。  　一方、戸山が亡くなった晩に、天馬(上遠野太洸)とすみれ(栗山千明)が二人で病院を出て行ったことが明らかに。白鳥が、再び病院を抜け出す二人を見つけ、尾行すると……。</t>
  </si>
  <si>
    <t>番組名チーム・バチスタ4螺鈿迷宮【殺人犯は死者!?】　#08</t>
  </si>
  <si>
    <t>すみれ(栗山千明)と天馬(上遠野太洸)が何者かと密会していたコテージから、こっそりティーカップを持ち帰った白鳥(仲村トオル)は、刑事の小幡(池内万作)に指紋を調べてほしいと依頼。すると、8年前に起きた連続レイプ事件の容疑者の死亡現場に残されていた指紋と一致する。  小幡によると、容疑者の遺体発見当初、警察は現場の状況から殺人事件と見立てたが、検死を担当した巌雄(柳葉敏郎)が“病死"と判断したため、それ以上の捜査は行われず、残された指紋の持ち主も分からないままだったという。それを聞いた白鳥は、巌雄が何者かをかばって殺人を隠ぺいしたのでは…と推理する。  一方の田口(伊藤淳史)は、事故から8年経った今も、息子・葵(山崎賢人)の死を受け入れられずにいる華緒(相築あきこ)の様子が気になっていた。田口から、華緒が葵のことを話すとき、まるで今も生きているかのように話すと聞いた白鳥は、「葵くんは、本当に生きているのかもしれない」と言い出しーー。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</si>
  <si>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すみれ(栗山千明)と天馬(上遠野太洸)が何者かと密会していたコテージから、こっそりティーカップを持ち帰った白鳥(仲村トオル)は、刑事の小幡(池内万作)に指紋を調べてほしいと依頼。すると、8年前に起きた連続レイプ事件の容疑者の死亡現場に残されていた指紋と一致する。  小幡によると、容疑者の遺体発見当初、警察は現場の状況から殺人事件と見立てたが、検死を担当した巌雄(柳葉敏郎)が“病死"と判断したため、それ以上の捜査は行われず、残された指紋の持ち主も分からないままだったという。それを聞いた白鳥は、巌雄が何者かをかばって殺人を隠ぺいしたのでは…と推理する。  一方の田口(伊藤淳史)は、事故から8年経った今も、息子・葵(山崎賢人)の死を受け入れられずにいる華緒(相築あきこ)の様子が気になっていた。田口から、華緒が葵のことを話すとき、まるで今も生きているかのように話すと聞いた白鳥は、「葵くんは、本当に生きているのかもしれない」と言い出しーー。</t>
  </si>
  <si>
    <t>番組名チーム・バチスタ4螺鈿迷宮【地下迷宮トリック】　#09</t>
  </si>
  <si>
    <t>「螺鈿の部屋」に入った患者が、皆あまりにも“理想的"に亡くなっていることに違和感を覚えた白鳥(仲村トオル)は、碧翠院で安楽死が行われているのではないかと田口(伊藤淳史)に告げる。にわかには信じがたい田口は、巌雄(柳葉敏郎)のルーツをたどるべく、かつて同じ病棟で働いていた東城医大の藤原(名取裕子)の元を訪ねる。  そこで、20年前に外科医として第一線で活躍しながらも過剰な延命治療に反対し、周囲とぶつかっていた巌雄の話を聞く田口。さらに、巌雄のかつての上司だった加賀(山本圭)と出会う。  　その頃、姿を消した葵(山崎賢人)と華緒(相築あきこ)の行方を追う白鳥は、小幡(池内万作)とともに碧翠院の地下通路を探索していた。すると、解剖室や桜宮家とは別に、ある所につながっている通路を発見。  そこには、車椅子が通ったとみられる車輪の跡と、ボタンが一つ落ちていてーー。伊藤淳史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</si>
  <si>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螺鈿の部屋」に入った患者が、皆あまりにも“理想的"に亡くなっていることに違和感を覚えた白鳥(仲村トオル)は、碧翠院で安楽死が行われているのではないかと田口(伊藤淳史)に告げる。にわかには信じがたい田口は、巌雄(柳葉敏郎)のルーツをたどるべく、かつて同じ病棟で働いていた東城医大の藤原(名取裕子)の元を訪ねる。  そこで、20年前に外科医として第一線で活躍しながらも過剰な延命治療に反対し、周囲とぶつかっていた巌雄の話を聞く田口。さらに、巌雄のかつての上司だった加賀(山本圭)と出会う。  　その頃、姿を消した葵(山崎賢人)と華緒(相築あきこ)の行方を追う白鳥は、小幡(池内万作)とともに碧翠院の地下通路を探索していた。すると、解剖室や桜宮家とは別に、ある所につながっている通路を発見。  そこには、車椅子が通ったとみられる車輪の跡と、ボタンが一つ落ちていてーー。</t>
  </si>
  <si>
    <t>番組名チーム・バチスタ4螺鈿迷宮【真犯人は私です】　#10</t>
  </si>
  <si>
    <t>加賀(山本圭)が「螺鈿の部屋」に入り、田口(伊藤淳史)は安楽死を疑う白鳥(仲村トオル)の指示でみとりに立ち会うことに。しかし、加賀が息を引き取るその瞬間まで、巌雄(柳葉敏郎)や小百合(水野美紀)に不審な点は一切見当たらない。疑惑を拭えず、さらに加賀の遺体を調べようと東城医大から島津(安田顕)を呼ぶ白鳥。しかし、安らかな最期をみとった田口は、そんな白鳥について行けず2人は衝突する。　そんな中、巌雄の携帯電話に華緒(相築あきこ)からの着信が。電話をかけてきたのは葵(山崎賢人)で、発作を起こした葵が華緒に重傷を負わせたらしい。小百合やすみれ(栗山千明)は、ひそかに碧翠院に戻った華緒を懸命に処置するが、その様子を田口に見られてしまう。  　ついに葵と向き合う田口と白鳥。しかし、立花殺害、そして戸山殺害の真相は思いもよらないものだったーー。伊藤淳史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</si>
  <si>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加賀(山本圭)が「螺鈿の部屋」に入り、田口(伊藤淳史)は安楽死を疑う白鳥(仲村トオル)の指示でみとりに立ち会うことに。しかし、加賀が息を引き取るその瞬間まで、巌雄(柳葉敏郎)や小百合(水野美紀)に不審な点は一切見当たらない。疑惑を拭えず、さらに加賀の遺体を調べようと東城医大から島津(安田顕)を呼ぶ白鳥。しかし、安らかな最期をみとった田口は、そんな白鳥について行けず2人は衝突する。　そんな中、巌雄の携帯電話に華緒(相築あきこ)からの着信が。電話をかけてきたのは葵(山崎賢人)で、発作を起こした葵が華緒に重傷を負わせたらしい。小百合やすみれ(栗山千明)は、ひそかに碧翠院に戻った華緒を懸命に処置するが、その様子を田口に見られてしまう。  　ついに葵と向き合う田口と白鳥。しかし、立花殺害、そして戸山殺害の真相は思いもよらないものだったーー。</t>
  </si>
  <si>
    <t>番組名チーム・バチスタ4螺鈿迷宮【その医療は正義か、罪か?最大の謎】　#11</t>
  </si>
  <si>
    <t>長野の放射線科医・立花(宅間孝行)と碧翠院の放射線技師・戸山(渡部豪太)を殺害した犯人が明らかになる一方で、碧翠院の患者が皆、不自然なほど穏やかな最期を迎えることに違和感を覚えていた田口(伊藤淳史)と白鳥(仲村トオル)。院長の巌雄(柳葉敏郎)が安楽死を行っているのではと疑いを抱き、田口は看取りに立ち会うが、不審な点は何一つ見つからずにいた。　そんな中、亡くなった患者のAi(死亡時画像診断)画像を見ていた白鳥は、ついに「螺鈿の部屋」で行われている看取りの“からくり"に気付く。証拠を突きつけようと、巌雄を探す2人。だがその頃、「螺鈿の部屋」では既に美智(左時枝)が最期の時を迎えようとしていた。田口と白鳥の動きに気付いた小百合(水野美紀)は、部屋の内側から鍵をかけてしまうーー。　はたして、碧翠院で行われている終末期医療の秘密とは?そして、患者の美智から語られる驚きの真相と、桜宮一族の運命は…!?　いよいよ、田口と白鳥の最後の謎解きが始まる!伊藤淳史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</si>
  <si>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長野の放射線科医・立花(宅間孝行)と碧翠院の放射線技師・戸山(渡部豪太)を殺害した犯人が明らかになる一方で、碧翠院の患者が皆、不自然なほど穏やかな最期を迎えることに違和感を覚えていた田口(伊藤淳史)と白鳥(仲村トオル)。院長の巌雄(柳葉敏郎)が安楽死を行っているのではと疑いを抱き、田口は看取りに立ち会うが、不審な点は何一つ見つからずにいた。　そんな中、亡くなった患者のAi(死亡時画像診断)画像を見ていた白鳥は、ついに「螺鈿の部屋」で行われている看取りの“からくり"に気付く。証拠を突きつけようと、巌雄を探す2人。だがその頃、「螺鈿の部屋」では既に美智(左時枝)が最期の時を迎えようとしていた。田口と白鳥の動きに気付いた小百合(水野美紀)は、部屋の内側から鍵をかけてしまうーー。　はたして、碧翠院で行われている終末期医療の秘密とは?そして、患者の美智から語られる驚きの真相と、桜宮一族の運命は…!?　いよいよ、田口と白鳥の最後の謎解きが始まる!</t>
  </si>
  <si>
    <t>1401_CX_水22</t>
  </si>
  <si>
    <t>僕のいた時間</t>
  </si>
  <si>
    <t>番組名僕のいた時間　#01</t>
  </si>
  <si>
    <t>澤田拓人(三浦春馬)は就職活動中の大学生。実家は山梨で総合病院を営んでおり、母親の佐和子(原田美枝子)や父親の昭夫(小市慢太郎)からは医者になることを期待されていたが、いつからかその期待は4歳下の弟・陸人(野村周平)に向けられるようになっていた。本郷恵(多部未華子)も、ファミレスでアルバイトをしながら懸命に就職活動をしていた。ある商社の集団面接中、電源を切り忘れていた恵の携帯が突然鳴り響いた。母・祥子(浅田美代子)からの電話だった。その時とっさに立ちあがり、自分のせいにして恵をかばったのは、同じ会社を受けていた拓人だった。  拓人が同級生の水島守(風間俊介)と大学内のカフェテリアにいると、そこに、恵が友人の村山陽菜(山本美月)とやってきた。そこで初めて拓人が同じ大学だったということを知り、驚く恵。拓人も例の商社の面接で落ちたと知った恵は、彼に謝った。拓人はそんな恵に、落ちた理由を直接聞きに行こうと言い出す。当たり障りのない回答をされて商社から追い返されてしまった拓人と恵は、1日だけ現実逃避をしようと決め、海へ遊びに行く。シャンパンを飲みながら楽しいひと時を過ごしたふたりは、3年後の自分に向けた手紙を書き、空のボトルに詰めて砂浜に埋めた。拓人は、サークルの先輩で大学院生の向井繁之(斎藤工)に気晴らしに付き合ってもらったりしながら就職活動を続けていたが…。三浦春馬　  多部未華子　    斎藤工　  風間俊介　  山本美月　  野村周平　  浜辺美波　    吹越満　  小市慢太郎　    浅田美代子　  原田美枝子　    ほか【脚本】  橋部敦子　    【プロデュース】  橋本芙美　  江森浩子　  元村次宏　    【編成企画】  中野利幸　    【演出】  葉山裕記　  城宝秀則　    【制作】  フジテレビ　    【制作著作】  共同テレビ</t>
  </si>
  <si>
    <t>澤田拓人(三浦春馬)は就職活動中の大学生。実家は山梨で総合病院を営んでおり、母親の佐和子(原田美枝子)や父親の昭夫(小市慢太郎)からは医者になることを期待されていたが、いつからかその期待は4歳下の弟・陸人(野村周平)に向けられるようになっていた。本郷恵(多部未華子)も、ファミレスでアルバイトをしながら懸命に就職活動をしていた。ある商社の集団面接中、電源を切り忘れていた恵の携帯が突然鳴り響いた。母・祥子(浅田美代子)からの電話だった。その時とっさに立ちあがり、自分のせいにして恵をかばったのは、同じ会社を受けていた拓人だった。  拓人が同級生の水島守(風間俊介)と大学内のカフェテリアにいると、そこに、恵が友人の村山陽菜(山本美月)とやってきた。そこで初めて拓人が同じ大学だったということを知り、驚く恵。拓人も例の商社の面接で落ちたと知った恵は、彼に謝った。拓人はそんな恵に、落ちた理由を直接聞きに行こうと言い出す。当たり障りのない回答をされて商社から追い返されてしまった拓人と恵は、1日だけ現実逃避をしようと決め、海へ遊びに行く。シャンパンを飲みながら楽しいひと時を過ごしたふたりは、3年後の自分に向けた手紙を書き、空のボトルに詰めて砂浜に埋めた。拓人は、サークルの先輩で大学院生の向井繁之(斎藤工)に気晴らしに付き合ってもらったりしながら就職活動を続けていたが…。</t>
  </si>
  <si>
    <t>番組名僕のいた時間　#02</t>
  </si>
  <si>
    <t>澤田拓人(三浦春馬)は、家具販売会社で正社員として働き始める。拓人は、年上のアルバイト店員から仕事を教えられるが覚えなければならないことも多く、懸命についていくような毎日だった。一方、就職活動に失敗した本郷恵(多部未華子)は、卒業後もファミリーレストランでアルバイトをしながら、正社員採用を目指して就活を続けていた。  　ある日、拓人は恵を食事に誘う。久しぶりの再会を果たしたふたりは、お互いの近況を報告しあい、今度は水島守(風間俊介)や村山陽菜(山本美月)も誘って拓人の家で食事をしようと約束して別れる。食事会の日、陽菜とともに拓人のマンションを訪れた恵は、拓人の弟・陸人(野村周平)と初めて顔を合わせる。拓人はまだ仕事から戻っていなかったが、すでに守が来ていた。そこで恵は、守から拓人たちの父親が開業医で、医大に通う陸人がその後を継ぐ予定であることを耳にする。しばらくして拓人が帰宅すると、気を遣って、拓人と恵をふたりだけにしてやる守と陽菜。食事を終えた拓人と恵は、一緒に後片付けをする。しかしその際、恵は新入社員の教育係を押し付けられたことへの不満を口にして拓人とぶつかり、つい彼を傷つけるようなことを言ってしまう。そんな折、寝室で家具の勉強をしていた拓人は、ペットボトルのふたを開けようとした際に、左手に力が入らないことに不安を抱く。三浦春馬　  多部未華子　    斎藤工　  風間俊介　  山本美月　  野村周平　  浜辺美波　    吹越満　  小市慢太郎　    浅田美代子　  原田美枝子　    ほか【脚本】  橋部敦子　    【プロデュース】  橋本芙美　  江森浩子　  元村次宏　    【編成企画】  中野利幸　    【演出】  葉山裕記　  城宝秀則　    【制作】  フジテレビ　    【制作著作】  共同テレビ</t>
  </si>
  <si>
    <t>澤田拓人(三浦春馬)は、家具販売会社で正社員として働き始める。拓人は、年上のアルバイト店員から仕事を教えられるが覚えなければならないことも多く、懸命についていくような毎日だった。一方、就職活動に失敗した本郷恵(多部未華子)は、卒業後もファミリーレストランでアルバイトをしながら、正社員採用を目指して就活を続けていた。  　ある日、拓人は恵を食事に誘う。久しぶりの再会を果たしたふたりは、お互いの近況を報告しあい、今度は水島守(風間俊介)や村山陽菜(山本美月)も誘って拓人の家で食事をしようと約束して別れる。食事会の日、陽菜とともに拓人のマンションを訪れた恵は、拓人の弟・陸人(野村周平)と初めて顔を合わせる。拓人はまだ仕事から戻っていなかったが、すでに守が来ていた。そこで恵は、守から拓人たちの父親が開業医で、医大に通う陸人がその後を継ぐ予定であることを耳にする。しばらくして拓人が帰宅すると、気を遣って、拓人と恵をふたりだけにしてやる守と陽菜。食事を終えた拓人と恵は、一緒に後片付けをする。しかしその際、恵は新入社員の教育係を押し付けられたことへの不満を口にして拓人とぶつかり、つい彼を傷つけるようなことを言ってしまう。そんな折、寝室で家具の勉強をしていた拓人は、ペットボトルのふたを開けようとした際に、左手に力が入らないことに不安を抱く。</t>
  </si>
  <si>
    <t>番組名僕のいた時間　#03</t>
  </si>
  <si>
    <t>突然左腕が動かせなくなった澤田拓人(三浦春馬)は、整形外科を訪ねる。診察をした医師は、頚椎症だと思われるがしばらく様子をみよう、と拓人に告げる。一方、介護施設でボランティアを始めた本郷恵(多部未華子)は、施設の職員から、これからはアルバイトとして来てほしいと誘われる。長年アルバイトを続けてきたファミリーレストランに近ごろ居心地の悪さを感じていた恵は、それを承諾。そんなある日、拓人は恵の家に招待される。恵の母・翔子(浅田美代子)はすっかり拓人のことを気に入った様子だった。仕事中、腕に力が入らず、商品を落として傷をつけてしまった拓人は、再び整形外科を訪れる。医師は、拓人に大学病院の神経内科を紹介した。そこで拓人の診察をしたのは、神経内科医の谷本和志(吹越満)だった。検査の結果を受け、谷本は今後の治療方針を相談するために家族と一緒に病院に来てほしいと拓人に伝えた。だが拓人は、家族はいないとウソをつき、自分ひとりで話を聞くと返す。そこで谷本が拓人に告げた病名は、難病のひとつに指定されているALS=筋萎縮性側索硬化症(きんいしゅくせいそくさくこうかしょう)だった。一睡もできずに朝を迎えた拓人は、そのまま仕事に出かける。その夜、拓人は総合病院の院長を務める父・昭夫(小市慢太郎)に電話するが・・・。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　    【制作著作】  共同テレビ『僕のいた時間』公式HPは、http://www.fujitv.co.jp/bokunoitajikan/</t>
  </si>
  <si>
    <t>突然左腕が動かせなくなった澤田拓人(三浦春馬)は、整形外科を訪ねる。診察をした医師は、頚椎症だと思われるがしばらく様子をみよう、と拓人に告げる。一方、介護施設でボランティアを始めた本郷恵(多部未華子)は、施設の職員から、これからはアルバイトとして来てほしいと誘われる。長年アルバイトを続けてきたファミリーレストランに近ごろ居心地の悪さを感じていた恵は、それを承諾。そんなある日、拓人は恵の家に招待される。恵の母・翔子(浅田美代子)はすっかり拓人のことを気に入った様子だった。仕事中、腕に力が入らず、商品を落として傷をつけてしまった拓人は、再び整形外科を訪れる。医師は、拓人に大学病院の神経内科を紹介した。そこで拓人の診察をしたのは、神経内科医の谷本和志(吹越満)だった。検査の結果を受け、谷本は今後の治療方針を相談するために家族と一緒に病院に来てほしいと拓人に伝えた。だが拓人は、家族はいないとウソをつき、自分ひとりで話を聞くと返す。そこで谷本が拓人に告げた病名は、難病のひとつに指定されているALS=筋萎縮性側索硬化症(きんいしゅくせいそくさくこうかしょう)だった。一睡もできずに朝を迎えた拓人は、そのまま仕事に出かける。その夜、拓人は総合病院の院長を務める父・昭夫(小市慢太郎)に電話するが・・・。</t>
  </si>
  <si>
    <t>番組名僕のいた時間　#04</t>
  </si>
  <si>
    <t>フットサルをしていた拓人(三浦春馬)と繁之(斎藤工)のところに、恵(多部未華子)がやってきた。恵は、繁之に温泉旅行の土産を差し出し、介護のアルバイトをしながら資格を取るための勉強を始めることにした、と報告する。ある夜、拓人のもとに母・佐和子(原田美枝子)から電話が入る。拓人の弟・陸人(野村周平)から、電子ピアノを送ってほしい、と連絡があったという。陸人には何かうまくいかないことがあるとピアノに向かうクセがあることを知る佐和子は、心配でたまらないらしい。そんな母に拓人は、心配なら陸人に直接聞けばいい、と言って電話を切ってしまう。  　別の日、拓人は、神経内科医の谷本(吹越満)を訪ねる。谷本は、役所に特定疾患の申請をするためにも家族には病気のことを話すべきだと勧めた。続けて谷本は、友人や職場の仲間に拓人の気持ちを受け止めてもらえる相手はいるのか、と尋ねる。その言葉に恵のことを思い浮かべた拓人は、大切な人ほど早く話さなければいけないことはわかっている、と返す。拓人は、恵、守(風間俊介)、陽菜(山本美月)を呼んで鍋パーティーを開く。守と陽菜が帰った後、拓人は、病気のことは告げずに、「もしこのまま左手がずっと動かなくなったらどうする?」と恵に尋ねる。すると恵は、「どうもしないよ。ずっと拓人のそばにいるだけ」と答える。そんなある日拓人は恵の母・翔子(浅田美代子)が働いている弁当店を訪ねるが…。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フジテレビ『僕のいた時間』公式HPは、http://www.fujitv.co.jp/bokunoitajikan/</t>
  </si>
  <si>
    <t>フットサルをしていた拓人(三浦春馬)と繁之(斎藤工)のところに、恵(多部未華子)がやってきた。恵は、繁之に温泉旅行の土産を差し出し、介護のアルバイトをしながら資格を取るための勉強を始めることにした、と報告する。ある夜、拓人のもとに母・佐和子(原田美枝子)から電話が入る。拓人の弟・陸人(野村周平)から、電子ピアノを送ってほしい、と連絡があったという。陸人には何かうまくいかないことがあるとピアノに向かうクセがあることを知る佐和子は、心配でたまらないらしい。そんな母に拓人は、心配なら陸人に直接聞けばいい、と言って電話を切ってしまう。  　別の日、拓人は、神経内科医の谷本(吹越満)を訪ねる。谷本は、役所に特定疾患の申請をするためにも家族には病気のことを話すべきだと勧めた。続けて谷本は、友人や職場の仲間に拓人の気持ちを受け止めてもらえる相手はいるのか、と尋ねる。その言葉に恵のことを思い浮かべた拓人は、大切な人ほど早く話さなければいけないことはわかっている、と返す。拓人は、恵、守(風間俊介)、陽菜(山本美月)を呼んで鍋パーティーを開く。守と陽菜が帰った後、拓人は、病気のことは告げずに、「もしこのまま左手がずっと動かなくなったらどうする?」と恵に尋ねる。すると恵は、「どうもしないよ。ずっと拓人のそばにいるだけ」と答える。そんなある日拓人は恵の母・翔子(浅田美代子)が働いている弁当店を訪ねるが…。</t>
  </si>
  <si>
    <t>番組名僕のいた時間　#05</t>
  </si>
  <si>
    <t>拓人(三浦春馬)は、恋人の恵(多部未華子)に別れを告げた。ALSを発症したことは言わなかった。拓人から病気のことを打ち明けられた守(風間俊介)も、恵のことを気にかけていた。しかし拓人は、彼女には絶対に知られたくない、という。同じころ恵は繁之(斎藤工)と会っていた。恵がウォーキングを始めたことを知った繁之は、あくる朝から一緒に歩くことにする。恵は母親の翔子(浅田美代子)にも拓人と別れたことを伝えた。振られたのは、翔子と拓人が一緒に食事した後のことだという。翔子は、拓人が何故自分に会いに来たのか気になっていた。  ある夜、拓人が帰宅すると、母・佐和子(原田美枝子)が来ていた。拓人の弟・陸人(野村周平)が大学に行っていないことを知り、心配してやってきたらしい。佐和子は、陸人の変化に気づかなかったのか、と拓人を責めた。そこに陸人が帰ってきた。陸人に休んでいる理由を尋ねる佐和子。しかし陸人は、これからは行くと言うだけだった。  次の日、佐和子は大学に行くという陸人を見送ると、彼のことを拓人に頼む。そんな佐和子に拓人は、放っておけばいい、と返す。陸人には医者になって跡を継いでもらわないと困る、という佐和子に対し、陸人は医者に向いていない、と言う拓人。すると佐和子は、陸人のことより自分の将来をもっと考えた方がいい、と言い放つ。別の日、拓人は職場の仲間たちにALSであることを告白しようと決意し・・・。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　    【制作著作】  共同テレビ『僕のいた時間』公式HPは、http://www.fujitv.co.jp/bokunoitajikan/</t>
  </si>
  <si>
    <t>拓人(三浦春馬)は、恋人の恵(多部未華子)に別れを告げた。ALSを発症したことは言わなかった。拓人から病気のことを打ち明けられた守(風間俊介)も、恵のことを気にかけていた。しかし拓人は、彼女には絶対に知られたくない、という。同じころ恵は繁之(斎藤工)と会っていた。恵がウォーキングを始めたことを知った繁之は、あくる朝から一緒に歩くことにする。恵は母親の翔子(浅田美代子)にも拓人と別れたことを伝えた。振られたのは、翔子と拓人が一緒に食事した後のことだという。翔子は、拓人が何故自分に会いに来たのか気になっていた。  ある夜、拓人が帰宅すると、母・佐和子(原田美枝子)が来ていた。拓人の弟・陸人(野村周平)が大学に行っていないことを知り、心配してやってきたらしい。佐和子は、陸人の変化に気づかなかったのか、と拓人を責めた。そこに陸人が帰ってきた。陸人に休んでいる理由を尋ねる佐和子。しかし陸人は、これからは行くと言うだけだった。  次の日、佐和子は大学に行くという陸人を見送ると、彼のことを拓人に頼む。そんな佐和子に拓人は、放っておけばいい、と返す。陸人には医者になって跡を継いでもらわないと困る、という佐和子に対し、陸人は医者に向いていない、と言う拓人。すると佐和子は、陸人のことより自分の将来をもっと考えた方がいい、と言い放つ。別の日、拓人は職場の仲間たちにALSであることを告白しようと決意し・・・。</t>
  </si>
  <si>
    <t>番組名僕のいた時間　#06</t>
  </si>
  <si>
    <t>拓人(三浦春馬)が恵(多部未華子)と別れてから1年半以上の月日が流れた。病状が進行した拓人は、電動車椅子を使って生活をしていた。親友の守(風間俊介)は、拓人のもとを度々訪れ、行動をともにしている。拓人の母・佐和子(原田美枝子)は、そんな守に感謝しながらも、大学に行かなくなった次男・陸人(野村周平)のことも心配でならない。一方恵は、介護施設の正社員になり、ALS患者の訪問介護などにも取り組んでいた。ある日恵は、交際している繁之(斎藤工)と相談して、母・翔子(浅田美代子)の誕生日にサプライズで花束を贈る。感激した翔子は、恵のことを頼むと繁之に告げた。拓人は、勤務先の家具屋で病状に合わせた仕事を用意してもらっていた。指先を動かすことが難しくなったいまは、パソコンのマウス操作で出来るレイアウトの仕事をしている。拓人の父・昭夫(小市慢太郎)は、ALSの治療について海外の論文なども調べ、拓人の主治医である谷本(吹越満)を訪ねる。谷本は、拓人に会えずにいる昭夫に、拓人が周囲の理解を得ながら自分に出来ることに懸命に取り組んでいることを伝える。そんなある日、守は、拓人と陸人を誘って電動車椅子サッカーの練習を見学に行く。チームのメンバーから手ほどきを受けながら練習に参加する拓人。その姿を見ていた陸人は、ふいになぜ兄と付き合っているのか、なぜ兄は楽しそうなのか、と守に問いかける。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　    【制作著作】  共同テレビ『僕のいた時間』公式HPは、http://www.fujitv.co.jp/bokunoitajikan/</t>
  </si>
  <si>
    <t>拓人(三浦春馬)が恵(多部未華子)と別れてから1年半以上の月日が流れた。病状が進行した拓人は、電動車椅子を使って生活をしていた。親友の守(風間俊介)は、拓人のもとを度々訪れ、行動をともにしている。拓人の母・佐和子(原田美枝子)は、そんな守に感謝しながらも、大学に行かなくなった次男・陸人(野村周平)のことも心配でならない。一方恵は、介護施設の正社員になり、ALS患者の訪問介護などにも取り組んでいた。ある日恵は、交際している繁之(斎藤工)と相談して、母・翔子(浅田美代子)の誕生日にサプライズで花束を贈る。感激した翔子は、恵のことを頼むと繁之に告げた。拓人は、勤務先の家具屋で病状に合わせた仕事を用意してもらっていた。指先を動かすことが難しくなったいまは、パソコンのマウス操作で出来るレイアウトの仕事をしている。拓人の父・昭夫(小市慢太郎)は、ALSの治療について海外の論文なども調べ、拓人の主治医である谷本(吹越満)を訪ねる。谷本は、拓人に会えずにいる昭夫に、拓人が周囲の理解を得ながら自分に出来ることに懸命に取り組んでいることを伝える。そんなある日、守は、拓人と陸人を誘って電動車椅子サッカーの練習を見学に行く。チームのメンバーから手ほどきを受けながら練習に参加する拓人。その姿を見ていた陸人は、ふいになぜ兄と付き合っているのか、なぜ兄は楽しそうなのか、と守に問いかける。</t>
  </si>
  <si>
    <t>番組名僕のいた時間　#07</t>
  </si>
  <si>
    <t>拓人(三浦春馬)は電動車椅子サッカーの練習中に、恵(多部未華子)と偶然再会した。ある日、恵は、陽菜(山本美月)から電話をもらう。近ごろ守(風間俊介)の様子がおかしいから尾行したいという。つき合わされた恵は、こっそり守の後をつけた。守が向かった先は、拓人が待つ公園だった。恵の手をとって拓人たちの元へと向かう陽菜。拓人は、慌てる守に、サッカーの練習中に恵と会ったことを伝え、せっかくだから4人で食事をしようと提案する。拓人のマンションを訪れた恵たちは、陸人(野村周平)も交えて一緒に食事をする。その途中陽菜は、守と陸人を誘って買い物に出かける。拓人とふたりきりになった恵は、借りていたマフラーを返し忘れていたことを謝った。そのとき、恵の携帯電話に繁之(斎藤工)から電話が入る。恵は、拓人の部屋にいることを打ち明け、帰宅したら事情を話すと繁之に伝える。日曜日、拓人たちのもとに母・佐和子(原田美枝子)と発病以来初めて父・昭夫(小市慢太郎)がやってきた。陸人は父と母に、大学には戻れないと伝えた。佐和子は、辞めることはいつでもできるのだからいま決める必要はない、と主張し、拓人も一度家に戻ろうと提案する。それに対し拓人は、仕事もあるからここに残りたいと返し、介護ヘルパーの利用時間を増やしてほしいと頼む。ひとり暮らしを始めた拓人は、宮前家具の店長から広告の仕事を任せられる。一方守は、恵と繁之の元を訪れ…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　    【制作著作】  共同テレビ『僕のいた時間』公式HPは、http://www.fujitv.co.jp/bokunoitajikan/</t>
  </si>
  <si>
    <t>拓人(三浦春馬)は電動車椅子サッカーの練習中に、恵(多部未華子)と偶然再会した。ある日、恵は、陽菜(山本美月)から電話をもらう。近ごろ守(風間俊介)の様子がおかしいから尾行したいという。つき合わされた恵は、こっそり守の後をつけた。守が向かった先は、拓人が待つ公園だった。恵の手をとって拓人たちの元へと向かう陽菜。拓人は、慌てる守に、サッカーの練習中に恵と会ったことを伝え、せっかくだから4人で食事をしようと提案する。拓人のマンションを訪れた恵たちは、陸人(野村周平)も交えて一緒に食事をする。その途中陽菜は、守と陸人を誘って買い物に出かける。拓人とふたりきりになった恵は、借りていたマフラーを返し忘れていたことを謝った。そのとき、恵の携帯電話に繁之(斎藤工)から電話が入る。恵は、拓人の部屋にいることを打ち明け、帰宅したら事情を話すと繁之に伝える。日曜日、拓人たちのもとに母・佐和子(原田美枝子)と発病以来初めて父・昭夫(小市慢太郎)がやってきた。陸人は父と母に、大学には戻れないと伝えた。佐和子は、辞めることはいつでもできるのだからいま決める必要はない、と主張し、拓人も一度家に戻ろうと提案する。それに対し拓人は、仕事もあるからここに残りたいと返し、介護ヘルパーの利用時間を増やしてほしいと頼む。ひとり暮らしを始めた拓人は、宮前家具の店長から広告の仕事を任せられる。一方守は、恵と繁之の元を訪れ…</t>
  </si>
  <si>
    <t>番組名僕のいた時間　#08</t>
  </si>
  <si>
    <t>拓人(三浦春馬)は、恵(多部未華子)が何度か自宅に手伝いに来てくれたことを守(風間俊介)に話す。恵と繁之(斎藤工)に会いに行き、拓人の手伝いを頼んだのは守だった。一方、恵は「一緒に暮らすことはできない」と繁之に伝える。恵とともに恵の自宅に戻った繁之は、「急ぎ過ぎたのかもしれない」と恵の母・翔子(浅田美代子)に話す。  　主治医の谷本(吹越満)を訪ねた拓人は、広告の仕事で一定の成果を上げたことを報告する。拓人自身は、できるだけ長くいまの職場で働くことを望んでいたが、パソコンのマウスを動かすことができなくなったら仕事を辞めて山梨の実家に帰ることも考えていた。拓人が家に戻ると、陸人(野村周平)が来ていた。実家にいても大学に戻れとしか言われないため、出てきてしまったのだという。  　そんな折、拓人のもとに翔子がやってくる。そこで翔子は、恵が「繁之とは一緒に暮らせない」と言い出したことを拓人に打ち明ける。拓人は、「会って話がしたい」と恵にメールを送った。恵に会った拓人は、「早く繁之と一緒に暮らした方が良いのではないか」と助言する。恵は、そんな拓人に、「一緒にいたい」と自分の気持ちを伝える。しかし拓人は、「生きているだけで精一杯の自分は、誰かの役に立てなくなり、誰かのために何もしてあげられない」と返し・・・。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　    【制作著作】  共同テレビ『僕のいた時間』公式HPは、http://www.fujitv.co.jp/bokunoitajikan/</t>
  </si>
  <si>
    <t>拓人(三浦春馬)は、恵(多部未華子)が何度か自宅に手伝いに来てくれたことを守(風間俊介)に話す。恵と繁之(斎藤工)に会いに行き、拓人の手伝いを頼んだのは守だった。一方、恵は「一緒に暮らすことはできない」と繁之に伝える。恵とともに恵の自宅に戻った繁之は、「急ぎ過ぎたのかもしれない」と恵の母・翔子(浅田美代子)に話す。  　主治医の谷本(吹越満)を訪ねた拓人は、広告の仕事で一定の成果を上げたことを報告する。拓人自身は、できるだけ長くいまの職場で働くことを望んでいたが、パソコンのマウスを動かすことができなくなったら仕事を辞めて山梨の実家に帰ることも考えていた。拓人が家に戻ると、陸人(野村周平)が来ていた。実家にいても大学に戻れとしか言われないため、出てきてしまったのだという。  　そんな折、拓人のもとに翔子がやってくる。そこで翔子は、恵が「繁之とは一緒に暮らせない」と言い出したことを拓人に打ち明ける。拓人は、「会って話がしたい」と恵にメールを送った。恵に会った拓人は、「早く繁之と一緒に暮らした方が良いのではないか」と助言する。恵は、そんな拓人に、「一緒にいたい」と自分の気持ちを伝える。しかし拓人は、「生きているだけで精一杯の自分は、誰かの役に立てなくなり、誰かのために何もしてあげられない」と返し・・・。</t>
  </si>
  <si>
    <t>番組名僕のいた時間　#09</t>
  </si>
  <si>
    <t>拓人(三浦春馬)は、母・佐和子(原田美枝子)に恵(多部未華子)のことを紹介する。その後、本郷家を訪れた拓人は、恵の母・翔子(浅田美代子)に、また恵と親しくさせてもらうことになったと報告した。拓人が帰った後、翔子は、繁之(斎藤工)は納得しているのかと恵に問いかけ、こんなことは許されない、と告げる。  　拓人は、恵とともに主治医の谷本(吹越満)を訪ねる。谷本は、病状が進行し呼吸筋の麻痺が強くなった場合は人工呼吸器を装着することになるが、命に関わる問題でもあるため、そのときは家族も含めて一緒に考えていくことになると拓人と恵に伝える。  　別の日、拓人のマンションに、恵、守(風間俊介)、陽菜(山本美月)が集まり、一緒に食事をすることになった。守は、以前、拓人から捨てるよう頼まれていたペアのマグカップを拓人に返す。その席で、守は陽菜に交際を申し込むが・・・。  　そんなある日、拓人たちの元に、両親がやってくる。陸人(野村周平)が人間関係への不安などから食欲不振に陥っていることを知った父・昭夫(小市慢太郎)は、ただの甘えだと非難した。拓人は、家族だからこそ、陸人の苦しみを理解してやるべきだと昭夫に告げる。  　その夜、拓人の元に、ALS患者の今井保(河原健二)からメールが届く。病状が進み、しゃべることもできなくなった今井がある決断をしたことを知った拓人は・・・。三浦春馬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　    【制作著作】  共同テレビ『僕のいた時間』公式HPは、http://www.fujitv.co.jp/bokunoitajikan/</t>
  </si>
  <si>
    <t>拓人(三浦春馬)は、母・佐和子(原田美枝子)に恵(多部未華子)のことを紹介する。その後、本郷家を訪れた拓人は、恵の母・翔子(浅田美代子)に、また恵と親しくさせてもらうことになったと報告した。拓人が帰った後、翔子は、繁之(斎藤工)は納得しているのかと恵に問いかけ、こんなことは許されない、と告げる。  　拓人は、恵とともに主治医の谷本(吹越満)を訪ねる。谷本は、病状が進行し呼吸筋の麻痺が強くなった場合は人工呼吸器を装着することになるが、命に関わる問題でもあるため、そのときは家族も含めて一緒に考えていくことになると拓人と恵に伝える。  　別の日、拓人のマンションに、恵、守(風間俊介)、陽菜(山本美月)が集まり、一緒に食事をすることになった。守は、以前、拓人から捨てるよう頼まれていたペアのマグカップを拓人に返す。その席で、守は陽菜に交際を申し込むが・・・。  　そんなある日、拓人たちの元に、両親がやってくる。陸人(野村周平)が人間関係への不安などから食欲不振に陥っていることを知った父・昭夫(小市慢太郎)は、ただの甘えだと非難した。拓人は、家族だからこそ、陸人の苦しみを理解してやるべきだと昭夫に告げる。  　その夜、拓人の元に、ALS患者の今井保(河原健二)からメールが届く。病状が進み、しゃべることもできなくなった今井がある決断をしたことを知った拓人は・・・。</t>
  </si>
  <si>
    <t>番組名僕のいた時間　#10</t>
  </si>
  <si>
    <t>『僕のいた時間』公式HPは、http://www.fujitv.co.jp/bokunoitajikan/　拓人(三浦春馬)は、母・佐和子(原田美枝子)に、恵(多部未華子)と一緒に暮らしたいと話す。佐和子は、恵の母・翔子(浅田美代子)のことを気づかいながらも、ふたりの気持ちを尊重する。恵は実家に戻り、必要な荷物をまとめる。そんな恵に対して翔子は、二度とこの家に戻らない覚悟があるなら行きなさい、と告げる。  　一方、医学部を目指して勉強を始めた拓人は、恵や弟・陸人(野村周平)に支えられながら、充実した日々を送る。“メグとたくさん笑った"“メグとシャボン玉をした"と、拓人のノートには、恵と一緒にしたことがいくつもつづられるようになっていた。  　ある日、拓人たちのもとに守(風間俊介)と陽菜(山本美月)がやってくる。拓人と恵は、結婚する守たちに手作りのアロマキャンドルをプレゼントした。そこで拓人は、医学部を受験することを守たちにも打ち明ける。  　一方、陸人は、アルバイトをしようと思っていると拓人に告げる。人と接する仕事はまだ不安があるため、ホームセンターの商品管理をするつもりだという。しかし、商品管理でも人との関わりは避けられない、という拓人の言葉に不安を覚える陸人。すると拓人は、自分も会社の同僚たちに病気のことを知られたらどう思われるか不安に思い、ALS(筋萎縮性側索硬化症)についてのプリントを配るときは緊張した、と話し・・・。  　そんな折、守と陽菜の結婚式が行われる。三浦春馬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　    【制作著作】  共同テレビ</t>
  </si>
  <si>
    <t>拓人(三浦春馬)は、母・佐和子(原田美枝子)に、恵(多部未華子)と一緒に暮らしたいと話す。佐和子は、恵の母・翔子(浅田美代子)のことを気づかいながらも、ふたりの気持ちを尊重する。恵は実家に戻り、必要な荷物をまとめる。そんな恵に対して翔子は、二度とこの家に戻らない覚悟があるなら行きなさい、と告げる。  　一方、医学部を目指して勉強を始めた拓人は、恵や弟・陸人(野村周平)に支えられながら、充実した日々を送る。“メグとたくさん笑った"“メグとシャボン玉をした"と、拓人のノートには、恵と一緒にしたことがいくつもつづられるようになっていた。  　ある日、拓人たちのもとに守(風間俊介)と陽菜(山本美月)がやってくる。拓人と恵は、結婚する守たちに手作りのアロマキャンドルをプレゼントした。そこで拓人は、医学部を受験することを守たちにも打ち明ける。  　一方、陸人は、アルバイトをしようと思っていると拓人に告げる。人と接する仕事はまだ不安があるため、ホームセンターの商品管理をするつもりだという。しかし、商品管理でも人との関わりは避けられない、という拓人の言葉に不安を覚える陸人。すると拓人は、自分も会社の同僚たちに病気のことを知られたらどう思われるか不安に思い、ALS(筋萎縮性側索硬化症)についてのプリントを配るときは緊張した、と話し・・・。  　そんな折、守と陽菜の結婚式が行われる。</t>
  </si>
  <si>
    <t>番組名僕のいた時間　#11</t>
  </si>
  <si>
    <t>『僕のいた時間』公式HPは、http://www.fujitv.co.jp/bokunoitajikan/　死にたいわけじゃない、生きるのが怖いんだ・・・。  　突然姿を消した拓人(三浦春馬)は、降りしきる雨の中、車椅子ごと転倒し病院に収容される。病院へかけつける恵(多部未華子)、守(風間俊介)、弟の陸人(野村周平)、母の佐和子(原田美枝子)、父の昭夫(小市慢太郎)。「今は、拓人さんが周りの人たちと一緒に生きている幸せを実感できるよう、1日、1日を積み重ねていくことに専念しましょう」と、主治医の谷本(吹越満)は、恵たちにそう伝える・・・。  　生きる意味とは?自分が自分であり続けるためには?  　恋人、友人、家族・・・大切な人たちの思いの中で、拓人が見つけた答えとは・・・。三浦春馬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　    【制作著作】  共同テレビ</t>
  </si>
  <si>
    <t>死にたいわけじゃない、生きるのが怖いんだ・・・。  　突然姿を消した拓人(三浦春馬)は、降りしきる雨の中、車椅子ごと転倒し病院に収容される。病院へかけつける恵(多部未華子)、守(風間俊介)、弟の陸人(野村周平)、母の佐和子(原田美枝子)、父の昭夫(小市慢太郎)。「今は、拓人さんが周りの人たちと一緒に生きている幸せを実感できるよう、1日、1日を積み重ねていくことに専念しましょう」と、主治医の谷本(吹越満)は、恵たちにそう伝える・・・。  　生きる意味とは?自分が自分であり続けるためには?  　恋人、友人、家族・・・大切な人たちの思いの中で、拓人が見つけた答えとは・・・。</t>
  </si>
  <si>
    <t>1401_CX_木22</t>
  </si>
  <si>
    <t>医龍4</t>
  </si>
  <si>
    <t>番組名&lt;木曜劇場&gt;医龍4～Team　Medical　Dragon～　#01</t>
  </si>
  <si>
    <t>新シリーズ『医龍4』がいよいよ始まります。今回は『世界か日本か』をテーマに、新キャストに高橋克典、平幹二朗らを加え、かつてない壮大なスケールで幕を開けます。■http://www.fujitv.co.jp/iryu4/■FB:https://www.facebook.com/fujitv.iryu■ツイッターアカウント:@iryu4_TMD_PR　とある紛争地帯でMSAP(万人のための医師団)の一員として活動している朝田龍太郎(坂口憲二)は、治療道具が十分でない中、大けがをした少年のオペに挑んでいた。一方、経営コンサルタントの岡村征(高橋克典)は、海外で商談を成立させると日本の“ある男"に電話をするー。大病院「L&amp;P病院」では、外科部長の木原毅彦(池田鉄洋)が早川昭吾(柄本佑)ら研修医に院内にある最先端設備を誇らしげに紹介していた。同じ地区にありながら古びた「桜井総合病院」は研修医も来ず、医師は院長である桜井修三(平幹二朗)のみという状況。患者の流出も避けられず、肺を患って手術が必要な患者の森本(上條恒彦)も、成功率の低い手術をこの病院で受けるのは不安だと手術を拒んでいた。  　ある日、「L&amp;P病院」のERに救急患者・中原がやってきた。自動検査システムを終えオペが始まる直前になり、検査データを受け取っていた岡村から木原にオペ中止の指示が入る。受け入れを拒否され「L&amp;P病院」を出された中原は、自らの希望もあり「桜井総合病院」に運ばれた。すぐにオペ室に運ばれるが、症状悪化でできる処置がないとの判断が。一同があきらめかけたその時、朝田がやってきた…!自分の恩師である桜井の元で働くことになった朝田は、それぞれの病院で働いている加藤晶(稲森いずみ)、伊集院登(小池徹平)、荒瀬門次(阿部サダヲ)、藤吉圭介(佐々木蔵之介)の元を訪ねる。坂口憲二　  稲森いずみ　  小池徹平　  阿部サダヲ　  キムラ緑子　  柄本佑　  池田鉄洋  　・　  高橋克典　  平幹二朗  　・　  佐々木蔵之介　  夏木マリ　  岸部一徳　    ほか【原作】  乃木坂太郎　    【原案】  永井明『医龍』(小学館　ビッグコミックス刊)　    【脚本】  浜田秀哉　    【プロデュース】  長部聡介　  大木綾子　    【演出】  田中亮　    【音楽】  吉川慶　  澤野弘之　  河野伸　    【制作】  フジテレビドラマ制作部</t>
  </si>
  <si>
    <t>hoge</t>
  </si>
  <si>
    <t>番組名&lt;木曜劇場&gt;医龍4～Team　Medical　Dragon～　#02</t>
  </si>
  <si>
    <t>新シリーズ『医龍4』がいよいよ始まります。今回は『世界か日本か』をテーマに、新キャストに高橋克典、平幹二朗らを加え、かつてない壮大なスケールで幕を開けます。■http://www.fujitv.co.jp/iryu4/■FB:https://www.facebook.com/fujitv.iryu■ツイッターアカウント:@iryu4_TMD_PR　朝田龍太郎(坂口憲二)の呼びかけにより、桜井総合病院に加藤晶(稲森いずみ)、伊集院登(小池徹平)、荒瀬門次(阿部サダヲ)が集結した。朝田はもう1人のチームドラゴンのメンバーである藤吉圭介(佐々木蔵之介)を訪ねてある国立病院へ向かう。しかし、藤吉は最先端医療である心筋シートの研究を行いながら拡張型心筋症を患っている6歳の富田加奈(玉野るな)の治療にあたっているため、桜井総合病院へ移るのは難しい。　一方、L&amp;P病院では、ER部長に鬼頭笙子(夏木マリ)が就任したことで受け入れ率がアップしていた。その実績にともない、L&amp;P病院の顧問である野口賢雄(岸部一徳)と経営コンサルタントの岡村征(高橋克典)は、目論んでいる医療特区構想が着々と進行していることに満足する。  　藤吉が桜井総合病院を訪ねて来た。加奈の病状が悪化していて、心筋シートが使えるようになるまでの間、弱った心臓をなんとか持たせるためのオペを依頼するためだった。難しいオペではあるがチームドラゴンでなら成し遂げられると判断するが、いざオペを行うとなると、桜井総合病院の設備が不十分なことが指摘される。打ち合わせに参加していた桜井修三(平幹二朗)は、L&amp;P病院へ協力を要請することを決める。チームドラゴンがL&amp;P病院に来ると聞いて、ほくそ笑む野口と岡村。  　加奈の転院に合わせて朝田たちもやって来た。偶然、廊下で対峙した朝田と岡村は…。坂口憲二　  稲森いずみ　  小池徹平　  阿部サダヲ　  キムラ緑子　  柄本佑　  池田鉄洋  　・　  高橋克典　  平幹二朗  　・　  佐々木蔵之介　  夏木マリ　  岸部一徳　    ほか【原作】  乃木坂太郎　    【原案】  永井明『医龍』(小学館　ビッグコミックス刊)　    【脚本】  ひかわかよ　    【プロデュース】  長部聡介　  大木綾子　    【演出】  水田成英　    【音楽】  吉川慶　  澤野弘之　  河野伸　    【制作】  フジテレビドラマ制作部</t>
  </si>
  <si>
    <t xml:space="preserve">　朝田龍太郎(坂口憲二)の呼びかけにより、桜井総合病院に加藤晶(稲森いずみ)、伊集院登(小池徹平)、荒瀬門次(阿部サダヲ)が集結した。朝田はもう1人のチームドラゴンのメンバーである藤吉圭介(佐々木蔵之介)を訪ねてある国立病院へ向かう。しかし、藤吉は最先端医療である心筋シートの研究を行いながら拡張型心筋症を患っている6歳の富田加奈(玉野るな)の治療にあたっているため、桜井総合病院へ移るのは難しい。　一方、L&amp;P病院では、ER部長に鬼頭笙子(夏木マリ)が就任したことで受け入れ率がアップしていた。その実績にともない、L&amp;P病院の顧問である野口賢雄(岸部一徳)と経営コンサルタントの岡村征(高橋克典)は、目論んでいる医療特区構想が着々と進行していることに満足する。  　藤吉が桜井総合病院を訪ねて来た。加奈の病状が悪化していて、心筋シートが使えるようになるまでの間、弱った心臓をなんとか持たせるためのオペを依頼するためだった。難しいオペではあるがチームドラゴンでなら成し遂げられると判断するが、いざオペを行うとなると、桜井総合病院の設備が不十分なことが指摘される。打ち合わせに参加していた桜井修三(平幹二朗)は、L&amp;P病院へ協力を要請することを決める。チームドラゴンがL&amp;P病院に来ると聞いて、ほくそ笑む野口と岡村。  　加奈の転院に合わせて朝田たちもやって来た。偶然、廊下で対峙した朝田と岡村は…。</t>
  </si>
  <si>
    <t>番組名&lt;木曜劇場&gt;医龍4～Team　Medical　Dragon～　#03</t>
  </si>
  <si>
    <t>新シリーズ『医龍4』がいよいよ始まります。今回は『世界か日本か』をテーマに、新キャストに高橋克典、平幹二朗らを加え、かつてない壮大なスケールで幕を開けます。■http://www.fujitv.co.jp/iryu4/■FB:https://www.facebook.com/fujitv.iryu■ツイッターアカウント:@iryu4_TMD_PR　朝田龍太郎(坂口憲二)、加藤晶(稲森いずみ)、伊集院登(小池徹平)、荒瀬門次(阿部サダヲ)がL&amp;P病院の施設を借りて手術を予定していた拡張型心筋症の小児患者・富田加奈(玉野るな)だが、手術に必要となる薬が使えないことが判明した。藤吉圭介(佐々木蔵之介)が研究中の心筋シートを使えば手術は可能だが、まだ認可が下りていなかった。  　そんな中、L&amp;P病院に入院中の加奈の様態が急変する。緊急手術が必要となり、朝田は苦渋の決断で救命のための最小限の手術を行うことを提案するが、藤吉はあまりにもリスクが高すぎると反対する。打つ手をなくして黙り込むチームドラゴン。そこへ桜井修三(平幹二朗)がやってきてヒルジンを使うようにと指示を出す。ヒルジンは、加奈が使用できない薬の代用にはなるが、日本では未認可の薬だった。患者のためにベストを尽くすのが医者だという桜井の言葉を聞き、ヒルジンを使う決意をする朝田たち。カンファレンスルームでの朝田たちの会話を廊下で立ち聞きしていた木原毅彦(池田鉄洋)は、慌てて岡村征(高橋克典)に報告に向かう。朝田たちが手術に向かおうとカンファレンスルームを出ると、目の前に岡村が立ちはだかり…。  　朝田たちによる加奈の緊急手術が始まった。見学室には藤吉、岡村のほかL&amp;P病院の医師や研修医たちが集まってくる。そんな中、手術を行っていた朝田の手が急に止まってしまう。坂口憲二　  稲森いずみ　  小池徹平　  阿部サダヲ　  キムラ緑子　  柄本佑　  池田鉄洋  　・　  高橋克典　  平幹二朗  　・　  佐々木蔵之介　  夏木マリ　  岸部一徳　    他【原作】  乃木坂太郎　    【原案】  永井明『医龍』(小学館　ビッグコミックス刊)　    【脚本】  ひかわかよ　    【プロデュース】  長部聡介　  大木綾子　    【演出】  水田成英　    【音楽】  吉川慶　  澤野弘之　  河野伸　    【制作】  フジテレビドラマ制作部</t>
  </si>
  <si>
    <t xml:space="preserve">　朝田龍太郎(坂口憲二)、加藤晶(稲森いずみ)、伊集院登(小池徹平)、荒瀬門次(阿部サダヲ)がL&amp;P病院の施設を借りて手術を予定していた拡張型心筋症の小児患者・富田加奈(玉野るな)だが、手術に必要となる薬が使えないことが判明した。藤吉圭介(佐々木蔵之介)が研究中の心筋シートを使えば手術は可能だが、まだ認可が下りていなかった。  　そんな中、L&amp;P病院に入院中の加奈の様態が急変する。緊急手術が必要となり、朝田は苦渋の決断で救命のための最小限の手術を行うことを提案するが、藤吉はあまりにもリスクが高すぎると反対する。打つ手をなくして黙り込むチームドラゴン。そこへ桜井修三(平幹二朗)がやってきてヒルジンを使うようにと指示を出す。ヒルジンは、加奈が使用できない薬の代用にはなるが、日本では未認可の薬だった。患者のためにベストを尽くすのが医者だという桜井の言葉を聞き、ヒルジンを使う決意をする朝田たち。カンファレンスルームでの朝田たちの会話を廊下で立ち聞きしていた木原毅彦(池田鉄洋)は、慌てて岡村征(高橋克典)に報告に向かう。朝田たちが手術に向かおうとカンファレンスルームを出ると、目の前に岡村が立ちはだかり…。  　朝田たちによる加奈の緊急手術が始まった。見学室には藤吉、岡村のほかL&amp;P病院の医師や研修医たちが集まってくる。そんな中、手術を行っていた朝田の手が急に止まってしまう。</t>
  </si>
  <si>
    <t>番組名&lt;木曜劇場&gt;医龍4～Team　Medical　Dragon～　#04</t>
  </si>
  <si>
    <t>新シリーズ『医龍4』がいよいよ始まります。今回は『世界か日本か』をテーマに、新キャストに高橋克典、平幹二朗らを加え、かつてない壮大なスケールで幕を開けます。■http://www.fujitv.co.jp/iryu4/■FB:https://www.facebook.com/fujitv.iryu■ツイッターアカウント:@iryu4_TMD_PR　朝田龍太郎(坂口憲二)たちチームドラゴンで挑んだ拡張型心筋症の富田加奈(玉野るな)の手術は、藤吉圭介(佐々木蔵之介)が研究していた心筋シートが使用できたことで無事に終了した。野口賢雄(岸部一徳)と岡村征(高橋克典)はそれを大々的に報道。世界最先端の治療を臨床試験として行える“スーパー医療特区"となったL&amp;P病院が世界進出を果たすための手段の一つとして利用していた。  　心筋シートを使う代わりにL&amp;P病院の研究員となった藤吉の研究室に岡村がやってきた。岡村は、藤吉により多くの患者を救うためにアメリカに渡って欲しいと打診する。戸惑う藤吉は…。  　野口が「世界エネルギーサミット」の会場にやってくると、サミット後にL&amp;P病院に視察に来る予定のアフマド大臣が腹痛を訴えていた。虫垂炎と診断した野口はL&amp;P病院に運ばせる。同じころ、桜井総合病院に出前を持ってきたアフリカ人のカビルが腹痛を訴えて倒れた。虫垂炎だとわかり手術を勧めるが、お金も時間もないと断る彼のため、朝田たちは術後の負担が少なくなるように最小限の麻酔や切開で手術を行うことにする。一方、L&amp;P病院へ運ばれたアフマドはロボットによる手術を受けていた。虫垂炎の手術は無事に成功するが、術前検査で異常が発見され…。  　そんな折、岡村は研修医の早川昭吾(柄本佑)に桜井総合病院へ研修に行くよう勧める。さらに岡村は加藤晶(稲森いずみ)も呼び出し…。坂口憲二　  稲森いずみ　  小池徹平　  阿部サダヲ　  キムラ緑子　  柄本佑　  池田鉄洋  　・　  高橋克典　  平幹二朗  　・　  佐々木蔵之介　  夏木マリ　  岸部一徳　    ほか【原作】  乃木坂太郎　    【原案】  永井明(「医龍」小学館　ビッグコミックス刊)　    【脚本】  浜田秀哉　    【プロデュース】  長部聡介　  大木綾子　    【演出】  田中亮　    【音楽】  吉川慶　  澤野弘之　  河野伸　    【制作】  フジテレビドラマ制作部</t>
  </si>
  <si>
    <t xml:space="preserve">　朝田龍太郎(坂口憲二)たちチームドラゴンで挑んだ拡張型心筋症の富田加奈(玉野るな)の手術は、藤吉圭介(佐々木蔵之介)が研究していた心筋シートが使用できたことで無事に終了した。野口賢雄(岸部一徳)と岡村征(高橋克典)はそれを大々的に報道。世界最先端の治療を臨床試験として行える“スーパー医療特区"となったL&amp;P病院が世界進出を果たすための手段の一つとして利用していた。  　心筋シートを使う代わりにL&amp;P病院の研究員となった藤吉の研究室に岡村がやってきた。岡村は、藤吉により多くの患者を救うためにアメリカに渡って欲しいと打診する。戸惑う藤吉は…。  　野口が「世界エネルギーサミット」の会場にやってくると、サミット後にL&amp;P病院に視察に来る予定のアフマド大臣が腹痛を訴えていた。虫垂炎と診断した野口はL&amp;P病院に運ばせる。同じころ、桜井総合病院に出前を持ってきたアフリカ人のカビルが腹痛を訴えて倒れた。虫垂炎だとわかり手術を勧めるが、お金も時間もないと断る彼のため、朝田たちは術後の負担が少なくなるように最小限の麻酔や切開で手術を行うことにする。一方、L&amp;P病院へ運ばれたアフマドはロボットによる手術を受けていた。虫垂炎の手術は無事に成功するが、術前検査で異常が発見され…。  　そんな折、岡村は研修医の早川昭吾(柄本佑)に桜井総合病院へ研修に行くよう勧める。さらに岡村は加藤晶(稲森いずみ)も呼び出し…。</t>
  </si>
  <si>
    <t>番組名&lt;木曜劇場&gt;医龍4～Team　Medical　Dragon～　#05</t>
  </si>
  <si>
    <t>今回は『世界か日本か』をテーマに、新キャストに高橋克典、平幹二朗らを加え、かつてない壮大なスケールでお送りしています。  ■http://www.fujitv.co.jp/iryu4/■FB:https://www.facebook.com/fujitv.iryu■ツイッターアカウント:@iryu4_TMD_PR　朝田龍太郎(坂口憲二)は、荒瀬門次(阿部サダヲ)から桜井修三(平幹二朗)の体重が急速に落ちていることを指摘され、検査を勧めることにする。一方、岡村征(高橋克典)の誘いでL&amp;P病院へ移った加藤晶(稲森いずみ)のところへやってきた鬼頭笙子(夏木マリ)は、岡村には秘密があると告げる。  　同じころ、野口賢雄(岸部一徳)は岡村を呼び出していた。桜井総合病院に患者が移りつつあることを危惧した羽垣院長(藤木孝)が、最短時間を目指して行うオペに最高のスタッフを用意するように指示を出す。やがて岡村がオペのメンバーを報告に行くと、羽垣は麻酔科医を、優秀だと評判の「桜井総合病院の麻酔科医」にするように命令する。  　桜井総合病院では、朝田を中心に次のオペのカンファレンスが行われていた。そんな中、荒瀬と朝田を呼び出した桜井は、岡村の要請を告げる。断ろうとした荒瀬だが、執刀医が羽垣と聞き驚く。  　15年前、羽垣は荒瀬の忠告に耳を貸さずに患者を死亡させたあげく責任を麻酔科医に押し付けていたのだ。話を聞いた朝田は今の荒瀬なら患者を救えるはずだと助言。荒瀬はオペに参加することを決意する。  　患者である7歳の山城蓮の経食道エコーを見ていた荒瀬は、重大な症状を発見。予定しているオペでは蓮を救えないと木原毅彦(池田鉄洋)に訴えるが、院長の診断に異論は唱えられないと一蹴されてしまう。荒瀬は蓮の母親のもとへ行き…。坂口憲二　  稲森いずみ　  小池徹平　  阿部サダヲ　  キムラ緑子　  柄本佑　  池田鉄洋  　・　  高橋克典　  平幹二朗  　・　  夏木マリ　  岸部一徳　  　  ほか【原作】  乃木坂太郎　    【原案】  永井明(「医龍」小学館　ビッグコミックス刊)　    【脚本】  ひかわかよ　    【プロデュース】  長部聡介　  大木綾子　    【演出】  森脇智延　    【音楽】  吉川慶　  澤野弘之　  河野伸　    【制作】  フジテレビドラマ制作部</t>
  </si>
  <si>
    <t xml:space="preserve">　朝田龍太郎(坂口憲二)は、荒瀬門次(阿部サダヲ)から桜井修三(平幹二朗)の体重が急速に落ちていることを指摘され、検査を勧めることにする。一方、岡村征(高橋克典)の誘いでL&amp;P病院へ移った加藤晶(稲森いずみ)のところへやってきた鬼頭笙子(夏木マリ)は、岡村には秘密があると告げる。  　同じころ、野口賢雄(岸部一徳)は岡村を呼び出していた。桜井総合病院に患者が移りつつあることを危惧した羽垣院長(藤木孝)が、最短時間を目指して行うオペに最高のスタッフを用意するように指示を出す。やがて岡村がオペのメンバーを報告に行くと、羽垣は麻酔科医を、優秀だと評判の「桜井総合病院の麻酔科医」にするように命令する。  　桜井総合病院では、朝田を中心に次のオペのカンファレンスが行われていた。そんな中、荒瀬と朝田を呼び出した桜井は、岡村の要請を告げる。断ろうとした荒瀬だが、執刀医が羽垣と聞き驚く。  　15年前、羽垣は荒瀬の忠告に耳を貸さずに患者を死亡させたあげく責任を麻酔科医に押し付けていたのだ。話を聞いた朝田は今の荒瀬なら患者を救えるはずだと助言。荒瀬はオペに参加することを決意する。  　患者である7歳の山城蓮の経食道エコーを見ていた荒瀬は、重大な症状を発見。予定しているオペでは蓮を救えないと木原毅彦(池田鉄洋)に訴えるが、院長の診断に異論は唱えられないと一蹴されてしまう。荒瀬は蓮の母親のもとへ行き…。</t>
  </si>
  <si>
    <t>番組名&lt;木曜劇場&gt;医龍4～Team　Medical　Dragon～　#06</t>
  </si>
  <si>
    <t>今回は『世界か日本か』をテーマに、新キャストに高橋克典、平幹二朗らを加え、かつてない壮大なスケールでお送りしています。  ■http://www.fujitv.co.jp/iryu4/■FB:https://www.facebook.com/fujitv.iryu■ツイッターアカウント:@iryu4_TMD_PR　朝田龍太郎(坂口憲二)は桜井修三(平幹二朗)の検査に立ち会うためL&amp;P病院へやってきた。L&amp;P病院では、新院長の荒瀬門次(阿部サダヲ)が病院内の地位や面子を取り払い、患者にとって最善のオペができる執刀医を決めるようになっていた。実績をあげていることを岡村征(高橋克典)から報告された野口賢雄(岸部一徳)はおもしろくない。  　同じころ、桜井総合病院では衣料品メーカーに勤務する平山千尋(李千鶴)が、桜井に誤診されたと抗議に来ていた。桜井に心臓病と診断されたが、後にL&amp;Pで再検査をしたところ気管支ぜんそくだったという。様子を見ていた早川昭吾(柄本佑)はすぐに岡村に報告。早川の話を聞いていた野口は「誤診は当然」と言い、意味深な笑顔を浮かべる。  　翌日、朝田はもう一度診察させて欲しいと申し出るが、千尋はそれを拒否。正式な謝罪がない場合は訴えると言って帰って行く。帰り道突然声をかけられて千尋が振り向くと、野口が立っていた。  　桜井の検査結果が出た。心臓と脳に動脈瘤(りゅう)が発見され、かなり難しいオペが必要だとわかる。桜井総合病院に戻った朝田は加藤晶(稲森いずみ)、伊集院登(小池徹平)らに検査結果を告げる。病気や過労が千尋の誤診を招いたのではという早川の言葉を否定しきれない加藤たち。  　翌朝、桜井総合病院に抜き打ちで厚労省の医療監査が入る。突然のことに戸惑う一同の前に千尋を連れた野口が現れ…。坂口憲二　  稲森いずみ　  小池徹平　  阿部サダヲ　  キムラ緑子　  柄本佑　  池田鉄洋  　・　  高橋克典　  平幹二朗  　・　  夏木マリ　  岸部一徳　    他【原作】  乃木坂太郎　    【原案】  永井明『医龍』(小学館　ビッグコミックス刊)　    【脚本】  浜田秀哉　    【プロデュース】  長部聡介　  大木綾子　    【演出】  水田成英　    【音楽】  吉川慶　  澤野弘之　  河野伸　    【制作】  フジテレビドラマ制作部</t>
  </si>
  <si>
    <t xml:space="preserve">　朝田龍太郎(坂口憲二)は桜井修三(平幹二朗)の検査に立ち会うためL&amp;P病院へやってきた。L&amp;P病院では、新院長の荒瀬門次(阿部サダヲ)が病院内の地位や面子を取り払い、患者にとって最善のオペができる執刀医を決めるようになっていた。実績をあげていることを岡村征(高橋克典)から報告された野口賢雄(岸部一徳)はおもしろくない。  　同じころ、桜井総合病院では衣料品メーカーに勤務する平山千尋(李千鶴)が、桜井に誤診されたと抗議に来ていた。桜井に心臓病と診断されたが、後にL&amp;Pで再検査をしたところ気管支ぜんそくだったという。様子を見ていた早川昭吾(柄本佑)はすぐに岡村に報告。早川の話を聞いていた野口は「誤診は当然」と言い、意味深な笑顔を浮かべる。  　翌日、朝田はもう一度診察させて欲しいと申し出るが、千尋はそれを拒否。正式な謝罪がない場合は訴えると言って帰って行く。帰り道突然声をかけられて千尋が振り向くと、野口が立っていた。  　桜井の検査結果が出た。心臓と脳に動脈瘤(りゅう)が発見され、かなり難しいオペが必要だとわかる。桜井総合病院に戻った朝田は加藤晶(稲森いずみ)、伊集院登(小池徹平)らに検査結果を告げる。病気や過労が千尋の誤診を招いたのではという早川の言葉を否定しきれない加藤たち。  　翌朝、桜井総合病院に抜き打ちで厚労省の医療監査が入る。突然のことに戸惑う一同の前に千尋を連れた野口が現れ…。</t>
  </si>
  <si>
    <t>番組名&lt;木曜劇場&gt;医龍4～Team　Medical　Dragon～　#07</t>
  </si>
  <si>
    <t>今回は『世界か日本か』をテーマに、新キャストに高橋克典、平幹二朗らを加え、かつてない壮大なスケールでお送りしています。  ■http://www.fujitv.co.jp/iryu4/■FB:https://www.facebook.com/fujitv.iryu■ツイッターアカウント:@iryu4_TMD_PR　L&amp;P病院に入院中の桜井修三(平幹二朗)に検査結果を聞かれた朝田龍太郎(坂口憲二)は、脳に発見された巨大な動脈瘤のことは伏せて胸部大動脈瘤とだけ告げる。  　岡村征(高橋克典)は、野口賢雄(岸部一徳)に次のターゲットは朝田ではなく伊集院登(小池徹平)であると話す。そのころ、伊集院は婚約中の樋口美雪(中村ゆり)に呼び出されていた。明真を辞めたことがばれてしまい、伊集院は桜井総合病院には自分が求めている医療があると必死で訴えるが、美雪は泣き崩れてしまう。  　朝田と加藤晶(稲森いずみ)と荒瀬門次(阿部サダヲ)は、桜井を救うためには脳と心臓の同時オペが必要と判断。朝田と同時にオペのできる優秀な脳外科医を早急に探すことを決めた。帰ろうとする朝田の前に鬼頭笙子(夏木マリ)が現れ、アメリカの脳外科医を探すように助言する。  　美雪から父親の豊(斉木しげる)が末期ガンで余命3カ月と宣告されたと聞いた伊集院。そのことで2人が気まずくなることを心配した豊が桜井総合病院にやってきた。治療を拒否し、ホスピスを探すつもりだと言う豊に伊集院は桜井総合病院への入院を勧める。朝田に豊のオペを打診するが、患者の体に負担がかかるだけでガンを完全に排除することはできないと断られてしまう。うちひしがれる伊集院に、朝田は患者にできることは切ることだけじゃないと話す。  　一方、朝田たちの脳外科医探しも困難を極めていた…。坂口憲二　  稲森いずみ　  小池徹平　  阿部サダヲ　  キムラ緑子　  柄本佑　  池田鉄洋  　・　  高橋克典　  平幹二朗  　・　  夏木マリ　  岸部一徳　    ほか【原作】  乃木坂太郎　    【原案】  永井明(「医龍」小学館　ビッグコミックス刊)　    【脚本】  ひかわかよ　    【プロデュース】  長部聡介　  大木綾子　    【演出】  田中亮　    【音楽】  吉川慶　  澤野弘之　  河野伸　    【制作】  フジテレビドラマ制作部</t>
  </si>
  <si>
    <t xml:space="preserve">　L&amp;P病院に入院中の桜井修三(平幹二朗)に検査結果を聞かれた朝田龍太郎(坂口憲二)は、脳に発見された巨大な動脈瘤のことは伏せて胸部大動脈瘤とだけ告げる。  　岡村征(高橋克典)は、野口賢雄(岸部一徳)に次のターゲットは朝田ではなく伊集院登(小池徹平)であると話す。そのころ、伊集院は婚約中の樋口美雪(中村ゆり)に呼び出されていた。明真を辞めたことがばれてしまい、伊集院は桜井総合病院には自分が求めている医療があると必死で訴えるが、美雪は泣き崩れてしまう。  　朝田と加藤晶(稲森いずみ)と荒瀬門次(阿部サダヲ)は、桜井を救うためには脳と心臓の同時オペが必要と判断。朝田と同時にオペのできる優秀な脳外科医を早急に探すことを決めた。帰ろうとする朝田の前に鬼頭笙子(夏木マリ)が現れ、アメリカの脳外科医を探すように助言する。  　美雪から父親の豊(斉木しげる)が末期ガンで余命3カ月と宣告されたと聞いた伊集院。そのことで2人が気まずくなることを心配した豊が桜井総合病院にやってきた。治療を拒否し、ホスピスを探すつもりだと言う豊に伊集院は桜井総合病院への入院を勧める。朝田に豊のオペを打診するが、患者の体に負担がかかるだけでガンを完全に排除することはできないと断られてしまう。うちひしがれる伊集院に、朝田は患者にできることは切ることだけじゃないと話す。  　一方、朝田たちの脳外科医探しも困難を極めていた…。</t>
  </si>
  <si>
    <t>番組名&lt;木曜劇場&gt;医龍4～Team　Medical　Dragon～　#08</t>
  </si>
  <si>
    <t>今回は『世界か日本か』をテーマに、新キャストに高橋克典、平幹二朗らを加え、かつてない壮大なスケールでお送りしています。  ■http://www.fujitv.co.jp/iryu4/■FB:https://www.facebook.com/fujitv.iryu■ツイッターアカウント:@iryu4_TMD_PR　看護師に呼ばれた朝田龍太郎(坂口憲二)が診察室へ向かうと、中から患者の母親である前原好美の抗議する声が聞こえてきた。診察にあたった早川昭吾(柄本佑)の対応に不満を訴える好美に、朝田は診察を代わる。  　その後、猪原薫(キムラ緑子)に言われて渋々やっていた採血やバイタル測定でも、患者に文句を言われてイライラを募らせていく早川。岡村征(高橋克典)に電話をしてL&amp;P病院へ戻して欲しいと訴えるが、朝田から学ぶことがあるはずだと有無を言わせず切られてしまう。  　L&amp;P病院に移った伊集院登(小池徹平)は、自ら提案した研修医が全部の科を回る新しい研修プログラムを実行していた。早川にも研修プログラムを渡し、時間がある時に受けるように勧めるが、早川は時間がなくプログラムも無意味だと一蹴する。  　一方、加藤晶(稲森いずみ)は桜井修三(平幹二朗)のオペができる医師を探し出した。アメリカで一番と言われている脳外科医のマイク・ボールドウィンで、交渉に入るという加藤に、朝田は症状を考慮して2カ月以内にオペがしたいと言う。  　桜井総合病院に、足のむくみを訴える長沼芳江がやってきた。早川は簡単に診察を済ませ下肢静脈瘤と診断。立ち仕事をしている女性にはよくある症状だと説明し、帰宅させた。  　翌日、呼吸困難で倒れた芳江が運ばれてきた。朝田を呼ぼうとする猪原を止めて早川が治療にあたるが、芳江は意識を失ってしまう。坂口憲二　  稲森いずみ　  小池徹平　  阿部サダヲ　  キムラ緑子　  柄本佑　  池田鉄洋  　・　  高橋克典　  平幹二朗  　・　  夏木マリ　  岸部一徳　    ほか【原作】  乃木坂太郎　    【原案】  永井明(「医龍」小学館　ビッグコミックス刊)　    【脚本】  浜田秀哉　    【プロデュース】  長部聡介　  大木綾子　    【演出】  森脇智延　    【音楽】  吉川慶　  澤野弘之　  河野伸　    【制作】  フジテレビドラマ制作部</t>
  </si>
  <si>
    <t xml:space="preserve">　看護師に呼ばれた朝田龍太郎(坂口憲二)が診察室へ向かうと、中から患者の母親である前原好美の抗議する声が聞こえてきた。診察にあたった早川昭吾(柄本佑)の対応に不満を訴える好美に、朝田は診察を代わる。  　その後、猪原薫(キムラ緑子)に言われて渋々やっていた採血やバイタル測定でも、患者に文句を言われてイライラを募らせていく早川。岡村征(高橋克典)に電話をしてL&amp;P病院へ戻して欲しいと訴えるが、朝田から学ぶことがあるはずだと有無を言わせず切られてしまう。  　L&amp;P病院に移った伊集院登(小池徹平)は、自ら提案した研修医が全部の科を回る新しい研修プログラムを実行していた。早川にも研修プログラムを渡し、時間がある時に受けるように勧めるが、早川は時間がなくプログラムも無意味だと一蹴する。  　一方、加藤晶(稲森いずみ)は桜井修三(平幹二朗)のオペができる医師を探し出した。アメリカで一番と言われている脳外科医のマイク・ボールドウィンで、交渉に入るという加藤に、朝田は症状を考慮して2カ月以内にオペがしたいと言う。  　桜井総合病院に、足のむくみを訴える長沼芳江がやってきた。早川は簡単に診察を済ませ下肢静脈瘤と診断。立ち仕事をしている女性にはよくある症状だと説明し、帰宅させた。  　翌日、呼吸困難で倒れた芳江が運ばれてきた。朝田を呼ぼうとする猪原を止めて早川が治療にあたるが、芳江は意識を失ってしまう。</t>
  </si>
  <si>
    <t>番組名&lt;木曜劇場&gt;医龍4～Team　Medical　Dragon～　#09</t>
  </si>
  <si>
    <t>今回は『世界か日本か』をテーマに、新キャストに高橋克典、平幹二朗らを加え、かつてない壮大なスケールでお送りしています。  ■http://www.fujitv.co.jp/iryu4/■FB:https://www.facebook.com/fujitv.iryu■ツイッターアカウント:@iryu4_TMD_PR　朝田龍太郎(坂口憲二)と同時進行で桜井修三(平幹二朗)のオペを行える脳外科医がみつかった。アメリカの医師のマイク・ボールドウィン(Don　J)で、オペは可能だが2年先でしかも莫大な金額がかかるとの返事に、朝田たちは別の医師を探すことに。  　L&amp;P病院の顧問室に呼び出された加藤晶(稲森いずみ)、伊集院登(小池徹平)、荒瀬門次(阿部サダヲ)は、野口賢雄(岸部一徳)に1週間後に5歳の男児・脇坂将のオペを依頼される。さほど難しいオペではないが、親会社の副社長の息子であるため万全を期してのためだった。  　同じころ、桜井総合病院の朝田を訪ねてきた岡村征(高橋克典)は、古い知人であるマイクにひと月後に桜井のオペを引き受けさせたことを告げる。朝田がL&amp;P病院へ移るのが交換条件だという岡村に朝田は…。  　L&amp;P病院に急患で妊婦の桐山恵美が運ばれてきた。難しい症例であることから受け入れを断ろうとする木原毅彦(池田鉄洋)を制し、岡村は強引に受け入れるように指示を出す。野口が見守る中、加藤、伊集院、荒瀬による将のオペが始まった。その時、恵美の容態が急変した。岡村は、オペ室の伊集院に恵美のオペに回るように訴える。しかし伊集院は手が離せない状態であるうえに、野口の猛抗議にあう。せめて母体だけでも助けようと木原がオペを申し出るが、岡村は母子共に助けると言い張り、朝田を呼ぶために桜井総合病院へ走る。坂口憲二　  稲森いずみ　  小池徹平　  阿部サダヲ　  キムラ緑子　  柄本佑　  池田鉄洋  　・　  高橋克典　  平幹二朗  　・　  夏木マリ　  岸部一徳　    ほか【原作】  乃木坂太郎　    【原案】  永井明(「医龍」小学館　ビッグコミックス刊)　    【脚本】  ひかわかよ　    【プロデュース】  長部聡介　  大木綾子　    【演出】  田中亮　    【音楽】  吉川慶　  澤野弘之　  河野伸　    【制作】  フジテレビドラマ制作部</t>
  </si>
  <si>
    <t xml:space="preserve">　朝田龍太郎(坂口憲二)と同時進行で桜井修三(平幹二朗)のオペを行える脳外科医がみつかった。アメリカの医師のマイク・ボールドウィン(Don　J)で、オペは可能だが2年先でしかも莫大な金額がかかるとの返事に、朝田たちは別の医師を探すことに。  　L&amp;P病院の顧問室に呼び出された加藤晶(稲森いずみ)、伊集院登(小池徹平)、荒瀬門次(阿部サダヲ)は、野口賢雄(岸部一徳)に1週間後に5歳の男児・脇坂将のオペを依頼される。さほど難しいオペではないが、親会社の副社長の息子であるため万全を期してのためだった。  　同じころ、桜井総合病院の朝田を訪ねてきた岡村征(高橋克典)は、古い知人であるマイクにひと月後に桜井のオペを引き受けさせたことを告げる。朝田がL&amp;P病院へ移るのが交換条件だという岡村に朝田は…。  　L&amp;P病院に急患で妊婦の桐山恵美が運ばれてきた。難しい症例であることから受け入れを断ろうとする木原毅彦(池田鉄洋)を制し、岡村は強引に受け入れるように指示を出す。野口が見守る中、加藤、伊集院、荒瀬による将のオペが始まった。その時、恵美の容態が急変した。岡村は、オペ室の伊集院に恵美のオペに回るように訴える。しかし伊集院は手が離せない状態であるうえに、野口の猛抗議にあう。せめて母体だけでも助けようと木原がオペを申し出るが、岡村は母子共に助けると言い張り、朝田を呼ぶために桜井総合病院へ走る。</t>
  </si>
  <si>
    <t>番組名&lt;木曜劇場&gt;医龍4～Team　Medical　Dragon～　#10</t>
  </si>
  <si>
    <t>今回は『世界か日本か』をテーマに、新キャストに高橋克典、平幹二朗らを加え、かつてない壮大なスケールでお送りしています。  ■http://www.fujitv.co.jp/iryu4/■FB:https://www.facebook.com/fujitv.iryu■ツイッターアカウント:@iryu4_TMD_PR　朝田龍太郎(坂口憲二)をL&amp;P病院へ呼ぶのは桜井修三(平幹二朗)の復帰後にするという岡村征(高橋克典)の判断が不満な野口賢雄(岸部一徳)は、自ら桜井総合病院へ出向き朝田が病院を移らなければオペはやらせないと言い放つ。  　30年前、桜井が心臓に人工弁を埋め込むオペをした佐久間邦夫(岡本信人)が桜井総合病院へやってきた。高齢を理由に人工弁交換のオペを断ろうとした佐久間に桜井は自分を待つ患者のため、そして助けようとしてくれる医師たちのために自分も心臓と脳のオペを受けることを話す。佐久間はオペを決断し、それを聞いていた朝田もL&amp;P病院へ移ることを決め、桜井に“佐久間はL&amp;P病院で受け入れる"と話す。  　岡村が野口のもとへ行く。強引な朝田の引き抜き方法を非難する岡村に野口は…。  　朝田がL&amp;P病院へ出勤してきた。顧問室を訪れた朝田は、桜井総合病院との協力関係を続ける約束を確認すると、野口からL&amp;P病院のバッジのついた白衣を受け取る。  　後日、桜井が佐久間を連れてL&amp;P病院に来る。桜井は佐久間を伊集院登(小池徹平)に託すと、顧問室へ向かう。46年ぶりの対面を果たす野口と桜井。桜井は野口にL&amp;P病院を学生時代に思い描いていた理想の病院にして欲しいと言葉をかける。  　そんな中、野口は鬼頭笙子(夏木マリ)に桜井のオペ1週間前のタイミングでチームドラゴンのインド派遣を大々的に発表する予定だと告げ…。坂口憲二　  稲森いずみ　  小池徹平　  阿部サダヲ　  キムラ緑子　  柄本佑　  池田鉄洋  　・　  高橋克典　  平幹二朗  　・　  佐々木蔵之介　  夏木マリ　  岸部一徳　    ほか【原作】  乃木坂太郎　    【原案】  永井明(「医龍」小学館　ビッグコミックス刊)　    【脚本】  浜田秀哉　    【プロデュース】  長部聡介　  大木綾子　    【演出】  水田成英　    【音楽】  吉川慶　  澤野弘之　  河野伸　    【制作】  フジテレビドラマ制作部</t>
  </si>
  <si>
    <t xml:space="preserve">　朝田龍太郎(坂口憲二)をL&amp;P病院へ呼ぶのは桜井修三(平幹二朗)の復帰後にするという岡村征(高橋克典)の判断が不満な野口賢雄(岸部一徳)は、自ら桜井総合病院へ出向き朝田が病院を移らなければオペはやらせないと言い放つ。  　30年前、桜井が心臓に人工弁を埋め込むオペをした佐久間邦夫(岡本信人)が桜井総合病院へやってきた。高齢を理由に人工弁交換のオペを断ろうとした佐久間に桜井は自分を待つ患者のため、そして助けようとしてくれる医師たちのために自分も心臓と脳のオペを受けることを話す。佐久間はオペを決断し、それを聞いていた朝田もL&amp;P病院へ移ることを決め、桜井に“佐久間はL&amp;P病院で受け入れる"と話す。  　岡村が野口のもとへ行く。強引な朝田の引き抜き方法を非難する岡村に野口は…。  　朝田がL&amp;P病院へ出勤してきた。顧問室を訪れた朝田は、桜井総合病院との協力関係を続ける約束を確認すると、野口からL&amp;P病院のバッジのついた白衣を受け取る。  　後日、桜井が佐久間を連れてL&amp;P病院に来る。桜井は佐久間を伊集院登(小池徹平)に託すと、顧問室へ向かう。46年ぶりの対面を果たす野口と桜井。桜井は野口にL&amp;P病院を学生時代に思い描いていた理想の病院にして欲しいと言葉をかける。  　そんな中、野口は鬼頭笙子(夏木マリ)に桜井のオペ1週間前のタイミングでチームドラゴンのインド派遣を大々的に発表する予定だと告げ…。</t>
  </si>
  <si>
    <t>番組名&lt;木曜劇場&gt;医龍4～Team　Medical　Dragon～　#11</t>
  </si>
  <si>
    <t>今回は『世界か日本か』をテーマに、新キャストに高橋克典、平幹二朗らを加え、かつてない壮大なスケールでお送りしています。  ■http://www.fujitv.co.jp/iryu4/■FB:https://www.facebook.com/fujitv.iryu■ツイッターアカウント:@iryu4_TMD_PR　桜井修三(平幹二朗)が倒れた。すぐに朝田龍太郎(坂口憲二)、加藤晶(稲森いずみ)、伊集院登(小池徹平)、荒瀬門次(阿部サダヲ)が待つL&amp;P病院へ救急搬送される。  　検査の結果、心臓と脳の同時オペを決断せざるを得ない危険な状況だった。荒瀬にL&amp;P病院の脳外科医を当たらせるが、あまりにも難易度が高いため全員に不可能だと断られてしまう。朝田は自分が脳の手術も、と言い出すが、荒瀬に反対される。そこへ状況を聞いた藤吉圭介(佐々木蔵之介)から電話が入った。藤吉は、桜井のオペができる脳外科医が日本に1人だけいると告げる。  　桜井のオペが始まった。医師や研修医たちがモニタールームへ急ぐ様子から、桜井のオペが行われているのを知った野口賢雄(岸部一徳)は慌てて見学室に駆け込む。オペを止めようと受話器を取るが、その手を鬼頭笙子(夏木マリ)が阻んだ。一方、モニタールームでオペの様子を見守っていた早川昭吾(柄本佑)は突然部屋を飛び出して行く。  　そんな中、桜井の脳に想定外の症状が発見される。命を救うための術式が提案されるが、朝田はそれを止めた。命を救うだけではなく、桜井を医師として復帰させるのが目的であることを告げ、難易度が跳ね上がる別の術式を提示する。全員が了承し、すぐにオペを再開させるが、残り時間は迫り…。  　野口は黙って見学室を出ていく。残った鬼頭は、ある人物に視線を送るが…。坂口憲二　  稲森いずみ　  小池徹平　  阿部サダヲ　  キムラ緑子　  柄本佑　  池田鉄洋  　・　  高橋克典　  平幹二朗  　・　  佐々木蔵之介　  夏木マリ　  岸部一徳　    ほか【原作】  乃木坂太郎　    【原案】  永井明(「医龍」小学館　ビッグコミックス刊)　    【脚本】  浜田秀哉　    【プロデュース】  長部聡介　  大木綾子　    【演出】  田中亮　    【音楽】  吉川慶　  澤野弘之　  河野伸　    【制作】  フジテレビドラマ制作部</t>
  </si>
  <si>
    <t xml:space="preserve">　桜井修三(平幹二朗)が倒れた。すぐに朝田龍太郎(坂口憲二)、加藤晶(稲森いずみ)、伊集院登(小池徹平)、荒瀬門次(阿部サダヲ)が待つL&amp;P病院へ救急搬送される。  　検査の結果、心臓と脳の同時オペを決断せざるを得ない危険な状況だった。荒瀬にL&amp;P病院の脳外科医を当たらせるが、あまりにも難易度が高いため全員に不可能だと断られてしまう。朝田は自分が脳の手術も、と言い出すが、荒瀬に反対される。そこへ状況を聞いた藤吉圭介(佐々木蔵之介)から電話が入った。藤吉は、桜井のオペができる脳外科医が日本に1人だけいると告げる。  　桜井のオペが始まった。医師や研修医たちがモニタールームへ急ぐ様子から、桜井のオペが行われているのを知った野口賢雄(岸部一徳)は慌てて見学室に駆け込む。オペを止めようと受話器を取るが、その手を鬼頭笙子(夏木マリ)が阻んだ。一方、モニタールームでオペの様子を見守っていた早川昭吾(柄本佑)は突然部屋を飛び出して行く。  　そんな中、桜井の脳に想定外の症状が発見される。命を救うための術式が提案されるが、朝田はそれを止めた。命を救うだけではなく、桜井を医師として復帰させるのが目的であることを告げ、難易度が跳ね上がる別の術式を提示する。全員が了承し、すぐにオペを再開させるが、残り時間は迫り…。  　野口は黙って見学室を出ていく。残った鬼頭は、ある人物に視線を送るが…。</t>
  </si>
  <si>
    <t>1401_CX_金20</t>
  </si>
  <si>
    <t>天誅</t>
  </si>
  <si>
    <t>番組名金曜ドラマ・天誅　闇の仕置人　#01</t>
  </si>
  <si>
    <t>['19', '20']</t>
  </si>
  <si>
    <t>番組HPでは、“あらすじ"や“スペシャルコンテンツ"など公開中。  詳しくはこちら　http://www.fujitv.co.jp/tenchu/index.html　  またYouTubeで公式動画をチェック!　買い物客でにぎわう商店街。突然、柳刃包丁を持った男が飛び出し、通行人に次々と襲いかかる。「ちょっとおやめよ!」逃げ惑う人々に逆流し、村田正子(泉ピン子)は犯人の前に出て行こうとする。するとフードをかぶった、みすぼらしい格好の女(小野ゆり子)が突然現れ、「殺すなら、私を殺せ…」と犯人の前に立ちはだかる。襲いかかる犯人に女は容赦なくとどめを刺そうとするが、正子に止められ立ち去る…。その後、正子は、道端で女が気を失い倒れているのを見つけ、家に連れて帰る。背中に大きな傷のあるサナと名乗るその女は、食べるために人と“契約"をし、命令されれば、人殺しでも厭(いと)わないという壮絶な人生を送っていたという。正子は、そんなサナを放っておけず、しばらくの間面倒をみることにする。  　ある日正子は、サナと行った松田竜次(京本政樹)が指導する古武術介護教室で、オネエのスナックのママ・東条ミツ子(三ツ矢雄二)から、近所の善灯寺で起きた事件のことを聞く。真由美(真飛聖)は、夫・直樹(丸山智己)から激しいDVを受け善灯寺に避難していたのだが、居場所を突き止められてしまう。その後もDV夫のストーカー行為はエスカレート…。真由美は、命までも狙われ、偶然通りかかった弁当配達員の八巻辰(柳沢慎吾)に助けられる。真由美の夫がどうしても許せない正子は、サナとある契約を交わし、“天誅"を命令する。サナ:　小野ゆり子　  村田正子:　泉ピン子　  松田竜次:　京本政樹　  八巻辰:　柳沢慎吾　  東条ミツ子:　三ツ矢雄二　  一之瀬大和:　竹財輝之助　  首藤重吉:　嶋田久作　  三平弥生:　鷲尾真知子　  村田恭子:　白石美帆　    ほか【脚本】  高橋幹子　  根津理香　    【企画】  前田和也(FCC)　  清水一幸(フジテレビ)　    【編成企画】  羽鳥健一(フジテレビ)　    【プロデュース】  中山ケイ子(FCC)　    【協力プロデュース】  竹田浩子(FCC)　    【演出】  西浦正記(FCC)　  小林和紘(FCC)　    【メインテーマ曲】  朝倉紀行　    【音楽】  得田真裕　  真鍋昭大　【主題歌】  Dragon　Ash「Curtain　Call」(Victor/MOB　SQUAD)　    【制作】  フジテレビ　    【制作著作】  FCC</t>
  </si>
  <si>
    <t xml:space="preserve">　買い物客でにぎわう商店街。突然、柳刃包丁を持った男が飛び出し、通行人に次々と襲いかかる。「ちょっとおやめよ!」逃げ惑う人々に逆流し、村田正子(泉ピン子)は犯人の前に出て行こうとする。するとフードをかぶった、みすぼらしい格好の女(小野ゆり子)が突然現れ、「殺すなら、私を殺せ…」と犯人の前に立ちはだかる。襲いかかる犯人に女は容赦なくとどめを刺そうとするが、正子に止められ立ち去る…。その後、正子は、道端で女が気を失い倒れているのを見つけ、家に連れて帰る。背中に大きな傷のあるサナと名乗るその女は、食べるために人と“契約"をし、命令されれば、人殺しでも厭(いと)わないという壮絶な人生を送っていたという。正子は、そんなサナを放っておけず、しばらくの間面倒をみることにする。  　ある日正子は、サナと行った松田竜次(京本政樹)が指導する古武術介護教室で、オネエのスナックのママ・東条ミツ子(三ツ矢雄二)から、近所の善灯寺で起きた事件のことを聞く。真由美(真飛聖)は、夫・直樹(丸山智己)から激しいDVを受け善灯寺に避難していたのだが、居場所を突き止められてしまう。その後もDV夫のストーカー行為はエスカレート…。真由美は、命までも狙われ、偶然通りかかった弁当配達員の八巻辰(柳沢慎吾)に助けられる。真由美の夫がどうしても許せない正子は、サナとある契約を交わし、“天誅"を命令する。</t>
  </si>
  <si>
    <t>番組名金曜ドラマ・天誅　闇の仕置人　#02</t>
  </si>
  <si>
    <t>番組HPでは、“あらすじ"や“スペシャルコンテンツ"など公開中。  詳しくはこちら　http://www.fujitv.co.jp/tenchu/index.html　  またYouTubeで公式動画をチェック!　突如、正子(泉ピン子)の前に現れた背中に傷のある謎の女・サナ(小野ゆり子)。サナはかつて戦国時代の世で忍者として雇い主と契約をし、その命令には逆らわずに生きてきた。正子はサナが天涯孤独だと知り、嫁・恭子(白石美帆)の反対を押し切り家に置くことにする。  　ある日、おネエのスナックママ・ミツ子(三ツ矢雄二)の店「天守閣」に、正子、サナ、松田(京本政樹)が集まっている時、正子の親友・弥生(鷲尾真知子)がやって来て、「自宅にオレオレ詐欺の電話があり引っかかったふりをしたのだが、警察が来られなくなり、助けてくれないか」と皆に持ちかける。　  　面白がったミツ子が犯人を捕まえるため、サナを引き連れ弥生の家で隠れていると、そこに現れたのは、なんと、ミツ子の息子・慎司(森永悠希)だった。慎司は高校生だというのに、オレオレ詐欺の「受け子」という金の集金役をしていたのだ。慎司の姿を見たミツ子は思わず慎司をかばい、慎司はその場を逃げ去る。  　実はミツ子は数年前までは普通のサラリーマンとして家族と暮らしていたのだが、ミツ子がおネエだったことが明らかになり、家族は崩壊。ミツ子は家を追い出され、妻も家を去り、今は祖母(佐々木すみ江)と慎司が2人で暮らしていた。後日、慎司を訪ねたミツ子は、息子が犯罪の道に入ってしまったのは自分のせいだと知り、何とかして慎司を詐欺グループから抜けさせようと、直談判をするのだが…。サナ:　小野ゆり子　  村田正子:　泉ピン子　  松田竜次:　京本政樹　  八巻辰:　柳沢慎吾　  東条ミツ子:　三ツ矢雄二　  一之瀬大和:　竹財輝之助　  首藤重吉:　嶋田久作　  三平弥生:　鷲尾真知子　  村田恭子:　白石美帆　    ほか【脚本】  高橋幹子　  根津理香　    【企画】  前田和也(FCC)　  清水一幸(フジテレビ)　    【編成企画】  羽鳥健一(フジテレビ)　    【プロデュース】  中山ケイ子(FCC)　    【協力プロデュース】  竹田浩子(FCC)　    【演出】  西浦正記(FCC)　  小林和紘(FCC)　    【メインテーマ曲】  朝倉紀行　    【音楽】  得田真裕　  真鍋昭大　【主題歌】  Dragon　Ash「Curtain　Call」(Victor　/　MOB　SQUAD)　    【制作】  フジテレビ　    【制作著作】  FCC</t>
  </si>
  <si>
    <t xml:space="preserve">　突如、正子(泉ピン子)の前に現れた背中に傷のある謎の女・サナ(小野ゆり子)。サナはかつて戦国時代の世で忍者として雇い主と契約をし、その命令には逆らわずに生きてきた。正子はサナが天涯孤独だと知り、嫁・恭子(白石美帆)の反対を押し切り家に置くことにする。  　ある日、おネエのスナックママ・ミツ子(三ツ矢雄二)の店「天守閣」に、正子、サナ、松田(京本政樹)が集まっている時、正子の親友・弥生(鷲尾真知子)がやって来て、「自宅にオレオレ詐欺の電話があり引っかかったふりをしたのだが、警察が来られなくなり、助けてくれないか」と皆に持ちかける。　  　面白がったミツ子が犯人を捕まえるため、サナを引き連れ弥生の家で隠れていると、そこに現れたのは、なんと、ミツ子の息子・慎司(森永悠希)だった。慎司は高校生だというのに、オレオレ詐欺の「受け子」という金の集金役をしていたのだ。慎司の姿を見たミツ子は思わず慎司をかばい、慎司はその場を逃げ去る。  　実はミツ子は数年前までは普通のサラリーマンとして家族と暮らしていたのだが、ミツ子がおネエだったことが明らかになり、家族は崩壊。ミツ子は家を追い出され、妻も家を去り、今は祖母(佐々木すみ江)と慎司が2人で暮らしていた。後日、慎司を訪ねたミツ子は、息子が犯罪の道に入ってしまったのは自分のせいだと知り、何とかして慎司を詐欺グループから抜けさせようと、直談判をするのだが…。</t>
  </si>
  <si>
    <t>番組名金曜ドラマ・天誅　闇の仕置人　#03</t>
  </si>
  <si>
    <t>番組HPでは、“あらすじ"や“スペシャルコンテンツ"など公開中。  詳しくはこちら　http://www.fujitv.co.jp/tenchu/index.html　  またYouTubeで公式動画をチェック!  今なら、第三話をもっと楽しむための予習復習スペシャル動画が見られます!　突如、正子(泉ピン子)の前に現れた背中に傷のある謎の女・サナ(小野ゆり子)。かつて戦国時代の世で忍者として雇い主と契約、その命令に逆らわずに生きてきた。サナは命の恩人正子と契約を結び、互いに心に闇を抱えた仲間として世直しが始まる。  　正子とサナはミツ子(三ツ矢雄二)と知世子(茅島成美)と行った松田(京本政樹)の古武術介護教室で、宅配弁当の配達にやってきた八巻辰(柳沢慎吾)に出会う。軽快なギャグを飛ばす八巻、だが彼には前科があり、今、近所で起きているピッキングによる連続空き巣事件の犯人だと疑われているらしいと知世子は正子に告げる。八巻は、仕事場でも前科のことで仲間から疎んじられていた。  　そんな中、とうとう空き巣事件が殺人事件に発展する。正子たちは、警察などあてにならないと考え、自分たちの身を守るために独自に捜査を始める。サナとパトロールに出た松田はサナの言動や、身のこなしから、サナは忍者で違う時代から『タイムスリップ』してきたのではと冗談めかしてサナに告げる。  　ある夜、サナは、谷原綾音(西原亜希)が、車にひかれそうになったところを助ける。綾音は、娘の麻衣(須田琥珀)が、行方不明になっているために、憔悴(しょうすい)しきっていたのだった。サナは、綾音が一緒に暮らしている睦橋涼(陳内将)の存在を知り、綾音と娘の麻衣の間になにか問題があることに気づくが…。サナ:　小野ゆり子　  村田正子:　泉ピン子　  松田竜次:　京本政樹　  八巻辰:　柳沢慎吾　  東条ミツ子:　三ツ矢雄二　  一之瀬大和:　竹財輝之助　  首藤重吉:　嶋田久作　  三平弥生:　鷲尾真知子　  村田恭子:　白石美帆　    ほか【脚本】  高橋幹子　  根津理香　    【企画】  前田和也(FCC)　  清水一幸(フジテレビ)　    【編成企画】  羽鳥健一(フジテレビ)　    【プロデュース】  中山ケイ子(FCC)　    【協力プロデュース】  竹田浩子(FCC)　    【演出】  西浦正記(FCC)　  小林和紘(FCC)　    【メインテーマ曲】  朝倉紀行　    【音楽】  得田真裕　  真鍋昭大【主題歌】  Dragon　Ash「Curtain　Call」(Victor/MOB　SQUAD)　    【制作】  フジテレビ　    【制作著作】  FCC</t>
  </si>
  <si>
    <t xml:space="preserve">  今なら、第三話をもっと楽しむための予習復習スペシャル動画が見られます!　突如、正子(泉ピン子)の前に現れた背中に傷のある謎の女・サナ(小野ゆり子)。かつて戦国時代の世で忍者として雇い主と契約、その命令に逆らわずに生きてきた。サナは命の恩人正子と契約を結び、互いに心に闇を抱えた仲間として世直しが始まる。  　正子とサナはミツ子(三ツ矢雄二)と知世子(茅島成美)と行った松田(京本政樹)の古武術介護教室で、宅配弁当の配達にやってきた八巻辰(柳沢慎吾)に出会う。軽快なギャグを飛ばす八巻、だが彼には前科があり、今、近所で起きているピッキングによる連続空き巣事件の犯人だと疑われているらしいと知世子は正子に告げる。八巻は、仕事場でも前科のことで仲間から疎んじられていた。  　そんな中、とうとう空き巣事件が殺人事件に発展する。正子たちは、警察などあてにならないと考え、自分たちの身を守るために独自に捜査を始める。サナとパトロールに出た松田はサナの言動や、身のこなしから、サナは忍者で違う時代から『タイムスリップ』してきたのではと冗談めかしてサナに告げる。  　ある夜、サナは、谷原綾音(西原亜希)が、車にひかれそうになったところを助ける。綾音は、娘の麻衣(須田琥珀)が、行方不明になっているために、憔悴(しょうすい)しきっていたのだった。サナは、綾音が一緒に暮らしている睦橋涼(陳内将)の存在を知り、綾音と娘の麻衣の間になにか問題があることに気づくが…。</t>
  </si>
  <si>
    <t>番組名金曜ドラマ・天誅　闇の仕置人　#04</t>
  </si>
  <si>
    <t>番組HPでは、“あらすじ"や“スペシャルコンテンツ"など公開中。  詳しくはこちら　http://www.fujitv.co.jp/tenchu/index.html　  またYouTubeで公式動画をチェック!  第四話の「みどころ」と「サキドリ」スペシャル動画を絶賛配信中!　突如、現代に現れた謎の女・サナ(小野ゆり子)は、命の恩人正子(泉ピン子)と契約を結び、古武術師範・松田(京本政樹)と七色の声を持つミツ子(三ツ矢雄二)、鍵師の八巻(柳沢慎吾)と共に「闇の仕置人」となる。刑事の一之瀬(竹財輝之助)はサナが最近世をにぎわしている「フードマン」事件の当事者であると確信し、サナを問い詰める…。  　八巻が勝手に「ヘルプ天使～トラブル解決します～」という「闇の仕置人」のホームページを立ち上げた。最初の依頼は「三也296」と書かれた謎の暗号メール。八巻とミツ子はそれについて調べ始める。一方、村田家では、嫁の恭子(白石美帆)が娘の加奈子(葵わかな)が高額なお小遣いを要求してきた事を心配していた。正子も不安を感じ、サナに探らせることにする。サナと買い物に出かけた加奈子は、自分は足が不自由なせいでなかなか友達ができず、最近できたミサという友人に合わせるために、色々欲しいものがあるのだと嬉しそうに語る。  　そんな時、再び「ヘルプ天使」のホームページにメールが来る。そこには、「この子、援交しそう、止めて!」という文面と加奈子の画像が…!ミサのバックには援助交際を仕切っているグループの大元締め・秋葉(加藤虎ノ介)がいて、加奈子に援交をさせようとしていた。クラスメートの芹菜(森迫永依)はそれを知り、加奈子を救おうとメールを送ってきていたのだ。サナ:　小野ゆり子　  村田正子:　泉ピン子　  松田竜次:　京本政樹　  八巻辰:　柳沢慎吾　  東条ミツ子:　三ツ矢雄二　  一之瀬大和:　竹財輝之助　  首藤重吉:　嶋田久作　  三平弥生:　鷲尾真知子　  村田恭子:　白石美帆　    ほか【脚本】  高橋幹子　  根津理香　    【企画】  前田和也(FCC)　  清水一幸(フジテレビ)　    【編成企画】  羽鳥健一(フジテレビ)　    【プロデュース】  中山ケイ子(FCC)　    【協力プロデュース】  竹田浩子(FCC)　    【演出】  西浦正記(FCC)　  小林和紘(FCC)　    【メインテーマ曲】  朝倉紀行　    【音楽】  得田真裕　  真鍋昭大【主題歌】  Dragon　Ash「Curtain　Call」(Victor/MOB　SQUAD)　    【制作】  フジテレビ　    【制作著作】  FCC</t>
  </si>
  <si>
    <t xml:space="preserve">  第四話の「みどころ」と「サキドリ」スペシャル動画を絶賛配信中!　突如、現代に現れた謎の女・サナ(小野ゆり子)は、命の恩人正子(泉ピン子)と契約を結び、古武術師範・松田(京本政樹)と七色の声を持つミツ子(三ツ矢雄二)、鍵師の八巻(柳沢慎吾)と共に「闇の仕置人」となる。刑事の一之瀬(竹財輝之助)はサナが最近世をにぎわしている「フードマン」事件の当事者であると確信し、サナを問い詰める…。  　八巻が勝手に「ヘルプ天使～トラブル解決します～」という「闇の仕置人」のホームページを立ち上げた。最初の依頼は「三也296」と書かれた謎の暗号メール。八巻とミツ子はそれについて調べ始める。一方、村田家では、嫁の恭子(白石美帆)が娘の加奈子(葵わかな)が高額なお小遣いを要求してきた事を心配していた。正子も不安を感じ、サナに探らせることにする。サナと買い物に出かけた加奈子は、自分は足が不自由なせいでなかなか友達ができず、最近できたミサという友人に合わせるために、色々欲しいものがあるのだと嬉しそうに語る。  　そんな時、再び「ヘルプ天使」のホームページにメールが来る。そこには、「この子、援交しそう、止めて!」という文面と加奈子の画像が…!ミサのバックには援助交際を仕切っているグループの大元締め・秋葉(加藤虎ノ介)がいて、加奈子に援交をさせようとしていた。クラスメートの芹菜(森迫永依)はそれを知り、加奈子を救おうとメールを送ってきていたのだ。</t>
  </si>
  <si>
    <t>番組名金曜ドラマ・天誅　闇の仕置人　#05</t>
  </si>
  <si>
    <t>番組HPでは、“あらすじ"や“スペシャルコンテンツ"など公開中。  詳しくはこちら　http://www.fujitv.co.jp/tenchu/index.html　  またYouTubeで公式動画をチェック!　突如、現代に現れた背中に傷のある謎の女・サナ(小野ゆり子)。サナは命の恩人・正子(泉ピン子)と契約を結び、古武術師範の松田(京本政樹)、七色の声を持つミツ子(三ツ矢雄二)、どんな鍵でも開けてしまう八巻(柳沢慎吾)と共に世直しを始める。刑事の一之瀬(竹財輝之助)はサナに頼まれた24年前の正子の娘・ゆかり(南乃彩希)の失踪事件を調べるが、上司の首藤(嶋田久作)に妨害される…。　抽選で当たった老人ホームの一泊二日の体験入居に参加することになった正子と弥生(鷲尾真知子)と知世子(茅島成美)。フレンチのフルコース付き、しかも理事長の桜井(合田雅吏)はかなりのイケメンと評判でノリノリで参加した3人だが、正子はホームで働く雪乃(吉井怜)が、入居者から冷たくされているのが気になり、スナック「天守閣」の名刺を渡す。  　ある日「天守閣」を訪れた雪乃は正子たちに、自分の担当する入居者が目を離したすきに次々と不審な死を遂げ、“死神"と呼ばれている悩みを打ち明ける。雪乃の思いつめた様子が気になっていた正子だが数日後、雪乃が自殺を図り病院に運ばれたと連絡が入る。雪乃は桜井理事長から“入居者の死は雪乃のせい"と言われ解雇を言い渡され、自分を責め自殺を図ったのである。入居者の死の裏には何かある。もしや、この老人ホームは「ブラック企業」ではないかと思った正子たち仕置人は、調査を始める。サナ:　小野ゆり子　  村田正子:　泉ピン子　  松田竜次:　京本政樹　  八巻辰:　柳沢慎吾　  東条ミツ子:　三ツ矢雄二　  一之瀬大和:　竹財輝之助　  首藤重吉:　嶋田久作　  三平弥生:　鷲尾真知子　  村田恭子:　白石美帆　    ほか【脚本】  高橋幹子　  根津理香　    【企画】  前田和也(FCC)　  清水一幸(フジテレビ)　    【編成企画】  羽鳥健一(フジテレビ)　    【プロデュース】  中山ケイ子(FCC)　    【協力プロデュース】  竹田浩子(FCC)　    【演出】  西浦正記(FCC)　  小林和紘(FCC)　    【メインテーマ曲】  朝倉紀行　    【音楽】  得田真裕　  真鍋昭大【主題歌】  Dragon　Ash「Curtain　Call」(Victor/MOB　SQUAD)　    【制作】  フジテレビ　    【制作著作】  FCC</t>
  </si>
  <si>
    <t xml:space="preserve">　突如、現代に現れた背中に傷のある謎の女・サナ(小野ゆり子)。サナは命の恩人・正子(泉ピン子)と契約を結び、古武術師範の松田(京本政樹)、七色の声を持つミツ子(三ツ矢雄二)、どんな鍵でも開けてしまう八巻(柳沢慎吾)と共に世直しを始める。刑事の一之瀬(竹財輝之助)はサナに頼まれた24年前の正子の娘・ゆかり(南乃彩希)の失踪事件を調べるが、上司の首藤(嶋田久作)に妨害される…。　抽選で当たった老人ホームの一泊二日の体験入居に参加することになった正子と弥生(鷲尾真知子)と知世子(茅島成美)。フレンチのフルコース付き、しかも理事長の桜井(合田雅吏)はかなりのイケメンと評判でノリノリで参加した3人だが、正子はホームで働く雪乃(吉井怜)が、入居者から冷たくされているのが気になり、スナック「天守閣」の名刺を渡す。  　ある日「天守閣」を訪れた雪乃は正子たちに、自分の担当する入居者が目を離したすきに次々と不審な死を遂げ、“死神"と呼ばれている悩みを打ち明ける。雪乃の思いつめた様子が気になっていた正子だが数日後、雪乃が自殺を図り病院に運ばれたと連絡が入る。雪乃は桜井理事長から“入居者の死は雪乃のせい"と言われ解雇を言い渡され、自分を責め自殺を図ったのである。入居者の死の裏には何かある。もしや、この老人ホームは「ブラック企業」ではないかと思った正子たち仕置人は、調査を始める。</t>
  </si>
  <si>
    <t>番組名金曜ドラマ・天誅　闇の仕置人　#06</t>
  </si>
  <si>
    <t>突如、現代に現れた謎の女・サナ(小野ゆり子)。サナは正子(泉ピン子)、松田(京本政樹)、八巻(柳沢慎吾)、ミツ子(三ツ矢雄二)らと闇の仕置人となる。スナック「天守閣」に会社員の安藤尊(阪田マサノブ)がやってきて、妻の夏帆(小林綾子)が4歳の息子の育児を放棄し家事もせず、しかも300万円の借金をしたらしいので離婚したい、そのための証拠を集めてほしいと依頼してくる。どうも興信所と勘違いしている安藤の態度に納得がいかない正子たちだが、子供が心配なので調査を始めることに…。調査の結果、夏帆の息子が通う幼稚園はママ友の山田雅江(紫吹淳)と仲間が牛耳っており、ママ友に高価なブランドバッグが安く手に入ると勧め、夏帆はそのバッグを買うために借金したらしいと判明する。正子が水道屋のふりをして夏帆の家を訪問すると、荒れ果てた部屋に疲れ切った夏帆とお腹をすかせた長男の姿があった。しかも夏帆は外に出ること、特に幼稚園に行くことに異常に怯えていた。夏帆はただの買い物依存症ではなく何か裏があると考えた正子たちは聞き込みを始め、信じられない真実にたどりつく。  　一方、首藤刑事(嶋田久作)はサナたちの正体を突き止めつつあった。それを知った一之瀬(竹財輝之助)は「定年まであと1カ月なのに24年前の連続少女失踪事件はこのままでいいのか?」と首藤を問い詰める。そんな中、サナは敵対関係にある一之瀬にひかれ始めていた。サナ:　小野ゆり子　  村田正子:　泉ピン子　  松田竜次:　京本政樹　  八巻辰:　柳沢慎吾　  東条ミツ子:　三ツ矢雄二　  一之瀬大和:　竹財輝之助　  首藤重吉:　嶋田久作　  三平弥生:　鷲尾真知子　  村田恭子:　白石美帆　    ほか番組HPでは、“あらすじ"や“スペシャルコンテンツ"など公開中。  詳しくはこちら　http://www.fujitv.co.jp/tenchu/index.html　  またYouTubeで公式動画をチェック!  第6話の「みどころ」と「サキドリ」スペシャル動画を絶賛配信中!【脚本】  高橋幹子　  根津理香　    【企画】  前田和也(FCC)　  清水一幸(フジテレビ)　    【編成企画】  羽鳥健一(フジテレビ)　    【プロデュース】  中山ケイ子(FCC)　    【協力プロデュース】  竹田浩子(FCC)　    【演出】  西浦正記(FCC)　  小林和紘(FCC)　    【メインテーマ曲】  朝倉紀行　    【音楽】  得田真裕　  真鍋昭大【主題歌】  Dragon　Ash「Curtain　Call」(Victor/MOB　SQUAD)　    【制作】  フジテレビ　    【制作著作】  FCC</t>
  </si>
  <si>
    <t>突如、現代に現れた謎の女・サナ(小野ゆり子)。サナは正子(泉ピン子)、松田(京本政樹)、八巻(柳沢慎吾)、ミツ子(三ツ矢雄二)らと闇の仕置人となる。スナック「天守閣」に会社員の安藤尊(阪田マサノブ)がやってきて、妻の夏帆(小林綾子)が4歳の息子の育児を放棄し家事もせず、しかも300万円の借金をしたらしいので離婚したい、そのための証拠を集めてほしいと依頼してくる。どうも興信所と勘違いしている安藤の態度に納得がいかない正子たちだが、子供が心配なので調査を始めることに…。調査の結果、夏帆の息子が通う幼稚園はママ友の山田雅江(紫吹淳)と仲間が牛耳っており、ママ友に高価なブランドバッグが安く手に入ると勧め、夏帆はそのバッグを買うために借金したらしいと判明する。正子が水道屋のふりをして夏帆の家を訪問すると、荒れ果てた部屋に疲れ切った夏帆とお腹をすかせた長男の姿があった。しかも夏帆は外に出ること、特に幼稚園に行くことに異常に怯えていた。夏帆はただの買い物依存症ではなく何か裏があると考えた正子たちは聞き込みを始め、信じられない真実にたどりつく。  　一方、首藤刑事(嶋田久作)はサナたちの正体を突き止めつつあった。それを知った一之瀬(竹財輝之助)は「定年まであと1カ月なのに24年前の連続少女失踪事件はこのままでいいのか?」と首藤を問い詰める。そんな中、サナは敵対関係にある一之瀬にひかれ始めていた。</t>
  </si>
  <si>
    <t>番組名金曜ドラマ・天誅　闇の仕置人　#07</t>
  </si>
  <si>
    <t>正子(泉ピン子)の家に「娘の事件の真相を知っている…」と書かれた怪文書が届く。怪文書が届いてから様子のおかしい正子を心配するサナ(小野ゆり子)に、正子は24年前に娘・ゆかり(南乃紗希)が失踪した事件のことをゆっくりと語りだす。正子の苦しみを知ったサナは怪文書を一之瀬刑事(竹財輝之助)に託し調査を依頼する。  　スナック「天守閣」に森山佳織(雛形あきこ)が怯えた様子で駆け込んできた。佳織は半年前に会社経営の森山(秋山真太郎)と結婚し、幸せな日々を送っていたが半月ほど前から誰かに命を狙われていて、このままだと殺されてしまうと正子たちに助けを求める。八巻(柳沢慎吾)とミツ子(三ツ矢雄二)が佳織の勤める陶芸教室で聞き込みを始めると、生徒の一人から森山が浮気しているとの目撃情報が入る。森山の周囲を潜入調査した八巻は森山の会社の事務所でとんでもないものを見つける。一方、佳織の身辺警護をしていたサナは佳織が命を狙われる場面に出くわす。犯人は大人しそうな女性・野倉冬実(吉村涼)だった。  　村田家でも騒ぎが起きていた。正子の息子・丈朗(乃木涼介)が喫茶店で女性の肩を抱いているところを妻・恭子(白石美帆)が目撃、浮気だと思い込み家出したのである。恭子の留守に息子と孫の世話ができてウキウキの正子だったが、恭子が家出して酔いつぶれた店はなんとミツ子の「天守閣」。そこでアルバイトしていた恭子と鉢合わせる。サナ:　小野ゆり子　  村田正子:　泉ピン子　  松田竜次:　京本政樹　  八巻辰:　柳沢慎吾　  東条ミツ子:　三ツ矢雄二　  一之瀬大和:　竹財輝之助　  首藤重吉:　嶋田久作　  三平弥生:　鷲尾真知子　  村田恭子:　白石美帆　    ほか番組HPでは、“あらすじ"や“スペシャルコンテンツ"など公開中。  詳しくはこちら　http://www.fujitv.co.jp/tenchu/index.html　  またYouTubeで公式動画をチェック!  第7話の「みどころ」と「サキドリ」スペシャル動画を絶賛配信中!【脚本】  高橋幹子　  根津理香　    【企画】  前田和也(FCC)　  清水一幸(フジテレビ)　    【編成企画】  羽鳥健一(フジテレビ)　    【プロデュース】  中山ケイ子(FCC)　    【協力プロデュース】  竹田浩子(FCC)　    【演出】  西浦正記(FCC)　  小林和紘(FCC)　    【メインテーマ曲】  朝倉紀行　    【音楽】  得田真裕　  真鍋昭大　【主題歌】  Dragon　Ash「Curtain　Call」(Victor/MOB　SQUAD)　    【制作】  フジテレビ　    【制作著作】  FCC</t>
  </si>
  <si>
    <t>正子(泉ピン子)の家に「娘の事件の真相を知っている…」と書かれた怪文書が届く。怪文書が届いてから様子のおかしい正子を心配するサナ(小野ゆり子)に、正子は24年前に娘・ゆかり(南乃紗希)が失踪した事件のことをゆっくりと語りだす。正子の苦しみを知ったサナは怪文書を一之瀬刑事(竹財輝之助)に託し調査を依頼する。  　スナック「天守閣」に森山佳織(雛形あきこ)が怯えた様子で駆け込んできた。佳織は半年前に会社経営の森山(秋山真太郎)と結婚し、幸せな日々を送っていたが半月ほど前から誰かに命を狙われていて、このままだと殺されてしまうと正子たちに助けを求める。八巻(柳沢慎吾)とミツ子(三ツ矢雄二)が佳織の勤める陶芸教室で聞き込みを始めると、生徒の一人から森山が浮気しているとの目撃情報が入る。森山の周囲を潜入調査した八巻は森山の会社の事務所でとんでもないものを見つける。一方、佳織の身辺警護をしていたサナは佳織が命を狙われる場面に出くわす。犯人は大人しそうな女性・野倉冬実(吉村涼)だった。  　村田家でも騒ぎが起きていた。正子の息子・丈朗(乃木涼介)が喫茶店で女性の肩を抱いているところを妻・恭子(白石美帆)が目撃、浮気だと思い込み家出したのである。恭子の留守に息子と孫の世話ができてウキウキの正子だったが、恭子が家出して酔いつぶれた店はなんとミツ子の「天守閣」。そこでアルバイトしていた恭子と鉢合わせる。</t>
  </si>
  <si>
    <t>番組名金曜ドラマ・天誅　闇の仕置人　#08</t>
  </si>
  <si>
    <t>発見された白骨は24年前の連続少女失踪事件の少女のものだと判明した。おそらく、正子(泉ピン子)の娘・ゆかりの骨もその中にあるだろう…と聞き、ショックを受けた正子はふさぎ込む。そんな正子の家に首藤刑事(嶋田久作)が訪ねてきて、24年前の事件の捜査がある人物の圧力で打ち切られたことを告白、正子に新聞記事の切り抜きを渡しその人物が犯人であると告げる。記事には、滝崎元官房長官とその息子・滝崎哲彦(岡田浩暉)の記述があった。  　スナック「天守閣」にも首藤刑事がやってきた。八巻(柳沢慎吾)とミツ子(三ツ矢雄二)ら「仕置人」の力を借りて正子の娘の事件を解明するためだ。首藤刑事は、24年前の事件は、おそらく当時警察庁のキャリアで今は外務省に出向している哲彦が犯人だということ、哲彦の父親が事件をもみ消したことを告げる。そこに一之瀬刑事(竹財輝之助)も参加、滝崎の犯罪の証拠をつかむための計画を立てる。  　一方、正子は自分だけで滝崎に事実を確かめようとしていた。正子のそんな様子を不安に思っていたサナ(小野ゆり子)は、正子をトイレに閉じ込め、正子に出会ってからの自分の思い、妹・ユウと正子の娘・ゆかりが瓜二つだということを告げ、「自分は戦国時代の忍者で、ここにいてはいけない人間だから、滝崎は自分が殺す」と言い、正子を残して家を飛び出す。サナ:　小野ゆり子　  村田正子:　泉ピン子　  松田竜次:　京本政樹　  八巻辰:　柳沢慎吾　  東条ミツ子:　三ツ矢雄二　  一之瀬大和:　竹財輝之助　  首藤重吉:　嶋田久作　  三平弥生:　鷲尾真知子　  村田恭子:　白石美帆　    ほか番組HPでは、“あらすじ"や“スペシャルコンテンツ"など公開中。  詳しくはこちら　http://www.fujitv.co.jp/tenchu/index.html　  またYouTubeで公式動画をチェック!  最終回の「みどころ」と「サキドリ」スペシャル動画を絶賛配信中!【脚本】  高橋幹子　  根津理香　    【企画】  前田和也(FCC)　  清水一幸(フジテレビ)　    【編成企画】  羽鳥健一(フジテレビ)　    【プロデュース】  中山ケイ子(FCC)　    【協力プロデュース】  竹田浩子(FCC)　    【演出】  西浦正記(FCC)　  小林和紘(FCC)　    【メインテーマ曲】  朝倉紀行　    【音楽】  得田真裕　  真鍋昭大【主題歌】  Dragon　Ash「Curtain　Call」(Victor/MOB　SQUAD)　    【制作】  フジテレビ　    【制作著作】  FCC</t>
  </si>
  <si>
    <t>発見された白骨は24年前の連続少女失踪事件の少女のものだと判明した。おそらく、正子(泉ピン子)の娘・ゆかりの骨もその中にあるだろう…と聞き、ショックを受けた正子はふさぎ込む。そんな正子の家に首藤刑事(嶋田久作)が訪ねてきて、24年前の事件の捜査がある人物の圧力で打ち切られたことを告白、正子に新聞記事の切り抜きを渡しその人物が犯人であると告げる。記事には、滝崎元官房長官とその息子・滝崎哲彦(岡田浩暉)の記述があった。  　スナック「天守閣」にも首藤刑事がやってきた。八巻(柳沢慎吾)とミツ子(三ツ矢雄二)ら「仕置人」の力を借りて正子の娘の事件を解明するためだ。首藤刑事は、24年前の事件は、おそらく当時警察庁のキャリアで今は外務省に出向している哲彦が犯人だということ、哲彦の父親が事件をもみ消したことを告げる。そこに一之瀬刑事(竹財輝之助)も参加、滝崎の犯罪の証拠をつかむための計画を立てる。  　一方、正子は自分だけで滝崎に事実を確かめようとしていた。正子のそんな様子を不安に思っていたサナ(小野ゆり子)は、正子をトイレに閉じ込め、正子に出会ってからの自分の思い、妹・ユウと正子の娘・ゆかりが瓜二つだということを告げ、「自分は戦国時代の忍者で、ここにいてはいけない人間だから、滝崎は自分が殺す」と言い、正子を残して家を飛び出す。</t>
  </si>
  <si>
    <t>1401_CX_土23</t>
  </si>
  <si>
    <t>ロストデイズ</t>
  </si>
  <si>
    <t>番組名&lt;土ドラ&gt;ロストデイズ　#01</t>
  </si>
  <si>
    <t>番組公式フェイスブックとツイッターで、番組制作裏話やキャスト情報を配信中です!またパラレルドラマ「ロストデイズのひみつ」も実施中!詳しくは番組HPをチェック!　  http://www.fujitv.co.jp/lostdays/index.html　城慶大学4年生でテニスサークル部長の篠裕太(瀬戸康史)は、同じサークルのメンバー6人での卒業旅行に向かう。早朝にゲレンデに到着してスノーボードをするため、深夜に出発する車の運転手役を買って出た篠。待ち合わせ場所に着くと、篠が想いを寄せる桜田美希(石橋杏奈)をはじめ、佐々木梨花(トリンドル玲奈)、笛木茉奈(小島藤子)、そして唯一の後輩・立花五月(三吉彩花)が車に乗り込んでくる。遅刻魔の高野ナツ(吉沢亮)も合流し、一路ゲレンデへ。  　スポーツ万能のナツが華麗な滑りを披露するなど、篠たちはスノーボードを存分に楽しむ。その後ゲレンデをバックに笑顔で集合写真を撮る6人。テレビのニュースから流れる、近くで起きた殺人事件のことは全く気にも留めない。  　温泉から上がった女子メンバーの前で、美希は身に付けているブレスレットをナツからもらったと明かす。2人の交際を知らなかった梨花は教えてもらえなかったことに小さなショックを受ける。そんな梨花に1本の電話がかかってくるのだが…。  　美希の親が所有する別荘に到着し、一同がその広さに感銘を受けていたところ、不意に玄関でドアの開く音がする。6人の前に現れたのは美希の兄・桜田亘(桐山漣)であった。美希が不満そうな表情を浮かべる一方、亘のカッコよさに五月は一目惚れをする。  　そして夜、キッチンで夕食の準備をしているとき、突然別荘の電気が消えて…。篠裕太:　瀬戸康史　  桜田美希:　石橋杏奈　  佐々木梨花:　トリンドル玲奈　  高野ナツ:　吉沢亮　  笛木茉奈:　小島藤子　  立花五月:　三吉彩花　  桜田亘:　桐山漣【脚本】  徳尾浩司　  加藤公平　    【編成企画】  高木明梨須　    【プロデュース】  柳川由起子　    【演出】  河野圭太　  都築淳一　    【音楽】  佐橋俊彦　    【制作】  フジテレビ　    【制作著作】  共同テレビ</t>
  </si>
  <si>
    <t xml:space="preserve">　城慶大学4年生でテニスサークル部長の篠裕太(瀬戸康史)は、同じサークルのメンバー6人での卒業旅行に向かう。早朝にゲレンデに到着してスノーボードをするため、深夜に出発する車の運転手役を買って出た篠。待ち合わせ場所に着くと、篠が想いを寄せる桜田美希(石橋杏奈)をはじめ、佐々木梨花(トリンドル玲奈)、笛木茉奈(小島藤子)、そして唯一の後輩・立花五月(三吉彩花)が車に乗り込んでくる。遅刻魔の高野ナツ(吉沢亮)も合流し、一路ゲレンデへ。  　スポーツ万能のナツが華麗な滑りを披露するなど、篠たちはスノーボードを存分に楽しむ。その後ゲレンデをバックに笑顔で集合写真を撮る6人。テレビのニュースから流れる、近くで起きた殺人事件のことは全く気にも留めない。  　温泉から上がった女子メンバーの前で、美希は身に付けているブレスレットをナツからもらったと明かす。2人の交際を知らなかった梨花は教えてもらえなかったことに小さなショックを受ける。そんな梨花に1本の電話がかかってくるのだが…。  　美希の親が所有する別荘に到着し、一同がその広さに感銘を受けていたところ、不意に玄関でドアの開く音がする。6人の前に現れたのは美希の兄・桜田亘(桐山漣)であった。美希が不満そうな表情を浮かべる一方、亘のカッコよさに五月は一目惚れをする。  　そして夜、キッチンで夕食の準備をしているとき、突然別荘の電気が消えて…。</t>
  </si>
  <si>
    <t>番組名&lt;土ドラ&gt;ロストデイズ　#02</t>
  </si>
  <si>
    <t>ドラマ「ロストデイズ」の公式ホームページは、http://www.fujitv.co.jp/lostdays/index.html。  　公式フェイスブックや公式ツイッターでもドラマの最新情報をお届けしています!　篠裕太(瀬戸康史)ら6人が卒業旅行で桜田美希(石橋杏奈)の別荘に来て2日目。  　今日は全員で、高野ナツ(吉沢亮)のサプライズバースデーを企画していた。佐々木梨花(トリンドル玲奈)がナツを外に連れ出している間に、篠、美希、笛木茉奈(小島藤子)、立花五月(三吉彩花)の4人が別荘でパーティーの準備をする計画である。朝食時、「スノボに行きたい」と言い出したナツに対し、それぞれ予定通りの反応を示す。しかしそこに現れた桜田亘(桐山漣)が「俺が車で2人を連れていく」と言い出し、亘に一目惚れをした五月も「一緒に行きます!」と予定外の行動を取る。  　梨花から「予定外の行動を取らないで」と言われた五月は、「ナツさんと2人になりたかったんですか?」と返す。実は前夜、酔っ払って倒れていた五月は、梨花が衝動的にナツにキスしたところを目撃していたのだった。意味深な言葉で梨花の反応を試す五月。梨花はそんな五月に優しい態度を取る美希に対しても、小さないら立ちを感じる。  　亘はカーラジオで、別荘近くで起きている殺人事件のニュースを聞いていたが、篠とナツが荷物を運んで近づいてくるとサッとラジオを消す。  　ナツたち4人がスキー場へ出発したあと、篠は、部屋のドアを開けようとした時の亘の怒りの表情や、人為的に切られていた配電盤のコードをいとも簡単に修理した亘の行動を思い出し、少し違和感を覚え始めるが・・・。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【音楽】  佐橋俊彦　    【制作】  フジテレビ　    【制作著作】  共同テレビ</t>
  </si>
  <si>
    <t>。  　公式フェイスブックや公式ツイッターでもドラマの最新情報をお届けしています!　篠裕太(瀬戸康史)ら6人が卒業旅行で桜田美希(石橋杏奈)の別荘に来て2日目。  　今日は全員で、高野ナツ(吉沢亮)のサプライズバースデーを企画していた。佐々木梨花(トリンドル玲奈)がナツを外に連れ出している間に、篠、美希、笛木茉奈(小島藤子)、立花五月(三吉彩花)の4人が別荘でパーティーの準備をする計画である。朝食時、「スノボに行きたい」と言い出したナツに対し、それぞれ予定通りの反応を示す。しかしそこに現れた桜田亘(桐山漣)が「俺が車で2人を連れていく」と言い出し、亘に一目惚れをした五月も「一緒に行きます!」と予定外の行動を取る。  　梨花から「予定外の行動を取らないで」と言われた五月は、「ナツさんと2人になりたかったんですか?」と返す。実は前夜、酔っ払って倒れていた五月は、梨花が衝動的にナツにキスしたところを目撃していたのだった。意味深な言葉で梨花の反応を試す五月。梨花はそんな五月に優しい態度を取る美希に対しても、小さないら立ちを感じる。  　亘はカーラジオで、別荘近くで起きている殺人事件のニュースを聞いていたが、篠とナツが荷物を運んで近づいてくるとサッとラジオを消す。  　ナツたち4人がスキー場へ出発したあと、篠は、部屋のドアを開けようとした時の亘の怒りの表情や、人為的に切られていた配電盤のコードをいとも簡単に修理した亘の行動を思い出し、少し違和感を覚え始めるが・・・。</t>
  </si>
  <si>
    <t>番組名&lt;土ドラ&gt;ロストデイズ　#03</t>
  </si>
  <si>
    <t>番組公式フェイスブックとツイッターでは、撮影現場の裏情報やキャストのバラエティー稼働情報やオフショット写真を定期的に配信中!  詳しくは「ロストデイズ」を検索!　篠裕太(瀬戸康史)ら6人が卒業旅行で桜田美希(石橋杏奈)の別荘に来て3日目。  　篠は前日、スマートフォンに届いた差出人不明の音声ファイルに、佐々木梨花(トリンドル玲奈)と高野ナツ(吉沢亮)が急接近している様子が入っていたことに驚き、美希に惹かれながらもナツとの交際を見守ることに決めた自分の気持ちの行き場を失ってしまう。  　美希と笛木茉奈(小島藤子)の部屋に、立花五月(三吉彩花)が自分の部屋に来て欲しいと慌てた表情で呼びに来る。五月が自分の部屋で見せたゴミ箱には、美希がナツからもらって大事にしていたブレスレットがバラバラになって入っていた。  　昼食に梨花の作ったパスタを食べる6人。それぞれ楽しく会話するなか、一人浮かない顔をしていた美希の目から突然涙がこぼれる。涙が止まらない美希は席を立ち自分の部屋へ立ち去る。その様子を廊下で見ていた桜田亘(桐山漣)。  　ダイニングでは五月が、美希が泣いていた理由について説明する。篠はナツに「行ってやれば?」と声をかけるが、ナツは美希を気に掛けるそぶりを見せない。  　篠は心配になり美希の部屋に温かい紅茶を持って行くが、美希の落ち込む様子に何も言えず、部屋を出て行く。  　少し時間が経ち、美希がリビングに戻ってくる。6人で人生ゲームを始めようとするが、五月が「私と梨花さんの部屋のゴミ箱からブレスレットが出てきたのはおかしい」と話を蒸し返し・・・。篠裕太: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【音楽】  佐橋俊彦　    【制作】  フジテレビ　    【制作著作】  共同テレビ</t>
  </si>
  <si>
    <t>篠裕太(瀬戸康史)ら6人が卒業旅行で桜田美希(石橋杏奈)の別荘に来て3日目。  　篠は前日、スマートフォンに届いた差出人不明の音声ファイルに、佐々木梨花(トリンドル玲奈)と高野ナツ(吉沢亮)が急接近している様子が入っていたことに驚き、美希に惹かれながらもナツとの交際を見守ることに決めた自分の気持ちの行き場を失ってしまう。  　美希と笛木茉奈(小島藤子)の部屋に、立花五月(三吉彩花)が自分の部屋に来て欲しいと慌てた表情で呼びに来る。五月が自分の部屋で見せたゴミ箱には、美希がナツからもらって大事にしていたブレスレットがバラバラになって入っていた。  　昼食に梨花の作ったパスタを食べる6人。それぞれ楽しく会話するなか、一人浮かない顔をしていた美希の目から突然涙がこぼれる。涙が止まらない美希は席を立ち自分の部屋へ立ち去る。その様子を廊下で見ていた桜田亘(桐山漣)。  　ダイニングでは五月が、美希が泣いていた理由について説明する。篠はナツに「行ってやれば?」と声をかけるが、ナツは美希を気に掛けるそぶりを見せない。  　篠は心配になり美希の部屋に温かい紅茶を持って行くが、美希の落ち込む様子に何も言えず、部屋を出て行く。  　少し時間が経ち、美希がリビングに戻ってくる。6人で人生ゲームを始めようとするが、五月が「私と梨花さんの部屋のゴミ箱からブレスレットが出てきたのはおかしい」と話を蒸し返し・・・。</t>
  </si>
  <si>
    <t>番組名&lt;土ドラ&gt;ロストデイズ　#04</t>
  </si>
  <si>
    <t>ドラマ「ロストデイズ」の公式ホームページは、http://www.fujitv.co.jp/lostdays/index.html。  　公式フェイスブックや公式ツイッターでもドラマの最新情報をお届けしています!篠裕太(瀬戸康史)ら6人が卒業旅行で桜田美希(石橋杏奈)の別荘に来て4日目。  朝を迎えた篠は、差出人不明の音声ファイルと写真から佐々木梨花(トリンドル玲奈)と高野ナツ(吉沢亮)の浮気を確信し、ナツを問い詰めた昨晩を思い出して気が重くなる。開き直りの態度を見せるナツを思わず殴ってしまった篠だったが、駆けつけた美希に、「篠くんの顔なんかもう見たくない!」と言われてしまったのだった。  喧嘩をした本当の理由を明かせない篠は、全員の前で、ナツに留年のことで説教していたら熱が入った、とごまかす。そしてコーヒーを淹れるのを手伝おうとする梨花を、つい強く拒んでしまう。  そんな篠の様子に何かを感じた梨花はナツを呼び出し、昨日の喧嘩の理由を問いただす。車中での会話が録音され、2人が抱き合う姿が撮影され、それがもとで篠と喧嘩になったと聞かされた梨花は、篠に知られたことにショックを受ける。  ナツが去った後、背後で足音がし、振り返るとそこにいたのは桜田亘(桐山漣)であった。亘は「あまりコソコソしない方がいいよ」と言って立ち去る。  篠が美希の様子について笛木茉奈(小島藤子)に聞いたところ、洞察力の鋭い茉奈に、逆に喧嘩の理由を見抜かれてしまう。  梨花は、自分とナツの車中での会話を録音したのは、そのとき一緒に居た立花五月(三吉彩花)しかいないと思い、五月のスマホを手に取り音声データを探そうとするが・・・。篠裕太: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【音楽】  佐橋俊彦　    【制作】  フジテレビ　    【制作著作】  共同テレビ</t>
  </si>
  <si>
    <t>篠裕太(瀬戸康史)ら6人が卒業旅行で桜田美希(石橋杏奈)の別荘に来て4日目。  朝を迎えた篠は、差出人不明の音声ファイルと写真から佐々木梨花(トリンドル玲奈)と高野ナツ(吉沢亮)の浮気を確信し、ナツを問い詰めた昨晩を思い出して気が重くなる。開き直りの態度を見せるナツを思わず殴ってしまった篠だったが、駆けつけた美希に、「篠くんの顔なんかもう見たくない!」と言われてしまったのだった。  喧嘩をした本当の理由を明かせない篠は、全員の前で、ナツに留年のことで説教していたら熱が入った、とごまかす。そしてコーヒーを淹れるのを手伝おうとする梨花を、つい強く拒んでしまう。  そんな篠の様子に何かを感じた梨花はナツを呼び出し、昨日の喧嘩の理由を問いただす。車中での会話が録音され、2人が抱き合う姿が撮影され、それがもとで篠と喧嘩になったと聞かされた梨花は、篠に知られたことにショックを受ける。  ナツが去った後、背後で足音がし、振り返るとそこにいたのは桜田亘(桐山漣)であった。亘は「あまりコソコソしない方がいいよ」と言って立ち去る。  篠が美希の様子について笛木茉奈(小島藤子)に聞いたところ、洞察力の鋭い茉奈に、逆に喧嘩の理由を見抜かれてしまう。  梨花は、自分とナツの車中での会話を録音したのは、そのとき一緒に居た立花五月(三吉彩花)しかいないと思い、五月のスマホを手に取り音声データを探そうとするが・・・。</t>
  </si>
  <si>
    <t>番組名&lt;土ドラ&gt;ロストデイズ　#05</t>
  </si>
  <si>
    <t>番組公式フェイスブックやツイッターでは、「ロストデイズ」の番組情報やキャスト情報を配信しています!詳しくは「ロストデイズ」を検索!  　ドラマ「ロストデイズ」の公式ホームページは、http://www.fujitv.co.jp/lostdays/index.html。　篠裕太(瀬戸康史)ら6人が卒業旅行で桜田美希(石橋杏奈)の別荘に来て4日目の夜。  　立花五月(三吉彩花)によって、佐々木梨花(トリンドル玲奈)と高野ナツ(吉沢亮)の浮気の証拠が暴露され、あまりのショックで部屋にこもった美希。しかし笛木茉奈(小島藤子)が様子を見に行くと部屋から美希の姿は消えていて、篠、ナツ、桜田亘(桐山漣)が探しに行く。その途中、狩猟小屋へ入ったナツは何者かに閉じ込められてしまう。  　梨花、茉奈、五月が別荘で美希と3人の帰りを待ちわびていると、亘が美希を背負って帰ってくる。足をくじいた美希を優しくいたわる亘。同時に帰ってきた篠は、亘が美希を見つけた時に異常なほど感情を露わにしていた様子を思い出す。  　一方、携帯電話を別荘に置いたままのナツと連絡が取れない状況の中、篠がナツを心配して探しに出かけようとしたところ、亘が「俺が行くから」と言う。「二手に分かれた方が」と篠が言いかけると、亘は「いいって!」と強い調子で篠の申し出を突っぱねる。  　そして5日目の朝を迎える。ナツも亘も戻って来ない状況に、いよいよ篠は自分で探しに行くことを決める。その様子を見た茉奈は、何かを感じて亘に電話をかける。  　別荘の外を歩く篠に茉奈が合流し、2人はある分かれ道にナツの手袋が落ちているのを見つけるが・・・。篠裕太: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小山田雅和　    【音楽】  佐橋俊彦　    【制作】  フジテレビ　    【制作著作】  共同テレビ</t>
  </si>
  <si>
    <t>。　篠裕太(瀬戸康史)ら6人が卒業旅行で桜田美希(石橋杏奈)の別荘に来て4日目の夜。  　立花五月(三吉彩花)によって、佐々木梨花(トリンドル玲奈)と高野ナツ(吉沢亮)の浮気の証拠が暴露され、あまりのショックで部屋にこもった美希。しかし笛木茉奈(小島藤子)が様子を見に行くと部屋から美希の姿は消えていて、篠、ナツ、桜田亘(桐山漣)が探しに行く。その途中、狩猟小屋へ入ったナツは何者かに閉じ込められてしまう。  　梨花、茉奈、五月が別荘で美希と3人の帰りを待ちわびていると、亘が美希を背負って帰ってくる。足をくじいた美希を優しくいたわる亘。同時に帰ってきた篠は、亘が美希を見つけた時に異常なほど感情を露わにしていた様子を思い出す。  　一方、携帯電話を別荘に置いたままのナツと連絡が取れない状況の中、篠がナツを心配して探しに出かけようとしたところ、亘が「俺が行くから」と言う。「二手に分かれた方が」と篠が言いかけると、亘は「いいって!」と強い調子で篠の申し出を突っぱねる。  　そして5日目の朝を迎える。ナツも亘も戻って来ない状況に、いよいよ篠は自分で探しに行くことを決める。その様子を見た茉奈は、何かを感じて亘に電話をかける。  　別荘の外を歩く篠に茉奈が合流し、2人はある分かれ道にナツの手袋が落ちているのを見つけるが・・・。</t>
  </si>
  <si>
    <t>番組名&lt;土ドラ&gt;ロストデイズ　#06</t>
  </si>
  <si>
    <t>ドラマ「ロストデイズ」の公式ホームページは、http://www.fujitv.co.jp/lostdays/index.html。  　公式フェイスブックや公式ツイッターでもドラマの最新情報をお届けしています!　篠裕太(瀬戸康史)ら6人が卒業旅行で桜田美希(石橋杏奈)の別荘に来て5日目の夜。予定通り東京へ帰ろうとした6人だが、リビングのカゴに置いていたはずのレンタカーの鍵がなくなっており、探しても見つからない。予備のキーが届く2日後まで別荘に滞在することになる。バイトをしているキャバクラのことが気がかりな佐々木梨花(トリンドル玲奈)。  　高野ナツ(吉沢亮)は桜田亘(桐山漣)から、「美希の前から消えろ」と言われたことを篠に相談し、車のキーを隠したのは亘に違いない、と話すが、それを聞いていた笛木茉奈(小島藤子)が否定する。一方梨花は美希に、鍵紛失は立花五月(三吉彩花)が怪しいという自分の考えを話す。五月をかばう発言をする美希に、いら立ちを感じる梨花。  　それぞれが疑心暗鬼にかられるなか、6日目の朝を迎える。朝食の席で浮かない表情の梨花とナツ。梨花はバイト先から続々と届く、出勤を求める旨のメールを見て美希にどうしても帰りたいと相談する。  　茉奈は自分の不安を確かめるために亘の部屋へ行くが、ドアを開けてもらえない。そこへ美希が来て声をかけると、ドアを開いて顔を出す亘。梨花を近くの駅まで送ってほしい、という美希の頼みごとを了承する。その様子をそばで見つめる茉奈。  　一足先に帰る梨花を5人で見送り、女子3人が散歩に出かけたところで、篠とナツはレンタカーの鍵を見つけるため亘の部屋へ向かうが・・・。篠裕太: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小山田雅和　    【音楽】  佐橋俊彦　    【制作】  フジテレビ　    【制作著作】  共同テレビ</t>
  </si>
  <si>
    <t>篠裕太(瀬戸康史)ら6人が卒業旅行で桜田美希(石橋杏奈)の別荘に来て5日目の夜。予定通り東京へ帰ろうとした6人だが、リビングのカゴに置いていたはずのレンタカーの鍵がなくなっており、探しても見つからない。予備のキーが届く2日後まで別荘に滞在することになる。バイトをしているキャバクラのことが気がかりな佐々木梨花(トリンドル玲奈)。  　高野ナツ(吉沢亮)は桜田亘(桐山漣)から、「美希の前から消えろ」と言われたことを篠に相談し、車のキーを隠したのは亘に違いない、と話すが、それを聞いていた笛木茉奈(小島藤子)が否定する。一方梨花は美希に、鍵紛失は立花五月(三吉彩花)が怪しいという自分の考えを話す。五月をかばう発言をする美希に、いら立ちを感じる梨花。  　それぞれが疑心暗鬼にかられるなか、6日目の朝を迎える。朝食の席で浮かない表情の梨花とナツ。梨花はバイト先から続々と届く、出勤を求める旨のメールを見て美希にどうしても帰りたいと相談する。  　茉奈は自分の不安を確かめるために亘の部屋へ行くが、ドアを開けてもらえない。そこへ美希が来て声をかけると、ドアを開いて顔を出す亘。梨花を近くの駅まで送ってほしい、という美希の頼みごとを了承する。その様子をそばで見つめる茉奈。  　一足先に帰る梨花を5人で見送り、女子3人が散歩に出かけたところで、篠とナツはレンタカーの鍵を見つけるため亘の部屋へ向かうが・・・。</t>
  </si>
  <si>
    <t>番組名&lt;土ドラ&gt;ロストデイズ　#07</t>
  </si>
  <si>
    <t>「BOXINGダイヤモンドグローブSP」延長の際、放送時間繰り下げの場合あり。　ドラマ「ロストデイズ」の公式ホームページは、http://www.fujitv.co.jp/lostdays/index.html。  　公式フェイスブックや公式ツイッターでもドラマの最新情報をお届けしています!　篠裕太(瀬戸康史)ら6人が卒業旅行で桜田美希(石橋杏奈)の別荘に来て6日目の夜。高野ナツ(吉沢亮)が全員の前で笛木茉奈(小島藤子)に対し、桜田亘(桐山漣)との関係について問い詰める。茉奈は今まで抑えてきた自分の怒りを篠、美希、佐々木梨花(トリンドル玲奈)、ナツ、立花五月(三吉彩花)にぶつける。いつも冷静で落ち着いている茉奈の、見たことのない姿に言葉を失う5人。  　篠は美希に、自分たちの関係を壊そうと仕向けているのは亘かもしれないという考えを話す。その会話を盗聴している亘。そんな亘の隣に立っている梨花。  　そして7日目の朝を迎える。  　1人キッチンで朝食の準備をする茉奈にナツが話しかけるが無視されてしまう。一方、「茉奈さんがブチキレてんの超ウケましたね」と、自分たちを引っかき回したことは棚に上げた発言をする五月に、梨花は怒りを覚えてしまう。  　篠が、亘の部屋を物色したときに見つけたCD‐Rを再生してみると、旅行中リビングで会話する6人の声が入っていた。亘が盗聴しているという事実を全員に話す篠とナツ。しかし兄を疑いたくない美希、彼氏を信じたいと言う五月、今さらどうでもいいと突き放す茉奈、無断で亘の部屋に入ったことをとがめる梨花、と女子たちはバラバラの反応を示す。  　「お兄ちゃんに確かめる」という美希に篠も付き添い、2人で亘の部屋へ行って盗聴の件を直接問いただすが・・・。篠裕太: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小山田雅和　    【音楽】  佐橋俊彦　    【制作】  フジテレビ　    【制作著作】  共同テレビ</t>
  </si>
  <si>
    <t>篠裕太(瀬戸康史)ら6人が卒業旅行で桜田美希(石橋杏奈)の別荘に来て6日目の夜。高野ナツ(吉沢亮)が全員の前で笛木茉奈(小島藤子)に対し、桜田亘(桐山漣)との関係について問い詰める。茉奈は今まで抑えてきた自分の怒りを篠、美希、佐々木梨花(トリンドル玲奈)、ナツ、立花五月(三吉彩花)にぶつける。いつも冷静で落ち着いている茉奈の、見たことのない姿に言葉を失う5人。  　篠は美希に、自分たちの関係を壊そうと仕向けているのは亘かもしれないという考えを話す。その会話を盗聴している亘。そんな亘の隣に立っている梨花。  　そして7日目の朝を迎える。  　1人キッチンで朝食の準備をする茉奈にナツが話しかけるが無視されてしまう。一方、「茉奈さんがブチキレてんの超ウケましたね」と、自分たちを引っかき回したことは棚に上げた発言をする五月に、梨花は怒りを覚えてしまう。  　篠が、亘の部屋を物色したときに見つけたCD‐Rを再生してみると、旅行中リビングで会話する6人の声が入っていた。亘が盗聴しているという事実を全員に話す篠とナツ。しかし兄を疑いたくない美希、彼氏を信じたいと言う五月、今さらどうでもいいと突き放す茉奈、無断で亘の部屋に入ったことをとがめる梨花、と女子たちはバラバラの反応を示す。  　「お兄ちゃんに確かめる」という美希に篠も付き添い、2人で亘の部屋へ行って盗聴の件を直接問いただすが・・・。</t>
  </si>
  <si>
    <t>番組名&lt;土ドラ&gt;ロストデイズ　#08</t>
  </si>
  <si>
    <t>ドラマ「ロストデイズ」の公式ホームページは、http://www.fujitv.co.jp/lostdays/index.html。  　公式フェイスブックや公式ツイッターでもドラマの最新情報をお届けしています!　篠裕太(瀬戸康史)ら6人が卒業旅行で桜田美希(石橋杏奈)の別荘に来て7日目の夜。  佐々木梨花(トリンドル玲奈)は桜田亘(桐山漣)から脅されていることを篠に打ち明けようとするが、逆に篠からキャバクラのバイトの件で全員に嘘をついていたことをとがめられてしまう。  　そして8日目の朝を迎える。  気まずい雰囲気の篠と梨花を見て、高野ナツ(吉沢亮)が話を聞こうとするが、バイトのことで皆から軽蔑されたと思い込む梨花は聞く耳を持たない。  立花五月(三吉彩花)が、亘の部屋にある布のかかった絵の存在について笛木茉奈(小島藤子)に聞いたところ、茉奈は動揺した様子をみせる。  梨花との昨晩のいきさつを聞いた美希は、梨花は今でも篠のことを想っているという事実を篠に話す。  　一方、「これ以上みんなに嘘をつきたくない」と、レンタカーのキーを返すよう亘に直談判しに行った梨花だが、亘は冷たく突き放す。  リビングに仕掛けられた盗聴器を見つけた美希。亘を呼び出し、この旅行中、6人の仲を引き裂くさまざまな事件を起こしたのは亘ではないかと問い詰める。全て自分がやったことだと認めつつも「ただ美希を守りたかった」という言葉を繰り返す亘。そんな兄の姿に失望した美希は、「いますぐここから出てって!」と拒絶する態度をみせる。  全員に頭を下げ謝罪する亘だが、自分の思いを美希に理解してもらえないことに、怒りと悔しさが収まらず…。篠裕太: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小山田雅和　    【音楽】  佐橋俊彦　    【制作】  フジテレビ　    【制作著作】  共同テレビ</t>
  </si>
  <si>
    <t>篠裕太(瀬戸康史)ら6人が卒業旅行で桜田美希(石橋杏奈)の別荘に来て7日目の夜。  佐々木梨花(トリンドル玲奈)は桜田亘(桐山漣)から脅されていることを篠に打ち明けようとするが、逆に篠からキャバクラのバイトの件で全員に嘘をついていたことをとがめられてしまう。  　そして8日目の朝を迎える。  気まずい雰囲気の篠と梨花を見て、高野ナツ(吉沢亮)が話を聞こうとするが、バイトのことで皆から軽蔑されたと思い込む梨花は聞く耳を持たない。  立花五月(三吉彩花)が、亘の部屋にある布のかかった絵の存在について笛木茉奈(小島藤子)に聞いたところ、茉奈は動揺した様子をみせる。  梨花との昨晩のいきさつを聞いた美希は、梨花は今でも篠のことを想っているという事実を篠に話す。  　一方、「これ以上みんなに嘘をつきたくない」と、レンタカーのキーを返すよう亘に直談判しに行った梨花だが、亘は冷たく突き放す。  リビングに仕掛けられた盗聴器を見つけた美希。亘を呼び出し、この旅行中、6人の仲を引き裂くさまざまな事件を起こしたのは亘ではないかと問い詰める。全て自分がやったことだと認めつつも「ただ美希を守りたかった」という言葉を繰り返す亘。そんな兄の姿に失望した美希は、「いますぐここから出てって!」と拒絶する態度をみせる。  全員に頭を下げ謝罪する亘だが、自分の思いを美希に理解してもらえないことに、怒りと悔しさが収まらず…。</t>
  </si>
  <si>
    <t>番組名&lt;土ドラ&gt;ロストデイズ　#09</t>
  </si>
  <si>
    <t>ドラマ「ロストデイズ」の公式ホームページは、http://www.fujitv.co.jp/lostdays/index.html。  　公式フェイスブックや公式ツイッターでもドラマの最新情報をお届けしています!　篠裕太(瀬戸康史)らが卒業旅行で桜田美希(石橋杏奈)の別荘に来て8日目の夕方。  　桜田亘(桐山漣)は自分の描いている絵を見られたことに怒り狂い、立花五月(三吉彩花)を追いかけて殴りかかる。恐怖でパニック状態の五月は別荘を飛び出し、心配した美希が後を追う。  　笛木茉奈(小島藤子)から事情を聞いた篠は嫌な胸騒ぎをおぼえ、美希と五月を探しに外へ出ていく。佐々木梨花(トリンドル玲奈)と高野ナツ(吉沢亮)も亘の豹変(ひょうへん)ぶりに驚きを隠せない。  　篠が2人を探していると、手に血を付けてぼう然と座り込んでいる美希を見つける。そばには頭から血を流して倒れている仲間の姿が。信じられない光景を前に急いで警察に連絡しようとする篠を、震えながら全力で止める美希。一体何があったのか問い詰める篠に対し、美希はただ首を横に振るだけで何も話さない。  　美希と一緒に別荘に戻ってきた篠だが、他のメンバーに何も伝えられずごまかしてしまう。そんな5人の前を無表情で通り過ぎる亘。  　そして9日目の朝を迎える。篠は、昨日崖の下で目にした事実を告白する。憔悴(しょうすい)した表情の美希、「誰かに突き落とされたの?」と聞く人、無言の人、全員に殺すタイミングがあったと指摘する人・・・。疑心暗鬼にかられる5人。  　仲間の死に美希が関わっているかもしれないという不安を抱え、1人思い悩む篠だが・・・。篠裕太: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小山田雅和　    【音楽】  佐橋俊彦　    【制作】  フジテレビ　    【制作著作】  共同テレビ</t>
  </si>
  <si>
    <t>篠裕太(瀬戸康史)らが卒業旅行で桜田美希(石橋杏奈)の別荘に来て8日目の夕方。  　桜田亘(桐山漣)は自分の描いている絵を見られたことに怒り狂い、立花五月(三吉彩花)を追いかけて殴りかかる。恐怖でパニック状態の五月は別荘を飛び出し、心配した美希が後を追う。  　笛木茉奈(小島藤子)から事情を聞いた篠は嫌な胸騒ぎをおぼえ、美希と五月を探しに外へ出ていく。佐々木梨花(トリンドル玲奈)と高野ナツ(吉沢亮)も亘の豹変(ひょうへん)ぶりに驚きを隠せない。  　篠が2人を探していると、手に血を付けてぼう然と座り込んでいる美希を見つける。そばには頭から血を流して倒れている仲間の姿が。信じられない光景を前に急いで警察に連絡しようとする篠を、震えながら全力で止める美希。一体何があったのか問い詰める篠に対し、美希はただ首を横に振るだけで何も話さない。  　美希と一緒に別荘に戻ってきた篠だが、他のメンバーに何も伝えられずごまかしてしまう。そんな5人の前を無表情で通り過ぎる亘。  　そして9日目の朝を迎える。篠は、昨日崖の下で目にした事実を告白する。憔悴(しょうすい)した表情の美希、「誰かに突き落とされたの?」と聞く人、無言の人、全員に殺すタイミングがあったと指摘する人・・・。疑心暗鬼にかられる5人。  　仲間の死に美希が関わっているかもしれないという不安を抱え、1人思い悩む篠だが・・・。</t>
  </si>
  <si>
    <t>番組名&lt;土ドラ&gt;ロストデイズ　#10</t>
  </si>
  <si>
    <t>ドラマ「ロストデイズ」の公式ホームページは、http://www.fujitv.co.jp/lostdays/index.html。  　公式フェイスブックや公式ツイッターでもドラマの最新情報をお届けしています!　篠裕太(瀬戸康史)らが卒業旅行で桜田美希(石橋杏奈)の別荘に来て9日目の夜。  キッチンから大きな物音が聞こえて駆けつけると、佐々木梨花(トリンドル玲奈)が手首から血を流し倒れていた。意識がもうろうとしている梨花に急いで処置を施すが、立花五月(三吉彩花)の死に続き、梨花が自殺を図ったという事実に驚きを隠せない篠たち。  　美希は、五月を探していたときに梨花の姿を目撃したと伝えたことで、追い詰めてしまったかもしれないと自分を責める。高野ナツ(吉沢亮)は、桜田亘(桐山漣)に脅され仲間を裏切ってしまったことを後悔していた梨花の様子を思い出す。篠は、8日目に亘が五月に殴りかかっていた理由を笛木茉奈(小島藤子)に聞く。しかし「私は何も知らない」と言い張る茉奈。  　そして10日目を迎える。  　美希は、自分たちの仲を崩壊させる原因をつくってきた亘が関わっているのでは、という不安について篠に打ち明ける。亘の、妹に対する歪んだ愛情を知っている篠は、全てをはっきりさせようと決意して、美希と共に亘の部屋へ。  　部屋に来た茉奈に、「美希を説得してくれ」と懇願する亘。そこに篠と美希が現れ、真実を話すように厳しく問いただすが・・・。  　果たして誰が五月を殺したのか?亘の部屋にある「布のかかった絵」の秘密とは?意識を取り戻した梨花は一体何を語るのか?篠たちの運命は?  　物語の結末に最後まで目が離せない!!篠裕太: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小山田雅和　    【音楽】  佐橋俊彦　    【制作】  フジテレビ　    【制作著作】  共同テレビ</t>
  </si>
  <si>
    <t>篠裕太(瀬戸康史)らが卒業旅行で桜田美希(石橋杏奈)の別荘に来て9日目の夜。  キッチンから大きな物音が聞こえて駆けつけると、佐々木梨花(トリンドル玲奈)が手首から血を流し倒れていた。意識がもうろうとしている梨花に急いで処置を施すが、立花五月(三吉彩花)の死に続き、梨花が自殺を図ったという事実に驚きを隠せない篠たち。  　美希は、五月を探していたときに梨花の姿を目撃したと伝えたことで、追い詰めてしまったかもしれないと自分を責める。高野ナツ(吉沢亮)は、桜田亘(桐山漣)に脅され仲間を裏切ってしまったことを後悔していた梨花の様子を思い出す。篠は、8日目に亘が五月に殴りかかっていた理由を笛木茉奈(小島藤子)に聞く。しかし「私は何も知らない」と言い張る茉奈。  　そして10日目を迎える。  　美希は、自分たちの仲を崩壊させる原因をつくってきた亘が関わっているのでは、という不安について篠に打ち明ける。亘の、妹に対する歪んだ愛情を知っている篠は、全てをはっきりさせようと決意して、美希と共に亘の部屋へ。  　部屋に来た茉奈に、「美希を説得してくれ」と懇願する亘。そこに篠と美希が現れ、真実を話すように厳しく問いただすが・・・。  　果たして誰が五月を殺したのか?亘の部屋にある「布のかかった絵」の秘密とは?意識を取り戻した梨花は一体何を語るのか?篠たちの運命は?  　物語の結末に最後まで目が離せない!!</t>
  </si>
  <si>
    <t>1310_CX_月21</t>
  </si>
  <si>
    <t>海の上の診療所</t>
  </si>
  <si>
    <t>番組名海の上の診療所　#01</t>
  </si>
  <si>
    <t>['#1']</t>
  </si>
  <si>
    <t>「海の上の診療所」公式番組ホームページ　  http://www.fujitv.co.jp/uminoueno_shinryojo/index.html　  出演者からのメッセージやスタッフブログ等様々なコンテンツをご用意しています!!　『海診丸』は、瀬戸内海の無医島を巡り、医療サービスを提供する診療船。医師やスタッフたちは、この船で共同生活を送りながら島々を回っていた。ある日、海診丸に瀬崎航太(松田翔太)という、北海道出身の総合診療医がやってくることになった。看護師の戸神眞子(武井咲)、内科医の内村葵(藤原紀香)、看護師の三崎昇(福士蒼汰)、事務員で葵の夫でもある日内晃(荒川良々)、船長兼料理長の海藤剛(寺島進)ら海診丸のスタッフは、航太の歓迎会の準備をする。が、約束の時間より大幅に遅れてやってきた航太は、風呂上がりの眞子に出くわし、不審者に間違われて蹴り飛ばされてしまう。あくる朝、改めて皆に自己紹介をした航太は、さっそく実務に就いた。今回、海診丸が訪れたのは千登勢島だ。午前中、航太は集まってきた島民たちの診察をした。しかし眞子は、そのいい加減とも思える診察ぶりに呆れていた。午後、航太は眞子とともに往診に出かける。明日は島の祭りがあるらしく、太鼓の練習をしている男の姿もあった。往診の帰り、航太は墓石の前で涙を流していた女性・村上美月(加藤あい)に気づき、その美しい姿に心を奪われる。美月は、この島で造船業を営む道則(片岡鶴太郎)の娘だった。廃業しようとしている道則と、亡き母の思い出が残る家を守りたいという思いからそれに反対している美月のことを知った航太は、美月と結婚して道則の後を継ごうと決意するが…。瀬崎航太:　松田翔太　    戸神眞子:　武井咲　    内村葵:　藤原紀香　    三崎昇:　福士蒼汰　    日内晃:　荒川良々　    山中カルロス洋平:　植野行雄(デニス)　    前島邦宏:　土屋裕一　      羽鳥輝:　戸田恵梨香　      海藤剛:　寺島進　    瀬崎玲子:　麻生祐未　      【#1ゲスト】  村上美月:　加藤あい　    村上道則:　片岡鶴太郎　    宮脇拓也:　高橋努【脚本】  徳永友一　    【プロデュース】  藤野良太　  古屋建自　    【演出】  中江功　    【音楽】  神坂享輔　    【主題歌】  「太陽の女神」家入レオ(ビクターエンタテインメント)　    【制作】  フジテレビドラマ制作部</t>
  </si>
  <si>
    <t>『海診丸』は、瀬戸内海の無医島を巡り、医療サービスを提供する診療船。医師やスタッフたちは、この船で共同生活を送りながら島々を回っていた。ある日、海診丸に瀬崎航太(松田翔太)という、北海道出身の総合診療医がやってくることになった。看護師の戸神眞子(武井咲)、内科医の内村葵(藤原紀香)、看護師の三崎昇(福士蒼汰)、事務員で葵の夫でもある日内晃(荒川良々)、船長兼料理長の海藤剛(寺島進)ら海診丸のスタッフは、航太の歓迎会の準備をする。が、約束の時間より大幅に遅れてやってきた航太は、風呂上がりの眞子に出くわし、不審者に間違われて蹴り飛ばされてしまう。あくる朝、改めて皆に自己紹介をした航太は、さっそく実務に就いた。今回、海診丸が訪れたのは千登勢島だ。午前中、航太は集まってきた島民たちの診察をした。しかし眞子は、そのいい加減とも思える診察ぶりに呆れていた。午後、航太は眞子とともに往診に出かける。明日は島の祭りがあるらしく、太鼓の練習をしている男の姿もあった。往診の帰り、航太は墓石の前で涙を流していた女性・村上美月(加藤あい)に気づき、その美しい姿に心を奪われる。美月は、この島で造船業を営む道則(片岡鶴太郎)の娘だった。廃業しようとしている道則と、亡き母の思い出が残る家を守りたいという思いからそれに反対している美月のことを知った航太は、美月と結婚して道則の後を継ごうと決意するが…。</t>
  </si>
  <si>
    <t>番組名海の上の診療所　#02</t>
  </si>
  <si>
    <t>['#2']</t>
  </si>
  <si>
    <t>「海の上の診療所」公式番組ホームページ　  http://www.fujitv.co.jp/uminoueno_shinryojo/index.html　  出演者からのメッセージやスタッフブログ等様々なコンテンツをご用意しています!!　海診丸では、朝から騒動が持ち上がっていた。航太(松田翔太)が、冷蔵庫にあった眞子(武井咲)のプリンを勝手に食べてしまったのだ。それを知った葵(藤原紀香)や昇(福士蒼汰)、日内(荒川良々)は、眞子の反応を恐れ、航太を厳しく非難する。  　そんな中、海診丸は人口150人ほどの小さな島・美沖島を訪れる。そこで航太の前に現れたのが、健康検診のために児童を連れてやってきた立花薫(篠田麻里子)だった。　薫は、この島にある美沖小中学校の教師。といっても、中学校は生徒がおらず休校になっており、現在はたったひとり、10歳の片山遼(高木星来)が通っているだけだった。薫は以前、本土で教師をしていたが、持病のぜんそくが悪化し、教師を止めるべきかと悩んでいたところ、美沖島の役場に勤める増田潔(八十田勇一)に声をかけられてこの島に来たのだという。しかし、島に来てからも病気はひどくなる一方で、授業や学校行事を休まなければならないことが続いているらしい。村長で、遼の祖父でもある憲造(勝部演之)は、そんな薫に見切りをつけ、別の教師を探すよう増田に命じていた。待合室でも発作を起こした薫は、明日行われる予定だった遠足が憲造の反対で中止になるのでは、と心配していた。薫にひと目ぼれしてしまった航太は、自分も遠足に同行するから、と言って何とか憲造の了解を得るが…。瀬崎航太:　松田翔太　    戸神眞子:　武井咲　    内村葵:　藤原紀香　    三崎昇:　福士蒼汰　    日内晃:　荒川良々　    山中カルロス洋平:　植野行雄(デニス)　    前島邦宏:　土屋裕一　      羽鳥輝:　戸田恵梨香　      海藤剛:　寺島進　    瀬崎玲子:　麻生祐未　      【#2ゲスト】  立花薫:　篠田麻里子　    片山憲造:　勝部演之　    増田潔:　八十田勇一　    片山遼:　高木星来【脚本】  徳永友一　    【プロデュース】  藤野良太　  古屋建自　    【演出】  中江功　    【音楽】  神坂享輔　    【主題歌】  「太陽の女神」家入レオ(ビクターエンタテインメント)　    【制作】  フジテレビドラマ制作部</t>
  </si>
  <si>
    <t>海診丸では、朝から騒動が持ち上がっていた。航太(松田翔太)が、冷蔵庫にあった眞子(武井咲)のプリンを勝手に食べてしまったのだ。それを知った葵(藤原紀香)や昇(福士蒼汰)、日内(荒川良々)は、眞子の反応を恐れ、航太を厳しく非難する。  　そんな中、海診丸は人口150人ほどの小さな島・美沖島を訪れる。そこで航太の前に現れたのが、健康検診のために児童を連れてやってきた立花薫(篠田麻里子)だった。　薫は、この島にある美沖小中学校の教師。といっても、中学校は生徒がおらず休校になっており、現在はたったひとり、10歳の片山遼(高木星来)が通っているだけだった。薫は以前、本土で教師をしていたが、持病のぜんそくが悪化し、教師を止めるべきかと悩んでいたところ、美沖島の役場に勤める増田潔(八十田勇一)に声をかけられてこの島に来たのだという。しかし、島に来てからも病気はひどくなる一方で、授業や学校行事を休まなければならないことが続いているらしい。村長で、遼の祖父でもある憲造(勝部演之)は、そんな薫に見切りをつけ、別の教師を探すよう増田に命じていた。待合室でも発作を起こした薫は、明日行われる予定だった遠足が憲造の反対で中止になるのでは、と心配していた。薫にひと目ぼれしてしまった航太は、自分も遠足に同行するから、と言って何とか憲造の了解を得るが…。</t>
  </si>
  <si>
    <t>番組名海の上の診療所　#03</t>
  </si>
  <si>
    <t>['#3']</t>
  </si>
  <si>
    <t>「海の上の診療所」公式番組ホームページ　  http://www.fujitv.co.jp/uminoueno_shinryojo/index.html　  出演者からのメッセージやスタッフブログ等様々なコンテンツをご用意しています!!　航太(松田翔太)ら海診丸の面々は、浮之島を訪れる。航太や海藤(寺島進)らがラジオから流れる「瀬戸の花嫁」の話で盛り上がっていると、昇(福士蒼汰)が慌てたようすで飛び込んできた。葵(藤原紀香)と日内(荒川良々)がケンカしているという。葵が結婚記念日を忘れていたのが原因だった。  　そんな中、航太と眞子(武井咲)は、去年大腸ガンの手術を受けていたが外来にこなかった塩見千鶴(いしだあゆみ)の家に往診に行く。そこで航太が出会ったのが、千鶴の娘・里花(夏帆)だった。航太たちは、千鶴が認知症を発症していることを里花から教えられる。実は里花は、千鶴と折り合いが悪く、5年ぶりに帰郷したばかりで、ヘルパーから認知症のことを聞かされたという。その際、眞子は白無垢姿で渡し船に乗っている千鶴の写真に気づく。それは、千鶴が隣の島から嫁いでいたときの写真だった。この辺りの島では、嫁いでいく女性は白無垢姿で渡し船に乗って出ていく習わしがあるのだという。千鶴の血液検査の結果を聞くために航太たちとともに海診丸に向かった里花は、結婚して母が夢見ていた白無垢姿を見せてあげたかった、とこぼす。航太はそんな里花に、力になりたいから手伝えることがあったら言ってほしい、と申し出る。検査の結果、千鶴は貧血気味だということがわかった。それを聞いた里花は、話があると言って航太を連れ出すと、「私と結婚してください」と切り出し…。瀬崎航太:　松田翔太　    戸神眞子:　武井咲　    内村葵:　藤原紀香　    三崎昇:　福士蒼汰　    日内晃:　荒川良々　    山中カルロス洋平:　植野行雄(デニス)　    前島邦宏:　土屋裕一　      羽鳥輝:　戸田恵梨香　      海藤剛:　寺島進　    瀬崎玲子:　麻生祐未　      【#3ゲスト】  塩見里花:　夏帆　    塩見千鶴:　いしだあゆみ　    熊野直哉:　皆川猿時　    高山一樹:　伊藤竜也【脚本】  徳永友一　    【プロデュース】  藤野良太　  古屋建自　    【演出】  中江功　    【音楽】  神坂享輔　    【主題歌】  「太陽の女神」家入レオ(ビクターエンタテインメント)　    【制作】  フジテレビドラマ制作部</t>
  </si>
  <si>
    <t>航太(松田翔太)ら海診丸の面々は、浮之島を訪れる。航太や海藤(寺島進)らがラジオから流れる「瀬戸の花嫁」の話で盛り上がっていると、昇(福士蒼汰)が慌てたようすで飛び込んできた。葵(藤原紀香)と日内(荒川良々)がケンカしているという。葵が結婚記念日を忘れていたのが原因だった。  　そんな中、航太と眞子(武井咲)は、去年大腸ガンの手術を受けていたが外来にこなかった塩見千鶴(いしだあゆみ)の家に往診に行く。そこで航太が出会ったのが、千鶴の娘・里花(夏帆)だった。航太たちは、千鶴が認知症を発症していることを里花から教えられる。実は里花は、千鶴と折り合いが悪く、5年ぶりに帰郷したばかりで、ヘルパーから認知症のことを聞かされたという。その際、眞子は白無垢姿で渡し船に乗っている千鶴の写真に気づく。それは、千鶴が隣の島から嫁いでいたときの写真だった。この辺りの島では、嫁いでいく女性は白無垢姿で渡し船に乗って出ていく習わしがあるのだという。千鶴の血液検査の結果を聞くために航太たちとともに海診丸に向かった里花は、結婚して母が夢見ていた白無垢姿を見せてあげたかった、とこぼす。航太はそんな里花に、力になりたいから手伝えることがあったら言ってほしい、と申し出る。検査の結果、千鶴は貧血気味だということがわかった。それを聞いた里花は、話があると言って航太を連れ出すと、「私と結婚してください」と切り出し…。</t>
  </si>
  <si>
    <t>番組名海の上の診療所　#04</t>
  </si>
  <si>
    <t>['#4']</t>
  </si>
  <si>
    <t>「海の上の診療所」公式番組ホームページ　  http://www.fujitv.co.jp/uminoueno_shinryojo/index.html　  出演者からのメッセージやスタッフブログ等様々なコンテンツをご用意しています!!　航太(松田翔太)や眞子(武井咲)らを乗せた海診丸は、阿岐之島を訪れる。その朝、事務長の日内(荒川良々)のもとに、海診丸を運営する本院から電話が入った。本院で研修医をしている理事長の娘・藤井みちる(瀧本美織)が、研修医生活最後の1カ月を海診丸で過ごすことになったというのだ。みちるは、“美人過ぎる研修医"として雑誌にも載ったことがある女性だった。  　海診丸にやってきたみちるは、いきなり船内の医療設備不足を指摘し、ここに重症で運ばれた患者は死んでくださいと言われたようなものだ、と言い出す。が、何故か航太には興味を示し、指導医は葵(藤原紀香)ではなく航太にしてほしい、と日内に頼む。そんなみちるにひと目ぼれしてしまった航太は、診察中も彼女を意識する。みちるは、海診丸の活動を批判するような発言を繰り返し、眞子の怒りを買っていた。眞子は、日内に詰め寄り、彼女が海診丸に来た本当の理由を聞きだす。実はみちるは、当直中に医療事故を起こし、それ以来、患者の処置が怖くなってしまったらしい。  　その夜、みちるの歓迎会が開かれる。が、その席でみちると衝突した眞子は、医療事故の話に触れ、医師として半人前のくせに偉そうなことばかり言って、と彼女を非難する。みちるは、患者の前に立つのが怖い、と航太に打ち明けた。芸能事務所からタレントにならないかと誘われていたみちるは、一緒に東京に行かないか、と航太を誘い…。瀬崎航太:　松田翔太　    戸神眞子:　武井咲　    内村葵:　藤原紀香　    三崎昇:　福士蒼汰　    日内晃:　荒川良々　    山中カルロス洋平:　植野行雄(デニス)　    前島邦宏:　土屋裕一　      羽鳥輝:　戸田恵梨香　      海藤剛:　寺島進　    瀬崎玲子:　麻生祐未　      【#4ゲスト】  藤井みちる:　瀧本美織　    池田晴男:　阿部力【脚本】  徳永友一　    【プロデュース】  藤野良太　  古屋建自　    【演出】  谷村政樹　    【音楽】  神坂享輔　    【主題歌】  「太陽の女神」家入レオ(ビクターエンタテインメント)　    【制作】  フジテレビドラマ制作部</t>
  </si>
  <si>
    <t>航太(松田翔太)や眞子(武井咲)らを乗せた海診丸は、阿岐之島を訪れる。その朝、事務長の日内(荒川良々)のもとに、海診丸を運営する本院から電話が入った。本院で研修医をしている理事長の娘・藤井みちる(瀧本美織)が、研修医生活最後の1カ月を海診丸で過ごすことになったというのだ。みちるは、“美人過ぎる研修医"として雑誌にも載ったことがある女性だった。  　海診丸にやってきたみちるは、いきなり船内の医療設備不足を指摘し、ここに重症で運ばれた患者は死んでくださいと言われたようなものだ、と言い出す。が、何故か航太には興味を示し、指導医は葵(藤原紀香)ではなく航太にしてほしい、と日内に頼む。そんなみちるにひと目ぼれしてしまった航太は、診察中も彼女を意識する。みちるは、海診丸の活動を批判するような発言を繰り返し、眞子の怒りを買っていた。眞子は、日内に詰め寄り、彼女が海診丸に来た本当の理由を聞きだす。実はみちるは、当直中に医療事故を起こし、それ以来、患者の処置が怖くなってしまったらしい。  　その夜、みちるの歓迎会が開かれる。が、その席でみちると衝突した眞子は、医療事故の話に触れ、医師として半人前のくせに偉そうなことばかり言って、と彼女を非難する。みちるは、患者の前に立つのが怖い、と航太に打ち明けた。芸能事務所からタレントにならないかと誘われていたみちるは、一緒に東京に行かないか、と航太を誘い…。</t>
  </si>
  <si>
    <t>番組名海の上の診療所　#05</t>
  </si>
  <si>
    <t>['#5']</t>
  </si>
  <si>
    <t>「海の上の診療所」公式番組ホームページ　  http://www.fujitv.co.jp/uminoueno_shinryojo/index.html　  出演者からのメッセージやスタッフブログ等様々なコンテンツをご用意しています!!　宮母島を訪れた航太(松田翔太)ら海診丸の面々は、東京のテレビ局から取材を受けることになった。その番組は、宮母島出身でもある人気フリーアナウンサー・上村絵里子(安達祐実)がリポーターを務め、海診丸の活動や故郷のみかん畑などを紹介するというものだった。事務長の日内(荒川良々)は、本院の理事長から、航太に取材を受けさせるよう指示されていた。しかし航太は、何故か取材を了承しない。あくる朝、絵里子と取材クルーがやってきた。航太を取材できないと知った絵里子は落胆しながらも、風邪をひいているという彼の体調を気遣った。そんな絵里子に魅了されてしまった航太は、急に取材を受けると言い出す。航太たちが往診に行くと知った絵里子は、父親の繁(田村亮)を診察する予定はあるか、と尋ねた。繁は半年ほど前に脳梗塞で倒れて入院していた。が、妻の芳江(浅田美代子)は、医者は信用できないと言って、繁を本土の病院から島に連れ帰ってしまったのだという。事情を知った航太は、眞子(武井咲)とともに絵里子の実家を訪れた。力になりたい、という航太に、みかん畑の手入れを命じる芳江。そこにやってきた絵里子は、芳江と激しい口論になってしまう。そんな母娘の姿を見た航太は、海診丸の仲間たちに、絵里子と結婚し、この島でみかん畑を守りながら診療所を営む、と言い出し…。瀬崎航太:　松田翔太　    戸神眞子:　武井咲　    内村葵:　藤原紀香　    三崎昇:　福士蒼汰　    日内晃:　荒川良々　    山中カルロス洋平:　植野行雄(デニス)　    前島邦宏:　土屋裕一　      羽鳥輝:　戸田恵梨香　      海藤剛:　寺島進　    瀬崎玲子:　麻生祐未　      【#5ゲスト】  上村絵里子:　安達祐実　    上村繁:　田村亮　    上村芳江:　浅田美代子【脚本】  徳永友一　    【プロデュース】  藤野良太　  古屋建自　    【演出】  谷村政樹　    【音楽】  神坂享輔　    【主題歌】  「太陽の女神」家入レオ(ビクターエンタテインメント)　    【制作】  フジテレビドラマ制作部</t>
  </si>
  <si>
    <t>宮母島を訪れた航太(松田翔太)ら海診丸の面々は、東京のテレビ局から取材を受けることになった。その番組は、宮母島出身でもある人気フリーアナウンサー・上村絵里子(安達祐実)がリポーターを務め、海診丸の活動や故郷のみかん畑などを紹介するというものだった。事務長の日内(荒川良々)は、本院の理事長から、航太に取材を受けさせるよう指示されていた。しかし航太は、何故か取材を了承しない。あくる朝、絵里子と取材クルーがやってきた。航太を取材できないと知った絵里子は落胆しながらも、風邪をひいているという彼の体調を気遣った。そんな絵里子に魅了されてしまった航太は、急に取材を受けると言い出す。航太たちが往診に行くと知った絵里子は、父親の繁(田村亮)を診察する予定はあるか、と尋ねた。繁は半年ほど前に脳梗塞で倒れて入院していた。が、妻の芳江(浅田美代子)は、医者は信用できないと言って、繁を本土の病院から島に連れ帰ってしまったのだという。事情を知った航太は、眞子(武井咲)とともに絵里子の実家を訪れた。力になりたい、という航太に、みかん畑の手入れを命じる芳江。そこにやってきた絵里子は、芳江と激しい口論になってしまう。そんな母娘の姿を見た航太は、海診丸の仲間たちに、絵里子と結婚し、この島でみかん畑を守りながら診療所を営む、と言い出し…。</t>
  </si>
  <si>
    <t>番組名海の上の診療所　#06</t>
  </si>
  <si>
    <t>['#6']</t>
  </si>
  <si>
    <t>「海の上の診療所」公式番組ホームページ　  http://www.fujitv.co.jp/uminoueno_shinryojo/index.html　  出演者からのメッセージやスタッフブログ等様々なコンテンツをご用意しています!!　鳴美島を訪れた航太(松田翔太)ら海診丸のスタッフは、事務長の日内(荒川良々)から呼び出しを受ける。介護士をしている眞子(武井咲)の友人が、勉強のために海診丸に来ることになったのだ。しかし、その友人は、元レディースの総長なのだという。  　ほどなく、眞子の友人、岡崎泉(北乃きい)と樋口萌絵(小林きな子)が海診丸にやってくる。泉と萌絵は、鳴美島で訪問介護の仕事をしていた。  　航太は、眞子とともに、沖田登美子(草村礼子)の家へ往診に行く。泉たちも、眞子に頼んで往診に同行した。が、何故か登美子の前に顔を出せない泉たち。するとそこに、登美子の息子・和俊(菊池均也)が現れ、カバンから土地の売買契約書を取り出して登美子に渡す。その際、泉たちの姿に気づいた和俊は、出て行けと泉に怒鳴るのだった。実は泉は、前の訪問介護中に登美子に火傷を負わせてしまったのだという。怒った和俊は、泉の会社との契約を解除し、登美子を施設に入れることにしたらしい。しかも、和俊が泉たちの悪い噂を島中に流したため、会社は解約解除が相次いでいるのだという。当の登美子は、泉たちに迷惑をかけてしまったことを悔やんでいた。  　事情を知った航太は、泉たちを励まそうと、船長であり料理長でもある海藤(寺島進)に頼んで特別メニューを用意してもらう。その際、泉と萌絵が、航太にひと目ぼれした、と話しているのを偶然聞いてしまった航太は…。瀬崎航太:　松田翔太　    戸神眞子:　武井咲　    内村葵:　藤原紀香　    三崎昇:　福士蒼汰　    日内晃:　荒川良々　    山中カルロス洋平:　植野行雄(デニス)　    前島邦宏:　土屋裕一　      羽鳥輝:　戸田恵梨香　      海藤剛:　寺島進　    瀬崎玲子:　麻生祐未　      【#6ゲスト】  岡崎泉:　北乃きい　    樋口萌絵:　小林きな子　    沖田登美子:　草村礼子【脚本】  徳永友一　    【プロデュース】  藤野良太　  古屋建自　    【演出】  谷村政樹　    【音楽】  神坂享輔　    【主題歌】  「太陽の女神」家入レオ(ビクターエンタテインメント)　    【制作】  フジテレビドラマ制作部</t>
  </si>
  <si>
    <t>鳴美島を訪れた航太(松田翔太)ら海診丸のスタッフは、事務長の日内(荒川良々)から呼び出しを受ける。介護士をしている眞子(武井咲)の友人が、勉強のために海診丸に来ることになったのだ。しかし、その友人は、元レディースの総長なのだという。  　ほどなく、眞子の友人、岡崎泉(北乃きい)と樋口萌絵(小林きな子)が海診丸にやってくる。泉と萌絵は、鳴美島で訪問介護の仕事をしていた。  　航太は、眞子とともに、沖田登美子(草村礼子)の家へ往診に行く。泉たちも、眞子に頼んで往診に同行した。が、何故か登美子の前に顔を出せない泉たち。するとそこに、登美子の息子・和俊(菊池均也)が現れ、カバンから土地の売買契約書を取り出して登美子に渡す。その際、泉たちの姿に気づいた和俊は、出て行けと泉に怒鳴るのだった。実は泉は、前の訪問介護中に登美子に火傷を負わせてしまったのだという。怒った和俊は、泉の会社との契約を解除し、登美子を施設に入れることにしたらしい。しかも、和俊が泉たちの悪い噂を島中に流したため、会社は解約解除が相次いでいるのだという。当の登美子は、泉たちに迷惑をかけてしまったことを悔やんでいた。  　事情を知った航太は、泉たちを励まそうと、船長であり料理長でもある海藤(寺島進)に頼んで特別メニューを用意してもらう。その際、泉と萌絵が、航太にひと目ぼれした、と話しているのを偶然聞いてしまった航太は…。</t>
  </si>
  <si>
    <t>番組名海の上の診療所　#07</t>
  </si>
  <si>
    <t>['#7']</t>
  </si>
  <si>
    <t>「海の上の診療所」公式番組ホームページ　  http://www.fujitv.co.jp/uminoueno_shinryojo/index.html　  出演者からのメッセージやスタッフブログ等様々なコンテンツをご用意しています!!　航太(松田翔太)の行方を追い続けていた謎の女性・羽鳥輝(戸田恵梨香)が海診丸にやってきた。輝の姿を見た航太は慌てふためき、眞子(武井咲)や葵(藤原紀香)たちに事情を話して助けを求める。  　航太が輝と出会ったのはとある企業の健康診断のときだった。勤務先の病院からその企業に派遣された航太は、診察中に突然逃げ出した女性のことが気になって追いかけたのだという。それが輝だった。恋人と別れた直後だった輝は、診察中に泣きそうになり逃げだしたらしい。事情を知った航太は、輝を慰めようと食事に誘った。そのとき、輝と意気投合し、彼女の方から結婚を申し込まれたというのだ。  　航太は、輝と結婚することを北海道に住む母・玲子(麻生祐未)に報告、彼女を紹介するために寝台列車で北海道に向かった。その道中、航太は輝から、本当は男だという衝撃の告白をされて激しく混乱し、彼女のもとから逃げだしたのだという。それ以来、航太は輝から逃れるために各地の病院を転々とし、海診丸にたどり着いたらしい。  　海診丸を降りたくない、という航太の気持ちに打たれた日内(荒川良々)は、ある作戦を思いつく。それは、航太と眞子が交際していることにしようというものだった。日内は、輝やスタッフたちの前で、航太と眞子が交際することになったと発表した。が、証拠を見せるためにキスするよう指示された眞子は、思わず航太をスリッパで叩いてしまい…。瀬崎航太:　松田翔太　    戸神眞子:　武井咲　    内村葵:　藤原紀香　    三崎昇:　福士蒼汰　    日内晃:　荒川良々　    山中カルロス洋平:　植野行雄(デニス)　    前島邦宏:　土屋裕一　      海藤剛:　寺島進　    瀬崎玲子:　麻生祐未　      【#7ゲスト】  羽鳥輝:　戸田恵梨香　    牧野真也:　丸山智己【脚本】  徳永友一　    【プロデュース】  藤野良太　  古屋建自　    【演出】  中江功　    【音楽】  神坂享輔　    【主題歌】  「太陽の女神」家入レオ(ビクターエンタテインメント)　    【制作】  フジテレビドラマ制作部</t>
  </si>
  <si>
    <t>航太(松田翔太)の行方を追い続けていた謎の女性・羽鳥輝(戸田恵梨香)が海診丸にやってきた。輝の姿を見た航太は慌てふためき、眞子(武井咲)や葵(藤原紀香)たちに事情を話して助けを求める。  　航太が輝と出会ったのはとある企業の健康診断のときだった。勤務先の病院からその企業に派遣された航太は、診察中に突然逃げ出した女性のことが気になって追いかけたのだという。それが輝だった。恋人と別れた直後だった輝は、診察中に泣きそうになり逃げだしたらしい。事情を知った航太は、輝を慰めようと食事に誘った。そのとき、輝と意気投合し、彼女の方から結婚を申し込まれたというのだ。  　航太は、輝と結婚することを北海道に住む母・玲子(麻生祐未)に報告、彼女を紹介するために寝台列車で北海道に向かった。その道中、航太は輝から、本当は男だという衝撃の告白をされて激しく混乱し、彼女のもとから逃げだしたのだという。それ以来、航太は輝から逃れるために各地の病院を転々とし、海診丸にたどり着いたらしい。  　海診丸を降りたくない、という航太の気持ちに打たれた日内(荒川良々)は、ある作戦を思いつく。それは、航太と眞子が交際していることにしようというものだった。日内は、輝やスタッフたちの前で、航太と眞子が交際することになったと発表した。が、証拠を見せるためにキスするよう指示された眞子は、思わず航太をスリッパで叩いてしまい…。</t>
  </si>
  <si>
    <t>番組名海の上の診療所　#08</t>
  </si>
  <si>
    <t>['#8']</t>
  </si>
  <si>
    <t>「海の上の診療所」公式番組ホームページ　  http://www.fujitv.co.jp/uminoueno_shinryojo/index.html　  出演者からのメッセージやスタッフブログ等様々なコンテンツをご用意しています!!　航太(松田翔太)たち海診丸のスタッフは伊久島を訪れる。が、眞子(武井咲)が風邪をひいて寝込んでしまう。事務長の日内(荒川良々)から看病担当を命ぜられた航太が眞子を診察していると、そこに昇(福士蒼汰)がやってきた。診察の様子を、2人がキスをしていると勘違いした昇は、ショックを受け、葵(藤原紀香)にそのことを打ち明ける。  　すっかり勘違いした昇のもとに、学生時代のバイト仲間だった白井亜希(佐々木希)が訪問してくる。いつものようにひと目ぼれしてしまう航太を思わずスリッパではたいてしまった昇は、仕事終わりに亜希に連絡をすると告げ、航太を引っ張って往診に出かける。往診を終えた航太は、亜希に連絡を取るようにと昇を急かした。が、亜希には3年以上付き合っている婚約者が本土にいることを昇に教えられ、がっかりしながら海診丸へひとり戻る。  　海診丸では亜希の妹・美和(吉田里琴)が待っていた。美和は、かつて昇と亜希は両思いの仲だったが、昇が告白しなかったために付き合うまでに至らなかったこと、昇が言っていた彼氏がいるという情報は過去のものであることを航太に打ち明け、最近、亜希はまた昇のことが気になっている様子だから、今度こそ昇がちゃんと告白するように航太からも後押ししてほしい、と頼む。  　一方その頃、昇が眞子に失恋してしまったことを知った亜希は、好きな人には言葉にして気持ちを伝えないと、と告げるが…。瀬崎航太:　松田翔太　    戸神眞子:　武井咲　    内村葵:　藤原紀香　    三崎昇:　福士蒼汰　    日内晃:　荒川良々　    山中カルロス洋平:　植野行雄(デニス)　    前島邦宏:　土屋裕一　      海藤剛:　寺島進　    瀬崎玲子:　麻生祐未　      【#8ゲスト】  白井亜希:　佐々木希　    白井美和:　吉田里琴　    今井尚人:　矢崎広　    女性秘書:　松村未央(フジテレビアナウンサー)【脚本】  徳永友一　    【プロデュース】  藤野良太　  古屋建自　    【演出】  高野舞　    【音楽】  神坂享輔　    【主題歌】  「太陽の女神」家入レオ(ビクターエンタテインメント)　    【制作】  フジテレビドラマ制作部</t>
  </si>
  <si>
    <t>航太(松田翔太)たち海診丸のスタッフは伊久島を訪れる。が、眞子(武井咲)が風邪をひいて寝込んでしまう。事務長の日内(荒川良々)から看病担当を命ぜられた航太が眞子を診察していると、そこに昇(福士蒼汰)がやってきた。診察の様子を、2人がキスをしていると勘違いした昇は、ショックを受け、葵(藤原紀香)にそのことを打ち明ける。  　すっかり勘違いした昇のもとに、学生時代のバイト仲間だった白井亜希(佐々木希)が訪問してくる。いつものようにひと目ぼれしてしまう航太を思わずスリッパではたいてしまった昇は、仕事終わりに亜希に連絡をすると告げ、航太を引っ張って往診に出かける。往診を終えた航太は、亜希に連絡を取るようにと昇を急かした。が、亜希には3年以上付き合っている婚約者が本土にいることを昇に教えられ、がっかりしながら海診丸へひとり戻る。  　海診丸では亜希の妹・美和(吉田里琴)が待っていた。美和は、かつて昇と亜希は両思いの仲だったが、昇が告白しなかったために付き合うまでに至らなかったこと、昇が言っていた彼氏がいるという情報は過去のものであることを航太に打ち明け、最近、亜希はまた昇のことが気になっている様子だから、今度こそ昇がちゃんと告白するように航太からも後押ししてほしい、と頼む。  　一方その頃、昇が眞子に失恋してしまったことを知った亜希は、好きな人には言葉にして気持ちを伝えないと、と告げるが…。</t>
  </si>
  <si>
    <t>番組名海の上の診療所　#09</t>
  </si>
  <si>
    <t>['#9']</t>
  </si>
  <si>
    <t>「海の上の診療所」公式番組ホームページ　  http://www.fujitv.co.jp/uminoueno_shinryojo/index.html　  出演者からのメッセージやスタッフブログ等様々なコンテンツをご用意しています!!　海診丸は細女島を訪れる。その朝、航太(松田翔太)ら海診丸のメンバーは、事務長の日内(荒川良々)のようすがおかしいことに不審を抱く。こそこそショートメールをしていたかと思えば、急用ができたと言って出かけてしまったのだ。  　眞子(武井咲)に命じられて、昇(福士蒼汰)とともに日内の後を追った航太は、彼が旅館で若い妊婦と密会しているところを目撃する。驚いた航太たちは、何も見なかったことにしようと決め、葵(藤原紀香)にウソの報告をした。しかし葵には通用せず、事情を知った葵は、怒りに震えながらその旅館に乗り込む。  　するとそこにいたのは、葵の妹・巴(榮倉奈々)だった。巴は、親元を飛び出し、恋人の星野武宏(石黒英雄)と同棲していて妊娠したらしい。だが、その恋人とケンカして家を飛び出してしまい、お金に困って日内に連絡してきたのだ。葵は、そんな巴を厳しく非難した。それに反発した巴は、航太を頼り、彼を味方につける。航太は、葵と巴の間に入ってその仲を取り持とうとしたが、上手くいかない。巴は航太に、母親になる自信がない、と打ち明けた。それを聞いた日内は困った挙句、巴と結婚してほしい、と航太に頼むが…。瀬崎航太:　松田翔太　    戸神眞子:　武井咲　    内村葵:　藤原紀香　    三崎昇:　福士蒼汰　    日内晃:　荒川良々　    山中カルロス洋平:　植野行雄(デニス)　    前島邦宏:　土屋裕一　      海藤剛:　寺島進　    瀬崎玲子:　麻生祐未　      【#9ゲスト】  内村巴:　榮倉奈々　    星野武宏:　石黒英雄【脚本】  徳永友一　    【プロデュース】  藤野良太　  古屋建自　    【演出】  高橋貴司　    【音楽】  神坂享輔　    【主題歌】  「太陽の女神」家入レオ(ビクターエンタテインメント)　    【制作】  フジテレビドラマ制作部</t>
  </si>
  <si>
    <t>海診丸は細女島を訪れる。その朝、航太(松田翔太)ら海診丸のメンバーは、事務長の日内(荒川良々)のようすがおかしいことに不審を抱く。こそこそショートメールをしていたかと思えば、急用ができたと言って出かけてしまったのだ。  　眞子(武井咲)に命じられて、昇(福士蒼汰)とともに日内の後を追った航太は、彼が旅館で若い妊婦と密会しているところを目撃する。驚いた航太たちは、何も見なかったことにしようと決め、葵(藤原紀香)にウソの報告をした。しかし葵には通用せず、事情を知った葵は、怒りに震えながらその旅館に乗り込む。  　するとそこにいたのは、葵の妹・巴(榮倉奈々)だった。巴は、親元を飛び出し、恋人の星野武宏(石黒英雄)と同棲していて妊娠したらしい。だが、その恋人とケンカして家を飛び出してしまい、お金に困って日内に連絡してきたのだ。葵は、そんな巴を厳しく非難した。それに反発した巴は、航太を頼り、彼を味方につける。航太は、葵と巴の間に入ってその仲を取り持とうとしたが、上手くいかない。巴は航太に、母親になる自信がない、と打ち明けた。それを聞いた日内は困った挙句、巴と結婚してほしい、と航太に頼むが…。</t>
  </si>
  <si>
    <t>番組名海の上の診療所　#10</t>
  </si>
  <si>
    <t>「海の上の診療所」公式番組ホームページ　  http://www.fujitv.co.jp/uminoueno_shinryojo/index.html　  出演者からのメッセージやスタッフブログ等様々なコンテンツをご用意しています!!　航太(松田翔太)は、事務長の日内(荒川良々)から「船を降ります」宣言を禁じられる。さらに日内は、海診丸のメンバーに徹底した経費削減を指示。メンバーは混乱するが、日内はその理由をメンバーに言わなかった。  　釈然としない中、航太と眞子(武井咲)は、来年から海診丸の巡回ルートとなる誉島の診療所を訪れる。海診丸がこの島の集団検診を受け持つことになり、患者の情報共有をするためだった。　その診療所で、航太は研修医時代の指導医・瀧山晴子(水野美紀)と再会する。誉島の出身でもある晴子は、以前から故郷の島で診療所を開くことを夢見ていた。が、医師としての腕を買われ、間もなく東京にある病院の血管外科に赴任することになったのだという。それが原因で、晴子は、両親を亡くしてからずっと面倒を見てくれていた漁協長の久松靖男(清水紘治)から厳しく非難されていた。　事情を知った航太は、夢を実現させた晴子が東京の病院に戻ることに疑問を抱き、彼女に会いに行くが…。瀬崎航太:　松田翔太　    戸神眞子:　武井咲　    内村葵:　藤原紀香　    三崎昇:　福士蒼汰　    日内晃:　荒川良々　    山中カルロス洋平:　植野行雄(デニス)　    前島邦宏:　土屋裕一　      海藤剛:　寺島進　    瀬崎玲子:　麻生祐未　      【#10ゲスト】  瀧山晴子:　水野美紀　    池上信吾:　東根作寿英　    久松洵子:　赤座美代子　    久松靖男:　清水絋治【脚本】  徳永友一　    【プロデュース】  藤野良太　  古屋建自　    【演出】  高野舞　    【音楽】  神坂享輔　    【主題歌】  「太陽の女神」家入レオ(ビクターエンタテインメント)　    【制作】  フジテレビドラマ制作部</t>
  </si>
  <si>
    <t>航太(松田翔太)は、事務長の日内(荒川良々)から「船を降ります」宣言を禁じられる。さらに日内は、海診丸のメンバーに徹底した経費削減を指示。メンバーは混乱するが、日内はその理由をメンバーに言わなかった。  　釈然としない中、航太と眞子(武井咲)は、来年から海診丸の巡回ルートとなる誉島の診療所を訪れる。海診丸がこの島の集団検診を受け持つことになり、患者の情報共有をするためだった。　その診療所で、航太は研修医時代の指導医・瀧山晴子(水野美紀)と再会する。誉島の出身でもある晴子は、以前から故郷の島で診療所を開くことを夢見ていた。が、医師としての腕を買われ、間もなく東京にある病院の血管外科に赴任することになったのだという。それが原因で、晴子は、両親を亡くしてからずっと面倒を見てくれていた漁協長の久松靖男(清水紘治)から厳しく非難されていた。　事情を知った航太は、夢を実現させた晴子が東京の病院に戻ることに疑問を抱き、彼女に会いに行くが…。</t>
  </si>
  <si>
    <t>番組名海の上の診療所　#11</t>
  </si>
  <si>
    <t>「海の上の診療所」公式番組ホームページ　  http://www.fujitv.co.jp/uminoueno_shinryojo/index.html　  出演者からのメッセージやスタッフブログ等様々なコンテンツをご用意しています!!　クリスマスを前日に控えた海診丸はいつものにぎやかさが影を潜め、静まりかえっていた。原因は航太(松田翔太)が何も言わず、皆の前から姿を消して数日が経過していたため。海診丸のメンバーはそれぞれに航太のことを心配するが、連絡もつかないままだった。  　何かを隠していそうな日内(荒川良々)の部屋から葵(藤原紀香)が人事通達書を発見する。海診丸のメンバーは一斉に日内を問い詰め、そこでコストカッターとして有名な副理事長・藤井真希(高橋ひとみ)の指示で、日内は契約期間満了に伴い、航太を退去させていたことが判明するのだった。口々に日内を非難するメンバーたち。特に眞子(武井咲)は副理事長と直接話をしたいと日内に詰めよる。が、日内はそもそも海診丸の運営に反対な副理事長を今刺激してしまっては存続すら危ぶまれると語る。そして、そのことを航太は理解し、自らが立ち去ることで海診丸を守ってくれたのだとメンバーへ説得を試みる。と、そこへ副理事長が海診丸に乗り込んでくるのだった。  　その頃航太は、眞子に憧れ将来は海診丸で看護師として働きたいという中澤歩(須田琥珀)という少女とその祖父・典夫(中丸新将)の自宅で具合が悪い典夫の診察を行っており…。瀬崎航太:　松田翔太　    戸神眞子:　武井咲　    内村葵:　藤原紀香　    三崎昇:　福士蒼汰　    日内晃:　荒川良々　    山中カルロス洋平:　植野行雄(デニス)　    前島邦宏:　土屋裕一　      海藤剛:　寺島進　    瀬崎玲子:　麻生祐未　      【#11ゲスト】  藤井真希:　高橋ひとみ　    中澤典夫:　中丸新将　    中澤歩:　須田琥珀【脚本】  徳永友一　    【プロデュース】  藤野良太　  古屋建自　    【演出】  中江功　    【音楽】  神坂享輔　    【主題歌】  「太陽の女神」家入レオ(ビクターエンタテインメント)　    【制作】  フジテレビドラマ制作部</t>
  </si>
  <si>
    <t>クリスマスを前日に控えた海診丸はいつものにぎやかさが影を潜め、静まりかえっていた。原因は航太(松田翔太)が何も言わず、皆の前から姿を消して数日が経過していたため。海診丸のメンバーはそれぞれに航太のことを心配するが、連絡もつかないままだった。  　何かを隠していそうな日内(荒川良々)の部屋から葵(藤原紀香)が人事通達書を発見する。海診丸のメンバーは一斉に日内を問い詰め、そこでコストカッターとして有名な副理事長・藤井真希(高橋ひとみ)の指示で、日内は契約期間満了に伴い、航太を退去させていたことが判明するのだった。口々に日内を非難するメンバーたち。特に眞子(武井咲)は副理事長と直接話をしたいと日内に詰めよる。が、日内はそもそも海診丸の運営に反対な副理事長を今刺激してしまっては存続すら危ぶまれると語る。そして、そのことを航太は理解し、自らが立ち去ることで海診丸を守ってくれたのだとメンバーへ説得を試みる。と、そこへ副理事長が海診丸に乗り込んでくるのだった。  　その頃航太は、眞子に憧れ将来は海診丸で看護師として働きたいという中澤歩(須田琥珀)という少女とその祖父・典夫(中丸新将)の自宅で具合が悪い典夫の診察を行っており…。</t>
  </si>
  <si>
    <t>1310_CX_火21</t>
  </si>
  <si>
    <t>ミス・パイロット</t>
  </si>
  <si>
    <t>番組名ミス・パイロット【堀北真希・1年ぶりの連ドラ主演!】　#01</t>
  </si>
  <si>
    <t>東京・蒲田にある居酒屋の娘、手塚晴(てづか・はる　堀北真希)は、就職活動中の大学生。特に夢もなく、就職活動に苦戦し万策尽きた晴の目に飛び込んできたのは、ANAの自社養成パイロットの募集要項だった。晴は考えもしなかった航空業界の会社説明会で、長年パイロットを夢見てきた小田千里(おだ・ちさと　相武紗季)と出会う。100倍以上の倍率にもかかわらず、パイロット一本で勝負をする東大大学院エリート才女の千里とは正反対の晴だが、採用試験が進むにつれて2人は会話を交わす仲になる。晴はパイロット採用試験を受ける傍ら、さまざまな会社にエントリーするも、手にするのは不合格通知ばかり。一方で、そんな晴の天真らんまん、素直な性格がANAパイロットの採用試験面接官の国木田孝之助(くにきだ・こうのすけ　斎藤工)と、現役機長でパイロットを束ねる総責任者・篠崎一豊(しのざき・かずとよ　岩城滉一)の目にとまる。順調に選考を突破していく晴だったが、ここぞという所でしくじってしまう。追い打ちをかけるように千里から、何百人の命を預かるパイロットという職業に対する気持ちの甘さを指摘された晴はすっかり自信を無くす。そんな折、晴は小さな製作所から内定をもらい・・・。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</si>
  <si>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東京・蒲田にある居酒屋の娘、手塚晴(てづか・はる　堀北真希)は、就職活動中の大学生。特に夢もなく、就職活動に苦戦し万策尽きた晴の目に飛び込んできたのは、ANAの自社養成パイロットの募集要項だった。晴は考えもしなかった航空業界の会社説明会で、長年パイロットを夢見てきた小田千里(おだ・ちさと　相武紗季)と出会う。100倍以上の倍率にもかかわらず、パイロット一本で勝負をする東大大学院エリート才女の千里とは正反対の晴だが、採用試験が進むにつれて2人は会話を交わす仲になる。晴はパイロット採用試験を受ける傍ら、さまざまな会社にエントリーするも、手にするのは不合格通知ばかり。一方で、そんな晴の天真らんまん、素直な性格がANAパイロットの採用試験面接官の国木田孝之助(くにきだ・こうのすけ　斎藤工)と、現役機長でパイロットを束ねる総責任者・篠崎一豊(しのざき・かずとよ　岩城滉一)の目にとまる。順調に選考を突破していく晴だったが、ここぞという所でしくじってしまう。追い打ちをかけるように千里から、何百人の命を預かるパイロットという職業に対する気持ちの甘さを指摘された晴はすっかり自信を無くす。そんな折、晴は小さな製作所から内定をもらい・・・。</t>
  </si>
  <si>
    <t>番組名ミス・パイロット　#02</t>
  </si>
  <si>
    <t>ANAのパイロット採用試験に合格し、グループAのメンバーになった手塚晴(堀北真希)は、同じチームとなった小田千里(相武紗季)、岸井泰治(間宮祥太朗)、小鳥翔(小柳友)、山田一男(藤井流星)、諸星麻也(庄野崎謙)らとともにパイロット寮に入り、訓練生としての生活を始める。  　まず地上訓練に臨んだ晴たちは、グランドスタッフの制服に研修生のバッジを付けて羽田空港のフロアに向かう。1億円のバイオリンを持ち込む音楽家、大幅に重量オーバーの荷物を持ち込む中年女性などにそれぞれが悪戦苦闘する中、晴は酔っぱらい客の佐藤寅雄(野添義弘)に出会う。聞けば、寅雄はひとり娘の結婚式に向かう予定で、娘が嫁ぐ寂しさから深酒をしたとのこと。晴は搭乗時間までベンチで休むよう寅雄に勧めた。やがて、寅雄に急いで搭乗ゲートに向かうようにうながす館内放送が流れる。晴は慌てて、寅雄が休んでいた所に行くが、寅雄の姿は無い。晴は、持ち場でないと制する千里の声も聞かず、探しに出る。  　さらに数日後、晴たちに「羽田で千歳行き最終便に乗り換えする便が遅れる」という連絡が入る。高齢の旅行客が多いため、短時間での乗り換えは無理と判断したグランドスタッフの鈴木倫子(菜々緒)は翌日の乗り換え便を手配する。しかし、悲しむ乗客の姿を見た晴は、倫子の指示を突然無視して・・・。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他　    【脚本】  櫻井剛  (『マルモのおきて』『PRICELESS～あるわけねぇだろ、んなもん!～』他)　  池上純哉  (映画「アンダルシア　女神の報復」他)　    【主題歌】  Kaho「every　hero」(Sony　Music　Records)　    【制作】  フジテレビドラマ制作部『ミス・パイロット』公式HPは、　  http://www.fujitv.co.jp/misspilot/index.html</t>
  </si>
  <si>
    <t>ANAのパイロット採用試験に合格し、グループAのメンバーになった手塚晴(堀北真希)は、同じチームとなった小田千里(相武紗季)、岸井泰治(間宮祥太朗)、小鳥翔(小柳友)、山田一男(藤井流星)、諸星麻也(庄野崎謙)らとともにパイロット寮に入り、訓練生としての生活を始める。  　まず地上訓練に臨んだ晴たちは、グランドスタッフの制服に研修生のバッジを付けて羽田空港のフロアに向かう。1億円のバイオリンを持ち込む音楽家、大幅に重量オーバーの荷物を持ち込む中年女性などにそれぞれが悪戦苦闘する中、晴は酔っぱらい客の佐藤寅雄(野添義弘)に出会う。聞けば、寅雄はひとり娘の結婚式に向かう予定で、娘が嫁ぐ寂しさから深酒をしたとのこと。晴は搭乗時間までベンチで休むよう寅雄に勧めた。やがて、寅雄に急いで搭乗ゲートに向かうようにうながす館内放送が流れる。晴は慌てて、寅雄が休んでいた所に行くが、寅雄の姿は無い。晴は、持ち場でないと制する千里の声も聞かず、探しに出る。  　さらに数日後、晴たちに「羽田で千歳行き最終便に乗り換えする便が遅れる」という連絡が入る。高齢の旅行客が多いため、短時間での乗り換えは無理と判断したグランドスタッフの鈴木倫子(菜々緒)は翌日の乗り換え便を手配する。しかし、悲しむ乗客の姿を見た晴は、倫子の指示を突然無視して・・・。</t>
  </si>
  <si>
    <t>番組名ミス・パイロット　#03</t>
  </si>
  <si>
    <t>手塚晴(堀北真希)たちパイロット訓練生チームAは、グランドスタッフとしての接客研修を終えたのも束の間、もう1つの地上勤務である整備部に配属された。晴たちは、整備士たちが素早く機体を整備し、送り出すのを目の当たりにして圧倒される。  　整備資格のないパイロット訓練生に任されたのは部品管理の仕事だった。未だに空を飛べなく、地味で細かい作業を命じられ、いら立ちが募る訓練生達。たまに先輩整備士の手伝いをしても、その度にこっぴどく怒られる始末。教官の国木田孝之助(斎藤工)は、個人プレーが多く協力姿勢のない6人を見て、誰か脱落しないか懸念し・・・。堀北真希　  相武紗季　  斎藤工　  桜庭ななみ　  菜々緒　  間宮祥太朗　  小柳友　  藤井流星(関西ジャニーズJr.)　  庄野崎謙　    藤澤恵麻　  石倉三郎　  根岸季衣  　・　  岩城滉一【原作・脚本】  櫻井剛　  池上純哉　    【プロデュース】  後藤博幸　    【協力プロデュース】  関口大輔　  古郡真也　    【演出】  澤田鎌作　  成田岳　    【制作】  フジテレビドラマ制作部</t>
  </si>
  <si>
    <t>手塚晴(堀北真希)たちパイロット訓練生チームAは、グランドスタッフとしての接客研修を終えたのも束の間、もう1つの地上勤務である整備部に配属された。晴たちは、整備士たちが素早く機体を整備し、送り出すのを目の当たりにして圧倒される。  　整備資格のないパイロット訓練生に任されたのは部品管理の仕事だった。未だに空を飛べなく、地味で細かい作業を命じられ、いら立ちが募る訓練生達。たまに先輩整備士の手伝いをしても、その度にこっぴどく怒られる始末。教官の国木田孝之助(斎藤工)は、個人プレーが多く協力姿勢のない6人を見て、誰か脱落しないか懸念し・・・。</t>
  </si>
  <si>
    <t>番組名ミス・パイロット【堀北真希、1年ぶり連ドラ主演!】　#04</t>
  </si>
  <si>
    <t>ラインの入っていない訓練生用のパイロット制服に身を包んだ、手塚晴(堀北真希)たちチームAが羽田空港にやってきた。実際のフライトでコックピットに同乗し、体験搭乗をするためだ。晴は篠崎一豊(岩城滉一)が機長を務める便に乗り込む。これまで一度も飛行機に乗ったことがない晴は、初フライトに胸を躍らせながら操縦席後方にあるジャンプシートに座った。だが、コックピットでの高度なやり取りに、晴は圧倒されすっかり自信を無くしてしまう。  　一方、他の同期は体験搭乗で学んだことや感じたことを興奮気味に話し、自分が操縦するイメージをつかめたと自信満々に話す。それを聞いた晴は、一層落ち込む。そして、ついに晴は国木田孝之助(斎藤工)にパイロット訓練生をやめたいと告げ…。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</si>
  <si>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ラインの入っていない訓練生用のパイロット制服に身を包んだ、手塚晴(堀北真希)たちチームAが羽田空港にやってきた。実際のフライトでコックピットに同乗し、体験搭乗をするためだ。晴は篠崎一豊(岩城滉一)が機長を務める便に乗り込む。これまで一度も飛行機に乗ったことがない晴は、初フライトに胸を躍らせながら操縦席後方にあるジャンプシートに座った。だが、コックピットでの高度なやり取りに、晴は圧倒されすっかり自信を無くしてしまう。  　一方、他の同期は体験搭乗で学んだことや感じたことを興奮気味に話し、自分が操縦するイメージをつかめたと自信満々に話す。それを聞いた晴は、一層落ち込む。そして、ついに晴は国木田孝之助(斎藤工)にパイロット訓練生をやめたいと告げ…。</t>
  </si>
  <si>
    <t>番組名ミス・パイロット【ついに今晩アメリカ編スタート!!】　#05</t>
  </si>
  <si>
    <t>いよいよ1年半のアメリカ訓練へ行くことになった手塚晴(堀北真希)たち。6人は国木田孝之助(斎藤工)とともにアメリカへと出発する。  　アメリカの寮に到着した晴たちがリビングに集まると、国木田がアメリカ訓練で習得すべきミッション表を貼り出していた。そこには膨大な数のミッションが書き込まれており、段階ごとに試験があるという。試験に2回落ちるとパイロット不適正とみなされ、日本へ帰されて別部署に配置換えになると聞いた6人からは笑顔が消えていた。  　外国人講師による英語の授業や試験を経た晴たちは、実機訓練に入る。外国人教官とバディ(相棒)とともにセスナ機に搭乗し、実際に操縦することになった晴は、極度の緊張で頭が真っ白になってしまい…。堀北真希　  相武紗季　  斎藤工　  桜庭ななみ　  菜々緒　  間宮祥太朗　  小柳友　  藤井流星(関西ジャニーズJr.)　  庄野崎謙　    藤澤恵麻　  石倉三郎　  根岸季衣  　・　  岩城滉一【プロデュース】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</si>
  <si>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いよいよ1年半のアメリカ訓練へ行くことになった手塚晴(堀北真希)たち。6人は国木田孝之助(斎藤工)とともにアメリカへと出発する。  　アメリカの寮に到着した晴たちがリビングに集まると、国木田がアメリカ訓練で習得すべきミッション表を貼り出していた。そこには膨大な数のミッションが書き込まれており、段階ごとに試験があるという。試験に2回落ちるとパイロット不適正とみなされ、日本へ帰されて別部署に配置換えになると聞いた6人からは笑顔が消えていた。  　外国人講師による英語の授業や試験を経た晴たちは、実機訓練に入る。外国人教官とバディ(相棒)とともにセスナ機に搭乗し、実際に操縦することになった晴は、極度の緊張で頭が真っ白になってしまい…。</t>
  </si>
  <si>
    <t>番組名ミス・パイロット【アメリカ編、クライマックスへ!!】　#06</t>
  </si>
  <si>
    <t>手塚晴(堀北真希)たちがアメリカに渡ってから10カ月が過ぎた。6人は正規ミッションには含まれていない低酸素訓練を自ら進んで行うなど、精力的に訓練に励む。そんな中、アメリカの宿舎に阿倍野すず(桜庭ななみ)、鈴木倫子(菜々緒)、三枝かのこ(藤澤恵麻)がやってきた。彼女たちは、晴たち6人の成長に驚く。晴たちの訓練は、計器飛行のステージへと進む。夜間などの視界が悪い時のために、飛行中の機体にフードをつけて視界を遮り、計器だけを見て飛行する訓練だ。難度の高い訓練に苦戦する6人。  　3カ月後、計器飛行試験が行われる。2回失敗すると「パイロット脱落」の重圧を乗り越え、6人はなんとか試験を終える。  　緊張の面持ちで結果を待つ6人の前に国木田(斎藤工)がやってきた。国木田は、不合格者が1名だけいると告げ…。堀北真希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</si>
  <si>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手塚晴(堀北真希)たちがアメリカに渡ってから10カ月が過ぎた。6人は正規ミッションには含まれていない低酸素訓練を自ら進んで行うなど、精力的に訓練に励む。そんな中、アメリカの宿舎に阿倍野すず(桜庭ななみ)、鈴木倫子(菜々緒)、三枝かのこ(藤澤恵麻)がやってきた。彼女たちは、晴たち6人の成長に驚く。晴たちの訓練は、計器飛行のステージへと進む。夜間などの視界が悪い時のために、飛行中の機体にフードをつけて視界を遮り、計器だけを見て飛行する訓練だ。難度の高い訓練に苦戦する6人。  　3カ月後、計器飛行試験が行われる。2回失敗すると「パイロット脱落」の重圧を乗り越え、6人はなんとか試験を終える。  　緊張の面持ちで結果を待つ6人の前に国木田(斎藤工)がやってきた。国木田は、不合格者が1名だけいると告げ…。</t>
  </si>
  <si>
    <t>番組名ミス・パイロット【今夜、アメリカ編最終章!】　#07</t>
  </si>
  <si>
    <t>小田千里(相武紗季)がパイロット試験でフェール(脱落)。国木田孝之助(斎藤工)から告げられた結果にぼう然とする晴(堀北真希)たち。  　その夜、千里の部屋の前には帰国のための荷物が積み上げられていた。晴は、千里に声をかけることができず、部屋で眠れない夜を過ごす。あくる朝、千里のジョギングに同行した晴は、夢を諦めずに別の会社のパイロットを目指せばいいと説得する。千里はコックピットに乗って空を飛ぶ夢は訓練で叶えられたから満足していると、それを拒否した。最後くらいは楽しく過ごしたいという千里の要望に、晴はパーティーを企画するが…。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</si>
  <si>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小田千里(相武紗季)がパイロット試験でフェール(脱落)。国木田孝之助(斎藤工)から告げられた結果にぼう然とする晴(堀北真希)たち。  　その夜、千里の部屋の前には帰国のための荷物が積み上げられていた。晴は、千里に声をかけることができず、部屋で眠れない夜を過ごす。あくる朝、千里のジョギングに同行した晴は、夢を諦めずに別の会社のパイロットを目指せばいいと説得する。千里はコックピットに乗って空を飛ぶ夢は訓練で叶えられたから満足していると、それを拒否した。最後くらいは楽しく過ごしたいという千里の要望に、晴はパーティーを企画するが…。</t>
  </si>
  <si>
    <t>番組名ミス・パイロット【パイロットへのカウントダウン始まる!】　#08</t>
  </si>
  <si>
    <t>手塚晴(堀北真希)、岸井泰治(間宮祥太朗)、小鳥翔(小柳友)、山田一男(藤井流星)、諸星麻也(庄野崎謙)らが、アメリカでの訓練を無事すべて終えて帰国した。久しぶりの日本に喜びながらも、行方がわからなくなった小田千里(相武紗季)を心配する5人。  　晴は、同じく千里を心配して寮にやってきた国木田孝之助(斎藤工)に千里を探すと告げるが、休暇後に始まる訓練に備えてゆっくり休むように諭される。　そんな中、帰宅しようとしていた国木田の前に千里が現れるが…。堀北真希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</si>
  <si>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手塚晴(堀北真希)、岸井泰治(間宮祥太朗)、小鳥翔(小柳友)、山田一男(藤井流星)、諸星麻也(庄野崎謙)らが、アメリカでの訓練を無事すべて終えて帰国した。久しぶりの日本に喜びながらも、行方がわからなくなった小田千里(相武紗季)を心配する5人。  　晴は、同じく千里を心配して寮にやってきた国木田孝之助(斎藤工)に千里を探すと告げるが、休暇後に始まる訓練に備えてゆっくり休むように諭される。　そんな中、帰宅しようとしていた国木田の前に千里が現れるが…。</t>
  </si>
  <si>
    <t>番組名ミス・パイロット　#09</t>
  </si>
  <si>
    <t>日本での訓練が再開し、シミュレータ訓練を行う手塚晴(堀北真希)たち訓練生5人。初めて乗るシミュレータを楽しみにしていた晴だったが、そのあまりのスピード感に圧倒されてしまう。  　そんな中、晴に父親の手塚茂雄(石倉三郎)から電話が入る。週末にでも帰ると話す晴の言葉を聞き、茂雄は電話でいいと重い口を開いた。それは、晴の渡米中に母親のよし美(根岸季衣)の病気が発覚、それが悪化しているとの知らせだった。呆然(ぼうぜん)と立ち尽くす晴…。  　一方、小田千里(相武紗季)はフライトオペレーションセンターで働きつつ、ディスパッチャー〈運行管理〉の資格取得を目指して勉強をし始めていた。  　訓練に集中できていない様子の晴を心配した国木田孝之助(斎藤工)は千里を訪ね、晴の話を聞いてあげてほしいとお願いする。同じく晴の様子が気になっていた千里はそれを引き受けつつ、用事は晴のことだけかと逆に国木田に問いかけ…。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</si>
  <si>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日本での訓練が再開し、シミュレータ訓練を行う手塚晴(堀北真希)たち訓練生5人。初めて乗るシミュレータを楽しみにしていた晴だったが、そのあまりのスピード感に圧倒されてしまう。  　そんな中、晴に父親の手塚茂雄(石倉三郎)から電話が入る。週末にでも帰ると話す晴の言葉を聞き、茂雄は電話でいいと重い口を開いた。それは、晴の渡米中に母親のよし美(根岸季衣)の病気が発覚、それが悪化しているとの知らせだった。呆然(ぼうぜん)と立ち尽くす晴…。  　一方、小田千里(相武紗季)はフライトオペレーションセンターで働きつつ、ディスパッチャー〈運行管理〉の資格取得を目指して勉強をし始めていた。  　訓練に集中できていない様子の晴を心配した国木田孝之助(斎藤工)は千里を訪ね、晴の話を聞いてあげてほしいとお願いする。同じく晴の様子が気になっていた千里はそれを引き受けつつ、用事は晴のことだけかと逆に国木田に問いかけ…。</t>
  </si>
  <si>
    <t>番組名ミス・パイロット　#10</t>
  </si>
  <si>
    <t>小田千里(相武紗季)から国木田孝之助(斎藤工)が好きだと告げられた手塚晴(堀北真希)は驚いて言葉を失う。  　晴がやや遅れを取りながらもシミュレータ訓練が進み、岸井泰治(間宮祥太朗)、小鳥翔(小柳友)、山田一男(藤井流星)、諸星麻也(庄野崎謙)の最終試験日が2日後に決まった。ドクターストップの期間があった晴だけは1週間後になり、その間に遅れを取り戻すように国木田から発破を掛けられる。　ある夜、訓練生寮に食事にやって来た国木田は、三枝かのこ(藤澤恵麻)に「晴を見ていると“弦太"を思い出す」と切なげに話す。翌日のシミュレータでの訓練中、晴の操作ミスに“弦太"との出来事が重なった国木田は思わず声を荒げてしまい…。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長瀬国博　  森脇智延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</si>
  <si>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小田千里(相武紗季)から国木田孝之助(斎藤工)が好きだと告げられた手塚晴(堀北真希)は驚いて言葉を失う。  　晴がやや遅れを取りながらもシミュレータ訓練が進み、岸井泰治(間宮祥太朗)、小鳥翔(小柳友)、山田一男(藤井流星)、諸星麻也(庄野崎謙)の最終試験日が2日後に決まった。ドクターストップの期間があった晴だけは1週間後になり、その間に遅れを取り戻すように国木田から発破を掛けられる。　ある夜、訓練生寮に食事にやって来た国木田は、三枝かのこ(藤澤恵麻)に「晴を見ていると“弦太"を思い出す」と切なげに話す。翌日のシミュレータでの訓練中、晴の操作ミスに“弦太"との出来事が重なった国木田は思わず声を荒げてしまい…。</t>
  </si>
  <si>
    <t>番組名ミス・パイロット【今夜、ついに最終回】　#11</t>
  </si>
  <si>
    <t>シミュレータ課程、実機訓練を修了した手塚晴(堀北真希)、岸井泰治(間宮祥太朗)、小鳥翔(小柳友)、山田一男(藤井流星)、諸星麻也(庄野崎謙)に、腕に3本ラインの入った新しい制服が支給された。ここまでの訓練を思い出し感慨にひたりながらも、翌日からOJT(On　The　Job　Training/新人が実際の職場で、実務経験を積んだり経験者の指導を受けて職務内容を学ぶこと)が始まると聞き、気を引き締める5人。その晩、小田千里(相武紗季)を含めた6人は訓練生寮で最後の食事を取る。4年間寝食を共にしたチームの解散と国木田孝之助(斎藤工)からの卒業を目の当たりにし、ますます独り立ちの実感を強める晴たち。  　そして12月24日、クリスマスイブ、晴は遂にファーストフライトを迎えた。行先は新千歳空港、そして機長は国木田。その頃、千歳では大雪が降り積もり…。堀北真希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長瀬国博　  森脇智延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</si>
  <si>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シミュレータ課程、実機訓練を修了した手塚晴(堀北真希)、岸井泰治(間宮祥太朗)、小鳥翔(小柳友)、山田一男(藤井流星)、諸星麻也(庄野崎謙)に、腕に3本ラインの入った新しい制服が支給された。ここまでの訓練を思い出し感慨にひたりながらも、翌日からOJT(On　The　Job　Training/新人が実際の職場で、実務経験を積んだり経験者の指導を受けて職務内容を学ぶこと)が始まると聞き、気を引き締める5人。その晩、小田千里(相武紗季)を含めた6人は訓練生寮で最後の食事を取る。4年間寝食を共にしたチームの解散と国木田孝之助(斎藤工)からの卒業を目の当たりにし、ますます独り立ちの実感を強める晴たち。  　そして12月24日、クリスマスイブ、晴は遂にファーストフライトを迎えた。行先は新千歳空港、そして機長は国木田。その頃、千歳では大雪が降り積もり…。</t>
  </si>
  <si>
    <t>1310_CX_火22</t>
  </si>
  <si>
    <t>陰陽屋へようこそ</t>
  </si>
  <si>
    <t>番組名よろず占い処　陰陽屋へようこそ　#01</t>
  </si>
  <si>
    <t>東京都北区王子の下町風情ただよう商店街。  高校1年の沢崎瞬太(知念侑李)は、担任の只野路子(倉科カナ)から留年確実と宣告された帰り、占い好きの母親・みどり(南野陽子)に連れられて新しく出来た怪しい占いの店『陰陽屋』を訪れる。店主・安倍祥明(錦戸亮)のルックスと巧みな話術にすっかり魅了され、身の上相談を始めるみどりに、祥明は除霊を行い、代金1万円を請求。あまりのインチキぶりに激怒した瞬太は、祥明に殴りかかり、高価な占いの盆を割ってしまう。結果、店で雑用係のアルバイトをするはめに。    その夜、路子の祖父・内藤源次郎(杉良太郎)が営む居酒屋『狐火』では、祥明の話題で持ちきりに。近くの神社の巫女・鮎川珠希(柏木由紀)の証言で、祥明がかつてNo.1ホストだったことも判明すると、路子の嫌悪感はますます強まり、商店街の連中は、『陰陽屋』の立ち退き運動を始めることを決意。    翌日、祥明は里見由実香(鈴木梨央)という少女から、父親の“狐つき"を治してほしいと依頼される。狐がついたせいで、母親は父親から暴力を振るわれているという。乗り気ではない祥明だったが、ふいに店に現れた源次郎に促され、しぶしぶ里見家に向かう。すると突然、家の中から女性の叫び声が!祥明、瞬太、路子が踏み込むと、そこには思わぬ光景が広がっていた。果たして“狐つき"の正体とは?そして、祥明はどうやって“狐つき"を解決するのか…?錦戸亮(関ジャニ∞)　  倉科カナ　  知念侑李(Hey!Say!JUMP)　  柏木由紀(AKB48)　  駿河太郎  　・　  宮川一朗太　  濱田マリ　  ふせえり　  見栄晴  　・　  南野陽子  　/　  杉良太郎　    〈1話登場人物〉  戸次重幸　  春木みさよ　  鈴木梨央【原作】  天野頌子　よろず占い処　陰陽屋シリーズ(ポプラ社　刊)　    【脚本】  黒岩勉　    【音楽】  井筒昭雄　    【プロデュース】  豊福陽子(関西テレビ)　  稲田秀樹(共同テレビ)　  小林宙(共同テレビ)　    【演出】  土方政人(共同テレビ)　    【制作】  関西テレビ　    【制作著作】  共同テレビ【HP】  http://www.ktv.jp/onmyoya/index.html</t>
  </si>
  <si>
    <t>東京都北区王子の下町風情ただよう商店街。  高校1年の沢崎瞬太(知念侑李)は、担任の只野路子(倉科カナ)から留年確実と宣告された帰り、占い好きの母親・みどり(南野陽子)に連れられて新しく出来た怪しい占いの店『陰陽屋』を訪れる。店主・安倍祥明(錦戸亮)のルックスと巧みな話術にすっかり魅了され、身の上相談を始めるみどりに、祥明は除霊を行い、代金1万円を請求。あまりのインチキぶりに激怒した瞬太は、祥明に殴りかかり、高価な占いの盆を割ってしまう。結果、店で雑用係のアルバイトをするはめに。    その夜、路子の祖父・内藤源次郎(杉良太郎)が営む居酒屋『狐火』では、祥明の話題で持ちきりに。近くの神社の巫女・鮎川珠希(柏木由紀)の証言で、祥明がかつてNo.1ホストだったことも判明すると、路子の嫌悪感はますます強まり、商店街の連中は、『陰陽屋』の立ち退き運動を始めることを決意。    翌日、祥明は里見由実香(鈴木梨央)という少女から、父親の“狐つき"を治してほしいと依頼される。狐がついたせいで、母親は父親から暴力を振るわれているという。乗り気ではない祥明だったが、ふいに店に現れた源次郎に促され、しぶしぶ里見家に向かう。すると突然、家の中から女性の叫び声が!祥明、瞬太、路子が踏み込むと、そこには思わぬ光景が広がっていた。果たして“狐つき"の正体とは?そして、祥明はどうやって“狐つき"を解決するのか…?</t>
  </si>
  <si>
    <t>番組名よろず占い処　陰陽屋へようこそ　#02</t>
  </si>
  <si>
    <t>陰陽屋に、中華料理店『上海亭』の女将・金井江美子(濱田マリ)が相談にやって来る。最近、客足が突然ぴたりと途絶え、「店が呪われているのではないか」と言う江美子。店の前には、触った者は必ず呪われると古くから言い伝えられている狐石が置いてあったという。話を聞いた祥明(錦戸亮)は、陰陽屋の存続をちらつかせる江美子に協力するため、手っ取り早くパソコンの口コミサイトにべた褒めのコメントを書こうと提案。ところが、そこにうそ八百の書き込みがあるのを発見した江美子はますます怒り、半分脅される形で、祥明は店で張り込むことになる。    一方、路子(倉科カナ)は、インターネットの掲示板に瞬太(知念侑李)が捨て子だと書き込まれていることを知り、胸を痛める。自宅を訪ね、両親のみどり(南野陽子)と吾郎(見栄晴)に瞬太の捨て子騒動の真相を尋ねる路子。しかし、2人は「大したことではない」と、あっけらかんとした態度で真相を語り、路子を驚かせる。    翌日、祥明の仕掛けた罠に掛かった犯人が、グルメサイトの掲示板に、店で撮影したハエ入りラーメンの証拠写真を新たにアップ。それを知った江美子はますます落ち込むが、祥明に促され写真を見ると、突然、犯人捜しをやめると言い出し…。錦戸亮(関ジャニ∞)　  倉科カナ　  知念侑李(Hey!Say!JUMP)　    柏木由紀(AKB48)　  駿河太郎  　・　  宮川一朗太　  濱田マリ　  ふせえり　  見栄晴  　・　  南野陽子  　/　  杉良太郎　    〈2話登場人物〉  若葉竜也　  上野なつひ　  木下隆行(TKO)【原作】  天野頌子「よろず占い処　陰陽屋シリーズ」(ポプラ社刊)　    【脚本】  黒岩勉　    【音楽】  井筒昭雄　    【主題歌】  関ジャニ∞「ココロ空モヨウ」(テイチクエンタテインメント)　    【プロデュース】  豊福陽子(関西テレビ)　  稲田秀樹(共同テレビ)　  小林宙(共同テレビ)　    【演出】  土方政人　    【制作】  関西テレビ　    【制作著作】  共同テレビ【HP】  http://www.ktv.jp/onmyoya/index.html</t>
  </si>
  <si>
    <t>陰陽屋に、中華料理店『上海亭』の女将・金井江美子(濱田マリ)が相談にやって来る。最近、客足が突然ぴたりと途絶え、「店が呪われているのではないか」と言う江美子。店の前には、触った者は必ず呪われると古くから言い伝えられている狐石が置いてあったという。話を聞いた祥明(錦戸亮)は、陰陽屋の存続をちらつかせる江美子に協力するため、手っ取り早くパソコンの口コミサイトにべた褒めのコメントを書こうと提案。ところが、そこにうそ八百の書き込みがあるのを発見した江美子はますます怒り、半分脅される形で、祥明は店で張り込むことになる。    一方、路子(倉科カナ)は、インターネットの掲示板に瞬太(知念侑李)が捨て子だと書き込まれていることを知り、胸を痛める。自宅を訪ね、両親のみどり(南野陽子)と吾郎(見栄晴)に瞬太の捨て子騒動の真相を尋ねる路子。しかし、2人は「大したことではない」と、あっけらかんとした態度で真相を語り、路子を驚かせる。    翌日、祥明の仕掛けた罠に掛かった犯人が、グルメサイトの掲示板に、店で撮影したハエ入りラーメンの証拠写真を新たにアップ。それを知った江美子はますます落ち込むが、祥明に促され写真を見ると、突然、犯人捜しをやめると言い出し…。</t>
  </si>
  <si>
    <t>番組名よろず占い処　陰陽屋へようこそ　#03</t>
  </si>
  <si>
    <t>『上海亭』を陥れた犯人だと勘違いして、商店街のメンバーが陰陽屋に連れてきたのは、祥明(錦戸亮)の幼なじみ・槙原(駿河太郎)だった。祥明の正体を明かそうとする槙原をなぜか必死で制する祥明。すると翌日、槙原は再び陰陽屋へやって来て、バイト先の後輩・宮内夏央(波瑠)の相談に乗ってやってほしいと持ちかける。ひと月ほど前に亡くなった祖母の遺言状を探してほしいというのだ。最初は興味のなさそうな祥明だったが、広い田畑を持ち、一人暮らしをしていた祖母の遺産が相当なものだと聞くや、がぜんやる気を見せる。弁護士が発表した祖母の遺言は、『“本物の遺言状"は一番大切なものの中にある。探し出した親族に全財産を譲る』というもの。期日までに見つけられなければ、遺産はすべて慈善団体へ寄付されるらしい。夏央の叔父・叔母らは、遺産を独り占めしようと血まなこになって遺言状を探しているという。遺言状の期日当日。祥明と瞬太(知念侑李)とともに、路子(倉科カナ)もなぜか、祥明の口車に乗せられ、群馬へ向かうことに。祖母の家は既に遺産目当ての親族らが荒らしており、それでも遺言状はまだ見つかっていないという。路子と瞬太は必死で探し始めるが、祥明はなぜか、「身を清める」と言ってのこのこと温泉に出かけてしまう。時間は刻一刻と過ぎる中、果たして遺言状は見つかるのか?祖母が遺した言葉の本当の意味とは…?錦戸亮(関ジャニ∞)　  倉科カナ　  知念侑李(Hey!Say!JUMP)　    柏木由紀(AKB48)　  駿河太郎  　・　  宮川一朗太　  濱田マリ　  ふせえり　  見栄晴  　・　  南野陽子  　/　  杉良太郎　    〈3話登場人物〉  波瑠【原作】  天野頌子「よろず占い処　陰陽屋シリーズ」(ポプラ社刊)　    【脚本】  黒岩勉　    【音楽】  井筒昭雄　    【主題歌】  関ジャニ∞「ココロ空モヨウ」(テイチクエンタテインメント)　    【プロデュース】  豊福陽子(関西テレビ)　  稲田秀樹(共同テレビ)　  小林宙(共同テレビ)　    【演出】  土方政人(共同テレビ)　    【制作】  関西テレビ　    【制作著作】  共同テレビ【HP】  http://www.ktv.jp/onmyoya/index.html</t>
  </si>
  <si>
    <t>『上海亭』を陥れた犯人だと勘違いして、商店街のメンバーが陰陽屋に連れてきたのは、祥明(錦戸亮)の幼なじみ・槙原(駿河太郎)だった。祥明の正体を明かそうとする槙原をなぜか必死で制する祥明。すると翌日、槙原は再び陰陽屋へやって来て、バイト先の後輩・宮内夏央(波瑠)の相談に乗ってやってほしいと持ちかける。ひと月ほど前に亡くなった祖母の遺言状を探してほしいというのだ。最初は興味のなさそうな祥明だったが、広い田畑を持ち、一人暮らしをしていた祖母の遺産が相当なものだと聞くや、がぜんやる気を見せる。弁護士が発表した祖母の遺言は、『“本物の遺言状"は一番大切なものの中にある。探し出した親族に全財産を譲る』というもの。期日までに見つけられなければ、遺産はすべて慈善団体へ寄付されるらしい。夏央の叔父・叔母らは、遺産を独り占めしようと血まなこになって遺言状を探しているという。遺言状の期日当日。祥明と瞬太(知念侑李)とともに、路子(倉科カナ)もなぜか、祥明の口車に乗せられ、群馬へ向かうことに。祖母の家は既に遺産目当ての親族らが荒らしており、それでも遺言状はまだ見つかっていないという。路子と瞬太は必死で探し始めるが、祥明はなぜか、「身を清める」と言ってのこのこと温泉に出かけてしまう。時間は刻一刻と過ぎる中、果たして遺言状は見つかるのか?祖母が遺した言葉の本当の意味とは…?</t>
  </si>
  <si>
    <t>番組名よろず占い処　陰陽屋へようこそ　#04</t>
  </si>
  <si>
    <t>ある日、祥明(錦戸亮)のホスト時代の客・細川季実子(関めぐみ)が陰陽屋にやって来る。一年前、祥明に手相を見てもらい、「20代で結婚できる」と言われたが、あと3日で30歳になるのに相手がいないという。3日後までに結婚できなかったら、占いが外れた責任をとって自分と結婚しろと祥明に迫る季実子。あまりの迫力に、瞬太(知念侑李)も花婿探しに乗り出し、たまたまやって来た槙原(駿河太郎)を薦める。すると、槙原は突然、路子(倉科カナ)に告白。路子は、とっさに祥明と付き合っているとウソをついてしまう。    翌朝、近くの公園で呪いのわら人形が発見され、商店街の人々は騒然となる。しかも、中から出てきた紙には路子の名前が。季実子は「祥明と路子が恋人同士だという証拠を見せろ」と言い出し、2人は季実子が見守るなか、遊園地でデートをするはめに…。迎えた季実子の誕生日当日ー。  30歳まで残り数時間となり、季実子から再び「相手が見つからなかったら責任をとってもらう」と迫られた祥明は、ついに季実子にプロポーズする。果たして、祥明の真意はいかに…?錦戸亮(関ジャニ∞)　  倉科カナ　  知念侑李(Hey!Say!JUMP)　    柏木由紀(AKB48)　  駿河太郎  　・　  宮川一朗太　  濱田マリ　  ふせえり　  見栄晴  　・　  南野陽子  　/　  杉良太郎　    〈4話登場人物〉  関めぐみ【原作】  天野頌子　よろず占い処　陰陽屋シリーズ(ポプラ社　刊)　    【脚本】  黒岩勉　    【音楽】  井筒昭雄　    【主題歌】  関ジャニ∞「ココロ空モヨウ」(テイチクエンタテインメント)　    【プロデュース】  豊福陽子(関西テレビ)　  稲田秀樹(共同テレビ)　  小林宙(共同テレビ)　    【演出】  植田泰史(共同テレビ)　    【制作】  関西テレビ　    【制作著作】  共同テレビ【HP】  http://www.ktv.jp/onmyoya/index.html</t>
  </si>
  <si>
    <t>ある日、祥明(錦戸亮)のホスト時代の客・細川季実子(関めぐみ)が陰陽屋にやって来る。一年前、祥明に手相を見てもらい、「20代で結婚できる」と言われたが、あと3日で30歳になるのに相手がいないという。3日後までに結婚できなかったら、占いが外れた責任をとって自分と結婚しろと祥明に迫る季実子。あまりの迫力に、瞬太(知念侑李)も花婿探しに乗り出し、たまたまやって来た槙原(駿河太郎)を薦める。すると、槙原は突然、路子(倉科カナ)に告白。路子は、とっさに祥明と付き合っているとウソをついてしまう。    翌朝、近くの公園で呪いのわら人形が発見され、商店街の人々は騒然となる。しかも、中から出てきた紙には路子の名前が。季実子は「祥明と路子が恋人同士だという証拠を見せろ」と言い出し、2人は季実子が見守るなか、遊園地でデートをするはめに…。迎えた季実子の誕生日当日ー。  30歳まで残り数時間となり、季実子から再び「相手が見つからなかったら責任をとってもらう」と迫られた祥明は、ついに季実子にプロポーズする。果たして、祥明の真意はいかに…?</t>
  </si>
  <si>
    <t>番組名よろず占い処　陰陽屋へようこそ　#05</t>
  </si>
  <si>
    <t>みどり(南野陽子)が勤める病院で「幽霊を見た」と看護師たちの間で騒ぎが持ち上がり、病院事務長から相談を受けた祥明(錦戸亮)は、おはらいをして幽霊騒動を収めることを請け負う。瞬太(知念侑李)とともに、子どもたちと遊ぶボランティアメンバーのふりをして病院に現れる祥明。  しかし、問題の病室で祥明が儀式の準備をしていると、入院患者の少女・真央(久家心)が「エミ姉ちゃんの幽霊に会わせてください」とやって来る。真央いわく、その病室で亡くなった江見(吉倉あおい)が、一緒に入院していた青年・祐輔(落合モトキ)を恨んで幽霊となって出てきたのだという。  さらに、『狐火』で幽霊騒動の話を聞いた路子(倉科カナ)が、「幽霊なんて非科学的なもの、この世に存在するはずがない」とバカにした直後、何かを見て階段から足を踏み外してしまい、問題の病院に運ばれてしまう。まさか、これも幽霊のしわざ…!?  その夜、源次郎(杉良太郎)と二人きりになった祥明は、源次郎に瞬太の生みの親について探りをいれる。しかし源次郎もまた、祥明の過去を聞きだそうとして…。  一方、同じ頃、路子もついに、問題の病室で幽霊らしきものを目撃!そこには真央の姿も。興奮状態で「今すぐ来てください!」と祥明を呼び出す路子。しかし、祥明は「面倒くさいから明日行く」と電話を切ってしまう。はたして祥明は幽霊騒動をどう解き明かすのか?意外な事件の真相とは…?錦戸亮(関ジャニ∞)　  倉科カナ　  知念侑李(Hey!Say!JUMP)　    柏木由紀(AKB48)　  駿河太郎  　・　  宮川一朗太　  濱田マリ　  ふせえり　  見栄晴  　・　  南野陽子  　/　  杉良太郎【原作】  天野頌子　よろず占い処　陰陽屋シリーズ(ポプラ社　刊)　    【脚本】  黒岩勉　    【音楽】  井筒昭雄　    【主題歌】  関ジャニ∞「ココロ空モヨウ」(テイチクエンタテインメント)　    【プロデュース】  豊福陽子(関西テレビ)　  稲田秀樹(共同テレビ)　  小林宙(共同テレビ)　    【演出】  土方政人(共同テレビ)　    【制作】  関西テレビ　    【制作著作】  共同テレビ【HP】  http://www.ktv.jp/onmyoya/index.html</t>
  </si>
  <si>
    <t>みどり(南野陽子)が勤める病院で「幽霊を見た」と看護師たちの間で騒ぎが持ち上がり、病院事務長から相談を受けた祥明(錦戸亮)は、おはらいをして幽霊騒動を収めることを請け負う。瞬太(知念侑李)とともに、子どもたちと遊ぶボランティアメンバーのふりをして病院に現れる祥明。  しかし、問題の病室で祥明が儀式の準備をしていると、入院患者の少女・真央(久家心)が「エミ姉ちゃんの幽霊に会わせてください」とやって来る。真央いわく、その病室で亡くなった江見(吉倉あおい)が、一緒に入院していた青年・祐輔(落合モトキ)を恨んで幽霊となって出てきたのだという。  さらに、『狐火』で幽霊騒動の話を聞いた路子(倉科カナ)が、「幽霊なんて非科学的なもの、この世に存在するはずがない」とバカにした直後、何かを見て階段から足を踏み外してしまい、問題の病院に運ばれてしまう。まさか、これも幽霊のしわざ…!?  その夜、源次郎(杉良太郎)と二人きりになった祥明は、源次郎に瞬太の生みの親について探りをいれる。しかし源次郎もまた、祥明の過去を聞きだそうとして…。  一方、同じ頃、路子もついに、問題の病室で幽霊らしきものを目撃!そこには真央の姿も。興奮状態で「今すぐ来てください!」と祥明を呼び出す路子。しかし、祥明は「面倒くさいから明日行く」と電話を切ってしまう。はたして祥明は幽霊騒動をどう解き明かすのか?意外な事件の真相とは…?</t>
  </si>
  <si>
    <t>番組名よろず占い処　陰陽屋へようこそ　#06</t>
  </si>
  <si>
    <t>ある日、祥明(錦戸亮)のもとに、「うちの家に呪いをかけてほしい」と門倉百合江(島かおり)がやって来る。百合江によると、自宅の古民家が“猫カフェプランナー"の神林(ミスターちん)に狙われているという。呪われた家なら神林も諦めるはずというのだ。しかも百合江の息子と娘は家を売ることに賛成しているらしい。  　瞬太(知念侑李)と路子(倉科カナ)が百合江の家を訪ねると、息子たちは百合江を気遣う気立ての良い人たち。そこへ、隣家の矢下純子(赤座美代子)が大音量でカラオケを始める。毎日の騒音に困惑しながらも、頑なに立ち退きたくないと言う百合江。  　百合江が家を離れたくないのは、何か深い理由があるはずだという源次郎(杉良太郎)の言葉を受け、瞬太は神林を追っ払うため、商店街のメンバーたちと百合江の家が呪われているという大芝居をうつことに。祥明も巻き込まれるかたちで、陰陽師役として参加。　しかし、翌日、百合江の家が落書きや生ごみで汚されており、事態はいよいよ立ち退くのが良いのでは、という方向に。すると、祥明は突然、「あなた、化け猫に祟られてます」と、ある人物に向かって言い始める。一体、誰が?そして、百合江が家を立ち退きたくないと言い張る、本当の理由とはー?  　一方、祥明を実家に連れ戻したい槙原(駿河太郎)は、祥明が王子に来た理由を探ろうと、珠希(柏木由紀)とともに、祥明が働いていたホストクラブへ行き…。錦戸亮(関ジャニ∞)　  倉科カナ　  知念侑李(Hey!Say!JUMP)　    柏木由紀(AKB48)　  駿河太郎  　・　  宮川一朗太　  濱田マリ　  ふせえり　  見栄晴  　・　  南野陽子  　/　  杉良太郎　    〈6話登場人物〉  島かおり　  赤座美代子　  ミスターちん【原作】  天野頌子　よろず占い処　陰陽屋シリーズ(ポプラ社　刊)　    【脚本】  黒岩勉　    【音楽】  井筒昭雄　    【主題歌】  関ジャニ∞「ココロ空モヨウ」(テイチクエンタテインメント)　    【プロデュース】  豊福陽子(関西テレビ)　  稲田秀樹(共同テレビ)　  小林宙(共同テレビ)　    【演出】  三木茂(共同テレビ)　    【制作】  関西テレビ　    【制作著作】  共同テレビ【HP】  http://www.ktv.jp/onmyoya/index.html</t>
  </si>
  <si>
    <t>ある日、祥明(錦戸亮)のもとに、「うちの家に呪いをかけてほしい」と門倉百合江(島かおり)がやって来る。百合江によると、自宅の古民家が“猫カフェプランナー"の神林(ミスターちん)に狙われているという。呪われた家なら神林も諦めるはずというのだ。しかも百合江の息子と娘は家を売ることに賛成しているらしい。  　瞬太(知念侑李)と路子(倉科カナ)が百合江の家を訪ねると、息子たちは百合江を気遣う気立ての良い人たち。そこへ、隣家の矢下純子(赤座美代子)が大音量でカラオケを始める。毎日の騒音に困惑しながらも、頑なに立ち退きたくないと言う百合江。  　百合江が家を離れたくないのは、何か深い理由があるはずだという源次郎(杉良太郎)の言葉を受け、瞬太は神林を追っ払うため、商店街のメンバーたちと百合江の家が呪われているという大芝居をうつことに。祥明も巻き込まれるかたちで、陰陽師役として参加。　しかし、翌日、百合江の家が落書きや生ごみで汚されており、事態はいよいよ立ち退くのが良いのでは、という方向に。すると、祥明は突然、「あなた、化け猫に祟られてます」と、ある人物に向かって言い始める。一体、誰が?そして、百合江が家を立ち退きたくないと言い張る、本当の理由とはー?  　一方、祥明を実家に連れ戻したい槙原(駿河太郎)は、祥明が王子に来た理由を探ろうと、珠希(柏木由紀)とともに、祥明が働いていたホストクラブへ行き…。</t>
  </si>
  <si>
    <t>番組名よろず占い処　陰陽屋へようこそ　#07</t>
  </si>
  <si>
    <t>陰陽屋に「今夜だけ店を貸してほしい」という一人の男が現れる。男は、以前この場所でイタリア料理の店を経営していた山田清志(永井大)で、瞬太(知念侑李)と源次郎(杉良太郎)は久しぶりの再会を喜ぶ。借金を返し終わったので、3年前に離婚した妻や別れた娘と、やり直したいという清志。しかし、店が潰れたことを娘には言えずにいるため、今夜一晩だけここでレストランを復活したいというのだ。ウソの芝居につきあうのを反対するかと思いきや、意外なことに、祥明(錦戸亮)は承諾。旧知の仲だった商店街のメンバーも「家族とヨリを戻したいなら」と協力を申し出る。    　路子(倉科カナ)らが着々とレストランの準備を進めていると、祥明のホスト時代の仲間らがやってきて、陰陽屋は大騒ぎに。失踪した六本木のカリスマホスト・雅人の行方を探してほしいと言われ、気乗りしないものの筮竹(ぜいちく)を使って方位を占ってやる祥明。早速、祥明の占いをもとに雅人を探し始めたホストたちは、雅人が意外な場所に通っていたことを知り…。    　夜、ついに清志の別れた妻と娘がレストランにやってくる。二人のために作った煮込みハンバーグをテーブルに運ぶ清志。その時、厨房(ちゅうぼう)で、たまたまソースを味見した瞬太たちは、ソースが驚くほどマズいことに気づき…!?錦戸亮(関ジャニ∞)　  倉科カナ　  知念侑李(Hey!Say!JUMP)　    柏木由紀(AKB48)　  駿河太郎  　・　  宮川一朗太　  濱田マリ　  ふせえり　  見栄晴  　・　  南野陽子  　/　  杉良太郎　    〈7話登場人物〉　  永井大　  狩野英孝【原作】  天野頌子　よろず占い処　陰陽屋シリーズ(ポプラ社　刊)　    【脚本】  黒岩勉　    【音楽】  井筒昭雄　    【主題歌】  関ジャニ∞「ココロ空モヨウ」(テイチクエンタテインメント)　    【プロデュース】  豊福陽子(関西テレビ)　  稲田秀樹(共同テレビ)　  小林宙(共同テレビ)　    【演出】  植田泰史(共同テレビ)　    【制作】  関西テレビ　    【制作著作】  共同テレビ【HP】  http://www.ktv.jp/onmyoya/index.html</t>
  </si>
  <si>
    <t>陰陽屋に「今夜だけ店を貸してほしい」という一人の男が現れる。男は、以前この場所でイタリア料理の店を経営していた山田清志(永井大)で、瞬太(知念侑李)と源次郎(杉良太郎)は久しぶりの再会を喜ぶ。借金を返し終わったので、3年前に離婚した妻や別れた娘と、やり直したいという清志。しかし、店が潰れたことを娘には言えずにいるため、今夜一晩だけここでレストランを復活したいというのだ。ウソの芝居につきあうのを反対するかと思いきや、意外なことに、祥明(錦戸亮)は承諾。旧知の仲だった商店街のメンバーも「家族とヨリを戻したいなら」と協力を申し出る。    　路子(倉科カナ)らが着々とレストランの準備を進めていると、祥明のホスト時代の仲間らがやってきて、陰陽屋は大騒ぎに。失踪した六本木のカリスマホスト・雅人の行方を探してほしいと言われ、気乗りしないものの筮竹(ぜいちく)を使って方位を占ってやる祥明。早速、祥明の占いをもとに雅人を探し始めたホストたちは、雅人が意外な場所に通っていたことを知り…。    　夜、ついに清志の別れた妻と娘がレストランにやってくる。二人のために作った煮込みハンバーグをテーブルに運ぶ清志。その時、厨房(ちゅうぼう)で、たまたまソースを味見した瞬太たちは、ソースが驚くほどマズいことに気づき…!?</t>
  </si>
  <si>
    <t>番組名よろず占い処　陰陽屋へようこそ　#08</t>
  </si>
  <si>
    <t>王子稲荷商店街で恒例の『ミス女狐総選挙』が行われることになり、祥明(錦戸亮)のもとへ、自称アイドルの織田友紀奈(岡本玲)が「あたしを1位にして」とやって来る。するとそこへ、珠希(柏木由紀)が現れる。二人は昔から何かにつけ争ってきた、言わば生涯のライバルで、去年の総選挙でも1位を争った仲らしい。友紀奈から「珠希に草履を隠されて負けた」と言われた珠希は、今回の総選挙に人生をかけると宣言し、「私が優勝したら付き合って」と強引に祥明を巻き込む。    　二人が商店街の人々に派手な選挙運動を繰り広げる中、ある日、呪いのわら人形が発見され、中には友紀奈の名前が。一方、珠希も、自転車に呪いの札が貼られ転倒するという事件が起き、事態は二人の呪い合戦の様相を帯びてくる。    　二人から「相手を蹴落とす強力な呪いを教えて」と詰め寄られた祥明は、「人を呪うなら死をも辞さない覚悟が必要だ」と脅す。そして、その覚悟が本当にあるならば、と前置きしたうえで、相手を呪い殺すことができるという“キツネの呪い歌"を伝授。「ただし、一度歌ったら最後、歌うのをやめたら呪いが返ってくる」とくぎをさす。    “キツネの呪い歌"を必死で練習する友紀奈と珠希。  ついに迎えた総選挙当日。水着審査の時に、祥明が突然、驚きの発言をして…?珠希と友紀奈に一体何が起きるのか。祥明の狙いとは?錦戸亮(関ジャニ∞)　  倉科カナ　  知念侑李(Hey!Say!JUMP)　    柏木由紀(AKB48)　  駿河太郎  　・　  宮川一朗太　  濱田マリ　  ふせえり　  見栄晴  　・　  南野陽子  　/　  杉良太郎　    〈8話登場人物〉  岡本玲　  内山信二【原作】  天野頌子　よろず占い処　陰陽屋シリーズ(ポプラ社　刊)　    【脚本】  黒岩勉　    【音楽】  井筒昭雄　    【主題歌】  関ジャニ∞「ココロ空モヨウ」(テイチクエンタテインメント)　    【プロデュース】  豊福陽子(関西テレビ)　  稲田秀樹(共同テレビ)　  小林宙(共同テレビ)　    【演出】  土方政人(共同テレビ)　    【制作】  関西テレビ　    【制作著作】  共同テレビ【HP】  http://www.ktv.jp/onmyoya/index.html</t>
  </si>
  <si>
    <t>王子稲荷商店街で恒例の『ミス女狐総選挙』が行われることになり、祥明(錦戸亮)のもとへ、自称アイドルの織田友紀奈(岡本玲)が「あたしを1位にして」とやって来る。するとそこへ、珠希(柏木由紀)が現れる。二人は昔から何かにつけ争ってきた、言わば生涯のライバルで、去年の総選挙でも1位を争った仲らしい。友紀奈から「珠希に草履を隠されて負けた」と言われた珠希は、今回の総選挙に人生をかけると宣言し、「私が優勝したら付き合って」と強引に祥明を巻き込む。    　二人が商店街の人々に派手な選挙運動を繰り広げる中、ある日、呪いのわら人形が発見され、中には友紀奈の名前が。一方、珠希も、自転車に呪いの札が貼られ転倒するという事件が起き、事態は二人の呪い合戦の様相を帯びてくる。    　二人から「相手を蹴落とす強力な呪いを教えて」と詰め寄られた祥明は、「人を呪うなら死をも辞さない覚悟が必要だ」と脅す。そして、その覚悟が本当にあるならば、と前置きしたうえで、相手を呪い殺すことができるという“キツネの呪い歌"を伝授。「ただし、一度歌ったら最後、歌うのをやめたら呪いが返ってくる」とくぎをさす。    “キツネの呪い歌"を必死で練習する友紀奈と珠希。  ついに迎えた総選挙当日。水着審査の時に、祥明が突然、驚きの発言をして…?珠希と友紀奈に一体何が起きるのか。祥明の狙いとは?</t>
  </si>
  <si>
    <t>番組名よろず占い処　陰陽屋へようこそ　#09</t>
  </si>
  <si>
    <t>祥明(錦戸亮)のもとに、路子(倉科カナ)の憧れの先輩で大学准教授の唐沢数彦(田中幸太朗)がやって来る。路子を自分の研究室に来ないかと誘った唐沢は、研究職に未練があるはずの路子が返事を迷っているため、路子の心の謎を解いてほしいと祥明に依頼する。    　ところが、学校へ向かった祥明は、教頭たちへのあいさつも早々に、路子のクラスのホームルームに乱入。「路子先生の心の謎が解けた」と告げ、「このクラスは盛大に祟られている」と言い出す。路子が転職を決断できないのは、今のクラスが落ちこぼれで、何をやってもビリだからだとたきつけられた瞬太(知念侑李)たちは、クラス対抗駅伝で一位をとり、路子を気持ちよく送り出そうと一致団結する。    　一方その頃、祥明が王子にやってきたのは目が光る化け物を探すためだと聞いていた槙原(駿河太郎)は、瞬太にキツネの耳が生えているところを目撃し、祥明が瞬太の命を狙っているのではと、二人の動向をいよいよ注意深く観察していた。    　ついに駅伝がスタートする。みどり(南野陽子)や吾郎(見栄晴)が見守る中、アンカーの瞬太はトップを快走。そこへ瞬太の身を案じて駆け付けた槙原は、瞬太の背中に怪しいお札が張ってあるのを目撃する!そしてゴール直前、誰も予想できなかった事件が起きてしまう…。果たして、瞬太らは路子に花道を用意することができるのか?祥明の不可解な行動の目的とは…?錦戸亮(関ジャニ∞)　  倉科カナ　  知念侑李(Hey!Say!JUMP)　    柏木由紀(AKB48)　  駿河太郎  　・　  宮川一朗太　  濱田マリ　  ふせえり　  見栄晴  　・　  南野陽子  　/　  杉良太郎　    〈9話登場人物〉  田中幸太朗【原作】  天野頌子　よろず占い処　陰陽屋シリーズ(ポプラ社　刊)　    【脚本】  黒岩勉　    【音楽】  井筒昭雄　    【主題歌】  関ジャニ∞「ココロ空モヨウ」(テイチクエンタテインメント)　    【プロデュース】  豊福陽子(関西テレビ)　  稲田秀樹(共同テレビ)　  小林宙(共同テレビ)　    【演出】  三木茂(共同テレビ)　    【制作】  関西テレビ　    【制作著作】  共同テレビ【HP】  http://www.ktv.jp/onmyoya/index.html</t>
  </si>
  <si>
    <t>祥明(錦戸亮)のもとに、路子(倉科カナ)の憧れの先輩で大学准教授の唐沢数彦(田中幸太朗)がやって来る。路子を自分の研究室に来ないかと誘った唐沢は、研究職に未練があるはずの路子が返事を迷っているため、路子の心の謎を解いてほしいと祥明に依頼する。    　ところが、学校へ向かった祥明は、教頭たちへのあいさつも早々に、路子のクラスのホームルームに乱入。「路子先生の心の謎が解けた」と告げ、「このクラスは盛大に祟られている」と言い出す。路子が転職を決断できないのは、今のクラスが落ちこぼれで、何をやってもビリだからだとたきつけられた瞬太(知念侑李)たちは、クラス対抗駅伝で一位をとり、路子を気持ちよく送り出そうと一致団結する。    　一方その頃、祥明が王子にやってきたのは目が光る化け物を探すためだと聞いていた槙原(駿河太郎)は、瞬太にキツネの耳が生えているところを目撃し、祥明が瞬太の命を狙っているのではと、二人の動向をいよいよ注意深く観察していた。    　ついに駅伝がスタートする。みどり(南野陽子)や吾郎(見栄晴)が見守る中、アンカーの瞬太はトップを快走。そこへ瞬太の身を案じて駆け付けた槙原は、瞬太の背中に怪しいお札が張ってあるのを目撃する!そしてゴール直前、誰も予想できなかった事件が起きてしまう…。果たして、瞬太らは路子に花道を用意することができるのか?祥明の不可解な行動の目的とは…?</t>
  </si>
  <si>
    <t>番組名よろず占い処　陰陽屋へようこそ【祟られた親子の絆】　#10</t>
  </si>
  <si>
    <t>祥明(錦戸亮)のもとに路子(倉科カナ)の父・寛和(中村まこと)がやって来る。25年前、「一流の小説家になる!」と大口をたたき、源次郎(杉良太郎)の反対を押し切って、路子を身ごもった照子(横山めぐみ)と結婚したが、全く芽が出ず、以来、夫婦そろって源次郎とは絶縁状態。ところが最近、照子が源次郎のことをいまだに気にしていることを知り、源次郎に結婚を認めてもらえれば親子関係が修復できると祥明に相談に来たのだった。照子が大事に取っていた、16年前に届いた「ゲンジロウ・キトク」と書かれた謎の手紙から「パンジーの匂いがする」という瞬太(知念侑李)の言葉を聞いた祥明は、なぜか源次郎と照子の親子関係修復に全力を尽くすことに。  一方、街にはジャーナリストの乗鞍(テイ龍進)がやって来て、「王子に化け狐の子供がいるとネットで話題になっている」と、瞬太の周りをかぎまわっていた。ついに、瞬太の妖狐姿がスクープされてしまうのか!?源次郎と娘夫婦とのわだかまりは?そして16年前の手紙の差出人はいったい誰…?錦戸亮(関ジャニ∞)　  倉科カナ　  知念侑李(Hey!Say!JUMP)　    柏木由紀(AKB48)　  駿河太郎  　・　  宮川一朗太　  濱田マリ　  ふせえり　  見栄晴  　・　  南野陽子  　/　  杉良太郎　    〈10話登場人物〉　  横山めぐみ　  中村まこと　  山田麻衣子　  テイ龍進　    香山美子【原作】  天野頌子　よろず占い処　陰陽屋シリーズ(ポプラ社　刊)　    【脚本】  黒岩勉　    【音楽】  井筒昭雄　    【主題歌】  関ジャニ∞「ココロ空モヨウ」(テイチクエンタテインメント)　    【プロデュース】  豊福陽子(関西テレビ)　  稲田秀樹(共同テレビ)　  小林宙(共同テレビ)　    【演出】  植田泰史(共同テレビ)　    【制作】  関西テレビ　    【制作著作】  共同テレビ【HP】  http://www.ktv.jp/onmyoya/index.html</t>
  </si>
  <si>
    <t>祥明(錦戸亮)のもとに路子(倉科カナ)の父・寛和(中村まこと)がやって来る。25年前、「一流の小説家になる!」と大口をたたき、源次郎(杉良太郎)の反対を押し切って、路子を身ごもった照子(横山めぐみ)と結婚したが、全く芽が出ず、以来、夫婦そろって源次郎とは絶縁状態。ところが最近、照子が源次郎のことをいまだに気にしていることを知り、源次郎に結婚を認めてもらえれば親子関係が修復できると祥明に相談に来たのだった。照子が大事に取っていた、16年前に届いた「ゲンジロウ・キトク」と書かれた謎の手紙から「パンジーの匂いがする」という瞬太(知念侑李)の言葉を聞いた祥明は、なぜか源次郎と照子の親子関係修復に全力を尽くすことに。  一方、街にはジャーナリストの乗鞍(テイ龍進)がやって来て、「王子に化け狐の子供がいるとネットで話題になっている」と、瞬太の周りをかぎまわっていた。ついに、瞬太の妖狐姿がスクープされてしまうのか!?源次郎と娘夫婦とのわだかまりは?そして16年前の手紙の差出人はいったい誰…?</t>
  </si>
  <si>
    <t>番組名よろず占い処　陰陽屋へようこそ【祥明は詐欺師?】　#11</t>
  </si>
  <si>
    <t>瞬太(知念侑李)は祥明(錦戸亮)の叔母・咲月(山田麻衣子)の息子であることが判明。覚悟を決めた源次郎(杉良太郎)は、瞬太出生の秘密を祥明に語り始める。    　翌日、槙原(駿河太郎)が、祥明の祖母・春代(香山美子)を連れて陰陽屋へやって来る。安倍家の跡継ぎは見つかったのかと催促する春代に、「まだだ」と答える祥明。しかし、そこに現れた瞬太を見て何かを察した春代は、「書庫の片付けのバイトに」と瞬太を安倍家へ呼び出す。祥明は瞬太が妖狐だとばれないよう、路子(倉科カナ)に同行を依頼する。    　その頃、瞬太の家に“王子に化け狐の少年が棲む"という記事を書いた雑誌記者が、押しかけてくる。事態を聞いた珠希(柏木由紀)が祥明を連れて行くが、あろうことか祥明は「化け狐を退治する儀式を独占取材させてやる」と、記者に対して提案。商店街のメンバーたちは色めくが、実は瞬太を守るための罠だと聞き、皆で協力してウソの儀式を執り行うことに。    　しかし、儀式の直前、槙原が「祥明が裏切ろうとしている!」と血相を変えて商店街のメンバーのもとに駆け込んできた。祥明は、本当は瞬太が化け狐だとバラすつもりだというのだ。いざ儀式が始まると、祥明の唱える呪文が練習と違うことに気付き、一同は騒然!    　祥明の狙いはいったい何なのか?そして、祥明が最後に下した決断とは…?錦戸亮(関ジャニ∞)　  倉科カナ　  知念侑李(Hey!Say!JUMP)　    柏木由紀(AKB48)　  駿河太郎  　・　  宮川一朗太　  濱田マリ　  ふせえり　  見栄晴  　・　  南野陽子  　/　  杉良太郎　    〈最終回登場人物〉  香山美子　    山田麻衣子　  テイ龍進　    ほか【原作】  天野頌子　よろず占い処　陰陽屋シリーズ(ポプラ社　刊)　    【脚本】  黒岩勉　    【音楽】  井筒昭雄　    【主題歌】  関ジャニ∞「ココロ空モヨウ」(テイチクエンタテインメント)　    【プロデュース】  豊福陽子(関西テレビ)　  稲田秀樹(共同テレビ)　  小林宙(共同テレビ)　    【演出】  土方政人(共同テレビ)　    【制作】  関西テレビ　    【制作著作】  共同テレビ【HP】  http://www.ktv.jp/onmyoya/index.html</t>
  </si>
  <si>
    <t>瞬太(知念侑李)は祥明(錦戸亮)の叔母・咲月(山田麻衣子)の息子であることが判明。覚悟を決めた源次郎(杉良太郎)は、瞬太出生の秘密を祥明に語り始める。    　翌日、槙原(駿河太郎)が、祥明の祖母・春代(香山美子)を連れて陰陽屋へやって来る。安倍家の跡継ぎは見つかったのかと催促する春代に、「まだだ」と答える祥明。しかし、そこに現れた瞬太を見て何かを察した春代は、「書庫の片付けのバイトに」と瞬太を安倍家へ呼び出す。祥明は瞬太が妖狐だとばれないよう、路子(倉科カナ)に同行を依頼する。    　その頃、瞬太の家に“王子に化け狐の少年が棲む"という記事を書いた雑誌記者が、押しかけてくる。事態を聞いた珠希(柏木由紀)が祥明を連れて行くが、あろうことか祥明は「化け狐を退治する儀式を独占取材させてやる」と、記者に対して提案。商店街のメンバーたちは色めくが、実は瞬太を守るための罠だと聞き、皆で協力してウソの儀式を執り行うことに。    　しかし、儀式の直前、槙原が「祥明が裏切ろうとしている!」と血相を変えて商店街のメンバーのもとに駆け込んできた。祥明は、本当は瞬太が化け狐だとバラすつもりだというのだ。いざ儀式が始まると、祥明の唱える呪文が練習と違うことに気付き、一同は騒然!    　祥明の狙いはいったい何なのか?そして、祥明が最後に下した決断とは…?</t>
  </si>
  <si>
    <t>1310_CX_水22</t>
  </si>
  <si>
    <t>リーガルハイ</t>
  </si>
  <si>
    <t>番組名リーガルハイ【堺雅人・最新作!!】　#01</t>
  </si>
  <si>
    <t>古美門研介(堺雅人)と黛真知子(新垣結衣)は、恋愛問題が発覚したアイドル相手に騙されたと訴えるファンたちを弁護。ハチャメチャな論理で被告を追い詰める古美門は、黛ではなく羽生晴樹(岡田将生)を指名して交代。羽生は人情に訴えて、アイドルに罪を認めさせた。  　その夜、古美門法律事務所で祝勝会。検察官の羽生は、弁護士職務経験として古美門法律事務所にいたのだが、この日で終了。古美門は、羽生にほれ込んでいた様子で検察官を辞めて自分の事務所に入るよう誘う。しかし、羽生は自分の道を模索すると古美門に別れを告げた。  　その頃、古美門のライバル三木長一郎(生瀬勝久)は、事務所のベテラン弁護士、磯貝邦光(古舘寛治)から担当案件から降りたいと頼まれていた。三木は許さないが、そのクライアントの無実を勝ち取るのは不可能と考えていた。  　黛が古美門に骨のある案件が来たと報告。実は磯貝が放り投げた案件で、そのクライアントとは運輸会社社長の殺害と、その娘の殺害未遂容疑で死刑を宣告された安藤貴和(小雪)だった。2審が進行中の貴和には2度の離婚歴があり、元夫たちの不審死から保険金目当ての疑惑も持たれている。黛と拘置所を訪ねた古美門は、やる気は無かったものの貴和のある提案で引き受けることに。  　さらに2人は、羽生の計らいで裁判の担当検事に会うことに。羽生が紹介したのは醍醐実(松平健)という一風変わった主任検事だった。古美門研介:　堺雅人　  黛真知子:　新垣結衣　  羽生晴樹:　岡田将生  　☆　  安藤貴和:　小雪  　☆　  加賀蘭丸:　田口淳之介　  本田ジェーン:　黒木華　  磯貝邦光:　古舘寛治  　☆☆　  三木長一郎:　生瀬勝久　  沢地君江:　小池栄子　  井手孝雄:　矢野聖人  　☆☆☆　  服部:　里見浩太朗【脚本】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</si>
  <si>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古美門研介(堺雅人)と黛真知子(新垣結衣)は、恋愛問題が発覚したアイドル相手に騙されたと訴えるファンたちを弁護。ハチャメチャな論理で被告を追い詰める古美門は、黛ではなく羽生晴樹(岡田将生)を指名して交代。羽生は人情に訴えて、アイドルに罪を認めさせた。  　その夜、古美門法律事務所で祝勝会。検察官の羽生は、弁護士職務経験として古美門法律事務所にいたのだが、この日で終了。古美門は、羽生にほれ込んでいた様子で検察官を辞めて自分の事務所に入るよう誘う。しかし、羽生は自分の道を模索すると古美門に別れを告げた。  　その頃、古美門のライバル三木長一郎(生瀬勝久)は、事務所のベテラン弁護士、磯貝邦光(古舘寛治)から担当案件から降りたいと頼まれていた。三木は許さないが、そのクライアントの無実を勝ち取るのは不可能と考えていた。  　黛が古美門に骨のある案件が来たと報告。実は磯貝が放り投げた案件で、そのクライアントとは運輸会社社長の殺害と、その娘の殺害未遂容疑で死刑を宣告された安藤貴和(小雪)だった。2審が進行中の貴和には2度の離婚歴があり、元夫たちの不審死から保険金目当ての疑惑も持たれている。黛と拘置所を訪ねた古美門は、やる気は無かったものの貴和のある提案で引き受けることに。  　さらに2人は、羽生の計らいで裁判の担当検事に会うことに。羽生が紹介したのは醍醐実(松平健)という一風変わった主任検事だった。</t>
  </si>
  <si>
    <t>番組名リーガルハイ　#02</t>
  </si>
  <si>
    <t>古美門研介(堺雅人)は黛真知子(新垣結衣)とともに安藤貴和(小雪)を訪ねる。黛は被告人尋問の前に拘置所に来た吉永慶子なる人物に何かを言われたのではないかと聞くが、貴和は判決の承諾は自分の意思だと言う。それでも古美門は執拗に上告を迫るが、はぐらかされてしまった。  　事務所に戻った古美門と黛は服部(里見浩太朗)に動画サイトを見せられる。それは、若くして会社を創設、一流会社を次々と買収し“時代が生んだ天才"とうたわれた鮎川光(佐藤隆太)のインタビュー番組。インサイダー取引などの容疑で実刑判決を受け出所したばかりの鮎川は、自分を誹謗中傷したマスコミらを訴えると息巻く。服部は、鮎川が起こす訴訟に絡んで法律事務所に依頼が飛び交っていると古美門たちに教えた。  　早速、古美門と黛は鮎川の下に行き、訴訟代理人の売り込み。得意の冗舌で鮎川を持ち上げ、仕事を獲ろうとする古美門だが、あっさり断られる。鮎川は自分自身で全ての訴訟を闘うと宣言し、法廷で闘いたいと古美門を挑発した。  　挑発に乗ることを促すかのように古美門法律事務所に、鮎川に訴えられたブロガーが弁護依頼に来た。しかし、古美門は黛に任せてしまう。そこに、『NEXUS』の羽生晴樹(岡田将生)と本田ジェーン(黒木華)が現れた。鮎川に訴えられた漫画家の玉川たま(谷村美月)の代理人となった羽生たちは、共同弁護を頼みに来たのだ。断ろうとする古美門だが…。古美門研介:　堺雅人　  黛真知子:　新垣結衣　  羽生晴樹:　岡田将生  　☆　  安藤貴和:　小雪  　☆　  加賀蘭丸:　田口淳之介　  本田ジェーン:　黒木華　  磯貝邦光:　古舘寛治    　☆☆☆　  服部:　里見浩太朗　    【ゲスト】  佐藤隆太　  谷村美月　    ほか【脚本】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</si>
  <si>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古美門研介(堺雅人)は黛真知子(新垣結衣)とともに安藤貴和(小雪)を訪ねる。黛は被告人尋問の前に拘置所に来た吉永慶子なる人物に何かを言われたのではないかと聞くが、貴和は判決の承諾は自分の意思だと言う。それでも古美門は執拗に上告を迫るが、はぐらかされてしまった。  　事務所に戻った古美門と黛は服部(里見浩太朗)に動画サイトを見せられる。それは、若くして会社を創設、一流会社を次々と買収し“時代が生んだ天才"とうたわれた鮎川光(佐藤隆太)のインタビュー番組。インサイダー取引などの容疑で実刑判決を受け出所したばかりの鮎川は、自分を誹謗中傷したマスコミらを訴えると息巻く。服部は、鮎川が起こす訴訟に絡んで法律事務所に依頼が飛び交っていると古美門たちに教えた。  　早速、古美門と黛は鮎川の下に行き、訴訟代理人の売り込み。得意の冗舌で鮎川を持ち上げ、仕事を獲ろうとする古美門だが、あっさり断られる。鮎川は自分自身で全ての訴訟を闘うと宣言し、法廷で闘いたいと古美門を挑発した。  　挑発に乗ることを促すかのように古美門法律事務所に、鮎川に訴えられたブロガーが弁護依頼に来た。しかし、古美門は黛に任せてしまう。そこに、『NEXUS』の羽生晴樹(岡田将生)と本田ジェーン(黒木華)が現れた。鮎川に訴えられた漫画家の玉川たま(谷村美月)の代理人となった羽生たちは、共同弁護を頼みに来たのだ。断ろうとする古美門だが…。</t>
  </si>
  <si>
    <t>番組名リーガルハイ　#03</t>
  </si>
  <si>
    <t>古美門研介(堺雅人)と黛真知子(新垣結衣)は、安藤貴和(小雪)に上告させて弁護人になりたいのだが、上手くいかない。弁護人になるための条件として、古美門は貴和から毎朝5キロ走るよう言われるが体力が持たない。黛に至っては、貴和からブスとののしられ、化粧の仕方ぐらい覚えろと命令されてしまう。  　弁護依頼が少なくなった古美門法律事務所は火の車。服部(里見浩太朗)は羽生晴樹(岡田将生)の事務所に行ってみたらと言いだす。古美門にその気はないが、服部から事務所運営のアドバイスと言われて…。  　羽生の事務所『NEXUS』は古美門も茫然とするほど相談者であふれていた。そんな時、羽生の紹介パネルに目を留めた古美門は“悪徳弁護士Kに見事な勝利?"なる文を発見。怒った古美門は羽生に宣戦布告して帰ってしまう。  　黛は仕事に結びつくかもしれないと高校の同窓会に出席。思惑通り同じクラスだった熊井健悟(塚地武雅)が相談を持ちかけてきた。熊井は妻、ほのか(美波)との離婚訴訟の代理人を古美門に依頼。ほのかが離婚に応じないのだ。しかし、熊井の離婚理由を聞いた黛は唖然。美人だと思って結婚したほのかが整形美人だったと言うのだ。黛は受けられないと告げるが、古美門は高額の弁護費用に熊井が応じたため了承。  　そんな時、熊井の携帯に着信。ほのかの代理人からと言う熊井から電話を代わった黛は驚く。その相手は羽生だった。古美門研介:　堺雅人　  黛真知子:　新垣結衣　  羽生晴樹:　岡田将生  　☆　  安藤貴和:　小雪  　☆　  加賀蘭丸:　田口淳之介　  本田ジェーン:　黒木華　  磯貝邦光:　古舘寛治    　☆☆☆　  服部:　里見浩太朗　    【ゲスト】  塚地武雅(ドランクドラゴン)　  美波　    ほか【脚本】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</si>
  <si>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古美門研介(堺雅人)と黛真知子(新垣結衣)は、安藤貴和(小雪)に上告させて弁護人になりたいのだが、上手くいかない。弁護人になるための条件として、古美門は貴和から毎朝5キロ走るよう言われるが体力が持たない。黛に至っては、貴和からブスとののしられ、化粧の仕方ぐらい覚えろと命令されてしまう。  　弁護依頼が少なくなった古美門法律事務所は火の車。服部(里見浩太朗)は羽生晴樹(岡田将生)の事務所に行ってみたらと言いだす。古美門にその気はないが、服部から事務所運営のアドバイスと言われて…。  　羽生の事務所『NEXUS』は古美門も茫然とするほど相談者であふれていた。そんな時、羽生の紹介パネルに目を留めた古美門は“悪徳弁護士Kに見事な勝利?"なる文を発見。怒った古美門は羽生に宣戦布告して帰ってしまう。  　黛は仕事に結びつくかもしれないと高校の同窓会に出席。思惑通り同じクラスだった熊井健悟(塚地武雅)が相談を持ちかけてきた。熊井は妻、ほのか(美波)との離婚訴訟の代理人を古美門に依頼。ほのかが離婚に応じないのだ。しかし、熊井の離婚理由を聞いた黛は唖然。美人だと思って結婚したほのかが整形美人だったと言うのだ。黛は受けられないと告げるが、古美門は高額の弁護費用に熊井が応じたため了承。  　そんな時、熊井の携帯に着信。ほのかの代理人からと言う熊井から電話を代わった黛は驚く。その相手は羽生だった。</t>
  </si>
  <si>
    <t>番組名リーガルハイ　#04</t>
  </si>
  <si>
    <t>ご近所様と言えども、些細なことでもめ事が起こる昨今。古美門研介(堺雅人)と黛真知子(新垣結衣)も毎度のことだがもめている。古美門の奏でる麗しいとは決して言えないバイオリンの音に、黛がクレームをつけたのだ。黛は自分だけではなく、近所からもクレームが来ると言うのだが、服部(里見浩太朗)は一度もないと否定する。  　そんな古美門法律事務所に、近隣訴訟が持ち込まれる。依頼に来たのは東山冬海(猫背椿)。最近もめ事が多かった隣家の西平なつ(佐藤仁美)にハサミで腹を刺されたのだ。幸い命に別状はなかったものの、先に冬海がゴルフクラブで殴り掛かったという経緯から刑事裁判で、なつは無罪となる。この判決に不服の冬海は民事裁判を起こすことにしたのだ。  　冬海の慰謝料を全額弁護費用に充てるという申し出に、古美門は了承。なつの弁護人が羽生晴樹(岡田将生)であることも意に介さない古美門だったが、裁判の日程の連絡を受けた服部から、裁判長の名を聞くと黛とともに驚く。その裁判長とは、かつて法廷を侮辱したとして古美門を牢屋にぶち込んだ別府敏子(広末涼子)だった。  　民事法廷が開廷する。やはり別府は、古美門のお世辞に眉ひとつ動かさない。それどころか、古美門の劇場型の意見陳述は厳しく注意される始末。反対に、別府は羽生の柔らかな物腰には好感を持った様子。勝負あったと感じる黛だが、別府は詳細な説明を古美門に求めてくる。古美門研介:　堺雅人　  黛真知子:　新垣結衣　  羽生晴樹:　岡田将生  　☆　  安藤貴和:　小雪  　☆　  加賀蘭丸:　田口淳之介　  本田ジェーン:　黒木華　  磯貝邦光:　古舘寛治    　☆☆☆　  服部:　里見浩太朗　    【ゲスト】  広末涼子　  佐藤仁美　  猫背椿　  ほか【脚本】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</si>
  <si>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ご近所様と言えども、些細なことでもめ事が起こる昨今。古美門研介(堺雅人)と黛真知子(新垣結衣)も毎度のことだがもめている。古美門の奏でる麗しいとは決して言えないバイオリンの音に、黛がクレームをつけたのだ。黛は自分だけではなく、近所からもクレームが来ると言うのだが、服部(里見浩太朗)は一度もないと否定する。  　そんな古美門法律事務所に、近隣訴訟が持ち込まれる。依頼に来たのは東山冬海(猫背椿)。最近もめ事が多かった隣家の西平なつ(佐藤仁美)にハサミで腹を刺されたのだ。幸い命に別状はなかったものの、先に冬海がゴルフクラブで殴り掛かったという経緯から刑事裁判で、なつは無罪となる。この判決に不服の冬海は民事裁判を起こすことにしたのだ。  　冬海の慰謝料を全額弁護費用に充てるという申し出に、古美門は了承。なつの弁護人が羽生晴樹(岡田将生)であることも意に介さない古美門だったが、裁判の日程の連絡を受けた服部から、裁判長の名を聞くと黛とともに驚く。その裁判長とは、かつて法廷を侮辱したとして古美門を牢屋にぶち込んだ別府敏子(広末涼子)だった。  　民事法廷が開廷する。やはり別府は、古美門のお世辞に眉ひとつ動かさない。それどころか、古美門の劇場型の意見陳述は厳しく注意される始末。反対に、別府は羽生の柔らかな物腰には好感を持った様子。勝負あったと感じる黛だが、別府は詳細な説明を古美門に求めてくる。</t>
  </si>
  <si>
    <t>番組名リーガルハイ　#05</t>
  </si>
  <si>
    <t>今回、古美門研介(堺雅人)と黛真知子(新垣結衣)が扱うのは、著作権侵害問題。16年前、零細文具メーカーの「あじさい文具」は、倒産の危機にひんしていた。しかし当時、30歳の田向学(野村将希)が、何気なく落書きで書いた犬のキャラクター「おやじいぬ」が空前の大ヒットとなり、現在では社名も「AJISAIカンパニー」に変え、巨大なビルにオフィスを構えるほどに急成長を遂げた。  　一方、古美門法律事務所には珍客が現れる。男は、長年勤めた会社を定年退職したが、現役のころ職場環境の改善に取り組んできたため、人権を無視した職場を看過できないと古美門に訴える。てっきり、ブラック企業を訴えたいという依頼かと思った古美門は、帰ってきた黛をいつものように罵倒する。しかし、その男は黛の父親の素夫(國村隼)だった…。  　会社が大きくなった現在でも、「おやじいぬ」の生みの親で、会社を復興させた功労者の田向は、社内の部署をたらい回しにされるなど、冷遇されていた。田向自身も、その温厚な性格から、会社からの処遇に反発したり、「おやじいぬ」開発の対価を求めるなどせず、淡々と職務を全うしていた。  　しかし、そんな田向に金になりそうと目をつけた古美門は、黛には内緒で加賀蘭丸(田口淳之介)を田向に接触させる。蘭丸は、あらゆる手法で田向をたきつけ、会社を訴える決意をさせる。案の定、会社側の弁護士は、羽生晴樹(岡田将生)だった…。古美門研介:　堺雅人　  黛真知子:　新垣結衣　  羽生晴樹:　岡田将生  　☆　  安藤貴和:　小雪  　☆　  加賀蘭丸:　田口淳之介　  本田ジェーン:　黒木華　  磯貝邦光:　古舘寛治    　☆☆☆　  服部:　里見浩太朗　    【ゲスト】  國村隼　  野村将希　  ほか【脚本】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</si>
  <si>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今回、古美門研介(堺雅人)と黛真知子(新垣結衣)が扱うのは、著作権侵害問題。16年前、零細文具メーカーの「あじさい文具」は、倒産の危機にひんしていた。しかし当時、30歳の田向学(野村将希)が、何気なく落書きで書いた犬のキャラクター「おやじいぬ」が空前の大ヒットとなり、現在では社名も「AJISAIカンパニー」に変え、巨大なビルにオフィスを構えるほどに急成長を遂げた。  　一方、古美門法律事務所には珍客が現れる。男は、長年勤めた会社を定年退職したが、現役のころ職場環境の改善に取り組んできたため、人権を無視した職場を看過できないと古美門に訴える。てっきり、ブラック企業を訴えたいという依頼かと思った古美門は、帰ってきた黛をいつものように罵倒する。しかし、その男は黛の父親の素夫(國村隼)だった…。  　会社が大きくなった現在でも、「おやじいぬ」の生みの親で、会社を復興させた功労者の田向は、社内の部署をたらい回しにされるなど、冷遇されていた。田向自身も、その温厚な性格から、会社からの処遇に反発したり、「おやじいぬ」開発の対価を求めるなどせず、淡々と職務を全うしていた。  　しかし、そんな田向に金になりそうと目をつけた古美門は、黛には内緒で加賀蘭丸(田口淳之介)を田向に接触させる。蘭丸は、あらゆる手法で田向をたきつけ、会社を訴える決意をさせる。案の定、会社側の弁護士は、羽生晴樹(岡田将生)だった…。</t>
  </si>
  <si>
    <t>番組名リーガルハイ　#06</t>
  </si>
  <si>
    <t>古美門研介(堺雅人)が、まだ眠りから覚めやらぬ朝、古美門法律事務所を嶋澄江(高林由紀子)という婦人が訪ねてきた。応対する黛真知子(新垣結衣)に、澄江は嫁の愛子(鈴木保奈美)についての相談をする。  　澄江によると、愛子は息子の悟(林泰文)のほかに複数の夫を持つ“一妻多夫"を営んでいるらしい。しかも、その事実は悟も了承済み。だが、澄江には理解できないため相談に来たのだ。  　話を聞いていた服部(里見浩太朗)は、古美門が面白がりそうな案件とうなずく。しかし、黛は古美門が面白がる案件は危険と判断。しかも、年金暮しの澄江に古美門への高額な弁護費用の出費は無理と、黛は羽生晴樹(岡田将生)を紹介する。  　ようやく起きてきた古美門を置いて、黛は安藤貴和(小雪)の接見に向かい上告への決断を迫る。しかし、逆に貴和から決めかねているのは黛ではないかと、はぐらかされてしまった。確かに黛は、古美門のもとで働き続けたいのだが、羽生からも事務所に誘われて迷っている。貴和から揺れる心を見事に言い当てられたのだ。  　黛が事務所に戻ると相談者が来る。朝方、相談に来た澄江が問題にする嫁の愛子だった。愛子は悟を含めた3人の男性と一緒で、澄江が弁護士に相談したことを知って来たのだ。愛子は誰とも婚姻関係を結ばずに、内縁関係のまま幸せに暮らしていると言う。話を聞いた古美門は黛の不安通りに興味を持ち愛子たちの弁護人を引き受けた。古美門研介:　堺雅人　  黛真知子:　新垣結衣　  羽生晴樹:　岡田将生  　☆　  安藤貴和:　小雪  　☆　  加賀蘭丸:　田口淳之介　  本田ジェーン:　黒木華　  磯貝邦光:　古舘寛治    　☆☆☆　  服部:　里見浩太朗　    【ゲスト】  鈴木保奈美　    ほか【脚本】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</si>
  <si>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古美門研介(堺雅人)が、まだ眠りから覚めやらぬ朝、古美門法律事務所を嶋澄江(高林由紀子)という婦人が訪ねてきた。応対する黛真知子(新垣結衣)に、澄江は嫁の愛子(鈴木保奈美)についての相談をする。  　澄江によると、愛子は息子の悟(林泰文)のほかに複数の夫を持つ“一妻多夫"を営んでいるらしい。しかも、その事実は悟も了承済み。だが、澄江には理解できないため相談に来たのだ。  　話を聞いていた服部(里見浩太朗)は、古美門が面白がりそうな案件とうなずく。しかし、黛は古美門が面白がる案件は危険と判断。しかも、年金暮しの澄江に古美門への高額な弁護費用の出費は無理と、黛は羽生晴樹(岡田将生)を紹介する。  　ようやく起きてきた古美門を置いて、黛は安藤貴和(小雪)の接見に向かい上告への決断を迫る。しかし、逆に貴和から決めかねているのは黛ではないかと、はぐらかされてしまった。確かに黛は、古美門のもとで働き続けたいのだが、羽生からも事務所に誘われて迷っている。貴和から揺れる心を見事に言い当てられたのだ。  　黛が事務所に戻ると相談者が来る。朝方、相談に来た澄江が問題にする嫁の愛子だった。愛子は悟を含めた3人の男性と一緒で、澄江が弁護士に相談したことを知って来たのだ。愛子は誰とも婚姻関係を結ばずに、内縁関係のまま幸せに暮らしていると言う。話を聞いた古美門は黛の不安通りに興味を持ち愛子たちの弁護人を引き受けた。</t>
  </si>
  <si>
    <t>番組名リーガルハイ　#07</t>
  </si>
  <si>
    <t>ついに古美門研介(堺雅人)と袂を分かった黛真知子(新垣結衣)は、かねてより誘われていた羽生晴樹(岡田将生)の事務所『NEXUS』に入る。黛は本田ジェーン(黒木華)や磯貝邦光(古舘寛治)にも快く迎えられた。  　しかし、黛は自分が去ったあとの古美門法律事務所が少し心配。羽生から古美門が助手を探しているらしいと聞いた黛は、こっそりと様子を見に行く。しかし、すぐに加賀蘭丸(田口淳之介)に見つかってしまった。蘭丸も黛が抜けたことで古美門が困っていると言うのだが…。古美門が困っていたのは助手の選考方法。芸能事務所のオーディションまがいに美女を集め、誰を選ぶか悩んでいただけ。黛は呆れて帰ってしまう。すると蘭丸は、古美門に黛が『NEXUS』で担当することになった案件を教える。  　黛が代理人になったのは、アニメ制作会社で働いていた穂積孝(近藤公園)。穂積は、劣悪な環境と常軌を逸した労働時間、低賃金、そしてスタッフに非人道的な仕打ちを繰り返したと、代表であり監督の宇都宮仁平(伊東四朗)を訴えたのだ。きつい労働に堪えかねた穂積は、職場を飛び出して行方不明になり、現在も自宅療養中。黛は穂積への慰謝料と治療費を宇都宮に求める。しかし、宇都宮の代理人となったのは古美門。古美門は、黛の主張に異を唱える。さらに古美門は、この裁判のほかにも、黛が担当した案件に対立する側の弁護人として、ことごとく顔を出す…。古美門研介:　堺雅人　  黛真知子:　新垣結衣　  羽生晴樹:　岡田将生  　☆　  安藤貴和:　小雪  　☆　  加賀蘭丸:　田口淳之介　  本田ジェーン:　黒木華　  磯貝邦光:　古舘寛治    　☆☆☆　  服部:　里見浩太朗　    【ゲスト】  伊東四朗　    ほか【脚本】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</si>
  <si>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ついに古美門研介(堺雅人)と袂を分かった黛真知子(新垣結衣)は、かねてより誘われていた羽生晴樹(岡田将生)の事務所『NEXUS』に入る。黛は本田ジェーン(黒木華)や磯貝邦光(古舘寛治)にも快く迎えられた。  　しかし、黛は自分が去ったあとの古美門法律事務所が少し心配。羽生から古美門が助手を探しているらしいと聞いた黛は、こっそりと様子を見に行く。しかし、すぐに加賀蘭丸(田口淳之介)に見つかってしまった。蘭丸も黛が抜けたことで古美門が困っていると言うのだが…。古美門が困っていたのは助手の選考方法。芸能事務所のオーディションまがいに美女を集め、誰を選ぶか悩んでいただけ。黛は呆れて帰ってしまう。すると蘭丸は、古美門に黛が『NEXUS』で担当することになった案件を教える。  　黛が代理人になったのは、アニメ制作会社で働いていた穂積孝(近藤公園)。穂積は、劣悪な環境と常軌を逸した労働時間、低賃金、そしてスタッフに非人道的な仕打ちを繰り返したと、代表であり監督の宇都宮仁平(伊東四朗)を訴えたのだ。きつい労働に堪えかねた穂積は、職場を飛び出して行方不明になり、現在も自宅療養中。黛は穂積への慰謝料と治療費を宇都宮に求める。しかし、宇都宮の代理人となったのは古美門。古美門は、黛の主張に異を唱える。さらに古美門は、この裁判のほかにも、黛が担当した案件に対立する側の弁護人として、ことごとく顔を出す…。</t>
  </si>
  <si>
    <t>番組名リーガルハイ　#08</t>
  </si>
  <si>
    <t>古美門研介(堺雅人)を、黛真知子(新垣結衣)と羽生晴樹(岡田将生)が訪ねて来る。『NEXUS』で受けた案件の共同弁護を古美門に頼みに来たのだ。古美門は、即座に断るのだがすでに服部(里見浩太朗)は黛たちについて行くことになっているらしい。ひとり残されるのがイヤな古美門は、しぶしぶ同行することにした。  　『NEXUS』が受けたのは、奥蟹頭にある“おざおざの森"を世界遺産に推奨する地元住民と反対派の訴訟。黛と羽生は、推奨派の赤松鈴子(角替和枝)たちの依頼だった。鈴子の案内で、反対派に会いに行く黛たち。反対派の代表は、赤松麻里奈(遠野なぎこ)。同姓の鈴子と麻里奈には、何か因縁がありそう。だが、それより先に波乱を起こしたのが古美門。なんと、古美門は麻里奈の代理人になっていたのだ。  　とにもかくにも、地方の小さな簡易裁判所で双方の調停が始まる。早くも火花を散らそうとする古美門と、黛&amp;羽生たち。ところが、調停員たちと一緒に現れたのは別府敏子(広末涼子)だった。驚く古美門たち。別府本人によると、この地への異動が決まったばかりらしい。だが、性格は相変わらず。古美門どころか、黛たち『NEXUS』チームにも厳しい“別府ルール"が適用されてしまう。しかも、古美門たちには難解な奥蟹頭弁も、別府はしっかり理解している様子。さらに、別府の希望で古美門たちは“おざおざの森"に現場検証に向かうことになり…。古美門研介:　堺雅人　  黛真知子:　新垣結衣　  羽生晴樹:　岡田将生  　☆　  安藤貴和:　小雪  　☆　  加賀蘭丸:　田口淳之介　  本田ジェーン:　黒木華　  磯貝邦光:　古舘寛治    　☆☆☆　  服部:　里見浩太朗　    【ゲスト】  広末涼子　    ほか【脚本】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</si>
  <si>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古美門研介(堺雅人)を、黛真知子(新垣結衣)と羽生晴樹(岡田将生)が訪ねて来る。『NEXUS』で受けた案件の共同弁護を古美門に頼みに来たのだ。古美門は、即座に断るのだがすでに服部(里見浩太朗)は黛たちについて行くことになっているらしい。ひとり残されるのがイヤな古美門は、しぶしぶ同行することにした。  　『NEXUS』が受けたのは、奥蟹頭にある“おざおざの森"を世界遺産に推奨する地元住民と反対派の訴訟。黛と羽生は、推奨派の赤松鈴子(角替和枝)たちの依頼だった。鈴子の案内で、反対派に会いに行く黛たち。反対派の代表は、赤松麻里奈(遠野なぎこ)。同姓の鈴子と麻里奈には、何か因縁がありそう。だが、それより先に波乱を起こしたのが古美門。なんと、古美門は麻里奈の代理人になっていたのだ。  　とにもかくにも、地方の小さな簡易裁判所で双方の調停が始まる。早くも火花を散らそうとする古美門と、黛&amp;羽生たち。ところが、調停員たちと一緒に現れたのは別府敏子(広末涼子)だった。驚く古美門たち。別府本人によると、この地への異動が決まったばかりらしい。だが、性格は相変わらず。古美門どころか、黛たち『NEXUS』チームにも厳しい“別府ルール"が適用されてしまう。しかも、古美門たちには難解な奥蟹頭弁も、別府はしっかり理解している様子。さらに、別府の希望で古美門たちは“おざおざの森"に現場検証に向かうことになり…。</t>
  </si>
  <si>
    <t>番組名リーガルハイ　#09</t>
  </si>
  <si>
    <t>古美門研介(堺雅人)と黛真知子(新垣結衣)は、上告を決めた安藤貴和(小雪)に面会。貴和は、殺人容疑については否定しない。また、地裁での判決前に面会に来た吉永慶子は、昔世話になった近所のおばさんと話す。それでも古美門は、最高裁では貴和の無罪を勝ち取ると言い放った。貴和が真実を何も話してくれないことを気にする黛に、古美門は打つ手をすべて打って無罪にすると、あくまで強気。だが、古美門のこだわりは、裁判の勝率を100%に戻すことの様子。  　手段を選ばない古美門は、マスコミを招いて貴和のイメージを向上させる報道を依頼。しかし、大手マスコミには無視され、招いた記者たちにも金をばらまく始末。挙句、古美門は黛に、移籍先の『NEXUS』の羽生晴樹(岡田将生)と本田ジェーン(黒木華)から検事時代に担当していた貴和事件について、検察のねつ造情報を盗み取れと言い出す。しぶしぶ従おうとする黛だが、羽生たちから情報を得ることは出来なかった。  　そんな状態で、古美門たちは公判初日を迎えてしまう。貴和への死刑判決を求めて裁判所前に群がる民衆を横目に入廷する古美門も、さすがに緊張の色は隠せない。傍聴には羽生も駆けつけていた。黛は、検察側に醍醐実検事(松平健)がいることが不安。醍醐は都合良く最高検へ異動になったのだが、それは古美門にとどめを刺すためではないかと思ってしまう。古美門自身は、好都合だと強がるが…。古美門研介:　堺雅人　  黛真知子:　新垣結衣　  羽生晴樹:　岡田将生  　☆　  安藤貴和:　小雪  　☆　  加賀蘭丸:　田口淳之介　  本田ジェーン:　黒木華　  磯貝邦光:　古舘寛治    　☆☆☆　  服部:　里見浩太朗　    【ゲスト】  松平健　    ほか【脚本】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</si>
  <si>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古美門研介(堺雅人)と黛真知子(新垣結衣)は、上告を決めた安藤貴和(小雪)に面会。貴和は、殺人容疑については否定しない。また、地裁での判決前に面会に来た吉永慶子は、昔世話になった近所のおばさんと話す。それでも古美門は、最高裁では貴和の無罪を勝ち取ると言い放った。貴和が真実を何も話してくれないことを気にする黛に、古美門は打つ手をすべて打って無罪にすると、あくまで強気。だが、古美門のこだわりは、裁判の勝率を100%に戻すことの様子。  　手段を選ばない古美門は、マスコミを招いて貴和のイメージを向上させる報道を依頼。しかし、大手マスコミには無視され、招いた記者たちにも金をばらまく始末。挙句、古美門は黛に、移籍先の『NEXUS』の羽生晴樹(岡田将生)と本田ジェーン(黒木華)から検事時代に担当していた貴和事件について、検察のねつ造情報を盗み取れと言い出す。しぶしぶ従おうとする黛だが、羽生たちから情報を得ることは出来なかった。  　そんな状態で、古美門たちは公判初日を迎えてしまう。貴和への死刑判決を求めて裁判所前に群がる民衆を横目に入廷する古美門も、さすがに緊張の色は隠せない。傍聴には羽生も駆けつけていた。黛は、検察側に醍醐実検事(松平健)がいることが不安。醍醐は都合良く最高検へ異動になったのだが、それは古美門にとどめを刺すためではないかと思ってしまう。古美門自身は、好都合だと強がるが…。</t>
  </si>
  <si>
    <t>番組名リーガルハイ　#10</t>
  </si>
  <si>
    <t>古美門研介(堺雅人)と黛真知子(新垣結衣)は、最高裁判所で安藤貴和(小雪)の差し戻し判決を得ることに成功。しかし、直後に古美門たちは貴和から弁護代理人を解雇されてしまう。古美門は、これまでの流れの裏に前回の高裁判決前、貴和と面会した吉永慶子なる人物が関与していたことに気づいた。その吉永が羽生晴樹(岡田将生)であることにも…。  　黛が『NEXUS』に行くと、磯貝邦光(古舘寛治)しかいない。羽生と本田ジェーン(黒木華)は姿を消している。その頃、拘置所の貴和に三木長一郎(生瀬勝久)と井手孝雄(矢野聖人)が面会していた。そこには、沢地君江(小池栄子)の姿も。三木たちを差し向けたのは羽生だった。  　貴和の差し戻し審が始まる。検察側には羽生と本田の姿があった。羽生は貴和に死刑ではなく、無期懲役を求刑。三木は情状酌量を訴える。つまり全ては、争いを譲り合いで丸く収めようとする羽生の策略だった。　その夜、古美門と黛は、磯貝を利用して『NEXUS』に羽生と本田を呼び出す。怒りをぶつける古美門。羽生はすでに古美門には何も出来ないと応えた。黛も事実を追求せずにねじ曲げる羽生のやり方に不満をぶつける。しかし、羽生は愚かな民衆は誰かが導かなくてはいけないと悠然と構えていた。  　それでも古美門は、引き下がろうとはしない。なぜ、貴和が羽生の言いなりになったのか?古美門と黛は、事件の真実を探り始める。古美門研介:　堺雅人　  黛真知子:　新垣結衣　  羽生晴樹:　岡田将生  　☆　  安藤貴和:　小雪  　☆　  加賀蘭丸:　田口淳之介　  本田ジェーン:　黒木華　  磯貝邦光:　古舘寛治  　☆☆　  三木長一郎:　生瀬勝久　  沢地君江:　小池栄子　  井手孝雄:　矢野聖人  　☆☆☆　  服部:　里見浩太朗【脚本】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</si>
  <si>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古美門研介(堺雅人)と黛真知子(新垣結衣)は、最高裁判所で安藤貴和(小雪)の差し戻し判決を得ることに成功。しかし、直後に古美門たちは貴和から弁護代理人を解雇されてしまう。古美門は、これまでの流れの裏に前回の高裁判決前、貴和と面会した吉永慶子なる人物が関与していたことに気づいた。その吉永が羽生晴樹(岡田将生)であることにも…。  　黛が『NEXUS』に行くと、磯貝邦光(古舘寛治)しかいない。羽生と本田ジェーン(黒木華)は姿を消している。その頃、拘置所の貴和に三木長一郎(生瀬勝久)と井手孝雄(矢野聖人)が面会していた。そこには、沢地君江(小池栄子)の姿も。三木たちを差し向けたのは羽生だった。  　貴和の差し戻し審が始まる。検察側には羽生と本田の姿があった。羽生は貴和に死刑ではなく、無期懲役を求刑。三木は情状酌量を訴える。つまり全ては、争いを譲り合いで丸く収めようとする羽生の策略だった。　その夜、古美門と黛は、磯貝を利用して『NEXUS』に羽生と本田を呼び出す。怒りをぶつける古美門。羽生はすでに古美門には何も出来ないと応えた。黛も事実を追求せずにねじ曲げる羽生のやり方に不満をぶつける。しかし、羽生は愚かな民衆は誰かが導かなくてはいけないと悠然と構えていた。  　それでも古美門は、引き下がろうとはしない。なぜ、貴和が羽生の言いなりになったのか?古美門と黛は、事件の真実を探り始める。</t>
  </si>
  <si>
    <t>1310_CX_木22</t>
  </si>
  <si>
    <t>独身貴族</t>
  </si>
  <si>
    <t>番組名&lt;木曜劇場&gt;独身貴族　#01</t>
  </si>
  <si>
    <t>http://www.fujitv.co.jp/dokusinkizoku/index.html　映画制作会社「キネマ・エトワール」社長の星野守(草ナギ剛)は、美食と高級ファッション、そして何よりも映画を愛する独身貴族。叔母の指示で、配給会社の会長令嬢の現王園玲子(平岩紙)とお見合いするも、結婚する気は皆無だった。一方、守の弟で「キネマ・エトワール」の専務である星野進(伊藤英明)は、離婚調停を抱えながらも、恋愛に忙しい日々を送る。弁護士の小林征嗣(篠井英介)は、そんな進を苦々しく見ていた。　同じ頃、脚本家を夢見ながらも一向に芽が出ない春野ゆき(北川景子)は、ある男性からプロポーズを受ける。しかし、そこに男性の家族が同席、ゆきに家政婦のような役割を求めていることが発覚し幻滅する。  　ある日、「キネマ・エトワール」の社内で、進と守が激しく口論を交わしていた。次回作のために依頼している大御所脚本家(津川雅彦)の脚本が来ないのだ。脚本が上がらないことには予算が通らない。締切りが迫るも脚本家を信じて待つ守に、進はイライラが募る。ラインプロデューサーの川越裕太(藤ヶ谷太輔)や秘書の緒方須美花(蓮佛美沙子)も、動向を見守っていた。  　またしても脚本コンクールに落選したゆきは、貯金も底をついたため、親友の小原沙織(西原亜希)の紹介で、沙織とともにハウスクリーニングのアルバイトを始める。  　その頃、出資先の配給会社から脚本の進行状況を聞かれた守は、完成間近だと言ってしまう。草ナギ剛　  北川景子　  藤ヶ谷太輔　  蓮佛美沙子　  平岩紙　  西原亜希　  篠井英介  　○　  伊藤英明　    ほか【脚本】  佐藤嗣麻子　    【プロデュース】  牧野正　  草ヶ谷大輔　    【演出】  武内英樹　    【音楽】  住友紀人　    【制作】  フジテレビドラマ制作部</t>
  </si>
  <si>
    <t xml:space="preserve">　映画制作会社「キネマ・エトワール」社長の星野守(草ナギ剛)は、美食と高級ファッション、そして何よりも映画を愛する独身貴族。叔母の指示で、配給会社の会長令嬢の現王園玲子(平岩紙)とお見合いするも、結婚する気は皆無だった。一方、守の弟で「キネマ・エトワール」の専務である星野進(伊藤英明)は、離婚調停を抱えながらも、恋愛に忙しい日々を送る。弁護士の小林征嗣(篠井英介)は、そんな進を苦々しく見ていた。　同じ頃、脚本家を夢見ながらも一向に芽が出ない春野ゆき(北川景子)は、ある男性からプロポーズを受ける。しかし、そこに男性の家族が同席、ゆきに家政婦のような役割を求めていることが発覚し幻滅する。  　ある日、「キネマ・エトワール」の社内で、進と守が激しく口論を交わしていた。次回作のために依頼している大御所脚本家(津川雅彦)の脚本が来ないのだ。脚本が上がらないことには予算が通らない。締切りが迫るも脚本家を信じて待つ守に、進はイライラが募る。ラインプロデューサーの川越裕太(藤ヶ谷太輔)や秘書の緒方須美花(蓮佛美沙子)も、動向を見守っていた。  　またしても脚本コンクールに落選したゆきは、貯金も底をついたため、親友の小原沙織(西原亜希)の紹介で、沙織とともにハウスクリーニングのアルバイトを始める。  　その頃、出資先の配給会社から脚本の進行状況を聞かれた守は、完成間近だと言ってしまう。</t>
  </si>
  <si>
    <t>番組名&lt;木曜劇場&gt;独身貴族　#02</t>
  </si>
  <si>
    <t>【番組ホームページ】  http://www.fujitv.co.jp/dokusinkizoku/　星野守(草ナギ剛)は、春野ゆき(北川景子)が書いた脚本を、手直ししていけばよくなる原石だと評価。脚本を待つ日本映画の水島浩一(梶原善)にそう伝えて渡すように、と星野進(伊藤英明)に指示した。ところが翌日、水島に面会した進は表紙を差し替え、高倉雄二(津川雅彦)が書いた脚本だと言ってしまう。  　その頃、守は現王園玲子(平岩紙)と気乗りがしないデート中だった。そこへ進から電話が入り、水島にゆきの脚本を渡したと報告を受けた。これで会社が救われ、結婚もせずに済むと確信した守は、密かに喜びを爆発させる。  　後日、守は叔母の亜希子(デヴィ・スカルノ)から、玲子を自宅に招待すると約束しただろうと連絡を受ける。どうやら先日のデート中に約束をしてしまったらしい。  　一方、弁護士の小林征嗣(篠井英介)と面会していた進は、妻から請求された慰謝料があまりに高額なことに驚愕する。  　映画の撮影現場で働き始めたゆきは、慣れないながらも雑用をこなそうとするが、現場を仕切る川越裕太(藤ヶ谷太輔)から厳しく扱われていた。そんなゆきの姿を、緒方須美花(蓮佛美沙子)が嬉しそうに見ていた。  　そして大量の食材を買い込んだ玲子が守の自宅にやってくる。将来ここに住むかもしれないからまずは部屋を案内してくれ、という玲子に守は辟易する。さらに、料理を始めた玲子を見て、自分とはあまりに違う大ざっぱぶりに気が遠くなり…。草ナギ剛　  北川景子　  藤ヶ谷太輔　  蓮佛美沙子　  平岩紙　  西原亜希　  デヴィ・スカルノ　  篠井英介  　○　  伊藤英明　    ほか【脚本】  佐藤嗣麻子　    【プロデュース】  牧野正　  草ヶ谷大輔　    【演出】  武内英樹　    【音楽】  住友紀人　    【主題歌】  SMAP「シャレオツ」(ビクターエンタテインメント(株))　    【制作】  フジテレビドラマ制作部</t>
  </si>
  <si>
    <t>星野守(草ナギ剛)は、春野ゆき(北川景子)が書いた脚本を、手直ししていけばよくなる原石だと評価。脚本を待つ日本映画の水島浩一(梶原善)にそう伝えて渡すように、と星野進(伊藤英明)に指示した。ところが翌日、水島に面会した進は表紙を差し替え、高倉雄二(津川雅彦)が書いた脚本だと言ってしまう。  　その頃、守は現王園玲子(平岩紙)と気乗りがしないデート中だった。そこへ進から電話が入り、水島にゆきの脚本を渡したと報告を受けた。これで会社が救われ、結婚もせずに済むと確信した守は、密かに喜びを爆発させる。  　後日、守は叔母の亜希子(デヴィ・スカルノ)から、玲子を自宅に招待すると約束しただろうと連絡を受ける。どうやら先日のデート中に約束をしてしまったらしい。  　一方、弁護士の小林征嗣(篠井英介)と面会していた進は、妻から請求された慰謝料があまりに高額なことに驚愕する。  　映画の撮影現場で働き始めたゆきは、慣れないながらも雑用をこなそうとするが、現場を仕切る川越裕太(藤ヶ谷太輔)から厳しく扱われていた。そんなゆきの姿を、緒方須美花(蓮佛美沙子)が嬉しそうに見ていた。  　そして大量の食材を買い込んだ玲子が守の自宅にやってくる。将来ここに住むかもしれないからまずは部屋を案内してくれ、という玲子に守は辟易する。さらに、料理を始めた玲子を見て、自分とはあまりに違う大ざっぱぶりに気が遠くなり…。</t>
  </si>
  <si>
    <t>番組名&lt;木曜劇場&gt;独身貴族　#03</t>
  </si>
  <si>
    <t>日本映画から春野ゆき(北川景子)の脚本を取り戻した星野守(草ナギ剛)は、脚本の表紙に再びゆきの名前を入れ本人に返した。ゆきは喜ぶが、星野進(伊藤英明)は、今後「キネマ・エトワール」が立ちゆかなくなると不満をあらわにする。さらに、進は今夜ゆきを食事に誘おうと思っている、と守に宣言。守は一瞬、固まるが、どうぞご自由に、と冷静に返した。  　一連の報告を受けた星野亜希子(デヴィ・スカルノ)は激怒。責任を取って現王園玲子(平岩紙)にプロポーズしなさい、と守に迫り、自分で玲子に電話をかけてしまう。  　同じ頃、進は日本映画の制作部部長・水島浩一(梶原善)に頭を下げ、守の無礼を謝罪していた。  　その日の夜、社長室にいた守をゆきが訪ね、脚本を手直ししたから見てほしい、と言う。その後、会社に戻ってきた進は、ゆきに仕事を命じる川越裕太(藤ヶ谷太輔)や自分にアプローチをしてくる緒方須美花(蓮佛美沙子)にも構わず、仕事中のゆきを外に連れ出す。ふたりがやってきたのは、高級レストランだった。楽しげに食事する様子を小林征嗣(篠井英介)が見ていた。  　小原沙織(西原亜希)のアパートに戻ったゆきは、進との食事の件を報告。楽しそうに話すゆきを見た沙織は、進とゆきはお互いに好意を持っているのでは、と指摘する。  　別の日、自宅でゆきの脚本を手にしていた守は、ゆきに電話をかけると…。草ナギ剛　  北川景子　  藤ヶ谷太輔　  蓮佛美沙子　  平岩紙　  西原亜希　  デヴィ・スカルノ　  篠井英介  　○　  伊藤英明　    ほか【脚本】  佐藤嗣麻子　    【プロデュース】  牧野正　  草ヶ谷大輔　    【演出】  平野眞　    【音楽】  住友紀人　    【主題歌】  SMAP「シャレオツ」(ビクターエンタテインメント)　    【制作】  フジテレビドラマ制作部【番組ホームページ】  http://www.fujitv.co.jp/dokusinkizoku/</t>
  </si>
  <si>
    <t>日本映画から春野ゆき(北川景子)の脚本を取り戻した星野守(草ナギ剛)は、脚本の表紙に再びゆきの名前を入れ本人に返した。ゆきは喜ぶが、星野進(伊藤英明)は、今後「キネマ・エトワール」が立ちゆかなくなると不満をあらわにする。さらに、進は今夜ゆきを食事に誘おうと思っている、と守に宣言。守は一瞬、固まるが、どうぞご自由に、と冷静に返した。  　一連の報告を受けた星野亜希子(デヴィ・スカルノ)は激怒。責任を取って現王園玲子(平岩紙)にプロポーズしなさい、と守に迫り、自分で玲子に電話をかけてしまう。  　同じ頃、進は日本映画の制作部部長・水島浩一(梶原善)に頭を下げ、守の無礼を謝罪していた。  　その日の夜、社長室にいた守をゆきが訪ね、脚本を手直ししたから見てほしい、と言う。その後、会社に戻ってきた進は、ゆきに仕事を命じる川越裕太(藤ヶ谷太輔)や自分にアプローチをしてくる緒方須美花(蓮佛美沙子)にも構わず、仕事中のゆきを外に連れ出す。ふたりがやってきたのは、高級レストランだった。楽しげに食事する様子を小林征嗣(篠井英介)が見ていた。  　小原沙織(西原亜希)のアパートに戻ったゆきは、進との食事の件を報告。楽しそうに話すゆきを見た沙織は、進とゆきはお互いに好意を持っているのでは、と指摘する。  　別の日、自宅でゆきの脚本を手にしていた守は、ゆきに電話をかけると…。</t>
  </si>
  <si>
    <t>番組名&lt;木曜劇場&gt;独身貴族　#04</t>
  </si>
  <si>
    <t>春野ゆき(北川景子)と星野進(伊藤英明)が食事に行った翌朝、ふたりが一夜をともにしたのでは、との噂が「キネマ・エトワール」に広がった。星野守(草ナギ剛)も、前夜に自宅に戻らなかった進のことが気にかかる。  　そんな折、星野亜希子(デヴィ・スカルノ)が守の自宅へやって来て、猛烈な勢いで探しものを始める。亜希子が探していたのは星野家代々に受け継がれているネックレスで、次にその持ち主になるのは、守の妻だと言う。これを現王園玲子(平岩紙)に渡せ、と命じられ守は凍りつく。  　「キネマ・エトワール」では、翌日に控えた映画『太陽の食堂』の完成披露試写パーティーの打ち合わせが始まり、進、ゆき、川越裕太(藤ヶ谷太輔)や緒方須美花(蓮佛美沙子)らがその準備に追われていた。ホテルで開催されるパーティーには、社員たちもフォーマルな装いで参加するように、との通達があった。しかし、着ていけるような服を持っていないゆきは、進に相談してみることに。  　その頃、進は須美花と食事中だったが、ゆきからの電話を受けると、食事を中断。ゆきに、1時間後に会社に来るように、と指示する。  　翌日、パーティーが華やかに開催されゲストとして有名脚本家の小野寺秀作(斉木しげる)がやってくる。ゆきに興味を持った小野寺は、自分のファンだというゆきをホテルの自分の部屋に誘う。何も疑わないゆきは小野寺についていってしまい…。草ナギ剛　  北川景子　  藤ヶ谷太輔　  蓮佛美沙子　  平岩紙　  西原亜希　  デヴィ・スカルノ　  篠井英介  　○　  伊藤英明　    ほか【脚本】  佐藤嗣麻子　    【プロデュース】  牧野正　  草ヶ谷大輔　    【演出】  武内英樹　  平野眞　  宮木正悟　    【音楽】  住友紀人　    【主題歌】  SMAP「シャレオツ」(ビクターエンタテインメント)　    【制作】  フジテレビドラマ制作部</t>
  </si>
  <si>
    <t>春野ゆき(北川景子)と星野進(伊藤英明)が食事に行った翌朝、ふたりが一夜をともにしたのでは、との噂が「キネマ・エトワール」に広がった。星野守(草ナギ剛)も、前夜に自宅に戻らなかった進のことが気にかかる。  　そんな折、星野亜希子(デヴィ・スカルノ)が守の自宅へやって来て、猛烈な勢いで探しものを始める。亜希子が探していたのは星野家代々に受け継がれているネックレスで、次にその持ち主になるのは、守の妻だと言う。これを現王園玲子(平岩紙)に渡せ、と命じられ守は凍りつく。  　「キネマ・エトワール」では、翌日に控えた映画『太陽の食堂』の完成披露試写パーティーの打ち合わせが始まり、進、ゆき、川越裕太(藤ヶ谷太輔)や緒方須美花(蓮佛美沙子)らがその準備に追われていた。ホテルで開催されるパーティーには、社員たちもフォーマルな装いで参加するように、との通達があった。しかし、着ていけるような服を持っていないゆきは、進に相談してみることに。  　その頃、進は須美花と食事中だったが、ゆきからの電話を受けると、食事を中断。ゆきに、1時間後に会社に来るように、と指示する。  　翌日、パーティーが華やかに開催されゲストとして有名脚本家の小野寺秀作(斉木しげる)がやってくる。ゆきに興味を持った小野寺は、自分のファンだというゆきをホテルの自分の部屋に誘う。何も疑わないゆきは小野寺についていってしまい…。</t>
  </si>
  <si>
    <t>番組名&lt;木曜劇場&gt;独身貴族　#05</t>
  </si>
  <si>
    <t>ある日、女性誌のインタビューを受けていた星野守(草ナギ剛)は、結婚について聞かれると、誰かと生活を共にするのは苦行でしかない、と言い放つ。ところが、結婚は不要なものなのか、と問われると、ひどく動揺する。守の脳裏には、春野ゆき(北川景子)の顔が浮かんでいた。  　同じ頃、「キネマ・エトワール」の映画に出演が決まっていたある俳優が、出演を断ってきた。撮影開始直前のキャンセルに星野進(伊藤英明)も困惑するが、ゆきは別の大物俳優のスケジュールが空いていることを確認、所属事務所に交渉に行くと言う。それを聞いた進や川越裕太(藤ヶ谷太輔)は絶対に無理だ、と止めるが、ゆきは言うことをきかない。  　一方、守は緒方須美花(蓮佛美沙子)から手渡された、今月に誕生日を迎える社員のリストを見ていた。「キネマ・エトワール」では、誕生日を迎える社員に社長がプレゼントを渡す慣例があるのだ。守はそこに、ゆきの名前を見つける。　その後、進を訪ねて星野亜希子(デヴィ・スカルノ)が「キネマ・エトワール」にやってくる。亜希子は、現王園玲子(平岩紙)と結婚するという約束を果たさない守に怒り、会社を売ることにした、と進に告げる。  　ゆきに贈るプレゼントを探すため街にやってきた守は、そこでゆきに出くわす。作品の企画で20代の女性が欲しがっている物を探している、と誤魔化した守は、ゆきなら何が欲しいか、と聞く。しばらく考えたゆきは…。草ナギ剛　  北川景子　  藤ヶ谷太輔　  蓮佛美沙子　  平岩紙　  西原亜希　  デヴィ・スカルノ　  篠井英介  　　○　　  伊藤英明　    ほか【脚本】  佐藤嗣麻子　    【プロデュース】  牧野正　  草ヶ谷大輔　    【演出】  武内英樹　  平野眞　  宮木正悟　    【音楽】  住友紀人　    【主題歌】  SMAP「シャレオツ」(ビクターエンタテインメント)　    【制作】  フジテレビドラマ制作部</t>
  </si>
  <si>
    <t>ある日、女性誌のインタビューを受けていた星野守(草ナギ剛)は、結婚について聞かれると、誰かと生活を共にするのは苦行でしかない、と言い放つ。ところが、結婚は不要なものなのか、と問われると、ひどく動揺する。守の脳裏には、春野ゆき(北川景子)の顔が浮かんでいた。  　同じ頃、「キネマ・エトワール」の映画に出演が決まっていたある俳優が、出演を断ってきた。撮影開始直前のキャンセルに星野進(伊藤英明)も困惑するが、ゆきは別の大物俳優のスケジュールが空いていることを確認、所属事務所に交渉に行くと言う。それを聞いた進や川越裕太(藤ヶ谷太輔)は絶対に無理だ、と止めるが、ゆきは言うことをきかない。  　一方、守は緒方須美花(蓮佛美沙子)から手渡された、今月に誕生日を迎える社員のリストを見ていた。「キネマ・エトワール」では、誕生日を迎える社員に社長がプレゼントを渡す慣例があるのだ。守はそこに、ゆきの名前を見つける。　その後、進を訪ねて星野亜希子(デヴィ・スカルノ)が「キネマ・エトワール」にやってくる。亜希子は、現王園玲子(平岩紙)と結婚するという約束を果たさない守に怒り、会社を売ることにした、と進に告げる。  　ゆきに贈るプレゼントを探すため街にやってきた守は、そこでゆきに出くわす。作品の企画で20代の女性が欲しがっている物を探している、と誤魔化した守は、ゆきなら何が欲しいか、と聞く。しばらく考えたゆきは…。</t>
  </si>
  <si>
    <t>番組名&lt;木曜劇場&gt;独身貴族　#06</t>
  </si>
  <si>
    <t>春野ゆき(北川景子)と星野進(伊藤英明)のキスを目撃した翌日、星野守(草ナギ剛)はいつもよりも明るかった。進はそんな守の様子が気になるが、守は自分から見てもゆきと進はお似合いだと思う、などと屈託なく話す。  　その後、守は星野亜希子(デヴィ・スカルノ)の自宅を訪ねると、現王園玲子(平岩紙)と結婚することにしたと宣言。しかも、結婚前に生活を共にしてみると言う。  　一方、ゆきは休日で誰もいない「キネマ・エトワール」で脚本の直しをしていた。すると、そこへ守がやってくる。ゆきは、脚本を見てほしいと頼むが、守は興味がなさそうに机の上に置いておいてくれ、と返す。ゆきは、ハイテンションなのによそよそしい態度に違和感を覚える。  　そんな折、進に呼び出されたゆきは指定されたカフェへとやってくる。ゆきは守の様子がおかしいことを進に話すが、進は気にすることはないと言って、ゆきにブーケを差し出した。今日はデートで自分たちは付き合っているのだから、と笑顔の進にゆきは…。  　「キネマ・エトワール」に戻ったゆきは、社長室の机の上に置かれたままの脚本を見つけ、ため息をつく。  　後日進が自宅に戻ると、玲子が新妻のように守の世話を焼いていた。驚いた進が詰め寄ると、守はこれで会社を売られなくて済むと言う。無理して芝居をしているんだろう、と怒りをあらわにする進に守は、実際に玲子と暮らしてみると案外嫌ではなかった、と答える。草ナギ剛　  北川景子　  藤ヶ谷太輔　  蓮佛美沙子　  平岩紙　  西原亜希　  デヴィ・スカルノ　  篠井英介  　　○　　  伊藤英明　    ほか【脚本】  佐藤嗣麻子　    【プロデュース】  牧野正　  草ヶ谷大輔　    【演出】  武内英樹　  平野眞　  宮木正悟　    【音楽】  住友紀人　    【主題歌】  SMAP「シャレオツ」(ビクターエンタテインメント)　    【制作】  フジテレビドラマ制作部</t>
  </si>
  <si>
    <t>春野ゆき(北川景子)と星野進(伊藤英明)のキスを目撃した翌日、星野守(草ナギ剛)はいつもよりも明るかった。進はそんな守の様子が気になるが、守は自分から見てもゆきと進はお似合いだと思う、などと屈託なく話す。  　その後、守は星野亜希子(デヴィ・スカルノ)の自宅を訪ねると、現王園玲子(平岩紙)と結婚することにしたと宣言。しかも、結婚前に生活を共にしてみると言う。  　一方、ゆきは休日で誰もいない「キネマ・エトワール」で脚本の直しをしていた。すると、そこへ守がやってくる。ゆきは、脚本を見てほしいと頼むが、守は興味がなさそうに机の上に置いておいてくれ、と返す。ゆきは、ハイテンションなのによそよそしい態度に違和感を覚える。  　そんな折、進に呼び出されたゆきは指定されたカフェへとやってくる。ゆきは守の様子がおかしいことを進に話すが、進は気にすることはないと言って、ゆきにブーケを差し出した。今日はデートで自分たちは付き合っているのだから、と笑顔の進にゆきは…。  　「キネマ・エトワール」に戻ったゆきは、社長室の机の上に置かれたままの脚本を見つけ、ため息をつく。  　後日進が自宅に戻ると、玲子が新妻のように守の世話を焼いていた。驚いた進が詰め寄ると、守はこれで会社を売られなくて済むと言う。無理して芝居をしているんだろう、と怒りをあらわにする進に守は、実際に玲子と暮らしてみると案外嫌ではなかった、と答える。</t>
  </si>
  <si>
    <t>番組名&lt;木曜劇場&gt;独身貴族　#07</t>
  </si>
  <si>
    <t>星野守(草ナギ剛)は、星野進(伊藤英明)から春野ゆき(北川景子)と正式に付き合うことになったと報告を受ける。  　その後、進とゆきは日本映画の水島浩一(梶原善)を訪ね、脚本にはまだ直しが必要なため、「8月のボレロ」の映画化を延期してほしいと頭を下げる。水島は、脚本は完成されていると言い、すでにある人気俳優に脚本を見せていて、それを気に入った俳優が出演を検討している段階だと明かした。ただし、俳優のスケジュールの都合で撮影は来年になるので、脚本を直す時間は十分にあるとも言う。進からそのことを聞いた守は、今後、「8月のボレロ」は進が仕切るようにと命じる。守とゆきでやってきた脚本の打ち合わせも、進とゆきでやることになる。  　「8月のボレロ」が人気俳優主演で映画化される可能性が濃厚になったというニュースは、「キネマ・エトワール」のオフィスでも明かされ、ゆきが通常業務から外れ脚本に専念することになったとも発表された。  　そんな折、水島から俳優の都合で「8月のボレロ」の脚本の直しを数日以内に提出してほしいとの連絡が入る。進との打ち合わせが守のときのようには進まず、ゆきは不安を抱えていた。ついに追い込まれたゆきは、守にメールを打つ。  　ゆきからのメールを受け取った守は、返信をしようとするが思いとどまる。そこへ、進が来て脚本がうまく進んでいないことを明かす。それを聞いた守は…。草ナギ剛　  北川景子　  藤ヶ谷太輔　  蓮佛美沙子　  平岩紙　  西原亜希　  デヴィ・スカルノ　  篠井英介  　　○　　  伊藤英明　    ほか【脚本】  佐藤嗣麻子　    【プロデュース】  牧野正　  草ヶ谷大輔　    【演出】  武内英樹　  平野眞　  宮木正悟　    【音楽】  住友紀人　    【主題歌】  SMAP「シャレオツ」(ビクターエンタテインメント)　    【制作】  フジテレビドラマ制作部</t>
  </si>
  <si>
    <t>星野守(草ナギ剛)は、星野進(伊藤英明)から春野ゆき(北川景子)と正式に付き合うことになったと報告を受ける。  　その後、進とゆきは日本映画の水島浩一(梶原善)を訪ね、脚本にはまだ直しが必要なため、「8月のボレロ」の映画化を延期してほしいと頭を下げる。水島は、脚本は完成されていると言い、すでにある人気俳優に脚本を見せていて、それを気に入った俳優が出演を検討している段階だと明かした。ただし、俳優のスケジュールの都合で撮影は来年になるので、脚本を直す時間は十分にあるとも言う。進からそのことを聞いた守は、今後、「8月のボレロ」は進が仕切るようにと命じる。守とゆきでやってきた脚本の打ち合わせも、進とゆきでやることになる。  　「8月のボレロ」が人気俳優主演で映画化される可能性が濃厚になったというニュースは、「キネマ・エトワール」のオフィスでも明かされ、ゆきが通常業務から外れ脚本に専念することになったとも発表された。  　そんな折、水島から俳優の都合で「8月のボレロ」の脚本の直しを数日以内に提出してほしいとの連絡が入る。進との打ち合わせが守のときのようには進まず、ゆきは不安を抱えていた。ついに追い込まれたゆきは、守にメールを打つ。  　ゆきからのメールを受け取った守は、返信をしようとするが思いとどまる。そこへ、進が来て脚本がうまく進んでいないことを明かす。それを聞いた守は…。</t>
  </si>
  <si>
    <t>番組名&lt;木曜劇場&gt;独身貴族　#08</t>
  </si>
  <si>
    <t>「日本映画」の社長が交代し、新社長の方針で「8月のボレロ」の制作中止が濃厚になる。それを聞いた星野守(草ナギ剛)は、制作を先に延ばしたほうがいいと言うが、星野進(伊藤英明)は、出資してくれるスポンサーを自分で探すと意気込む。  　進の指示で川越裕太(藤ヶ谷太輔)、緒方須美花(蓮佛美沙子)ら社員も総出でスポンサーを探すが、なかなか見つからない。  　そんな中、進は春野ゆき(北川景子)の脚本の直しにも付き合っていた。ゆきは、自分の初作品のため奔走してくれる進の気持ちが嬉しい。  　その日の深夜、マンションに戻ってきた進に守が声をかける。強引に頼み込むとスポンサーは様々な条件を付けてきて、映画制作に支障が出ることになるから無理はするな、とアドバイスするが進は聞き流す。  　そんな折、ある携帯ゲーム会社の社長が「8月のボレロ」の出資を申し出てきた。喜ぶ進に社長は条件だといって、親会社である谷中リゾートの会長に会うようにと日程を伝えた。進は離婚調停と重なってしまったため、代わりに守とゆきが会長に会いに行く。守らを迎えた会長は豪傑な人物で、仕事の話は明日にしようと言って、酒を勧めてきた。その勢いに負け、守とゆきは宴会に引き込まれてしまう。  　その後、守は進に電話で事情を説明、一泊することになったと報告。進は一抹の不安を感じながらも電話を切る。守とゆきは、用意された部屋へと歩き始め…。草ナギ剛　  北川景子　  藤ヶ谷太輔　  蓮佛美沙子　  平岩紙　  西原亜希　  デヴィ・スカルノ　  篠井英介  　　○　　  伊藤英明　    ほか【脚本】  佐藤嗣麻子　    【プロデュース】  牧野正　  草ヶ谷大輔　    【演出】  武内英樹　  平野眞　  宮木正悟　    【音楽】  住友紀人　    【主題歌】  SMAP「シャレオツ」(ビクターエンタテインメント)　    【制作】  フジテレビドラマ制作部【番組ホームページ】  http://www.fujitv.co.jp/dokusinkizoku/</t>
  </si>
  <si>
    <t>「日本映画」の社長が交代し、新社長の方針で「8月のボレロ」の制作中止が濃厚になる。それを聞いた星野守(草ナギ剛)は、制作を先に延ばしたほうがいいと言うが、星野進(伊藤英明)は、出資してくれるスポンサーを自分で探すと意気込む。  　進の指示で川越裕太(藤ヶ谷太輔)、緒方須美花(蓮佛美沙子)ら社員も総出でスポンサーを探すが、なかなか見つからない。  　そんな中、進は春野ゆき(北川景子)の脚本の直しにも付き合っていた。ゆきは、自分の初作品のため奔走してくれる進の気持ちが嬉しい。  　その日の深夜、マンションに戻ってきた進に守が声をかける。強引に頼み込むとスポンサーは様々な条件を付けてきて、映画制作に支障が出ることになるから無理はするな、とアドバイスするが進は聞き流す。  　そんな折、ある携帯ゲーム会社の社長が「8月のボレロ」の出資を申し出てきた。喜ぶ進に社長は条件だといって、親会社である谷中リゾートの会長に会うようにと日程を伝えた。進は離婚調停と重なってしまったため、代わりに守とゆきが会長に会いに行く。守らを迎えた会長は豪傑な人物で、仕事の話は明日にしようと言って、酒を勧めてきた。その勢いに負け、守とゆきは宴会に引き込まれてしまう。  　その後、守は進に電話で事情を説明、一泊することになったと報告。進は一抹の不安を感じながらも電話を切る。守とゆきは、用意された部屋へと歩き始め…。</t>
  </si>
  <si>
    <t>番組名&lt;木曜劇場&gt;独身貴族　#09</t>
  </si>
  <si>
    <t>星野守(草ナギ剛)は、現王園玲子(平岩紙)との結婚を決意。玲子の希望で、1週間後に式を執り行うことになった。急な話なので身内だけで式を行うと聞いた星野進(伊藤英明)は、春野ゆき(北川景子)を同伴してもいいか、と守に尋ねる。  　そんな折、川越裕太(藤ヶ谷太輔)がプロデューサーに昇格し、進とともに『8月のボレロ』をプロデュースすることが決まった。  　ゆきは、進から守の結婚のことを聞かされ、自分のパートナーとして式に出席してほしいと言われるが、動揺を隠せない。  　『8月のボレロ』の制作が動き出し、撮影場所を探す「ロケハン」が行われることに。脚本家としてそれに同行したゆきは、重要なシーンの撮影予定場所が自分のイメージ通りだったことに感動する。  　「ロケハン」から戻ったゆきは、社長室の守に祝いの言葉を述べるとともに、「ロケハン」の報告をし、脚本についてのアドバイスを求める。しかし、守は自分ではなく進と川越に相談しろ、と返答する。  　後日、星野家、現王園家の食事会が開かれ、進にエスコートされたゆきも出席する。食事が終わった後、ゆきは玲子の父で「日本映画」の会長(梅野泰靖)に『8月のボレロ』の制作を引き受けてくれた礼を言う。すると、会長は守の熱意が自分を動かしたのだから、礼なら守に言うべきだと返す。  　その頃、守は玲子と数日後に迫った式について打ち合わせをしていて…。草ナギ剛　  北川景子　  藤ヶ谷太輔　  蓮佛美沙子　  平岩紙　  西原亜希　  三浦真椰　  デヴィ・スカルノ　  篠井英介  　　○　　  伊藤英明　    ほか【脚本】  佐藤嗣麻子　    【プロデュース】  牧野正　  草ヶ谷大輔　    【演出】  武内英樹　  平野眞　  宮木正悟　    【音楽】  住友紀人　    【主題歌】  SMAP「シャレオツ」(ビクターエンタテインメント)　    【制作】  フジテレビドラマ制作部【番組ホームページ】  http://www.fujitv.co.jp/dokusinkizoku/</t>
  </si>
  <si>
    <t>星野守(草ナギ剛)は、現王園玲子(平岩紙)との結婚を決意。玲子の希望で、1週間後に式を執り行うことになった。急な話なので身内だけで式を行うと聞いた星野進(伊藤英明)は、春野ゆき(北川景子)を同伴してもいいか、と守に尋ねる。  　そんな折、川越裕太(藤ヶ谷太輔)がプロデューサーに昇格し、進とともに『8月のボレロ』をプロデュースすることが決まった。  　ゆきは、進から守の結婚のことを聞かされ、自分のパートナーとして式に出席してほしいと言われるが、動揺を隠せない。  　『8月のボレロ』の制作が動き出し、撮影場所を探す「ロケハン」が行われることに。脚本家としてそれに同行したゆきは、重要なシーンの撮影予定場所が自分のイメージ通りだったことに感動する。  　「ロケハン」から戻ったゆきは、社長室の守に祝いの言葉を述べるとともに、「ロケハン」の報告をし、脚本についてのアドバイスを求める。しかし、守は自分ではなく進と川越に相談しろ、と返答する。  　後日、星野家、現王園家の食事会が開かれ、進にエスコートされたゆきも出席する。食事が終わった後、ゆきは玲子の父で「日本映画」の会長(梅野泰靖)に『8月のボレロ』の制作を引き受けてくれた礼を言う。すると、会長は守の熱意が自分を動かしたのだから、礼なら守に言うべきだと返す。  　その頃、守は玲子と数日後に迫った式について打ち合わせをしていて…。</t>
  </si>
  <si>
    <t>番組名&lt;木曜劇場&gt;独身貴族　#10</t>
  </si>
  <si>
    <t>星野守(草ナギ剛)と現王園玲子(平岩紙)の結婚式当日、教会には星野進(伊藤英明)、春野ゆき(北川景子)、星野亜希子(デヴィ・スカルノ)、玲子の父親(梅野泰靖)が集まった。守は自分の気持ちを振り切るように明るく振る舞い、1人でチャペルにやってきたゆきは、守から送られたエンパイア・ステート・ビルのチャームを見つめていた。  そんな中、ウエディングドレスを身にまとい支度をしていた玲子が控え室から姿を消してしまう。  　後日、小原沙織(西原亜希)のアパートにいたゆきに、玲子から電話がかかってくる。2人きりで話がしたいという玲子に呼び出され、ゆきはホテルにやってくる。ゆきと対面した玲子は、守のことを教えてほしいと言い…。  　同じ頃、水島浩一(梶原善)から『8月のボレロ』の脚本を2日以内に完成させてほしいと連絡が入る。進と川越裕太(藤ヶ谷太輔)は了承するが、脚本はゆきが必死に修正を続けているところだった。そのゆきは執筆に行き詰まっていて、相談に乗るという進にいらだった態度を取ってしまう。  　一方の守は、玲子に会うために海辺にある玲子の別荘を訪ねる。結婚式での一件を謝罪する玲子に、来年改めてイタリアで挙式をしようと提案する守。玲子は、そんな守に星野家の長男の嫁が代々持つというネックレスがほしいと頼む。守の脳裏にネックレスを保管しているゆきのことが頭をよぎる中、守はそれを了承するのだが・・・。草ナギ剛　  北川景子　  藤ヶ谷太輔　  蓮佛美沙子　  平岩紙　  西原亜希　  三浦真椰　  デヴィ・スカルノ　  篠井英介  　　○　　  伊藤英明　    ほか【脚本】  佐藤嗣麻子　    【プロデュース】  牧野正　  草ヶ谷大輔　    【演出】  武内英樹　  平野眞　  宮木正悟　    【音楽】  住友紀人　    【主題歌】  SMAP「シャレオツ」(ビクターエンタテインメント)　    【制作】  フジテレビドラマ制作部【番組ホームページ】  http://www.fujitv.co.jp/dokusinkizoku/</t>
  </si>
  <si>
    <t>星野守(草ナギ剛)と現王園玲子(平岩紙)の結婚式当日、教会には星野進(伊藤英明)、春野ゆき(北川景子)、星野亜希子(デヴィ・スカルノ)、玲子の父親(梅野泰靖)が集まった。守は自分の気持ちを振り切るように明るく振る舞い、1人でチャペルにやってきたゆきは、守から送られたエンパイア・ステート・ビルのチャームを見つめていた。  そんな中、ウエディングドレスを身にまとい支度をしていた玲子が控え室から姿を消してしまう。  　後日、小原沙織(西原亜希)のアパートにいたゆきに、玲子から電話がかかってくる。2人きりで話がしたいという玲子に呼び出され、ゆきはホテルにやってくる。ゆきと対面した玲子は、守のことを教えてほしいと言い…。  　同じ頃、水島浩一(梶原善)から『8月のボレロ』の脚本を2日以内に完成させてほしいと連絡が入る。進と川越裕太(藤ヶ谷太輔)は了承するが、脚本はゆきが必死に修正を続けているところだった。そのゆきは執筆に行き詰まっていて、相談に乗るという進にいらだった態度を取ってしまう。  　一方の守は、玲子に会うために海辺にある玲子の別荘を訪ねる。結婚式での一件を謝罪する玲子に、来年改めてイタリアで挙式をしようと提案する守。玲子は、そんな守に星野家の長男の嫁が代々持つというネックレスがほしいと頼む。守の脳裏にネックレスを保管しているゆきのことが頭をよぎる中、守はそれを了承するのだが・・・。</t>
  </si>
  <si>
    <t>番組名&lt;木曜劇場&gt;独身貴族　#11</t>
  </si>
  <si>
    <t>完成した『8月のボレロ』の脚本を残して星野守(草ナギ剛)や星野進(伊藤英明)の前から姿を消した春野ゆき(北川景子)から「キネマ・エトワール」に退職願が届く。川越裕太(藤ヶ谷太輔)や緒方須美花(蓮佛美沙子)らは驚くが、退職願を受け取った守は、ゆきの意志だから仕方がないと平然と言う。  　同じ頃、現王園玲子(平岩紙)と対面した進は、玲子から星野家の長男の嫁に受け継がれるネックレスのありかを聞かれ、ゆきが持っていることを明かす。  　一方、ゆきは青森の実家に帰っていた。明るく振る舞う娘に、母親の春野さち(市毛良枝)は心配が募る。そこへ、玲子がやってくる。  　その頃、守は進から『8月のボレロ』のクランクイン目前にして主演の山下智久(山下智久)が、セリフにクレームをつけ、ゆきとの面会を求めていると報告を受ける。うまく断れないのか、と言う守に、すでに雰囲気が悪くなっていて断れそうにない、と進は返す。  　ゆきが自分からの電話に出ないことを知る守は、小原沙織(西原亜希)の携帯からゆきに電話をする。守は事情を説明し、ゆきが書いた脚本なのだから山下と話すべきでは、と諭す。  　東京に戻ったゆきを迎えたのは進だった。進は、話があると言うゆきを遮って、自分の話を聞いてくれと言う。  　別の日、ゆきは『8月のボレロ』の撮影が行われるスタジオへ。山下が来るまで待機していてくれと言われたゆきは、守と2人きりになり…。草ナギ剛　  北川景子　  藤ヶ谷太輔　  蓮佛美沙子　  平岩紙　  西原亜希　  三浦真椰　  デヴィ・スカルノ　  篠井英介  　　○　　  伊藤英明　    ほか【脚本】  佐藤嗣麻子　    【プロデュース】  牧野正　  草ヶ谷大輔　    【演出】  武内英樹　  平野眞　  宮木正悟　    【音楽】  住友紀人　    【主題歌】  SMAP「シャレオツ」(ビクターエンタテインメント)    【制作】  フジテレビドラマ制作部【番組ホームページ】  http://www.fujitv.co.jp/dokusinkizoku/</t>
  </si>
  <si>
    <t>完成した『8月のボレロ』の脚本を残して星野守(草ナギ剛)や星野進(伊藤英明)の前から姿を消した春野ゆき(北川景子)から「キネマ・エトワール」に退職願が届く。川越裕太(藤ヶ谷太輔)や緒方須美花(蓮佛美沙子)らは驚くが、退職願を受け取った守は、ゆきの意志だから仕方がないと平然と言う。  　同じ頃、現王園玲子(平岩紙)と対面した進は、玲子から星野家の長男の嫁に受け継がれるネックレスのありかを聞かれ、ゆきが持っていることを明かす。  　一方、ゆきは青森の実家に帰っていた。明るく振る舞う娘に、母親の春野さち(市毛良枝)は心配が募る。そこへ、玲子がやってくる。  　その頃、守は進から『8月のボレロ』のクランクイン目前にして主演の山下智久(山下智久)が、セリフにクレームをつけ、ゆきとの面会を求めていると報告を受ける。うまく断れないのか、と言う守に、すでに雰囲気が悪くなっていて断れそうにない、と進は返す。  　ゆきが自分からの電話に出ないことを知る守は、小原沙織(西原亜希)の携帯からゆきに電話をする。守は事情を説明し、ゆきが書いた脚本なのだから山下と話すべきでは、と諭す。  　東京に戻ったゆきを迎えたのは進だった。進は、話があると言うゆきを遮って、自分の話を聞いてくれと言う。  　別の日、ゆきは『8月のボレロ』の撮影が行われるスタジオへ。山下が来るまで待機していてくれと言われたゆきは、守と2人きりになり…。</t>
  </si>
  <si>
    <t>1310_CX_金20</t>
  </si>
  <si>
    <t>家族の裏事情</t>
  </si>
  <si>
    <t>番組名金曜ドラマ・家族の裏事情　#01</t>
  </si>
  <si>
    <t>クリスマスイブの夜。「定食いさわ屋」店主・石和泰彦(沢村一樹)は、突然行方不明になった妻・縁(財前直見)を必死に探し回っている。そこに、泰彦の父で「いさわ屋」先代主人・尚彦(小野寺昭)、石和家長男・晴彦(松下洸平)、次男・雅彦(鈴木勝大)、長女・千代美(水谷果穂)も合流。その時、近くをパトカーが通り過ぎる。嫌な予感がした石和一家。パトカーが走り去った方向に進むと…。  　3カ月前のある早朝。2020年東京五輪開催が決定して喜びを爆発させた縁は、家族みんなで祝杯を上げる。朝の食卓を家族全員で囲む石和家。その後、子供3人を送り出した縁は、泰彦と開店準備を始める。昼時になり客も増えてくるが、満席にはならない。ある理由から雀町商店街には閉店する店が多く出てきていた。  　一方、尚彦におねだりして友達とお揃いのスパイクを買う小遣いをもらった千代美。サッカー部の練習試合後、友達から買い物に誘われるが、友達がもう次のお目当ての話題になっていて取り残された心地に…。  　就活が間近に迫る雅彦は、バイト先の塾長から進路を聞かれるが、ある悩みを抱えていて曖昧な返事しかできない。  　日曜出勤した晴彦。携帯が鳴ると、周囲に聞かれたくないのか小声で話して…。  　そんなある日、仕事を終えた縁、泰彦、尚彦が晴彦、雅彦、千代美がいる居間に帰ってきた。と、突然、晴彦が「実は俺、結婚するんだよね」と言い出して…。財前直見　沢村一樹　    谷村美月　  松下洸平　  鈴木勝大　  水谷果穂　  MEGUMI  　・　  佐藤二朗　  小野寺昭　  真野響子　    ほか【脚本】  武井彩　    【編成企画】  清水一幸　  細貝康介　    【プロデュース】  森安彩(共同テレビ)　    【演出】  木下高男(共同テレビ)　  村上正典(共同テレビ)　  佐藤源太(共同テレビ)　    【音楽】  高見優　    【主題歌】  コブクロ「GAME」(ワーナーミュージック・ジャパン)　    【制作】  フジテレビ　    【制作著作】  共同テレビ番組HPでは“フォトギャラリー"や“あらすじ"など公開中!  詳しい番組情報はこちら　  http://www.fujitv.co.jp/urajijyo/</t>
  </si>
  <si>
    <t>クリスマスイブの夜。「定食いさわ屋」店主・石和泰彦(沢村一樹)は、突然行方不明になった妻・縁(財前直見)を必死に探し回っている。そこに、泰彦の父で「いさわ屋」先代主人・尚彦(小野寺昭)、石和家長男・晴彦(松下洸平)、次男・雅彦(鈴木勝大)、長女・千代美(水谷果穂)も合流。その時、近くをパトカーが通り過ぎる。嫌な予感がした石和一家。パトカーが走り去った方向に進むと…。  　3カ月前のある早朝。2020年東京五輪開催が決定して喜びを爆発させた縁は、家族みんなで祝杯を上げる。朝の食卓を家族全員で囲む石和家。その後、子供3人を送り出した縁は、泰彦と開店準備を始める。昼時になり客も増えてくるが、満席にはならない。ある理由から雀町商店街には閉店する店が多く出てきていた。  　一方、尚彦におねだりして友達とお揃いのスパイクを買う小遣いをもらった千代美。サッカー部の練習試合後、友達から買い物に誘われるが、友達がもう次のお目当ての話題になっていて取り残された心地に…。  　就活が間近に迫る雅彦は、バイト先の塾長から進路を聞かれるが、ある悩みを抱えていて曖昧な返事しかできない。  　日曜出勤した晴彦。携帯が鳴ると、周囲に聞かれたくないのか小声で話して…。  　そんなある日、仕事を終えた縁、泰彦、尚彦が晴彦、雅彦、千代美がいる居間に帰ってきた。と、突然、晴彦が「実は俺、結婚するんだよね」と言い出して…。</t>
  </si>
  <si>
    <t>番組名金曜ドラマ・家族の裏事情　#02</t>
  </si>
  <si>
    <t>28年ぶりに娘・縁(財前直見)の元へと帰ってきた華江(真野響子)。華江は、旧知の仲である石和尚彦(小野寺昭)のツイッターで石和家の近況をチェックしていたのだった。浮気した男を選び、自分と兄・三松太一(佐藤二朗)、父を捨てた華江をそう簡単には許せない縁は神社に行き、平穏な家庭状況を返して欲しいと手を合わせる。  　その帰り、太一が嫁のすず(MEGUMI)と一緒に店を継いだ、実家の「三松漬物」に立ち寄った縁は、華江が突然帰ってきたことを太一たちに伝える。昔から母親に頭が上がらない太一は、ひどく動揺しつつも「来たらすぐに追い返すから!」と華江の面倒を見ることに反対するが、背後に華江が立っていて…。  　一方、長男・晴彦(松下洸平)が、職場の仲本製作所で働いていると、次男・雅彦(鈴木勝大)が母親に頼まれて弁当を持ってくる。昨晩、雅彦と言い合いになったことを謝りたい晴彦は「一緒に食う?」と雅彦を誘う。部活練習を終えた千代美(水谷果穂)は、チームメイトからあるチラシを見せられる。それは、海外のクラブチームが主催している短期のサッカー留学の話で…。  　「いさわ屋」店内。厨房で泰彦(沢村一樹)が料理を作っていると戸部哲史(高杉亘)が入ってきた。戸部は、泰彦がホテルシェフとして働いていた時代の上司。その戸部から「後で少し話せないか」と言われた泰彦は、休憩中に戸部から“ある話"を持ちかけられて…。財前直見　沢村一樹　  谷村美月　  松下洸平　  鈴木勝大　  水谷果穂　  MEGUMI  　・　  佐藤二朗　  小野寺昭　  真野響子　    ほか【脚本】  武井彩　    【編成企画】  清水一幸　  細貝康介　    【プロデュース】  森安彩(共同テレビ)　    【演出】  木下高男(共同テレビ)　  村上正典(共同テレビ)　  佐藤源太(共同テレビ)　    【音楽】  高見優　    【主題歌】  コブクロ「GAME」(ワーナーミュージック・ジャパン)　    【制作】  フジテレビ　    【制作著作】  共同テレビ番組HPでは“フォトギャラリー"や“あらすじ"など公開中!  番組HPはこちら　  http://www.fujitv.co.jp/urajijyo/</t>
  </si>
  <si>
    <t>28年ぶりに娘・縁(財前直見)の元へと帰ってきた華江(真野響子)。華江は、旧知の仲である石和尚彦(小野寺昭)のツイッターで石和家の近況をチェックしていたのだった。浮気した男を選び、自分と兄・三松太一(佐藤二朗)、父を捨てた華江をそう簡単には許せない縁は神社に行き、平穏な家庭状況を返して欲しいと手を合わせる。  　その帰り、太一が嫁のすず(MEGUMI)と一緒に店を継いだ、実家の「三松漬物」に立ち寄った縁は、華江が突然帰ってきたことを太一たちに伝える。昔から母親に頭が上がらない太一は、ひどく動揺しつつも「来たらすぐに追い返すから!」と華江の面倒を見ることに反対するが、背後に華江が立っていて…。  　一方、長男・晴彦(松下洸平)が、職場の仲本製作所で働いていると、次男・雅彦(鈴木勝大)が母親に頼まれて弁当を持ってくる。昨晩、雅彦と言い合いになったことを謝りたい晴彦は「一緒に食う?」と雅彦を誘う。部活練習を終えた千代美(水谷果穂)は、チームメイトからあるチラシを見せられる。それは、海外のクラブチームが主催している短期のサッカー留学の話で…。  　「いさわ屋」店内。厨房で泰彦(沢村一樹)が料理を作っていると戸部哲史(高杉亘)が入ってきた。戸部は、泰彦がホテルシェフとして働いていた時代の上司。その戸部から「後で少し話せないか」と言われた泰彦は、休憩中に戸部から“ある話"を持ちかけられて…。</t>
  </si>
  <si>
    <t>番組名金曜ドラマ・家族の裏事情　#03</t>
  </si>
  <si>
    <t>「この家に私を置いてください!」長男・晴彦(松下洸平)の婚約者・高城累(谷村美月)から突然お願いされた石和家。突然の発言に驚いた縁(財前直見)は立ちくらみを起こして倒れてしまう。寝室で休んでいる縁。その様子を見てから居間にきた泰彦(沢村一樹)は、累に、縁と昼間2人っきりで話したことを聞く。縁から「結婚は紙切れひとつだけの話ではない。」と言われたことが心に響いた累は、居ても立ってもいられず石和家に“同居したい"と先走ってしまったらしい。そんな累を、晴彦は「2人で話そっか!」と外に連れ出す。  　翌朝。朝食後、縁と泰彦が台所にいると長女の千代美(水谷果穂)が、サッカースクールのチラシを持って入ってくる。サッカーが上達するためにスクールからスカウトされたら…という仮の話をしつつ、「例えば60万かかるとしたら…」と伝えると、縁は「さすがにそんな大金はない!」と即答。両親を気遣い「ちょっと聞いてみただけだから!」と立ち去る千代美。  　一方、累は昨晩お世話になった御礼に「いさわ屋」を手伝いたい、と申し出る。店の手伝い方が良く分からない累は縁の邪魔になったり割り箸ケースを落としたり、と最初こそ迷惑をかけるが、縁が電卓で会計を計算するのに手こずっていると…。  　そんな中、晴彦と累から、それぞれ個別になれ初め話を聞いた次男・雅彦(鈴木勝大)と千代美。そこにはなぜか微妙な食い違いが…!?財前直見　沢村一樹　  谷村美月　  松下洸平　  鈴木勝大　  水谷果穂　  MEGUMI  　・　  佐藤二朗　  小野寺昭　  真野響子　    ほか【脚本】  武井彩　    【編成企画】  清水一幸　  細貝康介　    【プロデュース】  森安彩(共同テレビ)　    【演出】  木下高男(共同テレビ)　  村上正典(共同テレビ)　  佐藤源太(共同テレビ)　    【音楽】  高見優　    【主題歌】  コブクロ「GAME」(ワーナーミュージック・ジャパン)　    【制作】  フジテレビ　    【制作著作】  共同テレビ番組HPでは“フォトギャラリー"や“あらすじ"など公開中!  詳しい番組情報はこちら　  http://www.fujitv.co.jp/urajijyo/</t>
  </si>
  <si>
    <t>「この家に私を置いてください!」長男・晴彦(松下洸平)の婚約者・高城累(谷村美月)から突然お願いされた石和家。突然の発言に驚いた縁(財前直見)は立ちくらみを起こして倒れてしまう。寝室で休んでいる縁。その様子を見てから居間にきた泰彦(沢村一樹)は、累に、縁と昼間2人っきりで話したことを聞く。縁から「結婚は紙切れひとつだけの話ではない。」と言われたことが心に響いた累は、居ても立ってもいられず石和家に“同居したい"と先走ってしまったらしい。そんな累を、晴彦は「2人で話そっか!」と外に連れ出す。  　翌朝。朝食後、縁と泰彦が台所にいると長女の千代美(水谷果穂)が、サッカースクールのチラシを持って入ってくる。サッカーが上達するためにスクールからスカウトされたら…という仮の話をしつつ、「例えば60万かかるとしたら…」と伝えると、縁は「さすがにそんな大金はない!」と即答。両親を気遣い「ちょっと聞いてみただけだから!」と立ち去る千代美。  　一方、累は昨晩お世話になった御礼に「いさわ屋」を手伝いたい、と申し出る。店の手伝い方が良く分からない累は縁の邪魔になったり割り箸ケースを落としたり、と最初こそ迷惑をかけるが、縁が電卓で会計を計算するのに手こずっていると…。  　そんな中、晴彦と累から、それぞれ個別になれ初め話を聞いた次男・雅彦(鈴木勝大)と千代美。そこにはなぜか微妙な食い違いが…!?</t>
  </si>
  <si>
    <t>番組名金曜ドラマ・家族の裏事情　#04</t>
  </si>
  <si>
    <t>会社に向かい歩いていく高城累(谷村美月)を尾行する人物…それは、帽子にマスクという怪しい姿の縁(財前直見)であった。長男・晴彦(松下洸平)と累が、お互いに名字で呼び合っていたのを偶然聞いてしまった縁は、妙によそよそしい2人の関係が気になっていた。母・華江(真野響子)も「あの2人、男と女の匂いが全然してこないのよねえ」と疑いはじめていて…。  　累の勤務先を訪れた帰り、縁は晴彦が勤める仲本製作所に立ち寄る。こっそり中を覗き込んでいた縁は、社長の仲本幸吉(小杉幸彦)に見つかってしまい、流れで晴彦の近況を尋ねたところ…。  　石和家に戻ってきた縁。玄関に入っていくと電話で話している泰彦(沢村一樹)の声が聞こえてくる。その様子から、泰彦が断ったと話していた先輩シェフ・戸部(高杉亘)からの転職の誘いの話だと判り、縁は困惑する。  　年齢をごまかしてネットカフェでのバイトを始めた千代美(水谷果穂)。あることで店長からとがめられてしまう…。そのバイト帰り、自宅に戻ると“いさわ家"を覗き込む華江がいて「ちょっと付き合いなさいよ」と誘われる。  　親に内緒で塾のバイトを辞め、演芸ホールで呼び込みの手伝いをしている雅彦(鈴木勝大)。我慢できなくなり、中の寄席を見に行く。高座には雅彦が尊敬する秋月亭唐楽(春風亭小柳枝)の姿。雅彦は何かを決意した表情で…。財前直見　沢村一樹　  谷村美月　  松下洸平　  鈴木勝大　  水谷果穂　  MEGUMI  　・　  佐藤二朗　  小野寺昭　  真野響子　    ほか【脚本】  武井彩　    【編成企画】  清水一幸　  細貝康介　    【プロデュース】  森安彩(共同テレビ)　    【演出】  木下高男(共同テレビ)　  村上正典(共同テレビ)　  佐藤源太(共同テレビ)　    【音楽】  高見優　    【主題歌】  コブクロ「GAME」(ワーナーミュージック・ジャパン)　    【制作】  フジテレビ　    【制作著作】  共同テレビ番組HPでは“フォトギャラリー"や“あらすじ"など公開中!  詳しい番組情報はこちら　  http://www.fujitv.co.jp/urajijyo/</t>
  </si>
  <si>
    <t>会社に向かい歩いていく高城累(谷村美月)を尾行する人物…それは、帽子にマスクという怪しい姿の縁(財前直見)であった。長男・晴彦(松下洸平)と累が、お互いに名字で呼び合っていたのを偶然聞いてしまった縁は、妙によそよそしい2人の関係が気になっていた。母・華江(真野響子)も「あの2人、男と女の匂いが全然してこないのよねえ」と疑いはじめていて…。  　累の勤務先を訪れた帰り、縁は晴彦が勤める仲本製作所に立ち寄る。こっそり中を覗き込んでいた縁は、社長の仲本幸吉(小杉幸彦)に見つかってしまい、流れで晴彦の近況を尋ねたところ…。  　石和家に戻ってきた縁。玄関に入っていくと電話で話している泰彦(沢村一樹)の声が聞こえてくる。その様子から、泰彦が断ったと話していた先輩シェフ・戸部(高杉亘)からの転職の誘いの話だと判り、縁は困惑する。  　年齢をごまかしてネットカフェでのバイトを始めた千代美(水谷果穂)。あることで店長からとがめられてしまう…。そのバイト帰り、自宅に戻ると“いさわ家"を覗き込む華江がいて「ちょっと付き合いなさいよ」と誘われる。  　親に内緒で塾のバイトを辞め、演芸ホールで呼び込みの手伝いをしている雅彦(鈴木勝大)。我慢できなくなり、中の寄席を見に行く。高座には雅彦が尊敬する秋月亭唐楽(春風亭小柳枝)の姿。雅彦は何かを決意した表情で…。</t>
  </si>
  <si>
    <t>番組名金曜ドラマ・家族の裏事情　#05</t>
  </si>
  <si>
    <t>長男・晴彦(松下洸平)と高城累(谷村美月)の結婚動機が累の母親の入院費用を捻出するためと知ってしまった縁(財前直見)。2人と話をしても納得できなかった縁と泰彦(沢村一樹)は2人を家から追い出してしまう。  　翌朝、晴彦も累もいない食卓。縁は昨晩の出来事で頭がいっぱいでどこか上の空。尚彦(小野寺昭)が食卓の淋しい雰囲気を変えようと、千代美(水谷果穂)が縁に内緒で祖母・華江(真野響子)に買ってもらったシュシュのことや次男・雅彦(鈴木勝大)が家族に内緒で落語家を目指していることに触れてしまい、逆に微妙な空気を作ってしまう…。そんな中、縁は戸部(高杉亘)との約束に行こうとしない泰彦に行くようにと促す。  　ネットカフェで一晩過ごした晴彦と累。朝になって隣の個室にいる累に声をかけるも累は既にいなくなっていた。  　戸部が経営する会社“TETSUSHI　TOBE"の研修施設を見学に訪れた泰彦。銀座大手デパートとのコラボメニューを検討している場でついつい口を挟んでしまい…。  　部活を最近休んでいる千代美は、友達に誘われた海外サッカースクールの件を聞かれたが費用の問題が解決しておらず歯切れが悪い。  　一方、落語家になりたいという夢がある雅彦は、秋月亭唐丸(清水伸)が講師を務める落語教室を訪れる。  　縁、泰彦、尚彦の3人だけでとる夕食。突然、尚彦が「いさわ屋は明日から3日間休み!」と言い出して…。財前直見　沢村一樹　  谷村美月　  松下洸平　  鈴木勝大　  水谷果穂　  MEGUMI  　・　  佐藤二朗　  小野寺昭　  真野響子　    ほか【脚本】  武井彩　    【編成企画】  清水一幸　  細貝康介　    【プロデュース】  森安彩(共同テレビ)　    【演出】  木下高男(共同テレビ)　  村上正典(共同テレビ)　  佐藤源太(共同テレビ)　    【音楽】  高見優　    【主題歌】  コブクロ「GAME」(ワーナーミュージック・ジャパン)　    【制作】  フジテレビ　    【制作著作】  共同テレビ番組HPでは“フォトギャラリー"や“あらすじ"など公開中!  詳しい番組情報はこちら　  http://www.fujitv.co.jp/urajijyo/</t>
  </si>
  <si>
    <t>長男・晴彦(松下洸平)と高城累(谷村美月)の結婚動機が累の母親の入院費用を捻出するためと知ってしまった縁(財前直見)。2人と話をしても納得できなかった縁と泰彦(沢村一樹)は2人を家から追い出してしまう。  　翌朝、晴彦も累もいない食卓。縁は昨晩の出来事で頭がいっぱいでどこか上の空。尚彦(小野寺昭)が食卓の淋しい雰囲気を変えようと、千代美(水谷果穂)が縁に内緒で祖母・華江(真野響子)に買ってもらったシュシュのことや次男・雅彦(鈴木勝大)が家族に内緒で落語家を目指していることに触れてしまい、逆に微妙な空気を作ってしまう…。そんな中、縁は戸部(高杉亘)との約束に行こうとしない泰彦に行くようにと促す。  　ネットカフェで一晩過ごした晴彦と累。朝になって隣の個室にいる累に声をかけるも累は既にいなくなっていた。  　戸部が経営する会社“TETSUSHI　TOBE"の研修施設を見学に訪れた泰彦。銀座大手デパートとのコラボメニューを検討している場でついつい口を挟んでしまい…。  　部活を最近休んでいる千代美は、友達に誘われた海外サッカースクールの件を聞かれたが費用の問題が解決しておらず歯切れが悪い。  　一方、落語家になりたいという夢がある雅彦は、秋月亭唐丸(清水伸)が講師を務める落語教室を訪れる。  　縁、泰彦、尚彦の3人だけでとる夕食。突然、尚彦が「いさわ屋は明日から3日間休み!」と言い出して…。</t>
  </si>
  <si>
    <t>番組名金曜ドラマ・家族の裏事情　#06</t>
  </si>
  <si>
    <t>警察に補導された長女・千代美(水谷果穂)を迎えに行く石和縁(財前直見)と夫・泰彦(沢村一樹)と長男・晴彦(松下洸平)。地元の警察官で“いさわ家"の常連でもある杉田竜次(小松利昌)が警ら中に、ネットカフェの制服を着て歩いていた千代美を見かけて、店の店長に事情を聴いたところアルバイトしていたというので保護したという。  　警察署から帰宅後、バイトしていた理由を聞くと、千代美は「サッカースクールに通いたかった」と説明するが、バイトで部活を休むことは本末転倒、と縁に責められる。感情が爆発した千代美は縁に…。  　警察署から一緒に戻ってきた晴彦。千代美と縁のやり取りを見届けると、「俺、行くから」と家を出ていこうとする。晴彦のことも気がかりな縁は、「一度きちんと話そう」と声をかけるが、高城累(谷村美月)とのことをちゃんとするまでは帰らない、と言い出ていく。  　一人残された次男・雅彦(鈴木勝大)もその場から逃げるように部屋に行き、落語の練習を始めるが家族のことが気になり集中できず…。  　数日後、“いさわ家"の昼営業を終えると、戸部哲史(高杉亘)が店にやってきた。泰彦が提案したディナーメニューが取引先の興味を引き、追加のバリエーションが欲しいので泰彦の力を貸してほしい、と戸部は頭を下げる。自分の店のこともあるので、何て返答しようかためらっていたしていた泰彦。そこに話を聞いていた縁がやってきて…。財前直見　沢村一樹　  谷村美月　  松下洸平　  鈴木勝大　  水谷果穂　  MEGUMI  　・　  佐藤二朗　  小野寺昭　  真野響子　    ほか【脚本】  武井彩　    【編成企画】  清水一幸　  細貝康介　    【プロデュース】  森安彩(共同テレビ)　    【演出】  木下高男(共同テレビ)　  村上正典(共同テレビ)　  佐藤源太(共同テレビ)　    【音楽】  高見優　    【主題歌】  コブクロ「GAME」(ワーナーミュージック・ジャパン)　    【制作】  フジテレビ　    【制作著作】  共同テレビ番組HPでは“フォトギャラリー"や“あらすじ"など公開中!  詳しい番組情報はこちら　  http://www.fujitv.co.jp/urajijyo/</t>
  </si>
  <si>
    <t>警察に補導された長女・千代美(水谷果穂)を迎えに行く石和縁(財前直見)と夫・泰彦(沢村一樹)と長男・晴彦(松下洸平)。地元の警察官で“いさわ家"の常連でもある杉田竜次(小松利昌)が警ら中に、ネットカフェの制服を着て歩いていた千代美を見かけて、店の店長に事情を聴いたところアルバイトしていたというので保護したという。  　警察署から帰宅後、バイトしていた理由を聞くと、千代美は「サッカースクールに通いたかった」と説明するが、バイトで部活を休むことは本末転倒、と縁に責められる。感情が爆発した千代美は縁に…。  　警察署から一緒に戻ってきた晴彦。千代美と縁のやり取りを見届けると、「俺、行くから」と家を出ていこうとする。晴彦のことも気がかりな縁は、「一度きちんと話そう」と声をかけるが、高城累(谷村美月)とのことをちゃんとするまでは帰らない、と言い出ていく。  　一人残された次男・雅彦(鈴木勝大)もその場から逃げるように部屋に行き、落語の練習を始めるが家族のことが気になり集中できず…。  　数日後、“いさわ家"の昼営業を終えると、戸部哲史(高杉亘)が店にやってきた。泰彦が提案したディナーメニューが取引先の興味を引き、追加のバリエーションが欲しいので泰彦の力を貸してほしい、と戸部は頭を下げる。自分の店のこともあるので、何て返答しようかためらっていたしていた泰彦。そこに話を聞いていた縁がやってきて…。</t>
  </si>
  <si>
    <t>番組名金曜ドラマ・家族の裏事情　#07</t>
  </si>
  <si>
    <t>三松華江(真野響子)から28年前に浮気したのは父親の方だったという真実を告げられた縁(財前直見)と三松太一(佐藤二朗)は複雑な心境でいた。  　一方、泰彦(沢村一樹)は縁に背中を押されて、戸部哲史(高杉亘)からの転職話を前向きに考える。そんなある日、戸部の会社の研究施設に行くと、先にいた近田美咲(松下由樹)と2人っきりに。22年前に泰彦との間にできた子供を泰彦に預け、パティシエールになるためにパリへ1人で旅立ったきり音信不通だった美咲に、泰彦は子供を手放したときの本当の気持ちを教えて欲しい、と話す。美咲が口にした言葉は・・・。  　秋月亭唐丸(清水伸)から落語指導を受ける次男・雅彦(鈴木勝大)。落語のお題から「親の気持ちを知りなさい」と言われて・・・。  　長男・晴彦(松下洸平)は、高城累(谷村美月)と正式に交際することになり、2人で石和家に報告しに行く決心をする。  　下町グランプリも間近に迫ったある日、太一は雀町商店街キャラクターのスズメンだけでは頼りないと、ふなっしーをPR特別講師として招くが何故か大騒動になり・・・。  　雅彦は唐丸に言われて自分のルーツを探そうと、両親の寝室にあるアルバムを開く。そこには兄妹の赤ん坊時代の写真などが貼ってあり懐かしむ。と、アルバムの奥に縁と泰彦の結婚記念日が記されたマグカップがあるのに気付く。その記念日の日付を見た雅彦は、ある疑念を抱いて・・・。財前直見　沢村一樹　  谷村美月　  松下洸平　  鈴木勝大　  水谷果穂　  MEGUMI  　・　  佐藤二朗　  小野寺昭　  真野響子　    ふなっしー(特別ゲスト)　    ほか【脚本】  武井彩　    【編成企画】  清水一幸　  細貝康介　    【プロデュース】  森安彩(共同テレビ)　    【演出】  木下高男(共同テレビ)　  村上正典(共同テレビ)　  佐藤源太(共同テレビ)　    【音楽】  高見優　    【主題歌】  コブクロ「GAME」(ワーナーミュージック・ジャパン)　    【制作】  フジテレビ　    【制作著作】  共同テレビ番組HPでは“フォトギャラリー"や“あらすじ"など公開中!  詳しい番組情報はこちら　  http://www.fujitv.co.jp/urajijyo/</t>
  </si>
  <si>
    <t>三松華江(真野響子)から28年前に浮気したのは父親の方だったという真実を告げられた縁(財前直見)と三松太一(佐藤二朗)は複雑な心境でいた。  　一方、泰彦(沢村一樹)は縁に背中を押されて、戸部哲史(高杉亘)からの転職話を前向きに考える。そんなある日、戸部の会社の研究施設に行くと、先にいた近田美咲(松下由樹)と2人っきりに。22年前に泰彦との間にできた子供を泰彦に預け、パティシエールになるためにパリへ1人で旅立ったきり音信不通だった美咲に、泰彦は子供を手放したときの本当の気持ちを教えて欲しい、と話す。美咲が口にした言葉は・・・。  　秋月亭唐丸(清水伸)から落語指導を受ける次男・雅彦(鈴木勝大)。落語のお題から「親の気持ちを知りなさい」と言われて・・・。  　長男・晴彦(松下洸平)は、高城累(谷村美月)と正式に交際することになり、2人で石和家に報告しに行く決心をする。  　下町グランプリも間近に迫ったある日、太一は雀町商店街キャラクターのスズメンだけでは頼りないと、ふなっしーをPR特別講師として招くが何故か大騒動になり・・・。  　雅彦は唐丸に言われて自分のルーツを探そうと、両親の寝室にあるアルバムを開く。そこには兄妹の赤ん坊時代の写真などが貼ってあり懐かしむ。と、アルバムの奥に縁と泰彦の結婚記念日が記されたマグカップがあるのに気付く。その記念日の日付を見た雅彦は、ある疑念を抱いて・・・。</t>
  </si>
  <si>
    <t>番組名金曜ドラマ・家族の裏事情　#08</t>
  </si>
  <si>
    <t>近所の神社で鉢合わせしてしまった縁(財前直見)と泰彦(沢村一樹)、美咲(松下由樹)、晴彦(松下洸平)。泰彦の口から、ここにいる女性(美咲)が実の母親だと聞かされた晴彦は、美咲を睨むように一瞥して無言で立ち去る。その場に残された3人も無言だったが、美咲が「失礼します」とその場を立ち去る。縁は泰彦に「晴彦だけは傷つけたくなかった」と言い残して…。  　その夜、縁は母・華江(真野響子)がいるホテルを訪ねて、浴びるように酒を飲む。「私は神様との勝負に負けたんだ」と弱音を吐く縁。泣きながら「母さんも同じ気持ちだった?」と質問するが…。  　一方、実母と対面してしまった晴彦は混乱していた。正式に“彼女"となった高城累(谷村美月)は「自分を娘だと認識できなくなっても共に生きた時間があるから大丈夫」と自らの母親との関係を語り、間接的に晴彦を励ます。  　一方、雅彦(鈴木勝大)と千代美(水谷果穂)と話す尚彦(小野寺昭)。「父さん母さんは家族を守るためウソを突き通すことを決めたんだ」という尚彦の言葉に2人はそれぞれ思いを巡らせる。  　夜になって石和家に華江から電話がかかってくる。「(縁を)だいぶ前にホテルを追い出したけど帰宅してるか心配になって」と。そこに太一(佐藤二朗)がやってきて「夕方、縁を見かけた時に目が据わってたから心配になって!」と。帰ってこない縁を家族全員で探すことになったのだが…。財前直見　沢村一樹　  谷村美月　  松下洸平　  鈴木勝大　  水谷果穂　  MEGUMI  　・　  佐藤二朗　  小野寺昭　  真野響子　    ほか【脚本】  武井彩　    【編成企画】  清水一幸　  細貝康介　    【プロデュース】  森安彩(共同テレビ)　    【演出】  木下高男(共同テレビ)　  村上正典(共同テレビ)　  佐藤源太(共同テレビ)　    【音楽】  高見優　    【主題歌】  コブクロ「GAME」(ワーナーミュージック・ジャパン)　    【制作】  フジテレビ　    【制作著作】  共同テレビ番組HPでは“フォトギャラリー"や“あらすじ"など公開中!  詳しい番組情報はこちら　  http://www.fujitv.co.jp/urajijyo/</t>
  </si>
  <si>
    <t>近所の神社で鉢合わせしてしまった縁(財前直見)と泰彦(沢村一樹)、美咲(松下由樹)、晴彦(松下洸平)。泰彦の口から、ここにいる女性(美咲)が実の母親だと聞かされた晴彦は、美咲を睨むように一瞥して無言で立ち去る。その場に残された3人も無言だったが、美咲が「失礼します」とその場を立ち去る。縁は泰彦に「晴彦だけは傷つけたくなかった」と言い残して…。  　その夜、縁は母・華江(真野響子)がいるホテルを訪ねて、浴びるように酒を飲む。「私は神様との勝負に負けたんだ」と弱音を吐く縁。泣きながら「母さんも同じ気持ちだった?」と質問するが…。  　一方、実母と対面してしまった晴彦は混乱していた。正式に“彼女"となった高城累(谷村美月)は「自分を娘だと認識できなくなっても共に生きた時間があるから大丈夫」と自らの母親との関係を語り、間接的に晴彦を励ます。  　一方、雅彦(鈴木勝大)と千代美(水谷果穂)と話す尚彦(小野寺昭)。「父さん母さんは家族を守るためウソを突き通すことを決めたんだ」という尚彦の言葉に2人はそれぞれ思いを巡らせる。  　夜になって石和家に華江から電話がかかってくる。「(縁を)だいぶ前にホテルを追い出したけど帰宅してるか心配になって」と。そこに太一(佐藤二朗)がやってきて「夕方、縁を見かけた時に目が据わってたから心配になって!」と。帰ってこない縁を家族全員で探すことになったのだが…。</t>
  </si>
  <si>
    <t>1310_CX_土23</t>
  </si>
  <si>
    <t>ハニー・トラップ</t>
  </si>
  <si>
    <t>番組名&lt;土ドラ&gt;ハニー・トラップ【サスペンス大作登場!壮絶復讐劇!】　#01</t>
  </si>
  <si>
    <t>AKIRAほか豪華キャストや、手に汗握るストーリーの紹介はオフィシャルサイト(http://www.fujitv.co.jp/honey-trap/index.html)へ!　一流商社・総和物産の先端材料事業部で働く美山悠一(AKIRA)は、同じ会社の経理部で働く心優しい妻・なつみ(仲間由紀恵)との結婚式を控え、熱心に仕事に打ち込む日々を送っていた。  　悠一が開発を進めていた“奇跡の素材"と呼ばれる繊維プロジェクトについて、上司の折田忠(神尾佑)から、全社を挙げてバックアップすること、そしてその素材の研究者である小野寺教授(長谷川初範)を顧問に招き、悠一にプロジェクトの責任者として新会社を任せることを伝えられる。小野寺は20年前に亡くなった悠一の母の葬儀以来、姿を消した悠一の父だった。複雑な思いを抑え、あくまでも仕事の相手としてふるまう悠一。  　そんなある日、出社した悠一はライバル社のミレ・パシフィックが総和物産と同じ方法で同じ繊維プロジェクトの実験を始めた、と知らされる。ミレ・パシフィックからヘッドハンティングを受けていた悠一は、社内で情報漏洩を疑われ、一方的に謹慎を言い渡される。混乱の中、小野寺の研究室へ向かうと、父の姿はなく、開発中の重要なデータが入っているパソコンがなくなっている様子を目にして驚く。さらに悠一は何者かに襲われ、車に連れ込まれてしまう。美山悠一:　AKIRA　    穂積宗広:　小澤征悦　  中川薫:　内山理名　  日下部秀平:　丸山智己　  山中塔子　:音月桂　  早川由加利:　篠原真衣  　　・　　  宮原杏奈:　野波麻帆　  安藤眞一:　森岡豊　  荒井和人:　池内博之  　　・　　  小林恭助:　高嶋政伸(特別出演)　    遠藤なつみ:　仲間由紀恵【シリーズ構成】  渡辺雄介　    【脚本】  山岡潤平　    【編成企画】  太田大　    【プロデュース】  高石明彦　    【監督】  七高剛　    【音楽】  横山克　    【制作】  フジテレビ　    【制作著作】  The　icon</t>
  </si>
  <si>
    <t xml:space="preserve">　一流商社・総和物産の先端材料事業部で働く美山悠一(AKIRA)は、同じ会社の経理部で働く心優しい妻・なつみ(仲間由紀恵)との結婚式を控え、熱心に仕事に打ち込む日々を送っていた。  　悠一が開発を進めていた“奇跡の素材"と呼ばれる繊維プロジェクトについて、上司の折田忠(神尾佑)から、全社を挙げてバックアップすること、そしてその素材の研究者である小野寺教授(長谷川初範)を顧問に招き、悠一にプロジェクトの責任者として新会社を任せることを伝えられる。小野寺は20年前に亡くなった悠一の母の葬儀以来、姿を消した悠一の父だった。複雑な思いを抑え、あくまでも仕事の相手としてふるまう悠一。  　そんなある日、出社した悠一はライバル社のミレ・パシフィックが総和物産と同じ方法で同じ繊維プロジェクトの実験を始めた、と知らされる。ミレ・パシフィックからヘッドハンティングを受けていた悠一は、社内で情報漏洩を疑われ、一方的に謹慎を言い渡される。混乱の中、小野寺の研究室へ向かうと、父の姿はなく、開発中の重要なデータが入っているパソコンがなくなっている様子を目にして驚く。さらに悠一は何者かに襲われ、車に連れ込まれてしまう。</t>
  </si>
  <si>
    <t>番組名&lt;土ドラ&gt;ハニー・トラップ【本格サスペンス!壮絶復讐劇!】　#02</t>
  </si>
  <si>
    <t>AKIRAほか豪華キャストや、手に汗握るストーリーの紹介はオフィシャルサイト(http://www.fujitv.co.jp/honey-trap/index.html)へ!　美山悠一(AKIRA)は、突然知らないアドレスから届いたメールに従い、なつみ(仲間由紀恵)のバッグから鍵を探し出してマンションの隣室に向かう。そこで盗聴器やなつみの顔写真入りの偽造パスポート数冊を発見する。悠一はなつみを信じたい気持ちと膨らむ疑念にさいなまれるなか、教会で2人だけの結婚式を挙げる。その直後、悠一は警察を装った怪しい男たちに再び狙われるが、そんな危機を救ってくれたのはなつみだった。悠一は、思い切ってパスポートにあった「次原明日香」という別名のことや、隣の部屋のことをなつみにぶつけるが・・・。  　一方、悠一が勤めていた総和物産では大洋国際特許事務所の小林恭助(高嶋政伸)が繊維プロジェクトの情報漏洩の件について関係者に調査を行っていた。謹慎処分中の悠一は会社から呼び出され、信じていた上司の折田忠(神尾佑)や安藤眞一(森岡豊)らから、犯人と断定する数々の証拠を突きつけられ、窮地に追い込まれて・・・。美山悠一:　AKIRA　    穂積宗広:　小澤征悦　  中川薫:　内山理名　  日下部秀平:　丸山智己　  山中塔子:　音月桂　  早川由加利:　篠原真衣  　　・　　  宮原杏奈:　野波麻帆　  安藤眞一:　森岡豊　  荒井和人　:　池内博之  　　・　　  小林恭助　:　高嶋政伸(特別出演)　    遠藤なつみ:　仲間由紀恵【シリーズ構成】  渡辺雄介　    【脚本】  山岡潤平　    【編成企画】  太田大　    【プロデュース】  高石明彦　    【監督】  七高剛　    【音楽】  横山克　    【制作】  フジテレビ　    【制作著作】  The　icon</t>
  </si>
  <si>
    <t>美山悠一(AKIRA)は、突然知らないアドレスから届いたメールに従い、なつみ(仲間由紀恵)のバッグから鍵を探し出してマンションの隣室に向かう。そこで盗聴器やなつみの顔写真入りの偽造パスポート数冊を発見する。悠一はなつみを信じたい気持ちと膨らむ疑念にさいなまれるなか、教会で2人だけの結婚式を挙げる。その直後、悠一は警察を装った怪しい男たちに再び狙われるが、そんな危機を救ってくれたのはなつみだった。悠一は、思い切ってパスポートにあった「次原明日香」という別名のことや、隣の部屋のことをなつみにぶつけるが・・・。  　一方、悠一が勤めていた総和物産では大洋国際特許事務所の小林恭助(高嶋政伸)が繊維プロジェクトの情報漏洩の件について関係者に調査を行っていた。謹慎処分中の悠一は会社から呼び出され、信じていた上司の折田忠(神尾佑)や安藤眞一(森岡豊)らから、犯人と断定する数々の証拠を突きつけられ、窮地に追い込まれて・・・。</t>
  </si>
  <si>
    <t>番組名&lt;土ドラ&gt;ハニー・トラップ【本格サスペンス!壮絶復讐劇!】　#03</t>
  </si>
  <si>
    <t>AKIRAほか豪華キャストや、手に汗握るストーリーの紹介はオフィシャルサイト(http://www.fujitv.co.jp/honey-trap/index.html)へ!　美山悠一(AKIRA)は、自らが開発を進めていた新素材・グラフェンの情報が何者かに盗まれ、会社からも疑われ、窮地に立たされる。そこへ、妻のなつみ(仲間由紀恵)から「グラフェンデータを盗んだのは日下部(丸山智己)」というメールが届く。悠一は、同じ部署の課長・日下部のパソコンから証拠となるデータを抜き出し、執行役員の折田忠(神尾祐)に告発する。　いつ、どんな時もそばで支えてくれたなつみを信じると決めた悠一だが、一緒にコーヒーを飲んだ直後に意識が薄れてしまう。目が覚めると家からなつみの姿が消えており、呆然自失となる。  　悠一が勤めていた総和物産では、日下部が上司の折田や安藤眞一(森岡豊)、そして大洋国際特許事務所の小林恭助(高嶋政伸)から、自らのやったことを白状するよう詰問されていた。小林に呼ばれてやって来た悠一は、全てなつみにはめられたと主張する日下部と対面するが・・・。  　その後、悠一は小林になつみを探すのを手伝わせて欲しい、と言うが、個人的感情は捨てろ、と拒否されて・・・。美山悠一:　AKIRA　    穂積宗広:　小澤征悦　  中川薫:　内山理名　  日下部秀平:　丸山智己　  山中塔子:　音月桂　  早川由加利:　篠原真衣  　　・　　  宮原杏奈:　野波麻帆　  安藤眞一:　森岡豊　  荒井和人　:　池内博之  　　・　　  小林恭助　:　高嶋政伸(特別出演)　    遠藤なつみ:　仲間由紀恵【シリーズ構成】  渡辺雄介　    【脚本】  山岡潤平　    【編成企画】  太田大　    【プロデュース】  高石明彦　    【監督】  七高剛　    【音楽】  横山克　    【制作】  フジテレビ　    【制作著作】  The　icon</t>
  </si>
  <si>
    <t>美山悠一(AKIRA)は、自らが開発を進めていた新素材・グラフェンの情報が何者かに盗まれ、会社からも疑われ、窮地に立たされる。そこへ、妻のなつみ(仲間由紀恵)から「グラフェンデータを盗んだのは日下部(丸山智己)」というメールが届く。悠一は、同じ部署の課長・日下部のパソコンから証拠となるデータを抜き出し、執行役員の折田忠(神尾祐)に告発する。　いつ、どんな時もそばで支えてくれたなつみを信じると決めた悠一だが、一緒にコーヒーを飲んだ直後に意識が薄れてしまう。目が覚めると家からなつみの姿が消えており、呆然自失となる。  　悠一が勤めていた総和物産では、日下部が上司の折田や安藤眞一(森岡豊)、そして大洋国際特許事務所の小林恭助(高嶋政伸)から、自らのやったことを白状するよう詰問されていた。小林に呼ばれてやって来た悠一は、全てなつみにはめられたと主張する日下部と対面するが・・・。  　その後、悠一は小林になつみを探すのを手伝わせて欲しい、と言うが、個人的感情は捨てろ、と拒否されて・・・。</t>
  </si>
  <si>
    <t>番組名&lt;土ドラ&gt;ハニー・トラップ【本格サスペンス!壮絶復讐劇!】　#04</t>
  </si>
  <si>
    <t>YouTubeにて第1話から第3話までの完全振り返りダイジェストを公開中!　  http://www.youtube.com/watch?v=YbZ2cpVpGw4&amp;list=PLh4aJSJaObrZ1PbYlZegvJ-kTHLlVYbhw　留置場に入れられた美山悠一(AKIRA)は、面会しに来た妻・なつみ(仲間由紀恵)から離婚届を差し出される。そしてなつみは「信じてくれてありがとう」という言葉を残して去っていった。悠一の胸には怒り、哀しみ、絶望といった感情が一気にこみあげ、あまりのショックに愕然としてしまう。  　また留置場で謎の男(武田真治)から声を掛けられる。父親の死について、また悠一の置かれている状況について、何かを知っている様子の男。  　父親が亡くなった時のアリバイが証明され、釈放された悠一を待っていた大洋国際特許事務所の小林恭助(高嶋政伸)は1枚の写真を手渡す。そこには父親の小野寺(長谷川初範)となつみが一緒に写っていた。ますますなつみに対する疑念が膨らみ、混乱する悠一。  　監禁された恐怖のストレスで入院中の宮原杏奈(野波麻帆)を見舞いに、悠一が病院を訪れると、同じ部署の後輩の早川由加利(篠原真衣)がそばについていた。「私は大丈夫」と無理に笑顔を作る杏奈に、悠一は「もう関わらない方がいい」と告げる。  　一方、小林と部下の荒井和人(池内博之)、中川薫(内山理名)は総和物産と同じ方法で繊維プロジェクトの実験を始めたミレ・パシフィックについて調査していた。悠一もヘッドハンティングを受けていた穂積宗広(小澤征悦)に直接会いに行き、グラフェンデータの流失について問いただすが…。美山悠一:　AKIRA　    穂積宗広:　小澤征悦　  中川薫:　内山理名　  日下部秀平:　丸山智己　  山中塔子:　音月桂　  早川由加利:　篠原真衣  　　・　　  宮原杏奈:　野波麻帆　  安藤眞一:　森岡豊　  荒井和人:　池内博之  　　・　　  小林恭助:　高嶋政伸(特別出演)　    遠藤なつみ:　仲間由紀恵【シリーズ構成】  渡辺雄介　    【脚本】  山岡潤平　    【編成企画】  太田大　    【プロデュース】  高石明彦　    【監督】  日比野朗　    【音楽】  横山克　    【制作】  フジテレビ　    【制作著作】  The　icon</t>
  </si>
  <si>
    <t xml:space="preserve">　留置場に入れられた美山悠一(AKIRA)は、面会しに来た妻・なつみ(仲間由紀恵)から離婚届を差し出される。そしてなつみは「信じてくれてありがとう」という言葉を残して去っていった。悠一の胸には怒り、哀しみ、絶望といった感情が一気にこみあげ、あまりのショックに愕然としてしまう。  　また留置場で謎の男(武田真治)から声を掛けられる。父親の死について、また悠一の置かれている状況について、何かを知っている様子の男。  　父親が亡くなった時のアリバイが証明され、釈放された悠一を待っていた大洋国際特許事務所の小林恭助(高嶋政伸)は1枚の写真を手渡す。そこには父親の小野寺(長谷川初範)となつみが一緒に写っていた。ますますなつみに対する疑念が膨らみ、混乱する悠一。  　監禁された恐怖のストレスで入院中の宮原杏奈(野波麻帆)を見舞いに、悠一が病院を訪れると、同じ部署の後輩の早川由加利(篠原真衣)がそばについていた。「私は大丈夫」と無理に笑顔を作る杏奈に、悠一は「もう関わらない方がいい」と告げる。  　一方、小林と部下の荒井和人(池内博之)、中川薫(内山理名)は総和物産と同じ方法で繊維プロジェクトの実験を始めたミレ・パシフィックについて調査していた。悠一もヘッドハンティングを受けていた穂積宗広(小澤征悦)に直接会いに行き、グラフェンデータの流失について問いただすが…。</t>
  </si>
  <si>
    <t>番組名&lt;土ドラ&gt;ハニー・トラップ【衝撃の逆襲サスペンス】　#05</t>
  </si>
  <si>
    <t>AKIRAほか豪華キャストや、手に汗握るストーリーの紹介はオフィシャルサイト(http://www.fujitv.co.jp/honey-trap/index.html)へ!　美山悠一(AKIRA)はミレ・パシフィックの穂積宗広(小澤征悦)の部下・山中塔子(音月桂)に呼び出され、レストランに向かう。そこに現れたのは穂積となつみ(仲間由紀恵)であった。父親の小野寺(長谷川初範)から譲り受けたグラフェン技術レポートへのアクセスキーである“トークン"を悠一の目の前で踏みつぶし、冷たい態度でその場を去るなつみ。  　悠一は、大洋国際特許事務所へ向かい、所長の小林恭助(高嶋政伸)らに潰れたトークンを見せ、亡き父の夢だったグラフェンの大量形成をなんとしてでも実現しなければならない、と訴える。その後、小野寺の研究室があった大学のデータサーバー管理者・田崎(津村知与支)に直接会いに行き、グラフェンデータを引き渡してもらえるよう掛け合うが拒否される。落ち込む悠一に、総和物産がグラフェン開発から手を引くという連絡が入る。執行役員の折田忠(神尾佑)に事業再開を訴える悠一だったが、「無駄な投資はできない」と言われてしまう。急に事業中止を決めた判断には悠一の同期・宮原杏奈(野波麻帆)も疑問を持っており、部下の早川由加利(篠原真衣)とともに真相を突き止めようとする。  　悠一は再び田崎に会い、何としてもグラフェンの研究に賭けてきた小野寺の思いを実現したい、とその決意をぶつけ、データの引き渡しを頼みこむが・・・。美山悠一:　AKIRA　    穂積宗広:　小澤征悦　  中川薫:　内山理名　  日下部秀平:　丸山智己　  山中塔子:　音月桂　  早川由加利:　篠原真衣  　　・　　  宮原杏奈:　野波麻帆　  安藤眞一:　森岡豊　  荒井和人:　池内博之  　　・　　  小林恭助:　高嶋政伸(特別出演)　    遠藤なつみ:　仲間由紀恵　    〈5話〉　  田崎:　津村知与支【シリーズ構成】  渡辺雄介　    【脚本】  山岡潤平　    【編成企画】  太田大　    【プロデュース】  高石明彦　    【監督】  日比野朗　    【音楽】  横山克　    【制作】  フジテレビ　    【制作著作】  The　icon</t>
  </si>
  <si>
    <t>美山悠一(AKIRA)はミレ・パシフィックの穂積宗広(小澤征悦)の部下・山中塔子(音月桂)に呼び出され、レストランに向かう。そこに現れたのは穂積となつみ(仲間由紀恵)であった。父親の小野寺(長谷川初範)から譲り受けたグラフェン技術レポートへのアクセスキーである“トークン"を悠一の目の前で踏みつぶし、冷たい態度でその場を去るなつみ。  　悠一は、大洋国際特許事務所へ向かい、所長の小林恭助(高嶋政伸)らに潰れたトークンを見せ、亡き父の夢だったグラフェンの大量形成をなんとしてでも実現しなければならない、と訴える。その後、小野寺の研究室があった大学のデータサーバー管理者・田崎(津村知与支)に直接会いに行き、グラフェンデータを引き渡してもらえるよう掛け合うが拒否される。落ち込む悠一に、総和物産がグラフェン開発から手を引くという連絡が入る。執行役員の折田忠(神尾佑)に事業再開を訴える悠一だったが、「無駄な投資はできない」と言われてしまう。急に事業中止を決めた判断には悠一の同期・宮原杏奈(野波麻帆)も疑問を持っており、部下の早川由加利(篠原真衣)とともに真相を突き止めようとする。  　悠一は再び田崎に会い、何としてもグラフェンの研究に賭けてきた小野寺の思いを実現したい、とその決意をぶつけ、データの引き渡しを頼みこむが・・・。</t>
  </si>
  <si>
    <t>番組名&lt;土ドラ&gt;ハニー・トラップ【衝撃の逆襲サスペンス】　#06</t>
  </si>
  <si>
    <t>AKIRAほか豪華キャストや、手に汗握るストーリーの紹介はオフィシャルサイト(http://www.fujitv.co.jp/honey-trap/index.html)へ!　美山悠一(AKIRA)は亡くなった父・小野寺正隆(長谷川初範)が勤めていた大学のサーバー管理者からグラフェンデータを引き渡してもらい、総和物産の先端材料事業部員たちに指示を出してグラフェン事業の特許出願を急ぐ。そんななか、会社に隠し口座を作りミレ・パシフィックから1000万円を受け取っていた事実から、悠一を陥れた張本人と思われた執行役員の折田忠(神尾佑)が自殺したという知らせが入る。突然のことに驚く悠一だが、部長の安藤眞一(森岡豊)や同期の宮原杏奈(野波麻帆)の協力もあり、絶対にグラフェン事業を成功させようと思いを新たに持つ。  　一方、大洋国際特許事務所には穂積宗広(小澤征悦)が現れ、中川薫(内山理名)がミレ・パシフィックに潜入している映像を証拠に、総和物産からグラフェンデータを奪い渡すように、小林恭助(高嶋政伸)に迫っていた。荒井和人(池内博之)が自分に近づいた目的を見透かしていた穂積。  　悠一は安藤と共にグラフェン研究への協力に手を挙げてくれた医療メーカー担当者と打ち合わせをしていたとき、突然何者かに襲われ連れ去られる。目が覚めた悠一は意外な人物と顔を合わせる。そしてその人物からなつみ(仲間由紀恵)の驚くべき事実を聞いて・・・。美山悠一:　AKIRA　    穂積宗広:　小澤征悦　  中川薫:　内山理名　  日下部秀平:　丸山智己　  山中塔子:　音月桂　  早川由加利:　篠原真衣  　　・　　  天音:　武田真治　    永田:　高杉亘　  西原康信:　田中隆三　  掛川学:　飯田基祐　    宮原杏奈:　野波麻帆　  安藤眞一:　森岡豊　  荒井和人:　池内博之　  　　・　　  小林恭助:　高嶋政伸(特別出演)　    遠藤なつみ:　仲間由紀恵【シリーズ構成】  渡辺雄介　    【脚本】  山岡潤平　    【編成企画】  太田大　    【プロデュース】  高石明彦　    【監督】  七高剛　    【音楽】  横山克　    【制作】  フジテレビ　    【制作著作】  The　icon</t>
  </si>
  <si>
    <t>美山悠一(AKIRA)は亡くなった父・小野寺正隆(長谷川初範)が勤めていた大学のサーバー管理者からグラフェンデータを引き渡してもらい、総和物産の先端材料事業部員たちに指示を出してグラフェン事業の特許出願を急ぐ。そんななか、会社に隠し口座を作りミレ・パシフィックから1000万円を受け取っていた事実から、悠一を陥れた張本人と思われた執行役員の折田忠(神尾佑)が自殺したという知らせが入る。突然のことに驚く悠一だが、部長の安藤眞一(森岡豊)や同期の宮原杏奈(野波麻帆)の協力もあり、絶対にグラフェン事業を成功させようと思いを新たに持つ。  　一方、大洋国際特許事務所には穂積宗広(小澤征悦)が現れ、中川薫(内山理名)がミレ・パシフィックに潜入している映像を証拠に、総和物産からグラフェンデータを奪い渡すように、小林恭助(高嶋政伸)に迫っていた。荒井和人(池内博之)が自分に近づいた目的を見透かしていた穂積。  　悠一は安藤と共にグラフェン研究への協力に手を挙げてくれた医療メーカー担当者と打ち合わせをしていたとき、突然何者かに襲われ連れ去られる。目が覚めた悠一は意外な人物と顔を合わせる。そしてその人物からなつみ(仲間由紀恵)の驚くべき事実を聞いて・・・。</t>
  </si>
  <si>
    <t>番組名&lt;土ドラ&gt;ハニー・トラップ【衝撃の逆襲サスペンス】　#07</t>
  </si>
  <si>
    <t>AKIRAほか豪華キャストや、手に汗握るストーリーの紹介はオフィシャルサイト(http://www.fujitv.co.jp/honey-trap/index.html)へ!　美山悠一(AKIRA)は拷問場所から逃げ出した森の中でなつみ(仲間由紀恵)と向き合うが、途中で意識を失ってしまう。病院で目を覚ました悠一は刑事の永田(高杉亘)から、なつみと思われる女性が崖から転落し、遺体を捜索中だと知らされる。さらに、なつみこそが、グラフェンを奪うために小野寺正隆(長谷川初範)を殺害し、悠一や杏奈(野波麻帆)を監禁し、専務の折田忠(神尾佑)を自殺に追い込んだ張本人だろうという話を聞かされる。呆然とする悠一だが、今までのなつみの言動を思い出し、「なつみじゃない!」という思いを強く持つ。警察に届いたなつみの犯行を示す告発文を見せられた悠一は、今までの経緯に関係しているミレ・パシフィックの穂積宗広(小澤征悦)を調べてもらうよう頼みこむ。  　一方、大洋国際特許事務所では中川薫(内山理名)が韓国の企業に機密情報を漏らした疑いで逮捕され、小林恭助(高嶋政伸)、荒井和人(池内博之)も警察によって調べられていた。告発文から荒井の指紋が検出されたことを永田から聞かされ、荒井は最近まで親しい関係性にあった穂積に仕組まれたものだと主張する。  　悠一は穂積を探して秘書の山中塔子(音月桂)に会うが、居場所は知らないと突き放される。大切な人を奪われ、何としてでも真実を知りたいという悠一の必死の訴えに足を止めた塔子は、穂積がいつもどんなやり方をする男なのか一言残してその場を立ち去る…。美山悠一:　AKIRA　    穂積宗広:　小澤征悦　  中川薫:　内山理名　  日下部秀平:　丸山智己　  山中塔子:　音月桂　  早川由加利:　篠原真衣  　　・　　  天音:　武田真治　    永田:　高杉亘　  西原康信:　田中隆三　  掛川学:　飯田基祐　    宮原杏奈:　野波麻帆　  安藤眞一:　森岡豊　  荒井和人:　池内博之　  　　・　　  小林恭助:　高嶋政伸(特別出演)　    遠藤なつみ:　仲間由紀恵【シリーズ構成】  渡辺雄介　    【脚本】  山岡潤平　    【編成企画】  太田大　    【プロデュース】  高石明彦　    【監督】  宮脇亮　    【音楽】  横山克　    【制作】  フジテレビ　    【制作著作】  The　icon</t>
  </si>
  <si>
    <t>美山悠一(AKIRA)は拷問場所から逃げ出した森の中でなつみ(仲間由紀恵)と向き合うが、途中で意識を失ってしまう。病院で目を覚ました悠一は刑事の永田(高杉亘)から、なつみと思われる女性が崖から転落し、遺体を捜索中だと知らされる。さらに、なつみこそが、グラフェンを奪うために小野寺正隆(長谷川初範)を殺害し、悠一や杏奈(野波麻帆)を監禁し、専務の折田忠(神尾佑)を自殺に追い込んだ張本人だろうという話を聞かされる。呆然とする悠一だが、今までのなつみの言動を思い出し、「なつみじゃない!」という思いを強く持つ。警察に届いたなつみの犯行を示す告発文を見せられた悠一は、今までの経緯に関係しているミレ・パシフィックの穂積宗広(小澤征悦)を調べてもらうよう頼みこむ。  　一方、大洋国際特許事務所では中川薫(内山理名)が韓国の企業に機密情報を漏らした疑いで逮捕され、小林恭助(高嶋政伸)、荒井和人(池内博之)も警察によって調べられていた。告発文から荒井の指紋が検出されたことを永田から聞かされ、荒井は最近まで親しい関係性にあった穂積に仕組まれたものだと主張する。  　悠一は穂積を探して秘書の山中塔子(音月桂)に会うが、居場所は知らないと突き放される。大切な人を奪われ、何としてでも真実を知りたいという悠一の必死の訴えに足を止めた塔子は、穂積がいつもどんなやり方をする男なのか一言残してその場を立ち去る…。</t>
  </si>
  <si>
    <t>番組名&lt;土ドラ&gt;ハニー・トラップ【衝撃の逆襲サスペンス】　#08</t>
  </si>
  <si>
    <t>AKIRAほか豪華キャストや、手に汗握るストーリーの紹介はオフィシャルサイト(http://www.fujitv.co.jp/honey-trap/index.html)へ!　美山悠一(AKIRA)は、穂積宗広(小澤征悦)の指示で日下部秀平(丸山智己)に監禁されていたなつみ(仲間由紀恵)が無事に救助されたところに駆けつけ、なつみをしっかりと抱きしめた。穂積はいら立ちを隠せないままグラフェンのデータが入ったUSBを天音(武田真治)に手渡した。なつみは、これまでのすべては天音がやったことで、ジミーウォンという中国の会社がグラフェンを軍事利用しようとしていると悠一に話す。自分の想像を超える次元の問題だということを知らされ、途方に暮れる悠一。  　なつみが次原明日香という名前で悠一の父・小野寺教授(長谷川初範)の研究室がある大学にいたこと、そして悠一が勤める総和物産のライバル社、ミレ・パシフィックの子会社のナルミテックにも在籍し、その後、総和物産の経理部で遠藤なつみとして働き、なぜ悠一に近づいたのか?さらに、拉致されたというなつみの母のこと、なつみが天音の言いなりにならざるを得ない理由とは…、など、これまでのすべてをなつみは悠一に打ち明ける。なつみの本当の思いを知った悠一は、お母さんを救いに行こう、と決意するが…。  　その頃、大洋国際特許事務所の小林恭助(高嶋政伸)は、今回の情報漏洩沙汰で経済産業省から謹慎を言い渡されるが、自らのなかにある正義を捨てられず、ジミーウォンに対抗する手を考えていた。まだ自分の大切な家族に危険が近づいているとは知らずに…。美山悠一:　AKIRA　    穂積宗広:　小澤征悦　  中川薫:　内山理名　  日下部秀平:　丸山智己　  山中塔子:　音月桂　  早川由加利:　篠原真衣  　　・　　  天音:　武田真治　    永田:　高杉亘　  西原康信:　田中隆三　  掛川学:　飯田基祐　    宮原杏奈:　野波麻帆　  安藤眞一:　森岡豊　  荒井和人:　池内博之　  　　・　　  小林恭助:　高嶋政伸(特別出演)　    遠藤なつみ:　仲間由紀恵【シリーズ構成】  渡辺雄介　    【脚本】  山岡潤平　    【編成企画】  太田大　    【プロデュース】  高石明彦　    【監督】  水村秀雄　    【音楽】  横山克　    【制作】  フジテレビ　    【制作著作】  The　icon</t>
  </si>
  <si>
    <t>美山悠一(AKIRA)は、穂積宗広(小澤征悦)の指示で日下部秀平(丸山智己)に監禁されていたなつみ(仲間由紀恵)が無事に救助されたところに駆けつけ、なつみをしっかりと抱きしめた。穂積はいら立ちを隠せないままグラフェンのデータが入ったUSBを天音(武田真治)に手渡した。なつみは、これまでのすべては天音がやったことで、ジミーウォンという中国の会社がグラフェンを軍事利用しようとしていると悠一に話す。自分の想像を超える次元の問題だということを知らされ、途方に暮れる悠一。  　なつみが次原明日香という名前で悠一の父・小野寺教授(長谷川初範)の研究室がある大学にいたこと、そして悠一が勤める総和物産のライバル社、ミレ・パシフィックの子会社のナルミテックにも在籍し、その後、総和物産の経理部で遠藤なつみとして働き、なぜ悠一に近づいたのか?さらに、拉致されたというなつみの母のこと、なつみが天音の言いなりにならざるを得ない理由とは…、など、これまでのすべてをなつみは悠一に打ち明ける。なつみの本当の思いを知った悠一は、お母さんを救いに行こう、と決意するが…。  　その頃、大洋国際特許事務所の小林恭助(高嶋政伸)は、今回の情報漏洩沙汰で経済産業省から謹慎を言い渡されるが、自らのなかにある正義を捨てられず、ジミーウォンに対抗する手を考えていた。まだ自分の大切な家族に危険が近づいているとは知らずに…。</t>
  </si>
  <si>
    <t>番組名&lt;土ドラ&gt;ハニー・トラップ【衝撃の逆襲サスペンス】　#09</t>
  </si>
  <si>
    <t>AKIRAほか豪華キャストや、手に汗握るストーリーの紹介はオフィシャルサイト(http://www.fujitv.co.jp/honey-trap/index.html)へ!　美山悠一(AKIRA)は、中国企業・ジミーウォンの組織に拉致されたなつみ(仲間由紀恵)の母親・志倉寿美代(芝村洋子)を探してなつみとともに実家へ行き、近くの病院にいるかもしれないというところまで突き止めた。その頃、大洋国際特許事務所の小林恭助(高嶋政伸)は、天音(武田真治)から、小林の家族の安全と引き替えに手を組むよう強要されていた。  　悠一は母親のことを警察に話そう、となつみに提案する。「騒ぎになったら相手は何をするかわからない」と不安がるなつみだが、悠一は刑事の永田(高杉亘)に協力を依頼し、病院へ救出に向かってもらう。  　一方、小林は総和物産で取締役会の面々を前にしていた。小林はそこでジミーウォンがグラフェンの大量形成技術を手に入れた今、特許をジミーウォンに譲渡し、その代わりにグラフェン製品流通の仲買に総和物産を指名することを約束させる、と提案する。しかしそれは、天音の手によって自分の家族に危険が近づいている小林の苦渋の選択だった。  　悠一の上司の安藤眞一(森岡豊)から、総和物産がジミーウォンに特許を譲渡しようとしているという状況を知らされた悠一に、なつみは、ジミーウォンを食い止める方法が一つだけある、と言い・・・。美山悠一:　AKIRA　    穂積宗広:　小澤征悦　  中川薫:　内山理名　  日下部秀平:　丸山智己　  山中塔子:　音月桂　  早川由加利:　篠原真衣  　　・　　  天音:　武田真治　    永田:　高杉亘　  西原康信:　田中隆三　  掛川学:　飯田基祐　    宮原杏奈:　野波麻帆　  安藤眞一:　森岡豊　  荒井和人:　池内博之　  　　・　　  小林恭助:　高嶋政伸(特別出演)　    遠藤なつみ:　仲間由紀恵【シリーズ構成】  渡辺雄介　    【脚本】  山岡潤平　    【編成企画】  太田大　    【プロデュース】  高石明彦　    【監督】  七高剛　    【音楽】  横山克　    【制作】  フジテレビ　    【制作著作】  The　icon</t>
  </si>
  <si>
    <t>美山悠一(AKIRA)は、中国企業・ジミーウォンの組織に拉致されたなつみ(仲間由紀恵)の母親・志倉寿美代(芝村洋子)を探してなつみとともに実家へ行き、近くの病院にいるかもしれないというところまで突き止めた。その頃、大洋国際特許事務所の小林恭助(高嶋政伸)は、天音(武田真治)から、小林の家族の安全と引き替えに手を組むよう強要されていた。  　悠一は母親のことを警察に話そう、となつみに提案する。「騒ぎになったら相手は何をするかわからない」と不安がるなつみだが、悠一は刑事の永田(高杉亘)に協力を依頼し、病院へ救出に向かってもらう。  　一方、小林は総和物産で取締役会の面々を前にしていた。小林はそこでジミーウォンがグラフェンの大量形成技術を手に入れた今、特許をジミーウォンに譲渡し、その代わりにグラフェン製品流通の仲買に総和物産を指名することを約束させる、と提案する。しかしそれは、天音の手によって自分の家族に危険が近づいている小林の苦渋の選択だった。  　悠一の上司の安藤眞一(森岡豊)から、総和物産がジミーウォンに特許を譲渡しようとしているという状況を知らされた悠一に、なつみは、ジミーウォンを食い止める方法が一つだけある、と言い・・・。</t>
  </si>
  <si>
    <t>番組名&lt;土ドラ&gt;ハニー・トラップ【衝撃の逆襲サスペンス】　#10</t>
  </si>
  <si>
    <t>「ソチ五輪日本代表最終選考会　全日本フィギュアスケート男子ショート」延長の際、放送時間繰り下げの場合あり。　悠一(AKIRA)は、グラフェンを軍事利用しようとしているジミーウォンを食い止めるために、中国の新興繊維メーカーのファグワンコープと手を組むため、テレビ電話で交渉する。その矢先、ファグワンコープの株価が大暴落する。愕然とする悠一と、上海にいるなつみ(仲間由紀恵)の携帯に、なつみの母親・寿美代(芝村洋子)の衝撃的な動画が送りつけられてきた。　大洋国際特許事務所の荒井和人(池内博之)、中川薫(内山理名)と、永田刑事(高杉亘)は、寿美代の監禁場所の割り出しを急ぐ。  　いよいよファグワンコープのシュー代表が総和物産との契約の話をするため、来日することとなった。ジミーウォンの妨害から逃れるため、悠一は安藤眞一(森岡豊)や、宮原杏奈(野波麻帆)、早川由加利(篠原真衣)らと、ある作戦を考えるが・・・。　悠一はグラフェンの情報を死守し、ファグワンコープとの契約成立までこぎつけることができるのか?そして、悠一となつみの運命は・・・?美山悠一:　AKIRA　    穂積宗広:　小澤征悦　  中川薫:　内山理名　  日下部秀平:　丸山智己　  山中塔子:　音月桂　  早川由加利:　篠原真衣  　　・　　  天音:　武田真治　    永田:　高杉亘　  西原康信:　田中隆三　  掛川学:　飯田基祐　    宮原杏奈:　野波麻帆　  安藤眞一:　森岡豊　  荒井和人:　池内博之　  　　・　　  小林恭助:　高嶋政伸(特別出演)　    遠藤なつみ:　仲間由紀恵【シリーズ構成】  渡辺雄介　    【脚本】  山岡潤平　    【編成企画】  太田大　    【プロデュース】  高石明彦　    【監督】  七高剛　    【音楽】  横山克　    【制作】  フジテレビ　    【制作著作】  The　iconAKIRAほか豪華キャストや、手に汗握るストーリーの紹介はオフィシャルサイト(http://www.fujitv.co.jp/honey-trap/index.html)へ!</t>
  </si>
  <si>
    <t>悠一(AKIRA)は、グラフェンを軍事利用しようとしているジミーウォンを食い止めるために、中国の新興繊維メーカーのファグワンコープと手を組むため、テレビ電話で交渉する。その矢先、ファグワンコープの株価が大暴落する。愕然とする悠一と、上海にいるなつみ(仲間由紀恵)の携帯に、なつみの母親・寿美代(芝村洋子)の衝撃的な動画が送りつけられてきた。　大洋国際特許事務所の荒井和人(池内博之)、中川薫(内山理名)と、永田刑事(高杉亘)は、寿美代の監禁場所の割り出しを急ぐ。  　いよいよファグワンコープのシュー代表が総和物産との契約の話をするため、来日することとなった。ジミーウォンの妨害から逃れるため、悠一は安藤眞一(森岡豊)や、宮原杏奈(野波麻帆)、早川由加利(篠原真衣)らと、ある作戦を考えるが・・・。　悠一はグラフェンの情報を死守し、ファグワンコープとの契約成立までこぎつけることができるのか?そして、悠一となつみの運命は・・・?</t>
  </si>
  <si>
    <t>1307_CX_火21</t>
  </si>
  <si>
    <t>救命病棟24時</t>
  </si>
  <si>
    <t>番組名救命病棟24時　#01</t>
  </si>
  <si>
    <t>松嶋菜々子　  佐々木蔵之介　  風間俊介　  芦名星　  波瑠　  柏原収史　  児嶋一哉　  岡本玲　  山田真歩　  夙川アトム  　○　  伊藤裕子　  手塚とおる  　○　  安寿ミラ　  段田安則　  時任三郎　    ほか　国立湊大学附属病院救命救急センターの医局長としてチームを率いることになった小島楓(松嶋菜々子)は、国立大学病院という「救命の最後の壁」を舞台に、最新の設備と最高の医療スタッフとともに、日夜鳴り続けるコールに応え、1人でも多くの命を救うため働き続ける。しかし、急ごしらえの雇い兵部隊である湊大救命センターの医局員たちは、救命医の本庄雅晴(佐々木蔵之介)を筆頭に、それぞれ腕は立つがくせ者ぞろい。楓は淡々と正確に仕事をこなすが、どこか他人を寄せつけない雰囲気があるため、医局員たちとの関係はぎこちない。楓自身も、救命医としての実力は誰よりも勝っているがゆえに、チームを率いることに自信を持てないでおり、院長の最上透(段田安則)が楓を医局長に据えた理由も不明だった。  　そんな中、臓器移植法改正後一例の臓器提供例も出ていない救命センターに業を煮やした病院幹部らは、トップクラスの救命率と脳死臓器提供数を両立させ、「看取りの医療」と呼ばれる試みを行ってきた異色の救命医・夏目衛(時任三郎)を迎えることを決定する。  　日々の業務に追われそれどころではない楓だったが、夏目の初赴任日を前に、東京で史上最悪の大事件が勃発し…。【脚本】  飯野陽子　    【プロデュース】  渡辺恒也　  大木綾子　    【演出】  田島大輔　    【音楽】  佐藤直紀    【主題歌】  DREAMS　COME　TRUE「さぁ鐘を鳴らせ」(ユニバーサルミュージック)　    【制作】  フジテレビドラマ制作部番組公式ホームページ　  http://www.fujitv.co.jp/kyumei24/</t>
  </si>
  <si>
    <t>国立湊大学附属病院救命救急センターの医局長としてチームを率いることになった小島楓(松嶋菜々子)は、国立大学病院という「救命の最後の壁」を舞台に、最新の設備と最高の医療スタッフとともに、日夜鳴り続けるコールに応え、1人でも多くの命を救うため働き続ける。しかし、急ごしらえの雇い兵部隊である湊大救命センターの医局員たちは、救命医の本庄雅晴(佐々木蔵之介)を筆頭に、それぞれ腕は立つがくせ者ぞろい。楓は淡々と正確に仕事をこなすが、どこか他人を寄せつけない雰囲気があるため、医局員たちとの関係はぎこちない。楓自身も、救命医としての実力は誰よりも勝っているがゆえに、チームを率いることに自信を持てないでおり、院長の最上透(段田安則)が楓を医局長に据えた理由も不明だった。  　そんな中、臓器移植法改正後一例の臓器提供例も出ていない救命センターに業を煮やした病院幹部らは、トップクラスの救命率と脳死臓器提供数を両立させ、「看取りの医療」と呼ばれる試みを行ってきた異色の救命医・夏目衛(時任三郎)を迎えることを決定する。  　日々の業務に追われそれどころではない楓だったが、夏目の初赴任日を前に、東京で史上最悪の大事件が勃発し…。</t>
  </si>
  <si>
    <t>番組名救命病棟24時　#02</t>
  </si>
  <si>
    <t>番組公式ホームページ　  http://www.fujitv.co.jp/kyumei24/　同時多発的に発生した事件に巻き込まれた多くの被害者が搬送されたため、小島楓(松嶋菜々子)は夜間の当直にもつかざるを得なくなる。しかも、昨日は警察官に伴われたいわくありげな薬物中毒患者、坂本篤(玉置玲央)も運び込まれていた。  　当直明けの楓が、ICUの個室に入った篤の様子を見に行くと、夏目衛(時任三郎)に話しかけられる。すると夏目は、篤が自分を刺した犯人だとそっと楓に教えた。2人の会話を広瀬斎(風間俊介)が聞いてしまう。  　そんな中行われたカンファレンスでは広瀬が入院患者や新たに搬送された患者の病状や容態を説明するが、篤について漏らす事はなかった。しかし、本庄雅晴(佐々木蔵之介)は警察に付き添われて来た篤について正確な情報が欲しいと憤っていた。また、本庄は昨日、楓が麻酔医の安藤直利(児嶋一哉)を帰してしまったことへの不満もぶつける。持論をぶつけ合う医局員たちを鎮めたのは夏目だった。冷静に楓の正当性を説く夏目に、本庄も口をつぐんでしまう。そのカンファレンスに、珍しく奈良さやか(芦名星)が遅刻してきていた。  　事故で緊急搬送され、帝王切開で出産した井口美穂(大谷みつほ)の夫、友明(小林高鹿)への連絡が入院から丸一日でようやく取れた。しかし、本庄は無事に子供を授かったのに井口夫婦の仲が上手くいっていないことに気づく。そして、ついに本庄は仕事だけにかまけている友明にキレてしまった。松嶋菜々子　  佐々木蔵之介　  風間俊介　  芦名星　  波瑠　  柏原収史　  児嶋一哉　  岡本玲　  山田真歩　  夙川アトム  　○　  伊藤裕子　  手塚とおる  　○　  安寿ミラ　  段田安則　  時任三郎　    ほか【脚本】  飯野陽子　    【プロデュース】  渡辺恒也　  大木綾子　    【演出】  田島大輔　    【音楽】  佐藤直紀　    【主題歌】  DREAMS　COME　TRUE「さぁ鐘を鳴らせ」(ユニバーサルミュージック)    【制作】  フジテレビドラマ制作部</t>
  </si>
  <si>
    <t>同時多発的に発生した事件に巻き込まれた多くの被害者が搬送されたため、小島楓(松嶋菜々子)は夜間の当直にもつかざるを得なくなる。しかも、昨日は警察官に伴われたいわくありげな薬物中毒患者、坂本篤(玉置玲央)も運び込まれていた。  　当直明けの楓が、ICUの個室に入った篤の様子を見に行くと、夏目衛(時任三郎)に話しかけられる。すると夏目は、篤が自分を刺した犯人だとそっと楓に教えた。2人の会話を広瀬斎(風間俊介)が聞いてしまう。  　そんな中行われたカンファレンスでは広瀬が入院患者や新たに搬送された患者の病状や容態を説明するが、篤について漏らす事はなかった。しかし、本庄雅晴(佐々木蔵之介)は警察に付き添われて来た篤について正確な情報が欲しいと憤っていた。また、本庄は昨日、楓が麻酔医の安藤直利(児嶋一哉)を帰してしまったことへの不満もぶつける。持論をぶつけ合う医局員たちを鎮めたのは夏目だった。冷静に楓の正当性を説く夏目に、本庄も口をつぐんでしまう。そのカンファレンスに、珍しく奈良さやか(芦名星)が遅刻してきていた。  　事故で緊急搬送され、帝王切開で出産した井口美穂(大谷みつほ)の夫、友明(小林高鹿)への連絡が入院から丸一日でようやく取れた。しかし、本庄は無事に子供を授かったのに井口夫婦の仲が上手くいっていないことに気づく。そして、ついに本庄は仕事だけにかまけている友明にキレてしまった。</t>
  </si>
  <si>
    <t>番組名救命病棟24時　#03</t>
  </si>
  <si>
    <t>番組公式ホームページ　  http://www.fujitv.co.jp/kyumei24/　小島楓(松嶋菜々子)は、かつて一緒に働いた看護師の高橋〈旧姓・伊坂〉千秋(田村たがめ)と再会。結婚して子供も授かった千秋に医局長としての仕事を応援されて、楓の心は和む。だが、救命センターのメンバーは、まだまだまとまるどころではなかった。  　そんな時、最上透院長(段田安則)の思惑で、後期研修医の広瀬斎(風間俊介)と奈良さやか(芦名星)の指導医が変更される。広瀬は本庄雅晴(佐々木蔵之介)から夏目衛(時任三郎)に、さやかは片岡仁志(柏原収史)から楓となった。研修医たちは少なからず動揺。さやかは楓に憧れているのだが仕事を任せてくれないことに不満を持ち、広瀬は他の医局員同様、夏目という人物そのものがわからなかった。  　そんな中、広瀬は夏目と桑田章市(花王おさむ)という患者を、さやかは楓と認知症を患う小野寺節子(茅島成美)を診る事になる。ともに高齢の患者だ。夏目は章市に退院後の歩行が困難になると告知。すると、章市は家族には連絡しないで欲しいと頼む。夏目は広瀬にもはや感覚のない章市の足に毎日ホットタオルをあてるよう指示する。疑問を持つ広瀬だが、素直に従った。一方、さやかは節子の症状を楓より早く察知したことに自信を持ち、積極的に患者にアプローチしようと決心。そして、自分たちを信用していないと楓に突きつけた。そんなさやかの慢心が、節子を危険な状態に陥れてしまう。松嶋菜々子　  佐々木蔵之介　  風間俊介　  芦名星　  波瑠　  柏原収史　  児嶋一哉　  岡本玲　  山田真歩　  夙川アトム  　○　  伊藤裕子　  手塚とおる  　○　  安寿ミラ　  段田安則　  時任三郎　    ほか【脚本】  飯野陽子　    【プロデュース】  渡辺恒也　  大木綾子　    【演出】  水田成英　    【音楽】  佐藤直紀　    【主題歌】  DREAMS　COME　TRUE「さぁ鐘を鳴らせ」(ユニバーサルミュージック)　    【制作】  フジテレビドラマ制作部</t>
  </si>
  <si>
    <t>小島楓(松嶋菜々子)は、かつて一緒に働いた看護師の高橋〈旧姓・伊坂〉千秋(田村たがめ)と再会。結婚して子供も授かった千秋に医局長としての仕事を応援されて、楓の心は和む。だが、救命センターのメンバーは、まだまだまとまるどころではなかった。  　そんな時、最上透院長(段田安則)の思惑で、後期研修医の広瀬斎(風間俊介)と奈良さやか(芦名星)の指導医が変更される。広瀬は本庄雅晴(佐々木蔵之介)から夏目衛(時任三郎)に、さやかは片岡仁志(柏原収史)から楓となった。研修医たちは少なからず動揺。さやかは楓に憧れているのだが仕事を任せてくれないことに不満を持ち、広瀬は他の医局員同様、夏目という人物そのものがわからなかった。  　そんな中、広瀬は夏目と桑田章市(花王おさむ)という患者を、さやかは楓と認知症を患う小野寺節子(茅島成美)を診る事になる。ともに高齢の患者だ。夏目は章市に退院後の歩行が困難になると告知。すると、章市は家族には連絡しないで欲しいと頼む。夏目は広瀬にもはや感覚のない章市の足に毎日ホットタオルをあてるよう指示する。疑問を持つ広瀬だが、素直に従った。一方、さやかは節子の症状を楓より早く察知したことに自信を持ち、積極的に患者にアプローチしようと決心。そして、自分たちを信用していないと楓に突きつけた。そんなさやかの慢心が、節子を危険な状態に陥れてしまう。</t>
  </si>
  <si>
    <t>番組名救命病棟24時　#04</t>
  </si>
  <si>
    <t>松嶋菜々子　  佐々木蔵之介　  風間俊介　  芦名星　  波瑠　  柏原収史　  児嶋一哉　  岡本玲　  山田真歩　  夙川アトム  　○　  伊藤裕子　  手塚とおる  　○　  安寿ミラ　  段田安則　  時任三郎　    ほか　小島楓(松嶋菜々子)が杉吉康弘センター長(手塚とおる)に呼び出される。救急搬送された岩渕達也(森下亮)から、気管挿管時に歯を折られたとクレームをつけられたのだ。杉吉は病院に責任が及ばないよう、問題を上手くまとめるよう楓に指示。楓は詳しい話を聞こうと麻酔科医の安藤直利(児嶋一哉)を探すが、姿が見えない。結局、安藤の話が聞けなかった楓は、桜庭睦子看護師長(安寿ミラ)と一緒に岩渕と対面する。しかし、岩渕はすでに弁護士と相談しているらしく、自分の歯を折った麻酔科医としか話をしないと息巻いた。岩渕との話を終えると、睦子は楓にやはり安藤ときちんと話して欲しいと頼む。今回の件は別として、安藤の目つきや動きが怪しいと、患者たちからナースにクレームも入っていたのだ。その後も安藤は手術などの時にはいるのだが、楓が話をしようとすると、避けるようにどこかへ行ってしまう。そんな楓にナースの中澤千秋(山田真歩)が、安藤は誤解されやすいが悪いドクターではないと擁護。その言葉から楓はあることに気づいて、確かめる事に…。  　救命センターに、サンバカーニバルの衣装を身に着けたブラジル人たちが押し寄せる。カーニバルの練習中に仲間が倒れて搬送されたのだ。肝心の患者とは言葉が通じず、困惑するナースたち。だが、その様子を見ていた安藤が自ら患者に接近し、言葉の壁を克服して体の具合を伝えてもらうことに成功する。【脚本】  ひかわかよ　    【プロデュース】  渡辺恒也　  大木綾子　    【演出】  水田成英　    【音楽】  佐藤直紀　    【主題歌】  DREAMS　COME　TRUE「さぁ鐘を鳴らせ」(ユニバーサルミュージック)　    【制作】  フジテレビドラマ制作部番組公式ホームページ　  http://www.fujitv.co.jp/kyumei24/</t>
  </si>
  <si>
    <t>小島楓(松嶋菜々子)が杉吉康弘センター長(手塚とおる)に呼び出される。救急搬送された岩渕達也(森下亮)から、気管挿管時に歯を折られたとクレームをつけられたのだ。杉吉は病院に責任が及ばないよう、問題を上手くまとめるよう楓に指示。楓は詳しい話を聞こうと麻酔科医の安藤直利(児嶋一哉)を探すが、姿が見えない。結局、安藤の話が聞けなかった楓は、桜庭睦子看護師長(安寿ミラ)と一緒に岩渕と対面する。しかし、岩渕はすでに弁護士と相談しているらしく、自分の歯を折った麻酔科医としか話をしないと息巻いた。岩渕との話を終えると、睦子は楓にやはり安藤ときちんと話して欲しいと頼む。今回の件は別として、安藤の目つきや動きが怪しいと、患者たちからナースにクレームも入っていたのだ。その後も安藤は手術などの時にはいるのだが、楓が話をしようとすると、避けるようにどこかへ行ってしまう。そんな楓にナースの中澤千秋(山田真歩)が、安藤は誤解されやすいが悪いドクターではないと擁護。その言葉から楓はあることに気づいて、確かめる事に…。  　救命センターに、サンバカーニバルの衣装を身に着けたブラジル人たちが押し寄せる。カーニバルの練習中に仲間が倒れて搬送されたのだ。肝心の患者とは言葉が通じず、困惑するナースたち。だが、その様子を見ていた安藤が自ら患者に接近し、言葉の壁を克服して体の具合を伝えてもらうことに成功する。</t>
  </si>
  <si>
    <t>番組名救命病棟24時　#05</t>
  </si>
  <si>
    <t>番組公式ホームページ　  http://www.fujitv.co.jp/kyumei24/　小島楓(松嶋菜々子)、夏目衛(時任三郎)、本庄雅晴(佐々木蔵之介)らの処置で、劇症型心筋炎で運ばれた小学生の西園美羽(毛利恋子)は一命を取り留めた。本庄は著しく心機能が低下した美羽の経過を診るため、しばらくの入院が必要なことを母親の智子(建みさと)に告げる。広瀬斎(風間俊介)は、医局のファクスに届いた夏目に関する週刊誌の原稿の処分に悩んでいた。結局、楓に報告。記事に目を通した楓は、この件は自分が預かると告げる。広瀬も他言はしないと、楓に応じた。  　救命救急センターでは次々に運び込まれる東京ルール適用の患者が話題になっていた。東京ルールは、重篤な患者のたらい回しを防ぐために設けられたもの。しかし、5つ以上の病院で断られた患者は、地域の拠点病院が最終的な責任を取らなくてはならない。もちろん、重篤な患者に関しては否応無しだが、治療費を払えそうにない患者や救急車をタクシー代わりに使うようなモンスター患者までもが運ばれて来るのだ。  　そんな時、新たな東京ルール適用患者が運び込まれた。路上に倒れていた男で、意識レベルはさほど低くはないが混濁している。顔を見た広瀬は驚く。男は広瀬の医学部時代の先輩、添田誠(石垣佑磨)だった。添田が倒れたのは脱法ハーブ使用のため。広瀬によると添田は医学部を中退している。処置が終わり、ICUに入院することになる添田。すると広瀬の様子がどこかおかしくなって…。松嶋菜々子　  佐々木蔵之介　  風間俊介　  芦名星　  波瑠　  柏原収史　  児嶋一哉　  岡本玲　  山田真歩　  夙川アトム  　○　  伊藤裕子　  手塚とおる  　○　  安寿ミラ　  段田安則　  時任三郎　    ほか【脚本】  ひかわかよ　    【プロデュース】  渡辺恒也　  大木綾子　    【演出】  田島大輔　    【音楽】  佐藤直紀　    【主題歌】  DREAMS　COME　TRUE「さぁ鐘を鳴らせ」(ユニバーサルミュージック)　    【制作】  フジテレビドラマ制作部</t>
  </si>
  <si>
    <t>小島楓(松嶋菜々子)、夏目衛(時任三郎)、本庄雅晴(佐々木蔵之介)らの処置で、劇症型心筋炎で運ばれた小学生の西園美羽(毛利恋子)は一命を取り留めた。本庄は著しく心機能が低下した美羽の経過を診るため、しばらくの入院が必要なことを母親の智子(建みさと)に告げる。広瀬斎(風間俊介)は、医局のファクスに届いた夏目に関する週刊誌の原稿の処分に悩んでいた。結局、楓に報告。記事に目を通した楓は、この件は自分が預かると告げる。広瀬も他言はしないと、楓に応じた。  　救命救急センターでは次々に運び込まれる東京ルール適用の患者が話題になっていた。東京ルールは、重篤な患者のたらい回しを防ぐために設けられたもの。しかし、5つ以上の病院で断られた患者は、地域の拠点病院が最終的な責任を取らなくてはならない。もちろん、重篤な患者に関しては否応無しだが、治療費を払えそうにない患者や救急車をタクシー代わりに使うようなモンスター患者までもが運ばれて来るのだ。  　そんな時、新たな東京ルール適用患者が運び込まれた。路上に倒れていた男で、意識レベルはさほど低くはないが混濁している。顔を見た広瀬は驚く。男は広瀬の医学部時代の先輩、添田誠(石垣佑磨)だった。添田が倒れたのは脱法ハーブ使用のため。広瀬によると添田は医学部を中退している。処置が終わり、ICUに入院することになる添田。すると広瀬の様子がどこかおかしくなって…。</t>
  </si>
  <si>
    <t>番組名救命病棟24時　#06</t>
  </si>
  <si>
    <t>松嶋菜々子　  佐々木蔵之介　  風間俊介　  芦名星　  波瑠　  柏原収史　  児嶋一哉　  岡本玲　  山田真歩　  夙川アトム  　○　  伊藤裕子　  手塚とおる  　○　  安寿ミラ　  段田安則　  時任三郎　    ほか　救命救急センターのカンファレンスで、珍しく医局員に関する嬉しい報告がされていた。小島楓(松嶋菜々子)も喜んでいたのだが、そこに桜庭睦子看護師長(安寿ミラ)が報告に来る。昨夜、くも膜下出血で搬送され、脳外科に回され手術を受けた患者、桂木藍子(伊藤歩)が救命救急センターのICUに戻されると言うのだ。脳外科のICUが満床という理由なのだが、打診をしてきたのは救命センター長の杉吉康弘(手塚とおる)。本庄雅晴(佐々木蔵之介)たちは脳外科教授でもある杉吉の都合良い差配を訝しむが、楓は受け入れを許可する。藍子には父の達央(堀内正美)と母の三津子(川口圭子)が付き添っていた。一代で築いた運送会社の会長である達央は、個室が良いだのと藍子の処遇にいちいち口を出す。片岡仁志(柏原収史)は、達央の存在があるから脳外科が厄介払いをしたのだろうと推測するが、本庄はまだ何かあると考える。  　そんな時、楓の兄、立(山口馬木也)が夕(山崎光)を連れて訪ねてきた。どうやら夕が国友花音(波瑠)に会いたかったらしい。再会した夕に、花音は心疾患で入院中の美羽(毛利恋子)を紹介する。  　藍子が目を覚まし、左手の感覚がないことに気づく。やはり本庄が感じた“何か"があったようだ。同じ頃、美羽の容態が急変。処置にあたろうとする楓たちに、藍子の説明を求める達央が怒号とともに迫る。夏目衛(時任三郎)たちが達央を食い止めるが…。【脚本】  飯野陽子　    【プロデュース】  渡辺恒也　  大木綾子　    【演出】  高野舞　    【音楽】  佐藤直紀　    【主題歌】  DREAMS　COME　TRUE「さぁ鐘を鳴らせ」(ユニバーサルミュージック)　    【制作】  フジテレビドラマ制作部番組公式ホームページ　  http://www.fujitv.co.jp/kyumei24/</t>
  </si>
  <si>
    <t>救命救急センターのカンファレンスで、珍しく医局員に関する嬉しい報告がされていた。小島楓(松嶋菜々子)も喜んでいたのだが、そこに桜庭睦子看護師長(安寿ミラ)が報告に来る。昨夜、くも膜下出血で搬送され、脳外科に回され手術を受けた患者、桂木藍子(伊藤歩)が救命救急センターのICUに戻されると言うのだ。脳外科のICUが満床という理由なのだが、打診をしてきたのは救命センター長の杉吉康弘(手塚とおる)。本庄雅晴(佐々木蔵之介)たちは脳外科教授でもある杉吉の都合良い差配を訝しむが、楓は受け入れを許可する。藍子には父の達央(堀内正美)と母の三津子(川口圭子)が付き添っていた。一代で築いた運送会社の会長である達央は、個室が良いだのと藍子の処遇にいちいち口を出す。片岡仁志(柏原収史)は、達央の存在があるから脳外科が厄介払いをしたのだろうと推測するが、本庄はまだ何かあると考える。  　そんな時、楓の兄、立(山口馬木也)が夕(山崎光)を連れて訪ねてきた。どうやら夕が国友花音(波瑠)に会いたかったらしい。再会した夕に、花音は心疾患で入院中の美羽(毛利恋子)を紹介する。  　藍子が目を覚まし、左手の感覚がないことに気づく。やはり本庄が感じた“何か"があったようだ。同じ頃、美羽の容態が急変。処置にあたろうとする楓たちに、藍子の説明を求める達央が怒号とともに迫る。夏目衛(時任三郎)たちが達央を食い止めるが…。</t>
  </si>
  <si>
    <t>番組名救命病棟24時　#07</t>
  </si>
  <si>
    <t>番組公式ホームページ　  http://www.fujitv.co.jp/kyumei24/　小島楓(松嶋菜々子)の甥、夕(山崎光)が呼吸停止状態で搬送されてきた。夕は父親の立(山口馬木也)が目を離した隙に、川に転落。付き添ってきた立は、楓に夕を助けて欲しいと必死に頼む。夕は一命を取り留めたものの危険な状態。美木麻衣子(岡本玲)は、夕の持ち物の中に臓器提供意思表示カードを見つける。夕と交流を持つ国友花音(波瑠)はショックを隠すことが出来ず、現場を離れてしまった。広瀬斎(風間俊介)は、そんな花音にコーヒーを差し出して、戻ってきて欲しいと頼む。  　その頃、本庄雅晴(佐々木蔵之介)は心臓血管外科医から西園美羽(毛利恋子)の詳しい病状を聞いていた。美羽の心臓は回復の見込みがなく、移植適用となりそうだ。その時、本庄に微かな異変が起きる。  　最上透(段田安則)は桜庭睦子(安寿ミラ)から夕の報告を受ける。夕に同情する最上。しかし、いざと言う時に行うことになるかもしれない臓器提供の準備を始めることにした。  　夕の状態が変わらない中、いつもと変わらない様子で患者たちの治療を進める楓。そばで様子を見る麻衣子も楓の気持ちを計りかねる。  　楓に最上が話しかけた。楓が夕の呼吸状態の改善を伝えると、最上がその後の言葉を引き継ぐ。だが、脳死状態と答えることの出来ない楓に、最上は非情にも夕の家族に臓器提供の話を持ちかけるよう促す。悩む楓に、夏目衛(時任三郎)は辛いだろうが逃げないで欲しいと告げた。松嶋菜々子　  佐々木蔵之介　  風間俊介　  芦名星　  波瑠　  柏原収史　  児嶋一哉　  岡本玲　  山田真歩　  夙川アトム  　○　  伊藤裕子　  手塚とおる  　○　  安寿ミラ　  段田安則　  時任三郎　    ほか【脚本】  ひかわかよ　    【プロデュース】  渡辺恒也　  大木綾子　    【演出】  高野舞　    【音楽】  西浦正記　    【主題歌】  DREAMS　COME　TRUE「さぁ鐘を鳴らせ」(ユニバーサルミュージック)　    【制作】  フジテレビドラマ制作部</t>
  </si>
  <si>
    <t>小島楓(松嶋菜々子)の甥、夕(山崎光)が呼吸停止状態で搬送されてきた。夕は父親の立(山口馬木也)が目を離した隙に、川に転落。付き添ってきた立は、楓に夕を助けて欲しいと必死に頼む。夕は一命を取り留めたものの危険な状態。美木麻衣子(岡本玲)は、夕の持ち物の中に臓器提供意思表示カードを見つける。夕と交流を持つ国友花音(波瑠)はショックを隠すことが出来ず、現場を離れてしまった。広瀬斎(風間俊介)は、そんな花音にコーヒーを差し出して、戻ってきて欲しいと頼む。  　その頃、本庄雅晴(佐々木蔵之介)は心臓血管外科医から西園美羽(毛利恋子)の詳しい病状を聞いていた。美羽の心臓は回復の見込みがなく、移植適用となりそうだ。その時、本庄に微かな異変が起きる。  　最上透(段田安則)は桜庭睦子(安寿ミラ)から夕の報告を受ける。夕に同情する最上。しかし、いざと言う時に行うことになるかもしれない臓器提供の準備を始めることにした。  　夕の状態が変わらない中、いつもと変わらない様子で患者たちの治療を進める楓。そばで様子を見る麻衣子も楓の気持ちを計りかねる。  　楓に最上が話しかけた。楓が夕の呼吸状態の改善を伝えると、最上がその後の言葉を引き継ぐ。だが、脳死状態と答えることの出来ない楓に、最上は非情にも夕の家族に臓器提供の話を持ちかけるよう促す。悩む楓に、夏目衛(時任三郎)は辛いだろうが逃げないで欲しいと告げた。</t>
  </si>
  <si>
    <t>番組名救命病棟24時　#08</t>
  </si>
  <si>
    <t>番組公式ホームページ　  http://www.fujitv.co.jp/kyumei24/　小島楓(松嶋菜々子)の甥、夕(山崎光)の脳死下臓器提供が行われた。最上透(段田安則)は、経緯を記者会見で発表する。湊大附属病院から念願の臓器移植一例目が出たことをねぎらう桜庭睦子(安寿ミラ)だが、最上はその言葉にトゲがあることを聞き逃さない。それでも、最上は珍しく楓を気にかけている様子。楓は休みを取っていると答え、心配しているのではないか?と、睦子が尋ねる。しかし、最上は、ここで楓につぶれてもらっては困る、と平然と言い放った。  　救命救急センターの面々は、それぞれに楓を心配していた。そんな中、本庄雅晴(佐々木蔵之介)は西園美羽(毛利恋子)を見舞う。美羽は移植待機リストに登録することに決めたと本庄に話す。夕の姿から決心がついたようだった。そんな娘の様子に母の智子(建みさと)は本庄のおかげと感謝する。本庄は智子の感謝に素直に応じられない。  　医局でカンファレンスを始めようとすると、楓が来た。いつもと変わらない楓に、医局員たちはなんと声をかければ良いのかわからない。と、そこに杉吉康弘センター長(手塚とおる)が珍しく顔を出す。杉吉は前期研修医の猿田勇(渡部秀)を連れていて、救命センターで預かることになったと紹介。楓は片岡仁志(柏原収史)を猿田の指導医にあてる。  　いつものように出勤し、カンファレンスを終えた楓。だが、心にはある決意を秘めていた。楓の足は最上の院長執務室へと向かった。松嶋菜々子　  佐々木蔵之介　  風間俊介　  芦名星　  波瑠　  柏原収史　  児嶋一哉　  岡本玲　  山田真歩　  夙川アトム  　○　  伊藤裕子　  手塚とおる  　○　  安寿ミラ　  段田安則　  時任三郎　    ほか【脚本】  ひかわかよ　    【プロデュース】  渡辺恒也　  大木綾子　    【演出】  高野舞　    【音楽】  佐藤直紀　    【主題歌】  DREAMS　COME　TRUE「さぁ鐘を鳴らせ」(ユニバーサルミュージック)　    【制作】  フジテレビドラマ制作部</t>
  </si>
  <si>
    <t>小島楓(松嶋菜々子)の甥、夕(山崎光)の脳死下臓器提供が行われた。最上透(段田安則)は、経緯を記者会見で発表する。湊大附属病院から念願の臓器移植一例目が出たことをねぎらう桜庭睦子(安寿ミラ)だが、最上はその言葉にトゲがあることを聞き逃さない。それでも、最上は珍しく楓を気にかけている様子。楓は休みを取っていると答え、心配しているのではないか?と、睦子が尋ねる。しかし、最上は、ここで楓につぶれてもらっては困る、と平然と言い放った。  　救命救急センターの面々は、それぞれに楓を心配していた。そんな中、本庄雅晴(佐々木蔵之介)は西園美羽(毛利恋子)を見舞う。美羽は移植待機リストに登録することに決めたと本庄に話す。夕の姿から決心がついたようだった。そんな娘の様子に母の智子(建みさと)は本庄のおかげと感謝する。本庄は智子の感謝に素直に応じられない。  　医局でカンファレンスを始めようとすると、楓が来た。いつもと変わらない楓に、医局員たちはなんと声をかければ良いのかわからない。と、そこに杉吉康弘センター長(手塚とおる)が珍しく顔を出す。杉吉は前期研修医の猿田勇(渡部秀)を連れていて、救命センターで預かることになったと紹介。楓は片岡仁志(柏原収史)を猿田の指導医にあてる。  　いつものように出勤し、カンファレンスを終えた楓。だが、心にはある決意を秘めていた。楓の足は最上の院長執務室へと向かった。</t>
  </si>
  <si>
    <t>番組名救命病棟24時　#09</t>
  </si>
  <si>
    <t>番組公式ホームページ　  http://www.fujitv.co.jp/kyumei24/　救命救急センター医局で行われたカンファレンス後、小島楓(松嶋菜々子)は医局員たちに本庄雅晴(佐々木蔵之介)が休みをとることを告げる。休む理由は本庄本人が目の手術のためと説明した。手術後もしばらく入院が必要となるので、広瀬斎(風間俊介)は見舞いに行くと言うのだが、本庄はかたくなに拒否する。明るく報告していたから大丈夫だろうと軽く考える猿田勇(渡部秀)。広瀬はそんな猿田に、もし外科医の本庄が視力を失うことがあったら命を失うことに等しいと戒めた。  　楓は広瀬、奈良さやか(芦名星)とNBC災害のシンポジウムを聴講。散会後、楓はパネリストとして参加していた東京消防庁の救急隊長、有村公邦(比留間由哲)に声をかけられる。楓のオペの腕は救急隊員の間で鳴り響いていると持ち上げる有村。さらに、独身なのかと続ける有村に、楓は関係のない質問と答えずに去る。2人の様子をうかがっていた広瀬は、これは事件だとさやかにささやいた。  　そんなことがあった後、湊大救急救命センターを救急隊員が指名して患者を搬送してくることが多くなる。指示は有村が与えているようだ。その有村も患者を運び入れる。その患者は片岡仁志(柏原収史)の知り合いだった。搬送を終えた有村は、スタッフやセンターの設備を褒めるが、楓は違和感を覚える。  　そんな出来事の後、楓は有村から食事に誘われた。そこで楓は、有村に感じた違和感の正体を知る。松嶋菜々子　  佐々木蔵之介　  風間俊介　  芦名星　  波瑠　  柏原収史　  児嶋一哉　  岡本玲　  山田真歩　  夙川アトム  　○　  伊藤裕子　  手塚とおる  　○　  安寿ミラ　  段田安則　  時任三郎　    ほか【脚本】  ひかわかよ　    【プロデュース】  渡辺恒也　  大木綾子　    【演出】  水田成英　    【音楽】  佐藤直紀　    【主題歌】  DREAMS　COME　TRUE「さぁ鐘を鳴らせ」(ユニバーサルミュージック)　    【制作】  フジテレビドラマ制作部</t>
  </si>
  <si>
    <t>救命救急センター医局で行われたカンファレンス後、小島楓(松嶋菜々子)は医局員たちに本庄雅晴(佐々木蔵之介)が休みをとることを告げる。休む理由は本庄本人が目の手術のためと説明した。手術後もしばらく入院が必要となるので、広瀬斎(風間俊介)は見舞いに行くと言うのだが、本庄はかたくなに拒否する。明るく報告していたから大丈夫だろうと軽く考える猿田勇(渡部秀)。広瀬はそんな猿田に、もし外科医の本庄が視力を失うことがあったら命を失うことに等しいと戒めた。  　楓は広瀬、奈良さやか(芦名星)とNBC災害のシンポジウムを聴講。散会後、楓はパネリストとして参加していた東京消防庁の救急隊長、有村公邦(比留間由哲)に声をかけられる。楓のオペの腕は救急隊員の間で鳴り響いていると持ち上げる有村。さらに、独身なのかと続ける有村に、楓は関係のない質問と答えずに去る。2人の様子をうかがっていた広瀬は、これは事件だとさやかにささやいた。  　そんなことがあった後、湊大救急救命センターを救急隊員が指名して患者を搬送してくることが多くなる。指示は有村が与えているようだ。その有村も患者を運び入れる。その患者は片岡仁志(柏原収史)の知り合いだった。搬送を終えた有村は、スタッフやセンターの設備を褒めるが、楓は違和感を覚える。  　そんな出来事の後、楓は有村から食事に誘われた。そこで楓は、有村に感じた違和感の正体を知る。</t>
  </si>
  <si>
    <t>番組名救命病棟24時　#10</t>
  </si>
  <si>
    <t>番組公式ホームページ　  http://www.fujitv.co.jp/kyumei24/　小島楓(松嶋菜々子)たちは救命救急センターに来た途端、吐血して倒れた患者の処置にあたった。桜庭睦子(安寿ミラ)は、患者の血液を浴びてしまった国友花音(波瑠)に寄り添い執拗(しつよう)な洗浄を促す。花音はセンターの仮眠室で様子をみることに。  　吐血患者がアフリカから帰国したばかりのフリーカメラマン兵頭明佳(小椋毅)と判明。医局員たちに緊張が走る。楓の報告に最上透(段田安則)も花音の様子を気にかけていた。  　感染症センターの為我井智(やべけんじ)が兵頭の血液検査の結果を持って来る。為我井が示したのは1類感染症(感染した場合、極めて重篤な状態になりうる)マールブルグ病を引き起こすウイルスだった。そこに飛び込んできた美木麻衣子(岡本玲)が、兵頭の容態急変を告げる。兵頭は亡くなった…。  　翌朝、院長執務室では、為我井と今後の相談がなされる。通常通りの勤務を求める楓に為我井は反対しない。しかし、杉吉康弘センター長(手塚とおる)は救命センターの一時隔離を主張。最上がそれを認めた。  　花音は発症してICUの個室に移される。数日後、空気感染の恐れはないため、救命センターの隔離が解かれた。だが、その矢先、マールブルグ病の症状に似た患者が次々と運ばれて来る。かつてない異常事態が、楓と医局員たちを襲う。松嶋菜々子　  佐々木蔵之介　  風間俊介　  芦名星　  波瑠　  柏原収史　  児嶋一哉　  岡本玲　  山田真歩　  夙川アトム  　○　  伊藤裕子　  手塚とおる  　○　  安寿ミラ　  段田安則　  時任三郎　    ほか【脚本】  飯野陽子　    【プロデュース】  渡辺恒也　  大木綾子　    【演出】  田島大輔　    【音楽】  佐藤直紀　    【主題歌】  DREAMS　COME　TRUE「さぁ鐘を鳴らせ」(ユニバーサルミュージック)　    【制作】  フジテレビドラマ制作部</t>
  </si>
  <si>
    <t>小島楓(松嶋菜々子)たちは救命救急センターに来た途端、吐血して倒れた患者の処置にあたった。桜庭睦子(安寿ミラ)は、患者の血液を浴びてしまった国友花音(波瑠)に寄り添い執拗(しつよう)な洗浄を促す。花音はセンターの仮眠室で様子をみることに。  　吐血患者がアフリカから帰国したばかりのフリーカメラマン兵頭明佳(小椋毅)と判明。医局員たちに緊張が走る。楓の報告に最上透(段田安則)も花音の様子を気にかけていた。  　感染症センターの為我井智(やべけんじ)が兵頭の血液検査の結果を持って来る。為我井が示したのは1類感染症(感染した場合、極めて重篤な状態になりうる)マールブルグ病を引き起こすウイルスだった。そこに飛び込んできた美木麻衣子(岡本玲)が、兵頭の容態急変を告げる。兵頭は亡くなった…。  　翌朝、院長執務室では、為我井と今後の相談がなされる。通常通りの勤務を求める楓に為我井は反対しない。しかし、杉吉康弘センター長(手塚とおる)は救命センターの一時隔離を主張。最上がそれを認めた。  　花音は発症してICUの個室に移される。数日後、空気感染の恐れはないため、救命センターの隔離が解かれた。だが、その矢先、マールブルグ病の症状に似た患者が次々と運ばれて来る。かつてない異常事態が、楓と医局員たちを襲う。</t>
  </si>
  <si>
    <t>1307_CX_火22</t>
  </si>
  <si>
    <t>スターマン</t>
  </si>
  <si>
    <t>番組名スターマン・この星の恋【広末涼子17年ぶり主演】　#01</t>
  </si>
  <si>
    <t>宇野佐和子(広末涼子)は、夫に逃げられ3人の息子を育てている、肝っ玉シングルマザー。  スーパーマーケットで働き、祖母の美代(吉行和子)に家事を手伝ってもらいながら、平凡だけれど楽しい毎日を過ごしている。  　  そんなある日、仕事帰りの佐和子の車の前に、ひん死状態の青年(福士蒼汰)が現れる。  「ちょっとあんた!死にたかったらね…!」と文句を言おうとするが、男がかなり良い男であることに気づく。青年の美しさに心を奪われ、一瞬で恋に落ちてしまった佐和子。    佐和子の家で目を覚ました青年は、なんと記憶喪失だった。運命的な出会いだと感じた佐和子は、息子たちに「今日からあの人に、あなたたちのお父さんになってもらうことにします」と宣言。夜空の星に興味を示す青年を“星男"と名付け、3人の息子たちの父親だと嘘をつき同居させることに。忘れかけていた乙女心を取り戻した佐和子、3人の息子、おばあちゃん、そして星男のちょっと変わった“疑似家族生活"が始まる。    自分が何者かすら思い出せず、3人の息子たちに「俺の…………子供?」と戸惑う星男。佐和子に言われるがまま宇野家で暮らすが、次第に謎に包まれた過去が明らかになっていく。  一方、嘘をついていることに罪の意識を感じながらも、どんどん星男に惹かれていく佐和子。一家族の物語のはずが・・・町中を巻き込んだ予想もつかない展開に!?広末涼子　  福士蒼汰　  小池栄子　    有村架純　  石井正則　  KENCHI(EXILE)　  山田裕貴　  大西流星(関西ジャニーズJr.)　  黒田博之　  五十嵐陽向  　・　  吉行和子　  國村隼　    ほか【脚本】  岡田惠和　    【演出】  堤幸彦　    【音楽】  大橋トリオ　    【主題歌】  YUKI「STARMANN」  (エピックレコードジャパン)　    【プロデュース】  河西秀幸(関西テレビ)　  平部隆明(ホリプロ)【番組ホームページ】  www.ktv.jp/starman/</t>
  </si>
  <si>
    <t>宇野佐和子(広末涼子)は、夫に逃げられ3人の息子を育てている、肝っ玉シングルマザー。  スーパーマーケットで働き、祖母の美代(吉行和子)に家事を手伝ってもらいながら、平凡だけれど楽しい毎日を過ごしている。  　  そんなある日、仕事帰りの佐和子の車の前に、ひん死状態の青年(福士蒼汰)が現れる。  「ちょっとあんた!死にたかったらね…!」と文句を言おうとするが、男がかなり良い男であることに気づく。青年の美しさに心を奪われ、一瞬で恋に落ちてしまった佐和子。    佐和子の家で目を覚ました青年は、なんと記憶喪失だった。運命的な出会いだと感じた佐和子は、息子たちに「今日からあの人に、あなたたちのお父さんになってもらうことにします」と宣言。夜空の星に興味を示す青年を“星男"と名付け、3人の息子たちの父親だと嘘をつき同居させることに。忘れかけていた乙女心を取り戻した佐和子、3人の息子、おばあちゃん、そして星男のちょっと変わった“疑似家族生活"が始まる。    自分が何者かすら思い出せず、3人の息子たちに「俺の…………子供?」と戸惑う星男。佐和子に言われるがまま宇野家で暮らすが、次第に謎に包まれた過去が明らかになっていく。  一方、嘘をついていることに罪の意識を感じながらも、どんどん星男に惹かれていく佐和子。一家族の物語のはずが・・・町中を巻き込んだ予想もつかない展開に!?</t>
  </si>
  <si>
    <t>番組名スターマン・この星の恋【広末涼子・福士蒼汰ほか】　#02</t>
  </si>
  <si>
    <t>佐和子(広末涼子)のウソを信じ、自分は佐和子の夫だと思い込む星男(福士蒼汰)。  だましていることに罪の意識を感じ始める佐和子だが、真実を知った星男がいなくなることを恐れ、本当のことを言い出せないでいた。    そんなある朝、車で出かけた佐和子に忘れ物を届けようと家を出た星男は、信じられないスピードで走り出し、あっという間に車に追いついてしまう。自分の中から突然わき出した超人的な身体能力に戸惑い、あぜんとなる星男。    スーパーに出勤した佐和子は、星男に興味津々の前川主任(石井正則)らから質問攻めにあう。  一方、祥子(有村架純)は、星男が自分の夫だという佐和子に疑いの目を向ける。同じく同僚の重田(國村隼)は、星男が星を見るのが好きだという佐和子の言葉に微かな動揺を見せる。同じ頃、街に星男の元彼女・ミチル(木南晴夏)という若い女が現れていた。  星男の行方を探す彼女が遂に、佐和子と星男を目撃する!!    その夜、佐和子と星男は美代(吉行和子)の計らいで2人きりのデートを楽しむことに。レストランで食事をした後、星がよく見える丘の上へ。  見つめ合う2人がいい雰囲気になったとき、星がひとつ強く光った。その瞬間、星男が苦しみ出し、いきなり意識を失ってしまい…。広末涼子　  福士蒼汰　  小池栄子　    有村架純　  石井正則　  KENCHI(EXILE)　  山田裕貴　  大西流星(関西ジャニーズJr.)　  黒田博之　  五十嵐陽向  　・　  吉行和子　  國村隼　    ほか【脚本】  岡田惠和　    【演出】  堤幸彦　    【音楽】  大橋トリオ　    【主題歌】  YUKI「STARMANN」  (エピックレコードジャパン)　    【プロデュース】  河西秀幸(関西テレビ)　  平部隆明(ホリプロ)【番組ホームページ】  www.ktv.jp/starman/</t>
  </si>
  <si>
    <t>佐和子(広末涼子)のウソを信じ、自分は佐和子の夫だと思い込む星男(福士蒼汰)。  だましていることに罪の意識を感じ始める佐和子だが、真実を知った星男がいなくなることを恐れ、本当のことを言い出せないでいた。    そんなある朝、車で出かけた佐和子に忘れ物を届けようと家を出た星男は、信じられないスピードで走り出し、あっという間に車に追いついてしまう。自分の中から突然わき出した超人的な身体能力に戸惑い、あぜんとなる星男。    スーパーに出勤した佐和子は、星男に興味津々の前川主任(石井正則)らから質問攻めにあう。  一方、祥子(有村架純)は、星男が自分の夫だという佐和子に疑いの目を向ける。同じく同僚の重田(國村隼)は、星男が星を見るのが好きだという佐和子の言葉に微かな動揺を見せる。同じ頃、街に星男の元彼女・ミチル(木南晴夏)という若い女が現れていた。  星男の行方を探す彼女が遂に、佐和子と星男を目撃する!!    その夜、佐和子と星男は美代(吉行和子)の計らいで2人きりのデートを楽しむことに。レストランで食事をした後、星がよく見える丘の上へ。  見つめ合う2人がいい雰囲気になったとき、星がひとつ強く光った。その瞬間、星男が苦しみ出し、いきなり意識を失ってしまい…。</t>
  </si>
  <si>
    <t>番組名スターマン・この星の恋【嘘を自白!逃げた夫戻る】　#03</t>
  </si>
  <si>
    <t>突然、宇野家に現れ星男(福士蒼汰)を殴りつけたミチル(木南晴夏)に、あ然となる佐和子(広末涼子)たち。派手な私生活が垣間見えるミチルは、なんと東京から星男を追って来た“元カノ"だった。観念した佐和子は、星男をだましていたことをついに白状。混乱する星男は、ミチルから“知ったら絶望するほど"ヒドい男だったという自分の意外な過去を知らされ、ショックを受ける。　結局、星男はミチルが東京に連れて帰ることになり、佐和子は落ち込む。星男に反発していたはずの長男の大(大西流星　関西ジャニーズJr.)も、どこか寂しげな様子。  　それでも職場では気丈に働く佐和子の姿があった。そんな佐和子に総菜売り場の同僚・重田(國村隼)は40年前にこの町に移り住み、瀕死の自分を助けてくれた娘と結婚した事実を告白する。それをなぜか興味津々で話を聞く祥子(有村架純)。同僚たちは佐和子の急展開すぎる恋の終わりに驚きを隠せない。  　そんな佐和子に、追い討ちをかけるようなとんでもない事態が発生。  佐和子の親友・節(小池栄子)が営むスナック「スター」に、身勝手に家を出て音信不通だった佐和子の夫・宇野光一(安田顕)が現れたのだ、さらに「スター」にトラックが猛スピードで突っ込んで来て…!?広末涼子　  福士蒼汰　  小池栄子　    有村架純　  石井正則　  KENCHI(EXILE)　  山田裕貴　  大西流星(関西ジャニーズJr.)　  黒田博之　  五十嵐陽向  　・　  吉行和子　  國村隼　    ほか【脚本】  岡田惠和　    【演出】  堤幸彦　    【音楽】  大橋トリオ　    【主題歌】  YUKI「STARMANN」  (エピックレコードジャパン)　    【プロデュース】  河西秀幸(関西テレビ)　  平部隆明(ホリプロ)【番組ホームページ】  www.ktv.jp/starman/</t>
  </si>
  <si>
    <t>突然、宇野家に現れ星男(福士蒼汰)を殴りつけたミチル(木南晴夏)に、あ然となる佐和子(広末涼子)たち。派手な私生活が垣間見えるミチルは、なんと東京から星男を追って来た“元カノ"だった。観念した佐和子は、星男をだましていたことをついに白状。混乱する星男は、ミチルから“知ったら絶望するほど"ヒドい男だったという自分の意外な過去を知らされ、ショックを受ける。　結局、星男はミチルが東京に連れて帰ることになり、佐和子は落ち込む。星男に反発していたはずの長男の大(大西流星　関西ジャニーズJr.)も、どこか寂しげな様子。  　それでも職場では気丈に働く佐和子の姿があった。そんな佐和子に総菜売り場の同僚・重田(國村隼)は40年前にこの町に移り住み、瀕死の自分を助けてくれた娘と結婚した事実を告白する。それをなぜか興味津々で話を聞く祥子(有村架純)。同僚たちは佐和子の急展開すぎる恋の終わりに驚きを隠せない。  　そんな佐和子に、追い討ちをかけるようなとんでもない事態が発生。  佐和子の親友・節(小池栄子)が営むスナック「スター」に、身勝手に家を出て音信不通だった佐和子の夫・宇野光一(安田顕)が現れたのだ、さらに「スター」にトラックが猛スピードで突っ込んで来て…!?</t>
  </si>
  <si>
    <t>番組名スターマン・この星の恋【遂に星男の記憶が戻る!】　#04</t>
  </si>
  <si>
    <t>節(小池栄子)の店に突っ込んできた車を素手で止めた星男(福士蒼汰)。人間技とは思えない力に驚く佐和子(広末涼子)だったが、星男は自分でもわけがわからず、うろたえるばかり。そんなとき、店の奥に隠れていた光一(安田顕)が顔を出し、佐和子は厄介な現実に引き戻される。    美代(吉行和子)や大(大西流星)ら息子たちは突然戻った光一に戸惑い、家の中は気まずいムード。だが、光一はそれを気にかける様子もなく、子どもたちになれなれしく接して佐和子をいら立たせる。さらに、俊(五十嵐陽向)が星男にすでに懐いているのを知り、張り合おうとして、かえって子どもたちを困惑させる。美代は「わざと子どもたちに嫌われようとしてる」と指摘し、佐和子に「何しに来たの?」と詰め寄られる光一だが…?一方、星男の体には異変が起こり、とんでもない横暴な人格を持った達也の記憶が戻って…!?広末涼子　  福士蒼汰　  小池栄子　  有村架純　  石井正則　  KENCHI(EXILE)　  モト冬樹　  山田裕貴　  村松利史　  本田大輔　  大西流星(関西ジャニーズJr.)　  黒田博之　  五十嵐陽向  　・　  安田顕　  角替和枝  　・　  吉行和子　  國村隼【脚本】  岡田惠和　    【演出】  堤幸彦　    【音楽】  大橋トリオ　    【主題歌】  YUKI「STARMANN」  (エピックレコードジャパン)　    【プロデュース】  河西秀幸(関西テレビ)　  平部隆明(ホリプロ)【番組ホームページ】  www.ktv.jp/starman/</t>
  </si>
  <si>
    <t>節(小池栄子)の店に突っ込んできた車を素手で止めた星男(福士蒼汰)。人間技とは思えない力に驚く佐和子(広末涼子)だったが、星男は自分でもわけがわからず、うろたえるばかり。そんなとき、店の奥に隠れていた光一(安田顕)が顔を出し、佐和子は厄介な現実に引き戻される。    美代(吉行和子)や大(大西流星)ら息子たちは突然戻った光一に戸惑い、家の中は気まずいムード。だが、光一はそれを気にかける様子もなく、子どもたちになれなれしく接して佐和子をいら立たせる。さらに、俊(五十嵐陽向)が星男にすでに懐いているのを知り、張り合おうとして、かえって子どもたちを困惑させる。美代は「わざと子どもたちに嫌われようとしてる」と指摘し、佐和子に「何しに来たの?」と詰め寄られる光一だが…?一方、星男の体には異変が起こり、とんでもない横暴な人格を持った達也の記憶が戻って…!?</t>
  </si>
  <si>
    <t>番組名スターマン・この星の恋【凶暴な星男に新たな謎】　#05</t>
  </si>
  <si>
    <t>宇野家で目を覚ました星男(福士蒼汰)は、記憶を失う前の本来の姿を取り戻し、やさしかった星男とは似ても似つかない凶暴な男・達也に戻っていた。佐和子(広末涼子)に悪態をつく星男におびえ、ショックを受ける大(大西流星)ら息子たち。そんな星男の態度を見かねた美代(吉行和子)は東京に帰るよう促すが、星男は「どこにも行くとこなんかねぇんだよ!」と出て行こうとしない。佐和子は、あのやさしい星男との甘い生活が戻ってくることはないと悟ってガッカリするものの、ほかに行き場のない星男とこのまま暮らしていこうと決意。「うちにいるつもりなら」と星男の乱暴な言動をたしなめると、星男も渋々ながらこれに従い、宇野家に残ることになった。同じ頃、祥子(有村架純)は「お願い…誰か迎えに来て」と、なおも宇宙に信号を送り続けていた。そして、自宅で古女房(角替和枝)と過ごしていた重田(國村隼)も、夜空を見上げながら「迎えが来たのかもしれん」とつぶやいていた。翌日から、星男はぎこちない手つきで美代の家事を手伝い、「ガキ苦手なんだよな」とぼやきながらも、子どもたちに溶け込もうと奮闘。そんな中、この街にやって来た日の奇妙な体験を美代に打ち明ける星男。船の上で自殺を図って死を覚悟した直後、「何かが俺の体の中に入ってきた」というのだ。「俺の体の中には何かがいる。そいつが目覚めたら、俺は今度こそ死ぬ気がしてる」と話す星男に、美代は…。広末涼子　  福士蒼汰　  小池栄子　  有村架純　  石井正則　  KENCHI(EXILE)　  角替和枝　  モト冬樹　  山田裕貴　  村松利史　  本田大輔　  大西流星(関西ジャニーズJr.)　  黒田博之　  五十嵐陽向  　・　  吉行和子　  國村隼【脚本】  岡田惠和　    【演出】  鈴木浩介　    【音楽】  大橋トリオ　    【主題歌】  YUKI「STARMANN」  (エピックレコードジャパン)　    【プロデュース】  河西秀幸(関西テレビ)　  平部隆明(ホリプロ)【番組ホームページ】  www.ktv.jp/starman/</t>
  </si>
  <si>
    <t>宇野家で目を覚ました星男(福士蒼汰)は、記憶を失う前の本来の姿を取り戻し、やさしかった星男とは似ても似つかない凶暴な男・達也に戻っていた。佐和子(広末涼子)に悪態をつく星男におびえ、ショックを受ける大(大西流星)ら息子たち。そんな星男の態度を見かねた美代(吉行和子)は東京に帰るよう促すが、星男は「どこにも行くとこなんかねぇんだよ!」と出て行こうとしない。佐和子は、あのやさしい星男との甘い生活が戻ってくることはないと悟ってガッカリするものの、ほかに行き場のない星男とこのまま暮らしていこうと決意。「うちにいるつもりなら」と星男の乱暴な言動をたしなめると、星男も渋々ながらこれに従い、宇野家に残ることになった。同じ頃、祥子(有村架純)は「お願い…誰か迎えに来て」と、なおも宇宙に信号を送り続けていた。そして、自宅で古女房(角替和枝)と過ごしていた重田(國村隼)も、夜空を見上げながら「迎えが来たのかもしれん」とつぶやいていた。翌日から、星男はぎこちない手つきで美代の家事を手伝い、「ガキ苦手なんだよな」とぼやきながらも、子どもたちに溶け込もうと奮闘。そんな中、この街にやって来た日の奇妙な体験を美代に打ち明ける星男。船の上で自殺を図って死を覚悟した直後、「何かが俺の体の中に入ってきた」というのだ。「俺の体の中には何かがいる。そいつが目覚めたら、俺は今度こそ死ぬ気がしてる」と話す星男に、美代は…。</t>
  </si>
  <si>
    <t>番組名スターマン・この星の恋【ついに星男の衝撃正体が】　#06</t>
  </si>
  <si>
    <t>記憶を取り戻した星男(福士蒼汰)は、不器用ながらも宇野家に溶け込み、大(大西流星)ら子どもたちとも本当の家族のような関係を築き始めていた。朝、子どもたちを引き連れ、野球の練習に出かける星男。その楽しげな様子に、佐和子(広末涼子)はしみじみと幸せを感じる。    だが、星男は記憶が戻って以来、体の中の“何か"が頻繁に暴れ出すようになっていた。「俺の中にいるお前はなんなんだよ。俺をどうするつもりなんだよ」と苦しげに訴える星男を偶然目にしてしまった佐和子は、不安を覚える。    一方、祥子(有村架純)に間違ってキスをしてしまった重田(國村隼)は、激しく動揺していた。安藤(山田裕貴)から祥子との関係を勘ぐられ、気まずい職場のムードに耐えかねた重田はキスをなかったことにしようと努める。ところが、祥子は「好きになってしまいました」と重田に告白し、混乱は増すばかり。その頃、星男は体内に潜む“何か"が急速に力を増していることに気づき、覚悟を決めていた。佐和子をドライブに連れ出し別れが近いことを告げるが、納得できない佐和子は取り乱す。そんな佐和子を優しく抱きしめほほ笑んだ星男は、全身の力を失ったようにいっきに崩れ落ちて…。広末涼子　  福士蒼汰　  小池栄子　  有村架純　  石井正則　  KENCHI(EXILE)　  角替和枝　  モト冬樹　  山田裕貴　  村松利史　  本田大輔　  大西流星(関西ジャニーズJr.)　  黒田博之　  五十嵐陽向  　・　  吉行和子　  國村隼【脚本】  岡田惠和　    【演出】  白石達也　    【音楽】  大橋トリオ　    【主題歌】  YUKI「STARMANN」  (エピックレコードジャパン)　    【プロデュース】  河西秀幸(関西テレビ)　  平部隆明(ホリプロ)【番組ホームページ】  www.ktv.jp/starman/</t>
  </si>
  <si>
    <t>記憶を取り戻した星男(福士蒼汰)は、不器用ながらも宇野家に溶け込み、大(大西流星)ら子どもたちとも本当の家族のような関係を築き始めていた。朝、子どもたちを引き連れ、野球の練習に出かける星男。その楽しげな様子に、佐和子(広末涼子)はしみじみと幸せを感じる。    だが、星男は記憶が戻って以来、体の中の“何か"が頻繁に暴れ出すようになっていた。「俺の中にいるお前はなんなんだよ。俺をどうするつもりなんだよ」と苦しげに訴える星男を偶然目にしてしまった佐和子は、不安を覚える。    一方、祥子(有村架純)に間違ってキスをしてしまった重田(國村隼)は、激しく動揺していた。安藤(山田裕貴)から祥子との関係を勘ぐられ、気まずい職場のムードに耐えかねた重田はキスをなかったことにしようと努める。ところが、祥子は「好きになってしまいました」と重田に告白し、混乱は増すばかり。その頃、星男は体内に潜む“何か"が急速に力を増していることに気づき、覚悟を決めていた。佐和子をドライブに連れ出し別れが近いことを告げるが、納得できない佐和子は取り乱す。そんな佐和子を優しく抱きしめほほ笑んだ星男は、全身の力を失ったようにいっきに崩れ落ちて…。</t>
  </si>
  <si>
    <t>番組名スターマン・この星の恋【新章開始!星の王子と恋】　#07</t>
  </si>
  <si>
    <t>死んだはずの星男(福士蒼汰)が生き返った!しかも、人間とは思えない不思議な動きを見せ、佐和子(広末涼子)らは驚きのあまり言葉も出ない。重田(國村隼)は自分もまた、宇宙からやってきた星男の仲間だと打ち明ける。そして星男がついに自分の本当の正体について語り始める…。佐和子はあまりにも奇想天外な話に混乱するものの、生まれ変わった星男を受け入れることに。一方、星男のことを、自分を連れ戻しに来た“お迎え"ではなかったと知った重田は、ほっとした様子で古女房(角替和枝)の待つ自宅に帰る。ところが、重田が宇宙に連れて行ってくれるものと思い込む祥子(有村架純)が重田家に転がり込んでくる。そんなとき、街の上空に謎の光が現れた。強さを増していく光を、期待に満ちた顔で見上げる祥子をよそに「私は帰りたくない。嫌だ」と古女房を抱きしめる重田。一方、何かを感じていきなり外に飛び出した星男の姿に、佐和子は別れを覚悟するが…。広末涼子　  福士蒼汰　  小池栄子　  有村架純　  石井正則　  KENCHI(EXILE)　  角替和枝　  モト冬樹　  山田裕貴　  村松利史　  本田大輔　  大西流星(関西ジャニーズJr.)　  黒田博之　  五十嵐陽向  　・　  吉行和子　  國村隼【脚本】  岡田惠和　    【演出】  堤幸彦　    【音楽】  大橋トリオ　    【主題歌】  YUKI「STARMANN」  (エピックレコードジャパン)　    【プロデュース】  河西秀幸(関西テレビ)　  平部隆明(ホリプロ)【番組ホームページ】  www.ktv.jp/starman/</t>
  </si>
  <si>
    <t>死んだはずの星男(福士蒼汰)が生き返った!しかも、人間とは思えない不思議な動きを見せ、佐和子(広末涼子)らは驚きのあまり言葉も出ない。重田(國村隼)は自分もまた、宇宙からやってきた星男の仲間だと打ち明ける。そして星男がついに自分の本当の正体について語り始める…。佐和子はあまりにも奇想天外な話に混乱するものの、生まれ変わった星男を受け入れることに。一方、星男のことを、自分を連れ戻しに来た“お迎え"ではなかったと知った重田は、ほっとした様子で古女房(角替和枝)の待つ自宅に帰る。ところが、重田が宇宙に連れて行ってくれるものと思い込む祥子(有村架純)が重田家に転がり込んでくる。そんなとき、街の上空に謎の光が現れた。強さを増していく光を、期待に満ちた顔で見上げる祥子をよそに「私は帰りたくない。嫌だ」と古女房を抱きしめる重田。一方、何かを感じていきなり外に飛び出した星男の姿に、佐和子は別れを覚悟するが…。</t>
  </si>
  <si>
    <t>番組名スターマン・この星の恋【新たな真実…別れの予感】　#08</t>
  </si>
  <si>
    <t>重田(國村隼)が同じ星から来たことを知った星男(福士蒼汰)。地球で家庭を持ち、40年も暮らしてきた先輩として助言を求めると、重田は「能力について一つ注意しなければならないことがある」と、ある衝撃の事実を伝える。その頃、佐和子(広末涼子)も重田の古女房(角替和枝)からアドバイスを受けていた。古女房は佐和子の不安を笑い飛ばすが、「一つだけ、教えといた方がいいことが」と急に真剣な表情に…。一方、重田家に居着いてしまった祥子(有村架純)は、家族との平凡な暮らしになじむ重田に違和感を覚え始めていた。そして、やはり星男こそが宇宙からの使者だと思い込み、「本当は私のところに来たんじゃないですか?」と佐和子に詰め寄る。「星男はね、私のことが好きなの!」と説得しようとする佐和子だが、祥子は聞く耳を持たない。その後、帰宅した佐和子が持病の片頭痛に悩まされていると知った星男は、佐和子の役に立ちたい一心で、禁断の能力を使おうとするが、そこにはとんでもない危険が潜んでいた…。    その夜、節(小池栄子)のスナックに祥子が現れる。そこで店内にいた医者の溝上(モト冬樹)から、自分の驚くべき過去を聞かされた祥子は、慌てて外に飛び出していく。広末涼子　  福士蒼汰　  小池栄子　  有村架純　  石井正則　  KENCHI(EXILE)　  角替和枝　  モト冬樹　  山田裕貴　  村松利史　  本田大輔　  大西流星(関西ジャニーズJr.)　  黒田博之　  五十嵐陽向  　・　  吉行和子　  國村隼【脚本】  岡田惠和　    【演出】  堤幸彦　    【音楽】  大橋トリオ　    【主題歌】  YUKI「STARMANN」  (エピックレコードジャパン)　    【プロデュース】  河西秀幸(関西テレビ)　  平部隆明(ホリプロ)【番組ホームページ】  www.ktv.jp/starman/</t>
  </si>
  <si>
    <t>重田(國村隼)が同じ星から来たことを知った星男(福士蒼汰)。地球で家庭を持ち、40年も暮らしてきた先輩として助言を求めると、重田は「能力について一つ注意しなければならないことがある」と、ある衝撃の事実を伝える。その頃、佐和子(広末涼子)も重田の古女房(角替和枝)からアドバイスを受けていた。古女房は佐和子の不安を笑い飛ばすが、「一つだけ、教えといた方がいいことが」と急に真剣な表情に…。一方、重田家に居着いてしまった祥子(有村架純)は、家族との平凡な暮らしになじむ重田に違和感を覚え始めていた。そして、やはり星男こそが宇宙からの使者だと思い込み、「本当は私のところに来たんじゃないですか?」と佐和子に詰め寄る。「星男はね、私のことが好きなの!」と説得しようとする佐和子だが、祥子は聞く耳を持たない。その後、帰宅した佐和子が持病の片頭痛に悩まされていると知った星男は、佐和子の役に立ちたい一心で、禁断の能力を使おうとするが、そこにはとんでもない危険が潜んでいた…。    その夜、節(小池栄子)のスナックに祥子が現れる。そこで店内にいた医者の溝上(モト冬樹)から、自分の驚くべき過去を聞かされた祥子は、慌てて外に飛び出していく。</t>
  </si>
  <si>
    <t>番組名スターマン・この星の恋【近づく最後…お迎え襲来】　#09</t>
  </si>
  <si>
    <t>星男(福士蒼汰)は佐和子(広末涼子)に「働きたい」と打ち明け、幸平(KENCHI)や平岡(本田大輔)たちから誘われていた、林業の仕事を始めることにする。    出勤初日の朝、ウキウキと星男の弁当を用意する佐和子だが、息子たちを起こすのを忘れ、大(大西流星)をムッとさせる。まもなく、重田(國村隼)が現れ、星男に「何があっても我々の能力を使ってはダメだ」と強く言い聞かせる。森にやって来た星男は、幸平らに倣って順調に作業をこなしていた。同じ頃、大は、佐和子が間違えて学校に持たせてしまった星男のタオルを見つけ、さらにいら立つ。そして家に戻ると、ついに荷物をまとめて家を出て行ってしまう。    一方、森の作業場では、幸平が星男にいいところを見せようと張り切るあまり無理をし、大ケガを負う。星男は重田の忠告も忘れ、とっさに超人的な身体能力を発揮しようとするが…。一方、節(小池栄子)の店にいた佐和子のもとに、美代(吉行和子)から「大がいなくなった」と知らせが入る。動揺する宇野家に、クライマックスを予感させる更なる大事件が勃発する…広末涼子　  福士蒼汰　  小池栄子　  有村架純　  石井正則　  KENCHI(EXILE)　  角替和枝　  モト冬樹　  山田裕貴　  村松利史　  本田大輔　  大西流星(関西ジャニーズJr.)　  黒田博之　  五十嵐陽向  　・　  吉行和子　  國村隼【脚本】  岡田惠和　    【演出】  白石達也　    【音楽】  大橋トリオ　    【主題歌】  YUKI「STARMANN」  (エピックレコードジャパン)　    【プロデュース】  河西秀幸(関西テレビ)　  平部隆明(ホリプロ)【番組ホームページ】  www.ktv.jp/starman/</t>
  </si>
  <si>
    <t>星男(福士蒼汰)は佐和子(広末涼子)に「働きたい」と打ち明け、幸平(KENCHI)や平岡(本田大輔)たちから誘われていた、林業の仕事を始めることにする。    出勤初日の朝、ウキウキと星男の弁当を用意する佐和子だが、息子たちを起こすのを忘れ、大(大西流星)をムッとさせる。まもなく、重田(國村隼)が現れ、星男に「何があっても我々の能力を使ってはダメだ」と強く言い聞かせる。森にやって来た星男は、幸平らに倣って順調に作業をこなしていた。同じ頃、大は、佐和子が間違えて学校に持たせてしまった星男のタオルを見つけ、さらにいら立つ。そして家に戻ると、ついに荷物をまとめて家を出て行ってしまう。    一方、森の作業場では、幸平が星男にいいところを見せようと張り切るあまり無理をし、大ケガを負う。星男は重田の忠告も忘れ、とっさに超人的な身体能力を発揮しようとするが…。一方、節(小池栄子)の店にいた佐和子のもとに、美代(吉行和子)から「大がいなくなった」と知らせが入る。動揺する宇野家に、クライマックスを予感させる更なる大事件が勃発する…</t>
  </si>
  <si>
    <t>番組名スターマン・この星の恋【最終話!未知の結末へ】　#10</t>
  </si>
  <si>
    <t>上空に現れた謎の光は、隕石(いんせき)が落ちたときとは比べものにならないほど強烈なものだった。ついに“お迎え"が来たと悟った星男(福士蒼汰)は、愛する佐和子(広末涼子)のために地球に残ろうと決め、その意思を伝えてくると言い残して光の方へ。重田(國村隼)は、故郷の星に婚約者がいたことを古女房(角替和枝)に告白。一度、星に帰って婚約者にわびを言い、必ず地球に戻ると告げて光の中に向かっていく。祥子(有村架純)も、泣き叫ぶ安藤くん(山田裕貴)に優しい笑みを浮かべ、光を見つめる。  一方、節(小池栄子)は、ついに運命の男性がやってきたと思い、謎の光から節を守ろうとする幸平(KENCHI)をはねのけ、空を仰ぐ…。    光が消えた後、物語は予想もつかないクライマックスを迎えることに!広末涼子　  福士蒼汰　  小池栄子　  有村架純　  石井正則　  KENCHI(EXILE)　  角替和枝　  モト冬樹　  山田裕貴　  村松利史　  本田大輔　  大西流星(関西ジャニーズJr.)　  黒田博之　  五十嵐陽向  　・　  吉行和子　  國村隼【脚本】  岡田惠和　    【演出】  スターマンディレクターズ　  堤幸彦　  鈴木浩介　  白石達也　    【音楽】  大橋トリオ　    【主題歌】  YUKI「STARMANN」  (エピックレコードジャパン)　    【プロデュース】  河西秀幸(関西テレビ)　  平部隆明(ホリプロ)【番組ホームページ】  www.ktv.jp/starman/</t>
  </si>
  <si>
    <t>上空に現れた謎の光は、隕石(いんせき)が落ちたときとは比べものにならないほど強烈なものだった。ついに“お迎え"が来たと悟った星男(福士蒼汰)は、愛する佐和子(広末涼子)のために地球に残ろうと決め、その意思を伝えてくると言い残して光の方へ。重田(國村隼)は、故郷の星に婚約者がいたことを古女房(角替和枝)に告白。一度、星に帰って婚約者にわびを言い、必ず地球に戻ると告げて光の中に向かっていく。祥子(有村架純)も、泣き叫ぶ安藤くん(山田裕貴)に優しい笑みを浮かべ、光を見つめる。  一方、節(小池栄子)は、ついに運命の男性がやってきたと思い、謎の光から節を守ろうとする幸平(KENCHI)をはねのけ、空を仰ぐ…。    光が消えた後、物語は予想もつかないクライマックスを迎えることに!</t>
  </si>
  <si>
    <t>1307_CX_水22</t>
  </si>
  <si>
    <t>ショムニ2013</t>
  </si>
  <si>
    <t>番組名ショムニ2013　#01</t>
  </si>
  <si>
    <t>今から10年前、会社から何の役にも立たないゴミ同然の存在だと烙印を押された社員が送り込まれた部署があった…。その名は“庶務二課"。しかし、その薄暗い庶務二課の部屋で、その生活を楽しむ者たちが現れた。彼女たちは欲望のままに行動し、結果的に会社を救い退職していった。そして“ショムニ"は廃止され、坪井千夏(江角マキコ)は消息不明に…。それから10年後…。日本は長い不況に陥りリストラの嵐が吹き荒れる。もちろん、満帆商事にも…。  　オリンピックを期待される棒高跳びの選手だった円山詩織(本田翼)は、広告塔として入社したが、ケガで選手生命を絶たれ、陸上部も廃止になり社内で邪魔扱いされ、悪口のツイッター攻撃も受けていた…。社員食堂にいても詩織には誰も近づかない。そんな中で、彼女にストレートな行動を取るOLたちが現れる。ネットに精通した頭脳明晰女子・三波まどか(ベッキー)、気配を感じさせない不気味女子・安倍麗子(安藤サクラ)、フェロモン全開お色気女子・小島美鈴(森カンナ)、そして健康オタクのおしゃべり女子・福田益代(堀内敬子)だ。  　ある日、落ち込む詩織は1人の女性に出会う。誰かに追われている彼女は、突然詩織の財布からタクシー代として1万円を抜き取り、去っていった…。翌日、出社した詩織は同じ女性の姿を目撃する。彼女こそ“伝説の女"坪井千夏だった!いったいなぜ、彼女は再び満帆商事に姿を現したのか!?坪井千夏:　江角マキコ　  三波まどか:　ベッキー　  円山詩織:　本田翼　  安倍麗子:　安藤サクラ　  小島美鈴:　森カンナ　  福田益代:　堀内敬子  　　・　　  左門大介:　三浦翔平  　　・　　  壇上みき:　片瀬那奈  　　・　　  下落合耕一:鈴木浩介　  星野ケンジ:安田顕　    他【原作】  安田弘之『ショムニ』(メディアファクトリー)　    【脚本】  丑尾健太郎　  他　    【音楽】  大島ミチル　    【主題歌】  Serena「ピンクの弾丸」(アリオラジャパン)　    【編成企画】  石井浩二　  清水一幸　    【プロデュース】  岩田祐二(共同テレビ)　    【演出】  鈴木雅之　  小林義則(共同テレビ)　  他　    【制作】  フジテレビ　    【制作著作】  共同テレビ公式ホームページ　  http://www.fujitv.co.jp/shomu2/index.html</t>
  </si>
  <si>
    <t>今から10年前、会社から何の役にも立たないゴミ同然の存在だと烙印を押された社員が送り込まれた部署があった…。その名は“庶務二課"。しかし、その薄暗い庶務二課の部屋で、その生活を楽しむ者たちが現れた。彼女たちは欲望のままに行動し、結果的に会社を救い退職していった。そして“ショムニ"は廃止され、坪井千夏(江角マキコ)は消息不明に…。それから10年後…。日本は長い不況に陥りリストラの嵐が吹き荒れる。もちろん、満帆商事にも…。  　オリンピックを期待される棒高跳びの選手だった円山詩織(本田翼)は、広告塔として入社したが、ケガで選手生命を絶たれ、陸上部も廃止になり社内で邪魔扱いされ、悪口のツイッター攻撃も受けていた…。社員食堂にいても詩織には誰も近づかない。そんな中で、彼女にストレートな行動を取るOLたちが現れる。ネットに精通した頭脳明晰女子・三波まどか(ベッキー)、気配を感じさせない不気味女子・安倍麗子(安藤サクラ)、フェロモン全開お色気女子・小島美鈴(森カンナ)、そして健康オタクのおしゃべり女子・福田益代(堀内敬子)だ。  　ある日、落ち込む詩織は1人の女性に出会う。誰かに追われている彼女は、突然詩織の財布からタクシー代として1万円を抜き取り、去っていった…。翌日、出社した詩織は同じ女性の姿を目撃する。彼女こそ“伝説の女"坪井千夏だった!いったいなぜ、彼女は再び満帆商事に姿を現したのか!?</t>
  </si>
  <si>
    <t>番組名ショムニ2013　#02</t>
  </si>
  <si>
    <t>坪井千夏(江角マキコ)がショムニへ出社してくると、三波まどか(ベッキー)、円山詩織(本田翼)、安倍麗子(安藤サクラ)、小島美鈴(森カンナ)、福田益代(堀内敬子)が昨日までとは違う席に座っていた。千夏が言った通り、“女の価値=男の数"で席順を決めたという。そこで詩織は、お互いをよく知るために親睦会を開こうと提案する。するとまどかは、調べ上げていた千夏らの経歴を読み上げ、もう十分把握していると言い出す。千夏たちは、そう言いながらも自分のことは何も話そうとしないまどかから恋愛話を聞き出そうとした。しかし、まどかは恋とは愚かな人間が陥るシステムエラーだと言い放つ。  　一方、人事部の星野ケンジ(安田顕)と下落合耕一(鈴木浩介)は、社長の前川進(升毅)が、通勤中も下を向いてスマートフォンをいじり、挨拶すらできない社員たちの態度に腹を立てていることを知る。人事部に戻った星野は、職務中にもネットサーフィンをやっている社員がいることを嘆く下落合には見られないように、こっそりアダルトサイトの履歴を消していく。ところがその時、突然会社中のパソコンからエラー音が鳴り響き、まったく使えなくなってしまう。パニック状態に陥った満帆商事は、天才システムエンジニアと言われている坂巻(眞島秀和)に助けを求めた。が、満帆商事にやってきた坂巻の姿を見たまどかは、何故か激しく動揺し…。坪井千夏:　江角マキコ　    三波まどか:　ベッキー　    円山詩織:　本田翼　    安倍麗子:　安藤サクラ　    小島美鈴:　森カンナ　    福田益代:　堀内敬子    　　・　　    左門大介:　三浦翔平    　　・　　    壇上みき:　片瀬那奈    　　・　　    下落合耕一:鈴木浩介　    星野ケンジ:安田顕　    他【原作】  安田弘之『ショムニ』(メディアファクトリー)　    【脚本】  丑尾健太郎　  他　    【音楽】  大島ミチル　    【主題歌】  Serena「ピンクの弾丸」(アリオラジャパン)　    【編成企画】  石井浩二　  清水一幸　    【プロデュース】  岩田祐二(共同テレビ)　    【演出】  鈴木雅之　  小林義則(共同テレビ)　  他　    【制作】  フジテレビ　    【制作著作】  共同テレビ公式ホームページ　  http://www.fujitv.co.jp/shomu2/index.html</t>
  </si>
  <si>
    <t>坪井千夏(江角マキコ)がショムニへ出社してくると、三波まどか(ベッキー)、円山詩織(本田翼)、安倍麗子(安藤サクラ)、小島美鈴(森カンナ)、福田益代(堀内敬子)が昨日までとは違う席に座っていた。千夏が言った通り、“女の価値=男の数"で席順を決めたという。そこで詩織は、お互いをよく知るために親睦会を開こうと提案する。するとまどかは、調べ上げていた千夏らの経歴を読み上げ、もう十分把握していると言い出す。千夏たちは、そう言いながらも自分のことは何も話そうとしないまどかから恋愛話を聞き出そうとした。しかし、まどかは恋とは愚かな人間が陥るシステムエラーだと言い放つ。  　一方、人事部の星野ケンジ(安田顕)と下落合耕一(鈴木浩介)は、社長の前川進(升毅)が、通勤中も下を向いてスマートフォンをいじり、挨拶すらできない社員たちの態度に腹を立てていることを知る。人事部に戻った星野は、職務中にもネットサーフィンをやっている社員がいることを嘆く下落合には見られないように、こっそりアダルトサイトの履歴を消していく。ところがその時、突然会社中のパソコンからエラー音が鳴り響き、まったく使えなくなってしまう。パニック状態に陥った満帆商事は、天才システムエンジニアと言われている坂巻(眞島秀和)に助けを求めた。が、満帆商事にやってきた坂巻の姿を見たまどかは、何故か激しく動揺し…。</t>
  </si>
  <si>
    <t>番組名ショムニ2013　#03</t>
  </si>
  <si>
    <t>社内を歩いていた坪井千夏(江角マキコ)たちショムニの面々は、誰もいない暗い部屋で奇妙な踊りをしている左門大介(三浦翔平)を見かけあ然となる。数日後、秋葉原の地下劇場で、取引先の社長・三筋(入江雅人)と共に地下アイドルの歌に合わせて一心不乱に踊る左門の姿があった。劇場でアイドルグッズを売っていた千夏と出くわした左門は、これは接待だと説明する。ある日、円山詩織(本田翼)が出社してくると、千夏たち5人がせっせと休暇届を書いていた。提出する課長がいないため、人事部に向かった千夏たちだが、星野ケンジ(安田顕)と下落合耕一(鈴木浩介)に課長代理を立てろと軽くあしらわれたあげく、メンタルヘルス検診の開催準備を一任される。メンタルヘルス検診とは、職場内ストレスにより休職届を出す社員が増えていることに腹を立てている社長の前川進(升毅)に、星野と下落合が提案した改善対策だった。当日の進行や医師の手配まですべてを任せると言い、失敗したらクビをほのめかす発言をされて動き出すショムニ。そんな折、社内に検診のチラシを配っていた詩織は、左門が一度は決まった三筋との事業計画が中止になったと告げられる現場に出くわす。食い下がる左門だが、上司は聞く耳を持たない。そして検診当日、詩織が日時を間違って伝えてしまったため、医師が来られないことが発覚し…。坪井千夏:　江角マキコ　  三波まどか:　ベッキー　  円山詩織:　本田翼　  安倍麗子:　安藤サクラ　  小島美鈴:　森カンナ　  福田益代:　堀内敬子  　　・　　  左門大介:　三浦翔平  　　・　　  壇上みき:　片瀬那奈  　　・　　  下落合耕一:鈴木浩介　  星野ケンジ:安田顕　    他【原作】  安田弘之『ショムニ』(メディアファクトリー)　    【脚本】  丑尾健太郎　  他　    【音楽】  大島ミチル　    【主題歌】  Serena「ピンクの弾丸」(アリオラジャパン)　    【編成企画】  石井浩二　  清水一幸　    【プロデュース】  岩田祐二(共同テレビ)　    【演出】  鈴木雅之　  小林義則(共同テレビ)　  他　    【制作】  フジテレビ　    【制作著作】  共同テレビ公式ホームページ　  http://www.fujitv.co.jp/shomu2/index.html</t>
  </si>
  <si>
    <t>社内を歩いていた坪井千夏(江角マキコ)たちショムニの面々は、誰もいない暗い部屋で奇妙な踊りをしている左門大介(三浦翔平)を見かけあ然となる。数日後、秋葉原の地下劇場で、取引先の社長・三筋(入江雅人)と共に地下アイドルの歌に合わせて一心不乱に踊る左門の姿があった。劇場でアイドルグッズを売っていた千夏と出くわした左門は、これは接待だと説明する。ある日、円山詩織(本田翼)が出社してくると、千夏たち5人がせっせと休暇届を書いていた。提出する課長がいないため、人事部に向かった千夏たちだが、星野ケンジ(安田顕)と下落合耕一(鈴木浩介)に課長代理を立てろと軽くあしらわれたあげく、メンタルヘルス検診の開催準備を一任される。メンタルヘルス検診とは、職場内ストレスにより休職届を出す社員が増えていることに腹を立てている社長の前川進(升毅)に、星野と下落合が提案した改善対策だった。当日の進行や医師の手配まですべてを任せると言い、失敗したらクビをほのめかす発言をされて動き出すショムニ。そんな折、社内に検診のチラシを配っていた詩織は、左門が一度は決まった三筋との事業計画が中止になったと告げられる現場に出くわす。食い下がる左門だが、上司は聞く耳を持たない。そして検診当日、詩織が日時を間違って伝えてしまったため、医師が来られないことが発覚し…。</t>
  </si>
  <si>
    <t>番組名ショムニ2013　#04</t>
  </si>
  <si>
    <t>坪井千夏(江角マキコ)は、福田益代(堀内敬子)の携帯電話にひっきりなしに届くメールに苛立つ。三波まどか(ベッキー)によれば、益代が登録していた婚活サイトのデータが流出したことが原因だった。同じころ、壇上みき(片瀬那奈)は、新たなビジネスパートナーとして満帆商事に来た人気婚活サイト『マッチング・ラブ』運営会社の社長・青柳亮大(前川泰之)にひと目ぼれしていた。青柳自身も『マッチング・ラブ』に登録していると知った壇上は、さっそく自分も登録を済ませる。さらに、まどかに勧められた益代、経営企画室をライバル視する上司から登録を命じられた左門大介(三浦翔平)、そんな左門の姿を見ていた円山詩織(本田翼)も、それぞれ『マッチング・ラブ』に登録する。  　一方、満帆商事社長・前川進(升毅)の甥で、IT事業部課長の錦山博之(高橋光臣)は、密かに想いを寄せている小島美鈴(森カンナ)に振られたという男性社員の話を偶然聞いてしまう。その夜、ショムニメンバーは、美鈴のはからいで合コンに参加する。が、千夏たちは、男性陣のあまりの草食ぶりに呆れていた。  　そんなある日、前川の元に、美鈴が社内中の男をもてあそんでいるという怪文書が届く。前川は、人事部の星野ケンジ(安田顕)と下落合耕一(鈴木浩介)を呼び、事実確認をしたうえで美鈴を処罰するように命じ…。坪井千夏:　江角マキコ　    三波まどか:　ベッキー　    円山詩織:　本田翼　    安倍麗子:　安藤サクラ　    小島美鈴:　森カンナ　    福田益代:　堀内敬子    　　・　　    左門大介:　三浦翔平    　　・　　    壇上みき:　片瀬那奈    　　・　　    下落合耕一:　鈴木浩介　    星野ケンジ:　安田顕　    他【原作】  安田弘之『ショムニ』(メディアファクトリー)　    【脚本】  丑尾健太郎　    ほか　    【編成企画】  石井浩二　  清水一幸　    【プロデュース】  岩田祐二(共同テレビ)　    【演出】  鈴木雅之　  小林義則(共同テレビ)　  佐藤源太(共同テレビ)　    ほか　    【音楽】  大島ミチル　    【主題歌】  Serena「ピンクの弾丸」(アリオラジャパン)【制作】  フジテレビ　    【制作著作】  共同テレビ公式ホームページ　  http://www.fujitv.co.jp/shomu2/index.html</t>
  </si>
  <si>
    <t>坪井千夏(江角マキコ)は、福田益代(堀内敬子)の携帯電話にひっきりなしに届くメールに苛立つ。三波まどか(ベッキー)によれば、益代が登録していた婚活サイトのデータが流出したことが原因だった。同じころ、壇上みき(片瀬那奈)は、新たなビジネスパートナーとして満帆商事に来た人気婚活サイト『マッチング・ラブ』運営会社の社長・青柳亮大(前川泰之)にひと目ぼれしていた。青柳自身も『マッチング・ラブ』に登録していると知った壇上は、さっそく自分も登録を済ませる。さらに、まどかに勧められた益代、経営企画室をライバル視する上司から登録を命じられた左門大介(三浦翔平)、そんな左門の姿を見ていた円山詩織(本田翼)も、それぞれ『マッチング・ラブ』に登録する。  　一方、満帆商事社長・前川進(升毅)の甥で、IT事業部課長の錦山博之(高橋光臣)は、密かに想いを寄せている小島美鈴(森カンナ)に振られたという男性社員の話を偶然聞いてしまう。その夜、ショムニメンバーは、美鈴のはからいで合コンに参加する。が、千夏たちは、男性陣のあまりの草食ぶりに呆れていた。  　そんなある日、前川の元に、美鈴が社内中の男をもてあそんでいるという怪文書が届く。前川は、人事部の星野ケンジ(安田顕)と下落合耕一(鈴木浩介)を呼び、事実確認をしたうえで美鈴を処罰するように命じ…。</t>
  </si>
  <si>
    <t>番組名ショムニ2013　#05</t>
  </si>
  <si>
    <t>満帆商事の新営業本部長決定を目前に、坪井千夏(江角マキコ)たちショムニが開催した“新本部長ダービー"に社員が殺到する。円山詩織(本田翼)を除くショムニメンバーも参加し、それぞれが有力候補の3人に賭けていた。ところが選ばれたのは冴えないと評判の男で、唯一、彼に投票していた小島美鈴(森カンナ)のひとり勝ちとなる。三波まどか(ベッキー)によると、有力候補の3人は業務違反を犯していたという。その事態を受け、壇上みき(片瀬那奈)は社長の前川進(升毅)に、社員へのコンプライアンスを徹底すべきだと訴えた。前川は、人事部の星野ケンジ(安田顕)と下落合耕一(鈴木浩介)に早急に対応するように命じる。ショムニでは、まどかがこれまで部長や役員に昇格した人たちを調べ、すべて美鈴と付き合っていたことが明らかになる。  　やがて「コンプライアンス委員会」が発足する。会議には各部署の代表が集められ、詩織や左門大介(三浦翔平)も参加する。委員長となった壇上からたくさんの禁止事項が発表された。違反者には処分もあると聞いた総務課長の五十嵐幸一(飯田基祐)は反対するが、賛成多数で決定となる。詩織が会議から戻ると、千夏たちは来週発表になる総務部の“新部長ダービー"を行っていた。詩織は慌てて止めるが、逆に千夏から参加を勧められる。千夏によれば、誰も賭けていない五十嵐は、今、美鈴の一番お気に入りらしく…。坪井千夏:　江角マキコ　    三波まどか:　ベッキー　    円山詩織:　本田翼　    安倍麗子:　安藤サクラ　    小島美鈴:　森カンナ　    福田益代:　堀内敬子    　　・　　    左門大介:　三浦翔平    　　・　　    壇上みき:　片瀬那奈    　　・　　    下落合耕一:　鈴木浩介　    星野ケンジ:　安田顕　    他【原作】  安田弘之『ショムニ』(メディアファクトリー)　    【脚本】  丑尾健太郎　  他　    【音楽】  大島ミチル　    【主題歌】  Serena「ピンクの弾丸」(アリオラジャパン)　    【編成企画】  石井浩二　  清水一幸　    【プロデュース】  岩田祐二(共同テレビ)　    【演出】  鈴木雅之　  小林義則(共同テレビ)　  佐藤源太(共同テレビ)　    他【制作】  フジテレビ　    【制作著作】  共同テレビ公式ホームページ　  http://www.fujitv.co.jp/shomu2/index.html</t>
  </si>
  <si>
    <t>満帆商事の新営業本部長決定を目前に、坪井千夏(江角マキコ)たちショムニが開催した“新本部長ダービー"に社員が殺到する。円山詩織(本田翼)を除くショムニメンバーも参加し、それぞれが有力候補の3人に賭けていた。ところが選ばれたのは冴えないと評判の男で、唯一、彼に投票していた小島美鈴(森カンナ)のひとり勝ちとなる。三波まどか(ベッキー)によると、有力候補の3人は業務違反を犯していたという。その事態を受け、壇上みき(片瀬那奈)は社長の前川進(升毅)に、社員へのコンプライアンスを徹底すべきだと訴えた。前川は、人事部の星野ケンジ(安田顕)と下落合耕一(鈴木浩介)に早急に対応するように命じる。ショムニでは、まどかがこれまで部長や役員に昇格した人たちを調べ、すべて美鈴と付き合っていたことが明らかになる。  　やがて「コンプライアンス委員会」が発足する。会議には各部署の代表が集められ、詩織や左門大介(三浦翔平)も参加する。委員長となった壇上からたくさんの禁止事項が発表された。違反者には処分もあると聞いた総務課長の五十嵐幸一(飯田基祐)は反対するが、賛成多数で決定となる。詩織が会議から戻ると、千夏たちは来週発表になる総務部の“新部長ダービー"を行っていた。詩織は慌てて止めるが、逆に千夏から参加を勧められる。千夏によれば、誰も賭けていない五十嵐は、今、美鈴の一番お気に入りらしく…。</t>
  </si>
  <si>
    <t>番組名ショムニ2013　#06</t>
  </si>
  <si>
    <t>安倍麗子(安藤サクラ)がショムニでカメを飼い始めた。「一番高い所から一番低い所へ、ひとり落ちてくる」とのカメのお告げがあったという。  　社長室では、社長の前川進(升毅)、人事部の星野ケンジ(安田顕)と下落合耕一(鈴木浩介)、左門大介(三浦翔平)ら海外事業部、壇上みき(片瀬那奈)ら経営企画室の面々が集まり、アメリカに本社を置くコネチカットバーガーの社長・スミスらと対面していた。前川は、日本での販売権を獲得しようと、親日家のスミスに浴衣をプレゼントする。すると、スミスはお礼にとスミスの故郷の名産品“ツーントセイミング"を取り出す。一同が缶詰を開けると強烈な悪臭が部屋中に充満…平然としているスミスたちを見て、誰もがそれを口に出せずにいたが、そこへ営業推進部の課長・梶山太一(大倉孝二)が入ってきて、臭いと言い放ちゴミ箱に捨てようとする。慌てて止めに入った下落合は、缶詰を食べて美味しいと絶賛し場を取り繕う。  　この一件が元で、梶山は庶務二課へ異動となる。そして、前川は今月の社内目標を「空気を読む」に決定、下落合をプロジェクトリーダーに抜擢し、スミスの接待プランを全部署から募集する。  　ショムニで仕事を始めた梶山は、ことごとく空気を読まない発言や行動を繰り返しメンバーを苛立たせる。怒った千夏(江角マキコ)は梶山をショムニから追い出すべく、出世させることを決意する。坪井千夏:　江角マキコ　    三波まどか:　ベッキー　    円山詩織:　本田翼　    安倍麗子:　安藤サクラ　    小島美鈴:　森カンナ　    福田益代:　堀内敬子    　　・　　    左門大介:　三浦翔平    　　・　　    壇上みき:　片瀬那奈    　　・　　    下落合耕一:　鈴木浩介　    星野ケンジ:　安田顕　    他【原作】  安田弘之『ショムニ』(メディアファクトリー)　    【脚本】  丑尾健太郎　    他　    【編成企画】  石井浩二　  清水一幸　    【プロデュース】  岩田祐二(共同テレビ)　    【演出】  鈴木雅之　  小林義則(共同テレビ)　  佐藤源太(共同テレビ)　    他　    【音楽】  大島ミチル　    【主題歌】  Serena「ピンクの弾丸」(アリオラジャパン)【制作】  フジテレビ　    【制作著作】  共同テレビ公式ホームページ　  http://www.fujitv.co.jp/shomu2/index.html</t>
  </si>
  <si>
    <t>安倍麗子(安藤サクラ)がショムニでカメを飼い始めた。「一番高い所から一番低い所へ、ひとり落ちてくる」とのカメのお告げがあったという。  　社長室では、社長の前川進(升毅)、人事部の星野ケンジ(安田顕)と下落合耕一(鈴木浩介)、左門大介(三浦翔平)ら海外事業部、壇上みき(片瀬那奈)ら経営企画室の面々が集まり、アメリカに本社を置くコネチカットバーガーの社長・スミスらと対面していた。前川は、日本での販売権を獲得しようと、親日家のスミスに浴衣をプレゼントする。すると、スミスはお礼にとスミスの故郷の名産品“ツーントセイミング"を取り出す。一同が缶詰を開けると強烈な悪臭が部屋中に充満…平然としているスミスたちを見て、誰もがそれを口に出せずにいたが、そこへ営業推進部の課長・梶山太一(大倉孝二)が入ってきて、臭いと言い放ちゴミ箱に捨てようとする。慌てて止めに入った下落合は、缶詰を食べて美味しいと絶賛し場を取り繕う。  　この一件が元で、梶山は庶務二課へ異動となる。そして、前川は今月の社内目標を「空気を読む」に決定、下落合をプロジェクトリーダーに抜擢し、スミスの接待プランを全部署から募集する。  　ショムニで仕事を始めた梶山は、ことごとく空気を読まない発言や行動を繰り返しメンバーを苛立たせる。怒った千夏(江角マキコ)は梶山をショムニから追い出すべく、出世させることを決意する。</t>
  </si>
  <si>
    <t>番組名ショムニ2013　#07</t>
  </si>
  <si>
    <t>「女子バレーボールワールドグランプリ2013　決勝ラウンド日本×イタリア」延長の際、放送時間繰り下げの場合あり。　庶務二課で坪井千夏(江角マキコ)らが話していると、安倍麗子(安藤サクラ)の幼なじみ・越智いずみ(山下リオ)が訪ねてきた。就職活動で連敗中のいずみは、満帆商事に入りたいと麗子を頼ってきたのだ。人事部の星野ケンジ(安田顕)と下落合耕一(鈴木浩介)は、社長の前川進(升毅)から大学生の就職したい企業ランキングに満帆商事が入っていないことを責められ、インターンの学生たちに良いイメージを与えると宣言する。インターンの説明会で、低姿勢で学生に接する星野たち。そんな態度をネットで冷やかしのコメントを付けて実況している者がいた。  　一方、就職できないのは時代のせいだと嘆くいずみに、千夏はショムニでの研修を提案する。ネットの悪口をみつけた星野と下落合は、書きこんでいるのが大手銀行の頭取の息子である四葉(矢野聖人)だとわかり、やんわりと注意する。四葉は大手企業から内定をもらっているからと平然としていた。　そんな中、左門大介(三浦翔平)のもとに、提携予定のフランスの食品会社から電話が入る。先方は、調印式前に満帆商事の社員食堂の食事を確認したいという。ショムニメンバーが食堂の排水溝のつまりを直していると、星野と下落合が駆け込んできた。ふたりは食堂のスタッフに、明後日の調印式前までにフランス人社長を満足させる新メニューを考えるように命令する。坪井千夏:　江角マキコ　    三波まどか:　ベッキー　    円山詩織:　本田翼　    安倍麗子:　安藤サクラ　    小島美鈴:　森カンナ　    福田益代:　堀内敬子    　　・　　    左門大介:　三浦翔平    　　・　　    壇上みき:　片瀬那奈    　　・　　    下落合耕一:　鈴木浩介　    星野ケンジ:　安田顕　    他【原作】  安田弘之『ショムニ』(メディアファクトリー)　    【脚本】  丑尾健太郎　  ほか　    【編成企画】  石井浩二　  清水一幸　    【プロデュース】  岩田祐二(共同テレビ)　    【演出】  鈴木雅之　  小林義則(共同テレビ)　  佐藤源太(共同テレビ)　  ほか　    【音楽】  大島ミチル　    【主題歌】  Serena「ピンクの弾丸」(アリオラジャパン)【制作】  フジテレビ　    【制作著作】  共同テレビ公式ホームページ　  http://www.fujitv.co.jp/shomu2/index.html</t>
  </si>
  <si>
    <t>「女子バレーボールワールドグランプリ2013　決勝ラウンド日本×イタリア」延長の際、放送時間繰り下げの場合あり。　庶務二課で坪井千夏(江角マキコ)らが話していると、安倍麗子(安藤サクラ)の幼なじみ・越智いずみ(山下リオ)が訪ねてきた。就職活動で連敗中のいずみは、満帆商事に入りたいと麗子を頼ってきたのだ。人事部の星野ケンジ(安田顕)と下落合耕一(鈴木浩介)は、社長の前川進(升毅)から大学生の就職したい企業ランキングに満帆商事が入っていないことを責められ、インターンの学生たちに良いイメージを与えると宣言する。インターンの説明会で、低姿勢で学生に接する星野たち。そんな態度をネットで冷やかしのコメントを付けて実況している者がいた。  　一方、就職できないのは時代のせいだと嘆くいずみに、千夏はショムニでの研修を提案する。ネットの悪口をみつけた星野と下落合は、書きこんでいるのが大手銀行の頭取の息子である四葉(矢野聖人)だとわかり、やんわりと注意する。四葉は大手企業から内定をもらっているからと平然としていた。　そんな中、左門大介(三浦翔平)のもとに、提携予定のフランスの食品会社から電話が入る。先方は、調印式前に満帆商事の社員食堂の食事を確認したいという。ショムニメンバーが食堂の排水溝のつまりを直していると、星野と下落合が駆け込んできた。ふたりは食堂のスタッフに、明後日の調印式前までにフランス人社長を満足させる新メニューを考えるように命令する。</t>
  </si>
  <si>
    <t>番組名ショムニ2013　#08</t>
  </si>
  <si>
    <t>居酒屋で坪井千夏(江角マキコ)らと飲んでいた円山詩織(本田翼)は、酔って眠ってしまう。左門大介(三浦翔平)と結婚する夢を見ていた詩織が目を覚ますと、ショムニメンバーはすでに帰宅していた。海外事業部では、奈良崎グループとブライダルプロジェクトの提携話が進んでいた。打ち合わせのためにやってくる奈良崎グループの部長を出迎えた左門は、一緒にやってきたプランナーの浦川ナルミ(佐藤江梨子)を見て驚く。新ブランドのお披露目会で模擬結婚式を行うことになり、新郎役は左門が、新婦役は女性社員から選ばれることになった。挙式で使う指輪と特別ボーナスがもらえると聞き、ショムニメンバーはがぜんやる気を出す。しかし人気の高い左門の元には、女性社員たちが押し寄せる。その夜、左門が家に帰るとショムニメンバーがいた。平然と合鍵を使って入ったと言い、かいがいしく世話を焼こうとするショムニメンバーたち。そんな中、アルバムを見ていた千夏は、左門と元恋人の写真を発見する。ひやかされた左門は怒ってショムニメンバーを家から追い出す。しばらくして合鍵を返しにやってきた詩織は、左門に送ってもらう。みんなボーナスが目当てで立候補しているとこぼす左門に、詩織はボーナス目当てではなく新婦役をやりたいと告げるが…。坪井千夏:　江角マキコ　    三波まどか:　ベッキー　    円山詩織:　本田翼　    安倍麗子:　安藤サクラ　    小島美鈴:　森カンナ　    福田益代:　堀内敬子    　　・　　    左門大介:　三浦翔平    　　・　　    壇上みき:　片瀬那奈    　　・　　    下落合耕一:　鈴木浩介　    星野ケンジ:　安田顕　    ほか【原作】  安田弘之『ショムニ』(メディアファクトリー)　    【脚本】  丑尾健太郎　  ほか　    【編成企画】  石井浩二　  清水一幸　    【プロデュース】  岩田祐二(共同テレビ)　    【演出】  鈴木雅之　  小林義則(共同テレビ)　  佐藤源太(共同テレビ)　  ほか　    【音楽】  大島ミチル　    【主題歌】  Serena「ピンクの弾丸」(アリオラジャパン)公式ホームページ　  http://www.fujitv.co.jp/shomu2/index.html</t>
  </si>
  <si>
    <t>居酒屋で坪井千夏(江角マキコ)らと飲んでいた円山詩織(本田翼)は、酔って眠ってしまう。左門大介(三浦翔平)と結婚する夢を見ていた詩織が目を覚ますと、ショムニメンバーはすでに帰宅していた。海外事業部では、奈良崎グループとブライダルプロジェクトの提携話が進んでいた。打ち合わせのためにやってくる奈良崎グループの部長を出迎えた左門は、一緒にやってきたプランナーの浦川ナルミ(佐藤江梨子)を見て驚く。新ブランドのお披露目会で模擬結婚式を行うことになり、新郎役は左門が、新婦役は女性社員から選ばれることになった。挙式で使う指輪と特別ボーナスがもらえると聞き、ショムニメンバーはがぜんやる気を出す。しかし人気の高い左門の元には、女性社員たちが押し寄せる。その夜、左門が家に帰るとショムニメンバーがいた。平然と合鍵を使って入ったと言い、かいがいしく世話を焼こうとするショムニメンバーたち。そんな中、アルバムを見ていた千夏は、左門と元恋人の写真を発見する。ひやかされた左門は怒ってショムニメンバーを家から追い出す。しばらくして合鍵を返しにやってきた詩織は、左門に送ってもらう。みんなボーナスが目当てで立候補しているとこぼす左門に、詩織はボーナス目当てではなく新婦役をやりたいと告げるが…。</t>
  </si>
  <si>
    <t>番組名ショムニ2013　#09</t>
  </si>
  <si>
    <t>満帆商事の廊下で1人の男が、ショムニの制服を着た女に脚立で殴られるという事件が発生した。同じころ、坪井千夏(江角マキコ)が不在のショムニに、円山詩織(本田翼)が大きな荷物を抱えて入ってきた。荷物の中身は大量のコスプレ用衣装!満帆商事は、IT企業・フォローウィンドエージェンシーと業務提携の話が進んでおり、夜にはフォローウィンドエージェンシーが満帆商事全社員を招待して、船上コスプレパーティーが行われることになっていたのだ。IT企業といえば、若くイケメンぞろいということで、三波まどか(ベッキー)らは気合い十分!  　傷害事件の被害者は、業務提携先フォローウィンドエージェンシーの剣崎社長(戸次重幸)だった。事件を目撃した左門大介(三浦翔平)によって医務室に運ばれ、治療を受けていたがまだ意識は戻っていない…。左門の目撃証言から、人事部の星野ケンジ(安田顕)と下落合耕一(鈴木浩介)はショムニへ向かい、ショムニメンバーを引き止めて取り調べを行う。結果、星野らは午前中からコスプレ準備で外出している千夏を犯人と断定!社内指名手配をかける。会社に戻ってきた千夏は、自分が社内指名手配されている貼り紙を見てあわてて逃走する。社員がパーティーに向かい、人がいなくなった会社で、ショムニに電話をしてやっと事情を把握した千夏は、すでに船にいる詩織に自分が行くまで出航を遅らせるように指示を出し、真犯人を捜し始める。坪井千夏:　江角マキコ　    三波まどか:　ベッキー　    円山詩織:　本田翼　    安倍麗子:　安藤サクラ　    小島美鈴:　森カンナ　    福田益代:　堀内敬子    　　・　　    左門大介:　三浦翔平    　　・　　    壇上みき:　片瀬那奈    　　・　　    下落合耕一:　鈴木浩介　    星野ケンジ:　安田顕　    ほか【原作】  安田弘之『ショムニ』(メディアファクトリー)　    【脚本】  丑尾健太郎　  ほか    【編成企画】  石井浩二　  清水一幸　    【プロデュース】  岩田祐二(共同テレビ)　    【演出】  鈴木雅之　  小林義則(共同テレビ)　  佐藤源太(共同テレビ)　  ほか    【音楽】  大島ミチル　    【主題歌】  Serena「ピンクの弾丸」(アリオラジャパン)【制作】  フジテレビ　    【制作著作】  共同テレビ公式ホームページ　  http://www.fujitv.co.jp/shomu2/index.html</t>
  </si>
  <si>
    <t>満帆商事の廊下で1人の男が、ショムニの制服を着た女に脚立で殴られるという事件が発生した。同じころ、坪井千夏(江角マキコ)が不在のショムニに、円山詩織(本田翼)が大きな荷物を抱えて入ってきた。荷物の中身は大量のコスプレ用衣装!満帆商事は、IT企業・フォローウィンドエージェンシーと業務提携の話が進んでおり、夜にはフォローウィンドエージェンシーが満帆商事全社員を招待して、船上コスプレパーティーが行われることになっていたのだ。IT企業といえば、若くイケメンぞろいということで、三波まどか(ベッキー)らは気合い十分!  　傷害事件の被害者は、業務提携先フォローウィンドエージェンシーの剣崎社長(戸次重幸)だった。事件を目撃した左門大介(三浦翔平)によって医務室に運ばれ、治療を受けていたがまだ意識は戻っていない…。左門の目撃証言から、人事部の星野ケンジ(安田顕)と下落合耕一(鈴木浩介)はショムニへ向かい、ショムニメンバーを引き止めて取り調べを行う。結果、星野らは午前中からコスプレ準備で外出している千夏を犯人と断定!社内指名手配をかける。会社に戻ってきた千夏は、自分が社内指名手配されている貼り紙を見てあわてて逃走する。社員がパーティーに向かい、人がいなくなった会社で、ショムニに電話をしてやっと事情を把握した千夏は、すでに船にいる詩織に自分が行くまで出航を遅らせるように指示を出し、真犯人を捜し始める。</t>
  </si>
  <si>
    <t>番組名ショムニ2013　#10</t>
  </si>
  <si>
    <t>公式ホームページ　  http://www.fujitv.co.jp/shomu2/index.html　坪井千夏(江角マキコ)の傷害容疑が晴れ、ショムニメンバーも船上コスプレパーティーに乗り込むことができた。しかし、パーティーはフォローウィンドエージェンシーが、満帆商事を乗っ取るための罠だった。満帆商事の社員たちはバラバラに子会社や系列会社に出向させられる。千夏たちショムニメンバーは、「満帆食品」の豆腐二課、通称「トフニ」に配属されていた。そんな中、工場に剣崎(戸次重幸)たちがやってくる。剣崎は今月いっぱいで満帆食品を手放すと一方的に告げて去っていく。  　後日、千夏たちは剣崎に会うために満帆商事へ行くが、剣崎の秘書となった左門大介(三浦翔平)に邪魔をされる。左門は、話なら自分が聞くと千夏たちを強引に庶務二課へ連れて行き、剣崎がやがて満帆食品をはじめとする子会社をすべて売却して、社員たちを解雇する計画であることを話す。そして、この件は手を出さないように千夏たちに念を押して出て行った。　一方、剣崎はさらなる業務提携を進めていた、提携先は右京カンパニー。社長はあの右京友弘(石黒賢)だ。満帆商事のロビーで再会した千夏と右京。右京に「剣崎と関わらない方がいい」と忠告する千夏に、「自分の目で判断する」と告げる右京。  　ある朝、円山詩織(本田翼)が新聞を片手に「トフニ」に駆け込んできた。その新聞には左門が逮捕されたという記事が掲載されていて…。坪井千夏:　江角マキコ　    三波まどか:　ベッキー　    円山詩織:　本田翼　    安倍麗子:　安藤サクラ　    小島美鈴:　森カンナ　    福田益代:　堀内敬子    　　・　　    左門大介:　三浦翔平    　　・　　    壇上みき:　片瀬那奈    　　・　　    下落合耕一:　鈴木浩介　    星野ケンジ:　安田顕　    他【原作】  安田弘之『ショムニ』(メディアファクトリー)　    【脚本】  丑尾健太郎　  ほか　    【編成企画】  石井浩二　  清水一幸　    【プロデュース】  岩田祐二(共同テレビ)　    【演出】  鈴木雅之　  小林義則(共同テレビ)　  佐藤源太(共同テレビ)　  ほか　    【音楽】  大島ミチル　    【主題歌】  Serena「ピンクの弾丸」(アリオラジャパン)【制作】  フジテレビ　    【制作著作】  共同テレビ</t>
  </si>
  <si>
    <t>坪井千夏(江角マキコ)の傷害容疑が晴れ、ショムニメンバーも船上コスプレパーティーに乗り込むことができた。しかし、パーティーはフォローウィンドエージェンシーが、満帆商事を乗っ取るための罠だった。満帆商事の社員たちはバラバラに子会社や系列会社に出向させられる。千夏たちショムニメンバーは、「満帆食品」の豆腐二課、通称「トフニ」に配属されていた。そんな中、工場に剣崎(戸次重幸)たちがやってくる。剣崎は今月いっぱいで満帆食品を手放すと一方的に告げて去っていく。  　後日、千夏たちは剣崎に会うために満帆商事へ行くが、剣崎の秘書となった左門大介(三浦翔平)に邪魔をされる。左門は、話なら自分が聞くと千夏たちを強引に庶務二課へ連れて行き、剣崎がやがて満帆食品をはじめとする子会社をすべて売却して、社員たちを解雇する計画であることを話す。そして、この件は手を出さないように千夏たちに念を押して出て行った。　一方、剣崎はさらなる業務提携を進めていた、提携先は右京カンパニー。社長はあの右京友弘(石黒賢)だ。満帆商事のロビーで再会した千夏と右京。右京に「剣崎と関わらない方がいい」と忠告する千夏に、「自分の目で判断する」と告げる右京。  　ある朝、円山詩織(本田翼)が新聞を片手に「トフニ」に駆け込んできた。その新聞には左門が逮捕されたという記事が掲載されていて…。</t>
  </si>
  <si>
    <t>1307_CX_土23</t>
  </si>
  <si>
    <t>山田くんと7人の魔女</t>
  </si>
  <si>
    <t>番組名&lt;土ドラ&gt;山田くんと7人の魔女　#01</t>
  </si>
  <si>
    <t>土ドラアプリも「山田くんと7人の魔女」コンテンツが盛り沢山!イマつぶでもキャスト&amp;スタッフがつぶやくよ!  詳しくは公式番組ホームページ　http://www.fujitv.co.jp/yamadamajo/index.htmlへ!!  公式Facebookも是非「いいね!」してください!　https://www.facebook.com/fujitv.yamadamajo　校内で白石うらら(西内まりや)と山田竜(山本裕典)がキスしている。ピュアでロマンチックなラブシーンと思いきや、決してそうではない。これにはある事件が関係していた…。  　中学時代ヤンキーだった山田は、楽しい学校生活を夢見て、猛勉強の末、名門進学校・朱咲高校に合格。ところが冷めた生徒ばかりで、すっかり腐ってしまい、勉強もせず進級も危うい状態に。  　そんなある日、教師や生徒たちにバカにされた山田は、階段で学校イチ優等生であるうららの姿を見つけるが、足を滑らせて、うららと階段を転げ落ちて気絶してしまう。  　保健室で目覚めトイレに入った山田は、鏡に映った自分の姿が白石うららだったことに驚がくする!一方、山田竜の姿をしたうららは平然と授業を受けていたが、教室に飛び込んできた、うららの姿をした山田に教室から連れ出されてしまう。  　結局、放課後まで入れ替わった姿のまま過ごすことにした2人だったが、山田は優等生のうららが意外と生きづらい学園生活を送っていることを知る。  　その頃、生徒会室では生徒会長・山崎春馬(徳山秀典)が、白石うららに関するミッションについて、副会長・宮村虎之介(井出卓也)に報告を求めたが、色よい返事が帰ってこない。同じく副会長・小田切寧々(大野いと)は「自分に任せてほしい」と山崎に訴える。  　うららと山田の様子に違和感を感じた宮村はうらら(山田)にトラップを仕掛けて…。白石うらら:　西内まりや　  山田竜:　山本裕典  　　　・　　　  伊藤雅:　トリンドル玲奈　  宮村虎之介:　井出卓也　  小田切寧々:　大野いと　  五十嵐潮:　間宮祥太朗　  大塚芽子:　美山加恋　  滝川ノア:　松井愛莉　  猿島マリア:　小島藤子　  猪瀬潤:　永江祐貴  　　　・　　　  飛鳥美琴:　小林涼子　  山崎春馬:　徳山秀典　    ほか【原作】  吉河美希「山田くんと7人の魔女」(週刊少年マガジン連載中)　    【脚本】  小川真　    【編成企画】  清水一幸　    【企画協力】  鹿内植　    【プロデュース】  柳川由起子(共同テレビ)　    【演出】  星護(共同テレビ)　  高丸雅隆(共同テレビ)　    【音楽】  佐橋俊彦　    【主題歌】  前田敦子「タイムマシンなんていらない」(キングレコード)　【制作】  フジテレビ　    【制作著作】  共同テレビ</t>
  </si>
  <si>
    <t>校内で白石うらら(西内まりや)と山田竜(山本裕典)がキスしている。ピュアでロマンチックなラブシーンと思いきや、決してそうではない。これにはある事件が関係していた…。  　中学時代ヤンキーだった山田は、楽しい学校生活を夢見て、猛勉強の末、名門進学校・朱咲高校に合格。ところが冷めた生徒ばかりで、すっかり腐ってしまい、勉強もせず進級も危うい状態に。  　そんなある日、教師や生徒たちにバカにされた山田は、階段で学校イチ優等生であるうららの姿を見つけるが、足を滑らせて、うららと階段を転げ落ちて気絶してしまう。  　保健室で目覚めトイレに入った山田は、鏡に映った自分の姿が白石うららだったことに驚がくする!一方、山田竜の姿をしたうららは平然と授業を受けていたが、教室に飛び込んできた、うららの姿をした山田に教室から連れ出されてしまう。  　結局、放課後まで入れ替わった姿のまま過ごすことにした2人だったが、山田は優等生のうららが意外と生きづらい学園生活を送っていることを知る。  　その頃、生徒会室では生徒会長・山崎春馬(徳山秀典)が、白石うららに関するミッションについて、副会長・宮村虎之介(井出卓也)に報告を求めたが、色よい返事が帰ってこない。同じく副会長・小田切寧々(大野いと)は「自分に任せてほしい」と山崎に訴える。  　うららと山田の様子に違和感を感じた宮村はうらら(山田)にトラップを仕掛けて…。</t>
  </si>
  <si>
    <t>番組名&lt;土ドラ&gt;山田くんと7人の魔女　#02</t>
  </si>
  <si>
    <t>土ドラアプリもコンテンツが盛り沢山!イマつぶでもキャスト&amp;スタッフがつぶやいてます!毎週オンエア時のライブツイートもお楽しみに!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https://www.facebook.com/fujitv.yamadamajo　朱咲高校の裏庭。宮村(井出卓也)と次期生徒会長の座を争う小田切寧々(大野いと)に呼び出された山田(山本裕典)は、「前から気になってたんだ…」と突然の告白を受ける。困惑する山田に構わずキスしようとする寧々。入れ替わってしまうことを恐れた山田だったが、強引に唇を奪われてしまう。  　翌日、山田は、寧々に告白されて無理矢理キスされたことを宮村に明かす。と、宮村はあることに気づく。山田と寧々の間に起こった不思議な現象を解明する為、超常現象研究部の部室で人目を忍んでキスをする山田と宮村。ところが入部希望と称して突然入って来た伊藤雅(トリンドル玲奈)に現場を目撃されてしまう。誤解を解くために、仕方なく“キスは神聖なる入部の儀式"であるとデタラメな説明をするが、雅は「私は本気よ!」と山田にキスをする。その直後、宮村と雅の山田に対する態度が豹変して…。  　宮村から魔女伝説ノートの存在を聞き出した雅に、手元にない下巻を探そうと『開かずの間』に連れて来られた山田は、偶然、寧々と五十嵐潮(間宮祥太朗)の話を聞いてしまう。潮が寧々の手下になっていることに疑問を感じる山田。何やら山田と潮の間にはただならぬ因縁が…。  　うらら(西内まりや)の分析によって、身の回りに起こる不思議な現象と自分の能力が理解できてきた山田は、宮村や雅にも乗せられて魔女を探すことを決意する…。白石うらら:　西内まりや　  山田竜:　山本裕典  　　　　　　　  伊藤雅:　トリンドル玲奈　  宮村虎之介:　井出卓也　  小田切寧々:　大野いと　  五十嵐潮:　間宮祥太朗　  大塚芽子:　美山加恋　  滝川ノア:　松井愛莉　  猿島マリア:　小島藤子　  猪瀬潤:　永江祐貴  　　　　　　　  飛鳥美琴:　小林涼子　  山崎春馬:　徳山秀典　    ほか【原作】  吉河美希「山田くんと7人の魔女」(週刊少年マガジン連載中)　    【脚本】  小川真　    【編成企画】  清水一幸　    【企画協力】  鹿内植　    【プロデュース】  柳川由起子(共同テレビ)　    【演出】  星護(共同テレビ)　  高丸雅隆(共同テレビ)　    【音楽】  佐橋俊彦　    【主題歌】  前田敦子「タイムマシンなんていらない」(キングレコード)【制作】  フジテレビ　    【制作著作】  共同テレビ</t>
  </si>
  <si>
    <t>朱咲高校の裏庭。宮村(井出卓也)と次期生徒会長の座を争う小田切寧々(大野いと)に呼び出された山田(山本裕典)は、「前から気になってたんだ…」と突然の告白を受ける。困惑する山田に構わずキスしようとする寧々。入れ替わってしまうことを恐れた山田だったが、強引に唇を奪われてしまう。  　翌日、山田は、寧々に告白されて無理矢理キスされたことを宮村に明かす。と、宮村はあることに気づく。山田と寧々の間に起こった不思議な現象を解明する為、超常現象研究部の部室で人目を忍んでキスをする山田と宮村。ところが入部希望と称して突然入って来た伊藤雅(トリンドル玲奈)に現場を目撃されてしまう。誤解を解くために、仕方なく“キスは神聖なる入部の儀式"であるとデタラメな説明をするが、雅は「私は本気よ!」と山田にキスをする。その直後、宮村と雅の山田に対する態度が豹変して…。  　宮村から魔女伝説ノートの存在を聞き出した雅に、手元にない下巻を探そうと『開かずの間』に連れて来られた山田は、偶然、寧々と五十嵐潮(間宮祥太朗)の話を聞いてしまう。潮が寧々の手下になっていることに疑問を感じる山田。何やら山田と潮の間にはただならぬ因縁が…。  　うらら(西内まりや)の分析によって、身の回りに起こる不思議な現象と自分の能力が理解できてきた山田は、宮村や雅にも乗せられて魔女を探すことを決意する…。</t>
  </si>
  <si>
    <t>番組名&lt;土ドラ&gt;山田くんと7人の魔女　#03</t>
  </si>
  <si>
    <t>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https://www.facebook.com/fujitv.yamadamajo　キスすることで魔女の能力をコピーできることが分かった山田竜(山本裕典)を使い、魔女探しをすることになった超常現象研究部。ところが山田には進級を賭けた補習と追試が迫っていた。前回同様、白石うらら(西内まりや)と入れ替わって追試をパスしようと企んだ山田だったが、うららに一蹴され、止むなく補習を受ける。  　補習中、山田は斜め前にいた大塚芽子(美山加恋)がスケッチブックに何かを描き続けているのに気付く。補習が終わり、芽子のスケッチブックを勝手に見る山田。描かれていた漫画の見事な出来栄えに、思わず「また描いたら見せてよ」と言うと、芽子にいきなりキスされてしまう。「お礼です」という芽子だったが…。  　芽子とキスしても入れ替わらなかったことを不思議に思った山田は、超常現象研究部の面々に報告する。小田切寧々(大野いと)の時と同じで“入れ替わらない"ということは「芽子さんは魔女よ」とうらら。ハッキリさせたい宮村虎之介(井出卓也)は山田の不意を突いてキスをするが、何も変化がない。「魔女じゃないのかな…」とがっかりする伊藤雅(トリンドル玲奈)。すると…  　予想外の方法で芽子からSOSを受けた山田は、芽子の相談に乗っているうちに、うららと入れ替わって前回の追試をパスしたことを知られてしまう。魔女探しの為、芽子から情報を聞き出したい宮村は、追試をパスできるように協力を約束するが、思わぬ邪魔が入り…。白石うらら:　西内まりや　  山田竜:　山本裕典  　　　　　　　  伊藤雅:　トリンドル玲奈　  宮村虎之介:　井出卓也　  小田切寧々:　大野いと　  五十嵐潮:　間宮祥太朗　  大塚芽子:　美山加恋　  滝川ノア:　松井愛莉　  猿島マリア:　小島藤子　  猪瀬潤:　永江祐貴  　　　　　　　  飛鳥美琴:　小林涼子　  山崎春馬:　徳山秀典　    ほか【原作】  吉河美希「山田くんと7人の魔女」(週刊少年マガジン連載中)　    【脚本】  小川真　    【編成企画】  清水一幸　    【企画協力】  鹿内植　    【プロデュース】  柳川由起子(共同テレビ)　    【演出】  星護(共同テレビ)　  高丸雅隆(共同テレビ)【音楽】  佐橋俊彦　    【主題歌】  前田敦子「タイムマシンなんていらない」(キングレコード)　    【制作】  フジテレビ　    【制作著作】  共同テレビ</t>
  </si>
  <si>
    <t>キスすることで魔女の能力をコピーできることが分かった山田竜(山本裕典)を使い、魔女探しをすることになった超常現象研究部。ところが山田には進級を賭けた補習と追試が迫っていた。前回同様、白石うらら(西内まりや)と入れ替わって追試をパスしようと企んだ山田だったが、うららに一蹴され、止むなく補習を受ける。  　補習中、山田は斜め前にいた大塚芽子(美山加恋)がスケッチブックに何かを描き続けているのに気付く。補習が終わり、芽子のスケッチブックを勝手に見る山田。描かれていた漫画の見事な出来栄えに、思わず「また描いたら見せてよ」と言うと、芽子にいきなりキスされてしまう。「お礼です」という芽子だったが…。  　芽子とキスしても入れ替わらなかったことを不思議に思った山田は、超常現象研究部の面々に報告する。小田切寧々(大野いと)の時と同じで“入れ替わらない"ということは「芽子さんは魔女よ」とうらら。ハッキリさせたい宮村虎之介(井出卓也)は山田の不意を突いてキスをするが、何も変化がない。「魔女じゃないのかな…」とがっかりする伊藤雅(トリンドル玲奈)。すると…  　予想外の方法で芽子からSOSを受けた山田は、芽子の相談に乗っているうちに、うららと入れ替わって前回の追試をパスしたことを知られてしまう。魔女探しの為、芽子から情報を聞き出したい宮村は、追試をパスできるように協力を約束するが、思わぬ邪魔が入り…。</t>
  </si>
  <si>
    <t>番組名&lt;土ドラ&gt;山田くんと7人の魔女　#04</t>
  </si>
  <si>
    <t>「女子バレーボールワールドグランプリ2013　決勝ラウンド日本×中国」延長の際、放送時間繰り下げの場合あり。土ドラアプリもコンテンツが盛り沢山!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https://www.facebook.com/fujitv.yamadamajo　魔女同士がキスをしても“特殊能力"にかからないことを発見した超常現象研究部。『テレパシー』の能力を持つ大塚芽子(美山加恋)から聞いた、“キスをしたのに気持ちが読み取れなかった"滝川ノア(松井愛莉)は魔女に違いない、そう考えた山田竜(山本裕典)はノアの持つ魔女の能力について調べる為、すぐに行動に移す。  　その頃、生徒会室では校内で最近頻繁に起こっている“ある事件"について対策が練られていた。被害にあった生徒の名簿を見ていた飛鳥美琴(小林涼子)は、被害者がいずれも同じ中学出身の1年生であることに気づく。生徒会長の山崎春馬(徳山秀典)は、次に狙われる可能性が高い同じ中学出身の1年生で残る1人、ノアをマークして事件を未然に防ぐように宮村虎之介(井出卓也)と小田切寧々(大野いと)に命じる。  　次期生徒会長の座を狙う宮村は、同じ超常現象研究部の白石うらら(西内まりや)と伊藤雅(トリンドル玲奈)そして山田に協力を仰ぐ。そんな矢先、うららはノアから呼び出しを受けるが、不審に思った山田はある作戦を立てた…。  　山田の考えた作戦が功を奏し、事件の犯人からノアの能力を聞き出した山田だったが、その能力の使い方に憤りを隠せなかった。山田はノアに詰め寄り、一気にまくしたてるが「じゃあ、教えてあげる」とノアにキスをされた瞬間、動けなくなってしまう…。その時、山田が見たものとは、はたして何なのか!?白石うらら:　西内まりや　  山田竜:　山本裕典  　　　　　　　  伊藤雅:　トリンドル玲奈　  宮村虎之介:　井出卓也　  小田切寧々:　大野いと　  五十嵐潮:　間宮祥太朗　  大塚芽子:　美山加恋　  滝川ノア:　松井愛莉　  猿島マリア:　小島藤子　  猪瀬潤:　永江祐貴  　　　　　　　  飛鳥美琴:　小林涼子　  山崎春馬:　徳山秀典　    ほか【原作】  吉河美希「山田くんと7人の魔女」(週刊少年マガジン連載中)　    【脚本】  小川真　    【編成企画】  清水一幸　    【企画協力】  鹿内植　    【プロデュース】  柳川由起子(共同テレビ)　    【演出】  星護(共同テレビ)　  高丸雅隆(共同テレビ)　    【音楽】  佐橋俊彦　    【主題歌】  前田敦子「タイムマシンなんていらない」(キングレコード)【制作】  フジテレビ　    【制作著作】  共同テレビ</t>
  </si>
  <si>
    <t>魔女同士がキスをしても“特殊能力"にかからないことを発見した超常現象研究部。『テレパシー』の能力を持つ大塚芽子(美山加恋)から聞いた、“キスをしたのに気持ちが読み取れなかった"滝川ノア(松井愛莉)は魔女に違いない、そう考えた山田竜(山本裕典)はノアの持つ魔女の能力について調べる為、すぐに行動に移す。  　その頃、生徒会室では校内で最近頻繁に起こっている“ある事件"について対策が練られていた。被害にあった生徒の名簿を見ていた飛鳥美琴(小林涼子)は、被害者がいずれも同じ中学出身の1年生であることに気づく。生徒会長の山崎春馬(徳山秀典)は、次に狙われる可能性が高い同じ中学出身の1年生で残る1人、ノアをマークして事件を未然に防ぐように宮村虎之介(井出卓也)と小田切寧々(大野いと)に命じる。  　次期生徒会長の座を狙う宮村は、同じ超常現象研究部の白石うらら(西内まりや)と伊藤雅(トリンドル玲奈)そして山田に協力を仰ぐ。そんな矢先、うららはノアから呼び出しを受けるが、不審に思った山田はある作戦を立てた…。  　山田の考えた作戦が功を奏し、事件の犯人からノアの能力を聞き出した山田だったが、その能力の使い方に憤りを隠せなかった。山田はノアに詰め寄り、一気にまくしたてるが「じゃあ、教えてあげる」とノアにキスをされた瞬間、動けなくなってしまう…。その時、山田が見たものとは、はたして何なのか!?</t>
  </si>
  <si>
    <t>番組名&lt;土ドラ&gt;山田くんと7人の魔女　#05</t>
  </si>
  <si>
    <t>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https://www.facebook.com/fujitv.Yamadamajo　滝川ノア(松井愛莉)から聞いた『魔女伝説・下巻』のノートがあるという場所に向かっていた山田竜(山本裕典)は猿島マリア(小島藤子)に呼び止められる。一刻も早くノートを手に入れたい山田は「この先、行っちゃダメよ!」というマリアを尻目に目的の場所へ侵入するが、生徒会長の山崎春馬(徳山秀典)に見つかり、罰として海辺のゴミ拾いを命じられる。  　宮村虎之介(井出卓也)は、山田のゴミ拾いに便乗して超常現象研究部の海合宿を企画する。合宿には白石うらら(西内まりや)、伊藤雅(トリンドル玲奈)の他、“海には沢山の水着女子が必要"という思惑の宮村に誘われた大塚芽子(美山加恋)とマリアも参加していた。  　その後、一同は宮村家別荘に移動。そこでマリアは、予定表に書かれていた『魔女伝説』という文字に関心を示す。宮村の説明に驚くマリア。その隣で「あ、こいつ多分魔女」と山田が言い放つ。  　海外生活が長かったマリアにとって“キス"は挨拶代りだったが、能力が原因で辛い経験をしてからは誰ともキスをしたくなかった。しかし、隠し続けていた能力の話をして、気が緩んだのか、部屋に戻ろうとした時、ついつい隣にいた山田にキスをしてしまう!と、その瞬間、恐怖で山田とマリアの表情が凍りつく…。  　すぐに別荘を後にする一同。超常現象研究部の部室に戻り、うららの身の危険が回避されたかどうかを確かめようとする山田とマリアだったが…。白石うらら:　西内まりや　  山田竜:　山本裕典  　　　　　　　  伊藤雅:　トリンドル玲奈　  宮村虎之介:　井出卓也　  小田切寧々:　大野いと　  五十嵐潮:　間宮祥太朗　  大塚芽子:　美山加恋　  滝川ノア:　松井愛莉　  猿島マリア:　小島藤子　  猪瀬潤:　永江祐貴  　　　　　　　  飛鳥美琴:　小林涼子　  山崎春馬:　徳山秀典　    ほか【原作】  吉河美希「山田くんと7人の魔女」(週刊少年マガジン連載中)　    【脚本】  小川真　    【編成企画】  清水一幸　    【企画協力】  鹿内植　    【プロデュース】  柳川由起子(共同テレビ)　    【演出】  星護(共同テレビ)　  高丸雅隆(共同テレビ)　    【音楽】  佐橋俊彦　    【主題歌】  前田敦子「タイムマシンなんていらない」(キングレコード)【制作】  フジテレビ　    【制作著作】  共同テレビ</t>
  </si>
  <si>
    <t>滝川ノア(松井愛莉)から聞いた『魔女伝説・下巻』のノートがあるという場所に向かっていた山田竜(山本裕典)は猿島マリア(小島藤子)に呼び止められる。一刻も早くノートを手に入れたい山田は「この先、行っちゃダメよ!」というマリアを尻目に目的の場所へ侵入するが、生徒会長の山崎春馬(徳山秀典)に見つかり、罰として海辺のゴミ拾いを命じられる。  　宮村虎之介(井出卓也)は、山田のゴミ拾いに便乗して超常現象研究部の海合宿を企画する。合宿には白石うらら(西内まりや)、伊藤雅(トリンドル玲奈)の他、“海には沢山の水着女子が必要"という思惑の宮村に誘われた大塚芽子(美山加恋)とマリアも参加していた。  　その後、一同は宮村家別荘に移動。そこでマリアは、予定表に書かれていた『魔女伝説』という文字に関心を示す。宮村の説明に驚くマリア。その隣で「あ、こいつ多分魔女」と山田が言い放つ。  　海外生活が長かったマリアにとって“キス"は挨拶代りだったが、能力が原因で辛い経験をしてからは誰ともキスをしたくなかった。しかし、隠し続けていた能力の話をして、気が緩んだのか、部屋に戻ろうとした時、ついつい隣にいた山田にキスをしてしまう!と、その瞬間、恐怖で山田とマリアの表情が凍りつく…。  　すぐに別荘を後にする一同。超常現象研究部の部室に戻り、うららの身の危険が回避されたかどうかを確かめようとする山田とマリアだったが…。</t>
  </si>
  <si>
    <t>番組名&lt;土ドラ&gt;山田くんと7人の魔女　#06</t>
  </si>
  <si>
    <t>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https://www.facebook.com/fujitv.Yamadamajo　自分の持つ能力に悩んでいる猿島マリア(小島藤子)を放っておけない山田竜(山本裕典)は、滝川ノア(松井愛莉)から魔女伝説ノートの下巻に書かれていたという“魔女殺し"の話を聞き、生徒会長の山崎春馬(徳山秀典)と話をつける為、生徒会室に向かう。  　魔女伝説ノートの下巻を見せて欲しいと頼む山田をのらりくらりとかわす春馬。業を煮やした山田は強行突破を試みるが、生徒会長秘書の飛鳥美琴(小林涼子)が立ちはだかる。  　美琴に拘束されてしまった山田は、この状況から脱出しようと美琴の隙を突いてキスをする。入れ替わって脱出しようという作戦だった。ところが…。  　何も知らず生徒会室を訪れた小田切寧々(大野いと)と五十嵐潮(間宮祥太朗)そして宮村虎之介(井出卓也)のおかげで難を逃れた山田は、白石うらら(西内まりや)と伊藤雅(トリンドル玲奈)が待つ超常現象研究部室に戻り、生徒会室で起こった出来事を話す。美琴が魔女かも知れないという話の内容に興味津々の雅は能力を確かめようと山田にキスをするが…。  　魔女伝説ノートの下巻を手に入れることができず、“魔女殺し"の正体も分からない山田はマリアに「もう少し時間が欲しい」と告げる。そんな山田の気持ちがうれしいマリアは、ついつい習慣で山田にキスをしてしまう。呆然とする山田、その瞳から流れる涙。山田は初めて自分の気持ちに気付く。山田が見た未来とは…。白石うらら:　西内まりや　  山田竜:　山本裕典  　　　　　　　  伊藤雅:　トリンドル玲奈　  宮村虎之介:　井出卓也　  小田切寧々:　大野いと　  五十嵐潮:　間宮祥太朗　  大塚芽子:　美山加恋　  滝川ノア:　松井愛莉　  猿島マリア:　小島藤子　  猪瀬潤:　永江祐貴  　　　　　　　  飛鳥美琴:　小林涼子　  山崎春馬:　徳山秀典　    ほか【原作】  吉河美希「山田くんと7人の魔女」(週刊少年マガジン連載中)　    【脚本】  小川真　    【編成企画】  清水一幸　    【企画協力】  鹿内植　    【プロデュース】  柳川由起子(共同テレビ)　    【演出】  星護(共同テレビ)　  高丸雅隆(共同テレビ)　    【音楽】  佐橋俊彦　    【主題歌】  前田敦子「タイムマシンなんていらない」(キングレコード)【制作】  フジテレビ　    【制作著作】  共同テレビ</t>
  </si>
  <si>
    <t>自分の持つ能力に悩んでいる猿島マリア(小島藤子)を放っておけない山田竜(山本裕典)は、滝川ノア(松井愛莉)から魔女伝説ノートの下巻に書かれていたという“魔女殺し"の話を聞き、生徒会長の山崎春馬(徳山秀典)と話をつける為、生徒会室に向かう。  　魔女伝説ノートの下巻を見せて欲しいと頼む山田をのらりくらりとかわす春馬。業を煮やした山田は強行突破を試みるが、生徒会長秘書の飛鳥美琴(小林涼子)が立ちはだかる。  　美琴に拘束されてしまった山田は、この状況から脱出しようと美琴の隙を突いてキスをする。入れ替わって脱出しようという作戦だった。ところが…。  　何も知らず生徒会室を訪れた小田切寧々(大野いと)と五十嵐潮(間宮祥太朗)そして宮村虎之介(井出卓也)のおかげで難を逃れた山田は、白石うらら(西内まりや)と伊藤雅(トリンドル玲奈)が待つ超常現象研究部室に戻り、生徒会室で起こった出来事を話す。美琴が魔女かも知れないという話の内容に興味津々の雅は能力を確かめようと山田にキスをするが…。  　魔女伝説ノートの下巻を手に入れることができず、“魔女殺し"の正体も分からない山田はマリアに「もう少し時間が欲しい」と告げる。そんな山田の気持ちがうれしいマリアは、ついつい習慣で山田にキスをしてしまう。呆然とする山田、その瞳から流れる涙。山田は初めて自分の気持ちに気付く。山田が見た未来とは…。</t>
  </si>
  <si>
    <t>番組名&lt;土ドラ&gt;山田くんと7人の魔女　#07</t>
  </si>
  <si>
    <t>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https://www.facebook.com/fujitv.Yamadamajo　裏サイトに掲載された下着泥棒の写真。あたかも山田竜(山本裕典)が下着泥棒であるかのようにデフォルメされた画像は、山田が海でゴミ拾いをしている姿を宮村虎之介(井出卓也)が撮影したものだった。伊藤雅(トリンドル玲奈)は宮村が裏切り者の“二重スパイ"に違いないと白石うらら(西内まりや)と山田に告げる。  　雅の話を信じたくない山田は意気消沈していた。見兼ねたうららは山田にキスをして入れ替わり、宮村に話を聞きに行く。ところが、あることが原因であっけなく“入れ替わり"を見破られてしまったうららは、やはりこういうことは男同士で話した方が良いと山田に話す。  　超常現象研究部の部室に宮村を訪ねた山田は、“7人目の魔女をみつけること"が生徒会長になる条件で、会長候補に猪瀬潤(永江祐貴)も加わったと聞く。猪瀬が会長になってしまうと未来透視で見た、寂しそうな顔で猪瀬の秘書を務めているうららの姿が現実となってしまう。山田は、是が非でも宮村に会長になってもらいたいところだが、魔女伝説ノート上巻の肝心なところが破れていて7人目の魔女の手掛かりが掴めない。おまけに自分の不注意でジュースまでこぼしてしまっていた。ところが…。  　怪我の功名で得た情報は宮村の表情を一変させる内容だった。山田に「お前に隠していた事がある」と神妙な表情で話し始める。ちょうどその頃、裏庭を歩くうららを呼び止める1人の女子生徒がいた…。白石うらら:　西内まりや　  山田竜:　山本裕典  　　　　　　　  伊藤雅:　トリンドル玲奈　  宮村虎之介:　井出卓也　  小田切寧々:　大野いと　  五十嵐潮:　間宮祥太朗　  大塚芽子:　美山加恋　  滝川ノア:　松井愛莉　  猿島マリア:　小島藤子　  猪瀬潤:　永江祐貴  　　　　　　　  飛鳥美琴:　小林涼子　  山崎春馬:　徳山秀典　    ほか【原作】  吉河美希「山田くんと7人の魔女」(週刊少年マガジン連載中)　    【脚本】  小川真　    【編成企画】  清水一幸　    【企画協力】  鹿内植　    【プロデュース】  柳川由起子(共同テレビ)　    【演出】  星護(共同テレビ)　  高丸雅隆(共同テレビ)　    【音楽】  佐橋俊彦　    【主題歌】  前田敦子「タイムマシンなんていらない」(キングレコード)【制作】  フジテレビ　    【制作著作】  共同テレビ</t>
  </si>
  <si>
    <t>裏サイトに掲載された下着泥棒の写真。あたかも山田竜(山本裕典)が下着泥棒であるかのようにデフォルメされた画像は、山田が海でゴミ拾いをしている姿を宮村虎之介(井出卓也)が撮影したものだった。伊藤雅(トリンドル玲奈)は宮村が裏切り者の“二重スパイ"に違いないと白石うらら(西内まりや)と山田に告げる。  　雅の話を信じたくない山田は意気消沈していた。見兼ねたうららは山田にキスをして入れ替わり、宮村に話を聞きに行く。ところが、あることが原因であっけなく“入れ替わり"を見破られてしまったうららは、やはりこういうことは男同士で話した方が良いと山田に話す。  　超常現象研究部の部室に宮村を訪ねた山田は、“7人目の魔女をみつけること"が生徒会長になる条件で、会長候補に猪瀬潤(永江祐貴)も加わったと聞く。猪瀬が会長になってしまうと未来透視で見た、寂しそうな顔で猪瀬の秘書を務めているうららの姿が現実となってしまう。山田は、是が非でも宮村に会長になってもらいたいところだが、魔女伝説ノート上巻の肝心なところが破れていて7人目の魔女の手掛かりが掴めない。おまけに自分の不注意でジュースまでこぼしてしまっていた。ところが…。  　怪我の功名で得た情報は宮村の表情を一変させる内容だった。山田に「お前に隠していた事がある」と神妙な表情で話し始める。ちょうどその頃、裏庭を歩くうららを呼び止める1人の女子生徒がいた…。</t>
  </si>
  <si>
    <t>番組名&lt;土ドラ&gt;山田くんと7人の魔女　#08</t>
  </si>
  <si>
    <t>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https://www.facebook.com/fujitv.Yamadamajo　何者かによって超常現象研究部の部室に届けられた魔女伝説ノートの下巻。これによって“魔女伝説"の全てが明らかになった。ただひとつ“魔女殺し"が誰なのかということを除いては・・・。  　7つの能力が集まると、絶大な力により、全ての願いが叶えられるという。その“絶大な力を呼ぶ儀式"を行い、魔女の能力をなくして欲しいと願うことで「魔女伝説自体、もう封印しましょう」という白石うらら(西内まりや)。山田竜(山本裕典)はうららを連れて魔女たちに儀式への参加を呼び掛けに行くが・・・。  　一方、宮村虎之介(井出卓也)は7人目の魔女を見つけたことを生徒会長の山崎春馬(徳山秀典)に報告し、正式に生徒会長に任命されることとなった。「生徒会長としての最初の仕事は、魔女伝説の封印です」と所信表明する宮村に対し山崎は・・・。　満月の夜。魔女伝説ノートの下巻に記された“絶大な力を呼ぶ儀式"まであと2時間と迫るなか、伊藤雅(トリンドル玲奈)の仕切りでリハーサルが行われていた。しかし、未だ現れない数人の魔女。果たして儀式は無事に行われるのか、そして魔女伝説は封印されるのか・・・?白石うらら:　西内まりや　  山田竜:　山本裕典  　　　　　　　  伊藤雅:　トリンドル玲奈　  宮村虎之介:　井出卓也　  小田切寧々:　大野いと　  五十嵐潮:　間宮祥太朗　  大塚芽子:　美山加恋　  滝川ノア:　松井愛莉　  猿島マリア:　小島藤子　  猪瀬潤:　永江祐貴  　　　　　　　  西園寺リカ:　川村ゆきえ　  飛鳥美琴:　小林涼子　  山崎春馬:　徳山秀典　    ほか【原作】  吉河美希「山田くんと7人の魔女」(週刊少年マガジン連載中)　    【脚本】  小川真　    【編成企画】  清水一幸　    【企画協力】  鹿内植　    【プロデュース】  柳川由起子(共同テレビ)　    【演出】  星護(共同テレビ)　  高丸雅隆(共同テレビ)　    【音楽】  佐橋俊彦　    【主題歌】  前田敦子「タイムマシンなんていらない」(キングレコード)【制作】  フジテレビ　    【制作著作】  共同テレビ</t>
  </si>
  <si>
    <t>何者かによって超常現象研究部の部室に届けられた魔女伝説ノートの下巻。これによって“魔女伝説"の全てが明らかになった。ただひとつ“魔女殺し"が誰なのかということを除いては・・・。  　7つの能力が集まると、絶大な力により、全ての願いが叶えられるという。その“絶大な力を呼ぶ儀式"を行い、魔女の能力をなくして欲しいと願うことで「魔女伝説自体、もう封印しましょう」という白石うらら(西内まりや)。山田竜(山本裕典)はうららを連れて魔女たちに儀式への参加を呼び掛けに行くが・・・。  　一方、宮村虎之介(井出卓也)は7人目の魔女を見つけたことを生徒会長の山崎春馬(徳山秀典)に報告し、正式に生徒会長に任命されることとなった。「生徒会長としての最初の仕事は、魔女伝説の封印です」と所信表明する宮村に対し山崎は・・・。　満月の夜。魔女伝説ノートの下巻に記された“絶大な力を呼ぶ儀式"まであと2時間と迫るなか、伊藤雅(トリンドル玲奈)の仕切りでリハーサルが行われていた。しかし、未だ現れない数人の魔女。果たして儀式は無事に行われるのか、そして魔女伝説は封印されるのか・・・?</t>
  </si>
  <si>
    <t>1304_CX_月21</t>
  </si>
  <si>
    <t>ガリレオ</t>
  </si>
  <si>
    <t>番組名ガリレオ　#01</t>
  </si>
  <si>
    <t>湯川学(福山雅治)は、帝都大学理工学部物理学科の准教授。容姿端麗、頭脳明晰(めいせき)、スポーツ万能な湯川は、女子学生からは圧倒的な人気を得ているが、学問以外のことにほとんど興味を示さないため、“変人ガリレオ"とも呼ばれていた。  　そんな湯川のもとを訪れた貝塚北署の刑事・内海薫(柴咲コウ)は、帝都大の出身で、昨年入庁したばかりの新人刑事・岸谷美砂(吉高由里子)を紹介する。湯川とは大学の同期でもある警視庁の刑事・草薙俊平(北村一輝)の指示だった。  　続けて薫は、蒲田の雑居ビルで起きたある事件のことを話し始めた。それは、5年ほど前にできた新興宗教団体『クアイの会』の信者が、教団の支部になっていた雑居ビルの5階から転落死した事件だったが、転落死の原因は、クアイの会の教祖・連崎至光(大沢たかお)がその信者に念を送ったせいだというのだ。薫は、事件当夜、取材に訪れていた雑誌社のカメラマンが撮影した転落までの連写写真を湯川に見せながら、連崎が信者に指一本触れていないこと、亡くなった信者の眼球が白濁していたことを告げる。連崎がこれまでも送念と呼ばれる行為を行っていたと知った湯川は、再現性の高い現象は必ず科学的に実証できる、と強い興味を示す。  　プライドが高く自信家の美砂は、事件の背景などには一切興味を示さない湯川に戸惑いながらも、彼とともにクアイの会の本拠地に訪れるが・・・。福山雅治　    吉高由里子　  澤部佑(ハライチ)  　・　  柴咲コウ　  北村一輝  　・　  渡辺いっけい　    ほか【原作】  東野圭吾　    【脚本】  福田靖　    【企画】  鈴木吉弘　    【プロデュース】  牧野正　    【演出】  西坂瑞城　  澤田鎌作　    【音楽】  福山雅治　  菅野祐悟　  『オリジナルサウンドトラック』(ユニバーサルミュージック)　    【制作】  フジテレビドラマ制作センター</t>
  </si>
  <si>
    <t>湯川学(福山雅治)は、帝都大学理工学部物理学科の准教授。容姿端麗、頭脳明晰(めいせき)、スポーツ万能な湯川は、女子学生からは圧倒的な人気を得ているが、学問以外のことにほとんど興味を示さないため、“変人ガリレオ"とも呼ばれていた。  　そんな湯川のもとを訪れた貝塚北署の刑事・内海薫(柴咲コウ)は、帝都大の出身で、昨年入庁したばかりの新人刑事・岸谷美砂(吉高由里子)を紹介する。湯川とは大学の同期でもある警視庁の刑事・草薙俊平(北村一輝)の指示だった。  　続けて薫は、蒲田の雑居ビルで起きたある事件のことを話し始めた。それは、5年ほど前にできた新興宗教団体『クアイの会』の信者が、教団の支部になっていた雑居ビルの5階から転落死した事件だったが、転落死の原因は、クアイの会の教祖・連崎至光(大沢たかお)がその信者に念を送ったせいだというのだ。薫は、事件当夜、取材に訪れていた雑誌社のカメラマンが撮影した転落までの連写写真を湯川に見せながら、連崎が信者に指一本触れていないこと、亡くなった信者の眼球が白濁していたことを告げる。連崎がこれまでも送念と呼ばれる行為を行っていたと知った湯川は、再現性の高い現象は必ず科学的に実証できる、と強い興味を示す。  　プライドが高く自信家の美砂は、事件の背景などには一切興味を示さない湯川に戸惑いながらも、彼とともにクアイの会の本拠地に訪れるが・・・。</t>
  </si>
  <si>
    <t>番組名ガリレオ　#02</t>
  </si>
  <si>
    <t>湯川学(福山雅治)は、どんなことでも祖母からもらった水晶の振り子に相談して決めているという女子高生・真瀬加奈子(川口春奈)に出会う。そのきっかけは、ひとり暮らしの老婦人が自宅で殺害された事件だった。被害者宅からは隠し財産の金の延べ棒がなくなっているため、強盗殺人事件と思われた。そして、遺体発見当日、被害者宅から数百メートル離れた場所で、彼女の飼い犬の死骸が発見されていた。その死骸を水晶の振り子の力で見つけたのが加奈子だった。  　岸谷美砂(吉高由里子)からこの事件について相談を受けた湯川は、加奈子の行為はダウジングだと推察する。が、ダウジングはその有効性が認められた事例がいくつもあるにもかかわらず、科学者による立証実験では効果が認められないという代物でもあった。つまり、立証も反証もできないのだ。振り子のダウジングに興味を抱いた湯川は、加奈子が犬の死骸を見つけたときと同じ道をたどり、その正体に迫ろうとするが…。福山雅治　  吉高由里子　    澤部佑(ハライチ)　  渡辺いっけい　    ほか【原作】  東野圭吾　    【脚本】  福田靖　    【企画】  鈴木吉弘　    【プロデュース】  牧野正　    【演出】  西坂瑞城　  澤田鎌作　    【音楽】  福山雅治　  菅野祐悟　  『オリジナルサウンドトラック』(ユニバーサルミュージック)　    【主題歌】  KOH+『恋の魔力』(ユニバーサル　J)　    【制作】  フジテレビドラマ制作センター『ガリレオ』公式ホームページ　  http://www.fujitv.co.jp/galileo/</t>
  </si>
  <si>
    <t>湯川学(福山雅治)は、どんなことでも祖母からもらった水晶の振り子に相談して決めているという女子高生・真瀬加奈子(川口春奈)に出会う。そのきっかけは、ひとり暮らしの老婦人が自宅で殺害された事件だった。被害者宅からは隠し財産の金の延べ棒がなくなっているため、強盗殺人事件と思われた。そして、遺体発見当日、被害者宅から数百メートル離れた場所で、彼女の飼い犬の死骸が発見されていた。その死骸を水晶の振り子の力で見つけたのが加奈子だった。  　岸谷美砂(吉高由里子)からこの事件について相談を受けた湯川は、加奈子の行為はダウジングだと推察する。が、ダウジングはその有効性が認められた事例がいくつもあるにもかかわらず、科学者による立証実験では効果が認められないという代物でもあった。つまり、立証も反証もできないのだ。振り子のダウジングに興味を抱いた湯川は、加奈子が犬の死骸を見つけたときと同じ道をたどり、その正体に迫ろうとするが…。</t>
  </si>
  <si>
    <t>番組名ガリレオ　#03</t>
  </si>
  <si>
    <t>湯川学(福山雅治)は、人間を自殺に追い込む“呪いの声"の謎に挑む。事件が起きたのは、貝塚北署刑事・岸谷美砂(吉高由里子)の大学時代の先輩である白井冴子(陽月華)の告別式会場だった。そこで、冴子が勤めていた会社ペンマックスの社長・早見達郎(近江谷太朗)が、突然両耳を押さえて叫び出し、会場から飛び出したのだ。早見は、その翌日に東京湾で遺体となって発見され、目撃者の証言から自殺の可能性が高いと推測された。実は早見は冴子と不倫関係にあり、冴子が自殺したのは早見に捨てられたからだというウワサもあった。  　早見の死に不審を抱いた美砂は、ペンマックス社を訪れる。するとそこで、同社社員の加山幸宏(宮本大誠)が突然暴れ出し、美砂に襲いかかる。美砂は、加山を取り押さえたものの、カッターナイフで臀部(でんぶ)を刺されていた。  　取り調べを受けた加山は、早見が自殺した翌日から「次はお前の番だ」という冴子の声が聞こえ始めたと証言した。それは日に日に激しくなり、耳栓をしてもダメだったという。  　美砂から聞いた加山の話に興味を抱いた湯川は、ペンマックス社を訪れ、社員たちから話を聴く。すると、社員のひとり、脇坂睦美(大島優子)が、加山の事件後、不快な耳鳴りがするようになったと訴える。湯川は、睦美の耳鳴りも一連の事件と関係がある可能性を考慮しつつ、他の人間には聞こえない“声"の謎を解明しようと試みる。福山雅治　  吉高由里子　    澤部佑(ハライチ)　  渡辺いっけい　    ほか【原作】  東野圭吾　    【脚本】  福田靖　    【企画】  鈴木吉弘　    【プロデュース】　  牧野正　    【演出】  西坂瑞城　  澤田鎌作　    【音楽】  福山雅治　  菅野祐悟　  『オリジナルサウンドトラック』(ユニバーサルミュージック)　    【主題歌】  KOH+『恋の魔力』(ユニバーサル　J)　    【制作】  フジテレビドラマ制作センター</t>
  </si>
  <si>
    <t>湯川学(福山雅治)は、人間を自殺に追い込む“呪いの声"の謎に挑む。事件が起きたのは、貝塚北署刑事・岸谷美砂(吉高由里子)の大学時代の先輩である白井冴子(陽月華)の告別式会場だった。そこで、冴子が勤めていた会社ペンマックスの社長・早見達郎(近江谷太朗)が、突然両耳を押さえて叫び出し、会場から飛び出したのだ。早見は、その翌日に東京湾で遺体となって発見され、目撃者の証言から自殺の可能性が高いと推測された。実は早見は冴子と不倫関係にあり、冴子が自殺したのは早見に捨てられたからだというウワサもあった。  　早見の死に不審を抱いた美砂は、ペンマックス社を訪れる。するとそこで、同社社員の加山幸宏(宮本大誠)が突然暴れ出し、美砂に襲いかかる。美砂は、加山を取り押さえたものの、カッターナイフで臀部(でんぶ)を刺されていた。  　取り調べを受けた加山は、早見が自殺した翌日から「次はお前の番だ」という冴子の声が聞こえ始めたと証言した。それは日に日に激しくなり、耳栓をしてもダメだったという。  　美砂から聞いた加山の話に興味を抱いた湯川は、ペンマックス社を訪れ、社員たちから話を聴く。すると、社員のひとり、脇坂睦美(大島優子)が、加山の事件後、不快な耳鳴りがするようになったと訴える。湯川は、睦美の耳鳴りも一連の事件と関係がある可能性を考慮しつつ、他の人間には聞こえない“声"の謎を解明しようと試みる。</t>
  </si>
  <si>
    <t>番組名ガリレオ　#04</t>
  </si>
  <si>
    <t>湯川学(福山雅治)のもとへ、プロ野球選手の柳沢忠正(田辺誠一)と練習パートナーの宗田祐輔がやってきた。柳沢はアースリーズのエースとして活躍していたが、昨年末に戦力外通告を受け、所属球団が決まらないまま浪人生活を送っていた。ふたりが湯川のもとを訪れたのは、バドミントンのシャトルの動きを物理学的に検証した湯川の論文を読んだ宗田が、柳沢を復活させるためのヒントを求めて、協力を要請したからだった。同じころ、柳沢の妻・妙子(中田有紀)の実家で火災があり、ソファで眠っていた妙子が一酸化炭素中毒死するという事件が起きていた。出火元が物置にしまってあったストーブだったことから事件性も考えられたが、放火だとすれば犯人が何故ストーブを点火したのかなど、不明な点も多かった。貝塚北署の刑事・岸谷美砂(吉高由里子)は、柳沢を呼んで事情を聞いた。柳沢は、妙子が3週間ほど前に自宅マンションを出て行ったこと、そして浮気をしていたのではないかと証言する。美砂は、柳沢にも妻を恨む理由がある、と疑いの目を向けた。が、火事があったとき、柳沢が湯川と一緒にいたと聞いて驚く。物理学によって柳沢をカムバックさせることに情熱を傾ける湯川は、妻の死による心理的な影響がその妨げになっていると考え、自ら美砂に捜査協力を申し出る。福山雅治　  吉高由里子　    澤部佑(ハライチ)　  渡辺いっけい　    ほか【原作】  東野圭吾　    【脚本】  福田靖　    【企画】  鈴木吉弘　    【プロデュース】  牧野正　    【演出】  西坂瑞城　  澤田鎌作　    【音楽】  福山雅治　  菅野祐悟　  『オリジナルサウンドトラック』(ユニバーサルミュージック)　    【主題歌】  KOH+『恋の魔力』(ユニバーサル　J)　    【制作】  フジテレビドラマ制作センター『ガリレオ』公式ホームページ　  http://www.fujitv.co.jp/galileo/</t>
  </si>
  <si>
    <t>湯川学(福山雅治)のもとへ、プロ野球選手の柳沢忠正(田辺誠一)と練習パートナーの宗田祐輔がやってきた。柳沢はアースリーズのエースとして活躍していたが、昨年末に戦力外通告を受け、所属球団が決まらないまま浪人生活を送っていた。ふたりが湯川のもとを訪れたのは、バドミントンのシャトルの動きを物理学的に検証した湯川の論文を読んだ宗田が、柳沢を復活させるためのヒントを求めて、協力を要請したからだった。同じころ、柳沢の妻・妙子(中田有紀)の実家で火災があり、ソファで眠っていた妙子が一酸化炭素中毒死するという事件が起きていた。出火元が物置にしまってあったストーブだったことから事件性も考えられたが、放火だとすれば犯人が何故ストーブを点火したのかなど、不明な点も多かった。貝塚北署の刑事・岸谷美砂(吉高由里子)は、柳沢を呼んで事情を聞いた。柳沢は、妙子が3週間ほど前に自宅マンションを出て行ったこと、そして浮気をしていたのではないかと証言する。美砂は、柳沢にも妻を恨む理由がある、と疑いの目を向けた。が、火事があったとき、柳沢が湯川と一緒にいたと聞いて驚く。物理学によって柳沢をカムバックさせることに情熱を傾ける湯川は、妻の死による心理的な影響がその妨げになっていると考え、自ら美砂に捜査協力を申し出る。</t>
  </si>
  <si>
    <t>番組名ガリレオ　#05</t>
  </si>
  <si>
    <t>帝都大学物理学科准教授・湯川学(福山雅治)のもとを訪れた貝塚北署の岸谷美砂(吉高由里子)は、ある殺人未遂事件の捜査協力を求める。  被害に遭ったのは、磯谷若菜(桐谷美玲)。自宅に侵入した何者かにハンマーで頭を殴られた彼女は、一命は取り留めたものの、生死の境をさまよっていた。倒れている若菜を発見したのは、ビジネスコンサルタントをしている若菜の夫・知宏(桐谷健太)と彼の部下の山下慎一(清水優)。事件は、知宏がセミナーで講演中に起きたものだった。が、不思議なのは、長野に住む若菜の双子の妹・春菜(桐谷美玲・2役)が、東京に住む姉の危険を察知し、「若菜を助けて!」と知宏に電話したという点だった。  　話を聞いていた湯川は、双子の間に説明のつかないコミュニケーション能力があるというのはよく聞くが・・・と美砂に告げる。実は美砂は、そんな湯川の反応を予測していたかのように、何組もの双子を連れてきていた。湯川たちの目の前でその不思議な能力について証言する双子たち。湯川は、彼らのケースも双子のシンクロニシティ=意味のある偶然の一致だと返し、何故そこまで双子にこだわるのか、と美砂に問いかけた。すると美砂は、双子の姉が東京で襲われた瞬間、長野に住む妹が犯人の顔を見たということを湯川に告げる。この現象に興味を抱いた湯川は・・・。福山雅治　  吉高由里子　    澤部佑(ハライチ)　  渡辺いっけい　    ほか【原作】  東野圭吾　    【脚本】  福田靖　    【企画】  鈴木吉弘　    【プロデュース】  牧野正　    【演出】  西坂瑞城　  澤田鎌作　    【音楽】  福山雅治　  菅野祐悟　  『オリジナルサウンドトラック』(ユニバーサルミュージック)　    【主題歌】  KOH+『恋の魔力』(ユニバーサル　J)　    【制作】  フジテレビドラマ制作センター</t>
  </si>
  <si>
    <t>帝都大学物理学科准教授・湯川学(福山雅治)のもとを訪れた貝塚北署の岸谷美砂(吉高由里子)は、ある殺人未遂事件の捜査協力を求める。  被害に遭ったのは、磯谷若菜(桐谷美玲)。自宅に侵入した何者かにハンマーで頭を殴られた彼女は、一命は取り留めたものの、生死の境をさまよっていた。倒れている若菜を発見したのは、ビジネスコンサルタントをしている若菜の夫・知宏(桐谷健太)と彼の部下の山下慎一(清水優)。事件は、知宏がセミナーで講演中に起きたものだった。が、不思議なのは、長野に住む若菜の双子の妹・春菜(桐谷美玲・2役)が、東京に住む姉の危険を察知し、「若菜を助けて!」と知宏に電話したという点だった。  　話を聞いていた湯川は、双子の間に説明のつかないコミュニケーション能力があるというのはよく聞くが・・・と美砂に告げる。実は美砂は、そんな湯川の反応を予測していたかのように、何組もの双子を連れてきていた。湯川たちの目の前でその不思議な能力について証言する双子たち。湯川は、彼らのケースも双子のシンクロニシティ=意味のある偶然の一致だと返し、何故そこまで双子にこだわるのか、と美砂に問いかけた。すると美砂は、双子の姉が東京で襲われた瞬間、長野に住む妹が犯人の顔を見たということを湯川に告げる。この現象に興味を抱いた湯川は・・・。</t>
  </si>
  <si>
    <t>番組名ガリレオ　#06</t>
  </si>
  <si>
    <t>帝都大学物理学科准教授・湯川学(福山雅治)のもとを訪れた貝塚北署の岸谷美砂(吉高由里子)は、山歩きのイベントで起きた殺人事件への捜査協力を依頼する。  　事件当日、美砂は、某有名企業の主任研究者・野木祐子(夏川結衣)が主催する山歩きのイベントに参加していた。死亡したのは、イベント参加者のひとりで、祐子の同僚でもある篠田真希(遊井亮子)。美砂に続いて宿泊先のペンションに到着した真希は、美砂やペンションのオーナー・藤村伸一(おかやまはじめ)に挨拶をすると、疲れているからと言ってすぐに部屋にこもり、夕食の時間になっても姿を現さなかった。心配した祐子は、美砂とともに、ベランダ側に回って真希に声をかけた。だが、窓は施錠されており、返事もなかった。ところがその1時間ほど後、藤村は、真希がベランダから出ていったらしいことに気付く。渓流で真希の死体が発見されたのは、翌朝のことだった。地元警察は、現場の状況から自殺だと判断していた。  　だが美砂は、祐子に疑いの目を向けていた。食事の後、最初に風呂に入ったのは祐子で、その間の20分間、彼女は美砂たちの前から姿を消していたのだ。実は美砂が祐子を疑ったのは、もうひとつ、科学的なある理由があったからだった。祐子の写真を見て「美人だ」と反応した湯川は、美砂の言う「科学的な理由」に興味を抱き、事件があったペンションを訪れるが…。福山雅治　  吉高由里子　    澤部佑(ハライチ)　  渡辺いっけい　    ほか【原作】  東野圭吾　    【脚本】  福田靖　    【企画】  鈴木吉弘　    【プロデュース】  牧野正　    【演出】  西坂瑞城　  澤田鎌作　    【音楽】  福山雅治　  菅野祐悟　  『オリジナルサウンドトラック』(ユニバーサルミュージック)　    【主題歌】  KOH+『恋の魔力』(ユニバーサル　J)　    【制作】  フジテレビドラマ制作センター『ガリレオ』公式ホームページ　  http://www.fujitv.co.jp/galileo/</t>
  </si>
  <si>
    <t>帝都大学物理学科准教授・湯川学(福山雅治)のもとを訪れた貝塚北署の岸谷美砂(吉高由里子)は、山歩きのイベントで起きた殺人事件への捜査協力を依頼する。  　事件当日、美砂は、某有名企業の主任研究者・野木祐子(夏川結衣)が主催する山歩きのイベントに参加していた。死亡したのは、イベント参加者のひとりで、祐子の同僚でもある篠田真希(遊井亮子)。美砂に続いて宿泊先のペンションに到着した真希は、美砂やペンションのオーナー・藤村伸一(おかやまはじめ)に挨拶をすると、疲れているからと言ってすぐに部屋にこもり、夕食の時間になっても姿を現さなかった。心配した祐子は、美砂とともに、ベランダ側に回って真希に声をかけた。だが、窓は施錠されており、返事もなかった。ところがその1時間ほど後、藤村は、真希がベランダから出ていったらしいことに気付く。渓流で真希の死体が発見されたのは、翌朝のことだった。地元警察は、現場の状況から自殺だと判断していた。  　だが美砂は、祐子に疑いの目を向けていた。食事の後、最初に風呂に入ったのは祐子で、その間の20分間、彼女は美砂たちの前から姿を消していたのだ。実は美砂が祐子を疑ったのは、もうひとつ、科学的なある理由があったからだった。祐子の写真を見て「美人だ」と反応した湯川は、美砂の言う「科学的な理由」に興味を抱き、事件があったペンションを訪れるが…。</t>
  </si>
  <si>
    <t>番組名ガリレオ　#07</t>
  </si>
  <si>
    <t>湯川学(福山雅治)は、助手の栗林宏美(渡辺いっけい)、湯川ゼミの学生・遠野みさき(逢沢りな)とともに学会に出席する。その帰り道、湯川たちは、みさきに誘われて、彼女の地元にある神社に奉られているという烏天狗のミイラを見に行くことになった。  　だが、一行がその神社ーー御座位神社に到着すると、みさきの幼なじみだという警察官・合田武彦(渡部豪太)が現れ、捜査協力に対する感謝の言葉を湯川に伝える。実は、御座位神社の神主が、3週間ほど前に烏天狗のミイラが納められている祠をコンクリートで固めてしまったという。烏天狗がミイラを取り返しにくる、という理由からだった。しかし、その神主は2週間前に白骨死体で見つかっていた。地元警察は、神主には心臓の持病があり、度々発作に襲われていたことから事件性はないと判断していた。だが、もし祠にミイラがなければ、神主は烏天狗に殺されたかもしれない、と合田は言うのだ。この話に興味を抱いた湯川は、みさきが予め用意していた機材を使って、祠の中を調べることにする。するとそこに、小島結衣(香椎由宇)という女性がやってくる。結衣も、みさきたちの幼なじみで、死んだ神主と最後に話をした相手でもあった。  　そんな折、思わぬ事件が起きる。結衣の両親、太一(中丸新将)と啓子(宮田早苗)が自宅で殺害されたのだ。そして、殺害現場の壁には『烏天狗』という文字が書かれており…。福山雅治　  吉高由里子　    澤部佑(ハライチ)　  渡辺いっけい　    ほか【原作】  東野圭吾　    【脚本】  福田靖　    【企画】  鈴木吉弘　    【プロデュース】  牧野正　    【演出】  西坂瑞城　  澤田鎌作　    【音楽】  福山雅治　  菅野祐悟　  『オリジナルサウンドトラック』(ユニバーサルミュージック)　    【主題歌】  KOH+『恋の魔力』(ユニバーサル　J)　    【制作】  フジテレビドラマ制作センター『ガリレオ』公式ホームページ　  http://www.fujitv.co.jp/galileo/</t>
  </si>
  <si>
    <t>湯川学(福山雅治)は、助手の栗林宏美(渡辺いっけい)、湯川ゼミの学生・遠野みさき(逢沢りな)とともに学会に出席する。その帰り道、湯川たちは、みさきに誘われて、彼女の地元にある神社に奉られているという烏天狗のミイラを見に行くことになった。  　だが、一行がその神社ーー御座位神社に到着すると、みさきの幼なじみだという警察官・合田武彦(渡部豪太)が現れ、捜査協力に対する感謝の言葉を湯川に伝える。実は、御座位神社の神主が、3週間ほど前に烏天狗のミイラが納められている祠をコンクリートで固めてしまったという。烏天狗がミイラを取り返しにくる、という理由からだった。しかし、その神主は2週間前に白骨死体で見つかっていた。地元警察は、神主には心臓の持病があり、度々発作に襲われていたことから事件性はないと判断していた。だが、もし祠にミイラがなければ、神主は烏天狗に殺されたかもしれない、と合田は言うのだ。この話に興味を抱いた湯川は、みさきが予め用意していた機材を使って、祠の中を調べることにする。するとそこに、小島結衣(香椎由宇)という女性がやってくる。結衣も、みさきたちの幼なじみで、死んだ神主と最後に話をした相手でもあった。  　そんな折、思わぬ事件が起きる。結衣の両親、太一(中丸新将)と啓子(宮田早苗)が自宅で殺害されたのだ。そして、殺害現場の壁には『烏天狗』という文字が書かれており…。</t>
  </si>
  <si>
    <t>番組名ガリレオ　#08</t>
  </si>
  <si>
    <t>湯川学(福山雅治)を訪ねた岸谷美砂(吉高由里子)は、人気劇団の代表・駒田良介(丸山智己)が刺殺された事件について助言を求める。  　駒田の死体が自宅マンションで発見されたのは午後7時50分。殺されたのは、その約20分前だと思われた。なぜならその時間に、駒田は劇団の看板女優・神原敦子(蒼井優)と衣裳係の安部由美子(佐藤仁美)に電話していたのだ。ふたりは、カフェで一緒だった。そのとき駒田が何も話さなかったのは、助けを求めようとしたもののすでに瀕死状態だったためではないかと推察された。駒田からの電話に異変を感じた敦子と由美子は、彼のマンションを訪れ、敦子が持っていた合鍵で中に入って遺体を発見したのだという。駒田の部屋はマンションの20階にあり、ドアも窓も施錠されていた。  　ほどなく美砂は、敦子が駒田と恋人関係だったことを知る。駒田の部屋は劇団の事務所でもあったから、と合鍵の件を説明していた敦子は、その件を指摘されると、半年ほど前から交際していたことを認めた。またその際、駒田が由美子にも電話したのは何故だと思うか、と問われた敦子は、彼女の名前があ行の最初に登録されていたからではないか、と返していた。  　事件から数日後、美砂が湯川の研究室で捜査に進展がないことを嘆いていると、湯川は敦子がある方法でアリバイを作れることを証明して見せようとするが…。福山雅治　  吉高由里子　    澤部佑(ハライチ)　  渡辺いっけい　    ほか【原作】  東野圭吾　    【脚本】  福田靖　    【企画】  鈴木吉弘　    【プロデュース】  牧野正　    【演出】  西坂瑞城　  澤田鎌作　    【音楽】  福山雅治　  菅野祐悟　  『オリジナルサウンドトラック』(ユニバーサルミュージック)　    【主題歌】  KOH+『恋の魔力』(ユニバーサル　J)　    【制作】  フジテレビドラマ制作センター『ガリレオ』公式ホームページ　  http://www.fujitv.co.jp/galileo/</t>
  </si>
  <si>
    <t>湯川学(福山雅治)を訪ねた岸谷美砂(吉高由里子)は、人気劇団の代表・駒田良介(丸山智己)が刺殺された事件について助言を求める。  　駒田の死体が自宅マンションで発見されたのは午後7時50分。殺されたのは、その約20分前だと思われた。なぜならその時間に、駒田は劇団の看板女優・神原敦子(蒼井優)と衣裳係の安部由美子(佐藤仁美)に電話していたのだ。ふたりは、カフェで一緒だった。そのとき駒田が何も話さなかったのは、助けを求めようとしたもののすでに瀕死状態だったためではないかと推察された。駒田からの電話に異変を感じた敦子と由美子は、彼のマンションを訪れ、敦子が持っていた合鍵で中に入って遺体を発見したのだという。駒田の部屋はマンションの20階にあり、ドアも窓も施錠されていた。  　ほどなく美砂は、敦子が駒田と恋人関係だったことを知る。駒田の部屋は劇団の事務所でもあったから、と合鍵の件を説明していた敦子は、その件を指摘されると、半年ほど前から交際していたことを認めた。またその際、駒田が由美子にも電話したのは何故だと思うか、と問われた敦子は、彼女の名前があ行の最初に登録されていたからではないか、と返していた。  　事件から数日後、美砂が湯川の研究室で捜査に進展がないことを嘆いていると、湯川は敦子がある方法でアリバイを作れることを証明して見せようとするが…。</t>
  </si>
  <si>
    <t>番組名ガリレオ　#09</t>
  </si>
  <si>
    <t>帝都大学の湯川学(福山雅治)と、岸谷美砂(吉高由里子)を通じて彼に捜査協力を求めている貝塚北署に、『悪魔の手』を名乗る人物から犯行予告が届く。その人物は、『悪魔の手』を使って人を自在に葬ることができるとし、警察の手に負えなければT大学のY准教授に助けてもらえばいい、これはどちらが真の天才科学者かを決める勝負でもある、と挑発していた。  　ほどなく2通目の手紙が届く。犯人は上田重之(岡本正仁)を転落死させた、と記していた。美砂によれば、最初の手紙が届いた日、品川のビル建設現場で建築作業員の上田が転落死したという。そして、湯川に届いた手紙には、インターネットのアドレスが記載されていた。それはある映画のサイトで、書き込み欄には「感動のあまり落ちないようにしないと。品川の建設中のビルより愛を込めて」という投稿があった。書き込まれたのは事件の前日だった。  　湯川は、美砂とともに事件のあった建設現場を訪れる。だが、事故に見せかけて人を突き落す方法は存在するものの、犯人がどんな方法を使ったのかはわからなかった。  　一方、栗林宏美(渡辺いっけい)は、友人の物理学者で、いまはカルチャーセンターなどで講義をしている高藤英治(生瀬勝久)と一緒に酒を飲む。その時、湯川が『悪魔の手』の事件に関わっていることを話していた。  　そんな折、20代の男性会社員が電車に接触して死亡するという事件が起こり…。福山雅治　  吉高由里子　    澤部佑(ハライチ)　  渡辺いっけい　    ほか【原作】  東野圭吾　    【脚本】  福田靖　    【企画】  鈴木吉弘　    【プロデュース】  牧野正　    【演出】  西坂瑞城　  澤田鎌作　    【音楽】  福山雅治　  菅野祐悟　  『ガリレオ　オリジナルサウンドトラック』(ユニバーサルミュージック)　    【主題歌】  KOH+『恋の魔力』(ユニバーサル　J)　    【制作】  フジテレビドラマ制作センター『ガリレオ』公式ホームページ　  http://www.fujitv.co.jp/galileo/</t>
  </si>
  <si>
    <t>帝都大学の湯川学(福山雅治)と、岸谷美砂(吉高由里子)を通じて彼に捜査協力を求めている貝塚北署に、『悪魔の手』を名乗る人物から犯行予告が届く。その人物は、『悪魔の手』を使って人を自在に葬ることができるとし、警察の手に負えなければT大学のY准教授に助けてもらえばいい、これはどちらが真の天才科学者かを決める勝負でもある、と挑発していた。  　ほどなく2通目の手紙が届く。犯人は上田重之(岡本正仁)を転落死させた、と記していた。美砂によれば、最初の手紙が届いた日、品川のビル建設現場で建築作業員の上田が転落死したという。そして、湯川に届いた手紙には、インターネットのアドレスが記載されていた。それはある映画のサイトで、書き込み欄には「感動のあまり落ちないようにしないと。品川の建設中のビルより愛を込めて」という投稿があった。書き込まれたのは事件の前日だった。  　湯川は、美砂とともに事件のあった建設現場を訪れる。だが、事故に見せかけて人を突き落す方法は存在するものの、犯人がどんな方法を使ったのかはわからなかった。  　一方、栗林宏美(渡辺いっけい)は、友人の物理学者で、いまはカルチャーセンターなどで講義をしている高藤英治(生瀬勝久)と一緒に酒を飲む。その時、湯川が『悪魔の手』の事件に関わっていることを話していた。  　そんな折、20代の男性会社員が電車に接触して死亡するという事件が起こり…。</t>
  </si>
  <si>
    <t>番組名ガリレオ　#10</t>
  </si>
  <si>
    <t>帝都大学の湯川学(福山雅治)を訪ねた岸谷美砂(吉高由里子)は、会社社長が毒殺された事件について話し始めた。  　被害者はエムシステムズの社長・真柴義之(堀部圭亮)。事件当日、自宅で仕事をしていた義之は、朝10時のテレビ会議までは元気だったが、夕方4時の会議の際に連絡が取れなくなり、自宅のダイニングで倒れているところをかけつけたホームセキュリティー会社の社員に発見されていた。義之が飲んでいたコーヒーから猛毒の亜ヒ酸ナトリウムが検出されたことから、計画殺人の可能性が高かった。朝10時の会議の際に義之がコーヒーを飲んでいたこと、セキュリティー会社の在宅警備システムがセットされており、義之が外出していないことから、犯人は、義之が自分で入れていたコーヒーの1杯目と2杯目の間に家に侵入し、毒物を仕込んだというのだ。そして、午後2時過ぎに、ひとりの訪問者があったこともわかっていた。しかし、その日は昼過ぎから雨が降っており、女性と思われるその訪問者の顔は、傘で隠れてわからなかった。  　話を聞いていた湯川は、傘の女性を探せばいいだけだ、と美砂に告げた。すると美砂が、事件当日は北海道に里帰りしていた義之の妻が、湯川の中学時代のクラスメイト・綾音(天海祐希)であることを打ち明ける。  　義之の葬儀会場を訪れた湯川は、綾音と20数年ぶりの再会を果たす。そこで湯川は、警察の捜査に協力することを綾音に告げ…。福山雅治　  吉高由里子　    澤部佑(ハライチ)　  渡辺いっけい　    ほか【原作】  東野圭吾　    【脚本】  福田靖　    【企画】  鈴木吉弘　    【プロデュース】  牧野正　    【演出】  西坂瑞城　  澤田鎌作　    【音楽】  福山雅治　  菅野祐悟　  『ガリレオ　オリジナルサウンドトラック』(ユニバーサルミュージック)　    【主題歌】  KOH+『恋の魔力』(ユニバーサル　J)　    【制作】  フジテレビドラマ制作センター『ガリレオ』公式ホームページ　  http://www.fujitv.co.jp/galileo/</t>
  </si>
  <si>
    <t>帝都大学の湯川学(福山雅治)を訪ねた岸谷美砂(吉高由里子)は、会社社長が毒殺された事件について話し始めた。  　被害者はエムシステムズの社長・真柴義之(堀部圭亮)。事件当日、自宅で仕事をしていた義之は、朝10時のテレビ会議までは元気だったが、夕方4時の会議の際に連絡が取れなくなり、自宅のダイニングで倒れているところをかけつけたホームセキュリティー会社の社員に発見されていた。義之が飲んでいたコーヒーから猛毒の亜ヒ酸ナトリウムが検出されたことから、計画殺人の可能性が高かった。朝10時の会議の際に義之がコーヒーを飲んでいたこと、セキュリティー会社の在宅警備システムがセットされており、義之が外出していないことから、犯人は、義之が自分で入れていたコーヒーの1杯目と2杯目の間に家に侵入し、毒物を仕込んだというのだ。そして、午後2時過ぎに、ひとりの訪問者があったこともわかっていた。しかし、その日は昼過ぎから雨が降っており、女性と思われるその訪問者の顔は、傘で隠れてわからなかった。  　話を聞いていた湯川は、傘の女性を探せばいいだけだ、と美砂に告げた。すると美砂が、事件当日は北海道に里帰りしていた義之の妻が、湯川の中学時代のクラスメイト・綾音(天海祐希)であることを打ち明ける。  　義之の葬儀会場を訪れた湯川は、綾音と20数年ぶりの再会を果たす。そこで湯川は、警察の捜査に協力することを綾音に告げ…。</t>
  </si>
  <si>
    <t>番組名ガリレオ　#11</t>
  </si>
  <si>
    <t>湯川学(福山雅治)は、会社社長の真柴義之(堀部圭亮)毒殺事件を通じて、義之の妻で、中学時代の同級生でもある綾音(天海祐希)と再会する。綾音は妊娠をきっかけに義之と結婚した。が、何者かに自転車で衝突され流産していた。  　湯川は、綾音が営んでいる幼児教室で、子どもたちにある実験を見せた。それは、電気ポットを使って、次々とお湯の色を変えてみせるというものだった。その話を知った貝塚北署の岸谷美砂(吉高由里子)は、その実験が事件に関係あるものだと考え、湯川を訪ねる。そこで湯川は、犯人は義之が自宅にいる時間に侵入してヤカンの水にヒ素を仕込んだのではなく、あらかじめ何らかの方法で仕込んだのではないか、と美砂に告げる。もしそうならば、事件当日北海道にいた綾音にも犯行は可能だ、と続ける湯川。美砂は、その可能性を否定し、勝手に綾音に接触しないよう、湯川に告げる。　そんな折、美砂は、事件当日義之の家を訪ねている紫色の傘の女性を見つけるが…。福山雅治　  吉高由里子　    澤部佑(ハライチ)　  渡辺いっけい  　　・　　  天海祐希　    ほか【原作】  東野圭吾　    【脚本】  福田靖　    【企画】  鈴木吉弘　    【プロデュース】  牧野正　    【演出】  西坂瑞城　  澤田鎌作　    【音楽】  福山雅治　  菅野祐悟　  『ガリレオ　オリジナルサウンドトラック』(ユニバーサルミュージック)　    【主題歌】  KOH+『恋の魔力』(ユニバーサル　J)　    【制作】  フジテレビドラマ制作センター『ガリレオ』公式ホームページ　  http://www.fujitv.co.jp/galileo/</t>
  </si>
  <si>
    <t>湯川学(福山雅治)は、会社社長の真柴義之(堀部圭亮)毒殺事件を通じて、義之の妻で、中学時代の同級生でもある綾音(天海祐希)と再会する。綾音は妊娠をきっかけに義之と結婚した。が、何者かに自転車で衝突され流産していた。  　湯川は、綾音が営んでいる幼児教室で、子どもたちにある実験を見せた。それは、電気ポットを使って、次々とお湯の色を変えてみせるというものだった。その話を知った貝塚北署の岸谷美砂(吉高由里子)は、その実験が事件に関係あるものだと考え、湯川を訪ねる。そこで湯川は、犯人は義之が自宅にいる時間に侵入してヤカンの水にヒ素を仕込んだのではなく、あらかじめ何らかの方法で仕込んだのではないか、と美砂に告げる。もしそうならば、事件当日北海道にいた綾音にも犯行は可能だ、と続ける湯川。美砂は、その可能性を否定し、勝手に綾音に接触しないよう、湯川に告げる。　そんな折、美砂は、事件当日義之の家を訪ねている紫色の傘の女性を見つけるが…。</t>
  </si>
  <si>
    <t>1304_CX_火21</t>
  </si>
  <si>
    <t>鴨、京都へ行く。</t>
  </si>
  <si>
    <t>番組名鴨、京都へ行く。-老舗旅館の女将日記-　#01</t>
  </si>
  <si>
    <t>財務省に勤める上羽鴨(松下奈緒)は、京都の老舗旅館「上羽や」の一人娘だが、京都や老舗旅館独特の風習や作法を嫌い、東大進学で上京して以来、一度も京都には帰っていない。一方、京都の外資系コンサル会社「ワイズ・コンサルティング」では、「上羽や」の買収が進まないことにしびれを切らし、買収のプロ・衣川周平(椎名桔平)を動かす。「上羽や」に偵察に来た衣川は、心筋梗塞で倒れた女将の上羽薫(市毛良枝)が救急車で搬送されるのを目撃し、買収成功を確信する。薫の訃報を受けた鴨は10年ぶりに京都へ帰った。鴨が涙も流さず淡々と葬儀を進める中、仲居頭の塩見鞠子(かたせ梨乃)ら従業員たちは、薫の死を悲しみながらも「上羽や」を守り続ける決意を固める。葬儀が終わり、東京へ戻ろうとしていた鴨に衣川が声をかけてきた。衣川は、自分に任せてくれれば「上羽や」の多額の借金をすべてチャラにすると持ちかける。返事を保留にし、東京へ戻った鴨は、友人から評価額が上がるまで「上羽や」を経営するのも悪くないと提案される。再び京都へやってきた鴨は、「上羽や」に客として泊まり、接客や内装や帳簿などをチェック。翌日、衣川に経営再生のための追加融資を依頼した。「上羽や」に戻り従業員を集めると大幅な改革案を発表する。守り通してきた最上級のおもてなしを根底からくつがえす提案にあ然とする従業員たちに、鴨はその通りに営業するように一方的に告げる。上羽鴨:　松下奈緒　    衣川周平:　椎名桔平　    梅垣鈴風:　若村麻由美　    間山紗江:　堀内敬子　  加茂京介:　大東駿介　  寺石秀:　高杉亘　  八木飛雄馬:　小柳友  　　・　　  峰岸鼓太郎:　笹野高史　    高瀬裕次郎:　伊武雅刀  　　・　　  上羽薫:　市毛良枝　    塩見鞠子:　かたせ梨乃【脚本】  森ハヤシ　  酒井雅秋　  岩下悠子　    【演出】  永山耕三(フジテレビ)　    【制作】  フジテレビ　    【制作著作】  東映</t>
  </si>
  <si>
    <t>財務省に勤める上羽鴨(松下奈緒)は、京都の老舗旅館「上羽や」の一人娘だが、京都や老舗旅館独特の風習や作法を嫌い、東大進学で上京して以来、一度も京都には帰っていない。一方、京都の外資系コンサル会社「ワイズ・コンサルティング」では、「上羽や」の買収が進まないことにしびれを切らし、買収のプロ・衣川周平(椎名桔平)を動かす。「上羽や」に偵察に来た衣川は、心筋梗塞で倒れた女将の上羽薫(市毛良枝)が救急車で搬送されるのを目撃し、買収成功を確信する。薫の訃報を受けた鴨は10年ぶりに京都へ帰った。鴨が涙も流さず淡々と葬儀を進める中、仲居頭の塩見鞠子(かたせ梨乃)ら従業員たちは、薫の死を悲しみながらも「上羽や」を守り続ける決意を固める。葬儀が終わり、東京へ戻ろうとしていた鴨に衣川が声をかけてきた。衣川は、自分に任せてくれれば「上羽や」の多額の借金をすべてチャラにすると持ちかける。返事を保留にし、東京へ戻った鴨は、友人から評価額が上がるまで「上羽や」を経営するのも悪くないと提案される。再び京都へやってきた鴨は、「上羽や」に客として泊まり、接客や内装や帳簿などをチェック。翌日、衣川に経営再生のための追加融資を依頼した。「上羽や」に戻り従業員を集めると大幅な改革案を発表する。守り通してきた最上級のおもてなしを根底からくつがえす提案にあ然とする従業員たちに、鴨はその通りに営業するように一方的に告げる。</t>
  </si>
  <si>
    <t>番組名鴨、京都へ行く。-老舗旅館の女将日記-　#02</t>
  </si>
  <si>
    <t>上羽鴨(松下奈緒)の強引な改革案は失敗に終わり、従業員全員が辞めてしまった。鴨は衣川周平(椎名桔平)の提案にのり「上羽や」売却を決める。その矢先、会合のため京都に来ていた財務大臣の仲代公吉(松平健)が「上羽や」にやってきた。常連だった仲代は、先代女将・薫(市毛良枝)をしのび宿泊したいと言い、いつも通りのもてなしをして欲しいと告げて会合に出かける。困った鴨は売却をネタに衣川に風呂掃除をさせる。さらに、ぬか床を心配して厨房に来ていた寺石秀(高杉亘)を発見し、夕食を作るように依頼。寺石は指定した京野菜を揃えられたら料理を作ると約束をする。柴田優梨愛(岡本あずさ)はそんな鴨と寺石のやりとりを聞き、すぐに間山紗江(堀内敬子)ら仲居たちに報告をする。同じ頃、塩見鞠子(かたせ梨乃)は「ワイズ・コンサルティング」の高瀬裕次郎(伊武雅刀)に呼び出され「上羽や」売却成立後の女将になって欲しいと打診されていた。デパ地下で食材を買いそろえた鴨だが、寺石はこの野菜ではできないと突っぱねる。鴨はかつて取り引きしていた青果店に行き、なんとかいくつかの野菜は購入するが、タケノコは品切れだと言う。タケノコだけが見つからず途方に暮れていると鞠子から電話が入った・・・。上羽鴨:　松下奈緒　    衣川周平:　椎名桔平　    梅垣鈴風:　若村麻由美　    間山紗江:　堀内敬子　  加茂京介:　大東駿介　  寺石秀:　高杉亘　  八木飛雄馬:　小柳友  　　・　　  峰岸鼓太郎:　笹野高史　    高瀬裕次郎:　伊武雅刀  　　・　　  仲代公吉:　松平健(特別出演)　    上羽薫:　市毛良枝　    塩見鞠子:　かたせ梨乃【脚本】  森ハヤシ　  酒井雅秋　  岩下悠子　    【演出】  永山耕三(フジテレビ)　    【制作】  フジテレビ　    【制作著作】  東映</t>
  </si>
  <si>
    <t>上羽鴨(松下奈緒)の強引な改革案は失敗に終わり、従業員全員が辞めてしまった。鴨は衣川周平(椎名桔平)の提案にのり「上羽や」売却を決める。その矢先、会合のため京都に来ていた財務大臣の仲代公吉(松平健)が「上羽や」にやってきた。常連だった仲代は、先代女将・薫(市毛良枝)をしのび宿泊したいと言い、いつも通りのもてなしをして欲しいと告げて会合に出かける。困った鴨は売却をネタに衣川に風呂掃除をさせる。さらに、ぬか床を心配して厨房に来ていた寺石秀(高杉亘)を発見し、夕食を作るように依頼。寺石は指定した京野菜を揃えられたら料理を作ると約束をする。柴田優梨愛(岡本あずさ)はそんな鴨と寺石のやりとりを聞き、すぐに間山紗江(堀内敬子)ら仲居たちに報告をする。同じ頃、塩見鞠子(かたせ梨乃)は「ワイズ・コンサルティング」の高瀬裕次郎(伊武雅刀)に呼び出され「上羽や」売却成立後の女将になって欲しいと打診されていた。デパ地下で食材を買いそろえた鴨だが、寺石はこの野菜ではできないと突っぱねる。鴨はかつて取り引きしていた青果店に行き、なんとかいくつかの野菜は購入するが、タケノコは品切れだと言う。タケノコだけが見つからず途方に暮れていると鞠子から電話が入った・・・。</t>
  </si>
  <si>
    <t>番組名鴨、京都へ行く。-老舗旅館の女将日記-　#03</t>
  </si>
  <si>
    <t>「上羽や」売却は止めると言い出した上羽鴨(松下奈緒)だが、従業員は誰も戻ってこない。鴨が東京へ帰っている間に峰岸鼓太郎(笹野高史)が週末に2組の予約を受けてしまう。呆れる鴨だが、営業再開を決意。ぬか床を心配して厨房に来た寺石秀(高杉亘)をつかまえ料理をお願いし、腰を痛めた峰岸の代わりに衣川周平(椎名桔平)と加茂京介(大東駿介)に男衆の仕事を押し付ける。さらに職探しをしていた間山紗江(堀内敬子)らの元へ行き、再び「上羽や」で働かないかと声をかける。まず謝罪をするべきだと訴える紗江たちに、鴨はそれなら別を当たるとあっさり去る。「梅垣屋」に行き梅垣鈴風(若村麻由美)に協力を求めるが、週末は無理だという。そこで塩見鞠子(かたせ梨乃)と遭遇した鴨は、戻ってこないかと声をかけた。すぐに断った鞠子だが、今夜来る客が安永真知子(江波杏子)だと聞き、1日だけという条件で「上羽や」に戻る。もう1組の母子、母の大場夏美(いしのようこ)と退屈そうにしている娘の大場弓香(美山加恋)は鴨が仲居として接客することに。金魚の世話のために「上羽や」に来た柴田優梨愛(岡本あずさ)は、鞠子を目撃し紗江たちに報告。紗江たちは、様子を見るために「上羽や」へこっそりやってくる。安永を接客している鞠子を見て驚く紗江たち。さらに仲居として働いているものの、仕事ができていない鴨を見て呆れる。そんな鴨の前にウェーバー伯爵が現れ…。上羽鴨:　松下奈緒　    衣川周平:　椎名桔平　    梅垣鈴風:　若村麻由美　    間山紗江:　堀内敬子　  加茂京介:　大東駿介　  寺石秀:　高杉亘　  八木飛雄馬:　小柳友  　・　  峰岸鼓太郎:　笹野高史　  高瀬裕次郎:　伊武雅刀  　・　  仲代公吉:　松平健(特別出演)　    上羽薫:　市毛良枝　    塩見鞠子:　かたせ梨乃　    安永真知子:　江波杏子　  大場夏美:　いしのようこ　  大場弓香:　美山加恋【脚本】  森ハヤシ　  酒井雅秋　  岩下悠子　    【プロデューサー】  手塚治　  妹尾啓太　  中尾亜由子　    【演出】  兼崎涼介　    【主題歌】  「いろはにほへと」椎名林檎　    【制作】  フジテレビ　    【制作著作】  東映</t>
  </si>
  <si>
    <t>「上羽や」売却は止めると言い出した上羽鴨(松下奈緒)だが、従業員は誰も戻ってこない。鴨が東京へ帰っている間に峰岸鼓太郎(笹野高史)が週末に2組の予約を受けてしまう。呆れる鴨だが、営業再開を決意。ぬか床を心配して厨房に来た寺石秀(高杉亘)をつかまえ料理をお願いし、腰を痛めた峰岸の代わりに衣川周平(椎名桔平)と加茂京介(大東駿介)に男衆の仕事を押し付ける。さらに職探しをしていた間山紗江(堀内敬子)らの元へ行き、再び「上羽や」で働かないかと声をかける。まず謝罪をするべきだと訴える紗江たちに、鴨はそれなら別を当たるとあっさり去る。「梅垣屋」に行き梅垣鈴風(若村麻由美)に協力を求めるが、週末は無理だという。そこで塩見鞠子(かたせ梨乃)と遭遇した鴨は、戻ってこないかと声をかけた。すぐに断った鞠子だが、今夜来る客が安永真知子(江波杏子)だと聞き、1日だけという条件で「上羽や」に戻る。もう1組の母子、母の大場夏美(いしのようこ)と退屈そうにしている娘の大場弓香(美山加恋)は鴨が仲居として接客することに。金魚の世話のために「上羽や」に来た柴田優梨愛(岡本あずさ)は、鞠子を目撃し紗江たちに報告。紗江たちは、様子を見るために「上羽や」へこっそりやってくる。安永を接客している鞠子を見て驚く紗江たち。さらに仲居として働いているものの、仕事ができていない鴨を見て呆れる。そんな鴨の前にウェーバー伯爵が現れ…。</t>
  </si>
  <si>
    <t>番組名鴨、京都へ行く。-老舗旅館の女将日記-　#04</t>
  </si>
  <si>
    <t>「上羽や」の女将になった上羽鴨(松下奈緒)は、塩見鞠子(かたせ梨乃)から仲居たちの下について仕事を学ぶように言われるが、なにひとつ満足にできずに怒られてばかり。ある日、仕入れ業者たちが月末払いの請求書を置いていく。「ワイズ・コンサルティング」への返済日も月末で、頭を抱える鴨。仲居たちが給料が出ないなら辞めると話しているのを聞き、信頼を得るために従業員と業者への支払いを優先することを決める。そんな中、衣川周平(椎名桔平)と高瀬裕次郎(伊武雅刀)が客としてやってきた。鴨が支払いできないと予想し、「上羽や」がなくなる前に泊まろうとやってきたのだ。衣川を部屋に案内した時に支払い延期をお願いしようとしていた鴨だが、ここぞとばかりに大きな態度をとる衣川に腹を立て何も言わず部屋を出る。  　同じ頃、間山紗江(堀内敬子)は予約客の稲川純一(菅原大吉)と織田睦夫(木下ほうか)を部屋に案内していた。予約は3名だったことを確認すると、もうそろっているから夕食は3人分用意して欲しいと言う。夕食ができあがり、鴨が紗江と一緒に運んでいくことになった。やがて稲川は高校時代に撮った自分と織田ともう1人が写った写真を取り出し、3人目の席に置く。高校卒業時に30年後に「上羽や」に行くことを約束したという話を聞いた鴨は、もう1人が遅れて来るなら作り直すと1人分の料理を片付けようとして紗江に止められる。上羽鴨:　松下奈緒　    衣川周平:　椎名桔平　    梅垣鈴風:　若村麻由美　    間山紗江:　堀内敬子　  加茂京介:　大東駿介　  寺石秀:　高杉亘　  八木飛雄馬:　小柳友  　　・　　  峰岸鼓太郎:　笹野高史　  高瀬裕次郎:　伊武雅刀  　　・　　  仲代公吉:　松平健(特別出演)　    上羽薫:　市毛良枝　  塩見鞠子:　かたせ梨乃　    稲川純一:　菅原大吉　  織田睦夫:　木下ほうか　  保田啓次:　朝倉伸二【脚本】  森ハヤシ　  酒井雅秋　  岩下悠子　    【プロデューサー】  手塚治　  妹尾啓太　  中尾亜由子　    【演出】  兼崎涼介　    【主題歌】  「いろはにほへと」椎名林檎　    【制作】  フジテレビ　    【制作著作】  東映</t>
  </si>
  <si>
    <t>「上羽や」の女将になった上羽鴨(松下奈緒)は、塩見鞠子(かたせ梨乃)から仲居たちの下について仕事を学ぶように言われるが、なにひとつ満足にできずに怒られてばかり。ある日、仕入れ業者たちが月末払いの請求書を置いていく。「ワイズ・コンサルティング」への返済日も月末で、頭を抱える鴨。仲居たちが給料が出ないなら辞めると話しているのを聞き、信頼を得るために従業員と業者への支払いを優先することを決める。そんな中、衣川周平(椎名桔平)と高瀬裕次郎(伊武雅刀)が客としてやってきた。鴨が支払いできないと予想し、「上羽や」がなくなる前に泊まろうとやってきたのだ。衣川を部屋に案内した時に支払い延期をお願いしようとしていた鴨だが、ここぞとばかりに大きな態度をとる衣川に腹を立て何も言わず部屋を出る。  　同じ頃、間山紗江(堀内敬子)は予約客の稲川純一(菅原大吉)と織田睦夫(木下ほうか)を部屋に案内していた。予約は3名だったことを確認すると、もうそろっているから夕食は3人分用意して欲しいと言う。夕食ができあがり、鴨が紗江と一緒に運んでいくことになった。やがて稲川は高校時代に撮った自分と織田ともう1人が写った写真を取り出し、3人目の席に置く。高校卒業時に30年後に「上羽や」に行くことを約束したという話を聞いた鴨は、もう1人が遅れて来るなら作り直すと1人分の料理を片付けようとして紗江に止められる。</t>
  </si>
  <si>
    <t>番組名鴨、京都へ行く。-老舗旅館の女将日記-　#05</t>
  </si>
  <si>
    <t>衣川周平(椎名桔平)がコンサルタントとして「上羽や」の支配人になると言い出した。先日、「上羽や」に上司の高瀬裕次郎(伊武雅刀)と宿泊した際、絵画や掛け軸、壺などの美術品が名だたる作家によるものばかりで、「上羽や」は考えていた以上にお宝が眠っていることに気づいた、という。それを調べるためにも衣川は支配人を名乗り出たのだった。衣川は従業員の取りまとめをし、彼らからの信頼も得ている様子で、上羽鴨(松下奈緒)は面白くない。  　そんな時、鴨の財務省の恋人、石黒哲也(丸山智己)が京都まで訪ねてくる。「上羽や」内でも鴨スケのエリート恋人がやってきた、と噂話に花が咲く。そこへ、予約していたお客がやってきた。セリィという人気ファッションブランドの社長夫妻だけに、粗相がないよう仲居たちも気を引き締める。社長の望月啓志(神尾佑)はすぐに仕事に出てしまったが、残った社長夫人の幸子(高岡早紀)は、旅館内の絵画や掛け軸にケチをつけ、飲み物や夕食に使う食材から、アロママッサージのアロマオイルの銘柄まで指定してくる始末。鴨はモンスターカスタマーだと怒るが、塩見鞠子(かたせ梨乃)や間山紗江(堀内敬子)は、お客様の要望に応えるのが務めと、鴨にアロマオイルのおつかいを指示する。  　ブツブツ文句を言いながら、鴨は石黒を連れて京都の街へ。石黒は「2人でデートできるからいいじゃないか」となだめ・・・。上羽鴨:　松下奈緒　    衣川周平:　椎名桔平　    梅垣鈴風:　若村麻由美　    間山紗江:　堀内敬子　  加茂京介:　大東駿介　  寺石秀:　高杉亘　  八木飛雄馬:　小柳友  　　・　　  峰岸鼓太郎:　笹野高史　    高瀬裕次郎:　伊武雅刀  　　・　　  仲代公吉:　松平健(特別出演)　    上羽薫:　市毛良枝　    塩見鞠子:　かたせ梨乃　      望月幸子:　高岡早紀　    望月啓志:　神尾佑【脚本】  森ハヤシ　  酒井雅秋　  岩下悠子　    【プロデューサー】  手塚治　  妹尾啓太　  中尾亜由子　    【演出】  永山耕三　    【主題歌】  「いろはにほへと」椎名林檎　    【制作】  フジテレビ　    【制作著作】  東映</t>
  </si>
  <si>
    <t>衣川周平(椎名桔平)がコンサルタントとして「上羽や」の支配人になると言い出した。先日、「上羽や」に上司の高瀬裕次郎(伊武雅刀)と宿泊した際、絵画や掛け軸、壺などの美術品が名だたる作家によるものばかりで、「上羽や」は考えていた以上にお宝が眠っていることに気づいた、という。それを調べるためにも衣川は支配人を名乗り出たのだった。衣川は従業員の取りまとめをし、彼らからの信頼も得ている様子で、上羽鴨(松下奈緒)は面白くない。  　そんな時、鴨の財務省の恋人、石黒哲也(丸山智己)が京都まで訪ねてくる。「上羽や」内でも鴨スケのエリート恋人がやってきた、と噂話に花が咲く。そこへ、予約していたお客がやってきた。セリィという人気ファッションブランドの社長夫妻だけに、粗相がないよう仲居たちも気を引き締める。社長の望月啓志(神尾佑)はすぐに仕事に出てしまったが、残った社長夫人の幸子(高岡早紀)は、旅館内の絵画や掛け軸にケチをつけ、飲み物や夕食に使う食材から、アロママッサージのアロマオイルの銘柄まで指定してくる始末。鴨はモンスターカスタマーだと怒るが、塩見鞠子(かたせ梨乃)や間山紗江(堀内敬子)は、お客様の要望に応えるのが務めと、鴨にアロマオイルのおつかいを指示する。  　ブツブツ文句を言いながら、鴨は石黒を連れて京都の街へ。石黒は「2人でデートできるからいいじゃないか」となだめ・・・。</t>
  </si>
  <si>
    <t>番組名鴨、京都へ行く。-老舗旅館の女将日記-　#06</t>
  </si>
  <si>
    <t>鴨(松下奈緒)は、亡き母、薫(市毛良枝)の納骨式に出席、鞠子(かたせ梨乃)や寺石(高杉亘)らも参列していた。その頃、「上羽や」では、峰岸鼓太郎(笹野高史)が客間の掛け軸をかけていた。先々代の女将に仕えていた勘兵衛(山谷初男)という番頭が買ったもので、骨董を見極める眼力のある人だった、と衣川周平(椎名桔平)に話す峰岸。  　「上羽や」近くでは、骨董店に空き巣が入った、という騒動が起きる。すると、サングラスにマスクの怪しい男(佐戸井けん太)が突然、「上羽や」に泊まりたい、とやってくる。経営上、お客様を選り好みできる状況ではない、と紗江(堀内敬子)に豪語したばかりの鴨は、ヤマダと名乗るその客を受け入れるが、ヤマダは「僕がここに泊まっていることは秘密にしてほしい」と頼む。鴨はヤマダが空き巣犯ではないかと疑い、警察に通報した方がいいのでは、と言い出すが、1度迎えたお客様を泥棒扱いするなんて、と鞠子から一喝される。そこへ宿泊客の兄弟、タケル(椙杜翔馬)とサトル(溝口怜冴)がやってきて、「これ、貸してやる」と鴨にあるマンガ雑誌を渡した。  　翌日、梅垣鈴風(若村麻由美)の案内のもと、鴨が呉服展示会を見ていると、「上羽や」から刑事がヤマダを探してやってきた、という連絡が入り、急きょ旅館に戻る。すると、刑事だと勘違いしていた久保という男(石橋保)は、『少年ダッシュ』という有名マンガ雑誌の編集者だった。松下奈緒　    椎名桔平　    若村麻由美　    堀内敬子　  大東駿介　  高杉亘　  小柳友  　・　  笹野高史　    伊武雅刀  　・　  松平健(特別出演)　    市毛良枝　    かたせ梨乃　    佐戸井けん太　    石橋保　    椙杜翔馬　  溝口怜冴　    山谷初男【脚本】  森ハヤシ　  酒井雅秋　  岩下悠子　    【プロデューサー】  手塚治　  妹尾啓太　  中尾亜由子　    【演出】  並木道子　    【主題歌】  「いろはにほへと」椎名林檎　    【制作】  フジテレビ　    【制作著作】  東映</t>
  </si>
  <si>
    <t>番組名鴨、京都へ行く。-老舗旅館の女将日記-　#07</t>
  </si>
  <si>
    <t>「鴨、京都へ行く。」サウンドトラックCDを抽選で50名様へプレゼント致します!!  番組終了後より受付開始します。  詳しくは番組公式HP(http://www.fujitv.co.jp/kamokyo/index.html　もしくはスマホ・携帯で「メニュー&gt;TV&gt;フジテレビ&gt;鴨、京都へ行く。)まで。締め切りは5月27日(月)23時59分です。当選者の発表は発送をもって代えさせて頂きます。　上羽鴨(松下奈緒)は、目安箱を用意し、旅館「上羽や」の従業員に「上羽や」をより良くするためのアイディアを募集する。鴨は集まった意見や要望の中から、メニューを増やす提案をするが、板長の寺石秀(高杉亘)は、これ以上負担を増やすなと反対。若手の板前・八木飛雄馬(小柳友)が板場を仕切る日を設けたらどうか?という提案も、八木にはまだ早すぎる、と即却下される。  　女将組合では、海外の超VIPの家族が京都観光を希望しており、梅垣鈴風(若村麻由美)が女将を務める「梅垣屋」に宿泊予定だと聞き、微妙な心境の鴨。  　そんな折り、「上羽や」には落語家の東雲亭千雀(三遊亭円楽)と弟子が泊まりにやってきた。落語好きな衣川周平(椎名桔平)は浮き足立つ。弟子の東雲亭千太郎(内野謙太)は、板長から煮物の味をダメ出しされたばかりの八木に、自分も師匠のOKが出ないと人前で落語すらできないのだ、と愚痴をもらす。　「上羽や」のロビーでは、以前訪れた財務大臣の秘書の宮下(瀬野和紀)が来ていた。例の海外VIPの家族を「梅垣屋」ではなく、「上羽や」に泊めてもらいたい、と言うのだ。松下奈緒　  椎名桔平　  若村麻由美　  堀内敬子　  大東駿介　  高杉亘　  小柳友  　・　  笹野高史　  伊武雅刀  　・　  松平健(特別出演)　  市毛良枝　  かたせ梨乃　  三遊亭円楽　  内野謙太　  瀬野和紀　  ほか【脚本】  森ハヤシ　酒井雅秋　岩下悠子　  【プロデューサー】  手塚治　妹尾啓太　中尾亜由子　  【演出】  兼崎涼介　  【主題歌】  「いろはにほへと」椎名林檎(EMI　Records　Japan)　  【制作】  フジテレビ　  【制作著作】  東映</t>
  </si>
  <si>
    <t>上羽鴨(松下奈緒)は、目安箱を用意し、旅館「上羽や」の従業員に「上羽や」をより良くするためのアイディアを募集する。鴨は集まった意見や要望の中から、メニューを増やす提案をするが、板長の寺石秀(高杉亘)は、これ以上負担を増やすなと反対。若手の板前・八木飛雄馬(小柳友)が板場を仕切る日を設けたらどうか?という提案も、八木にはまだ早すぎる、と即却下される。  　女将組合では、海外の超VIPの家族が京都観光を希望しており、梅垣鈴風(若村麻由美)が女将を務める「梅垣屋」に宿泊予定だと聞き、微妙な心境の鴨。  　そんな折り、「上羽や」には落語家の東雲亭千雀(三遊亭円楽)と弟子が泊まりにやってきた。落語好きな衣川周平(椎名桔平)は浮き足立つ。弟子の東雲亭千太郎(内野謙太)は、板長から煮物の味をダメ出しされたばかりの八木に、自分も師匠のOKが出ないと人前で落語すらできないのだ、と愚痴をもらす。　「上羽や」のロビーでは、以前訪れた財務大臣の秘書の宮下(瀬野和紀)が来ていた。例の海外VIPの家族を「梅垣屋」ではなく、「上羽や」に泊めてもらいたい、と言うのだ。松下奈緒　  椎名桔平　  若村麻由美　  堀内敬子　  大東駿介　  高杉亘　  小柳友  　・　  笹野高史　  伊武雅刀  　・　  松平健(特別出演)　  市毛良枝　  かたせ梨乃　  三遊亭円楽　  内野謙太　  瀬野和紀　  ほか【脚本】  森ハヤシ　酒井雅秋　岩下悠子　  【プロデューサー】  手塚治　妹尾啓太　中尾亜由子　  【演出】  兼崎涼介　  【主題歌】  「いろはにほへと」椎名林檎(EMI　Records　Japan)　  【制作】  フジテレビ　  【制作著作】  東映</t>
  </si>
  <si>
    <t>番組名鴨、京都へ行く。-老舗旅館の女将日記-　#08</t>
  </si>
  <si>
    <t>「上羽や」の経営も少しずつ軌道に乗り始め、昔からの常連客に先代女将とは違う魅力があると言われて上機嫌の上羽鴨(松下奈緒)に、ある人物から電話が入った…。  　その日の深夜。従業員総出で周辺を見回り、マスコミや怪しい人物はいないと連絡を受けた財務大臣の仲代公吉(松平健)と秘書の宮下晋太郎(瀬野和紀)が、裏口からこっそりと「上羽や」に入って来た。仲代は、政策の相違で総理大臣の殿村克彦(田村亮)との対立が噂されており、常にマスコミに追われている状態だった。部屋に入った仲代は、鴨と衣川周平(椎名桔平)に、別件で京都へ来ている殿村と極秘で会談を予定していることを話し、自分がここにいることを隠して欲しいと頼む。  　翌日、鴨は、仲代が宿泊していることを他言しないよう従業員に告げる。直後、梅垣鈴風(若村麻由美)が「上羽や」にやって来た。鈴風は「梅垣屋」に宿泊している殿村から、明日18時に「梅垣屋」で会談したいという仲代宛ての伝言を告げる。鴨がそれを仲代に告げると、その時間は都合が悪く、別件の時間をずらそうとする仲代だが、宮下は先方の言いなりになるのは仲代を支持する党員たちにも顔が立たないと反対する。  　会談は明日21時に「上羽や」で、との仲代の意向を伝えるため、鴨と衣川は「梅垣屋」を訪ねた。殿村に直接会い、時間と場所の変更をお願いするが・・・。上羽鴨:　松下奈緒　    衣川周平:　椎名桔平　    梅垣鈴風:　若村麻由美　    間山紗江:　堀内敬子　  加茂京介:　大東駿介　  寺石秀:　高杉亘　  八木飛雄馬:　小柳友  　　・　　  峰岸鼓太郎:　笹野高史　    高瀬裕次郎:　伊武雅刀  　　・　　  仲代公吉:　松平健(特別出演)　    上羽薫:　市毛良枝　    塩見鞠子:　かたせ梨乃　    宮下晋太郎:　瀬野和紀　  細口隆史:　谷口高史　  殿村克彦:　田村亮【脚本】  森ハヤシ　  酒井雅秋　  岩下悠子　    【プロデューサー】  手塚治　  妹尾啓太　  中尾亜由子　    【演出】  兼崎涼介　    【主題歌】  「いろはにほへと」椎名林檎(EMI　Records　Japan)　    【制作】  フジテレビ　    【制作著作】  東映</t>
  </si>
  <si>
    <t>「上羽や」の経営も少しずつ軌道に乗り始め、昔からの常連客に先代女将とは違う魅力があると言われて上機嫌の上羽鴨(松下奈緒)に、ある人物から電話が入った…。  　その日の深夜。従業員総出で周辺を見回り、マスコミや怪しい人物はいないと連絡を受けた財務大臣の仲代公吉(松平健)と秘書の宮下晋太郎(瀬野和紀)が、裏口からこっそりと「上羽や」に入って来た。仲代は、政策の相違で総理大臣の殿村克彦(田村亮)との対立が噂されており、常にマスコミに追われている状態だった。部屋に入った仲代は、鴨と衣川周平(椎名桔平)に、別件で京都へ来ている殿村と極秘で会談を予定していることを話し、自分がここにいることを隠して欲しいと頼む。  　翌日、鴨は、仲代が宿泊していることを他言しないよう従業員に告げる。直後、梅垣鈴風(若村麻由美)が「上羽や」にやって来た。鈴風は「梅垣屋」に宿泊している殿村から、明日18時に「梅垣屋」で会談したいという仲代宛ての伝言を告げる。鴨がそれを仲代に告げると、その時間は都合が悪く、別件の時間をずらそうとする仲代だが、宮下は先方の言いなりになるのは仲代を支持する党員たちにも顔が立たないと反対する。  　会談は明日21時に「上羽や」で、との仲代の意向を伝えるため、鴨と衣川は「梅垣屋」を訪ねた。殿村に直接会い、時間と場所の変更をお願いするが・・・。</t>
  </si>
  <si>
    <t>番組名鴨、京都へ行く。-老舗旅館の女将日記-　#09</t>
  </si>
  <si>
    <t>今夜の「鴨」は21時20分からです!!  胸が痛くなるような現実があっても、なぜかほっこり暖かい気持ちになれる、鴨史上最も胸震えるストーリーをお楽しみください!　「上羽鴨(松下奈緒)が財務大臣の仲代公吉(松平健)の隠し子!?」という記事が週刊誌に掲載され、「上羽や」に予約が殺到する。仲居たちから冷やかしの客は断るべきとの意見も出るが、鴨は顧客を増やすチャンスだと平然としていた。そんな中、高瀬裕次郎(伊武雅刀)が衣川周平(椎名桔平)を呼び出した。最近、「上羽や」に肩入れし過ぎてる様子の衣川の気持ちに変化がないか確認した高瀬は、梅垣鈴風(若村麻由美)からある“いい提案"をされたと話し出す…。  　「上羽や」に予約客の園田夫妻が来た。園田夫妻は、ここ数年は来ていなかったが40年来の常連客だった。出迎えた鴨は、自分を先代女将の名前で、夫である孝司(山本圭)を兄と呼ぶ芳子(いしだあゆみ)に戸惑う。孝司は鴨に、芳子が3年前にかかった病気の後遺症で記憶障害があり、記憶を思い出すきっかけになればと思い、「上羽や」に来たと説明する。  　翌朝、芳子の強い要望で朝食に湯豆腐が出された。ところが、豆腐を一口食べた芳子は味が変わったと訴える。鴨と鞠子(かたせ梨乃)は寺石秀(高杉亘)に伝え、豆腐を食べた寺石が、味が落ちていることを認めると、鴨は味を戻してもらうべく、仕入れ店へ行くと言い出した。豆腐店は創業200年の老舗であり、店主の冨田静夫(六平直政)はプライドが高いため、鴨1人では心配だと寺石と衣川がついて行くことに・・・。上羽鴨:　松下奈緒　    衣川周平:　椎名桔平　    梅垣鈴風:　若村麻由美　    間山紗江:　堀内敬子　  加茂京介:　大東駿介　  寺石秀:　高杉亘　  八木飛雄馬:　小柳友  　・　  峰岸鼓太郎:　笹野高史　    高瀬裕次郎:　伊武雅刀  　・　  仲代公吉:　松平健(特別出演)　    上羽薫:　市毛良枝　    塩見鞠子:　かたせ梨乃　      園田芳子:　いしだあゆみ　    園田孝司:　山本圭　    冨田静夫:　六平直政【脚本】  森ハヤシ　  酒井雅秋　  岩下悠子　    【プロデューサー】  手塚治　  妹尾啓太　  中尾亜由子　    【演出】  永山耕三　    【主題歌】  「いろはにほへと」椎名林檎(EMI　Records　Japan)　    【制作】  フジテレビ　    【制作著作】  東映</t>
  </si>
  <si>
    <t>「上羽鴨(松下奈緒)が財務大臣の仲代公吉(松平健)の隠し子!?」という記事が週刊誌に掲載され、「上羽や」に予約が殺到する。仲居たちから冷やかしの客は断るべきとの意見も出るが、鴨は顧客を増やすチャンスだと平然としていた。そんな中、高瀬裕次郎(伊武雅刀)が衣川周平(椎名桔平)を呼び出した。最近、「上羽や」に肩入れし過ぎてる様子の衣川の気持ちに変化がないか確認した高瀬は、梅垣鈴風(若村麻由美)からある“いい提案"をされたと話し出す…。  　「上羽や」に予約客の園田夫妻が来た。園田夫妻は、ここ数年は来ていなかったが40年来の常連客だった。出迎えた鴨は、自分を先代女将の名前で、夫である孝司(山本圭)を兄と呼ぶ芳子(いしだあゆみ)に戸惑う。孝司は鴨に、芳子が3年前にかかった病気の後遺症で記憶障害があり、記憶を思い出すきっかけになればと思い、「上羽や」に来たと説明する。  　翌朝、芳子の強い要望で朝食に湯豆腐が出された。ところが、豆腐を一口食べた芳子は味が変わったと訴える。鴨と鞠子(かたせ梨乃)は寺石秀(高杉亘)に伝え、豆腐を食べた寺石が、味が落ちていることを認めると、鴨は味を戻してもらうべく、仕入れ店へ行くと言い出した。豆腐店は創業200年の老舗であり、店主の冨田静夫(六平直政)はプライドが高いため、鴨1人では心配だと寺石と衣川がついて行くことに・・・。</t>
  </si>
  <si>
    <t>番組名鴨、京都へ行く。-老舗旅館の女将日記-　#10</t>
  </si>
  <si>
    <t>上羽鴨(松下奈緒)と峰岸鼓太郎(笹野高史)が花を生けていると峰岸はそろそろ隠居を考えている、と話すが鴨は冗談と受け流す。  　「上羽や」に松原祐一郎(矢島健一)とジェームス・ハワード(イアン・ムーア)という客がやって来た。松原はレストラン業界の帝王と呼ばれ、40年前「上羽や」で男衆として働いていた。当時、高級ホテルに引き抜かれ、今の地位を手に入れた。実はもう1人、引き抜きの声がかかった男衆がいた。それが峰岸だった。松原は峰岸に、40年前に断ったことを悔いてはいないのか?と尋ねる。  　松原らは、次の日早朝から普段は見られない文化財の鑑賞と人間国宝との会食に出かけるという。「梅垣屋」の女将・梅垣鈴風(若村麻由美)の計らいだった。鈴風は富裕層向けに特別な体験ができる旅行プランに着目していた。鈴風は衣川周平(椎名桔平)に、「梅垣屋」のコンサルタントになってほしいという話を忘れていないかと確かめる。　その日の夜、夕食を終えた松原は、板長と話したい、と寺石秀(高杉亘)を呼ぶ。松原は自分たちのもとで働かないか?と寺石に持ちかける。  　翌日、「しばらく実家に帰らせていただきます」というメモを残して、峰岸が消えた。峰岸には妻も子どももいない、と鞠子(かたせ梨乃)から聞いた鴨は、加茂京介(大東駿介)を引き連れて、実家があるという舞鶴へ向かう。すると、峰岸家の軒先に遠野春子(松坂慶子)の姿があり…。上羽鴨:　松下奈緒　    衣川周平:　椎名桔平　    梅垣鈴風:　若村麻由美　    間山紗江:　堀内敬子　  加茂京介:　大東駿介　  寺石秀:　高杉亘　  八木飛雄馬:　小柳友　    峰岸鼓太郎:　笹野高史　  高瀬裕次郎:　伊武雅刀　    仲代公吉:　松平健(特別出演)　  上羽薫:　市毛良枝　  塩見鞠子:　かたせ梨乃　    松原祐一郎:　矢島健一　  ジェームス・ハワード:　イアン・ムーア　  遠野春子:　松坂慶子【脚本】  森ハヤシ　  酒井雅秋　  岩下悠子　    【プロデューサー】  手塚治　  妹尾啓太　  中尾亜由子　    【演出】  並木道子　    【主題歌】  「いろはにほへと」椎名林檎(EMI　Records　Japan)　    【制作】  フジテレビ　    【制作著作】  東映</t>
  </si>
  <si>
    <t>上羽鴨(松下奈緒)と峰岸鼓太郎(笹野高史)が花を生けていると峰岸はそろそろ隠居を考えている、と話すが鴨は冗談と受け流す。  　「上羽や」に松原祐一郎(矢島健一)とジェームス・ハワード(イアン・ムーア)という客がやって来た。松原はレストラン業界の帝王と呼ばれ、40年前「上羽や」で男衆として働いていた。当時、高級ホテルに引き抜かれ、今の地位を手に入れた。実はもう1人、引き抜きの声がかかった男衆がいた。それが峰岸だった。松原は峰岸に、40年前に断ったことを悔いてはいないのか?と尋ねる。  　松原らは、次の日早朝から普段は見られない文化財の鑑賞と人間国宝との会食に出かけるという。「梅垣屋」の女将・梅垣鈴風(若村麻由美)の計らいだった。鈴風は富裕層向けに特別な体験ができる旅行プランに着目していた。鈴風は衣川周平(椎名桔平)に、「梅垣屋」のコンサルタントになってほしいという話を忘れていないかと確かめる。　その日の夜、夕食を終えた松原は、板長と話したい、と寺石秀(高杉亘)を呼ぶ。松原は自分たちのもとで働かないか?と寺石に持ちかける。  　翌日、「しばらく実家に帰らせていただきます」というメモを残して、峰岸が消えた。峰岸には妻も子どももいない、と鞠子(かたせ梨乃)から聞いた鴨は、加茂京介(大東駿介)を引き連れて、実家があるという舞鶴へ向かう。すると、峰岸家の軒先に遠野春子(松坂慶子)の姿があり…。</t>
  </si>
  <si>
    <t>番組名鴨、京都へ行く。-老舗旅館の女将日記-　#11</t>
  </si>
  <si>
    <t>峰岸鼓太郎(笹野高史)が春子(松坂慶子)と結婚、「上羽や」で披露宴を開き、おめでたい空気の中、衣川周平(椎名桔平)は梅垣鈴風(若村麻由美)とともに上羽鴨(松下奈緒)の元から去って行った。  　鈴風は、海外の富裕層客相手に、京都で特別な体験ができるプランを提供するとともに、海外旅行企業と貸し切り契約を交わし、高い単価で海外セレブを泊める計画を進めていた。すでに鈴風は「上羽や」の債権を買い取っており、鴨が断る選択肢はないという。「上羽や」は一旦閉めて従業員はそのままに、「梅垣屋別館」として営業するという。  　鴨は塩見鞠子(かたせ梨乃)に意見を求めるが、鞠子は女将の思う通りにすればいいと告げる。  　鴨は従業員を集めて「梅垣屋別館」になることを伝える。動揺する従業員たちに立て直しできなかったことを素直に謝る鴨。  　事情を知った仲代公吉(松平健)が「上羽や」に来た。鞠子は鴨に旅館の名前が変わる前に迎えたい顧客リストを渡した。  　招待日になり、新婚旅行も兼ねた峰岸と春子がやってきた。そこへ、鈴風がともに富裕層プランを進めているアントワーヌ・ベルラン(ジュリー・ドレフュス)を連れて「上羽や」の下見に来た。さらに貿易会社社長の葛川克也(宇梶剛士)や、20年前に宿泊した女性3人組もやってきた。その3人は、以前埋めたタイムカプセルを探したいと言い出す。「白河の間」の庭を掘ると聞いた峰岸は動揺する。上羽鴨:　松下奈緒　    衣川周平:　椎名桔平　    梅垣鈴風:　若村麻由美　    間山紗江:　堀内敬子　  加茂京介:　大東駿介　  寺石秀:　高杉亘　  八木飛雄馬:　小柳友  　・　  峰岸鼓太郎:　笹野高史　    高瀬裕次郎:　伊武雅刀  　・　  仲代公吉:　松平健(特別出演)　    上羽薫:　市毛良枝　    塩見鞠子:　かたせ梨乃　    溝口栞:　大路恵美　  中原真澄:　藤沢かりん　  新条あずさ:　建みさと葛川克也:　宇梶剛士　    アントワーヌ・ベルラン:　ジュリー・ドレフュス　    峰岸春子:　松坂慶子　    ほか【脚本】  森ハヤシ　  酒井雅秋　  岩下悠子　    【プロデューサー】  手塚治　  妹尾啓太　  中尾亜由子　    【演出】  永山耕三　    【主題歌】  「いろはにほへと」椎名林檎(EMI　Records　Japan)　    【制作】  フジテレビ　    【制作著作】  東映</t>
  </si>
  <si>
    <t>峰岸鼓太郎(笹野高史)が春子(松坂慶子)と結婚、「上羽や」で披露宴を開き、おめでたい空気の中、衣川周平(椎名桔平)は梅垣鈴風(若村麻由美)とともに上羽鴨(松下奈緒)の元から去って行った。  　鈴風は、海外の富裕層客相手に、京都で特別な体験ができるプランを提供するとともに、海外旅行企業と貸し切り契約を交わし、高い単価で海外セレブを泊める計画を進めていた。すでに鈴風は「上羽や」の債権を買い取っており、鴨が断る選択肢はないという。「上羽や」は一旦閉めて従業員はそのままに、「梅垣屋別館」として営業するという。  　鴨は塩見鞠子(かたせ梨乃)に意見を求めるが、鞠子は女将の思う通りにすればいいと告げる。  　鴨は従業員を集めて「梅垣屋別館」になることを伝える。動揺する従業員たちに立て直しできなかったことを素直に謝る鴨。  　事情を知った仲代公吉(松平健)が「上羽や」に来た。鞠子は鴨に旅館の名前が変わる前に迎えたい顧客リストを渡した。  　招待日になり、新婚旅行も兼ねた峰岸と春子がやってきた。そこへ、鈴風がともに富裕層プランを進めているアントワーヌ・ベルラン(ジュリー・ドレフュス)を連れて「上羽や」の下見に来た。さらに貿易会社社長の葛川克也(宇梶剛士)や、20年前に宿泊した女性3人組もやってきた。その3人は、以前埋めたタイムカプセルを探したいと言い出す。「白河の間」の庭を掘ると聞いた峰岸は動揺する。</t>
  </si>
  <si>
    <t>1304_CX_火22</t>
  </si>
  <si>
    <t>幽かな彼女</t>
  </si>
  <si>
    <t>番組名幽かな彼女　#01</t>
  </si>
  <si>
    <t>教育に対する情熱を失いかけた中学教師の神山暁(香取慎吾)は、小原南中学校に赴任。新しい学校でも冷めたスタンスで、生徒、教師、保護者にも“適度な距離"を心がける。そんな暁が引っ越した新居は、同僚の林邦彦(北山宏光)と同じマンション。そしてそこは幽霊が出るとうわさの部屋だった。引っ越した夜、暁はさっそくその部屋の地縛霊・アカネ(杏)に襲われる。だがまったく動じることなく、あっけなくアカネを撃退。実は暁は、幽霊が見え、話もできる“霊感体質"。そのせいで幽霊たちにつきまとわれ、うんざりしていたのだった。だが、自分の姿が暁に見えると知ったアカネは大喜び。構ってもらおうと堂々と姿を現すようになる。一方、小原南中では、新任の副校長・霧澤和泉(真矢みき)に始業式で厳しく注意された生徒の母親が「全校生徒の前で我が子が恥をかかされた」と学校に乗り込む騒ぎが起こる。暁のクラスでも、生徒の相田拓途(神宮寺勇太)の不登校が問題に。暁は副担任の河合千穂(前田敦子)から、拓途が学校を休みがちになった理由を聞かされるが、生徒に深く関わる気はないと、いつもの冷めた態度で対応する。ある日、暁が帰宅すると、アカネが友だちの浮遊霊・吉岡(佐藤二朗)と、その彼女メグミ(上間美緒)を勝手に連れ込んでいた。3人の話から、生前のアカネが熱血教師だったことを知る暁。そんな中、不登校だった拓途の緊急事態を知らせる電話が入り…。香取慎吾　  杏　  前田敦子　  北山宏光(Kis-My-Ft2)　  濱田マリ　  佐藤二朗  　/　  高嶋政宏  　/　  真矢みき　    ほか【脚本】  古家和尚　    【音楽】  井筒昭雄　    【主題歌】  SMAP『Joy!!』(ビクターエンタテイメント)　    【演出】  白木啓一郎　    【プロデュース】  木村淳　    【制作著作】  関西テレビ放送【HP】  http://www.ktv.jp/kasuka/index.html</t>
  </si>
  <si>
    <t>教育に対する情熱を失いかけた中学教師の神山暁(香取慎吾)は、小原南中学校に赴任。新しい学校でも冷めたスタンスで、生徒、教師、保護者にも“適度な距離"を心がける。そんな暁が引っ越した新居は、同僚の林邦彦(北山宏光)と同じマンション。そしてそこは幽霊が出るとうわさの部屋だった。引っ越した夜、暁はさっそくその部屋の地縛霊・アカネ(杏)に襲われる。だがまったく動じることなく、あっけなくアカネを撃退。実は暁は、幽霊が見え、話もできる“霊感体質"。そのせいで幽霊たちにつきまとわれ、うんざりしていたのだった。だが、自分の姿が暁に見えると知ったアカネは大喜び。構ってもらおうと堂々と姿を現すようになる。一方、小原南中では、新任の副校長・霧澤和泉(真矢みき)に始業式で厳しく注意された生徒の母親が「全校生徒の前で我が子が恥をかかされた」と学校に乗り込む騒ぎが起こる。暁のクラスでも、生徒の相田拓途(神宮寺勇太)の不登校が問題に。暁は副担任の河合千穂(前田敦子)から、拓途が学校を休みがちになった理由を聞かされるが、生徒に深く関わる気はないと、いつもの冷めた態度で対応する。ある日、暁が帰宅すると、アカネが友だちの浮遊霊・吉岡(佐藤二朗)と、その彼女メグミ(上間美緒)を勝手に連れ込んでいた。3人の話から、生前のアカネが熱血教師だったことを知る暁。そんな中、不登校だった拓途の緊急事態を知らせる電話が入り…。</t>
  </si>
  <si>
    <t>1304_CX_水22</t>
  </si>
  <si>
    <t>家族ゲーム</t>
  </si>
  <si>
    <t>番組名家族ゲーム　#01</t>
  </si>
  <si>
    <t>家庭教師の吉本荒野(櫻井翔)が沼田家にやって来る。出来の悪い次男、茂之(浦上晟周)のために、母親の佳代子(鈴木保奈美)がインターネットで見つけた“100%東大合格"をうたう吉本のホームページを見つけて依頼したのだ。  　吉本は、まず家族面談を行うと沼田家一同をリビングに募らせる。しかし、佳代子、父親の一茂(板尾創路)、長男の慎一(神木隆之介)はそろうが、肝心の茂之が顔を出さない。中学3年生の茂之は、登校拒否の引きこもり状態だった。佳代子の呼びかけに、ようやく出てきた茂之は異様な姿で、ふざけてロボットのように振る舞う。それでも、吉本は平気な顔をして家族面談を始めた。そんな中、父・一茂の提案で兄の慎一が通う進学校に茂之を合格させることが、吉本の目標に決まる。吉本は茂之本人に「成績を上げたいか?」と確認するが、まともな答えは返ってこない。すると吉本は家族もあっと驚くような行動に出た。あっけにとられる家族の前で、もう1度、意思を問う吉本に、茂之は呆然としたまま、うなずいた。こうして、吉本は茂之の家庭教師を引き受けることになる。  　面談後、父・一茂は登校拒否の茂之を1週間以内に学校へ連れて行ったら10万円のボーナスを出すと吉本に提案。5日もあれば十分と答える吉本は、その間、自分のやり方に口出ししないことを条件とした…。櫻井翔　  神木隆之介　  忽那汐里　  浦上晟周　  北原里英  　・　  板尾創路　  鈴木保奈美【原作】  本間洋平「家族ゲーム」(集英社文庫刊)　    【脚本】  武藤将吾　    【音楽】  本多俊之　    【編成企画】  水野綾子　    【プロデュース】  稲田秀樹　  小林宙　    【演出】  佐藤祐市　    【制作】  フジテレビ　    【制作著作】  共同テレビ</t>
  </si>
  <si>
    <t>家庭教師の吉本荒野(櫻井翔)が沼田家にやって来る。出来の悪い次男、茂之(浦上晟周)のために、母親の佳代子(鈴木保奈美)がインターネットで見つけた“100%東大合格"をうたう吉本のホームページを見つけて依頼したのだ。  　吉本は、まず家族面談を行うと沼田家一同をリビングに募らせる。しかし、佳代子、父親の一茂(板尾創路)、長男の慎一(神木隆之介)はそろうが、肝心の茂之が顔を出さない。中学3年生の茂之は、登校拒否の引きこもり状態だった。佳代子の呼びかけに、ようやく出てきた茂之は異様な姿で、ふざけてロボットのように振る舞う。それでも、吉本は平気な顔をして家族面談を始めた。そんな中、父・一茂の提案で兄の慎一が通う進学校に茂之を合格させることが、吉本の目標に決まる。吉本は茂之本人に「成績を上げたいか?」と確認するが、まともな答えは返ってこない。すると吉本は家族もあっと驚くような行動に出た。あっけにとられる家族の前で、もう1度、意思を問う吉本に、茂之は呆然としたまま、うなずいた。こうして、吉本は茂之の家庭教師を引き受けることになる。  　面談後、父・一茂は登校拒否の茂之を1週間以内に学校へ連れて行ったら10万円のボーナスを出すと吉本に提案。5日もあれば十分と答える吉本は、その間、自分のやり方に口出ししないことを条件とした…。</t>
  </si>
  <si>
    <t>番組名家族ゲーム　#02</t>
  </si>
  <si>
    <t>吉本荒野(櫻井翔)は、沼田家次男・茂之(浦上晟周)が1週間続けて学校に通ったら家庭教師を辞めると約束。翌日、吉本は茂之の行動を監視するためか、早朝から沼田家に顔を出した。母・佳代子(鈴木保奈美)は、一刻も早く吉本を辞めさせて欲しいと父・一茂(板尾創路)に訴える。だが、一茂は吉本との契約による違約金1000万円が気になって決断できない。長男・慎一(神木隆之介)にまで「何で中味も確認もしないでサインしたんだ」と言われる始末。そんな険悪な雰囲気の中、茂之が制服姿で部屋から降りてきた。驚きながらも、茂之の登校を単純に喜ぶ一茂。いつの間にか吉本のクビの話もうやむやになってしまい、佳代子の不安は募るばかりだった…。登校中、茂之は吉本が言った「俺、人殺したことがあるんだ…」という言葉がずっと気になっていた。怪しげな吉本を何としても辞めさせなくてはならない。再度、「1週間通学できたら本当に辞めてくれるのか」と吉本に確かめる茂之。吉本は約束は守ると断言するが、逆に出来なかった場合は新たなペナルティーとして「俺の犬になってもらう」と茂之に告げる。教室に入った茂之を待っていたのは、終わることのないイジメだった。それでも茂之は必死に耐える。一方、吉本は放課後にイジメグループを待ち伏せする。吉本は彼らに説教する…と思いきや、意外にも口にした言葉は「君たちの茂之へのイジメのやり方は間違っている!」だった…。櫻井翔　  神木隆之介　  忽那汐里　  浦上晟周　  北原里英  　・　  板尾創路　  鈴木保奈美【原作】  本間洋平「家族ゲーム」(集英社文庫刊)　    【脚本】  武藤将吾　    【演出】  佐藤祐市　    【音楽】  本多俊之　    【制作】  フジテレビ　    【制作著作】  共同テレビ</t>
  </si>
  <si>
    <t>吉本荒野(櫻井翔)は、沼田家次男・茂之(浦上晟周)が1週間続けて学校に通ったら家庭教師を辞めると約束。翌日、吉本は茂之の行動を監視するためか、早朝から沼田家に顔を出した。母・佳代子(鈴木保奈美)は、一刻も早く吉本を辞めさせて欲しいと父・一茂(板尾創路)に訴える。だが、一茂は吉本との契約による違約金1000万円が気になって決断できない。長男・慎一(神木隆之介)にまで「何で中味も確認もしないでサインしたんだ」と言われる始末。そんな険悪な雰囲気の中、茂之が制服姿で部屋から降りてきた。驚きながらも、茂之の登校を単純に喜ぶ一茂。いつの間にか吉本のクビの話もうやむやになってしまい、佳代子の不安は募るばかりだった…。登校中、茂之は吉本が言った「俺、人殺したことがあるんだ…」という言葉がずっと気になっていた。怪しげな吉本を何としても辞めさせなくてはならない。再度、「1週間通学できたら本当に辞めてくれるのか」と吉本に確かめる茂之。吉本は約束は守ると断言するが、逆に出来なかった場合は新たなペナルティーとして「俺の犬になってもらう」と茂之に告げる。教室に入った茂之を待っていたのは、終わることのないイジメだった。それでも茂之は必死に耐える。一方、吉本は放課後にイジメグループを待ち伏せする。吉本は彼らに説教する…と思いきや、意外にも口にした言葉は「君たちの茂之へのイジメのやり方は間違っている!」だった…。</t>
  </si>
  <si>
    <t>番組名家族ゲーム　#03</t>
  </si>
  <si>
    <t>夜の山道で車を運転する吉本荒野(櫻井翔)。助手席に座る沼田慎一(神木隆之介)は不安が募る。吉本と名乗るこの家庭教師は、東大の卒業アルバムに写っていた人物とは別人だった。吉本は慎一に「自分のストーリーの一部を教えよう…」と告げ、とある病院へと車を走らせていた。訪ねた病室には“吉本荒野"という患者のプレートがあった。吉本は、生命維持装置につながれたこの患者こそが本当の“吉本荒野"であり、自分の弟なのだと、その隠された事実を語って聞かせる。にわかには信じがたい慎一だったが、嘘とも思えない。最後に「あなたの本当の名前は?」と聞く。吉本は「…雄大だ」と答えた。慎一はこの話を弟の茂之(浦上晟周)にだけ伝えた。そんな子供たちをよそに父・一茂(板尾創路)はご機嫌そのもの。浅海舞香(忽那汐里)との出来事を思い出しているのだ。母・佳代子(鈴木保奈美)は、そんな一茂にイライラを募らす。　一方、登校した茂之は、吉本からの「遺書」の脅しが効いて一変したクラスの雰囲気に驚く。吉本は、いっそクラスメイトを招いて茂之の誕生日会をやろうと言い出す。戸惑う茂之だったが、吉本の命令は絶対だ。次の日の夜、舞香が一茂の忘れ物を届けに沼田家にやって来た。一茂は慌てて帰そうとするが、吉本が勝手に家に上げてしまい、夕食を共にすることに。しかも吉本は舞香を誕生日会に誘う。吉本はいったい何を企んでいるのか?櫻井翔　  神木隆之介　  忽那汐里　  浦上晟周　  北原里英  　・　  板尾創路　  鈴木保奈美【原作】  本間洋平「家族ゲーム」(集英社文庫刊)　    【脚本】  武藤将吾　    【演出】  佐藤祐市　    【音楽】  本多俊之　    【制作】  フジテレビ　    【制作著作】  共同テレビ</t>
  </si>
  <si>
    <t>夜の山道で車を運転する吉本荒野(櫻井翔)。助手席に座る沼田慎一(神木隆之介)は不安が募る。吉本と名乗るこの家庭教師は、東大の卒業アルバムに写っていた人物とは別人だった。吉本は慎一に「自分のストーリーの一部を教えよう…」と告げ、とある病院へと車を走らせていた。訪ねた病室には“吉本荒野"という患者のプレートがあった。吉本は、生命維持装置につながれたこの患者こそが本当の“吉本荒野"であり、自分の弟なのだと、その隠された事実を語って聞かせる。にわかには信じがたい慎一だったが、嘘とも思えない。最後に「あなたの本当の名前は?」と聞く。吉本は「…雄大だ」と答えた。慎一はこの話を弟の茂之(浦上晟周)にだけ伝えた。そんな子供たちをよそに父・一茂(板尾創路)はご機嫌そのもの。浅海舞香(忽那汐里)との出来事を思い出しているのだ。母・佳代子(鈴木保奈美)は、そんな一茂にイライラを募らす。　一方、登校した茂之は、吉本からの「遺書」の脅しが効いて一変したクラスの雰囲気に驚く。吉本は、いっそクラスメイトを招いて茂之の誕生日会をやろうと言い出す。戸惑う茂之だったが、吉本の命令は絶対だ。次の日の夜、舞香が一茂の忘れ物を届けに沼田家にやって来た。一茂は慌てて帰そうとするが、吉本が勝手に家に上げてしまい、夕食を共にすることに。しかも吉本は舞香を誕生日会に誘う。吉本はいったい何を企んでいるのか?</t>
  </si>
  <si>
    <t>番組名家族ゲーム　#04</t>
  </si>
  <si>
    <t>吉本荒野(櫻井翔)への疑いを拭えない沼田慎一(神木隆之介)は、インターネットで『吉本荒野を訴える会』というサイトを見つけた。サイトの管理人に相談があるとメールを送ると返事が来た。慎一は吉本の今までの悪行を訴え、家族を救いたいと伝えるが、管理人に「あなたには頼れる人間がいない」それどころか「茂之(浦上晟周)の心配などしていない」と見抜かれてしまう。そして「本当に孤独なのは慎一自身ではないか?」と。一方、母・佳代子(鈴木保奈美)との関係が悪化する父・一茂(板尾創路)は、その引き金となった浅海舞香(忽那汐里)との盗聴テープの出所を吉本に尋ねる。吉本は部屋に落ちていたテープを拾ったことを認め、何らかの操作ミスで茂之の映像に重なってしまったのだと詫びた。だが、その一方で佳代子には自分が盗聴して録音したと告白する。旦那さんの浮気が許せず、佳代子の為に取った行動だったと。双方に都合よく振る舞う吉本…。　そんな時、茂之が学校で真野さくらという女の子からラブレターをもらう。それを知った吉本はモーレツな応援を開始。女の子の好みをすべて調べてファイルを茂之に渡し、ラブレターの返事も書き、デートのセッティングまでしてみせる。どうにか茂之がデートの約束を取り付けてくると、次に吉本が取った行動は…またも破天荒だった。吉本は一茂の目の前で佳代子にこう言ってのける。「お母さん、今度、一緒にデートしません?」櫻井翔　  神木隆之介　  忽那汐里　  浦上晟周　  北原里英  　・　  板尾創路　  鈴木保奈美【原作】  本間洋平「家族ゲーム」(集英社文庫刊)　    【脚本】  武藤将吾　    【演出】  佐藤祐市　    【音楽】  本多俊之　    【制作】  フジテレビ　    【制作著作】  共同テレビ</t>
  </si>
  <si>
    <t>吉本荒野(櫻井翔)への疑いを拭えない沼田慎一(神木隆之介)は、インターネットで『吉本荒野を訴える会』というサイトを見つけた。サイトの管理人に相談があるとメールを送ると返事が来た。慎一は吉本の今までの悪行を訴え、家族を救いたいと伝えるが、管理人に「あなたには頼れる人間がいない」それどころか「茂之(浦上晟周)の心配などしていない」と見抜かれてしまう。そして「本当に孤独なのは慎一自身ではないか?」と。一方、母・佳代子(鈴木保奈美)との関係が悪化する父・一茂(板尾創路)は、その引き金となった浅海舞香(忽那汐里)との盗聴テープの出所を吉本に尋ねる。吉本は部屋に落ちていたテープを拾ったことを認め、何らかの操作ミスで茂之の映像に重なってしまったのだと詫びた。だが、その一方で佳代子には自分が盗聴して録音したと告白する。旦那さんの浮気が許せず、佳代子の為に取った行動だったと。双方に都合よく振る舞う吉本…。　そんな時、茂之が学校で真野さくらという女の子からラブレターをもらう。それを知った吉本はモーレツな応援を開始。女の子の好みをすべて調べてファイルを茂之に渡し、ラブレターの返事も書き、デートのセッティングまでしてみせる。どうにか茂之がデートの約束を取り付けてくると、次に吉本が取った行動は…またも破天荒だった。吉本は一茂の目の前で佳代子にこう言ってのける。「お母さん、今度、一緒にデートしません?」</t>
  </si>
  <si>
    <t>番組名家族ゲーム　#05</t>
  </si>
  <si>
    <t>吉本荒野(櫻井翔)の教え子である沼田茂之(浦上晟周)の成績が著しく上がり始めた。勇気ある愛の告白が成功した真野さくら(有川結女)の存在も影響してか、勉強に積極性が出てきたせいだ。その一方で、兄の慎一(神木隆之介)は成績も下がり気味な上に、部活動も休みがちになっていた。実は、慎一は『吉本荒野を訴える会』なるサイトの管理者、浅海舞香=立花真希(忽那汐里)と頻繁に会っていた。真希は自分の家族がどんな方法で吉本に追い込まれ、家族崩壊に至ったかを慎一に語る。借金苦による一家心中。それはまるで、今の沼田家を彷彿とさせる内容だった。ショックを隠せない慎一。まさに母・佳代子(鈴木保奈美)がその餌食となりかけていた。父・一茂(板尾創路)への愛情が一気に冷めた佳代子は、急激に株投資へとのめり込んでいた。  　そんな時、茂之はさくらに呼び出されて衝撃の告白を受ける。さくらは幼馴染の園田満(松島海斗)のことも好きだと言う。さくらは自分ではどちらかに決められないので、次回の模試で成績が良かった方と恋人として付き合うのはどうかと提案する。園田はすでに承諾しており、茂之も勝負を受けるしかなかった。早速、茂之は事の成り行きを吉本に話し、「打倒、園田!」と燃える。  　一方、真希と共闘して吉本を攻略することにした慎一だったが、その行動は吉本に見透かされていた…。櫻井翔　  神木隆之介　  忽那汐里　  浦上晟周　  北原里英  　・　  板尾創路　  鈴木保奈美【原作】  本間洋平「家族ゲーム」(集英社文庫刊)　    【脚本】  武藤将吾　    【演出】  佐藤祐市　    【音楽】  本多俊之　    【制作】  フジテレビ　    【制作著作】  共同テレビ</t>
  </si>
  <si>
    <t>吉本荒野(櫻井翔)の教え子である沼田茂之(浦上晟周)の成績が著しく上がり始めた。勇気ある愛の告白が成功した真野さくら(有川結女)の存在も影響してか、勉強に積極性が出てきたせいだ。その一方で、兄の慎一(神木隆之介)は成績も下がり気味な上に、部活動も休みがちになっていた。実は、慎一は『吉本荒野を訴える会』なるサイトの管理者、浅海舞香=立花真希(忽那汐里)と頻繁に会っていた。真希は自分の家族がどんな方法で吉本に追い込まれ、家族崩壊に至ったかを慎一に語る。借金苦による一家心中。それはまるで、今の沼田家を彷彿とさせる内容だった。ショックを隠せない慎一。まさに母・佳代子(鈴木保奈美)がその餌食となりかけていた。父・一茂(板尾創路)への愛情が一気に冷めた佳代子は、急激に株投資へとのめり込んでいた。  　そんな時、茂之はさくらに呼び出されて衝撃の告白を受ける。さくらは幼馴染の園田満(松島海斗)のことも好きだと言う。さくらは自分ではどちらかに決められないので、次回の模試で成績が良かった方と恋人として付き合うのはどうかと提案する。園田はすでに承諾しており、茂之も勝負を受けるしかなかった。早速、茂之は事の成り行きを吉本に話し、「打倒、園田!」と燃える。  　一方、真希と共闘して吉本を攻略することにした慎一だったが、その行動は吉本に見透かされていた…。</t>
  </si>
  <si>
    <t>番組名家族ゲーム　#06</t>
  </si>
  <si>
    <t>吉本荒野(櫻井翔)の暗躍のおかげで、沼田茂之(浦上晟周)は親友・園田満(松島海斗)との関係を取り戻し、学校でのイジメからも解放されようとしていた。逆に兄・慎一(神木隆之介)はすべての歯車が狂い始め、精神的にも追い詰められていた。その日、沼田家は昼間から怒号が飛び交った。父・一茂(板尾創路)が最近成績の芳しくない慎一に対し、吉本を家庭教師につけると決めたからだ。激しく抵抗する慎一だったが、吉本は万引きの写真やカッターナイフをチラつかせ、なかば強引に承諾させる。しかも、2人を勉強に専念させる為に、夏休みの間、沼田家に住み込むと提案。さすがの一茂もちゅうちょするが、意外にも母・佳代子(鈴木保奈美)が賛成に回り、あれよあれよと同居が決定する。  　翌日から吉本は、朝晩ところかまわず慎一に付きまとい始める。慎一は、立花真希(忽那汐里)へも簡単に連絡が取れない状況に陥り、イライラが募った挙句に「もう自分に構うな!」とキレる。すると吉本はあっさりと引き下がった。お互いのすべてを知り、共感を得た慎一と真希は、本格的に吉本を追い落とす作戦に着手する。まずは、一緒に本物の吉本荒野(忍成修吾)を訪ね、嫌がる母親から“吉本の過去"を知る人物の情報を得る。一方で、一転して慎一を無視し始めた吉本は、別の対抗措置を開始。2人の静かな攻防戦が続くが…櫻井翔　  神木隆之介　  忽那汐里　  浦上晟周　  北原里英  　・　  板尾創路　  鈴木保奈美原作:本間洋平「家族ゲーム」(集英社文庫刊)  脚本:武藤将吾  演出:佐藤祐市  音楽:本多俊之  制作:フジテレビ  制作著作:共同テレビ</t>
  </si>
  <si>
    <t>吉本荒野(櫻井翔)の暗躍のおかげで、沼田茂之(浦上晟周)は親友・園田満(松島海斗)との関係を取り戻し、学校でのイジメからも解放されようとしていた。逆に兄・慎一(神木隆之介)はすべての歯車が狂い始め、精神的にも追い詰められていた。その日、沼田家は昼間から怒号が飛び交った。父・一茂(板尾創路)が最近成績の芳しくない慎一に対し、吉本を家庭教師につけると決めたからだ。激しく抵抗する慎一だったが、吉本は万引きの写真やカッターナイフをチラつかせ、なかば強引に承諾させる。しかも、2人を勉強に専念させる為に、夏休みの間、沼田家に住み込むと提案。さすがの一茂もちゅうちょするが、意外にも母・佳代子(鈴木保奈美)が賛成に回り、あれよあれよと同居が決定する。  　翌日から吉本は、朝晩ところかまわず慎一に付きまとい始める。慎一は、立花真希(忽那汐里)へも簡単に連絡が取れない状況に陥り、イライラが募った挙句に「もう自分に構うな!」とキレる。すると吉本はあっさりと引き下がった。お互いのすべてを知り、共感を得た慎一と真希は、本格的に吉本を追い落とす作戦に着手する。まずは、一緒に本物の吉本荒野(忍成修吾)を訪ね、嫌がる母親から“吉本の過去"を知る人物の情報を得る。一方で、一転して慎一を無視し始めた吉本は、別の対抗措置を開始。2人の静かな攻防戦が続くが…</t>
  </si>
  <si>
    <t>番組名家族ゲーム　#07</t>
  </si>
  <si>
    <t>番組の終わりに素敵なプレゼントのお知らせがあります。最後までお見逃しなく!!!　吉本荒野(櫻井翔)は、長男・慎一(神木隆之介)からの激しい反撃をかわし、何とか家庭教師解雇の危機を逃れた。対して慎一の代償は大きく、完全に家族から孤立してしまう。結果、慎一は同じ境遇の立花真希(忽那汐里)へとどんどん傾倒し、逆に恋人の最上飛鳥(北原里英)への態度は冷たくなった。飛鳥の手に吉本から渡された万引きの証拠写真があることも知らずに。そんな独りよがりな慎一に、吉本は「君にはもっと試練を与えてあげないとな」と言い放つ。  　ある日、慎一が真希と映画館でデートをしていると、突然、吉本が現れた。吉本は、真希に父・一茂(板尾創路)が会いたがっていると伝える。「今更、会えるわけない!」と慎一が拒否するのも聞かず、吉本は「夫婦の仲を悪くした責任があるだろ」と真希を追いつめる。一方、母・佳代子(鈴木保奈美)は株で失敗した自分が情けなく、「自分を変えたい」と願うようになっていた。友達も増え、みるみる変わっていく次男・茂之(浦上晟周)の姿を見て、その想いは募るばかりだった。しかし、あろうことか佳代子は再び株で大損をしてしまう。それも今回は1000万円を超える莫大な損失。吉本は佳代子に実家に頼るしかないとアドバイスするが、佳代子は「できない」と断る。実は、佳代子は一茂のことが原因で実家から縁を切られていたのだ。しかし、背に腹は変えられず、思い切って父を訪ねる佳代子だったが、冷たく断られてしまう…櫻井翔　  神木隆之介　  忽那汐里　  浦上晟周　  北原里英  　・　  板尾創路　  鈴木保奈美【原作】  本間洋平「家族ゲーム」(集英社文庫刊)　    【脚本】  武藤将吾　    【演出】  佐藤祐市　    【音楽】  本多俊之　    【制作】  フジテレビ　    【制作著作】  共同テレビ</t>
  </si>
  <si>
    <t>番組の終わりに素敵なプレゼントのお知らせがあります。最後までお見逃しなく!!!　吉本荒野(櫻井翔)は、長男・慎一(神木隆之介)からの激しい反撃をかわし、何とか家庭教師解雇の危機を逃れた。対して慎一の代償は大きく、完全に家族から孤立してしまう。結果、慎一は同じ境遇の立花真希(忽那汐里)へとどんどん傾倒し、逆に恋人の最上飛鳥(北原里英)への態度は冷たくなった。飛鳥の手に吉本から渡された万引きの証拠写真があることも知らずに。そんな独りよがりな慎一に、吉本は「君にはもっと試練を与えてあげないとな」と言い放つ。  　ある日、慎一が真希と映画館でデートをしていると、突然、吉本が現れた。吉本は、真希に父・一茂(板尾創路)が会いたがっていると伝える。「今更、会えるわけない!」と慎一が拒否するのも聞かず、吉本は「夫婦の仲を悪くした責任があるだろ」と真希を追いつめる。一方、母・佳代子(鈴木保奈美)は株で失敗した自分が情けなく、「自分を変えたい」と願うようになっていた。友達も増え、みるみる変わっていく次男・茂之(浦上晟周)の姿を見て、その想いは募るばかりだった。しかし、あろうことか佳代子は再び株で大損をしてしまう。それも今回は1000万円を超える莫大な損失。吉本は佳代子に実家に頼るしかないとアドバイスするが、佳代子は「できない」と断る。実は、佳代子は一茂のことが原因で実家から縁を切られていたのだ。しかし、背に腹は変えられず、思い切って父を訪ねる佳代子だったが、冷たく断られてしまう…</t>
  </si>
  <si>
    <t>番組名家族ゲーム　#08</t>
  </si>
  <si>
    <t>番組の終わりに素敵なプレゼントのお知らせがあります。  最後までお見逃しなく!　沼田家の崩壊は、もう誰にも止められない…吉本荒野(櫻井翔)の放った辛辣(しんらつ)な言葉も当の沼田家の面々には届かず、それぞれ勝手な行動をするばかりだった。株の損失で作った借金を前に母・佳代子(鈴木保奈美)は思考停止。父・一茂(板尾創路)は会社の金を横領して穴埋めしようと画策。立花真希(忽那汐里)へ疑惑を感じながらも交際を続ける長男・慎一(神木隆之介)は、恋人の最上飛鳥(北原里英)に冷たく別れを告げた。そして、状況が好転していた次男・茂之(浦上晟周)ですら、新たな集団イジメに不本意ながらも加担を始めていた。そんな中、吉本は高校を辞めて働くと言い出した慎一に、「だったら俺とゲームしない?」と持ちかける。本当に辞めるか否かで賭けをしようと言うのだ。慎一に学校を辞められたら仕事が減ってしまう吉本としては、もし無事に卒業してくれたら、ご褒美として慎一の言うことを何でも聞くと言う。その代り、逆なら慎一が吉本の命令を聞くというのが条件だ。結局、慎一はその提案に応じてしまう。その後、慎一は真希の正体を探ろうと、再び立花家の跡地へと赴き、衝撃の事実を知る。しかも、帰宅すると今度は学校から不吉な呼び出しが…。新たなイジメに悩む茂之…。不審な動きを会社側に気づかれる一茂…。そして、借金は返したと豪語する一茂に不安がつのる佳代子…。家族それぞれの歯車が軋みをあげ始める…。櫻井翔　  神木隆之介　  忽那汐里　  浦上晟周　  北原里英  　・　  板尾創路　  鈴木保奈美【原作】  本間洋平「家族ゲーム」(集英社文庫刊)　    【脚本】  武藤将吾　    【演出】  佐藤祐市　    【音楽】  本多俊之　    【制作】  フジテレビ　    【制作著作】  共同テレビ</t>
  </si>
  <si>
    <t>沼田家の崩壊は、もう誰にも止められない…吉本荒野(櫻井翔)の放った辛辣(しんらつ)な言葉も当の沼田家の面々には届かず、それぞれ勝手な行動をするばかりだった。株の損失で作った借金を前に母・佳代子(鈴木保奈美)は思考停止。父・一茂(板尾創路)は会社の金を横領して穴埋めしようと画策。立花真希(忽那汐里)へ疑惑を感じながらも交際を続ける長男・慎一(神木隆之介)は、恋人の最上飛鳥(北原里英)に冷たく別れを告げた。そして、状況が好転していた次男・茂之(浦上晟周)ですら、新たな集団イジメに不本意ながらも加担を始めていた。そんな中、吉本は高校を辞めて働くと言い出した慎一に、「だったら俺とゲームしない?」と持ちかける。本当に辞めるか否かで賭けをしようと言うのだ。慎一に学校を辞められたら仕事が減ってしまう吉本としては、もし無事に卒業してくれたら、ご褒美として慎一の言うことを何でも聞くと言う。その代り、逆なら慎一が吉本の命令を聞くというのが条件だ。結局、慎一はその提案に応じてしまう。その後、慎一は真希の正体を探ろうと、再び立花家の跡地へと赴き、衝撃の事実を知る。しかも、帰宅すると今度は学校から不吉な呼び出しが…。新たなイジメに悩む茂之…。不審な動きを会社側に気づかれる一茂…。そして、借金は返したと豪語する一茂に不安がつのる佳代子…。家族それぞれの歯車が軋みをあげ始める…。</t>
  </si>
  <si>
    <t>番組名家族ゲーム　#09</t>
  </si>
  <si>
    <t>吉本荒野(櫻井翔)によって沼田家は完全に崩壊した…。あくる日になっても家族の間には会話ひとつなく、家の中も散らかったまま誰ひとり片付けようともしない…。それぞれが吉本が消えてしまった心の穴を整理できずにいた。母・佳代子(鈴木保奈美)はおもむろに納戸からスーツケースを引っ張り出すと、誰に相談することもなく家を出て行く。父・一茂(板尾創路)はとりあえず再就職先を探し始めるものの、エリートだったプライドが邪魔をしてなかなか決まらない。次男・茂之(浦上晟周)も不登校に逆戻り。友達の園田満(松島海斗)からの連絡で久しぶりに登校するが、またも集団イジメに加担してゆく。高校を辞めた長男・慎一(神木隆之介)もまた怠惰な日々を送り、吉本への憎悪だけが高まっていた。そんなある日、沼田家に慎一を心配して最上飛鳥(北原里英)が訪ねてきた。飛鳥は万引き写真を先生に渡さなかった理由を聞かれ、「好きだから…。きっと吉本もそれを分かっていたはず」と答える。まるで吉本を擁護するようなその言い方に、慎一は激昂し、突然、飛鳥を押し倒し襲いかかった!その後、慎一はナイフ片手に吉本のアパートに向かう。既にそこはもぬけの殻だったが、慎一は立花真希(忽那汐里)の写真が載った1枚のチラシを発見する。それを頼りに何とか真希との再会を果たすものの、彼女の本当の姿は驚がくたるものだった…。櫻井翔　  神木隆之介　  忽那汐里　  浦上晟周　  北原里英  　・　  板尾創路　  鈴木保奈美【原作】  本間洋平「家族ゲーム」(集英社文庫刊)　    【脚本】  武藤将吾　    【演出】  佐藤祐市　    【音楽】  本多俊之　    【制作】  フジテレビ　    【制作著作】  共同テレビ</t>
  </si>
  <si>
    <t>吉本荒野(櫻井翔)によって沼田家は完全に崩壊した…。あくる日になっても家族の間には会話ひとつなく、家の中も散らかったまま誰ひとり片付けようともしない…。それぞれが吉本が消えてしまった心の穴を整理できずにいた。母・佳代子(鈴木保奈美)はおもむろに納戸からスーツケースを引っ張り出すと、誰に相談することもなく家を出て行く。父・一茂(板尾創路)はとりあえず再就職先を探し始めるものの、エリートだったプライドが邪魔をしてなかなか決まらない。次男・茂之(浦上晟周)も不登校に逆戻り。友達の園田満(松島海斗)からの連絡で久しぶりに登校するが、またも集団イジメに加担してゆく。高校を辞めた長男・慎一(神木隆之介)もまた怠惰な日々を送り、吉本への憎悪だけが高まっていた。そんなある日、沼田家に慎一を心配して最上飛鳥(北原里英)が訪ねてきた。飛鳥は万引き写真を先生に渡さなかった理由を聞かれ、「好きだから…。きっと吉本もそれを分かっていたはず」と答える。まるで吉本を擁護するようなその言い方に、慎一は激昂し、突然、飛鳥を押し倒し襲いかかった!その後、慎一はナイフ片手に吉本のアパートに向かう。既にそこはもぬけの殻だったが、慎一は立花真希(忽那汐里)の写真が載った1枚のチラシを発見する。それを頼りに何とか真希との再会を果たすものの、彼女の本当の姿は驚がくたるものだった…。</t>
  </si>
  <si>
    <t>番組名家族ゲーム　#10</t>
  </si>
  <si>
    <t>「呼ばれてないのにジャジャジャジャーン!」と帰ってきた吉本(櫻井翔)。  その時、沼田家ではちょうど母・佳代子(鈴木保奈美)が夫・一茂(板尾創路)ら家族に向かって離婚の意思を伝えていたところだった。吉本はそんなことはお構いなしに『あるモノ』を回収し忘れたと言って勝手に家の中を探し回り、またも家族を驚かせてみせる。離婚届の件もウヤムヤにして、まさに嵐のように過ぎ去ろうとした吉本だったが、帰り際、佳代子に「本当は家族全員で話し合いたかったんですよね…」と離婚を切り出した真意を指摘してみせる。そして長男・慎一(神木隆之介)にもギャンブルに負けた約束が残っているからと意外な命令を残していく。  　吉本の言葉が気になる慎一は水上沙良(忽那汐里)ともう1度会い、8年前のストーリーの続きを聞くことを決意する。「なぜ田子雄大が吉本荒野として生きているのか?」  「どうして学校の教師を辞め、家庭教師という道を選んだのか?」  「沼田家がターゲットになった理由は何なのか?」  　沙良から語られる吉本の壮絶な想いに触れ、最後には慎一も涙を禁じ得なかった。一方、その頃、次男・茂之(浦上晟周)もまた一計を案じていた。  　果たして吉本の真のストーリーとは?そして、1度崩壊してしまった沼田家の再生はあり得るのだろうか?番組の終わりに素敵なプレゼントのお知らせがあります。櫻井翔　  神木隆之介　  忽那汐里　  浦上晟周　  北原里英  　・　  板尾創路　  鈴木保奈美【原作】  本間洋平「家族ゲーム」(集英社文庫刊)　    【脚本】  武藤将吾　    【演出】  佐藤祐市　    【音楽】  本多俊之　    【制作】  フジテレビ　    【制作著作】  共同テレビ</t>
  </si>
  <si>
    <t>「呼ばれてないのにジャジャジャジャーン!」と帰ってきた吉本(櫻井翔)。  その時、沼田家ではちょうど母・佳代子(鈴木保奈美)が夫・一茂(板尾創路)ら家族に向かって離婚の意思を伝えていたところだった。吉本はそんなことはお構いなしに『あるモノ』を回収し忘れたと言って勝手に家の中を探し回り、またも家族を驚かせてみせる。離婚届の件もウヤムヤにして、まさに嵐のように過ぎ去ろうとした吉本だったが、帰り際、佳代子に「本当は家族全員で話し合いたかったんですよね…」と離婚を切り出した真意を指摘してみせる。そして長男・慎一(神木隆之介)にもギャンブルに負けた約束が残っているからと意外な命令を残していく。  　吉本の言葉が気になる慎一は水上沙良(忽那汐里)ともう1度会い、8年前のストーリーの続きを聞くことを決意する。「なぜ田子雄大が吉本荒野として生きているのか?」  「どうして学校の教師を辞め、家庭教師という道を選んだのか?」  「沼田家がターゲットになった理由は何なのか?」  　沙良から語られる吉本の壮絶な想いに触れ、最後には慎一も涙を禁じ得なかった。一方、その頃、次男・茂之(浦上晟周)もまた一計を案じていた。  　果たして吉本の真のストーリーとは?そして、1度崩壊してしまった沼田家の再生はあり得るのだろうか?</t>
  </si>
  <si>
    <t>1304_CX_土23</t>
  </si>
  <si>
    <t>間違われちゃった男</t>
  </si>
  <si>
    <t>番組名&lt;土ドラ&gt;間違われちゃった男　#01</t>
  </si>
  <si>
    <t>コソ泥の沢木裕次郎(古田新太)とその舎弟、通称ヤスこと川村靖(中丸雄一)は蔵前にある寿司屋・寿司政に忍び込む。お目当ての風鈴を探し回っていると店内の個室で、沢木は藤原源太(大河内浩)に出くわし、殴られ卒倒。後を追うようにヤスも頭を殴られ気絶してしまう。  　その日の午後、寿司政の次女、大友春子(佐藤めぐみ)はくす玉を作っていた。そのくす玉を持ち長女、秋子(戸田菜穂)の部屋を訪れるが、秋子はあまり元気がない。  　店内では従業員の待場順平(木村了)が掃除中。春子がくす玉の飾り付けに店内に現れるとそこに隣の藤の湯の女将で源太の妻の藤原セツコ(石田えり)がやってくる。春子、順平、セツコの3人はムームーとネグリジェに着替えさせられ、いまだに寝ている沢木とヤスが起きるのを待ちながら、なぜだか宴会の準備を進めていた。  　そこにハセガワフラワーのバイト碓井幸(三倉佳奈)が社長からの贈り物といって花を届けにやってくる。テルが帰ってきたお祝いだという。3人が準備している宴会はテルの歓迎会で、沢木はテルという人物に勘違いされているよう。  　そこへ沢木とヤスが起きてくる。昨夜の記憶は2人ともはっきりしない。くす玉を割って「テルちゃん、お帰り!」と2人を大歓迎する春子と順平とセツコ。ワケのわからない沢木とヤスだったが、やがて沢木が自分のことをテルという人物と勘違いしているらしい3人に話を合わせはじめて…。古田新太　  中丸雄一(KAT‐TUN)　  戸田菜穂　  佐藤めぐみ　  木村了　  三倉佳奈　  大河内浩　  石田えり　  金田明夫　  ほか【脚本・原作・演出】  宅間孝行　    【プロデュース】  関口大輔　  古郡真也　    【音楽】  白石めぐみ</t>
  </si>
  <si>
    <t>番組名&lt;土ドラ&gt;間違われちゃった男　#02</t>
  </si>
  <si>
    <t>日付は変わって6月14日。店内では沢木(古田新太)を10年前に行方をくらました腕利きの職人テルと信じて疑わない寿司政の面々による歓迎会がまだ続いていた。テルになりすますために適当なウソをつきながらしっかり場になじんでいる沢木。ムネオと名乗ってしまった舎弟のヤス(中丸雄一)は酔いつぶれて眠っていた。  　仕事柄、あちこちのホテルを点々としていて今は隅田川を挟んだ向こう側の北千住近辺にいると沢木が適当にウソをつくと、何となくの成り行きで、沢木は寿司政の個室に泊まっていくことが決定する。時刻が午前1時半を過ぎた頃、仕事を終えた秋子(戸田菜穂)が戻ってくる。それをキッカケに会はお開きになり、パチリとヤスが目を覚ます。ボロが出て、沢木がテルではないことがバレるんじゃないかと心配するヤスをよそに沢木は秋子の誘いに乗って、2人でお酒を飲むことにする。  　お互いの近況を語り合ううちに、板前の仕事からは遠ざかっているとデタラメを言っていた沢木は秋子の気を引くべく調子に乗って、もう1度板前の仕事に戻ろうと思うと口走る。その言葉を聞いて思わず涙がこぼれる秋子。無理しないでと気遣う秋子を抱きしめようとした瞬間、いつの間にか背後にいた源太(大河内浩)にアタマをはたかれ、春子(佐藤めぐみ)、セツコ(石田えり)、順平(木村了)に非難される沢木。必死に言い訳をする沢木をよそに秋子は、寝るねとその場を去るのだった。沢木裕次郎:　古田新太　  川村靖:　中丸雄一　  大友秋子:　戸田菜穂　  大友春子:　佐藤めぐみ　  待場順平:　木村了　  碓井幸:　三倉佳奈　  広岡公:　阪田マサノブ　  桃山エリカ:　ICONIQ　  藤原源太:　大河内浩　  藤原セツコ:　石田えり【脚本・原作・演出】  宅間孝行　    【プロデュース】  関口大輔　  古郡真也　    【音楽】  白石めぐみ</t>
  </si>
  <si>
    <t>日付は変わって6月14日。店内では沢木(古田新太)を10年前に行方をくらました腕利きの職人テルと信じて疑わない寿司政の面々による歓迎会がまだ続いていた。テルになりすますために適当なウソをつきながらしっかり場になじんでいる沢木。ムネオと名乗ってしまった舎弟のヤス(中丸雄一)は酔いつぶれて眠っていた。  　仕事柄、あちこちのホテルを点々としていて今は隅田川を挟んだ向こう側の北千住近辺にいると沢木が適当にウソをつくと、何となくの成り行きで、沢木は寿司政の個室に泊まっていくことが決定する。時刻が午前1時半を過ぎた頃、仕事を終えた秋子(戸田菜穂)が戻ってくる。それをキッカケに会はお開きになり、パチリとヤスが目を覚ます。ボロが出て、沢木がテルではないことがバレるんじゃないかと心配するヤスをよそに沢木は秋子の誘いに乗って、2人でお酒を飲むことにする。  　お互いの近況を語り合ううちに、板前の仕事からは遠ざかっているとデタラメを言っていた沢木は秋子の気を引くべく調子に乗って、もう1度板前の仕事に戻ろうと思うと口走る。その言葉を聞いて思わず涙がこぼれる秋子。無理しないでと気遣う秋子を抱きしめようとした瞬間、いつの間にか背後にいた源太(大河内浩)にアタマをはたかれ、春子(佐藤めぐみ)、セツコ(石田えり)、順平(木村了)に非難される沢木。必死に言い訳をする沢木をよそに秋子は、寝るねとその場を去るのだった。</t>
  </si>
  <si>
    <t>番組名&lt;土ドラ&gt;間違われちゃった男　#03</t>
  </si>
  <si>
    <t>6月15日午前5時。沢木(古田新太)のことを10年前に出て行った職人のテルと信じて疑わないのをいいことにズルズル寿司政に居ついた沢木と舎弟のヤス(中丸雄一)だったが、前夜に店が多額の借金を抱えていることを知り、さらに寿司政の面々が偽者のテル・沢木に寿司政の再建を期待していることを感じ取ったため、明け方の今、2人は店を立ち去ろうとする。  　服をクリーニングに出され、代わりに着せられたネグリジェのままでは逃げ出せないとロッカーから板前服を見つけ出したヤスは、沢木に板前服を着て行こうと促すが沢木の腰は重い。まだやり残したことがあるような気がするとカッコつける沢木だが、本心は寿司政の長女・秋子(戸田菜穂)への未練。結局ヤス1人で行くことにする。起きてきた秋子に見つからないように外に出るが、源太(大河内浩)に見つかり脱出は失敗に終わる。  　その頃、所属している声優事務所主催の公演で主役の座を射止めた次女・春子(佐藤めぐみ)は、ベッドに横たわりながら何かを決意する。  　セツコ(石田えり)からクリーニングの受け取りが週明けになると聞かされ、逃げ出したいヤスはショックを受ける。焦るヤスの気も知らず、中庭で掃除をしている秋子を手伝う沢木は、秋子に店の借金額を聞かされショックを受ける。みんながそろった昼食で、沢木は寿司政再建を源太に迫られ、思わず一肌脱ぐかと口走るのだった…。沢木裕次郎:　古田新太　  川村靖:　中丸雄一　  大友秋子:　戸田菜穂　  大友春子:　佐藤めぐみ　  待場順平:　木村了　  碓井幸:　三倉佳奈　  広岡公:　阪田マサノブ　  桃山エリカ:　ICONIQ　  藤原源太:　大河内浩　  藤原セツコ:　石田えり【脚本】  宅間孝行　    【演出】  成田岳　    【プロデュース】  関口大輔　  古郡真也　    【音楽】  白石めぐみ</t>
  </si>
  <si>
    <t>6月15日午前5時。沢木(古田新太)のことを10年前に出て行った職人のテルと信じて疑わないのをいいことにズルズル寿司政に居ついた沢木と舎弟のヤス(中丸雄一)だったが、前夜に店が多額の借金を抱えていることを知り、さらに寿司政の面々が偽者のテル・沢木に寿司政の再建を期待していることを感じ取ったため、明け方の今、2人は店を立ち去ろうとする。  　服をクリーニングに出され、代わりに着せられたネグリジェのままでは逃げ出せないとロッカーから板前服を見つけ出したヤスは、沢木に板前服を着て行こうと促すが沢木の腰は重い。まだやり残したことがあるような気がするとカッコつける沢木だが、本心は寿司政の長女・秋子(戸田菜穂)への未練。結局ヤス1人で行くことにする。起きてきた秋子に見つからないように外に出るが、源太(大河内浩)に見つかり脱出は失敗に終わる。  　その頃、所属している声優事務所主催の公演で主役の座を射止めた次女・春子(佐藤めぐみ)は、ベッドに横たわりながら何かを決意する。  　セツコ(石田えり)からクリーニングの受け取りが週明けになると聞かされ、逃げ出したいヤスはショックを受ける。焦るヤスの気も知らず、中庭で掃除をしている秋子を手伝う沢木は、秋子に店の借金額を聞かされショックを受ける。みんながそろった昼食で、沢木は寿司政再建を源太に迫られ、思わず一肌脱ぐかと口走るのだった…。</t>
  </si>
  <si>
    <t>番組名&lt;土ドラ&gt;間違われちゃった男　#04</t>
  </si>
  <si>
    <t>盗みに入ったコソ泥の沢木(古田新太)のことを10年前に出て行った職人のテルと信じて疑わないのをいいことにズルズル寿司政に居ついた沢木と舎弟のヤス(中丸雄一)。  　日付が変わった6月16日の深夜、浅草署の刑事、小野寺(小木茂光)と香田(伊藤高史)がやってきた。応対したヤスは盗みに入ったことがバレるのではとビビりまくりながら、自分は寿司政の遠い親類筋なので家の者を呼んでくると2人に告げ、春子(佐藤めぐみ)を呼びに行く。春子が宴会の片付け中だったため、まもなく家の者が対応に現れるのでと再度、小野寺と香田に告げたあとはそそくさとその場をあとにしようとするヤス。だが、そんなヤスを怪しく思ったのか香田はあれこれとヤスに問いかける。ヤスは緊張のあまり、うまくろれつが回らない。何とかその場を取り繕ったヤスは、眠っていた沢木を起こし、刑事に春子が対応している様子をのぞき見ることにする。　小野寺と香田が現れたのは12日から13日にかけての深夜に浅草橋から蔵前一帯にかけて寿司屋ばかりが住居不法侵入と窃盗未遂の被害にあっているという、まさに沢木とヤスが起こしていた事件についての聞き込みだった。寿司政では被害がなかったことを確認し、帰ろうとする小野寺だったが香田はヤスの事がひっかかっていて…。沢木裕次郎:　古田新太　  川村靖:　中丸雄一　  大友秋子:　戸田菜穂　  大友春子:　佐藤めぐみ　  待場順平:　木村了　  碓井幸:　三倉佳奈　  広岡公:　阪田マサノブ　  桃山エリカ:　ICONIQ　  藤原源太:　大河内浩　  藤原セツコ:　石田えり【脚本】  宅間孝行　    【演出】  成田岳　    【プロデュース】  関口大輔　  古郡真也　    【音楽】  白石めぐみ</t>
  </si>
  <si>
    <t>盗みに入ったコソ泥の沢木(古田新太)のことを10年前に出て行った職人のテルと信じて疑わないのをいいことにズルズル寿司政に居ついた沢木と舎弟のヤス(中丸雄一)。  　日付が変わった6月16日の深夜、浅草署の刑事、小野寺(小木茂光)と香田(伊藤高史)がやってきた。応対したヤスは盗みに入ったことがバレるのではとビビりまくりながら、自分は寿司政の遠い親類筋なので家の者を呼んでくると2人に告げ、春子(佐藤めぐみ)を呼びに行く。春子が宴会の片付け中だったため、まもなく家の者が対応に現れるのでと再度、小野寺と香田に告げたあとはそそくさとその場をあとにしようとするヤス。だが、そんなヤスを怪しく思ったのか香田はあれこれとヤスに問いかける。ヤスは緊張のあまり、うまくろれつが回らない。何とかその場を取り繕ったヤスは、眠っていた沢木を起こし、刑事に春子が対応している様子をのぞき見ることにする。　小野寺と香田が現れたのは12日から13日にかけての深夜に浅草橋から蔵前一帯にかけて寿司屋ばかりが住居不法侵入と窃盗未遂の被害にあっているという、まさに沢木とヤスが起こしていた事件についての聞き込みだった。寿司政では被害がなかったことを確認し、帰ろうとする小野寺だったが香田はヤスの事がひっかかっていて…。</t>
  </si>
  <si>
    <t>番組名&lt;土ドラ&gt;間違われちゃった男　#05</t>
  </si>
  <si>
    <t>6月17日。沢木(古田新太)がいつものように寿司政の個室で目を覚ますと、隣にいるはずの舎弟のヤス(中丸雄一)は依然として姿がないままだった。沢木はヤスが急に姿をくらましたのは、元彼女だとヤスが言っていた住吉千穂(大久保佳代子)が逮捕されたというニュースが関連しているのではないかと思う。千穂はいわゆる毒婦で、男から大金を巻き上げてはその男を殺害するという容疑がかかっていた。春子(佐藤めぐみ)の巧みな誘導尋問にひっかかり、沢木は知っている限りのヤスと千穂の関係を寿司政の面々に話し出す。  　ヤスは沢木に出会う前まで、部屋にこもりきりで株取引などをやっていたようで、かなりの稼ぎがあったようだった。が、その稼ぎの一切合財、下手をすると億単位の金を千穂に持っていかれたのではないかということなどを話す。セツコ(石田えり)は沢木がヤスと出会ったとき、ヤスはアパートの一室で練炭自殺を図ろうとしていた話も、実は他の事件と同様に千穂によってヤスは殺されそうになっていたのではないかと指摘する。そんな目にあいながらも、千穂への断ち切れない思いを抱えたヤスのことを口々に心配する寿司政の面々を見てその心の温かさに沢木は感動するのだった。  　ヤスの事を心配する一方で、沢木はウキウキで身だしなみを整えはじめる。それは前日に約束した秋子(戸田菜穂)とのランチデートに出かけるためで…。沢木裕次郎:　古田新太　  川村靖:　中丸雄一　  大友秋子:　戸田菜穂　  大友春子:　佐藤めぐみ　  待場順平:　木村了　  碓井幸:　三倉佳奈　  広岡公:　阪田マサノブ　  桃山エリカ:　ICONIQ　  藤原源太:　大河内浩　  藤原セツコ:　石田えり【脚本】  宅間孝行　    【演出】  森脇智延　    【プロデュース】  関口大輔　  古郡真也　    【音楽】  白石めぐみ</t>
  </si>
  <si>
    <t>6月17日。沢木(古田新太)がいつものように寿司政の個室で目を覚ますと、隣にいるはずの舎弟のヤス(中丸雄一)は依然として姿がないままだった。沢木はヤスが急に姿をくらましたのは、元彼女だとヤスが言っていた住吉千穂(大久保佳代子)が逮捕されたというニュースが関連しているのではないかと思う。千穂はいわゆる毒婦で、男から大金を巻き上げてはその男を殺害するという容疑がかかっていた。春子(佐藤めぐみ)の巧みな誘導尋問にひっかかり、沢木は知っている限りのヤスと千穂の関係を寿司政の面々に話し出す。  　ヤスは沢木に出会う前まで、部屋にこもりきりで株取引などをやっていたようで、かなりの稼ぎがあったようだった。が、その稼ぎの一切合財、下手をすると億単位の金を千穂に持っていかれたのではないかということなどを話す。セツコ(石田えり)は沢木がヤスと出会ったとき、ヤスはアパートの一室で練炭自殺を図ろうとしていた話も、実は他の事件と同様に千穂によってヤスは殺されそうになっていたのではないかと指摘する。そんな目にあいながらも、千穂への断ち切れない思いを抱えたヤスのことを口々に心配する寿司政の面々を見てその心の温かさに沢木は感動するのだった。  　ヤスの事を心配する一方で、沢木はウキウキで身だしなみを整えはじめる。それは前日に約束した秋子(戸田菜穂)とのランチデートに出かけるためで…。</t>
  </si>
  <si>
    <t>番組名&lt;土ドラ&gt;間違われちゃった男　#06</t>
  </si>
  <si>
    <t>6月18日深夜3時。コソ泥の沢木(古田新太)と舎弟のヤス(中丸雄一)が、腕利きの元寿司職人テルとその仕事仲間の鈴木胸男として居ついた寿司政では、次女の春子(佐藤めぐみ)が築地でのバイトに向かう準備をしていた。春子が出かけようとすると、銀座のホステスのバイトから戻ってきた長女の秋子(戸田菜穂)と鉢合わせる。  　春子は昨日の夕飯時に大阪のヤミ金業者の2人、広岡(阪田マサノブ)とエリカ(ICONIQ)がやってきたと秋子に話し始める。  　春子によると広岡とエリカは、秋子が留守だったためか、春子を相手にエリカと春子が全く同じ生年月日で血液型も同じであるとか、秋子には特定のお客はいなさそうだとか、一方的にどうでもいい話をしたあと、沢木と順平(木村了)に寿司を握らせ、早く新規開店すればいいと喜んで寿司を食べて帰って行ったという。借金の返済に関して具体的な話が出なかったことに、2人は首をかしげる。　そんな2人のやりとりの物音で目を覚ましたヤスは、昨日の春子とのやりとりを思い出し、バイトへ出かける春子を見てモゾモゾしていた。恋の予感かもしれないと沢木に告げるヤス。沢木が詳しく聞くと、ヤスが春子に恋をしているのではなく、春子がヤスに恋をしていて、その春子の気持ちにこたえた方がいいのではないかとヤスは言うのだった。一方の沢木は、秋子との昨日のデートの話をヤスに話し始めるが…。沢木裕次郎:　古田新太　  川村靖:　中丸雄一　  大友秋子:　戸田菜穂　  大友春子:　佐藤めぐみ　  待場順平:　木村了　  碓井幸:　三倉佳奈　  広岡公:　阪田マサノブ　  桃山エリカ:　ICONIQ　  藤原源太:　大河内浩　  藤原セツコ:　石田えり【脚本】  宅間孝行　    【演出】  成田岳　    【プロデュース】  関口大輔　  古郡真也　    【音楽】  白石めぐみ</t>
  </si>
  <si>
    <t>6月18日深夜3時。コソ泥の沢木(古田新太)と舎弟のヤス(中丸雄一)が、腕利きの元寿司職人テルとその仕事仲間の鈴木胸男として居ついた寿司政では、次女の春子(佐藤めぐみ)が築地でのバイトに向かう準備をしていた。春子が出かけようとすると、銀座のホステスのバイトから戻ってきた長女の秋子(戸田菜穂)と鉢合わせる。  　春子は昨日の夕飯時に大阪のヤミ金業者の2人、広岡(阪田マサノブ)とエリカ(ICONIQ)がやってきたと秋子に話し始める。  　春子によると広岡とエリカは、秋子が留守だったためか、春子を相手にエリカと春子が全く同じ生年月日で血液型も同じであるとか、秋子には特定のお客はいなさそうだとか、一方的にどうでもいい話をしたあと、沢木と順平(木村了)に寿司を握らせ、早く新規開店すればいいと喜んで寿司を食べて帰って行ったという。借金の返済に関して具体的な話が出なかったことに、2人は首をかしげる。　そんな2人のやりとりの物音で目を覚ましたヤスは、昨日の春子とのやりとりを思い出し、バイトへ出かける春子を見てモゾモゾしていた。恋の予感かもしれないと沢木に告げるヤス。沢木が詳しく聞くと、ヤスが春子に恋をしているのではなく、春子がヤスに恋をしていて、その春子の気持ちにこたえた方がいいのではないかとヤスは言うのだった。一方の沢木は、秋子との昨日のデートの話をヤスに話し始めるが…。</t>
  </si>
  <si>
    <t>番組名&lt;土ドラ&gt;間違われちゃった男　#07</t>
  </si>
  <si>
    <t>日付が6月19日に変わった頃、寿司政の個室で床につくため布団を敷いていた沢木(古田新太)に舎弟のヤス(中丸雄一)は、源さん(大河内浩)がセツコさん(石田えり)に別れてくれと切り出している場面を偶然目撃したと告げる。みんなが感動した2人の結婚30周年パーティーのあと、誰もいない寿司政の店内で源さんはこのまま一緒にいるとセツコさんに迷惑がかかるから、これ以上迷惑をかけないためにも別れてくれとセツコさんに泣きながら懇願していたのだという。  　その話を聞いた沢木は、いてもたってもいられなくなり包丁を取り出して作業の準備に取りかかる。沢木いわく、源さんがセツコさんにそんなことを言い出したのは、何かとんでもないことをしてでも自分を犠牲にしてでもこの寿司政の窮地を救おうとしているからで、そのためにセツコさんに離婚の話を持ち出したに違いないと言う。もし、自分が沢木ではなく、本当に10年前に飛び出していった腕利きの寿司職人テルだったら、源さんをそこまで追い込むことも、秋子(戸田菜穂)や春子(佐藤めぐみ)に悲しい思いをさせることもなく寿司政を救うことができるのだと、沢木は魚をさばきはじめる。いつになく真剣な沢木の様子を見て、ヤスもシャリを作り始める。  　秋子が銀座でのバイトから疲れて帰ってきた深夜2時半。沢木とヤスの2人はまだ作業を続けていた。必死に寿司を握る2人の姿を見た秋子は…。沢木裕次郎:　古田新太　  川村靖:　中丸雄一　  大友秋子:　戸田菜穂　  大友春子:　佐藤めぐみ　  待場順平:　木村了　  碓井幸:　三倉佳奈　  広岡公:　阪田マサノブ　  桃山エリカ:　ICONIQ　  藤原源太:　大河内浩　  藤原セツコ:　石田えり【脚本】  宅間孝行　    【演出】  森脇智延　    【プロデュース】  関口大輔　  古郡真也　    【音楽】  白石めぐみ</t>
  </si>
  <si>
    <t>日付が6月19日に変わった頃、寿司政の個室で床につくため布団を敷いていた沢木(古田新太)に舎弟のヤス(中丸雄一)は、源さん(大河内浩)がセツコさん(石田えり)に別れてくれと切り出している場面を偶然目撃したと告げる。みんなが感動した2人の結婚30周年パーティーのあと、誰もいない寿司政の店内で源さんはこのまま一緒にいるとセツコさんに迷惑がかかるから、これ以上迷惑をかけないためにも別れてくれとセツコさんに泣きながら懇願していたのだという。  　その話を聞いた沢木は、いてもたってもいられなくなり包丁を取り出して作業の準備に取りかかる。沢木いわく、源さんがセツコさんにそんなことを言い出したのは、何かとんでもないことをしてでも自分を犠牲にしてでもこの寿司政の窮地を救おうとしているからで、そのためにセツコさんに離婚の話を持ち出したに違いないと言う。もし、自分が沢木ではなく、本当に10年前に飛び出していった腕利きの寿司職人テルだったら、源さんをそこまで追い込むことも、秋子(戸田菜穂)や春子(佐藤めぐみ)に悲しい思いをさせることもなく寿司政を救うことができるのだと、沢木は魚をさばきはじめる。いつになく真剣な沢木の様子を見て、ヤスもシャリを作り始める。  　秋子が銀座でのバイトから疲れて帰ってきた深夜2時半。沢木とヤスの2人はまだ作業を続けていた。必死に寿司を握る2人の姿を見た秋子は…。</t>
  </si>
  <si>
    <t>番組名&lt;土ドラ&gt;間違われちゃった男　#08</t>
  </si>
  <si>
    <t>寿司政の店内では沢木(古田新太)と舎弟のヤス(中丸雄一)とセツコ(石田えり)の3人がやや酔っ払いながらも深刻な話を続けていた。源さん(大河内浩)がちょっと前に「何も言わずにここを出て行ってくれ」と絶縁を言い渡したことを、気にするなとセツコは繰り返すように沢木とヤスに語る。一方で、10年前に出て行った寿司職人のテルとして寿司政に残り続ける沢木も、源さんと自分との仲だから、源さんが出て行けと言った意図はわかりすぎるぐらいにわかっているので大丈夫だ、と応じるのだった。  　日付が6月20日に変わったのをキッカケに、3人はお開きにしようと片付けをはじめる。そこで沢木は思い出したように、セツコに源さんと別れちゃダメだよとおどけたように話し出す。源さんは何かとんでもないことをしでかそうとしているかもしれないけど、その行動は俺が止める。俺が寿司政を救いさえすれば全てうまくいく。昼間は胸男(を名乗っているヤス)と2人で金策にまわり、夜は寿司を握り勘を取り戻すからと沢木はセツコに語りかけ、セツコはその言葉に涙ぐむのだった。  　セツコを寿司政から送り出した沢木は、自分が本当にテルで皆に必要とされており、その期待に応えられそうな気がするとヤスに語ると、寿司政に居座ることに当初反対していたヤスもいつしか沢木と同じような気分になっていて…。沢木裕次郎:　古田新太　  川村靖:　中丸雄一　  大友秋子:　戸田菜穂　  大友春子:　佐藤めぐみ　  待場順平:　木村了　  碓井幸:　三倉佳奈　  広岡公:　阪田マサノブ　  桃山エリカ:　ICONIQ　  藤原源太:　大河内浩　  藤原セツコ:　石田えり【脚本】  宅間孝行　    【演出】  成田岳　    【プロデュース】  関口大輔　  古郡真也　    【音楽】  白石めぐみ</t>
  </si>
  <si>
    <t>寿司政の店内では沢木(古田新太)と舎弟のヤス(中丸雄一)とセツコ(石田えり)の3人がやや酔っ払いながらも深刻な話を続けていた。源さん(大河内浩)がちょっと前に「何も言わずにここを出て行ってくれ」と絶縁を言い渡したことを、気にするなとセツコは繰り返すように沢木とヤスに語る。一方で、10年前に出て行った寿司職人のテルとして寿司政に残り続ける沢木も、源さんと自分との仲だから、源さんが出て行けと言った意図はわかりすぎるぐらいにわかっているので大丈夫だ、と応じるのだった。  　日付が6月20日に変わったのをキッカケに、3人はお開きにしようと片付けをはじめる。そこで沢木は思い出したように、セツコに源さんと別れちゃダメだよとおどけたように話し出す。源さんは何かとんでもないことをしでかそうとしているかもしれないけど、その行動は俺が止める。俺が寿司政を救いさえすれば全てうまくいく。昼間は胸男(を名乗っているヤス)と2人で金策にまわり、夜は寿司を握り勘を取り戻すからと沢木はセツコに語りかけ、セツコはその言葉に涙ぐむのだった。  　セツコを寿司政から送り出した沢木は、自分が本当にテルで皆に必要とされており、その期待に応えられそうな気がするとヤスに語ると、寿司政に居座ることに当初反対していたヤスもいつしか沢木と同じような気分になっていて…。</t>
  </si>
  <si>
    <t>番組名&lt;土ドラ&gt;間違われちゃった男　#09</t>
  </si>
  <si>
    <t>盗みに入ったにもかかわらず、10年前に出て行った腕利きの板前・テルに間違われたことをいいことにそのまま寿司政に居ついていた沢木(古田新太)と舎弟のヤス(中丸雄一)の2人だったが、テルと旧知の仲らしい借金取り立て屋の広岡(阪田マサノブ)にボコボコにされた上に、その様子を順平(木村了)に見られ、直後、25年ぶりに再会するというテルの悪友・八幡山崇(竹山隆範)にテルではないことを見破られ、大騒ぎされてしまう。あまりの状況に沢木はヤスと2人、寿司政を出て行くことに。  　2人が戻ってくることを信じて待っている春子(佐藤めぐみ)と源さん(大河内浩)とセツコ(石田えり)と順平。時刻は夜の12時を回り、日付が6月21日になった頃、とりあえず各自家に帰ることにする。  　1人残された春子は、沢木とヤスが寝起きしていた寿司政の個室に入る。個室には「探さないで下さい」と書かれた紙が残されていた。銀座のバイトから帰ってきた秋子(戸田菜穂)に、春子は沢木とヤスが寿司政を出て行ったことを泣きながら話し出す…。    　10日ほどさかのぼり、6月11日。亡くなった寿司政の大将(金田明夫)のお通夜の席。気丈に振る舞う秋子と泣きはらした春子。  　盗みに入ったはずの沢木が、なぜテルに間違われることになったのか…。全ての謎が、大将のお通夜から沢木とヤスが盗みに入るまでの一部始終をもって明かされる…。沢木裕次郎:　古田新太　  川村靖:　中丸雄一　  大友秋子:　戸田菜穂　  大友春子:　佐藤めぐみ　  待場順平:　木村了　  碓井幸:　三倉佳奈　  広岡公:　阪田マサノブ　  桃山エリカ:　ICONIQ　  藤原源太:　大河内浩　  藤原セツコ:　石田えり【脚本・演出】  宅間孝行　    【プロデュース】  関口大輔　  古郡真也　    【音楽】  白石めぐみ</t>
  </si>
  <si>
    <t>盗みに入ったにもかかわらず、10年前に出て行った腕利きの板前・テルに間違われたことをいいことにそのまま寿司政に居ついていた沢木(古田新太)と舎弟のヤス(中丸雄一)の2人だったが、テルと旧知の仲らしい借金取り立て屋の広岡(阪田マサノブ)にボコボコにされた上に、その様子を順平(木村了)に見られ、直後、25年ぶりに再会するというテルの悪友・八幡山崇(竹山隆範)にテルではないことを見破られ、大騒ぎされてしまう。あまりの状況に沢木はヤスと2人、寿司政を出て行くことに。  　2人が戻ってくることを信じて待っている春子(佐藤めぐみ)と源さん(大河内浩)とセツコ(石田えり)と順平。時刻は夜の12時を回り、日付が6月21日になった頃、とりあえず各自家に帰ることにする。  　1人残された春子は、沢木とヤスが寝起きしていた寿司政の個室に入る。個室には「探さないで下さい」と書かれた紙が残されていた。銀座のバイトから帰ってきた秋子(戸田菜穂)に、春子は沢木とヤスが寿司政を出て行ったことを泣きながら話し出す…。    　10日ほどさかのぼり、6月11日。亡くなった寿司政の大将(金田明夫)のお通夜の席。気丈に振る舞う秋子と泣きはらした春子。  　盗みに入ったはずの沢木が、なぜテルに間違われることになったのか…。全ての謎が、大将のお通夜から沢木とヤスが盗みに入るまでの一部始終をもって明かされる…。</t>
  </si>
  <si>
    <t>番組名&lt;土ドラ&gt;間違われちゃった男　#10</t>
  </si>
  <si>
    <t>寿司政を出て行ったはずの沢木(古田新太)と舎弟のヤス(中丸雄一)がふらりと帰ってきた。自分たちがやったことの全てがバレて2人が出て行き、二度と帰ってこないものと半ば思っていた秋子(戸田菜穂)と春子(佐藤めぐみ)は驚きを隠せない。何事もなかったかのように春子をちゃかしながら寝起きしていた寿司政の個室に入り、明日の仕込みだけさせてもらっていいですかと個室から出てくる沢木とヤス。　明日、江戸前の寿司を皆さんに味わってもらうためにと寿司ネタをせっせと仕込む2人に秋子は、自分たちがダマしていたことはわかっているんでしょ?と問いかける。が、沢木は自分が10年前にここを出て行き、寿司政のみんながずっと待ってくれていたテルこと本宮照夫ですと言い張る。本宮照夫は暴力団とつながっていて、いろいろな悪事を働いているから、いずれ2人にも迷惑がかかるからと言う秋子の言葉にも沢木とヤスはおどけたような芝居を見せ、あくまでも自分たちは、テルとその舎弟の胸男だと言い張るのだった。  　早朝、秋子と春子の部屋の電気が消えていることを確認した沢木とヤスは、個室で打合せをはじめる。地図をひろげ、高級マンションの写真の数々をながめるなどしてセキュリティー情報などを確認しあう2人。このマンションをターゲットに、盗みに入る計画を立て始める2人。そのマンションというのが実は…。沢木裕次郎:　古田新太　  川村靖:　中丸雄一　  大友秋子:　戸田菜穂　  大友春子:　佐藤めぐみ　  待場順平:　木村了　  碓井幸:　三倉佳奈　  広岡公:　阪田マサノブ　  桃山エリカ:　ICONIQ　  藤原源太:　大河内浩　  藤原セツコ:　石田えり【脚本】  宅間孝行　    【演出】  森脇智延　    【プロデュース】  関口大輔　  古郡真也　    【音楽】  白石めぐみ</t>
  </si>
  <si>
    <t>寿司政を出て行ったはずの沢木(古田新太)と舎弟のヤス(中丸雄一)がふらりと帰ってきた。自分たちがやったことの全てがバレて2人が出て行き、二度と帰ってこないものと半ば思っていた秋子(戸田菜穂)と春子(佐藤めぐみ)は驚きを隠せない。何事もなかったかのように春子をちゃかしながら寝起きしていた寿司政の個室に入り、明日の仕込みだけさせてもらっていいですかと個室から出てくる沢木とヤス。　明日、江戸前の寿司を皆さんに味わってもらうためにと寿司ネタをせっせと仕込む2人に秋子は、自分たちがダマしていたことはわかっているんでしょ?と問いかける。が、沢木は自分が10年前にここを出て行き、寿司政のみんながずっと待ってくれていたテルこと本宮照夫ですと言い張る。本宮照夫は暴力団とつながっていて、いろいろな悪事を働いているから、いずれ2人にも迷惑がかかるからと言う秋子の言葉にも沢木とヤスはおどけたような芝居を見せ、あくまでも自分たちは、テルとその舎弟の胸男だと言い張るのだった。  　早朝、秋子と春子の部屋の電気が消えていることを確認した沢木とヤスは、個室で打合せをはじめる。地図をひろげ、高級マンションの写真の数々をながめるなどしてセキュリティー情報などを確認しあう2人。このマンションをターゲットに、盗みに入る計画を立て始める2人。そのマンションというのが実は…。</t>
  </si>
  <si>
    <t>番組名&lt;土ドラ&gt;間違われちゃった男　#11</t>
  </si>
  <si>
    <t>沢木(古田新太)と舎弟のヤス(中丸雄一)は取り残された寿司政の店内にいた。2人は沢木にそっくりで10年前に寿司政を飛び出し、ヤクザのようになった元寿司職人のテルこと本宮照夫の殺害を刑事の小野寺(小木茂光)と香田(伊藤高史)の前で自供し連行された秋子(戸田菜穂)のために、自分たちにできることは何かないかと考えていた。  　時計の針が12時を回った頃、借金取りの広岡(阪田マサノブ)とエリカ(ICONIQ)が現れ、沢木にお前は誰だ?と詰め寄る。広岡の話によると、テルは神戸の暴力団事務所につかまり監禁されているという。沢木をテルだと信じこんでいた広岡とエリカは何の目的で沢木がテルを名乗っているのかワケがわからない。が、沢木はあくまでも自分は本宮照夫だと突っぱねる。そこまで言い張るならテルの借金1千万を返せとすごむ広岡に、沢木はその借金を何倍にもして返すと言ったテルの言葉通りに、テルが書いた自筆の借用書と引き替えに明日以降返すと約束する。  　かつてヤスをはじめとする多くの男たちから金を巻き上げ、逮捕されている毒婦・住吉千穂(大久保佳代子)の自宅マンションに盗みに入る準備をしながら、ヤスは沢木に疑問を投げかける。秋子はテルを殺したと言っていたが、広岡の話だと生きているという。生きていたのか、それとも監禁されているのはテルそっくりのもう1人の別人なのか…。沢木はあるところに電話をかけるのだが…。沢木裕次郎:　古田新太　  川村靖:　中丸雄一　  大友秋子:　戸田菜穂　  大友春子:　佐藤めぐみ　  待場順平:　木村了　  碓井幸:　三倉佳奈　  広岡公:　阪田マサノブ　  桃山エリカ:　ICONIQ　  藤原源太:　大河内浩　  藤原セツコ:　石田えり【脚本】  宅間孝行　    【演出】  成田岳　    【プロデュース】  関口大輔　  古郡真也　    【音楽】  白石めぐみ</t>
  </si>
  <si>
    <t>沢木(古田新太)と舎弟のヤス(中丸雄一)は取り残された寿司政の店内にいた。2人は沢木にそっくりで10年前に寿司政を飛び出し、ヤクザのようになった元寿司職人のテルこと本宮照夫の殺害を刑事の小野寺(小木茂光)と香田(伊藤高史)の前で自供し連行された秋子(戸田菜穂)のために、自分たちにできることは何かないかと考えていた。  　時計の針が12時を回った頃、借金取りの広岡(阪田マサノブ)とエリカ(ICONIQ)が現れ、沢木にお前は誰だ?と詰め寄る。広岡の話によると、テルは神戸の暴力団事務所につかまり監禁されているという。沢木をテルだと信じこんでいた広岡とエリカは何の目的で沢木がテルを名乗っているのかワケがわからない。が、沢木はあくまでも自分は本宮照夫だと突っぱねる。そこまで言い張るならテルの借金1千万を返せとすごむ広岡に、沢木はその借金を何倍にもして返すと言ったテルの言葉通りに、テルが書いた自筆の借用書と引き替えに明日以降返すと約束する。  　かつてヤスをはじめとする多くの男たちから金を巻き上げ、逮捕されている毒婦・住吉千穂(大久保佳代子)の自宅マンションに盗みに入る準備をしながら、ヤスは沢木に疑問を投げかける。秋子はテルを殺したと言っていたが、広岡の話だと生きているという。生きていたのか、それとも監禁されているのはテルそっくりのもう1人の別人なのか…。沢木はあるところに電話をかけるのだが…。</t>
  </si>
  <si>
    <t>1301_CX_月21</t>
  </si>
  <si>
    <t>ビブリア古書堂の事件手帖</t>
  </si>
  <si>
    <t>番組名ビブリア古書堂の事件手帖　#01</t>
  </si>
  <si>
    <t>「ビブリア古書堂」の店主・篠川栞子(剛力彩芽)のもとに、古書の査定のため五浦大輔(AKIRA)がやってくる。大輔が持ち込んだのは、亡くなった祖母の蔵書『夏目漱石全集』で、その『第八巻　それから』に「夏目漱石」と署名があったため、サインが本物なら高く売れるのでは、と期待した母・恵理(松坂慶子)から頼まれたものだった。  　本を手にじっと考え込んだ栞子は、やがてサインは偽物だと言った。大輔は礼を言い立ち去ろうとするが、栞子はサインを書いたのは祖母自身としか考えられないと話す。唐突な話に、証拠はあるのかと尋ねた大輔に、栞子は祖母にまつわる驚くべき推論を展開していく。  　後日、「ビブリア古書堂」を訪ねた大輔は、恵理に確認した結果、栞子の推論が事実だったと話す。本を見ただけでなぜそこまでわかるのかと興奮気味の大輔に、栞子は困惑し言葉を濁す。  　その数日後、栞子と再会した大輔は再び「ビブリア古書堂」へやってくる。そこで、自分は本を読むと気分が悪くなる体質だと明かすが、栞子は大輔にこの店で働いてみないか、と言う。古書店の人間に必要なのは、本の内容ではなく市場価値の知識だと説く栞子。迷いながらも大輔は、その申し出を受けることに。  　翌日、大輔が「ビブリア古書堂」にいると、志田肇(高橋克実)がやってきた。志田は栞子に小山清の『落ち穂拾ひ』が盗まれたと言った。それを聞いた栞子は…。篠川栞子: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ほか【原作】  三上延『ビブリア古書堂の事件手帖』(メディアワークス文庫)    【脚本】  相沢友子【演出】  松山博昭　  宮木正悟☆Taku　Takahashi(m-flo/block.fm)　&amp;　ARTIMAGE　CREWフジテレビドラマ制作センター</t>
  </si>
  <si>
    <t>「ビブリア古書堂」の店主・篠川栞子(剛力彩芽)のもとに、古書の査定のため五浦大輔(AKIRA)がやってくる。大輔が持ち込んだのは、亡くなった祖母の蔵書『夏目漱石全集』で、その『第八巻　それから』に「夏目漱石」と署名があったため、サインが本物なら高く売れるのでは、と期待した母・恵理(松坂慶子)から頼まれたものだった。  　本を手にじっと考え込んだ栞子は、やがてサインは偽物だと言った。大輔は礼を言い立ち去ろうとするが、栞子はサインを書いたのは祖母自身としか考えられないと話す。唐突な話に、証拠はあるのかと尋ねた大輔に、栞子は祖母にまつわる驚くべき推論を展開していく。  　後日、「ビブリア古書堂」を訪ねた大輔は、恵理に確認した結果、栞子の推論が事実だったと話す。本を見ただけでなぜそこまでわかるのかと興奮気味の大輔に、栞子は困惑し言葉を濁す。  　その数日後、栞子と再会した大輔は再び「ビブリア古書堂」へやってくる。そこで、自分は本を読むと気分が悪くなる体質だと明かすが、栞子は大輔にこの店で働いてみないか、と言う。古書店の人間に必要なのは、本の内容ではなく市場価値の知識だと説く栞子。迷いながらも大輔は、その申し出を受けることに。  　翌日、大輔が「ビブリア古書堂」にいると、志田肇(高橋克実)がやってきた。志田は栞子に小山清の『落ち穂拾ひ』が盗まれたと言った。それを聞いた栞子は…。</t>
  </si>
  <si>
    <t>番組名ビブリア古書堂の事件手帖　#02</t>
  </si>
  <si>
    <t>篠川栞子(剛力彩芽)は、小山清の『落穂拾ひ』を盗まれ気落ちする「せどり屋」の志田肇(高橋克実)を五浦大輔(AKIRA)に紹介した。すると、志田はあいさつもせず本を盗まれたときの状況を話し始めた。  　志田は古書堂へ来る前、ある寺に用があり自転車で向かった。ところが着いたとたんに腹痛がし、荷物を残したままトイレへと駆けだした。そのとき、音がして振り返ると女子高生らしい少女(水野絵梨奈)と自転車が倒れているのが見えたので、戻って声をかけた。しかし、少女は見向きもせず自分の紙袋の中身を確かめていた。志田は気になったが、自転車を起こしておいてくれと頼むとその場を立ち去った。トイレから戻ると、『落穂拾ひ』だけが紛失していた。少女が盗ったのは間違いないと志田は言う。  　栞子は、少女が『落穂拾ひ』を盗った理由こそが少女を探す鍵になると言い、自転車とほかの本はどうなっていたのかと聞く。自転車も本もその場に放置されていたが、本は仲間の笠井菊哉(田中圭)が拾い集めてくれていたと志田は答えた。また笠井は、寺からバス停へと走り去る少女を目撃していたという。  　栞子の提言で笠井と会った大輔は、あの日、笠井が少女に頼まれハサミを貸していたと聞く。さらに、バス停まで走った少女が、バスには乗らなかったとの証言も得た。それを聞いた栞子は、少女が盗むのは『落穂拾ひ』でなければならなかったのだと言う。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ほか【原作】  三上延『ビブリア古書堂の事件手帖』(メディアワークス文庫)    【脚本】  相沢友子【演出】  松山博昭☆Taku　Takahashi(m-flo/block.fm)　&amp;　ARTIMAGE　CREWフジテレビドラマ制作センター</t>
  </si>
  <si>
    <t>篠川栞子(剛力彩芽)は、小山清の『落穂拾ひ』を盗まれ気落ちする「せどり屋」の志田肇(高橋克実)を五浦大輔(AKIRA)に紹介した。すると、志田はあいさつもせず本を盗まれたときの状況を話し始めた。  　志田は古書堂へ来る前、ある寺に用があり自転車で向かった。ところが着いたとたんに腹痛がし、荷物を残したままトイレへと駆けだした。そのとき、音がして振り返ると女子高生らしい少女(水野絵梨奈)と自転車が倒れているのが見えたので、戻って声をかけた。しかし、少女は見向きもせず自分の紙袋の中身を確かめていた。志田は気になったが、自転車を起こしておいてくれと頼むとその場を立ち去った。トイレから戻ると、『落穂拾ひ』だけが紛失していた。少女が盗ったのは間違いないと志田は言う。  　栞子は、少女が『落穂拾ひ』を盗った理由こそが少女を探す鍵になると言い、自転車とほかの本はどうなっていたのかと聞く。自転車も本もその場に放置されていたが、本は仲間の笠井菊哉(田中圭)が拾い集めてくれていたと志田は答えた。また笠井は、寺からバス停へと走り去る少女を目撃していたという。  　栞子の提言で笠井と会った大輔は、あの日、笠井が少女に頼まれハサミを貸していたと聞く。さらに、バス停まで走った少女が、バスには乗らなかったとの証言も得た。それを聞いた栞子は、少女が盗むのは『落穂拾ひ』でなければならなかったのだと言う。</t>
  </si>
  <si>
    <t>番組名ビブリア古書堂の事件手帖　#03</t>
  </si>
  <si>
    <t>篠川栞子(剛力彩芽)と五浦大輔(AKIRA)のもとに、ひとりの男(中村獅童)が買い取り希望だとやって来る。手にしていたのは、ヴィノグラードフ・クジミンの『論理学入門』という本だった。買い取り表からはみ出す字で「坂口昌志」と書いた怪しげな男は、明日また来ると言うと店をあとにした。栞子は、最後のページに貼られた「私本閲読許可証」を見つける。それは刑務所の受刑者が私物として刑務所に持ち込んだ、ということを示すものだった。  　そんな折、『ビブリア古書堂』に来ていた藤波明生(鈴木浩介)が、近所の刑務所から受刑者が脱走した、さっきの男がそうなのではと話す。実際、報道された脱走犯の人相は坂口そっくりだったため、心配した志田肇(高橋克実)は栞子に店頭には出ないようにと命じる。  　そこへ、派手な服を着た女性(佐藤江梨子)が来て、自分は坂口の妻でしのぶと言うが、坂口が売りに来た『論理学入門』を返して欲しいと、店番をしていた大輔に言った。ホステスをしているというしのぶは、一方的にまくし立てると本を持って帰ってしまう。大輔からそう報告を受けた栞子は、坂口本人の許可なく本を返してしまったことは問題だと指摘。責任を感じた大輔は志田とともに、クラブにしのぶを訪ね、本を返して欲しいと頼み込む。  　同じ頃、テレビのニュースでは脱走犯が依然逃走中だと伝えていた。弟の文也(ジェシー)とともにそれを見ていた栞子は…。篠川栞子: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ほか【原作】  三上延『ビブリア古書堂の事件手帖』(メディアワークス文庫)　    【脚本】  相沢友子【演出】  宮木正悟☆Taku　Takahashi(m-flo/block.fm)　&amp;　ARTIMAGE　CREWフジテレビドラマ制作センター</t>
  </si>
  <si>
    <t>篠川栞子(剛力彩芽)と五浦大輔(AKIRA)のもとに、ひとりの男(中村獅童)が買い取り希望だとやって来る。手にしていたのは、ヴィノグラードフ・クジミンの『論理学入門』という本だった。買い取り表からはみ出す字で「坂口昌志」と書いた怪しげな男は、明日また来ると言うと店をあとにした。栞子は、最後のページに貼られた「私本閲読許可証」を見つける。それは刑務所の受刑者が私物として刑務所に持ち込んだ、ということを示すものだった。  　そんな折、『ビブリア古書堂』に来ていた藤波明生(鈴木浩介)が、近所の刑務所から受刑者が脱走した、さっきの男がそうなのではと話す。実際、報道された脱走犯の人相は坂口そっくりだったため、心配した志田肇(高橋克実)は栞子に店頭には出ないようにと命じる。  　そこへ、派手な服を着た女性(佐藤江梨子)が来て、自分は坂口の妻でしのぶと言うが、坂口が売りに来た『論理学入門』を返して欲しいと、店番をしていた大輔に言った。ホステスをしているというしのぶは、一方的にまくし立てると本を持って帰ってしまう。大輔からそう報告を受けた栞子は、坂口本人の許可なく本を返してしまったことは問題だと指摘。責任を感じた大輔は志田とともに、クラブにしのぶを訪ね、本を返して欲しいと頼み込む。  　同じ頃、テレビのニュースでは脱走犯が依然逃走中だと伝えていた。弟の文也(ジェシー)とともにそれを見ていた栞子は…。</t>
  </si>
  <si>
    <t>番組名ビブリア古書堂の事件手帖　#04</t>
  </si>
  <si>
    <t>篠川栞子(剛力彩芽)は、客の自宅に出張して本を買い取る「宅買い」に五浦大輔(AKIRA)を連れて行く。依頼者の玉岡聡子(森口瑤子)は、3カ月前に他界した父親の蔵書を処分して欲しいという。　蔵書は主に純文学や詩集で、なかには中原中也の『在りし日の歌』の初版本など貴重なものもあった。聡子は栞子に、買い取りとともに、昨日この書斎から盗まれた宮沢賢治の『春と修羅』の初版本を取り戻して欲しいと依頼。 父親は『春と修羅』の初版本を2冊持っていたが、状態の良くない方が盗まれたのだという。聡子がその消失に気づいたのは、昨夜遺産のことでクレームを付けに来た兄・一郎(大河内浩)と姉・小百合(峯村リエ)が帰宅した直後だった。2人の来訪の直前まで書斎にいて『春と修羅』の存在を確認していた聡子は、帰宅した2人に電話で問い詰めたが、どちらも犯行を否定しているという。それを聞いた栞子は、2人の服装について尋ねる。 　栞子と大輔がビブリア古書堂に戻ると、そこに疲れ切った志田肇(高橋克実)がいた。志田は先日、酔った勢いで仕入れた古書すべてを1000円で売ってしまう、という失態を演じていたのだ。　翌日、栞子と大輔は一郎に事情を聞きに行き、その後、小百合とは甘味処で待ち合わせをした。しかしやって来たのは、息子・昴(今井悠貴)だった。小百合に頼まれて来たという昴は、栞子と大輔を自宅へと連れて行き…。 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 【原作】三上延『ビブリア古書堂の事件手帖』(メディアワークス文庫)　【脚本】岡田道尚 【演出】宮木正悟 ☆Taku　Takahashi(m-flo/block.fm)　&amp;　ARTIMAGE　CREW フジテレビ　ドラマ制作センター</t>
  </si>
  <si>
    <t xml:space="preserve">篠川栞子(剛力彩芽)は、客の自宅に出張して本を買い取る「宅買い」に五浦大輔(AKIRA)を連れて行く。依頼者の玉岡聡子(森口瑤子)は、3カ月前に他界した父親の蔵書を処分して欲しいという。　蔵書は主に純文学や詩集で、なかには中原中也の『在りし日の歌』の初版本など貴重なものもあった。聡子は栞子に、買い取りとともに、昨日この書斎から盗まれた宮沢賢治の『春と修羅』の初版本を取り戻して欲しいと依頼。 父親は『春と修羅』の初版本を2冊持っていたが、状態の良くない方が盗まれたのだという。聡子がその消失に気づいたのは、昨夜遺産のことでクレームを付けに来た兄・一郎(大河内浩)と姉・小百合(峯村リエ)が帰宅した直後だった。2人の来訪の直前まで書斎にいて『春と修羅』の存在を確認していた聡子は、帰宅した2人に電話で問い詰めたが、どちらも犯行を否定しているという。それを聞いた栞子は、2人の服装について尋ねる。 　栞子と大輔がビブリア古書堂に戻ると、そこに疲れ切った志田肇(高橋克実)がいた。志田は先日、酔った勢いで仕入れた古書すべてを1000円で売ってしまう、という失態を演じていたのだ。　翌日、栞子と大輔は一郎に事情を聞きに行き、その後、小百合とは甘味処で待ち合わせをした。しかしやって来たのは、息子・昴(今井悠貴)だった。小百合に頼まれて来たという昴は、栞子と大輔を自宅へと連れて行き…。 </t>
  </si>
  <si>
    <t>番組名ビブリア古書堂の事件手帖　#05</t>
  </si>
  <si>
    <t>篠川栞子(剛力彩芽)は、書籍を寄贈するため聖桜女学館を訪ねた。栞子を迎えたのは、図書委員の田辺美鈴(生田絵梨花)だった。書籍は、教員の杉浦(阿南敦子)により選別され数冊が「中学生には不適切」という理由で返却されてしまう。栞子は、文学的評価が高く、性描写や暴力描写があるだけで除外するのはもったいないと言うが、杉浦は最近もアントニイ・バージェスの「時計じかけのオレンジ」を読んで学校を批判する感想文を 提出した生徒がいたと話す。　同じ頃、ビブリア古書堂に小菅奈緒(水野絵梨奈)がやってくる。奈緒は、志田肇(高橋克美)に借りた本を返しに来たのだが、志田はどこか沈んだ表情の奈緒を心配する。奈緒は、中学生の妹の結衣(森迫永依)がCDを万引きして捕まり、学校を停学になっていることを明かした。結衣は聖桜女学館に通う生徒だが、先日書いた読書感想文が学校で問題視され、母親が呼び出されることもあったと、五浦大輔 (AKIRA)らに奈緒は話した。　その後、奈緒は学校から戻った栞子、大輔、志田に結衣の感想文を読ませた。それは「時計じかけのオレンジ」を読んで書かれたもので、善悪の常識について疑問を投げかけていた。それを聞いた藤波明生(鈴木浩介)は、万引きも本の影響だろう、と意地悪く言う。栞子は奈緒に、結衣はどこで「時計じかけのオレンジ」を購入したのかと聞く。インターネットの通販だと答えた奈緒に栞子は…。 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 【原作】三上延『ビブリア古書堂の事件手帖』(メディアワークス文庫)　【脚本】相沢友子 【演出】松山博昭 ☆Taku　Takahashi(m-flo/block.fm)　&amp;　ARTIMAGE　CREW フジテレビドラマ制作センター</t>
  </si>
  <si>
    <t xml:space="preserve">篠川栞子(剛力彩芽)は、書籍を寄贈するため聖桜女学館を訪ねた。栞子を迎えたのは、図書委員の田辺美鈴(生田絵梨花)だった。書籍は、教員の杉浦(阿南敦子)により選別され数冊が「中学生には不適切」という理由で返却されてしまう。栞子は、文学的評価が高く、性描写や暴力描写があるだけで除外するのはもったいないと言うが、杉浦は最近もアントニイ・バージェスの「時計じかけのオレンジ」を読んで学校を批判する感想文を 提出した生徒がいたと話す。　同じ頃、ビブリア古書堂に小菅奈緒(水野絵梨奈)がやってくる。奈緒は、志田肇(高橋克美)に借りた本を返しに来たのだが、志田はどこか沈んだ表情の奈緒を心配する。奈緒は、中学生の妹の結衣(森迫永依)がCDを万引きして捕まり、学校を停学になっていることを明かした。結衣は聖桜女学館に通う生徒だが、先日書いた読書感想文が学校で問題視され、母親が呼び出されることもあったと、五浦大輔 (AKIRA)らに奈緒は話した。　その後、奈緒は学校から戻った栞子、大輔、志田に結衣の感想文を読ませた。それは「時計じかけのオレンジ」を読んで書かれたもので、善悪の常識について疑問を投げかけていた。それを聞いた藤波明生(鈴木浩介)は、万引きも本の影響だろう、と意地悪く言う。栞子は奈緒に、結衣はどこで「時計じかけのオレンジ」を購入したのかと聞く。インターネットの通販だと答えた奈緒に栞子は…。 </t>
  </si>
  <si>
    <t>番組名ビブリア古書堂の事件手帖　#06</t>
  </si>
  <si>
    <t>何者かに石段の上から突き落とされた篠川栞子(剛力彩芽)は、救急車で病院に運ばれた。幸いなことに足首の骨折だけで済み、五浦大輔(AKIRA)は安堵する。一方、篠川文也(ジェシー)から倒れていた栞子を見つけ救急車を呼んだのが藤波明生(鈴木浩介)だと聞くと大輔は顔を曇らせた。　志田肇(高橋克実)、文也、藤波が病室を出ると栞子は大輔に、病院に持ち込んだ金庫から1冊の本を取り出すように頼む。それは、 太宰治の『晩年』だった。栞子は、この本を狙う男に突き落とされたのだと明かした。　栞子が祖父の代から引き継いだ『晩年』は、500部ほどしかない初版本の中でも、太宰自身の署名まで入るなどした大変稀少なもので、300万円以上の値が付くという。栞子は『晩年』を母屋で保管していたが、その存在を知った人物から「譲ってほしい」と何度もメールが来るようになり警戒していたところ、今回の事件が起こったという。 　栞子の入院中、大輔はひとりでビブリア古書堂を切り盛りするが、古書の知識がないため苦労する。そんな大輔の様子を見に、小菅奈緒(水野絵梨奈)や藤波がやってくる。そんな折、店の外に出た藤波が大きな声を上げた。大輔と奈緒が駆けつけると、ワゴンのなかの本にガソリンがかけられていた。　危機感を覚えた大輔は、『晩年』を売ってしまってはどうかと勧めるが、栞子は本を手放すくらいなら殺された方がましだと譲らず…。 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 【原作】三上延『ビブリア古書堂の事件手帖』(メディアワークス文庫)　【脚本】相沢友子 【演出】長瀬国博 ☆Taku　Takahashi(m-flo/block.fm)　&amp;　ARTIMAGE　CREW フジテレビドラマ制作センター</t>
  </si>
  <si>
    <t xml:space="preserve">何者かに石段の上から突き落とされた篠川栞子(剛力彩芽)は、救急車で病院に運ばれた。幸いなことに足首の骨折だけで済み、五浦大輔(AKIRA)は安堵する。一方、篠川文也(ジェシー)から倒れていた栞子を見つけ救急車を呼んだのが藤波明生(鈴木浩介)だと聞くと大輔は顔を曇らせた。　志田肇(高橋克実)、文也、藤波が病室を出ると栞子は大輔に、病院に持ち込んだ金庫から1冊の本を取り出すように頼む。それは、 太宰治の『晩年』だった。栞子は、この本を狙う男に突き落とされたのだと明かした。　栞子が祖父の代から引き継いだ『晩年』は、500部ほどしかない初版本の中でも、太宰自身の署名まで入るなどした大変稀少なもので、300万円以上の値が付くという。栞子は『晩年』を母屋で保管していたが、その存在を知った人物から「譲ってほしい」と何度もメールが来るようになり警戒していたところ、今回の事件が起こったという。 　栞子の入院中、大輔はひとりでビブリア古書堂を切り盛りするが、古書の知識がないため苦労する。そんな大輔の様子を見に、小菅奈緒(水野絵梨奈)や藤波がやってくる。そんな折、店の外に出た藤波が大きな声を上げた。大輔と奈緒が駆けつけると、ワゴンのなかの本にガソリンがかけられていた。　危機感を覚えた大輔は、『晩年』を売ってしまってはどうかと勧めるが、栞子は本を手放すくらいなら殺された方がましだと譲らず…。 </t>
  </si>
  <si>
    <t>番組名ビブリア古書堂の事件手帖　#07</t>
  </si>
  <si>
    <t>篠川栞子(剛力彩芽)は太宰治の『晩年』を抱えたまま、病院の屋上で笠井菊哉(田中圭)と対峙していた。駆けつけた五浦大輔(AKIRA)はふたりの間に割って入ろうとするが、笠井の手には鋭いハサミが握られていた。笠井は、本は傷つけないが人間には容赦しないから『晩年』を渡せと迫る。  　笠井は『晩年』を手に入れるためならどんな犠牲を払っても構わないと鬼気迫る表情で栞子に詰め寄る。栞子は、自分は笠井とは違う、自分には古い本よりも大事なことがあると言い、ライターを取り出すと、この本がすべての元凶だと火をつけようする。  　後日、ビブリア古書堂に買い取り希望の須崎(井浦新)がやってきて、髪が短くて物静かな女性店員はいないかと大輔に尋ねる。栞子が戻ってくると、須崎は足塚不二雄の『UTOPIA　最後の世界大戦』はいくらで買い取るか、と聞いた。その言葉に表情を変えた栞子に、鶴書房版の初版でしかも美本だと言う須崎。栞子は、実物を見た上だが、100万円単位になるのでは、と返す。すると、須崎は満足そうな表情を浮かべ、車を移動してくると言って外へ出て行く。しかしその後、何時間経っても須崎は戻ってこなかった。  　その後、栞子と大輔は買い取り表の住所を頼りに須崎を訪ねた。ふたりを部屋に入れた須崎は、膨大な古書漫画のコレクションを見せるとともに、栞子の母・智恵子(安田成美)と自分の接点を語りはじめ…。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ほか【原作】  三上延『ビブリア古書堂の事件手帖』(メディアワークス文庫)　    【脚本】  相沢友子【演出】  松山博昭☆Taku　Takahashi(m-flo/block.fm)　&amp;　ARTIMAGE　CREWフジテレビドラマ制作センター</t>
  </si>
  <si>
    <t>篠川栞子(剛力彩芽)は太宰治の『晩年』を抱えたまま、病院の屋上で笠井菊哉(田中圭)と対峙していた。駆けつけた五浦大輔(AKIRA)はふたりの間に割って入ろうとするが、笠井の手には鋭いハサミが握られていた。笠井は、本は傷つけないが人間には容赦しないから『晩年』を渡せと迫る。  　笠井は『晩年』を手に入れるためならどんな犠牲を払っても構わないと鬼気迫る表情で栞子に詰め寄る。栞子は、自分は笠井とは違う、自分には古い本よりも大事なことがあると言い、ライターを取り出すと、この本がすべての元凶だと火をつけようする。  　後日、ビブリア古書堂に買い取り希望の須崎(井浦新)がやってきて、髪が短くて物静かな女性店員はいないかと大輔に尋ねる。栞子が戻ってくると、須崎は足塚不二雄の『UTOPIA　最後の世界大戦』はいくらで買い取るか、と聞いた。その言葉に表情を変えた栞子に、鶴書房版の初版でしかも美本だと言う須崎。栞子は、実物を見た上だが、100万円単位になるのでは、と返す。すると、須崎は満足そうな表情を浮かべ、車を移動してくると言って外へ出て行く。しかしその後、何時間経っても須崎は戻ってこなかった。  　その後、栞子と大輔は買い取り表の住所を頼りに須崎を訪ねた。ふたりを部屋に入れた須崎は、膨大な古書漫画のコレクションを見せるとともに、栞子の母・智恵子(安田成美)と自分の接点を語りはじめ…。</t>
  </si>
  <si>
    <t>番組名ビブリア古書堂の事件手帖　#08</t>
  </si>
  <si>
    <t>篠川栞子(剛力彩芽)とは親の代から付き合いがあるという、古書店店主の滝野蓮杖(柏原収史)がやってくる。志田肇(高橋克実)は、滝野を栞子の幼なじみ兼相談役だと五浦大輔(AKIRA)に紹介。大輔は、本が読めて栞子の役に立っている滝野をうらやましく思う。一方の滝野は、本が読めないのにビブリア古書堂に入った大輔を冷めた様子で見る。　そんな折、常連客の吉見(大倉孝二)が「いい本が少ない」と言った。それに 同調した栞子は大輔に、明日開かれる古書店同士の売買会「古書交換会」に付き合ってほしいと頼む。　翌日、「交換会」にやってきた大輔は、栞子に連れられて会場内を見て歩く。栞子は売り上げを伸ばすため、値段は張るが人気の高い絶版のSF文庫に入札するが、「ヒトリ文庫」店主の井上(佐野史郎)に競り負けてしまう。　その日の夜、栞子は大輔にロバート・F・ヤングの『たんぽぽ娘』を「絶版文庫」の棚に出してくれと 指示する。それは栞子が自宅から持ち込んだもので、タイムマシンに乗り240年後の未来からやってきた女性と彼女に恋をしてしまう既婚男性の物語が書かれているという。文庫なのに8000円の値段をつけたその本に大輔が興味を示していると、店のドアが大きな音を立てて開き、井上が入ってくる。驚く栞子らに井上は、「交換会」で落札した『たんぽぽ娘』を返せと言う。『たんぽぽ娘』という言葉に反応した大輔が栞子を見ると…。 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 【原作】三上延『ビブリア古書堂の事件手帖』(メディアワークス文庫)　【脚本】岡田道尚 【演出】宮木正悟 ☆Taku　Takahashi(m-flo/block.fm)　&amp;　ARTIMAGE　CREW フジテレビドラマ制作センター</t>
  </si>
  <si>
    <t xml:space="preserve">篠川栞子(剛力彩芽)とは親の代から付き合いがあるという、古書店店主の滝野蓮杖(柏原収史)がやってくる。志田肇(高橋克実)は、滝野を栞子の幼なじみ兼相談役だと五浦大輔(AKIRA)に紹介。大輔は、本が読めて栞子の役に立っている滝野をうらやましく思う。一方の滝野は、本が読めないのにビブリア古書堂に入った大輔を冷めた様子で見る。　そんな折、常連客の吉見(大倉孝二)が「いい本が少ない」と言った。それに 同調した栞子は大輔に、明日開かれる古書店同士の売買会「古書交換会」に付き合ってほしいと頼む。　翌日、「交換会」にやってきた大輔は、栞子に連れられて会場内を見て歩く。栞子は売り上げを伸ばすため、値段は張るが人気の高い絶版のSF文庫に入札するが、「ヒトリ文庫」店主の井上(佐野史郎)に競り負けてしまう。　その日の夜、栞子は大輔にロバート・F・ヤングの『たんぽぽ娘』を「絶版文庫」の棚に出してくれと 指示する。それは栞子が自宅から持ち込んだもので、タイムマシンに乗り240年後の未来からやってきた女性と彼女に恋をしてしまう既婚男性の物語が書かれているという。文庫なのに8000円の値段をつけたその本に大輔が興味を示していると、店のドアが大きな音を立てて開き、井上が入ってくる。驚く栞子らに井上は、「交換会」で落札した『たんぽぽ娘』を返せと言う。『たんぽぽ娘』という言葉に反応した大輔が栞子を見ると…。 </t>
  </si>
  <si>
    <t>番組名ビブリア古書堂の事件手帖　#09</t>
  </si>
  <si>
    <t>篠川栞子(剛力彩芽)と五浦大輔(AKIRA)は、定休日に古書店巡りをすることを決め、ある日、写真集専門の古書店へやってくる。ギャラリーを併設したその店で2人が写真を見ていると、写真は好きか、と高坂晶穂(矢田亜希子)が声をかける。予期せず再会したが、晶穂は、大輔の高校の同級生で元恋人だった。  　大輔は気まずいながらも、栞子に晶穂を紹介。カメラマンをやっている晶穂は、野上司(望月章男)という気鋭のカメラマンと一緒に写真展を開いていると説明した。一方の栞子が、祖父の代から古書店を営んでいると話すと、晶穂は「タヌキの絵本」を探してくれと頼む。タイトルや作者は覚えていないが、舞台は外国でタヌキなどさまざまな動物が出てきてみんなで家を建てる話だったという。覚えている限りの内容を話すと、栞子は知っている話のような気がするがそれ以上はわからないと答える。  　後日、晶穂がビブリア古書堂を訪ねてくる。志田肇(高橋克実)がパンを焼き上げたところだったので試食をすすめると、晶穂はそれを押し戻し、今日来たのはほかに思い出したことがあるからだと言った。ほかに、サイとワニ、それから成績の悪い男の子も出てきたと話すが、栞子は思い当たらない。  　行き詰まった晶穂は、あとは実家を探すしかないと言うが、母親(かとうかず子)との関係が悪くできれば会いたくないので、栞子に同行してほしいと頼む。篠川栞子: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ほか【原作】  三上延『ビブリア古書堂の事件手帖』(メディアワークス文庫)　    【脚本】  早船歌江子【演出】  長瀬国博☆Taku　Takahashi(m-flo/block.fm)　&amp;　ARTIMAGE　CREWフジテレビドラマ制作センター</t>
  </si>
  <si>
    <t>篠川栞子(剛力彩芽)と五浦大輔(AKIRA)は、定休日に古書店巡りをすることを決め、ある日、写真集専門の古書店へやってくる。ギャラリーを併設したその店で2人が写真を見ていると、写真は好きか、と高坂晶穂(矢田亜希子)が声をかける。予期せず再会したが、晶穂は、大輔の高校の同級生で元恋人だった。  　大輔は気まずいながらも、栞子に晶穂を紹介。カメラマンをやっている晶穂は、野上司(望月章男)という気鋭のカメラマンと一緒に写真展を開いていると説明した。一方の栞子が、祖父の代から古書店を営んでいると話すと、晶穂は「タヌキの絵本」を探してくれと頼む。タイトルや作者は覚えていないが、舞台は外国でタヌキなどさまざまな動物が出てきてみんなで家を建てる話だったという。覚えている限りの内容を話すと、栞子は知っている話のような気がするがそれ以上はわからないと答える。  　後日、晶穂がビブリア古書堂を訪ねてくる。志田肇(高橋克実)がパンを焼き上げたところだったので試食をすすめると、晶穂はそれを押し戻し、今日来たのはほかに思い出したことがあるからだと言った。ほかに、サイとワニ、それから成績の悪い男の子も出てきたと話すが、栞子は思い当たらない。  　行き詰まった晶穂は、あとは実家を探すしかないと言うが、母親(かとうかず子)との関係が悪くできれば会いたくないので、栞子に同行してほしいと頼む。</t>
  </si>
  <si>
    <t>番組名ビブリア古書堂の事件手帖　#10</t>
  </si>
  <si>
    <t>篠川栞子(剛力彩芽)は、「古書に関する特別な相談がある」と連絡を受け、五浦大輔(AKIRA)とともに、来城慶子(高樹澪)が暮らす洋館にやってくる。車椅子の慶子に代わり栞子と大輔を迎えたのは妹・邦代(松田美由紀)で、案内された書庫は江戸川乱歩の古書コレクションで埋め尽くされていた。  　そのコレクションは昨年死去した慶子の夫のものだが、ある条件が解決されれば、売ってもよいと言う。その条件とは、洋館にある巨大な金庫の暗号を解くことだった。  　栞子は、大輔、志田肇(高橋克実)、篠川文也(ジェシー)に金庫を開けるために必要なのは、鍵、四桁のダイヤル番号、暗証番号の3つだと言った。  　その後、栞子は大輔とともに井上太一郎(佐野史郎)が経営する「ヒトリ書房」を訪ねる。コレクションの中に、「ヒトリ書房」で購入したと思われる本があったためだ。栞子は、外出先から戻った井上に慶子を知っているかと尋ねた。店員の鹿山直美(横山めぐみ)は微かに反応したが、井上は知らないの一点張りだった。  　志田は、直美の存在が気になる大輔に、直美が以前にも「ヒトリ書房」で働いていたこと、父親の鹿山明(須永慶)は昨年のクリスマスに事故死した有名な政治学者だったことを話す。さらに藤波明生(鈴木浩介)が、鹿山が死に際に「1915」というダイイングメッセージを残していたと教えた。それを聞いた栞子は表情を変え…。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ほか【原作】  三上延『ビブリア古書堂の事件手帖』(メディアワークス文庫)　    【脚本】  相沢友子【演出】  宮木正悟☆Taku　Takahashi(m-flo/block.fm)　&amp;　ARTIMAGE　CREWフジテレビドラマ制作センター</t>
  </si>
  <si>
    <t>篠川栞子(剛力彩芽)は、「古書に関する特別な相談がある」と連絡を受け、五浦大輔(AKIRA)とともに、来城慶子(高樹澪)が暮らす洋館にやってくる。車椅子の慶子に代わり栞子と大輔を迎えたのは妹・邦代(松田美由紀)で、案内された書庫は江戸川乱歩の古書コレクションで埋め尽くされていた。  　そのコレクションは昨年死去した慶子の夫のものだが、ある条件が解決されれば、売ってもよいと言う。その条件とは、洋館にある巨大な金庫の暗号を解くことだった。  　栞子は、大輔、志田肇(高橋克実)、篠川文也(ジェシー)に金庫を開けるために必要なのは、鍵、四桁のダイヤル番号、暗証番号の3つだと言った。  　その後、栞子は大輔とともに井上太一郎(佐野史郎)が経営する「ヒトリ書房」を訪ねる。コレクションの中に、「ヒトリ書房」で購入したと思われる本があったためだ。栞子は、外出先から戻った井上に慶子を知っているかと尋ねた。店員の鹿山直美(横山めぐみ)は微かに反応したが、井上は知らないの一点張りだった。  　志田は、直美の存在が気になる大輔に、直美が以前にも「ヒトリ書房」で働いていたこと、父親の鹿山明(須永慶)は昨年のクリスマスに事故死した有名な政治学者だったことを話す。さらに藤波明生(鈴木浩介)が、鹿山が死に際に「1915」というダイイングメッセージを残していたと教えた。それを聞いた栞子は表情を変え…。</t>
  </si>
  <si>
    <t>番組名ビブリア古書堂の事件手帖　#11</t>
  </si>
  <si>
    <t>母・智恵子(安田成美)に金庫の鍵を奪われたと確信する篠川栞子(剛力彩芽)は、智恵子よりも早く暗号を解いて暗証文字を入手することを目指す。  　その後、栞子と五浦大輔(AKIRA)がビブリア古書堂に戻ると、智恵子がカウンターに座り本を読んでいた。智恵子は栞子に、金庫の中身は何だと思うかと聞く。栞子が、江戸川乱歩の未発表の草稿か何かだろうと答えると、智恵子は「押絵と旅する男」の第一稿だと言った。それは乱歩の代表作のひとつだが、第一稿は乱歩自身の手で破棄されたと言われている。信じられない話だが、智恵子は鹿山明(須永慶)の父親と乱歩の接点を明かした。その意外な事実に志田肇(高橋克実)も驚きを隠せない。  　何としても第一稿を読みたい智恵子は、栞子に協力を持ちかける。一緒に暗号を解くなら、第一稿以外の乱歩コレクションは山分けにしてもいいと。栞子は、自分は鹿山が来城慶子(高樹澪)に残したものを本人に届けたいだけだと、智恵子の提案を断る。  　栞子らが、鹿山と慶子の関係を精査するうち、鹿山が乱歩の「少年探偵団」シリーズを、別宅から娘の直美(横山めぐみ)が暮らす本宅に移した時期に、3年の空白が生じる。その間、「少年探偵団」シリーズはどこに置かれていたのか。大輔や志田らが考えを巡らす中、栞子の携帯が鳴る。それは鹿山の本宅にいた直美からで、智恵子が現れたと伝える電話だった。剛力彩芽　  AKIRA　  田中圭　  鈴木浩介　  北川弘美　  ジェシー(ジャニーズJr.)　  水野絵梨奈　  トリンドル玲奈　  内藤理沙　  安田成美　  松坂慶子　  高橋克実【原作】  三上延『ビブリア古書堂の事件手帖』(メディアワークス文庫)　    【脚本】  相沢友子【演出】  松山博昭☆Taku　Takahashi(m-flo/block.fm)　&amp;　ARTIMAGE　CREWフジテレビドラマ制作センター</t>
  </si>
  <si>
    <t>母・智恵子(安田成美)に金庫の鍵を奪われたと確信する篠川栞子(剛力彩芽)は、智恵子よりも早く暗号を解いて暗証文字を入手することを目指す。  　その後、栞子と五浦大輔(AKIRA)がビブリア古書堂に戻ると、智恵子がカウンターに座り本を読んでいた。智恵子は栞子に、金庫の中身は何だと思うかと聞く。栞子が、江戸川乱歩の未発表の草稿か何かだろうと答えると、智恵子は「押絵と旅する男」の第一稿だと言った。それは乱歩の代表作のひとつだが、第一稿は乱歩自身の手で破棄されたと言われている。信じられない話だが、智恵子は鹿山明(須永慶)の父親と乱歩の接点を明かした。その意外な事実に志田肇(高橋克実)も驚きを隠せない。  　何としても第一稿を読みたい智恵子は、栞子に協力を持ちかける。一緒に暗号を解くなら、第一稿以外の乱歩コレクションは山分けにしてもいいと。栞子は、自分は鹿山が来城慶子(高樹澪)に残したものを本人に届けたいだけだと、智恵子の提案を断る。  　栞子らが、鹿山と慶子の関係を精査するうち、鹿山が乱歩の「少年探偵団」シリーズを、別宅から娘の直美(横山めぐみ)が暮らす本宅に移した時期に、3年の空白が生じる。その間、「少年探偵団」シリーズはどこに置かれていたのか。大輔や志田らが考えを巡らす中、栞子の携帯が鳴る。それは鹿山の本宅にいた直美からで、智恵子が現れたと伝える電話だった。</t>
  </si>
  <si>
    <t>1301_CX_火22</t>
  </si>
  <si>
    <t>サキ</t>
  </si>
  <si>
    <t>番組名サキ　#01</t>
  </si>
  <si>
    <t>http://www.ktv.jp/saki/index.html　雑誌社に勤める記者・新田隼人(三浦翔平)は、ある日、初めての署名記事で自分が生き別れた姉を捜していると記す。数日後、隼人の前に突然、姉と名乗る美しい女性が現れた。女の名前は網浜サキ(仲間由紀恵)。  　サキは港南総合病院の小児科で看護師をしているという。姉だとすぐに信じることはできなかったが、生い立ちを話すにつれ、やがて親交を深めていくサキと隼人。　ある時、二人の前に、男が現れ、強引にサキを連れ去ろうとする。男はサキの病院の元患者・中川(姜暢雄)だった。何とか逃げ出すが、ストーカー被害を案じた隼人は、知り合いの弁護士・野村康介(萩原聖人)を紹介すると約束する仲間由紀恵　  三浦翔平　  内田有紀　  庄野崎謙　  黒川芽以　  鎌苅健太  　・　  萩原聖人  　・　  石黒英雄　  高嶋政伸【脚本】  渡辺千穂【演出】  今井和久(MMJ)　    【プロデューサー】　  豊福陽子　  遠田孝一(MMJ)　  浅井千瑞(MMJ)池頼広　  【主題歌】  「Catch　Me-If　you　wanna-」東方神起(avex　trax)</t>
  </si>
  <si>
    <t xml:space="preserve">　雑誌社に勤める記者・新田隼人(三浦翔平)は、ある日、初めての署名記事で自分が生き別れた姉を捜していると記す。数日後、隼人の前に突然、姉と名乗る美しい女性が現れた。女の名前は網浜サキ(仲間由紀恵)。  　サキは港南総合病院の小児科で看護師をしているという。姉だとすぐに信じることはできなかったが、生い立ちを話すにつれ、やがて親交を深めていくサキと隼人。　ある時、二人の前に、男が現れ、強引にサキを連れ去ろうとする。男はサキの病院の元患者・中川(姜暢雄)だった。何とか逃げ出すが、ストーカー被害を案じた隼人は、知り合いの弁護士・野村康介(萩原聖人)を紹介すると約束する</t>
  </si>
  <si>
    <t>番組名サキ　#02</t>
  </si>
  <si>
    <t>http://www.ktv.jp/saki/index.htmlサキ(仲間由紀恵)から「あなたのことをもっと知りたい」と好意をほのめかされた弁護士の野村(萩原聖人)は、サキのことが気になり始める。同性愛者の噂がある野村には、「祐樹」という人物から、「離婚したので連絡がほしい」という旨のメールが何度も届いていた。苦悩を振り払うかのように、野村はついにサキの携帯に電話をかける。一方、サキから夕食を作ってあげたいと連絡を受けた隼人(三浦翔平)は、恋人の百合香(黒川芽以)との先約を反故にし、サキと夕食の約束をする。  病院では理事長の須藤(高嶋政伸)が、自分が親睦会に出席しないのを知ってサキが残念がる様子を見て、他の看護師とは違う好感を抱き始めていた。翌日、サキと連絡がつかない野村は、意を決してサキに会いに行き食事に誘う。受け入れたサキは「断ち切れない恋を忘れる方法は新しい恋をすることだ」と思わせぶりに語り、酔った野村に、「今日野村さんの家に泊まってもいいですか?」と問いかけて…。仲間由紀恵　  三浦翔平　  内田有紀　  庄野崎謙　  黒川芽以　  鎌苅健太  　・　  萩原聖人  　・　  石黒英雄　  高嶋政伸【脚本】  渡辺千穂【演出】  今井和久(MMJ)　    【プロデューサー】  豊福陽子　  遠田孝一(MMJ)　  浅井千瑞(MMJ)池頼広　    【主題歌】「Catch　Me-If　you　wanna-」東方神起(avex　trax)</t>
  </si>
  <si>
    <t>サキ(仲間由紀恵)から「あなたのことをもっと知りたい」と好意をほのめかされた弁護士の野村(萩原聖人)は、サキのことが気になり始める。同性愛者の噂がある野村には、「祐樹」という人物から、「離婚したので連絡がほしい」という旨のメールが何度も届いていた。苦悩を振り払うかのように、野村はついにサキの携帯に電話をかける。一方、サキから夕食を作ってあげたいと連絡を受けた隼人(三浦翔平)は、恋人の百合香(黒川芽以)との先約を反故にし、サキと夕食の約束をする。  病院では理事長の須藤(高嶋政伸)が、自分が親睦会に出席しないのを知ってサキが残念がる様子を見て、他の看護師とは違う好感を抱き始めていた。翌日、サキと連絡がつかない野村は、意を決してサキに会いに行き食事に誘う。受け入れたサキは「断ち切れない恋を忘れる方法は新しい恋をすることだ」と思わせぶりに語り、酔った野村に、「今日野村さんの家に泊まってもいいですか?」と問いかけて…。</t>
  </si>
  <si>
    <t>番組名サキ　#03</t>
  </si>
  <si>
    <t>http://www.ktv.jp/saki/index.html野村(萩原聖人)の断ち切れぬ思いの相手・祐樹(原田佳奈)とは、野村の妹だったと知ったサキ(仲間由紀恵)は、祐樹をランチに誘う。聞き上手なサキに徐々に心を開いた祐樹は、野村との生い立ちを打ち明け、離婚を考えているが兄が相談に乗ってくれないと告白。サキは、「私に任せてくれる?」と申し出る。  夜、帰宅した野村は、サキの置き手紙に気づく。野村を傷つけたことをわびる内容に野村は、再び電話でサキを食事に誘う。一方、取材帰りの隼人(三浦翔平)は上司の直美(内田有紀)に、親戚の誕生日プレゼント選びを手伝ってほしいと持ちかける。真剣に品物を選ぶ隼人に、目ざとく恋心を感じ取る直美。しかしその帰り道、二人は野村とサキに出くわす。隼人は思わず無愛想な態度をとってしまい、直美から「ヤキモチ焼いているみたい」とからかわれてしまう。  レストランでサキは、野村に生い立ちを尋ねていた。祐樹から聞いたとは言わず、巧妙に妹の話題に水を向けるサキ。野村が「妹がいるが離婚したがっている」と話すと「野村と夫を比べてしまうから仕方がない、運命の相手は他にいるはず」などと意味あり気に言い、野村を動揺させる。  翌日、港南総合病院の廊下でサキは、理事長の須藤(高嶋政伸)とその妻・恵(富田靖子)と会う。「理事長は愛妻家だって病院中の噂ですよ」と恵をうらやむサキの言葉に、恵は屈託なく応じるが、須藤の胸には何故か複雑な思いがよぎって…。仲間由紀恵　  三浦翔平　  内田有紀　  庄野崎謙　  黒川芽以　  鎌苅健太  　・　  萩原聖人  　・　  石黒英雄　  高嶋政伸【脚本】  渡辺千穂【演出】  植田尚(MMJ)　    【プロデューサー】  豊福陽子　  遠田孝一(MMJ)　  浅井千瑞(MMJ)池頼広　    【主題歌】「Catch　Me-If　you　wanna-」東方神起(avex　trax)</t>
  </si>
  <si>
    <t>野村(萩原聖人)の断ち切れぬ思いの相手・祐樹(原田佳奈)とは、野村の妹だったと知ったサキ(仲間由紀恵)は、祐樹をランチに誘う。聞き上手なサキに徐々に心を開いた祐樹は、野村との生い立ちを打ち明け、離婚を考えているが兄が相談に乗ってくれないと告白。サキは、「私に任せてくれる?」と申し出る。  夜、帰宅した野村は、サキの置き手紙に気づく。野村を傷つけたことをわびる内容に野村は、再び電話でサキを食事に誘う。一方、取材帰りの隼人(三浦翔平)は上司の直美(内田有紀)に、親戚の誕生日プレゼント選びを手伝ってほしいと持ちかける。真剣に品物を選ぶ隼人に、目ざとく恋心を感じ取る直美。しかしその帰り道、二人は野村とサキに出くわす。隼人は思わず無愛想な態度をとってしまい、直美から「ヤキモチ焼いているみたい」とからかわれてしまう。  レストランでサキは、野村に生い立ちを尋ねていた。祐樹から聞いたとは言わず、巧妙に妹の話題に水を向けるサキ。野村が「妹がいるが離婚したがっている」と話すと「野村と夫を比べてしまうから仕方がない、運命の相手は他にいるはず」などと意味あり気に言い、野村を動揺させる。  翌日、港南総合病院の廊下でサキは、理事長の須藤(高嶋政伸)とその妻・恵(富田靖子)と会う。「理事長は愛妻家だって病院中の噂ですよ」と恵をうらやむサキの言葉に、恵は屈託なく応じるが、須藤の胸には何故か複雑な思いがよぎって…。</t>
  </si>
  <si>
    <t>番組名サキ　#04</t>
  </si>
  <si>
    <t>http://www.ktv.jp/saki/index.htmlサキ(仲間由紀恵)に勧められ、野村(萩原聖人)は妹・祐樹(原田佳奈)への秘めた恋心を手紙に書こうと決意するものの、いざとなると筆が進まずにいた。そんな中、サキは、祐樹にも声をかけていることを隠して、週末、伊豆旅行へ行こうと野村を誘う。  一方、誕生祝いの途中でサキが野村とのデートを優先したことに軽い嫉妬を覚えていた隼人(三浦翔平)は、サキから電話で「隼人に祝ってもらえたことが一番嬉しかった」と言われ喜ぶ。ところが、「お礼がしたい」と言われてサキの自宅を訪れると、隼人の恋人・百合香(黒川芽以)も招待されていた。二人きりだと思い込んでいた隼人はショックを覚え、自分との関係を嬉々としてサキに語る百合香に声を荒げてしまう。その夜、サキとの約束をキャンセルされた野村は、とうとう、決して人には知られたくない、知られてはいけない、妹・祐樹への秘めた思いを手紙に書きつづっていた。  そしてついにきた週末。手紙を書き終え、晴れやかな気持ちでサキと伊豆旅行に訪れた野村を待っていたものは…。仲間由紀恵　  三浦翔平　  内田有紀　  庄野崎謙　  黒川芽以　  鎌苅健太  　・　  萩原聖人  　・　  石黒英雄　  高嶋政伸【脚本】  渡辺千穂【演出】  小松隆志(MMJ)　    【プロデューサー】  豊福陽子　  遠田孝一(MMJ)　  浅井千瑞(MMJ)池頼広    【主題歌】  「Catch　Me-If　you　wanna-」東方神起(avex　trax)</t>
  </si>
  <si>
    <t>サキ(仲間由紀恵)に勧められ、野村(萩原聖人)は妹・祐樹(原田佳奈)への秘めた恋心を手紙に書こうと決意するものの、いざとなると筆が進まずにいた。そんな中、サキは、祐樹にも声をかけていることを隠して、週末、伊豆旅行へ行こうと野村を誘う。  一方、誕生祝いの途中でサキが野村とのデートを優先したことに軽い嫉妬を覚えていた隼人(三浦翔平)は、サキから電話で「隼人に祝ってもらえたことが一番嬉しかった」と言われ喜ぶ。ところが、「お礼がしたい」と言われてサキの自宅を訪れると、隼人の恋人・百合香(黒川芽以)も招待されていた。二人きりだと思い込んでいた隼人はショックを覚え、自分との関係を嬉々としてサキに語る百合香に声を荒げてしまう。その夜、サキとの約束をキャンセルされた野村は、とうとう、決して人には知られたくない、知られてはいけない、妹・祐樹への秘めた思いを手紙に書きつづっていた。  そしてついにきた週末。手紙を書き終え、晴れやかな気持ちでサキと伊豆旅行に訪れた野村を待っていたものは…。</t>
  </si>
  <si>
    <t>番組名サキ　#05</t>
  </si>
  <si>
    <t>http://www.ktv.jp/saki/index.html 野村(萩原聖人)の葬儀がとり行われる中、隼人(三浦翔平)と直美(内田有紀)は、野村のあまりに突然の死が腑に落ちないでいた。するとその夜、サキの自宅を訪れた隼人に、サキは「野村がなぜ死んでしまったか知っている」と切り出し、隼人を愕然とさせる。 一方、空調整備員の本田(岡田義徳)は、サキと偶然再会。手袋を拾った本田にお礼を言うサキの屈託のない笑顔を見て、高揚感を覚える本田。本田は日頃、同僚から馬鹿にされ孤立していたのだった。日曜日、手袋を取りに来たサキと再会した本田は、サキから「お礼がしたい」と食事に誘われ、胸が高鳴る。また、病院理事長の須藤(高嶋政伸)も、無意識に院内でサキの姿を探すようになっていた。 そんな中、隼人は同僚の記者・岩城(石黒英雄)の取材資料の中に、かつてサキにつきまとっていた中川(姜暢雄)の写真を見つけ、中川が自殺していたことを知る。 仲間由紀恵　三浦翔平　内田有紀　庄野崎謙　黒川芽以　鎌苅健太　・　萩原聖人　・　石黒英雄　高嶋政伸 【脚本】渡辺千穂 【演出】小松隆志(MMJ)【プロデューサー】豊福陽子　遠田孝一(MMJ)　浅井千瑞(MMJ) 池頼広【主題歌】「Catch　Me-If　you　wanna-」東方神起(avex　trax)</t>
  </si>
  <si>
    <t xml:space="preserve"> 野村(萩原聖人)の葬儀がとり行われる中、隼人(三浦翔平)と直美(内田有紀)は、野村のあまりに突然の死が腑に落ちないでいた。するとその夜、サキの自宅を訪れた隼人に、サキは「野村がなぜ死んでしまったか知っている」と切り出し、隼人を愕然とさせる。 一方、空調整備員の本田(岡田義徳)は、サキと偶然再会。手袋を拾った本田にお礼を言うサキの屈託のない笑顔を見て、高揚感を覚える本田。本田は日頃、同僚から馬鹿にされ孤立していたのだった。日曜日、手袋を取りに来たサキと再会した本田は、サキから「お礼がしたい」と食事に誘われ、胸が高鳴る。また、病院理事長の須藤(高嶋政伸)も、無意識に院内でサキの姿を探すようになっていた。 そんな中、隼人は同僚の記者・岩城(石黒英雄)の取材資料の中に、かつてサキにつきまとっていた中川(姜暢雄)の写真を見つけ、中川が自殺していたことを知る。 </t>
  </si>
  <si>
    <t>番組名サキ　#06</t>
  </si>
  <si>
    <t>http://www.ktv.jp/saki/index.html サキ(仲間由紀恵)の周辺で、野村(萩原聖人)と中川(姜暢雄)の二人が自殺していることを知った隼人(三浦翔平)は、サキが間接的な殺人を犯しているのではないかという疑惑を抱き、ついにサキにぶつける。が、サキから「私を疑っているの?」と機先を制され、言葉に詰まる隼人。疑いを拭いきれない中、「二度あることは三度ある」という上司の濱田直美(内田有紀)の言葉をきっかけに、 隼人は、サキと一緒にいた本田(岡田義徳)という男のことが気にかかり始める。一方、サキに励まされ自信を取り戻した本田は、仕事場で積極的に意見し上司に褒められる。が、同僚の反感を買い、これまで以上にひどく殴られてしまう。サキの元を訪れ、「俺なんて生きてる意味ない…」と弱音を吐く本田。そんな本田をサキは、意外にも本気で叱咤(しった)し勇気づけるのだった。また、病院では、 理事長の須藤(高嶋政伸)が、サキから「職場の人間関係に悩んでいる」と相談を受ける。しかし、小児科から異動することを提案した須藤に対し、突然怒りをあらわにするサキ。誰からも叱られることのなかった須藤は、一層サキのことが脳裏に占め始める。サキの言葉で自信を取り戻し、見違える変貌をとげていく本田。そんな中、仕事場で再び嫌がらせを受けた本田は、思いもよらぬ行動に出て大事件を起こしてしまう。 仲間由紀恵　三浦翔平　内田有紀　庄野崎謙　黒川芽以　鎌苅健太　・　萩原聖人　富田靖子　・　岡田義徳　石黒英雄　高嶋政伸 【脚本】渡辺千穂 【演出】植田尚(MMJ)　【プロデューサー】豊福陽子　遠田孝一(MMJ)　浅井千瑞(MMJ) 池頼広　【主題歌】「Catch　Me-If　you　wanna-」東方神起(avex　trax)</t>
  </si>
  <si>
    <t xml:space="preserve"> サキ(仲間由紀恵)の周辺で、野村(萩原聖人)と中川(姜暢雄)の二人が自殺していることを知った隼人(三浦翔平)は、サキが間接的な殺人を犯しているのではないかという疑惑を抱き、ついにサキにぶつける。が、サキから「私を疑っているの?」と機先を制され、言葉に詰まる隼人。疑いを拭いきれない中、「二度あることは三度ある」という上司の濱田直美(内田有紀)の言葉をきっかけに、 隼人は、サキと一緒にいた本田(岡田義徳)という男のことが気にかかり始める。一方、サキに励まされ自信を取り戻した本田は、仕事場で積極的に意見し上司に褒められる。が、同僚の反感を買い、これまで以上にひどく殴られてしまう。サキの元を訪れ、「俺なんて生きてる意味ない…」と弱音を吐く本田。そんな本田をサキは、意外にも本気で叱咤(しった)し勇気づけるのだった。また、病院では、 理事長の須藤(高嶋政伸)が、サキから「職場の人間関係に悩んでいる」と相談を受ける。しかし、小児科から異動することを提案した須藤に対し、突然怒りをあらわにするサキ。誰からも叱られることのなかった須藤は、一層サキのことが脳裏に占め始める。サキの言葉で自信を取り戻し、見違える変貌をとげていく本田。そんな中、仕事場で再び嫌がらせを受けた本田は、思いもよらぬ行動に出て大事件を起こしてしまう。 </t>
  </si>
  <si>
    <t>番組名サキ　#07</t>
  </si>
  <si>
    <t>http://www.ktv.jp/saki/index.html ホテルでサキ(仲間由紀恵)から「弟と思えない時がある」と告白され、自分がサキに魅かれていることをついに確信する隼人(三浦翔平)。一方、同僚を殴打して逃走していた本田(岡田義徳)は、サキに助けを求めようと電話をかけるが、サキからある患者の意外な話を聞き、自らの行動を決断する。本田の顛末をニュースで見ながら、本田の生まれ年のワインとステーキをひとり味わうサキ。 テーブルに飾られた白いダイヤモンドリリーの花を見たサキの脳裏に、ふと、“母"にまつわる衝撃の過去がよみがえり…。病院理事長の須藤(高嶋政伸)は、サキから「夢に出てきた理事長は髭がなくて素敵だった」と言われ、サキが自分に好意があるのではと密かに浮足立つ。ところが週末、息子の和繁(庄野崎謙)が恋人候補として自宅に連れてきた女性はなんとサキで…。 その頃、直美(内田有紀)のもとに、本田の同僚だという女性がやってくる。本田の変貌の陰に女性の存在があると聞いた直美は、本田がその女に“人格を壊すスイッチ"を押され、犯罪に走らされたのではと疑念を抱き、事件の真相を追うことに…。 仲間由紀恵　三浦翔平　内田有紀　庄野崎謙　黒川芽以　鎌苅健太　・　萩原聖人　富田靖子　・　岡田義徳　石黒英雄　高嶋政伸 【脚本】渡辺千穂 【演出】植田尚(MMJ)　【プロデューサー】豊福陽子　遠田孝一(MMJ)　浅井千瑞(MMJ) 池頼広　【主題歌】「Catch　Me-If　you　wanna-」東方神起(avex　trax)</t>
  </si>
  <si>
    <t xml:space="preserve"> ホテルでサキ(仲間由紀恵)から「弟と思えない時がある」と告白され、自分がサキに魅かれていることをついに確信する隼人(三浦翔平)。一方、同僚を殴打して逃走していた本田(岡田義徳)は、サキに助けを求めようと電話をかけるが、サキからある患者の意外な話を聞き、自らの行動を決断する。本田の顛末をニュースで見ながら、本田の生まれ年のワインとステーキをひとり味わうサキ。 テーブルに飾られた白いダイヤモンドリリーの花を見たサキの脳裏に、ふと、“母"にまつわる衝撃の過去がよみがえり…。病院理事長の須藤(高嶋政伸)は、サキから「夢に出てきた理事長は髭がなくて素敵だった」と言われ、サキが自分に好意があるのではと密かに浮足立つ。ところが週末、息子の和繁(庄野崎謙)が恋人候補として自宅に連れてきた女性はなんとサキで…。 その頃、直美(内田有紀)のもとに、本田の同僚だという女性がやってくる。本田の変貌の陰に女性の存在があると聞いた直美は、本田がその女に“人格を壊すスイッチ"を押され、犯罪に走らされたのではと疑念を抱き、事件の真相を追うことに…。 </t>
  </si>
  <si>
    <t>番組名サキ　#08</t>
  </si>
  <si>
    <t>http://www.ktv.jp/saki/index.html 　サキ(仲間由紀恵)から実の姉弟ではないと告げられ、「むしずが走る」とまで言い捨てられた隼人(三浦翔平)は、一時、ぼうぜん自失となるも、サキの素性を探ろうと決意。サキが育った土地を訪れた隼人は、自分に語っていた話とは全く異なる、サキの思いもよらぬ過去を知る。　一方、須藤(高嶋政伸)の妻・恵(富田靖子)は、息子が思いを寄せるサキが10歳も年上であることを気にかけ、 サキの本心を確かめようと病院を訪れる。ところが、サキが語り始めた年の差恋愛の話は恵自身の過去と酷似しており、恵はサキが自分たち夫婦の過去を知っているのではと疑心暗鬼に陥る。　そんな中、須藤家に招待され泊まることになったサキは、深夜、須藤と2人きりになると、「母は5人の男に殺された」と告白。須藤は、そんなサキに不気味さを感じ始める。 一方、直美(内田有紀)と岩城(石黒英雄)は、殴打事件を起こした本田(岡田義徳)同様、自殺したIT企業社長の中川(姜暢雄)にも、女の影があったことを知る。再び本田の元同僚・道子(伊藤麻実子)のもとを訪れた2人は、道子のある一言から、本田と中川の前に現れた女性が同一人物なのではと思い至って…。 仲間由紀恵　三浦翔平　内田有紀　庄野崎謙　黒川芽以　鎌苅健太　・　萩原聖人　富田靖子　・　岡田義徳　石黒英雄　高嶋政伸 【脚本】渡辺千穂 【演出】小松隆志(MMJ)　【プロデューサー】豊福陽子　遠田孝一(MMJ)　浅井千瑞(MMJ) 池頼広　【主題歌】「Catch　Me-If　you　wanna-」東方神起(avex　trax)</t>
  </si>
  <si>
    <t xml:space="preserve"> 　サキ(仲間由紀恵)から実の姉弟ではないと告げられ、「むしずが走る」とまで言い捨てられた隼人(三浦翔平)は、一時、ぼうぜん自失となるも、サキの素性を探ろうと決意。サキが育った土地を訪れた隼人は、自分に語っていた話とは全く異なる、サキの思いもよらぬ過去を知る。　一方、須藤(高嶋政伸)の妻・恵(富田靖子)は、息子が思いを寄せるサキが10歳も年上であることを気にかけ、 サキの本心を確かめようと病院を訪れる。ところが、サキが語り始めた年の差恋愛の話は恵自身の過去と酷似しており、恵はサキが自分たち夫婦の過去を知っているのではと疑心暗鬼に陥る。　そんな中、須藤家に招待され泊まることになったサキは、深夜、須藤と2人きりになると、「母は5人の男に殺された」と告白。須藤は、そんなサキに不気味さを感じ始める。 一方、直美(内田有紀)と岩城(石黒英雄)は、殴打事件を起こした本田(岡田義徳)同様、自殺したIT企業社長の中川(姜暢雄)にも、女の影があったことを知る。再び本田の元同僚・道子(伊藤麻実子)のもとを訪れた2人は、道子のある一言から、本田と中川の前に現れた女性が同一人物なのではと思い至って…。 </t>
  </si>
  <si>
    <t>番組名サキ　#09</t>
  </si>
  <si>
    <t>http://www.ktv.jp/saki/index.html 直美(内田有紀)と岩城(石黒英雄)は、二つの事件に共通する髪の長い女性が、看護師ではないかと推理。そんな二人に、サキ(仲間由紀恵)が共通点だと告げられない隼人(三浦翔平)は、なんとかサキと連絡を取ろうとする。心を許し始めた恵(富田靖子)に、サキは「真っ白な色に黒い点が落ちると、二度と白に戻ることはできないから、白を黒にしないで」と誰かを信じることが大切だと説く。 ところが翌朝、恵は須藤(高嶋政伸)の上着からパールのイヤリングを見つけがくぜん。不安にかられる恵の頭に「二度と白に戻ることはできない」というサキの言葉がよぎる。サキが風邪で寝込んでいると知った和繁(庄野崎謙)はお見舞いを申し出るも、やんわりと断わられてしまう。一方、サキの欠勤を知った須藤が、お見舞いを申し出ると、和繁の時とは違い、喜んで受け入れるサキ。その顔には怪しげな微笑みが浮かんでいた。 夜、サキの自宅を訪れた須藤は、パールのイヤリングが片方だけ置いてあることに気づく。そんな中、インターフォンが鳴り、モニターには和繁の姿が!父子の鉢合わせの事態にあわてた須藤は…。 仲間由紀恵　三浦翔平　内田有紀　庄野崎謙　黒川芽以　鎌苅健太　・　萩原聖人　富田靖子　・　岡田義徳　石黒英雄　高嶋政伸 【脚本】渡辺千穂 【演出】植田尚(MMJ)　【プロデューサー】豊福陽子　遠田孝一(MMJ)　浅井千瑞(MMJ) 池頼広　【主題歌】「Catch　Me-If　you　wanna-」東方神起(avex　trax)</t>
  </si>
  <si>
    <t xml:space="preserve"> 直美(内田有紀)と岩城(石黒英雄)は、二つの事件に共通する髪の長い女性が、看護師ではないかと推理。そんな二人に、サキ(仲間由紀恵)が共通点だと告げられない隼人(三浦翔平)は、なんとかサキと連絡を取ろうとする。心を許し始めた恵(富田靖子)に、サキは「真っ白な色に黒い点が落ちると、二度と白に戻ることはできないから、白を黒にしないで」と誰かを信じることが大切だと説く。 ところが翌朝、恵は須藤(高嶋政伸)の上着からパールのイヤリングを見つけがくぜん。不安にかられる恵の頭に「二度と白に戻ることはできない」というサキの言葉がよぎる。サキが風邪で寝込んでいると知った和繁(庄野崎謙)はお見舞いを申し出るも、やんわりと断わられてしまう。一方、サキの欠勤を知った須藤が、お見舞いを申し出ると、和繁の時とは違い、喜んで受け入れるサキ。その顔には怪しげな微笑みが浮かんでいた。 夜、サキの自宅を訪れた須藤は、パールのイヤリングが片方だけ置いてあることに気づく。そんな中、インターフォンが鳴り、モニターには和繁の姿が!父子の鉢合わせの事態にあわてた須藤は…。 </t>
  </si>
  <si>
    <t>番組名サキ　#10</t>
  </si>
  <si>
    <t>http://www.ktv.jp/saki/index.html　妻・恵(富田靖子)にイヤリングを見せられ、サキ(仲間由紀恵)にハメられたと知った須藤(高嶋政伸)は、サキの元へ向かい理由を問い詰める。サキから「母を殺した5人の男のうちの1人」だと突きつけられる須藤。しかし、須藤に心当たりはまるでなかった。  　一方、息子の和繁(庄野崎謙)から、夫・須藤がサキを女として見ており、息子と別れるよう迫ったと聞いた恵は、夫の上着に入っていたイヤリングもサキのものだと知りがく然。サキの自宅へ乗り込むと、激高してサキに襲い掛かる。サキの仕掛けた罠により、見事なまでにバラバラに崩壊してゆく須藤一家。  　隼人(三浦翔平)は、直美(内田有紀)らとともに、サキの復しゅうのターゲットとなった3人の男たちと母・明美(朝加真由美)との接点を探っていた。そんな中、「母は5人の男に殺された」というサキの言葉の真意を探るため、母が搬送された病院で死因を改めて調べていた隼人は、母の死に隠された思いもよらぬ事実に突き当たる。  　その夜、誰もいなくなった家でひとり過ごす須藤のもとにサキが現れる。喪失感に苛まれた須藤は、部屋の中で暴れだし、ついに恐るべき行動に出て…仲間由紀恵　  三浦翔平　  内田有紀　  庄野崎謙　  黒川芽以　  鎌苅健太  　・　  萩原聖人　  富田靖子  　・　  岡田義徳　  石黒英雄　  高嶋政伸【脚本】  渡辺千穂【演出】  小松隆志(MMJ)　    【プロデューサー】  豊福陽子　  遠田孝一(MMJ)　  浅井千瑞(MMJ)池頼広　    【主題歌】「Catch　Me-If　you　wanna-」東方神起(avex　trax)</t>
  </si>
  <si>
    <t xml:space="preserve">　妻・恵(富田靖子)にイヤリングを見せられ、サキ(仲間由紀恵)にハメられたと知った須藤(高嶋政伸)は、サキの元へ向かい理由を問い詰める。サキから「母を殺した5人の男のうちの1人」だと突きつけられる須藤。しかし、須藤に心当たりはまるでなかった。  　一方、息子の和繁(庄野崎謙)から、夫・須藤がサキを女として見ており、息子と別れるよう迫ったと聞いた恵は、夫の上着に入っていたイヤリングもサキのものだと知りがく然。サキの自宅へ乗り込むと、激高してサキに襲い掛かる。サキの仕掛けた罠により、見事なまでにバラバラに崩壊してゆく須藤一家。  　隼人(三浦翔平)は、直美(内田有紀)らとともに、サキの復しゅうのターゲットとなった3人の男たちと母・明美(朝加真由美)との接点を探っていた。そんな中、「母は5人の男に殺された」というサキの言葉の真意を探るため、母が搬送された病院で死因を改めて調べていた隼人は、母の死に隠された思いもよらぬ事実に突き当たる。  　その夜、誰もいなくなった家でひとり過ごす須藤のもとにサキが現れる。喪失感に苛まれた須藤は、部屋の中で暴れだし、ついに恐るべき行動に出て…</t>
  </si>
  <si>
    <t>番組名サキ　#11</t>
  </si>
  <si>
    <t>http://www.ktv.jp/saki/index.html　自ら自宅に火を放ち、燃え盛るリビングで倒れる須藤(高嶋政伸)。その頃、須藤がサキ(仲間由紀恵)の4人目のターゲットだと突き止めた隼人(三浦翔平)は、須藤家に急ぎむかう。  　翌朝、隼人と直美(内田有紀)は、須藤からサキが母・明美(朝加真由美)の死に立ち会っていたことを知る。また、その日のある時刻、サキが破滅に追いやった男たちの内の3人が、母が倒れた場所にほど近いある地域に居合わせていたことが判明。「母は5人の男に殺された」というサキの言葉から、直美と岩城(石黒英雄)が最後のターゲットは誰なのかと思い悩む中、隼人は次に狙われるのは自分だと感じていた。  　そんな時、隼人のもとにサキから連絡が入る。意を決してサキの自宅を訪れた隼人は、サキに自分が“母を殺した"のだとついに告白する。すると、2つの内1つに毒の入ったワイングラスから、どちらかを選んで飲むように迫るサキ。選びもせずに幸せな人生を手に入れた隼人への、生死をかけた最後の復しゅうだった。隼人は、ついに、グラスを手に取り…。  　後日、サキが母親に宛てて書きつづった手紙が発見される。隼人は、なぜ狙われたのか?母の死と隼人たち5人の男の関係とは?そして、最後に明かされるサキの本心とは?すべての謎が明らかになる。仲間由紀恵　  三浦翔平　  内田有紀　  庄野崎謙　  黒川芽以　  鎌苅健太  　・　  萩原聖人　  富田靖子  　・　  岡田義徳　  石黒英雄　  高嶋政伸【脚本】  渡辺千穂【演出】  小松隆志(MMJ)　    【プロデューサー】  豊福陽子　  遠田孝一(MMJ)　  浅井千瑞(MMJ)池頼広　    【主題歌】「Catch　Me-If　you　wanna-」東方神起(avex　trax)</t>
  </si>
  <si>
    <t xml:space="preserve">　自ら自宅に火を放ち、燃え盛るリビングで倒れる須藤(高嶋政伸)。その頃、須藤がサキ(仲間由紀恵)の4人目のターゲットだと突き止めた隼人(三浦翔平)は、須藤家に急ぎむかう。  　翌朝、隼人と直美(内田有紀)は、須藤からサキが母・明美(朝加真由美)の死に立ち会っていたことを知る。また、その日のある時刻、サキが破滅に追いやった男たちの内の3人が、母が倒れた場所にほど近いある地域に居合わせていたことが判明。「母は5人の男に殺された」というサキの言葉から、直美と岩城(石黒英雄)が最後のターゲットは誰なのかと思い悩む中、隼人は次に狙われるのは自分だと感じていた。  　そんな時、隼人のもとにサキから連絡が入る。意を決してサキの自宅を訪れた隼人は、サキに自分が“母を殺した"のだとついに告白する。すると、2つの内1つに毒の入ったワイングラスから、どちらかを選んで飲むように迫るサキ。選びもせずに幸せな人生を手に入れた隼人への、生死をかけた最後の復しゅうだった。隼人は、ついに、グラスを手に取り…。  　後日、サキが母親に宛てて書きつづった手紙が発見される。隼人は、なぜ狙われたのか?母の死と隼人たち5人の男の関係とは?そして、最後に明かされるサキの本心とは?すべての謎が明らかになる。</t>
  </si>
  <si>
    <t>1301_CX_木22</t>
  </si>
  <si>
    <t>最高の離婚</t>
  </si>
  <si>
    <t>番組名&lt;木曜劇場&gt;最高の離婚　#01</t>
  </si>
  <si>
    <t>濱崎光生(瑛太)は、自動販売機の設置会社で働く営業マン。神経質な性格の彼は、仕事も、人付き合いも、飲み会も辛く、実際、体のあちこちが調子悪かった。そんな光生にとって、実は何よりもつらいのは、妻・結夏(尾野真千子)の存在だ。結夏とは2年前に結婚した。光生の実家であるクリーニング店を引き継いで働いている結夏は、本人いわく、おおらかなタイプ。しかし、光生には、それがただガサツなだけにしか見えない。ゆえに、いまでは、結夏のことを愛しているのかどうかも分からなかった。ある日、光生は、食べるのを楽しみにしていたお菓子を結夏の友人たちに食べられてしまう。それがきっかけで口論になった光生と結夏は、勢いで離婚届をダウンロードして書く。別の日、光生は、得意先から草野球に駆り出される。その帰り、つまずいた拍子にバッグから転がり落ちたボールを拾おうとした光生は、ぎっくり腰になり、動けなくなってしまう。そんな光生が、必死の思いでたどり着いたのはアロママッサージ店だった。本来女性専用の店だったが、店のスタッフは、光生の状態を見かねて腰をマッサージしてくれた。そのスタッフとは、光生が大学時代に付き合っていた上原灯里(真木よう子)だった。灯里は、美大で助手をしている諒(綾野剛)と結婚し、最近、光生の家の近所に引っ越して自宅兼アロママッサージの店を開いていた。偶然の再会に、光生は、なんとなく浮かれてしまうが…【キャスト】  瑛太　  尾野真千子(Wヒロイン)　  真木よう子(Wヒロイン)　  綾野剛　    市川実和子　  松尾諭　  小野ゆり子　  芹那  　・　  八千草薫【脚本】  坂元裕二【プロデュース】  清水一幸　  浅野澄美(FCC)　    【アソシエイトプロデューサー】  若松央樹　    【演出】  宮本理江子　  並木道子　  加藤裕将瀬川英史フジテレビドラマ制作センター</t>
  </si>
  <si>
    <t>濱崎光生(瑛太)は、自動販売機の設置会社で働く営業マン。神経質な性格の彼は、仕事も、人付き合いも、飲み会も辛く、実際、体のあちこちが調子悪かった。そんな光生にとって、実は何よりもつらいのは、妻・結夏(尾野真千子)の存在だ。結夏とは2年前に結婚した。光生の実家であるクリーニング店を引き継いで働いている結夏は、本人いわく、おおらかなタイプ。しかし、光生には、それがただガサツなだけにしか見えない。ゆえに、いまでは、結夏のことを愛しているのかどうかも分からなかった。ある日、光生は、食べるのを楽しみにしていたお菓子を結夏の友人たちに食べられてしまう。それがきっかけで口論になった光生と結夏は、勢いで離婚届をダウンロードして書く。別の日、光生は、得意先から草野球に駆り出される。その帰り、つまずいた拍子にバッグから転がり落ちたボールを拾おうとした光生は、ぎっくり腰になり、動けなくなってしまう。そんな光生が、必死の思いでたどり着いたのはアロママッサージ店だった。本来女性専用の店だったが、店のスタッフは、光生の状態を見かねて腰をマッサージしてくれた。そのスタッフとは、光生が大学時代に付き合っていた上原灯里(真木よう子)だった。灯里は、美大で助手をしている諒(綾野剛)と結婚し、最近、光生の家の近所に引っ越して自宅兼アロママッサージの店を開いていた。偶然の再会に、光生は、なんとなく浮かれてしまうが…</t>
  </si>
  <si>
    <t>番組名&lt;木曜劇場&gt;最高の離婚　#02</t>
  </si>
  <si>
    <t>「あなたなんかもういらない…」妻・結夏(尾野真千子)に一方的に離婚届を出されてしまった濱崎光生(瑛太)は戸惑いが隠せない…。確かに自分も離婚したいと思っていた…。が、本当に別れることになるなんて…。結夏は、翌日富士宮市にある実家に戻ってしまう…。  　町で大学時代の恋人・灯里(真木よう子)の夫・上原諒(綾野剛)に偶然会う光生。以前、灯里に紹介されて一度会ったが、諒は光生のことを全く覚えていない…。それなのに人懐っこい諒は、どんどん光生に近づいてきて、祖母・亜以子(八千草薫)と姉・瀬田智世(市川実和子)が経営する“金魚カフェ"に連れていくハメに…。あっという間に店に馴染み亜以子のお気に入りになる諒。  　光生は姉・智世の助言で、結夏を迎えに富士宮市の結夏の実家を訪ねるが、そのまま親戚中の大宴会の輪に巻き込まれてしまう。夜、結夏から離婚届を出した決意を聞き、お互いの家族には時間をかけて離婚の説明をしようと決める。特に結夏が大のお気に入りの光生の祖母・亜以子に対しては慎重にと…。  　離婚しても別に良かったはずなのに…。ぽっかりと心に穴が開いたような気持ちになっている光生は、なぜかしら、諒がいろんな女性と親しげにしているシーンに遭遇してしまう。これを灯里は知っているのか?ついおせっかいな気持ちで、またちょっとの下心で灯里にそのことを告げてしまう光生。その時灯里から衝撃的な言葉を言い渡され…。【キャスト】  瑛太　  尾野真千子(Wヒロイン)　  真木よう子(Wヒロイン)　  綾野剛　    市川実和子　  松尾諭　  小野ゆり子　  芹那  　・　  八千草薫【脚本】  坂元裕二【プロデュース】  清水一幸　  浅野澄美(FCC)　    【アソシエイトプロデューサー】  若松央樹　    【演出】  宮本理江子　  並木道子　  加藤裕将瀬川英史　    【主題歌】  桑田佳祐「Yin　Yang(イヤン)」(タイシタレーベル/ビクター)フジテレビドラマ制作センター</t>
  </si>
  <si>
    <t>「あなたなんかもういらない…」妻・結夏(尾野真千子)に一方的に離婚届を出されてしまった濱崎光生(瑛太)は戸惑いが隠せない…。確かに自分も離婚したいと思っていた…。が、本当に別れることになるなんて…。結夏は、翌日富士宮市にある実家に戻ってしまう…。  　町で大学時代の恋人・灯里(真木よう子)の夫・上原諒(綾野剛)に偶然会う光生。以前、灯里に紹介されて一度会ったが、諒は光生のことを全く覚えていない…。それなのに人懐っこい諒は、どんどん光生に近づいてきて、祖母・亜以子(八千草薫)と姉・瀬田智世(市川実和子)が経営する“金魚カフェ"に連れていくハメに…。あっという間に店に馴染み亜以子のお気に入りになる諒。  　光生は姉・智世の助言で、結夏を迎えに富士宮市の結夏の実家を訪ねるが、そのまま親戚中の大宴会の輪に巻き込まれてしまう。夜、結夏から離婚届を出した決意を聞き、お互いの家族には時間をかけて離婚の説明をしようと決める。特に結夏が大のお気に入りの光生の祖母・亜以子に対しては慎重にと…。  　離婚しても別に良かったはずなのに…。ぽっかりと心に穴が開いたような気持ちになっている光生は、なぜかしら、諒がいろんな女性と親しげにしているシーンに遭遇してしまう。これを灯里は知っているのか?ついおせっかいな気持ちで、またちょっとの下心で灯里にそのことを告げてしまう光生。その時灯里から衝撃的な言葉を言い渡され…。</t>
  </si>
  <si>
    <t>番組名&lt;木曜劇場&gt;最高の離婚　#03</t>
  </si>
  <si>
    <t>濱崎光生(瑛太)は、かつての恋人・上原灯里(真木よう子)から、光生との間にはいい思い出なんかひとつもない、と言われ、呆然となる。一方、結夏(尾野真千子)は、友人に誘われて合コンに参加する。そこで結夏は、初島淳之介(窪田正孝)というフリーターや、年上のサラリーマン・大村圭輔(KEIJI)と知り合う。その夜、帰宅した光生と結夏は、すぐに嫌みの言い合いになる。そこで結夏は、同居している間のルールを決めようと光生に提案。「不満を口にしない」「恋愛の自由」といったルールを決める。そんな折、歯科医院を訪れた光生は、海野菜那(芹那)から、ソーシャル・ネットワーキング・サービスなどで連絡を取り合ってヨリを戻すカップルがいる、と聞く。菜那とともに携帯ショップを訪れ、スマートフォンを購入した光生は、さっそく有名なSNSのアカウントを作ってもらう。だが、灯里の名前を入力しても見つからなかった。光生は、試しに結夏の名前も菜那に入力してもらった。すると結夏は、ゴルフ練習場で練習している写真をリアルタイムでアップしていた。実は結夏は、大村と一緒だった。別の日、草野球の練習に駆り出された光生は、ボロボロになりながら祖母・亜以子(八千草薫)の店『金魚カフェ』を訪れる。店には、灯里の夫・諒(綾野剛)が来ていた。同じころ、結夏は、クリーニング店で亜以子とお茶をしていた。そこに、客として灯里がやってきて…。瑛太　  尾野真千子(Wヒロイン)　  真木よう子(Wヒロイン)　  綾野剛　    市川実和子　  松尾諭　  小野ゆり子　  芹那  　・　  八千草薫【脚本】  坂元裕二【プロデュース】  清水一幸　  浅野澄美(FCC)　    【アソシエイトプロデューサー】  若松央樹　    【演出】  宮本理江子　  並木道子　  加藤裕将瀬川英史　    【主題歌】  桑田佳祐「Yin　Yang(イヤン)」(タイシタレーベル/ビクター)フジテレビドラマ制作センター</t>
  </si>
  <si>
    <t>濱崎光生(瑛太)は、かつての恋人・上原灯里(真木よう子)から、光生との間にはいい思い出なんかひとつもない、と言われ、呆然となる。一方、結夏(尾野真千子)は、友人に誘われて合コンに参加する。そこで結夏は、初島淳之介(窪田正孝)というフリーターや、年上のサラリーマン・大村圭輔(KEIJI)と知り合う。その夜、帰宅した光生と結夏は、すぐに嫌みの言い合いになる。そこで結夏は、同居している間のルールを決めようと光生に提案。「不満を口にしない」「恋愛の自由」といったルールを決める。そんな折、歯科医院を訪れた光生は、海野菜那(芹那)から、ソーシャル・ネットワーキング・サービスなどで連絡を取り合ってヨリを戻すカップルがいる、と聞く。菜那とともに携帯ショップを訪れ、スマートフォンを購入した光生は、さっそく有名なSNSのアカウントを作ってもらう。だが、灯里の名前を入力しても見つからなかった。光生は、試しに結夏の名前も菜那に入力してもらった。すると結夏は、ゴルフ練習場で練習している写真をリアルタイムでアップしていた。実は結夏は、大村と一緒だった。別の日、草野球の練習に駆り出された光生は、ボロボロになりながら祖母・亜以子(八千草薫)の店『金魚カフェ』を訪れる。店には、灯里の夫・諒(綾野剛)が来ていた。同じころ、結夏は、クリーニング店で亜以子とお茶をしていた。そこに、客として灯里がやってきて…。</t>
  </si>
  <si>
    <t>番組名&lt;木曜劇場&gt;最高の離婚　#04</t>
  </si>
  <si>
    <t>濱崎光生(瑛太)は、上原諒(綾野剛)と灯里(真木よう子)がまだ婚姻届を出していないことを知る。同じころ、結夏(尾野真千子)は、合コンで知り合った淳之介(窪田正孝)とお互いに静岡県出身ということで意気投合し飲んでいた。が、翌朝目を覚ました結夏はがく然となる。なんとそこは、淳之介の家だった…。  　一方、上原家では、ガールフレンドとホテルに泊まり朝帰りした諒が、「好きなものを選んで」と灯里に温泉旅行のパンフレットを手渡す。灯里はうれしそうに「ありがとう」と答えたが…。  　いろいろな悩みが重なり、光生はなんと“円形脱毛症"になってしまう。食事を作る気もしない光生は、夕飯をとろうと亜以子(八千草薫)の店『金魚カフェ』を訪ねて諒に出会う。光生が「なぜ婚姻届を出さなかったのか?」と諒を問い詰めると、諒は婚姻届をカバンから取り出し光生に見せる。婚姻届の日付は2012年11月11日…。その日、諒は、灯里が熱を出してしまったため、ひとりで区役所に向かい、休日受付の窓口を探していたが、知り合いから「犬が迷子になったから一緒に探してほしい」と電話があり、結局そちらに行ってしまったらしい。光生が諒の話を理解できないでいると、店に灯里が入ってきた!!光生は、とっさに持っていた婚姻届を懐に隠し…。  　同じ夜、結夏は亜以子とプロレスを見に行っていた。試合観戦が終わったら離婚のことを伝えると言うが…。瑛太　  尾野真千子(Wヒロイン)　  真木よう子(Wヒロイン)　  綾野剛　    市川実和子　  松尾諭　  小野ゆり子　  芹那  　・　  八千草薫【脚本】  坂元裕二【プロデュース】  清水一幸　  浅野澄美(FCC)　  若松央樹　    【演出】  宮本理江子　  並木道子　  加藤裕将瀬川英史　    【主題歌】  桑田佳祐「Yin　Yang(イヤン)」(タイシタレーベル/ビクター)フジテレビドラマ制作センター</t>
  </si>
  <si>
    <t>濱崎光生(瑛太)は、上原諒(綾野剛)と灯里(真木よう子)がまだ婚姻届を出していないことを知る。同じころ、結夏(尾野真千子)は、合コンで知り合った淳之介(窪田正孝)とお互いに静岡県出身ということで意気投合し飲んでいた。が、翌朝目を覚ました結夏はがく然となる。なんとそこは、淳之介の家だった…。  　一方、上原家では、ガールフレンドとホテルに泊まり朝帰りした諒が、「好きなものを選んで」と灯里に温泉旅行のパンフレットを手渡す。灯里はうれしそうに「ありがとう」と答えたが…。  　いろいろな悩みが重なり、光生はなんと“円形脱毛症"になってしまう。食事を作る気もしない光生は、夕飯をとろうと亜以子(八千草薫)の店『金魚カフェ』を訪ねて諒に出会う。光生が「なぜ婚姻届を出さなかったのか?」と諒を問い詰めると、諒は婚姻届をカバンから取り出し光生に見せる。婚姻届の日付は2012年11月11日…。その日、諒は、灯里が熱を出してしまったため、ひとりで区役所に向かい、休日受付の窓口を探していたが、知り合いから「犬が迷子になったから一緒に探してほしい」と電話があり、結局そちらに行ってしまったらしい。光生が諒の話を理解できないでいると、店に灯里が入ってきた!!光生は、とっさに持っていた婚姻届を懐に隠し…。  　同じ夜、結夏は亜以子とプロレスを見に行っていた。試合観戦が終わったら離婚のことを伝えると言うが…。</t>
  </si>
  <si>
    <t>番組名&lt;木曜劇場&gt;最高の離婚　#05</t>
  </si>
  <si>
    <t>灯里(真木よう子)と諒(綾野剛)は正式な夫婦ではなかった…。未提出の、諒と自分の婚姻届を見てしまった灯里は呆然自失?な感じで結夏(尾野真千子)とカラオケに行く。一方、結夏の後を追った光生(瑛太)は、灯里を探していた諒と合流する。カラオケ店の前で結夏たちがナンパされているのを目撃した光生は、それを止めようとして、凍った地面で転倒してしまい無残にも肋骨を折り病院に運ばれてしまう。病院では、お見舞いに 来た菜那(芹那)と結夏が鉢合わせて微妙な空気に。一方結夏も合コンで知り合った淳之介(窪田正孝)とまた居酒屋デート。こちらは淳之介が結夏に本気モードな気配!　退院後、祖母・亜以子(八千草薫)が経営する『金魚カフェ』を訪れた光生は、店に現れた諒に「婚姻届の件はどうなったのか?」と尋ねたが、灯里は諒に何も言ってこないのだという。ほどなく店にやってきた亜以子は、骨折に効くという熱海の温泉旅館を光生に 勧める。その話を聞いた諒は、「灯里と温泉に行こうと話していた」と言い出し、何故か一緒に行くことになってしまう。　旅行当日、光生たちは、車で熱海へと向かった。灯里と一緒に温泉に入った結夏は、「ちゃんと婚姻届を出した方がいい」と言う。しかし灯里は「好きだからこのままでも幸せなんだ」とこたえる。その夜、諒は幾度も灯里に謝り、「もう一度婚姻届を書いてほしい」と灯里に頼む。灯里は、その申し出に喜ぶが…。 瑛太　尾野真千子(Wヒロイン)　真木よう子(Wヒロイン)　綾野剛　市川実和子　松尾諭　小野ゆり子　芹那　窪田正孝　・　八千草薫 【脚本】坂元裕二 【プロデュース】清水一幸　浅野澄美(FCC)　若松央樹　【演出】宮本理江子　並木道子　加藤裕将 瀬川英史　【主題歌】桑田佳祐「Yin　Yang(イヤン)」(タイシタレーベル/ビクター) フジテレビドラマ制作センター</t>
  </si>
  <si>
    <t xml:space="preserve">灯里(真木よう子)と諒(綾野剛)は正式な夫婦ではなかった…。未提出の、諒と自分の婚姻届を見てしまった灯里は呆然自失?な感じで結夏(尾野真千子)とカラオケに行く。一方、結夏の後を追った光生(瑛太)は、灯里を探していた諒と合流する。カラオケ店の前で結夏たちがナンパされているのを目撃した光生は、それを止めようとして、凍った地面で転倒してしまい無残にも肋骨を折り病院に運ばれてしまう。病院では、お見舞いに 来た菜那(芹那)と結夏が鉢合わせて微妙な空気に。一方結夏も合コンで知り合った淳之介(窪田正孝)とまた居酒屋デート。こちらは淳之介が結夏に本気モードな気配!　退院後、祖母・亜以子(八千草薫)が経営する『金魚カフェ』を訪れた光生は、店に現れた諒に「婚姻届の件はどうなったのか?」と尋ねたが、灯里は諒に何も言ってこないのだという。ほどなく店にやってきた亜以子は、骨折に効くという熱海の温泉旅館を光生に 勧める。その話を聞いた諒は、「灯里と温泉に行こうと話していた」と言い出し、何故か一緒に行くことになってしまう。　旅行当日、光生たちは、車で熱海へと向かった。灯里と一緒に温泉に入った結夏は、「ちゃんと婚姻届を出した方がいい」と言う。しかし灯里は「好きだからこのままでも幸せなんだ」とこたえる。その夜、諒は幾度も灯里に謝り、「もう一度婚姻届を書いてほしい」と灯里に頼む。灯里は、その申し出に喜ぶが…。 </t>
  </si>
  <si>
    <t>番組名&lt;木曜劇場&gt;最高の離婚　#06</t>
  </si>
  <si>
    <t>光生(瑛太)と結夏(尾野真千子)は、婚姻届を出すことになった灯里(真木よう子)と諒(綾野剛)が来るのを待っていた。だが、2人はなぜか姿を見せず連絡もしてこない…。光生はソファーで眠ってしまい風邪をひき、なんとか出勤したところ、ジョギング中の灯里に出会う。「婚姻届をまだ出していないのか?」と灯里に尋ねると、灯里はうなずいてそれを認めたものの、それ以上は何も話さずに立ち去る。　仕事を終えた光生が帰宅すると、結夏も熱を出して寝込んでいた。「明日、クリーニング店を開けられない」と結夏が困っていると、淳之介(窪田正孝)から電話が入り結夏は、淳之介に店番を頼むことに。  　その夜、結夏は、仕事を終えた淳之介を夕食に誘う。食事中、気を遣って話しかけてくる淳之介に対して、いちいちひねくれた返答をする光生に結夏は呆れ「知識があることより、素直でまっすぐ生きている淳之介の方が周りを幸せにできる」と言い放つ。  　翌朝、体調が戻った結夏が開店の準備をしていると、淳之介がやってくる。淳之介は、濱崎家で食事した後、そのままコンビニのアルバイトに行ったらしい。結夏は「そのままバイクで帰ったら危ない」と言って淳之介を家に上げ、ベッドで寝るように言うと、自分はシャワーを浴びる。そこに、結夏への差し入れを持った亜以子(八千草薫)が訪ねてきて…。瑛太　  尾野真千子(Wヒロイン)　  真木よう子(Wヒロイン)　  綾野剛　    市川実和子　  松尾諭　  芹那　    窪田正孝　  遊井亮子　  宮根誠司  　・　  八千草薫【脚本】  坂元裕二【プロデュース】  清水一幸　  浅野澄美(FCC)　  若松央樹　    【演出】  宮本理江子　  並木道子　  加藤裕将瀬川英史　    【主題歌】  桑田佳祐「Yin　Yang(イヤン)」(タイシタレーベル/ビクター)フジテレビドラマ制作センター</t>
  </si>
  <si>
    <t>光生(瑛太)と結夏(尾野真千子)は、婚姻届を出すことになった灯里(真木よう子)と諒(綾野剛)が来るのを待っていた。だが、2人はなぜか姿を見せず連絡もしてこない…。光生はソファーで眠ってしまい風邪をひき、なんとか出勤したところ、ジョギング中の灯里に出会う。「婚姻届をまだ出していないのか?」と灯里に尋ねると、灯里はうなずいてそれを認めたものの、それ以上は何も話さずに立ち去る。　仕事を終えた光生が帰宅すると、結夏も熱を出して寝込んでいた。「明日、クリーニング店を開けられない」と結夏が困っていると、淳之介(窪田正孝)から電話が入り結夏は、淳之介に店番を頼むことに。  　その夜、結夏は、仕事を終えた淳之介を夕食に誘う。食事中、気を遣って話しかけてくる淳之介に対して、いちいちひねくれた返答をする光生に結夏は呆れ「知識があることより、素直でまっすぐ生きている淳之介の方が周りを幸せにできる」と言い放つ。  　翌朝、体調が戻った結夏が開店の準備をしていると、淳之介がやってくる。淳之介は、濱崎家で食事した後、そのままコンビニのアルバイトに行ったらしい。結夏は「そのままバイクで帰ったら危ない」と言って淳之介を家に上げ、ベッドで寝るように言うと、自分はシャワーを浴びる。そこに、結夏への差し入れを持った亜以子(八千草薫)が訪ねてきて…。</t>
  </si>
  <si>
    <t>番組名&lt;木曜劇場&gt;最高の離婚　#07</t>
  </si>
  <si>
    <t>ある朝、結夏(尾野真千子)は、淳之介(窪田正孝)と一緒にいるところを亜以子(八千草薫)に見られて誤解されたことを光生(瑛太)に打ち明ける。隠すのはもう限界だと感じた結夏は、光生とともに亜以子を訪ね、離婚したことを正直に話した。すると亜以子は、「自分が離婚したときは誰からも許してもらえなかったが、いまはその気持ちが分かる」と返し、「離婚なんて絶対に認めない」と言い放つ。 　翌日、結夏がクリーニング店の仕事を始めようとすると、パートの矢萩(宮地雅子)から、本社から男性店員が来たから大丈夫だと言われる。仕方なく金魚カフェをのぞいた結夏は、亜以子から声をかけられる。白髪染めを手伝ってほしいというのだ。亜以子は、作業をしている結夏に「早く気づいてあげれば良かった」と言って謝る。涙があふれる結夏…。亜以子は、そんな結夏に「もう一度だけ考え直せないか」と尋ねる。 　一方、光生は、灯里(真木よう子)と関係を修復できず、家に帰れずにいる諒(綾野剛)から呼び出される。諒は、ネットカフェで寝泊まりしていた。その姿を見た光生は、諒を連れて灯里に会いに行く。灯里は、お節介な光生に対して怒っていた。それでも灯里は、諒とふたりで借りた部屋なのだから家に入れないのは良くないと思い直し、準備が整うまでは割り切ってやっていこうと諒に告げるが…。 瑛太　尾野真千子(Wヒロイン)　真木よう子(Wヒロイン)　綾野剛　市川実和子　松尾諭　宮地雅子　窪田正孝　・　八千草薫 【脚本】坂元裕二 【プロデュース】清水一幸　浅野澄美(FCC)　若松央樹　【演出】宮本理江子　並木道子　加藤裕将 瀬川英史　【主題歌】桑田佳祐「Yin　Yang(イヤン)」(タイシタレーベル/ビクター) フジテレビドラマ制作センター</t>
  </si>
  <si>
    <t xml:space="preserve">ある朝、結夏(尾野真千子)は、淳之介(窪田正孝)と一緒にいるところを亜以子(八千草薫)に見られて誤解されたことを光生(瑛太)に打ち明ける。隠すのはもう限界だと感じた結夏は、光生とともに亜以子を訪ね、離婚したことを正直に話した。すると亜以子は、「自分が離婚したときは誰からも許してもらえなかったが、いまはその気持ちが分かる」と返し、「離婚なんて絶対に認めない」と言い放つ。 　翌日、結夏がクリーニング店の仕事を始めようとすると、パートの矢萩(宮地雅子)から、本社から男性店員が来たから大丈夫だと言われる。仕方なく金魚カフェをのぞいた結夏は、亜以子から声をかけられる。白髪染めを手伝ってほしいというのだ。亜以子は、作業をしている結夏に「早く気づいてあげれば良かった」と言って謝る。涙があふれる結夏…。亜以子は、そんな結夏に「もう一度だけ考え直せないか」と尋ねる。 　一方、光生は、灯里(真木よう子)と関係を修復できず、家に帰れずにいる諒(綾野剛)から呼び出される。諒は、ネットカフェで寝泊まりしていた。その姿を見た光生は、諒を連れて灯里に会いに行く。灯里は、お節介な光生に対して怒っていた。それでも灯里は、諒とふたりで借りた部屋なのだから家に入れないのは良くないと思い直し、準備が整うまでは割り切ってやっていこうと諒に告げるが…。 </t>
  </si>
  <si>
    <t>番組名&lt;木曜劇場&gt;最高の離婚　#08</t>
  </si>
  <si>
    <t>光生(瑛太)の前から結夏(尾野真千子)が姿を消した。帰宅した光生は、結夏の荷物がなくなっていることに気づき、動揺する。そこに諒(綾野剛)が訪ねてきた。しばらく泊めてほしいのだという。光生は、困惑しながらも、諒を追い返すことはできなかった。あくる日、仕事を終えた光生が帰宅すると、諒が夕食の準備をしていた。するとそこに、結夏の父・健彦(ガッツ石松)が訪ねてくる。健彦は、葬儀のために上京し、その帰りに 立ち寄ったのだ。光生が結夏のことを言い出せないでいると、健彦は夫婦ゲンカで家出したのだろうと勝手に思い込む。　翌日、光生は、健彦に頼まれてスカイツリー観光に出掛ける。その帰り道、これ以上隠し続けることが辛くなった光生は、結夏と離婚したことを正直に打ち明ける。別の日、クリーニング店に灯里(真木よう子)がやってくる。光生は、家に諒がいることを伝え、彼女を祖母・亜以子(八千草薫)の店『金魚カフェ』に 誘った。そこで灯里は、光生に励まされたおかげで諒のことはふっきれた、と伝える。灯里が帰った後、光生が会計をしていると、亜以子が出掛けて行った。が、亜以子は、姉・智世(市川実和子)たちにも行き先を教えていないのだという。不審に思った光生は、亜以子の後を追った。すると亜以子は、プロレスの興行が行われる会場で結夏と待ち合わせをしており…。 瑛太　尾野真千子(Wヒロイン)　真木よう子(Wヒロイン)　綾野剛　市川実和子　松尾諭　芹那　宮地雅子　ガッツ石松　・　八千草薫 【脚本】坂元裕二 【プロデュース】清水一幸　浅野澄美(FCC)　若松央樹　【演出】宮本理江子　並木道子　加藤裕将 瀬川英史　【主題歌】桑田佳祐「Yin　Yang(イヤン)」(タイシタレーベル/ビクター) フジテレビドラマ制作センター</t>
  </si>
  <si>
    <t xml:space="preserve">光生(瑛太)の前から結夏(尾野真千子)が姿を消した。帰宅した光生は、結夏の荷物がなくなっていることに気づき、動揺する。そこに諒(綾野剛)が訪ねてきた。しばらく泊めてほしいのだという。光生は、困惑しながらも、諒を追い返すことはできなかった。あくる日、仕事を終えた光生が帰宅すると、諒が夕食の準備をしていた。するとそこに、結夏の父・健彦(ガッツ石松)が訪ねてくる。健彦は、葬儀のために上京し、その帰りに 立ち寄ったのだ。光生が結夏のことを言い出せないでいると、健彦は夫婦ゲンカで家出したのだろうと勝手に思い込む。　翌日、光生は、健彦に頼まれてスカイツリー観光に出掛ける。その帰り道、これ以上隠し続けることが辛くなった光生は、結夏と離婚したことを正直に打ち明ける。別の日、クリーニング店に灯里(真木よう子)がやってくる。光生は、家に諒がいることを伝え、彼女を祖母・亜以子(八千草薫)の店『金魚カフェ』に 誘った。そこで灯里は、光生に励まされたおかげで諒のことはふっきれた、と伝える。灯里が帰った後、光生が会計をしていると、亜以子が出掛けて行った。が、亜以子は、姉・智世(市川実和子)たちにも行き先を教えていないのだという。不審に思った光生は、亜以子の後を追った。すると亜以子は、プロレスの興行が行われる会場で結夏と待ち合わせをしており…。 </t>
  </si>
  <si>
    <t>番組名&lt;木曜劇場&gt;最高の離婚　#09</t>
  </si>
  <si>
    <t>光生(瑛太)は、灯里(真木よう子)から「寂しくてたまらないのでとりあえず1回寝てみよう」と誘われるが、そんな灯里に「今度は昼間に会って競馬場に行こう」と返す。一方、結夏(尾野真千子)は、諒(綾野剛)と飲みに行き、彼にキスをする。実は結夏はひどく酔っていて、キスしたことなどまったく覚えていなかった。  　ある日、光生は灯里とのデートに備えて代官山のヘアサロンで髪をカットし、洋服を買った。その帰り、祖母・亜以子(八千草薫)の店「金魚カフェ」に立ち寄った光生は、結夏と諒に出会う。結夏たちから髪型のことをからかわれた光生は「異性を意識してイメージチェンジしたのではない」とうっかり言ってしまう。  　別の日、光生は灯里を誘って競馬場に出かけた。同じころ、結夏は「金魚カフェ」で淳之介(窪田正孝)と会う。そこで淳之介は、結夏がキス魔だと指摘する。するとそこに、諒がやってきた。結夏は、諒からキスのことを聞き、自己嫌悪に陥ってしまう。競馬場を後にした光生と灯里は、灯里の家で夕飯をともにする約束をして別れる。スーパーマーケットまでビールとつまみを買いに行った結夏は、夕飯の買い物をしている灯里と出会い、諒とキスしてしまったことを打ち明けた。しかし灯里は「別れた相手だから」と返す。その後、灯里と一緒にレジに並んだ結夏は、彼女がポイントカードを探している際に、馬券を持っていることに気づき…。瑛太　  尾野真千子(Wヒロイン)　  真木よう子(Wヒロイン)　  綾野剛　    市川実和子　  松尾諭　  芹那　  窪田正孝  　・　  八千草薫【脚本】  坂元裕二【プロデュース】  清水一幸　  浅野澄美(FCC)　  若松央樹　    【演出】  宮本理江子　  並木道子　  加藤裕将　  宮脇亮瀬川英史　    【主題歌】  桑田佳祐「Yin　Yang(イヤン)」(タイシタレーベル/ビクター)フジテレビドラマ制作センター</t>
  </si>
  <si>
    <t>光生(瑛太)は、灯里(真木よう子)から「寂しくてたまらないのでとりあえず1回寝てみよう」と誘われるが、そんな灯里に「今度は昼間に会って競馬場に行こう」と返す。一方、結夏(尾野真千子)は、諒(綾野剛)と飲みに行き、彼にキスをする。実は結夏はひどく酔っていて、キスしたことなどまったく覚えていなかった。  　ある日、光生は灯里とのデートに備えて代官山のヘアサロンで髪をカットし、洋服を買った。その帰り、祖母・亜以子(八千草薫)の店「金魚カフェ」に立ち寄った光生は、結夏と諒に出会う。結夏たちから髪型のことをからかわれた光生は「異性を意識してイメージチェンジしたのではない」とうっかり言ってしまう。  　別の日、光生は灯里を誘って競馬場に出かけた。同じころ、結夏は「金魚カフェ」で淳之介(窪田正孝)と会う。そこで淳之介は、結夏がキス魔だと指摘する。するとそこに、諒がやってきた。結夏は、諒からキスのことを聞き、自己嫌悪に陥ってしまう。競馬場を後にした光生と灯里は、灯里の家で夕飯をともにする約束をして別れる。スーパーマーケットまでビールとつまみを買いに行った結夏は、夕飯の買い物をしている灯里と出会い、諒とキスしてしまったことを打ち明けた。しかし灯里は「別れた相手だから」と返す。その後、灯里と一緒にレジに並んだ結夏は、彼女がポイントカードを探している際に、馬券を持っていることに気づき…。</t>
  </si>
  <si>
    <t>番組名&lt;木曜劇場&gt;最高の離婚　#10</t>
  </si>
  <si>
    <t>光生(瑛太)は、灯里(真木よう子)が妊娠していることを知る。結夏(尾野真千子)に連絡を取った光生は、灯里の件を打ち明けた。すると結夏は、光生がその子どもの父親になれば丸く収まる、と言い出す。光生は、そんな結夏の言葉に反発した。子どもはいらないと言って結夏を悲しませたことを後悔している光生は、そんなことをしたら結夏を傷つけるだけだし、自分自身も望んでいない、と声を荒げた。あくる日、人材派遣会社の面接に出掛けた結夏は、その帰り道に都並(佐藤祐基)というスカウトマンらしき男から声をかけられる。都並は、結夏に人妻もののDVDを見せ、出演1本なら300万円、3本契約なら1千万円のギャラを出す、と告げる。一方、光生は諒(綾野剛)に連絡を取り、彼に会いに行く。諒は、若い女の子たちとカラオケを楽しんでいた。そこで光生は、灯里のことに触れようとしたものの、諒とケンカになってしまい結局言い出せなかった。その帰り、家の近くで灯里と出会った光生は、彼女を家に招く。灯里は、嘘をつかない人と一緒にいるとホッとする、と言って光生のことをほめた。続けて灯里は、子どもを産んで育てることにした、と光生に告げる。別の日、光生は、諒が勤務している美術大学を訪れる。そこで千尋(小野ゆり子)に出会った光生は、諒が酒に酔って3階の窓から落ち、入院したことを知る。病院を訪れた光生は、灯里が妊娠していることを諒に告げるが…。瑛太　  尾野真千子(Wヒロイン)　  真木よう子(Wヒロイン)　  綾野剛　    市川実和子　  松尾諭　  小野ゆり子  　・　  八千草薫【脚本】  坂元裕二【プロデュース】  清水一幸　  浅野澄美(FCC)　  若松央樹　    【演出】  宮本理江子　  並木道子　  加藤裕将　  宮脇亮瀬川英史　    【主題歌】  桑田佳祐「Yin　Yang(イヤン)」(タイシタレーベル/ビクター)フジテレビドラマ制作センター</t>
  </si>
  <si>
    <t>光生(瑛太)は、灯里(真木よう子)が妊娠していることを知る。結夏(尾野真千子)に連絡を取った光生は、灯里の件を打ち明けた。すると結夏は、光生がその子どもの父親になれば丸く収まる、と言い出す。光生は、そんな結夏の言葉に反発した。子どもはいらないと言って結夏を悲しませたことを後悔している光生は、そんなことをしたら結夏を傷つけるだけだし、自分自身も望んでいない、と声を荒げた。あくる日、人材派遣会社の面接に出掛けた結夏は、その帰り道に都並(佐藤祐基)というスカウトマンらしき男から声をかけられる。都並は、結夏に人妻もののDVDを見せ、出演1本なら300万円、3本契約なら1千万円のギャラを出す、と告げる。一方、光生は諒(綾野剛)に連絡を取り、彼に会いに行く。諒は、若い女の子たちとカラオケを楽しんでいた。そこで光生は、灯里のことに触れようとしたものの、諒とケンカになってしまい結局言い出せなかった。その帰り、家の近くで灯里と出会った光生は、彼女を家に招く。灯里は、嘘をつかない人と一緒にいるとホッとする、と言って光生のことをほめた。続けて灯里は、子どもを産んで育てることにした、と光生に告げる。別の日、光生は、諒が勤務している美術大学を訪れる。そこで千尋(小野ゆり子)に出会った光生は、諒が酒に酔って3階の窓から落ち、入院したことを知る。病院を訪れた光生は、灯里が妊娠していることを諒に告げるが…。</t>
  </si>
  <si>
    <t>番組名&lt;木曜劇場&gt;最高の離婚　#11</t>
  </si>
  <si>
    <t>光生(瑛太)は、付き合いで参加したことがきっかけで、アキバ系アイドルにすっかりハマってしまう。彼女たちのライブの帰り、「金魚カフェ」に立ち寄った光生は、河口湖の近くで暮らしている父・修一(山崎一)が、明日、亜以子(八千草薫)を迎えにくることを知る。姉の智世(市川実和子)は、そのときに離婚したことを修一に報告するよう光生に告げた。  　帰宅した光生は、猫のマチルダとはっさくが開いていた窓から外に出ていってしまったことを知り、がく然となる。探しに出た光生は、「金魚カフェ」にも立ち寄った。するとそこにはなぜか結夏(尾野真千子)の姿が。結夏は、光生とともにマチルダたちを必死に探す。同じころ、灯里(真木よう子)と諒(綾野剛)は婚姻届を書いていた。そこにやってきた光生たちは、事情を話し、一緒に探してほしいと2人に頼む。4人は近所を探し回ったが、結局マチルダたちは見つからなかった。  　結夏とともに家に戻った光生は、ひどく落ち込んでいる彼女を気遣う。しかし結夏は、明日約束があるからもう帰ると言う。結夏の様子がおかしいことに気づき、引きとめる光生は、結夏の口から人妻モノのDVDの面接に行くことを知る。結夏に対する正直な思いを伝え、結夏を説得する光生…。あくる日、「金魚カフェ」に修一がやってくる。光生たちが離婚したことを知った修一は、いまから結夏の実家に行って両家揃っての家族会議を開くと言い出し…。瑛太　  尾野真千子(Wヒロイン)　  真木よう子(Wヒロイン)　  綾野剛　    市川実和子　  松尾諭　  芹那　    宮地雅子　  窪田正孝　    山崎一　  浅茅陽子　  ガッツ石松　  大島蓉子  　・　  八千草薫【脚本】  坂元裕二【プロデュース】  清水一幸　  浅野澄美(FCC)　  若松央樹　    【演出】  宮本理江子　  並木道子　  加藤裕将　  宮脇亮瀬川英史　    【主題歌】  桑田佳祐「Yin　Yang(イヤン)」(タイシタレーベル/ビクター)フジテレビドラマ制作センター</t>
  </si>
  <si>
    <t>光生(瑛太)は、付き合いで参加したことがきっかけで、アキバ系アイドルにすっかりハマってしまう。彼女たちのライブの帰り、「金魚カフェ」に立ち寄った光生は、河口湖の近くで暮らしている父・修一(山崎一)が、明日、亜以子(八千草薫)を迎えにくることを知る。姉の智世(市川実和子)は、そのときに離婚したことを修一に報告するよう光生に告げた。  　帰宅した光生は、猫のマチルダとはっさくが開いていた窓から外に出ていってしまったことを知り、がく然となる。探しに出た光生は、「金魚カフェ」にも立ち寄った。するとそこにはなぜか結夏(尾野真千子)の姿が。結夏は、光生とともにマチルダたちを必死に探す。同じころ、灯里(真木よう子)と諒(綾野剛)は婚姻届を書いていた。そこにやってきた光生たちは、事情を話し、一緒に探してほしいと2人に頼む。4人は近所を探し回ったが、結局マチルダたちは見つからなかった。  　結夏とともに家に戻った光生は、ひどく落ち込んでいる彼女を気遣う。しかし結夏は、明日約束があるからもう帰ると言う。結夏の様子がおかしいことに気づき、引きとめる光生は、結夏の口から人妻モノのDVDの面接に行くことを知る。結夏に対する正直な思いを伝え、結夏を説得する光生…。あくる日、「金魚カフェ」に修一がやってくる。光生たちが離婚したことを知った修一は、いまから結夏の実家に行って両家揃っての家族会議を開くと言い出し…。</t>
  </si>
  <si>
    <t>1301_CX_土23</t>
  </si>
  <si>
    <t>カラマーゾフの兄弟</t>
  </si>
  <si>
    <t>番組名&lt;土ドラ&gt;カラマーゾフの兄弟　#01</t>
  </si>
  <si>
    <t>黒澤家当主・黒澤文蔵(吉田鋼太郎)は、海沿いの町・烏目町一帯に多くの土地を持ち“クロサワ"という会社名で不動産業と建設業を営んでいた。町の経済は“クロサワ"中心に回っており、町内で文蔵に盾突く者はほとんどいなかったが、文蔵のビジネスは利益最優先の自己中心的な取引ばかりで恨みを買うことも多く、文蔵は“クロサワの酒好き、金好き、女好き…"と町中で揶揄されていた。  　その文蔵には3人の息子がいた。前妻・梓との間に生まれた長男・満(斎藤工)と、梓が文蔵に愛想を尽かして出ていった後に結婚した詩織(安藤サクラ)との間に生まれた次男・勲(市原隼人)と三男・涼(林遣都)。長男・満は失業中の身で借金も抱えていたが、遠藤加奈子(高梨臨)と同棲しながらヒモのような生活をしていた。次男・勲は東京の一流大学法学部、法科大学院を卒業後、司法試験にも一発で合格して東京の法律事務所で働いていた。三男・涼は医大生で、寮で暮らしながら精神科医の道を目指していた。  　そんなある日、文蔵が自宅の寝室で殺されているのが発見される。死体はなぜか奇妙な形をしていた…。間もなくして3兄弟は“文蔵殺し"の容疑者として連行され、刑事(滝藤賢一)から取り調べを受けることになる。刑事は、3兄弟それぞれに父・文蔵を殺す動機があることをつかんでいた。それは文蔵が殺される2週間ほど前、黒澤家で開催された家族会議が発端だった…。黒澤勲:　市原隼人　    黒澤満:　斎藤工　    黒澤涼:　林遣都　    遠藤加奈子:　高梨臨　    末松進:　松下洸平　    小栗晃一:　渡辺憲吉　    黒澤詩織:　安藤サクラ　    園田志朗:　小野寺昭　    吉岡久留美:　芳賀優里亜　    刑事:　滝藤賢一　    黒澤文蔵:　吉田鋼太郎　    ほか  【企画】  佐藤未郷　    【脚本】  旺季志ずか【演出】  都築淳一　  佐藤源太　  村上正典　    【プロデュース】  森安彩羽深由理フジテレビ　    【制作著作】  共同テレビ</t>
  </si>
  <si>
    <t>黒澤家当主・黒澤文蔵(吉田鋼太郎)は、海沿いの町・烏目町一帯に多くの土地を持ち“クロサワ"という会社名で不動産業と建設業を営んでいた。町の経済は“クロサワ"中心に回っており、町内で文蔵に盾突く者はほとんどいなかったが、文蔵のビジネスは利益最優先の自己中心的な取引ばかりで恨みを買うことも多く、文蔵は“クロサワの酒好き、金好き、女好き…"と町中で揶揄されていた。  　その文蔵には3人の息子がいた。前妻・梓との間に生まれた長男・満(斎藤工)と、梓が文蔵に愛想を尽かして出ていった後に結婚した詩織(安藤サクラ)との間に生まれた次男・勲(市原隼人)と三男・涼(林遣都)。長男・満は失業中の身で借金も抱えていたが、遠藤加奈子(高梨臨)と同棲しながらヒモのような生活をしていた。次男・勲は東京の一流大学法学部、法科大学院を卒業後、司法試験にも一発で合格して東京の法律事務所で働いていた。三男・涼は医大生で、寮で暮らしながら精神科医の道を目指していた。  　そんなある日、文蔵が自宅の寝室で殺されているのが発見される。死体はなぜか奇妙な形をしていた…。間もなくして3兄弟は“文蔵殺し"の容疑者として連行され、刑事(滝藤賢一)から取り調べを受けることになる。刑事は、3兄弟それぞれに父・文蔵を殺す動機があることをつかんでいた。それは文蔵が殺される2週間ほど前、黒澤家で開催された家族会議が発端だった…。</t>
  </si>
  <si>
    <t>番組名&lt;土ドラ&gt;カラマーゾフの兄弟　#02</t>
  </si>
  <si>
    <t>「家族会議がある」と呼び出され、久しぶりに黒澤邸に戻って来た次男・勲(市原隼人)だったが、相変わらずの父・文蔵(吉田鋼太郎)の横暴ぶりに嫌気がさしていた。  　朝食後、東京に帰ろうとしていた勲だったが、勲の了解なしに、勤務先である弁護士事務所に休暇を取る連絡をした、と文蔵から聞かされる。これで心置きなく俺のために働けるだろうと、文蔵は勲に言い放つ。　文蔵は取引のある下請け会社、杉卓工務店とトラブルになっていて、勲の力を借りようとしていた。勲は弁護士を目指すために上京する前、学費と生活費を文蔵に借金しており、利子付きの借用書も書いた上に、将来自分が弁護士になった際には文蔵の力になることも約束していたため、何も反論できないでいた。　勲は地元の海岸で、今は兄・満(斎藤工)の恋人である大学の同級生・遠藤加奈子(高梨臨)と久しぶりに再会した。勲は、加奈子と満の仲がうまくいってないのではと心配していたが、加奈子から満とはうまく付き合っている、と聞かされ複雑な心境になった。  　ある夜、勲が黒澤邸大広間に降りてくると、文蔵が女と酒を飲んでいた。その女の顔を見た勲は驚愕する・・・。黒澤勲:　市原隼人　    黒澤満:　斎藤工　    黒澤涼:　林遣都　    遠藤加奈子:　高梨臨　    末松進:　松下洸平　    小栗晃一:　渡辺憲吉　    黒澤詩織:　安藤サクラ　    園田志朗:　小野寺昭　    吉岡久留美:　芳賀優里亜　    刑事:　滝藤賢一　    黒澤文蔵:　吉田鋼太郎　    ほか【企画】  佐藤未郷　    【脚本】  旺季志ずか　    【プロデュース】  森安彩【演出】  都築淳一　  佐藤源太　  村上正典羽深由理フジテレビ　    【制作著作】  共同テレビ</t>
  </si>
  <si>
    <t>「家族会議がある」と呼び出され、久しぶりに黒澤邸に戻って来た次男・勲(市原隼人)だったが、相変わらずの父・文蔵(吉田鋼太郎)の横暴ぶりに嫌気がさしていた。  　朝食後、東京に帰ろうとしていた勲だったが、勲の了解なしに、勤務先である弁護士事務所に休暇を取る連絡をした、と文蔵から聞かされる。これで心置きなく俺のために働けるだろうと、文蔵は勲に言い放つ。　文蔵は取引のある下請け会社、杉卓工務店とトラブルになっていて、勲の力を借りようとしていた。勲は弁護士を目指すために上京する前、学費と生活費を文蔵に借金しており、利子付きの借用書も書いた上に、将来自分が弁護士になった際には文蔵の力になることも約束していたため、何も反論できないでいた。　勲は地元の海岸で、今は兄・満(斎藤工)の恋人である大学の同級生・遠藤加奈子(高梨臨)と久しぶりに再会した。勲は、加奈子と満の仲がうまくいってないのではと心配していたが、加奈子から満とはうまく付き合っている、と聞かされ複雑な心境になった。  　ある夜、勲が黒澤邸大広間に降りてくると、文蔵が女と酒を飲んでいた。その女の顔を見た勲は驚愕する・・・。</t>
  </si>
  <si>
    <t>番組名&lt;土ドラ&gt;カラマーゾフの兄弟　#03</t>
  </si>
  <si>
    <t>～長男・満　棄てられた犬～    　長男・満(斎藤工)は3年前、市長と産廃業者との不正な関係を示す写真を押さえようとしていた。筋の悪い男から依頼された仕事で、金に困っていた満は引き受けることにしたのだった。満が車の中から市長の家を眺めていると、帰宅してくる1人の女性がやってきた。女性は満の知っている顔だった。  　ある夜、黒澤邸に帰宅した満は、父・文蔵(吉田鋼太郎)のコレクションであるウィスキーを持って2階に上がっていく。三男・涼(林遣都)の部屋をノックした満は、一緒に飲まないか?と涼を誘った。涼の部屋で一緒に飲みながら、母親・詩織(安藤サクラ)の思い出話をしていると、ドアがノックされた。次男・勲(市原隼人)が涼から頼まれた本を持って来たのだった。涼から一緒に飲もうと誘われて一旦断った勲だったが、満からも兄弟3人で飲むなんて滅多にないんだからと言われ、勲は仕方なく飲むことにする。話題が、勲が親父の仕事を手伝っていること、満が定職につかないことで遠藤加奈子(高梨臨)を不安にさせていること、になると気まずい雰囲気になり、満は氷を取ってくると言って部屋を出て行った。  　大広間でアイスペールに氷を入れた満は、ちょうど帰宅した文蔵と出くわす。加奈子のことや、実母・梓のことで文蔵から非難された満は、家を飛び出して・・・。黒澤勲: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刑事:　滝藤賢一　  黒澤文蔵:　吉田鋼太郎【企画】  佐藤未郷　    【脚本】  旺季志ずか　    【プロデュース】  森安彩　【演出】  都築淳一　  佐藤源太　  村上正典羽深由理フジテレビ　    【制作著作】  共同テレビ</t>
  </si>
  <si>
    <t>～長男・満　棄てられた犬～    　長男・満(斎藤工)は3年前、市長と産廃業者との不正な関係を示す写真を押さえようとしていた。筋の悪い男から依頼された仕事で、金に困っていた満は引き受けることにしたのだった。満が車の中から市長の家を眺めていると、帰宅してくる1人の女性がやってきた。女性は満の知っている顔だった。  　ある夜、黒澤邸に帰宅した満は、父・文蔵(吉田鋼太郎)のコレクションであるウィスキーを持って2階に上がっていく。三男・涼(林遣都)の部屋をノックした満は、一緒に飲まないか?と涼を誘った。涼の部屋で一緒に飲みながら、母親・詩織(安藤サクラ)の思い出話をしていると、ドアがノックされた。次男・勲(市原隼人)が涼から頼まれた本を持って来たのだった。涼から一緒に飲もうと誘われて一旦断った勲だったが、満からも兄弟3人で飲むなんて滅多にないんだからと言われ、勲は仕方なく飲むことにする。話題が、勲が親父の仕事を手伝っていること、満が定職につかないことで遠藤加奈子(高梨臨)を不安にさせていること、になると気まずい雰囲気になり、満は氷を取ってくると言って部屋を出て行った。  　大広間でアイスペールに氷を入れた満は、ちょうど帰宅した文蔵と出くわす。加奈子のことや、実母・梓のことで文蔵から非難された満は、家を飛び出して・・・。</t>
  </si>
  <si>
    <t>番組名&lt;土ドラ&gt;カラマーゾフの兄弟　#04</t>
  </si>
  <si>
    <t>～三男・涼　奪われた我～　店を持てるという話が、父・文蔵(吉田鋼太郎)と、文蔵から金で買収された吉岡久留美(芳賀優里亜)による罠だったと知り、茫然自失する長男・満(斎藤工)。以前、次男・勲(市原隼人)が、久留美に深入りするな、と言っていたことを思い出して、勲に詰め寄った満を、三男・涼(林遣都)は暴力ではなく話し合いで解決させようとなだめるが、満はその場から去ってしまう。　2年前のある日、涼が 構内の一角で物思いにふけっていると、大きな荷物を抱えた園田教授(小野寺昭)が歩いてきた。荷物を運ぶのを手伝うため園田について行くと、そこには大勢の子どもたちがいた。園田は、不登校児たちに自信を取り戻してもらうことを目的とした活動をしていたのだった。心の力を信じてる、と精神医学の重要性を話してくれた園田に感銘を受けた涼は、精神医学の道を進むことを考えるようになった。　ある日のこと、涼は砂浜で1人 遊ぶ杉山一郎(樋口海斗)を見かける。以前、いじめられていた一郎を助けた際に、クロサワなんか死んじまえ、と手を噛まれた涼は、少しちゅうちょしながらも、一緒に遊ぼうと、声をかけた。最初はギクシャクしながらも最後には心を許しあえた2人だったが、送り届けた一郎の家が、文蔵とトラブルの渦中にある杉卓工務店だったことを知り、気まずくなる。ちょうどそのとき、中から杉山卓郎(水野智則)と交渉決裂した様子の勲が…。 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刑事:　滝藤賢一　黒澤文蔵:　吉田鋼太郎 【企画】佐藤未郷　【脚本】旺季志ずか　【プロデュース】森安彩 【演出】都築淳一　佐藤源太　村上正典 羽深由理 フジテレビ　【制作著作】共同テレビ</t>
  </si>
  <si>
    <t xml:space="preserve">～三男・涼　奪われた我～　店を持てるという話が、父・文蔵(吉田鋼太郎)と、文蔵から金で買収された吉岡久留美(芳賀優里亜)による罠だったと知り、茫然自失する長男・満(斎藤工)。以前、次男・勲(市原隼人)が、久留美に深入りするな、と言っていたことを思い出して、勲に詰め寄った満を、三男・涼(林遣都)は暴力ではなく話し合いで解決させようとなだめるが、満はその場から去ってしまう。　2年前のある日、涼が 構内の一角で物思いにふけっていると、大きな荷物を抱えた園田教授(小野寺昭)が歩いてきた。荷物を運ぶのを手伝うため園田について行くと、そこには大勢の子どもたちがいた。園田は、不登校児たちに自信を取り戻してもらうことを目的とした活動をしていたのだった。心の力を信じてる、と精神医学の重要性を話してくれた園田に感銘を受けた涼は、精神医学の道を進むことを考えるようになった。　ある日のこと、涼は砂浜で1人 遊ぶ杉山一郎(樋口海斗)を見かける。以前、いじめられていた一郎を助けた際に、クロサワなんか死んじまえ、と手を噛まれた涼は、少しちゅうちょしながらも、一緒に遊ぼうと、声をかけた。最初はギクシャクしながらも最後には心を許しあえた2人だったが、送り届けた一郎の家が、文蔵とトラブルの渦中にある杉卓工務店だったことを知り、気まずくなる。ちょうどそのとき、中から杉山卓郎(水野智則)と交渉決裂した様子の勲が…。 </t>
  </si>
  <si>
    <t>番組名&lt;土ドラ&gt;カラマーゾフの兄弟　#05</t>
  </si>
  <si>
    <t>～剥がれる仮面～　町の有力者である黒澤文蔵(吉田鋼太郎)は1月14日に自宅で殺害された。死亡推定時刻は午後4～6時、死因は鈍器で頭部を強打されたことによる脳挫傷および、脳内出血だった。第1発見者は文蔵の三男・黒澤涼(林遣都)で、事件当日午後7時過ぎに自宅に戻ったところ、階段下に倒れていた秘書・小栗晃一(渡辺憲吉)を発見する。さらに文蔵の部屋が半開きになっているのに気づき、遺体を発見したのだった。 　数日前の朝、次男・勲(市原隼人)が1階に下りてくると、涼はまだ食卓についていなかった。「いなくなるべき人は、他にいるのに…」と思い詰めていた涼を、勲は心配になる。文蔵が昨夜連れ込んだ女の悪態をつきながらやってくると、下請け会社の杉卓工務店社長・杉山卓郎(水野智則)が慌てた様子で入ってきた。一方、恩師である園田教授(小野寺昭)の死を受け入れられず途方に暮れていた涼は、黒澤家の庭で卓郎の息子、 杉山一郎(樋口海斗)を見つける。　長男・満(斎藤工)が、バー『メトロポリス』で女と飲んでいると、男性同伴の吉岡久留美(芳賀優里亜)が偶然やってきた。罠にはめられた一件後、初めて顔を合わす2人。お互いの同伴者が席を外したところで、満から声を掛けた…。　その夜、涼が誰もいない勲の部屋に入ると、机の上に原稿用紙があった。その内容を見てショックを受ける涼。と、そのとき勲が部屋に戻ってきた…。 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刑事:　滝藤賢一　黒澤文蔵:　吉田鋼太郎　(他) 【企画】佐藤未郷　【脚本】武井彩　【プロデュース】森安彩　 【演出】都築淳一　佐藤源太　村上正典 羽深由理 フジテレビ　【制作著作】共同テレビ</t>
  </si>
  <si>
    <t xml:space="preserve">～剥がれる仮面～　町の有力者である黒澤文蔵(吉田鋼太郎)は1月14日に自宅で殺害された。死亡推定時刻は午後4～6時、死因は鈍器で頭部を強打されたことによる脳挫傷および、脳内出血だった。第1発見者は文蔵の三男・黒澤涼(林遣都)で、事件当日午後7時過ぎに自宅に戻ったところ、階段下に倒れていた秘書・小栗晃一(渡辺憲吉)を発見する。さらに文蔵の部屋が半開きになっているのに気づき、遺体を発見したのだった。 　数日前の朝、次男・勲(市原隼人)が1階に下りてくると、涼はまだ食卓についていなかった。「いなくなるべき人は、他にいるのに…」と思い詰めていた涼を、勲は心配になる。文蔵が昨夜連れ込んだ女の悪態をつきながらやってくると、下請け会社の杉卓工務店社長・杉山卓郎(水野智則)が慌てた様子で入ってきた。一方、恩師である園田教授(小野寺昭)の死を受け入れられず途方に暮れていた涼は、黒澤家の庭で卓郎の息子、 杉山一郎(樋口海斗)を見つける。　長男・満(斎藤工)が、バー『メトロポリス』で女と飲んでいると、男性同伴の吉岡久留美(芳賀優里亜)が偶然やってきた。罠にはめられた一件後、初めて顔を合わす2人。お互いの同伴者が席を外したところで、満から声を掛けた…。　その夜、涼が誰もいない勲の部屋に入ると、机の上に原稿用紙があった。その内容を見てショックを受ける涼。と、そのとき勲が部屋に戻ってきた…。 </t>
  </si>
  <si>
    <t>番組名&lt;土ドラ&gt;カラマーゾフの兄弟　#06</t>
  </si>
  <si>
    <t>～死を刻む砂音～　刑事・入江悟史(滝藤賢一)は、黒澤文蔵(吉田鋼太郎)が遺体で発見された際に、近くで倒れていた秘書・小栗晃一(渡辺憲吉)から事件当時の話を聞こうとしていた。それより前、使用人・末松進(松下洸平)からも話を聞いていた入江。末松は、事件当日は忙しく午後3時をまわってようやく昼食を取ったところ、急に気分が悪くなり、屋敷の離れで休んでいたという。一方の小栗は、末松の代わりに用事を済ませる ため外出したが、途中で忘れ物に気づき、屋敷に引き返したところである人物によって階段から突き落とされたという。その人物を聞き出そうとする入江。　ある朝、三男・涼(林遣都)は、2階から文蔵と吉岡久留美(芳賀優里亜)が降りてくるのを見かけるが、文蔵が久留美に接吻したため目をそらす。一連の様子を見ていた次男・勲(市原隼人)。勲と涼は、前日に“世の不条理について"激論を交わしたこともあり、気まずい雰囲気に なるが、話が長男・満(斎藤工)の件になると、どちらにも連絡がないことを知り心配になる。　その日の午後、勲と文蔵は、下請け会社・杉卓工務店の件で打ち合わせをしていた。裁判所に、文蔵側に有利な証拠書類を提出して一件落着すると説明した勲に文蔵は、次の仕事も宜しくと話す。この件を片付ければ文蔵の元を離れられると考えていた勲は、息苦しくなる。翌朝、勲はあることを伝えるため、海岸で満を待っていた…。 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入江悟史:　滝藤賢一　黒澤文蔵:　吉田鋼太郎 【企画】佐藤未郷　【脚本】武井彩　【プロデュース】森安彩 【演出】都築淳一　佐藤源太　村上正典 羽深由理 フジテレビ　【制作著作】共同テレビ</t>
  </si>
  <si>
    <t xml:space="preserve">～死を刻む砂音～　刑事・入江悟史(滝藤賢一)は、黒澤文蔵(吉田鋼太郎)が遺体で発見された際に、近くで倒れていた秘書・小栗晃一(渡辺憲吉)から事件当時の話を聞こうとしていた。それより前、使用人・末松進(松下洸平)からも話を聞いていた入江。末松は、事件当日は忙しく午後3時をまわってようやく昼食を取ったところ、急に気分が悪くなり、屋敷の離れで休んでいたという。一方の小栗は、末松の代わりに用事を済ませる ため外出したが、途中で忘れ物に気づき、屋敷に引き返したところである人物によって階段から突き落とされたという。その人物を聞き出そうとする入江。　ある朝、三男・涼(林遣都)は、2階から文蔵と吉岡久留美(芳賀優里亜)が降りてくるのを見かけるが、文蔵が久留美に接吻したため目をそらす。一連の様子を見ていた次男・勲(市原隼人)。勲と涼は、前日に“世の不条理について"激論を交わしたこともあり、気まずい雰囲気に なるが、話が長男・満(斎藤工)の件になると、どちらにも連絡がないことを知り心配になる。　その日の午後、勲と文蔵は、下請け会社・杉卓工務店の件で打ち合わせをしていた。裁判所に、文蔵側に有利な証拠書類を提出して一件落着すると説明した勲に文蔵は、次の仕事も宜しくと話す。この件を片付ければ文蔵の元を離れられると考えていた勲は、息苦しくなる。翌朝、勲はあることを伝えるため、海岸で満を待っていた…。 </t>
  </si>
  <si>
    <t>番組名&lt;土ドラ&gt;カラマーゾフの兄弟　#07</t>
  </si>
  <si>
    <t>～黒く潰された空白～　刑事・入江悟史(滝藤賢一)は、意識が戻った黒澤文蔵(吉田鋼太郎)の秘書・小栗晃一(渡辺憲吉)に、彼を階段から突き落とした人物を聞き出そうと、次男・勲(市原隼人)、長男・満(斎藤工)、三男・涼(林遣都)3兄弟の写真を見せた。戸惑いながらも、その中の1人を指さす小栗…。　文蔵殺害当日19時頃。満は、人目を気にしながら、とある道を走っていた。しばらくして、どこかに連絡をする満。 ところが相手は電話に出ず、すぐに会いたいと留守電にメッセージを残した。　同じ日の22時頃、勲は東京にいた。弁護士事務所に、明日から出勤しますと連絡を入れた直後、見知らぬ番号からの着信に出ると、相手は入江だった。入江から父・文蔵が遺体で発見され、状況から殺害された可能性が高いことを聞かされた勲は、すぐに烏目町に戻ることに…。　一方の涼は19時半頃、遺体の第1発見者として屋敷にいた。 階段下に倒れていた小栗と食中毒で休んでいた末松進(松下洸平)の2人が、救急車で病院に運ばれたことを入江から聞かされた涼は任意同行を求められる。少し前の夕方、涼は黒澤地所の中にいた。昔の黒澤家使用人から“母・詩織(安藤サクラ)が自殺した本当の理由"を聞き出した涼は、“ある決意"を固めたのだった。しばらくして、建物から出て来た涼は、ある人物が黒澤地所に火をつけようとしているのを見つけてしまう…。 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入江悟史:　滝藤賢一　黒澤文蔵:　吉田鋼太郎 【企画】佐藤未郷　【脚本】旺季志ずか　【プロデュース】森安彩 【演出】都築淳一　佐藤源太　村上正典 羽深由理 フジテレビ　【制作著作】共同テレビ</t>
  </si>
  <si>
    <t xml:space="preserve">～黒く潰された空白～　刑事・入江悟史(滝藤賢一)は、意識が戻った黒澤文蔵(吉田鋼太郎)の秘書・小栗晃一(渡辺憲吉)に、彼を階段から突き落とした人物を聞き出そうと、次男・勲(市原隼人)、長男・満(斎藤工)、三男・涼(林遣都)3兄弟の写真を見せた。戸惑いながらも、その中の1人を指さす小栗…。　文蔵殺害当日19時頃。満は、人目を気にしながら、とある道を走っていた。しばらくして、どこかに連絡をする満。 ところが相手は電話に出ず、すぐに会いたいと留守電にメッセージを残した。　同じ日の22時頃、勲は東京にいた。弁護士事務所に、明日から出勤しますと連絡を入れた直後、見知らぬ番号からの着信に出ると、相手は入江だった。入江から父・文蔵が遺体で発見され、状況から殺害された可能性が高いことを聞かされた勲は、すぐに烏目町に戻ることに…。　一方の涼は19時半頃、遺体の第1発見者として屋敷にいた。 階段下に倒れていた小栗と食中毒で休んでいた末松進(松下洸平)の2人が、救急車で病院に運ばれたことを入江から聞かされた涼は任意同行を求められる。少し前の夕方、涼は黒澤地所の中にいた。昔の黒澤家使用人から“母・詩織(安藤サクラ)が自殺した本当の理由"を聞き出した涼は、“ある決意"を固めたのだった。しばらくして、建物から出て来た涼は、ある人物が黒澤地所に火をつけようとしているのを見つけてしまう…。 </t>
  </si>
  <si>
    <t>番組名&lt;土ドラ&gt;カラマーゾフの兄弟　#08</t>
  </si>
  <si>
    <t>～断ち切れない鎖～　朝早くに目覚めた勲(市原隼人)はシャワーを浴びていた。父・文蔵(吉田鋼太郎)がいなくなり、己から不穏なものが洗い流されていくのを実感する。　その頃、涼(林遣都)は大広間にいた。文蔵の遺体を発見した時の衝撃を思い出し、苦悩していた涼は、勲に、父が死んだというのに涙が出ないことを告白する。勲は、そんな涼の肩を抱き、自分を責める必要はないと慰めの言葉をかけた。 　一方、加奈子(高梨臨)は自宅で満(斎藤工)が書いた置き手紙を読み返していた。勲から、満が文蔵殺しの容疑で逮捕されて本人も認めたらしい、と聞いていた加奈子はその手紙のある文面が気になっていた。そこへ、刑事・入江悟史(滝藤賢一)が相棒とやってくる。入江から事情聴取された加奈子は、黒澤邸に勲を訪ねて、満の弁護をして欲しいと頼む。勲は、刑事事件は自分の専門外だからと話すが、加奈子は過去に満との間にあった “ある一件"を語り始めた…。　その晩、勲が部屋で黒澤地所の書類を読んでいると、再び加奈子から電話がかかってきた。加奈子との会話が要領を得ないまま終わったことに不安を感じた勲は、加奈子の部屋を訪れる。加奈子は、満に会いに警察署へ行った際、満が好きになった女、吉岡久留美(芳賀優里亜)を見かけたのだという。加奈子の傷ついた様子を見た勲は…。　翌朝、勲は涼とともに満が拘留されている警察署へ向かった…。 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入江悟史:　滝藤賢一　黒澤文蔵:　吉田鋼太郎 【脚本】旺季志ずか 【演出】都築淳一　佐藤源太　村上正典　【企画】佐藤未郷　【プロデュース】森安彩 羽深由理 フジテレビ　【制作著作】共同テレビ</t>
  </si>
  <si>
    <t xml:space="preserve">～断ち切れない鎖～　朝早くに目覚めた勲(市原隼人)はシャワーを浴びていた。父・文蔵(吉田鋼太郎)がいなくなり、己から不穏なものが洗い流されていくのを実感する。　その頃、涼(林遣都)は大広間にいた。文蔵の遺体を発見した時の衝撃を思い出し、苦悩していた涼は、勲に、父が死んだというのに涙が出ないことを告白する。勲は、そんな涼の肩を抱き、自分を責める必要はないと慰めの言葉をかけた。 　一方、加奈子(高梨臨)は自宅で満(斎藤工)が書いた置き手紙を読み返していた。勲から、満が文蔵殺しの容疑で逮捕されて本人も認めたらしい、と聞いていた加奈子はその手紙のある文面が気になっていた。そこへ、刑事・入江悟史(滝藤賢一)が相棒とやってくる。入江から事情聴取された加奈子は、黒澤邸に勲を訪ねて、満の弁護をして欲しいと頼む。勲は、刑事事件は自分の専門外だからと話すが、加奈子は過去に満との間にあった “ある一件"を語り始めた…。　その晩、勲が部屋で黒澤地所の書類を読んでいると、再び加奈子から電話がかかってきた。加奈子との会話が要領を得ないまま終わったことに不安を感じた勲は、加奈子の部屋を訪れる。加奈子は、満に会いに警察署へ行った際、満が好きになった女、吉岡久留美(芳賀優里亜)を見かけたのだという。加奈子の傷ついた様子を見た勲は…。　翌朝、勲は涼とともに満が拘留されている警察署へ向かった…。 </t>
  </si>
  <si>
    <t>番組名&lt;土ドラ&gt;カラマーゾフの兄弟　#09</t>
  </si>
  <si>
    <t>～引き裂かれた果てに～  　三男・涼(林遣都)が警察署内で座っていると、手錠をかけられた兄・満(斎藤工)が刑事・入江(滝藤賢一)と宮島(今村裕次郎)に連れられて部屋から出て来た。その哀れな姿にショックを隠せない涼。涼は、満に歩み寄り、無実を信じてると声をかけるが、満は無言のまま立ち去ってしまう・・・。　一方、満から、父・文蔵(吉田鋼太郎)にそっくりだと罵倒され、警察署を飛び出した次男・勲(市原隼人)は、黒澤邸に戻った後、死んだはずの文蔵の支配から未だ逃れることができていない感覚に陥ったことで半狂乱になり、大広間に飾られている文蔵の肖像画近くで倒れていた。しばらくして、倒れていた勲を発見した末松(松下洸平)は、勲を部屋へと連れて行く。と、そこへ涼も警察署から戻って来た・・・。　その夜、満の無実を証明する手掛かりを探していた涼は、バー・メトロポリスで“ある人物"を待ち伏せていた。しばらくして、店に姿を現したのは久留美(芳賀優里亜)だった。久留美から“あること"を聞かされた涼は、黒澤邸に戻り、勲の部屋をノックした・・・。  　翌晩もバー・メトロポリスで酒を飲んでいた久留美。ふと気付くと、加奈子(高梨臨)が横に立っていて・・・。黒澤勲: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入江悟史:　滝藤賢一　  黒澤文蔵:　吉田鋼太郎【企画】  佐藤未郷　    【脚本】  旺季志ずか　    【プロデュース】  森安彩【演出】  都築淳一　  佐藤源太　  村上正典羽深由理フジテレビ　    【制作著作】  共同テレビ</t>
  </si>
  <si>
    <t>～引き裂かれた果てに～  　三男・涼(林遣都)が警察署内で座っていると、手錠をかけられた兄・満(斎藤工)が刑事・入江(滝藤賢一)と宮島(今村裕次郎)に連れられて部屋から出て来た。その哀れな姿にショックを隠せない涼。涼は、満に歩み寄り、無実を信じてると声をかけるが、満は無言のまま立ち去ってしまう・・・。　一方、満から、父・文蔵(吉田鋼太郎)にそっくりだと罵倒され、警察署を飛び出した次男・勲(市原隼人)は、黒澤邸に戻った後、死んだはずの文蔵の支配から未だ逃れることができていない感覚に陥ったことで半狂乱になり、大広間に飾られている文蔵の肖像画近くで倒れていた。しばらくして、倒れていた勲を発見した末松(松下洸平)は、勲を部屋へと連れて行く。と、そこへ涼も警察署から戻って来た・・・。　その夜、満の無実を証明する手掛かりを探していた涼は、バー・メトロポリスで“ある人物"を待ち伏せていた。しばらくして、店に姿を現したのは久留美(芳賀優里亜)だった。久留美から“あること"を聞かされた涼は、黒澤邸に戻り、勲の部屋をノックした・・・。  　翌晩もバー・メトロポリスで酒を飲んでいた久留美。ふと気付くと、加奈子(高梨臨)が横に立っていて・・・。</t>
  </si>
  <si>
    <t>番組名&lt;土ドラ&gt;カラマーゾフの兄弟　#10</t>
  </si>
  <si>
    <t>～顔の無い仔～  　涼(林遣都)が母・詩織(安藤サクラ)の墓前に来ると、丸谷八重子(山野海)がいた。八重子から、詩織が文蔵(吉田鋼太郎)のために自らの体を犠牲にしていた事実を聞かされて以来、初めて会う2人。その事実を話して良かったものかと気にかけていた八重子に、真実を知ることで自分のあるべき姿に気付けた、と感謝の意を伝える涼。涼の優しさを痛感した八重子は、詩織が存命中にあった“あるエピソード"について話し始めた。  　一方、拘留中の満(斎藤工)との接見を終えた勲(市原隼人)は、警察署の廊下で加奈子(高梨臨)と出くわす。数日前、満が選んだ女性、久留美(芳賀優里亜)の姿を目の当たりにしたことで、傷つき落ち込んでいた加奈子を優しく抱きしめた勲。以前、満への愛を受け入れてもらえない仕返しに、自分の気持ちをもてあそんでいると勲から指摘された加奈子。2人は気まずい雰囲気のまま、当たり障りのない会話だけで、それぞれの方向に歩いて行く…  　勲と別れた加奈子は、満と面会。加奈子との別れを置き手紙で伝えたことを謝る満に、加奈子は2人で住む部屋を引き払うことを伝えた。  　黒澤邸に戻った勲は、部屋で満との接見で得た情報を整理していた。事件当日の内容は、どれも満に不利なものばかりで、兄を無罪にするのは困難と思われた。そのとき、ドアがノックされ部屋に入ってきた涼が、八重子から聞いたという衝撃の新事実を話し始めた。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入江悟史:　滝藤賢一　  黒澤文蔵:　吉田鋼太郎【企画】  佐藤未郷　    【脚本】  武井彩　    【プロデュース】  森安彩【演出】  都築淳一　  佐藤源太　  村上正典羽深由理フジテレビ　    【制作著作】  共同テレビ</t>
  </si>
  <si>
    <t>～顔の無い仔～  　涼(林遣都)が母・詩織(安藤サクラ)の墓前に来ると、丸谷八重子(山野海)がいた。八重子から、詩織が文蔵(吉田鋼太郎)のために自らの体を犠牲にしていた事実を聞かされて以来、初めて会う2人。その事実を話して良かったものかと気にかけていた八重子に、真実を知ることで自分のあるべき姿に気付けた、と感謝の意を伝える涼。涼の優しさを痛感した八重子は、詩織が存命中にあった“あるエピソード"について話し始めた。  　一方、拘留中の満(斎藤工)との接見を終えた勲(市原隼人)は、警察署の廊下で加奈子(高梨臨)と出くわす。数日前、満が選んだ女性、久留美(芳賀優里亜)の姿を目の当たりにしたことで、傷つき落ち込んでいた加奈子を優しく抱きしめた勲。以前、満への愛を受け入れてもらえない仕返しに、自分の気持ちをもてあそんでいると勲から指摘された加奈子。2人は気まずい雰囲気のまま、当たり障りのない会話だけで、それぞれの方向に歩いて行く…  　勲と別れた加奈子は、満と面会。加奈子との別れを置き手紙で伝えたことを謝る満に、加奈子は2人で住む部屋を引き払うことを伝えた。  　黒澤邸に戻った勲は、部屋で満との接見で得た情報を整理していた。事件当日の内容は、どれも満に不利なものばかりで、兄を無罪にするのは困難と思われた。そのとき、ドアがノックされ部屋に入ってきた涼が、八重子から聞いたという衝撃の新事実を話し始めた。</t>
  </si>
  <si>
    <t>番組名&lt;土ドラ&gt;カラマーゾフの兄弟　#11</t>
  </si>
  <si>
    <t>～真実の色～  　次男・勲(市原隼人)は、事件当日の行動に不審な点があった使用人の末松(松下洸平)に、父・黒澤文蔵(吉田鋼太郎)を殺したのはお前か、と詰め寄る。そして、末松こそが三男・涼(林遣都)から聞かされていた「もう1人の兄弟」であることを知る。末松は、文蔵は最低の男だ、と吐き捨て、さらに長男・満(斎藤工)と涼についても否定的に語る一方、勲だけは自分の兄としてふさわしい人間である、と冗舌に話す。　少年時代のある日、自分の父親だと分かった文蔵に会いに行き、自分が息子であることを打ち明けた末松だったが、文蔵から物ごい呼ばわりされ小銭を投げつけられた。その時、末松は文蔵への復讐のために生きていくことを決意したのであった。そして、素性を隠し、使用人として黒澤邸で働き始めた末松は、兄・勲への尊敬が強くなるにつれ、自分のやるべきことが何なのか、明白に自覚したと言う・・・。　そんな折、警察署に駆け込み、刑事・入江(滝藤賢一)に、末松の写真を見せ、真犯人の存在を伝えた涼は、入江と共に黒澤邸に急いで向かっていた。  　一方、勾留中の満には、起訴が着々と迫り・・・。黒澤勲: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入江悟史:　滝藤賢一　  黒澤文蔵:　吉田鋼太郎【企画】  佐藤未郷　    【脚本】  旺季志ずか　    【プロデュース】  森安彩【演出】  都築淳一　  佐藤源太　  村上正典羽深由理フジテレビ　    【制作著作】  共同テレビ</t>
  </si>
  <si>
    <t>～真実の色～  　次男・勲(市原隼人)は、事件当日の行動に不審な点があった使用人の末松(松下洸平)に、父・黒澤文蔵(吉田鋼太郎)を殺したのはお前か、と詰め寄る。そして、末松こそが三男・涼(林遣都)から聞かされていた「もう1人の兄弟」であることを知る。末松は、文蔵は最低の男だ、と吐き捨て、さらに長男・満(斎藤工)と涼についても否定的に語る一方、勲だけは自分の兄としてふさわしい人間である、と冗舌に話す。　少年時代のある日、自分の父親だと分かった文蔵に会いに行き、自分が息子であることを打ち明けた末松だったが、文蔵から物ごい呼ばわりされ小銭を投げつけられた。その時、末松は文蔵への復讐のために生きていくことを決意したのであった。そして、素性を隠し、使用人として黒澤邸で働き始めた末松は、兄・勲への尊敬が強くなるにつれ、自分のやるべきことが何なのか、明白に自覚したと言う・・・。　そんな折、警察署に駆け込み、刑事・入江(滝藤賢一)に、末松の写真を見せ、真犯人の存在を伝えた涼は、入江と共に黒澤邸に急いで向かっていた。  　一方、勾留中の満には、起訴が着々と迫り・・・。</t>
  </si>
  <si>
    <t>1301_CX_日21</t>
  </si>
  <si>
    <t>dinner</t>
  </si>
  <si>
    <t>番組名&lt;ドラマチックサンデー&gt;dinner　#01</t>
  </si>
  <si>
    <t>江崎究(江口洋介)は、小さなイタリアンバルの厨房に立ち、ひとり黙々と料理の下ごしらえをしていた。  　人気イタリア料理店『リストランテ・ロッカビアンカ』は、今夜も大勢の客でにぎわっていた。支配人の辰巳沙織(倉科カナ)は笑顔でお客を迎え、給仕長の瀬川壮一(ユースケ・サンタマリア)が席へ案内する。ホールでは、沙織の父で、この店のオーナーシェフである辰巳日出男(風間杜夫)が常連客のひとりでもある世界的指揮者の湯浅清三(伊武雅刀)の相手をしていた。厨房ではセコンドシェフの今井耕助(松重豊)以下、パスタ・リゾット担当の木村数馬(八嶋智人)と武藤はづき(関めぐみ)、肉・魚料理担当の夏野大樹(袴田吉彦)、前菜担当の浜岡孝太郎(志賀廣太郎)、ドルチェ担当の大塚弥生(池津祥子)たちが、それぞれタイミングを見ながら料理を作りあげていく。  　新人のウエートレス・中野千尋(篠原真衣)は、店内に飾ってある若いころの日出男の写真について湯浅からレクチャーを受けた。そして、彼の写真解説を聞いた千尋は、先輩である本宮恵理子(柴本幸)にも伝えた。そんな中、沙織あてにテレビ局から電話が入る。日出男の番組出演依頼を受け、沙織は『アイアンシェフ』の収録スタジオを訪れるが、そんな矢先に、日出男が突然倒れてしまう。幸い命はとりとめたものの、意識不明の状態が続いていた…。江口洋介　  倉科カナ　  松重豊  　・　  袴田吉彦　  関めぐみ　  志賀廣太郎　  柴本幸　  池津祥子  　・　  風間杜夫  　・　  八嶋智人　  ユースケ・サンタマリア　    ほか黒岩勉【編成企画】  鹿内植　    【プロデュース】  小椋久雄　  山崎淳子　    【演出】  星護佐橋俊彦フジテレビ　    【制作著作】  共同テレビ</t>
  </si>
  <si>
    <t>江崎究(江口洋介)は、小さなイタリアンバルの厨房に立ち、ひとり黙々と料理の下ごしらえをしていた。  　人気イタリア料理店『リストランテ・ロッカビアンカ』は、今夜も大勢の客でにぎわっていた。支配人の辰巳沙織(倉科カナ)は笑顔でお客を迎え、給仕長の瀬川壮一(ユースケ・サンタマリア)が席へ案内する。ホールでは、沙織の父で、この店のオーナーシェフである辰巳日出男(風間杜夫)が常連客のひとりでもある世界的指揮者の湯浅清三(伊武雅刀)の相手をしていた。厨房ではセコンドシェフの今井耕助(松重豊)以下、パスタ・リゾット担当の木村数馬(八嶋智人)と武藤はづき(関めぐみ)、肉・魚料理担当の夏野大樹(袴田吉彦)、前菜担当の浜岡孝太郎(志賀廣太郎)、ドルチェ担当の大塚弥生(池津祥子)たちが、それぞれタイミングを見ながら料理を作りあげていく。  　新人のウエートレス・中野千尋(篠原真衣)は、店内に飾ってある若いころの日出男の写真について湯浅からレクチャーを受けた。そして、彼の写真解説を聞いた千尋は、先輩である本宮恵理子(柴本幸)にも伝えた。そんな中、沙織あてにテレビ局から電話が入る。日出男の番組出演依頼を受け、沙織は『アイアンシェフ』の収録スタジオを訪れるが、そんな矢先に、日出男が突然倒れてしまう。幸い命はとりとめたものの、意識不明の状態が続いていた…。</t>
  </si>
  <si>
    <t>番組名&lt;ドラマチックサンデー&gt;dinner　#02</t>
  </si>
  <si>
    <t>「ロッカビアンカ」に新しい料理長として迎えられた江崎究(江口洋介)は、就任前日に客として店に行き、料理を食べた上で辛辣(しんらつ)な思いを従業員たちにぶつけ、帰り際には支配人の辰巳沙織(倉科カナ)に対し、このままでは店は潰れると断言して去っていった。翌日、沙織が店に来ると、厨房で江崎が調理のシミュレーションをしながら調理器具や調味料の配置を変えていた。さらにメニューやレシピをチェックすると、出勤してきた従業員たちに辰巳日出男(風間杜夫)が考案して30年間作り続けてきたメニューも見直すと言う。皆が反感を露わにするが、今井耕助(松重豊)がたしなめ、渋々ながら江崎の言う通りに下準備に取り掛かる。江崎は今井を誘い、メイン料理に使う鳩の肉の仕入れに向かった。精肉店で上質のイノシシ肉を見た江崎は、その場でメニューの変更を決める。連絡を受けた沙織からそれを聞いた従業員たちは、江崎への反感を強めた。店がオープンし、厨房が動き出すと、江崎は1人1人の動きをチェックして的確な指示を与えていく。閉店後、行きつけの居酒屋に沙織と瀬川壮一(ユースケ・サンタマリア)と今井の姿があった。新メニューは好評だったと聞きながらも、メニューを変えることに強い戸惑いを感じている今井に、沙織は日出男が書いていたレシピノートを見せる。倒れる1カ月前に日出男が新メニューを考案していたことに驚く今井に、沙織はノートを差し出し…江口洋介　  倉科カナ　  松重豊  　・　  袴田吉彦　  関めぐみ　  志賀廣太郎　  柴本幸  　・　  風間杜夫  　・　  八嶋智人　  ユースケ・サンタマリア　    ほか【脚本】  田辺満【編成企画】  鹿内植　    【プロデュース】  小椋久雄　  山崎淳子　    【演出】  星護佐橋俊彦フジテレビ　    【制作著作】  共同テレビ</t>
  </si>
  <si>
    <t>「ロッカビアンカ」に新しい料理長として迎えられた江崎究(江口洋介)は、就任前日に客として店に行き、料理を食べた上で辛辣(しんらつ)な思いを従業員たちにぶつけ、帰り際には支配人の辰巳沙織(倉科カナ)に対し、このままでは店は潰れると断言して去っていった。翌日、沙織が店に来ると、厨房で江崎が調理のシミュレーションをしながら調理器具や調味料の配置を変えていた。さらにメニューやレシピをチェックすると、出勤してきた従業員たちに辰巳日出男(風間杜夫)が考案して30年間作り続けてきたメニューも見直すと言う。皆が反感を露わにするが、今井耕助(松重豊)がたしなめ、渋々ながら江崎の言う通りに下準備に取り掛かる。江崎は今井を誘い、メイン料理に使う鳩の肉の仕入れに向かった。精肉店で上質のイノシシ肉を見た江崎は、その場でメニューの変更を決める。連絡を受けた沙織からそれを聞いた従業員たちは、江崎への反感を強めた。店がオープンし、厨房が動き出すと、江崎は1人1人の動きをチェックして的確な指示を与えていく。閉店後、行きつけの居酒屋に沙織と瀬川壮一(ユースケ・サンタマリア)と今井の姿があった。新メニューは好評だったと聞きながらも、メニューを変えることに強い戸惑いを感じている今井に、沙織は日出男が書いていたレシピノートを見せる。倒れる1カ月前に日出男が新メニューを考案していたことに驚く今井に、沙織はノートを差し出し…</t>
  </si>
  <si>
    <t>番組名&lt;ドラマチックサンデー&gt;dinner　#03</t>
  </si>
  <si>
    <t>開店前の『ロッカビアンカ』厨房では、江崎究(江口洋介)がパスタのゆで時間が5秒長いと、木村数馬(八嶋智人)に作り直しを命じる。憤りながらも仕方なくやり直す数馬。ホールでは辰巳沙織(倉科カナ)が仕込んだグルメ雑誌の取材が行われていたが、新メニューにともなう店の新しいコンセプトを聞かれた沙織は、何も答えられず黙ってしまう。その日の営業でも客足は伸びず、ますます落ち込む沙織に、本宮恵理子(柴本幸)はブログの書き込みが大きな影響を与えるカリスマ美食家・朝倉恭子(真野響子)を招待することを提案する。同じ頃、あるフレンチレストランにいた朝倉は、帰り際、支配人からお土産と共に“原稿料"を受け取っていた。  　数日後、招待状を手に朝倉がやって来た。感激する沙織だが、朝倉はいつも座っていた席がいいと、すでに座っている客を移動させるように訴える。困った沙織は瀬川壮一(ユースケ・サンタマリア)に相談するが、朝倉は怒って帰ってしまう。恵理子がその一部始終を厨房スタッフに報告していると、その脇で江崎と数馬の言い合いが始まった。やり直しを命じる江崎に、数馬は怒って厨房を出て行ってしまう。それを見ていた沙織は、閉店後、話がしたいと江崎を食事に誘う。  　後日、朝倉のブログに『ロッカビアンカ』の酷評記事がアップされた。顔面蒼白の沙織に、瀬川は謝罪して改めて誘うことを提案。すると、江崎が突然笑い出して…。江口洋介　  倉科カナ　  松重豊  　・　  袴田吉彦　  関めぐみ　  志賀廣太郎　  柴本幸　  池津祥子  　・　  風間杜夫  　・　  八嶋智人　  ユースケ・サンタマリア　    ほか【脚本】  黒岩勉【編成企画】  鹿内植　    【プロデュース】  小椋久雄　  山崎淳子　    【演出】  城宝秀則佐橋俊彦フジテレビ　    【制作著作】  共同テレビ</t>
  </si>
  <si>
    <t>開店前の『ロッカビアンカ』厨房では、江崎究(江口洋介)がパスタのゆで時間が5秒長いと、木村数馬(八嶋智人)に作り直しを命じる。憤りながらも仕方なくやり直す数馬。ホールでは辰巳沙織(倉科カナ)が仕込んだグルメ雑誌の取材が行われていたが、新メニューにともなう店の新しいコンセプトを聞かれた沙織は、何も答えられず黙ってしまう。その日の営業でも客足は伸びず、ますます落ち込む沙織に、本宮恵理子(柴本幸)はブログの書き込みが大きな影響を与えるカリスマ美食家・朝倉恭子(真野響子)を招待することを提案する。同じ頃、あるフレンチレストランにいた朝倉は、帰り際、支配人からお土産と共に“原稿料"を受け取っていた。  　数日後、招待状を手に朝倉がやって来た。感激する沙織だが、朝倉はいつも座っていた席がいいと、すでに座っている客を移動させるように訴える。困った沙織は瀬川壮一(ユースケ・サンタマリア)に相談するが、朝倉は怒って帰ってしまう。恵理子がその一部始終を厨房スタッフに報告していると、その脇で江崎と数馬の言い合いが始まった。やり直しを命じる江崎に、数馬は怒って厨房を出て行ってしまう。それを見ていた沙織は、閉店後、話がしたいと江崎を食事に誘う。  　後日、朝倉のブログに『ロッカビアンカ』の酷評記事がアップされた。顔面蒼白の沙織に、瀬川は謝罪して改めて誘うことを提案。すると、江崎が突然笑い出して…。</t>
  </si>
  <si>
    <t>番組名&lt;ドラマチックサンデー&gt;dinner　#04</t>
  </si>
  <si>
    <t>少しずつだが活気を取り戻しつつある「ロッカビアンカ」。厨房では、オーダーを受けた江崎究(江口洋介)が木村数馬(八嶋智人)に指示を出すが、それを武藤はづき(関めぐみ)が奪うようにして仕事をこなしていく。はづきの働きぶりが数馬はおもしろくない。閉店後、看板の片付けのために外に出た瀬川壮一(ユースケ・サンタマリア)と中野千尋(篠原真衣)が、路上駐車している車を見つけた。1カ月ほど前からよく店の周りに いると知り、辰巳沙織(倉科カナ)に報告するが、しばらくはそのまま様子を見ることになる。翌日、千尋によって車の存在が従業員たちに知れわたっていた。大塚弥生(池津祥子)が、車の人物が警察手帳を出しているのを目撃したと話し、一同は従業員の誰かが警察に追われているのではないかとざわつく。その場にいなかった江崎に疑いがかかり、否定した沙織が本人に確認することになった。皆がのぞく中、沙織は厨房の江崎に話しかけ …。店がオープンすると、常連客の奥園明美(濱田マリ)もやって来て、「ロッカビアンカ」は日常の風景に戻る。厨房では、はづきが皆の制止も聞かずに重い鍋を持ちあげようとして中身をこぼしてしまう。手にやけどを負ってしまい、病院に行くように言われるが、大丈夫だからと動かないはづきに、江崎はケガをしている人間は邪魔だから厨房から出ていくように言い放つ。翌日、出社してきたはづきに、車に乗っていた刑事が…。 江口洋介　倉科カナ　松重豊　・　袴田吉彦　関めぐみ　志賀廣太郎　柴本幸　池津祥子　・　風間杜夫　・　八嶋智人　ユースケ・サンタマリア　ほか 【脚本】黒岩勉 【編成企画】鹿内植　【プロデュース】小椋久雄　山崎淳子　【演出】小林義則 佐橋俊彦 フジテレビ　【制作著作】共同テレビ</t>
  </si>
  <si>
    <t xml:space="preserve">少しずつだが活気を取り戻しつつある「ロッカビアンカ」。厨房では、オーダーを受けた江崎究(江口洋介)が木村数馬(八嶋智人)に指示を出すが、それを武藤はづき(関めぐみ)が奪うようにして仕事をこなしていく。はづきの働きぶりが数馬はおもしろくない。閉店後、看板の片付けのために外に出た瀬川壮一(ユースケ・サンタマリア)と中野千尋(篠原真衣)が、路上駐車している車を見つけた。1カ月ほど前からよく店の周りに いると知り、辰巳沙織(倉科カナ)に報告するが、しばらくはそのまま様子を見ることになる。翌日、千尋によって車の存在が従業員たちに知れわたっていた。大塚弥生(池津祥子)が、車の人物が警察手帳を出しているのを目撃したと話し、一同は従業員の誰かが警察に追われているのではないかとざわつく。その場にいなかった江崎に疑いがかかり、否定した沙織が本人に確認することになった。皆がのぞく中、沙織は厨房の江崎に話しかけ …。店がオープンすると、常連客の奥園明美(濱田マリ)もやって来て、「ロッカビアンカ」は日常の風景に戻る。厨房では、はづきが皆の制止も聞かずに重い鍋を持ちあげようとして中身をこぼしてしまう。手にやけどを負ってしまい、病院に行くように言われるが、大丈夫だからと動かないはづきに、江崎はケガをしている人間は邪魔だから厨房から出ていくように言い放つ。翌日、出社してきたはづきに、車に乗っていた刑事が…。 </t>
  </si>
  <si>
    <t>番組名&lt;ドラマチックサンデー&gt;dinner　#05</t>
  </si>
  <si>
    <t>『ロッカビアンカ』のスタッフたちが、家庭の内情や好きな異性のタイプを話題に賄いを食べていると、仕入れに出かけていた江崎究(江口洋介)が帰ってくる。武藤はづき(関めぐみ)から、奥さんはいるのかを尋ねられた江崎は、いるにはいる、とだけ答えると、仕込みのために厨房に入ってしまう。　ワインセラーでワイン整理をしていた本宮恵理子(柴本幸)の元へ、不倫関係にある夏野大樹(袴田吉彦)がやって来る。 夏野は家庭がうまくいっていないことをアピールし、恵理子を温泉旅行に誘う。OKの返事をもらいワインセラーを出てきた夏野の前に瀬川壮一(ユースケ・サンタマリア)が現れた。焦る夏野に、瀬川は以前から知っていたことを告げ、店に迷惑さえかけなければいい、と口外しない約束をする。　その直後、夏野は妻・愛美(森カンナ)からの電話で、今夜ママ友たちと『ロッカビアンカ』に来ることになったと知らされる。慌てた夏野は 瀬川を呼び出し、愛美が妻であることを恵理子らスタッフたちに秘密にするよう頼む。渋々、最善を尽くすと約束する瀬川に、夏野は妻に自分が新料理長だとウソをついていることを話し、呆れられる。　店がオープンした。厨房が忙しくなるが、夏野は仕事に集中できず、ちょっとしたミスを繰り返す。やがて、愛美たちがやってきた。対応した瀬川が、料理長には救われたと話しているのを聞いた恵理子は、愛美が江崎の妻だと勘違いし… 江口洋介　倉科カナ　松重豊　　・　　袴田吉彦　関めぐみ　志賀廣太郎　柴本幸　池津祥子　　・　　風間杜夫　　・　　八嶋智人　ユースケ・サンタマリア　ほか 【脚本】小川真 【編成企画】鹿内植　【プロデュース】小椋久雄　山崎淳子　【演出】星護 佐橋俊彦 フジテレビ　【制作著作】共同テレビ</t>
  </si>
  <si>
    <t xml:space="preserve">『ロッカビアンカ』のスタッフたちが、家庭の内情や好きな異性のタイプを話題に賄いを食べていると、仕入れに出かけていた江崎究(江口洋介)が帰ってくる。武藤はづき(関めぐみ)から、奥さんはいるのかを尋ねられた江崎は、いるにはいる、とだけ答えると、仕込みのために厨房に入ってしまう。　ワインセラーでワイン整理をしていた本宮恵理子(柴本幸)の元へ、不倫関係にある夏野大樹(袴田吉彦)がやって来る。 夏野は家庭がうまくいっていないことをアピールし、恵理子を温泉旅行に誘う。OKの返事をもらいワインセラーを出てきた夏野の前に瀬川壮一(ユースケ・サンタマリア)が現れた。焦る夏野に、瀬川は以前から知っていたことを告げ、店に迷惑さえかけなければいい、と口外しない約束をする。　その直後、夏野は妻・愛美(森カンナ)からの電話で、今夜ママ友たちと『ロッカビアンカ』に来ることになったと知らされる。慌てた夏野は 瀬川を呼び出し、愛美が妻であることを恵理子らスタッフたちに秘密にするよう頼む。渋々、最善を尽くすと約束する瀬川に、夏野は妻に自分が新料理長だとウソをついていることを話し、呆れられる。　店がオープンした。厨房が忙しくなるが、夏野は仕事に集中できず、ちょっとしたミスを繰り返す。やがて、愛美たちがやってきた。対応した瀬川が、料理長には救われたと話しているのを聞いた恵理子は、愛美が江崎の妻だと勘違いし… </t>
  </si>
  <si>
    <t>番組名&lt;ドラマチックサンデー&gt;dinner　#06</t>
  </si>
  <si>
    <t>『ロッカビアンカ』に有名雑誌から取材依頼がきた。前回の小さな記事とは違い、4ページの大特集だという。スタッフは、江崎究(江口洋介)の横柄な態度が相手を不愉快にさせるのではと不安を抱くが、今回はアンティパストの特集で取材対象が浜岡孝太郎(志賀廣太郎)だと聞いて安心する。ところが浜岡は、取材は断って欲しいという。辰巳沙織(倉科カナ)たちは必死に浜岡を説得したが、同意を得ることはできなかった。 　いつものように、閉店後に辰巳日出男(風間杜夫)が入院している病院を訪れた沙織は、見舞いに来ていた浜岡と遭遇する。沙織は、日出男が戻ってくる時にお客様の笑顔があふれる店にするためにはどんなことでもしたいと訴え、取材を受けて欲しいと再び説得する。数日後、浜岡の取材が行われた。記者の質問に少ない言葉で返す浜岡を不安気に見ていた沙織だが、取材はなんとか無事に終了する。 やがて、掲載誌が発売になると予想以上の反響があり、喜ぶ沙織や瀬川壮一(ユースケ・サンタマリア)。そんな中、ひとりで来ていた男性客(弓削智久)が、出されたアンティパストに手を付けず、作った者を呼べと言い出す。その乱暴な態度に戸惑う沙織に、男は浜岡の写真が掲載されている雑誌を開き、この店は人殺しが作った料理を出している、と大声で騒ぎだし…。 江口洋介　倉科カナ　松重豊　　・　　袴田吉彦　関めぐみ　志賀廣太郎　柴本幸　池津祥子　　・　　風間杜夫　　・　　八嶋智人　ユースケ・サンタマリア　ほか 【脚本】浪江裕史 【編成企画】鹿内植　【プロデュース】小椋久雄　山崎淳子　【演出】土方政人 佐橋俊彦 フジテレビ　【制作著作】共同テレビ</t>
  </si>
  <si>
    <t xml:space="preserve">『ロッカビアンカ』に有名雑誌から取材依頼がきた。前回の小さな記事とは違い、4ページの大特集だという。スタッフは、江崎究(江口洋介)の横柄な態度が相手を不愉快にさせるのではと不安を抱くが、今回はアンティパストの特集で取材対象が浜岡孝太郎(志賀廣太郎)だと聞いて安心する。ところが浜岡は、取材は断って欲しいという。辰巳沙織(倉科カナ)たちは必死に浜岡を説得したが、同意を得ることはできなかった。 　いつものように、閉店後に辰巳日出男(風間杜夫)が入院している病院を訪れた沙織は、見舞いに来ていた浜岡と遭遇する。沙織は、日出男が戻ってくる時にお客様の笑顔があふれる店にするためにはどんなことでもしたいと訴え、取材を受けて欲しいと再び説得する。数日後、浜岡の取材が行われた。記者の質問に少ない言葉で返す浜岡を不安気に見ていた沙織だが、取材はなんとか無事に終了する。 やがて、掲載誌が発売になると予想以上の反響があり、喜ぶ沙織や瀬川壮一(ユースケ・サンタマリア)。そんな中、ひとりで来ていた男性客(弓削智久)が、出されたアンティパストに手を付けず、作った者を呼べと言い出す。その乱暴な態度に戸惑う沙織に、男は浜岡の写真が掲載されている雑誌を開き、この店は人殺しが作った料理を出している、と大声で騒ぎだし…。 </t>
  </si>
  <si>
    <t>番組名&lt;ドラマチックサンデー&gt;dinner　#07</t>
  </si>
  <si>
    <t>『ロッカビアンカ』の厨房に江崎究(江口洋介)が駆け込んできた。江崎は、通勤中に浮かんだ新しい料理のアイデアを試すために、すぐ古田博巳(町田宏器)に食材の在庫を確認する。ところが、古田の姿はなく、今井耕助(松重豊)から病気で休みだと伝えられた。実は数十分前、仕込みをしていた古田に対して、木村数馬(八嶋智人)と梶信成(越村友一)は仕事が遅いと叱っていた。 その際、“足手まとい"と言われ、傷ついた古田は店を飛び出してしまったのだ。焦った2人から相談を受けた今井は、閉店後に説得に行く約束をした。そして、古田が戻り辛くならないように江崎や他のスタッフたちには病欠だと言ってごまかすことにする。　44歳で現役を続けているサッカー選手の黒木春人(東幹久)が来店した。黒木はざわつく周囲の声を気にとめることなく、先に来ていたテレビ局のスタッフと合流する。 そこへ、料理長から直接おすすめ料理を聞きたいという要望を受けた江崎がテーブルへやって来た。閉店後、江崎と黒木は食事に行くことになった。黒木から誘われて一緒に来た辰巳沙織(倉科カナ)は、そこで2人が20年来の知り合いで、イタリアで出会ったと聞く…。　同じころ、今井は古田を家の近所の喫茶店に呼び出していた。木村と梶が隠れて話を聞く中、今井は古田の説得を始める。 江口洋介　倉科カナ　松重豊　　・　　袴田吉彦　関めぐみ　志賀廣太郎　柴本幸　池津祥子　　・　　風間杜夫　　・　　八嶋智人　ユースケ・サンタマリア　ほか 黒岩勉 【編成企画】鹿内植　【プロデュース】小椋久雄　山崎淳子　【演出】城宝秀則 佐橋俊彦 フジテレビ　【制作著作】共同テレビ</t>
  </si>
  <si>
    <t xml:space="preserve">『ロッカビアンカ』の厨房に江崎究(江口洋介)が駆け込んできた。江崎は、通勤中に浮かんだ新しい料理のアイデアを試すために、すぐ古田博巳(町田宏器)に食材の在庫を確認する。ところが、古田の姿はなく、今井耕助(松重豊)から病気で休みだと伝えられた。実は数十分前、仕込みをしていた古田に対して、木村数馬(八嶋智人)と梶信成(越村友一)は仕事が遅いと叱っていた。 その際、“足手まとい"と言われ、傷ついた古田は店を飛び出してしまったのだ。焦った2人から相談を受けた今井は、閉店後に説得に行く約束をした。そして、古田が戻り辛くならないように江崎や他のスタッフたちには病欠だと言ってごまかすことにする。　44歳で現役を続けているサッカー選手の黒木春人(東幹久)が来店した。黒木はざわつく周囲の声を気にとめることなく、先に来ていたテレビ局のスタッフと合流する。 そこへ、料理長から直接おすすめ料理を聞きたいという要望を受けた江崎がテーブルへやって来た。閉店後、江崎と黒木は食事に行くことになった。黒木から誘われて一緒に来た辰巳沙織(倉科カナ)は、そこで2人が20年来の知り合いで、イタリアで出会ったと聞く…。　同じころ、今井は古田を家の近所の喫茶店に呼び出していた。木村と梶が隠れて話を聞く中、今井は古田の説得を始める。 </t>
  </si>
  <si>
    <t>番組名&lt;ドラマチックサンデー&gt;dinner　#08</t>
  </si>
  <si>
    <t>『ロッカビアンカ』で仕込み中の江崎究(江口洋介)の元へ、武藤はづき(関めぐみ)が試作のパスタを持ってきた。修正を加えれば春の新メニューに加えてもいいという、江崎の言葉に驚く厨房スタッフたち。一気にやる気が高まり盛り上がるスタッフたちの中、木村数馬(八嶋智人)だけは淡々と仕事をこなしていた。閉店後も帰ることなく新メニュー開発にいそしむスタッフたちを見た数馬は、 ふてくされて瀬川壮一(ユースケ・サンタマリア)と今井耕助(松重豊)を居酒屋へ誘う。最近の数馬の投げやりな態度が気になっていた今井は、理由を尋ねるが、数馬ははぐらかすばかりだった。その夜、数馬が家に帰ると、息子の翔馬(山田瑛瑠)を連れて実家に戻っていた妻・正美(西田尚美)が居た。父親が入院したから落ち着くまでの数日間だけ、翔馬を預かって欲しいという。ただしこの家に戻るつもりはないと言い切り、 帰っていく。翌朝、数馬は翔馬に『ロッカビアンカ』の人たちには別居中だと言わないように口止めした。いつものように江崎が厨房で新しいメニューを考案していると、学校帰りの翔馬がやってきた。ようやく作り上げた試作品に触ろうとした翔馬を怒鳴りつけた江崎は、辰巳沙織(倉科カナ)から責められる。さえぎるように数馬は江崎に謝り、全スタッフの前で事情を話して、翔馬が面倒かけますと頭を下げる…。 江口洋介　倉科カナ　松重豊　　・　　袴田吉彦　関めぐみ　志賀廣太郎　柴本幸　池津祥子　　・　　風間杜夫　　・　　八嶋智人　ユースケ・サンタマリア　ほか 【脚本】小川真 【編成企画】鹿内植　【プロデュース】小椋久雄　山崎淳子　【演出】星護 佐橋俊彦 フジテレビ　【制作著作】共同テレビ</t>
  </si>
  <si>
    <t xml:space="preserve">『ロッカビアンカ』で仕込み中の江崎究(江口洋介)の元へ、武藤はづき(関めぐみ)が試作のパスタを持ってきた。修正を加えれば春の新メニューに加えてもいいという、江崎の言葉に驚く厨房スタッフたち。一気にやる気が高まり盛り上がるスタッフたちの中、木村数馬(八嶋智人)だけは淡々と仕事をこなしていた。閉店後も帰ることなく新メニュー開発にいそしむスタッフたちを見た数馬は、 ふてくされて瀬川壮一(ユースケ・サンタマリア)と今井耕助(松重豊)を居酒屋へ誘う。最近の数馬の投げやりな態度が気になっていた今井は、理由を尋ねるが、数馬ははぐらかすばかりだった。その夜、数馬が家に帰ると、息子の翔馬(山田瑛瑠)を連れて実家に戻っていた妻・正美(西田尚美)が居た。父親が入院したから落ち着くまでの数日間だけ、翔馬を預かって欲しいという。ただしこの家に戻るつもりはないと言い切り、 帰っていく。翌朝、数馬は翔馬に『ロッカビアンカ』の人たちには別居中だと言わないように口止めした。いつものように江崎が厨房で新しいメニューを考案していると、学校帰りの翔馬がやってきた。ようやく作り上げた試作品に触ろうとした翔馬を怒鳴りつけた江崎は、辰巳沙織(倉科カナ)から責められる。さえぎるように数馬は江崎に謝り、全スタッフの前で事情を話して、翔馬が面倒かけますと頭を下げる…。 </t>
  </si>
  <si>
    <t>番組名&lt;ドラマチックサンデー&gt;dinner　#09</t>
  </si>
  <si>
    <t>江崎究(江口洋介)、木村数馬(八嶋智人)、浜岡孝太郎(志賀廣太郎)、平石雅弘(渡辺邦斗)は、常連客の依頼のケータリングサービスで海辺の別荘へ来ていた。パーティーが終わり、4人は別荘を出発するが、江崎が土産物店へ寄ると言い出した。店内に並んだ魚介類に目を輝かせてはしゃぐ江崎。その頃、『ロッカビアンカ』で仕込みを行っていた今井耕助(松重豊)が、荷物を運ぼうとして腰を痛め、動けなくなってしまった。辰巳沙織(倉科カナ)から連絡を受けた江崎たちは、慌てて土産物店を飛び出すが、国道の渋滞にはまってしまう。抜け道を行くと、しばらく行ったところで通行止めになり、再び国道へ戻ることに。数馬は沙織に、オープンに間に合わないと連絡を入れ、江崎は予約の6組分の料理は今いる厨房スタッフで作るように指示を出す。沙織は瀬川壮一(ユースケ・サンタマリア)と相談し、江崎たちが戻るまでは予約客以外は断ることにする。　店がオープンし、6組の予約客がやってきた。夏野大樹(袴田吉彦)たちが必死で料理を作っていく中、新たな団体客がやって来た。断ろうとするが、実は沙織の記入ミスで、ちゃんと予約がしてあったことがわかり受け入れることに。ところが江崎たちは再び道に迷ってあと1時間はかかるという。沙織から店内と江崎たちの状況を聞いて、困惑しながらも調理に取り掛かる厨房スタッフたち。そんな矢先、江崎たちの乗った車が故障し…。江口洋介　  倉科カナ　  松重豊  　　・　　  袴田吉彦　  関めぐみ　  志賀廣太郎　  柴本幸　  池津祥子  　　・　　  風間杜夫  　　・　　  八嶋智人　  ユースケ・サンタマリア　    ほか【脚本】  小川真【編成企画】  鹿内植　    【プロデュース】  小椋久雄　  山崎淳子　    【演出】  土方政人佐橋俊彦フジテレビ　    【制作著作】  共同テレビ</t>
  </si>
  <si>
    <t>江崎究(江口洋介)、木村数馬(八嶋智人)、浜岡孝太郎(志賀廣太郎)、平石雅弘(渡辺邦斗)は、常連客の依頼のケータリングサービスで海辺の別荘へ来ていた。パーティーが終わり、4人は別荘を出発するが、江崎が土産物店へ寄ると言い出した。店内に並んだ魚介類に目を輝かせてはしゃぐ江崎。その頃、『ロッカビアンカ』で仕込みを行っていた今井耕助(松重豊)が、荷物を運ぼうとして腰を痛め、動けなくなってしまった。辰巳沙織(倉科カナ)から連絡を受けた江崎たちは、慌てて土産物店を飛び出すが、国道の渋滞にはまってしまう。抜け道を行くと、しばらく行ったところで通行止めになり、再び国道へ戻ることに。数馬は沙織に、オープンに間に合わないと連絡を入れ、江崎は予約の6組分の料理は今いる厨房スタッフで作るように指示を出す。沙織は瀬川壮一(ユースケ・サンタマリア)と相談し、江崎たちが戻るまでは予約客以外は断ることにする。　店がオープンし、6組の予約客がやってきた。夏野大樹(袴田吉彦)たちが必死で料理を作っていく中、新たな団体客がやって来た。断ろうとするが、実は沙織の記入ミスで、ちゃんと予約がしてあったことがわかり受け入れることに。ところが江崎たちは再び道に迷ってあと1時間はかかるという。沙織から店内と江崎たちの状況を聞いて、困惑しながらも調理に取り掛かる厨房スタッフたち。そんな矢先、江崎たちの乗った車が故障し…。</t>
  </si>
  <si>
    <t>番組名&lt;ドラマチックサンデー&gt;dinner　#10</t>
  </si>
  <si>
    <t>『ロッカビアンカ』の厨房で、仕入れてきた高級な鶏肉を前にご機嫌になっている江崎究(江口洋介)の元へ辰巳沙織(倉科カナ)がやってきた。沙織は遠慮がちに材料費を下げて欲しいとお願いするが、江崎は即答で断った。儲けのために味を落とすわけにはいかないと断固として首を縦に振らない江崎に、沙織は勢いで支配人命令だと言い放つ。江崎はそれならば店を辞めると言い出し、今井耕助(松重豊)と瀬川壮一(ユースケ・サンタマリア)が慌てて止めに入る。瀬川はお金は自分がなんとかすると言って、その場を収めた。閉店後、店を出てきた大塚弥生(池津祥子)は、冬樹恒彦(勝村政信)とぶつかる。知り合いに似ていると、冬樹にじっと見つめられた弥生は胸をときめかせる。弥生が去った後、冬樹は『ロッカビアンカ』の写真を撮り始めた。同じころ、沙織、今井、瀬川は赤字解消のため、ランチを始めることを決める。  　あくる日、今井からランチを始めたいと言われた厨房スタッフは、仕事量が増えると不満を訴えつつ渋々了承する。そこへ江崎が入って来た。反応を恐れつつ、今井がランチの件を切り出すと、江崎は料理が倍作れると快諾する。  　ある日、街を歩いていた梶信成(越村友一)と古田博巳(町田宏器)は、消費者金融店から厳しい顔で出てくる瀬川を見掛け…江口洋介　  倉科カナ　  松重豊  　　・　　  袴田吉彦　  関めぐみ　  志賀廣太郎　  柴本幸　  池津祥子  　　・　　  風間杜夫  　　・　　  八嶋智人　  ユースケ・サンタマリア　    ほか黒岩勉【編成企画】  鹿内植　    【プロデュース】  小椋久雄　  山崎淳子　    【演出】  村谷嘉則佐橋俊彦フジテレビ　    【制作著作】  共同テレビ</t>
  </si>
  <si>
    <t>『ロッカビアンカ』の厨房で、仕入れてきた高級な鶏肉を前にご機嫌になっている江崎究(江口洋介)の元へ辰巳沙織(倉科カナ)がやってきた。沙織は遠慮がちに材料費を下げて欲しいとお願いするが、江崎は即答で断った。儲けのために味を落とすわけにはいかないと断固として首を縦に振らない江崎に、沙織は勢いで支配人命令だと言い放つ。江崎はそれならば店を辞めると言い出し、今井耕助(松重豊)と瀬川壮一(ユースケ・サンタマリア)が慌てて止めに入る。瀬川はお金は自分がなんとかすると言って、その場を収めた。閉店後、店を出てきた大塚弥生(池津祥子)は、冬樹恒彦(勝村政信)とぶつかる。知り合いに似ていると、冬樹にじっと見つめられた弥生は胸をときめかせる。弥生が去った後、冬樹は『ロッカビアンカ』の写真を撮り始めた。同じころ、沙織、今井、瀬川は赤字解消のため、ランチを始めることを決める。  　あくる日、今井からランチを始めたいと言われた厨房スタッフは、仕事量が増えると不満を訴えつつ渋々了承する。そこへ江崎が入って来た。反応を恐れつつ、今井がランチの件を切り出すと、江崎は料理が倍作れると快諾する。  　ある日、街を歩いていた梶信成(越村友一)と古田博巳(町田宏器)は、消費者金融店から厳しい顔で出てくる瀬川を見掛け…</t>
  </si>
  <si>
    <t>番組名&lt;ドラマチックサンデー&gt;dinner　#11</t>
  </si>
  <si>
    <t>江崎究(江口洋介)は、以前修業していたイタリアの有名店「テレーザ」から、新しくオープンするシンガポール支店の料理長になって欲しいと誘いを受ける。同じ頃、「ロッカビアンカ」では営業は始まっていて、客からメニューにはないカボチャのトルテッリが食べたいとオーダーが入る。今井耕助(松重豊)は味の決め手となるモスタルダがないからと断る。しかし、どうしても食べたいと再度オーダーが入り、今あるものを使って即席で対応することにした。帰る途中、店に電話を入れた江崎は辰巳沙織(倉科カナ)から状況を聞き、最終的な味の調整は自分がやるからと、料理を出すのは待つように指示を出す。しかし、沙織がそれを伝える前に料理がテーブルに出されてしまった。  　店に着いた江崎は、着替えもせずに厨房に飛び込む。料理がすでに出されたと聞き、残ったものを味見するが、その想像以上のおいしさに驚く。着替えるため厨房を出た江崎は、今井の指示のもと、きびきびと働く厨房スタッフたちを無言で見つめた。  　ある日、ランチ営業後にみんなでくつろいでいると、沙織が「カーザ・トリーノ」から予約が入ったと飛び込んでくる。「カーザ・トリーノ」とは、世界中のイタリアン・レストランを三ツ星で格付けしているガイドブックで、アジアには星が2つの店はなく、星1つの店でも、日本には「ロッカビアンカ」も含め3軒しかないほど評価が厳しい…。江口洋介　  倉科カナ　  松重豊  　　・　　  袴田吉彦　  関めぐみ　  志賀廣太郎　  柴本幸　  池津祥子  　　・　　  風間杜夫  　　・　　  八嶋智人　  ユースケ・サンタマリア　    ほか黒岩勉【編成企画】  鹿内植　    【プロデュース】  小椋久雄　  山崎淳子　    【演出】  星護佐橋俊彦フジテレビ　    【制作著作】  共同テレビ</t>
  </si>
  <si>
    <t>江崎究(江口洋介)は、以前修業していたイタリアの有名店「テレーザ」から、新しくオープンするシンガポール支店の料理長になって欲しいと誘いを受ける。同じ頃、「ロッカビアンカ」では営業は始まっていて、客からメニューにはないカボチャのトルテッリが食べたいとオーダーが入る。今井耕助(松重豊)は味の決め手となるモスタルダがないからと断る。しかし、どうしても食べたいと再度オーダーが入り、今あるものを使って即席で対応することにした。帰る途中、店に電話を入れた江崎は辰巳沙織(倉科カナ)から状況を聞き、最終的な味の調整は自分がやるからと、料理を出すのは待つように指示を出す。しかし、沙織がそれを伝える前に料理がテーブルに出されてしまった。  　店に着いた江崎は、着替えもせずに厨房に飛び込む。料理がすでに出されたと聞き、残ったものを味見するが、その想像以上のおいしさに驚く。着替えるため厨房を出た江崎は、今井の指示のもと、きびきびと働く厨房スタッフたちを無言で見つめた。  　ある日、ランチ営業後にみんなでくつろいでいると、沙織が「カーザ・トリーノ」から予約が入ったと飛び込んでくる。「カーザ・トリーノ」とは、世界中のイタリアン・レストランを三ツ星で格付けしているガイドブックで、アジアには星が2つの店はなく、星1つの店でも、日本には「ロッカビアンカ」も含め3軒しかないほど評価が厳しい…。</t>
  </si>
  <si>
    <t>1210_CX_月21</t>
  </si>
  <si>
    <t>PRICELESS</t>
  </si>
  <si>
    <t>番組名PRICELESS～あるわけねぇだろ、んなもん!～　#01</t>
  </si>
  <si>
    <t>金田一二三男(木村拓哉)はミラクル魔法瓶企画開発営業部、課長。会社の後輩、同僚からも愛されていた。社内では、大屋敷巌社長(中村敦夫)が亡くなり息子の統一郎(藤木直人)が社長を引き継ぐことを社内放送が伝えていた。大屋敷巌社長は息を引き取る寸前、息子・統一郎にあることを告げていた。父の最後の言葉を聞きはっと目を開く統一郎。その意外な事実とは。そんな中、金田一に災難がふりかかる。情報漏洩という罪をかぶされ会社を追われることになってしまった。上司の模合謙吾(中井貴一)からも何をしたのかと問い詰められるが全く身に覚えのない金田一。模合も金田一がそんなことをするはずはないと上司に疑問を呈するが黙っていた方が身のためと言われ、それ以上追及しなくなる。金田一を慕う後輩、榎本小太郎(藤ヶ谷太輔)は現実を受け止められない。会社の経理部では、不明金欄にゼロ円が並ぶことを何よりもの生きがいにしている二階堂彩矢(香里奈)の姿が。金田一とは無縁だったはずの彼女もまた、金田一にまつわるある資料の不明点を追及したがために事件に巻き込まれていく・・・。職ばかりか住んでいた家も失い、一気に都会の難民と化す。途方に暮れていた金田一が出会ったのは幼い兄弟、鞠丘貫太(前田旺志郎)と両太(田中奏生)だった。金田一は彼らに無一文で生きていくすべを学ぶことに。金田一二三男のゼロからのスタートが今始まる・・・。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古家和尚【演出】  鈴木雅之　    【プロデューサー】  牧野正　  村瀬健【主題歌】  The　Rolling　Stones「Jumpin'Jack　Flash」フジテレビドラマ制作センター</t>
  </si>
  <si>
    <t>金田一二三男(木村拓哉)はミラクル魔法瓶企画開発営業部、課長。会社の後輩、同僚からも愛されていた。社内では、大屋敷巌社長(中村敦夫)が亡くなり息子の統一郎(藤木直人)が社長を引き継ぐことを社内放送が伝えていた。大屋敷巌社長は息を引き取る寸前、息子・統一郎にあることを告げていた。父の最後の言葉を聞きはっと目を開く統一郎。その意外な事実とは。そんな中、金田一に災難がふりかかる。情報漏洩という罪をかぶされ会社を追われることになってしまった。上司の模合謙吾(中井貴一)からも何をしたのかと問い詰められるが全く身に覚えのない金田一。模合も金田一がそんなことをするはずはないと上司に疑問を呈するが黙っていた方が身のためと言われ、それ以上追及しなくなる。金田一を慕う後輩、榎本小太郎(藤ヶ谷太輔)は現実を受け止められない。会社の経理部では、不明金欄にゼロ円が並ぶことを何よりもの生きがいにしている二階堂彩矢(香里奈)の姿が。金田一とは無縁だったはずの彼女もまた、金田一にまつわるある資料の不明点を追及したがために事件に巻き込まれていく・・・。職ばかりか住んでいた家も失い、一気に都会の難民と化す。途方に暮れていた金田一が出会ったのは幼い兄弟、鞠丘貫太(前田旺志郎)と両太(田中奏生)だった。金田一は彼らに無一文で生きていくすべを学ぶことに。金田一二三男のゼロからのスタートが今始まる・・・。</t>
  </si>
  <si>
    <t>番組名PRICELESS～あるわけねぇだろ、んなもん!～　#02</t>
  </si>
  <si>
    <t>一泊分の家賃を手に入れた金田一二三男(木村拓哉)は、鞠丘寛太(前田旺志郎)、両太(田中奏生)兄弟と幸福荘に戻る。すると、金田一はアパートの住人、豪田武雄(酒井敏也)に窮地を救う女神が現れると占われた。もしや、家賃が…と、思う金田一だが、ようやく稼いだ500円は一厘(夏木マリ)にしっかりと受け取られてしまう。  　次の日も、金田一は寛太、両太から僅かばかりの金を得る方法を指南してもらう。その頃『ミラクル魔法瓶』では、榎本小太郎(藤ヶ谷太輔)が模合謙吾(中井貴一)に金田一の無実を直訴。模合も納得しているわけではないのだが、榎本が心配することではないと取り合わない。  　金田一たちが幸福荘に戻ると、二階堂彩矢(香里奈)が来た。『ミラクル魔法瓶』の経理課に努める彩矢は、金田一の大阪出張を疑問に思っていた。その日、金田一が本当に出張していたなら、本社から機密情報を持ち出すことは出来ない。彩矢はカラ出張を疑っていたのだが、この証拠は金田一には朗報。ホテルの領収書もあるので、出張を命じた模合の説明があれば、金田一の疑いは晴れる。  　翌日、金田一は『ミラクル魔法瓶』へ。彩矢と一緒に模合を探すが、なかなか見つからない。そんな時、金田一は社長の大屋敷統一郎(藤木直人)と財前修(イッセー尾形)に見つかってしまう。大阪出張の件を話す金田一に、統一郎は再調査を約束するのだが…。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古家和尚【演出】  鈴木雅之　    【プロデューサー】  牧野正　  村瀬健【主題歌】  The　Rolling　Stones「Jumpin'　Jack　Flash」フジテレビ</t>
  </si>
  <si>
    <t>一泊分の家賃を手に入れた金田一二三男(木村拓哉)は、鞠丘寛太(前田旺志郎)、両太(田中奏生)兄弟と幸福荘に戻る。すると、金田一はアパートの住人、豪田武雄(酒井敏也)に窮地を救う女神が現れると占われた。もしや、家賃が…と、思う金田一だが、ようやく稼いだ500円は一厘(夏木マリ)にしっかりと受け取られてしまう。  　次の日も、金田一は寛太、両太から僅かばかりの金を得る方法を指南してもらう。その頃『ミラクル魔法瓶』では、榎本小太郎(藤ヶ谷太輔)が模合謙吾(中井貴一)に金田一の無実を直訴。模合も納得しているわけではないのだが、榎本が心配することではないと取り合わない。  　金田一たちが幸福荘に戻ると、二階堂彩矢(香里奈)が来た。『ミラクル魔法瓶』の経理課に努める彩矢は、金田一の大阪出張を疑問に思っていた。その日、金田一が本当に出張していたなら、本社から機密情報を持ち出すことは出来ない。彩矢はカラ出張を疑っていたのだが、この証拠は金田一には朗報。ホテルの領収書もあるので、出張を命じた模合の説明があれば、金田一の疑いは晴れる。  　翌日、金田一は『ミラクル魔法瓶』へ。彩矢と一緒に模合を探すが、なかなか見つからない。そんな時、金田一は社長の大屋敷統一郎(藤木直人)と財前修(イッセー尾形)に見つかってしまう。大阪出張の件を話す金田一に、統一郎は再調査を約束するのだが…。</t>
  </si>
  <si>
    <t>番組名PRICELESS～あるわけねぇだろ、んなもん!～　#03</t>
  </si>
  <si>
    <t>金田一二三男(木村拓哉)の無実を証明しようとした二階堂彩矢(香里奈)も『ミラクル魔法瓶』を解雇されてしまった。株で失敗し、貯金もない彩矢は『幸福荘』に転がり込んで来る。しかし『幸福荘』は満室。鞠丘一厘(夏木マリ)は、拾ったものは拾った者の責任と、金田一の部屋に住むようにと告げる。もちろん、お断りの彩矢だが他にあても無いため、金田一の部屋を急造のカーテンで仕切って暮らす事になった。　金田一は彩矢、貫太(前田旺志郎)、両太(田中奏生)と行った中華料理店『青春軒』の店主、佐倉辰彦(木村祐一)に頼み込んで、働き始める。しかし、店は閑古鳥が鳴いていた。近くに人気の店があるのはともかく、『青春軒』のラーメンはまずく、何より佐倉にやる気が無い。以前は、うまかったようだが…。  　その頃、彩矢は模合謙吾(中井貴一)と会っていた。彩矢は自分と金田一に何があったのかを聞き出そうとするが、会社側につくことで出世した模合が教える事はなかった。  　金田一が『幸福荘』に帰ると、コスプレ衣装を着た彩矢が出てきてビックリ。以前から住んでいる路上アイドル、富沢萌(小嶋陽菜)の仕業だ。その姿を見た金田一は、あることを彩矢に頼む。金田一は『青春軒』に、客を呼び戻そうとしていたのだ。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古家和尚【演出】  鈴木雅之　    【プロデューサー】  牧野正　  村瀬健【主題歌】  The　Rolling　Stones「Jumpin'　Jack　Flash」フジテレビ</t>
  </si>
  <si>
    <t>金田一二三男(木村拓哉)の無実を証明しようとした二階堂彩矢(香里奈)も『ミラクル魔法瓶』を解雇されてしまった。株で失敗し、貯金もない彩矢は『幸福荘』に転がり込んで来る。しかし『幸福荘』は満室。鞠丘一厘(夏木マリ)は、拾ったものは拾った者の責任と、金田一の部屋に住むようにと告げる。もちろん、お断りの彩矢だが他にあても無いため、金田一の部屋を急造のカーテンで仕切って暮らす事になった。　金田一は彩矢、貫太(前田旺志郎)、両太(田中奏生)と行った中華料理店『青春軒』の店主、佐倉辰彦(木村祐一)に頼み込んで、働き始める。しかし、店は閑古鳥が鳴いていた。近くに人気の店があるのはともかく、『青春軒』のラーメンはまずく、何より佐倉にやる気が無い。以前は、うまかったようだが…。  　その頃、彩矢は模合謙吾(中井貴一)と会っていた。彩矢は自分と金田一に何があったのかを聞き出そうとするが、会社側につくことで出世した模合が教える事はなかった。  　金田一が『幸福荘』に帰ると、コスプレ衣装を着た彩矢が出てきてビックリ。以前から住んでいる路上アイドル、富沢萌(小嶋陽菜)の仕業だ。その姿を見た金田一は、あることを彩矢に頼む。金田一は『青春軒』に、客を呼び戻そうとしていたのだ。</t>
  </si>
  <si>
    <t>番組名PRICELESS～あるわけねぇだろ、んなもん!～　#04</t>
  </si>
  <si>
    <t>金田一二三男(木村拓哉)が鞠丘貫太(前田旺志郎)、両太(田中奏生)と公園にいると、榎本小太郎(藤ヶ谷太輔)がやって来る。榎本にご飯を奢ると言う金田一。と言っても、いつもの炊き出し。列に並んで食事をもらった金田一は、無一文になった時に段ボールを貸してくれたゲンさん(五頭岳夫)がいないことに気付く。ゲンさんのテントを覗くと、体が弱っている様子。金田一は榎本に薬を買ってこさせ、水と食料も差し入れた。　榎本の用事は、金田一が会社にいた頃に進めていた自分の企画が形になりそうだという報告。コストの問題でもめていたが、下請けの相模川製作所の社長の協力で切り抜けたのだ。榎本は、その会社が人手を必要としているので、金田一に短期で良いなら働いてみないかと勧める。金田一は、もちろん大喜び。  　金田一が『幸福荘』に帰ると、二階堂彩矢(香里奈)と鉢合わせ。彩矢は富沢萌(小嶋陽菜)にキャバクラのバイトの代打をさせられているのだが、金田一には職が見つかったとうそぶく。そこに一厘(夏木マリ)が来て、金田一に客が来ていると教える。金田一の恋人、広瀬瑤子(蓮佛美沙子)だった。  　一方、模合謙吾(中井貴一)は大屋敷統一郎(藤木直人)から企画営業部で進めている新製品企画を全て白紙に戻すよう命令されていた。その中には、榎本が相模川製作所と進めている企画も含まれていて…。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古家和尚【演出】  鈴木雅之　    【プロデューサー】  牧野正　  村瀬健【主題歌】  The　Rolling　Stones「Jumpin'　Jack　Flash」フジテレビ</t>
  </si>
  <si>
    <t>金田一二三男(木村拓哉)が鞠丘貫太(前田旺志郎)、両太(田中奏生)と公園にいると、榎本小太郎(藤ヶ谷太輔)がやって来る。榎本にご飯を奢ると言う金田一。と言っても、いつもの炊き出し。列に並んで食事をもらった金田一は、無一文になった時に段ボールを貸してくれたゲンさん(五頭岳夫)がいないことに気付く。ゲンさんのテントを覗くと、体が弱っている様子。金田一は榎本に薬を買ってこさせ、水と食料も差し入れた。　榎本の用事は、金田一が会社にいた頃に進めていた自分の企画が形になりそうだという報告。コストの問題でもめていたが、下請けの相模川製作所の社長の協力で切り抜けたのだ。榎本は、その会社が人手を必要としているので、金田一に短期で良いなら働いてみないかと勧める。金田一は、もちろん大喜び。  　金田一が『幸福荘』に帰ると、二階堂彩矢(香里奈)と鉢合わせ。彩矢は富沢萌(小嶋陽菜)にキャバクラのバイトの代打をさせられているのだが、金田一には職が見つかったとうそぶく。そこに一厘(夏木マリ)が来て、金田一に客が来ていると教える。金田一の恋人、広瀬瑤子(蓮佛美沙子)だった。  　一方、模合謙吾(中井貴一)は大屋敷統一郎(藤木直人)から企画営業部で進めている新製品企画を全て白紙に戻すよう命令されていた。その中には、榎本が相模川製作所と進めている企画も含まれていて…。</t>
  </si>
  <si>
    <t>番組名PRICELESS～あるわけねぇだろ、んなもん!～　#05</t>
  </si>
  <si>
    <t>金田一二三男(木村拓哉)の部屋に模合謙吾(中井貴一)まで転がり込んできた。すでに二階堂彩矢(香里奈)がいるので、狭い部屋に3人で寝なくてはいけない。早速、部屋の使い方で模合と彩矢がもめだすが、金田一は何やら良い事を思いついたとソワソワしている。金田一は佐倉辰彦(木村祐一)にもらった屋台を使ってホットドッグ屋を開く事を思いついたのだ。金田一から話を聞いた模合と彩矢は反対する。  　模合は鞠丘一厘(夏木マリ)に空いている部屋はないかと聞くのだが、『幸福荘』に空き部屋はなかった。そのため、彩矢が富沢萌(小嶋陽菜)の部屋に泊めてもらう事になる。  　翌朝、彩矢は一晩中、萌の悩み相談に付き合わされて寝不足。そんな彩矢と模合を連れて、金田一は『キングスコート』の藤沢健(升毅)のもとへ。金田一は藤沢が作るホットドッグの味を再現した屋台を考えていて、食材も都合してもらったのだ。彩矢は反対していたハズなのに原価計算を始め、模合も他に何か売る物はないかと考えだす。それでも、表面上は屋台経営には大反対の模合と彩矢。準備が済んで屋台を押しながら金田一が告げた販売場所を聞いた2人は、あきれかえってしまう。なんと、その場所は3人がクビになった『ミラクル魔法瓶』の社屋前だった。  　その頃、『ミラクル魔法瓶』では大屋敷統一郎(藤木直人)と財前修(イッセー尾形)が、さらなるリストラを進めようとしていた。木村拓哉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櫻井剛【演出】  鈴木雅之　    【プロデューサー】  牧野正　  村瀬健【主題歌】  The　Rolling　Stones「Jumpin'　Jack　Flash」フジテレビ</t>
  </si>
  <si>
    <t>金田一二三男(木村拓哉)の部屋に模合謙吾(中井貴一)まで転がり込んできた。すでに二階堂彩矢(香里奈)がいるので、狭い部屋に3人で寝なくてはいけない。早速、部屋の使い方で模合と彩矢がもめだすが、金田一は何やら良い事を思いついたとソワソワしている。金田一は佐倉辰彦(木村祐一)にもらった屋台を使ってホットドッグ屋を開く事を思いついたのだ。金田一から話を聞いた模合と彩矢は反対する。  　模合は鞠丘一厘(夏木マリ)に空いている部屋はないかと聞くのだが、『幸福荘』に空き部屋はなかった。そのため、彩矢が富沢萌(小嶋陽菜)の部屋に泊めてもらう事になる。  　翌朝、彩矢は一晩中、萌の悩み相談に付き合わされて寝不足。そんな彩矢と模合を連れて、金田一は『キングスコート』の藤沢健(升毅)のもとへ。金田一は藤沢が作るホットドッグの味を再現した屋台を考えていて、食材も都合してもらったのだ。彩矢は反対していたハズなのに原価計算を始め、模合も他に何か売る物はないかと考えだす。それでも、表面上は屋台経営には大反対の模合と彩矢。準備が済んで屋台を押しながら金田一が告げた販売場所を聞いた2人は、あきれかえってしまう。なんと、その場所は3人がクビになった『ミラクル魔法瓶』の社屋前だった。  　その頃、『ミラクル魔法瓶』では大屋敷統一郎(藤木直人)と財前修(イッセー尾形)が、さらなるリストラを進めようとしていた。</t>
  </si>
  <si>
    <t>番組名PRICELESS～あるわけねぇだろ、んなもん!～　#06</t>
  </si>
  <si>
    <t>金田一二三男(木村拓哉)を広瀬ファンドの社長、広瀬遼一(草刈正雄)が訪ねてきた。名刺をもらった金田一は、広瀬が元恋人の瑤子(蓮佛美沙子)の父親だと気付く。金田一は瑤子と別れたことについて何か言いに来たと思い込む。金田一から瑤子との話を聞いた模合謙吾(中井貴一)と二階堂彩矢(香里奈)も、謝ってしまった方が良いなどとアドバイス。だが、広瀬の目的は別。なんと広瀬は、金田一たちが売っているホットドッグを屋台の権利ごと売って欲しいと言うのだ。金田一はホットドッグを作った藤沢健(升毅)にも相談し、広瀬に権利を売ることにする。  　一方、大屋敷統一郎(藤木直人)は社名を『株式会社ミラクル』に変更すると会見し、魔法瓶の製造からは手を引こうとしていた。  　無事に権利を譲渡して屋台を手放した金田一は、手に入れた金は自分がもらうと模合と彩矢に宣言。そして統一郎に会いに行った金田一は、魔法瓶事業を止めたことで閉鎖されている工場を借りたいと申し出る。金田一は屋台の権利譲渡で得た金で、自分たちで魔法瓶を作って販売しようと考えていた。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古家和尚【演出】  平野眞　    【プロデューサー】  牧野正　  村瀬健【主題歌】  The　Rolling　Stones「Jumpin'　Jack　Flash」フジテレビ</t>
  </si>
  <si>
    <t>金田一二三男(木村拓哉)を広瀬ファンドの社長、広瀬遼一(草刈正雄)が訪ねてきた。名刺をもらった金田一は、広瀬が元恋人の瑤子(蓮佛美沙子)の父親だと気付く。金田一は瑤子と別れたことについて何か言いに来たと思い込む。金田一から瑤子との話を聞いた模合謙吾(中井貴一)と二階堂彩矢(香里奈)も、謝ってしまった方が良いなどとアドバイス。だが、広瀬の目的は別。なんと広瀬は、金田一たちが売っているホットドッグを屋台の権利ごと売って欲しいと言うのだ。金田一はホットドッグを作った藤沢健(升毅)にも相談し、広瀬に権利を売ることにする。  　一方、大屋敷統一郎(藤木直人)は社名を『株式会社ミラクル』に変更すると会見し、魔法瓶の製造からは手を引こうとしていた。  　無事に権利を譲渡して屋台を手放した金田一は、手に入れた金は自分がもらうと模合と彩矢に宣言。そして統一郎に会いに行った金田一は、魔法瓶事業を止めたことで閉鎖されている工場を借りたいと申し出る。金田一は屋台の権利譲渡で得た金で、自分たちで魔法瓶を作って販売しようと考えていた。</t>
  </si>
  <si>
    <t>番組名PRICELESS～あるわけねぇだろ、んなもん!～　#07</t>
  </si>
  <si>
    <t>金田一二三男(木村拓哉)たちの『ハピネス魔法瓶』が作った“究極の魔法瓶"は返品の山。『幸福荘』の金田一、模合謙吾(中井貴一)、二階堂彩矢(香里奈)の狭い部屋に押し込まれてしまう。作った分、全てが戻ってきたかと思われたが、彩矢は1個足りない事に気がついた。  　次の日、金田一たちは魔法瓶をリサイクルショップに売り払うことに。リサイクルショップのトラックに魔法瓶を積み込んでいると、金田一に電話がかかってくる。なんとそれは、魔法瓶の注文だった。実は、その日の経済誌に“究極の魔法瓶"の記事が書かれていた。書いたのは、この男が記事にした商品は売れると言われている能見実(香川照之)。その噂通り“究極の魔法瓶"の注文が殺到する。金田一は、この注文をこなすために元『ミラクル魔法瓶』の下で魔法瓶製作に関わっていた工場の社長たちを集めて業務提携を頼み込む。  　『ミラクルエレクトロニクス』の大屋敷統一郎(藤木直人)は、財前修(イッセー尾形)から金田一たちの動きを知らされるが動じない。統一郎は寄せ集めの経営者での金田一たちの計画は必ず破綻すると読んでいた。それでも財前は榎本小太郎(藤ヶ谷太輔)を呼んで金田一たちを探らせる。  　金田一のもとに能見が来た。今回の記事に感謝する金田一に、能見は“一時的な成功は派閥を生み、その結果組織がバラバラになることもある"と忠告するるのだが…。木村拓哉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古家和尚【演出】  平野眞　    【プロデューサー】  牧野正　  村瀬健【主題歌】  The　Rolling　Stones「Jumpin'　Jack　Flash」フジテレビ</t>
  </si>
  <si>
    <t>金田一二三男(木村拓哉)たちの『ハピネス魔法瓶』が作った“究極の魔法瓶"は返品の山。『幸福荘』の金田一、模合謙吾(中井貴一)、二階堂彩矢(香里奈)の狭い部屋に押し込まれてしまう。作った分、全てが戻ってきたかと思われたが、彩矢は1個足りない事に気がついた。  　次の日、金田一たちは魔法瓶をリサイクルショップに売り払うことに。リサイクルショップのトラックに魔法瓶を積み込んでいると、金田一に電話がかかってくる。なんとそれは、魔法瓶の注文だった。実は、その日の経済誌に“究極の魔法瓶"の記事が書かれていた。書いたのは、この男が記事にした商品は売れると言われている能見実(香川照之)。その噂通り“究極の魔法瓶"の注文が殺到する。金田一は、この注文をこなすために元『ミラクル魔法瓶』の下で魔法瓶製作に関わっていた工場の社長たちを集めて業務提携を頼み込む。  　『ミラクルエレクトロニクス』の大屋敷統一郎(藤木直人)は、財前修(イッセー尾形)から金田一たちの動きを知らされるが動じない。統一郎は寄せ集めの経営者での金田一たちの計画は必ず破綻すると読んでいた。それでも財前は榎本小太郎(藤ヶ谷太輔)を呼んで金田一たちを探らせる。  　金田一のもとに能見が来た。今回の記事に感謝する金田一に、能見は“一時的な成功は派閥を生み、その結果組織がバラバラになることもある"と忠告するるのだが…。</t>
  </si>
  <si>
    <t>番組名PRICELESS～あるわけねぇだろ、んなもん!～　#08</t>
  </si>
  <si>
    <t>『ハピネス魔法瓶』を立ち上げ、オフィスも用意した金田一二三男(木村拓哉)たち。鞠丘貫太(前田旺志郎)、両太(田中奏生)たちもオフィスに来て、模合謙吾(中井貴一)にあきれられながら喜ぶ金田一。だが、そこには二階堂彩矢(香里奈)の姿は無かった。そんなオフィスに辻義人(志賀廣太郎)が訪ねて来る。辻は、古い機械が壊れて魔法瓶の生産が完全にストップしたことを金田一に報告。新しい機械導入にはかなりの資金が必要になる。  　金田一は資金援助を広瀬遼一(草刈正雄)に頼む。しかし、広瀬もすぐさま承諾できる金額ではない。だが、広瀬はベトナムの大企業が日本の家電メーカーとの業務提携を模索しているという情報を金田一に与える。さらに広瀬は、もし金田一たちが業務提携できたら協力を惜しまないと告げ、自分の会社が調整役を行っているレセプションパーティーに金田一を招く。また、そのパーティーには大屋敷統一郎(藤木直人)も出席することを教えた。  　金田一たちが『幸福荘』に帰ると、彩矢が出て行ったと一厘(夏木マリ)に教えられる。金田一は、すぐに帰ってくると動じない。だがその頃、彩矢は統一郎に『ミラクルエレクトロニクス』で働かないかと誘われていた。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古家和尚【演出】  金井紘　    【プロデューサー】  牧野正　  村瀬健【主題歌】  The　Rolling　Stones「Jumpin'　Jack　Flash」フジテレビ</t>
  </si>
  <si>
    <t>『ハピネス魔法瓶』を立ち上げ、オフィスも用意した金田一二三男(木村拓哉)たち。鞠丘貫太(前田旺志郎)、両太(田中奏生)たちもオフィスに来て、模合謙吾(中井貴一)にあきれられながら喜ぶ金田一。だが、そこには二階堂彩矢(香里奈)の姿は無かった。そんなオフィスに辻義人(志賀廣太郎)が訪ねて来る。辻は、古い機械が壊れて魔法瓶の生産が完全にストップしたことを金田一に報告。新しい機械導入にはかなりの資金が必要になる。  　金田一は資金援助を広瀬遼一(草刈正雄)に頼む。しかし、広瀬もすぐさま承諾できる金額ではない。だが、広瀬はベトナムの大企業が日本の家電メーカーとの業務提携を模索しているという情報を金田一に与える。さらに広瀬は、もし金田一たちが業務提携できたら協力を惜しまないと告げ、自分の会社が調整役を行っているレセプションパーティーに金田一を招く。また、そのパーティーには大屋敷統一郎(藤木直人)も出席することを教えた。  　金田一たちが『幸福荘』に帰ると、彩矢が出て行ったと一厘(夏木マリ)に教えられる。金田一は、すぐに帰ってくると動じない。だがその頃、彩矢は統一郎に『ミラクルエレクトロニクス』で働かないかと誘われていた。</t>
  </si>
  <si>
    <t>番組名PRICELESS～あるわけねぇだろ、んなもん!～　#09</t>
  </si>
  <si>
    <t>究極の魔法瓶は順調に売り上げを伸ばし、金田一二三男(木村拓哉)、模合謙吾(中井貴一)、二階堂彩矢(香里奈)たちの『ハピネス魔法瓶』は、さらに大きなオフィスに引っ越すことが出来るほどに成長した。しかし、模合と彩矢は新オフィスよりも先に『幸福荘』を出たいと言うのだが、金田一は居心地が良いと離れようとしない。　金田一は、設備投資の礼を言うため広瀬遼一(草刈正雄)を訪ねた。すると、広瀬は事業のことよりも、なぜ広島カープファンになったのかなどと金田一の幼い頃のことを尋ねてくる。疑問に思う金田一に、広瀬は自分もカープのファンなので、今度一緒に観戦に行こうと答えるだけだった。  　その頃、大屋敷統一郎(藤木直人)は、財前修(イッセー尾形)を伴って父・大屋敷巌(中村敦夫)の墓参りをしていた。『ミラクルエレクトロニクス』の改革が成功していることを喜ぶ財前に、統一郎はリストラの続行を命令する。さらに、統一郎は、以前、財前が口にしていた『ハピネス魔法瓶』を叩き潰す方法を直ちに実行するようにとも指図した。  　早朝、『幸福荘』の金田一たちが朝食を食べていると、財前がスーツを着た男とともに現れて…。木村拓哉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古家和尚【演出】  平野眞　    【プロデューサー】  牧野正　  村瀬健【主題歌】  The　Rolling　Stones「Jumpin'　Jack　Flash」フジテレビ</t>
  </si>
  <si>
    <t>究極の魔法瓶は順調に売り上げを伸ばし、金田一二三男(木村拓哉)、模合謙吾(中井貴一)、二階堂彩矢(香里奈)たちの『ハピネス魔法瓶』は、さらに大きなオフィスに引っ越すことが出来るほどに成長した。しかし、模合と彩矢は新オフィスよりも先に『幸福荘』を出たいと言うのだが、金田一は居心地が良いと離れようとしない。　金田一は、設備投資の礼を言うため広瀬遼一(草刈正雄)を訪ねた。すると、広瀬は事業のことよりも、なぜ広島カープファンになったのかなどと金田一の幼い頃のことを尋ねてくる。疑問に思う金田一に、広瀬は自分もカープのファンなので、今度一緒に観戦に行こうと答えるだけだった。  　その頃、大屋敷統一郎(藤木直人)は、財前修(イッセー尾形)を伴って父・大屋敷巌(中村敦夫)の墓参りをしていた。『ミラクルエレクトロニクス』の改革が成功していることを喜ぶ財前に、統一郎はリストラの続行を命令する。さらに、統一郎は、以前、財前が口にしていた『ハピネス魔法瓶』を叩き潰す方法を直ちに実行するようにとも指図した。  　早朝、『幸福荘』の金田一たちが朝食を食べていると、財前がスーツを着た男とともに現れて…。</t>
  </si>
  <si>
    <t>番組名PRICELESS～あるわけねぇだろ、んなもん!～　#10</t>
  </si>
  <si>
    <t>金田一二三男(木村拓哉)、模合謙吾(中井貴一)、二階堂彩矢(香里奈)が暮らす『幸福荘』の前に、榎本小太郎(藤ヶ谷太輔)たち『ミラクルエレクトロニクス』を退職した全社員がやって来た。社員たちは金田一と約束した魔法瓶事業再開を反故にしたばかりでなく、それまでの大屋敷統一郎(藤木直人)の経営方針にも嫌気がさしたのだ。一緒に働きたいと言う『ミラクルエレクトロニクス』元社員たちだが、すでに金田一の『ハピネス魔法瓶』はなくなっている。とりあえず、金田一たちは集まった元社員の名簿を作ることに。  　その頃、『ミラクルエレクトロニクス』の空になったオフィスには、統一郎と財前修(イッセー尾形)だけがいた。絶望を口にする統一郎を財前は何とか助けたいと思うのだが…。  　模合は統一郎に会いに行くという金田一を『幸福荘』に引き留め、自ら『ミラクルエレクトロニクス』へ。しかし、社長室には財前しかいなかった。統一郎を助けてほしいと懇願する財前に、模合は困惑してしまう。  　模合が『幸福荘』に戻ると、金田一の部屋に統一郎がいた。いったい統一郎は、何をしに金田一を訪ねてきたのだろうか。不安げに見守る模合と彩矢の前で金田一と対峙した統一郎は…。木村拓哉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　【演出】  平野眞　    【プロデューサー】  牧野正　  村瀬健【主題歌】  The　Rolling　Stones「Jumpin'　Jack　Flash」フジテレビ</t>
  </si>
  <si>
    <t>金田一二三男(木村拓哉)、模合謙吾(中井貴一)、二階堂彩矢(香里奈)が暮らす『幸福荘』の前に、榎本小太郎(藤ヶ谷太輔)たち『ミラクルエレクトロニクス』を退職した全社員がやって来た。社員たちは金田一と約束した魔法瓶事業再開を反故にしたばかりでなく、それまでの大屋敷統一郎(藤木直人)の経営方針にも嫌気がさしたのだ。一緒に働きたいと言う『ミラクルエレクトロニクス』元社員たちだが、すでに金田一の『ハピネス魔法瓶』はなくなっている。とりあえず、金田一たちは集まった元社員の名簿を作ることに。  　その頃、『ミラクルエレクトロニクス』の空になったオフィスには、統一郎と財前修(イッセー尾形)だけがいた。絶望を口にする統一郎を財前は何とか助けたいと思うのだが…。  　模合は統一郎に会いに行くという金田一を『幸福荘』に引き留め、自ら『ミラクルエレクトロニクス』へ。しかし、社長室には財前しかいなかった。統一郎を助けてほしいと懇願する財前に、模合は困惑してしまう。  　模合が『幸福荘』に戻ると、金田一の部屋に統一郎がいた。いったい統一郎は、何をしに金田一を訪ねてきたのだろうか。不安げに見守る模合と彩矢の前で金田一と対峙した統一郎は…。</t>
  </si>
  <si>
    <t>1210_CX_火21</t>
  </si>
  <si>
    <t>遅咲きのヒマワリ</t>
  </si>
  <si>
    <t>番組名遅咲きのヒマワリ～ボクの人生、リニューアル～　#01</t>
  </si>
  <si>
    <t>28歳の派遣社員・小平丈太郎(生田斗真)は、正社員への登用を目前に解雇されてしまう。そして、それが原因で恋人からも別れを切り出される。焦った丈太郎は仕事を探すが、自分を採用してくれそうな会社は見つからない。そんな折、ネット検索で偶然見つけた高知県・四万十市の「地域おこし協力隊」の募集ページに目が止まった。  　同じ頃、大学病院で働く二階堂かほり(真木よう子)は、出身地である四万十の市民病院への異動を打診される。アメリカの研究所で働くことが夢だったが、断ることはできなかった。  　後日、丈太郎とかほりは、同じタイミングで四万十市の駅に降り立った。飛行機の中でかほりを見かけていた丈太郎は声をかけるが、受け流されてしまう。そんな丈太郎を迎えたのは、地元出身で「地域おこし協力隊」の隊長・藤井順一(桐谷健太)だった。一方、かほりには姉の島田さより(国仲涼子)の迎えがあった。  　順一に連れられ市役所の「地域おこし課」にやってきた丈太郎は、課長の日下哲也(松重豊)から地元の高齢者のサポートを頼まれる。そして、案内された住居で、不動産会社の今井春菜(木村文乃)を紹介された。  　翌日、丈太郎は高齢者たちを市民病院へ送って行く。すると突然、ひとりの女性の具合が悪くなる。診察室から現れた看護師の森下彩花(香椎由宇)はすぐに、医師に声をかけた。そこにいたのは、かほりだった。お互いを認めた丈太郎とかほりは…。生田斗真　  真木よう子　  桐谷健太　  香椎由宇　  柄本佑　  木村文乃　    国仲涼子　      田口淳之介　    佐戸井けん太　  矢柴俊博　      倍賞美津子　    かとうかず子　    生田竜聖(フジテレビアナウンサー)　      朝加真由美　    ミッキー・カーチス　      松重豊【脚本】  橋部敦子【演出】  石川淳一　    【プロデュース】  成河広明(フジテレビ)　  小林宙　  江森浩子海田庄吾　    【主題歌】  「常套句」Mr.Children(TOY'S　FACTORY)フジテレビ　    【制作著作】  共同テレビ</t>
  </si>
  <si>
    <t>28歳の派遣社員・小平丈太郎(生田斗真)は、正社員への登用を目前に解雇されてしまう。そして、それが原因で恋人からも別れを切り出される。焦った丈太郎は仕事を探すが、自分を採用してくれそうな会社は見つからない。そんな折、ネット検索で偶然見つけた高知県・四万十市の「地域おこし協力隊」の募集ページに目が止まった。  　同じ頃、大学病院で働く二階堂かほり(真木よう子)は、出身地である四万十の市民病院への異動を打診される。アメリカの研究所で働くことが夢だったが、断ることはできなかった。  　後日、丈太郎とかほりは、同じタイミングで四万十市の駅に降り立った。飛行機の中でかほりを見かけていた丈太郎は声をかけるが、受け流されてしまう。そんな丈太郎を迎えたのは、地元出身で「地域おこし協力隊」の隊長・藤井順一(桐谷健太)だった。一方、かほりには姉の島田さより(国仲涼子)の迎えがあった。  　順一に連れられ市役所の「地域おこし課」にやってきた丈太郎は、課長の日下哲也(松重豊)から地元の高齢者のサポートを頼まれる。そして、案内された住居で、不動産会社の今井春菜(木村文乃)を紹介された。  　翌日、丈太郎は高齢者たちを市民病院へ送って行く。すると突然、ひとりの女性の具合が悪くなる。診察室から現れた看護師の森下彩花(香椎由宇)はすぐに、医師に声をかけた。そこにいたのは、かほりだった。お互いを認めた丈太郎とかほりは…。</t>
  </si>
  <si>
    <t>番組名遅咲きのヒマワリ～ボクの人生、リニューアル～　#02</t>
  </si>
  <si>
    <t>小平丈太郎(生田斗真)は二階堂かほり(真木よう子)とカヌーに乗っているときに、四万十川にかかるこいのぼりを見た。それは、藤井順一(桐谷健太)が今井春菜(木村文乃)と丈太郎を東京に帰さないため、四万十のすごさを見せようと準備したものだった。順一は、自分が案内する前に見られてしまったことに落ち込むが、東京に戻るつもりはないという丈太郎の言葉に安心する。  　そんな折、丈太郎は大河内欣治(ミッキー・カーチス)をリハビリテーションセンターへ連れて行く。そこには松本弘樹(柄本佑)がいて、欣治は握手を求めるが、弘樹は応じない。弘樹はかつて、県大会の決勝でエースとして登板。甲子園出場は果たせなかったが、弘樹を四万十のヒーローだという欣治は再び手を差し出す。しかし、弘樹はそれを無視する。  　順一から、少年野球チームのコーチが負傷したと聞いていた丈太郎は、弘樹に臨時のコーチを頼むが、断られてしまう。　そんな日の夜、丈太郎は、道端にバイクを停めていた森下彩花(香椎由宇)に声をかける。バイクが故障し動かなくなったという彩花を自分の車に乗せた丈太郎は、話の流れで地元の名所を教えてくれと頼み、彩花は快諾する。  　その後、サンリバーにやってきた丈太郎を、かほりが見つける。かほりは丈太郎が上機嫌な理由を見抜ぬく。そんなところへ順一が来て、臨時コーチが見つからないことを嘆く。それを聞いた丈太郎は…。小平丈太郎:　生田斗真　  二階堂かほり:　真木よう子　  藤井順一:　桐谷健太　  森下彩花:　香椎由宇　  松本弘樹:　柄本佑　  今井春菜:　木村文乃　    島田さより:　国仲涼子　        青山薫:　田口淳之介　      島田久志:　矢柴俊博　      大河内欣治:　ミッキー・カーチス　      日下哲也:　松重豊【脚本】  橋部敦子【演出】  石川淳一　    【プロデュース】  成河広明(フジテレビ)　  小林宙　  江森浩子海田庄吾　    【主題歌】  Mr.Children「常套句」(TOY'S　FACTORY)フジテレビ　    【制作著作】  共同テレビ</t>
  </si>
  <si>
    <t>小平丈太郎(生田斗真)は二階堂かほり(真木よう子)とカヌーに乗っているときに、四万十川にかかるこいのぼりを見た。それは、藤井順一(桐谷健太)が今井春菜(木村文乃)と丈太郎を東京に帰さないため、四万十のすごさを見せようと準備したものだった。順一は、自分が案内する前に見られてしまったことに落ち込むが、東京に戻るつもりはないという丈太郎の言葉に安心する。  　そんな折、丈太郎は大河内欣治(ミッキー・カーチス)をリハビリテーションセンターへ連れて行く。そこには松本弘樹(柄本佑)がいて、欣治は握手を求めるが、弘樹は応じない。弘樹はかつて、県大会の決勝でエースとして登板。甲子園出場は果たせなかったが、弘樹を四万十のヒーローだという欣治は再び手を差し出す。しかし、弘樹はそれを無視する。  　順一から、少年野球チームのコーチが負傷したと聞いていた丈太郎は、弘樹に臨時のコーチを頼むが、断られてしまう。　そんな日の夜、丈太郎は、道端にバイクを停めていた森下彩花(香椎由宇)に声をかける。バイクが故障し動かなくなったという彩花を自分の車に乗せた丈太郎は、話の流れで地元の名所を教えてくれと頼み、彩花は快諾する。  　その後、サンリバーにやってきた丈太郎を、かほりが見つける。かほりは丈太郎が上機嫌な理由を見抜ぬく。そんなところへ順一が来て、臨時コーチが見つからないことを嘆く。それを聞いた丈太郎は…。</t>
  </si>
  <si>
    <t>番組名遅咲きのヒマワリ～ボクの人生、リニューアル～　#03</t>
  </si>
  <si>
    <t>ある夜、小平丈太郎(生田斗真)が帰宅すると、今井春菜(木村文乃)がやってくる。家屋に不具合がないかを確認しに来たという春菜は、簡単に点検を済ますと、持参したワインを丈太郎に勧める。勢いに押された丈太郎は酒に付き合うが、そのうち春菜はテーブルに突っ伏して寝てしまう。声をかけても起きない春菜に困った丈太郎は、二階堂かほり(真木よう子)を呼び出す。  　かほりがやってくると、春菜は体を起こす。実は、寝たふりをしていたのだ。自分の来訪を春菜が快く思っていないと感じたかほりは、丈太郎が好きなのかと聞く。すると春菜は、好きというより必要なのだと答える。  　そんな折、丈太郎は子供たちのためにも地元の祭りを復活させてほしい、と日下哲也(松重豊)に頼む。祭りにかかる人手と費用を集められたら開催してもいいか、と聞く丈太郎に、日下は必ず地域住民の同意を得てからやるようにと念を押す。　早速、丈太郎は藤井順一(桐谷健太)らとともに、みこしや太鼓などが保管されている場所に出向く。みこしには修理が必要な上、子供用のみこしは見当たらない。丈太郎は、自分たちで子供用のみこしを作ろうと決め、地域の高齢者からカンパを募り始める。  　夜、丈太郎は、勤務を終え帰ろうとする森下彩花(香椎由宇)に声をかけ、祭りの件を話す。  　自分に手伝えることがあれば言ってくれという彩花に丈太郎は…。小平丈太郎:　生田斗真　  二階堂かほり:　真木よう子　  藤井順一:　桐谷健太　  森下彩花:　香椎由宇　  松本弘樹:　柄本佑　  今井春菜:　木村文乃　    島田さより:　国仲涼子　        青山薫:　田口淳之介　      二階堂隆三:　佐戸井けん太　  島田久志:　矢柴俊博　      二階堂とき子:　朝加真由美　    大河内欣治:　ミッキー・カーチス　      日下哲也:　松重豊【脚本】  橋部敦子【演出】  植田泰史　    【プロデュース】  成河広明　  小林宙　  江森浩子海田庄吾　    【主題歌】  「常套句」Mr.Children(TOY'S　FACTORY)フジテレビ　    【制作著作】  共同テレビ</t>
  </si>
  <si>
    <t>ある夜、小平丈太郎(生田斗真)が帰宅すると、今井春菜(木村文乃)がやってくる。家屋に不具合がないかを確認しに来たという春菜は、簡単に点検を済ますと、持参したワインを丈太郎に勧める。勢いに押された丈太郎は酒に付き合うが、そのうち春菜はテーブルに突っ伏して寝てしまう。声をかけても起きない春菜に困った丈太郎は、二階堂かほり(真木よう子)を呼び出す。  　かほりがやってくると、春菜は体を起こす。実は、寝たふりをしていたのだ。自分の来訪を春菜が快く思っていないと感じたかほりは、丈太郎が好きなのかと聞く。すると春菜は、好きというより必要なのだと答える。  　そんな折、丈太郎は子供たちのためにも地元の祭りを復活させてほしい、と日下哲也(松重豊)に頼む。祭りにかかる人手と費用を集められたら開催してもいいか、と聞く丈太郎に、日下は必ず地域住民の同意を得てからやるようにと念を押す。　早速、丈太郎は藤井順一(桐谷健太)らとともに、みこしや太鼓などが保管されている場所に出向く。みこしには修理が必要な上、子供用のみこしは見当たらない。丈太郎は、自分たちで子供用のみこしを作ろうと決め、地域の高齢者からカンパを募り始める。  　夜、丈太郎は、勤務を終え帰ろうとする森下彩花(香椎由宇)に声をかけ、祭りの件を話す。  　自分に手伝えることがあれば言ってくれという彩花に丈太郎は…。</t>
  </si>
  <si>
    <t>番組名遅咲きのヒマワリ～ボクの人生、リニューアル～　#04</t>
  </si>
  <si>
    <t>小平丈太郎(生田斗真)は、ご褒美にキスをしてもらった森下彩花(香椎由宇)と自宅でDVD鑑賞デートをする約束を取り付けた。二階堂かほり(真木よう子)は、彩花が松本弘樹(柄本佑)と暮らしていることを知らずに浮かれる丈太郎を冷静に見ていた。  　そんなかほりは、両親から見合いをすすめられていた。今後も四万十で仕事を続けると決めたわけではないからと断るかほりに、義兄(矢柴俊博)が理解を示す。島田さより(国仲涼子)はそれが面白くない。  　そんな折、藤井順一(桐谷健太)が商店街を復活させるための企画を商店街の会合で発表。しかし、費用がかかり過ぎるなどと、店主たちから反発を受ける。それでも具体的な説明をしようとしたとき、ひとりの男性が、東京の人の意見を聞いてみようと丈太郎に水を向ける。焦った丈太郎は、半ば冗談で“ゆるキャラ"を作ってみてはと提案。それが採用されてしまい、順一はいたたまれない。　夕方、さよりがサンリバーにいると、順一がやってくる。昼間もパート先にやってきた順一に、何か用だったのかとさよりが尋ねると、順一は商店街の会合での一件を打ち明けた。それを聞いたさよりは、パートを終えて一息ついているときに、そんな話は聞きたくない、と言って席を立つ。  　その夜、丈太郎の家に彩花がやってくる。食事を終えDVD鑑賞を始めようとしたとき、誰かがドアをノックした。丈太郎が玄関を開けると…。小平丈太郎:　生田斗真　  二階堂かほり:　真木よう子　  藤井順一:　桐谷健太　  森下彩花:　香椎由宇　  松本弘樹:　柄本佑　  今井春菜:　木村文乃　    島田さより:　国仲涼子　        青山薫:　田口淳之介　      二階堂隆三:　佐戸井けん太　  島田久志:　矢柴俊博　      二階堂とき子:　朝加真由美　    大河内欣治:　ミッキー・カーチス　      日下哲也:　松重豊【脚本】  橋部敦子【演出】  植田泰史　    【プロデュース】  成河広明(フジテレビ)　  小林宙　  江森浩子海田庄吾　    【主題歌】  Mr.Children「常套句」(TOY'S　FACTORY)フジテレビ　    【制作著作】  共同テレビ</t>
  </si>
  <si>
    <t>小平丈太郎(生田斗真)は、ご褒美にキスをしてもらった森下彩花(香椎由宇)と自宅でDVD鑑賞デートをする約束を取り付けた。二階堂かほり(真木よう子)は、彩花が松本弘樹(柄本佑)と暮らしていることを知らずに浮かれる丈太郎を冷静に見ていた。  　そんなかほりは、両親から見合いをすすめられていた。今後も四万十で仕事を続けると決めたわけではないからと断るかほりに、義兄(矢柴俊博)が理解を示す。島田さより(国仲涼子)はそれが面白くない。  　そんな折、藤井順一(桐谷健太)が商店街を復活させるための企画を商店街の会合で発表。しかし、費用がかかり過ぎるなどと、店主たちから反発を受ける。それでも具体的な説明をしようとしたとき、ひとりの男性が、東京の人の意見を聞いてみようと丈太郎に水を向ける。焦った丈太郎は、半ば冗談で“ゆるキャラ"を作ってみてはと提案。それが採用されてしまい、順一はいたたまれない。　夕方、さよりがサンリバーにいると、順一がやってくる。昼間もパート先にやってきた順一に、何か用だったのかとさよりが尋ねると、順一は商店街の会合での一件を打ち明けた。それを聞いたさよりは、パートを終えて一息ついているときに、そんな話は聞きたくない、と言って席を立つ。  　その夜、丈太郎の家に彩花がやってくる。食事を終えDVD鑑賞を始めようとしたとき、誰かがドアをノックした。丈太郎が玄関を開けると…。</t>
  </si>
  <si>
    <t>番組名遅咲きのヒマワリ～ボクの人生、リニューアル～　#05</t>
  </si>
  <si>
    <t>小平丈太郎(生田斗真)が自宅で松本弘樹(柄本佑)、大河内欣治(ミッキー・カーチス)と飲んでいると、藤井順一(桐谷健太)がやってきた。さらにそこへ、日下哲也(松重豊)が呼ばれ宴会は賑やかに盛り上がった。  　同じ頃、今井春菜(木村文乃)がサンリバーにいると、森下彩花(香椎由宇)が入ってくる。その日の朝に、松浦徹(岡田浩暉)といるところを見られていた春菜は気まずいが、彩花は他言するつもりはないと言う。それでも、相手は結婚している人なのかと聞くが、春菜は答えない。  　夜、自宅にいた二階堂かほり(真木よう子)を丈太郎が訪ねてくる。宴会で高校時代にかほりと弘樹が付き合っていたと聞いた丈太郎は、当時の写真を見せろ、とかほりをからかった。  　そんな折、丈太郎が商店街で買い物をしていると、前を歩いていた男性が転倒する。駆け寄った丈太郎に男性は大丈夫だと言ったが、丈太郎は念のため男性を病院に連れて行く。男性は弘樹の父・明彦(日野陽仁)で、診察したかほりになれなれしい態度で接する。  　数日後、順一は島田さより(国仲涼子)に電話をかけると、地域おこし協力隊の仕事を手伝ってほしいと頼む。さよりは、暇ではないと言いつつも時間を作り、順一とともに古民家の掃除にやってくる。  　そんな頃、丈太郎は彩花をサンリバーに呼び出した。丈太郎は、彩花に聞きたいことがあると言い…。小平丈太郎:　生田斗真　  二階堂かほり:　真木よう子　  藤井順一:　桐谷健太　  森下彩花:　香椎由宇　  松本弘樹:　柄本佑　  今井春菜:　木村文乃　    島田さより:　国仲涼子　        青山薫:　田口淳之介　      藤井利男:　嶋田久作　  松本明彦:　日野陽仁　      松浦徹:　岡田浩暉　      大河内欣治:　ミッキー・カーチス　      日下哲也:　松重豊　【脚本】  橋部敦子【演出】  石川淳一　    【プロデュース】  成河広明(フジテレビ)　  小林宙　  江森浩子海田庄吾　    【主題歌】  Mr.Children「常套句」(TOY'S　FACTORY)フジテレビ　    【制作著作】  共同テレビ</t>
  </si>
  <si>
    <t>小平丈太郎(生田斗真)が自宅で松本弘樹(柄本佑)、大河内欣治(ミッキー・カーチス)と飲んでいると、藤井順一(桐谷健太)がやってきた。さらにそこへ、日下哲也(松重豊)が呼ばれ宴会は賑やかに盛り上がった。  　同じ頃、今井春菜(木村文乃)がサンリバーにいると、森下彩花(香椎由宇)が入ってくる。その日の朝に、松浦徹(岡田浩暉)といるところを見られていた春菜は気まずいが、彩花は他言するつもりはないと言う。それでも、相手は結婚している人なのかと聞くが、春菜は答えない。  　夜、自宅にいた二階堂かほり(真木よう子)を丈太郎が訪ねてくる。宴会で高校時代にかほりと弘樹が付き合っていたと聞いた丈太郎は、当時の写真を見せろ、とかほりをからかった。  　そんな折、丈太郎が商店街で買い物をしていると、前を歩いていた男性が転倒する。駆け寄った丈太郎に男性は大丈夫だと言ったが、丈太郎は念のため男性を病院に連れて行く。男性は弘樹の父・明彦(日野陽仁)で、診察したかほりになれなれしい態度で接する。  　数日後、順一は島田さより(国仲涼子)に電話をかけると、地域おこし協力隊の仕事を手伝ってほしいと頼む。さよりは、暇ではないと言いつつも時間を作り、順一とともに古民家の掃除にやってくる。  　そんな頃、丈太郎は彩花をサンリバーに呼び出した。丈太郎は、彩花に聞きたいことがあると言い…。</t>
  </si>
  <si>
    <t>番組名遅咲きのヒマワリ～ボクの人生、リニューアル～　#06</t>
  </si>
  <si>
    <t>小平丈太郎(生田斗真)は、森下彩花(香椎由宇)の部屋から出てくる松本弘樹(柄本佑)を目撃して以来、落ち着かない。その件を藤井順一(桐谷健太)と日下哲也(松重豊)に相談すると、彩花と弘樹は付き合っているのだろう、と言われさらにショックを受ける。そんなとき、二階堂かほり(真木よう子)が以前から彩花について意味深な発言をしていたのを思い出し、丈太郎はかほりを呼び出した。かほりは、2人が付き合っているのを認めながらも、まずは彩花に自分の気持ちを伝えるのが肝心なのでは、と丈太郎に助言する。  　そんな頃、順一は自分に付き合い古民家の掃除をしている島田さより(国仲涼子)に、無理していないかと声をかけた。さよりは、自分の意志で来ているのだ、と笑顔を見せる。そこへ、さよりに電話がかかってくる。相手がかほりだと確認したさよりは、それを無視する。が、その電話は夫の久志(矢柴俊博)が胆石の発作で救急で運ばれたことを告げる電話だった…。小平丈太郎:　生田斗真　  二階堂かほり:　真木よう子　  藤井順一:　桐谷健太　  森下彩花:　香椎由宇　  松本弘樹:　柄本佑　  今井春菜:　木村文乃　    島田さより:　国仲涼子　        青山薫:　田口淳之介　      島田久志:　矢柴俊博　  藤井利男:　嶋田久作　      松浦徹:　岡田浩暉　      大河内欣治:　ミッキー・カーチス　      日下哲也:　松重豊【脚本】  橋部敦子【演出】  石川淳一　    【プロデュース】  成河広明(フジテレビ)　  小林宙　  江森浩子海田庄吾　    【主題歌】  Mr.Children「常套句」(TOY'S　FACTORY)フジテレビ　    【制作著作】  共同テレビ</t>
  </si>
  <si>
    <t>小平丈太郎(生田斗真)は、森下彩花(香椎由宇)の部屋から出てくる松本弘樹(柄本佑)を目撃して以来、落ち着かない。その件を藤井順一(桐谷健太)と日下哲也(松重豊)に相談すると、彩花と弘樹は付き合っているのだろう、と言われさらにショックを受ける。そんなとき、二階堂かほり(真木よう子)が以前から彩花について意味深な発言をしていたのを思い出し、丈太郎はかほりを呼び出した。かほりは、2人が付き合っているのを認めながらも、まずは彩花に自分の気持ちを伝えるのが肝心なのでは、と丈太郎に助言する。  　そんな頃、順一は自分に付き合い古民家の掃除をしている島田さより(国仲涼子)に、無理していないかと声をかけた。さよりは、自分の意志で来ているのだ、と笑顔を見せる。そこへ、さよりに電話がかかってくる。相手がかほりだと確認したさよりは、それを無視する。が、その電話は夫の久志(矢柴俊博)が胆石の発作で救急で運ばれたことを告げる電話だった…。</t>
  </si>
  <si>
    <t>番組名遅咲きのヒマワリ～ボクの人生、リニューアル～　#07</t>
  </si>
  <si>
    <t>小平丈太郎(生田斗真)が、松本弘樹(柄本佑)に呼び出されサンリバーにいると、二階堂かほり(真木よう子)が入ってきた。やがてやってきた弘樹は、自分は森下彩花(香椎由宇)の部屋を出たので彩花とはもう関係がない、と告げる。そんな弘樹に丈太郎は、実は自分も彩花にフラれたと明かすのだった。そんなとき、丈太郎に藤井順一(桐谷健太)から電話が入る。丈太郎の家にやってきた順一は、興奮気味に四万十にテーマパークを作る計画を披露。突拍子もなく現実味のない計画に丈太郎は言葉を継げないが、順一は上機嫌で話し続ける。  　翌日、丈太郎は順一の件を日下哲也(松重豊)に相談。日下は、順一の実家の金物店が年内で店を畳むことになったので焦っているのだろうと話した。  　そんな日の夜、丈太郎は偶然会った彩花とサンリバーにやってくる。そこには順一、島田さより(国仲涼子)、今井春菜(木村文乃)がいて、さらにかほりと弘樹も入ってきた。7人は3つのテーブルに分かれて座っていて、順一たちは、丈太郎やかほりには気づいていない。順一のテーブルでは、春菜が見合い結婚したさよりに、今は幸せか、と聞く。弘樹は、かほりに自分が本当にやりたいと思っていることを明かした。一方、緊張から他愛もない話を続ける丈太郎に、彩花は丈太郎の気持ちは本当に嬉しかったと言った。それなのにきちんと話せない自分を許してくれという彩花に、丈太郎は…。小平丈太郎:　生田斗真　  二階堂かほり:　真木よう子　  藤井順一:　桐谷健太　  森下彩花:　香椎由宇　  松本弘樹:　柄本佑　  今井春菜:　木村文乃　    島田さより:　国仲涼子　        青山薫:　田口淳之介　      島田久志:　矢柴俊博　  藤井利男:　嶋田久作　        大河内欣治:　ミッキー・カーチス　      日下哲也:　松重豊【脚本】  橋部敦子【演出】  植田泰史　    【プロデュース】  成河広明(フジテレビ)　  小林宙　  江森浩子海田庄吾　    【主題歌】  Mr.Children「常套句」(TOY'S　FACTORY)フジテレビ　    【制作著作】  共同テレビ</t>
  </si>
  <si>
    <t>小平丈太郎(生田斗真)が、松本弘樹(柄本佑)に呼び出されサンリバーにいると、二階堂かほり(真木よう子)が入ってきた。やがてやってきた弘樹は、自分は森下彩花(香椎由宇)の部屋を出たので彩花とはもう関係がない、と告げる。そんな弘樹に丈太郎は、実は自分も彩花にフラれたと明かすのだった。そんなとき、丈太郎に藤井順一(桐谷健太)から電話が入る。丈太郎の家にやってきた順一は、興奮気味に四万十にテーマパークを作る計画を披露。突拍子もなく現実味のない計画に丈太郎は言葉を継げないが、順一は上機嫌で話し続ける。  　翌日、丈太郎は順一の件を日下哲也(松重豊)に相談。日下は、順一の実家の金物店が年内で店を畳むことになったので焦っているのだろうと話した。  　そんな日の夜、丈太郎は偶然会った彩花とサンリバーにやってくる。そこには順一、島田さより(国仲涼子)、今井春菜(木村文乃)がいて、さらにかほりと弘樹も入ってきた。7人は3つのテーブルに分かれて座っていて、順一たちは、丈太郎やかほりには気づいていない。順一のテーブルでは、春菜が見合い結婚したさよりに、今は幸せか、と聞く。弘樹は、かほりに自分が本当にやりたいと思っていることを明かした。一方、緊張から他愛もない話を続ける丈太郎に、彩花は丈太郎の気持ちは本当に嬉しかったと言った。それなのにきちんと話せない自分を許してくれという彩花に、丈太郎は…。</t>
  </si>
  <si>
    <t>番組名遅咲きのヒマワリ～ボクの人生、リニューアル～　#08</t>
  </si>
  <si>
    <t>小平丈太郎(生田斗真)は、藤井順一(桐谷健太)だけでなく今井春菜(木村文乃)も行方がわからなくなっていると聞く。二階堂かほり(真木よう子)が、ふたりは付き合っていたのか、と丈太郎に尋ねると、島田さより(国仲涼子)がそれを否定した。さらに森下彩花(香椎由宇)は、春菜には恋人がいてその人物が高知市にいることを明かす。  　順一が辛い思いをしているのに気づかず追い詰めてしまった、と責任を感じる丈太郎は順一の実家を訪ねる。すると、応対した父親の利男(嶋田久作)は、順一はバカだから心配ない、と事もなげに言う。  　同じ頃、かほりと実家に戻ったさよりは、高校の同級生たちに電話をかけるも情報は得られない。落胆するさよりを見たかほりは、順一と何かあったのか、と聞く。  　翌日、丈太郎は、大河内欣治(ミッキー・カーチス)の田んぼの手伝いをするが、気が気ではない。巷では、順一と春菜が駆け落ちしたという噂が流れ始める。  　そんな折、春菜の父で市議会議員の貞夫(大石吾朗)が順一の実家へやって来る。春菜が順一にそそのかされて姿を消していると疑う貞夫は、ぶしつけな態度で利男に接するが、利男は、順一は人を巻き込むようなことはしない、とはねつける。  　丈太郎は、その後も順一と春菜に電話をかけるがつながらない。ふたりを探す手段がなくなった丈太郎は、高知市に行くことを決め…。小平丈太郎:　生田斗真　  二階堂かほり:　真木よう子　  藤井順一:　桐谷健太　  森下彩花:　香椎由宇　  松本弘樹:　柄本佑　  今井春菜:　木村文乃　  島田さより:　国仲涼子　  青山薫:　田口淳之介　  藤井利男:　嶋田久作　  松本明彦:　日野陽仁　  松本三千子:　兎本有紀　  今井貞夫:　大石吾朗　  今井佳奈:　長野里美　  松浦徹:　岡田浩暉　  大河内欣治:　ミッキー・カーチス　  日下哲也:　松重豊【脚本】  橋部敦子【演出】  石川淳一　    【プロデュース】  成河広明(フジテレビ)　  小林宙　  江森浩子海田庄吾　    【主題歌】  Mr.Children「常套句」(TOY'S　FACTORY)フジテレビ　    【制作著作】  共同テレビ</t>
  </si>
  <si>
    <t>小平丈太郎(生田斗真)は、藤井順一(桐谷健太)だけでなく今井春菜(木村文乃)も行方がわからなくなっていると聞く。二階堂かほり(真木よう子)が、ふたりは付き合っていたのか、と丈太郎に尋ねると、島田さより(国仲涼子)がそれを否定した。さらに森下彩花(香椎由宇)は、春菜には恋人がいてその人物が高知市にいることを明かす。  　順一が辛い思いをしているのに気づかず追い詰めてしまった、と責任を感じる丈太郎は順一の実家を訪ねる。すると、応対した父親の利男(嶋田久作)は、順一はバカだから心配ない、と事もなげに言う。  　同じ頃、かほりと実家に戻ったさよりは、高校の同級生たちに電話をかけるも情報は得られない。落胆するさよりを見たかほりは、順一と何かあったのか、と聞く。  　翌日、丈太郎は、大河内欣治(ミッキー・カーチス)の田んぼの手伝いをするが、気が気ではない。巷では、順一と春菜が駆け落ちしたという噂が流れ始める。  　そんな折、春菜の父で市議会議員の貞夫(大石吾朗)が順一の実家へやって来る。春菜が順一にそそのかされて姿を消していると疑う貞夫は、ぶしつけな態度で利男に接するが、利男は、順一は人を巻き込むようなことはしない、とはねつける。  　丈太郎は、その後も順一と春菜に電話をかけるがつながらない。ふたりを探す手段がなくなった丈太郎は、高知市に行くことを決め…。</t>
  </si>
  <si>
    <t>番組名遅咲きのヒマワリ～ボクの人生、リニューアル～　#09</t>
  </si>
  <si>
    <t>小平丈太郎(生田斗真)は、森下彩花(香椎由宇)から一緒に高知市に行ってほしいと頼まれ承諾する。丈太郎は、二階堂かほり(真木よう子)に彩花の件を報告。どんな頼みだったのかと聞かれるが、丈太郎は詳しく聞けなかったと答える。その日、彩花とは現地で待ち合わせとなったが、かほり、松本弘樹(柄本佑)の2人も高知市に行く用事があったため、丈太郎は2人を同乗させて高知市へと向かった。  　彩花と落ち合った丈太郎は、彩花に付いて歩き出す。一方かほりは、高知市に来ていた指導教授・岡島(中丸新将)から呼び出されていた。岡島は、かほりに年内に研究室に戻ってもらうつもりだ、と一方的に命じる。弘樹は、父親ががんの手術を受けることになり、それに付き添っていた。  　そんな頃、藤井順一(桐谷健太)は、地元のホームセンターの面接試験を受ける。しかし、実家を手伝った経験しかない順一に面接官たちの目は厳しい。また、自分の意思で結婚相手を探すと決めた今井春菜(木村文乃)は、インターネットの出会い系サイトで相手を探そうとして順一に怒られる。  　その後、順一は島田さより(国仲涼子)が働くスーパーに行く。さよりは、古民家の掃除のボランティアは続けたいと言い、順一も春菜が手伝ってくれることになったと話し、ふたりに笑顔が戻る。  　後日、自転車で山を下っていた丈太郎は、休耕田の横を過ぎたあたりでブレーキをかける。小平丈太郎:　生田斗真　  二階堂かほり:　真木よう子　  藤井順一:　桐谷健太　  森下彩花:　香椎由宇　  松本弘樹:　柄本佑　  今井春菜:　木村文乃　    島田さより:　国仲涼子　      青山薫:　田口淳之介　      藤井利男:　嶋田久作　  松本明彦:　日野陽仁　  松本三千子:　兎本有紀　    岡島篤:　中丸新将　      大河内欣治:　ミッキー・カーチス　      日下哲也:　松重豊【脚本】  橋部敦子【演出】  植田泰史　    【プロデュース】  成河広明(フジテレビ)　  小林宙　  江森浩子海田庄吾　    【主題歌】  Mr.Children「常套句」(TOY'S　FACTORY)フジテレビ　    【制作著作】  共同テレビ</t>
  </si>
  <si>
    <t>小平丈太郎(生田斗真)は、森下彩花(香椎由宇)から一緒に高知市に行ってほしいと頼まれ承諾する。丈太郎は、二階堂かほり(真木よう子)に彩花の件を報告。どんな頼みだったのかと聞かれるが、丈太郎は詳しく聞けなかったと答える。その日、彩花とは現地で待ち合わせとなったが、かほり、松本弘樹(柄本佑)の2人も高知市に行く用事があったため、丈太郎は2人を同乗させて高知市へと向かった。  　彩花と落ち合った丈太郎は、彩花に付いて歩き出す。一方かほりは、高知市に来ていた指導教授・岡島(中丸新将)から呼び出されていた。岡島は、かほりに年内に研究室に戻ってもらうつもりだ、と一方的に命じる。弘樹は、父親ががんの手術を受けることになり、それに付き添っていた。  　そんな頃、藤井順一(桐谷健太)は、地元のホームセンターの面接試験を受ける。しかし、実家を手伝った経験しかない順一に面接官たちの目は厳しい。また、自分の意思で結婚相手を探すと決めた今井春菜(木村文乃)は、インターネットの出会い系サイトで相手を探そうとして順一に怒られる。  　その後、順一は島田さより(国仲涼子)が働くスーパーに行く。さよりは、古民家の掃除のボランティアは続けたいと言い、順一も春菜が手伝ってくれることになったと話し、ふたりに笑顔が戻る。  　後日、自転車で山を下っていた丈太郎は、休耕田の横を過ぎたあたりでブレーキをかける。</t>
  </si>
  <si>
    <t>番組名遅咲きのヒマワリ～ボクの人生、リニューアル～　#10</t>
  </si>
  <si>
    <t>小平丈太郎(生田斗真)は、藤井順一(桐谷健太)とともに大河内欣治(ミッキー・カーチス)に教えてもらいながら休耕田を利用して米作りをすると決めた。が、田んぼが使えるようになるまで早くても3年かかると聞き、地域おこし協力隊として3年契約で四万十に来ている自分の今後を思いながら雑草取りに励む。  　同じ頃、二階堂かほり(真木よう子)は、東京に戻るか、四万十の病院にとどまるか、決めかねていた。患者たちにずっと病院にいると約束した責任がある、と悩むかほりに、丈太郎は自分のしたいようにすればいい、と事も無げに言う。  　数日後の夜、丈太郎はかほりをカヌーに誘う。寒空のなかカヌーに乗るうち、ふたりの脳裏にはこれまでのさまざまな出来事がよみがえる。やがてかほりは、自分が研究医を目指そうと思ったきっかけについて話し始める。それを聞いた丈太郎は、そんな思いがあるなら患者たちも責めたりはしない、ここで夢が叶えられないのなら東京へ行くべきでは、と助言する。  　後日、東京行きを決めたかほりの送別会と、理学療法士の学校の入学試験に合格した松本弘樹(柄本佑)を祝う会が開かれ、丈太郎、順一、森下彩花(香椎由宇)、今井春菜(木村文乃)が出席した。一同を前に挨拶した順一が乾杯の音頭を取ろうとしたとき、突然、丈太郎がそれを制した。みんなに報告したいことがあると言う丈太郎は、自分は地域おこし協力隊を辞めた、と発言。小平丈太郎:　生田斗真　  二階堂かほり:　真木よう子　  藤井順一:　桐谷健太　  森下彩花:　香椎由宇　  松本弘樹:　柄本佑　  今井春菜:　木村文乃　    島田さより:　国仲涼子　        青山薫:　田口淳之介　      二階堂隆三:　佐戸井けん太　  島田久志:　矢柴俊博　      岡島篤:　中丸新将　      二階堂とき子:　朝加真由美　      大河内欣治:　ミッキー・カーチス      日下哲也:　松重豊【脚本】  橋部敦子【演出】  石川淳一　    【プロデュース】  成河広明(フジテレビ)　  小林宙　  江森浩子海田庄吾　    【主題歌】  Mr.Children「常套句」(TOY'S　FACTORY)フジテレビ　    【制作著作】  共同テレビ</t>
  </si>
  <si>
    <t>小平丈太郎(生田斗真)は、藤井順一(桐谷健太)とともに大河内欣治(ミッキー・カーチス)に教えてもらいながら休耕田を利用して米作りをすると決めた。が、田んぼが使えるようになるまで早くても3年かかると聞き、地域おこし協力隊として3年契約で四万十に来ている自分の今後を思いながら雑草取りに励む。  　同じ頃、二階堂かほり(真木よう子)は、東京に戻るか、四万十の病院にとどまるか、決めかねていた。患者たちにずっと病院にいると約束した責任がある、と悩むかほりに、丈太郎は自分のしたいようにすればいい、と事も無げに言う。  　数日後の夜、丈太郎はかほりをカヌーに誘う。寒空のなかカヌーに乗るうち、ふたりの脳裏にはこれまでのさまざまな出来事がよみがえる。やがてかほりは、自分が研究医を目指そうと思ったきっかけについて話し始める。それを聞いた丈太郎は、そんな思いがあるなら患者たちも責めたりはしない、ここで夢が叶えられないのなら東京へ行くべきでは、と助言する。  　後日、東京行きを決めたかほりの送別会と、理学療法士の学校の入学試験に合格した松本弘樹(柄本佑)を祝う会が開かれ、丈太郎、順一、森下彩花(香椎由宇)、今井春菜(木村文乃)が出席した。一同を前に挨拶した順一が乾杯の音頭を取ろうとしたとき、突然、丈太郎がそれを制した。みんなに報告したいことがあると言う丈太郎は、自分は地域おこし協力隊を辞めた、と発言。</t>
  </si>
  <si>
    <t>1210_CX_木22</t>
  </si>
  <si>
    <t>結婚しない</t>
  </si>
  <si>
    <t>番組名&lt;木曜劇場&gt;結婚しない　#01</t>
  </si>
  <si>
    <t>旅行代理店の契約社員・田中千春(菅野美穂)は、彼氏いない歴5年で、35歳の誕生日を目前に控えている。44歳独身の優秀な造園プランナー・桐島春子(天海祐希)は、かつて上司の樋口亨(石橋凌)と不倫関係にあった。一方、工藤純平(玉木宏)は、生花店『メゾン・フローラル』でアルバイトをしている32歳の独身男性。美大出身の純平は、画家になることを夢見ていたが上手くいかず、未練を残しつつも絵の道を諦めようとしていた。  　ある日、元カレ・小島圭介(中村俊介)の結婚を知ってショックを受けた千春は、親からも結婚はどうするのかと聞かれてすっかり落ち込み、お気にいりの噴水公園で缶ビールをあおる。そこで出会ったのが、この噴水公園のデザインを手がけた春子だった。そんな中、千春は、大学時代のサークル仲間・久保裕司(袴田吉彦)と再会する。裕司は、圭介から千春のことを聞き、社員旅行の相談に来たという。実は裕司は、お互いに35歳まで独身だったら結婚しよう、と約束した相手でもあった。一方、春子は、樋口から異動を命じられ…。菅野美穂　  天海祐希　  玉木宏　    小市慢太郎　  三吉彩花　  伊藤歩　  福田彩乃  　・　  石橋凌  　・　  市毛良枝　  梶芽衣子　    ほか【脚本】  山崎宇子　  坂口理子【プロデュース】  中野利幸　    【演出】  石井祐介末廣健一郎　  MAYUKO　    【主題歌】  コブクロ「紙飛行機」(ワーナーミュージック・ジャパン)フジテレビドラマ制作センター</t>
  </si>
  <si>
    <t>旅行代理店の契約社員・田中千春(菅野美穂)は、彼氏いない歴5年で、35歳の誕生日を目前に控えている。44歳独身の優秀な造園プランナー・桐島春子(天海祐希)は、かつて上司の樋口亨(石橋凌)と不倫関係にあった。一方、工藤純平(玉木宏)は、生花店『メゾン・フローラル』でアルバイトをしている32歳の独身男性。美大出身の純平は、画家になることを夢見ていたが上手くいかず、未練を残しつつも絵の道を諦めようとしていた。  　ある日、元カレ・小島圭介(中村俊介)の結婚を知ってショックを受けた千春は、親からも結婚はどうするのかと聞かれてすっかり落ち込み、お気にいりの噴水公園で缶ビールをあおる。そこで出会ったのが、この噴水公園のデザインを手がけた春子だった。そんな中、千春は、大学時代のサークル仲間・久保裕司(袴田吉彦)と再会する。裕司は、圭介から千春のことを聞き、社員旅行の相談に来たという。実は裕司は、お互いに35歳まで独身だったら結婚しよう、と約束した相手でもあった。一方、春子は、樋口から異動を命じられ…。</t>
  </si>
  <si>
    <t>番組名&lt;木曜劇場&gt;結婚しない　#02</t>
  </si>
  <si>
    <t>妹の結婚もあって実家に居づらくなった田中千春(菅野美穂)は、1週間だけでいいからと頼みこんで桐島春子(天海祐希)のマンションに転がり込む。あくる朝、春子は、千春をバイクで会社まで送り届けた後、生花店『メゾン・フローラル』に向かった。そこで春子は、アルバイト店員の工藤純平(玉木宏)と佐倉麻衣(三吉彩花)に、この店の店長になったことを報告する。一方、千春は、母・紀子(市毛良枝)からお見合い写真を渡される。相手は、食品メーカーの研究職に就いている浅井隆史(池内万作)という40歳初婚の男性だった。紀子は、35歳の女性でもいいという男性は少ないのだから前向きに考えてほしい、と千春に告げた。帰宅した千春は、自分が考える『結婚相手に求める条件』を紙に書き出す。そこに春子が帰ってきた。春子にお見合いの件を打ち明けると、結婚しようと思ったことはなかったのか、と尋ねる千春。すると春子は、結婚したいと思う相手がいなかったし、いたとしても生活を変えたくなかったから結婚という選択肢はなかった、と答える。一歩踏み出すことを自らに課していた千春は、お見合いをしてみようと思い始める。そんな折、『メゾン・フローラル』を訪れた千春は、ガーベラの花をくれた男性・純平と再会する。千春は、ガーベラのお礼のつもりで、アスターを買い求めた。数日後、千春は浅井とお見合いをする。千春は、浅井の誠実そうな人柄に好感を抱くが…。菅野美穂　  天海祐希　  玉木宏　    小市慢太郎　  三吉彩花　  伊藤歩　  福田彩乃  　・　  石橋凌  　・　  市毛良枝　  梶芽衣子　    ほか【脚本】  山崎宇子　  坂口理子【プロデュース】  中野利幸　    【演出】  石井祐介末廣健一郎　  MAYUKO　    【主題歌】  コブクロ「紙飛行機」(ワーナーミュージック・ジャパン)フジテレビドラマ制作センター</t>
  </si>
  <si>
    <t>番組名&lt;木曜劇場&gt;結婚しない　#03</t>
  </si>
  <si>
    <t>田中千春(菅野美穂)は、後輩の鈴村真里子(福田彩乃)から半ば強引に誘われて、合コンに参加する。だが、20代ばかりの参加メンバーの中で完全アウェー状態だった千春は、二次会の誘いを断って帰ってしまう。一方、桐島春子(天海祐希)は、異動を命じられる前にデザインを手がけていた庭園の完成披露パーティーのためにスタンド花を届けに行く。そこで、デザイン部部長の樋口亨(石橋凌)と再会する春子。樋口は、必ず本社に戻れるようにする、と改めて春子に約束する。しかし春子は、すでに辞表を提出するつもりでいた。  　そんな折、千春は、元恋人・小島圭介(中村俊介)の結婚がダメになったことを知る。千春からその話を聞かされた春子は、圭介の力になりたいという千春の気持ちに理解を示しながらも、寂しさは連鎖するから気をつけろと忠告する。  　工藤純平(玉木宏)は、美大の後輩・河野瑞希(伊藤歩)の初個展が開かれている画廊まで花を届けに行く。後輩の結婚祝いを買いに行った千春も、春子からチケットをもらったことを思い出し、画廊を訪れていた。純平は、画廊のオーナー・沢井秀雄(山中聡)から、スタッフにならないかと誘われる。沢井いわく、瑞希も純平のことを心配しているという。その会話を聞いてしまった千春は、純平の寂しそうな表情が気にかかり、画廊を後にした彼を追いかける。菅野美穂　  天海祐希　  玉木宏　    小市慢太郎　  三吉彩花　  伊藤歩　  福田彩乃  　・　  石橋凌  　・　  市毛良枝　  梶芽衣子　    ほか【脚本】  山崎宇子　  坂口理子【プロデュース】  中野利幸　    【演出】  石井祐介　  田中亮末廣健一郎　  MAYUKO　    【主題歌】  コブクロ「紙飛行機」(ワーナーミュージック・ジャパン)フジテレビドラマ制作センター</t>
  </si>
  <si>
    <t>番組名&lt;木曜劇場&gt;結婚しない　#04</t>
  </si>
  <si>
    <t>千春(菅野美穂)は、春子(天海祐希)から赤いリボンがついたマンションの合鍵をもらう。千春は、居場所ができた感じがする、と言って大喜びだ。そんな中、仕事中だった千春のもとに、母親の紀子(市毛良枝)から電話が入る。結婚する予定になっている千春の妹・千夏(中村ゆり)が、突然、結婚式はしないと言い出したらしい。するとそこに、思い詰めた顔の千夏が現れる。千春は、千夏から事情を聞いた。友人たちに祝ってもらうだけでいい、という千夏に対し、ちゃんとした結婚式を挙げなければだめだと紀子が反対したのだという。それでも千夏は、月末に友人たちだけを招いて簡単に済ませるつもりでいる、と千春に告げる。同じころ、純平(玉木宏)は、法事のため、実家に帰っていた。そこで純平は、叔父から結婚や仕事のことで意見され、困惑する。そんな純平に助け船を出したのは、商社マンの兄・遼平(眞島秀和)だった。その夜、千夏は、無理を聞いてもらって春子のマンションに泊まる。事情を知った春子は、母親が娘の結婚を喜べないのは良くない、と言って、時間をかけて話し合うことを千春に勧める。あくる日、仕事を終えた千春が帰り支度をしていると、とある病院から電話が入る。診察中に気分が悪くなった千夏を、休ませているという連絡だった。千春は病院に駆けつけるが…。菅野美穂　  天海祐希　  玉木宏　    小市慢太郎　  三吉彩花　  伊藤歩　  福田彩乃  　・　  石橋凌  　・　  市毛良枝　  梶芽衣子　    ほか【脚本】  山崎宇子　  坂口理子【プロデュース】  中野利幸　    【演出】  石井祐介　  田中亮末廣健一郎　  MAYUKO　    【主題歌】  コブクロ「紙飛行機」(ワーナーミュージック・ジャパン)フジテレビドラマ制作センター</t>
  </si>
  <si>
    <t>番組名&lt;木曜劇場&gt;結婚しない　#05</t>
  </si>
  <si>
    <t>千春(菅野美穂)が職場の真里子(福田彩乃)、森田(入江甚儀)とランチを終えたところに、花の配達中の純平(玉木宏)が遭遇する。真里子は純平のイケメンぶりに食いつくが、千春から花屋でバイトしていることを聞いた瞬間、テンションが下がる。バイトでは結婚にはつながらない、と言うのだ。結婚につながる恋をするために避けるべき3カ条を述べる真里子。  　春子(天海祐希)が店長を務めるメゾン・フローラルでは、春子のマンション訪問の話が持ち上がり、純平と麻衣(三吉彩花)が訪ねてくることになった。千春は得意のスイートポテトを作る、と気合いが入る。2人が訪ねて来て、千春が作ったスイートポテトや手料理を囲みながら恋愛話で盛り上がる4人。  　後日、千春は入院している母・紀子(市毛良枝)のお見舞いの花を選びにメゾン・フローラルへ。そこで、純平の後輩の瑞希(伊藤歩)にも偶然会い、あいさつを交わす。  　千春は妹の千夏(中村ゆり)のウエディングパーティーの手伝いをしてくれたお礼を兼ねて、春子が話をつけてくれたレストランに春子を誘う。すると春子は、純平にも声をかけ、3人で行くことに・・・。花屋には大学教授の谷川(小市慢太郎)がやってきた。数日前、母親に花を買って行ったら喜んでくれた、と春子に伝えたかったのだ。その夜、純平が急にレストランに行けなくなった。瑞希の絵を扱っている画廊から連絡が入った、という。菅野美穂　  天海祐希　  玉木宏　    小市慢太郎　  三吉彩花　  伊藤歩　  福田彩乃  　・　  石橋凌  　・　  市毛良枝　  梶芽衣子　    ほか【脚本】  山崎宇子　  坂口理子【プロデュース】  中野利幸　    【演出】  石井祐介　  田中亮末廣健一郎　  MAYUKO　    【主題歌】  コブクロ「紙飛行機」(ワーナーミュージック・ジャパン)フジテレビドラマ制作センター</t>
  </si>
  <si>
    <t>番組名&lt;木曜劇場&gt;結婚しない　#06</t>
  </si>
  <si>
    <t>千春(菅野美穂)は純平(玉木宏)にスイートポテトを差し入れしようと、朝、春子(天海祐希)のバイクに乗せてもらい、春子と純平の仕事場であるメゾン・フローラルを訪れるが、純平は作業場で眠ってしまっていた。千春が純平とわざわざ画廊から取り返した純平の絵が眠っている傍らに置いてあった。その絵のモデルが瑞希(伊藤歩)だったことを知った千春は、黙って差し入れを持ってその場を立ち去る。　すると、同級生の由香里(西山繭子)から電話が入り、相談があるという。会社の近くでランチをしながら由香里の話を聞くと、夫の会社がいよいよ倒産し、福岡の親戚の家まで込み入った話をしに行かなければならないため、一晩5歳の息子を預かってもらえないか?ということだった。千春の実家で妹の千夏(中村ゆり)と一緒にその子を預かれないかと妹に聞くが、母の紀子(市毛良枝)が入院中のため難しい。居候の身で春子のマンションで預かってもいいか聞きづらい千春だったが、春子は了承してくれた。こうして千春は1日ママを務めることになり・・・。菅野美穂　  天海祐希　  玉木宏　    小市慢太郎　  三吉彩花　  伊藤歩　  福田彩乃  　・　  石橋凌  　・　  市毛良枝　  梶芽衣子　    ほか【脚本】  山崎宇子　  坂口理子【プロデュース】  中野利幸　    【演出】  石井祐介　  田中亮末廣健一郎　  MAYUKO　    【主題歌】  コブクロ「紙飛行機」(ワーナーミュージック・ジャパン)フジテレビドラマ制作センター</t>
  </si>
  <si>
    <t>番組名&lt;木曜劇場&gt;結婚しない　#07</t>
  </si>
  <si>
    <t>千春(菅野美穂)は職場の旅行代理店で、真里子(福田彩乃)がこのまま老後まで1人で生きていくなんて嫌だ、と話しているのを聞いて、自分の老後について考えてもみなかったことに気づく。そこへ、瑞希(伊藤歩)がやってきた。パリに行くためのホテルの手配をしに来た、と言う。さらに、瑞希は純平(玉木宏)と一緒にパリに行くのだ、と千春に告げる。その夜、千春は春子(天海祐希)のマンションで、「おひとり様で生きる技術」という本を読む。そこへ春子が帰宅、老後に向けた準備をしているのか聞くと、春子は保険や貯蓄など、将来のことをちゃんと考えていた。  　千春が実家に帰ると、妹の千夏(中村ゆり)の夫、陽一郎(青柳翔)が、生まれてくる子どものためのベビーベッドを買ってきた。買ったものの置く場所に困っている様子の家族に、つい「自分の部屋を使えば?」と提案してしまい、ますます居場所がなくなる千春。  　千春はいよいよ将来を見据えて準備しようと、マンションの内覧会に行くことに。付き添ってもらおうと思っていた春子が別の用事があり、不安ながらも1人で行こうとしていた時、純平から連絡が入り、「よかったらつきあいます」と言ってくれた。春子が気を利かせてくれたのだ。2人で見に行くが、マンションを買うには審査がある、と言われ、契約社員の千春は・・・。その夜、千春が1人でマンションにいると、樋口(石橋凌)が春子を訪ねてきた。菅野美穂　  天海祐希　  玉木宏　    小市慢太郎　  三吉彩花　  伊藤歩　  福田彩乃  　・　  石橋凌  　・　  市毛良枝　  梶芽衣子　    ほか【脚本】  山崎宇子　  坂口理子【プロデュース】  中野利幸　    【演出】  石井祐介　  田中亮末廣健一郎　  MAYUKO　    【主題歌】  コブクロ「紙飛行機」(ワーナーミュージック・ジャパン)フジテレビドラマ制作センター</t>
  </si>
  <si>
    <t>番組名&lt;木曜劇場&gt;結婚しない　#08</t>
  </si>
  <si>
    <t>千春(菅野美穂)の職場の旅行代理店に、本社からのエリート社員・高原(徳重聡)が配属されてきた。店長から高原のサポート役を頼まれる千春。  　元上司の樋口(石橋凌)から、独立して事務所を立ち上げることにしたので、ついてきてほしい、妻とも別れ、残りの人生を一緒に生きたい、と言われていた春子(天海祐希)は、樋口にある答えを出す。  　瑞希(伊藤歩)からパリ行きの航空券を渡された純平(玉木宏)・・・。　千春は、高原から新しいツアーの企画を一緒に考えて欲しい、と頼まれ、会社で意見を出し合う2人。夜までかかってしまい、高原は千春を夕食に誘う。千春に率直な意見を聞いてくる高原と仕事をしていくうち、千春は今まで感じたことのない仕事へのやりがいも感じ始める。  　春子が勤めるメゾン・フローラルに本社のナチュラルガーデナーの副部長の小林(高杉亘)がやってきた。会社を辞めることになった樋口の後任だという。樋口からの引き継ぎで、春子にデザイン部への復帰をもちかける小林に春子は・・・。  　千春がツアーの企画書を書き上げ、高原を通して店長に提出すると、店長の反応も上々だ。しかし、店長は新企画のプロジェクトメンバーとして、高原のサブには森田(入江甚儀)はどうかと提案する。菅野美穂　  天海祐希　  玉木宏　    小市慢太郎　  三吉彩花　  伊藤歩　  福田彩乃　  徳重聡  　・　  石橋凌  　・　  市毛良枝　  梶芽衣子　    ほか【脚本】  山崎宇子　  坂口理子【プロデュース】  中野利幸　    【演出】  石井祐介　  田中亮　  関野宗紀末廣健一郎　  MAYUKO　    【主題歌】  コブクロ「紙飛行機」(ワーナーミュージック・ジャパン)フジテレビドラマ制作センター</t>
  </si>
  <si>
    <t>番組名&lt;木曜劇場&gt;結婚しない　#09</t>
  </si>
  <si>
    <t>田中千春(菅野美穂)は、本社から来たエリート社員の高原誠司(徳重聡)にいきなりキスされ、交際を申し込まれる。帰宅した千春は、桐島春子(天海祐希)に高原のことを報告した。春子から、告白されてどう思ったのか、と問われた千春は、いまの自分を好きになってくれる人もいることを知ってホッとした、と答えた。  　あくる日、出社した千春は、店長(佐伯新)から来月の契約更新はできないと通告される。それを知った高原は大切な人のためならどんなことでも力になる、と千春に申し出る。  　明楓大学教授の谷川修司(小市慢太郎)から、実家の庭のデザインを頼まれていた春子は、それを個人的に引き受けることにする。谷川に電話して会う約束をする春子。谷川の教え子でもある佐倉麻衣(三吉彩花)は、ふたりが会うことを知り、デートだと言って春子をからかった。  　もう一度絵を描き始めた工藤純平(玉木宏)は、後輩の河野瑞希(伊藤歩)から呼び出され、千春が働いている旅行代理店を訪れる。そのとき、純平たちに気づかなかった鈴村真里子(福田彩乃)が、高原の名前を出し、「いよいよ結婚退職?」と千春に話しかけた。それを聞いていた純平は、素敵な彼氏だ、と言って千春を祝福し…。  　春子は、谷川と会うため、資料とポインセチアの花束を持って約束したカフェを訪れる。しかし、約束の時間を過ぎても谷川は現れず、携帯電話にも出なかった…。菅野美穂　  天海祐希　  玉木宏　    小市慢太郎　  三吉彩花　  伊藤歩　  福田彩乃　  徳重聡  　・　  石橋凌　  　・　  市毛良枝　  梶芽衣子　    ほか【脚本】  山崎宇子　  坂口理子【プロデュース】  中野利幸　    【演出】  石井祐介　  田中亮末廣健一郎　  MAYUKO　    【主題歌】  コブクロ「紙飛行機」(ワーナーミュージック・ジャパン)フジテレビドラマ制作センター</t>
  </si>
  <si>
    <t>番組名&lt;木曜劇場&gt;結婚しない　#10</t>
  </si>
  <si>
    <t>田中千春(菅野美穂)は、桐島春子(天海祐希)とケンカしてマンションを出た。そこに、高原誠司(徳重聡)から電話が入った。高原と会い、そのまま彼と一夜をともにする千春。高原は、結婚を前提に付き合ってほしい、と自分の気持ちを千春に伝える。  　あくる朝、千春が高原に送ってもらって実家に帰ると、母親の紀子(市毛良枝)がちょうど玄関先に出てきた。高原は、千春と交際していることを紀子に打ち明け、改めて挨拶に来る旨を伝える。  　工藤純平(玉木宏)は、後輩の河野瑞希(伊藤歩)をアパートに泊めた。純平が朝食を買いに行った際、瑞希は、彼が描いた野ばらの絵を見つける。そこで瑞希は、キャンバスの裏に千春が書いたメモがあることに気づく。  　メゾン・フローラルでは、明日の定休日に純平の送別会を開くことになった。提案者の佐倉麻衣(三吉彩花)は、春子のマンションに集まって千春も交えて送別会をやりたいという。春子は、千春がマンションを出てしまったとは言えず、仕事が忙しいからいまは実家に戻っている、と嘘をつく。  　夕方、旅行代理店を訪れた麻衣は、千春を純平の送別会に誘う。高原と約束していたこともあって、返事に困る千春。それに気づいた高原は、予定をずらせばいいから送別会に行った方がいい、と千春に告げる。  　そんな折、体調がすぐれなかった春子は、病院を訪れるが…。菅野美穂　  天海祐希　  玉木宏　    小市慢太郎　  三吉彩花　  伊藤歩　  福田彩乃　  徳重聡  　・　  石橋凌  　・　  市毛良枝　  梶芽衣子　    ほか【脚本】  山崎宇子　  坂口理子【プロデュース】  中野利幸　    【演出】  石井祐介　  田中亮末廣健一郎　  MAYUKO　    【主題歌】  コブクロ「紙飛行機」(ワーナーミュージック・ジャパン)フジテレビドラマ制作センター</t>
  </si>
  <si>
    <t>番組名&lt;木曜劇場&gt;結婚しない　#11</t>
  </si>
  <si>
    <t>田中千春(菅野美穂)は、職場の上司の高原(徳重聡)から正式にプロポーズされた。  　桐島春子(天海祐希)は、先日母を亡くした谷川教授(小市慢太郎)から、残りの人生を一緒に過ごしてもらえないか?と言われるが、自分にはその自信はない、と答えた。  　一方、工藤純平(玉木宏)は、河野瑞希(伊藤歩)と1週間後に一緒にパリに行く予定だったが、急に早まり、もう今夜旅立つ、と言う。そして、千春に渡してほしい、とスケッチブックを春子に託す純平。春子は、千春に電話し、純平がもう発ってしまうことを告げる。そして、将来の自分が後悔しないよう、素直になれ、と伝える。が、その時、春子の下腹部に激痛が襲い、その場に倒れてしまう・・・。  　千春はどんな道を選ぶのか?春子の病気は・・・?そして、純平は夢を追いかける道を選択するのか・・・?菅野美穂　  天海祐希　  玉木宏　    小市慢太郎　  三吉彩花　  伊藤歩　  福田彩乃　  徳重聡  　・　  石橋凌  　・　  市毛良枝　  梶芽衣子　    ほか【脚本】  山崎宇子　  坂口理子【プロデュース】  中野利幸　    【演出】  石井祐介　  田中亮末廣健一郎　  MAYUKO　    【主題歌】  コブクロ「紙飛行機」(ワーナーミュージック・ジャパン)フジテレビドラマ制作センター</t>
  </si>
  <si>
    <t>1210_CX_土23</t>
  </si>
  <si>
    <t>高校入試</t>
  </si>
  <si>
    <t>番組名&lt;土ドラ&gt;高校入試　#01</t>
  </si>
  <si>
    <t>県立橘第一高校。通称、一高。学区で一番の進学校として、名高い名門県立高校だ。新任教師の春山杏子(長澤まさみ)は、彼女にとって初めての入試を数日後に控えていた。入試を目前に校内は殺気立っている。  　入試会議のアナウンスが流れ、杏子は会議室へと向かった。入試部長の荻野正夫(斉木しげる)により、入試の全体的な流れが説明されていく。杏子は水野文昭(阪田マサノブ)と村井祐志(篠田光亮)と3人1組となり、試験会場2の試験監督を担当することになった。  　入試会議が終わり、杏子は滝本みどり(南沢奈央)に音楽室に呼び出された。みどりが呼び出したのは、元旅行会社勤務だった杏子に予約が困難だというリゾートホテル「インディゴ」の予約を取ってもらうお願いをするためだった。入試終わりに彼氏と一緒に旅行をする予定なのだ。その彼氏は一高関係者だという。杏子は誰がみどりの彼氏なのか気になりながらも、かつての同僚に「インディゴ」の予約を頼んだ。  　5時になり、英語科準備室で英語教師たちが集まり教科会議が始まった。英語教師の松島崇史(羽場裕一)は、息子が一高受験生のため、今年の採点処理は行わない。松島を信頼している小西俊也(徳山秀典)は松島がいないことに不安がるのだが、松島は「今年は英語科のホープ、春山先生がいるからね」と不安がる小西をたしなめる。期待を寄せられた杏子は「頑張ります!」と、入試にますます気合いを入れ…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湊かなえ【企画・プロデュース】  羽鳥健一　    【プロデューサー】  柳川由起子　    【演出】  星護　  北川学著作:フジテレビ　  制作協力:共同テレビ</t>
  </si>
  <si>
    <t>県立橘第一高校。通称、一高。学区で一番の進学校として、名高い名門県立高校だ。新任教師の春山杏子(長澤まさみ)は、彼女にとって初めての入試を数日後に控えていた。入試を目前に校内は殺気立っている。  　入試会議のアナウンスが流れ、杏子は会議室へと向かった。入試部長の荻野正夫(斉木しげる)により、入試の全体的な流れが説明されていく。杏子は水野文昭(阪田マサノブ)と村井祐志(篠田光亮)と3人1組となり、試験会場2の試験監督を担当することになった。  　入試会議が終わり、杏子は滝本みどり(南沢奈央)に音楽室に呼び出された。みどりが呼び出したのは、元旅行会社勤務だった杏子に予約が困難だというリゾートホテル「インディゴ」の予約を取ってもらうお願いをするためだった。入試終わりに彼氏と一緒に旅行をする予定なのだ。その彼氏は一高関係者だという。杏子は誰がみどりの彼氏なのか気になりながらも、かつての同僚に「インディゴ」の予約を頼んだ。  　5時になり、英語科準備室で英語教師たちが集まり教科会議が始まった。英語教師の松島崇史(羽場裕一)は、息子が一高受験生のため、今年の採点処理は行わない。松島を信頼している小西俊也(徳山秀典)は松島がいないことに不安がるのだが、松島は「今年は英語科のホープ、春山先生がいるからね」と不安がる小西をたしなめる。期待を寄せられた杏子は「頑張ります!」と、入試にますます気合いを入れ…</t>
  </si>
  <si>
    <t>番組名&lt;土ドラ&gt;高校入試　#02</t>
  </si>
  <si>
    <t>入試を明日に控え、教師たちは準備に忙しく取りかかっている。春山杏子(長澤まさみ)は、水野文昭(阪田マサノブ)と村井祐志(篠田光亮)と掃除をするため担当の試験会場となる2年B組の教室へと向かった。杏子たちが教室に入ると黒板には「入試をぶっつぶす!」と書かれた貼り紙があり、3人は驚く。そして他の教室にも「入試をぶっつぶす!」と書かれた貼り紙がはられていることがわかった。貼り紙を前に、教師たちはざわつき取り乱す者も現れるが、冷静沈着な水野が教師たちを落ち着かせ、掃除を始めることになった。  　再び教師たちが掃除を始めると、2年A組の黒板の上から「杏子LOVE」と書かれたラブレターが、2年B組の黒板の上からは、坂本多恵子(高橋ひとみ)の携帯電話が見つかった。坂本の携帯を誰が何のために、黒板の上に隠したのか、教師たちは推測し始める。坂本は、2年B組の生徒・石川衣里奈(山崎紘菜)が授業中に携帯を開いていたため彼女の携帯を取り上げたことがあり、そのことについて恨みを持っている衣里奈が自分の携帯を隠したのだと疑い・・・。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</si>
  <si>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入試を明日に控え、教師たちは準備に忙しく取りかかっている。春山杏子(長澤まさみ)は、水野文昭(阪田マサノブ)と村井祐志(篠田光亮)と掃除をするため担当の試験会場となる2年B組の教室へと向かった。杏子たちが教室に入ると黒板には「入試をぶっつぶす!」と書かれた貼り紙があり、3人は驚く。そして他の教室にも「入試をぶっつぶす!」と書かれた貼り紙がはられていることがわかった。貼り紙を前に、教師たちはざわつき取り乱す者も現れるが、冷静沈着な水野が教師たちを落ち着かせ、掃除を始めることになった。  　再び教師たちが掃除を始めると、2年A組の黒板の上から「杏子LOVE」と書かれたラブレターが、2年B組の黒板の上からは、坂本多恵子(高橋ひとみ)の携帯電話が見つかった。坂本の携帯を誰が何のために、黒板の上に隠したのか、教師たちは推測し始める。坂本は、2年B組の生徒・石川衣里奈(山崎紘菜)が授業中に携帯を開いていたため彼女の携帯を取り上げたことがあり、そのことについて恨みを持っている衣里奈が自分の携帯を隠したのだと疑い・・・。</t>
  </si>
  <si>
    <t>番組名&lt;土ドラ&gt;高校入試　#03</t>
  </si>
  <si>
    <t>ついに入試当日を迎えた一高。受験生が続々と校内へと入ってくる。春山杏子(長澤まさみ)や相田清孝(中尾明慶)、坂本多恵子(高橋ひとみ)は、体育館で受験生を番号順に並ばせている。体育館には、余裕の表情で周囲を見渡す田辺淳一(柾木玲弥)、メールを打つ芝田麻美(美山加恋)、顔色があまり良くない沢村翔太(清水尋也)、翔太をちらちらと見ている松島良隆(高杉真宙)など、さまざまな生徒たちの姿があった。　一方試験会場となる2年B組の教室では、水野文昭(阪田マサノブ)と村井祐志(篠田光亮)が入試時の注意事項の紙を黒板にはったり、携帯電話回収袋を用意したりと、準備作業をしている。今回の入試から用意された携帯電話回収袋を見て、水野は「もっと早くからこうしておけばよかったんだ」とつぶやく。毎年、入試中の携帯電話には悩まされていたからだ。  　8時30分になり、杏子らは受験生たちを試験会場へと誘導する。滝本みどり(南沢奈央)の案内により、食堂で待機していた保護者たちは、試験会場へ向かう受験生たちが食堂前を通ると、それぞれの子どもたちに思い思いの言葉を投げかけ応援した。  　受験生たちは受験番号に準じ、それぞれの試験会場へと入り、席に着く。2年B組の教室では、水野が受験生たちに入試に関する注意事項の説明を始めた…。春山杏子: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</si>
  <si>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ついに入試当日を迎えた一高。受験生が続々と校内へと入ってくる。春山杏子(長澤まさみ)や相田清孝(中尾明慶)、坂本多恵子(高橋ひとみ)は、体育館で受験生を番号順に並ばせている。体育館には、余裕の表情で周囲を見渡す田辺淳一(柾木玲弥)、メールを打つ芝田麻美(美山加恋)、顔色があまり良くない沢村翔太(清水尋也)、翔太をちらちらと見ている松島良隆(高杉真宙)など、さまざまな生徒たちの姿があった。　一方試験会場となる2年B組の教室では、水野文昭(阪田マサノブ)と村井祐志(篠田光亮)が入試時の注意事項の紙を黒板にはったり、携帯電話回収袋を用意したりと、準備作業をしている。今回の入試から用意された携帯電話回収袋を見て、水野は「もっと早くからこうしておけばよかったんだ」とつぶやく。毎年、入試中の携帯電話には悩まされていたからだ。  　8時30分になり、杏子らは受験生たちを試験会場へと誘導する。滝本みどり(南沢奈央)の案内により、食堂で待機していた保護者たちは、試験会場へ向かう受験生たちが食堂前を通ると、それぞれの子どもたちに思い思いの言葉を投げかけ応援した。  　受験生たちは受験番号に準じ、それぞれの試験会場へと入り、席に着く。2年B組の教室では、水野が受験生たちに入試に関する注意事項の説明を始めた…。</t>
  </si>
  <si>
    <t>番組名&lt;土ドラ&gt;高校入試　#04</t>
  </si>
  <si>
    <t>昼休みになり、春山杏子(長澤まさみ)ら教師たちは職員室に集まった。滝本みどり(南沢奈央)が発見した「入試をぶっつぶせ!」という予告や試験問題が書き込まれたサイトについて、宮下輝明(小松利昌)は、いろいろと推測をしている。そこへ荻野正夫(斉木しげる)と教頭の上条勝(清水一彰)が現れ校長からの伝言として、サイトに関しては一高の入試とは無関係と判断した旨を伝える。教頭のその発言に教師たちは不満に思った。　教頭たちが去り、相田清孝(中尾明慶)が弁当を食べていると携帯にメールが届いた。メールを見た相田は慌てて職員室を飛び出す。相田が向かったのはバレー部部室。待ち受けていたのは、中学校のセーラー服を着た石川衣里奈(山崎紘菜)だった。今日が誕生日の衣里奈は、相田に会いたくて、受験生のふりをして学校に忍び込んだのだ。　そして午後になり、理科の試験が始まった。職員室待機担当のみどりが職員室に向かうと、そこには見慣れない男の姿があり・・・。春山杏子: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</si>
  <si>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昼休みになり、春山杏子(長澤まさみ)ら教師たちは職員室に集まった。滝本みどり(南沢奈央)が発見した「入試をぶっつぶせ!」という予告や試験問題が書き込まれたサイトについて、宮下輝明(小松利昌)は、いろいろと推測をしている。そこへ荻野正夫(斉木しげる)と教頭の上条勝(清水一彰)が現れ校長からの伝言として、サイトに関しては一高の入試とは無関係と判断した旨を伝える。教頭のその発言に教師たちは不満に思った。　教頭たちが去り、相田清孝(中尾明慶)が弁当を食べていると携帯にメールが届いた。メールを見た相田は慌てて職員室を飛び出す。相田が向かったのはバレー部部室。待ち受けていたのは、中学校のセーラー服を着た石川衣里奈(山崎紘菜)だった。今日が誕生日の衣里奈は、相田に会いたくて、受験生のふりをして学校に忍び込んだのだ。　そして午後になり、理科の試験が始まった。職員室待機担当のみどりが職員室に向かうと、そこには見慣れない男の姿があり・・・。</t>
  </si>
  <si>
    <t>番組名&lt;土ドラ&gt;高校入試　#05</t>
  </si>
  <si>
    <t>ついに入試が終了。春山杏子(長澤まさみ)ら教師たちは後片付けを始める。受験中に携帯電話が鳴り、パニックを起こした受験生・芝田麻美(美山加恋)は受験妨害とみなされ失格を言い渡される。納得できない麻美の母、芝田昌子(生田智子)は応接室で校長・的場一郎(山本圭)、入試部長・荻野正夫(斉木しげる)、試験監督・水野文昭(阪田マサノブ)に対して猛抗議をする。そこに、受験妨害の被害者の親として抗議に来ていたはずの沢村幸造(入江雅人)も加わり、親たちは受験妨害が学校側の責任だと言い張る。学校側に落ち度はないと説明する荻野だが、麻美が受験した試験会場2の黒板に貼ってあった注意事項の張り紙には、他の教室に掲示してあった注意事項とは明らかに違う重大な欠落があった。証拠を盾に、学校側に責任を取るようにもとめる沢村と昌子。的場は、どのような結論を出すのか、一同の視線は的場へ集中する。  　一方、採点を始めようとする教師たちの中、村井祐志(篠田光亮)は試験中に見つけた、ある物について口を開く…校舎は再び不穏な空気に包まれる。春山杏子: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</si>
  <si>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ついに入試が終了。春山杏子(長澤まさみ)ら教師たちは後片付けを始める。受験中に携帯電話が鳴り、パニックを起こした受験生・芝田麻美(美山加恋)は受験妨害とみなされ失格を言い渡される。納得できない麻美の母、芝田昌子(生田智子)は応接室で校長・的場一郎(山本圭)、入試部長・荻野正夫(斉木しげる)、試験監督・水野文昭(阪田マサノブ)に対して猛抗議をする。そこに、受験妨害の被害者の親として抗議に来ていたはずの沢村幸造(入江雅人)も加わり、親たちは受験妨害が学校側の責任だと言い張る。学校側に落ち度はないと説明する荻野だが、麻美が受験した試験会場2の黒板に貼ってあった注意事項の張り紙には、他の教室に掲示してあった注意事項とは明らかに違う重大な欠落があった。証拠を盾に、学校側に責任を取るようにもとめる沢村と昌子。的場は、どのような結論を出すのか、一同の視線は的場へ集中する。  　一方、採点を始めようとする教師たちの中、村井祐志(篠田光亮)は試験中に見つけた、ある物について口を開く…校舎は再び不穏な空気に包まれる。</t>
  </si>
  <si>
    <t>番組名&lt;土ドラ&gt;高校入試　#06</t>
  </si>
  <si>
    <t>教科ごとに担当に分かれ、教師たちによる試験の採点が始まった。英語の採点場となっている会議室では、春山杏子(長澤まさみ)ら5人の教師たちが採点をしている。すると、試験会場2の採点をしていた、宮下輝明(小松利昌)が答案用紙が1枚足りないと言い出す。確認のため杏子も答案用紙の枚数を数えるが、やはり1枚足りない。無くなっていたのは受験番号46の答案用紙だった。教科主任の坂本多恵子(高橋ひとみ)は自分の評価が下がるとイライラする。試験会場2を担当していた杏子は、英語の答案用紙を受験生たちに配布したとき、確かに受験生の人数分ぴったりの答案用紙があったはずだと言う。また、試験が終わり答案用紙を回収する時には、杏子は過呼吸を起こした芝田麻美(美山加恋)を保健室に連れていき不在、水野文昭(阪田マサノブ)も携帯電話の回収袋を取りに行っていて不在だったため、残っていた村井祐志(篠田光亮)が1人で答案用紙を回収していたことを思い出す。坂本は村井の回収ミスではないかと、頭を抱える。  　一方、校長室では的場一郎(山本圭)、上条勝(清水一彰)、荻野正夫(斉木しげる)が、一高の入試について書かれている掲示板を見ながら頭を抱えている。試験中に携帯電話が鳴った麻美が合格したら訴えるという書き込みが掲示板にあったからだ。3人は麻美の採点結果を不安に思いながら待ち続ける…。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</si>
  <si>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教科ごとに担当に分かれ、教師たちによる試験の採点が始まった。英語の採点場となっている会議室では、春山杏子(長澤まさみ)ら5人の教師たちが採点をしている。すると、試験会場2の採点をしていた、宮下輝明(小松利昌)が答案用紙が1枚足りないと言い出す。確認のため杏子も答案用紙の枚数を数えるが、やはり1枚足りない。無くなっていたのは受験番号46の答案用紙だった。教科主任の坂本多恵子(高橋ひとみ)は自分の評価が下がるとイライラする。試験会場2を担当していた杏子は、英語の答案用紙を受験生たちに配布したとき、確かに受験生の人数分ぴったりの答案用紙があったはずだと言う。また、試験が終わり答案用紙を回収する時には、杏子は過呼吸を起こした芝田麻美(美山加恋)を保健室に連れていき不在、水野文昭(阪田マサノブ)も携帯電話の回収袋を取りに行っていて不在だったため、残っていた村井祐志(篠田光亮)が1人で答案用紙を回収していたことを思い出す。坂本は村井の回収ミスではないかと、頭を抱える。  　一方、校長室では的場一郎(山本圭)、上条勝(清水一彰)、荻野正夫(斉木しげる)が、一高の入試について書かれている掲示板を見ながら頭を抱えている。試験中に携帯電話が鳴った麻美が合格したら訴えるという書き込みが掲示板にあったからだ。3人は麻美の採点結果を不安に思いながら待ち続ける…。</t>
  </si>
  <si>
    <t>番組名&lt;土ドラ&gt;高校入試　#07</t>
  </si>
  <si>
    <t>春山杏子(長澤まさみ)と坂本多恵子(高橋ひとみ)は、試験会場2の英語の答案用紙が1枚足りないことを報告するため、校長室を訪ねた。校長の的場一郎(山本圭)は外部に漏れることを気にし、このことを知っている英語の採点チームと試験会場2を担当した教師たちで、行方不明の答案用紙を探すよう指示する。さらに荻野正夫(斉木しげる)は、試験会場2の英語の答案用紙にかかわった人たちから1人ずつ事情聴取してはどうかと提案した。  　荻野による事情聴取が、1人ずつ順番に始まった。最初に荻野に呼び出されたのは試験会場2を担当していた村井祐志(篠田光亮)。そして、同じく試験会場2を担当した水野文昭(阪田マサノブ)、続いて村井から答案用紙を受け取った教頭の上条勝(清水一彰)。いずれも、答案用紙を数えたとき、1枚の不足もなくぴったり40枚あったと言う。荻野による事情聴取は、続く…。  　一方、杏子ら教師たちは事情聴取の順番が回ってくるまでの間、行方不明になった受験番号46の答案用紙を校内中探し始めたが、なかなか見つからない。そして杏子、村井、滝本みどり(南沢奈央)が玄関へ向い答案用紙を探し始めると、そこに…。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</si>
  <si>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春山杏子(長澤まさみ)と坂本多恵子(高橋ひとみ)は、試験会場2の英語の答案用紙が1枚足りないことを報告するため、校長室を訪ねた。校長の的場一郎(山本圭)は外部に漏れることを気にし、このことを知っている英語の採点チームと試験会場2を担当した教師たちで、行方不明の答案用紙を探すよう指示する。さらに荻野正夫(斉木しげる)は、試験会場2の英語の答案用紙にかかわった人たちから1人ずつ事情聴取してはどうかと提案した。  　荻野による事情聴取が、1人ずつ順番に始まった。最初に荻野に呼び出されたのは試験会場2を担当していた村井祐志(篠田光亮)。そして、同じく試験会場2を担当した水野文昭(阪田マサノブ)、続いて村井から答案用紙を受け取った教頭の上条勝(清水一彰)。いずれも、答案用紙を数えたとき、1枚の不足もなくぴったり40枚あったと言う。荻野による事情聴取は、続く…。  　一方、杏子ら教師たちは事情聴取の順番が回ってくるまでの間、行方不明になった受験番号46の答案用紙を校内中探し始めたが、なかなか見つからない。そして杏子、村井、滝本みどり(南沢奈央)が玄関へ向い答案用紙を探し始めると、そこに…。</t>
  </si>
  <si>
    <t>番組名&lt;土ドラ&gt;高校入試　#08</t>
  </si>
  <si>
    <t>受験番号46の英語の答案用紙が行方不明になったことにより、不穏な空気が流れ騒然としている一高。そんな中、春山杏子(長澤まさみ)たちの前に同窓会長の沢村幸造(入江雅人)が現れた。校舎の中庭の壁に英語の答案用紙が貼ってあるのを見つけたというのだ。行方不明になった受験番号46の答案用紙が見つかったと思った杏子たちだったが、よく見るとそれは受験番号55と書かれた答案用紙だった。受験番号55は沢村の息子(清水尋也)の受験番号。沢村は、なぜ息子の答案用紙が中庭にあったのかと杏子たちに詰め寄る。杏子たちは、ますます混乱する。  　坂本多恵子(高橋ひとみ)ら英語チームの教師たちが、沢村によって発見された受験番号55の答案用紙を採点してみると、それは満点だった。すでに採点済みの受験番号55の答案用紙は空欄もあり、満点ではない。2枚存在する受験番号55の答案用紙は、果たしてどちらが沢村の息子の答案用紙なのか、教師たちは頭を悩ます…。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</si>
  <si>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受験番号46の英語の答案用紙が行方不明になったことにより、不穏な空気が流れ騒然としている一高。そんな中、春山杏子(長澤まさみ)たちの前に同窓会長の沢村幸造(入江雅人)が現れた。校舎の中庭の壁に英語の答案用紙が貼ってあるのを見つけたというのだ。行方不明になった受験番号46の答案用紙が見つかったと思った杏子たちだったが、よく見るとそれは受験番号55と書かれた答案用紙だった。受験番号55は沢村の息子(清水尋也)の受験番号。沢村は、なぜ息子の答案用紙が中庭にあったのかと杏子たちに詰め寄る。杏子たちは、ますます混乱する。  　坂本多恵子(高橋ひとみ)ら英語チームの教師たちが、沢村によって発見された受験番号55の答案用紙を採点してみると、それは満点だった。すでに採点済みの受験番号55の答案用紙は空欄もあり、満点ではない。2枚存在する受験番号55の答案用紙は、果たしてどちらが沢村の息子の答案用紙なのか、教師たちは頭を悩ます…。</t>
  </si>
  <si>
    <t>番組名&lt;土ドラ&gt;高校入試　#09</t>
  </si>
  <si>
    <t>英語の答案用紙が依然見つからないため、春山杏子(長澤まさみ)ら教師たちは職員室で待機し続けている。2枚存在する受験番号55の答案用紙と紛失した受験番号46の答案用紙について、杏子が推測を始め、教師たちは耳を傾ける。　一方、松島崇史(羽場裕一)、村井祐志(篠田光亮)、滝本みどり(南沢奈央)は食料の買い出しにコンビニへとこっそり向かった。そこへ、松島の携帯に息子の良隆(高杉真宙)からメールが届く。勤務中を理由にメールを見ずにしまおうとした松島だったが、みどりが緊急の用かもしれないから見たほうがよいのではと促し、松島はメールを見ることにした。松島はコンビニを出て駐車場の陰で携帯電話を開き、文章を打ち込み始める…。　視聴覚室では、記者会見を開くことを要求してきた芝田昌子(生田智子)と同窓会長の沢村幸造(入江雅人)を、試験会場2の責任者である水野文昭(阪田マサノブ)がなだめていた。水野の説得に納得し、2人は視聴覚室を後にする。  　そんな中、一高での出来事や教師たちの言動は何者かによって事細かく掲示板に書きこまれ続けていて…。春山杏子: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協力:共同テレビ</t>
  </si>
  <si>
    <t>英語の答案用紙が依然見つからないため、春山杏子(長澤まさみ)ら教師たちは職員室で待機し続けている。2枚存在する受験番号55の答案用紙と紛失した受験番号46の答案用紙について、杏子が推測を始め、教師たちは耳を傾ける。　一方、松島崇史(羽場裕一)、村井祐志(篠田光亮)、滝本みどり(南沢奈央)は食料の買い出しにコンビニへとこっそり向かった。そこへ、松島の携帯に息子の良隆(高杉真宙)からメールが届く。勤務中を理由にメールを見ずにしまおうとした松島だったが、みどりが緊急の用かもしれないから見たほうがよいのではと促し、松島はメールを見ることにした。松島はコンビニを出て駐車場の陰で携帯電話を開き、文章を打ち込み始める…。　視聴覚室では、記者会見を開くことを要求してきた芝田昌子(生田智子)と同窓会長の沢村幸造(入江雅人)を、試験会場2の責任者である水野文昭(阪田マサノブ)がなだめていた。水野の説得に納得し、2人は視聴覚室を後にする。  　そんな中、一高での出来事や教師たちの言動は何者かによって事細かく掲示板に書きこまれ続けていて…。</t>
  </si>
  <si>
    <t>番組名&lt;土ドラ&gt;高校入試　#10</t>
  </si>
  <si>
    <t>校長室に、春山杏子(長澤まさみ)ら教師たちが集められた。紛失した受験番号46の答案用紙と2枚存在する受験番号55の答案用紙をどのように扱うかという話し合いが行われている。また受験番号59つまり松島崇史(羽場裕一)の息子(高杉真宙)の答案用紙に、携帯騒ぎ中に受験番号55が受験番号61の答えをカンニングをしているという告発文が書かれていたことに話が及んだ。試験会場2にいた、杏子や水野文昭(阪田マサノブ)、村井祐志(篠田光亮)らが、試験中に芝田麻美(美山加恋)の携帯電話が鳴ったときの状況を語り始めた。水野は松島に、松島の息子は沢村幸造同窓会長(入江雅人)の息子(清水尋也)にいじめられていたのではないかと問いかけ・・・。  　一方、掲示板には事細かに校長室でのやりとりが随時書き込まれ続けている。春山杏子: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協力:共同テレビ</t>
  </si>
  <si>
    <t>校長室に、春山杏子(長澤まさみ)ら教師たちが集められた。紛失した受験番号46の答案用紙と2枚存在する受験番号55の答案用紙をどのように扱うかという話し合いが行われている。また受験番号59つまり松島崇史(羽場裕一)の息子(高杉真宙)の答案用紙に、携帯騒ぎ中に受験番号55が受験番号61の答えをカンニングをしているという告発文が書かれていたことに話が及んだ。試験会場2にいた、杏子や水野文昭(阪田マサノブ)、村井祐志(篠田光亮)らが、試験中に芝田麻美(美山加恋)の携帯電話が鳴ったときの状況を語り始めた。水野は松島に、松島の息子は沢村幸造同窓会長(入江雅人)の息子(清水尋也)にいじめられていたのではないかと問いかけ・・・。  　一方、掲示板には事細かに校長室でのやりとりが随時書き込まれ続けている。</t>
  </si>
  <si>
    <t>番組名&lt;土ドラ&gt;高校入試　#11</t>
  </si>
  <si>
    <t>応接室では、春山杏子(長澤まさみ)と相田清孝(中尾明慶)が校内で発見された石川衣里奈(山崎紘菜)から、これまで一体何をしてきたのかを聞き出している。衣里奈は掲示板への書き込みやこれまで行ってきたこと、そして動機を語り始めた。廊下では、滝本みどり(南沢奈央)と村井祐志(篠田光亮)が応接室でのやりとりに聞き耳を立てている。衣里奈の話を聞き、みどりは憤慨し応接室へ飛び込む。校長室にいた教師たちにみどりの怒鳴り散らした声が届き、慌てて教師たちは応接室へ向かう。  　一方、田辺淳一(柾木玲弥)の家では淳一が兄で引きこもりの光一(中村倫也)と散らかった居間でインスタントコーヒーを飲んでいる。光一が淳一に「おまえ、何をしているの?」と尋ねると、淳一は「復讐」と答え・・・。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</si>
  <si>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応接室では、春山杏子(長澤まさみ)と相田清孝(中尾明慶)が校内で発見された石川衣里奈(山崎紘菜)から、これまで一体何をしてきたのかを聞き出している。衣里奈は掲示板への書き込みやこれまで行ってきたこと、そして動機を語り始めた。廊下では、滝本みどり(南沢奈央)と村井祐志(篠田光亮)が応接室でのやりとりに聞き耳を立てている。衣里奈の話を聞き、みどりは憤慨し応接室へ飛び込む。校長室にいた教師たちにみどりの怒鳴り散らした声が届き、慌てて教師たちは応接室へ向かう。  　一方、田辺淳一(柾木玲弥)の家では淳一が兄で引きこもりの光一(中村倫也)と散らかった居間でインスタントコーヒーを飲んでいる。光一が淳一に「おまえ、何をしているの?」と尋ねると、淳一は「復讐」と答え・・・。</t>
  </si>
  <si>
    <t>番組名&lt;土ドラ&gt;高校入試　#12</t>
  </si>
  <si>
    <t>['#12']</t>
  </si>
  <si>
    <t>応接室では、相田清孝(中尾明慶)をめぐって滝本みどり(南沢奈央)と石川衣里奈(山崎紘菜)が激しくののしりあっていた。春山杏子(長澤まさみ)ら教師たちが必死に2人を止めている。それを見ていた村井祐志(篠田光亮)が突然「いい加減にしろ!」と叫び、応接室はしんと静まりかえった。杏子ら教師たちは村井に注目する。一高出身でない村井は自分の子供時代の一高に対するあこがれや中学時代のつらい思い出、そしてやむなく一高受験を断念した経緯などを語り、入試の大切さを切々と訴えた。そして村井はある人物を指さし、受験をぶちこわそうとしている目的を問いかけた。応接室にいた教師たちは驚いた様子で、村井の指さした人物に注目する・・・。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</si>
  <si>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応接室では、相田清孝(中尾明慶)をめぐって滝本みどり(南沢奈央)と石川衣里奈(山崎紘菜)が激しくののしりあっていた。春山杏子(長澤まさみ)ら教師たちが必死に2人を止めている。それを見ていた村井祐志(篠田光亮)が突然「いい加減にしろ!」と叫び、応接室はしんと静まりかえった。杏子ら教師たちは村井に注目する。一高出身でない村井は自分の子供時代の一高に対するあこがれや中学時代のつらい思い出、そしてやむなく一高受験を断念した経緯などを語り、入試の大切さを切々と訴えた。そして村井はある人物を指さし、受験をぶちこわそうとしている目的を問いかけた。応接室にいた教師たちは驚いた様子で、村井の指さした人物に注目する・・・。</t>
  </si>
  <si>
    <t>番組名&lt;土ドラ&gt;高校入試　#13</t>
  </si>
  <si>
    <t>['#13']</t>
  </si>
  <si>
    <t>村井祐志(篠田光亮)に指摘をされ、語り出す春山杏子(長澤まさみ)。杏子が語り出したのは、過去交際をしていた寺島俊章(姜暢雄)の死の理由と、「なぜ彼が死ななきゃならなかったのか」という疑問を解決するために杏子が教師になることを決意した経緯。そして橘第一高校の教師になってから杏子が感じてきた疑問とフラストレーションを語り出す。そして徐々に明らかになる、杏子の意図。彼女はなぜ、この事件に荷担したのか…杏子は教師たちに、とあるウェブサイトを見せる。それは、杏子が「寺島が死ぬことの原因となった採点ミスがなぜ入試から半年経ったころに発覚したのか」という疑問を調査するうちに行き着いたとあるウェブサイト。そこに残っていた「とある過去」が、この事件には大きく関わっていた。そして杏子は、もう1人の「犯人」を指摘する。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</si>
  <si>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村井祐志(篠田光亮)に指摘をされ、語り出す春山杏子(長澤まさみ)。杏子が語り出したのは、過去交際をしていた寺島俊章(姜暢雄)の死の理由と、「なぜ彼が死ななきゃならなかったのか」という疑問を解決するために杏子が教師になることを決意した経緯。そして橘第一高校の教師になってから杏子が感じてきた疑問とフラストレーションを語り出す。そして徐々に明らかになる、杏子の意図。彼女はなぜ、この事件に荷担したのか…杏子は教師たちに、とあるウェブサイトを見せる。それは、杏子が「寺島が死ぬことの原因となった採点ミスがなぜ入試から半年経ったころに発覚したのか」という疑問を調査するうちに行き着いたとあるウェブサイト。そこに残っていた「とある過去」が、この事件には大きく関わっていた。そして杏子は、もう1人の「犯人」を指摘する。</t>
  </si>
  <si>
    <t>1210_CX_日21</t>
  </si>
  <si>
    <t>TOKYOエアポート</t>
  </si>
  <si>
    <t>番組名&lt;ドラマチックサンデー&gt;TOKYOエアポート～東京空港管制保安部～　#01</t>
  </si>
  <si>
    <t>http://www.fujitv.co.jp/tokyo-airport/　新任管制官の篠田香織(深田恭子)は、初出勤を翌日に控え、挨拶と下見を兼ねて羽田空港へ向かっていた。途中のモノレールで、スマイルサポートの札を付けた少年・渡辺健太(土師野隆之介)を見かけた香織は、グランドスタッフだった頃の知識と行動力を生かして手際よく健太を搭乗口まで送り届けた。  　管制塔にやってきた香織が、忙しく働く先輩管制官たちの様子を眺めつつ主幹管制官の結城昇(時任三郎)と話していると、にわかに室内が騒がしくなった。離陸したばかりの飛行機のエンジン内に鳥が巻き込まれた可能性があるという。いち早くそれに気づいた主任管制官の竹内裕美(瀬戸朝香)は、素早く関係各所に連絡を入れ、万が一引き返しても大丈夫なように準備を整え始める。同時に、羽田上空で旋回中の数機の飛行機に指示を出して次々に着陸させていく竹内。やがて引き返してきた飛行機は無事に羽田に着陸。管制官たちがホッと胸をなでおろしていた頃、香織の心配していた通り、到着ゲートではグランドスタッフが乗客の対応に追われていた。  　初出勤の日、香織はブリーフィング中に新人としてメンバーたちに紹介された。指導係となった竹内。  　数日にわたる厳しいシミュレーションが続いたある日、いら立ちを募らせていた香織に竹内から当日の天気資料が渡された。いよいよ実践に移れると喜んだ香織は、管制塔に入ると竹内と共に席に座り飛行機へ指示を出していくが…。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宇田学【プロデュース】  長部聡介　  関口大輔　    【演出】  西坂瑞城　  長瀬国博ティム・ウィンフジテレビドラマ制作センター</t>
  </si>
  <si>
    <t xml:space="preserve">　新任管制官の篠田香織(深田恭子)は、初出勤を翌日に控え、挨拶と下見を兼ねて羽田空港へ向かっていた。途中のモノレールで、スマイルサポートの札を付けた少年・渡辺健太(土師野隆之介)を見かけた香織は、グランドスタッフだった頃の知識と行動力を生かして手際よく健太を搭乗口まで送り届けた。  　管制塔にやってきた香織が、忙しく働く先輩管制官たちの様子を眺めつつ主幹管制官の結城昇(時任三郎)と話していると、にわかに室内が騒がしくなった。離陸したばかりの飛行機のエンジン内に鳥が巻き込まれた可能性があるという。いち早くそれに気づいた主任管制官の竹内裕美(瀬戸朝香)は、素早く関係各所に連絡を入れ、万が一引き返しても大丈夫なように準備を整え始める。同時に、羽田上空で旋回中の数機の飛行機に指示を出して次々に着陸させていく竹内。やがて引き返してきた飛行機は無事に羽田に着陸。管制官たちがホッと胸をなでおろしていた頃、香織の心配していた通り、到着ゲートではグランドスタッフが乗客の対応に追われていた。  　初出勤の日、香織はブリーフィング中に新人としてメンバーたちに紹介された。指導係となった竹内。  　数日にわたる厳しいシミュレーションが続いたある日、いら立ちを募らせていた香織に竹内から当日の天気資料が渡された。いよいよ実践に移れると喜んだ香織は、管制塔に入ると竹内と共に席に座り飛行機へ指示を出していくが…。</t>
  </si>
  <si>
    <t>番組名&lt;ドラマチックサンデー&gt;TOKYOエアポート～東京空港管制保安部～　#02</t>
  </si>
  <si>
    <t>http://www.fujitv.co.jp/tokyo-airport/　篠田香織(深田恭子)は、竹内裕美(瀬戸朝香)の開いていたロッカーの内側に息子・空(タイト　ホールドウェイ)の写真をみつける。直後、電話で体調を崩した空の様子を聞く竹内を目撃するが、あえて何も知らないふりをする。  　この日は急な欠員で竹内がターミナルレーダー室のサポートに回ることになり、香織も一緒に行くことになった。そんな中、バードパトロールから滑走路付近で人影を見かけたという情報が入り、空港の全滑走路が一時閉鎖となった。離着陸準備中の飛行機の管制で一気に忙しくなる管制塔内。竹内はそれを見越して香織に管制塔へ行くように指示を出す。滑走路付近で再び人影が目撃された。近くの桟橋に不審船侵入の報告も入り、テロの可能性を疑って警備中隊も動き出した。  　侵入者がつかまらないまま時間が過ぎるが、そこへ羽田上空を旋回している飛行機から、心筋梗塞で乗客が倒れたとメディカルエマージェンシーが入る。合図を受け、竹内はどうにか羽田に着陸させたいと訴えるが、管制部の田辺部長(螢雪次朗)らは安全が確保できない以上は無理だと拒否する。病人の状況を考え、たまらず飛行機を着陸させるべきだと声を張り上げた香織を一喝した結城昇(時任三郎)だが、そのまま着陸の段取りを始めた。そんな中、ターミナルレーダー室の統括席にある電話に竹内あてに電話がかかってきた。それは空を預けている母親からで…。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宇田学【プロデュース】  長部聡介　  関口大輔　    【演出】  西坂瑞城　  長瀬国博ティム・ウィンフジテレビドラマ制作センター</t>
  </si>
  <si>
    <t xml:space="preserve">　篠田香織(深田恭子)は、竹内裕美(瀬戸朝香)の開いていたロッカーの内側に息子・空(タイト　ホールドウェイ)の写真をみつける。直後、電話で体調を崩した空の様子を聞く竹内を目撃するが、あえて何も知らないふりをする。  　この日は急な欠員で竹内がターミナルレーダー室のサポートに回ることになり、香織も一緒に行くことになった。そんな中、バードパトロールから滑走路付近で人影を見かけたという情報が入り、空港の全滑走路が一時閉鎖となった。離着陸準備中の飛行機の管制で一気に忙しくなる管制塔内。竹内はそれを見越して香織に管制塔へ行くように指示を出す。滑走路付近で再び人影が目撃された。近くの桟橋に不審船侵入の報告も入り、テロの可能性を疑って警備中隊も動き出した。  　侵入者がつかまらないまま時間が過ぎるが、そこへ羽田上空を旋回している飛行機から、心筋梗塞で乗客が倒れたとメディカルエマージェンシーが入る。合図を受け、竹内はどうにか羽田に着陸させたいと訴えるが、管制部の田辺部長(螢雪次朗)らは安全が確保できない以上は無理だと拒否する。病人の状況を考え、たまらず飛行機を着陸させるべきだと声を張り上げた香織を一喝した結城昇(時任三郎)だが、そのまま着陸の段取りを始めた。そんな中、ターミナルレーダー室の統括席にある電話に竹内あてに電話がかかってきた。それは空を預けている母親からで…。</t>
  </si>
  <si>
    <t>番組名&lt;ドラマチックサンデー&gt;TOKYOエアポート～東京空港管制保安部～　#03</t>
  </si>
  <si>
    <t>http://www.fujitv.co.jp/tokyo-airport/　モノレールを途中下車し、走って通勤する篠田香織(深田恭子)を若い女性たちが駆け足で抜かして行く。空港ではさらにたくさんの人数が海外スターの到着を待ちわびていた。一方、ブリーフィングではスターがプライベートジェットでやってくることが話題になっていた。浮かれている酒井真奈(佐々木希)に竹内裕美(瀬戸朝香)は、プライベートジェットはパイロットがルートを間違えやすいからフォローをしっかりしなくてはいけないと注意をする。  　プライベートジェットの管制を山下佑司(瀬戸康史)が任された。風が強くなり、パイロットに細かく指示を出す山下だが、プライベートジェットの後方についていたボーイング機には、パイロットから再三のリクエストがあったにもかかわらず細かな風の情報を知らせるのが遅れる。風に煽られながらもなんとか着陸したボーイング機だが、副操縦士として乗っていた移行訓練中のパイロット・西川俊一(忍成修吾)は、運行が不安定だったという理由で機長から不合格を言い渡された。管制の指示に不満を募らせる西川。  　そんな中、仕事が円滑に進むために管制官やパイロット、CA、整備士などが集まって意見交換をする交流会が行われることになり、香織と酒井と山下が参加することになった。交流会で顔を合わせた山下と西川。会話をしているうちにお互いがあの時のパイロットと管制官だとわかるとケンカが始まってしまう…。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宇田学【プロデュース】  長部聡介　  関口大輔　    【演出】  西坂瑞城　  長瀬国博ティム・ウィンフジテレビドラマ制作センター</t>
  </si>
  <si>
    <t xml:space="preserve">　モノレールを途中下車し、走って通勤する篠田香織(深田恭子)を若い女性たちが駆け足で抜かして行く。空港ではさらにたくさんの人数が海外スターの到着を待ちわびていた。一方、ブリーフィングではスターがプライベートジェットでやってくることが話題になっていた。浮かれている酒井真奈(佐々木希)に竹内裕美(瀬戸朝香)は、プライベートジェットはパイロットがルートを間違えやすいからフォローをしっかりしなくてはいけないと注意をする。  　プライベートジェットの管制を山下佑司(瀬戸康史)が任された。風が強くなり、パイロットに細かく指示を出す山下だが、プライベートジェットの後方についていたボーイング機には、パイロットから再三のリクエストがあったにもかかわらず細かな風の情報を知らせるのが遅れる。風に煽られながらもなんとか着陸したボーイング機だが、副操縦士として乗っていた移行訓練中のパイロット・西川俊一(忍成修吾)は、運行が不安定だったという理由で機長から不合格を言い渡された。管制の指示に不満を募らせる西川。  　そんな中、仕事が円滑に進むために管制官やパイロット、CA、整備士などが集まって意見交換をする交流会が行われることになり、香織と酒井と山下が参加することになった。交流会で顔を合わせた山下と西川。会話をしているうちにお互いがあの時のパイロットと管制官だとわかるとケンカが始まってしまう…。</t>
  </si>
  <si>
    <t>番組名&lt;ドラマチックサンデー&gt;TOKYOエアポート～東京空港管制保安部～　#04</t>
  </si>
  <si>
    <t>http://www.fujitv.co.jp/tokyo-airport/　篠田香織(深田恭子)は、変則的なチーム編成で矢野元治(梶原善)の指導を受けながらターミナルレーダー室での管制を行っていた。放任主義の矢野の指導方法に不安を抱く竹内裕美(瀬戸朝香)。  　ある日の終業後、香織は桐島悠(佐藤江梨子)と城之内玲子(山口紗弥加)の待つレストランへ向かった。飯田博之(浅香航大)がワインの飲み過ぎでぐったりとしている中、2人は間近に迫ったボジョレ・ヴィラージュ・ヌーヴォーの解禁イベントの実行委員になり、飲み比べ企画に使用するワインを選んでいることを説明する。桐島が味の違いがわからないとぼやいていると、同じ店で飲んでいた酒井真奈(佐々木希)がやって来て一口飲んだワインの詳しい解説をした。取得が難しいワインエキスパートの資格を持っていると話す酒井に、様子を見ていた企画の立案者であり、系列会社でワインの買い付けを行っている矢吹典子(木南晴夏)は感激。イベント用に取り寄せているワインが、作り手のこだわりが詰まったいかに素晴らしいワインであるかを力説する。後日、酒井は山下佑司(瀬戸康史)らに矢吹からワインの買い付けスタッフにスカウトされたと嬉しそうに話す。  　一方、出社途中の香織の前には車イスの本上圭介(平岡祐太)が現れた。本上は香織に近づいてくると口を開き…。篠田香織: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　  早船歌江子【プロデュース】  長部聡介　  関口大輔　    【演出】  西坂瑞城　  長瀬国博ティム・ウィンフジテレビドラマ制作センター</t>
  </si>
  <si>
    <t xml:space="preserve">　篠田香織(深田恭子)は、変則的なチーム編成で矢野元治(梶原善)の指導を受けながらターミナルレーダー室での管制を行っていた。放任主義の矢野の指導方法に不安を抱く竹内裕美(瀬戸朝香)。  　ある日の終業後、香織は桐島悠(佐藤江梨子)と城之内玲子(山口紗弥加)の待つレストランへ向かった。飯田博之(浅香航大)がワインの飲み過ぎでぐったりとしている中、2人は間近に迫ったボジョレ・ヴィラージュ・ヌーヴォーの解禁イベントの実行委員になり、飲み比べ企画に使用するワインを選んでいることを説明する。桐島が味の違いがわからないとぼやいていると、同じ店で飲んでいた酒井真奈(佐々木希)がやって来て一口飲んだワインの詳しい解説をした。取得が難しいワインエキスパートの資格を持っていると話す酒井に、様子を見ていた企画の立案者であり、系列会社でワインの買い付けを行っている矢吹典子(木南晴夏)は感激。イベント用に取り寄せているワインが、作り手のこだわりが詰まったいかに素晴らしいワインであるかを力説する。後日、酒井は山下佑司(瀬戸康史)らに矢吹からワインの買い付けスタッフにスカウトされたと嬉しそうに話す。  　一方、出社途中の香織の前には車イスの本上圭介(平岡祐太)が現れた。本上は香織に近づいてくると口を開き…。</t>
  </si>
  <si>
    <t>番組名&lt;ドラマチックサンデー&gt;TOKYOエアポート～東京空港管制保安部～　#05</t>
  </si>
  <si>
    <t>http://www.fujitv.co.jp/tokyo-airport/　初めての夜勤を終えた篠田香織(深田恭子)の元に氷室一生(別所哲也)がやって来た。氷室は、羽田空港の近くにある病院から問い合わせがあったという、全日空の航空機前でパイロットとCAと子供たちが写っている古い写真を見せ、何か知らないかと尋ねる。  　写真を調べるため「敷島珈琲」にやってきた香織と酒井真奈(佐々木希)。そこへ山下佑司(瀬戸康史)が知り合いの全日空で客室乗務員教育係をやっている田口七美(肘井美佳)を連れて来た。すぐに写真を見せるが、田口もわからないという。しかし「敷島珈琲」のオーナーで元管制技術官の横山博(小野武彦)が、パイロットはすでに亡くなっている小島健吾だと教えてくれた。  　後日、香織と田口が小島の家を訪ねると、妻の鈴子(池田道枝)が写真はホスピスの子供たちを飛行機に乗せてあげるという、小島が5年がかりで実現させたボランティアイベントだと説明してくれた。翌日、2人は写真の返却も兼ねて病院を訪ねた。窓から飛行機が見える病院内では子供たちが飛行機の模型やぬいぐるみで遊んでいた。スタッフから子供たちの様子を聞いた2人は、再び“小島フライト"を実現させるべく動くことを決意する。  　香織と田口がそれぞれの場所で準備を進めていたが、順調に進んでいた香織とは反対に、全日空から許可は出せないとの連絡が氷室を通して入った。再度交渉しようとする香織に竹内裕美(瀬戸朝香)はアドバイスを送る。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　  早船歌江子【プロデュース】  長部聡介　  関口大輔　    【演出】  西坂瑞城　  瀬国博ティム・ウィンフジテレビドラマ制作センター</t>
  </si>
  <si>
    <t xml:space="preserve">　初めての夜勤を終えた篠田香織(深田恭子)の元に氷室一生(別所哲也)がやって来た。氷室は、羽田空港の近くにある病院から問い合わせがあったという、全日空の航空機前でパイロットとCAと子供たちが写っている古い写真を見せ、何か知らないかと尋ねる。  　写真を調べるため「敷島珈琲」にやってきた香織と酒井真奈(佐々木希)。そこへ山下佑司(瀬戸康史)が知り合いの全日空で客室乗務員教育係をやっている田口七美(肘井美佳)を連れて来た。すぐに写真を見せるが、田口もわからないという。しかし「敷島珈琲」のオーナーで元管制技術官の横山博(小野武彦)が、パイロットはすでに亡くなっている小島健吾だと教えてくれた。  　後日、香織と田口が小島の家を訪ねると、妻の鈴子(池田道枝)が写真はホスピスの子供たちを飛行機に乗せてあげるという、小島が5年がかりで実現させたボランティアイベントだと説明してくれた。翌日、2人は写真の返却も兼ねて病院を訪ねた。窓から飛行機が見える病院内では子供たちが飛行機の模型やぬいぐるみで遊んでいた。スタッフから子供たちの様子を聞いた2人は、再び“小島フライト"を実現させるべく動くことを決意する。  　香織と田口がそれぞれの場所で準備を進めていたが、順調に進んでいた香織とは反対に、全日空から許可は出せないとの連絡が氷室を通して入った。再度交渉しようとする香織に竹内裕美(瀬戸朝香)はアドバイスを送る。</t>
  </si>
  <si>
    <t>番組名&lt;ドラマチックサンデー&gt;TOKYOエアポート～東京空港管制保安部～　#06</t>
  </si>
  <si>
    <t>http://www.fujitv.co.jp/tokyo-airport/　篠田香織(深田恭子)は訓練生からの昇格をかけた試験を控え、「敷島珈琲」で近藤幸宏(要潤)、山下佑司(瀬戸康史)、岡本哲治(長谷川朝晴)に様々なシチュエーションにおける管制の意見を聞いていた。いつまでもコーヒーを飲まない面々に苛立ちを募らせる敷島貴志(野間口徹)だが、香織は話を終えると早々に店を出ていく。途中、復帰して初出勤となる本上圭介(平岡祐太)を出迎え、言葉をかけると自らも羽田空港へ向かう。　国土交通大臣の栗山(橋爪淳)が管制塔の視察にきた。案内役を頼まれた香織は、矢野元治(梶原善)と共に施設や仕事を説明していく。案内が終わると、会議室に移り、結城昇(時任三郎)と氷室一生(別所哲也)との空港運営についての話し合いが始まった。栗山は、管制官の労働環境の改善を訴える結城の意見に耳を傾け、改めて話を聞く約束をする。  　午後になり、国際会議へ出席するため首相と栗山が政府専用機でオーストラリアに出発した。政府専用機は無事に離陸したものの、空港付近は強風のためと、着陸機からオイル漏れがあったことで1本を除くほかの滑走路が一時閉鎖になっていた。  　数十分後、政府専用機が羽田に引き返してくることに。機内で病人が出た模様。同じタイミングで1機の旅客機からエンジントラブルにより緊急着陸の要請が入る。滑走路が1本しかなく、共に一刻を争う中、ターミナルレーダー室で指示を出すことになった近藤は…。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　  早船歌江子【プロデュース】  長部聡介　  関口大輔　    【演出】  西坂瑞城　  長瀬国博　  成田岳ティム・ウィンフジテレビドラマ制作センター</t>
  </si>
  <si>
    <t xml:space="preserve">　篠田香織(深田恭子)は訓練生からの昇格をかけた試験を控え、「敷島珈琲」で近藤幸宏(要潤)、山下佑司(瀬戸康史)、岡本哲治(長谷川朝晴)に様々なシチュエーションにおける管制の意見を聞いていた。いつまでもコーヒーを飲まない面々に苛立ちを募らせる敷島貴志(野間口徹)だが、香織は話を終えると早々に店を出ていく。途中、復帰して初出勤となる本上圭介(平岡祐太)を出迎え、言葉をかけると自らも羽田空港へ向かう。　国土交通大臣の栗山(橋爪淳)が管制塔の視察にきた。案内役を頼まれた香織は、矢野元治(梶原善)と共に施設や仕事を説明していく。案内が終わると、会議室に移り、結城昇(時任三郎)と氷室一生(別所哲也)との空港運営についての話し合いが始まった。栗山は、管制官の労働環境の改善を訴える結城の意見に耳を傾け、改めて話を聞く約束をする。  　午後になり、国際会議へ出席するため首相と栗山が政府専用機でオーストラリアに出発した。政府専用機は無事に離陸したものの、空港付近は強風のためと、着陸機からオイル漏れがあったことで1本を除くほかの滑走路が一時閉鎖になっていた。  　数十分後、政府専用機が羽田に引き返してくることに。機内で病人が出た模様。同じタイミングで1機の旅客機からエンジントラブルにより緊急着陸の要請が入る。滑走路が1本しかなく、共に一刻を争う中、ターミナルレーダー室で指示を出すことになった近藤は…。</t>
  </si>
  <si>
    <t>番組名&lt;ドラマチックサンデー&gt;TOKYOエアポート～東京空港管制保安部～　#07</t>
  </si>
  <si>
    <t>http://www.fujitv.co.jp/tokyo-airport/　篠田香織(深田恭子)が出勤してくると、空港事務所前には栗山大臣(橋爪淳)の件でたくさんのマスコミが押し寄せていた。急病の栗山を乗せて羽田空港に戻ってきた政府専用機を、燃料重量オーバーのため着陸を遅らせる指示を出した近藤幸宏(要潤)は管制業務から外されていた。また、カナダのICAO行きが決まっている竹内裕美(瀬戸朝香)は、まだみんなには言わないで欲しいと結城昇(時任三郎)に口止めをする。　そんな中、竹内が香織をレーティング試験に推薦すると言い出した。チームに承認をとったところ全員一致で推薦が決まったものの、それぞれの激励の言葉にプレッシャーを感じる香織。その日から香織の猛勉強が始まった。ある日、勉強を終えて廊下を歩いていた香織は、結城と氷室一生(別所哲也)が近藤の管制記録を検証しているのを目撃する。その検証をもとに結城と氷室が田辺明(螢雪次朗)にかけあったことで、近藤が管制業務に戻ることが決まった。  　近藤が管制塔に復帰してきた。さっそく管制卓につくが、判断に迷った山下佑司(瀬戸康史)から質問を振られた近藤は、答えに詰まってしまう。さらに自分でも管制をしようとするが…。一方、香織のレーティング試験も始まった。試験官の斉藤誠(菅原大吉)が見つめる中、筆記試験と口答試験をこなしていく香織。残すところは実技試験だけになるが…。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　  早船歌江子【プロデュース】  長部聡介　  関口大輔　    【演出】  西坂瑞城　  長瀬国博　  成田岳ティム・ウィンフジテレビドラマ制作センター</t>
  </si>
  <si>
    <t xml:space="preserve">　篠田香織(深田恭子)が出勤してくると、空港事務所前には栗山大臣(橋爪淳)の件でたくさんのマスコミが押し寄せていた。急病の栗山を乗せて羽田空港に戻ってきた政府専用機を、燃料重量オーバーのため着陸を遅らせる指示を出した近藤幸宏(要潤)は管制業務から外されていた。また、カナダのICAO行きが決まっている竹内裕美(瀬戸朝香)は、まだみんなには言わないで欲しいと結城昇(時任三郎)に口止めをする。　そんな中、竹内が香織をレーティング試験に推薦すると言い出した。チームに承認をとったところ全員一致で推薦が決まったものの、それぞれの激励の言葉にプレッシャーを感じる香織。その日から香織の猛勉強が始まった。ある日、勉強を終えて廊下を歩いていた香織は、結城と氷室一生(別所哲也)が近藤の管制記録を検証しているのを目撃する。その検証をもとに結城と氷室が田辺明(螢雪次朗)にかけあったことで、近藤が管制業務に戻ることが決まった。  　近藤が管制塔に復帰してきた。さっそく管制卓につくが、判断に迷った山下佑司(瀬戸康史)から質問を振られた近藤は、答えに詰まってしまう。さらに自分でも管制をしようとするが…。一方、香織のレーティング試験も始まった。試験官の斉藤誠(菅原大吉)が見つめる中、筆記試験と口答試験をこなしていく香織。残すところは実技試験だけになるが…。</t>
  </si>
  <si>
    <t>番組名&lt;ドラマチックサンデー&gt;TOKYOエアポート～東京空港管制保安部～　#08</t>
  </si>
  <si>
    <t>http://www.fujitv.co.jp/tokyo-airport/　レーティング試験に合格した篠田香織(深田恭子)が、パイロットと同行してコックピットでフライトを経験する搭乗訓練を行うことになった。羽田～福岡間の航空機に乗ることになり、コックピットに挨拶に行った香織を出迎えた副操縦士は、元同僚の西川俊一(忍成修吾)だった。  　香織が乗った航空機が羽田から離陸した。コックピットで、パイロットと矢野元治(梶原善)や酒井真奈(佐々木希)などの管制官との会話を聞いてメモを取りつつ、思わず笑みがこぼれる香織。また、飛行中のパイロット同士の会話から、パイロットがどのようなことを意識してフライトをしているのかを知る。一方、JAL社内を歩いていたパイロット候補生の飯田博之(浅香航大)は、廊下で本上圭介(平岡祐太)を見かけて声をかけようとするが、パイロットたちを黙って見つめている本上にかける言葉を失う。　翌日、ブリーフィングに東京コントロールに勤務していた中島ハル(野波麻帆)がやってきて訓練生と紹介される。来月ICAOに出向になる竹内裕美(瀬戸朝香)の代わりに羽田勤務になるという。そんな中、香織を乗せた航空機が福岡を飛びたった。しばらくすると、突然コックピットにアラーム音が鳴り響いた。モニター画面を見ると、エンジンの回転数はどんどん落ち、やがてエンジン計器が止まってしまい…。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　  早船歌江子　  徳永友一【プロデュース】  長部聡介　  関口大輔　    【演出】  西坂瑞城　  長瀬国博　  成田岳ティム・ウィンフジテレビドラマ制作センター</t>
  </si>
  <si>
    <t xml:space="preserve">　レーティング試験に合格した篠田香織(深田恭子)が、パイロットと同行してコックピットでフライトを経験する搭乗訓練を行うことになった。羽田～福岡間の航空機に乗ることになり、コックピットに挨拶に行った香織を出迎えた副操縦士は、元同僚の西川俊一(忍成修吾)だった。  　香織が乗った航空機が羽田から離陸した。コックピットで、パイロットと矢野元治(梶原善)や酒井真奈(佐々木希)などの管制官との会話を聞いてメモを取りつつ、思わず笑みがこぼれる香織。また、飛行中のパイロット同士の会話から、パイロットがどのようなことを意識してフライトをしているのかを知る。一方、JAL社内を歩いていたパイロット候補生の飯田博之(浅香航大)は、廊下で本上圭介(平岡祐太)を見かけて声をかけようとするが、パイロットたちを黙って見つめている本上にかける言葉を失う。　翌日、ブリーフィングに東京コントロールに勤務していた中島ハル(野波麻帆)がやってきて訓練生と紹介される。来月ICAOに出向になる竹内裕美(瀬戸朝香)の代わりに羽田勤務になるという。そんな中、香織を乗せた航空機が福岡を飛びたった。しばらくすると、突然コックピットにアラーム音が鳴り響いた。モニター画面を見ると、エンジンの回転数はどんどん落ち、やがてエンジン計器が止まってしまい…。</t>
  </si>
  <si>
    <t>番組名&lt;ドラマチックサンデー&gt;TOKYOエアポート～東京空港管制保安部～　#09</t>
  </si>
  <si>
    <t>http://www.fujitv.co.jp/tokyo-airport/　12月23日、クリスマスを目前に賑わう羽田空港。管制官として独り立ちして間もない不安から、指示を出す前に先輩につい確認をとってしまう篠田香織(深田恭子)を、結城昇(時任三郎)は黙って見つめていた。その夜、本上圭介(平岡祐太)から呼び出された香織。本上は再びパイロットを目指すと話し、喜ぶ香織に前向きな気持ちになれたのは香織のおかげだとお礼を言う。そして、パイロット試験を受ける時のためにと、翌日のNY行きの飛行機のジャンプシートに乗ることを話す。  　12月24日。竹内裕美(瀬戸朝香)は、息子を送っていく車でカーナビのGPSが微妙にズレていることに気付くが、特に気に留めることはなかった。その日は西日本では大雪が降っていて、遅延やダイバードが増える可能性があるのに加え、メンバー内に病欠がいて少人数でのシフトになってしまう。  そんな中、本人は隠しているも翌日にカナダへ発ってしまう竹内のために、香織は仲間たちに協力をあおぎながらこっそりと動いていた。  　ターミナルレーダー室で管制を行っていた香織だが、1機が指示したポイントからずれ始めた。続いて後方機もコースからずれていき、酒井真奈(佐々木希)らが担当する飛行機にも同じ現象が起こりだした。それでもなんとか管制を続けていた香織たちだが、GPSに不具合が生じていることが原因だと判明…。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　  早船歌江子【プロデュース】  長部聡介　  関口大輔　    【演出】  西坂瑞城　  長瀬国博　  成田岳ティム・ウィンフジテレビドラマ制作センター</t>
  </si>
  <si>
    <t xml:space="preserve">　12月23日、クリスマスを目前に賑わう羽田空港。管制官として独り立ちして間もない不安から、指示を出す前に先輩につい確認をとってしまう篠田香織(深田恭子)を、結城昇(時任三郎)は黙って見つめていた。その夜、本上圭介(平岡祐太)から呼び出された香織。本上は再びパイロットを目指すと話し、喜ぶ香織に前向きな気持ちになれたのは香織のおかげだとお礼を言う。そして、パイロット試験を受ける時のためにと、翌日のNY行きの飛行機のジャンプシートに乗ることを話す。  　12月24日。竹内裕美(瀬戸朝香)は、息子を送っていく車でカーナビのGPSが微妙にズレていることに気付くが、特に気に留めることはなかった。その日は西日本では大雪が降っていて、遅延やダイバードが増える可能性があるのに加え、メンバー内に病欠がいて少人数でのシフトになってしまう。  そんな中、本人は隠しているも翌日にカナダへ発ってしまう竹内のために、香織は仲間たちに協力をあおぎながらこっそりと動いていた。  　ターミナルレーダー室で管制を行っていた香織だが、1機が指示したポイントからずれ始めた。続いて後方機もコースからずれていき、酒井真奈(佐々木希)らが担当する飛行機にも同じ現象が起こりだした。それでもなんとか管制を続けていた香織たちだが、GPSに不具合が生じていることが原因だと判明…。</t>
  </si>
  <si>
    <t>番組名&lt;ドラマチックサンデー&gt;TOKYOエアポート～東京空港管制保安部～　#10</t>
  </si>
  <si>
    <t>http://www.fujitv.co.jp/tokyo-airport/　12月24日。GPSの誤作動に加え停電が起こり、空港内は大混乱。この状況に皆が驚き騒然としている。  　この停電がGPSの誤作動の件と関わっていたら・・・。篠田香織(深田恭子)は、NY便に乗っている本上圭介(平岡祐太)を心配するが、気持ちを切り替え、仕事に集中しようと大きく息を吐き出した。　そんな状況の中、日没が迫ってきた。アメリカからの引き返し便や、地方空港の悪天候による滑走路閉鎖で羽田空港にはたくさんの飛行機が着陸予定。しかしこのままでは滑走路の灯火にも影響が出てきて、着陸ができなくなってしまう。香織、竹内裕美(瀬戸朝香)、結城昇(時任三郎)らは窮地に立たされ・・・。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　  早船歌江子【プロデュース】  長部聡介　  関口大輔　    【演出】  西坂瑞城　  長瀬国博　  成田岳ティム・ウィンフジテレビドラマ制作センター</t>
  </si>
  <si>
    <t xml:space="preserve">　12月24日。GPSの誤作動に加え停電が起こり、空港内は大混乱。この状況に皆が驚き騒然としている。  　この停電がGPSの誤作動の件と関わっていたら・・・。篠田香織(深田恭子)は、NY便に乗っている本上圭介(平岡祐太)を心配するが、気持ちを切り替え、仕事に集中しようと大きく息を吐き出した。　そんな状況の中、日没が迫ってきた。アメリカからの引き返し便や、地方空港の悪天候による滑走路閉鎖で羽田空港にはたくさんの飛行機が着陸予定。しかしこのままでは滑走路の灯火にも影響が出てきて、着陸ができなくなってしまう。香織、竹内裕美(瀬戸朝香)、結城昇(時任三郎)らは窮地に立たされ・・・。</t>
  </si>
  <si>
    <t>1207_CX_月21</t>
  </si>
  <si>
    <t>リッチマン、プアウーマン</t>
  </si>
  <si>
    <t>番組名リッチマン、プアウーマン　#01</t>
  </si>
  <si>
    <t>日向徹(小栗旬)は、29歳にして時価総額3000億円とも言われるIT企業「NEXT　INNOVATION」を率いる注目の若手社長。日向に可能性を感じた朝比奈恒介(井浦新)が会社設立を持ちかけて、8年前に大学が開放した古い学生会館の一室から会社をスタート。瞬く間に成功を収めた。  　一方、澤木千尋(石原さとみ)は、東京大学理学部という学歴ながら就職が決まらず面接に奔走する日々を送っていた。そんなある日、面接に向かう途中で、「NEXT　INNOVATION」が入る高層ビルが目に止まった。  　そのころ、日向は朝比奈と取締役の山上芳行(佐野史郎)を前に、戸籍をインターネット上で管理するシステムを作る計画を明かした。日向は、国が着手する前に自分たちがやるんだと意気込むが、山上は、初期投資だけで会社の金が吹き飛んでしまうと難色を示す。  　数日後、千尋は「NEXT　INNOVATION」の会社説明会にやってくる。学生で埋め尽くされた会場の最前列に千尋が座ると、ステージに日向が現れた。  　日向は、自分の話を終えると、学生に質問を始めた。最前列の端から指名する中、ついに千尋の番になった。いきなり内定数を聞かれた千尋は、正直にゼロだと明かした。すると日向は、東大卒でも内定がもらえない時代なのか、それとも千尋によっぽどの欠陥があるのかと、千尋を値踏みするように見て…。小栗旬　  石原さとみ　  相武紗季  　●　  浅利陽介　  中村靖日　  八木のぞみ　  舞川あいく　  野村麻純　  古川雄輝　  丸山智己　  中原丈雄　  佐野史郎  　●　  井浦新【脚本】  安達奈緒子【プロデュース】  増本淳　  関口大輔　    【演出】  西浦正記　  田中亮林ゆうき　    【主題歌】  「ヒカリヘ」miwa(ソニー・ミュージックレコーズ)フジテレビドラマ制作センター</t>
  </si>
  <si>
    <t>日向徹(小栗旬)は、29歳にして時価総額3000億円とも言われるIT企業「NEXT　INNOVATION」を率いる注目の若手社長。日向に可能性を感じた朝比奈恒介(井浦新)が会社設立を持ちかけて、8年前に大学が開放した古い学生会館の一室から会社をスタート。瞬く間に成功を収めた。  　一方、澤木千尋(石原さとみ)は、東京大学理学部という学歴ながら就職が決まらず面接に奔走する日々を送っていた。そんなある日、面接に向かう途中で、「NEXT　INNOVATION」が入る高層ビルが目に止まった。  　そのころ、日向は朝比奈と取締役の山上芳行(佐野史郎)を前に、戸籍をインターネット上で管理するシステムを作る計画を明かした。日向は、国が着手する前に自分たちがやるんだと意気込むが、山上は、初期投資だけで会社の金が吹き飛んでしまうと難色を示す。  　数日後、千尋は「NEXT　INNOVATION」の会社説明会にやってくる。学生で埋め尽くされた会場の最前列に千尋が座ると、ステージに日向が現れた。  　日向は、自分の話を終えると、学生に質問を始めた。最前列の端から指名する中、ついに千尋の番になった。いきなり内定数を聞かれた千尋は、正直にゼロだと明かした。すると日向は、東大卒でも内定がもらえない時代なのか、それとも千尋によっぽどの欠陥があるのかと、千尋を値踏みするように見て…。</t>
  </si>
  <si>
    <t>番組名リッチマン、プアウーマン　#02</t>
  </si>
  <si>
    <t>日向徹(小栗旬)は、澤木千尋(石原さとみ)を「NEXT　INNOVATION」に来させると、総務省の藤川事務次官(大地真央)から呼び出しがあったと告げる。藤川がよほど千尋を気に入ったからだ、と徹は言うが、千尋は自分の都合などお構いなしの徹に不満をこぼす。徹は意に介さず、日当と成功報酬を払う、と言い放つ。その後、藤川との面会が無事終わった帰りのタクシーの中で、徹は大量の資料を千尋に渡し来週までに覚えて来い、と命じる。そして、車を停めると自分は用事があるからと言って、千尋を降ろした。そのとき千尋は、昨夜、徹の車中に靴を忘れた事を思い出し、返してほしいと頼む。徹は、財布から1万円札数枚を取ると、あれは捨てたから新しいものを買え、と差し出す。悔しい千尋は「お金があると人は変わるんですね」と言い捨てると、金を受け取らずに立ち去った。  　同じ頃、朝比奈恒介(井浦新)はバーで山上芳行(佐野史郎)のグチを聞いていた。酒に酔った山上は、代表取締役である徹の解任決議を出そう、などと言う。そんなところへ、レストランの仕事を終えた朝比奈燿子(相武紗季)が入ってきて、徹はいないのか、と聞く。  　その頃、徹はなじみの禅寺にいた。僧侶の笛木匡正(中原丈雄)に、自分の母親と同姓同名の人物が現れたと明かしていた。他人とわかりながらも、母と同じように失うのが惜しくて、口実をつけて引き留めているのだ、と言い…。小栗旬　  石原さとみ　  相武紗季  　●　  浅利陽介　  中村靖日　  八木のぞみ　  舞川あいく　  野村麻純　  古川雄輝　  丸山智己　  中原丈雄　  佐野史郎  　●　  井浦新【脚本】  安達奈緒子【プロデュース】  増本淳　  関口大輔　    【演出】  西浦正記　  田中亮林ゆうき　    【主題歌】  「ヒカリヘ」miwa(ソニー・ミュージックレコーズ)フジテレビドラマ制作センター</t>
  </si>
  <si>
    <t>日向徹(小栗旬)は、澤木千尋(石原さとみ)を「NEXT　INNOVATION」に来させると、総務省の藤川事務次官(大地真央)から呼び出しがあったと告げる。藤川がよほど千尋を気に入ったからだ、と徹は言うが、千尋は自分の都合などお構いなしの徹に不満をこぼす。徹は意に介さず、日当と成功報酬を払う、と言い放つ。その後、藤川との面会が無事終わった帰りのタクシーの中で、徹は大量の資料を千尋に渡し来週までに覚えて来い、と命じる。そして、車を停めると自分は用事があるからと言って、千尋を降ろした。そのとき千尋は、昨夜、徹の車中に靴を忘れた事を思い出し、返してほしいと頼む。徹は、財布から1万円札数枚を取ると、あれは捨てたから新しいものを買え、と差し出す。悔しい千尋は「お金があると人は変わるんですね」と言い捨てると、金を受け取らずに立ち去った。  　同じ頃、朝比奈恒介(井浦新)はバーで山上芳行(佐野史郎)のグチを聞いていた。酒に酔った山上は、代表取締役である徹の解任決議を出そう、などと言う。そんなところへ、レストランの仕事を終えた朝比奈燿子(相武紗季)が入ってきて、徹はいないのか、と聞く。  　その頃、徹はなじみの禅寺にいた。僧侶の笛木匡正(中原丈雄)に、自分の母親と同姓同名の人物が現れたと明かしていた。他人とわかりながらも、母と同じように失うのが惜しくて、口実をつけて引き留めているのだ、と言い…。</t>
  </si>
  <si>
    <t>番組名リッチマン、プアウーマン　#03</t>
  </si>
  <si>
    <t>日向徹(小栗旬)は、バイクの後ろに朝比奈燿子(相武紗季)を乗せてNEXT　INNOVATIONに戻ってくる。バイクから降りた燿子は、それを目撃した澤木千尋(石原さとみ)に、偶然だと声をかけた。  　そんな折、日向は千尋に名刺が入った箱を差し出す。社員でもないのに、と戸惑いながらも、自分のアバターが印刷された名刺を日向が作ってくれたことが嬉しい。しかし、印字された名前を見た千尋は「澤木千尋」が偽名だとはますます言い出しにくくなる。千尋からそう聞いた親友の小野遙香(野村麻純)は、以前から日向を知っていたのか、と聞く。千尋は、自分が高校生の頃、日向と出会った話を始め…。  　翌日、千尋が定時前に出社すると、社員たちはすでに出社し熱心に仕事をしていた。焦った千尋に、安岡倫哉(浅利陽介)は、今日が「デスメールの日」と呼ばれる契約更新の日だからだと説明。プログラマーらは3カ月ごとに契約を延長するが、契約更新できなければ日向から解雇通知のメールが届くのだという。さらに、会社のホープといわれる坂口(中野裕太)にもデスメールが届く。怒った坂口は、日向と朝比奈に食ってかかるが一蹴されてしまう。  　その後、日向は千尋に解雇した社員たちの不要書類を廃棄処分させる。その中に、ほとんど使っていない名刺を見つけた千尋は、日向のやり方を悪趣味だと批判。それを聞いた日向は…。小栗旬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</si>
  <si>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日向徹(小栗旬)は、バイクの後ろに朝比奈燿子(相武紗季)を乗せてNEXT　INNOVATIONに戻ってくる。バイクから降りた燿子は、それを目撃した澤木千尋(石原さとみ)に、偶然だと声をかけた。  　そんな折、日向は千尋に名刺が入った箱を差し出す。社員でもないのに、と戸惑いながらも、自分のアバターが印刷された名刺を日向が作ってくれたことが嬉しい。しかし、印字された名前を見た千尋は「澤木千尋」が偽名だとはますます言い出しにくくなる。千尋からそう聞いた親友の小野遙香(野村麻純)は、以前から日向を知っていたのか、と聞く。千尋は、自分が高校生の頃、日向と出会った話を始め…。  　翌日、千尋が定時前に出社すると、社員たちはすでに出社し熱心に仕事をしていた。焦った千尋に、安岡倫哉(浅利陽介)は、今日が「デスメールの日」と呼ばれる契約更新の日だからだと説明。プログラマーらは3カ月ごとに契約を延長するが、契約更新できなければ日向から解雇通知のメールが届くのだという。さらに、会社のホープといわれる坂口(中野裕太)にもデスメールが届く。怒った坂口は、日向と朝比奈に食ってかかるが一蹴されてしまう。  　その後、日向は千尋に解雇した社員たちの不要書類を廃棄処分させる。その中に、ほとんど使っていない名刺を見つけた千尋は、日向のやり方を悪趣味だと批判。それを聞いた日向は…。</t>
  </si>
  <si>
    <t>番組名リッチマン、プアウーマン　#04</t>
  </si>
  <si>
    <t>日向徹(小栗旬)が進めるパーソナルファイル管理システムの開発が遅れ、日向はいらだっていた。さらに、大手家電メーカーも同システムへの参入を表明、「NEXT　INNOVATION」は正念場に立たされる。  　一方、日向にクビを宣告され落ち込む澤木千尋(石原さとみ)に、小野遙香(野村麻純)は、日向に謝るなり償いをするなり、何か行動を起こすべきだと忠告する。  　朝比奈恒介(井浦新)は、千尋をクビにしたのはまずかったのでは、と言うが、日向は国民の個人情報を預かろうとしている会社に偽名を使う人間を置いておくことはできない、と平然と返す。  　そんな折、千尋は区役所に出向くと、そこにいた人々に役所や公的機関で不便に感じていることはないか、数年後に導入される「共通番号制度」に求める機能はないか、と聞き込み調査を行う。  　日向は、自分が望むようなシステムができないことに腹を立て、自ら作成すると言いオフィスに閉じこもる。42時間が過ぎた頃、見かねた安岡倫哉(浅利陽介)が日向を外に連れ出すと、そこで朝比奈燿子(相武紗季)と出くわす。仕事で切羽詰まっていたふたりは、ともに休憩を取ることにし…。  　そんな折、調査を続けていた千尋は、振り込め詐欺を疑われ、警察に連行されてしまう。深夜、警察から連絡を受けた日向はしぶしぶ千尋を迎えに行き、オフィスに連れて帰る。オフィスでふたりきりとなった日向と千尋は…。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</si>
  <si>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日向徹(小栗旬)が進めるパーソナルファイル管理システムの開発が遅れ、日向はいらだっていた。さらに、大手家電メーカーも同システムへの参入を表明、「NEXT　INNOVATION」は正念場に立たされる。  　一方、日向にクビを宣告され落ち込む澤木千尋(石原さとみ)に、小野遙香(野村麻純)は、日向に謝るなり償いをするなり、何か行動を起こすべきだと忠告する。  　朝比奈恒介(井浦新)は、千尋をクビにしたのはまずかったのでは、と言うが、日向は国民の個人情報を預かろうとしている会社に偽名を使う人間を置いておくことはできない、と平然と返す。  　そんな折、千尋は区役所に出向くと、そこにいた人々に役所や公的機関で不便に感じていることはないか、数年後に導入される「共通番号制度」に求める機能はないか、と聞き込み調査を行う。  　日向は、自分が望むようなシステムができないことに腹を立て、自ら作成すると言いオフィスに閉じこもる。42時間が過ぎた頃、見かねた安岡倫哉(浅利陽介)が日向を外に連れ出すと、そこで朝比奈燿子(相武紗季)と出くわす。仕事で切羽詰まっていたふたりは、ともに休憩を取ることにし…。  　そんな折、調査を続けていた千尋は、振り込め詐欺を疑われ、警察に連行されてしまう。深夜、警察から連絡を受けた日向はしぶしぶ千尋を迎えに行き、オフィスに連れて帰る。オフィスでふたりきりとなった日向と千尋は…。</t>
  </si>
  <si>
    <t>番組名リッチマン、プアウーマン　#05</t>
  </si>
  <si>
    <t>日向徹(小栗旬)がエレベーターに乗ると、そこに夏井真琴(石原さとみ)がいた。沈黙のなか、真琴の脳裏には日向と朝比奈燿子(相武紗季)のキスシーンがよみがえる。途中の階で燿子も乗り込んできて、激しく動揺した真琴は、適当な階で降りてしまう。残された日向と燿子の間にも気まずい空気が…。  　そんな折、日向が進めるパーソナルファイルの運用実験を、ある農村で行うことになった。協力するのは、世界が注目する工業デザイナーでありながら突然引退し、故郷でトマト栽培をしている青山誠人(片岡鶴太郎)という人物。彼は偶然にも真琴のメル友でもあった。  　何者かに尾行されている気配を感じ始めていた朝比奈恒介(井浦新)は、ある日、階段から突き落とされ重傷を負う。病室に朝比奈を見舞った日向は、怪我を気遣いながらも「NEXT　INNOVATION」の社員だった遠野秋洋(綾野剛)に会ったと報告する。  　数日後、日向、真琴、小川智史(中村靖日)により農村で運用実験を開始したが、反応がない。住民たちがパソコン操作を嫌っていたのだ。思わぬ落とし穴に苦心する中、ライバルの大手家電メーカーがNEXT　INNOVATIONを大きく上回る規模のシステム開発チームを立ち上げた、とのニュースが飛び込んでくる。  　そんなある日、朝比奈から燿子に渡すよう頼まれた書類を持ってレストランを訪れた真琴は、燿子の隣にいる笑顔の日向を目撃して…。小栗旬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</si>
  <si>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日向徹(小栗旬)がエレベーターに乗ると、そこに夏井真琴(石原さとみ)がいた。沈黙のなか、真琴の脳裏には日向と朝比奈燿子(相武紗季)のキスシーンがよみがえる。途中の階で燿子も乗り込んできて、激しく動揺した真琴は、適当な階で降りてしまう。残された日向と燿子の間にも気まずい空気が…。  　そんな折、日向が進めるパーソナルファイルの運用実験を、ある農村で行うことになった。協力するのは、世界が注目する工業デザイナーでありながら突然引退し、故郷でトマト栽培をしている青山誠人(片岡鶴太郎)という人物。彼は偶然にも真琴のメル友でもあった。  　何者かに尾行されている気配を感じ始めていた朝比奈恒介(井浦新)は、ある日、階段から突き落とされ重傷を負う。病室に朝比奈を見舞った日向は、怪我を気遣いながらも「NEXT　INNOVATION」の社員だった遠野秋洋(綾野剛)に会ったと報告する。  　数日後、日向、真琴、小川智史(中村靖日)により農村で運用実験を開始したが、反応がない。住民たちがパソコン操作を嫌っていたのだ。思わぬ落とし穴に苦心する中、ライバルの大手家電メーカーがNEXT　INNOVATIONを大きく上回る規模のシステム開発チームを立ち上げた、とのニュースが飛び込んでくる。  　そんなある日、朝比奈から燿子に渡すよう頼まれた書類を持ってレストランを訪れた真琴は、燿子の隣にいる笑顔の日向を目撃して…。</t>
  </si>
  <si>
    <t>番組名リッチマン、プアウーマン　#06</t>
  </si>
  <si>
    <t>日向徹(小栗旬)は、個人情報流出の件で会見を開く。流出経路は警察の協力を得て調査中だが、外部侵入の形跡はない、と日向は淡々と報告した。しかし、株主総会が迫る中、株価は下げ続け、社員たちの間に動揺が広がる。  　大量の個人情報を持ち出せたのは、最近「NEXT　INNOVATION」に在籍した者以外ありえないとの結論から、社員たちの検閲が行われることに。監視カメラなどを確認するが、疑わしい人物は浮上しない。  　そんな折、山上芳行(佐野史郎)は、流出騒動が収まるまでパーソナルファイルの件は保留だと発言し、夏井真琴(石原さとみ)に総務省に流出騒動の件の探りを入れるよう指示。すると、朝比奈恒介(井浦新)が、あと2週間で契約が終わる真琴には任せられないと言う。真琴は、自分にやらせて欲しいと頼むが、日向にも一蹴されてしまう。  　一方、レストランの客入りが思わしくない朝比奈燿子(相武紗季)は、余った食材を使った料理教室を発案。ライバルのシェフ・乃木湧太(丸山智己)にメニュー考案を依頼する。  　株主総会の準備に追われる真琴は、そんな燿子と鉢合わせる。日向との関係が気になる真琴は、動揺するあまり燿子が日向の妻となれば鉄壁だ、と口走る。  　株主総会で責任を追求され、自宅で落ち込んでいた日向は、真琴の携帯を鳴らすが、オフィスで朝比奈と2人きりの真琴は気づかない。そのとき、日向の部屋のチャイムが鳴って…。小栗旬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</si>
  <si>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日向徹(小栗旬)は、個人情報流出の件で会見を開く。流出経路は警察の協力を得て調査中だが、外部侵入の形跡はない、と日向は淡々と報告した。しかし、株主総会が迫る中、株価は下げ続け、社員たちの間に動揺が広がる。  　大量の個人情報を持ち出せたのは、最近「NEXT　INNOVATION」に在籍した者以外ありえないとの結論から、社員たちの検閲が行われることに。監視カメラなどを確認するが、疑わしい人物は浮上しない。  　そんな折、山上芳行(佐野史郎)は、流出騒動が収まるまでパーソナルファイルの件は保留だと発言し、夏井真琴(石原さとみ)に総務省に流出騒動の件の探りを入れるよう指示。すると、朝比奈恒介(井浦新)が、あと2週間で契約が終わる真琴には任せられないと言う。真琴は、自分にやらせて欲しいと頼むが、日向にも一蹴されてしまう。  　一方、レストランの客入りが思わしくない朝比奈燿子(相武紗季)は、余った食材を使った料理教室を発案。ライバルのシェフ・乃木湧太(丸山智己)にメニュー考案を依頼する。  　株主総会の準備に追われる真琴は、そんな燿子と鉢合わせる。日向との関係が気になる真琴は、動揺するあまり燿子が日向の妻となれば鉄壁だ、と口走る。  　株主総会で責任を追求され、自宅で落ち込んでいた日向は、真琴の携帯を鳴らすが、オフィスで朝比奈と2人きりの真琴は気づかない。そのとき、日向の部屋のチャイムが鳴って…。</t>
  </si>
  <si>
    <t>番組名リッチマン、プアウーマン　#07</t>
  </si>
  <si>
    <t>日向徹(小栗旬)は朝比奈恒介(井浦新)、山上芳行(佐野史郎)とともに業務停止命令を受けた「NEXT　INNOVATION」にいた。倒産の可能性もある中、現金調達方法について議論するも、覇気のない日向。そんな日向に、朝比奈は夏井真琴(石原さとみ)に迫ったがフラれてしまった、などと水を向ける。  　そこへ、休暇を取らされていた社員たちがやってくる。真琴は日向のオフィスを訪ねるが、いきなり「嘘つき女」と言われる。自分が電話に出られなかったことを言っているのだと察して謝罪する真琴。しかし、日向も真琴から折り返しをもらったとき、朝比奈燿子(相武紗季)と抱き合っていたことが脳裏をよぎり、気まずい。そんな日向に真琴は、あなたには敵も多いが、自分たちのような味方もいるのだから、虚勢を張ってでも安心させてほしい、と語る。その言葉に慰められた日向は、自分の株を現金化して個人情報を流失してしまった500万人へ謝罪金を出すことを思いつく。日向はそんな自分のやり方は間違っているのか、と朝比奈に聞く。朝比奈から、お前のやり方を疑った俺が間違っていたと、逆に背中を押された日向は会社の再建を誓う。  　そんな折、真琴のもとに大手製薬会社から研究員としてのオファーが舞い込む。突然の内定に喜びつつも、日向のもとを離れるのが辛い真琴。日向と2人きりになった夜に、あなたのもとで働きたい、と告白してきた真琴に日向は…。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</si>
  <si>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日向徹(小栗旬)は朝比奈恒介(井浦新)、山上芳行(佐野史郎)とともに業務停止命令を受けた「NEXT　INNOVATION」にいた。倒産の可能性もある中、現金調達方法について議論するも、覇気のない日向。そんな日向に、朝比奈は夏井真琴(石原さとみ)に迫ったがフラれてしまった、などと水を向ける。  　そこへ、休暇を取らされていた社員たちがやってくる。真琴は日向のオフィスを訪ねるが、いきなり「嘘つき女」と言われる。自分が電話に出られなかったことを言っているのだと察して謝罪する真琴。しかし、日向も真琴から折り返しをもらったとき、朝比奈燿子(相武紗季)と抱き合っていたことが脳裏をよぎり、気まずい。そんな日向に真琴は、あなたには敵も多いが、自分たちのような味方もいるのだから、虚勢を張ってでも安心させてほしい、と語る。その言葉に慰められた日向は、自分の株を現金化して個人情報を流失してしまった500万人へ謝罪金を出すことを思いつく。日向はそんな自分のやり方は間違っているのか、と朝比奈に聞く。朝比奈から、お前のやり方を疑った俺が間違っていたと、逆に背中を押された日向は会社の再建を誓う。  　そんな折、真琴のもとに大手製薬会社から研究員としてのオファーが舞い込む。突然の内定に喜びつつも、日向のもとを離れるのが辛い真琴。日向と2人きりになった夜に、あなたのもとで働きたい、と告白してきた真琴に日向は…。</t>
  </si>
  <si>
    <t>番組名リッチマン、プアウーマン　#08</t>
  </si>
  <si>
    <t>辞任会見を終えた日向徹(小栗旬)は、朝比奈恒介(井浦新)に、全部お前がやったことなのか、と詰め寄る。それを認めた朝比奈は、自分が徹を甘やかしすぎた結果こうなったんだ、と冷たく言い放つ。さらに、山上芳行(佐野史郎)からパーソナルファイル事業の所有権は「NEXT　INNOVATION」にあるので手を引いてくれ、と言われた徹だったが、自分が執着した事業は譲れないと、申し出を拒否、社員数名と新会社を設立して事業を引き継ぐ、と宣言する。  　オフィスに出てきた朝比奈は、アイデアとスピードで勝負してきた徹にはこの会社は足手まといだからと、自らの社長就任を宣言する。朝比奈の圧倒的な存在感に敗北感を味わう徹。そんな2人を夏井真琴(石原さとみ)は複雑な心境で見つめていた…。  　オフィスを片付け始めた徹。真琴の動向が気になり、内定が出ている製薬会社について尋ねるが、着々と進展していると報告され、寂しい…。　そんな折、徹の送別会が計画され、真琴は朝比奈燿子(相武紗季)に料理を頼みに行く。燿子から、明日で契約満了になるのは寂しい?と聞かれた真琴は、否定するも、本音は見抜かれていた。  　送別会当日。徹は社員たちを前に、自分から全ての資産を奪った朝比奈への感謝の言葉を述べていた。新会社でパーソナルファイル事業だけは継続していこうと決意した徹。ところが、そこにも朝比奈の策略が待ち受けていて…。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</si>
  <si>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辞任会見を終えた日向徹(小栗旬)は、朝比奈恒介(井浦新)に、全部お前がやったことなのか、と詰め寄る。それを認めた朝比奈は、自分が徹を甘やかしすぎた結果こうなったんだ、と冷たく言い放つ。さらに、山上芳行(佐野史郎)からパーソナルファイル事業の所有権は「NEXT　INNOVATION」にあるので手を引いてくれ、と言われた徹だったが、自分が執着した事業は譲れないと、申し出を拒否、社員数名と新会社を設立して事業を引き継ぐ、と宣言する。  　オフィスに出てきた朝比奈は、アイデアとスピードで勝負してきた徹にはこの会社は足手まといだからと、自らの社長就任を宣言する。朝比奈の圧倒的な存在感に敗北感を味わう徹。そんな2人を夏井真琴(石原さとみ)は複雑な心境で見つめていた…。  　オフィスを片付け始めた徹。真琴の動向が気になり、内定が出ている製薬会社について尋ねるが、着々と進展していると報告され、寂しい…。　そんな折、徹の送別会が計画され、真琴は朝比奈燿子(相武紗季)に料理を頼みに行く。燿子から、明日で契約満了になるのは寂しい?と聞かれた真琴は、否定するも、本音は見抜かれていた。  　送別会当日。徹は社員たちを前に、自分から全ての資産を奪った朝比奈への感謝の言葉を述べていた。新会社でパーソナルファイル事業だけは継続していこうと決意した徹。ところが、そこにも朝比奈の策略が待ち受けていて…。</t>
  </si>
  <si>
    <t>番組名リッチマン、プアウーマン　#09</t>
  </si>
  <si>
    <t>朝比奈恒介(井浦新)からパーソナルファイル事業までも奪われ、送別会を飛び出した日向徹(小栗旬)。日向の後を追った夏井真琴(石原さとみ)は、あなたについて行きたい、と後部座席に乗り込み、徹はそのままバイクを走らせた。日没後の海辺で目覚めた日向の隣には、真琴が寄り添っていた。気まずい状況のなか、真琴の顔に風でコンビニ袋が張り付き、笑う徹。彼女の顔を見つめながら…。  　NEXT　INNOVATIONでは、新社長となった朝比奈が、記者から取材を受けていた。「真のカリスマ動く!」と賞賛された企画に朝比奈は微笑む。  　そんな中、提携先のJIテックから、現状のパーソナルファイルのインターフェイスはコストがかかり過ぎるとクレームが入る。朝比奈はインターフェイスを改変して、総務省報告会で発表する。事務次官・藤川(大地真央)から、日向が開発した前の方がよかったと指摘されるも、顔色一つ変えない。　そんな折、朝比奈燿子(相武紗季)は、日向を呼び出し、兄のとった行動を謝罪、朝比奈が個人情報流出を仕組んだ証拠が入っているUSBメモリを差し出すが、徹は、謝る必要はない、と興味を示さない。バカが1人ついてきたから…、と真琴への想いまでも伝えられ嫉妬した耀子は、日向を外に連れ出した。そこには、リラックスした感じで談笑する朝比奈と真琴の姿があった。日向は凍り付いたままふたりをじっと見つめ…。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</si>
  <si>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朝比奈恒介(井浦新)からパーソナルファイル事業までも奪われ、送別会を飛び出した日向徹(小栗旬)。日向の後を追った夏井真琴(石原さとみ)は、あなたについて行きたい、と後部座席に乗り込み、徹はそのままバイクを走らせた。日没後の海辺で目覚めた日向の隣には、真琴が寄り添っていた。気まずい状況のなか、真琴の顔に風でコンビニ袋が張り付き、笑う徹。彼女の顔を見つめながら…。  　NEXT　INNOVATIONでは、新社長となった朝比奈が、記者から取材を受けていた。「真のカリスマ動く!」と賞賛された企画に朝比奈は微笑む。  　そんな中、提携先のJIテックから、現状のパーソナルファイルのインターフェイスはコストがかかり過ぎるとクレームが入る。朝比奈はインターフェイスを改変して、総務省報告会で発表する。事務次官・藤川(大地真央)から、日向が開発した前の方がよかったと指摘されるも、顔色一つ変えない。　そんな折、朝比奈燿子(相武紗季)は、日向を呼び出し、兄のとった行動を謝罪、朝比奈が個人情報流出を仕組んだ証拠が入っているUSBメモリを差し出すが、徹は、謝る必要はない、と興味を示さない。バカが1人ついてきたから…、と真琴への想いまでも伝えられ嫉妬した耀子は、日向を外に連れ出した。そこには、リラックスした感じで談笑する朝比奈と真琴の姿があった。日向は凍り付いたままふたりをじっと見つめ…。</t>
  </si>
  <si>
    <t>番組名リッチマン、プアウーマン　#10</t>
  </si>
  <si>
    <t>日向徹(小栗旬)は、逮捕された朝比奈恒介(井浦新)について東京地検から事情聴取を受けていた。朝比奈が顧客情報を流出させたことを知らなかったと証言した日向に検事は、遠野秋洋(綾野剛)がリークしたことを明かした。  その頃、朝比奈燿子(相武紗季)は、朝比奈のことを聞きだそうとレストランに押しかけるマスコミに悩まされていた。そんな燿子に、乃木湧太(丸山智己)は休職を促す。  「WONDER　WALL」に戻った日向は、夏井真琴(石原さとみ)に笑顔で迎えられるが、直後に「NEXT　INNOVATION」に強制捜査が入り、倒産の可能性もあると聞き心を痛める。それでも、新会社を軌道に乗せるため、地道な営業にまい進する。真琴は、それを身近で支えるうち、社長として人間としてどんどん成長していく日向を、どこか寂しく感じるようになる。  そんな折、日向は山上芳行(佐野史郎)から「NEXT　INNOVATION」に戻ってほしいと頭を下げられる。自分には守りたいものがほかにある、と伝えた日向だったが…。  後日、日向は朝比奈に面会をしようと拘置所を訪ねるが、朝比奈に拒否される。朝比奈は日向だけではなく、燿子や両親との面会も拒んでいた。  同じ頃、日向に真琴から、しばらく休ませてほしい、というメールが届く。気になった日向は真琴に電話をするがつながらない。心配になり自宅を訪ねるが、そこにも真琴の姿はなく…。小栗旬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</si>
  <si>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日向徹(小栗旬)は、逮捕された朝比奈恒介(井浦新)について東京地検から事情聴取を受けていた。朝比奈が顧客情報を流出させたことを知らなかったと証言した日向に検事は、遠野秋洋(綾野剛)がリークしたことを明かした。  その頃、朝比奈燿子(相武紗季)は、朝比奈のことを聞きだそうとレストランに押しかけるマスコミに悩まされていた。そんな燿子に、乃木湧太(丸山智己)は休職を促す。  「WONDER　WALL」に戻った日向は、夏井真琴(石原さとみ)に笑顔で迎えられるが、直後に「NEXT　INNOVATION」に強制捜査が入り、倒産の可能性もあると聞き心を痛める。それでも、新会社を軌道に乗せるため、地道な営業にまい進する。真琴は、それを身近で支えるうち、社長として人間としてどんどん成長していく日向を、どこか寂しく感じるようになる。  そんな折、日向は山上芳行(佐野史郎)から「NEXT　INNOVATION」に戻ってほしいと頭を下げられる。自分には守りたいものがほかにある、と伝えた日向だったが…。  後日、日向は朝比奈に面会をしようと拘置所を訪ねるが、朝比奈に拒否される。朝比奈は日向だけではなく、燿子や両親との面会も拒んでいた。  同じ頃、日向に真琴から、しばらく休ませてほしい、というメールが届く。気になった日向は真琴に電話をするがつながらない。心配になり自宅を訪ねるが、そこにも真琴の姿はなく…。</t>
  </si>
  <si>
    <t>番組名リッチマン、プアウーマン　#11</t>
  </si>
  <si>
    <t>「NEXT　INNOVATION」に戻った日向徹(小栗旬)は、会社の変わり果てた光景に言葉を失うも、山上芳行(佐野史郎)に感謝の言葉をかける。職場に復帰した朝比奈燿子(相武紗季)にも会うと、拘置所の朝比奈恒介(井浦新)に再度面会を断られたと話す。そんな日向に燿子は、夏井真琴(石原さとみ)に気持ちを伝えたのか、と聞くが、日向は否定、真琴がそばにいたのは、全てを失っていた自分への同情心からだ、と言って燿子を呆れさせる。  その頃、研究所にいた真琴は、勤務地がブラジルになったと伝えられる。  「NEXT　INNOVATION」社長に復帰した日向は会見を開く。その模様を見た真琴は、思わず会社に来てしまい、逢うのを避けていた日向に遭遇してしまう。久しぶりの再会にも素直になれないふたりは、ぎこちない様子で近況報告をしあう。会社の厳しい現状に、今度ばかりは打つ手がないかもしれない、と日向。真琴は、朝比奈が戻るまで頑張れ、と励まし、自分のブラジル行きを報告する。ショックを受ける日向に真琴は、わざと張り切った様子を見せる。  数日後、真琴に電話をかけた日向は、会社に来てみないか、と誘うが、仕事が忙しいと真琴は断る。仕事が終わってからでいい、自分もずっとここにいるから、と粘る日向に、真琴は迷いつつも行く、と約束する。日向は待ち続けるが、朝になっても真琴は現れなかった。そのとき真琴からの着信が…。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</si>
  <si>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「NEXT　INNOVATION」に戻った日向徹(小栗旬)は、会社の変わり果てた光景に言葉を失うも、山上芳行(佐野史郎)に感謝の言葉をかける。職場に復帰した朝比奈燿子(相武紗季)にも会うと、拘置所の朝比奈恒介(井浦新)に再度面会を断られたと話す。そんな日向に燿子は、夏井真琴(石原さとみ)に気持ちを伝えたのか、と聞くが、日向は否定、真琴がそばにいたのは、全てを失っていた自分への同情心からだ、と言って燿子を呆れさせる。  その頃、研究所にいた真琴は、勤務地がブラジルになったと伝えられる。  「NEXT　INNOVATION」社長に復帰した日向は会見を開く。その模様を見た真琴は、思わず会社に来てしまい、逢うのを避けていた日向に遭遇してしまう。久しぶりの再会にも素直になれないふたりは、ぎこちない様子で近況報告をしあう。会社の厳しい現状に、今度ばかりは打つ手がないかもしれない、と日向。真琴は、朝比奈が戻るまで頑張れ、と励まし、自分のブラジル行きを報告する。ショックを受ける日向に真琴は、わざと張り切った様子を見せる。  数日後、真琴に電話をかけた日向は、会社に来てみないか、と誘うが、仕事が忙しいと真琴は断る。仕事が終わってからでいい、自分もずっとここにいるから、と粘る日向に、真琴は迷いつつも行く、と約束する。日向は待ち続けるが、朝になっても真琴は現れなかった。そのとき真琴からの着信が…。</t>
  </si>
  <si>
    <t>1207_CX_火21</t>
  </si>
  <si>
    <t>息もできない夏</t>
  </si>
  <si>
    <t>番組名息もできない夏　#01</t>
  </si>
  <si>
    <t>谷崎玲(武井咲)は、洋菓子店でアルバイトをする明るくて元気な18歳の女の子。パティシエになるという夢を持ち、高校時代からアルバイトを続けてきた玲は、真面目な勤務態度や菓子作りのセンスが評価されて、来月から正社員に途用されることになる。  　樹山龍一郎(江口洋介)は、区役所の時間外受付を担当する臨時職員。かつて大手新聞社の社会部記者として活躍していた樹山は、数々のスクープをものにして出世街道を突き進んでいた。だが、ある事件がきっかけで新聞社を去ることになり、以来、誰の邪魔にもならないようひっそりと暮らしていた。  　玲は、店長の衣里(橋本麗香)から、住民票記載事項証明書など、必要書類を提出するよう指示される。仕事を終えた玲は、さっそく区役所夜間受付を訪ね、書類の申請をする。応対したのは樹山だった・・・。  　玲は、介護士をしている母・葉子(木村佳乃)と、14歳の妹・麻央(小芝風花)と3人暮らし。父親の啓介は14年前に事故で他界していた。帰宅した玲は、健康保険証を探した。だが、見つかったのは葉子と麻央のものだけだった。翌朝、玲は、夜勤明けの葉子に、健康保険証のことを聞こうとする。しかし葉子は仕事の疲れか、目を覚まさなかった。  　その夜、玲は、健康保険証の代わりに、衣里から受け取った在籍証明書を樹山に提出した。そこで樹山は、住民登録がされていないことを玲に告げる・・・。武井咲　  江口洋介　  木村佳乃　  中村蒼　    原幹恵　  霧島れいか　  小芝風花　  濱田マリ    　●　    要潤    　●　    RIKIYA　  橋本麗香　  清水一希　  勝信    　●　    浅田美代子    ------    北大路欣也【脚本】  渡辺千穂【編成企画】  太田大(フジテレビ)　    【プロデュース】  川西琢　    【監督】  河野圭太井筒昭雄フジテレビ　    【制作著作】  共同テレビ</t>
  </si>
  <si>
    <t>谷崎玲(武井咲)は、洋菓子店でアルバイトをする明るくて元気な18歳の女の子。パティシエになるという夢を持ち、高校時代からアルバイトを続けてきた玲は、真面目な勤務態度や菓子作りのセンスが評価されて、来月から正社員に途用されることになる。  　樹山龍一郎(江口洋介)は、区役所の時間外受付を担当する臨時職員。かつて大手新聞社の社会部記者として活躍していた樹山は、数々のスクープをものにして出世街道を突き進んでいた。だが、ある事件がきっかけで新聞社を去ることになり、以来、誰の邪魔にもならないようひっそりと暮らしていた。  　玲は、店長の衣里(橋本麗香)から、住民票記載事項証明書など、必要書類を提出するよう指示される。仕事を終えた玲は、さっそく区役所夜間受付を訪ね、書類の申請をする。応対したのは樹山だった・・・。  　玲は、介護士をしている母・葉子(木村佳乃)と、14歳の妹・麻央(小芝風花)と3人暮らし。父親の啓介は14年前に事故で他界していた。帰宅した玲は、健康保険証を探した。だが、見つかったのは葉子と麻央のものだけだった。翌朝、玲は、夜勤明けの葉子に、健康保険証のことを聞こうとする。しかし葉子は仕事の疲れか、目を覚まさなかった。  　その夜、玲は、健康保険証の代わりに、衣里から受け取った在籍証明書を樹山に提出した。そこで樹山は、住民登録がされていないことを玲に告げる・・・。</t>
  </si>
  <si>
    <t>番組名息もできない夏　#02</t>
  </si>
  <si>
    <t>アルバイト先の洋菓子店『パティスリー・シャルロット』を飛び出した玲(武井咲)は、転倒して負傷し、救急車で病院に搬送される。偶然その場に居合わせた樹山(江口洋介)は、救急隊員からの要請で搬送先の病院まで同行した。  　ほどなく、玲の母・葉子(木村佳乃)が病院に駆けつける。が、目を覚ました玲は、顔も見たくない、と葉子に言い放つ。あくる日、退院した玲は自宅に戻る。その夜、玲のもとに、アルバイト仲間の純(清水一希)が訪ねてくる。店を飛び出したまま無断欠勤した玲のことを心配してきたのだ。純に励まされた玲は、翌日、店に出勤した。店長の衣里(橋本麗香)は、玲から事情を聞こうとした。しかし玲は、何も答えることができない。衣里は困惑しながらも、明日の昼に区役所へ行って、正社員採用の手続きに必要な書類をもらってくるよう玲に命じた。  　その夜、玲は、自分と同じように無戸籍に苦しむ人たちが集まるサイト『ひまわり』に、戸籍を作るために必要なものを教えてほしい、と書き込む。そこで玲は、母子手帳や、事実関係や状況経過を記した母親の申述書などが必要だと知る。一方、樹山は、葉子を訪ね、戸籍を作る際の制度が以前とは変わっていることを伝える。樹山は、申請をすれば知られたくないことは隠すことができることを葉子に告げた。しかし葉子は、前の夫に玲の存在を知られることを恐れており・・・。武井咲　  江口洋介　  木村佳乃　  中村蒼　    原幹恵　  霧島れいか　  小芝風花　  濱田マリ    　●　    要潤    　●　    RIKIYA　  橋本麗香　  清水一希　  勝信    　●　    浅田美代子    ------    北大路欣也【脚本】  渡辺千穂【編成企画】  太田大(フジテレビ)　    【プロデュース】  川西琢　    【監督】  河野圭太井筒昭雄制作:フジテレビ  制作著作:共同テレビ</t>
  </si>
  <si>
    <t>アルバイト先の洋菓子店『パティスリー・シャルロット』を飛び出した玲(武井咲)は、転倒して負傷し、救急車で病院に搬送される。偶然その場に居合わせた樹山(江口洋介)は、救急隊員からの要請で搬送先の病院まで同行した。  　ほどなく、玲の母・葉子(木村佳乃)が病院に駆けつける。が、目を覚ました玲は、顔も見たくない、と葉子に言い放つ。あくる日、退院した玲は自宅に戻る。その夜、玲のもとに、アルバイト仲間の純(清水一希)が訪ねてくる。店を飛び出したまま無断欠勤した玲のことを心配してきたのだ。純に励まされた玲は、翌日、店に出勤した。店長の衣里(橋本麗香)は、玲から事情を聞こうとした。しかし玲は、何も答えることができない。衣里は困惑しながらも、明日の昼に区役所へ行って、正社員採用の手続きに必要な書類をもらってくるよう玲に命じた。  　その夜、玲は、自分と同じように無戸籍に苦しむ人たちが集まるサイト『ひまわり』に、戸籍を作るために必要なものを教えてほしい、と書き込む。そこで玲は、母子手帳や、事実関係や状況経過を記した母親の申述書などが必要だと知る。一方、樹山は、葉子を訪ね、戸籍を作る際の制度が以前とは変わっていることを伝える。樹山は、申請をすれば知られたくないことは隠すことができることを葉子に告げた。しかし葉子は、前の夫に玲の存在を知られることを恐れており・・・。</t>
  </si>
  <si>
    <t>番組名息もできない夏　#03</t>
  </si>
  <si>
    <t>谷崎玲(武井咲)は、母親の葉子(木村佳乃)と区役所で待ち合わせをする。しかし葉子は、約束の時刻を過ぎても区役所に現れなかった。実は葉子は、区役所に向かうバスの中で、偶然、元夫の鮎川宏基(要潤)の姿を目撃していた。樹山龍一郎(江口洋介)は、葉子を待ち続ける玲の姿をいたたまれない思いで見つめていた。  　諦めて家に戻った玲は、葉子の携帯電話が警察に届けられていることを知る。携帯電話は、勤務先の医療センターから駅に向かうバスの中に落ちていたらしい。葉子の件を知った祖母の香緒里(浅田美代子)は、葉子は周りを狂わせる人だ、と玲に告げた。続けて香緒里は、玲たちの父親・啓介(神尾佑)が事故死したのも葉子のせいだと言い出す。  　一方、葉子が家を出たまま戻らないことに不審を抱いた麻央(小芝風花)は、玲を問い詰める。玲が何かを隠しているというのだ。麻央は、自分だけが仲間外れだと泣き出し、こんな家にいたくない、と言い残して香緒里の家に行ってしまう。  　ひとり残された玲は、母子手帳や卒業証書などを手に、区役所へと向かった。そこで玲は、もう母には頼らないで自分でできることをやる、と樹山に告げる。樹山の助言に従い、出生証明書を再発行してもらうために、自分が生まれた産婦人科を訪ねる玲。そんな折、樹山のもとに葉子から連絡があり…。武井咲　  江口洋介　  木村佳乃　  中村蒼　    原幹恵　  霧島れいか　  小芝風花　  濱田マリ    　●　    要潤    　●　    RIKIYA　  橋本麗香　  清水一希　  勝信    　●　    浅田美代子    ーーーーーー    北大路欣也【脚本】  渡辺千穂【編成企画】  太田大(フジテレビ)　    【プロデュース】  川西琢　    【監督】  城宝秀則井筒昭雄フジテレビ　    【制作著作】  共同テレビ</t>
  </si>
  <si>
    <t>谷崎玲(武井咲)は、母親の葉子(木村佳乃)と区役所で待ち合わせをする。しかし葉子は、約束の時刻を過ぎても区役所に現れなかった。実は葉子は、区役所に向かうバスの中で、偶然、元夫の鮎川宏基(要潤)の姿を目撃していた。樹山龍一郎(江口洋介)は、葉子を待ち続ける玲の姿をいたたまれない思いで見つめていた。  　諦めて家に戻った玲は、葉子の携帯電話が警察に届けられていることを知る。携帯電話は、勤務先の医療センターから駅に向かうバスの中に落ちていたらしい。葉子の件を知った祖母の香緒里(浅田美代子)は、葉子は周りを狂わせる人だ、と玲に告げた。続けて香緒里は、玲たちの父親・啓介(神尾佑)が事故死したのも葉子のせいだと言い出す。  　一方、葉子が家を出たまま戻らないことに不審を抱いた麻央(小芝風花)は、玲を問い詰める。玲が何かを隠しているというのだ。麻央は、自分だけが仲間外れだと泣き出し、こんな家にいたくない、と言い残して香緒里の家に行ってしまう。  　ひとり残された玲は、母子手帳や卒業証書などを手に、区役所へと向かった。そこで玲は、もう母には頼らないで自分でできることをやる、と樹山に告げる。樹山の助言に従い、出生証明書を再発行してもらうために、自分が生まれた産婦人科を訪ねる玲。そんな折、樹山のもとに葉子から連絡があり…。</t>
  </si>
  <si>
    <t>番組名息もできない夏　#04</t>
  </si>
  <si>
    <t>谷崎玲(武井咲)は、母・葉子(木村佳乃)から届いた手紙を樹山龍一郎(江口洋介)に見せた。その手紙で葉子は、申述書を書いて必ず玲のもとに戻る、と綴っていた。  　区役所からの帰り、自転車で自宅へと急いでいた玲は、曲がり角で人影に気づき、バランスを崩して転倒してしまう。そんな玲に手を差しのべたのは鮎川(要潤)だった。鮎川は、散らばった拍子に破れてしまったフランス語のテキストなどを拾ってやり、玲に謝った。  　玲が自宅に戻ると、ネットで知り合った“ウイスキーボンボン"こと草野広太(中村蒼)からメッセージが届いていた。玲は、心配してくれている広太に、母を待つことにしたと報告し、感謝の気持ちを伝えた。ふたりは、改めて自己紹介し、お互いの名前や年齢などを教え合った。  　あくる日、玲は、先輩の井川さつき(原幹恵)とともに、フリーペーパーの取材を受ける。そこで玲は、初めて母と一緒に作ったアップルパイの思い出を話した。閉店間際、店に広太がやってきた。仕事を終え、彼と一緒にカフェを訪れた玲は、広太が子どものころからひとりで生きてきて、義務教育も受けていないことを知る。  　同じころ、葉子は、港町のホテルで申述書を書いていた。だが、DVの記憶がフラッシュバックし、書き続けることができず…。武井咲　  江口洋介　  木村佳乃　  中村蒼　    原幹恵　  霧島れいか　  小芝風花　  濱田マリ    　●　    要潤    　●　    RIKIYA　  橋本麗香　  清水一希　  勝信    　●　    浅田美代子    ーーーーーー    北大路欣也【脚本】  渡辺千穂【編成企画】  太田大(フジテレビ)　    【プロデュース】  川西琢　    【監督】  河野圭太井筒昭雄フジテレビ　    【制作著作】  共同テレビ</t>
  </si>
  <si>
    <t>谷崎玲(武井咲)は、母・葉子(木村佳乃)から届いた手紙を樹山龍一郎(江口洋介)に見せた。その手紙で葉子は、申述書を書いて必ず玲のもとに戻る、と綴っていた。  　区役所からの帰り、自転車で自宅へと急いでいた玲は、曲がり角で人影に気づき、バランスを崩して転倒してしまう。そんな玲に手を差しのべたのは鮎川(要潤)だった。鮎川は、散らばった拍子に破れてしまったフランス語のテキストなどを拾ってやり、玲に謝った。  　玲が自宅に戻ると、ネットで知り合った“ウイスキーボンボン"こと草野広太(中村蒼)からメッセージが届いていた。玲は、心配してくれている広太に、母を待つことにしたと報告し、感謝の気持ちを伝えた。ふたりは、改めて自己紹介し、お互いの名前や年齢などを教え合った。  　あくる日、玲は、先輩の井川さつき(原幹恵)とともに、フリーペーパーの取材を受ける。そこで玲は、初めて母と一緒に作ったアップルパイの思い出を話した。閉店間際、店に広太がやってきた。仕事を終え、彼と一緒にカフェを訪れた玲は、広太が子どものころからひとりで生きてきて、義務教育も受けていないことを知る。  　同じころ、葉子は、港町のホテルで申述書を書いていた。だが、DVの記憶がフラッシュバックし、書き続けることができず…。</t>
  </si>
  <si>
    <t>番組名息もできない夏　#05</t>
  </si>
  <si>
    <t>玲(武井咲)は、母・葉子(木村佳乃)の協力の下、戸籍を作るために必要な書類を樹山(江口洋介)に提出する。玲の戸籍は、いったん以前の鮎川姓で作り、その後に現在の谷崎姓に移す形をとるという樹山。すぐに谷崎姓に戻ることに安堵を覚える玲。一方、葉子も笑顔を見せるものの、どこかで不安を感じているのか、玲が席を外した際に、「いったん記録された戸籍はずっと残るのか?」と、当たり前のことを樹山に尋ねる。  　翌朝、「パティスリー・シャルロット」で、戸籍がとれそうだと報告する玲。店長の安倍川衣里(橋本麗香)や、バイト仲間の西川純(清水一希)も、自分のことのように喜んでくれた。嫉妬心から玲につらく当たってきた井川さつき(原幹恵)も、玲を祝福する。  　その日の昼、「パティスリー・シャルロット」の表に鮎川宏基(要潤)がやってくる。店内に働く玲の姿を見つけると不敵に笑う鮎川は、店内へ入っていく。偶然の再会に驚く玲の様子にあわせて、鮎川も驚いた素振りを見せる。  　ある日、しばらく連絡が取れなかった草野広太(中村蒼)から、無戸籍の人たちが集まって情報交換をするオフ会に誘われる玲。オフ会に参加した玲は新しい仲間として紹介される。参加者それぞれが、現在の状況を報告しあう中、1人の女性が、母を苦しめていた男の姓を受け入れられず、裁判で争っている最中だと話す。自分の境遇によく似た話に、玲は深く考えさせられることに。武井咲　  江口洋介　  木村佳乃　  中村蒼　    原幹恵　  霧島れいか　  小芝風花　  濱田マリ    　●　    要潤    　●　    RIKIYA　  橋本麗香　  清水一希　  勝信    　●　    浅田美代子    ーーーーーー    北大路欣也【脚本】  水野宗徳　  千葉美鈴【編成企画】  太田大(フジテレビ)　    【プロデュース】  川西琢　    【監督】  城宝秀則井筒昭雄フジテレビ　    【制作著作】  共同テレビ</t>
  </si>
  <si>
    <t>玲(武井咲)は、母・葉子(木村佳乃)の協力の下、戸籍を作るために必要な書類を樹山(江口洋介)に提出する。玲の戸籍は、いったん以前の鮎川姓で作り、その後に現在の谷崎姓に移す形をとるという樹山。すぐに谷崎姓に戻ることに安堵を覚える玲。一方、葉子も笑顔を見せるものの、どこかで不安を感じているのか、玲が席を外した際に、「いったん記録された戸籍はずっと残るのか?」と、当たり前のことを樹山に尋ねる。  　翌朝、「パティスリー・シャルロット」で、戸籍がとれそうだと報告する玲。店長の安倍川衣里(橋本麗香)や、バイト仲間の西川純(清水一希)も、自分のことのように喜んでくれた。嫉妬心から玲につらく当たってきた井川さつき(原幹恵)も、玲を祝福する。  　その日の昼、「パティスリー・シャルロット」の表に鮎川宏基(要潤)がやってくる。店内に働く玲の姿を見つけると不敵に笑う鮎川は、店内へ入っていく。偶然の再会に驚く玲の様子にあわせて、鮎川も驚いた素振りを見せる。  　ある日、しばらく連絡が取れなかった草野広太(中村蒼)から、無戸籍の人たちが集まって情報交換をするオフ会に誘われる玲。オフ会に参加した玲は新しい仲間として紹介される。参加者それぞれが、現在の状況を報告しあう中、1人の女性が、母を苦しめていた男の姓を受け入れられず、裁判で争っている最中だと話す。自分の境遇によく似た話に、玲は深く考えさせられることに。</t>
  </si>
  <si>
    <t>番組名息もできない夏　#06</t>
  </si>
  <si>
    <t>玲(武井咲)は、鮎川(要潤)と出会い、激しく動揺する葉子(木村佳乃)を目の当たりにする。これまでの行いを謝罪する鮎川を前にしても、震えながら拒絶する葉子に同調する玲。鮎川が家から去って行った後、玲は一時的にせよ鮎川の戸籍には入らないと葉子に謝る。  　鮎川が家に現れたと連絡を受けた香緒里(浅田美代子)は、その旨を夏目周作(北大路欣也)に伝える。玲の家へと急ぐ周作は、家から出てきた鮎川と遭遇する。鮎川につかみかかり、詰問する周作だが、鮎川は「ただ謝りに行っただけ」と答え、さみしそうに去って行った。  　急いで、区役所の夜間受付に向かった玲。樹山(江口洋介)に、やっとの思いで提出したばかりの書類の返却を求める。玲は、鮎川におびえる葉子を見て、葉子を守るためにも鮎川の戸籍には入らずに戸籍を作る裁判を行うという決意を樹山に伝える。  　玲は、樹山の助けもあって、法律事務所を訪れ、弁護士に裁判のことを相談する。弁護士は、玲が望む谷崎姓での戸籍取得には、まず玲が鮎川の子供ではないという「親子関係不存在」が認められる必要があり、その上で発行される「裁判所の謄本」と「確定証明書」を出生届と共に、区役所に提出することで谷崎姓の戸籍を作ることが可能だと話す。  　玲は裁判をするために法律事務所に行ったことを葉子に話す。葉子に悲しい思いをさせたくない一心で考えたことであったが、葉子の反応は意外なものだった。武井咲　  江口洋介　  木村佳乃　  中村蒼　    原幹恵　  霧島れいか　  小芝風花　  濱田マリ    　●　    要潤    　●　    RIKIYA　  橋本麗香　  清水一希　  勝信    　●　    浅田美代子    ーーーーーー    北大路欣也【脚本】  千葉美鈴【編成企画】  太田大(フジテレビ)　    【プロデュース】  川西琢　    【監督】  池辺安智井筒昭雄フジテレビ　    【制作著作】  共同テレビ</t>
  </si>
  <si>
    <t>玲(武井咲)は、鮎川(要潤)と出会い、激しく動揺する葉子(木村佳乃)を目の当たりにする。これまでの行いを謝罪する鮎川を前にしても、震えながら拒絶する葉子に同調する玲。鮎川が家から去って行った後、玲は一時的にせよ鮎川の戸籍には入らないと葉子に謝る。  　鮎川が家に現れたと連絡を受けた香緒里(浅田美代子)は、その旨を夏目周作(北大路欣也)に伝える。玲の家へと急ぐ周作は、家から出てきた鮎川と遭遇する。鮎川につかみかかり、詰問する周作だが、鮎川は「ただ謝りに行っただけ」と答え、さみしそうに去って行った。  　急いで、区役所の夜間受付に向かった玲。樹山(江口洋介)に、やっとの思いで提出したばかりの書類の返却を求める。玲は、鮎川におびえる葉子を見て、葉子を守るためにも鮎川の戸籍には入らずに戸籍を作る裁判を行うという決意を樹山に伝える。  　玲は、樹山の助けもあって、法律事務所を訪れ、弁護士に裁判のことを相談する。弁護士は、玲が望む谷崎姓での戸籍取得には、まず玲が鮎川の子供ではないという「親子関係不存在」が認められる必要があり、その上で発行される「裁判所の謄本」と「確定証明書」を出生届と共に、区役所に提出することで谷崎姓の戸籍を作ることが可能だと話す。  　玲は裁判をするために法律事務所に行ったことを葉子に話す。葉子に悲しい思いをさせたくない一心で考えたことであったが、葉子の反応は意外なものだった。</t>
  </si>
  <si>
    <t>番組名息もできない夏　#07</t>
  </si>
  <si>
    <t>谷崎家に、玲(武井咲)、葉子(木村佳乃)、麻央(小芝風花)、香緒里(浅田美代子)、夏目周作(北大路欣也)、そして鮎川(要潤)が集う。鮎川は、葉子の制止を振り切り、玲に「君は俺の娘だ」と告げる。否定する葉子は、理性を失い、台所にあった包丁を手にして、鮎川に突進する。それを止めようと間に入った周作に包丁が突き刺さる。ぼう然となる一同。周作は玲たちを守るため、自分がケガをしたのはあくまで事故だと皆に言い聞かせる。  　周作は救急車で病院へ運ばれ、玲たちは警察で事情を聞かれることに。警察署に入っていく玲に気付く中津(RIKIYA)。中津は、以前、樹山(江口洋介)から玲を紹介されたことを思い出す。それぞれに事情を聞かれる玲たち。葉子の戻りを署内で待つ玲だったが、刑事から葉子が拘留されることになったことを聞かされる。取調室から刑事たちに挟まれ、別室へと移動する葉子の姿を見て玲は泣きじゃくる。  　ぼう然と警察署を出てくる玲。そこに、中津から連絡を受けた樹山がやってくる。心配して、玲を家まで送る樹山。樹山に事情を話すなかで、玲は鮎川が本当の父親なのではないかと疑心暗鬼になる。「何も分からないうちから思いこむな」と樹山から諭される玲だったが、1人になるとパソコンでDNA鑑定について調べ始めてしまう・・・。武井咲　  江口洋介　  木村佳乃　  中村蒼　    原幹恵　  霧島れいか　  小芝風花　  濱田マリ    　●　    要潤    　●　    RIKIYA　  橋本麗香　  清水一希　  勝信    　●　    浅田美代子    ーーーーーー    北大路欣也【脚本】  渡辺千穂【編成企画】  太田大(フジテレビ)　    【プロデュース】  川西琢　    【監督】  河野圭太井筒昭雄フジテレビ　    【制作著作】  共同テレビ</t>
  </si>
  <si>
    <t>谷崎家に、玲(武井咲)、葉子(木村佳乃)、麻央(小芝風花)、香緒里(浅田美代子)、夏目周作(北大路欣也)、そして鮎川(要潤)が集う。鮎川は、葉子の制止を振り切り、玲に「君は俺の娘だ」と告げる。否定する葉子は、理性を失い、台所にあった包丁を手にして、鮎川に突進する。それを止めようと間に入った周作に包丁が突き刺さる。ぼう然となる一同。周作は玲たちを守るため、自分がケガをしたのはあくまで事故だと皆に言い聞かせる。  　周作は救急車で病院へ運ばれ、玲たちは警察で事情を聞かれることに。警察署に入っていく玲に気付く中津(RIKIYA)。中津は、以前、樹山(江口洋介)から玲を紹介されたことを思い出す。それぞれに事情を聞かれる玲たち。葉子の戻りを署内で待つ玲だったが、刑事から葉子が拘留されることになったことを聞かされる。取調室から刑事たちに挟まれ、別室へと移動する葉子の姿を見て玲は泣きじゃくる。  　ぼう然と警察署を出てくる玲。そこに、中津から連絡を受けた樹山がやってくる。心配して、玲を家まで送る樹山。樹山に事情を話すなかで、玲は鮎川が本当の父親なのではないかと疑心暗鬼になる。「何も分からないうちから思いこむな」と樹山から諭される玲だったが、1人になるとパソコンでDNA鑑定について調べ始めてしまう・・・。</t>
  </si>
  <si>
    <t>番組名息もできない夏　#08</t>
  </si>
  <si>
    <t>玲(武井咲)は、先の見えない不安の中にいた。鮎川(要潤)が本当の父親なのではないかという疑念から、仕事にも集中できずミスを連発。さらに、事件のことを聞きつけたお客から心ない噂が広がり、玲は大好きな仕事を休むことに。また、本当のことを知りたいと、周作(北大路欣也)から聞いた鮎川の携帯に何度も連絡をするが、つながらない。持ち前の明るさが影を潜め、不安に押しつぶされそうになる玲を、話を聞くことで支える樹山(江口洋介)。玲は樹山の優しさを改めて実感する。  　しばらくして玲は仕事に復帰するが、事件の影響は、彼女だけではなく家族にも襲いかかる。麻央(小芝風花)は部活で使用しているテニスラケットのカバーに「殺人鬼の娘」といたずら書きをされ、葉子(木村佳乃)は、仕事をクビになった。しかし、麻央も葉子も玲に心配をかけまいと明るく振る舞う。  　草野(中村蒼)から玲のことを聞いた中津(RIKIYA)は、週刊誌に彼女を題材にした「無戸籍児の現実」というルポを書き、記事は大きな反響を呼ぶ。すぐにネット上に飛び火し、玲の個人情報がさらされてしまう。また、「シャルロット」の店長・安倍川衣里(橋本麗香)には本社から事情を聞きたいと連絡が入る。さらに、葉子はせっかく決まった再就職先から断られ、麻央へのいじめもエスカレートすることに。一度は元気を取り戻した玲は、またもどん底に突き落とされてしまう・・・。武井咲　  江口洋介　  木村佳乃　  中村蒼　    原幹恵　  霧島れいか　  小芝風花　  濱田マリ    　●　    要潤    　●　    RIKIYA　  橋本麗香　  清水一希　  勝信    　●　    浅田美代子    ーーーーーー    北大路欣也【脚本】  水野宗徳【編成企画】  太田大(フジテレビ)　    【プロデュース】  川西琢　    【監督】  池辺安智井筒昭雄フジテレビ　    【制作著作】  共同テレビ</t>
  </si>
  <si>
    <t>玲(武井咲)は、先の見えない不安の中にいた。鮎川(要潤)が本当の父親なのではないかという疑念から、仕事にも集中できずミスを連発。さらに、事件のことを聞きつけたお客から心ない噂が広がり、玲は大好きな仕事を休むことに。また、本当のことを知りたいと、周作(北大路欣也)から聞いた鮎川の携帯に何度も連絡をするが、つながらない。持ち前の明るさが影を潜め、不安に押しつぶされそうになる玲を、話を聞くことで支える樹山(江口洋介)。玲は樹山の優しさを改めて実感する。  　しばらくして玲は仕事に復帰するが、事件の影響は、彼女だけではなく家族にも襲いかかる。麻央(小芝風花)は部活で使用しているテニスラケットのカバーに「殺人鬼の娘」といたずら書きをされ、葉子(木村佳乃)は、仕事をクビになった。しかし、麻央も葉子も玲に心配をかけまいと明るく振る舞う。  　草野(中村蒼)から玲のことを聞いた中津(RIKIYA)は、週刊誌に彼女を題材にした「無戸籍児の現実」というルポを書き、記事は大きな反響を呼ぶ。すぐにネット上に飛び火し、玲の個人情報がさらされてしまう。また、「シャルロット」の店長・安倍川衣里(橋本麗香)には本社から事情を聞きたいと連絡が入る。さらに、葉子はせっかく決まった再就職先から断られ、麻央へのいじめもエスカレートすることに。一度は元気を取り戻した玲は、またもどん底に突き落とされてしまう・・・。</t>
  </si>
  <si>
    <t>番組名息もできない夏　#09</t>
  </si>
  <si>
    <t>「FIFA　U-20女子ワールドカップ　ジャパン2012　準決勝日本×ドイツ」延長の際、放送時間繰り下げの場合あり。　玲(武井咲)は、周作(北大路欣也)からの提案を受け入れ、北海道で暮らすことを決意し、そのことを樹山(江口洋介)に告げる。これまで幾多の困難を乗り越えてきた玲だったが、葉子(木村佳乃)や麻央(小芝風花)、さらにはシャルロットで働く安倍川衣里(橋本麗香)たちにまで迷惑をかけてしまったことで、心が折れてしまったのだ。樹山はそんな玲を優しく受け止める。  　深夜、携帯の不在着信に気付く玲。何度かけても繋がらなかった鮎川(要潤)からだった。玲は緊張しながらも電話をかけ、DNA鑑定について鮎川と話し合う。鮎川の娘でないことを証明したいという玲の思いを受け、鮎川は翌日小樽から東京へ向かうことを約束する。  　翌日、心配して一緒に来てくれた樹山と共に鮎川を待つ玲。しかし、鮎川は到着時間を過ぎても姿を現さない。電話をかけると一旦つながったものの、鮎川の声は聞こえない。鮎川は、羽田空港に到着後、腹部に激痛を覚え、意識を失っていたのだ。玲からの電話に気力を振り絞り出てはみたものの、声を出すことができず再び意識を失ってしまっていた。そのことを知らない玲は、勇気をもって鮎川と真剣に向き合おうと思っていただけに、むなしくてやるせない気持ちになる。  　そんな玲を「飛行機が遅れることもある」と励ます樹山。そんな樹山の支えに助けられる玲。しかし、玲をさらに落ち込ませることになる人物が、玲と樹山の目の前に現れる…。武井咲　  江口洋介　  木村佳乃　  中村蒼　    原幹恵　  霧島れいか　  小芝風花　  濱田マリ    　●　    要潤    　●　    RIKIYA　  橋本麗香　  清水一希　  勝信    　●　    浅田美代子    ーーーーーー    北大路欣也【脚本】  水野宗徳　  千葉美鈴【編成企画】  太田大(フジテレビ)　    【プロデュース】  川西琢　    【監督】  河野圭太井筒昭雄フジテレビ　    【制作著作】  共同テレビ</t>
  </si>
  <si>
    <t>「FIFA　U-20女子ワールドカップ　ジャパン2012　準決勝日本×ドイツ」延長の際、放送時間繰り下げの場合あり。　玲(武井咲)は、周作(北大路欣也)からの提案を受け入れ、北海道で暮らすことを決意し、そのことを樹山(江口洋介)に告げる。これまで幾多の困難を乗り越えてきた玲だったが、葉子(木村佳乃)や麻央(小芝風花)、さらにはシャルロットで働く安倍川衣里(橋本麗香)たちにまで迷惑をかけてしまったことで、心が折れてしまったのだ。樹山はそんな玲を優しく受け止める。  　深夜、携帯の不在着信に気付く玲。何度かけても繋がらなかった鮎川(要潤)からだった。玲は緊張しながらも電話をかけ、DNA鑑定について鮎川と話し合う。鮎川の娘でないことを証明したいという玲の思いを受け、鮎川は翌日小樽から東京へ向かうことを約束する。  　翌日、心配して一緒に来てくれた樹山と共に鮎川を待つ玲。しかし、鮎川は到着時間を過ぎても姿を現さない。電話をかけると一旦つながったものの、鮎川の声は聞こえない。鮎川は、羽田空港に到着後、腹部に激痛を覚え、意識を失っていたのだ。玲からの電話に気力を振り絞り出てはみたものの、声を出すことができず再び意識を失ってしまっていた。そのことを知らない玲は、勇気をもって鮎川と真剣に向き合おうと思っていただけに、むなしくてやるせない気持ちになる。  　そんな玲を「飛行機が遅れることもある」と励ます樹山。そんな樹山の支えに助けられる玲。しかし、玲をさらに落ち込ませることになる人物が、玲と樹山の目の前に現れる…。</t>
  </si>
  <si>
    <t>番組名息もできない夏　#10</t>
  </si>
  <si>
    <t>玲(武井咲)は、嫉妬に駆られた亜沙美(霧島れいか)の策略により、樹山(江口洋介)の家庭を知ることに。過去の贖罪(しょくざい)のためだけに亜沙美と暮らすようにみえる樹山の姿を見た玲は、言いようのない悲しさを覚え、「もう会いません」と告げた。  　後日、シャルロットを訪れる樹山。近くの公園で樹山は、玲に亜沙美のことを謝る。罪滅ぼしのために亜沙美たちといるわけじゃないと話す樹山。しかし玲は、樹山は亜沙美と同じ方向を向いていないと指摘する。  　樹山のもとから立ち去ろうとする玲の目の前に現れたのは、なんと鮎川(要潤)だった。鮎川は、先日の約束を破ったことを玲に詫び、DNA鑑定に必要な書類などが入った封筒を差し出す。封筒を受け取り去ろうとする玲を見て、ある種の充足感を覚え、微笑みを浮かべる鮎川。しかし、彼の腹部に再び激痛が走る。玲と樹山は鮎川を病院へ運ぶ。そこで玲たちは、医師から鮎川が膵臓(すいぞう)ガンに侵されており、余命が短いことを告げられる。樹山は、今後何かあった際には連絡してほしいと医師に名刺を差し出す。  　一度は決意したDNA鑑定に迷いを覚える玲。その背中を押したのは草野(中村蒼)だった。草野は自分の親の現況すら分からない自らの複雑な境遇を玲に話し、DNA鑑定ができるならばやった方が良いと話す。草野と別れた玲は、意を決しポストに書類を投函する・・・。武井咲　  江口洋介　  木村佳乃　  中村蒼　    原幹恵　  霧島れいか　  小芝風花　  濱田マリ    　●　    要潤    　●　    RIKIYA　  橋本麗香　  清水一希　  勝信    　●　    浅田美代子    ーーーーーー    北大路欣也【脚本】  水野宗徳【編成企画】  太田大(フジテレビ)　    【プロデュース】  川西琢　    【監督】  木下高男井筒昭雄フジテレビ　    【制作著作】  共同テレビ</t>
  </si>
  <si>
    <t>玲(武井咲)は、嫉妬に駆られた亜沙美(霧島れいか)の策略により、樹山(江口洋介)の家庭を知ることに。過去の贖罪(しょくざい)のためだけに亜沙美と暮らすようにみえる樹山の姿を見た玲は、言いようのない悲しさを覚え、「もう会いません」と告げた。  　後日、シャルロットを訪れる樹山。近くの公園で樹山は、玲に亜沙美のことを謝る。罪滅ぼしのために亜沙美たちといるわけじゃないと話す樹山。しかし玲は、樹山は亜沙美と同じ方向を向いていないと指摘する。  　樹山のもとから立ち去ろうとする玲の目の前に現れたのは、なんと鮎川(要潤)だった。鮎川は、先日の約束を破ったことを玲に詫び、DNA鑑定に必要な書類などが入った封筒を差し出す。封筒を受け取り去ろうとする玲を見て、ある種の充足感を覚え、微笑みを浮かべる鮎川。しかし、彼の腹部に再び激痛が走る。玲と樹山は鮎川を病院へ運ぶ。そこで玲たちは、医師から鮎川が膵臓(すいぞう)ガンに侵されており、余命が短いことを告げられる。樹山は、今後何かあった際には連絡してほしいと医師に名刺を差し出す。  　一度は決意したDNA鑑定に迷いを覚える玲。その背中を押したのは草野(中村蒼)だった。草野は自分の親の現況すら分からない自らの複雑な境遇を玲に話し、DNA鑑定ができるならばやった方が良いと話す。草野と別れた玲は、意を決しポストに書類を投函する・・・。</t>
  </si>
  <si>
    <t>番組名息もできない夏　#11</t>
  </si>
  <si>
    <t>玲(武井咲)は、失意のどん底にいた。DNA鑑定の結果が出て、99.99%の確率で鮎川(要潤)と親子関係にあると明らかになったのだ。葉子(木村佳乃)、麻央(小芝風花)、香緒里(浅田美代子)の制止を振り切り、1人になるため街をさまよい歩き、気がつけばバイト先の「パティスリー・シャルロット」で、自身の過酷な運命を恨み泣き続けていた。  　そこに、樹山(江口洋介)がやって来る。樹山は、先日鮎川が搬送された病院から彼の容体が急変した連絡を受け、病院に寄った後、玲を探していた。自分が鮎川の子供であったことを樹山に打ち明ける玲。冷静さを失った玲を優しく受け止める樹山は、鮎川が危篤で、玲の名を呼んでいることを告げる。  　玲と樹山は鮎川の病院へ向かう。看護師に促され、玲は危篤状態にある鮎川の側に。玲に気付いた鮎川は、リンゴのガラス細工を手渡そうとする。しかし、玲は「あなたなんて父親じゃない」と病室を飛び出してしまう。  　後日、玲が「パティスリー・シャルロット」に出勤すると、樹山が店の前で待っていた。玲を心配する樹山は鮎川の容体が持ち直したと話す。しかし、玲はもう鮎川のことを忘れたいと話し、DNA鑑定の結果がいまだに整理できていない状況にあった・・・。武井咲　  江口洋介　  木村佳乃　  中村蒼　    原幹恵　  霧島れいか　  小芝風花　  濱田マリ    　●　    要潤    　●　    RIKIYA　  橋本麗香　  清水一希　  勝信    　●　    浅田美代子    ーーーーーー    北大路欣也【脚本】  水野宗徳【編成企画】  太田大(フジテレビ)　    【プロデュース】  川西琢　    【監督】  河野圭太井筒昭雄フジテレビ　    【制作著作】  共同テレビ</t>
  </si>
  <si>
    <t>玲(武井咲)は、失意のどん底にいた。DNA鑑定の結果が出て、99.99%の確率で鮎川(要潤)と親子関係にあると明らかになったのだ。葉子(木村佳乃)、麻央(小芝風花)、香緒里(浅田美代子)の制止を振り切り、1人になるため街をさまよい歩き、気がつけばバイト先の「パティスリー・シャルロット」で、自身の過酷な運命を恨み泣き続けていた。  　そこに、樹山(江口洋介)がやって来る。樹山は、先日鮎川が搬送された病院から彼の容体が急変した連絡を受け、病院に寄った後、玲を探していた。自分が鮎川の子供であったことを樹山に打ち明ける玲。冷静さを失った玲を優しく受け止める樹山は、鮎川が危篤で、玲の名を呼んでいることを告げる。  　玲と樹山は鮎川の病院へ向かう。看護師に促され、玲は危篤状態にある鮎川の側に。玲に気付いた鮎川は、リンゴのガラス細工を手渡そうとする。しかし、玲は「あなたなんて父親じゃない」と病室を飛び出してしまう。  　後日、玲が「パティスリー・シャルロット」に出勤すると、樹山が店の前で待っていた。玲を心配する樹山は鮎川の容体が持ち直したと話す。しかし、玲はもう鮎川のことを忘れたいと話し、DNA鑑定の結果がいまだに整理できていない状況にあった・・・。</t>
  </si>
  <si>
    <t>1207_CX_火22</t>
  </si>
  <si>
    <t>番組名GTO　#01</t>
  </si>
  <si>
    <t>【番組ホームページ】  http://www.ktv.jp/gto/　植木職人のアルバイト・鬼塚英吉(AKIRA)が、明修学苑の校庭にある樹木の剪定作業をしていると、明修学苑高校の教師・冬月あずさ(瀧本美織)の生徒・吉川昇(中川大志)が、屋上から飛び降りようとしているところを発見。英吉に声を掛けられた吉川は慌ててその場を去る。吉川は、クラスメイトの上原杏子(新川優愛)を中心とした女子3人からいじめを受けており、授業前に、お金を要求されていた。　そんな中、英吉が校内の売店で、売店のおばさん・桜井良子(黒木瞳)と会話をしていると、同校を不当な理由で退学させられたと主張する3人の元生徒が乱入してくる。激昂する3人に対し、教頭の内山田ひろし(田山涼成)は、腕っ節の強い英吉に協力を仰ぎ、3人を口汚く罵る。そんな内山田を見た英吉は、手助けをするかと思いきや内山田の言動に怒りを覚え、内山田をジャーマンスープレックスで投げ飛ばしてしまう。その様子を吉川、冬月、そして実はこの学苑の理事長である桜井が見つめていた…。  　学苑を後にした英吉は、親友の弾間龍二(城田優)が店長を務めるカフェで、龍二に3人の仕事の世話を依頼していた。そんな中、警察官で英吉の親友・冴島俊行(山本裕典)が、店内をのぞいていた不審人物として吉川を連れて入ってくる。いじめについて相談された英吉は、吉川とダチになって助けてあげる約束をする。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　刊)  脚本:深沢正樹　ほか【プロデューサー】  河西秀幸(関西テレビ)　  山本喜彦(MMJ)　    【演出】  今井和久　    ほか羽岡佳　    【主題歌】  EXILE　TRIBE「24Karats　TRIBE　OF　GOLD」</t>
  </si>
  <si>
    <t xml:space="preserve">　植木職人のアルバイト・鬼塚英吉(AKIRA)が、明修学苑の校庭にある樹木の剪定作業をしていると、明修学苑高校の教師・冬月あずさ(瀧本美織)の生徒・吉川昇(中川大志)が、屋上から飛び降りようとしているところを発見。英吉に声を掛けられた吉川は慌ててその場を去る。吉川は、クラスメイトの上原杏子(新川優愛)を中心とした女子3人からいじめを受けており、授業前に、お金を要求されていた。　そんな中、英吉が校内の売店で、売店のおばさん・桜井良子(黒木瞳)と会話をしていると、同校を不当な理由で退学させられたと主張する3人の元生徒が乱入してくる。激昂する3人に対し、教頭の内山田ひろし(田山涼成)は、腕っ節の強い英吉に協力を仰ぎ、3人を口汚く罵る。そんな内山田を見た英吉は、手助けをするかと思いきや内山田の言動に怒りを覚え、内山田をジャーマンスープレックスで投げ飛ばしてしまう。その様子を吉川、冬月、そして実はこの学苑の理事長である桜井が見つめていた…。  　学苑を後にした英吉は、親友の弾間龍二(城田優)が店長を務めるカフェで、龍二に3人の仕事の世話を依頼していた。そんな中、警察官で英吉の親友・冴島俊行(山本裕典)が、店内をのぞいていた不審人物として吉川を連れて入ってくる。いじめについて相談された英吉は、吉川とダチになって助けてあげる約束をする。</t>
  </si>
  <si>
    <t>番組名GTO　#02</t>
  </si>
  <si>
    <t>【番組ホームページ】  http://www.ktv.jp/gto/　明修学苑の2年4組の担任教師となった鬼塚英吉(AKIRA)は、クラス委員の相沢雅(川口春奈)の謀略とは知らず、不登校の生徒・葛城美姫(西内まりや)を救うため葛城家へ。  雅から連絡を受けていた美姫は、警察署長の父親から渡されていた緊急通報ボタンを使って、英吉を留置所送りにする。  　一方、英吉が逮捕された事を知った、教頭の内山田ひろし(田山涼成)は「学苑始まって以来の不祥事だ」とわめき散らす。そんな内山田をよそに、理事長兼校長の桜井良子(黒木瞳)は、冷静に2年4組の副担任・冬月あずさ(瀧本美織)に英吉の引き取りを依頼。  警察署を出た英吉は、親友の弾間龍二(城田優)が働くカフェで、2年4組の吉川昇(中川大志)と親友で警察官の冴島俊行(山本裕典)から、一連の出来事は美姫の仕業だと知らされるが、「とにかく、美姫を登校させる」と気に留めない。翌朝、何事もなかったかのように登校した英吉に驚く生徒たち。雅を美姫の親友と信じて疑わない英吉は、雅に「美姫を一緒に説得してほしい」と頼む。  待ち合わせ場所の公園に向かうと、そこには美姫しかおらず、「口先だけで、メンツや世間体のために関わられるのはうざい」と言い放ち、闇サイトで英吉に懸賞金を掛けたことを告白。英吉は、ゴルフクラブや金属バットなどの凶器を手にした男たちに囲まれてしまう。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</si>
  <si>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 xml:space="preserve">　明修学苑の2年4組の担任教師となった鬼塚英吉(AKIRA)は、クラス委員の相沢雅(川口春奈)の謀略とは知らず、不登校の生徒・葛城美姫(西内まりや)を救うため葛城家へ。  雅から連絡を受けていた美姫は、警察署長の父親から渡されていた緊急通報ボタンを使って、英吉を留置所送りにする。  　一方、英吉が逮捕された事を知った、教頭の内山田ひろし(田山涼成)は「学苑始まって以来の不祥事だ」とわめき散らす。そんな内山田をよそに、理事長兼校長の桜井良子(黒木瞳)は、冷静に2年4組の副担任・冬月あずさ(瀧本美織)に英吉の引き取りを依頼。  警察署を出た英吉は、親友の弾間龍二(城田優)が働くカフェで、2年4組の吉川昇(中川大志)と親友で警察官の冴島俊行(山本裕典)から、一連の出来事は美姫の仕業だと知らされるが、「とにかく、美姫を登校させる」と気に留めない。翌朝、何事もなかったかのように登校した英吉に驚く生徒たち。雅を美姫の親友と信じて疑わない英吉は、雅に「美姫を一緒に説得してほしい」と頼む。  待ち合わせ場所の公園に向かうと、そこには美姫しかおらず、「口先だけで、メンツや世間体のために関わられるのはうざい」と言い放ち、闇サイトで英吉に懸賞金を掛けたことを告白。英吉は、ゴルフクラブや金属バットなどの凶器を手にした男たちに囲まれてしまう。</t>
  </si>
  <si>
    <t>番組名GTO　#03</t>
  </si>
  <si>
    <t>【番組ホームページ】  http://www.ktv.jp/gto/　明修学苑2年4組の桑江遥(高月彩良)が、隠れてデートクラブでアルバイトをしていることを知ったクラスメイト・村井國男(森本慎太郎)は、遥に忠告するも、拒絶されてしまう。  　村井が帰宅すると、自宅に鬼塚英吉(AKIRA)が家庭訪問に来ていた。母親のつばさ(吉田羊)に対して鼻の下を伸ばす英吉に憤慨した村井は、英吉がSMプレイに興じる合成写真を作成、翌朝、学校の掲示板に貼り出す。　掲示板の前は騒然。写真を見た冬月あずさ(瀧本美織)は驚きを隠せない。合成だと主張する英吉をよそに、教頭の内山田ひろし(田山涼成)は、理事長の桜井良子(黒木瞳)に英吉の処分を直談判する。  　一方、教室に向かった英吉は、村井に詰め寄ると「アイドルとヌードモデルの合成写真を作って欲しい」と頼み込む。英吉の予想外の反応に生徒たちは戸惑う。　放課後、街を歩いていた村井は、遥が恋人に高価なブランド品をプレゼントしているところに遭遇。胸中に複雑な思いが広がり…。  　その晩、英吉は家庭訪問で遥の自宅へ。遥は、家が貧しいことに極度のコンプレックスを抱いていることを明かす。さらに、これから出かけるという遥に英吉が「デートか?」と聞くと、遥はうろたえる。そんな遥の対応を不審に感じて…。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</si>
  <si>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 xml:space="preserve">　明修学苑2年4組の桑江遥(高月彩良)が、隠れてデートクラブでアルバイトをしていることを知ったクラスメイト・村井國男(森本慎太郎)は、遥に忠告するも、拒絶されてしまう。  　村井が帰宅すると、自宅に鬼塚英吉(AKIRA)が家庭訪問に来ていた。母親のつばさ(吉田羊)に対して鼻の下を伸ばす英吉に憤慨した村井は、英吉がSMプレイに興じる合成写真を作成、翌朝、学校の掲示板に貼り出す。　掲示板の前は騒然。写真を見た冬月あずさ(瀧本美織)は驚きを隠せない。合成だと主張する英吉をよそに、教頭の内山田ひろし(田山涼成)は、理事長の桜井良子(黒木瞳)に英吉の処分を直談判する。  　一方、教室に向かった英吉は、村井に詰め寄ると「アイドルとヌードモデルの合成写真を作って欲しい」と頼み込む。英吉の予想外の反応に生徒たちは戸惑う。　放課後、街を歩いていた村井は、遥が恋人に高価なブランド品をプレゼントしているところに遭遇。胸中に複雑な思いが広がり…。  　その晩、英吉は家庭訪問で遥の自宅へ。遥は、家が貧しいことに極度のコンプレックスを抱いていることを明かす。さらに、これから出かけるという遥に英吉が「デートか?」と聞くと、遥はうろたえる。そんな遥の対応を不審に感じて…。</t>
  </si>
  <si>
    <t>番組名GTO　#04</t>
  </si>
  <si>
    <t>【番組ホームページ】  http://www.ktv.jp/gto/　2年4組の野村朋子(宮崎香蓮)は、トロくて失敗ばかり。周りからも「トロい」と言われ、自分に自信が持てずにいた。同じく、藤吉晃二(山田裕貴)も、家庭の事情から料理が好きな気持ちを押し殺し、高校を卒業したら就職しようと考えていた。  　冬月あずさ(瀧本美織)と共に生徒たちの進路指導を行った鬼塚英吉(AKIRA)は、生徒たちの現実主義で夢を持たず、周りの環境に流されるような将来の展望に納得がいかない。　そんな中、朋子に歌の才能があることを知った英吉は、賞金100万円を目指し、朋子にアイドルオーディションに参加することを提案する。  　一方、林間学校の集金係を務めることになった藤吉は、集金したお金99万円を英吉に渡そうとするが、その日初めての給料に大興奮の英吉は用件も聞かず走り去ってしまい、渡しそびれる。やむなく帰宅した藤吉は、ほどなくしてかばんに入れておいた集金袋がなくなっていることに気付く。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</si>
  <si>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 xml:space="preserve">　2年4組の野村朋子(宮崎香蓮)は、トロくて失敗ばかり。周りからも「トロい」と言われ、自分に自信が持てずにいた。同じく、藤吉晃二(山田裕貴)も、家庭の事情から料理が好きな気持ちを押し殺し、高校を卒業したら就職しようと考えていた。  　冬月あずさ(瀧本美織)と共に生徒たちの進路指導を行った鬼塚英吉(AKIRA)は、生徒たちの現実主義で夢を持たず、周りの環境に流されるような将来の展望に納得がいかない。　そんな中、朋子に歌の才能があることを知った英吉は、賞金100万円を目指し、朋子にアイドルオーディションに参加することを提案する。  　一方、林間学校の集金係を務めることになった藤吉は、集金したお金99万円を英吉に渡そうとするが、その日初めての給料に大興奮の英吉は用件も聞かず走り去ってしまい、渡しそびれる。やむなく帰宅した藤吉は、ほどなくしてかばんに入れておいた集金袋がなくなっていることに気付く。</t>
  </si>
  <si>
    <t>番組名GTO　#05</t>
  </si>
  <si>
    <t>【番組ホームページ】  http://www.ktv.jp/gto/　生徒たちの水泳の授業を見に来た鬼塚英吉(AKIRA)は、堂島誠也(白濱亜嵐)が見学しているのを発見。見学している理由が泳げないからだと勘違いした英吉は、「俺が教えてやる」と、強引に堂島の服を脱がしてしまう。すると、生徒たちが騒然。堂島の背中には、一面に入れ墨が入っていた。クラスメイトからの恐怖と好奇の視線にさらされた堂島は、その場から逃走。英吉と村井國男(森本慎太郎)が後を追うが、途中で見失ってしまう。  　水泳の授業後、冬月あずさ(瀧本美織)が2年4組で授業をしていると、堂島の義理の父親だという一之瀬慎治(高杉亘)が乱入してくる。一之瀬は、半年前から家に戻って来ない堂島を血眼になって捜していた。教室で暴れまわったあげく、堂島が不在だと分かると、堂島への伝言を残し、教室を後にする。一方、英吉は、村井から堂島の境遇を聞かされる。　半年前、凶暴で家庭内暴力をふるう一之瀬と付き合っていた堂島の母親は、置き手紙だけを残して失踪。堂島は、母親の失踪の原因となった一之瀬に怒りをぶつけるも返り討ちにあい、気絶させられている間に、背中に一之瀬と同じ入れ墨を入れられていた。  　村井と共に堂島が暮らす養護施設を訪れた英吉は、堂島が一之瀬に対して激しい殺意を抱いていることを知る。AKIRA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</si>
  <si>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 xml:space="preserve">　生徒たちの水泳の授業を見に来た鬼塚英吉(AKIRA)は、堂島誠也(白濱亜嵐)が見学しているのを発見。見学している理由が泳げないからだと勘違いした英吉は、「俺が教えてやる」と、強引に堂島の服を脱がしてしまう。すると、生徒たちが騒然。堂島の背中には、一面に入れ墨が入っていた。クラスメイトからの恐怖と好奇の視線にさらされた堂島は、その場から逃走。英吉と村井國男(森本慎太郎)が後を追うが、途中で見失ってしまう。  　水泳の授業後、冬月あずさ(瀧本美織)が2年4組で授業をしていると、堂島の義理の父親だという一之瀬慎治(高杉亘)が乱入してくる。一之瀬は、半年前から家に戻って来ない堂島を血眼になって捜していた。教室で暴れまわったあげく、堂島が不在だと分かると、堂島への伝言を残し、教室を後にする。一方、英吉は、村井から堂島の境遇を聞かされる。　半年前、凶暴で家庭内暴力をふるう一之瀬と付き合っていた堂島の母親は、置き手紙だけを残して失踪。堂島は、母親の失踪の原因となった一之瀬に怒りをぶつけるも返り討ちにあい、気絶させられている間に、背中に一之瀬と同じ入れ墨を入れられていた。  　村井と共に堂島が暮らす養護施設を訪れた英吉は、堂島が一之瀬に対して激しい殺意を抱いていることを知る。</t>
  </si>
  <si>
    <t>番組名GTO　#06</t>
  </si>
  <si>
    <t>【番組ホームページ】  http://www.ktv.jp/gto/夏休みに入り鬼塚英吉(AKIRA)が費用を工面できなかった2年4組は、林間学校を学校で行うことに。  そんななか相沢雅(川口春奈)らは、クラスメイトの鯨川冬美(高良光莉)の悩みを軽くあしらったことをきっかけに、冬月あずさ(瀧本美織)を「担任はずし」の標的にすることに決め、嫌がらせを始める。冬月は、なぜ自分が標的にされたのか分からず悩みながらも、自然に生徒と打ち解けていく英吉を見て、教師としての自信を失いかける。そんな冬月に対し、勅使川原優(矢野聖人)は「教師と生徒は友達じゃない。一定の距離を保つべき」と持論を展開し優しい言葉をかける。しかし、冬月に背を向けた勅使川原の顔には不敵な笑みが浮かんでいて…。  その夜、英吉の提案で肝試し大会を開催。おばけ役を任された冬月は、途中で急な腹痛に襲われる。それは、生徒が冬月の夕食に異物を混入して、引き起こしたものだった。そうとは知らずトイレに向かった冬月は個室に閉じ込められてしまう。焦っていると、何人かの生徒たちの声で「私たちのこと考えてくれるなら、教師辞めてよ!」と罵声を浴びせられ、頭から水を掛けられて、ずぶ濡れに。さらに「生徒を理解するために」と作成していた「生徒のプロフィール帳」も、ボロボロにされた状態で投げ入れられる。ひどい仕打ちに嗚咽を漏らす冬月。個室の外では、鯨川が冬月の嗚咽を聞きながら「全部あんたのせい」とつぶやいてトイレを後にする。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</si>
  <si>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夏休みに入り鬼塚英吉(AKIRA)が費用を工面できなかった2年4組は、林間学校を学校で行うことに。  そんななか相沢雅(川口春奈)らは、クラスメイトの鯨川冬美(高良光莉)の悩みを軽くあしらったことをきっかけに、冬月あずさ(瀧本美織)を「担任はずし」の標的にすることに決め、嫌がらせを始める。冬月は、なぜ自分が標的にされたのか分からず悩みながらも、自然に生徒と打ち解けていく英吉を見て、教師としての自信を失いかける。そんな冬月に対し、勅使川原優(矢野聖人)は「教師と生徒は友達じゃない。一定の距離を保つべき」と持論を展開し優しい言葉をかける。しかし、冬月に背を向けた勅使川原の顔には不敵な笑みが浮かんでいて…。  その夜、英吉の提案で肝試し大会を開催。おばけ役を任された冬月は、途中で急な腹痛に襲われる。それは、生徒が冬月の夕食に異物を混入して、引き起こしたものだった。そうとは知らずトイレに向かった冬月は個室に閉じ込められてしまう。焦っていると、何人かの生徒たちの声で「私たちのこと考えてくれるなら、教師辞めてよ!」と罵声を浴びせられ、頭から水を掛けられて、ずぶ濡れに。さらに「生徒を理解するために」と作成していた「生徒のプロフィール帳」も、ボロボロにされた状態で投げ入れられる。ひどい仕打ちに嗚咽を漏らす冬月。個室の外では、鯨川が冬月の嗚咽を聞きながら「全部あんたのせい」とつぶやいてトイレを後にする。</t>
  </si>
  <si>
    <t>番組名GTO　#07</t>
  </si>
  <si>
    <t>【番組ホームページ】  http://www.ktv.jp/gto/IQ200を誇る天才児の神崎麗美(本田翼)は、いつもどこか達観している様子で、何をするにも投げやりな態度をとっていた。  ある日、麗美は、駅のホームから線路の上に飛び降り、電車を止めてしまう。理事長室に連れられ、内山田教頭(田山涼成)から糾弾されるも、「(計算上)私が轢かれる可能性はあり得ない」と涼しい顔で、全く反省の色を見せない。  帰宅した麗美は、母親から「電車を止めるようなことに頭を使わず、私のために使いなさい。そのために選んだ脳なんだから」と言われて、自分の頭脳しか必要とされていないことに傷つく。  そんな中、鬼塚英吉(AKIRA)が暴走族だったという過去を知ったPTAの役員たちが、学苑に抗議にやってくる。鬼塚の即刻解雇を要求する役員たちに対し、勅使川原(矢野聖人)が、英吉の残留の条件として、「一週間後に行われる全国模試で全国1位をとること」を提案。英吉はその条件を快諾する。とりあえず過去問に挑戦した英吉だったが、得点は5教科500点満点中の49点。全国1位などとうてい無理だと悟った英吉は、上原杏子(新川優愛)らに「カンニングの仕方を教えてほしい」と懇願。  杏子たちが幻滅していると、麗美がやってきて「私が家庭教師やってあげる」と申し出る。天才児の思ってもみない提案に英吉は大喜び。一方、杏子らは、急に協力的な態度をとる麗美に、「裏の目論見があるのでは」と疑って…。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</si>
  <si>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IQ200を誇る天才児の神崎麗美(本田翼)は、いつもどこか達観している様子で、何をするにも投げやりな態度をとっていた。  ある日、麗美は、駅のホームから線路の上に飛び降り、電車を止めてしまう。理事長室に連れられ、内山田教頭(田山涼成)から糾弾されるも、「(計算上)私が轢かれる可能性はあり得ない」と涼しい顔で、全く反省の色を見せない。  帰宅した麗美は、母親から「電車を止めるようなことに頭を使わず、私のために使いなさい。そのために選んだ脳なんだから」と言われて、自分の頭脳しか必要とされていないことに傷つく。  そんな中、鬼塚英吉(AKIRA)が暴走族だったという過去を知ったPTAの役員たちが、学苑に抗議にやってくる。鬼塚の即刻解雇を要求する役員たちに対し、勅使川原(矢野聖人)が、英吉の残留の条件として、「一週間後に行われる全国模試で全国1位をとること」を提案。英吉はその条件を快諾する。とりあえず過去問に挑戦した英吉だったが、得点は5教科500点満点中の49点。全国1位などとうてい無理だと悟った英吉は、上原杏子(新川優愛)らに「カンニングの仕方を教えてほしい」と懇願。  杏子たちが幻滅していると、麗美がやってきて「私が家庭教師やってあげる」と申し出る。天才児の思ってもみない提案に英吉は大喜び。一方、杏子らは、急に協力的な態度をとる麗美に、「裏の目論見があるのでは」と疑って…。</t>
  </si>
  <si>
    <t>番組名GTO　#08</t>
  </si>
  <si>
    <t>【番組ホームページ】  http://www.ktv.jp/gto/神崎麗美(本田翼)の出生の秘密が明かされ、学苑内は騒然となる。麗美は、暴露した相沢雅(川口春奈)に「この国からあんたの居場所をなくしてやる」と言い放ち、姿を消す。  麗美の身を案じた英吉(AKIRA)は、麗美の自宅へ。だが、麗美の母親・伸子(宮田早苗)は、娘より仕事の心配をしており、愛情が感じられない。麗美の孤独感を知った英吉は切なくて…。一方、2年4組の教室では、村井國男(森本慎太郎)が、雅に対し「やり過ぎだ」とその行動をとがめていた。しかし、雅は一年前に起こった水樹ななこが自殺した事件に触れ、「みんなあの事、忘れたの?」と取り合わない。村井が必死に「鬼塚は今までの大人と違う」と説得するも、「一人になってもななこのカタキをとる」と言って出て行ってしまう。  自宅に戻った雅は、自室のベッドに寝転び、何げなくクマのぬいぐるみを胸に抱く。違和感を感じ、そのぬいぐるみを見ると、お腹の部分に小型のカメラを発見。ぞっとして、部屋中を調べると、次々と盗撮用のカメラが出てくる。訳が分からず動揺していると、麗美からメールが届く。メールを開くと、ホームページが開設されており、そこでは雅の盗撮された画像が公開されるようになっていた。すでに公開までのタイマーが作動しているのを知った雅は絶叫する。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</si>
  <si>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神崎麗美(本田翼)の出生の秘密が明かされ、学苑内は騒然となる。麗美は、暴露した相沢雅(川口春奈)に「この国からあんたの居場所をなくしてやる」と言い放ち、姿を消す。  麗美の身を案じた英吉(AKIRA)は、麗美の自宅へ。だが、麗美の母親・伸子(宮田早苗)は、娘より仕事の心配をしており、愛情が感じられない。麗美の孤独感を知った英吉は切なくて…。一方、2年4組の教室では、村井國男(森本慎太郎)が、雅に対し「やり過ぎだ」とその行動をとがめていた。しかし、雅は一年前に起こった水樹ななこが自殺した事件に触れ、「みんなあの事、忘れたの?」と取り合わない。村井が必死に「鬼塚は今までの大人と違う」と説得するも、「一人になってもななこのカタキをとる」と言って出て行ってしまう。  自宅に戻った雅は、自室のベッドに寝転び、何げなくクマのぬいぐるみを胸に抱く。違和感を感じ、そのぬいぐるみを見ると、お腹の部分に小型のカメラを発見。ぞっとして、部屋中を調べると、次々と盗撮用のカメラが出てくる。訳が分からず動揺していると、麗美からメールが届く。メールを開くと、ホームページが開設されており、そこでは雅の盗撮された画像が公開されるようになっていた。すでに公開までのタイマーが作動しているのを知った雅は絶叫する。</t>
  </si>
  <si>
    <t>番組名GTO　#09</t>
  </si>
  <si>
    <t>【番組ホームページ】  http://www.ktv.jp/gto/これまでの鬼塚英吉(AKIRA)の破天荒な行いが何者かの仕業でマスコミにリークされた。明修学苑にはマスコミが殺到して大騒ぎに。理事長室に呼び出され内山田教頭(田山涼成)にクビを宣告された英吉は、辞職を受け入れる代わりにもう一日だけ待ってほしいと頼む。それは、不登校となった相沢雅(川口春奈)に最後の授業を行うためだった。2年4組の教室に戻った英吉は、生徒たちから“担任はずし"のきっかけとなったクラスメートの水樹ななこ(谷内里早)が自殺した事件の詳細を聞く。  1年前、文化祭のために集めた準備費用が紛失した。当時の担任・藤森(折井あゆみ)は、文化祭の実行委員だったななこを疑い、厳しく追及。ほどなくして、ななこは、雅の机の中に「信じて欲しかった。藤森先生にだけは」という遺書を残し、学苑の屋上から飛び降りた。その後、生徒たちは大人に復讐するため“担任はずし"を始めていた。率先して“担任はずし"を実行していた雅が、英吉と出会うことで改心していく生徒たちから孤立していき、そのことを知った英吉は雅の自宅へ。冷たい態度を取る雅に「もうすぐクビになるから、最後に教師っぽいことをさせてくれ」と言って雅を連れ出す。  クラブに連れて来られた雅は、英吉の後輩の不良たちを目の当たりにする。不良たちは英吉の「たっぷり教えてやってくれ。このお嬢ちゃんにな」との発言を聞き、雅を取り囲む。AKIRA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</si>
  <si>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これまでの鬼塚英吉(AKIRA)の破天荒な行いが何者かの仕業でマスコミにリークされた。明修学苑にはマスコミが殺到して大騒ぎに。理事長室に呼び出され内山田教頭(田山涼成)にクビを宣告された英吉は、辞職を受け入れる代わりにもう一日だけ待ってほしいと頼む。それは、不登校となった相沢雅(川口春奈)に最後の授業を行うためだった。2年4組の教室に戻った英吉は、生徒たちから“担任はずし"のきっかけとなったクラスメートの水樹ななこ(谷内里早)が自殺した事件の詳細を聞く。  1年前、文化祭のために集めた準備費用が紛失した。当時の担任・藤森(折井あゆみ)は、文化祭の実行委員だったななこを疑い、厳しく追及。ほどなくして、ななこは、雅の机の中に「信じて欲しかった。藤森先生にだけは」という遺書を残し、学苑の屋上から飛び降りた。その後、生徒たちは大人に復讐するため“担任はずし"を始めていた。率先して“担任はずし"を実行していた雅が、英吉と出会うことで改心していく生徒たちから孤立していき、そのことを知った英吉は雅の自宅へ。冷たい態度を取る雅に「もうすぐクビになるから、最後に教師っぽいことをさせてくれ」と言って雅を連れ出す。  クラブに連れて来られた雅は、英吉の後輩の不良たちを目の当たりにする。不良たちは英吉の「たっぷり教えてやってくれ。このお嬢ちゃんにな」との発言を聞き、雅を取り囲む。</t>
  </si>
  <si>
    <t>番組名GTO　#10</t>
  </si>
  <si>
    <t>「FIFA　U-20女子ワールドカップ　ジャパン2012　準決勝日本×ドイツ」延長の際、放送時間繰り下げの場合あり。    【番組ホームページ】  http://www.ktv.jp/gto/明修学苑の校長として赴任してきた大門美鈴(西田尚美)は、徹底的な管理体制のもとで学苑を一流校にしようと考えていた。そんな大門に、鬼塚英吉(AKIRA)の排除をアドバイスする菊地善人(高田翔)。菊地は大門の息子だった。  教師を辞めた英吉が、弾間龍二(城田優)のカフェで働いていると、大門が訪ねて来て「学苑に近づけば、今まで起こした騒動すべてを訴え、2年4組の生徒たちも全員退学にする」と圧力をかけられてしまう。  そんななか、プロボクサーを目指す草野忠明(鈴木伸之)に、付き合っている浅野麻由子(石井杏奈)の母親から連絡が入る。麻由子の母親は「二度と麻由子と会わないでください。ウチの娘はあなたのような野蛮な方とは釣り合いません」と言い放って、一方的に電話を切ってしまう。突然のことで訳が分からない草野は、偶然出会った英吉に助けを求める。草野の自宅を訪れた英吉は、ボクサーになってチャンピオンを目指しているという草野の夢を聞き「適当に将来を考えているわけじゃないのに、このままだと麻由子ちゃんと別れさせられちまう。先生、助けてくれよ!」と懇願される。草野を助けてやりたい英吉だったが、自分が関わることで生徒が退学になってしまうため、申し訳ない気持ちで草野の自宅を後にする…。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</si>
  <si>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明修学苑の校長として赴任してきた大門美鈴(西田尚美)は、徹底的な管理体制のもとで学苑を一流校にしようと考えていた。そんな大門に、鬼塚英吉(AKIRA)の排除をアドバイスする菊地善人(高田翔)。菊地は大門の息子だった。  教師を辞めた英吉が、弾間龍二(城田優)のカフェで働いていると、大門が訪ねて来て「学苑に近づけば、今まで起こした騒動すべてを訴え、2年4組の生徒たちも全員退学にする」と圧力をかけられてしまう。  そんななか、プロボクサーを目指す草野忠明(鈴木伸之)に、付き合っている浅野麻由子(石井杏奈)の母親から連絡が入る。麻由子の母親は「二度と麻由子と会わないでください。ウチの娘はあなたのような野蛮な方とは釣り合いません」と言い放って、一方的に電話を切ってしまう。突然のことで訳が分からない草野は、偶然出会った英吉に助けを求める。草野の自宅を訪れた英吉は、ボクサーになってチャンピオンを目指しているという草野の夢を聞き「適当に将来を考えているわけじゃないのに、このままだと麻由子ちゃんと別れさせられちまう。先生、助けてくれよ!」と懇願される。草野を助けてやりたい英吉だったが、自分が関わることで生徒が退学になってしまうため、申し訳ない気持ちで草野の自宅を後にする…。</t>
  </si>
  <si>
    <t>番組名GTO　#11</t>
  </si>
  <si>
    <t>【番組ホームページ】  http://www.ktv.jp/gto/2年4組の担任として復帰した鬼塚英吉(AKIRA)に脳動脈瘤が見つかる。医師からこのまま放置すると命の保証はないと知らされるも、生徒たちのことが心配な英吉は、弾間龍二(城田優)にも病状を明かせない。  一方、学苑の改革を推し進める新校長・大門美鈴(西田尚美)は、教師だけでなく生徒たちにもポイント制の導入を宣言。このポイント制により、文化祭を間近に控えているにも関わらず、学苑の生徒たちから笑顔がなくなってしまう。冬月あずさ(瀧本美織)は、話しかけても校長から配布されたタブレットに集中している生徒たちの姿に、心が見えなくなってしまう危機感を覚える。同じく、職員室内でも自身の評価を上げるため、他の教師のマイナスポイントを報告しあうという足の引っ張り合いのような状況に。  そんななか、2年4組に大門の息子・渋谷翔(野村周平)が編入してくる。英吉らは、翔がクラスを監視する役割を持って編入したことに動揺を隠せない。その日の放課後、中庭で楽しそうに文化祭の準備を進める英吉と生徒たち。その様子を物陰から渋谷が見ていて…。  翌日、渋谷の報告を受けた大門校長が、文化祭の廃止を決定。それを知った英吉は、大門に抗議するが、「学苑再建のために無駄な時間をさく猶予はない」とにべもなく断られ、「(気に入らなければ)別の職場をお探しください」と言われてしまう。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</si>
  <si>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2年4組の担任として復帰した鬼塚英吉(AKIRA)に脳動脈瘤が見つかる。医師からこのまま放置すると命の保証はないと知らされるも、生徒たちのことが心配な英吉は、弾間龍二(城田優)にも病状を明かせない。  一方、学苑の改革を推し進める新校長・大門美鈴(西田尚美)は、教師だけでなく生徒たちにもポイント制の導入を宣言。このポイント制により、文化祭を間近に控えているにも関わらず、学苑の生徒たちから笑顔がなくなってしまう。冬月あずさ(瀧本美織)は、話しかけても校長から配布されたタブレットに集中している生徒たちの姿に、心が見えなくなってしまう危機感を覚える。同じく、職員室内でも自身の評価を上げるため、他の教師のマイナスポイントを報告しあうという足の引っ張り合いのような状況に。  そんななか、2年4組に大門の息子・渋谷翔(野村周平)が編入してくる。英吉らは、翔がクラスを監視する役割を持って編入したことに動揺を隠せない。その日の放課後、中庭で楽しそうに文化祭の準備を進める英吉と生徒たち。その様子を物陰から渋谷が見ていて…。  翌日、渋谷の報告を受けた大門校長が、文化祭の廃止を決定。それを知った英吉は、大門に抗議するが、「学苑再建のために無駄な時間をさく猶予はない」とにべもなく断られ、「(気に入らなければ)別の職場をお探しください」と言われてしまう。</t>
  </si>
  <si>
    <t>1207_CX_木22</t>
  </si>
  <si>
    <t>東野圭吾ミステリーズ</t>
  </si>
  <si>
    <t>番組名&lt;木曜劇場&gt;東野圭吾ミステリーズ　#01</t>
  </si>
  <si>
    <t>7月5日スタートの“木10"は東野圭吾の傑作短篇小説を11話厳選し、週替わりの“主演"と“ストーリー"の1話完結型のミステリードラマをお届けする。11人の豪華主演俳優がズラリと並び、シリアスあり、コメディータッチあり、ホラーテイストあり…とさまざまなミステリーを届ける。東野圭吾ミステリーの魅惑の世界へと視聴者を誘うナビゲーターパートでは、中井貴一が事件に巻き込まれるミステリー雑誌「月刊ホワイダニット」の編集長・倉敷を演じる。第1話は15分拡大スペシャルとしてお届けし、主演として唐沢寿明が登場する。    　(第1話『さよならコーチ』あらすじ)  　水木エレクトロニクス、アーチェリー部コーチの石上純一(唐沢)は、指導している望月直美(田中麗奈)の死体を部室で発見する。遺言らしきビデオが残されていたことから、直美の死は自殺とみられた。やって来た鈴木和真(西岡徳馬)警部に、石上は直美の自殺に心当たりがないかと問われる。石上は、直美がオリンピック選考会で落選したことが原因なのではと答えた。  　直美の葬儀も終わり、警察は彼女の死を自殺と認定しようとしていたが、鈴木はどこか腑に落ちずにいる。一方、石上はアーチェリー部の廃部が決まったことから、会社を辞めると妻の陽子(戸田菜穂)に報告。しかし、最近、石上家に不審な電話がかかってくるようになっていた。そんな時、陽子が何者かに襲われて…。唐沢寿明　  田中麗奈　  戸田菜穂　  西岡徳馬  　・　  中井貴一(ナビゲーター)【原作】  東野圭吾(さよならコーチ『犯人のいない殺人の夜』光文社文庫)  【脚本】  坂口理子　高橋幹子【演出】  河毛俊作　    【プロデュース】  小池秀樹フジテレビ</t>
  </si>
  <si>
    <t xml:space="preserve">　水木エレクトロニクス、アーチェリー部コーチの石上純一(唐沢)は、指導している望月直美(田中麗奈)の死体を部室で発見する。遺言らしきビデオが残されていたことから、直美の死は自殺とみられた。やって来た鈴木和真(西岡徳馬)警部に、石上は直美の自殺に心当たりがないかと問われる。石上は、直美がオリンピック選考会で落選したことが原因なのではと答えた。  　直美の葬儀も終わり、警察は彼女の死を自殺と認定しようとしていたが、鈴木はどこか腑に落ちずにいる。一方、石上はアーチェリー部の廃部が決まったことから、会社を辞めると妻の陽子(戸田菜穂)に報告。しかし、最近、石上家に不審な電話がかかってくるようになっていた。そんな時、陽子が何者かに襲われて…。唐沢寿明　  田中麗奈　  戸田菜穂　  西岡徳馬  　・　  中井貴一(ナビゲーター)</t>
  </si>
  <si>
    <t>番組名&lt;木曜劇場&gt;東野圭吾ミステリーズ　#02</t>
  </si>
  <si>
    <t>(第2話『犯人のいない殺人の夜』あらすじ)  　佐藤拓也(坂口憲二)は、大学を中退して家庭教師を仕事に生活している。ある日、勉強を教えに出向いた岸田家で殺人が発生してしまう。拓也と同じく岸田家で家庭教師をしている八木由紀子(八木のぞみ)が、次男の隆夫(吉田憲祐)に刺されて絶命したのだ。建築デザイナーとして名声を馳せる岸田家の主、創介(白井晃)は、拓也に証拠隠滅の協力を依頼する。金を払うという創介の強引な依頼に当初はためらう拓也。だが、あまりに執拗な創介の願いに、拓也は証拠隠滅の方法など全てを自分に一任するという条件で引き受けた。  　拓也は岸田家の長男・正樹(八神蓮)と、由紀子の遺体を運び出し、山奥の林の中に穴を掘って埋める。土をかぶせる前に、拓也は遺体の身元が割れないよう、由紀子の顔と手を薬品で焼いてしまった。そして、拓也は岸田家の人々に由紀子の存在したことを徹底的に知らないものとするよう促す。また、由紀子のアパートに忍び込み、家庭教師をしていた証拠を隠滅。さらに、恋人の河合雅美(関めぐみ)の容姿を由紀子に似せて岸田家に出入りさせるようにした。だが、岸田家に由紀子の写真を携えた男が訪ねて来て…。坂口憲二　  白井晃　  雛形あきこ　  中原丈雄  　・　  中井貴一(ナビゲーター)【原作】  東野圭吾(「犯人のいない殺人の夜」光文社文庫)　    【脚本】  ひかわかよ澤田鎌作　    【プロデュース】  小池秀樹フジテレビ　ドラマ制作センター</t>
  </si>
  <si>
    <t xml:space="preserve">　佐藤拓也(坂口憲二)は、大学を中退して家庭教師を仕事に生活している。ある日、勉強を教えに出向いた岸田家で殺人が発生してしまう。拓也と同じく岸田家で家庭教師をしている八木由紀子(八木のぞみ)が、次男の隆夫(吉田憲祐)に刺されて絶命したのだ。建築デザイナーとして名声を馳せる岸田家の主、創介(白井晃)は、拓也に証拠隠滅の協力を依頼する。金を払うという創介の強引な依頼に当初はためらう拓也。だが、あまりに執拗な創介の願いに、拓也は証拠隠滅の方法など全てを自分に一任するという条件で引き受けた。  　拓也は岸田家の長男・正樹(八神蓮)と、由紀子の遺体を運び出し、山奥の林の中に穴を掘って埋める。土をかぶせる前に、拓也は遺体の身元が割れないよう、由紀子の顔と手を薬品で焼いてしまった。そして、拓也は岸田家の人々に由紀子の存在したことを徹底的に知らないものとするよう促す。また、由紀子のアパートに忍び込み、家庭教師をしていた証拠を隠滅。さらに、恋人の河合雅美(関めぐみ)の容姿を由紀子に似せて岸田家に出入りさせるようにした。だが、岸田家に由紀子の写真を携えた男が訪ねて来て…。</t>
  </si>
  <si>
    <t>番組名&lt;木曜劇場&gt;東野圭吾ミステリーズ　#03</t>
  </si>
  <si>
    <t>東野圭吾の傑作短篇小説を11話厳選した1話完結型ミステリー。第3話は、松下奈緒主演の「エンドレス・ナイト」    　東京のマンションで寝ていた田村厚子(松下奈緒)は、電話の鳴る音で起こされる。受話器をとった厚子の耳に飛び込んで来たのは、夫の洋一(田中幸太朗)が殺害されたという警察からの連絡だった。  　洋一はアパレルチェーン社長の御曹司。新しく大阪に立ち上げるブランドの経営を任されたため、単身で現地に行っていた。もちろん、当初は厚子も誘われていた。しかし、厚子は洋裁学校の講師を東京で続けたいこと、また、大阪が肌に合わないとの理由で断ってしまう。  　大阪に着いた厚子を番場十三(大杉漣)たち刑事が出迎えた。洋一の遺体確認を終えた厚子は、自ら殺害現場に連れて行って欲しいと頼む。洋一は自分の店で刺殺されていた。検死報告などを話した番場は、厚子に洋一との最後の接触を尋ねる。厚子は一昨日、洋一から電話があり、大阪に遊びに来ないかと言われたが、断ったと話した。番場は洋一が殺された原因に心当たりはないかと聞くが、厚子はないと答える。厚子は手がかりを調べさせて欲しいと言う番場と、洋一が暮らしていたマンションへ。そこで初めて洋一が亡くなったことを実感し、涙を流す。その夜、洋一のマンションで寝ようとする厚子。と、玄関で物音が…。恐怖する厚子の前に、刃物を手にした男が現れた。松下奈緒　  大杉漣(しんにょうの点2つ)　  田中幸太朗  　・　  中井貴一(ナビゲーター)【原作】  東野圭吾(「犯人のいない殺人の夜」光文社文庫)　    【脚本】  田辺満河野圭太　    【企画・プロデュース】  小池秀樹　    【プロデュース】  小椋久雄フジテレビ　ドラマ制作センター</t>
  </si>
  <si>
    <t>東野圭吾の傑作短篇小説を11話厳選した1話完結型ミステリー。第3話は、松下奈緒主演の「エンドレス・ナイト」    　東京のマンションで寝ていた田村厚子(松下奈緒)は、電話の鳴る音で起こされる。受話器をとった厚子の耳に飛び込んで来たのは、夫の洋一(田中幸太朗)が殺害されたという警察からの連絡だった。  　洋一はアパレルチェーン社長の御曹司。新しく大阪に立ち上げるブランドの経営を任されたため、単身で現地に行っていた。もちろん、当初は厚子も誘われていた。しかし、厚子は洋裁学校の講師を東京で続けたいこと、また、大阪が肌に合わないとの理由で断ってしまう。  　大阪に着いた厚子を番場十三(大杉漣)たち刑事が出迎えた。洋一の遺体確認を終えた厚子は、自ら殺害現場に連れて行って欲しいと頼む。洋一は自分の店で刺殺されていた。検死報告などを話した番場は、厚子に洋一との最後の接触を尋ねる。厚子は一昨日、洋一から電話があり、大阪に遊びに来ないかと言われたが、断ったと話した。番場は洋一が殺された原因に心当たりはないかと聞くが、厚子はないと答える。厚子は手がかりを調べさせて欲しいと言う番場と、洋一が暮らしていたマンションへ。そこで初めて洋一が亡くなったことを実感し、涙を流す。その夜、洋一のマンションで寝ようとする厚子。と、玄関で物音が…。恐怖する厚子の前に、刃物を手にした男が現れた。</t>
  </si>
  <si>
    <t>番組名&lt;木曜劇場&gt;東野圭吾ミステリーズ　#04</t>
  </si>
  <si>
    <t>東野圭吾の傑作短篇小説を11話厳選した1話完結型ミステリー。第4話は観月ありさ主演の「レイコと玲子」。    　浅野葉子(観月ありさ)は少年犯罪を専門とする弁護士。この日も殺人を犯した少年の更生を促す判決を勝ち取った。しかし、少年とは言え、殺人犯への風当たりは冷たい。記者会見でも葉子の弁護にマスコミの批判が集中する。会見後、マンションに帰った葉子は駐車場の片隅に少女(大野いと)を発見して声をかける。だが、少女は葉子の問いかけに返事をしない。業を煮やした葉子が少し声を荒らげると、やっと少女が言葉を発する。少女は返事をしない…のではなく、記憶を失っているため“出来なかった"のだ。そんな少女を深夜に放り出すわけにもいかず、葉子は自室に招き入れた。そして、葉子は少女の持ち物にREIKOと書かれているのを見つける。どうやらレイコという名のようだが、少女の記憶は深い闇に包まれていた。  　その夜、葉子のマンションがある地域を管轄する警察は、慌ただしく動いていた。前村哲也(川井つと)という男が殺害されたのだ。捜査に当たった今西警部補(平田満)のもとに、殺害推定時刻の現場に若い女がいたという目撃情報が寄せられる。  　翌朝、葉子はレイコの淡い記憶を頼りにマンションまでの足取りを検証。すると、捜査に当たる警官の姿が…。観月ありさ　  大野いと　  平田満　  吉田栄作  　・　  中井貴一(ナビゲーター)【原作】  東野圭吾  レイコと玲子(「あの頃の誰か」光文社文庫)　    【脚本】  山本健介　  川村泰祐川村泰祐　    【企画】  小池秀樹　    【プロデュース】  和田倉和利　  福島聡司フジテレビ　ドラマ制作センター</t>
  </si>
  <si>
    <t>東野圭吾の傑作短篇小説を11話厳選した1話完結型ミステリー。第4話は観月ありさ主演の「レイコと玲子」。    　浅野葉子(観月ありさ)は少年犯罪を専門とする弁護士。この日も殺人を犯した少年の更生を促す判決を勝ち取った。しかし、少年とは言え、殺人犯への風当たりは冷たい。記者会見でも葉子の弁護にマスコミの批判が集中する。会見後、マンションに帰った葉子は駐車場の片隅に少女(大野いと)を発見して声をかける。だが、少女は葉子の問いかけに返事をしない。業を煮やした葉子が少し声を荒らげると、やっと少女が言葉を発する。少女は返事をしない…のではなく、記憶を失っているため“出来なかった"のだ。そんな少女を深夜に放り出すわけにもいかず、葉子は自室に招き入れた。そして、葉子は少女の持ち物にREIKOと書かれているのを見つける。どうやらレイコという名のようだが、少女の記憶は深い闇に包まれていた。  　その夜、葉子のマンションがある地域を管轄する警察は、慌ただしく動いていた。前村哲也(川井つと)という男が殺害されたのだ。捜査に当たった今西警部補(平田満)のもとに、殺害推定時刻の現場に若い女がいたという目撃情報が寄せられる。  　翌朝、葉子はレイコの淡い記憶を頼りにマンションまでの足取りを検証。すると、捜査に当たる警官の姿が…。</t>
  </si>
  <si>
    <t>番組名&lt;木曜劇場&gt;東野圭吾ミステリーズ　#05</t>
  </si>
  <si>
    <t>中川伸彦(反町隆史)、尚美(加藤あい)夫婦は、遅れた新婚旅行のため沖縄に向かう飛行機に乗っていた。2人の新婚旅行が遅れたのは、伸彦が男手ひとつで育てていた前妻との娘、宏子(信太真妃)が不慮の事故で亡くなっていたため。伸彦は機内で、まだ宏子の一周忌も終わっていないとためらう尚美の薬指に、自分たちも前に進まないといけないと結婚指輪をはめる。そんな2人を初老の藤村重雄(北見敏之)と照恵(大塚良重)夫婦が微笑ましく見つめていた。  　チェックインまでの時間を沖縄観光で費やした伸彦たちが予約済みのホテルに行くと、重雄夫婦と再会。どちらかの部屋でそのうち一杯やろうと、奇遇を喜ぶ重雄は、照恵にたしなめられる。尚美は重雄の誘いを歓迎するのだが、伸彦の表情はさえない。部屋に入ると尚美は宏子の写真を取り出す。3人で来たかったと告げる尚美だが、伸彦は写真を見つめるだけ…。また、伸彦は国内旅行には不似合いの大きなスーツケースを持って来ていた。  　夕食を終えると、いささか酔った尚美はすぐにベッドに横になってしまった。そんな尚美の首に、伸彦の手が伸びる。実は、伸彦は宏子の死の原因が尚美にあると思っていたのだ。目を覚ました尚美に、問いただす伸彦。だが、尚美は何を言われても無言のまま。否定もされないことにいら立つ伸彦に、尚美は「新婚旅行なのに…幸せなはずなのに」とつぶやき、意を決したように目をつむり「殺して…」と反町隆史　  加藤あい　  北見敏之　    中井貴一(ナビゲーター)【原作】  東野圭吾  甘いはずなのに(「怪しい人びと」光文社文庫)　    【脚本】  坂口理子【演出】  小林義則　    【企画】  小池秀樹　    【プロデュース】  小椋久雄フジテレビ　ドラマ制作センター</t>
  </si>
  <si>
    <t>中川伸彦(反町隆史)、尚美(加藤あい)夫婦は、遅れた新婚旅行のため沖縄に向かう飛行機に乗っていた。2人の新婚旅行が遅れたのは、伸彦が男手ひとつで育てていた前妻との娘、宏子(信太真妃)が不慮の事故で亡くなっていたため。伸彦は機内で、まだ宏子の一周忌も終わっていないとためらう尚美の薬指に、自分たちも前に進まないといけないと結婚指輪をはめる。そんな2人を初老の藤村重雄(北見敏之)と照恵(大塚良重)夫婦が微笑ましく見つめていた。  　チェックインまでの時間を沖縄観光で費やした伸彦たちが予約済みのホテルに行くと、重雄夫婦と再会。どちらかの部屋でそのうち一杯やろうと、奇遇を喜ぶ重雄は、照恵にたしなめられる。尚美は重雄の誘いを歓迎するのだが、伸彦の表情はさえない。部屋に入ると尚美は宏子の写真を取り出す。3人で来たかったと告げる尚美だが、伸彦は写真を見つめるだけ…。また、伸彦は国内旅行には不似合いの大きなスーツケースを持って来ていた。  　夕食を終えると、いささか酔った尚美はすぐにベッドに横になってしまった。そんな尚美の首に、伸彦の手が伸びる。実は、伸彦は宏子の死の原因が尚美にあると思っていたのだ。目を覚ました尚美に、問いただす伸彦。だが、尚美は何を言われても無言のまま。否定もされないことにいら立つ伸彦に、尚美は「新婚旅行なのに…幸せなはずなのに」とつぶやき、意を決したように目をつむり「殺して…」と</t>
  </si>
  <si>
    <t>番組名&lt;木曜劇場&gt;東野圭吾ミステリーズ　#06</t>
  </si>
  <si>
    <t>青山弥生(長澤まさみ)は、元カレのアパートに、残されていた荷物を返しに行く。部屋のドアの前に荷物だけを置いてさっさと帰ろうと思っていたのだが、何だか様子がおかしい。鍵のかかっていなかったドアを開けて、部屋の中に入り元カレの名前を呼ぶが、返事もない。それもそのはず、部屋の電気を点けると元カレが殺されていた。元カレの手元には、血で“A"が書かれていた。  　弥生の通報で警察官たちが駆けつけた。第一発見者で犯人と疑われる弥生だが、本当に荷物を返しに来ただけ。弥生にも元カレが殺される理由に思い当たる節はない。警察の調べでは、部屋は荒らされていたが、金銭類が残されていた為、強盗の犯行でもなさそうだ。  　後日、弥生は元カレの葬儀に出席。そこで、弥生は元カレの友人で、尾藤茂久(安藤政信)と名乗る男に声をかけられる。また、尾藤は葬儀場に出入りする中瀬家の面々についても詳しい。弥生が中瀬興産社長の公次郎(志賀廣太郎)に書道を教えるために出入りしていたことや、元カレも社長の世話になっていたことも尾藤は知っていた。あまりの詳しさと胡散臭さに、弥生が職業を尋ねると尾藤は探偵だと答える。  　そして、尾藤は弥生の元カレが殺されたのは、中瀬家の遺言状が消えてしまったことと関係すると言い、弥生にも危険が迫る可能性があると指摘。その言葉通り、弥生のマンションも何者かに荒らされていた。長澤まさみ　  安藤政信　  池脇千鶴　  マイコ　    中井貴一(ナビゲーター)原作:東野圭吾  シャレードがいっぱい(「あの頃の誰か」光文社)  脚本:鎌田哲朗　石井克人　山本健介石井克人　    【企画】  小池秀樹　    【プロデュース】  和田倉和利フジテレビ　ドラマ制作センター</t>
  </si>
  <si>
    <t>青山弥生(長澤まさみ)は、元カレのアパートに、残されていた荷物を返しに行く。部屋のドアの前に荷物だけを置いてさっさと帰ろうと思っていたのだが、何だか様子がおかしい。鍵のかかっていなかったドアを開けて、部屋の中に入り元カレの名前を呼ぶが、返事もない。それもそのはず、部屋の電気を点けると元カレが殺されていた。元カレの手元には、血で“A"が書かれていた。  　弥生の通報で警察官たちが駆けつけた。第一発見者で犯人と疑われる弥生だが、本当に荷物を返しに来ただけ。弥生にも元カレが殺される理由に思い当たる節はない。警察の調べでは、部屋は荒らされていたが、金銭類が残されていた為、強盗の犯行でもなさそうだ。  　後日、弥生は元カレの葬儀に出席。そこで、弥生は元カレの友人で、尾藤茂久(安藤政信)と名乗る男に声をかけられる。また、尾藤は葬儀場に出入りする中瀬家の面々についても詳しい。弥生が中瀬興産社長の公次郎(志賀廣太郎)に書道を教えるために出入りしていたことや、元カレも社長の世話になっていたことも尾藤は知っていた。あまりの詳しさと胡散臭さに、弥生が職業を尋ねると尾藤は探偵だと答える。  　そして、尾藤は弥生の元カレが殺されたのは、中瀬家の遺言状が消えてしまったことと関係すると言い、弥生にも危険が迫る可能性があると指摘。その言葉通り、弥生のマンションも何者かに荒らされていた。</t>
  </si>
  <si>
    <t>番組名&lt;木曜劇場&gt;東野圭吾ミステリーズ　#07</t>
  </si>
  <si>
    <t>ある朝、中町由希子(戸田恵梨香)が働く『みかど出版』で事件が起きる。由希子と同じ販売促進部部長の安部孝三(菅原大吉)が、同部のフロアから転落死していたのが見回りの守衛に発見されたのだ。通報で駆けつけた刑事の田宮准一(ユースケ・サンタマリア)は部下の西岡勝(満島真之介)とともに捜査を始める。  　安部の死亡推定時刻は昨夜の9時から11時頃で、残業をしていたらしい。販売促進部で事情聴取する田宮たちは、安部と残業をしていた由希子に話を聞く。由希子によると安部には変わった様子はなかった。また、一緒に残業をしていた森田寿(平岡祐太)は先に帰ったと言う。  　由希子たちの聴取、現場検証から田宮は、安部は自殺ではないと推測。  しかし、他殺だとしたら、どんな手段で巨漢の安部を突き落としたのかがわからなかった。  　その夜、ひとり帰宅する由希子に何者かが迫る。不安を感じて足早になる由希子の前に現れたのは森田だった。森田は、由希子が刑事たちから何を聞かれたのかを気にしている様子。そんな2人を見つめている人影があった。森田が由希子をアパートに送って行くと、男がいる。中町伸治(千賀健永)…由希子は森田に弟だと教えた。  　次の日、『みかど出版』販売促進部を巡る新たな事件が発生。副部長の佐野行男(木下ほうか)が駅ホームから転落し、電車にはねられたのだ。戸田恵梨香　  ユースケ・サンタマリア　  平岡祐太　  千賀健永(Kis-My-Ft2)　    中井貴一(ナビゲーター)【原作】  東野圭吾　  白い凶器(「犯人のいない殺人の夜」光文社文庫)　    【脚本】  川崎いづみ【演出】  林徹　    【企画】  小池秀樹　    【プロデュース】  石井浩二フジテレビ　ドラマ制作センター</t>
  </si>
  <si>
    <t>ある朝、中町由希子(戸田恵梨香)が働く『みかど出版』で事件が起きる。由希子と同じ販売促進部部長の安部孝三(菅原大吉)が、同部のフロアから転落死していたのが見回りの守衛に発見されたのだ。通報で駆けつけた刑事の田宮准一(ユースケ・サンタマリア)は部下の西岡勝(満島真之介)とともに捜査を始める。  　安部の死亡推定時刻は昨夜の9時から11時頃で、残業をしていたらしい。販売促進部で事情聴取する田宮たちは、安部と残業をしていた由希子に話を聞く。由希子によると安部には変わった様子はなかった。また、一緒に残業をしていた森田寿(平岡祐太)は先に帰ったと言う。  　由希子たちの聴取、現場検証から田宮は、安部は自殺ではないと推測。  しかし、他殺だとしたら、どんな手段で巨漢の安部を突き落としたのかがわからなかった。  　その夜、ひとり帰宅する由希子に何者かが迫る。不安を感じて足早になる由希子の前に現れたのは森田だった。森田は、由希子が刑事たちから何を聞かれたのかを気にしている様子。そんな2人を見つめている人影があった。森田が由希子をアパートに送って行くと、男がいる。中町伸治(千賀健永)…由希子は森田に弟だと教えた。  　次の日、『みかど出版』販売促進部を巡る新たな事件が発生。副部長の佐野行男(木下ほうか)が駅ホームから転落し、電車にはねられたのだ。</t>
  </si>
  <si>
    <t>番組名&lt;木曜劇場&gt;東野圭吾ミステリーズ　#08</t>
  </si>
  <si>
    <t>「FIFA　U-20女子ワールドカップ　ジャパン2012　準々決勝日本×韓国」延長の際、放送時間繰り下げの場合あり。　高校3年生の中岡良(三浦春馬)、佐伯洋子(波瑠)、行原達也(大野拓朗)は、小学校からずっと同じ学校に通う幼なじみで仲の良い3人組。だが、思春期に入ると関係は微妙に変化。洋子と達也が交際を始めたことで、良は悩んでいた。良も密かに洋子に想いを寄せていたからだ。表面的な関係は変わらないが、良は早く高校を卒業して想いを断ち切りたかった。  　そんなある日。衝撃的な事件が起きる。達也が校舎の屋上から転落死したのだ。目撃した生徒によると、達也はひとりで屋上の縁を歩いていて、急にバランスを崩して落下したらしい。捜査にあたった刑事たちは自殺も視野に入れている。だが、良には事故とも自殺とも考えられない。なぜ、達也は死んだのか?その原因が知りたかった。  　次の日、達也のロッカーが何者かに壊されていた。散乱した達也の私物を片付ける洋子のもとに良が駆けつける。昨日は冷静に対処していた洋子もさすがに動揺は隠せない。そんな2人を伺う、人影が…。  　良は達也が立っていた屋上に行く。すると後を追うように女子生徒がやって来て、良に気づかれると慌てて去った。追いかけた良は、担任の井本五郎(近藤公園)に遮られてしまう。事件以来、立ち入り禁止となった屋上の扉の鍵を持ち出したのをとがめられたのだ。だが、良は井本から逃げた女子生徒の名を聞く事が出来た。笠井美代子(三吉彩花)。良は達也の葬儀で気を失った女子生徒を思い出す。三浦春馬　  波瑠　  大野拓朗　  三吉彩花　    中井貴一(ナビゲーター)【原作】  東野圭吾　小さな故意の物語(「犯人のいない殺人の夜」光文社文庫)　    【脚本】  川崎いづみ【演出】  並木道子　    【企画】  小池秀樹　    【プロデュース】  石井浩二フジテレビ　ドラマ制作センター</t>
  </si>
  <si>
    <t>「FIFA　U-20女子ワールドカップ　ジャパン2012　準々決勝日本×韓国」延長の際、放送時間繰り下げの場合あり。　高校3年生の中岡良(三浦春馬)、佐伯洋子(波瑠)、行原達也(大野拓朗)は、小学校からずっと同じ学校に通う幼なじみで仲の良い3人組。だが、思春期に入ると関係は微妙に変化。洋子と達也が交際を始めたことで、良は悩んでいた。良も密かに洋子に想いを寄せていたからだ。表面的な関係は変わらないが、良は早く高校を卒業して想いを断ち切りたかった。  　そんなある日。衝撃的な事件が起きる。達也が校舎の屋上から転落死したのだ。目撃した生徒によると、達也はひとりで屋上の縁を歩いていて、急にバランスを崩して落下したらしい。捜査にあたった刑事たちは自殺も視野に入れている。だが、良には事故とも自殺とも考えられない。なぜ、達也は死んだのか?その原因が知りたかった。  　次の日、達也のロッカーが何者かに壊されていた。散乱した達也の私物を片付ける洋子のもとに良が駆けつける。昨日は冷静に対処していた洋子もさすがに動揺は隠せない。そんな2人を伺う、人影が…。  　良は達也が立っていた屋上に行く。すると後を追うように女子生徒がやって来て、良に気づかれると慌てて去った。追いかけた良は、担任の井本五郎(近藤公園)に遮られてしまう。事件以来、立ち入り禁止となった屋上の扉の鍵を持ち出したのをとがめられたのだ。だが、良は井本から逃げた女子生徒の名を聞く事が出来た。笠井美代子(三吉彩花)。良は達也の葬儀で気を失った女子生徒を思い出す。</t>
  </si>
  <si>
    <t>番組名&lt;木曜劇場&gt;東野圭吾ミステリーズ　#09</t>
  </si>
  <si>
    <t>30歳の誕生日を目の前に控えた飯田智美(広末涼子)は現在失業中。3年前に勤めていた出版社がつぶれ、派遣会社に登録して働いていたのだが、その契約も半月前に切られてしまった。派遣会社から新たに回される仕事も希望にそぐわないものばかりで、イライラが募る日々。  　そんな智美に、短大時代の友人、山下典子(山口紗弥加)から封書が届く。それは典子の結婚をしらせる内容だった。妙齢、独身、就活中の智美には、友人の幸福を素直に喜べない。それでも手紙を読み進めると、最後に彼との写真を同封するとの一文。早速、封書から写真を取り出すと…。当然、智美には初見となる男性の隣に写っている典子まで…初見?10年近く会っていないとは言え、友人の顔を忘れてしまう智美ではない。智美は手紙に書かれた典子の携帯番号に電話するが、つながらない。  　その後、3日間…全く連絡がつかない智美は、失業中の暇を生かして、典子に会いに行く。しかし、アパートには不在。智美は、たまたま帰宅した隣家の桜井祐二(平岳大)に写真を見せると、確かに典子夫婦だと答えてくれるが怪しまれてしまう始末。仕方なく、典子宅に連絡先のメモを残してアパートから退散する智美。その時、智美は誰かに見られている嫌な気配を感じる。  　翌日、智美は典子の夫、昌章(大倉孝二)の勤め先を突き止めて電話する。典子のことを尋ねる智美に、昌章は何かを隠している様子で…。広末涼子　  山口紗弥加　  大倉孝二　    中井貴一(ナビゲーター)【原作】  東野圭吾　結婚報告(「怪しい人びと」光文社文庫)　    【脚本】  寺田敏雄【演出】  村上正典　    【企画】  小池秀樹　    【プロデュース】  小椋久雄フジテレビ　ドラマ制作センター</t>
  </si>
  <si>
    <t>30歳の誕生日を目の前に控えた飯田智美(広末涼子)は現在失業中。3年前に勤めていた出版社がつぶれ、派遣会社に登録して働いていたのだが、その契約も半月前に切られてしまった。派遣会社から新たに回される仕事も希望にそぐわないものばかりで、イライラが募る日々。  　そんな智美に、短大時代の友人、山下典子(山口紗弥加)から封書が届く。それは典子の結婚をしらせる内容だった。妙齢、独身、就活中の智美には、友人の幸福を素直に喜べない。それでも手紙を読み進めると、最後に彼との写真を同封するとの一文。早速、封書から写真を取り出すと…。当然、智美には初見となる男性の隣に写っている典子まで…初見?10年近く会っていないとは言え、友人の顔を忘れてしまう智美ではない。智美は手紙に書かれた典子の携帯番号に電話するが、つながらない。  　その後、3日間…全く連絡がつかない智美は、失業中の暇を生かして、典子に会いに行く。しかし、アパートには不在。智美は、たまたま帰宅した隣家の桜井祐二(平岳大)に写真を見せると、確かに典子夫婦だと答えてくれるが怪しまれてしまう始末。仕方なく、典子宅に連絡先のメモを残してアパートから退散する智美。その時、智美は誰かに見られている嫌な気配を感じる。  　翌日、智美は典子の夫、昌章(大倉孝二)の勤め先を突き止めて電話する。典子のことを尋ねる智美に、昌章は何かを隠している様子で…。</t>
  </si>
  <si>
    <t>番組名&lt;木曜劇場&gt;東野圭吾ミステリーズ　#10</t>
  </si>
  <si>
    <t>山岡亜沙子(篠原涼子)は、村上照彦(田辺誠一)と同棲している。2人の間には将来の約束はなく、それぞれの仕事を充実させた自由で幸せな大人の恋愛関係を送っていた。しかし、亜沙子に子宮筋腫が発覚。医師は今のうちに手術してしまえば子供を産む事も出来ると亜沙子に勧める。  　亜沙子は悩みながらも、病気のことを照彦に話せないでいた。そんな折り、亜沙子は照彦から一生自分の子供を持つつもりはないと言われてしまう。個人の自由だと受け止めようとする亜沙子だが病気のこともあり、照彦への疑念が生まれてしまった。さらに、亜沙子は深夜に照彦がうなされているのも見てしまう。何でもないと取り繕う照彦だが…。  　亜沙子は照彦の行動に不安を感じ、何かと疑い深くなってしまう。それでも、2人の関係は変わろうとはしなかったのだが…。そんなある夜、亜沙子は自分に隠れて電話をしている照彦に気づく。どうやら照彦は、誰かと子供のことについての約束がある様子。亜沙子には子供を持つつもりがないと言っていた照彦がなぜ?　  　亜沙子は、電話の相手と会う約束をした照彦を密かに尾行する。照彦が向かったのは地方の喫茶飲食店。亜沙子が伺っていると、照彦は同年輩の男と連れ立って出て来た。2人が向かった先は墓地だった。彼らが去った後、参っていた墓を確認する亜沙子は、女性に声をかけられて…。篠原涼子　  田辺誠一　  平泉成　  キムラ緑子　    中井貴一(ナビゲーター)【原作】  東野圭吾　  二十年目の約束(「あの頃の誰か」光文社文庫)　    【脚本】  川崎いづみ【演出】  宮本理江子　    【企画】  小池秀樹　    【プロデュース】  石井浩二フジテレビ　ドラマ制作センター</t>
  </si>
  <si>
    <t>山岡亜沙子(篠原涼子)は、村上照彦(田辺誠一)と同棲している。2人の間には将来の約束はなく、それぞれの仕事を充実させた自由で幸せな大人の恋愛関係を送っていた。しかし、亜沙子に子宮筋腫が発覚。医師は今のうちに手術してしまえば子供を産む事も出来ると亜沙子に勧める。  　亜沙子は悩みながらも、病気のことを照彦に話せないでいた。そんな折り、亜沙子は照彦から一生自分の子供を持つつもりはないと言われてしまう。個人の自由だと受け止めようとする亜沙子だが病気のこともあり、照彦への疑念が生まれてしまった。さらに、亜沙子は深夜に照彦がうなされているのも見てしまう。何でもないと取り繕う照彦だが…。  　亜沙子は照彦の行動に不安を感じ、何かと疑い深くなってしまう。それでも、2人の関係は変わろうとはしなかったのだが…。そんなある夜、亜沙子は自分に隠れて電話をしている照彦に気づく。どうやら照彦は、誰かと子供のことについての約束がある様子。亜沙子には子供を持つつもりがないと言っていた照彦がなぜ?　  　亜沙子は、電話の相手と会う約束をした照彦を密かに尾行する。照彦が向かったのは地方の喫茶飲食店。亜沙子が伺っていると、照彦は同年輩の男と連れ立って出て来た。2人が向かった先は墓地だった。彼らが去った後、参っていた墓を確認する亜沙子は、女性に声をかけられて…。</t>
  </si>
  <si>
    <t>番組名&lt;木曜劇場&gt;東野圭吾ミステリーズ　#11</t>
  </si>
  <si>
    <t>中尾章代(鈴木京香)が院長の「中尾レディースクリニック」に根岸峰和(小澤征悦)、千鶴(西田尚美)夫婦がやって来た。章代は不妊治療に取り組む傍ら、それでも子宝に恵まれない夫婦に、望まれずに産まれた子供の養子縁組も行っている。この日、根岸夫婦は章代が手配した子供に会いに来たのだ。千鶴は手放しで喜ぶのだが、峰和は“特別にお持ちした話"という章代の言葉に引っかかるものを感じる。　『根岸コーポレーション』専務の峰和は、社長の義政(竜雷太)の娘、千鶴と結婚した根岸家の婿養子。他人を蹴落とし、なりふり構わず出世して来た峰和が、章代の言葉に疑問を持つのも無理は無い。義政からも、章代とは後腐れのないようにしておけと釘を刺された。  　そんな時、峰和は章代に呼び出される。そこは、峰和がかつてよく使っていた店だった。章代は峰和に養子縁組の5つの条件を確認。それは、赤ちゃんを愛すること。経済的余裕。家庭内不和がない。夫婦ともに健在。そして、夫婦ともに犯罪歴がないこと…。  　そんな章代に、峰和は特別に世話をしてもらった礼だと小切手を渡そうとするが断られてしまう。章代は自ら調べた峰和の経歴が自分に似ていると話す。章代の話に、峰和は、“特別"の意味が自分に気があるということではないかと思い…。鈴木京香　  小澤征悦　  矢田亜希子　  竜雷太　    中井貴一(ナビゲーター)【原作】  東野圭吾　  再生魔術の女(「あの頃の誰か」光文社文庫)　    【脚本】  篠崎絵里子【演出】  河毛俊作　    【プロデュース】  小池秀樹フジテレビ　ドラマ制作センター</t>
  </si>
  <si>
    <t>中尾章代(鈴木京香)が院長の「中尾レディースクリニック」に根岸峰和(小澤征悦)、千鶴(西田尚美)夫婦がやって来た。章代は不妊治療に取り組む傍ら、それでも子宝に恵まれない夫婦に、望まれずに産まれた子供の養子縁組も行っている。この日、根岸夫婦は章代が手配した子供に会いに来たのだ。千鶴は手放しで喜ぶのだが、峰和は“特別にお持ちした話"という章代の言葉に引っかかるものを感じる。　『根岸コーポレーション』専務の峰和は、社長の義政(竜雷太)の娘、千鶴と結婚した根岸家の婿養子。他人を蹴落とし、なりふり構わず出世して来た峰和が、章代の言葉に疑問を持つのも無理は無い。義政からも、章代とは後腐れのないようにしておけと釘を刺された。  　そんな時、峰和は章代に呼び出される。そこは、峰和がかつてよく使っていた店だった。章代は峰和に養子縁組の5つの条件を確認。それは、赤ちゃんを愛すること。経済的余裕。家庭内不和がない。夫婦ともに健在。そして、夫婦ともに犯罪歴がないこと…。  　そんな章代に、峰和は特別に世話をしてもらった礼だと小切手を渡そうとするが断られてしまう。章代は自ら調べた峰和の経歴が自分に似ていると話す。章代の話に、峰和は、“特別"の意味が自分に気があるということではないかと思い…。</t>
  </si>
  <si>
    <t>1207_CX_土23</t>
  </si>
  <si>
    <t>主に泣いてます</t>
  </si>
  <si>
    <t>番組名&lt;土ドラ&gt;主に泣いてます　#01</t>
  </si>
  <si>
    <t>紺野泉(菜々緒)は美しすぎて幸せになれない絶世の不幸美人。顔を合わせるすべての男が命がけで交際を迫ってくるため就職もできず、まともな生活も送れないでいる。そんな泉が運命を悲観し死を考えたとき、日本を代表する画家・美大教授の青山仁(風間トオル)に命を救われる。そして妻・由紀子、通称ゆっこ(安達祐実)がいると知りながら仁の愛人となり“Iの肖像"のモデルを務める日々を送る。妻ゆっこは泉が許せず、絵が売れて入ったお金は全て買い物などに使い果たし、泉には1円も渡さない。そんな彼女の生活をタニマチとして支えているのが、絵画教室の生徒ツンデレ中学生・緑川つね(草刈麻有)だ。向島一の料亭の娘であるつねは泉の境遇を理解し、何かと世話をやく。泉にとってそんなつねは唯一の友人。世間から身を隠しトラブルを避けるためのコスプレも全てつねに買ってもらったものだ。そんなある日、仁がイタリアに行っている間の臨時講師として絵画教室に、天然パーマの美大生・赤松啓介(中丸雄一)がやってくる。つねにデッサンを教えないと仁から単位がもらえないのだ。そんな赤松が教室で目にしたのは、なんと“子泣きじじい!!"。「ほぎゃー」と泣く泉に赤松は驚くが、つねは「これはお前(赤松)のためだから」と言う。ふざけたコスプレを止めさせてつねにデッサンしてもらいたい赤松は、思わず「自分は泉に惚れることはない。なぜなら、ゲイだから」と言ってしまう…紺野泉:　菜々緒　    赤松啓介:　中丸雄一　    緑川つね:　草刈麻有　    トキばあ:　高泉淳子　    小桃宣親:　加藤諒　    駒子:　青山倫子　    勅使河原耕三:　坪倉由幸(我が家)　    カトレアママ:　田島令子　    青山由紀子:　安達祐実　    青山仁:　風間トオル【原作】  東村アキコ作　講談社モーニング「主に泣いてます」　    【脚本】  野木亜紀子　  宇山佳佑【プロデュース】  大木綾子　    【演出】  葉山裕記　  宮木正悟【制作著作】  フジテレビ</t>
  </si>
  <si>
    <t>紺野泉(菜々緒)は美しすぎて幸せになれない絶世の不幸美人。顔を合わせるすべての男が命がけで交際を迫ってくるため就職もできず、まともな生活も送れないでいる。そんな泉が運命を悲観し死を考えたとき、日本を代表する画家・美大教授の青山仁(風間トオル)に命を救われる。そして妻・由紀子、通称ゆっこ(安達祐実)がいると知りながら仁の愛人となり“Iの肖像"のモデルを務める日々を送る。妻ゆっこは泉が許せず、絵が売れて入ったお金は全て買い物などに使い果たし、泉には1円も渡さない。そんな彼女の生活をタニマチとして支えているのが、絵画教室の生徒ツンデレ中学生・緑川つね(草刈麻有)だ。向島一の料亭の娘であるつねは泉の境遇を理解し、何かと世話をやく。泉にとってそんなつねは唯一の友人。世間から身を隠しトラブルを避けるためのコスプレも全てつねに買ってもらったものだ。そんなある日、仁がイタリアに行っている間の臨時講師として絵画教室に、天然パーマの美大生・赤松啓介(中丸雄一)がやってくる。つねにデッサンを教えないと仁から単位がもらえないのだ。そんな赤松が教室で目にしたのは、なんと“子泣きじじい!!"。「ほぎゃー」と泣く泉に赤松は驚くが、つねは「これはお前(赤松)のためだから」と言う。ふざけたコスプレを止めさせてつねにデッサンしてもらいたい赤松は、思わず「自分は泉に惚れることはない。なぜなら、ゲイだから」と言ってしまう…</t>
  </si>
  <si>
    <t>番組名&lt;土ドラ&gt;主に泣いてます　#02</t>
  </si>
  <si>
    <t>ストーカーに追われ夜逃げすることになった泉(菜々緒)だが、トキばあ(高泉淳子)の“下町ばばあネットワーク"の手違いで住む場所が見つからず、美大生・赤松啓介(中丸雄一)の家に居候することになった。もちろん赤松がゲイだと告白したことが大前提だ。泉をタニマチとして支えるツンデレ中学生の緑川つね(草刈麻有)は、なんとなく赤松がゲイであることが信じられない。そればかりか、つねに対し「美大を目指すならもっとしっかり勉強しなきゃ」と真っ直ぐ向かってくる赤松にほのかな恋心を抱き始めていた。つねの親友で気持ちは乙女・見た目は西郷隆盛の小桃宣親(加藤諒)は、そんなつねの恋心をいち早く察する。だけど小桃も赤松を一目で気に入り、2人はライバル?関係に突入!!  　泉は、赤松のアパートで赤松の世話をしながら、ぽつぽつとつねとの出会いや、今の自分の境遇を語り始める。泉が初めて絵画教室にモデルとしてやってきた時のこと、そこで仁嫁・ゆっこ(安達祐実)に出会い青山仁(風間トオル)が結婚していたことを知ったこと、その直後に教室で起きた恐ろしい事件のこと、そんな時、つねに助けてもらい今の自分があること…。  　つねと泉の年の差を越えたつながりを知り、泉から改めてつねの指導を頼まれた赤松だが、自分の課題を提出してなかったことを思い出す。思わず泉にモデルを頼んでしまった赤松だが、それを快く思わないツンデレな女子中学生が1人…。紺野泉:　菜々緒　    赤松啓介:　中丸雄一　    緑川つね:　草刈麻有　    トキばあ:　高泉淳子　    小桃宣親:　加藤諒　    駒子:　青山倫子　    勅使河原耕三:　坪倉由幸(我が家)　    カトレアママ:　田島令子　    青山由紀子:　安達祐実　    青山仁:　風間トオル【原作】  東村アキコ作　講談社モーニング「主に泣いてます」    【脚本】  野木亜紀子　  宇山佳佑【プロデュース】  大木綾子　    【演出】  葉山裕記　  宮木正悟【制作著作】  フジテレビ</t>
  </si>
  <si>
    <t>ストーカーに追われ夜逃げすることになった泉(菜々緒)だが、トキばあ(高泉淳子)の“下町ばばあネットワーク"の手違いで住む場所が見つからず、美大生・赤松啓介(中丸雄一)の家に居候することになった。もちろん赤松がゲイだと告白したことが大前提だ。泉をタニマチとして支えるツンデレ中学生の緑川つね(草刈麻有)は、なんとなく赤松がゲイであることが信じられない。そればかりか、つねに対し「美大を目指すならもっとしっかり勉強しなきゃ」と真っ直ぐ向かってくる赤松にほのかな恋心を抱き始めていた。つねの親友で気持ちは乙女・見た目は西郷隆盛の小桃宣親(加藤諒)は、そんなつねの恋心をいち早く察する。だけど小桃も赤松を一目で気に入り、2人はライバル?関係に突入!!  　泉は、赤松のアパートで赤松の世話をしながら、ぽつぽつとつねとの出会いや、今の自分の境遇を語り始める。泉が初めて絵画教室にモデルとしてやってきた時のこと、そこで仁嫁・ゆっこ(安達祐実)に出会い青山仁(風間トオル)が結婚していたことを知ったこと、その直後に教室で起きた恐ろしい事件のこと、そんな時、つねに助けてもらい今の自分があること…。  　つねと泉の年の差を越えたつながりを知り、泉から改めてつねの指導を頼まれた赤松だが、自分の課題を提出してなかったことを思い出す。思わず泉にモデルを頼んでしまった赤松だが、それを快く思わないツンデレな女子中学生が1人…。</t>
  </si>
  <si>
    <t>番組名&lt;土ドラ&gt;主に泣いてます　#03</t>
  </si>
  <si>
    <t>仁先生(風間トオル)がイタリアから戻ってきた。アトリエでは「仁先生おかえりパーティー」で大騒ぎ。愛人である泉(菜々緒)は、いそいそと仁からもらったワンピースを着てかけつけるが、そこで思わぬ攻撃を受けてしまう…。  　ある日の朝、泉は居候している赤松(中丸雄一)のアパートでお弁当を作っていた。赤松が何をしているのか尋ねると、仁に誘われて海に行くのだという。それを聞いた赤松は何となく複雑な気持ちに…。　そんな赤松が大学のキャンパスで、泉についでに作ってもらったお弁当を見つめながらため息をついていた時、仁が女子学生とちゃらちゃらふざけているのを見つける。仁は泉との約束をすっかり忘れていたのだ。　  　一方、泉はアトリエの前で仁を待ち続けていた。そこへ通りがかったのはなんと、本妻・ゆっこ(安達祐実)。お弁当をゆっこに見つけられて問いただされた泉は仕方なく、仁と海へ行く約束だと答える。　激高したゆっこは、そのまま車で泉を拉致。泉と仁の思い出の海へと無理やり案内させる。恐怖におびえる泉…。SOSをつね(草刈麻有)の携帯にメールする。そんな事態を察知したいつもの面々、赤松、つね、トキばあ(高泉淳子)、小桃(加藤諒)、そして仁は、仁の車に乗り後を追う。一行は果たして、ゆっこから泉を救い出すことができるのだろうか?紺野泉:　菜々緒　    赤松啓介:　中丸雄一　    緑川つね:　草刈麻有　    トキばあ:　高泉淳子　    小桃宣親:　加藤諒　    駒子:　青山倫子　    勅使河原耕三:　坪倉由幸(我が家)　    カトレアママ:　田島令子　    青山由紀子:　安達祐実　    青山仁:　風間トオル【原作】  東村アキコ作　講談社モーニング「主に泣いてます」    【脚本】  野木亜紀子　  宇山佳佑【プロデュース】  大木綾子　    【演出】  葉山裕記　  宮木正悟【制作著作】  フジテレビ</t>
  </si>
  <si>
    <t>仁先生(風間トオル)がイタリアから戻ってきた。アトリエでは「仁先生おかえりパーティー」で大騒ぎ。愛人である泉(菜々緒)は、いそいそと仁からもらったワンピースを着てかけつけるが、そこで思わぬ攻撃を受けてしまう…。  　ある日の朝、泉は居候している赤松(中丸雄一)のアパートでお弁当を作っていた。赤松が何をしているのか尋ねると、仁に誘われて海に行くのだという。それを聞いた赤松は何となく複雑な気持ちに…。　そんな赤松が大学のキャンパスで、泉についでに作ってもらったお弁当を見つめながらため息をついていた時、仁が女子学生とちゃらちゃらふざけているのを見つける。仁は泉との約束をすっかり忘れていたのだ。　  　一方、泉はアトリエの前で仁を待ち続けていた。そこへ通りがかったのはなんと、本妻・ゆっこ(安達祐実)。お弁当をゆっこに見つけられて問いただされた泉は仕方なく、仁と海へ行く約束だと答える。　激高したゆっこは、そのまま車で泉を拉致。泉と仁の思い出の海へと無理やり案内させる。恐怖におびえる泉…。SOSをつね(草刈麻有)の携帯にメールする。そんな事態を察知したいつもの面々、赤松、つね、トキばあ(高泉淳子)、小桃(加藤諒)、そして仁は、仁の車に乗り後を追う。一行は果たして、ゆっこから泉を救い出すことができるのだろうか?</t>
  </si>
  <si>
    <t>番組名&lt;土ドラ&gt;主に泣いてます　#04</t>
  </si>
  <si>
    <t>「ロンドンオリンピック　2012バレーボール女子　3位決定戦」延長の際、放送時間繰り下げの場合あり。　仁嫁・ゆっこ(安達祐実)との悪夢のドライブから、つね(草刈麻有)の助けにより生還した泉(菜々緒)。しかし仁(風間トオル)が嫁とそのまま温泉に行ってしまったことで、泉はさらに落ち込む。そんな泉に追い打ちをかけるように次々に面倒な男たちが現れる。  　向島で有名な老舗の柳寿司の1人息子・柳さん(渋川清彦)は、泉に惚れ込み行方を必死に追っている男の1人だ。喫茶カトレアで、泉を心配した赤松(中丸雄一)が、トキばあ(高泉淳子)や小桃(加藤諒)を巻き込み、なんとか泉に元気になってもらいたいと奮闘していると、カトレアママ(田島令子)の手違いで柳さんが出前に現れ、泉と鉢合わせに…。必死に逃げる泉に、つねは柳さん撃退の絶対的秘策を命じる。  　「向島血の3日間」を必死で追っている勅使河原警官(坪倉由幸)は、この事件の捜査で、唯一得た手がかり「美人」を突き止めるべく、とうとうあるモノに目を付ける。そしてこの事件、泉と一体どんな関係があるのか。勅使河原警官はついに衝撃の真実に直面する!  　一難去ってまた一難、今度は泉の前に国民的人気ロックスター、無敵ソラまさや(ダイアモンド☆ユカイ)が現れる。カリスマスターとはいえ、まさやも泉を一目見た瞬間に恋の虜となり、武装したグルーピー(まさやガールズ)らとともに、泉史上最強のストーカーと化す。面倒な男たちに囲まれ、窮地に陥った泉を救ったのはやはり…!紺野泉:　菜々緒　    赤松啓介:　中丸雄一　    緑川つね:　草刈麻有　    トキばあ:　高泉淳子　    小桃宣親:　加藤諒　    駒子:　青山倫子　    勅使河原耕三:　坪倉由幸(我が家)　    カトレアママ:　田島令子　    青山由紀子:　安達祐実　    青山仁:　風間トオル【原作】  東村アキコ作　講談社モーニング「主に泣いてます」    【脚本】  野木亜紀子　  宇山佳佑【プロデュース】  大木綾子　    【演出】  葉山裕記　  宮木正悟【制作著作】  フジテレビ</t>
  </si>
  <si>
    <t>「ロンドンオリンピック　2012バレーボール女子　3位決定戦」延長の際、放送時間繰り下げの場合あり。　仁嫁・ゆっこ(安達祐実)との悪夢のドライブから、つね(草刈麻有)の助けにより生還した泉(菜々緒)。しかし仁(風間トオル)が嫁とそのまま温泉に行ってしまったことで、泉はさらに落ち込む。そんな泉に追い打ちをかけるように次々に面倒な男たちが現れる。  　向島で有名な老舗の柳寿司の1人息子・柳さん(渋川清彦)は、泉に惚れ込み行方を必死に追っている男の1人だ。喫茶カトレアで、泉を心配した赤松(中丸雄一)が、トキばあ(高泉淳子)や小桃(加藤諒)を巻き込み、なんとか泉に元気になってもらいたいと奮闘していると、カトレアママ(田島令子)の手違いで柳さんが出前に現れ、泉と鉢合わせに…。必死に逃げる泉に、つねは柳さん撃退の絶対的秘策を命じる。  　「向島血の3日間」を必死で追っている勅使河原警官(坪倉由幸)は、この事件の捜査で、唯一得た手がかり「美人」を突き止めるべく、とうとうあるモノに目を付ける。そしてこの事件、泉と一体どんな関係があるのか。勅使河原警官はついに衝撃の真実に直面する!  　一難去ってまた一難、今度は泉の前に国民的人気ロックスター、無敵ソラまさや(ダイアモンド☆ユカイ)が現れる。カリスマスターとはいえ、まさやも泉を一目見た瞬間に恋の虜となり、武装したグルーピー(まさやガールズ)らとともに、泉史上最強のストーカーと化す。面倒な男たちに囲まれ、窮地に陥った泉を救ったのはやはり…!</t>
  </si>
  <si>
    <t>番組名&lt;土ドラ&gt;主に泣いてます　#05</t>
  </si>
  <si>
    <t>赤松(中丸雄一)は仁(風間トオル)の勧めで全画展に応募することになった。しかもモデルは泉(菜々緒)だ。仁に泉を描く許可をもらった赤松は泉にそれを告げる…と、泉は「仁はもう自分を描く気がないのだ…」と泣き、小桃(加藤諒)は「たった一作で赤松にポイ捨てされた…」と泣き、そしてなぜかトキばあ(高泉淳子)が「全画展に自分も出展する」と言い出しアトリエは大騒ぎ!  　そんな赤松につね(草刈麻有)は、コスプレしていない泉を描くと惚れると忠告する。そしてその場合赤松は敵だと…。  　隅田川をバックに赤松が泉の絵を描き始めた時、突然雨が降り落ちてくる。片づけを始めた赤松の手が止まり、その視線の先には雨に打たれる美しい泉の姿が…。5分だけそのままでいて欲しいと泉に頼み、無我夢中で赤松はキャンバスに向かう。  　帰り道、一行は柳寿司の柳さん(渋川清彦)に出会う。あわてて泉を隠すが、絵を見つけられてしまう。柳さんは絵を売ってくれと土下座して頼む。すると20万円でつねが即断で売ってしまう。  　落ち込む赤松…その姿を見たつねは、柳寿司に絵を取り戻しに行くが、結局持ち帰った時には絵はボロボロになってしまっていた。絵を前にしてトキばあと小桃に赤松への恋心を言い当てられてしまったつねは、ツンデレモード最高潮、なんと絵を切り裂いてしまう…。  　果たして、赤松はもう一度泉の絵が描けるのか?ツンデレなつねの初恋の行方は…?紺野泉:　菜々緒　    赤松啓介:　中丸雄一　    緑川つね:　草刈麻有　    トキばあ:　高泉淳子　    小桃宣親:　加藤諒　    駒子:　青山倫子　    勅使河原耕三:　坪倉由幸(我が家)　    カトレアママ:　田島令子　    青山由紀子:　安達祐実　    青山仁:　風間トオル【原作】  東村アキコ作　講談社モーニング「主に泣いてます」　    【脚本】  野木亜紀子　  宇山佳佑【プロデュース】  大木綾子　    【演出】  葉山裕記　  宮木正悟【制作著作】  フジテレビ</t>
  </si>
  <si>
    <t>赤松(中丸雄一)は仁(風間トオル)の勧めで全画展に応募することになった。しかもモデルは泉(菜々緒)だ。仁に泉を描く許可をもらった赤松は泉にそれを告げる…と、泉は「仁はもう自分を描く気がないのだ…」と泣き、小桃(加藤諒)は「たった一作で赤松にポイ捨てされた…」と泣き、そしてなぜかトキばあ(高泉淳子)が「全画展に自分も出展する」と言い出しアトリエは大騒ぎ!  　そんな赤松につね(草刈麻有)は、コスプレしていない泉を描くと惚れると忠告する。そしてその場合赤松は敵だと…。  　隅田川をバックに赤松が泉の絵を描き始めた時、突然雨が降り落ちてくる。片づけを始めた赤松の手が止まり、その視線の先には雨に打たれる美しい泉の姿が…。5分だけそのままでいて欲しいと泉に頼み、無我夢中で赤松はキャンバスに向かう。  　帰り道、一行は柳寿司の柳さん(渋川清彦)に出会う。あわてて泉を隠すが、絵を見つけられてしまう。柳さんは絵を売ってくれと土下座して頼む。すると20万円でつねが即断で売ってしまう。  　落ち込む赤松…その姿を見たつねは、柳寿司に絵を取り戻しに行くが、結局持ち帰った時には絵はボロボロになってしまっていた。絵を前にしてトキばあと小桃に赤松への恋心を言い当てられてしまったつねは、ツンデレモード最高潮、なんと絵を切り裂いてしまう…。  　果たして、赤松はもう一度泉の絵が描けるのか?ツンデレなつねの初恋の行方は…?</t>
  </si>
  <si>
    <t>番組名&lt;土ドラ&gt;主に泣いてます　#06</t>
  </si>
  <si>
    <t>向島の恋慕情は嵐の予感…。  赤松(中丸雄一)とTOKIX(高泉淳子)が出展した全画展の審査が行われている。赤松が雨の中、泉(菜々緒)を描いた絵のタイトルはなんと“Iの肖像"…!仁(風間トオル)が描くシリーズと同じタイトルだ。仁に対して攻撃的な赤松を微笑ましく思いながら、審査会場で赤松の絵を見た仁は、言葉を失ってしまう…。  　赤松の絵の完成品が見たくて泉はコスプレをして審査会場に現れる。そこで仁に見つかり、「こんな所に来てはだめだろう」と怒られ、落ち込む。そんな泉を見て、赤松は、「仁先生が泉さんの行動を制限する権利はないと思います」と仁に対し挑戦的に言い放ってしまう。仁は、赤松の態度で何かを確信し…立ち去る。  　新人賞の賞品がフィレンツェ留学と知り、赤松かTOKIXのどちらが新人賞を取るか仲間内で盛り上がる。つね(草刈麻有)は、もし、赤松が受賞してしまったら…、もし泉をフィレンツェに連れていくことを望んでいたら…と気が気ではない。  　そして授賞式の日、泉はつねとともに会場を訪れる。審査員である仁の絵も展示してあるはずで、それを泉は見たかったのだ。そこで泉が目にした仁の描いた“Iの肖像"とは…絵を見た後に泉がとった行動は…。  　泉は、赤松は、つねは、仁は…それぞれの恋の行方は…?紺野泉:　菜々緒　    赤松啓介:　中丸雄一　    緑川つね:　草刈麻有　    トキばあ:　高泉淳子　    小桃宣親:　加藤諒　    駒子:　青山倫子　    勅使河原耕三:　坪倉由幸(我が家)　    カトレアママ:　田島令子　    青山由紀子:　安達祐実　    青山仁:　風間トオル　    ほか【原作】  東村アキコ作　講談社モーニング「主に泣いてます」　    【脚本】  野木亜紀子　  宇山佳佑【プロデュース】  大木綾子　    【演出】  葉山裕記　  宮木正悟【制作著作】  フジテレビ</t>
  </si>
  <si>
    <t>向島の恋慕情は嵐の予感…。  赤松(中丸雄一)とTOKIX(高泉淳子)が出展した全画展の審査が行われている。赤松が雨の中、泉(菜々緒)を描いた絵のタイトルはなんと“Iの肖像"…!仁(風間トオル)が描くシリーズと同じタイトルだ。仁に対して攻撃的な赤松を微笑ましく思いながら、審査会場で赤松の絵を見た仁は、言葉を失ってしまう…。  　赤松の絵の完成品が見たくて泉はコスプレをして審査会場に現れる。そこで仁に見つかり、「こんな所に来てはだめだろう」と怒られ、落ち込む。そんな泉を見て、赤松は、「仁先生が泉さんの行動を制限する権利はないと思います」と仁に対し挑戦的に言い放ってしまう。仁は、赤松の態度で何かを確信し…立ち去る。  　新人賞の賞品がフィレンツェ留学と知り、赤松かTOKIXのどちらが新人賞を取るか仲間内で盛り上がる。つね(草刈麻有)は、もし、赤松が受賞してしまったら…、もし泉をフィレンツェに連れていくことを望んでいたら…と気が気ではない。  　そして授賞式の日、泉はつねとともに会場を訪れる。審査員である仁の絵も展示してあるはずで、それを泉は見たかったのだ。そこで泉が目にした仁の描いた“Iの肖像"とは…絵を見た後に泉がとった行動は…。  　泉は、赤松は、つねは、仁は…それぞれの恋の行方は…?</t>
  </si>
  <si>
    <t>番組名&lt;土ドラ&gt;主に泣いてます　#07</t>
  </si>
  <si>
    <t>アトリエでは、赤松(中丸雄一)、つね(草刈麻有)、トキばあ(高泉淳子)、小桃(加藤諒)によって、仁(風間トオル)に捨てられた泉(菜々緒)をなぐさめる「ふられてBANZAI～愛人だった私にキレイにサヨナラParty～」が行われていた。仁の事が忘れられず泣きっぱなしの泉、そこへ傷口に塩を塗るように現れる仁嫁・ゆっこ(安達祐実)。ゆっこの辛さをひしと感じ、更に死にたくなっていく泉。過去の呪縛に捕われる泉を救うべく、赤松は泉の禁断の過去に踏み込んでいく。  　泉が中学3年の時、落ちぶれた旅館を建て直すために、実の父が泉にあることを強要していた。学校では美人だということでいじめられ、さらに教師に襲われるという事件も起き、追い詰められた泉は郷里を離れ東京に行くしかなかった。その後、泉を更に郷里から遠ざけたのは3年前。妹・のぞみ(田辺愛美)の結婚話を聞いた泉は、ただ一言“おめでとう"が言いたくて式場に駆け付けつける。そこで、のぞみの婚約者・悟史(ナオト・インティライミ)に遭遇…結果は…。またも血の惨劇が起きてしまう。そしてのぞみに決定的な一言を言われてしまう。  　話を聞いた赤松は、泉とのぞみを会わせようとみんなに提案する。  　赤松、つね、トキばあ、小桃、そして勅使河原警官(坪倉由幸)がのぞみの元を訪ねると、そこにはわかりやすく落ちぶれた姿が。果たして、泉とのぞみを仲直りさせることはできるのか?紺野泉:　菜々緒　    赤松啓介:　中丸雄一　    緑川つね:　草刈麻有　    トキばあ:　高泉淳子　    小桃宣親:　加藤諒　    駒子:　青山倫子　    勅使河原耕三:　坪倉由幸(我が家)　    カトレアママ:　田島令子　    青山由紀子:　安達祐実　    青山仁:　風間トオル　    【7、8話のみ】  吟遊詩人・悟史:　ナオト・インティライミ　    紺野のぞみ:　田辺愛美　    ほか【原作】  東村アキコ作　講談社モーニング「主に泣いてます」　    【脚本】  野木亜紀子　  宇山佳佑【プロデュース】  大木綾子　    【演出】  葉山裕記　  宮木正悟【制作著作】  フジテレビ</t>
  </si>
  <si>
    <t>アトリエでは、赤松(中丸雄一)、つね(草刈麻有)、トキばあ(高泉淳子)、小桃(加藤諒)によって、仁(風間トオル)に捨てられた泉(菜々緒)をなぐさめる「ふられてBANZAI～愛人だった私にキレイにサヨナラParty～」が行われていた。仁の事が忘れられず泣きっぱなしの泉、そこへ傷口に塩を塗るように現れる仁嫁・ゆっこ(安達祐実)。ゆっこの辛さをひしと感じ、更に死にたくなっていく泉。過去の呪縛に捕われる泉を救うべく、赤松は泉の禁断の過去に踏み込んでいく。  　泉が中学3年の時、落ちぶれた旅館を建て直すために、実の父が泉にあることを強要していた。学校では美人だということでいじめられ、さらに教師に襲われるという事件も起き、追い詰められた泉は郷里を離れ東京に行くしかなかった。その後、泉を更に郷里から遠ざけたのは3年前。妹・のぞみ(田辺愛美)の結婚話を聞いた泉は、ただ一言“おめでとう"が言いたくて式場に駆け付けつける。そこで、のぞみの婚約者・悟史(ナオト・インティライミ)に遭遇…結果は…。またも血の惨劇が起きてしまう。そしてのぞみに決定的な一言を言われてしまう。  　話を聞いた赤松は、泉とのぞみを会わせようとみんなに提案する。  　赤松、つね、トキばあ、小桃、そして勅使河原警官(坪倉由幸)がのぞみの元を訪ねると、そこにはわかりやすく落ちぶれた姿が。果たして、泉とのぞみを仲直りさせることはできるのか?</t>
  </si>
  <si>
    <t>番組名&lt;土ドラ&gt;主に泣いてます　#08</t>
  </si>
  <si>
    <t>仁(風間トオル)の身に何かが起きた…。  　泉(菜々緒)と別れても一向に家に戻らない仁に対し、寂しさMAXの仁嫁・ゆっこ(安達祐実)。ある矛盾を抱えつつ、泉のホームグラウンドのアトリエで、赤松(中丸雄一)、トキばあ(高泉淳子)、小桃(加藤諒)、勅使河原警官(坪倉由幸)ら、向島の連中を相手に興奮気味。  　その姿をあざ笑うかのように鳴り続ける携帯電話…でもゆっこは気がつかない…。　赤松たちは、泉の妹・のぞみ(田辺愛美)の元婚約者で吟遊詩人となってしまった悟史(ナオト・インティライミ)を探し、泉とのぞみを会わせようとする。警官であるテッシーが活躍する出番だ。悟史がいる場所を見つけた一行は、のぞみを連れて行く。そこに現れるヤンママコスプレの泉。悟史の反応は…?のぞみと泉は仲直りすることができるのか?　一方つね(草刈麻有)は、赤松への恋心を封印し泉の幸せについて悩み、赤松にある決意を告げる。果たして、泉の出した結論は?赤松のフィレンツェ行きについていくのだろうか?ツンデレなつねの初恋の行方は?紺野泉:　菜々緒　    赤松啓介:　中丸雄一　    緑川つね:　草刈麻有　    トキばあ:　高泉淳子　    小桃宣親:　加藤諒　    駒子:　青山倫子　    勅使河原耕三:　坪倉由幸(我が家)　    カトレアママ:　田島令子　    青山由紀子:　安達祐実　    青山仁:　風間トオル　    吟遊詩人・悟史:　ナオト・インティライミ　  紺野のぞみ:　田辺愛美　    ほか【原作】  東村アキコ作　講談社モーニング「主に泣いてます」　    【脚本】  野木亜紀子　  宇山佳佑【プロデュース】  大木綾子　    【演出】  葉山裕記　  宮木正悟【制作著作】  フジテレビ</t>
  </si>
  <si>
    <t>仁(風間トオル)の身に何かが起きた…。  　泉(菜々緒)と別れても一向に家に戻らない仁に対し、寂しさMAXの仁嫁・ゆっこ(安達祐実)。ある矛盾を抱えつつ、泉のホームグラウンドのアトリエで、赤松(中丸雄一)、トキばあ(高泉淳子)、小桃(加藤諒)、勅使河原警官(坪倉由幸)ら、向島の連中を相手に興奮気味。  　その姿をあざ笑うかのように鳴り続ける携帯電話…でもゆっこは気がつかない…。　赤松たちは、泉の妹・のぞみ(田辺愛美)の元婚約者で吟遊詩人となってしまった悟史(ナオト・インティライミ)を探し、泉とのぞみを会わせようとする。警官であるテッシーが活躍する出番だ。悟史がいる場所を見つけた一行は、のぞみを連れて行く。そこに現れるヤンママコスプレの泉。悟史の反応は…?のぞみと泉は仲直りすることができるのか?　一方つね(草刈麻有)は、赤松への恋心を封印し泉の幸せについて悩み、赤松にある決意を告げる。果たして、泉の出した結論は?赤松のフィレンツェ行きについていくのだろうか?ツンデレなつねの初恋の行方は?</t>
  </si>
  <si>
    <t>1207_CX_日21</t>
  </si>
  <si>
    <t>ビューティフルレイン</t>
  </si>
  <si>
    <t>番組名&lt;ドラマチックサンデー&gt;ビューティフルレイン　#01</t>
  </si>
  <si>
    <t>木下圭介(豊川悦司)とひとり娘の美雨(芦田愛菜)は、東京の下町にある小さな金属加工工場『中村産業』の離れで暮らしている。圭介の妻・妙子は8年前、美雨の命と引きかえにこの世を去っていた。大手建設会社に勤務していた圭介は、会社を辞めて中村産業に転職していた。美雨を小学校に送り出した圭介は、彼女の忘れ物に気づき、学校まで届ける。中村産業社長の中村富美夫(蟹江敬三)や妻の千恵子(丘みつ子)、後輩工員の勝田秋生(三浦翔平)らは、過保護過ぎると圭介をからかいつつも、この父娘を温かく見守っていた。そんな折、思わぬ事態が起きる。先輩工員の宗田清(でんでん)に頼まれた秋生が工場内の荷物を動かしたところ、バランスが崩れ、圭介の頭に当たってしまったのだ。意識を失った圭介は病院に運ばれるが、すぐに意識を取り戻した。  　あくる朝、圭介は、遠足に行く美雨の弁当を用意し忘れ、慌てて作り始める。約束していた水筒も買い忘れていることを知った美雨の姿を見た圭介は、金物店に無理を聞いてもらい水筒を購入する。嬉しさとともに遠足に出かけた美雨は、バスの中で友だちの新井小太郎(高木星来)から“口裂けオヤジ"の都市伝説を聞く。  　圭介は、時おり物忘れをしていたが、一時的なものだったため気に留めずにいた。そんな中、圭介は工場を覗きこんでいる女性の姿に気づく。それは、富美夫の娘で、結婚して家を出た西脇アカネ(中谷美紀)だった。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水田成英平沢敦士フジテレビ　    【制作著作】  共同テレビ</t>
  </si>
  <si>
    <t>木下圭介(豊川悦司)とひとり娘の美雨(芦田愛菜)は、東京の下町にある小さな金属加工工場『中村産業』の離れで暮らしている。圭介の妻・妙子は8年前、美雨の命と引きかえにこの世を去っていた。大手建設会社に勤務していた圭介は、会社を辞めて中村産業に転職していた。美雨を小学校に送り出した圭介は、彼女の忘れ物に気づき、学校まで届ける。中村産業社長の中村富美夫(蟹江敬三)や妻の千恵子(丘みつ子)、後輩工員の勝田秋生(三浦翔平)らは、過保護過ぎると圭介をからかいつつも、この父娘を温かく見守っていた。そんな折、思わぬ事態が起きる。先輩工員の宗田清(でんでん)に頼まれた秋生が工場内の荷物を動かしたところ、バランスが崩れ、圭介の頭に当たってしまったのだ。意識を失った圭介は病院に運ばれるが、すぐに意識を取り戻した。  　あくる朝、圭介は、遠足に行く美雨の弁当を用意し忘れ、慌てて作り始める。約束していた水筒も買い忘れていることを知った美雨の姿を見た圭介は、金物店に無理を聞いてもらい水筒を購入する。嬉しさとともに遠足に出かけた美雨は、バスの中で友だちの新井小太郎(高木星来)から“口裂けオヤジ"の都市伝説を聞く。  　圭介は、時おり物忘れをしていたが、一時的なものだったため気に留めずにいた。そんな中、圭介は工場を覗きこんでいる女性の姿に気づく。それは、富美夫の娘で、結婚して家を出た西脇アカネ(中谷美紀)だった。</t>
  </si>
  <si>
    <t>番組名&lt;ドラマチックサンデー&gt;ビューティフルレイン　#02</t>
  </si>
  <si>
    <t>木下圭介(豊川悦司)は、若年性アルツハイマー病と診断されたことを、娘の美雨(芦田愛菜)をはじめ、誰にも言えずにいた。美雨は圭介の様子を友達の新井小太郎(高木星来)に相談する。同じ頃、「中村産業」では社長の中村富美夫(蟹江敬三)が圭介に、翌日行われる大事な取引先との打ち合わせで使う資料を手渡しするついでに、娘の西脇アカネ(中谷美紀)の事情を聞いてないか探りを入れる。しかし妻の千恵子(丘みつ子)にせっつかれて、アカネ本人から聞き出そうと富美夫は声をかけるが、結局、何も聞けずに終わった。アカネが本屋にいると、仕事を終えた圭介が入ってきた。圭介はアカネの存在に気付かず、アルツハイマーの本を手にレジへ向かう。アカネに声をかけられた圭介は人に頼まれたと言いながら本を隠すように持って足早に去っていく。その夜、美雨が寝たのを確認した圭介は、買ってきた本やパソコンで病気の症状や介護施設について、いろいろ調べるのだった。翌日、病気のことが頭から離れない圭介を、勝田秋生(三浦翔平)がからかってきた。そんな中、圭介が打ち合わせ時間を過ぎても来ないと取引先から連絡が入る。思い出せずに呆然とするが、ようやく思い出し慌てて先方の会社へ。その帰り道、昨晩調べた介護施設に立ち寄るが、入居者の現状を見て愕然とする。帰ってきた圭介は、秋生から美雨の誕生日パーティーが始まると聞かされ、慌ててプレゼントを買いに急ぐ。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水田成英平沢敦士フジテレビ　    【制作著作】  共同テレビ</t>
  </si>
  <si>
    <t>木下圭介(豊川悦司)は、若年性アルツハイマー病と診断されたことを、娘の美雨(芦田愛菜)をはじめ、誰にも言えずにいた。美雨は圭介の様子を友達の新井小太郎(高木星来)に相談する。同じ頃、「中村産業」では社長の中村富美夫(蟹江敬三)が圭介に、翌日行われる大事な取引先との打ち合わせで使う資料を手渡しするついでに、娘の西脇アカネ(中谷美紀)の事情を聞いてないか探りを入れる。しかし妻の千恵子(丘みつ子)にせっつかれて、アカネ本人から聞き出そうと富美夫は声をかけるが、結局、何も聞けずに終わった。アカネが本屋にいると、仕事を終えた圭介が入ってきた。圭介はアカネの存在に気付かず、アルツハイマーの本を手にレジへ向かう。アカネに声をかけられた圭介は人に頼まれたと言いながら本を隠すように持って足早に去っていく。その夜、美雨が寝たのを確認した圭介は、買ってきた本やパソコンで病気の症状や介護施設について、いろいろ調べるのだった。翌日、病気のことが頭から離れない圭介を、勝田秋生(三浦翔平)がからかってきた。そんな中、圭介が打ち合わせ時間を過ぎても来ないと取引先から連絡が入る。思い出せずに呆然とするが、ようやく思い出し慌てて先方の会社へ。その帰り道、昨晩調べた介護施設に立ち寄るが、入居者の現状を見て愕然とする。帰ってきた圭介は、秋生から美雨の誕生日パーティーが始まると聞かされ、慌ててプレゼントを買いに急ぐ。</t>
  </si>
  <si>
    <t>番組名&lt;ドラマチックサンデー&gt;ビューティフルレイン　#03</t>
  </si>
  <si>
    <t>病気と向き合うことを決意した木下圭介(豊川悦司)は、医師の古賀豊(安田顕)から受け取った生活の心構えや注意すべき点などが書かれた冊子に従い、禁煙や苦手なカボチャを食べたり、予定をメモに残すなどの行動を始めた。いつもと違う行動をする圭介に何か隠していると勘ぐる美雨(芦田愛菜)の追及に、隠し事はしていないとごまかす圭介。  　小学校で美雨や新井小太郎(高木星来)ら生徒たちに作文書きの宿題が出された。『私の宝物』という題で、翌日に行われる授業参観で発表する作文と聞いて、美雨は何を書けばいいのか困惑する。同じ頃、「中村産業」に、数日前に圭介が打ち合わせをすっぽかしてしまった取引先から注文が入った。ただし、翌朝までに大量に納品しなくてはならず、全員気合いを入れてのハイペースな作業が続く。途中、工場に西脇アカネ(中谷美紀)あてに、夫の西脇拓哉からの荷物が届いた。受け取ったアカネはさっさと自分の部屋に戻ってしまい、何も聞けない中村富美夫(蟹江敬三)と千恵子(丘みつ子)は、心配をする。  　作業の合間で美雨と夕食を食べていた圭介は、翌日の授業参観はスーツで決めて行くと宣言しつつ、今夜は仕事が遅くなるから先に眠っているように話す。素直にうなずいた美雨だが、宿題の作文がいまだに書けず、自分の部屋に戻ると白紙の原稿用紙を前に頭を悩ませる。一方、荷物を開封したアカネの手にはアルツハイマーの本があり…。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小林義則平沢敦士フジテレビ　    【制作著作】  共同テレビ</t>
  </si>
  <si>
    <t>病気と向き合うことを決意した木下圭介(豊川悦司)は、医師の古賀豊(安田顕)から受け取った生活の心構えや注意すべき点などが書かれた冊子に従い、禁煙や苦手なカボチャを食べたり、予定をメモに残すなどの行動を始めた。いつもと違う行動をする圭介に何か隠していると勘ぐる美雨(芦田愛菜)の追及に、隠し事はしていないとごまかす圭介。  　小学校で美雨や新井小太郎(高木星来)ら生徒たちに作文書きの宿題が出された。『私の宝物』という題で、翌日に行われる授業参観で発表する作文と聞いて、美雨は何を書けばいいのか困惑する。同じ頃、「中村産業」に、数日前に圭介が打ち合わせをすっぽかしてしまった取引先から注文が入った。ただし、翌朝までに大量に納品しなくてはならず、全員気合いを入れてのハイペースな作業が続く。途中、工場に西脇アカネ(中谷美紀)あてに、夫の西脇拓哉からの荷物が届いた。受け取ったアカネはさっさと自分の部屋に戻ってしまい、何も聞けない中村富美夫(蟹江敬三)と千恵子(丘みつ子)は、心配をする。  　作業の合間で美雨と夕食を食べていた圭介は、翌日の授業参観はスーツで決めて行くと宣言しつつ、今夜は仕事が遅くなるから先に眠っているように話す。素直にうなずいた美雨だが、宿題の作文がいまだに書けず、自分の部屋に戻ると白紙の原稿用紙を前に頭を悩ませる。一方、荷物を開封したアカネの手にはアルツハイマーの本があり…。</t>
  </si>
  <si>
    <t>番組名&lt;ドラマチックサンデー&gt;ビューティフルレイン　#04</t>
  </si>
  <si>
    <t>木下圭介(豊川悦司)は、病気のことを愛娘の美雨(芦田愛菜)に打ち明けた。しかし、治らない病気だとはどうしても言うことができず、薬を飲んでいればすぐに治ると嘘をついてしまう。小学校が夏休みに入った。圭介は、夏休み中も規則正しい生活を送るよう美雨に話した。その際、圭介は、病気のことは中村富美夫(蟹江敬三)や千恵子(丘みつ子)らに言わないよう口止めをする。  　ラジオ体操に出かけた美雨は、友だちの新井小太郎(高木星来)から四葉のクローバーのキーホルダーを見せられる。四葉のクローバーは“魔法の葉っぱ"で、4つ集めて願い事を書いた紙にはさんでおけばどんな願い事も叶う、と聞かされ驚く美雨。  　家に戻った美雨は、図鑑で四葉のクローバーを調べ、そのページに「父ちゃんのびょうきが早くなおりますように」と書いた紙を挟んで、探しに出かける。圭介は、富美夫には腹痛だと言って病院へと向かう。診察の後、圭介は、主治医の古賀豊(安田顕)に仕事のことを相談した。古賀は、初期段階である現在は仕事を続けることも十分可能としながらも、このまま続けていくためには職場の理解と協力が必要だと告げる。  　一方、炎天下の中で四葉のクローバー探しに夢中になっている美雨。必死で四葉のクローバーを探し続けていた。が、風に飛ばされた帽子を追いかけようとした美雨は、急にめまいを起こし…。豊川悦司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小林義則平沢敦士フジテレビ　    【制作著作】  共同テレビ</t>
  </si>
  <si>
    <t>木下圭介(豊川悦司)は、病気のことを愛娘の美雨(芦田愛菜)に打ち明けた。しかし、治らない病気だとはどうしても言うことができず、薬を飲んでいればすぐに治ると嘘をついてしまう。小学校が夏休みに入った。圭介は、夏休み中も規則正しい生活を送るよう美雨に話した。その際、圭介は、病気のことは中村富美夫(蟹江敬三)や千恵子(丘みつ子)らに言わないよう口止めをする。  　ラジオ体操に出かけた美雨は、友だちの新井小太郎(高木星来)から四葉のクローバーのキーホルダーを見せられる。四葉のクローバーは“魔法の葉っぱ"で、4つ集めて願い事を書いた紙にはさんでおけばどんな願い事も叶う、と聞かされ驚く美雨。  　家に戻った美雨は、図鑑で四葉のクローバーを調べ、そのページに「父ちゃんのびょうきが早くなおりますように」と書いた紙を挟んで、探しに出かける。圭介は、富美夫には腹痛だと言って病院へと向かう。診察の後、圭介は、主治医の古賀豊(安田顕)に仕事のことを相談した。古賀は、初期段階である現在は仕事を続けることも十分可能としながらも、このまま続けていくためには職場の理解と協力が必要だと告げる。  　一方、炎天下の中で四葉のクローバー探しに夢中になっている美雨。必死で四葉のクローバーを探し続けていた。が、風に飛ばされた帽子を追いかけようとした美雨は、急にめまいを起こし…。</t>
  </si>
  <si>
    <t>番組名&lt;ドラマチックサンデー&gt;ビューティフルレイン　#05</t>
  </si>
  <si>
    <t>木下圭介(豊川悦司)は、中村産業の社長・中村富美夫(蟹江敬三)と妻の千恵子(丘みつ子)に、病気のことを打ち明ける。解雇もやむを得ない、と覚悟してのことだった。若年性アルツハイマー病について詳しく知らなかった富美夫は、困ったときはお互い様だ、と言って圭介を励ました。しかしアカネ(中谷美紀)は、富美夫たちは病気を楽観視している、と指摘し、アルツハイマーのことをしっかり理解して接していかなければダメだと告げる。一方、千恵子やアカネと一緒に商店街の福引に挑戦した美雨(芦田愛菜)は、伊豆大島1泊2日のペア旅行券を引き当てる。美雨は、夏休みを利用して旅行に行くという友だちの話を聞いて寂しい思いをしていたが、圭介のことを気遣って喜べなかった。そんな美雨の思いを知った富美夫と千恵子は、旅行には行けるのか、と圭介に尋ねた。  　すると圭介は、大丈夫だと言って笑顔を見せる。圭介は、主治医の古賀豊(安田顕)に旅行の件を相談する。古賀は、それを許可し、緊急時の連絡先や自分の名刺を手渡して、常に身につけておくよう圭介に指示した。その夜、富美夫は、勝田秋生(三浦翔平)や宗田清(でんでん)を誘って、新井春子(国生さゆり)の店に飲みに行く。しかし富美夫は、秋生たちに圭介のことを切り出せなかった。旅行前日、圭介と美雨は、買い物に出かけ、旅行の準備をするが…。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水田成英平沢敦士フジテレビ　    【制作著作】  共同テレビ</t>
  </si>
  <si>
    <t>木下圭介(豊川悦司)は、中村産業の社長・中村富美夫(蟹江敬三)と妻の千恵子(丘みつ子)に、病気のことを打ち明ける。解雇もやむを得ない、と覚悟してのことだった。若年性アルツハイマー病について詳しく知らなかった富美夫は、困ったときはお互い様だ、と言って圭介を励ました。しかしアカネ(中谷美紀)は、富美夫たちは病気を楽観視している、と指摘し、アルツハイマーのことをしっかり理解して接していかなければダメだと告げる。一方、千恵子やアカネと一緒に商店街の福引に挑戦した美雨(芦田愛菜)は、伊豆大島1泊2日のペア旅行券を引き当てる。美雨は、夏休みを利用して旅行に行くという友だちの話を聞いて寂しい思いをしていたが、圭介のことを気遣って喜べなかった。そんな美雨の思いを知った富美夫と千恵子は、旅行には行けるのか、と圭介に尋ねた。  　すると圭介は、大丈夫だと言って笑顔を見せる。圭介は、主治医の古賀豊(安田顕)に旅行の件を相談する。古賀は、それを許可し、緊急時の連絡先や自分の名刺を手渡して、常に身につけておくよう圭介に指示した。その夜、富美夫は、勝田秋生(三浦翔平)や宗田清(でんでん)を誘って、新井春子(国生さゆり)の店に飲みに行く。しかし富美夫は、秋生たちに圭介のことを切り出せなかった。旅行前日、圭介と美雨は、買い物に出かけ、旅行の準備をするが…。</t>
  </si>
  <si>
    <t>番組名&lt;ドラマチックサンデー&gt;ビューティフルレイン　#06</t>
  </si>
  <si>
    <t>木下美雨(芦田愛菜)は、自分がいい子にしていれば父・圭介(豊川悦司)の病気が治ると信じる。一方、社長の中村富美夫(蟹江敬三)と圭介のようすがおかしいことに不審を抱いていた宗田清(でんでん)は、何故打ち明けてくれないのか、と怒り出す。宗田は、圭介が手帳ばかり見ていることから、借金に苦しみ、返済日を気にしているものと思い込んでいた。圭介は、そんな宗田に病気のことを打ち明ける。同じ日、中村産業に、アカネ(中谷美紀)の夫・西脇拓哉(山中聡)が突然やってくる。拓哉は、アカネや同席した富美夫、千恵子(丘みつ子)に、離婚するつもりはない、と告げる。アカネとふたりだけで話した拓哉は、アカネが書いた離婚届を破り、明日また来るからそのときに気持ちを聞かせてほしい、と伝える。同じころ、美雨は、少しでも圭介の役に立とうと家事を手伝い始める。が、失敗ばかりで落ち込む美雨。圭介は、美雨の気持ちを尊重しながらも、しっかり勉強して、しっかり遊ぶことが美雨の仕事だ、と話す。  　その夜、ベランダでアカネと話した圭介は、拓哉との話し合いは上手くいったのか、と尋ねる。圭介は、心配している富美夫たちのことに触れ、親はどんなときでも子どもの幸せを願っている、とアカネに告げた。するとアカネは、心配をかけたくないから言いたくても言えないこともある、と返し、美雨も圭介が想像している以上に心配しているかもしれない、と続け…。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小林義則平沢敦士フジテレビ　    【制作著作】  共同テレビ</t>
  </si>
  <si>
    <t>木下美雨(芦田愛菜)は、自分がいい子にしていれば父・圭介(豊川悦司)の病気が治ると信じる。一方、社長の中村富美夫(蟹江敬三)と圭介のようすがおかしいことに不審を抱いていた宗田清(でんでん)は、何故打ち明けてくれないのか、と怒り出す。宗田は、圭介が手帳ばかり見ていることから、借金に苦しみ、返済日を気にしているものと思い込んでいた。圭介は、そんな宗田に病気のことを打ち明ける。同じ日、中村産業に、アカネ(中谷美紀)の夫・西脇拓哉(山中聡)が突然やってくる。拓哉は、アカネや同席した富美夫、千恵子(丘みつ子)に、離婚するつもりはない、と告げる。アカネとふたりだけで話した拓哉は、アカネが書いた離婚届を破り、明日また来るからそのときに気持ちを聞かせてほしい、と伝える。同じころ、美雨は、少しでも圭介の役に立とうと家事を手伝い始める。が、失敗ばかりで落ち込む美雨。圭介は、美雨の気持ちを尊重しながらも、しっかり勉強して、しっかり遊ぶことが美雨の仕事だ、と話す。  　その夜、ベランダでアカネと話した圭介は、拓哉との話し合いは上手くいったのか、と尋ねる。圭介は、心配している富美夫たちのことに触れ、親はどんなときでも子どもの幸せを願っている、とアカネに告げた。するとアカネは、心配をかけたくないから言いたくても言えないこともある、と返し、美雨も圭介が想像している以上に心配しているかもしれない、と続け…。</t>
  </si>
  <si>
    <t>番組名&lt;ドラマチックサンデー&gt;ビューティフルレイン　#07</t>
  </si>
  <si>
    <t>木下圭介(豊川悦司)の義父母、上原一夫(浜田晃)と愛子(岩本多代)が沼津から上京してくることになった。美雨(芦田愛菜)は、一緒にママのお墓参りや遊園地に行く、と大はしゃぎだ。圭介は、義父母たちに病気のことをどう伝えればいいか悩んでいた。相談を受けた中村産業社長の富美夫(蟹江敬三)と妻の千恵子(丘みつ子)は、まだ言わなくてもいいのではないか、と助言する。圭介親子のことを心配している先輩工員の宗田清(でんでん)も同じ意見だった。それに対して富美夫の娘・アカネ(中谷美紀)は、病状を正確に伝えて、今後のこともきちんと話し合っておいた方がいい、と主張する。さらにアカネは、何かが起きてからでは遅いのだから美雨と別居するなら早い方が良い、と付け加えた。するとそこに、勝田秋生(三浦翔平)が血相を変えて飛び込んでくる。秋生がやりかけのままにしておいた仕事の材料が破棄されていたのだ。捨ててしまったのは圭介だった。作業の途中で納品に出掛けなければならなかった秋生は、戻ったら作業を再開するのでこのままにしておいてほしい、と圭介に頼んでいた。秋生から責められる圭介の姿を見かねた富美夫は、秋生を母屋に連れていき、圭介の病気のことを打ち明けた。あくる日、圭介と美雨は、一夫たちと出掛ける。同じころ、富美夫、宗田、秋生の3人は、圭介の主治医・古賀豊(安田顕)を訪ね…。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八十島美也子平沢敦士フジテレビ　    【制作著作】  共同テレビ</t>
  </si>
  <si>
    <t>木下圭介(豊川悦司)の義父母、上原一夫(浜田晃)と愛子(岩本多代)が沼津から上京してくることになった。美雨(芦田愛菜)は、一緒にママのお墓参りや遊園地に行く、と大はしゃぎだ。圭介は、義父母たちに病気のことをどう伝えればいいか悩んでいた。相談を受けた中村産業社長の富美夫(蟹江敬三)と妻の千恵子(丘みつ子)は、まだ言わなくてもいいのではないか、と助言する。圭介親子のことを心配している先輩工員の宗田清(でんでん)も同じ意見だった。それに対して富美夫の娘・アカネ(中谷美紀)は、病状を正確に伝えて、今後のこともきちんと話し合っておいた方がいい、と主張する。さらにアカネは、何かが起きてからでは遅いのだから美雨と別居するなら早い方が良い、と付け加えた。するとそこに、勝田秋生(三浦翔平)が血相を変えて飛び込んでくる。秋生がやりかけのままにしておいた仕事の材料が破棄されていたのだ。捨ててしまったのは圭介だった。作業の途中で納品に出掛けなければならなかった秋生は、戻ったら作業を再開するのでこのままにしておいてほしい、と圭介に頼んでいた。秋生から責められる圭介の姿を見かねた富美夫は、秋生を母屋に連れていき、圭介の病気のことを打ち明けた。あくる日、圭介と美雨は、一夫たちと出掛ける。同じころ、富美夫、宗田、秋生の3人は、圭介の主治医・古賀豊(安田顕)を訪ね…。</t>
  </si>
  <si>
    <t>番組名&lt;ドラマチックサンデー&gt;ビューティフルレイン　#08</t>
  </si>
  <si>
    <t>木下圭介(豊川悦司)は、娘の美雨(芦田愛菜)を沼津に住んでいる義父母に預けるべきかどうか、悩んでいた。義父母の一夫(浜田晃)と愛子(岩本多代)は、圭介と美雨が一緒に沼津に引っ越して来ることを望んでいた。圭介は、そのことを社長の中村富美夫(蟹江敬三)、千恵子(丘みつ子)夫妻やアカネ(中谷美紀)に報告する。  　バレエ発表会の日、美雨とともに会場に向かった圭介は、途中でカメラのフィルムを買い忘れたことに気づく。圭介は、美雨をその場に待たせて近くの店まで買いに行った。が、買い物を終えた圭介は、美雨を待たせていることを忘れてしまい、ひとりで会場に向かってしまう。そこで思わぬ事態が起きた。圭介を待ち続けていた美雨が、警察官を見つけて駆け寄ろうとした際に、自転車と接触して腰を打ってしまったのだ。騒ぎに気づいて美雨に駆け寄ったのは、一夫と愛子だった。　美雨は、幸い大きなケガはしていなかったが、念のためひと晩入院することになった。一夫たちから連絡を受けた圭介は、アカネ、千恵子とともに病院に駆けつけた。事情を知った一夫と愛子は、引っ越しの話を切り出し、仕事の都合ですぐ引っ越すことができないなら、とりあえず美雨だけでも先に来させてはどうかと提案した。愛子は、いま決断しなければ取り返しのつかないことが起こるかもしれない、と圭介に忠告し…。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水田成英平沢敦士フジテレビ　    【制作著作】  共同テレビ</t>
  </si>
  <si>
    <t>木下圭介(豊川悦司)は、娘の美雨(芦田愛菜)を沼津に住んでいる義父母に預けるべきかどうか、悩んでいた。義父母の一夫(浜田晃)と愛子(岩本多代)は、圭介と美雨が一緒に沼津に引っ越して来ることを望んでいた。圭介は、そのことを社長の中村富美夫(蟹江敬三)、千恵子(丘みつ子)夫妻やアカネ(中谷美紀)に報告する。  　バレエ発表会の日、美雨とともに会場に向かった圭介は、途中でカメラのフィルムを買い忘れたことに気づく。圭介は、美雨をその場に待たせて近くの店まで買いに行った。が、買い物を終えた圭介は、美雨を待たせていることを忘れてしまい、ひとりで会場に向かってしまう。そこで思わぬ事態が起きた。圭介を待ち続けていた美雨が、警察官を見つけて駆け寄ろうとした際に、自転車と接触して腰を打ってしまったのだ。騒ぎに気づいて美雨に駆け寄ったのは、一夫と愛子だった。　美雨は、幸い大きなケガはしていなかったが、念のためひと晩入院することになった。一夫たちから連絡を受けた圭介は、アカネ、千恵子とともに病院に駆けつけた。事情を知った一夫と愛子は、引っ越しの話を切り出し、仕事の都合ですぐ引っ越すことができないなら、とりあえず美雨だけでも先に来させてはどうかと提案した。愛子は、いま決断しなければ取り返しのつかないことが起こるかもしれない、と圭介に忠告し…。</t>
  </si>
  <si>
    <t>番組名&lt;ドラマチックサンデー&gt;ビューティフルレイン　#09</t>
  </si>
  <si>
    <t>木下美雨(芦田愛菜)は、沼津に住む祖父母のもとへと旅立った。父・圭介(豊川悦司)は、美雨がいない寂しさをかみしめながら、いつも通りの生活を続けた。中村産業の社長・中村富美夫(蟹江敬三)や妻の千恵子(丘みつ子)はもちろん、同僚の勝田秋生(三浦翔平)や宗田清(でんでん)も、そんな圭介の心情を察し、気遣っていた。圭介と美雨のことを家族同然に思っている千恵子は、このままふたりが離れてしまっていいのかと心配する。それを知ったアカネ(中谷美紀)や富美夫は、圭介が決めたことなのだから余計なことは言うな、と釘をさした。  　数日後、主治医の古賀豊(安田顕)のもとを訪れて診察を受けた圭介は、病状が悪化していることを知る。このまま病気が進行すれば、5年ほどで家族の顔や名前もわからなくなってしまう可能性があるらしい。古賀は、美雨の将来のためにも、いまのうちからいろいろと準備をしておいた方がいい、と圭介に助言する。  　そんなある日、千恵子は、事務所で昼食をとっていた秋生に、圭介親子は本当にこのままでいいと思うか、と話しかける。千恵子は、どんな理由があるにせよ親子が別々に暮らすのは間違っている、というと、もう一度美雨の顔を見れば圭介も考え直すのではないか、と続けた。  　千恵子の言葉を考えていた秋生は、ある決意を固め、圭介をドライブに誘うが…。豊川悦司　  芦田愛菜　    三浦翔平　  でんでん　  安田顕　  国生さゆり　  高木星来　  君嶋麻那　  吉田里琴　    丘みつ子　  蟹江敬三　  中谷美紀　    ほか【脚本】  羽原大介【企画統括】  成河広明　    【編成企画】  鹿内植　  佐藤未郷　    【プロデュース】  貸川聡子　  山崎淳子　    【演出】  小林義則平沢敦士フジテレビ　    【制作著作】  共同テレビ</t>
  </si>
  <si>
    <t>木下美雨(芦田愛菜)は、沼津に住む祖父母のもとへと旅立った。父・圭介(豊川悦司)は、美雨がいない寂しさをかみしめながら、いつも通りの生活を続けた。中村産業の社長・中村富美夫(蟹江敬三)や妻の千恵子(丘みつ子)はもちろん、同僚の勝田秋生(三浦翔平)や宗田清(でんでん)も、そんな圭介の心情を察し、気遣っていた。圭介と美雨のことを家族同然に思っている千恵子は、このままふたりが離れてしまっていいのかと心配する。それを知ったアカネ(中谷美紀)や富美夫は、圭介が決めたことなのだから余計なことは言うな、と釘をさした。  　数日後、主治医の古賀豊(安田顕)のもとを訪れて診察を受けた圭介は、病状が悪化していることを知る。このまま病気が進行すれば、5年ほどで家族の顔や名前もわからなくなってしまう可能性があるらしい。古賀は、美雨の将来のためにも、いまのうちからいろいろと準備をしておいた方がいい、と圭介に助言する。  　そんなある日、千恵子は、事務所で昼食をとっていた秋生に、圭介親子は本当にこのままでいいと思うか、と話しかける。千恵子は、どんな理由があるにせよ親子が別々に暮らすのは間違っている、というと、もう一度美雨の顔を見れば圭介も考え直すのではないか、と続けた。  　千恵子の言葉を考えていた秋生は、ある決意を固め、圭介をドライブに誘うが…。</t>
  </si>
  <si>
    <t>番組名&lt;ドラマチックサンデー&gt;ビューティフルレイン　#10</t>
  </si>
  <si>
    <t>木下圭介(豊川悦司)は、娘の美雨(芦田愛菜)を預けている沼津の義父母、一夫(浜田晃)と愛子(岩本多代)のもとへ、引越しや転校の手続きに必要な書類を送った。圭介は、その封筒の中に、美雨への手紙も同封した。手紙の中で圭介は、夏休みの最後の日に迎えに行くがそのときに大事な話があるから聞いてほしい、と綴っていた。  　その矢先、圭介の携帯電話に一夫から連絡が入る。美雨が、東京に帰る、と書き置きをして、ひとりでバスに乗ってしまったのだという。前夜、美雨は、一夫と愛子が見ていた書類の中に自分の名前があることに気づき、それは何かと尋ねた。愛子は困惑しながらも、ウソを言うわけにもいかず、美雨はこのまま沼津に住むことを話してしまったらしい。  　バスターミナルに駆けつけた圭介は、美雨を見つけ、とりあえず家に連れ帰る。圭介は、美雨に自分の病気のことを正直に打ち明け、明日の朝、バスで沼津まで送って行く、と告げた。そして、中村産業の社長・中村富美夫(蟹江敬三)と妻の千恵子(丘みつ子)に、美雨が落ち着くまで沼津にいたいから夏休みを取らせてほしい、と申し出る。  　あくる朝、美雨は、部屋の入口にバリケードを作り、沼津行きを拒否した。それを知ったアカネ(中谷美紀)は、説得役を買って出て、美雨に声をかける。部屋に入れてもらったアカネは、圭介と同じ病気にかかった義母を看病していたときの話を美雨に聞かせた。豊川悦司　  芦田愛菜　    三浦翔平　  でんでん　  安田顕　  国生さゆり　  高木星来　  君嶋麻那　  吉田里琴　    丘みつ子　  蟹江敬三　  中谷美紀　    ほか【脚本】  羽原大介【企画統括】  成河広明　    【編成企画】  鹿内植　  佐藤未郷　    【プロデュース】  貸川聡子　  山崎淳子　    【演出】  水田成英平沢敦士フジテレビ　    【制作著作】  共同テレビ</t>
  </si>
  <si>
    <t>木下圭介(豊川悦司)は、娘の美雨(芦田愛菜)を預けている沼津の義父母、一夫(浜田晃)と愛子(岩本多代)のもとへ、引越しや転校の手続きに必要な書類を送った。圭介は、その封筒の中に、美雨への手紙も同封した。手紙の中で圭介は、夏休みの最後の日に迎えに行くがそのときに大事な話があるから聞いてほしい、と綴っていた。  　その矢先、圭介の携帯電話に一夫から連絡が入る。美雨が、東京に帰る、と書き置きをして、ひとりでバスに乗ってしまったのだという。前夜、美雨は、一夫と愛子が見ていた書類の中に自分の名前があることに気づき、それは何かと尋ねた。愛子は困惑しながらも、ウソを言うわけにもいかず、美雨はこのまま沼津に住むことを話してしまったらしい。  　バスターミナルに駆けつけた圭介は、美雨を見つけ、とりあえず家に連れ帰る。圭介は、美雨に自分の病気のことを正直に打ち明け、明日の朝、バスで沼津まで送って行く、と告げた。そして、中村産業の社長・中村富美夫(蟹江敬三)と妻の千恵子(丘みつ子)に、美雨が落ち着くまで沼津にいたいから夏休みを取らせてほしい、と申し出る。  　あくる朝、美雨は、部屋の入口にバリケードを作り、沼津行きを拒否した。それを知ったアカネ(中谷美紀)は、説得役を買って出て、美雨に声をかける。部屋に入れてもらったアカネは、圭介と同じ病気にかかった義母を看病していたときの話を美雨に聞かせた。</t>
  </si>
  <si>
    <t>番組名&lt;ドラマチックサンデー&gt;ビューティフルレイン　#11</t>
  </si>
  <si>
    <t>木下圭介(豊川悦司)は、娘の美雨(芦田愛菜)と一緒に暮らすことになった。中村産業の社長・中村富美夫(蟹江敬三)や妻の千恵子(丘みつ子)はもちろん、圭介親子が一緒に暮らすことに反対だったアカネ(中谷美紀)も、ふたりを支えていこうと決意していた。  　それを受け、千恵子は、圭介親子にさっそく新しいライフスタイルの提案をする。それは、朝昼晩の食事は中村家で一緒にとり、圭介たちの家の掃除や買い物も千恵子とアカネが分担する、というものだった。一方、後輩工員の勝田秋生(三浦翔平)は、圭介に黒板をプレゼントする。ここにその日の作業について書いておけば、圭介が一々手帳を見る必要がなくなるからだった。  　夏休みも終わり、美雨は、始業式を迎える。が、帰宅するなり、早く頭が良くなる方法はないか、とアカネに尋ねる美雨。アカネは、毎日コツコツ勉強して本をたくさん読めばいい、と美雨にアドバイスした。どうやら美雨は、大学進学を考えているようだった。  　そんなある日、圭介は、富美夫とともに得意先を訪ねる。先方から、取引価格の見直しを迫られたため、交渉に向かったのだ。が、その席で圭介は、先方からの質問に答えられないなどの失態を演じてしまい…。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小林義則平沢敦士フジテレビ　    【制作著作】  共同テレビ</t>
  </si>
  <si>
    <t>木下圭介(豊川悦司)は、娘の美雨(芦田愛菜)と一緒に暮らすことになった。中村産業の社長・中村富美夫(蟹江敬三)や妻の千恵子(丘みつ子)はもちろん、圭介親子が一緒に暮らすことに反対だったアカネ(中谷美紀)も、ふたりを支えていこうと決意していた。  　それを受け、千恵子は、圭介親子にさっそく新しいライフスタイルの提案をする。それは、朝昼晩の食事は中村家で一緒にとり、圭介たちの家の掃除や買い物も千恵子とアカネが分担する、というものだった。一方、後輩工員の勝田秋生(三浦翔平)は、圭介に黒板をプレゼントする。ここにその日の作業について書いておけば、圭介が一々手帳を見る必要がなくなるからだった。  　夏休みも終わり、美雨は、始業式を迎える。が、帰宅するなり、早く頭が良くなる方法はないか、とアカネに尋ねる美雨。アカネは、毎日コツコツ勉強して本をたくさん読めばいい、と美雨にアドバイスした。どうやら美雨は、大学進学を考えているようだった。  　そんなある日、圭介は、富美夫とともに得意先を訪ねる。先方から、取引価格の見直しを迫られたため、交渉に向かったのだ。が、その席で圭介は、先方からの質問に答えられないなどの失態を演じてしまい…。</t>
  </si>
  <si>
    <t>番組名&lt;ドラマチックサンデー&gt;ビューティフルレイン　#12</t>
  </si>
  <si>
    <t>木下圭介(豊川悦司)は、未来の美雨(芦田愛菜)のためにプレゼントを用意し、ボイスレコーダーに彼女へのメッセージを録音する。  　そんなある朝、美雨は、父ちゃんの夢は何なのか、と圭介に問いかける。美雨が毎日元気に楽しく大きくなってくれること、と答える圭介。すると美雨は、父ちゃんが父ちゃんのためにしてみたいことはないのか、と返す。もし何かしたいことがあるなら、自分が叶えてあげたいのだという。美雨は、返答に困っている圭介に、今日中に考えておいてほしい、と告げた。  　同じころ、中村家では、富美夫(蟹江敬三)と妻の千恵子(丘みつ子)がケンカをしていた。急病で入院してしまったお祭りの実行委員長の代役を、富美夫が勝手に引き受けてしまったのだ。千恵子は、ことしはバザーの当番なのだから飲食屋台を仕切ることになる実行委員長はできない、と主張する。しかし富美夫は、一度引き受けたものを断るわけにはいかない、と引かなかった。結局、富美夫は実行委員長を、千恵子はバザー当番を担当し、娘のアカネ(中谷美紀)が両方を手伝うということで何とか落ち着く。  　そんな中、圭介は、一緒に旅行に行くことが夢だ、と美雨に話す。箱根で、どうしても美雨に見せたいものがあるらしい。圭介は、その話を富美夫らに伝え、もし可能なら今度の三連休に行きたいと相談する。富美夫や千恵子は、不安を抱きながらも、それを了承した。豊川悦司　  芦田愛菜　    三浦翔平　  でんでん　  安田顕　  国生さゆり　  高木星来　  君嶋麻那　  吉田里琴　    丘みつ子　  蟹江敬三　  中谷美紀　    ほか【脚本】  羽原大介【企画統括】  成河広明　    【編成企画】  鹿内植　  佐藤未郷　　    【プロデュース】  貸川聡子　  山崎淳子　　    【演出】  水田成英平沢敦士フジテレビ　    【制作著作】  共同テレビ</t>
  </si>
  <si>
    <t>木下圭介(豊川悦司)は、未来の美雨(芦田愛菜)のためにプレゼントを用意し、ボイスレコーダーに彼女へのメッセージを録音する。  　そんなある朝、美雨は、父ちゃんの夢は何なのか、と圭介に問いかける。美雨が毎日元気に楽しく大きくなってくれること、と答える圭介。すると美雨は、父ちゃんが父ちゃんのためにしてみたいことはないのか、と返す。もし何かしたいことがあるなら、自分が叶えてあげたいのだという。美雨は、返答に困っている圭介に、今日中に考えておいてほしい、と告げた。  　同じころ、中村家では、富美夫(蟹江敬三)と妻の千恵子(丘みつ子)がケンカをしていた。急病で入院してしまったお祭りの実行委員長の代役を、富美夫が勝手に引き受けてしまったのだ。千恵子は、ことしはバザーの当番なのだから飲食屋台を仕切ることになる実行委員長はできない、と主張する。しかし富美夫は、一度引き受けたものを断るわけにはいかない、と引かなかった。結局、富美夫は実行委員長を、千恵子はバザー当番を担当し、娘のアカネ(中谷美紀)が両方を手伝うということで何とか落ち着く。  　そんな中、圭介は、一緒に旅行に行くことが夢だ、と美雨に話す。箱根で、どうしても美雨に見せたいものがあるらしい。圭介は、その話を富美夫らに伝え、もし可能なら今度の三連休に行きたいと相談する。富美夫や千恵子は、不安を抱きながらも、それを了承した。</t>
  </si>
  <si>
    <t>1204_CX_月21</t>
  </si>
  <si>
    <t>鍵のかかった部屋</t>
  </si>
  <si>
    <t>番組名鍵のかかった部屋　#01</t>
  </si>
  <si>
    <t>東京総合セキュリティに勤める榎本径(大野智)は、弁護士・青砥純子(戸田恵梨香)に頼まれ、先輩弁護士の芹沢豪(佐藤浩市)と密室事件の現場にやってきた。そこは、葬儀会社の社長・大石の遺体が見つかった山荘だった。警察は、山荘が密室だったこと、大石が末期のがんを患っていたことから自殺と断定。しかし、大石の友人・円山(浜田晃)と司法書士・日下部(堀部圭亮)は疑念を抱き、芹沢に調査を依頼したのだ。榎本らを山荘に案内した日下部は、遺体を発見した日の状況を説明し始めた。  その日、日下部は、大石の甥で葬儀会社の専務・池端(風間杜夫)と山荘に赴いた。窓から部屋を覗くと人影が見えたため、窓を破って室内に入ると、大石が部屋のドアを背にして体育座りのような姿勢で死んでいた。脚の前には重厚なテーブルが置かれ、そのテーブルはどっしりとしたソファで固定、また、ドアには天井から床まで白幕が張られ、遺体はそこに座っていた。  　純子が日下部の説明を聞くなか、芹沢は大石は自殺だろう、と榎本に同意を求める。と、榎本はドアとテーブルの間に遺体と同じ姿勢で座っていた。  　後日、純子は、芹沢を連れ、東京総合セキュリティに榎本を訪ねた。「備品倉庫室」と書かれた薄暗い倉庫にいた榎本は、ふたりに山荘を完璧に再現した模型を見せた。一度の入室ですべてを記憶したという榎本は、大石が自殺かどうか、検証すると言い…。榎本径:　大野智　    青砥純子:　戸田恵梨香　    池端誠一:　風間杜夫　    日下部雅友:　堀部圭亮　    円山:　浜田晃　    水城里奈:　能年玲奈　    芹沢豪:　佐藤浩市　    ほか【原作】  貴志祐介　    【脚本】  相沢友子【プロデュース】  小原一隆　    【協力プロデュース】  中野利幸　    【演出】  松山博昭　  加藤裕将　  石井祐介Ken　Araiフジテレビドラマ制作センター</t>
  </si>
  <si>
    <t>東京総合セキュリティに勤める榎本径(大野智)は、弁護士・青砥純子(戸田恵梨香)に頼まれ、先輩弁護士の芹沢豪(佐藤浩市)と密室事件の現場にやってきた。そこは、葬儀会社の社長・大石の遺体が見つかった山荘だった。警察は、山荘が密室だったこと、大石が末期のがんを患っていたことから自殺と断定。しかし、大石の友人・円山(浜田晃)と司法書士・日下部(堀部圭亮)は疑念を抱き、芹沢に調査を依頼したのだ。榎本らを山荘に案内した日下部は、遺体を発見した日の状況を説明し始めた。  その日、日下部は、大石の甥で葬儀会社の専務・池端(風間杜夫)と山荘に赴いた。窓から部屋を覗くと人影が見えたため、窓を破って室内に入ると、大石が部屋のドアを背にして体育座りのような姿勢で死んでいた。脚の前には重厚なテーブルが置かれ、そのテーブルはどっしりとしたソファで固定、また、ドアには天井から床まで白幕が張られ、遺体はそこに座っていた。  　純子が日下部の説明を聞くなか、芹沢は大石は自殺だろう、と榎本に同意を求める。と、榎本はドアとテーブルの間に遺体と同じ姿勢で座っていた。  　後日、純子は、芹沢を連れ、東京総合セキュリティに榎本を訪ねた。「備品倉庫室」と書かれた薄暗い倉庫にいた榎本は、ふたりに山荘を完璧に再現した模型を見せた。一度の入室ですべてを記憶したという榎本は、大石が自殺かどうか、検証すると言い…。</t>
  </si>
  <si>
    <t>番組名鍵のかかった部屋　#02</t>
  </si>
  <si>
    <t>榎本径(大野智)は、会田愛一郎(中村獅童)を連れ、青砥純子(戸田恵梨香)と芹沢豪(佐藤浩市)を訪ねてきた。甥の大樹が自室で練炭による一酸化炭素中毒で死亡し自殺とされたが、会田は大樹が妹・美樹(福田麻由子)を残して死ぬとは思えないと言うのだ。  　大樹が死亡した日、会田は兄妹の継父で、中学校の科学教師・高澤(高嶋政宏)からの連絡で高澤家にやって来た。大樹の部屋の前では美樹がドアを叩いていたが、反応がない。そこで、高澤が電動ドリルでドアノブの上に穴を開けた。その穴から会田が工具を差し入れ、ついに鍵は開いた。しかし、ドアには隙間を埋めるように内側からビニールテープが貼られ、ドアを開ける際、ベリベリとテープがはがれる音がし、同時に紙テープの切れ端が舞い上がったという。壁には、紙テープで綴られた「サヨナラ」という文字があり、ベッドでは大樹が死亡していた。  　3年前に母親を亡くした兄妹は高澤に育てられていたが、多額の遺産を受け継ぐため高澤に殺されたのでは、と会田は疑っていた。  　榎本は、純子と芹沢にドアと窓に貼られていたのが、ガムテープではなくビニールテープだったことが気にかかると明かした。仮に高澤が犯人だったとして、施錠された窓やドアの内側からどうやってテープを貼ったのか、3人は可能な方法を考えるがどれも決定打にはならない。しかし、榎本はそこに科学を駆使した仕掛けがあるはずだと思い…。榎本径:　大野智　    青砥純子:　戸田恵梨香　    会田愛一郎:　中村獅童　    美樹:　福田麻由子　    高澤:　高嶋政宏　    水城里奈:　能年玲奈　    芹沢豪:　佐藤浩市　    ほか【原作】  貴志祐介　    【脚本】  相沢友子【演出】  松山博昭　  加藤裕将　  石井祐介　    【プロデュース】  小原一隆　    【協力プロデュース】  中野利幸Ken　Araiフジテレビドラマ制作センター</t>
  </si>
  <si>
    <t>榎本径(大野智)は、会田愛一郎(中村獅童)を連れ、青砥純子(戸田恵梨香)と芹沢豪(佐藤浩市)を訪ねてきた。甥の大樹が自室で練炭による一酸化炭素中毒で死亡し自殺とされたが、会田は大樹が妹・美樹(福田麻由子)を残して死ぬとは思えないと言うのだ。  　大樹が死亡した日、会田は兄妹の継父で、中学校の科学教師・高澤(高嶋政宏)からの連絡で高澤家にやって来た。大樹の部屋の前では美樹がドアを叩いていたが、反応がない。そこで、高澤が電動ドリルでドアノブの上に穴を開けた。その穴から会田が工具を差し入れ、ついに鍵は開いた。しかし、ドアには隙間を埋めるように内側からビニールテープが貼られ、ドアを開ける際、ベリベリとテープがはがれる音がし、同時に紙テープの切れ端が舞い上がったという。壁には、紙テープで綴られた「サヨナラ」という文字があり、ベッドでは大樹が死亡していた。  　3年前に母親を亡くした兄妹は高澤に育てられていたが、多額の遺産を受け継ぐため高澤に殺されたのでは、と会田は疑っていた。  　榎本は、純子と芹沢にドアと窓に貼られていたのが、ガムテープではなくビニールテープだったことが気にかかると明かした。仮に高澤が犯人だったとして、施錠された窓やドアの内側からどうやってテープを貼ったのか、3人は可能な方法を考えるがどれも決定打にはならない。しかし、榎本はそこに科学を駆使した仕掛けがあるはずだと思い…。</t>
  </si>
  <si>
    <t>番組名鍵のかかった部屋　#03</t>
  </si>
  <si>
    <t>榎本径(大野智)は、青砥純子(戸田恵梨香)と刑事・鴻野(宇梶剛士)とともに、プロ棋士・竹脇(ゆうぞう)が殺害されたホテルの一室にやってきた。そこはビジネスホテルで、竹脇は背中を包丁で一突きにされドアを頭にして倒れていたという。現場は、窓もドアも施錠されチェーンまでかけられた密室で、室内には携帯用の将棋盤、棋書、将棋新聞、飲みかけのコーヒーカップが残されていた。  　榎本は、部屋を開けた時ドアが遺体に触れたかどうかを遺体発見者のスタッフに尋ね、スタッフはチェーンがかかっていたため遺体までは届かなかったと証言した。  　そこへ、来栖奈穂子(相武紗季)が入ってきた。鴻野は竹脇の恋人だという奈穂子に遺留品の財布などを見せ、それが竹脇のものだと確認させた。そんなとき、奈穂子は何気ない様子で将棋盤にあった駒をひとつ動かした。遺留品のなかに、携帯電話やパソコンがなかったことを不審に思った鴻野が聞くと、どちらも持っていなかった、と奈穂子は答えた。そんな折、奈穂子が最近話題の棋士だと気づいた純子は盛り上がる。  　竹脇からの最後の通話相手だったことから、芹沢豪(佐藤浩市)が事情聴取されたため、今回の事件の真相を調べることになったのだ。  　後日、純子と奈穂子が榎本の会社にやってきた。いつもの「備品倉庫室」でホテルの部屋の模型を完成させていた榎本は、事件の最大の謎はドアチェーンがかかっていたことだと話し…。榎本径:　大野智　    青砥純子:　戸田恵梨香　    来栖奈穂子:　相武紗季　    稲垣真理:　山下リオ　    中野秀哉:　忍成修吾　    竹脇伸平:　ゆうぞう　    谷二郎:　児玉頼信　    毒島薫:　貴志祐介　    水城里奈:　能年玲奈　    鴻野光男:　宇梶剛士　    芹沢豪:　佐藤浩市　    ほか【原作】  貴志祐介　    【脚本】  相沢友子【演出】  松山博昭　  加藤裕将　  石井祐介　    【協力プロデュース】  中野利幸　    【プロデュース】  小原一隆Ken　Arai　    【主題歌】  嵐「Face　Down」フジテレビドラマ制作センター</t>
  </si>
  <si>
    <t>榎本径(大野智)は、青砥純子(戸田恵梨香)と刑事・鴻野(宇梶剛士)とともに、プロ棋士・竹脇(ゆうぞう)が殺害されたホテルの一室にやってきた。そこはビジネスホテルで、竹脇は背中を包丁で一突きにされドアを頭にして倒れていたという。現場は、窓もドアも施錠されチェーンまでかけられた密室で、室内には携帯用の将棋盤、棋書、将棋新聞、飲みかけのコーヒーカップが残されていた。  　榎本は、部屋を開けた時ドアが遺体に触れたかどうかを遺体発見者のスタッフに尋ね、スタッフはチェーンがかかっていたため遺体までは届かなかったと証言した。  　そこへ、来栖奈穂子(相武紗季)が入ってきた。鴻野は竹脇の恋人だという奈穂子に遺留品の財布などを見せ、それが竹脇のものだと確認させた。そんなとき、奈穂子は何気ない様子で将棋盤にあった駒をひとつ動かした。遺留品のなかに、携帯電話やパソコンがなかったことを不審に思った鴻野が聞くと、どちらも持っていなかった、と奈穂子は答えた。そんな折、奈穂子が最近話題の棋士だと気づいた純子は盛り上がる。  　竹脇からの最後の通話相手だったことから、芹沢豪(佐藤浩市)が事情聴取されたため、今回の事件の真相を調べることになったのだ。  　後日、純子と奈穂子が榎本の会社にやってきた。いつもの「備品倉庫室」でホテルの部屋の模型を完成させていた榎本は、事件の最大の謎はドアチェーンがかかっていたことだと話し…。</t>
  </si>
  <si>
    <t>番組名鍵のかかった部屋　#04</t>
  </si>
  <si>
    <t>榎本径(大野智)は、青砥純子(戸田恵梨香)と芹沢豪(佐藤浩市)から、純子のマンションで起こった事件について聞く。  先日、和菓子店の社長・桑島が亡くなり、桑島が借りていた部屋にペットが残された。  しかし妻の美香(白石美帆)はその世話を拒否、桑島の友人・古溝(松尾諭)が申し出た引き渡しも拒んでいるという。困った古溝は、通りかかった純子に相談を持ちかけたのだ。  純子と芹沢が交渉した結果、美香は古溝が桑島に預けていた2匹については引き渡すと約束した。  後日、純子と芹沢は、美香、古溝とペット部屋にやってきた。そこは窓が閉め切られ、水槽で埋め尽くされた異様な空間だった。  水槽を見てペットが熱帯魚か何かだと早合点した純子の前に、古溝が差し出したのはタランチュラだった。しかも桑島は飼っていた毒グモにかまれて死亡したという。警察は水槽内の土に刺さっていたピンセットから、桑島は猛毒を持つクロドクシボグモにエサをやろうとして指をかまれたと推測した。  それらの話を聞いた榎本は、毒グモを扱うにしては桑島があまりにも不注意なのでは、と話した。芹沢も、毒グモにかまれて慌てて手を引っ込めたはずだから、ピンセットが垂直に土に刺さっていたのはおかしいと疑問を呈す。しかし部屋が密室だったことから、警察は事件性はないと判断したという。  しばらく考えていた榎本は、事故ではなかった可能性があると言い…。榎本径:　大野智　    青砥純子:　戸田恵梨香　    桑島美香:　白石美帆　    古溝俊樹:　松尾諭　    桑島雄司:　久ヶ沢徹　    水城里奈:　能年玲奈　    立川:　夙川アトム　    桑島悦子:　かとうかず子　    芹沢豪:　佐藤浩市　    ほか【原作】  貴志祐介　    【脚本】  相沢友子【演出】  松山博昭　  加藤裕将　  石井祐介　    【協力プロデュース】  中野利幸　    【プロデュース】  小原一隆Ken　Arai    【主題歌】  嵐「Face　Down」フジテレビドラマ制作センター</t>
  </si>
  <si>
    <t>榎本径(大野智)は、青砥純子(戸田恵梨香)と芹沢豪(佐藤浩市)から、純子のマンションで起こった事件について聞く。  先日、和菓子店の社長・桑島が亡くなり、桑島が借りていた部屋にペットが残された。  しかし妻の美香(白石美帆)はその世話を拒否、桑島の友人・古溝(松尾諭)が申し出た引き渡しも拒んでいるという。困った古溝は、通りかかった純子に相談を持ちかけたのだ。  純子と芹沢が交渉した結果、美香は古溝が桑島に預けていた2匹については引き渡すと約束した。  後日、純子と芹沢は、美香、古溝とペット部屋にやってきた。そこは窓が閉め切られ、水槽で埋め尽くされた異様な空間だった。  水槽を見てペットが熱帯魚か何かだと早合点した純子の前に、古溝が差し出したのはタランチュラだった。しかも桑島は飼っていた毒グモにかまれて死亡したという。警察は水槽内の土に刺さっていたピンセットから、桑島は猛毒を持つクロドクシボグモにエサをやろうとして指をかまれたと推測した。  それらの話を聞いた榎本は、毒グモを扱うにしては桑島があまりにも不注意なのでは、と話した。芹沢も、毒グモにかまれて慌てて手を引っ込めたはずだから、ピンセットが垂直に土に刺さっていたのはおかしいと疑問を呈す。しかし部屋が密室だったことから、警察は事件性はないと判断したという。  しばらく考えていた榎本は、事故ではなかった可能性があると言い…。</t>
  </si>
  <si>
    <t>番組名鍵のかかった部屋　#05</t>
  </si>
  <si>
    <t>榎本径(大野智)は、ある新築の家で起こった死亡事件現場にやってきた。その家は、高校教師・杉崎(新井浩文)が結婚を機に建てたものだが、引き渡し直後に起こった震度4の地震で大きく歪んでしまった。杉崎は施工会社に手抜きだとクレームをつけ、社長の竹本(田窪一世)が補修工事を請け負うことになった。その下見の最中に、竹本が亡くなったのだ。  　榎本を呼んだのは、青砥純子(戸田恵梨香)でも芹沢豪(佐藤浩市)でもなく、刑事・鴻野(宇梶剛士)だった。榎本の知識や能力を見て協力を依頼したのだ。現場には、現在手がけている買収契約に施工会社が関係していた芹沢と、偶然、榎本と行動をともにしていた純子も集まった。  　遺体発見現場のリビングも、大きく歪んでいた。ドア枠も歪みまともにドアが開閉できない状態だった。窓は完全に施錠されていたため、逃走経路に使えた可能性があるのは廊下側のドアだけだが、歪んだドアを閉めるには内側からある一定の場所を何度も強い力で叩く必要があった。しかし、閉めてしまえば開けることは困難で、仮に殺人だったとしても犯人は部屋に閉じ込められることになる。  　この部屋は密室だったのか、と尋ねる純子に、榎本は部屋にもうひとつの開口部があるので断定できないと言った。その穴とは、リビングの壁に開けられたエアコンのダクト用の穴だった。その穴を使い、外からドアを閉めることが可能なのか、榎本は考え込み…。榎本径:　大野智　    青砥純子:　戸田恵梨香　    杉崎俊二:　新井浩文　    飯倉加奈:　関めぐみ　    美里:　小松彩夏　    竹本袈裟男:　田窪一世　    水城里奈:　能年玲奈　    鴻野光男:　宇梶剛士　    芹沢豪:　佐藤浩市　    ほか【原作】  貴志祐介　    【脚本】  相沢友子【演出】  松山博昭　  加藤裕将　  石井祐介　    【協力プロデュース】  中野利幸　    【プロデュース】  小原一隆Ken　Arai　    【主題歌】  嵐「Face　Down」フジテレビドラマ制作センター</t>
  </si>
  <si>
    <t>榎本径(大野智)は、ある新築の家で起こった死亡事件現場にやってきた。その家は、高校教師・杉崎(新井浩文)が結婚を機に建てたものだが、引き渡し直後に起こった震度4の地震で大きく歪んでしまった。杉崎は施工会社に手抜きだとクレームをつけ、社長の竹本(田窪一世)が補修工事を請け負うことになった。その下見の最中に、竹本が亡くなったのだ。  　榎本を呼んだのは、青砥純子(戸田恵梨香)でも芹沢豪(佐藤浩市)でもなく、刑事・鴻野(宇梶剛士)だった。榎本の知識や能力を見て協力を依頼したのだ。現場には、現在手がけている買収契約に施工会社が関係していた芹沢と、偶然、榎本と行動をともにしていた純子も集まった。  　遺体発見現場のリビングも、大きく歪んでいた。ドア枠も歪みまともにドアが開閉できない状態だった。窓は完全に施錠されていたため、逃走経路に使えた可能性があるのは廊下側のドアだけだが、歪んだドアを閉めるには内側からある一定の場所を何度も強い力で叩く必要があった。しかし、閉めてしまえば開けることは困難で、仮に殺人だったとしても犯人は部屋に閉じ込められることになる。  　この部屋は密室だったのか、と尋ねる純子に、榎本は部屋にもうひとつの開口部があるので断定できないと言った。その穴とは、リビングの壁に開けられたエアコンのダクト用の穴だった。その穴を使い、外からドアを閉めることが可能なのか、榎本は考え込み…。</t>
  </si>
  <si>
    <t>番組名鍵のかかった部屋　#06</t>
  </si>
  <si>
    <t>榎本径(大野智)は、青砥純子(戸田恵梨香)に誘われて、水城里奈(能年玲奈)が出演する「密室に囚われた男」という舞台を見に来た。  　観劇後、里奈の楽屋を訪ねると劇団員たちが慌ただしい。純子が聞くと、下手の楽屋で薬師寺(山中聡)という役者が頭から血を流して死んでいたという。薬師寺は、演劇の前のパフォーマンスパートに出演していた。死亡した薬師寺のそばには、凶器と思われる木刀と血に染まった「密室に囚われた男」のチラシがあった。  　事件から3日が経ち、容疑者のひとりに劇団員で里奈の恋人の井岡(桐山照史)が浮上していた。  　純子から事件のことを聞いた芹沢豪(佐藤浩市)は、榎本を呼べと指示する。  　劇場では、すでに練習が再開されていた。そこにやってきた榎本、純子、里奈を演出の畑山(堀内敬子)、脚本家兼役者の鬼塚(坂本昌行)が迎えるが、無愛想な畑山はどこかへ行ってしまう。純子は、楽屋には上手と下手があるのに、なぜ薬師寺だけが下手にいたのか、と鬼塚に尋ねる。鬼塚はそこが薬師寺専用になっていたと明かした。  　薬師寺の楽屋に行くには、売店があるロビーを通るか、舞台上を横切るしか方法がない。演劇の上演中で、売店にも人がおり、客席にも300人の観客がいるなか、犯人はどうやって密室状態の薬師寺の楽屋に入り殺害したのか。  　純子、芹沢に聞かれた榎本は、この密室は破れないかもしれないと言い…。榎本径:　大野智　    青砥純子:　戸田恵梨香　    鬼塚隼人:　坂本昌行　    畑山奈緒:　堀内敬子　    井岡祐樹:　桐山照史　    薬師寺剛史:　山中聡　    水城里奈:　能年玲奈　    水城重治:　清水紘治　    芹沢豪:　佐藤浩市　    ほか【原作】  貴志祐介　    【脚本】  西田光志【演出】  松山博昭　  加藤裕将　  石井祐介　    【協力プロデュース】  中野利幸　    【プロデュース】  小原一隆Ken　Arai　    【主題歌】  嵐「Face　Down」フジテレビドラマ制作センター</t>
  </si>
  <si>
    <t>榎本径(大野智)は、青砥純子(戸田恵梨香)に誘われて、水城里奈(能年玲奈)が出演する「密室に囚われた男」という舞台を見に来た。  　観劇後、里奈の楽屋を訪ねると劇団員たちが慌ただしい。純子が聞くと、下手の楽屋で薬師寺(山中聡)という役者が頭から血を流して死んでいたという。薬師寺は、演劇の前のパフォーマンスパートに出演していた。死亡した薬師寺のそばには、凶器と思われる木刀と血に染まった「密室に囚われた男」のチラシがあった。  　事件から3日が経ち、容疑者のひとりに劇団員で里奈の恋人の井岡(桐山照史)が浮上していた。  　純子から事件のことを聞いた芹沢豪(佐藤浩市)は、榎本を呼べと指示する。  　劇場では、すでに練習が再開されていた。そこにやってきた榎本、純子、里奈を演出の畑山(堀内敬子)、脚本家兼役者の鬼塚(坂本昌行)が迎えるが、無愛想な畑山はどこかへ行ってしまう。純子は、楽屋には上手と下手があるのに、なぜ薬師寺だけが下手にいたのか、と鬼塚に尋ねる。鬼塚はそこが薬師寺専用になっていたと明かした。  　薬師寺の楽屋に行くには、売店があるロビーを通るか、舞台上を横切るしか方法がない。演劇の上演中で、売店にも人がおり、客席にも300人の観客がいるなか、犯人はどうやって密室状態の薬師寺の楽屋に入り殺害したのか。  　純子、芹沢に聞かれた榎本は、この密室は破れないかもしれないと言い…。</t>
  </si>
  <si>
    <t>番組名鍵のかかった部屋　#07</t>
  </si>
  <si>
    <t>榎本径(大野智)は、青砥純子(戸田恵梨香)に連れられ、築百年の日本家屋にやってきた。案内したのは、家主・西野真之(吉田鋼太郎)の友人・遠藤晴彦(平田満)だ。ここで西野の中学生の長女・愛美(森迫永依)が死亡したが、顔に殴打の跡があったため警察は他殺と断定、第一発見者の西野が容疑者として連行された。西野を知る遠藤は、犯人は別にいると言い、愛美の兄・猛(郭智博)かもしれない、と明かした。猛は以前、同級生をナイフで刺してケガを負わせ、逃走して現在も行方不明のまま。  　現場が密室だったため、遠藤は芹沢豪(佐藤浩市)に調査を依頼したが、芹沢が休暇に入ってしまい、純子が榎本と調査に来た。  　榎本は、玄関のドアの特殊な鍵に注目。泥棒とは無縁の田舎には重装備に思えた。合鍵を持つのは西野と愛美だけだが、西野が愛美の遺体を発見した時、玄関は施錠され、愛美の合鍵は室内にあった。鍵なしで外から施錠することはできない上、犯行時刻に近所のリンゴ園で作業中だった女性も、侵入者は見ていない。  　検証を行う榎本に遠藤は、愛美が帰宅時に室内にすでに誰かがいた可能性がある、と言った。電話をしながら帰宅した愛美の通話相手が、愛美が「誰?」と言った後に切れたと証言したからだ。  　玄関以外の逃走経路として考えられるのは、なぜか1つだけ開け放たれた窓のみ。榎本はここから逃走したのなら、あるはずの足跡がない、と指摘し…。榎本径:　大野智　    青砥純子:　戸田恵梨香　    西野真之:　吉田鋼太郎　    水城里奈:　能年玲奈　    西野愛美:　森迫永依　    遠藤晴彦:　平田満　    芹沢豪:　佐藤浩市　    ほか【原作】  貴志祐介　    【脚本】  相沢友子【演出】  松山博昭　  加藤裕将　  石井祐介　    【協力プロデュース】  中野利幸　    【プロデュース】  小原一隆Ken　Arai　    【主題歌】  嵐「Face　Down」フジテレビドラマ制作センター</t>
  </si>
  <si>
    <t>榎本径(大野智)は、青砥純子(戸田恵梨香)に連れられ、築百年の日本家屋にやってきた。案内したのは、家主・西野真之(吉田鋼太郎)の友人・遠藤晴彦(平田満)だ。ここで西野の中学生の長女・愛美(森迫永依)が死亡したが、顔に殴打の跡があったため警察は他殺と断定、第一発見者の西野が容疑者として連行された。西野を知る遠藤は、犯人は別にいると言い、愛美の兄・猛(郭智博)かもしれない、と明かした。猛は以前、同級生をナイフで刺してケガを負わせ、逃走して現在も行方不明のまま。  　現場が密室だったため、遠藤は芹沢豪(佐藤浩市)に調査を依頼したが、芹沢が休暇に入ってしまい、純子が榎本と調査に来た。  　榎本は、玄関のドアの特殊な鍵に注目。泥棒とは無縁の田舎には重装備に思えた。合鍵を持つのは西野と愛美だけだが、西野が愛美の遺体を発見した時、玄関は施錠され、愛美の合鍵は室内にあった。鍵なしで外から施錠することはできない上、犯行時刻に近所のリンゴ園で作業中だった女性も、侵入者は見ていない。  　検証を行う榎本に遠藤は、愛美が帰宅時に室内にすでに誰かがいた可能性がある、と言った。電話をしながら帰宅した愛美の通話相手が、愛美が「誰?」と言った後に切れたと証言したからだ。  　玄関以外の逃走経路として考えられるのは、なぜか1つだけ開け放たれた窓のみ。榎本はここから逃走したのなら、あるはずの足跡がない、と指摘し…。</t>
  </si>
  <si>
    <t>番組名鍵のかかった部屋　#08</t>
  </si>
  <si>
    <t>榎本径(大野智)は、青砥純子(戸田恵梨香)、芹沢豪(佐藤浩市)とともに、遺体となって発見された人気漫画家・中田文恵(渡辺めぐみ)の自宅にやってくる。玄関でまず榎本らを出迎えたのは激しく吠える犬だった。案内した文恵の姪・友香(志田未来)は、この犬は文恵以外の人間が通ると必ず吠えるのだ、と説明した。  文恵には、橘麻美(岩佐真悠子)と安西理佳子(MEGUMI)というアシスタントがいて、自宅兼作業場の文恵の家に毎日通って来ていた。文恵が亡くなった日、麻美は朝から午後5時頃まで仕事をして帰宅、その後、午後10時頃にやってきた理佳子が作業場で死亡している文恵を発見、通報したという。  現場は、玄関とすべての窓に鍵がかかった密室だった。アシスタントは合鍵を持っているが、犬に吠えられずに入室することは不可能だった。近隣住民の証言で、午後5時に麻美が帰宅してから午後10時に理佳子がやって来るまでの間、犬は一度も吠えなかったとわかった。  警察は、酔った文恵が資料につまずいて転倒、その拍子に棚から落下した置物が頭を直撃し死亡したと推定。純子らが友香から話を聞いていると、自分はやっていないと、麻美が入ってきた。その後、庭で犬が吠える声がして、今度は理佳子がやってきた。犬が苦手だという理佳子は、超音波で犬を撃退する道具を持っていた。  別室での検証を終えた榎本は、もうひとつだけ確認したいことがあると言い…。榎本径:　大野智　    青砥純子:　戸田恵梨香　    安西理佳子:　MEGUMI　    中田友香:　志田未来　    橘麻美:　岩佐真悠子　    芹沢豪:　佐藤浩市　    ほか【原作】  貴志祐介　    【脚本】  相沢友子【演出】  松山博昭　  加藤裕将　  石井祐介　    【協力プロデュース】  中野利幸　    【プロデュース】  小原一隆Ken　Arai　    【主題歌】  嵐「Face　Down」フジテレビドラマ制作センター</t>
  </si>
  <si>
    <t>榎本径(大野智)は、青砥純子(戸田恵梨香)、芹沢豪(佐藤浩市)とともに、遺体となって発見された人気漫画家・中田文恵(渡辺めぐみ)の自宅にやってくる。玄関でまず榎本らを出迎えたのは激しく吠える犬だった。案内した文恵の姪・友香(志田未来)は、この犬は文恵以外の人間が通ると必ず吠えるのだ、と説明した。  文恵には、橘麻美(岩佐真悠子)と安西理佳子(MEGUMI)というアシスタントがいて、自宅兼作業場の文恵の家に毎日通って来ていた。文恵が亡くなった日、麻美は朝から午後5時頃まで仕事をして帰宅、その後、午後10時頃にやってきた理佳子が作業場で死亡している文恵を発見、通報したという。  現場は、玄関とすべての窓に鍵がかかった密室だった。アシスタントは合鍵を持っているが、犬に吠えられずに入室することは不可能だった。近隣住民の証言で、午後5時に麻美が帰宅してから午後10時に理佳子がやって来るまでの間、犬は一度も吠えなかったとわかった。  警察は、酔った文恵が資料につまずいて転倒、その拍子に棚から落下した置物が頭を直撃し死亡したと推定。純子らが友香から話を聞いていると、自分はやっていないと、麻美が入ってきた。その後、庭で犬が吠える声がして、今度は理佳子がやってきた。犬が苦手だという理佳子は、超音波で犬を撃退する道具を持っていた。  別室での検証を終えた榎本は、もうひとつだけ確認したいことがあると言い…。</t>
  </si>
  <si>
    <t>番組名鍵のかかった部屋　#09</t>
  </si>
  <si>
    <t>榎本径(大野智)は、とある貿易会社の事務所で厳重な鍵と防犯カメラを設置していた。同社長室では、榎本の紹介で法律相談を依頼された青砥純子(戸田恵梨香)と芹沢豪(佐藤浩市)が、社長・富樫(岩松了)と対面中。貿易会社社長とは思えない富樫のいかつい風貌に、芹沢は不安を感じる。  取締役・野々垣(哀川翔)が榎本に知り合いのように声をかける様子に驚いた芹沢が聞くと、3日前に会社で副社長が眉間を撃たれて死亡する事件が起き、壊れたドアの鍵を直すため派遣されたのだという。  警察は、事件を自殺と他殺の両方から調べていたが、榎本は、自殺ならこめかみを撃ち抜くのが自然だと話す。他殺の場合の容疑者は、八田(鈴木亮平)という人物だった。八田は事件当時、別の部屋にいたが、銃声を聞き副社長室に走ると副社長が死んでいたと証言した。  数日後、野々垣は事務所から帰ろうと犬山(佐藤祐基)に車を玄関に回すよう命じると、その夜の電話番を担当する八田を呼び止めた。その後、車を回して煙草を吸いながら待っていた犬山から、禁煙中の野々垣が「一本くれ」、と吸い始めた。同僚の坂口(高杉亘)は「さっさと乗れ」と催促するが…と、その時、事務所から銃声が響いた。  中には八田がいるはずだが、中から施錠され開かない。そこで、榎本が呼ばれ鍵を開けることに。室内には変わり果てた姿となった八田とそばには銃が…。それを見た榎本は…。榎本径:　大野智　    青砥純子:　戸田恵梨香　    野々垣二郎:　哀川翔　    坂口健也:　高杉亘　    犬山勝巳:　佐藤祐基　    八田三夫:　鈴木亮平　    水城里奈:　能年玲奈　    富樫口達:　岩松了　    芹沢豪:　佐藤浩市　    ほか【原作】  貴志祐介　    【脚本】  仁志光佑【演出】  松山博昭　  加藤裕将　  石井祐介　    【協力プロデュース】  中野利幸　    【プロデュース】  小原一隆Ken　Arai　    【主題歌】  嵐「Face　Down」フジテレビドラマ制作センター</t>
  </si>
  <si>
    <t>榎本径(大野智)は、とある貿易会社の事務所で厳重な鍵と防犯カメラを設置していた。同社長室では、榎本の紹介で法律相談を依頼された青砥純子(戸田恵梨香)と芹沢豪(佐藤浩市)が、社長・富樫(岩松了)と対面中。貿易会社社長とは思えない富樫のいかつい風貌に、芹沢は不安を感じる。  取締役・野々垣(哀川翔)が榎本に知り合いのように声をかける様子に驚いた芹沢が聞くと、3日前に会社で副社長が眉間を撃たれて死亡する事件が起き、壊れたドアの鍵を直すため派遣されたのだという。  警察は、事件を自殺と他殺の両方から調べていたが、榎本は、自殺ならこめかみを撃ち抜くのが自然だと話す。他殺の場合の容疑者は、八田(鈴木亮平)という人物だった。八田は事件当時、別の部屋にいたが、銃声を聞き副社長室に走ると副社長が死んでいたと証言した。  数日後、野々垣は事務所から帰ろうと犬山(佐藤祐基)に車を玄関に回すよう命じると、その夜の電話番を担当する八田を呼び止めた。その後、車を回して煙草を吸いながら待っていた犬山から、禁煙中の野々垣が「一本くれ」、と吸い始めた。同僚の坂口(高杉亘)は「さっさと乗れ」と催促するが…と、その時、事務所から銃声が響いた。  中には八田がいるはずだが、中から施錠され開かない。そこで、榎本が呼ばれ鍵を開けることに。室内には変わり果てた姿となった八田とそばには銃が…。それを見た榎本は…。</t>
  </si>
  <si>
    <t>番組名鍵のかかった部屋　#10</t>
  </si>
  <si>
    <t>榎本径(大野智)は、青砥純子(戸田恵梨香)、芹沢豪(佐藤浩市)とともに芹沢が顧問弁護を務める介護サービス会社「ベイリーフ」にやってくる。同社の社長室や役員室が入る会社最上階のセキュリティー強化を依頼されたのだ。社内を調査した榎本は、社長の穎原昭造(佐々木勝彦)らに必要なシステムを説明、後日、工事が行われることとなった。  　ところが数日後、榎本が工事にやってくると、穎原が社長室で死んでいた。連絡を受け駆け付けた純子と芹沢に、穎原の甥で副社長の穎原雅樹(鈴木一真)は、穎原の死因が頭部打撲による脳出血であること、社長室が密室だったことを明かした。刑事の萬田(丸山智己)は、社長室に唯一入出可能だったという理由で専務の久永(中丸新将)を警察署に連行。しかし、久永が犯行を否認したため、芹沢は榎本に事件の調査を依頼した。  榎本が検証を続ける間、純子と芹沢も事件について考察を重ねた。そんなふたりを、ボロボロのスニーカーを履いた男が付け狙っていた。  　やがて、何かに気づいた榎本が、雅樹らにその事実について説明を始めたとき、刑事の鴻野(宇梶剛士)が入ってきた。さらに、窓の外には、掃除用のゴンドラに乗った清掃会社スタッフの佐藤学(玉木宏)が現れる。上昇するゴンドラから一瞬見えた学は、あのボロボロのスニーカーを履いていた。榎本と佐藤の視線が交錯、この後、榎本は窮地を迎えることになり…。榎本径:　大野智　    青砥純子:　戸田恵梨香　    佐藤学:　玉木宏　    穎原雅樹:　鈴木一真　    久永篤二:　中丸新将　    穎原昭造:　佐々木勝彦　    伊藤寛美:　西山繭子　    水城里奈:　能年玲奈　    河村忍:　本田翼　    萬田刑事:　丸山智己　    鴻野刑事:　宇梶剛士　    芹沢豪:　佐藤浩市　    ほか【原作】  貴志祐介　    【脚本】  相沢友子【演出】  松山博昭　  加藤裕将　  石井祐介　    【協力プロデュース】  中野利幸　    【プロデュース】  小原一隆Ken　Arai　    【主題歌】  嵐「Face　Down」フジテレビドラマ制作センター</t>
  </si>
  <si>
    <t>榎本径(大野智)は、青砥純子(戸田恵梨香)、芹沢豪(佐藤浩市)とともに芹沢が顧問弁護を務める介護サービス会社「ベイリーフ」にやってくる。同社の社長室や役員室が入る会社最上階のセキュリティー強化を依頼されたのだ。社内を調査した榎本は、社長の穎原昭造(佐々木勝彦)らに必要なシステムを説明、後日、工事が行われることとなった。  　ところが数日後、榎本が工事にやってくると、穎原が社長室で死んでいた。連絡を受け駆け付けた純子と芹沢に、穎原の甥で副社長の穎原雅樹(鈴木一真)は、穎原の死因が頭部打撲による脳出血であること、社長室が密室だったことを明かした。刑事の萬田(丸山智己)は、社長室に唯一入出可能だったという理由で専務の久永(中丸新将)を警察署に連行。しかし、久永が犯行を否認したため、芹沢は榎本に事件の調査を依頼した。  榎本が検証を続ける間、純子と芹沢も事件について考察を重ねた。そんなふたりを、ボロボロのスニーカーを履いた男が付け狙っていた。  　やがて、何かに気づいた榎本が、雅樹らにその事実について説明を始めたとき、刑事の鴻野(宇梶剛士)が入ってきた。さらに、窓の外には、掃除用のゴンドラに乗った清掃会社スタッフの佐藤学(玉木宏)が現れる。上昇するゴンドラから一瞬見えた学は、あのボロボロのスニーカーを履いていた。榎本と佐藤の視線が交錯、この後、榎本は窮地を迎えることになり…。</t>
  </si>
  <si>
    <t>番組名鍵のかかった部屋　#11</t>
  </si>
  <si>
    <t>榎本径(大野智)が不在の中、青砥純子(戸田恵梨香)と芹沢豪(佐藤浩市)は事件の検証を行う。そして、榎本は犯人ではない、と純子が断言したとき、榎本が釈放されたと連絡が入る。専務の久永(中丸新将)が犯行を自認したからだ。拘置所で純子と接見した久永は、睡眠中の無意識のうちに社長を殺害したのかもしれない、と弱気になっていた。  　その後、榎本は、副社長の穎原(えばら)雅樹(鈴木一真)らに、社長が狙撃事件を自作自演したのは、社長室に隠した何かを守るため、窓を防弾ガラスに交換させたかったからだろう、と話す。  　榎本は、自分のことを通報した犯人が自分と社長との因縁を知ったのは、社長室での純子との会話を盗聴していたからだと推測。そんなことが可能な人物は誰か、考えを巡らせた榎本は、第一発見者の窓拭きのスタッフ・佐藤学(玉木宏)に会いたいと雅樹に申し出た。  　やがて榎本と純子の前に佐藤がやってくる。純子は佐藤に、社長が倒れていた場所を尋ねた。佐藤がキャビネットの方を指すと、榎本は窓の外からだとそこは見えないはずだと指摘。佐藤は「ゴンドラが上がったときに見えた」と証言した。  　そんなとき芹沢からの電話で純子が退室。榎本と2人きりになった佐藤は、社長室にいる違和感を口にした。自分はガラス越しに眺めることしかできない存在だ、と話す佐藤。そして、あなたも自分と同じ側の人間だろう、と榎本の様子をうかがい…。榎本径:　大野智　    青砥純子:　戸田恵梨香　    佐藤学:　玉木宏　    穎原雅樹:　鈴木一真　    久永篤二:　中丸新将　    穎原昭造:　佐々木勝彦　    伊藤寛美:　西山繭子　    水城里奈:　能年玲奈　    河村忍:　本田翼　    萬田刑事:　丸山智己　    鴻野刑事:　宇梶剛士　    芹沢豪:　佐藤浩市　    ほか【原作】  貴志祐介　    【脚本】  相沢友子【演出】  松山博昭　  加藤裕将　  石井祐介　    【協力プロデュース】  中野利幸　    【プロデュース】  小原一隆Ken　Arai　    【主題歌】  嵐「Face　Down」フジテレビドラマ制作センター</t>
  </si>
  <si>
    <t>榎本径(大野智)が不在の中、青砥純子(戸田恵梨香)と芹沢豪(佐藤浩市)は事件の検証を行う。そして、榎本は犯人ではない、と純子が断言したとき、榎本が釈放されたと連絡が入る。専務の久永(中丸新将)が犯行を自認したからだ。拘置所で純子と接見した久永は、睡眠中の無意識のうちに社長を殺害したのかもしれない、と弱気になっていた。  　その後、榎本は、副社長の穎原(えばら)雅樹(鈴木一真)らに、社長が狙撃事件を自作自演したのは、社長室に隠した何かを守るため、窓を防弾ガラスに交換させたかったからだろう、と話す。  　榎本は、自分のことを通報した犯人が自分と社長との因縁を知ったのは、社長室での純子との会話を盗聴していたからだと推測。そんなことが可能な人物は誰か、考えを巡らせた榎本は、第一発見者の窓拭きのスタッフ・佐藤学(玉木宏)に会いたいと雅樹に申し出た。  　やがて榎本と純子の前に佐藤がやってくる。純子は佐藤に、社長が倒れていた場所を尋ねた。佐藤がキャビネットの方を指すと、榎本は窓の外からだとそこは見えないはずだと指摘。佐藤は「ゴンドラが上がったときに見えた」と証言した。  　そんなとき芹沢からの電話で純子が退室。榎本と2人きりになった佐藤は、社長室にいる違和感を口にした。自分はガラス越しに眺めることしかできない存在だ、と話す佐藤。そして、あなたも自分と同じ側の人間だろう、と榎本の様子をうかがい…。</t>
  </si>
  <si>
    <t>1204_CX_火21</t>
  </si>
  <si>
    <t>リーガル・ハイ</t>
  </si>
  <si>
    <t>番組名リーガル・ハイ　#01</t>
  </si>
  <si>
    <t>報酬さえもらえば、どんな裁判も勝ち取ると公言する弁護士・古美門研介(堺雅人)。そんな彼に、正義感だけは人一倍強い弁護士・黛真知子(新垣結衣)が出会う。  　三木長一郎(生瀬勝久)の法律事務所で働く黛は、殺人の罪に問われた坪倉裕一(中村蒼)を弁護するが敗訴。判決が不当と信じる黛は控訴したいが、三木に反対される。納得できない黛に声をかけたのは秘書の沢地君江(小池栄子)。沢地は、かつて三木法律事務所に在籍した古美門に相談するよう黛を促した。  　黛が訪ねた古美門法律事務所は豪華な民家。黛を迎えた、事務員とは思えない物腰の服部(里見浩太朗)、部屋の調度品など、とても弁護士事務所とは思えない。肝心の古美門もバイオリンを弾きながら現れた。黛は古美門を見て、数日前、電車で会った不愉快な男だと気づく。古美門も思い出したため、黛の相談を受けようとしない。それでも坪倉の事情を説明する黛に、古美門は弁護費用3000万円を突きつける。さらに相談料まで要求されたため、黛は腹を立てて帰ってしまう。  　三木法律事務所に戻った黛は、沢地から古美門の詳細を聞く。古美門は最低の人間だが弁護能力は抜群で、無敗記録を続けていた。だが、金になる案件を選び、強引に勝ちに持ち込む手法は三木と対立し、古美門は三木法律事務所から追い出されたそうだ。  　そんな話を聞いた黛だが、次の日、3000万円を用意して古美門の事務所へ…。堺雅人　    新垣結衣　    生瀬勝久　    小池栄子　    田口淳之介　    矢野聖人    　●　    里見浩太朗【脚本】  古沢良太　    【編成企画】  成河広明(フジテレビ)　  加藤達也(フジテレビ)【プロデュース】  稲田秀樹　    【監督】  石川淳一林ゆうき制作:フジテレビ　  制作著作:共同テレビ</t>
  </si>
  <si>
    <t>報酬さえもらえば、どんな裁判も勝ち取ると公言する弁護士・古美門研介(堺雅人)。そんな彼に、正義感だけは人一倍強い弁護士・黛真知子(新垣結衣)が出会う。  　三木長一郎(生瀬勝久)の法律事務所で働く黛は、殺人の罪に問われた坪倉裕一(中村蒼)を弁護するが敗訴。判決が不当と信じる黛は控訴したいが、三木に反対される。納得できない黛に声をかけたのは秘書の沢地君江(小池栄子)。沢地は、かつて三木法律事務所に在籍した古美門に相談するよう黛を促した。  　黛が訪ねた古美門法律事務所は豪華な民家。黛を迎えた、事務員とは思えない物腰の服部(里見浩太朗)、部屋の調度品など、とても弁護士事務所とは思えない。肝心の古美門もバイオリンを弾きながら現れた。黛は古美門を見て、数日前、電車で会った不愉快な男だと気づく。古美門も思い出したため、黛の相談を受けようとしない。それでも坪倉の事情を説明する黛に、古美門は弁護費用3000万円を突きつける。さらに相談料まで要求されたため、黛は腹を立てて帰ってしまう。  　三木法律事務所に戻った黛は、沢地から古美門の詳細を聞く。古美門は最低の人間だが弁護能力は抜群で、無敗記録を続けていた。だが、金になる案件を選び、強引に勝ちに持ち込む手法は三木と対立し、古美門は三木法律事務所から追い出されたそうだ。  　そんな話を聞いた黛だが、次の日、3000万円を用意して古美門の事務所へ…。</t>
  </si>
  <si>
    <t>番組名リーガル・ハイ　#02</t>
  </si>
  <si>
    <t>古美門研介(堺雅人)は因縁のある古巣の法律事務所のトップ、三木長一郎(生瀬勝久)を怒らせ、収入のほぼ全てを依存していた大手クライアントを失う。さらに古美門の事務所には三木のもとで働いていた黛真知子(新垣結衣)が移籍して来た。  　黛が仕事を持ち帰る。著作権侵害という、勝てば金になる訴訟に期待を寄せる古美門だが、事務所にやって来たのはパンクロッカーの荒川ボニータ(福田沙紀)とジャンゴジャンゴ東久留米(窪田正孝)。2人はダブルミリオンに迫る勢いの大ヒット曲で、柊しずか(友近)が歌う『あれは恋でした』が、自分たちが作った曲の盗作だと言う。  　とりあえず、ボニータたちのライブで問題の曲を聴く古美門と黛。激しいパンクに顔をしかめる古美門に対して、ノリノリの黛は、確かに『あれは恋でした』がボニータたちの曲の盗作だと言い出す。  　事務所に戻り、報酬を尋ねる古美門に自分たちが出せるのは3万円ぐらいと答えるボニータ。話にならないと言う古美門に、服部(里見浩太朗)が裁判になれば柊しずかに会えるかもしれないと囁く。すると、しずかファンの古美門は着手金はいらないと手のひら返し。ただし、訴訟で勝った場合は賠償金の半額を報酬にもらうと引き受けることにした。  　訴訟の対象となるのは『あれは恋でした』を書いた葛西サトシ(鶴見辰吾)で、顧問弁護は三木法律事務所。しかも、裁判には三木が自ら乗り出して来る。堺雅人　    新垣結衣　    生瀬勝久　    小池栄子　    田口淳之介　    矢野聖人    　●　    里見浩太朗【脚本】  古沢良太【編成企画】  成河広明(フジテレビ)　  加藤達也(フジテレビ)　    【プロデュース】  稲田秀樹　    【監督】  石川淳一林ゆうき制作:フジテレビ　  制作著作:共同テレビ</t>
  </si>
  <si>
    <t>古美門研介(堺雅人)は因縁のある古巣の法律事務所のトップ、三木長一郎(生瀬勝久)を怒らせ、収入のほぼ全てを依存していた大手クライアントを失う。さらに古美門の事務所には三木のもとで働いていた黛真知子(新垣結衣)が移籍して来た。  　黛が仕事を持ち帰る。著作権侵害という、勝てば金になる訴訟に期待を寄せる古美門だが、事務所にやって来たのはパンクロッカーの荒川ボニータ(福田沙紀)とジャンゴジャンゴ東久留米(窪田正孝)。2人はダブルミリオンに迫る勢いの大ヒット曲で、柊しずか(友近)が歌う『あれは恋でした』が、自分たちが作った曲の盗作だと言う。  　とりあえず、ボニータたちのライブで問題の曲を聴く古美門と黛。激しいパンクに顔をしかめる古美門に対して、ノリノリの黛は、確かに『あれは恋でした』がボニータたちの曲の盗作だと言い出す。  　事務所に戻り、報酬を尋ねる古美門に自分たちが出せるのは3万円ぐらいと答えるボニータ。話にならないと言う古美門に、服部(里見浩太朗)が裁判になれば柊しずかに会えるかもしれないと囁く。すると、しずかファンの古美門は着手金はいらないと手のひら返し。ただし、訴訟で勝った場合は賠償金の半額を報酬にもらうと引き受けることにした。  　訴訟の対象となるのは『あれは恋でした』を書いた葛西サトシ(鶴見辰吾)で、顧問弁護は三木法律事務所。しかも、裁判には三木が自ら乗り出して来る。</t>
  </si>
  <si>
    <t>番組名リーガル・ハイ　#03</t>
  </si>
  <si>
    <t>古美門研介(堺雅人)の事務所に、テレビのドキュメンタリー番組の取材が入った。古美門はカメラ映りを気にしたり、自分のスマートさだけを撮ってもらいたい様子。そのため、黛真知子(新垣結衣)が持ち込んだ国選弁護の話になど見向きもしない。黛はひとりで、ストーカー規制法違反で訴えられた榎戸信也(永山絢斗)の弁護をすることになる。しかし、古美門も番組ディレクターから訴訟に取り組む様子を撮影したいと頼まれた。黛を手伝う気もなく、さりとて当面、仕事の予定のない古美門。すると、助け舟を出すように服部(里見浩太朗)が、弁護士会からの依頼を話す。  　榎戸は黛に、なかなか思っていることを打ち明けようとしない。仕方なく弁護方針を減刑に持ち込もうとする黛。裁判で原告側につく検察官は、黛が法科大学院時代に教壇に立ったことのある相沢秀臣(東根作寿英)。黛は相沢に、ある思いを秘めていた。  　一方、服部が古美門に持ち込んだのは、汚い野次で球場から強制退去させられたことに怒る望月ミドリ(阿知波悟美)が訴える、球団への賠償請求。なんとも勝ち目のなさそうな訴えだが、古美門は余裕しゃくしゃく。球団側の弁護についた三木長一郎(生瀬勝久)は、若手の井手孝雄(矢野聖人)を古美門にぶつけてきた。  　初公判では、榎戸が突然無罪を主張したことで黛は混乱。反対にミドリを弁護する古美門は、法廷でお得意の弁舌を繰り広げ始めた。堺雅人　    新垣結衣　    生瀬勝久　    小池栄子　    田口淳之介　    矢野聖人    　●　    里見浩太朗【脚本】  古沢良太　    【編成企画】  成河広明(フジテレビ)　  加藤達也(フジテレビ)【プロデュース】  稲田秀樹　    【監督】  城宝秀則林ゆうき制作:フジテレビ　  制作著作:共同テレビ</t>
  </si>
  <si>
    <t>古美門研介(堺雅人)の事務所に、テレビのドキュメンタリー番組の取材が入った。古美門はカメラ映りを気にしたり、自分のスマートさだけを撮ってもらいたい様子。そのため、黛真知子(新垣結衣)が持ち込んだ国選弁護の話になど見向きもしない。黛はひとりで、ストーカー規制法違反で訴えられた榎戸信也(永山絢斗)の弁護をすることになる。しかし、古美門も番組ディレクターから訴訟に取り組む様子を撮影したいと頼まれた。黛を手伝う気もなく、さりとて当面、仕事の予定のない古美門。すると、助け舟を出すように服部(里見浩太朗)が、弁護士会からの依頼を話す。  　榎戸は黛に、なかなか思っていることを打ち明けようとしない。仕方なく弁護方針を減刑に持ち込もうとする黛。裁判で原告側につく検察官は、黛が法科大学院時代に教壇に立ったことのある相沢秀臣(東根作寿英)。黛は相沢に、ある思いを秘めていた。  　一方、服部が古美門に持ち込んだのは、汚い野次で球場から強制退去させられたことに怒る望月ミドリ(阿知波悟美)が訴える、球団への賠償請求。なんとも勝ち目のなさそうな訴えだが、古美門は余裕しゃくしゃく。球団側の弁護についた三木長一郎(生瀬勝久)は、若手の井手孝雄(矢野聖人)を古美門にぶつけてきた。  　初公判では、榎戸が突然無罪を主張したことで黛は混乱。反対にミドリを弁護する古美門は、法廷でお得意の弁舌を繰り広げ始めた。</t>
  </si>
  <si>
    <t>番組名リーガル・ハイ　#04</t>
  </si>
  <si>
    <t>昼寝中の古美門研介(堺雅人)に、黛真知子(新垣結衣)が持ち込んだのは、日照権を巡る訴訟。近くに建設中の高層マンションのために、自宅が日陰になるという主婦、桑田久美子(村井美樹)の訴えだ。相変わらず、黛の案件に興味を示さない古美門。そんな時、久美子から町内会で弁護士を立てることになったと黛に断りの連絡が入った。  　翌日、黛が事務所に行くと、金になる仕事が入ったと古美門に連れ出される。向かった先は、建設会社。黛には聞き覚えのある会社名。それは久美子が訴えようとしていた建設会社だった。会社の依頼は、まさしく久美子の町内会から訴えられた工事差し止め請求。町内会が選んだ弁護士が、この手の訴訟のプロで企業から多額の賠償金を勝ち取ることで有名な大貫善三(大和田伸也)だった。そのため、多少の費用はかかっても連勝中の古美門に声がかかったのだ。  　黛は久美子の話に親身になっていたため、依頼を引き受ける古美門に文句たらたら。一方、会社側から示談での解決を求められた古美門は、黛を引き連れて住民説明会へ赴く。早速、住民代表の大貫とぶつかり合う古美門。裁判で決着をつけようと言う大貫に、古美門はクライアント無視で応じてしまう。  　ところが、翌日大貫が古美門を訪ねてきて示談に応じると言い出す。大貫の示談金、一世帯当たり500万円の提示に、古美門は5千円で応酬。古美門と大貫。大物弁護士の示談対決は本番に入る。堺雅人　    新垣結衣　    生瀬勝久　    小池栄子　    田口淳之介　    矢野聖人    　●　    里見浩太朗【脚本】  古沢良太　    【編成企画】  成河広明(フジテレビ)　  加藤達也(フジテレビ)【プロデュース】  稲田秀樹　    【監督】  城宝秀則林ゆうき制作:フジテレビ　  制作著作:共同テレビ</t>
  </si>
  <si>
    <t>昼寝中の古美門研介(堺雅人)に、黛真知子(新垣結衣)が持ち込んだのは、日照権を巡る訴訟。近くに建設中の高層マンションのために、自宅が日陰になるという主婦、桑田久美子(村井美樹)の訴えだ。相変わらず、黛の案件に興味を示さない古美門。そんな時、久美子から町内会で弁護士を立てることになったと黛に断りの連絡が入った。  　翌日、黛が事務所に行くと、金になる仕事が入ったと古美門に連れ出される。向かった先は、建設会社。黛には聞き覚えのある会社名。それは久美子が訴えようとしていた建設会社だった。会社の依頼は、まさしく久美子の町内会から訴えられた工事差し止め請求。町内会が選んだ弁護士が、この手の訴訟のプロで企業から多額の賠償金を勝ち取ることで有名な大貫善三(大和田伸也)だった。そのため、多少の費用はかかっても連勝中の古美門に声がかかったのだ。  　黛は久美子の話に親身になっていたため、依頼を引き受ける古美門に文句たらたら。一方、会社側から示談での解決を求められた古美門は、黛を引き連れて住民説明会へ赴く。早速、住民代表の大貫とぶつかり合う古美門。裁判で決着をつけようと言う大貫に、古美門はクライアント無視で応じてしまう。  　ところが、翌日大貫が古美門を訪ねてきて示談に応じると言い出す。大貫の示談金、一世帯当たり500万円の提示に、古美門は5千円で応酬。古美門と大貫。大物弁護士の示談対決は本番に入る。</t>
  </si>
  <si>
    <t>番組名リーガル・ハイ　#05</t>
  </si>
  <si>
    <t>古美門(堺雅人)と黛(新垣結衣)は、収賄罪で実刑2年5カ月の有罪判決を受けた大物政治家・富樫逸雄(江守徹)から、弁護の依頼を受ける。これまで富樫の窮地を何度も救ってきた彼自慢の国内最強弁護士軍団をして、控訴して確実に勝つ自信がないと言った難しい案件だ。高い報酬を得ることができれば仕事を選ばない古美門も、即答できず考える時間が欲しいと答える。  　正義感が強く、政治家に良い印象を持っていない黛の反対をよそに、古美門は富樫弁護に向けた検討に入る。富樫の収賄事件は、過去に購入したビルの代金が出所不明ということに端を発していた。検察は企業からの不正献金だとして富樫の周辺を捜索し、徹底的に差し押さえを行ったが、金庫番の秘書・浅井信司(藤井宏之)の自殺によって事件は迷宮入りと目されていた。しかし、浅井の部屋から献金を示すメモが発見されたことから、観念した富樫の秘書たちが次々と口を割り、富樫は有罪に追い込まれていた。  　黛は、献金を示すメモと秘書の証言という決定的な物証があり、有罪判決を覆すことは難しいと進言するが、古美門は過去に何度も富樫を有罪にしようとしてできなかった検察が、今回に限ってガードの堅い富樫から、簡単に証拠と証言をつかめたことに違和感を抱く。思い立ったらすぐに行動に移す古美門は、特捜部のエース・辰巳史郎(津田寛治)のもとを訪ねる・・・。堺雅人　    新垣結衣　    生瀬勝久　    小池栄子　    田口淳之介　    矢野聖人    　●　    里見浩太朗【脚本】  古沢良太　    【編成企画】  成河広明(フジテレビ)　  加藤達也(フジテレビ)【プロデュース】  稲田秀樹　    【監督】  石川淳一林ゆうき制作:フジテレビ　  制作著作:共同テレビ</t>
  </si>
  <si>
    <t>古美門(堺雅人)と黛(新垣結衣)は、収賄罪で実刑2年5カ月の有罪判決を受けた大物政治家・富樫逸雄(江守徹)から、弁護の依頼を受ける。これまで富樫の窮地を何度も救ってきた彼自慢の国内最強弁護士軍団をして、控訴して確実に勝つ自信がないと言った難しい案件だ。高い報酬を得ることができれば仕事を選ばない古美門も、即答できず考える時間が欲しいと答える。  　正義感が強く、政治家に良い印象を持っていない黛の反対をよそに、古美門は富樫弁護に向けた検討に入る。富樫の収賄事件は、過去に購入したビルの代金が出所不明ということに端を発していた。検察は企業からの不正献金だとして富樫の周辺を捜索し、徹底的に差し押さえを行ったが、金庫番の秘書・浅井信司(藤井宏之)の自殺によって事件は迷宮入りと目されていた。しかし、浅井の部屋から献金を示すメモが発見されたことから、観念した富樫の秘書たちが次々と口を割り、富樫は有罪に追い込まれていた。  　黛は、献金を示すメモと秘書の証言という決定的な物証があり、有罪判決を覆すことは難しいと進言するが、古美門は過去に何度も富樫を有罪にしようとしてできなかった検察が、今回に限ってガードの堅い富樫から、簡単に証拠と証言をつかめたことに違和感を抱く。思い立ったらすぐに行動に移す古美門は、特捜部のエース・辰巳史郎(津田寛治)のもとを訪ねる・・・。</t>
  </si>
  <si>
    <t>番組名リーガル・ハイ　#06</t>
  </si>
  <si>
    <t>「2012ロンドンオリンピックバレーボール世界最終予選　女子　日本×タイ」延長の際、放送時間繰り下げの場合あり。　古美門(堺雅人)、黛(新垣結衣)、服部(里見浩太朗)がテレビを見ていると、芥川賞受賞作家の神林彬(鈴木一真)と、フリーキャスターの岡崎安奈(青山倫子)が出演しているトーク番組が流れる。2人は、「理想の夫婦ランキング」で1位を獲得するほど「おしどり夫婦」として有名。黛も、2人のことをお互い自立し、尊重し合い、支え合っている、自分にとって理想の夫婦像と語るが、古美門は結婚には理想など無いとつれない。　結婚をテーマに、いつも通りの古美門と黛の口論が盛り上がる中、1本の電話がかかってくる。タイムリーに、離婚調停の相談だったが、依頼者はなんと神林だった。事務所を訪れた神林は、妻の安奈にガラス製の置物で殴られたという左手の傷を見せながら、結婚生活は既に破綻しており、性格異常者の安奈と別れたいと切り出す。  　一方、安奈も離婚調停の相談をしていた。彼女が、相談を持ちかけたのは三木(生瀬勝久)だった。安奈の主張は、当然のことながら、神林が古美門に打ち明けた内容とはまるで逆で、彼女は神林の女遊びやDVに絶えきれず離婚をしたいと三木に訴える。  　痴話げんかの仲裁に興味はないとして、依頼を受けることに消極的な古美門。服部に諭され、神林の弁護を決心したものの、安奈を弁護するために三木が用意した主任弁護士は古美門の謎に満ちた過去に関係のある最悪な人物だった・・・。堺雅人　    新垣結衣　    生瀬勝久　    小池栄子　    田口淳之介　    矢野聖人    　●　    里見浩太朗【脚本】  古沢良太　    【編成企画】  成河広明(フジテレビ)　  加藤達也(フジテレビ)【プロデュース】  稲田秀樹　    【監督】  城宝秀則林ゆうき制作:フジテレビ　  制作著作:共同テレビ</t>
  </si>
  <si>
    <t>「2012ロンドンオリンピックバレーボール世界最終予選　女子　日本×タイ」延長の際、放送時間繰り下げの場合あり。　古美門(堺雅人)、黛(新垣結衣)、服部(里見浩太朗)がテレビを見ていると、芥川賞受賞作家の神林彬(鈴木一真)と、フリーキャスターの岡崎安奈(青山倫子)が出演しているトーク番組が流れる。2人は、「理想の夫婦ランキング」で1位を獲得するほど「おしどり夫婦」として有名。黛も、2人のことをお互い自立し、尊重し合い、支え合っている、自分にとって理想の夫婦像と語るが、古美門は結婚には理想など無いとつれない。　結婚をテーマに、いつも通りの古美門と黛の口論が盛り上がる中、1本の電話がかかってくる。タイムリーに、離婚調停の相談だったが、依頼者はなんと神林だった。事務所を訪れた神林は、妻の安奈にガラス製の置物で殴られたという左手の傷を見せながら、結婚生活は既に破綻しており、性格異常者の安奈と別れたいと切り出す。  　一方、安奈も離婚調停の相談をしていた。彼女が、相談を持ちかけたのは三木(生瀬勝久)だった。安奈の主張は、当然のことながら、神林が古美門に打ち明けた内容とはまるで逆で、彼女は神林の女遊びやDVに絶えきれず離婚をしたいと三木に訴える。  　痴話げんかの仲裁に興味はないとして、依頼を受けることに消極的な古美門。服部に諭され、神林の弁護を決心したものの、安奈を弁護するために三木が用意した主任弁護士は古美門の謎に満ちた過去に関係のある最悪な人物だった・・・。</t>
  </si>
  <si>
    <t>番組名リーガル・ハイ　#07</t>
  </si>
  <si>
    <t>古美門(堺雅人)と黛(新垣結衣)のもとに、地方企業の徳松醤油から遺産相続訴訟の依頼が舞い込む。亡くなったのは徳松醤油社長の徳松嘉平(菅登未男)。嘉平のもとで働いていた黛のいとこ・千春(木南晴夏)からの依頼だ。徳松醤油は辺ぴな片田舎にあり、古美門は現地に赴くことを固辞するものの、報酬目当てに結局行くことに。さらに、その話を聞いていた服部(里見浩太朗)も、休暇をとって彼らと共に徳松醤油に向かう。  　現地で、徳松醤油代表取締役の徳松紀介(丸山智己)から至れり尽くせりの歓待を受ける3人。紀介の話によると、亡くなった嘉平には、長男の泰平(皆川猿時)、長女の清江(宍戸美和公)、そして次男の紀介という3人の子供がいるが、嘉平は会社を傾かせた泰平、奔放に生きてきた清江ではなく、紀介にすべての財産を託すという遺言書を遺したという。　しかし、泰平と清江もそれぞれ、ほぼ同じ内容の遺言書を嘉平から遺されたと主張。紀介は、2人に対して証書認否確認訴訟を起こし、すぐに解決するものと思っていたが、泰平、清江もそれぞれに弁護士を雇い、三つ巴の争いに。清江の弁護士は、徳松醤油顧問弁護士の田ノ下(山谷初男)、そして泰平の弁護士は、ことあるごとに古美門と対立する三木(生瀬勝久)、沢地(小池栄子)、井手(矢野聖人)のトリオだった・・・。堺雅人　    新垣結衣　    生瀬勝久　    小池栄子　    田口淳之介　    矢野聖人    　●　    里見浩太朗【脚本】  古沢良太　    【編成企画】  成河広明(フジテレビ)　  加藤達也(フジテレビ)【プロデュース】  稲田秀樹　    【監督】  石川淳一林ゆうき制作:フジテレビ　  制作著作:共同テレビ</t>
  </si>
  <si>
    <t>古美門(堺雅人)と黛(新垣結衣)のもとに、地方企業の徳松醤油から遺産相続訴訟の依頼が舞い込む。亡くなったのは徳松醤油社長の徳松嘉平(菅登未男)。嘉平のもとで働いていた黛のいとこ・千春(木南晴夏)からの依頼だ。徳松醤油は辺ぴな片田舎にあり、古美門は現地に赴くことを固辞するものの、報酬目当てに結局行くことに。さらに、その話を聞いていた服部(里見浩太朗)も、休暇をとって彼らと共に徳松醤油に向かう。  　現地で、徳松醤油代表取締役の徳松紀介(丸山智己)から至れり尽くせりの歓待を受ける3人。紀介の話によると、亡くなった嘉平には、長男の泰平(皆川猿時)、長女の清江(宍戸美和公)、そして次男の紀介という3人の子供がいるが、嘉平は会社を傾かせた泰平、奔放に生きてきた清江ではなく、紀介にすべての財産を託すという遺言書を遺したという。　しかし、泰平と清江もそれぞれ、ほぼ同じ内容の遺言書を嘉平から遺されたと主張。紀介は、2人に対して証書認否確認訴訟を起こし、すぐに解決するものと思っていたが、泰平、清江もそれぞれに弁護士を雇い、三つ巴の争いに。清江の弁護士は、徳松醤油顧問弁護士の田ノ下(山谷初男)、そして泰平の弁護士は、ことあるごとに古美門と対立する三木(生瀬勝久)、沢地(小池栄子)、井手(矢野聖人)のトリオだった・・・。</t>
  </si>
  <si>
    <t>番組名リーガル・ハイ　#08</t>
  </si>
  <si>
    <t>「2012ロンドンオリンピックバレーボール世界最終予選　男子　日本×韓国」延長の際、放送時間繰り下げの場合あり。　古美門(堺雅人)、黛(新垣結衣)、服部(里見浩太朗)が事務所でくつろいでいると、テレビに天才子役・安永メイ(吉田里琴)のドラマが流れる。感動的な親子再会のシーンに、素直に涙する黛。しかし、いつものことながら古美門は「成功する子役は、哀れな操り人形か、マセたクソガキのどっちかだ」と冷めている。  　その頃、メイは母親の留美子(小沢真珠)が出かけたのを良いことに、まだ12歳の子供にもかかわらず、ビールを飲み、男友達を家に連れ込む。結果、急性アルコール中毒になったメイは病院へ搬送されることに。病院の廊下では留美子とマネジャーの梶原(おかやまはじめ)が、今回の件のマスコミ対応で口論となる。メイは彼らに気付かれることなく、病室から抜け出してしまう。  　マスコミにもメイの荒れた私生活が暴かれるなか、古美門法律事務所に一本の電話が。ホテルのスイートルームに呼び出された古美門と黛。そこに待っていたのは、エステティシャンにマッサージをされながら、ルームサービスを食べるメイだった。ドラマで視聴者の涙をさそう演技を見せるメイとは、かけ離れた印象に面を食らう2人。メイは無敗の古美門の噂を聞いて依頼したという。「マスコミを名誉棄損で訴えるつもり?」と聞く黛。しかし、メイの依頼内容は、想像を超えた驚くべきものだった・・・。堺雅人　    新垣結衣　    生瀬勝久　    小池栄子　    田口淳之介　    矢野聖人    　●　    里見浩太朗【脚本】  古沢良太　    【編成企画】  成河広明(フジテレビ)　  加藤達也(フジテレビ)【プロデュース】  稲田秀樹　    【監督】  城宝秀則林ゆうき制作:フジテレビ　  制作著作:共同テレビ</t>
  </si>
  <si>
    <t>「2012ロンドンオリンピックバレーボール世界最終予選　男子　日本×韓国」延長の際、放送時間繰り下げの場合あり。　古美門(堺雅人)、黛(新垣結衣)、服部(里見浩太朗)が事務所でくつろいでいると、テレビに天才子役・安永メイ(吉田里琴)のドラマが流れる。感動的な親子再会のシーンに、素直に涙する黛。しかし、いつものことながら古美門は「成功する子役は、哀れな操り人形か、マセたクソガキのどっちかだ」と冷めている。  　その頃、メイは母親の留美子(小沢真珠)が出かけたのを良いことに、まだ12歳の子供にもかかわらず、ビールを飲み、男友達を家に連れ込む。結果、急性アルコール中毒になったメイは病院へ搬送されることに。病院の廊下では留美子とマネジャーの梶原(おかやまはじめ)が、今回の件のマスコミ対応で口論となる。メイは彼らに気付かれることなく、病室から抜け出してしまう。  　マスコミにもメイの荒れた私生活が暴かれるなか、古美門法律事務所に一本の電話が。ホテルのスイートルームに呼び出された古美門と黛。そこに待っていたのは、エステティシャンにマッサージをされながら、ルームサービスを食べるメイだった。ドラマで視聴者の涙をさそう演技を見せるメイとは、かけ離れた印象に面を食らう2人。メイは無敗の古美門の噂を聞いて依頼したという。「マスコミを名誉棄損で訴えるつもり?」と聞く黛。しかし、メイの依頼内容は、想像を超えた驚くべきものだった・・・。</t>
  </si>
  <si>
    <t>番組名リーガル・ハイ　#09</t>
  </si>
  <si>
    <t>古美門(堺雅人)と黛(新垣結衣)は、東京地方裁判所で女性霊媒師(千葉雅子)の弁護をしている。原告の浜村(古澤裕介)は、女性霊媒師に合計500万円近くも支払ったにもかかわらず、見合いは失敗続きで恋人ができないと訴える。いつもの弁舌で浜村の訴えを退け、女性霊媒師に勝利をもたらす古美門。その様子を老人たちが見つめていた。法廷を後にする古美門と黛。そこに現れたのは、春夫(二瓶鮫一)、譲二(丹古母鬼馬二)ら老人たち。譲二は突然、古美門に土下座をし、「俺たちの村をお助け下さい」と懇願する。  　事務所に戻り、老人たちから話を聞く古美門。彼らは南モンブラン市という、昔は絹美村と呼ばれていた山々に囲まれた美しい集落の出身。必死な反対運動にもかかわらず、5年前に仙羽化学という大企業の化学工場ができてから、住民に健康被害が出ており、裁判で戦うために古美門の元を訪れたという。大企業相手の公害問題訴訟、さらには顧問弁護士が三木(生瀬勝久)ということもあり、これまで依頼した弁護士には全て断られていた。  　依頼を受けた古美門は、絶対に勝てない裁判だと断言し、老人たちの依頼をきっぱりと断る。古美門特有の毒の効いた断り方にあぜんとし、怒って席を立つ老人たち。いつもの通り、黛がひとり南モンブラン市に赴くことに。非協力的な古美門を批判する黛だったが、古美門はこの依頼を受けることができない深い理由を抱えていた・・・。堺雅人　    新垣結衣　    生瀬勝久　    小池栄子　    田口淳之介　    矢野聖人    　●　    里見浩太朗【脚本】  古沢良太　    【編成企画】  成河広明(フジテレビ)　  加藤達也(フジテレビ)【プロデュース】  稲田秀樹　    【監督】  石川淳一林ゆうき制作:フジテレビ　  制作著作:共同テレビ</t>
  </si>
  <si>
    <t>古美門(堺雅人)と黛(新垣結衣)は、東京地方裁判所で女性霊媒師(千葉雅子)の弁護をしている。原告の浜村(古澤裕介)は、女性霊媒師に合計500万円近くも支払ったにもかかわらず、見合いは失敗続きで恋人ができないと訴える。いつもの弁舌で浜村の訴えを退け、女性霊媒師に勝利をもたらす古美門。その様子を老人たちが見つめていた。法廷を後にする古美門と黛。そこに現れたのは、春夫(二瓶鮫一)、譲二(丹古母鬼馬二)ら老人たち。譲二は突然、古美門に土下座をし、「俺たちの村をお助け下さい」と懇願する。  　事務所に戻り、老人たちから話を聞く古美門。彼らは南モンブラン市という、昔は絹美村と呼ばれていた山々に囲まれた美しい集落の出身。必死な反対運動にもかかわらず、5年前に仙羽化学という大企業の化学工場ができてから、住民に健康被害が出ており、裁判で戦うために古美門の元を訪れたという。大企業相手の公害問題訴訟、さらには顧問弁護士が三木(生瀬勝久)ということもあり、これまで依頼した弁護士には全て断られていた。  　依頼を受けた古美門は、絶対に勝てない裁判だと断言し、老人たちの依頼をきっぱりと断る。古美門特有の毒の効いた断り方にあぜんとし、怒って席を立つ老人たち。いつもの通り、黛がひとり南モンブラン市に赴くことに。非協力的な古美門を批判する黛だったが、古美門はこの依頼を受けることができない深い理由を抱えていた・・・。</t>
  </si>
  <si>
    <t>番組名リーガル・ハイ　#10</t>
  </si>
  <si>
    <t>南モンブラン市の老人たちの戦う姿勢を取り戻させた古美門(堺雅人)と黛(新垣結衣)。彼らと共に戦う決心をした古美門は、仙羽化学から慰謝料として5億円、さらに安全が保障されるまでの工場操業停止を求めることに。  　裁判では、ヘルムート38と呼ばれるクロロタスムハリオサプロピレンという有害物質が、実際に仙羽化学の工場から流出しているのかが争点に。古美門は汚染水が貯水されているプールの水質検査結果からクロロタスムハリオサプロピレンが検出されたことを立証する。しかし、仙羽化学サイドの三木長一郎(生瀬勝久)は、クロロタスムハリオサプロピレンが本当に人体に有害なのか、そしてそれは本当に仙羽化学の工場が発生源なのかという2点の根拠が稚拙であると対抗する。  　三木に痛いところを突かれた古美門。クロロタスムハリオサプロピレンが研究の進んでいない新物質である以上、それが人体に有害であることを科学的に立証することは非常に困難であることを認識しつつも、裏を返せば科学的な立証ができるのであれば裁判に勝つことができるとし、どんな手を使っても有害であることを認定させると息巻く。加賀蘭丸(田口淳之介)に仙羽化学のリサーチをさせた資料から、クロロタスムハリオサプロピレンが有害であることを立証できる可能性のある1人の人物に注目する・・・。堺雅人　    新垣結衣　    生瀬勝久　    小池栄子　    田口淳之介　    矢野聖人    　●　    里見浩太朗【脚本】  古沢良太　    【編成企画】  成河広明(フジテレビ)　  加藤達也(フジテレビ)【プロデュース】  稲田秀樹　    【監督】  城宝秀則林ゆうき制作:フジテレビ　  制作著作:共同テレビ</t>
  </si>
  <si>
    <t>南モンブラン市の老人たちの戦う姿勢を取り戻させた古美門(堺雅人)と黛(新垣結衣)。彼らと共に戦う決心をした古美門は、仙羽化学から慰謝料として5億円、さらに安全が保障されるまでの工場操業停止を求めることに。  　裁判では、ヘルムート38と呼ばれるクロロタスムハリオサプロピレンという有害物質が、実際に仙羽化学の工場から流出しているのかが争点に。古美門は汚染水が貯水されているプールの水質検査結果からクロロタスムハリオサプロピレンが検出されたことを立証する。しかし、仙羽化学サイドの三木長一郎(生瀬勝久)は、クロロタスムハリオサプロピレンが本当に人体に有害なのか、そしてそれは本当に仙羽化学の工場が発生源なのかという2点の根拠が稚拙であると対抗する。  　三木に痛いところを突かれた古美門。クロロタスムハリオサプロピレンが研究の進んでいない新物質である以上、それが人体に有害であることを科学的に立証することは非常に困難であることを認識しつつも、裏を返せば科学的な立証ができるのであれば裁判に勝つことができるとし、どんな手を使っても有害であることを認定させると息巻く。加賀蘭丸(田口淳之介)に仙羽化学のリサーチをさせた資料から、クロロタスムハリオサプロピレンが有害であることを立証できる可能性のある1人の人物に注目する・・・。</t>
  </si>
  <si>
    <t>番組名リーガル・ハイ　#11</t>
  </si>
  <si>
    <t>古美門(堺雅人)のもとを去った黛(新垣結衣)が、1年ぶりに古美門法律事務所を訪れる。1年ぶりの再会に花を用意し、黛を歓迎する古美門。以前とは異なり、口調も穏やかに黛と世間話をする。  　黛は現在、黛法律事務所を立ち上げ、個人で仕事をしているという。今回、古美門のもとを訪ねたのは、彼女が準備している訴訟を共にやらないかという相談のためだった。黛の依頼者は、八木沼佳奈(田畑智子)。佳奈は、1年前の仙羽化学の公害訴訟で、古美門と黛に協力した女性で、裁判での証言後、仙羽化学のライバル社・フロンティアケミカルラボにヘッドハンティングされていた。  　黛によれば、佳奈は長期間、会社に飼い殺された挙句、解雇されたという。仙羽化学とフロンティアケミカルラボはライバル関係と見なされているが、両社の社長は大学の先輩と後輩という間柄で、仙羽化学が佳奈に報復人事を行った疑いがあり、両社を訴えるという。「私たちが一緒にやるべき仕事」と古美門に力説するが、古美門はスケジュールがないと断る。  　裁判当日、仙羽化学の代理人である三木長一郎(生瀬勝久)、井手孝雄(矢野聖人)らと対峙する黛。緊迫感みなぎるなか、開廷間際に原告側のドアから入廷してくる古美門。一緒に戦ってくれるものと信じて笑顔を見せる黛。しかし、古美門は黛を素通りし、被告側へと歩を進め、三木の隣に立ち、フロンティアケミカルラボの代理人だと宣言する・・・。堺雅人　    新垣結衣　    生瀬勝久　    小池栄子　    田口淳之介　    矢野聖人    　●　    里見浩太朗【脚本】  古沢良太　    【編成企画】  成河広明(フジテレビ)　  加藤達也(フジテレビ)【プロデュース】  稲田秀樹　    【監督】  石川淳一林ゆうき制作:フジテレビ　  制作著作:共同テレビ</t>
  </si>
  <si>
    <t>古美門(堺雅人)のもとを去った黛(新垣結衣)が、1年ぶりに古美門法律事務所を訪れる。1年ぶりの再会に花を用意し、黛を歓迎する古美門。以前とは異なり、口調も穏やかに黛と世間話をする。  　黛は現在、黛法律事務所を立ち上げ、個人で仕事をしているという。今回、古美門のもとを訪ねたのは、彼女が準備している訴訟を共にやらないかという相談のためだった。黛の依頼者は、八木沼佳奈(田畑智子)。佳奈は、1年前の仙羽化学の公害訴訟で、古美門と黛に協力した女性で、裁判での証言後、仙羽化学のライバル社・フロンティアケミカルラボにヘッドハンティングされていた。  　黛によれば、佳奈は長期間、会社に飼い殺された挙句、解雇されたという。仙羽化学とフロンティアケミカルラボはライバル関係と見なされているが、両社の社長は大学の先輩と後輩という間柄で、仙羽化学が佳奈に報復人事を行った疑いがあり、両社を訴えるという。「私たちが一緒にやるべき仕事」と古美門に力説するが、古美門はスケジュールがないと断る。  　裁判当日、仙羽化学の代理人である三木長一郎(生瀬勝久)、井手孝雄(矢野聖人)らと対峙する黛。緊迫感みなぎるなか、開廷間際に原告側のドアから入廷してくる古美門。一緒に戦ってくれるものと信じて笑顔を見せる黛。しかし、古美門は黛を素通りし、被告側へと歩を進め、三木の隣に立ち、フロンティアケミカルラボの代理人だと宣言する・・・。</t>
  </si>
  <si>
    <t>1204_CX_火22</t>
  </si>
  <si>
    <t>37歳で医者になった僕</t>
  </si>
  <si>
    <t>番組名37歳で医者になった僕～研修医純情物語～　#01</t>
  </si>
  <si>
    <t>http://www.ktv.jp/37doctor/　紺野祐太(草ナギ剛)は食品メーカーに勤めていた元サラリーマン。ある出来事をきっかけに会社を辞めて医学部に入り、37歳でようやく研修医に。東央医科大学病院の総合内科病棟に赴任するが、沢村瑞希(水川あさみ)ら同期の若い研修医たちの中で、37歳の祐太は明らかに目立つ存在だった。    　勤務初日、祐太は内科トップの佐伯毅彦教授(松平健)らが治療方針を話し合うカンファレンスの席で、会議のやり方が効率的ではないと意見し、さっそく指導医の新見悟(斎藤工)から注意を受けるはめに。ようやく初日を終えた祐太は、恋人の葛城すず(ミムラ)からの「無理はしないで」という温かいメールに励まされる。    　そんな折、祐太は担当患者の妻から相談を受ける。夫が脳出血の後遺症で口から食事を摂ることが困難になり、チューブで胃に直接栄養を送れるようにする「胃ろう造設」の手術を受けることになりそうだが、普通の食事がしたい夫はそれを望んでいないというのだ。    　そんな中、新見は手術を決定。祐太は患者の意見を尊重して回復の見込みをくわしく調べるべきだと主張し、新見を怒らせてしまう。さらに、ろくに患者の診察もせず、新見の判断に任せるという佐伯に食ってかかった祐太は、腎臓内科の森下和明准教授(田辺誠一)から呼び出されてしまう。草ナギ剛　  水川あさみ　  ミムラ　  八乙女光(Hey!Say!JUMP)　    桐山漣  　・　  斎藤工  　・　  真飛聖  　/　  田辺誠一  　/　  松平健【原作】  川渕圭一　    【脚本】  古家和尚【プロデュース】  木村淳　    【演出】  三宅喜重菅野祐悟　    【主題歌】  サカナクション『僕と花』</t>
  </si>
  <si>
    <t xml:space="preserve">　紺野祐太(草ナギ剛)は食品メーカーに勤めていた元サラリーマン。ある出来事をきっかけに会社を辞めて医学部に入り、37歳でようやく研修医に。東央医科大学病院の総合内科病棟に赴任するが、沢村瑞希(水川あさみ)ら同期の若い研修医たちの中で、37歳の祐太は明らかに目立つ存在だった。    　勤務初日、祐太は内科トップの佐伯毅彦教授(松平健)らが治療方針を話し合うカンファレンスの席で、会議のやり方が効率的ではないと意見し、さっそく指導医の新見悟(斎藤工)から注意を受けるはめに。ようやく初日を終えた祐太は、恋人の葛城すず(ミムラ)からの「無理はしないで」という温かいメールに励まされる。    　そんな折、祐太は担当患者の妻から相談を受ける。夫が脳出血の後遺症で口から食事を摂ることが困難になり、チューブで胃に直接栄養を送れるようにする「胃ろう造設」の手術を受けることになりそうだが、普通の食事がしたい夫はそれを望んでいないというのだ。    　そんな中、新見は手術を決定。祐太は患者の意見を尊重して回復の見込みをくわしく調べるべきだと主張し、新見を怒らせてしまう。さらに、ろくに患者の診察もせず、新見の判断に任せるという佐伯に食ってかかった祐太は、腎臓内科の森下和明准教授(田辺誠一)から呼び出されてしまう。</t>
  </si>
  <si>
    <t>番組名37歳で医者になった僕～研修医純情物語～　#02</t>
  </si>
  <si>
    <t>http://www.ktv.jp/37doctor/　患者とのコミュニケーションを深めようと、入院患者全員に朝の挨拶回りを始めた祐太(草ナギ剛)。担当外の患者に薬を処方したことから新見(斎藤工)に厳重注意を受けて反省はするものの、挨拶回りをやめようとしない。    　ある日、すず(ミムラ)が祐太の勧めで森下(田辺誠一)の治療を受けることになった。診察にあたった森下は治療の不安を取り除こうと丁寧に話を聞き、すずを安心させる。そんな森下の患者に対する姿勢に、祐太は尊敬の念を抱くのだった。    　翌日、糖尿病患者の桑原拓真(徳井優)が内科病棟に入院し、瑞希(水川あさみ)が担当になった。祐太は、挨拶をしようとさっそく病室を訪ね、不安げな桑原の相談に乗る。    　ところが、そんな祐太に下田(八乙女光)や谷口(桐山漣)、新見が苦情を訴える。祐太が挨拶回りで「何でも相談に乗る」と言ったせいで、患者たちが研修医に使い走りを頼んだり、病状の悪化を勘ぐったりと、誤解が生じているというのだ。瑞希からも「私の患者には近づかないで」と釘を刺されて、祐太は返す言葉もない。  さらには、森下からも「研修医はまず仕事を覚えるのが先」と叱咤される。草ナギ剛　  水川あさみ　  ミムラ　  八乙女光(Hey!Say!JUMP)　  桐山漣  　・　  斎藤工  　・　  真飛聖  　/　  田辺誠一  　/　  松平健【原作】  川渕圭一　    【脚本】  古家和尚【プロデュース】  木村淳　    【演出】  三宅喜重菅野祐悟　    【主題歌】  サカナクション『僕と花』</t>
  </si>
  <si>
    <t xml:space="preserve">　患者とのコミュニケーションを深めようと、入院患者全員に朝の挨拶回りを始めた祐太(草ナギ剛)。担当外の患者に薬を処方したことから新見(斎藤工)に厳重注意を受けて反省はするものの、挨拶回りをやめようとしない。    　ある日、すず(ミムラ)が祐太の勧めで森下(田辺誠一)の治療を受けることになった。診察にあたった森下は治療の不安を取り除こうと丁寧に話を聞き、すずを安心させる。そんな森下の患者に対する姿勢に、祐太は尊敬の念を抱くのだった。    　翌日、糖尿病患者の桑原拓真(徳井優)が内科病棟に入院し、瑞希(水川あさみ)が担当になった。祐太は、挨拶をしようとさっそく病室を訪ね、不安げな桑原の相談に乗る。    　ところが、そんな祐太に下田(八乙女光)や谷口(桐山漣)、新見が苦情を訴える。祐太が挨拶回りで「何でも相談に乗る」と言ったせいで、患者たちが研修医に使い走りを頼んだり、病状の悪化を勘ぐったりと、誤解が生じているというのだ。瑞希からも「私の患者には近づかないで」と釘を刺されて、祐太は返す言葉もない。  さらには、森下からも「研修医はまず仕事を覚えるのが先」と叱咤される。</t>
  </si>
  <si>
    <t>番組名37歳で医者になった僕～研修医純情物語～　#03</t>
  </si>
  <si>
    <t>http://www.ktv.jp/37doctor/名刺を配り始めた祐太(草ナギ剛)は患者たちの人気者に。そんな折、祐太は、中島(鈴木浩介)と新見(斎藤工)が末期の膵がん患者・木島啓一(甲本雅裕)に転院を勧めようとしていることを知る。回復の望めない治療を続けるより、ホスピスで最期のケアを受けさせるべきというのだ。しかし中島らの本当の意図は、助からない患者を追い出してベッドの稼働率を上げることだった。木島に治る見込みはないと宣告し、転院に追い込もうとする新見に反発した祐太は、独自に転院先を見つけようと決意。膵がん治療に実績のある病院を探す中、がん治療の新薬の存在を知り、木島に投与を提案したいとカンファレンスで発言する。しかし、その新薬は副作用も強く日本では未認可。瑞希(水川あさみ)の母校の大学病院で行われている治験では、効果が出ず死亡する例もあった。中島らはリスクが高すぎると反対するが、佐伯(松平健)の反応は意外なものだった。「使うかどうかは患者が決めること」と木島の意思を聞くよう祐太をうながしたのだ。そしてこの後、木島に投与を提案した祐太は「紺野さんが『治る』と言ってくれるなら使う」と言われて言葉に詰まる。草ナギ剛　  水川あさみ　  ミムラ　  八乙女光(Hey!Say!JUMP)　  桐山漣  　・　  斎藤工  　・　  真飛聖  　/　  田辺誠一  　/　  松平健【原作】  川渕圭一　    【脚本】  古家和尚【プロデュース】  木村淳　    【演出】  三宅喜重菅野祐悟　    【主題歌】  サカナクション『僕と花』</t>
  </si>
  <si>
    <t>名刺を配り始めた祐太(草ナギ剛)は患者たちの人気者に。そんな折、祐太は、中島(鈴木浩介)と新見(斎藤工)が末期の膵がん患者・木島啓一(甲本雅裕)に転院を勧めようとしていることを知る。回復の望めない治療を続けるより、ホスピスで最期のケアを受けさせるべきというのだ。しかし中島らの本当の意図は、助からない患者を追い出してベッドの稼働率を上げることだった。木島に治る見込みはないと宣告し、転院に追い込もうとする新見に反発した祐太は、独自に転院先を見つけようと決意。膵がん治療に実績のある病院を探す中、がん治療の新薬の存在を知り、木島に投与を提案したいとカンファレンスで発言する。しかし、その新薬は副作用も強く日本では未認可。瑞希(水川あさみ)の母校の大学病院で行われている治験では、効果が出ず死亡する例もあった。中島らはリスクが高すぎると反対するが、佐伯(松平健)の反応は意外なものだった。「使うかどうかは患者が決めること」と木島の意思を聞くよう祐太をうながしたのだ。そしてこの後、木島に投与を提案した祐太は「紺野さんが『治る』と言ってくれるなら使う」と言われて言葉に詰まる。</t>
  </si>
  <si>
    <t>番組名37歳で医者になった僕～研修医純情物語～　#04</t>
  </si>
  <si>
    <t>http://www.ktv.jp/37doctor/木島(甲本雅裕)が亡くなったショックから立ち直れない祐太(草ナギ剛)。そんな折、数年前に引退した大女優・羽山早苗(江波杏子)が内科に入院し、祐太が担当になった。早苗は末期の肝臓がんで、すでに手の施しようがない状況だったが、毎日見舞いに訪れる家族に囲まれ、病状は安定していた。    そんなある日、祐太は見舞いに来た家族に病状を説明しようとするが、家族は話を聞こうとせず、病気のことは本人に話して欲しいと告げて逃げるように帰ってしまった。家族の対応に違和感を覚える祐太。    同じ頃、自殺未遂を起こした大学生・吉野香織(岡野真也)が内科に入院し、下田(八乙女光)が担当に。腎臓疾患の疑いがあったが、香織は治療を拒否。再び自殺を図ってもおかしくない精神状態にもかかわらず、家族も体調不良で引き取りに来られないという。下田は、就職と恋愛に悩んで自殺を図ろうとした香織を非難する言葉を投げかけてしまう。    その直後、香織が病室から姿を消した。必死に香織を探し回る研修医ら。その頃、病室を抜け出してトイレでタバコを吸っていた早苗は、うつろな表情の香織と鉢合わせする。草ナギ剛　  水川あさみ　  ミムラ　  八乙女光(Hey!Say!JUMP)　  桐山漣  　・　  斎藤工  　・　  真飛聖  　/　  田辺誠一  　/　  松平健【原作】  川渕圭一　    【脚本】  古家和尚【プロデュース】  木村淳　    【演出】  白木啓一郎菅野祐悟　    【主題歌】  サカナクション『僕と花』</t>
  </si>
  <si>
    <t>木島(甲本雅裕)が亡くなったショックから立ち直れない祐太(草ナギ剛)。そんな折、数年前に引退した大女優・羽山早苗(江波杏子)が内科に入院し、祐太が担当になった。早苗は末期の肝臓がんで、すでに手の施しようがない状況だったが、毎日見舞いに訪れる家族に囲まれ、病状は安定していた。    そんなある日、祐太は見舞いに来た家族に病状を説明しようとするが、家族は話を聞こうとせず、病気のことは本人に話して欲しいと告げて逃げるように帰ってしまった。家族の対応に違和感を覚える祐太。    同じ頃、自殺未遂を起こした大学生・吉野香織(岡野真也)が内科に入院し、下田(八乙女光)が担当に。腎臓疾患の疑いがあったが、香織は治療を拒否。再び自殺を図ってもおかしくない精神状態にもかかわらず、家族も体調不良で引き取りに来られないという。下田は、就職と恋愛に悩んで自殺を図ろうとした香織を非難する言葉を投げかけてしまう。    その直後、香織が病室から姿を消した。必死に香織を探し回る研修医ら。その頃、病室を抜け出してトイレでタバコを吸っていた早苗は、うつろな表情の香織と鉢合わせする。</t>
  </si>
  <si>
    <t>番組名37歳で医者になった僕～研修医純情物語～　#05</t>
  </si>
  <si>
    <t>http://www.ktv.jp/37doctor/谷口(桐山漣)が看護師に薬の処方を指示する際、新見(斎藤工)から伝えられた誤った分量をそのまま指示するミスが発生。直美(真飛聖)が間違いに気づいて大事には至らなかったが、谷口と新見が看護師にミスの責任をなすりつけ、一方的にナースのミスとされてしまった。結果、谷口と直美は険悪なムードになってしまう。    直美は看護師がミスを押しつけられることは日常茶飯事だと祐太(草ナギ剛)に話し、医師への不信感を露わに。大病院では、医師-看護師の間には目に見えないヒエラルキーが存在する、と言う。去り際に直美は、祐太の担当患者に肺炎の兆候があることを告げる。そんな折、直美の娘・葵(大出菜々子)が病院にやって来た。葵は直美の離婚した夫に引き取られていたが、再婚を決めた父親に反発して家を飛び出してきたらしい。困り果てた直美は、研修医のいる医師控え室に預けることに。下田(八乙女光)や谷口は迷惑顔。瑞希(水川あさみ)はまだ11歳ながら小生意気な葵にあ然とするばかり。    一方、直美の指摘のおかげで患者の肺炎を発見できた祐太は、改めて看護師の重要性を認識し、日頃から患者の状態をつぶさに観察している看護師と連携する重要性を痛感。  そこで祐太は、直美に頼み込んでカンファレンスに出席させ、佐伯教授にある提案をするのだが・・・。その結果で直美と祐太の間にも深い溝が生まれてしまうことに。草ナギ剛　  水川あさみ　  ミムラ　  八乙女光(Hey!Say!JUMP)　  桐山漣  　・　  斎藤工  　・　  真飛聖  　/　  田辺誠一  　/　  松平健【原作】  川渕圭一　    【脚本】  古家和尚【プロデュース】  木村淳　    【演出】  白木啓一郎菅野祐悟　    【主題歌】  サカナクション『僕と花』</t>
  </si>
  <si>
    <t>谷口(桐山漣)が看護師に薬の処方を指示する際、新見(斎藤工)から伝えられた誤った分量をそのまま指示するミスが発生。直美(真飛聖)が間違いに気づいて大事には至らなかったが、谷口と新見が看護師にミスの責任をなすりつけ、一方的にナースのミスとされてしまった。結果、谷口と直美は険悪なムードになってしまう。    直美は看護師がミスを押しつけられることは日常茶飯事だと祐太(草ナギ剛)に話し、医師への不信感を露わに。大病院では、医師-看護師の間には目に見えないヒエラルキーが存在する、と言う。去り際に直美は、祐太の担当患者に肺炎の兆候があることを告げる。そんな折、直美の娘・葵(大出菜々子)が病院にやって来た。葵は直美の離婚した夫に引き取られていたが、再婚を決めた父親に反発して家を飛び出してきたらしい。困り果てた直美は、研修医のいる医師控え室に預けることに。下田(八乙女光)や谷口は迷惑顔。瑞希(水川あさみ)はまだ11歳ながら小生意気な葵にあ然とするばかり。    一方、直美の指摘のおかげで患者の肺炎を発見できた祐太は、改めて看護師の重要性を認識し、日頃から患者の状態をつぶさに観察している看護師と連携する重要性を痛感。  そこで祐太は、直美に頼み込んでカンファレンスに出席させ、佐伯教授にある提案をするのだが・・・。その結果で直美と祐太の間にも深い溝が生まれてしまうことに。</t>
  </si>
  <si>
    <t>番組名37歳で医者になった僕～研修医純情物語～　#06</t>
  </si>
  <si>
    <t>http://www.ktv.jp/37doctor/瑞希(水川あさみ)と谷口(桐山漣)が、ショッピングモールで男性が倒れる現場に出くわした。瑞希はすぐに応急処置を行うが、谷口は手をこまねいておろおろするばかり。その様子を撮影したネット動画が公開されたことから、谷口の失態は広く知れ渡ってしまう。    新見(斎藤工)に「恥さらし」と叱責され、医大の学生からも、「仕事ができない」とバカにされて落ち込む谷口。そんな谷口を心配した祐太(草ナギ剛)はなだめようとするが、「僕は紺野先生みたいに立派な人間じゃない」と反発され、とりつく島もない。    その翌日、『紺野祐太先生は人殺し』と書かれた怪文書が院内のいたるところに撒かれた。  すず(ミムラ)の為に、医者になったと思われていた祐太であったが…。彼が、37歳で医者になった本当の理由が明らかになる。草ナギ剛　  水川あさみ　  ミムラ　  八乙女光(Hey!Say!JUMP)  桐山漣  　・　  斎藤工  　・　  真飛聖  　/　  田辺誠一  　/　  松平健【原作】  川渕圭一　    【脚本】  古家和尚【プロデュース】  木村淳　    【演出】  三宅喜重菅野祐悟　    【主題歌】  サカナクション『僕と花』</t>
  </si>
  <si>
    <t>瑞希(水川あさみ)と谷口(桐山漣)が、ショッピングモールで男性が倒れる現場に出くわした。瑞希はすぐに応急処置を行うが、谷口は手をこまねいておろおろするばかり。その様子を撮影したネット動画が公開されたことから、谷口の失態は広く知れ渡ってしまう。    新見(斎藤工)に「恥さらし」と叱責され、医大の学生からも、「仕事ができない」とバカにされて落ち込む谷口。そんな谷口を心配した祐太(草ナギ剛)はなだめようとするが、「僕は紺野先生みたいに立派な人間じゃない」と反発され、とりつく島もない。    その翌日、『紺野祐太先生は人殺し』と書かれた怪文書が院内のいたるところに撒かれた。  すず(ミムラ)の為に、医者になったと思われていた祐太であったが…。彼が、37歳で医者になった本当の理由が明らかになる。</t>
  </si>
  <si>
    <t>番組名37歳で医者になった僕～研修医純情物語～　#07</t>
  </si>
  <si>
    <t>「2012ロンドンオリンピックバレーボール世界最終予選　女子　日本×タイ」延長の際、放送時間繰り下げの場合あり。    http://www.ktv.jp/37doctor/祐太(草ナギ剛)のアパートを訪ねてきたすず(ミムラ)は、久しぶりにゆっくり話がしたいと部屋に泊まることに。瑞希(水川あさみ)は2人の様子が気になって仕方がない。    一方、東央医大病院では、利益を上げようとする佐伯(松平健)に圧力をかけられた医師たちが、ベッドの稼働率をあげるため、入院の長引く患者を退院させようとしていた。さらに佐伯は、祐太の影響で患者と親しく話をするようになった研修医たちを問題視。治療にかかる時間を長引かせる原因と考え、患者との交流を控えるよう釘を刺す。    そんな中、祐太は、林田(阿部力)から障害を抱える者と健常者の間には越えられない線があると告げられ、祐太もそれを自覚しなければ、すずを苦しめることになると言われる。草ナギ剛　  水川あさみ　  ミムラ　  八乙女光(Hey!Say!JUMP)　  桐山漣  　・　  斎藤工  　・　  真飛聖  　/　  田辺誠一  　/　  松平健【原作】  川渕圭一　    【脚本】  古家和尚【プロデュース】  木村淳　    【演出】  三宅喜重菅野祐悟　    【主題歌】  サカナクション『僕と花』</t>
  </si>
  <si>
    <t>祐太(草ナギ剛)のアパートを訪ねてきたすず(ミムラ)は、久しぶりにゆっくり話がしたいと部屋に泊まることに。瑞希(水川あさみ)は2人の様子が気になって仕方がない。    一方、東央医大病院では、利益を上げようとする佐伯(松平健)に圧力をかけられた医師たちが、ベッドの稼働率をあげるため、入院の長引く患者を退院させようとしていた。さらに佐伯は、祐太の影響で患者と親しく話をするようになった研修医たちを問題視。治療にかかる時間を長引かせる原因と考え、患者との交流を控えるよう釘を刺す。    そんな中、祐太は、林田(阿部力)から障害を抱える者と健常者の間には越えられない線があると告げられ、祐太もそれを自覚しなければ、すずを苦しめることになると言われる。</t>
  </si>
  <si>
    <t>番組名37歳で医者になった僕～研修医純情物語～　#08</t>
  </si>
  <si>
    <t>http://www.ktv.jp/37doctor/祐太(草ナギ剛)からプロポーズを受けたすず(ミムラ)は実家を出て祐太のアパートで一緒に暮らし始める。かいがいしく祐太の世話を焼く生活に、すずは充実感を覚えていた。    そんな折、佐伯(松平健)の高校時代の恩師・伊達(竜雷太)が、外来で佐伯の診察を受け、入院することになった。ところが、伊達は事あるごとに「佐伯君を呼べ」と言うばかりで、看護師や担当の下田(八乙女光)を罵倒するなどやりたい放題。検査すら拒否する伊達を、看護師や下田は“モンスターペイシェント"と呼び、困り果てていた。祐太も伊達を説得しようと病室に顔を出すが、「佐伯君を呼んで来い」と相手にもされない。しかし、佐伯の関心事は来月に迫った学部長選挙で、病室に顔を出そうともしない。    祐太は伊達の妻・由美恵(田島令子)から、伊達が出世した教え子を誇りに思い、佐伯の診察を受けるために東央医大病院を訪ねたと聞かされる。翌日、カンファレンスの席で、検査を受けるよう伊達を説得して欲しいと祐太にうながされた佐伯は、ようやく伊達の病室を訪れるが…。草ナギ剛　  水川あさみ　  ミムラ　  八乙女光(Hey!Say!JUMP)　  桐山漣  　・　  斎藤工  　・　  真飛聖  　/　  田辺誠一  　/　  松平健【原作】  川渕圭一　    【脚本】  古家和尚【プロデュース】  木村淳　    【演出】  白木啓一郎菅野祐悟　    【主題歌】  サカナクション『僕と花』</t>
  </si>
  <si>
    <t>祐太(草ナギ剛)からプロポーズを受けたすず(ミムラ)は実家を出て祐太のアパートで一緒に暮らし始める。かいがいしく祐太の世話を焼く生活に、すずは充実感を覚えていた。    そんな折、佐伯(松平健)の高校時代の恩師・伊達(竜雷太)が、外来で佐伯の診察を受け、入院することになった。ところが、伊達は事あるごとに「佐伯君を呼べ」と言うばかりで、看護師や担当の下田(八乙女光)を罵倒するなどやりたい放題。検査すら拒否する伊達を、看護師や下田は“モンスターペイシェント"と呼び、困り果てていた。祐太も伊達を説得しようと病室に顔を出すが、「佐伯君を呼んで来い」と相手にもされない。しかし、佐伯の関心事は来月に迫った学部長選挙で、病室に顔を出そうともしない。    祐太は伊達の妻・由美恵(田島令子)から、伊達が出世した教え子を誇りに思い、佐伯の診察を受けるために東央医大病院を訪ねたと聞かされる。翌日、カンファレンスの席で、検査を受けるよう伊達を説得して欲しいと祐太にうながされた佐伯は、ようやく伊達の病室を訪れるが…。</t>
  </si>
  <si>
    <t>番組名37歳で医者になった僕～研修医純情物語～　#09</t>
  </si>
  <si>
    <t>「2012ロンドンオリンピックバレーボール世界最終予選　男子　日本×韓国」延長の際、放送時間繰り下げの場合あり。      http://www.ktv.jp/37doctor/佐伯教授(松平健)の高校時代の恩師である伊達(竜雷太)が亡くなった。  新しく准教授となった中島(鈴木浩介)のお披露目勉強会に出席していた佐伯は、伊達が亡くなった知らせを受けるが、意に介さず勉強会という名の酒宴を続ける。    祐太(草ナギ剛)は「佐伯の医療ミス」という疑念を持ち、瑞希(水川あさみ)に相談するが、「これ以上この問題に首を突っ込まないように!」と釘をさされる。佐伯教授の医学部長選挙を間近に控え、中島を先頭に伊達に関する情報にかん口令が敷かれる東央医科大学内科病棟。しかし、研修医たちを中心に動揺が走っていた。伊達の担当医であった下田(八乙女光)は、責任の重さに押しつぶされそうになっていた。そして、伊達のお通夜に向かう。    一方、伊達の「死」に心ここにあらずの祐太は、一緒に暮らし始めたすず(ミムラ)の体調まで目が行き届かない。そんな折、すずが東央医科大学病院に緊急入院することとなり、祐太は・・・。草ナギ剛　  水川あさみ　  ミムラ　  八乙女光(Hey!Say!JUMP)　  桐山漣  　・　  斎藤工  　・　  真飛聖  　/　  田辺誠一  　/　  松平健【原作】  川渕圭一　    【脚本】  古家和尚【プロデュース】  木村淳　    【演出】  白木啓一郎菅野祐　    【主題歌】  サカナクション『僕と花』</t>
  </si>
  <si>
    <t>佐伯教授(松平健)の高校時代の恩師である伊達(竜雷太)が亡くなった。  新しく准教授となった中島(鈴木浩介)のお披露目勉強会に出席していた佐伯は、伊達が亡くなった知らせを受けるが、意に介さず勉強会という名の酒宴を続ける。    祐太(草ナギ剛)は「佐伯の医療ミス」という疑念を持ち、瑞希(水川あさみ)に相談するが、「これ以上この問題に首を突っ込まないように!」と釘をさされる。佐伯教授の医学部長選挙を間近に控え、中島を先頭に伊達に関する情報にかん口令が敷かれる東央医科大学内科病棟。しかし、研修医たちを中心に動揺が走っていた。伊達の担当医であった下田(八乙女光)は、責任の重さに押しつぶされそうになっていた。そして、伊達のお通夜に向かう。    一方、伊達の「死」に心ここにあらずの祐太は、一緒に暮らし始めたすず(ミムラ)の体調まで目が行き届かない。そんな折、すずが東央医科大学病院に緊急入院することとなり、祐太は・・・。</t>
  </si>
  <si>
    <t>番組名37歳で医者になった僕～研修医純情物語～　#10</t>
  </si>
  <si>
    <t>http://www.ktv.jp/37doctor/急死した伊達(竜雷太)に誤診があったのではないかという由美恵(田島令子)に対し、中島(鈴木浩介)らは“伊達が検査を拒否していたため病気の発見が遅れた"と説明。病院側に落ち度はないと主張する。一方、祐太(草ナギ剛)ら研修医たちは佐伯(松平健)の医療ミスを疑っていた。    そんな中、下田(八乙女光)が辞表を提出。伊達の担当医として「ちゃんとケリをつけたい」と病院を去る。祐太は、佐伯に入院中のすず(ミムラ)を盾にされて動きを封じられているため何もできず、下田にかける言葉が見つからない。さらに、尊敬していた森下(田辺誠一)が「佐伯の後継者」で、祐太の口を封じようとしたことにショックを受け、混乱していた。    下田は由美恵に会い、裁判で佐伯の医療ミスを証言すると約束。研修医仲間にも、もう医者を続ける気はないと、その決意を伝える。医者の将来を捨ててまで自分の正義を貫こうとする下田の勇気に心を揺らす祐太は、そんな心の葛藤をすずに悟られまいとしていた。そんなある日、瑞希(水川あさみ)はすずから「転院したい」と打ち明けられる。    そしていよいよ、佐伯の医学部長選挙の日がやってきた…。草ナギ剛　  水川あさみ　  ミムラ　  八乙女光(Hey!Say!JUMP)　  桐山漣  　・　  斎藤工  　・　  真飛聖  　/　  田辺誠一  　/　  松平健【原作】  川渕圭一　    【脚本】  古家和尚【プロデュース】  木村淳　    【演出】  三宅喜重菅野祐悟　    【主題歌】  サカナクション『僕と花』</t>
  </si>
  <si>
    <t>急死した伊達(竜雷太)に誤診があったのではないかという由美恵(田島令子)に対し、中島(鈴木浩介)らは“伊達が検査を拒否していたため病気の発見が遅れた"と説明。病院側に落ち度はないと主張する。一方、祐太(草ナギ剛)ら研修医たちは佐伯(松平健)の医療ミスを疑っていた。    そんな中、下田(八乙女光)が辞表を提出。伊達の担当医として「ちゃんとケリをつけたい」と病院を去る。祐太は、佐伯に入院中のすず(ミムラ)を盾にされて動きを封じられているため何もできず、下田にかける言葉が見つからない。さらに、尊敬していた森下(田辺誠一)が「佐伯の後継者」で、祐太の口を封じようとしたことにショックを受け、混乱していた。    下田は由美恵に会い、裁判で佐伯の医療ミスを証言すると約束。研修医仲間にも、もう医者を続ける気はないと、その決意を伝える。医者の将来を捨ててまで自分の正義を貫こうとする下田の勇気に心を揺らす祐太は、そんな心の葛藤をすずに悟られまいとしていた。そんなある日、瑞希(水川あさみ)はすずから「転院したい」と打ち明けられる。    そしていよいよ、佐伯の医学部長選挙の日がやってきた…。</t>
  </si>
  <si>
    <t>番組名37歳で医者になった僕～研修医純情物語～　#11</t>
  </si>
  <si>
    <t>http://www.ktv.jp/37doctor/7年ぶりに声を取り戻したすず(ミムラ)の容態が急変し、そのまま危篤状態に陥る。祐太(草ナギ剛)は意識の戻らないすずに付き添いながら、「患者さんが待っていますから」と周囲の反対を押して通常通りの勤務に就く。    一方、佐伯(松平健)は、伊達(竜雷太)の死を巡る医療訴訟問題を力づくで示談にまとめ、晴れて医学部長に就任。そんな折、下田(八乙女光)がカンファレンスの席で、由美恵(田島令子)から託された手紙を佐伯に渡そうとする。    それは、佐伯が若かりし頃、伊達に送った手紙だった。だが、佐伯は下田の行動に激昂し、その場で手紙を破り捨ててしまう。祐太と下田に絶望が広がったそのとき、突然、佐伯が腹部を押さえて倒れ…。草ナギ剛　  水川あさみ　  ミムラ　  八乙女光(Hey!Say!JUMP)　  桐山漣  　・　  斎藤工  　・　  真飛聖  　/　  田辺誠一  　/　  松平健【原作】  川渕圭一　    【脚本】  古家和尚【プロデュース】  木村淳　    【演出】  三宅喜重菅野祐悟　    【主題歌】  サカナクション『僕と花』</t>
  </si>
  <si>
    <t>7年ぶりに声を取り戻したすず(ミムラ)の容態が急変し、そのまま危篤状態に陥る。祐太(草ナギ剛)は意識の戻らないすずに付き添いながら、「患者さんが待っていますから」と周囲の反対を押して通常通りの勤務に就く。    一方、佐伯(松平健)は、伊達(竜雷太)の死を巡る医療訴訟問題を力づくで示談にまとめ、晴れて医学部長に就任。そんな折、下田(八乙女光)がカンファレンスの席で、由美恵(田島令子)から託された手紙を佐伯に渡そうとする。    それは、佐伯が若かりし頃、伊達に送った手紙だった。だが、佐伯は下田の行動に激昂し、その場で手紙を破り捨ててしまう。祐太と下田に絶望が広がったそのとき、突然、佐伯が腹部を押さえて倒れ…。</t>
  </si>
  <si>
    <t>1204_CX_木22</t>
  </si>
  <si>
    <t>カエルの王女さま</t>
  </si>
  <si>
    <t>番組名&lt;木曜劇場&gt;カエルの王女さま　#01</t>
  </si>
  <si>
    <t>財政難を理由に隣町と合併寸前の町、由芽市。繁栄を見ることなく寂れてしまったこの町では工場の閉鎖が相次ぎ、町の中心地もシャッター商店街と化していた。  　由芽市出身の倉坂澪(天海祐希)は日本ではミュージカルスターとして活躍、その後ブロードウェイに渡ったがニューヨークでは全く花開かず、ついにエージェントに次のオーディション予定はないと言い渡されてしまう。そんな折、故郷、由芽市の元恩師、森香奈絵(久野綾希子)から日本に来てほしいとの連絡が入る。大舞台が待っているに違いないと期待に胸ふくらませ澪は日本にやってくる。  　由芽市市長の井坂清忠(岸部一徳)は市の合併に向け、シャンソンズの活動拠点でもある町の象徴である練習室を取り壊し、ゴミ処理場を建設しようとしていた。市長の娘、井坂忠子(石田ゆり子)はシャンソンズの復活をめざし香奈絵と共に立ちあがった。彼女は父には内緒で、婿養子で父のいいなりになっている夫の哲郎(小泉孝太郎)には眉をひそめられながらもシャンソンズ復活を目指した。まずは残り少ない現シャンソンズメンバーの馬場みぞれ(大島蓉子)、皆川玉子(菊地美香)らと共に旧メンバー復帰を求めて片っ端から電話をかけるが、一切手応えなし。  　追い込まれた忠子らに香奈絵が紹介したのが倉坂澪だった。倉坂澪:　天海祐希　    井坂忠子:　石田ゆり子　  野々村まひる:　大島優子　  馬場みぞれ:　大島蓉子　  皆川玉子:　菊地美香　  羽田南:　福原美穂　  高垣忍:　千葉雄大　    乾一希:　玉山鉄二　  桜井玲奈:　片瀬那奈　  桜ママ:　濱田マリ　    井坂哲郎:　小泉孝太郎　  森香奈絵:　久野綾希子　  井坂清忠:　岸部一徳【脚本】  吉田智子【演出】  光野道夫　    【プロデュース】  渡辺恒也　  大木綾子【主題歌】  家入レオ「Shine」フジテレビドラマ制作センター</t>
  </si>
  <si>
    <t>財政難を理由に隣町と合併寸前の町、由芽市。繁栄を見ることなく寂れてしまったこの町では工場の閉鎖が相次ぎ、町の中心地もシャッター商店街と化していた。  　由芽市出身の倉坂澪(天海祐希)は日本ではミュージカルスターとして活躍、その後ブロードウェイに渡ったがニューヨークでは全く花開かず、ついにエージェントに次のオーディション予定はないと言い渡されてしまう。そんな折、故郷、由芽市の元恩師、森香奈絵(久野綾希子)から日本に来てほしいとの連絡が入る。大舞台が待っているに違いないと期待に胸ふくらませ澪は日本にやってくる。  　由芽市市長の井坂清忠(岸部一徳)は市の合併に向け、シャンソンズの活動拠点でもある町の象徴である練習室を取り壊し、ゴミ処理場を建設しようとしていた。市長の娘、井坂忠子(石田ゆり子)はシャンソンズの復活をめざし香奈絵と共に立ちあがった。彼女は父には内緒で、婿養子で父のいいなりになっている夫の哲郎(小泉孝太郎)には眉をひそめられながらもシャンソンズ復活を目指した。まずは残り少ない現シャンソンズメンバーの馬場みぞれ(大島蓉子)、皆川玉子(菊地美香)らと共に旧メンバー復帰を求めて片っ端から電話をかけるが、一切手応えなし。  　追い込まれた忠子らに香奈絵が紹介したのが倉坂澪だった。</t>
  </si>
  <si>
    <t>番組名&lt;木曜劇場&gt;カエルの王女さま　#02</t>
  </si>
  <si>
    <t>『シャンソンズ』のコーチを務めることになった澪(天海祐希)は、いままでのような合唱ではなく、ショークワイアをやろうと提案する。それに対してリーダーの忠子(石田ゆり子)は、伝統あるシャンソンズに派手な衣装や踊りは必要ないと反論した。澪は、そんな忠子に、実際に歌ってみて決めよう、と言い出す。忠子は、みぞれ(大島蓉子)、玉子(菊地美香)とともに『春が来た』を練習し、澪たちの前で披露する。一方、澪は、玲奈(片瀬那奈)、南(福原美穂)を引き込んで米米CLUBの『浪漫飛行』を披露。まひる(大島優子)や忍(千葉雄大)だけでなく、みぞれ、玉子までも魅了してしまう。あくる日、澪は、来週開催される商店街の桜祭りで新生シャンソンズのお披露目をする、とメンバーに告げ、レッスンを開始した。だがその最中、忠子は、再び澪と衝突して練習場を飛び出してしまう。そんな折、忍は、メンバーに加えたい歌い手がいる、と澪に持ちかける。それは、忍と同じ工場で働く一希(玉山鉄二)のことだった。しかし一希は、忍の誘いにまったく興味を示さなかった。同じころ、由芽市市長の清忠(岸部一徳)は、桜祭りにシャンソンズが出演することを知る。安見市との合併の条件として、シャンソンズの活動拠点である音楽堂をゴミ処理センターにする計画を立てている清忠は、忠子の夫・哲郎(小泉孝太郎)に、シャンソンズをつぶすよう命じ…。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光野道夫　    【プロデュース】  渡辺恒也　  大木綾子【主題歌】  家入レオ「Shine」フジテレビドラマ制作センター</t>
  </si>
  <si>
    <t>『シャンソンズ』のコーチを務めることになった澪(天海祐希)は、いままでのような合唱ではなく、ショークワイアをやろうと提案する。それに対してリーダーの忠子(石田ゆり子)は、伝統あるシャンソンズに派手な衣装や踊りは必要ないと反論した。澪は、そんな忠子に、実際に歌ってみて決めよう、と言い出す。忠子は、みぞれ(大島蓉子)、玉子(菊地美香)とともに『春が来た』を練習し、澪たちの前で披露する。一方、澪は、玲奈(片瀬那奈)、南(福原美穂)を引き込んで米米CLUBの『浪漫飛行』を披露。まひる(大島優子)や忍(千葉雄大)だけでなく、みぞれ、玉子までも魅了してしまう。あくる日、澪は、来週開催される商店街の桜祭りで新生シャンソンズのお披露目をする、とメンバーに告げ、レッスンを開始した。だがその最中、忠子は、再び澪と衝突して練習場を飛び出してしまう。そんな折、忍は、メンバーに加えたい歌い手がいる、と澪に持ちかける。それは、忍と同じ工場で働く一希(玉山鉄二)のことだった。しかし一希は、忍の誘いにまったく興味を示さなかった。同じころ、由芽市市長の清忠(岸部一徳)は、桜祭りにシャンソンズが出演することを知る。安見市との合併の条件として、シャンソンズの活動拠点である音楽堂をゴミ処理センターにする計画を立てている清忠は、忠子の夫・哲郎(小泉孝太郎)に、シャンソンズをつぶすよう命じ…。</t>
  </si>
  <si>
    <t>番組名&lt;木曜劇場&gt;カエルの王女さま　#03</t>
  </si>
  <si>
    <t>由芽市桜祭りで初めて歌を披露したシャンソンズの様子が地元新聞にも掲載されたことによりシャンソンズの評判が街中でも少しずつ話題になっていく。これも倉坂澪(天海祐希)の指導のおかげと、メンバーも、意見は対立しながらも井坂忠子(石田ゆり子)も次第に澪に信頼を置くようになってきた。1人1人確実に前向きにチャレンジする勇気を持ち始め、まひる(大島優子)も東京に就職活動に向かう決意をする。さらにはローカル局の取材も入ることが決定。一気に盛り上がるメンバーに澪はさらなる課題を与える。ショークワイアを通じて感情を爆発させること、そのためにロックに挑戦するという。  　澪はショークワイアにパンチを効かせるため、男性の歌声が必要と考える。工場で働く忍(千葉雄大)にたずねると、一希(玉山鉄二)は由芽市で一世を風靡(ふうび)し、東京へも進出した経歴を持つロックバンドに所属していたと明かし、澪のスイッチが入る。  　早速、澪は一希を口説きに直接会いに行くが、ロックなんかで何も変わりはしない!という言葉と共に一蹴されてしまう。  　ロックを辞めたのにはなにか深い理由があるらしく、一希を迎え入れることはできるのか。澪は東京にいるまひるを動かし、一希の過去を探り始める。倉坂澪: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西坂瑞城　    【プロデュース】  渡辺恒也　  大木綾子【主題歌】  家入レオ「Shine」フジテレビドラマ制作センター</t>
  </si>
  <si>
    <t>由芽市桜祭りで初めて歌を披露したシャンソンズの様子が地元新聞にも掲載されたことによりシャンソンズの評判が街中でも少しずつ話題になっていく。これも倉坂澪(天海祐希)の指導のおかげと、メンバーも、意見は対立しながらも井坂忠子(石田ゆり子)も次第に澪に信頼を置くようになってきた。1人1人確実に前向きにチャレンジする勇気を持ち始め、まひる(大島優子)も東京に就職活動に向かう決意をする。さらにはローカル局の取材も入ることが決定。一気に盛り上がるメンバーに澪はさらなる課題を与える。ショークワイアを通じて感情を爆発させること、そのためにロックに挑戦するという。  　澪はショークワイアにパンチを効かせるため、男性の歌声が必要と考える。工場で働く忍(千葉雄大)にたずねると、一希(玉山鉄二)は由芽市で一世を風靡(ふうび)し、東京へも進出した経歴を持つロックバンドに所属していたと明かし、澪のスイッチが入る。  　早速、澪は一希を口説きに直接会いに行くが、ロックなんかで何も変わりはしない!という言葉と共に一蹴されてしまう。  　ロックを辞めたのにはなにか深い理由があるらしく、一希を迎え入れることはできるのか。澪は東京にいるまひるを動かし、一希の過去を探り始める。</t>
  </si>
  <si>
    <t>番組名&lt;木曜劇場&gt;カエルの王女さま　#04</t>
  </si>
  <si>
    <t>落ちこぼれミュージカルスターの倉坂澪(天海祐希)による指導のもとショークワイア「シャンソンズ」のメンバーは次第に少しずつながらも自信をつけ始めていた。過去の傷からなかなか立ち上がれない一希(玉山鉄二)の背中を押そうと、皆で歌った歌は確かに一希の心を揺り動かしたが、一歩踏み出せずにいた。一希に声をかけたのはまひる(大島優子)だった。自分もシャンソンズの歌で勇気をもらった。東京で就職試験を受けるために上京した際、恐ろしいほどの孤独感を味わったと告白する。まひるの言葉を聞いた一希に変化は現れるのか。  　そんな中、市民センター館長、香奈絵(久野綾希子)から嬉しいニュースが飛び込む。シャンソンズにローカルテレビ局のテレビ番組「こんにゃくイブニング」から取材依頼が飛び込んだというのだ。澪は最大限にこの機会を利用しようと考える。指導者としての自分がひきたつために選んだのが引っ込み思案で冴えないまひる。目立ちたくてしようがない他のメンバーからは非難ごうごう。忠子(石田ゆり子)も澪の強引なやり方が納得いかない。  　自分がまひるを鍛え直していく姿を映像化してもらおうと、まひるを中心としたショークワイアの構成を考える。澪が選んだ曲とは山口百恵の「ロックンロール・ウィドウ」などの女の魅力を爆発させる曲の数々。はたして澪の思惑通りに進むのか。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田中亮　    【プロデュース】  渡辺恒也　  大木綾子【主題歌】  家入レオ「Shine」フジテレビドラマ制作センター</t>
  </si>
  <si>
    <t>落ちこぼれミュージカルスターの倉坂澪(天海祐希)による指導のもとショークワイア「シャンソンズ」のメンバーは次第に少しずつながらも自信をつけ始めていた。過去の傷からなかなか立ち上がれない一希(玉山鉄二)の背中を押そうと、皆で歌った歌は確かに一希の心を揺り動かしたが、一歩踏み出せずにいた。一希に声をかけたのはまひる(大島優子)だった。自分もシャンソンズの歌で勇気をもらった。東京で就職試験を受けるために上京した際、恐ろしいほどの孤独感を味わったと告白する。まひるの言葉を聞いた一希に変化は現れるのか。  　そんな中、市民センター館長、香奈絵(久野綾希子)から嬉しいニュースが飛び込む。シャンソンズにローカルテレビ局のテレビ番組「こんにゃくイブニング」から取材依頼が飛び込んだというのだ。澪は最大限にこの機会を利用しようと考える。指導者としての自分がひきたつために選んだのが引っ込み思案で冴えないまひる。目立ちたくてしようがない他のメンバーからは非難ごうごう。忠子(石田ゆり子)も澪の強引なやり方が納得いかない。  　自分がまひるを鍛え直していく姿を映像化してもらおうと、まひるを中心としたショークワイアの構成を考える。澪が選んだ曲とは山口百恵の「ロックンロール・ウィドウ」などの女の魅力を爆発させる曲の数々。はたして澪の思惑通りに進むのか。</t>
  </si>
  <si>
    <t>番組名&lt;木曜劇場&gt;カエルの王女さま　#05</t>
  </si>
  <si>
    <t>倉坂澪(天海祐希)率いるシャンソンズと井坂清忠市長(岸部一徳)と娘婿・井坂哲郎(小泉孝太郎)との対立はいよいよヒートアップ!  　ローカルテレビ局の取材を喜んで受けたシャンソンズだったが、放送当日シャンソンズたちはその目を疑った。歌の収録しかしていないはずが、編集の段階で手が加えられ放送上では勝手にシャンソンズの活動終了が宣言されていた。音楽堂を取り壊し、ゴミ処理場を建設することが隣の安見市との合併の条件ということで、井坂市長は歌の火を再燃させるわけにはいかないとシャンソンズの息の根を完全に止めようと、いよいよ澪への追究の手を強める。澪のブロードウェイでの経歴を徹底調査する。  　テレビ局では不本意な放送のされ方だったが、由芽市では評判を呼び、着実に評価を高め、続いて安見学園大の学園祭への出演依頼が飛び込む。急遽盲腸のためメンバーが来られなくなったグループのピンチヒッターということで乗り気のしない澪だったが、学園祭が全国放送されたこともあると聞いて俄然やる気を出す。  　度胸もつけたシャンソンズに足りないのは「セクシーさ」ということで澪は今回のテーマは「ダンスナンバー」と発表する。ダンスには自信がある玲奈(片瀬那奈)はやる気を出す。その一方で、玲奈は思いを寄せる哲郎のために澪の経歴を探りにかかるが、なかなか決め手になる証拠をつかめずにいた。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田中亮　    【プロデュース】  渡辺恒也　  大木綾子【主題歌】  家入レオ「Shine」フジテレビドラマ制作センター</t>
  </si>
  <si>
    <t>倉坂澪(天海祐希)率いるシャンソンズと井坂清忠市長(岸部一徳)と娘婿・井坂哲郎(小泉孝太郎)との対立はいよいよヒートアップ!  　ローカルテレビ局の取材を喜んで受けたシャンソンズだったが、放送当日シャンソンズたちはその目を疑った。歌の収録しかしていないはずが、編集の段階で手が加えられ放送上では勝手にシャンソンズの活動終了が宣言されていた。音楽堂を取り壊し、ゴミ処理場を建設することが隣の安見市との合併の条件ということで、井坂市長は歌の火を再燃させるわけにはいかないとシャンソンズの息の根を完全に止めようと、いよいよ澪への追究の手を強める。澪のブロードウェイでの経歴を徹底調査する。  　テレビ局では不本意な放送のされ方だったが、由芽市では評判を呼び、着実に評価を高め、続いて安見学園大の学園祭への出演依頼が飛び込む。急遽盲腸のためメンバーが来られなくなったグループのピンチヒッターということで乗り気のしない澪だったが、学園祭が全国放送されたこともあると聞いて俄然やる気を出す。  　度胸もつけたシャンソンズに足りないのは「セクシーさ」ということで澪は今回のテーマは「ダンスナンバー」と発表する。ダンスには自信がある玲奈(片瀬那奈)はやる気を出す。その一方で、玲奈は思いを寄せる哲郎のために澪の経歴を探りにかかるが、なかなか決め手になる証拠をつかめずにいた。</t>
  </si>
  <si>
    <t>番組名&lt;木曜劇場&gt;カエルの王女さま　#06</t>
  </si>
  <si>
    <t>倉坂澪(天海祐希)に出されたアメリカのエージェントからの解雇通知を発見してしまった玲奈(片瀬那奈)は動揺を隠せない。澪の正体を暴こうと奔走していた哲郎(小泉孝太郎)は義父である市長、井坂清忠(岸部一徳)に澪の正体も暴けない上に玲奈との関係も疑われ、家を出るよう言い渡されてしまった。傷ついた哲郎のためになればと玲奈は解雇通知を哲郎の手に渡してしまうのだった。そうとは知らず、澪のもと結束を固めるシャンソンズは音楽堂廃止の署名集め運動を行い、ブロードウェイスター倉坂澪の名前を売りにして順調に署名を集めていた。人の心に訴えることの難しさを知った忠子(石田ゆり子)はうまく言葉にできない気持ちを歌で伝えたいと、シャンソンズのテーマにメッセージソングをあげる。忠子は曲目も考えてくるのだが、澪も任せていられない、曲は自分が決めると言い張り、2人の曲、どちらが人々の心をより強く打てるかで決めることに。　そんな中、澪の貯金も底をつきパチンコで一攫千金をねらうが大失敗。そこで偶然出会ったパチンコ好きの玉子(菊地美香)に指南されながらとりあえずのお金を手にすることに成功する。玉子頼みだったのに玉子の姿が練習室に見えない。実は夫の小さな裏切りや姑からの言葉に傷つき、歌えなくなってしまったというのだ。  　そして澪、シャンソンズを今までにない事態が襲う。井坂市長が練習室に乗りこんできたのだった。倉坂澪: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田中亮　    【プロデュース】  渡辺恒也　  大木綾子【主題歌】  家入レオ「Shine」フジテレビドラマ制作センター</t>
  </si>
  <si>
    <t>倉坂澪(天海祐希)に出されたアメリカのエージェントからの解雇通知を発見してしまった玲奈(片瀬那奈)は動揺を隠せない。澪の正体を暴こうと奔走していた哲郎(小泉孝太郎)は義父である市長、井坂清忠(岸部一徳)に澪の正体も暴けない上に玲奈との関係も疑われ、家を出るよう言い渡されてしまった。傷ついた哲郎のためになればと玲奈は解雇通知を哲郎の手に渡してしまうのだった。そうとは知らず、澪のもと結束を固めるシャンソンズは音楽堂廃止の署名集め運動を行い、ブロードウェイスター倉坂澪の名前を売りにして順調に署名を集めていた。人の心に訴えることの難しさを知った忠子(石田ゆり子)はうまく言葉にできない気持ちを歌で伝えたいと、シャンソンズのテーマにメッセージソングをあげる。忠子は曲目も考えてくるのだが、澪も任せていられない、曲は自分が決めると言い張り、2人の曲、どちらが人々の心をより強く打てるかで決めることに。　そんな中、澪の貯金も底をつきパチンコで一攫千金をねらうが大失敗。そこで偶然出会ったパチンコ好きの玉子(菊地美香)に指南されながらとりあえずのお金を手にすることに成功する。玉子頼みだったのに玉子の姿が練習室に見えない。実は夫の小さな裏切りや姑からの言葉に傷つき、歌えなくなってしまったというのだ。  　そして澪、シャンソンズを今までにない事態が襲う。井坂市長が練習室に乗りこんできたのだった。</t>
  </si>
  <si>
    <t>番組名&lt;木曜劇場&gt;カエルの王女さま　#07</t>
  </si>
  <si>
    <t>夫・哲郎(小泉孝太郎)と玲奈(片瀬那奈)との過去について知ってしまった忠子(石田ゆり子)は家を出てしまう。あわてふためく哲郎。由芽市では安見市との合併、ゴミ処理場建設市民説明会が行われ、ついに澪(天海祐希)は議会が条例を再検討するために必要な署名2000名分を集めたことを報告する。その場に集った人々の心にも確実に澪の言葉は響いていた。　そんな状況を前に、市長の井坂清忠(岸部一徳)もだまっていない。合唱コンクールの県大会優勝候補である安見市女声合唱団は優勝に向けドイツ・ベルリンから合唱団の指揮者を招請したと伝え、シャンソンズに勝算はあるのかと澪に迫る。市長の挑発にのって澪は県大会で優勝できなければ解散すると断言してしまう。  　実際には何の秘策もなく頭を抱える澪に、追い打ちをかけるように一希(玉山鉄二)の「あんたのせいであいつらは夢や目標を失う」という言葉が突き刺さるのだった。  　そんな中、テレビを見ていた澪はかつて日本で属していた劇団でのパートナーであり元恋人だった三宅光矢(石井竜也)がパリ、オペラ座での公演を成功裏におさめ、東京での凱旋(がいせん)公演のため日本に戻ってきたことを知る。そこで澪はある秘策を思いつき、シャンソンズには刺激を受け感性を磨くためと伝え東京に向かうのだった。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　    三宅光矢:　石井竜也【脚本】  吉田智子【演出】  田中亮　    【プロデュース】  渡辺恒也　  大木綾子【主題歌】  家入レオ「Shine」フジテレビドラマ制作センター</t>
  </si>
  <si>
    <t>夫・哲郎(小泉孝太郎)と玲奈(片瀬那奈)との過去について知ってしまった忠子(石田ゆり子)は家を出てしまう。あわてふためく哲郎。由芽市では安見市との合併、ゴミ処理場建設市民説明会が行われ、ついに澪(天海祐希)は議会が条例を再検討するために必要な署名2000名分を集めたことを報告する。その場に集った人々の心にも確実に澪の言葉は響いていた。　そんな状況を前に、市長の井坂清忠(岸部一徳)もだまっていない。合唱コンクールの県大会優勝候補である安見市女声合唱団は優勝に向けドイツ・ベルリンから合唱団の指揮者を招請したと伝え、シャンソンズに勝算はあるのかと澪に迫る。市長の挑発にのって澪は県大会で優勝できなければ解散すると断言してしまう。  　実際には何の秘策もなく頭を抱える澪に、追い打ちをかけるように一希(玉山鉄二)の「あんたのせいであいつらは夢や目標を失う」という言葉が突き刺さるのだった。  　そんな中、テレビを見ていた澪はかつて日本で属していた劇団でのパートナーであり元恋人だった三宅光矢(石井竜也)がパリ、オペラ座での公演を成功裏におさめ、東京での凱旋(がいせん)公演のため日本に戻ってきたことを知る。そこで澪はある秘策を思いつき、シャンソンズには刺激を受け感性を磨くためと伝え東京に向かうのだった。</t>
  </si>
  <si>
    <t>番組名&lt;木曜劇場&gt;カエルの王女さま　#08</t>
  </si>
  <si>
    <t>澪(天海祐希)は一希(玉山鉄二)に合唱コンクール県大会になんとしても優勝するため、シャンソンズのためにオリジナル曲を作ってほしいと依頼する。が一希は一向に首を縦に振らない。そんな中、一希に追い打ちをかけるように工場閉鎖が告げられる。工場封鎖にショックを受ける忍(千葉雄大)たちだが一希には工場閉鎖に伴い、より深刻な問題が勃発していた。　南(福原美穂)も店をクビになったりと、そこかしこで由芽市の窮状悪化により市民たちの生活に大きな打撃が与えられていた。一希の問題のことは知らずに、ひたすらシャンソンズのメンバーは曲の仕上がりを待っていた。その間練習を重ねるシャンソンズはさらに敵情視察として安見市女声合唱団の練習をのぞきに行く。澪はそこで昔からの知人、こずえ(根岸季衣)に出会う。今は安見市女声合唱団のソリスト。そのこずえから澪は意外な提案を受けるのだった。  　一希は1人問題を解決するべく金の工面に走り回るも、解決の道はなかなか見つからぬまま県大会の日は迫って来る。一希はいったい曲を書き上げることができるのか。  　そしてシャンソンズは無事県大会に出場し、優勝を勝ち取ることができるのか!?倉坂澪: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光野道男　    【プロデュース】  渡辺恒也　  大木綾子【主題歌】  家入レオ「Shine」フジテレビドラマ制作センター</t>
  </si>
  <si>
    <t>澪(天海祐希)は一希(玉山鉄二)に合唱コンクール県大会になんとしても優勝するため、シャンソンズのためにオリジナル曲を作ってほしいと依頼する。が一希は一向に首を縦に振らない。そんな中、一希に追い打ちをかけるように工場閉鎖が告げられる。工場封鎖にショックを受ける忍(千葉雄大)たちだが一希には工場閉鎖に伴い、より深刻な問題が勃発していた。　南(福原美穂)も店をクビになったりと、そこかしこで由芽市の窮状悪化により市民たちの生活に大きな打撃が与えられていた。一希の問題のことは知らずに、ひたすらシャンソンズのメンバーは曲の仕上がりを待っていた。その間練習を重ねるシャンソンズはさらに敵情視察として安見市女声合唱団の練習をのぞきに行く。澪はそこで昔からの知人、こずえ(根岸季衣)に出会う。今は安見市女声合唱団のソリスト。そのこずえから澪は意外な提案を受けるのだった。  　一希は1人問題を解決するべく金の工面に走り回るも、解決の道はなかなか見つからぬまま県大会の日は迫って来る。一希はいったい曲を書き上げることができるのか。  　そしてシャンソンズは無事県大会に出場し、優勝を勝ち取ることができるのか!?</t>
  </si>
  <si>
    <t>番組名&lt;木曜劇場&gt;カエルの王女さま　#09</t>
  </si>
  <si>
    <t>シャンソンズは県大会で優勝できず、約束通り解散することとなってしまった。あっという間に練習室も閉め出され失意の中、澪(天海祐希)は音楽堂での公演実現のために今は一旦解散し、反撃の機会をねらおうと皆を励ます。が、音楽堂の取り壊しまで19日、という中でそんな余裕はないと忠子(石田ゆり子)は反論する。ついに忠子が「ケリをつける」と父親、井坂清忠由芽市市長(岸部一徳)と対峙することを決意する。　澪も一方で、ここまで清忠がシャンソンズを忌み嫌う理由を探るため、香奈絵(久野綾希子)に会いに行き、そこで意外な写真を見せられ驚く。そこにはLOVE&amp;PEACEと書かれたTシャツを着たヒッピー姿の若者の姿が。それはまぎれもなく井坂清忠、彼だった。直接理由を聞きに澪は清忠に会いに行く。そこで聞かされたのは、音楽堂は歌で町おこしを狙い、清忠の父親が50億もの金をかけて建設したもので、これが町を財政難に追い込んでしまった諸悪の根源だという話だった。  　一希(玉山鉄二)も、自分たちが父親になった時に子どもたちに何を残せるのか、ということを考えていると忍(千葉雄大)に語っている時に、忍の実家の写真館でさらにある写真を見つける。ここにこそ、清忠の過去を探るヒントがあるのだった。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西坂瑞城　    【プロデュース】  渡辺恒也　  大木綾子【主題歌】  家入レオ「Shine」フジテレビドラマ制作センター</t>
  </si>
  <si>
    <t>シャンソンズは県大会で優勝できず、約束通り解散することとなってしまった。あっという間に練習室も閉め出され失意の中、澪(天海祐希)は音楽堂での公演実現のために今は一旦解散し、反撃の機会をねらおうと皆を励ます。が、音楽堂の取り壊しまで19日、という中でそんな余裕はないと忠子(石田ゆり子)は反論する。ついに忠子が「ケリをつける」と父親、井坂清忠由芽市市長(岸部一徳)と対峙することを決意する。　澪も一方で、ここまで清忠がシャンソンズを忌み嫌う理由を探るため、香奈絵(久野綾希子)に会いに行き、そこで意外な写真を見せられ驚く。そこにはLOVE&amp;PEACEと書かれたTシャツを着たヒッピー姿の若者の姿が。それはまぎれもなく井坂清忠、彼だった。直接理由を聞きに澪は清忠に会いに行く。そこで聞かされたのは、音楽堂は歌で町おこしを狙い、清忠の父親が50億もの金をかけて建設したもので、これが町を財政難に追い込んでしまった諸悪の根源だという話だった。  　一希(玉山鉄二)も、自分たちが父親になった時に子どもたちに何を残せるのか、ということを考えていると忍(千葉雄大)に語っている時に、忍の実家の写真館でさらにある写真を見つける。ここにこそ、清忠の過去を探るヒントがあるのだった。</t>
  </si>
  <si>
    <t>番組名&lt;木曜劇場&gt;カエルの王女さま　#10</t>
  </si>
  <si>
    <t>澪(天海祐希)、忠子(石田ゆり子)らの奮闘により、シャンソンズを忌み嫌い音楽堂の廃止を訴えていた由芽市市長の井坂清忠(岸部一徳)の心のわだかまりも晴れ、ついに市長は音楽堂での公演を1日だけ許可してくれた。と喜んだのもつかの間、心労から澪の恩師、香奈絵(久野綾希子)が倒れる。手術が必要と聞きショックを隠せないシャンソンズの面々。が、香奈絵は音楽堂でのコンサートを見たいから手術をがんばると澪、忠子に伝える。その声を物陰で清忠も聞いていた。香奈絵の気持ちを受けとめた澪はシャンソンズの皆を、こんな時だからこそ歌おう!と励ますのだった。そこに現れた清忠は、音楽堂での1回の公演の採算がとれるようにチケットを売ってみるよう勧めただけでなく、今後もシャンソンズの歌により採算がとれる可能性が見いだせるのであれば、音楽堂の取り壊しは撤回し、ゴミ処理場の代替地を用意する、とまで宣言する。　シャンソンズのメンバーは皆で歌への猛特訓、チケット販売にと奔走する。そんな中、由芽市を訪れるある男の姿が。そう、澪のニューヨークの元エージェント、ピート佐藤(草刈正雄)だ。ブロードウェイのオファーがあると澪に伝えに来たのだった。動揺する澪。音楽堂の命運が決まるたった1日のコンサートまであと1週間。澪は自分の夢を選ぶのか、それともシャンソンズと共に歩み続けるのか・・・!苦渋の選択を前に澪は・・・。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西坂瑞城　    【プロデュース】  渡辺恒也　  大木綾子【主題歌】  家入レオ「Shine」フジテレビドラマ制作センター</t>
  </si>
  <si>
    <t>澪(天海祐希)、忠子(石田ゆり子)らの奮闘により、シャンソンズを忌み嫌い音楽堂の廃止を訴えていた由芽市市長の井坂清忠(岸部一徳)の心のわだかまりも晴れ、ついに市長は音楽堂での公演を1日だけ許可してくれた。と喜んだのもつかの間、心労から澪の恩師、香奈絵(久野綾希子)が倒れる。手術が必要と聞きショックを隠せないシャンソンズの面々。が、香奈絵は音楽堂でのコンサートを見たいから手術をがんばると澪、忠子に伝える。その声を物陰で清忠も聞いていた。香奈絵の気持ちを受けとめた澪はシャンソンズの皆を、こんな時だからこそ歌おう!と励ますのだった。そこに現れた清忠は、音楽堂での1回の公演の採算がとれるようにチケットを売ってみるよう勧めただけでなく、今後もシャンソンズの歌により採算がとれる可能性が見いだせるのであれば、音楽堂の取り壊しは撤回し、ゴミ処理場の代替地を用意する、とまで宣言する。　シャンソンズのメンバーは皆で歌への猛特訓、チケット販売にと奔走する。そんな中、由芽市を訪れるある男の姿が。そう、澪のニューヨークの元エージェント、ピート佐藤(草刈正雄)だ。ブロードウェイのオファーがあると澪に伝えに来たのだった。動揺する澪。音楽堂の命運が決まるたった1日のコンサートまであと1週間。澪は自分の夢を選ぶのか、それともシャンソンズと共に歩み続けるのか・・・!苦渋の選択を前に澪は・・・。</t>
  </si>
  <si>
    <t>番組名&lt;木曜劇場&gt;カエルの王女さま　#11</t>
  </si>
  <si>
    <t>澪(天海祐希)、忠子(石田ゆり子)がせっかく井坂清忠由芽市市長(岸部一徳)から音楽堂での1日限りのコンサートの了解を得、病に倒れた香奈絵(久野綾希子)のためにもがんばろうと立ち上がったところへ、無惨にも工事を進める重機がうなりを上げて入ってくる。  　来週のはずの工事が明後日になったという。元請けは安見重建だと語る。哲郎(小泉孝太郎)が調べてみると、ゴミ処理場建設に関わる孫請け業者がいつのまにかすべて安見重建の関連会社に変わっていたことが判明する。さらに安見重建の経営は由芽市を合併しようとしている鴻池正勝安見市市長(ミッキー・カーチス)の三男・瞬也だった。談合のにおいを感じ取った清忠と哲郎は調べに入る。清忠は安見重建のことは由芽市市長の責任としてなんとかすると澪に宣言。音楽堂を1000人の客で埋め尽くし、未来への可能性を見せてほしい、と澪に清忠は語り、澪もその気持ちをしかと受けとめたのだった。澪はシャンソンズに対し、日程の変更、残りのチケットの販売、そして歌とダンスの習得、さらには会場、衣裳の準備すべてを1日でやりとげ、明後日音楽堂でコンサートを開こうと訴える。その言葉に応えシャンソンズと清忠、哲郎も安見市の不正を暴くために奔走していた。果たしてシャンソンズのコンサートは無事開かれるのか、由芽市の命運は!?そして、澪の夢はどうなるのか・・・!?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光野道夫　    【プロデュース】  渡辺恒也　  大木綾子【主題歌】  家入レオ「Shine」フジテレビドラマ制作センター</t>
  </si>
  <si>
    <t>澪(天海祐希)、忠子(石田ゆり子)がせっかく井坂清忠由芽市市長(岸部一徳)から音楽堂での1日限りのコンサートの了解を得、病に倒れた香奈絵(久野綾希子)のためにもがんばろうと立ち上がったところへ、無惨にも工事を進める重機がうなりを上げて入ってくる。  　来週のはずの工事が明後日になったという。元請けは安見重建だと語る。哲郎(小泉孝太郎)が調べてみると、ゴミ処理場建設に関わる孫請け業者がいつのまにかすべて安見重建の関連会社に変わっていたことが判明する。さらに安見重建の経営は由芽市を合併しようとしている鴻池正勝安見市市長(ミッキー・カーチス)の三男・瞬也だった。談合のにおいを感じ取った清忠と哲郎は調べに入る。清忠は安見重建のことは由芽市市長の責任としてなんとかすると澪に宣言。音楽堂を1000人の客で埋め尽くし、未来への可能性を見せてほしい、と澪に清忠は語り、澪もその気持ちをしかと受けとめたのだった。澪はシャンソンズに対し、日程の変更、残りのチケットの販売、そして歌とダンスの習得、さらには会場、衣裳の準備すべてを1日でやりとげ、明後日音楽堂でコンサートを開こうと訴える。その言葉に応えシャンソンズと清忠、哲郎も安見市の不正を暴くために奔走していた。果たしてシャンソンズのコンサートは無事開かれるのか、由芽市の命運は!?そして、澪の夢はどうなるのか・・・!?</t>
  </si>
  <si>
    <t>1204_CX_土23</t>
  </si>
  <si>
    <t>未来日記</t>
  </si>
  <si>
    <t>番組名&lt;土ドラ&gt;未来日記-ANOTHER:WORLD-　#01</t>
  </si>
  <si>
    <t>努力するだけ無駄、未来なんて変えられない、惰性を絵に描いたような大学3年生、星野新太(岡田将生)は、就職活動の時期にも関わらず、毎日を何となく過ごしていた。  　ある日、同級生の森口類(本郷奏多)が新太のところへ就職セミナーの資料を持ってくるが、関心のない様子。そこへ新太を慕う後輩の高坂王子(菊池風磨)がやってきて3人で話していると、類が新太の携帯に飲み物をこぼしてしまった。壊してしまった類は、2台持っていたクロノス限定のスマートフォンを代わりにと新太へ渡す。ずっとこのスマートフォンがほしかった新太は嬉しそうな様子。自宅に戻った新太は何気なく日記アプリをインストールし、「将来なんて考えたくない」と書き込む。  　翌朝、新太に不思議なことが起きる。書いてもない日記が次々に更新されていくのだ。しかも更新される日記は「過去」を描いたものでなく「未来」を描いたもの。新太が類から手渡されたスマートフォンは『未来日記』だったのだ。未来を手にした新太は意気揚々。  　そんな時、新太の前に謎めいた美少女・古崎由乃(剛力彩芽)が現れた。由乃は新太と同じく『未来日記』の所有者で、新太を盲目的に愛し、新太の行くところには必ず現れ、新太のことは何でも知っていた。この一方的に想いをよせる由乃の奇抜な行動に戸惑う新太。さらに新太に衝撃が走る。なんと未来日記に「星野新太、死亡=DEAD　END」と表示される。岡田将生　  剛力彩芽　  本郷奏多　  福田麻由子　  菊池風磨(Sexy　Zone)　  中村ゆり　  富永沙織　  平賀雅臣  　・　  平岡祐太　  二階堂ふみ  　・　  岡田義徳　  宮崎美子　  光石研　  佐野史郎【原作】  『未来日記』えすのサカエ(角川書店)    【シリーズ構成】  渡辺雄介    【脚本】  桑村さや香【プロデューサー】  藤野良太    【演出】  並木道子福廣秀一朗　  主題歌:柴咲コウ『ANOTHER:WORLD』(NAYUTAWAVE　RECORDS)フジテレビドラマ制作センター</t>
  </si>
  <si>
    <t>努力するだけ無駄、未来なんて変えられない、惰性を絵に描いたような大学3年生、星野新太(岡田将生)は、就職活動の時期にも関わらず、毎日を何となく過ごしていた。  　ある日、同級生の森口類(本郷奏多)が新太のところへ就職セミナーの資料を持ってくるが、関心のない様子。そこへ新太を慕う後輩の高坂王子(菊池風磨)がやってきて3人で話していると、類が新太の携帯に飲み物をこぼしてしまった。壊してしまった類は、2台持っていたクロノス限定のスマートフォンを代わりにと新太へ渡す。ずっとこのスマートフォンがほしかった新太は嬉しそうな様子。自宅に戻った新太は何気なく日記アプリをインストールし、「将来なんて考えたくない」と書き込む。  　翌朝、新太に不思議なことが起きる。書いてもない日記が次々に更新されていくのだ。しかも更新される日記は「過去」を描いたものでなく「未来」を描いたもの。新太が類から手渡されたスマートフォンは『未来日記』だったのだ。未来を手にした新太は意気揚々。  　そんな時、新太の前に謎めいた美少女・古崎由乃(剛力彩芽)が現れた。由乃は新太と同じく『未来日記』の所有者で、新太を盲目的に愛し、新太の行くところには必ず現れ、新太のことは何でも知っていた。この一方的に想いをよせる由乃の奇抜な行動に戸惑う新太。さらに新太に衝撃が走る。なんと未来日記に「星野新太、死亡=DEAD　END」と表示される。</t>
  </si>
  <si>
    <t>番組名&lt;土ドラ&gt;未来日記-ANOTHER:WORLD-　#02</t>
  </si>
  <si>
    <t>星野新太(岡田将生)、古崎由乃(剛力彩芽)、森口類(本郷奏多)、沖江春奈(福田麻由子)は新太と由乃の「未来日記」の画面に現れたゲームの主催者・デウスからのメッセージをみる。デウスは「未来日記」を所持するのが7名で、残り1名になるまでお互いを殺し合え、と指示。最後まで生き残ったものには、素晴らしい未来を与えると約束した。  　そんな新太たちを物陰から見つめる制服姿の少女がいた。その少女・不破めぐみ(二階堂ふみ)も「未来日記」の所有者だった。その後、類は自分を訪ねてきた刑事で「未来日記」所有者の萩戸(岡田義徳)に、デウスから聞いたことを話す。そもそも、誘拐された類の妹・春奈を返還するため、類が犯人から指定された新太・由乃・萩戸・めぐみの4人に「未来日記」を渡したことで、“ゲーム"は始まったのだ。  　同じ頃、新太と由乃は、いちるの望みを持って新太の父・九郎(光石研)が勤めるクロノスシード社を訪ねたが、九郎は在籍していなかった。自分が父を殺してしまったかもしれない、と落ち込む新太に由乃は、ゲームに勝って最後のひとりに残れば九郎を取り戻せるはずだと話す。新太は信じられないが、由乃はそれがルールだから、と笑顔を見せた。  　その後、類とめぐみが話しているところに新太がやってきた。類は新太に、めぐみが自分が家庭教師として面倒をみていた生徒だと話す。岡田将生　  剛力彩芽　  本郷奏多　  福田麻由子　  菊池風磨(Sexy　Zone)　  中村ゆり　  富永沙織　  平賀雅臣  　・　  平岡祐太　  二階堂ふみ  　・　  岡田義徳　  宮崎美子　  光石研　  佐野史郎【原作】  『未来日記』えすのサカエ(角川書店)    【シリーズ構成】  渡辺雄介    【脚本】  桑村さや香【プロデューサー】  藤野良太　    【演出】  並木道子福廣秀一朗　  主題歌:柴咲コウ『ANOTHER:WORLD』(NAYUTAWAVE　RECORDS)フジテレビドラマ制作センター</t>
  </si>
  <si>
    <t>星野新太(岡田将生)、古崎由乃(剛力彩芽)、森口類(本郷奏多)、沖江春奈(福田麻由子)は新太と由乃の「未来日記」の画面に現れたゲームの主催者・デウスからのメッセージをみる。デウスは「未来日記」を所持するのが7名で、残り1名になるまでお互いを殺し合え、と指示。最後まで生き残ったものには、素晴らしい未来を与えると約束した。  　そんな新太たちを物陰から見つめる制服姿の少女がいた。その少女・不破めぐみ(二階堂ふみ)も「未来日記」の所有者だった。その後、類は自分を訪ねてきた刑事で「未来日記」所有者の萩戸(岡田義徳)に、デウスから聞いたことを話す。そもそも、誘拐された類の妹・春奈を返還するため、類が犯人から指定された新太・由乃・萩戸・めぐみの4人に「未来日記」を渡したことで、“ゲーム"は始まったのだ。  　同じ頃、新太と由乃は、いちるの望みを持って新太の父・九郎(光石研)が勤めるクロノスシード社を訪ねたが、九郎は在籍していなかった。自分が父を殺してしまったかもしれない、と落ち込む新太に由乃は、ゲームに勝って最後のひとりに残れば九郎を取り戻せるはずだと話す。新太は信じられないが、由乃はそれがルールだから、と笑顔を見せた。  　その後、類とめぐみが話しているところに新太がやってきた。類は新太に、めぐみが自分が家庭教師として面倒をみていた生徒だと話す。</t>
  </si>
  <si>
    <t>番組名&lt;土ドラ&gt;未来日記-ANOTHER:WORLD-　#03</t>
  </si>
  <si>
    <t>星野新太(岡田将生)は、目を覚ますと古崎由乃(剛力彩芽)の自宅のソファにいた。服を着ていない自分に驚き由乃に尋ねるが、由乃は笑顔ではぐらかす。そんななか、テレビのニュースは、3人の被害者を出している連続通り魔事件について伝えていた。そのとき、新太の未来日記から更新音が鳴り、画面に「古崎由乃の家で通り魔を殺した」と表示された。  　そこへ、兄にお見舞いを頼まれたと言って森口類(本郷奏多)の妹の沖江春奈(福田麻由子)がやってくる。3時間後に通り魔を殺すかもしれない新太は春奈に帰るよう促し、春奈は由乃の家を後にした。そんな姿を、隠しカメラがとらえていたーー。  　同じ頃、高坂王子(菊池風磨)は、類に新太と由乃の2ショット写真を見せ、ふたりはどんな関係なのか、と聞き出そうとしていた。  　また、星野九郎(光石研)の失踪を不審に思ったクロノスシード社の社員が警察に捜査依頼を出し、萩戸金次郎(岡田義徳)が事情聴取にやってくる。ちょうどその頃、社長の木部徹(佐野史郎)が記者たちに囲まれていた。自社のスマートフォンが犯罪に使われていることについて聞かれた木部は、ある意味誇りだ、などと記者を煽るような発言をする。  　未来日記が予告した時間が近づくなか、新太に類からパソコンを見ろ、と電話が入る。そこにはなんと九郎からの動画メッセージが上がっていたのだった。岡田将生　  剛力彩芽　  本郷奏多　  福田麻由子　  菊池風磨(Sexy　Zone)　  中村ゆり　  富永沙織　  平賀雅臣  　・　  平岡祐太　  二階堂ふみ  　・　  岡田義徳　  宮崎美子　  光石研　  佐野史郎【原作】  『未来日記』えすのサカエ(角川書店)    【シリーズ構成】  渡辺雄介    【脚本】  早船歌江子【プロデューサー】  藤野良太　    【演出】  宮木正悟福廣秀一朗　  主題歌:柴咲コウ『ANOTHER:WORLD』(NAYUTAWAVE　RECORDS)フジテレビドラマ制作センター</t>
  </si>
  <si>
    <t>星野新太(岡田将生)は、目を覚ますと古崎由乃(剛力彩芽)の自宅のソファにいた。服を着ていない自分に驚き由乃に尋ねるが、由乃は笑顔ではぐらかす。そんななか、テレビのニュースは、3人の被害者を出している連続通り魔事件について伝えていた。そのとき、新太の未来日記から更新音が鳴り、画面に「古崎由乃の家で通り魔を殺した」と表示された。  　そこへ、兄にお見舞いを頼まれたと言って森口類(本郷奏多)の妹の沖江春奈(福田麻由子)がやってくる。3時間後に通り魔を殺すかもしれない新太は春奈に帰るよう促し、春奈は由乃の家を後にした。そんな姿を、隠しカメラがとらえていたーー。  　同じ頃、高坂王子(菊池風磨)は、類に新太と由乃の2ショット写真を見せ、ふたりはどんな関係なのか、と聞き出そうとしていた。  　また、星野九郎(光石研)の失踪を不審に思ったクロノスシード社の社員が警察に捜査依頼を出し、萩戸金次郎(岡田義徳)が事情聴取にやってくる。ちょうどその頃、社長の木部徹(佐野史郎)が記者たちに囲まれていた。自社のスマートフォンが犯罪に使われていることについて聞かれた木部は、ある意味誇りだ、などと記者を煽るような発言をする。  　未来日記が予告した時間が近づくなか、新太に類からパソコンを見ろ、と電話が入る。そこにはなんと九郎からの動画メッセージが上がっていたのだった。</t>
  </si>
  <si>
    <t>番組名&lt;土ドラ&gt;未来日記-ANOTHER:WORLD-　#04</t>
  </si>
  <si>
    <t>番組HP    http://www.fujitv.co.jp/mirai-nikki/　星野新太(岡田将生)、古崎由乃(剛力彩芽)、森口類(本郷奏多)、沖江春奈(福田麻由子)は、萩戸金次郎(岡田義徳)から、ゲームの主催者“デウス"とクロノス社の社長・木部徹(佐野史郎)が何らかの関係があるらしいと聞く。  　数日後、大学にいた新太は類から「クロノスシード社　会社説明会」と書かれたプリントを見せられる。クロノス社に潜入できる千載一遇のチャンスに、新太と類は真剣な表情になるが、何も知らない高坂王子(菊池風磨)は自分も一緒に行く、と嬉しそうに身を乗り出す。  　翌日、リクルートスーツに身を包んだ新太、由乃、類、春奈がクロノス社にやってきた。ほかの学生たちが会社説明会会場に進むなか、新太たちは反対方向へと進んでいく。  　その頃、萩戸は同社の社長室で木部と対面していた。木部は萩戸に「彼らをここへ連れてくることが条件」だと言い、萩戸も自分が連絡すればすぐにやってくるから、と答えた。  　するとそこへ、類の携帯に萩戸からメールが届く。類が指示に従おうと動いたとき、新太と由乃の未来日記が更新され、「萩戸金次郎に銃で撃たれる」というメッセージが表示された。驚く新太に類は、デウスがデタラメに送っただけだと言い、萩戸から指示された場所へと急ぐ。  　そしてやってきた場所で、新太たちは萩戸と落ち合うのだったが・・・。岡田将生　  剛力彩芽　  本郷奏多　  福田麻由子　  菊池風磨(Sexy　Zone)　  中村ゆり　  富永沙織　  平賀雅臣  　・　  平岡祐太　  二階堂ふみ  　・　  岡田義徳　  宮崎美子　  光石研　  佐野史郎【原作】  『未来日記』えすのサカエ(角川書店)    【シリーズ構成】  渡辺雄介    【脚本】  早船歌江子【プロデューサー】  藤野良太　    【演出】  宮木正悟福廣秀一朗　  主題歌:柴咲コウ『ANOTHER:WORLD』(NAYUTAWAVE　RECORDS)フジテレビドラマ制作センター</t>
  </si>
  <si>
    <t>番組HP    http://www.fujitv.co.jp/mirai-nikki/　星野新太(岡田将生)、古崎由乃(剛力彩芽)、森口類(本郷奏多)、沖江春奈(福田麻由子)は、萩戸金次郎(岡田義徳)から、ゲームの主催者“デウス"とクロノス社の社長・木部徹(佐野史郎)が何らかの関係があるらしいと聞く。  　数日後、大学にいた新太は類から「クロノスシード社　会社説明会」と書かれたプリントを見せられる。クロノス社に潜入できる千載一遇のチャンスに、新太と類は真剣な表情になるが、何も知らない高坂王子(菊池風磨)は自分も一緒に行く、と嬉しそうに身を乗り出す。  　翌日、リクルートスーツに身を包んだ新太、由乃、類、春奈がクロノス社にやってきた。ほかの学生たちが会社説明会会場に進むなか、新太たちは反対方向へと進んでいく。  　その頃、萩戸は同社の社長室で木部と対面していた。木部は萩戸に「彼らをここへ連れてくることが条件」だと言い、萩戸も自分が連絡すればすぐにやってくるから、と答えた。  　するとそこへ、類の携帯に萩戸からメールが届く。類が指示に従おうと動いたとき、新太と由乃の未来日記が更新され、「萩戸金次郎に銃で撃たれる」というメッセージが表示された。驚く新太に類は、デウスがデタラメに送っただけだと言い、萩戸から指示された場所へと急ぐ。  　そしてやってきた場所で、新太たちは萩戸と落ち合うのだったが・・・。</t>
  </si>
  <si>
    <t>番組名&lt;土ドラ&gt;未来日記-ANOTHER:WORLD-　#05</t>
  </si>
  <si>
    <t>「2012ロンドンオリンピックバレーボール世界最終予選　女子日本×ペルー」延長の際、放送時間繰り下げの場合あり。      番組HP    http://www.fujitv.co.jp/mirai-nikki/　意識を取り戻した星野新太(岡田将生)、古崎由乃(剛力彩芽)、沖江春奈(福田麻由子)は、お互いの無事を喜ぶが、そこに森口類(本郷奏多)の姿はなかった。  　その頃、類はクロノス社の社長室で萩戸金次郎(岡田義徳)の消失を目にし、愕然としていた。社長・木部徹(佐野史郎)が自身の未来日記を確認すると、「DEAD　END」の表示が消えていく。ところが次の瞬間、ザザッというノイズ音がし再び「DEAD　END」の表示が。木部は内線を手に取ると、社内にいる新太ら未来日記の所有者を捕らえろ、と命じた。  　それを聞いた類は、新太たちのところへ駆け込み、木部に狙われているから逃げろ、と指示。そこへ、3人のSPがやってくる。新太たちは慌てて逃げ出すが、そのときSPがスマートフォンを手にしているのを目撃する。  　新太たちは、なんとか無人の部屋に逃げ込むが、類は萩戸が守ろうとしていた人質・上原倫子(中村ゆり)を返してもらうと言って木部の元に戻っていく。不安がる春奈に新太は、安全な隠れ場所が見つかったら自分が類を助けに行く、と約束。由乃は反発するが、新太はデウスかもしれない木部に会うために潜入したのだから逃げられない、と言い切る。すると、由乃が木部はデウスではないから会う必要がない、と返した。なぜそんなことがわかるのか、と尋ねた春奈に、由乃は答えられない。新太もそんな由乃に引っかかりを感じ…。岡田将生　  剛力彩芽　  本郷奏多　  福田麻由子　  菊池風磨(Sexy　Zone)　  中村ゆり　  富永沙織　  平賀雅臣  　・　  平岡祐太　  二階堂ふみ  　・　  岡田義徳　  宮崎美子　  光石研　  佐野史郎【原作】  『未来日記』えすのサカエ(角川書店)    【シリーズ構成】  渡辺雄介    【脚本】  桑村さか香【プロデューサー】  藤野良太    【演出】  並木道子福廣秀一朗　  主題歌:柴咲コウ『ANOTHER:WORLD』(NAYUTAWAVE　RECORDS)フジテレビドラマ制作センター</t>
  </si>
  <si>
    <t>「2012ロンドンオリンピックバレーボール世界最終予選　女子日本×ペルー」延長の際、放送時間繰り下げの場合あり。      番組HP    http://www.fujitv.co.jp/mirai-nikki/　意識を取り戻した星野新太(岡田将生)、古崎由乃(剛力彩芽)、沖江春奈(福田麻由子)は、お互いの無事を喜ぶが、そこに森口類(本郷奏多)の姿はなかった。  　その頃、類はクロノス社の社長室で萩戸金次郎(岡田義徳)の消失を目にし、愕然としていた。社長・木部徹(佐野史郎)が自身の未来日記を確認すると、「DEAD　END」の表示が消えていく。ところが次の瞬間、ザザッというノイズ音がし再び「DEAD　END」の表示が。木部は内線を手に取ると、社内にいる新太ら未来日記の所有者を捕らえろ、と命じた。  　それを聞いた類は、新太たちのところへ駆け込み、木部に狙われているから逃げろ、と指示。そこへ、3人のSPがやってくる。新太たちは慌てて逃げ出すが、そのときSPがスマートフォンを手にしているのを目撃する。  　新太たちは、なんとか無人の部屋に逃げ込むが、類は萩戸が守ろうとしていた人質・上原倫子(中村ゆり)を返してもらうと言って木部の元に戻っていく。不安がる春奈に新太は、安全な隠れ場所が見つかったら自分が類を助けに行く、と約束。由乃は反発するが、新太はデウスかもしれない木部に会うために潜入したのだから逃げられない、と言い切る。すると、由乃が木部はデウスではないから会う必要がない、と返した。なぜそんなことがわかるのか、と尋ねた春奈に、由乃は答えられない。新太もそんな由乃に引っかかりを感じ…。</t>
  </si>
  <si>
    <t>番組名&lt;土ドラ&gt;未来日記-ANOTHER:WORLD-　#06</t>
  </si>
  <si>
    <t>「2012ロンドンオリンピックバレーボール世界最終予選　女子　日本×ロシア」延長の際、放送時間繰り下げの場合あり。    番組HP    http://www.fujitv.co.jp/mirai-nikki/　ベッドに手足を拘束された星野新太(岡田将生)は、古崎由乃(剛力彩芽)に何を隠しているのか、と問い詰めるが、由乃ははぐらかす。そんなとき、ふたりの「未来日記」にデウスからメッセージが届く。デウスは、ゲームに勝ち残っている新太、由乃、沖江春奈(福田麻由子)の3人で残り3日を戦い抜け、と命じた。このままでは新太が春奈に殺されてしまうと焦る由乃は、ナイフを手にして春奈を殺しに行こうとする。  　同じ頃、森口類(本郷奏多)は、「未来日記」によって人間が消失するシステムを解明しようと図書館で調べ物をしていた。そこに春奈がいたので新太の所在を尋ねると、新太はまだ迷っているがもうすぐ答えを出すはずだ、と言って「未来日記」を指し示す。そんなところへ、高坂王子(菊池風磨)が小学生くらいの子供を連れてやってくる。塾のアルバイトで知り合った子供たちに、大学見学ツアーをしているところだと言う。  　一方、由乃の家から脱出した新太は、電話で呼び出した類を待っていた。するとそこに、春奈がやってきた。春奈は、新太に起こったことすべてを知っていて、由乃の「未来日記」を壊してくれと頼む。新太は自分のポケットにある由乃の「未来日記」を意識する。そこに類が到着した。新太と春奈を戦わせたくない類は、ふたりに「未来日記」を渡してしまった自分を責める。そして新太の「未来日記」でDEAD　ENDのカウントダウンが迫り・・・。岡田将生　  剛力彩芽　  本郷奏多　  福田麻由子　  菊池風磨(Sexy　Zone)　  中村ゆり　  富永沙織　  平賀雅臣  　・　  平岡祐太　  二階堂ふみ  　・　  岡田義徳　  宮崎美子　  光石研　  佐野史郎【原作】  『未来日記』えすのサカエ(角川書店)    【シリーズ構成】  渡辺雄介    【脚本】  早船歌江子【プロデューサー】  藤野良太    【演出】  並木道子福廣秀一朗　  主題歌:柴咲コウ『ANOTHER:WORLD』(NAYUTAWAVE　RECORDS)フジテレビドラマ制作センター</t>
  </si>
  <si>
    <t>「2012ロンドンオリンピックバレーボール世界最終予選　女子　日本×ロシア」延長の際、放送時間繰り下げの場合あり。    番組HP    http://www.fujitv.co.jp/mirai-nikki/　ベッドに手足を拘束された星野新太(岡田将生)は、古崎由乃(剛力彩芽)に何を隠しているのか、と問い詰めるが、由乃ははぐらかす。そんなとき、ふたりの「未来日記」にデウスからメッセージが届く。デウスは、ゲームに勝ち残っている新太、由乃、沖江春奈(福田麻由子)の3人で残り3日を戦い抜け、と命じた。このままでは新太が春奈に殺されてしまうと焦る由乃は、ナイフを手にして春奈を殺しに行こうとする。  　同じ頃、森口類(本郷奏多)は、「未来日記」によって人間が消失するシステムを解明しようと図書館で調べ物をしていた。そこに春奈がいたので新太の所在を尋ねると、新太はまだ迷っているがもうすぐ答えを出すはずだ、と言って「未来日記」を指し示す。そんなところへ、高坂王子(菊池風磨)が小学生くらいの子供を連れてやってくる。塾のアルバイトで知り合った子供たちに、大学見学ツアーをしているところだと言う。  　一方、由乃の家から脱出した新太は、電話で呼び出した類を待っていた。するとそこに、春奈がやってきた。春奈は、新太に起こったことすべてを知っていて、由乃の「未来日記」を壊してくれと頼む。新太は自分のポケットにある由乃の「未来日記」を意識する。そこに類が到着した。新太と春奈を戦わせたくない類は、ふたりに「未来日記」を渡してしまった自分を責める。そして新太の「未来日記」でDEAD　ENDのカウントダウンが迫り・・・。</t>
  </si>
  <si>
    <t>番組名&lt;土ドラ&gt;未来日記-ANOTHER:WORLD-　#07</t>
  </si>
  <si>
    <t>古崎由乃(剛力彩芽)に消失させられてしまった星野新太(岡田将生)は、目を覚ますと会議室にいた。由乃に刺されたはずの胸を触るが無傷。  　気配を感じ振り返ると、そこには衝撃の光景が。  　沖江春奈(福田麻由子)、萩戸金次郎(岡田義徳)、木部徹(佐野史郎)、不破めぐみ(二階堂ふみ)ら消失したはずの面々がいたのだった。  　ここはどこなのか、と新太が聞くと、奥田陽介(平岡祐太)は「天国」だと答えた。　新太は、ここは「未来日記」を壊すことで発生する強い磁場が生み出した疑似的なブラックホールだろうと話し、木部に同意を求める。すると木部は、この部屋に見覚えはないか、と全員に尋ねてきた。  　新太はそんな木部に由乃の正体について聞く。木部が消失するとき、由乃が何か重要なことを言ったのが見えたからだ。木部は、由乃は何もかも覚えていたと答える。そして、自分たちは「未来日記」を手にする前にこの場所で会っている、と。さらに言葉を続けようとした瞬間、木部はまたも消失してしまう。  　その後、新太が森口類(本郷奏多)の所在を尋ねると、類は「未来日記」の所持者ではないからここにはいない、と春奈が答えた。それを聞いた萩戸が、新太の父親・九郎(光石研)も所在不明だと話す。そして、何かを思い出したように話し始めるが…。岡田将生　  剛力彩芽　  本郷奏多　  福田麻由子　  菊池風磨(Sexy　Zone)　  中村ゆり　  富永沙織　  平賀雅臣  　・　  平岡祐太　  二階堂ふみ  　・　  岡田義徳　  宮崎美子　  光石研　  佐野史郎【原作】  『未来日記』えすのサカエ(角川書店)　    【シリーズ構成・脚本】  渡辺雄介【プロデューサー】  藤野良太　    【演出】  宮木正悟福廣秀一朗　  主題歌:柴咲コウ『ANOTHER:WORLD』(NAYUTAWAVE　RECORDS)フジテレビドラマ制作センター</t>
  </si>
  <si>
    <t>古崎由乃(剛力彩芽)に消失させられてしまった星野新太(岡田将生)は、目を覚ますと会議室にいた。由乃に刺されたはずの胸を触るが無傷。  　気配を感じ振り返ると、そこには衝撃の光景が。  　沖江春奈(福田麻由子)、萩戸金次郎(岡田義徳)、木部徹(佐野史郎)、不破めぐみ(二階堂ふみ)ら消失したはずの面々がいたのだった。  　ここはどこなのか、と新太が聞くと、奥田陽介(平岡祐太)は「天国」だと答えた。　新太は、ここは「未来日記」を壊すことで発生する強い磁場が生み出した疑似的なブラックホールだろうと話し、木部に同意を求める。すると木部は、この部屋に見覚えはないか、と全員に尋ねてきた。  　新太はそんな木部に由乃の正体について聞く。木部が消失するとき、由乃が何か重要なことを言ったのが見えたからだ。木部は、由乃は何もかも覚えていたと答える。そして、自分たちは「未来日記」を手にする前にこの場所で会っている、と。さらに言葉を続けようとした瞬間、木部はまたも消失してしまう。  　その後、新太が森口類(本郷奏多)の所在を尋ねると、類は「未来日記」の所持者ではないからここにはいない、と春奈が答えた。それを聞いた萩戸が、新太の父親・九郎(光石研)も所在不明だと話す。そして、何かを思い出したように話し始めるが…。</t>
  </si>
  <si>
    <t>番組名&lt;土ドラ&gt;未来日記-ANOTHER:WORLD-　#08</t>
  </si>
  <si>
    <t>番組HP    http://www.fujitv.co.jp/mirai-nikki/　仮想空間オリンピアに再ログインした星野新太(岡田将生)は、父・九郎(光石研)から、デウスかもしれないと聞いた森口類(本郷奏多)に電話をするが切られてしまう。そのまま大学に類を探しに来ると、高坂王子(菊池風磨)が現れた。変わらず明るい高坂にホッとした新太は、類と連絡が取れたら自分に教えてくれと頼む。  　その後、類と連絡が取れたと、高坂が声をかけてきた。類との待ち合わせ場所にやってきた新太は、消失した類が目の前にいることが嬉しくて抱きしめる。一方の類は、誘拐された沖江春奈(福田麻由子)を探していたところだった。その事件を経験している新太は、類を連れて春奈が拘束されているプラネタリウムへ行き、春奈を救出。そして、春奈が隠していた「未来日記」を取り出し、これは自分と萩戸金次郎(岡田義徳)に渡したものと同じだろうと類に尋ねた。  　わけが分からない類や春奈に、新太はすべて話し、近い将来、「未来日記」を持つ者同士で殺し合いが始まると明かした。そして、それを止めるためにデウスを探していることも。最初は不審がっていた萩戸もやがて新太を信じるようになる。  　新太は、古崎由乃(剛力彩芽)に「未来日記」を渡したのも類だったことを思い出し、由乃の正体を尋ねる。しかし類は、普通の子だ、としか答えなかった。  　その後、新太が自宅に戻ると、旅行鞄を持った九郎が家を出るところだった…。岡田将生　  剛力彩芽　  本郷奏多　  福田麻由子　  菊池風磨(Sexy　Zone)　  中村ゆり　  富永沙織　  平賀雅臣  　　・　　  平岡祐太　  二階堂ふみ  　　・　　  岡田義徳　  宮崎美子　  光石研　  佐野史郎【原作】  『未来日記』えすのサカエ(角川書店)　    【シリーズ構成・脚本】  渡辺雄介【プロデューサー】  藤野良太　    【演出】  宮木正悟福廣秀一朗　  主題歌:柴咲コウ『ANOTHER:WORLD』(NAYUTAWAVE　RECORDS)フジテレビドラマ制作センター</t>
  </si>
  <si>
    <t>番組HP    http://www.fujitv.co.jp/mirai-nikki/　仮想空間オリンピアに再ログインした星野新太(岡田将生)は、父・九郎(光石研)から、デウスかもしれないと聞いた森口類(本郷奏多)に電話をするが切られてしまう。そのまま大学に類を探しに来ると、高坂王子(菊池風磨)が現れた。変わらず明るい高坂にホッとした新太は、類と連絡が取れたら自分に教えてくれと頼む。  　その後、類と連絡が取れたと、高坂が声をかけてきた。類との待ち合わせ場所にやってきた新太は、消失した類が目の前にいることが嬉しくて抱きしめる。一方の類は、誘拐された沖江春奈(福田麻由子)を探していたところだった。その事件を経験している新太は、類を連れて春奈が拘束されているプラネタリウムへ行き、春奈を救出。そして、春奈が隠していた「未来日記」を取り出し、これは自分と萩戸金次郎(岡田義徳)に渡したものと同じだろうと類に尋ねた。  　わけが分からない類や春奈に、新太はすべて話し、近い将来、「未来日記」を持つ者同士で殺し合いが始まると明かした。そして、それを止めるためにデウスを探していることも。最初は不審がっていた萩戸もやがて新太を信じるようになる。  　新太は、古崎由乃(剛力彩芽)に「未来日記」を渡したのも類だったことを思い出し、由乃の正体を尋ねる。しかし類は、普通の子だ、としか答えなかった。  　その後、新太が自宅に戻ると、旅行鞄を持った九郎が家を出るところだった…。</t>
  </si>
  <si>
    <t>番組名&lt;土ドラ&gt;未来日記-ANOTHER:WORLD-　#09</t>
  </si>
  <si>
    <t>番組HP    http://www.fujitv.co.jp/mirai-nikki/　星野新太(岡田将生)は、古崎由乃(剛力彩芽)を追って家を飛び出そうとしたもう1人の由乃を引きとめると、由乃が2人いる理由を問いただす。由乃は涙ぐみながら、自分たちはずっと前に会っているのだと、真実を話し始めたーー。  　今から1年前の春、2人はプラネタリウムで出会っていた。言葉を交わし、少し寂しそうな由乃が気になった新太は由乃をデートに誘う。翌日、2人は高坂王子(菊池風磨)とともに野球デートを楽しんだ。その後、2人は交際を重ねる。そして夏祭りの夜、新太はスーパーボールすくいで取ったあのボールを由乃に渡したのだ。幸せの絶頂にいた2人だったが、1年後、大きな火災に巻き込まれてしまう。  　ケガを負った由乃は病院のベッドで目を覚ました。由乃は傍にいた須藤霞海(伊藤歩)に新太の居場所を尋ねる。さっきまで仮想空間で新太に会っていたからだ。しかし、須藤はそれを夢だと言うと、その場を立ち去った。2人でいれば大丈夫、といつも自分を励ましてくれた新太がいない現実に、由乃は耐えられない。そんな由乃を見かねた須藤は、クロノスシード社の開発研究所で眠る沖江春奈(福田麻由子)ら5人と新太の姿を由乃に見せた。新太たちは、オリンピアに繋がれていたのだ。どうしても新太に会いたい由乃は、自分をもう一度繋いでくれ、と必死に懇願する。岡田将生　  剛力彩芽　  本郷奏多　  福田麻由子　  菊池風磨(Sexy　Zone)　  中村ゆり　  富永沙織　  平賀雅臣  　　・　　  平岡祐太　  二階堂ふみ  　　・　　  岡田義徳　  宮崎美子　  光石研　  佐野史郎【原作】『未来日記』えすのサカエ(角川書店)　    【シリーズ構成】渡辺雄介　    【脚本】桑村さや香【プロデューサー】  藤野良太　    【演出】  並木道子福廣秀一朗　  主題歌:柴咲コウ『ANOTHER:WORLD』(NAYUTAWAVE　RECORDS)フジテレビドラマ制作センター</t>
  </si>
  <si>
    <t>番組HP    http://www.fujitv.co.jp/mirai-nikki/　星野新太(岡田将生)は、古崎由乃(剛力彩芽)を追って家を飛び出そうとしたもう1人の由乃を引きとめると、由乃が2人いる理由を問いただす。由乃は涙ぐみながら、自分たちはずっと前に会っているのだと、真実を話し始めたーー。  　今から1年前の春、2人はプラネタリウムで出会っていた。言葉を交わし、少し寂しそうな由乃が気になった新太は由乃をデートに誘う。翌日、2人は高坂王子(菊池風磨)とともに野球デートを楽しんだ。その後、2人は交際を重ねる。そして夏祭りの夜、新太はスーパーボールすくいで取ったあのボールを由乃に渡したのだ。幸せの絶頂にいた2人だったが、1年後、大きな火災に巻き込まれてしまう。  　ケガを負った由乃は病院のベッドで目を覚ました。由乃は傍にいた須藤霞海(伊藤歩)に新太の居場所を尋ねる。さっきまで仮想空間で新太に会っていたからだ。しかし、須藤はそれを夢だと言うと、その場を立ち去った。2人でいれば大丈夫、といつも自分を励ましてくれた新太がいない現実に、由乃は耐えられない。そんな由乃を見かねた須藤は、クロノスシード社の開発研究所で眠る沖江春奈(福田麻由子)ら5人と新太の姿を由乃に見せた。新太たちは、オリンピアに繋がれていたのだ。どうしても新太に会いたい由乃は、自分をもう一度繋いでくれ、と必死に懇願する。</t>
  </si>
  <si>
    <t>番組名&lt;土ドラ&gt;未来日記-ANOTHER:WORLD-　#10</t>
  </si>
  <si>
    <t>番組HP    http://www.fujitv.co.jp/mirai-nikki/　星野新太(岡田将生)は、倒れた古崎由乃(剛力彩芽)を抱きかかえ名前を呼び続けた。その光景を見たもう1人の由乃(剛力彩芽)は、驚きと混乱でその場を走り去る。そんな由乃の姿を陰から見守り、手にしたクロノスシード社のスマートフォンで電話を掛ける謎の人影。  　そのとき、新太の電話にデウスから着信が。デウスは、近々、新太に大事な決断をしてもらう、と言うと電話を切った。  　そんな中、由乃が目を覚ます。新太は安堵したが、由乃の体調が心配で一緒に現実世界に帰ろうと言う。由乃は、自分に現実世界に戻るだけの体力がない事を知りながらも、笑顔で応える。由乃の為にも、デウスを見つけ解除コードを打たなければならない新太は、高坂王子(菊池風磨)に由乃を託すと、デウスを探しに行く。  　一方、沖江春奈(福田麻由子)は、何者かに渡されたスマートフォンを森口類(本郷奏多)に差し出した。類が「日記」のアイコンをタップすると、パシャリと音がして類の顔を認識、「類の未来日記」に変化した。そして、「新太が類に嘘をつく」というメッセージが表示された。  　クロノスシード社にやってきた新太は、社長室で木部徹(佐野史郎)や萩戸金次郎(岡田義徳)らと合流する。彼らは、木部に「未来日記」を渡した神宮寺という女がデウスだと推測するが、警察が調べても神宮寺は戸籍上存在しないという。それを聞いた新太は…岡田将生　  剛力彩芽　  本郷奏多　  福田麻由子　  菊池風磨(Sexy　Zone)　  中村ゆり　  富永沙織　  平賀雅臣  　　・　　  平岡祐太　  二階堂ふみ  　　・　　  内田有紀  　　・　　  伊藤歩　  岡田義徳　  宮崎美子　  光石研　  佐野史郎【原作】  『未来日記』えすのサカエ(角川書店)    【シリーズ構成】  渡辺雄介    【脚本】  早船歌江子【プロデューサー】  藤野良太　    【演出】  宮木正悟福廣秀一朗    主題歌:柴咲コウ『ANOTHER:WORLD』(NAYUTAWAVE　RECORDS)フジテレビドラマ制作センター</t>
  </si>
  <si>
    <t>番組HP    http://www.fujitv.co.jp/mirai-nikki/　星野新太(岡田将生)は、倒れた古崎由乃(剛力彩芽)を抱きかかえ名前を呼び続けた。その光景を見たもう1人の由乃(剛力彩芽)は、驚きと混乱でその場を走り去る。そんな由乃の姿を陰から見守り、手にしたクロノスシード社のスマートフォンで電話を掛ける謎の人影。  　そのとき、新太の電話にデウスから着信が。デウスは、近々、新太に大事な決断をしてもらう、と言うと電話を切った。  　そんな中、由乃が目を覚ます。新太は安堵したが、由乃の体調が心配で一緒に現実世界に帰ろうと言う。由乃は、自分に現実世界に戻るだけの体力がない事を知りながらも、笑顔で応える。由乃の為にも、デウスを見つけ解除コードを打たなければならない新太は、高坂王子(菊池風磨)に由乃を託すと、デウスを探しに行く。  　一方、沖江春奈(福田麻由子)は、何者かに渡されたスマートフォンを森口類(本郷奏多)に差し出した。類が「日記」のアイコンをタップすると、パシャリと音がして類の顔を認識、「類の未来日記」に変化した。そして、「新太が類に嘘をつく」というメッセージが表示された。  　クロノスシード社にやってきた新太は、社長室で木部徹(佐野史郎)や萩戸金次郎(岡田義徳)らと合流する。彼らは、木部に「未来日記」を渡した神宮寺という女がデウスだと推測するが、警察が調べても神宮寺は戸籍上存在しないという。それを聞いた新太は…</t>
  </si>
  <si>
    <t>番組名&lt;土ドラ&gt;未来日記-ANOTHER:WORLD-　#11</t>
  </si>
  <si>
    <t>番組HP    http://www.fujitv.co.jp/mirai-nikki/　星野新太(岡田将生)が目を覚ますと、そばには森口類(本郷奏多)が立っていた。新太は類に、古崎由乃(剛力彩芽)の所在を聞くが、類は心を失ったような瞳をしたまま答えない。その手に握られていた「未来日記」には、新太が初めて自分に嘘をついた、と表示されていた。すると、正気になった類が、自分に隠していることを教えてくれ、と懇願する。新太が答えられずにいると、デウス=神宮寺零(内田有紀)が現れた。　一方、ある場所に拘束されていた由乃、沖江春奈(福田麻由子)、奥田陽介(平岡祐太)、不破めぐみ(二階堂ふみ)、萩戸金次郎(岡田義徳)、木部徹(佐野史郎)は、モニターに映し出されたデウスのメッセージを見ていた。「勝者は1人、敗者には死が待っている。お互いの未来を奪い合え」というメッセージとともに、全員の「未来日記」にノイズが走りデッドエンドが表示される。過去に同じ経験をした記憶がある・・・おぼろげにそう思いながらも、天井から6丁の拳銃が落ちてくると、奥田が銃を拾ったのを合図に全員が銃を手にした。  　その様子を神宮寺とともに見ていた新太は、早くラストピースを見つけないとオリンピアが崩壊すると聞かされる。ラストピースがはまりオリンピアが完成すれば、すべての願いが叶い、現実世界も救われると聞いた新太は、悩んだ末に・・・。岡田将生　  剛力彩芽　  本郷奏多　  福田麻由子　  菊池風磨(Sexy　Zone)　  中村ゆり　  富永沙織　  平賀雅臣  　　・　　  平岡祐太　  二階堂ふみ  　　・　　  内田有紀  　　・　　  伊藤歩　  岡田義徳　  宮崎美子　  光石研　  佐野史郎　【原作】  『未来日記』えすのサカエ(角川書店)    【シリーズ構成】  渡辺雄介    【脚本】  桑村さや香【プロデューサー】  藤野良太　    【演出】  並木道子福廣秀一朗    主題歌:柴咲コウ『ANOTHER:WORLD』(NAYUTAWAVE　RECORDS)フジテレビドラマ制作センター</t>
  </si>
  <si>
    <t>番組HP    http://www.fujitv.co.jp/mirai-nikki/　星野新太(岡田将生)が目を覚ますと、そばには森口類(本郷奏多)が立っていた。新太は類に、古崎由乃(剛力彩芽)の所在を聞くが、類は心を失ったような瞳をしたまま答えない。その手に握られていた「未来日記」には、新太が初めて自分に嘘をついた、と表示されていた。すると、正気になった類が、自分に隠していることを教えてくれ、と懇願する。新太が答えられずにいると、デウス=神宮寺零(内田有紀)が現れた。　一方、ある場所に拘束されていた由乃、沖江春奈(福田麻由子)、奥田陽介(平岡祐太)、不破めぐみ(二階堂ふみ)、萩戸金次郎(岡田義徳)、木部徹(佐野史郎)は、モニターに映し出されたデウスのメッセージを見ていた。「勝者は1人、敗者には死が待っている。お互いの未来を奪い合え」というメッセージとともに、全員の「未来日記」にノイズが走りデッドエンドが表示される。過去に同じ経験をした記憶がある・・・おぼろげにそう思いながらも、天井から6丁の拳銃が落ちてくると、奥田が銃を拾ったのを合図に全員が銃を手にした。  　その様子を神宮寺とともに見ていた新太は、早くラストピースを見つけないとオリンピアが崩壊すると聞かされる。ラストピースがはまりオリンピアが完成すれば、すべての願いが叶い、現実世界も救われると聞いた新太は、悩んだ末に・・・。</t>
  </si>
  <si>
    <t>1204_CX_日21</t>
  </si>
  <si>
    <t>家族のうた</t>
  </si>
  <si>
    <t>番組名&lt;ドラマチックサンデー&gt;家族のうた　#01</t>
  </si>
  <si>
    <t>早川正義(オダギリ　ジョー)は13年前、超人気ロックバンド『UNDER　CLOUD』のメンバーとして、爆発的な人気を獲得していた。初めて手がけた曲がミリオンヒットを記録、群がるファンをよりどりみどりにつまみ食い。日本、いや地球、いや宇宙ですら正義のためにまわっていると思えるほどだったが、人気絶頂でバンドは突然解散を発表。正義は、俺1人でもやっていけるはずだとソロデビューする。ところが新曲をリリースするたび人気は急降下の一途をたどり、気がつけば世間から完全に忘れ去られた存在になっていた。  　そんな正義の現在の仕事といえば、週1回のラジオ番組だけ。正義の最大の理解者であるマネジャー・三木(ユースケ・サンタマリア)が必死の努力を重ねた結果、ある日、人気アーティストとのコラボ企画の仕事を取ってくる。が、内容が気にくわなかった正義はその打ち合わせの現場から三木をまいて逃げ出してしまう。  　旧知の水島明良(トータス松本)、朝子(大塚寧々)が経営するカレーダイニング&amp;バー「nanja」に逃げ込んだ正義は、朝子の妹のカメラマン・洋子(貫地谷しほり)を相手に先ほどのコラボ企画の件をグチる。洋子を相手に言いたい放題の正義。その様子を店の外から東海林秀蔵(藤竜也)という初老の男がうかがっていた。正義が店を出ると、秀蔵は正義を尾行し始める。尾行に気づかず歩く正義の前に…。早川正義　:　オダギリ　ジョー　  三木康佑　:　ユースケ・サンタマリア　  青田洋子　:　貫地谷しほり　  花村良太　:　ムロツヨシ　  坂上幸生　:　中島健人(Sexy　Zone)　    大澤こころ　:　杉咲花　  松野美月　:　大森絢音　  松野陸　:　藤本哉汰  　　　　・　　　　  東海林秀蔵　:　藤竜也  　　　　・　　　　  藤森篤志　:　前川泰之　  水島明良　:　トータス松本　  水島朝子　:　大塚寧々【脚本】  酒井雅秋【企画】  鹿内植　  瀧澤航一郎　    【プロデュース】  橋本芙美　    【監督】  岩田和行井筒昭雄　    【主題歌】  斉藤和義「月光」(スピードスターレコーズ)</t>
  </si>
  <si>
    <t>早川正義(オダギリ　ジョー)は13年前、超人気ロックバンド『UNDER　CLOUD』のメンバーとして、爆発的な人気を獲得していた。初めて手がけた曲がミリオンヒットを記録、群がるファンをよりどりみどりにつまみ食い。日本、いや地球、いや宇宙ですら正義のためにまわっていると思えるほどだったが、人気絶頂でバンドは突然解散を発表。正義は、俺1人でもやっていけるはずだとソロデビューする。ところが新曲をリリースするたび人気は急降下の一途をたどり、気がつけば世間から完全に忘れ去られた存在になっていた。  　そんな正義の現在の仕事といえば、週1回のラジオ番組だけ。正義の最大の理解者であるマネジャー・三木(ユースケ・サンタマリア)が必死の努力を重ねた結果、ある日、人気アーティストとのコラボ企画の仕事を取ってくる。が、内容が気にくわなかった正義はその打ち合わせの現場から三木をまいて逃げ出してしまう。  　旧知の水島明良(トータス松本)、朝子(大塚寧々)が経営するカレーダイニング&amp;バー「nanja」に逃げ込んだ正義は、朝子の妹のカメラマン・洋子(貫地谷しほり)を相手に先ほどのコラボ企画の件をグチる。洋子を相手に言いたい放題の正義。その様子を店の外から東海林秀蔵(藤竜也)という初老の男がうかがっていた。正義が店を出ると、秀蔵は正義を尾行し始める。尾行に気づかず歩く正義の前に…。</t>
  </si>
  <si>
    <t>番組名&lt;ドラマチックサンデー&gt;家族のうた　#02</t>
  </si>
  <si>
    <t>早川正義(オダギリ　ジョー)は、突然家に押しかけてきた少女・大澤こころ(杉咲花)と、謎の老人・東海林秀蔵(藤竜也)に呆然とする。こころは、正義と母親が写っている14年前の写真週刊誌や日記を差し出して自分が娘であることを訴えると、現在は母親が家を出て行き、家賃が払えずアパートを追い出されたことを話す。逃げようとする正義を保護責任者遺棄で警察に訴えると脅すこころ。そんな中、正義の自宅にマネジャーの三木康佑(ユースケ・サンタマリア)がやって来た。こころや秀蔵、さらに同じく娘を名乗る松野美月(大森絢音)と、その弟・陸(藤本哉汰)の存在に混乱する三木。  　三木はCMソングの仕事を取ってきていて、それを正義に伝えるためにやってきたのだった。動物園のCMと聞いてやる気を見せない正義に、三木は仕事をしなければ給料は払わない、社宅である家も追い出すという事務所との新しい契約書にサインをさせて、強引に引き受けさせた。  　曲を翌日までに完成させなければいけない中、家に美月と陸の大量の荷物が届いたり、転校手続きのために小学校へ向ったりと忙しい正義。一方、こころはバイトを探していた。学校からの帰り道、街中でこころを見かけた正義たちは尾行を始めた。こころが向かったのは…。  　店にいた秀蔵から、こころも引き取ることを聞いた水島明良(トータス松本)と朝子(大塚寧々)は、電話で正義を呼び出す。オダギリ　ジョー　    ユースケ・サンタマリア　    貫地谷しほり　    ムロツヨシ　    中島健人(Sexy　Zone)　      杉咲花　  大森絢音　  藤本哉汰    　・　    藤竜也    　・　    前川泰之　    トータス松本　    大塚寧々　      東京スカパラダイスオーケストラ　    森公美子【脚本】  酒井雅秋【企画】  鹿内植　  瀧澤航一郎　    【プロデュース】  橋本芙美　    【監督】  岩田和行井筒昭雄　    【主題歌】  斉藤和義「月光」(スピードスターレコーズ)</t>
  </si>
  <si>
    <t>早川正義(オダギリ　ジョー)は、突然家に押しかけてきた少女・大澤こころ(杉咲花)と、謎の老人・東海林秀蔵(藤竜也)に呆然とする。こころは、正義と母親が写っている14年前の写真週刊誌や日記を差し出して自分が娘であることを訴えると、現在は母親が家を出て行き、家賃が払えずアパートを追い出されたことを話す。逃げようとする正義を保護責任者遺棄で警察に訴えると脅すこころ。そんな中、正義の自宅にマネジャーの三木康佑(ユースケ・サンタマリア)がやって来た。こころや秀蔵、さらに同じく娘を名乗る松野美月(大森絢音)と、その弟・陸(藤本哉汰)の存在に混乱する三木。  　三木はCMソングの仕事を取ってきていて、それを正義に伝えるためにやってきたのだった。動物園のCMと聞いてやる気を見せない正義に、三木は仕事をしなければ給料は払わない、社宅である家も追い出すという事務所との新しい契約書にサインをさせて、強引に引き受けさせた。  　曲を翌日までに完成させなければいけない中、家に美月と陸の大量の荷物が届いたり、転校手続きのために小学校へ向ったりと忙しい正義。一方、こころはバイトを探していた。学校からの帰り道、街中でこころを見かけた正義たちは尾行を始めた。こころが向かったのは…。  　店にいた秀蔵から、こころも引き取ることを聞いた水島明良(トータス松本)と朝子(大塚寧々)は、電話で正義を呼び出す。</t>
  </si>
  <si>
    <t>番組名&lt;ドラマチックサンデー&gt;家族のうた　#03</t>
  </si>
  <si>
    <t>子どもたちとの共同生活ですっかりペースを乱されている早川正義(オダギリ　ジョー)。そんな中、三木康佑(ユースケ・サンタマリア)が音楽配信会社から新曲発売の話を持ってきた。ダウンロード数が多ければCDリリースを約束すると言われ、がぜんやる気を出す正義。その矢先、松野陸(藤本哉汰)の小学校の担任から、相談があるから学校に来て欲しいとの連絡が入る。渋々出かけた正義だが、相談とは陸が放課後クラスでやっている歌の練習をさぼっていることだった。くだらないと一蹴して帰っていく正義。陸は1人公園に向かい、ドカンの中で歌の練習を始めた。すると偶然通りかかった東海林秀蔵(藤竜也)に目撃され、松野美月(大森絢音)に内緒にすることを条件に、歌が歌えなくなった理由を話し出した。一番最初の練習で声が裏返ってしまい、クラスメートに大笑いされて以来、歌えなくなったという。  　連日の残業が続く三木は、妻からのメールで日曜に塾の三者面談があることを思い出す。同じ頃、正義は曲作りに励んでいた。時間も周囲の様子も一切目に入ることなく曲作りに没頭する正義。一方、美月は学校帰りに会った花村良太(ムロツヨシ)から陸が歌の練習に出ていないことを聞く。さらに、秀蔵に頼まれて陸を密かに監視していた大澤こころ(杉咲花)と、こころを見かけた青田洋子(貫地谷しほり)は、公園でクラスメートの男子から陸がいじめられているのを目撃する。早川正義　:　オダギリ　ジョー　  三木康佑　:　ユースケ・サンタマリア　  青田洋子　:　貫地谷しほり　  花村良太　:　ムロツヨシ　  坂上幸生　:　中島健人(Sexy　Zone)　    大澤こころ　:　杉咲花　  松野美月　:　大森絢音　  松野陸　:　藤本哉汰  　　・　　  東海林秀蔵　:　藤竜也  　　・　　  藤森篤志　:　前川泰之　  水島明良　:　トータス松本　  水島朝子　:　大塚寧々　    木村充揮【脚本】  酒井雅秋【企画】  鹿内植　  瀧澤航一郎　    【プロデュース】  橋本芙美　    【監督】  都築淳一井筒昭雄　    【主題歌】  斉藤和義「月光」(スピードスターレコーズ)</t>
  </si>
  <si>
    <t>子どもたちとの共同生活ですっかりペースを乱されている早川正義(オダギリ　ジョー)。そんな中、三木康佑(ユースケ・サンタマリア)が音楽配信会社から新曲発売の話を持ってきた。ダウンロード数が多ければCDリリースを約束すると言われ、がぜんやる気を出す正義。その矢先、松野陸(藤本哉汰)の小学校の担任から、相談があるから学校に来て欲しいとの連絡が入る。渋々出かけた正義だが、相談とは陸が放課後クラスでやっている歌の練習をさぼっていることだった。くだらないと一蹴して帰っていく正義。陸は1人公園に向かい、ドカンの中で歌の練習を始めた。すると偶然通りかかった東海林秀蔵(藤竜也)に目撃され、松野美月(大森絢音)に内緒にすることを条件に、歌が歌えなくなった理由を話し出した。一番最初の練習で声が裏返ってしまい、クラスメートに大笑いされて以来、歌えなくなったという。  　連日の残業が続く三木は、妻からのメールで日曜に塾の三者面談があることを思い出す。同じ頃、正義は曲作りに励んでいた。時間も周囲の様子も一切目に入ることなく曲作りに没頭する正義。一方、美月は学校帰りに会った花村良太(ムロツヨシ)から陸が歌の練習に出ていないことを聞く。さらに、秀蔵に頼まれて陸を密かに監視していた大澤こころ(杉咲花)と、こころを見かけた青田洋子(貫地谷しほり)は、公園でクラスメートの男子から陸がいじめられているのを目撃する。</t>
  </si>
  <si>
    <t>番組名&lt;ドラマチックサンデー&gt;家族のうた　#04</t>
  </si>
  <si>
    <t>相変わらず土曜早朝のラジオ番組しか仕事が無い状態の早川正義(オダギリ　ジョー)だが、ローリング・ストーンズのコンサートチケットが金券ショップに2万円で売り出されているのを発見し、お金を工面しようとするものの、そんな余裕はないはずだとマネージャーの三木康佑(ユースケ・サンタマリア)に阻まれてしまう。そうしている間にそのチケットは水島明良(トータス松本)が買ってしまい、残る入手手段はnanjaのバイト坂上幸生(中島健人)が教えてくれた15万円の高値がついているネットオークションしかなくなってしまう。  　同じ頃、正義が留守の自宅には、商店街会長の花村良太(ムロツヨシ)が訪ねて来ていた。花村は町の祭り“ぬっぺっぽう祭"でのライブとテーマソング作成を正義に依頼したいと言い、東海林秀蔵(藤竜也)に正義が引き受けるように促して欲しいとお願いする。秀蔵からの電話で依頼を聞いた正義は交渉の結果、ストーンズのチケットと同額の15万円のギャラで引き受けることにする。  　打ち合わせのため商店街の会議にやってきた正義と三木。花村や若者たちの歓迎ムードの中、年配者たちは抵抗を示すが、町内会の名誉会長である池田絹子(りりィ)がみんなを説得することを約束してくれるという。自信満々で曲を作った正義だが…。  　小学校では、松野美月(大森絢音)が友達の陽菜(吉田里琴)たちと恋のおまじないで折り鶴を作っていたが…。早川正義　:　オダギリ　ジョー　  三木康佑　:　ユースケ・サンタマリア　  青田洋子　:　貫地谷しほり　  花村良太　:　ムロツヨシ　  坂上幸生　:　中島健人(Sexy　Zone)　    大澤こころ　:　杉咲花　  松野美月　:　大森絢音　  松野陸　:　藤本哉汰  　　・　　  東海林秀蔵　:　藤竜也  　　・　　  藤森篤志　:　前川泰之　  水島明良　:　トータス松本　  水島朝子　:　大塚寧々　    浅井健一【脚本】  酒井雅秋【企画】  鹿内植　  瀧澤航一郎　    【プロデュース】  橋本芙美　    【監督】  佐藤源太井筒昭雄　    【主題歌】  斉藤和義「月光」(スピードスターレコーズ)</t>
  </si>
  <si>
    <t>相変わらず土曜早朝のラジオ番組しか仕事が無い状態の早川正義(オダギリ　ジョー)だが、ローリング・ストーンズのコンサートチケットが金券ショップに2万円で売り出されているのを発見し、お金を工面しようとするものの、そんな余裕はないはずだとマネージャーの三木康佑(ユースケ・サンタマリア)に阻まれてしまう。そうしている間にそのチケットは水島明良(トータス松本)が買ってしまい、残る入手手段はnanjaのバイト坂上幸生(中島健人)が教えてくれた15万円の高値がついているネットオークションしかなくなってしまう。  　同じ頃、正義が留守の自宅には、商店街会長の花村良太(ムロツヨシ)が訪ねて来ていた。花村は町の祭り“ぬっぺっぽう祭"でのライブとテーマソング作成を正義に依頼したいと言い、東海林秀蔵(藤竜也)に正義が引き受けるように促して欲しいとお願いする。秀蔵からの電話で依頼を聞いた正義は交渉の結果、ストーンズのチケットと同額の15万円のギャラで引き受けることにする。  　打ち合わせのため商店街の会議にやってきた正義と三木。花村や若者たちの歓迎ムードの中、年配者たちは抵抗を示すが、町内会の名誉会長である池田絹子(りりィ)がみんなを説得することを約束してくれるという。自信満々で曲を作った正義だが…。  　小学校では、松野美月(大森絢音)が友達の陽菜(吉田里琴)たちと恋のおまじないで折り鶴を作っていたが…。</t>
  </si>
  <si>
    <t>番組名&lt;ドラマチックサンデー&gt;家族のうた　#05</t>
  </si>
  <si>
    <t>相変わらず仕事もなく、お金も底をつきそうで、もうすぐ社宅まで追い出されそうな早川正義(オダギリ　ジョー)。売れないのは営業が足りないからだと訴える正義だが、新人も担当している三木康佑(ユースケ・サンタマリア)が1週間担当を外れることになり、代わりに新人のマネジャー・明石誠司(石黒英雄)がやってきた。  　大澤こころ(杉咲花)は同じクラスの高村七海(荒川ちか)とお互いを“心友"と呼び、交換日記をする仲になっていた。仲良しの関係を喜びつつも、メールはすぐに返信しなければ責められることや、七海がブログに書く陰口へのコメントに困ったりと戸惑いも多い。  　明石が全国放送のラジオ番組へのゲスト出演の仕事をとってきた。番組内で曲を流し、ネット配信の宣伝もさせてもらえると聞いて引き受けた正義だが、いざ出演してみると父親としてリスナーの子育て相談にのるコーナーだった。明石の制止も聞かず、生放送中に帰ってしまう正義。同じ頃、こころは七海や菊地美結(菊池和澄)ら仲良しグループと雑貨屋に来ていた。買い物を済ませて飲食店に入ろうと提案する七海だったが、こころは七海が誘ったおそろいのグッズ購入などでお小遣いが足りなくなってきた美結を気遣い、「nanja」にみんなを連れて行く。こころと美結が内緒話をする様子を見ていら立つ七海。こころたちが「nanja」に行くと、そこには酔っぱらった正義がいて…。早川正義　:　オダギリ　ジョー　  三木康佑　:　ユースケ・サンタマリア　  青田洋子　:　貫地谷しほり　  花村良太　:　ムロツヨシ　  坂上幸生　:　中島健人(Sexy　Zone)　    大澤こころ　:　杉咲花　  松野美月　:　大森絢音　  松野陸　:　藤本哉汰  　　・　　  東海林秀蔵　:　藤竜也  　　・　　  藤森篤志　:　前川泰之　  水島明良　:　トータス松本　  水島朝子　:　大塚寧々　    遠藤ミチロウ【脚本】  酒井雅秋【企画】  鹿内植　  瀧澤航一郎　    【プロデュース】  橋本芙美　    【監督】  岩田和行井筒昭雄　    【主題歌】  斉藤和義「月光」(スピードスターレコーズ)</t>
  </si>
  <si>
    <t>相変わらず仕事もなく、お金も底をつきそうで、もうすぐ社宅まで追い出されそうな早川正義(オダギリ　ジョー)。売れないのは営業が足りないからだと訴える正義だが、新人も担当している三木康佑(ユースケ・サンタマリア)が1週間担当を外れることになり、代わりに新人のマネジャー・明石誠司(石黒英雄)がやってきた。  　大澤こころ(杉咲花)は同じクラスの高村七海(荒川ちか)とお互いを“心友"と呼び、交換日記をする仲になっていた。仲良しの関係を喜びつつも、メールはすぐに返信しなければ責められることや、七海がブログに書く陰口へのコメントに困ったりと戸惑いも多い。  　明石が全国放送のラジオ番組へのゲスト出演の仕事をとってきた。番組内で曲を流し、ネット配信の宣伝もさせてもらえると聞いて引き受けた正義だが、いざ出演してみると父親としてリスナーの子育て相談にのるコーナーだった。明石の制止も聞かず、生放送中に帰ってしまう正義。同じ頃、こころは七海や菊地美結(菊池和澄)ら仲良しグループと雑貨屋に来ていた。買い物を済ませて飲食店に入ろうと提案する七海だったが、こころは七海が誘ったおそろいのグッズ購入などでお小遣いが足りなくなってきた美結を気遣い、「nanja」にみんなを連れて行く。こころと美結が内緒話をする様子を見ていら立つ七海。こころたちが「nanja」に行くと、そこには酔っぱらった正義がいて…。</t>
  </si>
  <si>
    <t>番組名&lt;ドラマチックサンデー&gt;家族のうた　#06</t>
  </si>
  <si>
    <t>早川正義(オダギリ　ジョー)の家に、大澤こころ(杉咲花)の母親・倫子(中村ゆり)が訪ねて来た。倫子はこころを引き取りに来たと言い、松野美月(大森絢音)らに自分勝手な行動を責められると、正義がこころの父親というのはうそで、本当の父親はとうの昔に亡くなっていることを告げる。初めて知った事実と突然のことに戸惑いながらも淡々と自分の荷物をまとめはじめるこころ。荷物をまとめ終えたこころは正義の部屋にやってきてこれまでのお礼を言うが、正義はギターをいじってこころを見ようともせずにそっけなく返事をしただけだった。  　翌朝、毎日騒がしかった朝の支度が静かになったことや、朝食をうっかり5人分用意したことでこころがいない寂しさを痛感する東海林秀蔵(藤竜也)や美月や陸(藤本哉汰)。平然としているのは正義だけだ。そこに三木康佑(ユースケ・サンタマリア)が、子ども向けのギター教則本プロデュースの仕事を持ってきた。断ろうとする正義だが、自分たちの練習している写真が使われると聞いた美月や陸は大喜びで、こころもあわせた3人での写真掲載を三木に確認すると嫌がる正義を押し切ってしまう。渋々とはいえ、その仕事を引き受ける正義の変化に喜ぶ青田洋子(貫地谷しほり)や水島明良(トータス松本)や朝子(大塚寧々)。  　こころは、美月から誘われて、ギターの練習風景撮影のため、遊園地へ行こうという倫子からの誘いを蹴るが…。早川正義　:　オダギリ　ジョー　  三木康佑　:　ユースケ・サンタマリア　  青田洋子　:　貫地谷しほり　  花村良太　:　ムロツヨシ　  坂上幸生　:　中島健人(Sexy　Zone)　    大澤こころ　:　杉咲花　  松野美月　:　大森絢音　  松野陸　:　藤本哉汰  　　・　　  東海林秀蔵　:　藤竜也  　　・　　  藤森篤志　:　前川泰之　  水島明良　:　トータス松本　  水島朝子　:　大塚寧々　    NOKKO【脚本】  酒井雅秋【企画】  鹿内植　  瀧澤航一郎　    【プロデュース】  橋本芙美　    【監督】  都築淳一井筒昭雄　    【主題歌】  斉藤和義「月光」(スピードスターレコーズ)</t>
  </si>
  <si>
    <t>早川正義(オダギリ　ジョー)の家に、大澤こころ(杉咲花)の母親・倫子(中村ゆり)が訪ねて来た。倫子はこころを引き取りに来たと言い、松野美月(大森絢音)らに自分勝手な行動を責められると、正義がこころの父親というのはうそで、本当の父親はとうの昔に亡くなっていることを告げる。初めて知った事実と突然のことに戸惑いながらも淡々と自分の荷物をまとめはじめるこころ。荷物をまとめ終えたこころは正義の部屋にやってきてこれまでのお礼を言うが、正義はギターをいじってこころを見ようともせずにそっけなく返事をしただけだった。  　翌朝、毎日騒がしかった朝の支度が静かになったことや、朝食をうっかり5人分用意したことでこころがいない寂しさを痛感する東海林秀蔵(藤竜也)や美月や陸(藤本哉汰)。平然としているのは正義だけだ。そこに三木康佑(ユースケ・サンタマリア)が、子ども向けのギター教則本プロデュースの仕事を持ってきた。断ろうとする正義だが、自分たちの練習している写真が使われると聞いた美月や陸は大喜びで、こころもあわせた3人での写真掲載を三木に確認すると嫌がる正義を押し切ってしまう。渋々とはいえ、その仕事を引き受ける正義の変化に喜ぶ青田洋子(貫地谷しほり)や水島明良(トータス松本)や朝子(大塚寧々)。  　こころは、美月から誘われて、ギターの練習風景撮影のため、遊園地へ行こうという倫子からの誘いを蹴るが…。</t>
  </si>
  <si>
    <t>番組名&lt;ドラマチックサンデー&gt;家族のうた　#07</t>
  </si>
  <si>
    <t>「2012ロンドンオリンピックバレーボール世界最終予選　女子　日本×セルビア」延長の際、放送時間繰り下げの場合あり。　「nanja」にやって来た早川正義(オダギリ　ジョー)たち一家。日々の食事に続き、青田洋子(貫地谷しほり)をおだてながら苦手な裁縫をやらせる正義に一同は呆れるばかりだ。貯金も底をつきかけ、東海林秀蔵(藤竜也)の年金で一家の生活をまかなうにも限界があると正義が責められていた頃、三木康佑(ユースケ・サンタマリア)は正義の仕事をとろうと一生懸命に営業中だった。そんな努力もむなしく、唯一のレギュラー仕事であるローカルFMの番組が打ち切りになることがわかった。必死でくらいつく三木だが、事務所社長の藤森篤志(前川泰之)から、さらに新人2人を担当するように言われてしまう。  　自宅に、開封もされず返送されてきた秀蔵が差出人の手紙が届いた。秀蔵の名前の下に書かれた「父より」という一言に驚く大澤こころ(杉咲花)、松野美月(大森絢音)、陸(藤本哉汰)。子供たちが持っていた手紙に気付き、秀蔵は自分の若い頃の話を始める。家族も顧みず仲間と立ち上げた事業にのめり込んだあげく、多額の借金を背負い家族を捨てたという。後悔しているという秀蔵に、こころは息子に会いに行くことをすすめる。  　「nanja」でFMスタッフと打ち合わせをすることになった。リクエスト番組のMCとして正義を残してもいいというスタッフの提案に、ふてくされる正義を制し、三木は深々と頭を下げたが…。早川正義　:　オダギリ　ジョー　  三木康佑　:　ユースケ・サンタマリア　  青田洋子　:　貫地谷しほり　  花村良太　:　ムロツヨシ　  坂上幸生　:　中島健人(Sexy　Zone)　    大澤こころ　:　杉咲花　  松野美月　:　大森絢音　  松野陸　:　藤本哉汰  　・  東海林秀蔵　:　藤竜也  　・  藤森篤志　:　前川泰之　  水島明良　:　トータス松本　  水島朝子　:　大塚寧々　    EGO-WRAPPIN'【脚本】  浜田秀哉【企画】  鹿内植　  瀧澤航一郎　    【プロデュース】  橋本芙美　    【監督】  佐藤源太井筒昭雄  【主題歌】  斉藤和義「月光」(スピードスターレコーズ)</t>
  </si>
  <si>
    <t>「2012ロンドンオリンピックバレーボール世界最終予選　女子　日本×セルビア」延長の際、放送時間繰り下げの場合あり。　「nanja」にやって来た早川正義(オダギリ　ジョー)たち一家。日々の食事に続き、青田洋子(貫地谷しほり)をおだてながら苦手な裁縫をやらせる正義に一同は呆れるばかりだ。貯金も底をつきかけ、東海林秀蔵(藤竜也)の年金で一家の生活をまかなうにも限界があると正義が責められていた頃、三木康佑(ユースケ・サンタマリア)は正義の仕事をとろうと一生懸命に営業中だった。そんな努力もむなしく、唯一のレギュラー仕事であるローカルFMの番組が打ち切りになることがわかった。必死でくらいつく三木だが、事務所社長の藤森篤志(前川泰之)から、さらに新人2人を担当するように言われてしまう。  　自宅に、開封もされず返送されてきた秀蔵が差出人の手紙が届いた。秀蔵の名前の下に書かれた「父より」という一言に驚く大澤こころ(杉咲花)、松野美月(大森絢音)、陸(藤本哉汰)。子供たちが持っていた手紙に気付き、秀蔵は自分の若い頃の話を始める。家族も顧みず仲間と立ち上げた事業にのめり込んだあげく、多額の借金を背負い家族を捨てたという。後悔しているという秀蔵に、こころは息子に会いに行くことをすすめる。  　「nanja」でFMスタッフと打ち合わせをすることになった。リクエスト番組のMCとして正義を残してもいいというスタッフの提案に、ふてくされる正義を制し、三木は深々と頭を下げたが…。</t>
  </si>
  <si>
    <t>番組名&lt;ドラマチックサンデー&gt;家族のうた　#08</t>
  </si>
  <si>
    <t>早川正義(オダギリ　ジョー)が所属事務所を辞めたため、社宅を出ることになり引越準備を始めた大澤こころ(杉咲花)、松野美月(大森絢音)、陸(藤本哉汰)、東海林秀蔵(藤竜也)。あわただしい中、町内会長の花村(ムロツヨシ)が紹介してくれた不動産物件の中から引っ越し先を決めた。  　小さなレコード会社に正義が営業に出向くと元マネジャーの三木(ユースケ・サンタマリア)に見つかってしまう。逃げ出そうとする正義に三木は曲ができたときは聞かせろと告げる。  　青田洋子(貫地谷しほり)は、自分の意見は通らなかったものの、撮った新人アーティストのCDジャケットが好評で、別の新人アーティストのジャケット撮影の依頼がきた。その矢先、インテリア専門雑誌から専属カメラマンとして契約したいとの話が飛び込んでくる。  　みんなで「nanja」に食事に来たが、一向に仕事がない正義、息子の真人(山中聡)に会いに行って拒絶されて以来やや元気のない秀蔵を心配するこころと、街で一生懸命に働く大澤倫子(中村ゆり)の姿を目撃したことをこころに言い出せずにいた美月とで、いつもの賑やかさがない。その夜、秀蔵が真人のイチゴ農園のチラシを手にしているのを見た正義は、気になるならもう一度会いに行けばいいと言うが、秀蔵はそれを拒んだ。  　後日、1人でイチゴ農園にやってきた正義は、真人に話しかけ…。早川正義　:　オダギリ　ジョー　  三木康佑　:　ユースケ・サンタマリア　  青田洋子　:　貫地谷しほり　  花村良太　:　ムロツヨシ　  坂上幸生　:　中島健人(Sexy　Zone)　    大澤こころ　:　杉咲花　  松野美月　:　大森絢音　  松野陸　:　藤本哉汰    　・　    東海林秀蔵　:　藤竜也    　・　    藤森篤志　:　前川泰之　  水島明良　:　トータス松本　  水島朝子　:　大塚寧々　    仲井戸麗市【脚本】  酒井雅秋【企画】  鹿内植　  瀧澤航一郎　    【プロデュース】  橋本芙美　  小林宙　    【監督】  岩田和行井筒昭雄　    【主題歌】  斉藤和義「月光」(スピードスターレコーズ)</t>
  </si>
  <si>
    <t>早川正義(オダギリ　ジョー)が所属事務所を辞めたため、社宅を出ることになり引越準備を始めた大澤こころ(杉咲花)、松野美月(大森絢音)、陸(藤本哉汰)、東海林秀蔵(藤竜也)。あわただしい中、町内会長の花村(ムロツヨシ)が紹介してくれた不動産物件の中から引っ越し先を決めた。  　小さなレコード会社に正義が営業に出向くと元マネジャーの三木(ユースケ・サンタマリア)に見つかってしまう。逃げ出そうとする正義に三木は曲ができたときは聞かせろと告げる。  　青田洋子(貫地谷しほり)は、自分の意見は通らなかったものの、撮った新人アーティストのCDジャケットが好評で、別の新人アーティストのジャケット撮影の依頼がきた。その矢先、インテリア専門雑誌から専属カメラマンとして契約したいとの話が飛び込んでくる。  　みんなで「nanja」に食事に来たが、一向に仕事がない正義、息子の真人(山中聡)に会いに行って拒絶されて以来やや元気のない秀蔵を心配するこころと、街で一生懸命に働く大澤倫子(中村ゆり)の姿を目撃したことをこころに言い出せずにいた美月とで、いつもの賑やかさがない。その夜、秀蔵が真人のイチゴ農園のチラシを手にしているのを見た正義は、気になるならもう一度会いに行けばいいと言うが、秀蔵はそれを拒んだ。  　後日、1人でイチゴ農園にやってきた正義は、真人に話しかけ…。</t>
  </si>
  <si>
    <t>1201_CX_月21</t>
  </si>
  <si>
    <t>ラッキーセブン</t>
  </si>
  <si>
    <t>番組名ラッキーセブン　#01</t>
  </si>
  <si>
    <t>フリーターの時多駿太郎(松本潤)は、高級ホテルで人妻の美香(松本若菜)との情事にふけっていた。帰り道ふいに肩を叩かれた駿太郎が振り返ると、男が美香の落としたスカーフを差し出してきた。駿太郎は、男に礼を言うとそれを美香に届けに走る。  　数日後、駿太郎は突然美香に別れを告げられる。夫が探偵を雇い、ホテルでの密会写真を撮られたからだと言う。そんな時、駿太郎はホテルでスカーフを差し出した男に再会する。駿太郎は、男を追いかけ、「お前は探偵か!」と問い詰め、殴りかかるが男はそれをかわし逃げた。  　「北品川ラッキー探偵社」の事務所に、息を切らしたその男が入ってきた。男の名は新田輝(瑛太)。そこには駿太郎の調査をしていた旭淳平(大泉洋)、水野飛鳥(仲里依紗)と筑紫昌義(角野卓造)、事務員の茅野メイ(入来茉里)がいた。そして、筑紫が会議を始めようと言ったとき、飛鳥が新田の後ろを指差した。そこには、駿太郎が立っていた。事務所は大騒動となるなか、社長の藤崎瞳子(松嶋菜々子)が出てきた。駿太郎を見た瞳子はやがて、うちで働かないか、と言った。突然のスカウトに、駿太郎も探偵たちも唖然とするが、結局、探偵として雇われることになった。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金井卓也ティム・ウィンフジテレビドラマ制作センター</t>
  </si>
  <si>
    <t>フリーターの時多駿太郎(松本潤)は、高級ホテルで人妻の美香(松本若菜)との情事にふけっていた。帰り道ふいに肩を叩かれた駿太郎が振り返ると、男が美香の落としたスカーフを差し出してきた。駿太郎は、男に礼を言うとそれを美香に届けに走る。  　数日後、駿太郎は突然美香に別れを告げられる。夫が探偵を雇い、ホテルでの密会写真を撮られたからだと言う。そんな時、駿太郎はホテルでスカーフを差し出した男に再会する。駿太郎は、男を追いかけ、「お前は探偵か!」と問い詰め、殴りかかるが男はそれをかわし逃げた。  　「北品川ラッキー探偵社」の事務所に、息を切らしたその男が入ってきた。男の名は新田輝(瑛太)。そこには駿太郎の調査をしていた旭淳平(大泉洋)、水野飛鳥(仲里依紗)と筑紫昌義(角野卓造)、事務員の茅野メイ(入来茉里)がいた。そして、筑紫が会議を始めようと言ったとき、飛鳥が新田の後ろを指差した。そこには、駿太郎が立っていた。事務所は大騒動となるなか、社長の藤崎瞳子(松嶋菜々子)が出てきた。駿太郎を見た瞳子はやがて、うちで働かないか、と言った。突然のスカウトに、駿太郎も探偵たちも唖然とするが、結局、探偵として雇われることになった。</t>
  </si>
  <si>
    <t>番組名ラッキーセブン　#02</t>
  </si>
  <si>
    <t>北品川ラッキー探偵社に、ステラバイオ社という企業から研究員の素行調査の依頼が舞い込んだ。時多駿太郎(松本潤)は、ステラバイオ社に新田輝(瑛太)が潜入捜査に入ると聞く。有名大学の理学部の出身ということで、藤崎瞳子(松嶋菜々子)が新田を指名したが、新田が運動神経のよさに加え、頭脳も明晰だと知った駿太郎は面白くない。  　2週間後、新田はステラバイオ社に潜入。研究員の佐々岡(リリー・フランキー)の素行を調査するが、佐々岡は天才とされる反面、協調性のかけらもない変わり者で周囲も扱いに困っていた。その数日後、佐々岡は新田に書類を手渡し、明日までにまとめておくよう命じると研究所を後にした。周囲の研究者によれば、それは佐々岡が新人に課す通過儀礼だが、ひとりでまとめられる量ではないので、明日謝ってしまうのが得策だと言う。  　新田は、外で駿太郎とともに待機中の水野飛鳥(仲里依紗)に佐々岡が研究所を出たことを伝える。それを受けた駿太郎と飛鳥が佐々岡を尾行すると、やがて、繁華街にある高級クラブに入っていった。佐々岡はそこでひとりの男と会うと、なにやら込み入った話をはじめる。そんなふたりの様子を、ライター型のカメラで盗撮している人物がいた。ホステスに扮装した飛鳥だった。  　翌日、探偵社の事務所に駿太郎、新田、旭淳平(大泉洋)、飛鳥、茅野メイ(入来茉里)らが集まり佐々岡の件についての調査報告が行われていた。時多駿太郎: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</si>
  <si>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北品川ラッキー探偵社に、ステラバイオ社という企業から研究員の素行調査の依頼が舞い込んだ。時多駿太郎(松本潤)は、ステラバイオ社に新田輝(瑛太)が潜入捜査に入ると聞く。有名大学の理学部の出身ということで、藤崎瞳子(松嶋菜々子)が新田を指名したが、新田が運動神経のよさに加え、頭脳も明晰だと知った駿太郎は面白くない。  　2週間後、新田はステラバイオ社に潜入。研究員の佐々岡(リリー・フランキー)の素行を調査するが、佐々岡は天才とされる反面、協調性のかけらもない変わり者で周囲も扱いに困っていた。その数日後、佐々岡は新田に書類を手渡し、明日までにまとめておくよう命じると研究所を後にした。周囲の研究者によれば、それは佐々岡が新人に課す通過儀礼だが、ひとりでまとめられる量ではないので、明日謝ってしまうのが得策だと言う。  　新田は、外で駿太郎とともに待機中の水野飛鳥(仲里依紗)に佐々岡が研究所を出たことを伝える。それを受けた駿太郎と飛鳥が佐々岡を尾行すると、やがて、繁華街にある高級クラブに入っていった。佐々岡はそこでひとりの男と会うと、なにやら込み入った話をはじめる。そんなふたりの様子を、ライター型のカメラで盗撮している人物がいた。ホステスに扮装した飛鳥だった。  　翌日、探偵社の事務所に駿太郎、新田、旭淳平(大泉洋)、飛鳥、茅野メイ(入来茉里)らが集まり佐々岡の件についての調査報告が行われていた。</t>
  </si>
  <si>
    <t>番組名ラッキーセブン　#03</t>
  </si>
  <si>
    <t>ラッキー探偵社に結婚を約束している相手を調査してほしいと箕輪(東根作寿英)という男性がやってきた。調査対象は水沢紗己子(紺野まひる)、母親が病気だという彼女に金を渡したため、箕輪の母が詐欺を疑っていると言う。その金が500万円と高額なことに、時多駿太郎(松本潤)は驚く。筑紫昌義(角野卓造)は、新田輝(瑛太)と旭淳平(大泉洋)に紗己子が通う料理教室へ、水野飛鳥(仲里依紗)には紗己子のマンションへ向かうよう指示。駿太郎には事務所が世話を請け負う犬のチエミの散歩が命じられた。  　新田と淳平が潜入した料理教室で、生徒たちによると紗己子はいつも違う男性を連れて来るのだと言う。一方、飛鳥の調査で、紗己子は箕輪に話していたマンションに住んでいないこともわかった。  　その頃チエミを連れた駿太郎は、弥生(畠山紬)という少女と出会う。すぐに自分に懐いたチエミを弥生は離そうとせず、「岡本」と表札の出たアパートに連れて入ってしまう。翌日、駿太郎は岡本家を訪ねた。ドアを開けたのは紗己子で、弥生は留守だと言う。紗己子の顔を知らない駿太郎は、招かれるまま部屋に上がり込む。  　その後、駿太郎はチエミと弥生を連れて事務所に戻った。弥生を見た茅野メイ(入来茉里)は、隠し子かと聞き、事務所は騒動となる。そこへ、藤崎瞳子(松嶋菜々子)が現れた。今回の案件資料を眺める瞳子。駿太郎は、そこに貼られた紗己子の写真に驚愕し…。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</si>
  <si>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ラッキー探偵社に結婚を約束している相手を調査してほしいと箕輪(東根作寿英)という男性がやってきた。調査対象は水沢紗己子(紺野まひる)、母親が病気だという彼女に金を渡したため、箕輪の母が詐欺を疑っていると言う。その金が500万円と高額なことに、時多駿太郎(松本潤)は驚く。筑紫昌義(角野卓造)は、新田輝(瑛太)と旭淳平(大泉洋)に紗己子が通う料理教室へ、水野飛鳥(仲里依紗)には紗己子のマンションへ向かうよう指示。駿太郎には事務所が世話を請け負う犬のチエミの散歩が命じられた。  　新田と淳平が潜入した料理教室で、生徒たちによると紗己子はいつも違う男性を連れて来るのだと言う。一方、飛鳥の調査で、紗己子は箕輪に話していたマンションに住んでいないこともわかった。  　その頃チエミを連れた駿太郎は、弥生(畠山紬)という少女と出会う。すぐに自分に懐いたチエミを弥生は離そうとせず、「岡本」と表札の出たアパートに連れて入ってしまう。翌日、駿太郎は岡本家を訪ねた。ドアを開けたのは紗己子で、弥生は留守だと言う。紗己子の顔を知らない駿太郎は、招かれるまま部屋に上がり込む。  　その後、駿太郎はチエミと弥生を連れて事務所に戻った。弥生を見た茅野メイ(入来茉里)は、隠し子かと聞き、事務所は騒動となる。そこへ、藤崎瞳子(松嶋菜々子)が現れた。今回の案件資料を眺める瞳子。駿太郎は、そこに貼られた紗己子の写真に驚愕し…。</t>
  </si>
  <si>
    <t>番組名ラッキーセブン　#04</t>
  </si>
  <si>
    <t>時多駿太郎(松本潤)は、最近、探偵社に姿を見せない新田輝(瑛太)がある料亭の女将の浮気調査中だと聞く。依頼主は林原(正名僕蔵)という男性で、林原の愛人である女将を調べてほしいとのこと。愛人の浮気調査という依頼に旭淳平(大泉洋)や水野飛鳥(仲里依紗)はしらけてしまう。  　新田は女将が送り出す客を見張っていた。そこへ駿太郎が差し入れと週刊誌を持ってくる。その表紙には警察幹部の収賄事件についての見出しがあった。  　同じ頃、桐原由貴(吹石一恵)と後藤将司(金田明夫)は、警視庁幹部の峰永宅で盗聴器を見つけた。憔悴しきった様子の峰永(近江谷太朗)の傍には、あの週刊誌があった。そこに載った峰永と男が写る写真は、新田が撮ったものだった。  　そんな折、何気なく週刊誌をめくった駿太郎は、新田が撮った写真に気づく。そこには、峰永が企業から受け取った裏金についての記事があった。浮気調査中に撮った写真がなぜ雑誌に載っているのか、新田が雑誌社に売ったのか。探偵たちに緊張が走る中、探偵社のドアが開き、由貴と後藤が入って来た。新田に不法侵入の容疑がかかり、探偵社の差し押さえ令状が出ているという。そこへ、藤崎瞳子(松嶋菜々子)が戻ってくる。瞳子が事情説明を求めると、由貴は峰永宅から盗聴器が発見され、週刊誌の記事が盗聴した内容に一致することから、新田に不法侵入が疑われていると明かした。突然の出来事に駿太郎は…。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</si>
  <si>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時多駿太郎(松本潤)は、最近、探偵社に姿を見せない新田輝(瑛太)がある料亭の女将の浮気調査中だと聞く。依頼主は林原(正名僕蔵)という男性で、林原の愛人である女将を調べてほしいとのこと。愛人の浮気調査という依頼に旭淳平(大泉洋)や水野飛鳥(仲里依紗)はしらけてしまう。  　新田は女将が送り出す客を見張っていた。そこへ駿太郎が差し入れと週刊誌を持ってくる。その表紙には警察幹部の収賄事件についての見出しがあった。  　同じ頃、桐原由貴(吹石一恵)と後藤将司(金田明夫)は、警視庁幹部の峰永宅で盗聴器を見つけた。憔悴しきった様子の峰永(近江谷太朗)の傍には、あの週刊誌があった。そこに載った峰永と男が写る写真は、新田が撮ったものだった。  　そんな折、何気なく週刊誌をめくった駿太郎は、新田が撮った写真に気づく。そこには、峰永が企業から受け取った裏金についての記事があった。浮気調査中に撮った写真がなぜ雑誌に載っているのか、新田が雑誌社に売ったのか。探偵たちに緊張が走る中、探偵社のドアが開き、由貴と後藤が入って来た。新田に不法侵入の容疑がかかり、探偵社の差し押さえ令状が出ているという。そこへ、藤崎瞳子(松嶋菜々子)が戻ってくる。瞳子が事情説明を求めると、由貴は峰永宅から盗聴器が発見され、週刊誌の記事が盗聴した内容に一致することから、新田に不法侵入が疑われていると明かした。突然の出来事に駿太郎は…。</t>
  </si>
  <si>
    <t>番組名ラッキーセブン　#05</t>
  </si>
  <si>
    <t>時多駿太郎(松本潤)の腕を振り払って新田輝(瑛太)が逃走した後、ラッキー探偵社には公安委員会からの呼び出しがかかった。聴聞会に藤崎瞳子(松嶋菜々子)が出席し、新田の件の事実確認が行われるという。その結果次第では、探偵社の営業停止もある、と筑紫昌義(角野卓造)は説明。旭淳平(大泉洋)は、探偵社が助かるためには新田の退職届を示し会社とは無関係だと主張することだと話し、水野飛鳥(仲里依紗)も賛同する。　探偵たちが暗いムードに包まれていると瞳子が来て、新田はうちの社員だから、と言って手にした退職届を破ってしまった。瞳子は、状況的には新田が犯人に見えるかもしれないが、何度考えても自分はそうは思えない。だから、この事件について自分たちなりの結論を出すために調べ直そう、と提案。駿太郎ら探偵たちも同意する。  　早速、新田にかけられた2つの容疑、住居侵入と窃盗について洗い直しが始まるが、すぐに行き詰ってしまう。新田がここにいればすぐに説明がつくのに、という飛鳥に、駿太郎は新田の実家について聞いていたことを思い出す。そして、小さな手がかりをもとに、駿太郎は新田の実家と思われる豪邸の前にやってきた。インターホンを押すと家政婦が出て、新田とこの家はもう関係がないと主人が話していると言って、インターホンを切ってしまう。駿太郎が再度インターホンを押すと、後ろで女性の声がした。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</si>
  <si>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時多駿太郎(松本潤)の腕を振り払って新田輝(瑛太)が逃走した後、ラッキー探偵社には公安委員会からの呼び出しがかかった。聴聞会に藤崎瞳子(松嶋菜々子)が出席し、新田の件の事実確認が行われるという。その結果次第では、探偵社の営業停止もある、と筑紫昌義(角野卓造)は説明。旭淳平(大泉洋)は、探偵社が助かるためには新田の退職届を示し会社とは無関係だと主張することだと話し、水野飛鳥(仲里依紗)も賛同する。　探偵たちが暗いムードに包まれていると瞳子が来て、新田はうちの社員だから、と言って手にした退職届を破ってしまった。瞳子は、状況的には新田が犯人に見えるかもしれないが、何度考えても自分はそうは思えない。だから、この事件について自分たちなりの結論を出すために調べ直そう、と提案。駿太郎ら探偵たちも同意する。  　早速、新田にかけられた2つの容疑、住居侵入と窃盗について洗い直しが始まるが、すぐに行き詰ってしまう。新田がここにいればすぐに説明がつくのに、という飛鳥に、駿太郎は新田の実家について聞いていたことを思い出す。そして、小さな手がかりをもとに、駿太郎は新田の実家と思われる豪邸の前にやってきた。インターホンを押すと家政婦が出て、新田とこの家はもう関係がないと主人が話していると言って、インターホンを切ってしまう。駿太郎が再度インターホンを押すと、後ろで女性の声がした。</t>
  </si>
  <si>
    <t>番組名ラッキーセブン　#06</t>
  </si>
  <si>
    <t>ラッキー探偵社に無言電話がかかってきた。時多駿太郎(松本潤)は、気配から、かけてきたのは男だろうと言った。その後、探偵社には注文していないのに寿司やうどん、ピザなどのデリバリーが続々と届いた。  そんな折、駿太郎に、早退していた水野飛鳥(仲里依紗)から電話が入る。大至急だと呼び出された場所はテレビ局だった。「私立探偵　真壁★リュウ」のイベントが行われていて、真壁の大ファンの息子・翔太(後藤奏佑人)と駿太郎の弟・孝次郎(小山慶一郎)も来場していた。そこへ現れた飛鳥は、駿太郎の腕を取り数組のカップルがいる待機場所へとやって来る。駿太郎と夫婦に扮してクイズ番組に出場するのだという。  同じ頃、筑紫昌義(角野卓造)は、機材庫近くに落ちた書類を取ろうとして誤って扉を閉めてしまい、中に閉じ込められていた。しかも、探偵社に誰もいないため、狭い倉庫のなかで四苦八苦するしかなかった。  一方の駿太郎は、テレビ局の廊下で真壁役を演じる祐希守(谷原章介)を見つけ声をかける。自分が探偵だと打ち明けた駿太郎に、祐希は自分を脅迫している相手を見つけ出してほしいと頼んだ。  飛鳥は、戻って来ない駿太郎にしびれを切らし、旭淳平(大泉洋)を呼び出そうと電話をかけた。しかし淳平は、早く探偵社に戻ったほうがいい予感がすると言ってそれを断る。その頃、筑紫はまだ機材庫のなかにいたが、探偵社にはなんと男の侵入者がいた。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</si>
  <si>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ラッキー探偵社に無言電話がかかってきた。時多駿太郎(松本潤)は、気配から、かけてきたのは男だろうと言った。その後、探偵社には注文していないのに寿司やうどん、ピザなどのデリバリーが続々と届いた。  そんな折、駿太郎に、早退していた水野飛鳥(仲里依紗)から電話が入る。大至急だと呼び出された場所はテレビ局だった。「私立探偵　真壁★リュウ」のイベントが行われていて、真壁の大ファンの息子・翔太(後藤奏佑人)と駿太郎の弟・孝次郎(小山慶一郎)も来場していた。そこへ現れた飛鳥は、駿太郎の腕を取り数組のカップルがいる待機場所へとやって来る。駿太郎と夫婦に扮してクイズ番組に出場するのだという。  同じ頃、筑紫昌義(角野卓造)は、機材庫近くに落ちた書類を取ろうとして誤って扉を閉めてしまい、中に閉じ込められていた。しかも、探偵社に誰もいないため、狭い倉庫のなかで四苦八苦するしかなかった。  一方の駿太郎は、テレビ局の廊下で真壁役を演じる祐希守(谷原章介)を見つけ声をかける。自分が探偵だと打ち明けた駿太郎に、祐希は自分を脅迫している相手を見つけ出してほしいと頼んだ。  飛鳥は、戻って来ない駿太郎にしびれを切らし、旭淳平(大泉洋)を呼び出そうと電話をかけた。しかし淳平は、早く探偵社に戻ったほうがいい予感がすると言ってそれを断る。その頃、筑紫はまだ機材庫のなかにいたが、探偵社にはなんと男の侵入者がいた。</t>
  </si>
  <si>
    <t>番組名ラッキーセブン　#07</t>
  </si>
  <si>
    <t>自分の元に現れる幽霊が死んだ恋人かどうか確認してほしいと、トメ(水野久美)という老女から依頼が入った。しかし、筑紫昌義(角野卓造)から請け負えないと断られてしまう。寂しそうに事務所を後にするトメの姿を見た時多駿太郎(松本潤)は心が痛む。  　そんな折、旭淳平(大泉洋)が友人から紹介された千崎陽子(中越典子)とお見合いをすることに。陽子は航空関係の仕事をしているということで、淳平は見栄を張って自分は弁護士だと嘘をつく。その様子をこっそり監視していた駿太郎と水野飛鳥(仲里依紗)はあきれる。すると、陽子が自分は航空関係の探偵、つまり、乗客の忘れ物を探す遺失物係だと言った。  　数日後、陽子を呼び出した淳平は、嘘をついたことを謝罪し、本当は探偵だと明かした。陽子は、自分と同じだ、と打ち解けた様子で仕事への思いを語り始める。それを聞いた淳平は、トメのことを思い出す。  　淳平が事務所に戻ると、藤崎瞳子(松嶋菜々子)がトメの件の報告を受けたと言った。引き受けることにしたのか、と尋ねる駿太郎に瞳子は、恋人の幽霊を信じるトメに幽霊はいないと告げるのは酷だろうと答える。  　その後、自宅に戻った駿太郎は、母・百合子(岡江久美子)に亡くなった夫を思い出すことがあるかと聞いた。百合子は、思い出しても戻って来るはずはないが、やはり思い出すと答える。駿太郎はトメのことを考え…。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</si>
  <si>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自分の元に現れる幽霊が死んだ恋人かどうか確認してほしいと、トメ(水野久美)という老女から依頼が入った。しかし、筑紫昌義(角野卓造)から請け負えないと断られてしまう。寂しそうに事務所を後にするトメの姿を見た時多駿太郎(松本潤)は心が痛む。  　そんな折、旭淳平(大泉洋)が友人から紹介された千崎陽子(中越典子)とお見合いをすることに。陽子は航空関係の仕事をしているということで、淳平は見栄を張って自分は弁護士だと嘘をつく。その様子をこっそり監視していた駿太郎と水野飛鳥(仲里依紗)はあきれる。すると、陽子が自分は航空関係の探偵、つまり、乗客の忘れ物を探す遺失物係だと言った。  　数日後、陽子を呼び出した淳平は、嘘をついたことを謝罪し、本当は探偵だと明かした。陽子は、自分と同じだ、と打ち解けた様子で仕事への思いを語り始める。それを聞いた淳平は、トメのことを思い出す。  　淳平が事務所に戻ると、藤崎瞳子(松嶋菜々子)がトメの件の報告を受けたと言った。引き受けることにしたのか、と尋ねる駿太郎に瞳子は、恋人の幽霊を信じるトメに幽霊はいないと告げるのは酷だろうと答える。  　その後、自宅に戻った駿太郎は、母・百合子(岡江久美子)に亡くなった夫を思い出すことがあるかと聞いた。百合子は、思い出しても戻って来るはずはないが、やはり思い出すと答える。駿太郎はトメのことを考え…。</t>
  </si>
  <si>
    <t>番組名ラッキーセブン　#08</t>
  </si>
  <si>
    <t>時多駿太郎(松本潤)と水野飛鳥(仲里依紗)は、ある会社からの依頼で不良社員の男を尾行調査していた。男の顔には特徴的なホクロがあり、それを目印に追っていた。しかし、飛鳥が気を抜いた瞬間、男はマスクをして人込みに紛れてしまう。飛鳥は必死に男を捜すが見当たらない。それどころか、自分を調査しているのか、と逆に男に声をかけられてしまう。  　後日、筑紫昌義(角野卓造)は、依頼人に謝罪するが納得してもらえず、調査は中止となった。筑紫は飛鳥に、調査の基本に立ち返るようにと注意し、飛鳥も神妙な面持ちで聞いた。そんな折、飛鳥の携帯に元カレの誠(細田よしひこ)からメールが届く。飛鳥は迷いながらも誠に連絡を取り、2人は食事をすることに。落ち込んでいる自分にさりげなく接してくれる誠。自分を理解してくれていることが、飛鳥には嬉しかった。やがて、話が誠の仕事のことになると、誠はアメリカにある本社に異動が決まったと明かし、飛鳥についてこないか、と誘った。  　翌朝、浮かれて出社した飛鳥を、旭淳平(大泉洋)らは不審に思う。  　そこへ、高級クラブの女性・飯塚月子(釈由美子)から自宅の盗聴器を見つけてほしいという依頼が入った。駿太郎と飛鳥が月子宅に向かい、盗聴器を発見。月子は最近、大物代議士の熱愛相手として新聞に記事が載ったが、その内容から部屋が盗聴されているのでは、と疑ったという。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</si>
  <si>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時多駿太郎(松本潤)と水野飛鳥(仲里依紗)は、ある会社からの依頼で不良社員の男を尾行調査していた。男の顔には特徴的なホクロがあり、それを目印に追っていた。しかし、飛鳥が気を抜いた瞬間、男はマスクをして人込みに紛れてしまう。飛鳥は必死に男を捜すが見当たらない。それどころか、自分を調査しているのか、と逆に男に声をかけられてしまう。  　後日、筑紫昌義(角野卓造)は、依頼人に謝罪するが納得してもらえず、調査は中止となった。筑紫は飛鳥に、調査の基本に立ち返るようにと注意し、飛鳥も神妙な面持ちで聞いた。そんな折、飛鳥の携帯に元カレの誠(細田よしひこ)からメールが届く。飛鳥は迷いながらも誠に連絡を取り、2人は食事をすることに。落ち込んでいる自分にさりげなく接してくれる誠。自分を理解してくれていることが、飛鳥には嬉しかった。やがて、話が誠の仕事のことになると、誠はアメリカにある本社に異動が決まったと明かし、飛鳥についてこないか、と誘った。  　翌朝、浮かれて出社した飛鳥を、旭淳平(大泉洋)らは不審に思う。  　そこへ、高級クラブの女性・飯塚月子(釈由美子)から自宅の盗聴器を見つけてほしいという依頼が入った。駿太郎と飛鳥が月子宅に向かい、盗聴器を発見。月子は最近、大物代議士の熱愛相手として新聞に記事が載ったが、その内容から部屋が盗聴されているのでは、と疑ったという。</t>
  </si>
  <si>
    <t>番組名ラッキーセブン　#09</t>
  </si>
  <si>
    <t>ストーカーから守ってほしいと依頼が入り、時多駿太郎(松本潤)がボディーガードを引き受けることに。依頼人・望月史織(夏帆)の希望は、自宅から会社までの送迎と外出時の警護で、さらに駿太郎には恋人に扮してほしいという。  早速、駿太郎は史織の仕事が終わるのを待つが、2人は恋人同士のようだった。  そんな折、淳平(大泉洋)のパソコンに桐原由貴(吹石一恵)からメールが届く。2人きりで会いたいという由貴に、筑紫昌義(角野卓造)でさえも何か企みがあるのではないかといぶかしがる。淳平があれこれアプローチを続ける中、由貴は突然16年前という言葉から何を連想するか、と聞いた。とまどう淳平に由貴は、警視庁幹部・峰永(近江谷太朗)宅に侵入した新田輝(瑛太)が、16年前に何があったのかと峰永に迫ったが、その後、警察で取られた峰永の供述調書から、そこの部分が削除されていたと明かした。それはラッキー探偵社に関係のあることだと思われるから、心当たりはないかと聞く由貴に、淳平は心当たりがあると答えた。  そんなある夜、自宅への道を歩いていた藤崎瞳子(松嶋菜々子)は、後ろに人の気配を感じて振り返るが、そこには誰もいなかった。しかし翌日、瞳子は自宅に侵入があったようだ、と筑紫に相談した。筑紫は、探偵たちに相談してみては、と勧めるが、瞳子は自分の父親の事件に誰も巻き込みたくないと断る。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</si>
  <si>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ストーカーから守ってほしいと依頼が入り、時多駿太郎(松本潤)がボディーガードを引き受けることに。依頼人・望月史織(夏帆)の希望は、自宅から会社までの送迎と外出時の警護で、さらに駿太郎には恋人に扮してほしいという。  早速、駿太郎は史織の仕事が終わるのを待つが、2人は恋人同士のようだった。  そんな折、淳平(大泉洋)のパソコンに桐原由貴(吹石一恵)からメールが届く。2人きりで会いたいという由貴に、筑紫昌義(角野卓造)でさえも何か企みがあるのではないかといぶかしがる。淳平があれこれアプローチを続ける中、由貴は突然16年前という言葉から何を連想するか、と聞いた。とまどう淳平に由貴は、警視庁幹部・峰永(近江谷太朗)宅に侵入した新田輝(瑛太)が、16年前に何があったのかと峰永に迫ったが、その後、警察で取られた峰永の供述調書から、そこの部分が削除されていたと明かした。それはラッキー探偵社に関係のあることだと思われるから、心当たりはないかと聞く由貴に、淳平は心当たりがあると答えた。  そんなある夜、自宅への道を歩いていた藤崎瞳子(松嶋菜々子)は、後ろに人の気配を感じて振り返るが、そこには誰もいなかった。しかし翌日、瞳子は自宅に侵入があったようだ、と筑紫に相談した。筑紫は、探偵たちに相談してみては、と勧めるが、瞳子は自分の父親の事件に誰も巻き込みたくないと断る。</t>
  </si>
  <si>
    <t>番組名ラッキーセブン　#10</t>
  </si>
  <si>
    <t>時多駿太郎(松本潤)は、何者かに連れ去られた藤崎瞳子(松嶋菜々子)の行方を捜査してほしいと警察署に駆け込むが、桐原由貴(吹石一恵)に断られてしまう。  　駿太郎は、負傷して入院中の旭淳平(大泉洋)にそのことを報告。淳平は、警察に八神コーポレーションと通じている者がいる、八神コーポレーションの八神景介(鹿賀丈史)こそが、瞳子の父・眞人が死の直前まで調べていた男だと話した。　その後、駿太郎らを前にした筑紫昌義(角野卓造)は、16年前、弁護士だった眞人が八神の土地買収にまつわる不正の証拠を掴んだ直後に、不審な死を遂げたのだと明かした。そんなとき、駿太郎、筑紫、水野飛鳥(仲里依紗)、茅野メイ(入来茉里)の携帯電話に、瞳子を誘拐した犯人からメールが届く。犯人は、瞳子と引き換えに眞人の手帳を渡すよう指示。その後、指定場所で飛鳥が待機していると、駿太郎にボディーガードを頼んだ史織(夏帆)が現れ手帳を受け取った。史織は、バイクに乗った男にそれを手渡した。  　男を見送った駿太郎らは、手帳に付属した万年筆に仕掛けたGPSで手帳の行方を追う。追跡を続けるとGPSは、海上の客船の上で止まった。早速、駿太郎と飛鳥は船内に潜入する。  　その頃、船内に拉致されていた瞳子の元へ、手帳を手にした男(永井大)が現れた。それは、瞳子を付け狙っていた男だった…。時多駿太郎: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</si>
  <si>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時多駿太郎(松本潤)は、何者かに連れ去られた藤崎瞳子(松嶋菜々子)の行方を捜査してほしいと警察署に駆け込むが、桐原由貴(吹石一恵)に断られてしまう。  　駿太郎は、負傷して入院中の旭淳平(大泉洋)にそのことを報告。淳平は、警察に八神コーポレーションと通じている者がいる、八神コーポレーションの八神景介(鹿賀丈史)こそが、瞳子の父・眞人が死の直前まで調べていた男だと話した。　その後、駿太郎らを前にした筑紫昌義(角野卓造)は、16年前、弁護士だった眞人が八神の土地買収にまつわる不正の証拠を掴んだ直後に、不審な死を遂げたのだと明かした。そんなとき、駿太郎、筑紫、水野飛鳥(仲里依紗)、茅野メイ(入来茉里)の携帯電話に、瞳子を誘拐した犯人からメールが届く。犯人は、瞳子と引き換えに眞人の手帳を渡すよう指示。その後、指定場所で飛鳥が待機していると、駿太郎にボディーガードを頼んだ史織(夏帆)が現れ手帳を受け取った。史織は、バイクに乗った男にそれを手渡した。  　男を見送った駿太郎らは、手帳に付属した万年筆に仕掛けたGPSで手帳の行方を追う。追跡を続けるとGPSは、海上の客船の上で止まった。早速、駿太郎と飛鳥は船内に潜入する。  　その頃、船内に拉致されていた瞳子の元へ、手帳を手にした男(永井大)が現れた。それは、瞳子を付け狙っていた男だった…。</t>
  </si>
  <si>
    <t>1201_CX_火21</t>
  </si>
  <si>
    <t>ストロベリーナイト</t>
  </si>
  <si>
    <t>番組名ストロベリーナイト　#01</t>
  </si>
  <si>
    <t>100人を超える死傷者を出した、10年前の列車転覆事故。引き起こしたのは、踏切内に進入した飲酒運転の車だった。危険運転致死罪はまだ存在せず、運転していた男、米田靖史(当時24)(北上史欧)の刑期はたったの5年。ある日、出所後の米田が列車事故と同じ場所でれき死する。死体は、左右対称に真っ2つになっており、自殺と他殺両面の捜査が始まる。いつものように居酒屋で1人で飲んだ後、れき死体で米田が見つかるまでの時間は短いことから、おそらく計画的な犯行か。また、米田は殺害前に、「(鉄道会社、被害者、遺族への)賠償金の支払い義務が8億6千万円ある」と居酒屋でわめいていたらしい。  　「被害者と遺族の会」会長、小川睦男(村上かず)の長女・実春(享年17)(藤本泉)は、列車事故でひどい死に方をした。警視庁捜査一課の姫川玲子(竹内結子)は実春が車両につぶされる直前、必死で彼女を助けようとした徳山(滝藤賢一)という駅員がいたことを知り、調べ始める。徳山はJRをとうに退職して現在は行方不明となっていた。大量の資料の中から、玲子は徳山のことが書かれている小さな新聞記事を見つける。「駅員の願いむなしく…最後まで乗客の救出を諦めず自らも負傷」とある。さらには、小川睦男も家のトイレで遺体で見つかった。地道な聞き込み等から、徳山が半ば「住んで」いるネットカフェにたどり着く。徳山のブースで玲子が目にした光景は…。竹内結子　  西島秀俊　  小出恵介　  宇梶剛士　  丸山隆平　  津川雅彦　  渡辺いっけい　  遠藤憲一　  高嶋政宏　  生瀬勝久　  武田鉄矢【原作】  誉田哲也　    【脚本】  龍居由佳里【企画】  成河広明　    【プロデュース】  高丸雅隆　  江森浩子　    【演出】  佐藤祐市林ゆうき　    【主題歌】  GReeeeN「ミセナイナミダハ、きっといつか」フジテレビ　    【制作著作】  共同テレビ</t>
  </si>
  <si>
    <t>100人を超える死傷者を出した、10年前の列車転覆事故。引き起こしたのは、踏切内に進入した飲酒運転の車だった。危険運転致死罪はまだ存在せず、運転していた男、米田靖史(当時24)(北上史欧)の刑期はたったの5年。ある日、出所後の米田が列車事故と同じ場所でれき死する。死体は、左右対称に真っ2つになっており、自殺と他殺両面の捜査が始まる。いつものように居酒屋で1人で飲んだ後、れき死体で米田が見つかるまでの時間は短いことから、おそらく計画的な犯行か。また、米田は殺害前に、「(鉄道会社、被害者、遺族への)賠償金の支払い義務が8億6千万円ある」と居酒屋でわめいていたらしい。  　「被害者と遺族の会」会長、小川睦男(村上かず)の長女・実春(享年17)(藤本泉)は、列車事故でひどい死に方をした。警視庁捜査一課の姫川玲子(竹内結子)は実春が車両につぶされる直前、必死で彼女を助けようとした徳山(滝藤賢一)という駅員がいたことを知り、調べ始める。徳山はJRをとうに退職して現在は行方不明となっていた。大量の資料の中から、玲子は徳山のことが書かれている小さな新聞記事を見つける。「駅員の願いむなしく…最後まで乗客の救出を諦めず自らも負傷」とある。さらには、小川睦男も家のトイレで遺体で見つかった。地道な聞き込み等から、徳山が半ば「住んで」いるネットカフェにたどり着く。徳山のブースで玲子が目にした光景は…。</t>
  </si>
  <si>
    <t>番組名ストロベリーナイト　#02</t>
  </si>
  <si>
    <t>覚醒剤使用の痕跡がある男性が劇症肝炎で死亡する症例が立て続けに発生。姫川玲子(竹内結子)は事件性を感じ、覚醒剤取締法違反である事件を連続殺人として捜査開始した。被害者は独身サラリーマン3名。西ヶ原警察署管内、亀有西署管内、高円寺警察管内で発見された。  　今回の捜査の座組みは姫川班と三係の島班、遺体が発見された各所轄から生活安全課と刑組課の刑事が入るという。玲子のことが好きな井岡博満(生瀬勝久)も捜査に加わる。島(小木茂光)は菊田(西島秀俊)の師匠で、ひたすら足を使い、1つずつ可能性をつぶしてホシにせまるタイプで、手ごわい相手だ。さらに、玲子の気がかりはガンテツこと勝俣警部補(武田鉄矢)が介入してくることだ。  　被害者3名はオンラインゲームサイト“ガチャゲー"に会員登録をしていて、ゲームの中で共通の相手と接触していた。玲子はホシがゲームの中で知り合った不特定多数の相手に毒入り麻薬を配っている可能性を疑う。一方のガンテツはドラッグの売人の遺体が所持していた黒と白のカプセル(ゼブラ)を入手する。科捜研を使って調べると、主成分は合成麻薬MDMAで、アセトアミノフェンという薬物が混ざっていたという。解熱鎮痛剤の一種で、大量に摂取すると劇症肝炎を引き起こす原因になる。玲子はガチャゲーの料金を引き落としているカード会社から、ある大物の存在に気付く…。竹内結子　  西島秀俊　  小出恵介　  宇梶剛士　  丸山隆平　  津川雅彦　  渡辺いっけい　  遠藤憲一　  高嶋政宏　  生瀬勝久　  武田鉄矢【原作】  誉田哲也　    【脚本】  龍居由佳里【企画】  成河広明　    【プロデュース】  高丸雅隆　  江森浩子　    【演出】  佐藤祐市林ゆうき　    【主題歌】  GReeeeN「ミセナイナミダハ、きっといつか」制作著作:共同テレビ　  制作:フジテレビ</t>
  </si>
  <si>
    <t>覚醒剤使用の痕跡がある男性が劇症肝炎で死亡する症例が立て続けに発生。姫川玲子(竹内結子)は事件性を感じ、覚醒剤取締法違反である事件を連続殺人として捜査開始した。被害者は独身サラリーマン3名。西ヶ原警察署管内、亀有西署管内、高円寺警察管内で発見された。  　今回の捜査の座組みは姫川班と三係の島班、遺体が発見された各所轄から生活安全課と刑組課の刑事が入るという。玲子のことが好きな井岡博満(生瀬勝久)も捜査に加わる。島(小木茂光)は菊田(西島秀俊)の師匠で、ひたすら足を使い、1つずつ可能性をつぶしてホシにせまるタイプで、手ごわい相手だ。さらに、玲子の気がかりはガンテツこと勝俣警部補(武田鉄矢)が介入してくることだ。  　被害者3名はオンラインゲームサイト“ガチャゲー"に会員登録をしていて、ゲームの中で共通の相手と接触していた。玲子はホシがゲームの中で知り合った不特定多数の相手に毒入り麻薬を配っている可能性を疑う。一方のガンテツはドラッグの売人の遺体が所持していた黒と白のカプセル(ゼブラ)を入手する。科捜研を使って調べると、主成分は合成麻薬MDMAで、アセトアミノフェンという薬物が混ざっていたという。解熱鎮痛剤の一種で、大量に摂取すると劇症肝炎を引き起こす原因になる。玲子はガチャゲーの料金を引き落としているカード会社から、ある大物の存在に気付く…。</t>
  </si>
  <si>
    <t>番組名ストロベリーナイト　#03</t>
  </si>
  <si>
    <t>姫川玲子(竹内結子)の調べで、覚醒剤使用の痕跡があり、劇症肝炎で死亡した被害者全員と接触していた人物が4人いた。うち3人は女子高生で、被害者たちと売春行為をしていたようだ。だが、その3人と毒入り麻薬との関連性はなく、残り1人が下坂勇一郎(北見敏之)という医師で、現在の総理大臣の政策ブレーンとして活躍しているという。下坂は劇症肝炎を引き起こす薬物や、麻酔剤などを入手できる環境にいる。さらに長年、薬物依存者のカウンセリングをしており、違法薬物撲滅協会の理事を務めている。姫川が下坂に任意同行を求めると了承するが、“ガチャゲー"なんていうサイトは知らないと否定する。島(小木茂光)が調べたところ、2週間前、下坂は海外にいたため、ガチャゲーにアクセスできない状況だった。また、下坂の携帯、パソコンにはガチャゲーにアクセスした履歴が一切なかった。カードの運営会社に問い合わせたところ、盗んだカード番号を使った不正登録ではないかということだ。つまり、「シド」と名乗る人物が下坂のカード情報を盗み出した可能性が高い。菊田(西島秀俊)から玲子に連絡が入る。恵比寿署管内のアパートで男の遺体が見つかり、劇症肝炎が死因だった。玲子と井岡(生瀬勝久)はクローンカードを作る業者に接触し、ある女子高生に辿り着く。竹内結子　  西島秀俊　  小出恵介　  宇梶剛士　  丸山隆平　  津川雅彦　  渡辺いっけい　  遠藤憲一　  高嶋政宏　  生瀬勝久　  武田鉄矢【原作】  誉田哲也　    【脚本】  黒岩勉【企画】  成河広明　    【プロデュース】  高丸雅隆　  江森浩子　    【演出】  佐藤祐市林ゆうき　    【主題歌】  GReeeeN「ミセナイナミダハ、きっといつか」制作著作:共同テレビ　  制作:フジテレビ</t>
  </si>
  <si>
    <t>姫川玲子(竹内結子)の調べで、覚醒剤使用の痕跡があり、劇症肝炎で死亡した被害者全員と接触していた人物が4人いた。うち3人は女子高生で、被害者たちと売春行為をしていたようだ。だが、その3人と毒入り麻薬との関連性はなく、残り1人が下坂勇一郎(北見敏之)という医師で、現在の総理大臣の政策ブレーンとして活躍しているという。下坂は劇症肝炎を引き起こす薬物や、麻酔剤などを入手できる環境にいる。さらに長年、薬物依存者のカウンセリングをしており、違法薬物撲滅協会の理事を務めている。姫川が下坂に任意同行を求めると了承するが、“ガチャゲー"なんていうサイトは知らないと否定する。島(小木茂光)が調べたところ、2週間前、下坂は海外にいたため、ガチャゲーにアクセスできない状況だった。また、下坂の携帯、パソコンにはガチャゲーにアクセスした履歴が一切なかった。カードの運営会社に問い合わせたところ、盗んだカード番号を使った不正登録ではないかということだ。つまり、「シド」と名乗る人物が下坂のカード情報を盗み出した可能性が高い。菊田(西島秀俊)から玲子に連絡が入る。恵比寿署管内のアパートで男の遺体が見つかり、劇症肝炎が死因だった。玲子と井岡(生瀬勝久)はクローンカードを作る業者に接触し、ある女子高生に辿り着く。</t>
  </si>
  <si>
    <t>番組名ストロベリーナイト　#04</t>
  </si>
  <si>
    <t>最近、立て続けに過去の事件の犯罪者2人が変死した。1人は5年前、女子高生3人を監禁暴行の上、最終的に殺害したが、最高裁で心神喪失により無罪となった吾妻照夫(28歳)(端本宇良)。そして6年前、当時15歳で、女子児童暴行殺人で捕まったが、少年法適用により、たった2年の刑で釈放となった大場武志(20歳)(柿沢隆史)である。吾妻は車にはねられ死亡。大場は薬物中毒で死亡した。　姫川玲子(竹内結子)たちが事件を調べていくと、3年前に女子中学生を監禁殺害して、2年ちょっとで出所している安井五郎(TOMO)にぶち当たる。だが、その安井も自宅マンションから飛び降りて死んでしまう。  　吾妻、大場、安井は3人とも犯した罪の割に軽い刑、または無罪で済んだ犯人。この3人の共通点を調書から洗い出した結果、すべての事件に倉田修二警部補(杉本哲太)が関わっていることが分かる。そして大場の事件には“ガンテツ"こと勝俣警部補(武田鉄矢)も関わっていた。捜査員の情報の入ったパソコンで履歴を検索するが、倉田修二と入力しても「該当者なし」と出てくる。どうやら倉田のデータはロックされているようだ。ガンテツと会った玲子は、倉田について驚くべき事実を知る。竹内結子　  西島秀俊　  小出恵介　  宇梶剛士　  丸山隆平　  津川雅彦　  渡辺いっけい　  遠藤憲一　  高嶋政宏　  生瀬勝久　  武田鉄矢【原作】  誉田哲也　    【脚本】  旺季志ずか【企画】  成河広明　    【プロデュース】  高丸雅隆　  江森浩子　    【演出】  石川淳一林ゆうき　    【主題歌】  GReeeeN「ミセナイナミダハ、きっといつか」制作著作:共同テレビ　  制作:フジテレビ</t>
  </si>
  <si>
    <t>最近、立て続けに過去の事件の犯罪者2人が変死した。1人は5年前、女子高生3人を監禁暴行の上、最終的に殺害したが、最高裁で心神喪失により無罪となった吾妻照夫(28歳)(端本宇良)。そして6年前、当時15歳で、女子児童暴行殺人で捕まったが、少年法適用により、たった2年の刑で釈放となった大場武志(20歳)(柿沢隆史)である。吾妻は車にはねられ死亡。大場は薬物中毒で死亡した。　姫川玲子(竹内結子)たちが事件を調べていくと、3年前に女子中学生を監禁殺害して、2年ちょっとで出所している安井五郎(TOMO)にぶち当たる。だが、その安井も自宅マンションから飛び降りて死んでしまう。  　吾妻、大場、安井は3人とも犯した罪の割に軽い刑、または無罪で済んだ犯人。この3人の共通点を調書から洗い出した結果、すべての事件に倉田修二警部補(杉本哲太)が関わっていることが分かる。そして大場の事件には“ガンテツ"こと勝俣警部補(武田鉄矢)も関わっていた。捜査員の情報の入ったパソコンで履歴を検索するが、倉田修二と入力しても「該当者なし」と出てくる。どうやら倉田のデータはロックされているようだ。ガンテツと会った玲子は、倉田について驚くべき事実を知る。</t>
  </si>
  <si>
    <t>番組名ストロベリーナイト　#05</t>
  </si>
  <si>
    <t>姫川玲子(竹内結子)は“ガンテツ"こと勝俣警部補(武田鉄矢)から、女性暴行殺人事件の犯人3人の捜査に関わった倉田修二警部補(杉本哲太)が3年前に警察を辞めたことを聞く。理由は、息子の倉田英樹(石黒英雄)が交際相手の高校生、嶋田彩香(皆川玲奈)を刺殺したからだ。英樹は家裁で2年の刑に処せられて少年刑務所に収監されているという。さらに、倉田の妻・加奈子(おぐちえりこ)は、被害者の嶋田彩香の父親・勝也(吉満涼太)に自宅で殺されていた。  　倉田と対峙した玲子は「最初、あなたは過ぎた正義感のために3人を殺したと思ったが、自分を追いつめるために3人を殺した。息子の英樹に自分の手で罰を与える決心が鈍らない様に・・・」と語りかける。  　玲子は英樹と面会をしたいと思うが、英樹は会いたがらない。玲子は倉田の決意を変えるために何としても英樹に会いたいのだ。英樹は来週に出所することが決まったようだ。  　玲子は倉田に息子の殺害を止めさせたいが、証拠はあるのかと突っぱねられる。玲子は倉田に「英樹君は私がどんなことをしても守る」ときっぱり言って立ち去る。そして、玲子は英樹の母親が生前に言っていたことを伝えるために英樹に会う。さらに、彩香の母親の澄子(渡辺杉枝)に会い、ある事実に気付いた玲子は・・・。竹内結子　  西島秀俊　  小出恵介　  宇梶剛士　  丸山隆平　  津川雅彦　  渡辺いっけい　  遠藤憲一　  高嶋政宏　  生瀬勝久　  武田鉄矢【原作】  誉田哲也　    【脚本】  旺季志ずか【企画】  成河広明　    【プロデュース】  高丸雅隆　  江森浩子　    【演出】  石川淳一林ゆうき　    【主題歌】  GReeeeN「ミセナイナミダハ、きっといつか」制作著作:共同テレビ　  制作:フジテレビ</t>
  </si>
  <si>
    <t>姫川玲子(竹内結子)は“ガンテツ"こと勝俣警部補(武田鉄矢)から、女性暴行殺人事件の犯人3人の捜査に関わった倉田修二警部補(杉本哲太)が3年前に警察を辞めたことを聞く。理由は、息子の倉田英樹(石黒英雄)が交際相手の高校生、嶋田彩香(皆川玲奈)を刺殺したからだ。英樹は家裁で2年の刑に処せられて少年刑務所に収監されているという。さらに、倉田の妻・加奈子(おぐちえりこ)は、被害者の嶋田彩香の父親・勝也(吉満涼太)に自宅で殺されていた。  　倉田と対峙した玲子は「最初、あなたは過ぎた正義感のために3人を殺したと思ったが、自分を追いつめるために3人を殺した。息子の英樹に自分の手で罰を与える決心が鈍らない様に・・・」と語りかける。  　玲子は英樹と面会をしたいと思うが、英樹は会いたがらない。玲子は倉田の決意を変えるために何としても英樹に会いたいのだ。英樹は来週に出所することが決まったようだ。  　玲子は倉田に息子の殺害を止めさせたいが、証拠はあるのかと突っぱねられる。玲子は倉田に「英樹君は私がどんなことをしても守る」ときっぱり言って立ち去る。そして、玲子は英樹の母親が生前に言っていたことを伝えるために英樹に会う。さらに、彩香の母親の澄子(渡辺杉枝)に会い、ある事実に気付いた玲子は・・・。</t>
  </si>
  <si>
    <t>番組名ストロベリーナイト　#06</t>
  </si>
  <si>
    <t>激しい雨が降る夜、閑静な住宅地で、家の玄関から出てきた男が身を隠していた男にいきなりメッタ刺しにされた。現場検証が行われ、姫川班の面々が集合する。被害者は長塚淳(窪寺昭)。自宅玄関前で胸や腹、背中など9カ所を刺され、死亡した。被害者の長塚淳は東大卒で、大手製薬会社「濱中薬品」に勤めている。会社から帰ってきて、一旦家に入り、着替える間もなく呼び出され、サンダル履きで玄関の外に出たところ、いきなり何者かに襲われ、殺害されたとの報告がされる。死因は失血死。凶器は刃渡り17cmほどの文化包丁状の刃物。死亡推定時刻は昨夜の8時半頃。第一発見者は、午後11時10分ごろ帰宅した父の長塚利一(佐々木勝彦)。特殊法人「労災施設事業団」の理事だ。息子の淳の評判はよく、最近、大学時代から付き合っていた彼女と別れ話が出ていたようだ。  　玲子(竹内結子)は、葉山(小出恵介)と警察学校の同期で卒配も一緒の成城南署強行犯捜査係の高野真弓(加藤あい)とコンビを組むことになった。事件のあった昨夜は激しい雨が降っていたため、現場の周辺から足痕および指紋は、現段階では採取できなかった。家に入った被害者を呼び出したのに、呼び鈴になぜ指紋が残っていなかったのか?と疑問に思った玲子は、家政婦の良枝(上岡紘子)の証言から、あることに気付く。いつもクールな葉山が捜査に熱心に取り組むが、過去のトラウマとなった事件を思い出し…。竹内結子　  西島秀俊　  小出恵介　  宇梶剛士　  丸山隆平　  津川雅彦　  渡辺いっけい　  遠藤憲一　  高嶋政宏　  生瀬勝久　  武田鉄矢【原作】  誉田哲也　    【脚本】  林誠人【企画】  成河広明　    【プロデュース】  高丸雅隆　  江森浩子　    【演出】  佐藤祐市林ゆうき　    【主題歌】  GReeeeN「ミセナイナミダハ、きっといつか」制作著作:共同テレビ　  制作:フジテレビ</t>
  </si>
  <si>
    <t>激しい雨が降る夜、閑静な住宅地で、家の玄関から出てきた男が身を隠していた男にいきなりメッタ刺しにされた。現場検証が行われ、姫川班の面々が集合する。被害者は長塚淳(窪寺昭)。自宅玄関前で胸や腹、背中など9カ所を刺され、死亡した。被害者の長塚淳は東大卒で、大手製薬会社「濱中薬品」に勤めている。会社から帰ってきて、一旦家に入り、着替える間もなく呼び出され、サンダル履きで玄関の外に出たところ、いきなり何者かに襲われ、殺害されたとの報告がされる。死因は失血死。凶器は刃渡り17cmほどの文化包丁状の刃物。死亡推定時刻は昨夜の8時半頃。第一発見者は、午後11時10分ごろ帰宅した父の長塚利一(佐々木勝彦)。特殊法人「労災施設事業団」の理事だ。息子の淳の評判はよく、最近、大学時代から付き合っていた彼女と別れ話が出ていたようだ。  　玲子(竹内結子)は、葉山(小出恵介)と警察学校の同期で卒配も一緒の成城南署強行犯捜査係の高野真弓(加藤あい)とコンビを組むことになった。事件のあった昨夜は激しい雨が降っていたため、現場の周辺から足痕および指紋は、現段階では採取できなかった。家に入った被害者を呼び出したのに、呼び鈴になぜ指紋が残っていなかったのか?と疑問に思った玲子は、家政婦の良枝(上岡紘子)の証言から、あることに気付く。いつもクールな葉山が捜査に熱心に取り組むが、過去のトラウマとなった事件を思い出し…。</t>
  </si>
  <si>
    <t>番組名ストロベリーナイト　#07</t>
  </si>
  <si>
    <t>暴力団組長が射殺され、特別捜査本部が設置された。姫川玲子(竹内結子)は大きなヤマを担当したかったが、捜査十係係長の今泉(高嶋政宏)から監察医務院の國奥(津川雅彦)の所に行くよう指示された。自殺か他殺か判断できない遺体が運ばれてきたようだ。ロープが首を1周していて、喉の前で交差しており、自殺を偽装したようにもみえる。國奥は死亡推定時刻は昨夜の午後11時前後だが、左半身だけ死後硬直が解けるのが早いのが気にかかるという。所轄の強行犯捜査係長によると今日の午後10時半頃、「マンションの部屋で男が死んでいるので見に来てほしい」と女の声で110番通報があった。警官がかけつけると通報者は不在だが、男の死体は存在していた。被害者は村田一夫。通報者は死んだ男と同居していた女だと思われたが、通報後に姿を消している。玲子は遅れて捜査に加わったが、押収品で気になるものがあった。彫刻刀で削った箸置きのような形の13個の木片が並んでいた。また、ライティングビューローの奥から小さな鍵が見つかった。村田一夫は偽名で、本名は岸谷清次(松田賢二)。年齢は44歳で、10代の頃から札付きの悪で、少年刑務所にも入っていたことがあった。20歳の頃から暴力団事務所に出入りするようになり、23歳の時に大和会系の三次団体、吉田組の構成員となっていた。玲子は同居人の女が鍵を握っていると思い、部下に女の身元を洗うよう命じる。竹内結子　  西島秀俊　  小出恵介　  宇梶剛士　  丸山隆平　  津川雅彦　  渡辺いっけい　  遠藤憲一　  高嶋政宏　  生瀬勝久　  武田鉄矢【原作】  誉田哲也　    【脚本】  林誠人【企画】  成河広明　    【プロデュース】  高丸雅隆　  江森浩子　    【演出】  佐藤祐市林ゆうき　    【主題歌】  GReeeeN「ミセナイナミダハ、きっといつか」制作著作:共同テレビ　  制作:フジテレビ</t>
  </si>
  <si>
    <t>暴力団組長が射殺され、特別捜査本部が設置された。姫川玲子(竹内結子)は大きなヤマを担当したかったが、捜査十係係長の今泉(高嶋政宏)から監察医務院の國奥(津川雅彦)の所に行くよう指示された。自殺か他殺か判断できない遺体が運ばれてきたようだ。ロープが首を1周していて、喉の前で交差しており、自殺を偽装したようにもみえる。國奥は死亡推定時刻は昨夜の午後11時前後だが、左半身だけ死後硬直が解けるのが早いのが気にかかるという。所轄の強行犯捜査係長によると今日の午後10時半頃、「マンションの部屋で男が死んでいるので見に来てほしい」と女の声で110番通報があった。警官がかけつけると通報者は不在だが、男の死体は存在していた。被害者は村田一夫。通報者は死んだ男と同居していた女だと思われたが、通報後に姿を消している。玲子は遅れて捜査に加わったが、押収品で気になるものがあった。彫刻刀で削った箸置きのような形の13個の木片が並んでいた。また、ライティングビューローの奥から小さな鍵が見つかった。村田一夫は偽名で、本名は岸谷清次(松田賢二)。年齢は44歳で、10代の頃から札付きの悪で、少年刑務所にも入っていたことがあった。20歳の頃から暴力団事務所に出入りするようになり、23歳の時に大和会系の三次団体、吉田組の構成員となっていた。玲子は同居人の女が鍵を握っていると思い、部下に女の身元を洗うよう命じる。</t>
  </si>
  <si>
    <t>番組名ストロベリーナイト　#08</t>
  </si>
  <si>
    <t>マンションの一室で変死体で発見された岸谷清次(松田賢二)のマンションに出入りしていたのは「楓」というスナックのホステスで、春川美津代(木村多江)という女性だった。岸谷の部屋から見つかった小さな鍵は私書箱の鍵だった。中には缶があり、街で隠し撮りされたようなアングルの暴力団関係者の雰囲気をまとった男女の写真、34枚が入っていた。この前、射殺された神部組組長・神部剛敬(松本元)や鷹見組組長・鷹見幸彦(清水哲也)の写真もあった。その中で封筒に入れられた1枚の写真があった。どこかの海岸をバックに最高の笑顔を向けている美津代の写真だ。  　捜査一課特設現場資料室の林警部補(半海一晃)に写真を持ち込んだ姫川玲子(竹内結子)は、神部と鷹見以外の3人も暴力団に関係があり、射殺されていることを教えてもらう。他の6人も暴力団に関わりがあり、写真に写っている11人全員が殺されていたとしたら・・・。玲子は11という数字にひらめきを感じ、今泉捜査十係係長(高嶋政宏)に岸谷が大和会系の殺し屋で、17歳の時の傷害致死と29歳の時の殺人を合わせて、13人を殺したのではないかと訴える。岸谷は自分が殺した人間の数だけ、木片を削っていたというのだ。岸谷の死の真相を知る美津代を探しに玲子は菊田(西島秀俊)と共に伊豆に向かう。竹内結子　  西島秀俊　  小出恵介　  宇梶剛士　  丸山隆平　  津川雅彦　  渡辺いっけい　  遠藤憲一　  高嶋政宏　  生瀬勝久　  武田鉄矢【原作】  誉田哲也　    【脚本】  林誠人【企画】  成河広明　    【プロデュース】  高丸雅隆　  江森浩子　    【演出】  石川淳一林ゆうき　    【主題歌】  GReeeeN「ミセナイナミダハ、きっといつか」制作著作:共同テレビ　  制作:フジテレビ</t>
  </si>
  <si>
    <t>マンションの一室で変死体で発見された岸谷清次(松田賢二)のマンションに出入りしていたのは「楓」というスナックのホステスで、春川美津代(木村多江)という女性だった。岸谷の部屋から見つかった小さな鍵は私書箱の鍵だった。中には缶があり、街で隠し撮りされたようなアングルの暴力団関係者の雰囲気をまとった男女の写真、34枚が入っていた。この前、射殺された神部組組長・神部剛敬(松本元)や鷹見組組長・鷹見幸彦(清水哲也)の写真もあった。その中で封筒に入れられた1枚の写真があった。どこかの海岸をバックに最高の笑顔を向けている美津代の写真だ。  　捜査一課特設現場資料室の林警部補(半海一晃)に写真を持ち込んだ姫川玲子(竹内結子)は、神部と鷹見以外の3人も暴力団に関係があり、射殺されていることを教えてもらう。他の6人も暴力団に関わりがあり、写真に写っている11人全員が殺されていたとしたら・・・。玲子は11という数字にひらめきを感じ、今泉捜査十係係長(高嶋政宏)に岸谷が大和会系の殺し屋で、17歳の時の傷害致死と29歳の時の殺人を合わせて、13人を殺したのではないかと訴える。岸谷は自分が殺した人間の数だけ、木片を削っていたというのだ。岸谷の死の真相を知る美津代を探しに玲子は菊田(西島秀俊)と共に伊豆に向かう。</t>
  </si>
  <si>
    <t>番組名ストロベリーナイト　#09</t>
  </si>
  <si>
    <t>多摩川土手に放置されたワンボックス・カーから、血塗れの左手首が発見された。近くにある工務店のガレージが血の海になっており、発見者の証言と切断現場に残された指紋との照合により、工務店経営の高岡賢一(石黒賢)の手首と判明した。遺体なき殺人事件として捜査が開始される。臨場班は日下守(遠藤憲一)、姫川玲子(竹内結子)の両班体制だ。  　高岡工務店には、三島耕介(濱田岳)という従業員が勤務していた。高岡のガレージが血まみれになっているのを通報したのが三島だ。三島のアリバイは、恋人の中川美智子(蓮佛美沙子)から当該時刻に一緒にいたという証言を得ている。  　三島の父は、13年前に、木下興業の建設現場で事故死している。その当時、高岡は中林建設にいて、三島の父はその下請け会社でとび職をやっていた。そして、高岡が勤めていた中林建設は田嶋組のフロント企業だとわかった。　井岡(生瀬勝久)と組んだ玲子は高岡の住んでいた家の近所の鈴木不動産の主人から、高岡はたばこ屋の息子で、鉄道会社に勤めていたことを聞く。高岡は中林建設に勤めるわけがないと主人は言う。中林建設の激しい地上げによる嫌がらせで、高岡の母が自殺したというのだ。  　田嶋組は保険金詐欺に深く関わっており、三島の恋人の美智子の父親も木下興業でとび職をしていて、2カ月前に転落死をしていた。竹内結子　  西島秀俊　  小出恵介　  宇梶剛士　  丸山隆平　  津川雅彦　  渡辺いっけい　  遠藤憲一　  高嶋政宏　  生瀬勝久　  武田鉄矢【原作】  誉田哲也　    【脚本】  龍居由佳里【企画】  成河広明　    【プロデュース】  高丸雅隆　  江森浩子　    【演出】  佐藤祐市林ゆうき　    【主題歌】  GReeeeN「ミセナイナミダハ、きっといつか」制作著作:共同テレビ　  制作:フジテレビ</t>
  </si>
  <si>
    <t>多摩川土手に放置されたワンボックス・カーから、血塗れの左手首が発見された。近くにある工務店のガレージが血の海になっており、発見者の証言と切断現場に残された指紋との照合により、工務店経営の高岡賢一(石黒賢)の手首と判明した。遺体なき殺人事件として捜査が開始される。臨場班は日下守(遠藤憲一)、姫川玲子(竹内結子)の両班体制だ。  　高岡工務店には、三島耕介(濱田岳)という従業員が勤務していた。高岡のガレージが血まみれになっているのを通報したのが三島だ。三島のアリバイは、恋人の中川美智子(蓮佛美沙子)から当該時刻に一緒にいたという証言を得ている。  　三島の父は、13年前に、木下興業の建設現場で事故死している。その当時、高岡は中林建設にいて、三島の父はその下請け会社でとび職をやっていた。そして、高岡が勤めていた中林建設は田嶋組のフロント企業だとわかった。　井岡(生瀬勝久)と組んだ玲子は高岡の住んでいた家の近所の鈴木不動産の主人から、高岡はたばこ屋の息子で、鉄道会社に勤めていたことを聞く。高岡は中林建設に勤めるわけがないと主人は言う。中林建設の激しい地上げによる嫌がらせで、高岡の母が自殺したというのだ。  　田嶋組は保険金詐欺に深く関わっており、三島の恋人の美智子の父親も木下興業でとび職をしていて、2カ月前に転落死をしていた。</t>
  </si>
  <si>
    <t>番組名ストロベリーナイト　#10</t>
  </si>
  <si>
    <t>玲子(竹内結子)は、血塗れの左手首の持ち主と考えられる高岡賢一(石黒賢)の幼馴染に高岡の写真を見てもらい、写真の人物が高岡でないことを確認する。  　木下興業の建設現場での転落事故死…借金で首の回らなくなった人間を木下興業の建設作業員として現場に送り込み事故死させ、その保険金で借金を清算させるという闇社会の手口が見えてくる。  　木下興業の総務係長で、保険金担当をしているやくざ崩れの男、戸部真樹夫(池田鉄洋)の行方が分からなくなっていることがわかった。中林建設から出向しており、母親の姓を名乗っているが、父親は田嶋組初代組長、田嶋正勝。母親は田嶋の愛人だったホステスだ。  　高岡は、自分が死んだ際の保険金の受け取りを、内藤君江(南風佳子)と三島耕介(濱田岳)宛てにしていた。君江は48歳、独身で小さな定食屋を経営している。かわいがっている三島に1000万の受け取りは分かるが、なぜ血縁でもない内藤君江を5000万円もの保険金の受取人としたのか。  　君江は内藤雄太(森義洋)という20歳の青年を病院に見舞う。13年前、7歳の時の交通事故が原因で全身麻痺になった。母親はその事故で死んだが、父親のことはただ死んだとしかわからない。君江が13年前からずっと世話をしているというのだ。  　玲子は捜査会議で、高岡賢一、内藤君江、内藤雄太の関係についてある推測を披露するが…。竹内結子　  西島秀俊　  小出恵介　  宇梶剛士　  丸山隆平　  津川雅彦　  渡辺いっけい　  遠藤憲一　  高嶋政宏　  生瀬勝久　  武田鉄矢【原作】  誉田哲也　    【脚本】  龍居由佳里【企画】  成河広明　    【プロデュース】  高丸雅隆　  江森浩子　    【演出】  佐藤祐市林ゆうき　    【主題歌】  GReeeeN「ミセナイナミダハ、きっといつか」制作著作:共同テレビ　  制作:フジテレビ</t>
  </si>
  <si>
    <t>玲子(竹内結子)は、血塗れの左手首の持ち主と考えられる高岡賢一(石黒賢)の幼馴染に高岡の写真を見てもらい、写真の人物が高岡でないことを確認する。  　木下興業の建設現場での転落事故死…借金で首の回らなくなった人間を木下興業の建設作業員として現場に送り込み事故死させ、その保険金で借金を清算させるという闇社会の手口が見えてくる。  　木下興業の総務係長で、保険金担当をしているやくざ崩れの男、戸部真樹夫(池田鉄洋)の行方が分からなくなっていることがわかった。中林建設から出向しており、母親の姓を名乗っているが、父親は田嶋組初代組長、田嶋正勝。母親は田嶋の愛人だったホステスだ。  　高岡は、自分が死んだ際の保険金の受け取りを、内藤君江(南風佳子)と三島耕介(濱田岳)宛てにしていた。君江は48歳、独身で小さな定食屋を経営している。かわいがっている三島に1000万の受け取りは分かるが、なぜ血縁でもない内藤君江を5000万円もの保険金の受取人としたのか。  　君江は内藤雄太(森義洋)という20歳の青年を病院に見舞う。13年前、7歳の時の交通事故が原因で全身麻痺になった。母親はその事故で死んだが、父親のことはただ死んだとしかわからない。君江が13年前からずっと世話をしているというのだ。  　玲子は捜査会議で、高岡賢一、内藤君江、内藤雄太の関係についてある推測を披露するが…。</t>
  </si>
  <si>
    <t>番組名ストロベリーナイト　#11</t>
  </si>
  <si>
    <t>玲子(竹内結子)による、高岡の実家付近への聞き込みで、意外なことが判明した。今まで「高岡」だと思っていた人物は、実は別人だった。玲子は「高岡」が、内藤和敏という男で、全身麻痺で入院している20歳の内藤雄太(森義洋)の父親、そして、内藤君江(南風佳子)の弟だと推測する。13年前、地上げに巻き込まれて高岡賢一は自殺。暴力団のフロント企業である中川建設は、高岡の死が土地取引の障害になるため隠ぺいしたいと考えた。その頃、自分の起こした交通事故で妻を死なせ、息子を全身麻痺にした男がいた。それが、建設作業員の内藤和敏(石黒賢)である。息子の入院費を工面できずに困っていた内藤に中川建設が近づく。中川建設は、自殺したのは高岡ではなく内藤であるかのように偽装。内藤は、戸籍乗っ取りで「高岡賢一」として生きていくことを決意したようだ。そして、この保険金詐欺により、姉の君江に3000万の保険金を受け取らせ、雄太の入院費にあてたようだ。おそらくこの保険金詐欺と戸籍乗っ取りのネタで、内藤は木下興業の戸部真樹夫(池田鉄洋)に脅迫されていたのだろうと思われた。戸部が高岡(すなわち内藤和敏)を殺害したのだろうか?戸部の行方は、今もって分からない。  　多摩川で遺体の一部、胴体が発見され、胴体のDNAが「高岡」の左手首のものと一致した。だが、玲子は胴体が「高岡」のものではないと推理する。竹内結子　  西島秀俊　  小出恵介　  宇梶剛士　  丸山隆平　  津川雅彦　  渡辺いっけい　  遠藤憲一　  高嶋政宏　  生瀬勝久　  武田鉄矢【原作】  誉田哲也　    【脚本】  龍居由佳里【企画】  成河広明　    【プロデュース】  高丸雅隆　  江森浩子　    【演出】  佐藤祐市林ゆうき　    【主題歌】  GReeeeN「ミセナイナミダハ、きっといつか」制作著作:共同テレビ　  制作:フジテレビ</t>
  </si>
  <si>
    <t>玲子(竹内結子)による、高岡の実家付近への聞き込みで、意外なことが判明した。今まで「高岡」だと思っていた人物は、実は別人だった。玲子は「高岡」が、内藤和敏という男で、全身麻痺で入院している20歳の内藤雄太(森義洋)の父親、そして、内藤君江(南風佳子)の弟だと推測する。13年前、地上げに巻き込まれて高岡賢一は自殺。暴力団のフロント企業である中川建設は、高岡の死が土地取引の障害になるため隠ぺいしたいと考えた。その頃、自分の起こした交通事故で妻を死なせ、息子を全身麻痺にした男がいた。それが、建設作業員の内藤和敏(石黒賢)である。息子の入院費を工面できずに困っていた内藤に中川建設が近づく。中川建設は、自殺したのは高岡ではなく内藤であるかのように偽装。内藤は、戸籍乗っ取りで「高岡賢一」として生きていくことを決意したようだ。そして、この保険金詐欺により、姉の君江に3000万の保険金を受け取らせ、雄太の入院費にあてたようだ。おそらくこの保険金詐欺と戸籍乗っ取りのネタで、内藤は木下興業の戸部真樹夫(池田鉄洋)に脅迫されていたのだろうと思われた。戸部が高岡(すなわち内藤和敏)を殺害したのだろうか?戸部の行方は、今もって分からない。  　多摩川で遺体の一部、胴体が発見され、胴体のDNAが「高岡」の左手首のものと一致した。だが、玲子は胴体が「高岡」のものではないと推理する。</t>
  </si>
  <si>
    <t>1201_CX_火22</t>
  </si>
  <si>
    <t>ハングリー！</t>
  </si>
  <si>
    <t>番組名ハングリー!　#01</t>
  </si>
  <si>
    <t>番組グッズプレゼント募集中!　  「ハングリー!」公式ホームページ　  http://www.ktv.jp/hungry/「30歳になるまでに芽が出なかったら、見習いシェフになる」。  ロックバンド『ROCKHEAD』のベーシスト・山手英介(向井理)は、人気フレンチレストラン『ル・プティシュ』のオーナーシェフである母・華子(片平なぎさ)と期限付きの約束を交わし、調理師専門学校を卒業後、仲間たちとロックに身を捧げてきた。    ところが、30歳を目前に控えたある日、バンドが突然の解散。さらに、華子が倒れ、帰らぬ人となってしまう。悲しみに暮れる英介は、母の店を守ろうと、シェフになることを決意。だが店は、新進気鋭の実業家・麻生時男(稲垣吾郎)によって、従業員ごと買収されていた。    あきらめきれない英介は、華子が画家である夫・太朗(大杉漣)のために、アトリエとして借りていた倉庫でレストランを始めることに。『ROCKHEAD』のメンバーだった住吉賢太(塚本高史)と藤沢剛(川畑要)を誘い、新しい『ル・プティシュ』のオープンに向けて準備を進める。    オープン当日、20歳の誕生日を迎えた女子大生の大楠千絵(瀧本美織)は、以前から憧れていたフレンチレストラン『ル・プティシュ』を探していた。しかし、手がかりだった雑誌の切り抜きに記されていた場所には、麻生がオーナーを務める『ガステレア』が。  やがて、電柱の貼り紙を頼りに『ル・プティシュ』に辿り着いたものの、店の前では英介が地面にベースを叩きつけていて…。向井理　  瀧本美織　  国仲涼子　  塚本高史　  三浦翔平　  川畑要(CHEMISTRY)  　・　  鈴木砂羽　  片桐はいり  　・　  宮地真緒　  石黒英雄　  田山涼成　  林丹丹　  山下リオ　  佐藤勝利(Sexy　Zone)  橋本じゅん　  　・　  片平なぎさ　  大杉漣(しんにょうの点2つ)  　・　  稲垣吾郎　    ほか【脚本】  大森美香【プロデュース】  河西秀幸(関西テレビ)　  平部隆明　    【演出】  本橋圭太　  白木啓一郎(関西テレビ)　  木内健人大橋トリオ　    【主題歌】  THE　BAWDIES　    【挿入歌】  安田奈央</t>
  </si>
  <si>
    <t>「30歳になるまでに芽が出なかったら、見習いシェフになる」。  ロックバンド『ROCKHEAD』のベーシスト・山手英介(向井理)は、人気フレンチレストラン『ル・プティシュ』のオーナーシェフである母・華子(片平なぎさ)と期限付きの約束を交わし、調理師専門学校を卒業後、仲間たちとロックに身を捧げてきた。    ところが、30歳を目前に控えたある日、バンドが突然の解散。さらに、華子が倒れ、帰らぬ人となってしまう。悲しみに暮れる英介は、母の店を守ろうと、シェフになることを決意。だが店は、新進気鋭の実業家・麻生時男(稲垣吾郎)によって、従業員ごと買収されていた。    あきらめきれない英介は、華子が画家である夫・太朗(大杉漣)のために、アトリエとして借りていた倉庫でレストランを始めることに。『ROCKHEAD』のメンバーだった住吉賢太(塚本高史)と藤沢剛(川畑要)を誘い、新しい『ル・プティシュ』のオープンに向けて準備を進める。    オープン当日、20歳の誕生日を迎えた女子大生の大楠千絵(瀧本美織)は、以前から憧れていたフレンチレストラン『ル・プティシュ』を探していた。しかし、手がかりだった雑誌の切り抜きに記されていた場所には、麻生がオーナーを務める『ガステレア』が。  やがて、電柱の貼り紙を頼りに『ル・プティシュ』に辿り着いたものの、店の前では英介が地面にベースを叩きつけていて…。</t>
  </si>
  <si>
    <t>番組名ハングリー!　#02</t>
  </si>
  <si>
    <t>開店から一週間、『ル・プティシュ』には客がまったく入らず、頭を抱える英介(向井理)。店で働く賢太(塚本高史)や剛(川畑要)だけでなく、仕入れ先の農家の娘・千絵(瀧本美織)にまで店の行く末を心配され、不安に駆られた英介は、思い切って銀行に融資を申し込むが、あっさり断られてしまう。    その帰り道、母・華子(片平なぎさ)の店を買収した実業家・麻生(稲垣吾郎)と出くわした英介は、麻生がオーナーを務める『ガステレア』に招待される。その席で麻生は、レストランの名前を変えてほしいと提案。英介の店が、かつての『ル・プティシュ』の跡地に建つ『ガステレア』のイメージダウンに繋がるというのだ。だが、『ガステレア』自慢の高級料理の数々を食べた英介は、そんな麻生の皮肉を一蹴。華子が愛した『ル・プティシュ』の精神を受け継いでいるのは、自分たちのレストランだと宣言する。    とは言ったものの、店の経営は苦しくなる一方。ますます不安になる英介だったが、千絵から以前食べた料理の味が忘れられず、再び『ル・プティシュ』に行くために毎日頑張っていると打ち明けられ、英介はその言葉に励まされる。    その日の夜、雨が降りしきる『ル・プティシュ』の近くには、店へ向かう一組の訳あり風なカップルの姿が。  雨がもたらしてくれた記念すべき初めての普通の客に色めき立つメンバー。「最高のメシを届けようぜ!」と円陣を組み、料理にとりかかるが…向井理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</si>
  <si>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開店から一週間、『ル・プティシュ』には客がまったく入らず、頭を抱える英介(向井理)。店で働く賢太(塚本高史)や剛(川畑要)だけでなく、仕入れ先の農家の娘・千絵(瀧本美織)にまで店の行く末を心配され、不安に駆られた英介は、思い切って銀行に融資を申し込むが、あっさり断られてしまう。    その帰り道、母・華子(片平なぎさ)の店を買収した実業家・麻生(稲垣吾郎)と出くわした英介は、麻生がオーナーを務める『ガステレア』に招待される。その席で麻生は、レストランの名前を変えてほしいと提案。英介の店が、かつての『ル・プティシュ』の跡地に建つ『ガステレア』のイメージダウンに繋がるというのだ。だが、『ガステレア』自慢の高級料理の数々を食べた英介は、そんな麻生の皮肉を一蹴。華子が愛した『ル・プティシュ』の精神を受け継いでいるのは、自分たちのレストランだと宣言する。    とは言ったものの、店の経営は苦しくなる一方。ますます不安になる英介だったが、千絵から以前食べた料理の味が忘れられず、再び『ル・プティシュ』に行くために毎日頑張っていると打ち明けられ、英介はその言葉に励まされる。    その日の夜、雨が降りしきる『ル・プティシュ』の近くには、店へ向かう一組の訳あり風なカップルの姿が。  雨がもたらしてくれた記念すべき初めての普通の客に色めき立つメンバー。「最高のメシを届けようぜ!」と円陣を組み、料理にとりかかるが…</t>
  </si>
  <si>
    <t>番組名ハングリー!　#03</t>
  </si>
  <si>
    <t>『ROCKHEAD』を脱退した拓(三浦翔平)は、加入するはずだったバンドが警察に捕まったことで行き場を失い、なんとか『ル・プティシュ』に辿り着いたものの、疲れと空腹で倒れてしまう。英介(向井理)は、そんな拓を店で休ませるが、一方で、彼女のまりあ(国仲涼子)から「なんだか英介を遠くに感じる」と告げられ、ショックを受ける。さらに、そんな英介とまりあの姿を偶然目撃してしまった千絵(瀧本美織)もまた、動揺を隠せずにいた。  店では、太朗(大杉漣)が英介に、お客様をもてなすのにふさわしい笑顔を作るよう指導をしていた。しかし、人に愛想を振りまくことが苦手な英介は、上手く笑えない。すると、その様子を見ていた拓が「俺、ココで働いてやってもいいよ」と一言。だが、かつて拓に苦い思いをさせられた英介は、その申し入れを断る。  やがて、チラシやビラが効果を発揮し、店には少しずつ客が入るように。これまでのメニューを見直し、値段も手ごろで誰にでも分かりやすい新メニューを考案した英介は、店のキーワードに“笑顔"を掲げ、賢太(塚本高史)や剛(川畑要)に自分も少しずつ変わる努力をすると誓う。  翌日、店に女優の高嶺薫(かたせ梨乃)がやって来る。入ってくるなり店内を見渡し、スタッフの言葉遣いにも厳しい反応を見せる高嶺に、怪訝な顔をする英介。さらに、まりあが同僚の川和(丸山智己)を連れて来店すると、英介の表情は凍りつき…。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</si>
  <si>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ROCKHEAD』を脱退した拓(三浦翔平)は、加入するはずだったバンドが警察に捕まったことで行き場を失い、なんとか『ル・プティシュ』に辿り着いたものの、疲れと空腹で倒れてしまう。英介(向井理)は、そんな拓を店で休ませるが、一方で、彼女のまりあ(国仲涼子)から「なんだか英介を遠くに感じる」と告げられ、ショックを受ける。さらに、そんな英介とまりあの姿を偶然目撃してしまった千絵(瀧本美織)もまた、動揺を隠せずにいた。  店では、太朗(大杉漣)が英介に、お客様をもてなすのにふさわしい笑顔を作るよう指導をしていた。しかし、人に愛想を振りまくことが苦手な英介は、上手く笑えない。すると、その様子を見ていた拓が「俺、ココで働いてやってもいいよ」と一言。だが、かつて拓に苦い思いをさせられた英介は、その申し入れを断る。  やがて、チラシやビラが効果を発揮し、店には少しずつ客が入るように。これまでのメニューを見直し、値段も手ごろで誰にでも分かりやすい新メニューを考案した英介は、店のキーワードに“笑顔"を掲げ、賢太(塚本高史)や剛(川畑要)に自分も少しずつ変わる努力をすると誓う。  翌日、店に女優の高嶺薫(かたせ梨乃)がやって来る。入ってくるなり店内を見渡し、スタッフの言葉遣いにも厳しい反応を見せる高嶺に、怪訝な顔をする英介。さらに、まりあが同僚の川和(丸山智己)を連れて来店すると、英介の表情は凍りつき…。</t>
  </si>
  <si>
    <t>番組名ハングリー!　#04</t>
  </si>
  <si>
    <t>初めての給料日が近づいたある日、英介(向井理)は、新しくスタッフに加わった拓(三浦翔平)を含め、店の中でのそれぞれの役割分担を決める。その一方で、自分はみんなの給料を確保するため、夜間の工事現場でアルバイトに励む。    そんな中、『ガステレア』のオーナー・麻生(稲垣吾郎)が、高級なオマール海老を持って『ル・プティシュ』にやって来る。麻生は、英介に10尾のオマール海老をプレゼントする代わりに、そのうちの1尾を使って自分に料理を作ってほしいという。ただし、その料理が美味しくなければ、10尾分の代金はすべて払うことが条件。英介は迷った挙句、その勝負を受けることを決める。    翌日、英介は届いたオマール海老を使って、早速調理を開始。事前にホームページで告知していたこともあり、店には問い合わせも入って、メンバーは俄然ヤル気を見せる。オープン前、英介は恋人のまりあ(国仲涼子)にも食べに来てほしいと伝えに行くが、連日の疲労が重なり、話の途中で思わず欠伸をしてしまう。怒ったまりあは、ついに「ミュージシャンの英介が好きだった」と本音を告白。社会人の先輩として、店の経営に苦しむ英介に厳しい言葉を残して立ち去る。    その夜、店はオープンと同時に大盛況。9尾のオマール海老はあっという間になくなるが、そこへ、病気の祖母にオマール海老を食べさせたいという若い女性がやって来て…。向井理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</si>
  <si>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初めての給料日が近づいたある日、英介(向井理)は、新しくスタッフに加わった拓(三浦翔平)を含め、店の中でのそれぞれの役割分担を決める。その一方で、自分はみんなの給料を確保するため、夜間の工事現場でアルバイトに励む。    そんな中、『ガステレア』のオーナー・麻生(稲垣吾郎)が、高級なオマール海老を持って『ル・プティシュ』にやって来る。麻生は、英介に10尾のオマール海老をプレゼントする代わりに、そのうちの1尾を使って自分に料理を作ってほしいという。ただし、その料理が美味しくなければ、10尾分の代金はすべて払うことが条件。英介は迷った挙句、その勝負を受けることを決める。    翌日、英介は届いたオマール海老を使って、早速調理を開始。事前にホームページで告知していたこともあり、店には問い合わせも入って、メンバーは俄然ヤル気を見せる。オープン前、英介は恋人のまりあ(国仲涼子)にも食べに来てほしいと伝えに行くが、連日の疲労が重なり、話の途中で思わず欠伸をしてしまう。怒ったまりあは、ついに「ミュージシャンの英介が好きだった」と本音を告白。社会人の先輩として、店の経営に苦しむ英介に厳しい言葉を残して立ち去る。    その夜、店はオープンと同時に大盛況。9尾のオマール海老はあっという間になくなるが、そこへ、病気の祖母にオマール海老を食べさせたいという若い女性がやって来て…。</t>
  </si>
  <si>
    <t>番組名ハングリー!　#05</t>
  </si>
  <si>
    <t>「ハングリー!」公式ホームページ  http://www.ktv.jp/hungry/まりあ(国仲涼子)から「私たち、少し距離を置かない?」と告げられ、眠れない日が続いていた英介(向井理)は、ある朝、キノコを採りに行った森で崖から滑り落ち、足を捻挫してしまう。そんな英介の傷心を知った千絵(瀧本美織)は、何とか元気づけたいと考えるが、親友の奈々(山下リオ)からは、奪い取るチャンスだとけしかけられる。そこでまずは、英介と『シェフとお客さん』以上の関係になろうと「料理を教えてほしい」と勇気を出して頼むが、英介は店のことで頭がいっぱい。あっさり断られてしまう。するとそこへ、『ROCKHEAD』の元マネージャー・白山(鈴木砂羽)がやって来る。仕事で家を空ける間、息子の飛優馬(篠田涼也)を預かってほしいというのだ。    その頃、『ガステレア』では麻生(稲垣吾郎)が英介の過去について調べていた。『ガステレア』の看板シェフで、料理専門学校時代の英介と同級生だった柏木(石黒英雄)は、長年のブランクがあると知った上でも、英介の才能を恐れるが、麻生は信じられない。しかし、英介の料理を食べたときの衝撃もまた、忘れられずにいた。    一方、英介たちは、白山が冷凍食品やお菓子ばかりを食べさせていたおかげで、偏食家となってしまった飛優馬に手を焼く。しかし、英介から食生活の大切さを教えられると、飛優馬は自ら「痩せたい、変わりたい」と志願。それを聞いた英介は、あることを思いつき、千絵に協力を求める。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</si>
  <si>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まりあ(国仲涼子)から「私たち、少し距離を置かない?」と告げられ、眠れない日が続いていた英介(向井理)は、ある朝、キノコを採りに行った森で崖から滑り落ち、足を捻挫してしまう。そんな英介の傷心を知った千絵(瀧本美織)は、何とか元気づけたいと考えるが、親友の奈々(山下リオ)からは、奪い取るチャンスだとけしかけられる。そこでまずは、英介と『シェフとお客さん』以上の関係になろうと「料理を教えてほしい」と勇気を出して頼むが、英介は店のことで頭がいっぱい。あっさり断られてしまう。するとそこへ、『ROCKHEAD』の元マネージャー・白山(鈴木砂羽)がやって来る。仕事で家を空ける間、息子の飛優馬(篠田涼也)を預かってほしいというのだ。    その頃、『ガステレア』では麻生(稲垣吾郎)が英介の過去について調べていた。『ガステレア』の看板シェフで、料理専門学校時代の英介と同級生だった柏木(石黒英雄)は、長年のブランクがあると知った上でも、英介の才能を恐れるが、麻生は信じられない。しかし、英介の料理を食べたときの衝撃もまた、忘れられずにいた。    一方、英介たちは、白山が冷凍食品やお菓子ばかりを食べさせていたおかげで、偏食家となってしまった飛優馬に手を焼く。しかし、英介から食生活の大切さを教えられると、飛優馬は自ら「痩せたい、変わりたい」と志願。それを聞いた英介は、あることを思いつき、千絵に協力を求める。</t>
  </si>
  <si>
    <t>番組名ハングリー!　#06</t>
  </si>
  <si>
    <t>「ハングリー!」公式ホームページ  http://www.ktv.jp/hungry/英介(向井理)が麻生(稲垣吾郎)と直接対決することを決めた夜、アパートの前にはまりあ(国仲涼子)の姿が。「距離を置きたい」という言葉の真意を問う英介に対し、まりあは二人の関係を冷静になって考えたかったと説明。そして悩んだ末、やはり自分には英介が必要だと告げる。それを聞いてうれしくなった英介もまた、自分の素直な気持ちを打ち明ける。    翌日、拓(三浦翔平)が千絵(瀧本美織)を連れて店にやってくる。新しいバンドを紹介されたので、バイトに入れない日は代わりに千絵がバイトをするというのだ。渋々それを認めたものの、前日の夜、千絵の胸を触ってしまい、バツが悪い英介は、自分の「お前って俺のこと好きなの?」といった発言や行動が無神経だったと千絵に謝罪する。    その日の夜、英介の料理の味を確かめるべく、『ル・プティシュ』に来店した麻生は、今日のおすすめのフルコースを注文。しかし、店ではこれまで一度もフルコースを提供したことがない。店内には一瞬緊張が走るが、英介は即座にメニューを考え、賢太(塚本高史)や剛(川畑要)に作業を指示する。    やがて、麻生のテーブルにオードブルが運ばれ、一口食べた麻生は「・・・なんだこれは?」と驚きの表情に。そして、すべての料理を食べ終わると、英介に店の評価を伝え、さらに、自身の幼少期について衝撃的な事実を明かす。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</si>
  <si>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英介(向井理)が麻生(稲垣吾郎)と直接対決することを決めた夜、アパートの前にはまりあ(国仲涼子)の姿が。「距離を置きたい」という言葉の真意を問う英介に対し、まりあは二人の関係を冷静になって考えたかったと説明。そして悩んだ末、やはり自分には英介が必要だと告げる。それを聞いてうれしくなった英介もまた、自分の素直な気持ちを打ち明ける。    翌日、拓(三浦翔平)が千絵(瀧本美織)を連れて店にやってくる。新しいバンドを紹介されたので、バイトに入れない日は代わりに千絵がバイトをするというのだ。渋々それを認めたものの、前日の夜、千絵の胸を触ってしまい、バツが悪い英介は、自分の「お前って俺のこと好きなの?」といった発言や行動が無神経だったと千絵に謝罪する。    その日の夜、英介の料理の味を確かめるべく、『ル・プティシュ』に来店した麻生は、今日のおすすめのフルコースを注文。しかし、店ではこれまで一度もフルコースを提供したことがない。店内には一瞬緊張が走るが、英介は即座にメニューを考え、賢太(塚本高史)や剛(川畑要)に作業を指示する。    やがて、麻生のテーブルにオードブルが運ばれ、一口食べた麻生は「・・・なんだこれは?」と驚きの表情に。そして、すべての料理を食べ終わると、英介に店の評価を伝え、さらに、自身の幼少期について衝撃的な事実を明かす。</t>
  </si>
  <si>
    <t>番組名ハングリー!　#07</t>
  </si>
  <si>
    <t>「ハングリー!」公式ホームページ  http://www.ktv.jp/hungry/麻生(稲垣吾郎)との勝負に負け、約束どおり、店の名前を『ハラペコキッチン』に変えた英介(向井理)は、麻生を見返すため、店を一流のフレンチレストランにしようと躍起になる。しかし、コックコートを着て、料理も上品で派手なものを作るようになった英介に対し、賢太(塚本高史)と剛(川畑要)は疑問を感じる。    そんなある日、太朗(大杉漣)が街中で助けたフランス人男性を店に連れて来る。実はこの人物、フランスのレストランガイド『マシュロン』の覆面調査員だったが、調査員は決して身分を明かさないため、英介たちはそのことに全く気付かない。男は、太朗に勧められるまま、英介が作ったリエットや、その日の店の賄いを食べ、一瞬にしてその味の虜になる。    一方、仕入れの途中に偶然麻生と出会った英介は、新しい店の名前を笑い飛ばす麻生に「あんたのおかげで、料理こそ俺の夢なんだって思えた」と感謝の言葉を伝える。さらに、「いつかぶっ潰してやるよ。あんたの店」と宣戦布告する。    ところが数日後、そんな英介に早くもピンチが訪れる。一流レストランを目指すことだけを考え、毎日小言ばかり並べる英介に対し、賢太と剛の怒りが爆発したのだ。英介は、反発する二人に料理人の心得を説き、さらなる努力を求めるが、賢太は逆に「お前の言う一流ってなんだよ」と英介を問い正し…。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</si>
  <si>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麻生(稲垣吾郎)との勝負に負け、約束どおり、店の名前を『ハラペコキッチン』に変えた英介(向井理)は、麻生を見返すため、店を一流のフレンチレストランにしようと躍起になる。しかし、コックコートを着て、料理も上品で派手なものを作るようになった英介に対し、賢太(塚本高史)と剛(川畑要)は疑問を感じる。    そんなある日、太朗(大杉漣)が街中で助けたフランス人男性を店に連れて来る。実はこの人物、フランスのレストランガイド『マシュロン』の覆面調査員だったが、調査員は決して身分を明かさないため、英介たちはそのことに全く気付かない。男は、太朗に勧められるまま、英介が作ったリエットや、その日の店の賄いを食べ、一瞬にしてその味の虜になる。    一方、仕入れの途中に偶然麻生と出会った英介は、新しい店の名前を笑い飛ばす麻生に「あんたのおかげで、料理こそ俺の夢なんだって思えた」と感謝の言葉を伝える。さらに、「いつかぶっ潰してやるよ。あんたの店」と宣戦布告する。    ところが数日後、そんな英介に早くもピンチが訪れる。一流レストランを目指すことだけを考え、毎日小言ばかり並べる英介に対し、賢太と剛の怒りが爆発したのだ。英介は、反発する二人に料理人の心得を説き、さらなる努力を求めるが、賢太は逆に「お前の言う一流ってなんだよ」と英介を問い正し…。</t>
  </si>
  <si>
    <t>番組名ハングリー!　#08</t>
  </si>
  <si>
    <t>「ハングリー!」公式ホームページ  http://www.ktv.jp/hungry/大ゲンカの末、賢太(塚本高史)と剛(川畑要)が店を辞め、『ハラペコキッチン』は人手が足りずに困っていた。そんな中、以前、賢太から落選したと聞かされていたオーディションに、実は合格していたことを知った英介(向井理)は、真相を確かめようと賢太のもとへ。賢太は、剛以外の自分と英介と拓(三浦翔平)の3人で、別のバンドとしてデビューする話を持ちかけられたと告白。しかし、独断でその話を断ったという。それを聞いた英介は賢太に掴みかかり、怒りを露わにするが、その反面、自分にとってロックの道は、もはや遠い世界になりつつあると感じていた。    そんなある日、賢太の彼女・桃子(藤井美菜)が両親を連れて店にやって来る。英介は、ようやく結婚を認めてもらえた賢太のために、くれぐれも失礼がないよう細心の注意を払うが、そんな日に限って店は大忙し。するとそこへ『ガステレア』のシェフで、かつて母親の華子(片平なぎさ)の店で働いていた東(田山涼成)が客として来店。英介が困っている姿を見た東は、厨房の手伝いを申し出る。おかげで店は大盛況、桃子の両親も料理に満足して帰っていく。    その晩、麻生(稲垣吾郎)から『ガステレア』の厨房に誘われた英介。賢太や剛が出て行ったままだと知った麻生は、英介に「君もいっそ・・・僕のものにならないか?」と持ちかけるが、次の瞬間2人が入っていた冷蔵室のドアが閉まり、閉じ込められて大ピンチに!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</si>
  <si>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大ゲンカの末、賢太(塚本高史)と剛(川畑要)が店を辞め、『ハラペコキッチン』は人手が足りずに困っていた。そんな中、以前、賢太から落選したと聞かされていたオーディションに、実は合格していたことを知った英介(向井理)は、真相を確かめようと賢太のもとへ。賢太は、剛以外の自分と英介と拓(三浦翔平)の3人で、別のバンドとしてデビューする話を持ちかけられたと告白。しかし、独断でその話を断ったという。それを聞いた英介は賢太に掴みかかり、怒りを露わにするが、その反面、自分にとってロックの道は、もはや遠い世界になりつつあると感じていた。    そんなある日、賢太の彼女・桃子(藤井美菜)が両親を連れて店にやって来る。英介は、ようやく結婚を認めてもらえた賢太のために、くれぐれも失礼がないよう細心の注意を払うが、そんな日に限って店は大忙し。するとそこへ『ガステレア』のシェフで、かつて母親の華子(片平なぎさ)の店で働いていた東(田山涼成)が客として来店。英介が困っている姿を見た東は、厨房の手伝いを申し出る。おかげで店は大盛況、桃子の両親も料理に満足して帰っていく。    その晩、麻生(稲垣吾郎)から『ガステレア』の厨房に誘われた英介。賢太や剛が出て行ったままだと知った麻生は、英介に「君もいっそ・・・僕のものにならないか?」と持ちかけるが、次の瞬間2人が入っていた冷蔵室のドアが閉まり、閉じ込められて大ピンチに!</t>
  </si>
  <si>
    <t>番組名ハングリー!　#09</t>
  </si>
  <si>
    <t>「ハングリー!」公式ホームページ  http://www.ktv.jp/hungry/英介(向井理)は、賢太(塚本高史)から、『ハラペコキッチン』でレストランウェディングをやりたいと相談される。もともとロマンチックな挙式にこだわっていた賢太だが、子供ができたことで、身内だけの気負わないパーティーにしたいと考えたのだ。それを聞いて俄然やる気を見せる英介。ほかのメンバーも、賢太の晴れの日を祝おうと、司会、神父、音響効果と、当日の役割分担を決めていく。  一方、千絵(瀧本美織)は、大楠農園に麻生(稲垣吾郎)がやって来たと知り、父・義明(橋本じゅん)が麻生に野菜を売ってしまうのではないかと心配していた。そこへ、最近店に来ない千絵の様子を見に、拓(三浦翔平)がやって来る。拓はいつものように千絵をからかい、その勢いで「好きになっちゃった」と思わず告白してしまい慌てる。  その頃、『ハラペコキッチン』には、『ガステレア』の看板シェフ・柏木(石黒英雄)が、英介に勝負を申し込みに来ていた。勝負に指定された日がウェディングパーティー当日で、料理の材料はすべて柏木が用意するという条件を聞き、英介は勝負を受けることに。迎えた当日、用意された舞台がウェディングパーティーだと気付いた柏木は憤慨。騙したのかと英介に詰め寄るが、そこへ麻生がやって来て、2人に正々堂々と勝負をするよう要求。会場に集まった招待客に両者の料理を審査してもらう形で、レストランウェディングが一転、英介と柏木の料理対決の舞台に!!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</si>
  <si>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英介(向井理)は、賢太(塚本高史)から、『ハラペコキッチン』でレストランウェディングをやりたいと相談される。もともとロマンチックな挙式にこだわっていた賢太だが、子供ができたことで、身内だけの気負わないパーティーにしたいと考えたのだ。それを聞いて俄然やる気を見せる英介。ほかのメンバーも、賢太の晴れの日を祝おうと、司会、神父、音響効果と、当日の役割分担を決めていく。  一方、千絵(瀧本美織)は、大楠農園に麻生(稲垣吾郎)がやって来たと知り、父・義明(橋本じゅん)が麻生に野菜を売ってしまうのではないかと心配していた。そこへ、最近店に来ない千絵の様子を見に、拓(三浦翔平)がやって来る。拓はいつものように千絵をからかい、その勢いで「好きになっちゃった」と思わず告白してしまい慌てる。  その頃、『ハラペコキッチン』には、『ガステレア』の看板シェフ・柏木(石黒英雄)が、英介に勝負を申し込みに来ていた。勝負に指定された日がウェディングパーティー当日で、料理の材料はすべて柏木が用意するという条件を聞き、英介は勝負を受けることに。迎えた当日、用意された舞台がウェディングパーティーだと気付いた柏木は憤慨。騙したのかと英介に詰め寄るが、そこへ麻生がやって来て、2人に正々堂々と勝負をするよう要求。会場に集まった招待客に両者の料理を審査してもらう形で、レストランウェディングが一転、英介と柏木の料理対決の舞台に!!</t>
  </si>
  <si>
    <t>番組名ハングリー!　#10</t>
  </si>
  <si>
    <t>「ハングリー!」公式ホームページ  http://www.ktv.jp/hungry/麻生(稲垣吾郎)から引き抜きの話を持ちかけられた英介(向井理)は、賢太(塚本高史)と剛(川畑要)も『麻生コーポレーション』の社員に採用するという条件を聞き、戸惑う。麻生は、英介にフランスで2年間修行をさせた後、同社の11番目のレストランの料理長にすると宣言。さらに、店を任せる際には『ル・プティシュ』の店名を返上し、賢太と剛も従業員にすると約束する。その夜、『ハラペコキッチン』には通算300人目の客となる金沢亜矢子(矢田亜希子)が来店。歓迎ムードをよそに、亜矢子は「この店、閉めてもらえますか?」と英介に苦情を。実は、亜矢子はレストランの建物の大家で、自分の海外滞在中に、勝手に倉庫をレストランに変えられたことに怒っていた。料理を認めてもらい、どうにか発言を撤回させようと真剣になる一同。しかし亜矢子は味オンチで、英介の料理に興味を示すどころか、持参した調味料を大量にふりかける始末・・・。    そんな折、拓(三浦翔平)が新たに結成するバンドの一員として活動することが決定し、睦子(片桐はいり)も離婚調停が成立して福岡へ行くことに。メンバーが店を離れることに一抹の寂しさを感じる英介だったが、その様子を見た賢太と剛からフランス修行を勧められる。翌朝、英介は、ある決意の表情で厨房に立っていた。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</si>
  <si>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麻生(稲垣吾郎)から引き抜きの話を持ちかけられた英介(向井理)は、賢太(塚本高史)と剛(川畑要)も『麻生コーポレーション』の社員に採用するという条件を聞き、戸惑う。麻生は、英介にフランスで2年間修行をさせた後、同社の11番目のレストランの料理長にすると宣言。さらに、店を任せる際には『ル・プティシュ』の店名を返上し、賢太と剛も従業員にすると約束する。その夜、『ハラペコキッチン』には通算300人目の客となる金沢亜矢子(矢田亜希子)が来店。歓迎ムードをよそに、亜矢子は「この店、閉めてもらえますか?」と英介に苦情を。実は、亜矢子はレストランの建物の大家で、自分の海外滞在中に、勝手に倉庫をレストランに変えられたことに怒っていた。料理を認めてもらい、どうにか発言を撤回させようと真剣になる一同。しかし亜矢子は味オンチで、英介の料理に興味を示すどころか、持参した調味料を大量にふりかける始末・・・。    そんな折、拓(三浦翔平)が新たに結成するバンドの一員として活動することが決定し、睦子(片桐はいり)も離婚調停が成立して福岡へ行くことに。メンバーが店を離れることに一抹の寂しさを感じる英介だったが、その様子を見た賢太と剛からフランス修行を勧められる。翌朝、英介は、ある決意の表情で厨房に立っていた。</t>
  </si>
  <si>
    <t>番組名ハングリー!　#11</t>
  </si>
  <si>
    <t>「ハングリー!」公式ホームページ　  http://www.ktv.jp/hungry/ロックに目覚めて以来、15年間身を捧げたバンドが30歳目前で解散。亡き母の跡を継いでシェフになることを決意した英介(向井理)だったが、レストランは有名レストランプロデューサーの麻生(稲垣吾郎)に乗っ取られてしまう。  それでも倉庫を改装してレストランをオープンさせた英介は、バンド仲間だった賢太(塚本高史)、拓(三浦翔平)、剛(川畑要)らと、何とか店を軌道に乗せる。しかしその反面、忙しさゆえに恋人のまりあ(国仲涼子)との仲はぎくしゃくし、一方で、店に野菜を卸している農園の娘・千絵(瀧本美織)から想いを寄せられ、恋の三角関係に頭を悩ませる。    そんな中、麻生との勝負に負けた英介は店の名前を奪われ、倉庫の大家の亜矢子(矢田亜希子)からも店の立ち退きを迫られる。彼の腕を見込んだ麻生から「フランスで修業した後、自分の店を任せたい」と誘いを受けた英介は、賢太や剛からも背中を押されフランス行きを決意する。2年後にまた一緒に働くという希望を胸に賢太や剛と別れた英介。ところがある日、英介は昼間から公園で泥酔している剛を発見し、2人が麻生から紹介された仕事を辞めたことを知る。一方、英介のことが忘れられずにいた千絵も、ある行動に出る。    はたして、フランス修業を決意した英介が、最後に下す人生最大の決断とは!?  さらに、英介、千絵、まりあ、拓の恋の結末は!?向井理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</si>
  <si>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ロックに目覚めて以来、15年間身を捧げたバンドが30歳目前で解散。亡き母の跡を継いでシェフになることを決意した英介(向井理)だったが、レストランは有名レストランプロデューサーの麻生(稲垣吾郎)に乗っ取られてしまう。  それでも倉庫を改装してレストランをオープンさせた英介は、バンド仲間だった賢太(塚本高史)、拓(三浦翔平)、剛(川畑要)らと、何とか店を軌道に乗せる。しかしその反面、忙しさゆえに恋人のまりあ(国仲涼子)との仲はぎくしゃくし、一方で、店に野菜を卸している農園の娘・千絵(瀧本美織)から想いを寄せられ、恋の三角関係に頭を悩ませる。    そんな中、麻生との勝負に負けた英介は店の名前を奪われ、倉庫の大家の亜矢子(矢田亜希子)からも店の立ち退きを迫られる。彼の腕を見込んだ麻生から「フランスで修業した後、自分の店を任せたい」と誘いを受けた英介は、賢太や剛からも背中を押されフランス行きを決意する。2年後にまた一緒に働くという希望を胸に賢太や剛と別れた英介。ところがある日、英介は昼間から公園で泥酔している剛を発見し、2人が麻生から紹介された仕事を辞めたことを知る。一方、英介のことが忘れられずにいた千絵も、ある行動に出る。    はたして、フランス修業を決意した英介が、最後に下す人生最大の決断とは!?  さらに、英介、千絵、まりあ、拓の恋の結末は!?</t>
  </si>
  <si>
    <t>1201_CX_木22</t>
  </si>
  <si>
    <t>最後から二番目の恋</t>
  </si>
  <si>
    <t>番組名&lt;木曜劇場&gt;最後から二番目の恋　#01</t>
  </si>
  <si>
    <t>吉野千明(小泉今日子)は、テレビ局でドラマのプロデュースを手がける45歳の独身女性。千明は、がむしゃらに仕事をしながら人並み以上に恋愛もしてきた。が、最近は恋愛も随分ご無沙汰で、いまや女友だちとの話題は専ら健康や老後のことばかりだ。長倉和平(中井貴一)は、鎌倉市役所の観光推進課で課長を務める50歳の独身男性。両親を早くに亡くし、4人の弟妹の親代わりを務めてきた和平は、現在、双子の弟妹、真平(坂口憲二)と万理子(内田有紀)、死別した妻との間に生まれた11歳になる娘・えりな(白本彩奈)と暮らしている。長女の典子(飯島直子)は結婚して家を出たものの、毎日のように実家に入り浸っていた。  　あるとき千明は、美人脚本家・栗山ハルカと組んで連続ドラマを作るよう命じられる。だが、面白くない本を書いてきたハルカに激しくダメ出しをしているうちに、めまいや吐き気をもよおして倒れた千明は、病院に運ばれてしまう。それがきっかけで、千明は、同い年の独身仲間、荒木啓子(森口博子)、水野祥子(渡辺真起子)と冗談半分で話していた、鎌倉の古民家に引っ越して3人で一緒に暮らす、というアイデアを実行しようと言い出す。あくる日、千明はさっそく鎌倉を訪れる。目的の古民家にたどりついた千明は、売りに出されているその家の隣家が古民家を改装したカフェだと知る。そこは、和平の弟・真平が店長をしている店『ながくら』だった。小泉今日子　  中井貴一　  坂口憲二　  内田有紀　  渡辺真起子　  森口博子　  浅野和之　  飯島直子　    ほか【脚本】  岡田惠和【プロデュース】  若松央樹　  浅野澄美(FCC)　    【演出】  宮本理江子平沢敦士    【主題歌】浜崎あゆみ『how　beautiful　you　are』(avex　trax)フジテレビドラマ制作センター</t>
  </si>
  <si>
    <t>吉野千明(小泉今日子)は、テレビ局でドラマのプロデュースを手がける45歳の独身女性。千明は、がむしゃらに仕事をしながら人並み以上に恋愛もしてきた。が、最近は恋愛も随分ご無沙汰で、いまや女友だちとの話題は専ら健康や老後のことばかりだ。長倉和平(中井貴一)は、鎌倉市役所の観光推進課で課長を務める50歳の独身男性。両親を早くに亡くし、4人の弟妹の親代わりを務めてきた和平は、現在、双子の弟妹、真平(坂口憲二)と万理子(内田有紀)、死別した妻との間に生まれた11歳になる娘・えりな(白本彩奈)と暮らしている。長女の典子(飯島直子)は結婚して家を出たものの、毎日のように実家に入り浸っていた。  　あるとき千明は、美人脚本家・栗山ハルカと組んで連続ドラマを作るよう命じられる。だが、面白くない本を書いてきたハルカに激しくダメ出しをしているうちに、めまいや吐き気をもよおして倒れた千明は、病院に運ばれてしまう。それがきっかけで、千明は、同い年の独身仲間、荒木啓子(森口博子)、水野祥子(渡辺真起子)と冗談半分で話していた、鎌倉の古民家に引っ越して3人で一緒に暮らす、というアイデアを実行しようと言い出す。あくる日、千明はさっそく鎌倉を訪れる。目的の古民家にたどりついた千明は、売りに出されているその家の隣家が古民家を改装したカフェだと知る。そこは、和平の弟・真平が店長をしている店『ながくら』だった。</t>
  </si>
  <si>
    <t>番組名&lt;木曜劇場&gt;最後から二番目の恋　#02</t>
  </si>
  <si>
    <t>鎌倉の古民家を購入して移り住んだドラマプロデューサー・吉野千明(小泉今日子)は、隣に住む和平(中井貴一)ら長倉家の面々と知り合う。和平は、鎌倉市役所の観光推進課に勤める50歳の独身男で、双子の弟妹、真平(坂口憲二)と万理子(内田有紀)、11歳になるひとり娘のえりな(白本彩奈)と暮らしていた。引っ越して最初の夜、ネズミに驚いて大声を出した千明は、やってきた真平から、朝まで一緒にいてあげる、と言われる。バカにされたと思い、その誘いを断る千明。その話を聞いた千明の独身仲間、荒木啓子(森口博子)と水野祥子(渡辺真起子)は、据え膳食わぬは女の恥、などと言って千明を非難した。一方、和平は、日ごろから何かと市役所に要望を出してくる一条(織本順吉)から、いきなり見合い写真を手渡される。相手は50代の美しい未亡人だった。一条は、一方的に見合いの日取りを伝えると、和平の返事も聞かずに去っていく。その女性は、和平の部下・大橋知美(佐津川愛美)の知り合いでもあるようだった。千明は、人気の美人脚本家・栗山ハルカ(益若つばさ)と組んで新しい連続ドラマに取り組んでいた。そんな折、万理子が出会い系のネット掲示板で思わぬ騒動を引き起こす。小泉今日子　  中井貴一　  坂口憲二　  内田有紀　  渡辺真起子　  森口博子　  浅野和之　  飯島直子　    ほか【脚本】  岡田惠和【プロデュース】  若松央樹　  浅野澄美(FCC)　    【演出】  宮本理江子平沢敦士    【主題歌】浜崎あゆみ『how　beautiful　you　are』(avex　trax)フジテレビドラマ制作センター</t>
  </si>
  <si>
    <t>鎌倉の古民家を購入して移り住んだドラマプロデューサー・吉野千明(小泉今日子)は、隣に住む和平(中井貴一)ら長倉家の面々と知り合う。和平は、鎌倉市役所の観光推進課に勤める50歳の独身男で、双子の弟妹、真平(坂口憲二)と万理子(内田有紀)、11歳になるひとり娘のえりな(白本彩奈)と暮らしていた。引っ越して最初の夜、ネズミに驚いて大声を出した千明は、やってきた真平から、朝まで一緒にいてあげる、と言われる。バカにされたと思い、その誘いを断る千明。その話を聞いた千明の独身仲間、荒木啓子(森口博子)と水野祥子(渡辺真起子)は、据え膳食わぬは女の恥、などと言って千明を非難した。一方、和平は、日ごろから何かと市役所に要望を出してくる一条(織本順吉)から、いきなり見合い写真を手渡される。相手は50代の美しい未亡人だった。一条は、一方的に見合いの日取りを伝えると、和平の返事も聞かずに去っていく。その女性は、和平の部下・大橋知美(佐津川愛美)の知り合いでもあるようだった。千明は、人気の美人脚本家・栗山ハルカ(益若つばさ)と組んで新しい連続ドラマに取り組んでいた。そんな折、万理子が出会い系のネット掲示板で思わぬ騒動を引き起こす。</t>
  </si>
  <si>
    <t>番組名&lt;木曜劇場&gt;最後から二番目の恋　#03</t>
  </si>
  <si>
    <t>吉野千明(小泉今日子)は、長倉和平(中井貴一)の弟・真平(坂口憲二)と一夜をともにした。あくる朝、千明は、真平と朝食をとるために一緒に長倉家に行く。するとそこには、和平と彼の娘・えりな(白本彩奈)の姿があった。和平だけでなく、えりなにまで真平との関係を悟られてしまった千明は、恥ずかしさを隠せない。そこに、水谷典子(飯島直子)が夫の広行(浅野和之)を連れてやってくる。典子は、前の晩、突然自室に引きこもってしまった万理子(内田有紀)を引っ張り出すと、本当のことを話すよう命じた。観念した万理子は、千明の写真を勝手に出会い系サイトに登録したこと、それにつられてやってきた3人の男のひとりが広行だったことを告白する。典子は、自分と同い年の千明につられた広行に怒りをぶつけると、返す刀で千明にも噛みついた。そんな騒動の後、市役所に出勤した和平は、一条(織本順吉)から呼び出される。一条は、和平が大橋秀子(美保純)と、彼女の娘で、観光推進課の部下でもある知美(佐津川愛美)と同時に見合いすることを知り、見直したなどと言い出す。困惑した和平は、今回の見合い話は断りたいと一条に告げる。同じころ、千明は、自分が書いたプロットをスタッフたちに見せていた。それは、万理子が千明の写真を使った出会い系の一件をネタにしたものだった。小泉今日子　  中井貴一　  坂口憲二　  内田有紀　  渡辺真起子　  森口博子　  浅野和之　  飯島直子　    ほか【脚本】  岡田惠和【プロデュース】  若松央樹　  浅野澄美(FCC)　    【演出】  宮本理江子平沢敦士    【主題歌】浜崎あゆみ『how　beautiful　you　are』(avex　trax)フジテレビドラマ制作センター</t>
  </si>
  <si>
    <t>吉野千明(小泉今日子)は、長倉和平(中井貴一)の弟・真平(坂口憲二)と一夜をともにした。あくる朝、千明は、真平と朝食をとるために一緒に長倉家に行く。するとそこには、和平と彼の娘・えりな(白本彩奈)の姿があった。和平だけでなく、えりなにまで真平との関係を悟られてしまった千明は、恥ずかしさを隠せない。そこに、水谷典子(飯島直子)が夫の広行(浅野和之)を連れてやってくる。典子は、前の晩、突然自室に引きこもってしまった万理子(内田有紀)を引っ張り出すと、本当のことを話すよう命じた。観念した万理子は、千明の写真を勝手に出会い系サイトに登録したこと、それにつられてやってきた3人の男のひとりが広行だったことを告白する。典子は、自分と同い年の千明につられた広行に怒りをぶつけると、返す刀で千明にも噛みついた。そんな騒動の後、市役所に出勤した和平は、一条(織本順吉)から呼び出される。一条は、和平が大橋秀子(美保純)と、彼女の娘で、観光推進課の部下でもある知美(佐津川愛美)と同時に見合いすることを知り、見直したなどと言い出す。困惑した和平は、今回の見合い話は断りたいと一条に告げる。同じころ、千明は、自分が書いたプロットをスタッフたちに見せていた。それは、万理子が千明の写真を使った出会い系の一件をネタにしたものだった。</t>
  </si>
  <si>
    <t>番組名&lt;木曜劇場&gt;最後から二番目の恋　#04</t>
  </si>
  <si>
    <t>吉野千明(小泉今日子)は、長倉真平(坂口憲二)が子どもを連れた若い女性と一緒にいるところを目撃し、ショックを受ける。そこに突然現れた万理子(内田有紀)は、真平と一緒にいた女性は小学校時代の同級生だった畑中みどり(吉田羊)だと千明に告げる。一方、和平(中井貴一)は、お見合いをする予定だった大橋秀子(美保純)と街中で偶然出会い、一緒にカフェに行くことに。秀子は、和平に思いを寄せている部下・知美(佐津川愛美)の母親でもあった。和平は、秀子とともに、最近人気を集めているという地元のカフェを訪れた。お互いに照れながらも、それなりにいい雰囲気で会話を楽しむ和平たち。そこにやってきたのが、千明と万理子だった。千明は、万理子からみどりの話を聞くために、彼女をこの店に誘ったのだ。和平の姿に気づいた千明は、一緒にいた秀子がW見合いの母親の方だと察し、和平たちから離れた席についた。万理子は、みどりが離婚して地元に戻ってきたことを千明に明かした。そんな彼女に、自分ができることなら何でもする、と真平が言ったのではないか、というのだ。するとその店に、真平とみどりが仲良さそうに手をつないで入ってくる。小泉今日子　  中井貴一　  坂口憲二　  内田有紀　  渡辺真起子　  森口博子　  浅野和之　  飯島直子　    ほか【脚本】  岡田惠和【プロデュース】  若松央樹　  浅野澄美(FCC)　    【演出】  谷村政樹平沢敦士    【主題歌】浜崎あゆみ『how　beautiful　you　are』(avex　trax)フジテレビドラマ制作センター</t>
  </si>
  <si>
    <t>吉野千明(小泉今日子)は、長倉真平(坂口憲二)が子どもを連れた若い女性と一緒にいるところを目撃し、ショックを受ける。そこに突然現れた万理子(内田有紀)は、真平と一緒にいた女性は小学校時代の同級生だった畑中みどり(吉田羊)だと千明に告げる。一方、和平(中井貴一)は、お見合いをする予定だった大橋秀子(美保純)と街中で偶然出会い、一緒にカフェに行くことに。秀子は、和平に思いを寄せている部下・知美(佐津川愛美)の母親でもあった。和平は、秀子とともに、最近人気を集めているという地元のカフェを訪れた。お互いに照れながらも、それなりにいい雰囲気で会話を楽しむ和平たち。そこにやってきたのが、千明と万理子だった。千明は、万理子からみどりの話を聞くために、彼女をこの店に誘ったのだ。和平の姿に気づいた千明は、一緒にいた秀子がW見合いの母親の方だと察し、和平たちから離れた席についた。万理子は、みどりが離婚して地元に戻ってきたことを千明に明かした。そんな彼女に、自分ができることなら何でもする、と真平が言ったのではないか、というのだ。するとその店に、真平とみどりが仲良さそうに手をつないで入ってくる。</t>
  </si>
  <si>
    <t>番組名&lt;木曜劇場&gt;最後から二番目の恋　#05</t>
  </si>
  <si>
    <t>吉野千明(小泉今日子)の家に水谷典子(飯島直子)が転がり込んできた。典子は、夫の広行(浅野和之)から、もう愛していない、と言われたことにショックを受け、家を飛び出したのだ。同じころ、長倉和平(中井貴一)は、弟の真平(坂口憲二)が病院の定期検査に行っていないことを知り、彼を問い詰めていた。しかし、真平が理由も言わずに部屋に逃げようとしたため、つかみ合いになってしまう。あくる朝、典子は、長倉家で朝食を食べようと、千明を引っ張っていく。典子がまた家出をしたと知った和平は、子どももいるのだから夫婦で話し合え、と説教した。しかし典子は、そんな和平の言葉を無視して、出会い系掲示板のやり方を教えてほしい、と万理子(内田有紀)に頼む。スタッフから電話で呼び出された千明は、APの三井(久保田磨希)とともに、脚本家の栗山ハルカ(益若つばさ)に会う。ハルカは、脚本が書けなくて苦しんでいるらしい。しかし千明は、同情はしない、プロなのだから言い訳しないで書け、とハルカを叱咤(しった)する。一方、和平は、観光推進課の提案書を持って来年度の予算会議に出席する。しかし、観光推進課からの提案書はすべて見送られてしまい、さすがの和平も落ち込んでしまう。そんな折、和平たちが企画した『大人の鎌倉散歩』が開催される。和平は、部下の大橋知美(佐津川愛美)とともにそのガイドを務めることになるが…。小泉今日子　  中井貴一　  坂口憲二　  内田有紀　  渡辺真起子　  森口博子　  浅野和之　  飯島直子　    ほか【脚本】  岡田惠和【プロデュース】  若松央樹　  浅野澄美(FCC)　    【演出】  並木道子平沢敦士    【主題歌】浜崎あゆみ『how　beautiful　you　are』(avex　trax)フジテレビドラマ制作センター</t>
  </si>
  <si>
    <t>吉野千明(小泉今日子)の家に水谷典子(飯島直子)が転がり込んできた。典子は、夫の広行(浅野和之)から、もう愛していない、と言われたことにショックを受け、家を飛び出したのだ。同じころ、長倉和平(中井貴一)は、弟の真平(坂口憲二)が病院の定期検査に行っていないことを知り、彼を問い詰めていた。しかし、真平が理由も言わずに部屋に逃げようとしたため、つかみ合いになってしまう。あくる朝、典子は、長倉家で朝食を食べようと、千明を引っ張っていく。典子がまた家出をしたと知った和平は、子どももいるのだから夫婦で話し合え、と説教した。しかし典子は、そんな和平の言葉を無視して、出会い系掲示板のやり方を教えてほしい、と万理子(内田有紀)に頼む。スタッフから電話で呼び出された千明は、APの三井(久保田磨希)とともに、脚本家の栗山ハルカ(益若つばさ)に会う。ハルカは、脚本が書けなくて苦しんでいるらしい。しかし千明は、同情はしない、プロなのだから言い訳しないで書け、とハルカを叱咤(しった)する。一方、和平は、観光推進課の提案書を持って来年度の予算会議に出席する。しかし、観光推進課からの提案書はすべて見送られてしまい、さすがの和平も落ち込んでしまう。そんな折、和平たちが企画した『大人の鎌倉散歩』が開催される。和平は、部下の大橋知美(佐津川愛美)とともにそのガイドを務めることになるが…。</t>
  </si>
  <si>
    <t>番組名&lt;木曜劇場&gt;最後から二番目の恋　#06</t>
  </si>
  <si>
    <t>仕事を終え帰宅途中にスーパーマーケットで買い物をしていた吉野千明(小泉今日子)は長倉和平(中井貴一)とバッタリ会い、2人は先日約束した素敵なお店に行くことに。  　いつものように小言を言い合う2人だったが、選んだメニューが同じで不思議な沈黙・・・。  　その頃、出会い系サイトに登録した典子(飯島直子)は万理子(内田有紀)を引き連れ、相手と会うためにファミレスへ。現れた男性はナイーブな感じのする美青年。そこで自分と同い年の母親の相談をされる典子は複雑な心境。  　食事を終え、楽しそうに話しながら夜道を歩いて帰ってくる千明と和平。  　そんな2人を見た真平(坂口憲二)には、今までにない不思議な感情が芽生える。  　そして真平は和平に自分の本当の気持ちを伝えるのだった。小泉今日子　  中井貴一　  坂口憲二　  内田有紀　  渡辺真起子　  森口博子　  浅野和之　  飯島直子　    ほか【脚本】  岡田惠和【プロデュース】  若松央樹　  浅野澄美(FCC)　    【演出】  宮本理江子平沢敦士    【主題歌】浜崎あゆみ『how　beautiful　you　are』(avex　trax)フジテレビドラマ制作センター</t>
  </si>
  <si>
    <t>仕事を終え帰宅途中にスーパーマーケットで買い物をしていた吉野千明(小泉今日子)は長倉和平(中井貴一)とバッタリ会い、2人は先日約束した素敵なお店に行くことに。  　いつものように小言を言い合う2人だったが、選んだメニューが同じで不思議な沈黙・・・。  　その頃、出会い系サイトに登録した典子(飯島直子)は万理子(内田有紀)を引き連れ、相手と会うためにファミレスへ。現れた男性はナイーブな感じのする美青年。そこで自分と同い年の母親の相談をされる典子は複雑な心境。  　食事を終え、楽しそうに話しながら夜道を歩いて帰ってくる千明と和平。  　そんな2人を見た真平(坂口憲二)には、今までにない不思議な感情が芽生える。  　そして真平は和平に自分の本当の気持ちを伝えるのだった。</t>
  </si>
  <si>
    <t>番組名&lt;木曜劇場&gt;最後から二番目の恋　#07</t>
  </si>
  <si>
    <t>"　長倉和平(中井貴一)は、吉野千明(小泉今日子)が真平(坂口憲二)から病気のことを聞いていると勘違いして千明に話してしまった。  　そこで千明は、真平の“天使のような行動""は自分に残された時間は人に迷惑をかけないで、人を少しでも幸せにしたいと思っていたからだと知る。  　真実を聞いた千明だったが、「人はいつ何があるかわからないんだし・・・」と動じない様子。"逆に千明は話の流れで、典子(飯島直子)、万理子(内田有紀)、えりな(白本彩奈)の前で和平のお見合い親子の件をうっかり話してしまった。軽蔑のまなざしを受ける和平。  　そんな時、真平が帰ってきた。和平がすべてを話してしまったことを知った真平は千明と本音で向き合うことに。  　一方和平にさらなる不運が。なんとお見合いの相手・大橋知美(佐津川愛美)がカフェ「ながくら」へやってきたのだ。和平に鎌倉市長から緊急招集がかかったことを伝えるためだったのだが、和平にとっては最悪のタイミングが訪れてしまった。小泉今日子　  中井貴一　  坂口憲二　  内田有紀　  渡辺真起子　  森口博子　  浅野和之　  飯島直子　    ほか【脚本】  岡田惠和【プロデュース】  若松央樹　  浅野澄美(FCC)　    【演出】  谷村将樹平沢敦士    【主題歌】浜崎あゆみ『how　beautiful　you　are』(avex　trax)フジテレビドラマ制作センター</t>
  </si>
  <si>
    <t>"　長倉和平(中井貴一)は、吉野千明(小泉今日子)が真平(坂口憲二)から病気のことを聞いていると勘違いして千明に話してしまった。  　そこで千明は、真平の“天使のような行動""は自分に残された時間は人に迷惑をかけないで、人を少しでも幸せにしたいと思っていたからだと知る。  　真実を聞いた千明だったが、「人はいつ何があるかわからないんだし・・・」と動じない様子。"逆に千明は話の流れで、典子(飯島直子)、万理子(内田有紀)、えりな(白本彩奈)の前で和平のお見合い親子の件をうっかり話してしまった。軽蔑のまなざしを受ける和平。  　そんな時、真平が帰ってきた。和平がすべてを話してしまったことを知った真平は千明と本音で向き合うことに。  　一方和平にさらなる不運が。なんとお見合いの相手・大橋知美(佐津川愛美)がカフェ「ながくら」へやってきたのだ。和平に鎌倉市長から緊急招集がかかったことを伝えるためだったのだが、和平にとっては最悪のタイミングが訪れてしまった。</t>
  </si>
  <si>
    <t>番組名&lt;木曜劇場&gt;最後から二番目の恋　#08</t>
  </si>
  <si>
    <t>恋人同士になった吉野千明(小泉今日子)と長倉真平(坂口憲二)は、カフェでデートをしていた。そこで、真平から「人生初の恋人が千明で嬉しい」とストレートに言われ、千明は満ざらでもない様子。  　同じころ長倉和平(中井貴一)と大橋知美(佐津川愛美)も2人で会っていた。洋服屋で、知美が和平のために服選びをするのだったが、若い感じの服装に戸惑う和平。"　千明と真平は海辺へと移動、真平の“天使の初仕事""など2人の昔話をしていた。さらにそこで千明は真平から和平が桜貝を集めていた理由を聞くことに。  　ある朝、万理子(内田有紀)は幸せそうな寝顔。その理由とは、千明とキスをする夢を見ていたからだった。目を覚ました万理子は不思議な心境。  　その後の千明はというと、真平のために髪型や服装を変え、さらには禁煙までして職場のスタッフを驚かせていた。"　長倉家に大橋秀子(美保純)と知美がやってきた。慌てる和平だったが、そこへ今度は千明と典子(飯島直子)も現れ・・・。小泉今日子　  中井貴一　  坂口憲二　  内田有紀　  渡辺真起子　  森口博子　  浅野和之　  飯島直子　    ほか【脚本】  岡田惠和【プロデュース】  若松央樹　  浅野澄美(FCC)　    【演出】  宮本理江子平沢敦士    【主題歌】浜崎あゆみ『how　beautiful　you　are』(avex　trax)フジテレビドラマ制作センター</t>
  </si>
  <si>
    <t>恋人同士になった吉野千明(小泉今日子)と長倉真平(坂口憲二)は、カフェでデートをしていた。そこで、真平から「人生初の恋人が千明で嬉しい」とストレートに言われ、千明は満ざらでもない様子。  　同じころ長倉和平(中井貴一)と大橋知美(佐津川愛美)も2人で会っていた。洋服屋で、知美が和平のために服選びをするのだったが、若い感じの服装に戸惑う和平。"　千明と真平は海辺へと移動、真平の“天使の初仕事""など2人の昔話をしていた。さらにそこで千明は真平から和平が桜貝を集めていた理由を聞くことに。  　ある朝、万理子(内田有紀)は幸せそうな寝顔。その理由とは、千明とキスをする夢を見ていたからだった。目を覚ました万理子は不思議な心境。  　その後の千明はというと、真平のために髪型や服装を変え、さらには禁煙までして職場のスタッフを驚かせていた。"　長倉家に大橋秀子(美保純)と知美がやってきた。慌てる和平だったが、そこへ今度は千明と典子(飯島直子)も現れ・・・。</t>
  </si>
  <si>
    <t>番組名&lt;木曜劇場&gt;最後から二番目の恋　#09</t>
  </si>
  <si>
    <t>お酒の飲み比べをしながら、いつの間にかカフェ「ながくら」で一緒に寝てしまった吉野千明(小泉今日子)と長倉和平(中井貴一)。  　そこへ長倉万理子(内田有紀)が2階から降りて来た。千明の寝顔に近づいて見ている万理子だったが、そこでいきなり寝ぼけた千明にキスされる。千明へ不思議な感情を覚える万理子。  　数時間後、千明と和平が目を覚ました。なぜか2人は、自分たちがキスしたと勘違い。千明は気にしない素振りを見せるが、和平は動揺する。  　万理子は長倉真平(坂口憲二)に打ち明けた。この千明に対する不思議な感情は恋ではないかと。なんと双子で千明に恋してしまったのだった。  　と、その時万理子の携帯が鳴る。相手は千明からだった。千明に呼び出された万理子は・・・。小泉今日子　  中井貴一　  坂口憲二　  内田有紀　  渡辺真起子　  森口博子　  浅野和之　  飯島直子　    ほか【脚本】  岡田惠和【プロデュース】  若松央樹　  浅野澄美(FCC)　    【演出】  谷村将樹平沢敦士    【主題歌】浜崎あゆみ『how　beautiful　you　are』(avex　trax)フジテレビドラマ制作センター</t>
  </si>
  <si>
    <t>お酒の飲み比べをしながら、いつの間にかカフェ「ながくら」で一緒に寝てしまった吉野千明(小泉今日子)と長倉和平(中井貴一)。  　そこへ長倉万理子(内田有紀)が2階から降りて来た。千明の寝顔に近づいて見ている万理子だったが、そこでいきなり寝ぼけた千明にキスされる。千明へ不思議な感情を覚える万理子。  　数時間後、千明と和平が目を覚ました。なぜか2人は、自分たちがキスしたと勘違い。千明は気にしない素振りを見せるが、和平は動揺する。  　万理子は長倉真平(坂口憲二)に打ち明けた。この千明に対する不思議な感情は恋ではないかと。なんと双子で千明に恋してしまったのだった。  　と、その時万理子の携帯が鳴る。相手は千明からだった。千明に呼び出された万理子は・・・。</t>
  </si>
  <si>
    <t>番組名&lt;木曜劇場&gt;最後から二番目の恋　#10</t>
  </si>
  <si>
    <t>再び2人で懲りずに深酒をする吉野千明(小泉今日子)と長倉和平(中井貴一)。酔っぱらう2人の顔はいつしか至近距離、そして今度は本当にキスをしてしまう。その瞬間を目撃してしまった典子(飯島直子)。翌朝、千明は目を覚ますと和平とキスしたことを覚えていた。複雑な気持ちになる千明、その横では和平が寝言で女性の名前を言っていた。"　カフェ「ながくら」では和平、真平(坂口憲二)、万理子(内田有紀)、えりな(白本彩奈)が朝食をとっていた。そこへ千明と一緒にやってきた典子は、和平ら家族の前で千明と真平にちゃんと付き合っているのかと聞き、ついには爆弾発言をしてしまう。嫌そうにする真平。さらに万理子は、千明に恋をしていて、告白した“もう1つの事件""をみんなの前で話すのだった。"小泉今日子　  中井貴一　  坂口憲二　  内田有紀　  渡辺真起子　  森口博子　  浅野和之　  飯島直子　    ほか【脚本】  岡田惠和【プロデュース】  若松央樹　  浅野澄美(FCC)　    【演出】  宮本理江子平沢敦士    【主題歌】浜崎あゆみ『how　beautiful　you　are』(avex　trax)フジテレビドラマ制作センター</t>
  </si>
  <si>
    <t>再び2人で懲りずに深酒をする吉野千明(小泉今日子)と長倉和平(中井貴一)。酔っぱらう2人の顔はいつしか至近距離、そして今度は本当にキスをしてしまう。その瞬間を目撃してしまった典子(飯島直子)。翌朝、千明は目を覚ますと和平とキスしたことを覚えていた。複雑な気持ちになる千明、その横では和平が寝言で女性の名前を言っていた。"　カフェ「ながくら」では和平、真平(坂口憲二)、万理子(内田有紀)、えりな(白本彩奈)が朝食をとっていた。そこへ千明と一緒にやってきた典子は、和平ら家族の前で千明と真平にちゃんと付き合っているのかと聞き、ついには爆弾発言をしてしまう。嫌そうにする真平。さらに万理子は、千明に恋をしていて、告白した“もう1つの事件""をみんなの前で話すのだった。"</t>
  </si>
  <si>
    <t>番組名&lt;木曜劇場&gt;最後から二番目の恋　#11</t>
  </si>
  <si>
    <t>江ノ電に一緒に乗っている吉野千明(小泉今日子)と長倉和平(中井貴一)。2人で窓の外を見ていると、喧嘩する長倉真平(坂口憲二)と大橋知美(佐津川愛美)の姿が目に入って来た。たわいないことで喧嘩する2人を見て、千明と和平はどこかホッとする。しかしそんな一時もつかの間、今度は千明と和平がいつものように言い合いを始めてしまう。  　後日、千明が働くJMTテレビのスタッフルームでは問題が起きていた。ドラマのロケ地が急遽使えなくなってしまったのだ。そこで長倉万理子(内田有紀)が和平に頼んで鎌倉でしようと提案するのだったが、和平と喧嘩をしてしまった千明にとって、いまの状況では頼みづらい様子。しかし時間がない千明は和平に頭を下げる覚悟で和平が働く鎌倉市役所へ向かうのだった。小泉今日子　  中井貴一　  坂口憲二　  内田有紀　  渡辺真起子　  森口博子　  浅野和之　  飯島直子　    ほか【脚本】  岡田惠和【プロデュース】  若松央樹　  浅野澄美(FCC)　    【演出】  宮本理江子平沢敦士    【主題歌】浜崎あゆみ『how　beautiful　you　are』(avex　trax)フジテレビドラマ制作センター</t>
  </si>
  <si>
    <t>江ノ電に一緒に乗っている吉野千明(小泉今日子)と長倉和平(中井貴一)。2人で窓の外を見ていると、喧嘩する長倉真平(坂口憲二)と大橋知美(佐津川愛美)の姿が目に入って来た。たわいないことで喧嘩する2人を見て、千明と和平はどこかホッとする。しかしそんな一時もつかの間、今度は千明と和平がいつものように言い合いを始めてしまう。  　後日、千明が働くJMTテレビのスタッフルームでは問題が起きていた。ドラマのロケ地が急遽使えなくなってしまったのだ。そこで長倉万理子(内田有紀)が和平に頼んで鎌倉でしようと提案するのだったが、和平と喧嘩をしてしまった千明にとって、いまの状況では頼みづらい様子。しかし時間がない千明は和平に頭を下げる覚悟で和平が働く鎌倉市役所へ向かうのだった。</t>
  </si>
  <si>
    <t>1201_CX_日21</t>
  </si>
  <si>
    <t>早海さんと呼ばれる日</t>
  </si>
  <si>
    <t>番組名&lt;ドラマチックサンデー&gt;早海さんと呼ばれる日　#01</t>
  </si>
  <si>
    <t>おもちゃメーカーで働く金井優梨子(松下奈緒)は、恋人で同僚の早海恭一(井ノ原快彦)とおしゃれなレストランへ来ていた。緊張して、なかなかプロポーズができない恭一を見かねた優梨子は、プロポーズを待たずに「はい」と返事をする。お互いの家族を会わせる日を相談していた2人。優梨子は両親と共に早海家に行くという提案をするが、恭一は家がリフォーム中であることから申し出を断った。しかし、リフォーム中というのは恭一の嘘で…。  　顔合わせの日。高級レストランに先に到着した優梨子と優梨子の父・拡(中原丈雄)と母・満智子(かとうかず子)と恭一。やがて豪快に恭一の父・恵太郎(船越英一郎)と母・陽子(古手川祐子)が入ってきた。続いて、来る予定ではなかった二男の研二(要潤)、三男の馨(中丸雄一)、四男の優三(森永悠希)が入ってくるのを見てあ然とする恭一。会食が進む中、優梨子と恭一が2人だけでマンションで暮らすと聞いた恵太郎は一瞬表情をこわばらせるが、すぐに笑顔を見せた。つられて笑う一同だが、なんとなく気まずい空気が流れる。結婚式と新婚旅行が無事に終わり、2人だけの幸せなマンション暮らしが始まった。そんな中、恭一の実家に行くことになった優梨子は、その古い家屋に、想像していたものとのギャップを感じて驚く。それでも働き者の陽子のおかげで家の中はきれいに保たれているはずだったが、中は散らかり放題の状態で…。松下奈緒　  井ノ原快彦　  要潤　  中丸雄一　  森永悠希  　・　  かとうかず子　  中原丈雄  　・　  古手川祐子　  船越英一郎　    ほか【脚本】  大島里美【企画統括】  成河広明　    【編成企画】  水野綾子　    【プロデュース】  貸川聡子　  山崎淳子　    【演出】  河野圭太　  城宝秀則仲西匡制作:フジテレビ　  制作著作:共同テレビ</t>
  </si>
  <si>
    <t>おもちゃメーカーで働く金井優梨子(松下奈緒)は、恋人で同僚の早海恭一(井ノ原快彦)とおしゃれなレストランへ来ていた。緊張して、なかなかプロポーズができない恭一を見かねた優梨子は、プロポーズを待たずに「はい」と返事をする。お互いの家族を会わせる日を相談していた2人。優梨子は両親と共に早海家に行くという提案をするが、恭一は家がリフォーム中であることから申し出を断った。しかし、リフォーム中というのは恭一の嘘で…。  　顔合わせの日。高級レストランに先に到着した優梨子と優梨子の父・拡(中原丈雄)と母・満智子(かとうかず子)と恭一。やがて豪快に恭一の父・恵太郎(船越英一郎)と母・陽子(古手川祐子)が入ってきた。続いて、来る予定ではなかった二男の研二(要潤)、三男の馨(中丸雄一)、四男の優三(森永悠希)が入ってくるのを見てあ然とする恭一。会食が進む中、優梨子と恭一が2人だけでマンションで暮らすと聞いた恵太郎は一瞬表情をこわばらせるが、すぐに笑顔を見せた。つられて笑う一同だが、なんとなく気まずい空気が流れる。結婚式と新婚旅行が無事に終わり、2人だけの幸せなマンション暮らしが始まった。そんな中、恭一の実家に行くことになった優梨子は、その古い家屋に、想像していたものとのギャップを感じて驚く。それでも働き者の陽子のおかげで家の中はきれいに保たれているはずだったが、中は散らかり放題の状態で…。</t>
  </si>
  <si>
    <t>番組名&lt;ドラマチックサンデー&gt;早海さんと呼ばれる日　#02</t>
  </si>
  <si>
    <t>早海優梨子(松下奈緒)は、家出した義母・陽子(古手川祐子)が帰ってくるまで、早海家の嫁として恭一(井ノ原快彦)の実家で暮らすことを決意する。張り切って引っ越して来た優梨子を戸惑いながら迎え入れる早海家の面々。  　夕食になり、優梨子が出前でとった高級な寿司に舌鼓を打つ恵太郎(船越英一郎)たち。そんな中、早海家に優梨子の母・満智子(かとうかず子)が訪ねて来た。優梨子が早海家に入ったことに怒り心頭の満智子は、恵太郎に早海家と金井家では環境が違うと訴える。その言葉にカチンときた恵太郎は連れて帰ってもいいと言い切るが、優梨子は自分で決めたことだと満智子に帰るように告げる。渋々と帰っていく満智子だが、その後も早海家には気まずい空気が流れる。  　翌朝、優梨子が起きてくると出勤や登校の準備に追われる家族たちが続々と起きてくる。朝ごはんも用意しておらず、かつ料理が得意ではない優梨子の段取りの悪さに朝食を取らずに家を出る恭一や研二(要潤)たち。恵太郎は出汁もとってない味噌汁に呆れ果てる。その後も洗濯や洗濯物の分類など家事がうまくこなせず馨(中丸雄一)からも怒りの声が飛び出す。さらに、夕食に買ってきた惣菜を出した優梨子に恭一以外の兄弟から不平が溢れ…。松下奈緒　  井ノ原快彦　  要潤　  中丸雄一　  森永悠希  　・　  かとうかず子　  中原丈雄  　・　  古手川祐子　  船越英一郎　    ほか【脚本】  大島里美【企画統括】  成河広明　    【編成企画】  水野綾子　    【プロデュース】  貸川聡子　  山崎淳子　    【演出】  河野圭太　  城宝秀則仲西匡　  松下奈緒制作:フジテレビ  制作著作:共同テレビ</t>
  </si>
  <si>
    <t>早海優梨子(松下奈緒)は、家出した義母・陽子(古手川祐子)が帰ってくるまで、早海家の嫁として恭一(井ノ原快彦)の実家で暮らすことを決意する。張り切って引っ越して来た優梨子を戸惑いながら迎え入れる早海家の面々。  　夕食になり、優梨子が出前でとった高級な寿司に舌鼓を打つ恵太郎(船越英一郎)たち。そんな中、早海家に優梨子の母・満智子(かとうかず子)が訪ねて来た。優梨子が早海家に入ったことに怒り心頭の満智子は、恵太郎に早海家と金井家では環境が違うと訴える。その言葉にカチンときた恵太郎は連れて帰ってもいいと言い切るが、優梨子は自分で決めたことだと満智子に帰るように告げる。渋々と帰っていく満智子だが、その後も早海家には気まずい空気が流れる。  　翌朝、優梨子が起きてくると出勤や登校の準備に追われる家族たちが続々と起きてくる。朝ごはんも用意しておらず、かつ料理が得意ではない優梨子の段取りの悪さに朝食を取らずに家を出る恭一や研二(要潤)たち。恵太郎は出汁もとってない味噌汁に呆れ果てる。その後も洗濯や洗濯物の分類など家事がうまくこなせず馨(中丸雄一)からも怒りの声が飛び出す。さらに、夕食に買ってきた惣菜を出した優梨子に恭一以外の兄弟から不平が溢れ…。</t>
  </si>
  <si>
    <t>番組名&lt;ドラマチックサンデー&gt;早海さんと呼ばれる日　#03</t>
  </si>
  <si>
    <t>夕食の買い物に来た早海優梨子(松下奈緒)は、財布にお金がないことに戸惑う。改めて確認してみると、給料日まで10日もあるのに使えるお金が1万円程度しかないことに気付き、恭一(井ノ原快彦)に相談する優梨子。恭一は家族会議を開き、恵太郎(船越英一郎)に店の営業を再開するように言うが、誰にも指図されたくないと部屋を出ていく。1万円しか入れてない研二(要潤)にももう少しお金を入れるように頼むが、今で精一杯だと拒否。逆に、お金が足りなくなったのは優梨子の金銭感覚が足りなかったからだと訴える。指摘されて、買い物をするのに値段を見たことがなかった優梨子は反省し、10日間を1万円で乗り切ってみせると宣言する。  　翌日から優梨子の慣れない節約生活が始まった。買い物に自転車を使ったり、百円ショップやスーパーの特売セールを利用したりと奮闘する優梨子。新装オープンのパン屋では、店員の入江亜季(山口紗弥加)と知り合いになった。そんな中、家ではなぜか研二や馨(中丸雄一)の大事にしていた本などが紛失していた。  　また、参考にと義母・陽子(古手川祐子)が付けていた家計簿を見ていた優梨子は、毎月“入"という項目で2万8千円の入金があることがわかる。調べるとガラスアート店からの入金であることがわかり、陽子が内職して家計の足しにしていたことが判明。それを知った恭一は…。松下奈緒　  井ノ原快彦　  要潤　  中丸雄一　  森永悠希  　・　  かとうかず子　  中原丈雄  　・　  古手川祐子　  船越英一郎　    ほか【脚本】  大島里美【企画統括】  成河広明　    【編成企画】  水野綾子　    【プロデュース】  貸川聡子　  山崎淳子　    【演出】  河野圭太　  城宝秀則仲西匡　  松下奈緒制作:フジテレビ　  制作著作:共同テレビ</t>
  </si>
  <si>
    <t>夕食の買い物に来た早海優梨子(松下奈緒)は、財布にお金がないことに戸惑う。改めて確認してみると、給料日まで10日もあるのに使えるお金が1万円程度しかないことに気付き、恭一(井ノ原快彦)に相談する優梨子。恭一は家族会議を開き、恵太郎(船越英一郎)に店の営業を再開するように言うが、誰にも指図されたくないと部屋を出ていく。1万円しか入れてない研二(要潤)にももう少しお金を入れるように頼むが、今で精一杯だと拒否。逆に、お金が足りなくなったのは優梨子の金銭感覚が足りなかったからだと訴える。指摘されて、買い物をするのに値段を見たことがなかった優梨子は反省し、10日間を1万円で乗り切ってみせると宣言する。  　翌日から優梨子の慣れない節約生活が始まった。買い物に自転車を使ったり、百円ショップやスーパーの特売セールを利用したりと奮闘する優梨子。新装オープンのパン屋では、店員の入江亜季(山口紗弥加)と知り合いになった。そんな中、家ではなぜか研二や馨(中丸雄一)の大事にしていた本などが紛失していた。  　また、参考にと義母・陽子(古手川祐子)が付けていた家計簿を見ていた優梨子は、毎月“入"という項目で2万8千円の入金があることがわかる。調べるとガラスアート店からの入金であることがわかり、陽子が内職して家計の足しにしていたことが判明。それを知った恭一は…。</t>
  </si>
  <si>
    <t>番組名&lt;ドラマチックサンデー&gt;早海さんと呼ばれる日　#04</t>
  </si>
  <si>
    <t>早海優梨子(松下奈緒)は、恭一(井ノ原快彦)から陽子(古手川祐子)が家に戻る意思がないことを聞き、この先ずっと早海家で暮らすことを決意する。優梨子は家計を助けるためにパートを始めようと近所のパン屋に面接に行く。同じ頃、就職活動中の馨(中丸雄一)も会社の面接を受けていた。面接官の質問にそつなく応える馨。その帰り道、もう何社目かわからないほどの不採用を示す“お祈りメール"を見ながら家に着くと、優梨子からパン屋の面接に受かり週3日のパートに出ることを聞かされる。さらに落ち込む馨だが、夕食時にも何社も落ちていることを恵太郎(船越英一郎)や兄弟から責められ、特技がない、声が小さいなどダメ出しまでされて苛立ちを募らせる。研二(要潤)は、会社役員をやっている優梨子の父・拡(中原丈雄)にコネが使えないかとまで言い出し、馨は戸惑う優梨子に余計なことをしないで欲しいとテーブルを離れる。必死で就職先を探す馨の姿を遠くから見つめる恵太郎。優梨子も少しでも力になろうと自分の就職活動時に使っていた本やノートを渡すが、投げやりな気持ちになっている馨は古いなどと文句を言い出す。恭一からは心願成就のお守りを渡され、ますます複雑な気持ちになっていく馨。そんな中、恵太郎はめずらしくスーツを着て、どこかに出かけて行く。松下奈緒　  井ノ原快彦　  要潤　  中丸雄一　  森永悠希  　・　  かとうかず子　  中原丈雄  　・　  古手川祐子　  船越英一郎　    ほか【脚本】  大島里美【企画統括】  成河広明　    【編成企画】  水野綾子　    【プロデュース】  貸川聡子　  山崎淳子　    【演出】  河野圭太　  城宝秀則仲西匡　  松下奈緒制作:フジテレビ　  制作著作:共同テレビ</t>
  </si>
  <si>
    <t>早海優梨子(松下奈緒)は、恭一(井ノ原快彦)から陽子(古手川祐子)が家に戻る意思がないことを聞き、この先ずっと早海家で暮らすことを決意する。優梨子は家計を助けるためにパートを始めようと近所のパン屋に面接に行く。同じ頃、就職活動中の馨(中丸雄一)も会社の面接を受けていた。面接官の質問にそつなく応える馨。その帰り道、もう何社目かわからないほどの不採用を示す“お祈りメール"を見ながら家に着くと、優梨子からパン屋の面接に受かり週3日のパートに出ることを聞かされる。さらに落ち込む馨だが、夕食時にも何社も落ちていることを恵太郎(船越英一郎)や兄弟から責められ、特技がない、声が小さいなどダメ出しまでされて苛立ちを募らせる。研二(要潤)は、会社役員をやっている優梨子の父・拡(中原丈雄)にコネが使えないかとまで言い出し、馨は戸惑う優梨子に余計なことをしないで欲しいとテーブルを離れる。必死で就職先を探す馨の姿を遠くから見つめる恵太郎。優梨子も少しでも力になろうと自分の就職活動時に使っていた本やノートを渡すが、投げやりな気持ちになっている馨は古いなどと文句を言い出す。恭一からは心願成就のお守りを渡され、ますます複雑な気持ちになっていく馨。そんな中、恵太郎はめずらしくスーツを着て、どこかに出かけて行く。</t>
  </si>
  <si>
    <t>番組名&lt;ドラマチックサンデー&gt;早海さんと呼ばれる日　#05</t>
  </si>
  <si>
    <t>早海優梨子(松下奈緒)は、就職活動中の馨(中丸雄一)の力に少しでもなりたいと思い、父・拡(中原丈雄)の力を借りたいと頼み込む。無事に面接を終え、今まで以上の手応えを感じていた馨だが、結果は不採用だった。恭一(井ノ原快彦)から優しい言葉で励まされ、逆に今まで抑えていた不満を爆発させる馨。そんな彼の頬を優梨子は思わず叩いてしまい、恵太郎(船越英一郎)も「そんなに家が嫌なら出て行けばいい」と言い放ち、ついに馨はその勢いのまま家を出て行ってしまう。出て行ってしまったのは、自分のせいではないかと気にする優梨子は馨のことが心配でたまらず、バイト先のファミリーレストランまで足を運ぶ。お金もなく行く先もないにもかかわらず、どうしても早海家には帰らないと言う馨を、優梨子は必死に自分の実家へ連れて行く。突然の訪問にとまどう優梨子の母・満智子(かとうかず子)であったが、優梨子のひたむきさに、馨を泊めることを許した。また拡は自らの家のこと、就職活動についてありのままを話した。それは馨の想像とは違い、意外なものだった。  　季節はバレンタイン。準備に悩む満智子に馨は「ドーナツを作ってみたらどうか」と積極的にアドバイスをし、一緒に手伝うことに。出来上がったドーナツを優梨子と満智子においしいと褒められ、何とも言えない気持ちになった馨は・・・。松下奈緒　  井ノ原快彦　  要潤　  中丸雄一　  森永悠希  　・　  かとうかず子　  中原丈雄  　・　  古手川祐子　  船越英一郎　    ほか【脚本】  大島里美【企画統括】  成河広明　    【編成企画】  水野綾子　    【プロデュース】  貸川聡子　  山崎淳子　    【演出】  城宝秀則仲西匡　  松下奈緒制作:フジテレビ　  制作著作:共同テレビ</t>
  </si>
  <si>
    <t>早海優梨子(松下奈緒)は、就職活動中の馨(中丸雄一)の力に少しでもなりたいと思い、父・拡(中原丈雄)の力を借りたいと頼み込む。無事に面接を終え、今まで以上の手応えを感じていた馨だが、結果は不採用だった。恭一(井ノ原快彦)から優しい言葉で励まされ、逆に今まで抑えていた不満を爆発させる馨。そんな彼の頬を優梨子は思わず叩いてしまい、恵太郎(船越英一郎)も「そんなに家が嫌なら出て行けばいい」と言い放ち、ついに馨はその勢いのまま家を出て行ってしまう。出て行ってしまったのは、自分のせいではないかと気にする優梨子は馨のことが心配でたまらず、バイト先のファミリーレストランまで足を運ぶ。お金もなく行く先もないにもかかわらず、どうしても早海家には帰らないと言う馨を、優梨子は必死に自分の実家へ連れて行く。突然の訪問にとまどう優梨子の母・満智子(かとうかず子)であったが、優梨子のひたむきさに、馨を泊めることを許した。また拡は自らの家のこと、就職活動についてありのままを話した。それは馨の想像とは違い、意外なものだった。  　季節はバレンタイン。準備に悩む満智子に馨は「ドーナツを作ってみたらどうか」と積極的にアドバイスをし、一緒に手伝うことに。出来上がったドーナツを優梨子と満智子においしいと褒められ、何とも言えない気持ちになった馨は・・・。</t>
  </si>
  <si>
    <t>番組名&lt;ドラマチックサンデー&gt;早海さんと呼ばれる日　#06</t>
  </si>
  <si>
    <t>夕食の買い物帰りに優梨子(松下奈緒)は、研二(要潤)と商店街で会い、一緒に家に帰る途中、公園でボール遊びをしていた入江亜季(山口紗弥加)とその息子・陽(須田琉雅)と遭遇する。互いに驚く研二と亜季。2人は高校時代の同級生だったのだ。同窓会以来の再会をはたした2人は、ぎこちない会話を交わす。父親はいないと言う亜季だったが、ボール遊びの最中に転んでも泣かない陽を見て優梨子が「強いね、ママに似たのかな」と言うと、自分はパパに似ていて、そのパパはジュリーというのだと話す。研二との突然の再会にも、何とか動揺を隠しきった亜季。一方、研二はそんな彼女の心の内を知るよしもなかった。  　早海家の晩ご飯には鯛のお刺身が並び、その豪華さに馨(中丸雄一)が高くなかったかと聞くと、優梨子は研二のおかげでおまけしてもらったと話す。いまだに商店街のヒーローなのだと、かつて高校野球で全国3位までいった輝かしい研二の過去を、誇らしげに恵太郎(船越英一郎)が続けて話した。しかし、契約社員である現状を心配する恭一(井ノ原快彦)からはそろそろ落ち着くべきだと言われるが、研二は早々に食卓を後にする。研二の活躍が取り上げられた新聞記事のスクラップを見る優梨子と恵太郎。顔が似ていることから、ジュリーと呼ばれていたことを明かし、優梨子の頭の中では陽が、パパはジュリーなのだと話していたことを思い出す。松下奈緒　  井ノ原快彦　  要潤　  中丸雄一　  森永悠希  　・　  かとうかず子　  中原丈雄  　・　  古手川祐子　  船越英一郎　    ほか【脚本】  大島里美【企画統括】  成河広明　    【編成企画】  水野綾子　    【プロデュース】  貸川聡子　  山崎淳子　    【演出】  河野圭太仲西匡　  松下奈緒制作:フジテレビ　  制作著作:共同テレビ</t>
  </si>
  <si>
    <t>夕食の買い物帰りに優梨子(松下奈緒)は、研二(要潤)と商店街で会い、一緒に家に帰る途中、公園でボール遊びをしていた入江亜季(山口紗弥加)とその息子・陽(須田琉雅)と遭遇する。互いに驚く研二と亜季。2人は高校時代の同級生だったのだ。同窓会以来の再会をはたした2人は、ぎこちない会話を交わす。父親はいないと言う亜季だったが、ボール遊びの最中に転んでも泣かない陽を見て優梨子が「強いね、ママに似たのかな」と言うと、自分はパパに似ていて、そのパパはジュリーというのだと話す。研二との突然の再会にも、何とか動揺を隠しきった亜季。一方、研二はそんな彼女の心の内を知るよしもなかった。  　早海家の晩ご飯には鯛のお刺身が並び、その豪華さに馨(中丸雄一)が高くなかったかと聞くと、優梨子は研二のおかげでおまけしてもらったと話す。いまだに商店街のヒーローなのだと、かつて高校野球で全国3位までいった輝かしい研二の過去を、誇らしげに恵太郎(船越英一郎)が続けて話した。しかし、契約社員である現状を心配する恭一(井ノ原快彦)からはそろそろ落ち着くべきだと言われるが、研二は早々に食卓を後にする。研二の活躍が取り上げられた新聞記事のスクラップを見る優梨子と恵太郎。顔が似ていることから、ジュリーと呼ばれていたことを明かし、優梨子の頭の中では陽が、パパはジュリーなのだと話していたことを思い出す。</t>
  </si>
  <si>
    <t>番組名&lt;ドラマチックサンデー&gt;早海さんと呼ばれる日　#07</t>
  </si>
  <si>
    <t>優梨子(松下奈緒)から、亜季(山口紗弥加)の息子・陽(須田琉雅)が自分との間の子どもだと聞いた研二(要潤)は、このことは誰にも言うな、と優梨子に釘を刺す。そこへ、恭一(井ノ原快彦)と恵太郎(船越英一郎)が来るが、優梨子は仕方なく話をそらす。  　亜季と陽のことが頭から離れない研二は、仕事場で奇声を発したりミスを連発。いつもと違う様子に、周囲から不審がられる。そこへ、携帯に亜季からのメッセージが入った。亜季は、話がしたいから時間を取ってくれと言う。早海家では、馨(中丸雄一)からパソコンを教わった恵太郎がネット通販やオークションにハマり、買い物に夢中になっていた。  　そんな日の夜、優梨子のところに研二が来て、他人のくせに人の人生を変えるようなことを言うな、と文句を付け始める。さらに、陽を息子だと言うのはDNA鑑定をしてからだ、とまで言い放つ。と、その瞬間、研二は傍に恵太郎が立っていたことに気づいた。研二はごまかそうとするが、恵太郎の猛烈な勢いに押され、事実を打ち明けた。  　それを聞いた恭一、馨、優三(森永悠希)は、予想外の告白に驚愕する。  　後日、研二は重い気持ちのまま亜季に会いに行く。亜季は、陽の父親は研二だが、関係があったのは昔のことだし、自分たちのことは気にしないでくれ、と伝え…。松下奈緒　  井ノ原快彦　  要潤　  中丸雄一　  森永悠希  　・　  かとうかず子　  中原丈雄  　・　  古手川祐子　  船越英一郎　    ほか【脚本】  大島里美【企画統括】  成河広明　    【編成企画】  水野綾子　    【プロデュース】  貸川聡子　  山崎淳子　    【演出】  城宝秀則仲西匡　  松下奈緒制作:フジテレビ　  制作著作:共同テレビ</t>
  </si>
  <si>
    <t>優梨子(松下奈緒)から、亜季(山口紗弥加)の息子・陽(須田琉雅)が自分との間の子どもだと聞いた研二(要潤)は、このことは誰にも言うな、と優梨子に釘を刺す。そこへ、恭一(井ノ原快彦)と恵太郎(船越英一郎)が来るが、優梨子は仕方なく話をそらす。  　亜季と陽のことが頭から離れない研二は、仕事場で奇声を発したりミスを連発。いつもと違う様子に、周囲から不審がられる。そこへ、携帯に亜季からのメッセージが入った。亜季は、話がしたいから時間を取ってくれと言う。早海家では、馨(中丸雄一)からパソコンを教わった恵太郎がネット通販やオークションにハマり、買い物に夢中になっていた。  　そんな日の夜、優梨子のところに研二が来て、他人のくせに人の人生を変えるようなことを言うな、と文句を付け始める。さらに、陽を息子だと言うのはDNA鑑定をしてからだ、とまで言い放つ。と、その瞬間、研二は傍に恵太郎が立っていたことに気づいた。研二はごまかそうとするが、恵太郎の猛烈な勢いに押され、事実を打ち明けた。  　それを聞いた恭一、馨、優三(森永悠希)は、予想外の告白に驚愕する。  　後日、研二は重い気持ちのまま亜季に会いに行く。亜季は、陽の父親は研二だが、関係があったのは昔のことだし、自分たちのことは気にしないでくれ、と伝え…。</t>
  </si>
  <si>
    <t>番組名&lt;ドラマチックサンデー&gt;早海さんと呼ばれる日　#08</t>
  </si>
  <si>
    <t>"　かつて優梨子(松下奈緒)が所属していた企画部に異動になったばかりの恭一(井ノ原快彦)。新商品開発会議にチーフとして参加するが、慣れない環境もあり、アイデアが浮かばず、ただ他の人の意見をメモとるだけの自分に落ち込んでしまう。  　「ガテマラ」では、恵太郎(船越英一郎)に常連客たちが“ガテマラ祭り""をやろうと持ちかけていた。"ガテマラ祭りとは、恵太郎と陽子(古手川祐子)がガテマラをオープンさせた3月1日に、常連さんやご近所を誘って行われるパーティーで、30年以上続いている恒例行事だった。まったく気乗りしない恵太郎に代わり、優梨子は自分でやりくりをしてガテマラ祭りを実現させると宣言する。その日は優梨子と恭一の付き合い始めた記念日でもあった。夜、仕事があまり順調でなさそうな恭一を心配した優梨子は協力を申し出るが、恭一は自分で頑張るからと断った。  　ある日、パチンコ屋から出てきた恵太郎は優三(森永悠希)を見かける。声をかけようとするが、路地裏に入った優三は一緒にいた岸本翼(松本隆志)と手をつないで歩き出して…。松下奈緒　  井ノ原快彦　  要潤　  中丸雄一　  森永悠希  　・　  かとうかず子　  中原丈雄  　・　  古手川祐子　  船越英一郎　    ほか【脚本】  大島里美【企画統括】  成河広明　    【編成企画】  水野綾子　    【プロデュース】  貸川聡子　  山崎淳子　    【演出】  河野圭太仲西匡　  松下奈緒制作:フジテレビ　  制作著作:共同テレビ</t>
  </si>
  <si>
    <t>"　かつて優梨子(松下奈緒)が所属していた企画部に異動になったばかりの恭一(井ノ原快彦)。新商品開発会議にチーフとして参加するが、慣れない環境もあり、アイデアが浮かばず、ただ他の人の意見をメモとるだけの自分に落ち込んでしまう。  　「ガテマラ」では、恵太郎(船越英一郎)に常連客たちが“ガテマラ祭り""をやろうと持ちかけていた。"ガテマラ祭りとは、恵太郎と陽子(古手川祐子)がガテマラをオープンさせた3月1日に、常連さんやご近所を誘って行われるパーティーで、30年以上続いている恒例行事だった。まったく気乗りしない恵太郎に代わり、優梨子は自分でやりくりをしてガテマラ祭りを実現させると宣言する。その日は優梨子と恭一の付き合い始めた記念日でもあった。夜、仕事があまり順調でなさそうな恭一を心配した優梨子は協力を申し出るが、恭一は自分で頑張るからと断った。  　ある日、パチンコ屋から出てきた恵太郎は優三(森永悠希)を見かける。声をかけようとするが、路地裏に入った優三は一緒にいた岸本翼(松本隆志)と手をつないで歩き出して…。</t>
  </si>
  <si>
    <t>番組名&lt;ドラマチックサンデー&gt;早海さんと呼ばれる日　#09</t>
  </si>
  <si>
    <t>優梨子(松下奈緒)はデザイナーの鳥谷秋彦(高橋一生)からの電話で、直接会って話したいことがあると言われる。恭一(井ノ原快彦)は、鳥谷に契約を断られたことで新商品開発のチーフから外されていた。家では仕事の話をしない恭一を励ますため、夕食に好物を作り続ける優梨子。  　ある日、「ガテマラ」に恵太郎(船越英一郎)が送ったメールを見た、リフォーム会社の若い営業マン・椎名(尾上寛之)が訪ねてきた。椎名は店を見回すと、これまでの例をあげながらリフォームのアイデアを出す。さらに、モニターになればリフォーム金額の7割を会社が負担すると言い出した。優梨子は、呼び出されて鳥谷の事務所にやってきた。鳥谷は優梨子の夫とは知らずに恭一に対する愚痴をこぼし、そして…。  　リフォームモニターの審査を受けることになり、椎名が作業員を連れて「ガテマラ」にやって来た。床下検査の結果、水道管やガス管の痛みが激しいことがわかり、補修工事を勧められた。リフォームモニターになれば補修工事額よりもはるかに多額の割引が受けられることもあり、迷う恵太郎。そんな中、仕事帰りの研二(要潤)は、喫茶店でポツンと時間をつぶしている恭一を見かけた。松下奈緒　  井ノ原快彦　  要潤　  中丸雄一　  森永悠希  　・　  かとうかず子　  中原丈雄  　・　  古手川祐子　  船越英一郎　    ほか【脚本】  大島里美【企画統括】  成河広明　    【編成企画】  水野綾子　    【プロデュース】  貸川聡子　  山崎淳子　    【演出】  城宝秀則仲西匡　  松下奈緒制作:フジテレビ　  制作著作:共同テレビ</t>
  </si>
  <si>
    <t>優梨子(松下奈緒)はデザイナーの鳥谷秋彦(高橋一生)からの電話で、直接会って話したいことがあると言われる。恭一(井ノ原快彦)は、鳥谷に契約を断られたことで新商品開発のチーフから外されていた。家では仕事の話をしない恭一を励ますため、夕食に好物を作り続ける優梨子。  　ある日、「ガテマラ」に恵太郎(船越英一郎)が送ったメールを見た、リフォーム会社の若い営業マン・椎名(尾上寛之)が訪ねてきた。椎名は店を見回すと、これまでの例をあげながらリフォームのアイデアを出す。さらに、モニターになればリフォーム金額の7割を会社が負担すると言い出した。優梨子は、呼び出されて鳥谷の事務所にやってきた。鳥谷は優梨子の夫とは知らずに恭一に対する愚痴をこぼし、そして…。  　リフォームモニターの審査を受けることになり、椎名が作業員を連れて「ガテマラ」にやって来た。床下検査の結果、水道管やガス管の痛みが激しいことがわかり、補修工事を勧められた。リフォームモニターになれば補修工事額よりもはるかに多額の割引が受けられることもあり、迷う恵太郎。そんな中、仕事帰りの研二(要潤)は、喫茶店でポツンと時間をつぶしている恭一を見かけた。</t>
  </si>
  <si>
    <t>番組名&lt;ドラマチックサンデー&gt;早海さんと呼ばれる日　#10</t>
  </si>
  <si>
    <t>優梨子(松下奈緒)が家を出て行った。恭一(井ノ原快彦)は、優梨子の実家や知り合いに連絡をとってみるがどこにもいない。研二(要潤)や馨(中丸雄一)や優三(森永悠希)も心配するが、恭一の様子もおかしく、不安を募らせる。その頃、優梨子は…。  　ある日、ガテマラにリフォーム詐欺を仕掛けた椎名(尾上寛之)がヤクザ風の男たちを引き連れて集金にやってきた。優三から連絡を受け恭一が駆けつけると、男たちと恵太郎(船越英一郎)と研二と馨が対峙していた。恭一はすぐに50万円を渡し、これで引き取るように冷静に訴える。椎名が札を数え始めるが、研二はすぐさま封筒を取り返した。それでも封筒を渡そうとする恭一と取り返そうとする研二はケンカになるが、椎名は封筒を手にそそくさと出て行った。お金を渡したことを責める研二に、恭一は根に持たれる方が怖いと訴えるが、お金を払ったことで恵太郎が本当に詐欺にあったことになるという研二の言葉にハッとする。さらに優梨子との出来事に触れ、普段ガマンしているから最悪の言葉を最悪のタイミングで言うことになると言われた恭一は、兄弟の前では逆ギレしながらもすっかり落ち込む。  　それぞれの方法で優梨子を探す早海家の兄弟たち。そんな中、優梨子の携帯に陽子(古手川祐子)からの着信があり、2人で会うことになる。一方、早海家には優梨子がいなくなったことを聞いた金井満智子(かとうかず子)が訪ねて来て…。松下奈緒　  井ノ原快彦　  要潤　  中丸雄一　  森永悠希  　・　  かとうかず子　  中原丈雄  　・　  古手川祐子　  船越英一郎　    ほか【脚本】  大島里美【企画統括】  成河広明　    【編成企画】  水野綾子　    【プロデュース】  貸川聡子　  山崎淳子　    【演出】  河野圭太仲西匡　  松下奈緒制作:フジテレビ　  制作著作:共同テレビ</t>
  </si>
  <si>
    <t>優梨子(松下奈緒)が家を出て行った。恭一(井ノ原快彦)は、優梨子の実家や知り合いに連絡をとってみるがどこにもいない。研二(要潤)や馨(中丸雄一)や優三(森永悠希)も心配するが、恭一の様子もおかしく、不安を募らせる。その頃、優梨子は…。  　ある日、ガテマラにリフォーム詐欺を仕掛けた椎名(尾上寛之)がヤクザ風の男たちを引き連れて集金にやってきた。優三から連絡を受け恭一が駆けつけると、男たちと恵太郎(船越英一郎)と研二と馨が対峙していた。恭一はすぐに50万円を渡し、これで引き取るように冷静に訴える。椎名が札を数え始めるが、研二はすぐさま封筒を取り返した。それでも封筒を渡そうとする恭一と取り返そうとする研二はケンカになるが、椎名は封筒を手にそそくさと出て行った。お金を渡したことを責める研二に、恭一は根に持たれる方が怖いと訴えるが、お金を払ったことで恵太郎が本当に詐欺にあったことになるという研二の言葉にハッとする。さらに優梨子との出来事に触れ、普段ガマンしているから最悪の言葉を最悪のタイミングで言うことになると言われた恭一は、兄弟の前では逆ギレしながらもすっかり落ち込む。  　それぞれの方法で優梨子を探す早海家の兄弟たち。そんな中、優梨子の携帯に陽子(古手川祐子)からの着信があり、2人で会うことになる。一方、早海家には優梨子がいなくなったことを聞いた金井満智子(かとうかず子)が訪ねて来て…。</t>
  </si>
  <si>
    <t>1110_CX_月21</t>
  </si>
  <si>
    <t>私が恋愛できない理由</t>
  </si>
  <si>
    <t>番組名私が恋愛できない理由　#01</t>
  </si>
  <si>
    <t>藤井恵美(香里奈)は、恋人がいない27歳の独身女性。男性ばかりのイベント照明会社に勤める恵美は、上司に完全に男扱いされているものの、あまり物事にこだわらないサバサバした性格で、まったく気にしていなかった。  　恵美と同じ高校で、演劇部の後輩でもある小倉咲(吉高由里子)は、不況のあおりを受け就職活動に失敗したが、家族には、大手出版社に就職したとウソをつき、学費と実家への仕送りを工面するために、キャバクラでアルバイトをしていた。明るく華やかで、頭の回転も早い咲は、男性からもてたが、実は本気で恋をしたことがなかった。  　演劇部の同窓会で再会した恵美と咲は、ひとり暮らしのさみしさから解放される上、部屋のランクを上げても家賃の節約ができる、という理由から、ルームシェアをすることにする。言い出しっぺの咲は、2人だともめたときにマズイので、もうひとり誰かを探すと言い出す。そこで声をかけたのが、恵美たちの後輩でもある半沢真子(大島優子)だった。裕福な家庭に生まれた真子は、真面目でしっかり者の女性。派遣社員として働いている真子は、現在、派遣先の社員・木崎俊哉(中村竜)に激しく片思い中でもあった。  　そんな折、アメリカで照明の仕事を勉強していた恵美の同僚・長谷川優(田中圭)が帰国する。実は優は、わずか2週間で恵美のことを振った元彼でもあった。同じころ、咲は、恵美や真子のために合コンを企画する…。香里奈　  吉高由里子　  大島優子(AKB48)  　・　  田中圭　  倉科カナ　  中尾明慶　  加賀美セイラ　  中村竜  　・　  勝村政信　  萩原聖人  　・　  稲森いずみ　    ほか【脚本】  山崎宇子　  坂口理子【プロデュース】  中野利幸　    【演出】  石井祐介末廣健一郎　  MAYUKOフジテレビ　ドラマ制作センター</t>
  </si>
  <si>
    <t>藤井恵美(香里奈)は、恋人がいない27歳の独身女性。男性ばかりのイベント照明会社に勤める恵美は、上司に完全に男扱いされているものの、あまり物事にこだわらないサバサバした性格で、まったく気にしていなかった。  　恵美と同じ高校で、演劇部の後輩でもある小倉咲(吉高由里子)は、不況のあおりを受け就職活動に失敗したが、家族には、大手出版社に就職したとウソをつき、学費と実家への仕送りを工面するために、キャバクラでアルバイトをしていた。明るく華やかで、頭の回転も早い咲は、男性からもてたが、実は本気で恋をしたことがなかった。  　演劇部の同窓会で再会した恵美と咲は、ひとり暮らしのさみしさから解放される上、部屋のランクを上げても家賃の節約ができる、という理由から、ルームシェアをすることにする。言い出しっぺの咲は、2人だともめたときにマズイので、もうひとり誰かを探すと言い出す。そこで声をかけたのが、恵美たちの後輩でもある半沢真子(大島優子)だった。裕福な家庭に生まれた真子は、真面目でしっかり者の女性。派遣社員として働いている真子は、現在、派遣先の社員・木崎俊哉(中村竜)に激しく片思い中でもあった。  　そんな折、アメリカで照明の仕事を勉強していた恵美の同僚・長谷川優(田中圭)が帰国する。実は優は、わずか2週間で恵美のことを振った元彼でもあった。同じころ、咲は、恵美や真子のために合コンを企画する…。</t>
  </si>
  <si>
    <t>番組名私が恋愛できない理由　#02</t>
  </si>
  <si>
    <t>藤井恵美(香里奈)は、誕生日の日に元カレでもある同僚の長谷川優(田中圭)から呼び出される。だがそれは、恵美の誕生日を祝うためではなく、前田ひかり(倉科カナ)との結婚を報告するためだった。帰宅した恵美は、同居人の小倉咲(吉高由里子)と半沢真子(大島優子)にその経緯をサラッと報告すると、すぐに部屋に入ってしまう。咲たちは、そんな恵美のことを心配していた。　真子は、木崎俊哉(中村竜)のマンションから逃げ帰ってしまったせいで、彼と目を合わせることができないでいた。避けられていることを感じた木崎も、真子のことを気にしているようだった。  　一方、咲は、ある出版社の二次試験を受ける。白石拓海(萩原聖人)から借りたまま返しそびれてしまったボールペンで試験を受けた咲は、確かな手応えを感じていた。  　ライティングワークスは、ホテルで開催されるハロウィン・イベントに向けて準備を始めていた。仲間たちと飲んだ帰り、優と一緒に帰った恵美は、彼が、結婚話を焦って進めようとしているひかりに対して不満を持っていることを知る。別の日、恵美は、ホテルの図面を届けにやってきたひかりから、優の気持ちがわからない、と打ち明けられる。恵美は、そんなひかりに、口には出さなくても優は結婚のことをちゃんと考えているはずだから信じてあげてほしい、と助言するが…。香里奈　  吉高由里子　  大島優子(AKB48)  　・　  田中圭　  倉科カナ　  中尾明慶　  加賀美セイラ　  中村竜  　・　  勝村政信　  萩原聖人  　・　  稲森いずみ　    ほか【脚本】  山崎宇子　  坂口理子【プロデュース】  中野利幸　    【演出】  石井祐介末廣健一郎　  MAYUKOフジテレビ　ドラマ制作センター</t>
  </si>
  <si>
    <t>藤井恵美(香里奈)は、誕生日の日に元カレでもある同僚の長谷川優(田中圭)から呼び出される。だがそれは、恵美の誕生日を祝うためではなく、前田ひかり(倉科カナ)との結婚を報告するためだった。帰宅した恵美は、同居人の小倉咲(吉高由里子)と半沢真子(大島優子)にその経緯をサラッと報告すると、すぐに部屋に入ってしまう。咲たちは、そんな恵美のことを心配していた。　真子は、木崎俊哉(中村竜)のマンションから逃げ帰ってしまったせいで、彼と目を合わせることができないでいた。避けられていることを感じた木崎も、真子のことを気にしているようだった。  　一方、咲は、ある出版社の二次試験を受ける。白石拓海(萩原聖人)から借りたまま返しそびれてしまったボールペンで試験を受けた咲は、確かな手応えを感じていた。  　ライティングワークスは、ホテルで開催されるハロウィン・イベントに向けて準備を始めていた。仲間たちと飲んだ帰り、優と一緒に帰った恵美は、彼が、結婚話を焦って進めようとしているひかりに対して不満を持っていることを知る。別の日、恵美は、ホテルの図面を届けにやってきたひかりから、優の気持ちがわからない、と打ち明けられる。恵美は、そんなひかりに、口には出さなくても優は結婚のことをちゃんと考えているはずだから信じてあげてほしい、と助言するが…。</t>
  </si>
  <si>
    <t>番組名私が恋愛できない理由　#03</t>
  </si>
  <si>
    <t>ハロウィンイベントの打ち合わせでホテルを訪れていた藤井恵美(香里奈)は、長谷川優(田中圭)と婚約しているはずの前田ひかり(倉科カナ)が、別の男性と見合いをしているところを目撃する。  　半沢真子(大島優子)は、木崎俊哉(中村竜)に手作りのお弁当を渡そうとしたが、「重い」と言われて受け取ってもらえず、落ち込んでいた。真子は、“重い女"を卒業しようと決意し、『軽やかな女になるための10カ条』なる特集記事が掲載されている雑誌を買ってくる。  　一方、小倉咲(吉高由里子)は、山波出版の採用試験をクリアし、役員面接までこぎつける。咲は、それを白石拓海(萩原聖人)に報告しようと彼の携帯電話に電話し、留守電を残した。そのとき自宅にいた拓海は、妻の美鈴(稲森いずみ)から、子どもがほしいと言われ困惑していた。  　ある日、恵美は、優に誘われて、ハロウィンイベントで使う大きなカボチャを探しに行く。その際、恵美は、優がひかりの父親からあまり良く思われていないらしいことを知る。恵美と優は、カボチャを積み込んで会社に戻った。するとそこに、ひかりがやってくる。ひかりは、何故両親に会ってくれないのか、結婚のことを皆に内緒にしているのか、と優を責めた。その会話を偶然聞いてしまった恵美は、男らしく皆の前で結婚のことを発表したらどうかと優を励ますが…。香里奈　  吉高由里子　  大島優子(AKB48)  　・　  田中圭　  倉科カナ　  中尾明慶　  加賀美セイラ　  中村竜  　・　  勝村政信　  萩原聖人  　・　  稲森いずみ　    ほか【脚本】  山崎宇子　  坂口理子【プロデュース】  中野利幸　    【演出】  並木道子末廣健一郎　  MAYUKOフジテレビ　ドラマ制作センター</t>
  </si>
  <si>
    <t>ハロウィンイベントの打ち合わせでホテルを訪れていた藤井恵美(香里奈)は、長谷川優(田中圭)と婚約しているはずの前田ひかり(倉科カナ)が、別の男性と見合いをしているところを目撃する。  　半沢真子(大島優子)は、木崎俊哉(中村竜)に手作りのお弁当を渡そうとしたが、「重い」と言われて受け取ってもらえず、落ち込んでいた。真子は、“重い女"を卒業しようと決意し、『軽やかな女になるための10カ条』なる特集記事が掲載されている雑誌を買ってくる。  　一方、小倉咲(吉高由里子)は、山波出版の採用試験をクリアし、役員面接までこぎつける。咲は、それを白石拓海(萩原聖人)に報告しようと彼の携帯電話に電話し、留守電を残した。そのとき自宅にいた拓海は、妻の美鈴(稲森いずみ)から、子どもがほしいと言われ困惑していた。  　ある日、恵美は、優に誘われて、ハロウィンイベントで使う大きなカボチャを探しに行く。その際、恵美は、優がひかりの父親からあまり良く思われていないらしいことを知る。恵美と優は、カボチャを積み込んで会社に戻った。するとそこに、ひかりがやってくる。ひかりは、何故両親に会ってくれないのか、結婚のことを皆に内緒にしているのか、と優を責めた。その会話を偶然聞いてしまった恵美は、男らしく皆の前で結婚のことを発表したらどうかと優を励ますが…。</t>
  </si>
  <si>
    <t>番組名私が恋愛できない理由　#04</t>
  </si>
  <si>
    <t>恵美(香里奈)と咲(吉高由里子)は、後輩の真子(大島優子)が失恋したことを知る。真子は、憧れの男性だった木崎(中村竜)が、妹の桃子(剛力彩芽)とホテルに行ったことを知り、ショックを受けていた。咲は、失恋の傷をいやす一番の薬は新しい恋だ、と言って真子を励ました。  　あくる日、恵美のもとに、武居大介(小柳友)という男性から連絡が入る。武居は、恵美たちが照明を手がけたイベントに参加していた男だ。恵美は、武居から食事に誘われたが、それを断る。恵美から武居の話を聞いた咲は、すぐにメールをするよう助言した。が、恵美が戸惑っていると、彼女の携帯電話を奪い取って勝手に武居にメールを送ってしまう。  　同じころ、真子は、木崎の同僚でもある山本(平岡祐太)に誘われ、飲みに出かけていた。真子が木崎のことを好きだと気づいていた山本は、木崎は女グセが悪いからやめたほうがいい、と告げた。そんな折、恵美は、武居からデートに誘われる。武居の勢いに押されて思わずOKしてしまった恵美は、咲や真子に激励されてデートに出かけた。その際、恵美たちは、同じくデート中だった優(田中圭)とひかり(倉科カナ)に偶然出会ってしまい…。香里奈　  吉高由里子　  大島優子(AKB48)  　・　  田中圭　  倉科カナ　  中尾明慶　  加賀美セイラ　  中村竜  　・　  勝村政信　  萩原聖人  　・　  稲森いずみ　    ほか【脚本】  山崎宇子　  坂口理子【プロデュース】  中野利幸　    【演出】  石井祐介末廣健一郎　  MAYUKOフジテレビ　ドラマ制作センター</t>
  </si>
  <si>
    <t>恵美(香里奈)と咲(吉高由里子)は、後輩の真子(大島優子)が失恋したことを知る。真子は、憧れの男性だった木崎(中村竜)が、妹の桃子(剛力彩芽)とホテルに行ったことを知り、ショックを受けていた。咲は、失恋の傷をいやす一番の薬は新しい恋だ、と言って真子を励ました。  　あくる日、恵美のもとに、武居大介(小柳友)という男性から連絡が入る。武居は、恵美たちが照明を手がけたイベントに参加していた男だ。恵美は、武居から食事に誘われたが、それを断る。恵美から武居の話を聞いた咲は、すぐにメールをするよう助言した。が、恵美が戸惑っていると、彼女の携帯電話を奪い取って勝手に武居にメールを送ってしまう。  　同じころ、真子は、木崎の同僚でもある山本(平岡祐太)に誘われ、飲みに出かけていた。真子が木崎のことを好きだと気づいていた山本は、木崎は女グセが悪いからやめたほうがいい、と告げた。そんな折、恵美は、武居からデートに誘われる。武居の勢いに押されて思わずOKしてしまった恵美は、咲や真子に激励されてデートに出かけた。その際、恵美たちは、同じくデート中だった優(田中圭)とひかり(倉科カナ)に偶然出会ってしまい…。</t>
  </si>
  <si>
    <t>番組名私が恋愛できない理由　#05</t>
  </si>
  <si>
    <t>藤井恵美(香里奈)が勤務する「ライティングワークス」では、田村淳一(勝村政信)、高橋健太(中尾明慶)を中心に、バーベキューに行く計画で盛り上がっていた。社長の白石拓海(萩原聖人)や、妻の美鈴(稲森いずみ)も呼んで、皆で盛り上がろうという雰囲気のなか、高橋の余計な一言から、恵美は最近知り合った武居大介(小柳友)を呼ばざるを得ない状況になる。  　恵美に好意を寄せる武居は、即答でOK。小倉咲(吉高由里子)は、不慣れなアウトドアに難色を示すものの、まだ見ぬ美鈴の旦那を見たいという動機で、バーベキューに参加することを決意。半沢真子(大島優子)は、参加したかったものの、付き合い始めたばかりの山本正(平岡祐太)からの誘いのため断念する。  　バーベキューの当日、キャンプ場では、結婚目前の長谷川優(田中圭)と前田ひかり(倉科カナ)が、仲良く作業をしている。その様子に、自然と視線を送ってしまう恵美。その様子に気付いてか、武居は恵美を釣りに誘う。アウトドアが趣味の武居に手ほどきを受けながら釣りをする恵美は自然と笑顔になる。  　美鈴の旦那を目当てに参加していた咲は、遅れてきた拓海と衝撃の出会いを果たす。お互いに、目があったまま動けない2人。ぎこちなくあいさつを交わすものの、咲は「急用を思い出した」と言い、その場から逃げるように立ち去る。  　そのころ、恵美は優から、想定もしていなかった事実を告げられる。香里奈　  吉高由里子　  大島優子(AKB48)  　・　  田中圭　  倉科カナ　  中尾明慶　  加賀美セイラ　  中村竜  　・　  勝村政信　  萩原聖人  　・　  稲森いずみ　    ほか【脚本】  山崎宇子　  坂口理子【プロデュース】  中野利幸　    【演出】  並木道子末廣健一郎　  MAYUKOフジテレビ　ドラマ制作センター</t>
  </si>
  <si>
    <t>藤井恵美(香里奈)が勤務する「ライティングワークス」では、田村淳一(勝村政信)、高橋健太(中尾明慶)を中心に、バーベキューに行く計画で盛り上がっていた。社長の白石拓海(萩原聖人)や、妻の美鈴(稲森いずみ)も呼んで、皆で盛り上がろうという雰囲気のなか、高橋の余計な一言から、恵美は最近知り合った武居大介(小柳友)を呼ばざるを得ない状況になる。  　恵美に好意を寄せる武居は、即答でOK。小倉咲(吉高由里子)は、不慣れなアウトドアに難色を示すものの、まだ見ぬ美鈴の旦那を見たいという動機で、バーベキューに参加することを決意。半沢真子(大島優子)は、参加したかったものの、付き合い始めたばかりの山本正(平岡祐太)からの誘いのため断念する。  　バーベキューの当日、キャンプ場では、結婚目前の長谷川優(田中圭)と前田ひかり(倉科カナ)が、仲良く作業をしている。その様子に、自然と視線を送ってしまう恵美。その様子に気付いてか、武居は恵美を釣りに誘う。アウトドアが趣味の武居に手ほどきを受けながら釣りをする恵美は自然と笑顔になる。  　美鈴の旦那を目当てに参加していた咲は、遅れてきた拓海と衝撃の出会いを果たす。お互いに、目があったまま動けない2人。ぎこちなくあいさつを交わすものの、咲は「急用を思い出した」と言い、その場から逃げるように立ち去る。  　そのころ、恵美は優から、想定もしていなかった事実を告げられる。</t>
  </si>
  <si>
    <t>番組名私が恋愛できない理由　#06</t>
  </si>
  <si>
    <t>「ワールドカップバレー2011男子日本×アルゼンチン」延長の際、放送時間繰り下げの場合あり。　付き合い始めた藤井恵美(香里奈)と武居大介(小柳友)は、スポーツジムでデートするなど、順調な様子。小倉咲(吉高由里子)、半沢真子(大島優子)からは冷やかされるが、恵美本人には恋をしている自覚がない。  　長谷川優(田中圭)は、前田ひかり(倉科カナ)の父(佐々木勝彦)のお見舞いに行った際に言われた「あなたとひかりの結婚を許すわけにはいきません」という言葉に大きなショックを受けていた。お見合いの話が進んでいるというひかりを、自分が苦しめているのではないかと悩む優。ひかりとの関係も、悪い方向に転がりだしていく。  　そんな優の様子をいち早く察したのは恵美。何かあったのかと心配する恵美に、「心配無用」と強がる優は、逆に「(武居と)幸せになれよ」と恵美を励ます。いつもの調子でふざけあう2人。その様子を見ていた武居は、自分といる時には見たことのない恵美の表情に戸惑いを覚える。  　子供を作りたいと願う美鈴(稲森いずみ)は、婦人科を訪ねる。そこで医師から、夫である白石拓海(萩原聖人)の検査を勧められる。拓海は急な話に困惑するも、渋々検査を受けることを了承する。  　武居は、恵美を自分の剣道の試合に誘う。恵美は応援席で武居の妹・美奈子(疋田英美)と出会う。美奈子から、武居の思いを聞く恵美。照れながらも、うれしい気持ちになる。しかし、そんな状況を一変させる電話が恵美のもとにかかってくる・・・。香里奈　  吉高由里子　  大島優子(AKB48)  　・　  田中圭　  倉科カナ　  中尾明慶　  加賀美セイラ　  中村竜  　・　  勝村政信　  萩原聖人  　・　  稲森いずみ　    ほか【脚本】  山崎宇子　  坂口理子【プロデュース】  中野利幸　    【演出】  石井祐介末廣健一郎　  MAYUKOフジテレビ　ドラマ制作センター</t>
  </si>
  <si>
    <t>「ワールドカップバレー2011男子日本×アルゼンチン」延長の際、放送時間繰り下げの場合あり。　付き合い始めた藤井恵美(香里奈)と武居大介(小柳友)は、スポーツジムでデートするなど、順調な様子。小倉咲(吉高由里子)、半沢真子(大島優子)からは冷やかされるが、恵美本人には恋をしている自覚がない。  　長谷川優(田中圭)は、前田ひかり(倉科カナ)の父(佐々木勝彦)のお見舞いに行った際に言われた「あなたとひかりの結婚を許すわけにはいきません」という言葉に大きなショックを受けていた。お見合いの話が進んでいるというひかりを、自分が苦しめているのではないかと悩む優。ひかりとの関係も、悪い方向に転がりだしていく。  　そんな優の様子をいち早く察したのは恵美。何かあったのかと心配する恵美に、「心配無用」と強がる優は、逆に「(武居と)幸せになれよ」と恵美を励ます。いつもの調子でふざけあう2人。その様子を見ていた武居は、自分といる時には見たことのない恵美の表情に戸惑いを覚える。  　子供を作りたいと願う美鈴(稲森いずみ)は、婦人科を訪ねる。そこで医師から、夫である白石拓海(萩原聖人)の検査を勧められる。拓海は急な話に困惑するも、渋々検査を受けることを了承する。  　武居は、恵美を自分の剣道の試合に誘う。恵美は応援席で武居の妹・美奈子(疋田英美)と出会う。美奈子から、武居の思いを聞く恵美。照れながらも、うれしい気持ちになる。しかし、そんな状況を一変させる電話が恵美のもとにかかってくる・・・。</t>
  </si>
  <si>
    <t>番組名私が恋愛できない理由　#07</t>
  </si>
  <si>
    <t>「ワールドカップバレー2011男子　日本×中国」延長の際、放送時間繰り下げの場合あり。　順調に付き合い始めたかに見えた藤井恵美(香里奈)と武居大介(小柳友)だったが、恵美のために優勝すると意気込んでいた武居の剣道の試合中、恵美は長谷川優(田中圭)のことが心配で会場を飛び出してしまった。その様子を目にしてしまった武居は、試合に敗れてしまう。  　翌日、武居は「僕では(恵美の)一番になれそうにない」として、恵美に別れを提案する。立ち去る武居を、引き止めることができない恵美。　一方、小倉咲(吉高由里子)は、白石拓海(萩原聖人)が美鈴(稲森いずみ)の夫だと知ってからも、拓海に会い続けていた。常々、「不倫はしない」と言っていた咲だが、自分でも説明のつかない拓海への想いに自身混乱していた。  　半沢真子(大島優子)は、言われもない社内の噂によって、契約を切られ、さらには木崎俊哉(中村竜)との仲を執拗に疑う山本正(平岡祐太)からも、別れを告げられてしまった。どん底の真子は、得意の料理を作る気にもなれないほど落ち込む。  　付き合っていた男性と別れた恵美と真子であったが、恵美には新しい仕事で、真子には偶然立ち寄ったレストランで、それぞれ新しい出会いが待っていた。そして、拓海への想いを断ち切れない咲には、衝撃的な展開が待っていた・・・。香里奈　  吉高由里子　  大島優子(AKB48)  　・　  田中圭　  倉科カナ　  中尾明慶　  加賀美セイラ　  中村竜  　・　  勝村政信　  萩原聖人  　・　  稲森いずみ　    ほか【脚本】  山崎宇子　  坂口理子【プロデュース】  中野利幸　    【演出】  並木道子末廣健一郎　  MAYUKOフジテレビ　ドラマ制作センター</t>
  </si>
  <si>
    <t>「ワールドカップバレー2011男子　日本×中国」延長の際、放送時間繰り下げの場合あり。　順調に付き合い始めたかに見えた藤井恵美(香里奈)と武居大介(小柳友)だったが、恵美のために優勝すると意気込んでいた武居の剣道の試合中、恵美は長谷川優(田中圭)のことが心配で会場を飛び出してしまった。その様子を目にしてしまった武居は、試合に敗れてしまう。  　翌日、武居は「僕では(恵美の)一番になれそうにない」として、恵美に別れを提案する。立ち去る武居を、引き止めることができない恵美。　一方、小倉咲(吉高由里子)は、白石拓海(萩原聖人)が美鈴(稲森いずみ)の夫だと知ってからも、拓海に会い続けていた。常々、「不倫はしない」と言っていた咲だが、自分でも説明のつかない拓海への想いに自身混乱していた。  　半沢真子(大島優子)は、言われもない社内の噂によって、契約を切られ、さらには木崎俊哉(中村竜)との仲を執拗に疑う山本正(平岡祐太)からも、別れを告げられてしまった。どん底の真子は、得意の料理を作る気にもなれないほど落ち込む。  　付き合っていた男性と別れた恵美と真子であったが、恵美には新しい仕事で、真子には偶然立ち寄ったレストランで、それぞれ新しい出会いが待っていた。そして、拓海への想いを断ち切れない咲には、衝撃的な展開が待っていた・・・。</t>
  </si>
  <si>
    <t>番組名私が恋愛できない理由　#08</t>
  </si>
  <si>
    <t>藤井恵美(香里奈)は、社長の白石拓海(萩原聖人)から、新しいライブの仕事のチーフを任せられることになった。その仕事を共同で行うスターライツとの打ち合わせで、恵美は野口進(永井大)と出会う。野口は、以前に恵美と仕事をした時のことを覚えていて、恵美の照明に対するセンスを褒める。素直にうれしい恵美。  　白石美鈴(稲森いずみ)に、拓海と2人で会っていたことを気付かれてしまった小倉咲(吉高由里子)は、それでも拓海への思いを捨て去ることができずにいた。混乱している自分に整理をつけるために実家に帰った咲。しかし、とあるアクシデントによって、キャバクラでバイトをしていたことが、母・由美子(根岸季衣)と姉・すみれ(松岡恵望子)にバレてしまう。  　半沢真子(大島優子)は山本正(平岡祐太)とのことで傷ついた際に、立ち寄ったビストロを再度訪ねる。店の料理に救われたと考え、その味を身に付けたいと、客としてではなく雇ってもらうためだった。根性のある男しか雇わないと突っぱねる榎本信司(青柳翔)だったが、真子の熱意に折れる。  　恵美は、野口との打ち合わせをかさねていく中で、「藤井さんのような優秀な人材に、来てほしい」と、引き抜きの相談を持ちかけられる。しかし、ライティングワークスへの恩義、仲間、そして長谷川優(田中圭)のことが気になり、思い悩むことに。そして、恵美は優から思いも寄らぬ相談を持ちかけられる…。香里奈　  吉高由里子　  大島優子(AKB48)  　・　  田中圭　  倉科カナ　  中尾明慶　  加賀美セイラ　  中村竜  　・　  勝村政信　  萩原聖人  　・　  稲森いずみ　    ほか【脚本】  山崎宇子　  坂口理子【プロデュース】  中野利幸　    【演出】  石井祐介末廣健一郎　  MAYUKOフジテレビ　ドラマ制作センター</t>
  </si>
  <si>
    <t>藤井恵美(香里奈)は、社長の白石拓海(萩原聖人)から、新しいライブの仕事のチーフを任せられることになった。その仕事を共同で行うスターライツとの打ち合わせで、恵美は野口進(永井大)と出会う。野口は、以前に恵美と仕事をした時のことを覚えていて、恵美の照明に対するセンスを褒める。素直にうれしい恵美。  　白石美鈴(稲森いずみ)に、拓海と2人で会っていたことを気付かれてしまった小倉咲(吉高由里子)は、それでも拓海への思いを捨て去ることができずにいた。混乱している自分に整理をつけるために実家に帰った咲。しかし、とあるアクシデントによって、キャバクラでバイトをしていたことが、母・由美子(根岸季衣)と姉・すみれ(松岡恵望子)にバレてしまう。  　半沢真子(大島優子)は山本正(平岡祐太)とのことで傷ついた際に、立ち寄ったビストロを再度訪ねる。店の料理に救われたと考え、その味を身に付けたいと、客としてではなく雇ってもらうためだった。根性のある男しか雇わないと突っぱねる榎本信司(青柳翔)だったが、真子の熱意に折れる。  　恵美は、野口との打ち合わせをかさねていく中で、「藤井さんのような優秀な人材に、来てほしい」と、引き抜きの相談を持ちかけられる。しかし、ライティングワークスへの恩義、仲間、そして長谷川優(田中圭)のことが気になり、思い悩むことに。そして、恵美は優から思いも寄らぬ相談を持ちかけられる…。</t>
  </si>
  <si>
    <t>番組名私が恋愛できない理由　#09</t>
  </si>
  <si>
    <t>藤井恵美(香里奈)は、長谷川優(田中圭)から「一緒にアメリカに行かないか?」と誘われる。優は、昔の仲間に誘われ、アメリカで照明の仕事をすることを決心したという。突然の話に驚く恵美は何も言えない。  　小倉咲(吉高由里子)は、白石拓海(萩原聖人)に一緒に暮らしたいと話そうと、いつものバス停で待ち合わせをしたが、拓海は現れなかった。そのショックを引きずるまいと、今まで勤めていたキャバクラを辞め、新たに出版社でのバイトを始めるべく面接に向かう。後日、咲は恵美から拓海が待ち合わせに来なかったのは、拓海の妻・美鈴(稲森いずみ)が、過労で具合が悪くなったためだと聞かされる。美鈴が体調を崩したのは自分のせいかもしれないとショックを受ける咲。恵美からも「もうやめておいたほうがいい」とアドバイスをされる。　半沢真子(大島優子)は、山本正(平岡祐太)から「(真子が)妊娠したから会社を辞めたという噂がたっている」と言われたことが気にかかっていた。根も葉もない噂と分かっているものの、妊娠検査薬を手にする真子。しかし、実際に確かめる勇気が出ない。  　初めてチーフを務めたコンサートで成功を収めた恵美。野口進(永井大)から、以前から打診されていた引き抜きの話の結論を問われる。果たして、恵美の出す結論は?香里奈　  吉高由里子　  大島優子(AKB48)  　・　  田中圭　　  倉科カナ　  中尾明慶　  加賀美セイラ　  中村竜  　・　  勝村政信　  萩原聖人  　・　  稲森いずみ　    ほか【脚本】  山崎宇子　  坂口理子【プロデュース】  中野利幸　    【演出】  並木道子末廣健一郎　  MAYUKOフジテレビ　ドラマ制作センター</t>
  </si>
  <si>
    <t>藤井恵美(香里奈)は、長谷川優(田中圭)から「一緒にアメリカに行かないか?」と誘われる。優は、昔の仲間に誘われ、アメリカで照明の仕事をすることを決心したという。突然の話に驚く恵美は何も言えない。  　小倉咲(吉高由里子)は、白石拓海(萩原聖人)に一緒に暮らしたいと話そうと、いつものバス停で待ち合わせをしたが、拓海は現れなかった。そのショックを引きずるまいと、今まで勤めていたキャバクラを辞め、新たに出版社でのバイトを始めるべく面接に向かう。後日、咲は恵美から拓海が待ち合わせに来なかったのは、拓海の妻・美鈴(稲森いずみ)が、過労で具合が悪くなったためだと聞かされる。美鈴が体調を崩したのは自分のせいかもしれないとショックを受ける咲。恵美からも「もうやめておいたほうがいい」とアドバイスをされる。　半沢真子(大島優子)は、山本正(平岡祐太)から「(真子が)妊娠したから会社を辞めたという噂がたっている」と言われたことが気にかかっていた。根も葉もない噂と分かっているものの、妊娠検査薬を手にする真子。しかし、実際に確かめる勇気が出ない。  　初めてチーフを務めたコンサートで成功を収めた恵美。野口進(永井大)から、以前から打診されていた引き抜きの話の結論を問われる。果たして、恵美の出す結論は?</t>
  </si>
  <si>
    <t>番組名私が恋愛できない理由　#10</t>
  </si>
  <si>
    <t>藤井恵美(香里奈)は、長谷川優(田中圭)と一緒にアメリカに行くことを決意した。その決断を伝えるために優のもとに駆け寄る恵美だったが、彼の前には、前田ひかり(倉科カナ)が。ひかりは「一緒にアメリカに連れて行って」と優に訴えるが、優は「お前は川端先生(KEIJI)と結婚して幸せになるのが一番いい」と、ひかりを諭す。図らずも、その様子を見てしまった恵美は、優と一緒にアメリカに行くと決めたものの、自分の気持ちを優に押し通して良いのか、悩んでしまう。  　小倉咲(吉高由里子)は、白石美鈴(稲森いずみ)と2人きりで会っていた。咲は、白石拓海(萩原聖人)のことが好きだという自分の素直な気持ちを美鈴に伝えた。美鈴は戸惑いながらも、咲の素直な思いに呼応するように、自分も拓海のことが必要で、離れたくないと咲に心情を吐露する。美鈴と拓海は、お互いがお互いを思い合っていることに気付く咲。  　半沢真子(大島優子)は働いているビストロの閉店後に榎本信司(青柳翔)と、その息子の圭太(西村亮海)と3人でクリスマスツリーの飾り付けをしていた。榎本が優しく圭太に接している様子をほほ笑ましく見守る真子。  　小さな幸せをのぞんでいるだけなのに、相変わらずなかなかうまくいかない。「恋愛できない」恵美、咲、真子。それでも、少しずつ前に進もうと頑張ってきた3人は、最終的に自分の居場所を見つけ、幸せを手にすることができるのか。香里奈　  吉高由里子　  大島優子(AKB48)  　・　  田中圭　  倉科カナ　  中尾明慶　  加賀美セイラ　  中村竜  　・　  勝村政信　  萩原聖人  　・　  稲森いずみ　    ほか【脚本】  山崎宇子　  坂口理子【プロデュース】  中野利幸　    【演出】  石井祐介末廣健一郎　  MAYUKOフジテレビ　ドラマ制作センター</t>
  </si>
  <si>
    <t>藤井恵美(香里奈)は、長谷川優(田中圭)と一緒にアメリカに行くことを決意した。その決断を伝えるために優のもとに駆け寄る恵美だったが、彼の前には、前田ひかり(倉科カナ)が。ひかりは「一緒にアメリカに連れて行って」と優に訴えるが、優は「お前は川端先生(KEIJI)と結婚して幸せになるのが一番いい」と、ひかりを諭す。図らずも、その様子を見てしまった恵美は、優と一緒にアメリカに行くと決めたものの、自分の気持ちを優に押し通して良いのか、悩んでしまう。  　小倉咲(吉高由里子)は、白石美鈴(稲森いずみ)と2人きりで会っていた。咲は、白石拓海(萩原聖人)のことが好きだという自分の素直な気持ちを美鈴に伝えた。美鈴は戸惑いながらも、咲の素直な思いに呼応するように、自分も拓海のことが必要で、離れたくないと咲に心情を吐露する。美鈴と拓海は、お互いがお互いを思い合っていることに気付く咲。  　半沢真子(大島優子)は働いているビストロの閉店後に榎本信司(青柳翔)と、その息子の圭太(西村亮海)と3人でクリスマスツリーの飾り付けをしていた。榎本が優しく圭太に接している様子をほほ笑ましく見守る真子。  　小さな幸せをのぞんでいるだけなのに、相変わらずなかなかうまくいかない。「恋愛できない」恵美、咲、真子。それでも、少しずつ前に進もうと頑張ってきた3人は、最終的に自分の居場所を見つけ、幸せを手にすることができるのか。</t>
  </si>
  <si>
    <t>1110_CX_火21</t>
  </si>
  <si>
    <t>謎解きはディナーのあとで</t>
  </si>
  <si>
    <t>番組名謎解きはディナーのあとで　#01</t>
  </si>
  <si>
    <t>大財閥「宝生グループ」を束ねる宝生家に、1人の男がやって来た。男の名は影山(櫻井翔)。影山は長年、宝生家の1人娘・麗子(北川景子)に仕えた唐沢(伊東四朗)の後任の執事となる。  　そのころ、麗子は事件現場にいた。麗子は身分を隠し、国立署の刑事として働いている。一方、麗子の上司、風祭京一郎警部(椎名桔平)は目立ちたがり屋。麗子と違い、自分が風祭モータースの御曹司であることを隠さない。　事件の被害者は吉本瞳(木南晴夏)という派遣社員。コーポの自室で首を絞められて殺害されたようだが、この遺体は何かがおかしい。被害者はブーツを履いたまま、部屋の中で殺されていたのだ。違和感を覚える麗子に先んじるように、風祭は同じ疑問をとうとうと述べ始めたが、その推理は稚拙なもの。麗子は、厚顔無恥な風祭がウザったくて仕方がない。  　風祭と別れた麗子が、いら立ちを込めてキックした石が高級リムジンにあたってしまった。すると降りてきた男が、「お嬢様」と麗子に頭を下げた。男は執事の影山。麗子を迎えに来たのだ。  　どんなに優秀な執事も、令嬢である麗子にとっては当たり前の存在である…はずだった。  　それは、突然ディナーのときにやってきた。  　昼間に起きた事件のあらましを誰にとはなしに話す麗子。しかし、それを聞いた影山が突然、こう言ったのだ。  　「失礼ですがお嬢様。お嬢様はアホでいらっしゃいますか?」と…。影山:　櫻井翔　  宝生麗子:　北川景子　    並木誠一:　野間口徹　  山繁悟:　中村靖日　  宗森あずみ:　岡本杏理　  江尻由香:　田中こなつ　    風祭京一郎:　椎名桔平　      唐沢:　伊東四朗【原作】  東川篤哉「謎解きはディナーのあとで」(小学館刊)　    【脚本】  黒岩勉【演出】  土方政人　    【プロデュース】  永井麗子菅野祐悟  【主題歌】嵐「迷宮ラブソング」  【オープニングテーマ】倖田來未「Love　Me　Back」フジテレビ　  【制作著作】共同テレビ</t>
  </si>
  <si>
    <t>大財閥「宝生グループ」を束ねる宝生家に、1人の男がやって来た。男の名は影山(櫻井翔)。影山は長年、宝生家の1人娘・麗子(北川景子)に仕えた唐沢(伊東四朗)の後任の執事となる。  　そのころ、麗子は事件現場にいた。麗子は身分を隠し、国立署の刑事として働いている。一方、麗子の上司、風祭京一郎警部(椎名桔平)は目立ちたがり屋。麗子と違い、自分が風祭モータースの御曹司であることを隠さない。　事件の被害者は吉本瞳(木南晴夏)という派遣社員。コーポの自室で首を絞められて殺害されたようだが、この遺体は何かがおかしい。被害者はブーツを履いたまま、部屋の中で殺されていたのだ。違和感を覚える麗子に先んじるように、風祭は同じ疑問をとうとうと述べ始めたが、その推理は稚拙なもの。麗子は、厚顔無恥な風祭がウザったくて仕方がない。  　風祭と別れた麗子が、いら立ちを込めてキックした石が高級リムジンにあたってしまった。すると降りてきた男が、「お嬢様」と麗子に頭を下げた。男は執事の影山。麗子を迎えに来たのだ。  　どんなに優秀な執事も、令嬢である麗子にとっては当たり前の存在である…はずだった。  　それは、突然ディナーのときにやってきた。  　昼間に起きた事件のあらましを誰にとはなしに話す麗子。しかし、それを聞いた影山が突然、こう言ったのだ。  　「失礼ですがお嬢様。お嬢様はアホでいらっしゃいますか?」と…。</t>
  </si>
  <si>
    <t>番組名謎解きはディナーのあとで　#02</t>
  </si>
  <si>
    <t>影山(櫻井翔)が控えるダイニングに、ご機嫌な麗子(北川景子)がやって来る。麗子の機嫌の良さは、目覚まし時計が鳴る前に起きたこと。すると影山は真夜中に停電が起き、その間コンセントに差し込むタイプの目覚まし時計が止まっていたことを麗子に教える。その話から麗子は早起きをしたのではなく、寝坊したことがわかる。  　慌てて警察署に向かう麗子の携帯電話に風祭京一郎警部(椎名桔平)から連絡。若林動物病院への直行を命じられる。  　現場では病院長の辰夫(大和田伸也)が死んでいた。死体のそばには、ワインボトルとグラス。グラスからは毒物が検出されたが、ボトルからは発見されなかったため、風祭は辰夫の自殺と推測する。  　その夜、麗子は影山に事件の詳細を話し始める。辰夫が死んだ時、家には4人の家族がいた。辰夫の弟、輝夫(飯田基祐)、長男の圭一(ムロツヨシ)、春絵(阿南敦子)夫婦、次男の修二(姜暢雄)。辰夫と家政婦の藤代雅美(春木みさよ)の再婚について家族会議が開かれた。家族から反対された辰夫は行きつけのスナックへ行き、ママ(釈由美子)の前で涙を見せたという。さらに、若林家向かいの家に住む少年から辰夫の部屋に火の玉を見たという証言や、死体の第一発見者、藤代の話も伝える。  　ともあれ、麗子と風祭は辰夫の死因を自殺とした。影山は、それは大問題だとポツリ。  　「失礼ですがお嬢様。お嬢様の目は節穴でございますか?」影山:　櫻井翔　      宝生麗子:　北川景子　        並木誠一:　野間口徹　    山繁悟:　中村靖日　    宗森あずみ:　岡本杏理　    江尻由香:　田中こなつ　      風祭京一郎:　椎名桔平　        スナックのママ:　釈由美子　    若林辰夫:　大和田伸也　    若林輝夫:　飯田基祐　    若林圭一:　ムロツヨシ　    若林春江:　阿南敦子　    若林修二:　姜暢雄【原作】  東川篤哉「謎解きはディナーのあとで」(小学館刊)　    【脚本】  黒岩勉【演出】  土方政人　    【プロデュース】  永井麗子菅野祐悟  【主題歌】嵐「迷宮ラブソング」  【オープニングテーマ】倖田來未「Love　Me　Back」フジテレビ　    【制作著作】  共同テレビ</t>
  </si>
  <si>
    <t>影山(櫻井翔)が控えるダイニングに、ご機嫌な麗子(北川景子)がやって来る。麗子の機嫌の良さは、目覚まし時計が鳴る前に起きたこと。すると影山は真夜中に停電が起き、その間コンセントに差し込むタイプの目覚まし時計が止まっていたことを麗子に教える。その話から麗子は早起きをしたのではなく、寝坊したことがわかる。  　慌てて警察署に向かう麗子の携帯電話に風祭京一郎警部(椎名桔平)から連絡。若林動物病院への直行を命じられる。  　現場では病院長の辰夫(大和田伸也)が死んでいた。死体のそばには、ワインボトルとグラス。グラスからは毒物が検出されたが、ボトルからは発見されなかったため、風祭は辰夫の自殺と推測する。  　その夜、麗子は影山に事件の詳細を話し始める。辰夫が死んだ時、家には4人の家族がいた。辰夫の弟、輝夫(飯田基祐)、長男の圭一(ムロツヨシ)、春絵(阿南敦子)夫婦、次男の修二(姜暢雄)。辰夫と家政婦の藤代雅美(春木みさよ)の再婚について家族会議が開かれた。家族から反対された辰夫は行きつけのスナックへ行き、ママ(釈由美子)の前で涙を見せたという。さらに、若林家向かいの家に住む少年から辰夫の部屋に火の玉を見たという証言や、死体の第一発見者、藤代の話も伝える。  　ともあれ、麗子と風祭は辰夫の死因を自殺とした。影山は、それは大問題だとポツリ。  　「失礼ですがお嬢様。お嬢様の目は節穴でございますか?」</t>
  </si>
  <si>
    <t>番組名謎解きはディナーのあとで　#03</t>
  </si>
  <si>
    <t>影山(櫻井翔)は、日曜日の朝から事件現場に向かう宝生麗子(北川景子)のリムジンを運転。せっかくの日曜日なのにと麗子は少しおかんむり。  　この日、麗子が例によって上司の風祭京一郎警部(椎名桔平)と担当したのは現役国会議員、野崎伸一(水橋研二)の殺害事件。野崎は定宿としているホテルの部屋で側頭部を殴られ、死んでいた。死体はなぜか、麗子も赤面のパンツ一丁。野崎が最近、大物政治家の闇献金疑惑を追及していたことから、風祭は永田町の巨大な陰謀が絡んでいると息巻く。  　例によって、風祭とともに一通りの事情聴取を影山に見守られながら終えた麗子。屋敷に戻ると例によって、影山に聴取の詳細を話す。そこで判明したのが野崎は殺される直前、女性ばかりに電話をかけていたこと。そして、ホテルのボーイとボディーガードからも貴重な情報を得ていた。野崎の死亡推定時刻後、ボーイは部屋から出てくる身長180センチほどの人物を目撃。ボディーガードは、死亡推定時刻前に部屋へと入る身長160センチぐらいの人物を見ていた。  　あらましを聞いた影山に、いつものように解決を頼ろうとしてしまう麗子。それを見透かしたかのように、影山はつれない態度をとる。怒った麗子は、今回は素人推理では歯が立たないと影山を挑発。すると…。  　「失礼ながらお嬢様。やはりしばらくの間引っ込んでおいてもらえますか?」。影山がひもとく事件の真相とは?影山:　櫻井翔　      宝生麗子:　北川景子　        並木誠一:　野間口徹　    山繁悟:　中村靖日　    宗森あずみ:　岡本杏理　    江尻由香:　田中こなつ　      風祭京一郎:　椎名桔平　          澤田絵里:　松本莉緒　    斉藤アヤ:　山崎真実　    野崎伸一:　水橋研二　    小林忠彦:　温水洋一　    杉原聡:　高杉亘　    宮下弘明:　奥田達士【原作】  東川篤哉「謎解きはディナーのあとで」(小学館刊)　    【脚本】  黒岩勉【演出】  石川淳一　    【プロデュース】  永井麗子菅野祐悟  【主題歌】嵐「迷宮ラブソング」  【オープニングテーマ】倖田來未「Love　Me　Back」フジテレビ　    【制作著作】  共同テレビ</t>
  </si>
  <si>
    <t>影山(櫻井翔)は、日曜日の朝から事件現場に向かう宝生麗子(北川景子)のリムジンを運転。せっかくの日曜日なのにと麗子は少しおかんむり。  　この日、麗子が例によって上司の風祭京一郎警部(椎名桔平)と担当したのは現役国会議員、野崎伸一(水橋研二)の殺害事件。野崎は定宿としているホテルの部屋で側頭部を殴られ、死んでいた。死体はなぜか、麗子も赤面のパンツ一丁。野崎が最近、大物政治家の闇献金疑惑を追及していたことから、風祭は永田町の巨大な陰謀が絡んでいると息巻く。  　例によって、風祭とともに一通りの事情聴取を影山に見守られながら終えた麗子。屋敷に戻ると例によって、影山に聴取の詳細を話す。そこで判明したのが野崎は殺される直前、女性ばかりに電話をかけていたこと。そして、ホテルのボーイとボディーガードからも貴重な情報を得ていた。野崎の死亡推定時刻後、ボーイは部屋から出てくる身長180センチほどの人物を目撃。ボディーガードは、死亡推定時刻前に部屋へと入る身長160センチぐらいの人物を見ていた。  　あらましを聞いた影山に、いつものように解決を頼ろうとしてしまう麗子。それを見透かしたかのように、影山はつれない態度をとる。怒った麗子は、今回は素人推理では歯が立たないと影山を挑発。すると…。  　「失礼ながらお嬢様。やはりしばらくの間引っ込んでおいてもらえますか?」。影山がひもとく事件の真相とは?</t>
  </si>
  <si>
    <t>番組名謎解きはディナーのあとで　#04</t>
  </si>
  <si>
    <t>「ワールドカップバレーボール2011　女子　日本×アルジェリア」延長の際、放送時間繰り下げの場合あり。　影山(櫻井翔)は、友人の沢村有里(小林涼子)の結婚パーティーに招かれた宝生麗子(北川景子)のお供。沢村家の屋敷で行われるパーティーには風祭京一郎警部(椎名桔平)も招かれていた。しかし、風祭はメガネを外したお嬢様姿の麗子が自分の部下だと気付くこともなく、恋をしてしまう始末。  　有里の結婚相手、細山照也(湯江健幸)は花嫁よりずいぶん年上。麗子がこのギャップに疑問を感じていると有里の弟、佑介(若葉竜也)が妹、美幸(村崎真彩)の制止も聞かず、沢村家の財産目当てだと話しかけてきた。佑介によると、もともとこの屋敷は西園寺家のものだったが没落してしまい、琴江(手塚理美)という老齢の当主では維持できず、遠い親戚である有里の母親、孝子(栗田よう子)に援助を求めてきた。細山は西園寺家の財産狙いで顧問弁護士をしていたが、金がないと分かると沢村家に近づき、有里との結婚までこぎつけたと佑介は続けた。　パーティーの最中、有里の部屋から悲鳴が。屋敷の執事、吉田(森本レオ)が合鍵でドアを開けると背中にナイフが刺さった有里が倒れていた。幸い命に別状はなかったのだが…。麗子は未だに部下だと気付かない風祭の迷推理で容疑者とされてしまう。    　「失礼ながらお嬢様、このまま逮捕あそばされ、少々反省していただけますか?」  　主人のピンチに影山が毒舌とともに解く謎とは?影山:　櫻井翔　      宝生麗子:　北川景子　        並木誠一:　野間口徹　  山繁悟:　中村靖日　  宗森あずみ:　岡本杏理　  江尻由香:　田中こなつ　      風祭京一郎:　椎名桔平　        西園寺琴江:　手塚理美　    吉田:　森本レオ　    ほか【原作】  東川篤哉「謎解きはディナーのあとで」(小学館刊)　    【脚本】  黒岩勉【演出】  石川淳一　    【プロデュース】  永井麗子菅野祐悟  【主題歌】嵐「迷宮ラブソング」  【オープニングテーマ】倖田來未「Love　Me　Back」フジテレビ　    【制作著作】  共同テレビ</t>
  </si>
  <si>
    <t>影山(櫻井翔)は、友人の沢村有里(小林涼子)の結婚パーティーに招かれた宝生麗子(北川景子)のお供。沢村家の屋敷で行われるパーティーには風祭京一郎警部(椎名桔平)も招かれていた。しかし、風祭はメガネを外したお嬢様姿の麗子が自分の部下だと気付くこともなく、恋をしてしまう始末。  　有里の結婚相手、細山照也(湯江健幸)は花嫁よりずいぶん年上。麗子がこのギャップに疑問を感じていると有里の弟、佑介(若葉竜也)が妹、美幸(村崎真彩)の制止も聞かず、沢村家の財産目当てだと話しかけてきた。佑介によると、もともとこの屋敷は西園寺家のものだったが没落してしまい、琴江(手塚理美)という老齢の当主では維持できず、遠い親戚である有里の母親、孝子(栗田よう子)に援助を求めてきた。細山は西園寺家の財産狙いで顧問弁護士をしていたが、金がないと分かると沢村家に近づき、有里との結婚までこぎつけたと佑介は続けた。　パーティーの最中、有里の部屋から悲鳴が。屋敷の執事、吉田(森本レオ)が合鍵でドアを開けると背中にナイフが刺さった有里が倒れていた。幸い命に別状はなかったのだが…。麗子は未だに部下だと気付かない風祭の迷推理で容疑者とされてしまう。    　「失礼ながらお嬢様、このまま逮捕あそばされ、少々反省していただけますか?」  　主人のピンチに影山が毒舌とともに解く謎とは?</t>
  </si>
  <si>
    <t>番組名謎解きはディナーのあとで　#05</t>
  </si>
  <si>
    <t>「野球道～日本シリーズ　第3戦　中日×福岡ソフトバンク」延長の際、放送時間繰り下げの場合あり。　早朝、影山(櫻井翔)の部屋に主人の宝生麗子(北川景子)が入ってくる。影山はマンガ「国立ち日記」に夢中になりすぎるあまり、麗子の鳴らす呼び鈴に気がつかなかったのだ。殺人事件が発生した現場に送るよう頼まれた影山はついつい読みかけの「国立ち日記」を持っていこうとして、麗子にたしなめられる。  　事件現場の国立神社では身元不明の女性が刃物で胸を刺され亡くなっていて、所持品は何一つ残っていなかった。　例によって、風祭(椎名桔平)とともに一通りの事情聴取を影山に見守られながら終えた麗子。屋敷に戻ると例によって、影山に聴取の詳細を話す。そこで判明したのが被害者は菅野由美(マイコ)という女性で「国立ち日記」の原作者であること。また昨夜、作画担当である江崎建夫(中村俊介)と疑われる二枚目風の優男が裏の通りで女性もののバッグを持って走り去る姿が目撃されていたこと、江崎と由美はもともとは恋人同士だったが12年前に別れ、最近も最終回を目前に大げんかをしていたことなどがわかり、さらには犯行時刻も絞られた。が、江崎には犯行時間帯に完ぺきなアリバイがあった。    　影山は江崎の証言に奇妙な点を感じなかったかと麗子に聞くが、麗子は具体的で矛盾点もなかったと答える。  　「お嬢様は相変わらずアホでいらっしゃいますね。いい意味で」。  　烈火のごとく怒る麗子をなだめながら影山は江崎のアリバイを崩してゆくのだが…。影山:　櫻井翔　      宝生麗子:　北川景子　      並木誠一:　野間口徹　  山繁悟:　中村靖日　  宗森あずみ:　岡本杏理　  江尻由香:　田中こなつ　      風祭京一郎:　椎名桔平　        江崎建夫:　中村俊介　    菅野由美:　マイコ　    ほか【原作】  東川篤哉「謎解きはディナーのあとで」(小学館刊)　    【脚本】  黒岩勉【演出】  土方政人　    【プロデュース】  永井麗子菅野祐悟  【主題歌】嵐「迷宮ラブソング」  【オープニングテーマ】倖田來未「Love　Me　Back」フジテレビ　    【制作著作】  共同テレビ</t>
  </si>
  <si>
    <t>早朝、影山(櫻井翔)の部屋に主人の宝生麗子(北川景子)が入ってくる。影山はマンガ「国立ち日記」に夢中になりすぎるあまり、麗子の鳴らす呼び鈴に気がつかなかったのだ。殺人事件が発生した現場に送るよう頼まれた影山はついつい読みかけの「国立ち日記」を持っていこうとして、麗子にたしなめられる。  　事件現場の国立神社では身元不明の女性が刃物で胸を刺され亡くなっていて、所持品は何一つ残っていなかった。　例によって、風祭(椎名桔平)とともに一通りの事情聴取を影山に見守られながら終えた麗子。屋敷に戻ると例によって、影山に聴取の詳細を話す。そこで判明したのが被害者は菅野由美(マイコ)という女性で「国立ち日記」の原作者であること。また昨夜、作画担当である江崎建夫(中村俊介)と疑われる二枚目風の優男が裏の通りで女性もののバッグを持って走り去る姿が目撃されていたこと、江崎と由美はもともとは恋人同士だったが12年前に別れ、最近も最終回を目前に大げんかをしていたことなどがわかり、さらには犯行時刻も絞られた。が、江崎には犯行時間帯に完ぺきなアリバイがあった。    　影山は江崎の証言に奇妙な点を感じなかったかと麗子に聞くが、麗子は具体的で矛盾点もなかったと答える。  　「お嬢様は相変わらずアホでいらっしゃいますね。いい意味で」。  　烈火のごとく怒る麗子をなだめながら影山は江崎のアリバイを崩してゆくのだが…。</t>
  </si>
  <si>
    <t>番組名謎解きはディナーのあとで　#06</t>
  </si>
  <si>
    <t>「ワールドカップバレー2011男子　日本×キューバ」延長の際、放送時間繰り下げの場合あり。　朝食時、いつものように優雅にミルクをサーブする影山(櫻井翔)。ただその相手は宝生麗子(北川景子)ではなく猫だった。迷い猫の面倒を見る影山を「暇ね」とからかう麗子。が、影山は麗子こそ朝から国立署管内で殺人事件が起きたと騒いでいるが、のんびり朝食を食べていていいのかと切り返す。慌てて麗子が携帯電話を確認すると風祭警部(椎名桔平)からの着信履歴が無数に連なっていた。  　事件があったのは藤倉ホテルの創業一族の藤倉家の温室。そのバラ園で高原恭子(山口あゆみ)が殺されていた。恭子は駅前のクラブで働くホステスで、死因は絞殺による窒息死。現場の状況から風祭は国立七不思議の1つ「紅バラの祟り」を麗子に語って聞かせるのだった。  　「紅バラの祟り」とは、かつて藤倉家の長男が、黒川紅子(建みさと)というメイドに恋をした。身分違いの恋に怒った藤倉家の人々は紅子がかわいがっていた黒猫を殺してしまう。失意の紅子がバラ園で自殺。以降、このバラ園に携わる者たちに次々と不幸が襲いかかったというものだった。    　国立七不思議の謎を解くのが夢だった影山に押し切られる形で事情聴取の詳細を話す麗子。  　あらましを聞き終えた影山は、今回の事件は「紅バラの祟り」とは無関係の殺人事件だと断言。犯人の目星がつかない麗子に影山は、「それでもお嬢様はプロの刑事でございますか。ズブの素人よりもレベルが低くていらっしゃいます」と…。影山:　櫻井翔    宝生麗子:　北川景子      並木誠一:　野間口徹  山繁悟:　中村靖日  宗森あずみ:　岡本杏理  江尻由香:　田中こなつ    風祭京一郎:　椎名桔平        藤倉文代:　田島令子  藤倉雅彦:　袴田吉彦  藤倉幸三郎:　浅野和之  寺岡裕二:　金井勇太  藤倉俊夫:　山中崇  藤倉美奈子:　遊井亮子  高原恭子:　山口あゆみ  辻本郁子:　池谷のぶえ  黒川紅子:　建みさと  店員:　日村勇紀    ほか【原作】  東川篤哉「謎解きはディナーのあとで」(小学館刊)　    【脚本】  黒岩勉【演出】  村谷嘉則　    【プロデュース】  永井麗子菅野祐悟  【主題歌】嵐「迷宮ラブソング」  【オープニングテーマ】倖田來未「Love　Me　Back」フジテレビ　    【制作著作】  共同テレビ</t>
  </si>
  <si>
    <t xml:space="preserve">　朝食時、いつものように優雅にミルクをサーブする影山(櫻井翔)。ただその相手は宝生麗子(北川景子)ではなく猫だった。迷い猫の面倒を見る影山を「暇ね」とからかう麗子。が、影山は麗子こそ朝から国立署管内で殺人事件が起きたと騒いでいるが、のんびり朝食を食べていていいのかと切り返す。慌てて麗子が携帯電話を確認すると風祭警部(椎名桔平)からの着信履歴が無数に連なっていた。  　事件があったのは藤倉ホテルの創業一族の藤倉家の温室。そのバラ園で高原恭子(山口あゆみ)が殺されていた。恭子は駅前のクラブで働くホステスで、死因は絞殺による窒息死。現場の状況から風祭は国立七不思議の1つ「紅バラの祟り」を麗子に語って聞かせるのだった。  　「紅バラの祟り」とは、かつて藤倉家の長男が、黒川紅子(建みさと)というメイドに恋をした。身分違いの恋に怒った藤倉家の人々は紅子がかわいがっていた黒猫を殺してしまう。失意の紅子がバラ園で自殺。以降、このバラ園に携わる者たちに次々と不幸が襲いかかったというものだった。    　国立七不思議の謎を解くのが夢だった影山に押し切られる形で事情聴取の詳細を話す麗子。  　あらましを聞き終えた影山は、今回の事件は「紅バラの祟り」とは無関係の殺人事件だと断言。犯人の目星がつかない麗子に影山は、「それでもお嬢様はプロの刑事でございますか。ズブの素人よりもレベルが低くていらっしゃいます」と…。</t>
  </si>
  <si>
    <t>番組名謎解きはディナーのあとで　#07</t>
  </si>
  <si>
    <t>「ワールドカップバレー2011男子　日本×アメリカ」延長の際、放送時間繰り下げの場合あり。　影山(櫻井翔)が部屋に行くと、宝生麗子(北川景子)が妙な形で固まっている。ギックリ腰になってしまったのだ。麗子は休むことを風祭京一郎警部(椎名桔平)に報告する。風祭は事件が起きたとなぜか上機嫌。何やら警視庁広報課から風祭の密着取材が入っていることに浮かれている様子。  　風祭の軽いノリに、麗子は捜査への不安が募る。麗子は捜査の様子をそっと探ってくるよう影山に頼む。すると影山は、すでに手は打ってあるとテレビモニターを麗子に見せると、モニターには風祭たちが映し出される。広報課の密着取材とは、宝生家の力を使って影山が手配した撮影隊だった。  　事件は廃工場の2階を住居に改装した部屋で起きた。浴室で若い女性の死体が発見されたのだ。被害者は神岡美紀(桂亜沙美)。第一発見者は会社の同僚、久保早苗(佐藤めぐみ)。風祭は死体に目立った外傷がないことから、早々と自然死で片付けようとする。だが早苗から、美紀が複数の男に貢がせていたと聞いたことなどから捜査は続行。また、美紀の部屋から帽子がひとつだけ無くなっていた。  　モニターを見ていた麗子は、映像を見るだけの1日ではつまらないと馴染みの帽子屋、藤咲幸太郎(田山涼成)を呼び寄せた。藤咲を交えてのディナーで、麗子は影山に捜査から推測される犯人を挙げるが…。  　「お嬢様は冗談をおっしゃっているのでございますか?」  　影山の毒舌が爆発する!影山:　櫻井翔　      宝生麗子:　北川景子　        並木誠一:　野間口徹　    山繁悟:　中村靖日　    宗森あずみ:　岡本杏理　    江尻由香:　田中こなつ　      風祭京一郎:　椎名桔平　        藤咲幸太郎:　田山涼成　    米山昇一:　塚地武雅　    安田孝彦:　弓削智久　    増渕信二:　我修院達也　    ほか【原作】  東川篤哉「謎解きはディナーのあとで」(小学館刊)　    【脚本】  黒岩勉【演出】  石川淳一　    【プロデュース】  永井麗子菅野祐悟  【主題歌】嵐「迷宮ラブソング」  【オープニングテーマ】倖田來未「Love　Me　Back」フジテレビ　    【制作著作】  共同テレビ</t>
  </si>
  <si>
    <t>影山(櫻井翔)が部屋に行くと、宝生麗子(北川景子)が妙な形で固まっている。ギックリ腰になってしまったのだ。麗子は休むことを風祭京一郎警部(椎名桔平)に報告する。風祭は事件が起きたとなぜか上機嫌。何やら警視庁広報課から風祭の密着取材が入っていることに浮かれている様子。  　風祭の軽いノリに、麗子は捜査への不安が募る。麗子は捜査の様子をそっと探ってくるよう影山に頼む。すると影山は、すでに手は打ってあるとテレビモニターを麗子に見せると、モニターには風祭たちが映し出される。広報課の密着取材とは、宝生家の力を使って影山が手配した撮影隊だった。  　事件は廃工場の2階を住居に改装した部屋で起きた。浴室で若い女性の死体が発見されたのだ。被害者は神岡美紀(桂亜沙美)。第一発見者は会社の同僚、久保早苗(佐藤めぐみ)。風祭は死体に目立った外傷がないことから、早々と自然死で片付けようとする。だが早苗から、美紀が複数の男に貢がせていたと聞いたことなどから捜査は続行。また、美紀の部屋から帽子がひとつだけ無くなっていた。  　モニターを見ていた麗子は、映像を見るだけの1日ではつまらないと馴染みの帽子屋、藤咲幸太郎(田山涼成)を呼び寄せた。藤咲を交えてのディナーで、麗子は影山に捜査から推測される犯人を挙げるが…。  　「お嬢様は冗談をおっしゃっているのでございますか?」  　影山の毒舌が爆発する!</t>
  </si>
  <si>
    <t>番組名謎解きはディナーのあとで　#08</t>
  </si>
  <si>
    <t>影山(櫻井翔)は宝生麗子(北川景子)をテレビ局まで送る。この日、テレビ局では麗子の先輩で歌舞伎役者、染田松五郎(福士誠治)が主演することになった刑事ドラマの制作発表パーティーが催されるのだ。  　会場には麗子の友人、森雛子(早織)、桐生院綾華(岩佐真悠子)、宮本夏希(森カンナ)、木崎麻衣(平愛梨)も来ていた。華やかなモデルの永瀬千秋(入山法子)や芸能関係者が集っている。なぜか風祭京一郎(椎名桔平)の姿も…。さらに、影山まで会場にいる。  　麗子は友人たちと一緒に、松五郎の姉でありマネジャーの瑞穂(笛木優子)に挨拶。そして松五郎の付き人、西山珠樹(浅利陽介)に声をかけられる。麗子の高校時代の同級生だった西山は雛子が松五郎をまだ好きなのかと聞く。実は、高校時代に西山から雛子への想いを聞かされた麗子は、彼女はタマちゃんが好きだと答えていたのだ。タマちゃんとは松五郎の屋号「玉乃屋」からきた松五郎の愛称。また、その頃、麗子は雛子に託されたタマちゃんへのラブレターを松五郎に渡せずにいた。  　話を終え、麗子が西山と会場に戻ろうとすると大きな衝撃音と悲鳴が聞こえる。スタジオで瑞穂がセットの下敷きになっていた。事故として片付けられそうになるが、麗子は影山に助けを求め、事件は解決する。  　だが、その夜のディナーで影山は、  「今回の事件の発端は、他でもないお嬢様にあるのですよ」  と、麗子に突きつけた。影山:　櫻井翔　      宝生麗子:　北川景子　        並木誠一:　野間口徹　    山繁悟:　中村靖日　    宗森あずみ:　岡本杏理　    江尻由香:　田中こなつ　      風祭京一郎:　椎名桔平【原作】  東川篤哉「謎解きはディナーのあとで」(小学館刊)    【脚本】  黒岩勉【演出】  土方政人　    【プロデュース】  永井麗子菅野祐悟  【主題歌】嵐「迷宮ラブソング」  【オープニングテーマ】倖田來未「Love　Me　Back」フジテレビ　    【制作著作】  共同テレビ</t>
  </si>
  <si>
    <t>影山(櫻井翔)は宝生麗子(北川景子)をテレビ局まで送る。この日、テレビ局では麗子の先輩で歌舞伎役者、染田松五郎(福士誠治)が主演することになった刑事ドラマの制作発表パーティーが催されるのだ。  　会場には麗子の友人、森雛子(早織)、桐生院綾華(岩佐真悠子)、宮本夏希(森カンナ)、木崎麻衣(平愛梨)も来ていた。華やかなモデルの永瀬千秋(入山法子)や芸能関係者が集っている。なぜか風祭京一郎(椎名桔平)の姿も…。さらに、影山まで会場にいる。  　麗子は友人たちと一緒に、松五郎の姉でありマネジャーの瑞穂(笛木優子)に挨拶。そして松五郎の付き人、西山珠樹(浅利陽介)に声をかけられる。麗子の高校時代の同級生だった西山は雛子が松五郎をまだ好きなのかと聞く。実は、高校時代に西山から雛子への想いを聞かされた麗子は、彼女はタマちゃんが好きだと答えていたのだ。タマちゃんとは松五郎の屋号「玉乃屋」からきた松五郎の愛称。また、その頃、麗子は雛子に託されたタマちゃんへのラブレターを松五郎に渡せずにいた。  　話を終え、麗子が西山と会場に戻ろうとすると大きな衝撃音と悲鳴が聞こえる。スタジオで瑞穂がセットの下敷きになっていた。事故として片付けられそうになるが、麗子は影山に助けを求め、事件は解決する。  　だが、その夜のディナーで影山は、  「今回の事件の発端は、他でもないお嬢様にあるのですよ」  と、麗子に突きつけた。</t>
  </si>
  <si>
    <t>番組名謎解きはディナーのあとで　#09</t>
  </si>
  <si>
    <t>影山(櫻井翔)が執事室にいると、宝生麗子(北川景子)が来た。昨夜の呼び出しに応えなかったことを尋ねる麗子に、急用があったと影山。その右手には包帯が巻かれていた。  　麗子は風祭京一郎警部(椎名桔平)から連絡をうける。ミステリー作家、天道静子(高橋ひとみ)宅で殺人事件が起こったのだ。殺害されたのはミステリー作家の剣持留美(上原美佐)。頭を鈍器で殴られたような形跡があり、死亡推定時刻は昨晩深夜0時頃。死体の指先にはXとダイイングメッセージらしきものが書かれている。天道家には昨日、クリスマスパーティーのためと作家たちが泊まっていた。留美、川又宗助(佐戸井けん太)、宮地沙織(三浦理恵子)、立花邦夫(橋本さとし)、国岡二郎(やべけんじ)といったミステリー界を代表する作家たちだ。静子は離れの仕事場にいた。  　招待状の差出人は静子。だが、編集者の佐藤武雄(石黒賢)によると静子は否定したと言う。その佐藤は、犯行時刻には家政婦の田口米子(青木和代)と買い出しに行っていた。犯行は早朝5時頃、血染めのトロフィーが留美の殺された部屋に投げ込まれたことで発覚。麗子と風祭が作家たちを集めて事情を聞いていると、静子の娘、里美(菊池和澄)が倒れる。    　麗子は影山に、今回の事件の鍵はダイイングメッセージにあると話す。すると影山は「チャンチャラおかしくて横っ腹が痛うございます」と、爆笑して…。影山:　櫻井翔　      宝生麗子:　北川景子　        並木誠一:　野間口徹　    山繁悟:　中村靖日　    宗森あずみ:　岡本杏理　    江尻由香:　田中こなつ　      風祭京一郎:　椎名桔平【原作】  東川篤哉「謎解きはディナーのあとで」(小学館刊)　    【脚本】  黒岩勉【演出】  石川淳一　    【プロデュース】  永井麗子菅野祐悟  【主題歌】嵐「迷宮ラブソング」  【オープニングテーマ】倖田來未「Love　Me　Back」フジテレビ　    【制作著作】  共同テレビ</t>
  </si>
  <si>
    <t>影山(櫻井翔)が執事室にいると、宝生麗子(北川景子)が来た。昨夜の呼び出しに応えなかったことを尋ねる麗子に、急用があったと影山。その右手には包帯が巻かれていた。  　麗子は風祭京一郎警部(椎名桔平)から連絡をうける。ミステリー作家、天道静子(高橋ひとみ)宅で殺人事件が起こったのだ。殺害されたのはミステリー作家の剣持留美(上原美佐)。頭を鈍器で殴られたような形跡があり、死亡推定時刻は昨晩深夜0時頃。死体の指先にはXとダイイングメッセージらしきものが書かれている。天道家には昨日、クリスマスパーティーのためと作家たちが泊まっていた。留美、川又宗助(佐戸井けん太)、宮地沙織(三浦理恵子)、立花邦夫(橋本さとし)、国岡二郎(やべけんじ)といったミステリー界を代表する作家たちだ。静子は離れの仕事場にいた。  　招待状の差出人は静子。だが、編集者の佐藤武雄(石黒賢)によると静子は否定したと言う。その佐藤は、犯行時刻には家政婦の田口米子(青木和代)と買い出しに行っていた。犯行は早朝5時頃、血染めのトロフィーが留美の殺された部屋に投げ込まれたことで発覚。麗子と風祭が作家たちを集めて事情を聞いていると、静子の娘、里美(菊池和澄)が倒れる。    　麗子は影山に、今回の事件の鍵はダイイングメッセージにあると話す。すると影山は「チャンチャラおかしくて横っ腹が痛うございます」と、爆笑して…。</t>
  </si>
  <si>
    <t>番組名謎解きはディナーのあとで　#10</t>
  </si>
  <si>
    <t>ミステリー作家たちが集まる天道静子(高橋ひとみ)の家で、ついに起きてしまった2つ目の殺人事件。現場に佇んでいたのは、血染めのナイフを手にした影山(櫻井翔)だった。発見した宝生麗子(北川景子)は、影山を問いたださずにはいられない。なぜなら、影山こそ、最初に殺害された剣持留美(上原美佐)の時から、事件の背後に見え隠れしていた男だったのだ。そして、今回の宮地沙織(三浦理恵子)殺害に関しては、殺害直後と思われるタイミングで凶器を持ち現場にいた……。問い詰める麗子に対し、ここでも影山は厳しい言葉で犯行を否定する。  　こんなシリアスな状況下においてまで暴言を吐く影山に思わず「クビ!」と「逮捕!」を連発する麗子。そこへ現れた風祭京一郎警部(椎名桔平)は、千載一遇のチャンスと影山を殺人容疑で逮捕、警察署に連行してしまう。  　連行された影山は、風祭の厳しい取り調べを受ける。「明日のクリスマスイブまでになんとしても真実を吐かせる!」と意気込む風祭の尋問にも、頑なに口をつぐむ影山は、ついに留置場に入れられてしまう。  　留置場の水でティータイムを楽しむ影山のもとに、高価なコートを着た大柄な男(高橋英樹)が近づいて来る。謎の男にいつにない敬意の表情を見せる影山。男は麗子の父、清太郎だった。そして清太郎は真剣な表情で影山に「実は…麗子には秘密がある」と、ある重大な隠し事を伝えたのだった……。影山:　櫻井翔      宝生麗子:　北川景子        並木誠一:　野間口徹    山繁悟:　中村靖日    宗森あずみ:　岡本杏理    江尻由香:　田中こなつ      風祭京一郎:　椎名桔平【原作】  東川篤哉「謎解きはディナーのあとで」(小学館刊)　    【脚本】  黒岩勉【演出】  石川淳一　    【プロデュース】  永井麗子菅野祐悟  【主題歌】嵐「迷宮ラブソング」  【オープニングテーマ】倖田來未「Love　Me　Back」フジテレビ　    【制作著作】  共同テレビ</t>
  </si>
  <si>
    <t>ミステリー作家たちが集まる天道静子(高橋ひとみ)の家で、ついに起きてしまった2つ目の殺人事件。現場に佇んでいたのは、血染めのナイフを手にした影山(櫻井翔)だった。発見した宝生麗子(北川景子)は、影山を問いたださずにはいられない。なぜなら、影山こそ、最初に殺害された剣持留美(上原美佐)の時から、事件の背後に見え隠れしていた男だったのだ。そして、今回の宮地沙織(三浦理恵子)殺害に関しては、殺害直後と思われるタイミングで凶器を持ち現場にいた……。問い詰める麗子に対し、ここでも影山は厳しい言葉で犯行を否定する。  　こんなシリアスな状況下においてまで暴言を吐く影山に思わず「クビ!」と「逮捕!」を連発する麗子。そこへ現れた風祭京一郎警部(椎名桔平)は、千載一遇のチャンスと影山を殺人容疑で逮捕、警察署に連行してしまう。  　連行された影山は、風祭の厳しい取り調べを受ける。「明日のクリスマスイブまでになんとしても真実を吐かせる!」と意気込む風祭の尋問にも、頑なに口をつぐむ影山は、ついに留置場に入れられてしまう。  　留置場の水でティータイムを楽しむ影山のもとに、高価なコートを着た大柄な男(高橋英樹)が近づいて来る。謎の男にいつにない敬意の表情を見せる影山。男は麗子の父、清太郎だった。そして清太郎は真剣な表情で影山に「実は…麗子には秘密がある」と、ある重大な隠し事を伝えたのだった……。</t>
  </si>
  <si>
    <t>1110_CX_火22</t>
  </si>
  <si>
    <t>HUNTER</t>
  </si>
  <si>
    <t>番組名HUNTER～その女たち、賞金稼ぎ～　#01</t>
  </si>
  <si>
    <t>http://www.ktv.jp/hunter/index.html　空港でスリ事件が発生。CAの井坂黎(米倉涼子)は、後輩の本村純(桐谷美玲)とともに、見事スリを確保するが、被害者が全国指名手配犯だったため、捜査特別報奨金として100万円を手に入れる。    　そんな時、黎の妹・井坂茜(山口紗弥加)が、姉を保証人にして500万円を借りたまま行方をくらませた。茜が営んでいた小料理屋“春夏冬"(あきない)を訪ねると、小学5年生の娘・春(川島鈴遥)は、母親が失踪したにもかかわらず動揺した様子も見せない。相談のため警察を訪れるが、生活安全課の刑事・権藤猛(谷原章介)はまともに取り合ってくれない。黎は上司のしつこい退職勧奨を受け入れ、退職金で茜の借金を返済し、茜の行方を探し始めた。    　隣の店で聞き込みをすると、最近茜は店の客の男と話し込んでいたという。警察署でその男の写真を見かけた黎と純は、愕然となる。その男は指名手配犯で、女性を殺して死体を遺棄した事件で追われていたのだ。2人は必死に訴えるが、権藤は聞き流すだけだった。    　“春夏冬"に戻り、黎は指名手配犯を捕まえるため、捜査報奨金を稼ぐバウンティハンター(賞金稼ぎ)をやろうと言い出す。刺激が大好きな純はもちろん、“春夏冬"を手伝っている和久井和美(堀内敬子)も報奨金が100万円と聞き、乗り気になる。そこに、DV夫から失踪中の鈴木真知子(戸田恵子)も加わり、女たちのバウンティハンターチームが誕生する。米倉涼子　  谷原章介　  桐谷美玲　  堀内敬子　  小泉孝太郎　  川島鈴遥(子役)　  原幹恵　  齋藤めぐみ　  佐伯大地  　・　  山口紗弥加  　・　  戸田恵子　  柄本明【脚本】  伴一彦【プロデュース】  河西秀幸　  後藤勝利　  川西琢    【演出】  村上正典　  佐藤源太　  白木啓一郎山田豊　  橘麻美    【主題歌】  倉木麻衣「Strong　Heart」</t>
  </si>
  <si>
    <t xml:space="preserve">　空港でスリ事件が発生。CAの井坂黎(米倉涼子)は、後輩の本村純(桐谷美玲)とともに、見事スリを確保するが、被害者が全国指名手配犯だったため、捜査特別報奨金として100万円を手に入れる。    　そんな時、黎の妹・井坂茜(山口紗弥加)が、姉を保証人にして500万円を借りたまま行方をくらませた。茜が営んでいた小料理屋“春夏冬"(あきない)を訪ねると、小学5年生の娘・春(川島鈴遥)は、母親が失踪したにもかかわらず動揺した様子も見せない。相談のため警察を訪れるが、生活安全課の刑事・権藤猛(谷原章介)はまともに取り合ってくれない。黎は上司のしつこい退職勧奨を受け入れ、退職金で茜の借金を返済し、茜の行方を探し始めた。    　隣の店で聞き込みをすると、最近茜は店の客の男と話し込んでいたという。警察署でその男の写真を見かけた黎と純は、愕然となる。その男は指名手配犯で、女性を殺して死体を遺棄した事件で追われていたのだ。2人は必死に訴えるが、権藤は聞き流すだけだった。    　“春夏冬"に戻り、黎は指名手配犯を捕まえるため、捜査報奨金を稼ぐバウンティハンター(賞金稼ぎ)をやろうと言い出す。刺激が大好きな純はもちろん、“春夏冬"を手伝っている和久井和美(堀内敬子)も報奨金が100万円と聞き、乗り気になる。そこに、DV夫から失踪中の鈴木真知子(戸田恵子)も加わり、女たちのバウンティハンターチームが誕生する。</t>
  </si>
  <si>
    <t>番組名HUNTER～その女たち、賞金稼ぎ～　#02</t>
  </si>
  <si>
    <t>www.ktv.jp/hunter　バウンティハンター(賞金稼ぎ)として次のターゲットを絞り込む黎(米倉涼子)、純(桐谷美玲)、和美(堀内敬子)、真知子(戸田恵子)。話し合いの結果、4年前に金融会社社長・西郷雅康(上野太)を殺害して逃走中で、報奨金100万円がかけられた杉田雄三(岡田達也)という37歳の男に定め、捜査を始める。“春夏冬"にやって来た権藤(谷原章介)に捜査の情報が欲しいと頼む黎だが、煙に巻かれてしまう。　黎は犯行現場で毎月、西郷の月命日に供えられている花束を見つける。とっさに杉田を思い浮かべる黎だが、花屋に来る男性は、巨漢の杉田とは体型が全く違うらしい。杉田は、母・静枝(岩本多代)が住んでいる家を借金のカタに取られそうになり、西郷を殺害したという。    　静枝の家の前にはマスコミがたむろしていた。彼らから静枝を守ろうとする黎。だが静枝はマスコミに対し毅然と「息子が捕まって死刑になるのを見届けるまでは、私は死にません」と言い切る。    　一方、黎と春(川島鈴遥)の関係は、一緒に暮らし始めてからも微妙だった。さらに、春は失踪中の茜(山口紗弥加)と黎には内緒でこっそり会っていた。料理が苦手な黎は、春のために和美から目玉焼きの講習を受ける。そんな時、真知子から電話が入った。なんと真知子が働くホームセンターで、春が万引きで捕まったというのだ!米倉涼子　  谷原章介　  桐谷美玲　  堀内敬子　  小泉孝太郎　  川島鈴遥(子役)　  原幹恵　  齋籐めぐみ　  佐伯大地  　・　  山口紗弥加  　・　    戸田恵子　  柄本明【脚本】  伴一彦【プロデュース】  河西秀幸　  後藤勝利　  川西琢　    【演出】  村上正典　  佐藤源太　  白木啓一郎山田豊　  橘麻美　    【主題歌】  倉木麻衣「Strong　Heart」</t>
  </si>
  <si>
    <t>バウンティハンター(賞金稼ぎ)として次のターゲットを絞り込む黎(米倉涼子)、純(桐谷美玲)、和美(堀内敬子)、真知子(戸田恵子)。話し合いの結果、4年前に金融会社社長・西郷雅康(上野太)を殺害して逃走中で、報奨金100万円がかけられた杉田雄三(岡田達也)という37歳の男に定め、捜査を始める。“春夏冬"にやって来た権藤(谷原章介)に捜査の情報が欲しいと頼む黎だが、煙に巻かれてしまう。　黎は犯行現場で毎月、西郷の月命日に供えられている花束を見つける。とっさに杉田を思い浮かべる黎だが、花屋に来る男性は、巨漢の杉田とは体型が全く違うらしい。杉田は、母・静枝(岩本多代)が住んでいる家を借金のカタに取られそうになり、西郷を殺害したという。    　静枝の家の前にはマスコミがたむろしていた。彼らから静枝を守ろうとする黎。だが静枝はマスコミに対し毅然と「息子が捕まって死刑になるのを見届けるまでは、私は死にません」と言い切る。    　一方、黎と春(川島鈴遥)の関係は、一緒に暮らし始めてからも微妙だった。さらに、春は失踪中の茜(山口紗弥加)と黎には内緒でこっそり会っていた。料理が苦手な黎は、春のために和美から目玉焼きの講習を受ける。そんな時、真知子から電話が入った。なんと真知子が働くホームセンターで、春が万引きで捕まったというのだ!</t>
  </si>
  <si>
    <t>番組名HUNTER～その女たち、賞金稼ぎ～　#03</t>
  </si>
  <si>
    <t>www.ktv.jp/hunter　黎(米倉涼子)たちは3人目のターゲットに、10年前のOL殺人事件を選ぶ。それは偶然、和美(堀内敬子)の誕生日に起きた事件だった。だが、なぜか機嫌が悪い和美は捜査に加わらないと宣言する。    　その晩、黎が“春夏冬"の二階に戻ると、和美と息子の一平(加藤翼)が寝入っていた。春(川島鈴遥)によれば、和美は夫婦喧嘩をして家を飛び出し、長く居座るつもりらしい。翌日、部屋の掃除をしていた和美は、一平が落書きをした指名手配書を見て硬直する…。    　真知子(戸田恵子)の調べによると被害者のOLは奔放な性格で、複数の男性と同時に付き合って恨みを買ったらしい。会話を盗み聞きしていた和美は、皆に内緒でそのOLの勤め先を訪ねる。ところが、その姿を純(桐谷美玲)が目撃し、賞金を独り占めする気だと疑ったことから、和美と純の仲は険悪になってしまう。　事情を尋ねる黎に、和美は手配書の写真が夫の真平(眞島秀和)とそっくりだと打ち明ける。真平と被害者の会社は取引があり、当時の写真には、パーティーで親しげにしている真平と被害者が写っていた。そして、真平には事件当日のアリバイも無いのだと和美は告白する。米倉涼子　  谷原章介　  桐谷美玲　  堀内敬子　  小泉孝太郎　  川島鈴遥(子役)　  原幹恵　  齋藤めぐみ　  佐伯大地　  　・　  山口紗弥加　  　・　  戸田恵子　  柄本明【脚本】  伴一彦【プロデュース】  河西秀幸　  後藤勝利　  川西琢　    【演出】  村上正典　  佐藤源太　  白木啓一郎山田豊　  橘麻美　    【主題歌】  倉木麻衣「Strong　Heart」</t>
  </si>
  <si>
    <t>黎(米倉涼子)たちは3人目のターゲットに、10年前のOL殺人事件を選ぶ。それは偶然、和美(堀内敬子)の誕生日に起きた事件だった。だが、なぜか機嫌が悪い和美は捜査に加わらないと宣言する。    　その晩、黎が“春夏冬"の二階に戻ると、和美と息子の一平(加藤翼)が寝入っていた。春(川島鈴遥)によれば、和美は夫婦喧嘩をして家を飛び出し、長く居座るつもりらしい。翌日、部屋の掃除をしていた和美は、一平が落書きをした指名手配書を見て硬直する…。    　真知子(戸田恵子)の調べによると被害者のOLは奔放な性格で、複数の男性と同時に付き合って恨みを買ったらしい。会話を盗み聞きしていた和美は、皆に内緒でそのOLの勤め先を訪ねる。ところが、その姿を純(桐谷美玲)が目撃し、賞金を独り占めする気だと疑ったことから、和美と純の仲は険悪になってしまう。　事情を尋ねる黎に、和美は手配書の写真が夫の真平(眞島秀和)とそっくりだと打ち明ける。真平と被害者の会社は取引があり、当時の写真には、パーティーで親しげにしている真平と被害者が写っていた。そして、真平には事件当日のアリバイも無いのだと和美は告白する。</t>
  </si>
  <si>
    <t>番組名HUNTER～その女たち、賞金稼ぎ～　#04</t>
  </si>
  <si>
    <t>www.ktv.jp/hunter前回報奨金をもらえなかった黎(米倉涼子)たちの今回のターゲットは、リサイクルショップが火事になり、焼け跡から吉田徹(浜田晃)という経営者が遺体で発見された事件。警察では、事件性のない火事として処理されたが、死の数か月前、吉田が銀行から引き出した全財産1千万円の行方がわからないため、放火を疑う遺族が50万円の私的懸賞金をかけていた。    　吉田は60歳で独身、結婚の経験も無い。黎が懸賞金をかけた弟の信二(須永慶)に会いに行くと、20年もの間、兄とは疎遠になっていたという。リサイクルショップ周辺で聞き込みをした純(桐谷美玲)によれば、吉田は地元でも偏屈オヤジとして有名だった。ところが和美(堀内敬子)は、そんな吉田が若い女とデートしていたという目撃情報をつかんでくる。真知子(戸田恵子)たちは女が金目当てで吉田に近づき、殺害したと睨む。    　“春夏冬"で常連客の大岩(柄本明)たちと話していた黎は、春(川島鈴遥)から茜(山口紗弥加)が置いていった金庫の存在を知らされる。それは4桁の暗証番号でロックが解除されるタイプだが、茜や春の誕生日を入力しても開かなかった。    　翌日、和美は定食屋で、吉田が婚活パーティーに参加していた情報をつかむ。デート相手の若い女とも、パーティーで知り合った可能性が高い。その女を見つけるためだと和美たちに押し切られ、黎は純とともに婚活パーティーに潜入することに…!米倉涼子　  谷原章介　  桐谷美玲　  堀内敬子　  小泉孝太郎　  川島鈴遥(子役)　  原幹恵　  齋藤めぐみ　  佐伯大地　  　・　  山口紗弥加　  　・　  戸田恵子　  柄本明【脚本】  伴一彦【プロデュース】  河西秀幸　  後藤勝利　  川西琢　    【演出】  村上正典　  佐藤源太　  白木啓一郎山田豊　  橘麻美　    【主題歌】  倉木麻衣「Strong　Heart」</t>
  </si>
  <si>
    <t>前回報奨金をもらえなかった黎(米倉涼子)たちの今回のターゲットは、リサイクルショップが火事になり、焼け跡から吉田徹(浜田晃)という経営者が遺体で発見された事件。警察では、事件性のない火事として処理されたが、死の数か月前、吉田が銀行から引き出した全財産1千万円の行方がわからないため、放火を疑う遺族が50万円の私的懸賞金をかけていた。    　吉田は60歳で独身、結婚の経験も無い。黎が懸賞金をかけた弟の信二(須永慶)に会いに行くと、20年もの間、兄とは疎遠になっていたという。リサイクルショップ周辺で聞き込みをした純(桐谷美玲)によれば、吉田は地元でも偏屈オヤジとして有名だった。ところが和美(堀内敬子)は、そんな吉田が若い女とデートしていたという目撃情報をつかんでくる。真知子(戸田恵子)たちは女が金目当てで吉田に近づき、殺害したと睨む。    　“春夏冬"で常連客の大岩(柄本明)たちと話していた黎は、春(川島鈴遥)から茜(山口紗弥加)が置いていった金庫の存在を知らされる。それは4桁の暗証番号でロックが解除されるタイプだが、茜や春の誕生日を入力しても開かなかった。    　翌日、和美は定食屋で、吉田が婚活パーティーに参加していた情報をつかむ。デート相手の若い女とも、パーティーで知り合った可能性が高い。その女を見つけるためだと和美たちに押し切られ、黎は純とともに婚活パーティーに潜入することに…!</t>
  </si>
  <si>
    <t>番組名HUNTER～その女たち、賞金稼ぎ～　#05</t>
  </si>
  <si>
    <t>「ワールドカップバレーボール2011　女子　日本×アルジェリア」延長の際、放送時間繰り下げの場合あり。    www.ktv.jp/hunter“春夏冬"でセンセイと呼ばれている常連客の大岩(柄本明)が突然吐血した。病院に付き添った黎(米倉涼子)が、入院手続きのために大岩の鞄を見ると、20年前に瀬谷利夫(諌山幸治)という若い警察官が殺害された事件の手配書と、捜査メモが出てきた。大岩は元刑事だったのだ。    　大岩はこの事件の捜査で死を看取ることができなかった妻のためにも、犯人を見つけ出したいと、時効が過ぎた今でも捜査を続けていた。自身も余命が少ないと感じ、生きているうちに事件を解決したいという大岩に、黎は自分たちがバウンティハンターをしていることを明かし、協力を申し出る。    　和美(堀内敬子)たちは懸賞金が無いからと難色を示すが、黎は犯人が拳銃を持ち去っており、子供たちにも危険が及ぶかもしれないと説き伏せて、捜査に参加させる。だが純(桐谷美玲)たちが聞き込みをしても、新たな手がかりは見つからず、瀬谷の母親に会った黎は、「過去をほじくり返さないで」と言われてしまう。    　何も収穫が無いまま、大岩の病室を見舞う黎と純に、「多くの人の人生を変えた人間の顔を、この目で見たいだけ」と語る大岩。その言葉に執念を感じた黎と純は、真相解明への思いを新たにする。米倉涼子　  谷原章介　  桐谷美玲　  堀内敬子　  小泉孝太郎　  川島鈴遥(子役)　  原幹恵　  齋藤めぐみ　  佐伯大地  　・　  山口紗弥加  　・　  戸田恵子　  柄本明【脚本】  伴一彦【プロデュース】  河西秀幸　  後藤勝利　  川西琢　    【演出】  村上正典　  佐藤源太　  白木啓一郎山田豊　  橘麻美　    【主題歌】  倉木麻衣「Strong　Heart」</t>
  </si>
  <si>
    <t>“春夏冬"でセンセイと呼ばれている常連客の大岩(柄本明)が突然吐血した。病院に付き添った黎(米倉涼子)が、入院手続きのために大岩の鞄を見ると、20年前に瀬谷利夫(諌山幸治)という若い警察官が殺害された事件の手配書と、捜査メモが出てきた。大岩は元刑事だったのだ。    　大岩はこの事件の捜査で死を看取ることができなかった妻のためにも、犯人を見つけ出したいと、時効が過ぎた今でも捜査を続けていた。自身も余命が少ないと感じ、生きているうちに事件を解決したいという大岩に、黎は自分たちがバウンティハンターをしていることを明かし、協力を申し出る。    　和美(堀内敬子)たちは懸賞金が無いからと難色を示すが、黎は犯人が拳銃を持ち去っており、子供たちにも危険が及ぶかもしれないと説き伏せて、捜査に参加させる。だが純(桐谷美玲)たちが聞き込みをしても、新たな手がかりは見つからず、瀬谷の母親に会った黎は、「過去をほじくり返さないで」と言われてしまう。    　何も収穫が無いまま、大岩の病室を見舞う黎と純に、「多くの人の人生を変えた人間の顔を、この目で見たいだけ」と語る大岩。その言葉に執念を感じた黎と純は、真相解明への思いを新たにする。</t>
  </si>
  <si>
    <t>番組名HUNTER～その女たち、賞金稼ぎ～　#06</t>
  </si>
  <si>
    <t>「野球道～日本シリーズ　第3戦　中日×福岡ソフトバンク」延長の際、放送時間繰り下げの場合あり。    www.ktv.jp/hunter　黎(米倉涼子)たちは女性殺害の容疑で指名手配されていた持田修司(徳山秀典)という男を、連携プレーで捕まえる。しかし持田は、被害者の井上千恵(近野衣里)が殺された時、六本木のシャコンヌというバーで女と一緒にいたと主張。「さゆり」という女を探してほしいと言い残して連行されていく。和美(堀内敬子)や真知子(戸田恵子)は取り合わないが、純(桐谷美玲)は持田の主張が気になる様子。　単独で警察に出向いた純は、持田に面会したいと頼むが、受け入れられない。だがそこで偶然、持田の兄(柏原収史)と知り合う。兄は持田が犯人だと認めていたが、冤罪かもしれないという純の説に興味を示す。    　事件を洗い直した純は黎に、おかしな点を指摘する。千恵が殺されているのを、持田がマンションの管理人に知らせたのは死亡推定時刻の4時間後で、もし持田が犯人なら、殺して4時間も経ってから、わざわざ自分で通報したことになってしまうのだ。    　シャコンヌという店は、ひとみ(原幹恵)が偶然知っていた。場所を教えられて黎と純が訪ねていくと、そこはおネエキャラのマスターが営業しているいかがわしげなバーだった。マスターによれば、確かに「さゆり」という女は存在するという。さゆりは札幌に出張中だと判明し、ちょうど千歳にフライトが入っていた純が、一人でさゆりに接触を試みる。米倉涼子　  谷原章介　  桐谷美玲　  堀内敬子　  小泉孝太郎　  川島鈴遥(子役)　  原幹恵　  齋藤めぐみ　  佐伯大地  　・　  山口紗弥加  　・　    戸田恵子　  柄本明　    【ゲスト】  柏原収史　  大塚千弘　  徳山秀典　  クリス松村【脚本】  伴一彦【プロデュース】  河西秀幸　  後藤勝利　  川西琢　    【演出】  村上正典　  佐藤源太　  白木啓一郎山田豊　  橘麻美　    【主題歌】  倉木麻衣「Strong　Heart」</t>
  </si>
  <si>
    <t>黎(米倉涼子)たちは女性殺害の容疑で指名手配されていた持田修司(徳山秀典)という男を、連携プレーで捕まえる。しかし持田は、被害者の井上千恵(近野衣里)が殺された時、六本木のシャコンヌというバーで女と一緒にいたと主張。「さゆり」という女を探してほしいと言い残して連行されていく。和美(堀内敬子)や真知子(戸田恵子)は取り合わないが、純(桐谷美玲)は持田の主張が気になる様子。　単独で警察に出向いた純は、持田に面会したいと頼むが、受け入れられない。だがそこで偶然、持田の兄(柏原収史)と知り合う。兄は持田が犯人だと認めていたが、冤罪かもしれないという純の説に興味を示す。    　事件を洗い直した純は黎に、おかしな点を指摘する。千恵が殺されているのを、持田がマンションの管理人に知らせたのは死亡推定時刻の4時間後で、もし持田が犯人なら、殺して4時間も経ってから、わざわざ自分で通報したことになってしまうのだ。    　シャコンヌという店は、ひとみ(原幹恵)が偶然知っていた。場所を教えられて黎と純が訪ねていくと、そこはおネエキャラのマスターが営業しているいかがわしげなバーだった。マスターによれば、確かに「さゆり」という女は存在するという。さゆりは札幌に出張中だと判明し、ちょうど千歳にフライトが入っていた純が、一人でさゆりに接触を試みる。</t>
  </si>
  <si>
    <t>番組名HUNTER～その女たち、賞金稼ぎ～　#07</t>
  </si>
  <si>
    <t>「ワールドカップバレー2011男子　日本×キューバ」延長の際、放送時間繰り下げの場合あり。    www.ktv.jp/hunter　黎(米倉涼子)はいつも喧嘩ばかりしている権藤(谷原章介)から、一流ホテルのディナーに誘われる。めかしこんで出かけた黎だが、やがて話はおかしな雲行きに…。    　黎たちが新しくターゲットに選んだのは、3年前に起きたコンビニ強盗殺人事件の犯人だった。犯人の井上恒雄(小須田康人)はアルバイトの女子高生・中村貴子(戸井智恵美)をナイフで刺殺し逃走中。警察からの懸賞金100万円の他に、被害者遺族からの私的懸賞金200万円もプラスされていた。    　黎と純(桐谷美玲)が会いに行くと、貴子の父・信夫(吹越満)は事件当日、娘をバイトに行かせたことを深く悔いていた。一方、和美(堀内敬子)と真知子(戸田恵子)が調べると、ネットには犯人である井上の妻や娘の笑美(竹富聖花)に対しても心無い書き込みが溢れていた。笑美は自分の意思に反して転校させられ、今は行方がわからない。    　フライトに出た純は、機内で中村夫妻と再会する。犯人の目撃情報が故郷の福岡であったと連絡を受け、現地へ向かうところだった。同じ頃、黎は街で権藤を見かける。親しげに権藤に腕を絡ませる女子高生を見た黎は驚愕する。それはなんと、行方がわからなくなっていた犯人の娘、井上笑美だったのだ!黎は権藤に井上の情報が欲しいと頼むが、権藤は「彼女には近づくな。この事件には関わるな!」と厳しい表情で言い捨てるのだった…。米倉涼子　  谷原章介　  桐谷美玲　  堀内敬子　  小泉孝太郎　  川島鈴遥(子役)　  原幹恵　  齋藤めぐみ　  佐伯大地  　・　  山口紗弥加  　・　    戸田恵子　  柄本明【脚本】  伴一彦【プロデュース】  河西秀幸　  後藤勝利　  川西琢　    【演出】  村上正典　  佐藤源太　  白木啓一郎山田豊　  橘麻美　    【主題歌】  倉木麻衣「Strong　Heart」</t>
  </si>
  <si>
    <t>黎(米倉涼子)はいつも喧嘩ばかりしている権藤(谷原章介)から、一流ホテルのディナーに誘われる。めかしこんで出かけた黎だが、やがて話はおかしな雲行きに…。    　黎たちが新しくターゲットに選んだのは、3年前に起きたコンビニ強盗殺人事件の犯人だった。犯人の井上恒雄(小須田康人)はアルバイトの女子高生・中村貴子(戸井智恵美)をナイフで刺殺し逃走中。警察からの懸賞金100万円の他に、被害者遺族からの私的懸賞金200万円もプラスされていた。    　黎と純(桐谷美玲)が会いに行くと、貴子の父・信夫(吹越満)は事件当日、娘をバイトに行かせたことを深く悔いていた。一方、和美(堀内敬子)と真知子(戸田恵子)が調べると、ネットには犯人である井上の妻や娘の笑美(竹富聖花)に対しても心無い書き込みが溢れていた。笑美は自分の意思に反して転校させられ、今は行方がわからない。    　フライトに出た純は、機内で中村夫妻と再会する。犯人の目撃情報が故郷の福岡であったと連絡を受け、現地へ向かうところだった。同じ頃、黎は街で権藤を見かける。親しげに権藤に腕を絡ませる女子高生を見た黎は驚愕する。それはなんと、行方がわからなくなっていた犯人の娘、井上笑美だったのだ!黎は権藤に井上の情報が欲しいと頼むが、権藤は「彼女には近づくな。この事件には関わるな!」と厳しい表情で言い捨てるのだった…。</t>
  </si>
  <si>
    <t>番組名HUNTER～その女たち、賞金稼ぎ～　#08</t>
  </si>
  <si>
    <t>「ワールドカップバレー2011男子　日本×アメリカ」延長の際、放送時間繰り下げの場合あり。    www.ktv.jp/hunter黎(米倉涼子)はバウンティハンターを続けると宣言したものの、チームが解散するのではないかとため息をついていた。真知子(戸田恵子)はここしばらく姿すら見せず、20万円を貸していた和美(堀内敬子)は失踪したのではないかと心配する。    　そんな時、真知子から黎に電話がかかってくる。真知子は古びたビジネスホテルに潜伏し、1週間も寝込んでいた。胸騒ぎがするという真知子を無理やり病院に連れて行くと過労と診断され、そのまま入院してしまう。    　春(川島鈴遥)は学校からの帰り道、中年の男から“春夏冬"の場所を聞かれる。その男・岸本(相島一之)はなんと真知子の夫で、金沢で100年も続く老舗和菓子屋の四代目だった。黎は暴力を振るっていたのではないかと単刀直入に聞くが、岸本は紳士的に、二人は自他共に認める仲のいい夫婦だったと答える。　岸本によると、問題があったのはむしろ真知子で、通販で浪費したり、スタッフを理不尽に怒鳴りつけたりしていたといい、その証拠写真も差し出す。挙句の果てには「あなたの子供は産みたくない」と拒否したともいう。半信半疑の黎だったが、病院に岸本を連れて行くと、真知子は危機を察知して退院した後で、病室はもぬけの殻だった。米倉涼子　  谷原章介　  桐谷美玲　  堀内敬子　  小泉孝太郎　  川島鈴遥(子役)　  原幹恵　  齋藤めぐみ　  佐伯大地  　　・　　  山口紗弥加  　　・　　    戸田恵子　  柄本明【脚本】  伴一彦【プロデュース】  河西秀幸　  後藤勝利　  川西琢　    【演出】  村上正典　  佐藤源太　  白木啓一郎山田豊　  橘麻美  【主題歌】  倉木麻衣　「Strong　Heart」(NORTHERN　MUSIC)</t>
  </si>
  <si>
    <t>黎(米倉涼子)はバウンティハンターを続けると宣言したものの、チームが解散するのではないかとため息をついていた。真知子(戸田恵子)はここしばらく姿すら見せず、20万円を貸していた和美(堀内敬子)は失踪したのではないかと心配する。    　そんな時、真知子から黎に電話がかかってくる。真知子は古びたビジネスホテルに潜伏し、1週間も寝込んでいた。胸騒ぎがするという真知子を無理やり病院に連れて行くと過労と診断され、そのまま入院してしまう。    　春(川島鈴遥)は学校からの帰り道、中年の男から“春夏冬"の場所を聞かれる。その男・岸本(相島一之)はなんと真知子の夫で、金沢で100年も続く老舗和菓子屋の四代目だった。黎は暴力を振るっていたのではないかと単刀直入に聞くが、岸本は紳士的に、二人は自他共に認める仲のいい夫婦だったと答える。　岸本によると、問題があったのはむしろ真知子で、通販で浪費したり、スタッフを理不尽に怒鳴りつけたりしていたといい、その証拠写真も差し出す。挙句の果てには「あなたの子供は産みたくない」と拒否したともいう。半信半疑の黎だったが、病院に岸本を連れて行くと、真知子は危機を察知して退院した後で、病室はもぬけの殻だった。</t>
  </si>
  <si>
    <t>番組名HUNTER～その女たち、賞金稼ぎ～　#09</t>
  </si>
  <si>
    <t>www.ktv.jp/hunter　“春夏冬"ではクリスマスの準備が始まり、真知子(戸田恵子)も離婚の手続きから無事戻ってきた。だが、次のターゲットを探そうと警視庁のホームページをのぞいた黎(米倉涼子)たちは、殺人容疑の指名手配犯として、失踪中の黎の妹・茜(山口紗弥加)の顔写真がアップされているのを見つけ、がく然となる。    　茜が疑われているのは竹田聡一(大根田良樹)という経営コンサルタントが殺された事件だった。寺島(小泉孝太郎)によれば、竹田は“春夏冬"の常連で、遺体の手には茜の指紋付きのイヤリングも握られていたという。    　しかし和美(堀内敬子)は、竹田という男を“春夏冬"で見たことがなく、常連客ではないと主張。黎も茜が人を殺したなど信じられない。そこへ春(川島鈴遥)が、学校でいじめられて帰って来る。貯金箱を差し出し、「私的懸賞金をかけるから、ママを捕まえて」と言う春に、黎たちは茜を見つけ出すことを決意し、今回のターゲットとする。  　そんな時、茜から春に電話がかかってきた。「罪を着せるためにイヤリングを遺留品にされ、警察は信用できない。これまで真犯人を探していたが、もう疲れたので助けてほしい」と訴える茜。黎は近くの公衆電話に走っていくが、警官が“春夏冬"の周辺をマークしており、茜はまた逃げ出した後だった。途方に暮れる黎だが、純(桐谷美玲)たちと話しているうちに、茜と接触するある秘策を思いつく。米倉涼子　  谷原章介　  桐谷美玲　  堀内敬子　  小泉孝太郎　  川島鈴遥(子役)　  原幹恵　  齋藤めぐみ　  佐伯大地　  　　・  山口紗弥加　  　　・    戸田恵子　  柄本明【脚本】  伴一彦【プロデュース】  河西秀幸　  後藤勝利　  川西琢　    【演出】  村上正典　  佐藤源太　  白木啓一郎山田豊　  橘麻美    【主題歌】  倉木麻衣「Strong　Heart」(NORTHERN　MUSIC)</t>
  </si>
  <si>
    <t>“春夏冬"ではクリスマスの準備が始まり、真知子(戸田恵子)も離婚の手続きから無事戻ってきた。だが、次のターゲットを探そうと警視庁のホームページをのぞいた黎(米倉涼子)たちは、殺人容疑の指名手配犯として、失踪中の黎の妹・茜(山口紗弥加)の顔写真がアップされているのを見つけ、がく然となる。    　茜が疑われているのは竹田聡一(大根田良樹)という経営コンサルタントが殺された事件だった。寺島(小泉孝太郎)によれば、竹田は“春夏冬"の常連で、遺体の手には茜の指紋付きのイヤリングも握られていたという。    　しかし和美(堀内敬子)は、竹田という男を“春夏冬"で見たことがなく、常連客ではないと主張。黎も茜が人を殺したなど信じられない。そこへ春(川島鈴遥)が、学校でいじめられて帰って来る。貯金箱を差し出し、「私的懸賞金をかけるから、ママを捕まえて」と言う春に、黎たちは茜を見つけ出すことを決意し、今回のターゲットとする。  　そんな時、茜から春に電話がかかってきた。「罪を着せるためにイヤリングを遺留品にされ、警察は信用できない。これまで真犯人を探していたが、もう疲れたので助けてほしい」と訴える茜。黎は近くの公衆電話に走っていくが、警官が“春夏冬"の周辺をマークしており、茜はまた逃げ出した後だった。途方に暮れる黎だが、純(桐谷美玲)たちと話しているうちに、茜と接触するある秘策を思いつく。</t>
  </si>
  <si>
    <t>番組名HUNTER～その女たち、賞金稼ぎ～　#10</t>
  </si>
  <si>
    <t>www.ktv.jp/hunter　いなくなった春(川島鈴遥)を探して町を駆け回った黎(米倉涼子)は、小学校の倉庫に監禁されていた春を救出。身の安全を守るため、茜(山口紗弥加)と春は大岩(柄本明)と共に、ひとみ(原幹恵)の知り合いの別荘に避難することにする。    　いつの間にかインターネット上には、和美(堀内敬子)が警官と押し問答をしている動画や、“春夏冬"の悪口が多数アップされていた。黎は店にやってきた権藤(谷原章介)に、警察がやらせているのではないかと問い詰めるが、権藤は否定しない。自分は黎たちの味方だから茜に会いたいと言う権藤を信じられず、黎は店から追い出す。    　その晩、“春夏冬"の常連客を装っていた伊藤(神尾佑)から、茜の居場所がわかったと刑事部長の佐貫(中原丈雄)に電話が入った。佐貫から現場に応援に行くように指示を受けたのは、そばにいた権藤だった。    　別荘に伊藤と権藤が現れ、茜を引き渡すよう告げる。権藤も敵側の人間だったのかと、驚愕する大岩。伊藤と大岩が揉み合いになる中、一発の銃声が響き、大岩は腹部から血を流して倒れた。権藤の行動を不審に思い、後を追っていた寺島(小泉孝太郎)も到着するが、伊藤は強引に茜を車に乗せ、権藤も車を発進させてしまう。そして山道の途中で車を停めると、権藤と伊藤は茜を連れて人気の無い遊歩道へと入っていった。  彼女達が貫く正義で、茜の無実を証明し、真犯人を追い込むことができるのか!?米倉涼子　  谷原章介　  桐谷美玲　  堀内敬子　  小泉孝太郎　  川島鈴遥(子役)　  原幹恵　  齋藤めぐみ　  佐伯大地  　　・  山口紗弥加  　　・    戸田恵子　  柄本明【脚本】  伴一彦【プロデュース】  河西秀幸　  後藤勝利　  川西琢    【演出】  村上正典　  佐藤源太　  白木啓一郎山田豊　  橘麻美    【主題歌】  倉木麻衣「Strong　Heart」(NORTHERN　MUSIC)</t>
  </si>
  <si>
    <t>いなくなった春(川島鈴遥)を探して町を駆け回った黎(米倉涼子)は、小学校の倉庫に監禁されていた春を救出。身の安全を守るため、茜(山口紗弥加)と春は大岩(柄本明)と共に、ひとみ(原幹恵)の知り合いの別荘に避難することにする。    　いつの間にかインターネット上には、和美(堀内敬子)が警官と押し問答をしている動画や、“春夏冬"の悪口が多数アップされていた。黎は店にやってきた権藤(谷原章介)に、警察がやらせているのではないかと問い詰めるが、権藤は否定しない。自分は黎たちの味方だから茜に会いたいと言う権藤を信じられず、黎は店から追い出す。    　その晩、“春夏冬"の常連客を装っていた伊藤(神尾佑)から、茜の居場所がわかったと刑事部長の佐貫(中原丈雄)に電話が入った。佐貫から現場に応援に行くように指示を受けたのは、そばにいた権藤だった。    　別荘に伊藤と権藤が現れ、茜を引き渡すよう告げる。権藤も敵側の人間だったのかと、驚愕する大岩。伊藤と大岩が揉み合いになる中、一発の銃声が響き、大岩は腹部から血を流して倒れた。権藤の行動を不審に思い、後を追っていた寺島(小泉孝太郎)も到着するが、伊藤は強引に茜を車に乗せ、権藤も車を発進させてしまう。そして山道の途中で車を停めると、権藤と伊藤は茜を連れて人気の無い遊歩道へと入っていった。  彼女達が貫く正義で、茜の無実を証明し、真犯人を追い込むことができるのか!?</t>
  </si>
  <si>
    <t>1110_CX_木22</t>
  </si>
  <si>
    <t>蜜の味</t>
  </si>
  <si>
    <t>番組名&lt;木曜劇場&gt;蜜の味～A　Taste　Of　Honey～　#01</t>
  </si>
  <si>
    <t>瀬戸内海に面したオリーブ園のひとり娘、森本直子(榮倉奈々)。  　直子の父方の祖父には後妻がおり、父には年の離れた弟、池澤雅人(ARATA)がいた。雅人は6歳の時、子供のいない東京の親戚にもらわれて行ったが、毎年夏休みになると郷里に遊びに来ていた。小さいころは内向的で目立たない子供だった直子にとって、年に一度だけ、東京からやって来る垢抜けた雅人は、憧れの「雅兄ちゃん」だった。　やがて東京の難関医大に入学する。ある年の夏、帰省してきた雅人に会った直子は、ふとしたきっかけからそれまで「お兄ちゃん」と思っていた雅人を「男」として感じ、思いを寄せるようになる。初めて芽生えた淡い恋心により雅人と同じ医大に進学したいと思うようになった。2003年4月必死の努力が実り、雅人と同じ医大に合格。雅人も直子を祝福する。  　入学式で直子はC班に配属され、則杉康志(溝端淳平)、栗山和気(市川知宏)、中国からの留学生である頼陽華(木村文乃)、蓑屋進(近藤公園)、滝ノ原幸一(森廉)らの仲間と出会う。新たな仲間たちとの出会いだったが、直子は雅人のことが気にかかってしようがない。雅人からやっと電話があり、直子の下宿に今から向かうと連絡が入った。喜び勇んで久しぶりに迎えた雅人の横には、恋人・原田彩(菅野美穂)がいた。雅人の医大の同期である彩は、美貌と知性を兼ね備えた優秀な研究医で…。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水田成英【主題歌】  aiko『ずっと』【制作著作】  フジテレビジョン</t>
  </si>
  <si>
    <t>瀬戸内海に面したオリーブ園のひとり娘、森本直子(榮倉奈々)。  　直子の父方の祖父には後妻がおり、父には年の離れた弟、池澤雅人(ARATA)がいた。雅人は6歳の時、子供のいない東京の親戚にもらわれて行ったが、毎年夏休みになると郷里に遊びに来ていた。小さいころは内向的で目立たない子供だった直子にとって、年に一度だけ、東京からやって来る垢抜けた雅人は、憧れの「雅兄ちゃん」だった。　やがて東京の難関医大に入学する。ある年の夏、帰省してきた雅人に会った直子は、ふとしたきっかけからそれまで「お兄ちゃん」と思っていた雅人を「男」として感じ、思いを寄せるようになる。初めて芽生えた淡い恋心により雅人と同じ医大に進学したいと思うようになった。2003年4月必死の努力が実り、雅人と同じ医大に合格。雅人も直子を祝福する。  　入学式で直子はC班に配属され、則杉康志(溝端淳平)、栗山和気(市川知宏)、中国からの留学生である頼陽華(木村文乃)、蓑屋進(近藤公園)、滝ノ原幸一(森廉)らの仲間と出会う。新たな仲間たちとの出会いだったが、直子は雅人のことが気にかかってしようがない。雅人からやっと電話があり、直子の下宿に今から向かうと連絡が入った。喜び勇んで久しぶりに迎えた雅人の横には、恋人・原田彩(菅野美穂)がいた。雅人の医大の同期である彩は、美貌と知性を兼ね備えた優秀な研究医で…。</t>
  </si>
  <si>
    <t>番組名&lt;木曜劇場&gt;蜜の味～A　Taste　Of　Honey～　#02</t>
  </si>
  <si>
    <t>事故現場で立ち尽くすしかなかった森本直子(榮倉奈々)は、失意のままアパートへ戻った。一方、直子に医師らしい処置を見せつけることができた原田彩(菅野美穂)は、高揚した気分のまま池澤雅人(ARATA)とマンションに戻る。そして雅人に甘え、結婚しよう、と言った。そのあまりに唐突な提案に、雅人は戸惑う。  　翌朝、教授の霧島(佐野史郎)に呼ばれた彩は、自分の代行で直子ら新入生の講義を担当するよう言われる。それを了承した彩は、来月結婚することにしたと霧島に報告した。彩と雅人の結婚の噂はまたたく間に広がり、雅人は同期の細川裕司(山崎樹範)らから祝いの言葉をかけられた。  　その頃、彩は新入生の講義を行っていたが、直子は前日に雨に濡れたせいで風邪をひき、講義を途中退席してしまう。そんな直子を、同級生の則杉康志(溝端淳平)らは心配する。  　そんな中、雅人は彩を呼び出し、結婚に関してひとりで決めないでくれ、と不満をあらわにする。しかし彩は、雅人は自分と結婚したくないのか、と言い返す。そして、直子が風邪をひいたようだと話題を替えると、様子を見に行きたいのでアパートの鍵を貸して欲しいと頼む。勢いに押された雅人は、鍵を渡してしまう。  　直子のアパートにやってきた彩は部屋に上がると、病状を聞き診察を始める。そして帰り際、自分と雅人は来月結婚することになったと告げた。衝撃的な告白に、直子は茫然とし…。森本直子: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水田成英【主題歌】  aiko『ずっと』【制作著作】  フジテレビジョン</t>
  </si>
  <si>
    <t>事故現場で立ち尽くすしかなかった森本直子(榮倉奈々)は、失意のままアパートへ戻った。一方、直子に医師らしい処置を見せつけることができた原田彩(菅野美穂)は、高揚した気分のまま池澤雅人(ARATA)とマンションに戻る。そして雅人に甘え、結婚しよう、と言った。そのあまりに唐突な提案に、雅人は戸惑う。  　翌朝、教授の霧島(佐野史郎)に呼ばれた彩は、自分の代行で直子ら新入生の講義を担当するよう言われる。それを了承した彩は、来月結婚することにしたと霧島に報告した。彩と雅人の結婚の噂はまたたく間に広がり、雅人は同期の細川裕司(山崎樹範)らから祝いの言葉をかけられた。  　その頃、彩は新入生の講義を行っていたが、直子は前日に雨に濡れたせいで風邪をひき、講義を途中退席してしまう。そんな直子を、同級生の則杉康志(溝端淳平)らは心配する。  　そんな中、雅人は彩を呼び出し、結婚に関してひとりで決めないでくれ、と不満をあらわにする。しかし彩は、雅人は自分と結婚したくないのか、と言い返す。そして、直子が風邪をひいたようだと話題を替えると、様子を見に行きたいのでアパートの鍵を貸して欲しいと頼む。勢いに押された雅人は、鍵を渡してしまう。  　直子のアパートにやってきた彩は部屋に上がると、病状を聞き診察を始める。そして帰り際、自分と雅人は来月結婚することになったと告げた。衝撃的な告白に、直子は茫然とし…。</t>
  </si>
  <si>
    <t>番組名&lt;木曜劇場&gt;蜜の味～A　Taste　Of　Honey～　#03</t>
  </si>
  <si>
    <t>森本直子(榮倉奈々)は、原田彩(菅野美穂)と池澤雅人(ARATA)の結婚式に出席した後、今日からは雅人に関係なく自分のために勉強し、立派な医師になろうと心に決めた。  　一方、彩と雅人は結婚式の直後から仕事に戻っていたが、夜になり、雅人が研究室に彩を迎えにきた。しかし、仕事が終わらない彩は先に帰るよう雅人に告げる。そして、明朝からは家政婦が一切の家事をやってくれると話した。  　後日、直子は則杉康志(溝端淳平)、栗山和気(市川知宏)、頼陽華(木村文乃)らと念願のディズニーランドに向かっていた。楽しそうにはしゃぐ直子に、康志らも盛り上がる。  　そんな折、彩の論文が権威ある医学雑誌に掲載されると聞いた雅人は、彩と話がしたいと思い自宅に戻るが、彩は疲れ切って眠っていた。そして翌朝、論文の件を切り出すが忙しい彩の態度はそっけない。さらにその夜も、雅人が帰宅してもパソコンに集中している彩は反応しない。雅人はそんな彩に、自分たちは結婚する必要があったのだろうか、と怒りをぶつける。しかし彩は、雅人なら何も言わなくてもわかってくれると思っていたと驚いたように答える。  　同じ頃、アパートにいた直子は、大学で見かけた雅人の顔色が優れなかったことを思い出し、雅人は幸せではない、と考えていた。  　そして翌日、直子は偶然、雅人に再会する。楽しそうに微笑み合う2人を、遠くから彩が見ていたーー。森本直子: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水田成英【主題歌】  aiko『ずっと』【制作著作】  フジテレビジョン</t>
  </si>
  <si>
    <t>森本直子(榮倉奈々)は、原田彩(菅野美穂)と池澤雅人(ARATA)の結婚式に出席した後、今日からは雅人に関係なく自分のために勉強し、立派な医師になろうと心に決めた。  　一方、彩と雅人は結婚式の直後から仕事に戻っていたが、夜になり、雅人が研究室に彩を迎えにきた。しかし、仕事が終わらない彩は先に帰るよう雅人に告げる。そして、明朝からは家政婦が一切の家事をやってくれると話した。  　後日、直子は則杉康志(溝端淳平)、栗山和気(市川知宏)、頼陽華(木村文乃)らと念願のディズニーランドに向かっていた。楽しそうにはしゃぐ直子に、康志らも盛り上がる。  　そんな折、彩の論文が権威ある医学雑誌に掲載されると聞いた雅人は、彩と話がしたいと思い自宅に戻るが、彩は疲れ切って眠っていた。そして翌朝、論文の件を切り出すが忙しい彩の態度はそっけない。さらにその夜も、雅人が帰宅してもパソコンに集中している彩は反応しない。雅人はそんな彩に、自分たちは結婚する必要があったのだろうか、と怒りをぶつける。しかし彩は、雅人なら何も言わなくてもわかってくれると思っていたと驚いたように答える。  　同じ頃、アパートにいた直子は、大学で見かけた雅人の顔色が優れなかったことを思い出し、雅人は幸せではない、と考えていた。  　そして翌日、直子は偶然、雅人に再会する。楽しそうに微笑み合う2人を、遠くから彩が見ていたーー。</t>
  </si>
  <si>
    <t>番組名&lt;木曜劇場&gt;蜜の味～A　Taste　Of　Honey～　#04</t>
  </si>
  <si>
    <t>森本直子(榮倉奈々)は、部屋のドアの前に立つ原田彩(菅野美穂)から池澤雅人(ARATA)を惑わすようなことはするな、と警告される。硬直した直子は、彩が去ったあとも動くことが出来ない。するとそこへ、直子を心配した雅人がやってくる。直子から事情を聞いた雅人は、直子をやさしく気遣った。その頃、アパートの外にいた彩は、直子よりすべてが優れている自分がなぜこんな思いをするのか、と怒りに震えていた。　翌朝、研究室にいた彩を雅人が訪ねてきた。雅人は彩に、自分たちのことでなぜ直子を責めるのかと言い、直子から聞いたことを話した。すると彩は驚いたような顔で自分は直子の部屋に行った覚えはない、直子の妄想ではないか、と返した。  　一方、直子も昨夜のことを頼陽華(木村文乃)に話していた。陽華は、今後雅人と彩には会わないほうがいいと言い、2人と距離を置くためにも自分と住む場所を交換しようと提案、直子はそれを承諾させられる。そんな折、雅人から電話がかかってくるが、陽華に見張られた直子は電話を取ることができない。さらに、心配した雅人がアパートを訪ねてくると、陽華は直子は旅に出たとウソをつく。  　自宅に戻った雅人は、彩に自分たちはもう難しいのでは、と告げた。それを否定した彩は、うまくいかない原因は直子にあると主張する。  　翌朝、直子に雅人から電話がかかってくる。直子は我慢できず、電話に出てしまい…。森本直子: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宮木正悟【主題歌】  aiko『ずっと』【制作著作】  フジテレビジョン</t>
  </si>
  <si>
    <t>森本直子(榮倉奈々)は、部屋のドアの前に立つ原田彩(菅野美穂)から池澤雅人(ARATA)を惑わすようなことはするな、と警告される。硬直した直子は、彩が去ったあとも動くことが出来ない。するとそこへ、直子を心配した雅人がやってくる。直子から事情を聞いた雅人は、直子をやさしく気遣った。その頃、アパートの外にいた彩は、直子よりすべてが優れている自分がなぜこんな思いをするのか、と怒りに震えていた。　翌朝、研究室にいた彩を雅人が訪ねてきた。雅人は彩に、自分たちのことでなぜ直子を責めるのかと言い、直子から聞いたことを話した。すると彩は驚いたような顔で自分は直子の部屋に行った覚えはない、直子の妄想ではないか、と返した。  　一方、直子も昨夜のことを頼陽華(木村文乃)に話していた。陽華は、今後雅人と彩には会わないほうがいいと言い、2人と距離を置くためにも自分と住む場所を交換しようと提案、直子はそれを承諾させられる。そんな折、雅人から電話がかかってくるが、陽華に見張られた直子は電話を取ることができない。さらに、心配した雅人がアパートを訪ねてくると、陽華は直子は旅に出たとウソをつく。  　自宅に戻った雅人は、彩に自分たちはもう難しいのでは、と告げた。それを否定した彩は、うまくいかない原因は直子にあると主張する。  　翌朝、直子に雅人から電話がかかってくる。直子は我慢できず、電話に出てしまい…。</t>
  </si>
  <si>
    <t>番組名&lt;木曜劇場&gt;蜜の味～A　Taste　Of　Honey～　#05</t>
  </si>
  <si>
    <t>森本直子(榮倉奈々)は、則杉康志(溝端淳平)、頼陽華(木村文乃)、栗山和気(市川知宏)、蓑屋進(近藤公園)、滝ノ原幸一(森廉)ら同級生と居酒屋で飲んでいた。そんな時、池澤雅人(ARATA)から、「明日、会えないか」というメールが届く。  　その頃、原田彩(菅野美穂)と自宅にいた雅人は、教授・滝ノ原(升毅)の勧めでアメリカの大学に留学することを決めたので、その前に離婚して欲しいと切り出した。しかし彩は、しばらく距離を置けばお互い冷静になれるから、と言って取り合わない。それどころか、自分が望んだことで叶わなかったことは一度もない、雅人は必ずもう一度自分を求めるだろう、と自信を見せた。  　翌日の夜、直子の部屋に雅人がやってきた。直子は雅人のために用意していた夕飯を出し、雅人はそれをおいしいと言って食べた。夕食後、ふたりで片づけをしていた時、雅人がアメリカ留学のことを打ち明けた。留学期間は最低でも4年になると告げられたが、直子はそれを冷静に聞いた。そして、雅人がいなくなったら恋や勉強に精を出し料理の腕も上達させようと、はしゃぐように話した。雅人はそれを笑顔で聞いていたが、直子の本心を痛いほどわかっていた。  　その後、部屋を後にする雅人を直子は笑顔で見送ったが、ひとりになった瞬間、泣き崩れてしまう。一方、自転車を走らせていた雅人は、何かを感じたように停止する。そして…。森本直子: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西坂瑞樹【主題歌】  aiko『ずっと』【制作著作】  フジテレビジョン</t>
  </si>
  <si>
    <t>森本直子(榮倉奈々)は、則杉康志(溝端淳平)、頼陽華(木村文乃)、栗山和気(市川知宏)、蓑屋進(近藤公園)、滝ノ原幸一(森廉)ら同級生と居酒屋で飲んでいた。そんな時、池澤雅人(ARATA)から、「明日、会えないか」というメールが届く。  　その頃、原田彩(菅野美穂)と自宅にいた雅人は、教授・滝ノ原(升毅)の勧めでアメリカの大学に留学することを決めたので、その前に離婚して欲しいと切り出した。しかし彩は、しばらく距離を置けばお互い冷静になれるから、と言って取り合わない。それどころか、自分が望んだことで叶わなかったことは一度もない、雅人は必ずもう一度自分を求めるだろう、と自信を見せた。  　翌日の夜、直子の部屋に雅人がやってきた。直子は雅人のために用意していた夕飯を出し、雅人はそれをおいしいと言って食べた。夕食後、ふたりで片づけをしていた時、雅人がアメリカ留学のことを打ち明けた。留学期間は最低でも4年になると告げられたが、直子はそれを冷静に聞いた。そして、雅人がいなくなったら恋や勉強に精を出し料理の腕も上達させようと、はしゃぐように話した。雅人はそれを笑顔で聞いていたが、直子の本心を痛いほどわかっていた。  　その後、部屋を後にする雅人を直子は笑顔で見送ったが、ひとりになった瞬間、泣き崩れてしまう。一方、自転車を走らせていた雅人は、何かを感じたように停止する。そして…。</t>
  </si>
  <si>
    <t>番組名&lt;木曜劇場&gt;蜜の味～A　Taste　Of　Honey～　#06</t>
  </si>
  <si>
    <t>「ワールドカップバレー2011女子　日本×ドイツ」延長の際、放送時間繰り下げの場合あり。　森本直子(榮倉奈々)は、滝ノ原教授(升毅)に呼ばれ、1枚のCTの画像を見せられた。わけがわからないまま画像を見た直子は、それを胆管がんではないかと診断した。滝ノ原はそれが自分の画像だと明かし、迫っている医学部長選挙までに誰にも知られずに手術したいのだと話した。滝ノ原は、出張だとごまかせる10日以内に手術し退院したいと告げ、直子はとても無理だと思うが、滝ノ原は執刀医次第だと主張した。そして、そこへ池澤雅人(ARATA)が入ってくる。滝ノ原の要請で、アメリカから一時帰国したのだ。  　直子と雅人は8年ぶりに再会したが言葉を交わす間もなく、滝ノ原は雅人に執刀を任せ、直子には雅人の助手として手術に加わるように依頼した。  　その後、雅人はついに離婚に同意した原田彩(菅野美穂)と会う。やはり8年ぶりに再会したふたりは、付き合っていた頃のような自然な関係に見えた。バッグから離婚届を出して見せた彩は、自分が役所に出しておくと言った。  　同じ頃、自宅に戻った直子は、早速、泊まり仕事となる滝ノ原の手術のための準備を終えた。そこへ、恋人の則杉康志(溝端淳平)が帰ってきた。直子は康志に、急きょ地方の病院に10日間の予定で出張することになったとウソをつく。しかし、康志は直子の様子がどこかおかしいと感じる。その日の夜、直子の脳裏には、滝ノ原の病巣の画像とともに、8年ぶりに見た雅人の凛々しい姿がよみがえり…。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水田成英【主題歌】  aiko『ずっと』【制作著作】  フジテレビジョン</t>
  </si>
  <si>
    <t>森本直子(榮倉奈々)は、滝ノ原教授(升毅)に呼ばれ、1枚のCTの画像を見せられた。わけがわからないまま画像を見た直子は、それを胆管がんではないかと診断した。滝ノ原はそれが自分の画像だと明かし、迫っている医学部長選挙までに誰にも知られずに手術したいのだと話した。滝ノ原は、出張だとごまかせる10日以内に手術し退院したいと告げ、直子はとても無理だと思うが、滝ノ原は執刀医次第だと主張した。そして、そこへ池澤雅人(ARATA)が入ってくる。滝ノ原の要請で、アメリカから一時帰国したのだ。  　直子と雅人は8年ぶりに再会したが言葉を交わす間もなく、滝ノ原は雅人に執刀を任せ、直子には雅人の助手として手術に加わるように依頼した。  　その後、雅人はついに離婚に同意した原田彩(菅野美穂)と会う。やはり8年ぶりに再会したふたりは、付き合っていた頃のような自然な関係に見えた。バッグから離婚届を出して見せた彩は、自分が役所に出しておくと言った。  　同じ頃、自宅に戻った直子は、早速、泊まり仕事となる滝ノ原の手術のための準備を終えた。そこへ、恋人の則杉康志(溝端淳平)が帰ってきた。直子は康志に、急きょ地方の病院に10日間の予定で出張することになったとウソをつく。しかし、康志は直子の様子がどこかおかしいと感じる。その日の夜、直子の脳裏には、滝ノ原の病巣の画像とともに、8年ぶりに見た雅人の凛々しい姿がよみがえり…。</t>
  </si>
  <si>
    <t>番組名&lt;木曜劇場&gt;蜜の味～A　Taste　Of　Honey～　#07</t>
  </si>
  <si>
    <t>「ワールドカップバレー2011男子日本×セルビア」延長の際、放送時間繰り下げの場合あり。　森本直子(榮倉奈々)は、池澤雅人(ARATA)から滝ノ原(升毅)が体調不良に陥ると得するのは誰かと聞かれ、病理の教授・霧島(佐野史郎)ではないかと答えた。病理という言葉に、雅人は滝ノ原の秘書を偽り電話をかけてきたのが、彩(菅野美穂)ではないかと思い当たる。  　そんな頃、則杉康志(溝端淳平)のもとに現れた彩は、直子が参加した播磨外科病院での特別な手術が成功してよかった、と試すように言い、直子から岩手に出張すると聞いていた康志はとまどう。不安になった康志は直子にメールをし、岩手の様子を聞く。その頃、直子は播磨外科病院で雅人と軽食を取っていたが、康志のメールには岩手にいるかのように返信した。  　雅人と直子がともに極秘手術に関わっていると確信した彩は、やり切れない。しかし、その後会った雅人には、動揺は一切見せることはなかった。そして、手術のことをさりげなく聞くが、雅人は完全否定する。雅人は逆に彩に離婚届のことを聞き、自分が区役所に提出しようかと言った。彩は、医学部長選が終わったら自分が出すから、と断った。  　康志は自宅に戻った直子に、なぜ自分に嘘をつくのかと問いただす。直子は、患者の秘密を守るためだと説明するが、康志は納得しない。それどころか、病理の池澤准教授は知っていたのになぜ自分は知らないのか、と怒りをあらわにした。彩が知っていたという事実に、直子は衝撃を受ける。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宮木正悟【主題歌】  aiko『ずっと』【制作著作】  フジテレビジョン</t>
  </si>
  <si>
    <t xml:space="preserve">　森本直子(榮倉奈々)は、池澤雅人(ARATA)から滝ノ原(升毅)が体調不良に陥ると得するのは誰かと聞かれ、病理の教授・霧島(佐野史郎)ではないかと答えた。病理という言葉に、雅人は滝ノ原の秘書を偽り電話をかけてきたのが、彩(菅野美穂)ではないかと思い当たる。  　そんな頃、則杉康志(溝端淳平)のもとに現れた彩は、直子が参加した播磨外科病院での特別な手術が成功してよかった、と試すように言い、直子から岩手に出張すると聞いていた康志はとまどう。不安になった康志は直子にメールをし、岩手の様子を聞く。その頃、直子は播磨外科病院で雅人と軽食を取っていたが、康志のメールには岩手にいるかのように返信した。  　雅人と直子がともに極秘手術に関わっていると確信した彩は、やり切れない。しかし、その後会った雅人には、動揺は一切見せることはなかった。そして、手術のことをさりげなく聞くが、雅人は完全否定する。雅人は逆に彩に離婚届のことを聞き、自分が区役所に提出しようかと言った。彩は、医学部長選が終わったら自分が出すから、と断った。  　康志は自宅に戻った直子に、なぜ自分に嘘をつくのかと問いただす。直子は、患者の秘密を守るためだと説明するが、康志は納得しない。それどころか、病理の池澤准教授は知っていたのになぜ自分は知らないのか、と怒りをあらわにした。彩が知っていたという事実に、直子は衝撃を受ける。</t>
  </si>
  <si>
    <t>番組名&lt;木曜劇場&gt;蜜の味～A　Taste　Of　Honey～　#08</t>
  </si>
  <si>
    <t>森本直子(榮倉奈々)は、則杉康志(溝端淳平)から、交際していた8年もの間、自分を騙していたと責められる。頼陽華(木村文乃)の必死の弁明も届かず、康志はついに「別れよう」と告げる。しかし、直子は黙ったまま何も言うことができない。康志が出ていった後、直子は自分が再び池澤雅人(ARATA)に惹かれていることを自覚する。康志を愛したいのに愛すことができず、封印したはずの思いが再燃してしまうことが、直子には哀しい。  　一週間後、病院では霧島(佐野史郎)と滝ノ原(升毅)の一騎打ちと目される医学部長選が始まった。病理学教室の彩(菅野美穂)、陽華、細川裕司(山崎樹範)は淡々と仕事を続け、外科病棟の雅人は直子を従え患者に病状を説明していた。  　雅人は彩を呼び出し離婚届を出してくれたかどうか確認すると、破り捨てたと告げられる。直子との関係性を隠し通し、自分を騙していたとなじる彩に雅人は、離婚調停も辞さないと告げるのだった。  　お互い相手に裏切られた彩と康志。康志は彩のマンションを訪れる。彩は康志に、直子と雅人は永遠にゴールはないのに惹かれ合っている、だからこそ私たちは絶対にかなわないと泣きながら言い放つ。そんな彩を康志はたまらず抱きしめるのだった…。  　ある日、直子と雅人は、雅人の洋服選びを楽しむ。そこでいろいろと話すうち、直子は、8年前のあのキスは何だったのか、と切り出した…。森本直子: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西坂瑞城【主題歌】  aiko『ずっと』【制作著作】  フジテレビジョン</t>
  </si>
  <si>
    <t>森本直子(榮倉奈々)は、則杉康志(溝端淳平)から、交際していた8年もの間、自分を騙していたと責められる。頼陽華(木村文乃)の必死の弁明も届かず、康志はついに「別れよう」と告げる。しかし、直子は黙ったまま何も言うことができない。康志が出ていった後、直子は自分が再び池澤雅人(ARATA)に惹かれていることを自覚する。康志を愛したいのに愛すことができず、封印したはずの思いが再燃してしまうことが、直子には哀しい。  　一週間後、病院では霧島(佐野史郎)と滝ノ原(升毅)の一騎打ちと目される医学部長選が始まった。病理学教室の彩(菅野美穂)、陽華、細川裕司(山崎樹範)は淡々と仕事を続け、外科病棟の雅人は直子を従え患者に病状を説明していた。  　雅人は彩を呼び出し離婚届を出してくれたかどうか確認すると、破り捨てたと告げられる。直子との関係性を隠し通し、自分を騙していたとなじる彩に雅人は、離婚調停も辞さないと告げるのだった。  　お互い相手に裏切られた彩と康志。康志は彩のマンションを訪れる。彩は康志に、直子と雅人は永遠にゴールはないのに惹かれ合っている、だからこそ私たちは絶対にかなわないと泣きながら言い放つ。そんな彩を康志はたまらず抱きしめるのだった…。  　ある日、直子と雅人は、雅人の洋服選びを楽しむ。そこでいろいろと話すうち、直子は、8年前のあのキスは何だったのか、と切り出した…。</t>
  </si>
  <si>
    <t>番組名&lt;木曜劇場&gt;蜜の味～A　Taste　Of　Honey～　#09</t>
  </si>
  <si>
    <t>森本直子(榮倉奈々)と雅人(ARATA)が担当する患者、黒沢哲也(渡辺憲吉)に異常が起きた原因は投薬ミスだったが、そもそも正しかった投薬量を変更した覚えは直子になく、誰かが直子のIDを使ってカルテの投薬量を書きかえたとしか考えられないのだった。  　直子は自分のIDを教えたことがある則杉康志(溝端淳平)を疑い、雅人は彩(菅野美穂)の行動を振り返るのだった。直子は意を決して康志を問いただすが、自分をそんな風に見ていたのかと怒りを爆発させ、直子とやり直したいと思っていることをあらためて伝えるが直子は黙ってその場を去るのだった。一方、妻との関係を一向に精算しようとしない細川裕司(山崎樹範)にしびれをきらした頼陽華(木村文乃)は、病院でいきなり細川の頭からペンキをかけるといった行動に出る。そんな陽華を病理学研究室で彩が取りなし、細川も素直に陽華に頭を下げる。研究室は陽華を責める雰囲気に満ちるのだった。  　その頃康志は、マンションの前で彩を待っていた。必ず喜んでいただける話だから、と彩に語る康志の表情は不気味に輝いていた。  　問題はこれで終わらなかった。週刊誌に直子と雅人の投薬ミス問題が取りざたされてしまう。マスコミも巻き込み問題は一気に拡大する。ついに直子と雅人は逃げ場のない窮地に追い込まれることに。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宮木正悟【主題歌】  aiko『ずっと』【制作著作】  フジテレビジョン</t>
  </si>
  <si>
    <t>森本直子(榮倉奈々)と雅人(ARATA)が担当する患者、黒沢哲也(渡辺憲吉)に異常が起きた原因は投薬ミスだったが、そもそも正しかった投薬量を変更した覚えは直子になく、誰かが直子のIDを使ってカルテの投薬量を書きかえたとしか考えられないのだった。  　直子は自分のIDを教えたことがある則杉康志(溝端淳平)を疑い、雅人は彩(菅野美穂)の行動を振り返るのだった。直子は意を決して康志を問いただすが、自分をそんな風に見ていたのかと怒りを爆発させ、直子とやり直したいと思っていることをあらためて伝えるが直子は黙ってその場を去るのだった。一方、妻との関係を一向に精算しようとしない細川裕司(山崎樹範)にしびれをきらした頼陽華(木村文乃)は、病院でいきなり細川の頭からペンキをかけるといった行動に出る。そんな陽華を病理学研究室で彩が取りなし、細川も素直に陽華に頭を下げる。研究室は陽華を責める雰囲気に満ちるのだった。  　その頃康志は、マンションの前で彩を待っていた。必ず喜んでいただける話だから、と彩に語る康志の表情は不気味に輝いていた。  　問題はこれで終わらなかった。週刊誌に直子と雅人の投薬ミス問題が取りざたされてしまう。マスコミも巻き込み問題は一気に拡大する。ついに直子と雅人は逃げ場のない窮地に追い込まれることに。</t>
  </si>
  <si>
    <t>番組名&lt;木曜劇場&gt;蜜の味～A　Taste　Of　Honey～　#10</t>
  </si>
  <si>
    <t>直子(榮倉奈々)と雅人(ARATA)を決して許さないと言い放ちその場を去った康志(溝端淳平)の狂気はとどまるところを知らなかった。すべてが2人の関係を許さない状況になればなるほど2人の結びつきは強固なものになるのだった。2人は病院をやめることを覚悟する。  　2人の関係が雑誌に掲載され、病院では霧島教授(佐野史郎)が嬉々として雑誌をコピーし、滝ノ原教授(升毅)は茫然自失。そんな中、直子の親でもあり雅人の兄でもある洋介(阿南健治)と久子(キムラ緑子)は真相を明らかにしようと彩(菅野美穂)のもとをたずね牛窓の実家から上京する。  　信じられない、真実ではないのだろうと迫る2人に彩は、直子と雅人の関係は事実だと両親に告げる。雅人がピッツバーグに向かったのも直子のことを忘れるため、康志も直子にとっては雅人を忘れるための存在でしかなかったと涙ながらに語り、2人を許してあげて欲しいと訴える。が、これもすべて彩のある計算からきている行動だった。  　洋介と久子は直子の家を訪ねる。直子と雅人の関係を終わらせようと久子は直子を、洋介は雅人を説得にかかる。久子は自分自身のある驚きの過去についても直子に打ち明けるのだった。  　康志はマスコミに情報を売り続け、続報が世の中をかけめぐることに。  　直子と雅人、そして実家の両親までも追い込んでいく内容が…。森本直子: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西坂瑞城【主題歌】  aiko『ずっと』【制作著作】  フジテレビジョン</t>
  </si>
  <si>
    <t>直子(榮倉奈々)と雅人(ARATA)を決して許さないと言い放ちその場を去った康志(溝端淳平)の狂気はとどまるところを知らなかった。すべてが2人の関係を許さない状況になればなるほど2人の結びつきは強固なものになるのだった。2人は病院をやめることを覚悟する。  　2人の関係が雑誌に掲載され、病院では霧島教授(佐野史郎)が嬉々として雑誌をコピーし、滝ノ原教授(升毅)は茫然自失。そんな中、直子の親でもあり雅人の兄でもある洋介(阿南健治)と久子(キムラ緑子)は真相を明らかにしようと彩(菅野美穂)のもとをたずね牛窓の実家から上京する。  　信じられない、真実ではないのだろうと迫る2人に彩は、直子と雅人の関係は事実だと両親に告げる。雅人がピッツバーグに向かったのも直子のことを忘れるため、康志も直子にとっては雅人を忘れるための存在でしかなかったと涙ながらに語り、2人を許してあげて欲しいと訴える。が、これもすべて彩のある計算からきている行動だった。  　洋介と久子は直子の家を訪ねる。直子と雅人の関係を終わらせようと久子は直子を、洋介は雅人を説得にかかる。久子は自分自身のある驚きの過去についても直子に打ち明けるのだった。  　康志はマスコミに情報を売り続け、続報が世の中をかけめぐることに。  　直子と雅人、そして実家の両親までも追い込んでいく内容が…。</t>
  </si>
  <si>
    <t>番組名&lt;木曜劇場&gt;蜜の味～A　Taste　Of　Honey～　#11</t>
  </si>
  <si>
    <t>東和医大付属病院をやめた直子(榮倉奈々)と雅人(ARATA)。2人は医師として働ける場所を探し求め、2人で生きていける場所を求めさまよい、ある駅にたどり着く。  　医師として働く場をなんとかして見つける2人だったが、どこからか院長の耳に2人の噂が届くのだった・・・。2人が平穏に過ごせる場所は見つかるのか・・・。　2人は、口には出さないが、互いに輝かしいはずだった相手の未来を奪ってしまったことに心を痛めていた。  　一方、彩(菅野美穂)は突如、病理研究室で倒れ病院に運ばれる。激しいめまいに襲われる彩だったが原因はわからない。彩のもとを見舞いに訪れた細川(山崎樹範)に彩は、直子と雅人の2人が目の前から姿を消し、体が悲鳴を上げたのではないかと分析するのだった。一方、康志(溝端淳平)は直子と雅人を糾弾する手をゆるめず、雑誌社に情報を売り続けていた。利害関係が一致するはずと康志は霧島教授(佐野史郎)に近づくのだった。霧島教授が康志に対して発した言葉とは。  　その頃、直子のもとに牛窓に住む母親・久子(キムラ緑子)が倒れたという情報が耳に届き・・・。森本直子: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水田成英【主題歌】  aiko『ずっと』【制作著作】  フジテレビジョン</t>
  </si>
  <si>
    <t>東和医大付属病院をやめた直子(榮倉奈々)と雅人(ARATA)。2人は医師として働ける場所を探し求め、2人で生きていける場所を求めさまよい、ある駅にたどり着く。  　医師として働く場をなんとかして見つける2人だったが、どこからか院長の耳に2人の噂が届くのだった・・・。2人が平穏に過ごせる場所は見つかるのか・・・。　2人は、口には出さないが、互いに輝かしいはずだった相手の未来を奪ってしまったことに心を痛めていた。  　一方、彩(菅野美穂)は突如、病理研究室で倒れ病院に運ばれる。激しいめまいに襲われる彩だったが原因はわからない。彩のもとを見舞いに訪れた細川(山崎樹範)に彩は、直子と雅人の2人が目の前から姿を消し、体が悲鳴を上げたのではないかと分析するのだった。一方、康志(溝端淳平)は直子と雅人を糾弾する手をゆるめず、雑誌社に情報を売り続けていた。利害関係が一致するはずと康志は霧島教授(佐野史郎)に近づくのだった。霧島教授が康志に対して発した言葉とは。  　その頃、直子のもとに牛窓に住む母親・久子(キムラ緑子)が倒れたという情報が耳に届き・・・。</t>
  </si>
  <si>
    <t>1110_CX_日21</t>
  </si>
  <si>
    <t>僕とスターの99日</t>
  </si>
  <si>
    <t>番組名&lt;ドラマチックサンデー&gt;僕とスターの99日　#01</t>
  </si>
  <si>
    <t>星以外に興味のないR40の独身男が、韓国のトップ女優のボディガードに!  　契約終了までの99日間で2人の距離は縮まるのか!西島秀俊&amp;キム・テヒがおくる、この秋最高のラブコメディー!      　並木航平(西島秀俊)は、警備会社で20年もバイトを続けている38歳の独身男性。社長の三枝恵実子(倍賞美津子)に翌日の休日返上を言いわたされ、趣味であり唯一の楽しみである天体観測に行けなくなるとふてくされていた。　韓国のスター女優ハン・ユナ(キム・テヒ)は、ホテルで翌日の来日にそなえつつ、日本のガイドブックを見ながらくつろいでいた。そんなユナを見て、事務所社長の芹沢直子(朝加真由美)は極力日本語を使うことと、どんな場所でも決して隙を見せないようにと厳しく注意する。  　ユナの来日で羽田空港にたくさんのファンや報道陣が詰めかける中、近くでつぼの警備にあたっていた航平は、ファンの人たちに押しつぶされそうになる小さな子供を守ろうと飛び出し、子供は守ったものの逆に混乱を招いてしまった。なんとか切り抜け、ドラマの制作発表に向かうユナたち。会見ではスキャンダルを狙うパパラッチの橋爪和哉(要潤)の質問をかわし、共演者である日本のトップ俳優の高鍋大和(佐々木蔵之介)と笑顔を見せるユナ。とある居酒屋には、背後のニュースから流れるユナの来日の映像をさして気にすることなくビールを飲んでいる男・テソン(テギョン)がいた。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</si>
  <si>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星以外に興味のないR40の独身男が、韓国のトップ女優のボディガードに!  　契約終了までの99日間で2人の距離は縮まるのか!西島秀俊&amp;キム・テヒがおくる、この秋最高のラブコメディー!      　並木航平(西島秀俊)は、警備会社で20年もバイトを続けている38歳の独身男性。社長の三枝恵実子(倍賞美津子)に翌日の休日返上を言いわたされ、趣味であり唯一の楽しみである天体観測に行けなくなるとふてくされていた。　韓国のスター女優ハン・ユナ(キム・テヒ)は、ホテルで翌日の来日にそなえつつ、日本のガイドブックを見ながらくつろいでいた。そんなユナを見て、事務所社長の芹沢直子(朝加真由美)は極力日本語を使うことと、どんな場所でも決して隙を見せないようにと厳しく注意する。  　ユナの来日で羽田空港にたくさんのファンや報道陣が詰めかける中、近くでつぼの警備にあたっていた航平は、ファンの人たちに押しつぶされそうになる小さな子供を守ろうと飛び出し、子供は守ったものの逆に混乱を招いてしまった。なんとか切り抜け、ドラマの制作発表に向かうユナたち。会見ではスキャンダルを狙うパパラッチの橋爪和哉(要潤)の質問をかわし、共演者である日本のトップ俳優の高鍋大和(佐々木蔵之介)と笑顔を見せるユナ。とある居酒屋には、背後のニュースから流れるユナの来日の映像をさして気にすることなくビールを飲んでいる男・テソン(テギョン)がいた。</t>
  </si>
  <si>
    <t>番組名&lt;ドラマチックサンデー&gt;僕とスターの99日　#02</t>
  </si>
  <si>
    <t>ホテルを抜け出して行った飲食店で、たまたま話したサラリーマンとの2ショット写真が週刊誌に掲載されてしまったハン・ユナ(キム・テヒ)。怒った芹沢直子(朝加真由美)は並木航平(西島秀俊)に24時間の監視を言い渡す。  　高鍋大和(佐々木蔵之介)は、ユナに付き添いドラマの撮影現場にやってきた航平が気になってしかたない。しばらく航平を見つめていた高鍋だが、ふと何かを思い出し…。  　航平から帰れないと連絡を受けた並木桃(桜庭ななみ)は、着替えを手にユナが滞在しているホテルを訪ねた。急な親切をいぶかしむ航平だが、桃は服と一緒に崩れた星のジグソーパズルも持ってきた。パズルは航平が完成させて部屋に置いておいたものだが、並木菫(石橋宇輪)と蓮(椙杜翔馬)がうっかり壊してしまったのだ。帰ろうとした桃だが、お客さんから苦情がきたとホテルの警備員室に連れて行かれてしまった。航平が弁解に向かい、すぐに桃は解放。しかし、部屋の前を離れてしまったことに気付き、慌てて戻ろうとして乗り込もうとしたエレベーターの中から変装したユナが出てきた。とっさに変装に気付いた航平は、間一髪でユナをつかまえ逃亡を防ぐことに成功した。  　部屋に戻ったユナは、何かをたくらみフロントに電話を入れる。航平はドア前に座りこみ、桃が持ってきたジグソーパズルをやり始めた。しばらくすると、航平の前にユナの付き人のヒジン(韓英恵)が現れた…。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</si>
  <si>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ホテルを抜け出して行った飲食店で、たまたま話したサラリーマンとの2ショット写真が週刊誌に掲載されてしまったハン・ユナ(キム・テヒ)。怒った芹沢直子(朝加真由美)は並木航平(西島秀俊)に24時間の監視を言い渡す。  　高鍋大和(佐々木蔵之介)は、ユナに付き添いドラマの撮影現場にやってきた航平が気になってしかたない。しばらく航平を見つめていた高鍋だが、ふと何かを思い出し…。  　航平から帰れないと連絡を受けた並木桃(桜庭ななみ)は、着替えを手にユナが滞在しているホテルを訪ねた。急な親切をいぶかしむ航平だが、桃は服と一緒に崩れた星のジグソーパズルも持ってきた。パズルは航平が完成させて部屋に置いておいたものだが、並木菫(石橋宇輪)と蓮(椙杜翔馬)がうっかり壊してしまったのだ。帰ろうとした桃だが、お客さんから苦情がきたとホテルの警備員室に連れて行かれてしまった。航平が弁解に向かい、すぐに桃は解放。しかし、部屋の前を離れてしまったことに気付き、慌てて戻ろうとして乗り込もうとしたエレベーターの中から変装したユナが出てきた。とっさに変装に気付いた航平は、間一髪でユナをつかまえ逃亡を防ぐことに成功した。  　部屋に戻ったユナは、何かをたくらみフロントに電話を入れる。航平はドア前に座りこみ、桃が持ってきたジグソーパズルをやり始めた。しばらくすると、航平の前にユナの付き人のヒジン(韓英恵)が現れた…。</t>
  </si>
  <si>
    <t>番組名&lt;ドラマチックサンデー&gt;僕とスターの99日　#03</t>
  </si>
  <si>
    <t>「ワールドカップバレー2011女子　日本×中国」延長の際、放送時間繰り下げの場合あり。　並木航平(西島秀俊)は、ボディーガードとしてハン・ユナ(キム・テヒ)宛てのファンレターをチェックすることに。差出人のない封筒をチェックすると、中にはテソン(テギョン)とテソンの持つカシオペア座が書かれたキーホルダーの隠し撮り写真が入っていて、裏には橋爪和哉(要潤)の電話番号が書かれていた。航平はその封筒を抜きとる。　航平との悪縁を思い出し、さらにユナが航平にキスしたと誤解している高鍋大和(佐々木蔵之介)は仕事に集中できないでいた。様子のおかしい高鍋を見ていた航平は、やがて何か思い出したように近づいていき…。  　ユナが探している相手を探すヒントはカシオペアであることを確認した航平は、ユナには内緒のまま何の手がかりもないテソンを探す決意をする。航平は橋爪を呼び出すと、写真を送ってきた意図を尋ねる。橋爪は恋人との感動の再会を写真に撮らせる条件に、テソンの居場所を教えると交渉するが、航平はそれを拒否して去っていく。  　本来なら航平の担当時間に近藤保(石黒英雄)が付いていることを不審に思うユナ。近藤は風邪をひいた航平の代わりだと話すが、実は航平は写真を手掛かりにテソンの居場所を懸命に探していた。西島秀俊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</si>
  <si>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並木航平(西島秀俊)は、ボディーガードとしてハン・ユナ(キム・テヒ)宛てのファンレターをチェックすることに。差出人のない封筒をチェックすると、中にはテソン(テギョン)とテソンの持つカシオペア座が書かれたキーホルダーの隠し撮り写真が入っていて、裏には橋爪和哉(要潤)の電話番号が書かれていた。航平はその封筒を抜きとる。　航平との悪縁を思い出し、さらにユナが航平にキスしたと誤解している高鍋大和(佐々木蔵之介)は仕事に集中できないでいた。様子のおかしい高鍋を見ていた航平は、やがて何か思い出したように近づいていき…。  　ユナが探している相手を探すヒントはカシオペアであることを確認した航平は、ユナには内緒のまま何の手がかりもないテソンを探す決意をする。航平は橋爪を呼び出すと、写真を送ってきた意図を尋ねる。橋爪は恋人との感動の再会を写真に撮らせる条件に、テソンの居場所を教えると交渉するが、航平はそれを拒否して去っていく。  　本来なら航平の担当時間に近藤保(石黒英雄)が付いていることを不審に思うユナ。近藤は風邪をひいた航平の代わりだと話すが、実は航平は写真を手掛かりにテソンの居場所を懸命に探していた。</t>
  </si>
  <si>
    <t>番組名&lt;ドラマチックサンデー&gt;僕とスターの99日　#04</t>
  </si>
  <si>
    <t>「ワールドカップバレー2011女子　日本×ブラジル」延長の際、放送時間繰り下げの場合あり。　ハン・ユナ(キム・テヒ)は、やっと会えたテソン(テギョン)の冷たい対応にすっかり落ち込んでいた。一方、並木航平(西島秀俊)は、姉の雪子(生田智子)が再び旅に出てしまい、桃(桜庭ななみ)たちとの同居を続けることに。  　ボディーガードでありながらユナを連れ出したことで芹沢直子(朝加真由美)が激怒。近藤保(石黒英雄)がボディーガードを務め、航平は解任。会社からも自宅謹慎を言い渡された。芹沢は、ユナに内緒でテソンを喫茶店に呼び出した。  　航平が解任されたことを聞いて必死でかばうユナだが、芹沢の意志は変わらない。同じく、航平の解任を聞いた高鍋大和(佐々木蔵之介)は、様々な企業に航平を雇うように声をかけていた。それを知らない航平はどんどんかかってくる企業からの誘いの電話に、断りながらも首をかしげるばかりだ。  　そんな中、ドラマの撮影にやってきたユナ。結婚式のシーン用にウエディングケーキが用意されていたが、スタッフが目を離したすきにケーキがユナの方向へ向かって動き出していて…。西島秀俊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</si>
  <si>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ハン・ユナ(キム・テヒ)は、やっと会えたテソン(テギョン)の冷たい対応にすっかり落ち込んでいた。一方、並木航平(西島秀俊)は、姉の雪子(生田智子)が再び旅に出てしまい、桃(桜庭ななみ)たちとの同居を続けることに。  　ボディーガードでありながらユナを連れ出したことで芹沢直子(朝加真由美)が激怒。近藤保(石黒英雄)がボディーガードを務め、航平は解任。会社からも自宅謹慎を言い渡された。芹沢は、ユナに内緒でテソンを喫茶店に呼び出した。  　航平が解任されたことを聞いて必死でかばうユナだが、芹沢の意志は変わらない。同じく、航平の解任を聞いた高鍋大和(佐々木蔵之介)は、様々な企業に航平を雇うように声をかけていた。それを知らない航平はどんどんかかってくる企業からの誘いの電話に、断りながらも首をかしげるばかりだ。  　そんな中、ドラマの撮影にやってきたユナ。結婚式のシーン用にウエディングケーキが用意されていたが、スタッフが目を離したすきにケーキがユナの方向へ向かって動き出していて…。</t>
  </si>
  <si>
    <t>番組名&lt;ドラマチックサンデー&gt;僕とスターの99日　#05</t>
  </si>
  <si>
    <t>「ワールドカップバレー2011男子　日本×イラン」延長の際、放送時間繰り下げの場合あり。　ボディーガードに戻った並木航平(西島秀俊)。ハン・ユナ(キム・テヒ)は、弟のテソン(テギョン)の件で記者に追われながらも、弟を信じると毅然とした態度を貫く。ドラマ『白い記憶』の初回放送日になり、ユナは高鍋大和(佐々木蔵之介)と滞在先のホテルの部屋で一緒に見る約束をする。たこ焼き屋「みっちゃん」で、みんなで見るからと帰っていく航平を羨ましそうに見送るユナ。ドラマが終わると、航平は三枝恵実子(倍賞美津子)を居間に呼び、並木桃(桜庭ななみ)がテソンから受け取ったお金300万円を渡し、芹沢直子(朝加真由美)に返却するようにお願いする。事情を聞いてお金を預かった恵実子を見送っていると、航平の電話が鳴った。電話の相手は…。ホテルでドラマを見終わったユナと高鍋。飲みに行こうという高鍋の誘いを受けたユナは、自ら「みっちゃん」へ誘導する。突然現れたユナと高鍋に沼田光代(片桐はいり)や桃たちは大感激。どんちゃん騒ぎが始まった。恵実子は会社に芹沢を呼び出し、人の気持ちを変えることができるのは人の気持ちだけだと言い、航平から預かった300万円を返した。黙って受け取る芹沢。同じ頃、橋爪和哉(要潤)に呼び出されたテソンは、治療費と慰謝料として300万円を請求された。強い口調で支払いを拒否するテソンに橋爪は…。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</si>
  <si>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ボディーガードに戻った並木航平(西島秀俊)。ハン・ユナ(キム・テヒ)は、弟のテソン(テギョン)の件で記者に追われながらも、弟を信じると毅然とした態度を貫く。ドラマ『白い記憶』の初回放送日になり、ユナは高鍋大和(佐々木蔵之介)と滞在先のホテルの部屋で一緒に見る約束をする。たこ焼き屋「みっちゃん」で、みんなで見るからと帰っていく航平を羨ましそうに見送るユナ。ドラマが終わると、航平は三枝恵実子(倍賞美津子)を居間に呼び、並木桃(桜庭ななみ)がテソンから受け取ったお金300万円を渡し、芹沢直子(朝加真由美)に返却するようにお願いする。事情を聞いてお金を預かった恵実子を見送っていると、航平の電話が鳴った。電話の相手は…。ホテルでドラマを見終わったユナと高鍋。飲みに行こうという高鍋の誘いを受けたユナは、自ら「みっちゃん」へ誘導する。突然現れたユナと高鍋に沼田光代(片桐はいり)や桃たちは大感激。どんちゃん騒ぎが始まった。恵実子は会社に芹沢を呼び出し、人の気持ちを変えることができるのは人の気持ちだけだと言い、航平から預かった300万円を返した。黙って受け取る芹沢。同じ頃、橋爪和哉(要潤)に呼び出されたテソンは、治療費と慰謝料として300万円を請求された。強い口調で支払いを拒否するテソンに橋爪は…。</t>
  </si>
  <si>
    <t>番組名&lt;ドラマチックサンデー&gt;僕とスターの99日　#06</t>
  </si>
  <si>
    <t>「ワールドカップバレー2011男子　日本×エジプト」延長の際、放送時間繰り下げの場合あり。　天文台への就職に向けて面談へ来ている航平(西島秀俊)は、昔働いていた天文台の後輩の女性・梢(加藤あい)と再会し、星の話で盛り上がっていた。一方、「温泉に入るために近くへ来た」という口実で航平にお弁当を持って会いに来たハン・ユナ(キム・テヒ)は、鈍感な航平から遅くなる前に帰ってください、と言われて帰ることに。その途中、航平と梢が楽しそうに話すのを見かける。その頃、高鍋(佐々木蔵之介)は航平とユナが2人で群馬に向かったと勘違いして、航平の姪の菫(石橋宇輪)と甥の蓮(椙杜翔馬)を伴い、2人を追って天文台に車を走らせていて・・・?一方、ユナも高鍋も都内にいないことで、マネジャーであるヒジン(韓英恵)と夏目(古川雄輝)は思わぬ休暇を得る。2人は仲良く温泉宿へむかっていた。テソン(テギョン)は、橋爪(要潤)からの告訴を取り下げるために動いてくれた芹沢社長(朝加真由美)にお礼を言うと共に、社長に桃(桜庭ななみ)を紹介して、桃のダンスを見てもらえないかと頼む。その頃、ユナは駅で次の電車まで2時間あると知り、航平が以前話してくれた「星が降るように見える原っぱ」へ行こうと歩き出す。しかしその原っぱは、熊が出る危ない原っぱで・・・?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</si>
  <si>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天文台への就職に向けて面談へ来ている航平(西島秀俊)は、昔働いていた天文台の後輩の女性・梢(加藤あい)と再会し、星の話で盛り上がっていた。一方、「温泉に入るために近くへ来た」という口実で航平にお弁当を持って会いに来たハン・ユナ(キム・テヒ)は、鈍感な航平から遅くなる前に帰ってください、と言われて帰ることに。その途中、航平と梢が楽しそうに話すのを見かける。その頃、高鍋(佐々木蔵之介)は航平とユナが2人で群馬に向かったと勘違いして、航平の姪の菫(石橋宇輪)と甥の蓮(椙杜翔馬)を伴い、2人を追って天文台に車を走らせていて・・・?一方、ユナも高鍋も都内にいないことで、マネジャーであるヒジン(韓英恵)と夏目(古川雄輝)は思わぬ休暇を得る。2人は仲良く温泉宿へむかっていた。テソン(テギョン)は、橋爪(要潤)からの告訴を取り下げるために動いてくれた芹沢社長(朝加真由美)にお礼を言うと共に、社長に桃(桜庭ななみ)を紹介して、桃のダンスを見てもらえないかと頼む。その頃、ユナは駅で次の電車まで2時間あると知り、航平が以前話してくれた「星が降るように見える原っぱ」へ行こうと歩き出す。しかしその原っぱは、熊が出る危ない原っぱで・・・?</t>
  </si>
  <si>
    <t>番組名&lt;ドラマチックサンデー&gt;僕とスターの99日　#07</t>
  </si>
  <si>
    <t>「ワールドカップバレー2011男子　日本×ブラジル」延長の際、放送時間繰り下げの場合あり。　再びユナ(キム・テヒ)のボディーガードを続けることになった航平(西島秀俊)。そんな航平にいつものように軽口をたたきつつも、うれしそうなユナ。それを見ていた高鍋(佐々木蔵之介)は、ユナに話があると食事に誘うも断られてしまう。そのとき、ユナは高鍋から、航平が自分のボディーガードをするために天文台の仕事を自ら断ったことを知る。高鍋はユナが航平と過ごすつもりだと思いこみ、急いで航平を食事に誘う。航平は約束があると最初断るが、高鍋の必死な様子に航平は食事に行くことにする。高鍋は豪華なディナーを航平の為に用意。なぜなら、今日は航平の誕生日なのだ。航平は自分が誕生日だということも忘れていたため、感動もひとしお。高鍋はその様子を見て、ユナとの食事を阻止したのではないと知ってがっかりする。高鍋と食事後に航平が帰宅すると、今度は桃(桜庭ななみ)がケーキ作りに奮闘中だ。航平は感動して桃に声をかける。そして同じころ、ユナも粉まみれになりながらケーキ作りに励んでいて・・・?翌日、航平が警備会社ジャパン・セキュリティ・ガードへ行くと、社長の恵実子(倍賞美津子)からボディーガードを辞めないかと尋ねられて・・・。ある日、撮影中に高熱を出した高鍋。自宅マンションで休む高鍋を、ユナが航平と共に見舞いに行く。航平が飲み物をもって部屋に入ると、ユナと高鍋が急接近していて・・・?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</si>
  <si>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再びユナ(キム・テヒ)のボディーガードを続けることになった航平(西島秀俊)。そんな航平にいつものように軽口をたたきつつも、うれしそうなユナ。それを見ていた高鍋(佐々木蔵之介)は、ユナに話があると食事に誘うも断られてしまう。そのとき、ユナは高鍋から、航平が自分のボディーガードをするために天文台の仕事を自ら断ったことを知る。高鍋はユナが航平と過ごすつもりだと思いこみ、急いで航平を食事に誘う。航平は約束があると最初断るが、高鍋の必死な様子に航平は食事に行くことにする。高鍋は豪華なディナーを航平の為に用意。なぜなら、今日は航平の誕生日なのだ。航平は自分が誕生日だということも忘れていたため、感動もひとしお。高鍋はその様子を見て、ユナとの食事を阻止したのではないと知ってがっかりする。高鍋と食事後に航平が帰宅すると、今度は桃(桜庭ななみ)がケーキ作りに奮闘中だ。航平は感動して桃に声をかける。そして同じころ、ユナも粉まみれになりながらケーキ作りに励んでいて・・・?翌日、航平が警備会社ジャパン・セキュリティ・ガードへ行くと、社長の恵実子(倍賞美津子)からボディーガードを辞めないかと尋ねられて・・・。ある日、撮影中に高熱を出した高鍋。自宅マンションで休む高鍋を、ユナが航平と共に見舞いに行く。航平が飲み物をもって部屋に入ると、ユナと高鍋が急接近していて・・・?</t>
  </si>
  <si>
    <t>番組名&lt;ドラマチックサンデー&gt;僕とスターの99日　#08</t>
  </si>
  <si>
    <t>橋爪(要潤)から、航平(西島秀俊)とユナ(キム・テヒ)がキスをしている写真が関係者に送られてきたことで、ユナの事務所の社長・芹沢(朝加真由美)は航平をボディーガードから外し、近藤(石黒英雄)が担当することになった。実はユナには、清楚なイメージが目にとまって、ハリウッドから映画出演のオファーが来ていた。このスキャンダルが公になれば映画出演の件はなくなるだろうと芹沢は怒りをあらわにする。航平は橋爪に会いに行き、写真を公開しないでほしいと頼むが、橋爪は1000万円を要求するだけだった。航平は、ユナになにもしてやれない自分に肩を落とすばかりだった。そんなある日、天文台で働く梢(加藤あい)が航平を訪ねてくる。一方、事情を知った高鍋(佐々木蔵之介)はユナを助けたいという一心で、芹沢に話をしに行く。橋爪から航平と同じく1000万円を要求されたと言う。どうするべきか悩んでいると話す芹沢に高鍋は、ユナへの真剣な思いを打ち明け、考えがあると提案をする。そして高鍋は橋爪に会いに行くが・・・?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</si>
  <si>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橋爪(要潤)から、航平(西島秀俊)とユナ(キム・テヒ)がキスをしている写真が関係者に送られてきたことで、ユナの事務所の社長・芹沢(朝加真由美)は航平をボディーガードから外し、近藤(石黒英雄)が担当することになった。実はユナには、清楚なイメージが目にとまって、ハリウッドから映画出演のオファーが来ていた。このスキャンダルが公になれば映画出演の件はなくなるだろうと芹沢は怒りをあらわにする。航平は橋爪に会いに行き、写真を公開しないでほしいと頼むが、橋爪は1000万円を要求するだけだった。航平は、ユナになにもしてやれない自分に肩を落とすばかりだった。そんなある日、天文台で働く梢(加藤あい)が航平を訪ねてくる。一方、事情を知った高鍋(佐々木蔵之介)はユナを助けたいという一心で、芹沢に話をしに行く。橋爪から航平と同じく1000万円を要求されたと言う。どうするべきか悩んでいると話す芹沢に高鍋は、ユナへの真剣な思いを打ち明け、考えがあると提案をする。そして高鍋は橋爪に会いに行くが・・・?</t>
  </si>
  <si>
    <t>番組名&lt;ドラマチックサンデー&gt;僕とスターの99日　#09</t>
  </si>
  <si>
    <t>航平(西島秀俊)は、梢(加藤あい)から受けた告白の返事をするために、梢を呼び出す。話をしていると、突然桃(桜庭ななみ)が飛び込んできて、「大変なことになっている」と話す。一方、テソン(テギョン)はユナ(キム・テヒ)の元へ姿を現す。ユナがテソンと会えた喜びに浸る暇もなく、テソンも「大変なことになっている」と話す。それもそのはず、ユナを守るために自分に会いに来た高鍋(佐々木蔵之介)に橋爪(要潤)が提案した、高鍋とユナのキスシーンのスクープ写真。高鍋は、航平とユナの写真を掲載しないという約束のもとそれに応じたのだが、橋爪はその約束を破ろうとしていた。動揺するユナに、テソンは何があっても自分はユナの味方だと話す。芹沢社長(朝加真由美)は、ユナに高鍋が本命で、航平とのことは高鍋の気を引くための嘘だと通すようユナに指示をする。一方、航平は橋爪を呼び出し、怒りをあらわにするが、そこに高鍋が現れて航平を連れて帰る。高鍋はユナに、航平とのことが記事にならないくらい自分たちの交際の真剣さをアピールすることが、航平を守ることになると話す。芹沢社長は、高鍋とユナが同席して交際宣言をする記者会見を開くことを決めた。ユナは航平に電話をして「何があっても心配しないで」と話すが・・・?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</si>
  <si>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航平(西島秀俊)は、梢(加藤あい)から受けた告白の返事をするために、梢を呼び出す。話をしていると、突然桃(桜庭ななみ)が飛び込んできて、「大変なことになっている」と話す。一方、テソン(テギョン)はユナ(キム・テヒ)の元へ姿を現す。ユナがテソンと会えた喜びに浸る暇もなく、テソンも「大変なことになっている」と話す。それもそのはず、ユナを守るために自分に会いに来た高鍋(佐々木蔵之介)に橋爪(要潤)が提案した、高鍋とユナのキスシーンのスクープ写真。高鍋は、航平とユナの写真を掲載しないという約束のもとそれに応じたのだが、橋爪はその約束を破ろうとしていた。動揺するユナに、テソンは何があっても自分はユナの味方だと話す。芹沢社長(朝加真由美)は、ユナに高鍋が本命で、航平とのことは高鍋の気を引くための嘘だと通すようユナに指示をする。一方、航平は橋爪を呼び出し、怒りをあらわにするが、そこに高鍋が現れて航平を連れて帰る。高鍋はユナに、航平とのことが記事にならないくらい自分たちの交際の真剣さをアピールすることが、航平を守ることになると話す。芹沢社長は、高鍋とユナが同席して交際宣言をする記者会見を開くことを決めた。ユナは航平に電話をして「何があっても心配しないで」と話すが・・・?</t>
  </si>
  <si>
    <t>番組名&lt;ドラマチックサンデー&gt;僕とスターの99日　#10</t>
  </si>
  <si>
    <t>航平(西島秀俊)は、ユナ(キム・テヒ)の行動に無理を感じはじめる。そんなユナは、自分で大きな決断をして以来初となるドラマの撮影に遅刻をしてしまい、監督の小岩井(戸田昌宏)に怒鳴られる。それを見ていた芹沢(朝加真由美)も、ユナの行動に怒りを増す。航平は、ユナの為にできることはないかと考えて、ユナに残されたドラマの撮影期間中はボディガードを務めようと決めるが、マスコミはもちろん大騒ぎ。航平は記者に向けて自分の言葉で話をする。橋爪(要潤)はそれを不思議そうに見ていた。  　ドラマの撮影も残りわずか。航平とユナのこれからは?そして、航平とユナをとりまく人たちそれぞれの夢の行方は?西島秀俊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</si>
  <si>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航平(西島秀俊)は、ユナ(キム・テヒ)の行動に無理を感じはじめる。そんなユナは、自分で大きな決断をして以来初となるドラマの撮影に遅刻をしてしまい、監督の小岩井(戸田昌宏)に怒鳴られる。それを見ていた芹沢(朝加真由美)も、ユナの行動に怒りを増す。航平は、ユナの為にできることはないかと考えて、ユナに残されたドラマの撮影期間中はボディガードを務めようと決めるが、マスコミはもちろん大騒ぎ。航平は記者に向けて自分の言葉で話をする。橋爪(要潤)はそれを不思議そうに見ていた。  　ドラマの撮影も残りわずか。航平とユナのこれからは?そして、航平とユナをとりまく人たちそれぞれの夢の行方は?</t>
  </si>
  <si>
    <t>1107_CX_月21</t>
  </si>
  <si>
    <t>全開ガール</t>
  </si>
  <si>
    <t>番組名全開ガール　#01</t>
  </si>
  <si>
    <t>世界を股にかける国際弁護士を目指すキャリアガールとして、輝かしい未来を夢見るキャリ女〈キャリジョ〉の卵、鮎川若葉(新垣結衣)は野心バリバリで外資系弁護士事務所に就職。上昇志向に燃える彼女だったが、依頼された仕事は、若葉が勤務する法律事務所所長・桜川昇子(薬師丸ひろ子)の5歳になる娘・日向(ひなた)の世話だった!!  子供も育児も大嫌い、だが、富と成功に執着する彼女は渋々ながら面倒をみることに。そんな中、日向を迎えに行った保育園で出会ったのが、若葉が最も苦手とする学なし財なし将来性なしのお人よしな育メン・山田草太(錦戸亮)。マンションの隣人で子持ちのシングルマザーの息子・ビー太郎をなぜか1人で育てることになり育児に奮闘する草太は、若葉からすると理想の正反対で、関わりたくない人間だ。だが、そんな若葉の思惑に反して、ひょんなことから草太とともに、日向とビー太郎、さらには草太の育メン仲間たちのお子さまたちの面倒まで見ることになってしまう。慣れない育児に悲鳴をあげ右往左往しながらも、やがて若葉は“育児は育人"の言葉どおり、大切なものに気づいていく。鮎川若葉:　新垣結衣　  山田草太:　錦戸亮　  新堂響一:　平山浩行　  汐田そよ子　蓮佛美沙子　    林佐間男:　荒川良々　  花村仁:　竹内力　  桜川昇子:　薬師丸ひろ子【脚本】  吉田智子【演出】  武内英樹Face2fAKE　    【主題歌】Every　Little　Thing　  【エンディング】関ジャニ∞フジテレビドラマ制作センター</t>
  </si>
  <si>
    <t>世界を股にかける国際弁護士を目指すキャリアガールとして、輝かしい未来を夢見るキャリ女〈キャリジョ〉の卵、鮎川若葉(新垣結衣)は野心バリバリで外資系弁護士事務所に就職。上昇志向に燃える彼女だったが、依頼された仕事は、若葉が勤務する法律事務所所長・桜川昇子(薬師丸ひろ子)の5歳になる娘・日向(ひなた)の世話だった!!  子供も育児も大嫌い、だが、富と成功に執着する彼女は渋々ながら面倒をみることに。そんな中、日向を迎えに行った保育園で出会ったのが、若葉が最も苦手とする学なし財なし将来性なしのお人よしな育メン・山田草太(錦戸亮)。マンションの隣人で子持ちのシングルマザーの息子・ビー太郎をなぜか1人で育てることになり育児に奮闘する草太は、若葉からすると理想の正反対で、関わりたくない人間だ。だが、そんな若葉の思惑に反して、ひょんなことから草太とともに、日向とビー太郎、さらには草太の育メン仲間たちのお子さまたちの面倒まで見ることになってしまう。慣れない育児に悲鳴をあげ右往左往しながらも、やがて若葉は“育児は育人"の言葉どおり、大切なものに気づいていく。</t>
  </si>
  <si>
    <t>番組名全開ガール　#02</t>
  </si>
  <si>
    <t>朝、目を覚ました鮎川若葉(新垣結衣)は服のまま寝ていたことを不審に思うが、前夜の記憶はまったくない。  一方、若葉とのキスを鮮明に覚えている山田草太(錦戸亮)は、仕事が手に付かない。  同じ頃、桜川昇子(薬師丸ひろ子)は、娘・日向(谷花音)に、若葉は来ないだろうと話した。と、そこへ若葉が現れ、試用期間でも合理的な理由がない解雇は認められない、と主張。日向を保育園へと送り届けると、そこで草太と鉢合わせする。若葉は、草太に難癖を付け、草太が、酔っ払った若葉を家に送っただけだ、と説明しても聞き入れない。そこで、林佐間男(荒川良々)らも、若葉が草太にキスしたのだ、と加勢。若葉は、キスが事実だとしても、それは草太が強引にしたことだ、と言い張る。  そんな折、子どもを交代で預かる輪番当番が若葉に回ってきた。若葉の部屋にやってきた林らは、その古さと狭さに驚くが、若葉は自信満々で子どもを預かった。  その後、子どもを迎えに来た草太は、手作り弁当を持たせる「お弁当の日」が来週あると教えた。若葉は、それを昇子に報告すると、作るようにと命じられる。その代わり、重要な会議への出席を認められた。  翌日、会議に出ていた若葉を、新堂響一(平山浩行)が見ていた。得意げな若葉は、響一が言い出すよりも早く、響一を夕食に誘う。すると、そこへ、おかもちを提げた草太が現れた。若葉は草太に聞こえるように響一に声をかけ…。鮎川若葉:　新垣結衣　  山田草太:　錦戸亮  　〇　  新堂響一:　平山浩行　  汐田そよ子:　蓮佛美沙子　  西野健太郎:　鈴木亮平　  花村うらら:　皆藤愛子  　〇　  花村仁:　竹内力  　〇　  モーリス佐古田:　佐藤二朗　  鶏井宏:　皆川猿時　  九条実夏:　青山倫子　  林佐間男:　荒川良々  　〇　  桜川昇子:　薬師丸ひろ子【脚本】  吉田智子(『美女か野獣』『働きマン』『黄金の豚』ほか)【演出】  武内英樹(『神様、もう少しだけ』『カバチタレ』『電車男』『のだめカンタービレ』ほか)Face2fAKE　    【主題歌】Every　Little　Thing　  【エンディング】関ジャニ∞フジテレビドラマ制作センター</t>
  </si>
  <si>
    <t>朝、目を覚ました鮎川若葉(新垣結衣)は服のまま寝ていたことを不審に思うが、前夜の記憶はまったくない。  一方、若葉とのキスを鮮明に覚えている山田草太(錦戸亮)は、仕事が手に付かない。  同じ頃、桜川昇子(薬師丸ひろ子)は、娘・日向(谷花音)に、若葉は来ないだろうと話した。と、そこへ若葉が現れ、試用期間でも合理的な理由がない解雇は認められない、と主張。日向を保育園へと送り届けると、そこで草太と鉢合わせする。若葉は、草太に難癖を付け、草太が、酔っ払った若葉を家に送っただけだ、と説明しても聞き入れない。そこで、林佐間男(荒川良々)らも、若葉が草太にキスしたのだ、と加勢。若葉は、キスが事実だとしても、それは草太が強引にしたことだ、と言い張る。  そんな折、子どもを交代で預かる輪番当番が若葉に回ってきた。若葉の部屋にやってきた林らは、その古さと狭さに驚くが、若葉は自信満々で子どもを預かった。  その後、子どもを迎えに来た草太は、手作り弁当を持たせる「お弁当の日」が来週あると教えた。若葉は、それを昇子に報告すると、作るようにと命じられる。その代わり、重要な会議への出席を認められた。  翌日、会議に出ていた若葉を、新堂響一(平山浩行)が見ていた。得意げな若葉は、響一が言い出すよりも早く、響一を夕食に誘う。すると、そこへ、おかもちを提げた草太が現れた。若葉は草太に聞こえるように響一に声をかけ…。</t>
  </si>
  <si>
    <t>番組名全開ガール　#03</t>
  </si>
  <si>
    <t>鮎川若葉(新垣結衣)は、依然、山田草太(錦戸亮)とのキスの記憶にとらわれていた。  一方の草太は、若葉に突き飛ばされ鼻にケガを負い、絆創膏を貼り保育園にやってきた。それを見た林佐間男(荒川良々)らは若葉を訴えろ、などと騒ぎはじめるが、若葉は、刑法上、過失による暴行は処罰規定がない、と動じない。  そんな折、若葉は大手商社で打ち合わせ中の桜川昇子(薬師丸ひろ子)に書類を届けることに。昇子は、外国人CEOと談笑しながら、桁違いに大きな交渉をしていた。それを見た若葉は、これが自分が目指す世界だと、目を輝かす。と、昇子から、保育園の保護者役員会への代理出席を命じられる。  役員会に出席した若葉は、花村うらら(皆藤愛子)から、この日の議題が「泥んこ遊び」の是非を問うものだと聞く。保育園では、園長の花村仁(竹内力)が「泥んこ遊び」を提唱してきたが、近年保護者から中止を求める声が相次いでいた。集まった役員からも、中止に賛同する声が聞かれ、反対したのは若葉と草太だけだった。  結果に納得がいかない草太は、若葉に一緒に役員たちを説得して回ろう、と声をかけるが、若葉はそれを拒否する。  そんな中、新堂響一(平山浩行)は、若葉にあるトラブル処理を任せた。例の大手商社が特許を取った商品でケガをした子供の親が怒っているのを収めろ、というのだ。それを承知した若葉は、事務所に来た母親に示談金を提示するという荒技に出た。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薬師丸ひろ【脚本】  吉田智子(『美女か野獣』『働きマン』『黄金の豚』ほか)【演出】  武内英樹(『神様、もう少しだけ』『カバチタレ』『電車男』『のだめカンタービレ』ほか)Face2fAKE　    【主題歌】Every　Little　Thing　  【エンディング】関ジャニ∞フジテレビドラマ制作センター</t>
  </si>
  <si>
    <t>鮎川若葉(新垣結衣)は、依然、山田草太(錦戸亮)とのキスの記憶にとらわれていた。  一方の草太は、若葉に突き飛ばされ鼻にケガを負い、絆創膏を貼り保育園にやってきた。それを見た林佐間男(荒川良々)らは若葉を訴えろ、などと騒ぎはじめるが、若葉は、刑法上、過失による暴行は処罰規定がない、と動じない。  そんな折、若葉は大手商社で打ち合わせ中の桜川昇子(薬師丸ひろ子)に書類を届けることに。昇子は、外国人CEOと談笑しながら、桁違いに大きな交渉をしていた。それを見た若葉は、これが自分が目指す世界だと、目を輝かす。と、昇子から、保育園の保護者役員会への代理出席を命じられる。  役員会に出席した若葉は、花村うらら(皆藤愛子)から、この日の議題が「泥んこ遊び」の是非を問うものだと聞く。保育園では、園長の花村仁(竹内力)が「泥んこ遊び」を提唱してきたが、近年保護者から中止を求める声が相次いでいた。集まった役員からも、中止に賛同する声が聞かれ、反対したのは若葉と草太だけだった。  結果に納得がいかない草太は、若葉に一緒に役員たちを説得して回ろう、と声をかけるが、若葉はそれを拒否する。  そんな中、新堂響一(平山浩行)は、若葉にあるトラブル処理を任せた。例の大手商社が特許を取った商品でケガをした子供の親が怒っているのを収めろ、というのだ。それを承知した若葉は、事務所に来た母親に示談金を提示するという荒技に出た。</t>
  </si>
  <si>
    <t>番組名全開ガール　#04</t>
  </si>
  <si>
    <t>鮎川若葉(新垣結衣)は、山田草太(錦戸亮)とのキスの記憶を消すためにも、新堂響一(平山浩行)と付き合うことを決めた。ただし、仕事同様、恋も“試用期間"からだと宣言した。  　そんな折、若葉は女性らしくオシャレな洋服を購入。早速、桜川日向(谷花音)の見送りのときに着ると、行き交う人が振り返る。そんなまぶしい若葉を見つけた草太は、思わず隠れてしまう。  　法律事務所では桜川昇子(薬師丸ひろ子)が、若葉の変化に気づき、男ができたのか、と聞く。そんななか、若葉は、響一の口添えで大手商社が特許侵害で訴えられた件を担当。初めてのビジネス弁護士らしい仕事に若葉は喜びを隠せない。  　その後、若葉は、林佐間男(荒川良々)らから、“付き合っている男"のことを聞かれる。若葉は、草太を意識しながら、彼は一緒に夢を描ける相手だと説明した。    　翌日、響一と高級フレンチレストランで食事をしていた若葉は、前菜のおいしさに驚嘆した。すると、響一がその言葉はシェフに伝えたほうがいい、とマネジャーに声をかけた。やがてシェフとともに現れたのは、草太だった。手伝いで呼ばれたという草太を、シェフは才能ある料理人だと紹介。驚く若葉に響一は、レストランで働けるだけでも名誉だが、前菜を任されるのは腕を見込まれた証拠だと話した。若葉は、それほど才能のある草太が、なぜレストランを辞めたのかが気にかかり…。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薬師丸ひろ子【脚本】  吉田智子(『美女か野獣』『働きマン』『黄金の豚』ほか)【演出】  武内英樹(『神様、もう少しだけ』『カバチタレ』『電車男』『のだめカンタービレ』ほか)Face2fAKE　    【主題歌】Every　Little　Thing　  【エンディング】関ジャニ∞フジテレビドラマ制作センター</t>
  </si>
  <si>
    <t>鮎川若葉(新垣結衣)は、山田草太(錦戸亮)とのキスの記憶を消すためにも、新堂響一(平山浩行)と付き合うことを決めた。ただし、仕事同様、恋も“試用期間"からだと宣言した。  　そんな折、若葉は女性らしくオシャレな洋服を購入。早速、桜川日向(谷花音)の見送りのときに着ると、行き交う人が振り返る。そんなまぶしい若葉を見つけた草太は、思わず隠れてしまう。  　法律事務所では桜川昇子(薬師丸ひろ子)が、若葉の変化に気づき、男ができたのか、と聞く。そんななか、若葉は、響一の口添えで大手商社が特許侵害で訴えられた件を担当。初めてのビジネス弁護士らしい仕事に若葉は喜びを隠せない。  　その後、若葉は、林佐間男(荒川良々)らから、“付き合っている男"のことを聞かれる。若葉は、草太を意識しながら、彼は一緒に夢を描ける相手だと説明した。    　翌日、響一と高級フレンチレストランで食事をしていた若葉は、前菜のおいしさに驚嘆した。すると、響一がその言葉はシェフに伝えたほうがいい、とマネジャーに声をかけた。やがてシェフとともに現れたのは、草太だった。手伝いで呼ばれたという草太を、シェフは才能ある料理人だと紹介。驚く若葉に響一は、レストランで働けるだけでも名誉だが、前菜を任されるのは腕を見込まれた証拠だと話した。若葉は、それほど才能のある草太が、なぜレストランを辞めたのかが気にかかり…。</t>
  </si>
  <si>
    <t>番組名全開ガール　#05</t>
  </si>
  <si>
    <t>鮎川若葉(新垣結衣)は、新堂響一(平山浩行)と付き合いながらも、山田草太(錦戸亮)への気持ちを打ち消せずにいた。桜川日向(谷花音)から、草太が好きなんだろうと聞かれ否定はするが、本心は自分が一番よくわかっていた。  一方、汐田そよ子(蓮佛美沙子)に告白された草太を、林佐間男(荒川良々)らは盛り立てるが、草太の気持ちを知るビー太郎(高木星来)は、若葉に告白するようプッシュする。  そよ子から、草太に告白したと聞いた若葉は、激しく動揺し仕事でミスを連発、桜川昇子(薬師丸ひろ子)からも叱責される。  そんな折、若葉は響一からクラシックの演奏会に誘われた。音楽家でもある響一の母親が、若葉に会いたがっているというのだ。響一からドレスをプレゼントされた若葉は、これこそが自分にふさわしい世界だと思い直す。しかし、日向を迎えに行った草太の店で、甲斐甲斐しく振舞っているそよ子を見ると、再び心が乱される。  同じ頃、花村うらら(皆藤愛子)が、見合いをするというニュースが飛び込んできた。うららが好きな佐間男はショックを受けるが、佐間男は諦めるどころか、ほかの人に取られる前に自分の気持ちを伝えると宣言し、見合い場所のサロンへと乗り込んでいく。  佐間男を追いかけてサロンへやってきた草太は、そこで、演奏会に来ていた若葉と響一を目撃。美しいドレスに身を包み輝いている若葉に、自分とは住む世界が違うのだ、と痛感する。鮎川若葉: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薬師丸ひろ子【脚本】  吉田智子(『美女か野獣』『働きマン』『黄金の豚』ほか)【演出】  武内英樹(『神様、もう少しだけ』『カバチタレ』『電車男』『のだめカンタービレ』ほか)Face2fAKE　    【主題歌】Every　Little　Thing　  【エンディング】関ジャニ∞フジテレビドラマ制作センター</t>
  </si>
  <si>
    <t>鮎川若葉(新垣結衣)は、新堂響一(平山浩行)と付き合いながらも、山田草太(錦戸亮)への気持ちを打ち消せずにいた。桜川日向(谷花音)から、草太が好きなんだろうと聞かれ否定はするが、本心は自分が一番よくわかっていた。  一方、汐田そよ子(蓮佛美沙子)に告白された草太を、林佐間男(荒川良々)らは盛り立てるが、草太の気持ちを知るビー太郎(高木星来)は、若葉に告白するようプッシュする。  そよ子から、草太に告白したと聞いた若葉は、激しく動揺し仕事でミスを連発、桜川昇子(薬師丸ひろ子)からも叱責される。  そんな折、若葉は響一からクラシックの演奏会に誘われた。音楽家でもある響一の母親が、若葉に会いたがっているというのだ。響一からドレスをプレゼントされた若葉は、これこそが自分にふさわしい世界だと思い直す。しかし、日向を迎えに行った草太の店で、甲斐甲斐しく振舞っているそよ子を見ると、再び心が乱される。  同じ頃、花村うらら(皆藤愛子)が、見合いをするというニュースが飛び込んできた。うららが好きな佐間男はショックを受けるが、佐間男は諦めるどころか、ほかの人に取られる前に自分の気持ちを伝えると宣言し、見合い場所のサロンへと乗り込んでいく。  佐間男を追いかけてサロンへやってきた草太は、そこで、演奏会に来ていた若葉と響一を目撃。美しいドレスに身を包み輝いている若葉に、自分とは住む世界が違うのだ、と痛感する。</t>
  </si>
  <si>
    <t>番組名全開ガール　#06</t>
  </si>
  <si>
    <t>鮎川若葉(新垣結衣)は、山田草太(錦戸亮)にキスをする汐田そよ子(蓮佛美沙子)を目撃。ショックを受けて保育園を飛び出していく。そして、家に戻ると涙を流し、草太が好きなことを自覚する。  翌朝弁護士事務所では、桜川昇子(薬師丸ひろ子)がいらついた様子で、新堂響一(平山浩行)を探していた。響一が、メインクライアントの大手商社の会長と昇子に断りもなく会食していたことが発覚したのだ。そんななか若葉は、そよ子に呼びとめられ、草太をどう思っているのか、と聞かれる。若葉がなんとも思っていないと断言すると、そよ子は安堵の表情を見せた。若葉は、草太への思いを封印することを心に誓うと、そのまま響一の部屋を訪ね、自分を公私ともにパートナーにしてくれ、と頼んだ。  その頃保育園では、子供たちが行うお遊戯の配役が決まった。王子役を演じるのはビー太郎(高木星来)で、ヒロインの姫役には桜川日向(谷花音)が決まったが、日向はそれをほかの子に譲り、なぜか魔女役に立候補した。  しかしその後、昇子、日向と食事をした若葉は、自分が姫役だと平然と話す日向に驚く。そんな折、仕事のトラブルで急きょ出張が決まった昇子に言われ、若葉は自宅で日向を預かることに。そして翌日、若葉は日向のたっての希望で朝食をとりに草太の店にやってくると、草太は四苦八苦しながらビー太郎の衣装を縫っていた。それを見た若葉は、草太から衣装を奪い取ると…。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薬師丸ひろ子【脚本】  吉田智子(『美女か野獣』『働きマン』『黄金の豚』ほか)【演出】  武内英樹(『神様、もう少しだけ』『カバチタレ』『電車男』『のだめカンタービレ』ほか)Face2fAKE　    【主題歌】Every　Little　Thing　  【エンディング】関ジャニ∞フジテレビドラマ制作センター</t>
  </si>
  <si>
    <t>鮎川若葉(新垣結衣)は、山田草太(錦戸亮)にキスをする汐田そよ子(蓮佛美沙子)を目撃。ショックを受けて保育園を飛び出していく。そして、家に戻ると涙を流し、草太が好きなことを自覚する。  翌朝弁護士事務所では、桜川昇子(薬師丸ひろ子)がいらついた様子で、新堂響一(平山浩行)を探していた。響一が、メインクライアントの大手商社の会長と昇子に断りもなく会食していたことが発覚したのだ。そんななか若葉は、そよ子に呼びとめられ、草太をどう思っているのか、と聞かれる。若葉がなんとも思っていないと断言すると、そよ子は安堵の表情を見せた。若葉は、草太への思いを封印することを心に誓うと、そのまま響一の部屋を訪ね、自分を公私ともにパートナーにしてくれ、と頼んだ。  その頃保育園では、子供たちが行うお遊戯の配役が決まった。王子役を演じるのはビー太郎(高木星来)で、ヒロインの姫役には桜川日向(谷花音)が決まったが、日向はそれをほかの子に譲り、なぜか魔女役に立候補した。  しかしその後、昇子、日向と食事をした若葉は、自分が姫役だと平然と話す日向に驚く。そんな折、仕事のトラブルで急きょ出張が決まった昇子に言われ、若葉は自宅で日向を預かることに。そして翌日、若葉は日向のたっての希望で朝食をとりに草太の店にやってくると、草太は四苦八苦しながらビー太郎の衣装を縫っていた。それを見た若葉は、草太から衣装を奪い取ると…。</t>
  </si>
  <si>
    <t>番組名全開ガール　#07</t>
  </si>
  <si>
    <t>鮎川若葉(新垣結衣)は、山田草太(錦戸亮)が、元妻・リリカ(浅見れいな)に振り回されていることに腹を立て、勢いで新堂響一(平山浩行)のプロポーズを受けてしまったことを後悔していた。  　そんな折、若葉はアパートを訪ねてきた響一に連れられ、高級宝石店にやってくる。そこで響一がオーダーしていた婚約指輪を渡された。美しく光り輝く指輪に若葉の気持ちは高揚する。  　一方の草太は、リリカとの復縁はないと断言するが、妙にテンションが高く、林佐間男(荒川良々)らは心配になる。  　若葉は、そんな草太にあてつけるように指輪を掲げ、響一と婚約したことを告げた。若葉と響一の婚約のニュースは、法律事務所でも話題となり、桜川昇子(薬師丸ひろ子)も興味を示す。  　そんななか若葉は、メモを持ち何かを探している草太を目撃する。若葉が後を追うと、草太はビジネスホテルへ入っていった。そこでリリカと落ち合った草太は、ホテル内のカフェで何やら話しはじめる。話の内容がよく聞こえない若葉は、身を乗り出していくうち、ワゴンとぶつかり大きな音を立ててしまう。  　同じ頃、保育園でヒヨコを飼うことになり、桜川日向(谷花音)や山田ビー太郎(高木星来)ら子どもたちは大喜び。しかし、若葉は「鶏はペットではなく家畜だ」などと現実的なことを言い、周囲を驚かす。  　そんな折、若葉を呼び止めた草太は、自分の正直な気持ちを伝えたいと言い…。鮎川若葉: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薬師丸ひろ子【脚本】  吉田智子(『美女か野獣』『働きマン』『黄金の豚』ほか)【演出】  武内英樹(『神様、もう少しだけ』『カバチタレ』『電車男』『のだめカンタービレ』ほか)Face2fAKE　    【主題歌】Every　Little　Thing　  【エンディング】関ジャニ∞フジテレビドラマ制作センター</t>
  </si>
  <si>
    <t>鮎川若葉(新垣結衣)は、山田草太(錦戸亮)が、元妻・リリカ(浅見れいな)に振り回されていることに腹を立て、勢いで新堂響一(平山浩行)のプロポーズを受けてしまったことを後悔していた。  　そんな折、若葉はアパートを訪ねてきた響一に連れられ、高級宝石店にやってくる。そこで響一がオーダーしていた婚約指輪を渡された。美しく光り輝く指輪に若葉の気持ちは高揚する。  　一方の草太は、リリカとの復縁はないと断言するが、妙にテンションが高く、林佐間男(荒川良々)らは心配になる。  　若葉は、そんな草太にあてつけるように指輪を掲げ、響一と婚約したことを告げた。若葉と響一の婚約のニュースは、法律事務所でも話題となり、桜川昇子(薬師丸ひろ子)も興味を示す。  　そんななか若葉は、メモを持ち何かを探している草太を目撃する。若葉が後を追うと、草太はビジネスホテルへ入っていった。そこでリリカと落ち合った草太は、ホテル内のカフェで何やら話しはじめる。話の内容がよく聞こえない若葉は、身を乗り出していくうち、ワゴンとぶつかり大きな音を立ててしまう。  　同じ頃、保育園でヒヨコを飼うことになり、桜川日向(谷花音)や山田ビー太郎(高木星来)ら子どもたちは大喜び。しかし、若葉は「鶏はペットではなく家畜だ」などと現実的なことを言い、周囲を驚かす。  　そんな折、若葉を呼び止めた草太は、自分の正直な気持ちを伝えたいと言い…。</t>
  </si>
  <si>
    <t>番組名全開ガール　#08</t>
  </si>
  <si>
    <t>鮎川若葉(新垣結衣)は、自分と新堂響一(平山浩行)の婚約パーティーが催されたレストランに駆けつけたが、会はすでにお開きとなっていた。しかし、そこには桜川昇子(薬師丸ひろ子)がいて、若葉に本気で響一と結婚するつもりなのかと尋ねた。若葉は迷いを見せながらも、自分の気持ちは変わらないと結婚への意志を示す。法律事務所に戻った若葉は、響一や汐田そよ子(蓮佛美沙子)らにパーティーの件を謝罪。しかし、欠席した理由を病人を介抱をしていたから、とウソをついてしまう。そんな折、響一から、結納を行いたいので若葉の父親に上京してもらえないか、と連絡が入った。金にだらしがなく貧しい自分の父親を響一の両親に引き合わせたくない若葉は、父親に電報を打ち、上京を断るようにと指示した。ところが数日後、若葉の父・久男(神戸浩)が突然、法律事務所にやってきた。驚愕した若葉は、響一に見つからないうちに父親を連れ出そうとするが、そんな2人に昇子が声をかける。その後、保育園に桜川日向(谷花音)を迎えにいった若葉は、そこで父親が結納のために上京していることを話した。それを聞いた山田草太(錦戸亮)はなんとか冷静さを保つが、ビー太郎(高木星来)が草太にそれでいいのかと聞く。  　すると日向も、若葉に迷いはないのかと尋ねた。若葉は、自分は上昇あるのみで迷うことなどないと言い…。鮎川若葉: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薬師丸ひろ子【脚本】  吉田智子(『美女か野獣』『働きマン』『黄金の豚』ほか)【演出】  武内英樹(『神様、もう少しだけ』『カバチタレ』『電車男』『のだめカンタービレ』ほか)Face2fAKE　    【主題歌】Every　Little　Thing　  【エンディング】関ジャニ∞フジテレビドラマ制作センター</t>
  </si>
  <si>
    <t>鮎川若葉(新垣結衣)は、自分と新堂響一(平山浩行)の婚約パーティーが催されたレストランに駆けつけたが、会はすでにお開きとなっていた。しかし、そこには桜川昇子(薬師丸ひろ子)がいて、若葉に本気で響一と結婚するつもりなのかと尋ねた。若葉は迷いを見せながらも、自分の気持ちは変わらないと結婚への意志を示す。法律事務所に戻った若葉は、響一や汐田そよ子(蓮佛美沙子)らにパーティーの件を謝罪。しかし、欠席した理由を病人を介抱をしていたから、とウソをついてしまう。そんな折、響一から、結納を行いたいので若葉の父親に上京してもらえないか、と連絡が入った。金にだらしがなく貧しい自分の父親を響一の両親に引き合わせたくない若葉は、父親に電報を打ち、上京を断るようにと指示した。ところが数日後、若葉の父・久男(神戸浩)が突然、法律事務所にやってきた。驚愕した若葉は、響一に見つからないうちに父親を連れ出そうとするが、そんな2人に昇子が声をかける。その後、保育園に桜川日向(谷花音)を迎えにいった若葉は、そこで父親が結納のために上京していることを話した。それを聞いた山田草太(錦戸亮)はなんとか冷静さを保つが、ビー太郎(高木星来)が草太にそれでいいのかと聞く。  　すると日向も、若葉に迷いはないのかと尋ねた。若葉は、自分は上昇あるのみで迷うことなどないと言い…。</t>
  </si>
  <si>
    <t>番組名全開ガール　#09</t>
  </si>
  <si>
    <t>鮎川若葉(新垣結衣)は桜川日向(谷花音)に聞かれ、山田草太(錦戸亮)が好きだと認めた。しかし、自分の信念や夢を曲げることは出来ないから、新堂響一(平山浩行)と結婚すると言う。同じ頃、草太もビー太郎(高木星来)に聞かれ、若葉が好きだと明かした。  若葉と響一はすでに結納を交わしていたが、若葉も草太も自分の気持ちを相手に伝えたいと思っていた。そんな折、若葉は桜川昇子(薬師丸ひろ子)から法律事務所のクライアントの大手商社が、ある玩具工房のオモチャを特許侵害で訴えると聞かされ、その準備に入った。ところがそこは、草太のイクメン仲間の西野健太郎(鈴木亮平)が勤める工房だった。木製の温もりのあるオモチャを作る小さな工房が、大きな商社により不当な製造差し止めの危機に陥っていることに、林佐間男(荒川良々)、鶏井宏(皆川猿時)は怒り心頭。そこで、西野らは若葉になんとか工房を救ってほしいと頼むが、若葉は自分は商社側の弁護士なので力にはなれないと拒否。その後、草太から、本心では仲間の西野を助けようと思っているのではと聞かれるが、若葉は戸惑いながらも手助けはできないと告げた。さらに佐間男らは法律事務所に来て、九条実夏(青山倫子)に戦う術を教えてほしいと直訴。汐田そよ子(蓮佛美沙子)もそれを応援する。そんなやりとりを見かけた響一は、若葉に味方だと信じていいのか、と意思を確認。若葉は迷いながらも「はい」と答えた。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薬師丸ひろ子【脚本】  吉田智子【演出】  川村泰祐Face2fAKE　    【主題歌】Every　Little　Thing　  【エンディング】関ジャニ∞</t>
  </si>
  <si>
    <t>鮎川若葉(新垣結衣)は桜川日向(谷花音)に聞かれ、山田草太(錦戸亮)が好きだと認めた。しかし、自分の信念や夢を曲げることは出来ないから、新堂響一(平山浩行)と結婚すると言う。同じ頃、草太もビー太郎(高木星来)に聞かれ、若葉が好きだと明かした。  若葉と響一はすでに結納を交わしていたが、若葉も草太も自分の気持ちを相手に伝えたいと思っていた。そんな折、若葉は桜川昇子(薬師丸ひろ子)から法律事務所のクライアントの大手商社が、ある玩具工房のオモチャを特許侵害で訴えると聞かされ、その準備に入った。ところがそこは、草太のイクメン仲間の西野健太郎(鈴木亮平)が勤める工房だった。木製の温もりのあるオモチャを作る小さな工房が、大きな商社により不当な製造差し止めの危機に陥っていることに、林佐間男(荒川良々)、鶏井宏(皆川猿時)は怒り心頭。そこで、西野らは若葉になんとか工房を救ってほしいと頼むが、若葉は自分は商社側の弁護士なので力にはなれないと拒否。その後、草太から、本心では仲間の西野を助けようと思っているのではと聞かれるが、若葉は戸惑いながらも手助けはできないと告げた。さらに佐間男らは法律事務所に来て、九条実夏(青山倫子)に戦う術を教えてほしいと直訴。汐田そよ子(蓮佛美沙子)もそれを応援する。そんなやりとりを見かけた響一は、若葉に味方だと信じていいのか、と意思を確認。若葉は迷いながらも「はい」と答えた。</t>
  </si>
  <si>
    <t>番組名全開ガール　#10</t>
  </si>
  <si>
    <t>鮎川若葉(新垣結衣)は、山田草太(錦戸亮)にフラれたショックを振り切るかのように、新堂響一(平山浩行)との結婚に向かってまい進する。若葉から花嫁介添人の仕切り役に任命された桜川日向(谷花音)は、本当にいいのかと念押しするが、若葉は告白してフラれたのだから清々しい気持ちで式に臨めると笑顔を見せた。草太は、汐田そよ子(蓮佛美沙子)と正式に付き合うことになった、と佐間男(荒川良々)らに報告。草太は、そよ子を真剣に愛せるよう努力するつもりだと決意を述べる。それを聞いたビー太郎(高木星来)も、草太が決めたことならと納得する。  そんな折、法律事務所に若葉を訪ねてリリカ(浅見れいな)がやってくる。リリカは、ニューヨークに戻ったがビー太郎を自分の手で育てたくなり、親権取得の代理交渉を若葉に頼むために再帰国したという。早速、若葉はその件を桜川昇子(薬師丸ひろ子)に報告。昇子は依頼を受けることを認めたが、そんな昇子の手もとには家庭裁判所から届いた「調停期日呼出状」というものがあった。リリカがビー太郎を引き取ろうとし、その交渉を若葉がやると聞いた草太は、大きなショックを受ける。しかし、ビー太郎にとって誰といるのが本当の幸せなのか、と冷静に考え始め、ビー太郎の本心を探るべく、リリカとビー太郎が1日一緒に過ごすことを許可した。そこに同行した若葉は、母との時間を笑顔で満喫するビー太郎を複雑な思いで見る。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薬師丸ひろ子【脚本】  吉田智子【演出】  谷村政樹Face2fAKE　    【主題歌】Every　Little　Thing　  【エンディング】関ジャニ∞フジテレビドラマ制作センター</t>
  </si>
  <si>
    <t>鮎川若葉(新垣結衣)は、山田草太(錦戸亮)にフラれたショックを振り切るかのように、新堂響一(平山浩行)との結婚に向かってまい進する。若葉から花嫁介添人の仕切り役に任命された桜川日向(谷花音)は、本当にいいのかと念押しするが、若葉は告白してフラれたのだから清々しい気持ちで式に臨めると笑顔を見せた。草太は、汐田そよ子(蓮佛美沙子)と正式に付き合うことになった、と佐間男(荒川良々)らに報告。草太は、そよ子を真剣に愛せるよう努力するつもりだと決意を述べる。それを聞いたビー太郎(高木星来)も、草太が決めたことならと納得する。  そんな折、法律事務所に若葉を訪ねてリリカ(浅見れいな)がやってくる。リリカは、ニューヨークに戻ったがビー太郎を自分の手で育てたくなり、親権取得の代理交渉を若葉に頼むために再帰国したという。早速、若葉はその件を桜川昇子(薬師丸ひろ子)に報告。昇子は依頼を受けることを認めたが、そんな昇子の手もとには家庭裁判所から届いた「調停期日呼出状」というものがあった。リリカがビー太郎を引き取ろうとし、その交渉を若葉がやると聞いた草太は、大きなショックを受ける。しかし、ビー太郎にとって誰といるのが本当の幸せなのか、と冷静に考え始め、ビー太郎の本心を探るべく、リリカとビー太郎が1日一緒に過ごすことを許可した。そこに同行した若葉は、母との時間を笑顔で満喫するビー太郎を複雑な思いで見る。</t>
  </si>
  <si>
    <t>番組名全開ガール　#11</t>
  </si>
  <si>
    <t>鮎川若葉(新垣結衣)、山田草太(錦戸亮)、桜川日向(谷花音)は、リリカ(浅見れいな)とニューヨークに旅立つビー太郎(高木星来)を笑顔で見送った。そんな折、法律事務所では、クライアントの意向を受けて事務所所長を桜川昇子(薬師丸ひろ子)から新堂響一(平山浩行)に交代させることについての会議が開かれた。しかし、昇子から発表されたのは、「鮫島桜川法律事務所」が外資系大手の「スミス&amp;クラーク」と合併するという知らせだった。より世界的な事務所として生まれ変わらせた昇子の手腕を評価したクライアントは、昇子が事務所の全権を握ることに同意したという。それを聞いた響一は、事務所を辞める覚悟をするが、昇子は響一にニューヨークの代表を任せると言い、若葉にも現地で響一とともに勤務するよう命じた。完全に敗北した響一は若葉に、自分は事務所を去るから昇子の下で出世を目指すよう言い、自分との婚約も解消しようと提案した。しかし、いつになく弱気の響一に若葉は、一度決めたことだから響一とともにニューヨークに行くと答える。同じ頃、草太は汐田そよ子(蓮佛美沙子)に、若葉の結婚式当日に料理修業のためフランスに発つと告げた。そよ子が、なぜ若葉の結婚式の日に発つのかと尋ねると、自分がいない方が若葉のためだ、と草太は本音を漏らした。その言葉にそよ子はショックを受ける。一方、若葉は迫る結婚式を前に、自分の部屋の整理を始め…。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薬師丸ひろ子【脚本】  吉田智子【演出】  武内英樹Face2fAKE　    【主題歌】Every　Little　Thing　  【エンディング】関ジャニ∞</t>
  </si>
  <si>
    <t>鮎川若葉(新垣結衣)、山田草太(錦戸亮)、桜川日向(谷花音)は、リリカ(浅見れいな)とニューヨークに旅立つビー太郎(高木星来)を笑顔で見送った。そんな折、法律事務所では、クライアントの意向を受けて事務所所長を桜川昇子(薬師丸ひろ子)から新堂響一(平山浩行)に交代させることについての会議が開かれた。しかし、昇子から発表されたのは、「鮫島桜川法律事務所」が外資系大手の「スミス&amp;クラーク」と合併するという知らせだった。より世界的な事務所として生まれ変わらせた昇子の手腕を評価したクライアントは、昇子が事務所の全権を握ることに同意したという。それを聞いた響一は、事務所を辞める覚悟をするが、昇子は響一にニューヨークの代表を任せると言い、若葉にも現地で響一とともに勤務するよう命じた。完全に敗北した響一は若葉に、自分は事務所を去るから昇子の下で出世を目指すよう言い、自分との婚約も解消しようと提案した。しかし、いつになく弱気の響一に若葉は、一度決めたことだから響一とともにニューヨークに行くと答える。同じ頃、草太は汐田そよ子(蓮佛美沙子)に、若葉の結婚式当日に料理修業のためフランスに発つと告げた。そよ子が、なぜ若葉の結婚式の日に発つのかと尋ねると、自分がいない方が若葉のためだ、と草太は本音を漏らした。その言葉にそよ子はショックを受ける。一方、若葉は迫る結婚式を前に、自分の部屋の整理を始め…。</t>
  </si>
  <si>
    <t>1107_CX_火21</t>
  </si>
  <si>
    <t>番組名絶対零度～特殊犯罪潜入捜査～　#01</t>
  </si>
  <si>
    <t>八王子の事件後、警視庁内で大きな人事異動があり、桜木泉(上戸彩)は長嶋秀夫(北大路欣也)の異動と共に“警視庁特殊犯罪捜査対策室"に異動になった。  　ある朝、捜査班に半年で13名が死亡している企業の不祥事の死亡事故を調べるように指示が出る。同じ頃、テレビでは市民団体の代表者・朝倉千佳子(戸田菜穂)が企業の不祥事によって多発している死亡事故に対して批判の声をあげていた。企業恐喝を疑う捜査班。そして数人の被害者遺族から、事故の前に被害者が不審な男と話していたという目撃証言があり、防犯カメラの映像を分析した結果、その男が同一人物であることや男の生活圏内が判明した。  　男を探して捜査員たちが様々な扮装をして街に散る。やがて男を発見するが身元確認のためそのまま尾行することに。尾行中、男の近くでひったくりが起こり、犯人をつかまえようとする泉だが、瀧河信次郎(桐谷健太)は動くなという。納得のいかない泉は…。  　捜査の結果、男は介護士の飯野正也(田中幸太朗)と判明。飯野と同棲中の女性・藤井香織(前田亜季)の存在がわかると、泉に身分を隠して香織と接触するように命令がくだる。また、事故が起こる前から千佳子が代表の市民団体が、商品の危険性について抗議をしていたこともわかる。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PSYCHEDELICO(ビクターエンターテインメント)フジテレビ　  共同テレビ</t>
  </si>
  <si>
    <t>八王子の事件後、警視庁内で大きな人事異動があり、桜木泉(上戸彩)は長嶋秀夫(北大路欣也)の異動と共に“警視庁特殊犯罪捜査対策室"に異動になった。  　ある朝、捜査班に半年で13名が死亡している企業の不祥事の死亡事故を調べるように指示が出る。同じ頃、テレビでは市民団体の代表者・朝倉千佳子(戸田菜穂)が企業の不祥事によって多発している死亡事故に対して批判の声をあげていた。企業恐喝を疑う捜査班。そして数人の被害者遺族から、事故の前に被害者が不審な男と話していたという目撃証言があり、防犯カメラの映像を分析した結果、その男が同一人物であることや男の生活圏内が判明した。  　男を探して捜査員たちが様々な扮装をして街に散る。やがて男を発見するが身元確認のためそのまま尾行することに。尾行中、男の近くでひったくりが起こり、犯人をつかまえようとする泉だが、瀧河信次郎(桐谷健太)は動くなという。納得のいかない泉は…。  　捜査の結果、男は介護士の飯野正也(田中幸太朗)と判明。飯野と同棲中の女性・藤井香織(前田亜季)の存在がわかると、泉に身分を隠して香織と接触するように命令がくだる。また、事故が起こる前から千佳子が代表の市民団体が、商品の危険性について抗議をしていたこともわかる。</t>
  </si>
  <si>
    <t>番組名絶対零度～特殊犯罪潜入捜査～　#02</t>
  </si>
  <si>
    <t>半年で立て続けに起こっている企業の不祥事による死亡事故を調べていた桜木泉(上戸彩)ら特殊犯罪捜査班。実行犯の1人とにらんだ日高信之(和田聰宏)と、企業に改善をと訴え続ける市民団体の代表・朝倉千佳子(戸田菜穂)がつながっていると知り、主犯は千佳子とにらむ。  　白石晋太郎(中原丈雄)と磯村亮平(小林高鹿)は架空の市民団体を名乗り、協力依頼と称して千佳子の市民団体事務所に行く。隙を見つけ、集音器付き小型カメラを事務所に仕掛ける白石。一方、もう1人の実行犯の可能性がある飯野正也(田中幸太朗)の同棲相手の藤井香織(前田亜季)と身分を隠して仲良くなっていた泉は、香織が純粋に飯野を信じているのを知り胸を締め付けられながらも情報を聞き出そうとする。白石も市民団体の参加者の1人に言葉巧みに近づき、情報を得ようとしていた。  　そんな中、倉田工(杉本哲太)が一連の死亡事故が殺人である証拠を発見した。犯人は企業の信用を失わせ株価を操ることで莫大な金儲けをしていたのだ。企業の不祥事のタイミングなどを考えると、千佳子が絡んでいると考えて間違いはないと、ますます疑いを深める捜査班。白石は仲良くなった市民団体参加者の1人から、千佳子には“沢田"という近しい存在がいると情報を得た。調べてみると、沢田知己(平岳大)は団体の共同設立者で、ずいぶん前に団体を離れて海外で活動を行っていたことがわかった。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</si>
  <si>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半年で立て続けに起こっている企業の不祥事による死亡事故を調べていた桜木泉(上戸彩)ら特殊犯罪捜査班。実行犯の1人とにらんだ日高信之(和田聰宏)と、企業に改善をと訴え続ける市民団体の代表・朝倉千佳子(戸田菜穂)がつながっていると知り、主犯は千佳子とにらむ。  　白石晋太郎(中原丈雄)と磯村亮平(小林高鹿)は架空の市民団体を名乗り、協力依頼と称して千佳子の市民団体事務所に行く。隙を見つけ、集音器付き小型カメラを事務所に仕掛ける白石。一方、もう1人の実行犯の可能性がある飯野正也(田中幸太朗)の同棲相手の藤井香織(前田亜季)と身分を隠して仲良くなっていた泉は、香織が純粋に飯野を信じているのを知り胸を締め付けられながらも情報を聞き出そうとする。白石も市民団体の参加者の1人に言葉巧みに近づき、情報を得ようとしていた。  　そんな中、倉田工(杉本哲太)が一連の死亡事故が殺人である証拠を発見した。犯人は企業の信用を失わせ株価を操ることで莫大な金儲けをしていたのだ。企業の不祥事のタイミングなどを考えると、千佳子が絡んでいると考えて間違いはないと、ますます疑いを深める捜査班。白石は仲良くなった市民団体参加者の1人から、千佳子には“沢田"という近しい存在がいると情報を得た。調べてみると、沢田知己(平岳大)は団体の共同設立者で、ずいぶん前に団体を離れて海外で活動を行っていたことがわかった。</t>
  </si>
  <si>
    <t>番組名絶対零度～特殊犯罪潜入捜査～　#03</t>
  </si>
  <si>
    <t>桜木泉(上戸彩)は、出勤早々に瀧河信次郎(桐谷健太)に服装が派手過ぎると怒られ、スーツカタログを渡される。そんな中、長嶋秀夫(北大路欣也)から捜査命令が出た。  　国家プロジェクトでもある新薬を開発する医療機関MNPの研究員・野田(内倉憲二)がトラックにひかれた死亡事故の捜査で、野田が4人の男に追われていたことと、倒れた後に上着を探る男・北村正宗(阪田マサノブ)がいたことが判明した。上着を探ったのは通報者でありMNPの副所長であることから、施設内のトラブルが予想されたが、機密情報の漏えいを理由に情報開示を拒否されてしまい、泉と瀧河が施設内に潜入捜査を行うことになった。  　瀧河は警備員、泉は治験者としてMNPに潜入成功。瀧河は、野田を追っていた男たちが研究員であることがわかると研究室に集音器を仕掛けた。一方、泉も研究員の中に追っ手の1人を発見。その研究員が別の研究員と「野田は最低の研究者だった」と話しているのを立ち聞きしていたが、さらに別の研究員に見つかってしまう。つかまった泉は…。  　MNPの外で待機していた白石晋太郎(中原丈雄)や磯村亮平(小林高鹿)は、出てきた所長の東海林俊哉(小木茂光)と北村を追跡。北村が謎のロシア人と密会したことを突き止めた。また、瀧河は野田の事故の翌日に古株の警備員が1人辞めていることを聞き、その人物を調べるように指示を出す。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</si>
  <si>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桜木泉(上戸彩)は、出勤早々に瀧河信次郎(桐谷健太)に服装が派手過ぎると怒られ、スーツカタログを渡される。そんな中、長嶋秀夫(北大路欣也)から捜査命令が出た。  　国家プロジェクトでもある新薬を開発する医療機関MNPの研究員・野田(内倉憲二)がトラックにひかれた死亡事故の捜査で、野田が4人の男に追われていたことと、倒れた後に上着を探る男・北村正宗(阪田マサノブ)がいたことが判明した。上着を探ったのは通報者でありMNPの副所長であることから、施設内のトラブルが予想されたが、機密情報の漏えいを理由に情報開示を拒否されてしまい、泉と瀧河が施設内に潜入捜査を行うことになった。  　瀧河は警備員、泉は治験者としてMNPに潜入成功。瀧河は、野田を追っていた男たちが研究員であることがわかると研究室に集音器を仕掛けた。一方、泉も研究員の中に追っ手の1人を発見。その研究員が別の研究員と「野田は最低の研究者だった」と話しているのを立ち聞きしていたが、さらに別の研究員に見つかってしまう。つかまった泉は…。  　MNPの外で待機していた白石晋太郎(中原丈雄)や磯村亮平(小林高鹿)は、出てきた所長の東海林俊哉(小木茂光)と北村を追跡。北村が謎のロシア人と密会したことを突き止めた。また、瀧河は野田の事故の翌日に古株の警備員が1人辞めていることを聞き、その人物を調べるように指示を出す。</t>
  </si>
  <si>
    <t>番組名絶対零度～特殊犯罪潜入捜査～　#04</t>
  </si>
  <si>
    <t>桜木泉(上戸彩)や瀧河信次郎(桐谷健太)らに新しい捜査指令が出る。名門小学校・教応学園の児童3人がここ2カ月の間に何者かに連れ去られるのを目撃したという通報があったが、いずれも保護者からの通報がなく、学校側も全員の無事を確認しているという事件だ。12年前、教応学園の児童が誘拐され、捜査員のミスにより児童が殺害された事件があったことから学校側が隠していることも考えられ、誘拐事件の有無の確認をとることに。  　目撃情報付近の防犯カメラ映像に児童の大塚則人(青山和也)が連れ去られる様子が映っていたことから、誘拐事件があったと確信し、捜査を始める。倉田工(杉本哲太)と高峰涼子(山口紗弥加)は学校で教頭の氏家嘉子(七瀬なつみ)に聞き込みをするが、氏家は誘拐事件の存在を否定し、名簿の貸し出しも拒否する。捜査班は学校の花壇改装工事があることに目をつけ、泉と白石晋太郎(中原丈雄)と磯村亮平(小林高鹿)がガーデナーとして学園に潜入開始。泉は会議で職員室が空になる時間を見計らい、生徒たちの住所録と2カ月分の出席簿をカメラで写して分析班に転送した。  　3人の生徒が1週間休んでいたことがわかり、その内の1人が則人だった。深沢ユウキ(丸山智己)も協力し、3人の保護者をあたるも全員かたくなに口を閉ざしていた。瀧河の捜査で、事件に学校側も絡んでいる可能性も浮上してきた中、泉は則人に接触を試みるが…。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</si>
  <si>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桜木泉(上戸彩)や瀧河信次郎(桐谷健太)らに新しい捜査指令が出る。名門小学校・教応学園の児童3人がここ2カ月の間に何者かに連れ去られるのを目撃したという通報があったが、いずれも保護者からの通報がなく、学校側も全員の無事を確認しているという事件だ。12年前、教応学園の児童が誘拐され、捜査員のミスにより児童が殺害された事件があったことから学校側が隠していることも考えられ、誘拐事件の有無の確認をとることに。  　目撃情報付近の防犯カメラ映像に児童の大塚則人(青山和也)が連れ去られる様子が映っていたことから、誘拐事件があったと確信し、捜査を始める。倉田工(杉本哲太)と高峰涼子(山口紗弥加)は学校で教頭の氏家嘉子(七瀬なつみ)に聞き込みをするが、氏家は誘拐事件の存在を否定し、名簿の貸し出しも拒否する。捜査班は学校の花壇改装工事があることに目をつけ、泉と白石晋太郎(中原丈雄)と磯村亮平(小林高鹿)がガーデナーとして学園に潜入開始。泉は会議で職員室が空になる時間を見計らい、生徒たちの住所録と2カ月分の出席簿をカメラで写して分析班に転送した。  　3人の生徒が1週間休んでいたことがわかり、その内の1人が則人だった。深沢ユウキ(丸山智己)も協力し、3人の保護者をあたるも全員かたくなに口を閉ざしていた。瀧河の捜査で、事件に学校側も絡んでいる可能性も浮上してきた中、泉は則人に接触を試みるが…。</t>
  </si>
  <si>
    <t>番組名絶対零度～特殊犯罪潜入捜査～　#05</t>
  </si>
  <si>
    <t>桜木泉(上戸彩)ら特殊班のもとに長嶋(北大路欣也)から新たな捜査指令が出た。この3カ月、いくつかの場所で通常の5倍もの件数のひったくり、車上荒らし、痴漢、児童連れ去りなどの事件が発生している。その場所はいずれも、科学警察研究所の研究員、前島誠司(高杉亘)が作成した防犯マップで危険度が高いと指定された場所だった。さらには、事件が多発した町田市と江戸川区に設置されている周囲1kmの防犯カメラから、それぞれ同じ40代男性が乗車している偽造ナンバーの車両が発見されたのだ。特殊班はこの男と事件の関連性、さらに犯人が防犯マップを参考に事件を起こしているのではないかとみて、捜査に乗り出した。  　泉と白石(中原丈雄)は、前島が地域住民と行っている防犯マップ作りのボランティア活動に潜入捜査をすることになった。そこで泉はボランティアとして毎回参加している梶田真之(松林慎司)という男性と出会う。高峰涼子(山口紗弥加)のプロファイルによると、泉に話しかけられた梶田は明らかに動揺していることがわかった。そこで、白石が梶田をマークすると、梶田が前島の資料と地域住民で作った資料をコピーして持ち出しているところを発見した。白石から報告を受けた瀧河(桐谷健太)、磯村(小林高鹿)らは梶田を追うことに・・・。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</si>
  <si>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桜木泉(上戸彩)ら特殊班のもとに長嶋(北大路欣也)から新たな捜査指令が出た。この3カ月、いくつかの場所で通常の5倍もの件数のひったくり、車上荒らし、痴漢、児童連れ去りなどの事件が発生している。その場所はいずれも、科学警察研究所の研究員、前島誠司(高杉亘)が作成した防犯マップで危険度が高いと指定された場所だった。さらには、事件が多発した町田市と江戸川区に設置されている周囲1kmの防犯カメラから、それぞれ同じ40代男性が乗車している偽造ナンバーの車両が発見されたのだ。特殊班はこの男と事件の関連性、さらに犯人が防犯マップを参考に事件を起こしているのではないかとみて、捜査に乗り出した。  　泉と白石(中原丈雄)は、前島が地域住民と行っている防犯マップ作りのボランティア活動に潜入捜査をすることになった。そこで泉はボランティアとして毎回参加している梶田真之(松林慎司)という男性と出会う。高峰涼子(山口紗弥加)のプロファイルによると、泉に話しかけられた梶田は明らかに動揺していることがわかった。そこで、白石が梶田をマークすると、梶田が前島の資料と地域住民で作った資料をコピーして持ち出しているところを発見した。白石から報告を受けた瀧河(桐谷健太)、磯村(小林高鹿)らは梶田を追うことに・・・。</t>
  </si>
  <si>
    <t>番組名絶対零度～特殊犯罪潜入捜査～　#06</t>
  </si>
  <si>
    <t>桜木泉(上戸彩)は記憶力や洞察力を高めるために瀧河信次郎(桐谷健太)から出された課題に取り組んでいた。するとそこへ長嶋秀夫(北大路欣也)から捜査指令が出された。その捜査とは3日前に起きた有働邸の強盗傷害事件である。有働邸にある画家ロメールのアジュール3部作と言われる名画の1枚が盗まれ、さらに、有働邸に勤める管理人がナイフで刺され意識不明の重体となっている事件であった。  　泉ら特殊班のメンバーが、有働邸及び周辺に設置されている監視カメラの事件数日前の映像を調べ始めると、大広間に有働前会長(浜田晃)の娘である三奈子(霧島れいか)と、関東美術大学の講師であると身分を偽る男の姿が映っていた。そして、その男は三奈子の目を盗み奥の部屋へと消えていった。さらに、その男が有働前会長の自宅を訪れた2時間後に別の監視カメラに、海外でも評価の高い日本人洋画家である椎名清剛(石黒賢)と駐車場で接触していることがわかった。椎名もこの犯行に関与している可能性があると見た捜査班は、泉を椎名の家にハウスキーパーとして潜入捜査させる。  　泉は椎名宅につぎつぎと小型カメラを設置。すると、有働邸のカメラに映し出されていた男が椎名宅を訪ねてくる映像が映し出された。男は上原画廊で椎名の作品を担当している職員と判明。上原画廊の責任者・上原秀典(井上肇)は裏で盗品の買取りなど、際どいビジネスをしている噂もある人物だった…。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</si>
  <si>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桜木泉(上戸彩)は記憶力や洞察力を高めるために瀧河信次郎(桐谷健太)から出された課題に取り組んでいた。するとそこへ長嶋秀夫(北大路欣也)から捜査指令が出された。その捜査とは3日前に起きた有働邸の強盗傷害事件である。有働邸にある画家ロメールのアジュール3部作と言われる名画の1枚が盗まれ、さらに、有働邸に勤める管理人がナイフで刺され意識不明の重体となっている事件であった。  　泉ら特殊班のメンバーが、有働邸及び周辺に設置されている監視カメラの事件数日前の映像を調べ始めると、大広間に有働前会長(浜田晃)の娘である三奈子(霧島れいか)と、関東美術大学の講師であると身分を偽る男の姿が映っていた。そして、その男は三奈子の目を盗み奥の部屋へと消えていった。さらに、その男が有働前会長の自宅を訪れた2時間後に別の監視カメラに、海外でも評価の高い日本人洋画家である椎名清剛(石黒賢)と駐車場で接触していることがわかった。椎名もこの犯行に関与している可能性があると見た捜査班は、泉を椎名の家にハウスキーパーとして潜入捜査させる。  　泉は椎名宅につぎつぎと小型カメラを設置。すると、有働邸のカメラに映し出されていた男が椎名宅を訪ねてくる映像が映し出された。男は上原画廊で椎名の作品を担当している職員と判明。上原画廊の責任者・上原秀典(井上肇)は裏で盗品の買取りなど、際どいビジネスをしている噂もある人物だった…。</t>
  </si>
  <si>
    <t>番組名絶対零度～特殊犯罪潜入捜査～　#07</t>
  </si>
  <si>
    <t>桜木泉(上戸彩)が猪原恵美(峯村リエ)に頼まれ三井朋美(斎藤めぐみ)と共に合コンに参加していると、高峰涼子(山口紗弥加)から捜査班に戻るように連絡が入る。  　捜査班で、ここ3カ月で10件発生している連続宝石強盗事件を捜査することになった。被害総額は15億円にのぼり、警備員も2人殺されている事件で、容疑者はすでにアジア各国で活動している国際窃盗団“月盗団"に絞られていた。しかし、最近の犯行は手口こそ同じであれ、対象が繁華街の高級店から商店街の小さな店になるなど、違う点が多いため別グループの可能性もあり、捜査班が稼働することになったのだ。現場に残された男性と思われる靴跡から、防犯のために周りをフェンス等で囲った日本で唯一の城塞都市である聖山タウンにしか輸入されていないタイルに使われている粒子が検出された。聖山タウンは外部の人間を拒絶するため、泉と瀧河信次郎(桐谷健太)が新婚夫婦に扮してタウンに潜入捜査を始める。  　泉と瀧河から送られてくる映像から住民たちの顔写真や車のナンバーを収集し、照合したところ、事件があった金曜の夜にゲートの外に出ていたのは13人だった。その中の男性9人に重点を置いて捜査が始まる。やがて9人の中の1人・深星秋信(鈴木一真)を追跡していた白石晋太郎(中原丈雄)があることに気付く。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</si>
  <si>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桜木泉(上戸彩)が猪原恵美(峯村リエ)に頼まれ三井朋美(斎藤めぐみ)と共に合コンに参加していると、高峰涼子(山口紗弥加)から捜査班に戻るように連絡が入る。  　捜査班で、ここ3カ月で10件発生している連続宝石強盗事件を捜査することになった。被害総額は15億円にのぼり、警備員も2人殺されている事件で、容疑者はすでにアジア各国で活動している国際窃盗団“月盗団"に絞られていた。しかし、最近の犯行は手口こそ同じであれ、対象が繁華街の高級店から商店街の小さな店になるなど、違う点が多いため別グループの可能性もあり、捜査班が稼働することになったのだ。現場に残された男性と思われる靴跡から、防犯のために周りをフェンス等で囲った日本で唯一の城塞都市である聖山タウンにしか輸入されていないタイルに使われている粒子が検出された。聖山タウンは外部の人間を拒絶するため、泉と瀧河信次郎(桐谷健太)が新婚夫婦に扮してタウンに潜入捜査を始める。  　泉と瀧河から送られてくる映像から住民たちの顔写真や車のナンバーを収集し、照合したところ、事件があった金曜の夜にゲートの外に出ていたのは13人だった。その中の男性9人に重点を置いて捜査が始まる。やがて9人の中の1人・深星秋信(鈴木一真)を追跡していた白石晋太郎(中原丈雄)があることに気付く。</t>
  </si>
  <si>
    <t>番組名絶対零度～特殊犯罪潜入捜査～　#08</t>
  </si>
  <si>
    <t>桜木泉(上戸彩)、瀧河信次郎(桐谷健太)ら捜査員たちが分析班で集まっていると、深沢ユウキ(丸山智己)がやってきた。深沢は竹林匠(木村了)の元へ向かうと、連続殺人事件の容疑で同行をうながす。  　ここ2カ月、都内各所で女性ばかりを狙った猟奇殺人事件が立て続けに発生していた。4件目となった今回は被害者の女性の爪から皮膚片が採取され、指紋とDNAが竹林のものと一致したのだ。偽装工作された可能性はないという結果が出ていて、長嶋秀夫(北大路欣也)も同席し、深沢による竹林の事情聴取が始まる。さらに家宅捜索の結果、犯行に使ったと思われる包丁や糸、猟奇犯罪に関する本やDVDも発見された。アリバイも、証言した場所の監視カメラには映っておらず、ますます窮地に追い込まれていく竹林。  　竹林に不利な状況が続く中、桜木たちは無実を信じて真犯人を探すことに。2カ月前、誰かにつけられていたという竹林の言葉を基に、その男を特定しようと聞き込みを始めた。やがて、その男が巨大ネットショッピングサイトの会社員で、そこは竹林や全被害者が会員であったことがわかった。竹林の逮捕を止めることができるのは残り4日間となり、泉と瀧河はネット会社に潜入捜査を始める。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</si>
  <si>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桜木泉(上戸彩)、瀧河信次郎(桐谷健太)ら捜査員たちが分析班で集まっていると、深沢ユウキ(丸山智己)がやってきた。深沢は竹林匠(木村了)の元へ向かうと、連続殺人事件の容疑で同行をうながす。  　ここ2カ月、都内各所で女性ばかりを狙った猟奇殺人事件が立て続けに発生していた。4件目となった今回は被害者の女性の爪から皮膚片が採取され、指紋とDNAが竹林のものと一致したのだ。偽装工作された可能性はないという結果が出ていて、長嶋秀夫(北大路欣也)も同席し、深沢による竹林の事情聴取が始まる。さらに家宅捜索の結果、犯行に使ったと思われる包丁や糸、猟奇犯罪に関する本やDVDも発見された。アリバイも、証言した場所の監視カメラには映っておらず、ますます窮地に追い込まれていく竹林。  　竹林に不利な状況が続く中、桜木たちは無実を信じて真犯人を探すことに。2カ月前、誰かにつけられていたという竹林の言葉を基に、その男を特定しようと聞き込みを始めた。やがて、その男が巨大ネットショッピングサイトの会社員で、そこは竹林や全被害者が会員であったことがわかった。竹林の逮捕を止めることができるのは残り4日間となり、泉と瀧河はネット会社に潜入捜査を始める。</t>
  </si>
  <si>
    <t>番組名絶対零度～特殊犯罪潜入捜査～　#09</t>
  </si>
  <si>
    <t>桜木泉(上戸彩)は、畑山昭子(堀内敬子)に銃口を突き付けられ動けずにいた。瀧河信次郎(桐谷健太)も駆けつけるがどうすることもできないでいると、畑山の指が引き金にかかり…。捜査班は、畑山がIDを偽造できる技術を持っていながら海外逃亡することもなく都内に潜伏している理由や目的を探ろうとする。  　外務大臣の柴崎順一(丹波義隆)の娘・真結(藤村聖子)の誘拐事件が発生。犯人から身代金3億円の要求があったものの、数日後に開催される世界エネルギーサミットとの関連も考えられ、捜査班が極秘で捜査を進めることに。長嶋秀夫(北大路欣也)、倉田工(杉本哲太)、高峰涼子(山口紗弥加)らが柴崎邸に入ると犯人から電話がかかってきた。犯人は翌日正午までに金を用意するように指示し、メールで拘束された真結の映像を送ってきた。そんな中、柴崎の秘書・関根素子(大谷英子)が外出の準備を始める。高峰が関根の言動に不信さを感じていたため、捜査員に追跡を指示する長嶋。分析班で捜査員同士の無線のやりとりを聞いていた竹林匠(木村了)は、無線に異変を感じていた。同じ頃、ネットカフェにいた畑山は「すべて順調です」と、ある男にメールを送っていた。受け取った男は、柴崎邸付近の監視カメラの映像を確認し、ある発見をする。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</si>
  <si>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桜木泉(上戸彩)は、畑山昭子(堀内敬子)に銃口を突き付けられ動けずにいた。瀧河信次郎(桐谷健太)も駆けつけるがどうすることもできないでいると、畑山の指が引き金にかかり…。捜査班は、畑山がIDを偽造できる技術を持っていながら海外逃亡することもなく都内に潜伏している理由や目的を探ろうとする。  　外務大臣の柴崎順一(丹波義隆)の娘・真結(藤村聖子)の誘拐事件が発生。犯人から身代金3億円の要求があったものの、数日後に開催される世界エネルギーサミットとの関連も考えられ、捜査班が極秘で捜査を進めることに。長嶋秀夫(北大路欣也)、倉田工(杉本哲太)、高峰涼子(山口紗弥加)らが柴崎邸に入ると犯人から電話がかかってきた。犯人は翌日正午までに金を用意するように指示し、メールで拘束された真結の映像を送ってきた。そんな中、柴崎の秘書・関根素子(大谷英子)が外出の準備を始める。高峰が関根の言動に不信さを感じていたため、捜査員に追跡を指示する長嶋。分析班で捜査員同士の無線のやりとりを聞いていた竹林匠(木村了)は、無線に異変を感じていた。同じ頃、ネットカフェにいた畑山は「すべて順調です」と、ある男にメールを送っていた。受け取った男は、柴崎邸付近の監視カメラの映像を確認し、ある発見をする。</t>
  </si>
  <si>
    <t>番組名絶対零度～特殊犯罪潜入捜査～　#10</t>
  </si>
  <si>
    <t>桜木泉(上戸彩)と話したいと畑山昭子(堀内敬子)が自首してきた。泉は八王子事件をはじめ塚本(宮迫博之)射殺事件などの逮捕起訴の手続きをとることを告げるが、畑山は不敵な笑みを浮かべ、殺害を否定する。畑山は戸籍上では死亡していることがわかり、捜査班は畑山の正体と同時に出頭してきた理由を探り始める。畑山は泉の問いかけには答えず、大学院生の川島智裕(中村倫也)を調べることと、自分の所持品の手帳を読み込むことを指示。その後にテストをして、答えられれば柴崎大臣(丹波義隆)誘拐事件のヒントを与えると告げる。  　誘拐犯は、柴崎が監禁されている映像をネットに流し、柴崎を通して世界エネルギーサミット開催日に柴崎と関係者の犯罪行為を明らかにすることが目的であることを告げる。犯人のアジトも手掛かりもつかめずに焦りを隠せない捜査班。そんな中、分析班から畑山が言っていた川島の身元が判明したと報告があがった。川島は成績優秀でコンピューターの知識に精通している大学院生。荒木(岡田義徳)の殺害現場にいたことがわかったが、畑山の自首と同時に姿を消していた。同時に、畑山の手帳やこれまでの行動を調べた結果、犯人像とは一致しないことがわかった。  　畑山は、泉の口から別に犯人がいる可能性が高いことを言わせると、すべての事件を操っている男は木幡(ユースケ・サンタマリア)だと告げる。桜木泉: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</si>
  <si>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桜木泉(上戸彩)と話したいと畑山昭子(堀内敬子)が自首してきた。泉は八王子事件をはじめ塚本(宮迫博之)射殺事件などの逮捕起訴の手続きをとることを告げるが、畑山は不敵な笑みを浮かべ、殺害を否定する。畑山は戸籍上では死亡していることがわかり、捜査班は畑山の正体と同時に出頭してきた理由を探り始める。畑山は泉の問いかけには答えず、大学院生の川島智裕(中村倫也)を調べることと、自分の所持品の手帳を読み込むことを指示。その後にテストをして、答えられれば柴崎大臣(丹波義隆)誘拐事件のヒントを与えると告げる。  　誘拐犯は、柴崎が監禁されている映像をネットに流し、柴崎を通して世界エネルギーサミット開催日に柴崎と関係者の犯罪行為を明らかにすることが目的であることを告げる。犯人のアジトも手掛かりもつかめずに焦りを隠せない捜査班。そんな中、分析班から畑山が言っていた川島の身元が判明したと報告があがった。川島は成績優秀でコンピューターの知識に精通している大学院生。荒木(岡田義徳)の殺害現場にいたことがわかったが、畑山の自首と同時に姿を消していた。同時に、畑山の手帳やこれまでの行動を調べた結果、犯人像とは一致しないことがわかった。  　畑山は、泉の口から別に犯人がいる可能性が高いことを言わせると、すべての事件を操っている男は木幡(ユースケ・サンタマリア)だと告げる。</t>
  </si>
  <si>
    <t>番組名絶対零度～特殊犯罪潜入捜査～　#11</t>
  </si>
  <si>
    <t>桜木泉(上戸彩)ら捜査員と畑山昭子(堀内敬子)がいる喫茶店に、木幡雄一(ユースケ・サンタマリア)が入ってきた。しかし、畑山以外は誰も気づかず時間が過ぎていく。木幡は捜査員たちの目が逸れた一瞬をつかってアイコンタクトで畑山にトイレに行くように指示。同じ頃、捜査班に送られてきた荷物の中から盗聴器が発見された。  　畑山がトイレに行きたいと言い出した。事前に捜査員が入り異常がないかを調べ、泉の立ち会いでトイレに行く。木幡は電話で川島智裕(中村倫也)をトイレから続く裏口付近で待機するように指示を出していた。畑山はトイレの個室の備品入れに隠してあった携帯電話と小型ナイフを受け取り、メールを確認。メールには裏口から出れば逃がせると木幡からの伝言が届いていた。畑山は捜査員にナイフを突きつけ、裏口へ向かう。裏口で待機中だった捜査員は近くに川島が現れたと同時に、店内から畑山が出てきたことで混乱。さらに捜査員の姿に慌てた川島が発砲し、現場は混乱する。その混乱に乗じて畑山は姿を消し、川島も取り逃がしてしまう。  　畑山は木幡に電話で、ある取引きを持ちかける。木幡はとあるビルの駐車場を指示すると、川島に連絡を入れた。畑山が駐車場に来ると川島が現れた。川島に銃を向けられ逃げる畑山を追って、ビル駐車場近くの道にいた泉と瀧河信次郎(桐谷健太)は銃声を聞き…。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</si>
  <si>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桜木泉(上戸彩)ら捜査員と畑山昭子(堀内敬子)がいる喫茶店に、木幡雄一(ユースケ・サンタマリア)が入ってきた。しかし、畑山以外は誰も気づかず時間が過ぎていく。木幡は捜査員たちの目が逸れた一瞬をつかってアイコンタクトで畑山にトイレに行くように指示。同じ頃、捜査班に送られてきた荷物の中から盗聴器が発見された。  　畑山がトイレに行きたいと言い出した。事前に捜査員が入り異常がないかを調べ、泉の立ち会いでトイレに行く。木幡は電話で川島智裕(中村倫也)をトイレから続く裏口付近で待機するように指示を出していた。畑山はトイレの個室の備品入れに隠してあった携帯電話と小型ナイフを受け取り、メールを確認。メールには裏口から出れば逃がせると木幡からの伝言が届いていた。畑山は捜査員にナイフを突きつけ、裏口へ向かう。裏口で待機中だった捜査員は近くに川島が現れたと同時に、店内から畑山が出てきたことで混乱。さらに捜査員の姿に慌てた川島が発砲し、現場は混乱する。その混乱に乗じて畑山は姿を消し、川島も取り逃がしてしまう。  　畑山は木幡に電話で、ある取引きを持ちかける。木幡はとあるビルの駐車場を指示すると、川島に連絡を入れた。畑山が駐車場に来ると川島が現れた。川島に銃を向けられ逃げる畑山を追って、ビル駐車場近くの道にいた泉と瀧河信次郎(桐谷健太)は銃声を聞き…。</t>
  </si>
  <si>
    <t>1107_CX_火22</t>
  </si>
  <si>
    <t>チーム・バチスタ3</t>
  </si>
  <si>
    <t>番組名チーム・バチスタ3アリアドネの弾丸　#01</t>
  </si>
  <si>
    <t>http://www.ktv.jp/dangan/　東城医大病院心療内科の特別愁訴外来担当医・田口公平(伊藤淳史)は、路上のゴミ置き場で男性の遺体を発見。現場に駆けつけた警察の嘱託医は事件性のない衰弱死と診断するが、田口の提案でCTによるAi(死亡時画像診断)が行われ、殺人事件である可能性が浮上する。    　一方、厚生労働省の官僚・白鳥圭輔(仲村トオル)は、遺体の死因をAiによって究明する「Aiセンター」を東城医大に設立しようと画策を始めていた。だが、警察庁の斑鳩芳正(高橋克典)や法医学教室の教授から猛烈な反発を受ける。Aiで死因が特定されるようになれば、法医学の解剖は存在意義をなくし、警察の捜査も威信を失うのだ。    　白鳥は放射線科の准教授でAiの第一人者・島津吾郎(安田顕)を中心にセンターを運営しようと動き出すが、白鳥の動きを警戒する警察庁刑事局審議官の北山錠一郎(尾美としのり)、法医学教室准教授の笹井スミレ(小西真奈美)は激しく反発。議論が紛糾する中、田口がセンター長に担ぎ上げられてしまう。    　その矢先、思わぬ事件が発生した。新しく導入されたMRIの調整を行っていたシステムエンジニアが、院内で遺体となって発見されたのだ…。伊藤淳史　  仲村トオル　  小西真奈美　  福士誠治　  市川知宏　  中村靖日  　・　  名取裕子　  林隆三  　・　  利重剛　  安田顕　  尾美としのり　  高橋克典【原作】  「アリアドネの弾丸」海堂尊(宝島社刊)　  【脚本】  後藤法子【演出】  今井和久　  星野和成　  小松隆志    【プロデューサー】  豊福陽子(関西テレビ)　  遠田孝一(MMJ)　  八巻薫(MMJ)羽岡佳　  妹尾武    【主題歌】  『アリアドネの糸』Do　As　Infinity</t>
  </si>
  <si>
    <t xml:space="preserve">　東城医大病院心療内科の特別愁訴外来担当医・田口公平(伊藤淳史)は、路上のゴミ置き場で男性の遺体を発見。現場に駆けつけた警察の嘱託医は事件性のない衰弱死と診断するが、田口の提案でCTによるAi(死亡時画像診断)が行われ、殺人事件である可能性が浮上する。    　一方、厚生労働省の官僚・白鳥圭輔(仲村トオル)は、遺体の死因をAiによって究明する「Aiセンター」を東城医大に設立しようと画策を始めていた。だが、警察庁の斑鳩芳正(高橋克典)や法医学教室の教授から猛烈な反発を受ける。Aiで死因が特定されるようになれば、法医学の解剖は存在意義をなくし、警察の捜査も威信を失うのだ。    　白鳥は放射線科の准教授でAiの第一人者・島津吾郎(安田顕)を中心にセンターを運営しようと動き出すが、白鳥の動きを警戒する警察庁刑事局審議官の北山錠一郎(尾美としのり)、法医学教室准教授の笹井スミレ(小西真奈美)は激しく反発。議論が紛糾する中、田口がセンター長に担ぎ上げられてしまう。    　その矢先、思わぬ事件が発生した。新しく導入されたMRIの調整を行っていたシステムエンジニアが、院内で遺体となって発見されたのだ…。</t>
  </si>
  <si>
    <t>番組名チーム・バチスタ3アリアドネの弾丸　#02</t>
  </si>
  <si>
    <t>http://www.ktv.jp/dangan/　東城医大のMRI室で、新型MRIの導入作業を行っていたエンジニアの友野(矢柴俊博)が遺体となって見つかった。白鳥(仲村トオル)は殺人事件の可能性があると考え、警察に通報。ところが検視官は事件性のない心不全と診断する。    　この診断に田口(伊藤淳史)と白鳥は異議を唱え、司法解剖で死因を究明するよう主張するが却下されてしまう。そんな中、島津(安田顕)がAiによる死因究明を提案。CTで遺体の全身をくまなく撮影するが不審な点は見つからず、死因は判明しなかった。    　数日後、斑鳩(高橋克典)のもとに白鳥が現れた。警察が殺人事件の犯人の情報を被害者遺族に開示すれば、報復による新たな事件を招く危険があると主張する斑鳩に対し、「警察には情報を隠匿する権利があるのか?」と噛みつく白鳥。すると斑鳩は「権利ではなく、義務です」と不敵に言い放つ。　その頃、田口は友野の葬儀に出席していた。参列者の中には宇佐見(福士誠治)もいたが、島津の姿はない。島津は警察からAiセンター初の遺体鑑定の依頼が来たと色めき立ち、出席を断ったのだ。その非情さに納得がいかない田口の目の前で、友野の遺体は死因不明のまま火葬されてしまう。伊藤淳史　  仲村トオル　  小西真奈美　  福士誠治　  市川知宏　  中村靖日  　・　  名取裕子　  林隆三  　・　  利重剛　  安田顕　  尾美としのり　  高橋克典【原作】  海堂尊「アリアドネの弾丸」(宝島社刊)    【脚本】  後藤法子【演出】  今井和久　  星野和成　  小松隆志    【プロデューサー】  豊福陽子(関西テレビ)　  遠田孝一(MMJ)　  八巻薫(MMJ)羽岡佳　  妹尾武    【主題歌】  Do　As　Infinity「アリアドネの糸」</t>
  </si>
  <si>
    <t xml:space="preserve">　東城医大のMRI室で、新型MRIの導入作業を行っていたエンジニアの友野(矢柴俊博)が遺体となって見つかった。白鳥(仲村トオル)は殺人事件の可能性があると考え、警察に通報。ところが検視官は事件性のない心不全と診断する。    　この診断に田口(伊藤淳史)と白鳥は異議を唱え、司法解剖で死因を究明するよう主張するが却下されてしまう。そんな中、島津(安田顕)がAiによる死因究明を提案。CTで遺体の全身をくまなく撮影するが不審な点は見つからず、死因は判明しなかった。    　数日後、斑鳩(高橋克典)のもとに白鳥が現れた。警察が殺人事件の犯人の情報を被害者遺族に開示すれば、報復による新たな事件を招く危険があると主張する斑鳩に対し、「警察には情報を隠匿する権利があるのか?」と噛みつく白鳥。すると斑鳩は「権利ではなく、義務です」と不敵に言い放つ。　その頃、田口は友野の葬儀に出席していた。参列者の中には宇佐見(福士誠治)もいたが、島津の姿はない。島津は警察からAiセンター初の遺体鑑定の依頼が来たと色めき立ち、出席を断ったのだ。その非情さに納得がいかない田口の目の前で、友野の遺体は死因不明のまま火葬されてしまう。</t>
  </si>
  <si>
    <t>番組名チーム・バチスタ3アリアドネの弾丸　#03</t>
  </si>
  <si>
    <t>http://www.ktv.jp/dangan/　友野(矢柴俊博)の死亡推定時刻の3時間後に、友野の名でパソコンにログインした人物がいたことを突き止めた田口(伊藤淳史)と白鳥(仲村トオル)。まもなく、作業の記録からログインしたのは友野自身だったことに気づいた白鳥は、死亡推定時刻が誤って鑑定されたのではないかと考える。    　翌日、田口と白鳥は笹井(小西真奈美)を訪ね、死亡推定時刻の鑑定を誤るケースは、どのような理由からなのかを聞き出そうとする。そのとき、笹井は警察から依頼された遺体の司法解剖を行っていた。遺体は殺害された可能性があったが、解剖で一酸化炭素中毒による事故死と判明。    白鳥は笹井の言葉をヒントに、友野の死因をガス中毒と推理。ガス中毒はAiでCT画像を見ただけでは診断できず、島津(安田顕)が異常を見つけられなかった可能性が高いのだ。さっそく遺体発見現場のMRI室に向かった白鳥と田口は、常備されている液体ガスがあることに気付く。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Infinity『アリアドネの糸』</t>
  </si>
  <si>
    <t xml:space="preserve">　友野(矢柴俊博)の死亡推定時刻の3時間後に、友野の名でパソコンにログインした人物がいたことを突き止めた田口(伊藤淳史)と白鳥(仲村トオル)。まもなく、作業の記録からログインしたのは友野自身だったことに気づいた白鳥は、死亡推定時刻が誤って鑑定されたのではないかと考える。    　翌日、田口と白鳥は笹井(小西真奈美)を訪ね、死亡推定時刻の鑑定を誤るケースは、どのような理由からなのかを聞き出そうとする。そのとき、笹井は警察から依頼された遺体の司法解剖を行っていた。遺体は殺害された可能性があったが、解剖で一酸化炭素中毒による事故死と判明。    白鳥は笹井の言葉をヒントに、友野の死因をガス中毒と推理。ガス中毒はAiでCT画像を見ただけでは診断できず、島津(安田顕)が異常を見つけられなかった可能性が高いのだ。さっそく遺体発見現場のMRI室に向かった白鳥と田口は、常備されている液体ガスがあることに気付く。</t>
  </si>
  <si>
    <t>番組名チーム・バチスタ3アリアドネの弾丸　#04</t>
  </si>
  <si>
    <t>http://www.ktv.jp/dangan/　友野(矢柴俊博)が謎の死を遂げた夜、斑鳩(高橋克典)が東城医大で笹井(小西真奈美)と会っていたことを知った白鳥(仲村トオル)は斑鳩を追及。だが、斑鳩は何も答えないばかりか、Aiの推進に躍起になる白鳥に裏の思惑があるのではないかと意味深なことを告げて挑発する。    　その頃、Aiセンターに新たな遺体の鑑定依頼が舞い込んでいた。遺体は、東桜宮病院で初期の前立腺がんの手術を受けた翌日、脳梗塞を起こして急死したという男性。遺族に医療ミスを疑われた院長が、死後に撮ったCT画像の鑑定を依頼してきたのだ。    　島津(安田顕)はAiの結果、手術にミスはなかったと診断。田口(伊藤淳史)は遺族に説明するが納得してもらえず、医療ミスの隠蔽に手を貸しているのではないかとあらぬ疑いまでかけられてしまう。　遺族に詰め寄られ、困り果てる田口の前に白鳥が現れた。白鳥は徹底的な調査が必要だと解剖を提案。笹井に強引に解剖を託すが、結果は島津の診断通り、病院の医療行為に問題は見当たらないというものだった。    　そんな中、東桜宮病院で不審な話を耳にした白鳥。浮上したある疑惑を確かめようと、再びAi鑑定を行うと言い出して…。伊藤淳史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　『アリアドネの糸』(avex　trax)</t>
  </si>
  <si>
    <t xml:space="preserve">　友野(矢柴俊博)が謎の死を遂げた夜、斑鳩(高橋克典)が東城医大で笹井(小西真奈美)と会っていたことを知った白鳥(仲村トオル)は斑鳩を追及。だが、斑鳩は何も答えないばかりか、Aiの推進に躍起になる白鳥に裏の思惑があるのではないかと意味深なことを告げて挑発する。    　その頃、Aiセンターに新たな遺体の鑑定依頼が舞い込んでいた。遺体は、東桜宮病院で初期の前立腺がんの手術を受けた翌日、脳梗塞を起こして急死したという男性。遺族に医療ミスを疑われた院長が、死後に撮ったCT画像の鑑定を依頼してきたのだ。    　島津(安田顕)はAiの結果、手術にミスはなかったと診断。田口(伊藤淳史)は遺族に説明するが納得してもらえず、医療ミスの隠蔽に手を貸しているのではないかとあらぬ疑いまでかけられてしまう。　遺族に詰め寄られ、困り果てる田口の前に白鳥が現れた。白鳥は徹底的な調査が必要だと解剖を提案。笹井に強引に解剖を託すが、結果は島津の診断通り、病院の医療行為に問題は見当たらないというものだった。    　そんな中、東桜宮病院で不審な話を耳にした白鳥。浮上したある疑惑を確かめようと、再びAi鑑定を行うと言い出して…。</t>
  </si>
  <si>
    <t>番組名チーム・バチスタ3アリアドネの弾丸　#05</t>
  </si>
  <si>
    <t>http://www.ktv.jp/dangan/　東城医大のMRI室で、左目を撃たれて殺害された北山(尾美としのり)の遺体が発見され、そばに拳銃を手にした島津(安田顕)が倒れていた。宇佐見(福士誠治)はMRI室に突入した際、島津が発砲してきたため気絶させたと証言。北山から収賄疑惑を追及された島津が逆上し、犯行に至ったに違いないと断言する。    　MRI室で再び殺人事件が起こり、ショックを隠せない田口(伊藤淳史)。白鳥(仲村トオル)は、島津が収賄絡みで友野(矢柴俊博)も殺害した連続殺人の可能性があると告げ、田口をがく然とさせる。    　そんな中、司法解剖のために運び出されていた北山の遺体が東城医大に戻ってきた。斑鳩(高橋克典)が解剖の担当医に笹井(小西真奈美)を指名したのだった。斑鳩が笹井と組んで何かを隠そうとしているとにらんだ白鳥は、解剖前の遺体を密かに運び出してAiを決行する。　翌日、北山が殺された事件は報道されておらず、警察庁では斑鳩が故意に事件を隠蔽したと、宇佐見が怒りをぶつけていた。    　事件をあえて発表しない斑鳩の思惑に不審を抱いた白鳥は、田口を連れて解剖室に乗り込む。すると、そこには北山の司法解剖に立ち会う斑鳩の姿があった…。伊藤淳史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Infinity『アリアドネの糸』</t>
  </si>
  <si>
    <t xml:space="preserve">　東城医大のMRI室で、左目を撃たれて殺害された北山(尾美としのり)の遺体が発見され、そばに拳銃を手にした島津(安田顕)が倒れていた。宇佐見(福士誠治)はMRI室に突入した際、島津が発砲してきたため気絶させたと証言。北山から収賄疑惑を追及された島津が逆上し、犯行に至ったに違いないと断言する。    　MRI室で再び殺人事件が起こり、ショックを隠せない田口(伊藤淳史)。白鳥(仲村トオル)は、島津が収賄絡みで友野(矢柴俊博)も殺害した連続殺人の可能性があると告げ、田口をがく然とさせる。    　そんな中、司法解剖のために運び出されていた北山の遺体が東城医大に戻ってきた。斑鳩(高橋克典)が解剖の担当医に笹井(小西真奈美)を指名したのだった。斑鳩が笹井と組んで何かを隠そうとしているとにらんだ白鳥は、解剖前の遺体を密かに運び出してAiを決行する。　翌日、北山が殺された事件は報道されておらず、警察庁では斑鳩が故意に事件を隠蔽したと、宇佐見が怒りをぶつけていた。    　事件をあえて発表しない斑鳩の思惑に不審を抱いた白鳥は、田口を連れて解剖室に乗り込む。すると、そこには北山の司法解剖に立ち会う斑鳩の姿があった…。</t>
  </si>
  <si>
    <t>番組名チーム・バチスタ3アリアドネの弾丸　#06</t>
  </si>
  <si>
    <t>http://www.ktv.jp/dangan/　北山(尾美としのり)の遺体を解剖中、笹井(小西真奈美)の様子がおかしかったことに気づいた白鳥(仲村トオル)は笹井を追及。笹井にも北山を殺す動機はあると疑いをほのめかし、真犯人にとって不利益な証拠を見つけたのではないかと揺さぶりをかける。これには答えない笹井だったが、このままでは20年前の事件と同じ冤罪を生むという田口(伊藤淳史)の言葉に動揺を見せる。　斑鳩(高橋克典)が田口と白鳥に与えた島津(安田顕)逮捕までの猶予はあと2日。島津の容疑を晴らそうと事件発生時の音声を聞き直していた田口と白鳥は、MRI室にあるはずのないCDの曲が流れていたことに気づく。白鳥は犯人が曲と一緒にCDに録音した銃声を流し、殺害時刻を偽装したと推理。犯人が銃声よりも前に北山を殺して島津に罪を着せ、現場から逃げたのではないかと考える。　犯人がMRI室に隠したと思われるCDを探す田口と白鳥。そんな中、2人は荷物の陰に隠されていた扉を見つける。その奥には、東城医大に勤める田口すら知らない“部屋"があった…。伊藤淳史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Infinity『アリアドネの糸』</t>
  </si>
  <si>
    <t xml:space="preserve">　北山(尾美としのり)の遺体を解剖中、笹井(小西真奈美)の様子がおかしかったことに気づいた白鳥(仲村トオル)は笹井を追及。笹井にも北山を殺す動機はあると疑いをほのめかし、真犯人にとって不利益な証拠を見つけたのではないかと揺さぶりをかける。これには答えない笹井だったが、このままでは20年前の事件と同じ冤罪を生むという田口(伊藤淳史)の言葉に動揺を見せる。　斑鳩(高橋克典)が田口と白鳥に与えた島津(安田顕)逮捕までの猶予はあと2日。島津の容疑を晴らそうと事件発生時の音声を聞き直していた田口と白鳥は、MRI室にあるはずのないCDの曲が流れていたことに気づく。白鳥は犯人が曲と一緒にCDに録音した銃声を流し、殺害時刻を偽装したと推理。犯人が銃声よりも前に北山を殺して島津に罪を着せ、現場から逃げたのではないかと考える。　犯人がMRI室に隠したと思われるCDを探す田口と白鳥。そんな中、2人は荷物の陰に隠されていた扉を見つける。その奥には、東城医大に勤める田口すら知らない“部屋"があった…。</t>
  </si>
  <si>
    <t>番組名チーム・バチスタ3アリアドネの弾丸　#07</t>
  </si>
  <si>
    <t>http://www.ktv.jp/dangan/　斑鳩(高橋克典)から与えられた島津(安田顕)逮捕までの猶予はあと1日。田口(伊藤淳史)と白鳥(仲村トオル)は、北山(尾美としのり)を殺害した銃弾が拳銃から発射されたものではないことを突き止めた。犯行に使われたとされる拳銃と弾丸を調べた白鳥はある重要なことに気づく。    　さらに白鳥は、MRI室に転がっていたあるものに着目。MRI室でしかあり得ない方法で北山が殺害されたこと、犯人に共犯者がいたことに気づくが、それを証明する手立てがない。白鳥は「一か八か勝負に出てみよう」と真相を確かめる“賭け"を田口に提案する。    　その頃、警察庁では軟禁状態で取り調べを受けていた島津がいら立ちを募らせていた。逮捕は明日だと告げる斑鳩に、島津は「俺の無実を証明する切り札がある」と挑発的に言い放ち…。　そして期限まであとわずかと迫ったその日の夕方、田口と白鳥は「本当のからくりがわかった」と笹井(小西真奈美)や宇佐見(福士誠治)ら事件関係者をMRI室に呼び集め、事件の検証を始める。田口が「答えはすべて、それにあったんです」と指差す先には、北山が中で絶命していた縦型MRIが…。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Infinity『アリアドネの糸』</t>
  </si>
  <si>
    <t xml:space="preserve">　斑鳩(高橋克典)から与えられた島津(安田顕)逮捕までの猶予はあと1日。田口(伊藤淳史)と白鳥(仲村トオル)は、北山(尾美としのり)を殺害した銃弾が拳銃から発射されたものではないことを突き止めた。犯行に使われたとされる拳銃と弾丸を調べた白鳥はある重要なことに気づく。    　さらに白鳥は、MRI室に転がっていたあるものに着目。MRI室でしかあり得ない方法で北山が殺害されたこと、犯人に共犯者がいたことに気づくが、それを証明する手立てがない。白鳥は「一か八か勝負に出てみよう」と真相を確かめる“賭け"を田口に提案する。    　その頃、警察庁では軟禁状態で取り調べを受けていた島津がいら立ちを募らせていた。逮捕は明日だと告げる斑鳩に、島津は「俺の無実を証明する切り札がある」と挑発的に言い放ち…。　そして期限まであとわずかと迫ったその日の夕方、田口と白鳥は「本当のからくりがわかった」と笹井(小西真奈美)や宇佐見(福士誠治)ら事件関係者をMRI室に呼び集め、事件の検証を始める。田口が「答えはすべて、それにあったんです」と指差す先には、北山が中で絶命していた縦型MRIが…。</t>
  </si>
  <si>
    <t>番組名チーム・バチスタ3アリアドネの弾丸　#08</t>
  </si>
  <si>
    <t>http://www.ktv.jp/dangan/　北山(尾美としのり)の自殺を暴かれた宇佐見(福士誠治)は田口(伊藤淳史)を撃って逃走。田口は重傷を負うが、奇跡的に一命を取りとめた。翌朝、意識を取り戻した田口を見舞った白鳥(仲村トオル)は、銃弾が肩を貫通していたと聞き、北山の事件に残されたある謎に気づく。    　一方、容疑が晴れた島津(安田顕)はようやく開放されることに。島津は「警察が無実の人間に頭を下げる日…」と、今日が20年前の冤罪事件の再審判決が出る日であることを斑鳩(高橋克典)に告げると、「俺にも頭を下げろ」と謝罪を要求。島津のただならぬ気迫から、斑鳩の脳裏にある疑惑が浮かぶ。    　まもなく、20年前の事件の判決が出た。犯人として逮捕された松崎行雄(六平直政)は“無罪"。記者会見で謝罪を求められた斑鳩は、事件の捜査責任者だった北山の自殺を涙ながらに告白。誤ったDNA鑑定を信じたことを苦に命を絶ったと同情を誘い、警察への追及をかわすことで謝罪を避ける。    　その頃、東城医大では白鳥が新たに浮上した謎を田口に明かしていた。北山を撃った弾丸は、なぜ貫通せず脳内に留まっていたのか?「僕らはまだ100%の真実にはたどり着いてなかったのかもしれない」と白鳥は謎の解明に乗り出す。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Infinity『アリアドネの糸』</t>
  </si>
  <si>
    <t xml:space="preserve">　北山(尾美としのり)の自殺を暴かれた宇佐見(福士誠治)は田口(伊藤淳史)を撃って逃走。田口は重傷を負うが、奇跡的に一命を取りとめた。翌朝、意識を取り戻した田口を見舞った白鳥(仲村トオル)は、銃弾が肩を貫通していたと聞き、北山の事件に残されたある謎に気づく。    　一方、容疑が晴れた島津(安田顕)はようやく開放されることに。島津は「警察が無実の人間に頭を下げる日…」と、今日が20年前の冤罪事件の再審判決が出る日であることを斑鳩(高橋克典)に告げると、「俺にも頭を下げろ」と謝罪を要求。島津のただならぬ気迫から、斑鳩の脳裏にある疑惑が浮かぶ。    　まもなく、20年前の事件の判決が出た。犯人として逮捕された松崎行雄(六平直政)は“無罪"。記者会見で謝罪を求められた斑鳩は、事件の捜査責任者だった北山の自殺を涙ながらに告白。誤ったDNA鑑定を信じたことを苦に命を絶ったと同情を誘い、警察への追及をかわすことで謝罪を避ける。    　その頃、東城医大では白鳥が新たに浮上した謎を田口に明かしていた。北山を撃った弾丸は、なぜ貫通せず脳内に留まっていたのか?「僕らはまだ100%の真実にはたどり着いてなかったのかもしれない」と白鳥は謎の解明に乗り出す。</t>
  </si>
  <si>
    <t>番組名チーム・バチスタ3アリアドネの弾丸　#09</t>
  </si>
  <si>
    <t>http://www.ktv.jp/dangan/　桜宮市内の川原で女子高生・三谷優花(戸井智恵美)の遺体が発見された。目立った外傷が見当たらず、検視では死因が判明しないことから、事故か事件かを判断できない所轄の玉村(中村靖日)は再始動したAiセンターに鑑定を依頼。島津(安田顕)はCT画像から頭皮下血腫と肋骨骨折を見つけるが、死因を特定することはできなかった。　そこで田口(伊藤淳史)と白鳥(仲村トオル)は笹井(小西真奈美)に解剖を依頼。ところが「しばらくAiセンターと距離を置きたい」と断られ、代わって教授の山岡(市川勇)が解剖を担当することに。山岡は優花が意識を失った後に一度蘇生した痕跡を発見するものの死因はわからず、事件性のない“心不全"と断定した。この結果を聞いた笹井にある疑念が浮かび…。　その夜、田口は島津とともに松崎(六平直政)のアパートを訪ねていた。松崎の誤認逮捕から20年ぶりに和解し、互いを思いやる仲睦まじい父子の姿を感慨深げに見つめる田口。    　同じ頃、東城医大の解剖室では、笹井が密かに優花の再解剖を行っていた。「あなたの本当の死因を教えて」と遺体の首にメスを入れた笹井は、山岡が見落としていたあるものを見つけ…。伊藤淳史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　『アリアドネの糸』</t>
  </si>
  <si>
    <t xml:space="preserve">　桜宮市内の川原で女子高生・三谷優花(戸井智恵美)の遺体が発見された。目立った外傷が見当たらず、検視では死因が判明しないことから、事故か事件かを判断できない所轄の玉村(中村靖日)は再始動したAiセンターに鑑定を依頼。島津(安田顕)はCT画像から頭皮下血腫と肋骨骨折を見つけるが、死因を特定することはできなかった。　そこで田口(伊藤淳史)と白鳥(仲村トオル)は笹井(小西真奈美)に解剖を依頼。ところが「しばらくAiセンターと距離を置きたい」と断られ、代わって教授の山岡(市川勇)が解剖を担当することに。山岡は優花が意識を失った後に一度蘇生した痕跡を発見するものの死因はわからず、事件性のない“心不全"と断定した。この結果を聞いた笹井にある疑念が浮かび…。　その夜、田口は島津とともに松崎(六平直政)のアパートを訪ねていた。松崎の誤認逮捕から20年ぶりに和解し、互いを思いやる仲睦まじい父子の姿を感慨深げに見つめる田口。    　同じ頃、東城医大の解剖室では、笹井が密かに優花の再解剖を行っていた。「あなたの本当の死因を教えて」と遺体の首にメスを入れた笹井は、山岡が見落としていたあるものを見つけ…。</t>
  </si>
  <si>
    <t>番組名チーム・バチスタ3アリアドネの弾丸　#10</t>
  </si>
  <si>
    <t>http://www.ktv.jp/dangan/　女子高生殺しの容疑をかけられた松崎(六平直政)が遺体で発見された。病死と断定された死因に納得できない島津(安田顕)は遺体のAi鑑定を強行。だが、事件性を示す不審な点を見つけることができない。落胆する島津に田口(伊藤淳史)と白鳥(仲村トオル)は、20年前の真犯人も松崎だった疑いが浮上していることを打ち明けられずにいた。　そんな折、島津は留守番電話に残された松崎のメッセージに気づく。松崎は20年前の取り調べで警察に握りつぶされた証言を島津に伝えようとしていたが、真犯人の名を言い出そうとした矢先、何者かが家を訪ねてきたため、電話が切れてしまっていた…。    　疑惑を強めた島津は笹井(小西真奈美)に解剖を依頼。その結果、首に注射痕が見つかり、何者かに薬物を打たれて殺された殺人事件の可能性が濃厚になる。　そんな中、白鳥は3年前にも手口や状況が酷似した殺人事件が起こっていたことを知る。その現場を田口とともに訪れた白鳥は20年前と3年前、そして新たな女子高生殺しを繋ぐ一本の線に気づく。伊藤淳史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　『アリアドネの糸』</t>
  </si>
  <si>
    <t xml:space="preserve">　女子高生殺しの容疑をかけられた松崎(六平直政)が遺体で発見された。病死と断定された死因に納得できない島津(安田顕)は遺体のAi鑑定を強行。だが、事件性を示す不審な点を見つけることができない。落胆する島津に田口(伊藤淳史)と白鳥(仲村トオル)は、20年前の真犯人も松崎だった疑いが浮上していることを打ち明けられずにいた。　そんな折、島津は留守番電話に残された松崎のメッセージに気づく。松崎は20年前の取り調べで警察に握りつぶされた証言を島津に伝えようとしていたが、真犯人の名を言い出そうとした矢先、何者かが家を訪ねてきたため、電話が切れてしまっていた…。    　疑惑を強めた島津は笹井(小西真奈美)に解剖を依頼。その結果、首に注射痕が見つかり、何者かに薬物を打たれて殺された殺人事件の可能性が濃厚になる。　そんな中、白鳥は3年前にも手口や状況が酷似した殺人事件が起こっていたことを知る。その現場を田口とともに訪れた白鳥は20年前と3年前、そして新たな女子高生殺しを繋ぐ一本の線に気づく。</t>
  </si>
  <si>
    <t>番組名チーム・バチスタ3アリアドネの弾丸　#11</t>
  </si>
  <si>
    <t>http://www.ktv.jp/dangan/笹井(小西真奈美)が宇佐見(福士誠治)に連れ去られたことを知り、騒然となる田口(伊藤淳史)らに笹井から電話が入った。笹井は20年前の真相を明らかにするため、自ら望んで宇佐見と行動を共にしているという。    　その直後、笹井から連絡があったことを聞きつけた斑鳩(高橋克典)が田口を訪ねてきた。宇佐見の身柄を確保するため、指名手配したことを明かす斑鳩に対し、田口は過去の女子高生殺害事件を見逃したのは、斑鳩こそが“犯人"だったからで、その罪を宇佐見に被せて抹殺しようとしているのではないか?と問いただすが、はぐらかされてしまう。    　一方、雑居ビルに身を潜め、一連の女子高生殺しの捜査データを調べていた笹井と宇佐見も、斑鳩が事件の捜査に関わっていたことを突き止める。    　事件の真相を突き止めるために動きだす田口と白鳥(仲村トオル)、そして笹井と宇佐見。彼らを待ち受けていた真実とは…。伊藤淳史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　『アリアドネの糸』</t>
  </si>
  <si>
    <t>笹井(小西真奈美)が宇佐見(福士誠治)に連れ去られたことを知り、騒然となる田口(伊藤淳史)らに笹井から電話が入った。笹井は20年前の真相を明らかにするため、自ら望んで宇佐見と行動を共にしているという。    　その直後、笹井から連絡があったことを聞きつけた斑鳩(高橋克典)が田口を訪ねてきた。宇佐見の身柄を確保するため、指名手配したことを明かす斑鳩に対し、田口は過去の女子高生殺害事件を見逃したのは、斑鳩こそが“犯人"だったからで、その罪を宇佐見に被せて抹殺しようとしているのではないか?と問いただすが、はぐらかされてしまう。    　一方、雑居ビルに身を潜め、一連の女子高生殺しの捜査データを調べていた笹井と宇佐見も、斑鳩が事件の捜査に関わっていたことを突き止める。    　事件の真相を突き止めるために動きだす田口と白鳥(仲村トオル)、そして笹井と宇佐見。彼らを待ち受けていた真実とは…。</t>
  </si>
  <si>
    <t>1107_CX_木22</t>
  </si>
  <si>
    <t>それでも、生きてゆく</t>
  </si>
  <si>
    <t>番組名&lt;木曜劇場&gt;それでも、生きてゆく　#01</t>
  </si>
  <si>
    <t>http://www.fujitv.co.jp/ikiteyuku/　湖畔の釣り船屋『ふかみ』。深見洋貴(瑛太)は、ここで父の達彦(柄本明)を手伝いながら暮らしている。翌日は、15年前に亡くした妹、亜季(信太真妃)の誕生日。洋貴は亜季の顔をはっきりと思い出せなくなっていた。そんな時、達彦が倒れてしまう。  　遠山双葉(満島ひかり)は婚約者から別れを告げられて帰宅。双葉の家族は、15年前から名字を三崎から母、隆美(風吹ジュン)の旧姓に変えていた。父の駿輔(時任三郎)だけが三崎を名乗っていたためか、家族は執拗な中傷に追い続けられ、耐え難い現実に双葉は行動を起こす。  　達彦は重い病に冒されていた。洋貴が病院から夕暮れの釣り船屋に戻ると見慣れぬ女性、双葉がいた。洋貴は双葉を自殺志願者ではと警戒。空腹を訴える双葉のために洋貴が食料を買い出しに行こうとすると、弟の日垣耕平(田中圭)が車で達彦を連れて来た。達彦は病院を抜け出し、別れた妻、野本響子(大竹しのぶ)に会いに行ったらしい。会わせなかったと言う耕平は、達彦を洋貴に託して帰る。洋貴の家族は15年前の悲劇でバラバラになっていた。  　達彦を落ち着かせた洋貴は、双葉とファミリーレストランへ。そこで洋貴は、15年前の悲劇…妹の亜季が殺害されたことを話す。犯人は洋貴の友人だった。洋貴がなぜか話す気になった亜季の殺害状況を淡々と語っていると、双葉はいたたまれずに店を出る。亜季を殺したのは双葉の兄、文哉(風間俊介)だった。瑛太　  満島ひかり　  風間俊介　  田中圭　  佐藤江梨子　  福田麻由子  　○　  柄本明  　○　  小野武彦　  風吹ジュン　  時任三郎　  大竹しのぶ　    ほか【脚本】  坂元裕二【プロデュース】  石井浩二　    【監督】  永山耕三辻井伸行　    【主題歌】  『東京の空』小田和正フジテレビドラマ制作センター</t>
  </si>
  <si>
    <t>/　湖畔の釣り船屋『ふかみ』。深見洋貴(瑛太)は、ここで父の達彦(柄本明)を手伝いながら暮らしている。翌日は、15年前に亡くした妹、亜季(信太真妃)の誕生日。洋貴は亜季の顔をはっきりと思い出せなくなっていた。そんな時、達彦が倒れてしまう。  　遠山双葉(満島ひかり)は婚約者から別れを告げられて帰宅。双葉の家族は、15年前から名字を三崎から母、隆美(風吹ジュン)の旧姓に変えていた。父の駿輔(時任三郎)だけが三崎を名乗っていたためか、家族は執拗な中傷に追い続けられ、耐え難い現実に双葉は行動を起こす。  　達彦は重い病に冒されていた。洋貴が病院から夕暮れの釣り船屋に戻ると見慣れぬ女性、双葉がいた。洋貴は双葉を自殺志願者ではと警戒。空腹を訴える双葉のために洋貴が食料を買い出しに行こうとすると、弟の日垣耕平(田中圭)が車で達彦を連れて来た。達彦は病院を抜け出し、別れた妻、野本響子(大竹しのぶ)に会いに行ったらしい。会わせなかったと言う耕平は、達彦を洋貴に託して帰る。洋貴の家族は15年前の悲劇でバラバラになっていた。  　達彦を落ち着かせた洋貴は、双葉とファミリーレストランへ。そこで洋貴は、15年前の悲劇…妹の亜季が殺害されたことを話す。犯人は洋貴の友人だった。洋貴がなぜか話す気になった亜季の殺害状況を淡々と語っていると、双葉はいたたまれずに店を出る。亜季を殺したのは双葉の兄、文哉(風間俊介)だった。</t>
  </si>
  <si>
    <t>番組名&lt;木曜劇場&gt;それでも、生きてゆく　#02</t>
  </si>
  <si>
    <t>http://www.fujitv.co.jp/ikiteyuku/　深見洋貴(瑛太)は三崎文哉(風間俊介)を見つけるのだが、遠山(三崎)双葉(満島ひかり)が「逃げて」と声を上げたため見失ってしまう。その時、洋貴の上着の中にはナイフが忍ばされていた。双葉は洋貴に文哉の妹だと明かす。洋貴はなぜ今まで文哉の居場所を探さなかったのかと問うが、双葉には答えられない。放っておいたら、さらに犠牲者が出るという洋貴を双葉は否定してしまう。敵だと宣言して立ち去ろうとする洋貴は、双葉から連絡先を書いたメモを渡されるが受け取らなかった。  　双葉の家族は嫌がらせから逃れるため、またしても引っ越す。引っ越し先に着いた途端、警官が来た。付近で小学生の女の子が行方不明になっていたのだ。双葉に、洋貴から言われた言葉がよみがえる。  　父、達彦(柄本明)の葬儀を終えた洋貴は、耕平(田中圭)が養子に入った家に誘われる。そこでは、母の響子(大竹しのぶ)も暮らしていた。洋貴は耕平から文哉と会ったことは話すなと口止めされたのだが、つい話そうとしてしまう。気まずい雰囲気から帰ろうとした洋貴は、車に乗るときに双葉から渡されたメモを見つける。  　釣り船屋に双葉が来た。洋貴が呼び出したのだった・・・。瑛太　  満島ひかり　  風間俊介　  田中圭　  佐藤江梨子　  福田麻由子　  小野武彦  　○　  風吹ジュン　  時任三郎　  大竹しのぶ　    ほか【脚本】  坂元裕二【プロデュース】  石井浩二　    【監督】  永山耕三辻井伸行　    【主題歌】  小田和正『東京の空』フジテレビドラマ制作センター</t>
  </si>
  <si>
    <t>/　深見洋貴(瑛太)は三崎文哉(風間俊介)を見つけるのだが、遠山(三崎)双葉(満島ひかり)が「逃げて」と声を上げたため見失ってしまう。その時、洋貴の上着の中にはナイフが忍ばされていた。双葉は洋貴に文哉の妹だと明かす。洋貴はなぜ今まで文哉の居場所を探さなかったのかと問うが、双葉には答えられない。放っておいたら、さらに犠牲者が出るという洋貴を双葉は否定してしまう。敵だと宣言して立ち去ろうとする洋貴は、双葉から連絡先を書いたメモを渡されるが受け取らなかった。  　双葉の家族は嫌がらせから逃れるため、またしても引っ越す。引っ越し先に着いた途端、警官が来た。付近で小学生の女の子が行方不明になっていたのだ。双葉に、洋貴から言われた言葉がよみがえる。  　父、達彦(柄本明)の葬儀を終えた洋貴は、耕平(田中圭)が養子に入った家に誘われる。そこでは、母の響子(大竹しのぶ)も暮らしていた。洋貴は耕平から文哉と会ったことは話すなと口止めされたのだが、つい話そうとしてしまう。気まずい雰囲気から帰ろうとした洋貴は、車に乗るときに双葉から渡されたメモを見つける。  　釣り船屋に双葉が来た。洋貴が呼び出したのだった・・・。</t>
  </si>
  <si>
    <t>番組名&lt;木曜劇場&gt;それでも、生きてゆく　#03</t>
  </si>
  <si>
    <t>http://www.fujitv.co.jp/ikiteyuku/　祭りの夜、深見洋貴(瑛太)と遠山双葉(満島ひかり)は、洋貴の母・響子(大竹しのぶ)、と弟の耕平(田中圭)の嫁・日垣由佳(村川絵梨)と出くわしてしまう。洋貴は双葉に響子を母だと紹介。しかし、響子の動揺を恐れた洋貴は、双葉が何者かは言わなかった。再び2人になると、洋貴は響子が自分を許していないと双葉に話す。そんな洋貴に、双葉は自分の家族が嫌がらせを受けていると打ち明けた。知り合うまでは洋貴を疑っていたという双葉。洋貴には、嫌な予感が走る。  　遠山家は引っ越したのだが、嫌がらせが終わる気配はない。そんな時、バイトの面接帰りに双葉は響子と会い、ボウリングに誘われる。  　その頃、洋貴は耕平から、響子がおかしな行動をとっていることを教えられる。  　耕平が帰った後、湖でつり客の世話をした洋貴が店に戻ると双葉と響子が来ていた。洋貴は双葉を帰らせると、今度は響子におかしな行動はやめるように言う。しかし、響子はやめるわけないと言い放って出て行ってしまう。  　店の近くで佇んでいた双葉は、再び響子と会う。そしてバスを待つベンチで双葉は、響子が抱える、亡き娘への思いを知る事に…。瑛太　  満島ひかり　  風間俊介　  田中圭　  佐藤江梨子　  福田麻由子　  村川絵梨　  倉科カナ  　○　  段田安則　  小野武彦  　○　  風吹ジュン　  時任三郎　  大竹しのぶ　    ほか【脚本】  坂元裕二【プロデュース】  石井浩二　    【監督】  宮本理江子辻井伸行　    【主題歌】  小田和正『東京の空』フジテレビドラマ制作センター</t>
  </si>
  <si>
    <t>/　祭りの夜、深見洋貴(瑛太)と遠山双葉(満島ひかり)は、洋貴の母・響子(大竹しのぶ)、と弟の耕平(田中圭)の嫁・日垣由佳(村川絵梨)と出くわしてしまう。洋貴は双葉に響子を母だと紹介。しかし、響子の動揺を恐れた洋貴は、双葉が何者かは言わなかった。再び2人になると、洋貴は響子が自分を許していないと双葉に話す。そんな洋貴に、双葉は自分の家族が嫌がらせを受けていると打ち明けた。知り合うまでは洋貴を疑っていたという双葉。洋貴には、嫌な予感が走る。  　遠山家は引っ越したのだが、嫌がらせが終わる気配はない。そんな時、バイトの面接帰りに双葉は響子と会い、ボウリングに誘われる。  　その頃、洋貴は耕平から、響子がおかしな行動をとっていることを教えられる。  　耕平が帰った後、湖でつり客の世話をした洋貴が店に戻ると双葉と響子が来ていた。洋貴は双葉を帰らせると、今度は響子におかしな行動はやめるように言う。しかし、響子はやめるわけないと言い放って出て行ってしまう。  　店の近くで佇んでいた双葉は、再び響子と会う。そしてバスを待つベンチで双葉は、響子が抱える、亡き娘への思いを知る事に…。</t>
  </si>
  <si>
    <t>番組名&lt;木曜劇場&gt;それでも、生きてゆく　#04</t>
  </si>
  <si>
    <t>http://www.fujitv.co.jp/ikiteyuku/　深見洋貴(瑛太)は、遠山(三崎)双葉(満島ひかり)と彼女の家族が事件当時に住んでいた家の跡地で果物を見つける。それは、東京で2人が雨宮健二=三崎文哉(風間俊介)を見た時に、彼が残していった果物と同じ。洋貴は、文哉がつい最近ここに訪れたことを確信するが、双葉は否定的だった。  　洋貴と双葉が釣り船屋に行くと、野本(深見)響子(大竹しのぶ)が来ていた。響子の様子がおかしい。響子は、双葉が遠山家の娘だと知っていた。興信所で教えられた住所をたどって、遠山家を訪ねていたのだ。双葉が帰ると、響子は事件当時の遠山家の様子を洋貴に話す。  　双葉は深見の人々と会っている事を、家族に明かす。父の駿輔(時任三郎)、母の隆美(風吹ジュン)は過敏な反応を示した。妹の灯里(福田麻由子)が嫌がらせを警察に訴えようと言うのを、自分たちは加害者家族なのだと双葉が止める。すると隆美が、生まれる前の灯里に事件は関係ないとかばう。隆美の言い方に引っかかりながらも、双葉は深見家への謝罪を促すのだが、駿輔たちは取り合おうとしない。  　出かけようとした駿輔は、双葉が拾った果物を見つけて日向夏だと教える。送ってもらう車の中で、双葉は東京で文哉を見た事を駿輔に話した。駿輔も数年前に文哉と会ったと言う。そして、駿輔は人を殺してしまった息子…文哉への思いを話しだす。瑛太　  満島ひかり　  風間俊介　  田中圭　  佐藤江梨子　  福田麻由子　  村川絵梨　  倉科カナ  　○　  段田安則　  小野武彦  　○　  風吹ジュン　  時任三郎　  大竹しのぶ　    ほか【脚本】  坂元裕二【プロデュース】  石井浩二　    【監督】  並木道子辻井伸行　    【主題歌】  小田和正『東京の空』フジテレビドラマ制作センター</t>
  </si>
  <si>
    <t>/　深見洋貴(瑛太)は、遠山(三崎)双葉(満島ひかり)と彼女の家族が事件当時に住んでいた家の跡地で果物を見つける。それは、東京で2人が雨宮健二=三崎文哉(風間俊介)を見た時に、彼が残していった果物と同じ。洋貴は、文哉がつい最近ここに訪れたことを確信するが、双葉は否定的だった。  　洋貴と双葉が釣り船屋に行くと、野本(深見)響子(大竹しのぶ)が来ていた。響子の様子がおかしい。響子は、双葉が遠山家の娘だと知っていた。興信所で教えられた住所をたどって、遠山家を訪ねていたのだ。双葉が帰ると、響子は事件当時の遠山家の様子を洋貴に話す。  　双葉は深見の人々と会っている事を、家族に明かす。父の駿輔(時任三郎)、母の隆美(風吹ジュン)は過敏な反応を示した。妹の灯里(福田麻由子)が嫌がらせを警察に訴えようと言うのを、自分たちは加害者家族なのだと双葉が止める。すると隆美が、生まれる前の灯里に事件は関係ないとかばう。隆美の言い方に引っかかりながらも、双葉は深見家への謝罪を促すのだが、駿輔たちは取り合おうとしない。  　出かけようとした駿輔は、双葉が拾った果物を見つけて日向夏だと教える。送ってもらう車の中で、双葉は東京で文哉を見た事を駿輔に話した。駿輔も数年前に文哉と会ったと言う。そして、駿輔は人を殺してしまった息子…文哉への思いを話しだす。</t>
  </si>
  <si>
    <t>番組名&lt;木曜劇場&gt;それでも、生きてゆく　#05</t>
  </si>
  <si>
    <t>http://www.fujitv.co.jp/ikiteyuku/　深見洋貴(瑛太)は釣り船屋『ふかみ』で、藤村五月(倉科カナ)に医療少年院で三崎文哉=雨宮健二(風間俊介)の担当看護師だった東雪恵が行方不明になっていることを話す。事件性を疑う洋貴に、五月は文哉探しの協力を申し出た。そこに、遠山(三崎)双葉(満島ひかり)が現れる。自分と文哉の出生の秘密を知ってしまった双葉は、行き場所を失ってやって来たのだ。その夜『ふかみ』に泊まる事になると、五月は双葉の洋貴への気持ちを探ろうとする。  　その頃、文哉は自分の過去を知る臼井紗歩(安藤サクラ)を車で連れ出していた。ひたすら森の闇に車を走らせる文哉に紗歩は恐怖をつのらせる。翌朝は朝早く起きなければならないと訴える紗歩に、文哉は…明日が来ると思っているのか?…と、冷たく言い放った。  　夜が明けると、五月は東京に帰った。昨晩は寝付けなかったと、遅く起きた双葉が帰ろうとすると駿輔(時任三郎)が洋貴を訪ねてきた。改めて挨拶をしに来たと言う駿輔を洋貴は達彦(柄本明)の部屋へ通した。駿輔は響子(大竹しのぶ)に謝罪させて欲しいと洋貴に頼み、文哉も見つけ出すと約束する。すると洋貴は文哉が描いた絵を駿輔に見せた。文哉に反省の意志はないと突きつける洋貴に、駿輔は言葉を失う。  　うたた寝をしていた双葉を促し帰ろうとする駿輔。双葉が自分と文哉を産んだ母のことを尋ねると、駿輔は死んだと答えた。2人の会話を洋貴が聞いてしまう。瑛太　  満島ひかり　  風間俊介　  田中圭　  佐藤江梨子　  福田麻由子　  村川絵梨　  倉科カナ  　○　  段田安則　  小野武彦  　○　  風吹ジュン　  時任三郎　  大竹しのぶ　    ほか【脚本】  坂元裕二【プロデュース】  石井浩二　    【監督】  永山耕三辻井伸行　    【主題歌】  小田和正『東京の空』フジテレビドラマ制作センター</t>
  </si>
  <si>
    <t>/　深見洋貴(瑛太)は釣り船屋『ふかみ』で、藤村五月(倉科カナ)に医療少年院で三崎文哉=雨宮健二(風間俊介)の担当看護師だった東雪恵が行方不明になっていることを話す。事件性を疑う洋貴に、五月は文哉探しの協力を申し出た。そこに、遠山(三崎)双葉(満島ひかり)が現れる。自分と文哉の出生の秘密を知ってしまった双葉は、行き場所を失ってやって来たのだ。その夜『ふかみ』に泊まる事になると、五月は双葉の洋貴への気持ちを探ろうとする。  　その頃、文哉は自分の過去を知る臼井紗歩(安藤サクラ)を車で連れ出していた。ひたすら森の闇に車を走らせる文哉に紗歩は恐怖をつのらせる。翌朝は朝早く起きなければならないと訴える紗歩に、文哉は…明日が来ると思っているのか?…と、冷たく言い放った。  　夜が明けると、五月は東京に帰った。昨晩は寝付けなかったと、遅く起きた双葉が帰ろうとすると駿輔(時任三郎)が洋貴を訪ねてきた。改めて挨拶をしに来たと言う駿輔を洋貴は達彦(柄本明)の部屋へ通した。駿輔は響子(大竹しのぶ)に謝罪させて欲しいと洋貴に頼み、文哉も見つけ出すと約束する。すると洋貴は文哉が描いた絵を駿輔に見せた。文哉に反省の意志はないと突きつける洋貴に、駿輔は言葉を失う。  　うたた寝をしていた双葉を促し帰ろうとする駿輔。双葉が自分と文哉を産んだ母のことを尋ねると、駿輔は死んだと答えた。2人の会話を洋貴が聞いてしまう。</t>
  </si>
  <si>
    <t>番組名&lt;木曜劇場&gt;それでも、生きてゆく　#06</t>
  </si>
  <si>
    <t>深見洋貴(瑛太)の母、響子(大竹しのぶ)は亜季(信太真妃)の死亡時の足跡をたどり、娘への思いを再確認。耕平(田中圭)と一緒に住んでいた日垣家を出て三崎文哉=雨宮健二(風間俊介)を探すため洋貴が暮らす釣り船屋『ふかみ』に身を移した。そんな時、遠山(三崎)隆美(風吹ジュン)が来る。家出した双葉(満島ひかり)を探しに来た隆美なのだが、響子と顔を遇わせてしまった。すると隆美の携帯電話に連絡が入り、駿輔(時任三郎)も来る事になる。駿輔と隆美は、響子に謝罪しようとするのだが会話が上手く噛み合わない。結局、謝罪の言葉を伝える事は出来なかった。  　一方、双葉は祖母のいる介護アパートで文哉に再会。文哉が帰ろうとすると双葉は一緒に連れて行って欲しいと頼み動物園へ。そこで文哉は小さな島に住みたいと言う。その島は文哉と双葉の母親が産まれた場所だった。一緒に行くかと問う文哉に、双葉はうなずく。文哉は翌日の出発を約束して双葉と別れた。  　洋貴は藤村五月(倉科カナ)から東雪恵(酒井若菜)が生きていたと連絡を受ける。早速2人は雪恵の母親に会い、勤め先を聞き出した。雪恵の仕事が終わるのを待つ間、洋貴は五月と別行動。その時、洋貴はようやく双葉と連絡がついた。カラオケ店で、双葉は洋貴に文哉と会ったと話しだすのだが…。瑛太　  満島ひかり　  風間俊介　  田中圭　  佐藤江梨子　  福田麻由子　  村川絵梨　  倉科カナ  　○　  段田安則　  小野武彦  　○　  風吹ジュン　  時任三郎　  大竹しのぶ　    ほか【脚本】  坂元裕二【プロデュース】  石井浩二　    【監督】  宮本理江子辻井伸行　    【主題歌】  小田和正『東京の空』フジテレビドラマ制作センター</t>
  </si>
  <si>
    <t>深見洋貴(瑛太)の母、響子(大竹しのぶ)は亜季(信太真妃)の死亡時の足跡をたどり、娘への思いを再確認。耕平(田中圭)と一緒に住んでいた日垣家を出て三崎文哉=雨宮健二(風間俊介)を探すため洋貴が暮らす釣り船屋『ふかみ』に身を移した。そんな時、遠山(三崎)隆美(風吹ジュン)が来る。家出した双葉(満島ひかり)を探しに来た隆美なのだが、響子と顔を遇わせてしまった。すると隆美の携帯電話に連絡が入り、駿輔(時任三郎)も来る事になる。駿輔と隆美は、響子に謝罪しようとするのだが会話が上手く噛み合わない。結局、謝罪の言葉を伝える事は出来なかった。  　一方、双葉は祖母のいる介護アパートで文哉に再会。文哉が帰ろうとすると双葉は一緒に連れて行って欲しいと頼み動物園へ。そこで文哉は小さな島に住みたいと言う。その島は文哉と双葉の母親が産まれた場所だった。一緒に行くかと問う文哉に、双葉はうなずく。文哉は翌日の出発を約束して双葉と別れた。  　洋貴は藤村五月(倉科カナ)から東雪恵(酒井若菜)が生きていたと連絡を受ける。早速2人は雪恵の母親に会い、勤め先を聞き出した。雪恵の仕事が終わるのを待つ間、洋貴は五月と別行動。その時、洋貴はようやく双葉と連絡がついた。カラオケ店で、双葉は洋貴に文哉と会ったと話しだすのだが…。</t>
  </si>
  <si>
    <t>番組名&lt;木曜劇場&gt;それでも、生きてゆく　#07</t>
  </si>
  <si>
    <t>http://www.fujitv.co.jp/ikiteyuku/　深見洋貴(瑛太)は藤村五月(倉科カナ)と会いに行った東雪恵(酒井若菜)を、雨宮健二=三崎文哉(風間俊介)の話を聞くために釣り船屋『ふかみ』へと連れていく。ちょうど『ふかみ』には日垣耕平(田中圭)も来ていて、野本(深見)響子(大竹しのぶ)と一緒に雪恵の話を聞く事になった。雪恵が語る医療少年院での文哉との出会いから別れまでの話は、洋貴たちに衝撃を与える。また、雪恵は文哉が現在、千葉の果樹園で働いていることも教えてくれた。  　果樹園では文哉が幼女を手にかけたと知った草間真岐(佐藤江梨子)が、落ち着かせようとする父・五郎(小野武彦)の言葉も聞かずに激しく怯えていた。真岐にも小さな娘・悠里(原涼子)がいたからだ。  　そんな時、文哉の居場所を知った駿輔(時任三郎)から連絡があり、五郎は会いに行くため果樹園を留守にする。その間、真岐が目を離したすきに悠里の姿が消えた。真岐は文哉を疑い部屋に行くのだが、悠里はいない。そこで真岐は文哉に詰め寄るが答えはなかった。悠里を求めて、外へと飛び出す真岐。  　実は悠里は臼井紗歩(安藤サクラ)と果樹園で遊んでいた。そんな2人に、近づいて来たのは…。瑛太　  満島ひかり　  風間俊介　  田中圭　  佐藤江梨子　  福田麻由子　  村川絵梨　  倉科カナ  　○　  段田安則　  小野武彦  　○　  風吹ジュン　  時任三郎　  大竹しのぶ　    ほか【脚本】  坂元裕二【プロデュース】  石井浩二　    【監督】  並木道子辻井伸行　    【主題歌】  小田和正『東京の空』フジテレビドラマ制作センター</t>
  </si>
  <si>
    <t>/　深見洋貴(瑛太)は藤村五月(倉科カナ)と会いに行った東雪恵(酒井若菜)を、雨宮健二=三崎文哉(風間俊介)の話を聞くために釣り船屋『ふかみ』へと連れていく。ちょうど『ふかみ』には日垣耕平(田中圭)も来ていて、野本(深見)響子(大竹しのぶ)と一緒に雪恵の話を聞く事になった。雪恵が語る医療少年院での文哉との出会いから別れまでの話は、洋貴たちに衝撃を与える。また、雪恵は文哉が現在、千葉の果樹園で働いていることも教えてくれた。  　果樹園では文哉が幼女を手にかけたと知った草間真岐(佐藤江梨子)が、落ち着かせようとする父・五郎(小野武彦)の言葉も聞かずに激しく怯えていた。真岐にも小さな娘・悠里(原涼子)がいたからだ。  　そんな時、文哉の居場所を知った駿輔(時任三郎)から連絡があり、五郎は会いに行くため果樹園を留守にする。その間、真岐が目を離したすきに悠里の姿が消えた。真岐は文哉を疑い部屋に行くのだが、悠里はいない。そこで真岐は文哉に詰め寄るが答えはなかった。悠里を求めて、外へと飛び出す真岐。  　実は悠里は臼井紗歩(安藤サクラ)と果樹園で遊んでいた。そんな2人に、近づいて来たのは…。</t>
  </si>
  <si>
    <t>番組名&lt;木曜劇場&gt;それでも、生きてゆく　#08</t>
  </si>
  <si>
    <t>http://www.fujitv.co.jp/ikiteyuku/　深見洋貴(瑛太)と日垣耕平(田中圭)が三崎文哉(風間俊介)が働いているという果樹園に向かっている頃、その果樹園で新たな事件が発覚。草間五郎(小野武彦)が文哉に会いたいという駿輔(時任三郎)を果樹園に連れて行くと、娘の真岐(佐藤江梨子)が倒れていたのだ。動揺する五郎に変わって、駿輔が救急車を呼ぶ。付近に文哉の姿はなかった。五郎が真岐に付き添った救急車が出て行くと、臼井紗歩(安藤サクラ)が現れる。呆然としている駿輔に、紗歩は文哉の仕業だと言い放った。その後、ようやく到着した洋貴たちに、駿輔は果樹園で起きた事を話す。  　洋貴たちを釣り船屋『ふかみ』から送り出した野本(深見)響子(大竹しのぶ)は遠山(三崎)双葉(満島ひかり)と連絡を待っていた。と、双葉の携帯が着信。電話は文哉からだった。双葉は文哉に会いたいと話すのだが、お前が嫌だと言うからこんなことになったと電話を切られてしまう。双葉がショックを受けていると、店の電話が鳴る。それは、耕平から果樹園での出来事を知らせるものだった。一方、駿輔も隆美(風吹ジュン)に電話して、15年前のことも考え、灯里(福田麻由子)と家を出る準備をするよう促す。  　真岐の容態は重篤だった。救急隊からの報せを受けた警察も捜査に乗り出すが、文哉の足取りは不明。その頃文哉は、ある場所へと向かっていた。瑛太　  満島ひかり　  風間俊介　  田中圭　  佐藤江梨子　  福田麻由子　  村川絵梨　  倉科カナ　  　○　  段田安則　  小野武彦  　○　  風吹ジュン　  時任三郎　  大竹しのぶ　    ほか【脚本】  坂元裕二【プロデュース】  石井浩二　    【監督】  宮本理江子辻井伸行　    【主題歌】  小田和正『東京の空』フジテレビドラマ制作センター</t>
  </si>
  <si>
    <t>/　深見洋貴(瑛太)と日垣耕平(田中圭)が三崎文哉(風間俊介)が働いているという果樹園に向かっている頃、その果樹園で新たな事件が発覚。草間五郎(小野武彦)が文哉に会いたいという駿輔(時任三郎)を果樹園に連れて行くと、娘の真岐(佐藤江梨子)が倒れていたのだ。動揺する五郎に変わって、駿輔が救急車を呼ぶ。付近に文哉の姿はなかった。五郎が真岐に付き添った救急車が出て行くと、臼井紗歩(安藤サクラ)が現れる。呆然としている駿輔に、紗歩は文哉の仕業だと言い放った。その後、ようやく到着した洋貴たちに、駿輔は果樹園で起きた事を話す。  　洋貴たちを釣り船屋『ふかみ』から送り出した野本(深見)響子(大竹しのぶ)は遠山(三崎)双葉(満島ひかり)と連絡を待っていた。と、双葉の携帯が着信。電話は文哉からだった。双葉は文哉に会いたいと話すのだが、お前が嫌だと言うからこんなことになったと電話を切られてしまう。双葉がショックを受けていると、店の電話が鳴る。それは、耕平から果樹園での出来事を知らせるものだった。一方、駿輔も隆美(風吹ジュン)に電話して、15年前のことも考え、灯里(福田麻由子)と家を出る準備をするよう促す。  　真岐の容態は重篤だった。救急隊からの報せを受けた警察も捜査に乗り出すが、文哉の足取りは不明。その頃文哉は、ある場所へと向かっていた。</t>
  </si>
  <si>
    <t>番組名&lt;木曜劇場&gt;それでも、生きてゆく　#09</t>
  </si>
  <si>
    <t>http://www.fujitv.co.jp/ikiteyuku/　深見洋貴(瑛太)が、三崎文哉(風間俊介)が新たに事件を起こした千葉から遠山(三崎)双葉(満島ひかり)を車で家に送ろうとしている頃、釣り船屋『ふかみ』では激しい攻防が繰り広げられていた。双葉を求めて訪ねて来た文哉と、息子の日垣耕平(田中圭)の妻、由佳(村川絵梨)と孫を守ろうとする野本(深見)響子(大竹しのぶ)が争っていたのだ。家具で文哉を殴り倒した響子は、どうして亜季(信太真妃)だったのかと積年の問いをぶつける。文哉はふらふらと立ち上がりながら、たまたま道で会った、誰でもよかったと言って店を出て行ってしまう。響子からの連絡で洋貴は双葉も伴って『ふかみ』に急いで戻って来た。意外にも落ち着いている様子の響子に安堵した洋貴は、双葉を遠山家へ送って行く事に。  　一方、警察署で聴取を受けていた駿輔(時任三郎)は文哉を逮捕して欲しいと懇願していた。だが、駿輔が留守にしている遠山家には『ふかみ』から離れた文哉が訪ねていようとは思ってもいない。遠山家で隆美(風吹ジュン)と灯里(福田麻由子)が文哉に対応していると洋貴に送られた双葉が帰って来た。そのまま来た道を帰ろうとする洋貴に、双葉から文哉がいるとメールが入る。すぐさま車を反転させ、再び遠山家に向かう洋貴。遠山家では、双葉に続いて帰って来た駿輔が文哉に自首を促していたのだが…。瑛太　  満島ひかり　  風間俊介　  田中圭　  佐藤江梨子　  福田麻由子　  村川絵梨　  倉科カナ  　○　  段田安則　  小野武彦  　○　  風吹ジュン　  時任三郎　  大竹しのぶ　    ほか【脚本】  坂元裕二【プロデュース】  石井浩二　    【監督】  永山耕三辻井伸行　    【主題歌】  小田和正『東京の空』フジテレビドラマ制作センター</t>
  </si>
  <si>
    <t>/　深見洋貴(瑛太)が、三崎文哉(風間俊介)が新たに事件を起こした千葉から遠山(三崎)双葉(満島ひかり)を車で家に送ろうとしている頃、釣り船屋『ふかみ』では激しい攻防が繰り広げられていた。双葉を求めて訪ねて来た文哉と、息子の日垣耕平(田中圭)の妻、由佳(村川絵梨)と孫を守ろうとする野本(深見)響子(大竹しのぶ)が争っていたのだ。家具で文哉を殴り倒した響子は、どうして亜季(信太真妃)だったのかと積年の問いをぶつける。文哉はふらふらと立ち上がりながら、たまたま道で会った、誰でもよかったと言って店を出て行ってしまう。響子からの連絡で洋貴は双葉も伴って『ふかみ』に急いで戻って来た。意外にも落ち着いている様子の響子に安堵した洋貴は、双葉を遠山家へ送って行く事に。  　一方、警察署で聴取を受けていた駿輔(時任三郎)は文哉を逮捕して欲しいと懇願していた。だが、駿輔が留守にしている遠山家には『ふかみ』から離れた文哉が訪ねていようとは思ってもいない。遠山家で隆美(風吹ジュン)と灯里(福田麻由子)が文哉に対応していると洋貴に送られた双葉が帰って来た。そのまま来た道を帰ろうとする洋貴に、双葉から文哉がいるとメールが入る。すぐさま車を反転させ、再び遠山家に向かう洋貴。遠山家では、双葉に続いて帰って来た駿輔が文哉に自首を促していたのだが…。</t>
  </si>
  <si>
    <t>番組名&lt;木曜劇場&gt;それでも、生きてゆく　#10</t>
  </si>
  <si>
    <t>http://www.fujitv.co.jp/ikiteyuku/　深見洋貴(瑛太)は三崎駿輔(時任三郎)から三崎文哉(風間俊介)の亡くなった母の出身地を聞き、広島行きの新幹線に乗る。その頃、すでに遠山(三崎)双葉(満島ひかり)は、その地で文哉を探していた。  　駿輔は隆美(風吹ジュン)、灯里(福田麻由子)と別居し、果樹園の草間五郎(小野武彦)のもとに謝罪のため足を運ぶのだが、会ってはもらえない。  　目的地に着いた洋貴は双葉を見つける。洋貴は、自分の車から持ち出した凶器を返すよう双葉を説得。初めは拒否した双葉だが、もし凶器を使う時が来たら共犯者になるということで了承した。  　文哉は亡き母の親戚の家で写真を探していた。家中をひっくり返して写真を探す文哉の異様さに親戚は警察に連絡。自殺すると文哉が家を出て行った後に、警官に説明する親戚たちの話を洋貴と双葉が聞きつけた。  　加害者家族として顔写真がタブロイド紙に掲載されてしまった隆美と灯里。15年前のことを知らなかった灯里は激しく絶望してしまう。そんな母子が暮らすアパートを野本(深見)響子(大竹しのぶ)が訪ねて来た。  　一方、ようやく五郎に会ってもらえた駿輔は、真岐(佐藤江梨子)が入院する病院に連れて行かれて厳しい現実を突きつけられてしまう。  　文哉が自殺をほのめかしたことを知った双葉は、このまま死んでしまえば…と考えるのだった。瑛太　  満島ひかり　  風間俊介　  田中圭　  佐藤江梨子　  福田麻由子　  村川絵梨　  倉科カナ  　○　  段田安則　  小野武彦  　○　  風吹ジュン　  時任三郎　  大竹しのぶ　    ほか【脚本】  坂元裕二【プロデュース】  石井浩二　    【監督】  宮本理江子辻井伸行　    【主題歌】  小田和正『東京の空』フジテレビドラマ制作センター</t>
  </si>
  <si>
    <t>/　深見洋貴(瑛太)は三崎駿輔(時任三郎)から三崎文哉(風間俊介)の亡くなった母の出身地を聞き、広島行きの新幹線に乗る。その頃、すでに遠山(三崎)双葉(満島ひかり)は、その地で文哉を探していた。  　駿輔は隆美(風吹ジュン)、灯里(福田麻由子)と別居し、果樹園の草間五郎(小野武彦)のもとに謝罪のため足を運ぶのだが、会ってはもらえない。  　目的地に着いた洋貴は双葉を見つける。洋貴は、自分の車から持ち出した凶器を返すよう双葉を説得。初めは拒否した双葉だが、もし凶器を使う時が来たら共犯者になるということで了承した。  　文哉は亡き母の親戚の家で写真を探していた。家中をひっくり返して写真を探す文哉の異様さに親戚は警察に連絡。自殺すると文哉が家を出て行った後に、警官に説明する親戚たちの話を洋貴と双葉が聞きつけた。  　加害者家族として顔写真がタブロイド紙に掲載されてしまった隆美と灯里。15年前のことを知らなかった灯里は激しく絶望してしまう。そんな母子が暮らすアパートを野本(深見)響子(大竹しのぶ)が訪ねて来た。  　一方、ようやく五郎に会ってもらえた駿輔は、真岐(佐藤江梨子)が入院する病院に連れて行かれて厳しい現実を突きつけられてしまう。  　文哉が自殺をほのめかしたことを知った双葉は、このまま死んでしまえば…と考えるのだった。</t>
  </si>
  <si>
    <t>番組名&lt;木曜劇場&gt;それでも、生きてゆく　#11</t>
  </si>
  <si>
    <t>http://www.fujitv.co.jp/ikiteyuku/　深見洋貴(瑛太)の目の前で三崎文哉(風間俊介)は逮捕された。亜季(信太真妃)を殺害したことに何の反省もせず、感情のかけらさえ見せない文哉を殴り続けた遠山(三崎)双葉(満島ひかり)は拳から血を流している。警察署の医務室で治療を受けた双葉は文哉の自殺を止めなければ良かったと後悔するのだが、洋貴はこれからの自分たちを考えようと語った。　釣り船屋『ふかみ』に戻った洋貴は、藤村五月(倉科カナ)に今回の出来事を報告。五月は文哉に面会して反省を促すよう洋貴に勧める。しかし、洋貴は終わったことだと首を横にふった。  　洋貴は野本(深見)響子(大竹しのぶ)、日垣耕平(田中圭)と一緒に、達彦(柄本明)と亜季が眠る墓に報告に向かう。そこには、双葉、隆美(風吹ジュン)、灯里(福田麻由子)の姿もあった。響子が呼んだのだ。墓参りが済むと、洋貴と双葉は2人だけで話す機会を得る。そこで洋貴はずっと一緒にいたいと双葉への想いを打ち明けるのだったが、双葉はすでにある決意を胸に秘めていた・・・。瑛太　  満島ひかり　  風間俊介　  田中圭　  佐藤江梨子　  福田麻由子　  村川絵梨　  倉科カナ  　○　  段田安則　  小野武彦  　○　  風吹ジュン　  時任三郎　  大竹しのぶ　    ほか【脚本】  坂元裕二【プロデュース】  石井浩二　    【監督】  永山耕三辻井伸行　    【主題歌】  小田和正『東京の空』フジテレビドラマ制作センター</t>
  </si>
  <si>
    <t>/　深見洋貴(瑛太)の目の前で三崎文哉(風間俊介)は逮捕された。亜季(信太真妃)を殺害したことに何の反省もせず、感情のかけらさえ見せない文哉を殴り続けた遠山(三崎)双葉(満島ひかり)は拳から血を流している。警察署の医務室で治療を受けた双葉は文哉の自殺を止めなければ良かったと後悔するのだが、洋貴はこれからの自分たちを考えようと語った。　釣り船屋『ふかみ』に戻った洋貴は、藤村五月(倉科カナ)に今回の出来事を報告。五月は文哉に面会して反省を促すよう洋貴に勧める。しかし、洋貴は終わったことだと首を横にふった。  　洋貴は野本(深見)響子(大竹しのぶ)、日垣耕平(田中圭)と一緒に、達彦(柄本明)と亜季が眠る墓に報告に向かう。そこには、双葉、隆美(風吹ジュン)、灯里(福田麻由子)の姿もあった。響子が呼んだのだ。墓参りが済むと、洋貴と双葉は2人だけで話す機会を得る。そこで洋貴はずっと一緒にいたいと双葉への想いを打ち明けるのだったが、双葉はすでにある決意を胸に秘めていた・・・。</t>
  </si>
  <si>
    <t>1107_CX_日21</t>
  </si>
  <si>
    <t>花ざかりの君たちへ</t>
  </si>
  <si>
    <t>番組名&lt;ドラマチックサンデー&gt;花ざかりの君たちへ～イケメン☆パラダイス…　#01</t>
  </si>
  <si>
    <t>&lt;ドラマチックサンデー&gt;花ざかりの君たちへ～イケメン☆パラダイス2011　カリフォルニア帰りの帰国子女・芦屋瑞稀(前田敦子)は、女の子であることを隠して全寮制の男子校・桜咲学園に編入する。その目的は、同校2年のハイジャンプ選手・佐野泉(中村蒼)に会うためだった。佐野は、将来を嘱望されていたハイジャンプの選手だったが、軸足のケガが原因で跳ぶことを諦めていた。それを知った瑞稀は、かつて自分の運命を変えてくれた佐野に、どうしてももう一度跳んでもらいたいと強く願っていたのだ。　桜咲学園にやってきた瑞稀は、そこで佐野の親友でもある明るくて純粋なサッカー少年・中津秀一(三浦翔平)らと出会う。彼らは皆、瑞稀と同じ2年生のクラスメートだ。  　この桜咲学園には3つの寮があった。第1寮は、空手部主将の天王寺恵(満島真之介)寮長率いる運動系、第3寮は、演劇部部長のオスカー・M・姫島こと姫島正夫(徳山秀典)寮長率いる芸術系、そして第2寮は、学内一のプレーボーイと評判の難波南(桐山漣)寮長率いる混合系だった。佐野や中津らも所属する第2寮に入った瑞稀は、なんと佐野と同室になってしまう。  　そんな折、瑞稀は、佐野のライバルだったハイジャン選手・神楽坂真言(佐藤祐基)がいる桃郷学院と、桜咲学園との間で長年行われてきた合同球技大会が、今年は中止になったことを知る。瑞稀は、中津や難波らに協力を仰ぎ、合同球技大会を実現させようと奔走するが…。芦屋瑞稀:　前田敦子　    佐野泉:　中村蒼　    中津秀一:　三浦翔平　    難波南:　桐山漣　  関目京悟:　山田親太朗　  萱島大樹:　柳下大　  中央千里:　西井幸人　  野江伸二:　鈴木勝大　    天王寺恵:　満島真之介　  オスカー・M・姫島:　徳山秀典　  神楽坂真言:　佐藤祐基　  梅田北斗:　斎藤工　    ほか【原作】  「花ざかりの君たちへ」中条比紗也(白泉社「花とゆめ」)　    【脚本】  山上ちはる【演出】  松田秀知高見優　  河野伸　    【主題歌】AKB48フジテレビ　  共同テレビ</t>
  </si>
  <si>
    <t>&lt;ドラマチックサンデー&gt;花ざかりの君たちへ～イケメン☆パラダイス2011　カリフォルニア帰りの帰国子女・芦屋瑞稀(前田敦子)は、女の子であることを隠して全寮制の男子校・桜咲学園に編入する。その目的は、同校2年のハイジャンプ選手・佐野泉(中村蒼)に会うためだった。佐野は、将来を嘱望されていたハイジャンプの選手だったが、軸足のケガが原因で跳ぶことを諦めていた。それを知った瑞稀は、かつて自分の運命を変えてくれた佐野に、どうしてももう一度跳んでもらいたいと強く願っていたのだ。　桜咲学園にやってきた瑞稀は、そこで佐野の親友でもある明るくて純粋なサッカー少年・中津秀一(三浦翔平)らと出会う。彼らは皆、瑞稀と同じ2年生のクラスメートだ。  　この桜咲学園には3つの寮があった。第1寮は、空手部主将の天王寺恵(満島真之介)寮長率いる運動系、第3寮は、演劇部部長のオスカー・M・姫島こと姫島正夫(徳山秀典)寮長率いる芸術系、そして第2寮は、学内一のプレーボーイと評判の難波南(桐山漣)寮長率いる混合系だった。佐野や中津らも所属する第2寮に入った瑞稀は、なんと佐野と同室になってしまう。  　そんな折、瑞稀は、佐野のライバルだったハイジャン選手・神楽坂真言(佐藤祐基)がいる桃郷学院と、桜咲学園との間で長年行われてきた合同球技大会が、今年は中止になったことを知る。瑞稀は、中津や難波らに協力を仰ぎ、合同球技大会を実現させようと奔走するが…。</t>
  </si>
  <si>
    <t>番組名&lt;ドラマチックサンデー&gt;花ざかりの君たちへ～イケメン☆パラダイス2…　#02</t>
  </si>
  <si>
    <t>&lt;ドラマチックサンデー&gt;花ざかりの君たちへ～イケメン☆パラダイス2011　芦屋瑞稀(前田敦子)は、佐野泉(中村蒼)を訪ねて女子高生の山科理香(岩田さゆり)がやってきたことを知る。佐野と理香が話しているところを、関目京悟(山田親太朗)や野江伸二(鈴木勝大)と一緒に盗み見た瑞稀は、何故か胸のざわめきを感じていた。一方、佐野は、瑞稀が実は女性ではないかと疑い始めていたが、確かめることができずにいた。  　同じころ、桜咲学園の生徒たちは、中止の予定だった学園祭が復活することを知り、大いに盛り上がっていた。学園祭は2日間に渡って開催され、1日目は文科系イベント、2日目は運動競技が行われることになっていた。しかも、そのすべてが点数制になっており、寮対抗で競い合うのだ。第2寮の寮長・難波南(桐山漣)は、各寮の代表2名が美を競う初日のメーンイベント、ミスコンテストに瑞稀を出場させることにする。が、ミスコンの代表に選ばれた途端、瑞稀は、何者かから嫌がらせを受けるようになってしまう。  　第2寮のメンバーは、さっそく学園祭に出店する冥途喫茶の準備を開始した。そこでも中津秀一(三浦翔平)は、瑞稀のことを妙に意識してしまい、思い悩んでいた。  　そんな折、犬の裕次郎を連れて寮を出ようとした瑞稀は、理香に呼び止められる。そこで瑞稀は、彼女が佐野と同じ中学校の出身で、陸上部のマネジャーだったことを知る。瑞稀は、佐野がハイジャンプを止めてしまった理由を理香に尋ねるが…。芦屋瑞稀:　前田敦子　    佐野泉:　中村蒼　    中津秀一:　三浦翔平　    難波南:　桐山漣　  関目京悟:　山田親太朗　  萱島大樹:　柳下大　  中央千里:　西井幸人　  野江伸二:　鈴木勝大　    天王寺恵:　満島真之介　  オスカー・M・姫島:　徳山秀典　  神楽坂真言:　佐藤祐基　  梅田北斗:　斎藤工　    山科理香:　岩田さゆり　    ほか【原作】  「花ざかりの君たちへ」中条比紗也(白泉社「花とゆめ」)　    【脚本】  山上ちはる【演出】  松田秀知高見優　  河野伸　    【主題歌】AKB48フジテレビ　  共同テレビ</t>
  </si>
  <si>
    <t>&lt;ドラマチックサンデー&gt;花ざかりの君たちへ～イケメン☆パラダイス2011　芦屋瑞稀(前田敦子)は、佐野泉(中村蒼)を訪ねて女子高生の山科理香(岩田さゆり)がやってきたことを知る。佐野と理香が話しているところを、関目京悟(山田親太朗)や野江伸二(鈴木勝大)と一緒に盗み見た瑞稀は、何故か胸のざわめきを感じていた。一方、佐野は、瑞稀が実は女性ではないかと疑い始めていたが、確かめることができずにいた。  　同じころ、桜咲学園の生徒たちは、中止の予定だった学園祭が復活することを知り、大いに盛り上がっていた。学園祭は2日間に渡って開催され、1日目は文科系イベント、2日目は運動競技が行われることになっていた。しかも、そのすべてが点数制になっており、寮対抗で競い合うのだ。第2寮の寮長・難波南(桐山漣)は、各寮の代表2名が美を競う初日のメーンイベント、ミスコンテストに瑞稀を出場させることにする。が、ミスコンの代表に選ばれた途端、瑞稀は、何者かから嫌がらせを受けるようになってしまう。  　第2寮のメンバーは、さっそく学園祭に出店する冥途喫茶の準備を開始した。そこでも中津秀一(三浦翔平)は、瑞稀のことを妙に意識してしまい、思い悩んでいた。  　そんな折、犬の裕次郎を連れて寮を出ようとした瑞稀は、理香に呼び止められる。そこで瑞稀は、彼女が佐野と同じ中学校の出身で、陸上部のマネジャーだったことを知る。瑞稀は、佐野がハイジャンプを止めてしまった理由を理香に尋ねるが…。</t>
  </si>
  <si>
    <t>番組名&lt;ドラマチックサンデー&gt;花ざかりの君たちへ～イケメン☆パラダイス2…　#03</t>
  </si>
  <si>
    <t>&lt;ドラマチックサンデー&gt;花ざかりの君たちへ～イケメン☆パラダイス2011　芦屋瑞稀(前田敦子)は、粕漬けを食べて酔っぱらった佐野泉(中村蒼)からキスをされ、動揺していた。それを知った中津秀一(三浦翔平)や中央千里(西井幸人)らは、口々に、自分も佐野からキスされたことがある、と言い出す。実は佐野は、少しでもアルコールが入っているものを食べたりすると、酔ってキス魔になってしまうらしい。しかもキスしたことをまったく覚えていないのだという。瑞稀はファーストキスだったこともあり、さらに落ち込んでしまう。  　桜咲学園の各寮生は、学園祭2日目の運動競技会に向けて、くじ引きで出場競技を決める。その結果、瑞稀、佐野、中津は騎馬戦に出場することになった。さらに、瑞稀と中津は、寮長の難波南(桐山漣)、関目京悟(山田親太朗)、野江伸二(鈴木勝大)らとともに、第2寮の代表として大会のハイライトである2000メートルリレーにも出場することになってしまう。学園祭初日のイベントでは最下位だった第2寮の面々は、俊足の瑞稀と中津が選ばれたことで大いに盛り上がっていた。  　そんな折、佐野のもとに、桃郷学院の神楽坂真言(佐藤祐基)がやってくる。神楽坂は、佐野に陸上競技会のチラシを見せ、この大会で決着をつけようと告げる。  　同じころ、難波は、中学時代の家庭教師で、元恋人でもある田辺可南子(酒井彩名)と再会するが…。芦屋瑞稀:　前田敦子　    佐野泉:　中村蒼　    中津秀一:　三浦翔平　    難波南:　桐山漣　  関目京悟:　山田親太朗　  萱島大樹:　柳下大　  中央千里:　西井幸人　  野江伸二:　鈴木勝大　    天王寺恵:　満島真之介　  オスカー・M・姫島:　徳山秀典　  神楽坂真言:　佐藤祐基　  梅田北斗:　斎藤工　      田辺可南子:　酒井彩名　    ほか【原作】  「花ざかりの君たちへ」中条比紗也(白泉社「花とゆめ」)　    【脚本】  山上ちはる【演出】  松田秀知高見優　  河野伸　    【主題歌】  AKB48「フライングゲット」(キングレコード)フジテレビ　  共同テレビ</t>
  </si>
  <si>
    <t>&lt;ドラマチックサンデー&gt;花ざかりの君たちへ～イケメン☆パラダイス2011　芦屋瑞稀(前田敦子)は、粕漬けを食べて酔っぱらった佐野泉(中村蒼)からキスをされ、動揺していた。それを知った中津秀一(三浦翔平)や中央千里(西井幸人)らは、口々に、自分も佐野からキスされたことがある、と言い出す。実は佐野は、少しでもアルコールが入っているものを食べたりすると、酔ってキス魔になってしまうらしい。しかもキスしたことをまったく覚えていないのだという。瑞稀はファーストキスだったこともあり、さらに落ち込んでしまう。  　桜咲学園の各寮生は、学園祭2日目の運動競技会に向けて、くじ引きで出場競技を決める。その結果、瑞稀、佐野、中津は騎馬戦に出場することになった。さらに、瑞稀と中津は、寮長の難波南(桐山漣)、関目京悟(山田親太朗)、野江伸二(鈴木勝大)らとともに、第2寮の代表として大会のハイライトである2000メートルリレーにも出場することになってしまう。学園祭初日のイベントでは最下位だった第2寮の面々は、俊足の瑞稀と中津が選ばれたことで大いに盛り上がっていた。  　そんな折、佐野のもとに、桃郷学院の神楽坂真言(佐藤祐基)がやってくる。神楽坂は、佐野に陸上競技会のチラシを見せ、この大会で決着をつけようと告げる。  　同じころ、難波は、中学時代の家庭教師で、元恋人でもある田辺可南子(酒井彩名)と再会するが…。</t>
  </si>
  <si>
    <t>番組名&lt;ドラマチックサンデー&gt;花ざかりの君たちへ～イケメン☆パラダイス2…　#04</t>
  </si>
  <si>
    <t>&lt;ドラマチックサンデー&gt;花ざかりの君たちへ～イケメン☆パラダイス2011　桜咲学園も夏休みに突入した。芦屋瑞稀(前田敦子)は、再びハイジャンプの練習を始めた佐野泉(中村蒼)のことが気になり、アメリカに戻らず寮で夏休みを過ごそうと考える。だが、当の佐野は、毎年祖父のところに行くらしい。一方、瑞稀が残ることを知った中津秀一(三浦翔平)は帰省を止めて、サッカーの自主合宿をすると言い出す。  　今年の夏休みは、食堂しかエアコンが入らないため、雑魚寝をすることに。各寮の場所取り合戦が繰り広げられる中、瑞稀も部屋の片隅に場所を確保した。佐野は、そんな瑞稀のことを心配し、寮に残ることを決意する。  　その夜、怪しい物音やすすり泣くような声が聞こえ、部屋の電気やテレビも消えてしまう。さらに、難波南(桐山漣)は、第二次大戦の末期、空襲で命を落とした寮生がいたという話を始め、震え上がる寮生たち。  　翌朝、練習に向かう中津の前に、菜吾八高校の2年生だという少女・今池こまり(荒井萌)が現れる。こまりは、いきなり中津のことが好きだと切り出すと、メールアドレスを書いた紙を渡して走り去る。普段から瑞稀のことばかり考えてしまい、思い悩んでいた中津は、こまりと交際することを決意する。  　同じころ、ハイジャンプの練習を開始したものの、思うようなジャンプができずにいらついていた佐野は、連日練習を見守っていた瑞稀に、集中したいからしばらく来ないでほしい、と当たってしまう。芦屋瑞稀:　前田敦子　    佐野泉:　中村蒼　    中津秀一:　三浦翔平　    難波南:　桐山漣　  関目京悟:　山田親太朗　  萱島大樹:　柳下大　  中央千里:　西井幸人　  野江伸二:　鈴木勝大　    天王寺恵:　満島真之介　  オスカー・M・姫島:　徳山秀典　  神楽坂真言:　佐藤祐基　    シェフ:　渡辺いっけい　    梅田北斗:　斎藤工　    樹さくら:　若村麻由美　    今池こまり:　荒井萌　      ほか【原作】  「花ざかりの君たちへ」中条比紗也(白泉社「花とゆめ」)　    【脚本】  半澤律子【演出】  都築淳一高見優　  河野伸　    【主題歌】  AKB48「フライングゲット」(キングレコード)フジテレビ　  共同テレビ</t>
  </si>
  <si>
    <t>&lt;ドラマチックサンデー&gt;花ざかりの君たちへ～イケメン☆パラダイス2011　桜咲学園も夏休みに突入した。芦屋瑞稀(前田敦子)は、再びハイジャンプの練習を始めた佐野泉(中村蒼)のことが気になり、アメリカに戻らず寮で夏休みを過ごそうと考える。だが、当の佐野は、毎年祖父のところに行くらしい。一方、瑞稀が残ることを知った中津秀一(三浦翔平)は帰省を止めて、サッカーの自主合宿をすると言い出す。  　今年の夏休みは、食堂しかエアコンが入らないため、雑魚寝をすることに。各寮の場所取り合戦が繰り広げられる中、瑞稀も部屋の片隅に場所を確保した。佐野は、そんな瑞稀のことを心配し、寮に残ることを決意する。  　その夜、怪しい物音やすすり泣くような声が聞こえ、部屋の電気やテレビも消えてしまう。さらに、難波南(桐山漣)は、第二次大戦の末期、空襲で命を落とした寮生がいたという話を始め、震え上がる寮生たち。  　翌朝、練習に向かう中津の前に、菜吾八高校の2年生だという少女・今池こまり(荒井萌)が現れる。こまりは、いきなり中津のことが好きだと切り出すと、メールアドレスを書いた紙を渡して走り去る。普段から瑞稀のことばかり考えてしまい、思い悩んでいた中津は、こまりと交際することを決意する。  　同じころ、ハイジャンプの練習を開始したものの、思うようなジャンプができずにいらついていた佐野は、連日練習を見守っていた瑞稀に、集中したいからしばらく来ないでほしい、と当たってしまう。</t>
  </si>
  <si>
    <t>番組名&lt;ドラマチックサンデー&gt;花ざかりの君たちへ～イケメン☆パラダイス2…　#05</t>
  </si>
  <si>
    <t>&lt;ドラマチックサンデー&gt;花ざかりの君たちへ～イケメン☆パラダイス2011　芦屋瑞稀(前田敦子)は中津秀一(三浦翔平)から突然告白され、戸惑いを隠せない。佐野泉(中村蒼)に相談するが、佐野も気にはなりつつも「俺に聞くな」と言い放つ。  　食堂には「夏休みは光熱費・食費自己負担」という貼り紙がされていた。それを見つけた寮生たちは、夏休みをどう切り抜けるか話し合う。すると、保健医の梅田(斎藤工)が夏にもってこいのバイトを紹介する、という。妄想が膨らむ野江(鈴木勝大)や淡路(間宮祥太朗)らをはじめ、瑞稀も稼げるのなら、とバイトの誘いに乗ることに。瑞稀が行くとなれば、中津も賛同し、佐野も参加することになった。しかし、難波南(桐山漣)だけは苦い顔をしていた。なぜならバイト先とは、難波の母であり、梅田の姉でもある難波伊緒(山本未來)がオーナーを務める銭湯だったのだ。男たちに容赦なく力仕事を振る伊緒。しかし、瑞稀を見た伊緒は、バイト大学生の蒔田高巳(阿部進之介)に、力仕事以外のことを教えるよう指示する。瑞稀になれなれしく接する蒔田に不穏な何かを感じる中津・・・。  　一方、バイト中の佐野の元に神楽坂真言(佐藤祐基)と妹の珠美(秋月三佳)がやってきた。佐野の大ファンだとまとわりつく珠美が気になる瑞稀。  　その頃、天王寺(満島真之介)率いる1寮と、姫島(徳山秀典)率いる3寮も光熱費稼ぎに苦心していた。芦屋瑞稀:前田敦子　    佐野泉:中村蒼　    中津秀一:三浦翔平　    難波南:桐山漣　  関目京悟:山田親太朗　  萱島大樹:柳下大　  中央千里:西井幸人　  野江伸二:鈴木勝大　    天王寺恵:満島真之介　  オスカー・M・姫島:徳山秀典　  神楽坂真言:佐藤祐基　    シェフ:渡辺いっけい　    梅田北斗:斎藤工　    樹さくら:若村麻由美　    難波伊緒:山本未來　  蒔田高巳:阿部進之介　  神楽坂珠美:秋月三佳(他)【原作】  「花ざかりの君たちへ」中条比紗也(白泉社「花とゆめ」)　    【脚本】  半澤律子【演出】  都築淳一高見優　  河野伸　    【主題歌】  AKB48「フライングゲット」(キングレコード)フジテレビ　  共同テレビ</t>
  </si>
  <si>
    <t>&lt;ドラマチックサンデー&gt;花ざかりの君たちへ～イケメン☆パラダイス2011　芦屋瑞稀(前田敦子)は中津秀一(三浦翔平)から突然告白され、戸惑いを隠せない。佐野泉(中村蒼)に相談するが、佐野も気にはなりつつも「俺に聞くな」と言い放つ。  　食堂には「夏休みは光熱費・食費自己負担」という貼り紙がされていた。それを見つけた寮生たちは、夏休みをどう切り抜けるか話し合う。すると、保健医の梅田(斎藤工)が夏にもってこいのバイトを紹介する、という。妄想が膨らむ野江(鈴木勝大)や淡路(間宮祥太朗)らをはじめ、瑞稀も稼げるのなら、とバイトの誘いに乗ることに。瑞稀が行くとなれば、中津も賛同し、佐野も参加することになった。しかし、難波南(桐山漣)だけは苦い顔をしていた。なぜならバイト先とは、難波の母であり、梅田の姉でもある難波伊緒(山本未來)がオーナーを務める銭湯だったのだ。男たちに容赦なく力仕事を振る伊緒。しかし、瑞稀を見た伊緒は、バイト大学生の蒔田高巳(阿部進之介)に、力仕事以外のことを教えるよう指示する。瑞稀になれなれしく接する蒔田に不穏な何かを感じる中津・・・。  　一方、バイト中の佐野の元に神楽坂真言(佐藤祐基)と妹の珠美(秋月三佳)がやってきた。佐野の大ファンだとまとわりつく珠美が気になる瑞稀。  　その頃、天王寺(満島真之介)率いる1寮と、姫島(徳山秀典)率いる3寮も光熱費稼ぎに苦心していた。</t>
  </si>
  <si>
    <t>番組名&lt;ドラマチックサンデー&gt;花ざかりの君たちへ～イケメン☆パラダイス2…　#06</t>
  </si>
  <si>
    <t>&lt;ドラマチックサンデー&gt;花ざかりの君たちへ～イケメン☆パラダイス2011　芦屋瑞稀(前田敦子)は、佐野泉(中村蒼)や中津秀一(三浦翔平)らと夏休み中の生活費稼ぎのため、保健医の梅田(斎藤工)の姉・難波伊緒(山本未來)がオーナーを務める銭湯でアルバイトをした。そこで出会ったアルバイト大学生・蒔田高巳(阿部進之介)は、瑞稀になれなれしく接してくる。中津は瑞稀に「気をつけろ」と忠告するが、ある夜、蒔田に誘われ、車に乗った瑞稀は、車中で蒔田に襲われそうに!はたして瑞稀の運命は・・・!?  　一方、金稼ぎのため売ってしまったガラクタが、実は理事長たちの親の遺品だったことを知った難波南(桐山漣)、天王寺恵(満島真之介)、オスカー・M・姫島(徳山秀典)の3寮長は、寮生に呼びかけてそれらをなんとか回収し、視察に来た理事長たちに謝る。去り際に、難波が「桜咲学園の廃校は免れないのか?」と聞くと、樹さくら(若村麻由美)は、「すべてを大人が決めているわけではない。お金を握っているのは大人。では子どもたちは何を握っているの?」と言い放つ。自分たちが握っているものが何なのか、自問する寮生たち・・・。  　夏休みも終わり、陸上の地方予選まであと2週間。佐野は予選に向けての準備を着々と進めていた。しかし、同じ陸上部の関目京悟(山田親太朗)はあることで悩んでいた・・・。前田敦子　    中村蒼　    三浦翔平　    桐山漣　  山田親太朗　  柳下大　  西井幸人　  鈴木勝大　    満島真之介　  徳山秀典　  佐藤祐基　    渡辺いっけい　  斎藤工　    石丸謙二郎　  奥田達士　    若村麻由美　    山本未來　  阿部進之介　  東風万智子　    ほか【原作】  「花ざかりの君たちへ」中条比紗也(白泉社「花とゆめ」)　    【脚本】  半澤律子【演出】  後藤庸介高見優　  河野伸　    【主題歌】  AKB48「フライングゲット」(キングレコード)フジテレビ　  共同テレビ</t>
  </si>
  <si>
    <t>&lt;ドラマチックサンデー&gt;花ざかりの君たちへ～イケメン☆パラダイス2011　芦屋瑞稀(前田敦子)は、佐野泉(中村蒼)や中津秀一(三浦翔平)らと夏休み中の生活費稼ぎのため、保健医の梅田(斎藤工)の姉・難波伊緒(山本未來)がオーナーを務める銭湯でアルバイトをした。そこで出会ったアルバイト大学生・蒔田高巳(阿部進之介)は、瑞稀になれなれしく接してくる。中津は瑞稀に「気をつけろ」と忠告するが、ある夜、蒔田に誘われ、車に乗った瑞稀は、車中で蒔田に襲われそうに!はたして瑞稀の運命は・・・!?  　一方、金稼ぎのため売ってしまったガラクタが、実は理事長たちの親の遺品だったことを知った難波南(桐山漣)、天王寺恵(満島真之介)、オスカー・M・姫島(徳山秀典)の3寮長は、寮生に呼びかけてそれらをなんとか回収し、視察に来た理事長たちに謝る。去り際に、難波が「桜咲学園の廃校は免れないのか?」と聞くと、樹さくら(若村麻由美)は、「すべてを大人が決めているわけではない。お金を握っているのは大人。では子どもたちは何を握っているの?」と言い放つ。自分たちが握っているものが何なのか、自問する寮生たち・・・。  　夏休みも終わり、陸上の地方予選まであと2週間。佐野は予選に向けての準備を着々と進めていた。しかし、同じ陸上部の関目京悟(山田親太朗)はあることで悩んでいた・・・。</t>
  </si>
  <si>
    <t>番組名&lt;ドラマチックサンデー&gt;花ざかりの君たちへ～イケメン☆パラダイス20…　#07</t>
  </si>
  <si>
    <t>&lt;ドラマチックサンデー&gt;花ざかりの君たちへ～イケメン☆パラダイス2011　陸上競技の地方代表選考会が行われた。佐野泉(中村蒼)はハイジャンプで2回失敗してしまった。3回目に集中する佐野の姿を見守る中津秀一(三浦翔平)や関目京悟(山田親太朗)。  　佐野が試合から戻ると、部屋には芦屋瑞稀(前田敦子)の姿はなく、荷物もなくなっていた。そこへ中津がやって来た。中津は瑞稀を追いかけようと部屋を飛び出すが・・・。  　桜咲学園廃校まで、残された時間はあと1カ月。寮生たちは理事長の樹桜彦(石丸謙二郎)から転入先の希望を書いて提出するよう命じられる。焦る難波南(桐山漣)が、オスカー・M・姫島(徳山秀典)や天王寺恵(満島真之介)らと何か手はないかと考えていると、食堂に飾ってある創始者の額から、学園の歴史を記した書物が落ちてくる。そこには、戦後、同じように学園が潰れかけた時、ある催しを開いて寄付を募り危機を乗り越えた、とあった。それは3年に一度開かれてきた120年もの伝統あるダンスパーティーだった。そのために、パリからわざわざ花屋敷ひばり(岩佐真悠子)が帰国してきた。ひばりは、聖ブロッサム女学院の象徴的存在である生徒会長で、オスカーの最大のライバルでもあった。  　このダンスパーティーは、女子がパートナーとなる男子を見つけ、申し込まれた男子は断れない、という決まりになっていた。佐野に想いを寄せている岸里樹理(柏木由紀)は、このダンスパーティーに賭ける、と決意する・・・。前田敦子　    中村蒼　    三浦翔平　    桐山漣　  山田親太朗　  柳下大　  西井幸人　  鈴木勝大　    満島真之介　  徳山秀典　  佐藤祐基　    柏木由紀　    岩佐真悠子　    渡辺いっけい　    斎藤工　    石丸謙二郎　  奥田達士　    若村麻由美　    山本未來　    東風万智子　    ほか【原作】  「花ざかりの君たちへ」中条比紗也(白泉社「花とゆめ」)　    【脚本】  半澤律子【プロデュース】  後藤博幸　  森安彩    【演出】  都築淳一高見優　  河野伸　    【主題歌】  AKB48「フライングゲット」(キングレコード)フジテレビ　  共同テレビ</t>
  </si>
  <si>
    <t>&lt;ドラマチックサンデー&gt;花ざかりの君たちへ～イケメン☆パラダイス2011　陸上競技の地方代表選考会が行われた。佐野泉(中村蒼)はハイジャンプで2回失敗してしまった。3回目に集中する佐野の姿を見守る中津秀一(三浦翔平)や関目京悟(山田親太朗)。  　佐野が試合から戻ると、部屋には芦屋瑞稀(前田敦子)の姿はなく、荷物もなくなっていた。そこへ中津がやって来た。中津は瑞稀を追いかけようと部屋を飛び出すが・・・。  　桜咲学園廃校まで、残された時間はあと1カ月。寮生たちは理事長の樹桜彦(石丸謙二郎)から転入先の希望を書いて提出するよう命じられる。焦る難波南(桐山漣)が、オスカー・M・姫島(徳山秀典)や天王寺恵(満島真之介)らと何か手はないかと考えていると、食堂に飾ってある創始者の額から、学園の歴史を記した書物が落ちてくる。そこには、戦後、同じように学園が潰れかけた時、ある催しを開いて寄付を募り危機を乗り越えた、とあった。それは3年に一度開かれてきた120年もの伝統あるダンスパーティーだった。そのために、パリからわざわざ花屋敷ひばり(岩佐真悠子)が帰国してきた。ひばりは、聖ブロッサム女学院の象徴的存在である生徒会長で、オスカーの最大のライバルでもあった。  　このダンスパーティーは、女子がパートナーとなる男子を見つけ、申し込まれた男子は断れない、という決まりになっていた。佐野に想いを寄せている岸里樹理(柏木由紀)は、このダンスパーティーに賭ける、と決意する・・・。</t>
  </si>
  <si>
    <t>番組名&lt;ドラマチックサンデー&gt;花ざかりの君たちへ～イケメン☆パラダイス20…　#08</t>
  </si>
  <si>
    <t>&lt;ドラマチックサンデー&gt;花ざかりの君たちへ～イケメン☆パラダイス2011　桜咲学園の廃校をなんとか阻止しようとダンスパーティーを開催した寮生たち。そのパーティーの後、部屋で踊る芦屋瑞稀(前田敦子)と佐野泉(中村蒼)を目撃してしまった中津秀一(三浦翔平)は、2人の気持ちに気づき、複雑な心境だった。それでも瑞稀やサッカー部員の放出光太(栗原吾郎)らの前ではあくまで明るく振る舞うのだった。  　瑞稀は、心の迷いを吹き飛ばすぐらい自分に気合いを入れるため、空手部に入部させてほしいと部長の天王寺恵(満島真之介)に申し出る。副部長の北花田剛(前田公輝)が相手をするが、一瞬でねじ伏せられる。  　その頃、食堂にはある訪問者が来ていた。遠慮のないその勢いに寮生たちは恐れ、第2寮長の難波南(桐山漣)ですら手に負えない。それは中津の母・かの子(濱田マリ)だった。そこへ中津が練習を終えて戻ってきた。かの子は、すぐに学校はなくなるのだから、大阪に帰ってきて仕事を継げ、と言うのだ。すぐと言っても、あと1カ月ある、と難波がかの子をなだめようとすると、校舎解体工事開始の通知が保護者に送られてきた、という。その通知を見てみると、なんと工事開始日は1週間後と書かれていた・・・。  　寮の表で瑞稀は桃郷学院の神楽坂真言(佐藤祐基)に呼び止められ、桜咲と桃郷の陸上合同練習のプリントを佐野に渡しておくよう託される。神楽坂は見知らぬ少年を連れていた。それは佐野森(横倉拓哉)といって佐野の弟だった。前田敦子　    中村蒼　    三浦翔平　    桐山漣　  山田親太朗　  柳下大　  西井幸人　  鈴木勝大　    満島真之介　  徳山秀典　  佐藤祐基　    柏木由紀　    渡辺いっけい　    斎藤工　    石丸謙二郎　  奥田達士　    若村麻由美　    鶴見辰吾　    濱田マリ　    横倉拓哉　    ほか【原作】  「花ざかりの君たちへ」中条比紗也(白泉社「花とゆめ」)　    【脚本】  山上ちはる【プロデュース】  後藤博幸　  森安彩　    【演出】  松田秀知高見優　  河野伸　    【主題歌】  AKB48「フライングゲット」(キングレコード)フジテレビ　  共同テレビ</t>
  </si>
  <si>
    <t>&lt;ドラマチックサンデー&gt;花ざかりの君たちへ～イケメン☆パラダイス2011　桜咲学園の廃校をなんとか阻止しようとダンスパーティーを開催した寮生たち。そのパーティーの後、部屋で踊る芦屋瑞稀(前田敦子)と佐野泉(中村蒼)を目撃してしまった中津秀一(三浦翔平)は、2人の気持ちに気づき、複雑な心境だった。それでも瑞稀やサッカー部員の放出光太(栗原吾郎)らの前ではあくまで明るく振る舞うのだった。  　瑞稀は、心の迷いを吹き飛ばすぐらい自分に気合いを入れるため、空手部に入部させてほしいと部長の天王寺恵(満島真之介)に申し出る。副部長の北花田剛(前田公輝)が相手をするが、一瞬でねじ伏せられる。  　その頃、食堂にはある訪問者が来ていた。遠慮のないその勢いに寮生たちは恐れ、第2寮長の難波南(桐山漣)ですら手に負えない。それは中津の母・かの子(濱田マリ)だった。そこへ中津が練習を終えて戻ってきた。かの子は、すぐに学校はなくなるのだから、大阪に帰ってきて仕事を継げ、と言うのだ。すぐと言っても、あと1カ月ある、と難波がかの子をなだめようとすると、校舎解体工事開始の通知が保護者に送られてきた、という。その通知を見てみると、なんと工事開始日は1週間後と書かれていた・・・。  　寮の表で瑞稀は桃郷学院の神楽坂真言(佐藤祐基)に呼び止められ、桜咲と桃郷の陸上合同練習のプリントを佐野に渡しておくよう託される。神楽坂は見知らぬ少年を連れていた。それは佐野森(横倉拓哉)といって佐野の弟だった。</t>
  </si>
  <si>
    <t>番組名&lt;ドラマチックサンデー&gt;花ざかりの君たちへ～イケメン☆パラダイス20…　#09</t>
  </si>
  <si>
    <t>&lt;ドラマチックサンデー&gt;花ざかりの君たちへ～イケメン☆パラダイス2011　芦屋瑞稀(前田敦子)は、絶縁状態の佐野泉(中村蒼)と元ハイジャンプ選手の父・岳彦(鶴見辰吾)の確執に首を突っ込み、佐野とけんかしてしまった。一人涙を流す瑞稀を優しく抱きしめ、「俺にしろよ」と言う中津秀一(三浦翔平)に瑞稀は・・・。  　桜咲学園の校舎取り壊しまで1週間を切った。難波南(桐山漣)らが集めた署名も効力はなく、寮生たちに残された希望は佐野の優勝のみだった。普段は何かと競い合う1寮や3寮も、一致団結して2寮の佐野を応援すると盛り上がる。そんな中、桜咲学園に女が紛れ込んでいるらしい、という噂がささやかれ始めていた。  　瑞稀は佐野と喧嘩して以来、他の部屋に寝泊まりをしていたが、佐野の試合での勝利を願って、中央千里(西井幸人)とお守りを作る。  　一方、中津の元に再び母のかの子(濱田マリ)が、大阪に戻ってくるよう説得しにやって来た。その時、野江伸二(鈴木勝大)と桂真史(松島庄汰)が「大変だ!」と飛びこんできた。まだ取り壊しの期限前だというのに学校が潰されるというのだ!瑞稀や中津は急いで校舎へ走るが、そこに陸上誌記者の烏丸絹子(東風万智子)から瑞稀の携帯に連絡が入る。それは佐野の父が倒れた、という知らせだった・・・。前田敦子　    中村蒼　    三浦翔平　    桐山漣　  山田親太朗　  柳下大　  西井幸人　  鈴木勝大　    満島真之介　  徳山秀典　  佐藤祐基　    柏木由紀　    渡辺いっけい　    斎藤工　    石丸謙二郎　  奥田達士　    若村麻由美　    鶴見辰吾　    濱田マリ　    東風万智子　    横倉拓哉　    ほか【原作】  「花ざかりの君たちへ」中条比紗也(白泉社「花とゆめ」)　    【脚本】  半澤律子【プロデュース】  後藤博幸　  森安彩　    【演出】  後藤庸介高見優　  河野伸　    【主題歌】  AKB48「フライングゲット」(キングレコード)フジテレビ　  共同テレビ</t>
  </si>
  <si>
    <t>&lt;ドラマチックサンデー&gt;花ざかりの君たちへ～イケメン☆パラダイス2011　芦屋瑞稀(前田敦子)は、絶縁状態の佐野泉(中村蒼)と元ハイジャンプ選手の父・岳彦(鶴見辰吾)の確執に首を突っ込み、佐野とけんかしてしまった。一人涙を流す瑞稀を優しく抱きしめ、「俺にしろよ」と言う中津秀一(三浦翔平)に瑞稀は・・・。  　桜咲学園の校舎取り壊しまで1週間を切った。難波南(桐山漣)らが集めた署名も効力はなく、寮生たちに残された希望は佐野の優勝のみだった。普段は何かと競い合う1寮や3寮も、一致団結して2寮の佐野を応援すると盛り上がる。そんな中、桜咲学園に女が紛れ込んでいるらしい、という噂がささやかれ始めていた。  　瑞稀は佐野と喧嘩して以来、他の部屋に寝泊まりをしていたが、佐野の試合での勝利を願って、中央千里(西井幸人)とお守りを作る。  　一方、中津の元に再び母のかの子(濱田マリ)が、大阪に戻ってくるよう説得しにやって来た。その時、野江伸二(鈴木勝大)と桂真史(松島庄汰)が「大変だ!」と飛びこんできた。まだ取り壊しの期限前だというのに学校が潰されるというのだ!瑞稀や中津は急いで校舎へ走るが、そこに陸上誌記者の烏丸絹子(東風万智子)から瑞稀の携帯に連絡が入る。それは佐野の父が倒れた、という知らせだった・・・。</t>
  </si>
  <si>
    <t>番組名&lt;ドラマチックサンデー&gt;花ざかりの君たちへ～イケメン☆パラダイス20…　#10</t>
  </si>
  <si>
    <t>&lt;ドラマチックサンデー&gt;花ざかりの君たちへ～イケメン☆パラダイス2011　寮の図書スペースで脚立から落ち、意識を失った芦屋瑞稀(前田敦子)を介抱した中津秀一(三浦翔平)は、瑞稀が女だということを知ってしまった。男だと思い込みながらも瑞稀に想いを寄せていた中津は動揺を隠せない。  　難波南(桐山漣)、天王寺恵(満島真之介)、オスカー・M・姫島(徳山秀典)の3寮長は、理事長に呼び出され、桜咲学園に女子が1人紛れ込んでいるという噂についての真偽を問われる。寮内でもその噂は一気に広まり、犯人捜しの空気に瑞稀は生きた心地がしない。体育館の倉庫で女子が着替えていた、という目撃談がそもそもの噂の発端だったため、体育館の裏口で張り込む3寮長。その時、裏口から出てきたのは・・・瑞稀だった。  　部屋に戻った瑞稀は3寮長から事情を聴かれ、ついに覚悟を決めて男子ではないことを白状する。さらに、自分が一番苦しんでいた時に心の支えになってくれた佐野泉(中村蒼)の力になりたくて、桜咲学園にもぐり込んだことも打ち明ける。その様子を部屋の外で聞いていた佐野は、自分も知っていて黙っていたから同罪だ、と割って入る。  　寮の食堂では、女子が誰なのか?という噂でもちきりだった。寮生たちは中央千里(西井幸人)や門真将太郎(岡山智樹)など、女子っぽい生徒に次々と疑いをかける。その矛先がついに瑞稀に向けられ、窮地に立たされた瑞稀は・・・。前田敦子　    中村蒼　    三浦翔平　    桐山漣　  山田親太朗　  柳下大　  西井幸人　  鈴木勝大　    満島真之介　  徳山秀典　  佐藤祐基　    柏木由紀　    渡辺いっけい　    斎藤工　    石丸謙二郎　  奥田達士　    若村麻由美　    濱田マリ　    ほか【原作】  「花ざかりの君たちへ」中条比紗也(白泉社「花とゆめ」)　    【脚本】  山上ちはる【プロデュース】  後藤博幸　  森安彩　    【演出】  都築淳一高見優　  河野伸　    【主題歌】  AKB48「フライングゲット」(キングレコード)フジテレビ　  共同テレビ</t>
  </si>
  <si>
    <t>&lt;ドラマチックサンデー&gt;花ざかりの君たちへ～イケメン☆パラダイス2011　寮の図書スペースで脚立から落ち、意識を失った芦屋瑞稀(前田敦子)を介抱した中津秀一(三浦翔平)は、瑞稀が女だということを知ってしまった。男だと思い込みながらも瑞稀に想いを寄せていた中津は動揺を隠せない。  　難波南(桐山漣)、天王寺恵(満島真之介)、オスカー・M・姫島(徳山秀典)の3寮長は、理事長に呼び出され、桜咲学園に女子が1人紛れ込んでいるという噂についての真偽を問われる。寮内でもその噂は一気に広まり、犯人捜しの空気に瑞稀は生きた心地がしない。体育館の倉庫で女子が着替えていた、という目撃談がそもそもの噂の発端だったため、体育館の裏口で張り込む3寮長。その時、裏口から出てきたのは・・・瑞稀だった。  　部屋に戻った瑞稀は3寮長から事情を聴かれ、ついに覚悟を決めて男子ではないことを白状する。さらに、自分が一番苦しんでいた時に心の支えになってくれた佐野泉(中村蒼)の力になりたくて、桜咲学園にもぐり込んだことも打ち明ける。その様子を部屋の外で聞いていた佐野は、自分も知っていて黙っていたから同罪だ、と割って入る。  　寮の食堂では、女子が誰なのか?という噂でもちきりだった。寮生たちは中央千里(西井幸人)や門真将太郎(岡山智樹)など、女子っぽい生徒に次々と疑いをかける。その矛先がついに瑞稀に向けられ、窮地に立たされた瑞稀は・・・。</t>
  </si>
  <si>
    <t>番組名&lt;ドラマチックサンデー&gt;花ざかりの君たちへ～イケメン☆パラダイス2…　#11</t>
  </si>
  <si>
    <t>&lt;ドラマチックサンデー&gt;花ざかりの君たちへ～イケメン☆パラダイス2011　陸上競技の大会で芦屋瑞稀(前田敦子)が声援を送るなか、佐野泉(中村蒼)は見事なハイジャンプを見せ、大会新記録を出した。しかし、瑞稀が女であることがついに学園長たちの耳にも入ってしまった。  　大会が終わり、瑞稀が部屋に戻ると、佐野と中津秀一(三浦翔平)が待っていた。2人には桜咲学園を出て行くことを告げ、瑞稀は荷物を持って寮を後にする。　瑞稀が思い出の詰まった学園の教室に向かうと、そこに保健医の梅田北斗(斎藤工)が現れ、これまでの3カ月間の思いを吐き出せ、と言われ・・・。  　瑞稀が出て行った後、寮生たちはいよいよ迫った廃校式を控え、寮の片付けや掃除に追われる。すると花屋敷ひばり(岩佐真悠子)や神楽坂真言(佐藤祐基)が訪ねてきた。今回の騒ぎで寮長3人が退学させられるところを、瑞稀一人で責任を取ったらしい、という話を神楽坂から聞き、自分たちが瑞稀に何かを返さなければ、という思いに駆られた3寮長はじめ寮生たちは・・・。前田敦子　    中村蒼　    三浦翔平　    桐山漣　  山田親太朗　  柳下大　  西井幸人　  鈴木勝大　    満島真之介　  徳山秀典　  佐藤祐基　    柏木由紀　    岩佐真悠子　    渡辺いっけい　    斎藤工　    石丸謙二郎　  奥田達士　    若村麻由美　    山本未來　    濱田マリ　    ほか【原作】  「花ざかりの君たちへ」中条比紗也(白泉社「花とゆめ」)　    【脚本】  半澤律子【プロデュース】  後藤博幸　  森安彩　    【演出】  松田秀知高見優　  河野伸　    【主題歌】  AKB48「フライングゲット」(キングレコード)フジテレビ　  共同テレビ</t>
  </si>
  <si>
    <t>&lt;ドラマチックサンデー&gt;花ざかりの君たちへ～イケメン☆パラダイス2011　陸上競技の大会で芦屋瑞稀(前田敦子)が声援を送るなか、佐野泉(中村蒼)は見事なハイジャンプを見せ、大会新記録を出した。しかし、瑞稀が女であることがついに学園長たちの耳にも入ってしまった。  　大会が終わり、瑞稀が部屋に戻ると、佐野と中津秀一(三浦翔平)が待っていた。2人には桜咲学園を出て行くことを告げ、瑞稀は荷物を持って寮を後にする。　瑞稀が思い出の詰まった学園の教室に向かうと、そこに保健医の梅田北斗(斎藤工)が現れ、これまでの3カ月間の思いを吐き出せ、と言われ・・・。  　瑞稀が出て行った後、寮生たちはいよいよ迫った廃校式を控え、寮の片付けや掃除に追われる。すると花屋敷ひばり(岩佐真悠子)や神楽坂真言(佐藤祐基)が訪ねてきた。今回の騒ぎで寮長3人が退学させられるところを、瑞稀一人で責任を取ったらしい、という話を神楽坂から聞き、自分たちが瑞稀に何かを返さなければ、という思いに駆られた3寮長はじめ寮生たちは・・・。</t>
  </si>
  <si>
    <t>1104_CX_月21</t>
  </si>
  <si>
    <t>幸せになろうよ</t>
  </si>
  <si>
    <t>番組名幸せになろうよ　#01</t>
  </si>
  <si>
    <t>高倉純平(香取慎吾)は結婚情報サービス「B-ring」のアドバイザー。信念を持って仲をとりもち、離婚率ゼロを誇る彼のもとに、美しく一流会社勤務という女性柳沢春菜(黒木メイサ)がやってくる。純平の後輩、桜木まりか(仲里依紗)はそんな美しい女性が訪れたことをあやしむ。純平に一生お金に困らなければ誰でもいいという条件を述べた春菜に純平はお引き取り願う。が翌日、間違えて持ち帰った純平のペンを返すためB-ringを訪れ、それをきっかけに春菜は正式に登録する。輝かしい肩書き、春菜に似合う人をと早速ある会員小松原(大倉孝二)を紹介するが男性側があまりの春菜の美しさに怖じ気づき逃げ出してしまう。純平は春菜を気遣い自分が相手となってシミュレーションデートに誘うのだった。2人で気持ちのいい汗を流す内いつしか純平はひとときを心から楽しんでしまっていた。歯の痛みを訴え歯科を尋ねてきた純平に、親友の上野隆雄(綾部祐二)も歯が痛くなるのは恋が始まる証拠と純平をからかう。さらに矢代英彦(藤木直人)と名乗る男性がB-ringを訪れる。実は結婚式を終えたばかりでおなかの大きい妻を持つ彼が結婚相談所を訪れた理由とは。香取慎吾　  黒木メイサ　  藤木直人　  仲里依紗　  綾部祐二(ピース)　  玉森裕太(Kis-My-Ft2)　  大倉孝二  　○　  高畑淳子  　○　  橋本さとし　  国仲涼子　  原田美枝子　  小林薫【脚本】  井上由美子　  古家和尚【演出】  澤田鎌作　  松山博昭</t>
  </si>
  <si>
    <t>高倉純平(香取慎吾)は結婚情報サービス「B-ring」のアドバイザー。信念を持って仲をとりもち、離婚率ゼロを誇る彼のもとに、美しく一流会社勤務という女性柳沢春菜(黒木メイサ)がやってくる。純平の後輩、桜木まりか(仲里依紗)はそんな美しい女性が訪れたことをあやしむ。純平に一生お金に困らなければ誰でもいいという条件を述べた春菜に純平はお引き取り願う。が翌日、間違えて持ち帰った純平のペンを返すためB-ringを訪れ、それをきっかけに春菜は正式に登録する。輝かしい肩書き、春菜に似合う人をと早速ある会員小松原(大倉孝二)を紹介するが男性側があまりの春菜の美しさに怖じ気づき逃げ出してしまう。純平は春菜を気遣い自分が相手となってシミュレーションデートに誘うのだった。2人で気持ちのいい汗を流す内いつしか純平はひとときを心から楽しんでしまっていた。歯の痛みを訴え歯科を尋ねてきた純平に、親友の上野隆雄(綾部祐二)も歯が痛くなるのは恋が始まる証拠と純平をからかう。さらに矢代英彦(藤木直人)と名乗る男性がB-ringを訪れる。実は結婚式を終えたばかりでおなかの大きい妻を持つ彼が結婚相談所を訪れた理由とは。</t>
  </si>
  <si>
    <t>番組名幸せになろうよ　#02</t>
  </si>
  <si>
    <t>春菜(黒木メイサ)同様自分自身も結婚前に相手に去られてしまう、という辛い経験をしている純平(香取慎吾)は、「必ず幸せにしてみせる」と春菜に宣言してから、春菜の幸せのために過去の恋の傷を乗り越えてもらえるよう、全力で励ますのだった。  　そんなまっすぐな気持ちをぶつけてくる純平に春菜も次第に心を許すようになるのだった。  　同じ頃、結婚情報サービス「B-ring」に入会してきた謎の男、矢代(藤木直人)は「B-ring」を訪れていた春菜を見つけるなりいきなり、「僕とお見合いしませんか」と声をかける。  　純平だけでなく、矢代担当のまりか(仲里依紗)も驚くのだったが矢代はいっこうに解せず春菜を紹介してほしいの一点張り。  　そんな時、純平が春菜に最初に紹介したものの春菜の美しさの前におじけづいて逃げ出してしまった男性・小松原(大倉孝二)が、春菜ともう一度お見合いをさせてほしいと訴えてきた。純平は思案した結果、「お見合い合コン」を思いつく。純平は緊張しがちな小松原の負担を軽くしてあげようと、3対3の合コン形式によるお見合いを提案、小松原の他、矢代にも参加してもらうことにしたのだ。  　が、事態は純平の思わぬ方向に動き出し、積極的に春菜に迫る矢代と対照的に話しかけられない小松原。が、意外にも春菜の方が合コン後に「デートしましょう」と小松原を誘う。春菜の行動に、矢代も純平も驚きを隠せない。香取慎吾　  黒木メイサ　  藤木直人　  仲里依紗　  綾部祐二(ピース)　  玉森裕太(Kis-My-Ft2)　  大倉孝二  　・　  高畑淳子  　・　  橋本さとし　  国仲涼子　  原田美枝子　  小林薫【脚本】  井上由美子【演出】  澤田鎌作フジテレビドラマ制作センター</t>
  </si>
  <si>
    <t>春菜(黒木メイサ)同様自分自身も結婚前に相手に去られてしまう、という辛い経験をしている純平(香取慎吾)は、「必ず幸せにしてみせる」と春菜に宣言してから、春菜の幸せのために過去の恋の傷を乗り越えてもらえるよう、全力で励ますのだった。  　そんなまっすぐな気持ちをぶつけてくる純平に春菜も次第に心を許すようになるのだった。  　同じ頃、結婚情報サービス「B-ring」に入会してきた謎の男、矢代(藤木直人)は「B-ring」を訪れていた春菜を見つけるなりいきなり、「僕とお見合いしませんか」と声をかける。  　純平だけでなく、矢代担当のまりか(仲里依紗)も驚くのだったが矢代はいっこうに解せず春菜を紹介してほしいの一点張り。  　そんな時、純平が春菜に最初に紹介したものの春菜の美しさの前におじけづいて逃げ出してしまった男性・小松原(大倉孝二)が、春菜ともう一度お見合いをさせてほしいと訴えてきた。純平は思案した結果、「お見合い合コン」を思いつく。純平は緊張しがちな小松原の負担を軽くしてあげようと、3対3の合コン形式によるお見合いを提案、小松原の他、矢代にも参加してもらうことにしたのだ。  　が、事態は純平の思わぬ方向に動き出し、積極的に春菜に迫る矢代と対照的に話しかけられない小松原。が、意外にも春菜の方が合コン後に「デートしましょう」と小松原を誘う。春菜の行動に、矢代も純平も驚きを隠せない。</t>
  </si>
  <si>
    <t>番組名幸せになろうよ　#03</t>
  </si>
  <si>
    <t>高倉純平(香取慎吾)が担当した『B-ring』の会員たちは、次々と結ばれていく。純平担当の訳ありな会員、柳沢春菜(黒木メイサ)も小松原進(大倉孝二)との真剣な交際を希望してきた。いつもなら喜ぶ純平だが、今回はスッキリとしない。また、純平は春菜が小松原との交際を申し出た時、矢代英彦(藤木直人)に言われたことも気になっていた。純平も春菜と小松原の交際にショックを受けているのではないか?と…。　そんな思いを振り切ろうと、純平は春菜と小松原のデートプランを組む。そんな時『B-ring』に、純平を通して小松原とも知り合いになった上野隆雄(綾部祐二)が会員申し込みに。担当となった桜木まりか(仲里依紗)は上野の軽さにあきれる。しかし、純平の情報を聞き出せると踏んだまりかは、上野の入会を受け付けた。上野が入会できたと小松原に報告していると矢代が現れた。春菜との交際の進み具合を尋ねる矢代に、小松原は純平が作ってくれたデートプランを見せてしまう。  　純平に付き添われる形で小松原と春菜のデートが実現。まずは、小松原が得意だというボウリング場からスタートした。初めはギクシャクしていたが、次第に打ち解けてゲームを楽しみ始める春菜と小松原。そんな2人を見ている純平の思いは少々複雑。と、そこにまりかと矢代がやって来た。矢代に頼まれたシミュレーションデートだと言うまりかに、純平は…。香取慎吾　  黒木メイサ　  藤木直人　  仲里依紗　  綾部祐二(ピース)　  玉森裕太(Kis-My-Ft2)　  大倉孝二  　・　  高畑淳子  　・　  橋本さとし　  国仲涼子　  原田美枝子　  小林薫【原案】  井上由美子　    【脚本】  古家和尚【演出】  松山博昭フジテレビドラマ制作センター</t>
  </si>
  <si>
    <t>高倉純平(香取慎吾)が担当した『B-ring』の会員たちは、次々と結ばれていく。純平担当の訳ありな会員、柳沢春菜(黒木メイサ)も小松原進(大倉孝二)との真剣な交際を希望してきた。いつもなら喜ぶ純平だが、今回はスッキリとしない。また、純平は春菜が小松原との交際を申し出た時、矢代英彦(藤木直人)に言われたことも気になっていた。純平も春菜と小松原の交際にショックを受けているのではないか?と…。　そんな思いを振り切ろうと、純平は春菜と小松原のデートプランを組む。そんな時『B-ring』に、純平を通して小松原とも知り合いになった上野隆雄(綾部祐二)が会員申し込みに。担当となった桜木まりか(仲里依紗)は上野の軽さにあきれる。しかし、純平の情報を聞き出せると踏んだまりかは、上野の入会を受け付けた。上野が入会できたと小松原に報告していると矢代が現れた。春菜との交際の進み具合を尋ねる矢代に、小松原は純平が作ってくれたデートプランを見せてしまう。  　純平に付き添われる形で小松原と春菜のデートが実現。まずは、小松原が得意だというボウリング場からスタートした。初めはギクシャクしていたが、次第に打ち解けてゲームを楽しみ始める春菜と小松原。そんな2人を見ている純平の思いは少々複雑。と、そこにまりかと矢代がやって来た。矢代に頼まれたシミュレーションデートだと言うまりかに、純平は…。</t>
  </si>
  <si>
    <t>番組名幸せになろうよ　#04</t>
  </si>
  <si>
    <t>春菜(黒木メイサ)と矢代(藤木直人)が抱き合っているところを目撃してしまった純平(香取慎吾)は大きな衝撃を受ける。  　矢代は春菜に対し、結婚式をあげてはいるが実は籍はまだいれていないことを説明し、春菜との関係をやり直したいと迫るのだった。矢代の言葉を聞いた春菜の心情は・・・。  　早速矢代は「B-ring」の退会を求めてきたため、女性会員に人気の矢代が離れていっては問題、と河原所長(橋本さとし)は、まりか(仲里依紗)をしかりつけ、純平にひきとめるよう指示する。渋々ながらも純平が矢代に退会をとどまるよう説得に向かうと、矢代に会った純平はそこで衝撃の事実を耳にする。春菜は「B-ring」に入会することを事前に矢代に報告し、アドバイザーが真剣に結婚の相談にのっていることを笑いながら矢代に報告していた。純平は激しいショックを受ける。  　純平は動揺する心を抑えきれず春菜に直接、なぜ全て黙っていたのかと問いただす。が、春菜は、矢代とよりを戻す気はまったくない、小松原(大倉孝二)とのおつきあいを続けると話すのだった。  　そんな中、柳沢家の中にも波乱が起きようとしていた。母(高畑淳子)から渡されるお金を勝手に使い込む優次(玉森裕太)ら家族たちが自分勝手に過ごすのに腹を立て、「私は結婚する」と春菜は皆の前で宣言してしまうのだった。  　一方、純平の心はまだおさまっていなかった・・・。香取慎吾　  黒木メイサ　  藤木直人　  仲里依紗　  綾部祐二(ピース)　  玉森裕太(Kis-My-Ft2)　  大倉孝二  　・　  高畑淳子  　・　  橋本さとし　  国仲涼子　  原田美枝子　  小林薫【原案】  井上由美子　    【脚本】  古家和尚【演出】  松山博昭フジテレビドラマ制作センター</t>
  </si>
  <si>
    <t>春菜(黒木メイサ)と矢代(藤木直人)が抱き合っているところを目撃してしまった純平(香取慎吾)は大きな衝撃を受ける。  　矢代は春菜に対し、結婚式をあげてはいるが実は籍はまだいれていないことを説明し、春菜との関係をやり直したいと迫るのだった。矢代の言葉を聞いた春菜の心情は・・・。  　早速矢代は「B-ring」の退会を求めてきたため、女性会員に人気の矢代が離れていっては問題、と河原所長(橋本さとし)は、まりか(仲里依紗)をしかりつけ、純平にひきとめるよう指示する。渋々ながらも純平が矢代に退会をとどまるよう説得に向かうと、矢代に会った純平はそこで衝撃の事実を耳にする。春菜は「B-ring」に入会することを事前に矢代に報告し、アドバイザーが真剣に結婚の相談にのっていることを笑いながら矢代に報告していた。純平は激しいショックを受ける。  　純平は動揺する心を抑えきれず春菜に直接、なぜ全て黙っていたのかと問いただす。が、春菜は、矢代とよりを戻す気はまったくない、小松原(大倉孝二)とのおつきあいを続けると話すのだった。  　そんな中、柳沢家の中にも波乱が起きようとしていた。母(高畑淳子)から渡されるお金を勝手に使い込む優次(玉森裕太)ら家族たちが自分勝手に過ごすのに腹を立て、「私は結婚する」と春菜は皆の前で宣言してしまうのだった。  　一方、純平の心はまだおさまっていなかった・・・。</t>
  </si>
  <si>
    <t>番組名幸せになろうよ　#05</t>
  </si>
  <si>
    <t>やはり元彼・矢代(藤木直人)のことを吹っ切れずにいた春菜(黒木メイサ)は純平(香取慎吾)に励まされ、自分の本当の気持ちを伝えようと矢代のもとに向かったところ、衝撃的な瞬間を目にする。身重な妻・聖子(奥田恵梨華)をいたわる矢代、そして純平と春菜のことをうとましそうに見る矢代の冷たい視線だったのだ。  　自分のせいで辛い思いをさせてしまったと悔いる純平は、春菜を必死に励まそうと海へ誘う。純平は春菜の心の傷を埋めるために、精一杯の努力をする。そして2人は明け方までともに過ごすのだった。明らかにアドバイザーとして春菜を支えているのではないと純平も自分の心の声に気づいていた。  　あくる日、純平は人生で初めて仮病をつかって会社を休むのだった。矢代をたずね矢代に二度と春菜に会わないよう依頼。矢代は妻の父親が経営している大手法律事務所に移る前に整理しておきたい旨を語り、電話をかけても出ない春菜に、自分と会うよう純平から言って欲しいと頼んできたのだった。  　一方、矢代の妻・聖子が夫に隠れて電話をしている姿が・・・。実は聖子にも夫に言えない秘密があるのだった・・・。  　春菜のために奔走中とは知らず、まりか(仲里依紗)は純平の家にお見舞いに向かうのだった。  　さらには純平の友人と結婚してしまった元彼女・松下みゆき(国仲涼子)からも純平の家に電話がかかってくる。  　一気に恋模様が急展開を見せる!!香取慎吾　  黒木メイサ　  藤木直人　  仲里依紗　  綾部祐二(ピース)　  玉森裕太(Kis-My-Ft2)　  大倉孝二  　・　  高畑淳子  　・　  橋本さとし　  国仲涼子　  原田美枝子　  小林薫　    【ゲスト出演】  温水洋一【原案】  井上由美子　    【脚本】  古家和尚【演出】  澤田鎌作フジテレビドラマ制作センター</t>
  </si>
  <si>
    <t>やはり元彼・矢代(藤木直人)のことを吹っ切れずにいた春菜(黒木メイサ)は純平(香取慎吾)に励まされ、自分の本当の気持ちを伝えようと矢代のもとに向かったところ、衝撃的な瞬間を目にする。身重な妻・聖子(奥田恵梨華)をいたわる矢代、そして純平と春菜のことをうとましそうに見る矢代の冷たい視線だったのだ。  　自分のせいで辛い思いをさせてしまったと悔いる純平は、春菜を必死に励まそうと海へ誘う。純平は春菜の心の傷を埋めるために、精一杯の努力をする。そして2人は明け方までともに過ごすのだった。明らかにアドバイザーとして春菜を支えているのではないと純平も自分の心の声に気づいていた。  　あくる日、純平は人生で初めて仮病をつかって会社を休むのだった。矢代をたずね矢代に二度と春菜に会わないよう依頼。矢代は妻の父親が経営している大手法律事務所に移る前に整理しておきたい旨を語り、電話をかけても出ない春菜に、自分と会うよう純平から言って欲しいと頼んできたのだった。  　一方、矢代の妻・聖子が夫に隠れて電話をしている姿が・・・。実は聖子にも夫に言えない秘密があるのだった・・・。  　春菜のために奔走中とは知らず、まりか(仲里依紗)は純平の家にお見舞いに向かうのだった。  　さらには純平の友人と結婚してしまった元彼女・松下みゆき(国仲涼子)からも純平の家に電話がかかってくる。  　一気に恋模様が急展開を見せる!!</t>
  </si>
  <si>
    <t>番組名幸せになろうよ　#06</t>
  </si>
  <si>
    <t>高倉純平(香取慎吾)はついに柳沢春菜(黒木メイサ)にアドバイザーとしてではなく男として春菜を好きだと告白してしまったものの、自分の言葉が春菜にとって迷惑になっているのではないかと気が気でない。  　B-ringでは矢代(藤木直人)が退会してしまったことに伴い女性会員が大量に退会、なんとか春菜だけでもひきとめるようにと河原所長(橋本さとし)はいきりたっていた。桜木まりか(仲里依紗)は春菜に連絡し、B-ringに来てもらう。B-ringをたずねてきた春菜と純平は告白以来初めて出会う。が、意識しすぎてろくな会話もできない。春菜も意識してしまいながらも、はっきりしなければと1人思っていた。  　一方、春菜が結婚相談所に入会していることを知り衝撃を受けた春菜の家族たちだったが、なかなか事の真相を本人に聞き出せずにいた。  　矢代は義兄の法律事務所へ移る準備をすすめながら、身重な妻・聖子(奥田恵梨華)を気遣っていた。がある日、矢代は、聖子が自分に隠れて密かに誰かと意味深な電話をしているのを聞いてしまう。妻は何かを隠している・・・。  　春菜は純平にシミュレーションデートに行ってくれるよう依頼する。純平の気持ちが春菜に伝わってから初めての2人だけのひとときを、心の底から2人は楽しむのだった。  　楽しいデートがあった日、家に帰るとそこにはかつての純平の彼女・みゆき(国仲涼子)の姿が・・・。香取慎吾　  黒木メイサ　  藤木直人　  仲里依紗　  綾部祐二(ピース)　  玉森裕太(Kis-My-Ft2)　  大倉孝二  　・　  高畑淳子  　・　  橋本さとし　  国仲涼子　  原田美枝子　  小林薫【原案】  井上由美子　    【脚本】  古家和尚【演出】  宮木正悟フジテレビドラマ制作センター</t>
  </si>
  <si>
    <t>高倉純平(香取慎吾)はついに柳沢春菜(黒木メイサ)にアドバイザーとしてではなく男として春菜を好きだと告白してしまったものの、自分の言葉が春菜にとって迷惑になっているのではないかと気が気でない。  　B-ringでは矢代(藤木直人)が退会してしまったことに伴い女性会員が大量に退会、なんとか春菜だけでもひきとめるようにと河原所長(橋本さとし)はいきりたっていた。桜木まりか(仲里依紗)は春菜に連絡し、B-ringに来てもらう。B-ringをたずねてきた春菜と純平は告白以来初めて出会う。が、意識しすぎてろくな会話もできない。春菜も意識してしまいながらも、はっきりしなければと1人思っていた。  　一方、春菜が結婚相談所に入会していることを知り衝撃を受けた春菜の家族たちだったが、なかなか事の真相を本人に聞き出せずにいた。  　矢代は義兄の法律事務所へ移る準備をすすめながら、身重な妻・聖子(奥田恵梨華)を気遣っていた。がある日、矢代は、聖子が自分に隠れて密かに誰かと意味深な電話をしているのを聞いてしまう。妻は何かを隠している・・・。  　春菜は純平にシミュレーションデートに行ってくれるよう依頼する。純平の気持ちが春菜に伝わってから初めての2人だけのひとときを、心の底から2人は楽しむのだった。  　楽しいデートがあった日、家に帰るとそこにはかつての純平の彼女・みゆき(国仲涼子)の姿が・・・。</t>
  </si>
  <si>
    <t>番組名幸せになろうよ　#07</t>
  </si>
  <si>
    <t>高倉純平(香取慎吾)は柳沢春菜(黒木メイサ)にやっと自分の素直な思いを告げる。そして春菜もまたそんな純平の気持ちを受けとめてくれたかのように思われた。が、そんな純平の前に元彼女の渡辺みゆき(国仲涼子)が現れる。純平と結婚すればよかったと訴え、いま好きな人がいるかとみゆきは純平に尋ねる。素直にいると答える純平の前から、一度は姿を消すみゆきだった。しかし、これ以降頻繁に純平の家に電話をかけてくるようになるのだった。  　アドバイザーと会員の恋愛は御法度なため、B-ringから春菜に退会してもらおうと純平は動き出すが、ただでさえ矢代英彦(藤木直人)の退会により大量に女性会員が退会した後とあって、春菜のことは必ず死守するよう河原所長(橋本さとし)に迫られてしまう。  　そんなところに驚くべき人がたずねてくる。春菜の父・匠悟(小林薫)だ。家に純平が送りに来たところを見たことがある匠悟は純平を見るなり、娘とお付き合いしている相手と見定める。しかし純平は必死に否定、上野(綾部祐二)が春菜の相手と嘘をついてしまう。  　純平は嘘をついたことを悔い、春菜の父にあらためて会いに行くことを決意。初めて、匠悟、春菜の弟・優次(玉森裕太)らと対峙する。そこで優次は、家族にも秘密のある決意を純平に明かす。純平はだまっていられず、柳沢一家のためついに、様々な問題を巻き起こし始めるのだった。香取慎吾　  黒木メイサ　  藤木直人　  仲里依紗　  綾部祐二(ピース)　  玉森裕太(Kis-My-Ft2)　  大倉孝二  　・　  高畑淳子  　・　  橋本さとし　  国仲涼子　  原田美枝子　  小林薫　    温水洋一　  玉山鉄二【脚本】  古家和尚【演出】  松山博昭フジテレビドラマ制作センター</t>
  </si>
  <si>
    <t>高倉純平(香取慎吾)は柳沢春菜(黒木メイサ)にやっと自分の素直な思いを告げる。そして春菜もまたそんな純平の気持ちを受けとめてくれたかのように思われた。が、そんな純平の前に元彼女の渡辺みゆき(国仲涼子)が現れる。純平と結婚すればよかったと訴え、いま好きな人がいるかとみゆきは純平に尋ねる。素直にいると答える純平の前から、一度は姿を消すみゆきだった。しかし、これ以降頻繁に純平の家に電話をかけてくるようになるのだった。  　アドバイザーと会員の恋愛は御法度なため、B-ringから春菜に退会してもらおうと純平は動き出すが、ただでさえ矢代英彦(藤木直人)の退会により大量に女性会員が退会した後とあって、春菜のことは必ず死守するよう河原所長(橋本さとし)に迫られてしまう。  　そんなところに驚くべき人がたずねてくる。春菜の父・匠悟(小林薫)だ。家に純平が送りに来たところを見たことがある匠悟は純平を見るなり、娘とお付き合いしている相手と見定める。しかし純平は必死に否定、上野(綾部祐二)が春菜の相手と嘘をついてしまう。  　純平は嘘をついたことを悔い、春菜の父にあらためて会いに行くことを決意。初めて、匠悟、春菜の弟・優次(玉森裕太)らと対峙する。そこで優次は、家族にも秘密のある決意を純平に明かす。純平はだまっていられず、柳沢一家のためついに、様々な問題を巻き起こし始めるのだった。</t>
  </si>
  <si>
    <t>番組名幸せになろうよ　#08</t>
  </si>
  <si>
    <t>高倉純平(香取慎吾)の家を再び訪れ、自分の胸で泣き崩れる元彼女・渡辺みゆき(国仲涼子)を追い返すこともできずひきとめてしまった純平。落ち着かせながら大学時代からの親友・上野隆雄(綾部祐二)を家に呼ぶ。すると上野と飲んでいたという桜木まりか(仲里依紗)も一緒に来てしまう。騒動が大きくなる中、タイミング悪く春菜(黒木メイサ)からの電話が。着信の表示を見ながらも電話に出られない純平・・・。　翌日、純平のもとを訪れた春菜を見つけるなりまりかは、元彼女が純平のまわりをうろついており、昨日の夜も純平の家で2人は会っていたと報告するが、そうとは知らない純平はみゆきとのことは隠して、早く寝てしまったと春菜には嘘をついてしまう。  　矢代英彦(藤木直人)は妻・聖子(奥田恵梨華)が密会を重ねる男の正体を探偵に依頼し探り、妻が身ごもっているのは他の男の子供であることを知る。が、聖子は事実が夫にばれてしまったことを知った後も開き直る一方。逆に矢代を追い詰めるのだった。  　B-ringを訪れた春菜と純平は食事の約束をするが、そんな矢先、再びみゆきから純平に連絡が。家出したと伝えても夫が何も連絡をよこさないという。そんなみゆきを放っておけず、またみゆきのもとに走る純平。純平はいったいどこに向かおうとしているのか・・・。  　さらに矢代を追い詰める事態が起きようとしていた・・。香取慎吾　  黒木メイサ　  藤木直人　  仲里依紗　  綾部祐二(ピース)　  玉森裕太(Kis-My-Ft2)　  大倉孝二  　・　  高畑淳子  　・　  橋本さとし　  国仲涼子　  原田美枝子　  小林薫【脚本】  古家和尚【監督】  澤田鎌作フジテレビドラマ制作センター</t>
  </si>
  <si>
    <t>高倉純平(香取慎吾)の家を再び訪れ、自分の胸で泣き崩れる元彼女・渡辺みゆき(国仲涼子)を追い返すこともできずひきとめてしまった純平。落ち着かせながら大学時代からの親友・上野隆雄(綾部祐二)を家に呼ぶ。すると上野と飲んでいたという桜木まりか(仲里依紗)も一緒に来てしまう。騒動が大きくなる中、タイミング悪く春菜(黒木メイサ)からの電話が。着信の表示を見ながらも電話に出られない純平・・・。　翌日、純平のもとを訪れた春菜を見つけるなりまりかは、元彼女が純平のまわりをうろついており、昨日の夜も純平の家で2人は会っていたと報告するが、そうとは知らない純平はみゆきとのことは隠して、早く寝てしまったと春菜には嘘をついてしまう。  　矢代英彦(藤木直人)は妻・聖子(奥田恵梨華)が密会を重ねる男の正体を探偵に依頼し探り、妻が身ごもっているのは他の男の子供であることを知る。が、聖子は事実が夫にばれてしまったことを知った後も開き直る一方。逆に矢代を追い詰めるのだった。  　B-ringを訪れた春菜と純平は食事の約束をするが、そんな矢先、再びみゆきから純平に連絡が。家出したと伝えても夫が何も連絡をよこさないという。そんなみゆきを放っておけず、またみゆきのもとに走る純平。純平はいったいどこに向かおうとしているのか・・・。  　さらに矢代を追い詰める事態が起きようとしていた・・。</t>
  </si>
  <si>
    <t>番組名幸せになろうよ　#09</t>
  </si>
  <si>
    <t>矢代英彦(藤木直人)は妻に追い詰められ、弁護士という職も地位も妻も全てを失った上に大けがを負ってしまった。彼のもとには誰も面会に来る者もいない。1人春菜(黒木メイサ)を除いて。  　純平(香取慎吾)は春菜とつきあうためについに会社に辞職願いを出す。河原所長(橋本さとし)や皆が引き留めるが決意は変わらないのだった。  　春菜も最初は純平に隠れて見舞いに通っていたが純平に正直に話すことにする。純平も衝撃を受けながらもそんな春菜を受けとめ、一緒に矢代を見舞い、矢代のそばにいたほうがいいとまで春菜に言うのだった。全てを投げうち、矢代の存在までも受け入れて春菜のために尽くす姿にまりか(仲里依紗)や上野(綾部祐二)も心配でならず、やりきれない気持ちを抱えていた。春菜は、しかしそんな純平に支えられているからこそ、矢代から逃げずに会うことができると矢代に語るのだった。　退職する日が迫る中、残業続きで担当会員の相手を探すために汗を流す純平の姿は明らかに疲れがたまっている様で・・・。    　春菜と共に純平は矢代の見舞いに向かう。そこで純平は矢代と真っ正面から正直に言葉を交わし、純平も春菜もお互いの気持ちを確かめ合うのだった。  　そんなことがあった当日、矢代が病院から姿を消したという連絡が春菜に入るのだった・・・。香取慎吾　  黒木メイサ　  藤木直人　  仲里依紗　  綾部祐二(ピース)　  玉森裕太(Kis-My-Ft2)　  大倉孝二  　・　  高畑淳子  　・　  橋本さとし　  国仲涼子　  原田美枝子　  小林薫【脚本】  古家和尚【監督】  宮木正悟フジテレビドラマ制作センター</t>
  </si>
  <si>
    <t>矢代英彦(藤木直人)は妻に追い詰められ、弁護士という職も地位も妻も全てを失った上に大けがを負ってしまった。彼のもとには誰も面会に来る者もいない。1人春菜(黒木メイサ)を除いて。  　純平(香取慎吾)は春菜とつきあうためについに会社に辞職願いを出す。河原所長(橋本さとし)や皆が引き留めるが決意は変わらないのだった。  　春菜も最初は純平に隠れて見舞いに通っていたが純平に正直に話すことにする。純平も衝撃を受けながらもそんな春菜を受けとめ、一緒に矢代を見舞い、矢代のそばにいたほうがいいとまで春菜に言うのだった。全てを投げうち、矢代の存在までも受け入れて春菜のために尽くす姿にまりか(仲里依紗)や上野(綾部祐二)も心配でならず、やりきれない気持ちを抱えていた。春菜は、しかしそんな純平に支えられているからこそ、矢代から逃げずに会うことができると矢代に語るのだった。　退職する日が迫る中、残業続きで担当会員の相手を探すために汗を流す純平の姿は明らかに疲れがたまっている様で・・・。    　春菜と共に純平は矢代の見舞いに向かう。そこで純平は矢代と真っ正面から正直に言葉を交わし、純平も春菜もお互いの気持ちを確かめ合うのだった。  　そんなことがあった当日、矢代が病院から姿を消したという連絡が春菜に入るのだった・・・。</t>
  </si>
  <si>
    <t>番組名幸せになろうよ　#10</t>
  </si>
  <si>
    <t>純平(香取慎吾)は矢代(藤木直人)のそばにいてあげて欲しいと言って春菜(黒木メイサ)のもとを去ることを決意した。  　春菜のもとを去った後も、純平の仕事を辞める決意は引きつづき変わらなかった。  　今まで担当してきた、小松原進(大倉孝二)をはじめとして会員たちのお見合いパーティーの準備に余念がない。春菜は純平ともう一度話すため電話をかけ続けるが、純平は出てくれない。  　ついに直接純平を訪ねに、B-ringを訪れる春菜。しかし純平は、自分のために春菜のもとを去ったと告げ、さらに、仕事を続けるために春菜のもとを去った、と矢代と春菜の幸せのために嘘までつくのだった。  　春菜と別れたと純平がまりか(仲里依紗)にさらっと告げたことをきっかけに、一気に上野(綾部祐二)、小松原の耳にも入ることとなる。まりかはここぞとばかりに矢代に直接2人が別れたことを告げ、春菜をつなぎとめるように語るのだった。　一方、匠悟(小林薫)が春菜の父親であることを偶然知ってしまった美津枝(原田美枝子)は、ついに黙っていられず匠悟に純平の母親であることを告げる。  　そんな中、純平が仕事をやめることに変わりないことをまりかから聞いた春菜は、直接B-ringの河原所長(橋本さとし)のもとを訪ねる。  　純平を好きだからこそ、春菜は行動に出たのだった。そして純平も、確かにまだ気持ちは春菜に向いていた・・・。香取慎吾　  黒木メイサ　  藤木直人　  仲里依紗　  綾部祐二(ピース)　  玉森裕太(Kis-My-Ft2)　  大倉孝二  　・　  高畑淳子  　・　  橋本さとし　  国仲涼子　  原田美枝子　  小林薫【脚本】  古家和尚【監督】  松山博昭フジテレビドラマ制作センター</t>
  </si>
  <si>
    <t>純平(香取慎吾)は矢代(藤木直人)のそばにいてあげて欲しいと言って春菜(黒木メイサ)のもとを去ることを決意した。  　春菜のもとを去った後も、純平の仕事を辞める決意は引きつづき変わらなかった。  　今まで担当してきた、小松原進(大倉孝二)をはじめとして会員たちのお見合いパーティーの準備に余念がない。春菜は純平ともう一度話すため電話をかけ続けるが、純平は出てくれない。  　ついに直接純平を訪ねに、B-ringを訪れる春菜。しかし純平は、自分のために春菜のもとを去ったと告げ、さらに、仕事を続けるために春菜のもとを去った、と矢代と春菜の幸せのために嘘までつくのだった。  　春菜と別れたと純平がまりか(仲里依紗)にさらっと告げたことをきっかけに、一気に上野(綾部祐二)、小松原の耳にも入ることとなる。まりかはここぞとばかりに矢代に直接2人が別れたことを告げ、春菜をつなぎとめるように語るのだった。　一方、匠悟(小林薫)が春菜の父親であることを偶然知ってしまった美津枝(原田美枝子)は、ついに黙っていられず匠悟に純平の母親であることを告げる。  　そんな中、純平が仕事をやめることに変わりないことをまりかから聞いた春菜は、直接B-ringの河原所長(橋本さとし)のもとを訪ねる。  　純平を好きだからこそ、春菜は行動に出たのだった。そして純平も、確かにまだ気持ちは春菜に向いていた・・・。</t>
  </si>
  <si>
    <t>番組名幸せになろうよ　#11</t>
  </si>
  <si>
    <t>春菜(黒木メイサ)に自分から別れを告げた後も、春菜への気持ちはかわらなかった純平(香取慎吾)は、まわりの応援もあり、もう自分の気持ちから逃げない、と心に決めるが、そう決めた頃には退院の日を迎えた矢代(藤木直人)が春菜にあらためてプロポーズをしていたのだった。  　柳沢家の前で純平は素直に、春菜に好きだという気持ちをぶつけるが、春菜は勝手すぎるとそんな純平を受け入れられない。  　春菜は心の整理をつけるため仕事もやめ、柳沢家を出てあらたな一歩を踏み出していた。一方、純平は春菜をもう二度とあきらめることはしないと心に決め、ただひたすらに思いを日々メールで春菜に送るのだが、いっこうに春菜からの返事はなかった。  　しかし純平は、上野(綾部祐二)やまりか(仲里依紗)も驚くほど前向きに、断られても一切くじけることなく春菜へ思いを伝えながら、新たな職探しに奔走。春菜に振り返ってもらう日を待ち望みながら生き生きと過ごしていた。  　矢代が春菜からプロポーズの答えを聞きに行くという日に、純平が本気で春菜をあきらめる気があるのか矢代は確認にやってきた。  　純平は矢代にそんな気はまったくないと言い切る。  　もはや2人の間には春菜を本気で奪い合う戦友のような関係がうまれていた。  　矢代と会った春菜のプロポーズの返事とは。  　そして、春菜への思いをつのらせる純平に、春菜が振り返る日が来るのか・・・。香取慎吾　  黒木メイサ　  藤木直人　  仲里依紗　  綾部祐二(ピース)　  玉森裕太(Kis-My-Ft2)　  大倉孝二  　・　  高畑淳子  　・　  橋本さとし　  国仲涼子　  原田美枝子　  小林薫【脚本】  古家和尚【監督】  澤田鎌作フジテレビドラマ制作センター</t>
  </si>
  <si>
    <t>春菜(黒木メイサ)に自分から別れを告げた後も、春菜への気持ちはかわらなかった純平(香取慎吾)は、まわりの応援もあり、もう自分の気持ちから逃げない、と心に決めるが、そう決めた頃には退院の日を迎えた矢代(藤木直人)が春菜にあらためてプロポーズをしていたのだった。  　柳沢家の前で純平は素直に、春菜に好きだという気持ちをぶつけるが、春菜は勝手すぎるとそんな純平を受け入れられない。  　春菜は心の整理をつけるため仕事もやめ、柳沢家を出てあらたな一歩を踏み出していた。一方、純平は春菜をもう二度とあきらめることはしないと心に決め、ただひたすらに思いを日々メールで春菜に送るのだが、いっこうに春菜からの返事はなかった。  　しかし純平は、上野(綾部祐二)やまりか(仲里依紗)も驚くほど前向きに、断られても一切くじけることなく春菜へ思いを伝えながら、新たな職探しに奔走。春菜に振り返ってもらう日を待ち望みながら生き生きと過ごしていた。  　矢代が春菜からプロポーズの答えを聞きに行くという日に、純平が本気で春菜をあきらめる気があるのか矢代は確認にやってきた。  　純平は矢代にそんな気はまったくないと言い切る。  　もはや2人の間には春菜を本気で奪い合う戦友のような関係がうまれていた。  　矢代と会った春菜のプロポーズの返事とは。  　そして、春菜への思いをつのらせる純平に、春菜が振り返る日が来るのか・・・。</t>
  </si>
  <si>
    <t>1104_CX_火21</t>
  </si>
  <si>
    <t>名前をなくした女神</t>
  </si>
  <si>
    <t>番組名名前をなくした女神　#01</t>
  </si>
  <si>
    <t>短大卒業後、ハウスメーカーに就職した侑子(杏)は、食品メーカーに勤務する秋山拓水(つるの剛士)と結婚。侑子は、長男の健太(藤本哉汰)を出産後も仕事を続けたが、頭金を入れてマンションを購入した矢先、会社から地方転勤を打診され、退社を余儀なくされていた。引っ越しを機に、健太は近所の幼稚園に通うことになり、そこで侑子は、健太と同い年の子を持つ安野ちひろ(尾野真千子)、進藤真央(倉科カナ)、沢田利華子(りょう)、本宮レイナ(木村佳乃)らと知り合った。  　ちひろは、爽(長島暉実)の母親で、幼稚園の役員を務めていて、夫の英孝(高橋一生)は銀行員。真央は、トラック運転手の陸(五十嵐隼士)と出来ちゃった結婚をして、18歳で娘の羅羅(谷花音)を出産したヤンキーママ。利華子は、海斗(内田淳貴)の母親で、ネットショップの経営者。夫は、元人気モデル・圭(KEIJI)で、前夫との間に生まれた空斗(今井悠貴)という11歳の息子もいた。レイナは、彩香(小林星蘭)の母親で、主婦雑誌のカリスマ読者モデル。夫の功治(平山浩行)は、トータルウエディング事業を一代で興したやり手社長だった。  　専業主婦が周りにいなかったこともあって、侑子は、ママ友たちとの付き合いに戸惑いを感じていた。利華子いわく、皆、密かに「お受験」を考えているのだという。そんな折、健太が彩香のお誕生日会に誘われ…。杏　  尾野真千子　  倉科カナ　  つるの剛士　  平山浩行　  五十嵐隼士　  高橋一生　  KEIJI(EXILE)  　・　  萩原聖人  　・　  りょう　  木村佳乃　    ほか【脚本】  渡辺千穂【演出】  水田成英　    【編成企画】  太田大　    【プロデュース】  浅野澄美井筒昭雄【制作】フジテレビ　  【制作著作】FCC</t>
  </si>
  <si>
    <t>短大卒業後、ハウスメーカーに就職した侑子(杏)は、食品メーカーに勤務する秋山拓水(つるの剛士)と結婚。侑子は、長男の健太(藤本哉汰)を出産後も仕事を続けたが、頭金を入れてマンションを購入した矢先、会社から地方転勤を打診され、退社を余儀なくされていた。引っ越しを機に、健太は近所の幼稚園に通うことになり、そこで侑子は、健太と同い年の子を持つ安野ちひろ(尾野真千子)、進藤真央(倉科カナ)、沢田利華子(りょう)、本宮レイナ(木村佳乃)らと知り合った。  　ちひろは、爽(長島暉実)の母親で、幼稚園の役員を務めていて、夫の英孝(高橋一生)は銀行員。真央は、トラック運転手の陸(五十嵐隼士)と出来ちゃった結婚をして、18歳で娘の羅羅(谷花音)を出産したヤンキーママ。利華子は、海斗(内田淳貴)の母親で、ネットショップの経営者。夫は、元人気モデル・圭(KEIJI)で、前夫との間に生まれた空斗(今井悠貴)という11歳の息子もいた。レイナは、彩香(小林星蘭)の母親で、主婦雑誌のカリスマ読者モデル。夫の功治(平山浩行)は、トータルウエディング事業を一代で興したやり手社長だった。  　専業主婦が周りにいなかったこともあって、侑子は、ママ友たちとの付き合いに戸惑いを感じていた。利華子いわく、皆、密かに「お受験」を考えているのだという。そんな折、健太が彩香のお誕生日会に誘われ…。</t>
  </si>
  <si>
    <t>番組名名前をなくした女神　#02</t>
  </si>
  <si>
    <t>侑子(杏)は、同じ幼稚園に子どもを通わせていた母親のひとり、雅美(安達祐実)が睡眠薬を飲んで自殺を図ったと知り、大きなショックを受ける。その夜、侑子は、夫の拓水(つるの剛士)に雅美の件を報告する。併せて侑子は、玄関ドアの前に、ひまわりの子幼稚園に子どもを通わせている保護者たちの情報が記されたファイルが置かれていたことも打ち明けた。　翌日、幼稚園に健太(藤本哉汰)を送った後、侑子は、ちひろ(尾野真千子)、真央(倉科カナ)、利華子(りょう)、レイナ(木村佳乃)とカフェに立ち寄る。レイナたちも皆、子どもへの影響を心配していた。ちひろは、話題を変えようと、健太に習い事をさせるのか、と侑子に尋ねた。子どもの可能性を考え、その機会を与えるのも親の役目ではないかと思い始めていた侑子は、お受験を考え始めたことを打ち明けた。その際、レイナの娘・彩香(小林星蘭)が、お受験で有名な東郷チャイルドスクールに通っていることをバラしてしまう利華子。  　それがきっかけで、侑子は、利華子らと一緒に東郷チャイルドスクールを見学しに行くことになったが…。杏　  尾野真千子　  倉科カナ　  つるの剛士　  平山浩行　  五十嵐隼士　  高橋一生　  KEIJI(EXILE)  　・　  萩原聖人  　・　  りょう　  木村佳乃　    ほか【脚本】  渡辺千穂【演出】  水田成英　    【編成企画】  太田大　    【プロデュース】  浅野澄美井筒昭雄【制作】フジテレビ　  【制作著作】FCC</t>
  </si>
  <si>
    <t>侑子(杏)は、同じ幼稚園に子どもを通わせていた母親のひとり、雅美(安達祐実)が睡眠薬を飲んで自殺を図ったと知り、大きなショックを受ける。その夜、侑子は、夫の拓水(つるの剛士)に雅美の件を報告する。併せて侑子は、玄関ドアの前に、ひまわりの子幼稚園に子どもを通わせている保護者たちの情報が記されたファイルが置かれていたことも打ち明けた。　翌日、幼稚園に健太(藤本哉汰)を送った後、侑子は、ちひろ(尾野真千子)、真央(倉科カナ)、利華子(りょう)、レイナ(木村佳乃)とカフェに立ち寄る。レイナたちも皆、子どもへの影響を心配していた。ちひろは、話題を変えようと、健太に習い事をさせるのか、と侑子に尋ねた。子どもの可能性を考え、その機会を与えるのも親の役目ではないかと思い始めていた侑子は、お受験を考え始めたことを打ち明けた。その際、レイナの娘・彩香(小林星蘭)が、お受験で有名な東郷チャイルドスクールに通っていることをバラしてしまう利華子。  　それがきっかけで、侑子は、利華子らと一緒に東郷チャイルドスクールを見学しに行くことになったが…。</t>
  </si>
  <si>
    <t>番組名名前をなくした女神　#03</t>
  </si>
  <si>
    <t>小学校のお受験を真剣に考え始めた侑子(杏)は、利華子(りょう)、ちひろ(尾野真千子)とともに、東郷チャイルドスクールに入塾を申し込む。東郷チャイルドスクールは、レイナ(木村佳乃)が娘の彩香(小林星蘭)を通わせている、有名なお受験専門の塾だった。  　一方、真央(倉科カナ)は、学歴を気にして、娘の羅羅(谷花音)のお受験をあきらめる。その代わりに真央が目を付けたのは、子役オーディションだった。スタジオでカメラテストを受けた羅羅は、スタッフからほめられた。大喜びした真央は、これで健太(藤本哉汰)にリベンジできる、と羅羅に言う。  　健太は、彩香や海斗(内田淳貴)、爽(長島暉実)と一緒に、初めて東郷チャイルドスクールで学んだ。侑子は、塾講師の話を夢中になって聞いている健太の姿に、思わず笑みをもらす。  　塾の帰り、侑子やレイナたちは行きつけのカフェに立ち寄る。その際、侑子たちは、ちひろの様子から、彼女が妊娠しているのではないかと考える。そんな折、ひまわりの子幼稚園で皆と遊ぼうとした健太は、羅羅に邪魔されて仲間外れにされてしまい…。杏　  尾野真千子　  倉科カナ　  つるの剛士　  平山浩行　  五十嵐隼士　  高橋一生　  KEIJI(EXILE)  　・　  萩原聖人  　・　  りょう　  木村佳乃　    ほか【脚本】  渡辺千穂【演出】  樹下直美　    【編成企画】  太田大　    【プロデュース】  浅野澄美井筒昭雄制作:フジテレビ　  制作著作:FCC</t>
  </si>
  <si>
    <t>小学校のお受験を真剣に考え始めた侑子(杏)は、利華子(りょう)、ちひろ(尾野真千子)とともに、東郷チャイルドスクールに入塾を申し込む。東郷チャイルドスクールは、レイナ(木村佳乃)が娘の彩香(小林星蘭)を通わせている、有名なお受験専門の塾だった。  　一方、真央(倉科カナ)は、学歴を気にして、娘の羅羅(谷花音)のお受験をあきらめる。その代わりに真央が目を付けたのは、子役オーディションだった。スタジオでカメラテストを受けた羅羅は、スタッフからほめられた。大喜びした真央は、これで健太(藤本哉汰)にリベンジできる、と羅羅に言う。  　健太は、彩香や海斗(内田淳貴)、爽(長島暉実)と一緒に、初めて東郷チャイルドスクールで学んだ。侑子は、塾講師の話を夢中になって聞いている健太の姿に、思わず笑みをもらす。  　塾の帰り、侑子やレイナたちは行きつけのカフェに立ち寄る。その際、侑子たちは、ちひろの様子から、彼女が妊娠しているのではないかと考える。そんな折、ひまわりの子幼稚園で皆と遊ぼうとした健太は、羅羅に邪魔されて仲間外れにされてしまい…。</t>
  </si>
  <si>
    <t>番組名名前をなくした女神　#04</t>
  </si>
  <si>
    <t>侑子(杏)は、健太(藤本哉汰)が友だちから仲間外れにされた原因を知る。利華子(りょう)が海斗(内田淳貴)から聞いた話によれば、真央(倉科カナ)の娘・羅羅(谷花音)が健太にリベンジすると言っていたのだという。幼稚園で健太が羅羅をいじめたという件も、羅羅の方から「仲直りの握手は力を入れる」といって腕を差し出したらしい。  　侑子は、利華子とともに担任の結城(萩原聖人)を訪ね、相談した。結城は、注意不足を詫び、子どもたちにきちんと話すと侑子に約束する。侑子は、健太が自分や拓水(つるの剛士)に悲しい思いをさせたくないという思いから何も言わなかったことを知り、信じてあげられなかったことを謝った。  　真央ともきちんと話し合うべきだと考えた侑子は、彼女の携帯電話に連絡を入れるが、真央は電話に出なかった。侑子は、意を決し、進藤家を訪ねた。真央は不在だったが、応対した夫の陸(五十嵐隼士)は、事情を知り、仲良くするよう責任を持って話すと侑子に伝える。  　その後、侑子はレイナ(木村佳乃)と彩香(小林星蘭)に出会う。そのとき侑子は、彩香が羅羅とおそろいのワンピースを着ていることに気づく。進藤家を訪ねた際、同じ服がハンガーに掛けられていたのを見たからだった。それを聞いた彩香は、なくした靴と同じものを羅羅が持っていた、とレイナに話した。  　そんな折、東郷チャイルドスクールではペーパーテストが行われ…。杏　  尾野真千子　  倉科カナ　  つるの剛士　  平山浩行　  五十嵐隼士　  高橋一生　  KEIJI(EXILE)  　・　  萩原聖人  　・　  りょう　  木村佳乃　    ほか【脚本】  渡辺千穂【演出】  西浦正記　    【編成企画】  太田大　    【プロデュース】  浅野澄美井筒昭雄制作:フジテレビ　  制作著作:FCC</t>
  </si>
  <si>
    <t>侑子(杏)は、健太(藤本哉汰)が友だちから仲間外れにされた原因を知る。利華子(りょう)が海斗(内田淳貴)から聞いた話によれば、真央(倉科カナ)の娘・羅羅(谷花音)が健太にリベンジすると言っていたのだという。幼稚園で健太が羅羅をいじめたという件も、羅羅の方から「仲直りの握手は力を入れる」といって腕を差し出したらしい。  　侑子は、利華子とともに担任の結城(萩原聖人)を訪ね、相談した。結城は、注意不足を詫び、子どもたちにきちんと話すと侑子に約束する。侑子は、健太が自分や拓水(つるの剛士)に悲しい思いをさせたくないという思いから何も言わなかったことを知り、信じてあげられなかったことを謝った。  　真央ともきちんと話し合うべきだと考えた侑子は、彼女の携帯電話に連絡を入れるが、真央は電話に出なかった。侑子は、意を決し、進藤家を訪ねた。真央は不在だったが、応対した夫の陸(五十嵐隼士)は、事情を知り、仲良くするよう責任を持って話すと侑子に伝える。  　その後、侑子はレイナ(木村佳乃)と彩香(小林星蘭)に出会う。そのとき侑子は、彩香が羅羅とおそろいのワンピースを着ていることに気づく。進藤家を訪ねた際、同じ服がハンガーに掛けられていたのを見たからだった。それを聞いた彩香は、なくした靴と同じものを羅羅が持っていた、とレイナに話した。  　そんな折、東郷チャイルドスクールではペーパーテストが行われ…。</t>
  </si>
  <si>
    <t>番組名名前をなくした女神　#05</t>
  </si>
  <si>
    <t>侑子(杏)は、ちひろ(尾野真千子)の体調を心配し、ちひろの息子・爽(長島暉実)を預かることに。夕方、迎えのチャイムが鳴る。玄関を開けるとそこには、ちひろだけでなく、夫・英孝(高橋一生)の姿もあった。英孝から、ちひろが自分に内緒で働いていたことを告げられた侑子は衝撃を受ける。  　その日、明け方まで英孝から詰問を受けるちひろ。英孝から「妊娠しているだろう?」と聞かれ、身に覚えのないことに驚く。英孝は、侑子からそのことを聞いたという。あまりのことに混乱するちひろは、翌日の幼稚園で侑子に会った際に無視してしまう。  　ある日、東郷チャイルドスクールで進路相談が行われる。レイナ(木村佳乃)は、塾長の東郷百合子(夏木マリ)から、現状の彩香(小林星蘭)の学力では、希望の小学校に行くのは厳しいと言われ落ち込む。一方、侑子は百合子から、レイナが希望している小学校の受験をすすめられる。「お受験」対策を始めたばかりの侑子は、そんな有名小学校に健太(藤本哉汰)が受かるとは思えず当惑するが、百合子は合格に太鼓判を押す。  　東郷チャイルドスクールからの帰り道、利華子(りょう)に進路相談の結果を聞かれた侑子は、百合子から言われた話をする。その話が聞こえてしまったレイナは、侑子に対してあからさまな競争心を燃やし・・・。杏　  尾野真千子　  倉科カナ　  つるの剛士　  平山浩行　  五十嵐隼士　  高橋一生　  KEIJI(EXILE)  　・　  萩原聖人  　・　  りょう　  木村佳乃　    ほか【脚本】  渡辺千穂【演出】  西浦正記　    【編成企画】  太田大　    【プロデュース】  浅野澄美井筒昭雄制作:フジテレビ　  制作著作:FCC</t>
  </si>
  <si>
    <t>侑子(杏)は、ちひろ(尾野真千子)の体調を心配し、ちひろの息子・爽(長島暉実)を預かることに。夕方、迎えのチャイムが鳴る。玄関を開けるとそこには、ちひろだけでなく、夫・英孝(高橋一生)の姿もあった。英孝から、ちひろが自分に内緒で働いていたことを告げられた侑子は衝撃を受ける。  　その日、明け方まで英孝から詰問を受けるちひろ。英孝から「妊娠しているだろう?」と聞かれ、身に覚えのないことに驚く。英孝は、侑子からそのことを聞いたという。あまりのことに混乱するちひろは、翌日の幼稚園で侑子に会った際に無視してしまう。  　ある日、東郷チャイルドスクールで進路相談が行われる。レイナ(木村佳乃)は、塾長の東郷百合子(夏木マリ)から、現状の彩香(小林星蘭)の学力では、希望の小学校に行くのは厳しいと言われ落ち込む。一方、侑子は百合子から、レイナが希望している小学校の受験をすすめられる。「お受験」対策を始めたばかりの侑子は、そんな有名小学校に健太(藤本哉汰)が受かるとは思えず当惑するが、百合子は合格に太鼓判を押す。  　東郷チャイルドスクールからの帰り道、利華子(りょう)に進路相談の結果を聞かれた侑子は、百合子から言われた話をする。その話が聞こえてしまったレイナは、侑子に対してあからさまな競争心を燃やし・・・。</t>
  </si>
  <si>
    <t>番組名名前をなくした女神　#06</t>
  </si>
  <si>
    <t>侑子(杏)は、真央(倉科カナ)の策略によって、ちひろ(尾野真千子)からの信頼を失ってしまう。ちひろから相談を受けていた、彼女の夫・英孝(高橋一生)のセクハラ疑惑の件について、さも侑子が幼稚園のママ友たちにしゃべっていたように、真央に仕向けられてしまったのだ。ちひろは裏切られたと誤解し、侑子の制止を振り切り立ち去ってしまう。  　とある日曜日、東郷チャイルドスクールでは、父親たち向けの受験セミナーが行われた。拓水(つるの剛士)、英孝、圭(KEIJI)、功治(平山浩行)が参加し、東郷百合子(夏木マリ)から、「お受験」に対する父親としての心構えを説かれる。受験セミナー終了後、英孝は百合子に呼び止められ、爽(長島暉実)がチャイルドスクールはもちろん、幼稚園にも最近来ていないことを聞かされる。初耳であった英孝は驚きを隠せない。  　受験セミナーは、父親たちにさまざまな影響を及ぼした。圭は、より家事に積極的になり、朝早起きをして子供たちと散歩することに。そんな圭を利華子(りょう)は、ほほ笑ましく見守る。一方、以前から「お受験」に懐疑的だった功治は、レイナ(木村佳乃)の彩香(小林星蘭)に対する過度な教育に嫌気がさし、彼女との溝をより深めることになる。  　そんな折、「ひまわりの子幼稚園」では、遠足が行われ、事件が起こることに・・・。杏　  尾野真千子　  倉科カナ　  つるの剛士　  平山浩行　  五十嵐隼士　  高橋一生　  KEIJI(EXILE)  　・　  萩原聖人  　・　  りょう　  木村佳乃　    ほか【脚本】  渡辺千穂【演出】  水田成英　    【編成企画】  太田大　    【プロデュース】  浅野澄美井筒昭雄制作:フジテレビ　  制作著作:FCC</t>
  </si>
  <si>
    <t>侑子(杏)は、真央(倉科カナ)の策略によって、ちひろ(尾野真千子)からの信頼を失ってしまう。ちひろから相談を受けていた、彼女の夫・英孝(高橋一生)のセクハラ疑惑の件について、さも侑子が幼稚園のママ友たちにしゃべっていたように、真央に仕向けられてしまったのだ。ちひろは裏切られたと誤解し、侑子の制止を振り切り立ち去ってしまう。  　とある日曜日、東郷チャイルドスクールでは、父親たち向けの受験セミナーが行われた。拓水(つるの剛士)、英孝、圭(KEIJI)、功治(平山浩行)が参加し、東郷百合子(夏木マリ)から、「お受験」に対する父親としての心構えを説かれる。受験セミナー終了後、英孝は百合子に呼び止められ、爽(長島暉実)がチャイルドスクールはもちろん、幼稚園にも最近来ていないことを聞かされる。初耳であった英孝は驚きを隠せない。  　受験セミナーは、父親たちにさまざまな影響を及ぼした。圭は、より家事に積極的になり、朝早起きをして子供たちと散歩することに。そんな圭を利華子(りょう)は、ほほ笑ましく見守る。一方、以前から「お受験」に懐疑的だった功治は、レイナ(木村佳乃)の彩香(小林星蘭)に対する過度な教育に嫌気がさし、彼女との溝をより深めることになる。  　そんな折、「ひまわりの子幼稚園」では、遠足が行われ、事件が起こることに・・・。</t>
  </si>
  <si>
    <t>番組名名前をなくした女神　#07</t>
  </si>
  <si>
    <t>「ひまわりの子幼稚園」の遠足で訪れた遊園地で、侑子(杏)の息子・健太(藤本哉汰)が、何者かに連れ去られるという事件が起こる。侑子や、利華子(りょう)は、遊園地の敷地内を走り回り、必死で捜索した結果、ようやく健太を見つける。しかし、そこには目を覆いたくなるような衝撃的な光景が。健太の手を引き、連れ去ろうとしていたのは、ちひろ(尾野真千子)だったのだ。  　この事件を機に、侑子とちひろの関係は、さらに深刻なものへ。侑子から話を聞いた拓水(つるの剛士)は自ら直接、ちひろの夫・英孝(高橋一生)を訪ね、強い口調で事件のことを非難する。拓水の前では反省の色を見せていた英孝だが、拓水が帰ると自分が恥をかかされたとして、ちひろを激しく責め立てる。されるがままのちひろを守ろうと、仲裁に入ったのは息子の爽(長島暉実)だった。  　一方、レイナ(木村佳乃)は、義母・奈津恵(山本道子)の退院を機に、読者モデルの仕事を再開しようと編集者に連絡をするが、「新しい読者モデルが決まった」とつれない返答に気を落とす。落ち込むレイナに追い打ちをかけるように、奈津恵を交えた家族4人の夕食時に、弓恵(中島ひろ子)が娘の美也を抱いて訪れる。功治(平山浩行)と弓恵の関係を疑い、その場にいることに耐えられなくなったレイナは買い物を口実に外へ。ショックを隠せず、ぼう然と道を歩くレイナに気付き声をかけたのは、意外な人物だった。杏　  尾野真千子　  倉科カナ　  つるの剛士　  平山浩行　  五十嵐隼士　  高橋一生　  KEIJI(EXILE)  　・　  萩原聖人  　・　  りょう　  木村佳乃　    ほか【脚本】  渡辺千穂【演出】  水田成英　    【編成企画】  太田大　    【プロデュース】  浅野澄美井筒昭雄制作:フジテレビ　  制作著作:FCC</t>
  </si>
  <si>
    <t>「ひまわりの子幼稚園」の遠足で訪れた遊園地で、侑子(杏)の息子・健太(藤本哉汰)が、何者かに連れ去られるという事件が起こる。侑子や、利華子(りょう)は、遊園地の敷地内を走り回り、必死で捜索した結果、ようやく健太を見つける。しかし、そこには目を覆いたくなるような衝撃的な光景が。健太の手を引き、連れ去ろうとしていたのは、ちひろ(尾野真千子)だったのだ。  　この事件を機に、侑子とちひろの関係は、さらに深刻なものへ。侑子から話を聞いた拓水(つるの剛士)は自ら直接、ちひろの夫・英孝(高橋一生)を訪ね、強い口調で事件のことを非難する。拓水の前では反省の色を見せていた英孝だが、拓水が帰ると自分が恥をかかされたとして、ちひろを激しく責め立てる。されるがままのちひろを守ろうと、仲裁に入ったのは息子の爽(長島暉実)だった。  　一方、レイナ(木村佳乃)は、義母・奈津恵(山本道子)の退院を機に、読者モデルの仕事を再開しようと編集者に連絡をするが、「新しい読者モデルが決まった」とつれない返答に気を落とす。落ち込むレイナに追い打ちをかけるように、奈津恵を交えた家族4人の夕食時に、弓恵(中島ひろ子)が娘の美也を抱いて訪れる。功治(平山浩行)と弓恵の関係を疑い、その場にいることに耐えられなくなったレイナは買い物を口実に外へ。ショックを隠せず、ぼう然と道を歩くレイナに気付き声をかけたのは、意外な人物だった。</t>
  </si>
  <si>
    <t>番組名名前をなくした女神　#08</t>
  </si>
  <si>
    <t>侑子(杏)は、拓水(つるの剛士)に怒りをぶつける。拓水が会社でリストラに遭ったことを自分に黙っていたこと、さらにはその件を「ママ友」の利華子(りょう)から聞いたためだ。夫婦げんかの様子を聞いてしまった健太(藤本哉汰)は、翌朝けんかの理由を2人に聞くが、取り合ってもらえない。  　健太が受験する「明峰学園幼稚舎」のオープンスクールが開催される。校内で出会った幼稚舎の職員に「頑張って」と声をかけられた健太は、「頑張りません。お受験したくないです」と答えてしまう。健太は、羅羅(谷花音)との一件があった際に、「どんなことでも話そう」と約束していたにもかかわらず、けんかの理由を教えてくれない2人に怒っていたのだ。そのことを知り、反省した侑子と拓水は、健太と共に今後のことを話し合い、お受験も続けることを決める。  　一方、真央(倉科カナ)は、キャバクラでのアルバイトを続けていた。深夜までの仕事が影響し、羅羅がおなかをすかせてもご飯を作らないなど、生活は次第にすさんでいく。ある夜、仕事帰りの功治(平山浩行)は、パジャマ姿でマンションのロビーを徘徊する羅羅を見かけ、放っておけずに自宅に連れて帰る。レイナ(木村佳乃)は、羅羅から進藤家の状況を聞き、迎えに来た真央を厳しくしかりつける。屈辱を受ける真央。  　後日、幼稚園ではバザーが開かれ、そこで前代未聞のスキャンダラスな事件が起こることに・・・。杏　  尾野真千子　  倉科カナ　  つるの剛士　  平山浩行　  五十嵐隼士　  高橋一生　  KEIJI(EXILE)  　・　  萩原聖人  　・　  りょう　  木村佳乃　    ほか【脚本】  渡辺千穂【演出】  樹下直美　    【編成企画】  太田大　    【プロデュース】  浅野澄美井筒昭雄制作:フジテレビ　  制作著作:FCC</t>
  </si>
  <si>
    <t>侑子(杏)は、拓水(つるの剛士)に怒りをぶつける。拓水が会社でリストラに遭ったことを自分に黙っていたこと、さらにはその件を「ママ友」の利華子(りょう)から聞いたためだ。夫婦げんかの様子を聞いてしまった健太(藤本哉汰)は、翌朝けんかの理由を2人に聞くが、取り合ってもらえない。  　健太が受験する「明峰学園幼稚舎」のオープンスクールが開催される。校内で出会った幼稚舎の職員に「頑張って」と声をかけられた健太は、「頑張りません。お受験したくないです」と答えてしまう。健太は、羅羅(谷花音)との一件があった際に、「どんなことでも話そう」と約束していたにもかかわらず、けんかの理由を教えてくれない2人に怒っていたのだ。そのことを知り、反省した侑子と拓水は、健太と共に今後のことを話し合い、お受験も続けることを決める。  　一方、真央(倉科カナ)は、キャバクラでのアルバイトを続けていた。深夜までの仕事が影響し、羅羅がおなかをすかせてもご飯を作らないなど、生活は次第にすさんでいく。ある夜、仕事帰りの功治(平山浩行)は、パジャマ姿でマンションのロビーを徘徊する羅羅を見かけ、放っておけずに自宅に連れて帰る。レイナ(木村佳乃)は、羅羅から進藤家の状況を聞き、迎えに来た真央を厳しくしかりつける。屈辱を受ける真央。  　後日、幼稚園ではバザーが開かれ、そこで前代未聞のスキャンダラスな事件が起こることに・・・。</t>
  </si>
  <si>
    <t>番組名名前をなくした女神　#09</t>
  </si>
  <si>
    <t>親子水入らずで、和やかに行われていた「ひまわりの子幼稚園」のバザー。その会場に、戦慄(せんりつ)が走る。レイナ(木村佳乃)と結城(萩原聖人)の2ショット写真が、会場内の母親たちの携帯電話に一斉送信されたのだ。会場内は騒然となり、普段冷静な功治(平山浩行)も、結城に真偽を問いただす。メール着信の直前に、真央(倉科カナ)が携帯電話を操作していた様子を見ていた侑子(杏)は、彼女を問い詰めるが、「証拠はあるの?」と開き直られてしまう。  　この事件を受けて、「ひまわりの子幼稚園」では緊急保護者会が開かれる。多くの母親たちが、レイナと結城の関係に否定的な考えを口にする一方で、侑子は誰が送ったか分からない写真で責め立てるのはおかしいと主張をするが、多勢に無勢で取り合ってもらえない。結城は、レイナとの件は誤解だと、皆に頭を下げる。実家の近くの幼稚園に移ることで、その誤解に対する責任を取ると言う結城。その姿を目の当たりにしたレイナは大きなショックを受ける。  　後日、「東郷チャイルドスクール」では、本番の受験に向けた「模擬親子面接」が行われることに。「お受験」を考えている秋山家、安野家、沢田家、本宮家の4家族はそろって面接に参加する。百合子(夏木マリ)との質疑応答の中で、拓水(つるの剛士)のリストラ問題をはじめ、各家庭が抱えるそれぞれの問題が浮き彫りになっていく・・・。杏　  尾野真千子　  倉科カナ　  つるの剛士　  平山浩行　  五十嵐隼士　  高橋一生　  KEIJI(EXILE)  　・　  萩原聖人  　・　  りょう　  木村佳乃　    ほか【脚本】  渡辺千穂【演出】  水田成英　    【編成企画】  太田大　    【プロデュース】  浅野澄美井筒昭雄制作:フジテレビ　  制作著作:FCC</t>
  </si>
  <si>
    <t>親子水入らずで、和やかに行われていた「ひまわりの子幼稚園」のバザー。その会場に、戦慄(せんりつ)が走る。レイナ(木村佳乃)と結城(萩原聖人)の2ショット写真が、会場内の母親たちの携帯電話に一斉送信されたのだ。会場内は騒然となり、普段冷静な功治(平山浩行)も、結城に真偽を問いただす。メール着信の直前に、真央(倉科カナ)が携帯電話を操作していた様子を見ていた侑子(杏)は、彼女を問い詰めるが、「証拠はあるの?」と開き直られてしまう。  　この事件を受けて、「ひまわりの子幼稚園」では緊急保護者会が開かれる。多くの母親たちが、レイナと結城の関係に否定的な考えを口にする一方で、侑子は誰が送ったか分からない写真で責め立てるのはおかしいと主張をするが、多勢に無勢で取り合ってもらえない。結城は、レイナとの件は誤解だと、皆に頭を下げる。実家の近くの幼稚園に移ることで、その誤解に対する責任を取ると言う結城。その姿を目の当たりにしたレイナは大きなショックを受ける。  　後日、「東郷チャイルドスクール」では、本番の受験に向けた「模擬親子面接」が行われることに。「お受験」を考えている秋山家、安野家、沢田家、本宮家の4家族はそろって面接に参加する。百合子(夏木マリ)との質疑応答の中で、拓水(つるの剛士)のリストラ問題をはじめ、各家庭が抱えるそれぞれの問題が浮き彫りになっていく・・・。</t>
  </si>
  <si>
    <t>番組名名前をなくした女神　#10</t>
  </si>
  <si>
    <t>過熱する「お受験」戦争は、本番を間近に控え、佳境を迎える。「東郷チャイルドスクール」で行われたテストで、侑子(杏)の息子・健太(藤本哉汰)は、91点と抜群の結果を出す。この結果に、拓水(つるの剛士)も大喜び。健太よりも早く「お受験」の準備を進めていたレイナ(木村佳乃)の娘・彩香(小林星蘭)も、健太と同じく91点。レイナ、功治(平山浩行)が彩香を褒めるなか、彩香本人の様子がおかしい。  　後日、百合子(夏木マリ)に呼び出されるレイナ。最近、彩香に変わった様子はないかと言う百合子に、「おねしょをした」と答えるレイナ。百合子は彩香が「お受験」のプレッシャーに追い詰められていると指摘。さらに、彩香がテストで健太のカンニングをしていると話す。ショックを受けるレイナは、初めて過去の彩香に対する自身の接し方を反省する。  　拓水の再就職先はなかなか決まらないものの、新たに始めた「ドールハウス」作りも順調な侑子に、実家の父親が病気で倒れたという連絡が入る。実家に戻った侑子は、中学校時代のアルバムやノートが入った段ボールの中から、一通の封筒を見つける。差出人は、「内藤ちひろ」だった。  　一方、圭(KEIJI)が用意していた離婚届を見つけた利華子(りょう)は、精神的なショックから抜け出せずにいた。周囲に悟られまいと気丈に振る舞っていたが、後に大きな問題となる、思いもかけない意外な行動に出ることに。杏　  尾野真千子　  倉科カナ　  つるの剛士　  平山浩行　  五十嵐隼士　  高橋一生　  KEIJI(EXILE)  　・　  萩原聖人  　・　  りょう　  木村佳乃　    ほか【脚本】  渡辺千穂【演出】  樹下直美　    【編成企画】  太田大　    【プロデュース】  浅野澄美井筒昭雄制作:フジテレビ　  制作著作:FCC</t>
  </si>
  <si>
    <t>過熱する「お受験」戦争は、本番を間近に控え、佳境を迎える。「東郷チャイルドスクール」で行われたテストで、侑子(杏)の息子・健太(藤本哉汰)は、91点と抜群の結果を出す。この結果に、拓水(つるの剛士)も大喜び。健太よりも早く「お受験」の準備を進めていたレイナ(木村佳乃)の娘・彩香(小林星蘭)も、健太と同じく91点。レイナ、功治(平山浩行)が彩香を褒めるなか、彩香本人の様子がおかしい。  　後日、百合子(夏木マリ)に呼び出されるレイナ。最近、彩香に変わった様子はないかと言う百合子に、「おねしょをした」と答えるレイナ。百合子は彩香が「お受験」のプレッシャーに追い詰められていると指摘。さらに、彩香がテストで健太のカンニングをしていると話す。ショックを受けるレイナは、初めて過去の彩香に対する自身の接し方を反省する。  　拓水の再就職先はなかなか決まらないものの、新たに始めた「ドールハウス」作りも順調な侑子に、実家の父親が病気で倒れたという連絡が入る。実家に戻った侑子は、中学校時代のアルバムやノートが入った段ボールの中から、一通の封筒を見つける。差出人は、「内藤ちひろ」だった。  　一方、圭(KEIJI)が用意していた離婚届を見つけた利華子(りょう)は、精神的なショックから抜け出せずにいた。周囲に悟られまいと気丈に振る舞っていたが、後に大きな問題となる、思いもかけない意外な行動に出ることに。</t>
  </si>
  <si>
    <t>番組名名前をなくした女神　#11</t>
  </si>
  <si>
    <t>侑子(杏)が「ママ友」の中で最も信頼をしていた利華子(りょう)が、ついに牙をむいた。自分の元を離れ、新たに「ドールハウス」の仕事を始める侑子に対する嫉妬心、そして浮気をされた上に、圭(KEIJI)から突きつけられた離婚届が、普段冷静な利華子を精神的に追い詰めたのだ。入試直前に、利華子に裏切られ願書を捨てられたショックが癒えないままに、侑子はお受験当日を迎える。願書の件は、ちひろ(尾野真千子)に救われ事なきを得たものの、侑子は言いしれぬ不安感に襲われる。  　「明峰学園幼稚舎」をお受験するのは、真央(倉科カナ)の娘・羅羅(谷花音)を除く4人の子供たちであったが、その内の1人がとある事件をきっかけに受験会場に姿を見せない。受験できなかった子は、果たして誰なのか、そして受験できなかった原因とは一体何だったのか・・・。物語中盤で明らかになる子供たちの合否は、それぞれの家族にさまざまな影響を及ぼす。「お受験」をきっかけに、再生に向かう家族がある一方で、最終回にしてドラマ史上最大の悲劇に襲われる家族も・・・。  　子供たちの「お受験」を軸に、「親友」でも「他人」でもない「ママ友」という非常に微妙な関係性の中で、友情、嫉妬、見え、ウワサ、建前、うそ、裏切りといったさまざまな感情を互いにぶつけあってきた侑子、ちひろ、真央、利華子、レイナ(木村佳乃)。5人の「名前をなくした女神」たちが迎える結末とは?杏　  尾野真千子　  倉科カナ　  つるの剛士　  平山浩行　  五十嵐隼士　  高橋一生　  KEIJI(EXILE)  　・　  萩原聖人  　・　  りょう　  木村佳乃　    ほか【脚本】  渡辺千穂【演出】  水田成英　    【編成企画】  太田大　    【プロデュース】  浅野澄美井筒昭雄制作:フジテレビ　  制作著作:FCC</t>
  </si>
  <si>
    <t>侑子(杏)が「ママ友」の中で最も信頼をしていた利華子(りょう)が、ついに牙をむいた。自分の元を離れ、新たに「ドールハウス」の仕事を始める侑子に対する嫉妬心、そして浮気をされた上に、圭(KEIJI)から突きつけられた離婚届が、普段冷静な利華子を精神的に追い詰めたのだ。入試直前に、利華子に裏切られ願書を捨てられたショックが癒えないままに、侑子はお受験当日を迎える。願書の件は、ちひろ(尾野真千子)に救われ事なきを得たものの、侑子は言いしれぬ不安感に襲われる。  　「明峰学園幼稚舎」をお受験するのは、真央(倉科カナ)の娘・羅羅(谷花音)を除く4人の子供たちであったが、その内の1人がとある事件をきっかけに受験会場に姿を見せない。受験できなかった子は、果たして誰なのか、そして受験できなかった原因とは一体何だったのか・・・。物語中盤で明らかになる子供たちの合否は、それぞれの家族にさまざまな影響を及ぼす。「お受験」をきっかけに、再生に向かう家族がある一方で、最終回にしてドラマ史上最大の悲劇に襲われる家族も・・・。  　子供たちの「お受験」を軸に、「親友」でも「他人」でもない「ママ友」という非常に微妙な関係性の中で、友情、嫉妬、見え、ウワサ、建前、うそ、裏切りといったさまざまな感情を互いにぶつけあってきた侑子、ちひろ、真央、利華子、レイナ(木村佳乃)。5人の「名前をなくした女神」たちが迎える結末とは?</t>
  </si>
  <si>
    <t>1104_CX_火22</t>
  </si>
  <si>
    <t>グッドライフ</t>
  </si>
  <si>
    <t>番組名グッドライフ　#01</t>
  </si>
  <si>
    <t>澤本大地(反町隆史)は産和新聞社社会部の敏腕記者。他紙を出し抜いて数々のスクープをものにし、社内でも一目置かれている自分を大地は誇りに思っていた。    　そんなある日、妻の華織(井川遥)が離婚届を残して家を出て行った。家庭のことは華織に任せきりだった大地は、6歳になるひとり息子・羽雲(加部亜門)の世話もままならず、慌ただしく取材先に出かけてしまう。    　同じ頃、明青医科大学付属病院の小児科に新人CLS(チャイルド・ライフ・スペシャリスト)の紺野七海(榮倉奈々)が赴任。小児科医の円山湊人(伊原剛志)ら医療チームに意気揚々と挨拶をする七海だが、入院した子どもの心のケアをするCLSという肩書きに馴染みのない看護師らの態度は冷ややかだ。    　一方、大地は華織の弁護士から離婚の件で話がしたいと電話を受けてがく然。さらに、羽雲がケガをして病院にいると担任の細川(荒木宏文)から電話が入るが、詳しい事情も聞かずに電話を切り、弁護士事務所へ向かう。    　その頃、華織のそばには、彼女の世話を焼く雪村慎平(鹿賀丈史)の姿があり…。    　羽雲のケガは幸い軽かったが、以前からヒザに痛みを感じていたという羽雲の言葉に円山は胸騒ぎを覚える。  　診察を終えた羽雲に付き添っていた七海だが、ようやく迎えにやってきた大地が、羽雲に対していら立ちを隠さず自分のペースで行動する様子が気になって…。反町隆史　  榮倉奈々　  井川遥　  加部亜門(子役)  　・　  伊原剛志  　・　  鹿賀丈史【脚本】  大島里美【チーフプロデューサー】  笠置高弘(関西テレビ)　    【プロデューサー】  木村淳(関西テレビ)　    【演出】  三宅喜重(関西テレビ)  住友紀人　    【主題歌】  「また明日…」JUJU　    【挿入歌】  「羽根」ハナエ</t>
  </si>
  <si>
    <t>澤本大地(反町隆史)は産和新聞社社会部の敏腕記者。他紙を出し抜いて数々のスクープをものにし、社内でも一目置かれている自分を大地は誇りに思っていた。    　そんなある日、妻の華織(井川遥)が離婚届を残して家を出て行った。家庭のことは華織に任せきりだった大地は、6歳になるひとり息子・羽雲(加部亜門)の世話もままならず、慌ただしく取材先に出かけてしまう。    　同じ頃、明青医科大学付属病院の小児科に新人CLS(チャイルド・ライフ・スペシャリスト)の紺野七海(榮倉奈々)が赴任。小児科医の円山湊人(伊原剛志)ら医療チームに意気揚々と挨拶をする七海だが、入院した子どもの心のケアをするCLSという肩書きに馴染みのない看護師らの態度は冷ややかだ。    　一方、大地は華織の弁護士から離婚の件で話がしたいと電話を受けてがく然。さらに、羽雲がケガをして病院にいると担任の細川(荒木宏文)から電話が入るが、詳しい事情も聞かずに電話を切り、弁護士事務所へ向かう。    　その頃、華織のそばには、彼女の世話を焼く雪村慎平(鹿賀丈史)の姿があり…。    　羽雲のケガは幸い軽かったが、以前からヒザに痛みを感じていたという羽雲の言葉に円山は胸騒ぎを覚える。  　診察を終えた羽雲に付き添っていた七海だが、ようやく迎えにやってきた大地が、羽雲に対していら立ちを隠さず自分のペースで行動する様子が気になって…。</t>
  </si>
  <si>
    <t>番組名グッドライフ　#02</t>
  </si>
  <si>
    <t>http://www.ktv.jp/goodlife/index.html　華織(井川遥)に離婚を突きつけられた大地(反町隆史)は、ひとりで羽雲(加部亜門)を育てていこうと決意。だが、慣れない家事に手を焼き、羽雲のことをあまり構ってやれない。    　そんな折、記者クラブで仕事に追われていた大地に羽雲の担任・細川(荒木宏文)から電話が入り、羽雲がひざの痛みを訴えていると告げられる。細川は検査に連れて行くよう促すが、家庭のトラブルを知られたくない大地は周囲の記者の目を気にして早々に話を切り上げてしまう。    　一方、華織は美術館キュレーターの仕事に復帰しようと面接を受けていたが、なかなか採用が決まらない。見守る慎平(鹿賀丈史)だが、華織は大地との結婚生活の中で抑えてきた自分の思いを表現できることが楽しいと明るい表情を見せる。しかし、慎平から羽雲のことを切り出されて顔を曇らせる。　ようやく大地は羽雲を連れて明青医科大病院へ。羽雲の検査中も仕事に電話に席を外す大地に、円山(伊原剛志)は複雑な思いを抱く。そして円山から大地に告げられた検査結果は、羽雲の血液に異常が見つかり、今すぐ入院が必要、というものだった…。反町隆史　  榮倉奈々　  井川遥　  加部亜門(子役)  　・　  伊原剛志  　・　  鹿賀丈史【原作】  「グッドライフ」チョ・チャンイン著(小学館文庫)　    【脚本】  大島里美【チーフプロデューサー】  笠置高弘(関西テレビ)　    【プロデューサー】  木村淳(関西テレビ)　    【演出】  三宅喜重(関西テレビ)住友紀人　    【主題歌】  「また明日…」JUJU　    【挿入歌】  「羽根」ハナエ</t>
  </si>
  <si>
    <t>華織(井川遥)に離婚を突きつけられた大地(反町隆史)は、ひとりで羽雲(加部亜門)を育てていこうと決意。だが、慣れない家事に手を焼き、羽雲のことをあまり構ってやれない。    　そんな折、記者クラブで仕事に追われていた大地に羽雲の担任・細川(荒木宏文)から電話が入り、羽雲がひざの痛みを訴えていると告げられる。細川は検査に連れて行くよう促すが、家庭のトラブルを知られたくない大地は周囲の記者の目を気にして早々に話を切り上げてしまう。    　一方、華織は美術館キュレーターの仕事に復帰しようと面接を受けていたが、なかなか採用が決まらない。見守る慎平(鹿賀丈史)だが、華織は大地との結婚生活の中で抑えてきた自分の思いを表現できることが楽しいと明るい表情を見せる。しかし、慎平から羽雲のことを切り出されて顔を曇らせる。　ようやく大地は羽雲を連れて明青医科大病院へ。羽雲の検査中も仕事に電話に席を外す大地に、円山(伊原剛志)は複雑な思いを抱く。そして円山から大地に告げられた検査結果は、羽雲の血液に異常が見つかり、今すぐ入院が必要、というものだった…。</t>
  </si>
  <si>
    <t>番組名グッドライフ　#03</t>
  </si>
  <si>
    <t>http://www.ktv.jp/goodlife/index.html　羽雲(加部亜門)が急性リンパ性白血病に侵されていると知った大地(反町隆史)は、ついに華織(井川遥)との離婚を受け入れることを決意。華織には知らせず、ひとりで息子の闘病を支えていこうと覚悟を決める。    　徹夜続きの取材に追われながら、家事や羽雲の世話をこなそうと奮闘する大地。その表情には疲労の色が見え始めていた。そんな折、羽雲の抗がん剤治療がいよいよ始まることを円山(伊原剛志)から聞かされる。心身ともに辛い治療になるうえ、免疫力の低下で軽い感染症でも命に関わることがあると告げる円山。病室に向かった大地は羽雲に治療について説明をし始めるが、七海(榮倉奈々)からすでに説明を受けていた羽雲は「がんばる」と前向きな態度を見せる。　そんなある日、殺人事件の容疑者として少年が逮捕された。大地は少年の自宅前で張り込みを続けるが、家族は一向に姿を見せない。まもなく、少年の父親が警察署から自宅に向かったらしいとの連絡が入った。父親をつかまえて話を聞こうと意気込む大地だが、そのとき、病院から電話が入り…。反町隆史　  榮倉奈々　  井川遥　  加部亜門(子役)  　・　  伊原剛志  　・　  鹿賀丈史【原作】  「グッドライフ」チョ・チャン　イン著(小学館文庫)【チーフプロデューサー】  笠置高弘(関西テレビ)　    【プロデューサー】  木村淳(関西テレビ)　    【演出】  白木啓一郎(関西テレビ)住友紀人　    【主題歌】  「また明日…」JUJU　    【挿入歌】  「羽根」ハナエ</t>
  </si>
  <si>
    <t>羽雲(加部亜門)が急性リンパ性白血病に侵されていると知った大地(反町隆史)は、ついに華織(井川遥)との離婚を受け入れることを決意。華織には知らせず、ひとりで息子の闘病を支えていこうと覚悟を決める。    　徹夜続きの取材に追われながら、家事や羽雲の世話をこなそうと奮闘する大地。その表情には疲労の色が見え始めていた。そんな折、羽雲の抗がん剤治療がいよいよ始まることを円山(伊原剛志)から聞かされる。心身ともに辛い治療になるうえ、免疫力の低下で軽い感染症でも命に関わることがあると告げる円山。病室に向かった大地は羽雲に治療について説明をし始めるが、七海(榮倉奈々)からすでに説明を受けていた羽雲は「がんばる」と前向きな態度を見せる。　そんなある日、殺人事件の容疑者として少年が逮捕された。大地は少年の自宅前で張り込みを続けるが、家族は一向に姿を見せない。まもなく、少年の父親が警察署から自宅に向かったらしいとの連絡が入った。父親をつかまえて話を聞こうと意気込む大地だが、そのとき、病院から電話が入り…。</t>
  </si>
  <si>
    <t>番組名グッドライフ　#04</t>
  </si>
  <si>
    <t>http://www.ktv.jp/goodlife/index.html　大地(反町隆史)は羽雲(加部亜門)の看病に専念しようとデスク昇進を断り、定時に帰宅できる資料部へ異動。仕事を終えて病院に通い、慣れないながらも懸命に羽雲の世話を続けていた。    　一方、羽雲は同じ病気で入院している藤本太陽(小山颯)と仲よくなり、病院での生活にも慣れ始めていた。母親の美紀(奥貫薫)に甘える太陽の姿を目にした羽雲は、華織(井川遥)がいないことを痛感。うらやましさから太陽にすねた態度をとり、ケンカをしてしまう。ところが、ある日、太陽の容体が急変。まもなく息を引き取ってしまう。    　太陽の母親・美紀は羽雲にショックを与えまいと、太陽の病気が治って退院したと説明。だが、羽雲は何事かを察したのか、急速に元気をなくし、食事も摂れず、夜も眠れない日々を重ねていた。そんな羽雲を見かねた円山(伊原剛志)は真実を伝えるよう大地に助言するが、大地は羽雲が傷つくのを恐れて言い出すことができない。　そんな折、羽雲の入院を知った慎平(鹿賀丈史)が病院に現れ、元気のない羽雲の姿を目にしてがく然となる。    　一方、羽雲は太陽の話をあえてそらそうとする大地に反抗的な態度を取るようになっていた。ひとり思い悩む大地に七海(榮倉奈々)は、友だちの死は子どもにも伝えるべきだと助言。「悲しいときは泣いていい。ちゃんと泣かせてあげてください」という七海の言葉を聞いた大地の心に、ある思いが浮かび…。反町隆史　  榮倉奈々　  井川遥　  加部亜門(子役)  　・　  伊原剛志  　・　  鹿賀丈史【原作】  「グッドライフ」チョ・チャン　イン著(小学館文庫)　    【脚本】  大島里美【チーフプロデューサー】  笠置高弘(関西テレビ)　    【プロデューサー】  木村淳(関西テレビ)　    【演出】  白木啓一郎(関西テレビ)住友紀人　    【主題歌】  「また明日…」JUJU　    【挿入歌】  「羽根」ハナエ</t>
  </si>
  <si>
    <t>大地(反町隆史)は羽雲(加部亜門)の看病に専念しようとデスク昇進を断り、定時に帰宅できる資料部へ異動。仕事を終えて病院に通い、慣れないながらも懸命に羽雲の世話を続けていた。    　一方、羽雲は同じ病気で入院している藤本太陽(小山颯)と仲よくなり、病院での生活にも慣れ始めていた。母親の美紀(奥貫薫)に甘える太陽の姿を目にした羽雲は、華織(井川遥)がいないことを痛感。うらやましさから太陽にすねた態度をとり、ケンカをしてしまう。ところが、ある日、太陽の容体が急変。まもなく息を引き取ってしまう。    　太陽の母親・美紀は羽雲にショックを与えまいと、太陽の病気が治って退院したと説明。だが、羽雲は何事かを察したのか、急速に元気をなくし、食事も摂れず、夜も眠れない日々を重ねていた。そんな羽雲を見かねた円山(伊原剛志)は真実を伝えるよう大地に助言するが、大地は羽雲が傷つくのを恐れて言い出すことができない。　そんな折、羽雲の入院を知った慎平(鹿賀丈史)が病院に現れ、元気のない羽雲の姿を目にしてがく然となる。    　一方、羽雲は太陽の話をあえてそらそうとする大地に反抗的な態度を取るようになっていた。ひとり思い悩む大地に七海(榮倉奈々)は、友だちの死は子どもにも伝えるべきだと助言。「悲しいときは泣いていい。ちゃんと泣かせてあげてください」という七海の言葉を聞いた大地の心に、ある思いが浮かび…。</t>
  </si>
  <si>
    <t>番組名グッドライフ　#05</t>
  </si>
  <si>
    <t>http://www.ktv.jp/goodlife/index.html　羽雲(加部亜門)の治療は順調に進み、病状は安定。だが、気分がふさぎがちな羽雲を七海(榮倉奈々)は案じていた。大地(反町隆史)は、夏休みも終わってしまい、どこにも出かけられない羽雲がストレスを抱えていることに気づき、円山(伊原剛志)に外出許可を願い出るが、体調に注意が必要な時期だと難色を示される。    　そんなある日、華織(井川遥)が病院に現れ、羽雲の面会を求める。しかし、病院からは親権のある大地の許可がなければ、会わせることはできないと断られてしまう。華織は羽雲に会わせて欲しいと大地に頼むが、冷たく突き放されてしまう。    　そんな折、円山から羽雲の外出許可が出た。大地は羽雲に白紙のカードを5枚渡し、願い事を5つ書くよう告げる。しかし、最後の1枚は前日の夜になっても、白紙のまま。それに気付いた大地は七海に、「子供は母親に会いたいものか」と独り言のように悩みを打ち明ける。そして待ちに待った外出の日、大地は羽雲の願いをすべて叶えてやろうと奮闘。その頃、大地に羽雲と会わせてもらえず、途方にくれていた華織は、慎平(鹿賀丈史)から「また、目をそらすのか。本当はどうしたいんだ?」と指摘され、ひと目でいいから羽雲に会いたいと心情を吐露する。    　一方、羽雲の4つ目の願いを叶えていた大地の携帯電話に華織から着信があり、羽雲に会わせて欲しいと懇願されるが…。反町隆史　  榮倉奈々　  井川遥　  加部亜門(子役)  　・　  伊原剛志  　・　  鹿賀丈史【原作】  「グッドライフ」チョ・チャンイン著(小学館文庫)　  【脚本】  大島里美【チーフプロデューサー】  笠置高弘(関西テレビ)　  【プロデューサー】  木村淳(関西テレビ)　  【演出】  三宅喜重(関西テレビ)住友紀人　  【主題歌】  JUJU「また明日…」　  【挿入歌】  ハナエ「羽根」</t>
  </si>
  <si>
    <t>羽雲(加部亜門)の治療は順調に進み、病状は安定。だが、気分がふさぎがちな羽雲を七海(榮倉奈々)は案じていた。大地(反町隆史)は、夏休みも終わってしまい、どこにも出かけられない羽雲がストレスを抱えていることに気づき、円山(伊原剛志)に外出許可を願い出るが、体調に注意が必要な時期だと難色を示される。    　そんなある日、華織(井川遥)が病院に現れ、羽雲の面会を求める。しかし、病院からは親権のある大地の許可がなければ、会わせることはできないと断られてしまう。華織は羽雲に会わせて欲しいと大地に頼むが、冷たく突き放されてしまう。    　そんな折、円山から羽雲の外出許可が出た。大地は羽雲に白紙のカードを5枚渡し、願い事を5つ書くよう告げる。しかし、最後の1枚は前日の夜になっても、白紙のまま。それに気付いた大地は七海に、「子供は母親に会いたいものか」と独り言のように悩みを打ち明ける。そして待ちに待った外出の日、大地は羽雲の願いをすべて叶えてやろうと奮闘。その頃、大地に羽雲と会わせてもらえず、途方にくれていた華織は、慎平(鹿賀丈史)から「また、目をそらすのか。本当はどうしたいんだ?」と指摘され、ひと目でいいから羽雲に会いたいと心情を吐露する。    　一方、羽雲の4つ目の願いを叶えていた大地の携帯電話に華織から着信があり、羽雲に会わせて欲しいと懇願されるが…。</t>
  </si>
  <si>
    <t>番組名グッドライフ　#06</t>
  </si>
  <si>
    <t>http://www.ktv.jp/goodlife/index.html　順調に治療が進んでいたはずの羽雲(加部亜門)の白血病が再発。抗がん剤治療での完治は難しいと判断した円山(伊原剛志)は、大地(反町隆史)に骨髄移植を提案するが、大地の白血球の型が羽雲と一致せず、移植は不可能と判明。大地はプライドを捨て、華織(井川遥)に血液検査を受けてもらうよう頼むが、残念ながら華織の型も適合しない…。    　結局、骨髄バンクに登録してドナーを探すことにするが、2カ月経ってもドナーは見つからない。これまでより強力な抗がん剤の副作用に苦しみ、日に日に体力が衰えていく羽雲を見守ることしかできない大地は、少しでも長くそばにいてやりたいという思いからついに会社を辞めてしまう。    　一方、華織は韓国から提供された骨髄で移植が成功した事例を知り、学会出席のため来日中の韓国の小児白血病の権威・李信基(イ・シンギ)教授(チョン・ウソン)を訪ねて会場のホテルへ赴く。そして李との面会を願い出るが、会うことはかなわなかった。    　その頃、羽雲が肺炎を起こし、危険な状態に陥っていた。苦しむ羽雲の姿をただ見守ることしかできない大地は無力感にさいなまれる。  　かたや、諦めきれない華織はホテルの前で待ち続け、その姿に気づいた李に声をかけられる。華織はすがる思いで血液検査の結果を渡し、羽雲の骨髄移植を叶えたいと訴えるが…。反町隆史　  榮倉奈々　  井川遥　  加部亜門(子役)　  チョン・ウソン  　・　  伊原剛志  　・　  鹿賀丈史【原作】  「グッドライフ」チョ・チャンイン著(小学館文庫)　    【脚本】  大島里美【チーフプロデューサー】  笠置高弘(関西テレビ)　    【プロデューサー】  木村淳(関西テレビ)　    【演出】  三宅喜重(関西テレビ)住友紀人　    【主題歌】  「また明日…」JUJU　    【挿入歌】  「羽根」ハナエ</t>
  </si>
  <si>
    <t>順調に治療が進んでいたはずの羽雲(加部亜門)の白血病が再発。抗がん剤治療での完治は難しいと判断した円山(伊原剛志)は、大地(反町隆史)に骨髄移植を提案するが、大地の白血球の型が羽雲と一致せず、移植は不可能と判明。大地はプライドを捨て、華織(井川遥)に血液検査を受けてもらうよう頼むが、残念ながら華織の型も適合しない…。    　結局、骨髄バンクに登録してドナーを探すことにするが、2カ月経ってもドナーは見つからない。これまでより強力な抗がん剤の副作用に苦しみ、日に日に体力が衰えていく羽雲を見守ることしかできない大地は、少しでも長くそばにいてやりたいという思いからついに会社を辞めてしまう。    　一方、華織は韓国から提供された骨髄で移植が成功した事例を知り、学会出席のため来日中の韓国の小児白血病の権威・李信基(イ・シンギ)教授(チョン・ウソン)を訪ねて会場のホテルへ赴く。そして李との面会を願い出るが、会うことはかなわなかった。    　その頃、羽雲が肺炎を起こし、危険な状態に陥っていた。苦しむ羽雲の姿をただ見守ることしかできない大地は無力感にさいなまれる。  　かたや、諦めきれない華織はホテルの前で待ち続け、その姿に気づいた李に声をかけられる。華織はすがる思いで血液検査の結果を渡し、羽雲の骨髄移植を叶えたいと訴えるが…。</t>
  </si>
  <si>
    <t>番組名グッドライフ　#07</t>
  </si>
  <si>
    <t>http://www.ktv.jp/goodlife/index.html羽雲(加部亜門)の骨髄移植のドナーが見つからないまま12月に入ったが、華織(井川遥)も見舞いに訪れるようになっていた。一方、大地(反町隆史)は羽雲の病室に詰めながらフリーライターの仕事を始めるが、慣れない仕事と介護の両立で疲労はピークに達していた。    日本の骨髄バンクを通じてコーディネートを依頼されていた韓国で、羽雲のドナーが見つかった。華織から羽雲を救って欲しいと頼まれていた李(チョン・ウソン)は、自ら羽雲の担当を希望。そして待ちわびる大地らにも、吉報がもたらされる。喜ぶ大地だったが、その矢先、外出先で倒れて、そのまま検査入院することに。ただの過労だとタカをくくっていた大地に、医師が告げた検査結果は…。    いよいよ羽雲の手術が行われることになるが、手術の前日、七海(榮倉奈々)はたまたま大地の検査結果を目にしてしまい、ショックを受ける。    数時間に及んだ手術は無事に終了。だが、円山(伊原剛志)からは移植された骨髄が羽雲の体にうまく生着するかどうかが判明するまで、2週間は経過を見なければならないと説明される。一方、大地と華織が離婚していると知った李は、大地に“カシコギ"という魚の話を始める。カシコギのオスはメスが生んだ稚魚を育て、子供が成長すると安心したかのように死んでいくという。“父親はどう生き、子どもに何を残して死んでいくべきなのか"という李の言葉が大地の胸に突き刺さり…。反町隆史　  榮倉奈々　  井川遥　  加部亜門(子役)　  チョン・ウソン  　・　  伊原剛志  　・　  鹿賀丈史【原作】  「グッドライフ」チョ・チャンイン著(小学館文庫)　    【脚本】  大島里美【チーフプロデューサー】  笠置高弘(関西テレビ)　    【プロデューサー】  木村淳(関西テレビ)　    【演出】  白木啓一郎(関西テレビ)住友紀人　    【主題歌】  「また明日…」JUJU　    【挿入歌】  「羽根」ハナエ</t>
  </si>
  <si>
    <t>羽雲(加部亜門)の骨髄移植のドナーが見つからないまま12月に入ったが、華織(井川遥)も見舞いに訪れるようになっていた。一方、大地(反町隆史)は羽雲の病室に詰めながらフリーライターの仕事を始めるが、慣れない仕事と介護の両立で疲労はピークに達していた。    日本の骨髄バンクを通じてコーディネートを依頼されていた韓国で、羽雲のドナーが見つかった。華織から羽雲を救って欲しいと頼まれていた李(チョン・ウソン)は、自ら羽雲の担当を希望。そして待ちわびる大地らにも、吉報がもたらされる。喜ぶ大地だったが、その矢先、外出先で倒れて、そのまま検査入院することに。ただの過労だとタカをくくっていた大地に、医師が告げた検査結果は…。    いよいよ羽雲の手術が行われることになるが、手術の前日、七海(榮倉奈々)はたまたま大地の検査結果を目にしてしまい、ショックを受ける。    数時間に及んだ手術は無事に終了。だが、円山(伊原剛志)からは移植された骨髄が羽雲の体にうまく生着するかどうかが判明するまで、2週間は経過を見なければならないと説明される。一方、大地と華織が離婚していると知った李は、大地に“カシコギ"という魚の話を始める。カシコギのオスはメスが生んだ稚魚を育て、子供が成長すると安心したかのように死んでいくという。“父親はどう生き、子どもに何を残して死んでいくべきなのか"という李の言葉が大地の胸に突き刺さり…。</t>
  </si>
  <si>
    <t>番組名グッドライフ　#08</t>
  </si>
  <si>
    <t>http://www.ktv.jp/goodlife/index.html　骨髄移植が成功し、順調に回復した羽雲(加部亜門)がついに退院の日を迎えた。大地(反町隆史)に連れられ、うれしそうに病院をあとにする羽雲だったが、大地が末期の膵臓ガンに侵されていることを知る七海(榮倉奈々)は、その背中を複雑な思いで見つめる。    　羽雲は長らく休んでいた小学校に復学。クラスメイトとの再会を楽しみに元気に通い始めるが、作文の発表もうまくできず、大地が一生懸命作ってくれた折り紙の「ゴリおさん」をこわされても、言い返すことができない。そんな自分を弱虫だと感じ、落ち込んでいく羽雲。    　一方、羽雲が学校に慣れるまでは毎日迎えに行くと約束した大地だったが、ある日、七海に呼び出された先で痛みに襲われ、倒れてしまう。学校で心細げに大地を待ち続けていた羽雲は、担任から知らせを受けて駆けつけた華織(井川遥)の胸に、まっすぐに飛び込む。    　羽雲を連れ帰った華織は、ようやく電話がつながった大地から仕事で迎えに行けなかったと聞かされ、言葉を失う。自分の病気を隠し続ける大地を目の当たりにした七海は、病院で治療を受けるよう大地に告げるが、残された時間をすべて羽雲のために使いたいと思う大地の態度はかたくなだった。それでも諦めず「ちゃんと現実を見てください」と、大地を懸命に説得しようとする七海の言葉が、大地に突き刺さり…。反町隆史　  榮倉奈々　  井川遥　  加部亜門(子役)  　・　  伊原剛志  　・　  鹿賀丈史【原作】  「グッドライフ」チョ・チャンイン著(小学館文庫)　    【脚本】  大島里美【チーフプロデューサー】  笠置高弘(関西テレビ)　    【プロデューサー】  木村淳(関西テレビ)　    【演出】  白木啓一郎(関西テレビ)住友紀人　    【主題歌】  「また明日…」JUJU　    【挿入歌】  「羽根」ハナエ</t>
  </si>
  <si>
    <t>骨髄移植が成功し、順調に回復した羽雲(加部亜門)がついに退院の日を迎えた。大地(反町隆史)に連れられ、うれしそうに病院をあとにする羽雲だったが、大地が末期の膵臓ガンに侵されていることを知る七海(榮倉奈々)は、その背中を複雑な思いで見つめる。    　羽雲は長らく休んでいた小学校に復学。クラスメイトとの再会を楽しみに元気に通い始めるが、作文の発表もうまくできず、大地が一生懸命作ってくれた折り紙の「ゴリおさん」をこわされても、言い返すことができない。そんな自分を弱虫だと感じ、落ち込んでいく羽雲。    　一方、羽雲が学校に慣れるまでは毎日迎えに行くと約束した大地だったが、ある日、七海に呼び出された先で痛みに襲われ、倒れてしまう。学校で心細げに大地を待ち続けていた羽雲は、担任から知らせを受けて駆けつけた華織(井川遥)の胸に、まっすぐに飛び込む。    　羽雲を連れ帰った華織は、ようやく電話がつながった大地から仕事で迎えに行けなかったと聞かされ、言葉を失う。自分の病気を隠し続ける大地を目の当たりにした七海は、病院で治療を受けるよう大地に告げるが、残された時間をすべて羽雲のために使いたいと思う大地の態度はかたくなだった。それでも諦めず「ちゃんと現実を見てください」と、大地を懸命に説得しようとする七海の言葉が、大地に突き刺さり…。</t>
  </si>
  <si>
    <t>番組名グッドライフ　#09</t>
  </si>
  <si>
    <t>http://www.ktv.jp/goodlife/index.html　意を決した大地(反町隆史)は、自分が末期のすい臓がんに冒されていることを、円山(伊原剛志)に打ち明け、「あとどれくらい生きられるか」と尋ねる。検査の結果、円山からは、がんがほかの臓器にも転移し、「あと1カ月もつかどうかもわからない」重篤な状態だと告げられる。    　円山は、これから激しい痛みに襲われる頻度が増え、羽雲(加部亜門)の前で命を落とす事態もありうると警告するが、大地は入院も治療も拒否。羽雲と親子の思い出を作るため、残された時間をすべて費やす決意を固める。    　そんな折、羽雲が大地の田舎に行きたいと言い出した。父親の自殺を目の当たりにした大地にとって、故郷は辛い思い出しかなかったが、羽雲の願いを叶えたいと自分が生まれ育った港町に羽雲を連れて行こうと約束する。しかし、大地の体調はどんどん悪化の一途をたどっていくのだった。    　一方、華織(井川遥)は慎平(鹿賀丈史)からフランスでの仕事を持ちかけられる。キャリアを積む絶好のチャンスだが、2年は日本に戻れないという現実に、自らの夢と羽雲への思いの狭間で、華織の心は揺れる。    　その頃、故郷で羽雲と楽しい時間を過ごしていた大地は、親子の記念写真を撮ろうと写真館を訪れる。そこでふと思い立ち、自分ひとりの写真を撮影してもらうことに。表情を引き締め、覚悟を決めたようにカメラを見つめる大地の胸中は…。反町隆史　  榮倉奈々　  井川遥　  加部亜門(子役)  　・　  伊原剛志  　・　  鹿賀丈史【原作】  「グッドライフ」チョ・チャンイン著(小学館文庫)　    【脚本】  大島里美【チーフプロデューサー】  笠置高弘(関西テレビ)　    【プロデューサー】  木村淳(関西テレビ)　    【演出】  三宅喜重(関西テレビ)住友紀人　    【主題歌】  「また明日…」JUJU　    【挿入歌】  「羽根」ハナエ</t>
  </si>
  <si>
    <t>意を決した大地(反町隆史)は、自分が末期のすい臓がんに冒されていることを、円山(伊原剛志)に打ち明け、「あとどれくらい生きられるか」と尋ねる。検査の結果、円山からは、がんがほかの臓器にも転移し、「あと1カ月もつかどうかもわからない」重篤な状態だと告げられる。    　円山は、これから激しい痛みに襲われる頻度が増え、羽雲(加部亜門)の前で命を落とす事態もありうると警告するが、大地は入院も治療も拒否。羽雲と親子の思い出を作るため、残された時間をすべて費やす決意を固める。    　そんな折、羽雲が大地の田舎に行きたいと言い出した。父親の自殺を目の当たりにした大地にとって、故郷は辛い思い出しかなかったが、羽雲の願いを叶えたいと自分が生まれ育った港町に羽雲を連れて行こうと約束する。しかし、大地の体調はどんどん悪化の一途をたどっていくのだった。    　一方、華織(井川遥)は慎平(鹿賀丈史)からフランスでの仕事を持ちかけられる。キャリアを積む絶好のチャンスだが、2年は日本に戻れないという現実に、自らの夢と羽雲への思いの狭間で、華織の心は揺れる。    　その頃、故郷で羽雲と楽しい時間を過ごしていた大地は、親子の記念写真を撮ろうと写真館を訪れる。そこでふと思い立ち、自分ひとりの写真を撮影してもらうことに。表情を引き締め、覚悟を決めたようにカメラを見つめる大地の胸中は…。</t>
  </si>
  <si>
    <t>番組名グッドライフ　#10</t>
  </si>
  <si>
    <t>http://www.ktv.jp/goodlife/index.html　羽雲(加部亜門)の目の前で倒れた大地(反町隆史)は、もう羽雲の面倒を見ることができないと悟り、しばらく羽雲を預かって欲しいと華織(井川遥)に連絡。その翌朝、大地は何事もないように羽雲を学校へ送り出し、ひとり病院へと向かう。    　円山(伊原剛志)の前で意識を失い、そのまま入院することになった大地は、羽雲に連絡しようとする円山を制し、羽雲とはもう一緒には暮らせないと口にする。その頃、羽雲は、華織のもとで大地の帰りを待ちわびていた…。    　数日後、大地は病院を抜け出すと、編集者に会って今後の仕事を断り、世話になった元上司・奥田(北見敏之)を飲みに誘って密かに最後の別れを告げる。その夜、自宅に帰った大地は、まるで自分が消えゆく怖さを打ち消すように黙々と私物を処分し、ひたすら身辺整理を続けるのだった。    　翌日、大地は慎平(鹿賀丈史)を訪ね、自らのがんを告白し、華織と羽雲の今後を見守ってやって欲しい、2人には病気のことを黙っていて欲しいと深く頭を下げる。慎平はそんな大地の姿を目の前にかける言葉も見つからない。    　大地は最後に華織を呼び出し、羽雲を引き取って欲しいと切り出す。華織に事情を知らせたくない大地は、羽雲の世話に疲れ、記者に復帰することにした、と淡々と嘘を語るが、何も知らない華織は絶句。羽雲が大地の帰りを待ち続けているという華織の言葉にも、耳を貸さず去っていくが…。反町隆史　  榮倉奈々　  井川遥　  加部亜門(子役)  　・　  伊原剛志  　・　  鹿賀丈史【原作】  「グッドライフ」チョ・チャンイン著(小学館文庫)　    【脚本】  大島里美【チーフプロデューサー】  笠置高弘(関西テレビ)　    【プロデューサー】  木村淳(関西テレビ)　    【演出】  白木啓一郎(関西テレビ)住友紀人　    【主題歌】  「また明日…」JUJU　    【挿入歌】  「羽根」ハナエ</t>
  </si>
  <si>
    <t>羽雲(加部亜門)の目の前で倒れた大地(反町隆史)は、もう羽雲の面倒を見ることができないと悟り、しばらく羽雲を預かって欲しいと華織(井川遥)に連絡。その翌朝、大地は何事もないように羽雲を学校へ送り出し、ひとり病院へと向かう。    　円山(伊原剛志)の前で意識を失い、そのまま入院することになった大地は、羽雲に連絡しようとする円山を制し、羽雲とはもう一緒には暮らせないと口にする。その頃、羽雲は、華織のもとで大地の帰りを待ちわびていた…。    　数日後、大地は病院を抜け出すと、編集者に会って今後の仕事を断り、世話になった元上司・奥田(北見敏之)を飲みに誘って密かに最後の別れを告げる。その夜、自宅に帰った大地は、まるで自分が消えゆく怖さを打ち消すように黙々と私物を処分し、ひたすら身辺整理を続けるのだった。    　翌日、大地は慎平(鹿賀丈史)を訪ね、自らのがんを告白し、華織と羽雲の今後を見守ってやって欲しい、2人には病気のことを黙っていて欲しいと深く頭を下げる。慎平はそんな大地の姿を目の前にかける言葉も見つからない。    　大地は最後に華織を呼び出し、羽雲を引き取って欲しいと切り出す。華織に事情を知らせたくない大地は、羽雲の世話に疲れ、記者に復帰することにした、と淡々と嘘を語るが、何も知らない華織は絶句。羽雲が大地の帰りを待ち続けているという華織の言葉にも、耳を貸さず去っていくが…。</t>
  </si>
  <si>
    <t>番組名グッドライフ　#11</t>
  </si>
  <si>
    <t>http://www.ktv.jp/goodlife/index.html華織(井川遥)と暮らし始めた羽雲(加部亜門)は、大地(反町隆史)のことなど忘れたかのように明るく振る舞っていた。しかし羽雲が、強がって無理をしていると気づいた華織は、慎平(鹿賀丈史)に会い、羽雲の心に大地がいる間は日本を離れられないとフランス行きを辞退する。    そんなある日、羽雲はついに大地に会いたい気持ちを抑えきれなくなり、一緒に暮らしていたマンションへ出かける。が、すでに部屋は引き払われていた。追ってきた華織も無人の部屋で泣き崩れる羽雲を見つけ、大地が何も言わず姿を消したことを悟ってがく然となる。    一方、大地は明青医大からホスピスに転院し、ひとり静かに最期の時間を過ごしていた。訪ねてきた七海(榮倉奈々)にも「息子が本当のことを知る日が来たら渡して欲しい」と羽雲への手紙を託し、かたくなにひとりで最期を迎える覚悟を決めていた。    大地の行方を探す華織は、手掛かりを探し、マンションから持ち帰った郵便物を調べていた。そこに大地の遺影のような写真を見つけ、胸騒ぎを覚えて七海のもとを訪れる。大地のことで何か知っていれば教えてほしいと頼む華織に、七海は何も知らないとしらを切るが…。    その頃、ホスピスには円山(伊原剛志)が訪ねていた。「羽雲にしてやれることはもうない。私の役目は終わった」と羽雲に会わないまま最期を迎えようとする大地に、円山は「本当にそうでしょうか?」と諭すように話し始め…反町隆史　  榮倉奈々　  井川遥　  加部亜門(子役)  　・　  伊原剛志  　・　  鹿賀丈史【原作】  「グッドライフ」チョ・チャンイン著(小学館文庫)　    【脚本】  大島里美【チーフプロデューサー】  笠置高弘(関西テレビ)　    【プロデューサー】  木村淳(関西テレビ)　    【演出】  三宅喜重(関西テレビ)住友紀人　    【主題歌】  「また明日…」JUJU　    【挿入歌】  「羽根」ハナエ</t>
  </si>
  <si>
    <t>華織(井川遥)と暮らし始めた羽雲(加部亜門)は、大地(反町隆史)のことなど忘れたかのように明るく振る舞っていた。しかし羽雲が、強がって無理をしていると気づいた華織は、慎平(鹿賀丈史)に会い、羽雲の心に大地がいる間は日本を離れられないとフランス行きを辞退する。    そんなある日、羽雲はついに大地に会いたい気持ちを抑えきれなくなり、一緒に暮らしていたマンションへ出かける。が、すでに部屋は引き払われていた。追ってきた華織も無人の部屋で泣き崩れる羽雲を見つけ、大地が何も言わず姿を消したことを悟ってがく然となる。    一方、大地は明青医大からホスピスに転院し、ひとり静かに最期の時間を過ごしていた。訪ねてきた七海(榮倉奈々)にも「息子が本当のことを知る日が来たら渡して欲しい」と羽雲への手紙を託し、かたくなにひとりで最期を迎える覚悟を決めていた。    大地の行方を探す華織は、手掛かりを探し、マンションから持ち帰った郵便物を調べていた。そこに大地の遺影のような写真を見つけ、胸騒ぎを覚えて七海のもとを訪れる。大地のことで何か知っていれば教えてほしいと頼む華織に、七海は何も知らないとしらを切るが…。    その頃、ホスピスには円山(伊原剛志)が訪ねていた。「羽雲にしてやれることはもうない。私の役目は終わった」と羽雲に会わないまま最期を迎えようとする大地に、円山は「本当にそうでしょうか?」と諭すように話し始め…</t>
  </si>
  <si>
    <t>1104_CX_木22</t>
  </si>
  <si>
    <t>BOSS</t>
  </si>
  <si>
    <t>番組名&lt;木曜劇場&gt;BOSS　#01</t>
  </si>
  <si>
    <t>2年前ーー。  　警視庁の裏金汚職問題に巻き込まれ、大澤絵里子(天海祐希)が室長を務めた捜査一課「特別犯罪対策室」は解散、責任を取った絵里子は渡米しようとしていた。と、そこへ、参事官補佐・野立信次郎(竹野内豊)から連絡が入った。反政府組織「黒い月」が、警察トップの国家公安委員長・黒原健蔵(西田敏行)を狙撃すると声明を出したというのだ。しかも、今日行われるイベントで狙われる可能性が高いという。野立は、対策室のメンバーを会場に向かわせたから、絵里子にも急行しろ、と指示する。  　会場に着いた絵里子は、黒原に避難してほしいと告げるが、黒原は警察のトップは逃げられない、と拒否。  　一方、対策室の木元真実(戸田恵梨香)は会場横のビルで爆弾を発見し、処理を開始。片桐琢磨(玉山鉄二)、山村啓輔(温水洋一)、花形一平(溝端淳平)、岩井善治(ケンドーコバヤシ)も、不審者の捜索をする。真実は爆弾の処理を完了するが、よく見ると、爆弾はニセモノだった。と、そのとき、絵里子は、銃のスコープの反射を感知。とっさに、黒原に覆いかぶさるが、黒原は背中に被弾してしまう。しかも、犯人を確保することができなかった。  　黒原狙撃の責任を取らされ、対策室は再び解散、絵里子は渡米した。  　それから、2年ーー。参事官となった野立は、ある重要事件を引き受けることをキッカケに特別犯罪対策室を復活させる…。天海祐希　    竹野内豊　    戸田恵梨香　    玉山鉄二　    温水洋一　    溝端淳平　    吉瀬美智子　    ケンドーコバヤシ　    成海璃子　    釈由美子　    大森南朋　    長谷川京子　    西田敏行【脚本】  林宏司【企画】  村瀬健　    【プロデュース】  保原賢一郎　  三竿玲子　    【演出】  光野道夫【主題歌】  「Rollin'Days」Superfly(ワーナーミュージック・ジャパン)</t>
  </si>
  <si>
    <t>2年前ーー。  　警視庁の裏金汚職問題に巻き込まれ、大澤絵里子(天海祐希)が室長を務めた捜査一課「特別犯罪対策室」は解散、責任を取った絵里子は渡米しようとしていた。と、そこへ、参事官補佐・野立信次郎(竹野内豊)から連絡が入った。反政府組織「黒い月」が、警察トップの国家公安委員長・黒原健蔵(西田敏行)を狙撃すると声明を出したというのだ。しかも、今日行われるイベントで狙われる可能性が高いという。野立は、対策室のメンバーを会場に向かわせたから、絵里子にも急行しろ、と指示する。  　会場に着いた絵里子は、黒原に避難してほしいと告げるが、黒原は警察のトップは逃げられない、と拒否。  　一方、対策室の木元真実(戸田恵梨香)は会場横のビルで爆弾を発見し、処理を開始。片桐琢磨(玉山鉄二)、山村啓輔(温水洋一)、花形一平(溝端淳平)、岩井善治(ケンドーコバヤシ)も、不審者の捜索をする。真実は爆弾の処理を完了するが、よく見ると、爆弾はニセモノだった。と、そのとき、絵里子は、銃のスコープの反射を感知。とっさに、黒原に覆いかぶさるが、黒原は背中に被弾してしまう。しかも、犯人を確保することができなかった。  　黒原狙撃の責任を取らされ、対策室は再び解散、絵里子は渡米した。  　それから、2年ーー。参事官となった野立は、ある重要事件を引き受けることをキッカケに特別犯罪対策室を復活させる…。</t>
  </si>
  <si>
    <t>番組名&lt;木曜劇場&gt;BOSS　#02</t>
  </si>
  <si>
    <t>大澤絵里子(天海祐希)は、野立信次郎(竹野内豊)に、連続殺人犯は沼田良美(釈由美子)だと告げた。良美は、絵里子のストーカーで、絵里子が憎んでいると思う人物を殺したというのだ。そして、今、ターゲットは、野立や「特別対策室」のメンバーに変わりつつあると説明した。  　そんななか、絵里子は、片桐琢磨(玉山鉄二)から、良美が木元真実(戸田恵梨香)と一緒だと聞き、真実に危険が及ぶと直感。案の定、絵里子にメールが届き、添付画像に、倉庫に寝かされた真実がいた。  　対策室には、山村啓輔(温水洋一)、花形一平(溝端淳平)、岩井善治(ケンドーコバヤシ)らがいたが、手掛かりを探せないでいた。そんなとき、田所幸子(長谷川京子)が、良美のコートから残留物を発見。そこから、とある倉庫が浮上、山村と岩井が急行する。そこへ、良美から電話が入った。絵里子は逆探知を指示し、車で移動中の良美の場所を突き止めた。それを確認し、片桐と花形が現場へと向かった。  　絵里子は、良美の気を引くため、会話を続けていた。やがて、山村らが倉庫に到着。片桐らも、良美のものと思われる車を発見した。対策室で状況を追う野立は、突入を指示。が、その瞬間、絵里子はそれが罠だとひらめく。事実、それぞれの現場で爆弾が爆発。4人は無事だったが、良美も真実も発見できなかった。  　その状況報告を受けた絵里子は、良美に面会を申し出た…。天海祐希　    竹野内豊　    戸田恵梨香　    玉山鉄二　    温水洋一　    溝端淳平　    吉瀬美智子　    ケンドーコバヤシ　    成海璃子　    釈由美子　    大森南朋　    長谷川京子　    西田敏行【脚本】  林宏司【企画】  村瀬健　    【プロデュース】  保原賢一郎　  三竿玲子　    【演出】  光野道夫【主題歌】  「Rollin'Days」Superfly(ワーナーミュージック・ジャパン)制作:フジテレビドラマ制作センター</t>
  </si>
  <si>
    <t>大澤絵里子(天海祐希)は、野立信次郎(竹野内豊)に、連続殺人犯は沼田良美(釈由美子)だと告げた。良美は、絵里子のストーカーで、絵里子が憎んでいると思う人物を殺したというのだ。そして、今、ターゲットは、野立や「特別対策室」のメンバーに変わりつつあると説明した。  　そんななか、絵里子は、片桐琢磨(玉山鉄二)から、良美が木元真実(戸田恵梨香)と一緒だと聞き、真実に危険が及ぶと直感。案の定、絵里子にメールが届き、添付画像に、倉庫に寝かされた真実がいた。  　対策室には、山村啓輔(温水洋一)、花形一平(溝端淳平)、岩井善治(ケンドーコバヤシ)らがいたが、手掛かりを探せないでいた。そんなとき、田所幸子(長谷川京子)が、良美のコートから残留物を発見。そこから、とある倉庫が浮上、山村と岩井が急行する。そこへ、良美から電話が入った。絵里子は逆探知を指示し、車で移動中の良美の場所を突き止めた。それを確認し、片桐と花形が現場へと向かった。  　絵里子は、良美の気を引くため、会話を続けていた。やがて、山村らが倉庫に到着。片桐らも、良美のものと思われる車を発見した。対策室で状況を追う野立は、突入を指示。が、その瞬間、絵里子はそれが罠だとひらめく。事実、それぞれの現場で爆弾が爆発。4人は無事だったが、良美も真実も発見できなかった。  　その状況報告を受けた絵里子は、良美に面会を申し出た…。</t>
  </si>
  <si>
    <t>番組名&lt;木曜劇場&gt;BOSS　#03</t>
  </si>
  <si>
    <t>男性4人が殺される連続殺人が起き、大澤絵里子(天海祐希)は、片桐琢磨(玉山鉄二)と、4番目の犠牲者・蒼井(圷真樹)が社長を務めていた出版社を訪ねる。出版社が騒然とするなか、役員でもある編集者の佐神(山本耕史)、山地(戸田菜穂)は平然としていた。佐神は、地味だった出版社を変えたやり手で、蒼井とは対立関係だったという。一方、先代の社長の愛人とも噂される山地も、関係はよくなかったという。　そんななか、片桐はある本の「ヘンリー・ルーカス」という文字に目を留めた。ヘンリー・ルーカスは、“死の腕"という殺人組織に属していたというアメリカの連続殺人犯で、今回、最初の殺人後に出された犯行声明に、“死の腕"とあったからだ。その本の担当編集は、小堀(野間口徹)という人物だった。  　「対策室」に戻った絵里子は、片桐、山村啓輔(温水洋一)、花形一平(溝端淳平)、岩井善治(ケンドーコバヤシ)、田所幸子(長谷川京子)らと事件を整理するが、犯人像を絞り込むことができない。  　そこへ、男が、殺人未遂容疑で逮捕されたとの連絡が入る。野口(ムロツヨシ)というその男は、“死の腕"を名乗り連続殺人を犯したと自供。事件は解決かと思われたが、絵里子は、野立信次郎(竹野内豊)に、野口が犯したのは最初の3件で、4件目は別の人物だと断言。実際、黒原理香(成海璃子)の分析でも、4件目が一致しないと出ていた…。天海祐希　    竹野内豊　    戸田恵梨香　    玉山鉄二　    温水洋一　    溝端淳平　    ケンドーコバヤシ　    成海璃子　    長谷川京子　      山本耕史　    戸田菜穂【脚本】  林宏司【企画】  村瀬健　    【プロデュース】  保原賢一郎　  三竿玲子　    【演出】  石井祐介【主題歌】  「Rollin'Days」Superfly(ワーナーミュージック・ジャパン)フジテレビドラマ制作センター</t>
  </si>
  <si>
    <t>男性4人が殺される連続殺人が起き、大澤絵里子(天海祐希)は、片桐琢磨(玉山鉄二)と、4番目の犠牲者・蒼井(圷真樹)が社長を務めていた出版社を訪ねる。出版社が騒然とするなか、役員でもある編集者の佐神(山本耕史)、山地(戸田菜穂)は平然としていた。佐神は、地味だった出版社を変えたやり手で、蒼井とは対立関係だったという。一方、先代の社長の愛人とも噂される山地も、関係はよくなかったという。　そんななか、片桐はある本の「ヘンリー・ルーカス」という文字に目を留めた。ヘンリー・ルーカスは、“死の腕"という殺人組織に属していたというアメリカの連続殺人犯で、今回、最初の殺人後に出された犯行声明に、“死の腕"とあったからだ。その本の担当編集は、小堀(野間口徹)という人物だった。  　「対策室」に戻った絵里子は、片桐、山村啓輔(温水洋一)、花形一平(溝端淳平)、岩井善治(ケンドーコバヤシ)、田所幸子(長谷川京子)らと事件を整理するが、犯人像を絞り込むことができない。  　そこへ、男が、殺人未遂容疑で逮捕されたとの連絡が入る。野口(ムロツヨシ)というその男は、“死の腕"を名乗り連続殺人を犯したと自供。事件は解決かと思われたが、絵里子は、野立信次郎(竹野内豊)に、野口が犯したのは最初の3件で、4件目は別の人物だと断言。実際、黒原理香(成海璃子)の分析でも、4件目が一致しないと出ていた…。</t>
  </si>
  <si>
    <t>番組名&lt;木曜劇場&gt;BOSS　#04</t>
  </si>
  <si>
    <t>大澤絵里子(天海祐希)が、病気で通院することとなり「対策室」を留守にすることが増えた。野立信次郎(竹野内豊)は、片桐琢磨(玉山鉄二)ら対策室のメンバーに、捜査の出来がよければ絵里子に代わりボスの座につける可能性があると煽り、山村啓輔(温水洋一)、花形一平(溝端淳平)、岩井善治(ケンドーコバヤシ)、田所幸子(長谷川京子)までもが、その気になる。  　そんな折、真田幸雄という若い男がボーガンで射殺される事件が起こり、対策室のメンバーが捜査に乗り出した。  　その頃、絵里子は、病院で顔見知りとなった黒木泰平(古谷一行)と将棋を指していた。洞察力の鋭い黒木は、絵里子が仕事が気になっているようだ、と言い当てる。  　対策室に戻った絵里子は、事件の詳細とともに、真田は偽名で、実際は身元不明だと報告を受けた。さらに、石田光彦という男がボーガンで射殺されたが、石田も偽名で身元不明だった。  　その後、黒原理香(成海璃子)が行った遺留品の捜査から、あるコンビニが浮上。そこでの目撃証言から、石田の不可解な素顔が浮き彫りになった。  　そんななか、山村に実家の母親から、大けがをしたから金を送ってほしいと連絡が入る。慌てた山村は振り込みのため銀行へ行くが、不審に思った岩井が制する。それを振り切ろうとした山村は、壁に貼られたポスターを見て凍りつく。振り込め詐欺の容疑者としてそこに載っていた男が、真田だったのだ。天海祐希　    竹野内豊　    戸田恵梨香　    玉山鉄二　    温水洋一　    溝端淳平　    ケンドーコバヤシ　    成海璃子　    長谷川京子　      古谷一行【脚本】  林宏司【企画】  村瀬健　    【プロデュース】  保原賢一郎　  三竿玲子　    【演出】  田中亮【主題歌】  「Rollin'Days」Superfly(ワーナーミュージック・ジャパン)フジテレビドラマ制作センター</t>
  </si>
  <si>
    <t>大澤絵里子(天海祐希)が、病気で通院することとなり「対策室」を留守にすることが増えた。野立信次郎(竹野内豊)は、片桐琢磨(玉山鉄二)ら対策室のメンバーに、捜査の出来がよければ絵里子に代わりボスの座につける可能性があると煽り、山村啓輔(温水洋一)、花形一平(溝端淳平)、岩井善治(ケンドーコバヤシ)、田所幸子(長谷川京子)までもが、その気になる。  　そんな折、真田幸雄という若い男がボーガンで射殺される事件が起こり、対策室のメンバーが捜査に乗り出した。  　その頃、絵里子は、病院で顔見知りとなった黒木泰平(古谷一行)と将棋を指していた。洞察力の鋭い黒木は、絵里子が仕事が気になっているようだ、と言い当てる。  　対策室に戻った絵里子は、事件の詳細とともに、真田は偽名で、実際は身元不明だと報告を受けた。さらに、石田光彦という男がボーガンで射殺されたが、石田も偽名で身元不明だった。  　その後、黒原理香(成海璃子)が行った遺留品の捜査から、あるコンビニが浮上。そこでの目撃証言から、石田の不可解な素顔が浮き彫りになった。  　そんななか、山村に実家の母親から、大けがをしたから金を送ってほしいと連絡が入る。慌てた山村は振り込みのため銀行へ行くが、不審に思った岩井が制する。それを振り切ろうとした山村は、壁に貼られたポスターを見て凍りつく。振り込め詐欺の容疑者としてそこに載っていた男が、真田だったのだ。</t>
  </si>
  <si>
    <t>番組名&lt;木曜劇場&gt;BOSS　#05</t>
  </si>
  <si>
    <t>女性3人が失踪する事件が起こった。水曜日に失踪したという以外3人に共通点はないが、大澤絵里子(天海祐希)は、そのうちの青木洋子と接点がある、主婦でカリスマブロガーの山本香苗(松下由樹)を訪ねる。岩井善治(ケンドーコバヤシ)とともに、香苗宅に通された絵里子は、高校の同級生で仲も良かった洋子が行方不明だと聞いても、動揺を見せない香苗に違和感を抱く。  　「対策室」に戻った絵里子は、片桐琢磨(玉山鉄二)、花形一平(溝端淳平)、山村啓輔(温水洋一)らから、洋子以外のふたりの女性の特徴を聞くが、やはり接点は見いだせない。しかし、絵里子は、この犯行には香苗が関わっていると示唆した。  　その後、香苗のブログを調べていた絵里子は、「ゆっくりできるのは水曜日くらい」という一文を見つけた。また、「広告代理店のKさん」と記述される人物が、行方不明の片柳沙織なのでは、と推測。さらに、黒原理香(成海璃子)が解析していた洋子のパソコンから、気になるメールが見つかった。  　一方、いわゆる“ヤンママ"の高畠美羽の行方を捜査していた花形と田所幸子(長谷川京子)は、香苗と美羽の接点を見つけた。  　絵里子は、再び香苗宅を訪ね3人との共通点のことを話すが、香苗は証拠はあるのか、と平然と切り返す。  　その日の夜、絵里子は野立信次郎(竹野内豊)に、一連の事件は香苗の犯行だと確信していると言い…。天海祐希　    竹野内豊　    戸田恵梨香　    玉山鉄二　    温水洋一　    溝端淳平　    ケンドーコバヤシ　    成海璃子　    長谷川京子　      松下由樹【脚本】  林宏司【企画】  村瀬健    【プロデュース】  保原賢一郎　  三竿玲子　    【演出】  光野道夫【主題歌】  「Rollin'Days」Superfly(ワーナーミュージック・ジャパン)フジテレビドラマ制作センター</t>
  </si>
  <si>
    <t>女性3人が失踪する事件が起こった。水曜日に失踪したという以外3人に共通点はないが、大澤絵里子(天海祐希)は、そのうちの青木洋子と接点がある、主婦でカリスマブロガーの山本香苗(松下由樹)を訪ねる。岩井善治(ケンドーコバヤシ)とともに、香苗宅に通された絵里子は、高校の同級生で仲も良かった洋子が行方不明だと聞いても、動揺を見せない香苗に違和感を抱く。  　「対策室」に戻った絵里子は、片桐琢磨(玉山鉄二)、花形一平(溝端淳平)、山村啓輔(温水洋一)らから、洋子以外のふたりの女性の特徴を聞くが、やはり接点は見いだせない。しかし、絵里子は、この犯行には香苗が関わっていると示唆した。  　その後、香苗のブログを調べていた絵里子は、「ゆっくりできるのは水曜日くらい」という一文を見つけた。また、「広告代理店のKさん」と記述される人物が、行方不明の片柳沙織なのでは、と推測。さらに、黒原理香(成海璃子)が解析していた洋子のパソコンから、気になるメールが見つかった。  　一方、いわゆる“ヤンママ"の高畠美羽の行方を捜査していた花形と田所幸子(長谷川京子)は、香苗と美羽の接点を見つけた。  　絵里子は、再び香苗宅を訪ね3人との共通点のことを話すが、香苗は証拠はあるのか、と平然と切り返す。  　その日の夜、絵里子は野立信次郎(竹野内豊)に、一連の事件は香苗の犯行だと確信していると言い…。</t>
  </si>
  <si>
    <t>番組名&lt;木曜劇場&gt;BOSS　#06</t>
  </si>
  <si>
    <t>大澤絵里子(天海祐希)は、岩井善治(ケンドーコバヤシ)に連れられ、クラブにやってきた。そして、そこで2PM(2PM)というグループのパフォーマンスに心を奪われる。  　そんな折、ある銀行がライフルを持った男に制圧された。男は、行員や客たちを人質に取ったが、そのなかに田所幸子(長谷川京子)の姿があった。事件の一報を受けた絵里子は、片桐琢磨(玉山鉄二)、山村啓輔(温水洋一)、花形一平(溝端淳平)、岩井とともに銀行に急行。すでに現場にいた野立信次郎(竹野内豊)は、絵里子に犯人との交渉役を務めるようにと命じた。  　絵里子が銀行に電話をすると、ソニーと名乗る男が出た。絵里子はソニーから、身代金の額と要求する物を聞きだした。そんななか、幸子の居場所を探していた黒原理香(成海璃子)が、幸子が行内にいると突き止めた。  　その頃、行内で幸子の携帯電話が鳴り出す。夫の智明からの金の振り込みの催促だと察知した幸子は、ソニーに電話に出てくれと頼んだ。  　やがて、絵里子が約束した身代金などの準備時間3時間が過ぎた。しかし、まだ準備に手間取っていると明かした絵里子に、ソニーは1時間の延長を承諾した。絵里子はさらに、人質を落ち着かせるためにも食料を配ったほうがいいと提案。ソニーも受け入れ、山村が食料を届けた。ところが、そこに仕込んであった盗聴器が見破られソニーは激高し、ライフルを発射。銃声を聞いた絵里子は…。天海祐希　    竹野内豊　    戸田恵梨香　    玉山鉄二　    温水洋一　    溝端淳平　    ケンドーコバヤシ　    成海璃子　    長谷川京子　      木村了　【脚本】  徳永友一　    【脚本協力】  十川誠志【企画】  村瀬健　    【プロデュース】  保原賢一郎　  三竿玲子　    【演出】  石井祐介【主題歌】  「Rollin'Days」Superfly(ワーナーミュージック・ジャパン)フジテレビドラマ制作センター</t>
  </si>
  <si>
    <t>大澤絵里子(天海祐希)は、岩井善治(ケンドーコバヤシ)に連れられ、クラブにやってきた。そして、そこで2PM(2PM)というグループのパフォーマンスに心を奪われる。  　そんな折、ある銀行がライフルを持った男に制圧された。男は、行員や客たちを人質に取ったが、そのなかに田所幸子(長谷川京子)の姿があった。事件の一報を受けた絵里子は、片桐琢磨(玉山鉄二)、山村啓輔(温水洋一)、花形一平(溝端淳平)、岩井とともに銀行に急行。すでに現場にいた野立信次郎(竹野内豊)は、絵里子に犯人との交渉役を務めるようにと命じた。  　絵里子が銀行に電話をすると、ソニーと名乗る男が出た。絵里子はソニーから、身代金の額と要求する物を聞きだした。そんななか、幸子の居場所を探していた黒原理香(成海璃子)が、幸子が行内にいると突き止めた。  　その頃、行内で幸子の携帯電話が鳴り出す。夫の智明からの金の振り込みの催促だと察知した幸子は、ソニーに電話に出てくれと頼んだ。  　やがて、絵里子が約束した身代金などの準備時間3時間が過ぎた。しかし、まだ準備に手間取っていると明かした絵里子に、ソニーは1時間の延長を承諾した。絵里子はさらに、人質を落ち着かせるためにも食料を配ったほうがいいと提案。ソニーも受け入れ、山村が食料を届けた。ところが、そこに仕込んであった盗聴器が見破られソニーは激高し、ライフルを発射。銃声を聞いた絵里子は…。</t>
  </si>
  <si>
    <t>番組名&lt;木曜劇場&gt;BOSS　#07</t>
  </si>
  <si>
    <t>警視庁内で「都民交流会」というイベントが開かれ、一般市民が見学にやってきた。忙しい時期に対策室のメンバーも庁内の案内係として借り出されたため、大澤絵里子(天海祐希)は不機嫌になる。しかし、野立信次郎(竹野内豊)や、片桐琢磨(玉山鉄二)ら対策室のメンバーは、まんざらでもない様子だった。  　そんな隙を突いて、取調室にひとりの男(田中圭)が立てこもった。男は、持っていた手錠の片方を自分の手に、もう一方を室内に固定し、カギを飲み込んでしまった。花形一平(溝端淳平)から報告を受けた絵里子が駆けつけると、男は自分が誰か思い出してくれ、そのための宿題を出した、対策室のみなさんの時計を巻き戻しに来た、などと謎めいたことを言う。  　その頃、対策室にいた山村啓輔(温水洋一)と岩井善治(ケンドーコバヤシ)が、“取調室の男"という差出人からのメールを受信。そこには、バス停を写した写真が添付されていて、その後、そこで爆発が発生した。爆発したのはゴミ箱で、そこから発生したガスを吸った通行人が病院に搬送されるという事態になった。  　もはや、男と爆発事件の関連は明らかだが、男が持つ身分証明書は偽造されたもので身元も特定できない。  　そんななか、対策室のパソコンに、“取調室の男"からの「宿題」が届いた。制限時間20分というその「宿題」に、絵里子も野立も手掛かりを見いだせず…。天海祐希　    竹野内豊　    戸田恵梨香　    玉山鉄二　    温水洋一　    溝端淳平　    ケンドーコバヤシ　    成海璃子　    長谷川京子　      田中圭【脚本】  林宏司【企画】  村瀬健    【プロデュース】  保原賢一郎　  三竿玲子　    【演出】  田中亮【主題歌】  「Rollin'Days」Superfly(ワーナーミュージック・ジャパン)フジテレビドラマ制作センター</t>
  </si>
  <si>
    <t>警視庁内で「都民交流会」というイベントが開かれ、一般市民が見学にやってきた。忙しい時期に対策室のメンバーも庁内の案内係として借り出されたため、大澤絵里子(天海祐希)は不機嫌になる。しかし、野立信次郎(竹野内豊)や、片桐琢磨(玉山鉄二)ら対策室のメンバーは、まんざらでもない様子だった。  　そんな隙を突いて、取調室にひとりの男(田中圭)が立てこもった。男は、持っていた手錠の片方を自分の手に、もう一方を室内に固定し、カギを飲み込んでしまった。花形一平(溝端淳平)から報告を受けた絵里子が駆けつけると、男は自分が誰か思い出してくれ、そのための宿題を出した、対策室のみなさんの時計を巻き戻しに来た、などと謎めいたことを言う。  　その頃、対策室にいた山村啓輔(温水洋一)と岩井善治(ケンドーコバヤシ)が、“取調室の男"という差出人からのメールを受信。そこには、バス停を写した写真が添付されていて、その後、そこで爆発が発生した。爆発したのはゴミ箱で、そこから発生したガスを吸った通行人が病院に搬送されるという事態になった。  　もはや、男と爆発事件の関連は明らかだが、男が持つ身分証明書は偽造されたもので身元も特定できない。  　そんななか、対策室のパソコンに、“取調室の男"からの「宿題」が届いた。制限時間20分というその「宿題」に、絵里子も野立も手掛かりを見いだせず…。</t>
  </si>
  <si>
    <t>番組名&lt;木曜劇場&gt;BOSS　#08</t>
  </si>
  <si>
    <t>大澤絵里子(天海祐希)は、野立信次郎(竹野内豊)に言われ、鑑識課の石川啓太(谷原章介)というイケメンと見合いをすることになった。最初は渋々だった絵里子も、スマートで仕事熱心な石川に恋心を抱きはじめる。  　そんな折、28歳の女性が殺害された。遺体は花びらで覆われ、額には血で押された母印のような跡がある猟奇的な事件だった。  　絵里子が「対策室」の片桐琢磨(玉山鉄二)、山村啓輔(温水洋一)を連れ現場に入ると、検視官として働く石川の姿があった。絵里子と石川は、今回の事件が5年前、「エンジェルキラー」と名乗る人物が犯した猟奇的連続殺人の手口に似ている、と確認し合う。  　対策室に戻った絵里子は、片桐、山村、岩井善治(ケンドーコバヤシ)、田所幸子(長谷川京子)らに、今回の事件も、エンジェルキラーの犯行の可能性が高いと示唆。また、遺体を縛ったロープの結び目が5年前より弱くなっていることから、犯人のロープを縛る力が衰えているのではないか、と推測した。  　花形一平(溝端淳平)は、黒原理香(成海璃子)から、ターゲットの女性像についての情報を得た。  　そんななか、30代と思われる女性が、同じ手口で殺害された。現場に向かった絵里子は、再び石川と合流。その後、絵里子の招きで石川が対策室に事件の詳細を説明にやってきた。そんな石川を満面の笑みで見つめる絵里子に、対策室のメンバーは…。天海祐希　    竹野内豊　    戸田恵梨香　    玉山鉄二　    温水洋一　    溝端淳平　    ケンドーコバヤシ　    成海璃子　    長谷川京子　      谷原章介　    竹中直人【脚本】  徳永友一【企画】  村瀬健　    【プロデュース】  保原賢一郎　  三竿玲子　    【演出】  光野道夫【主題歌】  「Rollin'Days」Superfly(ワーナーミュージック・ジャパン)フジテレビドラマ制作センター</t>
  </si>
  <si>
    <t>大澤絵里子(天海祐希)は、野立信次郎(竹野内豊)に言われ、鑑識課の石川啓太(谷原章介)というイケメンと見合いをすることになった。最初は渋々だった絵里子も、スマートで仕事熱心な石川に恋心を抱きはじめる。  　そんな折、28歳の女性が殺害された。遺体は花びらで覆われ、額には血で押された母印のような跡がある猟奇的な事件だった。  　絵里子が「対策室」の片桐琢磨(玉山鉄二)、山村啓輔(温水洋一)を連れ現場に入ると、検視官として働く石川の姿があった。絵里子と石川は、今回の事件が5年前、「エンジェルキラー」と名乗る人物が犯した猟奇的連続殺人の手口に似ている、と確認し合う。  　対策室に戻った絵里子は、片桐、山村、岩井善治(ケンドーコバヤシ)、田所幸子(長谷川京子)らに、今回の事件も、エンジェルキラーの犯行の可能性が高いと示唆。また、遺体を縛ったロープの結び目が5年前より弱くなっていることから、犯人のロープを縛る力が衰えているのではないか、と推測した。  　花形一平(溝端淳平)は、黒原理香(成海璃子)から、ターゲットの女性像についての情報を得た。  　そんななか、30代と思われる女性が、同じ手口で殺害された。現場に向かった絵里子は、再び石川と合流。その後、絵里子の招きで石川が対策室に事件の詳細を説明にやってきた。そんな石川を満面の笑みで見つめる絵里子に、対策室のメンバーは…。</t>
  </si>
  <si>
    <t>番組名&lt;木曜劇場&gt;BOSS　#09</t>
  </si>
  <si>
    <t>大澤絵里子(天海祐希)は、誰かと電話をしていた。こちらの準備はできている、と話す相手は、木元真実(戸田恵梨香)だった。  　そんな折、中年の夫婦が刺殺される事件が起こった。妻は一撃だが、夫は急所を外しながら殺されていることから、絵里子は、殺しのプロの犯行だと断定。また、夫婦の6歳の娘・愛海(毛利恋子)が行方不明になっていることもわかった。  　片桐琢磨(玉山鉄二)、山村啓輔(温水洋一)とともに夫婦宅を捜索した絵里子は、キッチンに残された食べかけの料理に引っかかりを感じた。  　そんななか、自宅近くの公園で愛海が保護された。野立信次郎(竹野内豊)は、しばらくの間、対策室で愛海を保護すると発表。岩井善治(ケンドーコバヤシ)が世話役に任命された。  　絵里子は花形一平(溝端淳平)を連れ、愛海が見つかった公園にやってきた。すると、そこでひとりの男(坂口憲二)とぶつかった。男は、落とした買い物袋を拾うと、無言で立ち去った。  　一方、黒原理香(成海璃子)の調べで凶器のナイフが希少な外国製だと判明。絵里子は、外国人を含めた入国者と、軍隊や傭兵訓練を受けた者を調べるよう指示した。  　そんなとき、中年男性が刺殺され、手口から夫婦殺害と同一犯による犯行だと推定された。さらに、最近の入国者リストのなかに、海外の傭兵部隊を除隊した真崎正吾という男がいると発覚。真崎は、絵里子が公園でぶつかったあの男だった。天海祐希　    竹野内豊　    戸田恵梨香　    玉山鉄二　    温水洋一　    溝端淳平　    ケンドーコバヤシ　    成海璃子　    長谷川京子　      坂口憲二【脚本】  徳永友一【企画】  村瀬健　    【プロデュース】  保原賢一郎　  三竿玲子　    【演出】  田中亮【主題歌】  「Rollin'Days」Superfly(ワーナーミュージック・ジャパン)フジテレビドラマ制作センター</t>
  </si>
  <si>
    <t>大澤絵里子(天海祐希)は、誰かと電話をしていた。こちらの準備はできている、と話す相手は、木元真実(戸田恵梨香)だった。  　そんな折、中年の夫婦が刺殺される事件が起こった。妻は一撃だが、夫は急所を外しながら殺されていることから、絵里子は、殺しのプロの犯行だと断定。また、夫婦の6歳の娘・愛海(毛利恋子)が行方不明になっていることもわかった。  　片桐琢磨(玉山鉄二)、山村啓輔(温水洋一)とともに夫婦宅を捜索した絵里子は、キッチンに残された食べかけの料理に引っかかりを感じた。  　そんななか、自宅近くの公園で愛海が保護された。野立信次郎(竹野内豊)は、しばらくの間、対策室で愛海を保護すると発表。岩井善治(ケンドーコバヤシ)が世話役に任命された。  　絵里子は花形一平(溝端淳平)を連れ、愛海が見つかった公園にやってきた。すると、そこでひとりの男(坂口憲二)とぶつかった。男は、落とした買い物袋を拾うと、無言で立ち去った。  　一方、黒原理香(成海璃子)の調べで凶器のナイフが希少な外国製だと判明。絵里子は、外国人を含めた入国者と、軍隊や傭兵訓練を受けた者を調べるよう指示した。  　そんなとき、中年男性が刺殺され、手口から夫婦殺害と同一犯による犯行だと推定された。さらに、最近の入国者リストのなかに、海外の傭兵部隊を除隊した真崎正吾という男がいると発覚。真崎は、絵里子が公園でぶつかったあの男だった。</t>
  </si>
  <si>
    <t>番組名&lt;木曜劇場&gt;BOSS　#10</t>
  </si>
  <si>
    <t>大澤絵里子(天海祐希)ら、「対策室」のメンバーは、日本で開催される世界環境サミットの警備に参加することになった。  　そんな折、絵里子と野立信次郎(竹野内豊)の元同期で政治家秘書の森岡博(大森南朋)が、入念に練った計画があると、絵里子らを訪ねてきた。  　同じ頃、木元真実(戸田恵梨香)が、対策室に復帰。山村啓輔(温水洋一)、花形一平(溝端淳平)、岩井善治(ケンドーコバヤシ)らは真実を質問攻めにする。　そこへ、事件が起こったと絵里子がやって来た。殺害されたのは、有名商社の男性部長で、自宅マンションの屋上でルームランナーに仕掛けられた爆弾により爆死したという。男性は、ジョギングが趣味とはいえ、自分の物でもないルームランナーの上で爆死するという奇妙な事件だった。また、その1週間前にも、別の有名商社勤務の男性が公園で爆死していることもわかった。  　絵里子は、この事件が2年前の国家公安委員長・黒原健蔵(西田敏行)が狙撃された事件に関連する可能性があると示唆。当時、黒原を狙撃したのは、高倉龍平(反町隆史)が率いるテロ組織・黒い月だと推測されたが、真実らの調べにより、それが別の組織の犯行である可能性が高いと判明。その真相を探るため、絵里子は警察が抱える裏金問題に関連がない新島署に、真実を左遷させたように見せかけ派遣、捜査させていたのだ。真実は、そこである重要な文書を入手したという。天海祐希　    竹野内豊　    戸田恵梨香　    玉山鉄二　    温水洋一　    溝端淳平　    ケンドーコバヤシ　    成海璃子　      西岡徳馬　    木南晴夏　      光石研　      大森南朋　    長谷川京子　    西田敏行【脚本】  林宏司【企画】  村瀬健　    【プロデュース】  保原賢一郎　  三竿玲子　    【演出】  石井祐介【主題歌】  「Rollin'Days」Superfly(ワーナーミュージック・ジャパン)フジテレビドラマ制作センター</t>
  </si>
  <si>
    <t>大澤絵里子(天海祐希)ら、「対策室」のメンバーは、日本で開催される世界環境サミットの警備に参加することになった。  　そんな折、絵里子と野立信次郎(竹野内豊)の元同期で政治家秘書の森岡博(大森南朋)が、入念に練った計画があると、絵里子らを訪ねてきた。  　同じ頃、木元真実(戸田恵梨香)が、対策室に復帰。山村啓輔(温水洋一)、花形一平(溝端淳平)、岩井善治(ケンドーコバヤシ)らは真実を質問攻めにする。　そこへ、事件が起こったと絵里子がやって来た。殺害されたのは、有名商社の男性部長で、自宅マンションの屋上でルームランナーに仕掛けられた爆弾により爆死したという。男性は、ジョギングが趣味とはいえ、自分の物でもないルームランナーの上で爆死するという奇妙な事件だった。また、その1週間前にも、別の有名商社勤務の男性が公園で爆死していることもわかった。  　絵里子は、この事件が2年前の国家公安委員長・黒原健蔵(西田敏行)が狙撃された事件に関連する可能性があると示唆。当時、黒原を狙撃したのは、高倉龍平(反町隆史)が率いるテロ組織・黒い月だと推測されたが、真実らの調べにより、それが別の組織の犯行である可能性が高いと判明。その真相を探るため、絵里子は警察が抱える裏金問題に関連がない新島署に、真実を左遷させたように見せかけ派遣、捜査させていたのだ。真実は、そこである重要な文書を入手したという。</t>
  </si>
  <si>
    <t>番組名&lt;木曜劇場&gt;BOSS　#11</t>
  </si>
  <si>
    <t>世界環境サミットを目前に、大澤絵里子(天海祐希)は全く身に覚えのない業務上横領の疑いで逮捕され、取り調べを受けていた。同じころ「対策室」のほかのメンバーもそれぞれ別の容疑で逮捕されていた。野立信次郎(竹野内豊)も参事官室を捜索され、かねてから極秘に捜査を進めていた2年前の国家公安委員長・黒原健蔵(西田敏行)狙撃事件に関する機密文書が入ったディスクを押収されてしまう。　取調室で丹波刑事部長(光石研)が絵里子を詰問し始めようとしたとき、丹波の携帯電話が鳴る。トップから早く出せという指示が出たという丹波の言葉で、絵里子たち「対策室」メンバーは一斉に釈放される。  　メンバー一同が対策室に集まるなか、花形一平(溝端淳平)の姿だけが見えない。花形の姿が見えないのは前夜、田所幸子(長谷川京子)に撃たれたため。その当の本人の幸子から、花形から高熱のために休ませて欲しいという連絡があり、同様の内容のメールが送られているはずだという報告を絵里子は受ける。  　野立が押収されてしまったディスクのコピーの一部を木元真実(戸田恵梨香)が解析した結果、「対策室」を妨害している組織は2年前の狙撃事件を引き起こした組織で、絵里子たちの元同期で政治家秘書の森岡(大森南朋)がかかわっていること、ほかにも警視庁の多くの刑事たちがかかわっていることが判明した…。天海祐希　    竹野内豊　    戸田恵梨香　    玉山鉄二　    温水洋一　    溝端淳平　    ケンドーコバヤシ　    成海璃子　    光石研　      大森南朋　    長谷川京子　    西田敏行【脚本】  林宏司【企画】  村瀬健　    【プロデュース】  保原賢一郎　  三竿玲子　    【演出】  光野道夫【主題歌】  「Rollin'Days」Superfly(ワーナーミュージック・ジャパン)フジテレビドラマ制作センター</t>
  </si>
  <si>
    <t>世界環境サミットを目前に、大澤絵里子(天海祐希)は全く身に覚えのない業務上横領の疑いで逮捕され、取り調べを受けていた。同じころ「対策室」のほかのメンバーもそれぞれ別の容疑で逮捕されていた。野立信次郎(竹野内豊)も参事官室を捜索され、かねてから極秘に捜査を進めていた2年前の国家公安委員長・黒原健蔵(西田敏行)狙撃事件に関する機密文書が入ったディスクを押収されてしまう。　取調室で丹波刑事部長(光石研)が絵里子を詰問し始めようとしたとき、丹波の携帯電話が鳴る。トップから早く出せという指示が出たという丹波の言葉で、絵里子たち「対策室」メンバーは一斉に釈放される。  　メンバー一同が対策室に集まるなか、花形一平(溝端淳平)の姿だけが見えない。花形の姿が見えないのは前夜、田所幸子(長谷川京子)に撃たれたため。その当の本人の幸子から、花形から高熱のために休ませて欲しいという連絡があり、同様の内容のメールが送られているはずだという報告を絵里子は受ける。  　野立が押収されてしまったディスクのコピーの一部を木元真実(戸田恵梨香)が解析した結果、「対策室」を妨害している組織は2年前の狙撃事件を引き起こした組織で、絵里子たちの元同期で政治家秘書の森岡(大森南朋)がかかわっていること、ほかにも警視庁の多くの刑事たちがかかわっていることが判明した…。</t>
  </si>
  <si>
    <t>1104_CX_日21</t>
  </si>
  <si>
    <t>マルモのおきて</t>
  </si>
  <si>
    <t>番組名&lt;ドラマチックサンデー&gt;マルモのおきて　#01</t>
  </si>
  <si>
    <t>高木護(阿部サダヲ)は「あけぼの文具」のお客様相談室に勤務するサラリーマン。学生時代は野球部で万年補欠の捕手だった護は、野球部同窓会でエースだった親友の笹倉純一郎(葛山信吾)と久しぶりに会う。妻との離婚後、男手ひとつで双子の子供・薫(芦田愛菜)と友樹(鈴木福)を育てていて見事な親ばかっぷりをみせる純一郎に、自分は無理だと言いながらも感心しきりの護。  　翌日、苦情客を装った純一郎から電話が入った。何かを話そうとする純一郎だったが、護は話を聞かないまま電話を切ってしまう。  　ある日、護に野球部の仲間から純一郎の訃報の電話がきた。突然のことに激しくショックを受ける護。純一郎は、周囲に自分が末期ガンであることを護に言わないで欲しいと口止めしていたのだ。  　火葬場で親族が双子の今後について話し合っているのを偶然聞いてしまった護。話し合いの結果、家計を考えて2人バラバラに引き取られることに。釈然としない護だがどうすることもできない。火葬場の帰り、薫と友樹が別々の車に乗せられていくのを護は複雑な思いで見送った。  　数日後、友樹が親戚の家からいなくなったと、護に連絡が入る。泣きながら引き取られていく友樹の姿を思い出し、護が親戚の家を訪ねると薫も来ていた。2人は一緒に友樹を探すことに。同じ頃、路地を歩いていた友樹の前に一匹の犬が現れた。やがて迷子になり、泣き出した友樹に「泣くなよ」と声が聞こえ…。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</si>
  <si>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高木護(阿部サダヲ)は「あけぼの文具」のお客様相談室に勤務するサラリーマン。学生時代は野球部で万年補欠の捕手だった護は、野球部同窓会でエースだった親友の笹倉純一郎(葛山信吾)と久しぶりに会う。妻との離婚後、男手ひとつで双子の子供・薫(芦田愛菜)と友樹(鈴木福)を育てていて見事な親ばかっぷりをみせる純一郎に、自分は無理だと言いながらも感心しきりの護。  　翌日、苦情客を装った純一郎から電話が入った。何かを話そうとする純一郎だったが、護は話を聞かないまま電話を切ってしまう。  　ある日、護に野球部の仲間から純一郎の訃報の電話がきた。突然のことに激しくショックを受ける護。純一郎は、周囲に自分が末期ガンであることを護に言わないで欲しいと口止めしていたのだ。  　火葬場で親族が双子の今後について話し合っているのを偶然聞いてしまった護。話し合いの結果、家計を考えて2人バラバラに引き取られることに。釈然としない護だがどうすることもできない。火葬場の帰り、薫と友樹が別々の車に乗せられていくのを護は複雑な思いで見送った。  　数日後、友樹が親戚の家からいなくなったと、護に連絡が入る。泣きながら引き取られていく友樹の姿を思い出し、護が親戚の家を訪ねると薫も来ていた。2人は一緒に友樹を探すことに。同じ頃、路地を歩いていた友樹の前に一匹の犬が現れた。やがて迷子になり、泣き出した友樹に「泣くなよ」と声が聞こえ…。</t>
  </si>
  <si>
    <t>番組名&lt;ドラマチックサンデー&gt;マルモのおきて　#02</t>
  </si>
  <si>
    <t>「世界フィギュアスケート選手権2011エキシビション」延長の際、放送時間繰り下げの場合あり。　犬がしゃべるのを聞いた高木護(阿部サダヲ)は、メンタルクリニックへ診察に訪れる。自分の心の声が聞こえているのかもしれないと診断に納得する護。その頃、護の部屋で留守番していた笹倉薫(芦田愛菜)と友樹(鈴木福)は犬にムックという名前をつける。  　出社した護の元に双子の叔父にあたる笹倉秋人(二階堂智)が訪ねてきた。秋人は日曜には2人を迎えに来ると、それまでの着替えなどを手渡す。護はその後も2人一緒に暮らす手立てはないかと聞くが、秋人は苦い顔で首を横に振るだけだ。護の部屋では、友樹が冷凍庫にあったアイスを勝手に食べていた。護に怒られることを心配し、2人はコンビニへアイスを買いに行くことにする。アイスを買った帰り道、手押し車を押すおばあさんと遭遇した2人は手伝いを申し出て一緒に歩き出す。やがておばあさんと別れた2人は帰り道がわからなくなってしまって・・・?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</si>
  <si>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「世界フィギュアスケート選手権2011エキシビション」延長の際、放送時間繰り下げの場合あり。　犬がしゃべるのを聞いた高木護(阿部サダヲ)は、メンタルクリニックへ診察に訪れる。自分の心の声が聞こえているのかもしれないと診断に納得する護。その頃、護の部屋で留守番していた笹倉薫(芦田愛菜)と友樹(鈴木福)は犬にムックという名前をつける。  　出社した護の元に双子の叔父にあたる笹倉秋人(二階堂智)が訪ねてきた。秋人は日曜には2人を迎えに来ると、それまでの着替えなどを手渡す。護はその後も2人一緒に暮らす手立てはないかと聞くが、秋人は苦い顔で首を横に振るだけだ。護の部屋では、友樹が冷凍庫にあったアイスを勝手に食べていた。護に怒られることを心配し、2人はコンビニへアイスを買いに行くことにする。アイスを買った帰り道、手押し車を押すおばあさんと遭遇した2人は手伝いを申し出て一緒に歩き出す。やがておばあさんと別れた2人は帰り道がわからなくなってしまって・・・?</t>
  </si>
  <si>
    <t>番組名&lt;ドラマチックサンデー&gt;マルモのおきて　#03</t>
  </si>
  <si>
    <t>高木護(阿部サダヲ)と笹倉薫(芦田愛菜)、笹倉友樹(鈴木福)、ムックの共同生活が始まった。小学校の入学も決まり、みんなでランドセルを買いに行くことにする。値段を見てあ然とする護だがランドセルを購入。喜ぶ友樹の脇で薫の表情が曇っていることに気付いた護は、薫が欲しがっていて品切れだったピンクのランドセルを探す約束をした。  　あけぼの文具では、子供に人気の商品「いちごジャムのり」がクレームの対象になり、大騒ぎだ。ヘトヘトになって帰り、さらに双子の入学準備リストを前に大きなため息をつく護。そんな護から、子供を引き取ることにしたと聞いた大家の畑中陽介(世良公則)は責任の大きさを訴える。そんな中、娘の彩(比嘉愛未)は2人とすっかり打ち解けていた。彩は陽介からの命令もあり、双子が学校へ持って行く手提げバッグなどを護が作る手助けをすることになった。ミシンを出しに物置へ行くと、その様子を後ろからのぞいて薫は奥にあった勉強机に釘付けになる。  　翌日、仕事から帰ってくると護は2人に鉛筆やノートを渡す。あけぼの文具のシンプルな文具を前に明らかにテンションを落とす友樹だが、薫は無理に大人みたいでかっこいいと誉める。そんな薫を見ていた彩は、翌日に薫がこっそり物置の机に座っている姿やショーウインドーに飾ってあるハートマークの入ったピンクのランドセルに釘づけになっている姿を目撃する。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</si>
  <si>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高木護(阿部サダヲ)と笹倉薫(芦田愛菜)、笹倉友樹(鈴木福)、ムックの共同生活が始まった。小学校の入学も決まり、みんなでランドセルを買いに行くことにする。値段を見てあ然とする護だがランドセルを購入。喜ぶ友樹の脇で薫の表情が曇っていることに気付いた護は、薫が欲しがっていて品切れだったピンクのランドセルを探す約束をした。  　あけぼの文具では、子供に人気の商品「いちごジャムのり」がクレームの対象になり、大騒ぎだ。ヘトヘトになって帰り、さらに双子の入学準備リストを前に大きなため息をつく護。そんな護から、子供を引き取ることにしたと聞いた大家の畑中陽介(世良公則)は責任の大きさを訴える。そんな中、娘の彩(比嘉愛未)は2人とすっかり打ち解けていた。彩は陽介からの命令もあり、双子が学校へ持って行く手提げバッグなどを護が作る手助けをすることになった。ミシンを出しに物置へ行くと、その様子を後ろからのぞいて薫は奥にあった勉強机に釘付けになる。  　翌日、仕事から帰ってくると護は2人に鉛筆やノートを渡す。あけぼの文具のシンプルな文具を前に明らかにテンションを落とす友樹だが、薫は無理に大人みたいでかっこいいと誉める。そんな薫を見ていた彩は、翌日に薫がこっそり物置の机に座っている姿やショーウインドーに飾ってあるハートマークの入ったピンクのランドセルに釘づけになっている姿を目撃する。</t>
  </si>
  <si>
    <t>番組名&lt;ドラマチックサンデー&gt;マルモのおきて　#04</t>
  </si>
  <si>
    <t>再びメンタルクリニックにやってきた高木護(阿部サダヲ)。医師の白川桜子(芳本美代子)から、騒がず、無視せず、心を穏やかにそのまま受け入れることで自然に幻聴が消えるかもしれないとアドバイスを受ける。会社に行くと、あけぼの文具のチラシが栃木の会社と同じコピーを使ったと問題になっていた。護は先方の会社に謝罪するために鮫島勇三(伊武雅刀)から翌日の出張を言い渡されるが、牧村かな(滝沢沙織)と一緒だと知って張り切りだす。護は家に帰ると笹倉薫(芦田愛菜)と笹倉友樹(鈴木福)にムックがしゃべっても平然とするように話した。もともと平然としていた2人はキョトンとするが、さらにムックとのおしゃべりは3人の時だけだと約束させると、2人に続きムックからも「わかった」と返事がきた。その夜、2人から学校の係決めの話をされた護は、花係になったという友樹に水ばかりあげても花は枯れると注意する。その言葉にすっかりビビってしまった友樹に、護は花が育つと適当な呪文を教えた。  　翌日、小学校では“家族"をテーマに描いた友樹と薫の絵を見たクラスメートたちが、両親がいないのは変だと騒いでいた。担任教師の杉下秀夫(六角慎司)はかわいそうな2人と仲良くしてあげなさいと言い聞かせる。放課後、かわいそうだから先生に怒られないのはずるいと言い出したクラスメートの谷口隼人(貴島康成)を薫が突き飛ばしてしまう。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</si>
  <si>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再びメンタルクリニックにやってきた高木護(阿部サダヲ)。医師の白川桜子(芳本美代子)から、騒がず、無視せず、心を穏やかにそのまま受け入れることで自然に幻聴が消えるかもしれないとアドバイスを受ける。会社に行くと、あけぼの文具のチラシが栃木の会社と同じコピーを使ったと問題になっていた。護は先方の会社に謝罪するために鮫島勇三(伊武雅刀)から翌日の出張を言い渡されるが、牧村かな(滝沢沙織)と一緒だと知って張り切りだす。護は家に帰ると笹倉薫(芦田愛菜)と笹倉友樹(鈴木福)にムックがしゃべっても平然とするように話した。もともと平然としていた2人はキョトンとするが、さらにムックとのおしゃべりは3人の時だけだと約束させると、2人に続きムックからも「わかった」と返事がきた。その夜、2人から学校の係決めの話をされた護は、花係になったという友樹に水ばかりあげても花は枯れると注意する。その言葉にすっかりビビってしまった友樹に、護は花が育つと適当な呪文を教えた。  　翌日、小学校では“家族"をテーマに描いた友樹と薫の絵を見たクラスメートたちが、両親がいないのは変だと騒いでいた。担任教師の杉下秀夫(六角慎司)はかわいそうな2人と仲良くしてあげなさいと言い聞かせる。放課後、かわいそうだから先生に怒られないのはずるいと言い出したクラスメートの谷口隼人(貴島康成)を薫が突き飛ばしてしまう。</t>
  </si>
  <si>
    <t>番組名&lt;ドラマチックサンデー&gt;マルモのおきて　#05</t>
  </si>
  <si>
    <t>護(阿部サダヲ)は友樹(鈴木福)の風邪がうつったのか熱を出す。学校へ出かける薫(芦田愛菜)と友樹が、階下の居酒屋「クジラ」の彩(比嘉愛未)に「マルモ、よろしくおねがいします」と伝えると、陽介(世良公則)は護の部屋を心配して訪ねてくる。すると、陽介は護のほっぺたが腫れていることに気が付いて「まさか、おたふくとかじゃないよな?」と指摘する。心配になった護は実家の母・節子(真野響子)に自分が子供のころおたふく風邪にかかったことがあったかどうかを尋ねるが、節子は「忘れちゃったわよ。あはは」と笑い飛ばす。  　護は病院でおたふく風邪と診断され、さっそく双子から隔離される。  　その頃、護を心配した母親の節子がアパートを訪れる。双子から隔離されて押入れにいる護にかわって、玄関を開けたのは薫と友樹。節子は状況がつかめず驚くが、双子が護の親友、笹倉(葛山信吾)の遺した子供をひきとったと知って驚く。節子は護に「あんたにお嫁さんでも来てくれれば別だけど、このままじゃあの子たちにさみしい思いをさせるだけ」と反対する。護は彩に、節子から男手ひとつであの子たちを育てることに反対されたと話す。  　一方、護が体調を崩して大変だと、真島(小柳友)から聞いたかな(滝沢沙織)は、先日の出張でお世話になったお礼もしたいからと、お見舞いに行きたいと連絡をしてくる。最初はかなの申し出を断った護だが、かなにとあるお願いをする。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</si>
  <si>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護(阿部サダヲ)は友樹(鈴木福)の風邪がうつったのか熱を出す。学校へ出かける薫(芦田愛菜)と友樹が、階下の居酒屋「クジラ」の彩(比嘉愛未)に「マルモ、よろしくおねがいします」と伝えると、陽介(世良公則)は護の部屋を心配して訪ねてくる。すると、陽介は護のほっぺたが腫れていることに気が付いて「まさか、おたふくとかじゃないよな?」と指摘する。心配になった護は実家の母・節子(真野響子)に自分が子供のころおたふく風邪にかかったことがあったかどうかを尋ねるが、節子は「忘れちゃったわよ。あはは」と笑い飛ばす。  　護は病院でおたふく風邪と診断され、さっそく双子から隔離される。  　その頃、護を心配した母親の節子がアパートを訪れる。双子から隔離されて押入れにいる護にかわって、玄関を開けたのは薫と友樹。節子は状況がつかめず驚くが、双子が護の親友、笹倉(葛山信吾)の遺した子供をひきとったと知って驚く。節子は護に「あんたにお嫁さんでも来てくれれば別だけど、このままじゃあの子たちにさみしい思いをさせるだけ」と反対する。護は彩に、節子から男手ひとつであの子たちを育てることに反対されたと話す。  　一方、護が体調を崩して大変だと、真島(小柳友)から聞いたかな(滝沢沙織)は、先日の出張でお世話になったお礼もしたいからと、お見舞いに行きたいと連絡をしてくる。最初はかなの申し出を断った護だが、かなにとあるお願いをする。</t>
  </si>
  <si>
    <t>番組名&lt;ドラマチックサンデー&gt;マルモのおきて　#06</t>
  </si>
  <si>
    <t>護(阿部サダヲ)にキャッチボールを教わる薫(芦田愛菜)と友樹(鈴木福)。そこへ、薫と友樹のクラスメートである隼人(貴島康成)が通りがかる。薫は隼人の両親が忙しく、いつも1人で遊んでいるので一緒にキャッチボールしようと声をかけようとするが、隼人はそそくさとその場を離れてしまう。翌朝、薫が隼人に今度は一緒にキャッチボールをしようと話すと、隼人は明るい表情を見せるが、周りの男子生徒から「女とキャッチボールか」とからかわれて、隼人は思わず薫にきつい言葉をかけてしまう。  　一方、護はかな(滝沢沙織)を食事に誘うと、かなは快諾。浮かれて帰宅した護は、かなとデートをすると双子に自慢するが、すぐに薫の様子がおかしいことに気がつく。訳を聞いてみると、隼人にからかわれて傷ついたことを薫は護に話す。しかし、女の子の気持ちがわからない護は無視すればいいと軽く受け流してしまう。  　薫は隼人から「マルモは本当のパパじゃないから、いつか捨てられる」と言われて、不安を募らせていく。  　ある日、護は、鮫島(伊武雅刀)と共に伊達(吉田鋼太郎)という男のところへ会いに行く。伊達は、鮫島がクレーム対応しているうちに仲良くなった男だという。そこへ、薫がけんかをしたと学校から連絡があり、急いで護は学校にかけつけるが、怪我をしたのは隼人。謝らない!とむくれる薫に護は「面倒見切れない」とくちばしってしまって・・・。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</si>
  <si>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護(阿部サダヲ)にキャッチボールを教わる薫(芦田愛菜)と友樹(鈴木福)。そこへ、薫と友樹のクラスメートである隼人(貴島康成)が通りがかる。薫は隼人の両親が忙しく、いつも1人で遊んでいるので一緒にキャッチボールしようと声をかけようとするが、隼人はそそくさとその場を離れてしまう。翌朝、薫が隼人に今度は一緒にキャッチボールをしようと話すと、隼人は明るい表情を見せるが、周りの男子生徒から「女とキャッチボールか」とからかわれて、隼人は思わず薫にきつい言葉をかけてしまう。  　一方、護はかな(滝沢沙織)を食事に誘うと、かなは快諾。浮かれて帰宅した護は、かなとデートをすると双子に自慢するが、すぐに薫の様子がおかしいことに気がつく。訳を聞いてみると、隼人にからかわれて傷ついたことを薫は護に話す。しかし、女の子の気持ちがわからない護は無視すればいいと軽く受け流してしまう。  　薫は隼人から「マルモは本当のパパじゃないから、いつか捨てられる」と言われて、不安を募らせていく。  　ある日、護は、鮫島(伊武雅刀)と共に伊達(吉田鋼太郎)という男のところへ会いに行く。伊達は、鮫島がクレーム対応しているうちに仲良くなった男だという。そこへ、薫がけんかをしたと学校から連絡があり、急いで護は学校にかけつけるが、怪我をしたのは隼人。謝らない!とむくれる薫に護は「面倒見切れない」とくちばしってしまって・・・。</t>
  </si>
  <si>
    <t>番組名&lt;ドラマチックサンデー&gt;マルモのおきて　#07</t>
  </si>
  <si>
    <t>護(阿部サダヲ)は、薫(芦田愛菜)と友樹(鈴木福)がもうすぐ誕生日だと知る。一緒に暮らして初めての誕生日を祝ってやりたいと考えた護は、双子に何が欲しいかを尋ねる。しかし双子は「サンタさんにお願いしたから大丈夫」と話す。護はサンタさんはクリスマスにしか来ないから、何が欲しいのか教えて、と言うが亡くなった双子の父・笹倉(葛山信吾)から他の人に教えたらいけないと言われた双子は欲しい物を話そうとしない。　そんなある日、双子が学校から下校途中、双子の実の母・あゆみ(鶴田真由)が双子に声をかけて、クッキーを手渡すが、母親は死んだと聞かされている双子は知らない人からもらえないと断る。  　一方護は、あこがれのかな(滝沢沙織)を食事に誘って、付き合ってほしいと告白をする。引き続き、双子の誕生日プレゼント探しをする護。護が双子と暮らしている事情を知らないあけぼの文具の同僚に「知り合いの」子供にプレゼントをしたい、と相談すると、息子のいる民子(千葉雅子)から、サンタさんにプレゼントをお願いするときは手紙を書いて大事な箱にしまうものだと聞いて、家中を探す。護はやっとそれらしき箱を発見する。  　そんなある日、あゆみが護を訪ねてきて・・・。阿部サダヲ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</si>
  <si>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護(阿部サダヲ)は、薫(芦田愛菜)と友樹(鈴木福)がもうすぐ誕生日だと知る。一緒に暮らして初めての誕生日を祝ってやりたいと考えた護は、双子に何が欲しいかを尋ねる。しかし双子は「サンタさんにお願いしたから大丈夫」と話す。護はサンタさんはクリスマスにしか来ないから、何が欲しいのか教えて、と言うが亡くなった双子の父・笹倉(葛山信吾)から他の人に教えたらいけないと言われた双子は欲しい物を話そうとしない。　そんなある日、双子が学校から下校途中、双子の実の母・あゆみ(鶴田真由)が双子に声をかけて、クッキーを手渡すが、母親は死んだと聞かされている双子は知らない人からもらえないと断る。  　一方護は、あこがれのかな(滝沢沙織)を食事に誘って、付き合ってほしいと告白をする。引き続き、双子の誕生日プレゼント探しをする護。護が双子と暮らしている事情を知らないあけぼの文具の同僚に「知り合いの」子供にプレゼントをしたい、と相談すると、息子のいる民子(千葉雅子)から、サンタさんにプレゼントをお願いするときは手紙を書いて大事な箱にしまうものだと聞いて、家中を探す。護はやっとそれらしき箱を発見する。  　そんなある日、あゆみが護を訪ねてきて・・・。</t>
  </si>
  <si>
    <t>番組名&lt;ドラマチックサンデー&gt;マルモのおきて　#08</t>
  </si>
  <si>
    <t>とある日曜日の朝。ぐっすり眠っている護(阿部サダヲ)を薫(芦田愛菜)と友樹(鈴木福)は揺り起こす。今日は日曜参観の日だ。日曜参観では、さっそくおとぼけ発言を披露する友樹だったが、しっかり者の薫の姿に、護も満足げ。そして担任の杉下(六角慎司)からは、お父さんやお母さんの仕事についてどんなことでもよいので調べてくるようにと宿題が出る。子供たちは家族の「お仕事調査隊」の隊員となって、調査結果を学校で発表することになった。日曜参観の帰り道、かな(滝沢沙織)から護に電話があり、ランチに誘われる。「もちろん!」と即答する護だが、まだ、かなに双子の存在を話せないでいた。一方、「お仕事調査隊」としてやる気まんまんの双子。ノートを片手に芸能レポーターの装いで風呂上がりの護に仕事内容を突撃している。しかし、護はかなとのメールのやりとりに夢中で、ぼんやりした答えばかり。護の会社に行ってみたいと薫は話すが、かなはもちろんのこと会社にも双子のことは秘密にしているため、だめの一点張り。  　そんなある日、日曜参観の振り替え休日で平日がお休みになった双子は、「お仕事調査隊」の仕事をまっとうするため、出社する護を尾行して・・・?阿部サダヲ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</si>
  <si>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とある日曜日の朝。ぐっすり眠っている護(阿部サダヲ)を薫(芦田愛菜)と友樹(鈴木福)は揺り起こす。今日は日曜参観の日だ。日曜参観では、さっそくおとぼけ発言を披露する友樹だったが、しっかり者の薫の姿に、護も満足げ。そして担任の杉下(六角慎司)からは、お父さんやお母さんの仕事についてどんなことでもよいので調べてくるようにと宿題が出る。子供たちは家族の「お仕事調査隊」の隊員となって、調査結果を学校で発表することになった。日曜参観の帰り道、かな(滝沢沙織)から護に電話があり、ランチに誘われる。「もちろん!」と即答する護だが、まだ、かなに双子の存在を話せないでいた。一方、「お仕事調査隊」としてやる気まんまんの双子。ノートを片手に芸能レポーターの装いで風呂上がりの護に仕事内容を突撃している。しかし、護はかなとのメールのやりとりに夢中で、ぼんやりした答えばかり。護の会社に行ってみたいと薫は話すが、かなはもちろんのこと会社にも双子のことは秘密にしているため、だめの一点張り。  　そんなある日、日曜参観の振り替え休日で平日がお休みになった双子は、「お仕事調査隊」の仕事をまっとうするため、出社する護を尾行して・・・?</t>
  </si>
  <si>
    <t>番組名&lt;ドラマチックサンデー&gt;マルモのおきて　#09</t>
  </si>
  <si>
    <t>護(阿部サダヲ)は、ボーナスが出るのでいつになく機嫌がいい。朝から夕飯のことが気になっている友樹(鈴木福)に夕食の献立を聞かれて、護は双子に週末はおいしいものを食べに行こうと話す。そして、ボーナスでふたりに新しい服もプレゼントすることを決めていた。あけぼの文具の同僚にもふたりにどんな服をプレゼントするのがいいか相談をして、護はとてもうれしそうだ。一方、居酒屋「くじら」には彩(比嘉愛未)の元旦那である達也(田中幸太朗)から電話が入っていた。ある日、同級生の女の子・まなみ(本田望結)と女の子だけで遊ぶ約束をした薫(芦田愛菜)は、友樹と別行動をしていた。夕飯の時間が近くなって、まなみの家を出た薫は、雨あがりの水たまりをひとり楽しそうに歩いて帰宅。その時、双子が幼いときに家を出て離婚した実の母親・あゆみ(鶴田真由)が、たまたま薫の姿を見つけた。一方、護は、会社から戻っても薫が帰っていなかったので、薫を迎えに、友樹と一緒にまなみの家に行く。友樹の頼りないガイドでまなみの家にやっとの思いでたどり着くも、薫はずいぶん前に家を出たと言われる。思い当たる場所を探していると、歩道に薫の名前の書かれた傘が落ちていて・・・?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</si>
  <si>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護(阿部サダヲ)は、ボーナスが出るのでいつになく機嫌がいい。朝から夕飯のことが気になっている友樹(鈴木福)に夕食の献立を聞かれて、護は双子に週末はおいしいものを食べに行こうと話す。そして、ボーナスでふたりに新しい服もプレゼントすることを決めていた。あけぼの文具の同僚にもふたりにどんな服をプレゼントするのがいいか相談をして、護はとてもうれしそうだ。一方、居酒屋「くじら」には彩(比嘉愛未)の元旦那である達也(田中幸太朗)から電話が入っていた。ある日、同級生の女の子・まなみ(本田望結)と女の子だけで遊ぶ約束をした薫(芦田愛菜)は、友樹と別行動をしていた。夕飯の時間が近くなって、まなみの家を出た薫は、雨あがりの水たまりをひとり楽しそうに歩いて帰宅。その時、双子が幼いときに家を出て離婚した実の母親・あゆみ(鶴田真由)が、たまたま薫の姿を見つけた。一方、護は、会社から戻っても薫が帰っていなかったので、薫を迎えに、友樹と一緒にまなみの家に行く。友樹の頼りないガイドでまなみの家にやっとの思いでたどり着くも、薫はずいぶん前に家を出たと言われる。思い当たる場所を探していると、歩道に薫の名前の書かれた傘が落ちていて・・・?</t>
  </si>
  <si>
    <t>番組名&lt;ドラマチックサンデー&gt;マルモのおきて　#10</t>
  </si>
  <si>
    <t>薫(芦田愛菜)と友樹(鈴木福)はもうすぐ運動会。学校で行われた運動会の説明会には、仕事で行けなかった護(阿部サダヲ)の代わりに陽介(世良公則)が出席した。運動会で子供達が踊る「アイアイ」のダンスを、保護者のみなさんも覚えてくださいと言われ習ってきた陽介から、護も踊り方を習う。あけぼの文具の同僚は、護が双子の運動会を楽しみにしていることを知り、双子応援グッズを持ち寄る。一方、お客様相談室室長の鮫島(伊武雅刀)からは、商品開発のセクションに異動の話があり、考えてくれないかと言われる。ある夜、薫は護にママがどんな人だったのかを尋ねる。護は美人だったと教えるが・・・。双子の実の母・あゆみ(鶴田真由)が、護に話があると連絡を入れてくる。ある日、護たちが不在時、ムックの飼い主だと名乗って老夫婦が居酒屋クジラを訪ねてきて・・・。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</si>
  <si>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薫(芦田愛菜)と友樹(鈴木福)はもうすぐ運動会。学校で行われた運動会の説明会には、仕事で行けなかった護(阿部サダヲ)の代わりに陽介(世良公則)が出席した。運動会で子供達が踊る「アイアイ」のダンスを、保護者のみなさんも覚えてくださいと言われ習ってきた陽介から、護も踊り方を習う。あけぼの文具の同僚は、護が双子の運動会を楽しみにしていることを知り、双子応援グッズを持ち寄る。一方、お客様相談室室長の鮫島(伊武雅刀)からは、商品開発のセクションに異動の話があり、考えてくれないかと言われる。ある夜、薫は護にママがどんな人だったのかを尋ねる。護は美人だったと教えるが・・・。双子の実の母・あゆみ(鶴田真由)が、護に話があると連絡を入れてくる。ある日、護たちが不在時、ムックの飼い主だと名乗って老夫婦が居酒屋クジラを訪ねてきて・・・。</t>
  </si>
  <si>
    <t>1101_CX_月21</t>
  </si>
  <si>
    <t>大切なことはすべて君が教えてくれた</t>
  </si>
  <si>
    <t>番組名大切なことはすべて君が教えてくれた　#01</t>
  </si>
  <si>
    <t>上村夏実(戸田恵梨香)は、私立明稜学園高等学校の英語教師。1年生のクラス担任で、バスケットボール部の顧問を務めている。  　柏木修二(三浦春馬)は、夏実の同僚で2年生のクラス担任を務める生物教師。修二は、真面目で思慮深く、物事を真剣に考えるタイプで、生徒はもちろん、保護者たちからも絶大な支持を得ていた。  　高校・大学の同級生だった夏実と修二は、3カ月後に結婚式を挙げる予定だ。結婚式は、ふたりの大学時代の同級生で、人気ウエディング・プランナーの東堂さやか(篠田麻里子)が手がける。  　新学期が始まる朝、目を覚ました修二は、隣に見知らぬ若い女性が裸で眠っていることに気づく。遅刻しそうだった修二は、素性のわからない女性を部屋に残していくことに抵抗を感じながらも、部屋の鍵を手渡して慌てて家を飛び出す。  　修二は、平静を装って登校する。職員室には、教頭の鶴岡悟司(風間杜夫)をはじめ、2年生の学年主任で2組の担任・中西佳史(西村雅彦)らの姿があり、慌ただしく準備をしていた。  　2年1組の出席をとった修二は、佐伯ひかり(武井咲)と園田望未(剛力彩芽)がまだ登校していないことを知る。するとそのとき、佐伯ひかりが教室に入ってきた。  　修二は、始業式が行われる体育館に移動するよう、生徒たちに指示した。そのとき、ひかりは、ふいに修二を呼びとめると、手の中にあったものを見せた。それは修二の部屋の鍵だった。戸田恵梨香　  三浦春馬　  武井咲　  菅田将暉　  剛力彩芽　  篠田麻里子　  内田有紀　  西村雅彦　  風間杜夫　    ほか【脚本】  安達奈緒子【プロデュース】  増本淳　  清水一幸　    【演出】  西浦正記　  葉山裕記林ゆうき  【主題歌】「EXIT」ポルノグラフィティ【劇中使用曲】P!NK「グレイテスト・ヒッツ」より</t>
  </si>
  <si>
    <t>上村夏実(戸田恵梨香)は、私立明稜学園高等学校の英語教師。1年生のクラス担任で、バスケットボール部の顧問を務めている。  　柏木修二(三浦春馬)は、夏実の同僚で2年生のクラス担任を務める生物教師。修二は、真面目で思慮深く、物事を真剣に考えるタイプで、生徒はもちろん、保護者たちからも絶大な支持を得ていた。  　高校・大学の同級生だった夏実と修二は、3カ月後に結婚式を挙げる予定だ。結婚式は、ふたりの大学時代の同級生で、人気ウエディング・プランナーの東堂さやか(篠田麻里子)が手がける。  　新学期が始まる朝、目を覚ました修二は、隣に見知らぬ若い女性が裸で眠っていることに気づく。遅刻しそうだった修二は、素性のわからない女性を部屋に残していくことに抵抗を感じながらも、部屋の鍵を手渡して慌てて家を飛び出す。  　修二は、平静を装って登校する。職員室には、教頭の鶴岡悟司(風間杜夫)をはじめ、2年生の学年主任で2組の担任・中西佳史(西村雅彦)らの姿があり、慌ただしく準備をしていた。  　2年1組の出席をとった修二は、佐伯ひかり(武井咲)と園田望未(剛力彩芽)がまだ登校していないことを知る。するとそのとき、佐伯ひかりが教室に入ってきた。  　修二は、始業式が行われる体育館に移動するよう、生徒たちに指示した。そのとき、ひかりは、ふいに修二を呼びとめると、手の中にあったものを見せた。それは修二の部屋の鍵だった。</t>
  </si>
  <si>
    <t>番組名大切なことはすべて君が教えてくれた　#02</t>
  </si>
  <si>
    <t>上村夏実(戸田恵梨香)と柏木修二(三浦春馬)は、共通の友人でもあるウエディングプランナーの東堂さやか(篠田麻里子)と相談しながら結婚式の準備を進めていた。だが修二は、教え子の佐伯ひかり(武井咲)と関係を持ってしまったことが心に重くのしかかり、式場のパンフレットを広げていても何も目に入らなかった。  　ある日、夏実が顧問を務めるバスケットボール部にひかりがやってくる。バスケットボール部に入部したいのだという。夏実は、2年生でしかもまったくの初心者のひかりに一瞬戸惑うが、すぐに笑顔を見せて入部を許可すると、さっそく一緒に基本練習を始めた。そんなふたりの姿を目撃した修二は、動揺を隠せない。ほどなく、修二のもとにやってきたひかりは、バスケットボール部に入ったことを報告した。その際、ひかりは、夏実に憧れている、などと言うと、ポケットから携帯電話を取り出して修二に見せた。その画面にあったのは、修二の寝顔とヤケドの跡が残ったひかりの手首が写っている写真だった。ひかりは、修二の心を見透かしたような笑みを見せ、夏実には見せないから大丈夫、と告げた。  　休日、夏実と修二はウエディングドレスを見に行く。試着室からなかなか出てこない夏実を心配した修二がカーテンを開けると、悲痛な面持ちで固まっている夏実がいた…。戸田恵梨香　  三浦春馬　  武井咲　  篠田麻里子　  内田有紀　  西村雅彦　  風間杜夫　    ほか【脚本】  安達奈緒子【プロデュース】  増本淳　  清水一幸    【演出】  西浦正記　  葉山裕記林ゆうき  【主題歌】「EXIT」ポルノグラフィティ【劇中使用曲】P!NK「グレイテスト・ヒッツ」より</t>
  </si>
  <si>
    <t>上村夏実(戸田恵梨香)と柏木修二(三浦春馬)は、共通の友人でもあるウエディングプランナーの東堂さやか(篠田麻里子)と相談しながら結婚式の準備を進めていた。だが修二は、教え子の佐伯ひかり(武井咲)と関係を持ってしまったことが心に重くのしかかり、式場のパンフレットを広げていても何も目に入らなかった。  　ある日、夏実が顧問を務めるバスケットボール部にひかりがやってくる。バスケットボール部に入部したいのだという。夏実は、2年生でしかもまったくの初心者のひかりに一瞬戸惑うが、すぐに笑顔を見せて入部を許可すると、さっそく一緒に基本練習を始めた。そんなふたりの姿を目撃した修二は、動揺を隠せない。ほどなく、修二のもとにやってきたひかりは、バスケットボール部に入ったことを報告した。その際、ひかりは、夏実に憧れている、などと言うと、ポケットから携帯電話を取り出して修二に見せた。その画面にあったのは、修二の寝顔とヤケドの跡が残ったひかりの手首が写っている写真だった。ひかりは、修二の心を見透かしたような笑みを見せ、夏実には見せないから大丈夫、と告げた。  　休日、夏実と修二はウエディングドレスを見に行く。試着室からなかなか出てこない夏実を心配した修二がカーテンを開けると、悲痛な面持ちで固まっている夏実がいた…。</t>
  </si>
  <si>
    <t>番組名大切なことはすべて君が教えてくれた　#03</t>
  </si>
  <si>
    <t>夏実(戸田恵梨香)は、婚約者の修二(三浦春馬)が教え子のひかり(武井咲)と一夜を過ごしたことを知る。ひかりが携帯電話で撮影した修二の写真を、夏実に送りつけたのだ。修二と会った夏実は、結婚はどうするのか、と問いただす。しかし、修二は何も答えることができない。するとそこに、夏実の父・克実(新井康弘)が倒れたという連絡が入る。入院先の総合病院に到着した夏実たちは、克実がヘルニアで運ばれたことを知る。克実は元気そうで、この機会に手術を受けるつもりだと笑った。夏実たちは安心して、病室を後にした。修二は、医師に挨拶をしてくる、という夏実と一旦別れて、エレベーターで階下に降りた。すると修二の前に、ひかりと看護師の亜弥(内田有紀)が現れる。ひかりは、同じ総合病院の婦人科に通っていたのだ。ひかりは、この人が関係を持った相手だ、と亜弥に打ち明ける。そこに、夏実が戻ってきた。ひかりは、2人が婚約中であることを亜弥に告げた。  　修二は、夏実をマンションまで送る。別れ際、修二は、これからのことは夏実の気持ちで決めていいから、と告げる。夏実は、そんな修二に、なぜ結婚を止めることも修二を許すことも自分が決めなければならないのか、と言い放つ。しかし、修二はただ謝ることしかできなかった。あくる日、学食で昼食をとっていた修二の前にやってきたひかりは、ある宣言をする…。戸田恵梨香　  三浦春馬　  武井咲　  篠田麻里子　  内田有紀　  西村雅彦　  風間杜夫　    ほか【脚本】  安達奈緒子【プロデュース】  増本淳　  清水一幸　    【演出】  西浦正記　  葉山裕記林ゆうき  【主題歌】「EXIT」ポルノグラフィティ【劇中使用曲】P!NK「グレイテスト・ヒッツ」より</t>
  </si>
  <si>
    <t>夏実(戸田恵梨香)は、婚約者の修二(三浦春馬)が教え子のひかり(武井咲)と一夜を過ごしたことを知る。ひかりが携帯電話で撮影した修二の写真を、夏実に送りつけたのだ。修二と会った夏実は、結婚はどうするのか、と問いただす。しかし、修二は何も答えることができない。するとそこに、夏実の父・克実(新井康弘)が倒れたという連絡が入る。入院先の総合病院に到着した夏実たちは、克実がヘルニアで運ばれたことを知る。克実は元気そうで、この機会に手術を受けるつもりだと笑った。夏実たちは安心して、病室を後にした。修二は、医師に挨拶をしてくる、という夏実と一旦別れて、エレベーターで階下に降りた。すると修二の前に、ひかりと看護師の亜弥(内田有紀)が現れる。ひかりは、同じ総合病院の婦人科に通っていたのだ。ひかりは、この人が関係を持った相手だ、と亜弥に打ち明ける。そこに、夏実が戻ってきた。ひかりは、2人が婚約中であることを亜弥に告げた。  　修二は、夏実をマンションまで送る。別れ際、修二は、これからのことは夏実の気持ちで決めていいから、と告げる。夏実は、そんな修二に、なぜ結婚を止めることも修二を許すことも自分が決めなければならないのか、と言い放つ。しかし、修二はただ謝ることしかできなかった。あくる日、学食で昼食をとっていた修二の前にやってきたひかりは、ある宣言をする…。</t>
  </si>
  <si>
    <t>番組名大切なことはすべて君が教えてくれた　#04</t>
  </si>
  <si>
    <t>教頭の鶴岡(風間杜夫)から、ひかり(武井咲)が家に戻っていないと聞いた修二(三浦春馬)は、ひかりが、あの夜、自分と出会ったバーにいるのではないかと思い、駆けつける。ひかりは、いきなり修二が現れたことに驚くが、本当の君に会いたかったから来た、という修二の言葉を聞いて涙を流す。修二が来てくれただけで十分だと思ったひかりは、あの夜のことはなかったことにする、と言って微笑んだ。ひかりを家まで送り届けた修二は、携帯電話に夏実(戸田恵梨香)からの着信が数十件もあったことに驚く。夏実の元へと急いだ修二は、ひかりと会っていたことを打ち明けた。すると夏実は、あの子の話なんか聞きたくないと激しく取り乱す。  　あくる日、バスケ部の練習を終えたひかりは、修二のことが大事だからあの夜のことはなかったことにする、と夏実に告げる。その夜、帰宅した夏実は、さやか(篠田麻里子)と一緒に、結婚式の招待客から戻ってきた出欠のハガキを整理していた。友人たちからのお祝いのメッセージを読んでいるうちに堪え切れなくなった夏実は、修二とは目も合わせられず聞きたいことがあっても聞けない、と言い出す。さやかから理由を聞かれた夏実は、修二が生徒と関係を持ったことを告白する。  　そして、修二に大きなピンチが訪れる…。戸田恵梨香　  三浦春馬　  武井咲　  篠田麻里子　  内田有紀　  西村雅彦　  風間杜夫　    ほか【脚本】  安達奈緒子【プロデュース】  増本淳　  清水一幸　    【演出】  西浦正記　  葉山裕記林ゆうき  【主題歌】「EXIT」ポルノグラフィティ【劇中使用曲】P!NK「グレイテスト・ヒッツ」より</t>
  </si>
  <si>
    <t>教頭の鶴岡(風間杜夫)から、ひかり(武井咲)が家に戻っていないと聞いた修二(三浦春馬)は、ひかりが、あの夜、自分と出会ったバーにいるのではないかと思い、駆けつける。ひかりは、いきなり修二が現れたことに驚くが、本当の君に会いたかったから来た、という修二の言葉を聞いて涙を流す。修二が来てくれただけで十分だと思ったひかりは、あの夜のことはなかったことにする、と言って微笑んだ。ひかりを家まで送り届けた修二は、携帯電話に夏実(戸田恵梨香)からの着信が数十件もあったことに驚く。夏実の元へと急いだ修二は、ひかりと会っていたことを打ち明けた。すると夏実は、あの子の話なんか聞きたくないと激しく取り乱す。  　あくる日、バスケ部の練習を終えたひかりは、修二のことが大事だからあの夜のことはなかったことにする、と夏実に告げる。その夜、帰宅した夏実は、さやか(篠田麻里子)と一緒に、結婚式の招待客から戻ってきた出欠のハガキを整理していた。友人たちからのお祝いのメッセージを読んでいるうちに堪え切れなくなった夏実は、修二とは目も合わせられず聞きたいことがあっても聞けない、と言い出す。さやかから理由を聞かれた夏実は、修二が生徒と関係を持ったことを告白する。  　そして、修二に大きなピンチが訪れる…。</t>
  </si>
  <si>
    <t>番組名大切なことはすべて君が教えてくれた　#05</t>
  </si>
  <si>
    <t>佐伯ひかり(武井咲)と一夜をすごしたことが学校にばれた柏木修二(三浦春馬)は登校時に生徒たちの罵声を浴びるが、夏実(戸田恵梨香)がかばう。職員室で教頭の鶴岡(風間杜夫)が修二に処分が出るまでは学校に出てくるよう言う。何か事情があったのではと聞く鶴岡に対して、修二は、ひかりの気持ちをもてあそび、関係を持ったとかたくなな態度を変えない。夕方、1人で修二が自転車で帰ろうとすると、夏実が立っていた。夏実は、あの夜、本当は何があったのか聞くが、ひかりと自分の部屋で一夜を持ったことを否定しない。修二と別れた夏実は修二の実家の柏木酒店に向かう。兄の孝一(新井浩文)に柏木家に関するある秘密を打ち明けられた夏実は、自分の知らない修二がいることに気づく。夏実は修二が生徒と寝たことを打ち明ける。  　大学付属病院の婦人科で看護師の亜弥(内田有紀)から薬を受け取るひかりの前に夏実が現れる。夏実は修二と会った夜のことをひかりに聞こうとするが、気分が悪くなり、結局、ひかりに話を聞けない。  　翌朝。職員室に修二が担当する2年1組の生徒たちが押しかける。修二を批判し、問い詰める生徒たちに「佐伯さんを女性として見た。だから、関係を持った」と修二が言い切ると、生徒たちは静まり返る。すると、ひかりが「違う!」と叫び…。戸田恵梨香　  三浦春馬　  武井咲　  篠田麻里子　  内田有紀　  西村雅彦　  風間杜夫　    ほか【脚本】  安達奈緒子【プロデュース】  増本淳　  清水一幸　    【演出】  西浦正記　  葉山裕記林ゆうき  【主題歌】「EXIT」ポルノグラフィティ【劇中使用曲】P!NK「グレイテスト・ヒッツ」より</t>
  </si>
  <si>
    <t>佐伯ひかり(武井咲)と一夜をすごしたことが学校にばれた柏木修二(三浦春馬)は登校時に生徒たちの罵声を浴びるが、夏実(戸田恵梨香)がかばう。職員室で教頭の鶴岡(風間杜夫)が修二に処分が出るまでは学校に出てくるよう言う。何か事情があったのではと聞く鶴岡に対して、修二は、ひかりの気持ちをもてあそび、関係を持ったとかたくなな態度を変えない。夕方、1人で修二が自転車で帰ろうとすると、夏実が立っていた。夏実は、あの夜、本当は何があったのか聞くが、ひかりと自分の部屋で一夜を持ったことを否定しない。修二と別れた夏実は修二の実家の柏木酒店に向かう。兄の孝一(新井浩文)に柏木家に関するある秘密を打ち明けられた夏実は、自分の知らない修二がいることに気づく。夏実は修二が生徒と寝たことを打ち明ける。  　大学付属病院の婦人科で看護師の亜弥(内田有紀)から薬を受け取るひかりの前に夏実が現れる。夏実は修二と会った夜のことをひかりに聞こうとするが、気分が悪くなり、結局、ひかりに話を聞けない。  　翌朝。職員室に修二が担当する2年1組の生徒たちが押しかける。修二を批判し、問い詰める生徒たちに「佐伯さんを女性として見た。だから、関係を持った」と修二が言い切ると、生徒たちは静まり返る。すると、ひかりが「違う!」と叫び…。</t>
  </si>
  <si>
    <t>番組名大切なことはすべて君が教えてくれた　#06</t>
  </si>
  <si>
    <t>佐伯ひかり(武井咲)の告白により、柏木修二(三浦春馬)とあの夜、関係を持っていないことが判明した。だが、上村夏実(戸田恵梨香)は修二のひかりに対する思いを知り、結婚を取り止めようと決意する。  　朝のホームルーム。担当する2年1組の生徒の前で、修二は半年間、謹慎することを告げる。生徒の反応は様々だ。夕方。夏実は正門への坂道で修二を待ち伏せする。「結婚式をキャンセルしたって?」と聞く修二に、夏実は万感の思いを込めて「さよなら」と告げる。  　6カ月後。修二は実家の酒店を手伝っている。髪はボサボサで精気がない。来週から学校に復帰するというのに元気がない修二を両親が心配する。  　繁華街のカフェで夏実と亜弥(内田有紀)が待ち合わせをする。亜弥は修二の子どもを身ごもっている夏実を気遣う。修二はまだ夏実が妊娠していることを知らない。  　修二は半年の謹慎が解け、明稜学園高等学校に向かう。誰もいないはずの朝の職員室には夏実の姿があった。「会いたかった」と喜ぶ夏実に修二は戸惑いを隠せない。  　教頭の鶴岡(風間杜夫)は修二にひかりが2学期いっぱいで他の高校に転校すると伝えた。駅の改札口で修二はひかりと母親の由梨(宮本裕子)と会う。母親から離れて修二と2人になったひかりは事故のときに感じたことを告白する。  　翌日の夕方の理科実験準備室。夏実が妊娠していることを修二に告げると…。戸田恵梨香　  三浦春馬　  武井咲　  篠田麻里子　  内田有紀　  西村雅彦　  風間杜夫　    ほか【脚本】  安達奈緒子【プロデュース】  増本淳　  清水一幸　    【演出】  西浦正記　  葉山裕記林ゆうき  【主題歌】「EXIT」ポルノグラフィティ【劇中使用曲】P!NK「グレイテスト・ヒッツ」より</t>
  </si>
  <si>
    <t>佐伯ひかり(武井咲)の告白により、柏木修二(三浦春馬)とあの夜、関係を持っていないことが判明した。だが、上村夏実(戸田恵梨香)は修二のひかりに対する思いを知り、結婚を取り止めようと決意する。  　朝のホームルーム。担当する2年1組の生徒の前で、修二は半年間、謹慎することを告げる。生徒の反応は様々だ。夕方。夏実は正門への坂道で修二を待ち伏せする。「結婚式をキャンセルしたって?」と聞く修二に、夏実は万感の思いを込めて「さよなら」と告げる。  　6カ月後。修二は実家の酒店を手伝っている。髪はボサボサで精気がない。来週から学校に復帰するというのに元気がない修二を両親が心配する。  　繁華街のカフェで夏実と亜弥(内田有紀)が待ち合わせをする。亜弥は修二の子どもを身ごもっている夏実を気遣う。修二はまだ夏実が妊娠していることを知らない。  　修二は半年の謹慎が解け、明稜学園高等学校に向かう。誰もいないはずの朝の職員室には夏実の姿があった。「会いたかった」と喜ぶ夏実に修二は戸惑いを隠せない。  　教頭の鶴岡(風間杜夫)は修二にひかりが2学期いっぱいで他の高校に転校すると伝えた。駅の改札口で修二はひかりと母親の由梨(宮本裕子)と会う。母親から離れて修二と2人になったひかりは事故のときに感じたことを告白する。  　翌日の夕方の理科実験準備室。夏実が妊娠していることを修二に告げると…。</t>
  </si>
  <si>
    <t>番組名大切なことはすべて君が教えてくれた　#07</t>
  </si>
  <si>
    <t>朝、職員室で夏実(戸田恵梨香)は教頭の鶴岡(風間杜夫)をはじめ同僚教師に、出産はするが修二(三浦春馬)とは結婚しないと言い切る。修二の態度は煮え切らないが、夏実が修二に妊娠を告げたのは昨日だと告げると、同僚教師たちは驚く。鶴岡は、夏実が結婚せずに出産することを生徒に伝えるのは控えると言う。  　放課後、渡り廊下で修二と会ったひかり(武井咲)は「進路希望に何を書けばいいんだろう」とつぶやく。「10年後、何をしていたいか書けばいい」という修二に「考えとく」と言って去る。  　夕方の英語科準備室。修二は「父親になれないかな?」と夏実に聞くが、夏実はきっぱり否定する。そして、夏実は修二のひかりへの思いを知り、戸惑う。  　ひかりは看護師の亜弥(内田有紀)が勤める病院に行き、病院を変わる準備をする。偶然、亜弥が夏実と電話で話しているのを聞いてしまったひかりは夏実が妊娠しているのを知って驚く。　翌朝、理科実験室を訪れたひかりは、実験器具を整理している修二に夏実が妊娠していることを確かめる。夏実の妊娠を認めた修二にひかりは…。戸田恵梨香　  三浦春馬　  武井咲　  篠田麻里子　  内田有紀　  西村雅彦　  風間杜夫　    ほか【脚本】  安達奈緒子【プロデュース】  増本淳　  清水一幸　    【演出】  西浦正記　  葉山裕記林ゆうき  【主題歌】「EXIT」ポルノグラフィティ【劇中使用曲】P!NK「グレイテスト・ヒッツ」より</t>
  </si>
  <si>
    <t>朝、職員室で夏実(戸田恵梨香)は教頭の鶴岡(風間杜夫)をはじめ同僚教師に、出産はするが修二(三浦春馬)とは結婚しないと言い切る。修二の態度は煮え切らないが、夏実が修二に妊娠を告げたのは昨日だと告げると、同僚教師たちは驚く。鶴岡は、夏実が結婚せずに出産することを生徒に伝えるのは控えると言う。  　放課後、渡り廊下で修二と会ったひかり(武井咲)は「進路希望に何を書けばいいんだろう」とつぶやく。「10年後、何をしていたいか書けばいい」という修二に「考えとく」と言って去る。  　夕方の英語科準備室。修二は「父親になれないかな?」と夏実に聞くが、夏実はきっぱり否定する。そして、夏実は修二のひかりへの思いを知り、戸惑う。  　ひかりは看護師の亜弥(内田有紀)が勤める病院に行き、病院を変わる準備をする。偶然、亜弥が夏実と電話で話しているのを聞いてしまったひかりは夏実が妊娠しているのを知って驚く。　翌朝、理科実験室を訪れたひかりは、実験器具を整理している修二に夏実が妊娠していることを確かめる。夏実の妊娠を認めた修二にひかりは…。</t>
  </si>
  <si>
    <t>番組名大切なことはすべて君が教えてくれた　#08</t>
  </si>
  <si>
    <t>夜、柏木修二(三浦春馬)は実家の柏木酒店の角内スペースで、兄の孝一(新井浩文)と話をしている。修二は孝一から夏実(戸田恵梨香)につきあっている人がいることを聞いて驚く。  　理科実験準備室で授業の準備をしている修二のところに夏実がやって来て、結婚を考えている人がいることを打ち明ける。だが、迷っているとも言う。　英語科準備室で夏実が帰り支度をしていると、バスケット部の平岡直輝(菅田将暉)が急に入ってきて、夏実の母子手帳を見てしまう。偶然、夏実と直輝のやりとりを生徒たちが聞いていた。  　夏実が結婚をせずに出産をすることが生徒や保護者にばれ、修二は教頭の鶴岡(風間杜夫)から、理事長が修二の処分を依願退職の方向で検討していることを告げる。　理事会で、修二の処分を廻り、喧々諤々と議論が交わされている。理事長が修二の辞表を受理することを提案すると理事らは一同、賛同する。辞表を提出するよう言われた修二は立ち上がり…。戸田恵梨香　  三浦春馬　  武井咲　  篠田麻里子　  内田有紀　  西村雅彦　  風間杜夫　    ほか【脚本】  安達奈緒子【プロデュース】  増本淳　  清水一幸　    【演出】  西浦正記　  葉山裕記林ゆうき  【主題歌】「EXIT」ポルノグラフィティ【劇中使用曲】P!NK「グレイテスト・ヒッツ」より</t>
  </si>
  <si>
    <t>夜、柏木修二(三浦春馬)は実家の柏木酒店の角内スペースで、兄の孝一(新井浩文)と話をしている。修二は孝一から夏実(戸田恵梨香)につきあっている人がいることを聞いて驚く。  　理科実験準備室で授業の準備をしている修二のところに夏実がやって来て、結婚を考えている人がいることを打ち明ける。だが、迷っているとも言う。　英語科準備室で夏実が帰り支度をしていると、バスケット部の平岡直輝(菅田将暉)が急に入ってきて、夏実の母子手帳を見てしまう。偶然、夏実と直輝のやりとりを生徒たちが聞いていた。  　夏実が結婚をせずに出産をすることが生徒や保護者にばれ、修二は教頭の鶴岡(風間杜夫)から、理事長が修二の処分を依願退職の方向で検討していることを告げる。　理事会で、修二の処分を廻り、喧々諤々と議論が交わされている。理事長が修二の辞表を受理することを提案すると理事らは一同、賛同する。辞表を提出するよう言われた修二は立ち上がり…。</t>
  </si>
  <si>
    <t>番組名大切なことはすべて君が教えてくれた　#09</t>
  </si>
  <si>
    <t>柏木修二(三浦春馬)は私立明稜学園を解雇されることになった。2学期も残り1週間なので、終業式まで務めてもらうと教頭の鶴岡(風間杜夫)が職員に告げる。  　バスケット部の顧問は夏実(戸田恵梨香)から同僚の金子雅代(能世あんな)に引き継がれることになった。休職することになった夏実は、結婚せずに出産するのが不道徳ならそう決断した自分も解雇されるべきではないかと思い悩む。そんな夏実に鶴岡教頭は優しい言葉をかける。  　佐伯ひかり(武井咲)が母親の由梨(宮本裕子)を旅行に誘う。死んだ姉のゆかりとの旅行をやり直したいというのだ。由梨は戸惑いの表情を浮かべる。  　放課後の教室で修二が進路についてひかりを面談する。ひかりは来週が姉の命日だから、4年前の旅行をやり直したいと言う。母親の由梨と看護師の亜弥(内田有紀)を誘っているという。  　2学期の終業式。修二はクラス担任として2年1組の生徒に1人ずつ通知表を手渡し、生徒たちに語りかける。修二にとって生徒たちへの最後の言葉だ。  　引っ越し先のアパートに向かう修二は駅の近くで、ひかりを見かける。上野駅から寝台列車で旅行に行くという。修二は上野駅までひかりを送ることにする。戸田恵梨香　  三浦春馬　  武井咲　  篠田麻里子(AKB48)　  内田有紀　  西村雅彦　  風間杜夫　    ほか【脚本】  安達奈緒子【プロデュース】  増本淳　  清水一幸　    【演出】  西浦正記　  葉山裕記林ゆうき  【主題歌】「EXIT」ポルノグラフィティ【劇中使用曲】P!NK「グレイテスト・ヒッツ」より</t>
  </si>
  <si>
    <t>柏木修二(三浦春馬)は私立明稜学園を解雇されることになった。2学期も残り1週間なので、終業式まで務めてもらうと教頭の鶴岡(風間杜夫)が職員に告げる。  　バスケット部の顧問は夏実(戸田恵梨香)から同僚の金子雅代(能世あんな)に引き継がれることになった。休職することになった夏実は、結婚せずに出産するのが不道徳ならそう決断した自分も解雇されるべきではないかと思い悩む。そんな夏実に鶴岡教頭は優しい言葉をかける。  　佐伯ひかり(武井咲)が母親の由梨(宮本裕子)を旅行に誘う。死んだ姉のゆかりとの旅行をやり直したいというのだ。由梨は戸惑いの表情を浮かべる。  　放課後の教室で修二が進路についてひかりを面談する。ひかりは来週が姉の命日だから、4年前の旅行をやり直したいと言う。母親の由梨と看護師の亜弥(内田有紀)を誘っているという。  　2学期の終業式。修二はクラス担任として2年1組の生徒に1人ずつ通知表を手渡し、生徒たちに語りかける。修二にとって生徒たちへの最後の言葉だ。  　引っ越し先のアパートに向かう修二は駅の近くで、ひかりを見かける。上野駅から寝台列車で旅行に行くという。修二は上野駅までひかりを送ることにする。</t>
  </si>
  <si>
    <t>番組名大切なことはすべて君が教えてくれた　#10</t>
  </si>
  <si>
    <t>2学期の終業式が終わった後、夏実(戸田恵梨香)と修二(三浦春馬)は翌日会うことを約束した。だが、修二は街で、旅に出ようとするひかり(武井咲)と偶然会い、ひかりの寝台特急での旅に途中まで同行することになる。行先は札幌だ。ひかりは修二に「先生、どこまで行くの」と聞くが「戻れるところで戻るよ」と夏実との約束は守るようだ。  　夏実もそんな修二を信頼しており、修二を批判するひかりの母・由梨(宮本裕子)に対して「柏木先生はお母さんの代わりに行ったのかもしれません」と修二を擁護する。  　寝台特急の中で、修二とひかりは本音で話し合う。修二は早朝、ひかりからお願いされ、函館駅で降りることにする。そして、函館駅で修二は…。    　夏実と修二の「試される愛」の行方は?そして、旅を終えたひかりは…?戸田恵梨香　  三浦春馬　  武井咲　  篠田麻里子(AKB48)　  内田有紀　  西村雅彦　  風間杜夫　  ほか【脚本】  安達奈緒子【プロデュース】  増本淳　  清水一幸　    【演出】  西浦正記　  葉山裕記林ゆうき  【主題歌】「EXIT」ポルノグラフィティ【劇中使用曲】P!NK「グレイテスト・ヒッツ」より</t>
  </si>
  <si>
    <t>2学期の終業式が終わった後、夏実(戸田恵梨香)と修二(三浦春馬)は翌日会うことを約束した。だが、修二は街で、旅に出ようとするひかり(武井咲)と偶然会い、ひかりの寝台特急での旅に途中まで同行することになる。行先は札幌だ。ひかりは修二に「先生、どこまで行くの」と聞くが「戻れるところで戻るよ」と夏実との約束は守るようだ。  　夏実もそんな修二を信頼しており、修二を批判するひかりの母・由梨(宮本裕子)に対して「柏木先生はお母さんの代わりに行ったのかもしれません」と修二を擁護する。  　寝台特急の中で、修二とひかりは本音で話し合う。修二は早朝、ひかりからお願いされ、函館駅で降りることにする。そして、函館駅で修二は…。    　夏実と修二の「試される愛」の行方は?そして、旅を終えたひかりは…?</t>
  </si>
  <si>
    <t>1101_CX_火21</t>
  </si>
  <si>
    <t>CONTROL</t>
  </si>
  <si>
    <t>番組名CONTROL～犯罪心理捜査～　#01</t>
  </si>
  <si>
    <t>大井町署に勤務する熱血刑事・瀬川里央(松下奈緒)は、1カ月追い続けた犯人を発見。追いかけた先で犯人の放った銃弾に倒れるーーー。  　2カ月後、復帰した里央が配属されたのは凶行犯捜査課の中に新設された“分室"。課長の小板橋正次(勝村政信)や杉浦幸造(泉谷しげる)に、里央は“室長"に任命されたことを告げられるが、共に任務に当たるのは稜南大学の心理学教授で厄介な南雲準(藤木直人)しかいなかった。その頃、捜査課では通り魔事件をめぐって里央の同期の寺西景(横山裕)や岩崎幹也(北村有起哉)、江藤真人(与座嘉秋)ら捜査員たちが慌ただしく駆けずり回っていた。ようやく被害者の身元が楠田芳樹(篠田光亮)であることがわかり、両親に遺体確認をしてもらうことになったが、打ちひしがれる両親を前に平然と雑談をする南雲に里央は怒りを露わにする。さらに南雲は鑑識室に向かい、鑑識課課長の木下由紀夫(佐藤二朗)と、写真班の香坂美奈(臼田あさ美)から芳樹を含め3件起きている連続通り魔殺人事件の凶器や死因について詳しく聞く。捜査員の地道な捜査で被害者3人は振り込め詐欺グループの仲間で、最近、金の取り分についてもめていたことがわかった。捜査課は行方不明のリーダーの捜索に入るが、南雲は里央にある人物に会いたいと言い出した…。松下奈緒　  藤木直人　  横山裕　  北村有起哉　  臼田あさ美　  佐藤二朗　  与座嘉秋　  奥村佳恵  　*　  勝村政信　  泉谷しげる　  ほか【脚本】  寺田敏雄　  田辺満　  ほか【演出】  村上正典　  城宝秀則　    【編成企画】  鹿内植　    【プロデュース】  貸川聡子　    【アソシエイトプロデュース】  小椋久雄井筒昭雄　    【主題歌】  「銀河の星屑」桑田佳祐</t>
  </si>
  <si>
    <t>大井町署に勤務する熱血刑事・瀬川里央(松下奈緒)は、1カ月追い続けた犯人を発見。追いかけた先で犯人の放った銃弾に倒れるーーー。  　2カ月後、復帰した里央が配属されたのは凶行犯捜査課の中に新設された“分室"。課長の小板橋正次(勝村政信)や杉浦幸造(泉谷しげる)に、里央は“室長"に任命されたことを告げられるが、共に任務に当たるのは稜南大学の心理学教授で厄介な南雲準(藤木直人)しかいなかった。その頃、捜査課では通り魔事件をめぐって里央の同期の寺西景(横山裕)や岩崎幹也(北村有起哉)、江藤真人(与座嘉秋)ら捜査員たちが慌ただしく駆けずり回っていた。ようやく被害者の身元が楠田芳樹(篠田光亮)であることがわかり、両親に遺体確認をしてもらうことになったが、打ちひしがれる両親を前に平然と雑談をする南雲に里央は怒りを露わにする。さらに南雲は鑑識室に向かい、鑑識課課長の木下由紀夫(佐藤二朗)と、写真班の香坂美奈(臼田あさ美)から芳樹を含め3件起きている連続通り魔殺人事件の凶器や死因について詳しく聞く。捜査員の地道な捜査で被害者3人は振り込め詐欺グループの仲間で、最近、金の取り分についてもめていたことがわかった。捜査課は行方不明のリーダーの捜索に入るが、南雲は里央にある人物に会いたいと言い出した…。</t>
  </si>
  <si>
    <t>番組名CONTROL～犯罪心理捜査～　#02</t>
  </si>
  <si>
    <t>瀬川里央(松下奈緒)は、心理学教授の南雲準(藤木直人)を迎えに稜南大学へ。講義終了後、2人は学内でテレビのコメンテーターとしても活躍している教授の梶間久美(とよた真帆)が殺害された現場に遭遇。やがて捜査課の面々も大学に到着するが、南雲はすでに第一発見者である大学院生の藤田綾子(加藤真弓)と接触を持っていた。南雲が寺西景(横山裕)と共に綾子の話を聞いていると、博士研究員の平山美鈴(田畑智子)がやってきた。綾子を気遣う美鈴。捜査課では捜査会議を分室から眺めるだけの里央。梶間は鋭利な刃物で7カ所も刺されていて、犯人は相当な返り血を浴びているはずなのに目撃者が1人もいないことに捜査課の面々は首を傾げた。そんな中、1カ月前からインターネットの掲示板に梶間の殺人予告ともとれる文章が書き込まれていたことがわかった。一方、南雲は梶間が出した本を読破していた。内容が似ていることや1年間で13冊も出版していることを批判する南雲の話を聞き流す里央。やがて書き込みをしていたのが小柳保(柄本佑)であることがわかり岩崎幹也(北村有起哉)と江藤真人(与座嘉秋)らが部屋に向かった。小柳はやけに素直に任意同行に応じるが、取り調べでは質問に答えようとしない。そして発した言葉は…。やがて、里央や南雲、待機していた寺西らのもとに小柳が犯行を自供したとの知らせが入った。しかし、寺西は何かが引っかかるようで…。松下奈緒　  藤木直人　  横山裕　  北村有起哉　  臼田あさ美　  佐藤二朗　  与座嘉秋　  奥村佳恵  　*　  勝村政信　  泉谷しげる　  ほか【脚本】  寺田敏雄　  田辺満　  ほか【演出】  村上正典　  城宝秀則　    【編成企画】  鹿内植　    【プロデュース】  貸川聡子　    【アソシエイトプロデュース】  小椋久雄井筒昭雄　    【主題歌】  「銀河の星屑」桑田佳祐</t>
  </si>
  <si>
    <t>瀬川里央(松下奈緒)は、心理学教授の南雲準(藤木直人)を迎えに稜南大学へ。講義終了後、2人は学内でテレビのコメンテーターとしても活躍している教授の梶間久美(とよた真帆)が殺害された現場に遭遇。やがて捜査課の面々も大学に到着するが、南雲はすでに第一発見者である大学院生の藤田綾子(加藤真弓)と接触を持っていた。南雲が寺西景(横山裕)と共に綾子の話を聞いていると、博士研究員の平山美鈴(田畑智子)がやってきた。綾子を気遣う美鈴。捜査課では捜査会議を分室から眺めるだけの里央。梶間は鋭利な刃物で7カ所も刺されていて、犯人は相当な返り血を浴びているはずなのに目撃者が1人もいないことに捜査課の面々は首を傾げた。そんな中、1カ月前からインターネットの掲示板に梶間の殺人予告ともとれる文章が書き込まれていたことがわかった。一方、南雲は梶間が出した本を読破していた。内容が似ていることや1年間で13冊も出版していることを批判する南雲の話を聞き流す里央。やがて書き込みをしていたのが小柳保(柄本佑)であることがわかり岩崎幹也(北村有起哉)と江藤真人(与座嘉秋)らが部屋に向かった。小柳はやけに素直に任意同行に応じるが、取り調べでは質問に答えようとしない。そして発した言葉は…。やがて、里央や南雲、待機していた寺西らのもとに小柳が犯行を自供したとの知らせが入った。しかし、寺西は何かが引っかかるようで…。</t>
  </si>
  <si>
    <t>番組名CONTROL～犯罪心理捜査～　#03</t>
  </si>
  <si>
    <t>瀬川里央(松下奈緒)は、小学4年生の立花江美里(笠菜月)が学校のプールに落ちて亡くなった事件の捜査をすることになる。現場では友達3人が江美里をプールに落とすパーカーを着た男を目撃しており、その男は警備員の韮崎和夫(でんでん)も襲って逃げていった。生徒の気持ちを配慮した学校側の要請で捜査に当たることになって張り切る里央だが、南雲準(藤木直人)は子供が苦手とあまり乗り気ではない。2人は江美里を助けにかけつけた教師の秋元恭子(霧島れいか)や友達3人の元を訪ねて事件の状況を聞く。さらに南雲は犯人の逃走経路にも違和感を覚える。一方、捜査課の捜査で小学校付近に2カ月前から不審な男の目撃情報があったことや、韮崎が元警察官であることが判明した。  　韮崎にも確認した子供たちの証言を基に作られたモンタージュが配られ、捜査も進展しているように思えたが、南雲は逃走経路に抱いた謎を払拭できずにいた。里央はなぜその場にいた4人の中で一番体の大きい江美里が狙われたのかが気になっていた。  　そんな中、小板橋正次(勝村政信)の元にモンタージュの男がみつかったとの連絡が入った。男は過去にも小学生女子へのストーカー行為を行った経歴があり、アパートへ向かった岩崎幹也(北村有起哉)らが男を確保。韮崎の証言もとれ、男が犯人と思われたが、南雲と杉浦幸造(泉谷しげる)は納得ができないようで…。松下奈緒　  藤木直人　  横山裕　  北村有起哉　  臼田あさ美　  佐藤二朗　  与座嘉秋　  奥村佳恵  　*　  勝村政信　  泉谷しげる　  ほか【脚本】  寺田敏雄　  田辺満　  ほか【演出】  村上正典　  城宝秀則　    【編成企画】  鹿内植　    【プロデュース】  貸川聡子　    【アソシエイトプロデュース】  小椋久雄井筒昭雄　    【主題歌】  「銀河の星屑」桑田佳祐</t>
  </si>
  <si>
    <t>瀬川里央(松下奈緒)は、小学4年生の立花江美里(笠菜月)が学校のプールに落ちて亡くなった事件の捜査をすることになる。現場では友達3人が江美里をプールに落とすパーカーを着た男を目撃しており、その男は警備員の韮崎和夫(でんでん)も襲って逃げていった。生徒の気持ちを配慮した学校側の要請で捜査に当たることになって張り切る里央だが、南雲準(藤木直人)は子供が苦手とあまり乗り気ではない。2人は江美里を助けにかけつけた教師の秋元恭子(霧島れいか)や友達3人の元を訪ねて事件の状況を聞く。さらに南雲は犯人の逃走経路にも違和感を覚える。一方、捜査課の捜査で小学校付近に2カ月前から不審な男の目撃情報があったことや、韮崎が元警察官であることが判明した。  　韮崎にも確認した子供たちの証言を基に作られたモンタージュが配られ、捜査も進展しているように思えたが、南雲は逃走経路に抱いた謎を払拭できずにいた。里央はなぜその場にいた4人の中で一番体の大きい江美里が狙われたのかが気になっていた。  　そんな中、小板橋正次(勝村政信)の元にモンタージュの男がみつかったとの連絡が入った。男は過去にも小学生女子へのストーカー行為を行った経歴があり、アパートへ向かった岩崎幹也(北村有起哉)らが男を確保。韮崎の証言もとれ、男が犯人と思われたが、南雲と杉浦幸造(泉谷しげる)は納得ができないようで…。</t>
  </si>
  <si>
    <t>番組名CONTROL～犯罪心理捜査～　#04</t>
  </si>
  <si>
    <t>瀬川里央(松下奈緒)が頼まれた資料を届けるためにビリヤード場に向かうと、南雲準(藤木直人)は5年ぶりに会った大学院時代の友人・吾妻政則(原田泰造)とビリヤード対決をしていた。吾妻は途中で負けを認め、自費出版したという推理小説『交換殺人』を渡して去って行く。同じ頃、とあるマンションで檜山聡(猪狩賢二)が何者かに殺害されていた。  檜山の現場検証にやってきた寺西景(横山裕)、杉浦幸造(泉谷しげる)ら。第一発見者である恋人の田崎マユミ(中丸シオン)は部屋の隅で震えていた。その後の捜査で、檜山の高校の同級生で、会社でも部下であった宮田健吾(尾上寛之)が容疑者として浮上。宮田は学生の頃から檜山にいじめられ、会社でもバカにされ、最近では好意を寄せていたマユミも奪われていた。動機も十分であることから任意同行を求め部屋を訪ねるが、宮田は岩崎幹也(北村有起哉)と江藤真人(与座嘉秋)を振り切り、路上に逃げ出したが、その先にいた里央に投げ飛ばされて捕まる。乱闘の際、里央は鼻にパンチを食らってしまう。  取り調べの結果、宮田は犯行を否認。犯行時間はファンである地下アイドルグループの特別オフ会が開かれていて、アイドルの1人と15人のファンと一緒にカラオケに行っていたことが判明した。しかもケンカ沙汰まで起こしていたため、アリバイは完璧だった。南雲はアリバイが完璧すぎることが気になるようで…。松下奈緒　  藤木直人　  横山裕　  北村有起哉　  臼田あさ美　  佐藤二朗　  与座嘉秋　  奥村佳恵  　*　  勝村政信　  泉谷しげる　  ほか【脚本】  寺田敏雄　  田辺満　  中村功一　  ほか【演出】  村上正典　  城宝秀則　    【編成企画】  鹿内植　    【プロデュース】  貸川聡子　    【アソシエイトプロデュース】  小椋久雄井筒昭雄　    【主題歌】  「銀河の星屑」桑田佳祐</t>
  </si>
  <si>
    <t>瀬川里央(松下奈緒)が頼まれた資料を届けるためにビリヤード場に向かうと、南雲準(藤木直人)は5年ぶりに会った大学院時代の友人・吾妻政則(原田泰造)とビリヤード対決をしていた。吾妻は途中で負けを認め、自費出版したという推理小説『交換殺人』を渡して去って行く。同じ頃、とあるマンションで檜山聡(猪狩賢二)が何者かに殺害されていた。  檜山の現場検証にやってきた寺西景(横山裕)、杉浦幸造(泉谷しげる)ら。第一発見者である恋人の田崎マユミ(中丸シオン)は部屋の隅で震えていた。その後の捜査で、檜山の高校の同級生で、会社でも部下であった宮田健吾(尾上寛之)が容疑者として浮上。宮田は学生の頃から檜山にいじめられ、会社でもバカにされ、最近では好意を寄せていたマユミも奪われていた。動機も十分であることから任意同行を求め部屋を訪ねるが、宮田は岩崎幹也(北村有起哉)と江藤真人(与座嘉秋)を振り切り、路上に逃げ出したが、その先にいた里央に投げ飛ばされて捕まる。乱闘の際、里央は鼻にパンチを食らってしまう。  取り調べの結果、宮田は犯行を否認。犯行時間はファンである地下アイドルグループの特別オフ会が開かれていて、アイドルの1人と15人のファンと一緒にカラオケに行っていたことが判明した。しかもケンカ沙汰まで起こしていたため、アリバイは完璧だった。南雲はアリバイが完璧すぎることが気になるようで…。</t>
  </si>
  <si>
    <t>番組名CONTROL～犯罪心理捜査～　#05</t>
  </si>
  <si>
    <t>檜山(猪狩賢二)殺しの件で宮田健吾(尾上寛之)を尾行する瀬川里央(松下奈緒)。宮田を追って宮田が侵入した民家に入るなり悲鳴が…。「誰か死んでいる!」。ベッドには若い女性の死体が横たわっていた。その後の調べで被害者は窪塚倫子(浦田麻緒)・26歳、夫は高校教師の窪塚正義(二階堂智)40歳と判明、宮田は窃盗目的で侵入しただけと供述した。宮田は絶対最初からあの家を目的にしていたと納得のいかない里央。岩崎(北村有起哉)は里央が南雲教授(藤木直人)に影響され、宮田が殺人を遂行すると勝手に思い込んでいたのだとたしなめ、小板橋(勝村政信)も同調する。倫子の遺体確認にやってきた夫の正義。間違いなく自分の妻だと語るとよたよたと座り込んでしまう。正義は杉浦(泉谷しげる)に妻には男友達が多かったと語るが、宮田のことは知らないと証言する。マジックミラー越しにその様子を見ている里央、南雲、小板橋。里央は何かを感じている南雲をチラっと見る。  　南雲は宮田と正義が絶対に互いの存在を知っているとにらむが決め手がなかった。また、これまでに提示されたデータを分析すると、正義が宮田の殺したかった男・檜山を殺し、代わりに宮田が正義の妻・倫子を殺すという仮説が考えられるが、倫子は何者かに殺されていた…。行き詰まる捜査…。そんな中、吾妻政則(原田泰造)の依頼で作られた完全犯罪を伝授するサイトの存在を里央が突き止めて…。松下奈緒　  藤木直人　  横山裕　  北村有起哉　  臼田あさ美　  佐藤二朗　  与座嘉秋　  奥村佳恵  　*　  勝村政信　  泉谷しげる　    ほか【脚本】  寺田敏雄　  田辺満　  中村功一　  ほか【演出】  村上正典　  城宝秀則　    【編成企画】  鹿内植　    【プロデュース】  貸川聡子　    【アソシエイトプロデュース】  小椋久雄井筒昭雄　    【主題歌】  「銀河の星屑」桑田佳祐</t>
  </si>
  <si>
    <t>檜山(猪狩賢二)殺しの件で宮田健吾(尾上寛之)を尾行する瀬川里央(松下奈緒)。宮田を追って宮田が侵入した民家に入るなり悲鳴が…。「誰か死んでいる!」。ベッドには若い女性の死体が横たわっていた。その後の調べで被害者は窪塚倫子(浦田麻緒)・26歳、夫は高校教師の窪塚正義(二階堂智)40歳と判明、宮田は窃盗目的で侵入しただけと供述した。宮田は絶対最初からあの家を目的にしていたと納得のいかない里央。岩崎(北村有起哉)は里央が南雲教授(藤木直人)に影響され、宮田が殺人を遂行すると勝手に思い込んでいたのだとたしなめ、小板橋(勝村政信)も同調する。倫子の遺体確認にやってきた夫の正義。間違いなく自分の妻だと語るとよたよたと座り込んでしまう。正義は杉浦(泉谷しげる)に妻には男友達が多かったと語るが、宮田のことは知らないと証言する。マジックミラー越しにその様子を見ている里央、南雲、小板橋。里央は何かを感じている南雲をチラっと見る。  　南雲は宮田と正義が絶対に互いの存在を知っているとにらむが決め手がなかった。また、これまでに提示されたデータを分析すると、正義が宮田の殺したかった男・檜山を殺し、代わりに宮田が正義の妻・倫子を殺すという仮説が考えられるが、倫子は何者かに殺されていた…。行き詰まる捜査…。そんな中、吾妻政則(原田泰造)の依頼で作られた完全犯罪を伝授するサイトの存在を里央が突き止めて…。</t>
  </si>
  <si>
    <t>番組名CONTROL～犯罪心理捜査～　#06</t>
  </si>
  <si>
    <t>瀬川里央(松下奈緒)の手引きで『被害者遺族を支援する会』の講演にやってきた南雲準(藤木直人)。そこへ寺西景(横山裕)から里央に事件発生を伝える連絡が入る。マンションの一室で1人暮らしの大学生、宮原智美(田井中美佳)・20歳が絞殺死体で見つかったという。第一発見者はマンションの管理人。荷物を届けに来た宅配業者が鍵穴に鍵を挿したままだったことから管理人に連絡、管理人が部屋の中を覗いて遺体を発見した。荷物は実家の父親から送られてきたもので、管理人によれば父1人娘1人だったという。遺体の確認に来た父親の宮原克己(松重豊)・55歳の悲痛な姿を見て、“犯人は必ず逮捕します、必ず・・・"と静かに声をかける里央。  　捜査会議で被害者は月水金と塾の講師のバイトをしており、被害にあった夜も9時まで塾に勤めて帰宅したことが判明。現場の状況から暴行目的の通り魔的犯行か、怨恨による殺人かに絞られた。小板橋(勝村政信)に見解を求められた南雲は現段階ではどちらも考えられるが、帰宅直後を狙われた犯行から被害者の行動パターンをよく知る人物の可能性が高いのではという見方を示した。  　その線で捜査していくうち、ある男が重要参考人として浮上する。しかし、事態は思いもよらぬ展開を見せ、里央を苦しめていく。犯人逮捕に執念を燃やす里央。里央にはこの事件に誰よりも固執する深い理由があった・・・。松下奈緒　  藤木直人　  横山裕　  北村有起哉　  臼田あさ美　  佐藤二朗　  与座嘉秋　  奥村佳恵  　*　  勝村政信　  泉谷しげる　  ほか【脚本】  寺田敏雄  田辺満　　  吉高寿男　  ほか【演出】  村上正典　  城宝秀則　    【編成企画】  鹿内植　    【プロデュース】  貸川聡子　    【アソシエイトプロデュース】  小椋久雄井筒昭雄　    【主題歌】  「銀河の星屑」桑田佳祐</t>
  </si>
  <si>
    <t>瀬川里央(松下奈緒)の手引きで『被害者遺族を支援する会』の講演にやってきた南雲準(藤木直人)。そこへ寺西景(横山裕)から里央に事件発生を伝える連絡が入る。マンションの一室で1人暮らしの大学生、宮原智美(田井中美佳)・20歳が絞殺死体で見つかったという。第一発見者はマンションの管理人。荷物を届けに来た宅配業者が鍵穴に鍵を挿したままだったことから管理人に連絡、管理人が部屋の中を覗いて遺体を発見した。荷物は実家の父親から送られてきたもので、管理人によれば父1人娘1人だったという。遺体の確認に来た父親の宮原克己(松重豊)・55歳の悲痛な姿を見て、“犯人は必ず逮捕します、必ず・・・"と静かに声をかける里央。  　捜査会議で被害者は月水金と塾の講師のバイトをしており、被害にあった夜も9時まで塾に勤めて帰宅したことが判明。現場の状況から暴行目的の通り魔的犯行か、怨恨による殺人かに絞られた。小板橋(勝村政信)に見解を求められた南雲は現段階ではどちらも考えられるが、帰宅直後を狙われた犯行から被害者の行動パターンをよく知る人物の可能性が高いのではという見方を示した。  　その線で捜査していくうち、ある男が重要参考人として浮上する。しかし、事態は思いもよらぬ展開を見せ、里央を苦しめていく。犯人逮捕に執念を燃やす里央。里央にはこの事件に誰よりも固執する深い理由があった・・・。</t>
  </si>
  <si>
    <t>番組名CONTROL～犯罪心理捜査～　#07</t>
  </si>
  <si>
    <t>郊外の一軒家で大学生の須藤由里子(青谷優衣)が刺殺された状態で発見された。発見者は大学の同級生。借りていたノートを返しに来たところ、チャイムをいくら鳴らしても応答がなく、ドアが開いていて発見した。町内会長の山田忠雄(二瓶鮫一)によると、由里子の父親は商社に勤めていて夫婦で海外赴任しているため、由里子は1人暮らしだったという。近所で薬局を営む従兄弟の青柳秀一(水橋研二)も現場に駆けつけ、由里子の親からくれぐれも頼むと言われていたのにと悔やむ。  　捜査会議では岩崎幹也(北村有起哉)が有力な目撃証言が2件入っていることを報告する。いずれも犯行時間に現場付近でダークブルーの作業着を着て黄色い工具箱を提げた男が目撃されていた。さらに町内会長の山田も同様の男を目撃したと証言する。  　捜査を進めていくうち、由里子と親しく交際していた男性・中尾裕紀(中尾明慶)にたどり着く。ダークブルーの作業着に黄色い工具箱・・・、電気工事の仕事をする中尾は、まさにこれまでの目撃証言を裏付ける容疑者として浮上する。  　しかし南雲準(藤木直人)は人の記憶とは曖昧なもので、目撃証言を鵜呑みにすると捜査の方向を見誤ると指摘する。瀬川里央(松下奈緒)も“ダークブルーの作業着を着た男"という一点に目撃証言が集中していることを不審に感じて捜査を進めるが、由里子を刺した凶器から中尾の指紋が見つかって・・・。松下奈緒　  藤木直人　  横山裕　  北村有起哉　  臼田あさ美　  佐藤二朗　  与座嘉秋　  奥村佳恵  　*　  勝村政信　  泉谷しげる　  ほか【脚本】  寺田敏雄　  田辺満　  佐伯俊道　  ほか【演出】  村上正典　  城宝秀則　    【編成企画】  鹿内植　    【プロデュース】  貸川聡子　    【アソシエイトプロデュース】  小椋久雄井筒昭雄　    【主題歌】  「銀河の星屑」桑田佳祐</t>
  </si>
  <si>
    <t>郊外の一軒家で大学生の須藤由里子(青谷優衣)が刺殺された状態で発見された。発見者は大学の同級生。借りていたノートを返しに来たところ、チャイムをいくら鳴らしても応答がなく、ドアが開いていて発見した。町内会長の山田忠雄(二瓶鮫一)によると、由里子の父親は商社に勤めていて夫婦で海外赴任しているため、由里子は1人暮らしだったという。近所で薬局を営む従兄弟の青柳秀一(水橋研二)も現場に駆けつけ、由里子の親からくれぐれも頼むと言われていたのにと悔やむ。  　捜査会議では岩崎幹也(北村有起哉)が有力な目撃証言が2件入っていることを報告する。いずれも犯行時間に現場付近でダークブルーの作業着を着て黄色い工具箱を提げた男が目撃されていた。さらに町内会長の山田も同様の男を目撃したと証言する。  　捜査を進めていくうち、由里子と親しく交際していた男性・中尾裕紀(中尾明慶)にたどり着く。ダークブルーの作業着に黄色い工具箱・・・、電気工事の仕事をする中尾は、まさにこれまでの目撃証言を裏付ける容疑者として浮上する。  　しかし南雲準(藤木直人)は人の記憶とは曖昧なもので、目撃証言を鵜呑みにすると捜査の方向を見誤ると指摘する。瀬川里央(松下奈緒)も“ダークブルーの作業着を着た男"という一点に目撃証言が集中していることを不審に感じて捜査を進めるが、由里子を刺した凶器から中尾の指紋が見つかって・・・。</t>
  </si>
  <si>
    <t>番組名CONTROL～犯罪心理捜査～　#08</t>
  </si>
  <si>
    <t>住宅街の一軒家で殺人事件が発生。被害者の家主は、この家に侵入した空き巣犯と取っ組み合いになり、突き飛ばされ後頭部を強打したことにより死亡した。タンスからは現金350万円がなくなっていた。侵入経路の窓ガラスにはきれいに三角形に切られた痕跡が。職人技と言えるほど見事な“三角割り"。実は同様の手口で3件の空き巣事件が発生していた。所轄刑事は内偵捜査に基づき、ある男をマークしていた。その男の名は塚原洋二(柏原崇)。1年前に仮出所し、現在、町工場に勤める塚原は6年前に25件目の犯行に及ぼうとしたところを逮捕されていた。塚原を取り押さえた警察官こそ、当時巡査だった寺西景(横山裕)だった。  　捜査会議で寺西は塚原が犯人ではないと断言する。塚原は模範囚として認められ仮出所、真面目に働いて更生しているという。塚原を全く疑おうとしない寺西を瀬川里央(松下奈緒)が問いただすと、現行犯逮捕したときに、“ありがとう・・・これで盗みをやめられる"と言われたことを告げる。さらに寺西は仮出所した塚原にも会い、塚原から1年間真面目に働いたら、別れた女房がやり直しを考えてくれる、また娘と暮らせると話すのも聞いていた。  　塚原を捜査した里央も彼はシロではという印象を持つが、南雲準(藤木直人)はそれが狙いだとしたらと予断を禁じる。そして、塚原を追跡していた里央は思いもかけない絶体絶命の事態に巻き込まれていく。松下奈緒　  藤木直人　  横山裕　  北村有起哉　  臼田あさ美　  佐藤二朗　  与座嘉秋　  奥村佳恵  　*　  勝村政信　  泉谷しげる　  ほか【脚本】  寺田敏雄　  田辺満　  ほか【演出】  村上正典　  城宝秀則　    【編成企画】  鹿内植　    【プロデュース】  貸川聡子　    【アソシエイトプロデュース】  小椋久雄井筒昭雄　    【主題歌】  「銀河の星屑」桑田佳祐</t>
  </si>
  <si>
    <t>住宅街の一軒家で殺人事件が発生。被害者の家主は、この家に侵入した空き巣犯と取っ組み合いになり、突き飛ばされ後頭部を強打したことにより死亡した。タンスからは現金350万円がなくなっていた。侵入経路の窓ガラスにはきれいに三角形に切られた痕跡が。職人技と言えるほど見事な“三角割り"。実は同様の手口で3件の空き巣事件が発生していた。所轄刑事は内偵捜査に基づき、ある男をマークしていた。その男の名は塚原洋二(柏原崇)。1年前に仮出所し、現在、町工場に勤める塚原は6年前に25件目の犯行に及ぼうとしたところを逮捕されていた。塚原を取り押さえた警察官こそ、当時巡査だった寺西景(横山裕)だった。  　捜査会議で寺西は塚原が犯人ではないと断言する。塚原は模範囚として認められ仮出所、真面目に働いて更生しているという。塚原を全く疑おうとしない寺西を瀬川里央(松下奈緒)が問いただすと、現行犯逮捕したときに、“ありがとう・・・これで盗みをやめられる"と言われたことを告げる。さらに寺西は仮出所した塚原にも会い、塚原から1年間真面目に働いたら、別れた女房がやり直しを考えてくれる、また娘と暮らせると話すのも聞いていた。  　塚原を捜査した里央も彼はシロではという印象を持つが、南雲準(藤木直人)はそれが狙いだとしたらと予断を禁じる。そして、塚原を追跡していた里央は思いもかけない絶体絶命の事態に巻き込まれていく。</t>
  </si>
  <si>
    <t>番組名CONTROL～犯罪心理捜査～　#09</t>
  </si>
  <si>
    <t>人質の女性と瀬川里央(松下奈緒)を盾に倉庫に立てこもったまま、包囲する警察とにらみ合いを続ける塚原(柏原崇)。塚原は人質の女性にカッターを当て、里央は手錠で片手を鉄骨につながれ、動けずにいた。塚原は“俺は空き巣も人殺しもしていない!真犯人を捕まえてここに連れて来い!"の一点張り。倉庫の外では、“自分の潔白を訴えるにはこうするしかなかったのでは"と凶行犯捜査課の面々に話す寺西景(横山裕)に賛否さまざまな声が渦巻いている。そこに特殊犯捜査係(SIT)の作戦指揮車が到着。部下を従えた楢崎啓一(丸山智己)がこれから陣頭指揮を執るから小板橋(勝村政信)に下がっていろという。拡声器を手に“真犯人は必ず見つけ出すから人質の女性を解放してくれ"と塚原に呼びかける楢崎。何か真犯人に関する情報をつかんでいるのか尋ねる小板橋を“そんなものある訳ないだろう"と鼻で笑う楢崎。だが、南雲準(藤木直人)の読み通り、警察に不信感を抱く塚原にその手は通用せず、さらに保護司の蓑田(小野武彦)による説得も奏功しなかった。倉庫の中では塚原の様子をずっと見ていた里央が“わかった…あなたを信じる。私たちが絶対に真犯人を捕まえてみせる"と約束する。その代わり人質の女性を解放する言質も取り付けた。塚原の許可を得て携帯で合意内容を小板橋に伝える里央だったが、SITは着々と強行突入の準備を進め、その動きを察知した塚原は…。松下奈緒　  藤木直人　  横山裕　  北村有起哉　  臼田あさ美　  佐藤二朗　  与座嘉秋　  奥村佳恵  　*　  勝村政信　  泉谷しげる　  ほか【脚本】  寺田敏雄　  田辺満　  ほか【演出】  村上正典　  城宝秀則　    【編成企画】  鹿内植　    【プロデュース】  貸川聡子　    【アソシエイトプロデュース】  小椋久雄井筒昭雄　    【主題歌】  「銀河の星屑」桑田佳祐</t>
  </si>
  <si>
    <t>人質の女性と瀬川里央(松下奈緒)を盾に倉庫に立てこもったまま、包囲する警察とにらみ合いを続ける塚原(柏原崇)。塚原は人質の女性にカッターを当て、里央は手錠で片手を鉄骨につながれ、動けずにいた。塚原は“俺は空き巣も人殺しもしていない!真犯人を捕まえてここに連れて来い!"の一点張り。倉庫の外では、“自分の潔白を訴えるにはこうするしかなかったのでは"と凶行犯捜査課の面々に話す寺西景(横山裕)に賛否さまざまな声が渦巻いている。そこに特殊犯捜査係(SIT)の作戦指揮車が到着。部下を従えた楢崎啓一(丸山智己)がこれから陣頭指揮を執るから小板橋(勝村政信)に下がっていろという。拡声器を手に“真犯人は必ず見つけ出すから人質の女性を解放してくれ"と塚原に呼びかける楢崎。何か真犯人に関する情報をつかんでいるのか尋ねる小板橋を“そんなものある訳ないだろう"と鼻で笑う楢崎。だが、南雲準(藤木直人)の読み通り、警察に不信感を抱く塚原にその手は通用せず、さらに保護司の蓑田(小野武彦)による説得も奏功しなかった。倉庫の中では塚原の様子をずっと見ていた里央が“わかった…あなたを信じる。私たちが絶対に真犯人を捕まえてみせる"と約束する。その代わり人質の女性を解放する言質も取り付けた。塚原の許可を得て携帯で合意内容を小板橋に伝える里央だったが、SITは着々と強行突入の準備を進め、その動きを察知した塚原は…。</t>
  </si>
  <si>
    <t>番組名CONTROL～犯罪心理捜査～　#10</t>
  </si>
  <si>
    <t>大学の研究室でキーボードを叩く南雲準(藤木直人)。その傍らで南雲が作成したこれまでの捜査協力に関するレポートを読む瀬川里央(松下奈緒)。そこへ里央の携帯が鳴る。相手は里央が在籍していた大井町署の刑事課課長・藤本(半海一晃)。藤本によると、管内の書店で発生した窃盗事件から里央の父親を殺害した犯人の指紋が見つかったという。そんな矢先、夜道を歩いていた南雲が突然何者かにスタンガンで襲撃される。黒塗りの車に押し込められた南雲は、顔を隠した男から犯罪に手を貸すように迫られる。拒否する南雲に男は携帯の動画を見せる。そこに映し出されていたのはなんと別れた妻と娘だった…。今はクロロホルムで眠らせているが、首を縦に振らなければ2人が目を覚ますことはないという。“ぼくに何をさせようというんだ"と問う南雲に男は言う、“少しの間、先生のことをコントロールさせてもらうよ"。  　翌日の凶行犯捜査課。小板橋(勝村政信)が電話を切るなり、誘拐事件が発生した、至急、安斉昭典(陣内孝則)宅へ出動するようにと叫ぶ。誘拐事件をなぜウチが担当するのかと問う杉浦(泉谷しげる)に誘拐犯が凶行犯捜査課を指名してきたことを告げる。  　急遽、安斉宅に駆けつけた捜査課の面々。そこで秘書の山根(袴田吉彦)から誘拐された女性の写真を見せられる。そこに写っていたのは、南雲の教え子で安斉の一人娘の安斉千尋(奥村佳恵)だった…。松下奈緒　  藤木直人　  横山裕　  北村有起哉　  臼田あさ美　  佐藤二朗　  与座嘉秋　  奥村佳恵  　*　  勝村政信　  泉谷しげる　  ほか【脚本】  寺田敏雄　  田辺満　  中村功一　  ほか【演出】  村上正典　  城宝秀則　    【編成企画】  鹿内植　    【プロデュース】  貸川聡子　    【アソシエイトプロデュース】  小椋久雄井筒昭雄　    【主題歌】  「銀河の星屑」桑田佳祐</t>
  </si>
  <si>
    <t>大学の研究室でキーボードを叩く南雲準(藤木直人)。その傍らで南雲が作成したこれまでの捜査協力に関するレポートを読む瀬川里央(松下奈緒)。そこへ里央の携帯が鳴る。相手は里央が在籍していた大井町署の刑事課課長・藤本(半海一晃)。藤本によると、管内の書店で発生した窃盗事件から里央の父親を殺害した犯人の指紋が見つかったという。そんな矢先、夜道を歩いていた南雲が突然何者かにスタンガンで襲撃される。黒塗りの車に押し込められた南雲は、顔を隠した男から犯罪に手を貸すように迫られる。拒否する南雲に男は携帯の動画を見せる。そこに映し出されていたのはなんと別れた妻と娘だった…。今はクロロホルムで眠らせているが、首を縦に振らなければ2人が目を覚ますことはないという。“ぼくに何をさせようというんだ"と問う南雲に男は言う、“少しの間、先生のことをコントロールさせてもらうよ"。  　翌日の凶行犯捜査課。小板橋(勝村政信)が電話を切るなり、誘拐事件が発生した、至急、安斉昭典(陣内孝則)宅へ出動するようにと叫ぶ。誘拐事件をなぜウチが担当するのかと問う杉浦(泉谷しげる)に誘拐犯が凶行犯捜査課を指名してきたことを告げる。  　急遽、安斉宅に駆けつけた捜査課の面々。そこで秘書の山根(袴田吉彦)から誘拐された女性の写真を見せられる。そこに写っていたのは、南雲の教え子で安斉の一人娘の安斉千尋(奥村佳恵)だった…。</t>
  </si>
  <si>
    <t>番組名CONTROL～犯罪心理捜査～　#11</t>
  </si>
  <si>
    <t>ある窃盗事件から瀬川里央(松下奈緒)の父親を殺害した犯人の指紋が見つかったという一報を里央が受けた矢先、安斉千尋(奥村佳恵)を人質にとった誘拐事件が発生。犯人は南雲準(藤木直人)の別れた妻子まで人質にとり、南雲をコントロールした状態で身代金1億円を運搬するよう要求。緊迫する神経戦の中、凶行犯捜査課の一丸となった捜査により、千尋を無事保護するが、その近くには男の死体が…。そして、里央は現金入りのキャリーケースを運搬していた男を逮捕するが、中の身代金1億円は新聞紙に化けていた。  　逮捕された沼田(ムロツヨシ)は“無精髭の男が運んできたキャリーケースを店外に持ち出せば3万円渡す"と見知らぬ男に声をかけられてやっただけで、真犯人につながる手がかりは得られなかった。  　安斉(陣内孝則)は金が消えたことに苛立ちを隠せないでいた。千尋の近くで死んでいた男の写真を杉浦(泉谷しげる)から見せられた秘書の山根(袴田吉彦)は、男が会社をリストラされた黒岩健二(阿部亮平)だと証言する。そんな矢先、千尋から南雲と話がしたいと連絡が入る。南雲は千尋のこれまでの言動に何か腑に落ちないものを感じていた。  　果たして誘拐事件に隠されたトリックとは、消えた1億円の行方、そして真犯人の正体とは…。全ての謎が明らかになったとき、里央の父を殺した事件についても突破口が見つかろうとしていた。松下奈緒　  藤木直人　  横山裕　  北村有起哉　  臼田あさ美　  佐藤二朗　  与座嘉秋　  奥村佳恵  　*　  勝村政信　  泉谷しげる　  ほか【脚本】  寺田敏雄　  田辺満　  中村功一　  ほか【演出】  村上正典　  城宝秀則　    【編成企画】  鹿内植　    【プロデュース】  貸川聡子　    【アソシエイトプロデュース】  小椋久雄井筒昭雄　    【主題歌】  「銀河の星屑」桑田佳祐</t>
  </si>
  <si>
    <t>ある窃盗事件から瀬川里央(松下奈緒)の父親を殺害した犯人の指紋が見つかったという一報を里央が受けた矢先、安斉千尋(奥村佳恵)を人質にとった誘拐事件が発生。犯人は南雲準(藤木直人)の別れた妻子まで人質にとり、南雲をコントロールした状態で身代金1億円を運搬するよう要求。緊迫する神経戦の中、凶行犯捜査課の一丸となった捜査により、千尋を無事保護するが、その近くには男の死体が…。そして、里央は現金入りのキャリーケースを運搬していた男を逮捕するが、中の身代金1億円は新聞紙に化けていた。  　逮捕された沼田(ムロツヨシ)は“無精髭の男が運んできたキャリーケースを店外に持ち出せば3万円渡す"と見知らぬ男に声をかけられてやっただけで、真犯人につながる手がかりは得られなかった。  　安斉(陣内孝則)は金が消えたことに苛立ちを隠せないでいた。千尋の近くで死んでいた男の写真を杉浦(泉谷しげる)から見せられた秘書の山根(袴田吉彦)は、男が会社をリストラされた黒岩健二(阿部亮平)だと証言する。そんな矢先、千尋から南雲と話がしたいと連絡が入る。南雲は千尋のこれまでの言動に何か腑に落ちないものを感じていた。  　果たして誘拐事件に隠されたトリックとは、消えた1億円の行方、そして真犯人の正体とは…。全ての謎が明らかになったとき、里央の父を殺した事件についても突破口が見つかろうとしていた。</t>
  </si>
  <si>
    <t>1101_CX_火22</t>
  </si>
  <si>
    <t>美しい隣人</t>
  </si>
  <si>
    <t>番組名美しい隣人　#01</t>
  </si>
  <si>
    <t>http://www.ktv.jp/rinjin/　東京郊外の新興住宅地に暮らす主婦・矢野絵里子(檀れい)の幼い息子・駿(青山和也)が家から姿を消した。まもなく、池で男の子の遺体が見つかったと警察から連絡が入る。愕然となる絵里子は、単身赴任先の大阪から駆けつけた夫・慎二(渡部篤郎)の胸で泣き崩れるが遺体は別人だった。駿は理生(南圭介)という青年に保護され、無事に見つかる。  　1年後、絵里子の隣の家の夫婦が引っ越していった。親しくしていた隣人がいなくなったことに不安を覚え、慎二のいる大阪に移り住むことを考え始める絵里子。そんな中、隣家にマイヤー沙希(仲間由紀恵)という独り暮らしの女性が越してきた。絵里子は明るく人懐こい沙希とすっかり打ち解けるが、なぜか駿は避けるような態度を見せる。  　そんなある夜、絵里子の家が突然の停電に見舞われる。不審に思って外に出た絵里子の背後に沙希が近付き…。そして翌日の夜、大阪で馴染みのバーを訪れていた慎二の前にも沙希は姿を現して…。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</si>
  <si>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東京郊外の新興住宅地に暮らす主婦・矢野絵里子(檀れい)の幼い息子・駿(青山和也)が家から姿を消した。まもなく、池で男の子の遺体が見つかったと警察から連絡が入る。愕然となる絵里子は、単身赴任先の大阪から駆けつけた夫・慎二(渡部篤郎)の胸で泣き崩れるが遺体は別人だった。駿は理生(南圭介)という青年に保護され、無事に見つかる。  　1年後、絵里子の隣の家の夫婦が引っ越していった。親しくしていた隣人がいなくなったことに不安を覚え、慎二のいる大阪に移り住むことを考え始める絵里子。そんな中、隣家にマイヤー沙希(仲間由紀恵)という独り暮らしの女性が越してきた。絵里子は明るく人懐こい沙希とすっかり打ち解けるが、なぜか駿は避けるような態度を見せる。  　そんなある夜、絵里子の家が突然の停電に見舞われる。不審に思って外に出た絵里子の背後に沙希が近付き…。そして翌日の夜、大阪で馴染みのバーを訪れていた慎二の前にも沙希は姿を現して…。</t>
  </si>
  <si>
    <t>番組名美しい隣人　#02</t>
  </si>
  <si>
    <t>http://www.ktv.jp/rinjin/　沙希(仲間由紀恵)は慎二(渡部篤郎)が通う大阪のバーに再び現れ、慎二に接近。同じ夜、絵里子(檀れい)は、1年前の水死事故を思い出させるような、子どもが溺れる夢を見ていた。    　翌日、沙希は、何食わぬ顔で絵里子を訪ね、離れて暮らしている夫が浮気をしていると悩みを相談。自分も浮気しちゃおうかなと投げかける沙希に、思わず「しちゃえば」と答える絵里子。　午後、不吉な夢が頭から離れない絵里子は、駿(青山和也)をスイミングスクールに連れて行くというママ友の真由美(三浦理恵子)の誘いを断り、美津子(草笛光子)の病院に行くも、美津子をささいなことで怒らせてしまう。    　一方、絵里子の態度に不満を抱く真由美の前に沙希が現れた。真由美と親しくなった沙希は、駿が行方不明になった1年前の騒動について探りを入れ…。仲間由紀恵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</si>
  <si>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沙希(仲間由紀恵)は慎二(渡部篤郎)が通う大阪のバーに再び現れ、慎二に接近。同じ夜、絵里子(檀れい)は、1年前の水死事故を思い出させるような、子どもが溺れる夢を見ていた。    　翌日、沙希は、何食わぬ顔で絵里子を訪ね、離れて暮らしている夫が浮気をしていると悩みを相談。自分も浮気しちゃおうかなと投げかける沙希に、思わず「しちゃえば」と答える絵里子。　午後、不吉な夢が頭から離れない絵里子は、駿(青山和也)をスイミングスクールに連れて行くというママ友の真由美(三浦理恵子)の誘いを断り、美津子(草笛光子)の病院に行くも、美津子をささいなことで怒らせてしまう。    　一方、絵里子の態度に不満を抱く真由美の前に沙希が現れた。真由美と親しくなった沙希は、駿が行方不明になった1年前の騒動について探りを入れ…。</t>
  </si>
  <si>
    <t>番組名美しい隣人　#03</t>
  </si>
  <si>
    <t>http://www.ktv.jp/rinjin/　絵里子(檀れい)を家に招いた沙希(仲間由紀恵)は、妻のある男性を好きになったと打ち明ける。それが自分の夫である慎二(渡部篤郎)のことだとは夢にも思わない絵里子は沙希の恋を応援する。    　まもなく、酒に酔って寝てしまった絵里子から鍵を奪った沙希は絵里子の家に侵入。寝室で眠っていた駿(青山和也)に近づき・・・。　一方、慎二は名前も告げずに去った沙希のことが気にかかっていた。その頃、真由美(三浦理恵子)と親しくなった沙希は、アメリカにいる夫が浮気をしていると真由美に相談を持ちかけていた。頼られたことがうれしい真由美は親身に相談に乗り、自分が過去に離婚していることを沙希に打ち明ける。    　ところが、沙希は真由美が秘密にしていたはずの離婚歴をすでに知っていた。動揺する真由美に、沙希は絵里子から聞いたと答える。仲間由紀恵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</si>
  <si>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絵里子(檀れい)を家に招いた沙希(仲間由紀恵)は、妻のある男性を好きになったと打ち明ける。それが自分の夫である慎二(渡部篤郎)のことだとは夢にも思わない絵里子は沙希の恋を応援する。    　まもなく、酒に酔って寝てしまった絵里子から鍵を奪った沙希は絵里子の家に侵入。寝室で眠っていた駿(青山和也)に近づき・・・。　一方、慎二は名前も告げずに去った沙希のことが気にかかっていた。その頃、真由美(三浦理恵子)と親しくなった沙希は、アメリカにいる夫が浮気をしていると真由美に相談を持ちかけていた。頼られたことがうれしい真由美は親身に相談に乗り、自分が過去に離婚していることを沙希に打ち明ける。    　ところが、沙希は真由美が秘密にしていたはずの離婚歴をすでに知っていた。動揺する真由美に、沙希は絵里子から聞いたと答える。</t>
  </si>
  <si>
    <t>番組名美しい隣人　#04</t>
  </si>
  <si>
    <t>http://www.ktv.jp/rinjin/　沙希(仲間由紀恵)に離婚を申し入れていた夫は雅彦(高知東生)だった。2人だけで話がしたいと喫茶店に呼びつけられた雅彦はあらためて離婚して欲しいと懇願。だが沙希は受け入れず、激しい怒りをあらわにする。    　翌日、美津子(草笛光子)が入院する病院に現れた沙希は、見舞いに来ていた絵里子(檀れい)に声をかけ、美津子の病室へ。朗らかに談笑し、美津子の心をとらえてしまう。　絵里子は急に自分を避けるようになった真由美(三浦理恵子)の態度が気にかかり、その理由を真由美に尋ねる。真由美は自分の秘密を勝手に他人に話したと絵里子を責めるが、絵里子には心当たりがない。    　その夜、大阪で沙希と再会した慎二(渡部篤郎)は、沙希にどうしようもなく惹かれている自分に気付き、ついにホテルで一夜をともにしてしまう。仲間由紀恵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</si>
  <si>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沙希(仲間由紀恵)に離婚を申し入れていた夫は雅彦(高知東生)だった。2人だけで話がしたいと喫茶店に呼びつけられた雅彦はあらためて離婚して欲しいと懇願。だが沙希は受け入れず、激しい怒りをあらわにする。    　翌日、美津子(草笛光子)が入院する病院に現れた沙希は、見舞いに来ていた絵里子(檀れい)に声をかけ、美津子の病室へ。朗らかに談笑し、美津子の心をとらえてしまう。　絵里子は急に自分を避けるようになった真由美(三浦理恵子)の態度が気にかかり、その理由を真由美に尋ねる。真由美は自分の秘密を勝手に他人に話したと絵里子を責めるが、絵里子には心当たりがない。    　その夜、大阪で沙希と再会した慎二(渡部篤郎)は、沙希にどうしようもなく惹かれている自分に気付き、ついにホテルで一夜をともにしてしまう。</t>
  </si>
  <si>
    <t>番組名美しい隣人　#05</t>
  </si>
  <si>
    <t>http://www.ktv.jp/rinjin/　絵里子(檀れい)の携帯電話に、見知らぬアドレスからまるで死んでいるように見える駿(青山和也)の写真が送られてきた。気がつけば駿の姿はなく、半狂乱になる絵里子。  　さらにかかってきた電話は女の声で「死ね」とだけ言って切れ、言い知れぬ不安が絵里子を襲う。    　一方、慎二(渡部篤郎)は沙希(仲間由紀恵)と一夜をともにして以来、沙希に会いたい気持ちを抑えられなくなっていた。仕事中に電話をかけて沙希に連絡をとる慎二。その夜大阪にやってきた沙希は「あなたの部屋が見たい」と慎二のマンションに連れていくようねだる。戸惑いながらも沙希を招き入れる慎二。しかし、2人の仲睦まじい様子を、絵里子と親しくしていたかつての隣人・加奈(鈴木砂羽)夫婦が目撃していた。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</si>
  <si>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絵里子(檀れい)の携帯電話に、見知らぬアドレスからまるで死んでいるように見える駿(青山和也)の写真が送られてきた。気がつけば駿の姿はなく、半狂乱になる絵里子。  　さらにかかってきた電話は女の声で「死ね」とだけ言って切れ、言い知れぬ不安が絵里子を襲う。    　一方、慎二(渡部篤郎)は沙希(仲間由紀恵)と一夜をともにして以来、沙希に会いたい気持ちを抑えられなくなっていた。仕事中に電話をかけて沙希に連絡をとる慎二。その夜大阪にやってきた沙希は「あなたの部屋が見たい」と慎二のマンションに連れていくようねだる。戸惑いながらも沙希を招き入れる慎二。しかし、2人の仲睦まじい様子を、絵里子と親しくしていたかつての隣人・加奈(鈴木砂羽)夫婦が目撃していた。</t>
  </si>
  <si>
    <t>番組名美しい隣人　#06</t>
  </si>
  <si>
    <t>http://www.ktv.jp/rinjin/沙希(仲間由紀恵)と慎二(渡部篤郎)の関係がさらに深まる中、慎二に東京転勤の話がもちあがる。東京に戻っても2人の関係を続けると約束する慎二。    一方、元隣人の加奈(鈴木砂羽)から「沙希を信用できるのか」と問われ、沙希への不信感が初めて芽生えた絵里子(檀れい)。義母の美津子(草笛光子)が退院することになり、美津子から快気祝いに沙希を招待してほしいと言われた絵里子は、気が乗らず、曖昧にうなずく。そんな中、慎二の浮気疑惑の真偽を確かめるため、絵里子は駿(青山和也)を連れて大阪へ行く。駿と遊ぶ夫の姿を見て浮気は嘘ではないかと思い始めた矢先、絵里子は慎二の部屋で女物の櫛を見つけてしまう。それは沙希がわざと残していったものだった。    そして、美津子の快気祝い当日。慎二も大阪から戻り、美津子夫婦も揃って賑やかにテーブルについた時、チャイムが鳴った。それは慎二と“隣人"との初対面であったーー。仲間由紀恵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</si>
  <si>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沙希(仲間由紀恵)と慎二(渡部篤郎)の関係がさらに深まる中、慎二に東京転勤の話がもちあがる。東京に戻っても2人の関係を続けると約束する慎二。    一方、元隣人の加奈(鈴木砂羽)から「沙希を信用できるのか」と問われ、沙希への不信感が初めて芽生えた絵里子(檀れい)。義母の美津子(草笛光子)が退院することになり、美津子から快気祝いに沙希を招待してほしいと言われた絵里子は、気が乗らず、曖昧にうなずく。そんな中、慎二の浮気疑惑の真偽を確かめるため、絵里子は駿(青山和也)を連れて大阪へ行く。駿と遊ぶ夫の姿を見て浮気は嘘ではないかと思い始めた矢先、絵里子は慎二の部屋で女物の櫛を見つけてしまう。それは沙希がわざと残していったものだった。    そして、美津子の快気祝い当日。慎二も大阪から戻り、美津子夫婦も揃って賑やかにテーブルについた時、チャイムが鳴った。それは慎二と“隣人"との初対面であったーー。</t>
  </si>
  <si>
    <t>番組名美しい隣人　#07</t>
  </si>
  <si>
    <t>http://www.ktv.jp/rinjin/　美津子(草笛光子)の退院祝いで矢野家に現れた沙希(仲間由紀恵)に慎二(渡部篤郎)はがく然。浮気相手の正体が絵里子(檀れい)と親しくしている隣人と知って言葉を失う。    　しかし、慎二を自宅に呼びつけた沙希は、慎二が絵里子の夫であることを知っていたとあっさり告白。常軌を逸していると非難する慎二に、理由を話す沙希。それは沙希が慎二に初めて見せる表情だった。　一方、絵里子は慎二が浮気をしているのではないかという疑いが頭から離れず、いら立ちを募らせていた。そんな折、隣家の様子をうかがう雅彦(高知東生)に会う。    　その夜、ついに絵里子は慎二に疑惑をぶつける。今までにない二人の激しい口論。その様子を、隣家から冷たく覗く視線があったーー。  　翌日、疲れ切った絵里子のもとに、沙希が現れた。「ちょっと、いい?」仲間由紀恵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</si>
  <si>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美津子(草笛光子)の退院祝いで矢野家に現れた沙希(仲間由紀恵)に慎二(渡部篤郎)はがく然。浮気相手の正体が絵里子(檀れい)と親しくしている隣人と知って言葉を失う。    　しかし、慎二を自宅に呼びつけた沙希は、慎二が絵里子の夫であることを知っていたとあっさり告白。常軌を逸していると非難する慎二に、理由を話す沙希。それは沙希が慎二に初めて見せる表情だった。　一方、絵里子は慎二が浮気をしているのではないかという疑いが頭から離れず、いら立ちを募らせていた。そんな折、隣家の様子をうかがう雅彦(高知東生)に会う。    　その夜、ついに絵里子は慎二に疑惑をぶつける。今までにない二人の激しい口論。その様子を、隣家から冷たく覗く視線があったーー。  　翌日、疲れ切った絵里子のもとに、沙希が現れた。「ちょっと、いい?」</t>
  </si>
  <si>
    <t>番組名美しい隣人　#08</t>
  </si>
  <si>
    <t>http://www.ktv.jp/rinjin/　沙希(仲間由紀恵)は自分が慎二(渡部篤郎)の浮気相手だと明かし、微笑みさえ浮かべながら、がく然とする絵里子(檀れい)を残して去っていった。夫の浮気に加え、沙希の裏切りと、自分を傷つけて楽しむこれまでと別人のような態度を目の当たりにし、出口のない絶望感に襲われる絵里子。    　慎二にも裏切られた思いで家を飛び出した絵里子は、幼稚園から強引に駿(青山和也)を連れ出し、行くあてもないまま車を走らせる。　そんな折、慎二は上司からアメリカに新設する子会社に赴任しないかと打診される。絵里子と駿を連れて日本を離れ、すべてをやり直したいと考えた慎二。    　一方、翌朝、沙希は何食わぬ顔で真由美(三浦理恵子)の店を訪れ、絵里子と駿が家を出たきり戻らないと相談をもちかける。さらに、駿の泣き声が毎晩のように聞こえており、絵里子が駿を虐待しているのではと不安がってみせ、絵里子の行きそうな実家の場所を聞き出して…。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</si>
  <si>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沙希(仲間由紀恵)は自分が慎二(渡部篤郎)の浮気相手だと明かし、微笑みさえ浮かべながら、がく然とする絵里子(檀れい)を残して去っていった。夫の浮気に加え、沙希の裏切りと、自分を傷つけて楽しむこれまでと別人のような態度を目の当たりにし、出口のない絶望感に襲われる絵里子。    　慎二にも裏切られた思いで家を飛び出した絵里子は、幼稚園から強引に駿(青山和也)を連れ出し、行くあてもないまま車を走らせる。　そんな折、慎二は上司からアメリカに新設する子会社に赴任しないかと打診される。絵里子と駿を連れて日本を離れ、すべてをやり直したいと考えた慎二。    　一方、翌朝、沙希は何食わぬ顔で真由美(三浦理恵子)の店を訪れ、絵里子と駿が家を出たきり戻らないと相談をもちかける。さらに、駿の泣き声が毎晩のように聞こえており、絵里子が駿を虐待しているのではと不安がってみせ、絵里子の行きそうな実家の場所を聞き出して…。</t>
  </si>
  <si>
    <t>番組名美しい隣人　#09</t>
  </si>
  <si>
    <t>http://www.ktv.jp/rinjin/　駿(青山和也)が絵里子(檀れい)の長野の実家から姿を消した。絵里子は沙希(仲間由紀恵)が連れ去ったと確信。連絡を受けた慎二(渡部篤郎)も急いで自宅へ向かう。    　沙希が駿を連れ去ったはずだと絵里子も急いで自宅へ。しかし、はやる思いで自宅に戻った絵里子の目に飛び込んできたのは、ソファに寄り添う沙希と慎二の姿だった。  慎二は沙希から、思いもよらない沙希の過去を聞かされたのだった。絵里子は、沙希の話はすべて嘘で信じるなと慎二に訴えるが、慎二は動かない。八方塞がりの絵里子を見つめる沙希の冷ややかな目。激高した絵里子は沙希に思わずつかみかかる。その時、部屋に置いてあった大きな鏡が、沙希と絵里子の上に倒れてきて…。    　絵里子は誘拐事件だと警察に訴えるが、ただの痴情のもつれだと取り合ってももらえない。打ちのめされる絵里子に、慎二はアメリカでやり直そうと告げる。　翌日、病院に沙希を見舞った慎二は、沙希に決別の意を告げる。意外にもあっさりと受け入れる沙希。だが別れ際、つぶやいた沙希の言葉に不気味なものを感じる。  数日後、沙希は家を引き払い、忽然と姿を消すが…。仲間由紀恵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</si>
  <si>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駿(青山和也)が絵里子(檀れい)の長野の実家から姿を消した。絵里子は沙希(仲間由紀恵)が連れ去ったと確信。連絡を受けた慎二(渡部篤郎)も急いで自宅へ向かう。    　沙希が駿を連れ去ったはずだと絵里子も急いで自宅へ。しかし、はやる思いで自宅に戻った絵里子の目に飛び込んできたのは、ソファに寄り添う沙希と慎二の姿だった。  慎二は沙希から、思いもよらない沙希の過去を聞かされたのだった。絵里子は、沙希の話はすべて嘘で信じるなと慎二に訴えるが、慎二は動かない。八方塞がりの絵里子を見つめる沙希の冷ややかな目。激高した絵里子は沙希に思わずつかみかかる。その時、部屋に置いてあった大きな鏡が、沙希と絵里子の上に倒れてきて…。    　絵里子は誘拐事件だと警察に訴えるが、ただの痴情のもつれだと取り合ってももらえない。打ちのめされる絵里子に、慎二はアメリカでやり直そうと告げる。　翌日、病院に沙希を見舞った慎二は、沙希に決別の意を告げる。意外にもあっさりと受け入れる沙希。だが別れ際、つぶやいた沙希の言葉に不気味なものを感じる。  数日後、沙希は家を引き払い、忽然と姿を消すが…。</t>
  </si>
  <si>
    <t>番組名美しい隣人　#10</t>
  </si>
  <si>
    <t>http://www.ktv.jp/rinjin/　沙希(仲間由紀恵)が本当の母親は自分だと駿(青山和也)に思い込ませていたことを知った絵里子(檀れい)は、怒りを抑えきれず、姿を消した沙希の居所を探し回る。    　しかし、雅彦(高知東生)も、沙希の行方はわからないと言う。    　以前のような朗らかさも消え、何かに取り憑かれたかのように沙希を探し続ける絵里子に、真由美(三浦理恵子)らは異様さを感じる。    　そんな中、ついに、心労で倒れてしまう絵里子。その代わりにと、理生(南圭介)が慎二(渡部篤郎)に、駿の面倒を見ることをかって出るが…。仲間由紀恵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</si>
  <si>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沙希(仲間由紀恵)が本当の母親は自分だと駿(青山和也)に思い込ませていたことを知った絵里子(檀れい)は、怒りを抑えきれず、姿を消した沙希の居所を探し回る。    　しかし、雅彦(高知東生)も、沙希の行方はわからないと言う。    　以前のような朗らかさも消え、何かに取り憑かれたかのように沙希を探し続ける絵里子に、真由美(三浦理恵子)らは異様さを感じる。    　そんな中、ついに、心労で倒れてしまう絵里子。その代わりにと、理生(南圭介)が慎二(渡部篤郎)に、駿の面倒を見ることをかって出るが…。</t>
  </si>
  <si>
    <t>1101_CX_木22</t>
  </si>
  <si>
    <t>外交官　黒田康作</t>
  </si>
  <si>
    <t>番組名&lt;木曜劇場&gt;外交官　黒田康作　#01</t>
  </si>
  <si>
    <t>日本国外務省の外交官、黒田康作(織田裕二)は、上司の安藤庸介(鹿賀丈史)から邦人保護の密命を受け、世界各地を転々としている。南米で発生した日本人の誘拐事件を解決した黒田が、次に向かったのはサンフランシスコ。目的はWTO農業交渉会議で現地を訪れる外務副大臣、観上祥子(草刈民代)の警護だ。  　サンフランシスコに入り、会議の警備状況を確認した黒田は情報屋のジョン(イ・ビョンホン)と会い、FBIの動きを聞く。その後、黒田は元外交官の霜村毅(香川照之)と再会。11年前、メキシコ領事館に勤務していた黒田と霜村には、浅からぬ因縁があった。別れ際、霜村は黒田に“すまない"と謎の言葉を残す。  　その頃、日本では佃署管内で、大学教授の殺害事件が発生していた。遺体の第一発見者は佃署の刑事、大垣利香子(柴咲コウ)。利香子は、遺体発見時の違和感を上司に訴えるのだが相手にしてもらえない。  　農業交渉会議では祥子が過激派に襲われそうになるのだが、黒田の機転で事なきを得る。なぜ過激派が簡単に潜入できたのか?内通者を疑う黒田に、日本人が飛び降り自殺をしたと知らせが。それは霜村だった。  　一方、佃署管内の殺人事件も、足跡や指紋、遺留品から容疑者が浮かび上がる。なんと、その容疑者は霜村。利香子は、霜村の遺体や証拠品の確認のため彼の娘、瑠衣(夏帆)とサンフランシスコへ。そんな2人を、黒田が待っていた。織田裕二　  柴咲コウ　  夏帆　  田中圭　  大倉孝二　  西島隆弘  　○　  近藤正臣  　○　  イ・ビョンホン  　○　  鹿賀丈史  　○　  片瀬那奈　  萩原聖人　  草刈民代　  香川照之　    ほか【原作】  真保裕一　    【脚本】  古家和尚　  池上純哉【企画】  臼井裕詞　    【プロデュース】  牧野正　    【演出】  西坂瑞城菅野祐悟</t>
  </si>
  <si>
    <t>日本国外務省の外交官、黒田康作(織田裕二)は、上司の安藤庸介(鹿賀丈史)から邦人保護の密命を受け、世界各地を転々としている。南米で発生した日本人の誘拐事件を解決した黒田が、次に向かったのはサンフランシスコ。目的はWTO農業交渉会議で現地を訪れる外務副大臣、観上祥子(草刈民代)の警護だ。  　サンフランシスコに入り、会議の警備状況を確認した黒田は情報屋のジョン(イ・ビョンホン)と会い、FBIの動きを聞く。その後、黒田は元外交官の霜村毅(香川照之)と再会。11年前、メキシコ領事館に勤務していた黒田と霜村には、浅からぬ因縁があった。別れ際、霜村は黒田に“すまない"と謎の言葉を残す。  　その頃、日本では佃署管内で、大学教授の殺害事件が発生していた。遺体の第一発見者は佃署の刑事、大垣利香子(柴咲コウ)。利香子は、遺体発見時の違和感を上司に訴えるのだが相手にしてもらえない。  　農業交渉会議では祥子が過激派に襲われそうになるのだが、黒田の機転で事なきを得る。なぜ過激派が簡単に潜入できたのか?内通者を疑う黒田に、日本人が飛び降り自殺をしたと知らせが。それは霜村だった。  　一方、佃署管内の殺人事件も、足跡や指紋、遺留品から容疑者が浮かび上がる。なんと、その容疑者は霜村。利香子は、霜村の遺体や証拠品の確認のため彼の娘、瑠衣(夏帆)とサンフランシスコへ。そんな2人を、黒田が待っていた。</t>
  </si>
  <si>
    <t>番組名&lt;木曜劇場&gt;外交官　黒田康作　#02</t>
  </si>
  <si>
    <t>http://www.fujitv.co.jp/KOSAKUKURODA/　黒田康作(織田裕二)は、11年ぶりに帰国。日本で殺人事件の容疑者となり、サンフランシスコで自殺した霜村毅(香川照之)の調査のためだ。迅速な帰国は黒田の邦人テロ対策室室長、安藤庸介(鹿賀丈史)の計らいだが、彼らの行動を間近に観察しようとする外務副大臣、観上祥子(草刈民代)の思惑も絡んでいた。  　黒田の調査には、霜村が殺害したとされる大学教授の遺体を最初に発見した刑事、大垣利香子(柴咲コウ)が同行する事になる。早速、入国管理局に向かった黒田は、利香子の刑事という肩書きを利用して最近入国したアジア人、日系人のリストを閲覧。すると、狙い通りにメキシコ国籍のロベルト・イシイという男を発見する。帰り際、黒田は霜村の娘、瑠衣(夏帆)の様子を見ていて欲しいと利香子に頼んだ。  　利香子は、黒田の指示通り瑠衣の通う高校へ。目的の瑠衣には会えなかったが、霜村に殺害されたとされる被害者の遺体を利香子の発見以前に見たと言う君島祐太朗(西島隆弘)の話を聞く機会を得る。　  　一方、黒田はサンフランシスコで霜村を検死したすぐ後に死亡した吉野公久(利重剛)の妹、恵美(阿南敦子)と会う。黒田は、霜村と吉野の関係を探ろうとするが、恵美からは何も得られなかった。  　黒田が外務省に戻ると、メキシコ大使館のエルナンド(ダリオ)が自ら起こした交通事故の処理を依頼しに来ていた。黒田は事故処理の見返りに、情報提供を持ちかける。織田裕二　  柴咲コウ　  夏帆　  田中圭　  大倉孝二　  西島隆弘  　○　  近藤正臣  　○　  鹿賀丈史  　○　  片瀬那奈　  萩原聖人　  草刈民代　  香川照之　    ほか【原作】  真保裕一　    【脚本】  古家和尚　  池上純哉【企画】  臼井裕詞　    【プロデュース】  牧野正　    【演出】  西坂瑞城菅野祐悟</t>
  </si>
  <si>
    <t>http://www.fujitv.co.jp/KOSAKUKURODA/　黒田康作(織田裕二)は、11年ぶりに帰国。日本で殺人事件の容疑者となり、サンフランシスコで自殺した霜村毅(香川照之)の調査のためだ。迅速な帰国は黒田の邦人テロ対策室室長、安藤庸介(鹿賀丈史)の計らいだが、彼らの行動を間近に観察しようとする外務副大臣、観上祥子(草刈民代)の思惑も絡んでいた。  　黒田の調査には、霜村が殺害したとされる大学教授の遺体を最初に発見した刑事、大垣利香子(柴咲コウ)が同行する事になる。早速、入国管理局に向かった黒田は、利香子の刑事という肩書きを利用して最近入国したアジア人、日系人のリストを閲覧。すると、狙い通りにメキシコ国籍のロベルト・イシイという男を発見する。帰り際、黒田は霜村の娘、瑠衣(夏帆)の様子を見ていて欲しいと利香子に頼んだ。  　利香子は、黒田の指示通り瑠衣の通う高校へ。目的の瑠衣には会えなかったが、霜村に殺害されたとされる被害者の遺体を利香子の発見以前に見たと言う君島祐太朗(西島隆弘)の話を聞く機会を得る。　  　一方、黒田はサンフランシスコで霜村を検死したすぐ後に死亡した吉野公久(利重剛)の妹、恵美(阿南敦子)と会う。黒田は、霜村と吉野の関係を探ろうとするが、恵美からは何も得られなかった。  　黒田が外務省に戻ると、メキシコ大使館のエルナンド(ダリオ)が自ら起こした交通事故の処理を依頼しに来ていた。黒田は事故処理の見返りに、情報提供を持ちかける。</t>
  </si>
  <si>
    <t>番組名&lt;木曜劇場&gt;外交官　黒田康作　#03</t>
  </si>
  <si>
    <t>http://www.fujitv.co.jp/KOSAKUKURODA/　黒田康作(織田裕二)は、メキシコ大使館で大垣利香子(柴咲コウ)が偶然にも本人を目撃した事から霜村毅(香川照之)生存の可能性を強める。黒田は、外務副大臣の特権を利用したメキシコ大使館への調査依頼を観上祥子(草刈民代)に頼むのだが、利香子の目撃だけでは動けないと断られてしまった。  　瑠衣(夏帆)の家を訪ねた利香子は、君島祐太朗(西島隆弘)の写った写真を見つける。祐太朗は瑠衣のひとつ先輩で、中学、高校と同じ学校に通っていた。そんな時、瑠衣の携帯メールが着信。差出人不明のメールは、霜村の事件をほのめかすなど不審なもの。アメリカから帰国後に届くようになったと言う瑠衣はメールだけではなく、街中で時々誰かの視線を感じると利香子に打ち明ける。  　瑠衣の家を出た利香子は、黒田に会いに行く。黒田は、ホテルの一室で近くにあるメキシコ大使館の人の出入りを監視していた。利香子は黒田に、霜村が生きていることを瑠衣に教えたいと頼む。了承した黒田は、生きている可能性があるとだけ伝えても良いと答えた。  　祐太朗は、柏田勉(八神蓮)に弱みを握られゆすられている。祐太朗の携帯に電話してきた柏田は、金銭とともに瑠衣を紹介するよう迫った。途方に暮れながら携帯を切る祐太朗。と、その瞬間ある男が心配しなくて良いと祐太朗に告げる…。  　一方、メキシコ大使館の張り込みを続ける黒田は…。織田裕二　  柴咲コウ　  夏帆　  田中圭　  大倉孝二　  西島隆弘  　○　  近藤正臣  　○　  鹿賀丈史  　○　  片瀬那奈　  萩原聖人　  草刈民代　  香川照之　    ほか【原作】  真保裕一　    【脚本】  古家和尚　  池上純哉【企画】  臼井裕詞　    【プロデュース】  牧野正　    【演出】  永山耕三菅野祐悟</t>
  </si>
  <si>
    <t>http://www.fujitv.co.jp/KOSAKUKURODA/　黒田康作(織田裕二)は、メキシコ大使館で大垣利香子(柴咲コウ)が偶然にも本人を目撃した事から霜村毅(香川照之)生存の可能性を強める。黒田は、外務副大臣の特権を利用したメキシコ大使館への調査依頼を観上祥子(草刈民代)に頼むのだが、利香子の目撃だけでは動けないと断られてしまった。  　瑠衣(夏帆)の家を訪ねた利香子は、君島祐太朗(西島隆弘)の写った写真を見つける。祐太朗は瑠衣のひとつ先輩で、中学、高校と同じ学校に通っていた。そんな時、瑠衣の携帯メールが着信。差出人不明のメールは、霜村の事件をほのめかすなど不審なもの。アメリカから帰国後に届くようになったと言う瑠衣はメールだけではなく、街中で時々誰かの視線を感じると利香子に打ち明ける。  　瑠衣の家を出た利香子は、黒田に会いに行く。黒田は、ホテルの一室で近くにあるメキシコ大使館の人の出入りを監視していた。利香子は黒田に、霜村が生きていることを瑠衣に教えたいと頼む。了承した黒田は、生きている可能性があるとだけ伝えても良いと答えた。  　祐太朗は、柏田勉(八神蓮)に弱みを握られゆすられている。祐太朗の携帯に電話してきた柏田は、金銭とともに瑠衣を紹介するよう迫った。途方に暮れながら携帯を切る祐太朗。と、その瞬間ある男が心配しなくて良いと祐太朗に告げる…。  　一方、メキシコ大使館の張り込みを続ける黒田は…。</t>
  </si>
  <si>
    <t>番組名&lt;木曜劇場&gt;外交官　黒田康作　#04</t>
  </si>
  <si>
    <t>http://www.fujitv.co.jp/KOSAKUKURODA/　黒田康作(織田裕二)が、霜村毅(香川照之)の行方を調査する中で、ついに新たな殺人事件が起きてしまう。霜村の娘、瑠衣(夏帆)の先輩、君島祐太朗(西島隆弘)を脅していた柏田勉(八神蓮)が何者かに殺されたのだ。殺害後の現場に居合わせた黒田と大垣利香子(柴咲コウ)は、それぞれの部所でますます問題視されてしまう。黒田は観上祥子(草刈民代)から来日するアリトリアの王女、サラ(ジェーニャ)のアテンドを命じられ、利香子は柏田事件やこれまでの捜査から外されてしまった。  　実は、黒田とサラは知り合いだった。かつて黒田が手がけたアリトリアでの邦人誘拐事件の被害者の中に、公にはされていないがサラも含まれていたのだ。当時から奔放な王女だったサラは、今も変化はない様子。来日式典はつつがなく行われたが、その後の予定をサラはキャンセル。そんな時、フリーライターの佐々木藍子(片瀬那奈)が黒田に霜村に関連する事件の取材を申し込んで来た。断る黒田に、藍子は何かをつかんでいる含みを残して去って行く。  　次の日、黒田はサラが勝手にホテルから抜け出したとの連絡を受ける。ホテルに急ぐ黒田の携帯に、メキシコ大使館に出入りする生花店のアルバイト店員から霜村を運んだと連絡が入った。身動きの取れない黒田は、利香子に霜村の追跡を依頼するのだが…。織田裕二　  柴咲コウ　  夏帆　  田中圭　  大倉孝二　  西島隆弘  　○　  近藤正臣  　○　  鹿賀丈史  　○　  片瀬那奈　  萩原聖人　  草刈民代　  香川照之　    ほか【原作】  真保裕一　    【脚本】  古家和尚　  池上純哉【企画】  臼井裕詞　    【プロデュース】  牧野正　    【演出】  永山耕三菅野祐悟</t>
  </si>
  <si>
    <t>http://www.fujitv.co.jp/KOSAKUKURODA/　黒田康作(織田裕二)が、霜村毅(香川照之)の行方を調査する中で、ついに新たな殺人事件が起きてしまう。霜村の娘、瑠衣(夏帆)の先輩、君島祐太朗(西島隆弘)を脅していた柏田勉(八神蓮)が何者かに殺されたのだ。殺害後の現場に居合わせた黒田と大垣利香子(柴咲コウ)は、それぞれの部所でますます問題視されてしまう。黒田は観上祥子(草刈民代)から来日するアリトリアの王女、サラ(ジェーニャ)のアテンドを命じられ、利香子は柏田事件やこれまでの捜査から外されてしまった。  　実は、黒田とサラは知り合いだった。かつて黒田が手がけたアリトリアでの邦人誘拐事件の被害者の中に、公にはされていないがサラも含まれていたのだ。当時から奔放な王女だったサラは、今も変化はない様子。来日式典はつつがなく行われたが、その後の予定をサラはキャンセル。そんな時、フリーライターの佐々木藍子(片瀬那奈)が黒田に霜村に関連する事件の取材を申し込んで来た。断る黒田に、藍子は何かをつかんでいる含みを残して去って行く。  　次の日、黒田はサラが勝手にホテルから抜け出したとの連絡を受ける。ホテルに急ぐ黒田の携帯に、メキシコ大使館に出入りする生花店のアルバイト店員から霜村を運んだと連絡が入った。身動きの取れない黒田は、利香子に霜村の追跡を依頼するのだが…。</t>
  </si>
  <si>
    <t>番組名&lt;木曜劇場&gt;外交官　黒田康作　#05</t>
  </si>
  <si>
    <t>http://www.fujitv.co.jp/KOSAKUKURODA/　黒田康作(織田裕二)は、アリトリア王女・サラ(ジェーニャ)の逃亡を助ける。黒田は日本とアリトリアが進める発電所建設計画のずさんさを知り、自国の自然を守るために計画覚書の調印を拒むサラの意を尊重したのだ。しかし、事態は警察を巻き込んでの失踪騒ぎになってしまう。ついに警察に追い詰められた黒田は、大垣利香子(柴咲コウ)に頼んで囲みを破った。その間に、アリトリアで新政権が発足。発電所の建設計画は中止になった。  　黒田はサラとともに観上祥子(草刈民代)の外務副大臣室を訪ねる。サラが迎えの侍従やSPと出て行くと、祥子は黒田の責任を問う。その時、祥子の秘書・悠木圭一(萩原聖人)に、王女の失踪と発電所計画の不備、建設を巡る日本の政治家とゼネコンとの癒着がマスコミにリークされたと連絡が。しかも、外務省が王女を守り、不正を食い止めたとされる。もはや、祥子は黒田の責任を追及する理由がなくなっていた。  　サラが帰国すると、黒田は祥子の下で働くことになる。一方、独自に大学教授殺害事件を追う利香子は、本庁の新居田一彦(田中哲司)から黒田をスパイするよう命令される。しかし、黒田は…。織田裕二　  柴咲コウ　  夏帆　  田中圭　  大倉孝二　  西島隆弘  　○　  近藤正臣  　○　  鹿賀丈史  　○　  片瀬那奈　  萩原聖人　  草刈民代　  香川照之　    ほか【原作】  真保裕一　    【脚本】  古家和尚　  池上純哉【企画】  臼井裕詞　    【プロデュース】  牧野正　    【演出】  西坂瑞城菅野祐悟　    【主題歌】『TIME　SAY　GOODBYE』IL　DIVO</t>
  </si>
  <si>
    <t>http://www.fujitv.co.jp/KOSAKUKURODA/　黒田康作(織田裕二)は、アリトリア王女・サラ(ジェーニャ)の逃亡を助ける。黒田は日本とアリトリアが進める発電所建設計画のずさんさを知り、自国の自然を守るために計画覚書の調印を拒むサラの意を尊重したのだ。しかし、事態は警察を巻き込んでの失踪騒ぎになってしまう。ついに警察に追い詰められた黒田は、大垣利香子(柴咲コウ)に頼んで囲みを破った。その間に、アリトリアで新政権が発足。発電所の建設計画は中止になった。  　黒田はサラとともに観上祥子(草刈民代)の外務副大臣室を訪ねる。サラが迎えの侍従やSPと出て行くと、祥子は黒田の責任を問う。その時、祥子の秘書・悠木圭一(萩原聖人)に、王女の失踪と発電所計画の不備、建設を巡る日本の政治家とゼネコンとの癒着がマスコミにリークされたと連絡が。しかも、外務省が王女を守り、不正を食い止めたとされる。もはや、祥子は黒田の責任を追及する理由がなくなっていた。  　サラが帰国すると、黒田は祥子の下で働くことになる。一方、独自に大学教授殺害事件を追う利香子は、本庁の新居田一彦(田中哲司)から黒田をスパイするよう命令される。しかし、黒田は…。</t>
  </si>
  <si>
    <t>番組名&lt;木曜劇場&gt;外交官　黒田康作　#06</t>
  </si>
  <si>
    <t>http://www.fujitv.co.jp/KOSAKUKURODA/　黒田康作(織田裕二)は佐々木藍子(片瀬那奈)の話から、霜村毅(香川照之)が絡む一連の事件の裏に薬害訴訟が起因している可能性を知る。その真実を確かめるべく、黒田は当時、被告となっていたブライトン・ジャパン製薬の吉村進社長(大河内浩)を新製品発表会場に訪ねる。しかし、吉村はトイレで殺害され、黒田は霜村に銃を突きつけられて、この件からは手を引いて欲しいと脅された。霜村は11年前の立てこもり事件での妻・倫世(紺野まひる)の死は流れ弾ではなく、狙われたのだと言い残して逃走してしまった。  　霜村の言葉の真意を探り始める黒田には、もうひとつ気にかかるところがあった。吉村殺害現場の会場に、刑事たちがいち早く駆けつけた事だ。警察への情報漏れを懸念する黒田は、大垣利香子(柴咲コウ)との連絡を絶つ。  　安藤庸介(鹿賀丈史)に会った黒田は、機密文書扱いになっている立てこもり事件の資料の中に倫世の検死報告書を見つける。そこには、意外な事実が隠されていた。  　霜村が吉村殺害で使った盗難車が発見された。利香子は、車の持ち主が車上荒らしの前科があることに気づく。その男を訪ねた利香子は、そこで電話番号らしきものが書かれたメモを拾った。書かれた番号にかけてみると、驚くべき人物が応答する。利香子は、すぐに黒田に連絡するのだが…。織田裕二　  柴咲コウ　  夏帆　  田中圭　  大倉孝二　  西島隆弘  　○　  近藤正臣  　○　  鹿賀丈史  　○　  片瀬那奈　  萩原聖人　  草刈民代　  香川照之　    ほか【原作】  真保裕一　    【脚本】  古家和尚　  池上純哉【企画】  臼井裕詞　    【プロデュース】  牧野正　    【演出】  西坂瑞城菅野祐悟　    【主題歌】  『TIME　SAY　GOODBYE』IL　DIVO</t>
  </si>
  <si>
    <t>http://www.fujitv.co.jp/KOSAKUKURODA/　黒田康作(織田裕二)は佐々木藍子(片瀬那奈)の話から、霜村毅(香川照之)が絡む一連の事件の裏に薬害訴訟が起因している可能性を知る。その真実を確かめるべく、黒田は当時、被告となっていたブライトン・ジャパン製薬の吉村進社長(大河内浩)を新製品発表会場に訪ねる。しかし、吉村はトイレで殺害され、黒田は霜村に銃を突きつけられて、この件からは手を引いて欲しいと脅された。霜村は11年前の立てこもり事件での妻・倫世(紺野まひる)の死は流れ弾ではなく、狙われたのだと言い残して逃走してしまった。  　霜村の言葉の真意を探り始める黒田には、もうひとつ気にかかるところがあった。吉村殺害現場の会場に、刑事たちがいち早く駆けつけた事だ。警察への情報漏れを懸念する黒田は、大垣利香子(柴咲コウ)との連絡を絶つ。  　安藤庸介(鹿賀丈史)に会った黒田は、機密文書扱いになっている立てこもり事件の資料の中に倫世の検死報告書を見つける。そこには、意外な事実が隠されていた。  　霜村が吉村殺害で使った盗難車が発見された。利香子は、車の持ち主が車上荒らしの前科があることに気づく。その男を訪ねた利香子は、そこで電話番号らしきものが書かれたメモを拾った。書かれた番号にかけてみると、驚くべき人物が応答する。利香子は、すぐに黒田に連絡するのだが…。</t>
  </si>
  <si>
    <t>番組名&lt;木曜劇場&gt;外交官　黒田康作　#07</t>
  </si>
  <si>
    <t>http://www.fujitv.co.jp/KOSAKUKURODA/　黒田康作(織田裕二)が調べる霜村毅(香川照之)が関与する一連の殺人事件の裏には、アメリカに本社をもつブライトン製薬がかつて起こしたアトロンという薬の訴訟問題が絡んでいた。事件の真相に近づく大垣利香子(柴咲コウ)を襲った山路貴繁(岩松了)の息子も、アトロンの副作用で亡くなっていた。  　黒田は山路のほかにも霜村の共犯者がいると、利香子を伴って佐々木藍子(片瀬那奈)のマンションへ。藍子もアトロンで妹を亡くしていたのだ。マンションには、すでに新居田一彦管理官(田中哲司)たちが家宅捜査に来ていた。協力を求める新居田に、黒田は訴訟問題とは無関係に思える柏田勉(八神蓮)殺害は、何らかの口封じだろうと話す。だが、黒田も新居田もお互いが持つカードを全て話すような事はしなかった。　マンションを出ると、黒田は利香子に君島祐太朗(西島隆弘)の身辺調査と、山路と関係が深い前科者の洗い出しを頼む。黒田は、霜村が次の行動を起こすと睨んでいた。  　黒田は外務省にも網を張っていた。さらには観上祥子外務副大臣(草刈民代)にもあるお願いをするのだった・・・。織田裕二　  柴咲コウ　  夏帆　  田中圭　  大倉孝二　  西島隆弘  　○　  近藤正臣  　○　  鹿賀丈史  　○　  片瀬那奈　  萩原聖人　  草刈民代　  香川照之　    ほか【原作】  真保裕一　    【脚本】  古家和尚　  池上純哉【企画】  臼井裕詞　    【プロデュース】  牧野正　    【演出】  西坂瑞城菅野祐悟　    【主題歌】  『TIME　SAY　GOODBYE』IL　DIVO</t>
  </si>
  <si>
    <t>http://www.fujitv.co.jp/KOSAKUKURODA/　黒田康作(織田裕二)が調べる霜村毅(香川照之)が関与する一連の殺人事件の裏には、アメリカに本社をもつブライトン製薬がかつて起こしたアトロンという薬の訴訟問題が絡んでいた。事件の真相に近づく大垣利香子(柴咲コウ)を襲った山路貴繁(岩松了)の息子も、アトロンの副作用で亡くなっていた。  　黒田は山路のほかにも霜村の共犯者がいると、利香子を伴って佐々木藍子(片瀬那奈)のマンションへ。藍子もアトロンで妹を亡くしていたのだ。マンションには、すでに新居田一彦管理官(田中哲司)たちが家宅捜査に来ていた。協力を求める新居田に、黒田は訴訟問題とは無関係に思える柏田勉(八神蓮)殺害は、何らかの口封じだろうと話す。だが、黒田も新居田もお互いが持つカードを全て話すような事はしなかった。　マンションを出ると、黒田は利香子に君島祐太朗(西島隆弘)の身辺調査と、山路と関係が深い前科者の洗い出しを頼む。黒田は、霜村が次の行動を起こすと睨んでいた。  　黒田は外務省にも網を張っていた。さらには観上祥子外務副大臣(草刈民代)にもあるお願いをするのだった・・・。</t>
  </si>
  <si>
    <t>番組名&lt;木曜劇場&gt;外交官　黒田康作　#08</t>
  </si>
  <si>
    <t>http://www.fujitv.co.jp/KOSAKUKURODA/　黒田康作(織田裕二)と大垣利香子(柴咲コウ)は、霜村毅(香川照之)の潜伏先を突き止めるのだが、瑠衣(夏帆)の妨害で取り逃がしてしまう。その後、瑠衣も君島祐太朗(西島隆弘)とともに姿を消してしまった。  　黒田は、斉藤修助外務大臣(近藤正臣)に呼び出されて、霜村に関する事件の調査を中止するよう命令される。しかし、黒田は西園寺守(田中圭)が独自に探し出した霜村のレポートを受け取り、再び調査に乗り出す。そんな黒田に新居田一彦管理官(田中哲司)が接触。公安に指揮権を奪われた新居田は、黒田に秘密裏の合同捜査を持ちかけてきたのだ。新居田は逮捕された山路貴繁(岩松了)の自白だと、霜村の次の狙いがブライトン・ジャパンの新経営陣発表の時だと話す。黒田は、それまでに瑠衣と祐太朗に会いたいと利香子に連絡する。利香子は2人の潜伏先を追っていた。　経営陣発表日の明け方、黒田はジョン(イ・ビョンホン)に連絡して新たな調査を依頼。その頃、利香子は教会のシスターから瑠衣たちの目撃情報を得ていた。織田裕二　  柴咲コウ　  夏帆　  田中圭　  大倉孝二　  西島隆弘  　○　  近藤正臣  　○　  イ・ビョンホン  　○　  鹿賀丈史  　○　  片瀬那奈　  萩原聖人　  草刈民代　  香川照之　    ほか【原作】  真保裕一　    【脚本】  古家和尚　  池上純哉【企画】  臼井裕詞　    【プロデュース】  牧野正　    【演出】  西坂瑞城菅野祐悟　    【主題歌】  『TIME　SAY　GOODBYE』IL　DIVO</t>
  </si>
  <si>
    <t>http://www.fujitv.co.jp/KOSAKUKURODA/　黒田康作(織田裕二)と大垣利香子(柴咲コウ)は、霜村毅(香川照之)の潜伏先を突き止めるのだが、瑠衣(夏帆)の妨害で取り逃がしてしまう。その後、瑠衣も君島祐太朗(西島隆弘)とともに姿を消してしまった。  　黒田は、斉藤修助外務大臣(近藤正臣)に呼び出されて、霜村に関する事件の調査を中止するよう命令される。しかし、黒田は西園寺守(田中圭)が独自に探し出した霜村のレポートを受け取り、再び調査に乗り出す。そんな黒田に新居田一彦管理官(田中哲司)が接触。公安に指揮権を奪われた新居田は、黒田に秘密裏の合同捜査を持ちかけてきたのだ。新居田は逮捕された山路貴繁(岩松了)の自白だと、霜村の次の狙いがブライトン・ジャパンの新経営陣発表の時だと話す。黒田は、それまでに瑠衣と祐太朗に会いたいと利香子に連絡する。利香子は2人の潜伏先を追っていた。　経営陣発表日の明け方、黒田はジョン(イ・ビョンホン)に連絡して新たな調査を依頼。その頃、利香子は教会のシスターから瑠衣たちの目撃情報を得ていた。</t>
  </si>
  <si>
    <t>番組名&lt;木曜劇場&gt;外交官　黒田康作　#09</t>
  </si>
  <si>
    <t>http://www.fujitv.co.jp/KOSAKUKURODA/　黒田康作(織田裕二)は、斉藤修助外務大臣(近藤正臣)に外交会議会場控え室で、矢田部誠一郎元内閣総理大臣(平泉成)を人質にした霜村毅(香川照之)の説得をさせて欲しいと頼む。会場は観上祥子外務副大臣(草刈民代)に銃を突きつけた悠木圭一(萩原聖人)と佐々木藍子(片瀬那奈)が占拠していた。一方、大垣利香子(柴咲コウ)と瑠衣(夏帆)は、病院に運ばれた君島祐太朗(西島隆弘)に付き添っていた。瑠衣は、自分のせいで祐太朗の病状を悪化させてしまったと責任を感じている。  　霜村は危険性が明白だったアトロン輸入の認可をした矢田部の責任を追及し、公にするよう迫っていた。さらに、霜村は11年前の日本大使館立てこもり事件での妻・倫世(紺野まひる)の死因を隠蔽したのも矢田部ではなかったのかと追及する。だが、矢田部は輸入認可への関与は認めたものの、倫世については知らないと言い張った。霜村が矢田部を会場に連れて行こうとした時、ようやく斉藤から許可を得た黒田は・・・。織田裕二　  柴咲コウ　  夏帆　  田中圭　  大倉孝二　  西島隆弘  　○　  近藤正臣  　○　  鹿賀丈史  　○　  片瀬那奈　  萩原聖人　  草刈民代　  香川照之　    ほか【原作】  真保裕一　    【脚本】  古家和尚　  池上純哉【企画】  臼井裕詞　    【プロデュース】  牧野正　    【演出】  西坂瑞城　  永山耕三菅野祐悟　    【主題歌】  『TIME　SAY　GOODBYE』IL　DIVO</t>
  </si>
  <si>
    <t>http://www.fujitv.co.jp/KOSAKUKURODA/　黒田康作(織田裕二)は、斉藤修助外務大臣(近藤正臣)に外交会議会場控え室で、矢田部誠一郎元内閣総理大臣(平泉成)を人質にした霜村毅(香川照之)の説得をさせて欲しいと頼む。会場は観上祥子外務副大臣(草刈民代)に銃を突きつけた悠木圭一(萩原聖人)と佐々木藍子(片瀬那奈)が占拠していた。一方、大垣利香子(柴咲コウ)と瑠衣(夏帆)は、病院に運ばれた君島祐太朗(西島隆弘)に付き添っていた。瑠衣は、自分のせいで祐太朗の病状を悪化させてしまったと責任を感じている。  　霜村は危険性が明白だったアトロン輸入の認可をした矢田部の責任を追及し、公にするよう迫っていた。さらに、霜村は11年前の日本大使館立てこもり事件での妻・倫世(紺野まひる)の死因を隠蔽したのも矢田部ではなかったのかと追及する。だが、矢田部は輸入認可への関与は認めたものの、倫世については知らないと言い張った。霜村が矢田部を会場に連れて行こうとした時、ようやく斉藤から許可を得た黒田は・・・。</t>
  </si>
  <si>
    <t>番組名&lt;木曜劇場&gt;外交官　黒田康作　#10</t>
  </si>
  <si>
    <t>http://www.fujitv.co.jp/KOSAKUKURODA/　黒田康作(織田裕二)の調査は、霜村毅(香川照之)と悠木圭一(萩原聖人)の死、佐々木藍子(片瀬那奈)の逮捕をもって決着しようとしていた。安藤庸介(鹿賀丈史)も黒田を邦人テロ対策室本来の業務に戻そうとする。だが、黒田はまだ納得することが出来ずにいた。黒田は、アトロン訴訟の裏で動いていた黒幕の正体を掴んだのだ。そんな黒田に鴨下祐司(大倉孝二)から連絡が入る。鴨下は黒田に11年前の大使館立てこもり事件の犠牲となった霜村の妻、倫世(紺野まひる)の検死調書を極秘扱いにしたのは自分だと打ち明ける。そして、鴨下は西園寺守(田中圭)とともに黒田の調査への協力を申し出た。黒田は、大垣利香子(柴咲コウ)に、近く行われる国連子供フォーラムの警備体制を調べるよう依頼。さらに、ジョン(イ・ビョンホン)との情報交換から、大使館立てこもり事件の真実を知る事となる。黒田は、全てを公にするため観上祥子(草刈民代)にも協力を頼んで、ある行動を起こす事を決意した。織田裕二　  柴咲コウ　  夏帆　  田中圭　  大倉孝二　  西島隆弘  　○　  近藤正臣  　○　  イ・ビョンホン  　○　  鹿賀丈史  　○　  片瀬那奈　  萩原聖人　  草刈民代　  香川照之　  ほか【原作】  真保裕一　    【脚本】  古家和尚　  池上純哉【企画】  臼井裕詞　    【プロデュース】  牧野正　    【演出】  西坂瑞城菅野祐悟　    【主題歌】  『TIME　SAY　GOODBYE』IL　DIVO</t>
  </si>
  <si>
    <t>http://www.fujitv.co.jp/KOSAKUKURODA/　黒田康作(織田裕二)の調査は、霜村毅(香川照之)と悠木圭一(萩原聖人)の死、佐々木藍子(片瀬那奈)の逮捕をもって決着しようとしていた。安藤庸介(鹿賀丈史)も黒田を邦人テロ対策室本来の業務に戻そうとする。だが、黒田はまだ納得することが出来ずにいた。黒田は、アトロン訴訟の裏で動いていた黒幕の正体を掴んだのだ。そんな黒田に鴨下祐司(大倉孝二)から連絡が入る。鴨下は黒田に11年前の大使館立てこもり事件の犠牲となった霜村の妻、倫世(紺野まひる)の検死調書を極秘扱いにしたのは自分だと打ち明ける。そして、鴨下は西園寺守(田中圭)とともに黒田の調査への協力を申し出た。黒田は、大垣利香子(柴咲コウ)に、近く行われる国連子供フォーラムの警備体制を調べるよう依頼。さらに、ジョン(イ・ビョンホン)との情報交換から、大使館立てこもり事件の真実を知る事となる。黒田は、全てを公にするため観上祥子(草刈民代)にも協力を頼んで、ある行動を起こす事を決意した。</t>
  </si>
  <si>
    <t>1010_CX_月21</t>
  </si>
  <si>
    <t>流れ星</t>
  </si>
  <si>
    <t>番組名流れ星　#01</t>
  </si>
  <si>
    <t>新江ノ島水族館に勤める岡田健吾(竹野内豊)は、婚約者・相澤美奈子(板谷由夏)との結婚を控え、幸せな気分でいた。  　同じ頃、槇原梨沙(上戸彩)も、恋人・藤代誠(大東俊介)から両親に会ってほしいと言われ、笑顔になる。と、そんなとき、梨沙の携帯電話が鳴った。誠には秘密にしているが、実は、梨沙はイメクラで働いており、電話は出勤の催促だったのだ。  　翌朝、仕事を終えた梨沙が戻ると、兄・修一(稲垣吾郎)が突然部屋に!!修一は、借金を梨沙に押し付けたまま姿を消していたが、返済のめどが立った、と訪ねてきたのだ。しかし、それを信じない梨沙が金を見せろと迫ると、修一は逆に梨沙の財布を奪おうとする。もみ合ううち、財布からイメクラの名刺が落ちてしまい、ショックを受けた梨沙は、部屋を飛び出す。  　がむしゃらに走った梨沙は、気づくと新江ノ島水族館のクラゲの水槽の前にいた。ふわふわと漂うクラゲを見ているうち、やがて閉館時間になってしまう。そんな梨沙に健吾が声をかける。それが2人の出会いだった。  　そんな折、健吾の妹・マリア(北乃きい)は、親友とおしゃべりに興じていると、突然、意識を失い倒れてしまう。病院で目を覚ましたマリアに、担当医師・神谷凌(松田翔太)はやさしい笑顔を見せる。  　その後、病院にやってきた健吾と母・和子(原田美枝子)に神谷は、マリアの余命は1年ほどだろうと告げた。突然の宣告に健吾は…。竹野内豊　  上戸彩　  松田翔太　  北乃きい　  川口春奈　  桐山照史(関西ジャニーズJr.)　  ちすん　  北川弘美  　・　  杉本哲太  　・　  板谷由夏　  原田美枝子　  稲垣吾郎　  ほか【脚本】  臼田素子　  秋山竜平【企画】  金井卓也    【プロデュース】  中野利幸    【演出】  宮本理江子　  石井祐介　  並木道子井筒昭雄　    【主題歌】  「流星」コブクロ(ワーナーミュージック・ジャパン)</t>
  </si>
  <si>
    <t>新江ノ島水族館に勤める岡田健吾(竹野内豊)は、婚約者・相澤美奈子(板谷由夏)との結婚を控え、幸せな気分でいた。  　同じ頃、槇原梨沙(上戸彩)も、恋人・藤代誠(大東俊介)から両親に会ってほしいと言われ、笑顔になる。と、そんなとき、梨沙の携帯電話が鳴った。誠には秘密にしているが、実は、梨沙はイメクラで働いており、電話は出勤の催促だったのだ。  　翌朝、仕事を終えた梨沙が戻ると、兄・修一(稲垣吾郎)が突然部屋に!!修一は、借金を梨沙に押し付けたまま姿を消していたが、返済のめどが立った、と訪ねてきたのだ。しかし、それを信じない梨沙が金を見せろと迫ると、修一は逆に梨沙の財布を奪おうとする。もみ合ううち、財布からイメクラの名刺が落ちてしまい、ショックを受けた梨沙は、部屋を飛び出す。  　がむしゃらに走った梨沙は、気づくと新江ノ島水族館のクラゲの水槽の前にいた。ふわふわと漂うクラゲを見ているうち、やがて閉館時間になってしまう。そんな梨沙に健吾が声をかける。それが2人の出会いだった。  　そんな折、健吾の妹・マリア(北乃きい)は、親友とおしゃべりに興じていると、突然、意識を失い倒れてしまう。病院で目を覚ましたマリアに、担当医師・神谷凌(松田翔太)はやさしい笑顔を見せる。  　その後、病院にやってきた健吾と母・和子(原田美枝子)に神谷は、マリアの余命は1年ほどだろうと告げた。突然の宣告に健吾は…。</t>
  </si>
  <si>
    <t>番組名流れ星　#02</t>
  </si>
  <si>
    <t>岡田健吾(竹野内豊)は、電車に飛び込む寸前の槇原梨沙(上戸彩)を救出すると、借金を払ってやるから結婚してくれ、とプロポーズした。妹を助けるために結婚し肝臓を分けてほしい、と言うのだ。梨沙はとまどうが、やがて、借金を肩代わりしてもらう代わりに承諾した。  　健吾の母・和子(原田美枝子)は、健吾が梨沙と結婚すると聞き驚くが、入院中のマリア(北乃きい)を助けるにはほかに手段はないという健吾に、返す言葉がない。健吾は梨沙に、梨沙がドナーに適合すると判れば、肝臓の移植手術を受けることになると告げた。梨沙は、手術が成功したら、100万円を上乗せすることを健吾に約束させた。  　翌日、イメクラにいた梨沙は、指名を受け個室に入っていく。と、そこにいたのは、兄・修一(稲垣吾郎)だった。梨沙と連絡が取れないため、店にやってきたのだ。梨沙は、店長を呼ぶと修一を店外へ。  　マリアを見舞った健吾は、マリアに沢村涼太(桐山照史)という友人ができたと聞く。彼氏か、と尋ねると、ムキになる妹を微笑ましく思う。その後、健吾は自宅へ戻るが、梨沙は帰宅していなかった。和子は、梨沙の気が変わったのでは、と不安になる。梨沙を信じる健吾だが、梨沙の携帯電話は、不通のままだった。  　そんな折、健吾は、同僚・川本順二(杉本哲太)に呼び出され、川本の自宅を尋ねる。と、そこに、健吾の元婚約者・相澤美奈子(板谷由夏)がいて…。竹野内豊　  上戸彩　  松田翔太　  北乃きい　  川口春奈　  桐山照史(関西ジャニーズJr.)　  ちすん　  北川弘美  　・　  杉本哲太  　・　  板谷由夏　  原田美枝子　  稲垣吾郎　  ほか【脚本】  臼田素子　  秋山竜平【企画】  金井卓也　    【プロデュース】  中野利幸　    【演出】  宮本理江子　  石井祐介　  並木道子井筒昭雄　    【主題歌】  「流星」コブクロ(ワーナーミュージック・ジャパン)</t>
  </si>
  <si>
    <t>岡田健吾(竹野内豊)は、電車に飛び込む寸前の槇原梨沙(上戸彩)を救出すると、借金を払ってやるから結婚してくれ、とプロポーズした。妹を助けるために結婚し肝臓を分けてほしい、と言うのだ。梨沙はとまどうが、やがて、借金を肩代わりしてもらう代わりに承諾した。  　健吾の母・和子(原田美枝子)は、健吾が梨沙と結婚すると聞き驚くが、入院中のマリア(北乃きい)を助けるにはほかに手段はないという健吾に、返す言葉がない。健吾は梨沙に、梨沙がドナーに適合すると判れば、肝臓の移植手術を受けることになると告げた。梨沙は、手術が成功したら、100万円を上乗せすることを健吾に約束させた。  　翌日、イメクラにいた梨沙は、指名を受け個室に入っていく。と、そこにいたのは、兄・修一(稲垣吾郎)だった。梨沙と連絡が取れないため、店にやってきたのだ。梨沙は、店長を呼ぶと修一を店外へ。  　マリアを見舞った健吾は、マリアに沢村涼太(桐山照史)という友人ができたと聞く。彼氏か、と尋ねると、ムキになる妹を微笑ましく思う。その後、健吾は自宅へ戻るが、梨沙は帰宅していなかった。和子は、梨沙の気が変わったのでは、と不安になる。梨沙を信じる健吾だが、梨沙の携帯電話は、不通のままだった。  　そんな折、健吾は、同僚・川本順二(杉本哲太)に呼び出され、川本の自宅を尋ねる。と、そこに、健吾の元婚約者・相澤美奈子(板谷由夏)がいて…。</t>
  </si>
  <si>
    <t>番組名流れ星　#03</t>
  </si>
  <si>
    <t>岡田健吾(竹野内豊)と槇原梨沙(上戸彩)は、役所に婚姻届を提出した。これでふたりは夫婦となり、梨沙は結婚の条件だった金を健吾から受け取った。そして、母の和子(原田美枝子)に結婚を報告。移植手術までの間、梨沙は岡田家に住むことになった。  　同じ頃、梨沙のアパートで兄の修一(稲垣吾郎)は、部屋の様子から、梨沙が部屋を出ていることを知る。  　一方、健吾の妹のマリア(北乃きい)は、健吾と相澤美奈子(板谷由夏)の結婚を心待ちにしていた。神谷凌(松田翔太)は、はしゃぐマリアを笑顔で見守る。そんな神谷に、健吾からドナー候補が見つかった、と連絡が入った。  　梨沙と打ち解けつつある和子は、健吾と梨沙を連れ出すと、デートスポットでふたりの写真を撮ったり、結婚指輪を購入させたりした。今後、移植の前に、医師らからドナーを志願した理由、結婚のことなどを聞かれるため、夫婦らしく見えるように、という配慮からだ。その後、健吾と梨沙が買い物をしていると、川本順二(杉本哲太)と妻の千鶴(ちすん)が声をかけてきた。健吾と梨沙の関係を怪しむふたりに、梨沙は、自分は健吾の家に居候している「いとこ」だと言い、ふたりもそれを信じる。  　そんな折、マリアは病院の廊下で、沢村涼太(桐山照史)と出くわす。と、そこに涼太に手を振る女性がいた。姉の琴美(早織)だった。  　そして、ついに移植前の面談の日がやってきた。竹野内豊　  上戸彩　  松田翔太　  北乃きい　  川口春奈　  桐山照史(関西ジャニーズJr.)　  ちすん　  北川弘美  　・　  杉本哲太  　・　  板谷由夏　  原田美枝子　  稲垣吾郎　  ほか【脚本】  臼田素子　  秋山竜平【企画】  金井卓也　    【プロデュース】  中野利幸　    【演出】  宮本理江子　  石井祐介　  並木道子井筒昭雄　    【主題歌】  「流星」コブクロ(ワーナーミュージック・ジャパン)</t>
  </si>
  <si>
    <t>岡田健吾(竹野内豊)と槇原梨沙(上戸彩)は、役所に婚姻届を提出した。これでふたりは夫婦となり、梨沙は結婚の条件だった金を健吾から受け取った。そして、母の和子(原田美枝子)に結婚を報告。移植手術までの間、梨沙は岡田家に住むことになった。  　同じ頃、梨沙のアパートで兄の修一(稲垣吾郎)は、部屋の様子から、梨沙が部屋を出ていることを知る。  　一方、健吾の妹のマリア(北乃きい)は、健吾と相澤美奈子(板谷由夏)の結婚を心待ちにしていた。神谷凌(松田翔太)は、はしゃぐマリアを笑顔で見守る。そんな神谷に、健吾からドナー候補が見つかった、と連絡が入った。  　梨沙と打ち解けつつある和子は、健吾と梨沙を連れ出すと、デートスポットでふたりの写真を撮ったり、結婚指輪を購入させたりした。今後、移植の前に、医師らからドナーを志願した理由、結婚のことなどを聞かれるため、夫婦らしく見えるように、という配慮からだ。その後、健吾と梨沙が買い物をしていると、川本順二(杉本哲太)と妻の千鶴(ちすん)が声をかけてきた。健吾と梨沙の関係を怪しむふたりに、梨沙は、自分は健吾の家に居候している「いとこ」だと言い、ふたりもそれを信じる。  　そんな折、マリアは病院の廊下で、沢村涼太(桐山照史)と出くわす。と、そこに涼太に手を振る女性がいた。姉の琴美(早織)だった。  　そして、ついに移植前の面談の日がやってきた。</t>
  </si>
  <si>
    <t>番組名流れ星　#04</t>
  </si>
  <si>
    <t>ある朝、新江ノ島水族館にいた岡田健吾(竹野内豊)を神谷凌(松田翔太)が訪ねてきた。神谷は、健吾が相澤美奈子(板谷由夏)と別れた直後に槇原梨沙(上戸彩)と結婚し、その後、梨沙がマリア(北乃きい)のドナーに立候補したことを都合が良すぎると感じていたのだ。  　その後、梨沙は神谷に呼ばれ、ドナーになるのは義務ではなく肝臓を提供しないという選択肢もあると言われるが、梨沙は自分はマリアを助けたいし、そのために臓器を提供したいのだ、と断言する。  　岡田家では健吾と和子(原田美枝子)が、何も知らないマリアにどうやって梨沙のことを話せばいいのか、と案じていた。  　そんな折、健吾を訪ねて、梨沙の兄の修一(稲垣吾郎)が水族館にやってきた。川本順二(杉本哲太)は、妙に馴れ馴れしく健吾の行き先を尋ねる修一を不審に思う。  　その頃、梨沙はマリアの病室にいた。ふたりはお互いの素性を知らぬまま出会い、親交を持っていたのだ。と、そこへ、健吾がやってきた。健吾と梨沙は目が合うが、すぐに逸らすと、梨沙は病室を出ていく。  　そんな日の夜、健吾と梨沙は、自宅の庭で空を見上げていた。沖縄の海中には、流れ星のように見える魚の群れがいると教える健吾に、梨沙は、新婚旅行で連れて行ってくれ、と冗談めかして言う。すると健吾は、手術が終ったら行ってみるかと笑顔を見せ…。竹野内豊　  上戸彩　  松田翔太　  北乃きい　  川口春奈　  桐山照史(関西ジャニーズJr.)　  ちすん　  北川弘美  　・　  杉本哲太  　・　  板谷由夏　  原田美枝子　  稲垣吾郎　    ほか【脚本】  臼田素子　  秋山竜平【企画】  金井卓也　    【プロデュース】  中野利幸　    【演出】  宮本理江子　  石井祐介　  並木道子井筒昭雄　    【主題歌】  「流星」コブクロ(ワーナーミュージック・ジャパン)</t>
  </si>
  <si>
    <t>ある朝、新江ノ島水族館にいた岡田健吾(竹野内豊)を神谷凌(松田翔太)が訪ねてきた。神谷は、健吾が相澤美奈子(板谷由夏)と別れた直後に槇原梨沙(上戸彩)と結婚し、その後、梨沙がマリア(北乃きい)のドナーに立候補したことを都合が良すぎると感じていたのだ。  　その後、梨沙は神谷に呼ばれ、ドナーになるのは義務ではなく肝臓を提供しないという選択肢もあると言われるが、梨沙は自分はマリアを助けたいし、そのために臓器を提供したいのだ、と断言する。  　岡田家では健吾と和子(原田美枝子)が、何も知らないマリアにどうやって梨沙のことを話せばいいのか、と案じていた。  　そんな折、健吾を訪ねて、梨沙の兄の修一(稲垣吾郎)が水族館にやってきた。川本順二(杉本哲太)は、妙に馴れ馴れしく健吾の行き先を尋ねる修一を不審に思う。  　その頃、梨沙はマリアの病室にいた。ふたりはお互いの素性を知らぬまま出会い、親交を持っていたのだ。と、そこへ、健吾がやってきた。健吾と梨沙は目が合うが、すぐに逸らすと、梨沙は病室を出ていく。  　そんな日の夜、健吾と梨沙は、自宅の庭で空を見上げていた。沖縄の海中には、流れ星のように見える魚の群れがいると教える健吾に、梨沙は、新婚旅行で連れて行ってくれ、と冗談めかして言う。すると健吾は、手術が終ったら行ってみるかと笑顔を見せ…。</t>
  </si>
  <si>
    <t>番組名流れ星　#05</t>
  </si>
  <si>
    <t>岡田健吾(竹野内豊)は、神谷凌(松田翔太)から、マリア(北乃きい)が行方不明だと連絡を受けた。マリアの病室にやってきた健吾は、ベッドのそばに、壊されたウエルカムボードを見つける。  　その頃、マリアは電車の中にいて、横にはマリアを追ってきた沢村涼太(桐山照史)がいた。ふたりの携帯電話には、神谷から連絡が入るが、ふたりは電源を切ってしまう。　健吾は、自宅にいる槇原梨沙(上戸彩)に電話をするが、マリアは自宅にも連絡をしてきていなかった。また、安田瑞希(川口春奈)も、相澤美奈子(板谷由夏)も、マリアの失踪を知らなかった。  　同じ頃、槇原修一(稲垣吾郎)は、看護師・中島留美(北川弘美)をバーに誘い、グラスを傾けていた。  　一向にマリアの行方が知れない中、梨沙は、ここに引っ越す前の家なのではないか、とつぶやく。健吾が否定すると、山梨ではないのか、と梨沙が尋ねる。山梨という言葉に、健吾と和子(原田美枝子)は顔を見合わせた。マリアが、山梨で生まれたと言っていたというのだ。それを聞いた健吾は、車のキーを取ると…。竹野内豊　  上戸彩　  松田翔太　  北乃きい　  川口春奈　  桐山照史(関西ジャニーズJr.)　  ちすん　  北川弘美  　・　  杉本哲太  　・　  板谷由夏　  原田美枝子　  稲垣吾郎　    ほか【脚本】  臼田素子　  秋山竜平【企画】  金井卓也　    【プロデュース】  中野利幸　    【演出】  宮本理江子　  石井祐介　  並木道子井筒昭雄　    【主題歌】  「流星」コブクロ(ワーナーミュージック・ジャパン)</t>
  </si>
  <si>
    <t>岡田健吾(竹野内豊)は、神谷凌(松田翔太)から、マリア(北乃きい)が行方不明だと連絡を受けた。マリアの病室にやってきた健吾は、ベッドのそばに、壊されたウエルカムボードを見つける。  　その頃、マリアは電車の中にいて、横にはマリアを追ってきた沢村涼太(桐山照史)がいた。ふたりの携帯電話には、神谷から連絡が入るが、ふたりは電源を切ってしまう。　健吾は、自宅にいる槇原梨沙(上戸彩)に電話をするが、マリアは自宅にも連絡をしてきていなかった。また、安田瑞希(川口春奈)も、相澤美奈子(板谷由夏)も、マリアの失踪を知らなかった。  　同じ頃、槇原修一(稲垣吾郎)は、看護師・中島留美(北川弘美)をバーに誘い、グラスを傾けていた。  　一向にマリアの行方が知れない中、梨沙は、ここに引っ越す前の家なのではないか、とつぶやく。健吾が否定すると、山梨ではないのか、と梨沙が尋ねる。山梨という言葉に、健吾と和子(原田美枝子)は顔を見合わせた。マリアが、山梨で生まれたと言っていたというのだ。それを聞いた健吾は、車のキーを取ると…。</t>
  </si>
  <si>
    <t>番組名流れ星　#06</t>
  </si>
  <si>
    <t>岡田健吾(竹野内豊)、梨沙(上戸彩)、マリア(北乃きい)、和子(原田美枝子)は自宅に戻るが、マリアは移植手術を受けることを拒否していた。そんなマリアに梨沙は、自分が岡田家にいる意味はあるのかと悩む。  　病院に戻ったマリアは、神谷凌(松田翔太)に、手術を受けるつもりはないと言い、健吾と梨沙の間に肝臓をめぐり金銭の授受があったことを話してしまう。  　そんな折、岡田家に槇原修一(稲垣吾郎)がやってきた。修一と面識のない和子は、梨沙の兄だと言う修一を家に入れる。マリアの手術のことを知っていた修一は、梨沙をドナーにするのは止めてくれ、と和子に頼む。  　その頃、梨沙は相澤美奈子(板谷由夏)に会っていた。梨沙は、手術後に健吾と美奈子がヨリを戻すと伝えれば、マリアは納得して手術を受けるのではないか、と言う。  　同じ日の夕方、健吾はマリアを訪ね、手術を受けるように言うが、マリアは譲らない。それどころか、早く梨沙と離婚をして追い出してくれと伝える。  　マリアの病室を出た健吾に、神谷が声をかけた。神谷は、金銭の授受があるとわかった以上、移植はできないと言う。健吾は食い下がるが、神谷はその場を立ち去ってしまう。  　一方、マリアと山梨に出掛けた涼太(桐山照史)の病状が急激に悪化する。神谷も含めて、脳死ドナーが現れない限り、なすすべもなく、見守る健吾とマリアだったが…。竹野内豊　  上戸彩　  松田翔太　  北乃きい　  川口春奈　  桐山照史(関西ジャニーズJr.)　  ちすん　  北川弘美  　・　  杉本哲太  　・　  板谷由夏　  原田美枝子　  稲垣吾郎　    ほか【脚本】  臼田素子　  秋山竜平【企画】  金井卓也　    【プロデュース】  中野利幸　    【演出】  宮本理江子　  石井祐介　  並木道子井筒昭雄　    【主題歌】  「流星」コブクロ(ワーナーミュージック・ジャパン)</t>
  </si>
  <si>
    <t>岡田健吾(竹野内豊)、梨沙(上戸彩)、マリア(北乃きい)、和子(原田美枝子)は自宅に戻るが、マリアは移植手術を受けることを拒否していた。そんなマリアに梨沙は、自分が岡田家にいる意味はあるのかと悩む。  　病院に戻ったマリアは、神谷凌(松田翔太)に、手術を受けるつもりはないと言い、健吾と梨沙の間に肝臓をめぐり金銭の授受があったことを話してしまう。  　そんな折、岡田家に槇原修一(稲垣吾郎)がやってきた。修一と面識のない和子は、梨沙の兄だと言う修一を家に入れる。マリアの手術のことを知っていた修一は、梨沙をドナーにするのは止めてくれ、と和子に頼む。  　その頃、梨沙は相澤美奈子(板谷由夏)に会っていた。梨沙は、手術後に健吾と美奈子がヨリを戻すと伝えれば、マリアは納得して手術を受けるのではないか、と言う。  　同じ日の夕方、健吾はマリアを訪ね、手術を受けるように言うが、マリアは譲らない。それどころか、早く梨沙と離婚をして追い出してくれと伝える。  　マリアの病室を出た健吾に、神谷が声をかけた。神谷は、金銭の授受があるとわかった以上、移植はできないと言う。健吾は食い下がるが、神谷はその場を立ち去ってしまう。  　一方、マリアと山梨に出掛けた涼太(桐山照史)の病状が急激に悪化する。神谷も含めて、脳死ドナーが現れない限り、なすすべもなく、見守る健吾とマリアだったが…。</t>
  </si>
  <si>
    <t>1010_CX_火21</t>
  </si>
  <si>
    <t>フリーター、家を買う。</t>
  </si>
  <si>
    <t>番組名フリーター、家を買う。　#01</t>
  </si>
  <si>
    <t>三流私大を卒業した武誠治(二宮和也)は、部品会社に就職したが、社風になじめず、たった3カ月で辞めてしまう。中堅商社で経理畑ひと筋に働いてきた父・誠一(竹中直人)は、何故相談もなく勝手に辞めたのか、と誠治を怒鳴りつけた。専業主婦の母・寿美子(浅野温子)は、誠治が自分で決めたことだから、と言ってかばった。誠治は、その気になればすぐに就職できると軽く考えていた。しかし、就職活動は思うようにいかなかった。誠治は、とりあえずアルバイトを始めたものの、人間関係が上手くいかないとすぐに辞めてしまい、バイトを転々とする日々が続いた。誠治の姉で、開業医のもとに嫁いだ亜矢子(井川遥)は、自堕落な弟の行く末を案じていた。それでも寿美子だけは、誠治を信じて見守っていた。そんなある日、寿美子のようすがおかしくなる。寿美子は、食品が散乱したキッチンに座り込み、「ごめんなさい今日も死ねませんでした」と何度も繰り返していた。寿美子が重度のうつ病であることを知った亜矢子は、原因に心当たりはないのか、と誠治と誠一を問い詰める。すると誠一は、すべて誠治のせいだと言い出す。寿美子に心配をかけたことを悔やんだ誠治は、再就職することを決意し、その準備資金作りのために、大悦貞夫(大友康平)が経営する大悦土木でアルバイトを始める。そこで誠治は、大手ゼネコンの社員の千葉真奈美(香里奈)という女性と出会い…。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t>
  </si>
  <si>
    <t>三流私大を卒業した武誠治(二宮和也)は、部品会社に就職したが、社風になじめず、たった3カ月で辞めてしまう。中堅商社で経理畑ひと筋に働いてきた父・誠一(竹中直人)は、何故相談もなく勝手に辞めたのか、と誠治を怒鳴りつけた。専業主婦の母・寿美子(浅野温子)は、誠治が自分で決めたことだから、と言ってかばった。誠治は、その気になればすぐに就職できると軽く考えていた。しかし、就職活動は思うようにいかなかった。誠治は、とりあえずアルバイトを始めたものの、人間関係が上手くいかないとすぐに辞めてしまい、バイトを転々とする日々が続いた。誠治の姉で、開業医のもとに嫁いだ亜矢子(井川遥)は、自堕落な弟の行く末を案じていた。それでも寿美子だけは、誠治を信じて見守っていた。そんなある日、寿美子のようすがおかしくなる。寿美子は、食品が散乱したキッチンに座り込み、「ごめんなさい今日も死ねませんでした」と何度も繰り返していた。寿美子が重度のうつ病であることを知った亜矢子は、原因に心当たりはないのか、と誠治と誠一を問い詰める。すると誠一は、すべて誠治のせいだと言い出す。寿美子に心配をかけたことを悔やんだ誠治は、再就職することを決意し、その準備資金作りのために、大悦貞夫(大友康平)が経営する大悦土木でアルバイトを始める。そこで誠治は、大手ゼネコンの社員の千葉真奈美(香里奈)という女性と出会い…。</t>
  </si>
  <si>
    <t>番組名フリーター、家を買う。　#02</t>
  </si>
  <si>
    <t>武誠治(二宮和也)は、千葉真奈美(香里奈)が大手ゼネコン・喜嶋建設の社員であることを知る。誠治をアルバイトとして雇った大悦土木は、喜嶋建設の仕事を請け負っていたのだ。ある日、真奈美の発注ミスで現場の作業がストップする事態が起きる。真奈美は、皆の足を引っ張ってしまったことを悔やみ、残って事務所の掃除を始める。誠治は、そんな真奈美の行為を自己満足だと決めつける。誠治が家に戻ると、寿美子(浅野温子)がリビングでゴミ袋の中身を広げていた。集積場所に出した燃えるゴミの袋に、ビンが混ざっていたために戻されてしまったのだ。寿美子は、キチンと分別しないと迷惑がかかる、と言って何度も中身を確認していた。そこに帰ってきた誠一(竹中直人)は、その光景を見ても何も言わずに2階に上がってしまう。あくる朝、誠治は、出かける前にゴミの分別を手伝ったこともあって遅刻してしまう。大悦土木社長の大悦貞夫(大友康平)は、そんな誠治に帰るよう命じる。その日の作業が上手くいくかどうかは現場の空気が重要だというのだ。その処遇に不満を抱いた誠治は、アルバイトを辞めようと思い、ハローワークを訪ねる。誠治は、ハローワークの北山雅彦(児嶋一哉)に、企画・開発以外の仕事も検討すると告げる。だが、月給20万円以上という条件は譲らなかった。すると北山は、あなたに20万円払う価値があるかどうかを決めるのは会社側だと告げ…。二宮和也　    香里奈　    井川遥　    丸山隆平(関ジャニ∞)　    井上正大　  岡本玲　  横尾渉(ジャニーズ　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</si>
  <si>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武誠治(二宮和也)は、千葉真奈美(香里奈)が大手ゼネコン・喜嶋建設の社員であることを知る。誠治をアルバイトとして雇った大悦土木は、喜嶋建設の仕事を請け負っていたのだ。ある日、真奈美の発注ミスで現場の作業がストップする事態が起きる。真奈美は、皆の足を引っ張ってしまったことを悔やみ、残って事務所の掃除を始める。誠治は、そんな真奈美の行為を自己満足だと決めつける。誠治が家に戻ると、寿美子(浅野温子)がリビングでゴミ袋の中身を広げていた。集積場所に出した燃えるゴミの袋に、ビンが混ざっていたために戻されてしまったのだ。寿美子は、キチンと分別しないと迷惑がかかる、と言って何度も中身を確認していた。そこに帰ってきた誠一(竹中直人)は、その光景を見ても何も言わずに2階に上がってしまう。あくる朝、誠治は、出かける前にゴミの分別を手伝ったこともあって遅刻してしまう。大悦土木社長の大悦貞夫(大友康平)は、そんな誠治に帰るよう命じる。その日の作業が上手くいくかどうかは現場の空気が重要だというのだ。その処遇に不満を抱いた誠治は、アルバイトを辞めようと思い、ハローワークを訪ねる。誠治は、ハローワークの北山雅彦(児嶋一哉)に、企画・開発以外の仕事も検討すると告げる。だが、月給20万円以上という条件は譲らなかった。すると北山は、あなたに20万円払う価値があるかどうかを決めるのは会社側だと告げ…。</t>
  </si>
  <si>
    <t>番組名フリーター、家を買う。　#03</t>
  </si>
  <si>
    <t>武誠治(二宮和也)は、大悦土木でのアルバイトにも慣れ、以前よりも前向きに仕事に取り組むようになっていた。ある日、誠治は千葉真奈美(香里奈)から飲みに誘われる。真奈美は、誠治をとある居酒屋に連れて行く。すると店には、大悦土木で一緒に働いている豊川哲平(丸山隆平)と手島信二(井上正大)が先に来ており、誠治たちを待っていた。そこで誠治は、自分よりも年下の手島が、目標を持って仕事に取り組んでいることを知る。そんな折、誠治は、武家が出した可燃ゴミの袋に、隣人の西本幸子(坂口良子)がこっそりビンを入れているところを目撃する。誠治は、母・寿美子(浅野温子)にそれを報告しようとした。しかし寿美子は、自分が悪い、と言って謝り続けるばかりだった。誠治は、姉の亜矢子(井川遥)に連絡を取り、一緒に寿美子を病院に連れて行く。その際、亜矢子は、以前にも何度かおかしな出来事があったことを思い出していた。事情を知った主治医の岡野忠志(田中壮太郎)は、いまの生活環境に原因があるのなら引っ越した方がいい、とアドバイスした。誠治と亜矢子は、父・誠一(竹中直人)にこの一件を報告し、引っ越しの相談をする。しかし誠一は、寿美子が心の弱さを治さない限りどこへ引っ越しても同じことの繰り返しだ、などと言ってふたりの言葉に耳を貸そうとはしなかった。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</si>
  <si>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武誠治(二宮和也)は、大悦土木でのアルバイトにも慣れ、以前よりも前向きに仕事に取り組むようになっていた。ある日、誠治は千葉真奈美(香里奈)から飲みに誘われる。真奈美は、誠治をとある居酒屋に連れて行く。すると店には、大悦土木で一緒に働いている豊川哲平(丸山隆平)と手島信二(井上正大)が先に来ており、誠治たちを待っていた。そこで誠治は、自分よりも年下の手島が、目標を持って仕事に取り組んでいることを知る。そんな折、誠治は、武家が出した可燃ゴミの袋に、隣人の西本幸子(坂口良子)がこっそりビンを入れているところを目撃する。誠治は、母・寿美子(浅野温子)にそれを報告しようとした。しかし寿美子は、自分が悪い、と言って謝り続けるばかりだった。誠治は、姉の亜矢子(井川遥)に連絡を取り、一緒に寿美子を病院に連れて行く。その際、亜矢子は、以前にも何度かおかしな出来事があったことを思い出していた。事情を知った主治医の岡野忠志(田中壮太郎)は、いまの生活環境に原因があるのなら引っ越した方がいい、とアドバイスした。誠治と亜矢子は、父・誠一(竹中直人)にこの一件を報告し、引っ越しの相談をする。しかし誠一は、寿美子が心の弱さを治さない限りどこへ引っ越しても同じことの繰り返しだ、などと言ってふたりの言葉に耳を貸そうとはしなかった。</t>
  </si>
  <si>
    <t>番組名フリーター、家を買う。　#04</t>
  </si>
  <si>
    <t>武誠治(二宮和也)は、母・寿美子(浅野温子)のために、家を買うという目標を立てる。寿美子がうつ病になってしまったのは、10年以上に及ぶ近所からの嫌がらせが原因だと知ったからだ。しかし、父親の誠一(竹中直人)は、子どものころから目標を立てても努力をしようとしなかった誠治には無理だと決めつけると、アルバイトでは住宅ローンも組めない、と言い放つ。それに対して誠治は、引越しでもいいから1日でも早くこの家から出る、と返す。誠治は、武家から出た家庭ゴミをアルバイト先の大悦土木まで運び、一緒に捨てさせてほしいと社長の大悦貞夫(大友康平)に頼んだ。大悦は、家庭ゴミと違い、事業所のゴミは有料で引き取ってもらっていることを誠治に告げるが、事情を察して特別にそれを許可する。千葉真奈美(香里奈)は、そんな誠治のことを心配し、声をかけた。誠治は、努めて明るく振る舞いながらも、近所からのいじめが母の病気に関係していることを彼女に打ち明けた。誠治は、寿美子がキチンと薬を飲んでいるかどうか確認するために、昼休みの間にアルバイト先から一旦家に戻ることにした。さらに、アルバイトを終えると、今度はハローワークへと駆け込んだ。だが、そんな日々を送るうちに無理がたたり、誠治はとうとう倒れてしまう。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</si>
  <si>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武誠治(二宮和也)は、母・寿美子(浅野温子)のために、家を買うという目標を立てる。寿美子がうつ病になってしまったのは、10年以上に及ぶ近所からの嫌がらせが原因だと知ったからだ。しかし、父親の誠一(竹中直人)は、子どものころから目標を立てても努力をしようとしなかった誠治には無理だと決めつけると、アルバイトでは住宅ローンも組めない、と言い放つ。それに対して誠治は、引越しでもいいから1日でも早くこの家から出る、と返す。誠治は、武家から出た家庭ゴミをアルバイト先の大悦土木まで運び、一緒に捨てさせてほしいと社長の大悦貞夫(大友康平)に頼んだ。大悦は、家庭ゴミと違い、事業所のゴミは有料で引き取ってもらっていることを誠治に告げるが、事情を察して特別にそれを許可する。千葉真奈美(香里奈)は、そんな誠治のことを心配し、声をかけた。誠治は、努めて明るく振る舞いながらも、近所からのいじめが母の病気に関係していることを彼女に打ち明けた。誠治は、寿美子がキチンと薬を飲んでいるかどうか確認するために、昼休みの間にアルバイト先から一旦家に戻ることにした。さらに、アルバイトを終えると、今度はハローワークへと駆け込んだ。だが、そんな日々を送るうちに無理がたたり、誠治はとうとう倒れてしまう。</t>
  </si>
  <si>
    <t>番組名フリーター、家を買う。　#05</t>
  </si>
  <si>
    <t>誠治(二宮和也)は、大悦土木のメンバーに、父・誠一(竹中直人)に母・寿美子(浅野温子)の面倒を頼みたいが、顔を合わせばけんかになってしまい、言い出せないと相談する。真田(嶋大輔)は、自分も臨月の嫁に、小さなことでつい怒ってしまったと明かす。真奈美(香里奈)は、密かに思いを寄せる山賀(眞島秀和)から食事に誘われて、大悦土木を離れて自分の部下にならないかと言われる。ある日、誠治と亜矢子(井川遥)が帰宅すると頼んでいない、10人前のラーメンの出前が届き、寿美子が困惑していた。誠治と亜矢子は、西本(坂口良子)の仕業ではないかと疑う。一方、弁護士の西本和彦(横尾渉)とデートをすると浮かれるあかり(岡本玲)。あかりに片思い中の豊川(丸山隆平)は、誰とデートしようと、あかりちゃんをあきらめないと話す。ある日、誠治が大悦土木で作業中、真田が妻の体調が悪くなったと慌てた表情で帰宅する。代わりに残って作業をすることになった誠治が、誠一に帰宅が遅くなるので寿美子に薬を飲ませるよう電話を入れる。誠一は、寿美子と一緒にお酒を飲もうとワインを購入する。  　ある日大悦土木のメンバーと居酒屋で飲んでいると、大悦(大友康平)に真田から、妻が緊急手術になってしまったと連絡が入る。その頃武家では、寿美子に異変があって・・・?二宮和也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</si>
  <si>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誠治(二宮和也)は、大悦土木のメンバーに、父・誠一(竹中直人)に母・寿美子(浅野温子)の面倒を頼みたいが、顔を合わせばけんかになってしまい、言い出せないと相談する。真田(嶋大輔)は、自分も臨月の嫁に、小さなことでつい怒ってしまったと明かす。真奈美(香里奈)は、密かに思いを寄せる山賀(眞島秀和)から食事に誘われて、大悦土木を離れて自分の部下にならないかと言われる。ある日、誠治と亜矢子(井川遥)が帰宅すると頼んでいない、10人前のラーメンの出前が届き、寿美子が困惑していた。誠治と亜矢子は、西本(坂口良子)の仕業ではないかと疑う。一方、弁護士の西本和彦(横尾渉)とデートをすると浮かれるあかり(岡本玲)。あかりに片思い中の豊川(丸山隆平)は、誰とデートしようと、あかりちゃんをあきらめないと話す。ある日、誠治が大悦土木で作業中、真田が妻の体調が悪くなったと慌てた表情で帰宅する。代わりに残って作業をすることになった誠治が、誠一に帰宅が遅くなるので寿美子に薬を飲ませるよう電話を入れる。誠一は、寿美子と一緒にお酒を飲もうとワインを購入する。  　ある日大悦土木のメンバーと居酒屋で飲んでいると、大悦(大友康平)に真田から、妻が緊急手術になってしまったと連絡が入る。その頃武家では、寿美子に異変があって・・・?</t>
  </si>
  <si>
    <t>番組名フリーター、家を買う。　#06</t>
  </si>
  <si>
    <t>誠治(二宮和也)は、父・誠一(竹中直人)が女性(玄里)と一緒にいるところを見てしまい動揺を隠せない。一方大悦土木では、哲平(丸山隆平)が、弁護士の和彦(横尾渉)のひどい仕打ちに傷心中のあかり(岡本玲)に相変わらずアプローチを続けていた。真田(嶋大輔)は、先日産まれたばかりの赤ん坊の写真を仲間に見せて、親ばかぶりを発揮する。あかりは、真奈美(香里奈)が結婚をしている山賀(眞島秀和)にあこがれを抱いていると気付いていながらも、山賀に「赤ちゃん、欲しくなっちゃいません?」と声をかける。複雑な真奈美の表情を見た誠治は、誠一の女性問題が気がかりのあまり、真奈美に強く当たってしまう。そのやりとりを見ていた大悦(大友康平)は、誠治に声をかける。一方、誠一は自分が飲ませたワインのせいで入院中の寿美子(浅野温子)に対して理解を示し、優しさを見せ始めるが、誠治は誠一の女性問題がくすぶって素直に受け止められず、「出て行け!」と怒鳴ってしまう。ついに誠治が亜矢子(井川遥)に事情を話すと、亜矢子が、女性の家に乗り込もうと言い出して・・・?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</si>
  <si>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誠治(二宮和也)は、父・誠一(竹中直人)が女性(玄里)と一緒にいるところを見てしまい動揺を隠せない。一方大悦土木では、哲平(丸山隆平)が、弁護士の和彦(横尾渉)のひどい仕打ちに傷心中のあかり(岡本玲)に相変わらずアプローチを続けていた。真田(嶋大輔)は、先日産まれたばかりの赤ん坊の写真を仲間に見せて、親ばかぶりを発揮する。あかりは、真奈美(香里奈)が結婚をしている山賀(眞島秀和)にあこがれを抱いていると気付いていながらも、山賀に「赤ちゃん、欲しくなっちゃいません?」と声をかける。複雑な真奈美の表情を見た誠治は、誠一の女性問題が気がかりのあまり、真奈美に強く当たってしまう。そのやりとりを見ていた大悦(大友康平)は、誠治に声をかける。一方、誠一は自分が飲ませたワインのせいで入院中の寿美子(浅野温子)に対して理解を示し、優しさを見せ始めるが、誠治は誠一の女性問題がくすぶって素直に受け止められず、「出て行け!」と怒鳴ってしまう。ついに誠治が亜矢子(井川遥)に事情を話すと、亜矢子が、女性の家に乗り込もうと言い出して・・・?</t>
  </si>
  <si>
    <t>番組名フリーター、家を買う。　#07</t>
  </si>
  <si>
    <t>武家では、退院した寿美子(浅野温子)に対して誠一(竹中直人)が、寿美子が薬を飲んだかどうかのチェックをするなど、積極的に寿美子をサポートするようになる。誠治(二宮和也)は、誠一に大悦土木のバイトは就職が決まるまでのつなぎだ、就職活動はどうなっていると言われ、誠治は自分が大悦土木の仕事は稼ぎが良く、融通が利くから、という理由以外のやりがいを感じ始めていることに気付く。姉の亜矢子(井川遥)は姑の永田則子(鷲尾真知子)から息子の智也(橋本智哉)が医者になりたいと思うように導くのがあなたの仕事だと言われて、しかめ顔。大悦土木では、真奈美(香里奈)が指示した仕事で、哲平(丸山隆平)が事故に遭って病院に運ばれた。真奈美は昔、自分が現場監督を務める現場で事故が起きて、作業員が大けがを負ったことに未だ責任を感じていた。哲平の事故は、大悦(大友康平)も「偶発的で避けられない事故だった」と言うが真奈美はショックを受け、会社を休むようになって・・・?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</si>
  <si>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武家では、退院した寿美子(浅野温子)に対して誠一(竹中直人)が、寿美子が薬を飲んだかどうかのチェックをするなど、積極的に寿美子をサポートするようになる。誠治(二宮和也)は、誠一に大悦土木のバイトは就職が決まるまでのつなぎだ、就職活動はどうなっていると言われ、誠治は自分が大悦土木の仕事は稼ぎが良く、融通が利くから、という理由以外のやりがいを感じ始めていることに気付く。姉の亜矢子(井川遥)は姑の永田則子(鷲尾真知子)から息子の智也(橋本智哉)が医者になりたいと思うように導くのがあなたの仕事だと言われて、しかめ顔。大悦土木では、真奈美(香里奈)が指示した仕事で、哲平(丸山隆平)が事故に遭って病院に運ばれた。真奈美は昔、自分が現場監督を務める現場で事故が起きて、作業員が大けがを負ったことに未だ責任を感じていた。哲平の事故は、大悦(大友康平)も「偶発的で避けられない事故だった」と言うが真奈美はショックを受け、会社を休むようになって・・・?</t>
  </si>
  <si>
    <t>番組名フリーター、家を買う。　#08</t>
  </si>
  <si>
    <t>誠治(二宮和也)、真奈美(香里奈)、あかり(岡本玲)は哲平(丸山隆平)の病院にお見舞いへ訪れる。哲平は、どうってことないと言って明るくふるまう。一方、武家には亜矢子(井川遥)の姑・則子(鷲尾真知子)が突然訪れて、智也(橋本智哉)の教育に手を抜いていると一方的に誠一(竹中直人)と寿美子(浅野温子)に話しに来る。  　武家の隣人・西本(坂口良子)は、相沢(ムロツヨシ)という男から表札や印鑑などを買っていたが、やっとそれが詐欺であるということに気がつき、泣き崩れる。そして西本は相沢に、いい人を知っていると連絡を入れる。  　ある日、大悦(大友康平)が過去の経費を見直すための膨大な資料の前で困り果てていた。誠治は、大悦土木の経費資料をデータ化する作業を自ら引き受ける。誠一は、バイト先の仕事に時間を割いている誠治を見て、困っている人を助ける余裕がお前にあるのかと指摘。腹を立てた誠治は、つい誠一に父親としての資質を責めるような事を言ってしまい、口論になる。誠治が大悦土木のメンバーに、誠一との口論について話すと、大悦は誠治をしかりとばす。そして誠治は、新たな会社の就職試験を受けることを決めるが・・・?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</si>
  <si>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誠治(二宮和也)、真奈美(香里奈)、あかり(岡本玲)は哲平(丸山隆平)の病院にお見舞いへ訪れる。哲平は、どうってことないと言って明るくふるまう。一方、武家には亜矢子(井川遥)の姑・則子(鷲尾真知子)が突然訪れて、智也(橋本智哉)の教育に手を抜いていると一方的に誠一(竹中直人)と寿美子(浅野温子)に話しに来る。  　武家の隣人・西本(坂口良子)は、相沢(ムロツヨシ)という男から表札や印鑑などを買っていたが、やっとそれが詐欺であるということに気がつき、泣き崩れる。そして西本は相沢に、いい人を知っていると連絡を入れる。  　ある日、大悦(大友康平)が過去の経費を見直すための膨大な資料の前で困り果てていた。誠治は、大悦土木の経費資料をデータ化する作業を自ら引き受ける。誠一は、バイト先の仕事に時間を割いている誠治を見て、困っている人を助ける余裕がお前にあるのかと指摘。腹を立てた誠治は、つい誠一に父親としての資質を責めるような事を言ってしまい、口論になる。誠治が大悦土木のメンバーに、誠一との口論について話すと、大悦は誠治をしかりとばす。そして誠治は、新たな会社の就職試験を受けることを決めるが・・・?</t>
  </si>
  <si>
    <t>番組名フリーター、家を買う。　#09</t>
  </si>
  <si>
    <t>誠治(二宮和也)は、母・寿美子(浅野温子)の為に引っ越しをしようと決意を固め、父・誠一(竹中直人)に改めて引っ越しの件を相談する。姑の則子(鷲尾真知子)に、きついことを言ってしまった亜矢子(井川遥)は旦那の文也(七海智哉)からたしなめられたこともあり則子にわびるが・・・。一方、真奈美(香里奈)は山賀(眞島秀和)に、気持ちの整理がついたので、山賀のいる設計部門に行きたいと申し出る。一方誠治は、先日試験を受けた医療機器メーカーから最終面接のお知らせを受け取る。  　ある日、誠一は機嫌を悪くしていた。理由は、会社からの要請で家の外壁の塗り替えを命じられたため、急遽まとまったお金が必要になったからだ。それを聞いた寿美子は様子をおかしくする。なぜなら、武家の隣人の西本(坂口良子)が印鑑などを買わされてだまされた相沢(ムロツヨシ)という男が、西本の紹介で寿美子の元へ訪れて、そうとは知らない寿美子が相沢から勧められた高額商品を購入していたからだ。ある日、誠治はバイトの帰りに通りがかった神社に、最終面接の成功を祈願しようとふらりと立ち寄る。すると、ハローワークの北山(児嶋一哉)とばったり会う。北山は婚活祈願に訪れているといい、誠治に好きな人がいるのか?と聞く。そしてむかえた誠治の最終面接。果たして試験の結果は・・・?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</si>
  <si>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誠治(二宮和也)は、母・寿美子(浅野温子)の為に引っ越しをしようと決意を固め、父・誠一(竹中直人)に改めて引っ越しの件を相談する。姑の則子(鷲尾真知子)に、きついことを言ってしまった亜矢子(井川遥)は旦那の文也(七海智哉)からたしなめられたこともあり則子にわびるが・・・。一方、真奈美(香里奈)は山賀(眞島秀和)に、気持ちの整理がついたので、山賀のいる設計部門に行きたいと申し出る。一方誠治は、先日試験を受けた医療機器メーカーから最終面接のお知らせを受け取る。  　ある日、誠一は機嫌を悪くしていた。理由は、会社からの要請で家の外壁の塗り替えを命じられたため、急遽まとまったお金が必要になったからだ。それを聞いた寿美子は様子をおかしくする。なぜなら、武家の隣人の西本(坂口良子)が印鑑などを買わされてだまされた相沢(ムロツヨシ)という男が、西本の紹介で寿美子の元へ訪れて、そうとは知らない寿美子が相沢から勧められた高額商品を購入していたからだ。ある日、誠治はバイトの帰りに通りがかった神社に、最終面接の成功を祈願しようとふらりと立ち寄る。すると、ハローワークの北山(児嶋一哉)とばったり会う。北山は婚活祈願に訪れているといい、誠治に好きな人がいるのか?と聞く。そしてむかえた誠治の最終面接。果たして試験の結果は・・・?</t>
  </si>
  <si>
    <t>番組名フリーター、家を買う。　#10</t>
  </si>
  <si>
    <t>誠治(二宮和也)は、隣人の西本(坂口良子)の差し金とは知らず、相沢(ムロツヨシ)という男にだまされて商品を購入させられた寿美子(浅野温子)のために、自分が働いて貯めてきた100万円を使ったことを大悦土木のメンバーに話す。職長の大悦(大友康平)は誠治へ大悦土木の正社員にならないかと持ちかける。一方で誠治は、先日寿美子の為に最終面接を受けずに家へ戻った会社から、会って話がしたいと言われる。ある日、武家には姑との関係が悪化した亜矢子(井川遥)が息子の智也(橋本智哉)を連れて帰ってきてしまう。また設計部門に行くことが決まった真奈美(香里奈)は、和歌山に2年間研修に行くことになって・・・。誠治は大悦土木の仲間と離れてしまうのか。真奈美との関係は?そして、目標だった家を、買うことができるのか。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</si>
  <si>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誠治(二宮和也)は、隣人の西本(坂口良子)の差し金とは知らず、相沢(ムロツヨシ)という男にだまされて商品を購入させられた寿美子(浅野温子)のために、自分が働いて貯めてきた100万円を使ったことを大悦土木のメンバーに話す。職長の大悦(大友康平)は誠治へ大悦土木の正社員にならないかと持ちかける。一方で誠治は、先日寿美子の為に最終面接を受けずに家へ戻った会社から、会って話がしたいと言われる。ある日、武家には姑との関係が悪化した亜矢子(井川遥)が息子の智也(橋本智哉)を連れて帰ってきてしまう。また設計部門に行くことが決まった真奈美(香里奈)は、和歌山に2年間研修に行くことになって・・・。誠治は大悦土木の仲間と離れてしまうのか。真奈美との関係は?そして、目標だった家を、買うことができるのか。</t>
  </si>
  <si>
    <t>1010_CX_火22</t>
  </si>
  <si>
    <t>ギルティ</t>
  </si>
  <si>
    <t>番組名ギルティ　悪魔と契約した女　#01</t>
  </si>
  <si>
    <t>過去の冤罪を晴らすため、心美しきその女は復讐の鬼と化す…。人を追い詰め、死に追いやり、破滅へと向かわせる。そして、危険と知りながらも、その女を追う失意の刑事。すべての人物が激しい運命に巻き込まれる、極上のミステリーが幕を開ける!　東京・目黒のオフィスビルから男が飛び降り自殺を遂げた。騒然となる現場から犬を連れた女・野上芽衣子(菅野美穂)が人知れず立ち去る。  　1カ月後、警視庁捜査一課の管理官・三輪周平(モロ師岡)が失踪。捜索を開始した部下の刑事・真島拓朗(玉木宏)は、側溝に落ちた犬が助け出せず困っている芽衣子に出会う。　まもなく、三輪の残した手帳から目黒の自殺事件を報じる新聞記事が発見された。真島は事件と三輪の関係を追う中、ペットサロンで三輪の愛犬を担当していた芽衣子に再会。飼い主の不在で行き場をなくした犬の面倒を見たいと申し出る心やさしい芽衣子だが、彼女には別の顔があった…。菅野美穂　  玉木宏　  吉瀬美智子　  水上剣星　  滝沢沙織　  RIKIYA　  横山めぐみ　  吉田鋼太郎　  唐沢寿明【原案】  相沢友子　    【脚本】  大久保ともみ　  平野悠希【プロデュース】  吉條英希　  稲田秀樹　    【演出】  小林義則　  植田泰史住友紀人　  【主題歌】  「この夜を止めてよ」JUJU(ソニー・ミュージックアソシエイテッドレコーズ)</t>
  </si>
  <si>
    <t>過去の冤罪を晴らすため、心美しきその女は復讐の鬼と化す…。人を追い詰め、死に追いやり、破滅へと向かわせる。そして、危険と知りながらも、その女を追う失意の刑事。すべての人物が激しい運命に巻き込まれる、極上のミステリーが幕を開ける!　東京・目黒のオフィスビルから男が飛び降り自殺を遂げた。騒然となる現場から犬を連れた女・野上芽衣子(菅野美穂)が人知れず立ち去る。  　1カ月後、警視庁捜査一課の管理官・三輪周平(モロ師岡)が失踪。捜索を開始した部下の刑事・真島拓朗(玉木宏)は、側溝に落ちた犬が助け出せず困っている芽衣子に出会う。　まもなく、三輪の残した手帳から目黒の自殺事件を報じる新聞記事が発見された。真島は事件と三輪の関係を追う中、ペットサロンで三輪の愛犬を担当していた芽衣子に再会。飼い主の不在で行き場をなくした犬の面倒を見たいと申し出る心やさしい芽衣子だが、彼女には別の顔があった…。</t>
  </si>
  <si>
    <t>番組名ギルティ　悪魔と契約した女　#02</t>
  </si>
  <si>
    <t>http://guilty.ktv.jp/　芽衣子(菅野美穂)が15年前に起こった毒殺事件の被疑者だったことを知った真島(玉木宏)は、彼女の身辺調査を開始。職業をシステムエンジニアだと偽り、パソコンの苦手な芽衣子の指導をある思惑を持って引き受ける。  　その頃、芽衣子はアニマルセラピーのボランティアで訪ねた病院で重い心臓病を患う少女・美咲(美山加恋)と親しくなる一方、次のターゲットである弁護士の松永征一(石丸謙二郎)を追い詰め始めていた。　そんな折、真島は宇喜田(吉田鋼太郎)から、後輩の宏太(川野直樹)を殺した溝口(金井勇太)の意外な判決について知らされ…。菅野美穂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</si>
  <si>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芽衣子(菅野美穂)が15年前に起こった毒殺事件の被疑者だったことを知った真島(玉木宏)は、彼女の身辺調査を開始。職業をシステムエンジニアだと偽り、パソコンの苦手な芽衣子の指導をある思惑を持って引き受ける。  　その頃、芽衣子はアニマルセラピーのボランティアで訪ねた病院で重い心臓病を患う少女・美咲(美山加恋)と親しくなる一方、次のターゲットである弁護士の松永征一(石丸謙二郎)を追い詰め始めていた。　そんな折、真島は宇喜田(吉田鋼太郎)から、後輩の宏太(川野直樹)を殺した溝口(金井勇太)の意外な判決について知らされ…。</t>
  </si>
  <si>
    <t>番組名ギルティ　悪魔と契約した女　#03</t>
  </si>
  <si>
    <t>http://guilty.ktv.jp/　宇喜田(吉田鋼太郎)から真島(玉木宏)の監視を命じられた万里(吉瀬美智子)は、真島の謹慎を解くこと、真島が進めている三輪(モロ師岡)の捜索に自分も加わり行動をともにすることを条件にこれを受け入れる。　一方、15年前の「毒入りケーキ事件」を調べていた真島は、堂島(唐沢寿明)から思わぬことを聞かされる。当時、芽衣子(菅野美穂)のほかに真犯人がいるとの噂があったというのだ。事件は冤罪の可能性もあったが、堂島はセンセーショナルな記事を書くためにあえてこれを無視したという。  　そんな折、育児拒否に陥ったアンが自分の生んだ子犬を襲うようになり、預けられていた動物病院にいられなくなった。行き場をなくしたアンを心配する芽衣子に、真島は夜だけなら自分の家で引き取ると申し出て、芽衣子と昼夜交代でアンの面倒をみることになる。芽衣子はアンの落ち着き先が決まったことを自分のことのように喜ぶ。  　同じ頃、松永(石丸謙二郎)は、娘・美咲(美山加恋)の心臓移植手術のドナーを見つけるため、怪しく動き始めていた。松永を自殺に追い込む機会をうかがっていた芽衣子は、そんな松永に対する、ある計画に着手する。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</si>
  <si>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宇喜田(吉田鋼太郎)から真島(玉木宏)の監視を命じられた万里(吉瀬美智子)は、真島の謹慎を解くこと、真島が進めている三輪(モロ師岡)の捜索に自分も加わり行動をともにすることを条件にこれを受け入れる。　一方、15年前の「毒入りケーキ事件」を調べていた真島は、堂島(唐沢寿明)から思わぬことを聞かされる。当時、芽衣子(菅野美穂)のほかに真犯人がいるとの噂があったというのだ。事件は冤罪の可能性もあったが、堂島はセンセーショナルな記事を書くためにあえてこれを無視したという。  　そんな折、育児拒否に陥ったアンが自分の生んだ子犬を襲うようになり、預けられていた動物病院にいられなくなった。行き場をなくしたアンを心配する芽衣子に、真島は夜だけなら自分の家で引き取ると申し出て、芽衣子と昼夜交代でアンの面倒をみることになる。芽衣子はアンの落ち着き先が決まったことを自分のことのように喜ぶ。  　同じ頃、松永(石丸謙二郎)は、娘・美咲(美山加恋)の心臓移植手術のドナーを見つけるため、怪しく動き始めていた。松永を自殺に追い込む機会をうかがっていた芽衣子は、そんな松永に対する、ある計画に着手する。</t>
  </si>
  <si>
    <t>番組名ギルティ　悪魔と契約した女　#04</t>
  </si>
  <si>
    <t>http://guilty.ktv.jp/　15年前の事件を担当した鑑識は三輪(モロ師岡)だった。捜査に加わった万里(吉瀬美智子)は、三輪が失踪前に現れた女子刑務所で「かわいそうなことをした」と芽衣子(菅野美穂)について話していたことを知る。一方、真島(玉木宏)は不審な死を遂げた松永(石丸謙二郎)が弁護士だったことから裁判に着目。芽衣子の事件の公判記録を調べようとするが…。  　そんな中、芽衣子はIT会社の社長・金谷文則(山崎裕太)に狙いを定め、復讐の準備を進めていた。金谷の恋人でタレントの高橋遥(岩佐真悠子)に近づいた芽衣子は、愛犬・シルクのトリミングを担当。自宅マンションに通ってシルクの手入れをし、遥から絶大なる信頼を得ていた。  　そんなある日、金谷の友人の人気タレントが覚せい剤で逮捕された。芽衣子は遥の自宅にあった金谷の服に粉薬の入った袋をこっそりしのばせ、これを遥に見つけさせる。芽衣子の巧みな言葉で覚せい剤だと思い込まされ、金谷にも薬物常用の疑いがあると吹き込まれた遥は、自分にも疑惑が向くのではないかと動揺。そんな遥に金谷から離れるよう助言した芽衣子は、遥にあることを提案する。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</si>
  <si>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15年前の事件を担当した鑑識は三輪(モロ師岡)だった。捜査に加わった万里(吉瀬美智子)は、三輪が失踪前に現れた女子刑務所で「かわいそうなことをした」と芽衣子(菅野美穂)について話していたことを知る。一方、真島(玉木宏)は不審な死を遂げた松永(石丸謙二郎)が弁護士だったことから裁判に着目。芽衣子の事件の公判記録を調べようとするが…。  　そんな中、芽衣子はIT会社の社長・金谷文則(山崎裕太)に狙いを定め、復讐の準備を進めていた。金谷の恋人でタレントの高橋遥(岩佐真悠子)に近づいた芽衣子は、愛犬・シルクのトリミングを担当。自宅マンションに通ってシルクの手入れをし、遥から絶大なる信頼を得ていた。  　そんなある日、金谷の友人の人気タレントが覚せい剤で逮捕された。芽衣子は遥の自宅にあった金谷の服に粉薬の入った袋をこっそりしのばせ、これを遥に見つけさせる。芽衣子の巧みな言葉で覚せい剤だと思い込まされ、金谷にも薬物常用の疑いがあると吹き込まれた遥は、自分にも疑惑が向くのではないかと動揺。そんな遥に金谷から離れるよう助言した芽衣子は、遥にあることを提案する。</t>
  </si>
  <si>
    <t>番組名ギルティ　悪魔と契約した女　#05</t>
  </si>
  <si>
    <t>http://guilty.ktv.jp/　芽衣子(菅野美穂)は、IT会社社長・金谷(山崎裕太)の恋人・遥(岩佐真悠子)を誘拐と見せかけ連れ出した。さらに、覚せい剤を常用している証拠を世間に公表すると金谷を脅し、5億円を要求。一方、金谷のオフィスに駆けつけた真島(玉木宏)は、金谷の身に危険が迫っていると面会を求めるが、社員に追い払われてしまう。  　芽衣子の復讐計画に巻き込まれているとも知らず、遥は金谷の祖母・ミエ(上岡紘子)が暮らす高級老人ホームに身を隠していた。芽衣子は金谷が明日にも逮捕されると遥に吹き込み、しばらく潜伏を続けるよう言い含める。  　一方、万里(吉瀬美智子)は単独で捜査を進める真島にいら立っていた。真島が芽衣子に近づく意図が知りたい万里は、15年前の事件を調べようと公判資料を請求するが…。  　そんな折、アンを預けにペットサロンを訪れた真島は芽衣子に会う。だが、真島が芽衣子を思わず抱きしめてしまった日以来、真島を遠ざけるようになっていた芽衣子は目を合わせることもできない。そんな芽衣子に真島は、帰宅の遅い自分に代わってアンを部屋に送り届けて欲しいと、自宅の鍵を渡す。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</si>
  <si>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芽衣子(菅野美穂)は、IT会社社長・金谷(山崎裕太)の恋人・遥(岩佐真悠子)を誘拐と見せかけ連れ出した。さらに、覚せい剤を常用している証拠を世間に公表すると金谷を脅し、5億円を要求。一方、金谷のオフィスに駆けつけた真島(玉木宏)は、金谷の身に危険が迫っていると面会を求めるが、社員に追い払われてしまう。  　芽衣子の復讐計画に巻き込まれているとも知らず、遥は金谷の祖母・ミエ(上岡紘子)が暮らす高級老人ホームに身を隠していた。芽衣子は金谷が明日にも逮捕されると遥に吹き込み、しばらく潜伏を続けるよう言い含める。  　一方、万里(吉瀬美智子)は単独で捜査を進める真島にいら立っていた。真島が芽衣子に近づく意図が知りたい万里は、15年前の事件を調べようと公判資料を請求するが…。  　そんな折、アンを預けにペットサロンを訪れた真島は芽衣子に会う。だが、真島が芽衣子を思わず抱きしめてしまった日以来、真島を遠ざけるようになっていた芽衣子は目を合わせることもできない。そんな芽衣子に真島は、帰宅の遅い自分に代わってアンを部屋に送り届けて欲しいと、自宅の鍵を渡す。</t>
  </si>
  <si>
    <t>番組名ギルティ　悪魔と契約した女　#06</t>
  </si>
  <si>
    <t>http://guilty.ktv.jp/金谷(山崎裕太)が遺体で見つかったビルの前で三輪(モロ師岡)を目撃した真島(玉木宏)は、万里(吉瀬美智子)とともに行方を追うが足取りはつかめない。そんな折、宇喜田(吉田鋼太郎)から三輪を金谷殺害の重要参考人として追うと告げられる。三輪のパソコンから金谷の殺害計画を記したようなファイルが見つかったというのだ。    　一方、芽衣子(菅野美穂)は真島が刑事だったと知り、ショックを受けていた。そんなとき、ペットショップに現れた真島を何事もなかったかのように迎えた芽衣子は「話したいことがある」と食事に誘う。    　芽衣子は自分が殺人罪で逮捕されたことを打ち明けて探りを入れ、真島が事件を知っていたと察して複雑な心境に。そんな2人の様子をじっとうかがう黒い影があった。    　翌日、万里は次に命を狙われるのは堂島(唐沢寿明)だとにらみ、保護させて欲しいと説得するが、堂島はこれを拒否。まもなく、その場を立ち去った堂島の携帯電話が鳴り出した。非通知着信の電話に怪訝そうに出る堂島は、聞こえてくるその声にハっと驚く。自分を責めるようなその口調…。それは、野上芽衣子からの電話だった。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</si>
  <si>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金谷(山崎裕太)が遺体で見つかったビルの前で三輪(モロ師岡)を目撃した真島(玉木宏)は、万里(吉瀬美智子)とともに行方を追うが足取りはつかめない。そんな折、宇喜田(吉田鋼太郎)から三輪を金谷殺害の重要参考人として追うと告げられる。三輪のパソコンから金谷の殺害計画を記したようなファイルが見つかったというのだ。    　一方、芽衣子(菅野美穂)は真島が刑事だったと知り、ショックを受けていた。そんなとき、ペットショップに現れた真島を何事もなかったかのように迎えた芽衣子は「話したいことがある」と食事に誘う。    　芽衣子は自分が殺人罪で逮捕されたことを打ち明けて探りを入れ、真島が事件を知っていたと察して複雑な心境に。そんな2人の様子をじっとうかがう黒い影があった。    　翌日、万里は次に命を狙われるのは堂島(唐沢寿明)だとにらみ、保護させて欲しいと説得するが、堂島はこれを拒否。まもなく、その場を立ち去った堂島の携帯電話が鳴り出した。非通知着信の電話に怪訝そうに出る堂島は、聞こえてくるその声にハっと驚く。自分を責めるようなその口調…。それは、野上芽衣子からの電話だった。</t>
  </si>
  <si>
    <t>番組名ギルティ　悪魔と契約した女　#07</t>
  </si>
  <si>
    <t>http://guilty.ktv.jp/　情報提供者だった堂島(唐沢寿明)から「あんたの復讐はおしまい」と告げられた芽衣子(菅野美穂)は、渡された次のターゲットの資料を見てその意味を知る。芽衣子を襲った男は溝口(金井勇太)で、警視庁捜査一課の実権を握る宇喜田(吉田鋼太郎)と裏で繋がっていたのだ。宇喜田が警察権力を巧みに利用し、溝口まで使って自分を妨害していると考えた芽衣子は、ある企みを胸に復讐の続行を決意する。　一方、真島(玉木宏)は三輪(モロ師岡)の電話から、芽衣子を冤罪に追い込んだのは警察関係者ではないかとにらんでいた。さらに捜査の中で、15年前の事件の担当が宇喜田だったこと、事件をきっかけに異例の出世を遂げていることを知り、この事実を突きつけて宇喜田を挑発する。まもなく、宇喜田は密かに溝口と接触。芽衣子とは別のある人物を襲うよう指示する。    　そんな折、真島に三輪から再び電話が入った。人気のない場所に真島を呼び出した三輪は、15年前の事件について驚くべき事実を明かす。菅野美穂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</si>
  <si>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情報提供者だった堂島(唐沢寿明)から「あんたの復讐はおしまい」と告げられた芽衣子(菅野美穂)は、渡された次のターゲットの資料を見てその意味を知る。芽衣子を襲った男は溝口(金井勇太)で、警視庁捜査一課の実権を握る宇喜田(吉田鋼太郎)と裏で繋がっていたのだ。宇喜田が警察権力を巧みに利用し、溝口まで使って自分を妨害していると考えた芽衣子は、ある企みを胸に復讐の続行を決意する。　一方、真島(玉木宏)は三輪(モロ師岡)の電話から、芽衣子を冤罪に追い込んだのは警察関係者ではないかとにらんでいた。さらに捜査の中で、15年前の事件の担当が宇喜田だったこと、事件をきっかけに異例の出世を遂げていることを知り、この事実を突きつけて宇喜田を挑発する。まもなく、宇喜田は密かに溝口と接触。芽衣子とは別のある人物を襲うよう指示する。    　そんな折、真島に三輪から再び電話が入った。人気のない場所に真島を呼び出した三輪は、15年前の事件について驚くべき事実を明かす。</t>
  </si>
  <si>
    <t>番組名ギルティ　悪魔と契約した女　#08</t>
  </si>
  <si>
    <t>http://guilty.ktv.jp/　腹を刺された三輪(モロ師岡)が息を引き取り、溝口(金井勇太)が現場から逃走した。だが、溝口と宇喜田(吉田鋼太郎)のつながりを知った警察上層部は事実を隠蔽。三輪が暴力団の抗争に巻き込まれて死亡したと発表する。納得いかない万里(吉瀬美智子)は捜査を続行。事件を警察に通報したのが芽衣子(菅野美穂)だったと知る。    　一方、真島(玉木宏)は溝口の行方を追っていた。溝口への激しい怒りが抑えきれず、何かに憑かれたように溝口を探す真島を心配する鶴見(水上剣星)。    　万里は事件の現場にいた芽衣子が溝口とつながり、真島や三輪を襲わせたのではないかと疑っていた。芽衣子のもとに押しかけ、溝口との関係を問いただす万里。だが、真相を話そうとしない芽衣子にいら立つ万里は「あなたの本性を必ず暴いてみせる」と挑戦的に言い放つ。    　そんな折、真島に溝口から電話が入った。真島の好きな女を殺すと次の犯行をほのめかす溝口の言葉にハッとなった真島が駆けつけたのは芽衣子のもとだった。真島は芽衣子をつけてきた溝口を発見し、拳銃を取り出して追いかけていく。溝口が真島に襲いかかるが、これをかわし、真島は溝口に対して恨みをこめて銃口を向ける。そして、芽衣子の目の前で銃声が響きわたった。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</si>
  <si>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腹を刺された三輪(モロ師岡)が息を引き取り、溝口(金井勇太)が現場から逃走した。だが、溝口と宇喜田(吉田鋼太郎)のつながりを知った警察上層部は事実を隠蔽。三輪が暴力団の抗争に巻き込まれて死亡したと発表する。納得いかない万里(吉瀬美智子)は捜査を続行。事件を警察に通報したのが芽衣子(菅野美穂)だったと知る。    　一方、真島(玉木宏)は溝口の行方を追っていた。溝口への激しい怒りが抑えきれず、何かに憑かれたように溝口を探す真島を心配する鶴見(水上剣星)。    　万里は事件の現場にいた芽衣子が溝口とつながり、真島や三輪を襲わせたのではないかと疑っていた。芽衣子のもとに押しかけ、溝口との関係を問いただす万里。だが、真相を話そうとしない芽衣子にいら立つ万里は「あなたの本性を必ず暴いてみせる」と挑戦的に言い放つ。    　そんな折、真島に溝口から電話が入った。真島の好きな女を殺すと次の犯行をほのめかす溝口の言葉にハッとなった真島が駆けつけたのは芽衣子のもとだった。真島は芽衣子をつけてきた溝口を発見し、拳銃を取り出して追いかけていく。溝口が真島に襲いかかるが、これをかわし、真島は溝口に対して恨みをこめて銃口を向ける。そして、芽衣子の目の前で銃声が響きわたった。</t>
  </si>
  <si>
    <t>番組名ギルティ　悪魔と契約した女　#09</t>
  </si>
  <si>
    <t>http://guilty.ktv.jp/　警察上層部は溝口(金井勇太)を事故死として処理。万里(吉瀬美智子)は事件当時、真島(玉木宏)が溝口を追っていたと知り、真島が復讐のために溝口を殺したのではないかと不安を覚える。    　一方、真島は芽衣子(菅野美穂)を訪ね、芽衣子を危険にさらしてしまった責任は自分にあると告げると、「君のことは俺が守る」と言って立ち去る。    　その頃、堂島(唐沢寿明)は、ある豪邸の前で単独で張り込みを続け、15年前の事件の黒幕に迫りつつあった。宇喜田(吉田鋼太郎)がこの中にいるとにらむ堂島。その憶測どおり、そこで宇喜田はある男から叱責を受けていた…。    　万里は真島への疑念がぬぐえず、溝口の死への関与を真島に問いただす。真島は溝口を殺すことができれば手にかけていたかもしれないと告白。そんな自分に刑事を続ける資格はないと辞職の決意を告げ、万里を絶句させる。　翌朝、芽衣子は堂島を訪ね、なんとか事件の黒幕の正体を聞き出そうと堂島に食い下がるが、堂島は頑として教えようとしない。    　その後、堂島は出版社に馴染みの政治記者を訪ね、ある写真を見せる。そこで堂島は事件の黒幕が誰だったのか確信を得ることになる。菅野美穂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</si>
  <si>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警察上層部は溝口(金井勇太)を事故死として処理。万里(吉瀬美智子)は事件当時、真島(玉木宏)が溝口を追っていたと知り、真島が復讐のために溝口を殺したのではないかと不安を覚える。    　一方、真島は芽衣子(菅野美穂)を訪ね、芽衣子を危険にさらしてしまった責任は自分にあると告げると、「君のことは俺が守る」と言って立ち去る。    　その頃、堂島(唐沢寿明)は、ある豪邸の前で単独で張り込みを続け、15年前の事件の黒幕に迫りつつあった。宇喜田(吉田鋼太郎)がこの中にいるとにらむ堂島。その憶測どおり、そこで宇喜田はある男から叱責を受けていた…。    　万里は真島への疑念がぬぐえず、溝口の死への関与を真島に問いただす。真島は溝口を殺すことができれば手にかけていたかもしれないと告白。そんな自分に刑事を続ける資格はないと辞職の決意を告げ、万里を絶句させる。　翌朝、芽衣子は堂島を訪ね、なんとか事件の黒幕の正体を聞き出そうと堂島に食い下がるが、堂島は頑として教えようとしない。    　その後、堂島は出版社に馴染みの政治記者を訪ね、ある写真を見せる。そこで堂島は事件の黒幕が誰だったのか確信を得ることになる。</t>
  </si>
  <si>
    <t>番組名ギルティ　悪魔と契約した女　#10</t>
  </si>
  <si>
    <t>http://guilty.ktv.jp/　堂島(唐沢寿明)を自殺に追い込んだ疑いで逮捕された宇喜田(吉田鋼太郎)が逃走し、そのまま姿をくらました。一方、真島(玉木宏)は芽衣子(菅野美穂)に復讐を止めさせようと自分のマンションに閉じ込め、宇喜田は自分が捕まえると約束。堂島が死ぬ前に言い残したことを聞き出そうとするが、芽衣子は何も話そうとしない。　捜査一課では、宇喜田の行方を追う万里(吉瀬美智子)や門倉(RIKIYA)らが、不祥事を隠蔽しようと宇喜田を指名手配しない警察上層部の対応にいら立っていた。そんな折、真島が現れ、辞表を撤回して宇喜田の捜索に加わる。その頃、宇喜田はある大物代議士の家に潜んでいた…。  　まもなく、芽衣子の監視を頼まれて真島のマンションにやって来た万里は、芽衣子が姿を消していることに気づく。芽衣子はマンションを抜け出し、ペットサロンに来ていた。店を辞めたいと言い出す芽衣子に驚く琴美(横山めぐみ)と彩乃(滝沢沙織)。そんなとき、芽衣子に電話が入る。「堂島から預かった原稿のデータを渡せ」と芽衣子を脅す聞き覚えのあるその声…。ペットサロンの襲撃をほのめかす言葉にハッとなった芽衣子が外を見ると、宇喜田が店の前に立っていた。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</si>
  <si>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堂島(唐沢寿明)を自殺に追い込んだ疑いで逮捕された宇喜田(吉田鋼太郎)が逃走し、そのまま姿をくらました。一方、真島(玉木宏)は芽衣子(菅野美穂)に復讐を止めさせようと自分のマンションに閉じ込め、宇喜田は自分が捕まえると約束。堂島が死ぬ前に言い残したことを聞き出そうとするが、芽衣子は何も話そうとしない。　捜査一課では、宇喜田の行方を追う万里(吉瀬美智子)や門倉(RIKIYA)らが、不祥事を隠蔽しようと宇喜田を指名手配しない警察上層部の対応にいら立っていた。そんな折、真島が現れ、辞表を撤回して宇喜田の捜索に加わる。その頃、宇喜田はある大物代議士の家に潜んでいた…。  　まもなく、芽衣子の監視を頼まれて真島のマンションにやって来た万里は、芽衣子が姿を消していることに気づく。芽衣子はマンションを抜け出し、ペットサロンに来ていた。店を辞めたいと言い出す芽衣子に驚く琴美(横山めぐみ)と彩乃(滝沢沙織)。そんなとき、芽衣子に電話が入る。「堂島から預かった原稿のデータを渡せ」と芽衣子を脅す聞き覚えのあるその声…。ペットサロンの襲撃をほのめかす言葉にハッとなった芽衣子が外を見ると、宇喜田が店の前に立っていた。</t>
  </si>
  <si>
    <t>番組名ギルティ悪魔と契約した女　#11</t>
  </si>
  <si>
    <t>http://guilty.ktv.jp/　芽衣子(菅野美穂)は、最後の復讐を成し遂げるため、三沢準(柏原収史)に接近し、堂島(唐沢寿明)の残した原稿を公開して準と代議士の父・豪(津嘉山正種)を破滅させると脅迫。公開されたくなければ、ある条件を飲めと持ちかける。    　一方、真島(玉木宏)は万里(吉瀬美智子)から、芽衣子が宇喜田(吉田鋼太郎)に渡したUSBメモリーの中身を見せられる。そこには、高校時代の準の写真に復讐を予告する言葉が添えられた画像データが入っていた。    　真島は豪と息子の準が事件に関係していることを察して三沢邸に駆けつけるが、門前払いを食らってしまう。そんな折、ふいに現れた男が真島に堂島のデジカメを手渡す。堂島は自分がつかんだ事件の黒幕を真島に伝えようと、動画でメッセージを残していたのだった。　そんなとき、三沢邸に準の運転する車が到着した。真島は後部座席から降りてきた芽衣子に驚き、また復讐するつもりなのかと必死に問いただす。すると芽衣子は、今後の生活を保障してもらうことで準と和解したと冷たく告げて真島の手を振り払うと、準と邸内に消えていった。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</si>
  <si>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芽衣子(菅野美穂)は、最後の復讐を成し遂げるため、三沢準(柏原収史)に接近し、堂島(唐沢寿明)の残した原稿を公開して準と代議士の父・豪(津嘉山正種)を破滅させると脅迫。公開されたくなければ、ある条件を飲めと持ちかける。    　一方、真島(玉木宏)は万里(吉瀬美智子)から、芽衣子が宇喜田(吉田鋼太郎)に渡したUSBメモリーの中身を見せられる。そこには、高校時代の準の写真に復讐を予告する言葉が添えられた画像データが入っていた。    　真島は豪と息子の準が事件に関係していることを察して三沢邸に駆けつけるが、門前払いを食らってしまう。そんな折、ふいに現れた男が真島に堂島のデジカメを手渡す。堂島は自分がつかんだ事件の黒幕を真島に伝えようと、動画でメッセージを残していたのだった。　そんなとき、三沢邸に準の運転する車が到着した。真島は後部座席から降りてきた芽衣子に驚き、また復讐するつもりなのかと必死に問いただす。すると芽衣子は、今後の生活を保障してもらうことで準と和解したと冷たく告げて真島の手を振り払うと、準と邸内に消えていった。</t>
  </si>
  <si>
    <t>1010_CX_木22</t>
  </si>
  <si>
    <t>医龍3</t>
  </si>
  <si>
    <t>番組名&lt;木曜劇場&gt;医龍3　#01</t>
  </si>
  <si>
    <t>“医龍"こと朝田龍太郎(坂口憲二)が、明真大学付属病院を去ってから数年ーー。  　明真はかつての野口賢雄(岸部一徳)のスキャンダルで患者が激減、外科医のレベル低下により訴訟が絶えないなど信用は地に落ちていた。新学長となった鬼頭笙子(夏木マリ)は記者会見で教育・臨床・研究を柱に明真の再建を目指すと宣言する。同じ頃、アメリカでは加藤晶(稲森いずみ)が幼い少女の心臓移植を成功させ、外国人教授たちを驚愕させていた。そして、とある戦地では朝田が爆撃により負傷した女性の治療にあたっていた。  　明真のERにバイク事故により川に放り出された患者が運び込まれてきた。すぐにオペに入る伊集院登(小池徹平)と木原毅彦(池田鉄洋)だが、手のくだしようのない状況に諦めようとしたその時、オペ室に朝田が現れた。朝田はオペ続行を告げ、見事な手腕で成功させる。見学室では、その一部始終を鬼頭と加藤が見つめていた。さらに鬼頭は藤吉圭介(佐々木蔵之介)が勤める病院を訪れ、明真に戻り再生医療研究を完成させるよう説得。明真でチームドラゴンの復活が噂される中、荒瀬門次(阿部サダヲ)は、1年前に執刀医のミスにより患者を死なせてしまった事件以来、オペには入らなくなっていた。  　藤吉の依頼で、明真に17歳の菅谷有希奈(桜庭ななみ)が転院してきた。有希奈は極めて珍しい心臓の病気で、どこの病院でも外科的治療は不可能と診断されていた…。坂口憲二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</si>
  <si>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“医龍"こと朝田龍太郎(坂口憲二)が、明真大学付属病院を去ってから数年ーー。  　明真はかつての野口賢雄(岸部一徳)のスキャンダルで患者が激減、外科医のレベル低下により訴訟が絶えないなど信用は地に落ちていた。新学長となった鬼頭笙子(夏木マリ)は記者会見で教育・臨床・研究を柱に明真の再建を目指すと宣言する。同じ頃、アメリカでは加藤晶(稲森いずみ)が幼い少女の心臓移植を成功させ、外国人教授たちを驚愕させていた。そして、とある戦地では朝田が爆撃により負傷した女性の治療にあたっていた。  　明真のERにバイク事故により川に放り出された患者が運び込まれてきた。すぐにオペに入る伊集院登(小池徹平)と木原毅彦(池田鉄洋)だが、手のくだしようのない状況に諦めようとしたその時、オペ室に朝田が現れた。朝田はオペ続行を告げ、見事な手腕で成功させる。見学室では、その一部始終を鬼頭と加藤が見つめていた。さらに鬼頭は藤吉圭介(佐々木蔵之介)が勤める病院を訪れ、明真に戻り再生医療研究を完成させるよう説得。明真でチームドラゴンの復活が噂される中、荒瀬門次(阿部サダヲ)は、1年前に執刀医のミスにより患者を死なせてしまった事件以来、オペには入らなくなっていた。  　藤吉の依頼で、明真に17歳の菅谷有希奈(桜庭ななみ)が転院してきた。有希奈は極めて珍しい心臓の病気で、どこの病院でも外科的治療は不可能と診断されていた…。</t>
  </si>
  <si>
    <t>番組名&lt;木曜劇場&gt;医龍3　#02</t>
  </si>
  <si>
    <t>朝田龍太郎(坂口憲二)たちが4時間かけた手術を、わずか45分で終わらせてしまった内科医の黒木慶次郎(遠藤憲一)が現れた。黒木は、野口賢雄(岸部一徳)がアメリカから呼び寄せたカテーテル治療のスペシャリストだった。  　野口が鬼頭学長(夏木マリ)に提案するカテーテル部門の強化と外国の富裕層をターゲットとしたメディカルツーリズムを推進する明真の改革案に苛立ちを隠せない加藤晶(稲森いずみ)。伊集院登(小池徹平)も外科医が必要なくなるのではないかと不安を募らせていた。そんな中、明真に入院中の父親の見舞いに来ていた根岸紗江(松下奈緒)が突然倒れた。検査の結果、紗江は重度の心房中隔欠損症であると判明。加藤は早急なオペをすすめるが、紗江は結婚式が2週間後に控えていることを理由にオペの延期を申し出るが一刻の猶予もないと言われてしまう。それを知った黒木は紗江の病室を訪れ、カテーテルをすすめる。オペは2時間、胸に傷も残らず、術後3日で退院できると聞き、紗江はカテーテルを選択。しかし、加藤からカテーテルのリスクの高さを聞いた婚約者の山口(長谷川朝晴)は、迷う紗江を押し切るように朝田の手術を希望した。紗江から、父親に亡き母がかつて着た胸元が大きく開いたウエディングドレスを着た姿を見せたかったと聞いた朝田は、傷跡の残らない術式を提案。難易度があがるため、朝田たちはオペのリハーサルを始めた。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</si>
  <si>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朝田龍太郎(坂口憲二)たちが4時間かけた手術を、わずか45分で終わらせてしまった内科医の黒木慶次郎(遠藤憲一)が現れた。黒木は、野口賢雄(岸部一徳)がアメリカから呼び寄せたカテーテル治療のスペシャリストだった。  　野口が鬼頭学長(夏木マリ)に提案するカテーテル部門の強化と外国の富裕層をターゲットとしたメディカルツーリズムを推進する明真の改革案に苛立ちを隠せない加藤晶(稲森いずみ)。伊集院登(小池徹平)も外科医が必要なくなるのではないかと不安を募らせていた。そんな中、明真に入院中の父親の見舞いに来ていた根岸紗江(松下奈緒)が突然倒れた。検査の結果、紗江は重度の心房中隔欠損症であると判明。加藤は早急なオペをすすめるが、紗江は結婚式が2週間後に控えていることを理由にオペの延期を申し出るが一刻の猶予もないと言われてしまう。それを知った黒木は紗江の病室を訪れ、カテーテルをすすめる。オペは2時間、胸に傷も残らず、術後3日で退院できると聞き、紗江はカテーテルを選択。しかし、加藤からカテーテルのリスクの高さを聞いた婚約者の山口(長谷川朝晴)は、迷う紗江を押し切るように朝田の手術を希望した。紗江から、父親に亡き母がかつて着た胸元が大きく開いたウエディングドレスを着た姿を見せたかったと聞いた朝田は、傷跡の残らない術式を提案。難易度があがるため、朝田たちはオペのリハーサルを始めた。</t>
  </si>
  <si>
    <t>番組名&lt;木曜劇場&gt;医龍3　#03</t>
  </si>
  <si>
    <t>明真ではカテーテルが治療の主流となりつつあり、カテーテル医が急増。伊集院登(小池徹平)や木原毅彦(池田鉄洋)ら外科医が、内科医に代わって当直まで引き受けなくてはならない状況になっていた。胸部心臓外科の手術予定表も空白ばかりで、焦りを隠せない加藤晶(稲森いずみ)。  　鬼頭学長(夏木マリ)から医療版ミシュランとも言われるIMA取得のため、世界の心臓外科医トップ5を招いてライブデモンストレーションを行うことを聞き、挽回のチャンスとばかりに朝田龍太郎(坂口憲二)にオペをさせると言う加藤だが、野口賢雄(岸部一徳)にオペを行うのは黒木慶次郎(遠藤憲一)だと遮られてしまう。  　そんな中、15歳の少女・山内遥(金澤美穂)が大動脈弁置換のオペが必要なことがわかった。加藤はそれを最高難度のロス手術で行い、ライブデモンストレーションするよう鬼頭に申し出る。アメリカから優秀なオペ看・北川響(初音映莉子)を招き、病気からの復帰後は黒木のオペに入っていた荒瀬門次(阿部サダヲ)も呼び戻し、着々とオペの準備をすすめて行く加藤。その頃、野口や黒木は密かに遥のオペに代わる、ライブデモンストレーションにふさわしい患者を探していた。  　朝田は遥が自分のオペの模様がカメラで映され多くの人にさらされることに戸惑っていることを知り、張り切って準備を進めている加藤に遥の意思を尊重すべきだと訴えるもまったく耳を貸さない。坂口憲二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</si>
  <si>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明真ではカテーテルが治療の主流となりつつあり、カテーテル医が急増。伊集院登(小池徹平)や木原毅彦(池田鉄洋)ら外科医が、内科医に代わって当直まで引き受けなくてはならない状況になっていた。胸部心臓外科の手術予定表も空白ばかりで、焦りを隠せない加藤晶(稲森いずみ)。  　鬼頭学長(夏木マリ)から医療版ミシュランとも言われるIMA取得のため、世界の心臓外科医トップ5を招いてライブデモンストレーションを行うことを聞き、挽回のチャンスとばかりに朝田龍太郎(坂口憲二)にオペをさせると言う加藤だが、野口賢雄(岸部一徳)にオペを行うのは黒木慶次郎(遠藤憲一)だと遮られてしまう。  　そんな中、15歳の少女・山内遥(金澤美穂)が大動脈弁置換のオペが必要なことがわかった。加藤はそれを最高難度のロス手術で行い、ライブデモンストレーションするよう鬼頭に申し出る。アメリカから優秀なオペ看・北川響(初音映莉子)を招き、病気からの復帰後は黒木のオペに入っていた荒瀬門次(阿部サダヲ)も呼び戻し、着々とオペの準備をすすめて行く加藤。その頃、野口や黒木は密かに遥のオペに代わる、ライブデモンストレーションにふさわしい患者を探していた。  　朝田は遥が自分のオペの模様がカメラで映され多くの人にさらされることに戸惑っていることを知り、張り切って準備を進めている加藤に遥の意思を尊重すべきだと訴えるもまったく耳を貸さない。</t>
  </si>
  <si>
    <t>番組名&lt;木曜劇場&gt;医龍3　#04</t>
  </si>
  <si>
    <t>朝田龍太郎(坂口憲二)は患者の意思を汲んでライブデモンストレーションの中継映像を遮断するが、その代わりにと野口賢雄(岸部一徳)が流した黒木慶次郎(遠藤憲一)のカテーテルオペは審査員から賞賛を浴びる。鬼頭学長(夏木マリ)は、記者会見で明真はカテーテル治療に力を注ぐと明言。これでIMAの取得のための第一関門・医療技術の高さは突破できた。第二関門の合理的な経営も野口が再建計画書を作成していて、残すは医療の質のみだ。審査員が病院内を見て回り判断が下されるとあって不安を隠せない鬼頭。  　そんな中、伊集院登(小池徹平)にERに行くように加藤晶(稲森いずみ)から命令がくだる。朝田は別の大学病院で行われるオペに呼ばれるが、執刀医以外は必要ないと言われてがく然とする伊集院。黒木はそんな伊集院に優しく声をかける。  　IMAの審査日がきた。鬼頭と野口は緊張の面持ちで審査員3人を迎える。審査は清掃や患者用の食事にまで及び、逐一シートに何かを書きこむ審査員たちの様子を不安気にみつめる鬼頭たち。伊集院は、そんな状況とは無縁のERで肩の痛みを訴える横田辰夫(本田博太郎)の診察にあたっていた。疎外感にため息をこぼす伊集院に、黒木が再び近づいてきて…。  　院内でIMAの審査が続く中、伊集院は整形外科の診察を終えた横田に4時間後に再検査をすると告げた。すると、怒り出した横田は伊集院を殴り…。坂口憲二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</si>
  <si>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朝田龍太郎(坂口憲二)は患者の意思を汲んでライブデモンストレーションの中継映像を遮断するが、その代わりにと野口賢雄(岸部一徳)が流した黒木慶次郎(遠藤憲一)のカテーテルオペは審査員から賞賛を浴びる。鬼頭学長(夏木マリ)は、記者会見で明真はカテーテル治療に力を注ぐと明言。これでIMAの取得のための第一関門・医療技術の高さは突破できた。第二関門の合理的な経営も野口が再建計画書を作成していて、残すは医療の質のみだ。審査員が病院内を見て回り判断が下されるとあって不安を隠せない鬼頭。  　そんな中、伊集院登(小池徹平)にERに行くように加藤晶(稲森いずみ)から命令がくだる。朝田は別の大学病院で行われるオペに呼ばれるが、執刀医以外は必要ないと言われてがく然とする伊集院。黒木はそんな伊集院に優しく声をかける。  　IMAの審査日がきた。鬼頭と野口は緊張の面持ちで審査員3人を迎える。審査は清掃や患者用の食事にまで及び、逐一シートに何かを書きこむ審査員たちの様子を不安気にみつめる鬼頭たち。伊集院は、そんな状況とは無縁のERで肩の痛みを訴える横田辰夫(本田博太郎)の診察にあたっていた。疎外感にため息をこぼす伊集院に、黒木が再び近づいてきて…。  　院内でIMAの審査が続く中、伊集院は整形外科の診察を終えた横田に4時間後に再検査をすると告げた。すると、怒り出した横田は伊集院を殴り…。</t>
  </si>
  <si>
    <t>番組名&lt;木曜劇場&gt;医龍3　#05</t>
  </si>
  <si>
    <t>朝田龍太郎(坂口憲二)のもとを離れ、黒木慶次郎(遠藤憲一)の下でカテーテルを学び始めた伊集院登(小池徹平)。引き止める加藤晶(稲森いずみ)の言葉を遮り、いいように使われるのは嫌だと拒絶し去って行く。そんな中、明真では野口賢雄(岸部一徳)が仕込んだメディカルツーリズム第1号の患者で中国の元大臣・李強忠(解世雄)の受け入れ準備が進んでいた。気難しい人物ではあるが、これを成功させれば中国人富裕層にいい宣伝になると、鬼頭学長(夏木マリ)も力を注ぐ。  　加藤から、伊集院の説得を頼まれた朝田は、カテーテルを学ぶのは悪いことではなく、なにより本人の意思だからと断る。  　ある日、藤吉圭介(佐々木蔵之介)の依頼で13歳の拡張型心筋症の真鍋徹(今井悠貴)が明真にやってきた。自分の症状を理解していて、諦めたような態度をとる徹。同じタイミングで、李も明真に到着した。必死に李のご機嫌を取る野口。　検査の結果、徹は重度の拡張型心筋症であるほか別の症状もあり、朝田も手が出せないことがわかった。これまでの病院と一緒で移植ドナーが現れるのを待つしかない状況を聞いた徹は、ますます態度がかたくなになっていく。  　李の人間ドックでは、大動脈が左右にかなり蛇行しているのが発見された。野口は早急な治療の必要があると判断し李に黒木ならすぐに治せると説得し、カテーテル治療をすすめる。坂口憲二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</si>
  <si>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朝田龍太郎(坂口憲二)のもとを離れ、黒木慶次郎(遠藤憲一)の下でカテーテルを学び始めた伊集院登(小池徹平)。引き止める加藤晶(稲森いずみ)の言葉を遮り、いいように使われるのは嫌だと拒絶し去って行く。そんな中、明真では野口賢雄(岸部一徳)が仕込んだメディカルツーリズム第1号の患者で中国の元大臣・李強忠(解世雄)の受け入れ準備が進んでいた。気難しい人物ではあるが、これを成功させれば中国人富裕層にいい宣伝になると、鬼頭学長(夏木マリ)も力を注ぐ。  　加藤から、伊集院の説得を頼まれた朝田は、カテーテルを学ぶのは悪いことではなく、なにより本人の意思だからと断る。  　ある日、藤吉圭介(佐々木蔵之介)の依頼で13歳の拡張型心筋症の真鍋徹(今井悠貴)が明真にやってきた。自分の症状を理解していて、諦めたような態度をとる徹。同じタイミングで、李も明真に到着した。必死に李のご機嫌を取る野口。　検査の結果、徹は重度の拡張型心筋症であるほか別の症状もあり、朝田も手が出せないことがわかった。これまでの病院と一緒で移植ドナーが現れるのを待つしかない状況を聞いた徹は、ますます態度がかたくなになっていく。  　李の人間ドックでは、大動脈が左右にかなり蛇行しているのが発見された。野口は早急な治療の必要があると判断し李に黒木ならすぐに治せると説得し、カテーテル治療をすすめる。</t>
  </si>
  <si>
    <t>番組名&lt;木曜劇場&gt;医龍3　#06</t>
  </si>
  <si>
    <t>屋上から転落した患者がER室に運ばれてくる。僧帽弁と三尖弁が損傷している上、逆流の程度もひどく急性心不全状態という、朝田龍太郎(坂口憲二)でなければ助けられないほどの重体患者だ。しかし朝田は不在で、加藤(稲森いずみ)も重症患者の手術中。オペが出来る心臓外科の医師が誰もいない。それを聞いた黒木(遠藤憲一)は、伊集院(小池徹平)の背中を押す。ER室に飛びこんだ伊集院だが、ベッドに血まみれで横たわっていたのは、ほかならぬ朝田龍太郎であることに気づき、愕然となる。藤吉(佐々木蔵之介)は伊集院へ「いま朝田を助けられるのはお前しかいない」と諭し、手術するよう懇願する。だが伊集院は「僕には無理です。それに僕はもうチームの一員じゃないし・・・」と固辞。しかし、藤吉の「朝田はお前が帰ってきた時のために、お前の持針器を磨いていた。あいつは今でもお前をチームの一員だと思っている」という言葉に執刀を決意する。「何としても朝田を助ける」そう心に固く誓う、加藤、伊集院、藤吉、荒瀬(阿部サダヲ)らチームドラゴンの面々。伊集院執刀のもと、手術が始まった。しかし、容態は一刻を争うほど深刻。時間との戦いが始まった。だが、手術開始早々、伊集院ら医師は硬直する。乳頭筋が断裂している上、P3の腱索断裂が分かったからだ。この状態で弁を形成していたら間に合わない。そしてさらに深刻な事態にー。果たして朝田の運命は!?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</si>
  <si>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屋上から転落した患者がER室に運ばれてくる。僧帽弁と三尖弁が損傷している上、逆流の程度もひどく急性心不全状態という、朝田龍太郎(坂口憲二)でなければ助けられないほどの重体患者だ。しかし朝田は不在で、加藤(稲森いずみ)も重症患者の手術中。オペが出来る心臓外科の医師が誰もいない。それを聞いた黒木(遠藤憲一)は、伊集院(小池徹平)の背中を押す。ER室に飛びこんだ伊集院だが、ベッドに血まみれで横たわっていたのは、ほかならぬ朝田龍太郎であることに気づき、愕然となる。藤吉(佐々木蔵之介)は伊集院へ「いま朝田を助けられるのはお前しかいない」と諭し、手術するよう懇願する。だが伊集院は「僕には無理です。それに僕はもうチームの一員じゃないし・・・」と固辞。しかし、藤吉の「朝田はお前が帰ってきた時のために、お前の持針器を磨いていた。あいつは今でもお前をチームの一員だと思っている」という言葉に執刀を決意する。「何としても朝田を助ける」そう心に固く誓う、加藤、伊集院、藤吉、荒瀬(阿部サダヲ)らチームドラゴンの面々。伊集院執刀のもと、手術が始まった。しかし、容態は一刻を争うほど深刻。時間との戦いが始まった。だが、手術開始早々、伊集院ら医師は硬直する。乳頭筋が断裂している上、P3の腱索断裂が分かったからだ。この状態で弁を形成していたら間に合わない。そしてさらに深刻な事態にー。果たして朝田の運命は!?</t>
  </si>
  <si>
    <t>番組名&lt;木曜劇場&gt;医龍3　#07</t>
  </si>
  <si>
    <t>伊集院(小池徹平)の執刀により一命を取りとめた朝田龍太郎(坂口憲二)。加藤(稲森いずみ)、荒瀬(阿部サダヲ)、冬実(谷村美月)、木原(池田鉄洋)、藤吉(佐々木蔵之介)らは歓喜にわくが、喜びもつかの間、朝田は記憶喪失になっていることが判明し、愕然となる一同。  　ある日、3週間後に手術が予定されている佐藤理恵(星野真里)という妊婦が入院してくる。心臓に先天性の重大な疾患を抱えた胎児を帝王切開で取り上げ、2分以内にペースメーカーを埋め込むという、きわめて難易度の高い手術を受けるためだ。時間との戦いで、一刻一秒を争う手術のため、担当医である加藤は新生児科、産科、ナース、胸部心臓外科すべての総力戦となり、みなでこれからシミュレーションを重ねると告げる。その加藤に、木原はおずおずと「朝田先生は?」と尋ねると、「一時的に記憶が混乱しているだけで、徐々に回復していくから、このオペにも参加できると思う」と答える。ほっと胸を撫で下ろす一同。    　加藤は動揺していた。理恵の、手術同意書などの書類の中に、「配偶者　佐藤修一」の文字があったからだ。修一(吉田栄作)は、11年前、加藤の婚約者だった男性だった。  　オペ室では懸命に手術のシミュレーションを重ねるが、加藤はミスが多く、とても2分以内に終わらせることができない。  　そんな折、理恵の容態が急変する。坂口憲二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</si>
  <si>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伊集院(小池徹平)の執刀により一命を取りとめた朝田龍太郎(坂口憲二)。加藤(稲森いずみ)、荒瀬(阿部サダヲ)、冬実(谷村美月)、木原(池田鉄洋)、藤吉(佐々木蔵之介)らは歓喜にわくが、喜びもつかの間、朝田は記憶喪失になっていることが判明し、愕然となる一同。  　ある日、3週間後に手術が予定されている佐藤理恵(星野真里)という妊婦が入院してくる。心臓に先天性の重大な疾患を抱えた胎児を帝王切開で取り上げ、2分以内にペースメーカーを埋め込むという、きわめて難易度の高い手術を受けるためだ。時間との戦いで、一刻一秒を争う手術のため、担当医である加藤は新生児科、産科、ナース、胸部心臓外科すべての総力戦となり、みなでこれからシミュレーションを重ねると告げる。その加藤に、木原はおずおずと「朝田先生は?」と尋ねると、「一時的に記憶が混乱しているだけで、徐々に回復していくから、このオペにも参加できると思う」と答える。ほっと胸を撫で下ろす一同。    　加藤は動揺していた。理恵の、手術同意書などの書類の中に、「配偶者　佐藤修一」の文字があったからだ。修一(吉田栄作)は、11年前、加藤の婚約者だった男性だった。  　オペ室では懸命に手術のシミュレーションを重ねるが、加藤はミスが多く、とても2分以内に終わらせることができない。  　そんな折、理恵の容態が急変する。</t>
  </si>
  <si>
    <t>番組名&lt;木曜劇場&gt;医龍3　#08</t>
  </si>
  <si>
    <t>朝田龍太郎(坂口憲二)の手の震えは、PTSD(心的外傷後ストレス障害)であると診断される。屋上から転落した事故によって過去のなんらかのトラウマが蘇ってきたのでは、と医師に言われ、思い当たることがある朝田。  　メスが握れなくなっていることを知られまいと、ひとり黙々とリハビリを続ける朝田だったが、症状はまるで好転の兆しを見せない。しかも、診察を受けに行った病院にたまたま黒木(遠藤憲一)が居合わせ、脳外科から出てきた朝田の姿を目撃していた。何かを察知したらしい黒木は、そのことを荒瀬(阿部サダヲ)に伝える。さらに荒瀬は「最近の黒木のカテーテルはミスが多い」と黒木の助手たちが話しているのを小耳に挟むのだった。  　一方、藤吉(佐々木蔵之介)は心筋幹細胞の研究が大詰めを迎え、研究室に缶詰の状態になっていた。加藤(稲森いずみ)は、この研究が前進すれば、現在はドナーが出るのを待って心臓移植を行うしかない徹(今井悠貴)のような患者にも希望の光が見える、と励ます。  　朝田や伊集院(小池徹平)たちの励ましの甲斐あって、最近体調が良くなってきた徹。体重も増えたとうれしそうに母に告げるが、なぜかよく咳こむようになっていた。  　ほどなく、小康状態を保っていたかのように見えた徹の容態が急変する。しかし、朝田の手の震えはいまだおさまらず、執刀できる状態にはほど遠い。そんな絶体絶命の状態の中、手術が始まる…。坂口憲二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</si>
  <si>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朝田龍太郎(坂口憲二)の手の震えは、PTSD(心的外傷後ストレス障害)であると診断される。屋上から転落した事故によって過去のなんらかのトラウマが蘇ってきたのでは、と医師に言われ、思い当たることがある朝田。  　メスが握れなくなっていることを知られまいと、ひとり黙々とリハビリを続ける朝田だったが、症状はまるで好転の兆しを見せない。しかも、診察を受けに行った病院にたまたま黒木(遠藤憲一)が居合わせ、脳外科から出てきた朝田の姿を目撃していた。何かを察知したらしい黒木は、そのことを荒瀬(阿部サダヲ)に伝える。さらに荒瀬は「最近の黒木のカテーテルはミスが多い」と黒木の助手たちが話しているのを小耳に挟むのだった。  　一方、藤吉(佐々木蔵之介)は心筋幹細胞の研究が大詰めを迎え、研究室に缶詰の状態になっていた。加藤(稲森いずみ)は、この研究が前進すれば、現在はドナーが出るのを待って心臓移植を行うしかない徹(今井悠貴)のような患者にも希望の光が見える、と励ます。  　朝田や伊集院(小池徹平)たちの励ましの甲斐あって、最近体調が良くなってきた徹。体重も増えたとうれしそうに母に告げるが、なぜかよく咳こむようになっていた。  　ほどなく、小康状態を保っていたかのように見えた徹の容態が急変する。しかし、朝田の手の震えはいまだおさまらず、執刀できる状態にはほど遠い。そんな絶体絶命の状態の中、手術が始まる…。</t>
  </si>
  <si>
    <t>番組名&lt;木曜劇場&gt;医龍3　#09</t>
  </si>
  <si>
    <t>明真に戻ってきた野口(岸部一徳)は、学長の鬼頭(夏木マリ)に「明真を医療特区にすべく、厚労省や外務省幹部と交渉しています」といきなり切り出す。中国で、ロシアの保健・社会開発省の重鎮とのパイプを得た野口は、明真を医療特区のモデル地区第一号としたい、それが成功すれば明真は外国人医師と患者で溢れることになり、これこそが真の医療の国際化であると力説する。  　そんな折、朝田(坂口憲二)と伊集院(小池徹平)は過呼吸に陥っている高瀬(渡辺いっけい)という男性を助ける。2人が心臓外科の医師だと知ると、高瀬は、黒木(遠藤憲一)に自分の妻の治療をしてもらえるよう話をつないで欲しい、と懇願する。その必死の面持ちに事情を訊ねると、自分と黒木はかつて同僚であり、お互いを信頼していたのに、患者を死なせた手術の際には黒木に全責任をかぶせ、黒木を裏切ったのだ、と告白する。だが、妻が重度の心臓病になり、黒木に執刀して欲しいと思い、会いに来たのだが、話すら聞いてもらえなかった、と言うのだ。  　同じころ、北見里香(岩橋道子)という患者が明真を訪れるが、診察にあたった黒木は、すぐに治療と手術を要する、と告げる。  　里香の手術前日。黒木は思わず手すりに寄りかかるほど強い立ちくらみに襲われる。そして迎えた手術当日。最初のうちこそ順調に進んでいたかに見えたが、次第に黒木の異常は助手たちの目にも明らかになっていく…。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</si>
  <si>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明真に戻ってきた野口(岸部一徳)は、学長の鬼頭(夏木マリ)に「明真を医療特区にすべく、厚労省や外務省幹部と交渉しています」といきなり切り出す。中国で、ロシアの保健・社会開発省の重鎮とのパイプを得た野口は、明真を医療特区のモデル地区第一号としたい、それが成功すれば明真は外国人医師と患者で溢れることになり、これこそが真の医療の国際化であると力説する。  　そんな折、朝田(坂口憲二)と伊集院(小池徹平)は過呼吸に陥っている高瀬(渡辺いっけい)という男性を助ける。2人が心臓外科の医師だと知ると、高瀬は、黒木(遠藤憲一)に自分の妻の治療をしてもらえるよう話をつないで欲しい、と懇願する。その必死の面持ちに事情を訊ねると、自分と黒木はかつて同僚であり、お互いを信頼していたのに、患者を死なせた手術の際には黒木に全責任をかぶせ、黒木を裏切ったのだ、と告白する。だが、妻が重度の心臓病になり、黒木に執刀して欲しいと思い、会いに来たのだが、話すら聞いてもらえなかった、と言うのだ。  　同じころ、北見里香(岩橋道子)という患者が明真を訪れるが、診察にあたった黒木は、すぐに治療と手術を要する、と告げる。  　里香の手術前日。黒木は思わず手すりに寄りかかるほど強い立ちくらみに襲われる。そして迎えた手術当日。最初のうちこそ順調に進んでいたかに見えたが、次第に黒木の異常は助手たちの目にも明らかになっていく…。</t>
  </si>
  <si>
    <t>番組名&lt;木曜劇場&gt;医龍3　#10</t>
  </si>
  <si>
    <t>最高水準の技術を要する手術を2つ同時に行うことになったチームドラゴンの面々。患者の1人は高瀬春香(出口結美子)。黒木(遠藤憲一)のかつての同僚、高瀬(渡辺いっけい)の妻だ。もう1人は世界的に有名なロシア人ピアニスト、リディア・ナターリア(Asya)。  　この2つのオペを同時にこなすために、春香の手術は朝田龍太郎(坂口憲二)が執刀、さらに伊集院(小池徹平)、荒瀬(阿部サダヲ)、冬実(谷村美月)、響(初音映莉子)らが担当。そしてリディアの手術は、加藤(稲森いずみ)が執刀、さらに北洋病院から朝田が呼んだ外山(高橋一生)、野村(中村靖日)らが受け持つこととなった。  　そんな折、高瀬の娘・恵(菅野莉央)が春香の病室を訪れる。恵はサッカーで骨折し、近くの病院に入院しているのだが、春香が心配で無理をして見舞いに来たのだ。仲のよい母娘の姿に、心を打たれる黒木。  　いよいよ手術当日。最高レベルの技術を要するオペが2つ同時に始まった。手術は順調に進んでいるかのように見えたが、途中で木原(池田鉄洋)が顔面蒼白で飛び込んでくる。なんと、恵が肺塞栓で倒れ、急患として運び込まれてきたのだ。症状はすぐにオペをしないと間に合わないほどに重篤で人工心肺が必要だが、2台とも春香とリディアの手術で使用している。2台しかない人工心肺に対し、それが必要な患者は3人。はたして、朝田はどのような決断をくだすのかー!?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</si>
  <si>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最高水準の技術を要する手術を2つ同時に行うことになったチームドラゴンの面々。患者の1人は高瀬春香(出口結美子)。黒木(遠藤憲一)のかつての同僚、高瀬(渡辺いっけい)の妻だ。もう1人は世界的に有名なロシア人ピアニスト、リディア・ナターリア(Asya)。  　この2つのオペを同時にこなすために、春香の手術は朝田龍太郎(坂口憲二)が執刀、さらに伊集院(小池徹平)、荒瀬(阿部サダヲ)、冬実(谷村美月)、響(初音映莉子)らが担当。そしてリディアの手術は、加藤(稲森いずみ)が執刀、さらに北洋病院から朝田が呼んだ外山(高橋一生)、野村(中村靖日)らが受け持つこととなった。  　そんな折、高瀬の娘・恵(菅野莉央)が春香の病室を訪れる。恵はサッカーで骨折し、近くの病院に入院しているのだが、春香が心配で無理をして見舞いに来たのだ。仲のよい母娘の姿に、心を打たれる黒木。  　いよいよ手術当日。最高レベルの技術を要するオペが2つ同時に始まった。手術は順調に進んでいるかのように見えたが、途中で木原(池田鉄洋)が顔面蒼白で飛び込んでくる。なんと、恵が肺塞栓で倒れ、急患として運び込まれてきたのだ。症状はすぐにオペをしないと間に合わないほどに重篤で人工心肺が必要だが、2台とも春香とリディアの手術で使用している。2台しかない人工心肺に対し、それが必要な患者は3人。はたして、朝田はどのような決断をくだすのかー!?</t>
  </si>
  <si>
    <t>1010_CX_日21</t>
  </si>
  <si>
    <t>パーフェクト・リポート</t>
  </si>
  <si>
    <t>番組名&lt;ドラマチック・サンデー&gt;パーフェクト・リポート　#01</t>
  </si>
  <si>
    <t>CTN(キャピタル・テレビジョン・ネットワーク)報道局社会部の蒼山叶(松雪泰子)は、見た目は美人のアラフォー報道ウーマンだが、中身は超カタブツで組織陣としては最低なため遊軍取材班デスクに異動させられる。そこは、映画監督気取りのカメラマン黄田功(要潤)、取材対象者からのクレームが絶えないオヤジ記者の白石弘(小日向文世)、周囲に流されやすくてダマされやすいお坊っちゃまAD・桃井祐(遠藤雄弥)、カメラにはほとんど触ったことのない万年下積みカメラ・アシスタントの紫村健(小柳友)、そして緊急ニュースで原稿を読み間違え、期間限定で異動させられたアナウンサーの奥澤緑(相武紗季)たち、お荷物人間の吹きだまり。  　蒼山が遊軍取材班デスクとして、ニュース編集部・デスクの黒井彰(平山浩行)から初めて任されたのは、多摩川に再び現れたアザラシの取材。しかし、蒼山はその日に発生した、総理(石橋凌)が米国務長官との会談をすっぽかした問題が気がかり。短時間だが行方不明となった総理は、その空白の時間に何をしていたのか?そして、蒼山は失踪(しっそう)直前と復帰後の総理の映像を見比べ、誰も気に留めないようなある一点に注目し、遊軍取材班でも総理の行方不明の件を追うと宣言する。  　部下に疎まれ、赤坂衆(小出恵介)ら、政治部や社会部の記者たちに邪魔扱いされながら、蒼山の“真実の追究"が始まった。松雪泰子　  小出恵介　  相武紗季　  遠藤雄弥　  小柳友　  平山浩行　  要潤　  小日向文世　    ほか【脚本】  浜田秀哉【編成企画】  太田大　    【プロデューサー】  森安彩　  江森浩子　    【演出】  石川淳一林ゆうき</t>
  </si>
  <si>
    <t>CTN(キャピタル・テレビジョン・ネットワーク)報道局社会部の蒼山叶(松雪泰子)は、見た目は美人のアラフォー報道ウーマンだが、中身は超カタブツで組織陣としては最低なため遊軍取材班デスクに異動させられる。そこは、映画監督気取りのカメラマン黄田功(要潤)、取材対象者からのクレームが絶えないオヤジ記者の白石弘(小日向文世)、周囲に流されやすくてダマされやすいお坊っちゃまAD・桃井祐(遠藤雄弥)、カメラにはほとんど触ったことのない万年下積みカメラ・アシスタントの紫村健(小柳友)、そして緊急ニュースで原稿を読み間違え、期間限定で異動させられたアナウンサーの奥澤緑(相武紗季)たち、お荷物人間の吹きだまり。  　蒼山が遊軍取材班デスクとして、ニュース編集部・デスクの黒井彰(平山浩行)から初めて任されたのは、多摩川に再び現れたアザラシの取材。しかし、蒼山はその日に発生した、総理(石橋凌)が米国務長官との会談をすっぽかした問題が気がかり。短時間だが行方不明となった総理は、その空白の時間に何をしていたのか?そして、蒼山は失踪(しっそう)直前と復帰後の総理の映像を見比べ、誰も気に留めないようなある一点に注目し、遊軍取材班でも総理の行方不明の件を追うと宣言する。  　部下に疎まれ、赤坂衆(小出恵介)ら、政治部や社会部の記者たちに邪魔扱いされながら、蒼山の“真実の追究"が始まった。</t>
  </si>
  <si>
    <t>番組名&lt;ドラマチック・サンデー&gt;パーフェクト・リポート　#02</t>
  </si>
  <si>
    <t>蒼山叶(松雪泰子)がデスクを務める遊軍取材班に、政治部から赤坂衆(小出恵介)が異動して来た。ニュース編集部デスクの黒井彰(平山浩行)から蒼山のお目付役を命令された赤坂なのだが、白石弘(小日向文世)や黄田功(要潤)たちは何をやらかしたのかと興味津々。  　そんな時、遊軍にヘルプ要請が入る。発生中の大手ファミレスチェーン女社長誘拐事件に絡んだものだ。この事件は報道規制が敷かれ、世間には公表されていない。蒼山は3人と見られる犯人の身代金の要求額が2億だという点に引っかかっていた。何とか取材に加わりたい蒼山だが、赤坂の目もあり現場では相手にしてもらえない。  　その頃、遊軍では残った者たちが投書やメールなどで寄せられる情報のチェックをしていた。奥澤緑(相武紗季)が読み上げていたメールに、白石が食いつく。メールには、すごい美人を誘拐したと書かれていた。報告を受けた蒼山は、すぐさまメールの差出人が指定した喫茶店へ向かうと、遊軍からは緑だけが来ていた。時間が来ても差出人らしき人物は現れず、帰ろうと促す緑に、蒼山は差出人のメールアドレスが被害者の拉致現場付近で目撃された車両ナンバーと一致していると告げる。相手が必ず接触してくると緑に待機を命じ、蒼山は喫茶店を出た。  　店を出た蒼山は、上着のポケットに携帯電話の番号が書かれたカードが入っていることに気づいた。番号にかけると、犯人だと言う相手が出て…。松雪泰子　  小出恵介　  相武紗季　  遠藤雄弥　  小柳友　  平山浩行　  要潤　  小日向文世　    ほか【脚本】  酒井雅秋【編成企画】  太田大　    【プロデューサー】  森安彩　  江森浩子　    【演出】  石川淳一林ゆうき</t>
  </si>
  <si>
    <t>蒼山叶(松雪泰子)がデスクを務める遊軍取材班に、政治部から赤坂衆(小出恵介)が異動して来た。ニュース編集部デスクの黒井彰(平山浩行)から蒼山のお目付役を命令された赤坂なのだが、白石弘(小日向文世)や黄田功(要潤)たちは何をやらかしたのかと興味津々。  　そんな時、遊軍にヘルプ要請が入る。発生中の大手ファミレスチェーン女社長誘拐事件に絡んだものだ。この事件は報道規制が敷かれ、世間には公表されていない。蒼山は3人と見られる犯人の身代金の要求額が2億だという点に引っかかっていた。何とか取材に加わりたい蒼山だが、赤坂の目もあり現場では相手にしてもらえない。  　その頃、遊軍では残った者たちが投書やメールなどで寄せられる情報のチェックをしていた。奥澤緑(相武紗季)が読み上げていたメールに、白石が食いつく。メールには、すごい美人を誘拐したと書かれていた。報告を受けた蒼山は、すぐさまメールの差出人が指定した喫茶店へ向かうと、遊軍からは緑だけが来ていた。時間が来ても差出人らしき人物は現れず、帰ろうと促す緑に、蒼山は差出人のメールアドレスが被害者の拉致現場付近で目撃された車両ナンバーと一致していると告げる。相手が必ず接触してくると緑に待機を命じ、蒼山は喫茶店を出た。  　店を出た蒼山は、上着のポケットに携帯電話の番号が書かれたカードが入っていることに気づいた。番号にかけると、犯人だと言う相手が出て…。</t>
  </si>
  <si>
    <t>番組名&lt;ドラマチック・サンデー&gt;パーフェクト・リポート　#03</t>
  </si>
  <si>
    <t>蒼山叶(松雪泰子)は、黒井彰(平山浩行)から、近々結婚の噂のある国際派女優、藤光香奈子(渋谷亜希)とメジャーリーガーの野島勝(窪寺昭)の映像を集めるよう命令される。藤光のマンションへの張り付きも頼まれるのだが、蒼山の興味はタブロイド紙の別の記事に注がれていた。  　蒼山が引き付けられたのは8年前に起きた現金輸送車襲撃事件に端を発した記事。当時、銃で足を撃たれ、先月亡くなった警備員の息子・小林正行(屋根真樹)が、逃走中のバイク事故で死んだ犯人・松田浩二(岡田義徳)を民事で訴えようとしていたのだ。  　不慣れなパソコンを赤坂衆(小出恵介)に打たせて事件を探る蒼山は、劇団員の松田が主役に抜擢された舞台の初日に強盗をしたという記事に引っかかる。蒼山は遊軍取材班のメンバーに、強盗事件を掘り下げると告げ、結婚報道の準備を赤坂に押し付けてしまった。だが、白石弘(小日向文世)と紫村健(小柳友)が結婚報道の準備に回ってしまったため、赤坂は強盗事件も手伝う事に。  　蒼山は、8年前の松田の事故現場へ。そこで、事故の目撃者から事件の日になると、事故現場にティッシュに包まれたコーヒー豆が置かれているとの情報を得る。さらに蒼山は、松田が当時交際していた吉川理恵子(吉田羊)に会うが取材拒否されてしまう。その時、蒼山は吉川に子供がいることを知った。松雪泰子　  小出恵介　  相武紗季　  遠藤雄弥　  小柳友　  平山浩行　  要潤　  小日向文世　    ほか【脚本】  浜田秀哉　  小川智子【編成企画】  太田大　    【プロデューサー】  森安彩　  江森浩子　    【演出】  岩田和行林ゆうき</t>
  </si>
  <si>
    <t>蒼山叶(松雪泰子)は、黒井彰(平山浩行)から、近々結婚の噂のある国際派女優、藤光香奈子(渋谷亜希)とメジャーリーガーの野島勝(窪寺昭)の映像を集めるよう命令される。藤光のマンションへの張り付きも頼まれるのだが、蒼山の興味はタブロイド紙の別の記事に注がれていた。  　蒼山が引き付けられたのは8年前に起きた現金輸送車襲撃事件に端を発した記事。当時、銃で足を撃たれ、先月亡くなった警備員の息子・小林正行(屋根真樹)が、逃走中のバイク事故で死んだ犯人・松田浩二(岡田義徳)を民事で訴えようとしていたのだ。  　不慣れなパソコンを赤坂衆(小出恵介)に打たせて事件を探る蒼山は、劇団員の松田が主役に抜擢された舞台の初日に強盗をしたという記事に引っかかる。蒼山は遊軍取材班のメンバーに、強盗事件を掘り下げると告げ、結婚報道の準備を赤坂に押し付けてしまった。だが、白石弘(小日向文世)と紫村健(小柳友)が結婚報道の準備に回ってしまったため、赤坂は強盗事件も手伝う事に。  　蒼山は、8年前の松田の事故現場へ。そこで、事故の目撃者から事件の日になると、事故現場にティッシュに包まれたコーヒー豆が置かれているとの情報を得る。さらに蒼山は、松田が当時交際していた吉川理恵子(吉田羊)に会うが取材拒否されてしまう。その時、蒼山は吉川に子供がいることを知った。</t>
  </si>
  <si>
    <t>番組名&lt;ドラマチック・サンデー&gt;パーフェクト・リポート　#04</t>
  </si>
  <si>
    <t>蒼山叶(松雪泰子)の遊軍取材班は、2つの取材を同時に行う事になる。ひとつは、線路に転落した宇野多恵(田島令子)が、近くに居合わせた若い女性に助けられた件。もうひとつは、連日のようにファックスで訴えられている「アジア芸術祭」公式ソングの盗作疑惑だ。  　蒼山は、盗作疑惑を赤坂衆(小出恵介)と白石弘(小日向文世)に、残りのメンバーで宇野への取材を割り振る。蒼山自らも取材に出ようとするのだが、総務課の長沼一枝(山野海)に、溜め込んでいる書類をすぐに提出するよう求められ、足止めされてしまう。  　奥澤緑(相武紗季)と紫村健(小柳友)は、自分を助けてくれた女性を捜して欲しいと宇野に依頼される。蒼山は、緑が書いてもらった似顔絵を見ると、一瞬の出来事なのに克明に女性を覚えていた宇野に疑問を抱く。  　一方、盗作疑惑を訴える相良俊也(佐藤貢三)に会った赤坂と白石は、調査を引き受ける。その過程で、作曲家の西本健一(島津健太郎)が公式ソングを発表する以前に、相良が曲を作っていた事が判明する。  　テレビでは流せなかった宇野を助けた女性の似顔絵が、手には火傷の跡があったとの情報つきで、あるホームページに掲載された。話を聞いた蒼山は、長沼の監視を振り切って宇野の家に向かうが、宇野は自分の記憶力が良いだけだと取り合わない。事故現場近くの防犯ビデオに映っていた女性も似顔絵に酷似。蒼山は宇野と女性の関係を疑う。松雪泰子　  小出恵介　  相武紗季　  遠藤雄弥　  小柳友　  平山浩行　  要潤　  小日向文世　    ほか【脚本】  浜田秀哉【編成企画】  太田大　    【プロデューサー】  森安彩　  江森浩子　    【演出】  石川淳一林ゆうき</t>
  </si>
  <si>
    <t>蒼山叶(松雪泰子)の遊軍取材班は、2つの取材を同時に行う事になる。ひとつは、線路に転落した宇野多恵(田島令子)が、近くに居合わせた若い女性に助けられた件。もうひとつは、連日のようにファックスで訴えられている「アジア芸術祭」公式ソングの盗作疑惑だ。  　蒼山は、盗作疑惑を赤坂衆(小出恵介)と白石弘(小日向文世)に、残りのメンバーで宇野への取材を割り振る。蒼山自らも取材に出ようとするのだが、総務課の長沼一枝(山野海)に、溜め込んでいる書類をすぐに提出するよう求められ、足止めされてしまう。  　奥澤緑(相武紗季)と紫村健(小柳友)は、自分を助けてくれた女性を捜して欲しいと宇野に依頼される。蒼山は、緑が書いてもらった似顔絵を見ると、一瞬の出来事なのに克明に女性を覚えていた宇野に疑問を抱く。  　一方、盗作疑惑を訴える相良俊也(佐藤貢三)に会った赤坂と白石は、調査を引き受ける。その過程で、作曲家の西本健一(島津健太郎)が公式ソングを発表する以前に、相良が曲を作っていた事が判明する。  　テレビでは流せなかった宇野を助けた女性の似顔絵が、手には火傷の跡があったとの情報つきで、あるホームページに掲載された。話を聞いた蒼山は、長沼の監視を振り切って宇野の家に向かうが、宇野は自分の記憶力が良いだけだと取り合わない。事故現場近くの防犯ビデオに映っていた女性も似顔絵に酷似。蒼山は宇野と女性の関係を疑う。</t>
  </si>
  <si>
    <t>番組名&lt;ドラマチック・サンデー&gt;パーフェクト・リポート　#05</t>
  </si>
  <si>
    <t>赤坂衆(小出恵介)が政治部のころから追っていた、ある代議士の献金汚職事件。その事件を知る謎の男から、赤坂のもとに内部告発の電話が入る。翌日、紫村健(小柳友)と共に、男と会う約束をした団地に向かった赤坂は、まるで想定していなかった形で男と対面する。なんと、男は団地の上から転落し、死亡してしまったのだ。　予期せず事故現場に居合わせることとなった赤坂と紫村は、現場からその模様をリポートすることになった。もちろん、CTN以外のテレビ局の姿はなく、完全なスクープだ。複雑な心境の赤坂とは対照的に、初めてスクープ映像を撮影した紫村は有頂天となり、他の遊軍取材班の面々に自慢話を披露するが、周囲のリアクションは冷たく、特にカメラマンの黄田功(要潤)は、紫村の技術不足を「素人同然」と痛烈に批評する。　そのころ、蒼山叶(松雪泰子)は、黒井彰(平山浩行)から、男の転落で巻き込まれて重傷となっている10歳の女の子・佐伯優(菊池和澄)について調べるよう依頼される。佐伯優は、事故現場とはほど遠い静岡県在住。親に内緒で、1人上京してきたようで、捜索願が出ていた。蒼山は、10歳の女の子が1人で上京した理由を探るため、彼女が入院にしている病院へと向かう。松雪泰子　  小出恵介　  相武紗季　  遠藤雄弥　  小柳友　  平山浩行　  要潤　  小日向文世　    ほか【脚本】  酒井雅秋【編成企画】  太田大　    【プロデューサー】  森安彩　  江森浩子　    【演出】  岩田和行林ゆうき</t>
  </si>
  <si>
    <t>赤坂衆(小出恵介)が政治部のころから追っていた、ある代議士の献金汚職事件。その事件を知る謎の男から、赤坂のもとに内部告発の電話が入る。翌日、紫村健(小柳友)と共に、男と会う約束をした団地に向かった赤坂は、まるで想定していなかった形で男と対面する。なんと、男は団地の上から転落し、死亡してしまったのだ。　予期せず事故現場に居合わせることとなった赤坂と紫村は、現場からその模様をリポートすることになった。もちろん、CTN以外のテレビ局の姿はなく、完全なスクープだ。複雑な心境の赤坂とは対照的に、初めてスクープ映像を撮影した紫村は有頂天となり、他の遊軍取材班の面々に自慢話を披露するが、周囲のリアクションは冷たく、特にカメラマンの黄田功(要潤)は、紫村の技術不足を「素人同然」と痛烈に批評する。　そのころ、蒼山叶(松雪泰子)は、黒井彰(平山浩行)から、男の転落で巻き込まれて重傷となっている10歳の女の子・佐伯優(菊池和澄)について調べるよう依頼される。佐伯優は、事故現場とはほど遠い静岡県在住。親に内緒で、1人上京してきたようで、捜索願が出ていた。蒼山は、10歳の女の子が1人で上京した理由を探るため、彼女が入院にしている病院へと向かう。</t>
  </si>
  <si>
    <t>番組名&lt;ドラマチック・サンデー&gt;パーフェクト・リポート　#06</t>
  </si>
  <si>
    <t>体調に異変を感じた赤坂(小出恵介)は、CTN局内の病院で診察を受ける。診断結果は、急性ストレス障害。症状が1カ月以上続けば、PTSDと診断される可能性もあるという。医師は、代議士秘書の自殺現場に居合わせたことで、激しいストレスを体験したことが原因と話すが、診断結果を受け入れられない赤坂は「仕事の疲れが原因」と認めず、処方された薬も捨ててしまう。たまたま、捨てられた薬を発見した桃井(遠藤雄弥)に病気を悟られる赤坂だが、桃井に「誰にも言うな」と口止めをする。  　一方、蒼山(松雪泰子)は、黒井(平山浩行)に呼び出され、2週間前に産婦人科で新生児が死亡した件の取材を依頼される。黄田(要潤)、紫村(小柳友)と共に取材先の産婦人科に向かった蒼山は、赤ちゃんを医療ミスで殺されたと病院側に詰め寄る親子と出会う。蒼山は、詳しい事情を探るため、病院内で複数の妊婦や看護婦から話を聞く。その取材中に、ある妊婦が倒れてしまう。医師によると「新型インフルエンザ」の可能性があり、感染を防ぐために蒼山がいるフロアを隔離すると言う。隔離された蒼山は、死亡した赤ちゃんの母親への取材を黄田に託す。  　そのころ、遊軍取材班では、桃井の軽率な発言から、赤坂の病気のことが全員に知れ渡ってしまう。そのことを知らない赤坂は、蒼山不在のため黒井から蒼山が隔離された病院の院内感染、及び新生児死亡の事件の指揮を執ることを任される。松雪泰子　  小出恵介　  相武紗季　  遠藤雄弥　  小柳友　  平山浩行  要潤　  小日向文世　    ほか【脚本】  阿相クミコ　  酒井雅秋【編成企画】  太田大　    【プロデューサー】  森安彩　  江森浩子　    【演出】  石川淳一林ゆうき</t>
  </si>
  <si>
    <t>体調に異変を感じた赤坂(小出恵介)は、CTN局内の病院で診察を受ける。診断結果は、急性ストレス障害。症状が1カ月以上続けば、PTSDと診断される可能性もあるという。医師は、代議士秘書の自殺現場に居合わせたことで、激しいストレスを体験したことが原因と話すが、診断結果を受け入れられない赤坂は「仕事の疲れが原因」と認めず、処方された薬も捨ててしまう。たまたま、捨てられた薬を発見した桃井(遠藤雄弥)に病気を悟られる赤坂だが、桃井に「誰にも言うな」と口止めをする。  　一方、蒼山(松雪泰子)は、黒井(平山浩行)に呼び出され、2週間前に産婦人科で新生児が死亡した件の取材を依頼される。黄田(要潤)、紫村(小柳友)と共に取材先の産婦人科に向かった蒼山は、赤ちゃんを医療ミスで殺されたと病院側に詰め寄る親子と出会う。蒼山は、詳しい事情を探るため、病院内で複数の妊婦や看護婦から話を聞く。その取材中に、ある妊婦が倒れてしまう。医師によると「新型インフルエンザ」の可能性があり、感染を防ぐために蒼山がいるフロアを隔離すると言う。隔離された蒼山は、死亡した赤ちゃんの母親への取材を黄田に託す。  　そのころ、遊軍取材班では、桃井の軽率な発言から、赤坂の病気のことが全員に知れ渡ってしまう。そのことを知らない赤坂は、蒼山不在のため黒井から蒼山が隔離された病院の院内感染、及び新生児死亡の事件の指揮を執ることを任される。</t>
  </si>
  <si>
    <t>番組名&lt;ドラマチック・サンデー&gt;パーフェクト・リポート　#07</t>
  </si>
  <si>
    <t>蒼山(松雪泰子)は、黒井(平山浩行)からある書類を渡される。「CTN開局50周年記念式典」で、「原点」をテーマに各部署に密着したドキュメンタリー映像を流すという。報道局のドキュメンタリー映像の制作を依頼された蒼山は、60人以上いる報道局員全員のコメントを集めるよう、遊軍取材班の面々に指示を出す。そんななか、社会部からもヘルプ要請が入る。要請の内容は、女子マラソン・オリンピック金メダリストの波多野恵子(陽月華)が、ある大物政治家の隠し子であるというスクープネタの裏付けのため、波多野に張り付くというもの。大忙しの遊軍取材班。療養のため、休暇を取って実家に戻っている赤坂(小出恵介)の不在が響く。  　赤坂は、早く仕事に復帰したいと思う一方で、激しい頭痛と、悲惨な事故現場のフラッシュバックに悩まされ、1週間の予定だった休暇の延長を蒼山に願い出る。そのいらだちから、地方紙の記者である父親の仕事に嫌悪感を抱き、衝突してしまう。  　一方、ヘルプ要請を受け社会部記者と共に、波多野に張り付く桃井(遠藤雄弥)は、一瞬のチャンスを狙う突撃インタビュー時に、重大なミスを犯してしまい、絶好のスクープを逃してしまう。さらには、他のスポーツ紙にそのスクープをさらわれてしまう…。追い詰められた桃井は、これ以上取材しても何も出てこないという周囲の制止を振り切り、「ひとりで取材を続ける」と出て行く。松雪泰子　  小出恵介　  相武紗季　  遠藤雄弥　  小柳友　  平山浩行　  要潤　  小日向文世　    ほか【脚本】  酒井雅秋　  山浦雅大【編成企画】  太田大　    【プロデューサー】  森安彩　  江森浩子　    【演出】  岩田和行林ゆうき</t>
  </si>
  <si>
    <t>蒼山(松雪泰子)は、黒井(平山浩行)からある書類を渡される。「CTN開局50周年記念式典」で、「原点」をテーマに各部署に密着したドキュメンタリー映像を流すという。報道局のドキュメンタリー映像の制作を依頼された蒼山は、60人以上いる報道局員全員のコメントを集めるよう、遊軍取材班の面々に指示を出す。そんななか、社会部からもヘルプ要請が入る。要請の内容は、女子マラソン・オリンピック金メダリストの波多野恵子(陽月華)が、ある大物政治家の隠し子であるというスクープネタの裏付けのため、波多野に張り付くというもの。大忙しの遊軍取材班。療養のため、休暇を取って実家に戻っている赤坂(小出恵介)の不在が響く。  　赤坂は、早く仕事に復帰したいと思う一方で、激しい頭痛と、悲惨な事故現場のフラッシュバックに悩まされ、1週間の予定だった休暇の延長を蒼山に願い出る。そのいらだちから、地方紙の記者である父親の仕事に嫌悪感を抱き、衝突してしまう。  　一方、ヘルプ要請を受け社会部記者と共に、波多野に張り付く桃井(遠藤雄弥)は、一瞬のチャンスを狙う突撃インタビュー時に、重大なミスを犯してしまい、絶好のスクープを逃してしまう。さらには、他のスポーツ紙にそのスクープをさらわれてしまう…。追い詰められた桃井は、これ以上取材しても何も出てこないという周囲の制止を振り切り、「ひとりで取材を続ける」と出て行く。</t>
  </si>
  <si>
    <t>番組名&lt;ドラマチック・サンデー&gt;パーフェクト・リポート　#08</t>
  </si>
  <si>
    <t>蒼山(松雪泰子)は、黒井(平山浩行)から衝撃的なニュースを聞き、茫然自失となる。20代前半の男性が、同年代の男性をナイフで刺し現行犯逮捕されたという。容疑者は、蒼山が追い続けている11年前の「世田谷区主婦殺人事件」で母親を亡くし、さらに図らずも蒼山に裏切られた形で、容疑者扱いされた父親も不慮の事故で亡くしている澤村光輝(木村了)だ。  　並々ならぬ因縁に、澤村光輝に会うため、蒼山自ら警察署に張り付くが、彼に見向きもされず大きなショックを受ける。「報道は時に人を傷つけるが、希望もある」と信じてきた蒼山だが、今回の事件にその信念を打ち砕かれた思いで、他の遊軍メンバーが心配するほど落ち込んでしまう。  　そんな蒼山に、すっかり調子が狂ってしまう遊軍取材班の面々。奥澤(相武紗季)、桃井(遠藤雄弥)、紫村(小柳友)の3人は、蒼山に追い立てられることなく、以前の暇な生活に戻ったことに違和感を覚え、蒼山が来てから夢中で仕事に没頭し充実していたことに気付く。蒼山に代わって、澤村光輝の事件をしらみ潰しに調べ始める3人。  　以前から蒼山が調べ続けていた澤村光輝に関する膨大な資料を、徹夜で読み直した3人は、それぞれに今回の事件に関する疑問点を蒼山に話す。「すべて憶測の域を出ない」と遮る蒼山だったが、とある出来事から自身の原点を思い返し、事件を洗い直すことを決意する。松雪泰子　  小出恵介　  相武紗季　  遠藤雄弥　  小柳友　  平山浩行　  要潤　  小日向文世　    ほか【脚本】  浜田秀哉【編成企画】  太田大　    【プロデューサー】  森安彩　  江森浩子　    【演出】  石川淳一林ゆうき</t>
  </si>
  <si>
    <t>蒼山(松雪泰子)は、黒井(平山浩行)から衝撃的なニュースを聞き、茫然自失となる。20代前半の男性が、同年代の男性をナイフで刺し現行犯逮捕されたという。容疑者は、蒼山が追い続けている11年前の「世田谷区主婦殺人事件」で母親を亡くし、さらに図らずも蒼山に裏切られた形で、容疑者扱いされた父親も不慮の事故で亡くしている澤村光輝(木村了)だ。  　並々ならぬ因縁に、澤村光輝に会うため、蒼山自ら警察署に張り付くが、彼に見向きもされず大きなショックを受ける。「報道は時に人を傷つけるが、希望もある」と信じてきた蒼山だが、今回の事件にその信念を打ち砕かれた思いで、他の遊軍メンバーが心配するほど落ち込んでしまう。  　そんな蒼山に、すっかり調子が狂ってしまう遊軍取材班の面々。奥澤(相武紗季)、桃井(遠藤雄弥)、紫村(小柳友)の3人は、蒼山に追い立てられることなく、以前の暇な生活に戻ったことに違和感を覚え、蒼山が来てから夢中で仕事に没頭し充実していたことに気付く。蒼山に代わって、澤村光輝の事件をしらみ潰しに調べ始める3人。  　以前から蒼山が調べ続けていた澤村光輝に関する膨大な資料を、徹夜で読み直した3人は、それぞれに今回の事件に関する疑問点を蒼山に話す。「すべて憶測の域を出ない」と遮る蒼山だったが、とある出来事から自身の原点を思い返し、事件を洗い直すことを決意する。</t>
  </si>
  <si>
    <t>番組名&lt;ドラマチック・サンデー&gt;パーフェクト・リポート　#09</t>
  </si>
  <si>
    <t>蒼山(松雪泰子)は、澤村光輝(木村了)が思い出した記憶が気にかかっていた。澤村は、11年前に自身の母親が殺害された事件で、逃げていく犯人が「太陽のキーホルダー」を所持していたと語ったのだ。そんな時、CTNニュース編集部に、「太陽のキーホルダー」を所持した男が2年前の殺人事件でも目撃されていたという情報が飛び込んでくる。足立区で起こった女性殺人事件で、被害者の娘が逃走する犯人を目撃し、「太陽のキーホルダー」を所持していたと証言していたというのだ。  　早速、事件の取材にとりかかる蒼山。遊軍取材班の面々に仕事を割り振る中で、赤坂(小出恵介)がワシントン支局に異動となったことが明らかになる。政治部の出世コースで、赤坂自身が望んだとおりになったというのに、なぜか浮かない顔の赤坂。一方、3カ月間の期限付きで遊軍取材班に異動になっている緑(相武紗季)は、自身がアナウンス室に戻ることに気付かない皆に、すねてしまう。  　皆が2年前の女性殺人事件の取材に追われるなか、赤坂と白石(小日向文世)は、赤坂が居合わせた代議士秘書の転落事故の際に、現場にいた女子中学生・麻生瑞貴(山谷花純)への接触に成功する。しかし、瑞貴に「私は何も知らない」と言われてしまう。  　また、蒼山と黄田(要潤)は、2年前の女性殺人事件の遺族へのインタビューを行うが、こちらも何も聞けずじまいで取材を終えてしまう。松雪泰子　  小出恵介　  相武紗季　  遠藤雄弥　  小柳友　  平山浩行　  要潤　　  小日向文世　    ほか【脚本】  酒井雅秋【編成企画】  太田大　    【プロデューサー】  森安彩　  江森浩子　    【演出】  村谷嘉則林ゆうき</t>
  </si>
  <si>
    <t>蒼山(松雪泰子)は、澤村光輝(木村了)が思い出した記憶が気にかかっていた。澤村は、11年前に自身の母親が殺害された事件で、逃げていく犯人が「太陽のキーホルダー」を所持していたと語ったのだ。そんな時、CTNニュース編集部に、「太陽のキーホルダー」を所持した男が2年前の殺人事件でも目撃されていたという情報が飛び込んでくる。足立区で起こった女性殺人事件で、被害者の娘が逃走する犯人を目撃し、「太陽のキーホルダー」を所持していたと証言していたというのだ。  　早速、事件の取材にとりかかる蒼山。遊軍取材班の面々に仕事を割り振る中で、赤坂(小出恵介)がワシントン支局に異動となったことが明らかになる。政治部の出世コースで、赤坂自身が望んだとおりになったというのに、なぜか浮かない顔の赤坂。一方、3カ月間の期限付きで遊軍取材班に異動になっている緑(相武紗季)は、自身がアナウンス室に戻ることに気付かない皆に、すねてしまう。  　皆が2年前の女性殺人事件の取材に追われるなか、赤坂と白石(小日向文世)は、赤坂が居合わせた代議士秘書の転落事故の際に、現場にいた女子中学生・麻生瑞貴(山谷花純)への接触に成功する。しかし、瑞貴に「私は何も知らない」と言われてしまう。  　また、蒼山と黄田(要潤)は、2年前の女性殺人事件の遺族へのインタビューを行うが、こちらも何も聞けずじまいで取材を終えてしまう。</t>
  </si>
  <si>
    <t>番組名&lt;ドラマチック・サンデー&gt;パーフェクト・リポート　#10</t>
  </si>
  <si>
    <t>蒼山(松雪泰子)は、遊軍取材班の面々に2年前の女性殺人事件、並びに11年前の澤村成美(中村真知子)殺害事件の取材を打ち切るよう伝える。伊崎早苗(小林涼子)への取材後に、彼女が襲われた件で、蒼山は謹慎となったのだ。納得のいかない遊軍メンバーは、黒井(平山浩行)を問い詰めるが、「手を引かなければ処分が下る」と取り合ってもらえない。  　謹慎となった蒼山だが、その命令に黙って従うことなく単独で取材を続ける。早苗の見舞いに訪れた蒼山は、そこで意外な人物に出会う。澤村光輝(木村了)だ。澤村は、ニュースを見て自分と同じ境遇の早苗を心配し、見舞いに来ていた。当初、警戒心の強かった早苗の姉・素子(村川絵梨)も、澤村から蒼山の人柄を聞き、心を許すようになり、最近の早苗の様子を話し始める。  　一方、突然の取材打ち切りに不満たらたらの遊軍メンバー。冷静な白石(小日向文世)から、取材を続けることのリスクを説かれるが、ワシントン行きを目前に控えた赤坂(小出恵介)を筆頭に、取材を続けることを決意する。会社には休暇届を提出し、馴染みの喫茶店を「前線基地」に見立て、唯一の手がかり「太陽のキーホルダー」を、蒼山仕込みの「しらみ潰し」で調べ始める。勝手に取材を続けることに否定的であった白石も加わり、蒼山を除く全員がそろった。蒼山と他のメンバーは、それぞれが独自のルートで取材を続けるが、やがて1つの共通点にたどり着く。松雪泰子　  小出恵介　  相武紗季　  遠藤雄弥　  小柳友　  平山浩行　  要潤　  小日向文世　    ほか【脚本】  浜田秀哉【編成企画】  太田大　    【プロデューサー】  森安彩　  江森浩子　    【演出】  石川淳一林ゆうき</t>
  </si>
  <si>
    <t>蒼山(松雪泰子)は、遊軍取材班の面々に2年前の女性殺人事件、並びに11年前の澤村成美(中村真知子)殺害事件の取材を打ち切るよう伝える。伊崎早苗(小林涼子)への取材後に、彼女が襲われた件で、蒼山は謹慎となったのだ。納得のいかない遊軍メンバーは、黒井(平山浩行)を問い詰めるが、「手を引かなければ処分が下る」と取り合ってもらえない。  　謹慎となった蒼山だが、その命令に黙って従うことなく単独で取材を続ける。早苗の見舞いに訪れた蒼山は、そこで意外な人物に出会う。澤村光輝(木村了)だ。澤村は、ニュースを見て自分と同じ境遇の早苗を心配し、見舞いに来ていた。当初、警戒心の強かった早苗の姉・素子(村川絵梨)も、澤村から蒼山の人柄を聞き、心を許すようになり、最近の早苗の様子を話し始める。  　一方、突然の取材打ち切りに不満たらたらの遊軍メンバー。冷静な白石(小日向文世)から、取材を続けることのリスクを説かれるが、ワシントン行きを目前に控えた赤坂(小出恵介)を筆頭に、取材を続けることを決意する。会社には休暇届を提出し、馴染みの喫茶店を「前線基地」に見立て、唯一の手がかり「太陽のキーホルダー」を、蒼山仕込みの「しらみ潰し」で調べ始める。勝手に取材を続けることに否定的であった白石も加わり、蒼山を除く全員がそろった。蒼山と他のメンバーは、それぞれが独自のルートで取材を続けるが、やがて1つの共通点にたどり着く。</t>
  </si>
  <si>
    <t>1007_CX_月21</t>
  </si>
  <si>
    <t>夏の恋は虹色に輝く</t>
  </si>
  <si>
    <t>番組名夏の恋は虹色に輝く　#01</t>
  </si>
  <si>
    <t>楠大雅(松本潤)は、名俳優・楠航太郎(伊東四朗)を父に、元女優の真知子(松坂慶子)を母に持ち、自身も俳優を稼業とするいわゆる二世俳優。しかし、あまりにも偉大な父には遠く及ばず、鳴かず飛ばずの日々を送っている。  　そんな大雅の友人は、同じく二世俳優の植野慶太(笠原秀幸)。同じ境遇からか気が合う2人はオフでは一緒に遊ぶ仲だ。その日も優雅にスカイダイビングを楽しんでいたが、大雅だけ風に流され、着地地点から大幅に離れた海の近くの雑木林に落下。気づけば大雅は木の枝に引っかかり、宙ぶらりん状態に。逃れようなく困っていると、ちょうど道を走ってくる女性が…。それも、ちょっといい女。急いでその女性に声をかけ、助けを求めるものの、売れてないとはいえ大雅も俳優の端くれ。警察に電話や、人を呼ぶなど世間に醜態をさらすわけにはいかず、とにかく他の方法で降ろして欲しいと頼む。  　すると、女性は予想もつかないような手段で、大雅を地上に生還させた。彼女は大雅の無事を確認すると、急いでいるからと名も告げずに走り去ってしまう。この女性こそ、北村詩織(竹内結子)。これが大雅と詩織のおかしな出会い。  　この後、大雅は詩織のことが気にかかる。それは、果たして恋なのか?松本潤　    竹内結子　    沢村一樹　    桐谷美玲　    笠原秀幸　    永山絢斗　    松重豊　    伊東四朗(特別出演)　    松坂慶子　    ほか【脚本】  大森美香【演出】  澤田鎌作　    【プロデュース】  三竿玲子【主題歌】「Lφve　Rainbow」嵐  【挿入歌】「Please　Stay　With　Me」YUI</t>
  </si>
  <si>
    <t>楠大雅(松本潤)は、名俳優・楠航太郎(伊東四朗)を父に、元女優の真知子(松坂慶子)を母に持ち、自身も俳優を稼業とするいわゆる二世俳優。しかし、あまりにも偉大な父には遠く及ばず、鳴かず飛ばずの日々を送っている。  　そんな大雅の友人は、同じく二世俳優の植野慶太(笠原秀幸)。同じ境遇からか気が合う2人はオフでは一緒に遊ぶ仲だ。その日も優雅にスカイダイビングを楽しんでいたが、大雅だけ風に流され、着地地点から大幅に離れた海の近くの雑木林に落下。気づけば大雅は木の枝に引っかかり、宙ぶらりん状態に。逃れようなく困っていると、ちょうど道を走ってくる女性が…。それも、ちょっといい女。急いでその女性に声をかけ、助けを求めるものの、売れてないとはいえ大雅も俳優の端くれ。警察に電話や、人を呼ぶなど世間に醜態をさらすわけにはいかず、とにかく他の方法で降ろして欲しいと頼む。  　すると、女性は予想もつかないような手段で、大雅を地上に生還させた。彼女は大雅の無事を確認すると、急いでいるからと名も告げずに走り去ってしまう。この女性こそ、北村詩織(竹内結子)。これが大雅と詩織のおかしな出会い。  　この後、大雅は詩織のことが気にかかる。それは、果たして恋なのか?</t>
  </si>
  <si>
    <t>番組名夏の恋は虹色に輝く　#02</t>
  </si>
  <si>
    <t>楠大雅(松本潤)は、偶然出会った北村詩織(竹内結子)に一目ぼれ。大雅の亡き父、航太郎(伊東四朗)の大ファンだと言う詩織は、事務所で働くことになる。こうなったら恋の進展も…と、考えた大雅の思惑は大外れ。なんと、詩織には6歳になる娘、海(小林星蘭)がいたのだ。  　ドラマのオーディションには相変わらず受からない大雅は、植野慶太(笠原秀幸)と飲みながら傷の舐め合い。大雅は詩織との経緯を慶太に話し、人妻には手を出せないと話すのだが、まだまだ未練はある様子。  　一方、詩織は仕事を変えるため海と一緒にお引越し。海を転校先の小学校に連れて行くと、担任になると現れたのは大雅の兄、大貴(沢村一樹)。もちろん、この時は詩織も大貴もお互いに大雅との関係を知る由もない。大貴は詩織と海のために授業参観を企画すると言いだし、海は大喜びなのだが…。  　事務所では、大雅がバラエティーの出演を承諾。だが、社長の青木久雄(松重豊)が新しく入った宮瀬桜(桐谷美玲)を自分より上に扱うことが気に入らない。桜は4歳年下だが、その芸歴は大雅より長いということで渋々納得する。  　詩織が海を連れてアパートに帰ろうとすると、後から大雅がついて来る。ストーカーと疑う詩織なのだが、たまたま大雅と帰る方向が同じだっただけ。大雅が別れて歩き出すと、詩織に呼び止められた。そして、詩織は大雅をアパートの部屋へと招き入れ…。松本潤　    竹内結子　    沢村一樹　    桐谷美玲　    笠原秀幸　    永山絢斗　    小倉一郎　    大下源一郎　    小林星蘭　    松重豊　    伊東四朗(特別出演)　    松坂慶子　    ほか【脚本】  大森美香【演出】  澤田鎌作　    【プロデュース】  三竿玲子【主題歌】「Lφve　Rainbow」嵐  【挿入歌】「Please　Stay　With　Me」YUI</t>
  </si>
  <si>
    <t>楠大雅(松本潤)は、偶然出会った北村詩織(竹内結子)に一目ぼれ。大雅の亡き父、航太郎(伊東四朗)の大ファンだと言う詩織は、事務所で働くことになる。こうなったら恋の進展も…と、考えた大雅の思惑は大外れ。なんと、詩織には6歳になる娘、海(小林星蘭)がいたのだ。  　ドラマのオーディションには相変わらず受からない大雅は、植野慶太(笠原秀幸)と飲みながら傷の舐め合い。大雅は詩織との経緯を慶太に話し、人妻には手を出せないと話すのだが、まだまだ未練はある様子。  　一方、詩織は仕事を変えるため海と一緒にお引越し。海を転校先の小学校に連れて行くと、担任になると現れたのは大雅の兄、大貴(沢村一樹)。もちろん、この時は詩織も大貴もお互いに大雅との関係を知る由もない。大貴は詩織と海のために授業参観を企画すると言いだし、海は大喜びなのだが…。  　事務所では、大雅がバラエティーの出演を承諾。だが、社長の青木久雄(松重豊)が新しく入った宮瀬桜(桐谷美玲)を自分より上に扱うことが気に入らない。桜は4歳年下だが、その芸歴は大雅より長いということで渋々納得する。  　詩織が海を連れてアパートに帰ろうとすると、後から大雅がついて来る。ストーカーと疑う詩織なのだが、たまたま大雅と帰る方向が同じだっただけ。大雅が別れて歩き出すと、詩織に呼び止められた。そして、詩織は大雅をアパートの部屋へと招き入れ…。</t>
  </si>
  <si>
    <t>番組名夏の恋は虹色に輝く　#03</t>
  </si>
  <si>
    <t>優雅な生活を送ってきた楠大雅(松本潤)。だが、父の航太郎(伊東四朗)がいなくなったため、その暮らしも改めざるを得ない。この日は、植野慶太(笠原秀幸)と最後の乗馬を楽しんでいた。しかし、大雅の話題はどうしても北村詩織(竹内結子)のことになってしまう。海(小林星蘭)という娘の存在を知っても、まだ未練たらたらで詩織を想う大雅。想いは深いものの、大雅が未だに詩織に告白もしていないことを知った慶太もあきれ顔。大雅は、告白よりも海の父親が誰なのかが気にかかっていた。  　その夜、大雅が家に帰ると母の真知子(松坂慶子)がグッタリと倒れている。駆け寄る大雅に、真知子は航太郎への浮気疑惑を口にした。真知子の周囲には、航太郎が持っていた宮瀬桜(桐谷美玲)の写真や赤ん坊を抱いた詩織の写真が散らばっている。詩織の写真には、隠し子がいたと泣きじゃくる真知子だけでなく大雅も絶句。  　その日以来、大雅は詩織をこれまで以上に意識してしまう。どこか気まずくて顔も見られない状態。さらに大雅は仕事もない状態。そんな大雅を桜が付き人にして欲しいと言い出した。激励の言葉をかける詩織だが、大雅に無視される。自分が何か怒らせるようなことをしたのか?原因がわからず自分のことが嫌いなんだと怒る詩織に大雅はうっかり…。松本潤　    竹内結子　    沢村一樹　    桐谷美玲　    笠原秀幸　    永山絢斗　    小倉一郎　    大下源一郎　    小林星蘭　    松重豊　    伊東四朗(特別出演)　    松坂慶子　    ほか【脚本】  大森美香　    【プロデュース】  三竿玲子【演出】  澤田鎌作【主題歌】「Lφve　Rainbow」嵐  【挿入歌】「Please　Stay　With　Me」YUI</t>
  </si>
  <si>
    <t>優雅な生活を送ってきた楠大雅(松本潤)。だが、父の航太郎(伊東四朗)がいなくなったため、その暮らしも改めざるを得ない。この日は、植野慶太(笠原秀幸)と最後の乗馬を楽しんでいた。しかし、大雅の話題はどうしても北村詩織(竹内結子)のことになってしまう。海(小林星蘭)という娘の存在を知っても、まだ未練たらたらで詩織を想う大雅。想いは深いものの、大雅が未だに詩織に告白もしていないことを知った慶太もあきれ顔。大雅は、告白よりも海の父親が誰なのかが気にかかっていた。  　その夜、大雅が家に帰ると母の真知子(松坂慶子)がグッタリと倒れている。駆け寄る大雅に、真知子は航太郎への浮気疑惑を口にした。真知子の周囲には、航太郎が持っていた宮瀬桜(桐谷美玲)の写真や赤ん坊を抱いた詩織の写真が散らばっている。詩織の写真には、隠し子がいたと泣きじゃくる真知子だけでなく大雅も絶句。  　その日以来、大雅は詩織をこれまで以上に意識してしまう。どこか気まずくて顔も見られない状態。さらに大雅は仕事もない状態。そんな大雅を桜が付き人にして欲しいと言い出した。激励の言葉をかける詩織だが、大雅に無視される。自分が何か怒らせるようなことをしたのか?原因がわからず自分のことが嫌いなんだと怒る詩織に大雅はうっかり…。</t>
  </si>
  <si>
    <t>番組名夏の恋は虹色に輝く　#04</t>
  </si>
  <si>
    <t>楠大雅(松本潤)は、北村詩織(竹内結子)に自分の想いをキチンと伝えた。しかし、詩織は大雅の気持ちに答えることが出来ない。なぜなら、詩織は海(小林星蘭)の父、つまり亡くなった夫をまだ愛していたのだ。もう一生恋などしない…詩織はそんなことまで大雅に話してしまった自分が信じられなかった。大雅もキッパリと振られてしまった自分の不甲斐なさに落ち込んでしまう。  　植野慶太(笠原秀幸)は、そんな大雅を2世タレントが集まる飲み会に連れ出した。自分と同じような境遇の仲間たちとの交流に少し心がほぐれる大雅だが・・・。  　一方、大貴(沢村一樹)は海の付き添いで来るであろう詩織が目当てで、自ら水泳教室を開催する。しかし、海は水泳教室のプリントを詩織には見せずに捨ててしまっていた。  　事務所で顔を合わせた大雅と詩織はお互いにギクシャクしてしまう。大雅はその雰囲気を打開するため、先日の告白を忘れて欲しいと頼む。すると詩織もこれからも大雅を俳優として応援したいと笑顔で答える。  　大雅が家に帰ると大貴が来ていた。航太郎(伊東四朗)の遺産相続など、これからの楠家を話し合う2人。そんな時、大貴は大雅が役作りのためにと持っていた『プール監視員の心得』なる本を発見。次の土曜日に水泳教室の手伝いに来て欲しいと言う。嫌がる大雅だが、大貴から海が水泳教室に来ていないと聞かされて・・・。松本潤　    竹内結子　    沢村一樹　    桐谷美玲　    笠原秀幸　    永山絢斗　    小倉一郎　    大下源一郎　    小林星蘭　    松重豊　    伊東四朗(特別出演)　    松坂慶子　    ほか【脚本】  大森美香【プロデュース】  三竿玲子　    【演出】  澤田鎌作【主題歌】「Lφve　Rainbow」嵐  【挿入歌】「Please　Stay　With　Me」YUI</t>
  </si>
  <si>
    <t>楠大雅(松本潤)は、北村詩織(竹内結子)に自分の想いをキチンと伝えた。しかし、詩織は大雅の気持ちに答えることが出来ない。なぜなら、詩織は海(小林星蘭)の父、つまり亡くなった夫をまだ愛していたのだ。もう一生恋などしない…詩織はそんなことまで大雅に話してしまった自分が信じられなかった。大雅もキッパリと振られてしまった自分の不甲斐なさに落ち込んでしまう。  　植野慶太(笠原秀幸)は、そんな大雅を2世タレントが集まる飲み会に連れ出した。自分と同じような境遇の仲間たちとの交流に少し心がほぐれる大雅だが・・・。  　一方、大貴(沢村一樹)は海の付き添いで来るであろう詩織が目当てで、自ら水泳教室を開催する。しかし、海は水泳教室のプリントを詩織には見せずに捨ててしまっていた。  　事務所で顔を合わせた大雅と詩織はお互いにギクシャクしてしまう。大雅はその雰囲気を打開するため、先日の告白を忘れて欲しいと頼む。すると詩織もこれからも大雅を俳優として応援したいと笑顔で答える。  　大雅が家に帰ると大貴が来ていた。航太郎(伊東四朗)の遺産相続など、これからの楠家を話し合う2人。そんな時、大貴は大雅が役作りのためにと持っていた『プール監視員の心得』なる本を発見。次の土曜日に水泳教室の手伝いに来て欲しいと言う。嫌がる大雅だが、大貴から海が水泳教室に来ていないと聞かされて・・・。</t>
  </si>
  <si>
    <t>番組名夏の恋は虹色に輝く　#05</t>
  </si>
  <si>
    <t>大雅(松本潤)は、亡くなった夫への悲しみや思いがまだ残っている詩織(竹内結子)の笑顔さえ見られればそれでいい、と思うように気持ちを切り替えようとする。久々にドラマ出演するもシーンカットされ、もう役者を辞めたほうがいいのか、とさえ思う大雅だが、「役者さん、やめないでね」と詩織に言われ、いよいよ奮起するのだった。  　大貴(沢村一樹)は詩織と海(小林星蘭)を楠家に招待。しかし、詩織たちが楠家に着くと、大雅しかいない。真知子(松坂慶子)も大貴もまだ帰ってくる様子がない。そこで大雅は冷蔵庫にある食材で詩織と海のためにおもてなし料理を作ることに。手際よく準備する大雅に驚きながらも、詩織と海も一緒に料理のお手伝い。そこに大貴と真知子も帰宅し、事務所の青木(松重豊)らも加わって、皆勢ぞろいする。銀さんファンの詩織と海は亡き航太郎(伊東四朗)の部屋を大貴に案内され、感激しきり。が、大貴の方はというと、詩織との将来の勝手な妄想が止まらない。  　楠家のホームパーティーが始まり、大貴は詩織への猛アプローチをかける。そこに詩織の詳しい事情を知らない真知子も加わり、困惑する詩織。その様子を見て大雅は・・・。    　さらに、パーティーから帰った詩織は、大雅に電話して・・・。松本潤　    竹内結子　    沢村一樹　    桐谷美玲　    笠原秀幸　    永山絢斗　    小倉一郎　    大下源一郎　    小林星蘭　    松重豊　    伊東四朗(特別出演)　    松坂慶子　    ほか【脚本】  大森美香　    【プロデュース】  三竿玲子【演出】  澤田鎌作【主題歌】「Lφve　Rainbow」嵐  【挿入歌】「Please　Stay　With　Me」YUI</t>
  </si>
  <si>
    <t>大雅(松本潤)は、亡くなった夫への悲しみや思いがまだ残っている詩織(竹内結子)の笑顔さえ見られればそれでいい、と思うように気持ちを切り替えようとする。久々にドラマ出演するもシーンカットされ、もう役者を辞めたほうがいいのか、とさえ思う大雅だが、「役者さん、やめないでね」と詩織に言われ、いよいよ奮起するのだった。  　大貴(沢村一樹)は詩織と海(小林星蘭)を楠家に招待。しかし、詩織たちが楠家に着くと、大雅しかいない。真知子(松坂慶子)も大貴もまだ帰ってくる様子がない。そこで大雅は冷蔵庫にある食材で詩織と海のためにおもてなし料理を作ることに。手際よく準備する大雅に驚きながらも、詩織と海も一緒に料理のお手伝い。そこに大貴と真知子も帰宅し、事務所の青木(松重豊)らも加わって、皆勢ぞろいする。銀さんファンの詩織と海は亡き航太郎(伊東四朗)の部屋を大貴に案内され、感激しきり。が、大貴の方はというと、詩織との将来の勝手な妄想が止まらない。  　楠家のホームパーティーが始まり、大貴は詩織への猛アプローチをかける。そこに詩織の詳しい事情を知らない真知子も加わり、困惑する詩織。その様子を見て大雅は・・・。    　さらに、パーティーから帰った詩織は、大雅に電話して・・・。</t>
  </si>
  <si>
    <t>番組名夏の恋は虹色に輝く　#06</t>
  </si>
  <si>
    <t>亡き夫の故郷・福岡に里帰りする北村詩織(竹内結子)を見送った楠大雅(松本潤)。詩織と海(小林星蘭)は、夫の両親ら家族と夏休みを過ごす。東京の芸能事務所で働き始めたことを話すと、孫の海と一緒に暮らしたい義母・君江(市毛良枝)はそんなところで働かなくても福岡で一緒に暮らせばいいのに、とさりげなく伝える。そんな中、出張中で会えない夫の弟・春樹から電話がかかってくる。亡き夫とそっくりの声に詩織はドキッとしてしまう。  　一方、大雅はダーツバーで飲んでいた。相手はいつもの植野慶太(笠原秀幸)ではなく、伊良部譲(永山絢斗)。最近実力を伸ばしている譲に話を聞きたかったのだ。  　その頃、事務所にはあるテレビ局から真知子(松坂慶子)と大雅で温泉旅行をするという番組の依頼が入った。青木久雄(松重豊)は役者以外の仕事なので大雅が嫌がるだろうと思っていたが、意外とすんなり受け入れる。芝居のためには、なんでも人生経験を積むことが大事と、大雅の中で少しずつ仕事への姿勢に変化が見られるのだった。  　温泉ロケにたとうという時、詩織が福岡から戻ってきた。挨拶くらいしか会話をする間もなく出かける大雅だが、詩織が帰ってきてやっぱり嬉しい。そんな2人を見ていた宮瀬桜(桐谷美玲)は詩織にあることを伝えて…。松本潤　    竹内結子　    沢村一樹　    桐谷美玲　    笠原秀幸　    永山絢斗　    小倉一郎　    大下源一郎　    小林星蘭　    松重豊　    伊東四朗(特別出演)　    松坂慶子　    ほか【脚本】  大森美香　    【プロデュース】  三竿玲子【演出】  澤田鎌作【主題歌】「Lφve　Rainbow」嵐  【挿入歌】「Please　Stay　With　Me」YUI</t>
  </si>
  <si>
    <t>亡き夫の故郷・福岡に里帰りする北村詩織(竹内結子)を見送った楠大雅(松本潤)。詩織と海(小林星蘭)は、夫の両親ら家族と夏休みを過ごす。東京の芸能事務所で働き始めたことを話すと、孫の海と一緒に暮らしたい義母・君江(市毛良枝)はそんなところで働かなくても福岡で一緒に暮らせばいいのに、とさりげなく伝える。そんな中、出張中で会えない夫の弟・春樹から電話がかかってくる。亡き夫とそっくりの声に詩織はドキッとしてしまう。  　一方、大雅はダーツバーで飲んでいた。相手はいつもの植野慶太(笠原秀幸)ではなく、伊良部譲(永山絢斗)。最近実力を伸ばしている譲に話を聞きたかったのだ。  　その頃、事務所にはあるテレビ局から真知子(松坂慶子)と大雅で温泉旅行をするという番組の依頼が入った。青木久雄(松重豊)は役者以外の仕事なので大雅が嫌がるだろうと思っていたが、意外とすんなり受け入れる。芝居のためには、なんでも人生経験を積むことが大事と、大雅の中で少しずつ仕事への姿勢に変化が見られるのだった。  　温泉ロケにたとうという時、詩織が福岡から戻ってきた。挨拶くらいしか会話をする間もなく出かける大雅だが、詩織が帰ってきてやっぱり嬉しい。そんな2人を見ていた宮瀬桜(桐谷美玲)は詩織にあることを伝えて…。</t>
  </si>
  <si>
    <t>番組名夏の恋は虹色に輝く　#07</t>
  </si>
  <si>
    <t>楠大雅(松本潤)は北村詩織(竹内結子)の揺れる想いを聞き、2人はキスを交わした。父・航太郎(伊東四朗)の大事なトロフィーを割ってしまった直後に青木久雄(松重豊)らが事務所に戻ってきたため、とっさに稽古場に隠れた時の出来事だった。  　詩織は気を取り直して海(小林星蘭)を迎えに行くと、海の誕生パーティーをしようと友だちやその親たちで盛り上がる。これが自分の生きる世界だ、と心に言い聞かせる詩織。  　大雅は詩織との出来事が嬉しい半面苦しくて、複雑な恋心を植野慶太(笠原秀幸)に打ち明ける。以来、大雅は事務所に顔を出さなくなっていた。青木は大雅と詩織の様子がどこかおかしいことに気づく。  　ある日、大貴(沢村一樹)と大雅が自宅にいると、そこに真知子(松坂慶子)が宮瀬桜(桐谷美玲)を伴って帰ってきた。桜は、先日放送された真知子と大雅の温泉番組についての読者投稿記事が載った新聞をわざわざ持ってきたのだ。好意的な内容の記事に大雅は感動する。  　帰り道、送ってくれた大雅に桜は自分の気持ちを伝える。告白されたことすら気づかない大雅に突然キスをする桜。しかし、ちょうどその場を詩織が目撃して・・・。松本潤　    竹内結子　    沢村一樹　    桐谷美玲　    笠原秀幸　    永山絢斗　    小倉一郎　    大下源一郎　    小林星蘭　    松重豊　    伊東四朗(特別出演)　    松坂慶子　    ほか【脚本】  大森美香【演出】  澤田鎌作　    【プロデュース】  三竿玲子【主題歌】「Lφve　Rainbow」嵐  【挿入歌】「Please　Stay　With　Me」YUI</t>
  </si>
  <si>
    <t>楠大雅(松本潤)は北村詩織(竹内結子)の揺れる想いを聞き、2人はキスを交わした。父・航太郎(伊東四朗)の大事なトロフィーを割ってしまった直後に青木久雄(松重豊)らが事務所に戻ってきたため、とっさに稽古場に隠れた時の出来事だった。  　詩織は気を取り直して海(小林星蘭)を迎えに行くと、海の誕生パーティーをしようと友だちやその親たちで盛り上がる。これが自分の生きる世界だ、と心に言い聞かせる詩織。  　大雅は詩織との出来事が嬉しい半面苦しくて、複雑な恋心を植野慶太(笠原秀幸)に打ち明ける。以来、大雅は事務所に顔を出さなくなっていた。青木は大雅と詩織の様子がどこかおかしいことに気づく。  　ある日、大貴(沢村一樹)と大雅が自宅にいると、そこに真知子(松坂慶子)が宮瀬桜(桐谷美玲)を伴って帰ってきた。桜は、先日放送された真知子と大雅の温泉番組についての読者投稿記事が載った新聞をわざわざ持ってきたのだ。好意的な内容の記事に大雅は感動する。  　帰り道、送ってくれた大雅に桜は自分の気持ちを伝える。告白されたことすら気づかない大雅に突然キスをする桜。しかし、ちょうどその場を詩織が目撃して・・・。</t>
  </si>
  <si>
    <t>番組名夏の恋は虹色に輝く　#08</t>
  </si>
  <si>
    <t>事務所で2人きりになった楠大雅(松本潤)と宮瀬桜(桐谷美玲)。「詩織さんのこと、忘れさせてあげる・・・」と、桜がキスしようとするが、大雅はうまくかわす。  　北村詩織(竹内結子)は、自宅で海(小林星蘭)のバースデーパーティーを開いていたところ、ちょうど出張で東京に来ていた北村春樹(塚本高史)も飛び入り参加する。その夜、春樹は詩織に亡き夫で春樹の兄でもある勇樹の話をし始める。北村家のことは気にせず、新たな人生を送ってもいいのでは?とさりげなく詩織に話す春樹。  　いよいよ名演出家・有栖川正志(石橋蓮司)の2週間にわたるワークショップがスタートした。大雅や伊良部譲(永山絢斗)もどんなレッスンになるのか期待に胸を膨らませながら参加する。床の雑巾がけから始まり、次々と難しい表現を要求される中、有栖川はことごとく大雅に厳しく接し、しごきまくる。それでもへこたれずに歯を食いしばる大雅。一方、詩織はワークショップで忙しく、事務所に来ない大雅が気にかかり、様子がおかしい。  　海が通っている学校も新学期が始まった。楠大貴(沢村一樹)は、海のことを迎えに来た春樹の姿を見かける。海もなついている様子に誰なのか気になり、大貴は大雅にも報告、大雅も詩織のことを諦めたとはいえ心に引っかかる。1日オフができた、という春樹に詩織は「付き合ってほしい場所がある」と切り出す。松本潤　    竹内結子　    沢村一樹　    桐谷美玲　    笠原秀幸　    永山絢斗　    小倉一郎　    大下源一郎　    小林星蘭　    松重豊　    伊東四朗(特別出演)　    松坂慶子　    ほか【脚本】  大森美香【プロデュース】  三竿玲子　    【演出】  澤田鎌作【主題歌】「Lφve　Rainbow」嵐  【挿入歌】「Please　Stay　With　Me」YUI</t>
  </si>
  <si>
    <t>事務所で2人きりになった楠大雅(松本潤)と宮瀬桜(桐谷美玲)。「詩織さんのこと、忘れさせてあげる・・・」と、桜がキスしようとするが、大雅はうまくかわす。  　北村詩織(竹内結子)は、自宅で海(小林星蘭)のバースデーパーティーを開いていたところ、ちょうど出張で東京に来ていた北村春樹(塚本高史)も飛び入り参加する。その夜、春樹は詩織に亡き夫で春樹の兄でもある勇樹の話をし始める。北村家のことは気にせず、新たな人生を送ってもいいのでは?とさりげなく詩織に話す春樹。  　いよいよ名演出家・有栖川正志(石橋蓮司)の2週間にわたるワークショップがスタートした。大雅や伊良部譲(永山絢斗)もどんなレッスンになるのか期待に胸を膨らませながら参加する。床の雑巾がけから始まり、次々と難しい表現を要求される中、有栖川はことごとく大雅に厳しく接し、しごきまくる。それでもへこたれずに歯を食いしばる大雅。一方、詩織はワークショップで忙しく、事務所に来ない大雅が気にかかり、様子がおかしい。  　海が通っている学校も新学期が始まった。楠大貴(沢村一樹)は、海のことを迎えに来た春樹の姿を見かける。海もなついている様子に誰なのか気になり、大貴は大雅にも報告、大雅も詩織のことを諦めたとはいえ心に引っかかる。1日オフができた、という春樹に詩織は「付き合ってほしい場所がある」と切り出す。</t>
  </si>
  <si>
    <t>番組名夏の恋は虹色に輝く　#09</t>
  </si>
  <si>
    <t>楠大雅(松本潤)は北村詩織(竹内結子)と想いが通じ、芝居の勉強も楽しく、幸せの絶頂にいた。詩織が大雅に振り向いたことを聞き、兄の楠大貴(沢村一樹)は絶句する。  　事務所の青木久雄(松重豊)は『風の銀次郎』シリーズが来年復活することを告げに楠真知子(松坂慶子)の元を訪れる。二代目銀次郎に大物俳優・高見誠(佐藤浩市)が決定。  　それを聞いた大雅は複雑な心境だ。　詩織は大雅への自分の気持ちを、宮瀬桜(桐谷美玲)に正直に話そうとする。桜は諦めない、とライバル宣言しつつも、今度恋愛話でもしようと詩織をランチに誘う。  　2週間続いた有栖川正志(石橋蓮司)の演劇ワークショップもいよいよ最終日。厳しい稽古を終え、有栖川演出の次回公演に参加できる3人の名前が読み上げられた。息を飲んで発表を聞く大雅。　数日後、詩織と海(小林星蘭)の3人で食事をするため、大雅は久しぶりに詩織の家を訪れた。家庭的な空間に大雅の心も温まる。食事の後、大雅は海が描いた絵を見つける。それは海の父親の絵だった。今でもパパのことを自慢に思っている様子の海を見て大雅は・・・。松本潤　    竹内結子　    沢村一樹　    桐谷美玲　    笠原秀幸　    永山絢斗　    小倉一郎　    大下源一郎　    小林星蘭　    井上瑞稀(ジャニーズJr.)　    佐藤浩市(友情出演)　    石橋蓮司　    相島一之　    松重豊　    伊東四朗(特別出演)　    松坂慶子　    ほか【脚本】  大森美香【演出】  澤田鎌作　    【プロデュース】  三竿玲子【主題歌】「Lφve　Rainbow」嵐  【挿入歌】「Please　Stay　With　Me」YUI</t>
  </si>
  <si>
    <t>楠大雅(松本潤)は北村詩織(竹内結子)と想いが通じ、芝居の勉強も楽しく、幸せの絶頂にいた。詩織が大雅に振り向いたことを聞き、兄の楠大貴(沢村一樹)は絶句する。  　事務所の青木久雄(松重豊)は『風の銀次郎』シリーズが来年復活することを告げに楠真知子(松坂慶子)の元を訪れる。二代目銀次郎に大物俳優・高見誠(佐藤浩市)が決定。  　それを聞いた大雅は複雑な心境だ。　詩織は大雅への自分の気持ちを、宮瀬桜(桐谷美玲)に正直に話そうとする。桜は諦めない、とライバル宣言しつつも、今度恋愛話でもしようと詩織をランチに誘う。  　2週間続いた有栖川正志(石橋蓮司)の演劇ワークショップもいよいよ最終日。厳しい稽古を終え、有栖川演出の次回公演に参加できる3人の名前が読み上げられた。息を飲んで発表を聞く大雅。　数日後、詩織と海(小林星蘭)の3人で食事をするため、大雅は久しぶりに詩織の家を訪れた。家庭的な空間に大雅の心も温まる。食事の後、大雅は海が描いた絵を見つける。それは海の父親の絵だった。今でもパパのことを自慢に思っている様子の海を見て大雅は・・・。</t>
  </si>
  <si>
    <t>番組名夏の恋は虹色に輝く　#10</t>
  </si>
  <si>
    <t>楠大雅(松本潤)が北村詩織(竹内結子)と海(小林星蘭)に「海の父親になる」と言ったせいで、海はその場から走り去ってしまった。詩織も簡単に言ってほしくなかったと大雅に言い放ち、海の後を追いかける。以来、海は詩織とも口を聞いてくれない。学校でも2人の様子がおかしいと気付いた楠大貴(沢村一樹)。詩織は大貴に、海が納得してくれるまでは大雅とは会わないと打ち明ける。　大雅は青木久雄(松重豊)に詩織と海のことを相談するが、青木は舞台でまだ役がもらえていない大雅に、そんなことで悩むよりも今は何としてでも役を取ってこい、と叱咤する。  　詩織は海が秘かに想いを寄せている三池蒼空(井上瑞稀)が転校してしまうことを知る。そして海が学童での蒼空のお別れ会に行かなかったことも・・・。詩織は今まで海に話せなかった自分の正直な気持ちを伝え、海の手を引き蒼空のところへ向かう。　いよいよ舞台『ハムレット』の稽古が始まった。大雅は、まだ役がもらえなくても『ハムレット』の資料を熱心に読みあさり、台本のすべての台詞を読み込む。  　ある日、帰宅した大雅は郵便受けに一通の封筒を見つける。それは詩織からの手紙だった。松本潤　    竹内結子　    沢村一樹　    桐谷美玲　    笠原秀幸　    永山絢斗　    小倉一郎　    大下源一郎　    小林星蘭　    井上瑞稀(ジャニーズJr.)　    佐藤浩市(友情出演)　    石橋蓮司　    相島一之　    松重豊　    伊東四朗(特別出演)　    松坂慶子　    ほか【脚本】  大森美香【演出】  澤田鎌作　    【プロデュース】  三竿玲子【主題歌】「Lφve　Rainbow」嵐  【挿入歌】「Please　Stay　With　Me」YUI</t>
  </si>
  <si>
    <t>楠大雅(松本潤)が北村詩織(竹内結子)と海(小林星蘭)に「海の父親になる」と言ったせいで、海はその場から走り去ってしまった。詩織も簡単に言ってほしくなかったと大雅に言い放ち、海の後を追いかける。以来、海は詩織とも口を聞いてくれない。学校でも2人の様子がおかしいと気付いた楠大貴(沢村一樹)。詩織は大貴に、海が納得してくれるまでは大雅とは会わないと打ち明ける。　大雅は青木久雄(松重豊)に詩織と海のことを相談するが、青木は舞台でまだ役がもらえていない大雅に、そんなことで悩むよりも今は何としてでも役を取ってこい、と叱咤する。  　詩織は海が秘かに想いを寄せている三池蒼空(井上瑞稀)が転校してしまうことを知る。そして海が学童での蒼空のお別れ会に行かなかったことも・・・。詩織は今まで海に話せなかった自分の正直な気持ちを伝え、海の手を引き蒼空のところへ向かう。　いよいよ舞台『ハムレット』の稽古が始まった。大雅は、まだ役がもらえなくても『ハムレット』の資料を熱心に読みあさり、台本のすべての台詞を読み込む。  　ある日、帰宅した大雅は郵便受けに一通の封筒を見つける。それは詩織からの手紙だった。</t>
  </si>
  <si>
    <t>1007_CX_火22</t>
  </si>
  <si>
    <t>逃亡弁護士</t>
  </si>
  <si>
    <t>番組名逃亡弁護士　#01</t>
  </si>
  <si>
    <t>http://ktv.jp/toubou/冤罪ーそれはある日突然降りかかる法の罠　　本当の不幸は諦めた時に始まる。    「アクサル法律事務所」の若手弁護士・成田誠(上地雄輔)は、尊敬する弁護士・二ノ宮徹(船越英一郎)が事務所で胸を刺され殺されているのを発見。しかしその直後、成田も何者かに襲われ気を失う。  病院で目覚めた成田は、検察官・真船丈(北村一輝)と検察事務官・三枝亮子(矢田亜希子)に弁護士殺人・及び放火・横領・強盗の容疑で取り調べを受ける。成田のアリバイを実証する唯一の目撃者・小早川美由紀(村川絵梨)にも目撃を否認され、何者かに罠にハメられたと気づいた成田は病院を脱走する。　一方、二ノ宮の娘・絵美(石原さとみ)は思いを寄せていた成田が容疑者と知り動揺を隠せない。一方成田は真犯人を捜すために逃亡する途中、自殺を図ろうとしていた広瀬友哉(中村獅童)と出会う。妻子に逃げられた広瀬は出直して娘と再会したいとラーメン屋を始めたが、不動産会社に騙され立ち退きを余儀なくされたという。  　交わした覚書は無効だといわれカッとなった広瀬は財布を奪って逃走し、暴行と強盗の容疑で指名手配されていた。成田は自暴自棄になった広瀬に娘に会いに行こうと説得する。遠巻きに娘の姿を見た広瀬は自首してやり直すことを決意するが、その前に成田に頼みがあると言う。上地雄輔　  石原さとみ　  矢田亜希子　  豊原功補　  船越英一郎(特別出演)　    北村一輝『逃亡弁護士　成田誠』『新・逃亡弁護士　成田誠』剛英城・高田優・岡本創本橋圭太　  白木啓一郎　  田中峰弥野崎良太(Jazztronik)</t>
  </si>
  <si>
    <t>冤罪ーそれはある日突然降りかかる法の罠　　本当の不幸は諦めた時に始まる。    「アクサル法律事務所」の若手弁護士・成田誠(上地雄輔)は、尊敬する弁護士・二ノ宮徹(船越英一郎)が事務所で胸を刺され殺されているのを発見。しかしその直後、成田も何者かに襲われ気を失う。  病院で目覚めた成田は、検察官・真船丈(北村一輝)と検察事務官・三枝亮子(矢田亜希子)に弁護士殺人・及び放火・横領・強盗の容疑で取り調べを受ける。成田のアリバイを実証する唯一の目撃者・小早川美由紀(村川絵梨)にも目撃を否認され、何者かに罠にハメられたと気づいた成田は病院を脱走する。　一方、二ノ宮の娘・絵美(石原さとみ)は思いを寄せていた成田が容疑者と知り動揺を隠せない。一方成田は真犯人を捜すために逃亡する途中、自殺を図ろうとしていた広瀬友哉(中村獅童)と出会う。妻子に逃げられた広瀬は出直して娘と再会したいとラーメン屋を始めたが、不動産会社に騙され立ち退きを余儀なくされたという。  　交わした覚書は無効だといわれカッとなった広瀬は財布を奪って逃走し、暴行と強盗の容疑で指名手配されていた。成田は自暴自棄になった広瀬に娘に会いに行こうと説得する。遠巻きに娘の姿を見た広瀬は自首してやり直すことを決意するが、その前に成田に頼みがあると言う。</t>
  </si>
  <si>
    <t>番組名逃亡弁護士　#02</t>
  </si>
  <si>
    <t>http://ktv.jp/toubou/無実を証明すると絵美(石原さとみ)に言い残し逃亡すること1年、成田(上地雄輔)は都内に潜伏していた。唯一の証人・小早川美由紀(村川絵梨)を追い、彼女の直近の勤務先だった「TBコンサルティング」に着眼する。    「TBコンサルティング」の社長・橘正志(升毅)の自宅警護についた成田は、橘によって息子・拓也(佐藤瑠生亮)から引き離されてしまった女性・藤原久美子(戸田菜穂)に会う。久美子は2年前に橘の暴力が原因で離婚、さらに親権も彼にだまし取られ、今では息子との面会すらも阻まれていた。真相を知った成田は、久美子のため親権を取り戻す方法を思いつく。しかし詳細を聞かされた久美子は驚くばかり。違法であるが故、一生隠し続けなければならないと思っていた拓也の出生の秘密を利用する作戦だったからだ。    　一方、真船(北村一輝)は成田はおろか美由紀の足取りすらつかめないでいるのに焦る気配がなく、しかも成田の逮捕が近いことをなぜか確信している様子。そして予言的中か、成田発見の目撃情報が飛び込んでくる。拓也が一時行方不明になった際に捜索に乗り出す姿が目撃されていたのだ。  親権を取り戻すべく橘に立ち向かう久美子を支える成田は、ジワジワ包囲網が狭まっていることをまだ知らない。警護の傍ら、地道な聞き込み調査で、小早川が大金を入手予定であったという情報をつかんだばかりだというのに…。上地雄輔　  石原さとみ　  矢田亜希子　  豊原功補　  船越英一郎(特別出演)　    北村一輝剛英城・高田優・岡本創『逃亡弁護士　成田誠』『新・逃亡弁護士　成田誠』小学館　月刊!スピリッツ連載中本橋圭太　  白木啓一郎　  田中峰弥野崎良太(Jazztronik)</t>
  </si>
  <si>
    <t>無実を証明すると絵美(石原さとみ)に言い残し逃亡すること1年、成田(上地雄輔)は都内に潜伏していた。唯一の証人・小早川美由紀(村川絵梨)を追い、彼女の直近の勤務先だった「TBコンサルティング」に着眼する。    「TBコンサルティング」の社長・橘正志(升毅)の自宅警護についた成田は、橘によって息子・拓也(佐藤瑠生亮)から引き離されてしまった女性・藤原久美子(戸田菜穂)に会う。久美子は2年前に橘の暴力が原因で離婚、さらに親権も彼にだまし取られ、今では息子との面会すらも阻まれていた。真相を知った成田は、久美子のため親権を取り戻す方法を思いつく。しかし詳細を聞かされた久美子は驚くばかり。違法であるが故、一生隠し続けなければならないと思っていた拓也の出生の秘密を利用する作戦だったからだ。    　一方、真船(北村一輝)は成田はおろか美由紀の足取りすらつかめないでいるのに焦る気配がなく、しかも成田の逮捕が近いことをなぜか確信している様子。そして予言的中か、成田発見の目撃情報が飛び込んでくる。拓也が一時行方不明になった際に捜索に乗り出す姿が目撃されていたのだ。  親権を取り戻すべく橘に立ち向かう久美子を支える成田は、ジワジワ包囲網が狭まっていることをまだ知らない。警護の傍ら、地道な聞き込み調査で、小早川が大金を入手予定であったという情報をつかんだばかりだというのに…。</t>
  </si>
  <si>
    <t>番組名逃亡弁護士　#03</t>
  </si>
  <si>
    <t>http://ktv.jp/toubou/　所持金が底をつきレストランバーで働き始めた成田(上地雄輔)は、医大を目指す予備校生・山本(木村了)と出会う。彼はキャバクラ嬢・志穂(相武紗季)にストーカーされ、脅える日々を過ごしていた。  そんなある日、成田は事件当夜に出会った美由紀(村川絵梨)の服装などからヒントを得て、水商売の女性が集まる繁華街で聞き込み調査をする。一方、真船(北村一輝)も独自の調査で、成田が繁華街に現れるとにらみ、亮子(矢田亜希子)に捜査員を投入するよう指示していた。  そんな中、美由紀とつながりのあった人物と会えることになった成田。しかしその直後、成田を指名手配犯と知った志穂から、見逃してやる代わりにある男を殺して欲しいと取引を持ちかけられ…。上地雄輔　  石原さとみ　  矢田亜希子　  豊原功補　  船越英一郎(特別出演)　    北村一輝剛英城・高田優・岡本創『逃亡弁護士　成田誠』『新・逃亡弁護士　成田誠』小学館　月刊!スピリッツ連載中本橋圭太　  白木啓一郎　  田中峰弥野崎良太(Jazztronik)</t>
  </si>
  <si>
    <t xml:space="preserve">　所持金が底をつきレストランバーで働き始めた成田(上地雄輔)は、医大を目指す予備校生・山本(木村了)と出会う。彼はキャバクラ嬢・志穂(相武紗季)にストーカーされ、脅える日々を過ごしていた。  そんなある日、成田は事件当夜に出会った美由紀(村川絵梨)の服装などからヒントを得て、水商売の女性が集まる繁華街で聞き込み調査をする。一方、真船(北村一輝)も独自の調査で、成田が繁華街に現れるとにらみ、亮子(矢田亜希子)に捜査員を投入するよう指示していた。  そんな中、美由紀とつながりのあった人物と会えることになった成田。しかしその直後、成田を指名手配犯と知った志穂から、見逃してやる代わりにある男を殺して欲しいと取引を持ちかけられ…。</t>
  </si>
  <si>
    <t>番組名逃亡弁護士　#04</t>
  </si>
  <si>
    <t>http://ktv.jp/toubou/　ひったくり事件を目撃した成田(上地雄輔)は、逃げた犯人が落とした社員証を手がかりに勤務先「ナナセ運輸」へ向かう。その男・山崎公太(五十嵐隼士)は、恋人・里香(末永遥)の闇金業者への借金を肩代わりしていた。唯一の肉親である警察官の父(中原丈雄)とは折り合いが悪く、さらに里香は病弱な上に身重。一人で対処しようとしたが金の工面は難しく、仕方なく犯行を重ねてきたのだ。　そんな公太を案じた成田は自首を促すが、逃亡犯だと気づかれ、通報しない代わりに犯行を見逃すよう逆に脅される。  　無実を証明してくれるはずの唯一の証人・美由紀(村川絵梨)に繋がる人物との接触を目前に控え、従うしかない成田。  　さらに公太の父親も公太の犯罪隠蔽に動き出してしまう。未だ公太から恨みを買うほど家庭より職務優先だった父親が、違法行為に走る覚悟を決めた背景とは?上地雄輔　  石原さとみ　  矢田亜希子　  豊原功補　  船越英一郎(特別出演)　    北村一輝剛英城・高田優・岡本創『逃亡弁護士　成田誠』『新・逃亡弁護士　成田誠』小学館　月刊!スピリッツ連載中本橋圭太　  白木啓一郎　  田中峰弥野崎良太(Jazztronik)</t>
  </si>
  <si>
    <t xml:space="preserve">　ひったくり事件を目撃した成田(上地雄輔)は、逃げた犯人が落とした社員証を手がかりに勤務先「ナナセ運輸」へ向かう。その男・山崎公太(五十嵐隼士)は、恋人・里香(末永遥)の闇金業者への借金を肩代わりしていた。唯一の肉親である警察官の父(中原丈雄)とは折り合いが悪く、さらに里香は病弱な上に身重。一人で対処しようとしたが金の工面は難しく、仕方なく犯行を重ねてきたのだ。　そんな公太を案じた成田は自首を促すが、逃亡犯だと気づかれ、通報しない代わりに犯行を見逃すよう逆に脅される。  　無実を証明してくれるはずの唯一の証人・美由紀(村川絵梨)に繋がる人物との接触を目前に控え、従うしかない成田。  　さらに公太の父親も公太の犯罪隠蔽に動き出してしまう。未だ公太から恨みを買うほど家庭より職務優先だった父親が、違法行為に走る覚悟を決めた背景とは?</t>
  </si>
  <si>
    <t>番組名逃亡弁護士　#05</t>
  </si>
  <si>
    <t>http://ktv.jp/toubou/　成田(上地雄輔)は美由紀(村川絵梨)に会わせてくれるという浅沼(姜暢雄)に連れられ、浅沼が独立する予定で借りた事務所へ。ところが、届いた一通のメールから事態は一変。浅沼は成田に、「必ず美由紀を連れてくる」と言い残し、事務所を出て行ってしまう。浅沼は、あてにしていた独立資金の援助を急に断られ、新たな資金集めに奔走することになってしまったのだった。　一人残された成田だったが、そこへやって来た不審な男から「ハンコを頼む」と浅沼宛ての書類を託される。“フクナガ"から頼まれたというその書類は、報酬と引き換えに弁護士の名義とハンコを貸して、悪徳企業に加担するものだった。  　そのころ、連光寺(豊原功補)と五十嵐(佐藤二朗)も、浅沼の捏造文書を本人に突きつけ、横領も浅沼の仕業で、成田に罪を着せたのではないかと追い詰めていた。無実を主張し、成田のもとへ戻ってきた浅沼だったが、成田から自首するよう説得されたことから「お前を警察に突き出せば、俺の疑いは晴れる」と開き直る。そして警察に通報しようと…。  　一方、絵美(石原さとみ)は、真船(北村一輝)から「アナタだけに“真実"をお伝えしたい」と呼び出される…。上地雄輔　  石原さとみ　  矢田亜希子　  豊原功補　  船越英一郎(特別出演)　    北村一輝剛英城・高田優・岡本創『逃亡弁護士　成田誠』『新・逃亡弁護士　成田誠』小学館　月刊!スピリッツ連載中本橋圭太　  白木啓一郎野崎良太(Jazztronik)</t>
  </si>
  <si>
    <t xml:space="preserve">　成田(上地雄輔)は美由紀(村川絵梨)に会わせてくれるという浅沼(姜暢雄)に連れられ、浅沼が独立する予定で借りた事務所へ。ところが、届いた一通のメールから事態は一変。浅沼は成田に、「必ず美由紀を連れてくる」と言い残し、事務所を出て行ってしまう。浅沼は、あてにしていた独立資金の援助を急に断られ、新たな資金集めに奔走することになってしまったのだった。　一人残された成田だったが、そこへやって来た不審な男から「ハンコを頼む」と浅沼宛ての書類を託される。“フクナガ"から頼まれたというその書類は、報酬と引き換えに弁護士の名義とハンコを貸して、悪徳企業に加担するものだった。  　そのころ、連光寺(豊原功補)と五十嵐(佐藤二朗)も、浅沼の捏造文書を本人に突きつけ、横領も浅沼の仕業で、成田に罪を着せたのではないかと追い詰めていた。無実を主張し、成田のもとへ戻ってきた浅沼だったが、成田から自首するよう説得されたことから「お前を警察に突き出せば、俺の疑いは晴れる」と開き直る。そして警察に通報しようと…。  　一方、絵美(石原さとみ)は、真船(北村一輝)から「アナタだけに“真実"をお伝えしたい」と呼び出される…。</t>
  </si>
  <si>
    <t>番組名逃亡弁護士　#06</t>
  </si>
  <si>
    <t>http://ktv.jp/toubou/　目の前に絵美(石原さとみ)が現れ、驚きを隠せない成田(上地雄輔)。絵美は、逮捕直前の浅沼(姜暢雄)から、成田の冤罪の真相解明に協力するよう電話で頼まれていた。成田は早速、美由紀(村川絵梨)に虚偽の証言をさせた“フクナガ"という人物について、生前の二ノ宮(船越英一郎)が情報をつかんでいなかったかを調べるよう絵美に頼む。しかし絵美は、事件から1年以上経ってなお冤罪の証拠を一つも挙げられない成田を信じ切ることはできない。  　その矢先、絵美の妹・まどか(折山みゆ)の友達・橋元望(波瑠)が自殺未遂を起こす。知り合いの男性にレイプされ、妊娠してしまったことが原因だった。母親にすら相談できず一人思い悩む望を不憫に思った絵美は、成田に協力を仰ぐ。  　望から事件当日の経緯を聞いた成田は、彼女のバイト先のカフェへ。そこは問題の男性と知り合った場所のはずだったが、店側の話では望は随分前に辞めており、つじつまが合わない。事細かに確認する成田の聞き取りは、まるで望を追及するかのように手厳しい。  　絵美は、そんな成田に望への配慮に欠く行為と憤慨。「アナタはやっぱり信用できない」と不信感を露わに去っていこうとするが…。上地雄輔　  石原さとみ　  矢田亜希子　  豊原功補　  船越英一郎(特別出演)　    北村一輝剛英城・高田優・岡本創『逃亡弁護士　成田誠』『新・逃亡弁護士　成田誠』小学館　月刊!スピリッツ連載中【プロデューサー】  河西秀幸　  平部隆明　    【演出】  白木啓一郎野崎良太(Jazztronik)</t>
  </si>
  <si>
    <t xml:space="preserve">　目の前に絵美(石原さとみ)が現れ、驚きを隠せない成田(上地雄輔)。絵美は、逮捕直前の浅沼(姜暢雄)から、成田の冤罪の真相解明に協力するよう電話で頼まれていた。成田は早速、美由紀(村川絵梨)に虚偽の証言をさせた“フクナガ"という人物について、生前の二ノ宮(船越英一郎)が情報をつかんでいなかったかを調べるよう絵美に頼む。しかし絵美は、事件から1年以上経ってなお冤罪の証拠を一つも挙げられない成田を信じ切ることはできない。  　その矢先、絵美の妹・まどか(折山みゆ)の友達・橋元望(波瑠)が自殺未遂を起こす。知り合いの男性にレイプされ、妊娠してしまったことが原因だった。母親にすら相談できず一人思い悩む望を不憫に思った絵美は、成田に協力を仰ぐ。  　望から事件当日の経緯を聞いた成田は、彼女のバイト先のカフェへ。そこは問題の男性と知り合った場所のはずだったが、店側の話では望は随分前に辞めており、つじつまが合わない。事細かに確認する成田の聞き取りは、まるで望を追及するかのように手厳しい。  　絵美は、そんな成田に望への配慮に欠く行為と憤慨。「アナタはやっぱり信用できない」と不信感を露わに去っていこうとするが…。</t>
  </si>
  <si>
    <t>番組名逃亡弁護士　#07</t>
  </si>
  <si>
    <t>http://ktv.jp/toubou/　成田(上地雄輔)はフクナガに復讐を誓う女性・文江(室井滋)と出会う。文江は夫婦で洋食店を営んでいたのだが、地上げ屋に営業妨害され、それを助けるふりをして弁護士をかたって近づいてきたフクナガに騙されていた。フクナガが地上げ屋と共犯とは知らず、病気を患っていた夫・寛(田山涼成)の治療費のため店も土地もフクナガに言われるまま売り払ってしまった文江は、夫はフクナガを信じたまま最期を迎えたと言って嘆く。さらに文江は恨みをはらそうと、怪しげな霊感商法にもはまっていた。そんな文江に成田は、法律で戦おうと説得を試みる。  　ある日、絵美(石原さとみ)との接触に成功した成田は、連光寺(豊原功補)がフクナガとつながりがあるかもしれないということ、そして行方をくらましていることを聞き驚く。　文江を救うため、そしてフクナガについての手がかりを得るため、資料を手に文江の元へ向かう成田。だが、そこには警察に連行される文江の姿が…。一方、病院では優希(高月彩良)がおびえた表情で『フクナガ』と言葉を発していて…。上地雄輔　  石原さとみ　  矢田亜希子　  豊原功補　  船越英一郎(特別出演)　    北村一輝剛英城・高田優・岡本創『逃亡弁護士　成田誠』『新・逃亡弁護士　成田誠』小学館　月刊!スピリッツ連載中【プロデューサー】  河西秀幸　  平部隆明　    【演出】  本橋圭太野崎良太(Jazztronik)</t>
  </si>
  <si>
    <t xml:space="preserve">　成田(上地雄輔)はフクナガに復讐を誓う女性・文江(室井滋)と出会う。文江は夫婦で洋食店を営んでいたのだが、地上げ屋に営業妨害され、それを助けるふりをして弁護士をかたって近づいてきたフクナガに騙されていた。フクナガが地上げ屋と共犯とは知らず、病気を患っていた夫・寛(田山涼成)の治療費のため店も土地もフクナガに言われるまま売り払ってしまった文江は、夫はフクナガを信じたまま最期を迎えたと言って嘆く。さらに文江は恨みをはらそうと、怪しげな霊感商法にもはまっていた。そんな文江に成田は、法律で戦おうと説得を試みる。  　ある日、絵美(石原さとみ)との接触に成功した成田は、連光寺(豊原功補)がフクナガとつながりがあるかもしれないということ、そして行方をくらましていることを聞き驚く。　文江を救うため、そしてフクナガについての手がかりを得るため、資料を手に文江の元へ向かう成田。だが、そこには警察に連行される文江の姿が…。一方、病院では優希(高月彩良)がおびえた表情で『フクナガ』と言葉を発していて…。</t>
  </si>
  <si>
    <t>番組名逃亡弁護士　#08</t>
  </si>
  <si>
    <t>http://ktv.jp/toubou/　成田(上地雄輔)は、フクナガの正体を知り絶句。連光寺(豊原功補)からフクナガの正体を聞かされた絵美(石原さとみ)と、フクナガの事務所へ向かう。  　そこにはフクナガの愛人・小沢咲子(白石美帆)がいた。咲子は終始横柄で、フクナガの潜伏先を教えて欲しければ、まずは自分を家まで送るよう強いてくる始末。成田はやむなく彼女の要求をのむが、絵美はフクナガの罠ではないかと案じる。　咲子の家に着いた成田は、彼女もフクナガの犠牲者だと知る。借金に苦しむ咲子は、救いの手を差し伸べたフクナガを頼るも、遅々として進まない債務処理に困っていた。見かねた成田は彼女の借金を手際よく片付け始め、裁判所に出向き調停を申請するようアドバイス。しかし、こっそりフクナガと連絡を取り続けていた咲子は、裁判所まで付き添うよう成田を脅す。やはりフクナガのしかけた罠なのか…?　一方、真船(北村一輝)もフクナガの正体をつかんでいた。捜査の進展を促す上層部に「機は熟した」と、成田とフクナガの同時逮捕に自信をのぞかせる。また亮子(矢田亜希子)は、連光寺のついたひとつの嘘が気になっていた…。上地雄輔　  石原さとみ　  矢田亜希子　  豊原功補　  船越英一郎(特別出演)　    北村一輝剛英城・高田優・岡本創『逃亡弁護士　成田誠』『新・逃亡弁護士　成田誠』小学館　月刊!スピリッツ連載中【プロデューサー】  河西秀幸　  平部隆明　    【演出】  本橋圭太野崎良太(Jazztronik)</t>
  </si>
  <si>
    <t xml:space="preserve">　成田(上地雄輔)は、フクナガの正体を知り絶句。連光寺(豊原功補)からフクナガの正体を聞かされた絵美(石原さとみ)と、フクナガの事務所へ向かう。  　そこにはフクナガの愛人・小沢咲子(白石美帆)がいた。咲子は終始横柄で、フクナガの潜伏先を教えて欲しければ、まずは自分を家まで送るよう強いてくる始末。成田はやむなく彼女の要求をのむが、絵美はフクナガの罠ではないかと案じる。　咲子の家に着いた成田は、彼女もフクナガの犠牲者だと知る。借金に苦しむ咲子は、救いの手を差し伸べたフクナガを頼るも、遅々として進まない債務処理に困っていた。見かねた成田は彼女の借金を手際よく片付け始め、裁判所に出向き調停を申請するようアドバイス。しかし、こっそりフクナガと連絡を取り続けていた咲子は、裁判所まで付き添うよう成田を脅す。やはりフクナガのしかけた罠なのか…?　一方、真船(北村一輝)もフクナガの正体をつかんでいた。捜査の進展を促す上層部に「機は熟した」と、成田とフクナガの同時逮捕に自信をのぞかせる。また亮子(矢田亜希子)は、連光寺のついたひとつの嘘が気になっていた…。</t>
  </si>
  <si>
    <t>番組名逃亡弁護士　#09</t>
  </si>
  <si>
    <t>http://ktv.jp/toubou/　五十嵐(佐藤二朗)が殺されている現場に鉢合わせした成田(上地雄輔)と美由紀(村川絵梨)。2人は脱出を図るが監視カメラに写っていたことから、真船(北村一輝)は成田が犯人だと決めつける。  　成田は美由紀の落とした写真から、美由紀のかつての恋人・涼介(石田卓也)に連絡を取るが、いきなりナイフを突き付けられ、警察に通報されるか顔を切られるかを選べと迫られる。涼介は過去に起こした傷害事件で成田に助けられるも、その相手に報復として後遺症が残る傷を負わされたうえ、美由紀と別れたことで成田を恨んでいた。だが、涼介の手術代のために美由紀が金策に駆け回っていたことを知った成田は、美由紀に会おうと涼介をなだめる。  　一方、まどか(折山みゆ)から、成田が五十嵐の殺害現場から逃走したことを聞かされた絵美(石原さとみ)は、ショックのあまり絶句する。　そんな中、不審な行動をとる真船に、長谷部(光石研)は「身辺を調べさせてもらうかもしれない」と忠告。急に過去の資料を処分しはじめた真船を怪しんだ亮子(矢田亜希子)は、真船の資料を抜き取り、アクサル事務所の過去資料との照合を連光寺(豊原功補)に頼む。上地雄輔　  石原さとみ　  矢田亜希子　  豊原功補　  船越英一郎(特別出演)　    北村一輝剛英城・高田優・岡本創『逃亡弁護士　成田誠』『新・逃亡弁護士　成田誠』小学館　月刊!スピリッツ連載中【プロデューサー】  河西秀幸　  平部隆明　    【演出】  本橋圭太野崎良太(Jazztronik)</t>
  </si>
  <si>
    <t xml:space="preserve">　五十嵐(佐藤二朗)が殺されている現場に鉢合わせした成田(上地雄輔)と美由紀(村川絵梨)。2人は脱出を図るが監視カメラに写っていたことから、真船(北村一輝)は成田が犯人だと決めつける。  　成田は美由紀の落とした写真から、美由紀のかつての恋人・涼介(石田卓也)に連絡を取るが、いきなりナイフを突き付けられ、警察に通報されるか顔を切られるかを選べと迫られる。涼介は過去に起こした傷害事件で成田に助けられるも、その相手に報復として後遺症が残る傷を負わされたうえ、美由紀と別れたことで成田を恨んでいた。だが、涼介の手術代のために美由紀が金策に駆け回っていたことを知った成田は、美由紀に会おうと涼介をなだめる。  　一方、まどか(折山みゆ)から、成田が五十嵐の殺害現場から逃走したことを聞かされた絵美(石原さとみ)は、ショックのあまり絶句する。　そんな中、不審な行動をとる真船に、長谷部(光石研)は「身辺を調べさせてもらうかもしれない」と忠告。急に過去の資料を処分しはじめた真船を怪しんだ亮子(矢田亜希子)は、真船の資料を抜き取り、アクサル事務所の過去資料との照合を連光寺(豊原功補)に頼む。</t>
  </si>
  <si>
    <t>番組名逃亡弁護士　#10</t>
  </si>
  <si>
    <t>http://ktv.jp/toubou/成田(上地雄輔)は絵美(石原さとみ)と合流し、美由紀(村川絵梨)の拉致現場に急行する。そんな2人を尾行し、監視し続ける謎の男・黒川(鈴木亮平)。  　依然、美由紀の所在は不明のまま。安否を気遣う連光寺(豊原功補)は真船(北村一輝)を問い詰めるが、相変わらずの態度に「小早川美由紀まで死んだら、許さない」と怒りを露わに。亮子(矢田亜希子)も真船の真意が見抜けず、極秘で調査を始める。　それは3年前の柏田法務大臣闇金疑惑、通称“カシワダケース"。美由紀の行方を探るため亮子に協力を求められた絵美は、逆に二ノ宮(船越英一郎)の遺品に“カシワダケース"の資料がないか秘密裏に調べるよう要請される。その結果、絵美が発見したメモの内容に成田は驚がく!しかし一方で、「放っておけない」と決意を新たにする。　しかし、ここに来て遠巻きに尾行を続けていた黒川が動き出す。鋭利なナイフ片手に、ジワジワと2人に迫ってきて…!上地雄輔　  石原さとみ　  矢田亜希子　  豊原功補　  船越英一郎(特別出演)　    北村一輝剛英城・高田優・岡本創『逃亡弁護士　成田誠』『新・逃亡弁護士　成田誠』小学館　月刊!スピリッツ連載中【プロデューサー】  河西秀幸　  平部隆明　    【演出】  大内隆弘野崎良太(Jazztronik)</t>
  </si>
  <si>
    <t>成田(上地雄輔)は絵美(石原さとみ)と合流し、美由紀(村川絵梨)の拉致現場に急行する。そんな2人を尾行し、監視し続ける謎の男・黒川(鈴木亮平)。  　依然、美由紀の所在は不明のまま。安否を気遣う連光寺(豊原功補)は真船(北村一輝)を問い詰めるが、相変わらずの態度に「小早川美由紀まで死んだら、許さない」と怒りを露わに。亮子(矢田亜希子)も真船の真意が見抜けず、極秘で調査を始める。　それは3年前の柏田法務大臣闇金疑惑、通称“カシワダケース"。美由紀の行方を探るため亮子に協力を求められた絵美は、逆に二ノ宮(船越英一郎)の遺品に“カシワダケース"の資料がないか秘密裏に調べるよう要請される。その結果、絵美が発見したメモの内容に成田は驚がく!しかし一方で、「放っておけない」と決意を新たにする。　しかし、ここに来て遠巻きに尾行を続けていた黒川が動き出す。鋭利なナイフ片手に、ジワジワと2人に迫ってきて…!</t>
  </si>
  <si>
    <t>番組名逃亡弁護士　#11</t>
  </si>
  <si>
    <t>http://ktv.jp/toubou/　真船(北村一輝)は、「絶対に捕まるな」と、成田(上地雄輔)を逃がすが、この一件を亮子(矢田亜希子)の密告で長谷部(光石研)に知られてしまい、成田の事件から外されてしまう。  　そんな中、絵美(石原さとみ)は真船から、拉致された美由紀(村川絵梨)の遺書が届いたことを聞き、連光寺(豊原功補)のもとへ出かける。美由紀は殺されたかも、と聞かされた連光寺は、絵美の身を案じ、これ以上踏み込むのは危険だと止めようとするが、絵美は父・二ノ宮(船越英一郎)の遺品をさらに調べてみると意気込むのだった。  　一方、黒川(鈴木亮平)の手がかりを得るため、タトゥーショップで調査していた成田は、出くわした黒川と乱闘に。その際、黒川が落とした携帯電話を拾った成田は、通話記録をもとに、すべての事件解明につながる重要人物のもとへ単身乗り込んでいくが、駆け付けた警察にあえなく捕まってしまう…。現場を見た絵美は泣き崩れ、それでも成田の無実を訴える。  　一貫して黙秘を続ける成田は、接見に訪れた真船から「俺がいたらお前を助けてやれた」と無念の思いを聞かされる。そんな逆境の中、連光寺を弁護人に指名した成田に、真実を証明する策はあるのか…!?  　そして、いよいよ初公判が始まる…!上地雄輔　  石原さとみ　  矢田亜希子　  豊原功補　  船越英一郎(特別出演)　    北村一輝剛英城・高田優・岡本創『逃亡弁護士　成田誠』『新・逃亡弁護士　成田誠』小学館　月刊!スピリッツ連載中【プロデューサー】  河西秀幸　  平部隆明　    【演出】  本橋圭太野崎良太(Jazztronik)</t>
  </si>
  <si>
    <t xml:space="preserve">　真船(北村一輝)は、「絶対に捕まるな」と、成田(上地雄輔)を逃がすが、この一件を亮子(矢田亜希子)の密告で長谷部(光石研)に知られてしまい、成田の事件から外されてしまう。  　そんな中、絵美(石原さとみ)は真船から、拉致された美由紀(村川絵梨)の遺書が届いたことを聞き、連光寺(豊原功補)のもとへ出かける。美由紀は殺されたかも、と聞かされた連光寺は、絵美の身を案じ、これ以上踏み込むのは危険だと止めようとするが、絵美は父・二ノ宮(船越英一郎)の遺品をさらに調べてみると意気込むのだった。  　一方、黒川(鈴木亮平)の手がかりを得るため、タトゥーショップで調査していた成田は、出くわした黒川と乱闘に。その際、黒川が落とした携帯電話を拾った成田は、通話記録をもとに、すべての事件解明につながる重要人物のもとへ単身乗り込んでいくが、駆け付けた警察にあえなく捕まってしまう…。現場を見た絵美は泣き崩れ、それでも成田の無実を訴える。  　一貫して黙秘を続ける成田は、接見に訪れた真船から「俺がいたらお前を助けてやれた」と無念の思いを聞かされる。そんな逆境の中、連光寺を弁護人に指名した成田に、真実を証明する策はあるのか…!?  　そして、いよいよ初公判が始まる…!</t>
  </si>
  <si>
    <t>1007_CX_木22</t>
  </si>
  <si>
    <t>GOLD</t>
  </si>
  <si>
    <t>番組名&lt;木曜劇場&gt;GOLD　#01</t>
  </si>
  <si>
    <t>番組名&lt;木曜劇場&gt;GOLD　#02</t>
  </si>
  <si>
    <t>早乙女悠里(天海祐希)は、長女の晶(武井咲)とともに雑誌連載用の取材を受ける。その撮影を担当したのは、今風のイケメンカメラマン・宇津木洋介(綾野剛)だ。早乙女ファミリーの大ファンだという宇津木は、さっそく晶とメールアドレスの交換をする。それを見た新倉リカ(長澤まさみ)は、晶のことを心配していた。だが、悠里は、晶なら大丈夫、と気にも留めていなかった。ある日、悠里のもとに、長男の洸(松坂桃李)と別れたばかりの元恋人・椎名涼子(波瑠)がやってくる。涼子は、洸の子どもを身ごもっており、産みたいのだという。それを知った洸は、涼子に連絡して中絶をさせる、と言い出す。コーチの蓮見丈治(反町隆史)もそれに賛成した。しかし悠里は、洸には逃れられない責任があるとして、早乙女家のDNAを持つ、生まれてくる子の味方をすると言い切る。別の日、悠里は、別居中の夫・辰也(寺島進)に呼び出される。陸上競技を止めて自由になりたいと言い出し、早乙女家を追い出された次男・廉(矢野聖人)の件で相談があるのだという。辰也は、廉を早乙女家に戻せないか、と悠里に持ちかけた。悠里は、そんな辰也に、廉を上手く乗せて陸上競技を続ける気にさせてほしい、と返す。そんな折、悠里のもとに、涼子と彼女の父親・哲夫(平田満)がやってくる。哲夫は、涼子を説得して中絶させることにしたが泣き寝入りはしない、と言って悠里に慰謝料を請求する。天海祐希　      長澤まさみ　      水上剣星　    松坂桃李　    矢野聖人　    武井咲　    大江駿輔　    エド・はるみ　    綾野剛　    志賀廣太郎　    水野真典　      寺島進　    夏八木勲　    反町隆史【脚本】  野島伸司【演出】  河毛俊作　    【プロデュース】  東康之千住明　  池頼広　    【主題歌】  「Wildflower」Superfly</t>
  </si>
  <si>
    <t>早乙女悠里(天海祐希)は、長女の晶(武井咲)とともに雑誌連載用の取材を受ける。その撮影を担当したのは、今風のイケメンカメラマン・宇津木洋介(綾野剛)だ。早乙女ファミリーの大ファンだという宇津木は、さっそく晶とメールアドレスの交換をする。それを見た新倉リカ(長澤まさみ)は、晶のことを心配していた。だが、悠里は、晶なら大丈夫、と気にも留めていなかった。ある日、悠里のもとに、長男の洸(松坂桃李)と別れたばかりの元恋人・椎名涼子(波瑠)がやってくる。涼子は、洸の子どもを身ごもっており、産みたいのだという。それを知った洸は、涼子に連絡して中絶をさせる、と言い出す。コーチの蓮見丈治(反町隆史)もそれに賛成した。しかし悠里は、洸には逃れられない責任があるとして、早乙女家のDNAを持つ、生まれてくる子の味方をすると言い切る。別の日、悠里は、別居中の夫・辰也(寺島進)に呼び出される。陸上競技を止めて自由になりたいと言い出し、早乙女家を追い出された次男・廉(矢野聖人)の件で相談があるのだという。辰也は、廉を早乙女家に戻せないか、と悠里に持ちかけた。悠里は、そんな辰也に、廉を上手く乗せて陸上競技を続ける気にさせてほしい、と返す。そんな折、悠里のもとに、涼子と彼女の父親・哲夫(平田満)がやってくる。哲夫は、涼子を説得して中絶させることにしたが泣き寝入りはしない、と言って悠里に慰謝料を請求する。</t>
  </si>
  <si>
    <t>番組名&lt;木曜劇場&gt;GOLD　#03</t>
  </si>
  <si>
    <t>早乙女悠里(天海祐希)の会社『YSコーポレーション』では、児童施設の子どもたちのために水泳教室を開いていた。コーチ役は、ジムの総責任者・蓮見丈治(反町隆史)や悠里の長男・洸(松坂桃李)だ。その夜、珍しく長女の晶(武井咲)が夕食の時間になっても帰ってこなかった。友人の家でごちそうになると連絡があったらしい。それを知った洸は、弟の廉(矢野聖人)から聞いた話を悠里や丈治に打ち明けた。廉は、晶が若い男の運転する車に乗っている姿を目撃したというのだ。ほどなく、晶の相手は、カメラマンの宇津木洋介(綾野剛)だと判明する。宇津木は、晶の写真集も手がけることになっていた。悠里の秘書・新倉リカ(長澤まさみ)は、写真集の契約を解除するか、カメラマンを代えるべきだと悠里に提言した。晶が丈治に思いを寄せていることを知っていた悠里は、丈治から事情を聞く。そこで丈治は、悠里にプロポーズしたことを晶に話しただけだと答えた。悠里は、そんな丈治に対し、失望したと言い放つ。その夜、悠里は、別居中の夫・辰也(寺島進)を呼び出し、晶のことを相談する。悠里は、心配ないはずだが何故か胸騒ぎがする、と辰也に打ち明けた。そんなあくる日、悠里は、丹羽聖子(エド・はるみ)から電話をもらい、彼女が引きこもりの息子のことで悩んでいると知る。そこにやってきた丈治は、クレーマーの人生相談に乗るなんてどうかしている、と悠里を非難するが…。天海祐希　      長澤まさみ　      水上剣星　    松坂桃李　    矢野聖人　    武井咲　    大江駿輔　      エド・はるみ　    綾野剛　    志賀廣太郎　    水野真典　      寺島進　    夏八木勲　      反町隆史【脚本】  野島伸司【演出】  河毛俊作　    【プロデュース】  東康之千住明　  池頼広　    【主題歌】  「Wildflower」Superfly</t>
  </si>
  <si>
    <t>早乙女悠里(天海祐希)の会社『YSコーポレーション』では、児童施設の子どもたちのために水泳教室を開いていた。コーチ役は、ジムの総責任者・蓮見丈治(反町隆史)や悠里の長男・洸(松坂桃李)だ。その夜、珍しく長女の晶(武井咲)が夕食の時間になっても帰ってこなかった。友人の家でごちそうになると連絡があったらしい。それを知った洸は、弟の廉(矢野聖人)から聞いた話を悠里や丈治に打ち明けた。廉は、晶が若い男の運転する車に乗っている姿を目撃したというのだ。ほどなく、晶の相手は、カメラマンの宇津木洋介(綾野剛)だと判明する。宇津木は、晶の写真集も手がけることになっていた。悠里の秘書・新倉リカ(長澤まさみ)は、写真集の契約を解除するか、カメラマンを代えるべきだと悠里に提言した。晶が丈治に思いを寄せていることを知っていた悠里は、丈治から事情を聞く。そこで丈治は、悠里にプロポーズしたことを晶に話しただけだと答えた。悠里は、そんな丈治に対し、失望したと言い放つ。その夜、悠里は、別居中の夫・辰也(寺島進)を呼び出し、晶のことを相談する。悠里は、心配ないはずだが何故か胸騒ぎがする、と辰也に打ち明けた。そんなあくる日、悠里は、丹羽聖子(エド・はるみ)から電話をもらい、彼女が引きこもりの息子のことで悩んでいると知る。そこにやってきた丈治は、クレーマーの人生相談に乗るなんてどうかしている、と悠里を非難するが…。</t>
  </si>
  <si>
    <t>番組名&lt;木曜劇場&gt;GOLD　#04</t>
  </si>
  <si>
    <t>早乙女悠里(天海祐希)は、長女の晶(武井咲)と交際しているカメラマンの宇津木洋介(綾野剛)を呼び出し、二度と晶に会わないよう言い渡した。すると晶は、ふたりの仲を認めないのならもうオリンピックを目指すのはやめる、と宣言し、家を飛び出してしまう。悠里は、晶のトレーナーでもある蓮見丈治(反町隆史)や長男の洸(松坂桃李)に、その経緯を打ち明けた。丈治は、晶のことは自分がなんとかする、と悠里に申し出る。悠里は、そんな丈治に、晶の父親である明石辰也(寺島進)も一緒に連れて行ってほしい、と頼む。あくる日、悠里のもとに、エステ部門のスタッフがやってきて、部長の相馬幸恵(賀来千香子)が過去に起こした事件について報告する。幸恵は、子どもを車の中に残してパチンコに興じ、熱中症で死なせてしまった過去があるというのだ。秘書の新倉リカ(長澤まさみ)は、悠里がすぐに幸恵の件を調査しないことに疑問を抱く。すると悠里は、幸恵と出会ったときからそのことは知っていた、とリカに告げる。そんな折、リカは、悠里の次男・廉(矢野聖人)と犬の散歩に出かける。リカは、何もしないでブラブラしている廉に、ひとつのことに一生懸命打ち込んでいる男子のほうが素敵だと思う、と告げた。そこで廉は、心臓に病気を抱えていることをリカに告白すると、悠里に不良品だと思われたくない、と言って泣き崩れ…。天海祐希　      長澤まさみ　      水上剣星　    松坂桃李　  矢野聖人　  武井咲　  大江駿輔　    エド・はるみ　  綾野剛　  志賀廣太郎　  水野真典　    寺島進　    夏八木勲　      反町隆史【脚本】  野島伸司【演出】  加藤裕将　    【プロデュース】  東康之千住明　  池頼広　    【主題歌】  「Wildflower」Superfly</t>
  </si>
  <si>
    <t>早乙女悠里(天海祐希)は、長女の晶(武井咲)と交際しているカメラマンの宇津木洋介(綾野剛)を呼び出し、二度と晶に会わないよう言い渡した。すると晶は、ふたりの仲を認めないのならもうオリンピックを目指すのはやめる、と宣言し、家を飛び出してしまう。悠里は、晶のトレーナーでもある蓮見丈治(反町隆史)や長男の洸(松坂桃李)に、その経緯を打ち明けた。丈治は、晶のことは自分がなんとかする、と悠里に申し出る。悠里は、そんな丈治に、晶の父親である明石辰也(寺島進)も一緒に連れて行ってほしい、と頼む。あくる日、悠里のもとに、エステ部門のスタッフがやってきて、部長の相馬幸恵(賀来千香子)が過去に起こした事件について報告する。幸恵は、子どもを車の中に残してパチンコに興じ、熱中症で死なせてしまった過去があるというのだ。秘書の新倉リカ(長澤まさみ)は、悠里がすぐに幸恵の件を調査しないことに疑問を抱く。すると悠里は、幸恵と出会ったときからそのことは知っていた、とリカに告げる。そんな折、リカは、悠里の次男・廉(矢野聖人)と犬の散歩に出かける。リカは、何もしないでブラブラしている廉に、ひとつのことに一生懸命打ち込んでいる男子のほうが素敵だと思う、と告げた。そこで廉は、心臓に病気を抱えていることをリカに告白すると、悠里に不良品だと思われたくない、と言って泣き崩れ…。</t>
  </si>
  <si>
    <t>番組名&lt;木曜劇場&gt;GOLD　#05</t>
  </si>
  <si>
    <t>早乙女悠里(天海祐希)は、クレーマーだった丹羽聖子(エド・はるみ)とすっかり親しくなり、どこかで会わないか、と彼女に提案した。だが、その言葉に驚いた聖子は受話器を落とし、その拍子に電話が切れてしまう。悠里のことを心配する丈治(反町隆史)は、秘書のリカ(長澤まさみ)に、電話の相手について調べるよう依頼した。そんな折、悠里は、長女の晶(武井咲)と交際中のカメラマン・宇津木洋介(綾野剛)が、悠里の兄・修一(水上剣星)の息子だと主張していることを知る。宇津木は、辰也(寺島進)にそう告白し、それ故、晶とは男女の関係になっていないと断言したらしい。悠里は、宇津木の話を信じなかった。しかし丈治は、晶が宇津木と一緒にいる以上、きちんと調べて話をつける必要がある、と悠里を諭した。あくる日、YSコーポレーションに廉(矢野聖人)がやってくる。久しぶりに悠里と対面した廉は、祖父の惣一(夏八木勲)から呼び出され、修一の死は事故ではなく自殺だと教えられた、と告げる。廉は、そのことを悠里が知っていたかどうか確かめるために訪ねてきたのだ。廉は、大きなショックを受けている洸(松坂桃李)のために、修一が自殺したことは知らなかった、と洸に言ってほしい、と悠里に頼んだが…。天海祐希　      長澤まさみ　      水上剣星　    松坂桃李　    矢野聖人　    武井咲　    大江駿輔　      エド・はるみ　    綾野剛　    志賀廣太郎　    水野真典　      寺島進　    夏八木勲　      反町隆史【脚本】  野島伸司【演出】  河毛俊作　    【プロデュース】  東康之千住明　  池頼広　    【主題歌】  「Wildflower」Superfly</t>
  </si>
  <si>
    <t>早乙女悠里(天海祐希)は、クレーマーだった丹羽聖子(エド・はるみ)とすっかり親しくなり、どこかで会わないか、と彼女に提案した。だが、その言葉に驚いた聖子は受話器を落とし、その拍子に電話が切れてしまう。悠里のことを心配する丈治(反町隆史)は、秘書のリカ(長澤まさみ)に、電話の相手について調べるよう依頼した。そんな折、悠里は、長女の晶(武井咲)と交際中のカメラマン・宇津木洋介(綾野剛)が、悠里の兄・修一(水上剣星)の息子だと主張していることを知る。宇津木は、辰也(寺島進)にそう告白し、それ故、晶とは男女の関係になっていないと断言したらしい。悠里は、宇津木の話を信じなかった。しかし丈治は、晶が宇津木と一緒にいる以上、きちんと調べて話をつける必要がある、と悠里を諭した。あくる日、YSコーポレーションに廉(矢野聖人)がやってくる。久しぶりに悠里と対面した廉は、祖父の惣一(夏八木勲)から呼び出され、修一の死は事故ではなく自殺だと教えられた、と告げる。廉は、そのことを悠里が知っていたかどうか確かめるために訪ねてきたのだ。廉は、大きなショックを受けている洸(松坂桃李)のために、修一が自殺したことは知らなかった、と洸に言ってほしい、と悠里に頼んだが…。</t>
  </si>
  <si>
    <t>番組名&lt;木曜劇場&gt;GOLD　#06</t>
  </si>
  <si>
    <t>悠里(天海祐希)は、修一(水上剣星)の息子だと主張するカメラマン・宇津木(綾野剛)のDNA鑑定を依頼する。悠里は、長女の晶(武井咲)を早乙女家に戻せば願い通りDNA鑑定を行う、と宇津木と約束していた。だが、悠里からその経緯を聞かされた晶は、宇津木にだまされていたと思いこみ、大きなショックを受けてしまう。  　リカ(長澤まさみ)は、悠里の運転手をしている保坂(志賀廣太郎)がひと言もしゃべらないことが気になっていた。悠里によれば、保坂はもともと悠里の父・惣一(夏八木勲)の運転手で、悠里の運転手を務めるようになって20年近いという。だが、悠里自身も、保坂の声を聞いていないらしい。そんな折、悠里たちは、刑務所の慰問に行くことになった。悠里は、子どもたちと一緒に、受刑者たちの前で楽器を演奏するという。悠里はハープ、洸(松坂桃李)はチェロ、廉(矢野聖人)はバイオリン、そして晶はフルートを演奏することができるのだ。一方、丈治(反町隆史)は、悠里の依頼で、宇津木の身辺調査に乗り出す。丈治は、宇津木の母親が温泉街でコンパニオンをしていたこと等を突き止め、悠里に報告する。刑務所慰問の日、休みをもらったリカは、会社のジムで汗を流す。そこにやってきた丈治は、リカから、刑務所慰問の件を教えられた。すると丈治は、悠里が慰問をするはずがない、と言い出し、すぐに悠里たちを追いかけようとリカに告げる。天海祐希　      長澤まさみ　      水上剣星　    松坂桃李　    矢野聖人　    武井咲　    大江駿輔　      エド・はるみ　    綾野剛　    志賀廣太郎　    水野真典　      寺島進　    夏八木勲　      反町隆史【脚本】  野島伸司【演出】  石井祐介　    【プロデュース】  東康之千住明　  池頼広　    【主題歌】  「Wildflower」Superfly</t>
  </si>
  <si>
    <t>悠里(天海祐希)は、修一(水上剣星)の息子だと主張するカメラマン・宇津木(綾野剛)のDNA鑑定を依頼する。悠里は、長女の晶(武井咲)を早乙女家に戻せば願い通りDNA鑑定を行う、と宇津木と約束していた。だが、悠里からその経緯を聞かされた晶は、宇津木にだまされていたと思いこみ、大きなショックを受けてしまう。  　リカ(長澤まさみ)は、悠里の運転手をしている保坂(志賀廣太郎)がひと言もしゃべらないことが気になっていた。悠里によれば、保坂はもともと悠里の父・惣一(夏八木勲)の運転手で、悠里の運転手を務めるようになって20年近いという。だが、悠里自身も、保坂の声を聞いていないらしい。そんな折、悠里たちは、刑務所の慰問に行くことになった。悠里は、子どもたちと一緒に、受刑者たちの前で楽器を演奏するという。悠里はハープ、洸(松坂桃李)はチェロ、廉(矢野聖人)はバイオリン、そして晶はフルートを演奏することができるのだ。一方、丈治(反町隆史)は、悠里の依頼で、宇津木の身辺調査に乗り出す。丈治は、宇津木の母親が温泉街でコンパニオンをしていたこと等を突き止め、悠里に報告する。刑務所慰問の日、休みをもらったリカは、会社のジムで汗を流す。そこにやってきた丈治は、リカから、刑務所慰問の件を教えられた。すると丈治は、悠里が慰問をするはずがない、と言い出し、すぐに悠里たちを追いかけようとリカに告げる。</t>
  </si>
  <si>
    <t>番組名&lt;木曜劇場&gt;GOLD　#07</t>
  </si>
  <si>
    <t>ベストジュエリー賞を受賞した悠里(天海祐希)は、リカ(長澤まさみ)と洸(松坂桃李)をともなって受賞式に出席する。その席で洸は、宝石商の神代洋治(名高達男)に出会い、彼の娘である沙織(佐藤めぐみ)と麻衣子(南沢奈央)を紹介される。それは悠里が、見合いのような意味でセッティングしたものだった。その夜、丈治(反町隆史)は、悠里が、晶(武井咲)と宇津木(綾野剛)の交際を許したことを知る。丈治は、ふたりの交際には反対だと悠里に告げた。するとそこに、手で顔を隠すようにして晶がやってきた。宇津木に殴られたのだという。多忙を理由に会ってくれない宇津木に、カメラマンの仕事をやめて早乙女の会社に入れてもらえばいい、と晶が言ったことが原因らしい。それを聞いた丈治は、女の子を殴るようなやつとは付き合わない方がいい、と晶に助言した。そんな丈治の姿を見つめていた悠里は、丈治が、修一(水上剣星)と宇津木のDNA鑑定に関する報告書を改ざんしたのではないかと疑う。悠里は、丈治をプライベートバーに連れて行き、その件を問い正した。丈治は、それが惣一(夏八木勲)の意向であることを悠里に告げ、晶と宇津木を別れさせるべきだと主張した。しかし悠里の怒りは収まらなかった。丈治は、宇津木に電話をしようとする悠里に、このスキャンダルが明るみになれば、いまなお多くの人々から愛され続けている修一が汚される、と言って止めようとするが…。天海祐希　      長澤まさみ　      水上剣星　    松坂桃李　    矢野聖人　    武井咲　    大江駿輔　      エド・はるみ　    綾野剛　    志賀廣太郎　    水野真典　      南沢奈央　      寺島進　    夏八木勲　      反町隆史【脚本】  野島伸司【演出】  河毛俊作　    【プロデュース】  東康之千住明　  池頼広　    【主題歌】  「Wildflower」Superfly</t>
  </si>
  <si>
    <t>ベストジュエリー賞を受賞した悠里(天海祐希)は、リカ(長澤まさみ)と洸(松坂桃李)をともなって受賞式に出席する。その席で洸は、宝石商の神代洋治(名高達男)に出会い、彼の娘である沙織(佐藤めぐみ)と麻衣子(南沢奈央)を紹介される。それは悠里が、見合いのような意味でセッティングしたものだった。その夜、丈治(反町隆史)は、悠里が、晶(武井咲)と宇津木(綾野剛)の交際を許したことを知る。丈治は、ふたりの交際には反対だと悠里に告げた。するとそこに、手で顔を隠すようにして晶がやってきた。宇津木に殴られたのだという。多忙を理由に会ってくれない宇津木に、カメラマンの仕事をやめて早乙女の会社に入れてもらえばいい、と晶が言ったことが原因らしい。それを聞いた丈治は、女の子を殴るようなやつとは付き合わない方がいい、と晶に助言した。そんな丈治の姿を見つめていた悠里は、丈治が、修一(水上剣星)と宇津木のDNA鑑定に関する報告書を改ざんしたのではないかと疑う。悠里は、丈治をプライベートバーに連れて行き、その件を問い正した。丈治は、それが惣一(夏八木勲)の意向であることを悠里に告げ、晶と宇津木を別れさせるべきだと主張した。しかし悠里の怒りは収まらなかった。丈治は、宇津木に電話をしようとする悠里に、このスキャンダルが明るみになれば、いまなお多くの人々から愛され続けている修一が汚される、と言って止めようとするが…。</t>
  </si>
  <si>
    <t>番組名&lt;木曜劇場&gt;GOLD　#08</t>
  </si>
  <si>
    <t>早乙女悠里(天海祐希)は、秘書の新倉リカ(長澤まさみ)をともなって絵画展会場を訪れる。それは、悠里の母・笠原真理恵(倍賞美津子)の個展だった。真理恵は、惣一(夏八木勲)と離婚後、パリに渡り、画家として活動していた。惣一と真理恵は、子育てに関する考え方が違っていた、と悠里はリカに話した。真理恵は、他人との競争は成長のマイナスになるという考えの持ち主だった。実は悠里もその影響を強く受けており、修一(水上剣星)に対して厳しすぎる惣一に反発していたのだという。一方、晶(武井咲)は、宇津木洋介(綾野剛)が突然姿を消してしまったことにショックを受けていた。YSコーポレーションの社長室にやってきた晶は、悠里が宇津木に金を渡したことを察し、非難した。蓮見丈治(反町隆史)は、そんな晶に、悠里を恨むのは筋違いだ、と言い放つ。宇津木が、晶とは別れない、金は受け取らないと言えばいい話だ、と丈治は言うのだ。続けて丈治は、宇津木は最初からそのつもりだったと晶に告げた。晶は、涙をこらえながら、絶対に信じない、と言い残して、部屋を飛び出す。そんな折、思わぬ事件が起きた。長男の洸(松坂桃李)が、バイクにはねられたのだ。知らせを受けた悠里や辰也(寺島進)は、洸が収容された病院に駆けつけるが…。天海祐希　      長澤まさみ　      水上剣星　    松坂桃李　    矢野聖人　    武井咲　    大江駿輔　      エド・はるみ　    綾野剛　    志賀廣太郎　    水野真典　      南沢奈央　    倍賞美津子　    寺島進　    夏八木勲　      反町隆史【脚本】  野島伸司【演出】  加藤裕将　    【プロデュース】  東康之千住明　  池頼広　    【主題歌】  「Wildflower」Superfly</t>
  </si>
  <si>
    <t>早乙女悠里(天海祐希)は、秘書の新倉リカ(長澤まさみ)をともなって絵画展会場を訪れる。それは、悠里の母・笠原真理恵(倍賞美津子)の個展だった。真理恵は、惣一(夏八木勲)と離婚後、パリに渡り、画家として活動していた。惣一と真理恵は、子育てに関する考え方が違っていた、と悠里はリカに話した。真理恵は、他人との競争は成長のマイナスになるという考えの持ち主だった。実は悠里もその影響を強く受けており、修一(水上剣星)に対して厳しすぎる惣一に反発していたのだという。一方、晶(武井咲)は、宇津木洋介(綾野剛)が突然姿を消してしまったことにショックを受けていた。YSコーポレーションの社長室にやってきた晶は、悠里が宇津木に金を渡したことを察し、非難した。蓮見丈治(反町隆史)は、そんな晶に、悠里を恨むのは筋違いだ、と言い放つ。宇津木が、晶とは別れない、金は受け取らないと言えばいい話だ、と丈治は言うのだ。続けて丈治は、宇津木は最初からそのつもりだったと晶に告げた。晶は、涙をこらえながら、絶対に信じない、と言い残して、部屋を飛び出す。そんな折、思わぬ事件が起きた。長男の洸(松坂桃李)が、バイクにはねられたのだ。知らせを受けた悠里や辰也(寺島進)は、洸が収容された病院に駆けつけるが…。</t>
  </si>
  <si>
    <t>番組名&lt;木曜劇場&gt;GOLD　#09</t>
  </si>
  <si>
    <t>早乙女悠里(天海祐希)は、オリンピックでゴールドメダルを獲得するという夢を、次男の廉(矢野聖人)に託す。悠里の思いを受け止めた廉は、兄の洸(松坂桃李)の代わりに、競泳の自由形への転向を申し出る。コーチの蓮見丈治(反町隆史)は驚きを隠せなかったが、廉がずば抜けた身体能力を持っていることなどを考慮し、本気で廉のトレーニングに取り組むことを決意する。一方、廉が心臓の病を抱えていることを知る新倉リカ(長澤まさみ)は、悠里にそれを打ち明けるべきかどうか悩む。リカは、辰也(寺島進)に相談を持ちかけた。しかし辰也は、廉から口止めされていることもあって、自分の口からは言えないという。あくる日、悠里は、母・真理恵(倍賞美津子)のもとを訪れる。真理恵は、洸が事故を起こしてケガをしたことを受け、悠里に対して母親失格だと言うと、東京での個展が終わったら洸をパリに連れて帰る、と宣言していた。悠里は、そんな真理恵に、オリンピックは諦めても、洸は早乙女家の長男なのだから返して欲しいと頼む。しかし真理恵は、やりたくないことをやらせるという意味では一緒だ、と言って取り合わなかった。するとそこに惣一(夏八木勲)が現れ、真理恵には洸を連れ出す権利はない、と言い放つ。同じころ、廉は、丈治の指導の下、厳しいトレーニングに取り組んでいた。だが、トレーニングを終えた廉は、シャワー室で胸を押さえてうずくまってしまい…。天海祐希　      長澤まさみ　      水上剣星　    松坂桃李　    矢野聖人　    武井咲　    大江駿輔　      エド・はるみ　    綾野剛　    志賀廣太郎　    水野真典　      南沢奈央　    倍賞美津子　      寺島進　    夏八木勲　      反町隆史【脚本】  野島伸司【演出】  石井祐介　    【プロデュース】  東康之千住明　  池頼広　    【主題歌】  「Wildflower」Superfly</t>
  </si>
  <si>
    <t>早乙女悠里(天海祐希)は、オリンピックでゴールドメダルを獲得するという夢を、次男の廉(矢野聖人)に託す。悠里の思いを受け止めた廉は、兄の洸(松坂桃李)の代わりに、競泳の自由形への転向を申し出る。コーチの蓮見丈治(反町隆史)は驚きを隠せなかったが、廉がずば抜けた身体能力を持っていることなどを考慮し、本気で廉のトレーニングに取り組むことを決意する。一方、廉が心臓の病を抱えていることを知る新倉リカ(長澤まさみ)は、悠里にそれを打ち明けるべきかどうか悩む。リカは、辰也(寺島進)に相談を持ちかけた。しかし辰也は、廉から口止めされていることもあって、自分の口からは言えないという。あくる日、悠里は、母・真理恵(倍賞美津子)のもとを訪れる。真理恵は、洸が事故を起こしてケガをしたことを受け、悠里に対して母親失格だと言うと、東京での個展が終わったら洸をパリに連れて帰る、と宣言していた。悠里は、そんな真理恵に、オリンピックは諦めても、洸は早乙女家の長男なのだから返して欲しいと頼む。しかし真理恵は、やりたくないことをやらせるという意味では一緒だ、と言って取り合わなかった。するとそこに惣一(夏八木勲)が現れ、真理恵には洸を連れ出す権利はない、と言い放つ。同じころ、廉は、丈治の指導の下、厳しいトレーニングに取り組んでいた。だが、トレーニングを終えた廉は、シャワー室で胸を押さえてうずくまってしまい…。</t>
  </si>
  <si>
    <t>番組名&lt;木曜劇場&gt;GOLD　#10</t>
  </si>
  <si>
    <t>早乙女悠里(天海祐希)は、父・惣一(夏八木勲)に代わって、早乙女グループの新代表に選ばれる。蓮見丈治(反町隆史)は、心臓疾患を持つ廉(矢野聖人)を競泳の代表選考会に出場させようとしている悠里を、惣一の力で止めてもらうつもりでいた。だが、悠里がグループの代表になったことで、そのもくろみは外れてしまう。同じころ、YSコーポレーションの室内プールで練習していた廉のもとに、洸(松坂桃李)がやってくる。洸は、神代麻衣子(南沢奈央)と一緒だった。自分の代わりに廉が代表選考会に出場することを知った洸は、手伝えることがあったら言ってほしい、と申し出る。その夜、悠里は、別居中の夫・辰也(寺島進)とプライベートバーで会う。辰也も、廉を選考会に出場させるのを止めようとしていた。しかし悠里は、辰也の頼みでもそれだけはできない、と拒否した。すると辰也は、自分なりに覚悟を決めてきた、と言って悠里に離婚届を手渡す。別の日、悠里は、秘書の新倉リカ(長澤まさみ)を伴って買い物に出かける。悠里は、大量のブランド品を買い求めた後、高級なレストランで食事をすると言い出す。そこでリカは、今回の廉の件は、人として、母親として間違っていると言い放つ。天海祐希　      長澤まさみ　      水上剣星　    松坂桃李　    矢野聖人　    武井咲　    大江駿輔　      エド・はるみ　    綾野剛　    志賀廣太郎　    水野真典　    南沢奈央　      倍賞美津子　      寺島進　    夏八木勲　      反町隆史【脚本】  野島伸司【演出】  加藤裕将　    【プロデュース】  東康之千住明　  池頼広　    【主題歌】  「Wildflower」Superfly</t>
  </si>
  <si>
    <t>早乙女悠里(天海祐希)は、父・惣一(夏八木勲)に代わって、早乙女グループの新代表に選ばれる。蓮見丈治(反町隆史)は、心臓疾患を持つ廉(矢野聖人)を競泳の代表選考会に出場させようとしている悠里を、惣一の力で止めてもらうつもりでいた。だが、悠里がグループの代表になったことで、そのもくろみは外れてしまう。同じころ、YSコーポレーションの室内プールで練習していた廉のもとに、洸(松坂桃李)がやってくる。洸は、神代麻衣子(南沢奈央)と一緒だった。自分の代わりに廉が代表選考会に出場することを知った洸は、手伝えることがあったら言ってほしい、と申し出る。その夜、悠里は、別居中の夫・辰也(寺島進)とプライベートバーで会う。辰也も、廉を選考会に出場させるのを止めようとしていた。しかし悠里は、辰也の頼みでもそれだけはできない、と拒否した。すると辰也は、自分なりに覚悟を決めてきた、と言って悠里に離婚届を手渡す。別の日、悠里は、秘書の新倉リカ(長澤まさみ)を伴って買い物に出かける。悠里は、大量のブランド品を買い求めた後、高級なレストランで食事をすると言い出す。そこでリカは、今回の廉の件は、人として、母親として間違っていると言い放つ。</t>
  </si>
  <si>
    <t>番組名&lt;木曜劇場&gt;GOLD　#11</t>
  </si>
  <si>
    <t>早乙女悠里(天海祐希)は、無謀な賭けだと知りながら、廉(矢野聖人)の力を借りて洸(松坂桃李)を立ち直らせようとした。自らの命をかけて競泳の代表選考会に挑もうとする廉の姿が、洸の魂を奮い立たせてくれると信じていたのだ。悠里は、蓮見丈治(反町隆史)や父親の惣一(夏八木勲)にもそのことは秘密にしていた。知っていたのは晶(武井咲)だけだった。　悠里の思いは通じ、選考会場にやってきた洸は、廉と同じ組で100m自由形のスタート台に立つ。会場にいた新倉リカ(長澤まさみ)や辰也(寺島進)も、洸の登場に驚きを隠せなかった。洸は、隣に立つ廉に向かって、お前なんかの出る幕じゃない、と告げると、スタートの合図と同時に力強く飛び込んだ。圧倒的な泳ぎを見せた洸は、見事トップでゴールする。　リカとともに関係者控室を訪れた辰也は、悠里に渡した離婚届を返してもらう。それを知った丈治は、この機会に早乙女家に戻ったらどうか、と辰也に提案する。そのころリカも、辰也に促されて、悠里に提出した辞表届けを返してもらおうとしていた。しかし悠里は、それを認めなかった。  　悠里は、惣一に代わって、選考会の閉会式で挨拶をすることになった。ところがそこで思わぬ事件が起き…。天海祐希　      長澤まさみ　      水上剣星　    松坂桃李　    矢野聖人　    武井咲　    大江駿輔　      エド・はるみ　    志賀廣太郎　    水野真典　      南沢奈央　      寺島進　      夏八木勲　      反町隆史【脚本】  野島伸司【演出】  河毛俊作　    【プロデュース】  東康之千住明　  池頼広　    【主題歌】  「Wildflower」Superfly</t>
  </si>
  <si>
    <t>早乙女悠里(天海祐希)は、無謀な賭けだと知りながら、廉(矢野聖人)の力を借りて洸(松坂桃李)を立ち直らせようとした。自らの命をかけて競泳の代表選考会に挑もうとする廉の姿が、洸の魂を奮い立たせてくれると信じていたのだ。悠里は、蓮見丈治(反町隆史)や父親の惣一(夏八木勲)にもそのことは秘密にしていた。知っていたのは晶(武井咲)だけだった。　悠里の思いは通じ、選考会場にやってきた洸は、廉と同じ組で100m自由形のスタート台に立つ。会場にいた新倉リカ(長澤まさみ)や辰也(寺島進)も、洸の登場に驚きを隠せなかった。洸は、隣に立つ廉に向かって、お前なんかの出る幕じゃない、と告げると、スタートの合図と同時に力強く飛び込んだ。圧倒的な泳ぎを見せた洸は、見事トップでゴールする。　リカとともに関係者控室を訪れた辰也は、悠里に渡した離婚届を返してもらう。それを知った丈治は、この機会に早乙女家に戻ったらどうか、と辰也に提案する。そのころリカも、辰也に促されて、悠里に提出した辞表届けを返してもらおうとしていた。しかし悠里は、それを認めなかった。  　悠里は、惣一に代わって、選考会の閉会式で挨拶をすることになった。ところがそこで思わぬ事件が起き…。</t>
  </si>
  <si>
    <t>1004_CX_月21</t>
  </si>
  <si>
    <t>月の恋人</t>
  </si>
  <si>
    <t>番組名月の恋人　Moon　Lovers　#01</t>
  </si>
  <si>
    <t>木村拓哉　  篠原涼子　  リン・チーリン　  松田翔太　  北川景子　  渡辺いっけい　  濱田岳　  水上剣星　  西山茉希　  満島ひかり　  中村ゆり　  阿部力　  長塚京三　    ほか</t>
  </si>
  <si>
    <t>番組名月の恋人　Moon　Lovers　#02</t>
  </si>
  <si>
    <t>葉月蓮介(木村拓哉)は、中国側の反発を押さえ込み、無事『レゴリス』上海一号店を開店させた。『レゴリス』のイメージキャラクターとなったリュウ・シュウメイ(リン・チーリン)は来日するが、ホテルでの寂しい1人暮らしが続く。上海での開店以来、蓮介ともほとんど会っていなかった。シュウメイは、日本で暮らしているはずの父親を探しに行く事を決意する。はがき片手に見知らぬ街中をうろうろするシュウメイだったが・・・。  　一方、蓮介は新たにホテルのインテリアコンペへの参加を決め、その全てを二宮真絵美(篠原涼子)に任せようとする。だが、真絵美は素直に蓮介の誘いを受けようとしない。そんな中、蓮介はコンペの説明会に参加する。そこで、大貫柚月(北川景子)の父であるライバル会社の社長・大貫照源(長塚京三)と遭遇。一歩リードされていることを知った蓮介は勝利を得るために、ある行動に出るのだった。木村拓哉　  篠原涼子　  リン・チーリン　  松田翔太　  北川景子　  渡辺いっけい　  濱田岳　  水上剣星　  西山茉希　  満島ひかり　  中村ゆり　  阿部力　  長塚京三　    ほか【原作】  「月の恋人～Moon　Lovers～」道尾秀介(新潮社刊)　    【脚本】  浅野妙子【プロデュース】  後藤博幸　  村瀬健　    【演出】  平野眞</t>
  </si>
  <si>
    <t>葉月蓮介(木村拓哉)は、中国側の反発を押さえ込み、無事『レゴリス』上海一号店を開店させた。『レゴリス』のイメージキャラクターとなったリュウ・シュウメイ(リン・チーリン)は来日するが、ホテルでの寂しい1人暮らしが続く。上海での開店以来、蓮介ともほとんど会っていなかった。シュウメイは、日本で暮らしているはずの父親を探しに行く事を決意する。はがき片手に見知らぬ街中をうろうろするシュウメイだったが・・・。  　一方、蓮介は新たにホテルのインテリアコンペへの参加を決め、その全てを二宮真絵美(篠原涼子)に任せようとする。だが、真絵美は素直に蓮介の誘いを受けようとしない。そんな中、蓮介はコンペの説明会に参加する。そこで、大貫柚月(北川景子)の父であるライバル会社の社長・大貫照源(長塚京三)と遭遇。一歩リードされていることを知った蓮介は勝利を得るために、ある行動に出るのだった。</t>
  </si>
  <si>
    <t>番組名月の恋人　Moon　Lovers　#03</t>
  </si>
  <si>
    <t>葉月蓮介(木村拓哉)は、外資系ホテルのインテリア・コンペを勝ち取り、二宮真絵美(篠原涼子)と専属デザイナー契約を結ぶ。さらに、蓮介はリュウ・シュウメイ(リン・チーリン)をイメージキャラクターとする『レゴリス』の新プロジェクトの責任者としても真絵美を抜擢。これには真絵美自身も、これまで新プロジェクトを企画してきた社員たちも反対するのだが、蓮介は聞く耳を持たなかった。　早速、真絵美は前原継男(濱田岳)、安斎リナ(満島ひかり)らとシュウメイのポスター撮影を手がける。その時、真絵美はシュウメイが、今まで以上に仕事に前向きになったことを感じた。実は、シュウメイには蓮介に対してある思惑が芽生えていた。それは蓮介への復讐心。蔡風見(松田翔太)は、シュウメイからその思惑を聞きだす。  　また、蓮介に急接近するシュウメイに大貫柚月(北川景子)は、ますます焦り出した。　そんな時、シュウメイは探していた父親、ハンヤン(田口主将)と再会。喜ぶシュウメイの陰で、蓮介は風見にハンヤンの周囲を探るよう命令した。  　外資系ホテルの仕事を奪われた『マストポール』の社長で柚月の父でもある照源(長塚京三)は蓮介に接触する。木村拓哉　  篠原涼子　  リン・チーリン　  松田翔太　  北川景子　  渡辺いっけい　  濱田岳　  水上剣星　  西山茉希　  満島ひかり　  中村ゆり　  阿部力　  長塚京三　    ほか【原作】  「月の恋人～Moon　Lovers～」道尾秀介(新潮社刊)　    【脚本】  浅野妙子【プロデュース】  後藤博幸　  村瀬健　    【演出】  平野眞</t>
  </si>
  <si>
    <t>葉月蓮介(木村拓哉)は、外資系ホテルのインテリア・コンペを勝ち取り、二宮真絵美(篠原涼子)と専属デザイナー契約を結ぶ。さらに、蓮介はリュウ・シュウメイ(リン・チーリン)をイメージキャラクターとする『レゴリス』の新プロジェクトの責任者としても真絵美を抜擢。これには真絵美自身も、これまで新プロジェクトを企画してきた社員たちも反対するのだが、蓮介は聞く耳を持たなかった。　早速、真絵美は前原継男(濱田岳)、安斎リナ(満島ひかり)らとシュウメイのポスター撮影を手がける。その時、真絵美はシュウメイが、今まで以上に仕事に前向きになったことを感じた。実は、シュウメイには蓮介に対してある思惑が芽生えていた。それは蓮介への復讐心。蔡風見(松田翔太)は、シュウメイからその思惑を聞きだす。  　また、蓮介に急接近するシュウメイに大貫柚月(北川景子)は、ますます焦り出した。　そんな時、シュウメイは探していた父親、ハンヤン(田口主将)と再会。喜ぶシュウメイの陰で、蓮介は風見にハンヤンの周囲を探るよう命令した。  　外資系ホテルの仕事を奪われた『マストポール』の社長で柚月の父でもある照源(長塚京三)は蓮介に接触する。</t>
  </si>
  <si>
    <t>番組名月の恋人　Moon　Lovers　#04</t>
  </si>
  <si>
    <t>葉月蓮介(木村拓哉)と蔡風見(松田翔太)は『レゴリス』社員に新しい製品開発プラン“恋するレゴリス"を発表。このプランの実行にあたっては、徹底した経費削減のために、古くからの取引先を変えることも辞さないと告げる。意を唱える者もいるのだが、蓮介は情に動かされては経営など出来ないと冷徹に切り捨てた。  　しかし、新プランは思わぬところで頓挫しようとしていた。イメージキャラクターのリュウ・シュウメイ(リン・チーリン)がポスター撮影に出てこないのだ。二宮真絵美(篠原涼子)から事情を聞いた蓮介は、シュウメイが現場に来ないのなら代役を立てろと言い放つ。  　そんな蓮介に社員の嶺岡康之(川平慈英)が辞表を提出。蓮介と守秘義務契約を交わさなかった嶺岡は『マストポール』社長の大貫照源(長塚京三)と通じていたのだ。その動きを知っていた柚月(北川景子)は、蓮介に忠告しようとするが無視されてしまう。蓮介の心がどうしても自分に向かないと怒った柚月は、父・照源に『マストポール』のモデルになると告げた。  　『レゴリス』のプランを先取りしようと暗躍する照源。仕事に出てこないシュウメイを説得しようとする真絵美。そして、蓮介は…。木村拓哉　  篠原涼子　  リン・チーリン　  松田翔太　  北川景子　  渡辺いっけい　  濱田岳　  水上剣星　  西山茉希　  満島ひかり　  中村ゆり　  阿部力　  長塚京三　    ほか【原作】  「月の恋人～Moon　Lovers～」道尾秀介(新潮社刊)　    【脚本】  浅野妙子【プロデュース】  後藤博幸　  村瀬健　    【演出】  石井祐介</t>
  </si>
  <si>
    <t>葉月蓮介(木村拓哉)と蔡風見(松田翔太)は『レゴリス』社員に新しい製品開発プラン“恋するレゴリス"を発表。このプランの実行にあたっては、徹底した経費削減のために、古くからの取引先を変えることも辞さないと告げる。意を唱える者もいるのだが、蓮介は情に動かされては経営など出来ないと冷徹に切り捨てた。  　しかし、新プランは思わぬところで頓挫しようとしていた。イメージキャラクターのリュウ・シュウメイ(リン・チーリン)がポスター撮影に出てこないのだ。二宮真絵美(篠原涼子)から事情を聞いた蓮介は、シュウメイが現場に来ないのなら代役を立てろと言い放つ。  　そんな蓮介に社員の嶺岡康之(川平慈英)が辞表を提出。蓮介と守秘義務契約を交わさなかった嶺岡は『マストポール』社長の大貫照源(長塚京三)と通じていたのだ。その動きを知っていた柚月(北川景子)は、蓮介に忠告しようとするが無視されてしまう。蓮介の心がどうしても自分に向かないと怒った柚月は、父・照源に『マストポール』のモデルになると告げた。  　『レゴリス』のプランを先取りしようと暗躍する照源。仕事に出てこないシュウメイを説得しようとする真絵美。そして、蓮介は…。</t>
  </si>
  <si>
    <t>番組名月の恋人　Moon　Lovers　#05</t>
  </si>
  <si>
    <t>葉月蓮介(木村拓哉)は、蔡風見(松田翔太)と『レゴリス』の新戦略を発表。リュウ・シュウメイ(リン・チーリン)をフィーチャーしたキャンペーンで伸びた売り上げの力を背景に、業界No.1の『マストポール』の追い落としにかかるのが目標だ。新店舗の充実、インドへの新たな生産ラインを確保すると言う蓮介だが、幹部たちの反応は悪い。雉畑藤吾(渡辺いっけい)からは、インドでも工員たちの強引な切捨てを繰り返すのかと言われてしまう。しかし、雉畑の意見を遮った蓮介はあくまで強気だ。  　その夜、蓮介はシュウメイとデート。シュウメイの肩を抱き寄せる蓮介を、一台のカメラが狙っていた。  　二宮真絵美(篠原涼子)を風見が食事に誘う。2人が行ったレストランには、蓮介とシュウメイがいた。同席した真絵美は、蓮介とシュウメイの関係が発展したことを悟る。  　今や有名人となったシュウメイが『田鶏』に帰ると、大貫柚月(北川景子)が尋ねて来る。柚月は、なぜ蓮介がシュウメイに惹かれるのかを知りたかった。しかし、シュウメイから答えを得られなかった柚月は、家に帰ると父・照源(長塚京三)に実家を出ようと思うと話す。  　そんな時、蓮介とシュウメイのデートが写真誌に抜かれた。柚月の時とは違い、社長とその会社のモデルでは世間の視線も厳しいものが予想される。社員たちの反応も厳しい。蓮介は収拾する時間が欲しいと社員たちに告げるのだが・・・。木村拓哉　  篠原涼子　  リン・チーリン　  松田翔太　  北川景子　  渡辺いっけい　  濱田岳　  水上剣星　  西山茉希　  満島ひかり　  中村ゆり　  阿部力　  長塚京三　    ほか【原作】  「月の恋人～Moon　Lovers～」道尾秀介(新潮社刊)　    【脚本】  浅野妙子【プロデュース】  後藤博幸　  村瀬健　    【演出】  平野眞高見優　    【主題歌】  「LOVE　RAIN～恋の雨～」久保田利伸(sme　RECORDS)</t>
  </si>
  <si>
    <t>葉月蓮介(木村拓哉)は、蔡風見(松田翔太)と『レゴリス』の新戦略を発表。リュウ・シュウメイ(リン・チーリン)をフィーチャーしたキャンペーンで伸びた売り上げの力を背景に、業界No.1の『マストポール』の追い落としにかかるのが目標だ。新店舗の充実、インドへの新たな生産ラインを確保すると言う蓮介だが、幹部たちの反応は悪い。雉畑藤吾(渡辺いっけい)からは、インドでも工員たちの強引な切捨てを繰り返すのかと言われてしまう。しかし、雉畑の意見を遮った蓮介はあくまで強気だ。  　その夜、蓮介はシュウメイとデート。シュウメイの肩を抱き寄せる蓮介を、一台のカメラが狙っていた。  　二宮真絵美(篠原涼子)を風見が食事に誘う。2人が行ったレストランには、蓮介とシュウメイがいた。同席した真絵美は、蓮介とシュウメイの関係が発展したことを悟る。  　今や有名人となったシュウメイが『田鶏』に帰ると、大貫柚月(北川景子)が尋ねて来る。柚月は、なぜ蓮介がシュウメイに惹かれるのかを知りたかった。しかし、シュウメイから答えを得られなかった柚月は、家に帰ると父・照源(長塚京三)に実家を出ようと思うと話す。  　そんな時、蓮介とシュウメイのデートが写真誌に抜かれた。柚月の時とは違い、社長とその会社のモデルでは世間の視線も厳しいものが予想される。社員たちの反応も厳しい。蓮介は収拾する時間が欲しいと社員たちに告げるのだが・・・。</t>
  </si>
  <si>
    <t>番組名月の恋人　Moon　Lovers　#06</t>
  </si>
  <si>
    <t>葉月蓮介(木村拓哉)は、リュウ・シュウメイ(リン・チーリン)にプロポーズするも、『レゴリス』が販売する家具で事故が発生してしまい、その対応に追われることになった。蓮介は、事故で怪我をした子供を見舞うのだが、両親は訴訟も辞さない構え。  　二宮真絵美(篠原涼子)は蓮介がシュウメイにプロポーズしたことを知るが、蔡風見(松田翔太)からシュウメイのフォローを頼まれ、シュウメイのもとへ行く。真絵美と話すシュウメイは、蓮介からプロポーズを受けたもののまだ不信感を拭えていなかった。蓮介は、自分を訪ねて日本に来た親友のミン(阿部力)を、不法入国だと言って自分のもとから引き離したのだ。さらに、本当に蓮介を支えられるのは真絵美だと言うシュウメイ。  　事故を起こした家具は、上海工場の製品と判明。蓮介は、上海工場の責任者である雉畑藤吾(渡辺いっけい)の責任能力を問う。雉畑はむしろずっと上海工場の労働条件改善を訴えていたのだが…。  　一方、大貫柚月(北川景子)も窮地に陥った蓮介を心配していた。父の照源(長塚京三)は、蓮介はもうだめだろうと事も無げに柚月に話す。さらに、柚月には、蓮介よりも風見の方が似合いだなどと言い出した。そんな、父の言葉を柚月は訝しむ。  　『レゴリス』の売り上げは各地で下がりだした。そんな中、ついに側近中の側近である雉畑が蓮介に辞表を提出し、蓮介は…。木村拓哉　  篠原涼子　  リン・チーリン　  松田翔太　  北川景子　  渡辺いっけい　  濱田岳　  水上剣星　  西山茉希　  満島ひかり　  中村ゆり　  阿部力　  長塚京三　    ほか【原作】  「月の恋人～Moon　Lovers～」道尾秀介(新潮社刊)　    【脚本】  浅野妙子【プロデュース】  後藤博幸　  村瀬健　    【演出】  石井祐介高見優　    【主題歌】  「LOVE　RAIN～恋の雨～」久保田利伸(sme　RECORDS)</t>
  </si>
  <si>
    <t>葉月蓮介(木村拓哉)は、リュウ・シュウメイ(リン・チーリン)にプロポーズするも、『レゴリス』が販売する家具で事故が発生してしまい、その対応に追われることになった。蓮介は、事故で怪我をした子供を見舞うのだが、両親は訴訟も辞さない構え。  　二宮真絵美(篠原涼子)は蓮介がシュウメイにプロポーズしたことを知るが、蔡風見(松田翔太)からシュウメイのフォローを頼まれ、シュウメイのもとへ行く。真絵美と話すシュウメイは、蓮介からプロポーズを受けたもののまだ不信感を拭えていなかった。蓮介は、自分を訪ねて日本に来た親友のミン(阿部力)を、不法入国だと言って自分のもとから引き離したのだ。さらに、本当に蓮介を支えられるのは真絵美だと言うシュウメイ。  　事故を起こした家具は、上海工場の製品と判明。蓮介は、上海工場の責任者である雉畑藤吾(渡辺いっけい)の責任能力を問う。雉畑はむしろずっと上海工場の労働条件改善を訴えていたのだが…。  　一方、大貫柚月(北川景子)も窮地に陥った蓮介を心配していた。父の照源(長塚京三)は、蓮介はもうだめだろうと事も無げに柚月に話す。さらに、柚月には、蓮介よりも風見の方が似合いだなどと言い出した。そんな、父の言葉を柚月は訝しむ。  　『レゴリス』の売り上げは各地で下がりだした。そんな中、ついに側近中の側近である雉畑が蓮介に辞表を提出し、蓮介は…。</t>
  </si>
  <si>
    <t>番組名月の恋人　Moon　Lovers　#07</t>
  </si>
  <si>
    <t>自社モデルとのスキャンダル、製品の事故…。そして、上海工場の不当労働までもが表面化することで『レゴリス』社長、葉月蓮介(木村拓哉)は窮地に立たされる。しかも、側近の蔡風見(松田翔太)はライバル会社『マストポール』の社長、大貫照源(長塚京三)と裏で手を結び、『レゴリス』幹部も味方につけ、蓮介を失脚させようとしていたのだ。蓮介が風見の思惑に気づいた時は、もはや手遅れだった。　風見は手はずどおり、定例会議で蓮介の解任動議を提案。反対する幹部はなく、新社長に風見が推挙される。抵抗するかに思われた蓮介だが、取締役会に諮られるまでもなく、あっさりと社長の座を退き、心配する二宮真絵美(篠原涼子)に礼を述べて会社から去って行った。  　社長就任挨拶で、風見は『マストポール』との提携を発表。パーティーの席で、真絵美はリュウ・シュウメイ(リン・チーリン)の居場所を風見に問うのだが、知らないと答える風見。また、真絵美は自分に接近したのも、蓮介を陥れるためかと問い詰める。すると、風見はそれを否定し『レゴリス』に残って欲しいと真絵美に頼んだ。  　社長を解任されて以来、蓮介の行方は分からなくなる。シュウメイも姿を見せない。父、照源の汚い手口でいなくなってしまったと、柚月(北川景子)はある行動に出る。そして、真絵美も蓮介の行方を求めて…。木村拓哉　  篠原涼子　  リン・チーリン　  松田翔太　  北川景子　  渡辺いっけい　  濱田岳　  水上剣星　  西山茉希　  満島ひかり　  中村ゆり　  阿部力　  長塚京三　    ほか【原作】  「月の恋人～Moon　Lovers～」道尾秀介(新潮社刊)    【脚本】  浅野妙子【プロデュース】  後藤博幸　  村瀬健　    【演出】  石井祐介高見優　    【主題歌】  「LOVE　RAIN～恋の雨～」久保田利伸(sme　RECORDS)</t>
  </si>
  <si>
    <t>自社モデルとのスキャンダル、製品の事故…。そして、上海工場の不当労働までもが表面化することで『レゴリス』社長、葉月蓮介(木村拓哉)は窮地に立たされる。しかも、側近の蔡風見(松田翔太)はライバル会社『マストポール』の社長、大貫照源(長塚京三)と裏で手を結び、『レゴリス』幹部も味方につけ、蓮介を失脚させようとしていたのだ。蓮介が風見の思惑に気づいた時は、もはや手遅れだった。　風見は手はずどおり、定例会議で蓮介の解任動議を提案。反対する幹部はなく、新社長に風見が推挙される。抵抗するかに思われた蓮介だが、取締役会に諮られるまでもなく、あっさりと社長の座を退き、心配する二宮真絵美(篠原涼子)に礼を述べて会社から去って行った。  　社長就任挨拶で、風見は『マストポール』との提携を発表。パーティーの席で、真絵美はリュウ・シュウメイ(リン・チーリン)の居場所を風見に問うのだが、知らないと答える風見。また、真絵美は自分に接近したのも、蓮介を陥れるためかと問い詰める。すると、風見はそれを否定し『レゴリス』に残って欲しいと真絵美に頼んだ。  　社長を解任されて以来、蓮介の行方は分からなくなる。シュウメイも姿を見せない。父、照源の汚い手口でいなくなってしまったと、柚月(北川景子)はある行動に出る。そして、真絵美も蓮介の行方を求めて…。</t>
  </si>
  <si>
    <t>1004_CX_火21</t>
  </si>
  <si>
    <t>番組名絶対零度～未解決事件特命捜査～　#01</t>
  </si>
  <si>
    <t>桜木泉(上戸彩)は、未解決事件を専門に扱う特命捜査対策室第4係に勤務する新米刑事。  　4係係長の倉田工(杉本哲太)は室長の長嶋秀夫(北大路欣也)から、前日に山中から白骨化した人骨が発見された事件の資料を渡される。人骨は10年前に起きた「東都銀行3億円事件」の容疑者の1人であることから4係が捜査することになったのだ。  　3億円横領事件の容疑者は、当時銀行に勤務していた大貫清美(宮下ともみ)、飯島友江(松岡恵望子)、迫田麻衣(小松彩夏)の3人で、いずれも事件直後から行方不明になっていた。白骨死体は迫田麻衣のもので、死後10年が経っていた。さらに遺留品のメモに書かれた14桁の数字が明らかになった。  　深沢ユウキ(丸山智己)は、数字が銀行の口座番号であることを調べると、泉と共に口座の持ち主で麻衣の恋人だった宮本弘史(徳秀樹)を訪ねる。  　同じころ、4係では白石晋太郎(中原丈雄)が倉田に、インターネットの裏サイトで発見した、逃げまどう女性が拳銃で撃たれる映像を見せていた。その女性は10年前の横領事件の主犯とされていた大貫清美とわかる。塚本圭吾(宮迫博之)と高峰涼子(山口紗弥加)は、横領事件当時に支店長だった木村行信(渡辺憲吉)を訪ねていた。高峰は事件との関係を否定する木村のある行動に目をとめる。  　次々と新しい事実が発覚する中、泉は事件当時に清美が話していた言葉が気にかかり…。上戸彩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</si>
  <si>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桜木泉(上戸彩)は、未解決事件を専門に扱う特命捜査対策室第4係に勤務する新米刑事。  　4係係長の倉田工(杉本哲太)は室長の長嶋秀夫(北大路欣也)から、前日に山中から白骨化した人骨が発見された事件の資料を渡される。人骨は10年前に起きた「東都銀行3億円事件」の容疑者の1人であることから4係が捜査することになったのだ。  　3億円横領事件の容疑者は、当時銀行に勤務していた大貫清美(宮下ともみ)、飯島友江(松岡恵望子)、迫田麻衣(小松彩夏)の3人で、いずれも事件直後から行方不明になっていた。白骨死体は迫田麻衣のもので、死後10年が経っていた。さらに遺留品のメモに書かれた14桁の数字が明らかになった。  　深沢ユウキ(丸山智己)は、数字が銀行の口座番号であることを調べると、泉と共に口座の持ち主で麻衣の恋人だった宮本弘史(徳秀樹)を訪ねる。  　同じころ、4係では白石晋太郎(中原丈雄)が倉田に、インターネットの裏サイトで発見した、逃げまどう女性が拳銃で撃たれる映像を見せていた。その女性は10年前の横領事件の主犯とされていた大貫清美とわかる。塚本圭吾(宮迫博之)と高峰涼子(山口紗弥加)は、横領事件当時に支店長だった木村行信(渡辺憲吉)を訪ねていた。高峰は事件との関係を否定する木村のある行動に目をとめる。  　次々と新しい事実が発覚する中、泉は事件当時に清美が話していた言葉が気にかかり…。</t>
  </si>
  <si>
    <t>番組名絶対零度～未解決事件特命捜査～　#02</t>
  </si>
  <si>
    <t>桜木泉(上戸彩)に、1995年4月に起きた富士見医大の研修医だった日向葵(原田佳奈)が殺害された事件の資料を持ってくるようにと伝言が入る。当時発見されなかった凶器のナイフが発見されたため、4係に再捜査依頼がきたのだ。この事件は時効まであと1週間になっていた。科捜研での検査の結果、ナイフには犯人の血が包まれていた英字新聞には花粉が付着していたことがわかった。富士見医大に向かった倉田工(杉本哲太)と塚本圭吾(宮迫博之)は、葵の治療にあたった医師・桐山義之(大高洋夫)を訪ね、病院内の捜査を申し出るが拒否される。泉と白石晋太郎(中原丈雄)は、当時は容疑者として疑われたものの証拠不十分で釈放された恋人で第一発見者である野宮冬樹(ムロツヨシ)を訪ねた。白石の質問に微かに動揺する冬樹だが、妻であり富士見医大で看護師長をしている千秋(高久ちぐさ)が出てきて話が中断する。そこで、白石はあることに気付く。深沢ユウキ(丸山智己)と高峰涼子(山口紗弥加)は、事件発生直前に葵と冬樹が口論していたことを証言した、医師の東海林光輝(中村靖日)を訪ねた。東海林は、葵を恨んでる人間はたくさんいたはずだと証言。後日、4係に呼び出された千秋が、葵と当時の看護師長だった立花志保(阿南敦子)が1人の患者のことで言い合いになっていたことを証言する。夜、1人残り捜査資料を前に頭を抱えていた泉。すると電話が鳴り…。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</si>
  <si>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桜木泉(上戸彩)に、1995年4月に起きた富士見医大の研修医だった日向葵(原田佳奈)が殺害された事件の資料を持ってくるようにと伝言が入る。当時発見されなかった凶器のナイフが発見されたため、4係に再捜査依頼がきたのだ。この事件は時効まであと1週間になっていた。科捜研での検査の結果、ナイフには犯人の血が包まれていた英字新聞には花粉が付着していたことがわかった。富士見医大に向かった倉田工(杉本哲太)と塚本圭吾(宮迫博之)は、葵の治療にあたった医師・桐山義之(大高洋夫)を訪ね、病院内の捜査を申し出るが拒否される。泉と白石晋太郎(中原丈雄)は、当時は容疑者として疑われたものの証拠不十分で釈放された恋人で第一発見者である野宮冬樹(ムロツヨシ)を訪ねた。白石の質問に微かに動揺する冬樹だが、妻であり富士見医大で看護師長をしている千秋(高久ちぐさ)が出てきて話が中断する。そこで、白石はあることに気付く。深沢ユウキ(丸山智己)と高峰涼子(山口紗弥加)は、事件発生直前に葵と冬樹が口論していたことを証言した、医師の東海林光輝(中村靖日)を訪ねた。東海林は、葵を恨んでる人間はたくさんいたはずだと証言。後日、4係に呼び出された千秋が、葵と当時の看護師長だった立花志保(阿南敦子)が1人の患者のことで言い合いになっていたことを証言する。夜、1人残り捜査資料を前に頭を抱えていた泉。すると電話が鳴り…。</t>
  </si>
  <si>
    <t>番組名絶対零度～未解決事件特命捜査～　#03</t>
  </si>
  <si>
    <t>桜木泉(上戸彩)ら4係が、8年前に起きた連続殺人事件の再捜査に着手することになった。前日に蒲田の河川敷で女性の遺体が発見され、深沢ユウキ(丸山智己)がその事件と8年前の事件が似ていることに気付いたためだ。  　2002年、1カ月の間に4人の若い女性が立て続けに殺害される事件が起きた。遺体にはすべてナイフでGODという文字が記され、髪が切り落とされていたことから“神の処刑事件"と言われ世間を震撼させたが、4人目の殺害を最後に犯行はピタリと止まっていた。  　今回の事件と神の処刑事件は類似点もあるが、相違点も多く、同一犯である確証が得られないまま捜査がスタートする。河川敷の遺体発見現場に向かった高峰涼子(山口紗弥加)と深沢だが、殺人犯係の捜査員に疎まれ、捜査状況の情報を教えてもらえない。同じ頃、8年前の被害者の1人・田口成美(大矢敦子)の父親・健史(遠藤たつお)を訪ねていた塚本圭吾(宮迫博之)と泉は、事件を引きずり、家庭が崩壊した健史の現状を目の当たりにして胸を痛める。  　夜、泉が科捜研を訪ねると、深沢もやってくる。今回の事件と“神の処刑事件"の関連に妙にこだわる深沢を興味津々にみつめる大森紗英(北川弘美)。そんな中、竹林匠(木村了)が証拠品から、当時は発見されていなかったあるものを見つける…。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</si>
  <si>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桜木泉(上戸彩)ら4係が、8年前に起きた連続殺人事件の再捜査に着手することになった。前日に蒲田の河川敷で女性の遺体が発見され、深沢ユウキ(丸山智己)がその事件と8年前の事件が似ていることに気付いたためだ。  　2002年、1カ月の間に4人の若い女性が立て続けに殺害される事件が起きた。遺体にはすべてナイフでGODという文字が記され、髪が切り落とされていたことから“神の処刑事件"と言われ世間を震撼させたが、4人目の殺害を最後に犯行はピタリと止まっていた。  　今回の事件と神の処刑事件は類似点もあるが、相違点も多く、同一犯である確証が得られないまま捜査がスタートする。河川敷の遺体発見現場に向かった高峰涼子(山口紗弥加)と深沢だが、殺人犯係の捜査員に疎まれ、捜査状況の情報を教えてもらえない。同じ頃、8年前の被害者の1人・田口成美(大矢敦子)の父親・健史(遠藤たつお)を訪ねていた塚本圭吾(宮迫博之)と泉は、事件を引きずり、家庭が崩壊した健史の現状を目の当たりにして胸を痛める。  　夜、泉が科捜研を訪ねると、深沢もやってくる。今回の事件と“神の処刑事件"の関連に妙にこだわる深沢を興味津々にみつめる大森紗英(北川弘美)。そんな中、竹林匠(木村了)が証拠品から、当時は発見されていなかったあるものを見つける…。</t>
  </si>
  <si>
    <t>番組名絶対零度～未解決事件特命捜査～　#04</t>
  </si>
  <si>
    <t>4係に送付主不明の木箱が届いた。その木箱を桜木泉(上戸彩)が開けると、中に人骨の一部が入っていた!  　検査の結果、人骨は11年前に捜索願が出されていた中学校教師で天文学部の顧問をしていた朝倉聡(中野英樹)で、死亡時期が同時期であること、骨に土が附着していたことから土に埋められていたことがわかった。4係は最後に朝倉を目撃した天文学部の生徒だった4人を訪ねるが、水木丈太郎(金井勇太)、風間進(北条隆博)、四之宮真紀(篠原真衣)は朝倉の死にも、かつての仲間にも興味を示さない。一方、泉と倉田工(杉本哲太)が訪ねた火浦忠広(遠藤雄弥)は、マンションから転落した直後だった。意識不明の火浦だが、指紋から木箱の送り主であることがわかった。火浦の自宅から押収された証拠品には天文部への思い入れの深さがうかがえる、写真や日誌のコピーなどが出てくるが、改めて取り調べを受けるために警察に来た水木と風間はろくに会話もしない。泉は2人の様子に寂しさを感じつつ、天文部の日誌をチェックする。  　そんな中、朝倉が埋められていた穴が発見された。骨や衣類のほかに、ネックレスがみつかり、高峰涼子(山口紗弥加)は何かに気付き押収品を調べ始める。一方、火浦のパソコンを調べていた竹林匠(木村了)が発見した、火浦のブログに残された意味深なメッセージをヒントに、泉と白石晋太郎(中原丈雄)はある場所へ向かう。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</si>
  <si>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4係に送付主不明の木箱が届いた。その木箱を桜木泉(上戸彩)が開けると、中に人骨の一部が入っていた!  　検査の結果、人骨は11年前に捜索願が出されていた中学校教師で天文学部の顧問をしていた朝倉聡(中野英樹)で、死亡時期が同時期であること、骨に土が附着していたことから土に埋められていたことがわかった。4係は最後に朝倉を目撃した天文学部の生徒だった4人を訪ねるが、水木丈太郎(金井勇太)、風間進(北条隆博)、四之宮真紀(篠原真衣)は朝倉の死にも、かつての仲間にも興味を示さない。一方、泉と倉田工(杉本哲太)が訪ねた火浦忠広(遠藤雄弥)は、マンションから転落した直後だった。意識不明の火浦だが、指紋から木箱の送り主であることがわかった。火浦の自宅から押収された証拠品には天文部への思い入れの深さがうかがえる、写真や日誌のコピーなどが出てくるが、改めて取り調べを受けるために警察に来た水木と風間はろくに会話もしない。泉は2人の様子に寂しさを感じつつ、天文部の日誌をチェックする。  　そんな中、朝倉が埋められていた穴が発見された。骨や衣類のほかに、ネックレスがみつかり、高峰涼子(山口紗弥加)は何かに気付き押収品を調べ始める。一方、火浦のパソコンを調べていた竹林匠(木村了)が発見した、火浦のブログに残された意味深なメッセージをヒントに、泉と白石晋太郎(中原丈雄)はある場所へ向かう。</t>
  </si>
  <si>
    <t>番組名絶対零度～未解決事件特命捜査～　#05</t>
  </si>
  <si>
    <t>所轄時代の桜木泉(上戸彩)の上司、村山武実(モロ師岡)が4係に再捜査の依頼にくる。その事件とは2年前から続く「学校飼育動物連続殺傷事件」。事件が起きた当初は、5年前に起きた「千山こども交流会殺傷事件」との関連性が疑われ、「学校飼育動物連続殺傷事件」は、その3年後の同じ日にち、同じ地区で発生。果たしてこれは模倣犯なのか?  　初めて事件の担当を任されることになった泉は張り切って捜査を始めるが、物証が少なく捜査は難航する。  　事件が起きた小学校への聞き込みを終えた塚本(宮迫博之)と泉は、「千山こども交流会殺傷事件」の現場に行く。塚本は機動捜査隊にいた頃、その事件の初動捜査に携わっており、現場の有様を目の当たりにしたことを泉に告げた。慰霊碑に花を手向け、4係に帰ろうとする泉と塚本の前に「宮田ユキ」と名乗る制服姿の少女(福田麻由子)が近づき、「もう1回ちゃんと(事件を)調べて」と訴える。　一方、泉は村山から現場周辺の子供達の間で「赤い髪飾りの女」という噂があるという情報を得る。動物殺傷事件が起きる前に必ず赤い髪飾りをつけた少女が目撃されるというものだった。果たして少女と事件に関係はあるのか!?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</si>
  <si>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所轄時代の桜木泉(上戸彩)の上司、村山武実(モロ師岡)が4係に再捜査の依頼にくる。その事件とは2年前から続く「学校飼育動物連続殺傷事件」。事件が起きた当初は、5年前に起きた「千山こども交流会殺傷事件」との関連性が疑われ、「学校飼育動物連続殺傷事件」は、その3年後の同じ日にち、同じ地区で発生。果たしてこれは模倣犯なのか?  　初めて事件の担当を任されることになった泉は張り切って捜査を始めるが、物証が少なく捜査は難航する。  　事件が起きた小学校への聞き込みを終えた塚本(宮迫博之)と泉は、「千山こども交流会殺傷事件」の現場に行く。塚本は機動捜査隊にいた頃、その事件の初動捜査に携わっており、現場の有様を目の当たりにしたことを泉に告げた。慰霊碑に花を手向け、4係に帰ろうとする泉と塚本の前に「宮田ユキ」と名乗る制服姿の少女(福田麻由子)が近づき、「もう1回ちゃんと(事件を)調べて」と訴える。　一方、泉は村山から現場周辺の子供達の間で「赤い髪飾りの女」という噂があるという情報を得る。動物殺傷事件が起きる前に必ず赤い髪飾りをつけた少女が目撃されるというものだった。果たして少女と事件に関係はあるのか!?</t>
  </si>
  <si>
    <t>番組名絶対零度～未解決事件特命捜査～　#06</t>
  </si>
  <si>
    <t>「学校飼育動物連続殺傷事件」の捜査を続ける4係。事件の第一発見者である沢井春菜(福田麻由子)を重要参考人とし、春菜に任意の事情聴取を行うことになった。しかし春菜は深夜になっても家に帰宅していない。春菜を捜しに出かけようとする桜木泉(上戸彩)と塚本圭吾(宮迫博之)のもとに、科捜研から次に動物殺傷事件が起こることが予想される場所が分かったという連絡が入る。泉と塚本が現場へ到着すると、そこには春菜がいた。塚本は逃げる春菜を捕まえようと腕を掴んだ際に、春菜から腕をナイフで切りつけられ負傷してしまう。  　一方、春菜の家を取り調べに行った高峰涼子(山口紗弥加)と深沢ユウキ(丸山智己)は、春菜のパソコンから動物虐待の裏サイトへアクセスした履歴を見つける。春菜と事件の関与がますます疑わしいものになり、春菜の捜索が強化された。そして、同日の深夜、ネットカフェにいる春菜が発見され、春菜の事情聴取をすることになった泉。春菜は「動物を殺したら、死刑になる?」と泉に質問をし・・・。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</si>
  <si>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学校飼育動物連続殺傷事件」の捜査を続ける4係。事件の第一発見者である沢井春菜(福田麻由子)を重要参考人とし、春菜に任意の事情聴取を行うことになった。しかし春菜は深夜になっても家に帰宅していない。春菜を捜しに出かけようとする桜木泉(上戸彩)と塚本圭吾(宮迫博之)のもとに、科捜研から次に動物殺傷事件が起こることが予想される場所が分かったという連絡が入る。泉と塚本が現場へ到着すると、そこには春菜がいた。塚本は逃げる春菜を捕まえようと腕を掴んだ際に、春菜から腕をナイフで切りつけられ負傷してしまう。  　一方、春菜の家を取り調べに行った高峰涼子(山口紗弥加)と深沢ユウキ(丸山智己)は、春菜のパソコンから動物虐待の裏サイトへアクセスした履歴を見つける。春菜と事件の関与がますます疑わしいものになり、春菜の捜索が強化された。そして、同日の深夜、ネットカフェにいる春菜が発見され、春菜の事情聴取をすることになった泉。春菜は「動物を殺したら、死刑になる?」と泉に質問をし・・・。</t>
  </si>
  <si>
    <t>番組名絶対零度～未解決事件特命捜査～　#07</t>
  </si>
  <si>
    <t>4年前に起きた「六本木IT社長殺害事件」の再捜査を行うことになった4係。その事件とはIT時代の寵児と呼ばれた会社社長・桝山一弘(松尾敏伸)がオフィスで何者かに胸を刺され殺害されたというもの。強引な買収で桝山に対し怨恨の動機を持った容疑者は多くいたが当時は有力な手がかりが少なく、犯行に結びつける物証を見つけることができず未解決事件となっていた。　そして4年後の今、被害者の秘書だった吉岡知加子(神農幸)の情報により、当時被害者の会社で警備をしていた木戸聡史(野中隆光)に新しく容疑がかかった。倉田工(杉本哲太)の根強い取り調べにより、木戸はついに「俺がやったんだよ!」と自白をし、逮捕された。しかし裁判で木戸は一変し、殺人を否定。弁護人の黒崎勝彦(小須田康人)は、木戸の自白は倉田の不当な取り調べにより強要されたものだと訴える。　翌日、検察から倉田を捜査から外すよう一課長のもとにクレームが入った。しかし長嶋秀夫(北大路欣也)の計らいにより、倉田の指揮のもと再々捜査を行うことになった4係。4係のメンバーはより一層気を引き締め、次の公判までに新たな証拠を見つけ出すべく捜査を再び開始したのだが・・・。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</si>
  <si>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4年前に起きた「六本木IT社長殺害事件」の再捜査を行うことになった4係。その事件とはIT時代の寵児と呼ばれた会社社長・桝山一弘(松尾敏伸)がオフィスで何者かに胸を刺され殺害されたというもの。強引な買収で桝山に対し怨恨の動機を持った容疑者は多くいたが当時は有力な手がかりが少なく、犯行に結びつける物証を見つけることができず未解決事件となっていた。　そして4年後の今、被害者の秘書だった吉岡知加子(神農幸)の情報により、当時被害者の会社で警備をしていた木戸聡史(野中隆光)に新しく容疑がかかった。倉田工(杉本哲太)の根強い取り調べにより、木戸はついに「俺がやったんだよ!」と自白をし、逮捕された。しかし裁判で木戸は一変し、殺人を否定。弁護人の黒崎勝彦(小須田康人)は、木戸の自白は倉田の不当な取り調べにより強要されたものだと訴える。　翌日、検察から倉田を捜査から外すよう一課長のもとにクレームが入った。しかし長嶋秀夫(北大路欣也)の計らいにより、倉田の指揮のもと再々捜査を行うことになった4係。4係のメンバーはより一層気を引き締め、次の公判までに新たな証拠を見つけ出すべく捜査を再び開始したのだが・・・。</t>
  </si>
  <si>
    <t>番組名絶対零度～未解決事件特命捜査～　#08</t>
  </si>
  <si>
    <t>証拠品管理センターで、桜木泉(上戸彩)は室長の長嶋秀夫(北大路欣也)から出された課題に今日もまた取り組んでいた。そこへ、長嶋から再捜査の連絡が入る。その事件とは2004年に起きた「杉並事件」。  　「杉並事件」とは、下校途中の女子高生・本谷翔子(志保)が誘拐され殺害された事件。犯人からの要求は「制限時間は72時間、その間に身代金5000万円の受け渡しが出来なければ、人質に制裁が下る」というもの。被害者の女子高生が議員である本谷拓郎(中根徹)の娘だったということもあり、当時はマスコミにも注目された。長嶋がかつて所轄の刑事課長だった頃に指揮を執った事件で、高峰涼子(山口紗弥加)もプロファイリングチームの一員として捜査に参加していた。「杉並事件」は長嶋と高峰にとって忘れられない痛みを抱えた事件であった。  　そして6年後の今、犯人と名乗る男・小栗太一(滝藤賢一)が現れ再捜査をする運びとなったのである。小栗は杉並事件で使用された精密機械の設計図を持っており、犯行声明文の筆跡も小栗と一致したことから犯行に関わっていた可能性は高いと判断された。しかし、電話の声だけは小栗と一致しなかった。小栗は果たして真犯人なのか!?小栗には共犯者がいたのか!?4係が再捜査に乗り出す!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</si>
  <si>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証拠品管理センターで、桜木泉(上戸彩)は室長の長嶋秀夫(北大路欣也)から出された課題に今日もまた取り組んでいた。そこへ、長嶋から再捜査の連絡が入る。その事件とは2004年に起きた「杉並事件」。  　「杉並事件」とは、下校途中の女子高生・本谷翔子(志保)が誘拐され殺害された事件。犯人からの要求は「制限時間は72時間、その間に身代金5000万円の受け渡しが出来なければ、人質に制裁が下る」というもの。被害者の女子高生が議員である本谷拓郎(中根徹)の娘だったということもあり、当時はマスコミにも注目された。長嶋がかつて所轄の刑事課長だった頃に指揮を執った事件で、高峰涼子(山口紗弥加)もプロファイリングチームの一員として捜査に参加していた。「杉並事件」は長嶋と高峰にとって忘れられない痛みを抱えた事件であった。  　そして6年後の今、犯人と名乗る男・小栗太一(滝藤賢一)が現れ再捜査をする運びとなったのである。小栗は杉並事件で使用された精密機械の設計図を持っており、犯行声明文の筆跡も小栗と一致したことから犯行に関わっていた可能性は高いと判断された。しかし、電話の声だけは小栗と一致しなかった。小栗は果たして真犯人なのか!?小栗には共犯者がいたのか!?4係が再捜査に乗り出す!</t>
  </si>
  <si>
    <t>番組名絶対零度～未解決事件特命捜査～　#09</t>
  </si>
  <si>
    <t>「杉並事件」の容疑者・小栗太一(滝藤賢一)の死亡により、警視庁本部は事件の捜査終了を決定した。しかし、事件の真相は解明されておらず共犯者がいる可能性が高いのにも関わらず捜査打ち切りになったことに4係はいら立っていた。  　長嶋秀夫(北大路欣也)に捜査を止められていた桜木泉(上戸彩)であったが、「杉並事件」の被害者・本谷翔子(志保)の携帯電話の待ち受け画面を手がかりに、ある公園にたどり着く。そこで、不審な男(飯田基祐)と遭遇した。泉はその男と「杉並事件」との関連を疑い長嶋に電話をするのだが、途中で電話が切れてしまう。その後、何度泉の電話にかけ直しても繋がらない。不審に思った長嶋は、4係のメンバーとともに泉の捜索を開始する。  　泉の行方を追っていると、4係に「桜木巡査部長は預かった」という男からの電話が入った。その男は、自分を「杉並事件」の犯人だと名乗り、泉を釈放する代わりに翌日の警視庁の定例会見で杉並事件捜査終了の撤回を公表することを要求してきた。  　科捜研で調べた結果、電話の声が小栗の共犯者だと思われる男の声紋と一致し、ますます泉の身の危険が心配された。そして、4係は定例会見の前までに何としてでも泉を見つけ出そうと動く。  　「杉並事件」の犯人とは!?そして4係のメンバーは、泉を無事に見つけ出すことができるのか!?上戸彩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</si>
  <si>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杉並事件」の容疑者・小栗太一(滝藤賢一)の死亡により、警視庁本部は事件の捜査終了を決定した。しかし、事件の真相は解明されておらず共犯者がいる可能性が高いのにも関わらず捜査打ち切りになったことに4係はいら立っていた。  　長嶋秀夫(北大路欣也)に捜査を止められていた桜木泉(上戸彩)であったが、「杉並事件」の被害者・本谷翔子(志保)の携帯電話の待ち受け画面を手がかりに、ある公園にたどり着く。そこで、不審な男(飯田基祐)と遭遇した。泉はその男と「杉並事件」との関連を疑い長嶋に電話をするのだが、途中で電話が切れてしまう。その後、何度泉の電話にかけ直しても繋がらない。不審に思った長嶋は、4係のメンバーとともに泉の捜索を開始する。  　泉の行方を追っていると、4係に「桜木巡査部長は預かった」という男からの電話が入った。その男は、自分を「杉並事件」の犯人だと名乗り、泉を釈放する代わりに翌日の警視庁の定例会見で杉並事件捜査終了の撤回を公表することを要求してきた。  　科捜研で調べた結果、電話の声が小栗の共犯者だと思われる男の声紋と一致し、ますます泉の身の危険が心配された。そして、4係は定例会見の前までに何としてでも泉を見つけ出そうと動く。  　「杉並事件」の犯人とは!?そして4係のメンバーは、泉を無事に見つけ出すことができるのか!?</t>
  </si>
  <si>
    <t>番組名絶対零度～未解決事件特命捜査～　#10</t>
  </si>
  <si>
    <t>桜木泉(上戸彩)は、26歳の誕生日も仕事に追われ、4係のデスクで朝を迎えていた。そこに倉田工(杉本哲太)が現れ、1年前に起きた「東京理工大学講師殺人事件」の再捜査が決まったことを伝えた。  　2009年、東京理工大学の講師・浅井政文(斎藤歩)が殺害された。助教であった三枝英之(二階堂智)と大学院生が、浅井の遺体の傍にいる血だらけの広田拓真(若葉竜也)を発見。慌てて逃げる広田は階段から足を踏み外して転落し、死亡してしまう。事件前夜に広田は働いていたバーで客の浅井と揉めており、動機は怨恨だとされていた。また現場から凶器が発見されなかった他は、状況証拠から見ても犯人は広田だとされ、被疑者死亡で書類送検された事件であった。  　しかし2010年6月、多摩川の河川敷で浅井の血痕がついた凶器が発見された。共犯者もしくは広田ではない別の真犯人がいる可能性が出てきたため再捜査が決定したのである。　倉田の指示のもと、泉と深沢ユウキ(丸山智己)は浅井が所属していた研究室を尋ねる。そこで、泉と深沢は事件の第一発見者である三枝から、浅井が人の秘密を調べ上げてはニヤつくような悪趣味があったことを聞く。三枝の聞き込みをしていると、教授の園田道雄(浅野和之)と助教の樋口瑶子(ともさかりえ)が研究室に入ってきた。深沢は三枝に聞き込みを続け、一方泉は樋口に浅井について聞くことになり・・・。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</si>
  <si>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桜木泉(上戸彩)は、26歳の誕生日も仕事に追われ、4係のデスクで朝を迎えていた。そこに倉田工(杉本哲太)が現れ、1年前に起きた「東京理工大学講師殺人事件」の再捜査が決まったことを伝えた。  　2009年、東京理工大学の講師・浅井政文(斎藤歩)が殺害された。助教であった三枝英之(二階堂智)と大学院生が、浅井の遺体の傍にいる血だらけの広田拓真(若葉竜也)を発見。慌てて逃げる広田は階段から足を踏み外して転落し、死亡してしまう。事件前夜に広田は働いていたバーで客の浅井と揉めており、動機は怨恨だとされていた。また現場から凶器が発見されなかった他は、状況証拠から見ても犯人は広田だとされ、被疑者死亡で書類送検された事件であった。  　しかし2010年6月、多摩川の河川敷で浅井の血痕がついた凶器が発見された。共犯者もしくは広田ではない別の真犯人がいる可能性が出てきたため再捜査が決定したのである。　倉田の指示のもと、泉と深沢ユウキ(丸山智己)は浅井が所属していた研究室を尋ねる。そこで、泉と深沢は事件の第一発見者である三枝から、浅井が人の秘密を調べ上げてはニヤつくような悪趣味があったことを聞く。三枝の聞き込みをしていると、教授の園田道雄(浅野和之)と助教の樋口瑶子(ともさかりえ)が研究室に入ってきた。深沢は三枝に聞き込みを続け、一方泉は樋口に浅井について聞くことになり・・・。</t>
  </si>
  <si>
    <t>番組名絶対零度～未解決事件特命捜査～　#11</t>
  </si>
  <si>
    <t>桜木泉(上戸彩)が所属する特命捜査対策室第4係は、塚本圭吾(宮迫博之)が殺人犯係に異動が決まった話で盛り上がっていた。そこへ長嶋秀夫(北大路欣也)が現れ12年前の「巡査部長射殺事件」の凶器である拳銃が発見され、再捜査をすることになったと4係の面々に伝える。  　12年前、巡査部長の百瀬邦弘(黄川田将也)は、殺人容疑で指名手配中の橋本幸夫(青木伸輔)に射殺された。さらに、橋本は百瀬の遺体を焼き、現場から逃走。未だ逃走中である。  　当時、事件の担当をしていた中馬武彦(北見敏之)と山口亮二(袴田吉彦)が、4係に現れる。塚本と高峰涼子(山口紗弥加)は、百瀬の受けた弾の数及び弾の受け方から、この事件は初めから仕組まれたもので怨恨によるもの、また共犯者の存在の可能性がある旨を伝えた。  　そして数日後、百瀬の妻・静香(紺野まひる)が息子の望(今井悠貴)を連れ、4係に来る。倉田工(杉本哲太)は、百瀬が殺害されたのは計画的な犯行である可能性が出てきた旨を静香に伝え、百瀬が誰かから恨まれていなかったかを尋ねた。しかし、静香には特に心当たりがなかった。  　一方、高峰は橋本の母・サト(田島令子)が働く小料理屋に、聞き込みに行った。そこで高峰は、橋本が指名手配になる前、山口が何度も橋本のもとを訪ねていたという話をサトから聞く。そして、4係は山口に橋本との関係を事情聴取することになり・・・。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</si>
  <si>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桜木泉(上戸彩)が所属する特命捜査対策室第4係は、塚本圭吾(宮迫博之)が殺人犯係に異動が決まった話で盛り上がっていた。そこへ長嶋秀夫(北大路欣也)が現れ12年前の「巡査部長射殺事件」の凶器である拳銃が発見され、再捜査をすることになったと4係の面々に伝える。  　12年前、巡査部長の百瀬邦弘(黄川田将也)は、殺人容疑で指名手配中の橋本幸夫(青木伸輔)に射殺された。さらに、橋本は百瀬の遺体を焼き、現場から逃走。未だ逃走中である。  　当時、事件の担当をしていた中馬武彦(北見敏之)と山口亮二(袴田吉彦)が、4係に現れる。塚本と高峰涼子(山口紗弥加)は、百瀬の受けた弾の数及び弾の受け方から、この事件は初めから仕組まれたもので怨恨によるもの、また共犯者の存在の可能性がある旨を伝えた。  　そして数日後、百瀬の妻・静香(紺野まひる)が息子の望(今井悠貴)を連れ、4係に来る。倉田工(杉本哲太)は、百瀬が殺害されたのは計画的な犯行である可能性が出てきた旨を静香に伝え、百瀬が誰かから恨まれていなかったかを尋ねた。しかし、静香には特に心当たりがなかった。  　一方、高峰は橋本の母・サト(田島令子)が働く小料理屋に、聞き込みに行った。そこで高峰は、橋本が指名手配になる前、山口が何度も橋本のもとを訪ねていたという話をサトから聞く。そして、4係は山口に橋本との関係を事情聴取することになり・・・。</t>
  </si>
  <si>
    <t>1004_CX_火22</t>
  </si>
  <si>
    <t>チーム・バチスタ2</t>
  </si>
  <si>
    <t>番組名チーム・バチスタ2ジェネラル・ルージュの凱旋　#01</t>
  </si>
  <si>
    <t>http://ktv.jp/general/index.htmlあの田口(伊藤淳史)&amp;白鳥(仲村トオル)コンビに天才救命医(西島秀俊)が加わり、再び挑む前代未聞の“救急医療ミステリー"ついに登場!!  累計800万部突破の大ベストセラー「チーム・バチスタの栄光」シリーズ。その中でも、シリーズ最高傑作の呼び声高い「ジェネラル・ルージュの凱旋」。2008年秋放送の「チーム・バチスタの栄光」以上にドラマオリジナルのストーリー&amp;ミステリーを加えます。舞台は、救命救急センター。さまざまな病気を徹底的に究明していく救命医たちの謎解き医療ミステリー。一話完結で展開しつつ、さらに全話を通して“救命医療の現実"を描いていきます。  心療内科医・田口が患者の心と向き合い、白鳥が膨大な知識と情報データで論理分析、そして、速水(西島秀俊)の経験値と判断・実践力とで病因を解明していきます。バチスタシリーズから、さらにパワーアップすることは間違いありません!伊藤淳史　  仲村トオル　  加藤あい　  木下隆行(TKO)　  浅見れいな　  松坂桃李　  足立理　  竹内太郎　    名取裕子　  林隆三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</si>
  <si>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あの田口(伊藤淳史)&amp;白鳥(仲村トオル)コンビに天才救命医(西島秀俊)が加わり、再び挑む前代未聞の“救急医療ミステリー"ついに登場!!  累計800万部突破の大ベストセラー「チーム・バチスタの栄光」シリーズ。その中でも、シリーズ最高傑作の呼び声高い「ジェネラル・ルージュの凱旋」。2008年秋放送の「チーム・バチスタの栄光」以上にドラマオリジナルのストーリー&amp;ミステリーを加えます。舞台は、救命救急センター。さまざまな病気を徹底的に究明していく救命医たちの謎解き医療ミステリー。一話完結で展開しつつ、さらに全話を通して“救命医療の現実"を描いていきます。  心療内科医・田口が患者の心と向き合い、白鳥が膨大な知識と情報データで論理分析、そして、速水(西島秀俊)の経験値と判断・実践力とで病因を解明していきます。バチスタシリーズから、さらにパワーアップすることは間違いありません!</t>
  </si>
  <si>
    <t>番組名チーム・バチスタ2ジェネラル・ルージュの凱旋　#02</t>
  </si>
  <si>
    <t>http://ktv.jp/general/index.html　人気ドラマシリーズの第二弾。救命救急センターに運び込まれてくる患者の謎に迫る前代未聞の救急医療ミステリー。注目の第二話は!!  　ミスコンテストの日本代表を目指す女性が過呼吸で倒れた。救命チームに加わった田口(伊藤淳史)は速水(西島秀俊)らとともに発作の原因を追究。そんな中、コンテストを目前に検査入院でレッスンの中断を余儀なくされた彼女が焦りを募らせ、病室から逃げ出して…。一方、速水とメディカル・アソート社との癒着を疑う白鳥(仲村トオル)の前に、疑惑の鍵を握る男が現れる!伊藤淳史　  仲村トオル　  加藤あい　  木下隆行(TKO)　  浅見れいな　  松坂桃李　  足立理　  竹内太郎　    名取裕子　  林隆三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</si>
  <si>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 xml:space="preserve">　人気ドラマシリーズの第二弾。救命救急センターに運び込まれてくる患者の謎に迫る前代未聞の救急医療ミステリー。注目の第二話は!!  　ミスコンテストの日本代表を目指す女性が過呼吸で倒れた。救命チームに加わった田口(伊藤淳史)は速水(西島秀俊)らとともに発作の原因を追究。そんな中、コンテストを目前に検査入院でレッスンの中断を余儀なくされた彼女が焦りを募らせ、病室から逃げ出して…。一方、速水とメディカル・アソート社との癒着を疑う白鳥(仲村トオル)の前に、疑惑の鍵を握る男が現れる!</t>
  </si>
  <si>
    <t>番組名チーム・バチスタ2ジェネラル・ルージュの凱旋　#03</t>
  </si>
  <si>
    <t>http://ktv.jp/general/index.html　定年を目前に控えた塚田康史(渡辺哲)が、深夜の繁華街で若い男と争った挙句にナイフで刺され、救命センターに搬送されてきた。塚田は事件前後のことを何も覚えておらず、温厚な性格の彼がケンカなどするわけがないと妻も首を傾げる。さらに塚田は、定年を前に気が塞ぐようになり、現場近くの心療内科に通っていたと告白。そして喉が渇いたと水を飲み始める。そんな折、塚田が別人のように豹変し、病室で暴れ出したというのだ。和泉(加藤あい)を突き飛ばし、水差しから水をがぶ飲みすると奇声をあげながら失神してしまう。    　その頃、田口(伊藤淳史)は塚田が通っていた心療内科を訪れ、担当の医師に話を聞いていた。医師は塚田を中高年特有の“ミッドエイジクライシス"と診断し、精神安定剤を処方していたというのだが…。伊藤淳史　  仲村トオル　  加藤あい　  木下隆行(TKO)　  浅見れいな　  松坂桃李　  足立理　  竹内太郎　    名取裕子　  林隆三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</si>
  <si>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 xml:space="preserve">　定年を目前に控えた塚田康史(渡辺哲)が、深夜の繁華街で若い男と争った挙句にナイフで刺され、救命センターに搬送されてきた。塚田は事件前後のことを何も覚えておらず、温厚な性格の彼がケンカなどするわけがないと妻も首を傾げる。さらに塚田は、定年を前に気が塞ぐようになり、現場近くの心療内科に通っていたと告白。そして喉が渇いたと水を飲み始める。そんな折、塚田が別人のように豹変し、病室で暴れ出したというのだ。和泉(加藤あい)を突き飛ばし、水差しから水をがぶ飲みすると奇声をあげながら失神してしまう。    　その頃、田口(伊藤淳史)は塚田が通っていた心療内科を訪れ、担当の医師に話を聞いていた。医師は塚田を中高年特有の“ミッドエイジクライシス"と診断し、精神安定剤を処方していたというのだが…。</t>
  </si>
  <si>
    <t>番組名チーム・バチスタ2ジェネラル・ルージュの凱旋　#04</t>
  </si>
  <si>
    <t>http://ktv.jp/general/index.html　フリージャーナリスト・目黒(嶋田久作)の容態が急変し、心停止に陥った。原因は心臓の血管の一部が詰まったことによる心筋梗塞。退院も近いと聞かされていた妻の光子(広田レオナ)は、回復していたはずの夫の体に何が起こったのかと取り乱す。  　速水(西島秀俊)は血管が詰まった箇所をカテーテルで拡げる治療を試みようとするが、カテーテル室に空きがなく、十分な設備のない初療室で治療を行うと言い出す。　まもなく、速水の無謀な決断を知った田口(伊藤淳史)と白鳥(仲村トオル)はリスクが高すぎると意見するが、速水は聞く耳を持たない。  　そんな折、白鳥は、初療室の様子をうかがう佐々木(堀部圭亮)を見かける。収賄関係を目黒に知られた2人が、口封じのためにわざと失敗の可能性が高い治療を強行し、目黒を殺そうとしているのではないか、と。白鳥の疑念を聞かされた田口は言葉を失い…。伊藤淳史　  仲村トオル　  加藤あい　  木下隆行(TKO)　  浅見れいな　  松坂桃李　  足立理　  竹内太郎　    名取裕子　  林隆三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</si>
  <si>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 xml:space="preserve">　フリージャーナリスト・目黒(嶋田久作)の容態が急変し、心停止に陥った。原因は心臓の血管の一部が詰まったことによる心筋梗塞。退院も近いと聞かされていた妻の光子(広田レオナ)は、回復していたはずの夫の体に何が起こったのかと取り乱す。  　速水(西島秀俊)は血管が詰まった箇所をカテーテルで拡げる治療を試みようとするが、カテーテル室に空きがなく、十分な設備のない初療室で治療を行うと言い出す。　まもなく、速水の無謀な決断を知った田口(伊藤淳史)と白鳥(仲村トオル)はリスクが高すぎると意見するが、速水は聞く耳を持たない。  　そんな折、白鳥は、初療室の様子をうかがう佐々木(堀部圭亮)を見かける。収賄関係を目黒に知られた2人が、口封じのためにわざと失敗の可能性が高い治療を強行し、目黒を殺そうとしているのではないか、と。白鳥の疑念を聞かされた田口は言葉を失い…。</t>
  </si>
  <si>
    <t>番組名チーム・バチスタ2ジェネラル・ルージュの凱旋　#05</t>
  </si>
  <si>
    <t>http://ktv.jp/general/index.html　一カ月後に全国ツアーを控えた人気歌手の真山香苗(岩田さゆり)が倒れた。速水(西島秀俊)ら救命チームは抗生剤による治療を始めるが、母親でマネージャーのみどり(森口瑤子)は香苗を一日も早く退院させたいと無理を言い、田口(伊藤淳史)の手を焼かせる。　そんな折、香苗の体に発疹が現れた。速水らは抗生剤によるアレルギー反応があると判断し、投与する薬を変更。ところが、ほどなくして香苗の肺炎は急激に悪化。炎症が肺の隅々まで広がり、抗生剤がまったく効かない予想外の事態に救命チームはがく然となる。伊藤淳史　  仲村トオル　  加藤あい　  木下隆行(TKO)　  浅見れいな　  松坂桃李　  足立理　  竹内太郎　  名取裕子　  林隆三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</si>
  <si>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 xml:space="preserve">　一カ月後に全国ツアーを控えた人気歌手の真山香苗(岩田さゆり)が倒れた。速水(西島秀俊)ら救命チームは抗生剤による治療を始めるが、母親でマネージャーのみどり(森口瑤子)は香苗を一日も早く退院させたいと無理を言い、田口(伊藤淳史)の手を焼かせる。　そんな折、香苗の体に発疹が現れた。速水らは抗生剤によるアレルギー反応があると判断し、投与する薬を変更。ところが、ほどなくして香苗の肺炎は急激に悪化。炎症が肺の隅々まで広がり、抗生剤がまったく効かない予想外の事態に救命チームはがく然となる。</t>
  </si>
  <si>
    <t>番組名チーム・バチスタ2ジェネラル・ルージュの凱旋　#06</t>
  </si>
  <si>
    <t>http://ktv.jp/general/index.html　メディカル・アソート社が進める大規模医療施設の建設計画に速水(西島秀俊)が関与していることを知った白鳥(仲村トオル)と田口(伊藤淳史)。  　そんな中、かつて速水が瀕死の重傷から命を救った少年が、倒れた母親を助けて欲しいと速水を頼ってきた。自分のことを覚えているかとたずねる少年を「記憶にない」と速水がそっけなく突き放すと、ケガの影響で障害が残り、車いす生活を余儀なくされる少年は「死なせてくれればよかった」と速水に襲いかかる。その直後、突然謎の発作を起こし…。伊藤淳史　  仲村トオル　  加藤あい　  木下隆行(TKO)　  浅見れいな　  松坂桃李　  足立理　  竹内太郎　    名取裕子　  林隆三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</si>
  <si>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 xml:space="preserve">　メディカル・アソート社が進める大規模医療施設の建設計画に速水(西島秀俊)が関与していることを知った白鳥(仲村トオル)と田口(伊藤淳史)。  　そんな中、かつて速水が瀕死の重傷から命を救った少年が、倒れた母親を助けて欲しいと速水を頼ってきた。自分のことを覚えているかとたずねる少年を「記憶にない」と速水がそっけなく突き放すと、ケガの影響で障害が残り、車いす生活を余儀なくされる少年は「死なせてくれればよかった」と速水に襲いかかる。その直後、突然謎の発作を起こし…。</t>
  </si>
  <si>
    <t>番組名チーム・バチスタ2ジェネラル・ルージュの凱旋　#07</t>
  </si>
  <si>
    <t>http://ktv.jp/general/index.html　ホストの鈴木浩(八神蓮)が接客中に意識を失った。急性アルコール中毒と診断されたが、付き添ってきた客の下村理沙子(末永遥)は、酔い潰れるほど酒は飲んでいなかったはずだと不審がる。  　同じ頃、寺内昭三(でんでん)という老人がタクシー代わりに救急車を呼びつけ、ただの腰痛にも関わらず鴨志田(本田博太郎)の名前をちらつかせてICUに入院させろと要求。白鳥(仲村トオル)は、寺内と鴨志田の関係に興味を抱く。　そんな折、事務長の三船(利重剛)が、速水(西島秀俊)の不正を暴く証拠は見つかったのかと白鳥に声をかけてきた。三船は、速水の排除を目論んでいたからだ。  　翌日、鈴木は順調に回復し、理沙子に付き添われて退院。ところが、自宅マンションに戻ると突然錯乱状態に陥り、理沙子の制止を振り切ってベランダから飛び降りようと暴れ出し…。伊藤淳史　  仲村トオル　  加藤あい　  木下隆行(TKO)　  浅見れいな　  松坂桃李　  足立理　  竹内太郎　  名取裕子　  林隆三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</si>
  <si>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 xml:space="preserve">　ホストの鈴木浩(八神蓮)が接客中に意識を失った。急性アルコール中毒と診断されたが、付き添ってきた客の下村理沙子(末永遥)は、酔い潰れるほど酒は飲んでいなかったはずだと不審がる。  　同じ頃、寺内昭三(でんでん)という老人がタクシー代わりに救急車を呼びつけ、ただの腰痛にも関わらず鴨志田(本田博太郎)の名前をちらつかせてICUに入院させろと要求。白鳥(仲村トオル)は、寺内と鴨志田の関係に興味を抱く。　そんな折、事務長の三船(利重剛)が、速水(西島秀俊)の不正を暴く証拠は見つかったのかと白鳥に声をかけてきた。三船は、速水の排除を目論んでいたからだ。  　翌日、鈴木は順調に回復し、理沙子に付き添われて退院。ところが、自宅マンションに戻ると突然錯乱状態に陥り、理沙子の制止を振り切ってベランダから飛び降りようと暴れ出し…。</t>
  </si>
  <si>
    <t>番組名チーム・バチスタ2ジェネラル・ルージュの凱旋　#08</t>
  </si>
  <si>
    <t>http://ktv.jp/general/index.html　田口(伊藤淳史)の提案で倫理委員会が招集され、速水(西島秀俊)の収賄疑惑が追及されることに。和泉(加藤あい)は怪文書を書いたのは自分だったことを田口に告白。処分したはずの怪文書が、なぜ事務長の三船(利重剛)に渡っていたのかわからないと狼狽し、委員会で速水を守って欲しいと田口に頼む。  　そんな折、ICUに入院中の寺内(でんでん)が末期ガンに冒されていたとわかった。絶縁していた娘が病院に駆けつけるが、寺内は面会を拒否。だが娘が息子を生んでいたと知り、初めて見る孫にようやく心を開き始める。  　いよいよ倫理委員会が始まった。田口、白鳥(仲村トオル)、三船や心臓血管外科の黒崎教授(榎木孝明)ら錚々たる面々が顔をそろえる中、速水がメディカル・アソート社から賄賂を受けていた事実を平然と認め、一同を騒然とさせる。伊藤淳史　  仲村トオル　  加藤あい　  木下隆行(TKO)　  浅見れいな　  松坂桃李　  足立理　  竹内太郎　  名取裕子　  林隆三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</si>
  <si>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 xml:space="preserve">　田口(伊藤淳史)の提案で倫理委員会が招集され、速水(西島秀俊)の収賄疑惑が追及されることに。和泉(加藤あい)は怪文書を書いたのは自分だったことを田口に告白。処分したはずの怪文書が、なぜ事務長の三船(利重剛)に渡っていたのかわからないと狼狽し、委員会で速水を守って欲しいと田口に頼む。  　そんな折、ICUに入院中の寺内(でんでん)が末期ガンに冒されていたとわかった。絶縁していた娘が病院に駆けつけるが、寺内は面会を拒否。だが娘が息子を生んでいたと知り、初めて見る孫にようやく心を開き始める。  　いよいよ倫理委員会が始まった。田口、白鳥(仲村トオル)、三船や心臓血管外科の黒崎教授(榎木孝明)ら錚々たる面々が顔をそろえる中、速水がメディカル・アソート社から賄賂を受けていた事実を平然と認め、一同を騒然とさせる。</t>
  </si>
  <si>
    <t>番組名チーム・バチスタ2ジェネラル・ルージュの凱旋　#09</t>
  </si>
  <si>
    <t>http://ktv.jp/general/index.html　田口(伊藤淳史)と白鳥(仲村トオル)が発見したとき、すでに呼吸停止状態だった寺内(でんでん)は、佐藤(木下隆行)らの懸命な救命処置も空しく息を引き取った。病状が急激に悪化したことに疑問を呈する白鳥。そんな中、点滴に不審な点が見つかる。  　「チームの誰かが注入量を間違った」と医療ミスを指摘する白鳥に救命チームは騒然。お互いに疑惑を向ける犯人捜しが始まり、チームは殺伐とした空気に包まれる。　一方、白鳥は誰かが故意に注入量を操作した“殺人"の可能性もあると田口に漏らす。　寺内が死ぬ前に伝えようとしたことは何だったのか?それが今回の死と関係があるのか?真相究明に動き出そうとした矢先、寺内の娘・裕美子(渋谷琴乃)が遺体を返せと騒ぎ出し…。伊藤淳史　  仲村トオル　  加藤あい　  木下隆行(TKO)　  浅見れいな　  松坂桃李　  足立理　  竹内太郎  　・　  名取裕子　  林隆三  　・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</si>
  <si>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 xml:space="preserve">　田口(伊藤淳史)と白鳥(仲村トオル)が発見したとき、すでに呼吸停止状態だった寺内(でんでん)は、佐藤(木下隆行)らの懸命な救命処置も空しく息を引き取った。病状が急激に悪化したことに疑問を呈する白鳥。そんな中、点滴に不審な点が見つかる。  　「チームの誰かが注入量を間違った」と医療ミスを指摘する白鳥に救命チームは騒然。お互いに疑惑を向ける犯人捜しが始まり、チームは殺伐とした空気に包まれる。　一方、白鳥は誰かが故意に注入量を操作した“殺人"の可能性もあると田口に漏らす。　寺内が死ぬ前に伝えようとしたことは何だったのか?それが今回の死と関係があるのか?真相究明に動き出そうとした矢先、寺内の娘・裕美子(渋谷琴乃)が遺体を返せと騒ぎ出し…。</t>
  </si>
  <si>
    <t>番組名チーム・バチスタ2ジェネラル・ルージュの凱旋　#10</t>
  </si>
  <si>
    <t>http://ktv.jp/general/index.html　寺内(でんでん)は医療ミスに見せかけて殺されていたことが発覚。警察の捜査に介入した白鳥(仲村トオル)は、医学の知識がある者の犯行とにらみ、救命チームのメンバーに容疑を向ける。  事情聴取の結果、長谷川(戸次重幸)に犯行時間のアリバイがないことが判明。さらに、速水(西島秀俊)は花房(白石美帆)と一緒にいたと主張するが、それを証明する手立てがない。そんな中、白鳥は外部の人間にも怪しい者がいることを田口(伊藤淳史)に明かす。事件当時、佐々木(堀部圭亮)が病院を訪れていたのだ。  寺内が鴨志田(本田博太郎)の秘密を打ち明けようとした矢先に殺されていたことから、白鳥は鴨志田と繋がりのある佐々木に疑惑を。そんな折、白鳥の追及を受けた長谷川から意外な目撃証言が飛び出す。伊藤淳史　  仲村トオル　  加藤あい　  木下隆行(TKO)　  浅見れいな　  松坂桃李　  足立理　  竹内太郎  　・　  名取裕子　  林隆三  　・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</si>
  <si>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 xml:space="preserve">　寺内(でんでん)は医療ミスに見せかけて殺されていたことが発覚。警察の捜査に介入した白鳥(仲村トオル)は、医学の知識がある者の犯行とにらみ、救命チームのメンバーに容疑を向ける。  事情聴取の結果、長谷川(戸次重幸)に犯行時間のアリバイがないことが判明。さらに、速水(西島秀俊)は花房(白石美帆)と一緒にいたと主張するが、それを証明する手立てがない。そんな中、白鳥は外部の人間にも怪しい者がいることを田口(伊藤淳史)に明かす。事件当時、佐々木(堀部圭亮)が病院を訪れていたのだ。  寺内が鴨志田(本田博太郎)の秘密を打ち明けようとした矢先に殺されていたことから、白鳥は鴨志田と繋がりのある佐々木に疑惑を。そんな折、白鳥の追及を受けた長谷川から意外な目撃証言が飛び出す。</t>
  </si>
  <si>
    <t>番組名チーム・バチスタ2ジェネラル・ルージュの凱旋　#11</t>
  </si>
  <si>
    <t>http://ktv.jp/general/index.html　意識不明で東城医大に搬送された速水(西島秀俊)と佐々木(堀部圭亮)。速水は意識を取り戻したが、ナイフで胸を刺されていた佐々木は死亡していた。白鳥(仲村トオル)は速水を問い詰めるが、速水は佐々木が殺されたときのことを何も覚えていないと話す。　まもなく速水が「佐々木を殺したのは俺かもしれない」と田口(伊藤淳史)らに漏らし、けいれんを起こして意識を失うなど異常な症状を示し始めた。気を揉む佐藤(木下隆行)らに、白鳥は速水が佐々木と寺内(でんでん)を殺した可能性があると告げる。だが、真相はほかにあるとにらむ白鳥と田口は独自の調査に乗り出す。伊藤淳史　  仲村トオル　  加藤あい　  木下隆行(TKO)　  浅見れいな　  松坂桃李　  足立理　  竹内太郎  　・　  名取裕子　  林隆三  　・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</si>
  <si>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 xml:space="preserve">　意識不明で東城医大に搬送された速水(西島秀俊)と佐々木(堀部圭亮)。速水は意識を取り戻したが、ナイフで胸を刺されていた佐々木は死亡していた。白鳥(仲村トオル)は速水を問い詰めるが、速水は佐々木が殺されたときのことを何も覚えていないと話す。　まもなく速水が「佐々木を殺したのは俺かもしれない」と田口(伊藤淳史)らに漏らし、けいれんを起こして意識を失うなど異常な症状を示し始めた。気を揉む佐藤(木下隆行)らに、白鳥は速水が佐々木と寺内(でんでん)を殺した可能性があると告げる。だが、真相はほかにあるとにらむ白鳥と田口は独自の調査に乗り出す。</t>
  </si>
  <si>
    <t>番組名チーム・バチスタ2ジェネラル・ルージュの凱旋　#12</t>
  </si>
  <si>
    <t>http://ktv.jp/general/index.html　速水(西島秀俊)は心筋の炎症によって心機能が急激に低下し、心不全に陥っていた。悪性リンパ腫が心臓まで蝕み始めているとみた佐藤(木下隆行)らは、手の施しようがないとがく然となる。  　一方、佐々木(堀部圭亮)が殺された事件の真相を追う白鳥(仲村トオル)と田口(伊藤淳史)は、自分が犯人だと主張する速水が誰かを庇っているとにらむ。　花房(白石美帆)に疑惑を向けた白鳥は、田口とともに事件現場を調べ、意外な事実を知る。  　翌日、白鳥と田口は花房を連れて再び現場へ。白鳥の追及に激しい動揺をみせた花房は、事件の夜、現場にいたことをついに認める。だが、佐々木を殺したのは自分ではないと訴え、現場を訪ねた理由を打ち明ける。伊藤淳史　  仲村トオル　  加藤あい　  木下隆行(TKO)　  浅見れいな　  松坂桃李　  足立理　  竹内太郎  　・　  名取裕子　  林隆三  　・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</si>
  <si>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 xml:space="preserve">　速水(西島秀俊)は心筋の炎症によって心機能が急激に低下し、心不全に陥っていた。悪性リンパ腫が心臓まで蝕み始めているとみた佐藤(木下隆行)らは、手の施しようがないとがく然となる。  　一方、佐々木(堀部圭亮)が殺された事件の真相を追う白鳥(仲村トオル)と田口(伊藤淳史)は、自分が犯人だと主張する速水が誰かを庇っているとにらむ。　花房(白石美帆)に疑惑を向けた白鳥は、田口とともに事件現場を調べ、意外な事実を知る。  　翌日、白鳥と田口は花房を連れて再び現場へ。白鳥の追及に激しい動揺をみせた花房は、事件の夜、現場にいたことをついに認める。だが、佐々木を殺したのは自分ではないと訴え、現場を訪ねた理由を打ち明ける。</t>
  </si>
  <si>
    <t>1004_CX_木22</t>
  </si>
  <si>
    <t>素直になれなくて</t>
  </si>
  <si>
    <t>番組名&lt;木曜劇場&gt;素直になれなくて　#01</t>
  </si>
  <si>
    <t>駆け出しカメラマンのナカジこと中島圭介(瑛太)と、高校の非常勤講師・ハルこと水野月子(上野樹里)は、ツイッターを通して知り合った。ナカジに好感を抱いていたハルは、ある時、初めて彼に会う機会を得る。何人かのフォロワーとともに、渋谷で会うことになったのだ。高校時代からの親友・西村光(関めぐみ)とともに約束の店を訪れたハルは、そこでドクターこと韓国出身の医師パク・ソンス(ジェジュン)、雑誌編集者のリンダこと市原薫(玉山鉄二)と出会う。ほどなく、店にナカジがやってくる。その顔を見たハルは驚いた。昼間、カフェでハルがコーヒーを倒し、ズボンを汚してしまった相手がナカジだったのだ。その際、ハルは慌ててズボンを拭こうとして、ナカジからチカン呼ばわりされていた。何となく盛り上がれないでいたナカジ、ハルは、2次会に行くというドクターたちと別れて帰路につく。が、実はふたりは同じ駅を利用する近所同士だった。電車を降りたハルは、ナカジと別れてコンビニに立ち寄る。ナカジは、ハルを家まで送り届けるため、外で待っていた。ハルは、そんなナカジに、チカン呼ばわりしたことを謝ってほしいと言い出す。さらにハルは、ズボンをクリーニングして返す、と言ってナカジの持っていた紙袋を取ろうとした。だが、引っ張り合いになった拍子に転んでしまい、足を擦りむいてしまうハル。ナカジは、ハルをアパートに連れて行き、手当てをするが…。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</si>
  <si>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駆け出しカメラマンのナカジこと中島圭介(瑛太)と、高校の非常勤講師・ハルこと水野月子(上野樹里)は、ツイッターを通して知り合った。ナカジに好感を抱いていたハルは、ある時、初めて彼に会う機会を得る。何人かのフォロワーとともに、渋谷で会うことになったのだ。高校時代からの親友・西村光(関めぐみ)とともに約束の店を訪れたハルは、そこでドクターこと韓国出身の医師パク・ソンス(ジェジュン)、雑誌編集者のリンダこと市原薫(玉山鉄二)と出会う。ほどなく、店にナカジがやってくる。その顔を見たハルは驚いた。昼間、カフェでハルがコーヒーを倒し、ズボンを汚してしまった相手がナカジだったのだ。その際、ハルは慌ててズボンを拭こうとして、ナカジからチカン呼ばわりされていた。何となく盛り上がれないでいたナカジ、ハルは、2次会に行くというドクターたちと別れて帰路につく。が、実はふたりは同じ駅を利用する近所同士だった。電車を降りたハルは、ナカジと別れてコンビニに立ち寄る。ナカジは、ハルを家まで送り届けるため、外で待っていた。ハルは、そんなナカジに、チカン呼ばわりしたことを謝ってほしいと言い出す。さらにハルは、ズボンをクリーニングして返す、と言ってナカジの持っていた紙袋を取ろうとした。だが、引っ張り合いになった拍子に転んでしまい、足を擦りむいてしまうハル。ナカジは、ハルをアパートに連れて行き、手当てをするが…。</t>
  </si>
  <si>
    <t>番組名&lt;木曜劇場&gt;素直になれなくて　#02</t>
  </si>
  <si>
    <t>コーヒーをこぼしてしまったナカジ(瑛太)のズボンをクリーニングしたハル(上野樹里)は、それを持って彼の部屋を訪ねた。が、ドアを開けて出てきたのはナカジの恋人・桐子(井川遥)だった。同じころ、光(関めぐみ)は不倫相手の矢野(勝村政信)に会い、妊娠したかもしれないと伝えていた。しかし矢野は、本当に俺の子なのか、などと冷たい反応だった。その夜、ハルは、近所のコンビニでナカジに出会う。ハルは、電話もしないで突然部屋を訪ねてしまったことをナカジに詫びた。そんなハルに、ナカジは、プリントした写真を手渡す。それは、ふたりが最初に出会ったとき、ナカジが撮影したハルの写真だった。そんな折、思わぬ事件が起きる。『ピーち』というアカウントでツイッターに参加した光が、自殺を予告して手首を切ったのだ。それに気づいたナカジやハル、ドクター(ジェジュン)らは互いに連絡を取り合い、リンダ(玉山鉄二)の知り合いがいる病院に彼女を運んだが…。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</si>
  <si>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コーヒーをこぼしてしまったナカジ(瑛太)のズボンをクリーニングしたハル(上野樹里)は、それを持って彼の部屋を訪ねた。が、ドアを開けて出てきたのはナカジの恋人・桐子(井川遥)だった。同じころ、光(関めぐみ)は不倫相手の矢野(勝村政信)に会い、妊娠したかもしれないと伝えていた。しかし矢野は、本当に俺の子なのか、などと冷たい反応だった。その夜、ハルは、近所のコンビニでナカジに出会う。ハルは、電話もしないで突然部屋を訪ねてしまったことをナカジに詫びた。そんなハルに、ナカジは、プリントした写真を手渡す。それは、ふたりが最初に出会ったとき、ナカジが撮影したハルの写真だった。そんな折、思わぬ事件が起きる。『ピーち』というアカウントでツイッターに参加した光が、自殺を予告して手首を切ったのだ。それに気づいたナカジやハル、ドクター(ジェジュン)らは互いに連絡を取り合い、リンダ(玉山鉄二)の知り合いがいる病院に彼女を運んだが…。</t>
  </si>
  <si>
    <t>番組名&lt;木曜劇場&gt;素直になれなくて　#03</t>
  </si>
  <si>
    <t>酒に酔ったまま帰路についたハル(上野樹里)は、駅でナカジ(瑛太)に出会う。ハルに内緒でナカジがセッティングした、ドクター(ジェジュン)とのデートの帰りだった。ハルは、反対側のホームにいたナカジに向かって大嫌いだと叫ぶと、その場にしゃがみ込んで、本当はナカジが好きなのに、とつぶやく。同じころ、リンダ(玉山鉄二)は、奥田編集長(渡辺えり)の自宅マンションを訪れていた。奥田は、自分の雑誌でナカジを使ってもいい、などと言ってリンダを呼んだのだ。室内に入るなり奥田に抱きつかれたリンダは、覚悟を決めて彼女をベッドに押し倒した。一方、不倫相手の子を身ごもってしまったピーち(関めぐみ)は、産婦人科を訪れる。だが、医師からお腹の子のエコー画像を見せられたピーちは、中絶をためらう。そんなある夜、ナカジのアパートに桐子(井川遥)がやってくる。眠っているナカジの姿を見つめていた桐子は、ナカジの携帯電話にハルからのメールが届いていることに気づき…。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</si>
  <si>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酒に酔ったまま帰路についたハル(上野樹里)は、駅でナカジ(瑛太)に出会う。ハルに内緒でナカジがセッティングした、ドクター(ジェジュン)とのデートの帰りだった。ハルは、反対側のホームにいたナカジに向かって大嫌いだと叫ぶと、その場にしゃがみ込んで、本当はナカジが好きなのに、とつぶやく。同じころ、リンダ(玉山鉄二)は、奥田編集長(渡辺えり)の自宅マンションを訪れていた。奥田は、自分の雑誌でナカジを使ってもいい、などと言ってリンダを呼んだのだ。室内に入るなり奥田に抱きつかれたリンダは、覚悟を決めて彼女をベッドに押し倒した。一方、不倫相手の子を身ごもってしまったピーち(関めぐみ)は、産婦人科を訪れる。だが、医師からお腹の子のエコー画像を見せられたピーちは、中絶をためらう。そんなある夜、ナカジのアパートに桐子(井川遥)がやってくる。眠っているナカジの姿を見つめていた桐子は、ナカジの携帯電話にハルからのメールが届いていることに気づき…。</t>
  </si>
  <si>
    <t>番組名&lt;木曜劇場&gt;素直になれなくて　#04</t>
  </si>
  <si>
    <t>ナカジ(瑛太)と口論になったハル(上野樹里)は、雨の中、傘も差さずに自宅に戻る。するとハルの家の近くに、ドクター(ジェジュン)の姿があった。思わずドクターに抱きついてしまうハル。ドクターは、そんなハルを抱きしめ、好きだと告白する。  　そんな折、リンダ(玉山鉄二)から、スナナレ会のメンバーに飲み会の誘いが入る。ドクターが、リンダの父・泰敏(山田明郷)が経営する病院に医療機器を納入する契約をまとめたから、おごってくれるのだという。ナカジやハルたちは、いつもの店『ザ・エモーション』に集まった。  　その席でピーち(関めぐみ)は、妊娠したことを皆に告白し、シングルマザーになると宣言する。ナカジたちは、ピーちに協力を申し出る一方で、一番大切なのはピーちの人生なのだからよく考えた方がいいとアドバイスした。やがてドクターたちは店内にあるゲームを始める。とり残されてしまったナカジとハルは、気まずいままだった。2人の様子がおかしいことに気づいたドクターは、ハルを泣かせた相手がナカジだと知り、彼に噛みついた。ハルが大事な人を傷つけたから許せなかった、とドクターに返すナカジ。ハルがそれを否定すると、ドクターは、何故信じてあげないのか、とナカジに掴みかかり…。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</si>
  <si>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ナカジ(瑛太)と口論になったハル(上野樹里)は、雨の中、傘も差さずに自宅に戻る。するとハルの家の近くに、ドクター(ジェジュン)の姿があった。思わずドクターに抱きついてしまうハル。ドクターは、そんなハルを抱きしめ、好きだと告白する。  　そんな折、リンダ(玉山鉄二)から、スナナレ会のメンバーに飲み会の誘いが入る。ドクターが、リンダの父・泰敏(山田明郷)が経営する病院に医療機器を納入する契約をまとめたから、おごってくれるのだという。ナカジやハルたちは、いつもの店『ザ・エモーション』に集まった。  　その席でピーち(関めぐみ)は、妊娠したことを皆に告白し、シングルマザーになると宣言する。ナカジたちは、ピーちに協力を申し出る一方で、一番大切なのはピーちの人生なのだからよく考えた方がいいとアドバイスした。やがてドクターたちは店内にあるゲームを始める。とり残されてしまったナカジとハルは、気まずいままだった。2人の様子がおかしいことに気づいたドクターは、ハルを泣かせた相手がナカジだと知り、彼に噛みついた。ハルが大事な人を傷つけたから許せなかった、とドクターに返すナカジ。ハルがそれを否定すると、ドクターは、何故信じてあげないのか、とナカジに掴みかかり…。</t>
  </si>
  <si>
    <t>番組名&lt;木曜劇場&gt;素直になれなくて　#05</t>
  </si>
  <si>
    <t>ハル(上野樹里)に公開告白をして失恋したドクター(ジェジュン)。リンダ(玉山鉄二)とピーち(関めぐみ)はドクターと共にエモーションに残り、やけ酒に付き合う。先に店を後にしたナカジ(瑛太)とハルが歩いている姿を、ナカジの部屋にいた恋人・桐子(井川遥)が、窓から嫉妬のまなざしで見つめていた。その夜、ナカジの父(吉川晃司)が倒れたと連絡が入り、ナカジは病院にかけつける。ある日、ドクターはナカジの部屋を訪ねて、ハルをあきらめないと話しにくる。  　一方リンダは、ナカジの写真を使ってもらう為に、編集長・奥田(渡辺えり)へお願いをすると、ナカジと「面接」がしたいと言われる。リンダは、「面接」の為に、自分が奥田の部屋に行くと話す。瑛太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</si>
  <si>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ハル(上野樹里)に公開告白をして失恋したドクター(ジェジュン)。リンダ(玉山鉄二)とピーち(関めぐみ)はドクターと共にエモーションに残り、やけ酒に付き合う。先に店を後にしたナカジ(瑛太)とハルが歩いている姿を、ナカジの部屋にいた恋人・桐子(井川遥)が、窓から嫉妬のまなざしで見つめていた。その夜、ナカジの父(吉川晃司)が倒れたと連絡が入り、ナカジは病院にかけつける。ある日、ドクターはナカジの部屋を訪ねて、ハルをあきらめないと話しにくる。  　一方リンダは、ナカジの写真を使ってもらう為に、編集長・奥田(渡辺えり)へお願いをすると、ナカジと「面接」がしたいと言われる。リンダは、「面接」の為に、自分が奥田の部屋に行くと話す。</t>
  </si>
  <si>
    <t>番組名&lt;木曜劇場&gt;素直になれなくて　#06</t>
  </si>
  <si>
    <t>ナカジ(瑛太)はリンダ(玉山鉄二)が体を張り、編集長・奥田(渡辺えり)の部屋を訪れる「面接」が成功し、連載が決まった。それをきっかけにナカジは桐子(井川遥)へプレゼントを贈ろうと決める。ハル(上野樹里)は、学校の生徒・松島(阪本奨悟)たちに襲われ心身共に疲れ切っていたが、母親に心配をかけまいと学校は休まず通うことを決める。そして、ハルは、自分を助けてくれたドクター(ジェジュン)の優しさに応え、付き合うことを決める。念願かなったドクターだったが、どこかでハルの自分に対する気持ちに自信が持てないでいた。ある日、ナカジは仕事の途中、ピーち(関めぐみ)の店へ顔を出すと、ちょうどハルがナカジに連絡をしてきた。ハルの様子がおかしいことに気がついたナカジは、すぐにハルのもとへかけつけて・・・?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</si>
  <si>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ナカジ(瑛太)はリンダ(玉山鉄二)が体を張り、編集長・奥田(渡辺えり)の部屋を訪れる「面接」が成功し、連載が決まった。それをきっかけにナカジは桐子(井川遥)へプレゼントを贈ろうと決める。ハル(上野樹里)は、学校の生徒・松島(阪本奨悟)たちに襲われ心身共に疲れ切っていたが、母親に心配をかけまいと学校は休まず通うことを決める。そして、ハルは、自分を助けてくれたドクター(ジェジュン)の優しさに応え、付き合うことを決める。念願かなったドクターだったが、どこかでハルの自分に対する気持ちに自信が持てないでいた。ある日、ナカジは仕事の途中、ピーち(関めぐみ)の店へ顔を出すと、ちょうどハルがナカジに連絡をしてきた。ハルの様子がおかしいことに気がついたナカジは、すぐにハルのもとへかけつけて・・・?</t>
  </si>
  <si>
    <t>番組名&lt;木曜劇場&gt;素直になれなくて　#07</t>
  </si>
  <si>
    <t>リンダ(玉山鉄二)の雑誌で連載が決まったナカジ(瑛太)だったが、桐子(井川遥)に別れを告げられたショックから、リンダから新たに有名カメラマンのアシスタントの仕事を持ちかけられるも、その気になれないでいた。ドクター(ジェジュン)は、ナカジとハル(上野樹里)が一緒にいるところを目撃し、携帯電話で2人の写真を撮っていた妹のミンハ(木南晴夏)から、ハルがデートをしていたと写真を見せられる。一方ハルは、校長から、松島(阪本奨悟)から襲われた事件後も休まずに学校に通っている事で根性があると認められて、別の私立高校で専任教諭の試験を受けてみないかと言われる。  　ある日、リンダの呼びかけで、ナカジの連載決定祝いのスナナレ会が開かれた。ハルは試験勉強の為、先に店を後にする。ドクターは、店に残ったナカジ、リンダ、ピーち(関めぐみ)にハルと「大人の関係」になったと嘘をついて・・・?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</si>
  <si>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リンダ(玉山鉄二)の雑誌で連載が決まったナカジ(瑛太)だったが、桐子(井川遥)に別れを告げられたショックから、リンダから新たに有名カメラマンのアシスタントの仕事を持ちかけられるも、その気になれないでいた。ドクター(ジェジュン)は、ナカジとハル(上野樹里)が一緒にいるところを目撃し、携帯電話で2人の写真を撮っていた妹のミンハ(木南晴夏)から、ハルがデートをしていたと写真を見せられる。一方ハルは、校長から、松島(阪本奨悟)から襲われた事件後も休まずに学校に通っている事で根性があると認められて、別の私立高校で専任教諭の試験を受けてみないかと言われる。  　ある日、リンダの呼びかけで、ナカジの連載決定祝いのスナナレ会が開かれた。ハルは試験勉強の為、先に店を後にする。ドクターは、店に残ったナカジ、リンダ、ピーち(関めぐみ)にハルと「大人の関係」になったと嘘をついて・・・?</t>
  </si>
  <si>
    <t>番組名&lt;木曜劇場&gt;素直になれなくて　#08</t>
  </si>
  <si>
    <t>ナカジ(瑛太)の部屋で一晩を過ごしたことが、ハル(上野樹里)に知られてしまったピーち(関めぐみ)は、ハルの家に話をしに来る。一方ハルは、デートの帰りに家まで送ってくれたドクター(ジェジュン)に、自分をもっと知ってもらおうと自宅へ招く。  　ある日、ナカジが父・亮介(吉川晃司)の様子を見ようと家を訪ねると、同じく亮介を訪ねてきたハルの母・祥子(風吹ジュン)と鉢合わせた。リンダ(玉山鉄二)は、編集長の奥田(渡辺えり)と共にナカジを編集部に呼び、新たに写真の仕事を持ちかけるが、ナカジは打ち合わせのふとした出来事から、リンダに奥田との関係について尋ねる。  　ある日、ナカジは、ピーちから別れた不倫相手の男性とのことで泣きながら電話があり、会って話を聞くが・・・?瑛太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</si>
  <si>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ナカジ(瑛太)の部屋で一晩を過ごしたことが、ハル(上野樹里)に知られてしまったピーち(関めぐみ)は、ハルの家に話をしに来る。一方ハルは、デートの帰りに家まで送ってくれたドクター(ジェジュン)に、自分をもっと知ってもらおうと自宅へ招く。  　ある日、ナカジが父・亮介(吉川晃司)の様子を見ようと家を訪ねると、同じく亮介を訪ねてきたハルの母・祥子(風吹ジュン)と鉢合わせた。リンダ(玉山鉄二)は、編集長の奥田(渡辺えり)と共にナカジを編集部に呼び、新たに写真の仕事を持ちかけるが、ナカジは打ち合わせのふとした出来事から、リンダに奥田との関係について尋ねる。  　ある日、ナカジは、ピーちから別れた不倫相手の男性とのことで泣きながら電話があり、会って話を聞くが・・・?</t>
  </si>
  <si>
    <t>番組名&lt;木曜劇場&gt;素直になれなくて　#09</t>
  </si>
  <si>
    <t>ナカジ(瑛太)は、父・亮介(吉川晃司)が肺ガンだと知り、ショックを隠しきれない。  　亮介は、息子が最近カメラマンとして歩み始めたことで、もう一度写真を撮りたいと刺激を受けて、祥子(風吹ジュン)をモデルに写真を撮る。ドクター(ジェジュン)は、ハル(上野樹里)に指輪を贈るためにアルバイトを始めた。ある日、ドクターの元に韓国の母親から、父親が倒れたと手紙が届き、韓国へ戻らなくてはならなくなる。ドクターはハルにプロポーズをして、一緒に韓国に来てもらいたいと話す。一方、落ち込んでいるリンダ(玉山鉄二)を励ますため、ピーち(関めぐみ)の提案で、5人で海へ行くことに。ドクターは、みんなに日本で過ごす最後の夏になると話す。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</si>
  <si>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ナカジ(瑛太)は、父・亮介(吉川晃司)が肺ガンだと知り、ショックを隠しきれない。  　亮介は、息子が最近カメラマンとして歩み始めたことで、もう一度写真を撮りたいと刺激を受けて、祥子(風吹ジュン)をモデルに写真を撮る。ドクター(ジェジュン)は、ハル(上野樹里)に指輪を贈るためにアルバイトを始めた。ある日、ドクターの元に韓国の母親から、父親が倒れたと手紙が届き、韓国へ戻らなくてはならなくなる。ドクターはハルにプロポーズをして、一緒に韓国に来てもらいたいと話す。一方、落ち込んでいるリンダ(玉山鉄二)を励ますため、ピーち(関めぐみ)の提案で、5人で海へ行くことに。ドクターは、みんなに日本で過ごす最後の夏になると話す。</t>
  </si>
  <si>
    <t>番組名&lt;木曜劇場&gt;素直になれなくて　#10</t>
  </si>
  <si>
    <t>ナカジ(瑛太)は、エモーションのトイレで血を流して倒れていたリンダ(玉山鉄二)を病院へ運ぶ。ハル(上野樹里)、ドクター(ジェジュン)、ピーち(関めぐみ)も、すぐに病院へかけつける。リンダの母親・美佐子(朝加真由美)は、息子を病院に連れてきてくれたナカジに感謝をすると共に、連絡を受けてすぐに病院にかけつけてくれた4人の存在に涙ぐむ。　ハルは教員採用試験をついに受ける日が近づき、勉強を続けるが、ドクターの韓国一時帰国が決まる。ドクターはハルに一緒に韓国へ行って、一度親にも紹介したい、自分の生まれ育ったところを見てほしいと話す。ハルはドクターと一緒に韓国へ行くことを決める。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</si>
  <si>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ナカジ(瑛太)は、エモーションのトイレで血を流して倒れていたリンダ(玉山鉄二)を病院へ運ぶ。ハル(上野樹里)、ドクター(ジェジュン)、ピーち(関めぐみ)も、すぐに病院へかけつける。リンダの母親・美佐子(朝加真由美)は、息子を病院に連れてきてくれたナカジに感謝をすると共に、連絡を受けてすぐに病院にかけつけてくれた4人の存在に涙ぐむ。　ハルは教員採用試験をついに受ける日が近づき、勉強を続けるが、ドクターの韓国一時帰国が決まる。ドクターはハルに一緒に韓国へ行って、一度親にも紹介したい、自分の生まれ育ったところを見てほしいと話す。ハルはドクターと一緒に韓国へ行くことを決める。</t>
  </si>
  <si>
    <t>番組名&lt;木曜劇場&gt;素直になれなくて　#11</t>
  </si>
  <si>
    <t>ナカジ(瑛太)は父・亮介(吉川晃司)のアパートで、亮介に知り合いの新聞社から戦場写真を撮影しに行ってくれないか、とオファーがあったことを聞かされる。そんなある日ナカジは、リンダ(玉山鉄二)からの電話で異変を感じリンダのもとにかけつけた為、ベストマガジンの編集長・奥田(渡辺えり)から紹介してもらった、大事な撮影の仕事を中断してしまった事を詫びる。そしてハル(上野樹里)は、先日受験した高校の採用試験の結果を、非常勤講師をしていた推薦者である私立高校の校長に報告しに行く。また、ドクター(ジェジュン)はハルへ、正式に結婚を考えてほしいと伝える。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</si>
  <si>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ナカジ(瑛太)は父・亮介(吉川晃司)のアパートで、亮介に知り合いの新聞社から戦場写真を撮影しに行ってくれないか、とオファーがあったことを聞かされる。そんなある日ナカジは、リンダ(玉山鉄二)からの電話で異変を感じリンダのもとにかけつけた為、ベストマガジンの編集長・奥田(渡辺えり)から紹介してもらった、大事な撮影の仕事を中断してしまった事を詫びる。そしてハル(上野樹里)は、先日受験した高校の採用試験の結果を、非常勤講師をしていた推薦者である私立高校の校長に報告しに行く。また、ドクター(ジェジュン)はハルへ、正式に結婚を考えてほしいと伝える。</t>
  </si>
  <si>
    <t>1001_CX_火21</t>
  </si>
  <si>
    <t>泣かないと決めた日</t>
  </si>
  <si>
    <t>番組名泣かないと決めた日　#01</t>
  </si>
  <si>
    <t>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榮倉奈々　  藤木直人　  要潤　  杏　  五十嵐隼士　  川口春奈  　・　  片瀬那奈　  紺野まひる  　・　  段田安則　  木村佳乃　    ほか【脚本】  渡辺千穂【監督】  石川淳一　  城宝秀則　    【企画】  瀧山麻土香　  太田大　    【プロデュース】  橋本芙美菅野祐悟　    【主題歌】  「don't　cry　anymore」miwa</t>
  </si>
  <si>
    <t>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t>
  </si>
  <si>
    <t>番組名泣かないと決めた日　#02</t>
  </si>
  <si>
    <t>番組名泣かないと決めた日　#03</t>
  </si>
  <si>
    <t>番組名泣かないと決めた日　#04</t>
  </si>
  <si>
    <t>番組名泣かないと決めた日　#05</t>
  </si>
  <si>
    <t>番組名泣かないと決めた日　#06</t>
  </si>
  <si>
    <t>番組名泣かないと決めた日　#07</t>
  </si>
  <si>
    <t>番組名泣かないと決めた日　#08</t>
  </si>
  <si>
    <t>1001_CX_火22</t>
  </si>
  <si>
    <t>まっすぐな男</t>
  </si>
  <si>
    <t>番組名まっすぐな男　#01</t>
  </si>
  <si>
    <t>http://ktv.jp/man/index.html曲がったことは許せない!ひたすら正しい道を突き進む“まっすぐな男"の前に現れた、“わがままな女"。自由奔放に生きる女に振り回される男に、やがてとんでもない恋の試練が降りかかる…。今、日本一まっすぐで熱い俳優・佐藤隆太が等身大の主人公“まっすぐな男"を演じる、あたたかく切ないヒューマンコメディードラマ!【あらすじ】  中堅建設会社に務める松嶋健一郎(佐藤隆太)は、自分が落とした招待状を使って取引先のパーティに潜り込み、勝手に飲み食いしていた女・栗田鳴海(深田恭子)に出会う。食べ過ぎで腹痛を起こし、病院に行くも診察代が払えないという鳴海に健一郎は仕方なく5000円を渡す。翌日、鳴海が再び現れ、さらに5000円貸して欲しいと言い出す。健一郎は断るが、鳴海のペースに巻き込まれてつい金を渡してしまい、仕事まで世話してやるはめに。そんな折、健一郎をがく然とさせる知らせが入る!佐藤隆太　  深田恭子　  貫地谷しほり　  遠藤雄弥　  佐々木希　  滝沢沙織　  さくら　  宇野実彩子(AAA)　  田中圭　  三浦理恵子　  宇梶剛士　  渡部篤郎【脚本】  尾崎将也【プロデュース】  吉條英希　  浅井千瑞　    【演出】  三宅喜重澤野弘之　  和田貴史　    【主題歌】  「ストレイト」トータス松本(ワーナーミュージック・ジャパン)</t>
  </si>
  <si>
    <t>曲がったことは許せない!ひたすら正しい道を突き進む“まっすぐな男"の前に現れた、“わがままな女"。自由奔放に生きる女に振り回される男に、やがてとんでもない恋の試練が降りかかる…。今、日本一まっすぐで熱い俳優・佐藤隆太が等身大の主人公“まっすぐな男"を演じる、あたたかく切ないヒューマンコメディードラマ!【あらすじ】  中堅建設会社に務める松嶋健一郎(佐藤隆太)は、自分が落とした招待状を使って取引先のパーティに潜り込み、勝手に飲み食いしていた女・栗田鳴海(深田恭子)に出会う。食べ過ぎで腹痛を起こし、病院に行くも診察代が払えないという鳴海に健一郎は仕方なく5000円を渡す。翌日、鳴海が再び現れ、さらに5000円貸して欲しいと言い出す。健一郎は断るが、鳴海のペースに巻き込まれてつい金を渡してしまい、仕事まで世話してやるはめに。そんな折、健一郎をがく然とさせる知らせが入る!</t>
  </si>
  <si>
    <t>番組名まっすぐな男　#02</t>
  </si>
  <si>
    <t>http://ktv.jp/man/index.html佐藤隆太、演じる曲がったことが嫌いで、とにかく「まっすぐな男」健一郎の前に現れた、自由奔放で、いい加減な女、鳴海(深田恭子)。鳴海のせいで、健一郎は仕事の取引先とのトラブルに巻き込まれてしまった…。    【第二話】  鳴海(深田恭子)の潔白を証明しようとしたせいで、健一郎(佐藤隆太)は開発営業部から現場の仕事に飛ばされてしまった。一方、鳴海は迷惑をかけたことなどまったく意に介さず、くだらない用件で呼び出しては健一郎を振り回していた。  そんな折、鳴海の前に刑務所から出てきたばかりの元彼・国枝(波岡一喜)が現れ、復縁を迫る。まもなく、その国枝がフロンティア建設に現れ、健一郎を出せと暴れる騒ぎが起こった。鳴海に問い詰めると、健一郎を新しい恋人だと誤解させたうえ、国枝が刑務所送りになった原因は健一郎にあるとウソまでついたと白状する。身に覚えのない恨みを買うはめになってしまった健一郎は、またも鳴海のせいで窮地に追い込まれる。佐藤隆太　  深田恭子　  貫地谷しほり　  遠藤雄弥　  佐々木希　  滝沢沙織　  さくら　  宇野実彩子(AAA)　  田中圭　  三浦理恵子　  宇梶剛士　  渡部篤郎【脚本】  尾崎将也【プロデュース】  吉條英希　  浅井千瑞　    【演出】  三宅喜重澤野弘之　  和田貴史　    【主題歌】  「ストレイト」トータス松本(ワーナーミュージック・ジャパン)</t>
  </si>
  <si>
    <t>佐藤隆太、演じる曲がったことが嫌いで、とにかく「まっすぐな男」健一郎の前に現れた、自由奔放で、いい加減な女、鳴海(深田恭子)。鳴海のせいで、健一郎は仕事の取引先とのトラブルに巻き込まれてしまった…。    【第二話】  鳴海(深田恭子)の潔白を証明しようとしたせいで、健一郎(佐藤隆太)は開発営業部から現場の仕事に飛ばされてしまった。一方、鳴海は迷惑をかけたことなどまったく意に介さず、くだらない用件で呼び出しては健一郎を振り回していた。  そんな折、鳴海の前に刑務所から出てきたばかりの元彼・国枝(波岡一喜)が現れ、復縁を迫る。まもなく、その国枝がフロンティア建設に現れ、健一郎を出せと暴れる騒ぎが起こった。鳴海に問い詰めると、健一郎を新しい恋人だと誤解させたうえ、国枝が刑務所送りになった原因は健一郎にあるとウソまでついたと白状する。身に覚えのない恨みを買うはめになってしまった健一郎は、またも鳴海のせいで窮地に追い込まれる。</t>
  </si>
  <si>
    <t>番組名まっすぐな男　#03</t>
  </si>
  <si>
    <t>http://man.ktv.jp/index.html　健一郎(佐藤隆太)が鳴海(深田恭子)に持ちかけた話とは、近々竣工するビルの広告にモデルとして出て欲しいという依頼だった。ビルのオーナーが、モデルのイメージにピッタリだと探していた女性が、偶然にも鳴海だったのだ。鳴海の説得に成功すれば次のビル建設の仕事も健一郎の会社に任せると言う。これが実現すれば、30億円規模のプロジェクトとなる大仕事だ。ぜひともものにしたいと必死になる健一郎を弄ぶように、返事を引き延ばす鳴海。  鳴海はここぞとばかり、健一郎のおごりで大いに飲み食いした挙げ句、言いたい放題の暴言を吐く。健一郎は、こみ上げる怒りを抑えながらこれに耐え、ようやくモデルになることを承諾させた。一方、佳乃(貫地谷しほり)の好意に気づかない健一郎に業を煮やした熊沢(田中圭)は、鳴海の広告撮影が行われる日に健一郎と佳乃のデートを強引に手配。その当日、撮影のことが気になってデートに集中できない健一郎に、鳴海が、姿を消してしまったと連絡が入り…。佐藤隆太　  深田恭子　  貫地谷しほり　  遠藤雄弥　  佐々木希　  滝沢沙織　  さくら　  宇野実彩子(AAA)　  田中圭　  三浦理恵子　  宇梶剛士　  渡部篤郎【脚本】  尾崎将也【プロデュース】  吉條英希　  浅井千瑞　    【演出】  植田尚澤野弘之　  和田貴史　    【主題歌】  「ストレイト」トータス松本(ワーナーミュージック・ジャパン)</t>
  </si>
  <si>
    <t xml:space="preserve">　健一郎(佐藤隆太)が鳴海(深田恭子)に持ちかけた話とは、近々竣工するビルの広告にモデルとして出て欲しいという依頼だった。ビルのオーナーが、モデルのイメージにピッタリだと探していた女性が、偶然にも鳴海だったのだ。鳴海の説得に成功すれば次のビル建設の仕事も健一郎の会社に任せると言う。これが実現すれば、30億円規模のプロジェクトとなる大仕事だ。ぜひともものにしたいと必死になる健一郎を弄ぶように、返事を引き延ばす鳴海。  鳴海はここぞとばかり、健一郎のおごりで大いに飲み食いした挙げ句、言いたい放題の暴言を吐く。健一郎は、こみ上げる怒りを抑えながらこれに耐え、ようやくモデルになることを承諾させた。一方、佳乃(貫地谷しほり)の好意に気づかない健一郎に業を煮やした熊沢(田中圭)は、鳴海の広告撮影が行われる日に健一郎と佳乃のデートを強引に手配。その当日、撮影のことが気になってデートに集中できない健一郎に、鳴海が、姿を消してしまったと連絡が入り…。</t>
  </si>
  <si>
    <t>番組名まっすぐな男　#04</t>
  </si>
  <si>
    <t>http://man.ktv.jp/index.html　熊沢(田中圭)がデートを仕組んで以来、2人でランチを楽しむまでに接近した健一郎(佐藤隆太)と佳乃(貫地谷しほり)。  　だが互いにまだぎこちなく、甘いムードとはほど遠い。そんな2人にやきもきする熊沢は、鳴海(深田恭子)が健一郎をまたトラブルに巻き込むのではないかと心配でならない。そんな折、ゆきえ(佐々木希)とケンカをしてアパートを追い出された鳴海が健一郎を呼び出し、家に泊めて欲しいと言い出した。健一郎は断るが、鳴海は泊まると言い張って一歩も引かない。見かねた佳乃は、自分の家に泊めてもいいと申し出る。まんまと佳乃の家に転がり込む鳴海。  　そんな折、鳴海が泊めてくれたお礼に、健一郎との恋の進展に協力したいと佳乃に申し出た。小悪魔的な笑みを浮かべ勝手に盛り上がる鳴海とは対照的に、佳乃の心境は複雑で…。佐藤隆太　  深田恭子　  貫地谷しほり　  遠藤雄弥　  佐々木希　  滝沢沙織　  さくら　  宇野実彩子(AAA)　  田中圭　  三浦理恵子　  宇梶剛士　  渡部篤郎【脚本】  尾崎将也【プロデュース】  吉條英希　  浅井千瑞　    【演出】  大塚徹澤野弘之　  和田貴史　    【主題歌】  「ストレイト」トータス松本(ワーナーミュージック・ジャパン)</t>
  </si>
  <si>
    <t xml:space="preserve">　熊沢(田中圭)がデートを仕組んで以来、2人でランチを楽しむまでに接近した健一郎(佐藤隆太)と佳乃(貫地谷しほり)。  　だが互いにまだぎこちなく、甘いムードとはほど遠い。そんな2人にやきもきする熊沢は、鳴海(深田恭子)が健一郎をまたトラブルに巻き込むのではないかと心配でならない。そんな折、ゆきえ(佐々木希)とケンカをしてアパートを追い出された鳴海が健一郎を呼び出し、家に泊めて欲しいと言い出した。健一郎は断るが、鳴海は泊まると言い張って一歩も引かない。見かねた佳乃は、自分の家に泊めてもいいと申し出る。まんまと佳乃の家に転がり込む鳴海。  　そんな折、鳴海が泊めてくれたお礼に、健一郎との恋の進展に協力したいと佳乃に申し出た。小悪魔的な笑みを浮かべ勝手に盛り上がる鳴海とは対照的に、佳乃の心境は複雑で…。</t>
  </si>
  <si>
    <t>番組名まっすぐな男　#05</t>
  </si>
  <si>
    <t>http://man.ktv.jp/index.html　健一郎(佐藤隆太)がやっと佳乃(貫地谷しほり)との恋を意識し始め、2人はいいムードに。一方、ゆきえ(佐々木希)のアパートに戻った鳴海(深田恭子)は暇を持て余し、典夫(渡部篤郎)からアルバイトを紹介してもらう。  　その頃、健一郎のところに取り壊し予定の空きビルに人が住み着いているとの連絡が入る。その正体はなんと鳴海!典夫の世話したアルバイトというのが、空きビルに居座ることだったのだ。健一郎は追いだそうとするが、鳴海は金をもらうまで出て行くつもりはないと居座り続ける。  　一方、ビルから出て行くこともできず、退屈で仕方ない鳴海。その夜、鳴海以外は誰もいないはずのビルに怪しい人影が…。翌日、健一郎は、ビルの中から女の悲鳴と男の怒鳴り声が聞こえたとの連絡を受ける。健一郎が慌てて駆けつけると…!佐藤隆太　  深田恭子　  貫地谷しほり　  遠藤雄弥　  佐々木希　  滝沢沙織　  さくら　  宇野実彩子(AAA)　  田中圭　  三浦理恵子　  宇梶剛士　  渡部篤郎【脚本】  尾崎将也【プロデュース】  吉條英希　  浅井千瑞　    【演出】  三宅喜重澤野弘之　  和田貴史　    【主題歌】  「ストレイト」トータス松本(ワーナーミュージック・ジャパン)</t>
  </si>
  <si>
    <t xml:space="preserve">　健一郎(佐藤隆太)がやっと佳乃(貫地谷しほり)との恋を意識し始め、2人はいいムードに。一方、ゆきえ(佐々木希)のアパートに戻った鳴海(深田恭子)は暇を持て余し、典夫(渡部篤郎)からアルバイトを紹介してもらう。  　その頃、健一郎のところに取り壊し予定の空きビルに人が住み着いているとの連絡が入る。その正体はなんと鳴海!典夫の世話したアルバイトというのが、空きビルに居座ることだったのだ。健一郎は追いだそうとするが、鳴海は金をもらうまで出て行くつもりはないと居座り続ける。  　一方、ビルから出て行くこともできず、退屈で仕方ない鳴海。その夜、鳴海以外は誰もいないはずのビルに怪しい人影が…。翌日、健一郎は、ビルの中から女の悲鳴と男の怒鳴り声が聞こえたとの連絡を受ける。健一郎が慌てて駆けつけると…!</t>
  </si>
  <si>
    <t>番組名まっすぐな男　#06</t>
  </si>
  <si>
    <t>http://man.ktv.jp/index.html　健一郎(佐藤隆太)らが進めていたプロジェクトが、大手のグローバル中央建設に横取りされて中止を余儀なくされた。悔しがる健一郎だが、対抗する術もない。  　そんな折、吉田(岡本信人)からグローバル中央建設に移る気はないかと引き抜きの話を持ちかけられる。キャリアアップのチャンスだが、健一郎は会社を裏切ることはできないとキッパリ断る。さらに吉田は“命の恩人"だとして鳴海(深田恭子)を自分の事務所に雇いたいという。就職する気になった鳴海は健一郎に電話をするが、折しもそれは佳乃(貫地谷しほり)が健一郎の家に遊びに来ていたときだった。佳乃の目が気になり、仕事の電話だと嘘をついてしまう健一郎…。　翌日、初出勤した鳴海は、吉田とグローバル中央建設の人事部長・成田(小須田康人)の会話を聞き、健一郎に引き抜きの話があることを知る。  　そんな中、鳴海は健一郎を嘘の用事で呼び出して成田に引き合わせる。引き抜きの話は断ったはずと突っぱねる健一郎だが、「うちに来れば大きな仕事ができる」となおも誘う成田の言葉に心は揺れて…。佐藤隆太　  深田恭子　  貫地谷しほり　  遠藤雄弥　  佐々木希　  滝沢沙織　  さくら　  宇野実彩子(AAA)　  田中圭　  三浦理恵子　  宇梶剛士　  渡部篤郎【脚本】  尾崎将也【プロデュース】  吉條英希　  浅井千瑞　    【演出】  植田尚澤野弘之　  和田貴史　    【主題歌】  「ストレイト」トータス松本(ワーナーミュージック・ジャパン)</t>
  </si>
  <si>
    <t xml:space="preserve">　健一郎(佐藤隆太)らが進めていたプロジェクトが、大手のグローバル中央建設に横取りされて中止を余儀なくされた。悔しがる健一郎だが、対抗する術もない。  　そんな折、吉田(岡本信人)からグローバル中央建設に移る気はないかと引き抜きの話を持ちかけられる。キャリアアップのチャンスだが、健一郎は会社を裏切ることはできないとキッパリ断る。さらに吉田は“命の恩人"だとして鳴海(深田恭子)を自分の事務所に雇いたいという。就職する気になった鳴海は健一郎に電話をするが、折しもそれは佳乃(貫地谷しほり)が健一郎の家に遊びに来ていたときだった。佳乃の目が気になり、仕事の電話だと嘘をついてしまう健一郎…。　翌日、初出勤した鳴海は、吉田とグローバル中央建設の人事部長・成田(小須田康人)の会話を聞き、健一郎に引き抜きの話があることを知る。  　そんな中、鳴海は健一郎を嘘の用事で呼び出して成田に引き合わせる。引き抜きの話は断ったはずと突っぱねる健一郎だが、「うちに来れば大きな仕事ができる」となおも誘う成田の言葉に心は揺れて…。</t>
  </si>
  <si>
    <t>番組名まっすぐな男　#07</t>
  </si>
  <si>
    <t>http://man.ktv.jp/index.html  　妊娠のことを、もう一度調べた方がいいとゆきえ(佐々木希)から忠告された鳴海(深田恭子)は病院へ。だが、たまたま病院に来ていた健一郎(佐藤隆太)に見つかり、診察も受けないまま逃げ帰ってしまう。  様子のおかしい鳴海を心配した健一郎は、鳴海を病院に連れて行ってやって欲しいと熊沢(田中圭)に依頼。引き受けた熊沢は鳴海に会うが、突然目の前で鳴海が倒れ、意識を失ってしまった。知らせを受け、佳乃(貫地谷しほり)とともに病院に駆けつけた健一郎は、検査の結果を聞かされて仰天。なんと鳴海は妊娠3カ月だった。そこに典夫(渡部篤郎)が現れるが、自分が父親かもしれないと言われて動揺し、逃げ出してしまう。  ところがさらに、思わぬ事実が発覚する!佐藤隆太　  深田恭子　  貫地谷しほり　  遠藤雄弥　  佐々木希　  滝沢沙織　  さくら　  宇野実彩子(AAA)　  田中圭　  三浦理恵子　  宇梶剛士　  渡部篤郎【脚本】  尾崎将也【プロデュース】  吉條英希　  浅井千瑞　    【演出】  大塚徹澤野弘之　  和田貴史　    【主題歌】  「ストレイト」トータス松本(ワーナーミュージック・ジャパン)</t>
  </si>
  <si>
    <t xml:space="preserve">  　妊娠のことを、もう一度調べた方がいいとゆきえ(佐々木希)から忠告された鳴海(深田恭子)は病院へ。だが、たまたま病院に来ていた健一郎(佐藤隆太)に見つかり、診察も受けないまま逃げ帰ってしまう。  様子のおかしい鳴海を心配した健一郎は、鳴海を病院に連れて行ってやって欲しいと熊沢(田中圭)に依頼。引き受けた熊沢は鳴海に会うが、突然目の前で鳴海が倒れ、意識を失ってしまった。知らせを受け、佳乃(貫地谷しほり)とともに病院に駆けつけた健一郎は、検査の結果を聞かされて仰天。なんと鳴海は妊娠3カ月だった。そこに典夫(渡部篤郎)が現れるが、自分が父親かもしれないと言われて動揺し、逃げ出してしまう。  ところがさらに、思わぬ事実が発覚する!</t>
  </si>
  <si>
    <t>番組名まっすぐな男　#08</t>
  </si>
  <si>
    <t>http://man.ktv.jp/index.html　片岡(金子昇)のもとから鳴海(深田恭子)を連れ出した健一郎(佐藤隆太)は「父親になるなら、お前と子どもを愛している男じゃなきゃダメだ!」と息巻くが、鳴海は「好きでもないくせに構わないで!」と憤慨。翌日、健一郎は何かを決意したように佳乃(貫地谷しほり)を呼び出し、鳴海に惹かれている自分の本心を打ち明ける。  　鳴海を助けてやりたいという健一郎の告白にショックを受け、涙をこぼす佳乃。そんな2人を見つけた熊沢(田中圭)は、佳乃を裏切った健一郎が許せないと、猛然と殴りかかる。  　明くる朝、アパートを訪ねて来た健一郎の様子からすべてを察した鳴海は佳乃のもとへ。謝ろうとする鳴海に対し、平静を装おうと強がる佳乃だが・・・。  　一方、健一郎はいよいよ告白しようと鳴海を連れて海へ。「俺は、お前が好きだ!」と思いを伝える。佐藤隆太　  深田恭子　  貫地谷しほり　  遠藤雄弥　  佐々木希　  滝沢沙織　  さくら　  宇野実彩子(AAA)　  田中圭　  三浦理恵子　  宇梶剛士　  渡部篤郎【脚本】  尾崎将也【プロデュース】  吉條英希　  浅井千瑞　    【演出】  三宅喜重澤野弘之　  和田貴史　    【主題歌】  「ストレイト」トータス松本(ワーナーミュージック・ジャパン)</t>
  </si>
  <si>
    <t xml:space="preserve">　片岡(金子昇)のもとから鳴海(深田恭子)を連れ出した健一郎(佐藤隆太)は「父親になるなら、お前と子どもを愛している男じゃなきゃダメだ!」と息巻くが、鳴海は「好きでもないくせに構わないで!」と憤慨。翌日、健一郎は何かを決意したように佳乃(貫地谷しほり)を呼び出し、鳴海に惹かれている自分の本心を打ち明ける。  　鳴海を助けてやりたいという健一郎の告白にショックを受け、涙をこぼす佳乃。そんな2人を見つけた熊沢(田中圭)は、佳乃を裏切った健一郎が許せないと、猛然と殴りかかる。  　明くる朝、アパートを訪ねて来た健一郎の様子からすべてを察した鳴海は佳乃のもとへ。謝ろうとする鳴海に対し、平静を装おうと強がる佳乃だが・・・。  　一方、健一郎はいよいよ告白しようと鳴海を連れて海へ。「俺は、お前が好きだ!」と思いを伝える。</t>
  </si>
  <si>
    <t>番組名まっすぐな男　#09</t>
  </si>
  <si>
    <t>http://man.ktv.jp/index.html　健一郎(佐藤隆太)は姿を消した鳴海(深田恭子)を連日探し続けるが行方は一向につかめない。そんな折、健一郎の母・真砂美(原日出子)が東京の病院に検査入院することに。健一郎は鳴海を紹介すると真砂美に約束。必ず鳴海を探し出すと決意を新たにする。  　一方、街で鳴海の姿を偶然見かけてしまった佳乃(貫地谷しほり)は、あてのない捜索を続ける健一郎を見ているのが辛くなり、悩んだ末に健一郎に報告。佳乃から聞いた情報をたどり、健一郎はようやく、ある居酒屋にたどり着く。そこで健一郎が目にしたのは、これまでとは別人のように、真剣に仕事に取り組む鳴海の姿だった。「もう逃げるなよ。お前を幸せにする。」と告げる健一郎に思わず涙ぐむ鳴海。  　さっそく、母親の真砂美に会わせようと病院に連れていく健一郎に鳴海は「子どものこと、何て言うの?」と戸惑いを見せて…。佐藤隆太　  深田恭子　  貫地谷しほり　  遠藤雄弥　  佐々木希　  滝沢沙織　  さくら　  宇野実彩子(AAA)　  田中圭　  三浦理恵子　  宇梶剛士　  渡部篤郎【脚本】  尾崎将也【プロデュース】  吉條英希　  浅井千瑞　    【演出】  植田尚澤野弘之　  和田貴史　    【主題歌】  「ストレイト」トータス松本(ワーナーミュージック・ジャパン)</t>
  </si>
  <si>
    <t xml:space="preserve">　健一郎(佐藤隆太)は姿を消した鳴海(深田恭子)を連日探し続けるが行方は一向につかめない。そんな折、健一郎の母・真砂美(原日出子)が東京の病院に検査入院することに。健一郎は鳴海を紹介すると真砂美に約束。必ず鳴海を探し出すと決意を新たにする。  　一方、街で鳴海の姿を偶然見かけてしまった佳乃(貫地谷しほり)は、あてのない捜索を続ける健一郎を見ているのが辛くなり、悩んだ末に健一郎に報告。佳乃から聞いた情報をたどり、健一郎はようやく、ある居酒屋にたどり着く。そこで健一郎が目にしたのは、これまでとは別人のように、真剣に仕事に取り組む鳴海の姿だった。「もう逃げるなよ。お前を幸せにする。」と告げる健一郎に思わず涙ぐむ鳴海。  　さっそく、母親の真砂美に会わせようと病院に連れていく健一郎に鳴海は「子どものこと、何て言うの?」と戸惑いを見せて…。</t>
  </si>
  <si>
    <t>番組名まっすぐな男　#10</t>
  </si>
  <si>
    <t>http://man.ktv.jp/index.html　鳴海(深田恭子)が病院に運び込まれた。心配した健一郎(佐藤隆太)は大事なプレゼンを前に、会場を飛び出してしまう。熊沢(田中圭)が代役を務めて事なきを得て、最終プレゼンで大手と一騎打ちすることに。  　社長は賄賂を使ってライバルを出し抜く方針を決め、健一郎に金を渡す役を敢えて任命する。鳴海と子どもを養うため、信念を曲げて会社に従うべきなのか?  　まっすぐな男が下した決断は…?佐藤隆太　  深田恭子　  貫地谷しほり　  遠藤雄弥　  佐々木希　  滝沢沙織　  さくら　  宇野実彩子(AAA)　  田中圭　  三浦理恵子　  宇梶剛士　  渡部篤郎【脚本】  尾崎将也【プロデュース】  吉條英希　  浅井千瑞　    【演出】  三宅喜重澤野弘之　  和田貴史　    【主題歌】  「ストレイト」トータス松本(ワーナーミュージック・ジャパン)</t>
  </si>
  <si>
    <t xml:space="preserve">　鳴海(深田恭子)が病院に運び込まれた。心配した健一郎(佐藤隆太)は大事なプレゼンを前に、会場を飛び出してしまう。熊沢(田中圭)が代役を務めて事なきを得て、最終プレゼンで大手と一騎打ちすることに。  　社長は賄賂を使ってライバルを出し抜く方針を決め、健一郎に金を渡す役を敢えて任命する。鳴海と子どもを養うため、信念を曲げて会社に従うべきなのか?  　まっすぐな男が下した決断は…?</t>
  </si>
  <si>
    <t>1001_CX_木22</t>
  </si>
  <si>
    <t>不毛地帯</t>
  </si>
  <si>
    <t>番組名&lt;木曜劇場&gt;フジテレビ開局50周年記念ドラマ不毛地帯　#11</t>
  </si>
  <si>
    <t>壹岐正(唐沢寿明)は、副社長の里井達也(岸部一徳)とともに、千代田自動車との提携を目指して米・フォーク社との交渉に臨んだ。千代田自動車側は、乗っ取りを恐れ、フォーク社の出資比率を25%以下にしたいと主張していた。それに対してフォーク社側は、重要決議に拒否権を行使できる33.4%以上でなければ交渉には応じないという姿勢を崩してはいなかった。そこで里井は、腹心である業務本部長の角田保(篠井英介)とともに新たなプランを作成する。それは、壹岐たちが進めてきた提携話を白紙に戻し、フォーク社と千代田自動車が対等の出資比率で新たな合弁会社を作るというものだった。壹岐らとともにデトロイトのフォーク社を訪れた里井は、フォーク会長(アレキサンダー・バリ)との会談を行った。その席でフォーク会長は、新たな合弁会社を作るという里井の提案に強い興味を示し、千代田自動車の経営状況を調べた上で検討する、と答える。里井は、さっそく社長の大門一三(原田芳雄)に連絡をとり、来月フォーク社が日本に覆面調査団を派遣するところまでこぎつけたことを報告する。ところがその矢先、突然、里井が狭心症の発作を起こして倒れてしまう。唐沢寿明　    (以下、五十音順)　    阿部サダヲ　  天海祐希　  梶原善　  岸部一徳　  小雪　  篠井英介　  多部未華子　  袴田吉彦　  原田芳雄　  吉行和子　  和久井映見　  ほか【原作】  『不毛地帯』山崎豊子(新潮文庫刊)　    【脚本】  橋部敦子【演出】  平野眞　    【プロデュース】  長部聡介　  清水一幸【メインテーマ】  坂本龍一</t>
  </si>
  <si>
    <t>壹岐正(唐沢寿明)は、副社長の里井達也(岸部一徳)とともに、千代田自動車との提携を目指して米・フォーク社との交渉に臨んだ。千代田自動車側は、乗っ取りを恐れ、フォーク社の出資比率を25%以下にしたいと主張していた。それに対してフォーク社側は、重要決議に拒否権を行使できる33.4%以上でなければ交渉には応じないという姿勢を崩してはいなかった。そこで里井は、腹心である業務本部長の角田保(篠井英介)とともに新たなプランを作成する。それは、壹岐たちが進めてきた提携話を白紙に戻し、フォーク社と千代田自動車が対等の出資比率で新たな合弁会社を作るというものだった。壹岐らとともにデトロイトのフォーク社を訪れた里井は、フォーク会長(アレキサンダー・バリ)との会談を行った。その席でフォーク会長は、新たな合弁会社を作るという里井の提案に強い興味を示し、千代田自動車の経営状況を調べた上で検討する、と答える。里井は、さっそく社長の大門一三(原田芳雄)に連絡をとり、来月フォーク社が日本に覆面調査団を派遣するところまでこぎつけたことを報告する。ところがその矢先、突然、里井が狭心症の発作を起こして倒れてしまう。</t>
  </si>
  <si>
    <t>番組名&lt;木曜劇場&gt;フジテレビ開局50周年記念ドラマ不毛地帯　#12</t>
  </si>
  <si>
    <t>千代田自動車との間で新たな合弁会社を作るという近畿商事の提案に興味を示したフォーク社は、日本に覆面調査団を派遣する。壹岐正(唐沢寿明)は、調査団の責任者で、海外企画担当マネジャーのアーリックマンが来日していないことに気づき、その行方を追っていた。ほどなく、調査団を出迎えた八束功(山崎樹範)から連絡があり、アーリックマンは、緊急の案件があり、オーストラリアに向かったとの情報が入る。不安を拭い去れなかった壹岐は、塙四郎(袴田吉彦)に、近畿商事の支店網を使ってアーリックマンが本当にオーストラリアにいるかどうか調べるよう指示する。一方、副社長の里井達也(岸部一徳)と業務本部長の角田保(篠井英介)は、八束に、調査団を案内する販売店のリストを渡す。それは、千代田自動車の販売店の中でも、経営が安定している店を選んだものだった。あくる日、里井たちは、調査団メンバーとの会合に臨む。その席で、調査団のラディは、里井たちが提示した販売店リストを拒否し、新たなリストを提示。すでに彼らは、経営が悪化している販売店をリストアップしていたのだ。別の日、八束は、ラディを連れてある販売店を訪れる。だが、見学を終えたラディは、突然リスト以外の場所に行きたいと言いだす。そんな折、壹岐のもとに、秋津千里(小雪)から電話が入る。一方、東京商事の鮫島辰三(遠藤憲一)は、里井が病魔に冒されているという事実を察知して…?唐沢寿明　    (以下、五十音順)　    阿部サダヲ　  天海祐希　  江波杏子　  遠藤憲一　  小野武彦　  梶原善　  岸部一徳　  小雪　  篠井英介　  佐々木蔵之介　  袴田吉彦　  原田芳雄　  山崎樹範　  吉行和子　    ほか【原作】  『不毛地帯』山崎豊子(新潮文庫刊)　    【脚本】  橋部敦子【演出】  澤田鎌作　    【プロデュース】  長部聡介　  清水一幸【メインテーマ】  坂本龍一</t>
  </si>
  <si>
    <t>千代田自動車との間で新たな合弁会社を作るという近畿商事の提案に興味を示したフォーク社は、日本に覆面調査団を派遣する。壹岐正(唐沢寿明)は、調査団の責任者で、海外企画担当マネジャーのアーリックマンが来日していないことに気づき、その行方を追っていた。ほどなく、調査団を出迎えた八束功(山崎樹範)から連絡があり、アーリックマンは、緊急の案件があり、オーストラリアに向かったとの情報が入る。不安を拭い去れなかった壹岐は、塙四郎(袴田吉彦)に、近畿商事の支店網を使ってアーリックマンが本当にオーストラリアにいるかどうか調べるよう指示する。一方、副社長の里井達也(岸部一徳)と業務本部長の角田保(篠井英介)は、八束に、調査団を案内する販売店のリストを渡す。それは、千代田自動車の販売店の中でも、経営が安定している店を選んだものだった。あくる日、里井たちは、調査団メンバーとの会合に臨む。その席で、調査団のラディは、里井たちが提示した販売店リストを拒否し、新たなリストを提示。すでに彼らは、経営が悪化している販売店をリストアップしていたのだ。別の日、八束は、ラディを連れてある販売店を訪れる。だが、見学を終えたラディは、突然リスト以外の場所に行きたいと言いだす。そんな折、壹岐のもとに、秋津千里(小雪)から電話が入る。一方、東京商事の鮫島辰三(遠藤憲一)は、里井が病魔に冒されているという事実を察知して…?</t>
  </si>
  <si>
    <t>番組名&lt;木曜劇場&gt;フジテレビ開局50周年記念ドラマ不毛地帯　#13</t>
  </si>
  <si>
    <t>壹岐正(唐沢寿明)は、社長の大門一三(原田芳雄)に同行して、自由党幹事長・田淵(江守徹)の邸宅を訪れる。その席で田淵は、千代田自動車と米・フォーク社の提携話を持ち出した。田淵がこの提携話に一枚噛んでおきたいという思惑で大門を呼び出したと悟った壹岐は、交渉を詰めた上で改めて助言を仰ぎたい、と答える。一方、出張から戻った副社長の里井達也(岸部一徳)は、田淵の一件を知って壹岐に怒りをぶつける。電話1本で大門が田淵のもとに駆けつけるなど不見識極まる、というのだ。壹岐は、そんな里井に、フォーク調査団のひとりが東京商事の鮫島辰三(遠藤憲一)と行動をともにしていたことを伝える。しかし里井は、その話に耳を貸さないばかりか、壹岐を提携プロジェクトから外してしまう。里井は、すぐさま渡米し、フォーク社との交渉を詰めようとした。ところがフォーク社側は、そんな里井に対し、千代田自動車との間で新たに設立する合弁会社の出資比率をフォーク51%、千代田49%に変更してほしい、という新たな条件を提示する。帰国した里井は、大門とともに千代田自動車側と会談した。するとそこに、毎朝新聞の夕刊を手にした角田保(篠井英介)が飛び込んできた。その一面には、フォーク社が東和自動車と提携する意向を東京商事に正式に伝えた、というスクープ記事が掲載されていた。ショックを受けた里井は、その場で胸をかきむしるようにして倒れ…。唐沢寿明　    (以下、五十音順)　    阿部サダヲ　  江波杏子　  遠藤憲一　  小野武彦　  梶原善　  岸部一徳　  小雪　  篠井英介　  竹野内豊　  多部未華子　  田村亮　  袴田吉彦　  原田芳雄　  山崎樹範　  ほか【原作】  『不毛地帯』山崎豊子(新潮文庫刊)　    【脚本】  橋部敦子【演出】  澤田鎌作　    【プロデュース】  長部聡介　  清水一幸【メインテーマ】  坂本龍一</t>
  </si>
  <si>
    <t>壹岐正(唐沢寿明)は、社長の大門一三(原田芳雄)に同行して、自由党幹事長・田淵(江守徹)の邸宅を訪れる。その席で田淵は、千代田自動車と米・フォーク社の提携話を持ち出した。田淵がこの提携話に一枚噛んでおきたいという思惑で大門を呼び出したと悟った壹岐は、交渉を詰めた上で改めて助言を仰ぎたい、と答える。一方、出張から戻った副社長の里井達也(岸部一徳)は、田淵の一件を知って壹岐に怒りをぶつける。電話1本で大門が田淵のもとに駆けつけるなど不見識極まる、というのだ。壹岐は、そんな里井に、フォーク調査団のひとりが東京商事の鮫島辰三(遠藤憲一)と行動をともにしていたことを伝える。しかし里井は、その話に耳を貸さないばかりか、壹岐を提携プロジェクトから外してしまう。里井は、すぐさま渡米し、フォーク社との交渉を詰めようとした。ところがフォーク社側は、そんな里井に対し、千代田自動車との間で新たに設立する合弁会社の出資比率をフォーク51%、千代田49%に変更してほしい、という新たな条件を提示する。帰国した里井は、大門とともに千代田自動車側と会談した。するとそこに、毎朝新聞の夕刊を手にした角田保(篠井英介)が飛び込んできた。その一面には、フォーク社が東和自動車と提携する意向を東京商事に正式に伝えた、というスクープ記事が掲載されていた。ショックを受けた里井は、その場で胸をかきむしるようにして倒れ…。</t>
  </si>
  <si>
    <t>番組名&lt;木曜劇場&gt;フジテレビ開局50周年記念ドラマ不毛地帯　#14</t>
  </si>
  <si>
    <t>['#14']</t>
  </si>
  <si>
    <t>アメリカ近畿商事から東京本社に帰任した壹岐正(唐沢寿明)は、専務取締役に就任する。それから半年後、イランで石油鉱区が売りに出されるという情報をつかんだ石油部長の兵頭信一良(竹野内豊)は、石油開発を手がけたいと壹岐に直訴する。壹岐は、石油開発にすべてを賭けようとしている兵頭の強い決意を知り、ただちにイランに向かうよう指示する。社長の大門一三(原田芳雄)を訪ねた壹岐は、さっそく石油開発の件を切り出した。大門は、石油が出れば1000億円以上の利益が見込まれるものの、もし出なければ100億円もの開発費用が無駄になると知ると、その場での決断を避けた。一方、兵頭は、近畿商事テヘラン事務所を拠点にして情報収集を開始する。だが、売りに出される鉱区についての情報をつかむことができなかった。  　そんななか、壹岐は、国際ロビイストの竹中莞爾(清水紘治)の事務所を訪ねる。そこで壹岐は、リビアの元石油大臣・ハバシュが、売りに出される鉱区を知っているという情報を得る。壹岐は、兵頭に連絡し、ハバシュが滞在しているパリに向かうよう命じた。パリに到着した兵頭は、ハバシュと会う約束を取り付け、滞在先のホテルを訪れる。しかしハバシュは、多忙を理由に兵頭と会おうとはしなかった。そんな兵頭の前に、黄紅子(天海祐希)が現れる。唐沢寿明　    (以下、五十音順)　    阿部サダヲ　  遠藤憲一　  岸部一徳　  小雪　  篠井英介　  竹野内豊　  多部未華子　  原田芳雄　    ほか【原作】  『不毛地帯』山崎豊子(新潮文庫刊)　    【脚本】  橋部敦子【演出】  水田成英　    【プロデュース】  長部聡介　  清水一幸【メインテーマ】  坂本龍一</t>
  </si>
  <si>
    <t>アメリカ近畿商事から東京本社に帰任した壹岐正(唐沢寿明)は、専務取締役に就任する。それから半年後、イランで石油鉱区が売りに出されるという情報をつかんだ石油部長の兵頭信一良(竹野内豊)は、石油開発を手がけたいと壹岐に直訴する。壹岐は、石油開発にすべてを賭けようとしている兵頭の強い決意を知り、ただちにイランに向かうよう指示する。社長の大門一三(原田芳雄)を訪ねた壹岐は、さっそく石油開発の件を切り出した。大門は、石油が出れば1000億円以上の利益が見込まれるものの、もし出なければ100億円もの開発費用が無駄になると知ると、その場での決断を避けた。一方、兵頭は、近畿商事テヘラン事務所を拠点にして情報収集を開始する。だが、売りに出される鉱区についての情報をつかむことができなかった。  　そんななか、壹岐は、国際ロビイストの竹中莞爾(清水紘治)の事務所を訪ねる。そこで壹岐は、リビアの元石油大臣・ハバシュが、売りに出される鉱区を知っているという情報を得る。壹岐は、兵頭に連絡し、ハバシュが滞在しているパリに向かうよう命じた。パリに到着した兵頭は、ハバシュと会う約束を取り付け、滞在先のホテルを訪れる。しかしハバシュは、多忙を理由に兵頭と会おうとはしなかった。そんな兵頭の前に、黄紅子(天海祐希)が現れる。</t>
  </si>
  <si>
    <t>番組名&lt;木曜劇場&gt;フジテレビ開局50周年記念ドラマ不毛地帯　#15</t>
  </si>
  <si>
    <t>['#15']</t>
  </si>
  <si>
    <t>石油開発に乗り出した壹岐正(唐沢寿明)と兵頭信一良(竹野内豊)は、イランのサルベスタン鉱区入札に関して、日本石油公社総裁の貝塚道生(段田安則)が提案した東京商事らとの連合を拒否する。技術力と資本力を持つ海外の石油開発会社と組む道を選んだ壹岐たちは、米の独立系石油会社・オリオン・オイル社に注目する。  　ある夜、クラブ『ル・ボア』を訪れた壹岐は、黄紅子(天海祐希)と再会する。近畿商事が石油ビジネスに乗り出すという情報をすでに聞きつけていた紅子は、イランの前王妃からも近畿商事について尋ねられたという。その際、紅子がオリオン・オイル社のリーガン会長とも面識があると知った壹岐は、仲介役を頼んだ。それを引き受けた紅子は、来月、リーガン会長が夫の黄乾臣(石橋蓮司)に会いに来るから、兵頭とともにジャカルタに来るよう告げる。  　一方、仕事に復帰した副社長の里井達也(岸部一徳)は、社長の大門一三(原田芳雄)から石油開発の件を相談される。里井は、日本石油公社のグループから降りて海外の会社と組むのは非常識だとし、失敗すれば会社の屋台骨を揺るがしかねないと主張する。  　そんななか、黄邸を訪れた壹岐と兵頭は、リーガン会長に会い、サルベスタン鉱区入札に関し、パートナーシップを結ぶ約束を取り付ける。次の問題は、100億円の資金確保だった。壹岐たちは、社内の反対勢力を抑えるために極秘で動き始める。唐沢寿明　    (以下、五十音順)　    阿部サダヲ　  天海祐希　  石橋蓮司　  遠藤憲一　  岸部一徳　  小雪　  篠井英介　  清水紘治　  竹野内豊　  多部未華子　  段田安則　  橋爪功　  原田芳雄　  吉行和子　  ほか【原作】  『不毛地帯』山崎豊子(新潮文庫刊)　    【脚本】  橋部敦子【演出】  水田成英　    【プロデュース】  長部聡介　  清水一幸【メインテーマ】  坂本龍一</t>
  </si>
  <si>
    <t>石油開発に乗り出した壹岐正(唐沢寿明)と兵頭信一良(竹野内豊)は、イランのサルベスタン鉱区入札に関して、日本石油公社総裁の貝塚道生(段田安則)が提案した東京商事らとの連合を拒否する。技術力と資本力を持つ海外の石油開発会社と組む道を選んだ壹岐たちは、米の独立系石油会社・オリオン・オイル社に注目する。  　ある夜、クラブ『ル・ボア』を訪れた壹岐は、黄紅子(天海祐希)と再会する。近畿商事が石油ビジネスに乗り出すという情報をすでに聞きつけていた紅子は、イランの前王妃からも近畿商事について尋ねられたという。その際、紅子がオリオン・オイル社のリーガン会長とも面識があると知った壹岐は、仲介役を頼んだ。それを引き受けた紅子は、来月、リーガン会長が夫の黄乾臣(石橋蓮司)に会いに来るから、兵頭とともにジャカルタに来るよう告げる。  　一方、仕事に復帰した副社長の里井達也(岸部一徳)は、社長の大門一三(原田芳雄)から石油開発の件を相談される。里井は、日本石油公社のグループから降りて海外の会社と組むのは非常識だとし、失敗すれば会社の屋台骨を揺るがしかねないと主張する。  　そんななか、黄邸を訪れた壹岐と兵頭は、リーガン会長に会い、サルベスタン鉱区入札に関し、パートナーシップを結ぶ約束を取り付ける。次の問題は、100億円の資金確保だった。壹岐たちは、社内の反対勢力を抑えるために極秘で動き始める。</t>
  </si>
  <si>
    <t>番組名&lt;木曜劇場&gt;フジテレビ開局50周年記念ドラマ不毛地帯　#16</t>
  </si>
  <si>
    <t>['#16']</t>
  </si>
  <si>
    <t>石油開発に乗り出した壹岐正(唐沢寿明)と兵頭信一良(竹野内豊)は、イラン・サルベスタン鉱区の国際入札に際し、商社連合の日本石油公社グループから離脱し、米独立系石油会社オリオン・オイルと組むことを決意する。だが、毎朝新聞の一面トップに、近畿商事を批判する記事が掲載される。日本石油公社グループからの離脱は国益を無視した行為だというのだ。それを受け、日本石油公社総裁の貝塚道生(段田安則)は、近畿商事の行動は利益を独占しようというものであり極めて遺憾だとのコメントを発表する。一方、兵頭は、近畿商事テヘラン事務所を拠点に、国際入札の決定権を持つイラン国王とその周辺の人物の情報収集を続けていた。国王の決断に影響力を持つ側近とコンタクトを取ることが最重要任務だった。近畿商事への非難が高まる中、取引先からは、オリオン・オイルと組むなら今後の取引を白紙に戻すという電話が相次いだ。壹岐は、オリオン・オイルとの入札が事実だと認めた上で、今回の決断はあくまでも日本石油公社グループが入札できなかった場合の安全弁だと取引先に説明するよう指示する。そんな折、壹岐の前に、元近畿商事社員の小出宏(松重豊)が現れる。小出は、壹岐のことが心配で訪ねてきたとうそぶくと、近畿商事が日本石油公社グループに戻れるよう仲介してくれる人物が待っている、と告げる。唐沢寿明　    (以下、五十音順)　    阿部サダヲ　  天海祐希　  榎木孝明　  遠藤憲一　  岸部一徳　  小雪　  篠井英介　  佐々木蔵之介　  竹野内豊　  多部未華子　  段田安則　  橋爪功　  原田芳雄　  松重豊　    ほか【原作】  『不毛地帯』山崎豊子(新潮文庫刊)　    【脚本】  橋部敦子【演出】  小原一隆　    【プロデュース】  長部聡介　  清水一幸【メインテーマ】  坂本龍一</t>
  </si>
  <si>
    <t>石油開発に乗り出した壹岐正(唐沢寿明)と兵頭信一良(竹野内豊)は、イラン・サルベスタン鉱区の国際入札に際し、商社連合の日本石油公社グループから離脱し、米独立系石油会社オリオン・オイルと組むことを決意する。だが、毎朝新聞の一面トップに、近畿商事を批判する記事が掲載される。日本石油公社グループからの離脱は国益を無視した行為だというのだ。それを受け、日本石油公社総裁の貝塚道生(段田安則)は、近畿商事の行動は利益を独占しようというものであり極めて遺憾だとのコメントを発表する。一方、兵頭は、近畿商事テヘラン事務所を拠点に、国際入札の決定権を持つイラン国王とその周辺の人物の情報収集を続けていた。国王の決断に影響力を持つ側近とコンタクトを取ることが最重要任務だった。近畿商事への非難が高まる中、取引先からは、オリオン・オイルと組むなら今後の取引を白紙に戻すという電話が相次いだ。壹岐は、オリオン・オイルとの入札が事実だと認めた上で、今回の決断はあくまでも日本石油公社グループが入札できなかった場合の安全弁だと取引先に説明するよう指示する。そんな折、壹岐の前に、元近畿商事社員の小出宏(松重豊)が現れる。小出は、壹岐のことが心配で訪ねてきたとうそぶくと、近畿商事が日本石油公社グループに戻れるよう仲介してくれる人物が待っている、と告げる。</t>
  </si>
  <si>
    <t>番組名&lt;木曜劇場&gt;フジテレビ開局50周年記念ドラマ不毛地帯　#17</t>
  </si>
  <si>
    <t>['#17']</t>
  </si>
  <si>
    <t>壹岐正(唐沢寿明)と兵頭信一良(竹野内豊)は、ソ連の首都モスクワを訪れる。イラン・サルベスタン鉱区の国際入札に際し、他社の入札価格を入手すべく、イラン国王の側近である医師ドクター・フォルジに会うためだった。一方、五菱商事、五井物産とともに日本石油公社グループとしてサルベスタン鉱区の国際入札に臨む東京商事の鮫島辰三(遠藤憲一)は、日本の企業を集めた経済ミッションを派遣し、イラン政府へのアピールに成功していた。そんな折、兵頭がテヘランから姿を消したとの情報を得た鮫島は、近畿商事が何らかの行動を起こしているのではないかと不審を抱く。壹岐たちは、フォルジがイラン・イスファハンの名門一族の出身であること、内乱で当時10歳だったフォルジの目の前で一族が殺されるという過酷な体験をしていることを知る。フォルジとの面会を果たした壹岐は、そこで敢えてイスファハンのことを口にした。それに対してフォルジは、シベリアには何年いたのか、と壹岐に返す。同じころ、鮫島は、義理の娘でもある直子(多部未華子)をだまし、壹岐がモスクワにいることを聞きだす。壹岐たちがイラン国王の側近と接触したことを確信した鮫島は、五菱商事の神尾(名高達男)や五井物産の神尾(大門正明)に対し、入札価格に500万ドル上乗せすべきだと訴える。同じころ、帰国した壹岐は、社長の大門一三(原田芳雄)にフォルジから提示された条件を伝える。唐沢寿明　    (以下、五十音順)　    阿部サダヲ　  天海祐希　  遠藤憲一　  岸部一徳　  小雪　  篠井英介  佐々木蔵之介　  竹野内豊　  多部未華子　  段田安則　  橋爪功　  原田芳雄　  松重豊　    ほか【原作】  『不毛地帯』山崎豊子(新潮文庫刊)　    【脚本】  橋部敦子【演出】  水田成英　    【プロデュース】  長部聡介　  清水一幸【メインテーマ】  坂本龍一</t>
  </si>
  <si>
    <t>壹岐正(唐沢寿明)と兵頭信一良(竹野内豊)は、ソ連の首都モスクワを訪れる。イラン・サルベスタン鉱区の国際入札に際し、他社の入札価格を入手すべく、イラン国王の側近である医師ドクター・フォルジに会うためだった。一方、五菱商事、五井物産とともに日本石油公社グループとしてサルベスタン鉱区の国際入札に臨む東京商事の鮫島辰三(遠藤憲一)は、日本の企業を集めた経済ミッションを派遣し、イラン政府へのアピールに成功していた。そんな折、兵頭がテヘランから姿を消したとの情報を得た鮫島は、近畿商事が何らかの行動を起こしているのではないかと不審を抱く。壹岐たちは、フォルジがイラン・イスファハンの名門一族の出身であること、内乱で当時10歳だったフォルジの目の前で一族が殺されるという過酷な体験をしていることを知る。フォルジとの面会を果たした壹岐は、そこで敢えてイスファハンのことを口にした。それに対してフォルジは、シベリアには何年いたのか、と壹岐に返す。同じころ、鮫島は、義理の娘でもある直子(多部未華子)をだまし、壹岐がモスクワにいることを聞きだす。壹岐たちがイラン国王の側近と接触したことを確信した鮫島は、五菱商事の神尾(名高達男)や五井物産の神尾(大門正明)に対し、入札価格に500万ドル上乗せすべきだと訴える。同じころ、帰国した壹岐は、社長の大門一三(原田芳雄)にフォルジから提示された条件を伝える。</t>
  </si>
  <si>
    <t>番組名&lt;木曜劇場&gt;フジテレビ開局50周年記念ドラマ不毛地帯　#18</t>
  </si>
  <si>
    <t>['#18']</t>
  </si>
  <si>
    <t>近畿商事が米独立系石油開発会社オリオン・オイル社と組んでイランのサルベスタン鉱区を落札してから3年8カ月が過ぎようとしていた。副社長となった壹岐正(唐沢寿明)は、人事、総務、業務、海外事業の4部門を掌握し、事実上、近畿商事の経営全般を指揮する権限を有するようになっていた。  　一方、石油部長だった兵頭信一良(竹野内豊)は、石油、ガスなどを統括するエネルギー部門の担当常務に昇進していた。サルベスタンではすでに3本の井戸を掘っていたが、石油は一滴も出なかった。現在、四号井の掘削を進めているものの、これまでに合計50億円もの掘削費が泡と消えていた。そんな矢先、四号井が深さ4750フィートで逸泥を起こし、いつ暴噴するかわからないとの連絡が入る。現地に向かった兵頭は、石油があると思われる深度5000～8000フィートまで掘り進める方法を模索した。だが、これ以上掘るのは不可能だという現場責任者の判断もあり、四号井の廃坑を決断する。四号井の廃坑を受け、日本石油公社は近畿商事への支援打ち切りを決定する。壹岐は、社長の大門一三(原田芳雄)に五号井の掘削を願い出た。しかし大門は、公社が手を引いた以上資金繰りができないとして、サルベスタンから撤退すると言い出す。開発を諦めきれない壹岐は、中東の石油事情に詳しい国際ロビイストの竹中莞爾(清水紘冶)を訪ね…。唐沢寿明　    (以下、五十音順)　    阿部サダヲ　  遠藤憲一　  梶原善　  岸部一徳　  小雪　  篠井英介　  竹野内豊　  多部未華子　  袴田吉彦　  橋爪功　  原田芳雄　    ほか【原作】  『不毛地帯』山崎豊子(新潮文庫刊)　    【脚本】  橋部敦子【演出】  水田成英　    【プロデュース】  長部聡介　  清水一幸【メインテーマ】  坂本龍一</t>
  </si>
  <si>
    <t>近畿商事が米独立系石油開発会社オリオン・オイル社と組んでイランのサルベスタン鉱区を落札してから3年8カ月が過ぎようとしていた。副社長となった壹岐正(唐沢寿明)は、人事、総務、業務、海外事業の4部門を掌握し、事実上、近畿商事の経営全般を指揮する権限を有するようになっていた。  　一方、石油部長だった兵頭信一良(竹野内豊)は、石油、ガスなどを統括するエネルギー部門の担当常務に昇進していた。サルベスタンではすでに3本の井戸を掘っていたが、石油は一滴も出なかった。現在、四号井の掘削を進めているものの、これまでに合計50億円もの掘削費が泡と消えていた。そんな矢先、四号井が深さ4750フィートで逸泥を起こし、いつ暴噴するかわからないとの連絡が入る。現地に向かった兵頭は、石油があると思われる深度5000～8000フィートまで掘り進める方法を模索した。だが、これ以上掘るのは不可能だという現場責任者の判断もあり、四号井の廃坑を決断する。四号井の廃坑を受け、日本石油公社は近畿商事への支援打ち切りを決定する。壹岐は、社長の大門一三(原田芳雄)に五号井の掘削を願い出た。しかし大門は、公社が手を引いた以上資金繰りができないとして、サルベスタンから撤退すると言い出す。開発を諦めきれない壹岐は、中東の石油事情に詳しい国際ロビイストの竹中莞爾(清水紘冶)を訪ね…。</t>
  </si>
  <si>
    <t>番組名&lt;木曜劇場&gt;フジテレビ開局50周年記念ドラマ不毛地帯　#19</t>
  </si>
  <si>
    <t>['#19']</t>
  </si>
  <si>
    <t>近畿商事は、副社長の壹岐正(唐沢寿明)、エネルギー部門の担当常務である兵頭信一良(竹野内豊)を中心に、イラン・サルベスタンの掘削を開始した。だが、60億円もの費用を投じて4本の井戸を掘ったにもかかわらず油田を掘り当てることはできなかった。そんな中、最後の望みを託した五号井がガス暴噴を起こしたとの連絡が入る。それ以来、現場からの連絡が途絶え、電話も繋がらない状態が続いたため、焦りを隠せない壹岐。2日後、壹岐のもとにようやく現地にいる兵頭からの連絡が入った。徹夜の作業で、五号井はようやく正常循環に戻ったという。壹岐は、ガス暴噴は油がある兆候だという兵頭の言葉を信じ、掘削の再開を指示する。そんなある夜、壹岐のもとに東京商事の鮫島辰三(遠藤憲一)がやってくる。そこで鮫島は、大門一三(原田芳雄)が綿花相場で苦戦しているという話を切り出す。近畿商事のメインバンクである第三銀行の頭取が、その件で大門のことを心配していたというのだ。  　あくる朝、壹岐は、綿花部長の伊原(上杉祥三)を呼び出し、真相を問いただした。伊原によれば、大門は50億円近い損失を出しているらしい。それを知った壹岐は、綿花相場から手を引くよう、大門に迫った。危機感を抱いた大門は、壹岐を近畿商事から出すのなら戻る、という里井達也(岸部一徳)が出した条件を聞き入れ、彼を近畿商事に戻すことにする。唐沢寿明　    (以下、五十音順)　    阿部サダヲ　  天海祐希　  遠藤憲一　  梶原善　  岸部一徳　  小雪　  篠井英介　  竹野内豊　  多部未華子　  袴田吉彦　  原田芳雄　    ほか【原作】  『不毛地帯』山崎豊子(新潮文庫刊)　    【脚本】  橋部敦子【演出】  水田成英　    【プロデュース】  長部聡介　  清水一幸【メインテーマ】  坂本龍一</t>
  </si>
  <si>
    <t>近畿商事は、副社長の壹岐正(唐沢寿明)、エネルギー部門の担当常務である兵頭信一良(竹野内豊)を中心に、イラン・サルベスタンの掘削を開始した。だが、60億円もの費用を投じて4本の井戸を掘ったにもかかわらず油田を掘り当てることはできなかった。そんな中、最後の望みを託した五号井がガス暴噴を起こしたとの連絡が入る。それ以来、現場からの連絡が途絶え、電話も繋がらない状態が続いたため、焦りを隠せない壹岐。2日後、壹岐のもとにようやく現地にいる兵頭からの連絡が入った。徹夜の作業で、五号井はようやく正常循環に戻ったという。壹岐は、ガス暴噴は油がある兆候だという兵頭の言葉を信じ、掘削の再開を指示する。そんなある夜、壹岐のもとに東京商事の鮫島辰三(遠藤憲一)がやってくる。そこで鮫島は、大門一三(原田芳雄)が綿花相場で苦戦しているという話を切り出す。近畿商事のメインバンクである第三銀行の頭取が、その件で大門のことを心配していたというのだ。  　あくる朝、壹岐は、綿花部長の伊原(上杉祥三)を呼び出し、真相を問いただした。伊原によれば、大門は50億円近い損失を出しているらしい。それを知った壹岐は、綿花相場から手を引くよう、大門に迫った。危機感を抱いた大門は、壹岐を近畿商事から出すのなら戻る、という里井達也(岸部一徳)が出した条件を聞き入れ、彼を近畿商事に戻すことにする。</t>
  </si>
  <si>
    <t>0910_CX_月21</t>
  </si>
  <si>
    <t>東京DOGS</t>
  </si>
  <si>
    <t>番組名東京DOGS　#01</t>
  </si>
  <si>
    <t>ニューヨークのとある駐車場。日本とアメリカをまたにかける国際麻薬シンジケートの取引がまさに行われようとしていた。マフィアたちを一網打尽にしようと布陣するのは、高倉奏(小栗旬)が指揮するニューヨーク市警。日本からは警視庁特殊捜査課刑事の工藤マルオ(水嶋ヒロ)と後輩の堀川経一(勝地涼)が参加。  　取引が始まろうとした時、刑事たちは取り囲むが、車が爆発したすきにマフィアたちは逃げ出してしまう。執拗に日本人ボスを捕まえようとする奏。だが、ボスは逃走してしまった。現場には、記憶喪失の日本人女性、松永由岐(吉高由里子)が取り残されていた。  　奏は由岐を護送して日本へ。由岐の隠された記憶を知りたい奏を、マルオは手伝わされることになった。2人は、マンションの一室に保護した由岐を監視。  　奏は、マンションを見張る不審な車に気づく。車を追跡した奏はマルオを伴って空き家にたどり着く。そこで奏たちは、2人の犯人を確保。だが、奏は簡単すぎたことに疑問を持つ。  　由岐は、奏とマルオの意思に関わらず、自分でも記憶を取り戻そうとしていた。奏とマルオは堀川にも手伝わせて、由岐の外出に付き合う。その時、奏は自分たちを監視しているような気配を感じる。  　疑問をぬぐいきれない奏は再び空き家を捜査。結果、空き家には3人目の人物がいたことが浮上。その男は棚島秀夫(成宮寛貴)だった。奏たちは棚島を追う事になる。小栗旬　  水嶋ヒロ　  吉高由里子　  勝地涼　  東幹久　  志賀廣太郎　  臼田あさ美  　○　  ともさかりえ  　○　  水上剣星　  矢崎広　  川口春奈　  吉村卓也  　○　  田中好子(特別出演)　  大塚寧々　  三浦友和　    【1話ゲスト】  成宮寛貴【脚本】  福田雄一【演出】  成田岳　  石井祐介　    【プロデュース】  鹿内植Rita-iota　    【主題歌】「ふたつの唇」EXILE(rhythm　zone)</t>
  </si>
  <si>
    <t>ニューヨークのとある駐車場。日本とアメリカをまたにかける国際麻薬シンジケートの取引がまさに行われようとしていた。マフィアたちを一網打尽にしようと布陣するのは、高倉奏(小栗旬)が指揮するニューヨーク市警。日本からは警視庁特殊捜査課刑事の工藤マルオ(水嶋ヒロ)と後輩の堀川経一(勝地涼)が参加。  　取引が始まろうとした時、刑事たちは取り囲むが、車が爆発したすきにマフィアたちは逃げ出してしまう。執拗に日本人ボスを捕まえようとする奏。だが、ボスは逃走してしまった。現場には、記憶喪失の日本人女性、松永由岐(吉高由里子)が取り残されていた。  　奏は由岐を護送して日本へ。由岐の隠された記憶を知りたい奏を、マルオは手伝わされることになった。2人は、マンションの一室に保護した由岐を監視。  　奏は、マンションを見張る不審な車に気づく。車を追跡した奏はマルオを伴って空き家にたどり着く。そこで奏たちは、2人の犯人を確保。だが、奏は簡単すぎたことに疑問を持つ。  　由岐は、奏とマルオの意思に関わらず、自分でも記憶を取り戻そうとしていた。奏とマルオは堀川にも手伝わせて、由岐の外出に付き合う。その時、奏は自分たちを監視しているような気配を感じる。  　疑問をぬぐいきれない奏は再び空き家を捜査。結果、空き家には3人目の人物がいたことが浮上。その男は棚島秀夫(成宮寛貴)だった。奏たちは棚島を追う事になる。</t>
  </si>
  <si>
    <t>番組名東京DOGS　#02</t>
  </si>
  <si>
    <t>高倉奏(小栗旬)と工藤マルオ(水嶋ヒロ)は、とあるデートクラブを摘発。奏が追う組織が関与するとの情報もあり、拳銃も押収される。だが、組織の人間が使用する“蜂のバッジ"は見つからず、どうやら情報はガセだった。その夜、組織に追われる松永由岐(吉高由里子)を警護する奏たちは、彼女をかくまうマンションを移す。  　そんな時、大物弁護士・小宮山義彦(杉本哲太)が自宅前で何者かに狙撃された。特殊捜査課長の大友幸三(三浦友和)は、小宮山と息子の宏輔(小林海人)の警護と事件の捜査を奏たちに命じる。宏輔は、由岐のマンションに保護され、小宮山は警視庁の官舎に泊まることになった。  　奏たちは、仕事中の小宮山を警護。だが、クライアントの建設会社社長・柴田雄三(佐々木勝彦)に呼び出された小宮山は、事務所から抜け出してしまう。小宮山の行動に気づいた奏たちが後を追う。すると、タクシーを捕まえようとしている小宮山の足元で銃弾が炸裂!!その後も小宮山への執拗に続く攻撃に防戦一方の奏たち。そして、犯人たちのほこさきは宏輔に…!小栗旬　  水嶋ヒロ　  吉高由里子　  勝地涼　  東幹久　  志賀廣太郎　  臼田あさ美  　○　  ともさかりえ  　○　  水上剣星　  矢崎広　  川口春奈　  吉村卓也  　○　  田中好子(特別出演)　  大塚寧々　  三浦友和　    【2話ゲスト】  杉本哲太【脚本】  福田雄一【演出】  成田岳　  石井祐介Rita-iota　    【主題歌】  「ふたつの唇」EXILE(rhythm　zone)</t>
  </si>
  <si>
    <t>高倉奏(小栗旬)と工藤マルオ(水嶋ヒロ)は、とあるデートクラブを摘発。奏が追う組織が関与するとの情報もあり、拳銃も押収される。だが、組織の人間が使用する“蜂のバッジ"は見つからず、どうやら情報はガセだった。その夜、組織に追われる松永由岐(吉高由里子)を警護する奏たちは、彼女をかくまうマンションを移す。  　そんな時、大物弁護士・小宮山義彦(杉本哲太)が自宅前で何者かに狙撃された。特殊捜査課長の大友幸三(三浦友和)は、小宮山と息子の宏輔(小林海人)の警護と事件の捜査を奏たちに命じる。宏輔は、由岐のマンションに保護され、小宮山は警視庁の官舎に泊まることになった。  　奏たちは、仕事中の小宮山を警護。だが、クライアントの建設会社社長・柴田雄三(佐々木勝彦)に呼び出された小宮山は、事務所から抜け出してしまう。小宮山の行動に気づいた奏たちが後を追う。すると、タクシーを捕まえようとしている小宮山の足元で銃弾が炸裂!!その後も小宮山への執拗に続く攻撃に防戦一方の奏たち。そして、犯人たちのほこさきは宏輔に…!</t>
  </si>
  <si>
    <t>番組名東京DOGS　#03</t>
  </si>
  <si>
    <t>高倉奏(小栗旬)は、松永由岐(吉高由里子)が思い出した“銃をつきつけられた男"の記憶を重視。そんな時、由岐の姉、恵理(浅見れいな)が判明しマンションへとやって来た。  　一方、工藤マルオ(水嶋ヒロ)の暴走族時代の後輩、蒲田シゲオ(矢崎広)に殺人容疑が。シゲオの祖父母を脅す、悪徳なサラ金業者の取立て屋が射殺されたのだ。シゲオを弟のように可愛がるマルオは、犯行を否定する。　マルオはシゲオがアルバイトをしているクリーニング店へ。その店は、マルオとシゲオの先輩・木内真二(鈴木亮平)が経営していた。殺人事件のあった日、シゲオは店で働いていたが、木内はシゲオの配達がかなり遅れたことを報告。  　木内と話しているマルオの携帯電話にシゲオから連絡が入る。犯行を否定するシゲオに、マルオは木内とともに会いに行く。だが、約束の場所で待っていたのはシゲオではなく数人の男たち。どうやら、男たちの狙いは木内。  　奏は、木内が事件に関する何かを知っているのではないかと尋ねる。すると木内は、元暴力団の自分にシゲオが銃の入手ルートを教えて欲しいと頼んできたが断ったと答えた。  　犯行に使われた銃が発見される。銃からシゲオの指紋が検出された。それでも、シゲオは犯人ではないと主張するマルオに奏は…。一方、恵理の持ってきたアルバムを見ていた由岐は、ある記憶を思い出す。小栗旬　  水嶋ヒロ　  吉高由里子　  勝地涼　  東幹久　  志賀廣太郎　  臼田あさ美  　○　  ともさかりえ  　○　  水上剣星　  矢崎広　  川口春奈　  吉村卓也  　○　  田中好子(特別出演)　  大塚寧々　  三浦友和【脚本】  福田雄一【演出】  成田岳　  石井祐介　    【プロデュース】  鹿内植Rita-iota　    【主題歌】  「ふたつの唇」EXILE(rhythm　zone)</t>
  </si>
  <si>
    <t>高倉奏(小栗旬)は、松永由岐(吉高由里子)が思い出した“銃をつきつけられた男"の記憶を重視。そんな時、由岐の姉、恵理(浅見れいな)が判明しマンションへとやって来た。  　一方、工藤マルオ(水嶋ヒロ)の暴走族時代の後輩、蒲田シゲオ(矢崎広)に殺人容疑が。シゲオの祖父母を脅す、悪徳なサラ金業者の取立て屋が射殺されたのだ。シゲオを弟のように可愛がるマルオは、犯行を否定する。　マルオはシゲオがアルバイトをしているクリーニング店へ。その店は、マルオとシゲオの先輩・木内真二(鈴木亮平)が経営していた。殺人事件のあった日、シゲオは店で働いていたが、木内はシゲオの配達がかなり遅れたことを報告。  　木内と話しているマルオの携帯電話にシゲオから連絡が入る。犯行を否定するシゲオに、マルオは木内とともに会いに行く。だが、約束の場所で待っていたのはシゲオではなく数人の男たち。どうやら、男たちの狙いは木内。  　奏は、木内が事件に関する何かを知っているのではないかと尋ねる。すると木内は、元暴力団の自分にシゲオが銃の入手ルートを教えて欲しいと頼んできたが断ったと答えた。  　犯行に使われた銃が発見される。銃からシゲオの指紋が検出された。それでも、シゲオは犯人ではないと主張するマルオに奏は…。一方、恵理の持ってきたアルバムを見ていた由岐は、ある記憶を思い出す。</t>
  </si>
  <si>
    <t>番組名東京DOGS　#04</t>
  </si>
  <si>
    <t>高倉奏(小栗旬)と工藤マルオ(水嶋ヒロ)の特殊捜査課は、食品会社を製品への毒物混入で脅す事件に着手。犯人の手口から、田村(板尾創路)という男が浮上。田村は、かつて舞島ミサ(大塚寧々)が執拗(しつよう)に追い、その人生をも変えてしまった男だった。  　また、大友幸三(三浦友和)は奏に英字で書かれた資料を渡す。資料の上には宮田淳二(高杉亘)の写真。神野の組織幹部の宮田が、ニューヨークから日本へ来ているらしい。  その頃、松永由岐(吉高由里子)の働くレストランで、彼女のお目付け役をする堀川経一(勝地涼)は、特殊捜査課らしい仕事が出来ないと落ち込んでいる様子。一方、由岐はスマートに働く吉村を名乗る甲斐崎ヒロト(水上剣星)に心をほぐしていく。そんな由岐に、マルオは自分の心が変化するのを感じていた。  　食品会社脅迫犯の指定した現金受け渡しが始まる。捜査員たちは犯人を捕らえるが、田村ではなかった。また、その男は見知らぬ男に銃で脅されてやっただけだと言う。  　一方、隠れ家とする地下のバーで吉村の仮面を脱いだ甲斐崎と部下の下山(石川裕一)の前には縛り上げられた宮田がいた。組織幹部の宮田を縛り上げる甲斐崎たちの意図とは…。  　現金受け渡しに失敗した企業脅迫犯は、毒入り製品のバラ巻きを始めた。奏は舞島に犯人は田村ではないのではないかと聞く。そんな時、当の田村から捜査課に電話が入った。小栗旬　  水嶋ヒロ　  吉高由里子　  勝地涼　  東幹久　  志賀廣太郎　  臼田あさ美  　○　  ともさかりえ  　○　  水上剣星　  矢崎広　  川口春奈　  吉村卓也  　○　  田中好子(特別出演)　  大塚寧々　  三浦友和【脚本】  福田雄一【演出】  成田岳　  石井祐介　    【プロデュース】  鹿内植Rita-iota　    【主題歌】  「ふたつの唇」EXILE(rhythm　zone)</t>
  </si>
  <si>
    <t>高倉奏(小栗旬)と工藤マルオ(水嶋ヒロ)の特殊捜査課は、食品会社を製品への毒物混入で脅す事件に着手。犯人の手口から、田村(板尾創路)という男が浮上。田村は、かつて舞島ミサ(大塚寧々)が執拗(しつよう)に追い、その人生をも変えてしまった男だった。  　また、大友幸三(三浦友和)は奏に英字で書かれた資料を渡す。資料の上には宮田淳二(高杉亘)の写真。神野の組織幹部の宮田が、ニューヨークから日本へ来ているらしい。  その頃、松永由岐(吉高由里子)の働くレストランで、彼女のお目付け役をする堀川経一(勝地涼)は、特殊捜査課らしい仕事が出来ないと落ち込んでいる様子。一方、由岐はスマートに働く吉村を名乗る甲斐崎ヒロト(水上剣星)に心をほぐしていく。そんな由岐に、マルオは自分の心が変化するのを感じていた。  　食品会社脅迫犯の指定した現金受け渡しが始まる。捜査員たちは犯人を捕らえるが、田村ではなかった。また、その男は見知らぬ男に銃で脅されてやっただけだと言う。  　一方、隠れ家とする地下のバーで吉村の仮面を脱いだ甲斐崎と部下の下山(石川裕一)の前には縛り上げられた宮田がいた。組織幹部の宮田を縛り上げる甲斐崎たちの意図とは…。  　現金受け渡しに失敗した企業脅迫犯は、毒入り製品のバラ巻きを始めた。奏は舞島に犯人は田村ではないのではないかと聞く。そんな時、当の田村から捜査課に電話が入った。</t>
  </si>
  <si>
    <t>番組名東京DOGS　#05</t>
  </si>
  <si>
    <t>高倉奏(小栗旬)は殺害された神野の組織の幹部、宮田淳二(高杉亘)の手帳から中尾(坂田聡)と接触。  　奏と西岡ゆり(ともさかりえ)は、松永由岐(吉高由里子)が思い出した銃を突きつけられた男は、彼女の恋人の可能性があると意見を一致させる。さらに記憶を思い出させようと焦る奏に、由岐は自分を信じて欲しいと怒る。  　特殊捜査課に家出少女の保護依頼が来た。少女の名は松尾玲子(近野成美)。玲子が身を寄せるモデル事務所には、売春と麻薬斡旋の疑惑があった。  　奏と工藤マルオ(水嶋ヒロ)がモデル事務所に行くと、社長の三島(風間トオル)が出迎えた。奏たちが玲子の件を切り出すと、三島は家出少女だとは知らなかったと言い、すぐに引き合わせる。  　玲子の恋人らしき男が割れた。件のモデル事務所のスカウトマン、安藤友秋(氏家拓朗)だ。安藤は、渋谷や原宿でティーン相手に麻薬売買を行っていた。　奏とマルオは安藤の件を三島に話す。すると三島は、安藤が麻薬売買を行っているなら即刻、クビにすると言う。奏たちが事務所を出ようとすると玲子と鉢合わせ。2人が再び玲子を彼女の実家に連れ帰ると、奏の携帯に中尾から1時間後に麻薬取引が行われると連絡が…。  　奏はマルオと麻薬取引の現場へ。奏が現場の異常さに気づいた時、横たわる中尾を発見!!小栗旬　  水嶋ヒロ　  吉高由里子　  勝地涼　  東幹久　  志賀廣太郎　  臼田あさ美  　○　  ともさかりえ  　○　  水上剣星　  矢崎広　  川口春奈　  吉村卓也  　○　  田中好子(特別出演)　  大塚寧々　  三浦友和【脚本】  福田雄一【演出】  成田岳　  石井祐介　    【プロデュース】  鹿内植Rita-iota　    【主題歌】  「ふたつの唇」EXILE(rhythm　zone)</t>
  </si>
  <si>
    <t>高倉奏(小栗旬)は殺害された神野の組織の幹部、宮田淳二(高杉亘)の手帳から中尾(坂田聡)と接触。  　奏と西岡ゆり(ともさかりえ)は、松永由岐(吉高由里子)が思い出した銃を突きつけられた男は、彼女の恋人の可能性があると意見を一致させる。さらに記憶を思い出させようと焦る奏に、由岐は自分を信じて欲しいと怒る。  　特殊捜査課に家出少女の保護依頼が来た。少女の名は松尾玲子(近野成美)。玲子が身を寄せるモデル事務所には、売春と麻薬斡旋の疑惑があった。  　奏と工藤マルオ(水嶋ヒロ)がモデル事務所に行くと、社長の三島(風間トオル)が出迎えた。奏たちが玲子の件を切り出すと、三島は家出少女だとは知らなかったと言い、すぐに引き合わせる。  　玲子の恋人らしき男が割れた。件のモデル事務所のスカウトマン、安藤友秋(氏家拓朗)だ。安藤は、渋谷や原宿でティーン相手に麻薬売買を行っていた。　奏とマルオは安藤の件を三島に話す。すると三島は、安藤が麻薬売買を行っているなら即刻、クビにすると言う。奏たちが事務所を出ようとすると玲子と鉢合わせ。2人が再び玲子を彼女の実家に連れ帰ると、奏の携帯に中尾から1時間後に麻薬取引が行われると連絡が…。  　奏はマルオと麻薬取引の現場へ。奏が現場の異常さに気づいた時、横たわる中尾を発見!!</t>
  </si>
  <si>
    <t>番組名東京DOGS　#06</t>
  </si>
  <si>
    <t>高倉奏(小栗旬)と工藤マルオ(水嶋ヒロ)は、松永由岐(吉高由里子)と西岡ゆり(ともさかりえ)の診察室へ。由岐はかなり記憶を蘇らせていたのだが、神野との関係を尋ねる奏に答えることが出来ない。なぜなら、由岐は記憶から神野が自分の恋人だったらしいことを知ったからだ。神野は奏にとっては、父親を殺害した憎むべき相手。  　一方、特殊捜査課では近く神野の組織が大規模な麻薬取引を行うと踏む。奏は単身、取引相手の室井組に潜入捜査することに。室井組の闇のカジノバーに乗り込むと、マルオもやって来てしまう。大友(三浦友和)の命令だと言うマルオだが、実は勝手な行動。そして、2人は組長の室井(清水紘治)と会うことに成功。奏は、大きな麻薬取引があるなら自分たちにも薬を流して欲しいと要求。室井が断ろうとした時、銃弾が襲う。身を挺してかばった奏は、室井に認められ取引に加わることになった。　奏とマルオは、麻薬取引の日時を捜査課に報告。捜査課員たちは、現場に向かい、いよいよ室井組と神野たちの取引が始まろうとしていた。果たして、奏とマルオは、このまま正体がバレることなく現場を押さえられるのか?そして、神野はその姿を現すのだろうか?小栗旬　  水嶋ヒロ　  吉高由里子　  勝地涼　  東幹久　  志賀廣太郎　  臼田あさ美  　○　  ともさかりえ  　○　  水上剣星　  矢崎広　  川口春奈　  吉村卓也  　○　  田中好子(特別出演)　  大塚寧々　  三浦友和【脚本】  福田雄一【演出】  成田岳　  石井祐介　    【プロデュース】  鹿内植Rita-iota　    【主題歌】  「ふたつの唇」EXILE(rhythm　zone)</t>
  </si>
  <si>
    <t>高倉奏(小栗旬)と工藤マルオ(水嶋ヒロ)は、松永由岐(吉高由里子)と西岡ゆり(ともさかりえ)の診察室へ。由岐はかなり記憶を蘇らせていたのだが、神野との関係を尋ねる奏に答えることが出来ない。なぜなら、由岐は記憶から神野が自分の恋人だったらしいことを知ったからだ。神野は奏にとっては、父親を殺害した憎むべき相手。  　一方、特殊捜査課では近く神野の組織が大規模な麻薬取引を行うと踏む。奏は単身、取引相手の室井組に潜入捜査することに。室井組の闇のカジノバーに乗り込むと、マルオもやって来てしまう。大友(三浦友和)の命令だと言うマルオだが、実は勝手な行動。そして、2人は組長の室井(清水紘治)と会うことに成功。奏は、大きな麻薬取引があるなら自分たちにも薬を流して欲しいと要求。室井が断ろうとした時、銃弾が襲う。身を挺してかばった奏は、室井に認められ取引に加わることになった。　奏とマルオは、麻薬取引の日時を捜査課に報告。捜査課員たちは、現場に向かい、いよいよ室井組と神野たちの取引が始まろうとしていた。果たして、奏とマルオは、このまま正体がバレることなく現場を押さえられるのか?そして、神野はその姿を現すのだろうか?</t>
  </si>
  <si>
    <t>番組名東京DOGS　#07</t>
  </si>
  <si>
    <t>高倉奏(小栗旬)に、松永由岐(吉高由里子)は神野が自分の恋人だったことを思い出したと打ち明けた。以来、気まずくなる奏と由岐の雰囲気に工藤マルオ(水嶋ヒロ)はやきもきし始める。  　神野は逃したが、特殊捜査課は組織の部下を捕らえていた。取り調べていた鈴江光男(志賀廣太郎)は野球賭博に関する情報を得た。プロ球団、シャークスの矢野亮介(塚本高史)が関与しているらしく、奏とマルオは張り込みを始める。そんな中、マルオは、久しぶりに奏と3人でディナーをしないかと由岐を誘う。  　その日、由岐は西岡ゆり(ともさかりえ)、堀川経一(勝地涼)と神野との思い出が残る場所を巡る。由岐は過去のほとんどを思い出したが、ニューヨークでの最後の記憶が封印されたままだった。早く全部思い出したいと焦る由岐に、ゆりは辛い記憶を無理に思い出す必要はないと話す。  　その頃、球場で矢野を見張る奏は、本人に聞いてみると言う。しかし、素直に答えるわけがない。その時、マルオはスタンドに不審な男を見つける。  　帰り道、由岐とのディナーを念押しして奏を先にマンションへ帰すマルオ。マルオはディナーのためのケーキを買いに行く。と、その店先に球場で見かけた不審者が。マルオが追うと、男は雑居ビルへと姿を消す。そこは、賭博の元締め事務所。中からは、賭博に関する男たちの会話が聞こえる。マルオは、事務所へと飛び込んだ。小栗旬　  水嶋ヒロ　  吉高由里子　  勝地涼　  東幹久　  志賀廣太郎　  臼田あさ美  　○　  ともさかりえ  　○　  水上剣星　  矢崎広　  川口春奈　  吉村卓也  　○　  田中好子(特別出演)　  大塚寧々　  三浦友和【脚本】  福田雄一【演出】  成田岳　  石井祐介　    【プロデュース】  鹿内植Rita-iota　    【主題歌】  「ふたつの唇」EXILE(rhythm　zone)</t>
  </si>
  <si>
    <t>高倉奏(小栗旬)に、松永由岐(吉高由里子)は神野が自分の恋人だったことを思い出したと打ち明けた。以来、気まずくなる奏と由岐の雰囲気に工藤マルオ(水嶋ヒロ)はやきもきし始める。  　神野は逃したが、特殊捜査課は組織の部下を捕らえていた。取り調べていた鈴江光男(志賀廣太郎)は野球賭博に関する情報を得た。プロ球団、シャークスの矢野亮介(塚本高史)が関与しているらしく、奏とマルオは張り込みを始める。そんな中、マルオは、久しぶりに奏と3人でディナーをしないかと由岐を誘う。  　その日、由岐は西岡ゆり(ともさかりえ)、堀川経一(勝地涼)と神野との思い出が残る場所を巡る。由岐は過去のほとんどを思い出したが、ニューヨークでの最後の記憶が封印されたままだった。早く全部思い出したいと焦る由岐に、ゆりは辛い記憶を無理に思い出す必要はないと話す。  　その頃、球場で矢野を見張る奏は、本人に聞いてみると言う。しかし、素直に答えるわけがない。その時、マルオはスタンドに不審な男を見つける。  　帰り道、由岐とのディナーを念押しして奏を先にマンションへ帰すマルオ。マルオはディナーのためのケーキを買いに行く。と、その店先に球場で見かけた不審者が。マルオが追うと、男は雑居ビルへと姿を消す。そこは、賭博の元締め事務所。中からは、賭博に関する男たちの会話が聞こえる。マルオは、事務所へと飛び込んだ。</t>
  </si>
  <si>
    <t>番組名東京DOGS　#08</t>
  </si>
  <si>
    <t>神野が死んでいた…。松永由岐(吉高由里子)が取り戻した記憶は、高倉奏(小栗旬)を落胆させる内容だった。工藤マルオ(水嶋ヒロ)は一件落着と喜ぶが、奏はにわかに信じることなど出来ない。由岐自身も自分の記憶に悩み苦しんでいる。そんな由岐に、奏は自分が守ると約束する。  　その矢先、由岐が甲斐崎ヒロト(水上剣星)たちにさらわれてしまう。甲斐崎は由岐を利用して、神野を誘き出そうとしていた。自分が守ると約束した奏は珍しく動揺。ようやく、由岐の居場所を突き止めるのだが、そこには神野の組織もやって来て、警察、甲斐崎たちとの乱戦になってしまう。  　そんな中、奏は目の前で甲斐崎たちに由岐を連れ去られる。マルオの声も届かないほど混乱する奏は、珍しく判断を誤ってしまった。小栗旬　  水嶋ヒロ　  吉高由里子　  勝地涼　  東幹久　  志賀廣太郎　  臼田あさ美  　○　  ともさかりえ  　○　  水上剣星　  矢崎広　  川口春奈　  吉村卓也  　○　  田中好子(特別出演)　  大塚寧々　  三浦友和【脚本】  福田雄一【演出】  成田岳　  石井祐介　    【プロデュース】  鹿内植Rita-iota　    【主題歌】  「ふたつの唇」EXILE(rhythm　zone)</t>
  </si>
  <si>
    <t>神野が死んでいた…。松永由岐(吉高由里子)が取り戻した記憶は、高倉奏(小栗旬)を落胆させる内容だった。工藤マルオ(水嶋ヒロ)は一件落着と喜ぶが、奏はにわかに信じることなど出来ない。由岐自身も自分の記憶に悩み苦しんでいる。そんな由岐に、奏は自分が守ると約束する。  　その矢先、由岐が甲斐崎ヒロト(水上剣星)たちにさらわれてしまう。甲斐崎は由岐を利用して、神野を誘き出そうとしていた。自分が守ると約束した奏は珍しく動揺。ようやく、由岐の居場所を突き止めるのだが、そこには神野の組織もやって来て、警察、甲斐崎たちとの乱戦になってしまう。  　そんな中、奏は目の前で甲斐崎たちに由岐を連れ去られる。マルオの声も届かないほど混乱する奏は、珍しく判断を誤ってしまった。</t>
  </si>
  <si>
    <t>番組名東京DOGS　#09</t>
  </si>
  <si>
    <t>高倉奏(小栗旬)が父の敵と追い、松永由岐(吉高由里子)がかつて愛した男、神野が生きていた。神野本人が奏の携帯に電話してきたのだ。神野は警察から由岐を開放するよう要求するが呑むわけにはいかない。すると神野は、由岐に「約束は覚えている」とメッセージを残し、奏を脅して電話を切った。  　奏が録音した神野の声を聞いた由岐は、その姿まで鮮明に思い出した。神野の約束とは、クリスマスイヴでの再会だった。　その電話の後、都内で暴力団の抗争が連続で発生。大口の麻薬取引を行おうとする神野が取引相手を選ぶために起こさせた抗争だ。奏と工藤マルオ(水嶋ヒロ)はある事務所で張り込み。すると、奏の体を銃弾がかすめる。奏は、脅してきた神野の仕業と直感する。  　由岐は、奏が狙われたとマルオから聞いてショックを受ける。さらに、捜査中の堀川経一(勝地涼)がチンピラに刺された。由岐はマンションに来た田中真紀(臼田あさ美)に、あることを頼む。その頃、麻薬取引現場が割れ、特殊捜査課が一斉検挙。しかし、そこに神野の姿はない。奏は、検挙が簡単だったことに疑問を持って…。小栗旬　  水嶋ヒロ　  吉高由里子　  勝地涼　  東幹久　  志賀廣太郎　  臼田あさ美  　○　  ともさかりえ  　○　  水上剣星　  矢崎広　  川口春奈　  吉村卓也  　○　  田中好子(特別出演)　  大塚寧々　  三浦友和【脚本】  福田雄一【演出】  成田岳　  石井祐介　    【プロデュース】  鹿内植Rita-iota　    【主題歌】  「ふたつの唇」EXILE(rhythm　zone)</t>
  </si>
  <si>
    <t>高倉奏(小栗旬)が父の敵と追い、松永由岐(吉高由里子)がかつて愛した男、神野が生きていた。神野本人が奏の携帯に電話してきたのだ。神野は警察から由岐を開放するよう要求するが呑むわけにはいかない。すると神野は、由岐に「約束は覚えている」とメッセージを残し、奏を脅して電話を切った。  　奏が録音した神野の声を聞いた由岐は、その姿まで鮮明に思い出した。神野の約束とは、クリスマスイヴでの再会だった。　その電話の後、都内で暴力団の抗争が連続で発生。大口の麻薬取引を行おうとする神野が取引相手を選ぶために起こさせた抗争だ。奏と工藤マルオ(水嶋ヒロ)はある事務所で張り込み。すると、奏の体を銃弾がかすめる。奏は、脅してきた神野の仕業と直感する。  　由岐は、奏が狙われたとマルオから聞いてショックを受ける。さらに、捜査中の堀川経一(勝地涼)がチンピラに刺された。由岐はマンションに来た田中真紀(臼田あさ美)に、あることを頼む。その頃、麻薬取引現場が割れ、特殊捜査課が一斉検挙。しかし、そこに神野の姿はない。奏は、検挙が簡単だったことに疑問を持って…。</t>
  </si>
  <si>
    <t>番組名東京DOGS　#10</t>
  </si>
  <si>
    <t>高倉奏(小栗旬)は、勝手に甲斐崎ヒロト(水上剣星)の病室に行った松永由岐(吉高由里子)に怒りをぶつける。工藤マルオ(水嶋ヒロ)や西岡ゆり(ともさかりえ)がとりなそうとするが、奏は本気で由岐の身を心配していたようだ。  　特殊捜査課は、捕らえていた神野京介(仲村トオル)の部下から、麻薬の巨額取引の日時を探り出す。それは、12月24日で、神野が由岐と再会の約束をした日だった。ニューヨーク市警からは指揮官・三上真一郎(別所哲也)らが来日。三上は、今後の神野捜査の指揮権と由岐を自分たちの監視下に置くと宣言。由岐は身柄をホテルに移された。  　神野の取引相手と、その場所はなかなか判明しない。だが、三上はアメリカの麻薬王、デイビッド・ロッシの極秘来日情報をつかむ。三上は、神野とロッシの取引の可能性を示唆するが、奏はうなずけない。  　奏とマルオは、捜査課がつかんだ神野とロッシの会食場所を見張っていると何者かに狙撃されてしまう。どうやら、警察の動きが読まれていたらしい。  　クリスマスイヴ前日、ホテルマンが由岐にメッセージカードを持って来た。カードには、神野からのメッセージ。由岐は神野との約束の場所を思い出す。  　クリスマスイヴ。奏やマルオたちは、ついにつかんだ神野たちの取引場所へと向かう。  　果たして、奏は亡き父の敵を討てるのか?由岐は神野との再会を選ぶのか?そして、マルオは!?小栗旬　  水嶋ヒロ　  吉高由里子　  勝地涼　  東幹久　  志賀廣太郎　  臼田あさ美  　○　  ともさかりえ  　○　  水上剣星　  矢崎広　  川口春奈　  吉村卓也  　○　  田中好子(特別出演)　  大塚寧々　  三浦友和【脚本】  福田雄一【演出】  成田岳　  石井祐介　    【プロデュース】  鹿内植Rita-iota　    【主題歌】  「ふたつの唇」EXILE(rhythm　zone)</t>
  </si>
  <si>
    <t>高倉奏(小栗旬)は、勝手に甲斐崎ヒロト(水上剣星)の病室に行った松永由岐(吉高由里子)に怒りをぶつける。工藤マルオ(水嶋ヒロ)や西岡ゆり(ともさかりえ)がとりなそうとするが、奏は本気で由岐の身を心配していたようだ。  　特殊捜査課は、捕らえていた神野京介(仲村トオル)の部下から、麻薬の巨額取引の日時を探り出す。それは、12月24日で、神野が由岐と再会の約束をした日だった。ニューヨーク市警からは指揮官・三上真一郎(別所哲也)らが来日。三上は、今後の神野捜査の指揮権と由岐を自分たちの監視下に置くと宣言。由岐は身柄をホテルに移された。  　神野の取引相手と、その場所はなかなか判明しない。だが、三上はアメリカの麻薬王、デイビッド・ロッシの極秘来日情報をつかむ。三上は、神野とロッシの取引の可能性を示唆するが、奏はうなずけない。  　奏とマルオは、捜査課がつかんだ神野とロッシの会食場所を見張っていると何者かに狙撃されてしまう。どうやら、警察の動きが読まれていたらしい。  　クリスマスイヴ前日、ホテルマンが由岐にメッセージカードを持って来た。カードには、神野からのメッセージ。由岐は神野との約束の場所を思い出す。  　クリスマスイヴ。奏やマルオたちは、ついにつかんだ神野たちの取引場所へと向かう。  　果たして、奏は亡き父の敵を討てるのか?由岐は神野との再会を選ぶのか?そして、マルオは!?</t>
  </si>
  <si>
    <t>0910_CX_火22</t>
  </si>
  <si>
    <t>リアル・クローズ</t>
  </si>
  <si>
    <t>番組名リアル・クローズ　#01</t>
  </si>
  <si>
    <t>http://ktv.jp/real-clothes/index.html　越前屋百貨店に勤める天野絹恵(香里奈)は、恋人の山内達也(高岡蒼甫)とパリを旅行中、ファッション業界のカリスマで百貨店やファッションブランドなど多くの成功を収めている神保美姫(黒木瞳)に出会う。  　後日、帰国した絹恵は、担当のふとん売り場の仕事に戻る。同僚から厚い信頼を受け、売り場のエースとしてイキイキと働く絹恵。そんな折、婦人服統括部長に就任した美姫に会う。おしゃれが苦手な絹恵の地味な私服姿を見た美姫は「つまらない服を着ていると、つまらない人生になるわよ」と言い放つ。  　ところがその翌朝、絹恵に婦人服売り場への異動が言い渡される。美姫が率いる婦人服の新プロジェクトに加わることになったのだ。ファッションにまったく興味がない絹恵は、自分に務まるはずがないと戸惑うが・・・。　ファッションとは、恋とは、仕事とは、自分の生き方とは…現代女性が抱える等身大の「悩み」や「葛藤」をリアルに描きます。香里奈　  西島秀俊　  高岡蒼甫　  加藤夏希　  能世あんな　  真野裕子　  えれな　  南明奈　  IMALU　  小泉孝太郎　  黒木瞳【原作】  『Real　Clothes(リアル　クローズ)』槇村さとる　    【脚本】  大島里美【チーフプロデューサー】  重松圭一　    【プロデューサー】  佐野拓水　    【演出】  白木啓一郎野崎良太(Jazztronik)    【主題歌】  「きっと大丈夫」坂詰美紗子</t>
  </si>
  <si>
    <t xml:space="preserve">　越前屋百貨店に勤める天野絹恵(香里奈)は、恋人の山内達也(高岡蒼甫)とパリを旅行中、ファッション業界のカリスマで百貨店やファッションブランドなど多くの成功を収めている神保美姫(黒木瞳)に出会う。  　後日、帰国した絹恵は、担当のふとん売り場の仕事に戻る。同僚から厚い信頼を受け、売り場のエースとしてイキイキと働く絹恵。そんな折、婦人服統括部長に就任した美姫に会う。おしゃれが苦手な絹恵の地味な私服姿を見た美姫は「つまらない服を着ていると、つまらない人生になるわよ」と言い放つ。  　ところがその翌朝、絹恵に婦人服売り場への異動が言い渡される。美姫が率いる婦人服の新プロジェクトに加わることになったのだ。ファッションにまったく興味がない絹恵は、自分に務まるはずがないと戸惑うが・・・。　ファッションとは、恋とは、仕事とは、自分の生き方とは…現代女性が抱える等身大の「悩み」や「葛藤」をリアルに描きます。</t>
  </si>
  <si>
    <t>番組名リアル・クローズ　#02</t>
  </si>
  <si>
    <t>http://ktv.jp/real-clothes/index.html　未だ自分が何を着ればいいのかわからず、接客もうまくいかない絹恵(香里奈)。商品についての打ち合わせでも、ひと言も発言できず落ち込むばかり。そんな中、美姫(黒木瞳)が企画したアクセサリーフェアで凌(加藤夏希)のアシスタントを担当することを命じられる。追い詰められた絹恵は、口先だけのセールストークで客に似合わない商品を薦めてしまう。そんな態度を凌にとがめられ、ファッションも「ダサい」と批判されるが、何も言い返せない。そんな中、凌に不穏な動きが。最も厳しい同僚・凌と向き合う決意をした絹恵はある行動に出る。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白木啓一郎野崎良太(Jazztronik)　    【主題歌】  「きっと大丈夫」坂詰美紗子</t>
  </si>
  <si>
    <t xml:space="preserve">　未だ自分が何を着ればいいのかわからず、接客もうまくいかない絹恵(香里奈)。商品についての打ち合わせでも、ひと言も発言できず落ち込むばかり。そんな中、美姫(黒木瞳)が企画したアクセサリーフェアで凌(加藤夏希)のアシスタントを担当することを命じられる。追い詰められた絹恵は、口先だけのセールストークで客に似合わない商品を薦めてしまう。そんな態度を凌にとがめられ、ファッションも「ダサい」と批判されるが、何も言い返せない。そんな中、凌に不穏な動きが。最も厳しい同僚・凌と向き合う決意をした絹恵はある行動に出る。</t>
  </si>
  <si>
    <t>番組名リアル・クローズ　#03</t>
  </si>
  <si>
    <t>http://ktv.jp/real-clothes/index.html　美姫(黒木瞳)のアシスタントを務めることになった絹恵(香里奈)は、着任早々、ひっきりなしにやって来るセレブ客の対応と、次々と飛んでくる美姫の指示に追われるはめになる。  そんな中、老舗ストッキングメーカーの専務取締役・水嶋知子(片平なぎさ)が新しいドレスを選んで欲しいと美姫を訪ねてきたが、優作(西島秀俊)はこの訪問に別の思惑があると話す。その日、たった4時間で1000万円以上を売り上げた美姫は、夜には絹恵を連れて取り引き先の宴会に出席。寝る間も惜しんで働く猛烈な仕事ぶりを目の当たりにし、衝撃を受ける絹恵。そんな折、絹恵はマネージャー昇格試験に推薦されるが、美姫のように働く覚悟が持てず、受験を決意できない。  ようやく仕事にも慣れ、テキパキと仕事をこなすようになった絹恵。そんな中、絹恵のある行動で美姫を激怒させる事態がおこる。香里奈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白木啓一郎野崎良太(Jazztronik)    【主題歌】  「きっと大丈夫」坂詰美紗子</t>
  </si>
  <si>
    <t xml:space="preserve">　美姫(黒木瞳)のアシスタントを務めることになった絹恵(香里奈)は、着任早々、ひっきりなしにやって来るセレブ客の対応と、次々と飛んでくる美姫の指示に追われるはめになる。  そんな中、老舗ストッキングメーカーの専務取締役・水嶋知子(片平なぎさ)が新しいドレスを選んで欲しいと美姫を訪ねてきたが、優作(西島秀俊)はこの訪問に別の思惑があると話す。その日、たった4時間で1000万円以上を売り上げた美姫は、夜には絹恵を連れて取り引き先の宴会に出席。寝る間も惜しんで働く猛烈な仕事ぶりを目の当たりにし、衝撃を受ける絹恵。そんな折、絹恵はマネージャー昇格試験に推薦されるが、美姫のように働く覚悟が持てず、受験を決意できない。  ようやく仕事にも慣れ、テキパキと仕事をこなすようになった絹恵。そんな中、絹恵のある行動で美姫を激怒させる事態がおこる。</t>
  </si>
  <si>
    <t>番組名リアル・クローズ　#04</t>
  </si>
  <si>
    <t>http://ktv.jp/real-clothes/index.html絹恵(香里奈)は見事マネージャー試験に合格!優作(西島秀俊)のもとでのバイヤー修行が始まった。美姫(黒木瞳)の助言をヒントに、絹恵は、ある販促プランを思いつき、売れ残っていた商品を見事に売り切ることに成功する。成果が美姫に評価され、仕事への意欲をかきたてられる絹恵。そんな中、達也(高岡蒼甫)が自分との結婚を考え始めていることを知る。仕事を選ぶのか?結婚を選ぶのか?激しく揺れる絹恵に思わぬ事態が…!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白木啓一郎野崎良太(Jazztronik)    【主題歌】  「きっと大丈夫」坂詰美紗子</t>
  </si>
  <si>
    <t>絹恵(香里奈)は見事マネージャー試験に合格!優作(西島秀俊)のもとでのバイヤー修行が始まった。美姫(黒木瞳)の助言をヒントに、絹恵は、ある販促プランを思いつき、売れ残っていた商品を見事に売り切ることに成功する。成果が美姫に評価され、仕事への意欲をかきたてられる絹恵。そんな中、達也(高岡蒼甫)が自分との結婚を考え始めていることを知る。仕事を選ぶのか?結婚を選ぶのか?激しく揺れる絹恵に思わぬ事態が…!</t>
  </si>
  <si>
    <t>番組名リアル・クローズ　#05</t>
  </si>
  <si>
    <t>http://ktv.jp/real-clothes/index.html　達也(高岡蒼甫)のプロポーズを受け入れた絹恵(香里奈)は仕事を辞める決意を。その矢先、絹恵の企画したオリジナルウエディングドレスが美姫(黒木瞳)に採用され、商品化が決定。そんな中、退職の意志を美姫に言い出すことができない絹恵は思い悩み、仕事に身が入らない。    それでも最後の仕事になると腹をくくった絹恵は「倒れてでもやり遂げる」と優作(西島秀俊)に宣言。結婚退職を打ち明けられた優作は、次々と仕事を言い渡して絹恵をきりきり舞いさせる。そのお陰で仕事に追われる絹恵は、結婚の準備を着々と進める達也の話にもどこか上の空だ。    そんな折、蜂矢(小泉孝太郎)をアドバイザーに迎えたライバル百貨店が、絹恵らが考えていたものと同じコンセプトのブライダル企画をぶつけてきた!その夜、遅く帰宅した絹恵に、仕事にかまけて2人の将来に真剣に向き合おうとしないと達也が激怒。「お前は変わった」と部屋を出て行き…。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白木啓一郎野崎良太(Jazztronik)　    【主題歌】  「きっと大丈夫」坂詰美紗子</t>
  </si>
  <si>
    <t xml:space="preserve">　達也(高岡蒼甫)のプロポーズを受け入れた絹恵(香里奈)は仕事を辞める決意を。その矢先、絹恵の企画したオリジナルウエディングドレスが美姫(黒木瞳)に採用され、商品化が決定。そんな中、退職の意志を美姫に言い出すことができない絹恵は思い悩み、仕事に身が入らない。    それでも最後の仕事になると腹をくくった絹恵は「倒れてでもやり遂げる」と優作(西島秀俊)に宣言。結婚退職を打ち明けられた優作は、次々と仕事を言い渡して絹恵をきりきり舞いさせる。そのお陰で仕事に追われる絹恵は、結婚の準備を着々と進める達也の話にもどこか上の空だ。    そんな折、蜂矢(小泉孝太郎)をアドバイザーに迎えたライバル百貨店が、絹恵らが考えていたものと同じコンセプトのブライダル企画をぶつけてきた!その夜、遅く帰宅した絹恵に、仕事にかまけて2人の将来に真剣に向き合おうとしないと達也が激怒。「お前は変わった」と部屋を出て行き…。</t>
  </si>
  <si>
    <t>番組名リアル・クローズ　#06</t>
  </si>
  <si>
    <t>http://ktv.jp/real-clothes/index.html　達也(高岡蒼甫)と別れた絹恵(香里奈)。「これからは仕事に生きる」と宣言するが、一人になると浮かんでくるのは達也のことばかりだ。    　その頃、越前屋では企業イメージアップイベントとして予定されていた企画が中止となり、急遽、別の企画を立ち上げることに。  達也のことを忘れようと仕事に励む絹恵は、この企画立案に挑戦しようと奮闘。そんな中、優作(西島秀俊)に婚約者がいると知り、ショックを受けている自分に戸惑う。その夜、寂しさと会いたい気持ちが抑えきれず、絹恵は達也のマンションへ。そこで目にしたのは、晴美(山田麻衣子)と達也の仲睦まじい姿だった。達也は「俺たち、終わったんだよ」と絹恵に決別を告げ…。そんな折、まゆ(IMALU)が作ったTシャツにヒントを得た絹恵は、あるイベント企画を思いつく。美姫(黒木瞳)はこれを即決で採用。絹恵を中心に一大プロジェクトが組まれる。突然の大抜擢に驚く絹恵だが…。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白木啓一郎野崎良太(Jazztronik)　    【主題歌】  「きっと大丈夫」坂詰美紗子</t>
  </si>
  <si>
    <t xml:space="preserve">　達也(高岡蒼甫)と別れた絹恵(香里奈)。「これからは仕事に生きる」と宣言するが、一人になると浮かんでくるのは達也のことばかりだ。    　その頃、越前屋では企業イメージアップイベントとして予定されていた企画が中止となり、急遽、別の企画を立ち上げることに。  達也のことを忘れようと仕事に励む絹恵は、この企画立案に挑戦しようと奮闘。そんな中、優作(西島秀俊)に婚約者がいると知り、ショックを受けている自分に戸惑う。その夜、寂しさと会いたい気持ちが抑えきれず、絹恵は達也のマンションへ。そこで目にしたのは、晴美(山田麻衣子)と達也の仲睦まじい姿だった。達也は「俺たち、終わったんだよ」と絹恵に決別を告げ…。そんな折、まゆ(IMALU)が作ったTシャツにヒントを得た絹恵は、あるイベント企画を思いつく。美姫(黒木瞳)はこれを即決で採用。絹恵を中心に一大プロジェクトが組まれる。突然の大抜擢に驚く絹恵だが…。</t>
  </si>
  <si>
    <t>番組名リアル・クローズ　#07</t>
  </si>
  <si>
    <t>http://ktv.jp/real-clothes/index.html　美姫(黒木瞳)がヤングカジュアル売り場にアンテナコーナーを新設するプロジェクトを始動。そのチームマネージャーに任命された絹恵(香里奈)は、契約社員ながらチーフとして売り場をまとめるカリスマ販売員・小西まみ(中別府葵)に出会う。有能な、まみにプロジェクトの重要な仕事を任せようとする絹恵。ところが、まみは契約社員が失敗すればクビを切られかねないと渋り、仕事を引き受けようとしない。絹恵はまみとの間に大きな“壁"を感じ始める。仕事に高い能力を持ちながら、大きなプロジェクトに関わるチャンスを自ら潰そうとするまみに、歯がゆさを感じた絹恵は、なおもまみを説得しようとする。ところが、まみはそんな絹恵を無神経だと激怒。絹恵はまみを傷つけてしまったと思い悩む。  そんな中、二人はあることで大ゲンカに・・・。香里奈　  西島秀俊　  高岡蒼甫　  加藤夏希　  能世あんな　  真野裕子　  えれな　  南明奈　  IMALU　  小泉孝太郎　  黒木瞳【原作】  『Real　Clothes』槇村さとる(集英社刊YOUにて連載中)　    【脚本】  大島里美【演出】  白木啓一郎　  本橋圭太野崎良太　    【主題歌】  「きっと、大丈夫」坂詰美紗子</t>
  </si>
  <si>
    <t xml:space="preserve">　美姫(黒木瞳)がヤングカジュアル売り場にアンテナコーナーを新設するプロジェクトを始動。そのチームマネージャーに任命された絹恵(香里奈)は、契約社員ながらチーフとして売り場をまとめるカリスマ販売員・小西まみ(中別府葵)に出会う。有能な、まみにプロジェクトの重要な仕事を任せようとする絹恵。ところが、まみは契約社員が失敗すればクビを切られかねないと渋り、仕事を引き受けようとしない。絹恵はまみとの間に大きな“壁"を感じ始める。仕事に高い能力を持ちながら、大きなプロジェクトに関わるチャンスを自ら潰そうとするまみに、歯がゆさを感じた絹恵は、なおもまみを説得しようとする。ところが、まみはそんな絹恵を無神経だと激怒。絹恵はまみを傷つけてしまったと思い悩む。  そんな中、二人はあることで大ゲンカに・・・。</t>
  </si>
  <si>
    <t>番組名リアル・クローズ　#08</t>
  </si>
  <si>
    <t>http://ktv.jp/real-clothes/index.html　越前屋が松善との合併協議に揺れる中、優作(西島俊秀)は役員への引き上げを打診される。異例の大抜擢だが、それは優作が現場の仕事から離れることを意味していた。  美姫(黒木瞳)は新しいニット商品のプロジェクトを立ち上げ、ニットデザイナー・双葉公彦(中村靖日)との交渉を絹恵(香里奈)に託す。絹恵は優作とともに動き出そうとするが、婚約者の雪乃(奥貫薫)にフラれて以来、仕事が手につかない優作は心ここにあらず。そんな折、双葉が突然プロジェクトを降りたいと言い出す。  　すべては蜂矢(小泉孝太郎)が仕組んだことだった。双葉に取り入り、越前屋を差し置いて契約を結んだのだ。これを知り、契約を早々にあきらめてデザイナーの変更を決めた優作を絹恵は「田渕さんらしくない」と非難。1人で双葉のもとに通い詰め、辛抱強く説得を続ける。　そんな中、絹恵はニコラ(黄川田将也)の頼みで雪乃に会い、寄りを戻したい優作と会ってくれるよう頭を下げる。だが、雪乃にやり直す気はなかった。ショックを受けた優作は絹恵を相手にやけ酒を煽る。酔い潰れた優作を抱え、絹恵が優作のマンションに向かうと…。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白木啓一郎野崎良太(Jazztronik)　    【主題歌】  「きっと大丈夫」坂詰美紗子</t>
  </si>
  <si>
    <t xml:space="preserve">　越前屋が松善との合併協議に揺れる中、優作(西島俊秀)は役員への引き上げを打診される。異例の大抜擢だが、それは優作が現場の仕事から離れることを意味していた。  美姫(黒木瞳)は新しいニット商品のプロジェクトを立ち上げ、ニットデザイナー・双葉公彦(中村靖日)との交渉を絹恵(香里奈)に託す。絹恵は優作とともに動き出そうとするが、婚約者の雪乃(奥貫薫)にフラれて以来、仕事が手につかない優作は心ここにあらず。そんな折、双葉が突然プロジェクトを降りたいと言い出す。  　すべては蜂矢(小泉孝太郎)が仕組んだことだった。双葉に取り入り、越前屋を差し置いて契約を結んだのだ。これを知り、契約を早々にあきらめてデザイナーの変更を決めた優作を絹恵は「田渕さんらしくない」と非難。1人で双葉のもとに通い詰め、辛抱強く説得を続ける。　そんな中、絹恵はニコラ(黄川田将也)の頼みで雪乃に会い、寄りを戻したい優作と会ってくれるよう頭を下げる。だが、雪乃にやり直す気はなかった。ショックを受けた優作は絹恵を相手にやけ酒を煽る。酔い潰れた優作を抱え、絹恵が優作のマンションに向かうと…。</t>
  </si>
  <si>
    <t>番組名リアル・クローズ　#09</t>
  </si>
  <si>
    <t>http://ktv.jp/real-clothes/index.html　松善百貨店の合併により、越前屋には契約を解除したいという取引先からの申し出が殺到。年末商戦を前に、越前屋は存続の危機に陥っていた。そこで美姫(黒木瞳)はニューヨークの日本未上陸ブランドとの専属契約に乗り出す。先方の契約の条件は、製造を浅草の老舗靴工場『竹内』に委託すること。美姫は『竹内』との契約交渉を絹恵(香里奈)に託す。一方、絹恵は、職場で優作(西島秀俊)の顔を見るたび胸が苦しくなり、仕事が手につかない。恋をしていると凌(加藤夏希)らに指摘され、絹恵は慌てて否定するが…。  　同じ頃、蜂矢(小泉孝太郎)が凌に接触。正社員として松善に迎えたいと執拗に誘いをかける。一方、絹恵は『竹内』の社長・竹内祐造(田山涼成)に契約を持ちかけるが、相手にされず断られてしまう。なんとか説得しようと『竹内』に通い詰める絹恵は工場の片隅で1枚の写真を見つける。そこに写っていたのは20年前の美姫だった…!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白木啓一郎野崎良太(Jazztronik)　    【主題歌】  「きっと大丈夫」坂詰美紗子</t>
  </si>
  <si>
    <t xml:space="preserve">　松善百貨店の合併により、越前屋には契約を解除したいという取引先からの申し出が殺到。年末商戦を前に、越前屋は存続の危機に陥っていた。そこで美姫(黒木瞳)はニューヨークの日本未上陸ブランドとの専属契約に乗り出す。先方の契約の条件は、製造を浅草の老舗靴工場『竹内』に委託すること。美姫は『竹内』との契約交渉を絹恵(香里奈)に託す。一方、絹恵は、職場で優作(西島秀俊)の顔を見るたび胸が苦しくなり、仕事が手につかない。恋をしていると凌(加藤夏希)らに指摘され、絹恵は慌てて否定するが…。  　同じ頃、蜂矢(小泉孝太郎)が凌に接触。正社員として松善に迎えたいと執拗に誘いをかける。一方、絹恵は『竹内』の社長・竹内祐造(田山涼成)に契約を持ちかけるが、相手にされず断られてしまう。なんとか説得しようと『竹内』に通い詰める絹恵は工場の片隅で1枚の写真を見つける。そこに写っていたのは20年前の美姫だった…!</t>
  </si>
  <si>
    <t>番組名リアル・クローズ　#10</t>
  </si>
  <si>
    <t>http://ktv.jp/real-clothes/index.html　松善に客足を奪われた越前屋の売り上げは大幅ダウン。深刻な危機に陥った越前屋の社運が、美姫(黒木瞳)の進める日本初上陸ブランド『Siela&amp;Keith』との契約交渉に託される中、ブランドの幹部が緊急来日。明朝、契約を決する最終プレゼンをして欲しいと連絡してきた。　プレゼンの時間までわずか24時間。資料作成の準備に追われていた絹恵(香里奈)は、優作(西島秀俊)が蜂矢(小泉孝太郎)と密かに会っていたことを知る。最近、越前屋から優秀なスタッフが松善に引き抜かれているだけに、優作も誘われているのではと動揺する絹恵…。さらに絹恵は、蜂矢が凌(加藤夏希)とも接触していたと知ってがく然。越前屋を離れる気配を見せる仲間たちに、絹恵の動揺は激しくなるばかり。  　そんな折、蜂矢ら松善陣営も『Siela&amp;Keith』と契約交渉を進めていたことが判明。美姫は急遽、プレゼンの大きな方針転換を思いつく。絹恵らは夜を徹して準備に励むが…。香里奈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本橋圭太野崎良太(Jazztronik)　    【主題歌】  「きっと大丈夫」坂詰美紗子</t>
  </si>
  <si>
    <t xml:space="preserve">　松善に客足を奪われた越前屋の売り上げは大幅ダウン。深刻な危機に陥った越前屋の社運が、美姫(黒木瞳)の進める日本初上陸ブランド『Siela&amp;Keith』との契約交渉に託される中、ブランドの幹部が緊急来日。明朝、契約を決する最終プレゼンをして欲しいと連絡してきた。　プレゼンの時間までわずか24時間。資料作成の準備に追われていた絹恵(香里奈)は、優作(西島秀俊)が蜂矢(小泉孝太郎)と密かに会っていたことを知る。最近、越前屋から優秀なスタッフが松善に引き抜かれているだけに、優作も誘われているのではと動揺する絹恵…。さらに絹恵は、蜂矢が凌(加藤夏希)とも接触していたと知ってがく然。越前屋を離れる気配を見せる仲間たちに、絹恵の動揺は激しくなるばかり。  　そんな折、蜂矢ら松善陣営も『Siela&amp;Keith』と契約交渉を進めていたことが判明。美姫は急遽、プレゼンの大きな方針転換を思いつく。絹恵らは夜を徹して準備に励むが…。</t>
  </si>
  <si>
    <t>番組名リアル・クローズ　#11</t>
  </si>
  <si>
    <t>http://ktv.jp/real-clothes/index.html　『Siela&amp;Keith』との契約を逃した美姫(黒木瞳)は責任を問われ、統括部長を解任された。代わって絹恵(香里奈)は、クリスマス商戦企画の代替案を出すよう命じられる。美姫は自分の代わりにこのプロジェクトの指揮を取れと指示。だが、松善に対抗できる企画をクリスマスまでに立ち上げるのは至難の業だ。絹恵は優作(西島秀俊)に相談しようとするが、転職先との契約のためロンドンに発ってしまう。　美姫と優作の支えを失った絹恵は「私ががんばらなきゃ」と奮起。“打倒!松善"を掲げて人気ブランドとコラボした限定アイテムの販売を企画するが、商品はなかなか集まらない。焦った絹恵は、スタッフを交渉にあたらせようとするが、その強引さに凌(加藤夏希)らが反発。絹恵はついに孤立してまう。やがて、松善に勝つことだけにとらわれていた自分に気づく絹恵。クリスマス企画を練り直すうち、百貨店の常識を覆すあるアイデアが浮かぶ…。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本橋圭太野崎良太(Jazztronik)　    【主題歌】  「きっと大丈夫」坂詰美紗子</t>
  </si>
  <si>
    <t xml:space="preserve">　『Siela&amp;Keith』との契約を逃した美姫(黒木瞳)は責任を問われ、統括部長を解任された。代わって絹恵(香里奈)は、クリスマス商戦企画の代替案を出すよう命じられる。美姫は自分の代わりにこのプロジェクトの指揮を取れと指示。だが、松善に対抗できる企画をクリスマスまでに立ち上げるのは至難の業だ。絹恵は優作(西島秀俊)に相談しようとするが、転職先との契約のためロンドンに発ってしまう。　美姫と優作の支えを失った絹恵は「私ががんばらなきゃ」と奮起。“打倒!松善"を掲げて人気ブランドとコラボした限定アイテムの販売を企画するが、商品はなかなか集まらない。焦った絹恵は、スタッフを交渉にあたらせようとするが、その強引さに凌(加藤夏希)らが反発。絹恵はついに孤立してまう。やがて、松善に勝つことだけにとらわれていた自分に気づく絹恵。クリスマス企画を練り直すうち、百貨店の常識を覆すあるアイデアが浮かぶ…。</t>
  </si>
  <si>
    <t>0910_CX_木22</t>
  </si>
  <si>
    <t>番組名&lt;木曜劇場&gt;フジテレビ開局50周年記念ドラマ不毛地帯　#01</t>
  </si>
  <si>
    <t>第二次大戦中、大本営の参謀として作戦立案にあたっていた壹岐正(唐沢寿明)は、終戦後、満州でソ連軍に拘束される。戦犯としてソ連の軍事裁判にかけられた壹岐は、強制労働25年の刑を宣告されると、一度送られたら二度と生きて帰ることはできないといわれたシベリア極北の流刑地ラゾに送られてしまう。11年もの長きに渡って過酷な強制労働に耐え抜いた壹岐は、昭和31年に帰国する。それからの2年間、壹岐は、強制労働によってむしばまれた体の回復と、シベリアから一緒に帰国した部下たちの就職の世話に専念した。その間は、妻の佳子(和久井映見)が大阪府庁民生課で働きながら家計を支えていた。そんなある日、壹岐のもとに、士官学校時代からの親友で、防衛庁の空将補である川又伊佐雄(柳葉敏郎)がやってくる。川又は、この国を守るために一緒に働いてほしい、と壹岐を防衛庁に誘った。しかし壹岐は、自らが関わった作戦により、多くの兵士や民間人を死なせてしまった責任から、川又の誘いを断った。壹岐は、部下たちの就職が片付いたのを機に、かねてから誘われていた近畿商事への就職を決意する。近畿商事は繊維を中心に扱う商社だが、経済の発展を見越して、重工業化・国際化を推進しようとしていた。社長の大門一三(原田芳雄)に会った壹岐は、軍人時代のコネや肩書きを一切利用しないことを条件に、近畿商事に入社し、社長室嘱託として繊維部で働き始めるが…。唐沢寿明　    (以下、五十音順)　    阿部サダヲ　  天海祐希　  伊東四朗　  遠藤憲一　  梶原善　  岸部一徳　  小雪　  佐々木蔵之介　  竹野内豊　  多部未華子　  段田安則　  中村敦夫　  袴田吉彦　  橋爪功　  原田芳雄　  古田新太　  松重豊　  柳葉敏郎　  和久井映見　    ほか【原作】  『不毛地帯』山崎豊子(新潮文庫刊)　    【脚本】  橋部敦子【演出】  澤田鎌作　    【プロデュース】  長部聡介　  清水一幸【メインテーマ】  坂本龍一</t>
  </si>
  <si>
    <t>第二次大戦中、大本営の参謀として作戦立案にあたっていた壹岐正(唐沢寿明)は、終戦後、満州でソ連軍に拘束される。戦犯としてソ連の軍事裁判にかけられた壹岐は、強制労働25年の刑を宣告されると、一度送られたら二度と生きて帰ることはできないといわれたシベリア極北の流刑地ラゾに送られてしまう。11年もの長きに渡って過酷な強制労働に耐え抜いた壹岐は、昭和31年に帰国する。それからの2年間、壹岐は、強制労働によってむしばまれた体の回復と、シベリアから一緒に帰国した部下たちの就職の世話に専念した。その間は、妻の佳子(和久井映見)が大阪府庁民生課で働きながら家計を支えていた。そんなある日、壹岐のもとに、士官学校時代からの親友で、防衛庁の空将補である川又伊佐雄(柳葉敏郎)がやってくる。川又は、この国を守るために一緒に働いてほしい、と壹岐を防衛庁に誘った。しかし壹岐は、自らが関わった作戦により、多くの兵士や民間人を死なせてしまった責任から、川又の誘いを断った。壹岐は、部下たちの就職が片付いたのを機に、かねてから誘われていた近畿商事への就職を決意する。近畿商事は繊維を中心に扱う商社だが、経済の発展を見越して、重工業化・国際化を推進しようとしていた。社長の大門一三(原田芳雄)に会った壹岐は、軍人時代のコネや肩書きを一切利用しないことを条件に、近畿商事に入社し、社長室嘱託として繊維部で働き始めるが…。</t>
  </si>
  <si>
    <t>番組名&lt;木曜劇場&gt;フジテレビ開局50周年記念ドラマ不毛地帯　#02</t>
  </si>
  <si>
    <t>防衛庁の第2次防FX(=次期主力戦闘機)の受注が政治家の利権に利用されていることを知った壹岐正(唐沢寿明)は、社長の大門一三(原田芳雄)に東京支社航空機部への異動を申し出る。第2次防FXの有力候補は、近畿商事が押すラッキード社の『ラッキードF104』と、東京商事が推すグラント社の『スーパードラゴンF11』の2機。だが、東京商事航空機部の鮫島辰三(遠藤憲一)による裏工作によって、グラント社の『スーパードラゴンF11』が有利な状況にあった。壹岐が、防衛庁の川又伊佐雄(柳葉敏郎)から、『ラッキードF104』の優秀性が記載された自衛隊調査団の報告書が、官房長の貝塚道生(段田安則)によって握りつぶされているとの情報を得ると、大門は、自由党総務会長で反総理派の大物、大川一郎(佐々木敏)の力を借りようとする。  　そんな中、壹岐の家に、毎朝新聞の政治部記者・田原秀雄(阿部サダヲ)が訪ねてくる。田原は、壹岐が防衛庁入りの話を蹴って近畿商事に入社したのは、商社サイドから『ラッキードF104』を推すためではないのか、と言い出す。その際、田原は、川又が西部航空方面隊に左遷されるという噂を耳にした、と壹岐に告げる。  　そんな折、一度は国会での貝塚の喚問を約束した大川が、急に態度を変えた。そこで壹岐は、総理の側近であり、国防会議の重要メンバーでもある経済企画庁長官・久松清蔵(伊東四朗)に会いに行くが…。唐沢寿明　    (以下、五十音順)    阿部サダヲ　  天海祐希　  伊東四朗　  遠藤憲一　  梶原善　  岸部一徳　  小雪　  佐々木蔵之介　  竹野内豊　  多部未華子　  段田安則　  中村敦夫　  袴田吉彦　  橋爪功　  原田芳雄　  古田新太　  松重豊　  柳葉敏郎　  和久井映見　    ほか【原作】  『不毛地帯』山崎豊子(新潮文庫刊)　    【脚本】  橋部敦子【演出】  澤田鎌作　    【プロデュース】  長部聡介　  清水一幸【メインテーマ】  坂本龍一</t>
  </si>
  <si>
    <t>防衛庁の第2次防FX(=次期主力戦闘機)の受注が政治家の利権に利用されていることを知った壹岐正(唐沢寿明)は、社長の大門一三(原田芳雄)に東京支社航空機部への異動を申し出る。第2次防FXの有力候補は、近畿商事が押すラッキード社の『ラッキードF104』と、東京商事が推すグラント社の『スーパードラゴンF11』の2機。だが、東京商事航空機部の鮫島辰三(遠藤憲一)による裏工作によって、グラント社の『スーパードラゴンF11』が有利な状況にあった。壹岐が、防衛庁の川又伊佐雄(柳葉敏郎)から、『ラッキードF104』の優秀性が記載された自衛隊調査団の報告書が、官房長の貝塚道生(段田安則)によって握りつぶされているとの情報を得ると、大門は、自由党総務会長で反総理派の大物、大川一郎(佐々木敏)の力を借りようとする。  　そんな中、壹岐の家に、毎朝新聞の政治部記者・田原秀雄(阿部サダヲ)が訪ねてくる。田原は、壹岐が防衛庁入りの話を蹴って近畿商事に入社したのは、商社サイドから『ラッキードF104』を推すためではないのか、と言い出す。その際、田原は、川又が西部航空方面隊に左遷されるという噂を耳にした、と壹岐に告げる。  　そんな折、一度は国会での貝塚の喚問を約束した大川が、急に態度を変えた。そこで壹岐は、総理の側近であり、国防会議の重要メンバーでもある経済企画庁長官・久松清蔵(伊東四朗)に会いに行くが…。</t>
  </si>
  <si>
    <t>番組名&lt;木曜劇場&gt;フジテレビ開局50周年記念ドラマ不毛地帯　#03</t>
  </si>
  <si>
    <t>防衛庁の第2次防FX(=次期主力戦闘機)受注をめぐり、激しい戦いを繰り広げていた壹岐正(唐沢寿明)は、東京商事航空機部の鮫島辰三(遠藤憲一)が総理に流していたわいろ『G資金』のルートを解明するとともに、防衛庁から極秘文書であるグラント社の『スーパードラゴンF11』の価格見積表を入手する。これによって、ラッキード社の『ラッキードF104』を推す壹岐たち近畿商事が勝利するものと思われたが、その矢先、アメリカの空軍基地でテスト・フライト中だった『ラッキードF104』が墜落事故を起こすという事態が発生した。近畿商事社長の大門一三(原田芳雄)は、一刻も早く墜落の原因などの詳しい情報を集めて対策を練るよう、東京支社長の里井達也(岸部一徳)に命じた。同じころ、鮫島は、防衛庁官房長の貝塚道生(段田安則)に、『ラッキードF104』の欠陥データと墜落現場の写真を入手したことを報告していた。すでにそれらは、毎朝新聞記者の田原秀雄(阿部サダヲ)の手に渡っているという。それを知った壹岐は、田原が握っているデータを把握するために、自ら彼に接触。田原は、『ラッキードF104』には致命的な欠陥がある、と壹岐に告げ、明日の朝刊を楽しみにしていてほしい、と言い残して去っていく。その夜、壹岐は、旧知の仲である経済企画庁長官・久松清蔵(伊東四朗)を訪ね、毎朝新聞の記事を何とか抑える策はないか、と久松に頼みこむが…。唐沢寿明　    (以下、五十音順)    阿部サダヲ　  伊東四朗　  遠藤憲一　  岸部一徳　  小雪　  多部未華子　  段田安則　  袴田吉彦　  原田芳雄　  古田新太　  松重豊　  柳葉敏郎　  和久井映見　    ほか【原作】  『不毛地帯』山崎豊子(新潮文庫刊)　    【脚本】  橋部敦子【演出】  平野眞　    【プロデュース】  長部聡介　  清水一幸【メインテーマ】  坂本龍一</t>
  </si>
  <si>
    <t>防衛庁の第2次防FX(=次期主力戦闘機)受注をめぐり、激しい戦いを繰り広げていた壹岐正(唐沢寿明)は、東京商事航空機部の鮫島辰三(遠藤憲一)が総理に流していたわいろ『G資金』のルートを解明するとともに、防衛庁から極秘文書であるグラント社の『スーパードラゴンF11』の価格見積表を入手する。これによって、ラッキード社の『ラッキードF104』を推す壹岐たち近畿商事が勝利するものと思われたが、その矢先、アメリカの空軍基地でテスト・フライト中だった『ラッキードF104』が墜落事故を起こすという事態が発生した。近畿商事社長の大門一三(原田芳雄)は、一刻も早く墜落の原因などの詳しい情報を集めて対策を練るよう、東京支社長の里井達也(岸部一徳)に命じた。同じころ、鮫島は、防衛庁官房長の貝塚道生(段田安則)に、『ラッキードF104』の欠陥データと墜落現場の写真を入手したことを報告していた。すでにそれらは、毎朝新聞記者の田原秀雄(阿部サダヲ)の手に渡っているという。それを知った壹岐は、田原が握っているデータを把握するために、自ら彼に接触。田原は、『ラッキードF104』には致命的な欠陥がある、と壹岐に告げ、明日の朝刊を楽しみにしていてほしい、と言い残して去っていく。その夜、壹岐は、旧知の仲である経済企画庁長官・久松清蔵(伊東四朗)を訪ね、毎朝新聞の記事を何とか抑える策はないか、と久松に頼みこむが…。</t>
  </si>
  <si>
    <t>番組名&lt;木曜劇場&gt;フジテレビ開局50周年記念ドラマ不毛地帯　#04</t>
  </si>
  <si>
    <t>壹岐正(唐沢寿明)は、防衛庁から近畿商事に流れた機密漏えい事件に関して、捜査当局から任意での出頭を求められる。壹岐は、防衛庁の第2次防FXをめぐり、部下の小出宏(松重豊)にライバルであるグラント社の価格見積表を入手させた。その機密書類の出所は、川又伊佐雄(柳葉敏郎)の部下である防衛庁の芦田国雄(古田新太)だった。芦田とともに逮捕された小出は、悪いのは壹岐だと証言していた。近畿商事東京支社長の里井達也(岸部一徳)に電話を入れた壹岐は、任意出頭を求められたことを報告する。里井は、今回の件は小出が独断でやったもので、近畿商事側には機密書類の類は一切ないと突っぱねるよう念を押す。壹岐が出頭したという情報は、防衛庁官房長の貝塚道生(段田安則)を通じて、東京商事の鮫島辰三(遠藤憲一)にも伝わっていた。鮫島は、ラッキード社派の政治家が今回の漏えい事件をもみ消すのではないかと危惧(きぐ)する。すると貝塚は、検察庁が決定的な物証を得ている以上、捜査の打ち切りはない、と返す。出頭した壹岐は、機密文書の漏えいに関する近畿商事の関与を否定する。捜査当局は、小出が隠したコピー機の場所や、経済企画庁長官・久松清蔵(伊東四朗)の関与などもつかんでいた。その際、壹岐は、漏えいしたグラント社の価格見積表が、実は川又のものであることを教えられる。それでも壹岐は、最後まで書類の存在を否定し続け…。唐沢寿明　    (以下、五十音順)    阿部サダヲ　  伊東四朗　  遠藤憲一　  岸部一徳　  小雪　  多部未華子　  段田安則　  原田芳雄　  古田新太　  柳葉敏郎　  和久井映見　    ほか【原作】  『不毛地帯』山崎豊子(新潮文庫刊)　    【脚本】  橋部敦子【演出】  平野眞　    【プロデュース】  長部聡介　  清水一幸【メインテーマ】  坂本龍一</t>
  </si>
  <si>
    <t>壹岐正(唐沢寿明)は、防衛庁から近畿商事に流れた機密漏えい事件に関して、捜査当局から任意での出頭を求められる。壹岐は、防衛庁の第2次防FXをめぐり、部下の小出宏(松重豊)にライバルであるグラント社の価格見積表を入手させた。その機密書類の出所は、川又伊佐雄(柳葉敏郎)の部下である防衛庁の芦田国雄(古田新太)だった。芦田とともに逮捕された小出は、悪いのは壹岐だと証言していた。近畿商事東京支社長の里井達也(岸部一徳)に電話を入れた壹岐は、任意出頭を求められたことを報告する。里井は、今回の件は小出が独断でやったもので、近畿商事側には機密書類の類は一切ないと突っぱねるよう念を押す。壹岐が出頭したという情報は、防衛庁官房長の貝塚道生(段田安則)を通じて、東京商事の鮫島辰三(遠藤憲一)にも伝わっていた。鮫島は、ラッキード社派の政治家が今回の漏えい事件をもみ消すのではないかと危惧(きぐ)する。すると貝塚は、検察庁が決定的な物証を得ている以上、捜査の打ち切りはない、と返す。出頭した壹岐は、機密文書の漏えいに関する近畿商事の関与を否定する。捜査当局は、小出が隠したコピー機の場所や、経済企画庁長官・久松清蔵(伊東四朗)の関与などもつかんでいた。その際、壹岐は、漏えいしたグラント社の価格見積表が、実は川又のものであることを教えられる。それでも壹岐は、最後まで書類の存在を否定し続け…。</t>
  </si>
  <si>
    <t>番組名&lt;木曜劇場&gt;フジテレビ開局50周年記念ドラマ不毛地帯　#05</t>
  </si>
  <si>
    <t>親友の壮絶な死から7年後、近畿商事鉄鋼部部長のポストについた壹岐正(唐沢寿明)は、目覚ましい業績を上げる。社長の大門一三(原田芳雄)は、そんな壹岐の提案を受け、会社全体の経営戦略を指示する直属の部署・業務本部を設立し、そのすべてを壹岐に任せた。壹岐は、業務本部のスタッフとして兵頭信一良(竹野内豊)や海部要(梶原善)らを呼び寄せると、大胆な人事を敢行して、鉄鋼部門など非繊維部門の業績を伸ばした。1967(昭和42)年4月、業務本部の成果を高く評価した大門は、壹岐を常務取締役に昇進させる。だが、副社長の里井達也(岸部一徳)らは、壹岐のやり方に対して反発を強めていた。そんな折、壹岐たちは、中東情勢が緊迫しているとの情報をつかむ。第三次中東戦争の勃発を懸念した壹岐は、情報収集に全力を注いだ。  　一方、東京商事の取締役輸送機本部長に昇進していた鮫島辰三(遠藤憲一)も、中東戦争が起きた場合に備えて動き出していた。  　ある晩、壹岐は、秋津千里(小雪)と再会する。千里は、比叡山に籠っている兄・清輝(佐々木蔵之介)のことで壹岐に相談したいのだという。食事をともにした壹岐と千里は、クラブ『ル・ボア』を訪れた。するとそこに、インドネシア華僑の貿易商・黄乾臣(石橋蓮司)のもとに嫁ぎ、ジャカルタで暮らしていたはずの紅子(天海祐希)が姿を現す。唐沢寿明　    (以下、五十音順)    阿部サダヲ　  天海祐希　  石橋蓮司　  伊東四朗　  遠藤憲一　  岸部一徳　  梶原善　  小雪　  佐々木蔵之介　  竹野内豊　  多部未華子　  段田安則　  橋爪功　  原田芳雄　  松重豊　  和久井映見　    ほか【原作】  『不毛地帯』山崎豊子(新潮文庫刊)　    【脚本】  橋部敦子【演出】  水田成英　    【プロデュース】  長部聡介　  清水一幸【メインテーマ】  坂本龍一</t>
  </si>
  <si>
    <t>親友の壮絶な死から7年後、近畿商事鉄鋼部部長のポストについた壹岐正(唐沢寿明)は、目覚ましい業績を上げる。社長の大門一三(原田芳雄)は、そんな壹岐の提案を受け、会社全体の経営戦略を指示する直属の部署・業務本部を設立し、そのすべてを壹岐に任せた。壹岐は、業務本部のスタッフとして兵頭信一良(竹野内豊)や海部要(梶原善)らを呼び寄せると、大胆な人事を敢行して、鉄鋼部門など非繊維部門の業績を伸ばした。1967(昭和42)年4月、業務本部の成果を高く評価した大門は、壹岐を常務取締役に昇進させる。だが、副社長の里井達也(岸部一徳)らは、壹岐のやり方に対して反発を強めていた。そんな折、壹岐たちは、中東情勢が緊迫しているとの情報をつかむ。第三次中東戦争の勃発を懸念した壹岐は、情報収集に全力を注いだ。  　一方、東京商事の取締役輸送機本部長に昇進していた鮫島辰三(遠藤憲一)も、中東戦争が起きた場合に備えて動き出していた。  　ある晩、壹岐は、秋津千里(小雪)と再会する。千里は、比叡山に籠っている兄・清輝(佐々木蔵之介)のことで壹岐に相談したいのだという。食事をともにした壹岐と千里は、クラブ『ル・ボア』を訪れた。するとそこに、インドネシア華僑の貿易商・黄乾臣(石橋蓮司)のもとに嫁ぎ、ジャカルタで暮らしていたはずの紅子(天海祐希)が姿を現す。</t>
  </si>
  <si>
    <t>番組名&lt;木曜劇場&gt;フジテレビ開局50周年記念ドラマ不毛地帯　#06</t>
  </si>
  <si>
    <t>壹岐正(唐沢寿明)、兵頭信一良(竹野内豊)ら近畿商事業務本部の面々は、中東情勢の変化を察知し、第三次中東戦争の勃発を予測する。この戦争はイスラエルが1週間から10日以内に勝利し、スエズ運河が長期に渡って封鎖されると分析した業務本部は、船舶部にタンカーを確保するよう指示する。  　その一方で、壹岐たちは、紅子(天海祐希)の夫で、インドネシア華僑の実力者でもある黄乾臣(石橋蓮司)から、1万トン級の戦標船5隻を至急手配してほしいと依頼される。壹岐は、近畿商事が東南アジア貿易を展開していく上で、重要な拠点となるインドネシアを押さえるためには黄の力が必要だと船舶部部長の峯(大高洋夫)に訴え、戦標船の手配を急がせようとした。しかし、業務本部のやり方に反発する峯は、戦標船の手配を拒む。  　するとそこに、戦標船の件は目途が立ったという黄からの電話が入る。情報を聞きつけた東京商事の鮫島辰三(遠藤憲一)が、黄の出した条件に合う戦標船を手配していたのだ。それを知った壹岐は、副社長の里井達也(岸部一徳)に直訴し、1隻40万ドルを切る戦標船を手配できれば決裁するという約束を取り付ける。兵頭が黄の説得に向かっている間、壹岐は、日東交易の社長・安蒜公一(団時朗)を訪ね、戦標船の手配を依頼する。  　そんな中、ついに第三次中東戦争が勃発し…。唐沢寿明　    (以下、五十音順)    阿部サダヲ　  天海祐希　  石橋蓮司　  遠藤憲一　  岸部一徳　  梶原善　  小雪　  佐々木蔵之介　  竹野内豊　  多部未華子　  原田芳雄　  和久井映見　  ほか【原作】  『不毛地帯』山崎豊子(新潮文庫刊)　    【脚本】  橋部敦子【演出】  水田成英　    【プロデュース】  長部聡介　  清水一幸【メインテーマ】  坂本龍一</t>
  </si>
  <si>
    <t>壹岐正(唐沢寿明)、兵頭信一良(竹野内豊)ら近畿商事業務本部の面々は、中東情勢の変化を察知し、第三次中東戦争の勃発を予測する。この戦争はイスラエルが1週間から10日以内に勝利し、スエズ運河が長期に渡って封鎖されると分析した業務本部は、船舶部にタンカーを確保するよう指示する。  　その一方で、壹岐たちは、紅子(天海祐希)の夫で、インドネシア華僑の実力者でもある黄乾臣(石橋蓮司)から、1万トン級の戦標船5隻を至急手配してほしいと依頼される。壹岐は、近畿商事が東南アジア貿易を展開していく上で、重要な拠点となるインドネシアを押さえるためには黄の力が必要だと船舶部部長の峯(大高洋夫)に訴え、戦標船の手配を急がせようとした。しかし、業務本部のやり方に反発する峯は、戦標船の手配を拒む。  　するとそこに、戦標船の件は目途が立ったという黄からの電話が入る。情報を聞きつけた東京商事の鮫島辰三(遠藤憲一)が、黄の出した条件に合う戦標船を手配していたのだ。それを知った壹岐は、副社長の里井達也(岸部一徳)に直訴し、1隻40万ドルを切る戦標船を手配できれば決裁するという約束を取り付ける。兵頭が黄の説得に向かっている間、壹岐は、日東交易の社長・安蒜公一(団時朗)を訪ね、戦標船の手配を依頼する。  　そんな中、ついに第三次中東戦争が勃発し…。</t>
  </si>
  <si>
    <t>番組名&lt;木曜劇場&gt;フジテレビ開局50周年記念ドラマ不毛地帯　#07</t>
  </si>
  <si>
    <t>第三次中東戦争の勃発に端を発した商社間の争いは、壹岐正(唐沢寿明)率いる近畿商事業務本部の迅速な情報収集と的確な分析により、同社のひとり勝ちで終わった。だがその結果、近畿商事社内では、壹岐の活躍に危機感を募らせた副社長・里井達也(岸部一徳)の一派と業務本部との対立を生みだしてしまう。1967(昭和42)年7月、近畿商事では、年に2度開催される経営全体会議が行われる。その席で壹岐たち業務本部は、重工業化に対応するために繊維部門のさらなる縮小を唱えた。だが、里井を中心とした反業務本部勢力が、繊維部門が社内一の売り上げを上げていることを理由にこの再縮小案に猛反発したため、会議は紛糾する。そのころ、アメリカをはじめとする各国政府は、外国資本の参入を事実上禁止してきた日本政府への批判を高め、中でも特に、自動車産業に対する資本の自由化を求めていた。壹岐は、資本自由化は国際企業とのビジネスを拡大する好機ととらえ、兵頭信一良(竹野内豊)らに情報収集を命じた。そのころ里井は、近畿商事が輸出代理店を務める千代田自動車の営業担当専務・村山(田村亮)に会っていた。そこで村山は、社運をかけた新車の開発を進めていること、万が一それが失敗に終わったときは、業界5位の富国自動車との合併を考えていることを里井に打ち明ける。そんな折、壹岐の前に、元部下の小出宏(松重豊)が現れる。唐沢寿明　    (以下、五十音順)    阿部サダヲ　  天海祐希　  遠藤憲一　  岸部一徳　  梶原善　  小雪　  竹野内豊　  多部未華子　  原田芳雄　  松重豊　  和久井映見　    ほか【原作】  『不毛地帯』山崎豊子(新潮文庫刊)　    【脚本】  橋部敦子【演出】  澤田鎌作　    【プロデュース】  長部聡介　  清水一幸【メインテーマ】  坂本龍一</t>
  </si>
  <si>
    <t>第三次中東戦争の勃発に端を発した商社間の争いは、壹岐正(唐沢寿明)率いる近畿商事業務本部の迅速な情報収集と的確な分析により、同社のひとり勝ちで終わった。だがその結果、近畿商事社内では、壹岐の活躍に危機感を募らせた副社長・里井達也(岸部一徳)の一派と業務本部との対立を生みだしてしまう。1967(昭和42)年7月、近畿商事では、年に2度開催される経営全体会議が行われる。その席で壹岐たち業務本部は、重工業化に対応するために繊維部門のさらなる縮小を唱えた。だが、里井を中心とした反業務本部勢力が、繊維部門が社内一の売り上げを上げていることを理由にこの再縮小案に猛反発したため、会議は紛糾する。そのころ、アメリカをはじめとする各国政府は、外国資本の参入を事実上禁止してきた日本政府への批判を高め、中でも特に、自動車産業に対する資本の自由化を求めていた。壹岐は、資本自由化は国際企業とのビジネスを拡大する好機ととらえ、兵頭信一良(竹野内豊)らに情報収集を命じた。そのころ里井は、近畿商事が輸出代理店を務める千代田自動車の営業担当専務・村山(田村亮)に会っていた。そこで村山は、社運をかけた新車の開発を進めていること、万が一それが失敗に終わったときは、業界5位の富国自動車との合併を考えていることを里井に打ち明ける。そんな折、壹岐の前に、元部下の小出宏(松重豊)が現れる。</t>
  </si>
  <si>
    <t>番組名&lt;木曜劇場&gt;フジテレビ開局50周年記念ドラマ不毛地帯　#08</t>
  </si>
  <si>
    <t>資本自由化の波を受け、国内では自動車産業の再編成が行われようとしていた。そんな折、米自動車産業ビッグ3の一角、フォーク社のフォーク会長が突然来日する。壹岐(唐沢寿明)は、部下の海部(梶原善)らにフォークの来日目的を探らせた。だが、その歓迎レセプションを仕切っているのが鮫島(遠藤憲一)率いる東京商事だったため、情報を得ることができない。  　それを知った大門(原田芳雄)は、里井(岸部一徳)と壹岐に怒りをぶつけると、千代田自動車の経営立て直しにも言及した。そこで里井は、千代田自動車と富国自動車を合併させるべく動いていると報告する。それに対して、密かに千代田自動車の自主独立の可能性を探っていた壹岐は、富国の赤字を抱え込むことで千代田の株価が下落する可能性が高いといったデメリットを指摘し、里井と衝突する。  　通産大臣の久松(伊東四朗)を訪ねた壹岐は、政府が外資との合弁会社のみ認める方針であることを知る。壹岐は、千代田と富国の合併話を切り出し、久松の力添えで合併を引きのばしてほしい、と頼み込んだ。  　別の日、壹岐は、自主独立路線を望む千代田自動車の技術担当専務・小牧(小野武彦)から、合併推進派によって建設中止に追い込まれたジャカルタのトラック組み立て工場を何とかしてほしいと頼まれる。そこで壹岐は、ジャカルタ出張の予定だった兵頭(竹野内豊)に、秘密裏に情報の収集を命じる。唐沢寿明　    (以下、五十音順)　    阿部サダヲ　  天海祐希　  伊東四朗　  遠藤憲一　  梶原善　  岸部一徳　  小雪　  竹野内豊　  多部未華子　  橋爪功　  原田芳雄　  和久井映見　  ほか【原作】  『不毛地帯』山崎豊子(新潮文庫刊)　    【脚本】  橋部敦子【演出】  平野眞　    【プロデュース】  長部聡介　  清水一幸【メインテーマ】  坂本龍一</t>
  </si>
  <si>
    <t>資本自由化の波を受け、国内では自動車産業の再編成が行われようとしていた。そんな折、米自動車産業ビッグ3の一角、フォーク社のフォーク会長が突然来日する。壹岐(唐沢寿明)は、部下の海部(梶原善)らにフォークの来日目的を探らせた。だが、その歓迎レセプションを仕切っているのが鮫島(遠藤憲一)率いる東京商事だったため、情報を得ることができない。  　それを知った大門(原田芳雄)は、里井(岸部一徳)と壹岐に怒りをぶつけると、千代田自動車の経営立て直しにも言及した。そこで里井は、千代田自動車と富国自動車を合併させるべく動いていると報告する。それに対して、密かに千代田自動車の自主独立の可能性を探っていた壹岐は、富国の赤字を抱え込むことで千代田の株価が下落する可能性が高いといったデメリットを指摘し、里井と衝突する。  　通産大臣の久松(伊東四朗)を訪ねた壹岐は、政府が外資との合弁会社のみ認める方針であることを知る。壹岐は、千代田と富国の合併話を切り出し、久松の力添えで合併を引きのばしてほしい、と頼み込んだ。  　別の日、壹岐は、自主独立路線を望む千代田自動車の技術担当専務・小牧(小野武彦)から、合併推進派によって建設中止に追い込まれたジャカルタのトラック組み立て工場を何とかしてほしいと頼まれる。そこで壹岐は、ジャカルタ出張の予定だった兵頭(竹野内豊)に、秘密裏に情報の収集を命じる。</t>
  </si>
  <si>
    <t>番組名&lt;木曜劇場&gt;フジテレビ開局50周年記念ドラマ不毛地帯　#09</t>
  </si>
  <si>
    <t>壹岐(唐沢寿明)は、妻の佳子(和久井映見)を事故で失った辛さから逃れるために仕事に没頭した。近畿商事社長の大門(原田芳雄)は、そんな壹岐にアメリカ近畿商事の社長としてニューヨークに駐在してはどうか、と持ちかける。  　一方、近畿商事が輸出代理店を務めていた千代田自動車は、社運をかけて発売した新車タイガーが惨敗に終わり、自主独立路線はおろか、富国自動車との合併の道も断たれてしまう。それを受け、副社長の里井(岸部一徳)は、千代田自動車から手を引くべきだと大門に進言した。そんな中、ニューヨーク行きを決心した壹岐は、交換条件として、千代田自動車とフォーク社との提携を実現させたいと大門に願い出る。  　その夜、壹岐は、娘の直子(多部未華子)にニューヨーク赴任の話を伝える。すると直子も話したいことがあるという。そこで直子は、鮫島辰三(遠藤憲一)の息子・倫敦(石田卓也)と結婚したい、と切り出す。  　壹岐は、業務本部の部下だった兵頭(竹野内豊)、海部(梶原善)、不破(阿南健治)だけに千代田自動車とフォーク社の提携話を打ち明けた。ほどなく、兵頭は業務本部を離れて石油部長になり、海部はアメリカ近畿商事の副社長として壹岐に同行することになった。渡米した壹岐は、海部やロス支店から呼び寄せた塙四郎(袴田吉彦)らとともに、フォーク社との交渉に向けて動き始める。唐沢寿明　    (以下、五十音順)　    阿部サダヲ　  天海祐希　  遠藤憲一　  梶原善　  岸部一徳　  小雪　  竹野内豊　  多部未華子　  原田芳雄　    ほか【原作】  『不毛地帯』山崎豊子(新潮文庫刊)　    【脚本】  橋部敦子【演出】  澤田鎌作　    【プロデュース】  長部聡介　  清水一幸【メインテーマ】  坂本龍一</t>
  </si>
  <si>
    <t>壹岐(唐沢寿明)は、妻の佳子(和久井映見)を事故で失った辛さから逃れるために仕事に没頭した。近畿商事社長の大門(原田芳雄)は、そんな壹岐にアメリカ近畿商事の社長としてニューヨークに駐在してはどうか、と持ちかける。  　一方、近畿商事が輸出代理店を務めていた千代田自動車は、社運をかけて発売した新車タイガーが惨敗に終わり、自主独立路線はおろか、富国自動車との合併の道も断たれてしまう。それを受け、副社長の里井(岸部一徳)は、千代田自動車から手を引くべきだと大門に進言した。そんな中、ニューヨーク行きを決心した壹岐は、交換条件として、千代田自動車とフォーク社との提携を実現させたいと大門に願い出る。  　その夜、壹岐は、娘の直子(多部未華子)にニューヨーク赴任の話を伝える。すると直子も話したいことがあるという。そこで直子は、鮫島辰三(遠藤憲一)の息子・倫敦(石田卓也)と結婚したい、と切り出す。  　壹岐は、業務本部の部下だった兵頭(竹野内豊)、海部(梶原善)、不破(阿南健治)だけに千代田自動車とフォーク社の提携話を打ち明けた。ほどなく、兵頭は業務本部を離れて石油部長になり、海部はアメリカ近畿商事の副社長として壹岐に同行することになった。渡米した壹岐は、海部やロス支店から呼び寄せた塙四郎(袴田吉彦)らとともに、フォーク社との交渉に向けて動き始める。</t>
  </si>
  <si>
    <t>番組名&lt;木曜劇場&gt;フジテレビ開局50周年記念ドラマ不毛地帯　#10</t>
  </si>
  <si>
    <t>壹岐正(唐沢寿明)は、千代田自動車と米・フォーク社との提携を画策。韓国の光星物産会長・李錫源(榎木孝明)の助力を得て、フォーク会長との会談に成功した壹岐は、提携に関する委任状を取り付ける。本社に委任状を届けるために帰国することになった壹岐は、韓国に立ち寄り、李のもとを訪れた。李の仲介により、崔大統領に会う機会を得た壹岐は、ソウルで地下鉄の敷設計画があり、日本の援助を必要としていることを知る。帰国した壹岐は、副社長の里井達也(岸辺一徳)を訪ね、千代田自動車とフォーク社の提携に際し、連絡に行き違いがあったことを謝罪すると、韓国の地下鉄計画に関する情報を伝える。その際、里井は、副社長の1人・一丸松次郎(山田明郷)が次期社長の座を狙って積極的に派閥作りを進めている、と切り出し、壹岐に意見を求めた。それに対して壹岐は、次期社長は、社長の大門一三(原田芳雄)を長年支えてきた里井をおいて他には考えられない、と答える。  　その夜、壹岐は、銀座で開かれていた秋津千里(小雪)の個展に顔を出す。2年ぶりの再会を果たした2人は、互いに目に見えない結びつきのようなものを感じていた。あくる日、壹岐は、大門、里井とともに、千代田自動車とそのメインバンクである第三銀行との三者会談に臨む。そこで壹岐は、提携に関するフォーク社側の意向を伝えるが…。唐沢寿明　    (以下、五十音順)　    阿部サダヲ　  天海祐希　  遠藤憲一　  梶原善　  岸部一徳　  小雪　  多部未華子　  橋爪功　  原田芳雄　    ほか【原作】  『不毛地帯』山崎豊子(新潮文庫刊)　    【脚本】  橋部敦子【演出】  水田成英　    【プロデュース】  長部聡介　  清水一幸【メインテーマ】  坂本龍一</t>
  </si>
  <si>
    <t>壹岐正(唐沢寿明)は、千代田自動車と米・フォーク社との提携を画策。韓国の光星物産会長・李錫源(榎木孝明)の助力を得て、フォーク会長との会談に成功した壹岐は、提携に関する委任状を取り付ける。本社に委任状を届けるために帰国することになった壹岐は、韓国に立ち寄り、李のもとを訪れた。李の仲介により、崔大統領に会う機会を得た壹岐は、ソウルで地下鉄の敷設計画があり、日本の援助を必要としていることを知る。帰国した壹岐は、副社長の里井達也(岸辺一徳)を訪ね、千代田自動車とフォーク社の提携に際し、連絡に行き違いがあったことを謝罪すると、韓国の地下鉄計画に関する情報を伝える。その際、里井は、副社長の1人・一丸松次郎(山田明郷)が次期社長の座を狙って積極的に派閥作りを進めている、と切り出し、壹岐に意見を求めた。それに対して壹岐は、次期社長は、社長の大門一三(原田芳雄)を長年支えてきた里井をおいて他には考えられない、と答える。  　その夜、壹岐は、銀座で開かれていた秋津千里(小雪)の個展に顔を出す。2年ぶりの再会を果たした2人は、互いに目に見えない結びつきのようなものを感じていた。あくる日、壹岐は、大門、里井とともに、千代田自動車とそのメインバンクである第三銀行との三者会談に臨む。そこで壹岐は、提携に関するフォーク社側の意向を伝えるが…。</t>
  </si>
  <si>
    <t>0907_CX_月21</t>
  </si>
  <si>
    <t>ブザー・ビート</t>
  </si>
  <si>
    <t>番組名ブザー・ビート～崖っぷちのヒーロー～　#01</t>
  </si>
  <si>
    <t>上矢直輝(山下智久)は、プロバスケットボールチーム『JCアークス』の選手。学生時代から華々しい活躍を続けてきた直輝は、2年前にアークスに入団したが、プロ入り後は、思うように実力を発揮できずにいる。チームのチアリーダーである恋人の七海菜月(相武紗季)との結婚に向けて日々奮闘するが、肝心なところで決められない。  　一方、音大出身の白河莉子(北川景子)は、書店でアルバイトをしながらプロのバイオリニストを目指していた。そして、学生時代からの親友でもあるフルート奏者の海老名麻衣(貫地谷しほり)とルームシェアをはじめたばかりだ。  　アークスは、プレーオフ進出をかけた1戦に勝利する。その夜、アークスのヘッドコーチ・川崎智哉(伊藤英明)はとあることがきっかけで莉子と運命的な出会いを果たし、連絡先を交換することになる。  　優勝を目指したアークスだったが、直輝の後輩で、万年補欠の秦野秀治(溝端淳平)の応援やキャプテン・宇都宮透(永井大)らの健闘もむなしく、チームは負けてしまう。そして、アークスはチーム補強のために、代々木廉(金子ノブアキ)獲得に乗り出す。アークスの親会社の総務部に勤務している菜月は、代々木に会社内を案内することになるが、代々木は菜月に興味津々の様子。  　その晩、莉子が近所の公園でバイオリンの練習をしていると、直輝が通りかかり・・・。山下智久　  北川景子　  相武紗季　  貫地谷しほり　  溝端淳平　  金子ノブアキ　  青木崇高　  金田哲(はんにゃ)　  川島章良(はんにゃ)　    永井大　  真矢みき　  伊藤英明【脚本】  大森美香【プロデュース】  中野利幸　    【演出】  永山耕三B.B.O.S.T　    【主題歌】  「イチブトゼンブ」B’z(VERMILLION　RECORDS)</t>
  </si>
  <si>
    <t>上矢直輝(山下智久)は、プロバスケットボールチーム『JCアークス』の選手。学生時代から華々しい活躍を続けてきた直輝は、2年前にアークスに入団したが、プロ入り後は、思うように実力を発揮できずにいる。チームのチアリーダーである恋人の七海菜月(相武紗季)との結婚に向けて日々奮闘するが、肝心なところで決められない。  　一方、音大出身の白河莉子(北川景子)は、書店でアルバイトをしながらプロのバイオリニストを目指していた。そして、学生時代からの親友でもあるフルート奏者の海老名麻衣(貫地谷しほり)とルームシェアをはじめたばかりだ。  　アークスは、プレーオフ進出をかけた1戦に勝利する。その夜、アークスのヘッドコーチ・川崎智哉(伊藤英明)はとあることがきっかけで莉子と運命的な出会いを果たし、連絡先を交換することになる。  　優勝を目指したアークスだったが、直輝の後輩で、万年補欠の秦野秀治(溝端淳平)の応援やキャプテン・宇都宮透(永井大)らの健闘もむなしく、チームは負けてしまう。そして、アークスはチーム補強のために、代々木廉(金子ノブアキ)獲得に乗り出す。アークスの親会社の総務部に勤務している菜月は、代々木に会社内を案内することになるが、代々木は菜月に興味津々の様子。  　その晩、莉子が近所の公園でバイオリンの練習をしていると、直輝が通りかかり・・・。</t>
  </si>
  <si>
    <t>番組名ブザー・ビート～崖っぷちのヒーロー～　#02</t>
  </si>
  <si>
    <t>直輝(山下智久)と莉子(北川景子)は、互いの名前も知らぬまま、親しく話すようになる。直輝がシュートの練習をするために使っている公園で、莉子がバイオリンの練習をしていたことがきっかけだった。  　ある夜、直輝の家に、恋人の菜月(相武紗季)が遊びにくる。直輝の母・真希子(真矢みき)や妹の優里(大政絢)は、大喜びで菜月を出迎えた。直輝たちが皆で食事をしていると、菜月の携帯電話に着信があった。電話をかけてきた相手は、直輝のチームメートになった廉(金子ノブアキ)だった。  　同じころ、莉子と麻衣(貫地谷しほり)は、直輝が所属するプロバスケットボールチーム・JCアークスのヘッドコーチ・川崎(伊藤英明)に誘われて、飲みに出掛ける。その席に川崎が連れてきたのは、アークスのキャプテンを務める宇都宮(永井大)だった。麻衣は、ひと目で宇都宮のことが気に入っていた。だが、莉子が川崎から聞いた話によれば、宇都宮にはあるウワサがあった。しかし麻衣は、それにもめげない様子。  　そんな折、直輝たちアークスの面々は次のシーズンに向けて動き出す。来週から再開される練習の前に、直輝は、秀治(溝端淳平)、守口(青木崇高)らとともに子どもバスケット教室に出向き、小学生たちを指導する。一方、莉子は、川崎に誘われ、初めてふたりだけで会うが…。山下智久　  北川景子　  相武紗季　  貫地谷しほり　  溝端淳平　  金子ノブアキ　  青木崇高　  金田哲(はんにゃ)　  川島章良(はんにゃ)　    永井大　  真矢みき　  伊藤英明【脚本】  大森美香【プロデュース】  中野利幸    【演出】  永山耕三B.B.O.S.T　    【主題歌】  「イチブトゼンブ」B’z(VERMILLION　RECORDS)</t>
  </si>
  <si>
    <t>直輝(山下智久)と莉子(北川景子)は、互いの名前も知らぬまま、親しく話すようになる。直輝がシュートの練習をするために使っている公園で、莉子がバイオリンの練習をしていたことがきっかけだった。  　ある夜、直輝の家に、恋人の菜月(相武紗季)が遊びにくる。直輝の母・真希子(真矢みき)や妹の優里(大政絢)は、大喜びで菜月を出迎えた。直輝たちが皆で食事をしていると、菜月の携帯電話に着信があった。電話をかけてきた相手は、直輝のチームメートになった廉(金子ノブアキ)だった。  　同じころ、莉子と麻衣(貫地谷しほり)は、直輝が所属するプロバスケットボールチーム・JCアークスのヘッドコーチ・川崎(伊藤英明)に誘われて、飲みに出掛ける。その席に川崎が連れてきたのは、アークスのキャプテンを務める宇都宮(永井大)だった。麻衣は、ひと目で宇都宮のことが気に入っていた。だが、莉子が川崎から聞いた話によれば、宇都宮にはあるウワサがあった。しかし麻衣は、それにもめげない様子。  　そんな折、直輝たちアークスの面々は次のシーズンに向けて動き出す。来週から再開される練習の前に、直輝は、秀治(溝端淳平)、守口(青木崇高)らとともに子どもバスケット教室に出向き、小学生たちを指導する。一方、莉子は、川崎に誘われ、初めてふたりだけで会うが…。</t>
  </si>
  <si>
    <t>番組名ブザー・ビート～崖っぷちのヒーロー～　#03</t>
  </si>
  <si>
    <t>上矢直輝(山下智久)たちJCアークスの面々は、シーズン開幕に向けてトレーニングを続けていた。練習試合の最中に、白河莉子(北川景子)からげきを飛ばされた直輝は必死に練習に打ち込んだ。  　練習を終えた秦野秀治(溝端淳平)は、莉子と海老名麻衣(貫地谷しほり)がアルバイトをしている書店を訪れる。秀治を呼び出したのは麻衣だった。宇都宮(永井大)に心をひかれていた麻衣は、秀治に彼のことを調べさせようとしていた。  　一方、菜月(相武紗季)は、新たにアークスに加入した代々木廉(金子ノブアキ)のことが気になっていた。廉が、菜月のことを無視するかのような態度をとり始めたからだった。  　ある日、菜月と食事の約束をした直輝は、スーパーマーケットまで買い出しに行く。そこで莉子に出会った直輝は、帰り道にいつもの公園に立ち寄り、一緒にビールを飲んだ。その際、莉子は、直輝に恋人がいることを知り…。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</si>
  <si>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上矢直輝(山下智久)たちJCアークスの面々は、シーズン開幕に向けてトレーニングを続けていた。練習試合の最中に、白河莉子(北川景子)からげきを飛ばされた直輝は必死に練習に打ち込んだ。  　練習を終えた秦野秀治(溝端淳平)は、莉子と海老名麻衣(貫地谷しほり)がアルバイトをしている書店を訪れる。秀治を呼び出したのは麻衣だった。宇都宮(永井大)に心をひかれていた麻衣は、秀治に彼のことを調べさせようとしていた。  　一方、菜月(相武紗季)は、新たにアークスに加入した代々木廉(金子ノブアキ)のことが気になっていた。廉が、菜月のことを無視するかのような態度をとり始めたからだった。  　ある日、菜月と食事の約束をした直輝は、スーパーマーケットまで買い出しに行く。そこで莉子に出会った直輝は、帰り道にいつもの公園に立ち寄り、一緒にビールを飲んだ。その際、莉子は、直輝に恋人がいることを知り…。</t>
  </si>
  <si>
    <t>番組名ブザー・ビート～崖っぷちのヒーロー～　#04</t>
  </si>
  <si>
    <t>上矢直輝(山下智久)は、ヘッドコーチの川崎智哉(伊藤英明)に誘われて海に遊びに行く。白河莉子(北川景子)や海老名麻衣(貫地谷しほり)、チームメイトの秦野秀治(溝端淳平)、宇都宮透(永井大)らも一緒だった。だが、直輝は、前夜、恋人の七海菜月(相武紗季)から、いつになったら自分に自信が持てるようになるのか、と不満をぶつけられたこともあって元気がない。　一方、莉子は、バスの中で拾った携帯電話が実は直輝のものだったことを知る。麻衣は、運命的に同じバスに乗っていた、などと言う莉子の言葉が引っかかり、本当は川崎ではなく直輝を好きなのか、と彼女に問いかけた。莉子は、慌ててそれを否定すると、直輝とは友だちだと返す。  　夕方、一行が帰り支度を始めようとしていると、直輝の携帯電話に菜月からのメールが入る。メールには「私も会いたい」と書かれていた。それを見た直輝は、電車で帰ると言って川崎たちと別れ、駅へと急いだ。その晩、直輝は、菜月のマンションを訪れる。菜月と仲直りした直輝は、バスケで輝いている直輝が好きだという彼女の言葉に励まされる。が、その際、直輝は菜月のベッドの下にアームバンドが落ちていることに気づき…。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</si>
  <si>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上矢直輝(山下智久)は、ヘッドコーチの川崎智哉(伊藤英明)に誘われて海に遊びに行く。白河莉子(北川景子)や海老名麻衣(貫地谷しほり)、チームメイトの秦野秀治(溝端淳平)、宇都宮透(永井大)らも一緒だった。だが、直輝は、前夜、恋人の七海菜月(相武紗季)から、いつになったら自分に自信が持てるようになるのか、と不満をぶつけられたこともあって元気がない。　一方、莉子は、バスの中で拾った携帯電話が実は直輝のものだったことを知る。麻衣は、運命的に同じバスに乗っていた、などと言う莉子の言葉が引っかかり、本当は川崎ではなく直輝を好きなのか、と彼女に問いかけた。莉子は、慌ててそれを否定すると、直輝とは友だちだと返す。  　夕方、一行が帰り支度を始めようとしていると、直輝の携帯電話に菜月からのメールが入る。メールには「私も会いたい」と書かれていた。それを見た直輝は、電車で帰ると言って川崎たちと別れ、駅へと急いだ。その晩、直輝は、菜月のマンションを訪れる。菜月と仲直りした直輝は、バスケで輝いている直輝が好きだという彼女の言葉に励まされる。が、その際、直輝は菜月のベッドの下にアームバンドが落ちていることに気づき…。</t>
  </si>
  <si>
    <t>番組名ブザー・ビート～崖っぷちのヒーロー～　#05</t>
  </si>
  <si>
    <t>上矢直輝(山下智久)は、恋人の七海菜月(相武紗季)がJCアークスのチームメイト・代々木廉(金子ノブアキ)とキスしているところを目撃してしまう。直輝は、ショックを受け、その場から立ち去った。一方、白河莉子(北川景子)は、川崎智哉(伊藤英明)とデートをしていた。店を出た2人は、莉子と親友の海老名麻衣(貫地谷しほり)がルームシェアをしているアパートへと向かった。ご馳走したいから、といって川崎を誘ったのだ。莉子たちの部屋に居候している秦野秀治(溝端淳平)は、川崎が来ることを知り、宇都宮透(永井大)を誘った。宇都宮に思いを寄せている麻衣は、大喜びだった。行き場のない直輝は、いつもの公園へと向かった。練習に没頭した直輝は、疲れ果て、そのまま公園のベンチで眠ってしまう。あくる朝、バイオリンの練習をするために公園にやってきた莉子は、ベンチで眠っている直輝の姿を見つける。そっと歩み寄った莉子は、携帯電話を取り出し、直輝の寝顔を撮った。秀治とともにアパートの窓からその一部始終を見ていた麻衣は、やはり莉子は直輝のことを好きなのではないか、と疑った。莉子は、それを否定し、撮影した写真を消去する。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</si>
  <si>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上矢直輝(山下智久)は、恋人の七海菜月(相武紗季)がJCアークスのチームメイト・代々木廉(金子ノブアキ)とキスしているところを目撃してしまう。直輝は、ショックを受け、その場から立ち去った。一方、白河莉子(北川景子)は、川崎智哉(伊藤英明)とデートをしていた。店を出た2人は、莉子と親友の海老名麻衣(貫地谷しほり)がルームシェアをしているアパートへと向かった。ご馳走したいから、といって川崎を誘ったのだ。莉子たちの部屋に居候している秦野秀治(溝端淳平)は、川崎が来ることを知り、宇都宮透(永井大)を誘った。宇都宮に思いを寄せている麻衣は、大喜びだった。行き場のない直輝は、いつもの公園へと向かった。練習に没頭した直輝は、疲れ果て、そのまま公園のベンチで眠ってしまう。あくる朝、バイオリンの練習をするために公園にやってきた莉子は、ベンチで眠っている直輝の姿を見つける。そっと歩み寄った莉子は、携帯電話を取り出し、直輝の寝顔を撮った。秀治とともにアパートの窓からその一部始終を見ていた麻衣は、やはり莉子は直輝のことを好きなのではないか、と疑った。莉子は、それを否定し、撮影した写真を消去する。</t>
  </si>
  <si>
    <t>番組名ブザー・ビート～崖っぷちのヒーロー～　#06</t>
  </si>
  <si>
    <t>合宿中だった上矢直輝(山下智久)のもとに、白河莉子(北川景子)がやってきた。電話で直輝と話していたとき、彼が泣いていることに気づいた莉子は、心配になってJCアークスの合宿先まで駆けつけたのだ。そんな莉子を思わず抱きしめてしまった直輝は、次の瞬間、慌てて体を離す。すると今度は、莉子の方から直輝に抱きつく。  　直輝は、川崎智哉(伊藤英明)には会わずに帰る、という莉子をバス停まで送っていくと、気合いを入れ直してランニングを始める。その姿を、川崎が偶然目撃していることには気づかなかった。  　朝、選手たちより先に帰京する七海菜月(相武紗季)たちチアチームがロビーに集合する。菜月は、代々木廉(金子ノブアキ)に歩み寄り、東京に帰ったら連絡して、と声をかけた。それを聞いていた宇都宮透(永井大)は、菜月を呼び止め、事情を聞こうとする。菜月は、そんな宇都宮に、振られたのは自分の方だ、と告げた。　そんな折、川崎は、練習試合を行うと皆に告げる。川崎は、直輝と廉を同じチームに入れると、自ら相手チームに加わり…。山下智久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</si>
  <si>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合宿中だった上矢直輝(山下智久)のもとに、白河莉子(北川景子)がやってきた。電話で直輝と話していたとき、彼が泣いていることに気づいた莉子は、心配になってJCアークスの合宿先まで駆けつけたのだ。そんな莉子を思わず抱きしめてしまった直輝は、次の瞬間、慌てて体を離す。すると今度は、莉子の方から直輝に抱きつく。  　直輝は、川崎智哉(伊藤英明)には会わずに帰る、という莉子をバス停まで送っていくと、気合いを入れ直してランニングを始める。その姿を、川崎が偶然目撃していることには気づかなかった。  　朝、選手たちより先に帰京する七海菜月(相武紗季)たちチアチームがロビーに集合する。菜月は、代々木廉(金子ノブアキ)に歩み寄り、東京に帰ったら連絡して、と声をかけた。それを聞いていた宇都宮透(永井大)は、菜月を呼び止め、事情を聞こうとする。菜月は、そんな宇都宮に、振られたのは自分の方だ、と告げた。　そんな折、川崎は、練習試合を行うと皆に告げる。川崎は、直輝と廉を同じチームに入れると、自ら相手チームに加わり…。</t>
  </si>
  <si>
    <t>番組名ブザー・ビート～崖っぷちのヒーロー～　#07</t>
  </si>
  <si>
    <t>上矢直輝(山下智久)のもとに、元恋人の七海菜月(相武紗季)から電話が入る。菜月の部屋にあった直輝の衣類などをまとめたから取りに来てほしい、という連絡だった。菜月は、合鍵を置いて帰ろうとする直輝に、「私たち、友だちになれるかな?」と問いかけた。しかし直輝は、無理だと答えて、菜月の部屋を後にする。  　一方、白河莉子(北川景子)は、ボストンへ出発する直前の川崎智哉(伊藤英明)から電話をもらい、彼に会っていた。莉子の誕生日が4日後だと知った川崎は、彼女にプレゼントを渡し、ボストンへと旅立っていく。  　アパートに戻った莉子は、親友の海老名麻衣(貫地谷しほり)に、直輝のことが好きだと川崎に言えなかったこと、成り行きで川崎の両親に会ってしまったこと、そして直輝にキスしてしまったことを報告する。そんな莉子に、麻衣は、直輝が菜月と別れたことを告げる。　そんな折、直輝は、スーパーマーケットで莉子と出会う。ところが、直輝の姿を見るなり、逃げ出す莉子。そんな莉子の後を追いかけた直輝は、すぐに彼女に追いつく。莉子と一緒に公園に立ち寄った直輝は、いつまでも莉子とは友だちでいたいからこの間のことは忘れる、と告げる。しかし莉子は、もう友だちとは思えない、と言って、直輝に自分の想いを伝えようとし・・・。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</si>
  <si>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上矢直輝(山下智久)のもとに、元恋人の七海菜月(相武紗季)から電話が入る。菜月の部屋にあった直輝の衣類などをまとめたから取りに来てほしい、という連絡だった。菜月は、合鍵を置いて帰ろうとする直輝に、「私たち、友だちになれるかな?」と問いかけた。しかし直輝は、無理だと答えて、菜月の部屋を後にする。  　一方、白河莉子(北川景子)は、ボストンへ出発する直前の川崎智哉(伊藤英明)から電話をもらい、彼に会っていた。莉子の誕生日が4日後だと知った川崎は、彼女にプレゼントを渡し、ボストンへと旅立っていく。  　アパートに戻った莉子は、親友の海老名麻衣(貫地谷しほり)に、直輝のことが好きだと川崎に言えなかったこと、成り行きで川崎の両親に会ってしまったこと、そして直輝にキスしてしまったことを報告する。そんな莉子に、麻衣は、直輝が菜月と別れたことを告げる。　そんな折、直輝は、スーパーマーケットで莉子と出会う。ところが、直輝の姿を見るなり、逃げ出す莉子。そんな莉子の後を追いかけた直輝は、すぐに彼女に追いつく。莉子と一緒に公園に立ち寄った直輝は、いつまでも莉子とは友だちでいたいからこの間のことは忘れる、と告げる。しかし莉子は、もう友だちとは思えない、と言って、直輝に自分の想いを伝えようとし・・・。</t>
  </si>
  <si>
    <t>番組名ブザー・ビート～崖っぷちのヒーロー～　#08</t>
  </si>
  <si>
    <t>いつもの公園を訪れた上矢直輝(山下智久)は、誕生日を迎えた白河莉子(北川景子)に電話する。莉子は、誕生日のお祝いにボールをドリブルする音を聴かせてほしい、と直輝に頼んだ。その音で、直輝が隣りの公園にいることに気づいた莉子は、窓を開けると、もう会わないなんて言わないでほしい、と叫んだ。その言葉を聞いた直輝は、莉子の部屋に駆け上がり、彼女を強く抱きしめてキスする。お互いの気持ちを確認し合った2人は、出張中の川崎智哉(伊藤英明)が戻ってきちんとけじめをつけるまではいままで通りの関係でいよう、と誓い合う。  　一方、七海菜月(相武紗季)は、後輩の金沢しおん(小松彩夏)が代々木廉(金子ノブアキ)と親しくしていることを知る。が、しおんは、菜月に向かって、悪いことをしたとは思っていない、と言い放つ。直輝は、関節内剥離の痛みも大分治まり、いままで以上に練習に没頭する。莉子からメールアドレスを教えてもらった直輝は、さっそくその喜びを報告した。海老名麻衣(貫地谷しほり)は、嬉しそうにそのメールを見ていた莉子を冷やかした。そんな麻衣も、秦野秀治(溝端淳平)と上手くいっているらしい。莉子から「自分こそ彼氏ができて浮かれちゃって」とからかわれた麻衣は、恋人になることでいまの関係が崩れるのが怖い、と胸の内を明かす。そんな折、莉子は、菜月から食事に誘われ…。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</si>
  <si>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いつもの公園を訪れた上矢直輝(山下智久)は、誕生日を迎えた白河莉子(北川景子)に電話する。莉子は、誕生日のお祝いにボールをドリブルする音を聴かせてほしい、と直輝に頼んだ。その音で、直輝が隣りの公園にいることに気づいた莉子は、窓を開けると、もう会わないなんて言わないでほしい、と叫んだ。その言葉を聞いた直輝は、莉子の部屋に駆け上がり、彼女を強く抱きしめてキスする。お互いの気持ちを確認し合った2人は、出張中の川崎智哉(伊藤英明)が戻ってきちんとけじめをつけるまではいままで通りの関係でいよう、と誓い合う。  　一方、七海菜月(相武紗季)は、後輩の金沢しおん(小松彩夏)が代々木廉(金子ノブアキ)と親しくしていることを知る。が、しおんは、菜月に向かって、悪いことをしたとは思っていない、と言い放つ。直輝は、関節内剥離の痛みも大分治まり、いままで以上に練習に没頭する。莉子からメールアドレスを教えてもらった直輝は、さっそくその喜びを報告した。海老名麻衣(貫地谷しほり)は、嬉しそうにそのメールを見ていた莉子を冷やかした。そんな麻衣も、秦野秀治(溝端淳平)と上手くいっているらしい。莉子から「自分こそ彼氏ができて浮かれちゃって」とからかわれた麻衣は、恋人になることでいまの関係が崩れるのが怖い、と胸の内を明かす。そんな折、莉子は、菜月から食事に誘われ…。</t>
  </si>
  <si>
    <t>番組名ブザー・ビート～崖っぷちのヒーロー～　#09</t>
  </si>
  <si>
    <t>上矢直輝(山下智久)は、深夜バスで帰省する予定の白河莉子(北川景子)と、出発前に会う約束をしていた。練習を終え、莉子のもとへと急いだ直輝は、その途中で、雨宿りをしている七海菜月(相武紗季)に出会う。直輝は、菜月に傘を手渡して立ち去ろうとしたが、そんな直輝に、行かないでほしい、と言って抱きつく菜月。直輝は、困惑しながらも、友だちと会う約束があると菜月に告げる。それを聞いた菜月は、直輝に謝って笑顔を見せると、借りた傘をさして歩きだす。  　いつもの公園で待っていた莉子は、びしょ濡れでやってきた直輝に驚き、慌てて彼をアパートまで連れていく。直輝は、莉子がバスの時間に間に合わなくなったことを知り、練習が長引いたと説明して謝った。すると、莉子の携帯電話に菜月から電話が入る。菜月は、直輝と一緒だったことを打ち明けて莉子に謝罪する。菜月から、シーズン前だから体調に注意してあげてほしいと頼まれた莉子は、その言葉に従って直輝を帰宅させる。だが、同居している秦野秀治(溝端淳平)から、練習が早めに終わったことを聞かされた莉子は、落ち込んでしまう。あくる日、莉子は久々に実家に戻る。  　一方、直輝は、開幕に向けて練習を続けていた。そんな折、直輝や宇都宮透(永井大)たちはすき焼きパーティーを開く。そこで直輝は、莉子がバーでバイオリンを演奏するアルバイトを辞めたことを海老名麻衣(貫地谷しほり)から教えられる。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</si>
  <si>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上矢直輝(山下智久)は、深夜バスで帰省する予定の白河莉子(北川景子)と、出発前に会う約束をしていた。練習を終え、莉子のもとへと急いだ直輝は、その途中で、雨宿りをしている七海菜月(相武紗季)に出会う。直輝は、菜月に傘を手渡して立ち去ろうとしたが、そんな直輝に、行かないでほしい、と言って抱きつく菜月。直輝は、困惑しながらも、友だちと会う約束があると菜月に告げる。それを聞いた菜月は、直輝に謝って笑顔を見せると、借りた傘をさして歩きだす。  　いつもの公園で待っていた莉子は、びしょ濡れでやってきた直輝に驚き、慌てて彼をアパートまで連れていく。直輝は、莉子がバスの時間に間に合わなくなったことを知り、練習が長引いたと説明して謝った。すると、莉子の携帯電話に菜月から電話が入る。菜月は、直輝と一緒だったことを打ち明けて莉子に謝罪する。菜月から、シーズン前だから体調に注意してあげてほしいと頼まれた莉子は、その言葉に従って直輝を帰宅させる。だが、同居している秦野秀治(溝端淳平)から、練習が早めに終わったことを聞かされた莉子は、落ち込んでしまう。あくる日、莉子は久々に実家に戻る。  　一方、直輝は、開幕に向けて練習を続けていた。そんな折、直輝や宇都宮透(永井大)たちはすき焼きパーティーを開く。そこで直輝は、莉子がバーでバイオリンを演奏するアルバイトを辞めたことを海老名麻衣(貫地谷しほり)から教えられる。</t>
  </si>
  <si>
    <t>番組名ブザー・ビート～崖っぷちのヒーロー～　#10</t>
  </si>
  <si>
    <t>上矢直輝(山下智久)は、白河莉子(北川景子)のために生花店で一輪のヒマワリを買い求め、彼女のアパートへと急いでいた。  　そのころ莉子は、ボストンから帰国し、アパートまで訪ねてきた川崎智哉(伊藤英明)に会っていた。直輝とケンカしたばかりの莉子は、幸せだと答えながらも涙をこらえることができない。川崎は、そんな莉子を優しく抱きしめた。　直輝が莉子のアパートに到着すると、彼女の部屋からちょうど川崎が出てくる。公園で直輝と対峙した川崎は、お前に莉子を守れるとは思えない、と言い放った。そんななか、事件が起きた。練習していた直輝が、足首の激痛に襲われ倒れてしまったのだ。直輝は、病院に運び込まれたが、手術は拒否する。そのとき、直輝の意志を無視して、手術の日程を決めてほしい、と医師に申し出たのは七海菜月(相武紗季)だった。　一方、莉子は、八尾(升毅)から呼び出される。音楽財団の理事長を務める八尾は、ある演奏会でバイオリニストに欠員が出たことを伝え、明日からの1週間をくれないか、と莉子に申し出る。莉子の努力次第で1週間後の演奏会に起用してもいいというのだ。その話を受けた莉子は、さっそく直輝に報告するが…。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</si>
  <si>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上矢直輝(山下智久)は、白河莉子(北川景子)のために生花店で一輪のヒマワリを買い求め、彼女のアパートへと急いでいた。  　そのころ莉子は、ボストンから帰国し、アパートまで訪ねてきた川崎智哉(伊藤英明)に会っていた。直輝とケンカしたばかりの莉子は、幸せだと答えながらも涙をこらえることができない。川崎は、そんな莉子を優しく抱きしめた。　直輝が莉子のアパートに到着すると、彼女の部屋からちょうど川崎が出てくる。公園で直輝と対峙した川崎は、お前に莉子を守れるとは思えない、と言い放った。そんななか、事件が起きた。練習していた直輝が、足首の激痛に襲われ倒れてしまったのだ。直輝は、病院に運び込まれたが、手術は拒否する。そのとき、直輝の意志を無視して、手術の日程を決めてほしい、と医師に申し出たのは七海菜月(相武紗季)だった。　一方、莉子は、八尾(升毅)から呼び出される。音楽財団の理事長を務める八尾は、ある演奏会でバイオリニストに欠員が出たことを伝え、明日からの1週間をくれないか、と莉子に申し出る。莉子の努力次第で1週間後の演奏会に起用してもいいというのだ。その話を受けた莉子は、さっそく直輝に報告するが…。</t>
  </si>
  <si>
    <t>番組名ブザー・ビート～崖っぷちのヒーロー～　#11</t>
  </si>
  <si>
    <t>上矢直輝(山下智久)は、オーケストラのバイオリニストになるチャンスを諦めようとしていた白河莉子(北川景子)に、最後まで夢を追ってほしい、と助言する。莉子は、音楽財団の理事長・八尾隆介(升毅)に認められ、軽井沢で活動するオーケストラに誘われていたが、直輝と離れたくないという思いから、その話を断ろうとしていた。  　直輝の思いを受け止めた莉子は、軽井沢に行くことを決意し、別れが辛くなるからもう会わない、と彼に告げてその場を後にした。  　それから1週間後。出発を明日に控えた莉子は、音楽だけに集中するために携帯電話も解約する。親友の海老名麻衣(貫地谷しほり)は、そんな莉子の行動に驚いていた。最後のアルバイトを終えた莉子は、店長の小牧祐介(川端竜太)に挨拶する。するとそこに、直輝の姉・雪乃(ちすん)がやってきた。その際、雪乃は、莉子が以前駅ビルで演奏していた女性であることに気づき、弟が演奏していた人にヒマワリを渡そうとして渡せなかった、と言い出す。あのとき、小学生からもらったヒマワリが、実は直輝のものだったことを知った莉子は、改めて真剣に音楽に取り組むことを決意する。  　そんな中、PBAの2009年シーズンが開幕する。直輝は、完全復活を目指して、1人リハビリに励み…。山下智久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</si>
  <si>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上矢直輝(山下智久)は、オーケストラのバイオリニストになるチャンスを諦めようとしていた白河莉子(北川景子)に、最後まで夢を追ってほしい、と助言する。莉子は、音楽財団の理事長・八尾隆介(升毅)に認められ、軽井沢で活動するオーケストラに誘われていたが、直輝と離れたくないという思いから、その話を断ろうとしていた。  　直輝の思いを受け止めた莉子は、軽井沢に行くことを決意し、別れが辛くなるからもう会わない、と彼に告げてその場を後にした。  　それから1週間後。出発を明日に控えた莉子は、音楽だけに集中するために携帯電話も解約する。親友の海老名麻衣(貫地谷しほり)は、そんな莉子の行動に驚いていた。最後のアルバイトを終えた莉子は、店長の小牧祐介(川端竜太)に挨拶する。するとそこに、直輝の姉・雪乃(ちすん)がやってきた。その際、雪乃は、莉子が以前駅ビルで演奏していた女性であることに気づき、弟が演奏していた人にヒマワリを渡そうとして渡せなかった、と言い出す。あのとき、小学生からもらったヒマワリが、実は直輝のものだったことを知った莉子は、改めて真剣に音楽に取り組むことを決意する。  　そんな中、PBAの2009年シーズンが開幕する。直輝は、完全復活を目指して、1人リハビリに励み…。</t>
  </si>
  <si>
    <t>0907_CX_火21</t>
  </si>
  <si>
    <t>結婚式場で倒れた花嫁を乗せた救急車は受け入れ先を探すが、どの病院も救命医が足りず、処置できないと受け入れを拒否する。そんな中、彼女の容態が急変し、新郎が運転手につかみかかり救急車は交差点の途中で急停車してしまった。その時、渋滞した車の列のタクシーから降りてくる1人の男。それは進藤一生(江口洋介)だった。  　海南医大救命救急センターでは、受け入れを断ったにもかかわらず救急車が向かって来ていると聞いて看護師の鴨居千夏(北乃きい)たちが慌てていた。この病院では、激務によって体力・気力共に尽きてしまった救命医たちが全員辞職してしまったのだ。しかし同乗してきた進藤は見事な手際で手術を成功させた。だがあらためて誰もいない医局を見て愕然とする。さらに、同じ病院の放射線科で働いている看護師、山城紗江子(木村多江)から、小島楓(松嶋菜々子)が医師を辞めたかもしれないと聞き驚く。  　楓は法廷にいた。実は楓は、医療ミスを理由に訴えられ、医療裁判の真っ只中にいるのだった。そんな楓のところに進藤が訪ねてきた。楓は進藤との再会を喜ぶものの、救命医としてやっていく自信はないと答える。  　進藤は、救命センター再建のために転属させられた優秀な外科医・澤井悦司(ユースケ・サンタマリア)とことごとく意見が対立。やる気のない臨時の医師が寄せ集められた病院で、孤軍奮闘で処置を行いながら、厳しい現状を実感する。江口洋介　  松嶋菜々子  　*　  木村多江　  北乃きい　  板尾創路　  市川実和子　  石田卓也　  趙　和　  西原亜希　  矢柴俊博　  山野海　  西山聡  　*　  ユースケ・サンタマリア　    ほか【脚本】  二木洋樹【企画】  和田行　  中島久美子    【プロデュース】  小椋久雄　  高丸雅隆　  三竿玲子    【演出】  河毛俊作吉俣良  【主題歌】「その先へ」DREAMS　COME　TRUE　feat.FUZZY　CONTROL</t>
  </si>
  <si>
    <t>結婚式場で倒れた花嫁を乗せた救急車は受け入れ先を探すが、どの病院も救命医が足りず、処置できないと受け入れを拒否する。そんな中、彼女の容態が急変し、新郎が運転手につかみかかり救急車は交差点の途中で急停車してしまった。その時、渋滞した車の列のタクシーから降りてくる1人の男。それは進藤一生(江口洋介)だった。  　海南医大救命救急センターでは、受け入れを断ったにもかかわらず救急車が向かって来ていると聞いて看護師の鴨居千夏(北乃きい)たちが慌てていた。この病院では、激務によって体力・気力共に尽きてしまった救命医たちが全員辞職してしまったのだ。しかし同乗してきた進藤は見事な手際で手術を成功させた。だがあらためて誰もいない医局を見て愕然とする。さらに、同じ病院の放射線科で働いている看護師、山城紗江子(木村多江)から、小島楓(松嶋菜々子)が医師を辞めたかもしれないと聞き驚く。  　楓は法廷にいた。実は楓は、医療ミスを理由に訴えられ、医療裁判の真っ只中にいるのだった。そんな楓のところに進藤が訪ねてきた。楓は進藤との再会を喜ぶものの、救命医としてやっていく自信はないと答える。  　進藤は、救命センター再建のために転属させられた優秀な外科医・澤井悦司(ユースケ・サンタマリア)とことごとく意見が対立。やる気のない臨時の医師が寄せ集められた病院で、孤軍奮闘で処置を行いながら、厳しい現状を実感する。</t>
  </si>
  <si>
    <t>法廷で証言をしている小島楓(松嶋菜々子)のもとへ海南医大救命救急センター医局長・澤井悦司(ユースケ・サンタマリア)が訪ねてきた。楓を救急医として病院に迎えたいという意向を伝えに来たらしい。楓は当惑しながらも、翌週から赴任することを約束する。  　その日、あわただしく全体会議が行われている救命救急センターへ、澤井が畑田智行(勝部演之)、孝実(水谷理砂)を連れてきた。楓を告訴している原告の親子だ。楓の事情を初めて知った野口(矢柴俊博)らセンターの医師たちは動揺する。楓の係争を暴露し、他の医師たちの不安をあおるような澤井の言動に進藤一生(江口洋介)は怒りを覚え、その夜、澤井に説明を求めるが、その答えに進藤は納得できず…。  　数日後、進藤が病院の検査室で採血されているのを、丹原(趙　和)が目撃する。救命の現場の激しさについて行けず、眼科へ戻ってしまった丹原は、進藤に対して憎悪を募らせていて…!?江口洋介　  松嶋菜々子  　*　  木村多江　  北乃きい　  板尾創路　  市川実和子　  石田卓也　  趙　和　  西原亜希　  矢柴俊博　  山野海　  西山聡  　*　  ユースケ・サンタマリア　    ほか【脚本】  一色伸幸【企画】  和田行　  中島久美子    【プロデュース】  小椋久雄　  高丸雅隆　  三竿玲子    【演出】  河毛俊作吉俣良  【主題歌】「その先へ」DREAMS　COME　TRUE　feat.FUZZY　CONTROL</t>
  </si>
  <si>
    <t>法廷で証言をしている小島楓(松嶋菜々子)のもとへ海南医大救命救急センター医局長・澤井悦司(ユースケ・サンタマリア)が訪ねてきた。楓を救急医として病院に迎えたいという意向を伝えに来たらしい。楓は当惑しながらも、翌週から赴任することを約束する。  　その日、あわただしく全体会議が行われている救命救急センターへ、澤井が畑田智行(勝部演之)、孝実(水谷理砂)を連れてきた。楓を告訴している原告の親子だ。楓の事情を初めて知った野口(矢柴俊博)らセンターの医師たちは動揺する。楓の係争を暴露し、他の医師たちの不安をあおるような澤井の言動に進藤一生(江口洋介)は怒りを覚え、その夜、澤井に説明を求めるが、その答えに進藤は納得できず…。  　数日後、進藤が病院の検査室で採血されているのを、丹原(趙　和)が目撃する。救命の現場の激しさについて行けず、眼科へ戻ってしまった丹原は、進藤に対して憎悪を募らせていて…!?</t>
  </si>
  <si>
    <t>救命センターは、進藤(江口洋介)と楓(松嶋菜々子)を中心になんとか回ってはいるものの、せめてあと1人は専門の救急医が必要だと澤井(ユースケ・サンタマリア)は病院へ働きかけ、体制を立て直すことを宣言する。  　事故で重傷を負い、運び込まれた患者のバイタルチェックをしている千夏(北乃きい)のところへ、元救急医の花輪(板尾創路)がふらりと現れ、いつもの軽口をたたきながら、さりげなくアドバイスをして去って行った。その様子を見ていた進藤は、過去のカルテを閲覧し、花輪の救急医としての実績を確認する。  　花輪はかつての医局長・大山(築出静夫)の病室を訪れていた。自分が救命センターを辞めたことで、他の医師たちの負担が増え、大山が倒れたと責任を感じている。そんな花輪を大山の妻・芙美子(小林かおり)は慰める。  　外来で意識がもうろうとした男性を診ている研修医の工藤(石田卓也)。脳梗塞と診断し、患者を放射線科へ運ぶ。しかし看護師の紗江子(木村多江)が、糖尿病の低血糖の症状であることを指摘する。澤井は救急看護認定看護師の資格を持つ紗江子を救命センターへ配置換えしようとするが、息子を1人で育てている紗江子は応えることができない。  　交通事故で親子3人が運び込まれて来た。医師、看護師全員で処置に当たっている中、さらにもう1人の受け入れ要請があり、楓が受ける。ところが、ICUで千夏が診ていた患者が急変して…!?江口洋介　  松嶋菜々子  　*　  木村多江　  北乃きい　  板尾創路　  市川実和子　  石田卓也　  趙　和　  西原亜希　  矢柴俊博　  山野海　  西山聡  　*　  ユースケ・サンタマリア　    ほか【脚本】  高山直也【企画】  和田行　  中島久美子　    【プロデュース】  小椋久雄　  高丸雅隆　  三竿玲子　    【演出】  水田成英吉俣良  【主題歌】「その先へ」DREAMS　COME　TRUE　feat.FUZZY　CONTROL</t>
  </si>
  <si>
    <t>救命センターは、進藤(江口洋介)と楓(松嶋菜々子)を中心になんとか回ってはいるものの、せめてあと1人は専門の救急医が必要だと澤井(ユースケ・サンタマリア)は病院へ働きかけ、体制を立て直すことを宣言する。  　事故で重傷を負い、運び込まれた患者のバイタルチェックをしている千夏(北乃きい)のところへ、元救急医の花輪(板尾創路)がふらりと現れ、いつもの軽口をたたきながら、さりげなくアドバイスをして去って行った。その様子を見ていた進藤は、過去のカルテを閲覧し、花輪の救急医としての実績を確認する。  　花輪はかつての医局長・大山(築出静夫)の病室を訪れていた。自分が救命センターを辞めたことで、他の医師たちの負担が増え、大山が倒れたと責任を感じている。そんな花輪を大山の妻・芙美子(小林かおり)は慰める。  　外来で意識がもうろうとした男性を診ている研修医の工藤(石田卓也)。脳梗塞と診断し、患者を放射線科へ運ぶ。しかし看護師の紗江子(木村多江)が、糖尿病の低血糖の症状であることを指摘する。澤井は救急看護認定看護師の資格を持つ紗江子を救命センターへ配置換えしようとするが、息子を1人で育てている紗江子は応えることができない。  　交通事故で親子3人が運び込まれて来た。医師、看護師全員で処置に当たっている中、さらにもう1人の受け入れ要請があり、楓が受ける。ところが、ICUで千夏が診ていた患者が急変して…!?</t>
  </si>
  <si>
    <t>進藤(江口洋介)に付いている研修医・工藤(石田卓也)は、進藤のやり方について行けないと、澤井(ユースケ・サンタマリア)に指導医の変更を求め直談判する。楓(松嶋菜々子)は、工藤が進藤に反発する様子を見てアドバイスをしようとするが、工藤は受け入れない。  　千夏(北乃きい)は、人の死に慣れてきている自分に不安を感じていることを紗江子(木村多江)に打ち明ける。そんな中、千夏は骨折で運ばれてきた喜久代(佐々木すみ江)が認知症であることに気づく。1年前に事故で孫を亡くしたことを忘れている喜久代に、どう接したら良いのか迷う千夏。喜久代は、喘息の発作で運ばれてきた少年・博明(澁谷武尊)を自分の孫だと思い込み、博明もその思い込みに合わせていた。  　博明がまた発作を起こした。進藤を呼ぼうとする千夏を制止し、処置をする工藤。ところがその診断が間違っていて、博明は呼吸停止に・・・!その様子を見ていた喜久代は!?江口洋介　  松嶋菜々子  　*　  木村多江　  北乃きい　  板尾創路　  市川実和子　  石田卓也　  趙　和　  西原亜希　  矢柴俊博　  山野海　  西山聡  　*　  ユースケ・サンタマリア　    ほか【脚本】  林誠人【企画】  和田行　  中島久美子　    【プロデュース】  小椋久雄　  高丸雅隆　  三竿玲子　    【演出】  佐藤祐市吉俣良  【主題歌】「その先へ」DREAMS　COME　TRUE　feat.FUZZY　CONTROL</t>
  </si>
  <si>
    <t>進藤(江口洋介)に付いている研修医・工藤(石田卓也)は、進藤のやり方について行けないと、澤井(ユースケ・サンタマリア)に指導医の変更を求め直談判する。楓(松嶋菜々子)は、工藤が進藤に反発する様子を見てアドバイスをしようとするが、工藤は受け入れない。  　千夏(北乃きい)は、人の死に慣れてきている自分に不安を感じていることを紗江子(木村多江)に打ち明ける。そんな中、千夏は骨折で運ばれてきた喜久代(佐々木すみ江)が認知症であることに気づく。1年前に事故で孫を亡くしたことを忘れている喜久代に、どう接したら良いのか迷う千夏。喜久代は、喘息の発作で運ばれてきた少年・博明(澁谷武尊)を自分の孫だと思い込み、博明もその思い込みに合わせていた。  　博明がまた発作を起こした。進藤を呼ぼうとする千夏を制止し、処置をする工藤。ところがその診断が間違っていて、博明は呼吸停止に・・・!その様子を見ていた喜久代は!?</t>
  </si>
  <si>
    <t>楓(松嶋菜々子)の母、梓(赤座美代子)が病院を訪れた。裁判のこともあり、楓が震災で婚約者を亡くしてから1人でいることを心配していると言う。楓は複雑な思いで・・・。  　子供がいることを同僚たちに隠して仕事をしている紗江子(木村多江)は、このところ残業が続いていた。その日も急患で遅くなることを電話すると、5歳の息子、剛史(浜多恵韻)は怒って電話を切ってしまう。動揺した紗江子は患者の処置でケアレスミスをし、進藤(江口洋介)に叱責される。  　楓が担当した腰痛の患者、柏木聡子(りりィ)が、検査の結果、末期のすい臓がんであることが判明した。1人暮らしで家族がいないという聡子への告知を楓はちゅうちょするが、進藤に「自分が同じ立場だったら」と問いかけられ、聡子と向き合う決心をする。  　そんな時、高所から落ちた剛史が救命センターへ運び込まれてきた。驚く紗江子。その原因を知って・・・!?江口洋介　  松嶋菜々子  　*　  木村多江　  北乃きい　  板尾創路　  市川実和子　  石田卓也　  趙　和　  西原亜希　  矢柴俊博　  山野海　  西山聡  　*　  ユースケ・サンタマリア　    ほか【脚本】  小川真【企画】  和田行　  中島久美子    【プロデュース】  小椋久雄　  高丸雅隆　  三竿玲子    【演出】  大木綾子吉俣良  【主題歌】「その先へ」DREAMS　COME　TRUE　feat.FUZZY　CONTROL</t>
  </si>
  <si>
    <t>楓(松嶋菜々子)の母、梓(赤座美代子)が病院を訪れた。裁判のこともあり、楓が震災で婚約者を亡くしてから1人でいることを心配していると言う。楓は複雑な思いで・・・。  　子供がいることを同僚たちに隠して仕事をしている紗江子(木村多江)は、このところ残業が続いていた。その日も急患で遅くなることを電話すると、5歳の息子、剛史(浜多恵韻)は怒って電話を切ってしまう。動揺した紗江子は患者の処置でケアレスミスをし、進藤(江口洋介)に叱責される。  　楓が担当した腰痛の患者、柏木聡子(りりィ)が、検査の結果、末期のすい臓がんであることが判明した。1人暮らしで家族がいないという聡子への告知を楓はちゅうちょするが、進藤に「自分が同じ立場だったら」と問いかけられ、聡子と向き合う決心をする。  　そんな時、高所から落ちた剛史が救命センターへ運び込まれてきた。驚く紗江子。その原因を知って・・・!?</t>
  </si>
  <si>
    <t>硫化水素で自殺を図った女性、由梨(野村佑香)が運ばれてきた。進藤(江口洋介)、楓(松嶋菜々子)らは、他の患者への影響を避けるため、駐車場で処置をする。同じ頃、手のひらから血を流した男、浅越(水橋研二)が救命センターを訪れていたが、澤井(ユースケ・サンタマリア)が外来へ行くよう促していた。  　その後、救命センターのホットラインにいたずら電話が相次いでかかってくるようになった。その原因に気づいた楓らは・・・!?  　そんな中、国会議員の岡部(佐戸井けん太)が心筋梗塞で倒れ、運び込まれてきた。澤井が付き添っている。岡部は、救命医療改革の独立行政法人の諮問委員に澤井を勧誘していたのだ。進藤と澤井の連携プレーで岡部は一命をとりとめ、ICUに移された。  　意識が戻った由梨が「殺される!」と叫び、逃げだそうと暴れ出した。自殺ではなかったと悟った進藤らは、警察へ連絡を取り、由梨を外科病棟へ移そうとストレッチャーを押して廊下へ。ところがそこには浅越がバケツとナイフを持って立ちはだかっていた。江口洋介　  松嶋菜々子  　*　  木村多江　  北乃きい　  板尾創路　  市川実和子　  石田卓也　  趙　和　  西原亜希　  矢柴俊博　  山野海　  西山聡  　*　  ユースケ・サンタマリア　    ほか【脚本】  二木洋樹【企画】  和田行　  中島久美子    【プロデュース】  小椋久雄　  高丸雅隆　  三竿玲子    【演出】  佐藤祐市吉俣良  【主題歌】「その先へ」DREAMS　COME　TRUE　feat.FUZZY　CONTROL</t>
  </si>
  <si>
    <t>硫化水素で自殺を図った女性、由梨(野村佑香)が運ばれてきた。進藤(江口洋介)、楓(松嶋菜々子)らは、他の患者への影響を避けるため、駐車場で処置をする。同じ頃、手のひらから血を流した男、浅越(水橋研二)が救命センターを訪れていたが、澤井(ユースケ・サンタマリア)が外来へ行くよう促していた。  　その後、救命センターのホットラインにいたずら電話が相次いでかかってくるようになった。その原因に気づいた楓らは・・・!?  　そんな中、国会議員の岡部(佐戸井けん太)が心筋梗塞で倒れ、運び込まれてきた。澤井が付き添っている。岡部は、救命医療改革の独立行政法人の諮問委員に澤井を勧誘していたのだ。進藤と澤井の連携プレーで岡部は一命をとりとめ、ICUに移された。  　意識が戻った由梨が「殺される!」と叫び、逃げだそうと暴れ出した。自殺ではなかったと悟った進藤らは、警察へ連絡を取り、由梨を外科病棟へ移そうとストレッチャーを押して廊下へ。ところがそこには浅越がバケツとナイフを持って立ちはだかっていた。</t>
  </si>
  <si>
    <t>進藤(江口洋介)と楓(松嶋菜々子)は、研修医の工藤(石田卓也)が睡眠導入剤を使っていることを澤井(ユースケ・サンタマリア)から聞かされ驚く。楓は工藤に無理をしないようアドバイスしようとするが、工藤は聞き入れない。そんな中、澤井が病院を辞職する。  　建築現場の事故でドクターカーの派遣要請がきた。澤井によりドクターカーの出動は禁止されていたが、進藤の判断により、楓と工藤、看護師の紗江子(木村多江)と佐伯(西山聡)が現場に向かって行った。  　資材の下敷きになったけが人が2人。楓はすばやく診断して、緊急性のないと見られる患者を工藤に任せ、重傷の患者とともに救急車で救命センターへ戻った。と、工藤が見ていた患者が急変、工藤は慌てて進藤に電話をして指示をあおぐ。進藤は現場に急行するが・・・。  　数日後、工藤が頭部の裂傷で救命センターに運び込まれてきた。衝撃を受ける進藤、千夏(北乃きい)。理由を知った楓は愕然とする。工藤は一命は取り留めたものの意識は取り戻さないままだ。  　花火工場で火災が発生。大量の花火に引火して爆発を引き起こす事故が起こり、多数のけが人が出た。救命センターへ次々運び込まれてくる患者に楓らは懸命に処置を行う。そこへドクターカーの要請があり進藤が現場へ向かった。  　黒煙が吹き上げる現場で、消防士の退避命令も無視してけが人の処置にあたる進藤。そこへ澤井が現れた。江口洋介　  松嶋菜々子  　*　  木村多江　  北乃きい　  板尾創路　  市川実和子　  石田卓也　  趙　和　  西原亜希　  矢柴俊博　  山野海　  西山聡  　*　  ユースケ・サンタマリア　    ほか【脚本】  一色伸幸【企画】  和田行　  中島久美子　    【プロデュース】  小椋久雄　  高丸雅隆　  三竿玲子　    【演出】  河毛俊作吉俣良  【主題歌】「その先へ」DREAMS　COME　TRUE　feat.FUZZY　CONTROL</t>
  </si>
  <si>
    <t>進藤(江口洋介)と楓(松嶋菜々子)は、研修医の工藤(石田卓也)が睡眠導入剤を使っていることを澤井(ユースケ・サンタマリア)から聞かされ驚く。楓は工藤に無理をしないようアドバイスしようとするが、工藤は聞き入れない。そんな中、澤井が病院を辞職する。  　建築現場の事故でドクターカーの派遣要請がきた。澤井によりドクターカーの出動は禁止されていたが、進藤の判断により、楓と工藤、看護師の紗江子(木村多江)と佐伯(西山聡)が現場に向かって行った。  　資材の下敷きになったけが人が2人。楓はすばやく診断して、緊急性のないと見られる患者を工藤に任せ、重傷の患者とともに救急車で救命センターへ戻った。と、工藤が見ていた患者が急変、工藤は慌てて進藤に電話をして指示をあおぐ。進藤は現場に急行するが・・・。  　数日後、工藤が頭部の裂傷で救命センターに運び込まれてきた。衝撃を受ける進藤、千夏(北乃きい)。理由を知った楓は愕然とする。工藤は一命は取り留めたものの意識は取り戻さないままだ。  　花火工場で火災が発生。大量の花火に引火して爆発を引き起こす事故が起こり、多数のけが人が出た。救命センターへ次々運び込まれてくる患者に楓らは懸命に処置を行う。そこへドクターカーの要請があり進藤が現場へ向かった。  　黒煙が吹き上げる現場で、消防士の退避命令も無視してけが人の処置にあたる進藤。そこへ澤井が現れた。</t>
  </si>
  <si>
    <t>0907_CX_火22</t>
  </si>
  <si>
    <t>恋して悪魔</t>
  </si>
  <si>
    <t>番組名恋して悪魔～ヴァンパイア☆ボーイ～　#01</t>
  </si>
  <si>
    <t>今、“ピュア"を忘れているすべての女性たちの心を潤す愛しくもせつない、新たなヴァンパイア伝説がスタート!永遠の命を手に入れるため、獲物を求めて人間界にやってきたヴァンパイアの少年・黒宮ルカ(中山優馬)。彼にとって人間とは、限られた命を感情に振り回されて泣き笑いしながら生きるしかない、愚かで下等な生き物。ところが、まだ愛を知らないルカが初めて恋に落ちた相手とは、なんと軽蔑していた“人間"だった…!　美少年ヴァンパイアと悲しい恋の記憶を抱える高校教師・夏川真琴(加藤ローサ)。運命に導かれて出会った2人の結ばれることを許されない“禁断の恋"の行方は…?　  　この夏、最も注目を浴びるジャニーズの新星・中山優馬が美しくミステリアスなヴァンパイアを演じる、切なくてピュアなラブストーリー!!中山優馬　  加藤ローサ　  姜暢雄　  桜庭ななみ　  森本慎太郎(ジャニーズJr.)　  中島健人(B.I.Shadow)  　●　  近藤真彦(特別出演)  　●　  堀内敬子　  高橋ひとみ　  伊東四朗</t>
  </si>
  <si>
    <t>今、“ピュア"を忘れているすべての女性たちの心を潤す愛しくもせつない、新たなヴァンパイア伝説がスタート!永遠の命を手に入れるため、獲物を求めて人間界にやってきたヴァンパイアの少年・黒宮ルカ(中山優馬)。彼にとって人間とは、限られた命を感情に振り回されて泣き笑いしながら生きるしかない、愚かで下等な生き物。ところが、まだ愛を知らないルカが初めて恋に落ちた相手とは、なんと軽蔑していた“人間"だった…!　美少年ヴァンパイアと悲しい恋の記憶を抱える高校教師・夏川真琴(加藤ローサ)。運命に導かれて出会った2人の結ばれることを許されない“禁断の恋"の行方は…?　  　この夏、最も注目を浴びるジャニーズの新星・中山優馬が美しくミステリアスなヴァンパイアを演じる、切なくてピュアなラブストーリー!!</t>
  </si>
  <si>
    <t>番組名恋して悪魔～ヴァンパイア☆ボーイ～　#02</t>
  </si>
  <si>
    <t>せつなくてほろ苦い禁断の恋、ピュアを忘れているあなたに送る胸キュンドラマの第2話-。  　魅力あふれる美少年ヴァンパイアを演じるのは、ジャニーズの新星・中山優馬。ヴァンパイアの黒宮ルカ(中山)は、永遠の命を手に入れるため、お目付役のカイト(近藤真彦)の後見で獲物を求めて人間界にやってきた。そんなルカは、誰とも打ち解けようとせずにいた。人間嫌いのルカは真の愛を見つけることはできるのか・・・?　ついにヴァンパイアの証である牙がルカの口元に現れた!  しかし、血を吸いたい衝動を感じた運命の相手は、ルカが最もうっとうしく感じていた人間、担任教師の真琴(加藤ローサ)だった・・・。  　しかし結局は血を吸えず、カイトにとがめられる。そんな中、ルカは図書室で、ひとり調べ物をする香織(桜庭ななみ)に接近する!中山優馬　  加藤ローサ　  姜暢雄　  桜庭ななみ　  森本慎太郎　  中島健人  　●　  近藤真彦(特別出演)  　●　  堀内敬子　  高橋ひとみ　  伊東四朗</t>
  </si>
  <si>
    <t>せつなくてほろ苦い禁断の恋、ピュアを忘れているあなたに送る胸キュンドラマの第2話-。  　魅力あふれる美少年ヴァンパイアを演じるのは、ジャニーズの新星・中山優馬。ヴァンパイアの黒宮ルカ(中山)は、永遠の命を手に入れるため、お目付役のカイト(近藤真彦)の後見で獲物を求めて人間界にやってきた。そんなルカは、誰とも打ち解けようとせずにいた。人間嫌いのルカは真の愛を見つけることはできるのか・・・?　ついにヴァンパイアの証である牙がルカの口元に現れた!  しかし、血を吸いたい衝動を感じた運命の相手は、ルカが最もうっとうしく感じていた人間、担任教師の真琴(加藤ローサ)だった・・・。  　しかし結局は血を吸えず、カイトにとがめられる。そんな中、ルカは図書室で、ひとり調べ物をする香織(桜庭ななみ)に接近する!</t>
  </si>
  <si>
    <t>番組名恋して悪魔～ヴァンパイア☆ボーイ～　#03</t>
  </si>
  <si>
    <t>次の満月までに真琴(加藤ローサ)の生き血を吸わなければ、塵となって消えてしまうとカイト(近藤真彦)に宣告されたルカ(中山優馬)。今度こそ真琴を襲おうと決心し、チャンスをうかがいながら真琴の後をつける。ところがその行動を見た宏人(中島健人)はルカが真琴に恋していると勘違いし、ひとり盛り上がってしまう。  　同じ頃、将太(森本慎太郎)は「しんじょう」の前をうろつくあやしい男を目撃。これを聞いた母親の敦子(堀内敬子)が激しく動揺するのを見て心配でならない。  　ルカは真琴に近づくため、宏人のアドバイスを聞いてみるが、気を引くどころか、逆に真琴を怒らせてしまう。焦るルカが最後にとった作戦は・・・?  　一方、あやしい男に呼び出された敦子の後を追いかけてきた将太は思いがけない行動に出る!中山優馬　  加藤ローサ　  姜暢雄　  桜庭ななみ　  森本慎太郎　  中島健人  　●　  近藤真彦(特別出演)  　●　  堀内敬子　  高橋ひとみ　  伊東四朗</t>
  </si>
  <si>
    <t>次の満月までに真琴(加藤ローサ)の生き血を吸わなければ、塵となって消えてしまうとカイト(近藤真彦)に宣告されたルカ(中山優馬)。今度こそ真琴を襲おうと決心し、チャンスをうかがいながら真琴の後をつける。ところがその行動を見た宏人(中島健人)はルカが真琴に恋していると勘違いし、ひとり盛り上がってしまう。  　同じ頃、将太(森本慎太郎)は「しんじょう」の前をうろつくあやしい男を目撃。これを聞いた母親の敦子(堀内敬子)が激しく動揺するのを見て心配でならない。  　ルカは真琴に近づくため、宏人のアドバイスを聞いてみるが、気を引くどころか、逆に真琴を怒らせてしまう。焦るルカが最後にとった作戦は・・・?  　一方、あやしい男に呼び出された敦子の後を追いかけてきた将太は思いがけない行動に出る!</t>
  </si>
  <si>
    <t>番組名恋して悪魔～ヴァンパイア☆ボーイ～　#04</t>
  </si>
  <si>
    <t>真琴(加藤ローサ)の血を吸おうとしたにも関わらず、牙が消えてしまった。その理由がわからず戸惑うルカ(中山優馬)は、真琴に恋をしたに違いないとカイト(近藤真彦)に指摘され、強く反発する。しかしカイトの言葉が気になり、真琴を意識してしまうルカ。そんな中、香織(桜庭ななみ)から演劇部で上演する芝居に出てほしいと頼まれる。　その頃、レストランで真琴と食事をしていた藤井(姜暢雄)は、偶然拾った真琴の落とし物を取り出し、話を切り出す。それは真琴と10年前に亡くなった歩の2ショット写真だった。そして店を出た2人を密かに目撃していたルカは・・・。中山優馬　  加藤ローサ　  姜暢雄　  桜庭ななみ　  森本慎太郎　  中島健人  　●　  近藤真彦(特別出演)  　●　  堀内敬子　  高橋ひとみ　  伊東四朗</t>
  </si>
  <si>
    <t>真琴(加藤ローサ)の血を吸おうとしたにも関わらず、牙が消えてしまった。その理由がわからず戸惑うルカ(中山優馬)は、真琴に恋をしたに違いないとカイト(近藤真彦)に指摘され、強く反発する。しかしカイトの言葉が気になり、真琴を意識してしまうルカ。そんな中、香織(桜庭ななみ)から演劇部で上演する芝居に出てほしいと頼まれる。　その頃、レストランで真琴と食事をしていた藤井(姜暢雄)は、偶然拾った真琴の落とし物を取り出し、話を切り出す。それは真琴と10年前に亡くなった歩の2ショット写真だった。そして店を出た2人を密かに目撃していたルカは・・・。</t>
  </si>
  <si>
    <t>番組名恋して悪魔～ヴァンパイア☆ボーイ～　#05</t>
  </si>
  <si>
    <t>真琴(加藤ローサ)が藤井(姜暢雄)とついに婚約!真琴が結婚する前に血を吸えとカイト(近藤真彦)に急かされるが、それをためらう自分の感情に気づき、途方に暮れるルカ(中山優馬)。学校では、香織(桜庭ななみ)が演劇部の新しい芝居の準備を手伝ってほしいとクラスで呼びかけをし、宏人(中島健人)と直樹(入江甚儀)、そして真琴も手伝うことになるが・・・。　そんな折、校内で顔を合わせた藤井から婚約を報告され、相変わらず誰とも打ち解けない態度をからかわれたルカは、思いもよらない行動に出て真琴やクラスメイトたちを驚かせる。結婚が決まって生き生きしている真琴を切なく見つめ、思い悩むルカ。そんなルカにある変化が現れる・・・!中山優馬　  加藤ローサ　  姜暢雄　  桜庭ななみ　  森本慎太郎　  中島健人  　●　  近藤真彦(特別出演)  　●　  堀内敬子　  高橋ひとみ　  伊東四朗</t>
  </si>
  <si>
    <t>真琴(加藤ローサ)が藤井(姜暢雄)とついに婚約!真琴が結婚する前に血を吸えとカイト(近藤真彦)に急かされるが、それをためらう自分の感情に気づき、途方に暮れるルカ(中山優馬)。学校では、香織(桜庭ななみ)が演劇部の新しい芝居の準備を手伝ってほしいとクラスで呼びかけをし、宏人(中島健人)と直樹(入江甚儀)、そして真琴も手伝うことになるが・・・。　そんな折、校内で顔を合わせた藤井から婚約を報告され、相変わらず誰とも打ち解けない態度をからかわれたルカは、思いもよらない行動に出て真琴やクラスメイトたちを驚かせる。結婚が決まって生き生きしている真琴を切なく見つめ、思い悩むルカ。そんなルカにある変化が現れる・・・!</t>
  </si>
  <si>
    <t>番組名恋して悪魔～ヴァンパイア☆ボーイ～　#06</t>
  </si>
  <si>
    <t>言い掛かりをつけてきた男たちをヴァンパイアの力でなぎ倒し、バケモノだと罵られたルカ(中山優馬)は、駆けつけた真琴(加藤ローサ)を「もう顔も見たくない」と冷たく遠ざけようとする。  力尽きて倒れていたところを、カイト(近藤真彦)に助けられたルカは、悪夢にうなされていた。その様子を、カイトは複雑な表情で見つめていた。人間にとってヴァンパイアは不気味な“バケモノ"にすぎない・・・。真琴へのほのかな思いを打ち砕かれ、苦悩するルカに、カイトは恐れていたある事態が起こっているのを察していた!中山優馬　  加藤ローサ　  姜暢雄　  桜庭ななみ　  森本慎太郎　  中島健人  　●　  近藤真彦(特別出演)  　●　  堀内敬子  高橋ひとみ　  伊東四朗【主題歌】  「悪魔な恋」中山優馬w/B.I.Shadow(ジャニーズ・エンタテイメント)</t>
  </si>
  <si>
    <t>言い掛かりをつけてきた男たちをヴァンパイアの力でなぎ倒し、バケモノだと罵られたルカ(中山優馬)は、駆けつけた真琴(加藤ローサ)を「もう顔も見たくない」と冷たく遠ざけようとする。  力尽きて倒れていたところを、カイト(近藤真彦)に助けられたルカは、悪夢にうなされていた。その様子を、カイトは複雑な表情で見つめていた。人間にとってヴァンパイアは不気味な“バケモノ"にすぎない・・・。真琴へのほのかな思いを打ち砕かれ、苦悩するルカに、カイトは恐れていたある事態が起こっているのを察していた!</t>
  </si>
  <si>
    <t>番組名恋して悪魔～ヴァンパイア☆ボーイ～　#07</t>
  </si>
  <si>
    <t>ルカ(中山優馬)が弾くピアノから、ルカが歩だと直感した真琴(加藤ローサ)。だがルカは、真実を確かめようとする真琴を避け続ける。そんなルカに、「おまえにできる愛情表現は血を吸うこと以外ない」とうながすカイト(近藤真彦)には秘めた決意があった。そんな中、藤井(姜暢雄)から婚約指輪を贈られた真琴は、歩と真琴だけしか知らない“秘密の約束"を思い出し、その秘密をルカにほのめかす。翌日、その秘密の場所に出かけたルカはそこで真琴に出くわす。もはや隠すこともできなくなり、歩として真琴を抱きしめたルカ。  10年前に戻ったかのように、2人はデートを楽しみ、夢のような時間を過ごすのだった。ところが、この幸せなひとときが真琴を窮地に追い込む“事件"を招く。中山優馬　  加藤ローサ　  姜暢雄　  桜庭ななみ　  森本慎太郎　  中島健人  　●　  近藤真彦(特別出演)  　●　  堀内敬子　  高橋ひとみ　  伊東四朗【主題歌】  「悪魔な恋」中山優馬　w/B.I.Shadow　(ジャニーズ・エンタテイメント)</t>
  </si>
  <si>
    <t>ルカ(中山優馬)が弾くピアノから、ルカが歩だと直感した真琴(加藤ローサ)。だがルカは、真実を確かめようとする真琴を避け続ける。そんなルカに、「おまえにできる愛情表現は血を吸うこと以外ない」とうながすカイト(近藤真彦)には秘めた決意があった。そんな中、藤井(姜暢雄)から婚約指輪を贈られた真琴は、歩と真琴だけしか知らない“秘密の約束"を思い出し、その秘密をルカにほのめかす。翌日、その秘密の場所に出かけたルカはそこで真琴に出くわす。もはや隠すこともできなくなり、歩として真琴を抱きしめたルカ。  10年前に戻ったかのように、2人はデートを楽しみ、夢のような時間を過ごすのだった。ところが、この幸せなひとときが真琴を窮地に追い込む“事件"を招く。</t>
  </si>
  <si>
    <t>番組名恋して悪魔～ヴァンパイア☆ボーイ～　#08</t>
  </si>
  <si>
    <t>真琴(加藤ローサ)はルカ(中山優馬)の姿が写真に写っていないことに不審を抱く。翌朝、小早川と名乗る男(横山裕)が学校に現れた。訝しがる藤井(姜暢雄)を瞬時に惑わし、突然教師として高校にのり込んできた小早川は、美しい容姿で女子生徒たちの注目の的となる。  　しかし一方、その日以来、生徒たちの様子に異変が起こり始め…。生徒の異常に気づき小早川に疑惑を向けるが、なす術もない真琴。　突然ルカの前に現れ、カイト(近藤真彦)とも因縁の深そうな小早川の正体とは?そして彼は一体何を企んでいるのか…?中山優馬　  加藤ローサ　  姜暢雄　  桜庭ななみ　  森本慎太郎　  中島健人  　●　  近藤真彦(特別出演)  　●　  堀内敬子　  高橋ひとみ　  伊東四朗　    横山裕【主題歌】  「悪魔な恋」中山優馬　w/B.I.Shadow(ジャニーズ・エンタテイメント)</t>
  </si>
  <si>
    <t>真琴(加藤ローサ)はルカ(中山優馬)の姿が写真に写っていないことに不審を抱く。翌朝、小早川と名乗る男(横山裕)が学校に現れた。訝しがる藤井(姜暢雄)を瞬時に惑わし、突然教師として高校にのり込んできた小早川は、美しい容姿で女子生徒たちの注目の的となる。  　しかし一方、その日以来、生徒たちの様子に異変が起こり始め…。生徒の異常に気づき小早川に疑惑を向けるが、なす術もない真琴。　突然ルカの前に現れ、カイト(近藤真彦)とも因縁の深そうな小早川の正体とは?そして彼は一体何を企んでいるのか…?</t>
  </si>
  <si>
    <t>番組名恋して悪魔～ヴァンパイア☆ボーイ～　#09</t>
  </si>
  <si>
    <t>ルカ(中山優馬)にヴァンパイアであることを告白され、がく然とする真琴(加藤ローサ)。やがてその事実を受け止め、ルカと向き合う決意をするが、やはり人間の生き血を吸うヴァンパイアを恐れる気持ちが拭えず苦しんでいた。  　一方、ルカの体には重大な異変が起こっていた。自分におびえるルカに、カイト(近藤真彦)はタイムリミットが近づいていると告げる。ルカの体は迫り来る死を予感し、意志に逆らって血を求め始めていた。カイトは、一刻も早く真琴の血を吸うようルカを急かす。逃れようのないヴァンパイアの宿命がルカに突きつけられていたその頃、真琴はある決心をする。中山優馬　  加藤ローサ　  姜暢雄　  桜庭ななみ　  森本慎太郎　  中島健人  　●　  近藤真彦(特別出演)  　●　  堀内敬子　  高橋ひとみ　  伊東四朗【主題歌】  「悪魔な恋」中山優馬　w/B.I.Shadow(ジャニーズ・エンタテイメント)</t>
  </si>
  <si>
    <t>ルカ(中山優馬)にヴァンパイアであることを告白され、がく然とする真琴(加藤ローサ)。やがてその事実を受け止め、ルカと向き合う決意をするが、やはり人間の生き血を吸うヴァンパイアを恐れる気持ちが拭えず苦しんでいた。  　一方、ルカの体には重大な異変が起こっていた。自分におびえるルカに、カイト(近藤真彦)はタイムリミットが近づいていると告げる。ルカの体は迫り来る死を予感し、意志に逆らって血を求め始めていた。カイトは、一刻も早く真琴の血を吸うようルカを急かす。逃れようのないヴァンパイアの宿命がルカに突きつけられていたその頃、真琴はある決心をする。</t>
  </si>
  <si>
    <t>番組名恋して悪魔～ヴァンパイア☆ボーイ～　#10</t>
  </si>
  <si>
    <t>満月の夜は明日に迫り、衰弱しきったルカ(中山優馬)に「私の血を吸って」と身を差し出そうとする真琴(加藤ローサ)。ルカは暴れ出すヴァンパイアの本能と必死に戦いながら、真琴に牙を立てまいともがき苦しむが…。その頃、藤井(姜暢雄)はあるものを目にし驚愕する。真琴のマンションに乗り込み、ルカの正体がわかったと言い放つ藤井。さらに学校でもルカの正体に疑惑を持ち始めた生徒たちが真琴を糾弾し始める。ルカと真琴が窮地に追い込まれる中、ルカはある決断をする。  満月は今夜に迫っていた。中山優馬　  加藤ローサ　  姜暢雄　  桜庭ななみ　  森本慎太郎　  中島健人  　●　  近藤真彦(特別出演)  　●　  堀内敬子　  高橋ひとみ　  伊東四朗【主題歌】  「悪魔な恋」中山優馬　w/B.I.Shadow(ジャニーズ・エンタテイメント)</t>
  </si>
  <si>
    <t>満月の夜は明日に迫り、衰弱しきったルカ(中山優馬)に「私の血を吸って」と身を差し出そうとする真琴(加藤ローサ)。ルカは暴れ出すヴァンパイアの本能と必死に戦いながら、真琴に牙を立てまいともがき苦しむが…。その頃、藤井(姜暢雄)はあるものを目にし驚愕する。真琴のマンションに乗り込み、ルカの正体がわかったと言い放つ藤井。さらに学校でもルカの正体に疑惑を持ち始めた生徒たちが真琴を糾弾し始める。ルカと真琴が窮地に追い込まれる中、ルカはある決断をする。  満月は今夜に迫っていた。</t>
  </si>
  <si>
    <t>0907_CX_木22</t>
  </si>
  <si>
    <t>任侠ヘルパー</t>
  </si>
  <si>
    <t>番組名&lt;木曜劇場&gt;任侠ヘルパー　#01</t>
  </si>
  <si>
    <t>隼会・翼興業組長の翼彦一(草ナギ剛)は、隼会若頭・鷹山組組長の鷹山源助(松平健)から呼び出される。鷹山が、8代目の告別式後に話があると言ったため、彦一は次期若頭に指名されるのでは、と期待していた。  　告別式後、迎えに来たバスに乗り込むと、そこには四方木りこ(黒木メイサ)、鷹山三樹矢(薮宏太)、黒沢五郎(五十嵐隼士)、六車雅人(夕輝壽太)、二本橋賢吾(宇梶剛士)ら、隼会の面々がいた。彦一と同様、指名に期待する面々に、鷹山は「研修」を受けてもらうと切り出す。そして、バスはどういうわけか、「タイヨウ」という老人介護施設に着き、オーナーの園崎康弘(大杉漣)と介護福祉士の和泉零次(山本裕典)が迎えた。「研修」とは、介護ヘルパーとして働くことだったのだ。  　彦一たちは、早速、ヘルパーらとともに、オムツ交換などをするが、まるで対応できない。同じ頃、介護ビジネスで成功を収める「ハートフルバード」社長の羽鳥晶(夏川結衣)は、分刻みのスケジュールをこなしていた。そのため、息子の涼太(加藤清史郎)の苦悩にも気付かず…。  　一方「タイヨウ」の控え室で寝ていた彦一の顔を、倉田チヨ(池内淳子)が覗き込む。チヨには認知症があり、彦一を息子と思い込んでいるのだ。彦一は、そんなチヨを冷たくあしらい部屋を出ようとした。すると、チヨが金を差し出す。息子に小遣いをあげようと手にした金を、彦一はサッと受け取るのだった。草ナギ剛　  黒木メイサ　  山本裕典　  薮宏太(Hey!Say!JUMP)　  五十嵐隼士　  仲里依紗　  夕輝壽太　  加藤清史郎  　○　  松平健(特別出演)  　○　  宇梶剛士　  大杉漣(しんにょうの点2つ)　  夏川結衣　    ほか【脚本】  古家和尚【企画】  後藤博幸　    【プロデュース】  牧野正　    【演出】  西谷弘河野伸　  高見優</t>
  </si>
  <si>
    <t>隼会・翼興業組長の翼彦一(草ナギ剛)は、隼会若頭・鷹山組組長の鷹山源助(松平健)から呼び出される。鷹山が、8代目の告別式後に話があると言ったため、彦一は次期若頭に指名されるのでは、と期待していた。  　告別式後、迎えに来たバスに乗り込むと、そこには四方木りこ(黒木メイサ)、鷹山三樹矢(薮宏太)、黒沢五郎(五十嵐隼士)、六車雅人(夕輝壽太)、二本橋賢吾(宇梶剛士)ら、隼会の面々がいた。彦一と同様、指名に期待する面々に、鷹山は「研修」を受けてもらうと切り出す。そして、バスはどういうわけか、「タイヨウ」という老人介護施設に着き、オーナーの園崎康弘(大杉漣)と介護福祉士の和泉零次(山本裕典)が迎えた。「研修」とは、介護ヘルパーとして働くことだったのだ。  　彦一たちは、早速、ヘルパーらとともに、オムツ交換などをするが、まるで対応できない。同じ頃、介護ビジネスで成功を収める「ハートフルバード」社長の羽鳥晶(夏川結衣)は、分刻みのスケジュールをこなしていた。そのため、息子の涼太(加藤清史郎)の苦悩にも気付かず…。  　一方「タイヨウ」の控え室で寝ていた彦一の顔を、倉田チヨ(池内淳子)が覗き込む。チヨには認知症があり、彦一を息子と思い込んでいるのだ。彦一は、そんなチヨを冷たくあしらい部屋を出ようとした。すると、チヨが金を差し出す。息子に小遣いをあげようと手にした金を、彦一はサッと受け取るのだった。</t>
  </si>
  <si>
    <t>番組名&lt;木曜劇場&gt;任侠ヘルパー　#02</t>
  </si>
  <si>
    <t>老人介護施設で働く翼彦一(草ナギ剛)は、施設の顧問・羽鳥晶(夏川結衣)の効率最優先の方針に嫌気がさしていた。晶は、スタッフの負担軽減のため、自立歩行の難しい人にはオムツを着用させろ、と言う。介護福祉士・和泉零次(山本裕典)は賛同するが、ヘルパー・美空晴菜(仲里依紗)らは違和感を覚える。  　そんな中、車椅子の入居者・本村幸三(津川雅彦)は、オムツの着用を断固拒否。それでも施設で推奨されているから、と彦一がオムツを履かせようとすると、ステッキで脚を引っ掛けられてしまう。カッとなった彦一は掴みかかるが、本村は動じない。それどころか、ユニフォームの下の刺青を見られてしまう。  　本村は、腕っ節が強い上に乱暴で殴られたヘルパーもいるらしい、と噂を聞いた四方木りこ(黒木メイサ)は、鷹山三樹矢(薮宏太)、黒沢五郎(五十嵐隼士)、六車雅人(夕輝壽太)らに、そんなにやっかいな老人ならば、オムツを履かせたら手柄になるのでは、と話す。早速、りこ、五郎、二本橋賢吾(宇梶剛士)が向かうが、本村を説得することはできない。  　翌日、彦一はオーナー・園崎康弘(大杉漣)から、本村の外出の付き添いを頼まれる。彦一を従えて車椅子で駅に降り立った本村は、さらにバスに乗ると言うと、ステッキをついて立ち上がった。知り合いに車椅子姿を見られるのが嫌だという本村。彦一はため息をつき…。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石川淳一河野伸　  高見優</t>
  </si>
  <si>
    <t>老人介護施設で働く翼彦一(草ナギ剛)は、施設の顧問・羽鳥晶(夏川結衣)の効率最優先の方針に嫌気がさしていた。晶は、スタッフの負担軽減のため、自立歩行の難しい人にはオムツを着用させろ、と言う。介護福祉士・和泉零次(山本裕典)は賛同するが、ヘルパー・美空晴菜(仲里依紗)らは違和感を覚える。  　そんな中、車椅子の入居者・本村幸三(津川雅彦)は、オムツの着用を断固拒否。それでも施設で推奨されているから、と彦一がオムツを履かせようとすると、ステッキで脚を引っ掛けられてしまう。カッとなった彦一は掴みかかるが、本村は動じない。それどころか、ユニフォームの下の刺青を見られてしまう。  　本村は、腕っ節が強い上に乱暴で殴られたヘルパーもいるらしい、と噂を聞いた四方木りこ(黒木メイサ)は、鷹山三樹矢(薮宏太)、黒沢五郎(五十嵐隼士)、六車雅人(夕輝壽太)らに、そんなにやっかいな老人ならば、オムツを履かせたら手柄になるのでは、と話す。早速、りこ、五郎、二本橋賢吾(宇梶剛士)が向かうが、本村を説得することはできない。  　翌日、彦一はオーナー・園崎康弘(大杉漣)から、本村の外出の付き添いを頼まれる。彦一を従えて車椅子で駅に降り立った本村は、さらにバスに乗ると言うと、ステッキをついて立ち上がった。知り合いに車椅子姿を見られるのが嫌だという本村。彦一はため息をつき…。</t>
  </si>
  <si>
    <t>番組名&lt;木曜劇場&gt;任侠ヘルパー　#03</t>
  </si>
  <si>
    <t>翼彦一(草ナギ剛)と四方木りこ(黒木メイサ)は、老人介護施設「タイヨウ」を利用する老人が自宅で虐待されているかもしれないと聞き、その家を訪ねる。応対したのは老人の孫の高志(忍成修吾)で、夕方にも関わらず老人は寝てしまったのだと話す。ところが台所で音がするのを見ると、老婦人・渡辺節子(森康子)が流しでコップを洗おうとしていた。その腕には、赤黒い縄目と思われるアザがあった。施設に戻った彦一とりこは鷹山三樹矢(薮宏太)、黒沢五郎(五十嵐隼士)、六車雅人(夕輝壽太)、二本橋賢吾(宇梶剛士)ら“任侠ヘルパー"と、ヘルパー・和泉零次(山本裕典)に虐待の事実を告げる。しかし、虐待の判断は難しく本人がそれを認めない限り、こちらが勝手に動くことはできないのだという。  　節子が心配なりこは、渡辺家を訪ねるが、節子はインターホン越しに答えるだけだった。それでも通ううちに、節子は少しずつ心を開き始める。そんなりこの来訪を知った孫の高志は、「ハートフルバード」に直接連絡を入れ、今後も同じことが続けば利用を取りやめると話す。施設オーナー・園崎康弘(大杉漣)や和泉らは、対応に頭を悩ませる。  　そんなとき、「ハートフルバード」社長・羽鳥晶(夏川結衣)が現れ、りこの一連の言動を注意する。節子が助けを求めない限り他人のりこには何もできない、と晶から言われるが、それでもりこの気持ちは変わらない。草ナギ剛　  黒木メイサ　  山本裕典　  薮宏太　  五十嵐隼士　  仲里依紗　  夕輝壽太　  加藤清史郎　  中別府葵　  安田美沙子  　○　  松平健  　○　  宇梶剛士　  大杉漣(しんにょうの点2つ)　  夏川結衣　    ほか【脚本】  古家和尚【企画】  後藤博幸　    【プロデュース】  牧野正　    【演出】  石川淳一河野伸　  高見優</t>
  </si>
  <si>
    <t>翼彦一(草ナギ剛)と四方木りこ(黒木メイサ)は、老人介護施設「タイヨウ」を利用する老人が自宅で虐待されているかもしれないと聞き、その家を訪ねる。応対したのは老人の孫の高志(忍成修吾)で、夕方にも関わらず老人は寝てしまったのだと話す。ところが台所で音がするのを見ると、老婦人・渡辺節子(森康子)が流しでコップを洗おうとしていた。その腕には、赤黒い縄目と思われるアザがあった。施設に戻った彦一とりこは鷹山三樹矢(薮宏太)、黒沢五郎(五十嵐隼士)、六車雅人(夕輝壽太)、二本橋賢吾(宇梶剛士)ら“任侠ヘルパー"と、ヘルパー・和泉零次(山本裕典)に虐待の事実を告げる。しかし、虐待の判断は難しく本人がそれを認めない限り、こちらが勝手に動くことはできないのだという。  　節子が心配なりこは、渡辺家を訪ねるが、節子はインターホン越しに答えるだけだった。それでも通ううちに、節子は少しずつ心を開き始める。そんなりこの来訪を知った孫の高志は、「ハートフルバード」に直接連絡を入れ、今後も同じことが続けば利用を取りやめると話す。施設オーナー・園崎康弘(大杉漣)や和泉らは、対応に頭を悩ませる。  　そんなとき、「ハートフルバード」社長・羽鳥晶(夏川結衣)が現れ、りこの一連の言動を注意する。節子が助けを求めない限り他人のりこには何もできない、と晶から言われるが、それでもりこの気持ちは変わらない。</t>
  </si>
  <si>
    <t>番組名&lt;木曜劇場&gt;任侠ヘルパー　#04</t>
  </si>
  <si>
    <t>翼彦一(草ナギ剛)と四方木りこ(黒木メイサ)は、顧問・羽鳥晶(夏川結衣)から、「ヘルパーは家族になれない」と言われて以来、利用者との関係性について思いを巡らせていた。美空晴菜(仲里依紗)は、そんな2人が気にかかる。  　そんな折、彦一が車椅子の老婦人・北浦ナツ(島かおり)の散歩の付き添いをしていると、ナツがひとりの女性(山田優)を見つけて声を上げる。ナツが玲子と呼びかけた女性は、ナツがひとり暮らしをしていた頃、自宅に来ていたヘルパーだという。玲子は彦一に、宇野玲子だと名乗る。  　その後、玲子が「タイヨウ」にやってくる。美人で気立てのいい玲子は、施設の利用者だけではなく、施設のオーナー・園崎康弘(大杉漣)や鷹山三樹矢(薮宏太)、黒沢五郎(五十嵐隼士)、二本橋賢吾(宇梶剛士)らからも人気となる。そんなとき、和泉零次(山本裕典)は、ナツが玲子に預金通帳を渡しているのを目撃する。　彦一は壁に向かいキャッチボールの練習をしている羽鳥涼太(加藤清史郎)を見る。彦一に気づき、後を追ってきた涼太に、ケンカした友だちとはどうなったかと尋ねると、涼太は、母親の晶が謝りに言ったと悪びれずに話す。そんな涼太と別れ、歩いていると、通りがかったアパートから老婦人と出てくる玲子の姿を目撃する。老婦人が、玲子を「あゆみ」と呼びかけているのを聞いた彦一は、何かが引っかかり…。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葉山浩樹河野伸　  高見優</t>
  </si>
  <si>
    <t>翼彦一(草ナギ剛)と四方木りこ(黒木メイサ)は、顧問・羽鳥晶(夏川結衣)から、「ヘルパーは家族になれない」と言われて以来、利用者との関係性について思いを巡らせていた。美空晴菜(仲里依紗)は、そんな2人が気にかかる。  　そんな折、彦一が車椅子の老婦人・北浦ナツ(島かおり)の散歩の付き添いをしていると、ナツがひとりの女性(山田優)を見つけて声を上げる。ナツが玲子と呼びかけた女性は、ナツがひとり暮らしをしていた頃、自宅に来ていたヘルパーだという。玲子は彦一に、宇野玲子だと名乗る。  　その後、玲子が「タイヨウ」にやってくる。美人で気立てのいい玲子は、施設の利用者だけではなく、施設のオーナー・園崎康弘(大杉漣)や鷹山三樹矢(薮宏太)、黒沢五郎(五十嵐隼士)、二本橋賢吾(宇梶剛士)らからも人気となる。そんなとき、和泉零次(山本裕典)は、ナツが玲子に預金通帳を渡しているのを目撃する。　彦一は壁に向かいキャッチボールの練習をしている羽鳥涼太(加藤清史郎)を見る。彦一に気づき、後を追ってきた涼太に、ケンカした友だちとはどうなったかと尋ねると、涼太は、母親の晶が謝りに言ったと悪びれずに話す。そんな涼太と別れ、歩いていると、通りがかったアパートから老婦人と出てくる玲子の姿を目撃する。老婦人が、玲子を「あゆみ」と呼びかけているのを聞いた彦一は、何かが引っかかり…。</t>
  </si>
  <si>
    <t>番組名&lt;木曜劇場&gt;任侠ヘルパー　#05</t>
  </si>
  <si>
    <t>翼彦一(草ナギ剛)は、施設の顧問・羽鳥晶(夏川結衣)に刺青を見られたことを四方木りこ(黒木メイサ)に責められる。彦一は覚悟を決めるが、晶は倒れたのだから早まるなと釘を刺される。  　一方、運ばれた病院で目を覚ました晶は、息子・涼太(加藤清史郎)らの心配もよそに、仕事に戻るといって病院を後にする。  　同じ頃、「タイヨウ」では、恒例の「地域交流会」の出し物を決めようと、和泉零次(山本裕典)、美空晴菜(仲里依紗)と鷹山三樹矢(薮宏太)、黒沢五郎(五十嵐隼士)、六車雅人(夕輝壽太)、二本橋賢吾(宇梶剛士)ら“任侠ヘルパー"が話をしていた。  　そんななか、小澤義男(上田耕一)という男性が「タイヨウ」に運ばれてくる。半身麻痺の小澤は、自宅で妻・さくら(倍賞美津子)に介護されていたが、介護疲れからさくらは自殺未遂を図り、病院に搬送されていたのだ。彦一、りこ、零次が病院を訪ねると、さくらは小澤の面倒を「タイヨウ」で見て欲しいと訴える。なんとか自宅で介護を続けるよう促すが、さくらは拒絶。すると突然、彦一が、その女に他人の世話はできない、と悪態をつき、病室を出て行ってしまう・・・。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石川淳一河野伸　  高見優</t>
  </si>
  <si>
    <t>翼彦一(草ナギ剛)は、施設の顧問・羽鳥晶(夏川結衣)に刺青を見られたことを四方木りこ(黒木メイサ)に責められる。彦一は覚悟を決めるが、晶は倒れたのだから早まるなと釘を刺される。  　一方、運ばれた病院で目を覚ました晶は、息子・涼太(加藤清史郎)らの心配もよそに、仕事に戻るといって病院を後にする。  　同じ頃、「タイヨウ」では、恒例の「地域交流会」の出し物を決めようと、和泉零次(山本裕典)、美空晴菜(仲里依紗)と鷹山三樹矢(薮宏太)、黒沢五郎(五十嵐隼士)、六車雅人(夕輝壽太)、二本橋賢吾(宇梶剛士)ら“任侠ヘルパー"が話をしていた。  　そんななか、小澤義男(上田耕一)という男性が「タイヨウ」に運ばれてくる。半身麻痺の小澤は、自宅で妻・さくら(倍賞美津子)に介護されていたが、介護疲れからさくらは自殺未遂を図り、病院に搬送されていたのだ。彦一、りこ、零次が病院を訪ねると、さくらは小澤の面倒を「タイヨウ」で見て欲しいと訴える。なんとか自宅で介護を続けるよう促すが、さくらは拒絶。すると突然、彦一が、その女に他人の世話はできない、と悪態をつき、病室を出て行ってしまう・・・。</t>
  </si>
  <si>
    <t>番組名&lt;木曜劇場&gt;任侠ヘルパー　#06</t>
  </si>
  <si>
    <t>翼彦一(草ナギ剛)は、美空晴菜(仲里依紗)から、年若い者でも認知症を発症することがあると聞き、ここ最近の羽鳥晶(夏川結衣)の行動を思い返す。  　一方、施設では風間寛(ミッキー・カーチス)のセクハラが問題となっており、四方木りこ(黒木メイサ)も被害者となる。認知症でもないのに女性を追い回す風間に、鷹山三樹矢(薮宏太)ら“任侠ヘルパー"らはあきれ返る。そんな折、徳田多恵子(木村夏江)が入居のためにやってくる。すると、多恵子を認めた風間は「多恵ちゃん…」と声をかける。  　同じ頃、羽鳥涼太(加藤清史郎)は、彦一に晶がどんな病気なのか聞いてほしいと頼むが断られる。  　そんななか、風間が二本橋(宇梶剛士)に話があると言う。実は、多恵子は風間の初恋の人なのだが、告白することもできず、やがて人妻となってしまった。以来、自分は独り身できたが、ここで再会できたのも縁だから多恵子をデートに誘い、当時の気持ちを打ち明けたいというのだ。そんな風間の言葉を、二本橋はしみじみと聞く。  　後日、二本橋は別れた妻と暮らす娘・瑞穂(指出瑞貴)と会う。瑞穂は、母親が再婚間近であることを伝えるが、二本橋の煮え切らない態度に怒り、席を立ってしまう。  　その翌日、彦一が施設の外にいると、晶が1人で現れる。無言で近づいてくる晶に、涼太が心配していると声をかける彦一。すると晶は、涼太のことで話があると言い…。草ナギ剛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葉山浩樹河野伸　  高見優</t>
  </si>
  <si>
    <t>翼彦一(草ナギ剛)は、美空晴菜(仲里依紗)から、年若い者でも認知症を発症することがあると聞き、ここ最近の羽鳥晶(夏川結衣)の行動を思い返す。  　一方、施設では風間寛(ミッキー・カーチス)のセクハラが問題となっており、四方木りこ(黒木メイサ)も被害者となる。認知症でもないのに女性を追い回す風間に、鷹山三樹矢(薮宏太)ら“任侠ヘルパー"らはあきれ返る。そんな折、徳田多恵子(木村夏江)が入居のためにやってくる。すると、多恵子を認めた風間は「多恵ちゃん…」と声をかける。  　同じ頃、羽鳥涼太(加藤清史郎)は、彦一に晶がどんな病気なのか聞いてほしいと頼むが断られる。  　そんななか、風間が二本橋(宇梶剛士)に話があると言う。実は、多恵子は風間の初恋の人なのだが、告白することもできず、やがて人妻となってしまった。以来、自分は独り身できたが、ここで再会できたのも縁だから多恵子をデートに誘い、当時の気持ちを打ち明けたいというのだ。そんな風間の言葉を、二本橋はしみじみと聞く。  　後日、二本橋は別れた妻と暮らす娘・瑞穂(指出瑞貴)と会う。瑞穂は、母親が再婚間近であることを伝えるが、二本橋の煮え切らない態度に怒り、席を立ってしまう。  　その翌日、彦一が施設の外にいると、晶が1人で現れる。無言で近づいてくる晶に、涼太が心配していると声をかける彦一。すると晶は、涼太のことで話があると言い…。</t>
  </si>
  <si>
    <t>番組名&lt;木曜劇場&gt;任侠ヘルパー　#07</t>
  </si>
  <si>
    <t>翼彦一(草ナギ剛)は、美空晴菜(仲里依紗)とともに、長岡孝江(江波杏子)の自宅で訪問介護を行っていた。孝江の娘・初美(西田尚美)の依頼で来たのだが、孝江は彦一らの対応が気に入らず文句ばかり。  　夜になり、出掛けていた初美が戻ると、孝江は彦一らに酷い目に遭わされた、とさんざん文句を言う。それを聞いた初美は、もうヘルパーを頼んだりはしない、と約束する。  　晴菜は、孝江の件を園崎康弘(大杉漣)と和泉零次(山本裕典)に報告。園崎らは、プライドの高い孝江の面倒を、初美が1人でみていることを憂慮する。そんな折、利用者の家族らが、羽鳥晶(夏川結衣)に母親殺しの過去があるとの記事が書かれた雑誌を持って乗り込んでくる。  　この記事が発端となり、フランチャイズの契約解除を希望する声があがるなど、「ハートフルバード」への批判が広がっていく。四方木りこ(黒木メイサ)、鷹山三樹矢(薮宏太)らは、このスキャンダルの余波で自分たちの正体がバレてしまうかもしれないと不安を隠せない。そんな中、涼太(加藤清史郎)が夏休みの間、「タイヨウ」を手伝うことになり、その健気に働く姿が、利用者の癒し的な存在となっていく。  　一方、初美は介護と仕事をなんとか両立させていたが、それも限界に来ていた。彦一は、1人ですべてを背負おうとしている初美を心配し、声をかけるが、ヘルパーを頼むつもりはないと拒絶されてしまう。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石川淳一河野伸　  高見優</t>
  </si>
  <si>
    <t>翼彦一(草ナギ剛)は、美空晴菜(仲里依紗)とともに、長岡孝江(江波杏子)の自宅で訪問介護を行っていた。孝江の娘・初美(西田尚美)の依頼で来たのだが、孝江は彦一らの対応が気に入らず文句ばかり。  　夜になり、出掛けていた初美が戻ると、孝江は彦一らに酷い目に遭わされた、とさんざん文句を言う。それを聞いた初美は、もうヘルパーを頼んだりはしない、と約束する。  　晴菜は、孝江の件を園崎康弘(大杉漣)と和泉零次(山本裕典)に報告。園崎らは、プライドの高い孝江の面倒を、初美が1人でみていることを憂慮する。そんな折、利用者の家族らが、羽鳥晶(夏川結衣)に母親殺しの過去があるとの記事が書かれた雑誌を持って乗り込んでくる。  　この記事が発端となり、フランチャイズの契約解除を希望する声があがるなど、「ハートフルバード」への批判が広がっていく。四方木りこ(黒木メイサ)、鷹山三樹矢(薮宏太)らは、このスキャンダルの余波で自分たちの正体がバレてしまうかもしれないと不安を隠せない。そんな中、涼太(加藤清史郎)が夏休みの間、「タイヨウ」を手伝うことになり、その健気に働く姿が、利用者の癒し的な存在となっていく。  　一方、初美は介護と仕事をなんとか両立させていたが、それも限界に来ていた。彦一は、1人ですべてを背負おうとしている初美を心配し、声をかけるが、ヘルパーを頼むつもりはないと拒絶されてしまう。</t>
  </si>
  <si>
    <t>番組名&lt;木曜劇場&gt;任侠ヘルパー　#08</t>
  </si>
  <si>
    <t>翼彦一(草ナギ剛)は、隼会と敵対する鷲津組の組長・鷲津莞爾(竜雷太)が施設に入居してきたことに驚く。事故で要介護状態とはいえ、金ならいくらでもあるはずの鷲津が「タイヨウ」にきたことに、四方木りこ(黒木メイサ)らは疑いの目を向ける。  　彦一は、その件を若頭・鷹山源助(松平健)に報告するが、今は“研修"に専念しろ、と一喝される。その鷹山の側には、和泉零次(山本裕典)がいた。　鷲津は、脳梗塞の後遺症で言葉が出ない山浦夏夫と同室になったことなどに不満をもらす。そんな折、美空晴菜(仲里依紗)が花束を持って大部屋にやってくる。花は、なかなか見舞いに来られない夏夫の息子が毎週送ってくるというもので、花を見た夏夫は嬉しそうな顔をする。一方、鷲津は、自身に見舞いも何も来ないことにいらだっていた。  　同じ頃、会議に出席する羽鳥晶(夏川結衣)は、不鮮明な記憶のせいで窮地に陥っていた。息子・涼太(加藤清史郎)は、そんな晶のために、日々の予定や記録を貼り紙にして家中に貼りはじめる。  　そんな折、彦一は施設から駆け出していくりこを目撃する。数日前、四方木連合が襲撃されケガ人が出た、という情報を六車(夕輝壽太)から聞かされたからだ。五郎(五十嵐隼士)らは、隼会にケンカを売るのはどこの者だ、といきり立つ。そんな中、鷲津に話を聞いてくると言って席を立った三樹矢(薮宏太)を、彦一が制し…。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西谷弘河野伸　  高見優</t>
  </si>
  <si>
    <t>翼彦一(草ナギ剛)は、隼会と敵対する鷲津組の組長・鷲津莞爾(竜雷太)が施設に入居してきたことに驚く。事故で要介護状態とはいえ、金ならいくらでもあるはずの鷲津が「タイヨウ」にきたことに、四方木りこ(黒木メイサ)らは疑いの目を向ける。  　彦一は、その件を若頭・鷹山源助(松平健)に報告するが、今は“研修"に専念しろ、と一喝される。その鷹山の側には、和泉零次(山本裕典)がいた。　鷲津は、脳梗塞の後遺症で言葉が出ない山浦夏夫と同室になったことなどに不満をもらす。そんな折、美空晴菜(仲里依紗)が花束を持って大部屋にやってくる。花は、なかなか見舞いに来られない夏夫の息子が毎週送ってくるというもので、花を見た夏夫は嬉しそうな顔をする。一方、鷲津は、自身に見舞いも何も来ないことにいらだっていた。  　同じ頃、会議に出席する羽鳥晶(夏川結衣)は、不鮮明な記憶のせいで窮地に陥っていた。息子・涼太(加藤清史郎)は、そんな晶のために、日々の予定や記録を貼り紙にして家中に貼りはじめる。  　そんな折、彦一は施設から駆け出していくりこを目撃する。数日前、四方木連合が襲撃されケガ人が出た、という情報を六車(夕輝壽太)から聞かされたからだ。五郎(五十嵐隼士)らは、隼会にケンカを売るのはどこの者だ、といきり立つ。そんな中、鷲津に話を聞いてくると言って席を立った三樹矢(薮宏太)を、彦一が制し…。</t>
  </si>
  <si>
    <t>番組名&lt;木曜劇場&gt;任侠ヘルパー　#09</t>
  </si>
  <si>
    <t>翼彦一(草ナギ剛)は、鷲津莞爾(竜雷太)めがけてナイフを構え飛び込んできた四方木りこ(黒木メイサ)の腕を素早く掴んだ。りこは、四方木組を襲撃した鷲津組への報復だといきり立つが、彦一は鷲津は関わっていない、となだめる。しかし、収まらないりこは、再び鷲津に襲い掛かる。するとそこへ、和泉零次(山本裕典)がきて、りこの腕を蹴り上げる。りこは病院を飛び出し彦一がそれを追うが、見失う。そんなとき、彦一の携帯に羽鳥涼太(加藤清史郎)から、羽鳥晶(夏川結衣)が帰ってこないと連絡が入る。  　その頃、晶は老人ホーム「ハートフル」にいた。駆けつけた彦一と涼太は、晶が無事だったことに胸をなでおろす。  　一方、鷹山三樹矢(薮宏太)、黒沢五郎(五十嵐隼士)、六車雅人(夕輝壽太)、二本橋賢吾(宇梶剛士)らは、連絡の取れないりこのことを案じていた。  　そんな折、「タイヨウ」の入居者で、病院に入院中の山浦夏夫(峯のぼる)の息子・渉(梶原善)がきて、園崎康弘(大杉漣)に夏夫の看取り介護を依頼。やがて、病院から帰された夏夫は、再び鷲津と同室となる。美空晴菜(仲里依紗)は、そんな夏夫の様子を日記に綴り始めた。  　そんな中、テレビでは晶の社長辞任会見が放送され、涼太とともに彦一がそれを見守っていた。ところが、順調に話していたと思われた晶は、途中で止まってしまう。それを見つめた彦一は…。草ナギ剛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葉山浩樹河野伸　  高見優</t>
  </si>
  <si>
    <t>翼彦一(草ナギ剛)は、鷲津莞爾(竜雷太)めがけてナイフを構え飛び込んできた四方木りこ(黒木メイサ)の腕を素早く掴んだ。りこは、四方木組を襲撃した鷲津組への報復だといきり立つが、彦一は鷲津は関わっていない、となだめる。しかし、収まらないりこは、再び鷲津に襲い掛かる。するとそこへ、和泉零次(山本裕典)がきて、りこの腕を蹴り上げる。りこは病院を飛び出し彦一がそれを追うが、見失う。そんなとき、彦一の携帯に羽鳥涼太(加藤清史郎)から、羽鳥晶(夏川結衣)が帰ってこないと連絡が入る。  　その頃、晶は老人ホーム「ハートフル」にいた。駆けつけた彦一と涼太は、晶が無事だったことに胸をなでおろす。  　一方、鷹山三樹矢(薮宏太)、黒沢五郎(五十嵐隼士)、六車雅人(夕輝壽太)、二本橋賢吾(宇梶剛士)らは、連絡の取れないりこのことを案じていた。  　そんな折、「タイヨウ」の入居者で、病院に入院中の山浦夏夫(峯のぼる)の息子・渉(梶原善)がきて、園崎康弘(大杉漣)に夏夫の看取り介護を依頼。やがて、病院から帰された夏夫は、再び鷲津と同室となる。美空晴菜(仲里依紗)は、そんな夏夫の様子を日記に綴り始めた。  　そんな中、テレビでは晶の社長辞任会見が放送され、涼太とともに彦一がそれを見守っていた。ところが、順調に話していたと思われた晶は、途中で止まってしまう。それを見つめた彦一は…。</t>
  </si>
  <si>
    <t>番組名&lt;木曜劇場&gt;任侠ヘルパー　#10</t>
  </si>
  <si>
    <t>翼彦一(草ナギ剛)は、羽鳥涼太(加藤清史郎)と羽鳥晶(夏川結衣)のマンションにいた。晶は、堀井皐月(安田美沙子)に付き添われていたが、病状が進み不安にさいなまれていた。  　同じ頃、正体を偽っていた彦一らに事情を聞こうと、「ハートフルバード」から日野弥生(中別府葵)がやってくる。四方木りこ(黒木メイサ)らが語らずにいると、弥生は、「タイヨウ」とフランチャイズ契約を解除すると宣告する。　りこから連絡を受けた彦一は「タイヨウ」に戻ろうとするが、そんなとき、涼太がシャワーを浴びに行った晶の様子が気になると不安げな顔を見せる。彦一がそこで目にしたものは・・・。  　一方「タイヨウ」では大島(山田親太朗)たちヘルパーが5人もやめてしまう。園崎(大杉漣)は、彦一らに新しいヘルパーが来るまではいてほしいと慰留するのだったが、美空晴菜(仲里衣紗)らは、彦一らを白い目で見るようになる。　彦一らの素性がわかる写真を入手したマスコミも「タイヨウ」にやってくるようになり、園崎らは対応に四苦八苦する。その頃、和泉零次(山本裕典)から「タイヨウ」に写真を送ったのは鷲津組を破門された者の仕業ではないかと調べに入る。  　ある日、りこはひとりでタバコを吸っていた彦一に、何を考えているのか、と尋ねる。しかし彦一が答えないと、晶のことではないのかと苛立ち怒りをぶつける。そんなりこに彦一は・・・。草ナギ剛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石川淳一河野伸　  高見優</t>
  </si>
  <si>
    <t>翼彦一(草ナギ剛)は、羽鳥涼太(加藤清史郎)と羽鳥晶(夏川結衣)のマンションにいた。晶は、堀井皐月(安田美沙子)に付き添われていたが、病状が進み不安にさいなまれていた。  　同じ頃、正体を偽っていた彦一らに事情を聞こうと、「ハートフルバード」から日野弥生(中別府葵)がやってくる。四方木りこ(黒木メイサ)らが語らずにいると、弥生は、「タイヨウ」とフランチャイズ契約を解除すると宣告する。　りこから連絡を受けた彦一は「タイヨウ」に戻ろうとするが、そんなとき、涼太がシャワーを浴びに行った晶の様子が気になると不安げな顔を見せる。彦一がそこで目にしたものは・・・。  　一方「タイヨウ」では大島(山田親太朗)たちヘルパーが5人もやめてしまう。園崎(大杉漣)は、彦一らに新しいヘルパーが来るまではいてほしいと慰留するのだったが、美空晴菜(仲里衣紗)らは、彦一らを白い目で見るようになる。　彦一らの素性がわかる写真を入手したマスコミも「タイヨウ」にやってくるようになり、園崎らは対応に四苦八苦する。その頃、和泉零次(山本裕典)から「タイヨウ」に写真を送ったのは鷲津組を破門された者の仕業ではないかと調べに入る。  　ある日、りこはひとりでタバコを吸っていた彦一に、何を考えているのか、と尋ねる。しかし彦一が答えないと、晶のことではないのかと苛立ち怒りをぶつける。そんなりこに彦一は・・・。</t>
  </si>
  <si>
    <t>番組名&lt;木曜劇場&gt;任侠ヘルパー　#11</t>
  </si>
  <si>
    <t>翼彦一(草ナギ剛)、四方木りこ(黒木メイサ)、鷹山三樹矢(薮宏太)、黒沢五郎(五十嵐隼士)、六車雅人(夕輝壽太)、二本橋賢吾(宇梶剛士)は、「タイヨウ」が閉鎖に追い込まれたことを鷹山源助(松平健)に報告する。  　その頃、「タイヨウ」では、美空晴菜(仲里依紗)や園崎康弘(大杉漣)が、利用者たちの受け入れ先を探していた。そんななか、羽鳥晶(夏川結衣)と涼太(加藤清史郎)も出て行くことに。出発の日、迎えの車に荷物を積んでいた彦一に晶が、写真を撮らないかと提案。晶の携帯の液晶画面に、3ショットが収まった。  　一方、閉鎖された「タイヨウ」に、多数の高齢者がやってくるという事件が起こる。高齢者を連れてきた鎌田公造(渡辺哲)は、自分が経営する施設がつぶれたため、高齢者が行き場を失ったと言い、一晩でもいいから預かってほしい、と懇願。園崎は、仕方なく受け入れるが、翌朝、鎌田と連絡が取れなくなる。それでも高齢者たちを見捨てられないため、「タイヨウ」では炊き出しが始まり、彦一らもそれを手伝う。温かい食事に感謝をする高齢者たちに、“任侠ヘルパー"たちの胸にも熱いものがこみ上げてくる。  　すると、突然、彦一が出ていく。追いかけてきた五郎に彦一は、“研修"が終われば、自分たちはまた高齢者を食い物にして生きていくんだ、といらだちをぶつける。再び極道に戻る自分たちが何をしているんだーー彦一の心は揺れ…。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西谷弘河野伸　  高見優</t>
  </si>
  <si>
    <t>翼彦一(草ナギ剛)、四方木りこ(黒木メイサ)、鷹山三樹矢(薮宏太)、黒沢五郎(五十嵐隼士)、六車雅人(夕輝壽太)、二本橋賢吾(宇梶剛士)は、「タイヨウ」が閉鎖に追い込まれたことを鷹山源助(松平健)に報告する。  　その頃、「タイヨウ」では、美空晴菜(仲里依紗)や園崎康弘(大杉漣)が、利用者たちの受け入れ先を探していた。そんななか、羽鳥晶(夏川結衣)と涼太(加藤清史郎)も出て行くことに。出発の日、迎えの車に荷物を積んでいた彦一に晶が、写真を撮らないかと提案。晶の携帯の液晶画面に、3ショットが収まった。  　一方、閉鎖された「タイヨウ」に、多数の高齢者がやってくるという事件が起こる。高齢者を連れてきた鎌田公造(渡辺哲)は、自分が経営する施設がつぶれたため、高齢者が行き場を失ったと言い、一晩でもいいから預かってほしい、と懇願。園崎は、仕方なく受け入れるが、翌朝、鎌田と連絡が取れなくなる。それでも高齢者たちを見捨てられないため、「タイヨウ」では炊き出しが始まり、彦一らもそれを手伝う。温かい食事に感謝をする高齢者たちに、“任侠ヘルパー"たちの胸にも熱いものがこみ上げてくる。  　すると、突然、彦一が出ていく。追いかけてきた五郎に彦一は、“研修"が終われば、自分たちはまた高齢者を食い物にして生きていくんだ、といらだちをぶつける。再び極道に戻る自分たちが何をしているんだーー彦一の心は揺れ…。</t>
  </si>
  <si>
    <t>0907_CX_土23</t>
  </si>
  <si>
    <t>オトメン</t>
  </si>
  <si>
    <t>番組名土曜ドラマ・オトメン(乙男)～夏～　#01</t>
  </si>
  <si>
    <t>銀百合学園剣道部主将・正宗飛鳥(岡田将生)は、全国高校剣道大会予選で劣勢に追い込まれていた銀百合学園を逆転勝利に導く。試合後、飛鳥は後輩の有明大和(瀬戸康史)と都塚りょう(夏帆)が不良グループに絡まれているのを助ける。お礼を言うりょうの笑顔に胸がときめく飛鳥。  　後日、同じクラスにりょうが転校してきた。放課後、剣道部を見学していたりょうは、飛鳥に憧れ弟子入りを希望している大和と、クラスメートの橘充太(佐野和真)から飛鳥がいかに完璧な日本男児であるかを聞かされる。同じ頃、バッティングセンターで遊んでいた不良たちの中に、なぜか飛鳥に敵意をむき出しにする多武峰一(木村了)がいた。  　ある日、飛鳥は公園で少年が母親にぬいぐるみをゴミ箱に捨てられているのを目撃する。幼少期に父親(鶴見辰吾)が「本当は女になりたかった」と家を飛び出しショックを受けた母の浄美(山本未來)から「男らしく」と厳しく育てられ、乙女趣味なものを封印していた飛鳥だが、心の内では密かに乙女なものを愛する“隠れオトメン"になっていたため少年と自分を重ね合わせ、ぬいぐるみを拾って帰る。帰宅後、得意の裁縫でぬいぐるみをキレイに直し、ぬいぐるみ用帽子なども編みあげる飛鳥。  翌日、飛鳥はナンパ男で有名な充太がりょうを家庭科室に呼び出したと聞き、慌てて家庭科室に向かう。すると室内からりょうの悲鳴が聞こえてきて…。岡田将生　  夏帆　  木村了　  瀬戸康史　  佐野和真　  桐谷美玲　  市川知宏　  武井咲  　・　  柳原可奈子　  高田延彦  　・　　  鶴見辰吾  山本未來　    ほか【原作】  「オトメン(乙男)」菅野文(白泉社)    【脚本】  野口照夫　  吹原幸太　  半澤律子【プロデュース】  関谷正征    【演出】  谷村政樹【主題歌】  「ラバソー～lover　soul～」柴咲コウ(NAYUTAWAVE　RECORDS)</t>
  </si>
  <si>
    <t>銀百合学園剣道部主将・正宗飛鳥(岡田将生)は、全国高校剣道大会予選で劣勢に追い込まれていた銀百合学園を逆転勝利に導く。試合後、飛鳥は後輩の有明大和(瀬戸康史)と都塚りょう(夏帆)が不良グループに絡まれているのを助ける。お礼を言うりょうの笑顔に胸がときめく飛鳥。  　後日、同じクラスにりょうが転校してきた。放課後、剣道部を見学していたりょうは、飛鳥に憧れ弟子入りを希望している大和と、クラスメートの橘充太(佐野和真)から飛鳥がいかに完璧な日本男児であるかを聞かされる。同じ頃、バッティングセンターで遊んでいた不良たちの中に、なぜか飛鳥に敵意をむき出しにする多武峰一(木村了)がいた。  　ある日、飛鳥は公園で少年が母親にぬいぐるみをゴミ箱に捨てられているのを目撃する。幼少期に父親(鶴見辰吾)が「本当は女になりたかった」と家を飛び出しショックを受けた母の浄美(山本未來)から「男らしく」と厳しく育てられ、乙女趣味なものを封印していた飛鳥だが、心の内では密かに乙女なものを愛する“隠れオトメン"になっていたため少年と自分を重ね合わせ、ぬいぐるみを拾って帰る。帰宅後、得意の裁縫でぬいぐるみをキレイに直し、ぬいぐるみ用帽子なども編みあげる飛鳥。  翌日、飛鳥はナンパ男で有名な充太がりょうを家庭科室に呼び出したと聞き、慌てて家庭科室に向かう。すると室内からりょうの悲鳴が聞こえてきて…。</t>
  </si>
  <si>
    <t>番組名土曜ドラマ・オトメン(乙男)～夏～　#02</t>
  </si>
  <si>
    <t>ある日、正宗飛鳥(岡田将生)は都塚りょう(夏帆)から突然「パパになって下さい!」と言われる。驚きつつもそれが託児所の手伝いを頼まれただけだとわかり引き受ける飛鳥。なぜか付いてきた有明大和(瀬戸康史)と橘充太(佐野和真)と共にりょうの家に立ち寄った飛鳥は、りょうの父・猛(高田延彦)と遭遇。男らしさに異常に固執する猛は、準備のためエプロンをしていた飛鳥に激怒する。そのあまりの剣幕に飛鳥たちはたじたじになる。  託児所では、亡き母親の面影をりょうに重ねていた男の子・ゲン(澁谷武尊)が飛鳥を敵視して不機嫌になっていた。夜になって他の子供たちが帰る中、父親の迎えが遅れていたゲンだけが残る。相変わらず飛鳥を無視するゲンだが、飛鳥は…。  やがてゲンも父親が迎えに来て帰ると、飛鳥とりょうは片付けを始める。料理が苦手と言いながらも明後日の猛の誕生日に手料理を作ってあげたいと話すりょうに、飛鳥はまたしても胸をときめかせる。  翌日、剣道部の臨時コーチとして猛がやって来た。飛鳥を軟弱な男と思いこんでいる猛の厳しい特訓が始まった。くたくたになりながら部活動を終えて帰ろうとする飛鳥は、家庭科室に明かりがついているのを見つける。家庭科室に行ってみると、飛鳥の予想通りりょうの姿があった。家では猛がキッチンに立つことすら許さないため、家庭科室で料理の自主練をしていたのだ。下手でも必死で料理をするりょうに…。岡田将生　  夏帆　  木村了　  瀬戸康史　  佐野和真　  桐谷美玲　  市川知宏　  武井咲  　・　  柳原可奈子　  高田延彦  　・　  鶴見辰吾　  山本未來　    ほか【原作】  「オトメン(乙男)」菅野文(白泉社)    【脚本】  野口照夫　  吹原幸太　  半澤律子【プロデュース】  関谷正征    【演出】  谷村政樹【主題歌】  「ラバソー～lover　soul～」柴咲コウ(NAYUTAWAVE　RECORDS)</t>
  </si>
  <si>
    <t>ある日、正宗飛鳥(岡田将生)は都塚りょう(夏帆)から突然「パパになって下さい!」と言われる。驚きつつもそれが託児所の手伝いを頼まれただけだとわかり引き受ける飛鳥。なぜか付いてきた有明大和(瀬戸康史)と橘充太(佐野和真)と共にりょうの家に立ち寄った飛鳥は、りょうの父・猛(高田延彦)と遭遇。男らしさに異常に固執する猛は、準備のためエプロンをしていた飛鳥に激怒する。そのあまりの剣幕に飛鳥たちはたじたじになる。  託児所では、亡き母親の面影をりょうに重ねていた男の子・ゲン(澁谷武尊)が飛鳥を敵視して不機嫌になっていた。夜になって他の子供たちが帰る中、父親の迎えが遅れていたゲンだけが残る。相変わらず飛鳥を無視するゲンだが、飛鳥は…。  やがてゲンも父親が迎えに来て帰ると、飛鳥とりょうは片付けを始める。料理が苦手と言いながらも明後日の猛の誕生日に手料理を作ってあげたいと話すりょうに、飛鳥はまたしても胸をときめかせる。  翌日、剣道部の臨時コーチとして猛がやって来た。飛鳥を軟弱な男と思いこんでいる猛の厳しい特訓が始まった。くたくたになりながら部活動を終えて帰ろうとする飛鳥は、家庭科室に明かりがついているのを見つける。家庭科室に行ってみると、飛鳥の予想通りりょうの姿があった。家では猛がキッチンに立つことすら許さないため、家庭科室で料理の自主練をしていたのだ。下手でも必死で料理をするりょうに…。</t>
  </si>
  <si>
    <t>番組名土曜ドラマ・オトメン(乙男)～夏～　#03</t>
  </si>
  <si>
    <t>剣道部の校内強化合宿が近づいた。正宗飛鳥(岡田将生)は、この時期に幽霊が出るという銀百合伝説を耳にして密かに怯えていた。そんな飛鳥の異変に気づいた橘充太(佐野和真)は、都塚りょう(夏帆)にあるお願いをする。  　合宿当日。登校してきた飛鳥の前に黒川樹虎(市川知宏)が現れた。荒れ果てた庭を花園に改造している樹虎は、飛鳥が立ち去った後に雑草の中からあるものを発見する。  　飛鳥が宿泊室に行くと合宿の準備をする部員の中にりょうの姿があった。合宿期間中だけマネジャーをやるという申し出に喜ぶ飛鳥や部員たち。そんな中、有明大和(瀬戸康史)が昔の剣道部員が写った写真を見つける。そこには飛鳥と似た男が写っていた。  　稽古場に向かうと、道場には多武峰一(木村了)がいた。都塚猛(高田延彦)に誘われ銀百合学園に転校し剣道部に入部したという。多武峰が剣道を始めたことを素直に喜ぶ飛鳥だが、多武峰は飛鳥に敵意を燃やしたままだ。その矢先、飛鳥の竹刀が折られていたり、耳鳴りが鳴ったり、奇妙な出来事が飛鳥を襲う。不安にかられながらも、身の回りで次々と起こる不可思議な現象を気のせいだと自分に言い聞かせる飛鳥。そして入浴中、再び耳鳴りがした。不吉なものを感じる飛鳥。直後、飛鳥の悲鳴が響き渡り、それを聞きつけたりょうが浴室に駆けつけると…。岡田将生　  夏帆　  木村了　  瀬戸康史　  佐野和真　  桐谷美玲　  市川知宏　  武井咲  　・　  柳原可奈子　  高田延彦  　・　  鶴見辰吾　  山本未來　    ほか【原作】  「オトメン(乙男)」菅野文(白泉社)    【脚本】  野口照夫　  吹原幸太　  半澤律子【プロデュース】  関谷正征    【演出】  谷村政樹【主題歌】  「ラバソー～lover　soul～」柴咲コウ(NAYUTAWAVE　RECORDS)</t>
  </si>
  <si>
    <t>剣道部の校内強化合宿が近づいた。正宗飛鳥(岡田将生)は、この時期に幽霊が出るという銀百合伝説を耳にして密かに怯えていた。そんな飛鳥の異変に気づいた橘充太(佐野和真)は、都塚りょう(夏帆)にあるお願いをする。  　合宿当日。登校してきた飛鳥の前に黒川樹虎(市川知宏)が現れた。荒れ果てた庭を花園に改造している樹虎は、飛鳥が立ち去った後に雑草の中からあるものを発見する。  　飛鳥が宿泊室に行くと合宿の準備をする部員の中にりょうの姿があった。合宿期間中だけマネジャーをやるという申し出に喜ぶ飛鳥や部員たち。そんな中、有明大和(瀬戸康史)が昔の剣道部員が写った写真を見つける。そこには飛鳥と似た男が写っていた。  　稽古場に向かうと、道場には多武峰一(木村了)がいた。都塚猛(高田延彦)に誘われ銀百合学園に転校し剣道部に入部したという。多武峰が剣道を始めたことを素直に喜ぶ飛鳥だが、多武峰は飛鳥に敵意を燃やしたままだ。その矢先、飛鳥の竹刀が折られていたり、耳鳴りが鳴ったり、奇妙な出来事が飛鳥を襲う。不安にかられながらも、身の回りで次々と起こる不可思議な現象を気のせいだと自分に言い聞かせる飛鳥。そして入浴中、再び耳鳴りがした。不吉なものを感じる飛鳥。直後、飛鳥の悲鳴が響き渡り、それを聞きつけたりょうが浴室に駆けつけると…。</t>
  </si>
  <si>
    <t>番組名土曜ドラマ・オトメン(乙男)～夏～　#04</t>
  </si>
  <si>
    <t>正宗飛鳥(岡田将生)は、橘充太(佐野和真)に都塚りょう(夏帆)をデートに誘うよう勧められるが頬を染めて無理だと言うばかり。一方、多武峰一(木村了)が銀百合学園2年A組に転校してきた。転校は飛鳥を倒すためだという多武峰の自己紹介に苦笑いする飛鳥と、波乱の予感に喜ぶ充太。剣道部の練習では腕が落ちていない多武峰を素直に認める飛鳥だが、多武峰は飛鳥を天敵だと言い放つ。  　そんな中、有明大和(瀬戸康史)に頼まれ、大和の叔父のマサ(神保悟志)が営む海の家の手伝いに行くことになった飛鳥ら剣道部員、りょう、充太、妹の久利子(武井咲)。海の家「政」の店主・マサは到着した飛鳥らを大歓迎。数日後に行われる町主催のイベントのヒーローショーに出演して欲しいという。演出家となる町内会長の息子の幼い少年を紹介され、相手が子供であることに安心する剣道部員の磯野(澤部佑)だったが…。  　その夜、浜辺で素振り稽古をしている多武峰を見かけ目をとめた久利子は、飛鳥が多武峰に「すきだ」と言うのを聞き、充太に報告する。学校で多武峰が黒川樹虎(市川知宏)に「飛鳥がいないとダメ」と話していたことを思い出した充太は、本人に気持ちを確認しようとする。直後、飛鳥が戻ってきた。  　その頃イベントで行われる世界的に有名なヘアメイクとスタイリストのトークショーを目当てに小針田雅(桐谷美玲)らが海に向かっていた。そしてイベント当日になり…。岡田将生　  夏帆　  木村了　  瀬戸康史　  佐野和真　  桐谷美玲　  市川知宏　  武井咲  　・　  柳原可奈子　  高田延彦  　・　  鶴見辰吾　  山本未來　    ほか【原作】  「オトメン(乙男)」菅野文(白泉社)    【脚本】  野口照夫　  吹原幸太　  半澤律子【プロデュース】  関谷正征    【演出】  谷村政樹【主題歌】  「ラバソー～lover　soul～」柴咲コウ(NAYUTAWAVE　RECORDS)</t>
  </si>
  <si>
    <t>正宗飛鳥(岡田将生)は、橘充太(佐野和真)に都塚りょう(夏帆)をデートに誘うよう勧められるが頬を染めて無理だと言うばかり。一方、多武峰一(木村了)が銀百合学園2年A組に転校してきた。転校は飛鳥を倒すためだという多武峰の自己紹介に苦笑いする飛鳥と、波乱の予感に喜ぶ充太。剣道部の練習では腕が落ちていない多武峰を素直に認める飛鳥だが、多武峰は飛鳥を天敵だと言い放つ。  　そんな中、有明大和(瀬戸康史)に頼まれ、大和の叔父のマサ(神保悟志)が営む海の家の手伝いに行くことになった飛鳥ら剣道部員、りょう、充太、妹の久利子(武井咲)。海の家「政」の店主・マサは到着した飛鳥らを大歓迎。数日後に行われる町主催のイベントのヒーローショーに出演して欲しいという。演出家となる町内会長の息子の幼い少年を紹介され、相手が子供であることに安心する剣道部員の磯野(澤部佑)だったが…。  　その夜、浜辺で素振り稽古をしている多武峰を見かけ目をとめた久利子は、飛鳥が多武峰に「すきだ」と言うのを聞き、充太に報告する。学校で多武峰が黒川樹虎(市川知宏)に「飛鳥がいないとダメ」と話していたことを思い出した充太は、本人に気持ちを確認しようとする。直後、飛鳥が戻ってきた。  　その頃イベントで行われる世界的に有名なヘアメイクとスタイリストのトークショーを目当てに小針田雅(桐谷美玲)らが海に向かっていた。そしてイベント当日になり…。</t>
  </si>
  <si>
    <t>番組名土曜ドラマ・オトメン(乙男)～夏～　#05</t>
  </si>
  <si>
    <t>海の家「政」の手伝いで海へ来ていた正宗飛鳥(岡田将生)が早朝稽古をしていると、走りこみをしていた有明大和(瀬戸康史)が来た。飛鳥は強い男になりたいと努力する大和を励ます。  　まったく客が入らない「政」のため橘充太(佐野和真)と飛鳥は浜辺の女の子に声をかけては店に誘う。しかし、店はボロくメニューが焼きそばしかないことで来たお客もすぐ帰ってしまう。充太の部屋でマンガ『らぶちっく』の原稿をチェックしていた橘久利子(武井咲)は、風に飛ばされた原稿を拾いに行くが、通りかかった黒川樹虎(市川知宏)が表紙を拾っていたことに気付かなかった。  　その夜、隣接する海の家「シードラゴン」に店の権利を売るように、海の家管理組合の責任者から勧められていたマサ(神保悟志)を見た飛鳥は、力になろうと新メニューを考える。かわいいフラッペの試作品を作って都塚りょう(夏帆)に差し出す飛鳥。そこへ…。　翌日、さっそくフラッペをメニューに加えるべく飛鳥と大和と充太は果物屋に行くが、果物は「シードラゴン」に買い占められた後だった。果物を譲ってもらおうと「シードラゴン」に向かった飛鳥たち。すると1人のホストが大和をバカにするように話しかけてきた。それでもヘラヘラと笑っている大和を見た飛鳥は、「シードラゴン」で働かないかという誘いを「勝負で勝ったら」という条件で引き受ける…!岡田将生　  夏帆　  木村了　  瀬戸康史　  佐野和真　  桐谷美玲　  市川知宏　  武井咲  　・　  柳原可奈子　  高田延彦  　・　  鶴見辰吾　  山本未來　    ほか【原作】  「オトメン(乙男)」菅野文(白泉社)    【脚本】  野口照夫　  吹原幸太　  半澤律子【プロデュース】  関谷正征    【演出】  谷村政樹【主題歌】  「ラバソー～lover　soul～」柴咲コウ(NAYUTAWAVE　RECORDS)</t>
  </si>
  <si>
    <t>海の家「政」の手伝いで海へ来ていた正宗飛鳥(岡田将生)が早朝稽古をしていると、走りこみをしていた有明大和(瀬戸康史)が来た。飛鳥は強い男になりたいと努力する大和を励ます。  　まったく客が入らない「政」のため橘充太(佐野和真)と飛鳥は浜辺の女の子に声をかけては店に誘う。しかし、店はボロくメニューが焼きそばしかないことで来たお客もすぐ帰ってしまう。充太の部屋でマンガ『らぶちっく』の原稿をチェックしていた橘久利子(武井咲)は、風に飛ばされた原稿を拾いに行くが、通りかかった黒川樹虎(市川知宏)が表紙を拾っていたことに気付かなかった。  　その夜、隣接する海の家「シードラゴン」に店の権利を売るように、海の家管理組合の責任者から勧められていたマサ(神保悟志)を見た飛鳥は、力になろうと新メニューを考える。かわいいフラッペの試作品を作って都塚りょう(夏帆)に差し出す飛鳥。そこへ…。　翌日、さっそくフラッペをメニューに加えるべく飛鳥と大和と充太は果物屋に行くが、果物は「シードラゴン」に買い占められた後だった。果物を譲ってもらおうと「シードラゴン」に向かった飛鳥たち。すると1人のホストが大和をバカにするように話しかけてきた。それでもヘラヘラと笑っている大和を見た飛鳥は、「シードラゴン」で働かないかという誘いを「勝負で勝ったら」という条件で引き受ける…!</t>
  </si>
  <si>
    <t>番組名土曜ドラマ・オトメン(乙男)～夏～　#06</t>
  </si>
  <si>
    <t>銀百合学園の伝統行事である、女らしさを競う「やまとなでしこコンテスト」が近づいてきた。2年A組では代表出場者を決める投票が行われ、結果に満足気にうなずく正宗飛鳥(岡田将生)。圧倒的な強さで2年代表に選ばれたのは都塚りょう(夏帆)だった。  　りょうに付き添い“なでしコン"実行委員会にやって来た飛鳥と橘充太(佐野和真)は、実行委員である黒川樹虎(市川知宏)からコンテストの詳細を知らされる。種目は着付け、お茶、お華、料理の4種目で、りょうの苦手なものばかりだ。そして出場者にはサポートをする男子生徒の介添人が必要と聞いた飛鳥はりょうに手伝いを申し出る。りょうを支え、立派な大和撫子にすることを心に誓う飛鳥。そこへ3年代表に選ばれた小針田雅(桐谷美玲)がやって来た。過去2年、優勝している雅は余裕の笑みを浮かべりょうに正々堂々と勝負しようと声をかける。  　開催10日前になり、各学年の代表者が掲示板に張り出された。有明大和(瀬戸康史)は1年代表の欄に自分の名前を見つけ驚き尻込みするが、橘久利子(武井咲)の口車に乗せられてやる気を出す。まるで興味を示さなかった多武峰一(木村了)だったが、介添人に飛鳥の名前を見つけ雅に介添人になると申し出る。  　そして、コンテスト当日。ステージにはりょう、雅、大和の出場者、飛鳥や多武峰の介添人が顔をそろえ、いよいよ第1種目・着付けがスタートする…!岡田将生　  夏帆　  木村了　  瀬戸康史　  佐野和真　  桐谷美玲　  市川知宏　  武井咲  　・　  柳原可奈子　  高田延彦  　・　  鶴見辰吾　  山本未來　    ほか【原作】  「オトメン(乙男)」菅野文(白泉社)    【脚本】  野口照夫　  吹原幸太　  半澤律子【プロデュース】  関谷正征    【演出】  谷村政樹【主題歌】  「ラバソー～lover　soul～」柴咲コウ(NAYUTAWAVE　RECORDS)</t>
  </si>
  <si>
    <t>銀百合学園の伝統行事である、女らしさを競う「やまとなでしこコンテスト」が近づいてきた。2年A組では代表出場者を決める投票が行われ、結果に満足気にうなずく正宗飛鳥(岡田将生)。圧倒的な強さで2年代表に選ばれたのは都塚りょう(夏帆)だった。  　りょうに付き添い“なでしコン"実行委員会にやって来た飛鳥と橘充太(佐野和真)は、実行委員である黒川樹虎(市川知宏)からコンテストの詳細を知らされる。種目は着付け、お茶、お華、料理の4種目で、りょうの苦手なものばかりだ。そして出場者にはサポートをする男子生徒の介添人が必要と聞いた飛鳥はりょうに手伝いを申し出る。りょうを支え、立派な大和撫子にすることを心に誓う飛鳥。そこへ3年代表に選ばれた小針田雅(桐谷美玲)がやって来た。過去2年、優勝している雅は余裕の笑みを浮かべりょうに正々堂々と勝負しようと声をかける。  　開催10日前になり、各学年の代表者が掲示板に張り出された。有明大和(瀬戸康史)は1年代表の欄に自分の名前を見つけ驚き尻込みするが、橘久利子(武井咲)の口車に乗せられてやる気を出す。まるで興味を示さなかった多武峰一(木村了)だったが、介添人に飛鳥の名前を見つけ雅に介添人になると申し出る。  　そして、コンテスト当日。ステージにはりょう、雅、大和の出場者、飛鳥や多武峰の介添人が顔をそろえ、いよいよ第1種目・着付けがスタートする…!</t>
  </si>
  <si>
    <t>番組名土曜ドラマ・オトメン(乙男)～夏～　#07</t>
  </si>
  <si>
    <t>少女マンガ「らぶちっく」を読み、胸をときめかせる正宗飛鳥(岡田将生)。  　「らぶちっく」の作者でありながら正体を隠している橘充太(佐野和真)は、美術の授業で無意識に「らぶちっく」のイラストを書いて飛鳥に見られ、ファンだとごまかす。そんな中「らぶちっく」が黒泉社漫画大賞に選ばれた。授賞式に欠席するわけにもいかず、充太は久利子(武井咲)に幸花ジュエルになりすますように提案する。  　黒泉社では、少女漫画界のカリスマ・城之内ミラが漫画大賞のプレゼンターを依頼されていた。ミラは飛鳥の父・主水乃介(鶴見辰吾)だった。受賞作「らぶちっく」の作者が高校生男子で正体を隠していると聞いた主水乃介は依頼を受けることにする。  　漫画大賞授賞式。招待券を当てて会場に来ていた飛鳥と都塚りょう(夏帆)と会った充太は出版社勤務の叔父に入れてもらったとウソをつく。一方、控え室にいた久利子の元に黒川樹虎(市川知宏)がファンからの花を届けに来た。久利子がジュエルと誤解させたまま、口外しないようにお願いする久利子に樹虎は、了承しながらも読者は正直であることを求めているのではないかと話す。  　会場では、充太が幼い頃から憧れていた城之内ミラと会えた興奮のあまり自分が漫画家になろうと決めたきっかけがミラであったことを熱く語る。充太の言葉を聞いてしまい驚く飛鳥。慌てる充太だが、さらに携帯に久利子からメールが届いた!岡田将生　  夏帆　  木村了　  瀬戸康史　  佐野和真　  桐谷美玲　  市川知宏　  武井咲  　・　  柳原可奈子　  高田延彦  　・　  鶴見辰吾　  山本未來　    ほか【原作】  「オトメン(乙男)」菅野文(白泉社)    【脚本】  野口照夫　  吹原幸太　  半澤律子【プロデュース】  関谷正征    【演出】  谷村政樹【主題歌】  「ラバソー～lover　soul～」柴咲コウ(NAYUTAWAVE　RECORDS)</t>
  </si>
  <si>
    <t>少女マンガ「らぶちっく」を読み、胸をときめかせる正宗飛鳥(岡田将生)。  　「らぶちっく」の作者でありながら正体を隠している橘充太(佐野和真)は、美術の授業で無意識に「らぶちっく」のイラストを書いて飛鳥に見られ、ファンだとごまかす。そんな中「らぶちっく」が黒泉社漫画大賞に選ばれた。授賞式に欠席するわけにもいかず、充太は久利子(武井咲)に幸花ジュエルになりすますように提案する。  　黒泉社では、少女漫画界のカリスマ・城之内ミラが漫画大賞のプレゼンターを依頼されていた。ミラは飛鳥の父・主水乃介(鶴見辰吾)だった。受賞作「らぶちっく」の作者が高校生男子で正体を隠していると聞いた主水乃介は依頼を受けることにする。  　漫画大賞授賞式。招待券を当てて会場に来ていた飛鳥と都塚りょう(夏帆)と会った充太は出版社勤務の叔父に入れてもらったとウソをつく。一方、控え室にいた久利子の元に黒川樹虎(市川知宏)がファンからの花を届けに来た。久利子がジュエルと誤解させたまま、口外しないようにお願いする久利子に樹虎は、了承しながらも読者は正直であることを求めているのではないかと話す。  　会場では、充太が幼い頃から憧れていた城之内ミラと会えた興奮のあまり自分が漫画家になろうと決めたきっかけがミラであったことを熱く語る。充太の言葉を聞いてしまい驚く飛鳥。慌てる充太だが、さらに携帯に久利子からメールが届いた!</t>
  </si>
  <si>
    <t>番組名土曜ドラマ・オトメン(乙男)～夏～　#08</t>
  </si>
  <si>
    <t>剣道場の隅で正宗飛鳥(岡田将生)、多武峰一(木村了)、有明大和(瀬戸康史)が苦い表情であるチラシを見ていた。チラシには最近連続で起きているひったくり犯の似顔絵が描かれており、それは磯野(澤部佑)にそっくりだったのだ。コーチとして来ていた刑事の都塚猛(高田延彦)もまた磯野に疑惑の目を向けるが、事情を知らない磯野だけは選手として期待されてると勘違い。張り切って稽古を続けていた。  　稽古終了後、猛が飛鳥に“乙女心"を指導して欲しいと頼んできた。戸惑う飛鳥だが、女性心理を理解することで犯罪を未然に防ぎたいという猛の言葉に引き受けることにする。猛と共にレディースファッション店やぬいぐるみ店などを回る飛鳥。居心地が悪そうな猛に対し、飛鳥のテンションは上がる一方だ。ぬいぐるみ店では編みぐるみ教室が開催されていて参加することになった飛鳥と猛だが、講師の顔を見て飛鳥はあ然とする…!  　その帰り道、猛は飛鳥に乙女心を知りたかった理由は仕事ではなく、今週末の都塚りょう(夏帆)の誕生日プレゼントを選ぶためだったと話す。りょうの誕生日を知らなかった飛鳥は思いをめぐらし…。その矢先、猛に刑事の相棒から磯野に不審な動きがあったと連絡が入った。  　公園で剣道の稽古をしていた磯野の元へ駆けつけた猛が離れたところで監視を続けていると、公園に1人の老女が入ってきた。その姿を見た磯野は老女に近づいていき…。岡田将生　  夏帆　  木村了　  瀬戸康史　  佐野和真　  桐谷美玲　  市川知宏　  武井咲  　・　  柳原可奈子　  高田延彦  　・　  鶴見辰吾　  山本未來　    ほか【原作】  「オトメン(乙男)」菅野文(白泉社)　    【脚本】  野口照夫　  吹原幸太　  半澤律子【プロデュース】  関谷正征　    【演出】  谷村政樹【主題歌】  「ラバソー～lover　soul～」柴咲コウ(NAYUTAWAVE　RECORDS)</t>
  </si>
  <si>
    <t>剣道場の隅で正宗飛鳥(岡田将生)、多武峰一(木村了)、有明大和(瀬戸康史)が苦い表情であるチラシを見ていた。チラシには最近連続で起きているひったくり犯の似顔絵が描かれており、それは磯野(澤部佑)にそっくりだったのだ。コーチとして来ていた刑事の都塚猛(高田延彦)もまた磯野に疑惑の目を向けるが、事情を知らない磯野だけは選手として期待されてると勘違い。張り切って稽古を続けていた。  　稽古終了後、猛が飛鳥に“乙女心"を指導して欲しいと頼んできた。戸惑う飛鳥だが、女性心理を理解することで犯罪を未然に防ぎたいという猛の言葉に引き受けることにする。猛と共にレディースファッション店やぬいぐるみ店などを回る飛鳥。居心地が悪そうな猛に対し、飛鳥のテンションは上がる一方だ。ぬいぐるみ店では編みぐるみ教室が開催されていて参加することになった飛鳥と猛だが、講師の顔を見て飛鳥はあ然とする…!  　その帰り道、猛は飛鳥に乙女心を知りたかった理由は仕事ではなく、今週末の都塚りょう(夏帆)の誕生日プレゼントを選ぶためだったと話す。りょうの誕生日を知らなかった飛鳥は思いをめぐらし…。その矢先、猛に刑事の相棒から磯野に不審な動きがあったと連絡が入った。  　公園で剣道の稽古をしていた磯野の元へ駆けつけた猛が離れたところで監視を続けていると、公園に1人の老女が入ってきた。その姿を見た磯野は老女に近づいていき…。</t>
  </si>
  <si>
    <t>0904_CX_月21</t>
  </si>
  <si>
    <t>婚カツ！</t>
  </si>
  <si>
    <t>番組名婚カツ!　#01</t>
  </si>
  <si>
    <t>雨宮邦之(中居正広)は『就職氷河期』の真っ只中に3流大学を卒業し、とある企業で働いていたが、この不況の折り、職を失う。家からは今日もとんかつの匂いがただよっている。彼が最も苦手な油と肉が融合した香りだ。このまま仕事がなかったら、とんかつ屋「とんくに」を継ぐしか生きる道はなくなってしまうのか!?それだけは避けたかった。しかしこの未曾有の不況のなか、そう簡単に仕事はみつかりそうになかった。  　一方、邦之の住む町、春見区でも雇用促進と少子化対策に頭を悩ませていた。区長・溝口静子(風吹ジュン)は、とりあえず形だけでもとばかりに若干名の臨時職員採用と、名ばかりの少子化対策チームの発足を決めた。臨時職員募集の話を耳にした邦之はすぐに飛びつく。能力によってはそのまま正規採用の可能性もあるという。意気込んで試験に臨んだ邦之は、面接の時になって、「既婚者」であることという採用条件があることを知り、仕事を獲得したい一心で、結婚の予定がある、と嘘をついてしまうのだった。無事就職は決定するものの、これが全ての始まりだった…。  　採用されてしまえばこっちのもの、と思っていたのだが、いつの間にか邦之結婚!の噂は町に流れ、父親の雨宮邦夫(小日向文世)も大喜び。邦之のおさななじみで妹の様な存在の飛田春乃(上戸彩)も衝撃を隠せない。弟分の深澤茂(佐藤隆太)を中心に地域をあげての大騒ぎとなってしまうのだった。中居正広　  上戸彩　  佐藤隆太　  釈由美子　  谷原章介　  上田竜也　  北村有起哉  　○　  小日向文世  　○　  りょう　  風吹ジュン　  橋爪功　    ほか【脚本】  龍居由佳里【演出】  鈴木雅之服部隆之</t>
  </si>
  <si>
    <t>雨宮邦之(中居正広)は『就職氷河期』の真っ只中に3流大学を卒業し、とある企業で働いていたが、この不況の折り、職を失う。家からは今日もとんかつの匂いがただよっている。彼が最も苦手な油と肉が融合した香りだ。このまま仕事がなかったら、とんかつ屋「とんくに」を継ぐしか生きる道はなくなってしまうのか!?それだけは避けたかった。しかしこの未曾有の不況のなか、そう簡単に仕事はみつかりそうになかった。  　一方、邦之の住む町、春見区でも雇用促進と少子化対策に頭を悩ませていた。区長・溝口静子(風吹ジュン)は、とりあえず形だけでもとばかりに若干名の臨時職員採用と、名ばかりの少子化対策チームの発足を決めた。臨時職員募集の話を耳にした邦之はすぐに飛びつく。能力によってはそのまま正規採用の可能性もあるという。意気込んで試験に臨んだ邦之は、面接の時になって、「既婚者」であることという採用条件があることを知り、仕事を獲得したい一心で、結婚の予定がある、と嘘をついてしまうのだった。無事就職は決定するものの、これが全ての始まりだった…。  　採用されてしまえばこっちのもの、と思っていたのだが、いつの間にか邦之結婚!の噂は町に流れ、父親の雨宮邦夫(小日向文世)も大喜び。邦之のおさななじみで妹の様な存在の飛田春乃(上戸彩)も衝撃を隠せない。弟分の深澤茂(佐藤隆太)を中心に地域をあげての大騒ぎとなってしまうのだった。</t>
  </si>
  <si>
    <t>番組名婚カツ!　#02</t>
  </si>
  <si>
    <t>雨宮邦之(中居正広)は、既婚と偽って春見区の臨時職員として採用された。職を失いたくないため、邦之は婚活を始めるのだが、その事実は邦之を採用してくれた溝口静子区長(風吹ジュン)に知られてはまずい。また、邦之結婚の報は町内あげての騒ぎになり、御祝儀までもらってしまったため、父の邦夫(小日向文世)にも内緒。  　邦之は、自分と同じ境遇で採用された区の臨時職員・桜田周五郎(橋爪功)、幼なじみの深澤茂(佐藤隆太)と婚活に出かける。その日は、料理合コン。茂は以前に目をつけていた村瀬優子(釈由美子)に果敢にアタック。秘策があると邦之に語っていた茂は、自分がリカーショップのCEOでスタンディングバーも経営していると見栄を張り、優子とデートの約束を取り付ける。  　実家に帰った邦之は驚く。なんと、高倉真琴(りょう)が来ているではないか。真琴は、邦之たちが参加している婚活合コンのプロデュースをしているのだ。飛田春乃(上戸彩)は、邦之の落ち着かない姿を見て、真琴との間に何かあるのではないかと考える。  　そんな中、邦之の弟、邦康(上田竜也)や、さらには区役所でも邦之と同じ少子化対策課の幼なじみ・二瓶匠(谷原章介)、エリート職員の伊藤勝(北村有起哉)らが邦之を疑い始める。一方、自分を偽って優子とデートを繰り返す茂は…。中居正広　  上戸彩　  佐藤隆太　  釈由美子　  谷原章介　  上田竜也　  北村有起哉  　○　  小日向文世  　○　  りょう　  風吹ジュン　  橋爪功　    ほか【脚本】  龍居由佳里【演出】  鈴木雅之服部隆之</t>
  </si>
  <si>
    <t>雨宮邦之(中居正広)は、既婚と偽って春見区の臨時職員として採用された。職を失いたくないため、邦之は婚活を始めるのだが、その事実は邦之を採用してくれた溝口静子区長(風吹ジュン)に知られてはまずい。また、邦之結婚の報は町内あげての騒ぎになり、御祝儀までもらってしまったため、父の邦夫(小日向文世)にも内緒。  　邦之は、自分と同じ境遇で採用された区の臨時職員・桜田周五郎(橋爪功)、幼なじみの深澤茂(佐藤隆太)と婚活に出かける。その日は、料理合コン。茂は以前に目をつけていた村瀬優子(釈由美子)に果敢にアタック。秘策があると邦之に語っていた茂は、自分がリカーショップのCEOでスタンディングバーも経営していると見栄を張り、優子とデートの約束を取り付ける。  　実家に帰った邦之は驚く。なんと、高倉真琴(りょう)が来ているではないか。真琴は、邦之たちが参加している婚活合コンのプロデュースをしているのだ。飛田春乃(上戸彩)は、邦之の落ち着かない姿を見て、真琴との間に何かあるのではないかと考える。  　そんな中、邦之の弟、邦康(上田竜也)や、さらには区役所でも邦之と同じ少子化対策課の幼なじみ・二瓶匠(谷原章介)、エリート職員の伊藤勝(北村有起哉)らが邦之を疑い始める。一方、自分を偽って優子とデートを繰り返す茂は…。</t>
  </si>
  <si>
    <t>番組名婚カツ!　#03</t>
  </si>
  <si>
    <t>仕事を続けるために婚活を始めた春見区少子化対策課臨時職員の雨宮邦之(中居正広)。自分の婚活もままならぬ中、溝口静子区長(風吹ジュン)への言い訳から、なんと邦之は少子課対策課の婚活事業のリーダーとなってしまう。  　そんな中、邦之はヨガ合コンで知り合った金子杏里(山口紗弥加)という女性とメールのやりとりをする関係に発展。初めてのお食事デートでは、杏里からさりげなく実家に誘われ、機会があったらと返事をする邦之。せっせとメールのやりとりをしてくれる邦之に杏里は…。  　一方、深澤茂(佐藤隆太)は、優子(釈由美子)の暴言からかばってくれた飛田春乃(上戸彩)の気持ちが自分にあると思い込み、告白のタイミングを計る。  　そんな時、邦之は静子に婚活事業の進ちょくを聞かれ、合コンパーティーの開催を宣言してしまう。気を良くした静子は、区のテレビ番組で邦之たちの婚活事業で結ばれたカップルを一週間後の放送で紹介すると公言してしまう。邦之はまたしても公私にピンチを招いてしまって…。中居正広　  上戸彩　  佐藤隆太　  釈由美子　  谷原章介　  上田竜也　  北村有起哉  　○　  小日向文世  　○　  りょう　  風吹ジュン　    橋爪功　    ほか【脚本】  龍居由佳里【演出】  葉山浩樹服部隆之</t>
  </si>
  <si>
    <t>仕事を続けるために婚活を始めた春見区少子化対策課臨時職員の雨宮邦之(中居正広)。自分の婚活もままならぬ中、溝口静子区長(風吹ジュン)への言い訳から、なんと邦之は少子課対策課の婚活事業のリーダーとなってしまう。  　そんな中、邦之はヨガ合コンで知り合った金子杏里(山口紗弥加)という女性とメールのやりとりをする関係に発展。初めてのお食事デートでは、杏里からさりげなく実家に誘われ、機会があったらと返事をする邦之。せっせとメールのやりとりをしてくれる邦之に杏里は…。  　一方、深澤茂(佐藤隆太)は、優子(釈由美子)の暴言からかばってくれた飛田春乃(上戸彩)の気持ちが自分にあると思い込み、告白のタイミングを計る。  　そんな時、邦之は静子に婚活事業の進ちょくを聞かれ、合コンパーティーの開催を宣言してしまう。気を良くした静子は、区のテレビ番組で邦之たちの婚活事業で結ばれたカップルを一週間後の放送で紹介すると公言してしまう。邦之はまたしても公私にピンチを招いてしまって…。</t>
  </si>
  <si>
    <t>番組名婚カツ!　#04</t>
  </si>
  <si>
    <t>雨宮邦之(中居正広)たちの春見区少子化対策課は、ゴルフ合コンを開催。二瓶匠(谷原章介)、桜田周五郎(橋爪功)は主催者としてゴルフ場に赴くが、くじ引きで負けた邦之は役所の窓口を担当することに。  　ゴルフ合コンには、邦之に頼まれた飛田春乃(上戸彩)、深澤茂(佐藤隆太)が参加。厳しく相手を値踏みする村瀬優子(釈由美子)もやって来た。しぶしぶ参加した茂だが、この機会に春乃にプロポーズするつもり。しかし、茂の計画は空回り。一方、優子はラウンド中に偶然出会った伊藤勝(北村有起哉)に惹かれる。  　邦之が誰も来ない婚活相談窓口で暇を持て余していると、溝口静子区長(風吹ジュン)が撮影隊を引き連れてやって来る。静子は、自分が窓口で区民の相談を受ける姿を撮りたいと思いついたのだ。しかし、相談者は一向に現れず、気まずい雰囲気が漂い始める。困った邦之が、弟の邦康(上田竜也)に連絡すると友人を連れてきてくれた。区長も満足。だが、邦康のうっかり発言で、邦之の実家がとんかつ店だと知った静子は、食べに行くと言い出した。邦之は、自分が区長に嘘をついていることを快く思わない邦夫が、区長と直接対面したら大変だと止めようとする。しかし、区長の行動を止めることは出来ない。邦之は合コンを終えた春乃たちに再び助けを求めるのだが、これが思わぬ騒動に!中居正広　  上戸彩　  佐藤隆太　  釈由美子　  谷原章介　  上田竜也　  北村有起哉  　○　  小日向文世  　○　  りょう　  風吹ジュン　  橋爪功　    ほか【脚本】  龍居由佳里　  森ハヤシ【演出】  遠藤光貴服部隆之</t>
  </si>
  <si>
    <t>雨宮邦之(中居正広)たちの春見区少子化対策課は、ゴルフ合コンを開催。二瓶匠(谷原章介)、桜田周五郎(橋爪功)は主催者としてゴルフ場に赴くが、くじ引きで負けた邦之は役所の窓口を担当することに。  　ゴルフ合コンには、邦之に頼まれた飛田春乃(上戸彩)、深澤茂(佐藤隆太)が参加。厳しく相手を値踏みする村瀬優子(釈由美子)もやって来た。しぶしぶ参加した茂だが、この機会に春乃にプロポーズするつもり。しかし、茂の計画は空回り。一方、優子はラウンド中に偶然出会った伊藤勝(北村有起哉)に惹かれる。  　邦之が誰も来ない婚活相談窓口で暇を持て余していると、溝口静子区長(風吹ジュン)が撮影隊を引き連れてやって来る。静子は、自分が窓口で区民の相談を受ける姿を撮りたいと思いついたのだ。しかし、相談者は一向に現れず、気まずい雰囲気が漂い始める。困った邦之が、弟の邦康(上田竜也)に連絡すると友人を連れてきてくれた。区長も満足。だが、邦康のうっかり発言で、邦之の実家がとんかつ店だと知った静子は、食べに行くと言い出した。邦之は、自分が区長に嘘をついていることを快く思わない邦夫が、区長と直接対面したら大変だと止めようとする。しかし、区長の行動を止めることは出来ない。邦之は合コンを終えた春乃たちに再び助けを求めるのだが、これが思わぬ騒動に!</t>
  </si>
  <si>
    <t>番組名婚カツ!　#05</t>
  </si>
  <si>
    <t>雨宮邦之(中居正広)は、少子化対策課で打ち出した婚活事業の視察と自らの婚活を兼ねて、高倉真琴(りょう)が主催する陶芸合コンに参加。しかし、これといった相手に恵まれない邦之の話し相手は、自然と真琴になってしまう。邦之は、区長(風吹ジュン)を騙すことに真琴も協力してくれたことを思い出して何かお礼がしたいと言う。すると、真琴は邦之にあることをお願いする。　一方、飛田春乃(上戸彩)も区長を騙すために邦之の婚約者を装った。しかし、春乃の行動を勘違いした深澤茂(佐藤隆太)があせってプロポーズしたのだった。返事を保留した春乃、茂ともに悩みが続く状態になってしまう。  　そして二瓶匠(谷原章介)は都市開発部の伊藤勝(北村有起哉)が進めようとしている『さくら地蔵商店街再開発事業素案』を懸念。匠は桜田周五郎(橋爪功)を誘って勝の動向を探り始めた。　日曜日、邦之は真琴と、彼女の子供たちを連れて遊園地に出掛ける。この時、初めて真琴がバツイチで2人の子持ちだと知った邦之だが、幸せそうな母子たちに感動を覚えた。  　邦之は真琴家族を連れて『とんくに』へ。ちょうど茂への返事を春乃に促していた邦夫(小日向文世)もビックリ。真琴たちが帰ると、邦之も茂にキチンと答えるよう春乃に告げる。ついに決心した春乃は茂のもとへ…。中居正広　  上戸彩　  佐藤隆太　  釈由美子　  谷原章介　  上田竜也　  北村有起哉  　○　  小日向文世  　○　  りょう　  風吹ジュン　  橋爪功　    ほか【脚本】  龍居由佳里【演出】  鈴木雅之服部隆之</t>
  </si>
  <si>
    <t>雨宮邦之(中居正広)は、少子化対策課で打ち出した婚活事業の視察と自らの婚活を兼ねて、高倉真琴(りょう)が主催する陶芸合コンに参加。しかし、これといった相手に恵まれない邦之の話し相手は、自然と真琴になってしまう。邦之は、区長(風吹ジュン)を騙すことに真琴も協力してくれたことを思い出して何かお礼がしたいと言う。すると、真琴は邦之にあることをお願いする。　一方、飛田春乃(上戸彩)も区長を騙すために邦之の婚約者を装った。しかし、春乃の行動を勘違いした深澤茂(佐藤隆太)があせってプロポーズしたのだった。返事を保留した春乃、茂ともに悩みが続く状態になってしまう。  　そして二瓶匠(谷原章介)は都市開発部の伊藤勝(北村有起哉)が進めようとしている『さくら地蔵商店街再開発事業素案』を懸念。匠は桜田周五郎(橋爪功)を誘って勝の動向を探り始めた。　日曜日、邦之は真琴と、彼女の子供たちを連れて遊園地に出掛ける。この時、初めて真琴がバツイチで2人の子持ちだと知った邦之だが、幸せそうな母子たちに感動を覚えた。  　邦之は真琴家族を連れて『とんくに』へ。ちょうど茂への返事を春乃に促していた邦夫(小日向文世)もビックリ。真琴たちが帰ると、邦之も茂にキチンと答えるよう春乃に告げる。ついに決心した春乃は茂のもとへ…。</t>
  </si>
  <si>
    <t>番組名婚カツ!　#06</t>
  </si>
  <si>
    <t>少子化対策課の雨宮邦之(中居正広)は、深澤茂(佐藤隆太)の店を婚活バーにすることで、さくら地蔵商店街の発展につなげようとする。その裏には、伊藤勝(北村有起哉)率いる都市開発課のさくら地蔵商店街再開発事業の本格化があった。さらに、溝口静子区長(風吹ジュン)の命令で、二瓶匠(谷原章介)も都市開発課の手伝いに借り出されてしまった。地元出身ということで白羽の矢を立てられた匠は区長には逆らえず、邦之たちとの間に溝が出来る。  　一方、プロポーズの件でギクシャクしていた飛田春乃(上戸彩)と茂は、邦夫(小日向文世)の計らいで元の関係に戻る。茂は春乃に好きな人がいるからとプロポーズを断られたのだが、その相手が誰なのかは謎のまま。邦之の話に感化され婚活を始める気持ちになった友人・茂木秀郎(風間俊介)を連れてきた邦康(上田竜也)にも春乃の好きな相手は分からない。　そんな中、茂の店で桜田周五郎(橋爪功)の提案した、猫好き合コンが開催されることになる。一方、勝を中心とする都市開発課は、さくら地蔵商店街の人々を集め、再開発計画の説明会を始めた。邦之たちと匠の間に広がろうとする溝は埋まるのか?そして、春乃の想いをよせる人とは?中居正広　  上戸彩　  佐藤隆太　  釈由美子　  谷原章介　  上田竜也　  北村有起哉  　○　  小日向文世  　○　  りょう　  風吹ジュン　  橋爪功　    ほか【脚本】  森ハヤシ【演出】  葉山浩樹服部隆之</t>
  </si>
  <si>
    <t>少子化対策課の雨宮邦之(中居正広)は、深澤茂(佐藤隆太)の店を婚活バーにすることで、さくら地蔵商店街の発展につなげようとする。その裏には、伊藤勝(北村有起哉)率いる都市開発課のさくら地蔵商店街再開発事業の本格化があった。さらに、溝口静子区長(風吹ジュン)の命令で、二瓶匠(谷原章介)も都市開発課の手伝いに借り出されてしまった。地元出身ということで白羽の矢を立てられた匠は区長には逆らえず、邦之たちとの間に溝が出来る。  　一方、プロポーズの件でギクシャクしていた飛田春乃(上戸彩)と茂は、邦夫(小日向文世)の計らいで元の関係に戻る。茂は春乃に好きな人がいるからとプロポーズを断られたのだが、その相手が誰なのかは謎のまま。邦之の話に感化され婚活を始める気持ちになった友人・茂木秀郎(風間俊介)を連れてきた邦康(上田竜也)にも春乃の好きな相手は分からない。　そんな中、茂の店で桜田周五郎(橋爪功)の提案した、猫好き合コンが開催されることになる。一方、勝を中心とする都市開発課は、さくら地蔵商店街の人々を集め、再開発計画の説明会を始めた。邦之たちと匠の間に広がろうとする溝は埋まるのか?そして、春乃の想いをよせる人とは?</t>
  </si>
  <si>
    <t>番組名婚カツ!　#07</t>
  </si>
  <si>
    <t>雨宮邦之(中居正広)が、飛田春乃(上戸彩)の想い人…。春乃から「好きな人がいる」とプロポーズを断られた深澤茂(佐藤隆太)は、そんなことに思い当たる。茂は邦之と春乃の行動を注視し始める。  　そんな時、伊藤勝(北村有起哉)はさくら地蔵商店街の商店主たちに立退き料を支払うことで、再開発を一気に進めようとし始めた。邦之は、二瓶匠(谷原章介)たちと対抗策を練り始める。　一方、桜田周五郎(橋爪功)はスイーツ合コンに参加。その会場で周五郎は、及川知子(鷲尾真知子)という女性に気に入られるが押しの強い知子にへきえき。村瀬優子(釈由美子)に助けてもらったことで、知子の恨みを買ってしまう。  　知子の仕業なのか、区役所のファックスは溝口静子区長(風吹ジュン)に宛てた区役所への不正就職者を告発する怪文書を吐き出した。　『とんくに』や深澤酒店には、高倉真琴(りょう)がちょくちょく顔を出すようになっていた。真琴が婚活事業のアドバイスをしているからでもあるのだが、邦之との関係も急接近の雲行き。2人を見ている春乃の表情は微妙だ。  　急接近の邦之と真琴に春乃は?区役所にファックスされた怪文書は区長の目に触れてしまうのか!?中居正広　  上戸彩　  佐藤隆太　  釈由美子　  谷原章介　  上田竜也　  北村有起哉  　○　  小日向文世  　○　  りょう　  風吹ジュン　  橋爪功　    ほか【脚本】  龍居由佳里【プロデュース】  保原賢一郎　  菊地裕幸    【演出】  遠藤光貴服部隆之    【主題歌】  『ウェディング・ベル』PUFFY(Ki/oon　Records)</t>
  </si>
  <si>
    <t>雨宮邦之(中居正広)が、飛田春乃(上戸彩)の想い人…。春乃から「好きな人がいる」とプロポーズを断られた深澤茂(佐藤隆太)は、そんなことに思い当たる。茂は邦之と春乃の行動を注視し始める。  　そんな時、伊藤勝(北村有起哉)はさくら地蔵商店街の商店主たちに立退き料を支払うことで、再開発を一気に進めようとし始めた。邦之は、二瓶匠(谷原章介)たちと対抗策を練り始める。　一方、桜田周五郎(橋爪功)はスイーツ合コンに参加。その会場で周五郎は、及川知子(鷲尾真知子)という女性に気に入られるが押しの強い知子にへきえき。村瀬優子(釈由美子)に助けてもらったことで、知子の恨みを買ってしまう。  　知子の仕業なのか、区役所のファックスは溝口静子区長(風吹ジュン)に宛てた区役所への不正就職者を告発する怪文書を吐き出した。　『とんくに』や深澤酒店には、高倉真琴(りょう)がちょくちょく顔を出すようになっていた。真琴が婚活事業のアドバイスをしているからでもあるのだが、邦之との関係も急接近の雲行き。2人を見ている春乃の表情は微妙だ。  　急接近の邦之と真琴に春乃は?区役所にファックスされた怪文書は区長の目に触れてしまうのか!?</t>
  </si>
  <si>
    <t>番組名婚カツ!　#08</t>
  </si>
  <si>
    <t>雨宮邦之(中居正広)は、桜田周五郎(橋爪功)をかばったことで結婚の予定などないことが溝口静子区長(風吹ジュン)にバレ、区役所を辞めた。さらに邦之は邦夫(小日向文世)から『とんくに』で仕事をさせるつもりはないと言われてしまう。  　飛田春乃(上戸彩)の邦之への想いを知った深澤茂(佐藤隆太)は、その想いを成就させたいと3人で遊びに行こうと持ちかける。茂は約束の日に自分は行かず、邦之と春乃を2人きりにさせるつもり。そんな計画を茂は春乃に打ち明ける。  　茂の計画当日。そんな計画を知らない邦之は、二瓶匠(谷原章介)、桜田周五郎(橋爪功)と伊藤勝(北村有起哉)に対抗するためのさくら地蔵商店街活性化案を住人に説明。その後、茂たちとの待ち合わせ場所に行こうと考えていた。だが、商店街を縁結びで活性化させようという邦之たちの案に住人たちの反応は冷たい。挙句、とんかつも作れないとんかつ店の息子のくせにとまで言われた邦之は、作って見せると宣言して住人たちを招いた『とんくに』で、とんかつ作りを始める。だが、もとより邦之に料理の技術などなく苦戦。あきれ、見かねた邦夫の厳しい判定のもと、邦之は茂たちとの約束も忘れ、何度も作り直す羽目に…。  　一方、茂に応援され、邦之を待つ春乃。しかし、約束の時間はとっくに過ぎてしまって…。中居正広　  上戸彩　  佐藤隆太　  釈由美子　  谷原章介　  上田竜也　  北村有起哉  　○　  小日向文世  　○　  りょう　  風吹ジュン　  橋爪功　    ほか【脚本】  森ハヤシ【プロデュース】  保原賢一郎　  菊地裕幸　    【演出】  鈴木雅之服部隆之　    【主題歌】  『ウェディング・ベル』PUFFY(Ki/oon　Records)</t>
  </si>
  <si>
    <t>雨宮邦之(中居正広)は、桜田周五郎(橋爪功)をかばったことで結婚の予定などないことが溝口静子区長(風吹ジュン)にバレ、区役所を辞めた。さらに邦之は邦夫(小日向文世)から『とんくに』で仕事をさせるつもりはないと言われてしまう。  　飛田春乃(上戸彩)の邦之への想いを知った深澤茂(佐藤隆太)は、その想いを成就させたいと3人で遊びに行こうと持ちかける。茂は約束の日に自分は行かず、邦之と春乃を2人きりにさせるつもり。そんな計画を茂は春乃に打ち明ける。  　茂の計画当日。そんな計画を知らない邦之は、二瓶匠(谷原章介)、桜田周五郎(橋爪功)と伊藤勝(北村有起哉)に対抗するためのさくら地蔵商店街活性化案を住人に説明。その後、茂たちとの待ち合わせ場所に行こうと考えていた。だが、商店街を縁結びで活性化させようという邦之たちの案に住人たちの反応は冷たい。挙句、とんかつも作れないとんかつ店の息子のくせにとまで言われた邦之は、作って見せると宣言して住人たちを招いた『とんくに』で、とんかつ作りを始める。だが、もとより邦之に料理の技術などなく苦戦。あきれ、見かねた邦夫の厳しい判定のもと、邦之は茂たちとの約束も忘れ、何度も作り直す羽目に…。  　一方、茂に応援され、邦之を待つ春乃。しかし、約束の時間はとっくに過ぎてしまって…。</t>
  </si>
  <si>
    <t>番組名婚カツ!　#09</t>
  </si>
  <si>
    <t>飛田春乃(上戸彩)が好きなのは、雨宮邦之(中居正広)だ。深澤茂(佐藤隆太)に告げられた邦之は、春乃が待つ待ち合わせの場所に急ぐ。無事に会えた2人なのだが、恋の進展は全くナシ。だが、翌日から商店街の人々の関心は2人に寄せられる。茂が、邦之と春乃のデートをみんなに漏らしたのだ。こうなると、逆に意識してしまい邦之と春乃の関係はギクシャクしっぱなし。　区役所のさくら地蔵商店街再開発計画は、伊藤勝(北村有起哉)の指示で立ち退き同意書の取り付け段階に入る。二瓶匠(谷原章介)が溝口静子区長(風吹ジュン)に渡した婚活タウンの企画書は、勝の手でもみ消されようとしていた。  　そんな事とは知らない邦之たち。邦康(上田竜也)が須見和彦(沼田爆)と青空美容室を行ったことをきっかけに、邦之は商店街で縁日を開くことを思いつく。縁結びのさくら地蔵を中心としたものだ。  　果たして、この企画が商店街を活性化に向かわせるのか?ギクシャクしたままの邦之と春乃の恋の行方は!?中居正広　  上戸彩　  佐藤隆太　  釈由美子　  谷原章介　  上田竜也　  北村有起哉  　○　  小日向文世  　○　  りょう　  風吹ジュン　  橋爪功　    ほか【脚本】  龍居由佳里【プロデュース】  保原賢一郎　  菊地裕幸　    【演出】  遠藤光貴服部隆之　    【主題歌】  『ウェディング・ベル』PUFFY(Ki/oon　Records)</t>
  </si>
  <si>
    <t>飛田春乃(上戸彩)が好きなのは、雨宮邦之(中居正広)だ。深澤茂(佐藤隆太)に告げられた邦之は、春乃が待つ待ち合わせの場所に急ぐ。無事に会えた2人なのだが、恋の進展は全くナシ。だが、翌日から商店街の人々の関心は2人に寄せられる。茂が、邦之と春乃のデートをみんなに漏らしたのだ。こうなると、逆に意識してしまい邦之と春乃の関係はギクシャクしっぱなし。　区役所のさくら地蔵商店街再開発計画は、伊藤勝(北村有起哉)の指示で立ち退き同意書の取り付け段階に入る。二瓶匠(谷原章介)が溝口静子区長(風吹ジュン)に渡した婚活タウンの企画書は、勝の手でもみ消されようとしていた。  　そんな事とは知らない邦之たち。邦康(上田竜也)が須見和彦(沼田爆)と青空美容室を行ったことをきっかけに、邦之は商店街で縁日を開くことを思いつく。縁結びのさくら地蔵を中心としたものだ。  　果たして、この企画が商店街を活性化に向かわせるのか?ギクシャクしたままの邦之と春乃の恋の行方は!?</t>
  </si>
  <si>
    <t>番組名婚カツ!　#10</t>
  </si>
  <si>
    <t>雨宮邦之(中居正広)は、飛田春乃(上戸彩)の自分への想いに悩み続けていた。春乃自身は妹的存在でいることにしようと決めるのだが、それを邦之に打ち明けてから、商店街に寄り付かなくなってしまう。  　そして春乃が商店街や深澤酒店に顔を見せなくなって3日が経過。茂(佐藤隆太)は縁日の夜に邦之と春乃に何かがあったことを察する。問いただす茂に、邦之は春乃との出来事を打ち明ける。茂は、邦之の今の春乃への気持ちを聞くが答えは得られない。まだ、邦之は春乃の恋に戸惑っていたのだ。  　一方、縁日の効果もあってか、商店主たちは縁結び商店街としての再開発に乗り気になってくる。だが、伊藤勝(北村有起哉)の再開発計画がなくなり、区役所からも追い出されたことにより、逆に暗雲が広がる。川ちゃん酒場の社長・川端(田窪一世)が、商店街の土地所有者を抱きこみ、独自の再開発に着手することにしたのだ。　そんなある夜、邦康(上田竜也)が婚約者(佐藤江梨子)を連れて『とんくに』に来た。お相手は、邦康より年上の女性。意外な相手と思う邦之と邦夫(小日向文世)に、邦康はプロポーズに至った経緯を話す。そんな邦康の真剣さに、邦之は春乃を思い起こす。  　次の日、意を決した邦之は、春乃が働くセレクトショップを訪ねるのだが…。中居正広　  上戸彩　  佐藤隆太　  釈由美子　  谷原章介　  上田竜也　  北村有起哉  　○　  小日向文世  　○　  りょう　  風吹ジュン　  橋爪功　    ほか【脚本】  龍居由佳里【プロデュース】  保原賢一郎　  菊地裕幸　    【演出】  遠藤光貴服部隆之　    【主題歌】  『ウェディング・ベル』PUFFY(Ki/oon　Records)</t>
  </si>
  <si>
    <t>雨宮邦之(中居正広)は、飛田春乃(上戸彩)の自分への想いに悩み続けていた。春乃自身は妹的存在でいることにしようと決めるのだが、それを邦之に打ち明けてから、商店街に寄り付かなくなってしまう。  　そして春乃が商店街や深澤酒店に顔を見せなくなって3日が経過。茂(佐藤隆太)は縁日の夜に邦之と春乃に何かがあったことを察する。問いただす茂に、邦之は春乃との出来事を打ち明ける。茂は、邦之の今の春乃への気持ちを聞くが答えは得られない。まだ、邦之は春乃の恋に戸惑っていたのだ。  　一方、縁日の効果もあってか、商店主たちは縁結び商店街としての再開発に乗り気になってくる。だが、伊藤勝(北村有起哉)の再開発計画がなくなり、区役所からも追い出されたことにより、逆に暗雲が広がる。川ちゃん酒場の社長・川端(田窪一世)が、商店街の土地所有者を抱きこみ、独自の再開発に着手することにしたのだ。　そんなある夜、邦康(上田竜也)が婚約者(佐藤江梨子)を連れて『とんくに』に来た。お相手は、邦康より年上の女性。意外な相手と思う邦之と邦夫(小日向文世)に、邦康はプロポーズに至った経緯を話す。そんな邦康の真剣さに、邦之は春乃を思い起こす。  　次の日、意を決した邦之は、春乃が働くセレクトショップを訪ねるのだが…。</t>
  </si>
  <si>
    <t>番組名婚カツ!　#11</t>
  </si>
  <si>
    <t>雨宮邦之(中居正広)は、ついに飛田春乃(上戸彩)に思いを告げた。そして、邦之は春乃を抱きしめる。そんな2人を小松成道(山田親太朗)が目撃したことで、周囲は本人たちよりも盛り上がっていく。まだ、邦之は春乃にプロポーズもしていないのに…。いずれにしても邦之は、これからは春乃を泣かせないと決めていた。また邦之の性格上、春乃もプロポーズは期待していない様子。　一方、商店街は地主の神宮寺(小林稔侍)から借地料未払いを理由に立ち退きを迫られようとしていた。邦之は伊藤勝(北村有起哉)と神宮寺のもとに行くのだが、聞く耳さえ持ってもらえない。  　一方、二瓶匠(谷原章介)と桜田周五郎(橋爪功)は、商店街を救って欲しいと溝口静子区長(風吹ジュン)に頼む。しかし、すでに区の行政ではどうにもできないと言われてしまった。  　周五郎は村瀬優子(釈由美子)と会う。優子は周五郎に「周五郎のことが大好きな女性は見つかったのか」と問う。周五郎は、また優子にからかわれていると思うのだが…。  　商店街の立ち退き問題は解決の糸口さえみえない…。そんな中、邦之たちは『縁結びの町さくら商店街』のスタート日を決定し、まい進していく。その陰で、邦之に抱きしめられて以来、デートもままならずにいる春乃は…。中居正広　  上戸彩　  佐藤隆太　  釈由美子　  谷原章介　  上田竜也　  北村有起哉  　○　  小日向文世  　○　  りょう　  風吹ジュン　  橋爪功　    ほか【脚本】  龍居由佳里【プロデュース】  保原賢一郎　  菊地裕幸　    【演出】  鈴木雅之服部隆之　    【主題歌】  『ウェディング・ベル』PUFFY(Ki/oon　Records)</t>
  </si>
  <si>
    <t>雨宮邦之(中居正広)は、ついに飛田春乃(上戸彩)に思いを告げた。そして、邦之は春乃を抱きしめる。そんな2人を小松成道(山田親太朗)が目撃したことで、周囲は本人たちよりも盛り上がっていく。まだ、邦之は春乃にプロポーズもしていないのに…。いずれにしても邦之は、これからは春乃を泣かせないと決めていた。また邦之の性格上、春乃もプロポーズは期待していない様子。　一方、商店街は地主の神宮寺(小林稔侍)から借地料未払いを理由に立ち退きを迫られようとしていた。邦之は伊藤勝(北村有起哉)と神宮寺のもとに行くのだが、聞く耳さえ持ってもらえない。  　一方、二瓶匠(谷原章介)と桜田周五郎(橋爪功)は、商店街を救って欲しいと溝口静子区長(風吹ジュン)に頼む。しかし、すでに区の行政ではどうにもできないと言われてしまった。  　周五郎は村瀬優子(釈由美子)と会う。優子は周五郎に「周五郎のことが大好きな女性は見つかったのか」と問う。周五郎は、また優子にからかわれていると思うのだが…。  　商店街の立ち退き問題は解決の糸口さえみえない…。そんな中、邦之たちは『縁結びの町さくら商店街』のスタート日を決定し、まい進していく。その陰で、邦之に抱きしめられて以来、デートもままならずにいる春乃は…。</t>
  </si>
  <si>
    <t>0904_CX_火21</t>
  </si>
  <si>
    <t>アタシんちの男子</t>
  </si>
  <si>
    <t>番組名アタシんちの男子　#01</t>
  </si>
  <si>
    <t>峯田千里(堀北真希)は、失踪中の父・徹(鶴見辰吾)が作った借金1億円の連帯保証人にされてしまい、借金取りから逃れるために、公園のダンボールハウスやネットカフェを転々としていた。事情を知るネットカフェの店員・国土豊(つるの剛士)は、そんな千里の数少ない味方だ。ある日、千里は、とうとう借金取りに追い詰められる。その危機を救ってくれたのが日本を代表する玩具メーカー『ミラクル』の社長・大蔵新造(草刈正雄)だった。新造は、借金取りに1億円の小切手を手渡すと、代わりに妻になってほしい、と千里に切り出す。自分は余命1カ月だから最後に側にいてくれる妻がほしい、というのだ。金を返すあてもない千里は、新造の申し出を承諾するしかなかった。それから1カ月後、新造が他界する。千里は、新造の秘書・時田修司(山本耕史)に連れられて、新造の別宅『トリックハート城』を訪れた。ほどなく、『ミラクル』の顧問弁護士・小金井響子(高島礼子)も現れ、1億円を返済したこととみなす条件として、3カ月間、新造の息子6人の母親としてこの城で一緒に生活する、という契約を突きつける。新造は、後継者候補として、風(要潤)、猛(岡田義徳)、翔(向井理)、優(山本裕典)、智(瀬戸康史)、明(岡山智樹)の6人を養子に迎え入れていた。千里は、トリックハート城で暮らしていない長男の風を除く5人と顔を合わせるが…。堀北真希　    向井理　  山本裕典　  瀬戸康史　    つるの剛士　  岡田義徳　  永山絢斗　  岡山智樹　  　・　  要潤　  　・　  山本耕史　  草刈正雄(特別出演)　  　・　  高島礼子　    ほか【脚本】  武藤将吾【演出】  松田秀知井筒昭雄　    【主題歌】  「Infinity」GIRL　NEXT　DOOR</t>
  </si>
  <si>
    <t>峯田千里(堀北真希)は、失踪中の父・徹(鶴見辰吾)が作った借金1億円の連帯保証人にされてしまい、借金取りから逃れるために、公園のダンボールハウスやネットカフェを転々としていた。事情を知るネットカフェの店員・国土豊(つるの剛士)は、そんな千里の数少ない味方だ。ある日、千里は、とうとう借金取りに追い詰められる。その危機を救ってくれたのが日本を代表する玩具メーカー『ミラクル』の社長・大蔵新造(草刈正雄)だった。新造は、借金取りに1億円の小切手を手渡すと、代わりに妻になってほしい、と千里に切り出す。自分は余命1カ月だから最後に側にいてくれる妻がほしい、というのだ。金を返すあてもない千里は、新造の申し出を承諾するしかなかった。それから1カ月後、新造が他界する。千里は、新造の秘書・時田修司(山本耕史)に連れられて、新造の別宅『トリックハート城』を訪れた。ほどなく、『ミラクル』の顧問弁護士・小金井響子(高島礼子)も現れ、1億円を返済したこととみなす条件として、3カ月間、新造の息子6人の母親としてこの城で一緒に生活する、という契約を突きつける。新造は、後継者候補として、風(要潤)、猛(岡田義徳)、翔(向井理)、優(山本裕典)、智(瀬戸康史)、明(岡山智樹)の6人を養子に迎え入れていた。千里は、トリックハート城で暮らしていない長男の風を除く5人と顔を合わせるが…。</t>
  </si>
  <si>
    <t>番組名アタシんちの男子　#02</t>
  </si>
  <si>
    <t>千里(堀北真希)は、玩具メーカー『ミラクル』の社長代理を命じられる。それも、千里が新造(草刈正雄)から借りた1億円を返済したものとみなす条件のひとつだった。そんな千里に協力を申し出たのは、家を出て生活しているはずの3男・翔(向井理)だった。千里が手にするはずの遺産を狙う翔は、もうひとつの条件『3カ月間、トリックハート城で息子たちの母親として生活すること』を片付けようと提案した。翔は、放浪中の長男・風(要潤)に電話して一緒に食事をしようと誘うと、千里とともに、次男の猛(岡田義徳)、4男の優(山本裕典)、5男・智(瀬戸康史)、6男の明(岡山智樹)を、新造が発明したハイパー接着剤を使って椅子に貼り付け、無理矢理食卓につかせた。が、そこで猛は、何故家に戻ってきたのか、と翔に噛み付き、翔と大ゲンカを始めてしまう。『ミラクル』の顧問弁護士・響子(高島礼子)によれば、猛と翔は、昔は仲が良かったらしい。しかし、6年前に翔が何も言わずに家を出てしまったことが原因で、ふたりの関係は悪くなったのだという。猛は、翔が後継者の座を譲るために出て行ったと思い込んでいるのではないか、というのが響子の意見だった。そんな折、翔が働いているホストクラブに猛がやってくる。ホストの面接を受けた猛は、翔より自分の方が上であることを証明する、と宣言するが…。堀北真希　    向井理　  山本裕典　  瀬戸康史　    つるの剛士　  岡田義徳　  永山絢斗　  岡山智樹　  　・　  要潤　  　・　  山本耕史　  草刈正雄(特別出演)　  　・　  高島礼子　    ほか【脚本】  武藤将吾【演出】  松田秀知井筒昭雄    【主題歌】  「Infinity」GIRL　NEXT　DOOR</t>
  </si>
  <si>
    <t>千里(堀北真希)は、玩具メーカー『ミラクル』の社長代理を命じられる。それも、千里が新造(草刈正雄)から借りた1億円を返済したものとみなす条件のひとつだった。そんな千里に協力を申し出たのは、家を出て生活しているはずの3男・翔(向井理)だった。千里が手にするはずの遺産を狙う翔は、もうひとつの条件『3カ月間、トリックハート城で息子たちの母親として生活すること』を片付けようと提案した。翔は、放浪中の長男・風(要潤)に電話して一緒に食事をしようと誘うと、千里とともに、次男の猛(岡田義徳)、4男の優(山本裕典)、5男・智(瀬戸康史)、6男の明(岡山智樹)を、新造が発明したハイパー接着剤を使って椅子に貼り付け、無理矢理食卓につかせた。が、そこで猛は、何故家に戻ってきたのか、と翔に噛み付き、翔と大ゲンカを始めてしまう。『ミラクル』の顧問弁護士・響子(高島礼子)によれば、猛と翔は、昔は仲が良かったらしい。しかし、6年前に翔が何も言わずに家を出てしまったことが原因で、ふたりの関係は悪くなったのだという。猛は、翔が後継者の座を譲るために出て行ったと思い込んでいるのではないか、というのが響子の意見だった。そんな折、翔が働いているホストクラブに猛がやってくる。ホストの面接を受けた猛は、翔より自分の方が上であることを証明する、と宣言するが…。</t>
  </si>
  <si>
    <t>番組名アタシんちの男子　#03</t>
  </si>
  <si>
    <t>千里(堀北真希)のもとに、四男の優(山本裕典)が窃盗の容疑で逮捕されたという知らせが入る。千里は、次男の猛(岡田義徳)に命じられて、渋々警察へと向かった。警察署に着いた千里は、優が誤認逮捕されたことを知る。近くで現金盗難事件があり、職務質問を受けた優がたまたま50万円を持っていたからだった。実は優は、極度の女性恐怖症を克服するためにカウンセリングを受けようとしていた。50万円はその入会金らしい。優の所持品の中からそのパンフレットを見つけた千里は、猛や三男の翔(向井理)、五男の智(瀬戸康史)に報告した。すると猛は、優に向かっていきなり「お前の女性恐怖症を治してやる!」と言い放つ。そんな折、トリックハート城に智の担任・吉田真央(小野真弓)がやってきた。登校拒否を続けている智を心配して訪ねてきたのだ。その顔を見た優は、驚きを隠せなかった。真央は、優を女性恐怖症にさせた張本人だった。一方、アパートに戻った長男の風(要潤)は、郵便の中に、新造(草刈正雄)からの手紙が混じっていることに気づく。同じころ、翔は、『ミラクル』の顧問弁護士・響子(高島礼子)から、トリックハート城の96番の部屋に宝が隠されている、と教えられる。そんな中、国土(つるの剛士)が働くネットカフェを訪れた千里は、親衛隊の西郷(なすび)たちから、智が巻き込まれたある事件に関する情報を入手する。堀北真希　    向井理　  山本裕典　  瀬戸康史　    つるの剛士　  岡田義徳　  永山絢斗　  岡山智樹　  　・　  要潤　  　・　  山本耕史　  草刈正雄(特別出演)　  　・　  高島礼子　    ほか【脚本】  武藤将吾【演出】  佐藤源太井筒昭雄    【主題歌】  「Infinity」GIRL　NEXT　DOOR</t>
  </si>
  <si>
    <t>千里(堀北真希)のもとに、四男の優(山本裕典)が窃盗の容疑で逮捕されたという知らせが入る。千里は、次男の猛(岡田義徳)に命じられて、渋々警察へと向かった。警察署に着いた千里は、優が誤認逮捕されたことを知る。近くで現金盗難事件があり、職務質問を受けた優がたまたま50万円を持っていたからだった。実は優は、極度の女性恐怖症を克服するためにカウンセリングを受けようとしていた。50万円はその入会金らしい。優の所持品の中からそのパンフレットを見つけた千里は、猛や三男の翔(向井理)、五男の智(瀬戸康史)に報告した。すると猛は、優に向かっていきなり「お前の女性恐怖症を治してやる!」と言い放つ。そんな折、トリックハート城に智の担任・吉田真央(小野真弓)がやってきた。登校拒否を続けている智を心配して訪ねてきたのだ。その顔を見た優は、驚きを隠せなかった。真央は、優を女性恐怖症にさせた張本人だった。一方、アパートに戻った長男の風(要潤)は、郵便の中に、新造(草刈正雄)からの手紙が混じっていることに気づく。同じころ、翔は、『ミラクル』の顧問弁護士・響子(高島礼子)から、トリックハート城の96番の部屋に宝が隠されている、と教えられる。そんな中、国土(つるの剛士)が働くネットカフェを訪れた千里は、親衛隊の西郷(なすび)たちから、智が巻き込まれたある事件に関する情報を入手する。</t>
  </si>
  <si>
    <t>番組名アタシんちの男子　#04</t>
  </si>
  <si>
    <t>千里(堀北真希)は、『ミラクル』の社長秘書・時田(山本耕史)から、借金1億円の返済を迫られる。時田によれば、ミラクル社が進めていた大規模アトラクション事業が、スポンサーの撤退により中止に追い込まれそうなのだという。顧問弁護士の響子(高島礼子)が所持している千里との契約書には、『ミラクルが倒産した場合、1億円はただちに返金すること』『社長代理としてミラクルに尽力すること』と記されていた。時田は、その契約をたてに、プロジェクトの存亡をかけて翌日行われる最終プレゼンでスピーチをしてもらう、と千里に告げる。そんな折、翔(向井理)の息子・力(丸山歩夢)が行方不明になるという騒動が起きる。ほどなく、何者かから力を誘拐した、という電話が入った。しかも誘拐犯は、新造(草刈正雄)が開発した『ハイパワーボイス』を使い、新造の声で電話をしてきていた。犯人は、身代金を要求せず、離婚した力の両親・翔と咲(浅見れいな)に、ある広場に行くよう命じた。千里は、優(山本裕典)が返しにきたハイパワーボイスを明(岡山智樹)が手にとっていたことを思い出す。そのことを問い詰められた明は、千里を、力が隠れている場所に案内した。実は今回の誘拐事件は、翔と咲によりを戻してもらうために、力が明に協力を求めて実行した偽装誘拐だった。千里から事情を聞いた国土(つるの剛士)たちは、千里も力に協力すべきではないか、と提案する。堀北真希　    向井理　  山本裕典　  瀬戸康史　    つるの剛士　  岡田義徳　  永山絢斗　  岡山智樹　  　・　  要潤　  　・　  山本耕史　  草刈正雄(特別出演)　  　・　  高島礼子　    ほか【脚本】  武藤将吾【演出】  佐藤源太井筒昭雄    【主題歌】  「Infinity」GIRL　NEXT　DOOR</t>
  </si>
  <si>
    <t>千里(堀北真希)は、『ミラクル』の社長秘書・時田(山本耕史)から、借金1億円の返済を迫られる。時田によれば、ミラクル社が進めていた大規模アトラクション事業が、スポンサーの撤退により中止に追い込まれそうなのだという。顧問弁護士の響子(高島礼子)が所持している千里との契約書には、『ミラクルが倒産した場合、1億円はただちに返金すること』『社長代理としてミラクルに尽力すること』と記されていた。時田は、その契約をたてに、プロジェクトの存亡をかけて翌日行われる最終プレゼンでスピーチをしてもらう、と千里に告げる。そんな折、翔(向井理)の息子・力(丸山歩夢)が行方不明になるという騒動が起きる。ほどなく、何者かから力を誘拐した、という電話が入った。しかも誘拐犯は、新造(草刈正雄)が開発した『ハイパワーボイス』を使い、新造の声で電話をしてきていた。犯人は、身代金を要求せず、離婚した力の両親・翔と咲(浅見れいな)に、ある広場に行くよう命じた。千里は、優(山本裕典)が返しにきたハイパワーボイスを明(岡山智樹)が手にとっていたことを思い出す。そのことを問い詰められた明は、千里を、力が隠れている場所に案内した。実は今回の誘拐事件は、翔と咲によりを戻してもらうために、力が明に協力を求めて実行した偽装誘拐だった。千里から事情を聞いた国土(つるの剛士)たちは、千里も力に協力すべきではないか、と提案する。</t>
  </si>
  <si>
    <t>番組名アタシんちの男子　#05</t>
  </si>
  <si>
    <t>トリックハート城を追い出された千里(堀北真希)は、ホームレス生活に戻る。大蔵家の長男・風(要潤)が、これまでの千里の行動はすべてお金のためだ、と次男の猛(岡田義徳)や四男の優(山本裕典)たちにばらしてしまったからだった。千里は、国土(つるの剛士)らとともに、1億円の借金を返す方法を模索し始める。そこにやってきた『ミラクル』の社長秘書・時田(山本耕史)は、千里に1週間の返済猶予を与えた。そんな中、国土と同じネットカフェで働く平次(永山絢斗)が、インターネットである情報を入手する。それは、温泉を掘り当てて金を稼ぐ、というものだった。その話を聞いていた千里のホームレス仲間たちは、協力を申し出る。同じころ、猛は、かつて働いていたバイク便会社から声をかけられ、職場復帰する。猛は、社長(芝崎昇)からアタッシュケースを手渡され、指定された日時にある場所まで届けるよう命じられた。猛は、届ける日まで中身を見ないで保管していろ、と念を押されていたにもかかわらず、ふとそれを開けてしまう。すると、アタッシュケースに入っていたのはダイナマイトだった。別の日、千里たちはホームレス仲間たちと温泉を掘り始める。すると、千里の携帯電話が鳴った。千里が世話になっていた義男(田山涼成)からだった。千里が義男の家を訪れると、そこにいたのは千里の父・徹(鶴見辰吾)だった。堀北真希　    向井理　  山本裕典　  瀬戸康史　    つるの剛士　  岡田義徳　  永山絢斗　  岡山智樹  　・　  要潤  　・　  山本耕史　  草刈正雄(特別出演)  　・　  高島礼子　    ほか【脚本】  武藤将吾【演出】  佐藤源太井筒昭雄    【主題歌】  「Infinity」GIRL　NEXT　DOOR</t>
  </si>
  <si>
    <t>トリックハート城を追い出された千里(堀北真希)は、ホームレス生活に戻る。大蔵家の長男・風(要潤)が、これまでの千里の行動はすべてお金のためだ、と次男の猛(岡田義徳)や四男の優(山本裕典)たちにばらしてしまったからだった。千里は、国土(つるの剛士)らとともに、1億円の借金を返す方法を模索し始める。そこにやってきた『ミラクル』の社長秘書・時田(山本耕史)は、千里に1週間の返済猶予を与えた。そんな中、国土と同じネットカフェで働く平次(永山絢斗)が、インターネットである情報を入手する。それは、温泉を掘り当てて金を稼ぐ、というものだった。その話を聞いていた千里のホームレス仲間たちは、協力を申し出る。同じころ、猛は、かつて働いていたバイク便会社から声をかけられ、職場復帰する。猛は、社長(芝崎昇)からアタッシュケースを手渡され、指定された日時にある場所まで届けるよう命じられた。猛は、届ける日まで中身を見ないで保管していろ、と念を押されていたにもかかわらず、ふとそれを開けてしまう。すると、アタッシュケースに入っていたのはダイナマイトだった。別の日、千里たちはホームレス仲間たちと温泉を掘り始める。すると、千里の携帯電話が鳴った。千里が世話になっていた義男(田山涼成)からだった。千里が義男の家を訪れると、そこにいたのは千里の父・徹(鶴見辰吾)だった。</t>
  </si>
  <si>
    <t>番組名アタシんちの男子　#06</t>
  </si>
  <si>
    <t>千里(堀北真希)は、大蔵家長男の風(要潤)から、半ば強制的に恋人役を務めるよう頼まれる。女性関係でトラブルを起こしていた風は、千里に恋人役を演じさせることでピンチを切り抜けようとしていた。母親十カ条をクリアしなければならない千里は、恋人役を務めればトリックハート城に戻ってくるという風の言葉を信じて、それを承諾した。ところが、風にはなんと27人もガールフレンドがいるのだという。千里は、急きょ設置された謝罪会見場で、やってくる風のガールフレンドたちに頭を下げ続ける。そのころ風は、千里の部屋を物色していた。三男の翔(向井理)は、そんな風の本当の目的を言い当てる。風の狙いは、千里の部屋に隠された新造(草刈正雄)の遺産だった。一方、次男の猛(岡田義徳)は、バイク便の社長から頼まれたアタッシュケースを指示された場所に届ける。どうやらそこは、大物政治家の家らしい。猛は、応対したSPに、アタッシュケースの中に入っていたダイナマイトを使ってしまったと告げる。だが、SPは、ダイナマイトなど頼んでいない、という。実は、中身をすり替えたのは響子(高島礼子)だった。そんな中、風と翔は、千里の部屋にある恐怖時計の中から鍵を発見する。風のガールフレンドたちの真剣な思いを知った千里は、同席もせずにいい加減な態度をとる風に怒りをぶつける。すると風は、新造の本当の顔も知らないくせに母親づらするな、と千里に言い放つ。堀北真希　    向井理　  山本裕典　  瀬戸康史　    つるの剛士　  岡田義徳　  永山絢斗　  岡山智樹  　・　  要潤  　・　  山本耕史　  草刈正雄(特別出演)  　・　  高島礼子　    ほか【脚本】  武藤将吾【演出】  佐藤源太井筒昭雄    【主題歌】  「Infinity」GIRL　NEXT　DOOR</t>
  </si>
  <si>
    <t>千里(堀北真希)は、大蔵家長男の風(要潤)から、半ば強制的に恋人役を務めるよう頼まれる。女性関係でトラブルを起こしていた風は、千里に恋人役を演じさせることでピンチを切り抜けようとしていた。母親十カ条をクリアしなければならない千里は、恋人役を務めればトリックハート城に戻ってくるという風の言葉を信じて、それを承諾した。ところが、風にはなんと27人もガールフレンドがいるのだという。千里は、急きょ設置された謝罪会見場で、やってくる風のガールフレンドたちに頭を下げ続ける。そのころ風は、千里の部屋を物色していた。三男の翔(向井理)は、そんな風の本当の目的を言い当てる。風の狙いは、千里の部屋に隠された新造(草刈正雄)の遺産だった。一方、次男の猛(岡田義徳)は、バイク便の社長から頼まれたアタッシュケースを指示された場所に届ける。どうやらそこは、大物政治家の家らしい。猛は、応対したSPに、アタッシュケースの中に入っていたダイナマイトを使ってしまったと告げる。だが、SPは、ダイナマイトなど頼んでいない、という。実は、中身をすり替えたのは響子(高島礼子)だった。そんな中、風と翔は、千里の部屋にある恐怖時計の中から鍵を発見する。風のガールフレンドたちの真剣な思いを知った千里は、同席もせずにいい加減な態度をとる風に怒りをぶつける。すると風は、新造の本当の顔も知らないくせに母親づらするな、と千里に言い放つ。</t>
  </si>
  <si>
    <t>番組名アタシんちの男子　#07</t>
  </si>
  <si>
    <t>千里(堀北真希)は、大蔵家の長男・風(要潤)が養子ではなく、新造(草刈正雄)の実の息子だったことを知る。新造は、6兄弟に、それぞれの秘密が記された巻物を残していた。風の巻物には、彼が新造の実の息子であると書かれていた。それは、次男の猛(岡田義徳)や三男の翔(向井理)ですら知らないことだった。翔は、風が養子だと嘘をついていたのは、新造に認めてもらえなかったからではないかと推測する。同じころ、四男の優(山本裕典)は、妹に会うために生まれ故郷へと向かっていた。新造が優に残した巻物には、火災で亡くなった彼の両親のことが書かれていた。当時7歳だった優には断片的な記憶しかなかった。が、優の妹はその時のことをすべて覚えているというのだ。そんな中、五男の智(瀬戸康史)と六男の明(岡山智樹)もトリックハート城に戻ってくる。その際、明は、メイドの井上(江口のりこ)がいなくなっていることに気づく。井上は、腕相撲で千里に負けてしまったことにショックを受け、修行に出ていた。その井上が、自分の代役として呼び寄せたのは国土(つるの剛士)だった。千里に思いを寄せる国土は、千里は渡さない、と言ってさっそく翔につっかかっていった。その騒ぎの中、猛は、明が封筒を持っていることに気づく。その中に入っていたのは、多くの芸能人を輩出しているコンテストの応募用紙だった。堀北真希　    向井理　  山本裕典　  瀬戸康史　    つるの剛士　  岡田義徳　  永山絢斗　  岡山智樹  　・　  要潤  　・　  山本耕史　  草刈正雄(特別出演)  　・　  高島礼子　      ほか【脚本】  武藤将吾【演出】  佐藤源太井筒昭雄    【主題歌】  「Infinity」GIRL　NEXT　DOOR</t>
  </si>
  <si>
    <t>千里(堀北真希)は、大蔵家の長男・風(要潤)が養子ではなく、新造(草刈正雄)の実の息子だったことを知る。新造は、6兄弟に、それぞれの秘密が記された巻物を残していた。風の巻物には、彼が新造の実の息子であると書かれていた。それは、次男の猛(岡田義徳)や三男の翔(向井理)ですら知らないことだった。翔は、風が養子だと嘘をついていたのは、新造に認めてもらえなかったからではないかと推測する。同じころ、四男の優(山本裕典)は、妹に会うために生まれ故郷へと向かっていた。新造が優に残した巻物には、火災で亡くなった彼の両親のことが書かれていた。当時7歳だった優には断片的な記憶しかなかった。が、優の妹はその時のことをすべて覚えているというのだ。そんな中、五男の智(瀬戸康史)と六男の明(岡山智樹)もトリックハート城に戻ってくる。その際、明は、メイドの井上(江口のりこ)がいなくなっていることに気づく。井上は、腕相撲で千里に負けてしまったことにショックを受け、修行に出ていた。その井上が、自分の代役として呼び寄せたのは国土(つるの剛士)だった。千里に思いを寄せる国土は、千里は渡さない、と言ってさっそく翔につっかかっていった。その騒ぎの中、猛は、明が封筒を持っていることに気づく。その中に入っていたのは、多くの芸能人を輩出しているコンテストの応募用紙だった。</t>
  </si>
  <si>
    <t>番組名アタシんちの男子　#08</t>
  </si>
  <si>
    <t>千里(堀北真希)は、大蔵家の6兄弟と食事をともにし、母親十カ条の第一条『食事は家族そろってリビングで』をようやくクリアする。同じころ、国土(つるの剛士)は、ネットカフェに戻り、三男・翔(向井理)のことを調べ始める。翔の電話を盗み聞きしてしまった国土は、その内容に不審を抱いた。翔は、電話の相手に、「できる限りの金は集める」と話していたのだ。翔がゆかりの園という施設出身だと知った国土は、さっそくその施設を訪ねる。ちょうどそこにやってきた翔は、ゆかりの園経営者の志村(飯田基祐)に金を手渡して帰っていく。一方、長男・風(要潤)の手形を手に入れ、十カ条の第二条もクリアした千里は、響子(高島礼子)から第三条の内容を教えられる。それは『家長を決めよ』というものだった。猛(岡田義徳)は、千里がやればいいと発言した。だが千里は、一家の大黒柱は男が務めるべきだと返す。そこに、優(山本裕典)や智(瀬戸康史)、明(岡山智樹)も加わり、話は一向にまとまらない。その様子を見守っていた響子は、家長には一千万円を渡す、と皆に告げる。それは、トリックハート城の維持費だった。すると翔が、その金を貸してほしい、と言い出す。気に入った女性をモノにするために必要なのだという。だが、兄弟5人は、即座に翔の頼みを却下した。そのとき、トリックハート城のすべての出入り口がロックされてしまうという騒動が起き…。堀北真希　    向井理　  山本裕典　  瀬戸康史　    つるの剛士　  岡田義徳　　  永山絢斗　  岡山智樹  　・　  要潤  　・　  山本耕史　  草刈正雄(特別出演)  　・　  高島礼子　    ほか【脚本】  武藤将吾【演出】  松田秀知井筒昭雄    【主題歌】  「Infinity」GIRL　NEXT　DOOR</t>
  </si>
  <si>
    <t>千里(堀北真希)は、大蔵家の6兄弟と食事をともにし、母親十カ条の第一条『食事は家族そろってリビングで』をようやくクリアする。同じころ、国土(つるの剛士)は、ネットカフェに戻り、三男・翔(向井理)のことを調べ始める。翔の電話を盗み聞きしてしまった国土は、その内容に不審を抱いた。翔は、電話の相手に、「できる限りの金は集める」と話していたのだ。翔がゆかりの園という施設出身だと知った国土は、さっそくその施設を訪ねる。ちょうどそこにやってきた翔は、ゆかりの園経営者の志村(飯田基祐)に金を手渡して帰っていく。一方、長男・風(要潤)の手形を手に入れ、十カ条の第二条もクリアした千里は、響子(高島礼子)から第三条の内容を教えられる。それは『家長を決めよ』というものだった。猛(岡田義徳)は、千里がやればいいと発言した。だが千里は、一家の大黒柱は男が務めるべきだと返す。そこに、優(山本裕典)や智(瀬戸康史)、明(岡山智樹)も加わり、話は一向にまとまらない。その様子を見守っていた響子は、家長には一千万円を渡す、と皆に告げる。それは、トリックハート城の維持費だった。すると翔が、その金を貸してほしい、と言い出す。気に入った女性をモノにするために必要なのだという。だが、兄弟5人は、即座に翔の頼みを却下した。そのとき、トリックハート城のすべての出入り口がロックされてしまうという騒動が起き…。</t>
  </si>
  <si>
    <t>番組名アタシんちの男子　#09</t>
  </si>
  <si>
    <t>千里(堀北真希)は、翔(向井理)に抱き寄せられ、いきなりキスをされる。その場面を偶然目撃してしまった猛(岡田義徳)は、何故か動揺していた。同じころ、千里が社長代理を務めていた『ミラクル』では、社長秘書だった時田(山本耕史)が新社長に就任する。時田は、事情を確かめにやってきた千里に、社長就任は前社長の新造(草刈正雄)と約束したことだと主張する。続けて時田は、千里が新造と交わした契約は今後もそのまま継続されるから安心してほしい、と千里に告げた。千里からその報告を受けた優(山本裕典)や智(瀬戸康史)は、自分たちはミラクルとは関係がなかったのだからこれでよかったのではないか、と理解を示す。だが、長男の風(要潤)は、時田が玩具関連のセクションを廃止し、ゲーム開発だけに絞るはずだ、と言い出す。そこで風が取り出したのは、新造が風に宛てた手紙だった。その手紙には、時田がミラクルを狙っていることが記されていた。それ以上に風が注目していたのは、遺産を見つけることができれば大切なものを守ることができるかもしれない、と書かれていたことだった。だが、その話を聞いていた猛は、新造に騙されていることに何故気づかないのか、と言い放つ。ミラクルを乗っ取られることに気づいていたのなら、最初から遺産を渡せばいいだけだ、というのだ。そのとき、トリックハート城に猛の実の父親・一輝(ベンガル)が現れ…。堀北真希　    向井理　  山本裕典　  瀬戸康史　    つるの剛士　  岡田義徳　  永山絢斗　  岡山智樹  　・　  要潤  　・　  山本耕史　  草刈正雄(特別出演)  　・　  高島礼子　    ほか【脚本】  武藤将吾【演出】  松田秀知井筒昭雄    【主題歌】  「Infinity」GIRL　NEXT　DOOR</t>
  </si>
  <si>
    <t>千里(堀北真希)は、翔(向井理)に抱き寄せられ、いきなりキスをされる。その場面を偶然目撃してしまった猛(岡田義徳)は、何故か動揺していた。同じころ、千里が社長代理を務めていた『ミラクル』では、社長秘書だった時田(山本耕史)が新社長に就任する。時田は、事情を確かめにやってきた千里に、社長就任は前社長の新造(草刈正雄)と約束したことだと主張する。続けて時田は、千里が新造と交わした契約は今後もそのまま継続されるから安心してほしい、と千里に告げた。千里からその報告を受けた優(山本裕典)や智(瀬戸康史)は、自分たちはミラクルとは関係がなかったのだからこれでよかったのではないか、と理解を示す。だが、長男の風(要潤)は、時田が玩具関連のセクションを廃止し、ゲーム開発だけに絞るはずだ、と言い出す。そこで風が取り出したのは、新造が風に宛てた手紙だった。その手紙には、時田がミラクルを狙っていることが記されていた。それ以上に風が注目していたのは、遺産を見つけることができれば大切なものを守ることができるかもしれない、と書かれていたことだった。だが、その話を聞いていた猛は、新造に騙されていることに何故気づかないのか、と言い放つ。ミラクルを乗っ取られることに気づいていたのなら、最初から遺産を渡せばいいだけだ、というのだ。そのとき、トリックハート城に猛の実の父親・一輝(ベンガル)が現れ…。</t>
  </si>
  <si>
    <t>番組名アタシんちの男子　#10</t>
  </si>
  <si>
    <t>千里(堀北真希)たちは、ミラクルの新社長に就任した時田(山本耕史)から3日以内にトリックハート城を明け渡すよう命じられる。翔(向井理)や優(山本裕典)、智(瀬戸康史)らは時田に反発する。それに対して時田は、逆らった場合は力ずくでも出て行ってもらう、と言い放つ。その夜、千里たちはどうするべきか話し合う。そこで風(要潤)は、新造(草刈正雄)にとっても特別な場所だったトリックハート城は誰にも渡さない、と宣言する。翔たちも同じ気持ちだった。風は、新造からの手紙にあった「遺産を見つけることができれば大切なものを守れるかもしれない」という言葉の“大切なもの"とはトリックハート城のことではないかと言い出す。新造の遺産を見つけるためのヒントを得るには、千里に課された母親十カ条をクリアしなければならなかった。そこに現れた響子(高島礼子)は、母親十カ条の第七条が「力を合わせて発明品を作れ」だと千里たちに告げる。大蔵家の兄弟たちは、響子から手渡された設計図をもとにさっそく発明品の製作にとりかかる。が、思わぬ事態が起きる。千里の部屋が突然爆発したのだ。同じころ、時田に呼び出された千里は、ミラクル本社の社長室にいた。そこで時田は、立退き料などの具体的な条件を提示し、兄弟たちを説得してほしい、と千里に持ちかける。子どもの将来を考えるのも母親の大事な役割ではないか、という時田の言葉に千里は悩むが…。堀北真希　    向井理　  山本裕典　  瀬戸康史　    つるの剛士　  岡田義徳　　  永山絢斗　  岡山智樹  　・　  要潤  　・　  山本耕史　  草刈正雄(特別出演)  　・　  高島礼子　    ほか【脚本】  武藤将吾【演出】  松田秀知井筒昭雄    【主題歌】  「Infinity」GIRL　NEXT　DOOR</t>
  </si>
  <si>
    <t>千里(堀北真希)たちは、ミラクルの新社長に就任した時田(山本耕史)から3日以内にトリックハート城を明け渡すよう命じられる。翔(向井理)や優(山本裕典)、智(瀬戸康史)らは時田に反発する。それに対して時田は、逆らった場合は力ずくでも出て行ってもらう、と言い放つ。その夜、千里たちはどうするべきか話し合う。そこで風(要潤)は、新造(草刈正雄)にとっても特別な場所だったトリックハート城は誰にも渡さない、と宣言する。翔たちも同じ気持ちだった。風は、新造からの手紙にあった「遺産を見つけることができれば大切なものを守れるかもしれない」という言葉の“大切なもの"とはトリックハート城のことではないかと言い出す。新造の遺産を見つけるためのヒントを得るには、千里に課された母親十カ条をクリアしなければならなかった。そこに現れた響子(高島礼子)は、母親十カ条の第七条が「力を合わせて発明品を作れ」だと千里たちに告げる。大蔵家の兄弟たちは、響子から手渡された設計図をもとにさっそく発明品の製作にとりかかる。が、思わぬ事態が起きる。千里の部屋が突然爆発したのだ。同じころ、時田に呼び出された千里は、ミラクル本社の社長室にいた。そこで時田は、立退き料などの具体的な条件を提示し、兄弟たちを説得してほしい、と千里に持ちかける。子どもの将来を考えるのも母親の大事な役割ではないか、という時田の言葉に千里は悩むが…。</t>
  </si>
  <si>
    <t>番組名アタシんちの男子　#11</t>
  </si>
  <si>
    <t>千里(堀北真希)は、国土(つるの剛士)の協力を得て、トリックハート城に戻った。トリックハート城では、城に立てこもった風(要潤)、猛(岡田義徳)、翔(向井理)、優(山本裕典)、智(瀬戸康史)、明(岡山智樹)の大蔵家六兄弟と、彼らを強制的に立ち退かせようとする時田(山本耕史)たちの間でにらみ合いが続いていた。時田は、平次(永山絢斗)や千里親衛隊のメンバーを『ミラクル』に入社させると、千里の借金を帳消しにするからと言って、強制立ち退きに協力させていた。千里を城の中に入れるために自ら犠牲になって捕まった国土は、時田は嘘をついている、と平次たちに訴えた。するとそのとき、城から夜空に向かって光が放たれ、巨大な新造(草刈正雄)の映像が浮かび上がった。新造は、このときを予測していたかのように、城を破壊したら望むものは永遠に手に入らなくなる、と時田に警告する。時田がその目的を果たすためには、7人の勇者が必要だというのだ。続けて新造は、千里と兄弟たちの名前を呼び、信じてきたことをやり遂げればやがて1冊の本に出会う、と告げる。その本は、大切なものを守る方法が記されているが、千里の契約満了日と同時に消滅してしまうらしい。千里の契約満了日は2日後だった。だが、新造の映像は、最後に何かを言い残したまま、途中で切れてしまう。時田は、新造の言葉を無視して、城に突入しようとするが…。堀北真希　    向井理　  山本裕典　  瀬戸康史　    つるの剛士　  岡田義徳　  永山絢斗　  岡山智樹  　・　  要潤  　・　  山本耕史　  草刈正雄(特別出演)  　・　  高島礼子　    ほか【脚本】  武藤将吾【演出】  松田秀知井筒昭雄    【主題歌】  「Infinity」GIRL　NEXT　DOOR</t>
  </si>
  <si>
    <t>千里(堀北真希)は、国土(つるの剛士)の協力を得て、トリックハート城に戻った。トリックハート城では、城に立てこもった風(要潤)、猛(岡田義徳)、翔(向井理)、優(山本裕典)、智(瀬戸康史)、明(岡山智樹)の大蔵家六兄弟と、彼らを強制的に立ち退かせようとする時田(山本耕史)たちの間でにらみ合いが続いていた。時田は、平次(永山絢斗)や千里親衛隊のメンバーを『ミラクル』に入社させると、千里の借金を帳消しにするからと言って、強制立ち退きに協力させていた。千里を城の中に入れるために自ら犠牲になって捕まった国土は、時田は嘘をついている、と平次たちに訴えた。するとそのとき、城から夜空に向かって光が放たれ、巨大な新造(草刈正雄)の映像が浮かび上がった。新造は、このときを予測していたかのように、城を破壊したら望むものは永遠に手に入らなくなる、と時田に警告する。時田がその目的を果たすためには、7人の勇者が必要だというのだ。続けて新造は、千里と兄弟たちの名前を呼び、信じてきたことをやり遂げればやがて1冊の本に出会う、と告げる。その本は、大切なものを守る方法が記されているが、千里の契約満了日と同時に消滅してしまうらしい。千里の契約満了日は2日後だった。だが、新造の映像は、最後に何かを言い残したまま、途中で切れてしまう。時田は、新造の言葉を無視して、城に突入しようとするが…。</t>
  </si>
  <si>
    <t>0904_CX_火22</t>
  </si>
  <si>
    <t>白い春</t>
  </si>
  <si>
    <t>番組名白い春　#01</t>
  </si>
  <si>
    <t>元ヤクザの男が、自分の娘とは知らずにある少女と出会う。それを通して男はどう変わっていくのか?  「究極の親子愛」を描いた  「阿部寛×大橋のぞみ」でおくる感動のヒューマンストーリー。      刑務所の廊下。整列して歩く受刑者たちの中でひとり、右足を引きずるようにして歩く佐倉春男(阿部寛)の姿があった・・・。同じ頃、パン屋を営む村上康史(遠藤憲一)の家では、娘の村上さち(大橋のぞみ)と高村佳奈子(白石美帆)が食事の用意をしていた。その光景はまるで本物の親子のようだ。  出所した春男は刑務所に入る前に付き合っていた真理子(紺野まひる)との幸せだった日々を思い出していた。翌日春男は、服役中に真理子が別の男と一緒に暮らしていたことや、その後病気が治らず亡くなったことを聞く。9年前真理子の治療費のために800万円の報酬で殺しを引き受けて捕まった春男はショックと怒りがこみ上げ真理子の相手の男の名前を聞き出し、その男がパン屋をしていることをつきとめる。  パン屋に入ってきた春男はパンに異物が混入していたと店主である康史に難癖を付け謝罪金として800万円を要求する。その帰り道、公園のベンチで休んでいた春男にさちが声をかけてきた。描いている絵に入ってるから動かないで欲しいというのだ。阿部寛　  大橋のぞみ　  吉高由里子　  遠藤雄弥　  紺野まひる　  デビット伊東　  白石美帆　  遠藤憲一</t>
  </si>
  <si>
    <t>元ヤクザの男が、自分の娘とは知らずにある少女と出会う。それを通して男はどう変わっていくのか?  「究極の親子愛」を描いた  「阿部寛×大橋のぞみ」でおくる感動のヒューマンストーリー。      刑務所の廊下。整列して歩く受刑者たちの中でひとり、右足を引きずるようにして歩く佐倉春男(阿部寛)の姿があった・・・。同じ頃、パン屋を営む村上康史(遠藤憲一)の家では、娘の村上さち(大橋のぞみ)と高村佳奈子(白石美帆)が食事の用意をしていた。その光景はまるで本物の親子のようだ。  出所した春男は刑務所に入る前に付き合っていた真理子(紺野まひる)との幸せだった日々を思い出していた。翌日春男は、服役中に真理子が別の男と一緒に暮らしていたことや、その後病気が治らず亡くなったことを聞く。9年前真理子の治療費のために800万円の報酬で殺しを引き受けて捕まった春男はショックと怒りがこみ上げ真理子の相手の男の名前を聞き出し、その男がパン屋をしていることをつきとめる。  パン屋に入ってきた春男はパンに異物が混入していたと店主である康史に難癖を付け謝罪金として800万円を要求する。その帰り道、公園のベンチで休んでいた春男にさちが声をかけてきた。描いている絵に入ってるから動かないで欲しいというのだ。</t>
  </si>
  <si>
    <t>番組名白い春　#02</t>
  </si>
  <si>
    <t>【あらすじ】  警察から釈放された春男(阿部寛)だが、800万円は知らないと言い張る康史(遠藤憲一)に嫌がらせを始める。そんな中、さち(大橋のぞみ)は春男になつき、食事に困っていた春男にパンを差し出す。翌日も持ってくると約束をする2人。一方、ネット販売の商売を始めた栞(吉高由里子)はふと会った春男を思い出していた。翌日さちは春男に渡すため、パンを取ろうとするが見つかり怒られてしまう。春男にしつこくつきまとわれていた康史は何かを思い出し、春男に会いに行く。    【内容】  警察に連行された春男は、釈放されると康史のパン屋に向かう。店内を見ただけで帰った春男を康史は手切れ金50万円が入った封筒を手に追いかけた。再び真理子(紺野まひる)に渡っていたはずの800万円の行方を問うも知らないの一点張りの康史に、春男は封筒を受け取らず去っていく。公園で1人遊んでいたさちは通りかかった春男に付いて回る。春男のお腹が鳴るのを聞いて、かわいそうに思ったさちは持っていたパンを差し出し、翌日も持ってくると約束をかわす。  一方、ネット販売の商売を始めるもパッとしない栞と勇樹(遠藤雄弥)。栞はふと会った春男を思い出していた。さちは春男との約束を守ろうと、店のパンをポケットにしまおうとするが見つかり、怒られてしまう。そして春男につきまとわれていた康史は何かを思い出し、春男に会いに行く。阿部寛　  大橋のぞみ　  吉高由里子　  遠藤雄弥　  紺野まひる　  デビット伊東　  白石美帆　  遠藤憲一</t>
  </si>
  <si>
    <t>【あらすじ】  警察から釈放された春男(阿部寛)だが、800万円は知らないと言い張る康史(遠藤憲一)に嫌がらせを始める。そんな中、さち(大橋のぞみ)は春男になつき、食事に困っていた春男にパンを差し出す。翌日も持ってくると約束をする2人。一方、ネット販売の商売を始めた栞(吉高由里子)はふと会った春男を思い出していた。翌日さちは春男に渡すため、パンを取ろうとするが見つかり怒られてしまう。春男にしつこくつきまとわれていた康史は何かを思い出し、春男に会いに行く。    【内容】  警察に連行された春男は、釈放されると康史のパン屋に向かう。店内を見ただけで帰った春男を康史は手切れ金50万円が入った封筒を手に追いかけた。再び真理子(紺野まひる)に渡っていたはずの800万円の行方を問うも知らないの一点張りの康史に、春男は封筒を受け取らず去っていく。公園で1人遊んでいたさちは通りかかった春男に付いて回る。春男のお腹が鳴るのを聞いて、かわいそうに思ったさちは持っていたパンを差し出し、翌日も持ってくると約束をかわす。  一方、ネット販売の商売を始めるもパッとしない栞と勇樹(遠藤雄弥)。栞はふと会った春男を思い出していた。さちは春男との約束を守ろうと、店のパンをポケットにしまおうとするが見つかり、怒られてしまう。そして春男につきまとわれていた康史は何かを思い出し、春男に会いに行く。</t>
  </si>
  <si>
    <t>番組名白い春　#03</t>
  </si>
  <si>
    <t>【あらすじ】  ビルの清掃会社で働き始めた春男(阿部寛)は、さち(大橋のぞみ)が持っていた写真から、さちが真理子(紺野まひる)と康史(遠藤憲一)の娘であることを知る。そんな中、栞(吉高由里子)から声をかけられプレハブ小屋で暮らすことになった春男だが、さちがクラスメートの男の子たちから意地悪をされているのを偶然目撃し・・・。【内容】  ビルの清掃会社で働き始めた佐倉春男は、泣きながら帰る村上さちと遭遇する。クラスメートに意地悪され、亡き母親の写真が木にひっかかったと聞く。写真を取ってあげた春男は、写っていたのが真理子である事に驚愕し、さちが真理子と康史の娘で、高村佳奈子(白石美帆)は真理子の妹であることを知る。康史は、さちが春男と会っていないと思っていたのに、さちのスケッチブックに春男らしき人物が描かれているのを見つけ、強い口調でさちを責める。思わず家を飛び出したさちは・・・。阿部寛　  大橋のぞみ　  吉高由里子　  遠藤雄弥　  紺野まひる　  デビット伊東　  白石美帆　  遠藤憲一</t>
  </si>
  <si>
    <t>【あらすじ】  ビルの清掃会社で働き始めた春男(阿部寛)は、さち(大橋のぞみ)が持っていた写真から、さちが真理子(紺野まひる)と康史(遠藤憲一)の娘であることを知る。そんな中、栞(吉高由里子)から声をかけられプレハブ小屋で暮らすことになった春男だが、さちがクラスメートの男の子たちから意地悪をされているのを偶然目撃し・・・。【内容】  ビルの清掃会社で働き始めた佐倉春男は、泣きながら帰る村上さちと遭遇する。クラスメートに意地悪され、亡き母親の写真が木にひっかかったと聞く。写真を取ってあげた春男は、写っていたのが真理子である事に驚愕し、さちが真理子と康史の娘で、高村佳奈子(白石美帆)は真理子の妹であることを知る。康史は、さちが春男と会っていないと思っていたのに、さちのスケッチブックに春男らしき人物が描かれているのを見つけ、強い口調でさちを責める。思わず家を飛び出したさちは・・・。</t>
  </si>
  <si>
    <t>番組名白い春　#04</t>
  </si>
  <si>
    <t>http://ktv.jp/haru/index.html【あらすじ】  春男(阿部寛)は、真理子(紺野まひる)の墓参りに行き、さち(大橋のぞみ)と佳奈子(白石美帆)に出会う。そして、墓石の名前を見て、真理子が康史(遠藤憲一)と籍を入れていなかったことを知る。  その夜、墓地に来た春男を見て動揺した康史を不審に思った佳奈子が問いただすと、康史の口から驚きの事実が・・・。【内容】  ある日、西田栞(吉高由里子)は、さちから母親・真理子の墓参りに行くことを聞き、佐倉春男に告げる。春男は、真理子の墓参りに出かけるが、道に迷っているうちに、さちと佳奈子に見つかってしまう。そこで墓石の名前を見た春男は、真理子が康史の籍に入っていなかったことを知る。佳奈子は春男が姉・真理子の墓参りに現れたことや涙ぐみながら墓石をこする姿を見て不審に思い、村上康史に連絡する。康史は墓地へと急ぐが、バスが故障。動揺した康史は、佳奈子に電話をかけ、さちを春男に近づけるなと指示するが、さちは康史の心配をよそに春男に寄って行ってしまう。墓地に着いた康史は「家族につきまとうな」と釘をさすが、春男は「籍を入れていなかったのに家族か」と言い残し、帰って行く。その夜、康史を不審に思った佳奈子が問いただすと、康史の口から驚きの事実が・・・。阿部寛　  大橋のぞみ　  吉高由里子　  遠藤雄弥　  紺野まひる　  デビット伊東　  白石美帆　  遠藤憲一</t>
  </si>
  <si>
    <t>【あらすじ】  春男(阿部寛)は、真理子(紺野まひる)の墓参りに行き、さち(大橋のぞみ)と佳奈子(白石美帆)に出会う。そして、墓石の名前を見て、真理子が康史(遠藤憲一)と籍を入れていなかったことを知る。  その夜、墓地に来た春男を見て動揺した康史を不審に思った佳奈子が問いただすと、康史の口から驚きの事実が・・・。【内容】  ある日、西田栞(吉高由里子)は、さちから母親・真理子の墓参りに行くことを聞き、佐倉春男に告げる。春男は、真理子の墓参りに出かけるが、道に迷っているうちに、さちと佳奈子に見つかってしまう。そこで墓石の名前を見た春男は、真理子が康史の籍に入っていなかったことを知る。佳奈子は春男が姉・真理子の墓参りに現れたことや涙ぐみながら墓石をこする姿を見て不審に思い、村上康史に連絡する。康史は墓地へと急ぐが、バスが故障。動揺した康史は、佳奈子に電話をかけ、さちを春男に近づけるなと指示するが、さちは康史の心配をよそに春男に寄って行ってしまう。墓地に着いた康史は「家族につきまとうな」と釘をさすが、春男は「籍を入れていなかったのに家族か」と言い残し、帰って行く。その夜、康史を不審に思った佳奈子が問いただすと、康史の口から驚きの事実が・・・。</t>
  </si>
  <si>
    <t>番組名白い春　#05</t>
  </si>
  <si>
    <t>http://ktv.jp/haru/index.html【あらすじ】  　春男(阿部寛)は、ついにさち(大橋のぞみ)が自分と真理子(紺野まひる)の子供であることを知ってしまう。そのことを黙っていた康史(遠藤憲一)に怒りが込み上げ、殴りかかろうとするが、「人殺しの手でさちを触るな」と言われ、何も言い返せなくなる。康史はさちに春男を忘れるよう話すが・・・。【内容】  　春男は、さちが封筒に入れたと話す真理子の写真を探すが見つからない。その写真を見て、春男とさちが親子であることに気付いた栞(吉高由里子)は、写真を隠そうとするが、すぐにバレてしまう。一方、さちは春男を乱暴に追い返した康史に腹を立て、そっけない態度をとるようになる。  ある日、春男は写真に写ったさちの誕生日と自分が捕まった日を照らし合わせ、さちが自分の娘であることを確信する。春男はそのことを黙っていた康史を責めるが、康史は真理子がどんな思いでさちを産み、自分がどんな思いで育てたかを訴える。さらに「人を殺した手でさちに触るな」と責め立て、その言葉を聞いた春男は何も言い返せなくなる。その後、家に帰った康史はさちに春男を忘れるよう話すが・・・。  そして、春男の行動にある変化が!阿部寛　  大橋のぞみ　  吉高由里子　  遠藤雄弥　  紺野まひる　  デビット伊東　  白石美帆　  遠藤憲一</t>
  </si>
  <si>
    <t>【あらすじ】  　春男(阿部寛)は、ついにさち(大橋のぞみ)が自分と真理子(紺野まひる)の子供であることを知ってしまう。そのことを黙っていた康史(遠藤憲一)に怒りが込み上げ、殴りかかろうとするが、「人殺しの手でさちを触るな」と言われ、何も言い返せなくなる。康史はさちに春男を忘れるよう話すが・・・。【内容】  　春男は、さちが封筒に入れたと話す真理子の写真を探すが見つからない。その写真を見て、春男とさちが親子であることに気付いた栞(吉高由里子)は、写真を隠そうとするが、すぐにバレてしまう。一方、さちは春男を乱暴に追い返した康史に腹を立て、そっけない態度をとるようになる。  ある日、春男は写真に写ったさちの誕生日と自分が捕まった日を照らし合わせ、さちが自分の娘であることを確信する。春男はそのことを黙っていた康史を責めるが、康史は真理子がどんな思いでさちを産み、自分がどんな思いで育てたかを訴える。さらに「人を殺した手でさちに触るな」と責め立て、その言葉を聞いた春男は何も言い返せなくなる。その後、家に帰った康史はさちに春男を忘れるよう話すが・・・。  そして、春男の行動にある変化が!</t>
  </si>
  <si>
    <t>番組名白い春　#06</t>
  </si>
  <si>
    <t>http://ktv.jp/haru/index.html　さち(大橋のぞみ)が自分と真理子(紺野まひる)の子供ということがわかり、春男(阿部寛)の中で何かが変化し始めた。そして春男はためらいながらもハローワークに通い、職を探すが難航する。  　一方、もう会わないと春男と約束したさちは、明るさを取り戻していたが、春男のことを気にかけていた。康史(遠藤憲一)はパン屋が忙しく、授業参観にも行けそうになく、さちに謝ることしかできない。　そんな矢先、求人募集を見て面接を受けにきた人物と喫茶店で会うことになった。だがそこに居たのは春男だった。帰ろうとする康史に、春男はさちの父親としてちゃんとしているのかと問う。一瞬返事に詰まるものの、ちゃんとしていると言い切った康史。その言葉を聞いて帰ろうとした春男を、今度は康史が引きとめ、面接を受けろと・・・。阿部寛　  大橋のぞみ　  吉高由里子　  遠藤雄弥　  紺野まひる　  デビット伊東　  白石美帆　  遠藤憲一</t>
  </si>
  <si>
    <t>さち(大橋のぞみ)が自分と真理子(紺野まひる)の子供ということがわかり、春男(阿部寛)の中で何かが変化し始めた。そして春男はためらいながらもハローワークに通い、職を探すが難航する。  　一方、もう会わないと春男と約束したさちは、明るさを取り戻していたが、春男のことを気にかけていた。康史(遠藤憲一)はパン屋が忙しく、授業参観にも行けそうになく、さちに謝ることしかできない。　そんな矢先、求人募集を見て面接を受けにきた人物と喫茶店で会うことになった。だがそこに居たのは春男だった。帰ろうとする康史に、春男はさちの父親としてちゃんとしているのかと問う。一瞬返事に詰まるものの、ちゃんとしていると言い切った康史。その言葉を聞いて帰ろうとした春男を、今度は康史が引きとめ、面接を受けろと・・・。</t>
  </si>
  <si>
    <t>番組名白い春　#07</t>
  </si>
  <si>
    <t>http://ktv.jp/haru/index.html　「むらかみベーカリー」で仕事をする春男(阿部寛)。栞(吉高由里子)は、仕事で疲れて帰ってきてもどこか幸せそうな春男を微笑ましく見つめていた。そんなある日、パンの配達中の山中(村上剛基)が事故にあったと連絡が入り、村上康史(遠藤憲一)と佳奈子(白石美帆)は病院に向かうが、その直後にさち(大橋のぞみ)が熱を出して学校を早退してきた。心配でいてもたってもいられない春男は、自宅である2階に上がってはいけないことを知りつつも駆け上がる。部屋を散らかしながら薬を探して飲ませ、キッチンを散らかしながらお粥を作る春男。さちが嫌いという卵も入ったお粥を完成させると、慣れない手つきで食べさせる。そこに康史と佳奈子が帰ってきた。さちと春男が一緒にいるのを見て動揺した康史は、強い口調で春男を追い出す。春男がさちに父親であることを告げていないか確認すると、逆に春男はさちが康史に遠慮して言えないでいた、友達とのパーティーを家でやってやれと言い出した。自分の知らないことを知っている春男に腹を立て作業所を出て行く康史。直後、春男は店にいた栞と小島勇樹(遠藤雄弥)を発見。追い返そうとするが佳奈子が声をかけてきて・・・。阿部寛　  大橋のぞみ　  吉高由里子　  遠藤雄弥　  紺野まひる　  デビット伊東　  白石美帆　  遠藤憲一</t>
  </si>
  <si>
    <t>「むらかみベーカリー」で仕事をする春男(阿部寛)。栞(吉高由里子)は、仕事で疲れて帰ってきてもどこか幸せそうな春男を微笑ましく見つめていた。そんなある日、パンの配達中の山中(村上剛基)が事故にあったと連絡が入り、村上康史(遠藤憲一)と佳奈子(白石美帆)は病院に向かうが、その直後にさち(大橋のぞみ)が熱を出して学校を早退してきた。心配でいてもたってもいられない春男は、自宅である2階に上がってはいけないことを知りつつも駆け上がる。部屋を散らかしながら薬を探して飲ませ、キッチンを散らかしながらお粥を作る春男。さちが嫌いという卵も入ったお粥を完成させると、慣れない手つきで食べさせる。そこに康史と佳奈子が帰ってきた。さちと春男が一緒にいるのを見て動揺した康史は、強い口調で春男を追い出す。春男がさちに父親であることを告げていないか確認すると、逆に春男はさちが康史に遠慮して言えないでいた、友達とのパーティーを家でやってやれと言い出した。自分の知らないことを知っている春男に腹を立て作業所を出て行く康史。直後、春男は店にいた栞と小島勇樹(遠藤雄弥)を発見。追い返そうとするが佳奈子が声をかけてきて・・・。</t>
  </si>
  <si>
    <t>番組名白い春　#08</t>
  </si>
  <si>
    <t>http://ktv.jp/haru/index.htmlさち(大橋のぞみ)はテストの点数を康史(遠藤憲一)に告げ口したと怒り、春男(阿部寛)と絶交する。一方、栞(吉高由里子)と勇樹(遠藤雄弥)はチンピラの安田に10万円を払う約束をしたものの、お金が工面できずに困っていた。  ある日、仕事への熱意が足りないと康史に注意された春男は、逆に労働時間が多いと反発し、残業をしないと宣言。そこにさちが帰ってくるが、絶交はまだ続いていた。落ち込む春男をさりげなく励ます佳奈子(白石美帆)は、本当に今のままでいいのかと問うが、逆に春男に母親になれなくていいのかと問われ、動揺する。  お金を払う期日がきて栞と勇樹は安田と会うが、お金が足りないことを知ると安田は栞に何か持ちかけ、渋々了承する。同じ頃、パン屋に大量注文が入るが、春男は宣言通りに残業はしないと帰る準備を始めた。そこに、竜也(デビット伊東)からの電話で、栞が危険な状況になっていることを聞いた春男は・・・。阿部寛　  大橋のぞみ　  吉高由里子　  遠藤雄弥　  紺野まひる　  デビット伊東　  白石美帆　  遠藤憲一</t>
  </si>
  <si>
    <t>さち(大橋のぞみ)はテストの点数を康史(遠藤憲一)に告げ口したと怒り、春男(阿部寛)と絶交する。一方、栞(吉高由里子)と勇樹(遠藤雄弥)はチンピラの安田に10万円を払う約束をしたものの、お金が工面できずに困っていた。  ある日、仕事への熱意が足りないと康史に注意された春男は、逆に労働時間が多いと反発し、残業をしないと宣言。そこにさちが帰ってくるが、絶交はまだ続いていた。落ち込む春男をさりげなく励ます佳奈子(白石美帆)は、本当に今のままでいいのかと問うが、逆に春男に母親になれなくていいのかと問われ、動揺する。  お金を払う期日がきて栞と勇樹は安田と会うが、お金が足りないことを知ると安田は栞に何か持ちかけ、渋々了承する。同じ頃、パン屋に大量注文が入るが、春男は宣言通りに残業はしないと帰る準備を始めた。そこに、竜也(デビット伊東)からの電話で、栞が危険な状況になっていることを聞いた春男は・・・。</t>
  </si>
  <si>
    <t>番組名白い春　#09</t>
  </si>
  <si>
    <t>http://ktv.jp/haru/index.html　やっと春男(阿部寛)に初給料が出た。公園で1人喜びをかみ締めていると、さち(大橋のぞみ)がその様子を見つけてスケッチし始める。春男は照れながらも、楽しそうにカラフルに絵を描いていくさちを見つめていた。そこで春男は初給料でさちへのプレゼントを買おうとする。しかし、その夜、康史(遠藤憲一)は、床に倒れているさちを発見する。ぐったりするさちを抱きかかえ急いでタクシーに乗り込み病院へ向かう。一方、何も知らない春男は・・・。阿部寛　  大橋のぞみ　  吉高由里子　  遠藤雄弥　  紺野まひる　  デビット伊東　  白石美帆　  遠藤憲一</t>
  </si>
  <si>
    <t>やっと春男(阿部寛)に初給料が出た。公園で1人喜びをかみ締めていると、さち(大橋のぞみ)がその様子を見つけてスケッチし始める。春男は照れながらも、楽しそうにカラフルに絵を描いていくさちを見つめていた。そこで春男は初給料でさちへのプレゼントを買おうとする。しかし、その夜、康史(遠藤憲一)は、床に倒れているさちを発見する。ぐったりするさちを抱きかかえ急いでタクシーに乗り込み病院へ向かう。一方、何も知らない春男は・・・。</t>
  </si>
  <si>
    <t>番組名白い春　#10</t>
  </si>
  <si>
    <t>http://ktv.jp/haru/index.html　さち(大橋のぞみ)が病気で倒れ、大がかりな手術を受けることに。手術が続く中、不安を抱えながら終了を待つ康史(遠藤憲一)と佳奈子(白石美帆)。仕事をしていた春男(阿部寛)は真理子(紺野まひる)の写真に向かってさちを助けてくれと祈っていた・・・。  一方プレハブ小屋では、勇樹(遠藤雄弥)が、いつも寂しそうな栞(吉高由里子)のために父親の居場所を突き止める。会い行くことを勧めるが・・・。阿部寛　  大橋のぞみ　  吉高由里子　  遠藤雄弥　  紺野まひる　  デビット伊東　  白石美帆　  遠藤憲一</t>
  </si>
  <si>
    <t xml:space="preserve">　さち(大橋のぞみ)が病気で倒れ、大がかりな手術を受けることに。手術が続く中、不安を抱えながら終了を待つ康史(遠藤憲一)と佳奈子(白石美帆)。仕事をしていた春男(阿部寛)は真理子(紺野まひる)の写真に向かってさちを助けてくれと祈っていた・・・。  一方プレハブ小屋では、勇樹(遠藤雄弥)が、いつも寂しそうな栞(吉高由里子)のために父親の居場所を突き止める。会い行くことを勧めるが・・・。</t>
  </si>
  <si>
    <t>番組名白い春　#11</t>
  </si>
  <si>
    <t>http://ktv.jp/haru/index.html　パン屋をやめるという春男(阿部寛)を引き留めようとして追いかけたさち(大橋のぞみ)だが、うまくいかず落ち込む。そんなさちに栞(吉高由里子)は、ついに「おじさんは、さっちゃんのお父さんなんだよ」と言ってしまう・・・。  　さちは春男に会いにプレハブ小屋に行くが、すでに春男の姿はなかった。  　春男、さち、康史(遠藤憲一)、それぞれの親子愛の結末はいかに・・・!?阿部寛　  大橋のぞみ　  吉高由里子　  遠藤雄弥　  紺野まひる　  デビット伊東　  白石美帆　  遠藤憲一</t>
  </si>
  <si>
    <t>パン屋をやめるという春男(阿部寛)を引き留めようとして追いかけたさち(大橋のぞみ)だが、うまくいかず落ち込む。そんなさちに栞(吉高由里子)は、ついに「おじさんは、さっちゃんのお父さんなんだよ」と言ってしまう・・・。  　さちは春男に会いにプレハブ小屋に行くが、すでに春男の姿はなかった。  　春男、さち、康史(遠藤憲一)、それぞれの親子愛の結末はいかに・・・!?</t>
  </si>
  <si>
    <t>0904_CX_木22</t>
  </si>
  <si>
    <t>警視庁捜査一課に「特別犯罪対策室」が新設され、室長に警部の大澤絵里子(天海祐希)が抜擢される。絵里子は大学卒業後、警視庁に入庁。将来を嘱望されながらも、突然、アメリカに留学。5年間をFBIなどで学び、帰国したばかりだった。  　絵里子の同期で参事官補佐の野立信次郎(竹野内豊)は、警視庁に集まった記者に、「特別犯罪対策室」が科学捜査などの専門的捜査で凶悪犯罪に対応していくチームであると明かす。　絵里子は「特別犯罪対策室」に配属となった刑事と対面する。ところが集まったのは、朝起きられない木元真実(戸田恵梨香)、あまりにクールな片桐琢磨(玉山鉄二)、へらへらとして気弱そうな山村啓輔(温水洋一)、やる気マンマンの花形一平(溝端淳平)、強面で横柄な岩井善治(ケンドーコバヤシ)と、風変わりな人物ばかり。  　そんな中、身元不明の焼死体が発見されたと一報が入り、絵里子は真実らを連れて現場へ。死亡した男性は、上半身だけが丸こげで片腕が折れているという異状死だった。  　科学捜査研究所の鑑識官兼監察医の奈良橋玲子(吉瀬美智子)は、死因が心臓麻痺で、胸部に爆発時に発生する化学合成物質が付着していたと報告する。  　絵里子たちが捜査を進めるうち、凶器が爆弾であり、今回と同じ手口の事件が最近、起こっていることもわかる。そんな中、捜査線上に化学薬品工場を営む野垣泰造(武田鉄矢)が浮上してきて…。天海祐希　    竹野内豊　    戸田恵梨香　    溝端淳平　    吉瀬美智子　    ケンドーコバヤシ　    温水洋一　    玉山鉄二【脚本】  林宏司【演出】  光野道夫    【プロデュース】  村瀬健　  三竿玲子澤野弘之　  和田貴史　  林ゆうき  【主題歌】『My　Best　Of　My　Life』Superfly</t>
  </si>
  <si>
    <t>警視庁捜査一課に「特別犯罪対策室」が新設され、室長に警部の大澤絵里子(天海祐希)が抜擢される。絵里子は大学卒業後、警視庁に入庁。将来を嘱望されながらも、突然、アメリカに留学。5年間をFBIなどで学び、帰国したばかりだった。  　絵里子の同期で参事官補佐の野立信次郎(竹野内豊)は、警視庁に集まった記者に、「特別犯罪対策室」が科学捜査などの専門的捜査で凶悪犯罪に対応していくチームであると明かす。　絵里子は「特別犯罪対策室」に配属となった刑事と対面する。ところが集まったのは、朝起きられない木元真実(戸田恵梨香)、あまりにクールな片桐琢磨(玉山鉄二)、へらへらとして気弱そうな山村啓輔(温水洋一)、やる気マンマンの花形一平(溝端淳平)、強面で横柄な岩井善治(ケンドーコバヤシ)と、風変わりな人物ばかり。  　そんな中、身元不明の焼死体が発見されたと一報が入り、絵里子は真実らを連れて現場へ。死亡した男性は、上半身だけが丸こげで片腕が折れているという異状死だった。  　科学捜査研究所の鑑識官兼監察医の奈良橋玲子(吉瀬美智子)は、死因が心臓麻痺で、胸部に爆発時に発生する化学合成物質が付着していたと報告する。  　絵里子たちが捜査を進めるうち、凶器が爆弾であり、今回と同じ手口の事件が最近、起こっていることもわかる。そんな中、捜査線上に化学薬品工場を営む野垣泰造(武田鉄矢)が浮上してきて…。</t>
  </si>
  <si>
    <t>大澤絵里子(天海祐希)は、部下の花形一平(溝端淳平)から犯罪系のサイトに、人を殺したと書き込む人物がいると聞く。この人物は、自らを“神"と称し、殺害したとする3人の名前、住所、遺体写真まで公開しているが、その中に、絵里子たちの管轄で起きた刺殺事件の被害者の女子大生の情報があった。また、別の2件も実在の事件であることから、絵里子は連続殺人を疑う。  　絵里子は木元真実(戸田恵梨香)、片桐琢磨(玉山鉄二)、山村啓輔(温水洋一)、花形、岩井善治(ケンドーコバヤシ)に、別の2件の洗い直しを指示すると、真実を連れて女子大生の遺体発見現場へ向かう。  　心臓をひと突きにされた女子大生を見た絵里子は、手慣れた者の犯行だと想像。しかし、真実は凶器の角度から、被害者が自分で刺したとしか思えないと言う。  　その頃、“神"がやったとする変死事件を調べていた科捜研の奈良橋玲子(吉瀬美智子)は、事件は事故だと断定。別の水死事件を追っていた山村、岩井も、それが事故だったと報告する。  　そんな折、“神"が逮捕される。これで事件は解決かと思われるが、新たな殺人が起こる。絵里子は、“神"に憧れるあまり、自分が本物の“神"だと思い込む者の犯行だと推理。最初の殺人が成功した今、さらに殺人を重ねていくだろう、とも考える。そこで、犯人をおびき寄せるために自分がおとりになることを思いつく。天海祐希　    竹野内豊　    戸田恵梨香　    溝端淳平　    吉瀬美智子　    ケンドーコバヤシ　    温水洋一　    玉山鉄二【脚本】  林宏司【演出】  光野道夫    【プロデュース】  村瀬健　  三竿玲子澤野弘之　  和田貴史　  林ゆうき  【主題歌】『My　Best　Of　My　Life』Superfly</t>
  </si>
  <si>
    <t>大澤絵里子(天海祐希)は、部下の花形一平(溝端淳平)から犯罪系のサイトに、人を殺したと書き込む人物がいると聞く。この人物は、自らを“神"と称し、殺害したとする3人の名前、住所、遺体写真まで公開しているが、その中に、絵里子たちの管轄で起きた刺殺事件の被害者の女子大生の情報があった。また、別の2件も実在の事件であることから、絵里子は連続殺人を疑う。  　絵里子は木元真実(戸田恵梨香)、片桐琢磨(玉山鉄二)、山村啓輔(温水洋一)、花形、岩井善治(ケンドーコバヤシ)に、別の2件の洗い直しを指示すると、真実を連れて女子大生の遺体発見現場へ向かう。  　心臓をひと突きにされた女子大生を見た絵里子は、手慣れた者の犯行だと想像。しかし、真実は凶器の角度から、被害者が自分で刺したとしか思えないと言う。  　その頃、“神"がやったとする変死事件を調べていた科捜研の奈良橋玲子(吉瀬美智子)は、事件は事故だと断定。別の水死事件を追っていた山村、岩井も、それが事故だったと報告する。  　そんな折、“神"が逮捕される。これで事件は解決かと思われるが、新たな殺人が起こる。絵里子は、“神"に憧れるあまり、自分が本物の“神"だと思い込む者の犯行だと推理。最初の殺人が成功した今、さらに殺人を重ねていくだろう、とも考える。そこで、犯人をおびき寄せるために自分がおとりになることを思いつく。</t>
  </si>
  <si>
    <t>大澤絵里子(天海祐希)は、女性誌『エピソード』の読者モデルが連続して暴行されるという事件を担当することに。野立信次郎(竹野内豊)は、次の被害者を出さないためほかのモデルに刑事を付け警戒していると言うが、そんな中、再び事件が起こる。  　3人目の被害者・樋口ゆかり(酒井若菜)は重傷ではないが、精神的なショックを受けていた。状況を察した絵里子は、警護のため木元真実(戸田恵梨香)を病室に残す。　絵里子は、片桐琢磨(玉山鉄二)、花形一平(溝端淳平)、岩井善治(ケンドーコバヤシ)、山村啓輔(温水洋一)ら「特別犯罪対策室」の刑事に、事件の経緯を説明。現場には遺留品もあるが指紋も検出されず、犯人像は見えてこない。  　そんな中、野立が三上(七枝実)という男の情報を持ってくる。三上はモデルたちの行きつけの店の店員で、素行も悪く逮捕歴もあるという。  　ところが後日、三上の死体が発見される。現場に向かった絵里子は鑑識から、三上が犯行の責任を取り自殺したのだろうと聞く。実際、遺書らしきメモと塩化カリウムを打った注射器が残されていた。  　絵里子は、事件は落着したとする刑事たちに、三上は他殺だと言い放つ。科捜研の奈良橋玲子(吉瀬美智子)は、三上が手足を縛られた上、薬剤を注射されたとの見解を示す。絵里子は、三上の死亡推定時刻が2件目の犯行の前であることから、別の暴行犯の存在を推測する。天海祐希　    竹野内豊　    戸田恵梨香　    溝端淳平　    吉瀬美智子　    ケンドーコバヤシ　    温水洋一　    玉山鉄二【脚本】  林宏司【演出】  石井祐介    【プロデュース】  村瀬健　  三竿玲子澤野弘之　  和田貴史　  林ゆうき  【主題歌】『My　Best　Of　My　Life』Superfly</t>
  </si>
  <si>
    <t>大澤絵里子(天海祐希)は、女性誌『エピソード』の読者モデルが連続して暴行されるという事件を担当することに。野立信次郎(竹野内豊)は、次の被害者を出さないためほかのモデルに刑事を付け警戒していると言うが、そんな中、再び事件が起こる。  　3人目の被害者・樋口ゆかり(酒井若菜)は重傷ではないが、精神的なショックを受けていた。状況を察した絵里子は、警護のため木元真実(戸田恵梨香)を病室に残す。　絵里子は、片桐琢磨(玉山鉄二)、花形一平(溝端淳平)、岩井善治(ケンドーコバヤシ)、山村啓輔(温水洋一)ら「特別犯罪対策室」の刑事に、事件の経緯を説明。現場には遺留品もあるが指紋も検出されず、犯人像は見えてこない。  　そんな中、野立が三上(七枝実)という男の情報を持ってくる。三上はモデルたちの行きつけの店の店員で、素行も悪く逮捕歴もあるという。  　ところが後日、三上の死体が発見される。現場に向かった絵里子は鑑識から、三上が犯行の責任を取り自殺したのだろうと聞く。実際、遺書らしきメモと塩化カリウムを打った注射器が残されていた。  　絵里子は、事件は落着したとする刑事たちに、三上は他殺だと言い放つ。科捜研の奈良橋玲子(吉瀬美智子)は、三上が手足を縛られた上、薬剤を注射されたとの見解を示す。絵里子は、三上の死亡推定時刻が2件目の犯行の前であることから、別の暴行犯の存在を推測する。</t>
  </si>
  <si>
    <t>大澤絵里子(天海祐希)ら「特別犯罪対策室」のメンバーは、小学生を対象にした防犯キャンペーンを任され、その一環として、防犯をテーマにした寸劇を上演する。  　野立信次郎(竹野内豊)ら警察上層部も見に来る中、絵里子、木元真実(戸田恵梨香)、山村啓輔(温水洋一)は扮装して舞台に立ち、片桐琢磨(玉山鉄二)、花形一平(溝端淳平)、岩井善治(ケンドーコバヤシ)は舞台の袖から成り行きを見守っていた。　そんな中、もともと渋っていた真実がやる気を失い、舞台を降りようとする。絵里子は、子供たちが見ている前で真実を叱責するが、結局、真実は舞台を降りてしまう。  　翌日、真実は対策室にメールを送り付けただけで欠勤。怒った絵里子は、真実をクビにすると言う。そんな噂は、真実の元上司で科捜研の奈良橋玲子(吉瀬美智子)の耳にも入る。　  　そんな折、若い男性が頭部と腹部に銃弾を撃ち込まれて死亡する事件が起こる。現場に向かった絵里子は、残った血の一部が記号のように見えることが気にかかる。翌日、再び男性の射殺事件が起こる。今回も、頭部と腹部に銃弾が撃ち込まれていた。そして、血で書かれた「4」という文字があった。  　対策室に戻った絵里子は、最初の現場で見つけた血の跡も「4」であると発見。明確なメッセージを残したのは恨みによる殺人だからで、「4」とは4人を殺すことを意味している、との見解を明かす。天海祐希　    竹野内豊　    戸田恵梨香　    溝端淳平　    吉瀬美智子　    ケンドーコバヤシ　    温水洋一　    玉山鉄二【脚本】  林宏司【演出】  光野道夫    【プロデュース】  村瀬健　  三竿玲子澤野弘之　  和田貴史　  林ゆうき  【主題歌】『My　Best　Of　My　Life』Superfly</t>
  </si>
  <si>
    <t>大澤絵里子(天海祐希)ら「特別犯罪対策室」のメンバーは、小学生を対象にした防犯キャンペーンを任され、その一環として、防犯をテーマにした寸劇を上演する。  　野立信次郎(竹野内豊)ら警察上層部も見に来る中、絵里子、木元真実(戸田恵梨香)、山村啓輔(温水洋一)は扮装して舞台に立ち、片桐琢磨(玉山鉄二)、花形一平(溝端淳平)、岩井善治(ケンドーコバヤシ)は舞台の袖から成り行きを見守っていた。　そんな中、もともと渋っていた真実がやる気を失い、舞台を降りようとする。絵里子は、子供たちが見ている前で真実を叱責するが、結局、真実は舞台を降りてしまう。  　翌日、真実は対策室にメールを送り付けただけで欠勤。怒った絵里子は、真実をクビにすると言う。そんな噂は、真実の元上司で科捜研の奈良橋玲子(吉瀬美智子)の耳にも入る。　  　そんな折、若い男性が頭部と腹部に銃弾を撃ち込まれて死亡する事件が起こる。現場に向かった絵里子は、残った血の一部が記号のように見えることが気にかかる。翌日、再び男性の射殺事件が起こる。今回も、頭部と腹部に銃弾が撃ち込まれていた。そして、血で書かれた「4」という文字があった。  　対策室に戻った絵里子は、最初の現場で見つけた血の跡も「4」であると発見。明確なメッセージを残したのは恨みによる殺人だからで、「4」とは4人を殺すことを意味している、との見解を明かす。</t>
  </si>
  <si>
    <t>大澤絵里子(天海祐希)は、救出に向かった先に木元真実(戸田恵梨香)がいなかったこと、犯人が現場に残したと思われる数字が以前の「4」から「5」に変わっていたことにとまどいを隠せない。  　そんな中、野立信次郎(竹野内豊)が対策室に飛び込んできて、パソコンを見ろ、と言う。画面には、手足を縛られ監禁されている真実の姿がライブ映像として映し出されていた。  　それを見た絵里子、片桐琢磨(玉山鉄二)、山村啓輔(温水洋一)、花形一平(溝端淳平)、岩井善治(ケンドーコバヤシ)は息をのむ。  　事態が世間の知るところとなり、絵里子は、丹波博久(光石研)から責められていた。そんなとき、絵里子の携帯が鳴る。相手は真実を誘拐した男(山田孝之)で、3時間以内に5億円を用意しろと言う。  　絵里子は、奈良橋玲子(吉瀬美智子)や対策室のメンバーに指示を与え、監禁場所の特定と男の身元の割り出しを急ぐ。　そこへ、再び男から絵里子にアクセスが。男は絵里子にパソコンのカメラをつけさせると顔を確認しながら話をし始める。絵里子の交渉により真実の無事がわかり、さらに、5億円の身代金が1億円に変更となる。しかし、真実の声紋を分析した玲子は、真実が相当なストレスを受けていて危険な状態と告げる。  　そんなところへ、再度、男からアクセスがある。絵里子は男の素性をつかもうと、質問をぶつけるがどれもかわされてしまう。天海祐希　    竹野内豊　    戸田恵梨香　    溝端淳平　    吉瀬美智子　    ケンドーコバヤシ　    温水洋一　    玉山鉄二【脚本】  林宏司【演出】  石井祐介    【プロデュース】  村瀬健　  三竿玲子澤野弘之　  和田貴史　  林ゆうき  【主題歌】『My　Best　Of　My　Life』Superfly</t>
  </si>
  <si>
    <t>大澤絵里子(天海祐希)は、救出に向かった先に木元真実(戸田恵梨香)がいなかったこと、犯人が現場に残したと思われる数字が以前の「4」から「5」に変わっていたことにとまどいを隠せない。  　そんな中、野立信次郎(竹野内豊)が対策室に飛び込んできて、パソコンを見ろ、と言う。画面には、手足を縛られ監禁されている真実の姿がライブ映像として映し出されていた。  　それを見た絵里子、片桐琢磨(玉山鉄二)、山村啓輔(温水洋一)、花形一平(溝端淳平)、岩井善治(ケンドーコバヤシ)は息をのむ。  　事態が世間の知るところとなり、絵里子は、丹波博久(光石研)から責められていた。そんなとき、絵里子の携帯が鳴る。相手は真実を誘拐した男(山田孝之)で、3時間以内に5億円を用意しろと言う。  　絵里子は、奈良橋玲子(吉瀬美智子)や対策室のメンバーに指示を与え、監禁場所の特定と男の身元の割り出しを急ぐ。　そこへ、再び男から絵里子にアクセスが。男は絵里子にパソコンのカメラをつけさせると顔を確認しながら話をし始める。絵里子の交渉により真実の無事がわかり、さらに、5億円の身代金が1億円に変更となる。しかし、真実の声紋を分析した玲子は、真実が相当なストレスを受けていて危険な状態と告げる。  　そんなところへ、再度、男からアクセスがある。絵里子は男の素性をつかもうと、質問をぶつけるがどれもかわされてしまう。</t>
  </si>
  <si>
    <t>大澤絵里子(天海祐希)は、英明女子学院の教師殺害事件を担当することになる。死亡したのは体育教師・増岡剛で、頭部に打撃を受けていた。  　現場に凶器など一切の遺留品がないのを見た絵里子は、犯人は頭がキレ、几帳面で粘着質な性格だと推測。対策室の木元真実(戸田恵梨香)、山村啓輔(温水洋一)、片桐琢磨(玉山鉄二)、花形一平(溝端淳平)、岩井善治(ケンドーコバヤシ)らに捜査の指示を出すと、英明女子学院へ向かう。  　学校の入り口で女子高生・石原由貴(志田未来)と会った絵里子は、自分を瞬時に刑事だと見抜いた由貴が気にかかる。  　そんな中、かつて増岡と交際していたという由貴に、絵里子は事件当夜の行動を尋ねる。由貴は塾の自習室にいたと言うが、アリバイは証明されない。  　関係者の中で、唯一アリバイが証明できない由貴。絵里子は、野立信次郎(竹野内豊)の承諾を得て、由貴を取り調べる。同じ頃、増岡の同僚の教師・二宮奈津子(西山繭子)の自宅付近から、凶器などが発見される。事情を聞かれた奈津子は、増岡との交際は認めるが、殺人は否定する。  　科捜研の奈良橋玲子(吉瀬美智子)は、遺体から日本では入手が難しいマニキュアの成分が検出されたと報告。さらに、そのマニキュアを扱っている輸入雑貨の顧客名簿に奈津子の名前が見つかる。状況証拠は奈津子が犯人だと示すが、絵里子は真犯人は別にいると感じていた。天海祐希　    竹野内豊　    戸田恵梨香　    溝端淳平　    吉瀬美智子　    ケンドーコバヤシ　    温水洋一　    玉山鉄二【脚本】  林宏司    【脚本協力】  高山直也【演出】  星野和成    【プロデュース】  村瀬健　  三竿玲子【主題歌】『My　Best　Of　My　Life』【OP曲】『Alright!!』  Superfly</t>
  </si>
  <si>
    <t>大澤絵里子(天海祐希)は、英明女子学院の教師殺害事件を担当することになる。死亡したのは体育教師・増岡剛で、頭部に打撃を受けていた。  　現場に凶器など一切の遺留品がないのを見た絵里子は、犯人は頭がキレ、几帳面で粘着質な性格だと推測。対策室の木元真実(戸田恵梨香)、山村啓輔(温水洋一)、片桐琢磨(玉山鉄二)、花形一平(溝端淳平)、岩井善治(ケンドーコバヤシ)らに捜査の指示を出すと、英明女子学院へ向かう。  　学校の入り口で女子高生・石原由貴(志田未来)と会った絵里子は、自分を瞬時に刑事だと見抜いた由貴が気にかかる。  　そんな中、かつて増岡と交際していたという由貴に、絵里子は事件当夜の行動を尋ねる。由貴は塾の自習室にいたと言うが、アリバイは証明されない。  　関係者の中で、唯一アリバイが証明できない由貴。絵里子は、野立信次郎(竹野内豊)の承諾を得て、由貴を取り調べる。同じ頃、増岡の同僚の教師・二宮奈津子(西山繭子)の自宅付近から、凶器などが発見される。事情を聞かれた奈津子は、増岡との交際は認めるが、殺人は否定する。  　科捜研の奈良橋玲子(吉瀬美智子)は、遺体から日本では入手が難しいマニキュアの成分が検出されたと報告。さらに、そのマニキュアを扱っている輸入雑貨の顧客名簿に奈津子の名前が見つかる。状況証拠は奈津子が犯人だと示すが、絵里子は真犯人は別にいると感じていた。</t>
  </si>
  <si>
    <t>大澤絵里子(天海祐希)は、野立信次郎(竹野内豊)に言われニュース番組に生出演、キャスターの高峰仁美(富田靖子)と対談する。  　番組終了後、絵里子と話す仁美のところへスタッフが1枚の紙を持ってくる。最近、仁美宛に送られてくる脅迫文だった。スタッフは警察に届けようと提言するが、仁美はその必要はないと言うと、平然と絵里子に向き直る。  　その頃、フリーカメラマンの安田博文の溺死体が発見された。所轄は事故死としたが、安田は誰か大物のスクープを撮影したことが原因で殺されたのでは、とマスコミが騒ぎ始める。  　絵里子は、対策室の片桐琢磨(玉山鉄二)、山村啓輔(温水洋一)、花形一平(溝端淳平)、岩井善治(ケンドーコバヤシ)に捜査に出るよう指示。自分は、木元真実(戸田恵梨香)を連れて、安田の遺体発見現場へと向かう。  　現場の状況は、所轄の検証どおり「事故死」と訴えていたが、絵里子は違和感を覚えていた。　絵里子に言われ、安田が撮影した大量のポジフィルムを持ち帰り分析していた真実は、10年前の6月のポジが極端に少ないことに気付く。絵里子がその月の事件を調べさせると都内で起こった重要事件は女子高生が被害に遭ったストーカー殺人だけだとわかる。それは、現場に偶然居合わせた報道関係者がスクープ映像として事件を報じたことが犯人逮捕につながったという事件だった。そして、その報道関係者とは、仁美だという。天海祐希　    竹野内豊　    戸田恵梨香　    溝端淳平　    吉瀬美智子　    ケンドーコバヤシ　    温水洋一　    玉山鉄二【脚本】  西平晃太【演出】  成田岳    【プロデュース】  村瀬健　  三竿玲子【主題歌】『My　Best　Of　My　Life』【OP曲】『Alright!!』  Superfly</t>
  </si>
  <si>
    <t>大澤絵里子(天海祐希)は、野立信次郎(竹野内豊)に言われニュース番組に生出演、キャスターの高峰仁美(富田靖子)と対談する。  　番組終了後、絵里子と話す仁美のところへスタッフが1枚の紙を持ってくる。最近、仁美宛に送られてくる脅迫文だった。スタッフは警察に届けようと提言するが、仁美はその必要はないと言うと、平然と絵里子に向き直る。  　その頃、フリーカメラマンの安田博文の溺死体が発見された。所轄は事故死としたが、安田は誰か大物のスクープを撮影したことが原因で殺されたのでは、とマスコミが騒ぎ始める。  　絵里子は、対策室の片桐琢磨(玉山鉄二)、山村啓輔(温水洋一)、花形一平(溝端淳平)、岩井善治(ケンドーコバヤシ)に捜査に出るよう指示。自分は、木元真実(戸田恵梨香)を連れて、安田の遺体発見現場へと向かう。  　現場の状況は、所轄の検証どおり「事故死」と訴えていたが、絵里子は違和感を覚えていた。　絵里子に言われ、安田が撮影した大量のポジフィルムを持ち帰り分析していた真実は、10年前の6月のポジが極端に少ないことに気付く。絵里子がその月の事件を調べさせると都内で起こった重要事件は女子高生が被害に遭ったストーカー殺人だけだとわかる。それは、現場に偶然居合わせた報道関係者がスクープ映像として事件を報じたことが犯人逮捕につながったという事件だった。そして、その報道関係者とは、仁美だという。</t>
  </si>
  <si>
    <t>大澤絵里子(天海祐希)は、暴力団幹部の射殺事件を担当する。被害者の頭に残った銃弾から、犯人は龍千会幹部の谷本隆(工藤俊作)だと推測された。  　絵里子は、木元真実(戸田恵梨香)、片桐琢磨(玉山鉄二)、花形一平(溝端淳平)を連れ谷本の潜伏先にやってくる。しかし、谷本は逃走。やがて、追跡した絵里子と片桐が発見するが、目の前で何者かにより射殺される。  　数日前、対策室に左胸を赤インクで染めた人形が送付されていたことから、絵里子は谷本殺害は予告殺人の可能性があると見ていた。その頃、山村啓輔(温水洋一)と岩井善治(ケンドーコバヤシ)は、山村の案内でクラブに入店する。山村は現れたホステス・西山菜々美(小西真奈美)を、自分の婚約者だと言い張る。  　そんな中、対策室に再び人形が送られてくる。奈良橋玲子(吉瀬美智子)が調べると、谷本が撃たれたものと同じ銃弾が入っていた。  　同じ頃、聞き込み中の小野田忠(塩見三省)と川野昭夫(長谷川博己)のところへ片桐が走りこんでくる。と、その瞬間、川野が胸を撃たれる。小野田は、片桐にビルの上に見えるライフルの影を撃てと叫ぶ。が、片桐は撃つことができない。  　後日、絵里子は、片桐になぜ川野が狙撃された場所にいたのか尋ねるが、片桐は答えない。  　何かを感じた絵里子は野立(竹野内豊)を呼び出し、野立は捜査資料が閲覧できるデータベースのパスワードを教える。天海祐希　    竹野内豊　    戸田恵梨香　    溝端淳平　    吉瀬美智子　    ケンドーコバヤシ　    温水洋一　    玉山鉄二【脚本】  林宏司【演出】  光野道夫    【プロデュース】  村瀬健　  三竿玲子【主題歌】『My　Best　Of　My　Life』【OP曲】『Alright!!』  Superfly</t>
  </si>
  <si>
    <t>大澤絵里子(天海祐希)は、暴力団幹部の射殺事件を担当する。被害者の頭に残った銃弾から、犯人は龍千会幹部の谷本隆(工藤俊作)だと推測された。  　絵里子は、木元真実(戸田恵梨香)、片桐琢磨(玉山鉄二)、花形一平(溝端淳平)を連れ谷本の潜伏先にやってくる。しかし、谷本は逃走。やがて、追跡した絵里子と片桐が発見するが、目の前で何者かにより射殺される。  　数日前、対策室に左胸を赤インクで染めた人形が送付されていたことから、絵里子は谷本殺害は予告殺人の可能性があると見ていた。その頃、山村啓輔(温水洋一)と岩井善治(ケンドーコバヤシ)は、山村の案内でクラブに入店する。山村は現れたホステス・西山菜々美(小西真奈美)を、自分の婚約者だと言い張る。  　そんな中、対策室に再び人形が送られてくる。奈良橋玲子(吉瀬美智子)が調べると、谷本が撃たれたものと同じ銃弾が入っていた。  　同じ頃、聞き込み中の小野田忠(塩見三省)と川野昭夫(長谷川博己)のところへ片桐が走りこんでくる。と、その瞬間、川野が胸を撃たれる。小野田は、片桐にビルの上に見えるライフルの影を撃てと叫ぶ。が、片桐は撃つことができない。  　後日、絵里子は、片桐になぜ川野が狙撃された場所にいたのか尋ねるが、片桐は答えない。  　何かを感じた絵里子は野立(竹野内豊)を呼び出し、野立は捜査資料が閲覧できるデータベースのパスワードを教える。</t>
  </si>
  <si>
    <t>大澤絵里子(天海祐希)は、トラック運転手・柏原(植松洋)が惨殺された事件を担当する。  　木元真実(戸田恵梨香)、花形一平(溝端淳平)とともに現場に入った絵里子は、犯行に衝動性がある一方、指紋を拭き取るなど、冷静さもあることから複数犯の可能性を示唆。奈良橋玲子(吉瀬美智子)は、遺体の傷が右半身に集中していることから、犯人は左利きの可能性が高いと言う。  　その後、片桐琢磨(玉山鉄二)、山村啓輔(温水洋一)、岩井善治(ケンドーコバヤシ)らが捜査するうち、柏原には暴力が原因で離婚した妻と、26歳になる息子(原田健二)がいることがわかる。さらに、息子自身も子供に暴力を振るっており、それに悩んだ息子が“虐待サイトSOS"という相談所を訪ねていたこともわかる。  　サイトを運営するのは、慶政大学心理学部教授の西名亘(生瀬勝久)だった。自分を訪ねてきた絵里子に西名は、父親から暴力を受けていたことが、息子が父親を殺す動機にはならないと話す。  　そんな折、今度は土木作業員・町田が殺される。その手口から、柏原と同一犯による犯行だと思われた。  　衝撃的な連続殺人が捜査の遅れとともに報道され、絵里子は丹波博久(光石研)から叱責を受ける。野立信次郎(竹野内豊)が擁護するが、丹波の怒りは収まらない。  　一方、町田も子供を虐待しており、その子供もサイトを訪ねていたことがわかる。天海祐希　    竹野内豊　    戸田恵梨香　    溝端淳平　    吉瀬美智子　    ケンドーコバヤシ　    温水洋一　    玉山鉄二【脚本】  西平晃太【演出】  光野道夫　    【プロデュース】  村瀬健　  三竿玲子【主題歌】『My　Best　Of　My　Life』【OP曲】『Alright!!』  Superfly</t>
  </si>
  <si>
    <t>大澤絵里子(天海祐希)は、トラック運転手・柏原(植松洋)が惨殺された事件を担当する。  　木元真実(戸田恵梨香)、花形一平(溝端淳平)とともに現場に入った絵里子は、犯行に衝動性がある一方、指紋を拭き取るなど、冷静さもあることから複数犯の可能性を示唆。奈良橋玲子(吉瀬美智子)は、遺体の傷が右半身に集中していることから、犯人は左利きの可能性が高いと言う。  　その後、片桐琢磨(玉山鉄二)、山村啓輔(温水洋一)、岩井善治(ケンドーコバヤシ)らが捜査するうち、柏原には暴力が原因で離婚した妻と、26歳になる息子(原田健二)がいることがわかる。さらに、息子自身も子供に暴力を振るっており、それに悩んだ息子が“虐待サイトSOS"という相談所を訪ねていたこともわかる。  　サイトを運営するのは、慶政大学心理学部教授の西名亘(生瀬勝久)だった。自分を訪ねてきた絵里子に西名は、父親から暴力を受けていたことが、息子が父親を殺す動機にはならないと話す。  　そんな折、今度は土木作業員・町田が殺される。その手口から、柏原と同一犯による犯行だと思われた。  　衝撃的な連続殺人が捜査の遅れとともに報道され、絵里子は丹波博久(光石研)から叱責を受ける。野立信次郎(竹野内豊)が擁護するが、丹波の怒りは収まらない。  　一方、町田も子供を虐待しており、その子供もサイトを訪ねていたことがわかる。</t>
  </si>
  <si>
    <t>大澤絵里子(天海祐希)ら対策室の刑事たちは、謹慎処分を受け、生活安全課を補佐する仕事をしていた。  　花形一平(溝端淳平)とともに、あるキャンペーンに参加していた片桐琢磨(玉山鉄二)は、新聞記者(小須田康人)に声をかけられる。記者は、今回の対策室の謹慎と警視庁の裏金汚職問題には関係があるのかと尋ねる。  　同じ頃、ゴミ箱連続爆破事件を担当する木元真実(戸田恵梨香)、山村啓輔(温水洋一)は、証拠品の分析を終えた奈良橋玲子(吉瀬美智子)から、爆発物のタイマーに使われた時計に絵里子の指紋があったと聞かされる。  　対策室のメンバーたちは、片桐の指示のもと、片桐、山村、岩井善治(ケンドーコバヤシ)が捜査に、真実と花形が絵里子を取り調べることにする。  　一方、野立信次郎(竹野内豊)は、警視総監・大山源蔵(津川雅彦)も来場するイベントの警備について幹部との打ち合わせを終えた。すると、そこへ片桐がやってきて裏金問題について尋ねる。野立は笑顔を見せ、知らないと一蹴する。  　そんな頃、ある大学の講義室で死傷者が出る爆発が起こった。真実は、取調べ中の絵里子にそれを報告。爆弾の成分に関しても告げると、絵里子の表情がかわる。実は、タイマーに使われていた時計は、絵里子が池上浩(丸山智己)に贈ったものだった。しかし、絵里子は、事件に関与しているのは浩の弟・健吾(石垣佑磨)だろうと明かす。天海祐希　    竹野内豊　    戸田恵梨香　    溝端淳平　    吉瀬美智子　    ケンドーコバヤシ　    温水洋一　    玉山鉄二【脚本】  林宏司【演出】  石井祐介　    【プロデュース】  村瀬健　  三竿玲子【主題歌】『My　Best　Of　My　Life』【OP曲】『Alright!!』  Superfly</t>
  </si>
  <si>
    <t>大澤絵里子(天海祐希)ら対策室の刑事たちは、謹慎処分を受け、生活安全課を補佐する仕事をしていた。  　花形一平(溝端淳平)とともに、あるキャンペーンに参加していた片桐琢磨(玉山鉄二)は、新聞記者(小須田康人)に声をかけられる。記者は、今回の対策室の謹慎と警視庁の裏金汚職問題には関係があるのかと尋ねる。  　同じ頃、ゴミ箱連続爆破事件を担当する木元真実(戸田恵梨香)、山村啓輔(温水洋一)は、証拠品の分析を終えた奈良橋玲子(吉瀬美智子)から、爆発物のタイマーに使われた時計に絵里子の指紋があったと聞かされる。  　対策室のメンバーたちは、片桐の指示のもと、片桐、山村、岩井善治(ケンドーコバヤシ)が捜査に、真実と花形が絵里子を取り調べることにする。  　一方、野立信次郎(竹野内豊)は、警視総監・大山源蔵(津川雅彦)も来場するイベントの警備について幹部との打ち合わせを終えた。すると、そこへ片桐がやってきて裏金問題について尋ねる。野立は笑顔を見せ、知らないと一蹴する。  　そんな頃、ある大学の講義室で死傷者が出る爆発が起こった。真実は、取調べ中の絵里子にそれを報告。爆弾の成分に関しても告げると、絵里子の表情がかわる。実は、タイマーに使われていた時計は、絵里子が池上浩(丸山智己)に贈ったものだった。しかし、絵里子は、事件に関与しているのは浩の弟・健吾(石垣佑磨)だろうと明かす。</t>
  </si>
  <si>
    <t>大澤絵里子(天海祐希)は刑事たちに、野立信次郎(竹野内豊)と警視総監・大山源蔵(津川雅彦)を乗せた車の追尾を指示すると、自身も木元真実(戸田恵梨香)、山村啓輔(温水洋一)、花形一平(溝端淳平)とともに車を追いかける。  　その頃、丹波博久(光石研)は警視庁の幹部たちに、誘拐の首謀者は、反政府組織「黒い月」のメンバーだと伝えた。  　また、絵里子は片桐琢磨(玉山鉄二)から小野田忠(塩見三省)が重体に陥っていると聞く。小野田は、警視庁の裏金汚職の証拠をつかんだために命を狙われたのだ。  　そんな中、絵里子は司令部からの情報を対策室に入れるため、屋田健三(相島一之)の協力を得ることに。絵里子は屋田に、裏金汚職に関わっているのは野立で、その隠ぺいのために総監を殺害することが「黒い月」の利害と一致しているのだと明かす。  　やがて、司令部に「黒い月」の高倉龍平(反町隆史)から電話が入る。高倉は服役中の3人の幹部を釈放することを要求。それを聞いた絵里子は、小野田周りを再度洗うように指示する。  　そんな折、爆発物が見つかったと連絡が入る。現場に向かった処理班は、爆弾を見て言葉を失った。処理方法がわからないというのだ。奈良橋玲子(吉瀬美智子)はそれを、日本にはまだ解除した者がいない燃料気化爆弾だと言う。絵里子は、それを解除できるのは、服役中の野垣泰造(武田鉄矢)だけだろうと言い…。天海祐希　    竹野内豊　    戸田恵梨香　    溝端淳平　    吉瀬美智子　    ケンドーコバヤシ　    温水洋一　    玉山鉄二【脚本】  林宏司【演出】  光野道夫　    【プロデュース】  村瀬健　  三竿玲子【主題歌】『My　Best　Of　My　Life』【OP曲】『Alright!!』  Superfly</t>
  </si>
  <si>
    <t>大澤絵里子(天海祐希)は刑事たちに、野立信次郎(竹野内豊)と警視総監・大山源蔵(津川雅彦)を乗せた車の追尾を指示すると、自身も木元真実(戸田恵梨香)、山村啓輔(温水洋一)、花形一平(溝端淳平)とともに車を追いかける。  　その頃、丹波博久(光石研)は警視庁の幹部たちに、誘拐の首謀者は、反政府組織「黒い月」のメンバーだと伝えた。  　また、絵里子は片桐琢磨(玉山鉄二)から小野田忠(塩見三省)が重体に陥っていると聞く。小野田は、警視庁の裏金汚職の証拠をつかんだために命を狙われたのだ。  　そんな中、絵里子は司令部からの情報を対策室に入れるため、屋田健三(相島一之)の協力を得ることに。絵里子は屋田に、裏金汚職に関わっているのは野立で、その隠ぺいのために総監を殺害することが「黒い月」の利害と一致しているのだと明かす。  　やがて、司令部に「黒い月」の高倉龍平(反町隆史)から電話が入る。高倉は服役中の3人の幹部を釈放することを要求。それを聞いた絵里子は、小野田周りを再度洗うように指示する。  　そんな折、爆発物が見つかったと連絡が入る。現場に向かった処理班は、爆弾を見て言葉を失った。処理方法がわからないというのだ。奈良橋玲子(吉瀬美智子)はそれを、日本にはまだ解除した者がいない燃料気化爆弾だと言う。絵里子は、それを解除できるのは、服役中の野垣泰造(武田鉄矢)だけだろうと言い…。</t>
  </si>
  <si>
    <t>0904_CX_土23</t>
  </si>
  <si>
    <t>33分探偵</t>
  </si>
  <si>
    <t>番組名土曜ドラマ・帰ってこさせられた33分探偵　#02</t>
  </si>
  <si>
    <t>鞍馬六郎(堂本剛)は、大田原警部(高橋克実)の部下・三島をお見合い相手として紹介してもらうと気合い満々のリカコ(水川あさみ)に付き添って京都へやって来た。駅に着くと、捜査のため来られなくなった三島の代わりに氏家(沢村一樹)が2人を迎える。氏家も別件の老舗旅館の主人(森下哲夫)が殺された事件の捜査中と聞いた六郎は手伝いを申し出る。  　現場で殺害状況を聞き、すぐに顔見知りの犯行と判断した六郎。その矢先、大田原の命令で京都に来ていた茂木刑事(戸次重幸)が、全身に返り血を浴びた旅館の板長・山崎(久ヶ沢徹)を犯人だと連行してきた。しかし六郎は事件を33分もたせると宣言。  　六郎は、犯行時刻に魚の仕入れのため、小浜に出掛けていて不在だった番頭の若葉(中村有志)に疑いをかけ、若葉のトリックを説明。そのトリックにはかなり無理があったが、被害者の抱えていた金庫から見つかった数字の書かれたメモを強引な解釈をして、再び若葉に容疑をかける六郎。しかし、仲居・本山直子(山村紅葉)の証言で若葉の容疑が晴れた。  　さらに紀美(桐谷美玲)が父親を激しく恨んでいたという情報を得る。それらの状況から紀美が犯人と推理する六郎だが、犯行が立証できない。情報屋(ナイツ)から、直子が被害者の弱みを握っていて金銭絡みでもめていたことを聞いた六郎は、関係者を集めた。堂本剛　      水川あさみ　    野波麻帆　    戸次重幸　    小島よしお　    　○　    佐藤二朗　    　○　    高橋克実　      ナイツ【原案・脚本】  福田雄一【演出】  福田雄一石田勝範    【主題歌】「Secret　Code」KinKi　Kids(ジャニーズ・エンタテイメント)</t>
  </si>
  <si>
    <t>鞍馬六郎(堂本剛)は、大田原警部(高橋克実)の部下・三島をお見合い相手として紹介してもらうと気合い満々のリカコ(水川あさみ)に付き添って京都へやって来た。駅に着くと、捜査のため来られなくなった三島の代わりに氏家(沢村一樹)が2人を迎える。氏家も別件の老舗旅館の主人(森下哲夫)が殺された事件の捜査中と聞いた六郎は手伝いを申し出る。  　現場で殺害状況を聞き、すぐに顔見知りの犯行と判断した六郎。その矢先、大田原の命令で京都に来ていた茂木刑事(戸次重幸)が、全身に返り血を浴びた旅館の板長・山崎(久ヶ沢徹)を犯人だと連行してきた。しかし六郎は事件を33分もたせると宣言。  　六郎は、犯行時刻に魚の仕入れのため、小浜に出掛けていて不在だった番頭の若葉(中村有志)に疑いをかけ、若葉のトリックを説明。そのトリックにはかなり無理があったが、被害者の抱えていた金庫から見つかった数字の書かれたメモを強引な解釈をして、再び若葉に容疑をかける六郎。しかし、仲居・本山直子(山村紅葉)の証言で若葉の容疑が晴れた。  　さらに紀美(桐谷美玲)が父親を激しく恨んでいたという情報を得る。それらの状況から紀美が犯人と推理する六郎だが、犯行が立証できない。情報屋(ナイツ)から、直子が被害者の弱みを握っていて金銭絡みでもめていたことを聞いた六郎は、関係者を集めた。</t>
  </si>
  <si>
    <t>番組名土曜ドラマ・帰ってこさせられた33分探偵　#03</t>
  </si>
  <si>
    <t>事件発生の知らせを受け、大阪にやって来た鞍馬六郎(堂本剛)、リカコ(水川あさみ)、氏家警部(沢村一樹)、茂木刑事(戸次重幸)。被害者はお笑いコンビ・フランケンズの岸本(板倉チヒロ)で、舞台上で倒れていたのを見回り中の警備員に発見されたのだ。六郎らが現場に到着すると、すぐさま茂木がお笑いコンビ・ケロケロの佐野(内田滋)を連れてきた。場の空気の読めない岸本を憎み、楽屋前で殴ったという佐野の自供をさえぎり、六郎は事件を33分もたせることを宣言する。  　楽屋に関係者を集めた六郎は、岸本の相方である工藤(出口哲也)に容疑をむける。ピンで売れていく岸本を恨んでの犯行と推理するも、工藤には完璧なアリバイがあった。  　楽屋前で殴られた岸本が、舞台上で倒れていたことを不審に思った六郎は、聞き込みを開始。六郎とリカコが現場に行くと、佐野の相方である中島(尾上寛之)が何かを探していた。その後の聞き込みでフランケンズが所属会社から嫌われていて、会社に内緒で営業をしていたことを知る。鑑識官(佐藤二朗)からは岸本の致命傷は後頭部の打撲であったこと、口元に火傷のあとがあったことを聞く。さらに情報屋(はるな愛)から佐野より中島のほうが気が短かったという情報を得た。すべての情報をつなぎ合わせて犯人を確信した六郎は、再び関係者を全員集めて推理を始める…。堂本剛　      水川あさみ　    野波麻帆　    戸次重幸　    小島よしお　    　○　    佐藤二朗　    　○　    沢村一樹　      はるな愛【原案・脚本】  福田雄一【演出】  福田雄一石田勝範    【主題歌】「Secret　Code」KinKi　Kids(ジャニーズ・エンタテイメント)</t>
  </si>
  <si>
    <t>事件発生の知らせを受け、大阪にやって来た鞍馬六郎(堂本剛)、リカコ(水川あさみ)、氏家警部(沢村一樹)、茂木刑事(戸次重幸)。被害者はお笑いコンビ・フランケンズの岸本(板倉チヒロ)で、舞台上で倒れていたのを見回り中の警備員に発見されたのだ。六郎らが現場に到着すると、すぐさま茂木がお笑いコンビ・ケロケロの佐野(内田滋)を連れてきた。場の空気の読めない岸本を憎み、楽屋前で殴ったという佐野の自供をさえぎり、六郎は事件を33分もたせることを宣言する。  　楽屋に関係者を集めた六郎は、岸本の相方である工藤(出口哲也)に容疑をむける。ピンで売れていく岸本を恨んでの犯行と推理するも、工藤には完璧なアリバイがあった。  　楽屋前で殴られた岸本が、舞台上で倒れていたことを不審に思った六郎は、聞き込みを開始。六郎とリカコが現場に行くと、佐野の相方である中島(尾上寛之)が何かを探していた。その後の聞き込みでフランケンズが所属会社から嫌われていて、会社に内緒で営業をしていたことを知る。鑑識官(佐藤二朗)からは岸本の致命傷は後頭部の打撲であったこと、口元に火傷のあとがあったことを聞く。さらに情報屋(はるな愛)から佐野より中島のほうが気が短かったという情報を得た。すべての情報をつなぎ合わせて犯人を確信した六郎は、再び関係者を全員集めて推理を始める…。</t>
  </si>
  <si>
    <t>番組名土曜ドラマ・帰ってこさせられた33分探偵　#04</t>
  </si>
  <si>
    <t>東京に戻ってきた鞍馬六郎(堂本剛)とリカコ(水川あさみ)は大田原警部(高橋克実)に頼まれ、歌手の神崎誠二(眞島秀和)が殺された事件の捜査を手伝う。事件が起きた作曲家の財前繁(岩松了)の別荘に到着すると、茂木刑事(戸次重幸)が犯行を自供した神崎の恋人・三崎里美(西尾まり)を連れてきた。六郎はそんな事件を33分もたせることを宣言。  　六郎は、神崎と財前の妻・順子(出口結美子)が不倫関係にあったと推理。嫉妬した財前が共鳴振動を使ったトリックで殺害したと説明する。しかし、六郎の理解している共鳴振動が全く間違っていてトリックとして成立しない上に、順子と神崎の意外な関係がわかり捜査は振り出しに戻った。  　六郎は、みつかっていない凶器のピストルに着目し聞き込みを始める。すると、別荘近くの牧場でピストルが発見された。鑑識官(佐藤二朗)の調べでピストルには里美の指紋がついていたこと、室内で殺されたはずの神崎の体に土や葉っぱが付着していたことがわかった。事件の3カ月前に神崎の付き人・間宮ミキ(植木夏十)が別荘付近の山を歩いていた目撃証言も得る。六郎は、神崎とミキが恋人関係にあり、2人で里美を殺す計画を立てていたが、神崎の気持ちが里美に戻ったことを知ったミキが逆上して殺したと推理。しかし、ミキのある告白で、またしても捜査は振り出しに・・・。堂本剛　      水川あさみ　    野波麻帆　    戸次重幸　    小島よしお　    　○　    佐藤二朗　    　○　    高橋克実【原案・脚本】  福田雄一【演出】  福田雄一石田勝範    【主題歌】「Secret　Code」KinKi　Kids(ジャニーズ・エンタテイメント)</t>
  </si>
  <si>
    <t>東京に戻ってきた鞍馬六郎(堂本剛)とリカコ(水川あさみ)は大田原警部(高橋克実)に頼まれ、歌手の神崎誠二(眞島秀和)が殺された事件の捜査を手伝う。事件が起きた作曲家の財前繁(岩松了)の別荘に到着すると、茂木刑事(戸次重幸)が犯行を自供した神崎の恋人・三崎里美(西尾まり)を連れてきた。六郎はそんな事件を33分もたせることを宣言。  　六郎は、神崎と財前の妻・順子(出口結美子)が不倫関係にあったと推理。嫉妬した財前が共鳴振動を使ったトリックで殺害したと説明する。しかし、六郎の理解している共鳴振動が全く間違っていてトリックとして成立しない上に、順子と神崎の意外な関係がわかり捜査は振り出しに戻った。  　六郎は、みつかっていない凶器のピストルに着目し聞き込みを始める。すると、別荘近くの牧場でピストルが発見された。鑑識官(佐藤二朗)の調べでピストルには里美の指紋がついていたこと、室内で殺されたはずの神崎の体に土や葉っぱが付着していたことがわかった。事件の3カ月前に神崎の付き人・間宮ミキ(植木夏十)が別荘付近の山を歩いていた目撃証言も得る。六郎は、神崎とミキが恋人関係にあり、2人で里美を殺す計画を立てていたが、神崎の気持ちが里美に戻ったことを知ったミキが逆上して殺したと推理。しかし、ミキのある告白で、またしても捜査は振り出しに・・・。</t>
  </si>
  <si>
    <t>0901_CX_月21</t>
  </si>
  <si>
    <t>ヴォイス</t>
  </si>
  <si>
    <t>番組名ヴォイス～命なき者の声～　#01</t>
  </si>
  <si>
    <t>東凛大学医学部4年の加地大己(瑛太)は、志望していた「心臓外科学ゼミ」に不合格となる。同級の石末亮介(生田斗真)は、人気のゼミだから仕方がないと声をかけるが、大己は自分が受かっていたにもかかわらず落とされたような気がしてならない。  　大己が合格したのは、亮介も合格した「法医学ゼミ」だった。掲示板に書かれた5人の学生の名前の1番下にある大己の名前。それを見た大己は、何かを思いついたように立ち去る。　その頃、同医学部4年で「脳神経外科学ゼミ」に合格した久保秋佳奈子(石原さとみ)は同ゼミの教授を訪ね、自分を「法医学ゼミ」に異動させてくれと頼んでいた。  　一方の大己は法医学教授室に教授の佐川文彦(時任三郎)を訪ねると、自分の名前を掲示板から移動させたのではないかと切り出す。そんな大己に佐川は「心臓外科学ゼミ」の志望理由を聞く。大己は、人間にとって心臓が最後のとりでであるーーつまり、心臓が止まってしまったらどんな医学も意味をなさないからと返答。すると佐川は疑問を呈し、生きている人間だけではなく亡くなった人の声に耳を傾ける医学があってもいいのではないかと話す。さらに、大己を佐川のゼミに入れた理由を「法医学に向いていると思うから」と明かす。  　後日、佐川の研究室には大己、亮介、佳奈子、桐畑哲平(遠藤雄弥)、羽井彰(佐藤智仁)のゼミ生5人と、助教の夏井川玲子(矢田亜希子)の姿があった。瑛太　  生田斗真　  石原さとみ　  遠藤雄弥　  佐藤智仁　    濱田マリ　  山崎樹範　  名高達男　  　○　  泉谷しげる　  矢田亜希子　  時任三郎　    ほか【脚本】  金子茂樹【プロデュース】  瀧山麻土香　  東康之    【演出】  成田岳吉川慶　  Audio　Highs</t>
  </si>
  <si>
    <t>東凛大学医学部4年の加地大己(瑛太)は、志望していた「心臓外科学ゼミ」に不合格となる。同級の石末亮介(生田斗真)は、人気のゼミだから仕方がないと声をかけるが、大己は自分が受かっていたにもかかわらず落とされたような気がしてならない。  　大己が合格したのは、亮介も合格した「法医学ゼミ」だった。掲示板に書かれた5人の学生の名前の1番下にある大己の名前。それを見た大己は、何かを思いついたように立ち去る。　その頃、同医学部4年で「脳神経外科学ゼミ」に合格した久保秋佳奈子(石原さとみ)は同ゼミの教授を訪ね、自分を「法医学ゼミ」に異動させてくれと頼んでいた。  　一方の大己は法医学教授室に教授の佐川文彦(時任三郎)を訪ねると、自分の名前を掲示板から移動させたのではないかと切り出す。そんな大己に佐川は「心臓外科学ゼミ」の志望理由を聞く。大己は、人間にとって心臓が最後のとりでであるーーつまり、心臓が止まってしまったらどんな医学も意味をなさないからと返答。すると佐川は疑問を呈し、生きている人間だけではなく亡くなった人の声に耳を傾ける医学があってもいいのではないかと話す。さらに、大己を佐川のゼミに入れた理由を「法医学に向いていると思うから」と明かす。  　後日、佐川の研究室には大己、亮介、佳奈子、桐畑哲平(遠藤雄弥)、羽井彰(佐藤智仁)のゼミ生5人と、助教の夏井川玲子(矢田亜希子)の姿があった。</t>
  </si>
  <si>
    <t>番組名ヴォイス～命なき者の声～　#02</t>
  </si>
  <si>
    <t>解剖室に男性の遺体が運び込まれる。法医学ゼミ生の加地大己(瑛太)は、石末亮介(生田斗真)、久保秋佳奈子(石原さとみ)、桐畑哲平(遠藤雄弥)、羽井彰(佐藤智仁)、教授の佐川文彦(時任三郎)、助教の夏井川玲子(矢田亜希子)とともに遺体の前に立ち、刑事の大和田敏(山崎樹範)から報告を受ける。  　死亡したのは35歳の佐野秀一(坂田聡)で、生卵を入れたビニール袋を持ったまま、自宅の近所で倒れていたという。警察は急性の心臓死を疑うが、佐野の妻・忍(鶴田真由)は、最近までアメフトの選手だった夫が急死するとは信じられない。  　そんな中、佐川は佐野の手に感電した痕を見つける。そこで、大己らは当時の状況を知るため遺体発見現場へ。しかし、そこは閑静な住宅地で感電が起こるような場所ではなかった。解剖の結果、佐野は自宅で感電したらしいことが判明。さらに、感電後に一旦回復し、卵を買いに行き帰宅途中で倒れたことも判る。その頃、大己と亮介は佐野の家で、忍から佐野の話を聞いていた。昨年、アメフトを辞めてから佐野は家にこもりがちで、そんな夫をふがいなく思った忍は、佐野が亡くなる前夜に心ない言葉を口にしてしまったと言う。  　後日、佐川は大己に、感電した佐野が意識が戻ったとはいえ卵を買いに行くのは、困難な行為だったろうと話す。大己は、佐野がそこまでして卵を求めた理由を知るために、意識を集中し佐野へ思いを馳せる。瑛太　  生田斗真　  石原さとみ　  遠藤雄弥　  佐藤智仁　    濱田マリ　  山崎樹範　  名高達男　  　○　  泉谷しげる　  矢田亜希子　  時任三郎　    ほか【脚本】  金子茂樹【プロデュース】  瀧山麻土香　  東康之    【演出】  成田岳吉川慶  Audio　Highs</t>
  </si>
  <si>
    <t>解剖室に男性の遺体が運び込まれる。法医学ゼミ生の加地大己(瑛太)は、石末亮介(生田斗真)、久保秋佳奈子(石原さとみ)、桐畑哲平(遠藤雄弥)、羽井彰(佐藤智仁)、教授の佐川文彦(時任三郎)、助教の夏井川玲子(矢田亜希子)とともに遺体の前に立ち、刑事の大和田敏(山崎樹範)から報告を受ける。  　死亡したのは35歳の佐野秀一(坂田聡)で、生卵を入れたビニール袋を持ったまま、自宅の近所で倒れていたという。警察は急性の心臓死を疑うが、佐野の妻・忍(鶴田真由)は、最近までアメフトの選手だった夫が急死するとは信じられない。  　そんな中、佐川は佐野の手に感電した痕を見つける。そこで、大己らは当時の状況を知るため遺体発見現場へ。しかし、そこは閑静な住宅地で感電が起こるような場所ではなかった。解剖の結果、佐野は自宅で感電したらしいことが判明。さらに、感電後に一旦回復し、卵を買いに行き帰宅途中で倒れたことも判る。その頃、大己と亮介は佐野の家で、忍から佐野の話を聞いていた。昨年、アメフトを辞めてから佐野は家にこもりがちで、そんな夫をふがいなく思った忍は、佐野が亡くなる前夜に心ない言葉を口にしてしまったと言う。  　後日、佐川は大己に、感電した佐野が意識が戻ったとはいえ卵を買いに行くのは、困難な行為だったろうと話す。大己は、佐野がそこまでして卵を求めた理由を知るために、意識を集中し佐野へ思いを馳せる。</t>
  </si>
  <si>
    <t>番組名ヴォイス～命なき者の声～　#03</t>
  </si>
  <si>
    <t>東凛大学医学部のゼミ生・加地大己(瑛太)、石末亮介(生田斗真)、久保秋佳奈子(石原さとみ)は、タクシーの中で突然死したという女性の遺体と対面する。解剖台に横たわる女性を見た佐川文彦(時任三郎)は、死因がクラッシュシンドロームではないかとの見解を示す。夏井川玲子(矢田亜希子)は、クラッシュシンドロームは別名を挫滅症候群といい、事故などで身体が長時間圧迫された後に急に開放されることで起こる症候だと説明。そんな中、佐川はその証拠ともいえるアザを女性の足に認める。  　それを見た佳奈子が涙を流す。その後、佳奈子は大己と亮介に、女性のアザが母親が亡くなったときのアザに酷似していたと話す。15年前、心臓発作で亡くなったはずの母親にアザがあるのを不審に思った佳奈子は、大人に訴えるが相手にされなかった。以来、今でも気になっているという佳奈子に、大己は今からでも調べられるのでは、と事もなげに言う。そして、大己らは、佳奈子の母親・雪子が勤めていた工場へとやってくる。当時を知る工員はいないと言われる中、ジンさん(平泉成)という男性を紹介される。佳奈子はジンさんの顔に見覚えがあり、ジンさんも佳奈子と雪子のことを覚えていた。佳奈子らは、雪子の出勤記録などを調べ始め、さらに、当時、工場で働いていた八木(勝村政信)を訪ねる。しかし、八木は雪子とはあいさつするくらいしか接点はなかったと話すだけで…。瑛太　  生田斗真　  石原さとみ　  遠藤雄弥　  佐藤智仁　    濱田マリ　  山崎樹範　  名高達男　  　○　  泉谷しげる　  矢田亜希子　  時任三郎　    ほか【脚本】  金子茂樹【プロデュース】  瀧山麻土香　  東康之    【演出】  成田岳吉川慶　  Audio　Highs</t>
  </si>
  <si>
    <t>東凛大学医学部のゼミ生・加地大己(瑛太)、石末亮介(生田斗真)、久保秋佳奈子(石原さとみ)は、タクシーの中で突然死したという女性の遺体と対面する。解剖台に横たわる女性を見た佐川文彦(時任三郎)は、死因がクラッシュシンドロームではないかとの見解を示す。夏井川玲子(矢田亜希子)は、クラッシュシンドロームは別名を挫滅症候群といい、事故などで身体が長時間圧迫された後に急に開放されることで起こる症候だと説明。そんな中、佐川はその証拠ともいえるアザを女性の足に認める。  　それを見た佳奈子が涙を流す。その後、佳奈子は大己と亮介に、女性のアザが母親が亡くなったときのアザに酷似していたと話す。15年前、心臓発作で亡くなったはずの母親にアザがあるのを不審に思った佳奈子は、大人に訴えるが相手にされなかった。以来、今でも気になっているという佳奈子に、大己は今からでも調べられるのでは、と事もなげに言う。そして、大己らは、佳奈子の母親・雪子が勤めていた工場へとやってくる。当時を知る工員はいないと言われる中、ジンさん(平泉成)という男性を紹介される。佳奈子はジンさんの顔に見覚えがあり、ジンさんも佳奈子と雪子のことを覚えていた。佳奈子らは、雪子の出勤記録などを調べ始め、さらに、当時、工場で働いていた八木(勝村政信)を訪ねる。しかし、八木は雪子とはあいさつするくらいしか接点はなかったと話すだけで…。</t>
  </si>
  <si>
    <t>番組名ヴォイス～命なき者の声～　#04</t>
  </si>
  <si>
    <t>解剖室に若い男性の遺体が運び込まれる。加地大己(瑛太)らが遺体に対面する中、石末亮介(生田斗真)は、助教の夏井川玲子(矢田亜希子)が読み上げる遺体の情報に驚愕する。高校の同級生で山倉医科大学の五十嵐富士夫(田中圭)だったからだ。  　刑事の大和田敏(山崎樹範)は、遺体発見現場の富士夫の部屋に大麻の吸殻、シーフードピザなどが残されていたと報告。また、大学内で大麻を売っていた高沢(細田よしひこ)という男が失踪していることから、富士夫も高沢のグループの一員だったと疑う。その後、教授の佐川文彦(時任三郎)による解剖の結果、顔に殴られた跡はあるが、死因は窒息死と判明。大己、久保秋佳奈子(石原さとみ)、桐畑哲平(遠藤雄弥)、羽井彰(佐藤智仁)は原因を推測し始める。  　そんな折、高沢が逮捕され、富士夫を殴ったことは認めるが、窒息に関しては知らないと話す。仲間だった富士夫と高沢がなぜそんなことになったのか亮介は疑問に思うが、富士夫は高沢に都合よく使われ、大麻も強要されていたらしいことがわかる。  　後日、技官の蕪木誠(泉谷しげる)が富士夫にアナフィラキシーショックという急性アレルギー反応があったことを発見する。それは、食べ物などが原因で引き起こされ、ノドにできた腫れが気道を塞ぎ、窒息状態になることがあるという。富士夫は何に対してアレルギーを起こしたのか、大己の疑問に亮介は意外な答えを返す。瑛太　  生田斗真　  石原さとみ　  遠藤雄弥　  佐藤智仁　    濱田マリ　  山崎樹範　  名高達男　  　○　  泉谷しげる　  矢田亜希子　  時任三郎　    ほか【脚本】  金子茂樹【プロデュース】  瀧山麻土香　  東康之    【演出】  松山博昭吉川慶　  Audio　Highs</t>
  </si>
  <si>
    <t>解剖室に若い男性の遺体が運び込まれる。加地大己(瑛太)らが遺体に対面する中、石末亮介(生田斗真)は、助教の夏井川玲子(矢田亜希子)が読み上げる遺体の情報に驚愕する。高校の同級生で山倉医科大学の五十嵐富士夫(田中圭)だったからだ。  　刑事の大和田敏(山崎樹範)は、遺体発見現場の富士夫の部屋に大麻の吸殻、シーフードピザなどが残されていたと報告。また、大学内で大麻を売っていた高沢(細田よしひこ)という男が失踪していることから、富士夫も高沢のグループの一員だったと疑う。その後、教授の佐川文彦(時任三郎)による解剖の結果、顔に殴られた跡はあるが、死因は窒息死と判明。大己、久保秋佳奈子(石原さとみ)、桐畑哲平(遠藤雄弥)、羽井彰(佐藤智仁)は原因を推測し始める。  　そんな折、高沢が逮捕され、富士夫を殴ったことは認めるが、窒息に関しては知らないと話す。仲間だった富士夫と高沢がなぜそんなことになったのか亮介は疑問に思うが、富士夫は高沢に都合よく使われ、大麻も強要されていたらしいことがわかる。  　後日、技官の蕪木誠(泉谷しげる)が富士夫にアナフィラキシーショックという急性アレルギー反応があったことを発見する。それは、食べ物などが原因で引き起こされ、ノドにできた腫れが気道を塞ぎ、窒息状態になることがあるという。富士夫は何に対してアレルギーを起こしたのか、大己の疑問に亮介は意外な答えを返す。</t>
  </si>
  <si>
    <t>番組名ヴォイス～命なき者の声～　#05</t>
  </si>
  <si>
    <t>加地大己(瑛太)、石末亮介(生田斗真)、久保秋佳奈子(石原さとみ)らゼミ生は、ゴシップ誌カメラマン・岡原浩介(吹越満)の遺体と対面する。岡原はなぜか民家のニワトリ小屋の前で死亡していた。  　刑事・大和田敏(山崎樹範)によると、現場に残されたフィルムには、有名人の不倫現場を押さえた写真に混ざり、麺つゆの瓶を撮ったものがあったという。  　そんな中、佐川文彦(時任三郎)と夏井川玲子(矢田亜希子)は解剖作業を進め、佐川は死因を「肺動脈血栓塞栓症」、別称“エコノミークラス症候群"とする。主に下肢を長時間動かさないでいることで、静脈にできた血栓が肺動脈を閉塞し生じる病症だ。  　死因究明のため、大己は、亮介、羽井彰(佐藤智仁)と遺体発見現場を訪れるが、有力な手がかりを得られないまま、岡原の元妻・朋枝が営むクリーニング店へ。朋枝は岡原と3年前に離婚したが、8歳になる息子に会いたいと言われ、半年前に会ったのが最後だと話す。  　後日、ゼミ生5人は、岡原が友人・沢野と借りていた事務所を訪ねる。沢野は、岡原は金のためかなり際どい写真にも手を出していたと話す。そんなとき、岡原が残した写真を見ていた大己の手が止まる。ゴシップ写真に混じって、餃子、ルービックキューブ、観覧車など、意味のわからない写真が。麺つゆの写真と同類なのか?  　5人は友人から情報を得て、餃子が撮られたと思われる中華料理店に向かう。瑛太　  生田斗真　  石原さとみ　  遠藤雄弥　  佐藤智仁　    濱田マリ　  山崎樹範　  名高達男  　○　  泉谷しげる　  矢田亜希子　  時任三郎　    ほか【脚本】  金子茂樹【プロデュース】  瀧山麻土香　  東康之    【演出】  松山博昭吉川慶　  Audio　Highs</t>
  </si>
  <si>
    <t>加地大己(瑛太)、石末亮介(生田斗真)、久保秋佳奈子(石原さとみ)らゼミ生は、ゴシップ誌カメラマン・岡原浩介(吹越満)の遺体と対面する。岡原はなぜか民家のニワトリ小屋の前で死亡していた。  　刑事・大和田敏(山崎樹範)によると、現場に残されたフィルムには、有名人の不倫現場を押さえた写真に混ざり、麺つゆの瓶を撮ったものがあったという。  　そんな中、佐川文彦(時任三郎)と夏井川玲子(矢田亜希子)は解剖作業を進め、佐川は死因を「肺動脈血栓塞栓症」、別称“エコノミークラス症候群"とする。主に下肢を長時間動かさないでいることで、静脈にできた血栓が肺動脈を閉塞し生じる病症だ。  　死因究明のため、大己は、亮介、羽井彰(佐藤智仁)と遺体発見現場を訪れるが、有力な手がかりを得られないまま、岡原の元妻・朋枝が営むクリーニング店へ。朋枝は岡原と3年前に離婚したが、8歳になる息子に会いたいと言われ、半年前に会ったのが最後だと話す。  　後日、ゼミ生5人は、岡原が友人・沢野と借りていた事務所を訪ねる。沢野は、岡原は金のためかなり際どい写真にも手を出していたと話す。そんなとき、岡原が残した写真を見ていた大己の手が止まる。ゴシップ写真に混じって、餃子、ルービックキューブ、観覧車など、意味のわからない写真が。麺つゆの写真と同類なのか?  　5人は友人から情報を得て、餃子が撮られたと思われる中華料理店に向かう。</t>
  </si>
  <si>
    <t>番組名ヴォイス～命なき者の声～　#06</t>
  </si>
  <si>
    <t>法医学教室のゼミ生・加地大己(瑛太)、久保秋佳奈子(石原さとみ)、桐畑哲平(遠藤雄弥)、羽井彰(佐藤智仁)は、佐川文彦(時任三郎)から生きている患者を診ると聞き驚く。  　石末亮介(生田斗真)の父親・貴之(名高達男)が経営する病院の入院患者に、ミュンヒハウゼン症候群ー他人の関心を得ようとするあまり、偽の症状を作り出し、通院や入院を繰り返す症状ーが疑われるため、その意見書の作成を依頼されたのだ。患者の主治医から連絡を受けた佐川は、亮介と夏井川玲子(矢田亜希子)を病院へ向かわす。  　患者・相馬朋子(志田未来)は中学生で、数日前に、兄・泰人(石田卓也)に付き添われ救急車で搬送されてきた。偽膜性大腸炎と診断されたが、血液検査では特に異常が見られないという。さらに、朋子は半年前から大腸炎にかかり度々通院していて処方された薬を飲んでいるはずなのに、症状が悪化しているとも明かす。朋子に会った亮介は、明朗快活な彼女が人の関心を引くために自分から病気になっているとは信じられない。  　ところが、朋子の血液のデータ解析をした蕪木誠(泉谷しげる)は、血中に偽膜性大腸炎を発症できるというペニシリンを見つける。  　予想外の結果に佐川らは驚くが、とはいえ、中学生がペニシリンを入手できるはずはない。誰かが、故意に飲ませているのではないか、とすれば、それは…?  　大己は亮介とともに朋子を訪ねることにする。瑛太　  生田斗真　  石原さとみ　  遠藤雄弥　  佐藤智仁　    濱田マリ　  山崎樹範　  名高達男  　○　  泉谷しげる　  矢田亜希子　  時任三郎　    ほか【脚本】  金子茂樹【プロデュース】  瀧山麻土香　  東康之    【演出】  成田岳吉川慶　  Audio　Highs</t>
  </si>
  <si>
    <t>法医学教室のゼミ生・加地大己(瑛太)、久保秋佳奈子(石原さとみ)、桐畑哲平(遠藤雄弥)、羽井彰(佐藤智仁)は、佐川文彦(時任三郎)から生きている患者を診ると聞き驚く。  　石末亮介(生田斗真)の父親・貴之(名高達男)が経営する病院の入院患者に、ミュンヒハウゼン症候群ー他人の関心を得ようとするあまり、偽の症状を作り出し、通院や入院を繰り返す症状ーが疑われるため、その意見書の作成を依頼されたのだ。患者の主治医から連絡を受けた佐川は、亮介と夏井川玲子(矢田亜希子)を病院へ向かわす。  　患者・相馬朋子(志田未来)は中学生で、数日前に、兄・泰人(石田卓也)に付き添われ救急車で搬送されてきた。偽膜性大腸炎と診断されたが、血液検査では特に異常が見られないという。さらに、朋子は半年前から大腸炎にかかり度々通院していて処方された薬を飲んでいるはずなのに、症状が悪化しているとも明かす。朋子に会った亮介は、明朗快活な彼女が人の関心を引くために自分から病気になっているとは信じられない。  　ところが、朋子の血液のデータ解析をした蕪木誠(泉谷しげる)は、血中に偽膜性大腸炎を発症できるというペニシリンを見つける。  　予想外の結果に佐川らは驚くが、とはいえ、中学生がペニシリンを入手できるはずはない。誰かが、故意に飲ませているのではないか、とすれば、それは…?  　大己は亮介とともに朋子を訪ねることにする。</t>
  </si>
  <si>
    <t>番組名ヴォイス～命なき者の声～　#07</t>
  </si>
  <si>
    <t>東凛大学の解剖室に60代の女性が運び込まれ、加地大己(瑛太)と羽井彰(佐藤智仁)は、夏井川玲子(矢田亜希子)から解剖の作業に参加するように言われる。執刀する佐川文彦(時任三郎)から注意を受け、解剖が始まろうとしたとき、解剖を中止しろと言う声がする。声の主は女性の夫・野間口功(石橋蓮司)だった。  　一度は解剖を承諾したが、妻は解剖を望んでいないし、生き返ることもないからという野間口。佐川が解剖の必要性を説いても納得せず、女性は無言の帰宅をすることに。そのやりとりを見ていた久保秋佳奈子(石原さとみ)は研究室を飛び出していく。そんな佳奈子を、大己、石末亮介(生田斗真)、桐畑哲平(遠藤雄弥)、彰が追う。野間口に駆け寄った佳奈子は、真実がわからないままでいいのかと声をかけるが、野間口は聞く耳を持たない。  　研究室に戻ったゼミ生たちが解剖の必要性について意見交換する中、佳奈子はやはり必要性を感じると言う。大己は、母親を亡くしている佳奈子にこそ伝えられることがあるだろうと話し、5人は野間口の自宅を訪ねることに。野間口と対峙した佳奈子は母親の話を始め、死因がわからないままでいることの辛さを訴えるが、翻意させることはできない。  　5人はさらに解剖の必要性について話し合う。野間口の気持ちもわかるという亮平、哲平、彰に対して、佳奈子はどうしても納得がいかない。そんな4人を見ていた大己は…。瑛太　  生田斗真　  石原さとみ　  遠藤雄弥　  佐藤智仁　    濱田マリ　  山崎樹範　  名高達男  　○　  泉谷しげる　  矢田亜希子　  時任三郎　    ほか【脚本】  金子茂樹【プロデュース】  瀧山麻土香　  東康之    【演出】  松山博昭吉川慶　  Audio　Highs</t>
  </si>
  <si>
    <t>東凛大学の解剖室に60代の女性が運び込まれ、加地大己(瑛太)と羽井彰(佐藤智仁)は、夏井川玲子(矢田亜希子)から解剖の作業に参加するように言われる。執刀する佐川文彦(時任三郎)から注意を受け、解剖が始まろうとしたとき、解剖を中止しろと言う声がする。声の主は女性の夫・野間口功(石橋蓮司)だった。  　一度は解剖を承諾したが、妻は解剖を望んでいないし、生き返ることもないからという野間口。佐川が解剖の必要性を説いても納得せず、女性は無言の帰宅をすることに。そのやりとりを見ていた久保秋佳奈子(石原さとみ)は研究室を飛び出していく。そんな佳奈子を、大己、石末亮介(生田斗真)、桐畑哲平(遠藤雄弥)、彰が追う。野間口に駆け寄った佳奈子は、真実がわからないままでいいのかと声をかけるが、野間口は聞く耳を持たない。  　研究室に戻ったゼミ生たちが解剖の必要性について意見交換する中、佳奈子はやはり必要性を感じると言う。大己は、母親を亡くしている佳奈子にこそ伝えられることがあるだろうと話し、5人は野間口の自宅を訪ねることに。野間口と対峙した佳奈子は母親の話を始め、死因がわからないままでいることの辛さを訴えるが、翻意させることはできない。  　5人はさらに解剖の必要性について話し合う。野間口の気持ちもわかるという亮平、哲平、彰に対して、佳奈子はどうしても納得がいかない。そんな4人を見ていた大己は…。</t>
  </si>
  <si>
    <t>番組名ヴォイス～命なき者の声～　#08</t>
  </si>
  <si>
    <t>東凛大学の解剖室に火災現場で死亡した60代の男性が運び込まれる。男性・今成卓見(平田満)は警備員で、自宅付近の火災現場で発見されたが、胸に子供の遺体を抱えていたという。今成と子供に面識がない上、子供がカーペットに包まれていたことから、今成には放火犯の疑いもかかる。  　解剖が行われ、加地大己(瑛太)、石末亮介(生田斗真)、桐畑哲平(遠藤雄弥)、羽井彰(佐藤智仁)は、佐川文彦(時任三郎)から、今成が肝炎を患っていたことを聞く。そんな中、哲平は、夏井川玲子(矢田亜希子)から今成の肝臓を実験室に運ぶように指示される。ところが、途中でシャーレを落としてしまう。慌てて割れたシャーレと肝臓を拾い集める哲平。物音を聞き駆け込んできた佐川は、出血した哲平の指を洗浄する。感染の可能性がある哲平は、大学内の病室に入院することに。  　同じ頃、蕪木(泉谷しげる)は、今成がB型肝炎であると突き止める。感染していたら命に関わるだけに、大己らは検査結果が気にかかる。  　翌日、自宅待機中の哲平を、久保秋佳奈子(石原さとみ)と彰が訪ねる。部屋に入った佳奈子は、哲平に頭を下げる。実は、今成の解剖の日、佳奈子は大学が募集する海外研修の最終面接があり、解剖作業を代わってもらっていたのだ。その頃、研究室にいた大己らは、大和田敏(山崎範樹)から、今成が少し前まで科学警察研究所の火事を専門に分析する部署に勤めていたと聞く。瑛太　  生田斗真　  石原さとみ　  遠藤雄弥　  佐藤智仁　    濱田マリ　  山崎樹範　  名高達男  　○　  泉谷しげる　  矢田亜希子　  時任三郎　    ほか【脚本】  金子茂樹【プロデュース】  瀧山麻土香　  東康之    【演出】  石井祐介吉川慶　  Audio　Highs</t>
  </si>
  <si>
    <t>東凛大学の解剖室に火災現場で死亡した60代の男性が運び込まれる。男性・今成卓見(平田満)は警備員で、自宅付近の火災現場で発見されたが、胸に子供の遺体を抱えていたという。今成と子供に面識がない上、子供がカーペットに包まれていたことから、今成には放火犯の疑いもかかる。  　解剖が行われ、加地大己(瑛太)、石末亮介(生田斗真)、桐畑哲平(遠藤雄弥)、羽井彰(佐藤智仁)は、佐川文彦(時任三郎)から、今成が肝炎を患っていたことを聞く。そんな中、哲平は、夏井川玲子(矢田亜希子)から今成の肝臓を実験室に運ぶように指示される。ところが、途中でシャーレを落としてしまう。慌てて割れたシャーレと肝臓を拾い集める哲平。物音を聞き駆け込んできた佐川は、出血した哲平の指を洗浄する。感染の可能性がある哲平は、大学内の病室に入院することに。  　同じ頃、蕪木(泉谷しげる)は、今成がB型肝炎であると突き止める。感染していたら命に関わるだけに、大己らは検査結果が気にかかる。  　翌日、自宅待機中の哲平を、久保秋佳奈子(石原さとみ)と彰が訪ねる。部屋に入った佳奈子は、哲平に頭を下げる。実は、今成の解剖の日、佳奈子は大学が募集する海外研修の最終面接があり、解剖作業を代わってもらっていたのだ。その頃、研究室にいた大己らは、大和田敏(山崎範樹)から、今成が少し前まで科学警察研究所の火事を専門に分析する部署に勤めていたと聞く。</t>
  </si>
  <si>
    <t>番組名ヴォイス～命なき者の声～　#09</t>
  </si>
  <si>
    <t>東凛大学の解剖室に、男性の遺体が運ばれる。ビルの窓拭きを請け負う会社社長・宇野慧(平賀雅臣)は、作業時にビルから落下したとされるが、調査の結果、落下原因と思われる命綱の不具合は見つからなかった。大己(瑛太)は、佳奈子(石原さとみ)とともに、佐川(時任三郎)と玲子(矢田亜希子)の解剖を手伝いながら、ベテランの宇野が落下した理由が気にかかる。解剖後、佳奈子を連れて遺体発見現場へ。宇野が落下したビルの前に立った大己は、不自然な拭き残しがあるのを見つける。  　その後、宇野を知る人々を訪ねたふたりは、宇野が多額の負債を抱えながらも、信頼の厚い好人物だったことがわかる。唯一、宇野の妻・真由美(中島ひろ子)は、借金返済のためにも早く保険金が下りて欲しそうなそぶりを見せる。実験室で哲平(遠藤雄弥)と薬毒物検査を行っていた蕪木(泉谷しげる)は、宇野の血中から意外な成分を検出する。  　一方、実家の病院でアルバイトをしていた亮介(生田斗真)は、入院患者に桜井真也(田村亮)という有名作家がいることに興味を示す。ほどなくして、容態が安定した桜井に一時帰宅の許可が出る。ところが、容態が急変する。  　同じ頃、大己は、哲平と彰(佐藤智仁)から、佳奈子がアメリカ研修の面接に合格していたと聞く。盛り上がる哲平と彰に対して、クールに振舞う佳奈子。そんな佳奈子と目が合った大己は、思わず視線を逸らしーー。瑛太　  生田斗真　  石原さとみ　  遠藤雄弥　  佐藤智仁　    濱田マリ　  山崎樹範　  名高達男  　○　  泉谷しげる　  矢田亜希子　  時任三郎　    ほか【脚本】  金子茂樹【プロデュース】  瀧山麻土香　  東康之    【演出】  成田岳吉川慶　  Audio　Highs</t>
  </si>
  <si>
    <t>東凛大学の解剖室に、男性の遺体が運ばれる。ビルの窓拭きを請け負う会社社長・宇野慧(平賀雅臣)は、作業時にビルから落下したとされるが、調査の結果、落下原因と思われる命綱の不具合は見つからなかった。大己(瑛太)は、佳奈子(石原さとみ)とともに、佐川(時任三郎)と玲子(矢田亜希子)の解剖を手伝いながら、ベテランの宇野が落下した理由が気にかかる。解剖後、佳奈子を連れて遺体発見現場へ。宇野が落下したビルの前に立った大己は、不自然な拭き残しがあるのを見つける。  　その後、宇野を知る人々を訪ねたふたりは、宇野が多額の負債を抱えながらも、信頼の厚い好人物だったことがわかる。唯一、宇野の妻・真由美(中島ひろ子)は、借金返済のためにも早く保険金が下りて欲しそうなそぶりを見せる。実験室で哲平(遠藤雄弥)と薬毒物検査を行っていた蕪木(泉谷しげる)は、宇野の血中から意外な成分を検出する。  　一方、実家の病院でアルバイトをしていた亮介(生田斗真)は、入院患者に桜井真也(田村亮)という有名作家がいることに興味を示す。ほどなくして、容態が安定した桜井に一時帰宅の許可が出る。ところが、容態が急変する。  　同じ頃、大己は、哲平と彰(佐藤智仁)から、佳奈子がアメリカ研修の面接に合格していたと聞く。盛り上がる哲平と彰に対して、クールに振舞う佳奈子。そんな佳奈子と目が合った大己は、思わず視線を逸らしーー。</t>
  </si>
  <si>
    <t>番組名ヴォイス～命なき者の声～　#10</t>
  </si>
  <si>
    <t>加地大己(瑛太)の言葉に勇気づけられた石末亮介(生田斗真)は、急死した作家・桜井真也(田村亮)の妻・瑠美子(麻生祐未)に解剖を勧め、瑠美子も受け入れる。  　解剖室で遺体を執刀した佐川文彦(時任三郎)は、死因とされた腸閉塞は見られないと診断。病気以外の死因が絡んでいるかもしれない、と言う夏井川玲子(矢田亜希子)に、大己、亮介、久保秋佳奈子(石原さとみ)らは衝撃を受ける。  　真也が解剖されたという情報は、石末総合病院の院長・石末貴之(名高達男)にも届いていた。解剖を勧めたのが息子だと知った貴之は、それでも病院の処置は正しかったと主張。佐川と玲子は、真也が医療ミスで死亡した可能性はあるが、死因になったとされる抗がん剤の不適切量の投与があったかどうかは不明だと言う。医療ミスを立証するには、病院側に過失があったという証拠が必要だ。しかし、それを知るのは病院側だけでーー。  　病院側の証言が得られなければ泣き寝入りすることになるーー現状を知った瑠美子は、解剖したことを後悔する。亮介は、自分が解剖を勧めたばかりに辛い思いをさせてしまった、と落ち込む。解剖すれば何でもわかると信じていたゼミ生たちも、その気持ちに共感する。そんな折、瑠美子を訪ねた大己は、死因が特定できなかったのは残念だが、実家の病院の医療ミスを暴こうとする亮介の覚悟を理解してやってほしい、と訴える。それを聞いた瑠美子は…。瑛太　  生田斗真　  石原さとみ　  遠藤雄弥　  佐藤智仁　    濱田マリ　  山崎樹範　  名高達男  　○　  泉谷しげる  矢田亜希子　  時任三郎　    ほか【脚本】  金子茂樹【プロデュース】  瀧山麻土香　  東康之    【演出】  成田岳吉川慶　  Audio　Highs</t>
  </si>
  <si>
    <t>加地大己(瑛太)の言葉に勇気づけられた石末亮介(生田斗真)は、急死した作家・桜井真也(田村亮)の妻・瑠美子(麻生祐未)に解剖を勧め、瑠美子も受け入れる。  　解剖室で遺体を執刀した佐川文彦(時任三郎)は、死因とされた腸閉塞は見られないと診断。病気以外の死因が絡んでいるかもしれない、と言う夏井川玲子(矢田亜希子)に、大己、亮介、久保秋佳奈子(石原さとみ)らは衝撃を受ける。  　真也が解剖されたという情報は、石末総合病院の院長・石末貴之(名高達男)にも届いていた。解剖を勧めたのが息子だと知った貴之は、それでも病院の処置は正しかったと主張。佐川と玲子は、真也が医療ミスで死亡した可能性はあるが、死因になったとされる抗がん剤の不適切量の投与があったかどうかは不明だと言う。医療ミスを立証するには、病院側に過失があったという証拠が必要だ。しかし、それを知るのは病院側だけでーー。  　病院側の証言が得られなければ泣き寝入りすることになるーー現状を知った瑠美子は、解剖したことを後悔する。亮介は、自分が解剖を勧めたばかりに辛い思いをさせてしまった、と落ち込む。解剖すれば何でもわかると信じていたゼミ生たちも、その気持ちに共感する。そんな折、瑠美子を訪ねた大己は、死因が特定できなかったのは残念だが、実家の病院の医療ミスを暴こうとする亮介の覚悟を理解してやってほしい、と訴える。それを聞いた瑠美子は…。</t>
  </si>
  <si>
    <t>番組名ヴォイス～命なき者の声～　#11</t>
  </si>
  <si>
    <t>東凛大学の解剖室に、胸をナイフで刺され死亡した成瀬喧一(ダンカン)の遺体が運び込まれる。刺したのは坂田潔美(近野成美)という女子高生で、ナイフを持って襲い掛かってきた成瀬ともみ合ううちに刺してしまったと正当防衛を主張。彼女の体にもみ合ったときにできたと思われる傷があること、さらに、成瀬が強制わいせつ事件で逮捕された過去があることからも、潔美の主張は正しいと思われる。  　ところがその後、加地大己(瑛太)、石末亮介(生田斗真)、久保秋佳奈子(石原さとみ)、桐畑哲平(遠藤雄弥)、羽井彰(佐藤智仁)らは、夏井川玲子(矢田亜希子)から佐川文彦(時任三郎)が潔美の正当防衛に疑問を呈し、警察にもその方向で捜査を進めたほうがいいと助言したと聞き驚く。  　潔美は大学の理事長の親戚であったため、それを知った理事長は激怒。他大学に再解剖の依頼を出す。大学内では、鑑定結果次第で佐川の進退問題に発展するのではないか、との噂が流れる。  　その後、再解剖を依頼された教授が成瀬は事故によって刺されたものと、潔美の正当防衛を支持する判断を下す。これにより、佐川は教授会にかけられることに。教授室に戻りゼミ生に囲まれた佐川は、自分も大己らと同じタイミングで法医学教室を去ることになりそうだと告げる。大己らはゼミ生としての勉強期間を終え、それぞれの道を歩んでいく時期に差しかかっていたのだ。瑛太　  生田斗真　  石原さとみ　  遠藤雄弥　  佐藤智仁　    濱田マリ　  山崎樹範　  名高達男  　○　  泉谷しげる　  矢田亜希子　  時任三郎　    ほか【脚本】  金子茂樹【プロデュース】  瀧山麻土香　  東康之    【演出】  成田岳吉川慶　  Audio　Highs</t>
  </si>
  <si>
    <t>東凛大学の解剖室に、胸をナイフで刺され死亡した成瀬喧一(ダンカン)の遺体が運び込まれる。刺したのは坂田潔美(近野成美)という女子高生で、ナイフを持って襲い掛かってきた成瀬ともみ合ううちに刺してしまったと正当防衛を主張。彼女の体にもみ合ったときにできたと思われる傷があること、さらに、成瀬が強制わいせつ事件で逮捕された過去があることからも、潔美の主張は正しいと思われる。  　ところがその後、加地大己(瑛太)、石末亮介(生田斗真)、久保秋佳奈子(石原さとみ)、桐畑哲平(遠藤雄弥)、羽井彰(佐藤智仁)らは、夏井川玲子(矢田亜希子)から佐川文彦(時任三郎)が潔美の正当防衛に疑問を呈し、警察にもその方向で捜査を進めたほうがいいと助言したと聞き驚く。  　潔美は大学の理事長の親戚であったため、それを知った理事長は激怒。他大学に再解剖の依頼を出す。大学内では、鑑定結果次第で佐川の進退問題に発展するのではないか、との噂が流れる。  　その後、再解剖を依頼された教授が成瀬は事故によって刺されたものと、潔美の正当防衛を支持する判断を下す。これにより、佐川は教授会にかけられることに。教授室に戻りゼミ生に囲まれた佐川は、自分も大己らと同じタイミングで法医学教室を去ることになりそうだと告げる。大己らはゼミ生としての勉強期間を終え、それぞれの道を歩んでいく時期に差しかかっていたのだ。</t>
  </si>
  <si>
    <t>0901_CX_火21</t>
  </si>
  <si>
    <t>メイちゃんの執事</t>
  </si>
  <si>
    <t>番組名メイちゃんの執事　#01</t>
  </si>
  <si>
    <t>公式執事資格の最高位であるSランクを持ち、容姿端麗、頭脳明晰な執事・柴田理人(水嶋ヒロ)は、17歳の女子高生・東雲メイ(榮倉奈々)に仕える。メイの母(山下容莉枝)とともに事故に巻き込まれて他界したメイの父(橋爪淳)が、実は日本最高の企業である本郷グループの現当主・本郷金太郎(津川雅彦)の息子だった。つまり、メイは本郷家の正当な後継者候補なのだ。金太郎の命令でメイに仕えた理人は、実はメイの幼なじみである剣人(佐藤健)の実兄でもあった。メイは本郷家の後継者にふさわしい教育を受けるために、次世代の淑女を育成するために設立された全寮制の超お嬢様学校・聖ルチア女学園に転入する。そこは、学費が月額1億円、お嬢様ひとりひとりに執事がつくという、あまりにも庶民とはかけ離れた世界だった。Sランク執事の理人が仕えるということで、竜恩寺泉(岩佐真悠子)や華山リカ(大政絢)ら女学園のお嬢様たちは、メイに注目していた。が、メイのあまりにも冴えない姿に、泉たちは露骨に嫌な顔を向けた。リカはメイに向かって「あなたは2週間以内に逃げ出すことになる」とまで言い切った。そんな中、メイは学園の外れにある温室で、真っ白な執事服を身につけた男・忍(向井理)と、彼に車イスを押されている美しい女性・ルチア(山田優)に出会う。ルチアは、最高の淑女に贈られる称号を持った、学園内の絶対権力者だった。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</si>
  <si>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公式執事資格の最高位であるSランクを持ち、容姿端麗、頭脳明晰な執事・柴田理人(水嶋ヒロ)は、17歳の女子高生・東雲メイ(榮倉奈々)に仕える。メイの母(山下容莉枝)とともに事故に巻き込まれて他界したメイの父(橋爪淳)が、実は日本最高の企業である本郷グループの現当主・本郷金太郎(津川雅彦)の息子だった。つまり、メイは本郷家の正当な後継者候補なのだ。金太郎の命令でメイに仕えた理人は、実はメイの幼なじみである剣人(佐藤健)の実兄でもあった。メイは本郷家の後継者にふさわしい教育を受けるために、次世代の淑女を育成するために設立された全寮制の超お嬢様学校・聖ルチア女学園に転入する。そこは、学費が月額1億円、お嬢様ひとりひとりに執事がつくという、あまりにも庶民とはかけ離れた世界だった。Sランク執事の理人が仕えるということで、竜恩寺泉(岩佐真悠子)や華山リカ(大政絢)ら女学園のお嬢様たちは、メイに注目していた。が、メイのあまりにも冴えない姿に、泉たちは露骨に嫌な顔を向けた。リカはメイに向かって「あなたは2週間以内に逃げ出すことになる」とまで言い切った。そんな中、メイは学園の外れにある温室で、真っ白な執事服を身につけた男・忍(向井理)と、彼に車イスを押されている美しい女性・ルチア(山田優)に出会う。ルチアは、最高の淑女に贈られる称号を持った、学園内の絶対権力者だった。</t>
  </si>
  <si>
    <t>番組名メイちゃんの執事　#02</t>
  </si>
  <si>
    <t>生徒ひとりひとりに超優秀なイケメン執事がついている夢の“イケメン付き女学園"を舞台に繰り広げる最強のラブコメディー!!  女性なら1度はなりたいと思うもの。それは“お嬢様"や“お姫様"。その理由は「何でも手に入る」「イケメンをはべらせている」などなど。しかし、真の“お嬢様"とは、外見の美しさと家柄だけでなく、知識や教養の高さと、マナーを身につけた女性のこと。そんな素敵な女性になるためには、自分を磨き続けなくてはいけません。“お嬢様"にその磨き方を教えてくれるのが“執事"なのです。  そんな“執事"役にイケメンを勢ぞろいさせた夢のような連続ドラマが2009年1月ついに登場!  舞台は、日本最高のスーパーお嬢様学校「聖ルチア女学園」。そこは、敷地面積が東京都の約1/3、学園内の移動手段はすべてヘリコプター、学費は月額1億円。そして、お嬢様ひとりひとりに超イケメン執事がついているというとんでもない女学園で起こる、とんでもない出来事の数々を描く最強のラブコメディ。  ある完璧でイケメンの執事・理人が、一夜にしてお嬢様の仲間入りをした庶民出身のヒロイン・メイと、性格の悪いご学友のお嬢様のイジメや嫉妬を乗り越え、真のお嬢様を目指していく、笑いあり涙ありの挑戦のドラマです。そしてまた、理人、メイ、理人の弟・剣人の3人が繰り広げる“三角関係"の恋の行方など、さまざまなストーリー展開に目が離せません。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</si>
  <si>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生徒ひとりひとりに超優秀なイケメン執事がついている夢の“イケメン付き女学園"を舞台に繰り広げる最強のラブコメディー!!  女性なら1度はなりたいと思うもの。それは“お嬢様"や“お姫様"。その理由は「何でも手に入る」「イケメンをはべらせている」などなど。しかし、真の“お嬢様"とは、外見の美しさと家柄だけでなく、知識や教養の高さと、マナーを身につけた女性のこと。そんな素敵な女性になるためには、自分を磨き続けなくてはいけません。“お嬢様"にその磨き方を教えてくれるのが“執事"なのです。  そんな“執事"役にイケメンを勢ぞろいさせた夢のような連続ドラマが2009年1月ついに登場!  舞台は、日本最高のスーパーお嬢様学校「聖ルチア女学園」。そこは、敷地面積が東京都の約1/3、学園内の移動手段はすべてヘリコプター、学費は月額1億円。そして、お嬢様ひとりひとりに超イケメン執事がついているというとんでもない女学園で起こる、とんでもない出来事の数々を描く最強のラブコメディ。  ある完璧でイケメンの執事・理人が、一夜にしてお嬢様の仲間入りをした庶民出身のヒロイン・メイと、性格の悪いご学友のお嬢様のイジメや嫉妬を乗り越え、真のお嬢様を目指していく、笑いあり涙ありの挑戦のドラマです。そしてまた、理人、メイ、理人の弟・剣人の3人が繰り広げる“三角関係"の恋の行方など、さまざまなストーリー展開に目が離せません。</t>
  </si>
  <si>
    <t>番組名メイちゃんの執事　#03</t>
  </si>
  <si>
    <t>理人(水嶋ヒロ)は、メイ(榮倉奈々)の様子がおかしいことに気づく。原因のひとつは、ルチア(山田優)が実は本郷家の人間であることを、理人がメイに話していなかったせいだった。ルチアは本郷家の遠縁にあたり、メイの父・周太郎(橋爪淳)が本郷家を飛び出した後に、養女として迎えられたのだという。ルチアの執事・忍(向井理)からそれを教えられたメイはショックを隠せない。ルチアは、そんなメイに、自分が本郷家を継いだらメイの両親の遺骨を同じ墓に入れる、と約束する。そうすれば、メイも聖ルチア女学園から解放されるというのだ。あくる朝、登校したメイの前に剣人(佐藤健)が駆けてくる。メイのせいで泉(岩佐真悠子)が学園を退学させられる、という噂話が流れ、生徒たちが殺気立っているらしい。メイが原因だというのはデマだったが、気になったメイは、泉の執事・木場(夕輝壽太)から事情を聞く。そこで木場は、泉が竜恩寺家の次期当主を降ろされたことを告白する。4年前に竜恩寺家に嫁いできた泉の義母・都(山口香緒里)から電話があり、都が生んだ子・新之介(庄司龍成)が次期当主になることが親族会で決まった、という連絡があったらしい。泉は、その決定を受け入れる決意を固めていた。さらに泉は、木場を竜恩寺家に返し、ある財閥の会長と政略結婚させられるらしい。そんな泉に接触した忍は、望むことがあるのならばルチアに願い出ればいい、と告げ…。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</si>
  <si>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番組名メイちゃんの執事　#04</t>
  </si>
  <si>
    <t>理人(水嶋ヒロ)は、メイ(榮倉奈々)と泉(岩佐真悠子)の決闘&lt;デュエロ&gt;に立ち会わずに、とある場所に向かっていた。そんな理人の前に現れた忍(向井理)は、もうメイに仕えることはできない、と言い放つ。同じころ、聖ルチア女学園では、メイと泉の決闘が始まろうとしていた。今回の決闘は宝探し。学園内のどこかに隠されている宝箱には、泉の執事・木場(夕輝壽太)が1番大切にしているものが入っているのだという。メイのことが心配になった剣人(佐藤健)は、こっそり彼女の後を追っていた。そのとき、不審な男たちがメイに襲いかかるのを目撃した剣人は、男たちに飛びかかってメイを救出すると、彼女の手をつかんで走り出す。森の奥へと逃げたメイと剣人は、男たちが追ってこないのを確認し、ようやくひと息つく。そこに、泉が現れた。剣人は、メイを襲わせたのは泉ではないかと疑い、これ以上勝負を続ける必要はない、と言い放った。それに対して泉は、自分はこの勝負に勝たなければならない、だから中止にはできない、と返す。剣人は、そんな泉に怒りをぶつけようとした。が、それを制したのはメイだった。そばにいると言ってくれた理人のために、自分もこの学園で頑張りたい、と泉に告げるメイ。その言葉を聞いた剣人は大きなショックを受け…。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</si>
  <si>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理人(水嶋ヒロ)は、メイ(榮倉奈々)と泉(岩佐真悠子)の決闘&lt;デュエロ&gt;に立ち会わずに、とある場所に向かっていた。そんな理人の前に現れた忍(向井理)は、もうメイに仕えることはできない、と言い放つ。同じころ、聖ルチア女学園では、メイと泉の決闘が始まろうとしていた。今回の決闘は宝探し。学園内のどこかに隠されている宝箱には、泉の執事・木場(夕輝壽太)が1番大切にしているものが入っているのだという。メイのことが心配になった剣人(佐藤健)は、こっそり彼女の後を追っていた。そのとき、不審な男たちがメイに襲いかかるのを目撃した剣人は、男たちに飛びかかってメイを救出すると、彼女の手をつかんで走り出す。森の奥へと逃げたメイと剣人は、男たちが追ってこないのを確認し、ようやくひと息つく。そこに、泉が現れた。剣人は、メイを襲わせたのは泉ではないかと疑い、これ以上勝負を続ける必要はない、と言い放った。それに対して泉は、自分はこの勝負に勝たなければならない、だから中止にはできない、と返す。剣人は、そんな泉に怒りをぶつけようとした。が、それを制したのはメイだった。そばにいると言ってくれた理人のために、自分もこの学園で頑張りたい、と泉に告げるメイ。その言葉を聞いた剣人は大きなショックを受け…。</t>
  </si>
  <si>
    <t>番組名メイちゃんの執事　#05</t>
  </si>
  <si>
    <t>理人(水嶋ヒロ)とメイ(榮倉奈々)は、突然クラスにやってきたルチア(山田優)の言葉に動揺する。ルチアはメイたちのクラスメートになったのだという。その際、忍(向井理)は、メイもルチア同様、本郷家の後継者候補であることを皆に明かす。ルチアが理人を取り戻そうとしていることを知った剣人(佐藤健)は、理人に対して怒りをぶつけた。剣人は、理人がルチアの元に戻ればすべて収まる、と言うと、自分がメイの執事になる、と言い放つ。同じころ、由真(臼田あさ美)ら太陽生たちは、1週間後に学力テストを行い基準点に満たない者を即刻退学にすることを決める。その決定に反発した泉(岩佐真悠子)は、メイの学力を向上させるための特訓を開始する。一方、みるく(吉田里琴)は、ルチアからの食事の誘いを断る。執事を使って人を陥れるような人間の取り巻きになる気はない、というのだ。ほどなく、みるくと執事の大門(鈴木亮平)の前に、3人の黒服の男が現れる。男たちはみるくの日常生活を監査するためにやってきたのだという。実はみるくは、国内のとある研究所で技術開発に関わっていた。その研究所は、防衛省直轄の機関だという噂があり、大門もその組織の人間らしい。メイは、食事も与えられないまま、監査役の男たちに仕事を命じられているみるくのことを心配していた。そんな折、みるくが行方不明になるという事件が起き…。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</si>
  <si>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理人(水嶋ヒロ)とメイ(榮倉奈々)は、突然クラスにやってきたルチア(山田優)の言葉に動揺する。ルチアはメイたちのクラスメートになったのだという。その際、忍(向井理)は、メイもルチア同様、本郷家の後継者候補であることを皆に明かす。ルチアが理人を取り戻そうとしていることを知った剣人(佐藤健)は、理人に対して怒りをぶつけた。剣人は、理人がルチアの元に戻ればすべて収まる、と言うと、自分がメイの執事になる、と言い放つ。同じころ、由真(臼田あさ美)ら太陽生たちは、1週間後に学力テストを行い基準点に満たない者を即刻退学にすることを決める。その決定に反発した泉(岩佐真悠子)は、メイの学力を向上させるための特訓を開始する。一方、みるく(吉田里琴)は、ルチアからの食事の誘いを断る。執事を使って人を陥れるような人間の取り巻きになる気はない、というのだ。ほどなく、みるくと執事の大門(鈴木亮平)の前に、3人の黒服の男が現れる。男たちはみるくの日常生活を監査するためにやってきたのだという。実はみるくは、国内のとある研究所で技術開発に関わっていた。その研究所は、防衛省直轄の機関だという噂があり、大門もその組織の人間らしい。メイは、食事も与えられないまま、監査役の男たちに仕事を命じられているみるくのことを心配していた。そんな折、みるくが行方不明になるという事件が起き…。</t>
  </si>
  <si>
    <t>番組名メイちゃんの執事　#06</t>
  </si>
  <si>
    <t>理人(水嶋ヒロ)がメイ(榮倉奈々)を抱きしめている写真が、教室中に貼りだされた。その写真は、武装集団がみるく(吉田里琴)を狙った事件のあと、震えていたメイを理人が思わず抱きしめてしまったときの様子を何者かが隠し撮りしたものだった。写真を見たリカ(大政絢)や凛(忽那汐里)たちの間に動揺が広がった。聖ルチア女学園では、お嬢様と執事の恋愛が禁止されており、発覚した場合は退学処分になってしまうのだ。剣人(佐藤健)は、何も言わずに貼られていた写真を荒々しくはがして回ると、くだらないことをするな、と理人に掴みかかった。そこに、泉(岩佐真悠子)が現れ、事実関係の調査が済むまで理人とメイに謹慎するよう言い渡した。さらに、この一件がきっかけとなって全生徒の素行調査も行われ、日ごろからその関係が怪しまれていた不二子(中別府葵)とその執事・根津(姜暢雄)も謹慎を命じられてしまう。ほどなく、証拠不十分ということで、メイたちの謹慎処分が解かれる。ところがその翌日、聖ルチア女学園の各クラスに、クラス内で執事を交換せよ、という通達が出される。執事との関わり方を見直す目的で、太陽&lt;ソーレ&gt;生たちが決めたものだった。メイのクラスでも、くじ引きで執事が決められた。その結果、メイの執事は剣人が務めることになった。そして理人は、ルチア(山田優)の執事を務めることになったが…。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</si>
  <si>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理人(水嶋ヒロ)がメイ(榮倉奈々)を抱きしめている写真が、教室中に貼りだされた。その写真は、武装集団がみるく(吉田里琴)を狙った事件のあと、震えていたメイを理人が思わず抱きしめてしまったときの様子を何者かが隠し撮りしたものだった。写真を見たリカ(大政絢)や凛(忽那汐里)たちの間に動揺が広がった。聖ルチア女学園では、お嬢様と執事の恋愛が禁止されており、発覚した場合は退学処分になってしまうのだ。剣人(佐藤健)は、何も言わずに貼られていた写真を荒々しくはがして回ると、くだらないことをするな、と理人に掴みかかった。そこに、泉(岩佐真悠子)が現れ、事実関係の調査が済むまで理人とメイに謹慎するよう言い渡した。さらに、この一件がきっかけとなって全生徒の素行調査も行われ、日ごろからその関係が怪しまれていた不二子(中別府葵)とその執事・根津(姜暢雄)も謹慎を命じられてしまう。ほどなく、証拠不十分ということで、メイたちの謹慎処分が解かれる。ところがその翌日、聖ルチア女学園の各クラスに、クラス内で執事を交換せよ、という通達が出される。執事との関わり方を見直す目的で、太陽&lt;ソーレ&gt;生たちが決めたものだった。メイのクラスでも、くじ引きで執事が決められた。その結果、メイの執事は剣人が務めることになった。そして理人は、ルチア(山田優)の執事を務めることになったが…。</t>
  </si>
  <si>
    <t>番組名メイちゃんの執事　#07</t>
  </si>
  <si>
    <t>執事の交換が中止になり、理人(水嶋ヒロ)も久しぶりにメイ(榮倉奈々)のもとへと戻った。だが、陰&lt;オンブラ&gt;寮にメイの姿はなかった。  　そのころ、メイと剣人(佐藤健)は、多美(谷村美月)におびき出され、森の奥にある古い洋館『時間&lt;とき&gt;のない館』にいた。多美は、事情が飲み込めないでいるメイと剣人に向って、ルチア(山田優)のためにお前たちを始末する、と告げる。泉(岩佐真悠子)との決闘&lt;デュエロ&gt;のときに男たちにメイを襲わせたのも、理人とメイが抱き合っている写真をばらまいたのも、すべて多美がやったことだというのだ。  　理人は、泉やリカ(大政絢)らメイのクラスメートや彼女たちの執事にも協力してもらいメイを探していた。多美の執事・神田(阿部進之介)は、メイや剣人だけでなく、多美の姿もないことに気づく。  　館では、メイと剣人が、多美の合図で姿を現した男たちに取り囲まれていた。2階へと上がり、そこの一室に逃げ込むメイと剣人。メイを助けるために犠牲になる覚悟を決めた剣人は、必死にドアを押さえながら、ひとりで逃げるようメイに告げた。が、次の瞬間、ドアが破られ、多美たちが侵入してきた。剣人は、多美のナイフ攻撃からメイをかばおうとして傷を負っていた。多美は、倒れたまま動かない剣人にすがりつくメイに向って、お前がこの学園に来なければ誰も苦しむことはなかった、と言い放ち…。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</si>
  <si>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執事の交換が中止になり、理人(水嶋ヒロ)も久しぶりにメイ(榮倉奈々)のもとへと戻った。だが、陰&lt;オンブラ&gt;寮にメイの姿はなかった。  　そのころ、メイと剣人(佐藤健)は、多美(谷村美月)におびき出され、森の奥にある古い洋館『時間&lt;とき&gt;のない館』にいた。多美は、事情が飲み込めないでいるメイと剣人に向って、ルチア(山田優)のためにお前たちを始末する、と告げる。泉(岩佐真悠子)との決闘&lt;デュエロ&gt;のときに男たちにメイを襲わせたのも、理人とメイが抱き合っている写真をばらまいたのも、すべて多美がやったことだというのだ。  　理人は、泉やリカ(大政絢)らメイのクラスメートや彼女たちの執事にも協力してもらいメイを探していた。多美の執事・神田(阿部進之介)は、メイや剣人だけでなく、多美の姿もないことに気づく。  　館では、メイと剣人が、多美の合図で姿を現した男たちに取り囲まれていた。2階へと上がり、そこの一室に逃げ込むメイと剣人。メイを助けるために犠牲になる覚悟を決めた剣人は、必死にドアを押さえながら、ひとりで逃げるようメイに告げた。が、次の瞬間、ドアが破られ、多美たちが侵入してきた。剣人は、多美のナイフ攻撃からメイをかばおうとして傷を負っていた。多美は、倒れたまま動かない剣人にすがりつくメイに向って、お前がこの学園に来なければ誰も苦しむことはなかった、と言い放ち…。</t>
  </si>
  <si>
    <t>番組名メイちゃんの執事　#08</t>
  </si>
  <si>
    <t>理人(水嶋ヒロ)に別れを告げ、聖ルチア女学園を去ったメイ(榮倉奈々)は、生まれ故郷に戻り、仲本家に身を寄せた。剣人(佐藤健)も、メイの側にいるために執事を辞めて戻っていた。そんなある日、メイと剣人の前に理人が現れる。理人は、本郷家からの通達をメイに告げた。それは、1週間以内に学園に戻らなければ学費の支払いを停止するというものだった。同時に、今後は本郷家との関わりを絶ち、財産分与等の権利も放棄せよという。理人の用件がそれだけだと知ったメイは、何も言わずにその場を後にした。メイが仲本家に戻ると、そこに泉(岩佐真悠子)やリカ(大政絢)ら聖ルチア女学園のクラスメイトとその執事たちの姿があった。クラス全員で、メイを連れ戻しに来たのだ。そこでリカは、何故学園を辞めたのか、とメイを問いただした。口ごもるメイに代わって話を切り出したのは剣人だ。剣人は、メイがルチア(山田優)から嫌がらせを受けていたことやクラスメイトに危害を加えると脅されたことを明かした。ルチアの本性を知る泉やみるく(吉田里琴)は、剣人の話は真実だと皆に告げた。その際、理人がルチアのもとに戻ったことを知ったメイは、急に不機嫌になり、迎えに来て欲しいとは頼んでいない、と強がって泉たちを追い返そうとする。リカたちと言い合いになったメイは、話の流れで、自分はここで剣人と上手くやっている、と言ってしまい…。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</si>
  <si>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理人(水嶋ヒロ)に別れを告げ、聖ルチア女学園を去ったメイ(榮倉奈々)は、生まれ故郷に戻り、仲本家に身を寄せた。剣人(佐藤健)も、メイの側にいるために執事を辞めて戻っていた。そんなある日、メイと剣人の前に理人が現れる。理人は、本郷家からの通達をメイに告げた。それは、1週間以内に学園に戻らなければ学費の支払いを停止するというものだった。同時に、今後は本郷家との関わりを絶ち、財産分与等の権利も放棄せよという。理人の用件がそれだけだと知ったメイは、何も言わずにその場を後にした。メイが仲本家に戻ると、そこに泉(岩佐真悠子)やリカ(大政絢)ら聖ルチア女学園のクラスメイトとその執事たちの姿があった。クラス全員で、メイを連れ戻しに来たのだ。そこでリカは、何故学園を辞めたのか、とメイを問いただした。口ごもるメイに代わって話を切り出したのは剣人だ。剣人は、メイがルチア(山田優)から嫌がらせを受けていたことやクラスメイトに危害を加えると脅されたことを明かした。ルチアの本性を知る泉やみるく(吉田里琴)は、剣人の話は真実だと皆に告げた。その際、理人がルチアのもとに戻ったことを知ったメイは、急に不機嫌になり、迎えに来て欲しいとは頼んでいない、と強がって泉たちを追い返そうとする。リカたちと言い合いになったメイは、話の流れで、自分はここで剣人と上手くやっている、と言ってしまい…。</t>
  </si>
  <si>
    <t>番組名メイちゃんの執事　#09</t>
  </si>
  <si>
    <t>理人(水嶋ヒロ)は、弟の剣人(佐藤健)から、メイ(榮倉奈々)を賭けた勝負を挑まれる。剣人と壮絶な殴り合いを繰り広げる中で迷いを吹っ切った理人は、ボロボロになりながらも立ち上がり、もう2度とそばを離れない、とメイに約束する。理人同様、剣人も体中に傷を負っていた。リカ(大政絢)や青山(真山明大)から、大げさな手当てを受ける剣人。メイは、そんな彼の姿を複雑な思いで見つめていた。同じころ、ルチア(山田優)は、忍(向井理)と多美(谷村美月)に、メイを徹底的に苦しめるよう命じていた。別の日、剣人を呼び出したメイは、彼に礼を言おうとした。剣人は、そんなメイの気持ちを察して普段通りに接すると、まだお前のことは諦めていない、と告げる。するとそこに、慌てた様子で泉(岩佐真悠子)たちがやってくる。クラスメイトたちが次々と不審な事件に巻き込まれているというのだ。そんな中、メイは、金太郎(津川雅彦)に呼び出される。メイが理人とともに金太郎の私邸を訪れると、そこにはルチア=詩織と忍の姿もあった。その席で金太郎は、詩織を自分の後継者に指名し…。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</si>
  <si>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理人(水嶋ヒロ)は、弟の剣人(佐藤健)から、メイ(榮倉奈々)を賭けた勝負を挑まれる。剣人と壮絶な殴り合いを繰り広げる中で迷いを吹っ切った理人は、ボロボロになりながらも立ち上がり、もう2度とそばを離れない、とメイに約束する。理人同様、剣人も体中に傷を負っていた。リカ(大政絢)や青山(真山明大)から、大げさな手当てを受ける剣人。メイは、そんな彼の姿を複雑な思いで見つめていた。同じころ、ルチア(山田優)は、忍(向井理)と多美(谷村美月)に、メイを徹底的に苦しめるよう命じていた。別の日、剣人を呼び出したメイは、彼に礼を言おうとした。剣人は、そんなメイの気持ちを察して普段通りに接すると、まだお前のことは諦めていない、と告げる。するとそこに、慌てた様子で泉(岩佐真悠子)たちがやってくる。クラスメイトたちが次々と不審な事件に巻き込まれているというのだ。そんな中、メイは、金太郎(津川雅彦)に呼び出される。メイが理人とともに金太郎の私邸を訪れると、そこにはルチア=詩織と忍の姿もあった。その席で金太郎は、詩織を自分の後継者に指名し…。</t>
  </si>
  <si>
    <t>番組名メイちゃんの執事　#10</t>
  </si>
  <si>
    <t>メイ(榮倉奈々)は、理人(水嶋ヒロ)を賭けての決闘〈デュエロ〉をルチア(山田優)に申し込む。決闘は、メイの執事・理人とルチアの執事・忍(向井理)との真剣による戦いとなった。が、理人は、多美(谷村美月)が放ったボーガンの矢で腹部に傷を追っていた。その夜、理人は、心配する剣人(佐藤健)たちの声に耳を貸さずに、決闘の会場へと向かった。相手の忍は、世界中のさまざまな武術を身につけ、その強さは驚異的だという噂だった。学園長・ローズ(堀内敬子)の合図で決闘が始まった。忍は、凄まじい攻撃を仕掛けながら、巧みに理人の腹部の傷を狙っていた。傷のせいもあって動きも鈍く、防戦一方に追い込まれていく理人。それでもメイは、理人の勝利を信じてその光景を見つめていた。ルチアは、そんなメイに向かって、負けを認めるよう促す。するとメイは、理人と青山(真山明大)が戦ったとき、忍から言われた言葉をルチアに返した。あのとき忍は、「執事は信じられなければ力を発揮できない」、とメイに言ったのだ。メイは、毅然とした表情でルチアを見つめると、絶対に柴田理人は渡さない、と言い放つ。逆上したルチアは、メイに襲いかかり…。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【主題歌】「My　SunShine」ROCK`A’TRENCH</t>
  </si>
  <si>
    <t>メイ(榮倉奈々)は、理人(水嶋ヒロ)を賭けての決闘〈デュエロ〉をルチア(山田優)に申し込む。決闘は、メイの執事・理人とルチアの執事・忍(向井理)との真剣による戦いとなった。が、理人は、多美(谷村美月)が放ったボーガンの矢で腹部に傷を追っていた。その夜、理人は、心配する剣人(佐藤健)たちの声に耳を貸さずに、決闘の会場へと向かった。相手の忍は、世界中のさまざまな武術を身につけ、その強さは驚異的だという噂だった。学園長・ローズ(堀内敬子)の合図で決闘が始まった。忍は、凄まじい攻撃を仕掛けながら、巧みに理人の腹部の傷を狙っていた。傷のせいもあって動きも鈍く、防戦一方に追い込まれていく理人。それでもメイは、理人の勝利を信じてその光景を見つめていた。ルチアは、そんなメイに向かって、負けを認めるよう促す。するとメイは、理人と青山(真山明大)が戦ったとき、忍から言われた言葉をルチアに返した。あのとき忍は、「執事は信じられなければ力を発揮できない」、とメイに言ったのだ。メイは、毅然とした表情でルチアを見つめると、絶対に柴田理人は渡さない、と言い放つ。逆上したルチアは、メイに襲いかかり…。</t>
  </si>
  <si>
    <t>0901_CX_火22</t>
  </si>
  <si>
    <t>トライアングル</t>
  </si>
  <si>
    <t>番組名トライアングル　#01</t>
  </si>
  <si>
    <t>http://ktv.jp/triangle/index.html1984年、10歳の少女・葛城佐智絵が殺された。それから15年後、未解決のまま事件が時効を迎えた日、25歳の医師・郷田亮二(江口洋介)は務めていた病院を辞め、フランスへ旅立つ。2008年、リオンにあるインターポール本部の刑事に転身していた亮二は、パリで一人旅の女性・サチ(広末涼子)に身分を隠して接近。「いつか僕たちは再会する」と予言めいた言葉を告げる。その後、捜査研修のため日本に帰国した亮二は東京の大田西警察署に配属され、同署の刑事・黒木舜(稲垣吾郎)の父が警察庁幹部の黒木信造(北大路欣也)だと知る。まもなく舜に、25年前に信造が担当し、すでに時効が成立している“葛城佐智絵殺害事件"の再捜査を促す匿名の電話が。この事件を「罪は消えてしまった」と切り捨てる亮二の反応に疑念を抱いた舜は、亮二の身辺調査を開始。亮二の妹・唯衣(相武紗季)から意外なことを聞かされる。  そのころ亮二は、事件の新事実をつかんだという富岡康志(谷原章介)に接触。富岡は事実を本に書いて公表しようとしていたが、その原稿が盗まれる事件が起こり・・・。江口洋介　  稲垣吾郎　  広末涼子　  相武紗季　  　●　  堺雅人　  　●　  谷原章介　  佐々木蔵之介　  　●　  小日向文世　  大杉漣(しんにょうの点2つ)　  風吹ジュン　  北大路欣也</t>
  </si>
  <si>
    <t>1984年、10歳の少女・葛城佐智絵が殺された。それから15年後、未解決のまま事件が時効を迎えた日、25歳の医師・郷田亮二(江口洋介)は務めていた病院を辞め、フランスへ旅立つ。2008年、リオンにあるインターポール本部の刑事に転身していた亮二は、パリで一人旅の女性・サチ(広末涼子)に身分を隠して接近。「いつか僕たちは再会する」と予言めいた言葉を告げる。その後、捜査研修のため日本に帰国した亮二は東京の大田西警察署に配属され、同署の刑事・黒木舜(稲垣吾郎)の父が警察庁幹部の黒木信造(北大路欣也)だと知る。まもなく舜に、25年前に信造が担当し、すでに時効が成立している“葛城佐智絵殺害事件"の再捜査を促す匿名の電話が。この事件を「罪は消えてしまった」と切り捨てる亮二の反応に疑念を抱いた舜は、亮二の身辺調査を開始。亮二の妹・唯衣(相武紗季)から意外なことを聞かされる。  そのころ亮二は、事件の新事実をつかんだという富岡康志(谷原章介)に接触。富岡は事実を本に書いて公表しようとしていたが、その原稿が盗まれる事件が起こり・・・。</t>
  </si>
  <si>
    <t>番組名トライアングル　#02</t>
  </si>
  <si>
    <t>http://ktv.jp/triangle/index.html　自分の正体を暴き立てる亮二(江口洋介)にサチ(広末涼子)は動揺。そんなサチに舜(稲垣吾郎)は、事件を追い続ける亮二こそが犯人なのではないかと疑惑を話す。このことを亮二にぶつけたサチは「葛城佐智恵さんを殺してくれて、ありがとう」と謎の言葉を口にする。  一方、堀米(マギー)が襲われた事件は意外な結末を迎える。  その頃、サチの前に志摩野鷹也(堺雅人)という男が現れる。志摩野はサチの絵の才能に惚れ込み、サポートしたいと近づくが、実は以前からサチの身辺を調べていた。  そんな折、清子(風吹ジュン)が25年前に佐智恵が書いた手紙を探し始めてパニックを起こす。清子が正体不明の男からの電話を受けていたことをサチから聞いた志摩野は、亮二のしわざではないかと疑う。  その志摩野が「サチの身辺を探るな」と秘書を通して亮二に警告を伝えてきた。不審を抱いた亮二は舜とともに志摩野を訪ねるが・・・。江口洋介　  稲垣吾郎　  広末涼子　  相武紗季　  　●　  堺雅人　  　●　  谷原章介　  佐々木蔵之介　  　●　  小日向文世　  大杉漣(しんにょうの点2つ)　  風吹ジュン　  北大路欣也【原作】  『トライアングル』新津きよみ(角川書店　刊)    【脚本】  水橋文美江【演出】  三宅喜重　  木内健人　  白木啓一郎澤野弘之　  林ゆうき  【主題歌】  「さよならは言わない」小田和正  【テーマイメージ曲】  上原ひろみ</t>
  </si>
  <si>
    <t xml:space="preserve">　自分の正体を暴き立てる亮二(江口洋介)にサチ(広末涼子)は動揺。そんなサチに舜(稲垣吾郎)は、事件を追い続ける亮二こそが犯人なのではないかと疑惑を話す。このことを亮二にぶつけたサチは「葛城佐智恵さんを殺してくれて、ありがとう」と謎の言葉を口にする。  一方、堀米(マギー)が襲われた事件は意外な結末を迎える。  その頃、サチの前に志摩野鷹也(堺雅人)という男が現れる。志摩野はサチの絵の才能に惚れ込み、サポートしたいと近づくが、実は以前からサチの身辺を調べていた。  そんな折、清子(風吹ジュン)が25年前に佐智恵が書いた手紙を探し始めてパニックを起こす。清子が正体不明の男からの電話を受けていたことをサチから聞いた志摩野は、亮二のしわざではないかと疑う。  その志摩野が「サチの身辺を探るな」と秘書を通して亮二に警告を伝えてきた。不審を抱いた亮二は舜とともに志摩野を訪ねるが・・・。</t>
  </si>
  <si>
    <t>番組名トライアングル　#03</t>
  </si>
  <si>
    <t>http://ktv.jp/triangle/index.html【あらすじ】  　佐智絵の手紙に書かれていた、ある秘密を知って衝撃を受けたサチ(広末涼子)は25年前の事件を調べ始める。志摩野(堺雅人)によって燃やされ、失われた手紙の内容を探ろうとする亮二(江口洋介)。ところがかつて事件を担当していた舜(稲垣吾郎)の父・信造(北大路欣也)が捜査を阻もうと暗躍して・・・。【内容】  襲われたサチを庇ってケガを負った亮二。サチが襲われたことを知った志摩野は、サチが持っていた手紙を燃やしてしまう。傷も癒えないまま病院を抜け出した亮二はサチを尾行するうち、彼女が25年前の事件を調べ始めたことを知る。サチの読んだ手紙に事件の容疑者につながることが書かれていたのではないかと考えた亮二は舜に電話をかけるが、その場に居合わせた信造に話を聞かれてしまう。25年前に事件を担当した信造に手紙についてたずねても亮二の推理を一蹴する信造。亮二は犯人を突き止めようとするサチに協力すると申し出るがサチは「“顔にアザのある男"なんて、当時のことを知ってる人に聞けばすぐわかる」と手紙にあった犯人に繋がる秘密を思わず口にしてしまう・・・。江口洋介　  稲垣吾郎　  広末涼子　  相武紗季　  　●　  堺雅人　  　●　  谷原章介　  佐々木蔵之介　  　●　  小日向文世　  大杉漣(しんにょうの点2つ)　  風吹ジュン　  北大路欣也【原作】  『トライアングル』新津きよみ(角川書店　刊)    【脚本】  水橋文美江【演出】  三宅喜重　  木内健人　  白木啓一郎澤野弘之　  林ゆうき　  【主題歌】  「さよならは言わない」小田和正  【テーマイメージ曲】  上原ひろみ</t>
  </si>
  <si>
    <t>【あらすじ】  　佐智絵の手紙に書かれていた、ある秘密を知って衝撃を受けたサチ(広末涼子)は25年前の事件を調べ始める。志摩野(堺雅人)によって燃やされ、失われた手紙の内容を探ろうとする亮二(江口洋介)。ところがかつて事件を担当していた舜(稲垣吾郎)の父・信造(北大路欣也)が捜査を阻もうと暗躍して・・・。【内容】  襲われたサチを庇ってケガを負った亮二。サチが襲われたことを知った志摩野は、サチが持っていた手紙を燃やしてしまう。傷も癒えないまま病院を抜け出した亮二はサチを尾行するうち、彼女が25年前の事件を調べ始めたことを知る。サチの読んだ手紙に事件の容疑者につながることが書かれていたのではないかと考えた亮二は舜に電話をかけるが、その場に居合わせた信造に話を聞かれてしまう。25年前に事件を担当した信造に手紙についてたずねても亮二の推理を一蹴する信造。亮二は犯人を突き止めようとするサチに協力すると申し出るがサチは「“顔にアザのある男"なんて、当時のことを知ってる人に聞けばすぐわかる」と手紙にあった犯人に繋がる秘密を思わず口にしてしまう・・・。</t>
  </si>
  <si>
    <t>番組名トライアングル　#04</t>
  </si>
  <si>
    <t>http://ktv.jp/triangle/index.html【あらすじ】  　サチ(広末涼子)から手紙を奪おうとした“顔にアザのある男"は、佐智絵殺しの重要参考人として浮かんでいた人物だった。その人物を25年前事件の捜査にかかわっていた父・信造(北大路欣也)が逃がしたことを舜(稲垣吾郎)は知る。  一方、亮二(江口洋介)は手紙を使って“顔にアザのある男"をおびきだそうと、ある罠を仕掛ける・・・。【内容】  　サチを襲った小巻(反田孝幸)が、南町の飲み屋で“顔にアザのある男"に手紙を奪うよう頼まれたと供述。亮二は25年前の捜査メモにもあった“顔にアザのある男"の名が“新藤利道"(宅麻伸)であることを話し、手紙を使って新藤をおびき出そうとサチに提案する。  一方、舜は25年前に捜査を担当した元刑事の宮部(浅野和之)からショッキングな話を聞かされる。当時、宮部ら捜査員のほとんどが新藤を犯人だと確信していたにもかかわらず、信造が「新藤を逃がした」というのだ。まもなく衝撃的な記事が週刊誌に掲載された。25年前の事件の真相につながる手紙が存在するという内容で、亮二が富岡(谷原章介)に書かせたものだった。亮二はこの記事で、真相を掘り起こされると窮地に追い込まれる、ある人物に揺さぶりをかけようとしていた・・・。江口洋介　  稲垣吾郎　  広末涼子　  相武紗季　  　●　  堺雅人　  　●　  谷原章介　  佐々木蔵之介　  　●　  小日向文世　  大杉漣(しんにょうの点2つ)　  風吹ジュン　  北大路欣也</t>
  </si>
  <si>
    <t>【あらすじ】  　サチ(広末涼子)から手紙を奪おうとした“顔にアザのある男"は、佐智絵殺しの重要参考人として浮かんでいた人物だった。その人物を25年前事件の捜査にかかわっていた父・信造(北大路欣也)が逃がしたことを舜(稲垣吾郎)は知る。  一方、亮二(江口洋介)は手紙を使って“顔にアザのある男"をおびきだそうと、ある罠を仕掛ける・・・。【内容】  　サチを襲った小巻(反田孝幸)が、南町の飲み屋で“顔にアザのある男"に手紙を奪うよう頼まれたと供述。亮二は25年前の捜査メモにもあった“顔にアザのある男"の名が“新藤利道"(宅麻伸)であることを話し、手紙を使って新藤をおびき出そうとサチに提案する。  一方、舜は25年前に捜査を担当した元刑事の宮部(浅野和之)からショッキングな話を聞かされる。当時、宮部ら捜査員のほとんどが新藤を犯人だと確信していたにもかかわらず、信造が「新藤を逃がした」というのだ。まもなく衝撃的な記事が週刊誌に掲載された。25年前の事件の真相につながる手紙が存在するという内容で、亮二が富岡(谷原章介)に書かせたものだった。亮二はこの記事で、真相を掘り起こされると窮地に追い込まれる、ある人物に揺さぶりをかけようとしていた・・・。</t>
  </si>
  <si>
    <t>番組名トライアングル　#05</t>
  </si>
  <si>
    <t>http://ktv.jp/triangle/index.html【あらすじ】  　事件の記憶を取り戻した清子(風吹ジュン)の口を封じようとする志摩野(堺雅人)を追及した亮二(江口洋介)は、25年前に佐智絵を苦しめていた清子と新藤(宅麻伸)の“秘めた関係"を暴き出す。そして事件の真相を追う亮二と舜(稲垣吾郎)に圧力をかけ、捜査を妨害しようとする信造(北大路欣也)。尊敬していた父親を疑い始めた舜はある覚悟を決め、信造の過去を探り始めるが・・・。【内容】  　「佐智絵を殺したのは私」と事件のことを語り出した清子の口を封じるかのように、すぐさま心療内科に入院させた志摩野。疑惑を深めた亮二は志摩野を取り調べようとする。  　志摩野を追及する中、意外な事実が発覚する。追及する亮二に「そんなこと暴いて何になる?」とムキになった志摩野は、この話を均(大杉漣)から聞いたことを思わず漏らしてしまう。退院した清子は、すべての記憶を取り戻していた。だが「あの日のことは誰にも言わないと決めた」と事件について口を閉ざす。  そんな折、新藤の事件から大田西署が担当を外された。信造の差し金だと確信した舜はある覚悟を決め、署内の職員データから信造の経歴を調べて・・・。江口洋介　  稲垣吾郎　  広末涼子　  相武紗季　  　●　  堺雅人　  　●　  谷原章介　  佐々木蔵之介　  　●　  小日向文世　  大杉漣(しんにょうの点2つ)　  風吹ジュン　  北大路欣也</t>
  </si>
  <si>
    <t>【あらすじ】  　事件の記憶を取り戻した清子(風吹ジュン)の口を封じようとする志摩野(堺雅人)を追及した亮二(江口洋介)は、25年前に佐智絵を苦しめていた清子と新藤(宅麻伸)の“秘めた関係"を暴き出す。そして事件の真相を追う亮二と舜(稲垣吾郎)に圧力をかけ、捜査を妨害しようとする信造(北大路欣也)。尊敬していた父親を疑い始めた舜はある覚悟を決め、信造の過去を探り始めるが・・・。【内容】  　「佐智絵を殺したのは私」と事件のことを語り出した清子の口を封じるかのように、すぐさま心療内科に入院させた志摩野。疑惑を深めた亮二は志摩野を取り調べようとする。  　志摩野を追及する中、意外な事実が発覚する。追及する亮二に「そんなこと暴いて何になる?」とムキになった志摩野は、この話を均(大杉漣)から聞いたことを思わず漏らしてしまう。退院した清子は、すべての記憶を取り戻していた。だが「あの日のことは誰にも言わないと決めた」と事件について口を閉ざす。  そんな折、新藤の事件から大田西署が担当を外された。信造の差し金だと確信した舜はある覚悟を決め、署内の職員データから信造の経歴を調べて・・・。</t>
  </si>
  <si>
    <t>番組名トライアングル　#06</t>
  </si>
  <si>
    <t>http://ktv.jp/triangle/index.html【あらすじ】  　佐智絵殺しの犯人と疑われていた新藤(宅麻伸)が殺された。亮二(江口洋介)は容疑を向けられながらも事件の夜に目撃したことを明かそうとしない。そして明らかになる新藤を殺した真犯人は衝撃の人物!さらに母・清子(風吹ジュン)がサチ(広末涼子)に打ち明ける25年前の真実とは・・・。【内容】  　新藤が唯衣(相武紗季)の車のトランクから他殺体で見つかり、アリバイのない亮二に疑いが向けられた。  　舜(稲垣吾郎)は事件当夜の行動を問いただすが、「ちょっと飲みに行っていた」と明言を避ける亮二だった。ところが、亮二の言葉のはしばしからヒントを得た丸山(小日向文世)と舜は2人で調査をし、亮二の悲しい真意を知る。  　翌日サチが大田西署に現れた。サチの「過去を切り離して人は生きていけない。娘である自分は清子の過去を受け止めてあげたい」という言葉に心を動かされ、清子が話したという25年前の真実を告げに来たのだ。佐智絵を殺害した犯人は新藤ではないと言うサチ。だが亮二は警察上層部の圧力に守られていた新藤には何かあると睨む。舜は25年前の事件を機に信造(北大路欣也)が異例の出世を遂げたと知り、「親父の過去は俺が暴く」と決意を表すが・・・。江口洋介　  稲垣吾郎　  広末涼子　  相武紗季　  　●　  堺雅人　  　●　  谷原章介　  佐々木蔵之介　  　●　  小日向文世　  大杉漣(しんにょうの点2つ)　  風吹ジュン　  北大路欣也</t>
  </si>
  <si>
    <t>【あらすじ】  　佐智絵殺しの犯人と疑われていた新藤(宅麻伸)が殺された。亮二(江口洋介)は容疑を向けられながらも事件の夜に目撃したことを明かそうとしない。そして明らかになる新藤を殺した真犯人は衝撃の人物!さらに母・清子(風吹ジュン)がサチ(広末涼子)に打ち明ける25年前の真実とは・・・。【内容】  　新藤が唯衣(相武紗季)の車のトランクから他殺体で見つかり、アリバイのない亮二に疑いが向けられた。  　舜(稲垣吾郎)は事件当夜の行動を問いただすが、「ちょっと飲みに行っていた」と明言を避ける亮二だった。ところが、亮二の言葉のはしばしからヒントを得た丸山(小日向文世)と舜は2人で調査をし、亮二の悲しい真意を知る。  　翌日サチが大田西署に現れた。サチの「過去を切り離して人は生きていけない。娘である自分は清子の過去を受け止めてあげたい」という言葉に心を動かされ、清子が話したという25年前の真実を告げに来たのだ。佐智絵を殺害した犯人は新藤ではないと言うサチ。だが亮二は警察上層部の圧力に守られていた新藤には何かあると睨む。舜は25年前の事件を機に信造(北大路欣也)が異例の出世を遂げたと知り、「親父の過去は俺が暴く」と決意を表すが・・・。</t>
  </si>
  <si>
    <t>番組名トライアングル　#07</t>
  </si>
  <si>
    <t>http://ktv.jp/triangle/index.html【あらすじ】  　上海に飛んだ亮二(江口洋介)とサチ(広末涼子)。そこで明かされた志摩野(堺雅人)の過去は、あまりにも悲しいものだった。突然現れた兄に戸惑い、素直になれないサチ・・・。そんな中、志摩野が死体となって発見される・・・!【内容】  　亮二は、志摩野と秋本(佐々木蔵之介)に話を聞くために上海へ旅立つ。サチも兄とわかった志摩野に会おうと亮二を追い上海へ。上海で志摩野は初めて自分の過去を明かしはじめる。父の仕事で移り住んだ上海で精神不安定な状態に陥った母は父の死後、志摩野を置き去りにして日本に帰国。生後間もないサチだけを連れていったが、後に母がサチまでも捨てていたことを知ったという。しかしサチは突然現れた兄の存在に戸惑うばかりで、志摩野を素直に受け入れることができない。そんな中、東京の舜(稲垣吾郎)からは志摩野の会社が破産手続きに入り、志摩野本人も詐欺罪で訴えられているという情報が入る。翌朝、待ち合わせの時間になっても現れない志摩野。部屋に入った亮二、サチ、秋本の3人は、倒れている志摩野を発見する。志摩野は、死んでいた・・・!江口洋介　  稲垣吾郎　  広末涼子　  相武紗季　  　●　  堺雅人　  　●  谷原章介　  佐々木蔵之介　  　●　  小日向文世　  大杉漣(しんにょうの点2つ)　  風吹ジュン　  北大路欣也</t>
  </si>
  <si>
    <t>【あらすじ】  　上海に飛んだ亮二(江口洋介)とサチ(広末涼子)。そこで明かされた志摩野(堺雅人)の過去は、あまりにも悲しいものだった。突然現れた兄に戸惑い、素直になれないサチ・・・。そんな中、志摩野が死体となって発見される・・・!【内容】  　亮二は、志摩野と秋本(佐々木蔵之介)に話を聞くために上海へ旅立つ。サチも兄とわかった志摩野に会おうと亮二を追い上海へ。上海で志摩野は初めて自分の過去を明かしはじめる。父の仕事で移り住んだ上海で精神不安定な状態に陥った母は父の死後、志摩野を置き去りにして日本に帰国。生後間もないサチだけを連れていったが、後に母がサチまでも捨てていたことを知ったという。しかしサチは突然現れた兄の存在に戸惑うばかりで、志摩野を素直に受け入れることができない。そんな中、東京の舜(稲垣吾郎)からは志摩野の会社が破産手続きに入り、志摩野本人も詐欺罪で訴えられているという情報が入る。翌朝、待ち合わせの時間になっても現れない志摩野。部屋に入った亮二、サチ、秋本の3人は、倒れている志摩野を発見する。志摩野は、死んでいた・・・!</t>
  </si>
  <si>
    <t>番組名トライアングル　#08</t>
  </si>
  <si>
    <t>http://ktv.jp/triangle/index.html【あらすじ】  佐智絵の遺体を発見したあの日から亮二(江口洋介)を苦しめ続けた“恐怖"の正体が明らかに!自分をつけ狙う犯人を追う亮二は、仲間の丸山(小日向文世)までも疑い始め、ただひとり信頼していた妹・唯衣(相武紗季)にまで裏切られ・・・。「もう誰も信じられない!」亮二は追い詰められていく。【内容】  亮二は25年前、佐智絵の遺体を目撃した直後に起こった出来事をサチ(広末涼子)に告白する。佐智絵の遺体を置き去りにして逃げたのは、その後も亮二を脅かし続ける、ある恐ろしい体験をしたからだというのだ。佐智絵殺しの犯人と上海で自分を狙った犯人が同じ人物だと確信した亮二は捜査に乗り出す。まず疑いを向けたのは信造(北大路欣也)だった。まもなく上海の事件当時、信造に不審な行動があったことが判明。舜(稲垣吾郎)は信造のアリバイを調べると言うが、亮二は「俺は誰も信じない」と突っぱねる。信造が上海に行った証拠を見つけようと旅客機の搭乗者名簿を調べる亮二ら。ところがリストから見つかったのは意外にも丸山の名前だった。疑心暗鬼に陥る亮二は街で唯衣を見かける。なんと唯衣は信造と会っていた。信じていた妹までもが・・・!江口洋介　  稲垣吾郎　  広末涼子　  相武紗季　  　●　  堺雅人　  　●　  谷原章介　  佐々木蔵之介　  　●　  小日向文世　  大杉漣(しんにょうの点2つ)　  風吹ジュン　  北大路欣也</t>
  </si>
  <si>
    <t>【あらすじ】  佐智絵の遺体を発見したあの日から亮二(江口洋介)を苦しめ続けた“恐怖"の正体が明らかに!自分をつけ狙う犯人を追う亮二は、仲間の丸山(小日向文世)までも疑い始め、ただひとり信頼していた妹・唯衣(相武紗季)にまで裏切られ・・・。「もう誰も信じられない!」亮二は追い詰められていく。【内容】  亮二は25年前、佐智絵の遺体を目撃した直後に起こった出来事をサチ(広末涼子)に告白する。佐智絵の遺体を置き去りにして逃げたのは、その後も亮二を脅かし続ける、ある恐ろしい体験をしたからだというのだ。佐智絵殺しの犯人と上海で自分を狙った犯人が同じ人物だと確信した亮二は捜査に乗り出す。まず疑いを向けたのは信造(北大路欣也)だった。まもなく上海の事件当時、信造に不審な行動があったことが判明。舜(稲垣吾郎)は信造のアリバイを調べると言うが、亮二は「俺は誰も信じない」と突っぱねる。信造が上海に行った証拠を見つけようと旅客機の搭乗者名簿を調べる亮二ら。ところがリストから見つかったのは意外にも丸山の名前だった。疑心暗鬼に陥る亮二は街で唯衣を見かける。なんと唯衣は信造と会っていた。信じていた妹までもが・・・!</t>
  </si>
  <si>
    <t>番組名トライアングル　#09</t>
  </si>
  <si>
    <t>http://ktv.jp/triangle/index.html【あらすじ】  　25年前に佐智絵を殺し、そして今また志摩野(堺雅人)を殺害したのは誰か?亮二(江口洋介)は、均(大杉漣)と信造(北大路欣也)への疑惑を強める。一方、舜(稲垣吾郎)は15年前に八ヶ岳で起こった火災事故と亮二の関連を知る・・・。【内容】  　25年前の事件現場に現れた信造に亮二は佐智絵と志摩野の殺害に均と信造が関与しているのではないかと迫るが、証拠がないと突き放されてしまう。捜査を進める中、亮二は清子(風吹ジュン)から思わぬことを聞かされる。25年前の事件当時、均は佐智絵の出生に疑惑を持っていたというのだ。佐智絵の出生を疑った均が、新藤(宅麻伸)への憎しみを佐智絵に向け、殺害してしまったのではないか?均への疑念を話す亮二にサチ(広末涼子)は激しく動揺する。そんな折、丸山(小日向文世)が突き止めた均の愛人宅へ向かった亮二は、部屋の中から薬品らしきものを見つける。鑑識の結果、志摩野殺害に使われた毒物とほぼ同じだと判明。一方信造は舜に八ヶ岳で起こった15年前の火災事故の資料を見せる。その事故の被害者は・・・。幼いころに訪れた水族館に誘ったサチは亮二に「あなたと過ごす最後の時間」と告げる・・・。江口洋介　  稲垣吾郎　  広末涼子　  相武紗季　  　●　  堺雅人　  　●　  谷原章介　  佐々木蔵之介　  　●　  小日向文世　  大杉漣(しんにょうの点2つ)　  風吹ジュン　  北大路欣也</t>
  </si>
  <si>
    <t>【あらすじ】  　25年前に佐智絵を殺し、そして今また志摩野(堺雅人)を殺害したのは誰か?亮二(江口洋介)は、均(大杉漣)と信造(北大路欣也)への疑惑を強める。一方、舜(稲垣吾郎)は15年前に八ヶ岳で起こった火災事故と亮二の関連を知る・・・。【内容】  　25年前の事件現場に現れた信造に亮二は佐智絵と志摩野の殺害に均と信造が関与しているのではないかと迫るが、証拠がないと突き放されてしまう。捜査を進める中、亮二は清子(風吹ジュン)から思わぬことを聞かされる。25年前の事件当時、均は佐智絵の出生に疑惑を持っていたというのだ。佐智絵の出生を疑った均が、新藤(宅麻伸)への憎しみを佐智絵に向け、殺害してしまったのではないか?均への疑念を話す亮二にサチ(広末涼子)は激しく動揺する。そんな折、丸山(小日向文世)が突き止めた均の愛人宅へ向かった亮二は、部屋の中から薬品らしきものを見つける。鑑識の結果、志摩野殺害に使われた毒物とほぼ同じだと判明。一方信造は舜に八ヶ岳で起こった15年前の火災事故の資料を見せる。その事故の被害者は・・・。幼いころに訪れた水族館に誘ったサチは亮二に「あなたと過ごす最後の時間」と告げる・・・。</t>
  </si>
  <si>
    <t>番組名トライアングル　#10</t>
  </si>
  <si>
    <t>http://ktv.jp/triangle/index.html　亮二(江口洋介)の目の前で銃弾に倒れたサチ(広末涼子)。自分を責める亮二は、憎むべき犯人の正体を突き止めようと捜査を再開し、均(大杉漣)と対峙する!一方、15年前の八ヶ岳の火災を追う舜(稲垣吾郎)は、佐智絵殺しの真相追及を自分に託した父・信造(北大路欣也)の意外な真意を知ることに・・・!江口洋介　  稲垣吾郎　  広末涼子　  相武紗季　  　●　  堺雅人　  　●　  谷原章介　  佐々木蔵之介　  　●　  小日向文世　  大杉漣(しんにょうの点2つ)　  風吹ジュン　  北大路欣也</t>
  </si>
  <si>
    <t xml:space="preserve">　亮二(江口洋介)の目の前で銃弾に倒れたサチ(広末涼子)。自分を責める亮二は、憎むべき犯人の正体を突き止めようと捜査を再開し、均(大杉漣)と対峙する!一方、15年前の八ヶ岳の火災を追う舜(稲垣吾郎)は、佐智絵殺しの真相追及を自分に託した父・信造(北大路欣也)の意外な真意を知ることに・・・!</t>
  </si>
  <si>
    <t>番組名トライアングル　#11</t>
  </si>
  <si>
    <t>http://ktv.jp/triangle/index.html【あらすじ】  　25年前の犯人にようやくたどり着いた亮二(江口洋介)。佐智絵、志摩野(堺雅人)、そしてサチ(広末涼子)が殺された3つの事件は同じ人物の犯行だった。ついに明らかとなる、25年前の真実とは?そして真犯人の正体は?【内容】  　ようやく25年前の事件の犯人にたどり着いた亮二は、その人物に会いに行くと信造(北大路欣也)に報告。信造は「サチさん殺害事件の犯人が捕まるのは時間の問題だから、無茶をするな」といさめる。しかし時効の壁に阻まれ、本部が追及できない25年前の真実を自らの手で明らかにしたいと懇願する亮二の思いを受けとめ、真相に迫ろうとする彼を送り出す。信造から亮二を護衛するよう命じられた舜(稲垣吾郎)もスタジアムへ駆けつけた。  遠くから見守る舜。そして亮二の前に均(大杉漣)が現れた。亮二に問い詰められ、佐智絵が新藤(宅麻伸)の子ではないかと疑った事実を認める均。「罪を認めて欲しい。佐智絵を殺したのは、あなたですね?」と迫る亮二。舜は神経を張り詰めながら、その会話を無線で聞いている。亮二と均の緊迫したやりとりが続く中、遠くから2人を狙い銃口が向けられる!江口洋介　  稲垣吾郎　  広末涼子　  相武紗季　  　●　  堺雅人　  　●　  谷原章介　  佐々木蔵之介　  　●　  小日向文世　  大杉漣(しんにょうの点2つ)　  風吹ジュン　  北大路欣也</t>
  </si>
  <si>
    <t>【あらすじ】  　25年前の犯人にようやくたどり着いた亮二(江口洋介)。佐智絵、志摩野(堺雅人)、そしてサチ(広末涼子)が殺された3つの事件は同じ人物の犯行だった。ついに明らかとなる、25年前の真実とは?そして真犯人の正体は?【内容】  　ようやく25年前の事件の犯人にたどり着いた亮二は、その人物に会いに行くと信造(北大路欣也)に報告。信造は「サチさん殺害事件の犯人が捕まるのは時間の問題だから、無茶をするな」といさめる。しかし時効の壁に阻まれ、本部が追及できない25年前の真実を自らの手で明らかにしたいと懇願する亮二の思いを受けとめ、真相に迫ろうとする彼を送り出す。信造から亮二を護衛するよう命じられた舜(稲垣吾郎)もスタジアムへ駆けつけた。  遠くから見守る舜。そして亮二の前に均(大杉漣)が現れた。亮二に問い詰められ、佐智絵が新藤(宅麻伸)の子ではないかと疑った事実を認める均。「罪を認めて欲しい。佐智絵を殺したのは、あなたですね?」と迫る亮二。舜は神経を張り詰めながら、その会話を無線で聞いている。亮二と均の緊迫したやりとりが続く中、遠くから2人を狙い銃口が向けられる!</t>
  </si>
  <si>
    <t>0901_CX_木22</t>
  </si>
  <si>
    <t>ありふれた奇跡</t>
  </si>
  <si>
    <t>番組名&lt;木曜劇場&gt;フジテレビ開局50周年記念ドラマありふれた奇跡　#01</t>
  </si>
  <si>
    <t>業務用厨房機器販売会社に勤める中城加奈(仲間由紀恵)は駅で、ホームに立つ1人の男性(陣内孝則)に目を止める。いったんは出口へ向かいかけた加奈だが、再びホームに戻り静かに男に近づく。  　ホームに居合わせ、そんな加奈の行動を見ていた左官をしている田崎翔太(加瀬亮)もまた男に何かを感じて近づく。ホームに電車が滑り込んでくると、線路に飛び出そうとした男を間一髪のところで捕まえ、引き戻す加奈と翔太。　警官・権藤(塩見三省)の立会いのもと、駅員室に呼ばれた3人。藤本誠と名乗るその男は、自殺しようとしたことを強く否定し、突然つかみかかってきた加奈と翔太を激しく非難するが、権藤の配慮で2人は帰される。そのまま駅で別れるが、翔太は加奈を追いかける。しかし、加奈の姿は見つからず、仕方なくコーヒーショップへ入ると、偶然加奈が店内にいた。ぎこちない会話の末、翔太は思いきってメールアドレスを聞く。　仕事を終え帰宅した加奈。居間では人形教室を開いている母親の桂(戸田恵子)が、展示会に向けて作業中。祖母の静江(八千草薫)は自室で落語を聞き、父親の朋也(岸部一徳)は自室で隠れるように何かをしていた。同じ頃、祖父の四郎(井川比佐志)と父親の重夫(風間杜夫)との男所帯である翔太は3人で食事をとっていた。  　そんな折、交番の権藤のもとへ誠が訪ねてきた。誠は加奈と翔太の住所を知りたいと申し出る。仲間由紀恵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</si>
  <si>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業務用厨房機器販売会社に勤める中城加奈(仲間由紀恵)は駅で、ホームに立つ1人の男性(陣内孝則)に目を止める。いったんは出口へ向かいかけた加奈だが、再びホームに戻り静かに男に近づく。  　ホームに居合わせ、そんな加奈の行動を見ていた左官をしている田崎翔太(加瀬亮)もまた男に何かを感じて近づく。ホームに電車が滑り込んでくると、線路に飛び出そうとした男を間一髪のところで捕まえ、引き戻す加奈と翔太。　警官・権藤(塩見三省)の立会いのもと、駅員室に呼ばれた3人。藤本誠と名乗るその男は、自殺しようとしたことを強く否定し、突然つかみかかってきた加奈と翔太を激しく非難するが、権藤の配慮で2人は帰される。そのまま駅で別れるが、翔太は加奈を追いかける。しかし、加奈の姿は見つからず、仕方なくコーヒーショップへ入ると、偶然加奈が店内にいた。ぎこちない会話の末、翔太は思いきってメールアドレスを聞く。　仕事を終え帰宅した加奈。居間では人形教室を開いている母親の桂(戸田恵子)が、展示会に向けて作業中。祖母の静江(八千草薫)は自室で落語を聞き、父親の朋也(岸部一徳)は自室で隠れるように何かをしていた。同じ頃、祖父の四郎(井川比佐志)と父親の重夫(風間杜夫)との男所帯である翔太は3人で食事をとっていた。  　そんな折、交番の権藤のもとへ誠が訪ねてきた。誠は加奈と翔太の住所を知りたいと申し出る。</t>
  </si>
  <si>
    <t>番組名&lt;木曜劇場&gt;フジテレビ開局50周年記念ドラマありふれた奇跡　#02</t>
  </si>
  <si>
    <t>中城加奈(仲間由紀恵)と田崎翔太(加瀬亮)は、自殺を止めた藤本誠(陣内孝則)から同じ経験があるのではと聞かれた。その場で言葉に詰まる2人・・・。  　後日、加奈と翔太は喫茶店で待ち合わせをして会うことになった。そこでの会話で、2人のちょっとした言葉の行き違いが生じ、加奈は気分を害して翔太を残し、喫茶店から出て行ってしまう。  　自宅に戻って激しく後悔する翔太の様子にすばやく気付き、声をかける祖父・四郎(井川比佐志)だが、父・重夫(風間杜夫)は四郎に言われるまで何も気付かない。  　加奈のことが気になり、加奈の家を探しに来た翔太。すると、中城家の前で座っていた加奈の祖母・静江(八千草薫)に声をかけられた。すべて戸締まりをしてしまった後に忘れたことに気づいた、地図を取って来て欲しいという。戸惑いながらも静江に頼まれるまま動く翔太は、静江からさらなるボランティアを頼まれる・・・。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</si>
  <si>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中城加奈(仲間由紀恵)と田崎翔太(加瀬亮)は、自殺を止めた藤本誠(陣内孝則)から同じ経験があるのではと聞かれた。その場で言葉に詰まる2人・・・。  　後日、加奈と翔太は喫茶店で待ち合わせをして会うことになった。そこでの会話で、2人のちょっとした言葉の行き違いが生じ、加奈は気分を害して翔太を残し、喫茶店から出て行ってしまう。  　自宅に戻って激しく後悔する翔太の様子にすばやく気付き、声をかける祖父・四郎(井川比佐志)だが、父・重夫(風間杜夫)は四郎に言われるまで何も気付かない。  　加奈のことが気になり、加奈の家を探しに来た翔太。すると、中城家の前で座っていた加奈の祖母・静江(八千草薫)に声をかけられた。すべて戸締まりをしてしまった後に忘れたことに気づいた、地図を取って来て欲しいという。戸惑いながらも静江に頼まれるまま動く翔太は、静江からさらなるボランティアを頼まれる・・・。</t>
  </si>
  <si>
    <t>番組名&lt;木曜劇場&gt;フジテレビ開局50周年記念ドラマありふれた奇跡　#03</t>
  </si>
  <si>
    <t>自殺しようとした過去があることを互いに告白した中城加奈(仲間由紀恵)と田崎翔太(加瀬亮)。2人はメールを交換しあいながらどこかで気持ちが通じ合っていると感じ始める。ある日、加奈と会った翔太はこれはデートではなく死のうとしたことのある人の会だと言われ、残念に思いながらも納得する。加奈は翔太に死のうとした理由をたずねる。翔太は話そうとするが…。  　その夜、加奈との出来事を思い出しておかしな反応をする翔太に声をかける重夫(風間杜夫)だが、四郎(井川比佐志)は放っておけという。加奈も静江(八千草薫)を相手に妙にはしゃいでいた。  　スナック「妙」で待ち合わせをした加奈と翔太。そこへ藤本誠(陣内孝則)がやってきた。加奈が、誠も死のうとしたことのある人の会のメンバーにいれたので呼んだと言う。お酒が入り、すっかり酔っ払った誠を翔太が送っていくことになった。帰りのタクシーの中で誠はデートの邪魔をしたと謝るが、翔太はデートじゃないと否定する。誠は加奈と翔太はどうみてもデートをしている、と言う。家まで送られた誠は翔太に家に上がるようにと誘った。誠は古くて小さな部屋で質素な暮らしをしていた。やがて誠は翔太に泊まっていくように勧める。役に立つならと泊まることを了承する翔太だが…。  　翌日、翔太から連絡をもらい、加奈が誠の部屋に訪ねてきた。すると、部屋を出て話していた加奈と翔太の前に重夫が現れ…。仲間由紀恵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</si>
  <si>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自殺しようとした過去があることを互いに告白した中城加奈(仲間由紀恵)と田崎翔太(加瀬亮)。2人はメールを交換しあいながらどこかで気持ちが通じ合っていると感じ始める。ある日、加奈と会った翔太はこれはデートではなく死のうとしたことのある人の会だと言われ、残念に思いながらも納得する。加奈は翔太に死のうとした理由をたずねる。翔太は話そうとするが…。  　その夜、加奈との出来事を思い出しておかしな反応をする翔太に声をかける重夫(風間杜夫)だが、四郎(井川比佐志)は放っておけという。加奈も静江(八千草薫)を相手に妙にはしゃいでいた。  　スナック「妙」で待ち合わせをした加奈と翔太。そこへ藤本誠(陣内孝則)がやってきた。加奈が、誠も死のうとしたことのある人の会のメンバーにいれたので呼んだと言う。お酒が入り、すっかり酔っ払った誠を翔太が送っていくことになった。帰りのタクシーの中で誠はデートの邪魔をしたと謝るが、翔太はデートじゃないと否定する。誠は加奈と翔太はどうみてもデートをしている、と言う。家まで送られた誠は翔太に家に上がるようにと誘った。誠は古くて小さな部屋で質素な暮らしをしていた。やがて誠は翔太に泊まっていくように勧める。役に立つならと泊まることを了承する翔太だが…。  　翌日、翔太から連絡をもらい、加奈が誠の部屋に訪ねてきた。すると、部屋を出て話していた加奈と翔太の前に重夫が現れ…。</t>
  </si>
  <si>
    <t>番組名&lt;木曜劇場&gt;フジテレビ開局50周年記念ドラマありふれた奇跡　#04</t>
  </si>
  <si>
    <t>中城加奈(仲間由紀恵)に家が見たいと言われた田崎翔太(加瀬亮)は、重夫(風間杜夫)と四郎(井川比佐志)にその話をする。加奈に1度会っている重夫は大歓迎ムードだ。  　日曜日。駅で加奈と合流した翔太は昔話を交えながら近所を案内して家に行く。するとかしこまった四郎と重夫が待っていた。翔太の部屋に通された加奈は、壁に貼られたアイリッシュダンスのポスターをみつける。踊り出した加奈に、翔太は器用に踊って見せ、笑顔になる2人。階下では踊る足音を聞いた重夫と四郎が首をかしげていた。そして…。  　家に帰ってきた加奈が居間へ行くと、桂(戸田恵子)がソファに寝ていた。落ち込んで起き上がれないと話す桂に展示会の成功を持ち出し励ます加奈だが、桂は加奈に抱きつく。  　家に戻った翔太は1人で酒を飲んでいる重夫に、律子(キムラ緑子)と会っているのかと問う。よりを戻す気はないと言い切りながらも放っておけないという重夫。  　桂が家で1人ブランデーを飲んでいると、静江(八千草薫)がやってきた。静江は加奈の机の中から持ってきたと1枚の写真を桂に差し出す。それは加奈が翔太と翔太の家族とで田崎家前で撮った写真だった。後日、桂がその写真を朋也(岸部一徳)に見せるが、朋也は何か気になるようで…。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</si>
  <si>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中城加奈(仲間由紀恵)に家が見たいと言われた田崎翔太(加瀬亮)は、重夫(風間杜夫)と四郎(井川比佐志)にその話をする。加奈に1度会っている重夫は大歓迎ムードだ。  　日曜日。駅で加奈と合流した翔太は昔話を交えながら近所を案内して家に行く。するとかしこまった四郎と重夫が待っていた。翔太の部屋に通された加奈は、壁に貼られたアイリッシュダンスのポスターをみつける。踊り出した加奈に、翔太は器用に踊って見せ、笑顔になる2人。階下では踊る足音を聞いた重夫と四郎が首をかしげていた。そして…。  　家に帰ってきた加奈が居間へ行くと、桂(戸田恵子)がソファに寝ていた。落ち込んで起き上がれないと話す桂に展示会の成功を持ち出し励ます加奈だが、桂は加奈に抱きつく。  　家に戻った翔太は1人で酒を飲んでいる重夫に、律子(キムラ緑子)と会っているのかと問う。よりを戻す気はないと言い切りながらも放っておけないという重夫。  　桂が家で1人ブランデーを飲んでいると、静江(八千草薫)がやってきた。静江は加奈の机の中から持ってきたと1枚の写真を桂に差し出す。それは加奈が翔太と翔太の家族とで田崎家前で撮った写真だった。後日、桂がその写真を朋也(岸部一徳)に見せるが、朋也は何か気になるようで…。</t>
  </si>
  <si>
    <t>番組名&lt;木曜劇場&gt;フジテレビ開局50周年記念ドラマありふれた奇跡　#05</t>
  </si>
  <si>
    <t>中城加奈(仲間由紀恵)が田崎翔太(加瀬亮)の家を訪ねて以来、メールのやりとりだけで会わないまま1週間が過ぎた。  　立川研次(吹越満)との別れ以来、具合が悪く起き上がれないでいる桂(戸田恵子)。事情を知らない加奈は病院に行くように勧める。その頃、朋也(岸部一徳)は再び重夫(風間杜夫)と会っていた。2人は人目を忍ぶように、とあるビルへ入っていく。そこは…。　加奈と翔太は会う約束をするが、加奈が待ち合わせ場所に指定したのは、以前に加奈が店長にたんかを切って飛び出した喫茶店だった。加奈は店に入ると店長に前回の行動を謝った。すっきりしたと笑顔になる加奈。喫茶店を出ると、歩きながら加奈は翔太にこれまで誰にも言えなかったことを打ち明ける…。  　翌日、相変わらず寝込んだままの桂に、加奈は心配と自分への苛立ちから病院に行かないことを責め口論のようになってしまう。静江(八千草薫)は桂の部屋に行き、横になっている桂に自分の昔話をし始めた。  　呼び出され、喫茶店にやってきた朋也。待っていた重夫は朋也にある提案をするが…。同じ頃、「妙」に向かっていた加奈。店の前では、ママの妙(宮田早苗)が藤本誠(陣内孝則)に見送られタクシーに乗り込むところだった…。仲間由紀恵　  岸部一徳　  戸田恵子　  八千草薫　    加瀬亮　  風間杜夫　  井川比佐志　    陣内孝則　    キムラ緑子　    塩見三省　    松重豊　    宮田早苗　    黒坂真美　    ほか【脚本】  山田太一【統括プロデュース】  中村敏夫    【プロデュース】  長部聡介　  樋口徹    【演出】  田島大輔海田庄吾    【主題歌】  「ありふれた奇跡」エンヤ(ワーナーミュージック・ジャパン)</t>
  </si>
  <si>
    <t>中城加奈(仲間由紀恵)が田崎翔太(加瀬亮)の家を訪ねて以来、メールのやりとりだけで会わないまま1週間が過ぎた。  　立川研次(吹越満)との別れ以来、具合が悪く起き上がれないでいる桂(戸田恵子)。事情を知らない加奈は病院に行くように勧める。その頃、朋也(岸部一徳)は再び重夫(風間杜夫)と会っていた。2人は人目を忍ぶように、とあるビルへ入っていく。そこは…。　加奈と翔太は会う約束をするが、加奈が待ち合わせ場所に指定したのは、以前に加奈が店長にたんかを切って飛び出した喫茶店だった。加奈は店に入ると店長に前回の行動を謝った。すっきりしたと笑顔になる加奈。喫茶店を出ると、歩きながら加奈は翔太にこれまで誰にも言えなかったことを打ち明ける…。  　翌日、相変わらず寝込んだままの桂に、加奈は心配と自分への苛立ちから病院に行かないことを責め口論のようになってしまう。静江(八千草薫)は桂の部屋に行き、横になっている桂に自分の昔話をし始めた。  　呼び出され、喫茶店にやってきた朋也。待っていた重夫は朋也にある提案をするが…。同じ頃、「妙」に向かっていた加奈。店の前では、ママの妙(宮田早苗)が藤本誠(陣内孝則)に見送られタクシーに乗り込むところだった…。</t>
  </si>
  <si>
    <t>番組名&lt;木曜劇場&gt;フジテレビ開局50周年記念ドラマありふれた奇跡　#06</t>
  </si>
  <si>
    <t>中城加奈(仲間由紀恵)から子どもが産めないことを告白された田崎翔太(加瀬亮)は、加奈に呼び出されて藤本誠(陣内孝則)の部屋にやってきた。誠は、「妙」で加奈に手を出そうとして以来の再会に、翔太に自分を殴るように言うが加奈はひきずらないようにと声をかける。そして、自殺しようとした理由の詳細を話すから誠に立ち会って欲しいと頼む。静かに話し始めた加奈。やがて話を終えると、加奈は部屋を1人出て行く。　誠は「ゆっくり時間をおいて考えろ」と助言するが、部屋を出た翔太は中城家に向かった。静江(八千草薫)が応答し、加奈はまだ帰っていないという。静江は翔太を歓迎し、ひ孫が見られる日が楽しみだと無邪気に話す静江に翔太は…。ちょうどそこへ加奈が帰宅した。驚いた加奈は翔太を追い返し部屋に戻る。そこへ、静江がやってきて…。  　その後、メールでやりとりをする加奈と翔太だが、「子どもなんかいらない」という翔太に加奈は「ゆっくり考えて」と繰り返す。そんな中、加奈の部屋に朋也(岸部一徳)がやってきた。静江から話を聞き翔太を批判する父に、加奈は話をそらすように桂(戸田恵子)の症状や朋也自身が何かを隠してないかと問う。  　一方、翔太の家では、夕方風呂に入っている重夫(風間杜夫)に四郎(井川比佐志)が早く支度をしろという。翔太がいない時に話がある、と朋也が訪ねてくるというのだ…。仲間由紀恵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</si>
  <si>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中城加奈(仲間由紀恵)から子どもが産めないことを告白された田崎翔太(加瀬亮)は、加奈に呼び出されて藤本誠(陣内孝則)の部屋にやってきた。誠は、「妙」で加奈に手を出そうとして以来の再会に、翔太に自分を殴るように言うが加奈はひきずらないようにと声をかける。そして、自殺しようとした理由の詳細を話すから誠に立ち会って欲しいと頼む。静かに話し始めた加奈。やがて話を終えると、加奈は部屋を1人出て行く。　誠は「ゆっくり時間をおいて考えろ」と助言するが、部屋を出た翔太は中城家に向かった。静江(八千草薫)が応答し、加奈はまだ帰っていないという。静江は翔太を歓迎し、ひ孫が見られる日が楽しみだと無邪気に話す静江に翔太は…。ちょうどそこへ加奈が帰宅した。驚いた加奈は翔太を追い返し部屋に戻る。そこへ、静江がやってきて…。  　その後、メールでやりとりをする加奈と翔太だが、「子どもなんかいらない」という翔太に加奈は「ゆっくり考えて」と繰り返す。そんな中、加奈の部屋に朋也(岸部一徳)がやってきた。静江から話を聞き翔太を批判する父に、加奈は話をそらすように桂(戸田恵子)の症状や朋也自身が何かを隠してないかと問う。  　一方、翔太の家では、夕方風呂に入っている重夫(風間杜夫)に四郎(井川比佐志)が早く支度をしろという。翔太がいない時に話がある、と朋也が訪ねてくるというのだ…。</t>
  </si>
  <si>
    <t>番組名&lt;木曜劇場&gt;フジテレビ開局50周年記念ドラマありふれた奇跡　#07</t>
  </si>
  <si>
    <t>中城加奈(仲間由紀恵)の家で静江(八千草薫)に子供はいらないと言った田崎翔太(加瀬亮)。それを律子(キムラ緑子)が知っていたことで翔太は重夫(風間杜夫)を問いただし、朋也(岸部一徳)が田崎家を訪ねてきたことと結婚を反対していることを知る。  　加奈は翔太から朋也の行動を聞き、自分たちの知らないところで結婚の話が出ていることに戸惑う。秘密を告白してくれたのは結婚を考えてのことだと思っていた翔太は、子供はいらないと繰り返すが、加奈は結婚はしないと言い切る。  　ある日、翔太は静江に会うためにスーツ姿で中城家を訪れた。家には代休中の朋也もいて、あまり歓迎されない様子で中に通される。朋也、桂(戸田恵子)、静江に囲まれるように座った翔太は、加奈との結婚は今のところはないと言いつつも子供がいらないと言ったのは本心ではなかったと告げる。  　家に帰ってきた加奈のもとへ桂と静江がきた。翔太が訪ねてきたこと、朋也との会話の一部始終を聞いた加奈は…。そんな中、藤本誠(陣内孝則)はある場所を訪れていた。  　数日後、静江は四郎(井川比佐志)から電話をもらい喫茶店で待ち合わせをする。やってきた四郎は、自分の出る幕じゃないと遠慮がちに翔太と加奈の話を切り出すが…。  　一方、誠に呼び出されて「妙」にやってきた加奈は、誠からあるものを渡される。仲間由紀恵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</si>
  <si>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中城加奈(仲間由紀恵)の家で静江(八千草薫)に子供はいらないと言った田崎翔太(加瀬亮)。それを律子(キムラ緑子)が知っていたことで翔太は重夫(風間杜夫)を問いただし、朋也(岸部一徳)が田崎家を訪ねてきたことと結婚を反対していることを知る。  　加奈は翔太から朋也の行動を聞き、自分たちの知らないところで結婚の話が出ていることに戸惑う。秘密を告白してくれたのは結婚を考えてのことだと思っていた翔太は、子供はいらないと繰り返すが、加奈は結婚はしないと言い切る。  　ある日、翔太は静江に会うためにスーツ姿で中城家を訪れた。家には代休中の朋也もいて、あまり歓迎されない様子で中に通される。朋也、桂(戸田恵子)、静江に囲まれるように座った翔太は、加奈との結婚は今のところはないと言いつつも子供がいらないと言ったのは本心ではなかったと告げる。  　家に帰ってきた加奈のもとへ桂と静江がきた。翔太が訪ねてきたこと、朋也との会話の一部始終を聞いた加奈は…。そんな中、藤本誠(陣内孝則)はある場所を訪れていた。  　数日後、静江は四郎(井川比佐志)から電話をもらい喫茶店で待ち合わせをする。やってきた四郎は、自分の出る幕じゃないと遠慮がちに翔太と加奈の話を切り出すが…。  　一方、誠に呼び出されて「妙」にやってきた加奈は、誠からあるものを渡される。</t>
  </si>
  <si>
    <t>番組名&lt;木曜劇場&gt;フジテレビ開局50周年記念ドラマありふれた奇跡　#08</t>
  </si>
  <si>
    <t>中城加奈(仲間由紀恵)は、藤本誠(陣内孝則)の働く住宅展示場にやってきた。加奈は住宅を見に来た客を装い、誠に案内されながら田崎翔太(加瀬亮)が子供はいらないと言い張っていることを話す。翔太にはもう会わない方がいいのかもと言い出した加奈に、誠は養子・里親という選択もあることを告げる。ためらいつつも子供部屋を見て涙声になる加奈の気をそらすように誠は展示場前に捨てられていた子猫を見せる。子猫を愛しそうに抱く加奈を、誠は複雑な思いで見つめる。  　重夫(風間杜夫)に呼び出され喫茶店にやってきた朋也(岸部一徳)は、重夫が女装していることに驚きと憤りを感じる。重夫の話は、加奈と翔太を応援したいというものだった。難色を示す朋也は、子供ができないのは翔太のせいだと訴え、加奈が養子・里親のパンフレットを持っていたことまで話す。思ってもいない話に驚いて呆然とする重夫は、律子(キムラ緑子)を使って真相を探らせる。  　数日後、重夫から連絡をもらった加奈は「妙」で会う約束をする。やってきた重夫は加奈に翔太との結婚の可能性をたずねるが、加奈の答えは…。  　早朝、加奈は出勤前に話があると桂(戸田恵子)を起こして居間に呼んだ。それに気付いた朋也もやってきた。2人を前に、静かに話し出す加奈。やがて静江(八千草薫)も起き出してきて…。同じ頃、仕事に向かう翔太のもとへ重夫がやってきた…。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</si>
  <si>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中城加奈(仲間由紀恵)は、藤本誠(陣内孝則)の働く住宅展示場にやってきた。加奈は住宅を見に来た客を装い、誠に案内されながら田崎翔太(加瀬亮)が子供はいらないと言い張っていることを話す。翔太にはもう会わない方がいいのかもと言い出した加奈に、誠は養子・里親という選択もあることを告げる。ためらいつつも子供部屋を見て涙声になる加奈の気をそらすように誠は展示場前に捨てられていた子猫を見せる。子猫を愛しそうに抱く加奈を、誠は複雑な思いで見つめる。  　重夫(風間杜夫)に呼び出され喫茶店にやってきた朋也(岸部一徳)は、重夫が女装していることに驚きと憤りを感じる。重夫の話は、加奈と翔太を応援したいというものだった。難色を示す朋也は、子供ができないのは翔太のせいだと訴え、加奈が養子・里親のパンフレットを持っていたことまで話す。思ってもいない話に驚いて呆然とする重夫は、律子(キムラ緑子)を使って真相を探らせる。  　数日後、重夫から連絡をもらった加奈は「妙」で会う約束をする。やってきた重夫は加奈に翔太との結婚の可能性をたずねるが、加奈の答えは…。  　早朝、加奈は出勤前に話があると桂(戸田恵子)を起こして居間に呼んだ。それに気付いた朋也もやってきた。2人を前に、静かに話し出す加奈。やがて静江(八千草薫)も起き出してきて…。同じ頃、仕事に向かう翔太のもとへ重夫がやってきた…。</t>
  </si>
  <si>
    <t>番組名&lt;木曜劇場&gt;フジテレビ開局50周年記念ドラマありふれた奇跡　#09</t>
  </si>
  <si>
    <t>中城加奈(仲間由紀恵)は、四郎(井川比佐志)に田崎翔太(加瀬亮)との結婚は許可できないと言われたことやそれが原因で静江(八千草薫)が貧血を起こしたことで気持ちが混乱し、翔太からの謝罪メールにも返事ができずにいた。翔太は四郎を責めるが、四郎の意思は変わらない。加奈に会う勇気が持てないでいた翔太に藤本誠(陣内孝則)は将来より今を大事にして、今はとにかく加奈に会うべきだとアドバイスをおくる。誠の言葉をメールで加奈に伝える翔太。加奈は心配ごとはすべて忘れて何も知らない初めて会った感じで会おうと提案する。  　休日、加奈と翔太は公園で初対面の振りをして会うことになった。ぎこちなさがありつつも、初対面を装ってそれぞれ架空の自分や家族を作り出して会話する2人。すると、加奈が突然、ホテルを予約してあると言い出した。驚く翔太だが…。  　事務所にいた四郎の元へやってきた翔太。改めて結婚の意思を告げる翔太だが、四郎も反対の意見は変えない。そこへボストンバッグなどたくさんの荷物を持った重夫(風間杜夫)が現れた。出張かと問う翔太に重夫はあるメモを渡す。同じ頃、桂(戸田恵子)は加奈に呼び出されていた。翔太との関係を聞く桂に加奈は…。  　ある日、スーパーへ買い物に行っていた翔太が家に戻ると誠が訪ねてきていた。上機嫌で相手をしていた四郎だが、誠の発した一言で態度が一変する。仲間由紀恵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</si>
  <si>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中城加奈(仲間由紀恵)は、四郎(井川比佐志)に田崎翔太(加瀬亮)との結婚は許可できないと言われたことやそれが原因で静江(八千草薫)が貧血を起こしたことで気持ちが混乱し、翔太からの謝罪メールにも返事ができずにいた。翔太は四郎を責めるが、四郎の意思は変わらない。加奈に会う勇気が持てないでいた翔太に藤本誠(陣内孝則)は将来より今を大事にして、今はとにかく加奈に会うべきだとアドバイスをおくる。誠の言葉をメールで加奈に伝える翔太。加奈は心配ごとはすべて忘れて何も知らない初めて会った感じで会おうと提案する。  　休日、加奈と翔太は公園で初対面の振りをして会うことになった。ぎこちなさがありつつも、初対面を装ってそれぞれ架空の自分や家族を作り出して会話する2人。すると、加奈が突然、ホテルを予約してあると言い出した。驚く翔太だが…。  　事務所にいた四郎の元へやってきた翔太。改めて結婚の意思を告げる翔太だが、四郎も反対の意見は変えない。そこへボストンバッグなどたくさんの荷物を持った重夫(風間杜夫)が現れた。出張かと問う翔太に重夫はあるメモを渡す。同じ頃、桂(戸田恵子)は加奈に呼び出されていた。翔太との関係を聞く桂に加奈は…。  　ある日、スーパーへ買い物に行っていた翔太が家に戻ると誠が訪ねてきていた。上機嫌で相手をしていた四郎だが、誠の発した一言で態度が一変する。</t>
  </si>
  <si>
    <t>番組名&lt;木曜劇場&gt;フジテレビ開局50周年記念ドラマありふれた奇跡　#10</t>
  </si>
  <si>
    <t>スナック「妙」で待ち合わせした中城加奈(仲間由紀恵)と藤本誠(陣内孝則)。加奈は自殺しようとした時を振り返り、誰かに止められた気がしたが、それを翔太(加瀬亮)と重ねて恋人気分になっていただけかもしれないと話す。そんな加奈に誠はもっと気持ちを楽にするべきと言う。  　ある日、四郎(井川比佐志)のもとへ誠がやってきた。誠は加奈と翔太を応援すると言い、血筋を絶やしたくないと言い張る四郎に反対ではなく励ますのが役割じゃないかと訴える。すると、四郎がおもむろに金を貸そうと言い出し、誠は…。  　翔太は重夫(風間杜夫)と律子(キムラ緑子)が暮らすアパートへ来ていた。口げんかをしながらも仲良さそうな2人と乾杯し、食事をする翔太。  　とある喫茶店で誠は朋也(岸部一徳)と向かい合って座っていた。誠は四郎と同様に2人を応援して欲しいと言うが、朋也はあなたには関係ないと言い…。　誠の来訪を聞いた加奈と翔太は、それぞれ誠に連絡を取るが携帯は電源が切られたままだ。誠を心配し、会うことにする加奈と翔太。待ち合わせの喫茶店に行く前に、2人はそれぞれ誠の家に行っていたが、誠は不在だった。不安を募らせつつも、2人は喫茶店で誠の行動について話し合う。  　後日、誠に呼び出された加奈と翔太。指定された場所は、誠には似つかわしくない高級そうな料亭だった。そこで誠から思わぬ報告を受ける。仲間由紀恵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</si>
  <si>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スナック「妙」で待ち合わせした中城加奈(仲間由紀恵)と藤本誠(陣内孝則)。加奈は自殺しようとした時を振り返り、誰かに止められた気がしたが、それを翔太(加瀬亮)と重ねて恋人気分になっていただけかもしれないと話す。そんな加奈に誠はもっと気持ちを楽にするべきと言う。  　ある日、四郎(井川比佐志)のもとへ誠がやってきた。誠は加奈と翔太を応援すると言い、血筋を絶やしたくないと言い張る四郎に反対ではなく励ますのが役割じゃないかと訴える。すると、四郎がおもむろに金を貸そうと言い出し、誠は…。  　翔太は重夫(風間杜夫)と律子(キムラ緑子)が暮らすアパートへ来ていた。口げんかをしながらも仲良さそうな2人と乾杯し、食事をする翔太。  　とある喫茶店で誠は朋也(岸部一徳)と向かい合って座っていた。誠は四郎と同様に2人を応援して欲しいと言うが、朋也はあなたには関係ないと言い…。　誠の来訪を聞いた加奈と翔太は、それぞれ誠に連絡を取るが携帯は電源が切られたままだ。誠を心配し、会うことにする加奈と翔太。待ち合わせの喫茶店に行く前に、2人はそれぞれ誠の家に行っていたが、誠は不在だった。不安を募らせつつも、2人は喫茶店で誠の行動について話し合う。  　後日、誠に呼び出された加奈と翔太。指定された場所は、誠には似つかわしくない高級そうな料亭だった。そこで誠から思わぬ報告を受ける。</t>
  </si>
  <si>
    <t>番組名&lt;木曜劇場&gt;フジテレビ開局50周年記念ドラマありふれた奇跡　#11</t>
  </si>
  <si>
    <t>見知らぬ若い女性から赤ん坊を預かった中城加奈(仲間由紀恵)と田崎翔太(加瀬亮)。5分で戻ると言ったその女性は、20分経っても戻ってこなかった。トイレに女性を探しに行くも女性の姿はなく、その後も慣れないながらもミルクをあげたり、おしめを換えたりと、買いに走った育児本を参考にしながら懸命に世話を焼く加奈と翔太。  　2時間が経過した。警察に届けようと提案する翔太に加奈は、「もう少しこうしていたい」と本音を漏らす。さらに数時間が経過するが、女性は現れる気配はなかった。翔太が加奈に内緒で誠(陣内孝則)と警官の権藤(塩見三省)を呼ぶと…。  　律子(キムラ緑子)の部屋に桂(戸田恵子)が訪ねてきた。加奈が翔太との結婚を望んでいると知り、翔太の母親である律子に会いに来たという。重夫(風間杜夫)と一緒に暮らしていることで家族付き合いを気にかけている素振りの桂に、律子は中城家とは付き合わないから心配しないでと明るく言い放つ。  　一方、朋也(岸部一徳)と重夫も喫茶店で会っていた。女装癖がバレた時を心配し、やめるべきかを話し合う2人。  　田崎家では、事務所にいた四郎(井川比佐志)が職人の神戸(松重豊)に中断していた工事の再開を告げた。喜ぶ神戸は、四郎にある相談を持ちかける。その夜、帰宅した翔太はかなり怒った様子で四郎の元へ行く。  　数日後、中城家と田崎家の家族がレストランで顔を合わせていた。仲間由紀恵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</si>
  <si>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見知らぬ若い女性から赤ん坊を預かった中城加奈(仲間由紀恵)と田崎翔太(加瀬亮)。5分で戻ると言ったその女性は、20分経っても戻ってこなかった。トイレに女性を探しに行くも女性の姿はなく、その後も慣れないながらもミルクをあげたり、おしめを換えたりと、買いに走った育児本を参考にしながら懸命に世話を焼く加奈と翔太。  　2時間が経過した。警察に届けようと提案する翔太に加奈は、「もう少しこうしていたい」と本音を漏らす。さらに数時間が経過するが、女性は現れる気配はなかった。翔太が加奈に内緒で誠(陣内孝則)と警官の権藤(塩見三省)を呼ぶと…。  　律子(キムラ緑子)の部屋に桂(戸田恵子)が訪ねてきた。加奈が翔太との結婚を望んでいると知り、翔太の母親である律子に会いに来たという。重夫(風間杜夫)と一緒に暮らしていることで家族付き合いを気にかけている素振りの桂に、律子は中城家とは付き合わないから心配しないでと明るく言い放つ。  　一方、朋也(岸部一徳)と重夫も喫茶店で会っていた。女装癖がバレた時を心配し、やめるべきかを話し合う2人。  　田崎家では、事務所にいた四郎(井川比佐志)が職人の神戸(松重豊)に中断していた工事の再開を告げた。喜ぶ神戸は、四郎にある相談を持ちかける。その夜、帰宅した翔太はかなり怒った様子で四郎の元へ行く。  　数日後、中城家と田崎家の家族がレストランで顔を合わせていた。</t>
  </si>
  <si>
    <t>0901_CX_土23</t>
  </si>
  <si>
    <t>赤い糸</t>
  </si>
  <si>
    <t>番組名&lt;土曜ドラマ&gt;赤い糸　#04</t>
  </si>
  <si>
    <t>竹宮芽衣(南沢奈央)たちの目下の話題は、長崎への修学旅行。特に、2日目の自由行動をどう過ごすかが話題。そんな時、西野敦史(溝端淳平)が芽衣を自由行動に誘った。山岸美亜(岡本玲)や中西優梨(鈴木かすみ)、藤原夏樹(柳下大)と神谷充(田島亮)たちは、敦史の行動に注目。だが、高橋陸(木村了)は・・・。  　芽衣と敦史は帰り道、買い物帰りの芽衣の母、幸子(渡辺典子)に会う。敦史の母親の名を知った幸子は少し動揺した様子だった。  　修学旅行初日、団体行動で盛り上がる芽衣たち。その夜、芽衣は中川沙良(桜庭ななみ)から孤独だった日々を打ち明けられ、感謝される。一方、敦史は担任の井上隼作(矢柴俊博)に呼ばれ、母・夏実(山本未來)が怪我をしたと知らされる。芽衣にわけを話し、自由行動が出来なくなったと詫びる敦史はひとつの提案をする。  　そして芽衣と敦史は、秘かにホテルを抜け出した。敦史は幼い頃の初恋の話を始める。芽衣はそれが自分だと気づく。敦史は芽衣に運命を信じるかと聞く。  　ホテルに帰った芽衣を沙良が待っていた。芽衣から敦史との話を聞いた沙良は、自分も陸に告白しようと思うと打ち明ける。  　翌朝、1人で出かけようとする芽衣を陸が追ってきた。沙良は美亜たちと行動を共にするのだが、沙良たちは芽衣と陸が一緒にいるのを目撃してしまう。ショックを受けた沙良は・・・。南沢奈央　  溝端淳平　  木村了　  岡本玲　  桜庭ななみ　  柳下大　  鈴木かすみ　  田島亮　  岩田さゆり　  矢崎広　  　・　  甲本雅裕　  小木茂光　  渡辺典子　    ほか【原作】  「赤い糸」「赤い糸destiny」メイ(ゴマブックス刊)    【脚本】  渡辺千穂【企画】  関谷正征　  種田義彦    【プロデューサー】  森安彩    【演出】  村上正典菅野祐悟    【主題歌】  「366日」HY  【挿入歌】  「Ray」lego　big　morl</t>
  </si>
  <si>
    <t>竹宮芽衣(南沢奈央)たちの目下の話題は、長崎への修学旅行。特に、2日目の自由行動をどう過ごすかが話題。そんな時、西野敦史(溝端淳平)が芽衣を自由行動に誘った。山岸美亜(岡本玲)や中西優梨(鈴木かすみ)、藤原夏樹(柳下大)と神谷充(田島亮)たちは、敦史の行動に注目。だが、高橋陸(木村了)は・・・。  　芽衣と敦史は帰り道、買い物帰りの芽衣の母、幸子(渡辺典子)に会う。敦史の母親の名を知った幸子は少し動揺した様子だった。  　修学旅行初日、団体行動で盛り上がる芽衣たち。その夜、芽衣は中川沙良(桜庭ななみ)から孤独だった日々を打ち明けられ、感謝される。一方、敦史は担任の井上隼作(矢柴俊博)に呼ばれ、母・夏実(山本未來)が怪我をしたと知らされる。芽衣にわけを話し、自由行動が出来なくなったと詫びる敦史はひとつの提案をする。  　そして芽衣と敦史は、秘かにホテルを抜け出した。敦史は幼い頃の初恋の話を始める。芽衣はそれが自分だと気づく。敦史は芽衣に運命を信じるかと聞く。  　ホテルに帰った芽衣を沙良が待っていた。芽衣から敦史との話を聞いた沙良は、自分も陸に告白しようと思うと打ち明ける。  　翌朝、1人で出かけようとする芽衣を陸が追ってきた。沙良は美亜たちと行動を共にするのだが、沙良たちは芽衣と陸が一緒にいるのを目撃してしまう。ショックを受けた沙良は・・・。</t>
  </si>
  <si>
    <t>番組名&lt;土曜ドラマ&gt;赤い糸　#05</t>
  </si>
  <si>
    <t>竹宮芽衣(南沢奈央)の修学旅行は暗転。自由行動の日、一緒に出かける予定だった西野敦史(溝端淳平)が急遽、母の夏実(山本未來)の入院する医療センターに向かったため、芽衣は高橋陸(木村了)と過ごす。そんな2人の関係を誤解した中川沙良(桜庭ななみ)が、ホテルの屋上から飛び降りてしまった。  　一方、敦史は医療センターで太田一平医師(鈴木浩介)から、環境を整えるためにも夏実を他のリハビリ施設に入れた方が良いと勧められた。  　敦史を芽衣の母、幸子(渡辺典子)が訪ねて来て、芽衣と別れて欲しいと言われてしまう。幸子は、夏実の過去を知っていたのだ。  　3年1組の生徒たちは、沙良の事故が心配。教室には芽衣と敦史の姿はない。芽衣を心配する山岸美亜(岡本玲)たちも、連絡は取れていなかった。  　敦史は幸子に言われたことを夏実に問いただすが、答えは得られない。神社に戻った敦史を、田所麻美(石橋杏奈)が待っていた。麻美を敦史が送っている姿を芽衣と陸が見てしまう。陸は、敦史に声をかけなくて良いのかと尋ねるが、芽衣は大丈夫と答えた。しかし、修学旅行以来、芽衣と敦史の連絡は途絶えている。  　夏実をリハビリ施設に移し、自身も引っ越そうと考える敦史は、薬物を流していた村越浩市(松田賢二)を訪ね、これ以上関わらないで欲しいと頼む。すると、村越は思わぬ事を言い出した。それは、幸子から聞いた過去の事実を裏付けていた。南沢奈央　  溝端淳平　  木村了　  岡本玲　  桜庭ななみ　  柳下大　  鈴木かすみ　  田島亮　  岩田さゆり　  　・　  甲本雅裕　  山本未來　  小木茂光　  渡辺典子　    ほか【原作】  「赤い糸」「赤い糸destiny」メイ(ゴマブックス刊)    【脚本】  渡辺千穂【企画】  関谷正征　  種田義彦    【プロデューサー】  森安彩    【演出】  川村泰祐菅野祐悟    【主題歌】  「366日」HY    【挿入歌】  「Ray」lego　big　morl</t>
  </si>
  <si>
    <t>竹宮芽衣(南沢奈央)の修学旅行は暗転。自由行動の日、一緒に出かける予定だった西野敦史(溝端淳平)が急遽、母の夏実(山本未來)の入院する医療センターに向かったため、芽衣は高橋陸(木村了)と過ごす。そんな2人の関係を誤解した中川沙良(桜庭ななみ)が、ホテルの屋上から飛び降りてしまった。  　一方、敦史は医療センターで太田一平医師(鈴木浩介)から、環境を整えるためにも夏実を他のリハビリ施設に入れた方が良いと勧められた。  　敦史を芽衣の母、幸子(渡辺典子)が訪ねて来て、芽衣と別れて欲しいと言われてしまう。幸子は、夏実の過去を知っていたのだ。  　3年1組の生徒たちは、沙良の事故が心配。教室には芽衣と敦史の姿はない。芽衣を心配する山岸美亜(岡本玲)たちも、連絡は取れていなかった。  　敦史は幸子に言われたことを夏実に問いただすが、答えは得られない。神社に戻った敦史を、田所麻美(石橋杏奈)が待っていた。麻美を敦史が送っている姿を芽衣と陸が見てしまう。陸は、敦史に声をかけなくて良いのかと尋ねるが、芽衣は大丈夫と答えた。しかし、修学旅行以来、芽衣と敦史の連絡は途絶えている。  　夏実をリハビリ施設に移し、自身も引っ越そうと考える敦史は、薬物を流していた村越浩市(松田賢二)を訪ね、これ以上関わらないで欲しいと頼む。すると、村越は思わぬ事を言い出した。それは、幸子から聞いた過去の事実を裏付けていた。</t>
  </si>
  <si>
    <t>番組名&lt;土曜ドラマ&gt;赤い糸　#06</t>
  </si>
  <si>
    <t>竹宮芽衣(南沢奈央)の部屋に、残った宿題を片付けるため山岸美亜(岡本玲)と中西優梨(鈴木かすみ)が来た。  　藤原夏樹(柳下大)と図書館に行ったと言う優梨を羨ましがる美亜。だが、芽衣は中川沙良(桜庭ななみ)のことが気になる。さらに芽衣は修学旅行以来、西野敦史(溝端淳平)に会えないどころか、連絡もつかずにいた。  　その頃、敦史はリハビリ施設に移る母・夏実(山本未來)に付いて行くために引越しの準備をしていた。  　その時、敦史は荷物の中にアルバムを見つける。中には、幼い敦史と並んで眠る赤ちゃんの写真。裏には“敦史1歳、芽衣ちゃんと"と書かれていた。  　翌朝、芽衣たちは、担任の井上隼作(矢柴俊博)から沙良の退院を知らされる。だが、沙良は大阪の学校に転校すると言う。帰り道、芽衣と美亜、優梨、高橋陸(木村了)は沙良の家へ。すると沙良が出てきたが、事故の後遺症で記憶を失っていた。  　そして芽衣たちは、沙良の母親から娘のことは忘れて欲しいと言われてしまう。  　夕方、神社に来た敦史を森崎孝道(小木茂光)は、芽衣に何も告げずにいなくなるつもりかと諭す。  　次の日、幸子(渡辺典子)を敦史が訪ねる。敦史は夏実が持っていた写真を示して過去の出来事を問う。すると幸子は、真実を語った。敦史も自分の芽衣への気持ちを正直に話す。その上で、ある決意も口にした。  　引越し前夜。敦史は、芽衣を呼び出し…。南沢奈央　  溝端淳平　  木村了　  岡本玲　  桜庭ななみ　  柳下大　  鈴木かすみ　  田島亮　  岩田さゆり　  　・　  山口紗弥加　  甲本雅裕　  山本未來　  小木茂光　  渡辺典子　    ほか【原作】  「赤い糸」「赤い糸destiny」メイ(ゴマブックス刊)    【脚本】  渡辺千穂【企画】  関谷正征　  種田義彦    【プロデューサー】  森安彩    【演出】  川村泰祐菅野祐悟    【主題歌】「366日」HY    【挿入歌】「Ray」lego　big　morl</t>
  </si>
  <si>
    <t>竹宮芽衣(南沢奈央)の部屋に、残った宿題を片付けるため山岸美亜(岡本玲)と中西優梨(鈴木かすみ)が来た。  　藤原夏樹(柳下大)と図書館に行ったと言う優梨を羨ましがる美亜。だが、芽衣は中川沙良(桜庭ななみ)のことが気になる。さらに芽衣は修学旅行以来、西野敦史(溝端淳平)に会えないどころか、連絡もつかずにいた。  　その頃、敦史はリハビリ施設に移る母・夏実(山本未來)に付いて行くために引越しの準備をしていた。  　その時、敦史は荷物の中にアルバムを見つける。中には、幼い敦史と並んで眠る赤ちゃんの写真。裏には“敦史1歳、芽衣ちゃんと"と書かれていた。  　翌朝、芽衣たちは、担任の井上隼作(矢柴俊博)から沙良の退院を知らされる。だが、沙良は大阪の学校に転校すると言う。帰り道、芽衣と美亜、優梨、高橋陸(木村了)は沙良の家へ。すると沙良が出てきたが、事故の後遺症で記憶を失っていた。  　そして芽衣たちは、沙良の母親から娘のことは忘れて欲しいと言われてしまう。  　夕方、神社に来た敦史を森崎孝道(小木茂光)は、芽衣に何も告げずにいなくなるつもりかと諭す。  　次の日、幸子(渡辺典子)を敦史が訪ねる。敦史は夏実が持っていた写真を示して過去の出来事を問う。すると幸子は、真実を語った。敦史も自分の芽衣への気持ちを正直に話す。その上で、ある決意も口にした。  　引越し前夜。敦史は、芽衣を呼び出し…。</t>
  </si>
  <si>
    <t>番組名&lt;土曜ドラマ&gt;赤い糸　#07</t>
  </si>
  <si>
    <t>3年生になった竹宮芽衣(南沢奈央)たちの高校受験日が迫っていた。仲間たちは、絵馬を書いて神頼み。そこに森崎孝道(小木茂光)が来た。絵馬で願掛けする芽衣たちを良い心がけだと褒めた森崎は、自身も西野敦史(溝端淳平)にお守りとお札を送ったと言う。久しぶりに敦史の話を聞いた仲間たちは、元気でいるのかなど、ひとしきり話題となるが、芽衣はその話に加わらない。　昼休み、山岸美亜(岡本玲)は何も言わずに去った敦史を責める。すると、芽衣は敦史が引っ越す日に会いに行ったことを話す。そして芽衣は、敦史とは本当に終わったと言った。帰り道、芽衣は高橋陸(木村了)に誘われる。陸は、芽衣と同じ高校に受かったら付き合って欲しいと告白。  　合格発表日。芽衣と美亜は、そろって桜川高校に合格。だが、陸は願いも虚しく不合格。そんな陸だが、芽衣は交際することに。高校生活が始まると、芽衣は陸の授業前に毎日会うことを約束。美亜も充(田島亮)と付き合い始めていた。芽衣と陸は、約束通りに同じ時間に会い続ける日々となる。だが、そんな時、敦史が地元に帰ってきていることが発覚。芽衣の敦史への心残りを疑う陸は・・・。南沢奈央　  溝端淳平　  木村了　  岡本玲　  桜庭ななみ　  柳下大　  鈴木かすみ　  田島亮　  岩田さゆり　  　・　  甲本雅裕　  山本未來　  小木茂光　  渡辺典子　    ほか【原作】  「赤い糸」「赤い糸destiny」メイ(ゴマブックス刊)    【脚本】  渡辺千穂【企画】  関谷正征　  種田義彦    【プロデューサー】  森安彩    【演出】  川村泰祐菅野祐悟    【主題歌】  「366日」HY    【挿入歌】「Ray」lego　big　morl</t>
  </si>
  <si>
    <t>3年生になった竹宮芽衣(南沢奈央)たちの高校受験日が迫っていた。仲間たちは、絵馬を書いて神頼み。そこに森崎孝道(小木茂光)が来た。絵馬で願掛けする芽衣たちを良い心がけだと褒めた森崎は、自身も西野敦史(溝端淳平)にお守りとお札を送ったと言う。久しぶりに敦史の話を聞いた仲間たちは、元気でいるのかなど、ひとしきり話題となるが、芽衣はその話に加わらない。　昼休み、山岸美亜(岡本玲)は何も言わずに去った敦史を責める。すると、芽衣は敦史が引っ越す日に会いに行ったことを話す。そして芽衣は、敦史とは本当に終わったと言った。帰り道、芽衣は高橋陸(木村了)に誘われる。陸は、芽衣と同じ高校に受かったら付き合って欲しいと告白。  　合格発表日。芽衣と美亜は、そろって桜川高校に合格。だが、陸は願いも虚しく不合格。そんな陸だが、芽衣は交際することに。高校生活が始まると、芽衣は陸の授業前に毎日会うことを約束。美亜も充(田島亮)と付き合い始めていた。芽衣と陸は、約束通りに同じ時間に会い続ける日々となる。だが、そんな時、敦史が地元に帰ってきていることが発覚。芽衣の敦史への心残りを疑う陸は・・・。</t>
  </si>
  <si>
    <t>番組名&lt;土曜ドラマ&gt;赤い糸　#08</t>
  </si>
  <si>
    <t>竹宮芽衣(南沢奈央)は、高橋陸(木村了)と交際をはじめた。昼間の高校に通う芽衣は、陸の夜間高校の授業が始まる前に毎日会うことを約束。しかし、次第に陸が変化してくる。芽衣の生活の自由を認めず、自分の意見が通らないと暴力を振るうようになったのだ。  　一方、西野敦史(溝端淳平)は母・夏実(山本未來)のリハビリが順調であることを以前、世話になった太田一平医師(鈴木浩介)に話した。太田は、まだまだこれからだと敦史を諭す。  　ある日、芽衣は山岸美亜(岡本玲)が、神谷充(田島亮)と別れたと知る。美亜の話を聞きたい芽衣だが、陸は芽衣を離そうとしない。その頃美亜は川口ミヤビ(平田薫)に誘われ、村越浩市(松田賢二)の店へ。  　翌日美亜は学校を休んだ。芽衣は放課後、陸との約束も忘れて探しに行く。しかし、最初に美亜を見つけたのは敦史。敦史は美亜の不安定な様子に、すぐさま薬物の使用を疑う。そこに芽衣も現れた。2人が美亜を説得していたところに、陸が来た。陸は芽衣の事情も聞かずに殴りつける。敦史が引き止めに入るが、陸は敦史には関係ないと言う。そして芽衣も同調し…。  　芽衣に暴力を振るってしまい、自己嫌悪に陥った陸を芽衣が訪ねて来た。自分を信じて欲しいと訴える芽衣に、陸は目が覚める。  　大叶神社の祭りの日、陸は敦史と会う。陸は、なぜ芽衣と別れたのかと敦史に聞く。神社には陸に呼ばれた芽衣も来ていて…。南沢奈央　  溝端淳平　  木村了　  岡本玲　  柳下大　  鈴木かすみ　  田島亮　  岩田さゆり　  　・　  山口紗弥加　  山本未來　  渡辺典子　    ほか【原作】  「赤い糸」「赤い糸destiny」メイ(ゴマブックス刊)    【脚本】  渡辺千穂【企画】  関谷正征　  種田義彦    【プロデューサー】  森安彩    【演出】  村上正典菅野祐悟    【主題歌】  「366日」HY    【挿入歌】  「Ray」lego　big　morl</t>
  </si>
  <si>
    <t>竹宮芽衣(南沢奈央)は、高橋陸(木村了)と交際をはじめた。昼間の高校に通う芽衣は、陸の夜間高校の授業が始まる前に毎日会うことを約束。しかし、次第に陸が変化してくる。芽衣の生活の自由を認めず、自分の意見が通らないと暴力を振るうようになったのだ。  　一方、西野敦史(溝端淳平)は母・夏実(山本未來)のリハビリが順調であることを以前、世話になった太田一平医師(鈴木浩介)に話した。太田は、まだまだこれからだと敦史を諭す。  　ある日、芽衣は山岸美亜(岡本玲)が、神谷充(田島亮)と別れたと知る。美亜の話を聞きたい芽衣だが、陸は芽衣を離そうとしない。その頃美亜は川口ミヤビ(平田薫)に誘われ、村越浩市(松田賢二)の店へ。  　翌日美亜は学校を休んだ。芽衣は放課後、陸との約束も忘れて探しに行く。しかし、最初に美亜を見つけたのは敦史。敦史は美亜の不安定な様子に、すぐさま薬物の使用を疑う。そこに芽衣も現れた。2人が美亜を説得していたところに、陸が来た。陸は芽衣の事情も聞かずに殴りつける。敦史が引き止めに入るが、陸は敦史には関係ないと言う。そして芽衣も同調し…。  　芽衣に暴力を振るってしまい、自己嫌悪に陥った陸を芽衣が訪ねて来た。自分を信じて欲しいと訴える芽衣に、陸は目が覚める。  　大叶神社の祭りの日、陸は敦史と会う。陸は、なぜ芽衣と別れたのかと敦史に聞く。神社には陸に呼ばれた芽衣も来ていて…。</t>
  </si>
  <si>
    <t>番組名&lt;土曜ドラマ&gt;赤い糸　#09</t>
  </si>
  <si>
    <t>竹宮芽衣(南沢奈央)たちは高橋陸(木村了)の葬儀に出席した。そこで芽衣は、陸が事故の直前に西野敦史(溝端淳平)に言ったことを尋ねる。それに対して敦史は、陸は自分と芽衣のことを最後まで気にかけていたと答えた。  　それから6カ月後。芽衣と敦史の関係が心配な田所麻美(石橋杏奈)は2人の誕生日が2月29日だと知る。麻美は芽衣に直接会い、2人が4年に1度しかない2月29日の誕生日だとしても、自分と敦史は運命で結ばれていると話す。すると芽衣は敦史との関係は終わったことだと麻美に告げた。麻美は芽衣に会ったことを敦史に話し、誕生日を一緒に過ごそうと約束する。  　リハビリを終えて帰ってきた夏実(山本未來)は幸子(渡辺典子)と会う。幸子は15年前の真実を教えて欲しいと頼むが、夏実は答えずに去った。  　2月29日、芽衣と敦史の誕生日。芽衣は、美亜(岡本玲)たちと陸の墓参りに行く。その頃、敦史は夏実のいたリハビリセンターからの電話を受け、リハビリが終了していなかったことを知る。  　一方、芽衣が家に帰ると幸子と寿久(甲本雅裕)が言い争っていた。そして、幸子は寿久との離婚を切り出す。さらに、幸子は芽衣の出生の事実も話し始めた。  　誕生日に両親の離婚と自分の出生の真実を知ってしまった芽衣。そして敦史は薬物から抜け出せない夏実にショックを受けていた。傷ついた2人の足は、自然とある場所へと向かっていた。南沢奈央　  溝端淳平　  木村了　  岡本玲　  柳下大　  鈴木かすみ　  田島亮　  岩田さゆり　  　・　  山口紗弥加　  甲本雅裕　  山本未來　  渡辺典子　    ほか【原作】  「赤い糸」「赤い糸destiny」メイ(ゴマブックス刊)    【脚本】  渡辺千穂【企画】  関谷正征　  種田義彦　    【プロデューサー】  森安彩　    【演出】  村上正典菅野祐悟    【主題歌】  「366日」HY    【挿入歌】  「Ray」lego　big　morl</t>
  </si>
  <si>
    <t>竹宮芽衣(南沢奈央)たちは高橋陸(木村了)の葬儀に出席した。そこで芽衣は、陸が事故の直前に西野敦史(溝端淳平)に言ったことを尋ねる。それに対して敦史は、陸は自分と芽衣のことを最後まで気にかけていたと答えた。  　それから6カ月後。芽衣と敦史の関係が心配な田所麻美(石橋杏奈)は2人の誕生日が2月29日だと知る。麻美は芽衣に直接会い、2人が4年に1度しかない2月29日の誕生日だとしても、自分と敦史は運命で結ばれていると話す。すると芽衣は敦史との関係は終わったことだと麻美に告げた。麻美は芽衣に会ったことを敦史に話し、誕生日を一緒に過ごそうと約束する。  　リハビリを終えて帰ってきた夏実(山本未來)は幸子(渡辺典子)と会う。幸子は15年前の真実を教えて欲しいと頼むが、夏実は答えずに去った。  　2月29日、芽衣と敦史の誕生日。芽衣は、美亜(岡本玲)たちと陸の墓参りに行く。その頃、敦史は夏実のいたリハビリセンターからの電話を受け、リハビリが終了していなかったことを知る。  　一方、芽衣が家に帰ると幸子と寿久(甲本雅裕)が言い争っていた。そして、幸子は寿久との離婚を切り出す。さらに、幸子は芽衣の出生の事実も話し始めた。  　誕生日に両親の離婚と自分の出生の真実を知ってしまった芽衣。そして敦史は薬物から抜け出せない夏実にショックを受けていた。傷ついた2人の足は、自然とある場所へと向かっていた。</t>
  </si>
  <si>
    <t>番組名&lt;土曜ドラマ&gt;赤い糸　#10</t>
  </si>
  <si>
    <t>新学期が始まると、竹宮芽衣(南沢奈央)と山岸美亜(岡本玲)は中西優梨(鈴木かすみ)に、藤原夏樹(柳下大)との子供が出来たことを知る。芽衣と美亜は、夏樹に話したのかと聞くが優梨はためらっていた。  　西野敦史(溝端淳平)は、太田一平医師(鈴木浩介)のカウンセリングを受ける田所麻美(石橋杏奈)に付き添う。そこで、敦史は夏実(山本未來)が引きこもっていると太田に相談する。  　優梨は、夏樹に妊娠していなかったとウソをつく。ホッとしたと喜ぶ夏樹。優梨は、そんな夏樹に自分のことしか考えていないと訴え、去っていった。優梨の様子を見て、夏樹は優梨の妊娠に気づく。  　そんな2人を見ていた敦史に気づいた夏樹は、優梨のことを話す。育てられるわけがないと言う夏樹に、敦史は、子供は親を選べないと突きつける。  　その頃、優梨は芽衣に、一緒に病院へ行って欲しいと頼むのだが、芽衣は夏樹ときちんと話し合うよう促していた。そして芽衣は、美亜と一緒に夏樹に会いに行くことに。途中、川口ミヤビ(平田薫)が安田愁(若葉竜也)らと薬物取引をしているところに出くわす。その時、愁たちに警官が躍り掛かり、芽衣と美亜は、ミヤビと一緒に逃げ出した。  　同じ頃、夏実を探していた敦史が森崎孝道(小木茂光)と村越浩市(森田賢二)の店に行くと芽衣と美亜がいた。敦史の問いに村越は夏実はいないと言う。芽衣らを連れて店を出ようとする敦史だが…。南沢奈央　  溝端淳平　  岡本玲　  石橋杏奈　  桜庭ななみ　  柳下大　  鈴木かすみ　  岩田さゆり　  　・　  山口紗弥加　  甲本雅裕　  山本未來　  小木茂光　  渡辺典子　    ほか【原作】  「赤い糸」「赤い糸destiny」メイ(ゴマブックス刊)    【脚本】  渡辺千穂【企画】  関谷正征　  種田義彦　    【プロデューサー】  森安彩　    【演出】  川村泰祐菅野祐悟    【主題歌】  「366日」HY    【挿入歌】  「Ray」lego　big　morl</t>
  </si>
  <si>
    <t>新学期が始まると、竹宮芽衣(南沢奈央)と山岸美亜(岡本玲)は中西優梨(鈴木かすみ)に、藤原夏樹(柳下大)との子供が出来たことを知る。芽衣と美亜は、夏樹に話したのかと聞くが優梨はためらっていた。  　西野敦史(溝端淳平)は、太田一平医師(鈴木浩介)のカウンセリングを受ける田所麻美(石橋杏奈)に付き添う。そこで、敦史は夏実(山本未來)が引きこもっていると太田に相談する。  　優梨は、夏樹に妊娠していなかったとウソをつく。ホッとしたと喜ぶ夏樹。優梨は、そんな夏樹に自分のことしか考えていないと訴え、去っていった。優梨の様子を見て、夏樹は優梨の妊娠に気づく。  　そんな2人を見ていた敦史に気づいた夏樹は、優梨のことを話す。育てられるわけがないと言う夏樹に、敦史は、子供は親を選べないと突きつける。  　その頃、優梨は芽衣に、一緒に病院へ行って欲しいと頼むのだが、芽衣は夏樹ときちんと話し合うよう促していた。そして芽衣は、美亜と一緒に夏樹に会いに行くことに。途中、川口ミヤビ(平田薫)が安田愁(若葉竜也)らと薬物取引をしているところに出くわす。その時、愁たちに警官が躍り掛かり、芽衣と美亜は、ミヤビと一緒に逃げ出した。  　同じ頃、夏実を探していた敦史が森崎孝道(小木茂光)と村越浩市(森田賢二)の店に行くと芽衣と美亜がいた。敦史の問いに村越は夏実はいないと言う。芽衣らを連れて店を出ようとする敦史だが…。</t>
  </si>
  <si>
    <t>番組名&lt;土曜ドラマ&gt;赤い糸　#11</t>
  </si>
  <si>
    <t>竹宮芽衣(南沢奈央)は西野敦史(溝端淳平)の母・夏実(山本未來)から突然謝罪された。夏実は芽衣の実の母・石川マチ子(山口紗弥加)が死んだのは自分のせいだと言う。この告白に芽衣は戸惑う。  　家に帰った芽衣は幸子(渡辺典子)にそのことを話し、なぜマチ子が死ななければならなかったのかと尋ねる。すると幸子は1通の封筒を芽衣に渡した。それは16歳になった芽衣へと、実の父・春生(浜田学)が書き遺したもの。春生はすでに他界していた。  　芽衣と敦史以外の仲間たちにも、転機が訪れていた。藤原夏樹(柳下大)と中西優梨(鈴木かすみ)は覚悟を決めて産婦人科へ。山岸美亜(岡本玲)は川口ミヤビ(平田薫)を安田愁(若葉竜也)のグループから抜けさせようとする。  　芽衣たちはいつもの店に集まる。そこで夏樹は優梨と自分の子供に関しての決意を語る。店を出た芽衣の携帯電話がメールを着信。中川沙良(桜庭ななみ)からだった。　芽衣は鈴の森第二中学校で沙良と会う。沙良は、携帯電話に自分が送っていた「明日の私へ」というメールフォルダーで自分の過去を知ったと言う。そして、なぜ敦史と別れてしまったのかと沙良は問う。  　数日後、芽衣は夏実の病室を訪ねる。夏実の過去の贖罪(しょくざい)を、自分は不幸ではなかったと否定する芽衣は、敦史への想いを話し始め・・・。南沢奈央　  溝端淳平　  岡本玲　  石橋杏奈　  桜庭ななみ　  柳下大　  鈴木かすみ　  岩田さゆり　  　・　  山口紗弥加　  甲本雅裕　  山本未來　  小木茂光　  渡辺典子　    ほか【原作】  「赤い糸」「赤い糸destiny」メイ(ゴマブックス刊)    【脚本】  渡辺千穂【企画】  関谷正征　  種田義彦　    【プロデューサー】  森安彩　    【演出】  村上正典菅野祐悟    【主題歌】  「366日」HY    【挿入歌】  「Ray」lego　big　morl</t>
  </si>
  <si>
    <t>竹宮芽衣(南沢奈央)は西野敦史(溝端淳平)の母・夏実(山本未來)から突然謝罪された。夏実は芽衣の実の母・石川マチ子(山口紗弥加)が死んだのは自分のせいだと言う。この告白に芽衣は戸惑う。  　家に帰った芽衣は幸子(渡辺典子)にそのことを話し、なぜマチ子が死ななければならなかったのかと尋ねる。すると幸子は1通の封筒を芽衣に渡した。それは16歳になった芽衣へと、実の父・春生(浜田学)が書き遺したもの。春生はすでに他界していた。  　芽衣と敦史以外の仲間たちにも、転機が訪れていた。藤原夏樹(柳下大)と中西優梨(鈴木かすみ)は覚悟を決めて産婦人科へ。山岸美亜(岡本玲)は川口ミヤビ(平田薫)を安田愁(若葉竜也)のグループから抜けさせようとする。  　芽衣たちはいつもの店に集まる。そこで夏樹は優梨と自分の子供に関しての決意を語る。店を出た芽衣の携帯電話がメールを着信。中川沙良(桜庭ななみ)からだった。　芽衣は鈴の森第二中学校で沙良と会う。沙良は、携帯電話に自分が送っていた「明日の私へ」というメールフォルダーで自分の過去を知ったと言う。そして、なぜ敦史と別れてしまったのかと沙良は問う。  　数日後、芽衣は夏実の病室を訪ねる。夏実の過去の贖罪(しょくざい)を、自分は不幸ではなかったと否定する芽衣は、敦史への想いを話し始め・・・。</t>
  </si>
  <si>
    <t>0810_CX_月21</t>
  </si>
  <si>
    <t>イノセント・ラブ</t>
  </si>
  <si>
    <t>番組名イノセント・ラヴ　#01</t>
  </si>
  <si>
    <t>秋山佳音(堀北真希)は、6年前に両親を殺された。犯人として逮捕されたのは、5歳上の兄・耀司(福士誠治)だった。しかし佳音は、兄の無実を信じ続けていた。事件の影響で働くことも困難になっていた佳音は、故郷を捨て、都会に出る決心をする。  　上京した佳音は、偽名を名乗ってある清掃会社でアルバイトを始めた。その会社は、主に個人の家をクリ―ニングするサ―ビスを行っていた。そんなある日、佳音は、長崎殉也(北川悠仁)の家に派遣される。殉也は、CMなどの華やかな世界で活躍していた音楽家だったが、ある事情で第一線から身を引き、現在は教会で子どもの聖歌隊を率いる傍ら、パブレストランでピアノを弾くアルバイトなどをして生計を立てていた。急用ができたという先輩の春江(宮崎美子)を帰し、ひとりで仕事をしていた佳音は、そこで1冊の古いアルバムを見つける。6年前の事件で家族との思い出を失ってしまった佳音は、幸せそうな家族の写真を見るのが大好きだった。そのアルバムには、殉也の幼いころからの写真が貼られていた。するとそこに殉也が帰ってくる。殉也は、慌てて写真を隠そうとした佳音に、何をしていたのか理由を尋ねた。すると佳音は、人が笑っている写真が好きだと答えた。佳音の言葉を静かに聞いていた殉也は、一緒に写真を撮ろう、と言い出し、彼女の携帯電話を借りて写真を撮った。それ以来、この写真は佳音の宝物になり…。堀北真希　  北川悠仁　  香椎由宇　  福士誠治　  成宮寛貴　  　*　  平田満　  内藤剛志(特別出演)　  内田有紀　  豊原功補【脚本】浅野妙子【プロデュ―ス】中野利幸  【演出】加藤裕将菅野祐悟　  MAYUKO    【主題歌】「Eternally-Drama　Mix-」宇多田ヒカル</t>
  </si>
  <si>
    <t>秋山佳音(堀北真希)は、6年前に両親を殺された。犯人として逮捕されたのは、5歳上の兄・耀司(福士誠治)だった。しかし佳音は、兄の無実を信じ続けていた。事件の影響で働くことも困難になっていた佳音は、故郷を捨て、都会に出る決心をする。  　上京した佳音は、偽名を名乗ってある清掃会社でアルバイトを始めた。その会社は、主に個人の家をクリ―ニングするサ―ビスを行っていた。そんなある日、佳音は、長崎殉也(北川悠仁)の家に派遣される。殉也は、CMなどの華やかな世界で活躍していた音楽家だったが、ある事情で第一線から身を引き、現在は教会で子どもの聖歌隊を率いる傍ら、パブレストランでピアノを弾くアルバイトなどをして生計を立てていた。急用ができたという先輩の春江(宮崎美子)を帰し、ひとりで仕事をしていた佳音は、そこで1冊の古いアルバムを見つける。6年前の事件で家族との思い出を失ってしまった佳音は、幸せそうな家族の写真を見るのが大好きだった。そのアルバムには、殉也の幼いころからの写真が貼られていた。するとそこに殉也が帰ってくる。殉也は、慌てて写真を隠そうとした佳音に、何をしていたのか理由を尋ねた。すると佳音は、人が笑っている写真が好きだと答えた。佳音の言葉を静かに聞いていた殉也は、一緒に写真を撮ろう、と言い出し、彼女の携帯電話を借りて写真を撮った。それ以来、この写真は佳音の宝物になり…。</t>
  </si>
  <si>
    <t>番組名イノセント・ラヴ　#02</t>
  </si>
  <si>
    <t>佳音(堀北真希)は、殉也(北川悠仁)へのクリスマスプレゼントとして、彼の家の玄関先にピアノ型のオルゴールを置いて帰った。あくる朝、それに気づいた殉也は、美月(香椎由宇)にそのことを話す。美月は、聖歌隊の子どもの中の誰かなのではないか、と言って殉也のことをからかった。  　佳音は、偽名を使い、清掃員として派遣会社に登録する。紹介された仕事は駅構内の清掃だった。ある日、仕事を終えた佳音は、殉也の家に立ち寄り、こっそり家の中を覗く。そこで佳音は、殉也がオルゴールのメロディーに耳を傾けている姿を見て、喜びを噛みしめる。  　一方、雑誌記者の池田(豊原功補)は、少年刑務所に収容されている佳音の兄・耀司(福士誠治)を訪ねる。池田は、耀司が起こした事件の裏には、何か事情があるとにらんでいた。  　ある日、佳音は駅で偶然、殉也の姿を見かける。声をかけようかどうか迷いながら、殉也の後を追った佳音は、殉也が落としたハンカチを拾った。佳音がハンカチを届けようと殉也の家を訪れると、清掃に来ていた春江(宮崎美子)が急用で出かけるところだった。それを見た佳音は、玄関を開けて中に入った。すると、聖花(内田有紀)が眠っている部屋から昴(成宮寛貴)が現れた。丁度そこにやってきた殉也も、佳音の姿に驚きを隠せない。昴は逃げ出そうとする佳音の腕を掴み、警察を呼ぼうとするが…。堀北真希　  北川悠仁　  香椎由宇　  福士誠治　  成宮寛貴　  　*　  平田満　  内藤剛志(特別出演)　  内田有紀　  豊原功補【脚本】浅野妙子【プロデュース】中野利幸  【演出】加藤裕将菅野祐悟　  MAYUKO  【主題歌】「Eternally-Drama　Mix-」宇多田ヒカル</t>
  </si>
  <si>
    <t>佳音(堀北真希)は、殉也(北川悠仁)へのクリスマスプレゼントとして、彼の家の玄関先にピアノ型のオルゴールを置いて帰った。あくる朝、それに気づいた殉也は、美月(香椎由宇)にそのことを話す。美月は、聖歌隊の子どもの中の誰かなのではないか、と言って殉也のことをからかった。  　佳音は、偽名を使い、清掃員として派遣会社に登録する。紹介された仕事は駅構内の清掃だった。ある日、仕事を終えた佳音は、殉也の家に立ち寄り、こっそり家の中を覗く。そこで佳音は、殉也がオルゴールのメロディーに耳を傾けている姿を見て、喜びを噛みしめる。  　一方、雑誌記者の池田(豊原功補)は、少年刑務所に収容されている佳音の兄・耀司(福士誠治)を訪ねる。池田は、耀司が起こした事件の裏には、何か事情があるとにらんでいた。  　ある日、佳音は駅で偶然、殉也の姿を見かける。声をかけようかどうか迷いながら、殉也の後を追った佳音は、殉也が落としたハンカチを拾った。佳音がハンカチを届けようと殉也の家を訪れると、清掃に来ていた春江(宮崎美子)が急用で出かけるところだった。それを見た佳音は、玄関を開けて中に入った。すると、聖花(内田有紀)が眠っている部屋から昴(成宮寛貴)が現れた。丁度そこにやってきた殉也も、佳音の姿に驚きを隠せない。昴は逃げ出そうとする佳音の腕を掴み、警察を呼ぼうとするが…。</t>
  </si>
  <si>
    <t>番組名イノセント・ラヴ　#03</t>
  </si>
  <si>
    <t>佳音(堀北真希)は、ピアノを弾きながら聖花(内田有紀)と寄り添いあう殉也(北川悠仁)の姿を偶然目撃し、ショックを受けていた。一方、昴(成宮寛貴)のもとを訪れた殉也は、改めて聖花の精密検査をしてもらうつもりだと彼に告げる。殉也は、近ごろ聖花のようすが変わってきたような気がしてならなかったのだ。だが、医師・東野(中原丈雄)の診断結果は、変化なし、というものだった。　そんな折、殉也の家を掃除していた佳音は、開けてはいけないといわれていた部屋で物音がしたことに気づく。気になってドアの前まで歩み寄る佳音。するとそこに、殉也が戻ってきた。佳音は、細かいところを掃除していて遅くなった、などと言い訳すると殉也の家を出た。佳音が聖花の部屋の前に立っていたことが気になった殉也は、静かに部屋の鍵を開けた。そこで殉也が目にしたのは、チューブ類を外された状態になっている聖花の姿だった。  　あくる日、殉也は、昴に会い、聖花のチューブが外されていた件を報告する。殉也は、佳音があの部屋の鍵を持っていないことから、聖花が自らチューブ類を外した可能性もあるではないか、と昴に話す。別の日、佳音は、いつものように殉也の家に掃除をしにいく。殉也は、そんな佳音に金の入った封筒を手渡すと、掃除は自分でやることにした、と告げ…。堀北真希　  北川悠仁　  香椎由宇　  福士誠治　  成宮寛貴　  　*　  平田満　  内藤剛志(特別出演)　  内田有紀　  豊原功補【脚本】浅野妙子【プロデュース】中野利幸  【演出】加藤裕将菅野祐悟　  MAYUKO  【主題歌】「Eternally-Drama　Mix-」宇多田ヒカル</t>
  </si>
  <si>
    <t>佳音(堀北真希)は、ピアノを弾きながら聖花(内田有紀)と寄り添いあう殉也(北川悠仁)の姿を偶然目撃し、ショックを受けていた。一方、昴(成宮寛貴)のもとを訪れた殉也は、改めて聖花の精密検査をしてもらうつもりだと彼に告げる。殉也は、近ごろ聖花のようすが変わってきたような気がしてならなかったのだ。だが、医師・東野(中原丈雄)の診断結果は、変化なし、というものだった。　そんな折、殉也の家を掃除していた佳音は、開けてはいけないといわれていた部屋で物音がしたことに気づく。気になってドアの前まで歩み寄る佳音。するとそこに、殉也が戻ってきた。佳音は、細かいところを掃除していて遅くなった、などと言い訳すると殉也の家を出た。佳音が聖花の部屋の前に立っていたことが気になった殉也は、静かに部屋の鍵を開けた。そこで殉也が目にしたのは、チューブ類を外された状態になっている聖花の姿だった。  　あくる日、殉也は、昴に会い、聖花のチューブが外されていた件を報告する。殉也は、佳音があの部屋の鍵を持っていないことから、聖花が自らチューブ類を外した可能性もあるではないか、と昴に話す。別の日、佳音は、いつものように殉也の家に掃除をしにいく。殉也は、そんな佳音に金の入った封筒を手渡すと、掃除は自分でやることにした、と告げ…。</t>
  </si>
  <si>
    <t>番組名イノセント・ラヴ　#04</t>
  </si>
  <si>
    <t>佳音(堀北真希)は、少年刑務所を仮釈放された兄・耀司(福士誠治)と一緒に暮らし始める。耀司は、保護司の松下(浅野和之)から紹介された工場で働くことも決まっていた。  　一方、殉也(北川悠仁)は昴(成宮寛貴)を訪ねる。ふたりが会うのは、昴が殉也の留守中に聖花(内田有紀)の人工呼吸器を停止させた一件以来だ。昴は、殉也に聖花の部屋の合鍵を返そうとした。すると殉也は、昴の手に鍵を戻し、来週、聖花の誕生日パーティーを開くから来て欲しい、と誘った。  　そんな中、佳音は、殉也がピアノを弾いているパブレストランでアルバイトを始める。その夜、パブレストランに昴がやってくる。そこに、ユキオ(中村倫也)という男が現れ、親しげに昴に話しかけた。ユキオは、昴の元パートナーらしい。昴は、その一部始終を見ていた佳音に、「いまのは秘密ね。君にも人に言えない秘密があるよね」と釘を刺した。  　別の日、殉也の家を掃除しに行った佳音は、聖花の誕生日パーティーに是非来てほしい、と誘われる。するとそこに、美月(香椎由宇)がやってきた。日曜学校のお楽しみ会で殉也が着る衣装の採寸をするためだった。美月は殉也と親しそうにしている佳音の姿を見て凍りつき…。堀北真希　  北川悠仁　  香椎由宇　  福士誠治　  成宮寛貴　  　*　  平田満　  内藤剛志(特別出演)　  内田有紀　  豊原功補【脚本】浅野妙子【プロデュース】中野利幸  【演出】加藤裕将菅野祐悟　  MAYUKO　  【主題歌】「Eternally-Drama　Mix-」宇多田ヒカル</t>
  </si>
  <si>
    <t>佳音(堀北真希)は、少年刑務所を仮釈放された兄・耀司(福士誠治)と一緒に暮らし始める。耀司は、保護司の松下(浅野和之)から紹介された工場で働くことも決まっていた。  　一方、殉也(北川悠仁)は昴(成宮寛貴)を訪ねる。ふたりが会うのは、昴が殉也の留守中に聖花(内田有紀)の人工呼吸器を停止させた一件以来だ。昴は、殉也に聖花の部屋の合鍵を返そうとした。すると殉也は、昴の手に鍵を戻し、来週、聖花の誕生日パーティーを開くから来て欲しい、と誘った。  　そんな中、佳音は、殉也がピアノを弾いているパブレストランでアルバイトを始める。その夜、パブレストランに昴がやってくる。そこに、ユキオ(中村倫也)という男が現れ、親しげに昴に話しかけた。ユキオは、昴の元パートナーらしい。昴は、その一部始終を見ていた佳音に、「いまのは秘密ね。君にも人に言えない秘密があるよね」と釘を刺した。  　別の日、殉也の家を掃除しに行った佳音は、聖花の誕生日パーティーに是非来てほしい、と誘われる。するとそこに、美月(香椎由宇)がやってきた。日曜学校のお楽しみ会で殉也が着る衣装の採寸をするためだった。美月は殉也と親しそうにしている佳音の姿を見て凍りつき…。</t>
  </si>
  <si>
    <t>番組名イノセント・ラヴ　#05</t>
  </si>
  <si>
    <t>佳音(堀北真希)は、殉也(北川悠仁)の前から姿を消す。殉也は、突然、佳音と連絡が取れなくなったことに困惑していた。佳音が、アルバイト先に姿を見せなかっただけでなく、彼女の携帯電話までつながらなくなってしまったのだ。  　一方、耀司(福士誠治)は、雑誌記者の池田(豊原功補)を襲撃した後、生まれ故郷の長野へと向かっていた。耀司は、山本(山本圭)という心療内科医の医院に侵入し、佳音のカルテを盗み出して破棄する。山本は、6年前の事件でPTSD=心的外傷後ストレス障害を起こした佳音を診察した医師だった。目的を果たした耀司は、佳音の元へは戻らず、鉄工所で知り合った卓夫(浅利陽介)にかくまってもらう。  　すでに新聞では耀司が起こした襲撃事件が報道されていた。佳音は、やってきた刑事から耀司の事件を聞かされる。と同時に、マスコミも佳音のアパートに押し寄せていた。そんな中、美月(香椎由宇)から事件の記事を見せられた殉也は、昴(成宮寛貴)から佳音のアパートの住所を教えてもらう。アパートにやってきた殉也に佳音は・・・。堀北真希　  北川悠仁　  香椎由宇　  福士誠治　  成宮寛貴　  　*　  平田満　  内藤剛志(特別出演)　  内田有紀　  豊原功補【脚本】  浅野妙子【プロデュース】  中野利幸    【演出】  加藤裕将菅野祐悟　  MAYUKO　    【主題歌】  「Eternally-Drama　Mix-」宇多田ヒカル</t>
  </si>
  <si>
    <t>佳音(堀北真希)は、殉也(北川悠仁)の前から姿を消す。殉也は、突然、佳音と連絡が取れなくなったことに困惑していた。佳音が、アルバイト先に姿を見せなかっただけでなく、彼女の携帯電話までつながらなくなってしまったのだ。  　一方、耀司(福士誠治)は、雑誌記者の池田(豊原功補)を襲撃した後、生まれ故郷の長野へと向かっていた。耀司は、山本(山本圭)という心療内科医の医院に侵入し、佳音のカルテを盗み出して破棄する。山本は、6年前の事件でPTSD=心的外傷後ストレス障害を起こした佳音を診察した医師だった。目的を果たした耀司は、佳音の元へは戻らず、鉄工所で知り合った卓夫(浅利陽介)にかくまってもらう。  　すでに新聞では耀司が起こした襲撃事件が報道されていた。佳音は、やってきた刑事から耀司の事件を聞かされる。と同時に、マスコミも佳音のアパートに押し寄せていた。そんな中、美月(香椎由宇)から事件の記事を見せられた殉也は、昴(成宮寛貴)から佳音のアパートの住所を教えてもらう。アパートにやってきた殉也に佳音は・・・。</t>
  </si>
  <si>
    <t>番組名イノセント・ラヴ　#06</t>
  </si>
  <si>
    <t>佳音(堀北真希)は、アパートを出て、殉也(北川悠仁)とともに彼の家へと向かった。ところがその矢先、思わぬ事態が起きる。聖花(内田有紀)の心肺機能が著しく低下し、人工呼吸器からアラーム音がなり始めたのだ。  　佳音たちは、救急車を呼んで聖花を病院へと運んだ。医師から、聖花が生命の危険にさらされていることを告げられた殉也はひどく動揺し、ふらふらと病院から出て行ってしまう。殉也が向かったのは、義道神父(内藤剛志)の教会だった。殉也は、そこにいた美月(香椎由宇)と義道神父に、聖花のことを伝えると、神を信じられない、と言ってうなだれる。その心情を察した義道は、立ち去ろうとする殉也に、神はどんな罪も許すが自ら命を絶つことだけは許さない、と声をかけた。  　一方、佳音は、聖花の病室で、連絡がつかなくなった殉也のことを心配していた。殉也は携帯電話にも出ず、どこにいるのかもわからなかった。佳音は、病院に駆けつけた昴(成宮寛貴)に聖花のことを頼み、アパートへと向かった。殉也からもらったオルゴールを取りに戻ったのだ。佳音は、オルゴールを探しだすと、もう一度、殉也の携帯電話に電話する。電話には出たものの、何も話そうとはしない殉也。佳音は、そんな殉也に、聖花のそばにいてあげてほしい、と訴えた。病院に戻った佳音は、殉也はそばにいる、と聖花に話しかけながら、何度もオルゴールを鳴らし続けるが…。堀北真希　  北川悠仁　  香椎由宇　  福士誠治　  成宮寛貴　  　*　  平田満　  内藤剛志(特別出演)　  内田有紀　  豊原功補【脚本】  浅野妙子【プロデュース】  中野利幸    【演出】  加藤裕将菅野祐悟　  MAYUKO　    【主題歌】  「Eternally-Drama　Mix-」宇多田ヒカル</t>
  </si>
  <si>
    <t>佳音(堀北真希)は、アパートを出て、殉也(北川悠仁)とともに彼の家へと向かった。ところがその矢先、思わぬ事態が起きる。聖花(内田有紀)の心肺機能が著しく低下し、人工呼吸器からアラーム音がなり始めたのだ。  　佳音たちは、救急車を呼んで聖花を病院へと運んだ。医師から、聖花が生命の危険にさらされていることを告げられた殉也はひどく動揺し、ふらふらと病院から出て行ってしまう。殉也が向かったのは、義道神父(内藤剛志)の教会だった。殉也は、そこにいた美月(香椎由宇)と義道神父に、聖花のことを伝えると、神を信じられない、と言ってうなだれる。その心情を察した義道は、立ち去ろうとする殉也に、神はどんな罪も許すが自ら命を絶つことだけは許さない、と声をかけた。  　一方、佳音は、聖花の病室で、連絡がつかなくなった殉也のことを心配していた。殉也は携帯電話にも出ず、どこにいるのかもわからなかった。佳音は、病院に駆けつけた昴(成宮寛貴)に聖花のことを頼み、アパートへと向かった。殉也からもらったオルゴールを取りに戻ったのだ。佳音は、オルゴールを探しだすと、もう一度、殉也の携帯電話に電話する。電話には出たものの、何も話そうとはしない殉也。佳音は、そんな殉也に、聖花のそばにいてあげてほしい、と訴えた。病院に戻った佳音は、殉也はそばにいる、と聖花に話しかけながら、何度もオルゴールを鳴らし続けるが…。</t>
  </si>
  <si>
    <t>番組名イノセント・ラヴ　#07</t>
  </si>
  <si>
    <t>佳音(堀北真希)と殉也(北川悠仁)は、信じられない光景を目にする。3年間植物状態が続いていた聖花(内田有紀)が、自力で上半身を起こしていたのだ。殉也は、昴(成宮寛貴)や美月(香椎由宇)らに聖花のことを報告した。  　一方、佳音は、パブレストランの店長・宮川(5~する。やがて、56L&gt;で;Oめたホームクリーニングの;E;v@hで、2B2;はD9:j=^Li(北川悠仁)と出会い、心ひかれる。もうそういうことはするな、と告げる。少年刑務所を後にした佳音は、殉也の家へと戻った。そこで佳音が目にしたのは聖花の世話に夢中になっている殉也の姿だった。佳音は、何も言わずに踵を返すと、アパートに戻る。しかし、すでに佳音の部屋は荷物が出され、別の人間が契約していた。  　行くあてもなくふらふらしていた佳音は、公園のベンチに腰を下ろす。そこに、聖花を乗せた車イスを押しながら殉也がやってきた。殉也は、佳音の帰りが遅いことを心配して捜していた。そこで佳音は、もう殉也の家を出たほうがいいと思う、と彼に告げる。すると殉也は、聖花が目覚めたのは佳音の祈りが通じたからだ、と説得して佳音を連れて帰る。  　そんな折、アルバイトに出かけた佳音は、パブレストランの前で昴に出会い、一緒に店に入った。店内にはすでに殉也と聖花がいた。が、昴の姿を見た途端、聖花に異変が起き…。堀北真希　  北川悠仁　  香椎由宇　  福士誠治　  成宮寛貴　  　*　  平田満　  内藤剛志(特別出演)　  内田有紀　  豊原功補【脚本】  浅野妙子【プロデュース】  中野利幸  【演出】  加藤裕将菅野祐悟　  MAYUKO　    【主題歌】  「Eternally-Drama　Mix-」宇多田ヒカル</t>
  </si>
  <si>
    <t>佳音(堀北真希)と殉也(北川悠仁)は、信じられない光景を目にする。3年間植物状態が続いていた聖花(内田有紀)が、自力で上半身を起こしていたのだ。殉也は、昴(成宮寛貴)や美月(香椎由宇)らに聖花のことを報告した。  　一方、佳音は、パブレストランの店長・宮川(5~する。やがて、56L&gt;で;Oめたホームクリーニングの;E;v@hで、2B2;はD9:j=^Li(北川悠仁)と出会い、心ひかれる。もうそういうことはするな、と告げる。少年刑務所を後にした佳音は、殉也の家へと戻った。そこで佳音が目にしたのは聖花の世話に夢中になっている殉也の姿だった。佳音は、何も言わずに踵を返すと、アパートに戻る。しかし、すでに佳音の部屋は荷物が出され、別の人間が契約していた。  　行くあてもなくふらふらしていた佳音は、公園のベンチに腰を下ろす。そこに、聖花を乗せた車イスを押しながら殉也がやってきた。殉也は、佳音の帰りが遅いことを心配して捜していた。そこで佳音は、もう殉也の家を出たほうがいいと思う、と彼に告げる。すると殉也は、聖花が目覚めたのは佳音の祈りが通じたからだ、と説得して佳音を連れて帰る。  　そんな折、アルバイトに出かけた佳音は、パブレストランの前で昴に出会い、一緒に店に入った。店内にはすでに殉也と聖花がいた。が、昴の姿を見た途端、聖花に異変が起き…。</t>
  </si>
  <si>
    <t>番組名イノセント・ラヴ　#08</t>
  </si>
  <si>
    <t>佳音(堀北真希)は、聖花(内田有紀)が家を出て行ったことにショックを受けている殉也(北川悠仁)を心配していた。聖花は、昴(成宮寛貴)のもとを離れず、殉也の家に戻ってくる様子はなかった。  　同じころ、池田(豊原功補)は、佳音のPTSDを治療した心療内科医・山本(山本圭)を訪ねていた。山本は、これ以上、佳音の過去を探るのは止めるよう池田に忠告した。すると池田は、かつて自分が取材をしたある事件の話を始める。  　教会を訪れた殉也は、美月(香椎由宇)や義道神父(内藤剛志)に、徘徊がひどくなって手に負えなくなった聖花を施設に預けた、と嘘をつく。だが、言い訳のように聖花を世話する苦労話を並べているうちに、ふと聖花のことが心配になってきた殉也は、昴の家まで様子を見に行く。そこで殉也が目にしたのは、昴に笑顔を見せる聖花の姿だった。　一方、殉也の家を訪れた美月は、佳音が一緒に住んでいることを知って驚く。そこに殉也が戻ってくる。すると美月は殉也が佳音と一緒にいることを聖花は嫌がっていたのではないか、などと言い放って帰っていく。殉也は、美月の言葉を気にする必要はない、と佳音に言葉をかけた。しかし・・・。堀北真希　  北川悠仁　  香椎由宇　  福士誠治　  成宮寛貴　  　*　  平田満　  内藤剛志(特別出演)　  内田有紀　  豊原功補【脚本】  浅野妙子【プロデュース】  中野利幸    【演出】  加藤裕将菅野祐悟　  MAYUKO    【主題歌】  「Eternally-Drama　Mix-」宇多田ヒカル</t>
  </si>
  <si>
    <t>佳音(堀北真希)は、聖花(内田有紀)が家を出て行ったことにショックを受けている殉也(北川悠仁)を心配していた。聖花は、昴(成宮寛貴)のもとを離れず、殉也の家に戻ってくる様子はなかった。  　同じころ、池田(豊原功補)は、佳音のPTSDを治療した心療内科医・山本(山本圭)を訪ねていた。山本は、これ以上、佳音の過去を探るのは止めるよう池田に忠告した。すると池田は、かつて自分が取材をしたある事件の話を始める。  　教会を訪れた殉也は、美月(香椎由宇)や義道神父(内藤剛志)に、徘徊がひどくなって手に負えなくなった聖花を施設に預けた、と嘘をつく。だが、言い訳のように聖花を世話する苦労話を並べているうちに、ふと聖花のことが心配になってきた殉也は、昴の家まで様子を見に行く。そこで殉也が目にしたのは、昴に笑顔を見せる聖花の姿だった。　一方、殉也の家を訪れた美月は、佳音が一緒に住んでいることを知って驚く。そこに殉也が戻ってくる。すると美月は殉也が佳音と一緒にいることを聖花は嫌がっていたのではないか、などと言い放って帰っていく。殉也は、美月の言葉を気にする必要はない、と佳音に言葉をかけた。しかし・・・。</t>
  </si>
  <si>
    <t>番組名イノセント・ラヴ　#09</t>
  </si>
  <si>
    <t>佳音(堀北真希)は、殉也(北川悠仁)に別れを告げ、故郷の長野に向かった。佳音に関する記事が、週刊時潮に掲載されたことが原因だった。それは、週刊時潮の記者・池田(豊原功補)が、掲載を諦めて破棄したはずの原稿だった。佳音は、少年刑務所に服役中の兄・耀司(福士誠治)に面会を求め、6年前の事件のことをすべて思い出した、と告げる。さらに佳音は、付き添いの刑務官・藤堂(二階堂智)に、両親を殺したのは自分だと訴えた。耀司は、必死にそれを否定した。佳音が帰った後、藤堂に頼み込んでこっそり週刊時潮の記事の切り抜きを手に入れた耀司は、激しい怒りに震えた。  　同じころ、殉也は、佳音を追いかけて長野に向かう準備をしていた。そこにやってきた美月(香椎由宇)は、殉也が長野に向かおうとしていることを知ると、彼を部屋に閉じ込めて外から鍵をかけてしまう。殉也は、そんな美月に、子どもっぽいことをするのはやめろと訴えた。すると美月は、人には悪意があることを考えたことはないのか、などと言って、ドアの隙間から週刊時潮を押し込んで殉也に見せる。  　殉也は、その記事にショックを受けながらも、佳音に会いに行こうとする。佳音には味方がいないのだから自分が行かなければならない、というのだ。美月は、そんな殉也に対して、いままでの思いをぶつける。  　一方、佳音は、池田に連絡をとり、両親を殺したのは自分だと告白するが…。堀北真希　  北川悠仁　  香椎由宇　  福士誠治　  成宮寛貴　  　*　  平田満　  内藤剛志(特別出演)　  内田有紀　  豊原功補【脚本】  浅野妙子【プロデュース】  中野利幸    【演出】  加藤裕将菅野祐悟  MAYUKO    【主題歌】  「Eternally-Drama　Mix-」宇多田ヒカル</t>
  </si>
  <si>
    <t>佳音(堀北真希)は、殉也(北川悠仁)に別れを告げ、故郷の長野に向かった。佳音に関する記事が、週刊時潮に掲載されたことが原因だった。それは、週刊時潮の記者・池田(豊原功補)が、掲載を諦めて破棄したはずの原稿だった。佳音は、少年刑務所に服役中の兄・耀司(福士誠治)に面会を求め、6年前の事件のことをすべて思い出した、と告げる。さらに佳音は、付き添いの刑務官・藤堂(二階堂智)に、両親を殺したのは自分だと訴えた。耀司は、必死にそれを否定した。佳音が帰った後、藤堂に頼み込んでこっそり週刊時潮の記事の切り抜きを手に入れた耀司は、激しい怒りに震えた。  　同じころ、殉也は、佳音を追いかけて長野に向かう準備をしていた。そこにやってきた美月(香椎由宇)は、殉也が長野に向かおうとしていることを知ると、彼を部屋に閉じ込めて外から鍵をかけてしまう。殉也は、そんな美月に、子どもっぽいことをするのはやめろと訴えた。すると美月は、人には悪意があることを考えたことはないのか、などと言って、ドアの隙間から週刊時潮を押し込んで殉也に見せる。  　殉也は、その記事にショックを受けながらも、佳音に会いに行こうとする。佳音には味方がいないのだから自分が行かなければならない、というのだ。美月は、そんな殉也に対して、いままでの思いをぶつける。  　一方、佳音は、池田に連絡をとり、両親を殺したのは自分だと告白するが…。</t>
  </si>
  <si>
    <t>番組名イノセント・ラヴ　#10</t>
  </si>
  <si>
    <t>佳音(堀北真希)は、殉也(北川悠仁)と結婚式を挙げた。だが、そこに耀司(福士誠治)の姿はなかった。耀司は、仕事を理由に結婚式には出席しなかったのだ。披露宴が始まる前、佳音は、耀司に電話をして感謝の言葉を伝えた。  　同じころ、殉也は昴(成宮寛貴)と会っていた。持っていた航空券を殉也に見られてしまった昴は、聖花(内田有紀)と一緒にパリ旅行に行くと嘘をつく。殉也は昴に、聖花と結婚しないのかと尋ねる。昴は何も答えなかった。子どもたちに呼ばれ、そちらに行こうとした殉也の背中を見つめているうちに気持ちを抑えきれなくなった昴は、殉也を呼び止める。自分にはずっと思いを寄せている人がいる、聖花を愛したことは1度もない、という昴。戸惑う殉也に昴は、それ以上何も言うことができず、聖花のことは自分が責任を持つと言い残して去ってしまう。  　佳音は、戻ってきた殉也のようすがどこかおかしいことに気づく。殉也は、佳音を安心させようと、微笑んでみせた。そのとき殉也は、式場の上階にあるベランダに聖花が立っていることに気づく。聖花は、ベランダを乗り越えて飛び降りた。異変に気づいて走り出していた殉也は、ギリギリのところで落ちてくる聖花を受け止めた。だが、その衝撃で、殉也は聖花を抱いたまま倒れ、頭部を激しく打ってしまう。そして殉也の頭から流れ出す大量の血…。佳音は、殉也に駆け寄り、彼の名前を叫び続けるが…。堀北真希　  北川悠仁　  香椎由宇　  福士誠治　  成宮寛貴　  　*　  平田満　  内藤剛志(特別出演)　  内田有紀　  豊原功補【脚本】  浅野妙子【プロデュース】  中野利幸    【演出】  加藤裕将菅野祐悟  MAYUKO    【主題歌】  「Eternally-Drama　Mix-」宇多田ヒカル</t>
  </si>
  <si>
    <t>佳音(堀北真希)は、殉也(北川悠仁)と結婚式を挙げた。だが、そこに耀司(福士誠治)の姿はなかった。耀司は、仕事を理由に結婚式には出席しなかったのだ。披露宴が始まる前、佳音は、耀司に電話をして感謝の言葉を伝えた。  　同じころ、殉也は昴(成宮寛貴)と会っていた。持っていた航空券を殉也に見られてしまった昴は、聖花(内田有紀)と一緒にパリ旅行に行くと嘘をつく。殉也は昴に、聖花と結婚しないのかと尋ねる。昴は何も答えなかった。子どもたちに呼ばれ、そちらに行こうとした殉也の背中を見つめているうちに気持ちを抑えきれなくなった昴は、殉也を呼び止める。自分にはずっと思いを寄せている人がいる、聖花を愛したことは1度もない、という昴。戸惑う殉也に昴は、それ以上何も言うことができず、聖花のことは自分が責任を持つと言い残して去ってしまう。  　佳音は、戻ってきた殉也のようすがどこかおかしいことに気づく。殉也は、佳音を安心させようと、微笑んでみせた。そのとき殉也は、式場の上階にあるベランダに聖花が立っていることに気づく。聖花は、ベランダを乗り越えて飛び降りた。異変に気づいて走り出していた殉也は、ギリギリのところで落ちてくる聖花を受け止めた。だが、その衝撃で、殉也は聖花を抱いたまま倒れ、頭部を激しく打ってしまう。そして殉也の頭から流れ出す大量の血…。佳音は、殉也に駆け寄り、彼の名前を叫び続けるが…。</t>
  </si>
  <si>
    <t>0810_CX_火21</t>
  </si>
  <si>
    <t>セレブと貧乏太郎</t>
  </si>
  <si>
    <t>番組名セレブと貧乏太郎　#01</t>
  </si>
  <si>
    <t>美田園アリス(上戸彩)は世界的なホテル王の娘。子供の頃から、欲しいものは何でも与えられてきた。「ラブ・アリス」というブランドを立ち上げ、ファッション・プロデュ―サ―として世界を飛び回り、最高級ホテルのスイ―トル―ムで秘書の郡司康夫(風間杜夫)、世話係の大野緑(三浦理恵子)に囲まれ何不自由なく暮らしている。しかし、女優だった母は、アリスが5歳の時に他界。多忙を極める父と、新しい母・真紀子(若村麻由美)との間に家族団欒の思い出はない。  　佐藤太郎(上地雄輔)はいわゆる“ワ―キングプア"。幼い頃からお金に苦労してきた。それでも、太郎は高校生の時に出会った女性と結婚。一郎(清水優哉)、花子(北村燦來)、二郎(小林海人)という3人の子供に恵まれたが、妻に先立たれてしまう。以来、太郎は相変わらずぜいたくとお金に縁はないものの、3人の子供とそれなりに幸せに暮らしていた。  　そんな太郎が、アリスの運転手に。アリスに振り回されながらも、子供たちのためとガンバる太郎。ある日「ラブ・アリス」がコレクションを開催。会場には、マスコミに注目される人物も現れる。後藤田ファンド代表の後藤田司(柏原崇)だ。さて、コレクションも大詰め。舞台にはアリスが登場。太郎はアリスのファッションを見て驚く。それは「ラブ・アリス」を契約切れで解雇された太郎の友人、安田幸子(国仲涼子)の作品。太郎は、舞台のアリスに詰め寄って…。上戸彩　    上地雄輔　    国仲涼子　  柏原崇　  三浦理恵子　  宅間孝行　  中山恵　  上野なつひ　  　/　  田村裕(麒麟)　  黒木辰哉　  　/　  若村麻由美　  　・　  山下真司　  風間杜夫　【脚本】徳永友一【企画】後藤博幸　  　　　　成河広明    【プロデュ―ス】土屋健    【演出】松田秀知　  　　　　石川淳一　  　　　　佐藤源太　  　　　　北川学山下康介    【主題歌】「気まぐれロマンティック」いきものがかり  【挿入歌】「Hero」Safarii</t>
  </si>
  <si>
    <t>美田園アリス(上戸彩)は世界的なホテル王の娘。子供の頃から、欲しいものは何でも与えられてきた。「ラブ・アリス」というブランドを立ち上げ、ファッション・プロデュ―サ―として世界を飛び回り、最高級ホテルのスイ―トル―ムで秘書の郡司康夫(風間杜夫)、世話係の大野緑(三浦理恵子)に囲まれ何不自由なく暮らしている。しかし、女優だった母は、アリスが5歳の時に他界。多忙を極める父と、新しい母・真紀子(若村麻由美)との間に家族団欒の思い出はない。  　佐藤太郎(上地雄輔)はいわゆる“ワ―キングプア"。幼い頃からお金に苦労してきた。それでも、太郎は高校生の時に出会った女性と結婚。一郎(清水優哉)、花子(北村燦來)、二郎(小林海人)という3人の子供に恵まれたが、妻に先立たれてしまう。以来、太郎は相変わらずぜいたくとお金に縁はないものの、3人の子供とそれなりに幸せに暮らしていた。  　そんな太郎が、アリスの運転手に。アリスに振り回されながらも、子供たちのためとガンバる太郎。ある日「ラブ・アリス」がコレクションを開催。会場には、マスコミに注目される人物も現れる。後藤田ファンド代表の後藤田司(柏原崇)だ。さて、コレクションも大詰め。舞台にはアリスが登場。太郎はアリスのファッションを見て驚く。それは「ラブ・アリス」を契約切れで解雇された太郎の友人、安田幸子(国仲涼子)の作品。太郎は、舞台のアリスに詰め寄って…。</t>
  </si>
  <si>
    <t>番組名セレブと貧乏太郎　#02</t>
  </si>
  <si>
    <t>美田園アリス(上戸彩)は、佐藤太郎(上地雄輔)に恋人になって欲しいと持ちかける。アリスは、彼氏になってくれたら訳を話すと言う。答えを渋っていた太郎は、スピ－ド違反で捕まり、罰金と免停を食らった。太郎は郡司康夫(風間杜夫)に、免停明けまでの停職を言い渡され、その間の給料も支給されなくなってしまう。アリスの誘いに乗るまいと頑張っていた太郎だが、ついに金が底をつきアリスに助けを求める。  　アリスは継母の真紀子(若村麻由美)から強引な見合いを求められていた。その見合いを断るため、太郎に彼氏のフリをさせようと計画。このことを他人には絶対にもらさないことを条件に、太郎はアリスと“彼氏のフリ"契約を結ぶ。  　アリスは太郎を従え、真紀子から教えられた待ち合わせのホテルへ。アリスの見合い相手として現れたのは後藤田司(柏原崇)。後藤田はアリスに話しかけるが、アリスは話そうともしない。  　アリスからの呼び出しに、太郎は夜も子供たちだけを家に残すことが多くなる。そんな時、10円玉を拾おうとタンスを持ち上げると古い週刊誌が出てきた。太郎は、雑誌にアリスと後藤田の交際破局の記事を見つける。  　そんなとき、またアリスから呼び出され、慌ててアリスの元へ向かった太郎。するとそこには後藤田の姿があった。後藤田は、太郎を挑発するような態度を取り、太郎が何かを言おうとすると、アリスが太郎に突然のキスをした・・・!上戸彩　    上地雄輔　    国仲涼子　  柏原崇　  三浦理恵子　  宅間孝行　  中山恵　  上野なつひ　  　/　  田村裕(麒麟)　  黒木辰哉　  　/　  若村麻由美　  　・　  山下真司　  風間杜夫【脚本】徳永友一【企画】  後藤博幸　  成河広明　    【プロデュ－ス】  土屋健　  　  【演出】  松田秀知　  石川淳一　  佐藤源太　  北川学山下康介  【主題歌】「気まぐれロマンティック」いきものがかり  【挿入歌】「Hero」Safarii</t>
  </si>
  <si>
    <t>美田園アリス(上戸彩)は、佐藤太郎(上地雄輔)に恋人になって欲しいと持ちかける。アリスは、彼氏になってくれたら訳を話すと言う。答えを渋っていた太郎は、スピ－ド違反で捕まり、罰金と免停を食らった。太郎は郡司康夫(風間杜夫)に、免停明けまでの停職を言い渡され、その間の給料も支給されなくなってしまう。アリスの誘いに乗るまいと頑張っていた太郎だが、ついに金が底をつきアリスに助けを求める。  　アリスは継母の真紀子(若村麻由美)から強引な見合いを求められていた。その見合いを断るため、太郎に彼氏のフリをさせようと計画。このことを他人には絶対にもらさないことを条件に、太郎はアリスと“彼氏のフリ"契約を結ぶ。  　アリスは太郎を従え、真紀子から教えられた待ち合わせのホテルへ。アリスの見合い相手として現れたのは後藤田司(柏原崇)。後藤田はアリスに話しかけるが、アリスは話そうともしない。  　アリスからの呼び出しに、太郎は夜も子供たちだけを家に残すことが多くなる。そんな時、10円玉を拾おうとタンスを持ち上げると古い週刊誌が出てきた。太郎は、雑誌にアリスと後藤田の交際破局の記事を見つける。  　そんなとき、またアリスから呼び出され、慌ててアリスの元へ向かった太郎。するとそこには後藤田の姿があった。後藤田は、太郎を挑発するような態度を取り、太郎が何かを言おうとすると、アリスが太郎に突然のキスをした・・・!</t>
  </si>
  <si>
    <t>番組名セレブと貧乏太郎　#03</t>
  </si>
  <si>
    <t>美田園アリス(上戸彩)と佐藤太郎(上地雄輔)のキスが週刊誌などに掲載された。そのため、アリスと太郎は一躍注目を集めてしまう。アリスにとって、継母の真紀子(若村麻由美)が結婚を薦める後藤田司(柏原崇)を遠ざけるカムフラージュだったが、太郎はマスコミに追い回されて大迷惑。  　そんな時、真紀子が帰国。太郎との関係をただす真紀子を、何とか誤魔化そうとするアリス。ちょうどそこに、太郎が現れた。太郎の仕事を知った真紀子は交際に大反対。反発するアリスに、真紀子は太郎と暮らすよう提案する。  　アリスが佐藤家に転がり込んで来た。混乱する太郎の横で、アリスは佐藤家のあまりの貧乏生活にギャップを感じる。テレビも冷蔵庫もなく、夕食はパンの耳、商店街ではカードも使えない。しかし、アリスはどこで金を工面したのか、佐藤家を好みのピンクで統一し、大型テレビや豪華なソファーまでそろえてしまった。　しかし、アリスが使ったのは太郎が会計係として預かっていた祭りの資金。怒る太郎に、アリスはすぐに返すといきり立つ。ところがアリスは、カードはおろか、携帯電話まで使用不能になっていた。それは、真紀子の差し金だった。それでも、太郎や『だるま』の仲間たちに金は返すと言い張るアリスは、商店街の手伝いを始めるのだが…。上戸彩　    上地雄輔　    国仲涼子　  柏原崇　  三浦理恵子　  宅間孝行　  中山恵　  上野なつひ　  　/　  田村裕(麒麟)　  黒木辰哉　  　/　  若村麻由美　  　・　  山下真司　  風間杜夫【脚本】  徳永友一【企画】  後藤博幸　  成河広明    【プロデュース】  土屋健    【演出】  松田秀知　  石川淳一　  佐藤源太　  北川学山下康介    【主題歌】「気まぐれロマンティック」いきものがかり  【挿入歌】「Hero」Safarii</t>
  </si>
  <si>
    <t>美田園アリス(上戸彩)と佐藤太郎(上地雄輔)のキスが週刊誌などに掲載された。そのため、アリスと太郎は一躍注目を集めてしまう。アリスにとって、継母の真紀子(若村麻由美)が結婚を薦める後藤田司(柏原崇)を遠ざけるカムフラージュだったが、太郎はマスコミに追い回されて大迷惑。  　そんな時、真紀子が帰国。太郎との関係をただす真紀子を、何とか誤魔化そうとするアリス。ちょうどそこに、太郎が現れた。太郎の仕事を知った真紀子は交際に大反対。反発するアリスに、真紀子は太郎と暮らすよう提案する。  　アリスが佐藤家に転がり込んで来た。混乱する太郎の横で、アリスは佐藤家のあまりの貧乏生活にギャップを感じる。テレビも冷蔵庫もなく、夕食はパンの耳、商店街ではカードも使えない。しかし、アリスはどこで金を工面したのか、佐藤家を好みのピンクで統一し、大型テレビや豪華なソファーまでそろえてしまった。　しかし、アリスが使ったのは太郎が会計係として預かっていた祭りの資金。怒る太郎に、アリスはすぐに返すといきり立つ。ところがアリスは、カードはおろか、携帯電話まで使用不能になっていた。それは、真紀子の差し金だった。それでも、太郎や『だるま』の仲間たちに金は返すと言い張るアリスは、商店街の手伝いを始めるのだが…。</t>
  </si>
  <si>
    <t>番組名セレブと貧乏太郎　#04</t>
  </si>
  <si>
    <t>美田園アリス(上戸彩)の知らないうちに、継母の真紀子(若村麻由美)と後藤田司(柏原崇)が手を組んで、佐藤太郎(上地雄輔)や仲間たちが暮らす商店街を“アリスタウン"と名づけて再開発しようとしていることが発覚。  　アリスは、ようやく仲良くなれそうになっていた商店街の住人たちから裏切り者扱いされて去り、そのまま姿を消してしまった。  　一方、太郎は商店街の仲間たちを集めて、野球の練習を始める。仲間たちは、商店街の救世主として太郎をあがめるのだが…。  　アリスは後藤田に“アリスタウン"建設計画を即刻中止するよう迫った。すると、後藤田は自分との婚約を承知するなら中止すると言う。アリスに、そんな条件が飲めるはずもない。  　太郎も後藤田のもとに来て“アリスタウン"建設計画を賭けた野球の試合を申し込んでいた。ところが、後藤田はメジャーの大リーグを招待。それを知った商店街チームは意気消沈。太郎だけは、それでも戦うと意気込む。そんな時“アリスタウン"建設計画に絡む、地上げ屋が商店街の仲間たちに近づいていた。  　アリスは、大切なものを太郎の家に置いて来てしまったことに気づく。しかし、アリスの荷物はすでに太郎が処分して、野球用具に変わっていて…。上戸彩　    上地雄輔　    国仲涼子　  柏原崇　  三浦理恵子　  宅間孝行　  中山恵　  上野なつひ　  　/　  田村裕(麒麟)　  黒木辰哉　  　/　  若村麻由美　  　・　  山下真司　  風間杜夫【脚本】徳永友一【企画】  後藤博幸　  成河広明    【プロデュース】  土屋健    【演出】  松田秀知　  石川淳一　  佐藤源太　  北川学山下康介    【主題歌】「気まぐれロマンティック」いきものがかり  【挿入歌】「Hero」Safarii</t>
  </si>
  <si>
    <t>美田園アリス(上戸彩)の知らないうちに、継母の真紀子(若村麻由美)と後藤田司(柏原崇)が手を組んで、佐藤太郎(上地雄輔)や仲間たちが暮らす商店街を“アリスタウン"と名づけて再開発しようとしていることが発覚。  　アリスは、ようやく仲良くなれそうになっていた商店街の住人たちから裏切り者扱いされて去り、そのまま姿を消してしまった。  　一方、太郎は商店街の仲間たちを集めて、野球の練習を始める。仲間たちは、商店街の救世主として太郎をあがめるのだが…。  　アリスは後藤田に“アリスタウン"建設計画を即刻中止するよう迫った。すると、後藤田は自分との婚約を承知するなら中止すると言う。アリスに、そんな条件が飲めるはずもない。  　太郎も後藤田のもとに来て“アリスタウン"建設計画を賭けた野球の試合を申し込んでいた。ところが、後藤田はメジャーの大リーグを招待。それを知った商店街チームは意気消沈。太郎だけは、それでも戦うと意気込む。そんな時“アリスタウン"建設計画に絡む、地上げ屋が商店街の仲間たちに近づいていた。  　アリスは、大切なものを太郎の家に置いて来てしまったことに気づく。しかし、アリスの荷物はすでに太郎が処分して、野球用具に変わっていて…。</t>
  </si>
  <si>
    <t>番組名セレブと貧乏太郎　#05</t>
  </si>
  <si>
    <t>美田園アリス(上戸彩)は、佐藤太郎(上地雄輔)らの商店街に計画された“アリスタウン"建設を阻止するため、後藤田司(柏原崇)との婚約を受諾。  　しかし、それはアリスの勢い…というか、気まぐれ。だが、後藤田はこの時とばかりにアリスとの婚約発表記者会見を準備した。  　後藤田との婚約を推奨する継母の真紀子(若村麻由美)は、アリスが逃げ出さないようにとSPを付ける。アリスは、太郎と商店街の仲間に自分を助け出して空港へ連れて行くようにとメッセージを送った。今や商店街の救世主として崇められているアリスの頼みに仲間たちは大乗り気。かくして、太郎と仲間たちの“アリス救出大作戦"が決行されることとなる。  　後藤田との婚約発表の日。アリスは、太郎たちによって救出される。だが、太郎たちの行為は警察には誘拐ととられてしまった。とりあえず、『だるま』に連れてこられたアリスだが、周囲はすでに警察官だらけ。それでも、午後3時までに空港に行くと言い張るアリス。  　アリスは警察に保護されて後藤田との婚約会見に臨むことになってしまうのか?アリスが、空港に急ぐ理由とは?上戸彩　    上地雄輔　    国仲涼子　  柏原崇　  三浦理恵子　  宅間孝行　  中山恵　  上野なつひ　  　/　  田村裕(麒麟)　  黒木辰哉　  　/　  若村麻由美　  　・　  山下真司　  風間杜夫　【脚本】徳永友一【企画】  後藤博幸　  成河広明    【プロデュース】  土屋健    【演出】  松田秀知　  石川淳一　  佐藤源太　  北川学山下康介    【主題歌】「気まぐれロマンティック」いきものがかり  【挿入歌】「Hero」Safarii</t>
  </si>
  <si>
    <t>美田園アリス(上戸彩)は、佐藤太郎(上地雄輔)らの商店街に計画された“アリスタウン"建設を阻止するため、後藤田司(柏原崇)との婚約を受諾。  　しかし、それはアリスの勢い…というか、気まぐれ。だが、後藤田はこの時とばかりにアリスとの婚約発表記者会見を準備した。  　後藤田との婚約を推奨する継母の真紀子(若村麻由美)は、アリスが逃げ出さないようにとSPを付ける。アリスは、太郎と商店街の仲間に自分を助け出して空港へ連れて行くようにとメッセージを送った。今や商店街の救世主として崇められているアリスの頼みに仲間たちは大乗り気。かくして、太郎と仲間たちの“アリス救出大作戦"が決行されることとなる。  　後藤田との婚約発表の日。アリスは、太郎たちによって救出される。だが、太郎たちの行為は警察には誘拐ととられてしまった。とりあえず、『だるま』に連れてこられたアリスだが、周囲はすでに警察官だらけ。それでも、午後3時までに空港に行くと言い張るアリス。  　アリスは警察に保護されて後藤田との婚約会見に臨むことになってしまうのか?アリスが、空港に急ぐ理由とは?</t>
  </si>
  <si>
    <t>番組名セレブと貧乏太郎　#06</t>
  </si>
  <si>
    <t>『ラブ・アリス』のファッションリーダー、美田園アリス(上戸彩)の前に強力なライバル、ジェシカ(村川絵梨)が出現。アリスと同じく、セレブを標榜するジェシカのデザインは『ラブ・ジェシカ』を発信源に、日本のファッション界に旋風を巻き起こす。しかも、ジェシカはアリスを徹底的にライバル視。なんと、ジェシカの背後には後藤田司(柏原崇)が控えていた。  　そんな時、アルム公国大使館の大臣(市川勇)が同国プリンセス、クララ(アヤカ・ウィルソン)の社交界デビュー用のドレスを決めるコンペをアリスとジェシカで行うことを提案。すると、後藤田の力も武器にジェシカは『ラブ・アリス』の社員を引き抜き、優位を保とうとする。  　佐藤太郎(上地雄輔)は、なぜ後藤田がアリスを守ろうとしないのかが気になる。疑問を直接、後藤田にぶつけるのだが、答えは得られない。  　コンペは、ジェシカ優勢のまま進んで行く。社員を奪われ、デザインの構想が得られないアリスの下には、安田幸子(国仲涼子)が来た。アリスは、もう一度訪ねたクララの意外な一面と、太郎の子供たちの服を繕う幸子の話から、ようやくデザインの着想を得て…。上戸彩　    上地雄輔　    国仲涼子　  柏原崇　  三浦理恵子　  宅間孝行　  中山恵　  上野なつひ　  　/　  田村裕(麒麟)　  黒木辰哉　  　/　  若村麻由美　  　・　  山下真司　  風間杜夫　【脚本】  徳永友一【企画】  後藤博幸　  成河広明    【プロデュース】  土屋健  　　　　  【演出】  松田秀知　  石川淳一　  佐藤源太　  北川学山下康介  【主題歌】いきものがかり「気まぐれロマンティック」  【挿入歌】Safarii「Hero」</t>
  </si>
  <si>
    <t>『ラブ・アリス』のファッションリーダー、美田園アリス(上戸彩)の前に強力なライバル、ジェシカ(村川絵梨)が出現。アリスと同じく、セレブを標榜するジェシカのデザインは『ラブ・ジェシカ』を発信源に、日本のファッション界に旋風を巻き起こす。しかも、ジェシカはアリスを徹底的にライバル視。なんと、ジェシカの背後には後藤田司(柏原崇)が控えていた。  　そんな時、アルム公国大使館の大臣(市川勇)が同国プリンセス、クララ(アヤカ・ウィルソン)の社交界デビュー用のドレスを決めるコンペをアリスとジェシカで行うことを提案。すると、後藤田の力も武器にジェシカは『ラブ・アリス』の社員を引き抜き、優位を保とうとする。  　佐藤太郎(上地雄輔)は、なぜ後藤田がアリスを守ろうとしないのかが気になる。疑問を直接、後藤田にぶつけるのだが、答えは得られない。  　コンペは、ジェシカ優勢のまま進んで行く。社員を奪われ、デザインの構想が得られないアリスの下には、安田幸子(国仲涼子)が来た。アリスは、もう一度訪ねたクララの意外な一面と、太郎の子供たちの服を繕う幸子の話から、ようやくデザインの着想を得て…。</t>
  </si>
  <si>
    <t>番組名セレブと貧乏太郎　#07</t>
  </si>
  <si>
    <t>美田園アリス(上戸彩)の下に2人の編集者(トータルテンボス)が訪ねて来た。郡司康夫(風間杜夫)は、アリスが1年前に自伝の出版を契約したと説明。面倒くさがるアリスだが、原稿はすでにあると言う編集者に、サインだけならと承諾。だが、原稿を読んだアリスは、真紀子(若村麻由美)との関係が美化されていることに怒り、自分が執筆すると言い出すが筆は全く進まない。すると郡司が世界中のセレブ御用達の凄腕ゴーストライター、ニシヤマを紹介。郡司はニシヤマとアポイントを取ったと、アリスを佐藤太郎(上地雄輔)と現場に向かわせる。  　その頃、大衆食堂『だるま』の安田啓一(山下真司)は、娘の幸子(国仲涼子)の行く末を案じ、相手を探そうと結婚紹介のチラシを見ながら考えていた。複数の偽名を使って結婚詐欺を働く男が話題になっていることも知らずに…。  　太郎を伴って、待ち合わせ場所に来たアリスは受付でニシヤマを呼び出してもらう。呼び出しに答えたニシヤマという男は、自伝を書けと言われて慌てるが、アリスは半ば強引に連れ出してしまう。3人と入れ違いに、ロビーに啓一が現れた。啓一は、ニシヤマと名乗る初老の男と出合う。  　実は、2人のニシヤマは、アリス、啓一によって勘違いされていた。アリスと太郎が連れて行ったのは結婚詐欺師の西山辰雄(姜暢雄)。啓一と出合ったのが、凄腕ゴーストライターの仁志山達夫(佐戸井けん太)で…。上戸彩　    上地雄輔　    国仲涼子　  柏原崇　  三浦理恵子　  宅間孝行　  中山恵　  上野なつひ　  　/　  田村裕(麒麟)　  黒木辰哉　  　/　  若村麻由美　  　・　  山下真司　  風間杜夫【脚本】  徳永友一【企画】  後藤博幸　  成河広明    【プロデュース】  土屋健    【演出】  松田秀知　  石川淳一　  佐藤源太　  北川学山下康介    【主題歌】「気まぐれロマンティック」いきものがかり  【挿入歌】「Hero」Safarii</t>
  </si>
  <si>
    <t>美田園アリス(上戸彩)の下に2人の編集者(トータルテンボス)が訪ねて来た。郡司康夫(風間杜夫)は、アリスが1年前に自伝の出版を契約したと説明。面倒くさがるアリスだが、原稿はすでにあると言う編集者に、サインだけならと承諾。だが、原稿を読んだアリスは、真紀子(若村麻由美)との関係が美化されていることに怒り、自分が執筆すると言い出すが筆は全く進まない。すると郡司が世界中のセレブ御用達の凄腕ゴーストライター、ニシヤマを紹介。郡司はニシヤマとアポイントを取ったと、アリスを佐藤太郎(上地雄輔)と現場に向かわせる。  　その頃、大衆食堂『だるま』の安田啓一(山下真司)は、娘の幸子(国仲涼子)の行く末を案じ、相手を探そうと結婚紹介のチラシを見ながら考えていた。複数の偽名を使って結婚詐欺を働く男が話題になっていることも知らずに…。  　太郎を伴って、待ち合わせ場所に来たアリスは受付でニシヤマを呼び出してもらう。呼び出しに答えたニシヤマという男は、自伝を書けと言われて慌てるが、アリスは半ば強引に連れ出してしまう。3人と入れ違いに、ロビーに啓一が現れた。啓一は、ニシヤマと名乗る初老の男と出合う。  　実は、2人のニシヤマは、アリス、啓一によって勘違いされていた。アリスと太郎が連れて行ったのは結婚詐欺師の西山辰雄(姜暢雄)。啓一と出合ったのが、凄腕ゴーストライターの仁志山達夫(佐戸井けん太)で…。</t>
  </si>
  <si>
    <t>番組名セレブと貧乏太郎　#08</t>
  </si>
  <si>
    <t>美田園アリス(上戸彩)の継母、真紀子(若村麻由美)は美田園ホールディングスの経営権を手中に収めた。アリスは、真紀子と一緒にいるのがイヤで、参加する予定もなかった『ラブ・アリス』の社員旅行に出かけてしまう。  　アリスが東京を留守の間に、真紀子は佐藤太郎(上地雄輔)に接近。アリスと2度と会うな、さらに運転手を解雇にすると通達した。また、自分に逆らえば太郎に関わるもの全てを失うことになると脅しまでかける。  　その矢先、佐藤家でボヤが発生。放火の疑いもある。水浸しの部屋に住むことの出来ない太郎だが、真紀子の一件から仲間たちにも助けを求めることも出来ずに、公園で暮らすことになった。  　一方、そんなことを知らないアリスは、旅行先のルールで社員たちの召使いをやらされてしまう。いやいやながらもルールに従うアリスだが、ついに嫌気がさして裏庭に出た時、熊と遭遇して失神。アリスを助けたのは探しに来た後藤田司(柏原崇)だった。後藤田から、佐藤家に起きた出来事を聞いたアリスは…。  　公園で暮らす佐藤家には限界がきていた。子供たちは、学校や保育園でホームレスと馬鹿にされ、二郎(小林海人)は発熱で倒れてしまう。そこに現れた真紀子。太郎は、子供たちを助けてもらうためと、ついに真紀子の提案に乗ってしまった。上戸彩　    上地雄輔　    国仲涼子　  柏原崇　  三浦理恵子　  宅間孝行　  中山恵　  上野なつひ　  　/　  田村裕(麒麟)　  黒木辰哉　  　/　  若村麻由美　  　・　  山下真司　  風間杜夫【脚本】  徳永友一【企画】  後藤博幸　  成河広明　    【プロデュース】  土屋健  　　　　  【演出】  松田秀知　  石川淳一　  佐藤源太　  北川学山下康介  【主題歌】  「気まぐれロマンティック」いきものがかり【挿入歌】  「Hero」Safarii</t>
  </si>
  <si>
    <t>美田園アリス(上戸彩)の継母、真紀子(若村麻由美)は美田園ホールディングスの経営権を手中に収めた。アリスは、真紀子と一緒にいるのがイヤで、参加する予定もなかった『ラブ・アリス』の社員旅行に出かけてしまう。  　アリスが東京を留守の間に、真紀子は佐藤太郎(上地雄輔)に接近。アリスと2度と会うな、さらに運転手を解雇にすると通達した。また、自分に逆らえば太郎に関わるもの全てを失うことになると脅しまでかける。  　その矢先、佐藤家でボヤが発生。放火の疑いもある。水浸しの部屋に住むことの出来ない太郎だが、真紀子の一件から仲間たちにも助けを求めることも出来ずに、公園で暮らすことになった。  　一方、そんなことを知らないアリスは、旅行先のルールで社員たちの召使いをやらされてしまう。いやいやながらもルールに従うアリスだが、ついに嫌気がさして裏庭に出た時、熊と遭遇して失神。アリスを助けたのは探しに来た後藤田司(柏原崇)だった。後藤田から、佐藤家に起きた出来事を聞いたアリスは…。  　公園で暮らす佐藤家には限界がきていた。子供たちは、学校や保育園でホームレスと馬鹿にされ、二郎(小林海人)は発熱で倒れてしまう。そこに現れた真紀子。太郎は、子供たちを助けてもらうためと、ついに真紀子の提案に乗ってしまった。</t>
  </si>
  <si>
    <t>番組名セレブと貧乏太郎　#09</t>
  </si>
  <si>
    <t>5年前に後藤田司(柏原崇)がいなくなったのは、継母の真紀子(若村麻由美)の画策だった。真実を知ったアリス(上戸彩)は後藤田との結婚を決意。佐藤太郎(上地雄輔)の心境は複雑。安田幸子(国仲涼子)は、アリスのウエディングドレスの制作を任されていた。  　結婚式前日。運転手として最後の日を迎えた太郎は、アリスと最後の思い出を作る。だが、リムジンと交換したバイクの持ち主が被害届を出したため、2人で警察に捕まってしまった。郡司(風間杜夫)と緑(三浦理恵子)が迎えに来て、解放される。  　幸子の作ったドレスは真紀子も認める出来栄え。帰り道、送ってもらった幸子は、後藤田からニューヨークでの出来事を聞かされる。  　スイートルームに帰ったアリスは、ひとつだけやり残したことがあったことに思い当たる。結婚式当日の早朝、アリスは佐藤家へ。そこで、アリスはニワトリの朝子の産みたて卵かけご飯を満喫した。その後、太郎の運転で式場に急ぐのだが、着いたのは別の場所。しかも、そこでカップルの騒動に巻き込まれてしまう。アリスの説得で花嫁の心を癒すことに成功した2人は、先を急ぐ。  　ようやく結婚式場に到着した。太郎はアリスの幸福を願って別れる。アリスも至福の時を噛みしめようとしていた。しかし、後藤田の姿がない。その時、会場に巨大スクリーンが出現。映っているのは後藤田だった。サプライズな演出に沸く招待客たち。だが…。上戸彩　    上地雄輔　    国仲涼子　  柏原崇　  三浦理恵子　  宅間孝行　  中山恵　  上野なつひ　  　/  田村裕(麒麟)  黒木辰哉  　/　  若村麻由美　  　・　  山下真司　  風間杜夫【脚本】  徳永友一【企画】  後藤博幸　  成河広明    【プロデュース】  土屋健    【演出】  松田秀知　  石川淳一　  佐藤源太　  北川学山下康介  【主題歌】  「気まぐれロマンティック」いきものがかり【挿入歌】  「Hero」Safarii</t>
  </si>
  <si>
    <t>5年前に後藤田司(柏原崇)がいなくなったのは、継母の真紀子(若村麻由美)の画策だった。真実を知ったアリス(上戸彩)は後藤田との結婚を決意。佐藤太郎(上地雄輔)の心境は複雑。安田幸子(国仲涼子)は、アリスのウエディングドレスの制作を任されていた。  　結婚式前日。運転手として最後の日を迎えた太郎は、アリスと最後の思い出を作る。だが、リムジンと交換したバイクの持ち主が被害届を出したため、2人で警察に捕まってしまった。郡司(風間杜夫)と緑(三浦理恵子)が迎えに来て、解放される。  　幸子の作ったドレスは真紀子も認める出来栄え。帰り道、送ってもらった幸子は、後藤田からニューヨークでの出来事を聞かされる。  　スイートルームに帰ったアリスは、ひとつだけやり残したことがあったことに思い当たる。結婚式当日の早朝、アリスは佐藤家へ。そこで、アリスはニワトリの朝子の産みたて卵かけご飯を満喫した。その後、太郎の運転で式場に急ぐのだが、着いたのは別の場所。しかも、そこでカップルの騒動に巻き込まれてしまう。アリスの説得で花嫁の心を癒すことに成功した2人は、先を急ぐ。  　ようやく結婚式場に到着した。太郎はアリスの幸福を願って別れる。アリスも至福の時を噛みしめようとしていた。しかし、後藤田の姿がない。その時、会場に巨大スクリーンが出現。映っているのは後藤田だった。サプライズな演出に沸く招待客たち。だが…。</t>
  </si>
  <si>
    <t>番組名セレブと貧乏太郎　#10</t>
  </si>
  <si>
    <t>美田園アリス(上戸彩)と後藤田司(柏原崇)の結婚式は最悪の結末を見せる。後藤田は挙式当日に美田園ホールディングスを買収して経営権を奪い、5年前に真紀子(若村麻由美)に与えられた恨みを晴らした。アリスは真紀子ともども一文無し。しかも、この買収劇は佐藤太郎(上地雄輔)の仲間たちの住む商店街にも及ぶ。  　太郎と子供たちはアリスが心配。太郎はアリスが住んでいたスイートルームへ行く。そこにいたのは後藤田。さらに、太郎を驚かせたのは安田幸子(国仲涼子)が秘書として後藤田の側にいたこと。  　アリスは真紀子とキャバレーでデュエットをして金を稼いでいた。郡司康夫(風間杜夫)と大野緑(三浦理恵子)が2人をサポート。郡司は後藤田を訪ねて、雇って欲しいと頭を下げる。すると後藤田はアリスを裏切ったという証拠を見せろと迫った。  　判明したアリスの住むアパートを訪ねた太郎は、後藤田成敗を告げる。だが、アリスにはその気がなさそう。  　太郎は公文晃(宅間孝行)に頼んで、後藤田のスキャンダル写真を捏造しようとするが失敗。その行動は後藤田に知られてしまう。一方、郡司は後藤田にアリスの情報を漏らす。アリスと真紀子が連れてこられる。さらに、太郎と啓一(山下真司)も引き立てられた。屈辱の中で、歌い舞うアリスと真紀子。  　帰り道、怒りに燃える太郎は、再び後藤田成敗をアリスに訴える。だが、またもアリスにはねつけられてしまい…。上戸彩　    上地雄輔　    国仲涼子　  柏原崇　  三浦理恵子　  宅間孝行　  中山恵　  上野なつひ　  　/　  田村裕(麒麟)　  黒木辰哉　  　/　  若村麻由美　  　・　  山下真司　  風間杜夫【脚本】  徳永友一【企画】  後藤博幸　  成河広明    【プロデュース】  土屋健    【演出】  松田秀知　  石川淳一　  佐藤源太　  北川学山下康介  【主題歌】  「気まぐれロマンティック」いきものがかり【挿入歌】  「Hero」Safarii</t>
  </si>
  <si>
    <t>美田園アリス(上戸彩)と後藤田司(柏原崇)の結婚式は最悪の結末を見せる。後藤田は挙式当日に美田園ホールディングスを買収して経営権を奪い、5年前に真紀子(若村麻由美)に与えられた恨みを晴らした。アリスは真紀子ともども一文無し。しかも、この買収劇は佐藤太郎(上地雄輔)の仲間たちの住む商店街にも及ぶ。  　太郎と子供たちはアリスが心配。太郎はアリスが住んでいたスイートルームへ行く。そこにいたのは後藤田。さらに、太郎を驚かせたのは安田幸子(国仲涼子)が秘書として後藤田の側にいたこと。  　アリスは真紀子とキャバレーでデュエットをして金を稼いでいた。郡司康夫(風間杜夫)と大野緑(三浦理恵子)が2人をサポート。郡司は後藤田を訪ねて、雇って欲しいと頭を下げる。すると後藤田はアリスを裏切ったという証拠を見せろと迫った。  　判明したアリスの住むアパートを訪ねた太郎は、後藤田成敗を告げる。だが、アリスにはその気がなさそう。  　太郎は公文晃(宅間孝行)に頼んで、後藤田のスキャンダル写真を捏造しようとするが失敗。その行動は後藤田に知られてしまう。一方、郡司は後藤田にアリスの情報を漏らす。アリスと真紀子が連れてこられる。さらに、太郎と啓一(山下真司)も引き立てられた。屈辱の中で、歌い舞うアリスと真紀子。  　帰り道、怒りに燃える太郎は、再び後藤田成敗をアリスに訴える。だが、またもアリスにはねつけられてしまい…。</t>
  </si>
  <si>
    <t>番組名セレブと貧乏太郎　#11</t>
  </si>
  <si>
    <t>突如、佐藤家に現れた美田園アリス(上戸彩)は、佐藤太郎(上地雄輔)や集まっていた安田啓一(山下真司)ら商店街の仲間たち、『ラブ・アリス』の元社員たちに、後藤田司(柏原崇)への報復を宣言。ウラジミール・コレクションの偽オークションを開催して、後藤田を罠にはめようと言うのだ。  　一方、太郎はアリスが真紀子(若村麻由美)とロンドンに行き、父とともに暮らそうとしていることを知る。太郎は、何とかロンドン行きを止めさせ、告白しようともするのだが上手くいかない。  　偽オークションが始まった。セレブに扮した仲間たちは、次々と値を吊り上げていく。しかし、後藤田の限度額と思われる10兆円を誤ってオーバーしてしまう。後藤田も買わないのでは?と、思われた矢先、後藤田は13兆円をコール。後藤田をはめることに成功した。早速、部下に命じてオークションの口座に金を振り込むよう指示する後藤田。これで、完璧に勝ったと信じるアリスや太郎に、後藤田は不敵な笑いを向けた。どうやら、アリスの作戦は後藤田にバレていたようだ。  　やはり、幸子(国仲涼子)、そして郡司(風間杜夫)までを利用した後藤田がアリスの上を行っていたのか?どうするアリス!反撃の糸口はあるのだろうか?上戸彩　    上地雄輔　    国仲涼子　  柏原崇　  三浦理恵子　  宅間孝行　  中山恵　  上野なつひ　  　/　  田村裕(麒麟)　  黒木辰哉　  　/　  若村麻由美　  　・　  山下真司　  風間杜夫【脚本】  徳永友一【企画】  後藤博幸　  成河広明    【プロデュース】  土屋健    【演出】  松田秀知　  石川淳一　  佐藤源太　  北川学山下康介    【主題歌】「気まぐれロマンティック」いきものがかり  【挿入歌】「Hero」Safarii</t>
  </si>
  <si>
    <t>突如、佐藤家に現れた美田園アリス(上戸彩)は、佐藤太郎(上地雄輔)や集まっていた安田啓一(山下真司)ら商店街の仲間たち、『ラブ・アリス』の元社員たちに、後藤田司(柏原崇)への報復を宣言。ウラジミール・コレクションの偽オークションを開催して、後藤田を罠にはめようと言うのだ。  　一方、太郎はアリスが真紀子(若村麻由美)とロンドンに行き、父とともに暮らそうとしていることを知る。太郎は、何とかロンドン行きを止めさせ、告白しようともするのだが上手くいかない。  　偽オークションが始まった。セレブに扮した仲間たちは、次々と値を吊り上げていく。しかし、後藤田の限度額と思われる10兆円を誤ってオーバーしてしまう。後藤田も買わないのでは?と、思われた矢先、後藤田は13兆円をコール。後藤田をはめることに成功した。早速、部下に命じてオークションの口座に金を振り込むよう指示する後藤田。これで、完璧に勝ったと信じるアリスや太郎に、後藤田は不敵な笑いを向けた。どうやら、アリスの作戦は後藤田にバレていたようだ。  　やはり、幸子(国仲涼子)、そして郡司(風間杜夫)までを利用した後藤田がアリスの上を行っていたのか?どうするアリス!反撃の糸口はあるのだろうか?</t>
  </si>
  <si>
    <t>0810_CX_火22</t>
  </si>
  <si>
    <t>チーム・バチスタの栄光</t>
  </si>
  <si>
    <t>番組名チーム・バチスタの栄光　#03</t>
  </si>
  <si>
    <t>http://www.ktv.co.jp/batista/　チーム・バチスタの連続術死について、リスクマネジメント委員会が招集された。心臓外科教授の黒崎(榎木孝明)は不安な点はないと調査を強引に打ち切ろうとするが、白鳥(仲村トオル)はバチスタ手術全32件の記録映像の貸し出しを求め、チームの中に連続殺人鬼がいるかもしれないと平然と言ってのける。  　そんな白鳥と調査を続けなければならない田口(伊藤淳史)は、2人で桐生(伊原剛志)を潰そうとしていると噂が立ったことから院内での風当たりが強くなり、黒崎に要求された大量の申請書類と報告書の作成に苦労する。  　一方、記録映像をチェックし始めた白鳥だったが、席を外した隙に2番目の術死となった「ケース29」の映像が何者かに盗まれてしまう。白鳥は廊下ですれ違った鳴海(宮川大輔)を疑うが、鳴海は資料室にいたと反論、結局身体検査をするも見つからない。  　田口は申請書類を作成するため氷室(城田優)を探していたが、朝からオペ続きでなかなかつかまらない。ようやく会えた氷室からは、麻酔科医の過酷な実情を聞かされる。そんな氷室を田口は自分の家に連れて行き、家族とすき焼きを食べさせる。昼か夜かもわからず、ましてや人とちゃんと食事するのは久しぶりだと笑顔を見せる氷室。  　その頃、「ケース29」の書類を調べていた白鳥は他のケースとは異なる、ある大きな事実に気づく・・・。伊藤淳史　  仲村トオル　  城田優　  鶴見辰吾　  鈴木裕樹　  戸田昌宏　  名取裕子　  林隆三　  宮川大輔　  釈由美子　  伊原剛志　【原作】  「チーム・バチスタの栄光」海堂尊(宝島社)  【脚本】  後藤法子【演出】  植田尚    【プロデューサー】  豊福陽子　  遠田孝一　  八巻薫羽岡佳　  妹尾武    【主題歌】  「守りたいもの」青山テルマ(ユニバーサルJ)</t>
  </si>
  <si>
    <t xml:space="preserve">　チーム・バチスタの連続術死について、リスクマネジメント委員会が招集された。心臓外科教授の黒崎(榎木孝明)は不安な点はないと調査を強引に打ち切ろうとするが、白鳥(仲村トオル)はバチスタ手術全32件の記録映像の貸し出しを求め、チームの中に連続殺人鬼がいるかもしれないと平然と言ってのける。  　そんな白鳥と調査を続けなければならない田口(伊藤淳史)は、2人で桐生(伊原剛志)を潰そうとしていると噂が立ったことから院内での風当たりが強くなり、黒崎に要求された大量の申請書類と報告書の作成に苦労する。  　一方、記録映像をチェックし始めた白鳥だったが、席を外した隙に2番目の術死となった「ケース29」の映像が何者かに盗まれてしまう。白鳥は廊下ですれ違った鳴海(宮川大輔)を疑うが、鳴海は資料室にいたと反論、結局身体検査をするも見つからない。  　田口は申請書類を作成するため氷室(城田優)を探していたが、朝からオペ続きでなかなかつかまらない。ようやく会えた氷室からは、麻酔科医の過酷な実情を聞かされる。そんな氷室を田口は自分の家に連れて行き、家族とすき焼きを食べさせる。昼か夜かもわからず、ましてや人とちゃんと食事するのは久しぶりだと笑顔を見せる氷室。  　その頃、「ケース29」の書類を調べていた白鳥は他のケースとは異なる、ある大きな事実に気づく・・・。</t>
  </si>
  <si>
    <t>番組名チーム・バチスタの栄光　#04</t>
  </si>
  <si>
    <t>http://www.ktv.co.jp/batista/　「術死は続く、これからも。これは、完璧に仕組まれた、犯罪である」  　田口(伊藤淳史)に届いた怪文書を見た白鳥(仲村トオル)は、一連の術死が殺人だと確信を深める。そしてチーム・バチスタのメンバーに、記録映像が盗まれた「ケース29」だけ心臓の切除範囲が大きいことを指摘し、鳴海(宮川大輔)に疑いを向けるが、桐生(伊原剛志)は鳴海の診断には全幅の信頼を寄せていると疑いを退ける。　一方、チームで第2助手に留まっていることを白鳥に挑発された酒井(鈴木裕樹)は、垣谷(鶴見辰吾)が執刀する予定の手術を自分が執刀したいと頼む。そんな姿を見て、田口は酒井が新人の頃から天才的な心臓外科医であった父を超えると燃えていたことを思い出す。  　桐生と鳴海の関係をいぶかしんだ白鳥は、以前2人が働いていたアメリカ・サザンクロス病院に電話。2人の過去に潜む驚くべき事実をつかむ。桐生と鳴海を呼び出した白鳥は、本当は桐生を憎んでいて手術を失敗に導いているのではないかと迫るが・・・。伊藤淳史　  仲村トオル　  城田優　  鶴見辰吾　  鈴木裕樹　  戸田昌宏　  名取裕子　  林隆三　  宮川大輔　  釈由美子　  伊原剛志【原作】  「チーム・バチスタの栄光」海堂尊(宝島社)  【脚本】  後藤法子【演出】  今井和久  【プロデューサー】  豊福陽子　  遠田孝一　  八巻薫羽岡佳　  妹尾武    【主題歌】  「守りたいもの」青山テルマ(ユニバーサルJ)</t>
  </si>
  <si>
    <t xml:space="preserve">　「術死は続く、これからも。これは、完璧に仕組まれた、犯罪である」  　田口(伊藤淳史)に届いた怪文書を見た白鳥(仲村トオル)は、一連の術死が殺人だと確信を深める。そしてチーム・バチスタのメンバーに、記録映像が盗まれた「ケース29」だけ心臓の切除範囲が大きいことを指摘し、鳴海(宮川大輔)に疑いを向けるが、桐生(伊原剛志)は鳴海の診断には全幅の信頼を寄せていると疑いを退ける。　一方、チームで第2助手に留まっていることを白鳥に挑発された酒井(鈴木裕樹)は、垣谷(鶴見辰吾)が執刀する予定の手術を自分が執刀したいと頼む。そんな姿を見て、田口は酒井が新人の頃から天才的な心臓外科医であった父を超えると燃えていたことを思い出す。  　桐生と鳴海の関係をいぶかしんだ白鳥は、以前2人が働いていたアメリカ・サザンクロス病院に電話。2人の過去に潜む驚くべき事実をつかむ。桐生と鳴海を呼び出した白鳥は、本当は桐生を憎んでいて手術を失敗に導いているのではないかと迫るが・・・。</t>
  </si>
  <si>
    <t>番組名チーム・バチスタの栄光　#05</t>
  </si>
  <si>
    <t>http://www.ktv.co.jp/batista/　次のバチスタ手術の患者は蔵田(田村元治)という76歳の男性。白鳥(仲村トオル)は手術までに残された4日間で必ず犯人を見つけると公言、さらに犯人はだいぶ絞り込めてきたと言う。それを聞いた羽場(戸田昌宏)は田口(伊藤淳史)にバチスタ手術で患者が亡くなる前に必ずガラスに詰めたバラがオペ前室に置かれており、一連の術死は予告殺人ではないかと告げる。さらに氷室(城田優)から、バラを前室に置いたのは直美(釈由美子)だということを聞き、その真意を直美に問うが・・・。  　直美を傷つけて気持ちが塞いだ田口は、話を聞いてその人のことを知る心療内科医の仕事が好きだったが今は怖くて仕方ないと白鳥に本音をぶつける。だが白鳥は人のことを分かったつもりになっているだけで、本当に他人を知るということは最悪な部分まで見ることだと田口を非難。何も答えられない田口に、助手をクビにすると言い渡す。　翌日、チーム・バチスタのミーティングで、桐生(伊原剛志)は蔵田に万が一発作が起きた場合は緊急手術を行うことを再確認し、もし手術が失敗したらチームを解散すると宣言する・・・。伊藤淳史　  仲村トオル　  城田優　  鶴見辰吾　  鈴木裕樹　  戸田昌宏　  　●　  名取裕子　  　●　  林隆三　  宮川大輔　  釈由美子　  伊原剛志【原作】  「チーム・バチスタの栄光」海堂尊(宝島社)    【脚本】  後藤法子【演出】  植田尚    【プロデューサー】  豊福陽子　  遠田孝一　  八巻薫羽岡佳　  妹尾武    【主題歌】  「守りたいもの」青山テルマ(ユニバーサルJ)</t>
  </si>
  <si>
    <t xml:space="preserve">　次のバチスタ手術の患者は蔵田(田村元治)という76歳の男性。白鳥(仲村トオル)は手術までに残された4日間で必ず犯人を見つけると公言、さらに犯人はだいぶ絞り込めてきたと言う。それを聞いた羽場(戸田昌宏)は田口(伊藤淳史)にバチスタ手術で患者が亡くなる前に必ずガラスに詰めたバラがオペ前室に置かれており、一連の術死は予告殺人ではないかと告げる。さらに氷室(城田優)から、バラを前室に置いたのは直美(釈由美子)だということを聞き、その真意を直美に問うが・・・。  　直美を傷つけて気持ちが塞いだ田口は、話を聞いてその人のことを知る心療内科医の仕事が好きだったが今は怖くて仕方ないと白鳥に本音をぶつける。だが白鳥は人のことを分かったつもりになっているだけで、本当に他人を知るということは最悪な部分まで見ることだと田口を非難。何も答えられない田口に、助手をクビにすると言い渡す。　翌日、チーム・バチスタのミーティングで、桐生(伊原剛志)は蔵田に万が一発作が起きた場合は緊急手術を行うことを再確認し、もし手術が失敗したらチームを解散すると宣言する・・・。</t>
  </si>
  <si>
    <t>番組名チーム・バチスタの栄光　#06</t>
  </si>
  <si>
    <t>http://www.ktv.co.jp/batista/　田口(伊藤淳史)は必死に手術の中止を桐生(伊原剛志)に訴えるも、容体が急変した蔵田(田村元治)はオペ室へと運ばれてしまう。田口から電話を受けた白鳥(仲村トオル)も東城医大へとタクシーを飛ばすが、蔵田へのバチスタ手術は始まってしまった。  　オペ室に入室さえできなかった田口が観覧室から手術を見守る中、蔵田へのバチスタ手術は順調に進められる。最後に心血流を再開し、全員が祈るような気持ちで手術台の上の蔵田を見守っていた。  しかし・・・。3分が経過するも再鼓動せず、氷室(城田優)が強心剤を打つ光景を見ていられなくなる田口。ようやく病院に到着した白鳥は、スーツ姿のままで手術室に入ろうとするが警備員に止められてしまう・・・。伊藤淳史　  仲村トオル　  城田優　  鶴見辰吾　  鈴木裕樹　  戸田昌宏　  　●　  名取裕子　  　●　  林隆三　  宮川大輔　  釈由美子　  伊原剛志【原作】  「チーム・バチスタの栄光」海堂尊(宝島社)  【脚本】  後藤法子【演出】  植田尚    【プロデューサー】  豊福陽子　  遠田孝一　  八巻薫羽岡佳　  妹尾武    【主題歌】  「守りたいもの」青山テルマ(ユニバーサルJ)</t>
  </si>
  <si>
    <t xml:space="preserve">　田口(伊藤淳史)は必死に手術の中止を桐生(伊原剛志)に訴えるも、容体が急変した蔵田(田村元治)はオペ室へと運ばれてしまう。田口から電話を受けた白鳥(仲村トオル)も東城医大へとタクシーを飛ばすが、蔵田へのバチスタ手術は始まってしまった。  　オペ室に入室さえできなかった田口が観覧室から手術を見守る中、蔵田へのバチスタ手術は順調に進められる。最後に心血流を再開し、全員が祈るような気持ちで手術台の上の蔵田を見守っていた。  しかし・・・。3分が経過するも再鼓動せず、氷室(城田優)が強心剤を打つ光景を見ていられなくなる田口。ようやく病院に到着した白鳥は、スーツ姿のままで手術室に入ろうとするが警備員に止められてしまう・・・。</t>
  </si>
  <si>
    <t>番組名チーム・バチスタの栄光　#07</t>
  </si>
  <si>
    <t>http://www.ktv.co.jp/batista/ついに氷室(城田優)がバチスタ手術で患者を殺害したことを認めるが、東城医大から逃走してしまった。白鳥(仲村トオル)は氷室が言い残した「犯人は他にもいる」という言葉に注目するが、他にも患者を殺すような医師がいると信じたくない田口(伊藤淳史)は氷室の携帯に必死で電話をかけ続ける。  チーム・バチスタのメンバーは1人ずつ、刑事の青木(眞島秀和)によって事情聴取を受ける。だがメンバーは皆心当たりはないと答える。プライベートでの付き合いに言及された直美(釈由美子)は、2人きりで食事をしたことはないかと聞かれ、ためらいつつも、一度もないと答えてしまう。一方、田口は依然として氷室の携帯に電話をかけていた。何回かけても応答せず諦めたその時、氷室の携帯につながった・・・。伊藤淳史　  仲村トオル　  城田優　  鶴見辰吾　  鈴木裕樹　  戸田昌宏　  　●　  名取裕子　  　●　  林隆三　  宮川大輔　  釈由美子　  伊原剛志【原作】  「チーム・バチスタの栄光」海堂尊(宝島社)    【脚本】  後藤法子【演出】  今井和久    【プロデューサー】  豊福陽子　  遠田孝一　  八巻薫羽岡佳  妹尾武    【主題歌】  「守りたいもの」青山テルマ(ユニバーサルJ)</t>
  </si>
  <si>
    <t>ついに氷室(城田優)がバチスタ手術で患者を殺害したことを認めるが、東城医大から逃走してしまった。白鳥(仲村トオル)は氷室が言い残した「犯人は他にもいる」という言葉に注目するが、他にも患者を殺すような医師がいると信じたくない田口(伊藤淳史)は氷室の携帯に必死で電話をかけ続ける。  チーム・バチスタのメンバーは1人ずつ、刑事の青木(眞島秀和)によって事情聴取を受ける。だがメンバーは皆心当たりはないと答える。プライベートでの付き合いに言及された直美(釈由美子)は、2人きりで食事をしたことはないかと聞かれ、ためらいつつも、一度もないと答えてしまう。一方、田口は依然として氷室の携帯に電話をかけていた。何回かけても応答せず諦めたその時、氷室の携帯につながった・・・。</t>
  </si>
  <si>
    <t>番組名チーム・バチスタの栄光　#08</t>
  </si>
  <si>
    <t>http://www.ktv.co.jp/batista/　桐生(伊原剛志)はチーム・バチスタを解散して、オペはしないと宣言。東城医大付属病院では現在、村本カナ(金澤美穂)という14歳の少女が桐生のバチスタ手術を待っており、酒井(鈴木裕樹)や鳴海(宮川大輔)は反対するが、桐生の意志は固かった。  　一方、田口(伊藤淳史)と白鳥(仲村トオル)は氷室(城田優)が遺したメッセージを頼りにケース27について調べ始める。すると、医療器具は研修医でなく羽場(戸田昌宏)が準備していたことが判明するが、羽場は器具への細工を否定。一方、白鳥に氷室が死ぬ前にかけてきた電話について聞かれた直美(釈由美子)は、少しためらった後、メッセージは残っていなかったと答える。さらに垣谷(鶴見辰吾)もやたらと不運が重なったケースだったと証言する。  　チームが解散すると聞いた田口が桐生のもとを訪れると、桐生はカナの手術も断ると言う。苦しんでいる患者を目の前に自らが執刀しないことに悩み苦しむ桐生はその後、部屋に入ってきた鳴海にアメリカに帰りたければ帰ってもいいと、ペアの解消を言い渡すが・・・。伊藤淳史　  仲村トオル　  城田優　  鶴見辰吾　  鈴木裕樹　  戸田昌宏　  名取裕子　  林隆三　  宮川大輔　  釈由美子　  伊原剛志【原作】  「チーム・バチスタの栄光」海堂尊(宝島社)    【脚本】  後藤法子【演出】  星野和成    【プロデューサー】  豊福陽子　  遠田孝一　  八巻薫羽岡佳　  妹尾武    【主題歌】  「守りたいもの」青山テルマ(ユニバーサルJ)</t>
  </si>
  <si>
    <t xml:space="preserve">　桐生(伊原剛志)はチーム・バチスタを解散して、オペはしないと宣言。東城医大付属病院では現在、村本カナ(金澤美穂)という14歳の少女が桐生のバチスタ手術を待っており、酒井(鈴木裕樹)や鳴海(宮川大輔)は反対するが、桐生の意志は固かった。  　一方、田口(伊藤淳史)と白鳥(仲村トオル)は氷室(城田優)が遺したメッセージを頼りにケース27について調べ始める。すると、医療器具は研修医でなく羽場(戸田昌宏)が準備していたことが判明するが、羽場は器具への細工を否定。一方、白鳥に氷室が死ぬ前にかけてきた電話について聞かれた直美(釈由美子)は、少しためらった後、メッセージは残っていなかったと答える。さらに垣谷(鶴見辰吾)もやたらと不運が重なったケースだったと証言する。  　チームが解散すると聞いた田口が桐生のもとを訪れると、桐生はカナの手術も断ると言う。苦しんでいる患者を目の前に自らが執刀しないことに悩み苦しむ桐生はその後、部屋に入ってきた鳴海にアメリカに帰りたければ帰ってもいいと、ペアの解消を言い渡すが・・・。</t>
  </si>
  <si>
    <t>番組名チーム・バチスタの栄光　#09</t>
  </si>
  <si>
    <t>http://www.ktv.co.jp/batista/術中死の真相を掴むため、氷室(城田優)が遺したメッセージから「ケース27」を調べようと資料庫にいた田口(伊藤淳史)と白鳥(仲村トオル)は、桐生(伊原剛志)が鳴海(宮川大輔)に詰め寄っているところを目撃。桐生は氷室の死について鳴海を疑っていること、鳴海は桐生を追って日本に来たのでなく、桐生に懇願されて日本に来たことがわかる。田口と白鳥が話を聞くと桐生は、氷室が死んだ夜、鳴海と一緒にいたというアリバイは嘘で、それぞれ自室にいたと話す。  診療室に戻った田口と白鳥は、藤原(名取裕子)から再び怪文書が届いたと聞かされ、「ケース27」の映像を見直す。しかし、ある点に着目していた白鳥は、それが別のケースとすり替わっていることに気づく。さらに「ケース27」と最新の手術の2回に共通していたのは。  翌日、白鳥は垣谷(鶴見辰吾)、羽場(戸田昌宏)、酒井(鈴木裕樹)、直美(釈由美子)に「ケース27」の映像を見せ誰かがすり替えたのではないかと問うが4人は相手にしない。白鳥は直美が氷室のメッセージについて嘘をついていたのではないかと追及するが、直美は再度否定。  一方、田口は鳴海に話を聞きに行く。鳴海は氷室が死んだ当日、夜中まで院内の自室にいたと言うが、田口が聞き込みを続けると鳴海を目撃したと証言する警備員が現れる。警備員は鳴海が慌ててタクシーで病院を飛び出して行き、その時刻は氷室が死ぬ少し前だったというが。伊藤淳史　  仲村トオル　  城田優　  鶴見辰吾　  鈴木裕樹　  戸田昌宏　  　・　  名取裕子　  　・　  林隆三　  宮川大輔　  釈由美子　  伊原剛志【原作】  「チーム・バチスタの栄光」海堂尊(宝島社)    【脚本】  後藤法子【演出】  植田尚    【プロデューサー】  豊福陽子　  遠田孝一　  八巻薫羽岡佳　  妹尾武    【主題歌】  「守りたいもの」青山テルマ(ユニバーサルJ)</t>
  </si>
  <si>
    <t>術中死の真相を掴むため、氷室(城田優)が遺したメッセージから「ケース27」を調べようと資料庫にいた田口(伊藤淳史)と白鳥(仲村トオル)は、桐生(伊原剛志)が鳴海(宮川大輔)に詰め寄っているところを目撃。桐生は氷室の死について鳴海を疑っていること、鳴海は桐生を追って日本に来たのでなく、桐生に懇願されて日本に来たことがわかる。田口と白鳥が話を聞くと桐生は、氷室が死んだ夜、鳴海と一緒にいたというアリバイは嘘で、それぞれ自室にいたと話す。  診療室に戻った田口と白鳥は、藤原(名取裕子)から再び怪文書が届いたと聞かされ、「ケース27」の映像を見直す。しかし、ある点に着目していた白鳥は、それが別のケースとすり替わっていることに気づく。さらに「ケース27」と最新の手術の2回に共通していたのは。  翌日、白鳥は垣谷(鶴見辰吾)、羽場(戸田昌宏)、酒井(鈴木裕樹)、直美(釈由美子)に「ケース27」の映像を見せ誰かがすり替えたのではないかと問うが4人は相手にしない。白鳥は直美が氷室のメッセージについて嘘をついていたのではないかと追及するが、直美は再度否定。  一方、田口は鳴海に話を聞きに行く。鳴海は氷室が死んだ当日、夜中まで院内の自室にいたと言うが、田口が聞き込みを続けると鳴海を目撃したと証言する警備員が現れる。警備員は鳴海が慌ててタクシーで病院を飛び出して行き、その時刻は氷室が死ぬ少し前だったというが。</t>
  </si>
  <si>
    <t>番組名チーム・バチスタの栄光　#10</t>
  </si>
  <si>
    <t>http://www.ktv.co.jp/batista/　田口(伊藤淳史)と白鳥(仲村トオル)はチーム・バチスタのメンバーを集めて「ケース27」の映像を見直す。直美(釈由美子)は初めてのバチスタで緊張しており、酒井(鈴木裕樹)も動脈ラインが取れずに慌てていた。さらに予定外の緊急オペだったため鳴海(宮川大輔)は外出しており、到着した時は心筋切除が終わったところだった。患者の心臓は再鼓動せず、オペは失敗に終わったが、手術に問題はなく、鳴海は桐生(伊原剛志)に「オペはパーフェクトだったよ」と言葉をかけた・・・というのが全員の共通した証言だった。  　だが白鳥は、「ケース27」の術死の原因について驚くべき推理を披露、改めて映像を再生し手が止まった場面を指摘する。そしてその時、田口の予想外の行動がメンバーを衝撃の展開へと導いてゆき・・・!?伊藤淳史　  仲村トオル　  城田優　  鶴見辰吾　  鈴木裕樹　  戸田昌宏　  　・　  名取裕子　  　・　  宮川大輔　  釈由美子　  伊原剛志　    ほか【原作】  「チーム・バチスタの栄光」海堂尊(宝島社)    【脚本】  後藤法子【演出】  今井和久    【プロデューサー】  豊福陽子　  遠田孝一　  八巻薫羽岡佳　  妹尾武    【主題歌】  「守りたいもの」青山テルマ(ユニバーサルJ)</t>
  </si>
  <si>
    <t xml:space="preserve">　田口(伊藤淳史)と白鳥(仲村トオル)はチーム・バチスタのメンバーを集めて「ケース27」の映像を見直す。直美(釈由美子)は初めてのバチスタで緊張しており、酒井(鈴木裕樹)も動脈ラインが取れずに慌てていた。さらに予定外の緊急オペだったため鳴海(宮川大輔)は外出しており、到着した時は心筋切除が終わったところだった。患者の心臓は再鼓動せず、オペは失敗に終わったが、手術に問題はなく、鳴海は桐生(伊原剛志)に「オペはパーフェクトだったよ」と言葉をかけた・・・というのが全員の共通した証言だった。  　だが白鳥は、「ケース27」の術死の原因について驚くべき推理を披露、改めて映像を再生し手が止まった場面を指摘する。そしてその時、田口の予想外の行動がメンバーを衝撃の展開へと導いてゆき・・・!?</t>
  </si>
  <si>
    <t>番組名チーム・バチスタの栄光　#11</t>
  </si>
  <si>
    <t>桐生(伊原剛志)は「ケース27」の術死は、自分の医療ミスによるものだと認め、容態の急変により急遽行われることになった次のバチスタ手術は、垣谷(鶴見辰吾)が初執刀することになる。しかし、オペ直前で垣谷が失踪、騒然となるオペ室。  その頃、田口(伊藤淳史)は医局で偶然、ある写真を見つけて驚愕する。それは小学生ぐらいの女の子の写真。このマーク、どこかで見たような・・・?すると背後から何者かに写真を取り上げられ・・・?  『全てはサザンクロス病院から始まっていた』ーー互いの情報を持ち寄り、確信した田口と白鳥(仲村トオル)。改めて手術ビデオを見直したとき、見えてきた衝撃の真実とはーー?そして、オペ室では前代未聞の事態が展開しようとしていたーー!!伊藤淳史　  仲村トオル　  城田優　  鶴見辰吾　  鈴木裕樹　  戸田昌宏　  　・　  名取裕子　  　・　  林隆三　  宮川大輔　  釈由美子　  伊原剛志【原作】  「チーム・バチスタの栄光」海堂尊(宝島社)  【脚本】  後藤法子【プロデューサー】  豊福陽子　  遠田孝一　  八巻薫　    【演出】  植田尚羽岡佳　  妹尾武    【主題歌】  「守りたいもの」青山テルマ(ユニバーサルJ)</t>
  </si>
  <si>
    <t>桐生(伊原剛志)は「ケース27」の術死は、自分の医療ミスによるものだと認め、容態の急変により急遽行われることになった次のバチスタ手術は、垣谷(鶴見辰吾)が初執刀することになる。しかし、オペ直前で垣谷が失踪、騒然となるオペ室。  その頃、田口(伊藤淳史)は医局で偶然、ある写真を見つけて驚愕する。それは小学生ぐらいの女の子の写真。このマーク、どこかで見たような・・・?すると背後から何者かに写真を取り上げられ・・・?  『全てはサザンクロス病院から始まっていた』ーー互いの情報を持ち寄り、確信した田口と白鳥(仲村トオル)。改めて手術ビデオを見直したとき、見えてきた衝撃の真実とはーー?そして、オペ室では前代未聞の事態が展開しようとしていたーー!!</t>
  </si>
  <si>
    <t>0810_CX_木22</t>
  </si>
  <si>
    <t>風のガーデン</t>
  </si>
  <si>
    <t>番組名&lt;木曜劇場&gt;フジテレビ開局50周年記念ドラマ風のガーデン　#04</t>
  </si>
  <si>
    <t>白鳥貞美(中井貴一)は、よさこいソーラン祭りを見るために札幌を訪れた。祭りに参加している娘のルイ(黒木メイサ)に会うためだ。桟敷席から6年ぶりに見るルイは、はつらつとして美しく、貞美は胸が熱くなる。  　水木(布施博)のクリニックで再度検査を受ける貞美。治療の効果がほとんど出ていない。引き止める水木を断り、ルイと会うために宿泊先のホテルに戻る貞美だったが・・・。  　列車で富良野へ向かう貞美。知り合いに会わないよう、顔を伏せてタクシーに乗り、妻・冴子の墓参りをする。久しぶりに見る富良野の風景。そしてルイが育てているガーデンを見に行く。隠れて岳(神木隆之介)の様子をうかがう貞美。  　東京の病院へ戻った貞美は、二神(奥田瑛二)と話をするうち、自分も同じ病に侵されていることを打ち明ける。  　その夜、妙子(伊藤蘭)が貞美のマンションを訪れる。モルヒネパッチに気づいていた妙子は、貞美を問い詰め、貞美は病状について説明する。妙子はすぐに院長(小野武彦)に電話して・・・。中井貴一　  黒木メイサ　  神木隆之介　  伊藤蘭　  奥田瑛二　  緒形拳　    ほか【脚本】倉本聰【演出】宮本理江子</t>
  </si>
  <si>
    <t>白鳥貞美(中井貴一)は、よさこいソーラン祭りを見るために札幌を訪れた。祭りに参加している娘のルイ(黒木メイサ)に会うためだ。桟敷席から6年ぶりに見るルイは、はつらつとして美しく、貞美は胸が熱くなる。  　水木(布施博)のクリニックで再度検査を受ける貞美。治療の効果がほとんど出ていない。引き止める水木を断り、ルイと会うために宿泊先のホテルに戻る貞美だったが・・・。  　列車で富良野へ向かう貞美。知り合いに会わないよう、顔を伏せてタクシーに乗り、妻・冴子の墓参りをする。久しぶりに見る富良野の風景。そしてルイが育てているガーデンを見に行く。隠れて岳(神木隆之介)の様子をうかがう貞美。  　東京の病院へ戻った貞美は、二神(奥田瑛二)と話をするうち、自分も同じ病に侵されていることを打ち明ける。  　その夜、妙子(伊藤蘭)が貞美のマンションを訪れる。モルヒネパッチに気づいていた妙子は、貞美を問い詰め、貞美は病状について説明する。妙子はすぐに院長(小野武彦)に電話して・・・。</t>
  </si>
  <si>
    <t>番組名&lt;木曜劇場&gt;フジテレビ開局50周年記念ドラマ風のガーデン　#05</t>
  </si>
  <si>
    <t>富良野では、ルイ(黒木メイサ)にひとめぼれした養蜂家の修(平野勇樹)が果敢にルイを誘うが、相手にされないでいた。貞三(緒形拳)は変わらず、老患者の家を回って診療をする日々。  　東京では、貞美(中井貴一)が、たびたび襲ってくる痛みを薬でごまかしながら仕事を続けていた。そんなとき、二神(奥田瑛二)が胸の痛みを訴え、冠動脈拡張の緊急処置がなされた。　香苗(国仲涼子)に呼び出された貞美は、病院の駐車場へ。そこには二神のキャンピングカーがあった。香苗は、二神がその車を貞美に譲ると言っていると告げる。車内は以前貞美が二神に聞かれて答えていた、治療に必要な医療器具の数々が搭載されていた。中井貴一　  黒木メイサ　  神木隆之介　  伊藤蘭　  奥田瑛二　  緒形拳　    ほか【脚本】倉本聰【演出】宮本理江子</t>
  </si>
  <si>
    <t>富良野では、ルイ(黒木メイサ)にひとめぼれした養蜂家の修(平野勇樹)が果敢にルイを誘うが、相手にされないでいた。貞三(緒形拳)は変わらず、老患者の家を回って診療をする日々。  　東京では、貞美(中井貴一)が、たびたび襲ってくる痛みを薬でごまかしながら仕事を続けていた。そんなとき、二神(奥田瑛二)が胸の痛みを訴え、冠動脈拡張の緊急処置がなされた。　香苗(国仲涼子)に呼び出された貞美は、病院の駐車場へ。そこには二神のキャンピングカーがあった。香苗は、二神がその車を貞美に譲ると言っていると告げる。車内は以前貞美が二神に聞かれて答えていた、治療に必要な医療器具の数々が搭載されていた。</t>
  </si>
  <si>
    <t>番組名&lt;木曜劇場&gt;フジテレビ開局50周年記念ドラマ風のガーデン　#06</t>
  </si>
  <si>
    <t>早朝、霧の立ちこめるガーデンで鉢合わせした貞美(中井貴一)と岳(神木隆之介)。岳は、貞美を「大天使」だと勘違いする。貞美はキャンピングカーまで必死に走り、酸素ボンベから酸素を吸入する。  　貞美は週刊誌に掲載された二神(奥田瑛二)の写真を目にする。車椅子に乗り、憔悴(しょうすい)した表情の二神。  　貞美は、小玉理容室を訪れた。高校時代につきあっていたエリカ(石田えり)が切り盛りしている店だ。エリカは突然の貞美の来訪に驚くが、昔話に花を咲かせる。病気のことを知らないエリカは、勘当されている貞美が、里心がついて帰郷したと思い、「困ったことがあったら助けてあげる」と告げる。  　貞美に妙子(伊藤蘭)から二神の危篤を知らせるメールが入る。衝撃を受ける貞美。  　翌早朝、ガーデンで再び岳と会った貞美は、岳から「父は天国にいるんですか?」と聞かれ・・・。　その日、夕立に降られ、キャンピングカーで眠っていた貞美の夢の中に、二神が現れた。すると二神の娘・香苗(国仲涼子)からメールが入る。  　翌朝、グリーンハウスで、貞美がチェロを弾き、岳がピアノで伴奏を付けていると、ふいにルイ(黒木メイサ)がやってきて・・・。中井貴一　  黒木メイサ　  神木隆之介　  伊藤蘭　  奥田瑛二　  緒形拳　    ほか【脚本】  倉本聰【演出】  宮本理江子</t>
  </si>
  <si>
    <t>早朝、霧の立ちこめるガーデンで鉢合わせした貞美(中井貴一)と岳(神木隆之介)。岳は、貞美を「大天使」だと勘違いする。貞美はキャンピングカーまで必死に走り、酸素ボンベから酸素を吸入する。  　貞美は週刊誌に掲載された二神(奥田瑛二)の写真を目にする。車椅子に乗り、憔悴(しょうすい)した表情の二神。  　貞美は、小玉理容室を訪れた。高校時代につきあっていたエリカ(石田えり)が切り盛りしている店だ。エリカは突然の貞美の来訪に驚くが、昔話に花を咲かせる。病気のことを知らないエリカは、勘当されている貞美が、里心がついて帰郷したと思い、「困ったことがあったら助けてあげる」と告げる。  　貞美に妙子(伊藤蘭)から二神の危篤を知らせるメールが入る。衝撃を受ける貞美。  　翌早朝、ガーデンで再び岳と会った貞美は、岳から「父は天国にいるんですか?」と聞かれ・・・。　その日、夕立に降られ、キャンピングカーで眠っていた貞美の夢の中に、二神が現れた。すると二神の娘・香苗(国仲涼子)からメールが入る。  　翌朝、グリーンハウスで、貞美がチェロを弾き、岳がピアノで伴奏を付けていると、ふいにルイ(黒木メイサ)がやってきて・・・。</t>
  </si>
  <si>
    <t>番組名&lt;木曜劇場&gt;フジテレビ開局50周年記念ドラマ風のガーデン　#07</t>
  </si>
  <si>
    <t>貞美(中井貴一)を「大天使ガブリエル」だと思いこんでいる岳(神木隆之介)は、貞美の姿を見て逃げ出したルイ(黒木メイサ)を責める。ルイは修(平野勇樹)に頼んで森の中の足跡をたどり、貞美のキャンピングカーを見つけた。  　エリカ(石田えり)に、小玉理容室を自分宛の郵便物の送り先とさせてほしいと頼んだ貞美。エリカは、同級生たちと一緒に、貞美の歓迎会をするつもりだと話す。　岳は貞三(緒形拳)に「ガブリエル天使を怒らせてしまった」と相談する。貞三は、いつものように岳の話を真剣に聞いてあげる。  　携帯の番号を変え、つかの間東京に戻った貞美は、妙子(伊藤蘭)に必要な薬を富良野へ送ってほしいと頼み、「俺が死んだらおやじに渡して」と一通の封筒を渡す。泣き出す妙子に富良野で息子のピアノでチェロを弾いた話を打ち明ける貞美。　貞美は姉・冬美(木内みどり)の家を訪ね、病院を辞めて、しばらく富良野に帰ることを告げる。子供は何を喜ぶのかと相談する貞美。  　貞美が富良野へ戻り、キャンピングカーに荷物を運んでいると、そこにルイがやってきた。中井貴一　  黒木メイサ　  神木隆之介　  伊藤蘭　  奥田瑛二　  緒形拳　    ほか【脚本】  倉本聰【演出】  宮本理江子</t>
  </si>
  <si>
    <t>貞美(中井貴一)を「大天使ガブリエル」だと思いこんでいる岳(神木隆之介)は、貞美の姿を見て逃げ出したルイ(黒木メイサ)を責める。ルイは修(平野勇樹)に頼んで森の中の足跡をたどり、貞美のキャンピングカーを見つけた。  　エリカ(石田えり)に、小玉理容室を自分宛の郵便物の送り先とさせてほしいと頼んだ貞美。エリカは、同級生たちと一緒に、貞美の歓迎会をするつもりだと話す。　岳は貞三(緒形拳)に「ガブリエル天使を怒らせてしまった」と相談する。貞三は、いつものように岳の話を真剣に聞いてあげる。  　携帯の番号を変え、つかの間東京に戻った貞美は、妙子(伊藤蘭)に必要な薬を富良野へ送ってほしいと頼み、「俺が死んだらおやじに渡して」と一通の封筒を渡す。泣き出す妙子に富良野で息子のピアノでチェロを弾いた話を打ち明ける貞美。　貞美は姉・冬美(木内みどり)の家を訪ね、病院を辞めて、しばらく富良野に帰ることを告げる。子供は何を喜ぶのかと相談する貞美。  　貞美が富良野へ戻り、キャンピングカーに荷物を運んでいると、そこにルイがやってきた。</t>
  </si>
  <si>
    <t>番組名&lt;木曜劇場&gt;フジテレビ開局50周年記念ドラマ風のガーデン　#08</t>
  </si>
  <si>
    <t>岳(神木隆之介)が森でエゾエンゴサクの球根を掘っているところへ貞美(中井貴一)がやってきた。貞美を怒らせてしまったのではないかと心を痛めていた岳は、再会を喜ぶ。貞美は岳と一緒に球根を掘る。  　水木(布施博)から貞美に電話が入る。富良野の病院で事故に遭って運び込まれてきた患者の緊急手術を手伝ってほしいと言う。貞美は病院へ駆けつけ、手術に立ち合う。見事な施術に感謝する医師ら。しかし貞美はひどく疲労し、帰り道、運転中に激しい睡魔に襲われ・・・。  　キャンピングカーへ、ルイ(黒木メイサ)とさゆり(森上千絵)がやってきた。貞美が父・貞三(緒形拳)に会いに行かないでいることを心配していると話す2人。と、そこへ修(平野勇樹)が突然やってきて自分はルイの婚約者だと言い出して・・・?  　そして、エリカ(石田えり)らおさななじみの同級生たちが、歓迎会を開くと貞美を連れ出した。そこは、同級生が住職をしている寺で、歓迎会は、貞美の生前葬として企画されていた。喪服で集まった友人たちは、貞美の昔話で大いに盛り上がり・・・。中井貴一　  黒木メイサ　  神木隆之介　  伊藤蘭　  奥田瑛二　  緒形拳　    ほか【脚本】  倉本聰【演出】  宮本理江子</t>
  </si>
  <si>
    <t>岳(神木隆之介)が森でエゾエンゴサクの球根を掘っているところへ貞美(中井貴一)がやってきた。貞美を怒らせてしまったのではないかと心を痛めていた岳は、再会を喜ぶ。貞美は岳と一緒に球根を掘る。  　水木(布施博)から貞美に電話が入る。富良野の病院で事故に遭って運び込まれてきた患者の緊急手術を手伝ってほしいと言う。貞美は病院へ駆けつけ、手術に立ち合う。見事な施術に感謝する医師ら。しかし貞美はひどく疲労し、帰り道、運転中に激しい睡魔に襲われ・・・。  　キャンピングカーへ、ルイ(黒木メイサ)とさゆり(森上千絵)がやってきた。貞美が父・貞三(緒形拳)に会いに行かないでいることを心配していると話す2人。と、そこへ修(平野勇樹)が突然やってきて自分はルイの婚約者だと言い出して・・・?  　そして、エリカ(石田えり)らおさななじみの同級生たちが、歓迎会を開くと貞美を連れ出した。そこは、同級生が住職をしている寺で、歓迎会は、貞美の生前葬として企画されていた。喪服で集まった友人たちは、貞美の昔話で大いに盛り上がり・・・。</t>
  </si>
  <si>
    <t>番組名&lt;木曜劇場&gt;フジテレビ開局50周年記念ドラマ風のガーデン　#09</t>
  </si>
  <si>
    <t>貞三(緒形拳)は、キャンピングカーの中で見たことを確かめるために、札幌の水木(布施博)のクリニックを訪れた。そして貞美(中井貴一)が余命数カ月であることを知る。衝撃を受けた貞三は、その足で義姉・春江(草笛光子)に会いに行く。春江に思いを打ち明ける貞三。  　ガーデンでは、岳(神木隆之介)が貞美に花の講義中だ。岳が花を指さしては教えてくれる花言葉は父・貞三が作ったものだと知り、心動かされる貞美。それらはルイ(黒木メイサ)のこと、岳のこと、亡き妻・冴子のことをよみこんだ花言葉で、貞美のものはなかった。  　ルイは、貞三から貞美の病のことを聞かされ呆然とする。岳には伏せておこうと貞三が話した後、家に岳がいないことに気付き・・・!?  　貞美の病のことを知って動揺したエリカ(石田えり)は貞美のキャンピングカーを訪れた。とりとめもない話をしていたエリカが急に話を止めた。視線の先には貞三がいた。驚きで動けない貞美・・・。そしてエリカが立ち去った後、貞美と貞三は、数年ぶりに言葉を交わした。中井貴一　  黒木メイサ　  神木隆之介　  伊藤蘭　  奥田瑛二　  緒形拳　    ほか【脚本】  倉本聰【演出】  宮本理江子</t>
  </si>
  <si>
    <t>貞三(緒形拳)は、キャンピングカーの中で見たことを確かめるために、札幌の水木(布施博)のクリニックを訪れた。そして貞美(中井貴一)が余命数カ月であることを知る。衝撃を受けた貞三は、その足で義姉・春江(草笛光子)に会いに行く。春江に思いを打ち明ける貞三。  　ガーデンでは、岳(神木隆之介)が貞美に花の講義中だ。岳が花を指さしては教えてくれる花言葉は父・貞三が作ったものだと知り、心動かされる貞美。それらはルイ(黒木メイサ)のこと、岳のこと、亡き妻・冴子のことをよみこんだ花言葉で、貞美のものはなかった。  　ルイは、貞三から貞美の病のことを聞かされ呆然とする。岳には伏せておこうと貞三が話した後、家に岳がいないことに気付き・・・!?  　貞美の病のことを知って動揺したエリカ(石田えり)は貞美のキャンピングカーを訪れた。とりとめもない話をしていたエリカが急に話を止めた。視線の先には貞三がいた。驚きで動けない貞美・・・。そしてエリカが立ち去った後、貞美と貞三は、数年ぶりに言葉を交わした。</t>
  </si>
  <si>
    <t>番組名&lt;木曜劇場&gt;フジテレビ開局50周年記念ドラマ風のガーデン　#10</t>
  </si>
  <si>
    <t>貞三(緒形拳)はルイ(黒木メイサ)に、貞美(中井貴一)を家に呼び戻して家族の時間を取り戻させてやろうと話す。  　眠れない日々を送っていたルイは、エリカ(石田えり)に自分は父親のために何をしたらいいのかわからないと打ち明ける。貞美がルイの花嫁姿を見たかったと言っていたと聞いたエリカは、ルイに結婚式を挙げるふりをしようと持ちかける。無理だと言うルイを説得し、修(平野勇樹)のもとを訪れ、偽の結婚相手を務めてほしいと頼むエリカ。  　キャンピングカーで悪夢にうなされていた貞美を、貞三が起こし、外へ連れ出した。ルイがもうじき結婚するという話をする貞三。貞美に、ガーデンで行う結婚式に出席し、ルイとバージンロードを歩いてほしいと頼んだ。  　貞美はエリカの理容室を訪ね、結婚式用のタキシードを用意してほしいと頼んだ。その時、ラジオから氷室茜(平原綾香)の歌声が流れ出し・・・。  　岳(神木隆之介)は旭川の親戚にしばらく預けられることになった。貞美はさりげなく別れを告げにいくが・・・。中井貴一　  黒木メイサ　  神木隆之介　  伊藤蘭　  奥田瑛二　  緒形拳　    ほか【脚本】  倉本聰【演出】  宮本理江子</t>
  </si>
  <si>
    <t>貞三(緒形拳)はルイ(黒木メイサ)に、貞美(中井貴一)を家に呼び戻して家族の時間を取り戻させてやろうと話す。  　眠れない日々を送っていたルイは、エリカ(石田えり)に自分は父親のために何をしたらいいのかわからないと打ち明ける。貞美がルイの花嫁姿を見たかったと言っていたと聞いたエリカは、ルイに結婚式を挙げるふりをしようと持ちかける。無理だと言うルイを説得し、修(平野勇樹)のもとを訪れ、偽の結婚相手を務めてほしいと頼むエリカ。  　キャンピングカーで悪夢にうなされていた貞美を、貞三が起こし、外へ連れ出した。ルイがもうじき結婚するという話をする貞三。貞美に、ガーデンで行う結婚式に出席し、ルイとバージンロードを歩いてほしいと頼んだ。  　貞美はエリカの理容室を訪ね、結婚式用のタキシードを用意してほしいと頼んだ。その時、ラジオから氷室茜(平原綾香)の歌声が流れ出し・・・。  　岳(神木隆之介)は旭川の親戚にしばらく預けられることになった。貞美はさりげなく別れを告げにいくが・・・。</t>
  </si>
  <si>
    <t>番組名&lt;木曜劇場&gt;フジテレビ開局50周年記念ドラマ風のガーデン　#11</t>
  </si>
  <si>
    <t>花々が咲き乱れるガーデンで、ルイ(黒木メイサ)の結婚式が執り行われた。貞美(中井貴一)は、花嫁の父としてバージンロードを歩いた感動を、妙子(伊藤蘭)へ宛てた手紙にしたためた。  　貞三(緒形拳)の勧めに従い、キャンピングカーを出て、家に戻った貞美は、ルイになつかしい実家の部屋をひとつひとつ案内される。貞美は「もう芝居は止めよう」とルイに微笑みかけた。貞美はルイの結婚式が本物ではないことを知っていながら、その優しさを受け止めていたことを明かす。そして、修(平野勇樹)にキャンピングカーの鍵を渡すようルイに告げる。  　妙子が白鳥医院を訪ねて来た。妙子は貞三に、貞美の面倒を見たいと申し出るが、貞三は、家族みんなで闘っているからと、断る。　痛みが強くなり薬の量を増やしている貞美は、ほとんど眠っている状態ながら、時々目覚めては冗談を言ってルイを笑わせようとする。家のベッドで、貞三とルイに見守られ、思いを打ち明ける貞美・・・。中井貴一　  黒木メイサ　  神木隆之介　  伊藤蘭　  奥田瑛二　  緒形拳　    ほか【脚本】  倉本聰【演出】  宮本理江子</t>
  </si>
  <si>
    <t>花々が咲き乱れるガーデンで、ルイ(黒木メイサ)の結婚式が執り行われた。貞美(中井貴一)は、花嫁の父としてバージンロードを歩いた感動を、妙子(伊藤蘭)へ宛てた手紙にしたためた。  　貞三(緒形拳)の勧めに従い、キャンピングカーを出て、家に戻った貞美は、ルイになつかしい実家の部屋をひとつひとつ案内される。貞美は「もう芝居は止めよう」とルイに微笑みかけた。貞美はルイの結婚式が本物ではないことを知っていながら、その優しさを受け止めていたことを明かす。そして、修(平野勇樹)にキャンピングカーの鍵を渡すようルイに告げる。  　妙子が白鳥医院を訪ねて来た。妙子は貞三に、貞美の面倒を見たいと申し出るが、貞三は、家族みんなで闘っているからと、断る。　痛みが強くなり薬の量を増やしている貞美は、ほとんど眠っている状態ながら、時々目覚めては冗談を言ってルイを笑わせようとする。家のベッドで、貞三とルイに見守られ、思いを打ち明ける貞美・・・。</t>
  </si>
  <si>
    <t>0807_CX_月21</t>
  </si>
  <si>
    <t>太陽と海の教室</t>
  </si>
  <si>
    <t>番組名太陽と海の教室　#01</t>
  </si>
  <si>
    <t>湘南学館に、型破りな教師、櫻井朔太郎(織田裕二)が赴任。  　夏を目の前にした3年1組の仲間、根岸洋貴(岡田将生)、白崎凛久(北乃きい)、田幡八朗(濱田岳)、屋嶋灯里(吉高由里子)、楠木大和(冨浦智嗣)、日垣茂市(鍵本輝)、澤水羽菜(谷村美月)たちは、夜の浜辺に集い、自分たちだけの卒業式をしようと花火を楽しむ。帰り道、凛久と洋貴は他校の生徒に呼び止められた。中心人物の末吉春臣(中村倫也)は、次々と洋貴に用事を命令。さらには、翌日の水泳部対抗戦でわざと負けろと言う。  　翌朝、凛久と洋貴は救助を求める声を聞きつけた。子供が波にさらわれたらしいが、すでに何者かが救助を始めていたのだ。荒波にもまれる男は、子供2人を無事救出。この男こそ、櫻井朔太郎だった。  　体育館では、神谷龍之介理事長(小日向文世)が訓話中。教師の柴草修平(八嶋智人)は3年1組新担任の到着を待っていた。新担任となるはずの榎戸若葉(北川景子)は、校門を駆け抜けたところで、川辺英二(山本裕典)と激突。若葉が声をかけるが、英二は学校を辞めるとあっさり。  　若葉が体育館に入ると、3年1組の担任が発表されようとしていた。しかし、長谷部杏花校長(戸田恵子)が担任に指名したのは櫻井だった。  　早速、櫻井の初授業が始まるのだが、それは進学校の生徒たちが経験したことのないもので…。織田裕二  北川景子  岡田将生  北乃きい  濱田岳  吉高由里子  冨浦智嗣  鍵本輝  谷村美月  山本裕典  八嶋智人  戸田恵子  小日向文世　ほか脚本:坂元裕二演出:若松節朗  　　　谷村政樹  プロデュ―ス:村瀬健服部隆之</t>
  </si>
  <si>
    <t>湘南学館に、型破りな教師、櫻井朔太郎(織田裕二)が赴任。  　夏を目の前にした3年1組の仲間、根岸洋貴(岡田将生)、白崎凛久(北乃きい)、田幡八朗(濱田岳)、屋嶋灯里(吉高由里子)、楠木大和(冨浦智嗣)、日垣茂市(鍵本輝)、澤水羽菜(谷村美月)たちは、夜の浜辺に集い、自分たちだけの卒業式をしようと花火を楽しむ。帰り道、凛久と洋貴は他校の生徒に呼び止められた。中心人物の末吉春臣(中村倫也)は、次々と洋貴に用事を命令。さらには、翌日の水泳部対抗戦でわざと負けろと言う。  　翌朝、凛久と洋貴は救助を求める声を聞きつけた。子供が波にさらわれたらしいが、すでに何者かが救助を始めていたのだ。荒波にもまれる男は、子供2人を無事救出。この男こそ、櫻井朔太郎だった。  　体育館では、神谷龍之介理事長(小日向文世)が訓話中。教師の柴草修平(八嶋智人)は3年1組新担任の到着を待っていた。新担任となるはずの榎戸若葉(北川景子)は、校門を駆け抜けたところで、川辺英二(山本裕典)と激突。若葉が声をかけるが、英二は学校を辞めるとあっさり。  　若葉が体育館に入ると、3年1組の担任が発表されようとしていた。しかし、長谷部杏花校長(戸田恵子)が担任に指名したのは櫻井だった。  　早速、櫻井の初授業が始まるのだが、それは進学校の生徒たちが経験したことのないもので…。</t>
  </si>
  <si>
    <t>番組名太陽と海の教室　#02</t>
  </si>
  <si>
    <t>新担任、櫻井朔太郎(織田裕二)の生徒、屋嶋灯里(吉高由里子)に淫行疑惑が持ち上がる。淫行を糾弾する怪文書が見つかったのだ。その事実はないものの、灯里は高額のプレゼントをもらって7人の男と交際していた。  　灯里に想いを寄せる田幡八朗(濱田岳)や、根岸洋貴(岡田将生)、白崎凛久(北乃きい)、楠木大和(冨浦智嗣)、日垣茂市(鍵本輝)らは、怪文書を教師の目から伏せ、かばおうとする。だが、そんなことはものともせず、櫻井が首を突っ込んでいく。  　灯里に犯人探しを持ちかけられた八朗は、もらったものを返して謝れと勧めるが、灯里は自分の非を認めず立ち去ってしまう。そこに櫻井が現れ、灯里への無償の愛を示してやれと、八朗にラブレタ―を書かせる。  　その頃、神谷龍之介理事長(小日向文世)たちに怪文書が発覚してしまう。自分が書いたと嘘をつく櫻井は、他校に移るようにと神谷から切り出される。　放課後、灯里は交際中の男性の高級車に乗って行ってしまう。一方、凛久や洋貴らは受験勉強のために集ったものの、話は自然と灯里のことに。灯里への想いを断とうとする八朗。そんな彼らの元に櫻井が顔を出した時、八朗の携帯電話が灯里の電話を着信。無視しようとする八朗に、櫻井は灯里への想いがそんなものだったのかと切り込む。ようやく八朗が電話を受けると、悲鳴が聞こえるではないか。八朗は…そして、櫻井は!織田裕二  北川景子  岡田将生  北乃きい  濱田岳  吉高由里子  冨浦智嗣  鍵本輝  谷村美月  山本裕典  八嶋智人  戸田恵子  小日向文世　ほか脚本:坂元裕二演出:若松節朗  　　　谷村政樹  プロデュ―ス:村瀬健服部隆之</t>
  </si>
  <si>
    <t>新担任、櫻井朔太郎(織田裕二)の生徒、屋嶋灯里(吉高由里子)に淫行疑惑が持ち上がる。淫行を糾弾する怪文書が見つかったのだ。その事実はないものの、灯里は高額のプレゼントをもらって7人の男と交際していた。  　灯里に想いを寄せる田幡八朗(濱田岳)や、根岸洋貴(岡田将生)、白崎凛久(北乃きい)、楠木大和(冨浦智嗣)、日垣茂市(鍵本輝)らは、怪文書を教師の目から伏せ、かばおうとする。だが、そんなことはものともせず、櫻井が首を突っ込んでいく。  　灯里に犯人探しを持ちかけられた八朗は、もらったものを返して謝れと勧めるが、灯里は自分の非を認めず立ち去ってしまう。そこに櫻井が現れ、灯里への無償の愛を示してやれと、八朗にラブレタ―を書かせる。  　その頃、神谷龍之介理事長(小日向文世)たちに怪文書が発覚してしまう。自分が書いたと嘘をつく櫻井は、他校に移るようにと神谷から切り出される。　放課後、灯里は交際中の男性の高級車に乗って行ってしまう。一方、凛久や洋貴らは受験勉強のために集ったものの、話は自然と灯里のことに。灯里への想いを断とうとする八朗。そんな彼らの元に櫻井が顔を出した時、八朗の携帯電話が灯里の電話を着信。無視しようとする八朗に、櫻井は灯里への想いがそんなものだったのかと切り込む。ようやく八朗が電話を受けると、悲鳴が聞こえるではないか。八朗は…そして、櫻井は!</t>
  </si>
  <si>
    <t>番組名太陽と海の教室　#03</t>
  </si>
  <si>
    <t>櫻井朔太郎(織田裕二)が担任するクラスの生徒、川辺英二(山本裕典)の成績が3年生になってから急落。理事長の神谷龍之介(小日向文世)は、榎戸若葉(北川景子)に英二へ自分からの手紙を渡してくるようにと依頼する。  　放課後、若葉は根岸洋貴(岡田将生)、白崎凛久(北乃きい)、田幡八朗(濱田岳)に案内をさせて英二の家へ。そこで、意外な英二の姿と生活を知る。　次の日、朔太郎が3年1組で授業を行っていると、昨日英二の家で若葉たちが見た2人の子供が乱入。子供たちを手なずけた朔太郎は、英二に関するあることを聞く。  　その頃、英二は理事長室にいた。神谷は英二への期待を手紙にしたためていたらしい。英二は、手紙に書かれたことを実践し、これからは受験勉強に集中できると話す。  　英二が教室に戻ると、朔太郎の傍らにいた子供たちが駆け寄って行った。その姿を見た朔太郎は、英二を屋上に連れて行く。一緒に来た若葉は、英二の決断を褒めるが、朔太郎は不審に感じている様子。  　英二と子供たちが抱える問題に、またしても首を突っ込んでいく朔太郎。そしてそこに巻き込まれる若葉だが、長谷部杏花(戸田恵子)が持っていた写真から、朔太郎の信じられないような過去を知ることになって…。織田裕二  北川景子  岡田将生  北乃きい  濱田岳  吉高由里子  冨浦智嗣  鍵本輝  谷村美月  山本裕典  八嶋智人  戸田恵子  小日向文世　ほか脚本:坂元裕二演出:若松節朗  　　　谷村政樹  プロデュ―ス:村瀬健服部隆之</t>
  </si>
  <si>
    <t>櫻井朔太郎(織田裕二)が担任するクラスの生徒、川辺英二(山本裕典)の成績が3年生になってから急落。理事長の神谷龍之介(小日向文世)は、榎戸若葉(北川景子)に英二へ自分からの手紙を渡してくるようにと依頼する。  　放課後、若葉は根岸洋貴(岡田将生)、白崎凛久(北乃きい)、田幡八朗(濱田岳)に案内をさせて英二の家へ。そこで、意外な英二の姿と生活を知る。　次の日、朔太郎が3年1組で授業を行っていると、昨日英二の家で若葉たちが見た2人の子供が乱入。子供たちを手なずけた朔太郎は、英二に関するあることを聞く。  　その頃、英二は理事長室にいた。神谷は英二への期待を手紙にしたためていたらしい。英二は、手紙に書かれたことを実践し、これからは受験勉強に集中できると話す。  　英二が教室に戻ると、朔太郎の傍らにいた子供たちが駆け寄って行った。その姿を見た朔太郎は、英二を屋上に連れて行く。一緒に来た若葉は、英二の決断を褒めるが、朔太郎は不審に感じている様子。  　英二と子供たちが抱える問題に、またしても首を突っ込んでいく朔太郎。そしてそこに巻き込まれる若葉だが、長谷部杏花(戸田恵子)が持っていた写真から、朔太郎の信じられないような過去を知ることになって…。</t>
  </si>
  <si>
    <t>番組名太陽と海の教室　#04</t>
  </si>
  <si>
    <t>ピアノでの大学推薦を得られる演奏会に出場予定の櫻井朔太郎(織田裕二)が担任をする3年1組の生徒、三崎雅行(中村優一)が“湘南海岸高校対抗ビ―チバレ―大会"に出場すると言い出す。廃部寸前のバレ―部のために選手を募った朔太郎は大喜びだが、雅行の出場希望にはある理由があった。  　一方、幼馴染の根岸洋貴(岡田将生)と白崎凛久(北乃きい)は、微妙な関係。その凛久を雅行がビ―チバレ―のペアに誘う。この指名に貴林優奈(黒瀬真奈美)が反応して練習要員に名乗りを上げる。雅行と優奈の関係は誰もが認めるところ。だが最近、雅行は優奈を避け、凛久に接近していた。もうひとりの練習要員として、洋貴も加わった。  　4人は練習を始めるが、何ともギクシャクしっぱなし。そんな時、優奈がアタックしたボ―ルが凛久の顔面を直撃。非難する雅行に、優奈はどうして凛久とペアを組むのかと聞く。すると、雅行は凛久が好きだからとあっさり告白。ショックを受けた優奈は、泣きながら去ってしまう。と、そこに、赤木保則(池田鉄洋)がやって来た。音楽室に戻り、ピアノに専念するよう雅行を説得する赤木を朔太郎、若葉(北川景子)、凛久が見守る。だが、雅行は今やりたいことはバレ―だと話して、出て行ってしまった。  　朔太郎と凛久が海岸に行くと、雅行が1人でバレ―の練習をしていた。せっかくピアノで推薦を受けられるのにと雅行を心配する凛久に、朔太郎は…。織田裕二  北川景子  岡田将生  北乃きい  濱田岳  吉高由里子  冨浦智嗣  鍵本輝  谷村美月  山本裕典  八嶋智人  戸田恵子  小日向文世　ほか脚本:坂元裕二演出:若松節朗  　　　谷村政樹  プロデュ―ス:村瀬健服部隆之</t>
  </si>
  <si>
    <t>ピアノでの大学推薦を得られる演奏会に出場予定の櫻井朔太郎(織田裕二)が担任をする3年1組の生徒、三崎雅行(中村優一)が“湘南海岸高校対抗ビ―チバレ―大会"に出場すると言い出す。廃部寸前のバレ―部のために選手を募った朔太郎は大喜びだが、雅行の出場希望にはある理由があった。  　一方、幼馴染の根岸洋貴(岡田将生)と白崎凛久(北乃きい)は、微妙な関係。その凛久を雅行がビ―チバレ―のペアに誘う。この指名に貴林優奈(黒瀬真奈美)が反応して練習要員に名乗りを上げる。雅行と優奈の関係は誰もが認めるところ。だが最近、雅行は優奈を避け、凛久に接近していた。もうひとりの練習要員として、洋貴も加わった。  　4人は練習を始めるが、何ともギクシャクしっぱなし。そんな時、優奈がアタックしたボ―ルが凛久の顔面を直撃。非難する雅行に、優奈はどうして凛久とペアを組むのかと聞く。すると、雅行は凛久が好きだからとあっさり告白。ショックを受けた優奈は、泣きながら去ってしまう。と、そこに、赤木保則(池田鉄洋)がやって来た。音楽室に戻り、ピアノに専念するよう雅行を説得する赤木を朔太郎、若葉(北川景子)、凛久が見守る。だが、雅行は今やりたいことはバレ―だと話して、出て行ってしまった。  　朔太郎と凛久が海岸に行くと、雅行が1人でバレ―の練習をしていた。せっかくピアノで推薦を受けられるのにと雅行を心配する凛久に、朔太郎は…。</t>
  </si>
  <si>
    <t>番組名太陽と海の教室　#05</t>
  </si>
  <si>
    <t>櫻井朔太郎(織田裕二)が担任する3年1組の優等生、澤水羽菜(谷村美月)と楠木大和(冨浦智嗣)が恋に落ちた。だが、心を通わせたと同時に、微妙なすれ違いも始まる。自分の心に一段落つけたとク―ルな大和に対し、羽菜は恋のスタ―トで受験勉強に対して感じていた疑問が一気に膨れ上がっていく。  　次の日、模試でトップテンに入った羽菜は全校集会のスピ―チをさせられる。スピ―チ用の原稿は、柴草修平(八嶋智人)から渡された。しかし、壇上に立った羽菜は渡された原稿を読まず、自分の言葉で勉強への疑問を問い始める。教師陣の制止も無視して、次々と疑問をぶつける羽菜。異変に気づいた根岸洋貴(岡田将生)たちも、羽菜を止めるよう側にいた朔太郎に頼む。だが、朔太郎は生徒たちに話を聞けと促し、壇上から強制的に降ろされる羽菜にただ1人で大拍手を送る。　この日から、羽菜は朔太郎と長谷部杏花校長(戸田恵子)の擁護とは裏腹に、神谷龍之介理事長(小日向文世)たちから異端視扱いされてしまう。それでも、羽菜は清々した様子。逆に、羽菜は大和との恋を進めようとする。だが、大和には羽菜の一連の行為が理解出来なかった。そんな2人を見つめる朔太郎は…。そんな時、杏花が懸念する学園の問題も、ついに公になろうとしていた。織田裕二  北川景子  岡田将生  北乃きい  濱田岳  吉高由里子  冨浦智嗣  鍵本輝  谷村美月  山本裕典  八嶋智人  戸田恵子  小日向文世　ほか脚本:坂元裕二演出:若松節朗  　　　谷村政樹  プロデュ―ス:村瀬健服部隆之</t>
  </si>
  <si>
    <t>櫻井朔太郎(織田裕二)が担任する3年1組の優等生、澤水羽菜(谷村美月)と楠木大和(冨浦智嗣)が恋に落ちた。だが、心を通わせたと同時に、微妙なすれ違いも始まる。自分の心に一段落つけたとク―ルな大和に対し、羽菜は恋のスタ―トで受験勉強に対して感じていた疑問が一気に膨れ上がっていく。  　次の日、模試でトップテンに入った羽菜は全校集会のスピ―チをさせられる。スピ―チ用の原稿は、柴草修平(八嶋智人)から渡された。しかし、壇上に立った羽菜は渡された原稿を読まず、自分の言葉で勉強への疑問を問い始める。教師陣の制止も無視して、次々と疑問をぶつける羽菜。異変に気づいた根岸洋貴(岡田将生)たちも、羽菜を止めるよう側にいた朔太郎に頼む。だが、朔太郎は生徒たちに話を聞けと促し、壇上から強制的に降ろされる羽菜にただ1人で大拍手を送る。　この日から、羽菜は朔太郎と長谷部杏花校長(戸田恵子)の擁護とは裏腹に、神谷龍之介理事長(小日向文世)たちから異端視扱いされてしまう。それでも、羽菜は清々した様子。逆に、羽菜は大和との恋を進めようとする。だが、大和には羽菜の一連の行為が理解出来なかった。そんな2人を見つめる朔太郎は…。そんな時、杏花が懸念する学園の問題も、ついに公になろうとしていた。</t>
  </si>
  <si>
    <t>番組名太陽と海の教室　#06</t>
  </si>
  <si>
    <t>櫻井朔太郎(織田裕二)が教師を務める湘南学館で、ある問題が明らかになろうとしていた。  　榎戸若葉(北川景子)は、柴草修平(八嶋智人)から聞いてしまった湘南学館が抱える問題について、その真偽を校長であり母でもある長谷部杏花(戸田恵子)に尋ねる。すると杏花は、問題が事実であることを認め、辞任覚悟でそのことを教育委員会に告発するつもりだと若葉に言う。そして、自分がいなくなった後の残された生徒たちを託すために朔太郎を呼んだと告げた。  　そんなある日、白崎凛久(北乃きい)はホ―ムル―ムで、学校伝統の祭り、日輪祭の実行委員長に選ばれる。迷惑がる凛久に、朔太郎は全てを任せると言う。その時、いきなり船木真由(前田敦子)が立ち上がり、あと39時間で地球が滅亡すると言い出し、悲鳴を上げて教室から出て行ってしまった。凛久は、真由が騒いだ時に落ちた本屋のレシ―トを拾い、買った本の題名に驚く。  　校庭に出た真由は、白線で円を書き、その中に寝そべった。朔太郎が話しかけると、真由は自分が気持ち悪くてブスだと両親から毎日言われていると語り、今の両親が本当の両親ではないと真由は続けた。  　言葉どおり、真由の両親は里親だった。真由の家を訪ねた朔太郎と若葉は、両親から意外なことを聞かされる。織田裕二  北川景子  岡田将生  北乃きい  濱田岳  吉高由里子  冨浦智嗣  鍵本輝  谷村美月  山本裕典  八嶋智人  戸田恵子  小日向文世　ほか脚本:坂元裕二演出:若松節朗  　　　谷村政樹  プロデュ―ス:村瀬健服部隆之</t>
  </si>
  <si>
    <t>櫻井朔太郎(織田裕二)が教師を務める湘南学館で、ある問題が明らかになろうとしていた。  　榎戸若葉(北川景子)は、柴草修平(八嶋智人)から聞いてしまった湘南学館が抱える問題について、その真偽を校長であり母でもある長谷部杏花(戸田恵子)に尋ねる。すると杏花は、問題が事実であることを認め、辞任覚悟でそのことを教育委員会に告発するつもりだと若葉に言う。そして、自分がいなくなった後の残された生徒たちを託すために朔太郎を呼んだと告げた。  　そんなある日、白崎凛久(北乃きい)はホ―ムル―ムで、学校伝統の祭り、日輪祭の実行委員長に選ばれる。迷惑がる凛久に、朔太郎は全てを任せると言う。その時、いきなり船木真由(前田敦子)が立ち上がり、あと39時間で地球が滅亡すると言い出し、悲鳴を上げて教室から出て行ってしまった。凛久は、真由が騒いだ時に落ちた本屋のレシ―トを拾い、買った本の題名に驚く。  　校庭に出た真由は、白線で円を書き、その中に寝そべった。朔太郎が話しかけると、真由は自分が気持ち悪くてブスだと両親から毎日言われていると語り、今の両親が本当の両親ではないと真由は続けた。  　言葉どおり、真由の両親は里親だった。真由の家を訪ねた朔太郎と若葉は、両親から意外なことを聞かされる。</t>
  </si>
  <si>
    <t>番組名太陽と海の教室　#07</t>
  </si>
  <si>
    <t>櫻井朔太郎(織田裕二)は、榎戸若葉(北川景子)が発見した3年1組の生徒による書き込みと思われるネット掲示板の自殺予告が気になっていた。一方、次原雪乃(大政絢)に一緒に死んで欲しいと懇願された田幡八朗(濱田岳)は、思いとどまるよう説得。その結果、雪乃を裏切らないこと、自殺しようとしたことを誰にも話さないことを約束させられ交際することになる。  　2学期がスタ―トすると、朔太郎は掲示板にあった書き込みのことを生徒たちに話し、アンケ―トを募ろうとする。だが、それは神谷龍之介理事長(小日向文世)に阻止され、担任が若葉に代わることも生徒に宣言されてしまう。カリキュラムの問題で神谷に逆らった朔太郎は、担任を外されてしまった。  　放課後、屋嶋灯里(吉高由里子)は八朗と一緒に帰ろうとした。だが、雪乃に呼び出されていた八朗は、灯里を避けてしまう。校門では朔太郎が、生徒に掲示板のプリントアウトを見せて情報を募っていた。  　その夜、若葉は会議室で朔太郎を見かける。朔太郎はプロバイダ―から自殺予告の発信元をつきとめようとしていた。何も問題はないようだと生徒たちのアンケ―トを渡す若葉は、次の対策を促す。  　朔太郎は家庭訪問を始めたが、保護者の間で問題に。理事長室に呼ばれた朔太郎は、学内の清掃を命じられてしまう。一方、雪乃と行動をともにしていた八朗は、雪乃と歩いている姿を灯里に見られてしまい…。織田裕二  北川景子  岡田将生  北乃きい  濱田岳  吉高由里子  冨浦智嗣  鍵本輝  谷村美月  山本裕典  八嶋智人  戸田恵子  小日向文世　ほか脚本:坂元裕二演出:永山耕三  プロデュ―ス:村瀬健服部隆之</t>
  </si>
  <si>
    <t>櫻井朔太郎(織田裕二)は、榎戸若葉(北川景子)が発見した3年1組の生徒による書き込みと思われるネット掲示板の自殺予告が気になっていた。一方、次原雪乃(大政絢)に一緒に死んで欲しいと懇願された田幡八朗(濱田岳)は、思いとどまるよう説得。その結果、雪乃を裏切らないこと、自殺しようとしたことを誰にも話さないことを約束させられ交際することになる。  　2学期がスタ―トすると、朔太郎は掲示板にあった書き込みのことを生徒たちに話し、アンケ―トを募ろうとする。だが、それは神谷龍之介理事長(小日向文世)に阻止され、担任が若葉に代わることも生徒に宣言されてしまう。カリキュラムの問題で神谷に逆らった朔太郎は、担任を外されてしまった。  　放課後、屋嶋灯里(吉高由里子)は八朗と一緒に帰ろうとした。だが、雪乃に呼び出されていた八朗は、灯里を避けてしまう。校門では朔太郎が、生徒に掲示板のプリントアウトを見せて情報を募っていた。  　その夜、若葉は会議室で朔太郎を見かける。朔太郎はプロバイダ―から自殺予告の発信元をつきとめようとしていた。何も問題はないようだと生徒たちのアンケ―トを渡す若葉は、次の対策を促す。  　朔太郎は家庭訪問を始めたが、保護者の間で問題に。理事長室に呼ばれた朔太郎は、学内の清掃を命じられてしまう。一方、雪乃と行動をともにしていた八朗は、雪乃と歩いている姿を灯里に見られてしまい…。</t>
  </si>
  <si>
    <t>番組名太陽と海の教室　#08</t>
  </si>
  <si>
    <t>櫻井朔太郎(織田裕二)は、次原雪乃(大政絢)をかばって負傷。逃げる雪乃は、田幡八朗(濱田岳)、榎戸若葉(北川景子)と柴草修平(八嶋智人)に保護された。  　翌日、八朗は屋嶋灯里(吉高由里子)に雪乃との事情を打ち明ける。一方、雪乃のマンションを訪れた朔太郎に、両親は、雪乃を転校させると話す。転校は、神谷龍之介理事長(小日向文世)の勧めでもあった。  　朔太郎は神谷に雪乃の転校反対を訴えるが、神谷は、雪乃をカウンセリングのプロに任せるべきだと主張。朔太郎は、その発言が本気ならここはもはや学校ではないと反論するが、神谷は聞く耳を持たない。一方、雪乃の荷物を整理していた若葉は、その中にアンデルセンの『人魚姫』が収録された本を見つける。  　八朗が朔太郎と雪乃のことを話していると、根岸洋貴(岡田将生)、白崎凛久(北乃きい)、灯里たちが来た。灯里から事情を聞いた洋貴は八朗に謝り、仲間たちは和解。その時、自分たちの思い出を作れないかと提案する八朗の言葉に、凛久は日輪祭の存在を思い出す。そんな中、八朗は改めて灯里から告白された。  　一方、電話連絡のつかない雪乃に手紙を書き続けていた朔太郎に封書が届く。中には、朔太郎が雪乃に書いた手紙が粉々になって入っていた。雪乃を案じた朔太郎は、雪乃の実家へと向かう。その頃、灯里にアイスの当たりを交換するよう頼まれ、ひとりで店に向かった八朗の携帯が鳴って…。織田裕二  北川景子  岡田将生  北乃きい  濱田岳  吉高由里子  冨浦智嗣  鍵本輝  谷村美月  山本裕典  八嶋智人  戸田恵子  小日向文世　ほか脚本:坂元裕二演出:谷村政樹  プロデュ―ス:村瀬健服部隆之</t>
  </si>
  <si>
    <t>櫻井朔太郎(織田裕二)は、次原雪乃(大政絢)をかばって負傷。逃げる雪乃は、田幡八朗(濱田岳)、榎戸若葉(北川景子)と柴草修平(八嶋智人)に保護された。  　翌日、八朗は屋嶋灯里(吉高由里子)に雪乃との事情を打ち明ける。一方、雪乃のマンションを訪れた朔太郎に、両親は、雪乃を転校させると話す。転校は、神谷龍之介理事長(小日向文世)の勧めでもあった。  　朔太郎は神谷に雪乃の転校反対を訴えるが、神谷は、雪乃をカウンセリングのプロに任せるべきだと主張。朔太郎は、その発言が本気ならここはもはや学校ではないと反論するが、神谷は聞く耳を持たない。一方、雪乃の荷物を整理していた若葉は、その中にアンデルセンの『人魚姫』が収録された本を見つける。  　八朗が朔太郎と雪乃のことを話していると、根岸洋貴(岡田将生)、白崎凛久(北乃きい)、灯里たちが来た。灯里から事情を聞いた洋貴は八朗に謝り、仲間たちは和解。その時、自分たちの思い出を作れないかと提案する八朗の言葉に、凛久は日輪祭の存在を思い出す。そんな中、八朗は改めて灯里から告白された。  　一方、電話連絡のつかない雪乃に手紙を書き続けていた朔太郎に封書が届く。中には、朔太郎が雪乃に書いた手紙が粉々になって入っていた。雪乃を案じた朔太郎は、雪乃の実家へと向かう。その頃、灯里にアイスの当たりを交換するよう頼まれ、ひとりで店に向かった八朗の携帯が鳴って…。</t>
  </si>
  <si>
    <t>番組名太陽と海の教室　#09</t>
  </si>
  <si>
    <t>櫻井朔太郎(織田裕二)の願いもむなしく、田幡八朗(濱田岳)は亡骸となって港に戻ってきた。根岸洋貴(岡田将生)、白崎凛久(北乃きい)、楠木大和(冨浦智嗣)、日垣茂市(鍵本輝)、澤水羽菜(谷村美月)、川辺英二(山本裕典)らも八朗の死に言葉を失う。  　朔太郎は、海岸でひとり八朗を待つ屋嶋灯里(吉高由里子)の元へ行く。しかし、灯里は八朗の死を容易に受け入れることが出来ない。朔太郎は、警察署の霊安室に灯里を連れて行くが、灯里は八朗の顔をまともに見ることが出来ずにその場を去ってしまう。  　家に帰ったはずの灯里は公園にいた。ひとりぼんやりしている灯里を見かけた洋貴は声をかけるが、灯里から思いがけない言葉が返ってきて、思わず言葉を失う。  　次の日、朔太郎は雪乃(大政絢)の病室を訪ね、雪乃とともに八朗の家に行く。八朗の部屋に入った朔太郎は、そこで雪乃に命の意味を訴える。　一方、湘南学館では神谷龍之介(小日向文世)がねじ伏せた未履修問題について、マスコミからの問い合わせが入る。  　その頃、朔太郎と長谷部杏花(戸田恵子)が、雪乃の母親に、雪乃を湘南学館に残すことを提案。話を終えた朔太郎が、教室で待つ雪乃を呼びに行こうとすると、凛久たちから電話が。凛久は、灯里が八朗の死を信じていないと朔太郎に告げ、さらに洋貴は、公園で聞いた灯里の言葉を教えた。朔太郎は、教室へと急ぐ。織田裕二  北川景子  岡田将生  北乃きい  濱田岳  吉高由里子  冨浦智嗣  鍵本輝  谷村美月  山本裕典  八嶋智人  戸田恵子  小日向文世　ほか【脚本】坂元裕二【演出】永山耕三  【プロデュ―ス】村瀬健服部隆之</t>
  </si>
  <si>
    <t>櫻井朔太郎(織田裕二)の願いもむなしく、田幡八朗(濱田岳)は亡骸となって港に戻ってきた。根岸洋貴(岡田将生)、白崎凛久(北乃きい)、楠木大和(冨浦智嗣)、日垣茂市(鍵本輝)、澤水羽菜(谷村美月)、川辺英二(山本裕典)らも八朗の死に言葉を失う。  　朔太郎は、海岸でひとり八朗を待つ屋嶋灯里(吉高由里子)の元へ行く。しかし、灯里は八朗の死を容易に受け入れることが出来ない。朔太郎は、警察署の霊安室に灯里を連れて行くが、灯里は八朗の顔をまともに見ることが出来ずにその場を去ってしまう。  　家に帰ったはずの灯里は公園にいた。ひとりぼんやりしている灯里を見かけた洋貴は声をかけるが、灯里から思いがけない言葉が返ってきて、思わず言葉を失う。  　次の日、朔太郎は雪乃(大政絢)の病室を訪ね、雪乃とともに八朗の家に行く。八朗の部屋に入った朔太郎は、そこで雪乃に命の意味を訴える。　一方、湘南学館では神谷龍之介(小日向文世)がねじ伏せた未履修問題について、マスコミからの問い合わせが入る。  　その頃、朔太郎と長谷部杏花(戸田恵子)が、雪乃の母親に、雪乃を湘南学館に残すことを提案。話を終えた朔太郎が、教室で待つ雪乃を呼びに行こうとすると、凛久たちから電話が。凛久は、灯里が八朗の死を信じていないと朔太郎に告げ、さらに洋貴は、公園で聞いた灯里の言葉を教えた。朔太郎は、教室へと急ぐ。</t>
  </si>
  <si>
    <t>番組名太陽と海の教室　#10</t>
  </si>
  <si>
    <t>櫻井朔太郎(織田裕二)の願いも虚しく海に散った田幡八朗(濱田岳)。その悲しみも癒えぬうち、湘南学館に激震が走る。ついに履修不足問題が表面化し、学園に調査委員会が乗り込んできたのだ。朔太郎は長谷部杏花校長(戸田恵子)とともに、あらかじめ作成しておいた補習計画表を理事長の神谷龍之介(小日向文世)に提出。だが、神谷は受験終了後に未履修教科のレポ―トを提出することで生徒たちの卒業を認めてくれるよう調査委員会に要請したと言い、その提案を退ける。朔太郎は、生徒たちを不正に巻き込むつもりかと反対するのだが、当の生徒たちも神谷の考えに賛成。受験を最優先することに迷いはない様子。だが、根岸洋貴(岡田将生)、澤水羽菜(谷村美月)と屋嶋灯里(吉高由里子)だけは朔太郎に賛成する。納得できない白崎凛久(北乃きい)に、洋貴は八朗のことを考えたのだと告げた。それは灯里も同じだった。  　文部科学省への直談判を促す榎戸若葉(北川景子)の提案をよそに、朔太郎が1人で放課後の補習授業を始めると、そこに意外な協力者が現れる。それはなんと、柴草修平(八嶋智人)だった。生徒たちより先に、立ち上がる教師たち。そんな時、朔太郎は辞表を持って来るようにと神谷に呼ばれる。湘南学館を辞するよう告げる神谷に、頑として受け付けようとしない朔太郎。すると、神谷は自身の生徒たち、教育への思いを語りだす。そんな神谷に、朔太郎は…。織田裕二  北川景子  岡田将生  北乃きい  濱田岳  吉高由里子  冨浦智嗣  鍵本輝  谷村美月  山本裕典  八嶋智人  戸田恵子  小日向文世　ほか【脚本】坂元裕二【演出】若松節朗  【プロデュ―ス】村瀬健服部隆之</t>
  </si>
  <si>
    <t>櫻井朔太郎(織田裕二)の願いも虚しく海に散った田幡八朗(濱田岳)。その悲しみも癒えぬうち、湘南学館に激震が走る。ついに履修不足問題が表面化し、学園に調査委員会が乗り込んできたのだ。朔太郎は長谷部杏花校長(戸田恵子)とともに、あらかじめ作成しておいた補習計画表を理事長の神谷龍之介(小日向文世)に提出。だが、神谷は受験終了後に未履修教科のレポ―トを提出することで生徒たちの卒業を認めてくれるよう調査委員会に要請したと言い、その提案を退ける。朔太郎は、生徒たちを不正に巻き込むつもりかと反対するのだが、当の生徒たちも神谷の考えに賛成。受験を最優先することに迷いはない様子。だが、根岸洋貴(岡田将生)、澤水羽菜(谷村美月)と屋嶋灯里(吉高由里子)だけは朔太郎に賛成する。納得できない白崎凛久(北乃きい)に、洋貴は八朗のことを考えたのだと告げた。それは灯里も同じだった。  　文部科学省への直談判を促す榎戸若葉(北川景子)の提案をよそに、朔太郎が1人で放課後の補習授業を始めると、そこに意外な協力者が現れる。それはなんと、柴草修平(八嶋智人)だった。生徒たちより先に、立ち上がる教師たち。そんな時、朔太郎は辞表を持って来るようにと神谷に呼ばれる。湘南学館を辞するよう告げる神谷に、頑として受け付けようとしない朔太郎。すると、神谷は自身の生徒たち、教育への思いを語りだす。そんな神谷に、朔太郎は…。</t>
  </si>
  <si>
    <t>0807_CX_火21</t>
  </si>
  <si>
    <t>シバトラ</t>
  </si>
  <si>
    <t>番組名シバトラ～童顔刑事・柴田竹虎～　#01</t>
  </si>
  <si>
    <t>ある雨の日の横浜・繁華街――。その路地裏で、柴田竹虎(小池徹平)は、ヤンキ―に金をせびられていた。すると、そこへスク―タ―が投げ込まれる。驚いたヤンキ―が見ると、男が立っている――藤木小次郎(藤木直人)だ。小次郎はヤンキ―にお前らを救ってやったんだと、竹虎のレインコ―トを脱がす。あらわになったのは、警察の制服。竹虎は、警察官なのだ。竹虎は、自分を助けた小次郎をスク―タ―の窃盗と器物損壊の容疑で逮捕し派出所へ連行する。そして、調書をまとめていると、突然、巡査部長・木下満男(今田耕司)から辞令を渡される。なんと、刑事として「横浜みなみ署生活安全課少年係」への配属が命じられたのだ。その日の夕方、小次郎がオ―ナ―の古着店で、竹虎の刑事就任を祝う会が催される。するとそこへ、刑務所から出てきたばかりの白豚(塚地武雅)がやってくる。白豚は初対面の竹虎が刑事だと知ると悪態をつく。そんな中、竹虎は古着店にいた客・宝生美月(大後寿々花)が万引きするのを目撃。店を出ようとする美月の腕を掴むが、逃げられてしまう。翌日、「横浜みなみ署」に初出勤した竹虎は、先輩刑事・新庄徹(宮川大輔)や、交通課の巡査・鮎川環(南明奈)らと出会う。そんなとき、竹虎の背後からふいに女性の声がする。竹虎が振り向くと、女性は竹虎に銃を突きつけていた。その人こそ、少年係の“要注意人物"とされる係長・千葉さくら(真矢みき)だった。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</si>
  <si>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ある雨の日の横浜・繁華街――。その路地裏で、柴田竹虎(小池徹平)は、ヤンキ―に金をせびられていた。すると、そこへスク―タ―が投げ込まれる。驚いたヤンキ―が見ると、男が立っている――藤木小次郎(藤木直人)だ。小次郎はヤンキ―にお前らを救ってやったんだと、竹虎のレインコ―トを脱がす。あらわになったのは、警察の制服。竹虎は、警察官なのだ。竹虎は、自分を助けた小次郎をスク―タ―の窃盗と器物損壊の容疑で逮捕し派出所へ連行する。そして、調書をまとめていると、突然、巡査部長・木下満男(今田耕司)から辞令を渡される。なんと、刑事として「横浜みなみ署生活安全課少年係」への配属が命じられたのだ。その日の夕方、小次郎がオ―ナ―の古着店で、竹虎の刑事就任を祝う会が催される。するとそこへ、刑務所から出てきたばかりの白豚(塚地武雅)がやってくる。白豚は初対面の竹虎が刑事だと知ると悪態をつく。そんな中、竹虎は古着店にいた客・宝生美月(大後寿々花)が万引きするのを目撃。店を出ようとする美月の腕を掴むが、逃げられてしまう。翌日、「横浜みなみ署」に初出勤した竹虎は、先輩刑事・新庄徹(宮川大輔)や、交通課の巡査・鮎川環(南明奈)らと出会う。そんなとき、竹虎の背後からふいに女性の声がする。竹虎が振り向くと、女性は竹虎に銃を突きつけていた。その人こそ、少年係の“要注意人物"とされる係長・千葉さくら(真矢みき)だった。</t>
  </si>
  <si>
    <t>番組名シバトラ～童顔刑事・柴田竹虎～　#02</t>
  </si>
  <si>
    <t>柴田竹虎(小池徹平)は千葉さくら(真矢みき)の指示で、宝生美月(大後寿々花)も通う本牧高校2年B組に潜入。最近、中高生を使い事件を起こしている「鬼神」と呼ばれる者が、2年B組の生徒かもしれないという情報を受けての捜査だ。「鬼神」が送る犯罪指令メ―ルが、本牧高校のサ―バ―を経由していると聞き調べると、楠木裕二(川野直輝)という生徒が頻繁にパソコンを使用していることがわかる。  　そして、美月が楠木が使っていたパソコンを調べると「我々の未来を奪う大人には死の制裁を!」という文字が書かれた裏サイトが現れる。それにピンと来た竹虎は、楠木の家を訪ねる。  　竹虎が通された楠木の部屋を物色していると、楠木が現れ刑事がなぜ部屋をあさるのかと問い詰める。竹虎は、なぜ自分が刑事だと知っているのかと尋ねると、楠木は「鬼神サイト」に美月の事件現場の写真があり、そこに刑事の新庄徹(宮川大輔)と一緒に竹虎が写っていたと言う。楠木は新庄のせいで人生を狂わされたと話す。新庄に万引き容疑で逮捕されたことで、楠木は名門校を退学させられたのだ。  　帰り道、竹虎はフルフェイスの集団に襲われる。武器を手に襲い掛かってくる男たちを、竹虎は次々と倒していく。すると、そこに藤木小次郎(藤木直人)と白豚(塚地武雅)が助っ人に入る。小次郎がその中のひとりを捕まえてヘルメットを取ると、2年B組の生徒の顔があらわになり…。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</si>
  <si>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柴田竹虎(小池徹平)は千葉さくら(真矢みき)の指示で、宝生美月(大後寿々花)も通う本牧高校2年B組に潜入。最近、中高生を使い事件を起こしている「鬼神」と呼ばれる者が、2年B組の生徒かもしれないという情報を受けての捜査だ。「鬼神」が送る犯罪指令メ―ルが、本牧高校のサ―バ―を経由していると聞き調べると、楠木裕二(川野直輝)という生徒が頻繁にパソコンを使用していることがわかる。  　そして、美月が楠木が使っていたパソコンを調べると「我々の未来を奪う大人には死の制裁を!」という文字が書かれた裏サイトが現れる。それにピンと来た竹虎は、楠木の家を訪ねる。  　竹虎が通された楠木の部屋を物色していると、楠木が現れ刑事がなぜ部屋をあさるのかと問い詰める。竹虎は、なぜ自分が刑事だと知っているのかと尋ねると、楠木は「鬼神サイト」に美月の事件現場の写真があり、そこに刑事の新庄徹(宮川大輔)と一緒に竹虎が写っていたと言う。楠木は新庄のせいで人生を狂わされたと話す。新庄に万引き容疑で逮捕されたことで、楠木は名門校を退学させられたのだ。  　帰り道、竹虎はフルフェイスの集団に襲われる。武器を手に襲い掛かってくる男たちを、竹虎は次々と倒していく。すると、そこに藤木小次郎(藤木直人)と白豚(塚地武雅)が助っ人に入る。小次郎がその中のひとりを捕まえてヘルメットを取ると、2年B組の生徒の顔があらわになり…。</t>
  </si>
  <si>
    <t>番組名シバトラ～童顔刑事・柴田竹虎～　#03</t>
  </si>
  <si>
    <t>本牧高校に潜入中の柴田竹虎(小池徹平)は、停学から復帰したばかりで孤立する武良広海(鈴木亮平)が気になっていた。そんなとき、パソコンで「鬼神」の掲示板を見ていた生徒たちが、元担任で武良と懇意だった溝口(唐渡亮)の話題を口にする。すると突然、武良は生徒たちを殴る。竹虎は、武良の停学の理由が学年主任と体育教師を殴ったからだと聞く。  　その夜、古着店では藤木小次郎(藤木直人)と白豚(塚地武雅)が「鬼神」を探し出す方法を模索していた。  　翌朝、黒板に「鬼神は武良!」と書かれた文字を見た武良は、自分が「鬼神」ならかっこいいだろうとうそぶく。  　その頃、横浜みなみ署では、新庄徹(宮川大輔)がガサ入れに竹虎を伴いたいと、千葉さくら(真矢みき)に所在を尋ねるが、はぐらかされる。それを聞いた鮎川環(南明奈)は、爆破事件のとき学生服姿の竹虎が高校の屋上にいたことを思い出す。　一方、竹虎は美月(大後寿々花)から、幼い頃に両親を亡くした武良が高校で出会った溝口を親のように慕っていたが、突然、溝口が高校を辞めて以来、再び素行が悪くなったのだと聞く。そんな折、生徒たちは武良が「鬼神」である証拠を見つけたという。武良の机から見つけたというメモには、学年主任、体育教師、そして、溝口とタ―ゲットの名前が書かれていて・・・。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</si>
  <si>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本牧高校に潜入中の柴田竹虎(小池徹平)は、停学から復帰したばかりで孤立する武良広海(鈴木亮平)が気になっていた。そんなとき、パソコンで「鬼神」の掲示板を見ていた生徒たちが、元担任で武良と懇意だった溝口(唐渡亮)の話題を口にする。すると突然、武良は生徒たちを殴る。竹虎は、武良の停学の理由が学年主任と体育教師を殴ったからだと聞く。  　その夜、古着店では藤木小次郎(藤木直人)と白豚(塚地武雅)が「鬼神」を探し出す方法を模索していた。  　翌朝、黒板に「鬼神は武良!」と書かれた文字を見た武良は、自分が「鬼神」ならかっこいいだろうとうそぶく。  　その頃、横浜みなみ署では、新庄徹(宮川大輔)がガサ入れに竹虎を伴いたいと、千葉さくら(真矢みき)に所在を尋ねるが、はぐらかされる。それを聞いた鮎川環(南明奈)は、爆破事件のとき学生服姿の竹虎が高校の屋上にいたことを思い出す。　一方、竹虎は美月(大後寿々花)から、幼い頃に両親を亡くした武良が高校で出会った溝口を親のように慕っていたが、突然、溝口が高校を辞めて以来、再び素行が悪くなったのだと聞く。そんな折、生徒たちは武良が「鬼神」である証拠を見つけたという。武良の机から見つけたというメモには、学年主任、体育教師、そして、溝口とタ―ゲットの名前が書かれていて・・・。</t>
  </si>
  <si>
    <t>番組名シバトラ～童顔刑事・柴田竹虎～　#04</t>
  </si>
  <si>
    <t>柴田竹虎(小池徹平)は、宝生美月(大後寿々花)と鬼神からのメ―ルを読み返していた。鬼神は2年B組全員に千手峠まで来るよう指示、そこで自分の正体を明かすという。それを見た藤木小次郎(藤木直人)と白豚(塚地武雅)は鬼神の正体について推測するが、竹虎は千手峠に来ないよう念を押す。  翌朝、千手峠へ向うバスに乗るために、生徒たちが集まり始める。河東学人(大東俊介)と武良広海(鈴木亮平)がいがみ合い、そのうち河東が道路に突き飛ばされる。そこへ、大型車が。竹虎が飛び込み河東を抱えて避難し、事なきを得るが、河東は武良を睨みつける。  その後、竹虎らは鬼神が指定した廃屋に着く。中に入ると「助けを呼んだ者には、死の制裁を!」というメッセ―ジが壁に書かれていた。そんな中、武良がそこに美月がいないことに気づく。  竹虎らは付近を捜索し、倒れている美月を見つける。周囲には鬼神の手下と思われるフルフェイス集団の姿も。助けを呼ぶことも、逃げることもできず、竹虎らは廃屋に戻る。  精神的に追い込まれた生徒たちは、誰が鬼神かを巡って警戒し合い、緊張が高まる。そんな中、河東と毛利文明(倉貫匡弘)が助けを求めに行くと外に出る。ところが、すぐに河東がフルフェイス集団に捕まってしまう。毛利はその場を走り去るが、振り返ると、河東はひどい暴行を受けていた。戻ってきた毛利が生徒たちにその一件を報告。竹虎には、ある思いがよぎる…。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</si>
  <si>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柴田竹虎(小池徹平)は、宝生美月(大後寿々花)と鬼神からのメ―ルを読み返していた。鬼神は2年B組全員に千手峠まで来るよう指示、そこで自分の正体を明かすという。それを見た藤木小次郎(藤木直人)と白豚(塚地武雅)は鬼神の正体について推測するが、竹虎は千手峠に来ないよう念を押す。  翌朝、千手峠へ向うバスに乗るために、生徒たちが集まり始める。河東学人(大東俊介)と武良広海(鈴木亮平)がいがみ合い、そのうち河東が道路に突き飛ばされる。そこへ、大型車が。竹虎が飛び込み河東を抱えて避難し、事なきを得るが、河東は武良を睨みつける。  その後、竹虎らは鬼神が指定した廃屋に着く。中に入ると「助けを呼んだ者には、死の制裁を!」というメッセ―ジが壁に書かれていた。そんな中、武良がそこに美月がいないことに気づく。  竹虎らは付近を捜索し、倒れている美月を見つける。周囲には鬼神の手下と思われるフルフェイス集団の姿も。助けを呼ぶことも、逃げることもできず、竹虎らは廃屋に戻る。  精神的に追い込まれた生徒たちは、誰が鬼神かを巡って警戒し合い、緊張が高まる。そんな中、河東と毛利文明(倉貫匡弘)が助けを求めに行くと外に出る。ところが、すぐに河東がフルフェイス集団に捕まってしまう。毛利はその場を走り去るが、振り返ると、河東はひどい暴行を受けていた。戻ってきた毛利が生徒たちにその一件を報告。竹虎には、ある思いがよぎる…。</t>
  </si>
  <si>
    <t>番組名シバトラ～童顔刑事・柴田竹虎～　#05</t>
  </si>
  <si>
    <t>柴田竹虎(小池徹平)は千葉さくら(真矢みき)に呼び出され、再び潜入捜査を命じられる。18歳の少女・生島透子(志田菜々子)の失踪事件の捜査で、透子のアルバイト先のメイド喫茶への潜入だ。採用された竹虎はメイド服を着て接客。するとそこにはメイド服姿で立つ宝生美月(大後寿々花)と、メアリ―(小池彩夢)の接客を受ける白豚(塚地武雅)の姿が。その夜、古着店に戻った美月は、竹虎らにメイド喫茶に新庄徹(宮川大輔)が来たことを伝える。新庄は、竹虎のメイド喫茶への潜入は、落合建夫(橋爪遼)が絡んでいるからだろうと話していたという。落合という名前に、藤木小次郎(藤木直人)は誰よりも反応する。後日、竹虎と小次郎は、メアリ―とデ―トをすることになった白豚を尾行する。メアリ―が失踪事件の有力な情報を持っているかもしれないからだ。そこへランドセルを背負ったメアリ―がやってくる。驚く白豚が年齢を尋ねると、なんと小学6年生だという。そんなメアリ―のところへメイド喫茶の店長岩城(青木伸輔)から電話が入る。仕事を頼みたいという岩城に彼女は喜んで応じる。メアリ―との電話の後、岩城は別室で待たせていた美月の元に来ると、もっとお金が欲しくないかと尋ねる。岩城が裏で何をしているのか感づいた美月は竹虎を呼び出し、メイド喫茶に乗り込むが…。数日後、白豚にメアリ―から泣きながら電話が入る。白豚がメアリ―の元に駆けつけると…。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</si>
  <si>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柴田竹虎(小池徹平)は千葉さくら(真矢みき)に呼び出され、再び潜入捜査を命じられる。18歳の少女・生島透子(志田菜々子)の失踪事件の捜査で、透子のアルバイト先のメイド喫茶への潜入だ。採用された竹虎はメイド服を着て接客。するとそこにはメイド服姿で立つ宝生美月(大後寿々花)と、メアリ―(小池彩夢)の接客を受ける白豚(塚地武雅)の姿が。その夜、古着店に戻った美月は、竹虎らにメイド喫茶に新庄徹(宮川大輔)が来たことを伝える。新庄は、竹虎のメイド喫茶への潜入は、落合建夫(橋爪遼)が絡んでいるからだろうと話していたという。落合という名前に、藤木小次郎(藤木直人)は誰よりも反応する。後日、竹虎と小次郎は、メアリ―とデ―トをすることになった白豚を尾行する。メアリ―が失踪事件の有力な情報を持っているかもしれないからだ。そこへランドセルを背負ったメアリ―がやってくる。驚く白豚が年齢を尋ねると、なんと小学6年生だという。そんなメアリ―のところへメイド喫茶の店長岩城(青木伸輔)から電話が入る。仕事を頼みたいという岩城に彼女は喜んで応じる。メアリ―との電話の後、岩城は別室で待たせていた美月の元に来ると、もっとお金が欲しくないかと尋ねる。岩城が裏で何をしているのか感づいた美月は竹虎を呼び出し、メイド喫茶に乗り込むが…。数日後、白豚にメアリ―から泣きながら電話が入る。白豚がメアリ―の元に駆けつけると…。</t>
  </si>
  <si>
    <t>番組名シバトラ～童顔刑事・柴田竹虎～　#06</t>
  </si>
  <si>
    <t>柴田竹虎(小池徹平)は、千葉さくら(真矢みき)からメイド喫茶で働く小中学生に売春を斡旋していた落合建夫(橋爪遼)について聞かれる。落合は、竹虎の父とさくらの妹・ゆり(原田佳奈)を殺した犯人。竹虎の同級生でもある。竹虎は、2人が高校で知り合い意気投合したが、やがてそりが合わなくなったと話す。するとさくらは、落合が失踪中の生島透子(志田菜々子)と最後に通話した人物だと明かす。竹虎は、透子の事件の再調査のため、新庄徹(宮川大輔)と組んでメイド喫茶へと向かう。  藤木小次郎(藤木直人)が白豚(塚地武雅)や宝生美月(大後寿々花)と古着店にいると、竹虎あてに電話が入る。小次郎が受けると電話の男は「また誰か殺されたくなければ、これ以上、俺の邪魔をするな」と冷徹に言う。それが落合だと確信した小次郎は、竹虎に落合に関わるなと忠告するが、竹虎は聞き入れない。  後日、竹虎は古着店の外で小次郎と出くわす。小次郎は昨日、店の前に落合がいたこと、一瞬、見ただけで落合が根っからの悪人だと感じたということを話す。そして、もう誰かが傷つく姿を見たくないと言い去っていく。  2人のやりとりを見ていた美月は店に戻った竹虎に、小次郎は恋人のゆりを失った悲しみが大きいんだろうと話しながらひとつの疑問を口にする。竹虎の父が落合に撃たれた日、ゆりはなぜ襲撃現場に行ったのか、と。すると、竹虎は自分のせいだと言い、事件を語り始める…。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Thing(avex　trax)</t>
  </si>
  <si>
    <t>柴田竹虎(小池徹平)は、千葉さくら(真矢みき)からメイド喫茶で働く小中学生に売春を斡旋していた落合建夫(橋爪遼)について聞かれる。落合は、竹虎の父とさくらの妹・ゆり(原田佳奈)を殺した犯人。竹虎の同級生でもある。竹虎は、2人が高校で知り合い意気投合したが、やがてそりが合わなくなったと話す。するとさくらは、落合が失踪中の生島透子(志田菜々子)と最後に通話した人物だと明かす。竹虎は、透子の事件の再調査のため、新庄徹(宮川大輔)と組んでメイド喫茶へと向かう。  藤木小次郎(藤木直人)が白豚(塚地武雅)や宝生美月(大後寿々花)と古着店にいると、竹虎あてに電話が入る。小次郎が受けると電話の男は「また誰か殺されたくなければ、これ以上、俺の邪魔をするな」と冷徹に言う。それが落合だと確信した小次郎は、竹虎に落合に関わるなと忠告するが、竹虎は聞き入れない。  後日、竹虎は古着店の外で小次郎と出くわす。小次郎は昨日、店の前に落合がいたこと、一瞬、見ただけで落合が根っからの悪人だと感じたということを話す。そして、もう誰かが傷つく姿を見たくないと言い去っていく。  2人のやりとりを見ていた美月は店に戻った竹虎に、小次郎は恋人のゆりを失った悲しみが大きいんだろうと話しながらひとつの疑問を口にする。竹虎の父が落合に撃たれた日、ゆりはなぜ襲撃現場に行ったのか、と。すると、竹虎は自分のせいだと言い、事件を語り始める…。</t>
  </si>
  <si>
    <t>番組名シバトラ～童顔刑事・柴田竹虎～　#07</t>
  </si>
  <si>
    <t>柴田竹虎(小池徹平)は千葉さくら(真矢みき)から、中高生に流行している覚せい剤入りキャンディ―の捜査を命じられる。竹虎が、中高生が覚せい剤に手を出していることにピンと来ないと言うと、さくらは竹虎を取調室に連れていく。そこでは、新庄徹(宮川大輔)が17歳の生野弥生(大平奈津美)を取り調べていた。竹虎が話しかけると弥生は、自分を殺すつもりなんだろうと、尋常ではない様子を見せる。そして飲めば苦しくない「アレ」を飲みたいからここから出してくれと訴える。そんな弥生にさくらは帰宅を許可、同時に竹虎に尾行を命じる。弥生がやってきたのは「サティスファクション」という女子高生に人気のショップだった。店内には宝生美月(大後寿々花)、藤木小次郎(藤木直人)、白豚(塚地武雅)の姿があった。そんな中、弥生は店長(弓削智久)に「アレ」をくれとせがむが白を切られる。そのうち押し問答となり弥生は興奮状態で床に倒れ込む。　後日、竹虎と美月が店を訪れると店長が声をかけてくる。美月はキャンディ―以上に刺激のあるものが欲しいと言い、さらに、友達が世話になっている事務所を紹介してほしいと頼む。すると店長は、ある芸能事務所の名刺を渡す。事務所を訪ねた竹虎と美月にスタッフは、テレビに出るにはダイエットが必要だと、ダイエット食品を手渡す。覚せい剤が入っていると思われる食品を手に事務所を出ると、突然、少年たちに取り囲まれ…。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</si>
  <si>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柴田竹虎(小池徹平)は千葉さくら(真矢みき)から、中高生に流行している覚せい剤入りキャンディ―の捜査を命じられる。竹虎が、中高生が覚せい剤に手を出していることにピンと来ないと言うと、さくらは竹虎を取調室に連れていく。そこでは、新庄徹(宮川大輔)が17歳の生野弥生(大平奈津美)を取り調べていた。竹虎が話しかけると弥生は、自分を殺すつもりなんだろうと、尋常ではない様子を見せる。そして飲めば苦しくない「アレ」を飲みたいからここから出してくれと訴える。そんな弥生にさくらは帰宅を許可、同時に竹虎に尾行を命じる。弥生がやってきたのは「サティスファクション」という女子高生に人気のショップだった。店内には宝生美月(大後寿々花)、藤木小次郎(藤木直人)、白豚(塚地武雅)の姿があった。そんな中、弥生は店長(弓削智久)に「アレ」をくれとせがむが白を切られる。そのうち押し問答となり弥生は興奮状態で床に倒れ込む。　後日、竹虎と美月が店を訪れると店長が声をかけてくる。美月はキャンディ―以上に刺激のあるものが欲しいと言い、さらに、友達が世話になっている事務所を紹介してほしいと頼む。すると店長は、ある芸能事務所の名刺を渡す。事務所を訪ねた竹虎と美月にスタッフは、テレビに出るにはダイエットが必要だと、ダイエット食品を手渡す。覚せい剤が入っていると思われる食品を手に事務所を出ると、突然、少年たちに取り囲まれ…。</t>
  </si>
  <si>
    <t>番組名シバトラ～童顔刑事・柴田竹虎～　#08</t>
  </si>
  <si>
    <t>柴田竹虎(小池徹平)は町田リカ(末永遥)と共に樹海に連れて来られると、竹虎らを拘束した芸能事務所の男たちが掘った穴に埋められてしまう。同じ頃、宝生美月(大後寿々花)は対峙する落合建夫(橋爪遼)から竹虎が命の危機に瀕していると聞かされる。また、暴行され倒れていた藤木小次郎(藤木直人)と白豚(塚地武雅)は意識を取り戻す。竹虎の居場所の手がかりを得たい小次郎らは、芸能事務所に忍び込み捜索をする。そこへ新庄徹(宮川大輔)がやってくる。いらついた態度で何をしているのかと聞く新庄に、美月は警察が竹虎の捜索をしないから自分たちで探しているのだと怒りをあらわにする。その後、持ち帰った資料を調べていた美月が、ある工場の領収書を見つけ出す。美月は出かけていた小次郎に電話をし、住所を告げる。小次郎と白豚は、事件の黒幕と思われる芸能事務所の代表・金井正紀(木幡竜)がいると聞いたプ―ルバ―に来ていた。ところが現れたのはへルタ―スケルタ―で、小次郎らは再び襲われる。小次郎たちをはめた金井らが、とあるマンションで高飛び計画を練っているとそこに血だらけの小次郎が現れる。突然の来訪に驚く金井らを、小次郎は全身に怒りをみなぎらせ殴り倒し、ついに、竹虎の居場所を聞きだす。古着店に戻った小次郎が、負傷した白豚を残し、美月とともに竹虎の救出に向かおうとすると、千葉さくら(真矢みき)が現れて…。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</si>
  <si>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柴田竹虎(小池徹平)は町田リカ(末永遥)と共に樹海に連れて来られると、竹虎らを拘束した芸能事務所の男たちが掘った穴に埋められてしまう。同じ頃、宝生美月(大後寿々花)は対峙する落合建夫(橋爪遼)から竹虎が命の危機に瀕していると聞かされる。また、暴行され倒れていた藤木小次郎(藤木直人)と白豚(塚地武雅)は意識を取り戻す。竹虎の居場所の手がかりを得たい小次郎らは、芸能事務所に忍び込み捜索をする。そこへ新庄徹(宮川大輔)がやってくる。いらついた態度で何をしているのかと聞く新庄に、美月は警察が竹虎の捜索をしないから自分たちで探しているのだと怒りをあらわにする。その後、持ち帰った資料を調べていた美月が、ある工場の領収書を見つけ出す。美月は出かけていた小次郎に電話をし、住所を告げる。小次郎と白豚は、事件の黒幕と思われる芸能事務所の代表・金井正紀(木幡竜)がいると聞いたプ―ルバ―に来ていた。ところが現れたのはへルタ―スケルタ―で、小次郎らは再び襲われる。小次郎たちをはめた金井らが、とあるマンションで高飛び計画を練っているとそこに血だらけの小次郎が現れる。突然の来訪に驚く金井らを、小次郎は全身に怒りをみなぎらせ殴り倒し、ついに、竹虎の居場所を聞きだす。古着店に戻った小次郎が、負傷した白豚を残し、美月とともに竹虎の救出に向かおうとすると、千葉さくら(真矢みき)が現れて…。</t>
  </si>
  <si>
    <t>番組名シバトラ～童顔刑事・柴田竹虎～　#09</t>
  </si>
  <si>
    <t>柴田竹虎(小池徹平)は千葉さくら(真矢みき)と対峙すると、落合建夫(橋爪遼)が事件を起こす目的を「誰も信じられない世界を創ること」だと報告。さくらは竹虎に、落合が服役した少年刑務所に現れる映像を見せ、刑務所にいる仲間が落合の目的に関係があるかもしれないと話す。それを聞いた竹虎は、刑務所への潜入捜査を願い出る。  　後日、竹虎はさくらから落合が面会したのは若林(杉浦太雄)という男で、竹虎と同部屋になるよう手配したと聞かされる。そして、竹虎の潜入捜査が始まる。  　潜入の件を聞いた藤木小次郎(藤木直人)は、宝生美月(大後寿々花)、白豚(塚地武雅)に報告。役に立ちたいと、独自に落合を追うことを決める。  　その頃、竹虎は誰が若林か探ろうとするが受刑者は番号で呼ばれるため見つけ出せない。さらに、新入りということで激しい暴行を受けたりしていた。  　ある日、ある受刑者が、看守・小杉(大河内浩)に警棒で叩かれる。受刑者は謝るが、小杉は激高し叩き続ける。行き過ぎの暴力を見過ごせない竹虎が止めに行こうとすると、何者かにそれを制される。“鬼神事件"の主犯として服役中の河東学人(大東俊介)だった。河東によれば、小杉は受刑者を人間だと思っておらず、狙われたら独房に入れられひどい暴力を受けることになるという。しかも、若林へのいじめはすさまじく、いつか若林がキレて小杉を殺すのではないかと噂になっていると言う。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</si>
  <si>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柴田竹虎(小池徹平)は千葉さくら(真矢みき)と対峙すると、落合建夫(橋爪遼)が事件を起こす目的を「誰も信じられない世界を創ること」だと報告。さくらは竹虎に、落合が服役した少年刑務所に現れる映像を見せ、刑務所にいる仲間が落合の目的に関係があるかもしれないと話す。それを聞いた竹虎は、刑務所への潜入捜査を願い出る。  　後日、竹虎はさくらから落合が面会したのは若林(杉浦太雄)という男で、竹虎と同部屋になるよう手配したと聞かされる。そして、竹虎の潜入捜査が始まる。  　潜入の件を聞いた藤木小次郎(藤木直人)は、宝生美月(大後寿々花)、白豚(塚地武雅)に報告。役に立ちたいと、独自に落合を追うことを決める。  　その頃、竹虎は誰が若林か探ろうとするが受刑者は番号で呼ばれるため見つけ出せない。さらに、新入りということで激しい暴行を受けたりしていた。  　ある日、ある受刑者が、看守・小杉(大河内浩)に警棒で叩かれる。受刑者は謝るが、小杉は激高し叩き続ける。行き過ぎの暴力を見過ごせない竹虎が止めに行こうとすると、何者かにそれを制される。“鬼神事件"の主犯として服役中の河東学人(大東俊介)だった。河東によれば、小杉は受刑者を人間だと思っておらず、狙われたら独房に入れられひどい暴力を受けることになるという。しかも、若林へのいじめはすさまじく、いつか若林がキレて小杉を殺すのではないかと噂になっていると言う。</t>
  </si>
  <si>
    <t>番組名シバトラ～童顔刑事・柴田竹虎～　#10</t>
  </si>
  <si>
    <t>柴田竹虎(小池徹平)は、少年刑務所の服役囚・伊能孝義(姜暢雄)らの脱獄計画について明かされる。伊能らは脱獄後、落合建夫(橋爪遼)と会う段取りになっているとも話し、結局、竹虎も計画に参加することに。  　その頃、宝生美月(大後寿々花)は、一命は取り留めたものの意識が戻らない白豚(塚地武雅)の病室にいた。  　また、藤木小次郎(藤木直人)は、千葉さくら(真矢みき)に呼び出され白豚の事件についての事情聴取を受けていた。落合の犯行だと確信するものの証拠がない小次郎は、いらだちを隠せない。  　翌日、竹虎は河東学人(大東俊介)から、実は伊能が「鬼神」かもしれないと聞かされる。河東は「鬼神」として捕まったが、実は河東が名乗る前から「鬼神」は存在しており、そのオリジナルが伊能かもしれないというのだ。  　同じ日の夕方、伊能らは明日決行する脱獄について話し合っていた。そんな折、看守から明後日の予定だった外壁の工事が明日に変更になったと聞かされる。工事が入れば、壁に開けた脱出用の穴が見つかってしまう。となれば、今夜しかない。しかし、外塀を乗り越えるために必要なカマは、明日の農作業中に盗む手はずとなっている。そこで、食中毒を装い医務室に運ばれた竹虎と若林(杉浦太雄)が、カマの代用品を物色することに。竹虎が見事に代用品を持ち帰り、いよいよ脱獄が始まる――。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</si>
  <si>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柴田竹虎(小池徹平)は、少年刑務所の服役囚・伊能孝義(姜暢雄)らの脱獄計画について明かされる。伊能らは脱獄後、落合建夫(橋爪遼)と会う段取りになっているとも話し、結局、竹虎も計画に参加することに。  　その頃、宝生美月(大後寿々花)は、一命は取り留めたものの意識が戻らない白豚(塚地武雅)の病室にいた。  　また、藤木小次郎(藤木直人)は、千葉さくら(真矢みき)に呼び出され白豚の事件についての事情聴取を受けていた。落合の犯行だと確信するものの証拠がない小次郎は、いらだちを隠せない。  　翌日、竹虎は河東学人(大東俊介)から、実は伊能が「鬼神」かもしれないと聞かされる。河東は「鬼神」として捕まったが、実は河東が名乗る前から「鬼神」は存在しており、そのオリジナルが伊能かもしれないというのだ。  　同じ日の夕方、伊能らは明日決行する脱獄について話し合っていた。そんな折、看守から明後日の予定だった外壁の工事が明日に変更になったと聞かされる。工事が入れば、壁に開けた脱出用の穴が見つかってしまう。となれば、今夜しかない。しかし、外塀を乗り越えるために必要なカマは、明日の農作業中に盗む手はずとなっている。そこで、食中毒を装い医務室に運ばれた竹虎と若林(杉浦太雄)が、カマの代用品を物色することに。竹虎が見事に代用品を持ち帰り、いよいよ脱獄が始まる――。</t>
  </si>
  <si>
    <t>番組名シバトラ～童顔刑事・柴田竹虎～　#11</t>
  </si>
  <si>
    <t>柴田竹虎(小池徹平)は落合建夫(橋爪遼)の胸に刺さったナイフの柄に付いていた紙を開く。そこには「鬼神が復讐の裁きを下す」というメッセ―ジが書かれていた。そこへ新庄徹(宮川大輔)が来て竹虎が落合を殺したのではと疑いの目を向ける。竹虎が鬼神のメッセ―ジを見せても信じてもらえず、結局、警察に連行される。するとそのとき、竹虎は床に羽根が落ちているのに気づく。  　警察に向かう車の中で竹虎は、新庄から藤木小次郎(藤木直人)が白豚(塚地武雅)の事件で拘留されていること、千葉さくら(真矢みき)も竹虎の潜入捜査の責任を取って拘束されていることを聞く。そんな時、通りかかったビルのデッキに宝生美月(大後寿々花)がいるのを新庄が見つけるが、竹虎は、美月の体に死神の手がまとわりついているのが見えてしまう。そこへ竹虎の携帯に楠木裕二(川野直輝)から「鬼神メ―ル」が届いたと連絡が入る。メ―ルには、今夜7時23分に鬼神が美月に死の制裁を下すと書かれているという。すると新庄が突然、竹虎の携帯を取り上げ、ストラップの羽根が落合殺害の現場に落ちていたものと同じだと指摘。竹虎は、携帯を奪い返すと車を飛び出し、走り去る。  　古着店に戻るが刑事らが張り込んでいて中に入れない竹虎は、物陰に隠れて携帯を取り出す。そこについた羽根は、白豚が作ったオリジナルで竹虎、美月、小次郎、さくら、白豚、鮎川環(南明奈)に渡されたものなのだ。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</si>
  <si>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柴田竹虎(小池徹平)は落合建夫(橋爪遼)の胸に刺さったナイフの柄に付いていた紙を開く。そこには「鬼神が復讐の裁きを下す」というメッセ―ジが書かれていた。そこへ新庄徹(宮川大輔)が来て竹虎が落合を殺したのではと疑いの目を向ける。竹虎が鬼神のメッセ―ジを見せても信じてもらえず、結局、警察に連行される。するとそのとき、竹虎は床に羽根が落ちているのに気づく。  　警察に向かう車の中で竹虎は、新庄から藤木小次郎(藤木直人)が白豚(塚地武雅)の事件で拘留されていること、千葉さくら(真矢みき)も竹虎の潜入捜査の責任を取って拘束されていることを聞く。そんな時、通りかかったビルのデッキに宝生美月(大後寿々花)がいるのを新庄が見つけるが、竹虎は、美月の体に死神の手がまとわりついているのが見えてしまう。そこへ竹虎の携帯に楠木裕二(川野直輝)から「鬼神メ―ル」が届いたと連絡が入る。メ―ルには、今夜7時23分に鬼神が美月に死の制裁を下すと書かれているという。すると新庄が突然、竹虎の携帯を取り上げ、ストラップの羽根が落合殺害の現場に落ちていたものと同じだと指摘。竹虎は、携帯を奪い返すと車を飛び出し、走り去る。  　古着店に戻るが刑事らが張り込んでいて中に入れない竹虎は、物陰に隠れて携帯を取り出す。そこについた羽根は、白豚が作ったオリジナルで竹虎、美月、小次郎、さくら、白豚、鮎川環(南明奈)に渡されたものなのだ。</t>
  </si>
  <si>
    <t>0807_CX_土23</t>
  </si>
  <si>
    <t>番組名&lt;土曜ドラマ&gt;33分探偵　#01</t>
  </si>
  <si>
    <t>鞍馬六郎(堂本剛)探偵事務所に大田原警部(高橋克実)が駆け込んできた。大田原の部下、茂木刑事(戸次重幸)の結婚式に出席していたところ、隣の式場で新婦の吉沢京子(井上佳子)が殺害される事件が起きたのだ。が、六郎は「探してください」との置手紙を残して失踪中。大田原は六郎の代わりに、助手の武藤リカコ(水川あさみ)と共に現場に向かう。  　するとそこには、京子の死体を前に手を合わせる六郎の姿がすでにあった。そのかたわらでは式を挙げていた茂木が京子の着付け係の双子の女性に聞きこみをしており、その結果、双子はナイフを持って返り血を浴びた男が部屋から去る姿を目撃していたということがわかる。  　直後、血だらけでナイフを持った男・山口(山本雅幸)が連行されてきた。一件落着とばかりに、山口を逮捕しようとする大田原。そこへ「果たしてそうでしょうか」という六郎の声が響く。六郎の助手のリカコはまた始まった…とあきらめ気味。「この簡単な事件、俺が33分もたせてやる!」という六郎の一言で周囲には緊張が走るのだった。堂本剛      水川あさみ    野波麻帆    戸次重幸    小島よしお    　○    佐藤二朗    　○    高橋克実原案・脚本:福田雄一演出:福田雄一石田勝範    主題歌:「Secret　Code」KinKi　Kids(ジャニ―ズ・エンタテイメント)</t>
  </si>
  <si>
    <t>鞍馬六郎(堂本剛)探偵事務所に大田原警部(高橋克実)が駆け込んできた。大田原の部下、茂木刑事(戸次重幸)の結婚式に出席していたところ、隣の式場で新婦の吉沢京子(井上佳子)が殺害される事件が起きたのだ。が、六郎は「探してください」との置手紙を残して失踪中。大田原は六郎の代わりに、助手の武藤リカコ(水川あさみ)と共に現場に向かう。  　するとそこには、京子の死体を前に手を合わせる六郎の姿がすでにあった。そのかたわらでは式を挙げていた茂木が京子の着付け係の双子の女性に聞きこみをしており、その結果、双子はナイフを持って返り血を浴びた男が部屋から去る姿を目撃していたということがわかる。  　直後、血だらけでナイフを持った男・山口(山本雅幸)が連行されてきた。一件落着とばかりに、山口を逮捕しようとする大田原。そこへ「果たしてそうでしょうか」という六郎の声が響く。六郎の助手のリカコはまた始まった…とあきらめ気味。「この簡単な事件、俺が33分もたせてやる!」という六郎の一言で周囲には緊張が走るのだった。</t>
  </si>
  <si>
    <t>番組名&lt;土曜ドラマ&gt;33分探偵　#02</t>
  </si>
  <si>
    <t>['23', '0']</t>
  </si>
  <si>
    <t>鞍馬六郎(堂本剛)とリカコ(水川あさみ)は大田原警部(高橋克実)の依頼を受け、差出人不明の脅迫状が届き別荘へ避難しているおもちゃメ―カ―・宇宙堂の権藤社長(山田明郷)の警護のために富士見湖に向かった。  　3人が自室にこもる権藤に挨拶を済ませ、茂木(戸次重幸)、権藤の妻・美沙子(宮田早苗)、秘書の小宮山(飯田基祐)、お手伝いの吉田(片岡富枝)と食事をしようとしたその時、窓越しに首を吊っている権藤を発見した庭師の木島(春海四方)の悲鳴が響き渡った。外部からの侵入者がなかったことや遺書があったことから自殺と断定する大田原だが、六郎はまたしても事件を33分もたせると宣言する。  　強引な仮説とまったく根拠のない美沙子との不倫疑惑を訴え、小宮山に容疑をかける六郎。案の定、一蹴されてしまうが六郎たちが情報収集に駆け回っていた頃、小宮山は誰かに電話で権藤の死を報告、美沙子は1人倉庫に入り置いてあるロ―プを見つめていた…。  　そんな中、木島が元エリ―トで権藤によって別荘番にさせられたという情報を得た六郎は、木島がペットの犬のゴロ―や九官鳥にビックリ芸を教え込み権藤を殺害したと推理を唱えるが…。  　その後、鑑識官(佐藤二朗)から使用されたロ―プの強度が弱いこととロ―プからある人物の指紋が検出されたこと、また情報屋(小島よしお)からは権藤を疎ましく思っていた社員がいることを聞いた六郎は…。堂本剛      水川あさみ    野波麻帆    戸次重幸    小島よしお    　○    佐藤二朗    　○    高橋克実原案・脚本:福田雄一演出:福田雄一石田勝範    主題歌:「Secret　Code」KinKi　Kids(ジャニ―ズ・エンタテイメント)</t>
  </si>
  <si>
    <t>鞍馬六郎(堂本剛)とリカコ(水川あさみ)は大田原警部(高橋克実)の依頼を受け、差出人不明の脅迫状が届き別荘へ避難しているおもちゃメ―カ―・宇宙堂の権藤社長(山田明郷)の警護のために富士見湖に向かった。  　3人が自室にこもる権藤に挨拶を済ませ、茂木(戸次重幸)、権藤の妻・美沙子(宮田早苗)、秘書の小宮山(飯田基祐)、お手伝いの吉田(片岡富枝)と食事をしようとしたその時、窓越しに首を吊っている権藤を発見した庭師の木島(春海四方)の悲鳴が響き渡った。外部からの侵入者がなかったことや遺書があったことから自殺と断定する大田原だが、六郎はまたしても事件を33分もたせると宣言する。  　強引な仮説とまったく根拠のない美沙子との不倫疑惑を訴え、小宮山に容疑をかける六郎。案の定、一蹴されてしまうが六郎たちが情報収集に駆け回っていた頃、小宮山は誰かに電話で権藤の死を報告、美沙子は1人倉庫に入り置いてあるロ―プを見つめていた…。  　そんな中、木島が元エリ―トで権藤によって別荘番にさせられたという情報を得た六郎は、木島がペットの犬のゴロ―や九官鳥にビックリ芸を教え込み権藤を殺害したと推理を唱えるが…。  　その後、鑑識官(佐藤二朗)から使用されたロ―プの強度が弱いこととロ―プからある人物の指紋が検出されたこと、また情報屋(小島よしお)からは権藤を疎ましく思っていた社員がいることを聞いた六郎は…。</t>
  </si>
  <si>
    <t>番組名&lt;土曜ドラマ&gt;33分探偵　#03</t>
  </si>
  <si>
    <t>女子校で教師が死亡した事件を捜査することになった鞍馬六郎(堂本剛)とリカコ(水川あさみ)。大田原警部(高橋克実)によると被害者は化学教師の田所(古舘寛治)で放課後の理科室で1人晩酌中にいきなり亡くなったという。毒を盛られた形跡もなく心臓麻痺と考えられていたが、六郎は田所の腕に注射痕を発見。その矢先、茂木(戸次重幸)が保健教師の手島(松田沙紀)を連れて来た。田所がカニアレルギ―と知っていた手島は、セクハラの仕返しでカニエキスを注射したのだ。さらにパソコン画面には田所の残した“TESHIMA"の文字が。事件解決と思われたその時、「33分もたせてやる!」と宣言する六郎。  　六郎は国語教師の海東(マギ―)が手島にセクハラを繰り返す田所が許せずに殺意を抱いたと推理。犯行時刻に音楽教師の小山(池田成志)と一緒にいた海東が席を外した5分間で田所を殺害したトリックを説明していく。33分もたせなくてはならない六郎たちは聞き込みを始める。そんな中、音楽室では警察に“あのこと"を話すべきかと悩む校務員の木下(江良潤)を小山が制止。そこへやってきた六郎は2音だけピアノの調律がズレていることに気付く。さらに鑑識官(佐藤二朗)から死因のカニアレルギ―によるアナフィラキシ―ショックのほかに死体にあった特徴を聞き、情報屋(小島よしお)の情報と女子高生から新たなる証言を得た六郎は1つの結論に達するのだが…。堂本剛      水川あさみ    野波麻帆    戸次重幸  小島よしお    　○    佐藤二朗    　○    高橋克実原案・脚本:福田雄一演出:福田雄一石田勝範    主題歌…「Secret　Code」KinKi　Kids(ジャニ―ズ・エンタテイメント)</t>
  </si>
  <si>
    <t>女子校で教師が死亡した事件を捜査することになった鞍馬六郎(堂本剛)とリカコ(水川あさみ)。大田原警部(高橋克実)によると被害者は化学教師の田所(古舘寛治)で放課後の理科室で1人晩酌中にいきなり亡くなったという。毒を盛られた形跡もなく心臓麻痺と考えられていたが、六郎は田所の腕に注射痕を発見。その矢先、茂木(戸次重幸)が保健教師の手島(松田沙紀)を連れて来た。田所がカニアレルギ―と知っていた手島は、セクハラの仕返しでカニエキスを注射したのだ。さらにパソコン画面には田所の残した“TESHIMA"の文字が。事件解決と思われたその時、「33分もたせてやる!」と宣言する六郎。  　六郎は国語教師の海東(マギ―)が手島にセクハラを繰り返す田所が許せずに殺意を抱いたと推理。犯行時刻に音楽教師の小山(池田成志)と一緒にいた海東が席を外した5分間で田所を殺害したトリックを説明していく。33分もたせなくてはならない六郎たちは聞き込みを始める。そんな中、音楽室では警察に“あのこと"を話すべきかと悩む校務員の木下(江良潤)を小山が制止。そこへやってきた六郎は2音だけピアノの調律がズレていることに気付く。さらに鑑識官(佐藤二朗)から死因のカニアレルギ―によるアナフィラキシ―ショックのほかに死体にあった特徴を聞き、情報屋(小島よしお)の情報と女子高生から新たなる証言を得た六郎は1つの結論に達するのだが…。</t>
  </si>
  <si>
    <t>番組名&lt;土曜ドラマ&gt;33分探偵　#04</t>
  </si>
  <si>
    <t>湾岸テレビ局内で女優が殺害される事件が発生。鞍馬六郎(堂本剛)とリカコ(水川あさみ)が大田原(高橋克実)と女優・入江加奈子(遠野凪子)の殺害現場へ行くと、待っていた茂木(戸次重幸)から死因はピストルによる銃殺で楽屋は中から鍵がかかっていたと報告を受ける。密室殺人に意気込む六郎や大田原だが、すでに犯人は逮捕されていた。犯人は食堂でバイトをしていた後藤信吾(本多力)で、ファンだった加奈子に嫌いと言われて恨み、犯行に及んだと自白していた。が、ここで終わらせるわけにはいかない六郎はこの事件を33分もたすと宣言。  　六郎は、普段から高圧的な態度でこき使われていた加奈子のマネジャ―・島田(山中聡)に容疑をかける。しかし、島田のある驚愕の告白により捜査は振り出しに。聞きこみの結果、次期連ドラの主役を女優の松本りんこ(高橋かおり)から加奈子へ急遽変更していたという証言を得た。さらに情報屋(小島よしお)から加奈子がプロデュ―サ―を色仕掛けで口説いていたことも知る。しかし、りんこにもまた完璧なアリバイがあった。  　33分もたせることが困難になってきた六郎は焦りを隠せない。そんな矢先、現場の楽屋に戻った六郎はスリッパの下に落ちていたピアスを発見。さらに鑑識官(佐藤二朗)から体を貫通していなかった弾丸が、死体に残されていなかったことを聞く。新たに出てきた情報を事件と照らし合わせた六郎は…。堂本剛      水川あさみ    野波麻帆    戸次重幸    小島よしお    　○    佐藤二朗    　○    高橋克実原案・脚本:福田雄一演出:成田岳石田勝範    主題歌:「Secret　Code」KinKi　Kids(ジャニ―ズ・エンタテイメント)</t>
  </si>
  <si>
    <t>湾岸テレビ局内で女優が殺害される事件が発生。鞍馬六郎(堂本剛)とリカコ(水川あさみ)が大田原(高橋克実)と女優・入江加奈子(遠野凪子)の殺害現場へ行くと、待っていた茂木(戸次重幸)から死因はピストルによる銃殺で楽屋は中から鍵がかかっていたと報告を受ける。密室殺人に意気込む六郎や大田原だが、すでに犯人は逮捕されていた。犯人は食堂でバイトをしていた後藤信吾(本多力)で、ファンだった加奈子に嫌いと言われて恨み、犯行に及んだと自白していた。が、ここで終わらせるわけにはいかない六郎はこの事件を33分もたすと宣言。  　六郎は、普段から高圧的な態度でこき使われていた加奈子のマネジャ―・島田(山中聡)に容疑をかける。しかし、島田のある驚愕の告白により捜査は振り出しに。聞きこみの結果、次期連ドラの主役を女優の松本りんこ(高橋かおり)から加奈子へ急遽変更していたという証言を得た。さらに情報屋(小島よしお)から加奈子がプロデュ―サ―を色仕掛けで口説いていたことも知る。しかし、りんこにもまた完璧なアリバイがあった。  　33分もたせることが困難になってきた六郎は焦りを隠せない。そんな矢先、現場の楽屋に戻った六郎はスリッパの下に落ちていたピアスを発見。さらに鑑識官(佐藤二朗)から体を貫通していなかった弾丸が、死体に残されていなかったことを聞く。新たに出てきた情報を事件と照らし合わせた六郎は…。</t>
  </si>
  <si>
    <t>番組名&lt;土曜ドラマ&gt;33分探偵　#05</t>
  </si>
  <si>
    <t>鞍馬六郎(堂本剛)とリカコ(水川あさみ)は、見合いをする大田原警部(高橋克実)にアドバイスを頼まれフレンチレストランにやってきた。レストランのオ―ナ―・中田修二(大高洋夫)の妻・めぐみ(阿南敦子)が、親友・前島慶子(堀内敬子)を心配して見合いを計画。修二の友人である大田原に話が回ってきたのだ。意外にも好感触の見合いになったが慶子がトイレで席を外した直後、バルコニ―でめぐみが殺害される。めぐみの脇にはナイフを片手に呆然とへたりこんでいる慶子の姿が。大田原が慶子の逮捕を躊躇していると、六郎が事件を33分もたせることを宣言する。  　めぐみの幸せが妬ましく、また次々と男性を紹介してくることにも苛立っていたと慶子が自供する中、六郎は事件発生直前に店内で大ゲンカしていた夫婦に容疑をかける。しかし、夫婦ゲンカの末に妻を殺そうとした夫が仲裁に入っためぐみをあやまって殺してしまったという六郎の推理は、完全なアリバイの前に崩れる。一同が聞き込みに走り回っている頃、こっそりと電話をしていた修二は電話相手に「友人が殺したことになってる」と告げていた…。その後、中田夫婦は修二の浮気が原因でケンカが絶えなかったとの証言を得た。さらに鑑識官(佐藤二朗)からめぐみの傷口から魚類のエキスが検出されたこと、情報屋(小島よしお)から修二の浮気相手が離婚を迫っていたことを聞いた六郎は…。堂本剛      水川あさみ    野波麻帆    戸次重幸    小島よしお    　○    佐藤二朗    　○    高橋克実原案・脚本:福田雄一演出:成田岳石田勝範    主題歌:「Secret　Code」KinKi　Kids(ジャニ―ズ・エンタテイメント)</t>
  </si>
  <si>
    <t>鞍馬六郎(堂本剛)とリカコ(水川あさみ)は、見合いをする大田原警部(高橋克実)にアドバイスを頼まれフレンチレストランにやってきた。レストランのオ―ナ―・中田修二(大高洋夫)の妻・めぐみ(阿南敦子)が、親友・前島慶子(堀内敬子)を心配して見合いを計画。修二の友人である大田原に話が回ってきたのだ。意外にも好感触の見合いになったが慶子がトイレで席を外した直後、バルコニ―でめぐみが殺害される。めぐみの脇にはナイフを片手に呆然とへたりこんでいる慶子の姿が。大田原が慶子の逮捕を躊躇していると、六郎が事件を33分もたせることを宣言する。  　めぐみの幸せが妬ましく、また次々と男性を紹介してくることにも苛立っていたと慶子が自供する中、六郎は事件発生直前に店内で大ゲンカしていた夫婦に容疑をかける。しかし、夫婦ゲンカの末に妻を殺そうとした夫が仲裁に入っためぐみをあやまって殺してしまったという六郎の推理は、完全なアリバイの前に崩れる。一同が聞き込みに走り回っている頃、こっそりと電話をしていた修二は電話相手に「友人が殺したことになってる」と告げていた…。その後、中田夫婦は修二の浮気が原因でケンカが絶えなかったとの証言を得た。さらに鑑識官(佐藤二朗)からめぐみの傷口から魚類のエキスが検出されたこと、情報屋(小島よしお)から修二の浮気相手が離婚を迫っていたことを聞いた六郎は…。</t>
  </si>
  <si>
    <t>番組名&lt;土曜ドラマ&gt;33分探偵　#06</t>
  </si>
  <si>
    <t>山の神様が突然村人の魂を奪って行くという言い伝えが残る玉取村で老人の不審死が続いた。鞍馬六郎(堂本剛)とリカコ(水川あさみ)は大田原警部(高橋克実)の依頼を受け死の真相を調べるため玉取村に向かう。2人目の被害者も外傷や毒物反応はなく高齢であったことから自然死で解決しようとする大田原だったが、六郎は言い伝えを利用した殺人だと主張し、事件を33分もたせることを宣言。  　六郎は神社の屏風に飾られた3つの俳句に注目。2つの事件を強引に俳句に結びつけると、残った1つの句になぞらえた殺人が起こると予言し捜査を始める。すると、亡くなった2人は地上げ屋・三島(田中要次)に脅されていたことがわかる。そんな中、3人目の犠牲者が出た。  　残り時間で解決できるか不安になる六郎。一方、三島は村に警察が来たことに動揺する。  　村に咲くスズランを見つめ何かを思いついた六郎は鑑識室に向かう。鑑識官(佐藤二朗)から3人にはゲ―トボ―ルのタコがあり、体からは強心作用のある物質が発見されたと聞き村に戻った六郎。すると就寝中に三島に襲われた。間一髪のところで茂木(戸次重幸)が目を覚まし、連続殺人事件の犯人として逮捕しようとするが三島は犯行を全面否定。  　つかまえた三島も含め村人たちを神社に集めた六郎は事件の真相を話し始める…。堂本剛      水川あさみ    野波麻帆  戸次重幸    小島よしお    　○    佐藤二朗    　○    高橋克実原案・脚本:福田雄一演出:成田岳石田勝範  主題歌:「Secret　Code」KinKi　Kids(ジャニ―ズ・エンタテイメント)</t>
  </si>
  <si>
    <t>山の神様が突然村人の魂を奪って行くという言い伝えが残る玉取村で老人の不審死が続いた。鞍馬六郎(堂本剛)とリカコ(水川あさみ)は大田原警部(高橋克実)の依頼を受け死の真相を調べるため玉取村に向かう。2人目の被害者も外傷や毒物反応はなく高齢であったことから自然死で解決しようとする大田原だったが、六郎は言い伝えを利用した殺人だと主張し、事件を33分もたせることを宣言。  　六郎は神社の屏風に飾られた3つの俳句に注目。2つの事件を強引に俳句に結びつけると、残った1つの句になぞらえた殺人が起こると予言し捜査を始める。すると、亡くなった2人は地上げ屋・三島(田中要次)に脅されていたことがわかる。そんな中、3人目の犠牲者が出た。  　残り時間で解決できるか不安になる六郎。一方、三島は村に警察が来たことに動揺する。  　村に咲くスズランを見つめ何かを思いついた六郎は鑑識室に向かう。鑑識官(佐藤二朗)から3人にはゲ―トボ―ルのタコがあり、体からは強心作用のある物質が発見されたと聞き村に戻った六郎。すると就寝中に三島に襲われた。間一髪のところで茂木(戸次重幸)が目を覚まし、連続殺人事件の犯人として逮捕しようとするが三島は犯行を全面否定。  　つかまえた三島も含め村人たちを神社に集めた六郎は事件の真相を話し始める…。</t>
  </si>
  <si>
    <t>番組名&lt;土曜ドラマ&gt;33分探偵　#07</t>
  </si>
  <si>
    <t>ミュ―ジカル鑑賞にやって来た鞍馬六郎(堂本剛)とリカコ(水川あさみ)。劇場には偶然来ていたアイ(野波麻帆)の姿もあった。劇場のリハ―サル室では女優の三木いずみ(原史奈)が演出家の芦田(大石継太)から演技にダメを出され、灰皿を投げつけられる目にあっていた。  　ミュ―ジカルが始まるとステ―ジ上のセットから芦田の死体が転がり出てくる。事件解決に意欲を見せる六郎だが、茂木刑事(戸次重幸)が犯行を自供したいずみを連行してくる。いずみの手が小さく震えていることに気付いた六郎は誰かをかばっていると判断。駆けつけた大田原(高橋克実)らに事件を33分もたせると宣言する。  　いずみと芦田は付き合っていたらしく、いずみへの容疑がますます深まる中、役者の石橋(北条隆博)は公演続行を強く希望。芦田を恨んでいたと察した六郎は石橋に容疑をかけるがアリバイが成立してしまう。  　聞き込み中、スタッフの狩野(佐藤正和)、役者の吉村(山本泰弘)、演出助手の大蔵(古山憲太郎)がもめている声を聞いたリカコとアイは舞台袖にいた六郎の元へ報告に行くが、直後、ワイヤ―が切れて照明が落ちてきた。とっさに2人をかばった六郎は血を流して舞台に倒れる。その一部始終を離れた所から見ていた何者かがいて…。堂本剛      水川あさみ    野波麻帆    戸次重幸    小島よしお    　○    佐藤二朗    　○    高橋克実原案・脚本:福田雄一演出:福田雄一石田勝範  主題歌:「Secret　Code」KinKi　Kids(ジャニ―ズ・エンタテイメント)</t>
  </si>
  <si>
    <t>ミュ―ジカル鑑賞にやって来た鞍馬六郎(堂本剛)とリカコ(水川あさみ)。劇場には偶然来ていたアイ(野波麻帆)の姿もあった。劇場のリハ―サル室では女優の三木いずみ(原史奈)が演出家の芦田(大石継太)から演技にダメを出され、灰皿を投げつけられる目にあっていた。  　ミュ―ジカルが始まるとステ―ジ上のセットから芦田の死体が転がり出てくる。事件解決に意欲を見せる六郎だが、茂木刑事(戸次重幸)が犯行を自供したいずみを連行してくる。いずみの手が小さく震えていることに気付いた六郎は誰かをかばっていると判断。駆けつけた大田原(高橋克実)らに事件を33分もたせると宣言する。  　いずみと芦田は付き合っていたらしく、いずみへの容疑がますます深まる中、役者の石橋(北条隆博)は公演続行を強く希望。芦田を恨んでいたと察した六郎は石橋に容疑をかけるがアリバイが成立してしまう。  　聞き込み中、スタッフの狩野(佐藤正和)、役者の吉村(山本泰弘)、演出助手の大蔵(古山憲太郎)がもめている声を聞いたリカコとアイは舞台袖にいた六郎の元へ報告に行くが、直後、ワイヤ―が切れて照明が落ちてきた。とっさに2人をかばった六郎は血を流して舞台に倒れる。その一部始終を離れた所から見ていた何者かがいて…。</t>
  </si>
  <si>
    <t>番組名&lt;土曜ドラマ&gt;33分探偵　#08</t>
  </si>
  <si>
    <t>小学生の誘拐事件が発生した。鞍馬六郎(堂本剛)とリカコ(水川あさみ)に協力をあおぎ、被害者宅に向かう大田原警部(高橋克実)。そこへ犯人から電話がかかってきた。犯人は3時間後に3千万円を近所の公園に持ってくるように指示。電話の様子から犯人を素人と判断し、公園で逮捕できそうという大田原に、六郎はこの誘拐事件を33分もたせることを宣言する。  　六郎は公園で遊ぶ子供たちに危険が及ばないように受け渡し場所の変更を申し出た。犯人はそれを受け入れ1時間後に駅前に母親が身代金を持ってくるように指示。リカコが母親の代わりに現金を持っていくことになる。1時間後、駅前に立つリカコの携帯に犯人から電話が入った。ヘンテコな指示に渋々と従うリカコに、犯人は喫茶店へ移動を命じた。そこで子供の無事を確認できるビデオを渡すという。  　ビデオを持って現れた腹話術師を捕まえた大田原だが、腹話術師は雇われただけ。犯人からの連絡が途絶えてしまい困った六郎はヒントを探しに鑑識へ向かう。ビデオや電話を分析した鑑識官(佐藤二朗)から背後に鳥の鳴き声と船の音が入っていることを聞き、さらに情報屋(小島よしお)から犯人は公園をうろついていたフリ―タ―の男(ムロツヨシ)でアジトは湾岸の倉庫だと聞きだすが…。堂本剛      水川あさみ    野波麻帆    戸次重幸    小島よしお    　○    佐藤二朗    　○    高橋克実【原案・脚本】福田雄一【演出】成田岳石田勝範    【主題歌】「Secret　Code」KinKi　Kids(ジャニ―ズ・エンタテイメント)</t>
  </si>
  <si>
    <t>小学生の誘拐事件が発生した。鞍馬六郎(堂本剛)とリカコ(水川あさみ)に協力をあおぎ、被害者宅に向かう大田原警部(高橋克実)。そこへ犯人から電話がかかってきた。犯人は3時間後に3千万円を近所の公園に持ってくるように指示。電話の様子から犯人を素人と判断し、公園で逮捕できそうという大田原に、六郎はこの誘拐事件を33分もたせることを宣言する。  　六郎は公園で遊ぶ子供たちに危険が及ばないように受け渡し場所の変更を申し出た。犯人はそれを受け入れ1時間後に駅前に母親が身代金を持ってくるように指示。リカコが母親の代わりに現金を持っていくことになる。1時間後、駅前に立つリカコの携帯に犯人から電話が入った。ヘンテコな指示に渋々と従うリカコに、犯人は喫茶店へ移動を命じた。そこで子供の無事を確認できるビデオを渡すという。  　ビデオを持って現れた腹話術師を捕まえた大田原だが、腹話術師は雇われただけ。犯人からの連絡が途絶えてしまい困った六郎はヒントを探しに鑑識へ向かう。ビデオや電話を分析した鑑識官(佐藤二朗)から背後に鳥の鳴き声と船の音が入っていることを聞き、さらに情報屋(小島よしお)から犯人は公園をうろついていたフリ―タ―の男(ムロツヨシ)でアジトは湾岸の倉庫だと聞きだすが…。</t>
  </si>
  <si>
    <t>番組名&lt;土曜ドラマ&gt;33分探偵　#09</t>
  </si>
  <si>
    <t>懸賞に当たり豪華客船でランチをとることになった鞍馬六郎(堂本剛)とリカコ(水川あさみ)と大田原(高橋克実)。同じ頃、児玉一郎(小倉馨)の誕生日パ―ティ―を開くため児玉一家も船に乗り込んでいた。出港後、六郎たちがステ―ジを楽しんでいると突然船体が大きく揺れ船内に女性の悲鳴が響き渡った。駆けつけると部屋の中で絶命している一郎の姿が。指先には血で書かれた“赤"という文字が残されていた。捜査にやる気を見せる六郎の前に、茂木(戸次重幸)が赤いシャツを着て血まみれの男・進藤(豊永利行)を連行してきた。六郎は自白する進藤を犯人じゃないと断言、事件を33分もたせると宣言。  　六郎は、一郎と仲が悪かった家族全員が共謀して殺害したと推理。ところが監視カメラの映像から家族の無実が証明される。鑑識官(佐藤二朗)から、一郎は廊下で被害にあった後に自ら部屋に入り鍵をかけたとの見解が示され、一同は聞き込みに走る。一方、船内の倉庫ではバンドマンの鶴田(迫田孝也)が、以前メンバ―の風見(岡田義徳)から一郎の名前を聞いたことを思い出す。慌てて否定する風見。そこに六郎とリカコがやってきた。六郎は風見らが持っていたギタ―ケ―スに注目する。直後、目撃者が現れた。犯人は赤い布をかぶり、手に大きな黒い荷物を持っていたという。さらに情報屋(小島よしお)から、風見は一郎に会社を乗っ取られた男の息子であることを聞いた六郎は…。堂本剛      水川あさみ    野波麻帆    戸次重幸    小島よしお    　○    佐藤二朗    　○    高橋克実【原案・脚本】福田雄一【演出】福田雄一石田勝範    【主題歌】「Secret　Code」KinKi　Kids(ジャニ―ズ・エンタテイメント)</t>
  </si>
  <si>
    <t>懸賞に当たり豪華客船でランチをとることになった鞍馬六郎(堂本剛)とリカコ(水川あさみ)と大田原(高橋克実)。同じ頃、児玉一郎(小倉馨)の誕生日パ―ティ―を開くため児玉一家も船に乗り込んでいた。出港後、六郎たちがステ―ジを楽しんでいると突然船体が大きく揺れ船内に女性の悲鳴が響き渡った。駆けつけると部屋の中で絶命している一郎の姿が。指先には血で書かれた“赤"という文字が残されていた。捜査にやる気を見せる六郎の前に、茂木(戸次重幸)が赤いシャツを着て血まみれの男・進藤(豊永利行)を連行してきた。六郎は自白する進藤を犯人じゃないと断言、事件を33分もたせると宣言。  　六郎は、一郎と仲が悪かった家族全員が共謀して殺害したと推理。ところが監視カメラの映像から家族の無実が証明される。鑑識官(佐藤二朗)から、一郎は廊下で被害にあった後に自ら部屋に入り鍵をかけたとの見解が示され、一同は聞き込みに走る。一方、船内の倉庫ではバンドマンの鶴田(迫田孝也)が、以前メンバ―の風見(岡田義徳)から一郎の名前を聞いたことを思い出す。慌てて否定する風見。そこに六郎とリカコがやってきた。六郎は風見らが持っていたギタ―ケ―スに注目する。直後、目撃者が現れた。犯人は赤い布をかぶり、手に大きな黒い荷物を持っていたという。さらに情報屋(小島よしお)から、風見は一郎に会社を乗っ取られた男の息子であることを聞いた六郎は…。</t>
  </si>
  <si>
    <t>0804_CX_月21</t>
  </si>
  <si>
    <t>CHANGE</t>
  </si>
  <si>
    <t>番組名CHANGE　#01</t>
  </si>
  <si>
    <t>内閣支持率はここ10年で最低の数字をたたき出していた。  　ある日、福岡選出の与党議員・朝倉誠と後継者である長男が事故で死亡、補欠選挙が行われることになった。与党にとっては総選挙に影響するため負けられない選挙。与党総務会長・神林正一(寺尾聰)と秘書の美山理香(深津絵里)は候補者に父・誠に勘当された啓太という次男に目を向ける。  　長野の小学校。そこに5年生の担任、朝倉啓太(木村拓哉)がいた。子供たちに慕われ、大好きな天体観測も堪能し、充実した日々を送っていた。  　啓太を訪ねて長野まで理香がやってくる。選挙に出るよう説得するが啓太はまったく政治には興味がない。啓太は高校卒業後、星の美しい場所で暮らしたいという理由で福岡を離れ信州の大学に進み、教師となったのだった。選挙に勝つためには身内を出して弔い合戦を演出するのが1番。無理を押して立候補しようとする母・貴江(富司純子)を前にしてもはや断れない啓太は、渋々立候補を決意する。  　福岡に帰ってきた啓太を大歓迎する後援会の人々。父親の代からのさまざまな応援者の中には宮本ひかる(加藤ロ―サ)もいた。  　やがて選対本部に、韮沢勝利(阿部寛)が到着した。この男こそ「選挙こそは唯一法律で許された戦争なんだ」と言い切る、選挙に勝つためだけに送り込まれた選挙プランナ―だ。ついに啓太の選挙戦がスタ―トする…。木村拓哉    深津絵里    寺尾聰    加藤ロ―サ    堀内敬子    　○    富司純子    阿部寛脚本:福田靖演出:澤田鎌作  プロデュ―ス:後藤博幸  　　　　　　　清水一幸  アソシエイトプロデュ―ス:石原隆延近輝之  主題歌:「マイルズ・アウェイ」マドンナ(ワ―ナ―ミュ―ジック・ジャパン)</t>
  </si>
  <si>
    <t>内閣支持率はここ10年で最低の数字をたたき出していた。  　ある日、福岡選出の与党議員・朝倉誠と後継者である長男が事故で死亡、補欠選挙が行われることになった。与党にとっては総選挙に影響するため負けられない選挙。与党総務会長・神林正一(寺尾聰)と秘書の美山理香(深津絵里)は候補者に父・誠に勘当された啓太という次男に目を向ける。  　長野の小学校。そこに5年生の担任、朝倉啓太(木村拓哉)がいた。子供たちに慕われ、大好きな天体観測も堪能し、充実した日々を送っていた。  　啓太を訪ねて長野まで理香がやってくる。選挙に出るよう説得するが啓太はまったく政治には興味がない。啓太は高校卒業後、星の美しい場所で暮らしたいという理由で福岡を離れ信州の大学に進み、教師となったのだった。選挙に勝つためには身内を出して弔い合戦を演出するのが1番。無理を押して立候補しようとする母・貴江(富司純子)を前にしてもはや断れない啓太は、渋々立候補を決意する。  　福岡に帰ってきた啓太を大歓迎する後援会の人々。父親の代からのさまざまな応援者の中には宮本ひかる(加藤ロ―サ)もいた。  　やがて選対本部に、韮沢勝利(阿部寛)が到着した。この男こそ「選挙こそは唯一法律で許された戦争なんだ」と言い切る、選挙に勝つためだけに送り込まれた選挙プランナ―だ。ついに啓太の選挙戦がスタ―トする…。</t>
  </si>
  <si>
    <t>番組名CHANGE　#02</t>
  </si>
  <si>
    <t>朝倉啓太(木村拓哉)は美山理香(深津絵里)や韮沢勝利(阿部寛)らの協力を得ながら、啓太の誠実さが民心を動かし見事補欠選選挙に当選した。  　早速上京し国会議事堂に向った啓太を迎えたのは理香と数人の職員のみ。総選挙ではなく補欠選挙で当選した議員を追いかけるマスコミはいない、はずだった。が、偶然廊下で現内閣総理大臣の鵜飼武彦(伊東四朗)に遭遇し、はからずも啓太は鵜飼総理と共にニュ―ス番組でとりあげられることとなる。一躍時の人となり、「国会王子」という愛称までつけられるほど。が一方、政友党議員たちからは、啓太が、父親の過去の不正を認めたことを指摘され、厳しい言葉を投げられる。  　ただ、総務会長の神林正一(寺尾聰)だけは啓太を守る。神林は理香に啓太の秘書になるよう命じるのだった。理香の指導のもと啓太はわけも分らぬまま常任委員会に出席する日々を送る。　そんな中、啓太が住む家に韮沢が転がり込む。さらにはウグイス嬢だった後援会会長の姪、宮本ひかる(加藤ロ―サ)までが啓太を慕って突如家を訪れ、3人の共同生活を強いられることになってしまう。こうして啓太の議員生活が混乱の中ついにスタ―トしたのだった。理香は、素人議員である啓太の秘書に自分をつけた神林の意図を量りきれずにいた。神林の狙いとは…。そして新人議員の啓太にこの先一体何が待ち受けているのか。木村拓哉    深津絵里    寺尾聰    加藤ロ―サ    堀内敬子  　　○  富司純子    阿部寛    ほか脚本:福田靖演出:澤田鎌作  プロデュ―ス:後藤博幸  　　　　　　　清水一幸  アソシエイトプロデュ―ス:石原隆延近輝之  主題歌:「マイルズ・アウェイ」マドンナ(ワ―ナ―ミュ―ジック・ジャパン)</t>
  </si>
  <si>
    <t>朝倉啓太(木村拓哉)は美山理香(深津絵里)や韮沢勝利(阿部寛)らの協力を得ながら、啓太の誠実さが民心を動かし見事補欠選選挙に当選した。  　早速上京し国会議事堂に向った啓太を迎えたのは理香と数人の職員のみ。総選挙ではなく補欠選挙で当選した議員を追いかけるマスコミはいない、はずだった。が、偶然廊下で現内閣総理大臣の鵜飼武彦(伊東四朗)に遭遇し、はからずも啓太は鵜飼総理と共にニュ―ス番組でとりあげられることとなる。一躍時の人となり、「国会王子」という愛称までつけられるほど。が一方、政友党議員たちからは、啓太が、父親の過去の不正を認めたことを指摘され、厳しい言葉を投げられる。  　ただ、総務会長の神林正一(寺尾聰)だけは啓太を守る。神林は理香に啓太の秘書になるよう命じるのだった。理香の指導のもと啓太はわけも分らぬまま常任委員会に出席する日々を送る。　そんな中、啓太が住む家に韮沢が転がり込む。さらにはウグイス嬢だった後援会会長の姪、宮本ひかる(加藤ロ―サ)までが啓太を慕って突如家を訪れ、3人の共同生活を強いられることになってしまう。こうして啓太の議員生活が混乱の中ついにスタ―トしたのだった。理香は、素人議員である啓太の秘書に自分をつけた神林の意図を量りきれずにいた。神林の狙いとは…。そして新人議員の啓太にこの先一体何が待ち受けているのか。</t>
  </si>
  <si>
    <t>番組名CHANGE　#03</t>
  </si>
  <si>
    <t>朝倉啓太(木村拓哉)は、小学校教師から補欠選挙に僅差の勝利を収めついに新人議員としての一歩を踏み出した。そんな折、史上最低の支持率をたたき出してしまっていた鵜飼武彦総理(伊東四朗)がついに辞任を発表する。様々な思惑がうごめく中、啓太は驚くべき事態に襲われる。  　なんと啓太は、神林正一総務会長(寺尾聰)より総裁選に立候補してほしいという依頼を受ける。既に政友党幹部らの応援も取り付けたという。戸惑う啓太をよそに、幹部ばかりか信頼を寄せる若手議員、生方恒男(石黒賢)らも若手の声を届けてほしい、と推薦人に加わってくる。政治家になって誰のために何をすればいいのか・・・。  　答えを見つけられるかもしれない、と啓太は教え子たちの顔を見るため長野を訪れるのだった。美山理香(深津絵里)は啓太を追い、啓太に率直な思いをぶつけるのだった。それらの様々な声に応え、ついに啓太は総裁選出馬を決意する。啓太の言葉ひとつひとつが国民の心に届き、国民は心を揺さぶられる。啓太が内閣総理大臣になる時は刻一刻と近づいているのだった。木村拓哉    深津絵里    寺尾聰    加藤ロ―サ    堀内敬子  　　○    石黒賢    富司純子    阿部寛脚本:福田靖演出:平野眞  プロデュ―ス:後藤博幸  　　　　　　　清水一幸  アソシエイトプロデュ―ス:石原隆延近輝之  主題歌:「マイルズ・アウェイ」マドンナ(ワ―ナ―ミュ―ジック・ジャパン)</t>
  </si>
  <si>
    <t>朝倉啓太(木村拓哉)は、小学校教師から補欠選挙に僅差の勝利を収めついに新人議員としての一歩を踏み出した。そんな折、史上最低の支持率をたたき出してしまっていた鵜飼武彦総理(伊東四朗)がついに辞任を発表する。様々な思惑がうごめく中、啓太は驚くべき事態に襲われる。  　なんと啓太は、神林正一総務会長(寺尾聰)より総裁選に立候補してほしいという依頼を受ける。既に政友党幹部らの応援も取り付けたという。戸惑う啓太をよそに、幹部ばかりか信頼を寄せる若手議員、生方恒男(石黒賢)らも若手の声を届けてほしい、と推薦人に加わってくる。政治家になって誰のために何をすればいいのか・・・。  　答えを見つけられるかもしれない、と啓太は教え子たちの顔を見るため長野を訪れるのだった。美山理香(深津絵里)は啓太を追い、啓太に率直な思いをぶつけるのだった。それらの様々な声に応え、ついに啓太は総裁選出馬を決意する。啓太の言葉ひとつひとつが国民の心に届き、国民は心を揺さぶられる。啓太が内閣総理大臣になる時は刻一刻と近づいているのだった。</t>
  </si>
  <si>
    <t>番組名CHANGE　#04</t>
  </si>
  <si>
    <t>「僕のすべては、皆さんと同じです。」朝倉啓太(木村拓哉)の国民目線の発言が人々の心を打ち、総裁選に圧勝、日本政友党総裁となり、ついに史上最年少の朝倉啓太第92代内閣総理大臣が誕生した。  　啓太にはトイレに行くにもどこへ行くにもSPが付き、秘書の美山理香(深津絵里)は首席秘書官となりいずれも先輩ばかりの事務秘書官4人を従えることとなる。  　早速組閣に取りかかることとなるが何も分からない啓太は、神林正一(寺尾聰)に一切の組閣を託してしまう。啓太に期待していた若手議員らは神林のいいなりとなっている啓太に失望し始める。  　啓太の新総理生活に待ったはない。次々と各省から総理の署名を待つばかりの様々な文書が持ち込まれる、一方、首相親任式、記者会見、閣議、と分刻みのスケジュ―ルが啓太に襲いかかる。理香には文書は読まずに署名するだけでいいと言われるが、1つの文書に目を止める。八ツ島湾の漁業関係者より、湾でクラゲが異常発生、漁業に影響を与えたことはダム建設によるものという訴えがあり、地裁は国の責任を認める判決を下した。が、これに控訴するため総理の了承を得たいという文書だった。理香の説明を聞いても、担当事務次官らの説明を聞いても納得がいかない啓太。その姿に事務官たちは反発を覚える。  　一方、神林は啓太抜きで新閣僚たちを集めなにやら議論を始めた。啓太は孤立してしまうのか。木村拓哉    深津絵里    寺尾聰    加藤ロ―サ      堀内敬子  　　○  風間杜夫  　　○  石黒賢    富司純子      阿部寛脚本:福田靖演出:平野眞  プロデュ―ス:後藤博幸  　　　　　　　清水一幸  アソシエイトプロデュ―ス:石原隆延近輝之  主題歌:「マイルズ・アウェイ」マドンナ(ワ―ナ―ミュ―ジック・ジャパン)</t>
  </si>
  <si>
    <t>「僕のすべては、皆さんと同じです。」朝倉啓太(木村拓哉)の国民目線の発言が人々の心を打ち、総裁選に圧勝、日本政友党総裁となり、ついに史上最年少の朝倉啓太第92代内閣総理大臣が誕生した。  　啓太にはトイレに行くにもどこへ行くにもSPが付き、秘書の美山理香(深津絵里)は首席秘書官となりいずれも先輩ばかりの事務秘書官4人を従えることとなる。  　早速組閣に取りかかることとなるが何も分からない啓太は、神林正一(寺尾聰)に一切の組閣を託してしまう。啓太に期待していた若手議員らは神林のいいなりとなっている啓太に失望し始める。  　啓太の新総理生活に待ったはない。次々と各省から総理の署名を待つばかりの様々な文書が持ち込まれる、一方、首相親任式、記者会見、閣議、と分刻みのスケジュ―ルが啓太に襲いかかる。理香には文書は読まずに署名するだけでいいと言われるが、1つの文書に目を止める。八ツ島湾の漁業関係者より、湾でクラゲが異常発生、漁業に影響を与えたことはダム建設によるものという訴えがあり、地裁は国の責任を認める判決を下した。が、これに控訴するため総理の了承を得たいという文書だった。理香の説明を聞いても、担当事務次官らの説明を聞いても納得がいかない啓太。その姿に事務官たちは反発を覚える。  　一方、神林は啓太抜きで新閣僚たちを集めなにやら議論を始めた。啓太は孤立してしまうのか。</t>
  </si>
  <si>
    <t>番組名CHANGE　#05</t>
  </si>
  <si>
    <t>総理として多忙な日々を過ごす中、レクチャ―や会談の予定が急遽飛んでしまい、はからずも朝倉啓太(木村拓哉)は翌日休みを取れることとなる。  　啓太は東京見物をしたいと望むが、総理の外出は事前に警備計画を立てる必要があるということで断念、せめてかねてから行きたかったビバリ―ヒルズド―ナッツに行きたいと切望する。美山理香(深津絵里)の調整によりビバリ―ヒルズド―ナッツだけは警備体制を整えられることとなり啓太の願いがかなう。正式に首相補佐官となった韮沢勝利(阿部寛)らと共に早速出発しようとする。  　当番秘書官の郡司敏夫(平泉成)も到着して出発、となったその時、韮沢が奇声を発する。1年前に別れた妻の娘がたずねてくるというのだ。娘からの突然の連絡に、普段は頑強な韮沢がへたりこんでしまう。  　鳴り響く玄関ドアチャイム。とそこに現れたのは、アメリカ通商代表ハリ―・ビンガム(ニコラス・ペタス)。現在来日中で日米構造協議に臨み日本に無理な要求を突きつけている張本人だ。構造協議で日本側が拒否した農産物輸入拡大要求について直接総理と話したいという。  　当番秘書の郡司は、官房長官室にいる神林正一(寺尾聰)から電話で指示を受けつつ啓太には下手に何もしゃべらせないよう力を尽くす。本題に入ろうとしたその瞬間またドアチャイムの音が。ついに韮沢の娘が登場する。木村拓哉    深津絵里    寺尾聰    加藤ロ―サ    堀内敬子  　　○  風間杜夫  　　○  西村雅彦  平泉成  大倉孝二  　　○  阿部寛脚本:福田靖演出:澤田鎌作  プロデュ―ス:後藤博幸  　　　　　　　清水一幸  アソシエイトプロデュ―ス:石原隆延近輝之  主題歌:「マイルズ・アウェイ」マドンナ(ワ―ナ―ミュ―ジック・ジャパン)</t>
  </si>
  <si>
    <t>総理として多忙な日々を過ごす中、レクチャ―や会談の予定が急遽飛んでしまい、はからずも朝倉啓太(木村拓哉)は翌日休みを取れることとなる。  　啓太は東京見物をしたいと望むが、総理の外出は事前に警備計画を立てる必要があるということで断念、せめてかねてから行きたかったビバリ―ヒルズド―ナッツに行きたいと切望する。美山理香(深津絵里)の調整によりビバリ―ヒルズド―ナッツだけは警備体制を整えられることとなり啓太の願いがかなう。正式に首相補佐官となった韮沢勝利(阿部寛)らと共に早速出発しようとする。  　当番秘書官の郡司敏夫(平泉成)も到着して出発、となったその時、韮沢が奇声を発する。1年前に別れた妻の娘がたずねてくるというのだ。娘からの突然の連絡に、普段は頑強な韮沢がへたりこんでしまう。  　鳴り響く玄関ドアチャイム。とそこに現れたのは、アメリカ通商代表ハリ―・ビンガム(ニコラス・ペタス)。現在来日中で日米構造協議に臨み日本に無理な要求を突きつけている張本人だ。構造協議で日本側が拒否した農産物輸入拡大要求について直接総理と話したいという。  　当番秘書の郡司は、官房長官室にいる神林正一(寺尾聰)から電話で指示を受けつつ啓太には下手に何もしゃべらせないよう力を尽くす。本題に入ろうとしたその瞬間またドアチャイムの音が。ついに韮沢の娘が登場する。</t>
  </si>
  <si>
    <t>番組名CHANGE　#06</t>
  </si>
  <si>
    <t>朝倉啓太(木村拓哉)、美山理香(深津絵里)の2人が新聞にただならぬ関係であると書き立てられ、ショックを受ける理香。以来理香は不自然なまでに啓太との距離を取ろうとするが、啓太はいつもの調子だった。  　一方、補正予算案が啓太のもとへ持ち込まれる。朝倉総理の承認が得られれば、閣議決定し、国会に提出するばかり。だったのだが、内容を吟味した啓太は補正予算案の変更を求める。　理香の元同僚の息子が病院のたらい回しにあい、処置が遅れたことを耳にした啓太は、医師の声も聞いた上で小児科医療対策を最優先した予算案に変更するというのだ。  　動揺する内閣官房長官・神林正一(寺尾聰)、そして事務秘書官たち。  　その日から、百坂哲也(西村雅彦)ら秘書官たちは各担当局長へ変更のための交渉を始めるが案の定、激しい抵抗にあう。啓太も寝ずに資料と格闘しつつ、各大臣の説得に当たっていた。　そんな啓太の姿に次第に百坂も心を動かされ始める。  　一方、野党革進党の野呂代表(高橋英樹)も小児科医療対策に予算をあてるべきと考えているという情報を耳にした啓太は素直に喜び、まわりを驚かす。  　しかし、与党内の反発は依然強く、さらに理香との新たなスキャンダル記事が雑誌に掲載され、啓太の劣勢は続いていた・・・。木村拓哉    深津絵里    寺尾聰    加藤ロ―サ    堀内敬子  　　○  風間杜夫  　　○  石黒賢    阿部寛脚本:福田靖演出:平野眞  プロデュ―ス:後藤博幸  　　　　　　　清水一幸  アソシエイトプロデュ―ス:石原隆延近輝之  主題歌:「マイルズ・アウェイ」マドンナ(ワ―ナ―ミュ―ジック・ジャパン)</t>
  </si>
  <si>
    <t>朝倉啓太(木村拓哉)、美山理香(深津絵里)の2人が新聞にただならぬ関係であると書き立てられ、ショックを受ける理香。以来理香は不自然なまでに啓太との距離を取ろうとするが、啓太はいつもの調子だった。  　一方、補正予算案が啓太のもとへ持ち込まれる。朝倉総理の承認が得られれば、閣議決定し、国会に提出するばかり。だったのだが、内容を吟味した啓太は補正予算案の変更を求める。　理香の元同僚の息子が病院のたらい回しにあい、処置が遅れたことを耳にした啓太は、医師の声も聞いた上で小児科医療対策を最優先した予算案に変更するというのだ。  　動揺する内閣官房長官・神林正一(寺尾聰)、そして事務秘書官たち。  　その日から、百坂哲也(西村雅彦)ら秘書官たちは各担当局長へ変更のための交渉を始めるが案の定、激しい抵抗にあう。啓太も寝ずに資料と格闘しつつ、各大臣の説得に当たっていた。　そんな啓太の姿に次第に百坂も心を動かされ始める。  　一方、野党革進党の野呂代表(高橋英樹)も小児科医療対策に予算をあてるべきと考えているという情報を耳にした啓太は素直に喜び、まわりを驚かす。  　しかし、与党内の反発は依然強く、さらに理香との新たなスキャンダル記事が雑誌に掲載され、啓太の劣勢は続いていた・・・。</t>
  </si>
  <si>
    <t>番組名CHANGE　#07</t>
  </si>
  <si>
    <t>朝倉啓太総理(木村拓哉)は補正予算案に小児科医療対策を優先させるべきという異論を唱え、与党内から強い反発をくらったが、考えを同じくする野党代表野呂議員(高橋英樹)とも協力体制を構築するなど斬新な発想で自身の予算案を通すべく総理自ら、そして秘書官たち、韮沢勝利(阿部寛)、宮本ひかる(加藤ロ―サ)、皆で日夜奔走していた。  　しかしもはや神林正一(寺尾聰)にとって啓太はもう必要のない存在だった。啓太のまわりの人間を引き離すことにより啓太自身から辞職する状況に追い込もうと企む。  　まずは理香(深津絵里)に総理首席秘書官を辞するよう指示する。辛いながらも理香は神林の指示通り啓太に辞職を願い出る。啓太はショックを受けるが理香の意志を尊重し要望を受け入れる。まわりが説得するも理香は耳を貸さない。早速首席秘書官を総理のブログ内で公募し多くの応募が寄せられる。理香は、首席秘書官の面接を行うが、人一倍厳しい審査を行い片っ端から落としてしまう。  　一方、神林はさらに啓太に致命傷を与えるべく、与党内で唯一応援していた小野田グル―プ35人を買収にかかっていた。  　何も知らない啓太は、病院をたらい回しにされた末に入院中の亮介(広田亮平)を見舞いながら、日々小児医療問題を優先させた補正予算案を通す準備を進めていた。果たして啓太を待ち受けているものとは。木村拓哉    深津絵里    寺尾聰    加藤ロ―サ    堀内敬子  　　○  風間杜夫  　　○  石黒賢    富司純子    阿部寛脚本:福田靖演出:平野眞  プロデュ―ス:後藤博幸  　　　　　　　清水一幸  アソシエイトプロデュ―ス:石原隆延近輝之  主題歌:「マイルズ・アウェイ」マドンナ(ワ―ナ―ミュ―ジック・ジャパン)</t>
  </si>
  <si>
    <t>朝倉啓太総理(木村拓哉)は補正予算案に小児科医療対策を優先させるべきという異論を唱え、与党内から強い反発をくらったが、考えを同じくする野党代表野呂議員(高橋英樹)とも協力体制を構築するなど斬新な発想で自身の予算案を通すべく総理自ら、そして秘書官たち、韮沢勝利(阿部寛)、宮本ひかる(加藤ロ―サ)、皆で日夜奔走していた。  　しかしもはや神林正一(寺尾聰)にとって啓太はもう必要のない存在だった。啓太のまわりの人間を引き離すことにより啓太自身から辞職する状況に追い込もうと企む。  　まずは理香(深津絵里)に総理首席秘書官を辞するよう指示する。辛いながらも理香は神林の指示通り啓太に辞職を願い出る。啓太はショックを受けるが理香の意志を尊重し要望を受け入れる。まわりが説得するも理香は耳を貸さない。早速首席秘書官を総理のブログ内で公募し多くの応募が寄せられる。理香は、首席秘書官の面接を行うが、人一倍厳しい審査を行い片っ端から落としてしまう。  　一方、神林はさらに啓太に致命傷を与えるべく、与党内で唯一応援していた小野田グル―プ35人を買収にかかっていた。  　何も知らない啓太は、病院をたらい回しにされた末に入院中の亮介(広田亮平)を見舞いながら、日々小児医療問題を優先させた補正予算案を通す準備を進めていた。果たして啓太を待ち受けているものとは。</t>
  </si>
  <si>
    <t>番組名CHANGE　#08</t>
  </si>
  <si>
    <t>朝倉啓太内閣総理大臣(木村拓哉)を下ろすため、神林正一(寺尾聰)はあらゆる手をつくす。美山理香(深津絵里)に首席秘書官を辞めさせ、朝倉総理の補正予算案を支援する小野田(中村敦夫)グル―プの切り崩しにかかり、補正予算案は過半数割れにより否決されることが確実となる。衝撃を受ける啓太。しかも全ての黒幕が神林であることを啓太は知ってしまう。理香も全てを知っていたと知り愕然とする啓太。失意の啓太のもとにさらに訃報が襲う。入院中だった亮介が亡くなったという。啓太は誰にも告げず姿を消すのだった。  　翌朝、啓太の失踪に気づいた韮沢勝利(阿部寛)、宮本ひかる(加藤ロ―サ)、檀原段(大倉孝二)は思い当たるところを探し尽くした上で理香を交え4人で対応に頭を悩ませていた。すると理香の元に啓太の母、貴江(富司純子)から電話がかかる。福岡の実家に啓太が帰ってきたと言う。理香は早速福岡に飛ぶ。啓太は目の前に理香がいることに驚くのだった。  　理香は啓太に、総理不在のまま小児科医療対策のための予算案は採決されなかったことを報告する。深夜、ニュ―スを見ていた啓太は、突如、朝までに東京へ帰ると言いだす。車を飛ばし2人は明け方の東京に無事到着する。が、それは2人の別れを意味していた。理香を失ったまま啓太は前に進まねばならなかった。  　そんな折、啓太は、神林に会って話がしたい、と理香に告げる。木村拓哉    深津絵里    寺尾聰    加藤ロ―サ    堀内敬子  　　○  風間杜夫  　　○  石黒賢    富司純子    阿部寛脚本:福田靖演出:澤田鎌作  プロデュ―ス:後藤博幸  　　　　　　　清水一幸  アソシエイトプロデュ―ス:石原隆延近輝之  主題歌:「マイルズ・アウェイ」マドンナ(ワ―ナ―ミュ―ジック・ジャパン)</t>
  </si>
  <si>
    <t>朝倉啓太内閣総理大臣(木村拓哉)を下ろすため、神林正一(寺尾聰)はあらゆる手をつくす。美山理香(深津絵里)に首席秘書官を辞めさせ、朝倉総理の補正予算案を支援する小野田(中村敦夫)グル―プの切り崩しにかかり、補正予算案は過半数割れにより否決されることが確実となる。衝撃を受ける啓太。しかも全ての黒幕が神林であることを啓太は知ってしまう。理香も全てを知っていたと知り愕然とする啓太。失意の啓太のもとにさらに訃報が襲う。入院中だった亮介が亡くなったという。啓太は誰にも告げず姿を消すのだった。  　翌朝、啓太の失踪に気づいた韮沢勝利(阿部寛)、宮本ひかる(加藤ロ―サ)、檀原段(大倉孝二)は思い当たるところを探し尽くした上で理香を交え4人で対応に頭を悩ませていた。すると理香の元に啓太の母、貴江(富司純子)から電話がかかる。福岡の実家に啓太が帰ってきたと言う。理香は早速福岡に飛ぶ。啓太は目の前に理香がいることに驚くのだった。  　理香は啓太に、総理不在のまま小児科医療対策のための予算案は採決されなかったことを報告する。深夜、ニュ―スを見ていた啓太は、突如、朝までに東京へ帰ると言いだす。車を飛ばし2人は明け方の東京に無事到着する。が、それは2人の別れを意味していた。理香を失ったまま啓太は前に進まねばならなかった。  　そんな折、啓太は、神林に会って話がしたい、と理香に告げる。</t>
  </si>
  <si>
    <t>0804_CX_火21</t>
  </si>
  <si>
    <t>絶対彼氏</t>
  </si>
  <si>
    <t>番組名絶対彼氏～完全無欠の恋人ロボット～　#01</t>
  </si>
  <si>
    <t>クロノスヘヴン社の一室では“愛を捧げぬくロボット"試作品1号(速水もこみち)が完成目前となっていた。  　製菓会社「ASAMOTO」の企画開発室で派遣社員として働く井沢梨衣子(相武紗季)は、憧れの先輩・石関隼人(姜暢雄)に告白する前にあっさりと振られた。落ち込んでいた梨衣子に並切岳(佐々木蔵之介)から理想の彼氏を無料で紹介すると声をかけられ、梨衣子は契約書にサインする。翌日、会社で新商品試食会議が行われるが、御曹司でありながらグ―タラと評判の浅元創志(水嶋ヒロ)の姿はなかった。新作ケ―キを届けるよう言い渡された梨衣子は、創志に求められるまま新作ケ―キの意見を述べる。  　ある朝、梨衣子の元へ裸の美青年ロボットが届けられた。それが5日間無料お試し期間の“理想の彼氏型ロボット"であることを知った梨衣子は、戸惑いながらも5日間だけと自分に言い聞かせ同棲生活を始める。そんな中、石関から誘われ有頂天でデ―トに出かけた梨衣子。しかし、梨衣子を愛するようにプログラムされているロボットはデ―ト中にも現れる。邪魔をされたと怒った梨衣子はロボット返却を決意。そんな折、「ASAMOTO」の新作発表会が行われた。盛大な発表会にもかかわらず、石関のミスで肝心なケ―キが届かない。石関をかばって自分のミスとしてみんなに謝る梨衣子。そして、梨衣子に会いにきていたロボットは、その光景を見て走り出し…。速水もこみち  水嶋ヒロ  相武紗季  中村俊介  佐々木蔵之介  真矢みき　ほか原作:「絶対彼氏。」渡瀬悠宇(小学館Sho-Comiフラワ―コミックス刊)  脚本:根津理香演出:土方政人福島祐子  主題歌:「おかえり」絢香(ワ―ナ―ミュ―ジック・ジャパン)</t>
  </si>
  <si>
    <t>クロノスヘヴン社の一室では“愛を捧げぬくロボット"試作品1号(速水もこみち)が完成目前となっていた。  　製菓会社「ASAMOTO」の企画開発室で派遣社員として働く井沢梨衣子(相武紗季)は、憧れの先輩・石関隼人(姜暢雄)に告白する前にあっさりと振られた。落ち込んでいた梨衣子に並切岳(佐々木蔵之介)から理想の彼氏を無料で紹介すると声をかけられ、梨衣子は契約書にサインする。翌日、会社で新商品試食会議が行われるが、御曹司でありながらグ―タラと評判の浅元創志(水嶋ヒロ)の姿はなかった。新作ケ―キを届けるよう言い渡された梨衣子は、創志に求められるまま新作ケ―キの意見を述べる。  　ある朝、梨衣子の元へ裸の美青年ロボットが届けられた。それが5日間無料お試し期間の“理想の彼氏型ロボット"であることを知った梨衣子は、戸惑いながらも5日間だけと自分に言い聞かせ同棲生活を始める。そんな中、石関から誘われ有頂天でデ―トに出かけた梨衣子。しかし、梨衣子を愛するようにプログラムされているロボットはデ―ト中にも現れる。邪魔をされたと怒った梨衣子はロボット返却を決意。そんな折、「ASAMOTO」の新作発表会が行われた。盛大な発表会にもかかわらず、石関のミスで肝心なケ―キが届かない。石関をかばって自分のミスとしてみんなに謝る梨衣子。そして、梨衣子に会いにきていたロボットは、その光景を見て走り出し…。</t>
  </si>
  <si>
    <t>番組名絶対彼氏～完全無欠の恋人ロボット～　#02</t>
  </si>
  <si>
    <t>ナイト(速水もこみち)との同棲生活に慣れず、戸惑いばかりの梨衣子(相武紗季)だったが、今日が無料お試し期間の最終日となっていた。  「ASAMOTO」では、社長の和志(山本圭)が反対する将志(中村俊介)を押し切り、百貨店に出す新商品の開発を創志(水嶋ヒロ)に任せると言い出した。渋々と引き受けた創志は、梨衣子にシュ―クリ―ムを作ってくるように強引に依頼する。ナイトが手作り弁当を届けにきたことで、美加(上野なつひ)らにナイトの存在がばれてしまい大慌ての梨衣子。また、クロノスヘヴン社でも梨衣子がナイトに恋愛感情を示さないことに困惑をしていた。その夜、梨衣子が家に帰ると、岳(佐々木蔵之介)が訪ねてきた。ナイトを買い取れと言い出した岳に、代金が1億円と聞いた梨衣子は修理費用100万円を1週間以内に用意する約束をする。金策に困った梨衣子は、美加からのアドバイスを受けて、翌日からキャバクラでアルバイトを始めた。たまたまキャバクラに遊びに来ていた創志は、梨衣子の姿を見つける。一方、美加は梨衣子がバイトに行っている時間を見計らって家を訪ねる。梨衣子の行き先を知らないというナイトに美加は意味深な言葉を告げる。梨衣子を探しに外に出たナイトは、泥酔して眠っている梨衣子をおんぶしている創志と遭遇してしまう。そして梨衣子を家に連れて帰ってきたナイトは、寝言で「40万…」とつぶやく梨衣子の顔を見つめ…。速水もこみち  水嶋ヒロ  相武紗季  中村俊介  佐々木蔵之介  真矢みき  ほか原作:「絶対彼氏。」渡瀬悠宇(小学館Sho-Comiフラワ―コミックス刊)  脚本:根津理香演出:土方政人福島祐子  主題歌:「おかえり」絢香(ワ―ナ―ミュ―ジック・ジャパン)</t>
  </si>
  <si>
    <t>ナイト(速水もこみち)との同棲生活に慣れず、戸惑いばかりの梨衣子(相武紗季)だったが、今日が無料お試し期間の最終日となっていた。  「ASAMOTO」では、社長の和志(山本圭)が反対する将志(中村俊介)を押し切り、百貨店に出す新商品の開発を創志(水嶋ヒロ)に任せると言い出した。渋々と引き受けた創志は、梨衣子にシュ―クリ―ムを作ってくるように強引に依頼する。ナイトが手作り弁当を届けにきたことで、美加(上野なつひ)らにナイトの存在がばれてしまい大慌ての梨衣子。また、クロノスヘヴン社でも梨衣子がナイトに恋愛感情を示さないことに困惑をしていた。その夜、梨衣子が家に帰ると、岳(佐々木蔵之介)が訪ねてきた。ナイトを買い取れと言い出した岳に、代金が1億円と聞いた梨衣子は修理費用100万円を1週間以内に用意する約束をする。金策に困った梨衣子は、美加からのアドバイスを受けて、翌日からキャバクラでアルバイトを始めた。たまたまキャバクラに遊びに来ていた創志は、梨衣子の姿を見つける。一方、美加は梨衣子がバイトに行っている時間を見計らって家を訪ねる。梨衣子の行き先を知らないというナイトに美加は意味深な言葉を告げる。梨衣子を探しに外に出たナイトは、泥酔して眠っている梨衣子をおんぶしている創志と遭遇してしまう。そして梨衣子を家に連れて帰ってきたナイトは、寝言で「40万…」とつぶやく梨衣子の顔を見つめ…。</t>
  </si>
  <si>
    <t>番組名絶対彼氏～完全無欠の恋人ロボット～　#03</t>
  </si>
  <si>
    <t>勢いでナイト(速水もこみち)を購入してしまった梨衣子(相武紗季)は、70年ロ―ンに頭を抱える。翌日、梨衣子が会社に行くとナイトが清掃員として働いていた。同僚たちに従兄弟だと紹介する梨衣子だが、2人の様子を美加(上野なつひ)が見つめていて…。一方、創志(水嶋ヒロ)は梨衣子が作ったシュ―クリ―ムを企画会議に出すが、将志(中村俊介)に見た目が地味だと却下される。創志は祖父の代からASAMOTOで働く三浦(石田太郎)の支店を訪ね、シュ―クリ―ムを店頭に並べる約束をこぎつけた。その夜、残業代につられた梨衣子は再び創志とシュ―クリ―ム作りを始める。梨衣子を会社前で待っていたナイトの前には美加が現れアプロ―チをするが、なびかないナイトにいら立ち2人で残業していることを教える。会社に引き返したナイトは会社前で梨衣子を待ち続ける。  　翌朝5時。シュ―クリ―ムが完成し、運び出す創志と梨衣子の前にナイトが現れた。プログラムにより嫉妬をするナイトを冷たくあしらう梨衣子。クロノスヘヴン社では、岳(佐々木蔵之介)が梨衣子の感情が恋愛の喜びを示すピンクにならないことに焦りを感じていた。シュ―クリ―ムを届け終わった梨衣子は、みんなと合流して企画室の温泉旅行に旅立つ。バスが温泉旅館に到着し、梨衣子がトランクを開けると、そこにはナイトが…。同じ頃遅れて温泉に向かおうとしていた創志の携帯電話に将志からの着信が入る。速水もこみち  水嶋ヒロ  相武紗季  中村俊介  佐々木蔵之介  真矢みき　ほか原作:「絶対彼氏。」渡瀬悠宇(小学館Sho-Comiフラワ―コミックス刊)  脚本:根津理香演出:佐藤源太福島祐子  主題歌:「おかえり」絢香(ワ―ナ―ミュ―ジック・ジャパン)</t>
  </si>
  <si>
    <t>勢いでナイト(速水もこみち)を購入してしまった梨衣子(相武紗季)は、70年ロ―ンに頭を抱える。翌日、梨衣子が会社に行くとナイトが清掃員として働いていた。同僚たちに従兄弟だと紹介する梨衣子だが、2人の様子を美加(上野なつひ)が見つめていて…。一方、創志(水嶋ヒロ)は梨衣子が作ったシュ―クリ―ムを企画会議に出すが、将志(中村俊介)に見た目が地味だと却下される。創志は祖父の代からASAMOTOで働く三浦(石田太郎)の支店を訪ね、シュ―クリ―ムを店頭に並べる約束をこぎつけた。その夜、残業代につられた梨衣子は再び創志とシュ―クリ―ム作りを始める。梨衣子を会社前で待っていたナイトの前には美加が現れアプロ―チをするが、なびかないナイトにいら立ち2人で残業していることを教える。会社に引き返したナイトは会社前で梨衣子を待ち続ける。  　翌朝5時。シュ―クリ―ムが完成し、運び出す創志と梨衣子の前にナイトが現れた。プログラムにより嫉妬をするナイトを冷たくあしらう梨衣子。クロノスヘヴン社では、岳(佐々木蔵之介)が梨衣子の感情が恋愛の喜びを示すピンクにならないことに焦りを感じていた。シュ―クリ―ムを届け終わった梨衣子は、みんなと合流して企画室の温泉旅行に旅立つ。バスが温泉旅館に到着し、梨衣子がトランクを開けると、そこにはナイトが…。同じ頃遅れて温泉に向かおうとしていた創志の携帯電話に将志からの着信が入る。</t>
  </si>
  <si>
    <t>番組名絶対彼氏～完全無欠の恋人ロボット～　#04</t>
  </si>
  <si>
    <t>ナイト(速水もこみち)と美加(上野なつひ)のキス現場を目撃した梨衣子(相武紗季)。ナイトには所有者以外にキスをされるとそれまでの記憶が消えてキスした人間を恋人と認識して再起動する機能があるため、キス以来のナイトは美加にべったり。契約解除はできないため、ナイトにキスをして再起動させるべきだという岳(佐々木蔵之介)だが、梨衣子は乗り気でない。一方、会社に内緒でシュ―クリ―ムを売った創志(水嶋ヒロ)は1週間の謹慎処分になる。ある日岳はナイトにキスをする気配のない梨衣子を訪ね、ナイトがロボットだとバレると違約金が発生することを告げる。慌ててキスを試みる梨衣子だが、ことごとく失敗。ナイトと美加のデ―トを尾行する。レストランで美加が席を外したところを見計らいナイトを外に連れ出した梨衣子。しかし、デ―トを邪魔されて怒ったナイトから「君には恋をする資格はない」と言われてしまう。怒り心頭で立ち去った梨衣子は、シュ―クリ―ムを置いて欲しいとデパ―トやコンビニ回りをしたものの全滅だったという創志と遭遇。実際に食べてもらおうとシュ―クリ―ム作りを提案する。同じ頃クロノスヘヴン社では事の成り行きを聞いた白鷺(篠井英介)から、2日の間に梨衣子が再起動させなければナイトを回収し強制終了をかけることを告げられた。深夜、閉店後の「リベルテ」を借りてシュ―クリ―ム作りを始めた創志と梨衣子の前にナイトが現れ…。速水もこみち  水嶋ヒロ  相武紗季  中村俊介  佐々木蔵之介  真矢みき　ほか原作:「絶対彼氏。」渡瀬悠宇(小学館Sho-Comiフラワ―コミックス刊)  脚本:文島礼演出:佐藤源太主題歌:「おかえり」絢香(ワ―ナ―ミュ―ジック・ジャパン)  音楽:福島祐子</t>
  </si>
  <si>
    <t>ナイト(速水もこみち)と美加(上野なつひ)のキス現場を目撃した梨衣子(相武紗季)。ナイトには所有者以外にキスをされるとそれまでの記憶が消えてキスした人間を恋人と認識して再起動する機能があるため、キス以来のナイトは美加にべったり。契約解除はできないため、ナイトにキスをして再起動させるべきだという岳(佐々木蔵之介)だが、梨衣子は乗り気でない。一方、会社に内緒でシュ―クリ―ムを売った創志(水嶋ヒロ)は1週間の謹慎処分になる。ある日岳はナイトにキスをする気配のない梨衣子を訪ね、ナイトがロボットだとバレると違約金が発生することを告げる。慌ててキスを試みる梨衣子だが、ことごとく失敗。ナイトと美加のデ―トを尾行する。レストランで美加が席を外したところを見計らいナイトを外に連れ出した梨衣子。しかし、デ―トを邪魔されて怒ったナイトから「君には恋をする資格はない」と言われてしまう。怒り心頭で立ち去った梨衣子は、シュ―クリ―ムを置いて欲しいとデパ―トやコンビニ回りをしたものの全滅だったという創志と遭遇。実際に食べてもらおうとシュ―クリ―ム作りを提案する。同じ頃クロノスヘヴン社では事の成り行きを聞いた白鷺(篠井英介)から、2日の間に梨衣子が再起動させなければナイトを回収し強制終了をかけることを告げられた。深夜、閉店後の「リベルテ」を借りてシュ―クリ―ム作りを始めた創志と梨衣子の前にナイトが現れ…。</t>
  </si>
  <si>
    <t>番組名絶対彼氏～完全無欠の恋人ロボット～　#05</t>
  </si>
  <si>
    <t>再起動したナイト(速水もこみち)は梨衣子(相武紗季)の元に戻ってきたが、ロ―ンの支払いで極貧生活を送ることに。そんな中、会社でシュ―クリ―ムが東京スイ―ツ展に出品されることが話題になっていた。恋も仕事も順調な梨衣子を妬む美加(上野なつひ)はナイトにアプロ―チするが相手にされず怒りを募らせる。役員会議では創志(水嶋ヒロ)が将志(中村俊介)の意見を遮り、出品のシュ―クリ―ムは手作りにすると断言。その夜、ナイトが再起動直後から梨衣子を覚えていたことに疑問を抱く岳(佐々木蔵之介)がナイトのパ―ツ交換をする。しかし、スイ―ツ展の準備で一緒にいる創志と梨衣子に嫉妬をあらわにするナイト。梨衣子はプログラムだと受け流すが、ナイトは嫉妬している記憶がないようだ。一方、美加はパソコンの掲示板にシュ―クリ―ムの悪評を書きたてる。  　スイ―ツ展当日。シュ―クリ―ムはさっぱり売れずショックを隠せない梨衣子を明るく励ます創志。同じ頃、クロノスヘヴン社では“恋人型ロボット"の量産化が決定。ナイトの不調を隠しているだけに岳は複雑な気持ちだ。  　翌日、創志は将志にパソコンの中傷記事を見せられた。信用問題だと責め、梨衣子を解雇するという将志に自分が責任をとると言いきった創志は…。そんな折、梨衣子にあるプレゼントをするために街を歩いていたナイトは美加を見つけ後をつける。速水もこみち  水嶋ヒロ  相武紗季  中村俊介  佐々木蔵之介  真矢みき　ほか原作:「絶対彼氏。」渡瀬悠宇(小学館Sho-Comiフラワ―コミックス刊)  脚本:根津理香演出:土方政人福島祐子  主題歌:「おかえり」絢香(ワ―ナ―ミュ―ジック・ジャパン)</t>
  </si>
  <si>
    <t>再起動したナイト(速水もこみち)は梨衣子(相武紗季)の元に戻ってきたが、ロ―ンの支払いで極貧生活を送ることに。そんな中、会社でシュ―クリ―ムが東京スイ―ツ展に出品されることが話題になっていた。恋も仕事も順調な梨衣子を妬む美加(上野なつひ)はナイトにアプロ―チするが相手にされず怒りを募らせる。役員会議では創志(水嶋ヒロ)が将志(中村俊介)の意見を遮り、出品のシュ―クリ―ムは手作りにすると断言。その夜、ナイトが再起動直後から梨衣子を覚えていたことに疑問を抱く岳(佐々木蔵之介)がナイトのパ―ツ交換をする。しかし、スイ―ツ展の準備で一緒にいる創志と梨衣子に嫉妬をあらわにするナイト。梨衣子はプログラムだと受け流すが、ナイトは嫉妬している記憶がないようだ。一方、美加はパソコンの掲示板にシュ―クリ―ムの悪評を書きたてる。  　スイ―ツ展当日。シュ―クリ―ムはさっぱり売れずショックを隠せない梨衣子を明るく励ます創志。同じ頃、クロノスヘヴン社では“恋人型ロボット"の量産化が決定。ナイトの不調を隠しているだけに岳は複雑な気持ちだ。  　翌日、創志は将志にパソコンの中傷記事を見せられた。信用問題だと責め、梨衣子を解雇するという将志に自分が責任をとると言いきった創志は…。そんな折、梨衣子にあるプレゼントをするために街を歩いていたナイトは美加を見つけ後をつける。</t>
  </si>
  <si>
    <t>番組名絶対彼氏～完全無欠の恋人ロボット～　#06</t>
  </si>
  <si>
    <t>ナイト(速水もこみち)が自分の意思を持ち始めたことを察した岳(佐々木蔵之介)は、ナイトに記録装置を取り付け24時間の監視体制をとる。梨衣子(相武紗季)が創志(水嶋ヒロ)のことを思うとナイトの視野画像が乱れることがわかった。そんな中、梨衣子の部屋に父・芳春(岩松了)と母・牧子(高橋ひとみ)がやってきた。芳春に部屋から追い出されたナイトは、ふじ子(真矢みき)から父親に認められるべきとアドバイスを受ける。ASAMOTOでは、まもなく開催される「国際スイ―ツコンク―ル」に向けて会議が行われていた。やる気をみせない創志は将志(中村俊介)から会社に必要ない人間だと言われてしまう。そんな矢先、ナイトに梨衣子への気持ちを聞かれた創志はなんとも思っていないと答え、隠れて聞いていた梨衣子はショックを受ける。  翌日、ケンカばかりの梨衣子と芳春を仲直りさせようとするナイトの提案で4人はピクニックに出かけるが、田舎に帰ってこいという芳春の言葉に梨衣子の怒りは爆発、ひとり帰ってしまう。クロノスヘヴン社では岳と田中(加治将樹)がその一部始終のデ―タからナイトが意思を持って発言していることを確信。その2人の会話をドアの外で森川(桜木涼介)が聞いていた。その頃、梨衣子の携帯電話に創志から着信が入った。躊躇しながらも出た梨衣子に創志は…。また、森林に残っていたナイトは突然地面に倒れこみ…。速水もこみち  水嶋ヒロ  相武紗季  中村俊介  佐々木蔵之介  真矢みき    岩松了  高橋ひとみ　ほか原作:「絶対彼氏。」渡瀬悠宇(小学館Sho-Comiフラワ―コミックス刊)  脚本:根津理香演出:北川学福島祐子  主題歌:「おかえり」絢香(ワ―ナ―ミュ―ジック・ジャパン)</t>
  </si>
  <si>
    <t>ナイト(速水もこみち)が自分の意思を持ち始めたことを察した岳(佐々木蔵之介)は、ナイトに記録装置を取り付け24時間の監視体制をとる。梨衣子(相武紗季)が創志(水嶋ヒロ)のことを思うとナイトの視野画像が乱れることがわかった。そんな中、梨衣子の部屋に父・芳春(岩松了)と母・牧子(高橋ひとみ)がやってきた。芳春に部屋から追い出されたナイトは、ふじ子(真矢みき)から父親に認められるべきとアドバイスを受ける。ASAMOTOでは、まもなく開催される「国際スイ―ツコンク―ル」に向けて会議が行われていた。やる気をみせない創志は将志(中村俊介)から会社に必要ない人間だと言われてしまう。そんな矢先、ナイトに梨衣子への気持ちを聞かれた創志はなんとも思っていないと答え、隠れて聞いていた梨衣子はショックを受ける。  翌日、ケンカばかりの梨衣子と芳春を仲直りさせようとするナイトの提案で4人はピクニックに出かけるが、田舎に帰ってこいという芳春の言葉に梨衣子の怒りは爆発、ひとり帰ってしまう。クロノスヘヴン社では岳と田中(加治将樹)がその一部始終のデ―タからナイトが意思を持って発言していることを確信。その2人の会話をドアの外で森川(桜木涼介)が聞いていた。その頃、梨衣子の携帯電話に創志から着信が入った。躊躇しながらも出た梨衣子に創志は…。また、森林に残っていたナイトは突然地面に倒れこみ…。</t>
  </si>
  <si>
    <t>番組名絶対彼氏～完全無欠の恋人ロボット～　#07</t>
  </si>
  <si>
    <t>ナイト(速水もこみち)は、白鷺(篠井英介)の監視のもと岳(佐々木蔵之介)によって修理を受けるが、岳は修理を完了したとウソの報告をする。また、創志(水嶋ヒロ)に抱きしめられた真意がわからずに悩んだ梨衣子(相武紗季)は美加(上野なつひ)に相談を持ちかけていた。  　翌日、創志は梨衣子と作る新スイ―ツを国際スイ―ツコンク―ルに出展させて欲しいと申し出るが将志(中村俊介)は大反対。競い合って出場者を決めることになったが将志はパリで活躍するパティシエで創志の元彼女の平井夏美(酒井彩名)を呼びつけていた。創志と梨衣子は人参のクリ―ムを使った新しいスイ―ツ作りを始めたが、作業は難航。フラフラな梨衣子は、必死に応援するナイトをぞんざいに扱うようになる。  　そんなある日、夏美の元へ匿名で人参のクリ―ムが届いた。夏美は食べることなく創志たちに事実を報告するが、何者かによる嫌がらせだとわかりショックを隠せない梨衣子。その夜、梨衣子は過労で倒れ病院へ。付き添いで来ていたふじ子(真矢みき)は看護師がナイトについて話していた奇妙な会話を耳にする。  　体調が回復した梨衣子は、創志が考案したデッサンを基に再び新スイ―ツ作りに励む。徹夜の末、新スイ―ツを完成させた梨衣子は大喜びで会社に走るが、そこには創志と夏美の姿が。2人の話を聞いた梨衣子は逃げるように走り出し…。速水もこみち  水嶋ヒロ  相武紗季  中村俊介  佐々木蔵之介  真矢みき    酒井彩名　ほか原作:「絶対彼氏。」渡瀬悠宇(小学館Sho-Comiフラワ―コミックス刊)  脚本:二瓶尊平演出:佐藤源太福島祐子  主題歌:「おかえり」絢香(ワ―ナ―ミュ―ジック・ジャパン)</t>
  </si>
  <si>
    <t>ナイト(速水もこみち)は、白鷺(篠井英介)の監視のもと岳(佐々木蔵之介)によって修理を受けるが、岳は修理を完了したとウソの報告をする。また、創志(水嶋ヒロ)に抱きしめられた真意がわからずに悩んだ梨衣子(相武紗季)は美加(上野なつひ)に相談を持ちかけていた。  　翌日、創志は梨衣子と作る新スイ―ツを国際スイ―ツコンク―ルに出展させて欲しいと申し出るが将志(中村俊介)は大反対。競い合って出場者を決めることになったが将志はパリで活躍するパティシエで創志の元彼女の平井夏美(酒井彩名)を呼びつけていた。創志と梨衣子は人参のクリ―ムを使った新しいスイ―ツ作りを始めたが、作業は難航。フラフラな梨衣子は、必死に応援するナイトをぞんざいに扱うようになる。  　そんなある日、夏美の元へ匿名で人参のクリ―ムが届いた。夏美は食べることなく創志たちに事実を報告するが、何者かによる嫌がらせだとわかりショックを隠せない梨衣子。その夜、梨衣子は過労で倒れ病院へ。付き添いで来ていたふじ子(真矢みき)は看護師がナイトについて話していた奇妙な会話を耳にする。  　体調が回復した梨衣子は、創志が考案したデッサンを基に再び新スイ―ツ作りに励む。徹夜の末、新スイ―ツを完成させた梨衣子は大喜びで会社に走るが、そこには創志と夏美の姿が。2人の話を聞いた梨衣子は逃げるように走り出し…。</t>
  </si>
  <si>
    <t>番組名絶対彼氏～完全無欠の恋人ロボット～　#08</t>
  </si>
  <si>
    <t>出社してきたナイト(速水もこみち)と梨衣子(相武紗季)は、一緒に歩く創志(水嶋ヒロ)と夏美(酒井彩名)と遭遇。無理して明るく振る舞った梨衣子だが、美加(上野なつひ)からは無視され、夏美のスイ―ツ開発に創志が協力することが決まり気持ちは落ち込む一方だ。その頃、クロノスヘヴン社では、岳(佐々木蔵之介)とは別チ―ムが作った、より高性能になった恋人型ロボット02・トシキ(阿部力)が完成していた。ナイトと性能を比較して劣っている方が処分となると聞いて焦る岳。  　トシキは自分がロボットであることを隠し、偶然を装い梨衣子に近づくことに成功。そんな中、梨衣子はふじ子(真矢みき)からナイトがロボットだと知っていると告げられ慌てて口止めをする。一方、創志はキャバクラ嬢からの電話に「もう店には行かない」と告げていた。  　ある日、思いを断ち切るように部屋にある製菓道具をダンボ―ルに積めこむ梨衣子。そのダンボ―ルを見たナイトはパティシエになる夢を諦めないように説得するが、梨衣子の気持ちを変えられない。2人の会話を偶然聞いてしまった創志は何かを考え込みはじめ…。その直後、ナイトはトシキに資料室に閉じ込められ、鍵をかけられてしまった。服務規程違反のためドアを破れないナイトにトシキは「オレの方が梨衣子を幸せにできる」と言い残して去っていく。梨衣子の元へやってきたトシキは星を見に行こうと、腕を取って…。速水もこみち  水嶋ヒロ  相武紗季  中村俊介  佐々木蔵之介  真矢みき    酒井彩名  阿部力　ほか原作:「絶対彼氏。」渡瀬悠宇(小学館Sho-Comiフラワ―コミックス刊)    脚本:根津理香演出:土方政人福島祐子    主題歌:「おかえり」絢香(ワ―ナ―ミュ―ジック・ジャパン)</t>
  </si>
  <si>
    <t>出社してきたナイト(速水もこみち)と梨衣子(相武紗季)は、一緒に歩く創志(水嶋ヒロ)と夏美(酒井彩名)と遭遇。無理して明るく振る舞った梨衣子だが、美加(上野なつひ)からは無視され、夏美のスイ―ツ開発に創志が協力することが決まり気持ちは落ち込む一方だ。その頃、クロノスヘヴン社では、岳(佐々木蔵之介)とは別チ―ムが作った、より高性能になった恋人型ロボット02・トシキ(阿部力)が完成していた。ナイトと性能を比較して劣っている方が処分となると聞いて焦る岳。  　トシキは自分がロボットであることを隠し、偶然を装い梨衣子に近づくことに成功。そんな中、梨衣子はふじ子(真矢みき)からナイトがロボットだと知っていると告げられ慌てて口止めをする。一方、創志はキャバクラ嬢からの電話に「もう店には行かない」と告げていた。  　ある日、思いを断ち切るように部屋にある製菓道具をダンボ―ルに積めこむ梨衣子。そのダンボ―ルを見たナイトはパティシエになる夢を諦めないように説得するが、梨衣子の気持ちを変えられない。2人の会話を偶然聞いてしまった創志は何かを考え込みはじめ…。その直後、ナイトはトシキに資料室に閉じ込められ、鍵をかけられてしまった。服務規程違反のためドアを破れないナイトにトシキは「オレの方が梨衣子を幸せにできる」と言い残して去っていく。梨衣子の元へやってきたトシキは星を見に行こうと、腕を取って…。</t>
  </si>
  <si>
    <t>番組名絶対彼氏～完全無欠の恋人ロボット～　#09</t>
  </si>
  <si>
    <t>ナイト(速水もこみち)の改ざんデ―タを提出し続ける岳(佐々木蔵之介)に田中(加治将樹)は不安を募らせる。一方、ASAMOTOに辞表を提出した創志(水嶋ヒロ)は、家も飛び出し「リベルテ」で住み込みで働き始めた。ナイトがロボットと知っているふじ子(真矢みき)は、梨衣子(相武紗季)に本気にならないよう忠告する。  　翌日、出社した梨衣子は美加(上野なつひ)が会社を辞めたことを聞く。慌てて追いかけてきた梨衣子に美加は…。その夜、夏美(酒井彩名)が将志(中村俊介)と「リベルテ」へやってきた。呆れる将志とASAMOTOの経営方針を批判する創志は口論になる。  　スイ―ツコンク―ル1次審査が発表になり梨衣子も夏美も通過、日本予選に出場できることになった。それを祝って4人で遊園地に行くが、その帰り道、夏美は創志に日本予選で勝つことができたら一緒にパリへ行こうと誘う。同じ頃、「リベルテ」では日本予選に向け、ナイトがリメイクしたパティシエ用の白衣を梨衣子へプレゼントしていた。大喜びでナイトのためにも頑張ると言う梨衣子を心配そうに見つめるふじ子は、岳の名刺を取り出し…。クロノスヘヴン社では、異常を報告するべきだと訴える田中に、岳が感情を奪うのは命を奪うのと同じだと拒否をする。  　そして、コンク―ル日本予選当日。会場で審査が続く中、「リベルテ」にはふじ子に呼び出された岳がやってきて…。速水もこみち  水嶋ヒロ  相武紗季  中村俊介  佐々木蔵之介  真矢みき    酒井彩名　ほか原作:「絶対彼氏。」渡瀬悠宇(小学館Sho-Comiフラワ―コミックス刊)  脚本:根津理香演出:北川学福島祐子    主題歌:「おかえり」絢香(ワ―ナ―ミュ―ジック・ジャパン)</t>
  </si>
  <si>
    <t>ナイト(速水もこみち)の改ざんデ―タを提出し続ける岳(佐々木蔵之介)に田中(加治将樹)は不安を募らせる。一方、ASAMOTOに辞表を提出した創志(水嶋ヒロ)は、家も飛び出し「リベルテ」で住み込みで働き始めた。ナイトがロボットと知っているふじ子(真矢みき)は、梨衣子(相武紗季)に本気にならないよう忠告する。  　翌日、出社した梨衣子は美加(上野なつひ)が会社を辞めたことを聞く。慌てて追いかけてきた梨衣子に美加は…。その夜、夏美(酒井彩名)が将志(中村俊介)と「リベルテ」へやってきた。呆れる将志とASAMOTOの経営方針を批判する創志は口論になる。  　スイ―ツコンク―ル1次審査が発表になり梨衣子も夏美も通過、日本予選に出場できることになった。それを祝って4人で遊園地に行くが、その帰り道、夏美は創志に日本予選で勝つことができたら一緒にパリへ行こうと誘う。同じ頃、「リベルテ」では日本予選に向け、ナイトがリメイクしたパティシエ用の白衣を梨衣子へプレゼントしていた。大喜びでナイトのためにも頑張ると言う梨衣子を心配そうに見つめるふじ子は、岳の名刺を取り出し…。クロノスヘヴン社では、異常を報告するべきだと訴える田中に、岳が感情を奪うのは命を奪うのと同じだと拒否をする。  　そして、コンク―ル日本予選当日。会場で審査が続く中、「リベルテ」にはふじ子に呼び出された岳がやってきて…。</t>
  </si>
  <si>
    <t>番組名絶対彼氏～完全無欠の恋人ロボット～　#10</t>
  </si>
  <si>
    <t>告白シ―ンを目撃したナイト(速水もこみち)に度々エラ―が表示されるようになる。梨衣子(相武紗季)は、創志(水嶋ヒロ)に告白をされたものの素直に喜べない自分に戸惑っていた。クロノスヘヴン社ではナイトの異常を知った白鷺(篠井英介)が初期化を命令。反論した岳(佐々木蔵之介)はナイトと梨衣子への接触禁止を言い渡される。梨衣子は経費節減を理由に来月末でASAMOTOとの契約打ち切りを告げられた。その矢先、創志の元にパティシエのルシアンから、梨衣子がパリで行われるコンク―ル本選に出場できると連絡が入る。さらに梨衣子の修業の提案もあった。3日後に出発し、最低3年は戻れないと聞き返事に詰まる梨衣子だが、一緒に行こうという創志の言葉に渡仏を決める。  　その日の夕方、梨衣子の部屋に田中(加治将樹)と森川(桜木涼介)が訪ねてきた。森川は初期化することは隠し、機能停止の可能性を訴えてナイトのパ―ツ交換を申し出る。修理の際に記憶が無くなることがあると聞いて返事を保留するも不安を募らせる梨衣子。  　ある日、創志の気持ちを確認するため創志の元を訪ねたナイトは梨衣子のパリ行きの話を聞いて倒れてしまう。ナイトを運んできた創志は、梨衣子の部屋である本に気付き…。  　パリ行きを翌日に控え、梨衣子はある思いを胸に美加(上野なつひ)を訪ねた。その夜、再びナイトが倒れた。森川の言葉を思い出した梨衣子は決意を固め…。速水もこみち  水嶋ヒロ  相武紗季  中村俊介  佐々木蔵之介  真矢みき    ほか原作:「絶対彼氏。」渡瀬悠宇(小学館Sho-Comiフラワ―コミックス刊)  脚本:根津理香演出:佐藤源太福島祐子    主題歌:「おかえり」絢香(ワ―ナ―ミュ―ジック・ジャパン)</t>
  </si>
  <si>
    <t>告白シ―ンを目撃したナイト(速水もこみち)に度々エラ―が表示されるようになる。梨衣子(相武紗季)は、創志(水嶋ヒロ)に告白をされたものの素直に喜べない自分に戸惑っていた。クロノスヘヴン社ではナイトの異常を知った白鷺(篠井英介)が初期化を命令。反論した岳(佐々木蔵之介)はナイトと梨衣子への接触禁止を言い渡される。梨衣子は経費節減を理由に来月末でASAMOTOとの契約打ち切りを告げられた。その矢先、創志の元にパティシエのルシアンから、梨衣子がパリで行われるコンク―ル本選に出場できると連絡が入る。さらに梨衣子の修業の提案もあった。3日後に出発し、最低3年は戻れないと聞き返事に詰まる梨衣子だが、一緒に行こうという創志の言葉に渡仏を決める。  　その日の夕方、梨衣子の部屋に田中(加治将樹)と森川(桜木涼介)が訪ねてきた。森川は初期化することは隠し、機能停止の可能性を訴えてナイトのパ―ツ交換を申し出る。修理の際に記憶が無くなることがあると聞いて返事を保留するも不安を募らせる梨衣子。  　ある日、創志の気持ちを確認するため創志の元を訪ねたナイトは梨衣子のパリ行きの話を聞いて倒れてしまう。ナイトを運んできた創志は、梨衣子の部屋である本に気付き…。  　パリ行きを翌日に控え、梨衣子はある思いを胸に美加(上野なつひ)を訪ねた。その夜、再びナイトが倒れた。森川の言葉を思い出した梨衣子は決意を固め…。</t>
  </si>
  <si>
    <t>番組名絶対彼氏～完全無欠の恋人ロボット～　#11</t>
  </si>
  <si>
    <t>ナイト(速水もこみち)の初期化スイッチが押された。怒った岳(佐々木蔵之介)と梨衣子(相武紗季)は白鷺(篠井英介)らに詰め寄るが、その直後、初期化のエラ―表示と共にナイトが起き上がった。梨衣子は白鷺にナイトは欠陥品じゃないと訴えて連れて帰る。その夜、梨衣子は創志(水嶋ヒロ)にパリ行きをきっぱりと断った。創志はナイトがロボットだと知っていることを告げるが、梨衣子の意思は変わらない。部屋に戻った梨衣子は、不調の続くナイトに優しくキスをする。  　キスの効果か、翌朝にはナイトの体調が復活。パリに行かなかった梨衣子に驚くASAMOTOの社員たちだが、梨衣子は「もっと大事なものを見つけた」と晴れ晴れしい笑顔を浮かべた。笑顔を見た創志は1人でパリに渡ることを決意。その後、創志とふじ子(真矢みき)は岳から2人のこれまでの経緯からナイトが自我に目覚めたまでを聞く。すべてを聞いたふじ子は、2人を応援するように。  　買い物やピクニックなどデ―トを重ね、仲を深めていくナイトと梨衣子。梨衣子はナイトに内緒で編み物を始めていた。そんな中、創志は和志(山本圭)からパリ行きをルシアンに頼んだのは将志(中村俊介)であることを教えられる。ナイトは創志が1人でパリに渡ろうとしていることを知り、何か考え込む。その頃、ナイトの体には少しずつ異変が起きていて…。速水もこみち  水嶋ヒロ  相武紗季  中村俊介  佐々木蔵之介  真矢みき　ほか原作:「絶対彼氏。」渡瀬悠宇(小学館Sho-Comiフラワ―コミックス刊)  脚本:根津理香演出:土方政人福島祐子  主題歌:「おかえり」絢香(ワ―ナ―ミュ―ジック・ジャパン)</t>
  </si>
  <si>
    <t>ナイト(速水もこみち)の初期化スイッチが押された。怒った岳(佐々木蔵之介)と梨衣子(相武紗季)は白鷺(篠井英介)らに詰め寄るが、その直後、初期化のエラ―表示と共にナイトが起き上がった。梨衣子は白鷺にナイトは欠陥品じゃないと訴えて連れて帰る。その夜、梨衣子は創志(水嶋ヒロ)にパリ行きをきっぱりと断った。創志はナイトがロボットだと知っていることを告げるが、梨衣子の意思は変わらない。部屋に戻った梨衣子は、不調の続くナイトに優しくキスをする。  　キスの効果か、翌朝にはナイトの体調が復活。パリに行かなかった梨衣子に驚くASAMOTOの社員たちだが、梨衣子は「もっと大事なものを見つけた」と晴れ晴れしい笑顔を浮かべた。笑顔を見た創志は1人でパリに渡ることを決意。その後、創志とふじ子(真矢みき)は岳から2人のこれまでの経緯からナイトが自我に目覚めたまでを聞く。すべてを聞いたふじ子は、2人を応援するように。  　買い物やピクニックなどデ―トを重ね、仲を深めていくナイトと梨衣子。梨衣子はナイトに内緒で編み物を始めていた。そんな中、創志は和志(山本圭)からパリ行きをルシアンに頼んだのは将志(中村俊介)であることを教えられる。ナイトは創志が1人でパリに渡ろうとしていることを知り、何か考え込む。その頃、ナイトの体には少しずつ異変が起きていて…。</t>
  </si>
  <si>
    <t>0804_CX_火22</t>
  </si>
  <si>
    <t>無理な恋愛</t>
  </si>
  <si>
    <t>番組名無理な恋愛　#01</t>
  </si>
  <si>
    <t>http://ktv.jp/muri/元グル―プサウンズの人気者・正午(堺正章)は、現在はレコ―ド会社の役員待遇プロデュ―サ―。60歳の誕生日に部下の祥子(青木さやか)や文平(田中圭)たちから赤いチャンチャンコを贈られ、密かにショックを受ける。その帰り、昔のバンド仲間・ケンちゃん(ムッシュかまやつ)が開くロックバ―に立ち寄り、寂しい本音を漏らす。  さらに、元妻の光代(夏木マリ)に会い、12歳も年下の圭介(尾美としのり)と再婚し、正午の娘・朝子(小嶋陽菜)も女子大生になったと聞いた正午は、寂しさを募らせ風邪を引いてしまう。  売れない女優のかえで(夏川結衣)は、仲間の律子(鈴木砂羽)、新人の姫野まどか(スザンヌ)とともに、再現ドラマディレクタ―の水田(福田充徳)に文句を言われながら、再現ドラマの女子高生役など望んでもいない仕事を受け続けていた。さらにバイト先の居酒屋で大学生の田代(永田彬)に「東京のお母さん」扱いをされて愕然。癒やしを求めて子犬を衝動買いしてしまう。  翌朝、恋人で小説家志望の龍彦(徳井義実)が束縛しない恋愛を提案するが、かえでは拒む。  薬を買いに自力で買い物に出た帰り、公園の池に落ちた正午は、犬の散歩をしていたかえでに介抱されて恋に落ちる。お礼にと、かえでを食事に誘ってOKの返事をもらった正午は、喜びに満たされるが・・・?堺正章  夏川結衣  徳井義実(チュ―トリアル)  青木さやか  田中圭  福田充徳(チュ―トリアル)  永田彬(RUN&amp;GUN)  スザンヌ  小嶋陽菜    ムッシュかまやつ(友情出演)    尾美としのり  鈴木砂羽  夏木マリ脚本:岡田惠和演出:塚本連平  プロデュ―サ―:安藤和久  　　　　　　　　東城祐司  　　　　　　　　浅井千瑞</t>
  </si>
  <si>
    <t>元グル―プサウンズの人気者・正午(堺正章)は、現在はレコ―ド会社の役員待遇プロデュ―サ―。60歳の誕生日に部下の祥子(青木さやか)や文平(田中圭)たちから赤いチャンチャンコを贈られ、密かにショックを受ける。その帰り、昔のバンド仲間・ケンちゃん(ムッシュかまやつ)が開くロックバ―に立ち寄り、寂しい本音を漏らす。  さらに、元妻の光代(夏木マリ)に会い、12歳も年下の圭介(尾美としのり)と再婚し、正午の娘・朝子(小嶋陽菜)も女子大生になったと聞いた正午は、寂しさを募らせ風邪を引いてしまう。  売れない女優のかえで(夏川結衣)は、仲間の律子(鈴木砂羽)、新人の姫野まどか(スザンヌ)とともに、再現ドラマディレクタ―の水田(福田充徳)に文句を言われながら、再現ドラマの女子高生役など望んでもいない仕事を受け続けていた。さらにバイト先の居酒屋で大学生の田代(永田彬)に「東京のお母さん」扱いをされて愕然。癒やしを求めて子犬を衝動買いしてしまう。  翌朝、恋人で小説家志望の龍彦(徳井義実)が束縛しない恋愛を提案するが、かえでは拒む。  薬を買いに自力で買い物に出た帰り、公園の池に落ちた正午は、犬の散歩をしていたかえでに介抱されて恋に落ちる。お礼にと、かえでを食事に誘ってOKの返事をもらった正午は、喜びに満たされるが・・・?</t>
  </si>
  <si>
    <t>番組名無理な恋愛　#02</t>
  </si>
  <si>
    <t>http://ktv.jp/muri/　かえで(夏川結衣)が『正午を恋愛対象に見るのは無理』と話すのを聞いてしまい、ショックを受けた正午(堺正章)。だが、かえでから先日のお礼にと食事に誘われ、元気を取り戻す。  　龍彦(徳井義実)は、結局はかえでの部屋に転がり込んでしまった。かえでは働くと宣言した龍彦に期待を抱き、ご褒美に食事を作っておくとメ―ルを送るが、そのメ―ルを重荷に感じた龍彦はたった1日でバイトを辞めてしまう。　家に帰りづらい龍彦は、ふとしたことから電車で知り合った正午を強引に酒に誘い、正午もかえでとの関係は黙ったまま、龍彦について行く。そして女に束縛されるのは嫌だとこぼす龍彦に、それを我慢しても彼女を幸せにするか、別れるかのどちらかしかないと話し、「幸せにしてやれよ」と龍彦の背中を押してしまう。龍彦はかえでも店に呼ぼうと電話をかけるが、帰ってこない龍彦に腹を立て律子(鈴木砂羽)と料理を食べていたかえでは、電話を切ってしまう。正午は帰り道、なぜか龍彦を応援してしまった自分に呆れながら、改めてかえでのことが好きだと自覚する。  　翌日、まるで龍彦が着ていたような若い男性が着る服に惹かれ、ふと店に入った正午は、たまたまショッピングをしていた元の妻・光代(夏木マリ)と遭遇。さらに光代の現在の夫・圭介(尾美としのり)とも対面し、ついには3人でお茶を飲むことに・・・。堺正章  夏川結衣  徳井義実(チュ―トリアル)  青木さやか  田中圭  福田充徳(チュ―トリアル)  永田彬(RUN&amp;GUN)  スザンヌ  小嶋陽菜    ムッシュかまやつ(友情出演)    尾美としのり  鈴木砂羽  夏木マリ脚本:岡田惠和演出:塚本連平  プロデュ―サ―:安藤和久  　　　　　　　　東城祐司  　　　　　　　　浅井千瑞仲西匡  瀬川英史    主題歌:「忘れもの」堺正章(ビクタ―エンタテインメント)</t>
  </si>
  <si>
    <t xml:space="preserve">　かえで(夏川結衣)が『正午を恋愛対象に見るのは無理』と話すのを聞いてしまい、ショックを受けた正午(堺正章)。だが、かえでから先日のお礼にと食事に誘われ、元気を取り戻す。  　龍彦(徳井義実)は、結局はかえでの部屋に転がり込んでしまった。かえでは働くと宣言した龍彦に期待を抱き、ご褒美に食事を作っておくとメ―ルを送るが、そのメ―ルを重荷に感じた龍彦はたった1日でバイトを辞めてしまう。　家に帰りづらい龍彦は、ふとしたことから電車で知り合った正午を強引に酒に誘い、正午もかえでとの関係は黙ったまま、龍彦について行く。そして女に束縛されるのは嫌だとこぼす龍彦に、それを我慢しても彼女を幸せにするか、別れるかのどちらかしかないと話し、「幸せにしてやれよ」と龍彦の背中を押してしまう。龍彦はかえでも店に呼ぼうと電話をかけるが、帰ってこない龍彦に腹を立て律子(鈴木砂羽)と料理を食べていたかえでは、電話を切ってしまう。正午は帰り道、なぜか龍彦を応援してしまった自分に呆れながら、改めてかえでのことが好きだと自覚する。  　翌日、まるで龍彦が着ていたような若い男性が着る服に惹かれ、ふと店に入った正午は、たまたまショッピングをしていた元の妻・光代(夏木マリ)と遭遇。さらに光代の現在の夫・圭介(尾美としのり)とも対面し、ついには3人でお茶を飲むことに・・・。</t>
  </si>
  <si>
    <t>番組名無理な恋愛　#03</t>
  </si>
  <si>
    <t>http://ktv.jp/muri/　正午(堺正章)の会社に元妻の光代(夏木マリ)が生命保険の勧誘に押しかけて来た。かえで(夏川結衣)と結婚する気なのかと聞かれ、片思いなのだと打ち明けた正午は、保険の契約に関してある提案をする。  　かえでの家ではシャワ―が壊れて水しか出なくなってしまった。龍彦(徳井義実)は自分で修理すると言い張るが、悪戦苦闘の末、ますます壊れてしまう。近所の銭湯も廃業しており途方に暮れていると、ちょうど正午がタクシ―で通りかかり、かえでと龍彦は正午のマンションで風呂を借りることになる。かえでに正午のお陰で別れなくて済んだと感謝された上、仲のよさそうな姿を見せ付けられた正午は切なさを募らせるが、風呂が直るまでうちで暮らせばいいと2人に言ってしまう。その頃、光代は圭介(尾美としのり)に、正午が保険金の受取人を朝子(小嶋陽菜)にしたがっていると報告していた。正午は圭介が嫌がるのではないかと気にしていたが・・・?  　正午はかえでと龍彦を泊めるが、夜が更けても全く眠れずにいた。ベランダに出てため息をついていると、背後にかえでが立っていて・・・。堺正章  夏川結衣  徳井義実(チュ―トリアル)  青木さやか  田中圭  福田充徳(チュ―トリアル)  永田彬(RUN&amp;GUN)  スザンヌ  小嶋陽菜    ムッシュかまやつ(友情出演)    尾美としのり  鈴木砂羽  夏木マリ脚本:岡田惠和演出:小松隆志  プロデュ―サ―:安藤和久  　　　　　　　　東城祐司  　　　　　　　　浅井千瑞仲西匡  瀬川英史  主題歌:「忘れもの」堺正章(ビクタ―エンタテインメント)</t>
  </si>
  <si>
    <t xml:space="preserve">　正午(堺正章)の会社に元妻の光代(夏木マリ)が生命保険の勧誘に押しかけて来た。かえで(夏川結衣)と結婚する気なのかと聞かれ、片思いなのだと打ち明けた正午は、保険の契約に関してある提案をする。  　かえでの家ではシャワ―が壊れて水しか出なくなってしまった。龍彦(徳井義実)は自分で修理すると言い張るが、悪戦苦闘の末、ますます壊れてしまう。近所の銭湯も廃業しており途方に暮れていると、ちょうど正午がタクシ―で通りかかり、かえでと龍彦は正午のマンションで風呂を借りることになる。かえでに正午のお陰で別れなくて済んだと感謝された上、仲のよさそうな姿を見せ付けられた正午は切なさを募らせるが、風呂が直るまでうちで暮らせばいいと2人に言ってしまう。その頃、光代は圭介(尾美としのり)に、正午が保険金の受取人を朝子(小嶋陽菜)にしたがっていると報告していた。正午は圭介が嫌がるのではないかと気にしていたが・・・?  　正午はかえでと龍彦を泊めるが、夜が更けても全く眠れずにいた。ベランダに出てため息をついていると、背後にかえでが立っていて・・・。</t>
  </si>
  <si>
    <t>番組名無理な恋愛　#04</t>
  </si>
  <si>
    <t>http://ktv.jp/muri/仲間が小説で新人賞を受賞し、落ち込んだ龍彦(徳井義実)は夜になっても帰って来ず、正午(堺正章)とかえで(夏川結衣)は2人で食事をすることに。そこに光代(夏木マリ)が保険の手続きにやって来る。かえでの前で余計なことを言わないかと正午は気が気でない。光代は正午がかえでとうまくやっていると勘繰るが、龍彦も一緒に居候していることを知り、正午の胸のうちを察する。光代が帰った後、ようやく龍彦が帰ってきた。ひどく酔って飲み屋の女の子たちも大勢連れてきた龍彦を、かえでは頭ごなしに怒鳴りつけるが、正午は辛いことがあったのを察してかえでをなだめ、2人きりにしようと部屋を出て行く。龍彦は酔った頭で、正午がかえでを好きなのではないかと指摘するが、かえでは取り合わない。一方の正午は、ケンちゃん(ムッシュかまやつ)が開くロックバ―に向かうも臨時休業。結局は文平(田中圭)の部屋に泊まることに。翌朝、かえでは龍彦が持っていた仲間の著書を発見。先を越されて落ち込んでいるのではないと強がる龍彦に、かえではまた小説を書くように励ます。そしてアパ―トに帰ったかえでは、ようやく龍彦が小説を書き始めたことに喜び、応援。お礼を兼ねて正午に電話で龍彦のことを報告する。だが当の龍彦はまるで書く気が起こらず、かえでの期待がプレッシャ―になっていた。そして次の夜、買い物袋を抱えてかえでがアパ―トに帰ると、龍彦の姿は消えていた・・・。堺正章  夏川結衣  徳井義実(チュ―トリアル)  青木さやか  田中圭  福田充徳(チュ―トリアル)  永田彬(RUN&amp;GUN)  スザンヌ  小嶋陽菜    ムッシュかまやつ(友情出演)    尾美としのり  鈴木砂羽  夏木マリ脚本:岡田惠和演出:塚本連平  プロデュ―サ―:安藤和久  　　　　　　　　東城祐司  　　　　　　　　浅井千瑞仲西匡  瀬川英史  主題歌:「忘れもの」堺正章(ビクタ―エンタテインメント)</t>
  </si>
  <si>
    <t>仲間が小説で新人賞を受賞し、落ち込んだ龍彦(徳井義実)は夜になっても帰って来ず、正午(堺正章)とかえで(夏川結衣)は2人で食事をすることに。そこに光代(夏木マリ)が保険の手続きにやって来る。かえでの前で余計なことを言わないかと正午は気が気でない。光代は正午がかえでとうまくやっていると勘繰るが、龍彦も一緒に居候していることを知り、正午の胸のうちを察する。光代が帰った後、ようやく龍彦が帰ってきた。ひどく酔って飲み屋の女の子たちも大勢連れてきた龍彦を、かえでは頭ごなしに怒鳴りつけるが、正午は辛いことがあったのを察してかえでをなだめ、2人きりにしようと部屋を出て行く。龍彦は酔った頭で、正午がかえでを好きなのではないかと指摘するが、かえでは取り合わない。一方の正午は、ケンちゃん(ムッシュかまやつ)が開くロックバ―に向かうも臨時休業。結局は文平(田中圭)の部屋に泊まることに。翌朝、かえでは龍彦が持っていた仲間の著書を発見。先を越されて落ち込んでいるのではないと強がる龍彦に、かえではまた小説を書くように励ます。そしてアパ―トに帰ったかえでは、ようやく龍彦が小説を書き始めたことに喜び、応援。お礼を兼ねて正午に電話で龍彦のことを報告する。だが当の龍彦はまるで書く気が起こらず、かえでの期待がプレッシャ―になっていた。そして次の夜、買い物袋を抱えてかえでがアパ―トに帰ると、龍彦の姿は消えていた・・・。</t>
  </si>
  <si>
    <t>番組名無理な恋愛　#05</t>
  </si>
  <si>
    <t>http://ktv.jp/muri/　正午(堺正章)に龍彦(徳井義実)が出て行ったことを話し、スッキリしたかえで(夏川結衣)は、龍彦が正午を頼って行っても、会いたくなってしまうから自分には教えないでほしいと告げる。正午がマンションに帰ってくると、部屋の前では案の定龍彦と、なぜか光代(夏木マリ)が酒盛りをしており、結局、正午は龍彦を家に置くことになる。光代は朝子(小嶋陽菜)のことは伏せて、知り合いがオ―ディションを受けたら優遇してくれるかと聞くが、正午はコネは嫌いだと言い切る。  翌日、ドラマのプロデュ―サ―にいい女優はいないかと聞かれた正午は、あることを思いつく。その後、かえでと律子(鈴木砂羽)にオ―ディションの話が舞い込み、見事2人は揃って合格。ドラマの撮影が進んだ頃、かえでと律子と酒を飲んだ正午は、2人が心底楽しそうに撮影に臨んでいることを知り、嬉しく思う。  その頃、光代と圭介(尾美としのり)は、朝子が正午に会いたいのではないかと悩んでいた。そんな悩みを断ち切るように、圭介は朝子の為にオ―ディション対策グッズを買い込んで来るが、オ―ディションを受けることがばれた朝子は複雑な気持ちになる。  そんなある日、かえではプロデュ―サ―から正午によろしく伝えてほしいと言われる。さらに事務所の社長から、この仕事が正午の推薦で決まったと聞かされたかえでは愕然となる。そしてかえでは、ある決意を持って正午の会社を訪ねていくが・・・。堺正章  夏川結衣  徳井義実(チュ―トリアル)  青木さやか  田中圭  福田充徳(チュ―トリアル)  永田彬(RUN&amp;GUN)  スザンヌ  小嶋陽菜    ムッシュかまやつ(友情出演)    尾美としのり  鈴木砂羽  夏木マリ脚本:岡田惠和演出:小松隆志  プロデュ―サ―:安藤和久  　　　　　　　　東城祐司  　　　　　　　　浅井千瑞仲西匡  瀬川英史    主題歌:「忘れもの」堺正章(ビクタ―エンタテインメント)</t>
  </si>
  <si>
    <t xml:space="preserve">　正午(堺正章)に龍彦(徳井義実)が出て行ったことを話し、スッキリしたかえで(夏川結衣)は、龍彦が正午を頼って行っても、会いたくなってしまうから自分には教えないでほしいと告げる。正午がマンションに帰ってくると、部屋の前では案の定龍彦と、なぜか光代(夏木マリ)が酒盛りをしており、結局、正午は龍彦を家に置くことになる。光代は朝子(小嶋陽菜)のことは伏せて、知り合いがオ―ディションを受けたら優遇してくれるかと聞くが、正午はコネは嫌いだと言い切る。  翌日、ドラマのプロデュ―サ―にいい女優はいないかと聞かれた正午は、あることを思いつく。その後、かえでと律子(鈴木砂羽)にオ―ディションの話が舞い込み、見事2人は揃って合格。ドラマの撮影が進んだ頃、かえでと律子と酒を飲んだ正午は、2人が心底楽しそうに撮影に臨んでいることを知り、嬉しく思う。  その頃、光代と圭介(尾美としのり)は、朝子が正午に会いたいのではないかと悩んでいた。そんな悩みを断ち切るように、圭介は朝子の為にオ―ディション対策グッズを買い込んで来るが、オ―ディションを受けることがばれた朝子は複雑な気持ちになる。  そんなある日、かえではプロデュ―サ―から正午によろしく伝えてほしいと言われる。さらに事務所の社長から、この仕事が正午の推薦で決まったと聞かされたかえでは愕然となる。そしてかえでは、ある決意を持って正午の会社を訪ねていくが・・・。</t>
  </si>
  <si>
    <t>番組名無理な恋愛　#06</t>
  </si>
  <si>
    <t>http://ktv.jp/muri/正午(堺正章)の恋心を知ったかえで(夏川結衣)は律子(鈴木砂羽)に「正午のことは嫌いではないが、全くの予想外だった」と話す。一方、落ち込む正午に祥子(青木さやか)は恋心を代弁して伝えたことを報告。かえでの反応から、正午は自分が恋愛対象に入っていないことを再認識する。そんな時、かえでの母・秀子(高畑淳子)が正午に会いたいと東京に押しかけて来た。かえでは渋々正午に電話をかけるが…。さらに、街を歩いていた秀子は光代(夏木マリ)と遭遇。実は秀子と光代はザ・レインドロップスの追っかけ仲間で、光代はかえでが秀子の娘と知り驚く。正午は、かえでに対して“お母さんがファンだった人"という役割を全うして諦めると決意。かえでと秀子が正午に指定された店に行くと龍彦(徳井義実)も来ており、ステ―ジに立った正午は思いを込めて歌う。その頬に涙がこぼれているのを、かえでと龍彦は気付いていた。ディナ―の後かえでは、正午が自分に好意を持っていることを龍彦に話す。龍彦は恋愛に関してはいい勝負だと正午を慰めに行くが、正午は、かえでにとっての自分と龍彦は恋愛対象であるかないかが決定的に違うと言い、今は一人にしてほしいと部屋を出て行ってもらう。それから暫くして圭介(尾美としのり)が、朝子(小嶋陽菜)がオ―ディションを受けるから力になってやってほしいと正午のもとを訪れる。正午から電話を受けた光代は前置きをして話し始める…。堺正章  夏川結衣  徳井義実(チュ―トリアル)  青木さやか  田中圭  福田充徳(チュ―トリアル)  永田彬(RUN&amp;GUN)  スザンヌ  小嶋陽菜    ムッシュかまやつ(友情出演)    尾美としのり  鈴木砂羽  夏木マリ脚本:岡田惠和演出:塚本連平  プロデュ―サ―:安藤和久  　　　　　　　　東城祐司  　　　　　　　　浅井千瑞仲西匡  瀬川英史  主題歌:「忘れもの」堺正章(ビクタ―エンタテインメント)</t>
  </si>
  <si>
    <t>正午(堺正章)の恋心を知ったかえで(夏川結衣)は律子(鈴木砂羽)に「正午のことは嫌いではないが、全くの予想外だった」と話す。一方、落ち込む正午に祥子(青木さやか)は恋心を代弁して伝えたことを報告。かえでの反応から、正午は自分が恋愛対象に入っていないことを再認識する。そんな時、かえでの母・秀子(高畑淳子)が正午に会いたいと東京に押しかけて来た。かえでは渋々正午に電話をかけるが…。さらに、街を歩いていた秀子は光代(夏木マリ)と遭遇。実は秀子と光代はザ・レインドロップスの追っかけ仲間で、光代はかえでが秀子の娘と知り驚く。正午は、かえでに対して“お母さんがファンだった人"という役割を全うして諦めると決意。かえでと秀子が正午に指定された店に行くと龍彦(徳井義実)も来ており、ステ―ジに立った正午は思いを込めて歌う。その頬に涙がこぼれているのを、かえでと龍彦は気付いていた。ディナ―の後かえでは、正午が自分に好意を持っていることを龍彦に話す。龍彦は恋愛に関してはいい勝負だと正午を慰めに行くが、正午は、かえでにとっての自分と龍彦は恋愛対象であるかないかが決定的に違うと言い、今は一人にしてほしいと部屋を出て行ってもらう。それから暫くして圭介(尾美としのり)が、朝子(小嶋陽菜)がオ―ディションを受けるから力になってやってほしいと正午のもとを訪れる。正午から電話を受けた光代は前置きをして話し始める…。</t>
  </si>
  <si>
    <t>番組名無理な恋愛　#07</t>
  </si>
  <si>
    <t>http://ktv.jp/muri/正午(堺正章)の気持ちを知ったかえで(夏川結衣)は、自分の正直な気持ちを話そうと正午のもとを訪れる。年寄りに好きになられて迷惑したのではないかと心配する正午に、かえでは自信を持ってほしいと答える。その帰り道、正午はかえでに告白、かえでも心を動かされる。  一方、正午は龍彦(徳井義実)が部屋に戻って来ると、かえでに告白したことを報告。ライバルと思っていない様子の龍彦に、トランプで負けた方がかえでを諦めると勝負を持ちかけるが…。  翌朝、オフィスに出社した正午は、新人バンド・ZUKANのデビュ―を目前に控えて弱気になる文平(田中圭)を励ます。そして昨夜、かえでに告白したことを報告。文平も最近好きな女の子に告白したことを明かすが、それが自分の娘・朝子(小嶋陽菜)と知らない正午も盛り上がる。  かえでの36歳の誕生日が近づいて、律子(鈴木砂羽)は誕生会を企画。かえでから彼氏も連れて来てと言われた律子は、水田(福田充徳)のことを打ち明けるべきか頭を悩ませる。そんな時、ロケ現場に龍彦がやって来る。やっぱりかえでが好きだから、もうどこにも行かないと告げる龍彦に、かえでは職を探しお金を入れることを条件に部屋に戻ることを認める。  律子の提案で誕生会には正午も呼ぶことになるが、正午が入れたZUKANのラジオ出演とかえでの誕生会が重なってしまう。すると正午はかえでの携帯に電話をかけ…。堺正章  夏川結衣  徳井義実(チュ―トリアル)  青木さやか  田中圭  福田充徳(チュ―トリアル)  永田彬(RUN&amp;GUN)  スザンヌ  小嶋陽菜    ムッシュかまやつ(友情出演)    尾美としのり  鈴木砂羽  夏木マリ脚本:岡田惠和演出:小松隆志  プロデュ―サ―:安藤和久  　　　　　　　　東城祐司  　　　　　　　　浅井千瑞仲西匡  瀬川英史    主題歌:「忘れもの」堺正章(ビクタ―エンタテインメント)</t>
  </si>
  <si>
    <t>正午(堺正章)の気持ちを知ったかえで(夏川結衣)は、自分の正直な気持ちを話そうと正午のもとを訪れる。年寄りに好きになられて迷惑したのではないかと心配する正午に、かえでは自信を持ってほしいと答える。その帰り道、正午はかえでに告白、かえでも心を動かされる。  一方、正午は龍彦(徳井義実)が部屋に戻って来ると、かえでに告白したことを報告。ライバルと思っていない様子の龍彦に、トランプで負けた方がかえでを諦めると勝負を持ちかけるが…。  翌朝、オフィスに出社した正午は、新人バンド・ZUKANのデビュ―を目前に控えて弱気になる文平(田中圭)を励ます。そして昨夜、かえでに告白したことを報告。文平も最近好きな女の子に告白したことを明かすが、それが自分の娘・朝子(小嶋陽菜)と知らない正午も盛り上がる。  かえでの36歳の誕生日が近づいて、律子(鈴木砂羽)は誕生会を企画。かえでから彼氏も連れて来てと言われた律子は、水田(福田充徳)のことを打ち明けるべきか頭を悩ませる。そんな時、ロケ現場に龍彦がやって来る。やっぱりかえでが好きだから、もうどこにも行かないと告げる龍彦に、かえでは職を探しお金を入れることを条件に部屋に戻ることを認める。  律子の提案で誕生会には正午も呼ぶことになるが、正午が入れたZUKANのラジオ出演とかえでの誕生会が重なってしまう。すると正午はかえでの携帯に電話をかけ…。</t>
  </si>
  <si>
    <t>番組名無理な恋愛　#08</t>
  </si>
  <si>
    <t>http://ktv.jp/muri/　正午(堺正章)は誕生会に欠席したお詫びに、かえで(夏川結衣)を食事に誘う。返事をもらい喜ぶ正午に、祥子(青木さやか)は人間ドックに行くように強く通告。渋々人間ドックを受けるとポリ―プが見つかり、精密検査のため入院が必要と言い渡されてしまう。年寄りと思われたくない一心で、正午は急に出張が入ったとかえでにウソをつき、デ―トをキャンセル。  龍彦(徳井義実)はアルバイトを始め、かえでの言いつけを守っていた。それを聞いた律子(鈴木砂羽)は、正午というライバルが現れて危機感を持った龍彦は母性本能に訴える作戦に出たのではと推察。その後、かえでが龍彦と律子、水田(福田充徳)と飲んでいると、水田が緊張した面持ちで律子にプロポ―ズ。茶化しながら涙をこぼす律子に、かえでももらい泣きしてしまう。別の日、かえでのことを考えながら歩いていた龍彦は、道で転倒して腰を強打、病院に担ぎ込まれる。  一方、文平(田中圭)は朝子(小嶋陽菜)から正午の別れた妻との娘と聞かされ絶句。正午と話をしようと病室を訪れると、ちょうど圭介(尾美としのり)も見舞いにやって来ていた。意を決し、文平は朝子と付き合いたいと正午に言うが…。  翌日、正午が病院内を歩いていると、龍彦が同じ病院に入院しているのを目撃。かえでも見舞いに来るかもしれないと正午は病室に戻ろうとするが、背後から来た人とぶつかってしまう。振り返るとそれはかえで本人で…。堺正章  夏川結衣  徳井義実(チュ―トリアル)  青木さやか  田中圭  福田充徳(チュ―トリアル)  永田彬(RUN&amp;GUN)  スザンヌ  小嶋陽菜    ムッシュかまやつ(友情出演)    尾美としのり  鈴木砂羽  夏木マリ脚本:岡田惠和演出:小松隆志  プロデュ―サ―:安藤和久  　　　　　　　　東城祐司  　　　　　　　　浅井千瑞仲西匡  瀬川英史    主題歌:「忘れもの」堺正章(ビクタ―エンタテインメント)</t>
  </si>
  <si>
    <t xml:space="preserve">　正午(堺正章)は誕生会に欠席したお詫びに、かえで(夏川結衣)を食事に誘う。返事をもらい喜ぶ正午に、祥子(青木さやか)は人間ドックに行くように強く通告。渋々人間ドックを受けるとポリ―プが見つかり、精密検査のため入院が必要と言い渡されてしまう。年寄りと思われたくない一心で、正午は急に出張が入ったとかえでにウソをつき、デ―トをキャンセル。  龍彦(徳井義実)はアルバイトを始め、かえでの言いつけを守っていた。それを聞いた律子(鈴木砂羽)は、正午というライバルが現れて危機感を持った龍彦は母性本能に訴える作戦に出たのではと推察。その後、かえでが龍彦と律子、水田(福田充徳)と飲んでいると、水田が緊張した面持ちで律子にプロポ―ズ。茶化しながら涙をこぼす律子に、かえでももらい泣きしてしまう。別の日、かえでのことを考えながら歩いていた龍彦は、道で転倒して腰を強打、病院に担ぎ込まれる。  一方、文平(田中圭)は朝子(小嶋陽菜)から正午の別れた妻との娘と聞かされ絶句。正午と話をしようと病室を訪れると、ちょうど圭介(尾美としのり)も見舞いにやって来ていた。意を決し、文平は朝子と付き合いたいと正午に言うが…。  翌日、正午が病院内を歩いていると、龍彦が同じ病院に入院しているのを目撃。かえでも見舞いに来るかもしれないと正午は病室に戻ろうとするが、背後から来た人とぶつかってしまう。振り返るとそれはかえで本人で…。</t>
  </si>
  <si>
    <t>番組名無理な恋愛　#09</t>
  </si>
  <si>
    <t>http://ktv.jp/muri/新人バンド・ZUKANのCDデビュ―が明日に迫り、正午(堺正章)は営業の反対を押し切って強力にプッシュを進める。かえで(夏川結衣)、律子(鈴木砂羽)、龍彦(徳井義実)、水田(福田充徳)は、かえでと律子が出演したドラマを見るため集まっていた。正午も打ち合わせを終え、オフィスで放送を心待ちにしていた。放送が終わり、かえでの幸せそうな表情を見た龍彦は、自分が正午と同様にかえでを幸せにできるのか不安になる。そんな龍彦は、水田に自らが書いた映画の脚本を読んでほしいと依頼されるが、龍彦はあまり気乗りがしない。  その晩、正午はバ―で同年輩の男性と遭遇し、意気投合。現在36歳の女性に恋をしていると告げるが、その男性はかえでの父・幹二(前田吟)だった。今後も連絡を取り合おうと2人は名刺交換をするが、互いの素性が分かり気まずい空気に包まれる。  翌日、龍彦が正午の会社を訪れ、自分と正午と、どちらがかえでを幸せにできるかと切り出す。自信喪失気味の龍彦に、正午は若いのだからこれから変われるチャンスがたくさんあると励ます。かえでは幹二と会い、夢に向かって100%力を出しきっているのかと説教される。父の言葉や正午の姿に背中を押されたかえでは、女優としてできることを頑張ってみようと奮起。だが正午自身はピンチに立たされていた。ZUKANのCDの売れ行きがかなり厳しい状況だったのだ・・・。堺正章  夏川結衣  徳井義実(チュ―トリアル)  青木さやか  田中圭  福田充徳(チュ―トリアル)  永田彬(RUN&amp;GUN)  スザンヌ  小嶋陽菜    ムッシュかまやつ(友情出演)    尾美としのり  鈴木砂羽  夏木マリ脚本:岡田惠和演出:植田尚  プロデュ―サ―:安藤和久  　　　　　　　　東城祐司  　　　　　　　　浅井千瑞仲西匡  瀬川英史    主題歌:「忘れもの」堺正章(ビクタ―エンタテインメント)</t>
  </si>
  <si>
    <t>新人バンド・ZUKANのCDデビュ―が明日に迫り、正午(堺正章)は営業の反対を押し切って強力にプッシュを進める。かえで(夏川結衣)、律子(鈴木砂羽)、龍彦(徳井義実)、水田(福田充徳)は、かえでと律子が出演したドラマを見るため集まっていた。正午も打ち合わせを終え、オフィスで放送を心待ちにしていた。放送が終わり、かえでの幸せそうな表情を見た龍彦は、自分が正午と同様にかえでを幸せにできるのか不安になる。そんな龍彦は、水田に自らが書いた映画の脚本を読んでほしいと依頼されるが、龍彦はあまり気乗りがしない。  その晩、正午はバ―で同年輩の男性と遭遇し、意気投合。現在36歳の女性に恋をしていると告げるが、その男性はかえでの父・幹二(前田吟)だった。今後も連絡を取り合おうと2人は名刺交換をするが、互いの素性が分かり気まずい空気に包まれる。  翌日、龍彦が正午の会社を訪れ、自分と正午と、どちらがかえでを幸せにできるかと切り出す。自信喪失気味の龍彦に、正午は若いのだからこれから変われるチャンスがたくさんあると励ます。かえでは幹二と会い、夢に向かって100%力を出しきっているのかと説教される。父の言葉や正午の姿に背中を押されたかえでは、女優としてできることを頑張ってみようと奮起。だが正午自身はピンチに立たされていた。ZUKANのCDの売れ行きがかなり厳しい状況だったのだ・・・。</t>
  </si>
  <si>
    <t>番組名無理な恋愛　#10</t>
  </si>
  <si>
    <t>http://ktv.jp/muri/正午(堺正章)は新人バンド・ZUKANのCDの売れ行きが不調なことを理由に、社員たちから現場を離れるよう言われてしまった。カラ元気でオフィスの整理を始めたり、自ら率先してZUKANに声をかける正午を見て、祥子(青木さやか)は会社を辞めようとしているのだと気づく。  その帰り、正午がケンちゃん(ムッシュかまやつ)の店に寄り「何もなくなった60歳に恋は厳しい」と自嘲していると、かえで(夏川結衣)が店にやって来た。かえではオ―ディションや営業活動を続けているが、やはり年齢がネックになっていた。それでも女優業を頑張る気になったのは、正午に負けたくないからだと聞き、正午は今の自分の境遇が切なくなる。  その後、かえではダメもとで受けた映画のオ―ディションで、ヒロインの叔母さん役で起用を検討しているので、もう一度会ってみたいと連絡を受ける。正午は遂に会社に辞表を提出し、自分から誘って光代(夏木マリ)一家と食事をする。光代はそんな正午を見て、姿を消そうとしているのではないかと言い当てる。正午は最後に龍彦(徳井義実)にだけ会って、遠回しにかえでを幸せにするよう伝えておこうと電話を掛けるが、成り行きで、かえでたちと一緒に居酒屋で酒を飲むことになる。かえではダメもとで受けた映画のオ―ディションで脇役に合格。そんなかえでを、正午はある決意を秘めてデ―トに誘う・・・。堺正章  夏川結衣  徳井義実(チュ―トリアル)  青木さやか  田中圭  福田充徳(チュ―トリアル)  永田彬(RUN&amp;GUN)  スザンヌ  小嶋陽菜  　  ムッシュかまやつ(友情出演)  　　  尾美としのり  鈴木砂羽  夏木マリ脚本:岡田惠和演出:塚本連平  プロデュ―サ―:安藤和久  　　　　　　　　東城祐司  　　　　　　　　浅井千瑞仲西匡  瀬川英史    主題歌:「忘れもの」堺正章(ビクタ―エンタテインメント)</t>
  </si>
  <si>
    <t>正午(堺正章)は新人バンド・ZUKANのCDの売れ行きが不調なことを理由に、社員たちから現場を離れるよう言われてしまった。カラ元気でオフィスの整理を始めたり、自ら率先してZUKANに声をかける正午を見て、祥子(青木さやか)は会社を辞めようとしているのだと気づく。  その帰り、正午がケンちゃん(ムッシュかまやつ)の店に寄り「何もなくなった60歳に恋は厳しい」と自嘲していると、かえで(夏川結衣)が店にやって来た。かえではオ―ディションや営業活動を続けているが、やはり年齢がネックになっていた。それでも女優業を頑張る気になったのは、正午に負けたくないからだと聞き、正午は今の自分の境遇が切なくなる。  その後、かえではダメもとで受けた映画のオ―ディションで、ヒロインの叔母さん役で起用を検討しているので、もう一度会ってみたいと連絡を受ける。正午は遂に会社に辞表を提出し、自分から誘って光代(夏木マリ)一家と食事をする。光代はそんな正午を見て、姿を消そうとしているのではないかと言い当てる。正午は最後に龍彦(徳井義実)にだけ会って、遠回しにかえでを幸せにするよう伝えておこうと電話を掛けるが、成り行きで、かえでたちと一緒に居酒屋で酒を飲むことになる。かえではダメもとで受けた映画のオ―ディションで脇役に合格。そんなかえでを、正午はある決意を秘めてデ―トに誘う・・・。</t>
  </si>
  <si>
    <t>番組名無理な恋愛　#11</t>
  </si>
  <si>
    <t>http://ktv.jp/muri/　正午(堺正章)が皆の前から姿を消し、自責の念に駆られていたかえで(夏川結衣)に、正午から手紙が届く。そこには、かえでの前から姿を消せば恋は終わらず、ずっと恋をしていられるからと、失踪の理由が綴られていた。  　その頃、正午は海辺の町で偶然、元部下の菊原(坂口憲二)と再会。音楽の話で盛り上がった2人は、新レ―ベル「チャッピ―ズ」をスタ―トさせ、新人発掘を始める。その後、ZUKANのCDチャ―トが急上昇し、祥子(青木さやか)と矢代(田中圭)は正午を連れ戻しにやって来るが、正午は自分のために新しいことを始めたいと会社復帰を断る。  　そして1年後。かえでは出演した映画が封切りになり、正午は新人を売り出すために営業に精を出していた。律子(鈴木砂羽)は臨月を迎え、水田(福田充徳)と結婚式を挙げる。龍彦(徳井義実)は脚本コンク―ルに再チャレンジするために自主取材に出かけるが、海辺の町で楽しそうに仕事をする正午を偶然見かけ、思わず物陰に隠れてしまう。東京に戻り、そのことを言い出しかねている龍彦に、かえでは自分と龍彦が頑張り続けるのが正午への恩返しなのだと話し、龍彦は正午の存在の大きさを思い知る。かえでは小さな映画祭の助演女優賞に選ばれ、そのことを新聞記事で読んだ正午は遠い町で秘かに感動するのだった。  　映画祭当日、龍彦は指輪を持参。授賞式の会場でかえでにプロポ―ズをしようとするが・・・?堺正章  夏川結衣  徳井義実(チュ―トリアル)  青木さやか  田中圭  福田充徳(チュ―トリアル)  永田彬(RUN&amp;GUN)  スザンヌ  小嶋陽菜    ムッシュかまやつ(友情出演)    尾美としのり  鈴木砂羽  夏木マリ    坂口憲二(特別出演)脚本:岡田惠和演出:塚本連平  プロデュ―サ―:安藤和久  　　　　　　　　東城祐司  　　　　　　　　浅井千瑞仲西匡  瀬川英史    主題歌:「忘れもの」堺正章(ビクタ―エンタテインメント)</t>
  </si>
  <si>
    <t xml:space="preserve">　正午(堺正章)が皆の前から姿を消し、自責の念に駆られていたかえで(夏川結衣)に、正午から手紙が届く。そこには、かえでの前から姿を消せば恋は終わらず、ずっと恋をしていられるからと、失踪の理由が綴られていた。  　その頃、正午は海辺の町で偶然、元部下の菊原(坂口憲二)と再会。音楽の話で盛り上がった2人は、新レ―ベル「チャッピ―ズ」をスタ―トさせ、新人発掘を始める。その後、ZUKANのCDチャ―トが急上昇し、祥子(青木さやか)と矢代(田中圭)は正午を連れ戻しにやって来るが、正午は自分のために新しいことを始めたいと会社復帰を断る。  　そして1年後。かえでは出演した映画が封切りになり、正午は新人を売り出すために営業に精を出していた。律子(鈴木砂羽)は臨月を迎え、水田(福田充徳)と結婚式を挙げる。龍彦(徳井義実)は脚本コンク―ルに再チャレンジするために自主取材に出かけるが、海辺の町で楽しそうに仕事をする正午を偶然見かけ、思わず物陰に隠れてしまう。東京に戻り、そのことを言い出しかねている龍彦に、かえでは自分と龍彦が頑張り続けるのが正午への恩返しなのだと話し、龍彦は正午の存在の大きさを思い知る。かえでは小さな映画祭の助演女優賞に選ばれ、そのことを新聞記事で読んだ正午は遠い町で秘かに感動するのだった。  　映画祭当日、龍彦は指輪を持参。授賞式の会場でかえでにプロポ―ズをしようとするが・・・?</t>
  </si>
  <si>
    <t>0804_CX_木22</t>
  </si>
  <si>
    <t>ラスト・フレンズ</t>
  </si>
  <si>
    <t>番組名&lt;木曜劇場&gt;ラスト・フレンズ　#01</t>
  </si>
  <si>
    <t>美容師のアシスタントをしている藍田美知留(長澤まさみ)は、高校時代の親友・岸本瑠可(上野樹里)と偶然再会する。瑠可は、友人のエリ(水川あさみ)とシェアハウスと呼ばれる共同住宅に暮らしながら、モトクロスのレ―サ―を目指していた。  　瑠可は、シェアハウスで一緒に暮らさないか、と美知留を誘った。が、区役所の児童福祉課に勤務する恋人・及川宗佑(錦戸亮)と同棲することを決めたばかりの美知留はそれを断る。　一方、ヘアメイクア―ティストの卵、水島タケル(瑛太)は、雑貨店で瑠可とぶつかり、彼女が落としたマグカップを拾う。瑠可が美知留を見かけ、後を追いかけた際の出来事だった。その夜、タケルは、信号待ちをしている瑠可に気づき、声をかけようとする。が、ナンパだと勘違いした瑠可に怒鳴られ、持っていたマグカップを渡すことができない。  　別の日、瑠可は、エリとともにとあるバ―を訪れる。そこは、タケルがバ―テンダ―をしている店だった。タケルは、瑠可に事情を話すと、割れたところを修復したマグカップを彼女に見せて誤解を解く。  　そんな中、美知留は、宗佑のマンションに引っ越す。美知留は、何があっても絶対に側を離れない、という宗佑の言葉に幸せを実感していた。ところがその翌日、美知留が目を覚ますと、宗佑が美知留の携帯電話を開いて見ており…。長澤まさみ  上野樹里  瑛太  水川あさみ  山崎樹範  西原亜希  　*  倍賞美津子  　*  錦戸亮脚本:浅野妙子演出:加藤裕将  プロデュ―ス:中野利幸主題歌:「Prisoner　Of　Love」宇多田ヒカル(EMIミュ―ジック・ジャパン)</t>
  </si>
  <si>
    <t>美容師のアシスタントをしている藍田美知留(長澤まさみ)は、高校時代の親友・岸本瑠可(上野樹里)と偶然再会する。瑠可は、友人のエリ(水川あさみ)とシェアハウスと呼ばれる共同住宅に暮らしながら、モトクロスのレ―サ―を目指していた。  　瑠可は、シェアハウスで一緒に暮らさないか、と美知留を誘った。が、区役所の児童福祉課に勤務する恋人・及川宗佑(錦戸亮)と同棲することを決めたばかりの美知留はそれを断る。　一方、ヘアメイクア―ティストの卵、水島タケル(瑛太)は、雑貨店で瑠可とぶつかり、彼女が落としたマグカップを拾う。瑠可が美知留を見かけ、後を追いかけた際の出来事だった。その夜、タケルは、信号待ちをしている瑠可に気づき、声をかけようとする。が、ナンパだと勘違いした瑠可に怒鳴られ、持っていたマグカップを渡すことができない。  　別の日、瑠可は、エリとともにとあるバ―を訪れる。そこは、タケルがバ―テンダ―をしている店だった。タケルは、瑠可に事情を話すと、割れたところを修復したマグカップを彼女に見せて誤解を解く。  　そんな中、美知留は、宗佑のマンションに引っ越す。美知留は、何があっても絶対に側を離れない、という宗佑の言葉に幸せを実感していた。ところがその翌日、美知留が目を覚ますと、宗佑が美知留の携帯電話を開いて見ており…。</t>
  </si>
  <si>
    <t>番組名&lt;木曜劇場&gt;ラスト・フレンズ　#02</t>
  </si>
  <si>
    <t>美知留(長澤まさみ)は、恋人の宗佑(錦戸亮)に何も言わずに、瑠可(上野樹里)とエリ(水川あさみ)が暮らすシェアハウスで一夜を明かす。宗佑は、そんな美知留を迎えに、彼女が働く美容室を訪れた。美知留は、連絡もせずに外泊したことを怒っていないのか、と宗佑に尋ねた。すると宗佑は、美知留を抱きしめ、どこにも行かないでほしい、と告げる。  　あくる日、瑠可のアルバイト先に、父親の修治(平田満)が訪ねてくる。瑠可は、修治を連れて、タケル(瑛太)がアルバイトをしているバ―を訪れ、一緒に酒を飲んだ。修治は、瑠可がタケルと交際しているのではないかと疑うが、それが誤解だと分かると安心したようすだった。  　同じころ、食事の準備をしていた美知留は、実家で見つけることができなかった高校の卒業アルバムが何故かクロ―ゼットの奥にあることを知り、不審を抱く。しかも、アルバムの中にあった集合写真の瑠可の名前には×印がしてあった。  　別の日、エリは、航空会社の先輩・友彦(山崎樹範)のようすがおかしいことに気付く。理由を尋ねると、妻が家に男を連れ込んでいることを知り、どうすればいいのか分からないのだと言う。エリは、そんな友彦をシェアハウスに誘った。  　その夜、美知留は、急な残業で帰宅が遅くなってしまう。すると宗佑は、いきなり美知留を殴りつけた。そのとき、瑠可からの電話が入り…。長澤まさみ  上野樹里  瑛太  水川あさみ  山崎樹範  西原亜希  　*  倍賞美津子  　*  錦戸亮脚本:浅野妙子演出:加藤裕将  プロデュ―ス:中野利幸主題歌:「Prisoner　Of　Love」宇多田ヒカル(EMIミュ―ジック・ジャパン)</t>
  </si>
  <si>
    <t>美知留(長澤まさみ)は、恋人の宗佑(錦戸亮)に何も言わずに、瑠可(上野樹里)とエリ(水川あさみ)が暮らすシェアハウスで一夜を明かす。宗佑は、そんな美知留を迎えに、彼女が働く美容室を訪れた。美知留は、連絡もせずに外泊したことを怒っていないのか、と宗佑に尋ねた。すると宗佑は、美知留を抱きしめ、どこにも行かないでほしい、と告げる。  　あくる日、瑠可のアルバイト先に、父親の修治(平田満)が訪ねてくる。瑠可は、修治を連れて、タケル(瑛太)がアルバイトをしているバ―を訪れ、一緒に酒を飲んだ。修治は、瑠可がタケルと交際しているのではないかと疑うが、それが誤解だと分かると安心したようすだった。  　同じころ、食事の準備をしていた美知留は、実家で見つけることができなかった高校の卒業アルバムが何故かクロ―ゼットの奥にあることを知り、不審を抱く。しかも、アルバムの中にあった集合写真の瑠可の名前には×印がしてあった。  　別の日、エリは、航空会社の先輩・友彦(山崎樹範)のようすがおかしいことに気付く。理由を尋ねると、妻が家に男を連れ込んでいることを知り、どうすればいいのか分からないのだと言う。エリは、そんな友彦をシェアハウスに誘った。  　その夜、美知留は、急な残業で帰宅が遅くなってしまう。すると宗佑は、いきなり美知留を殴りつけた。そのとき、瑠可からの電話が入り…。</t>
  </si>
  <si>
    <t>番組名&lt;木曜劇場&gt;ラスト・フレンズ　#03</t>
  </si>
  <si>
    <t>美知留(長澤まさみ)は、モトクロスの大会で転倒し、病院に搬送された瑠可(上野樹里)に付き添っていた。そこにやってきた宗佑(錦戸亮)は、美知留を連れ出すと、帰宅時間を守らなかった彼女を責め、暴力を振るった。偶然その現場を目撃してしまった瑠可は、美知留を庇い、宗佑の前に立ちはだかった。  　ほどなく、瑠可の戻りが遅いことを心配したタケル(瑛太)もやってきた。異変を感じ、イスを持ったまま立ち尽くす宗佑の腕を押さえつけるタケル。瑠可は、何故暴力を振るったのかと宗佑を責めた。すると宗佑は、ふざけていてイスが倒れただけだ、などと答える。  　退院した瑠可は、美知留が働く美容院を訪ね、ランチを共にする。そこで、宗佑の話を切り出す瑠可。それに対して美知留は、一緒に暮らしていればケンカをすることもあるのだからたいしたことではない、と答えた。いままで人から愛されていると感じたことがなかったが、宗佑からは愛されていると感じる、というのだ。  　そんな折、美知留は、男性客からの指名を受ける。美知留は、男性客の髪は切らない、という宗佑との約束を思い出して一瞬戸惑うが、意を決してそれを引き受けた。  　その夜、宗佑と夕食を共にした美知留は、仕事のことを尋ねられる。宗佑の理不尽な要求に不満を抱いていた美知留は、仕事なのだから断れないと訴えた。すると宗佑は、自分と客のどちらが大事なのか、と美知留に詰め寄り…。長澤まさみ  上野樹里  瑛太  水川あさみ  山崎樹範  西原亜希  　*  倍賞美津子  　*  錦戸亮脚本:浅野妙子演出:加藤裕将　  プロデュ―ス:中野利幸主題歌:「Prisoner　Of　Love」宇多田ヒカル(EMIミュ―ジック・ジャパン)</t>
  </si>
  <si>
    <t>美知留(長澤まさみ)は、モトクロスの大会で転倒し、病院に搬送された瑠可(上野樹里)に付き添っていた。そこにやってきた宗佑(錦戸亮)は、美知留を連れ出すと、帰宅時間を守らなかった彼女を責め、暴力を振るった。偶然その現場を目撃してしまった瑠可は、美知留を庇い、宗佑の前に立ちはだかった。  　ほどなく、瑠可の戻りが遅いことを心配したタケル(瑛太)もやってきた。異変を感じ、イスを持ったまま立ち尽くす宗佑の腕を押さえつけるタケル。瑠可は、何故暴力を振るったのかと宗佑を責めた。すると宗佑は、ふざけていてイスが倒れただけだ、などと答える。  　退院した瑠可は、美知留が働く美容院を訪ね、ランチを共にする。そこで、宗佑の話を切り出す瑠可。それに対して美知留は、一緒に暮らしていればケンカをすることもあるのだからたいしたことではない、と答えた。いままで人から愛されていると感じたことがなかったが、宗佑からは愛されていると感じる、というのだ。  　そんな折、美知留は、男性客からの指名を受ける。美知留は、男性客の髪は切らない、という宗佑との約束を思い出して一瞬戸惑うが、意を決してそれを引き受けた。  　その夜、宗佑と夕食を共にした美知留は、仕事のことを尋ねられる。宗佑の理不尽な要求に不満を抱いていた美知留は、仕事なのだから断れないと訴えた。すると宗佑は、自分と客のどちらが大事なのか、と美知留に詰め寄り…。</t>
  </si>
  <si>
    <t>番組名&lt;木曜劇場&gt;ラスト・フレンズ　#04</t>
  </si>
  <si>
    <t>美知留(長澤まさみ)は、瑠可(上野樹里)のことで宗佑(錦戸亮)と口論になり、激しい暴力を受ける。美知留は、瑠可やタケル(瑛太)たちが暮らすシェアハウスに向かい、助けを求めた。瑠可は、美知留を落ち着かせると、宗佑とは別れたほうがいい、と告げた。暴力で相手を自分の思い通りにしようとするのは愛じゃない、という瑠可の言葉に、涙を浮かべる美知留。瑠可は、タケルやエリ(水川あさみ)、友彦(山崎樹範)にも協力を求め、宗佑から美知留を守ろうと決意する。瑠可は、美容室を辞めて、携帯電話にも出るな、と美知留にアドバイスする。美知留は、タケルやエリたちの優しさを感じながら、シェアハウスで落ち着いた生活を送る。その間も、美知留の携帯電話には、何度も宗佑からの電話が入っていた。  　そんな折、モトクロスの練習場でトレ―ニングをしていた瑠可は、遠くからじっとこちらを見つめている宗佑の姿に気づく。瑠可は、タケルに連絡を入れ、宗佑がきたことを伝えると、美知留をひとりにしないでほしい、と頼んだ。瑠可は、ちょうどそこにやってきたチ―ムの監督・林田(田中哲司)を誘って飲みに行く。宗佑の尾行を防ぐためだった。その夜遅く、酒に酔った瑠可と林田は、互いにふざけ合いながら帰路についた。が、そこで瑠可は、林田に抱きつかれ、唇を奪われてしまう。  　そしてついに宗佑は瑠可の住むシェアハウスをつきとめ、訪ねてくる。そして・・・!!長澤まさみ  上野樹里  瑛太  水川あさみ  山崎樹範  西原亜希  　*  倍賞美津子  　*  錦戸亮脚本:浅野妙子演出:加藤裕将  プロデュ―ス:中野利幸主題歌:「Prisoner　Of　Love」宇多田ヒカル(EMIミュ―ジック・ジャパン)</t>
  </si>
  <si>
    <t>美知留(長澤まさみ)は、瑠可(上野樹里)のことで宗佑(錦戸亮)と口論になり、激しい暴力を受ける。美知留は、瑠可やタケル(瑛太)たちが暮らすシェアハウスに向かい、助けを求めた。瑠可は、美知留を落ち着かせると、宗佑とは別れたほうがいい、と告げた。暴力で相手を自分の思い通りにしようとするのは愛じゃない、という瑠可の言葉に、涙を浮かべる美知留。瑠可は、タケルやエリ(水川あさみ)、友彦(山崎樹範)にも協力を求め、宗佑から美知留を守ろうと決意する。瑠可は、美容室を辞めて、携帯電話にも出るな、と美知留にアドバイスする。美知留は、タケルやエリたちの優しさを感じながら、シェアハウスで落ち着いた生活を送る。その間も、美知留の携帯電話には、何度も宗佑からの電話が入っていた。  　そんな折、モトクロスの練習場でトレ―ニングをしていた瑠可は、遠くからじっとこちらを見つめている宗佑の姿に気づく。瑠可は、タケルに連絡を入れ、宗佑がきたことを伝えると、美知留をひとりにしないでほしい、と頼んだ。瑠可は、ちょうどそこにやってきたチ―ムの監督・林田(田中哲司)を誘って飲みに行く。宗佑の尾行を防ぐためだった。その夜遅く、酒に酔った瑠可と林田は、互いにふざけ合いながら帰路についた。が、そこで瑠可は、林田に抱きつかれ、唇を奪われてしまう。  　そしてついに宗佑は瑠可の住むシェアハウスをつきとめ、訪ねてくる。そして・・・!!</t>
  </si>
  <si>
    <t>番組名&lt;木曜劇場&gt;ラスト・フレンズ　#05</t>
  </si>
  <si>
    <t>美知留(長澤まさみ)は、シェアハウスの前でずぶ濡れになってうずくまっている宗佑(錦戸亮)を見つける。美知留は、宗佑をタクシ―に乗せてマンションまで送り、布団に寝かしつけた。宗佑は、帰ろうとする美知留の手をつかみ、行かないでほしいと頼んだ。しかし美知留は、もう一緒には住めない、と宗佑に告げ、彼の部屋を後にする。  　その夜、シェアハウスに戻った美知留は、もう1度同じ美容室で働くことにしたと瑠可(上野樹里)やタケル(瑛太)たちに報告。美知留は、心配するエリ(水川あさみ)たちに向かって、自分がしっかりしていれば大丈夫だと告げた。  　あくる日、タケルは、仕事を終えた美知留を迎えに行く。瑠可の実家で開かれるパ―ティ―に美知留と一緒に来てほしい、と瑠可から頼まれたのだ。  　美知留たちは、瑠可の父親・修治(平田満)や母親の陽子(朝加真由美)から歓迎を受ける。楽しいひと時を過ごした美知留は、瑠可と一緒に岸本家に泊まる。遠慮して岸本家を後にしたタケルは、シェアハウスに戻った。  　すると、エリがひとりでグラスを傾けていた。エリは、離婚の話し合いをするという友彦(山崎樹範)に付き添ったが、彼はそのまま自宅に泊まることになったのだという。酒に酔ったエリは、寂しさを紛らわすようにしてタケルに迫り、キスしようとした。その瞬間、タケルは、言いようのない嫌悪感に襲われ…。長澤まさみ  上野樹里  瑛太  水川あさみ  山崎樹範  西原亜希  　*  倍賞美津子  　*  錦戸亮脚本:浅野妙子演出:加藤裕将  プロデュ―ス:中野利幸主題歌:「Prisoner　Of　Love」宇多田ヒカル(EMIミュ―ジック・ジャパン)</t>
  </si>
  <si>
    <t>美知留(長澤まさみ)は、シェアハウスの前でずぶ濡れになってうずくまっている宗佑(錦戸亮)を見つける。美知留は、宗佑をタクシ―に乗せてマンションまで送り、布団に寝かしつけた。宗佑は、帰ろうとする美知留の手をつかみ、行かないでほしいと頼んだ。しかし美知留は、もう一緒には住めない、と宗佑に告げ、彼の部屋を後にする。  　その夜、シェアハウスに戻った美知留は、もう1度同じ美容室で働くことにしたと瑠可(上野樹里)やタケル(瑛太)たちに報告。美知留は、心配するエリ(水川あさみ)たちに向かって、自分がしっかりしていれば大丈夫だと告げた。  　あくる日、タケルは、仕事を終えた美知留を迎えに行く。瑠可の実家で開かれるパ―ティ―に美知留と一緒に来てほしい、と瑠可から頼まれたのだ。  　美知留たちは、瑠可の父親・修治(平田満)や母親の陽子(朝加真由美)から歓迎を受ける。楽しいひと時を過ごした美知留は、瑠可と一緒に岸本家に泊まる。遠慮して岸本家を後にしたタケルは、シェアハウスに戻った。  　すると、エリがひとりでグラスを傾けていた。エリは、離婚の話し合いをするという友彦(山崎樹範)に付き添ったが、彼はそのまま自宅に泊まることになったのだという。酒に酔ったエリは、寂しさを紛らわすようにしてタケルに迫り、キスしようとした。その瞬間、タケルは、言いようのない嫌悪感に襲われ…。</t>
  </si>
  <si>
    <t>番組名&lt;木曜劇場&gt;ラスト・フレンズ　#06</t>
  </si>
  <si>
    <t>美知留(長澤まさみ)は、宗佑(錦戸亮)のそばにいてあげたい、と瑠可(上野樹里)に訴える。美知留は、自分自身も弱い人間だから宗佑の弱さがわかる、と瑠可にいうと、宗佑のマンションへと急いだ。瑠可は、そんな美知留の言葉に傷つき、激しく動揺してしまう。  　宗佑は、息を切らしながらマンションにやってきた美知留を出迎える。宗佑は、いたって元気なようすだった。そこで宗佑は、新しい携帯電話を買うから、といって美知留の携帯電話を取り上げた。  　その夜、タケル(瑛太)やエリ(水川あさみ)を誘って酒を飲みにいった瑠可は、泥酔してしまい、タケルたちに抱きかかえられるようにして家に戻る。シェアハウスには、妻の元に戻ったはずの友彦(山崎樹範)の姿があった。友彦は、妻と話し合い、試験的に別居しようという結論に落ち着いたのだという。友彦の話を聞いていた瑠可は、エリの気持ちも考えたらどうか、と友彦を責めた。するとエリは、いまのままの関係でいいからシェアハウスにいていい、といって友彦を助ける。  　ある日、タケルは、美知留が働いていた美容室を訪れる。が、美知留はすでに店を辞めていた。美容室で宗佑のマンションの住所を聞いたタケルは、美知留を訪ねた。ドアチャイムを押しても返事はなかったが、玄関のドアには鍵がかかっていなかった。不審を抱き、ドアを開けるタケル。そこでタケルは、変わり果てた美知留の姿を目撃し…。長澤まさみ  上野樹里  瑛太  水川あさみ  山崎樹範  西原亜希  　*  倍賞美津子  　*  錦戸亮脚本:浅野妙子演出:加藤裕将  プロデュ―ス:中野利幸主題歌:「Prisoner　Of　Love」宇多田ヒカル(EMIミュ―ジック・ジャパン)</t>
  </si>
  <si>
    <t>美知留(長澤まさみ)は、宗佑(錦戸亮)のそばにいてあげたい、と瑠可(上野樹里)に訴える。美知留は、自分自身も弱い人間だから宗佑の弱さがわかる、と瑠可にいうと、宗佑のマンションへと急いだ。瑠可は、そんな美知留の言葉に傷つき、激しく動揺してしまう。  　宗佑は、息を切らしながらマンションにやってきた美知留を出迎える。宗佑は、いたって元気なようすだった。そこで宗佑は、新しい携帯電話を買うから、といって美知留の携帯電話を取り上げた。  　その夜、タケル(瑛太)やエリ(水川あさみ)を誘って酒を飲みにいった瑠可は、泥酔してしまい、タケルたちに抱きかかえられるようにして家に戻る。シェアハウスには、妻の元に戻ったはずの友彦(山崎樹範)の姿があった。友彦は、妻と話し合い、試験的に別居しようという結論に落ち着いたのだという。友彦の話を聞いていた瑠可は、エリの気持ちも考えたらどうか、と友彦を責めた。するとエリは、いまのままの関係でいいからシェアハウスにいていい、といって友彦を助ける。  　ある日、タケルは、美知留が働いていた美容室を訪れる。が、美知留はすでに店を辞めていた。美容室で宗佑のマンションの住所を聞いたタケルは、美知留を訪ねた。ドアチャイムを押しても返事はなかったが、玄関のドアには鍵がかかっていなかった。不審を抱き、ドアを開けるタケル。そこでタケルは、変わり果てた美知留の姿を目撃し…。</t>
  </si>
  <si>
    <t>番組名&lt;木曜劇場&gt;ラスト・フレンズ　#07</t>
  </si>
  <si>
    <t>美知留(長澤まさみ)は、瑠可(上野樹里)との関係がギクシャクしていることに悩みタケル(瑛太)に相談を持ちかけた。美知留は、瑠可には他人を入り込ませない壁のようなものがあると感じていたという。ふたりの会話を偶然聞いていた瑠可は、美知留の言ったことは本当だ、とタケルに打ち明けると、誰にも話したことがない秘密を聞いてほしいと告げた。瑠可に心をひかれていたタケルは、そんな彼女を制し「君が好きだ」と伝えた。瑠可は激しい動揺を抑えながら、タケルの気持ちには応えられないと返す。  　そんな折、美知留たちはエリ(水川あさみ)と友彦(山崎樹範)らと遊園地へ行く。朝、皆が出発の準備をしていると林田(田中哲司)がやってくる。実は瑠可は、林田に恋人役を務めて欲しいと頼んでいた。シェアハウスの面々に林田を加えた6人は、遊園地を訪れた。そこでタケルは、白幡優子(伊藤裕子)の姿に気づく。次の瞬間、急に気分が悪くなったタケルはその場から逃げ出し、ベンチに倒れこんだ。タケルの異変に気づいた美知留は、彼を介抱した後、一緒にシェアハウスに戻った。その夜、美知留は瑠可に、宗佑(錦戸亮)に別れを伝えると告げる。自分でけじめをつけたい、という美知留の決意を知った瑠可は何も言わなかった。  　翌日、美知留は宗佑に電話をするが、やはり心は揺れる。そんな美知留をタケルは優しく慰める。すると・・・。長澤まさみ  上野樹里  瑛太  水川あさみ  山崎樹範  西原亜希  　*  倍賞美津子  　*  錦戸亮脚本:浅野妙子演出:加藤裕将  プロデュ―ス:中野利幸主題歌:「Prisoner　Of　Love」宇多田ヒカル(EMIミュ―ジック・ジャパン)</t>
  </si>
  <si>
    <t>美知留(長澤まさみ)は、瑠可(上野樹里)との関係がギクシャクしていることに悩みタケル(瑛太)に相談を持ちかけた。美知留は、瑠可には他人を入り込ませない壁のようなものがあると感じていたという。ふたりの会話を偶然聞いていた瑠可は、美知留の言ったことは本当だ、とタケルに打ち明けると、誰にも話したことがない秘密を聞いてほしいと告げた。瑠可に心をひかれていたタケルは、そんな彼女を制し「君が好きだ」と伝えた。瑠可は激しい動揺を抑えながら、タケルの気持ちには応えられないと返す。  　そんな折、美知留たちはエリ(水川あさみ)と友彦(山崎樹範)らと遊園地へ行く。朝、皆が出発の準備をしていると林田(田中哲司)がやってくる。実は瑠可は、林田に恋人役を務めて欲しいと頼んでいた。シェアハウスの面々に林田を加えた6人は、遊園地を訪れた。そこでタケルは、白幡優子(伊藤裕子)の姿に気づく。次の瞬間、急に気分が悪くなったタケルはその場から逃げ出し、ベンチに倒れこんだ。タケルの異変に気づいた美知留は、彼を介抱した後、一緒にシェアハウスに戻った。その夜、美知留は瑠可に、宗佑(錦戸亮)に別れを伝えると告げる。自分でけじめをつけたい、という美知留の決意を知った瑠可は何も言わなかった。  　翌日、美知留は宗佑に電話をするが、やはり心は揺れる。そんな美知留をタケルは優しく慰める。すると・・・。</t>
  </si>
  <si>
    <t>番組名&lt;木曜劇場&gt;ラスト・フレンズ　#08</t>
  </si>
  <si>
    <t>美知留(長澤まさみ)は、タケル(瑛太)のアシスタントとしてメイクアップア―ティストの勉強を始める。一方、シェアハウスを出ようと決意した瑠可(上野樹里)は、美知留たちに内緒で不動産会社を訪れる。  　そんな折、シェアハウスに直也(澁谷武尊)がやってくる。直也は、応対したエリ(水川あさみ)に、美知留宛ての手紙を差し出した。宗佑(錦戸亮)からの手紙だった。その手紙には、病院に入院していて動けないことや、美知留への思いが書かれていた。それを見た瑠可は、宗佑の罠に決まっているから美知留に渡す必要はない、と吐き捨てた。  　あくる日、エリは、宗佑の手紙に書かれていた病院を訪れる。宗佑が本当に入院していたことに驚きながらも、美知留に手紙を渡さなかったことを彼に伝えるエリ。宗佑はそんなエリに、いままでに書いた何通かの手紙を預け、美知留に渡してほしいと頼む。帰宅したエリは、宗佑から預かった手紙に目を通す。そして、友彦(山崎樹範)と温泉に行く計画を立てていたエリは、宿の予約状況を調べるため、瑠可のパソコンを借りようとする。その際、瑠可が閉じ忘れていたペ―ジを見てしまう。  　その夜、タケルはポストの中に、瑠可宛てに送られてきた不動産会社からの封筒があることに気づく。タケルに封筒のことを尋ねられた瑠可は、引っ越すことにしたと皆に告げる。長澤まさみ  上野樹里  瑛太  水川あさみ  山崎樹範  西原亜希  　*  倍賞美津子  　*  錦戸亮脚本:浅野妙子演出:加藤裕将  プロデュ―ス:中野利幸主題歌:「Prisoner　Of　Love」宇多田ヒカル(EMIミュ―ジック・ジャパン)</t>
  </si>
  <si>
    <t>美知留(長澤まさみ)は、タケル(瑛太)のアシスタントとしてメイクアップア―ティストの勉強を始める。一方、シェアハウスを出ようと決意した瑠可(上野樹里)は、美知留たちに内緒で不動産会社を訪れる。  　そんな折、シェアハウスに直也(澁谷武尊)がやってくる。直也は、応対したエリ(水川あさみ)に、美知留宛ての手紙を差し出した。宗佑(錦戸亮)からの手紙だった。その手紙には、病院に入院していて動けないことや、美知留への思いが書かれていた。それを見た瑠可は、宗佑の罠に決まっているから美知留に渡す必要はない、と吐き捨てた。  　あくる日、エリは、宗佑の手紙に書かれていた病院を訪れる。宗佑が本当に入院していたことに驚きながらも、美知留に手紙を渡さなかったことを彼に伝えるエリ。宗佑はそんなエリに、いままでに書いた何通かの手紙を預け、美知留に渡してほしいと頼む。帰宅したエリは、宗佑から預かった手紙に目を通す。そして、友彦(山崎樹範)と温泉に行く計画を立てていたエリは、宿の予約状況を調べるため、瑠可のパソコンを借りようとする。その際、瑠可が閉じ忘れていたペ―ジを見てしまう。  　その夜、タケルはポストの中に、瑠可宛てに送られてきた不動産会社からの封筒があることに気づく。タケルに封筒のことを尋ねられた瑠可は、引っ越すことにしたと皆に告げる。</t>
  </si>
  <si>
    <t>番組名&lt;木曜劇場&gt;ラスト・フレンズ　#09</t>
  </si>
  <si>
    <t>美知留(長澤まさみ)、タケル(瑛太)やエリ(水川あさみ)、友彦(山崎樹範)は、瑠可(上野樹里)の優勝を祝してパ―ティ―を開いた。ひと晩飲み明かしてそのままリビングで雑魚寝していると、ドアチャイムが鳴った。先に目を覚ましていた美知留がドアを開けると、そこに立っていたのはタケルの姉・優子(伊藤裕子)だった。  　優子は、法事にも顔を出さなかったタケルのことを心配して訪ねてきたのだという。半ば強引に上がりこんだ優子だが、寝ているタケルの姿を見て、目を覚ましたら渡してほしいと言って、手作りのバナナブレッドを美知留に預けて帰ってしまう。ほどなく、タケルが目を覚ました。美知留から優子のことを教えられたタケルは急に青ざめ、姉が来たことは誰にも言わないでほしいと頼んだ。  　そんな折、美知留は、タケルをともなって母親の千夏(倍賞美津子)に会いにいく。住民台帳を提出するにあたり、保証人として千夏のサインが必要だったからだ。そんな美知留たちの姿を見つめる男性の姿があった。宗佑(錦戸亮)だった。  　その後、美知留に「ほかに好きな人ができた」と告白された宗佑は、その相手がタケルだと確信。ある日、タケルを待ち伏せして襲いかかる。不意をつかれたタケルは自転車ごと階段からまっさかさまに転げ落ちてしまう。さらに容赦なく宗佑は・・・!!長澤まさみ  上野樹里  瑛太  水川あさみ  山崎樹範  西原亜希  　*  倍賞美津子  　*  錦戸亮脚本:浅野妙子演出:加藤裕将  プロデュ―ス:中野利幸主題歌:「Prisoner　Of　Love」宇多田ヒカル(EMIミュ―ジック・ジャパン)</t>
  </si>
  <si>
    <t>美知留(長澤まさみ)、タケル(瑛太)やエリ(水川あさみ)、友彦(山崎樹範)は、瑠可(上野樹里)の優勝を祝してパ―ティ―を開いた。ひと晩飲み明かしてそのままリビングで雑魚寝していると、ドアチャイムが鳴った。先に目を覚ましていた美知留がドアを開けると、そこに立っていたのはタケルの姉・優子(伊藤裕子)だった。  　優子は、法事にも顔を出さなかったタケルのことを心配して訪ねてきたのだという。半ば強引に上がりこんだ優子だが、寝ているタケルの姿を見て、目を覚ましたら渡してほしいと言って、手作りのバナナブレッドを美知留に預けて帰ってしまう。ほどなく、タケルが目を覚ました。美知留から優子のことを教えられたタケルは急に青ざめ、姉が来たことは誰にも言わないでほしいと頼んだ。  　そんな折、美知留は、タケルをともなって母親の千夏(倍賞美津子)に会いにいく。住民台帳を提出するにあたり、保証人として千夏のサインが必要だったからだ。そんな美知留たちの姿を見つめる男性の姿があった。宗佑(錦戸亮)だった。  　その後、美知留に「ほかに好きな人ができた」と告白された宗佑は、その相手がタケルだと確信。ある日、タケルを待ち伏せして襲いかかる。不意をつかれたタケルは自転車ごと階段からまっさかさまに転げ落ちてしまう。さらに容赦なく宗佑は・・・!!</t>
  </si>
  <si>
    <t>番組名&lt;木曜劇場&gt;ラスト・フレンズ　#10</t>
  </si>
  <si>
    <t>美知留(長澤まさみ)とタケル(瑛太)は、シェアハウスに帰ってきた瑠可(上野樹里)を見て驚く。瑠可の頬に傷があったのだ。瑠可は、練習で転んでケガをした、と美知留たちに説明した。しかしタケルは、瑠可が嘘をついているのではないかと感じていた。  　その夜、シェアハウスの面々が食事をしているとドアチャイムが鳴った。瞬間、凍りつく一同。が、チャイムを鳴らしたのは宅配業者だった。そのようすを見た美知留は、シェアハウスを出て行くと皆に告げる。自分が出て行けば、皆がビクビクして暮らす必要はなくなるというのだ。瑠可はそんな美知留に、宗佑(錦戸亮)はどんなことをしても美知留の居場所を突き止めるはずだからひとりになるのは危ないと言って止める。  　別の日、エリ(水川あさみ)は、モトクロスの人気女子選手が性同一性障害だった、という週刊誌の記事を見つける。シェアハウスに戻ったエリがタケルにその記事を見せていると、ちょうどそこに瑠可が帰ってきた。週刊誌を奪いとった瑠可は、美知留には絶対に見せるなとエリに告げる。瑠可の部屋を訪れたタケルは、美知留に自分の気持ちを話さなくていいのか、と問いかけた。しかし瑠可は、美知留にだけは言えない、と思いつめた顔で答える。自分の気持ちを知ったら美知留の思い出が灰色になる、と言うのだ。ドアの外で瑠可たちの話を聞いていた美知留は、シェアハウスを飛び出し…。長澤まさみ  上野樹里  瑛太  水川あさみ  山崎樹範  西原亜希  　*  倍賞美津子  　*  錦戸亮脚本:浅野妙子演出:加藤裕将  プロデュ―ス:中野利幸主題歌:「Prisoner　Of　Love」宇多田ヒカル(EMIミュ―ジック・ジャパン)</t>
  </si>
  <si>
    <t>美知留(長澤まさみ)とタケル(瑛太)は、シェアハウスに帰ってきた瑠可(上野樹里)を見て驚く。瑠可の頬に傷があったのだ。瑠可は、練習で転んでケガをした、と美知留たちに説明した。しかしタケルは、瑠可が嘘をついているのではないかと感じていた。  　その夜、シェアハウスの面々が食事をしているとドアチャイムが鳴った。瞬間、凍りつく一同。が、チャイムを鳴らしたのは宅配業者だった。そのようすを見た美知留は、シェアハウスを出て行くと皆に告げる。自分が出て行けば、皆がビクビクして暮らす必要はなくなるというのだ。瑠可はそんな美知留に、宗佑(錦戸亮)はどんなことをしても美知留の居場所を突き止めるはずだからひとりになるのは危ないと言って止める。  　別の日、エリ(水川あさみ)は、モトクロスの人気女子選手が性同一性障害だった、という週刊誌の記事を見つける。シェアハウスに戻ったエリがタケルにその記事を見せていると、ちょうどそこに瑠可が帰ってきた。週刊誌を奪いとった瑠可は、美知留には絶対に見せるなとエリに告げる。瑠可の部屋を訪れたタケルは、美知留に自分の気持ちを話さなくていいのか、と問いかけた。しかし瑠可は、美知留にだけは言えない、と思いつめた顔で答える。自分の気持ちを知ったら美知留の思い出が灰色になる、と言うのだ。ドアの外で瑠可たちの話を聞いていた美知留は、シェアハウスを飛び出し…。</t>
  </si>
  <si>
    <t>番組名&lt;木曜劇場&gt;ラスト・フレンズ　#11</t>
  </si>
  <si>
    <t>美知留(長澤まさみ)は、自ら命を絶った宗佑(錦戸亮)の遺書を見つける。遺書には、美知留に対する懺悔(ざんげ)の気持ちが綴られていた。同じころ、モトクロス全日本選手権の関東大会で優勝した瑠可(上野樹里)は、記者会見に臨んでいた。そこで瑠可は、自分を応援してくれた家族や友人に支えられてここまでくることができた、と堂々と答える。　あくる日、シェアハウスに美知留の母・千夏(倍賞美津子)から電話が入る。そこで初めて宗佑の死を知った瑠可やタケル(瑛太)たちは、さすがにショックを隠せなかった。ほどなく、瑠可のもとに、美知留からのハガキが届く。そこには、「レ―スに行けなくてごめんなさい。私は1人でやっていきます。心配しないで下さい」とだけ書かれていた。美知留が向かったのは、かつて千夏と暮らしていた港町だった。そこで、千夏の知り合いだったシズエ(大森暁美)に出会った美知留は、シズエが仲居頭を務める旅館の仕事を世話してもらう。  　そんな折、美知留が妊娠していることが判明、しかも出産する場合、母子ともにリスクがあって危険な出産になると医師から告げられる。美知留は、自分の命をかけて出産に臨む・・・。長澤まさみ  上野樹里  瑛太  水川あさみ  山崎樹範  西原亜希  　*  倍賞美津子  　*  錦戸亮脚本:浅野妙子演出:加藤裕将  プロデュ―ス:中野利幸主題歌:「Prisoner　Of　Love」宇多田ヒカル(EMIミュ―ジック・ジャパン)</t>
  </si>
  <si>
    <t>美知留(長澤まさみ)は、自ら命を絶った宗佑(錦戸亮)の遺書を見つける。遺書には、美知留に対する懺悔(ざんげ)の気持ちが綴られていた。同じころ、モトクロス全日本選手権の関東大会で優勝した瑠可(上野樹里)は、記者会見に臨んでいた。そこで瑠可は、自分を応援してくれた家族や友人に支えられてここまでくることができた、と堂々と答える。　あくる日、シェアハウスに美知留の母・千夏(倍賞美津子)から電話が入る。そこで初めて宗佑の死を知った瑠可やタケル(瑛太)たちは、さすがにショックを隠せなかった。ほどなく、瑠可のもとに、美知留からのハガキが届く。そこには、「レ―スに行けなくてごめんなさい。私は1人でやっていきます。心配しないで下さい」とだけ書かれていた。美知留が向かったのは、かつて千夏と暮らしていた港町だった。そこで、千夏の知り合いだったシズエ(大森暁美)に出会った美知留は、シズエが仲居頭を務める旅館の仕事を世話してもらう。  　そんな折、美知留が妊娠していることが判明、しかも出産する場合、母子ともにリスクがあって危険な出産になると医師から告げられる。美知留は、自分の命をかけて出産に臨む・・・。</t>
  </si>
  <si>
    <t>0804_CX_土23</t>
  </si>
  <si>
    <t>ハチワンダイバー</t>
  </si>
  <si>
    <t>番組名&lt;土曜ドラマ&gt;ハチワンダイバ―　#01</t>
  </si>
  <si>
    <t>菅田(溝端淳平)は、賭け将棋を生業とする真剣師(しんけんし)として圧倒的な強さを誇る。菅田はかつてプロの棋士養成機関「奨励会」でプロを目指していた。  そんな菅田の強さは評判となり、やがて対局相手がいなくなる。そんな折、どんな金額でも相手をする“受け師"がいると聞き、会いに行く。  菅田が将棋道場を訪ねると“受け師"は対局中だった。菅田は“受け師"を見て驚く。年若い女性だったからだ。菅田は、その女性・中静そよ(仲里依紗)に一局5万円の勝負を頼む。そよはそれを受けると、“持ち時間10分切れ負け"での勝負を提案する。つまり、持ち時間の10分を消化した時点で負けというル―ルだ。菅田は逆に“5分切れ負け"を提案。  対局が始まった。  7分58秒後…負けたのは、菅田だった。  アパ―トに戻った菅田はショックから立ち直ると、そよへのリベンジを誓い、再び将棋の勉強をしようと意気込む…が、あまりの部屋の散乱ぶりに、目当ての本が探せない。勉強の前に掃除だと気負ってはみるが断念。そこで、清掃代行サ―ビスを頼む。  ほどなくして、清掃サ―ビスのスタッフと称してやってきたのは、セクシ―なメイド服姿の女性だった。とまどいながらも女性の顔を見た菅田は衝撃を受ける。そよにそっくりなのだ。思わず、「“受け師"さん?」と尋ねた菅田に、彼女は…。溝端淳平    仲里依紗    安田美沙子    伊達みきお(サンドウィッチマン)    富澤たけし(サンドウィッチマン)    木下優樹菜  　・  小日向文世原作:「ハチワンダイバ―」柴田ヨクサル(集英社　ヤングジャンプコミックス刊)  脚本:古家和尚プロデュ―ス:東康之  演出:水田成英  　　　松山博昭澤野弘之</t>
  </si>
  <si>
    <t>菅田(溝端淳平)は、賭け将棋を生業とする真剣師(しんけんし)として圧倒的な強さを誇る。菅田はかつてプロの棋士養成機関「奨励会」でプロを目指していた。  そんな菅田の強さは評判となり、やがて対局相手がいなくなる。そんな折、どんな金額でも相手をする“受け師"がいると聞き、会いに行く。  菅田が将棋道場を訪ねると“受け師"は対局中だった。菅田は“受け師"を見て驚く。年若い女性だったからだ。菅田は、その女性・中静そよ(仲里依紗)に一局5万円の勝負を頼む。そよはそれを受けると、“持ち時間10分切れ負け"での勝負を提案する。つまり、持ち時間の10分を消化した時点で負けというル―ルだ。菅田は逆に“5分切れ負け"を提案。  対局が始まった。  7分58秒後…負けたのは、菅田だった。  アパ―トに戻った菅田はショックから立ち直ると、そよへのリベンジを誓い、再び将棋の勉強をしようと意気込む…が、あまりの部屋の散乱ぶりに、目当ての本が探せない。勉強の前に掃除だと気負ってはみるが断念。そこで、清掃代行サ―ビスを頼む。  ほどなくして、清掃サ―ビスのスタッフと称してやってきたのは、セクシ―なメイド服姿の女性だった。とまどいながらも女性の顔を見た菅田は衝撃を受ける。そよにそっくりなのだ。思わず、「“受け師"さん?」と尋ねた菅田に、彼女は…。</t>
  </si>
  <si>
    <t>番組名&lt;土曜ドラマ&gt;ハチワンダイバ―　#02</t>
  </si>
  <si>
    <t>81マスの将棋盤の底に潜り、必殺技を手に入れるという不思議な体験をした真剣師・菅田(溝端淳平)は、再び“アキバの受け師"の中静そよ(仲里依紗)と対局する。相変わらず鋼鉄のような受けをするそよに菅田はたじろぐが、真剣師・飛鷹(富澤たけし)に勝ったときのように、再び将棋盤へ潜ろうとする。しかし、なぜかダイブができない。動揺する菅田だったが、結果、時間切れで負けてしまう。　所持金がわずかとなった菅田は、将棋センタ―で客に声をかけるが、強いと評判の菅田に相手は見つからない。勝ち過ぎるとろくなことがない、真剣師・角田(伊達みきお)からそう言われたとき、荒稼ぎをしていると噂の真剣師・桂(デビット伊東)が入ってくる。菅田は桂と10万円の勝負に挑む。追い詰められた菅田は潜ろうとするが失敗し、またもや時間切れに。  　あきれながらも10万円を立て替えてやった角田は、真剣師の正しい稼ぎ方を教えてやると言い、菅田を将棋サロンへ連れて行く。角田が伝授したのは、顔が知られていない場所で負けながらカモを探すという方法だった。  　菅田の脳裏には、「自分の将棋に嘘をつくな、プロを目指すなら常に高みを目指して指し続けろ」という師匠・鈴木歩人(小日向文世)の言葉がよみがえる。そして、菅田は凶悪な敵・マムシ(姜暢雄)との対決に挑む。そこで彼を待ち受けるものとは…。溝端淳平    仲里依紗    安田美沙子    伊達みきお(サンドウィッチマン)    富澤たけし(サンドウィッチマン)    木下優樹菜  　・  小日向文世原作:『ハチワンダイバ―』柴田ヨクサル(集英社　ヤングジャンプコミックス刊)  脚本:古家和尚プロデュ―ス:東康之  演出:水田成英  　　　松山博昭澤野弘之</t>
  </si>
  <si>
    <t>81マスの将棋盤の底に潜り、必殺技を手に入れるという不思議な体験をした真剣師・菅田(溝端淳平)は、再び“アキバの受け師"の中静そよ(仲里依紗)と対局する。相変わらず鋼鉄のような受けをするそよに菅田はたじろぐが、真剣師・飛鷹(富澤たけし)に勝ったときのように、再び将棋盤へ潜ろうとする。しかし、なぜかダイブができない。動揺する菅田だったが、結果、時間切れで負けてしまう。　所持金がわずかとなった菅田は、将棋センタ―で客に声をかけるが、強いと評判の菅田に相手は見つからない。勝ち過ぎるとろくなことがない、真剣師・角田(伊達みきお)からそう言われたとき、荒稼ぎをしていると噂の真剣師・桂(デビット伊東)が入ってくる。菅田は桂と10万円の勝負に挑む。追い詰められた菅田は潜ろうとするが失敗し、またもや時間切れに。  　あきれながらも10万円を立て替えてやった角田は、真剣師の正しい稼ぎ方を教えてやると言い、菅田を将棋サロンへ連れて行く。角田が伝授したのは、顔が知られていない場所で負けながらカモを探すという方法だった。  　菅田の脳裏には、「自分の将棋に嘘をつくな、プロを目指すなら常に高みを目指して指し続けろ」という師匠・鈴木歩人(小日向文世)の言葉がよみがえる。そして、菅田は凶悪な敵・マムシ(姜暢雄)との対決に挑む。そこで彼を待ち受けるものとは…。</t>
  </si>
  <si>
    <t>番組名&lt;土曜ドラマ&gt;ハチワンダイバ―　#03</t>
  </si>
  <si>
    <t>菅田健太郎(溝端淳平)は、中静そよ(仲里依紗)に連れられ、ホ―ムレスの真剣師・二こ神(大杉漣)と対局することに。健太郎を3人の“本物の真剣師"と対戦させると言うそよが、1人目に選んだのが二こ神。  　二こ神を訪ねた健太郎に初老の真剣師は、本物の真剣とは意地とプライドを賭けて戦うものだと言い、お前にとって命の次に大事なものは何かと尋ねる。答えに困った健太郎は二こ神に同じことを尋ね、あなたが勝ったらどうするかと迫る。すると、二こ神は自分が勝ったらそよの胸を揉むと返答。  　そよが居心地の悪さを感じる一方、「オッパイとはロマンだ」と言う二こ神の気持ちが理解できる健太郎は、自分もオッパイを賭けると宣言する。  　20分切れ負けの勝負の中、健太郎は二こ神の指し手が江戸時代に生まれた「雁木(がんぎ)の構え」であることに気づく。自信の手なのだろうが、そんな古い戦法に負けるわけがないと健太郎は強気に攻めるが、次第に押されていく。  　そんな中、健太郎は幼少の頃にこの戦法が流行ったことを思い出す。それは、神野神太郎という強豪が「雁木の構え」でアマチュア名人戦三連覇という偉業を成し遂げたことがきっかけだった。ちなみに、神野神太郎は、名前に神がふたつあることから“二こ神"と呼ばれていた。記憶がよみがえった健太郎は、この初老の男が二こ神と呼ばれていたことを思い出す。溝端淳平    仲里依紗    安田美沙子    伊達みきお(サンドウィッチマン)    富澤たけし(サンドウィッチマン)    木下優樹菜    大杉漣(しんにょうの点2つ)  　・  小日向文世原作:『ハチワンダイバ―』柴田ヨクサル(集英社　ヤングジャンプコミックス刊)  脚本:古家和尚プロデュ―ス:東康之  演出:水田成英  　　　松山博昭澤野弘之</t>
  </si>
  <si>
    <t>菅田健太郎(溝端淳平)は、中静そよ(仲里依紗)に連れられ、ホ―ムレスの真剣師・二こ神(大杉漣)と対局することに。健太郎を3人の“本物の真剣師"と対戦させると言うそよが、1人目に選んだのが二こ神。  　二こ神を訪ねた健太郎に初老の真剣師は、本物の真剣とは意地とプライドを賭けて戦うものだと言い、お前にとって命の次に大事なものは何かと尋ねる。答えに困った健太郎は二こ神に同じことを尋ね、あなたが勝ったらどうするかと迫る。すると、二こ神は自分が勝ったらそよの胸を揉むと返答。  　そよが居心地の悪さを感じる一方、「オッパイとはロマンだ」と言う二こ神の気持ちが理解できる健太郎は、自分もオッパイを賭けると宣言する。  　20分切れ負けの勝負の中、健太郎は二こ神の指し手が江戸時代に生まれた「雁木(がんぎ)の構え」であることに気づく。自信の手なのだろうが、そんな古い戦法に負けるわけがないと健太郎は強気に攻めるが、次第に押されていく。  　そんな中、健太郎は幼少の頃にこの戦法が流行ったことを思い出す。それは、神野神太郎という強豪が「雁木の構え」でアマチュア名人戦三連覇という偉業を成し遂げたことがきっかけだった。ちなみに、神野神太郎は、名前に神がふたつあることから“二こ神"と呼ばれていた。記憶がよみがえった健太郎は、この初老の男が二こ神と呼ばれていたことを思い出す。</t>
  </si>
  <si>
    <t>番組名&lt;土曜ドラマ&gt;ハチワンダイバ―　#04</t>
  </si>
  <si>
    <t>菅田(溝端淳平)は、中静そよ(仲里依紗)の指示で売れっ子マンガ家の文字山ジロ―(劇団ひとり)と戦うことに。超高級車を乗り回す文字山は、ハンパなヤツが嫌いだと、プロになり損ねた菅田を見下すような態度を取る。  　菅田が苦々しい思いをする中、文字山は「人生を賭けてみないか?」と言い、菅田が敗れたら、自分の下で働きながらマンガ家を目指してもらいたいと条件を提示。冗談のような提示に面食らうが、文字山と対局したい菅田はこれを飲む。そして代わりに、自分が勝ったら文字山が描くマンガの主人公を自分をモデルにした『ハチワンくん』に変えてほしいと条件を出す。  　そして、対局開始。先手の菅田が第一手を指すと、それまで黙って盤を睨んでいた文字山が、何やらブツブツ言いはじめる。怪訝(けげん)な顔をする菅田に文字山は、しゃべっているのは自分ではなく駒なのだと説明。荒唐無稽な話だが、自信満々に言う文字山を見ているとあながち作り話には思えない。  　一方、菅田は文字山が組む「穴熊」という戦型に押さえ込まれてしまう。時間が経過する中、よくなる筋が見えてこない菅田は将棋盤の底に“ダイブ"する。そして、必殺技を手に入れると、俄然強気な姿勢で攻めはじめ、とうとう文字山を押さえ込む。勝利を予感した菅田は、笑みを浮かべ文字山を見る。ところが、文字山は微笑んだまま「このスト―リ―は、読んでいた」とつぶやく。溝端淳平    仲里依紗    安田美沙子    伊達みきお(サンドウィッチマン)    富澤たけし(サンドウィッチマン)    木下優樹菜    劇団ひとり  　・  小日向文世原作:『ハチワンダイバ―』柴田ヨクサル(集英社　ヤングジャンプコミックス刊)  脚本:古家和尚プロデュ―ス:東康之  演出:水田成英  　　　松山博昭澤野弘之</t>
  </si>
  <si>
    <t>菅田(溝端淳平)は、中静そよ(仲里依紗)の指示で売れっ子マンガ家の文字山ジロ―(劇団ひとり)と戦うことに。超高級車を乗り回す文字山は、ハンパなヤツが嫌いだと、プロになり損ねた菅田を見下すような態度を取る。  　菅田が苦々しい思いをする中、文字山は「人生を賭けてみないか?」と言い、菅田が敗れたら、自分の下で働きながらマンガ家を目指してもらいたいと条件を提示。冗談のような提示に面食らうが、文字山と対局したい菅田はこれを飲む。そして代わりに、自分が勝ったら文字山が描くマンガの主人公を自分をモデルにした『ハチワンくん』に変えてほしいと条件を出す。  　そして、対局開始。先手の菅田が第一手を指すと、それまで黙って盤を睨んでいた文字山が、何やらブツブツ言いはじめる。怪訝(けげん)な顔をする菅田に文字山は、しゃべっているのは自分ではなく駒なのだと説明。荒唐無稽な話だが、自信満々に言う文字山を見ているとあながち作り話には思えない。  　一方、菅田は文字山が組む「穴熊」という戦型に押さえ込まれてしまう。時間が経過する中、よくなる筋が見えてこない菅田は将棋盤の底に“ダイブ"する。そして、必殺技を手に入れると、俄然強気な姿勢で攻めはじめ、とうとう文字山を押さえ込む。勝利を予感した菅田は、笑みを浮かべ文字山を見る。ところが、文字山は微笑んだまま「このスト―リ―は、読んでいた」とつぶやく。</t>
  </si>
  <si>
    <t>番組名&lt;土曜ドラマ&gt;ハチワンダイバ―　#05</t>
  </si>
  <si>
    <t>菅田健太郎(溝端淳平)は、中静そよ(仲里依紗)が見守る中、売れっ子マンガ家・文字山ジロ―(劇団ひとり)と互いの人生を賭けた勝負に挑み、追い込まれていた。ピンチの中、菅田は、文字山に局面を読ませるという無謀な賭けに出る。  　失うものがない菅田が余裕を取り戻す一方、ペ―スを狂わされた文字山は、救いを求めるように盤上を見つめる。すると、文字山の精神世界に現れる、しゃべる駒たちまでもが焦った様子で悲鳴をあげ始める。そして、敗戦が色濃くなる中、それでも駒たちに励まされた文字山は粘りを見せ、猛烈な指し手で攻めに転じる。  　そんな文字山に対し、菅田も一瞬で駒を指し返しチェスクロックを叩く。怯んだ方が奈落の底へと突き落とされてしまう、まさに真剣勝負の応酬だ。そよも、角田(伊達みきお)と飛鷹(富澤たけし)も、固唾(かたず)をのんで戦況を見守る。ふたりの男の意地とプライドを賭けた戦いは、やがて、もっとも軽いとされる「歩」で劇的な幕切れを迎える…。  　数日後、アパ―トに戻った菅田は、郵便受けに自分宛てではない封書を見つける。どうやら、隣人・六車里花(安田美沙子)のものが間違って配達されたらしいのだが、「六車里花」という宛て名を見た菅田の脳裏に、幼少時代のある記憶がよみがえる。  　その後、菅田は3人目にして最強の対戦相手・斬野シト(京本政樹)と戦うことになる…。溝端淳平    仲里依紗    安田美沙子    伊達みきお(サンドウィッチマン)    富澤たけし(サンドウィッチマン)    木下優樹菜    劇団ひとり    京本政樹  　・  小日向文世原作:『ハチワンダイバ―』柴田ヨクサル(集英社　ヤングジャンプコミックス刊)    脚本:古家和尚プロデュ―ス:東康之  演出:水田成英  　　　松山博昭澤野弘之</t>
  </si>
  <si>
    <t>菅田健太郎(溝端淳平)は、中静そよ(仲里依紗)が見守る中、売れっ子マンガ家・文字山ジロ―(劇団ひとり)と互いの人生を賭けた勝負に挑み、追い込まれていた。ピンチの中、菅田は、文字山に局面を読ませるという無謀な賭けに出る。  　失うものがない菅田が余裕を取り戻す一方、ペ―スを狂わされた文字山は、救いを求めるように盤上を見つめる。すると、文字山の精神世界に現れる、しゃべる駒たちまでもが焦った様子で悲鳴をあげ始める。そして、敗戦が色濃くなる中、それでも駒たちに励まされた文字山は粘りを見せ、猛烈な指し手で攻めに転じる。  　そんな文字山に対し、菅田も一瞬で駒を指し返しチェスクロックを叩く。怯んだ方が奈落の底へと突き落とされてしまう、まさに真剣勝負の応酬だ。そよも、角田(伊達みきお)と飛鷹(富澤たけし)も、固唾(かたず)をのんで戦況を見守る。ふたりの男の意地とプライドを賭けた戦いは、やがて、もっとも軽いとされる「歩」で劇的な幕切れを迎える…。  　数日後、アパ―トに戻った菅田は、郵便受けに自分宛てではない封書を見つける。どうやら、隣人・六車里花(安田美沙子)のものが間違って配達されたらしいのだが、「六車里花」という宛て名を見た菅田の脳裏に、幼少時代のある記憶がよみがえる。  　その後、菅田は3人目にして最強の対戦相手・斬野シト(京本政樹)と戦うことになる…。</t>
  </si>
  <si>
    <t>番組名&lt;土曜ドラマ&gt;ハチワンダイバ―　#06</t>
  </si>
  <si>
    <t>菅田健太郎(溝端淳平)は、勝てば中静そよ(仲里依紗)を自分のものにすると宣言した3人目の対局相手・斬野シト(京本政樹)に敗れてしまう。その結果に呆然とする菅田は、気づくと二こ神(大杉漣)の小屋の前にいた。そんな菅田の事情を察した二こ神は、オッパイを揉んだことが敗戦の原因だろうと見解を示す。  　まさか、そんなことで…と半信半疑の菅田に二こ神は、必死で積み上げてきたものの隣に1秒で鎮座するのが「女」なのだと諭す。  　オッパイの感触を知った今、菅田の棋力は半分になっているという二こ神。その力を戻すためにも弟子になれと迫るが、自分には師匠・鈴木歩人八段(小日向文世)がいるからと断る。  　そんなところへ、男が二こ神を訪ねてくる。20年前に二こ神が打ち負かした、プロ棋士・海豚一郎(池田鉄洋)だ。二こ神に再会した海豚は、自分を凌ぐ棋力の持ち主の二こ神が落ちぶれていることが信じられないという。　その後、ふたりは一局交えるが、海豚が二こ神に対して、見下したような発言をする。これを聞いた菅田はカッと熱くなり、アマチュアのプライドに賭けて、二こ神に勝ってほしいと願う。そんな思いが通じたのか、二こ神は自信をのぞかせる。そして、自分が勝ったら弟子になれと念を押すように言うと、菅田はついに「はい!」と返事をする。溝端淳平    仲里依紗    安田美沙子    伊達みきお(サンドウィッチマン)    富澤たけし(サンドウィッチマン)    木下優樹菜    池田鉄洋    京本政樹    大杉漣(しんにょうの点2つ)  　・  小日向文世原作:『ハチワンダイバ―』柴田ヨクサル(集英社)  脚本:古家和尚演出:水田成英  　　　松山博昭  プロデュ―ス:東康之澤野弘之</t>
  </si>
  <si>
    <t>菅田健太郎(溝端淳平)は、勝てば中静そよ(仲里依紗)を自分のものにすると宣言した3人目の対局相手・斬野シト(京本政樹)に敗れてしまう。その結果に呆然とする菅田は、気づくと二こ神(大杉漣)の小屋の前にいた。そんな菅田の事情を察した二こ神は、オッパイを揉んだことが敗戦の原因だろうと見解を示す。  　まさか、そんなことで…と半信半疑の菅田に二こ神は、必死で積み上げてきたものの隣に1秒で鎮座するのが「女」なのだと諭す。  　オッパイの感触を知った今、菅田の棋力は半分になっているという二こ神。その力を戻すためにも弟子になれと迫るが、自分には師匠・鈴木歩人八段(小日向文世)がいるからと断る。  　そんなところへ、男が二こ神を訪ねてくる。20年前に二こ神が打ち負かした、プロ棋士・海豚一郎(池田鉄洋)だ。二こ神に再会した海豚は、自分を凌ぐ棋力の持ち主の二こ神が落ちぶれていることが信じられないという。　その後、ふたりは一局交えるが、海豚が二こ神に対して、見下したような発言をする。これを聞いた菅田はカッと熱くなり、アマチュアのプライドに賭けて、二こ神に勝ってほしいと願う。そんな思いが通じたのか、二こ神は自信をのぞかせる。そして、自分が勝ったら弟子になれと念を押すように言うと、菅田はついに「はい!」と返事をする。</t>
  </si>
  <si>
    <t>番組名&lt;土曜ドラマ&gt;ハチワンダイバ―　#07</t>
  </si>
  <si>
    <t>菅田健太郎(溝端淳平)は、斬野シト(京本政樹)と再び対峙した将棋道場で、ガラスケ―スに入れられたみるく/中静そよ(仲里依紗)を目撃する。それは、本職が人形師の斬野が作った等身大の人形だという。  　体の細部まで再現していると聞いた菅田は、自分が勝ったら人形をもらうと宣言するが却下され、代わりにそよへの告白を賭けることに。すると、そこにそよが現れる。  　そよに気持ちを知られた菅田は、対局に集中できない。そこで、告白を忘れてくれと頼むが、簡単には忘れられないと言われ、ますます混乱する。そんな菅田にそよは「勝って!」と声をかける。これで自分を取り戻した菅田だが、間もなく苦しい局面に陥る。すると、突然、大声でそよへの告白を始める。その叫びを断ち切るように、冷酷に指し返す斬野。追い詰められた菅田は、無言のそよに対し、自分が勝っている間だけは嫌わないでほしいと懇願。そよが同意すると、力をみなぎらせ“ダイブ"する。  　対局が終わり、角田(伊達みきお)と飛鷹(富澤たけし)がやってくる。ふたりが『鬼』の駒を見せるとそよの表情が変わり、その駒に通じる組織を潰そうとしていると明かす。しかし、それは命を賭けた戦いになると言うと、菅田は一緒に戦うと乗るが、角田と飛鷹は去っていく。  　そんなところへ、突然、女子高生(大政絢)が入ってきて菅田を飛び蹴りする。溝端淳平    仲里依紗    安田美沙子    伊達みきお(サンドウィッチマン)    富澤たけし(サンドウィッチマン)    木下優樹菜    大政絢    京本政樹  　・  小日向文世原作:『ハチワンダイバ―』柴田ヨクサル(集英社)  脚本:古家和尚プロデュ―ス:東康之  演出:水田成英  　　　松山博昭澤野弘之</t>
  </si>
  <si>
    <t>菅田健太郎(溝端淳平)は、斬野シト(京本政樹)と再び対峙した将棋道場で、ガラスケ―スに入れられたみるく/中静そよ(仲里依紗)を目撃する。それは、本職が人形師の斬野が作った等身大の人形だという。  　体の細部まで再現していると聞いた菅田は、自分が勝ったら人形をもらうと宣言するが却下され、代わりにそよへの告白を賭けることに。すると、そこにそよが現れる。  　そよに気持ちを知られた菅田は、対局に集中できない。そこで、告白を忘れてくれと頼むが、簡単には忘れられないと言われ、ますます混乱する。そんな菅田にそよは「勝って!」と声をかける。これで自分を取り戻した菅田だが、間もなく苦しい局面に陥る。すると、突然、大声でそよへの告白を始める。その叫びを断ち切るように、冷酷に指し返す斬野。追い詰められた菅田は、無言のそよに対し、自分が勝っている間だけは嫌わないでほしいと懇願。そよが同意すると、力をみなぎらせ“ダイブ"する。  　対局が終わり、角田(伊達みきお)と飛鷹(富澤たけし)がやってくる。ふたりが『鬼』の駒を見せるとそよの表情が変わり、その駒に通じる組織を潰そうとしていると明かす。しかし、それは命を賭けた戦いになると言うと、菅田は一緒に戦うと乗るが、角田と飛鷹は去っていく。  　そんなところへ、突然、女子高生(大政絢)が入ってきて菅田を飛び蹴りする。</t>
  </si>
  <si>
    <t>番組名&lt;土曜ドラマ&gt;ハチワンダイバ―　#08</t>
  </si>
  <si>
    <t>菅田健太郎(溝端淳平)は、そよ(仲里依紗)と菅田の妹・歩美(大政絢)とともに、みさき(木下優樹菜)に連れられある雑居ビルの屋上へ。  怪しげな男に先導され、賭場へ入った菅田は中を見て驚く。さまざまな花で色鮮やかに飾られた、幻想的な異世界が広がっていたからだ。そして、そこには2人の男がいた。春日京介(袴田吉彦)と弟・智也(忍成修吾)だ。最近“春日兄弟"として人気の芸術家だが、その裏で「鬼将会」のメンバ―として活動する真剣師だという。そして、智也の側には口をふさがれ椅子に縛られている六車里花(安田美沙子)の姿もある。  そんな中、偽物の「鬼将会」の駒をばらまいた罰だといい、歩美が捕まり猛毒を飲まされる。毒は即効性で、解毒剤を飲まないと2時間で死に至るという。それを聞いた菅田は、解毒剤を奪おうとするが取り押さえられてしまう。すると、京介は、「真剣」で自分たちに勝てば解毒剤をやると宣言し、京介、智也も自ら毒を飲み干す。お互いの命を賭けて「真剣」に臨む――それが、鬼将会の将棋だという。  歩美の命がかかった菅田は、勢い込んで将棋盤に向かうが、そよは自分が戦うと言って菅田を退ける。菅田が冷静さを失っていると判断したのだ。そして、そよと智也の真剣が始まる…。  同じ頃、鈴木歩人八段(小日向文世)の自宅に、「鬼将会」からの封筒が届いていた。そこには、彼らの目的とも思われるものが書かれていて…。溝端淳平    仲里依紗    安田美沙子    伊達みきお(サンドウィッチマン)    富澤たけし(サンドウィッチマン)    木下優樹菜    大政絢    袴田吉彦    忍成修吾  　・  小日向文世原作:『ハチワンダイバ―』柴田ヨクサル(集英社)  脚本:古家和尚プロデュ―ス:東康之  演出:水田成英  　　　松山博昭澤野弘之</t>
  </si>
  <si>
    <t>菅田健太郎(溝端淳平)は、そよ(仲里依紗)と菅田の妹・歩美(大政絢)とともに、みさき(木下優樹菜)に連れられある雑居ビルの屋上へ。  怪しげな男に先導され、賭場へ入った菅田は中を見て驚く。さまざまな花で色鮮やかに飾られた、幻想的な異世界が広がっていたからだ。そして、そこには2人の男がいた。春日京介(袴田吉彦)と弟・智也(忍成修吾)だ。最近“春日兄弟"として人気の芸術家だが、その裏で「鬼将会」のメンバ―として活動する真剣師だという。そして、智也の側には口をふさがれ椅子に縛られている六車里花(安田美沙子)の姿もある。  そんな中、偽物の「鬼将会」の駒をばらまいた罰だといい、歩美が捕まり猛毒を飲まされる。毒は即効性で、解毒剤を飲まないと2時間で死に至るという。それを聞いた菅田は、解毒剤を奪おうとするが取り押さえられてしまう。すると、京介は、「真剣」で自分たちに勝てば解毒剤をやると宣言し、京介、智也も自ら毒を飲み干す。お互いの命を賭けて「真剣」に臨む――それが、鬼将会の将棋だという。  歩美の命がかかった菅田は、勢い込んで将棋盤に向かうが、そよは自分が戦うと言って菅田を退ける。菅田が冷静さを失っていると判断したのだ。そして、そよと智也の真剣が始まる…。  同じ頃、鈴木歩人八段(小日向文世)の自宅に、「鬼将会」からの封筒が届いていた。そこには、彼らの目的とも思われるものが書かれていて…。</t>
  </si>
  <si>
    <t>0801_CX_月21</t>
  </si>
  <si>
    <t>薔薇のない花屋</t>
  </si>
  <si>
    <t>番組名薔薇のない花屋「北風と太陽」</t>
  </si>
  <si>
    <t>花店を経営しながら一人娘を育てる男性と盲目の女性を中心に、さまざまな愛の形を描く。脚本・野島伸司、演出・中江功。　英治(香取慎吾)は幼い娘を一人で育てながら、小さな花店を営んでいる。ある日、英治は、雨宿りのために店の軒下に立っていた盲目の女性・美桜(竹内結子)と出会う。そんな折、娘の担任・優貴(釈由美子)から連絡があり、英治はすぐに学校へ駆け付ける。娘が何か問題を起こしたと考えていた英治だったが、教室で目にしたのは意外な光景だった。その夜、英治は配達先のホストクラブで直哉(松田翔太)という青年に出会い、彼を家に連れ帰る。娘とすっかり仲良くなった美桜、居候の直哉が加わり、不思議な共同生活が始まる。</t>
  </si>
  <si>
    <t>番組名薔薇のない花屋「花のように笑う人」</t>
  </si>
  <si>
    <t>汐見家を訪れるようになった美桜(竹内結子)は、ある日、英治(香取慎吾)と直哉(松田翔太)のやりとりを偶然に聞いてしまう。善意は同情で、恋愛感情を持たれたら迷惑だと英治が主張しているように聞こえた美桜は、ショックを受けて飛び出していく。そんな折、桂子(池内淳子)が老人ホームに入ることになる。喫茶店のマスター・四条(寺島進)の提案で、英治たちはお別れ会をすることに。しかし、いくら待っても、桂子は姿を見せなかった。一方、美桜は病院の同僚たちと飲みに出掛ける。しかし、その席で屈辱的な出来事に見舞われる。美桜は気付くと、英治に電話をかけていた。</t>
  </si>
  <si>
    <t>番組名薔薇のない花屋「終電までに探して」</t>
  </si>
  <si>
    <t>英治(香取慎吾)は近所のスーパーマーケットで、雫(八木優希)の同級生・省吾(今井悠貴)が万引きで店員に取り押さえられているところに遭遇。英治は省吾をかばい、自宅へと連れていく。しかし、担任の優貴(釈由美子)は勝手なことをされては困ると英治を非難し、強引に省吾を引き取っていく。そんな中、直哉(松田翔太)は美桜(竹内結子)に、英治と優貴が親密になり始めていると伝える。美桜はいら立ち、そんな自分に驚く。程なく、美桜は久しぶりに再会した父・平川(尾藤イサオ)から、幼いころの自分の話を聞かされる。美桜はその話から、あるいたずらを思い付く。</t>
  </si>
  <si>
    <t>番組名薔薇のない花屋「明かされた過去～3万人の子供たちへ」</t>
  </si>
  <si>
    <t>英治(香取慎吾)の元に、省吾(今井悠貴)がスーパーマーケットで再び万引きをしたという知らせが入る。今回はぬれぎぬだったが、スーパーに親が現れ、息子にあらぬ疑いを掛けたと慰謝料を請求。一部始終を店長から聞いた英治は、省吾の親が育児を放棄していると確信する。英治が優貴(釈由美子)と一緒に話を聞くと、省吾の親の実態が明らかになる。一方、美桜(竹内結子)は英治にうそをつくことに耐え切れず、安西(三浦友和)に英治への誤解を解くよう懇願する。しかし、安西は娘の日記から、娘と付き合っていた男が妊娠発覚とともに姿を消し、その後、会いにさえ来なかったと英治の冷淡さをののしる。そんな折、桂子(池内淳子)は友人の見舞いに行った病院で、美桜にそっくりな看護師を見掛ける。</t>
  </si>
  <si>
    <t>番組名薔薇のない花屋「世界一長い告白！」</t>
  </si>
  <si>
    <t>英治(香取慎吾)は直哉(松田翔太)から、美桜(竹内結子)の目は手術すれば見えるようになるが、金の問題でできないでいることを知らされる。さらに、結婚と引き換えに金を出すという人物が現れたと聞き、英治は動揺。しかしそれは、安西(三浦友和)が仕組んだ英治への報復計画だった。美桜は英治に迷惑が掛からないように、計画から降りて姿を消そうと決意する。早速、父・平川(尾藤イサオ)を別の病院へ移そうとするが、病状が悪化。結局、安西の病院に舞い戻ることに。そんな折、雫(八木優希)が天国の母親と相談したと話し、英治に美桜の手術費用を出すことを勧める。</t>
  </si>
  <si>
    <t>番組名薔薇のない花屋「暴かれていく秘密」</t>
  </si>
  <si>
    <t>桂子(池内淳子)は、英治(香取慎吾)が美桜(竹内結子)の目の手術費用を負担したと知る。驚いた桂子は、英治に美桜という名前の看護師が病院にいたことをあらためて伝え、自分で確かめるよう迫る。一方、美桜が手術費用を受け取ったと知った直哉(松田翔太)は、その金を自分に預けるように指示する。喫茶コロンには安西(三浦友和)が現れ、雫(八木優希)に接触していた。そんな中、英治は桂子の気が済むようにと、念のために病院を訪れる。</t>
  </si>
  <si>
    <t>番組名薔薇のない花屋</t>
  </si>
  <si>
    <t>薔薇のない花屋◇英治（香取慎吾）のもとに弁護士がやって来る。雫（八木優希）の祖父である安西（三浦友和）が親権をめぐって裁判を起こすというのだ。英治は雫のためには安西と裁判で争うつもりはないと小野（釈由美子）と四条（寺島進）に話す。一方、美桜（竹内結子）は安西から親権裁判のことを聞き、安西の病院に入院している美桜自身の父親を犠牲にしても雫を英治から奪うようなことはさせないと息巻く。そんな中、桂子（池内淳子）は秘密を知っている苦しさから、小野に美桜の真実を打ち明けてしまう。</t>
  </si>
  <si>
    <t>番組名薔薇のない花屋　#08</t>
  </si>
  <si>
    <t>英治(香取慎吾)は雫(八木優希)を手放す決意を固め、フラワ—ショップ雫閉店の準備を進めていた。  　そんなある日、英治は、雫が学校でバリケ—ドを組んでいるという報告を小野先生(釈由美子)から聞き、学校に駆けつける。教室の中には、色とりどりの頭巾をかぶった雫と同じくらいの背格好の女子小学生たちが並んでいた。  　雫の要求は、この中から本物の雫を英治にあててほしい、当てた時にだけ英治の言うとおりにおじいちゃんのもとに行く、というのだ。小野先生をはじめ、学校の皆が雫に協力的な中、雫が持つ様々な特徴を細かいところまで知りつくしている英治は、確実に候補を絞り込んでいく。  　一方美桜(竹内結子)は、雫の母「彼女」が残したビデオを撮影していた「彼女」の友人こそが英治であったことを、菱田桂子(池内淳子)にも伝える。桂子は混乱するばかり。しかも英治と美桜は今やお互い全て分かっていながら知らない振りをしたまま2人の関係を続けていることを知り、さらに驚く。  　一方直哉(松田翔太)は自分の借金返済のために、英治が美桜に渡した金を使ってしまったため皆の目を避けていた。  　美桜は安西輝夫(三浦友和)から、安西自身はもはや手術ができない体であることを伝えられると同時に、父親の手術執刀医として突如別の医師を紹介されるのだった。香取慎吾  竹内結子  釈由美子  松田翔太  　/  本仮屋ユイカ  八木優希  今井悠貴  　・  尾藤イサオ  　/  寺島進  　・  池内淳子  三浦友和脚本:野島伸司演出:中江功  プロデュ—ス:関卓也  　　　　　　　稲田秀樹主題歌:山下達郎</t>
  </si>
  <si>
    <t>英治(香取慎吾)は雫(八木優希)を手放す決意を固め、フラワ—ショップ雫閉店の準備を進めていた。  　そんなある日、英治は、雫が学校でバリケ—ドを組んでいるという報告を小野先生(釈由美子)から聞き、学校に駆けつける。教室の中には、色とりどりの頭巾をかぶった雫と同じくらいの背格好の女子小学生たちが並んでいた。  　雫の要求は、この中から本物の雫を英治にあててほしい、当てた時にだけ英治の言うとおりにおじいちゃんのもとに行く、というのだ。小野先生をはじめ、学校の皆が雫に協力的な中、雫が持つ様々な特徴を細かいところまで知りつくしている英治は、確実に候補を絞り込んでいく。  　一方美桜(竹内結子)は、雫の母「彼女」が残したビデオを撮影していた「彼女」の友人こそが英治であったことを、菱田桂子(池内淳子)にも伝える。桂子は混乱するばかり。しかも英治と美桜は今やお互い全て分かっていながら知らない振りをしたまま2人の関係を続けていることを知り、さらに驚く。  　一方直哉(松田翔太)は自分の借金返済のために、英治が美桜に渡した金を使ってしまったため皆の目を避けていた。  　美桜は安西輝夫(三浦友和)から、安西自身はもはや手術ができない体であることを伝えられると同時に、父親の手術執刀医として突如別の医師を紹介されるのだった。</t>
  </si>
  <si>
    <t>番組名薔薇のない花屋　#09</t>
  </si>
  <si>
    <t>英治(香取慎吾)の前に突如現れた神山舜(玉山鉄二)。海外で外科医をしていた舜は今回、難しいオペのために安西院長(三浦友和)から呼ばれたことを英治に伝える。舜は、安西と英治の関係についてはもちろんまだ何も知らなかった。  　そんな中、フラワ—ショップ雫を閉めた英治は美桜(竹内結子)の勧めもあって彼女のアパ—トに身を寄せる。ある日、病院からの帰宅途中、美桜は偶然、舜と会い、そのままタクシ—で送られることになる。ちょうどその時、小野先生(釈由美子)が直哉(松田翔太)の借金を取り戻すと言ってから姿を消したままの四条(寺島進)を心配し、美桜のアパ—トに住む英治のもとに相談に訪れていた。4人が顔を合わせることになった。  　舜は英治が止めるのも聞かず、舜と英治が子供時代から施設の仲間であり、「名も無き戦士」だったと明かすのだった。　その後、美桜はあらためて英治に雨の日の出会いから全てのことを話す。これで何も隠し事のなくなった2人だったが、それはゲ—ムの終わりを予感させることでもあった。  　一方、安西は英治が娘の相手でないことを知り、大きなショックを受ける。早速、直哉を呼び付けると本当の相手を探すよう依頼する。直哉も英治の濡れ衣をはらすため、今や、新たなミッションを無償で受けるのだった。果たして雫(八木優希)の本当の父親は。香取慎吾  竹内結子  釈由美子  松田翔太  　/  本仮屋ユイカ  八木優希  今井悠貴  　・  尾藤イサオ  　/  寺島進  　・  池内淳子  三浦友和      8話からの登場  玉山鉄二脚本:野島伸司演出:中江功  プロデュ—ス:関卓也  　　　　　　　稲田秀樹主題歌:山下達郎</t>
  </si>
  <si>
    <t>英治(香取慎吾)の前に突如現れた神山舜(玉山鉄二)。海外で外科医をしていた舜は今回、難しいオペのために安西院長(三浦友和)から呼ばれたことを英治に伝える。舜は、安西と英治の関係についてはもちろんまだ何も知らなかった。  　そんな中、フラワ—ショップ雫を閉めた英治は美桜(竹内結子)の勧めもあって彼女のアパ—トに身を寄せる。ある日、病院からの帰宅途中、美桜は偶然、舜と会い、そのままタクシ—で送られることになる。ちょうどその時、小野先生(釈由美子)が直哉(松田翔太)の借金を取り戻すと言ってから姿を消したままの四条(寺島進)を心配し、美桜のアパ—トに住む英治のもとに相談に訪れていた。4人が顔を合わせることになった。  　舜は英治が止めるのも聞かず、舜と英治が子供時代から施設の仲間であり、「名も無き戦士」だったと明かすのだった。　その後、美桜はあらためて英治に雨の日の出会いから全てのことを話す。これで何も隠し事のなくなった2人だったが、それはゲ—ムの終わりを予感させることでもあった。  　一方、安西は英治が娘の相手でないことを知り、大きなショックを受ける。早速、直哉を呼び付けると本当の相手を探すよう依頼する。直哉も英治の濡れ衣をはらすため、今や、新たなミッションを無償で受けるのだった。果たして雫(八木優希)の本当の父親は。</t>
  </si>
  <si>
    <t>番組名薔薇のない花屋　#10</t>
  </si>
  <si>
    <t>英治(香取慎吾)と美桜(竹内結子)の間にすれ違いが生じ、2人の共同生活はあっけなく終わってしまった。  　その美桜は病院で、父(尾藤イサオ)の難しい手術を可能にする医師として現れた神山舜(玉山鉄二)こそが、「雫(八木優希)の本当の父親」であることを知る。  　一方、小野先生(釈由美子)は舜と2人で会い、英治と舜の子供時代の衝撃的な事実を聞いた。そしてその舜も自分に子どもがいることをついに知り、英治を訪ねる。そこで自分が雫の父親であるという事実は安西院長(三浦友和)にも知られていたと知って、舜はある条件を安西に提示する。香取慎吾  竹内結子  釈由美子  松田翔太  　/  本仮屋ユイカ  八木優希  今井悠貴  　・  尾藤イサオ  　/  寺島進  　・  池内淳子  三浦友和    8話からの登場  玉山鉄二脚本:野島伸司演出:中江功  プロデュ—ス:関卓也  　　　　　　　稲田秀樹主題歌:山下達郎</t>
  </si>
  <si>
    <t>英治(香取慎吾)と美桜(竹内結子)の間にすれ違いが生じ、2人の共同生活はあっけなく終わってしまった。  　その美桜は病院で、父(尾藤イサオ)の難しい手術を可能にする医師として現れた神山舜(玉山鉄二)こそが、「雫(八木優希)の本当の父親」であることを知る。  　一方、小野先生(釈由美子)は舜と2人で会い、英治と舜の子供時代の衝撃的な事実を聞いた。そしてその舜も自分に子どもがいることをついに知り、英治を訪ねる。そこで自分が雫の父親であるという事実は安西院長(三浦友和)にも知られていたと知って、舜はある条件を安西に提示する。</t>
  </si>
  <si>
    <t>番組名薔薇のない花屋　#11</t>
  </si>
  <si>
    <t>自分に子供がいる事を知った舜(玉山鉄二)は英治(香取慎吾)を訪ねるが、そこで、瑠璃(本仮屋ユイカ)の舜への「家族を作って欲しい」との想いを拒否、子供が生まれた事は英治の過失であることを確認する。しかし、雫(八木優希)の父親が舜であることを安西院長(三浦友和)も知っていることを知った舜は、保身の為に安西を訪ねる。その舜の弁解的な態度と保身的な条件に憤慨した安西は舜を帰らせ、自ら平川(尾藤イサオ)の執刀を試みるが、持病である手の震えからオペは致命的な状況に陥る。その父の状況を察知した美桜(竹内結子)は、連絡を取っていなかった英治に電話をし、助けてほしいと叫ぶのだった。美桜の気持ちを汲んだ英治はアメリカへ戻ろうとしていた舜の前に立ちふさがり、病院に戻って欲しいと説得する。  　舜のもとに説得に走った英治に、舜は戻るための残酷な条件を出してくるのだった。英治のとった行動とは。    　急遽、平川の手術室に戻った舜。その致命的な状況を救うために執刀を始めた舜は何故か美桜をオペ室に呼ぶ。果たして手術は成功するのか?さらに英治のもとに雫は戻ってくるのか?そして英治と美桜の関係はこのままで終わってしまうのか。  　究極のヒュ—マンラブスト—リ—がここに完結!!怒涛の最終回となる。香取慎吾  竹内結子  釈由美子  松田翔太  　/  本仮屋ユイカ  八木優希  今井悠貴  　・  尾藤イサオ  　/  寺島進  　・  池内淳子  三浦友和    8話からの登場  玉山鉄二脚本:野島伸司演出:中江功  プロデュ—ス:関卓也  　　　　　　　稲田秀樹主題歌:山下達郎</t>
  </si>
  <si>
    <t>自分に子供がいる事を知った舜(玉山鉄二)は英治(香取慎吾)を訪ねるが、そこで、瑠璃(本仮屋ユイカ)の舜への「家族を作って欲しい」との想いを拒否、子供が生まれた事は英治の過失であることを確認する。しかし、雫(八木優希)の父親が舜であることを安西院長(三浦友和)も知っていることを知った舜は、保身の為に安西を訪ねる。その舜の弁解的な態度と保身的な条件に憤慨した安西は舜を帰らせ、自ら平川(尾藤イサオ)の執刀を試みるが、持病である手の震えからオペは致命的な状況に陥る。その父の状況を察知した美桜(竹内結子)は、連絡を取っていなかった英治に電話をし、助けてほしいと叫ぶのだった。美桜の気持ちを汲んだ英治はアメリカへ戻ろうとしていた舜の前に立ちふさがり、病院に戻って欲しいと説得する。  　舜のもとに説得に走った英治に、舜は戻るための残酷な条件を出してくるのだった。英治のとった行動とは。    　急遽、平川の手術室に戻った舜。その致命的な状況を救うために執刀を始めた舜は何故か美桜をオペ室に呼ぶ。果たして手術は成功するのか?さらに英治のもとに雫は戻ってくるのか?そして英治と美桜の関係はこのままで終わってしまうのか。  　究極のヒュ—マンラブスト—リ—がここに完結!!怒涛の最終回となる。</t>
  </si>
  <si>
    <t>0801_CX_火21</t>
  </si>
  <si>
    <t>ハチミツとクローバー</t>
  </si>
  <si>
    <t>番組名ハチミツとクローバー「春、恋におちた瞬間」</t>
  </si>
  <si>
    <t>羽海野チカの同名漫画をドラマ化。美術大学に通う学生たちの恋を描く。脚本・金子茂樹、演出・谷村政樹、松山博昭。　浜田山美術大学の油絵科に入学した花本はぐみ(成海璃子)は、芸術に関して天才的な才能を持っているが、極度の人見知り。四月のある日、建築科三年生の竹本(生田斗真)はキャンパス内で、はぐみの姿を見掛け、一目ぼれする。しかし、彫刻科の森田(成宮寛貴)と建築科の真山(向井理)がやって来て、竹本を無理やり連れ去ってしまう。そんな折、大学で校内展の発表が行われる。グランプリに選ばれたのは、はぐみの作品だった。作品を見た森田は、絵を見て心をつかまれたと話し、いきなりはぐみを抱き締める。</t>
  </si>
  <si>
    <t>番組名ハチミツとクローバー「福引であてた海と涙とキス」</t>
  </si>
  <si>
    <t>修司(村上淳)に頼まれて竹本(生田斗真)は、はぐみ(成海璃子)の買い物に付き合うことに。デート気分を楽しむ竹本は、クレーンゲームではぐみが気に入ったアクセサリーを取ろうとする。一方、修司の研究室にいた森田(成宮寛貴)は、商店街で行われる福引の抽選券の偽物作りをしていた。父が商店街の自治会長であるあゆみ(原田夏希)は、必死になっている森田を止めようとする。二人がもみ合っていると、書類が山積みになっている修司の机から写真立てが落ちる。そこには、修司と理花(瀬戸朝香)が見知らぬ男性と一緒にいる写真が入っていた。真山(向井理)が理花に恋をしていると知るあゆみは、複雑な思いで写真を見詰める。</t>
  </si>
  <si>
    <t>番組名ハチミツとクローバー「夏、花火と散った片想い」</t>
  </si>
  <si>
    <t>長野に帰省していたはぐみ(成海璃子)が東京に帰ってきた。竹本(生田斗真)は、はぐみから土産のそばを食べようと誘われ、大喜びで修司(村上淳)の研究室へ急ぐ。一方、一足先に大学に着いたはぐみは、巨大な彫刻を制作中の森田(成宮寛貴)を見掛ける。みんなと海に行った時に、森田からいきなりキスをされたはぐみは、彼の姿を見ただけで動揺して、その場から逃げ出してしまう。竹本が研究室に着くと、そこにははぐみだけではなく、あゆみ(原田夏希)の姿もあった。真山(向井理)や森田も合流し、結局みんなでそばを食べることに。その席で、ぼんやりしているはぐみを森田がからかう。竹本は、はぐみをかばうため、慌ててその場を取り繕う。その姿を見て、森田は竹本がはぐみに恋をしていることを見抜く。</t>
  </si>
  <si>
    <t>番組名ハチミツとクローバー「聖夜に届く、涙の告白」</t>
  </si>
  <si>
    <t>クリスマスシーズンを迎え、浜田山商店街も活気づいていた。はぐみ(成海璃子)や竹本(生田斗真)たちが商店街のイベントスペースで手伝いをしていると、大五郎(泉谷しげる)がやって来る。彼は森田(成宮寛貴)がデザインした特製ジャンパーにけちをつけ、森田とつかみ合いのけんかを始める。竹本は二人を止めようとして、商品の酒を割ってしまう。弁償できない竹本は、大五郎の酒店でアルバイトをすることに。そのころ、はぐみはある理由からスランプに陥り、絵が描けなくなっていた。そんなはぐみに、竹本は大五郎からもらった給料でクリスマスプレゼントを買う。</t>
  </si>
  <si>
    <t>番組名ハチミツとクローバー「一番の存在でなくてもいい」</t>
  </si>
  <si>
    <t>はぐみ(成海璃子)が大学に入学してから、一年が過ぎようとしていた。有名なコンクールで最年少受賞したはぐみは、海外のメディアからも注目を集める。インタビューで、はぐみは影響を受けたアーティストとして森田(成宮寛貴)の名前を挙げる。そんな森田は、海外に行ったまま音信不通。真山(向井理)は無事に大学を卒業し、藤原デザイン事務所の正社員として働き始める。真山に思いを寄せるあゆみ(原田夏希)は、大学院に進んで勉強を続けている。竹本(生田斗真)だけは時が止まったかのように、何も変わらない生活を送っていた。そんな折、竹本を母の再婚相手・稼頭男(橋本じゅん)が訪ねて来る。</t>
  </si>
  <si>
    <t>番組名ハチミツとクローバー「一人前にはなぜなれますか」</t>
  </si>
  <si>
    <t>森田(成宮寛貴)がニューヨークから帰国した。竹本(生田斗真)は帰国パーティーを開いてくれとわがままを言う森田に、はぐみ(成海璃子)の気持ちを考えたことがあるのか、と言い放つ。そんな竹本は就職活動に追われていた。しかし、会社から届くのは不採用の通知ばかり。修司(村上淳)は、あらためて知り合いが営む家具メーカーの試験を受けるよう竹本に勧める。竹本は社長の薄井(中村靖日)に気に入られるものの、このまま就職すべきか迷う。真山(向井理)は竹本に、誰かから必要とされるのは簡単なことではない、と助言。真山自身も、一人前になるまで理花(瀬戸朝香)に会わないと決意していたのだ。悩んだ末に、竹本は薄井の会社に就職することを決意する。</t>
  </si>
  <si>
    <t>番組名ハチミツとクローバー</t>
  </si>
  <si>
    <t>ハチミツとクローバー◇はぐみ（成海璃子）は教授の大神（高橋ひとみ）から、あるコンクールに絵を出品するよう命じられる。一方、就職するはずだった会社が倒産した祐太（生田斗真）は就職をあきらめようとしていた。そんな祐太に森田（成宮寛貴）は、専門とする彫刻ではなく絵のコンクールで賞を取り、はぐみと向き合おうと決めたことを伝える。そんな折、真山（向井理）は野宮（柏原崇）があゆみ（原田夏希）に興味を持っていることを知る。真山は、友人であるあゆみにあまり近づかないでほしいと野宮に告げる。すると野宮は、友だち面したその態度があゆみにとって一番つらいことだと気付けと反論する。</t>
  </si>
  <si>
    <t>ハチミツとクローバー◇はぐみ（成海璃子）は、周囲の期待に応えようとコンクールに出品するための絵を描こうとする。だが何度描いても思うように描けず、激しく泣き崩れてしまう。そんなはぐみの姿を目の当たりにした花本（村上淳）は、もう描かなくてもいいと告げる。一方、自分の作品を衝動的にたたき壊した祐太（生田斗真）は、行く当てもないまま自転車に乗って無我夢中でペダルをこぎ続けていた。そんな中、真山（向井理）のことでショックを受けたあゆみ（原田夏希）は野宮（柏原崇）とともに、彼が初めて内装を手掛けたホテルにチェックインする。翌日、夜になって森田（成宮寛貴）と真山は祐太がいないことに気付く。</t>
  </si>
  <si>
    <t>0801_CX_火22</t>
  </si>
  <si>
    <t>あしたの、喜多善男</t>
  </si>
  <si>
    <t>番組名あしたの、喜多善男～世界一不運な男の、奇跡の11日間～「人生残り11日」</t>
  </si>
  <si>
    <t>自殺することを決意した中年男性が、生きることへの喜びを実感していく十一日間を描く。脚本・飯田譲治、演出・下山天。　善良だがさえない中年男性・喜多善男(小日向文世)は、友人の命日である十一日後に死ぬことを決意する。偶然に出会ったキャバクラのスカウトマン・矢代(松田龍平)は、そんな善男に興味を抱き、何かと面倒を見ようとする。矢代に「死ぬ前にやっておきたいこと」を聞かれた善男は、別れた妻・みずほ(小西真奈美)に会いたいことなどを打ち明ける。死を決意した一日目の夜、善男は矢代が案内したマンションの一室にいた。そこへ、ナイフを持った男が踏み込んでくる。予想もしなかった、善男の十一日間が始まる。</t>
  </si>
  <si>
    <t>番組名あしたの、喜多善男～世界一不運な男の、奇跡の11日間～「母との別れ…と罠」</t>
  </si>
  <si>
    <t>善男(小日向文世)は、残り十日間に何をすればいいのか考えていた。そこへ、平太(松田龍平)がやって来る。彼は善男が会いたがっていた元妻・みずほ(小西真奈美)の行方を報告しに来たのだ。何かと善男の面倒を見る平太は、恋人・リカ(栗山千明)の借金を返すために善男を利用しようとしていた。一方、みずほは、保険調査員の杉本(生瀬勝久)に警戒心を強めていた。杉本はみずほの秘密をつかんで、保険金の受け取りを拒否させようとたくらんでいる。そして、その秘密の鍵を握るのが善男だと考え、彼の行動を監視していた。そんなことを知る由もない善男が街を歩いていると、頭上に巨大な看板が落下してくる。間一髪のところで平太に助けられた善男は、彼からある頼み事をされる。</t>
  </si>
  <si>
    <t>番組名あしたの、喜多善男～世界一不運な男の、奇跡の11日間～「元妻と密会…暴走」</t>
  </si>
  <si>
    <t>善男(小日向文世)は平太(松田龍平)とリカ(栗山千明)に頼まれ、受取人が母親・静子(加藤治子)になっている生命保険契約書にサインをする。その後、平太から元妻・みずほ(小西真奈美)の居場所を教えられた善男は、彼女の仕事場を訪れる。しかし、善男は警備員から怪しまれ、中に入ることができない。一方、保険調査員の杉本(生瀬勝久)はみずほの会社の経営状態が良くないことを知り、彼女の夫の死について疑いを濃くする。勇気を出して再び会社を訪ねた善男は、思いがけない方法で中に入ることに成功。そのころ、みずほは社員たちを集め、夫の死に疑うような点はないと必死のスピーチをしていた。そこへ、善男が一歩ずつ近づいていく。</t>
  </si>
  <si>
    <t>番組名あしたの、喜多善男～世界一不運な男の、奇跡の11日間～「アイドルを誘拐！？」</t>
  </si>
  <si>
    <t>善男(小日向文世)は、十一年ぶりに会った元妻・みずほ(小西真奈美)に完全に拒絶されたショックを抱えたまま、元アイドル・しのぶ(吉高由里子)にせがまれて箱根に泊まることに。同じ夜、みずほは再会した善男ではなく、彼の親友・三波(今井雅之)に思いをはせていた。そのころ、保険調査員の杉本(生瀬勝久)は、以前にみずほが勤めていた病院に入り込み、三波のカルテを見つけ出す。一方、平太(松田龍平)は殺し屋の片山(温水洋一)に善男の殺害を依頼。リカ(栗山千明)は身分を偽って善男の母・静子(加藤治子)の家を訪ね、生命保険契約書に署名させて保険証まで預かる。二人の保険金殺人の準備は、着々と進んでいた。</t>
  </si>
  <si>
    <t>番組名あしたの、喜多善男～世界一不運な男の、奇跡の11日間～「誘拐犯が人助け！？」</t>
  </si>
  <si>
    <t>善男(小日向文世)はしのぶ(吉高由里子)の気まぐれで、誘拐犯に仕立てられてしまう。しかし、善男はある目的のために、自らしのぶの事務所に身代金を要求する。二人の行方を追って、平太(松田龍平)や杉本(生瀬勝久)、善男の殺害を依頼された片山(温水洋一)も箱根に来ていた。それを知らない善男たちは、神社で倒れている観光客らしい老人(梅野泰靖)を助ける。一方、東京では事故死とされるみずほ(小西真奈美)の夫の死因について、警察が新事実をつかむ。事件の可能性があると聞き、みずほは警察へ出向く。</t>
  </si>
  <si>
    <t>番組名あしたの、喜多善男～世界一不運な男の、奇跡の11日間～「暴かれる真実」</t>
  </si>
  <si>
    <t>善男(小日向文世)、平太(松田龍平)、しのぶ(吉高由里子)の三人は箱根から東京に逃げ帰ってきた。翌日のテレビで、三人は善男の要求通りにしのぶの事務所が二千万円の寄付をしたことを知る。しかし、金が手に入らなかったことに腹を立てたしのぶが、善男を絶対に許さないと言い捨てて姿を消してしまう。一方、みずほ(小西真奈美)は杉本(生瀬勝久)にだまされ、飛行機事故に遭った三波(今井雅之)が生きているのでは、と思い始める。普段と異なるみずほの言動を不安に思った森脇(要潤)は、ある行動に出る。そのころ、杉本はみずほの夫の死因について、思いがけない事実を発見。善男に接触し、さりげなくあることを告げる。それは、善男にとって衝撃の事実だった。</t>
  </si>
  <si>
    <t>番組名あしたの、喜多善男</t>
  </si>
  <si>
    <t>あしたの、喜多善男◇リカ（栗山千明）のために、自分の手で善男（小日向文世）を殺そうと決めた平太（松田龍平）は、善男の行方を捜す手掛かりを得ようと、みずほ（小西真奈美）の会社を訪れる。一方、杉本（生瀬勝久）から三波（今井雅之）が生きているといううわさがあると聞いた善男は、死んだはずの三波を見掛けたという女性、宇佐美（室井滋）に会いに行く。宇佐美は三波を見掛けていないと言うが、三波は怖い男性だと彼にまつわる話をする。それは善男にとって戦慄（せんりつ）の事実だった。そのころ、杉本は三波が心理学研究室にいたころの映像を入手。その中で三波は、人が持つある感情にまつわる特殊な仮説を展開していた。</t>
  </si>
  <si>
    <t>あしたの、喜多善男◇善男（小日向文世）にかつて多額の生命保険がかけられていた記録を発見した保険調査員の杉本（生瀬勝久）は、みずほ（小西真奈美）と三波（今井雅之）が共謀して保険金殺人を企てていたと確信する。三波は生きていて、みずほの再婚相手の死にも絡んでいるはずだと考えた杉本は、三波の消息を調べ始める。一方、前夜から部屋にいないリカ（栗山千明）を捜していた平太（松田龍平）は、リカの父親が借金をした丸山（真島秀和）から呼び出される。リカは、丸山のオフィスに捕らわれていた。そして三波の消息を追っていた杉本が、ついに手応えをつかんだころ、みずほは善男の部屋に来ていた。本当のことを話しに来たと言うみずほは、11年前の結婚の真相を語り始める。</t>
  </si>
  <si>
    <t>番組名あしたの、喜多善男〜世界一不運な男の、奇跡の11日間〜　#09</t>
  </si>
  <si>
    <t>http://www.ktv.co.jp/yoshio/index.html　残りの人生があと3日となった善男(小日向文世)は、遺書を書くなど、最期の日に向けての準備を進めていた。  　一方、死んだはずの三波(今井雅之)を名乗る男から電話を受け、期待と不安が入り混じるみずほ(小西真奈美)。ついにみずほは、夜、その男と会う約束をする。三波が生きていれば・・・、あとはビジネスが成功すれば・・・。森脇(要潤)から介護衣服プロジェクトの利益の大きさを聞き、なんとしても館道(平泉成)の援助を得るため、しのぶ(吉高由里子)との約束どおり善男(小日向文世)を死なせてはいけないと焦る。  　保険調査員の杉本(生瀬勝久)は、三波の仮説を証拠に、三波とみずほが企てた善男の保険金殺人計画を立証できると確信。三波がやはり生きているのではと意気込む。  　平太(松田龍平)は、キャバクラに現れたしのぶから善男を死なせないでと頼まれ、みずほにある取引きをもちかける。取引きは成立するが、それを聞いたリカ(栗山千明)は混乱して・・・?  　そのころ、買い物から帰る途中、善男は何者かに拉致されてしまう。小日向文世  松田龍平  小西真奈美  栗山千明  吉高由里子  今井雅之  要潤  生瀬勝久脚本:飯田譲治演出:三宅喜重  プロデュ—サ—:豊福陽子  　　　　　　　　遠田孝一小曽根真  主題歌:「真夜中のBoon　Boon」山崎まさよし</t>
  </si>
  <si>
    <t xml:space="preserve">　残りの人生があと3日となった善男(小日向文世)は、遺書を書くなど、最期の日に向けての準備を進めていた。  　一方、死んだはずの三波(今井雅之)を名乗る男から電話を受け、期待と不安が入り混じるみずほ(小西真奈美)。ついにみずほは、夜、その男と会う約束をする。三波が生きていれば・・・、あとはビジネスが成功すれば・・・。森脇(要潤)から介護衣服プロジェクトの利益の大きさを聞き、なんとしても館道(平泉成)の援助を得るため、しのぶ(吉高由里子)との約束どおり善男(小日向文世)を死なせてはいけないと焦る。  　保険調査員の杉本(生瀬勝久)は、三波の仮説を証拠に、三波とみずほが企てた善男の保険金殺人計画を立証できると確信。三波がやはり生きているのではと意気込む。  　平太(松田龍平)は、キャバクラに現れたしのぶから善男を死なせないでと頼まれ、みずほにある取引きをもちかける。取引きは成立するが、それを聞いたリカ(栗山千明)は混乱して・・・?  　そのころ、買い物から帰る途中、善男は何者かに拉致されてしまう。</t>
  </si>
  <si>
    <t>番組名あしたの、喜多善男〜世界一不運な男の、奇跡の11日間〜　#10</t>
  </si>
  <si>
    <t>http://www.ktv.co.jp/yoshio/index.html　残りの人生、あと2日となった善男(小日向文世)。みずほ(小西真奈美)は平太(松田龍平)に電話をかけ、三波(今井雅之)が生きていることを伝えれば善男が死ぬのをやめるはずだと告げる。平太は三波に会い行こうと強引に善男を連れ出す。  　一方みずほは、前社長・鷲巣殺しの容疑者がみずほの指示だと自供したことで、森脇(要潤)らから社長職辞任を要求される。みずほは無実を主張するが、容疑者の携帯にはみずほとの通話記録が残っていた。  　リカ(栗山千明)は丸山(眞島秀和)が善男殺害に失敗したと聞き慌てる。  　そのころ善男は、平太とともに三波の会社にたどり着く。ついに11年の時を経て、三波と対峙する善男。封印していたはずの何かが爆発してしまいそうな予感が、善男の中で膨らみ始めていた・・・!小日向文世  松田龍平  小西真奈美  栗山千明  吉高由里子  岩松了  今井雅之  要潤  生瀬勝久脚本:飯田譲治演出:下山天  プロデュ—サ—:豊福陽子  　　　　　　　　遠田孝一小曽根真  主題歌:「真夜中のBoon　Boon」山崎まさよし</t>
  </si>
  <si>
    <t xml:space="preserve">　残りの人生、あと2日となった善男(小日向文世)。みずほ(小西真奈美)は平太(松田龍平)に電話をかけ、三波(今井雅之)が生きていることを伝えれば善男が死ぬのをやめるはずだと告げる。平太は三波に会い行こうと強引に善男を連れ出す。  　一方みずほは、前社長・鷲巣殺しの容疑者がみずほの指示だと自供したことで、森脇(要潤)らから社長職辞任を要求される。みずほは無実を主張するが、容疑者の携帯にはみずほとの通話記録が残っていた。  　リカ(栗山千明)は丸山(眞島秀和)が善男殺害に失敗したと聞き慌てる。  　そのころ善男は、平太とともに三波の会社にたどり着く。ついに11年の時を経て、三波と対峙する善男。封印していたはずの何かが爆発してしまいそうな予感が、善男の中で膨らみ始めていた・・・!</t>
  </si>
  <si>
    <t>番組名あしたの、喜多善男〜世界一不運な男の、奇跡の11日間〜　#11</t>
  </si>
  <si>
    <t>http://www.ktv.co.jp/yoshio/index.html　全ての真実を突きつけられた善男(小日向文世)は、いよいよ死ぬ決意を固め行方をくらます。善男を止めたい平太(松田龍平)だが、善男が話していた「二人の心がつながった場所」を、みずほ(小西真奈美)は思い出すことができない。  　保険金殺人の疑いをかけられたリカ(栗山千明)。夫殺しの容疑をかけられているみずほ。善男を探し出せない平太、しのぶ(吉高由里子)。全員が絶望の底にいた。　その頃夫殺しの容疑がかかったみずほと接見した杉本(生瀬勝久)は、みずほの夫・鷲巣殺しに使われた携帯電話のトリックから事件の真相をつきとめ、ある場所へと乗り込んでいく。    　ついに最期の場所にたどり着いた善男。その背後から現れたのは・・・?小日向文世  松田龍平  小西真奈美  栗山千明  吉高由里子    要潤  生瀬勝久脚本:飯田譲治演出:下山天  プロデュ—サ—:豊福陽子  　　　　　　　　遠田孝一小曽根真  主題歌:「真夜中のBoon　Boon」山崎まさよし</t>
  </si>
  <si>
    <t xml:space="preserve">　全ての真実を突きつけられた善男(小日向文世)は、いよいよ死ぬ決意を固め行方をくらます。善男を止めたい平太(松田龍平)だが、善男が話していた「二人の心がつながった場所」を、みずほ(小西真奈美)は思い出すことができない。  　保険金殺人の疑いをかけられたリカ(栗山千明)。夫殺しの容疑をかけられているみずほ。善男を探し出せない平太、しのぶ(吉高由里子)。全員が絶望の底にいた。　その頃夫殺しの容疑がかかったみずほと接見した杉本(生瀬勝久)は、みずほの夫・鷲巣殺しに使われた携帯電話のトリックから事件の真相をつきとめ、ある場所へと乗り込んでいく。    　ついに最期の場所にたどり着いた善男。その背後から現れたのは・・・?</t>
  </si>
  <si>
    <t>0801_CX_木22</t>
  </si>
  <si>
    <t>鹿男あをによし</t>
  </si>
  <si>
    <t>番組名鹿男あをによし「しゃべる鹿の秘密！古都を巡る恋と冒険」</t>
  </si>
  <si>
    <t>万城目学の同名小説をドラマ化。奈良の女子高校に赴任した男性教師の奇妙な体験を描く。脚本・相沢友子、演出・鈴木雅之。　小川(玉木宏)は、同僚とのトラブルが原因で勤めていた大学の研究室を追われ、上司である教授から女子高校の臨時教員になることを勧められる。学校がある奈良へと旅立つ途中、小川は電車の中で、ある不運な女性を目撃。その女性は、小川の同僚で同じ下宿に暮らすことになる道子(綾瀬はるか)だった。翌日、小川は担任を務めることになった生徒たちに、自己紹介をさせる。そんな中、遅刻してきたイト(多部未華子)の態度に腹を立てた小川は、遅刻の理由を説明しろと迫る。イトは自分のシカを駅前に止めようとして駐車禁止を取られた、と平然と言い放つ。</t>
  </si>
  <si>
    <t>番組名鹿男あをによし「鹿になっちゃった」</t>
  </si>
  <si>
    <t>小川(玉木宏)は突然、シカに話し掛けられる。”運び番”に選ばれたとか、日本を救えなど意味不明なことを言われ、小川は慌ててその場を立ち去る。彼は、ここ数日のうちに経験した奇妙な出来事を、ただの夢だったと結論付けた。後日、教頭の小治田(児玉清)とゴルフに行って気分転換ができた小川は、帰り道に奈良公園で素振りの練習を始める。しかし、その場所がゴルフ禁止であると注意を受ける。声が聞こえた方を見ると、そこには雌のシカがいた。幻想に違いないと自分に言い聞かせる小川に、シカは京都で渡される物を自分に届けろと言う。さらに、相手はキツネの”使い番”である人間の女性で、渡される物は人間が”サンカク”と呼ぶ物だと小川に教える。</t>
  </si>
  <si>
    <t>番組名鹿男あをによし「今明かされる真実」</t>
  </si>
  <si>
    <t>シカに”運び番”失格と告げられた小川(玉木宏)が鏡で自分の顔を見ると、そこには雄のシカの顔があった。驚く小川だったが、下宿の道子(綾瀬はるか)たちは小川の顔を見ても驚かない。どうやら、自分にだけそう見えるらしい。小川が公園のシカに元に戻してほしいと頼むと、シカはネズミから、人間が”サンカク”と呼ぶ物を取り戻せという。サンカクとは、小川の学校の剣道部が参加する大会で優勝校に授けられるプレートのこと。小川は京都女学館の剣道部顧問・美栄(柴本幸)から、そのプレートが大阪の工芸店へ修理に出されていることを知る。</t>
  </si>
  <si>
    <t>番組名鹿男あをによし「帰れないふたり」</t>
  </si>
  <si>
    <t>堀田(多部未華子)が突然、剣道部に入部した。父親が剣道の道場を経営する堀田はかなりの実力者だったが、小川(玉木宏)は堀田が何かをたくらんでいるのでは、と考えて素直に歓迎できない。そんな折、小川と道子(綾瀬はるか)は、大和杯のルールは開催校が決められると知る。二人は慌てて参加校に勝ち抜き戦へのルール変更を連絡。小川は大和杯で優勝する可能性が出てきたことを、シカに報告しに行く。これ以上の失敗は許せないと厳しく責めるシカに小川は頭を下げ、これまでの失敗を謝る。そんな小川とシカのやりとりを、道子が見ていた。</t>
  </si>
  <si>
    <t>番組名鹿男あをによし「奇跡が起きた！！～第一幕フィナーレ～」</t>
  </si>
  <si>
    <t>堀田(多部未華子)の活躍で剣道部が大阪女学館に勝った。道子(綾瀬はるか)や福原(佐々木蔵之介)も、予想外の結果に喜びを隠せない。小川(玉木宏)は、続く京都女学館にも勝とうと意欲を燃やす。しかし、学校創立から五十九連勝を誇る京都女学館の先鋒(せんぽう)を相手に、小川の学校は三人目まで負けてしまう。副将の雅代(藤井美菜)が何とか先鋒を破るが、けがのためにリタイア。どこかあきらめたような態度の小川に、堀田が活を入れる。張り詰めたような緊張感が漂う中、堀田は四人目まで勝ち進む。そのころ、剣道部の活躍を聞き付けた生徒たちが次々に体育館に集まり始めていた。そして、ついに大将戦が始まる。</t>
  </si>
  <si>
    <t>番組名鹿男あをによし</t>
  </si>
  <si>
    <t>鹿男あをによし◇小川（玉木宏）は大和杯で入手した”サンカク”を鹿に届けるが、それは鹿が欲しかった”目”ではないと言われてしまう。どうやらネズミにだまされたらしい。小川は藤原（綾瀬はるか）に、目がなくてはナマズを鎮められないと投げやりに言う。そんな小川に藤原は、味方であるキツネに協力してもらえばいいと提案。実は小川は鹿からもキツネの”使い番”に会うように言われていたのだ。キツネの使い番を見つける手掛かりを聞いた藤原は、長岡（柴本幸）しかいないと断言。長岡に会って真相を確かめようと意気込むが、小川は賛同しなかった。そんな小川の態度にしびれを切らした藤原は翌日、奈良公園へ出掛ける。</t>
  </si>
  <si>
    <t>番組名&lt;木曜劇場&gt;鹿男あをによし　#07</t>
  </si>
  <si>
    <t>小川孝信(玉木宏)は学校を辞めたいと言いだした堀田イト(多部未華子)を退ける。堀田は食い下がるが小川も譲らない。すると堀田は表情を和らげ、冗談ですと言い残し帰っていく。小川からそのことを聞いた藤原道子(綾瀬はるか)は安堵する。  　ところが翌日も堀田は学校を欠席。自宅に連絡すると、昨夜も帰宅していないことがわかる。そこへ、京都女学館の長岡美栄(柴本幸)が教頭の小治田史明(児玉清)を訪ねてくる。教頭室で話す2人に、小川も藤原も落ち着かない。すると小治田が出てきて、昨夜、堀田が長岡を訪ねてきたと言う。堀田は思い詰めた様子だったが、何も語らずに帰ってしまったと言うのだ。  　その後発見された堀田は、家に帰りたがらず、結局、藤原の部屋に泊まることに。堀田は依然として何も語らないが、落ち着いた様子だったため、小川は少し安堵する。  　翌朝、鹿に会った小川は、鹿から鼠が儀式の邪魔をする理由を聞く。鹿によれば、鼠は鹿と狐が自分を仲間はずれにしていると思い込んでいるらしいのだ。小川が、そんなことで日本は滅亡の危機にあるのかと聞くと、鹿は、長年儀式を続けてきた自分たちは感謝されこそすれ、文句を言われる筋合いはないと憤慨。そこで小川が、儀式を続けている理由を尋ねると、鹿は頼まれたからとだけ説明する。  　下宿に戻った小川は、鹿から聞いた話を藤原に報告する。その会話を堀田がじっと聞き入り——。玉木宏    綾瀬はるか    多部未華子    柴本幸      篠井英介  キムラ緑子  酒井敏也  鷲尾真知子  田山涼成    川辺菜月  藤井美菜  東亜優  江頭由衣    山寺宏一    佐々木蔵之介    児玉清原作:「鹿男あをによし」万城目学(幻冬舎刊)  脚本:相沢友子演出:河野圭太佐橋俊彦</t>
  </si>
  <si>
    <t>小川孝信(玉木宏)は学校を辞めたいと言いだした堀田イト(多部未華子)を退ける。堀田は食い下がるが小川も譲らない。すると堀田は表情を和らげ、冗談ですと言い残し帰っていく。小川からそのことを聞いた藤原道子(綾瀬はるか)は安堵する。  　ところが翌日も堀田は学校を欠席。自宅に連絡すると、昨夜も帰宅していないことがわかる。そこへ、京都女学館の長岡美栄(柴本幸)が教頭の小治田史明(児玉清)を訪ねてくる。教頭室で話す2人に、小川も藤原も落ち着かない。すると小治田が出てきて、昨夜、堀田が長岡を訪ねてきたと言う。堀田は思い詰めた様子だったが、何も語らずに帰ってしまったと言うのだ。  　その後発見された堀田は、家に帰りたがらず、結局、藤原の部屋に泊まることに。堀田は依然として何も語らないが、落ち着いた様子だったため、小川は少し安堵する。  　翌朝、鹿に会った小川は、鹿から鼠が儀式の邪魔をする理由を聞く。鹿によれば、鼠は鹿と狐が自分を仲間はずれにしていると思い込んでいるらしいのだ。小川が、そんなことで日本は滅亡の危機にあるのかと聞くと、鹿は、長年儀式を続けてきた自分たちは感謝されこそすれ、文句を言われる筋合いはないと憤慨。そこで小川が、儀式を続けている理由を尋ねると、鹿は頼まれたからとだけ説明する。  　下宿に戻った小川は、鹿から聞いた話を藤原に報告する。その会話を堀田がじっと聞き入り——。</t>
  </si>
  <si>
    <t>番組名&lt;木曜劇場&gt;鹿男あをによし　#08</t>
  </si>
  <si>
    <t>小川孝信(玉木宏)は、藤原道子(綾瀬はるか)、堀田イト(多部未華子)とこれまでの事柄を整理した結果、鼠の“運び番"が、教頭・小治田史明(児玉清)だと確信する。そして、1番乗りで出勤すると教頭室に忍び込むが、正体を裏付ける証拠を発見できない。そんな小川を、出勤してきた体育教師の前村さおり(キムラ緑子)が見てしまう。  　藤原は小川に、小治田に直接聞いてみるのがいいと言うが、小川は賛同しない。すると、藤原は小川や堀田同様に、教頭も“鼠顔"になっているのではとひらめく。早速、小川はトイレで小治田を待ち伏せし鏡に映る顔を見るが、そこには人間の小治田がいるだけだった。  　授業を終えた小川が職員室に戻ると、雰囲気がおかしい。どうやら、前村が小川の件を教師たちに話したらしい。福原重久(佐々木蔵之介)から噂を聞いた藤原が小川に確かめると、教頭室には入ったが何も盗んでいないと言う。そして、今は疑いを晴らすよりも“目"を取り返すのが先決だから、自分を敵だと思っている長岡美栄(柴本幸)の誤解を解きに行こうと藤原を促す。  　京都女学館を訪れた小川、藤原、堀田を目の前に、長岡は不信感をあらわにする。そんな長岡に堀田が、「長岡先生は、狐の“使い番"なんでしょう?」と切り込む。そして、長岡を見据えると自分が鹿の“使い番"であることを明かす。これに面食らった長岡は、堀田をながめると…。玉木宏    綾瀬はるか    多部未華子    柴本幸      篠井英介  キムラ緑子  酒井敏也  鷲尾真知子  田山涼成    川辺菜月  藤井美菜  東亜優  江頭由衣    山寺宏一    佐々木蔵之介    児玉清原作:「鹿男あをによし」万城目学(幻冬舎刊)  脚本:相沢友子演出:村谷嘉則佐橋俊彦</t>
  </si>
  <si>
    <t>小川孝信(玉木宏)は、藤原道子(綾瀬はるか)、堀田イト(多部未華子)とこれまでの事柄を整理した結果、鼠の“運び番"が、教頭・小治田史明(児玉清)だと確信する。そして、1番乗りで出勤すると教頭室に忍び込むが、正体を裏付ける証拠を発見できない。そんな小川を、出勤してきた体育教師の前村さおり(キムラ緑子)が見てしまう。  　藤原は小川に、小治田に直接聞いてみるのがいいと言うが、小川は賛同しない。すると、藤原は小川や堀田同様に、教頭も“鼠顔"になっているのではとひらめく。早速、小川はトイレで小治田を待ち伏せし鏡に映る顔を見るが、そこには人間の小治田がいるだけだった。  　授業を終えた小川が職員室に戻ると、雰囲気がおかしい。どうやら、前村が小川の件を教師たちに話したらしい。福原重久(佐々木蔵之介)から噂を聞いた藤原が小川に確かめると、教頭室には入ったが何も盗んでいないと言う。そして、今は疑いを晴らすよりも“目"を取り返すのが先決だから、自分を敵だと思っている長岡美栄(柴本幸)の誤解を解きに行こうと藤原を促す。  　京都女学館を訪れた小川、藤原、堀田を目の前に、長岡は不信感をあらわにする。そんな長岡に堀田が、「長岡先生は、狐の“使い番"なんでしょう?」と切り込む。そして、長岡を見据えると自分が鹿の“使い番"であることを明かす。これに面食らった長岡は、堀田をながめると…。</t>
  </si>
  <si>
    <t>番組名&lt;木曜劇場&gt;鹿男あをによし　#09</t>
  </si>
  <si>
    <t>小川孝信(玉木宏)は、自分が鼠の“運び番"だと認めた小治田史明(児玉清)に“目"を返すように迫ると、小治田は、高松塚古墳に隠してあると明かす。小川はすぐに取りに行こうと急がすが、小治田は自分が取りに行き、明日必ず学校へ持って行くと言う。だが、小川はそれを信じず、自分も一緒に行くと譲らない。結局、小治田が折れて翌日、古墳の事務局が開く時間に待ち合わせることに。　翌日、小川が高松塚古墳に着くと、藤原道子(綾瀬はるか)と堀田イト(多部未華子)もやってくる。3人揃って小治田を待つが、約束を過ぎても現れない。  　小治田に騙された3人が下宿に戻り“目"の隠し場所を推測していると、突然、大きな地震が起こる。開店準備中の小料理屋では食器類が床に散乱してしまう。小川たちも、女将の福原房江(鷲尾真知子)や店員の原和歌子(川辺菜月)と一緒に後片付けをすることに。　そんなとき、藤原が和歌子のピアスが片方無くなっていることに気づく。地震で身をかがめたときに床に落ちてしまったらしい。小川たちも床を探すが、散乱するガラスの欠片が邪魔をして見つけられない。買ったばかりだがあきらめると、残念そうな顔をする和歌子。そのやりとりを見ていた堀田は何かを思いついたように小川を見上げ、「木を隠すなら森」とつぶやく…。玉木宏    綾瀬はるか    多部未華子    柴本幸      篠井英介  キムラ緑子  酒井敏也  鷲尾真知子  田山涼成    川辺菜月  藤井美菜  東亜優  江頭由衣    山寺宏一    佐々木蔵之介    児玉清原作:「鹿男あをによし」万城目学(幻冬舎刊)  脚本:相沢友子演出:村上正典佐橋俊彦</t>
  </si>
  <si>
    <t>小川孝信(玉木宏)は、自分が鼠の“運び番"だと認めた小治田史明(児玉清)に“目"を返すように迫ると、小治田は、高松塚古墳に隠してあると明かす。小川はすぐに取りに行こうと急がすが、小治田は自分が取りに行き、明日必ず学校へ持って行くと言う。だが、小川はそれを信じず、自分も一緒に行くと譲らない。結局、小治田が折れて翌日、古墳の事務局が開く時間に待ち合わせることに。　翌日、小川が高松塚古墳に着くと、藤原道子(綾瀬はるか)と堀田イト(多部未華子)もやってくる。3人揃って小治田を待つが、約束を過ぎても現れない。  　小治田に騙された3人が下宿に戻り“目"の隠し場所を推測していると、突然、大きな地震が起こる。開店準備中の小料理屋では食器類が床に散乱してしまう。小川たちも、女将の福原房江(鷲尾真知子)や店員の原和歌子(川辺菜月)と一緒に後片付けをすることに。　そんなとき、藤原が和歌子のピアスが片方無くなっていることに気づく。地震で身をかがめたときに床に落ちてしまったらしい。小川たちも床を探すが、散乱するガラスの欠片が邪魔をして見つけられない。買ったばかりだがあきらめると、残念そうな顔をする和歌子。そのやりとりを見ていた堀田は何かを思いついたように小川を見上げ、「木を隠すなら森」とつぶやく…。</t>
  </si>
  <si>
    <t>番組名&lt;木曜劇場&gt;鹿男あをによし　#10</t>
  </si>
  <si>
    <t>小川孝信(玉木宏)は、堀田イト(多部未華子)から受け取った“目"=銅鏡を草の上に置く。それを、藤原道子(綾瀬はるか)、鹿、鼠が見守る。最後まで私欲をむき出しにした小治田史明(児玉清)は、離れた場所で放心したように座っている。  　そして、鹿の呼びかけで、いよいよ儀式が始まる——。  　草の上に置かれた銅鏡に堀田が水を注ぐと、水面の中央に映った満月が小さな点となり光を反射させる。それを鹿が舐めると、水が満月に吸い寄せられるように集まり、やがて光る球形となっていく…。  　翌日、盗難疑惑は解けたものの、小川はやはり学校にいられなくなる。藤原は教師たちに反発するが、小川は疑惑が解けただけで十分だと告げる。そして鹿に会いに行き、自分と堀田の顔を元に戻してくれと頼む。ところが、鹿は叶えられる望みは1つだけ。つまり、小川か堀田のどちらかしか元には戻せないと言うのだ。  　翌日、小川が職員室にいると、堀田がやってきて小川を連れ出す。2人が鏡の前に並ぶと、そこには人間の顔をした堀田と、鹿顔のままの小川が立っている。そこへ来た藤原が2人の様子をうかがうように見る。堀田は鹿から事情を聞いたが、自分だけ元に戻るのは納得がいかないと言う。  　しかし小川は、堀田が鹿顔になった原因は自分にあるから当然だと言うが、堀田は無言で小川をにらみ続ける。やりきれない気持ちになる小川。そんな2人を見ていた藤原は…。玉木宏    綾瀬はるか    多部未華子    柴本幸      篠井英介  キムラ緑子  酒井敏也  鷲尾真知子  田山涼成    川辺菜月  藤井美菜  東亜優  江頭由衣    山寺宏一    佐々木蔵之介    児玉清原作:「鹿男あをによし」万城目学(幻冬舎刊)  脚本:相沢友子演出:鈴木雅之佐橋俊彦</t>
  </si>
  <si>
    <t>小川孝信(玉木宏)は、堀田イト(多部未華子)から受け取った“目"=銅鏡を草の上に置く。それを、藤原道子(綾瀬はるか)、鹿、鼠が見守る。最後まで私欲をむき出しにした小治田史明(児玉清)は、離れた場所で放心したように座っている。  　そして、鹿の呼びかけで、いよいよ儀式が始まる——。  　草の上に置かれた銅鏡に堀田が水を注ぐと、水面の中央に映った満月が小さな点となり光を反射させる。それを鹿が舐めると、水が満月に吸い寄せられるように集まり、やがて光る球形となっていく…。  　翌日、盗難疑惑は解けたものの、小川はやはり学校にいられなくなる。藤原は教師たちに反発するが、小川は疑惑が解けただけで十分だと告げる。そして鹿に会いに行き、自分と堀田の顔を元に戻してくれと頼む。ところが、鹿は叶えられる望みは1つだけ。つまり、小川か堀田のどちらかしか元には戻せないと言うのだ。  　翌日、小川が職員室にいると、堀田がやってきて小川を連れ出す。2人が鏡の前に並ぶと、そこには人間の顔をした堀田と、鹿顔のままの小川が立っている。そこへ来た藤原が2人の様子をうかがうように見る。堀田は鹿から事情を聞いたが、自分だけ元に戻るのは納得がいかないと言う。  　しかし小川は、堀田が鹿顔になった原因は自分にあるから当然だと言うが、堀田は無言で小川をにらみ続ける。やりきれない気持ちになる小川。そんな2人を見ていた藤原は…。</t>
  </si>
  <si>
    <t>0801_CX_土23</t>
  </si>
  <si>
    <t>ロス:タイム:ライフ</t>
  </si>
  <si>
    <t>番組名&lt;土曜ドラマ&gt;ロス:タイム:ライフ　#05</t>
  </si>
  <si>
    <t>森保甫(伊藤淳史)は幼いころからの夢がかなって、自作の漫画が漫画誌の新人コミック大賞でグランプリを受賞し有頂天だった。受賞作が載っているその漫画誌を何冊も買っては母親にあきれられている。ある日、新作漫画を編集部に届けるため家を出た甫は、大型書店の前を素通りできず、つい入ってしまった挙げ句、また例の漫画誌を手に取っては、たまたまそこにいた他の客(温水洋一)にまで自慢する始末。甫がレジに向かったとき、大爆発が起こった。  審判団にロスタイムを提示され、自分が死んだことに気付いた甫。編集部に向かって猛然と走り出したが、途中で行き先を変更し、幼なじみの由香里(美波)の家に向かった。甫はそこで由香里の結婚話を知り、ショックを受ける。落胆し、あてもなく歩いていると、近所の公園で、由香里とばったり会う。しかしロスタイムは刻々と過ぎていき・・・!?伊藤淳史  美波  池谷のぶえ  阿部朋子  温水洋一土田英生プロデュ—ス:中島久美子  演出:大木綾子音楽:屋敷豪太  主題歌:ORANGE　RANGE</t>
  </si>
  <si>
    <t>森保甫(伊藤淳史)は幼いころからの夢がかなって、自作の漫画が漫画誌の新人コミック大賞でグランプリを受賞し有頂天だった。受賞作が載っているその漫画誌を何冊も買っては母親にあきれられている。ある日、新作漫画を編集部に届けるため家を出た甫は、大型書店の前を素通りできず、つい入ってしまった挙げ句、また例の漫画誌を手に取っては、たまたまそこにいた他の客(温水洋一)にまで自慢する始末。甫がレジに向かったとき、大爆発が起こった。  審判団にロスタイムを提示され、自分が死んだことに気付いた甫。編集部に向かって猛然と走り出したが、途中で行き先を変更し、幼なじみの由香里(美波)の家に向かった。甫はそこで由香里の結婚話を知り、ショックを受ける。落胆し、あてもなく歩いていると、近所の公園で、由香里とばったり会う。しかしロスタイムは刻々と過ぎていき・・・!?</t>
  </si>
  <si>
    <t>番組名&lt;土曜ドラマ&gt;ロス:タイム:ライフ　#06</t>
  </si>
  <si>
    <t>売れない役者、北澤光一・35歳(田中直樹)は、オ—ディションに落ち続け、仕事といえばいつまでたっても遊園地のヒ—ロ—ショ—の悪役しかない。目立ちたがり屋の光一は舞台でやりすぎて、ヒ—ロ—役のいけすかない男(原田篤)からもおねえさん役のみどり(安田美沙子)からも嫌みを言われる始末。ある日一緒に出演していた後輩の大空正樹・23歳(田中圭)がオ—ディションに合格して連続ドラマのレギュラ—が決まったことを聞いた光一は、自分もまだまだこれからと根拠のないポジティブ思考で、恋人の陽子(畑野ひろ子)にあきれられる。  　そんなとき、光一は不運にも事故でロスタイムに突入。審判団たちに自分が死んだことを確かめた光一は、ロスタイム中になんとかドラマに出たいとテレビ局に押しかけた。警備員に取り押さえられる光一を事務所社長の鬼塚蘭子(片桐はいり)が目撃して・・・。あきらめきれない光一は、せめて1度だけでもヒ—ロ—を倒して自分がヒ—ロ—になりたいと奔走するが・・・。田中直樹(ココリコ)  田中圭  安田美沙子  片桐はいり  温水洋一上田誠プロデュ—ス:中島久美子  演出:冨士川祐輔屋敷豪太  主題歌:ORANGE　RANGE</t>
  </si>
  <si>
    <t>番組名&lt;土曜ドラマ&gt;ロス:タイム:ライフ　#07</t>
  </si>
  <si>
    <t>竜崎組の姐さん「白水仙の瑠偉子」こと竜崎瑠偉子(常盤貴子)は、夫である組長・竜崎秀雄(吹越満)が、敵対する勝矢組に殺され遺体を運び去られたとの報せを受けた。瑠偉子は衝撃を受けて呆然とするも、若頭の佐竹(三上市朗)や鉄砲玉のタケル(濱田岳)らが口々に仇討ちを叫び出すと、それを一喝。若い衆に手出し無用と釘を刺し、小刀を手にひとりで勝矢組へ向かう。　ところが待ちかまえていた刺客に刺され、ロスタイム2時間59分を提示された瑠偉子。愛する男の仇を討つまでは死ねないと走り出し、あとを追ってきたタケルを伴って勝矢組の事務所を目指す。  　ついに事務所へ乗り込んで組長の勝矢(宅間孝行)と対面した瑠偉子は、そこで事の真相を知って・・・!?常盤貴子  濱田岳  吹越満  宅間孝行  温水洋一　ほか吉田智子プロデュ—ス:中島久美子  演出:筧昌也屋敷豪太  主題歌:ORANGE　RANGE</t>
  </si>
  <si>
    <t>番組名&lt;土曜ドラマ&gt;ロス:タイム:ライフ　#08</t>
  </si>
  <si>
    <t>スポ—ツ用品メ—カ—に勤める堀池清美(真木よう子)は若くして広報部部長に抜擢され、仕事漬けの毎日を送っていた。家に帰ることもままならない生活で万年睡眠不足、友人との食事の約束もドタキャンばかりだ。会社では、年上の部下は清美が美ぼうで今の地位を手に入れたとやっかみ、年下の女性部員は清美のようにはなりたくないと仕事の手を抜く。それでも清美は、黙って部下の失敗の尻ぬぐいをし、会社のために全力投球で働いていた。  　ある日、清美の正義感から出たことばが社長の気分を害し、突然地方の工場への異動を言い渡される。やけになった清美は居酒屋で隣り合わせた尾元(温水洋一)と公園で飲みながら愚痴をこぼす。・・・と過労がたたって心臓発作を起こしあえなくロスタイムに。走り出した清美が向かった先は部下たちのもと。思いをぶちまけ、次に社長に会いに会社へ向かう。そして今日が自分の誕生日だと気付いた清美は・・・!?真木よう子  温水洋一  矢島健一  岩佐真悠子  近江谷太朗　ほか渡辺千穂プロデュ—ス:中島久美子  演出:永山耕三屋敷豪太  主題歌:ORANGE　RANGE</t>
  </si>
  <si>
    <t>0710_CX_月21</t>
  </si>
  <si>
    <t>番組名ガリレオ「燃える！変人天才科学者」</t>
  </si>
  <si>
    <t>天才物理学者(福山雅治)と女性刑事(柴咲コウ)が不可思議な事件を解決していく。原作・東野圭吾、脚本・福田靖、演出・西谷弘。　帝都大学理工学部物理学科の准教授・湯川(福山)の元に、貝塚北署の新人刑事・薫(柴咲)が訪ねて来る。薫は尊敬する先輩刑事・草薙(北村一輝)のアドバイスで、ある事件について湯川に捜査協力を求める。それは、住宅街でたむろしていた若者の一人の頭が発火し、死亡するという事件だった。事件に興味を持った湯川は、薫とともに現場を訪れる。湯川は現場近くで機械部品を作っている製作所に注目。勝手に工場内を見回り、自然発生したプラズマによる事故ではないかという見解を示す。</t>
  </si>
  <si>
    <t>番組名ガリレオ「離脱る(ぬける)ＯＬ殺人と空を飛ぶ少年の謎！」</t>
  </si>
  <si>
    <t>ワンルームマンションで女性の遺体が発見された。薫(柴咲コウ)たちは死亡推定時刻から、事件があった時刻に被害者を訪ねたと思われる保険外交員・栗田(石井正則)に事情を聴く。しかし栗田は、その時間は川沿いに車を止めて寝ていたと主張。そんな折、事件を知った上村(小市慢太郎)が、栗田のアリバイを裏付ける証拠として息子の忠広(今井悠貴)が描いたという絵を郵送してくる。その絵は、忠広が熱を出して寝込んでいた時に幽体離脱をして、マンションの窓から外に出て見えた風景画だという。そこには、川沿いに止まっている赤い車が描かれていた。困った薫は、絵を持って湯川(福山雅治)の元を訪れる。湯川は事件に興味を示し、検証を始める。</t>
  </si>
  <si>
    <t>番組名ガリレオ「騒霊ぐ(さわぐ)消えた夫と幽霊の棲む黒い家！」</t>
  </si>
  <si>
    <t>湯川(福山雅治)から呼び出された薫(柴咲コウ)は、彼に紹介された弥生(広末涼子)という女性から、失跡した夫・直樹(渡辺裕樹)を捜す手助けをしてほしいと頼まれる。弥生によると、介護用品メーカーに勤めていた直樹は、五日前に独り暮らしの老婦人・ヒデ(森康子)の家に行くと言ったまま行方不明になった。しかも、ヒデは同じ日に死亡していて、その日から家にはヒデのおいだという高野(甲本雅裕)ら四人の男女が住んでいるという。薫と弥生は高野らが外出したのを見計らって、家の中に潜入する。室内に直樹の姿はなかったが、突然部屋全体が激しく揺れ始める。外に逃げた二人だったが、家の周囲は静まり返っていた。薫はそれがポルターガイスト現象だと湯川に報告する。</t>
  </si>
  <si>
    <t>番組名ガリレオ「壊死る(くさる)美しき天才殺人者の危険な誘惑」</t>
  </si>
  <si>
    <t>豪邸の室内プールで、若い女性の水死体が発見される。死因は心臓まひだったが、なぜか胸の皮膚の一部だけが壊死(えし)していた。薫(柴咲コウ)は死亡した女性が通っていた大学を訪れる。そのころ、偶然に同じ大学での講演を終えた湯川(福山雅治)は、大学院生の田上(香取慎吾)に呼び止められる。講演に感銘を受けたと話す田上に、湯川はいつでも連絡してくれと名刺を渡す。湯川を見つけた薫は、事件のことで相談を持ち掛けるが、全く取り合ってもらえない。その時、薫は大学の掲示板に”皮膚疾患の先端技術”という文字を見つけ、研究室を訪れる。そこにいたのは、白衣姿の田上だった。</t>
  </si>
  <si>
    <t>番組名ガリレオ「絞殺る(しめる)火の玉の謎と完全なる密室殺人」</t>
  </si>
  <si>
    <t>湯川(福山雅治)は薫(柴咲コウ)から、管内のホテルで起こった密室殺人について意見を求められる。被害者はペンションを経営する矢島(岡本光太郎)という男性で、部屋に出入りしたのは本人だけだという証言がある。さらに、ホテルの向かいにあるビルで働く会社員が、矢島の部屋で火の玉が飛んだのを目撃している。警察は数カ月の間に矢島が複数の生命保険に加入していることから、妻の貴子(水野美紀)に疑いの目を向ける。しかし、彼女にはアリバイがあった。事件に興味を抱いた湯川は、薫とともに貴子に会いに行く。貴子は犯人や火の玉にも心当たりはないと話すが、矢島の娘・秋穂(大後寿々花)は貴子がうそをついていると言いだす。</t>
  </si>
  <si>
    <t>番組名ガリレオ「夢想る(ゆめみる)未来の恋と二人きりの長い夜」</t>
  </si>
  <si>
    <t>薫(柴咲コウ)の幼なじみで占い師の坂木(新井浩文)が、十七歳の少女・森崎礼美(堀北真希)の部屋に侵入して乱暴しようとした。物音に気付いた母親の由美子(手塚理美)が猟銃で撃退したが、坂木は現在も逃亡中だ。捜査に当たった弓削(品川祐)の話では、坂木が客の礼美に一カ月ほど付きまとっていたという。程なく、薫の元に坂木から電話が入る。坂木は占い用の水がめに「会いに来て」と礼美からのメッセージが浮かんだと主張。薫は湯川(福山雅治)に相談するが、湯川にはストーカーの妄想としか思えない。すると、薫は坂木が小学校時代に書いた作文を見せる。そこには「ぼくの夢は、モリサキレミと結婚すること」と書かれていた。</t>
  </si>
  <si>
    <t>番組名ガリレオ「予知る(しる)美しき妻の愛した恐怖の殺人装置」</t>
  </si>
  <si>
    <t>湯川(福山雅治)と薫(柴咲コウ)は栗林(渡辺いっけい)から、ある事件について相談を持ち掛けられる。半年前、食品加工会社を経営する菅原(塚地武雅)の愛人・冬美(桜井千寿)が、菅原の住むマンションの向かいの部屋で首をつって自殺した。この一件が原因で菅原は妻・静子(深田恭子)から離婚を言い渡され、多額の慰謝料を請求されている。しかし、事件には不思議な点があった。菅原は冬美が自殺する一週間前に、同じ部屋で女性が首をつるのを見たというのだ。その女性は誰だか分からなかったが、菅原は一緒にいた友人にもその話をしている。栗林は、菅原が冬美の自殺を予知していたと主張する。</t>
  </si>
  <si>
    <t>番組名ガリレオ「霊視る(みえる)殺人事件を知らせた姉の幽霊！」</t>
  </si>
  <si>
    <t>料理教室を経営する女性が刺殺された。犯人と思われる男も、逃亡途中に窓から落ちて転落死していた。両者に接点はなかったが、被害者が一カ月ほど前から警察にストーカー被害を訴えていたことで、事件はストーカー殺人とみられている。薫(柴咲コウ)は湯川(福山雅治)に、事件のことではなく、被害者の妹・千晶(釈由美子)の奇妙な証言について相談する。千晶は姉がストーカー被害に悩んでいることを知っていて、事件当日も姉の部屋で帰りを待っていた。その時彼女は、窓の外から姉が室内をのぞいている姿を目撃したという。しかし、その時間には遠く離れた現場で姉の死が確認されている。薫から事件の詳細を聞いた湯川は、この事件に強い興味を示す。</t>
  </si>
  <si>
    <t>番組名ガリレオ「爆ぜる(はぜる)前編・悪魔が仕掛けた連続殺人」</t>
  </si>
  <si>
    <t>管内の中学校を訪れた薫(柴咲コウ)と弓削(品川祐)は、生徒が展示した石こうの仮面を見つける。それを見た伸江(泉晶子)という女性が、その仮面の顔は自分の息子に間違いないと言い始めた。仮面を制作した生徒は、公園の池で拾った金属製の仮面を型にして作ったという。公園を調査した薫たちは、池の底で男性の遺体を発見。遺体は帝都大学原子力工学科の卒業生で、医療機器メーカーに勤務する伸江の息子・藤川(坂本真)だった。薫から事件の相談を受けた湯川(福山雅治)も、公園にやって来る。すると、監察医の桜子(真矢みき)から連絡が入り、藤川が放射線に被ばくしていたことが判明。一方、薫は藤川の勤める会社を設立したのが、帝都大学原子力工学科の元教授・木島(久米宏)だと知る。</t>
  </si>
  <si>
    <t>番組名ガリレオ「爆ぜる(はぜる)後編・聖夜にＫＩＳＳして！」</t>
  </si>
  <si>
    <t>湯川(福山雅治)は、自然公園で発見された射殺体と、湖で起こった爆死事件の被害者がかつての恩師・木島(久米宏)の会社の社員だと知り、彼に会いに行く。同じころ、湯川の研究室を訪れた薫(柴咲コウ)は、栗林(渡辺いっけい)から湯川と木島の因縁を明かされる。その話にショックを受けた薫は湯川からの電話に出ないで、弓削(品川祐)とともに木島の会社を洗い直す。その夜、湯川は薫の元を訪れ、電話に出ない理由を聞く。迷惑を掛けたと謝る薫に、湯川は事件の謎を自分の手で解明すると宣言。しかし翌日、木島の秘書・京子(本上まなみ)が、二つの事件は自分の犯行だという遺書を残して自殺する。</t>
  </si>
  <si>
    <t>0710_CX_火21</t>
  </si>
  <si>
    <t>暴れん坊ママ</t>
  </si>
  <si>
    <t>番組名暴れん坊ママ「なんで私がママなのよっ！！」</t>
  </si>
  <si>
    <t>家族や子育てという不変なテーマを、現代ならではの話題と視点でコミカルに描くホームコメディー。脚本・大石静、演出・佐藤祐市。　あゆ(上戸彩)は、十二歳年上で美容師の哲(大泉洋)と結婚したばかり。哲が営む美容院が開店を迎えた日、店に佑樹(渋谷武尊)という男の子が現れる。哲はその男の子が自分の息子だと説明するが、哲に子供がいるとは知らなかったあゆは激怒する。哲に自分が面倒を見ると説得され、あゆは佑樹と同居することに同意する。しかし、佑樹はあゆに心を開こうとしない。困惑する哲は中学時代の同級生・北条(東幹久)に相談し、彼の妻・翠子(ともさかりえ)が父母会の会長を務める幼稚園に佑樹を入園させてもらうことに。</t>
  </si>
  <si>
    <t>番組名暴れん坊ママ「突撃！！園ママデビュー戦」</t>
  </si>
  <si>
    <t>あゆ(上戸彩)は、佑樹(渋谷武尊)を連れて幼稚園にやって来るが、翠子(ともさかりえ)ら園児の母親たちから無視されてしまう。その日は、間近に迫った運動会の説明が行われ、あゆは園長の高沢(岡江久美子)から親子三人四脚に両親で参加するようにくぎを刺される。さらに、運動会で規則を守らない親を注意する”家族席係”を押し付けられる。家に戻ったあゆは、哲(大泉洋)に運動会の日に客の予約を入れないように頼む。しかし、哲は運動会の前日に客からの予約を受けてしまい、あゆと口論に。あゆは怒り、母親を放棄すると宣言する。</t>
  </si>
  <si>
    <t>番組名暴れん坊ママ「オヤジ襲来！！退園の危機」</t>
  </si>
  <si>
    <t>あゆ(上戸彩)の父・吾郎(大和田伸也)が突然、家にやって来る。吾郎はあゆが帰るまで帰らないと言って川野家に居座ることに。心を開きかけていた佑樹(渋谷武尊)も、再び心を閉ざしてしまう。そんなある朝、吾郎がトイレを占拠していたせいで、佑樹はトイレを我慢したまま登園する羽目に。佑樹はトイレに間に合わず、幼稚園で漏らしてしまう。さらに、幼稚園からあゆに、佑樹が翠子(ともさかりえ)の息子・蓮(谷端奏人)を傷つけたという連絡が入る。</t>
  </si>
  <si>
    <t>番組名暴れん坊ママ「見た！！園ママ社会のウソ」</t>
  </si>
  <si>
    <t>あゆ(上戸彩)と哲(大泉洋)は、経営している美容室が暇なことを嘆いていた。そんな折、八重(山口紗弥加)がファッション誌の”ママ特集”に載り、幼稚園でほかの母親たちから羨望(せんぼう)の的に。そこで、あゆは自分を次号の特集に推薦してもらい、店を繁盛させようと八重に必死にアプローチする。面白くない翠子(ともさかりえ)や倫子(片瀬那奈)たちは、調子に乗っている八重の秘密を探る。</t>
  </si>
  <si>
    <t>番組名暴れん坊ママ「衝撃！本当のママの秘密」</t>
  </si>
  <si>
    <t>あゆ(上戸彩)と哲(大泉洋)の前に突然、哲の前妻・景子(紺野まひる)が現れる。連絡もせずに訪ねて来た景子に哲は不快感をあらわにするが、佑樹(渋谷武尊)を捨てたはずの彼女には悪びれる様子がない。そんな折、あゆは幼稚園に佑樹を迎えに行くが、姿が見えない。慌てて捜し回ったあゆは、景子と一緒にいる佑樹を発見。無事だったことに安心しつつも、あゆは景子の行動に戸惑う。さらに、佑樹が自分には見せない顔を景子に見せていることでショックを受ける。景子の存在があゆを不安にしていると察した哲は、景子に二度と家へ来ないでほしいと告げる。</t>
  </si>
  <si>
    <t>番組名暴れん坊ママ「初恋！！(秘)ヒヒーン作戦！？」</t>
  </si>
  <si>
    <t>あゆ(上戸彩)と哲(大泉洋)は、佑樹(渋谷武尊)が幼稚園をやめないことを翠子(ともさかりえ)らに報告するが、大反発される。そんな中、幼稚園で開かれる”お遊戯会”の説明会が行われる。そこで園長から、当日に有名私立小学校の校長がやって来ると伝えられた。自分の子供をアピールしたい母親たちは、上演する劇で少しでもいい役をもらおうと火花を散らす。あゆは忘れ物を取りに来た教室で、先生たちが配役を決めているところを見てしまう。佑樹が王子役だと知って喜ぶあゆと哲だったが、佑樹には秘めた思いがあった。</t>
  </si>
  <si>
    <t>番組名暴れん坊ママ「息子は天才！？お受験参戦」</t>
  </si>
  <si>
    <t>佑樹(渋谷武尊)が突然、私立小学校を受験すると言いだす。あゆ(上戸彩)は佑樹の気持ちを尊重したいと賛成するが、哲(大泉洋)は金銭的な理由もあってあきらめさせるべきだと主張。そんな折、翠子(ともさかりえ)の提案で、あゆは佑樹を連れて有名進学塾の授業を見学することに。張り詰めた空気が流れる教室では、子供たちが真剣に難しい問題を解いている。そんな中、佑樹が問題を答えることに。誰もができないと思っていたが、佑樹はすらすらと答え始める。</t>
  </si>
  <si>
    <t>番組名暴れん坊ママ「大迷惑！！空気読めない男」</t>
  </si>
  <si>
    <t>試験当日、佑樹(渋谷武尊)の受験をやめたあゆ(上戸彩)と哲(大泉洋)は、いつものように美容室で働いていた。そこへ、受験帰りの一(東幹久)がやって来て、二人に受験に来なかった理由を問い詰める。哲は受験するのをやめたと説明するが、息子同士を同じ学校に行かせたい一は納得がいかない。後日、一は再び哲に受験を勧める。往生際の悪い一にいら立つ哲は「おまえが嫌いなんだ」と気持ちをぶちまけてしまう。一は突然の告白に驚き、店を飛び出していく。</t>
  </si>
  <si>
    <t>番組名暴れん坊ママ「大逆転！！波乱のＸマス会」</t>
  </si>
  <si>
    <t>クリスマスが近づき、あゆ(上戸彩)と哲(大泉洋)は佑樹(渋谷武尊)の欲しい物を聞き出そうとする。だが、佑樹はサンタクロースにだけ伝えると言い張り、決して明かそうとしない。そんな中、哲が大けがをしてしまい、あゆが仕事に出ることに。代わりに佑樹を送り迎えする哲は、母親たちの変化に驚く。受験に合格した子供の母親と、落ちた母親の力関係が逆転していたのだ。そんな中、幼稚園でクリスマス会が開かれる。</t>
  </si>
  <si>
    <t>番組名暴れん坊ママ「涙の卒園式…愛しい子よ」</t>
  </si>
  <si>
    <t>あゆ(上戸彩)たちは、事故を起こした飛行機に佑樹(渋谷武尊)の母と同姓同名の日本人が乗っていたことを知り、衝撃を受ける。そんな中、哲(大泉洋)の元に、その女性が入院しているという病院から連絡が入る。急いで病院へ向かったあゆたちが目にしたのは、ベッドに横たわる景子(紺野まひる)の姿だった。意識不明の景子を見て、佑樹はひどく動揺していた。景子が日本に来た目的に疑問を抱いた哲は、外国での景子の消息をたどる。外国で仕事をしていたことは分かったが、結婚しているという形跡がどうしても見つからない。あゆと哲は、景子が離婚して佑樹を取り戻しに来たのでは、と考え不安になる。</t>
  </si>
  <si>
    <t>0710_CX_火22</t>
  </si>
  <si>
    <t>スワンの馬鹿！</t>
  </si>
  <si>
    <t>番組名スワンの馬鹿！～こづかい3万円の恋～「こづかい3万の恋」</t>
  </si>
  <si>
    <t>月々の小遣いを減らされたサラリーマンが、悪戦苦闘する姿を描くコメディー。脚本・山田俊昌、演出・河野圭太。　文具メーカーの課長代理・諏訪野大輔(上川隆也)は職場でもよき夫として知られているが、月額五万円の小遣いのやりくりに苦心していた。ある日、大輔は同じビルにあるカフェの店長代理・加茂(劇団ひとり)と食品会社の時田(梶原善)から、お見合いパーティーのさくらのアルバイトをしないかと誘われる。妻子がいるからと断った大輔だったが、妻の真澄(田中美佐子)から、娘の理英(美山加恋)を塾に通わせるために小遣いを三万円に減らすと告げられる。仕方なく加茂たちとお見合いパーティーに参加した大輔は、大学時代の恋人・志摩子(森口瑤子)と再会する。</t>
  </si>
  <si>
    <t>番組名スワンの馬鹿！～こづかい3万円の恋～「恋バトル3万男ＶＳ社長」</t>
  </si>
  <si>
    <t>川瀬(成宮寛貴)を殴ってしまった大輔(上川隆也)は、彼の報復を心配していた。そんな折、大輔は絢菜(芦名星)の勤め先である会社から、事務機器一式の発注を打診される。大輔は徹夜で見積書を完成させ、絢菜の上司からも正式な発注の返事が来る。その夜、帰宅した大輔は、大事にしていた水球選手時代のトロフィーを娘の理英(美山加恋)が壊してしまったことを知る。頭ごなしにしかる大輔に、理英は「パパなんか大嫌い」と言って自分の部屋に閉じこもってしまう。納品の日、慌てた様子の絢菜からの電話で現場に駆け付けた大輔はあぜんとする。オフィスは広々としていて、大輔が納品した備品を置いてもがらがらの状態だった。</t>
  </si>
  <si>
    <t>番組名スワンの馬鹿！～こづかい3万円の恋～「胸キュンさせる法」</t>
  </si>
  <si>
    <t>絢菜(芦名星)から時間をつくってほしいと言われた大輔(上川隆也)は、加茂(劇団ひとり)たちから食事に誘うべきだとけしかけられるが、財布に金がない。家では、思春期に入った理英(美山加恋)が大輔と一緒に風呂に入るのを嫌がる。ショックを受けた大輔は父娘の関係を取り戻そうと、運動会に向けて一輪車の練習をしている理英の手助けをする。デート当日、待ち合わせ場所で待っていた絢菜は大輔に笑顔を見せる。その瞬間、大輔の携帯電話に理英から「ごめんね」というメールが届く。</t>
  </si>
  <si>
    <t>番組名スワンの馬鹿！～こづかい3万円の恋～「元カノＶＳ未来カノ」</t>
  </si>
  <si>
    <t>絢菜(芦名星)との約束をすっぽかした大輔(上川隆也)は、再び彼女を食事に誘う。ちょうど真澄(田中美佐子)が同窓会に出席する日を選んだが、同窓会に真澄の元恋人が来ると聞いて動揺する。そんな折、大輔の会社では洋菓子店のチーズケーキが話題になっていた。雑誌の記事では、大輔の元恋人・志摩子(森口瑤子)が経営するインターネット通販会社でもそのケーキを扱うという。しかし、洋菓子店では店主の半田(竜雷太)が息子・俊哉(逸見太郎)が作ったケーキを認めず、志摩子の会社との契約も難航していた。大輔と絢菜が食事に行く日、志摩子の会社がケーキの取り扱い中止を発表し、インターネット上で激しい非難を浴びる。心配する大輔は、慌てて洋菓子店へ急ぐ。</t>
  </si>
  <si>
    <t>番組名スワンの馬鹿！～こづかい3万円の恋～「大ピンチ隠し子発覚！？」</t>
  </si>
  <si>
    <t>志摩子(森口瑤子)の娘・比奈子(前田敦子)が、自分の父親は大輔(上川隆也)だと断言。比奈子は十七歳で、大輔と志摩子が付き合っていた時期とも一致していた。ショックを受けた大輔は真澄(田中美佐子)に打ち明けようとするが、なかなか言いだせない。そんな折、志摩子と真澄が知り合い、話をするうちに比奈子と理英(美山加恋)を交えて食事会をすることに。大輔は食事会をやめさせようと志摩子に電話をするが、彼女は聞き入れない。一方で、大輔は絢菜(芦名星)から食事に誘われる。大輔はけじめをつけて絢菜に別れを告げ、真澄にも隠し子のことを告白しようと家に向かう。</t>
  </si>
  <si>
    <t>番組名スワンの馬鹿！～こづかい3万円の恋～「今夜ついに涙の別れ衝撃プロポーズ作戦」</t>
  </si>
  <si>
    <t>愛妻家の加茂(劇団ひとり)が、妻・彩子(小野香織)とけんかして離婚届を突き付けられる。けんかの原因が携帯電話に残っていた絢菜(芦名星)の写真だったため、加茂は大輔(上川隆也)に事情を説明して彩子の誤解を解いてほしいと頼む。大輔と絢菜、加茂の三人は彩子を呼び出し、加茂と絢菜に特別な関係がないことを告げる。しかし、彩子は加茂の欠点を次々と挙げ、やはり離婚すると宣言。翌日、大輔が再び加茂の気持ちを彩子に伝えると、彼女は「私じゃ駄目なんです」と謎めいた言葉を残す。彩子の事情を聴いた大輔からアドバイスを授けられた加茂は、最後の作戦に打って出る。</t>
  </si>
  <si>
    <t>番組名スワンの馬鹿！～こづかい3万円の恋～「わが子と涙の別れ」</t>
  </si>
  <si>
    <t>時田(梶原善)は元妻から、京都の男性と再婚するので、息子・元気(深沢嵐)とはもう会わないでほしいと告げられる。しかし、元気が時田と会うために会社に現れる。引っ越す前に会いたかったという言葉に喜ぶ時田だが、仕事の都合で元気を大輔(上川隆也)の家で預かってもらうことに。元気が野球のグラブを二つ持っていることに気付いた大輔は、元気が時田とキャッチボールをしたいのではないかと考える。その後、別れのあいさつをするために元気が再び会社に現れる。しかし、時田の姿が見当たらない。大輔は加茂(劇団ひとり)と一緒に、時田を捜す。</t>
  </si>
  <si>
    <t>番組名スワンの馬鹿！～こづかい3万円の恋～「美女と温泉旅行！？」</t>
  </si>
  <si>
    <t>父親の納骨のために福島に行く絢菜(芦名星)に付き添うことになった大輔(上川隆也)は、不倫旅行と誤解されることを恐れて時田(梶原善)に同行を頼む。真澄(田中美佐子)からは同じ日に買い物に付き合うよう頼まれるが、時田や加茂(劇団ひとり)と釣りに行くとうそをつく。一方、川瀬(成宮寛貴)は、絢菜の上司・服部(上杉祥三)に勧められた見合いを断ったため、リスクの大きいプロジェクトの担当にされる。そんな折、絢菜は偶然に服部の電話を盗み聞きしてしまう。絢菜はその会話から、服部の狙いは川瀬を失脚させることで、絢菜を川瀬の会社に出向させたのも作戦の一つだったと知る。</t>
  </si>
  <si>
    <t>番組名スワンの馬鹿！～こづかい3万円の恋～「恐るべし妻の直感」</t>
  </si>
  <si>
    <t>大輔(上川隆也)は、加茂(劇団ひとり)と時田(梶原善)がアリバイ工作に用意してくれた魚を持って帰宅する。大輔の行動を怪しむ真澄(田中美佐子)は、加茂と時田を夕食に招待し、うそを見破ろうとする。追い込まれた加茂が口を滑らせるが、時田がうそをついて何とかその場を切り抜ける。しかし、理英(美山加恋)の「浮気してたら慰謝料をもらって離婚だ」という言葉に、大輔は凍りつく。一方、川瀬(成宮寛貴)を心配する絢菜(芦名星)は、彼に服部(上杉祥三)のたくらみを教える。絢菜の協力を得て必死に服部と連絡を取ろうとする川瀬だったが、全くつかまらない。そしてついに、川瀬が私財を投じて買収を進めていた企業が倒産してしまう。</t>
  </si>
  <si>
    <t>番組名スワンの馬鹿！～こづかい3万円の恋～「恋の大どんでん！？」</t>
  </si>
  <si>
    <t>絢菜(芦名星)は川瀬(成宮寛貴)が姿を消し、連絡も取れないことを心配していた。そんな中、服部(上杉祥三)が違法な企業買収で逮捕され、絢菜の父の会社を買収したのは川瀬ではなく服部だったことが判明。大輔(上川隆也)は川瀬を捜し出し、その事実を伝える。一方、絢菜から大輔にかかってきた電話に出てしまった真澄(田中美佐子)は、大輔が浮気をしているとの疑いを深め、理英(美山加恋)を連れて家を出ていく。翌日、大輔は意を決して真澄の滞在先を訪れる。時田(梶原善)と加茂(劇団ひとり)も加勢して三人は必死に頭を下げるが、冷たく追い返されてしまう。</t>
  </si>
  <si>
    <t>0710_CX_木22</t>
  </si>
  <si>
    <t>医龍2</t>
  </si>
  <si>
    <t>番組名医龍　Ｔｅａｍ　Ｍｅｄｉｃａｌ　Ｄｒａｇｏｎ2「復活！！チームドラゴン！！母の命か胎児の命か…余命2カ月の心臓病患者は妊娠7カ月！！絶対子供はあきらめない！！運命の緊急手術が始まる」</t>
  </si>
  <si>
    <t>番組名医龍　Ｔｅａｍ　Ｍｅｄｉｃａｌ　Ｄｒａｇｏｎ2「捨てられる患者」</t>
  </si>
  <si>
    <t>番組名医龍　Ｔｅａｍ　Ｍｅｄｉｃａｌ　Ｄｒａｇｏｎ2「その手術は失敗する」</t>
  </si>
  <si>
    <t>番組名医龍　Ｔｅａｍ　Ｍｅｄｉｃａｌ　Ｄｒａｇｏｎ2「絶対殺せない患者」</t>
  </si>
  <si>
    <t>番組名医龍　Ｔｅａｍ　Ｍｅｄｉｃａｌ　Ｄｒａｇｏｎ2「決行！！運命の無輸血手術」</t>
  </si>
  <si>
    <t>番組名医龍　Ｔｅａｍ　Ｍｅｄｉｃａｌ　Ｄｒａｇｏｎ2「もう1人の天才外科医…」</t>
  </si>
  <si>
    <t>番組名医龍　Ｔｅａｍ　Ｍｅｄｉｃａｌ　Ｄｒａｇｏｎ2「復活！！スーパードクター」</t>
  </si>
  <si>
    <t>番組名医龍　Ｔｅａｍ　Ｍｅｄｉｃａｌ　Ｄｒａｇｏｎ2「絶対に許せない麻酔医！！」</t>
  </si>
  <si>
    <t>番組名医龍　Ｔｅａｍ　Ｍｅｄｉｃａｌ　Ｄｒａｇｏｎ2「余命2ケ月！！奇跡の手術」</t>
  </si>
  <si>
    <t>番組名医龍　Ｔｅａｍ　Ｍｅｄｉｃａｌ　Ｄｒａｇｏｎ2「総力戦！！運命の心臓移植」</t>
  </si>
  <si>
    <t>番組名医龍　Ｔｅａｍ　Ｍｅｄｉｃａｌ　Ｄｒａｇｏｎ2「運命の4時間！！最後の手術」</t>
  </si>
  <si>
    <t>0707_CX_月21</t>
  </si>
  <si>
    <t>ファースト・キス</t>
  </si>
  <si>
    <t>番組名ファースト・キス</t>
  </si>
  <si>
    <t>ファースト・キス◇秋生（平岡祐太）への思いを捨て、ロサンゼルスに帰ることを決意した美緒（井上真央）。帰国前日の朝、美緒の携帯電話に秋生から連絡が入るが、美緒は出ようとしない。秋生との交際に反対した和樹（伊藤英明）は、矛盾を感じながらも帰国することを秋生に教えなくてもいいのかと美緒に問い掛ける。同じころ、秋生は教授の青木（柴俊夫）から転勤を命じられていた。そこへ蓮子（松雪泰子）が現れ、明日行われる手術の助手を秋生に務めさせたいと青木に申し出る。蓮子は、秋生が外科医として成長している姿を見てから転勤させるかどうかの判断をしてほしいと進言し、青木の了解を得る。</t>
  </si>
  <si>
    <t>番組名ファースト・キス「兄と妹の最終章！」</t>
  </si>
  <si>
    <t>成田空港で飛行機に乗ろうとしていた美緒(井上真央)の前に、和樹(伊藤英明)が現れる。和樹は「美緒とは別れない」という秋生(平岡祐太)の言葉を伝えて、その場に倒れてしまう。翌日、和樹は白鷺大学付属病院へ運ばれる。そこに秋生がやって来る。秋生は、和樹に付き添っていた美緒を近くの公園に連れ出し、手術が終わって日本に戻ってくるまでずっと待っていると思いを伝える。そのころ、和樹の元には蓮子(松雪泰子)が訪れていた。蓮子は、秋生が大学病院に残れることになったと報告し、和樹に感謝の言葉を伝える。その夜、秋生は蓮子が函館医大へ異動になることを知る。</t>
  </si>
  <si>
    <t>番組名ファースト・キス「天国から来た手紙」</t>
  </si>
  <si>
    <t>和樹(伊藤英明)たちと楽しい時間を過ごし、秋生(平岡祐太)と恋をして幸せを感じるようになった美緒(井上真央)は、手術を受けるのが怖くなる。それを聞いた和樹は驚きを隠せない。しかし、秋生は手術を受けるべきだと主張。美緒は秋生に、何十年生きるよりも今の方が大事だと言い放って出ていってしまう。後を追った和樹は、秋生や自分の思い、プロの写真家になるという強い決意を伝える。それを聞いた美緒は、手術を受ける代わりに、和樹に写真を撮ってほしいと言う。和樹は一流(劇団ひとり)らに協力を頼み、美緒のウエディングドレス姿を撮ろうとする。</t>
  </si>
  <si>
    <t>1910_EX_木22</t>
  </si>
  <si>
    <t>ドクターX</t>
  </si>
  <si>
    <t>番組名ドクターX～外科医・大門未知子～　初回拡大SP!!　テレビ朝日開局60周年記念</t>
  </si>
  <si>
    <r>
      <rPr>
        <rFont val="ＭＳ Ｐゴシック"/>
        <sz val="10.0"/>
      </rPr>
      <t>フリーランスの外科医・大門未知子</t>
    </r>
    <r>
      <rPr>
        <rFont val="Arial"/>
        <sz val="10.0"/>
      </rPr>
      <t>(</t>
    </r>
    <r>
      <rPr>
        <rFont val="ＭＳ Ｐゴシック"/>
        <sz val="10.0"/>
      </rPr>
      <t>米倉涼子</t>
    </r>
    <r>
      <rPr>
        <rFont val="Arial"/>
        <sz val="10.0"/>
      </rPr>
      <t>)</t>
    </r>
    <r>
      <rPr>
        <rFont val="ＭＳ Ｐゴシック"/>
        <sz val="10.0"/>
      </rPr>
      <t>は、山奥のポツンと一軒家でニコラス丹下</t>
    </r>
    <r>
      <rPr>
        <rFont val="Arial"/>
        <sz val="10.0"/>
      </rPr>
      <t>(</t>
    </r>
    <r>
      <rPr>
        <rFont val="ＭＳ Ｐゴシック"/>
        <sz val="10.0"/>
      </rPr>
      <t>市村正親</t>
    </r>
    <r>
      <rPr>
        <rFont val="Arial"/>
        <sz val="10.0"/>
      </rPr>
      <t>)</t>
    </r>
    <r>
      <rPr>
        <rFont val="ＭＳ Ｐゴシック"/>
        <sz val="10.0"/>
      </rPr>
      <t>と出会う。その頃、蛭間重勝</t>
    </r>
    <r>
      <rPr>
        <rFont val="Arial"/>
        <sz val="10.0"/>
      </rPr>
      <t>(</t>
    </r>
    <r>
      <rPr>
        <rFont val="ＭＳ Ｐゴシック"/>
        <sz val="10.0"/>
      </rPr>
      <t>西田敏行</t>
    </r>
    <r>
      <rPr>
        <rFont val="Arial"/>
        <sz val="10.0"/>
      </rPr>
      <t>)</t>
    </r>
    <r>
      <rPr>
        <rFont val="ＭＳ Ｐゴシック"/>
        <sz val="10.0"/>
      </rPr>
      <t>率いる東帝大学病院は財政危機を脱するため「今世紀最大のコストカッター」を副院長として招へいすることを決定</t>
    </r>
    <r>
      <rPr>
        <rFont val="Arial"/>
        <sz val="10.0"/>
      </rPr>
      <t>…</t>
    </r>
    <r>
      <rPr>
        <rFont val="ＭＳ Ｐゴシック"/>
        <sz val="10.0"/>
      </rPr>
      <t>それが丹下だった</t>
    </r>
    <r>
      <rPr>
        <rFont val="Arial"/>
        <sz val="10.0"/>
      </rPr>
      <t>!</t>
    </r>
    <r>
      <rPr>
        <rFont val="ＭＳ Ｐゴシック"/>
        <sz val="10.0"/>
      </rPr>
      <t>そんな中、食堂スタッフの岩田一子</t>
    </r>
    <r>
      <rPr>
        <rFont val="Arial"/>
        <sz val="10.0"/>
      </rPr>
      <t>(</t>
    </r>
    <r>
      <rPr>
        <rFont val="ＭＳ Ｐゴシック"/>
        <sz val="10.0"/>
      </rPr>
      <t>松坂慶子</t>
    </r>
    <r>
      <rPr>
        <rFont val="Arial"/>
        <sz val="10.0"/>
      </rPr>
      <t>)</t>
    </r>
    <r>
      <rPr>
        <rFont val="ＭＳ Ｐゴシック"/>
        <sz val="10.0"/>
      </rPr>
      <t>が突然胸の痛みを訴える。丹下が導入した医療</t>
    </r>
    <r>
      <rPr>
        <rFont val="Arial"/>
        <sz val="10.0"/>
      </rPr>
      <t>AI</t>
    </r>
    <r>
      <rPr>
        <rFont val="ＭＳ Ｐゴシック"/>
        <sz val="10.0"/>
      </rPr>
      <t>システムにより、一子は手術台にあげられてしまい</t>
    </r>
    <r>
      <rPr>
        <rFont val="Arial"/>
        <sz val="10.0"/>
      </rPr>
      <t>…!?</t>
    </r>
  </si>
  <si>
    <t>フリーランスの外科医・大門未知子(米倉涼子)は、山奥のポツンと一軒家でニコラス丹下(市村正親)と出会う。その頃、蛭間重勝(西田敏行)率いる東帝大学病院は財政危機を脱するため「今世紀最大のコストカッター」を副院長として招へいすることを決定…それが丹下だった!そんな中、食堂スタッフの岩田一子(松坂慶子)が突然胸の痛みを訴える。丹下が導入した医療AIシステムにより、一子は手術台にあげられてしまい…!?</t>
  </si>
  <si>
    <t>番組名ドクターX～外科医・大門未知子～　#2拡大SP!　テレビ朝日開局60周年記念</t>
  </si>
  <si>
    <r>
      <rPr>
        <rFont val="ＭＳ Ｐゴシック"/>
        <sz val="10.0"/>
      </rPr>
      <t>大企業</t>
    </r>
    <r>
      <rPr>
        <rFont val="Arial"/>
        <sz val="10.0"/>
      </rPr>
      <t>CEO</t>
    </r>
    <r>
      <rPr>
        <rFont val="ＭＳ Ｐゴシック"/>
        <sz val="10.0"/>
      </rPr>
      <t>の二色</t>
    </r>
    <r>
      <rPr>
        <rFont val="Arial"/>
        <sz val="10.0"/>
      </rPr>
      <t>(</t>
    </r>
    <r>
      <rPr>
        <rFont val="ＭＳ Ｐゴシック"/>
        <sz val="10.0"/>
      </rPr>
      <t>モロ師岡</t>
    </r>
    <r>
      <rPr>
        <rFont val="Arial"/>
        <sz val="10.0"/>
      </rPr>
      <t>)</t>
    </r>
    <r>
      <rPr>
        <rFont val="ＭＳ Ｐゴシック"/>
        <sz val="10.0"/>
      </rPr>
      <t>が東帝大学病院に入院。高額出資が期待できるとあって、丹下</t>
    </r>
    <r>
      <rPr>
        <rFont val="Arial"/>
        <sz val="10.0"/>
      </rPr>
      <t>(</t>
    </r>
    <r>
      <rPr>
        <rFont val="ＭＳ Ｐゴシック"/>
        <sz val="10.0"/>
      </rPr>
      <t>市村正親</t>
    </r>
    <r>
      <rPr>
        <rFont val="Arial"/>
        <sz val="10.0"/>
      </rPr>
      <t>)</t>
    </r>
    <r>
      <rPr>
        <rFont val="ＭＳ Ｐゴシック"/>
        <sz val="10.0"/>
      </rPr>
      <t>は丁重に迎える。しかし肝臓提供をしてくれる家族がおらず、未知子</t>
    </r>
    <r>
      <rPr>
        <rFont val="Arial"/>
        <sz val="10.0"/>
      </rPr>
      <t>(</t>
    </r>
    <r>
      <rPr>
        <rFont val="ＭＳ Ｐゴシック"/>
        <sz val="10.0"/>
      </rPr>
      <t>米倉涼子</t>
    </r>
    <r>
      <rPr>
        <rFont val="Arial"/>
        <sz val="10.0"/>
      </rPr>
      <t>)</t>
    </r>
    <r>
      <rPr>
        <rFont val="ＭＳ Ｐゴシック"/>
        <sz val="10.0"/>
      </rPr>
      <t>もオペができない。一方、生体肝移植を待つドミノ師の古沢</t>
    </r>
    <r>
      <rPr>
        <rFont val="Arial"/>
        <sz val="10.0"/>
      </rPr>
      <t>(</t>
    </r>
    <r>
      <rPr>
        <rFont val="ＭＳ Ｐゴシック"/>
        <sz val="10.0"/>
      </rPr>
      <t>清原翔</t>
    </r>
    <r>
      <rPr>
        <rFont val="Arial"/>
        <sz val="10.0"/>
      </rPr>
      <t>)</t>
    </r>
    <r>
      <rPr>
        <rFont val="ＭＳ Ｐゴシック"/>
        <sz val="10.0"/>
      </rPr>
      <t>の恋人・由理</t>
    </r>
    <r>
      <rPr>
        <rFont val="Arial"/>
        <sz val="10.0"/>
      </rPr>
      <t>(</t>
    </r>
    <r>
      <rPr>
        <rFont val="ＭＳ Ｐゴシック"/>
        <sz val="10.0"/>
      </rPr>
      <t>上白石萌歌</t>
    </r>
    <r>
      <rPr>
        <rFont val="Arial"/>
        <sz val="10.0"/>
      </rPr>
      <t>)</t>
    </r>
    <r>
      <rPr>
        <rFont val="ＭＳ Ｐゴシック"/>
        <sz val="10.0"/>
      </rPr>
      <t>は、肝臓提供を望むが、日本では他人同士の移植は出来ない。やがて由理が二色の末娘だということが判明</t>
    </r>
    <r>
      <rPr>
        <rFont val="Arial"/>
        <sz val="10.0"/>
      </rPr>
      <t>!</t>
    </r>
    <r>
      <rPr>
        <rFont val="ＭＳ Ｐゴシック"/>
        <sz val="10.0"/>
      </rPr>
      <t>しかし、父親への肝臓提供は頑なに拒み</t>
    </r>
    <r>
      <rPr>
        <rFont val="Arial"/>
        <sz val="10.0"/>
      </rPr>
      <t>…</t>
    </r>
    <r>
      <rPr>
        <rFont val="ＭＳ Ｐゴシック"/>
        <sz val="10.0"/>
      </rPr>
      <t>。</t>
    </r>
  </si>
  <si>
    <t>大企業CEOの二色(モロ師岡)が東帝大学病院に入院。高額出資が期待できるとあって、丹下(市村正親)は丁重に迎える。しかし肝臓提供をしてくれる家族がおらず、未知子(米倉涼子)もオペができない。一方、生体肝移植を待つドミノ師の古沢(清原翔)の恋人・由理(上白石萌歌)は、肝臓提供を望むが、日本では他人同士の移植は出来ない。やがて由理が二色の末娘だということが判明!しかし、父親への肝臓提供は頑なに拒み…。</t>
  </si>
  <si>
    <t>番組名ドクターX～外科医・大門未知子～　#3　テレビ朝日開局60周年記念</t>
  </si>
  <si>
    <r>
      <rPr>
        <rFont val="ＭＳ Ｐゴシック"/>
        <sz val="10.0"/>
      </rPr>
      <t>失言を繰り返す大臣・梅沢三郎</t>
    </r>
    <r>
      <rPr>
        <rFont val="Arial"/>
        <sz val="10.0"/>
      </rPr>
      <t>(</t>
    </r>
    <r>
      <rPr>
        <rFont val="ＭＳ Ｐゴシック"/>
        <sz val="10.0"/>
      </rPr>
      <t>角野卓造</t>
    </r>
    <r>
      <rPr>
        <rFont val="Arial"/>
        <sz val="10.0"/>
      </rPr>
      <t>)</t>
    </r>
    <r>
      <rPr>
        <rFont val="ＭＳ Ｐゴシック"/>
        <sz val="10.0"/>
      </rPr>
      <t>が東帝大学病院に「マスコミから匿ってほしい」とやってくる。その頃、蛭間</t>
    </r>
    <r>
      <rPr>
        <rFont val="Arial"/>
        <sz val="10.0"/>
      </rPr>
      <t>(</t>
    </r>
    <r>
      <rPr>
        <rFont val="ＭＳ Ｐゴシック"/>
        <sz val="10.0"/>
      </rPr>
      <t>西田敏行</t>
    </r>
    <r>
      <rPr>
        <rFont val="Arial"/>
        <sz val="10.0"/>
      </rPr>
      <t>)</t>
    </r>
    <r>
      <rPr>
        <rFont val="ＭＳ Ｐゴシック"/>
        <sz val="10.0"/>
      </rPr>
      <t>は不起訴になり病院長に復帰。どこも悪くないはずの梅沢だったが、未知子</t>
    </r>
    <r>
      <rPr>
        <rFont val="Arial"/>
        <sz val="10.0"/>
      </rPr>
      <t>(</t>
    </r>
    <r>
      <rPr>
        <rFont val="ＭＳ Ｐゴシック"/>
        <sz val="10.0"/>
      </rPr>
      <t>米倉涼子</t>
    </r>
    <r>
      <rPr>
        <rFont val="Arial"/>
        <sz val="10.0"/>
      </rPr>
      <t>)</t>
    </r>
    <r>
      <rPr>
        <rFont val="ＭＳ Ｐゴシック"/>
        <sz val="10.0"/>
      </rPr>
      <t>が舌がんを発見する。丹下</t>
    </r>
    <r>
      <rPr>
        <rFont val="Arial"/>
        <sz val="10.0"/>
      </rPr>
      <t>(</t>
    </r>
    <r>
      <rPr>
        <rFont val="ＭＳ Ｐゴシック"/>
        <sz val="10.0"/>
      </rPr>
      <t>市村正親</t>
    </r>
    <r>
      <rPr>
        <rFont val="Arial"/>
        <sz val="10.0"/>
      </rPr>
      <t>)</t>
    </r>
    <r>
      <rPr>
        <rFont val="ＭＳ Ｐゴシック"/>
        <sz val="10.0"/>
      </rPr>
      <t>は梅沢を少しでも長く入院させようと、内科部長の浜地</t>
    </r>
    <r>
      <rPr>
        <rFont val="Arial"/>
        <sz val="10.0"/>
      </rPr>
      <t>(</t>
    </r>
    <r>
      <rPr>
        <rFont val="ＭＳ Ｐゴシック"/>
        <sz val="10.0"/>
      </rPr>
      <t>清水ミチコ</t>
    </r>
    <r>
      <rPr>
        <rFont val="Arial"/>
        <sz val="10.0"/>
      </rPr>
      <t>)</t>
    </r>
    <r>
      <rPr>
        <rFont val="ＭＳ Ｐゴシック"/>
        <sz val="10.0"/>
      </rPr>
      <t>による化学療法を選択。担当を外された未知子だが、名医紹介所にやってきた梅沢のある奇妙な点に気づき</t>
    </r>
    <r>
      <rPr>
        <rFont val="Arial"/>
        <sz val="10.0"/>
      </rPr>
      <t>…</t>
    </r>
  </si>
  <si>
    <t>失言を繰り返す大臣・梅沢三郎(角野卓造)が東帝大学病院に「マスコミから匿ってほしい」とやってくる。その頃、蛭間(西田敏行)は不起訴になり病院長に復帰。どこも悪くないはずの梅沢だったが、未知子(米倉涼子)が舌がんを発見する。丹下(市村正親)は梅沢を少しでも長く入院させようと、内科部長の浜地(清水ミチコ)による化学療法を選択。担当を外された未知子だが、名医紹介所にやってきた梅沢のある奇妙な点に気づき…</t>
  </si>
  <si>
    <t>番組名ドクターX～外科医・大門未知子～　#4　テレビ朝日開局60周年記念</t>
  </si>
  <si>
    <r>
      <rPr>
        <rFont val="ＭＳ Ｐゴシック"/>
        <sz val="10.0"/>
      </rPr>
      <t>東帝大学病院に潮</t>
    </r>
    <r>
      <rPr>
        <rFont val="Arial"/>
        <sz val="10.0"/>
      </rPr>
      <t>(</t>
    </r>
    <r>
      <rPr>
        <rFont val="ＭＳ Ｐゴシック"/>
        <sz val="10.0"/>
      </rPr>
      <t>ユースケ・サンタマリア</t>
    </r>
    <r>
      <rPr>
        <rFont val="Arial"/>
        <sz val="10.0"/>
      </rPr>
      <t>)</t>
    </r>
    <r>
      <rPr>
        <rFont val="ＭＳ Ｐゴシック"/>
        <sz val="10.0"/>
      </rPr>
      <t>の母・四糸乃</t>
    </r>
    <r>
      <rPr>
        <rFont val="Arial"/>
        <sz val="10.0"/>
      </rPr>
      <t>(</t>
    </r>
    <r>
      <rPr>
        <rFont val="ＭＳ Ｐゴシック"/>
        <sz val="10.0"/>
      </rPr>
      <t>倍賞美津子</t>
    </r>
    <r>
      <rPr>
        <rFont val="Arial"/>
        <sz val="10.0"/>
      </rPr>
      <t>)</t>
    </r>
    <r>
      <rPr>
        <rFont val="ＭＳ Ｐゴシック"/>
        <sz val="10.0"/>
      </rPr>
      <t>がやってくる。未知子</t>
    </r>
    <r>
      <rPr>
        <rFont val="Arial"/>
        <sz val="10.0"/>
      </rPr>
      <t>(</t>
    </r>
    <r>
      <rPr>
        <rFont val="ＭＳ Ｐゴシック"/>
        <sz val="10.0"/>
      </rPr>
      <t>米倉涼子</t>
    </r>
    <r>
      <rPr>
        <rFont val="Arial"/>
        <sz val="10.0"/>
      </rPr>
      <t>)</t>
    </r>
    <r>
      <rPr>
        <rFont val="ＭＳ Ｐゴシック"/>
        <sz val="10.0"/>
      </rPr>
      <t>はロビーで出会ったにも関わらず、その後医局で初対面のような対応をされ困惑。</t>
    </r>
    <r>
      <rPr>
        <rFont val="Arial"/>
        <sz val="10.0"/>
      </rPr>
      <t>AI</t>
    </r>
    <r>
      <rPr>
        <rFont val="ＭＳ Ｐゴシック"/>
        <sz val="10.0"/>
      </rPr>
      <t>がはじき出した診断は「アルツハイマー型認知症」</t>
    </r>
    <r>
      <rPr>
        <rFont val="Arial"/>
        <sz val="10.0"/>
      </rPr>
      <t>…</t>
    </r>
    <r>
      <rPr>
        <rFont val="ＭＳ Ｐゴシック"/>
        <sz val="10.0"/>
      </rPr>
      <t>。そんな中、陸上</t>
    </r>
    <r>
      <rPr>
        <rFont val="Arial"/>
        <sz val="10.0"/>
      </rPr>
      <t>100m</t>
    </r>
    <r>
      <rPr>
        <rFont val="ＭＳ Ｐゴシック"/>
        <sz val="10.0"/>
      </rPr>
      <t>のスーパースター・四日市清昭</t>
    </r>
    <r>
      <rPr>
        <rFont val="Arial"/>
        <sz val="10.0"/>
      </rPr>
      <t>(</t>
    </r>
    <r>
      <rPr>
        <rFont val="ＭＳ Ｐゴシック"/>
        <sz val="10.0"/>
      </rPr>
      <t>岡田健史</t>
    </r>
    <r>
      <rPr>
        <rFont val="Arial"/>
        <sz val="10.0"/>
      </rPr>
      <t>)</t>
    </r>
    <r>
      <rPr>
        <rFont val="ＭＳ Ｐゴシック"/>
        <sz val="10.0"/>
      </rPr>
      <t>が右足の痛みを訴え極秘入院。膝にガンが見つかるが、「半年で走れるようにならないのなら退院する」と言い放ち</t>
    </r>
    <r>
      <rPr>
        <rFont val="Arial"/>
        <sz val="10.0"/>
      </rPr>
      <t>…</t>
    </r>
  </si>
  <si>
    <t>東帝大学病院に潮(ユースケ・サンタマリア)の母・四糸乃(倍賞美津子)がやってくる。未知子(米倉涼子)はロビーで出会ったにも関わらず、その後医局で初対面のような対応をされ困惑。AIがはじき出した診断は「アルツハイマー型認知症」…。そんな中、陸上100mのスーパースター・四日市清昭(岡田健史)が右足の痛みを訴え極秘入院。膝にガンが見つかるが、「半年で走れるようにならないのなら退院する」と言い放ち…</t>
  </si>
  <si>
    <t>番組名ドクターX～外科医・大門未知子～　#5　テレビ朝日開局60周年記念</t>
  </si>
  <si>
    <r>
      <rPr>
        <rFont val="ＭＳ Ｐゴシック"/>
        <sz val="10.0"/>
      </rPr>
      <t>東帝大学病院長・蛭間</t>
    </r>
    <r>
      <rPr>
        <rFont val="Arial"/>
        <sz val="10.0"/>
      </rPr>
      <t>(</t>
    </r>
    <r>
      <rPr>
        <rFont val="ＭＳ Ｐゴシック"/>
        <sz val="10.0"/>
      </rPr>
      <t>西田敏行</t>
    </r>
    <r>
      <rPr>
        <rFont val="Arial"/>
        <sz val="10.0"/>
      </rPr>
      <t>)</t>
    </r>
    <r>
      <rPr>
        <rFont val="ＭＳ Ｐゴシック"/>
        <sz val="10.0"/>
      </rPr>
      <t>は、日本看護師連合会名誉会長の三原雅恵</t>
    </r>
    <r>
      <rPr>
        <rFont val="Arial"/>
        <sz val="10.0"/>
      </rPr>
      <t>(</t>
    </r>
    <r>
      <rPr>
        <rFont val="ＭＳ Ｐゴシック"/>
        <sz val="10.0"/>
      </rPr>
      <t>岩下志麻</t>
    </r>
    <r>
      <rPr>
        <rFont val="Arial"/>
        <sz val="10.0"/>
      </rPr>
      <t>)</t>
    </r>
    <r>
      <rPr>
        <rFont val="ＭＳ Ｐゴシック"/>
        <sz val="10.0"/>
      </rPr>
      <t>を招き、講演会を開催する。その後、自宅で倒れた雅恵が東帝大学病院に救急搬送されてくる</t>
    </r>
    <r>
      <rPr>
        <rFont val="Arial"/>
        <sz val="10.0"/>
      </rPr>
      <t>!</t>
    </r>
    <r>
      <rPr>
        <rFont val="ＭＳ Ｐゴシック"/>
        <sz val="10.0"/>
      </rPr>
      <t>しかし、なぜか雅恵は検査も治療も拒否。海老名</t>
    </r>
    <r>
      <rPr>
        <rFont val="Arial"/>
        <sz val="10.0"/>
      </rPr>
      <t>(</t>
    </r>
    <r>
      <rPr>
        <rFont val="ＭＳ Ｐゴシック"/>
        <sz val="10.0"/>
      </rPr>
      <t>遠藤憲一</t>
    </r>
    <r>
      <rPr>
        <rFont val="Arial"/>
        <sz val="10.0"/>
      </rPr>
      <t>)</t>
    </r>
    <r>
      <rPr>
        <rFont val="ＭＳ Ｐゴシック"/>
        <sz val="10.0"/>
      </rPr>
      <t>が他病院から入手してきた半年前の</t>
    </r>
    <r>
      <rPr>
        <rFont val="Arial"/>
        <sz val="10.0"/>
      </rPr>
      <t>CT</t>
    </r>
    <r>
      <rPr>
        <rFont val="ＭＳ Ｐゴシック"/>
        <sz val="10.0"/>
      </rPr>
      <t>画像により、ダンベル型神経鞘腫だと判明するが、雅恵は頑なに手術を拒否し続ける</t>
    </r>
    <r>
      <rPr>
        <rFont val="Arial"/>
        <sz val="10.0"/>
      </rPr>
      <t>!</t>
    </r>
    <r>
      <rPr>
        <rFont val="ＭＳ Ｐゴシック"/>
        <sz val="10.0"/>
      </rPr>
      <t>ここまで固い意志を見せるのには、ある衝撃的な理由があり</t>
    </r>
    <r>
      <rPr>
        <rFont val="Arial"/>
        <sz val="10.0"/>
      </rPr>
      <t>…!?</t>
    </r>
  </si>
  <si>
    <t>東帝大学病院長・蛭間(西田敏行)は、日本看護師連合会名誉会長の三原雅恵(岩下志麻)を招き、講演会を開催する。その後、自宅で倒れた雅恵が東帝大学病院に救急搬送されてくる!しかし、なぜか雅恵は検査も治療も拒否。海老名(遠藤憲一)が他病院から入手してきた半年前のCT画像により、ダンベル型神経鞘腫だと判明するが、雅恵は頑なに手術を拒否し続ける!ここまで固い意志を見せるのには、ある衝撃的な理由があり…!?</t>
  </si>
  <si>
    <t>番組名ドクターX～外科医・大門未知子～　#6　テレビ朝日開局60周年記念</t>
  </si>
  <si>
    <r>
      <rPr>
        <rFont val="ＭＳ Ｐゴシック"/>
        <sz val="10.0"/>
      </rPr>
      <t>個人資産</t>
    </r>
    <r>
      <rPr>
        <rFont val="Arial"/>
        <sz val="10.0"/>
      </rPr>
      <t>1000</t>
    </r>
    <r>
      <rPr>
        <rFont val="ＭＳ Ｐゴシック"/>
        <sz val="10.0"/>
      </rPr>
      <t>億円の実業家・六角橋翔太</t>
    </r>
    <r>
      <rPr>
        <rFont val="Arial"/>
        <sz val="10.0"/>
      </rPr>
      <t>(</t>
    </r>
    <r>
      <rPr>
        <rFont val="ＭＳ Ｐゴシック"/>
        <sz val="10.0"/>
      </rPr>
      <t>平岡祐太</t>
    </r>
    <r>
      <rPr>
        <rFont val="Arial"/>
        <sz val="10.0"/>
      </rPr>
      <t>)</t>
    </r>
    <r>
      <rPr>
        <rFont val="ＭＳ Ｐゴシック"/>
        <sz val="10.0"/>
      </rPr>
      <t>が神原名医紹介所を訪れ、</t>
    </r>
    <r>
      <rPr>
        <rFont val="Arial"/>
        <sz val="10.0"/>
      </rPr>
      <t>7</t>
    </r>
    <r>
      <rPr>
        <rFont val="ＭＳ Ｐゴシック"/>
        <sz val="10.0"/>
      </rPr>
      <t>歳の少女・むつみの手術を「お金はいくらでも払うので未知子</t>
    </r>
    <r>
      <rPr>
        <rFont val="Arial"/>
        <sz val="10.0"/>
      </rPr>
      <t>(</t>
    </r>
    <r>
      <rPr>
        <rFont val="ＭＳ Ｐゴシック"/>
        <sz val="10.0"/>
      </rPr>
      <t>米倉涼子</t>
    </r>
    <r>
      <rPr>
        <rFont val="Arial"/>
        <sz val="10.0"/>
      </rPr>
      <t>)</t>
    </r>
    <r>
      <rPr>
        <rFont val="ＭＳ Ｐゴシック"/>
        <sz val="10.0"/>
      </rPr>
      <t>に依頼したい」と言う。その手術中に唐突に術式を変更した未知子を麻酔医の博美</t>
    </r>
    <r>
      <rPr>
        <rFont val="Arial"/>
        <sz val="10.0"/>
      </rPr>
      <t>(</t>
    </r>
    <r>
      <rPr>
        <rFont val="ＭＳ Ｐゴシック"/>
        <sz val="10.0"/>
      </rPr>
      <t>内田有紀</t>
    </r>
    <r>
      <rPr>
        <rFont val="Arial"/>
        <sz val="10.0"/>
      </rPr>
      <t>)</t>
    </r>
    <r>
      <rPr>
        <rFont val="ＭＳ Ｐゴシック"/>
        <sz val="10.0"/>
      </rPr>
      <t>は強く非難し、二人の間にこれまでにない不穏な空気が流れる。その頃、六角橋が肝細胞がんであることが判明。麻酔医に指名された博美は、なんと海老名</t>
    </r>
    <r>
      <rPr>
        <rFont val="Arial"/>
        <sz val="10.0"/>
      </rPr>
      <t>(</t>
    </r>
    <r>
      <rPr>
        <rFont val="ＭＳ Ｐゴシック"/>
        <sz val="10.0"/>
      </rPr>
      <t>遠藤憲一</t>
    </r>
    <r>
      <rPr>
        <rFont val="Arial"/>
        <sz val="10.0"/>
      </rPr>
      <t>)</t>
    </r>
    <r>
      <rPr>
        <rFont val="ＭＳ Ｐゴシック"/>
        <sz val="10.0"/>
      </rPr>
      <t>を執刀医に選び</t>
    </r>
    <r>
      <rPr>
        <rFont val="Arial"/>
        <sz val="10.0"/>
      </rPr>
      <t>…</t>
    </r>
  </si>
  <si>
    <t>個人資産1000億円の実業家・六角橋翔太(平岡祐太)が神原名医紹介所を訪れ、7歳の少女・むつみの手術を「お金はいくらでも払うので未知子(米倉涼子)に依頼したい」と言う。その手術中に唐突に術式を変更した未知子を麻酔医の博美(内田有紀)は強く非難し、二人の間にこれまでにない不穏な空気が流れる。その頃、六角橋が肝細胞がんであることが判明。麻酔医に指名された博美は、なんと海老名(遠藤憲一)を執刀医に選び…</t>
  </si>
  <si>
    <t>番組名ドクターX～外科医・大門未知子～　#7　テレビ朝日開局60周年記念</t>
  </si>
  <si>
    <r>
      <rPr>
        <rFont val="ＭＳ Ｐゴシック"/>
        <sz val="10.0"/>
      </rPr>
      <t>世界的銀行家のセブン・ゴールドバーグが東帝大学病院にやってくる。未知子</t>
    </r>
    <r>
      <rPr>
        <rFont val="Arial"/>
        <sz val="10.0"/>
      </rPr>
      <t>(</t>
    </r>
    <r>
      <rPr>
        <rFont val="ＭＳ Ｐゴシック"/>
        <sz val="10.0"/>
      </rPr>
      <t>米倉涼子</t>
    </r>
    <r>
      <rPr>
        <rFont val="Arial"/>
        <sz val="10.0"/>
      </rPr>
      <t>)</t>
    </r>
    <r>
      <rPr>
        <rFont val="ＭＳ Ｐゴシック"/>
        <sz val="10.0"/>
      </rPr>
      <t>を頼り、最先端の植毛を依頼しに来たのだ。しかし、その後セブンが胃がんのステージ</t>
    </r>
    <r>
      <rPr>
        <rFont val="Arial"/>
        <sz val="10.0"/>
      </rPr>
      <t>IB</t>
    </r>
    <r>
      <rPr>
        <rFont val="ＭＳ Ｐゴシック"/>
        <sz val="10.0"/>
      </rPr>
      <t>であることが判明。失礼な言葉を浴びせられ激怒したセブンは、未知子の手術を拒絶。加地</t>
    </r>
    <r>
      <rPr>
        <rFont val="Arial"/>
        <sz val="10.0"/>
      </rPr>
      <t>(</t>
    </r>
    <r>
      <rPr>
        <rFont val="ＭＳ Ｐゴシック"/>
        <sz val="10.0"/>
      </rPr>
      <t>勝村政信</t>
    </r>
    <r>
      <rPr>
        <rFont val="Arial"/>
        <sz val="10.0"/>
      </rPr>
      <t>)</t>
    </r>
    <r>
      <rPr>
        <rFont val="ＭＳ Ｐゴシック"/>
        <sz val="10.0"/>
      </rPr>
      <t>による腹腔鏡下手術が決定する。だが加地は英語による問診で重大なヒアリングミスをしてしまう</t>
    </r>
    <r>
      <rPr>
        <rFont val="Arial"/>
        <sz val="10.0"/>
      </rPr>
      <t>!</t>
    </r>
    <r>
      <rPr>
        <rFont val="ＭＳ Ｐゴシック"/>
        <sz val="10.0"/>
      </rPr>
      <t>問診での行き違いを解消できないまま手術が始まるが</t>
    </r>
    <r>
      <rPr>
        <rFont val="Arial"/>
        <sz val="10.0"/>
      </rPr>
      <t>…?</t>
    </r>
  </si>
  <si>
    <t>世界的銀行家のセブン・ゴールドバーグが東帝大学病院にやってくる。未知子(米倉涼子)を頼り、最先端の植毛を依頼しに来たのだ。しかし、その後セブンが胃がんのステージIBであることが判明。失礼な言葉を浴びせられ激怒したセブンは、未知子の手術を拒絶。加地(勝村政信)による腹腔鏡下手術が決定する。だが加地は英語による問診で重大なヒアリングミスをしてしまう!問診での行き違いを解消できないまま手術が始まるが…?</t>
  </si>
  <si>
    <t>番組名ドクターX～外科医・大門未知子～　#8　テレビ朝日開局60周年記念</t>
  </si>
  <si>
    <r>
      <rPr>
        <rFont val="ＭＳ Ｐゴシック"/>
        <sz val="10.0"/>
      </rPr>
      <t>東帝大学病院に中山麻里亜</t>
    </r>
    <r>
      <rPr>
        <rFont val="Arial"/>
        <sz val="10.0"/>
      </rPr>
      <t>(</t>
    </r>
    <r>
      <rPr>
        <rFont val="ＭＳ Ｐゴシック"/>
        <sz val="10.0"/>
      </rPr>
      <t>松本まりか</t>
    </r>
    <r>
      <rPr>
        <rFont val="Arial"/>
        <sz val="10.0"/>
      </rPr>
      <t>)</t>
    </r>
    <r>
      <rPr>
        <rFont val="ＭＳ Ｐゴシック"/>
        <sz val="10.0"/>
      </rPr>
      <t>という医師が現れる。</t>
    </r>
    <r>
      <rPr>
        <rFont val="Arial"/>
        <sz val="10.0"/>
      </rPr>
      <t>“</t>
    </r>
    <r>
      <rPr>
        <rFont val="ＭＳ Ｐゴシック"/>
        <sz val="10.0"/>
      </rPr>
      <t>失敗しないプリンセス</t>
    </r>
    <r>
      <rPr>
        <rFont val="Arial"/>
        <sz val="10.0"/>
      </rPr>
      <t>"</t>
    </r>
    <r>
      <rPr>
        <rFont val="ＭＳ Ｐゴシック"/>
        <sz val="10.0"/>
      </rPr>
      <t>と称された優秀な外科医である上、</t>
    </r>
    <r>
      <rPr>
        <rFont val="Arial"/>
        <sz val="10.0"/>
      </rPr>
      <t>“</t>
    </r>
    <r>
      <rPr>
        <rFont val="ＭＳ Ｐゴシック"/>
        <sz val="10.0"/>
      </rPr>
      <t>元ミス東帝大</t>
    </r>
    <r>
      <rPr>
        <rFont val="Arial"/>
        <sz val="10.0"/>
      </rPr>
      <t>"</t>
    </r>
    <r>
      <rPr>
        <rFont val="ＭＳ Ｐゴシック"/>
        <sz val="10.0"/>
      </rPr>
      <t>でもある麻里亜に、男性医師たちはすっかり骨抜き状態。そんな中、次期総理候補と言われる政界のプリンス・八村正義</t>
    </r>
    <r>
      <rPr>
        <rFont val="Arial"/>
        <sz val="10.0"/>
      </rPr>
      <t>(</t>
    </r>
    <r>
      <rPr>
        <rFont val="ＭＳ Ｐゴシック"/>
        <sz val="10.0"/>
      </rPr>
      <t>竹財輝之助</t>
    </r>
    <r>
      <rPr>
        <rFont val="Arial"/>
        <sz val="10.0"/>
      </rPr>
      <t>)</t>
    </r>
    <r>
      <rPr>
        <rFont val="ＭＳ Ｐゴシック"/>
        <sz val="10.0"/>
      </rPr>
      <t>が入院してくる。虚血性心筋症を患う八村に、未知子</t>
    </r>
    <r>
      <rPr>
        <rFont val="Arial"/>
        <sz val="10.0"/>
      </rPr>
      <t>(</t>
    </r>
    <r>
      <rPr>
        <rFont val="ＭＳ Ｐゴシック"/>
        <sz val="10.0"/>
      </rPr>
      <t>米倉涼子</t>
    </r>
    <r>
      <rPr>
        <rFont val="Arial"/>
        <sz val="10.0"/>
      </rPr>
      <t>)</t>
    </r>
    <r>
      <rPr>
        <rFont val="ＭＳ Ｐゴシック"/>
        <sz val="10.0"/>
      </rPr>
      <t>は人工心肺を使った術式を提案。だが、麻里亜は「令和の時代に古すぎる」と反対意見を表明し</t>
    </r>
    <r>
      <rPr>
        <rFont val="Arial"/>
        <sz val="10.0"/>
      </rPr>
      <t>…</t>
    </r>
  </si>
  <si>
    <t>東帝大学病院に中山麻里亜(松本まりか)という医師が現れる。“失敗しないプリンセス"と称された優秀な外科医である上、“元ミス東帝大"でもある麻里亜に、男性医師たちはすっかり骨抜き状態。そんな中、次期総理候補と言われる政界のプリンス・八村正義(竹財輝之助)が入院してくる。虚血性心筋症を患う八村に、未知子(米倉涼子)は人工心肺を使った術式を提案。だが、麻里亜は「令和の時代に古すぎる」と反対意見を表明し…</t>
  </si>
  <si>
    <t>番組名ドクターX～外科医・大門未知子～　#9　テレビ朝日開局60周年記念</t>
  </si>
  <si>
    <r>
      <rPr>
        <rFont val="ＭＳ Ｐゴシック"/>
        <sz val="10.0"/>
      </rPr>
      <t>日本が誇るロックスター</t>
    </r>
    <r>
      <rPr>
        <rFont val="Arial"/>
        <sz val="10.0"/>
      </rPr>
      <t>“</t>
    </r>
    <r>
      <rPr>
        <rFont val="ＭＳ Ｐゴシック"/>
        <sz val="10.0"/>
      </rPr>
      <t>勇チャン</t>
    </r>
    <r>
      <rPr>
        <rFont val="Arial"/>
        <sz val="10.0"/>
      </rPr>
      <t>"</t>
    </r>
    <r>
      <rPr>
        <rFont val="ＭＳ Ｐゴシック"/>
        <sz val="10.0"/>
      </rPr>
      <t>こと、九藤勇次</t>
    </r>
    <r>
      <rPr>
        <rFont val="Arial"/>
        <sz val="10.0"/>
      </rPr>
      <t>(</t>
    </r>
    <r>
      <rPr>
        <rFont val="ＭＳ Ｐゴシック"/>
        <sz val="10.0"/>
      </rPr>
      <t>宇崎竜童</t>
    </r>
    <r>
      <rPr>
        <rFont val="Arial"/>
        <sz val="10.0"/>
      </rPr>
      <t>)</t>
    </r>
    <r>
      <rPr>
        <rFont val="ＭＳ Ｐゴシック"/>
        <sz val="10.0"/>
      </rPr>
      <t>が東帝大学病院に入院する。九藤の大ファンである原守</t>
    </r>
    <r>
      <rPr>
        <rFont val="Arial"/>
        <sz val="10.0"/>
      </rPr>
      <t>(</t>
    </r>
    <r>
      <rPr>
        <rFont val="ＭＳ Ｐゴシック"/>
        <sz val="10.0"/>
      </rPr>
      <t>鈴木浩介</t>
    </r>
    <r>
      <rPr>
        <rFont val="Arial"/>
        <sz val="10.0"/>
      </rPr>
      <t>)</t>
    </r>
    <r>
      <rPr>
        <rFont val="ＭＳ Ｐゴシック"/>
        <sz val="10.0"/>
      </rPr>
      <t>は、主治医を任され有頂天に</t>
    </r>
    <r>
      <rPr>
        <rFont val="Arial"/>
        <sz val="10.0"/>
      </rPr>
      <t>!</t>
    </r>
    <r>
      <rPr>
        <rFont val="ＭＳ Ｐゴシック"/>
        <sz val="10.0"/>
      </rPr>
      <t>派手なことを好む九藤は記者会見を開くも、会見中に昏倒してしまう。検査の結果、後腹膜肉腫ステージ</t>
    </r>
    <r>
      <rPr>
        <rFont val="Arial"/>
        <sz val="10.0"/>
      </rPr>
      <t>III</t>
    </r>
    <r>
      <rPr>
        <rFont val="ＭＳ Ｐゴシック"/>
        <sz val="10.0"/>
      </rPr>
      <t>が判明</t>
    </r>
    <r>
      <rPr>
        <rFont val="Arial"/>
        <sz val="10.0"/>
      </rPr>
      <t>!</t>
    </r>
    <r>
      <rPr>
        <rFont val="ＭＳ Ｐゴシック"/>
        <sz val="10.0"/>
      </rPr>
      <t>過去に同じ病に侵された未知子は、「自分のときよりも腫瘍が大きく、厳しいオペになる</t>
    </r>
    <r>
      <rPr>
        <rFont val="Arial"/>
        <sz val="10.0"/>
      </rPr>
      <t>…</t>
    </r>
    <r>
      <rPr>
        <rFont val="ＭＳ Ｐゴシック"/>
        <sz val="10.0"/>
      </rPr>
      <t>」と逡巡する。その矢先、九藤が病室から姿を消してしまい</t>
    </r>
    <r>
      <rPr>
        <rFont val="Arial"/>
        <sz val="10.0"/>
      </rPr>
      <t>…</t>
    </r>
  </si>
  <si>
    <t>日本が誇るロックスター“勇チャン"こと、九藤勇次(宇崎竜童)が東帝大学病院に入院する。九藤の大ファンである原守(鈴木浩介)は、主治医を任され有頂天に!派手なことを好む九藤は記者会見を開くも、会見中に昏倒してしまう。検査の結果、後腹膜肉腫ステージIIIが判明!過去に同じ病に侵された未知子は、「自分のときよりも腫瘍が大きく、厳しいオペになる…」と逡巡する。その矢先、九藤が病室から姿を消してしまい…</t>
  </si>
  <si>
    <t>番組名ドクターX～外科医・大門未知子～　最終回!!　テレビ朝日開局60周年記念</t>
  </si>
  <si>
    <r>
      <rPr>
        <rFont val="ＭＳ Ｐゴシック"/>
        <sz val="10.0"/>
      </rPr>
      <t>修正大血管転位症という先天性の心疾患があることが判明したニコラス丹下</t>
    </r>
    <r>
      <rPr>
        <rFont val="Arial"/>
        <sz val="10.0"/>
      </rPr>
      <t>(</t>
    </r>
    <r>
      <rPr>
        <rFont val="ＭＳ Ｐゴシック"/>
        <sz val="10.0"/>
      </rPr>
      <t>市村正親</t>
    </r>
    <r>
      <rPr>
        <rFont val="Arial"/>
        <sz val="10.0"/>
      </rPr>
      <t>)</t>
    </r>
    <r>
      <rPr>
        <rFont val="ＭＳ Ｐゴシック"/>
        <sz val="10.0"/>
      </rPr>
      <t>は、一切の治療を拒否。以前に未知子</t>
    </r>
    <r>
      <rPr>
        <rFont val="Arial"/>
        <sz val="10.0"/>
      </rPr>
      <t>(</t>
    </r>
    <r>
      <rPr>
        <rFont val="ＭＳ Ｐゴシック"/>
        <sz val="10.0"/>
      </rPr>
      <t>米倉涼子</t>
    </r>
    <r>
      <rPr>
        <rFont val="Arial"/>
        <sz val="10.0"/>
      </rPr>
      <t>)</t>
    </r>
    <r>
      <rPr>
        <rFont val="ＭＳ Ｐゴシック"/>
        <sz val="10.0"/>
      </rPr>
      <t>に命を救われた一子</t>
    </r>
    <r>
      <rPr>
        <rFont val="Arial"/>
        <sz val="10.0"/>
      </rPr>
      <t>(</t>
    </r>
    <r>
      <rPr>
        <rFont val="ＭＳ Ｐゴシック"/>
        <sz val="10.0"/>
      </rPr>
      <t>松坂慶子</t>
    </r>
    <r>
      <rPr>
        <rFont val="Arial"/>
        <sz val="10.0"/>
      </rPr>
      <t>)</t>
    </r>
    <r>
      <rPr>
        <rFont val="ＭＳ Ｐゴシック"/>
        <sz val="10.0"/>
      </rPr>
      <t>が説得するため拘置所を訪問するも、その目の前で意識を失い倒れてしまう</t>
    </r>
    <r>
      <rPr>
        <rFont val="Arial"/>
        <sz val="10.0"/>
      </rPr>
      <t>!</t>
    </r>
    <r>
      <rPr>
        <rFont val="ＭＳ Ｐゴシック"/>
        <sz val="10.0"/>
      </rPr>
      <t>丹下はようやく手術を承諾するが、蛭間院長</t>
    </r>
    <r>
      <rPr>
        <rFont val="Arial"/>
        <sz val="10.0"/>
      </rPr>
      <t>(</t>
    </r>
    <r>
      <rPr>
        <rFont val="ＭＳ Ｐゴシック"/>
        <sz val="10.0"/>
      </rPr>
      <t>西田敏行</t>
    </r>
    <r>
      <rPr>
        <rFont val="Arial"/>
        <sz val="10.0"/>
      </rPr>
      <t>)</t>
    </r>
    <r>
      <rPr>
        <rFont val="ＭＳ Ｐゴシック"/>
        <sz val="10.0"/>
      </rPr>
      <t>をはじめとした上層部は「手術は不可能」と判断し、阻止しようと企む。一方、海老名</t>
    </r>
    <r>
      <rPr>
        <rFont val="Arial"/>
        <sz val="10.0"/>
      </rPr>
      <t>(</t>
    </r>
    <r>
      <rPr>
        <rFont val="ＭＳ Ｐゴシック"/>
        <sz val="10.0"/>
      </rPr>
      <t>遠藤憲一</t>
    </r>
    <r>
      <rPr>
        <rFont val="Arial"/>
        <sz val="10.0"/>
      </rPr>
      <t>)</t>
    </r>
    <r>
      <rPr>
        <rFont val="ＭＳ Ｐゴシック"/>
        <sz val="10.0"/>
      </rPr>
      <t>は自分がガンであることを告白し</t>
    </r>
    <r>
      <rPr>
        <rFont val="Arial"/>
        <sz val="10.0"/>
      </rPr>
      <t>…</t>
    </r>
  </si>
  <si>
    <t>修正大血管転位症という先天性の心疾患があることが判明したニコラス丹下(市村正親)は、一切の治療を拒否。以前に未知子(米倉涼子)に命を救われた一子(松坂慶子)が説得するため拘置所を訪問するも、その目の前で意識を失い倒れてしまう!丹下はようやく手術を承諾するが、蛭間院長(西田敏行)をはじめとした上層部は「手術は不可能」と判断し、阻止しようと企む。一方、海老名(遠藤憲一)は自分がガンであることを告白し…</t>
  </si>
  <si>
    <t>1910_EX_金23</t>
  </si>
  <si>
    <t>時効警察はじめました</t>
  </si>
  <si>
    <t>番組名時効警察はじめました　#1</t>
  </si>
  <si>
    <r>
      <rPr>
        <rFont val="ＭＳ Ｐゴシック"/>
        <sz val="10.0"/>
      </rPr>
      <t>霧山修一朗</t>
    </r>
    <r>
      <rPr>
        <rFont val="Arial"/>
        <sz val="10.0"/>
      </rPr>
      <t>(</t>
    </r>
    <r>
      <rPr>
        <rFont val="ＭＳ Ｐゴシック"/>
        <sz val="10.0"/>
      </rPr>
      <t>オダギリジョー</t>
    </r>
    <r>
      <rPr>
        <rFont val="Arial"/>
        <sz val="10.0"/>
      </rPr>
      <t>)</t>
    </r>
    <r>
      <rPr>
        <rFont val="ＭＳ Ｐゴシック"/>
        <sz val="10.0"/>
      </rPr>
      <t>はある日、冷蔵庫に入れっぱなしになっていた遺留品の箱を預かる。それは凍死体で見つかった「総武のウタマロ」と呼ばれた男・要玲蔵</t>
    </r>
    <r>
      <rPr>
        <rFont val="Arial"/>
        <sz val="10.0"/>
      </rPr>
      <t>(</t>
    </r>
    <r>
      <rPr>
        <rFont val="ＭＳ Ｐゴシック"/>
        <sz val="10.0"/>
      </rPr>
      <t>村松利史</t>
    </r>
    <r>
      <rPr>
        <rFont val="Arial"/>
        <sz val="10.0"/>
      </rPr>
      <t>)</t>
    </r>
    <r>
      <rPr>
        <rFont val="ＭＳ Ｐゴシック"/>
        <sz val="10.0"/>
      </rPr>
      <t>のものだった。要玲蔵の死にまつわる時効事件を調べることにした霧山は、助手の三日月しずか</t>
    </r>
    <r>
      <rPr>
        <rFont val="Arial"/>
        <sz val="10.0"/>
      </rPr>
      <t>(</t>
    </r>
    <r>
      <rPr>
        <rFont val="ＭＳ Ｐゴシック"/>
        <sz val="10.0"/>
      </rPr>
      <t>麻生久美子</t>
    </r>
    <r>
      <rPr>
        <rFont val="Arial"/>
        <sz val="10.0"/>
      </rPr>
      <t>)</t>
    </r>
    <r>
      <rPr>
        <rFont val="ＭＳ Ｐゴシック"/>
        <sz val="10.0"/>
      </rPr>
      <t>と刑事課の新人刑事・彩雲真空</t>
    </r>
    <r>
      <rPr>
        <rFont val="Arial"/>
        <sz val="10.0"/>
      </rPr>
      <t>(</t>
    </r>
    <r>
      <rPr>
        <rFont val="ＭＳ Ｐゴシック"/>
        <sz val="10.0"/>
      </rPr>
      <t>吉岡里帆</t>
    </r>
    <r>
      <rPr>
        <rFont val="Arial"/>
        <sz val="10.0"/>
      </rPr>
      <t>)</t>
    </r>
    <r>
      <rPr>
        <rFont val="ＭＳ Ｐゴシック"/>
        <sz val="10.0"/>
      </rPr>
      <t>と共にウタマロの妻でもあり新興宗教「阿修羅の水」</t>
    </r>
    <r>
      <rPr>
        <rFont val="Arial"/>
        <sz val="10.0"/>
      </rPr>
      <t>2</t>
    </r>
    <r>
      <rPr>
        <rFont val="ＭＳ Ｐゴシック"/>
        <sz val="10.0"/>
      </rPr>
      <t>代目教祖・神沼美沙子</t>
    </r>
    <r>
      <rPr>
        <rFont val="Arial"/>
        <sz val="10.0"/>
      </rPr>
      <t>(</t>
    </r>
    <r>
      <rPr>
        <rFont val="ＭＳ Ｐゴシック"/>
        <sz val="10.0"/>
      </rPr>
      <t>小雪</t>
    </r>
    <r>
      <rPr>
        <rFont val="Arial"/>
        <sz val="10.0"/>
      </rPr>
      <t>)</t>
    </r>
    <r>
      <rPr>
        <rFont val="ＭＳ Ｐゴシック"/>
        <sz val="10.0"/>
      </rPr>
      <t>のもとを訪れるが</t>
    </r>
    <r>
      <rPr>
        <rFont val="Arial"/>
        <sz val="10.0"/>
      </rPr>
      <t>…</t>
    </r>
  </si>
  <si>
    <t>霧山修一朗(オダギリジョー)はある日、冷蔵庫に入れっぱなしになっていた遺留品の箱を預かる。それは凍死体で見つかった「総武のウタマロ」と呼ばれた男・要玲蔵(村松利史)のものだった。要玲蔵の死にまつわる時効事件を調べることにした霧山は、助手の三日月しずか(麻生久美子)と刑事課の新人刑事・彩雲真空(吉岡里帆)と共にウタマロの妻でもあり新興宗教「阿修羅の水」2代目教祖・神沼美沙子(小雪)のもとを訪れるが…</t>
  </si>
  <si>
    <t>番組名時効警察はじめました　#2</t>
  </si>
  <si>
    <r>
      <rPr>
        <rFont val="ＭＳ Ｐゴシック"/>
        <sz val="10.0"/>
      </rPr>
      <t>アイドル的人気を博すミステリー作家・日下部秋斗</t>
    </r>
    <r>
      <rPr>
        <rFont val="Arial"/>
        <sz val="10.0"/>
      </rPr>
      <t>(</t>
    </r>
    <r>
      <rPr>
        <rFont val="ＭＳ Ｐゴシック"/>
        <sz val="10.0"/>
      </rPr>
      <t>向井理</t>
    </r>
    <r>
      <rPr>
        <rFont val="Arial"/>
        <sz val="10.0"/>
      </rPr>
      <t>)</t>
    </r>
    <r>
      <rPr>
        <rFont val="ＭＳ Ｐゴシック"/>
        <sz val="10.0"/>
      </rPr>
      <t>。彼には、時効になった事件を</t>
    </r>
    <r>
      <rPr>
        <rFont val="Arial"/>
        <sz val="10.0"/>
      </rPr>
      <t>“</t>
    </r>
    <r>
      <rPr>
        <rFont val="ＭＳ Ｐゴシック"/>
        <sz val="10.0"/>
      </rPr>
      <t>趣味</t>
    </r>
    <r>
      <rPr>
        <rFont val="Arial"/>
        <sz val="10.0"/>
      </rPr>
      <t>"</t>
    </r>
    <r>
      <rPr>
        <rFont val="ＭＳ Ｐゴシック"/>
        <sz val="10.0"/>
      </rPr>
      <t>で捜査する男・霧山修一朗</t>
    </r>
    <r>
      <rPr>
        <rFont val="Arial"/>
        <sz val="10.0"/>
      </rPr>
      <t>(</t>
    </r>
    <r>
      <rPr>
        <rFont val="ＭＳ Ｐゴシック"/>
        <sz val="10.0"/>
      </rPr>
      <t>オダギリジョー</t>
    </r>
    <r>
      <rPr>
        <rFont val="Arial"/>
        <sz val="10.0"/>
      </rPr>
      <t>)</t>
    </r>
    <r>
      <rPr>
        <rFont val="ＭＳ Ｐゴシック"/>
        <sz val="10.0"/>
      </rPr>
      <t>が興味を抱く過去が。秋斗の父で、有名ミステリー作家だった日下部光晴</t>
    </r>
    <r>
      <rPr>
        <rFont val="Arial"/>
        <sz val="10.0"/>
      </rPr>
      <t>(</t>
    </r>
    <r>
      <rPr>
        <rFont val="ＭＳ Ｐゴシック"/>
        <sz val="10.0"/>
      </rPr>
      <t>古舘寛治</t>
    </r>
    <r>
      <rPr>
        <rFont val="Arial"/>
        <sz val="10.0"/>
      </rPr>
      <t>)</t>
    </r>
    <r>
      <rPr>
        <rFont val="ＭＳ Ｐゴシック"/>
        <sz val="10.0"/>
      </rPr>
      <t>は</t>
    </r>
    <r>
      <rPr>
        <rFont val="Arial"/>
        <sz val="10.0"/>
      </rPr>
      <t>25</t>
    </r>
    <r>
      <rPr>
        <rFont val="ＭＳ Ｐゴシック"/>
        <sz val="10.0"/>
      </rPr>
      <t>年前、密室殺人事件で死亡していたのだ。しかし、犯人は見つからず事件は時効を迎えていた。この事件を調べることにした霧山は、助手の三日月しずか</t>
    </r>
    <r>
      <rPr>
        <rFont val="Arial"/>
        <sz val="10.0"/>
      </rPr>
      <t>(</t>
    </r>
    <r>
      <rPr>
        <rFont val="ＭＳ Ｐゴシック"/>
        <sz val="10.0"/>
      </rPr>
      <t>麻生久美子</t>
    </r>
    <r>
      <rPr>
        <rFont val="Arial"/>
        <sz val="10.0"/>
      </rPr>
      <t>)</t>
    </r>
    <r>
      <rPr>
        <rFont val="ＭＳ Ｐゴシック"/>
        <sz val="10.0"/>
      </rPr>
      <t>と秋斗のもとを訪ねるが</t>
    </r>
    <r>
      <rPr>
        <rFont val="Arial"/>
        <sz val="10.0"/>
      </rPr>
      <t>…</t>
    </r>
  </si>
  <si>
    <t>アイドル的人気を博すミステリー作家・日下部秋斗(向井理)。彼には、時効になった事件を“趣味"で捜査する男・霧山修一朗(オダギリジョー)が興味を抱く過去が。秋斗の父で、有名ミステリー作家だった日下部光晴(古舘寛治)は25年前、密室殺人事件で死亡していたのだ。しかし、犯人は見つからず事件は時効を迎えていた。この事件を調べることにした霧山は、助手の三日月しずか(麻生久美子)と秋斗のもとを訪ねるが…</t>
  </si>
  <si>
    <t>番組名時効警察はじめました　#3</t>
  </si>
  <si>
    <r>
      <rPr>
        <rFont val="ＭＳ Ｐゴシック"/>
        <sz val="10.0"/>
      </rPr>
      <t>霧山修一朗</t>
    </r>
    <r>
      <rPr>
        <rFont val="Arial"/>
        <sz val="10.0"/>
      </rPr>
      <t>(</t>
    </r>
    <r>
      <rPr>
        <rFont val="ＭＳ Ｐゴシック"/>
        <sz val="10.0"/>
      </rPr>
      <t>オダギリジョー</t>
    </r>
    <r>
      <rPr>
        <rFont val="Arial"/>
        <sz val="10.0"/>
      </rPr>
      <t>)</t>
    </r>
    <r>
      <rPr>
        <rFont val="ＭＳ Ｐゴシック"/>
        <sz val="10.0"/>
      </rPr>
      <t>はある日、凄腕婚活アドバイザー・琴吹町子</t>
    </r>
    <r>
      <rPr>
        <rFont val="Arial"/>
        <sz val="10.0"/>
      </rPr>
      <t>(</t>
    </r>
    <r>
      <rPr>
        <rFont val="ＭＳ Ｐゴシック"/>
        <sz val="10.0"/>
      </rPr>
      <t>中山美穂</t>
    </r>
    <r>
      <rPr>
        <rFont val="Arial"/>
        <sz val="10.0"/>
      </rPr>
      <t>)</t>
    </r>
    <r>
      <rPr>
        <rFont val="ＭＳ Ｐゴシック"/>
        <sz val="10.0"/>
      </rPr>
      <t>に関する話に興味を抱く。町子が講師を務める婚活セミナーのプレミアム会員は、ほぼ全員が結婚。結婚できなかったのは時効事件で殺された女性だけらしい</t>
    </r>
    <r>
      <rPr>
        <rFont val="Arial"/>
        <sz val="10.0"/>
      </rPr>
      <t>!</t>
    </r>
    <r>
      <rPr>
        <rFont val="ＭＳ Ｐゴシック"/>
        <sz val="10.0"/>
      </rPr>
      <t>その女性とは、町子の夫・城崎公彦</t>
    </r>
    <r>
      <rPr>
        <rFont val="Arial"/>
        <sz val="10.0"/>
      </rPr>
      <t>(</t>
    </r>
    <r>
      <rPr>
        <rFont val="ＭＳ Ｐゴシック"/>
        <sz val="10.0"/>
      </rPr>
      <t>別所哲也</t>
    </r>
    <r>
      <rPr>
        <rFont val="Arial"/>
        <sz val="10.0"/>
      </rPr>
      <t>)</t>
    </r>
    <r>
      <rPr>
        <rFont val="ＭＳ Ｐゴシック"/>
        <sz val="10.0"/>
      </rPr>
      <t>の当時の婚約者・後藤紗良</t>
    </r>
    <r>
      <rPr>
        <rFont val="Arial"/>
        <sz val="10.0"/>
      </rPr>
      <t>(</t>
    </r>
    <r>
      <rPr>
        <rFont val="ＭＳ Ｐゴシック"/>
        <sz val="10.0"/>
      </rPr>
      <t>安藤聖</t>
    </r>
    <r>
      <rPr>
        <rFont val="Arial"/>
        <sz val="10.0"/>
      </rPr>
      <t>)</t>
    </r>
    <r>
      <rPr>
        <rFont val="ＭＳ Ｐゴシック"/>
        <sz val="10.0"/>
      </rPr>
      <t>。</t>
    </r>
    <r>
      <rPr>
        <rFont val="Arial"/>
        <sz val="10.0"/>
      </rPr>
      <t>“</t>
    </r>
    <r>
      <rPr>
        <rFont val="ＭＳ Ｐゴシック"/>
        <sz val="10.0"/>
      </rPr>
      <t>アリバイ証言者と被疑者の結婚</t>
    </r>
    <r>
      <rPr>
        <rFont val="Arial"/>
        <sz val="10.0"/>
      </rPr>
      <t>"</t>
    </r>
    <r>
      <rPr>
        <rFont val="ＭＳ Ｐゴシック"/>
        <sz val="10.0"/>
      </rPr>
      <t>という事実に引っかかった霧山は町子から話を聞くためセミナーへ</t>
    </r>
    <r>
      <rPr>
        <rFont val="Arial"/>
        <sz val="10.0"/>
      </rPr>
      <t>…</t>
    </r>
    <r>
      <rPr>
        <rFont val="ＭＳ Ｐゴシック"/>
        <sz val="10.0"/>
      </rPr>
      <t>。</t>
    </r>
  </si>
  <si>
    <t>霧山修一朗(オダギリジョー)はある日、凄腕婚活アドバイザー・琴吹町子(中山美穂)に関する話に興味を抱く。町子が講師を務める婚活セミナーのプレミアム会員は、ほぼ全員が結婚。結婚できなかったのは時効事件で殺された女性だけらしい!その女性とは、町子の夫・城崎公彦(別所哲也)の当時の婚約者・後藤紗良(安藤聖)。“アリバイ証言者と被疑者の結婚"という事実に引っかかった霧山は町子から話を聞くためセミナーへ…。</t>
  </si>
  <si>
    <t>番組名時効警察はじめました　#4</t>
  </si>
  <si>
    <r>
      <rPr>
        <rFont val="ＭＳ Ｐゴシック"/>
        <sz val="10.0"/>
      </rPr>
      <t>長回し</t>
    </r>
    <r>
      <rPr>
        <rFont val="Arial"/>
        <sz val="10.0"/>
      </rPr>
      <t>1</t>
    </r>
    <r>
      <rPr>
        <rFont val="ＭＳ Ｐゴシック"/>
        <sz val="10.0"/>
      </rPr>
      <t>カットの異色ゾンビ映画『ロマンティックを止めるな』が、</t>
    </r>
    <r>
      <rPr>
        <rFont val="Arial"/>
        <sz val="10.0"/>
      </rPr>
      <t>25</t>
    </r>
    <r>
      <rPr>
        <rFont val="ＭＳ Ｐゴシック"/>
        <sz val="10.0"/>
      </rPr>
      <t>年ぶりにリメイクされることに</t>
    </r>
    <r>
      <rPr>
        <rFont val="Arial"/>
        <sz val="10.0"/>
      </rPr>
      <t>!</t>
    </r>
    <r>
      <rPr>
        <rFont val="ＭＳ Ｐゴシック"/>
        <sz val="10.0"/>
      </rPr>
      <t>しかし、この映画は曰くつきだった。元祖『ロマ止め』撮影中に監督・唐沢浩一郎</t>
    </r>
    <r>
      <rPr>
        <rFont val="Arial"/>
        <sz val="10.0"/>
      </rPr>
      <t>(</t>
    </r>
    <r>
      <rPr>
        <rFont val="ＭＳ Ｐゴシック"/>
        <sz val="10.0"/>
      </rPr>
      <t>津田寛治</t>
    </r>
    <r>
      <rPr>
        <rFont val="Arial"/>
        <sz val="10.0"/>
      </rPr>
      <t>)</t>
    </r>
    <r>
      <rPr>
        <rFont val="ＭＳ Ｐゴシック"/>
        <sz val="10.0"/>
      </rPr>
      <t>が殺されたのだ。時効を迎えたこの事件に興味を持った霧山修一朗</t>
    </r>
    <r>
      <rPr>
        <rFont val="Arial"/>
        <sz val="10.0"/>
      </rPr>
      <t>(</t>
    </r>
    <r>
      <rPr>
        <rFont val="ＭＳ Ｐゴシック"/>
        <sz val="10.0"/>
      </rPr>
      <t>オダギリジョー</t>
    </r>
    <r>
      <rPr>
        <rFont val="Arial"/>
        <sz val="10.0"/>
      </rPr>
      <t>)</t>
    </r>
    <r>
      <rPr>
        <rFont val="ＭＳ Ｐゴシック"/>
        <sz val="10.0"/>
      </rPr>
      <t>は助手の三日月しずか</t>
    </r>
    <r>
      <rPr>
        <rFont val="Arial"/>
        <sz val="10.0"/>
      </rPr>
      <t>(</t>
    </r>
    <r>
      <rPr>
        <rFont val="ＭＳ Ｐゴシック"/>
        <sz val="10.0"/>
      </rPr>
      <t>麻生久美子</t>
    </r>
    <r>
      <rPr>
        <rFont val="Arial"/>
        <sz val="10.0"/>
      </rPr>
      <t>)</t>
    </r>
    <r>
      <rPr>
        <rFont val="ＭＳ Ｐゴシック"/>
        <sz val="10.0"/>
      </rPr>
      <t>と共に主演女優・折原千香子</t>
    </r>
    <r>
      <rPr>
        <rFont val="Arial"/>
        <sz val="10.0"/>
      </rPr>
      <t>(</t>
    </r>
    <r>
      <rPr>
        <rFont val="ＭＳ Ｐゴシック"/>
        <sz val="10.0"/>
      </rPr>
      <t>中島美嘉</t>
    </r>
    <r>
      <rPr>
        <rFont val="Arial"/>
        <sz val="10.0"/>
      </rPr>
      <t>)</t>
    </r>
    <r>
      <rPr>
        <rFont val="ＭＳ Ｐゴシック"/>
        <sz val="10.0"/>
      </rPr>
      <t>が審査員を務めるゾンビエキストラのオーディションを受けにいくことに。</t>
    </r>
  </si>
  <si>
    <t>長回し1カットの異色ゾンビ映画『ロマンティックを止めるな』が、25年ぶりにリメイクされることに!しかし、この映画は曰くつきだった。元祖『ロマ止め』撮影中に監督・唐沢浩一郎(津田寛治)が殺されたのだ。時効を迎えたこの事件に興味を持った霧山修一朗(オダギリジョー)は助手の三日月しずか(麻生久美子)と共に主演女優・折原千香子(中島美嘉)が審査員を務めるゾンビエキストラのオーディションを受けにいくことに。</t>
  </si>
  <si>
    <t>番組名時効警察はじめました　#5</t>
  </si>
  <si>
    <r>
      <rPr>
        <rFont val="ＭＳ Ｐゴシック"/>
        <sz val="10.0"/>
      </rPr>
      <t>刑事課の彩雲真空</t>
    </r>
    <r>
      <rPr>
        <rFont val="Arial"/>
        <sz val="10.0"/>
      </rPr>
      <t>(</t>
    </r>
    <r>
      <rPr>
        <rFont val="ＭＳ Ｐゴシック"/>
        <sz val="10.0"/>
      </rPr>
      <t>吉岡里帆</t>
    </r>
    <r>
      <rPr>
        <rFont val="Arial"/>
        <sz val="10.0"/>
      </rPr>
      <t>)</t>
    </r>
    <r>
      <rPr>
        <rFont val="ＭＳ Ｐゴシック"/>
        <sz val="10.0"/>
      </rPr>
      <t>は</t>
    </r>
    <r>
      <rPr>
        <rFont val="Arial"/>
        <sz val="10.0"/>
      </rPr>
      <t>SNS</t>
    </r>
    <r>
      <rPr>
        <rFont val="ＭＳ Ｐゴシック"/>
        <sz val="10.0"/>
      </rPr>
      <t>で知り合った</t>
    </r>
    <r>
      <rPr>
        <rFont val="Arial"/>
        <sz val="10.0"/>
      </rPr>
      <t>“</t>
    </r>
    <r>
      <rPr>
        <rFont val="ＭＳ Ｐゴシック"/>
        <sz val="10.0"/>
      </rPr>
      <t>親友</t>
    </r>
    <r>
      <rPr>
        <rFont val="Arial"/>
        <sz val="10.0"/>
      </rPr>
      <t>"</t>
    </r>
    <r>
      <rPr>
        <rFont val="ＭＳ Ｐゴシック"/>
        <sz val="10.0"/>
      </rPr>
      <t>夏歩</t>
    </r>
    <r>
      <rPr>
        <rFont val="Arial"/>
        <sz val="10.0"/>
      </rPr>
      <t>(</t>
    </r>
    <r>
      <rPr>
        <rFont val="ＭＳ Ｐゴシック"/>
        <sz val="10.0"/>
      </rPr>
      <t>趣里</t>
    </r>
    <r>
      <rPr>
        <rFont val="Arial"/>
        <sz val="10.0"/>
      </rPr>
      <t>)</t>
    </r>
    <r>
      <rPr>
        <rFont val="ＭＳ Ｐゴシック"/>
        <sz val="10.0"/>
      </rPr>
      <t>から</t>
    </r>
    <r>
      <rPr>
        <rFont val="Arial"/>
        <sz val="10.0"/>
      </rPr>
      <t>“</t>
    </r>
    <r>
      <rPr>
        <rFont val="ＭＳ Ｐゴシック"/>
        <sz val="10.0"/>
      </rPr>
      <t>ある時効事件</t>
    </r>
    <r>
      <rPr>
        <rFont val="Arial"/>
        <sz val="10.0"/>
      </rPr>
      <t>"</t>
    </r>
    <r>
      <rPr>
        <rFont val="ＭＳ Ｐゴシック"/>
        <sz val="10.0"/>
      </rPr>
      <t>の捜査を依頼される。それは、夏歩の父親で</t>
    </r>
    <r>
      <rPr>
        <rFont val="Arial"/>
        <sz val="10.0"/>
      </rPr>
      <t>“</t>
    </r>
    <r>
      <rPr>
        <rFont val="ＭＳ Ｐゴシック"/>
        <sz val="10.0"/>
      </rPr>
      <t>伝説のコント師</t>
    </r>
    <r>
      <rPr>
        <rFont val="Arial"/>
        <sz val="10.0"/>
      </rPr>
      <t>"</t>
    </r>
    <r>
      <rPr>
        <rFont val="ＭＳ Ｐゴシック"/>
        <sz val="10.0"/>
      </rPr>
      <t>と呼ばれた村瀬ベルギーワッフル</t>
    </r>
    <r>
      <rPr>
        <rFont val="Arial"/>
        <sz val="10.0"/>
      </rPr>
      <t>(</t>
    </r>
    <r>
      <rPr>
        <rFont val="ＭＳ Ｐゴシック"/>
        <sz val="10.0"/>
      </rPr>
      <t>水川かたまり</t>
    </r>
    <r>
      <rPr>
        <rFont val="Arial"/>
        <sz val="10.0"/>
      </rPr>
      <t>)</t>
    </r>
    <r>
      <rPr>
        <rFont val="ＭＳ Ｐゴシック"/>
        <sz val="10.0"/>
      </rPr>
      <t>の死にまつわる事件だった。村瀬の相方で有名芸能人として活躍中の栗原くりごはん</t>
    </r>
    <r>
      <rPr>
        <rFont val="Arial"/>
        <sz val="10.0"/>
      </rPr>
      <t>(</t>
    </r>
    <r>
      <rPr>
        <rFont val="ＭＳ Ｐゴシック"/>
        <sz val="10.0"/>
      </rPr>
      <t>鈴木もぐら</t>
    </r>
    <r>
      <rPr>
        <rFont val="Arial"/>
        <sz val="10.0"/>
      </rPr>
      <t>)</t>
    </r>
    <r>
      <rPr>
        <rFont val="ＭＳ Ｐゴシック"/>
        <sz val="10.0"/>
      </rPr>
      <t>のことを犯人だと確信している夏歩は、霧山修一朗</t>
    </r>
    <r>
      <rPr>
        <rFont val="Arial"/>
        <sz val="10.0"/>
      </rPr>
      <t>(</t>
    </r>
    <r>
      <rPr>
        <rFont val="ＭＳ Ｐゴシック"/>
        <sz val="10.0"/>
      </rPr>
      <t>オダギリジョー</t>
    </r>
    <r>
      <rPr>
        <rFont val="Arial"/>
        <sz val="10.0"/>
      </rPr>
      <t>)</t>
    </r>
    <r>
      <rPr>
        <rFont val="ＭＳ Ｐゴシック"/>
        <sz val="10.0"/>
      </rPr>
      <t>と三日月しずか</t>
    </r>
    <r>
      <rPr>
        <rFont val="Arial"/>
        <sz val="10.0"/>
      </rPr>
      <t>(</t>
    </r>
    <r>
      <rPr>
        <rFont val="ＭＳ Ｐゴシック"/>
        <sz val="10.0"/>
      </rPr>
      <t>麻生久美子</t>
    </r>
    <r>
      <rPr>
        <rFont val="Arial"/>
        <sz val="10.0"/>
      </rPr>
      <t>)</t>
    </r>
    <r>
      <rPr>
        <rFont val="ＭＳ Ｐゴシック"/>
        <sz val="10.0"/>
      </rPr>
      <t>を巻き込み捜査を始める。</t>
    </r>
  </si>
  <si>
    <t>刑事課の彩雲真空(吉岡里帆)はSNSで知り合った“親友"夏歩(趣里)から“ある時効事件"の捜査を依頼される。それは、夏歩の父親で“伝説のコント師"と呼ばれた村瀬ベルギーワッフル(水川かたまり)の死にまつわる事件だった。村瀬の相方で有名芸能人として活躍中の栗原くりごはん(鈴木もぐら)のことを犯人だと確信している夏歩は、霧山修一朗(オダギリジョー)と三日月しずか(麻生久美子)を巻き込み捜査を始める。</t>
  </si>
  <si>
    <t>番組名時効警察はじめました　#6</t>
  </si>
  <si>
    <r>
      <t>CEO</t>
    </r>
    <r>
      <rPr>
        <rFont val="ＭＳ Ｐゴシック"/>
        <sz val="10.0"/>
      </rPr>
      <t>枕木葵</t>
    </r>
    <r>
      <rPr>
        <rFont val="Arial"/>
        <sz val="10.0"/>
      </rPr>
      <t>(</t>
    </r>
    <r>
      <rPr>
        <rFont val="ＭＳ Ｐゴシック"/>
        <sz val="10.0"/>
      </rPr>
      <t>寺島しのぶ</t>
    </r>
    <r>
      <rPr>
        <rFont val="Arial"/>
        <sz val="10.0"/>
      </rPr>
      <t>)</t>
    </r>
    <r>
      <rPr>
        <rFont val="ＭＳ Ｐゴシック"/>
        <sz val="10.0"/>
      </rPr>
      <t>のもと、人気プロレス団体へと成長した「気合プロレス」。しかし、その裏には、ある時効事件が</t>
    </r>
    <r>
      <rPr>
        <rFont val="Arial"/>
        <sz val="10.0"/>
      </rPr>
      <t>…</t>
    </r>
    <r>
      <rPr>
        <rFont val="ＭＳ Ｐゴシック"/>
        <sz val="10.0"/>
      </rPr>
      <t>。</t>
    </r>
    <r>
      <rPr>
        <rFont val="Arial"/>
        <sz val="10.0"/>
      </rPr>
      <t>25</t>
    </r>
    <r>
      <rPr>
        <rFont val="ＭＳ Ｐゴシック"/>
        <sz val="10.0"/>
      </rPr>
      <t>年前、看板選手であった丸山真剣</t>
    </r>
    <r>
      <rPr>
        <rFont val="Arial"/>
        <sz val="10.0"/>
      </rPr>
      <t>(</t>
    </r>
    <r>
      <rPr>
        <rFont val="ＭＳ Ｐゴシック"/>
        <sz val="10.0"/>
      </rPr>
      <t>佐々木大輔</t>
    </r>
    <r>
      <rPr>
        <rFont val="Arial"/>
        <sz val="10.0"/>
      </rPr>
      <t>)</t>
    </r>
    <r>
      <rPr>
        <rFont val="ＭＳ Ｐゴシック"/>
        <sz val="10.0"/>
      </rPr>
      <t>がリング上で立ったまま息絶えていたのだ。この事件を調べることにした霧山修一朗</t>
    </r>
    <r>
      <rPr>
        <rFont val="Arial"/>
        <sz val="10.0"/>
      </rPr>
      <t>(</t>
    </r>
    <r>
      <rPr>
        <rFont val="ＭＳ Ｐゴシック"/>
        <sz val="10.0"/>
      </rPr>
      <t>オダギリジョー</t>
    </r>
    <r>
      <rPr>
        <rFont val="Arial"/>
        <sz val="10.0"/>
      </rPr>
      <t>)</t>
    </r>
    <r>
      <rPr>
        <rFont val="ＭＳ Ｐゴシック"/>
        <sz val="10.0"/>
      </rPr>
      <t>と三日月しずか</t>
    </r>
    <r>
      <rPr>
        <rFont val="Arial"/>
        <sz val="10.0"/>
      </rPr>
      <t>(</t>
    </r>
    <r>
      <rPr>
        <rFont val="ＭＳ Ｐゴシック"/>
        <sz val="10.0"/>
      </rPr>
      <t>麻生久美子</t>
    </r>
    <r>
      <rPr>
        <rFont val="Arial"/>
        <sz val="10.0"/>
      </rPr>
      <t>)</t>
    </r>
    <r>
      <rPr>
        <rFont val="ＭＳ Ｐゴシック"/>
        <sz val="10.0"/>
      </rPr>
      <t>は、彩雲真空</t>
    </r>
    <r>
      <rPr>
        <rFont val="Arial"/>
        <sz val="10.0"/>
      </rPr>
      <t>(</t>
    </r>
    <r>
      <rPr>
        <rFont val="ＭＳ Ｐゴシック"/>
        <sz val="10.0"/>
      </rPr>
      <t>吉岡里帆</t>
    </r>
    <r>
      <rPr>
        <rFont val="Arial"/>
        <sz val="10.0"/>
      </rPr>
      <t>)</t>
    </r>
    <r>
      <rPr>
        <rFont val="ＭＳ Ｐゴシック"/>
        <sz val="10.0"/>
      </rPr>
      <t>と共に「気合プロレス」を訪問。葵やレフェリーのシューレス猿又</t>
    </r>
    <r>
      <rPr>
        <rFont val="Arial"/>
        <sz val="10.0"/>
      </rPr>
      <t>(</t>
    </r>
    <r>
      <rPr>
        <rFont val="ＭＳ Ｐゴシック"/>
        <sz val="10.0"/>
      </rPr>
      <t>柳葉敏郎</t>
    </r>
    <r>
      <rPr>
        <rFont val="Arial"/>
        <sz val="10.0"/>
      </rPr>
      <t>)</t>
    </r>
    <r>
      <rPr>
        <rFont val="ＭＳ Ｐゴシック"/>
        <sz val="10.0"/>
      </rPr>
      <t>から話を聞くと</t>
    </r>
    <r>
      <rPr>
        <rFont val="Arial"/>
        <sz val="10.0"/>
      </rPr>
      <t>…</t>
    </r>
  </si>
  <si>
    <t>CEO枕木葵(寺島しのぶ)のもと、人気プロレス団体へと成長した「気合プロレス」。しかし、その裏には、ある時効事件が…。25年前、看板選手であった丸山真剣(佐々木大輔)がリング上で立ったまま息絶えていたのだ。この事件を調べることにした霧山修一朗(オダギリジョー)と三日月しずか(麻生久美子)は、彩雲真空(吉岡里帆)と共に「気合プロレス」を訪問。葵やレフェリーのシューレス猿又(柳葉敏郎)から話を聞くと…</t>
  </si>
  <si>
    <t>番組名時効警察はじめました　#7</t>
  </si>
  <si>
    <r>
      <rPr>
        <rFont val="ＭＳ Ｐゴシック"/>
        <sz val="10.0"/>
      </rPr>
      <t>巷で大流行中だという</t>
    </r>
    <r>
      <rPr>
        <rFont val="Arial"/>
        <sz val="10.0"/>
      </rPr>
      <t>“</t>
    </r>
    <r>
      <rPr>
        <rFont val="ＭＳ Ｐゴシック"/>
        <sz val="10.0"/>
      </rPr>
      <t>開運メガネ</t>
    </r>
    <r>
      <rPr>
        <rFont val="Arial"/>
        <sz val="10.0"/>
      </rPr>
      <t>"</t>
    </r>
    <r>
      <rPr>
        <rFont val="ＭＳ Ｐゴシック"/>
        <sz val="10.0"/>
      </rPr>
      <t>。このメガネを売り出した</t>
    </r>
    <r>
      <rPr>
        <rFont val="Arial"/>
        <sz val="10.0"/>
      </rPr>
      <t>“</t>
    </r>
    <r>
      <rPr>
        <rFont val="ＭＳ Ｐゴシック"/>
        <sz val="10.0"/>
      </rPr>
      <t>桃瀬メガネ</t>
    </r>
    <r>
      <rPr>
        <rFont val="Arial"/>
        <sz val="10.0"/>
      </rPr>
      <t>"</t>
    </r>
    <r>
      <rPr>
        <rFont val="ＭＳ Ｐゴシック"/>
        <sz val="10.0"/>
      </rPr>
      <t>の社長・桃瀬多恵子</t>
    </r>
    <r>
      <rPr>
        <rFont val="Arial"/>
        <sz val="10.0"/>
      </rPr>
      <t>(</t>
    </r>
    <r>
      <rPr>
        <rFont val="ＭＳ Ｐゴシック"/>
        <sz val="10.0"/>
      </rPr>
      <t>檀れい</t>
    </r>
    <r>
      <rPr>
        <rFont val="Arial"/>
        <sz val="10.0"/>
      </rPr>
      <t>)</t>
    </r>
    <r>
      <rPr>
        <rFont val="ＭＳ Ｐゴシック"/>
        <sz val="10.0"/>
      </rPr>
      <t>には</t>
    </r>
    <r>
      <rPr>
        <rFont val="Arial"/>
        <sz val="10.0"/>
      </rPr>
      <t>“</t>
    </r>
    <r>
      <rPr>
        <rFont val="ＭＳ Ｐゴシック"/>
        <sz val="10.0"/>
      </rPr>
      <t>ある時効事件</t>
    </r>
    <r>
      <rPr>
        <rFont val="Arial"/>
        <sz val="10.0"/>
      </rPr>
      <t>"</t>
    </r>
    <r>
      <rPr>
        <rFont val="ＭＳ Ｐゴシック"/>
        <sz val="10.0"/>
      </rPr>
      <t>と関係が。桃瀬の夫で、メガネがトレードマークの一発屋歌手・蝙蝠ユキオ</t>
    </r>
    <r>
      <rPr>
        <rFont val="Arial"/>
        <sz val="10.0"/>
      </rPr>
      <t>(</t>
    </r>
    <r>
      <rPr>
        <rFont val="ＭＳ Ｐゴシック"/>
        <sz val="10.0"/>
      </rPr>
      <t>前野健太</t>
    </r>
    <r>
      <rPr>
        <rFont val="Arial"/>
        <sz val="10.0"/>
      </rPr>
      <t>)</t>
    </r>
    <r>
      <rPr>
        <rFont val="ＭＳ Ｐゴシック"/>
        <sz val="10.0"/>
      </rPr>
      <t>が殺されたのだ。「犯人はメガネ」というダイイングメッセージが残されるも捜査は難航。この事件を趣味で調べることにした霧山修一朗</t>
    </r>
    <r>
      <rPr>
        <rFont val="Arial"/>
        <sz val="10.0"/>
      </rPr>
      <t>(</t>
    </r>
    <r>
      <rPr>
        <rFont val="ＭＳ Ｐゴシック"/>
        <sz val="10.0"/>
      </rPr>
      <t>オダギリジョー</t>
    </r>
    <r>
      <rPr>
        <rFont val="Arial"/>
        <sz val="10.0"/>
      </rPr>
      <t>)</t>
    </r>
    <r>
      <rPr>
        <rFont val="ＭＳ Ｐゴシック"/>
        <sz val="10.0"/>
      </rPr>
      <t>は、三日月しずか</t>
    </r>
    <r>
      <rPr>
        <rFont val="Arial"/>
        <sz val="10.0"/>
      </rPr>
      <t>(</t>
    </r>
    <r>
      <rPr>
        <rFont val="ＭＳ Ｐゴシック"/>
        <sz val="10.0"/>
      </rPr>
      <t>麻生久美子</t>
    </r>
    <r>
      <rPr>
        <rFont val="Arial"/>
        <sz val="10.0"/>
      </rPr>
      <t>)</t>
    </r>
    <r>
      <rPr>
        <rFont val="ＭＳ Ｐゴシック"/>
        <sz val="10.0"/>
      </rPr>
      <t>と共に多恵子のもとへ</t>
    </r>
    <r>
      <rPr>
        <rFont val="Arial"/>
        <sz val="10.0"/>
      </rPr>
      <t>…</t>
    </r>
    <r>
      <rPr>
        <rFont val="ＭＳ Ｐゴシック"/>
        <sz val="10.0"/>
      </rPr>
      <t>。</t>
    </r>
  </si>
  <si>
    <t>巷で大流行中だという“開運メガネ"。このメガネを売り出した“桃瀬メガネ"の社長・桃瀬多恵子(檀れい)には“ある時効事件"と関係が。桃瀬の夫で、メガネがトレードマークの一発屋歌手・蝙蝠ユキオ(前野健太)が殺されたのだ。「犯人はメガネ」というダイイングメッセージが残されるも捜査は難航。この事件を趣味で調べることにした霧山修一朗(オダギリジョー)は、三日月しずか(麻生久美子)と共に多恵子のもとへ…。</t>
  </si>
  <si>
    <t>番組名時効警察はじめました　#8</t>
  </si>
  <si>
    <r>
      <rPr>
        <rFont val="ＭＳ Ｐゴシック"/>
        <sz val="10.0"/>
      </rPr>
      <t>霧山</t>
    </r>
    <r>
      <rPr>
        <rFont val="Arial"/>
        <sz val="10.0"/>
      </rPr>
      <t>(</t>
    </r>
    <r>
      <rPr>
        <rFont val="ＭＳ Ｐゴシック"/>
        <sz val="10.0"/>
      </rPr>
      <t>オダギリジョー</t>
    </r>
    <r>
      <rPr>
        <rFont val="Arial"/>
        <sz val="10.0"/>
      </rPr>
      <t>)</t>
    </r>
    <r>
      <rPr>
        <rFont val="ＭＳ Ｐゴシック"/>
        <sz val="10.0"/>
      </rPr>
      <t>は高飛び込み部コーチが飛び降りて死亡した時効事件の捜査を始める。ある生徒がその飛び降りを同級生・味澤宙夫</t>
    </r>
    <r>
      <rPr>
        <rFont val="Arial"/>
        <sz val="10.0"/>
      </rPr>
      <t>(</t>
    </r>
    <r>
      <rPr>
        <rFont val="ＭＳ Ｐゴシック"/>
        <sz val="10.0"/>
      </rPr>
      <t>染谷将太</t>
    </r>
    <r>
      <rPr>
        <rFont val="Arial"/>
        <sz val="10.0"/>
      </rPr>
      <t>)</t>
    </r>
    <r>
      <rPr>
        <rFont val="ＭＳ Ｐゴシック"/>
        <sz val="10.0"/>
      </rPr>
      <t>に事前に予言していたという。その生徒・雨夜翔太</t>
    </r>
    <r>
      <rPr>
        <rFont val="Arial"/>
        <sz val="10.0"/>
      </rPr>
      <t>(</t>
    </r>
    <r>
      <rPr>
        <rFont val="ＭＳ Ｐゴシック"/>
        <sz val="10.0"/>
      </rPr>
      <t>山崎賢人</t>
    </r>
    <r>
      <rPr>
        <rFont val="Arial"/>
        <sz val="10.0"/>
      </rPr>
      <t>)</t>
    </r>
    <r>
      <rPr>
        <rFont val="ＭＳ Ｐゴシック"/>
        <sz val="10.0"/>
      </rPr>
      <t>とは現在・スピリチャル雨夜として活躍する人物。同級生の朝霞鈴音</t>
    </r>
    <r>
      <rPr>
        <rFont val="Arial"/>
        <sz val="10.0"/>
      </rPr>
      <t>(</t>
    </r>
    <r>
      <rPr>
        <rFont val="ＭＳ Ｐゴシック"/>
        <sz val="10.0"/>
      </rPr>
      <t>二階堂ふみ</t>
    </r>
    <r>
      <rPr>
        <rFont val="Arial"/>
        <sz val="10.0"/>
      </rPr>
      <t>)</t>
    </r>
    <r>
      <rPr>
        <rFont val="ＭＳ Ｐゴシック"/>
        <sz val="10.0"/>
      </rPr>
      <t>、雨夜の担当医だった只野教授</t>
    </r>
    <r>
      <rPr>
        <rFont val="Arial"/>
        <sz val="10.0"/>
      </rPr>
      <t>(</t>
    </r>
    <r>
      <rPr>
        <rFont val="ＭＳ Ｐゴシック"/>
        <sz val="10.0"/>
      </rPr>
      <t>松重豊</t>
    </r>
    <r>
      <rPr>
        <rFont val="Arial"/>
        <sz val="10.0"/>
      </rPr>
      <t>)…</t>
    </r>
    <r>
      <rPr>
        <rFont val="ＭＳ Ｐゴシック"/>
        <sz val="10.0"/>
      </rPr>
      <t>その関係は</t>
    </r>
    <r>
      <rPr>
        <rFont val="Arial"/>
        <sz val="10.0"/>
      </rPr>
      <t>?</t>
    </r>
    <r>
      <rPr>
        <rFont val="ＭＳ Ｐゴシック"/>
        <sz val="10.0"/>
      </rPr>
      <t>さらに霧山を連れ戻すため</t>
    </r>
    <r>
      <rPr>
        <rFont val="Arial"/>
        <sz val="10.0"/>
      </rPr>
      <t>FBI</t>
    </r>
    <r>
      <rPr>
        <rFont val="ＭＳ Ｐゴシック"/>
        <sz val="10.0"/>
      </rPr>
      <t>も現れ</t>
    </r>
    <r>
      <rPr>
        <rFont val="Arial"/>
        <sz val="10.0"/>
      </rPr>
      <t>…</t>
    </r>
    <r>
      <rPr>
        <rFont val="ＭＳ Ｐゴシック"/>
        <sz val="10.0"/>
      </rPr>
      <t>三日月</t>
    </r>
    <r>
      <rPr>
        <rFont val="Arial"/>
        <sz val="10.0"/>
      </rPr>
      <t>(</t>
    </r>
    <r>
      <rPr>
        <rFont val="ＭＳ Ｐゴシック"/>
        <sz val="10.0"/>
      </rPr>
      <t>麻生久美子</t>
    </r>
    <r>
      <rPr>
        <rFont val="Arial"/>
        <sz val="10.0"/>
      </rPr>
      <t>)</t>
    </r>
    <r>
      <rPr>
        <rFont val="ＭＳ Ｐゴシック"/>
        <sz val="10.0"/>
      </rPr>
      <t>との運命やいかに</t>
    </r>
    <r>
      <rPr>
        <rFont val="Arial"/>
        <sz val="10.0"/>
      </rPr>
      <t>!?</t>
    </r>
  </si>
  <si>
    <t>霧山(オダギリジョー)は高飛び込み部コーチが飛び降りて死亡した時効事件の捜査を始める。ある生徒がその飛び降りを同級生・味澤宙夫(染谷将太)に事前に予言していたという。その生徒・雨夜翔太(山崎賢人)とは現在・スピリチャル雨夜として活躍する人物。同級生の朝霞鈴音(二階堂ふみ)、雨夜の担当医だった只野教授(松重豊)…その関係は?さらに霧山を連れ戻すためFBIも現れ…三日月(麻生久美子)との運命やいかに!?</t>
  </si>
  <si>
    <t>1910_EX_土23</t>
  </si>
  <si>
    <t>おっさんずラブ</t>
  </si>
  <si>
    <t>番組名おっさんずラブ　-in the sky-　#1/ある日、僕は機長に告白された</t>
  </si>
  <si>
    <r>
      <rPr>
        <rFont val="ＭＳ Ｐゴシック"/>
        <sz val="10.0"/>
      </rPr>
      <t>社会現象を巻き起こしたおっさん同士のピュアラブが、舞台を</t>
    </r>
    <r>
      <rPr>
        <rFont val="Arial"/>
        <sz val="10.0"/>
      </rPr>
      <t>“</t>
    </r>
    <r>
      <rPr>
        <rFont val="ＭＳ Ｐゴシック"/>
        <sz val="10.0"/>
      </rPr>
      <t>空</t>
    </r>
    <r>
      <rPr>
        <rFont val="Arial"/>
        <sz val="10.0"/>
      </rPr>
      <t>"</t>
    </r>
    <r>
      <rPr>
        <rFont val="ＭＳ Ｐゴシック"/>
        <sz val="10.0"/>
      </rPr>
      <t>に生まれ変わるー</t>
    </r>
    <r>
      <rPr>
        <rFont val="Arial"/>
        <sz val="10.0"/>
      </rPr>
      <t xml:space="preserve">!  </t>
    </r>
    <r>
      <rPr>
        <rFont val="ＭＳ Ｐゴシック"/>
        <sz val="10.0"/>
      </rPr>
      <t>ポンコツ新人</t>
    </r>
    <r>
      <rPr>
        <rFont val="Arial"/>
        <sz val="10.0"/>
      </rPr>
      <t>CA</t>
    </r>
    <r>
      <rPr>
        <rFont val="ＭＳ Ｐゴシック"/>
        <sz val="10.0"/>
      </rPr>
      <t>春田</t>
    </r>
    <r>
      <rPr>
        <rFont val="Arial"/>
        <sz val="10.0"/>
      </rPr>
      <t>(</t>
    </r>
    <r>
      <rPr>
        <rFont val="ＭＳ Ｐゴシック"/>
        <sz val="10.0"/>
      </rPr>
      <t>田中圭</t>
    </r>
    <r>
      <rPr>
        <rFont val="Arial"/>
        <sz val="10.0"/>
      </rPr>
      <t>)</t>
    </r>
    <r>
      <rPr>
        <rFont val="ＭＳ Ｐゴシック"/>
        <sz val="10.0"/>
      </rPr>
      <t>はある日突然、機長の黒澤</t>
    </r>
    <r>
      <rPr>
        <rFont val="Arial"/>
        <sz val="10.0"/>
      </rPr>
      <t>(</t>
    </r>
    <r>
      <rPr>
        <rFont val="ＭＳ Ｐゴシック"/>
        <sz val="10.0"/>
      </rPr>
      <t>吉田鋼太郎</t>
    </r>
    <r>
      <rPr>
        <rFont val="Arial"/>
        <sz val="10.0"/>
      </rPr>
      <t>)</t>
    </r>
    <r>
      <rPr>
        <rFont val="ＭＳ Ｐゴシック"/>
        <sz val="10.0"/>
      </rPr>
      <t>に絶叫告白をされる</t>
    </r>
    <r>
      <rPr>
        <rFont val="Arial"/>
        <sz val="10.0"/>
      </rPr>
      <t>!</t>
    </r>
    <r>
      <rPr>
        <rFont val="ＭＳ Ｐゴシック"/>
        <sz val="10.0"/>
      </rPr>
      <t>さらに、同じ寮で暮らす副操縦士・成瀬</t>
    </r>
    <r>
      <rPr>
        <rFont val="Arial"/>
        <sz val="10.0"/>
      </rPr>
      <t>(</t>
    </r>
    <r>
      <rPr>
        <rFont val="ＭＳ Ｐゴシック"/>
        <sz val="10.0"/>
      </rPr>
      <t>千葉雄大</t>
    </r>
    <r>
      <rPr>
        <rFont val="Arial"/>
        <sz val="10.0"/>
      </rPr>
      <t>)</t>
    </r>
    <r>
      <rPr>
        <rFont val="ＭＳ Ｐゴシック"/>
        <sz val="10.0"/>
      </rPr>
      <t>、整備士・四宮</t>
    </r>
    <r>
      <rPr>
        <rFont val="Arial"/>
        <sz val="10.0"/>
      </rPr>
      <t>(</t>
    </r>
    <r>
      <rPr>
        <rFont val="ＭＳ Ｐゴシック"/>
        <sz val="10.0"/>
      </rPr>
      <t>戸次重幸</t>
    </r>
    <r>
      <rPr>
        <rFont val="Arial"/>
        <sz val="10.0"/>
      </rPr>
      <t>)</t>
    </r>
    <r>
      <rPr>
        <rFont val="ＭＳ Ｐゴシック"/>
        <sz val="10.0"/>
      </rPr>
      <t>を巻き込み、おっさん同士のテラスハウス</t>
    </r>
    <r>
      <rPr>
        <rFont val="Arial"/>
        <sz val="10.0"/>
      </rPr>
      <t>…</t>
    </r>
    <r>
      <rPr>
        <rFont val="ＭＳ Ｐゴシック"/>
        <sz val="10.0"/>
      </rPr>
      <t>ならぬラブバトルに発展</t>
    </r>
    <r>
      <rPr>
        <rFont val="Arial"/>
        <sz val="10.0"/>
      </rPr>
      <t xml:space="preserve">…?  </t>
    </r>
    <r>
      <rPr>
        <rFont val="ＭＳ Ｐゴシック"/>
        <sz val="10.0"/>
      </rPr>
      <t>人を好きになるとはどういうことなのかー</t>
    </r>
    <r>
      <rPr>
        <rFont val="Arial"/>
        <sz val="10.0"/>
      </rPr>
      <t>?</t>
    </r>
    <r>
      <rPr>
        <rFont val="ＭＳ Ｐゴシック"/>
        <sz val="10.0"/>
      </rPr>
      <t>令和最初の冬に、新たな恋の乱気流が吹き荒れる</t>
    </r>
    <r>
      <rPr>
        <rFont val="Arial"/>
        <sz val="10.0"/>
      </rPr>
      <t>!</t>
    </r>
  </si>
  <si>
    <t>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t>
  </si>
  <si>
    <t>番組名おっさんずラブ　-in the sky-　#2/空港の中心で、愛をさけぶ</t>
  </si>
  <si>
    <r>
      <rPr>
        <rFont val="ＭＳ Ｐゴシック"/>
        <sz val="10.0"/>
      </rPr>
      <t>社会現象を巻き起こしたおっさん同士のピュアラブが、舞台を</t>
    </r>
    <r>
      <rPr>
        <rFont val="Arial"/>
        <sz val="10.0"/>
      </rPr>
      <t>“</t>
    </r>
    <r>
      <rPr>
        <rFont val="ＭＳ Ｐゴシック"/>
        <sz val="10.0"/>
      </rPr>
      <t>空</t>
    </r>
    <r>
      <rPr>
        <rFont val="Arial"/>
        <sz val="10.0"/>
      </rPr>
      <t>"</t>
    </r>
    <r>
      <rPr>
        <rFont val="ＭＳ Ｐゴシック"/>
        <sz val="10.0"/>
      </rPr>
      <t>に生まれ変わるー</t>
    </r>
    <r>
      <rPr>
        <rFont val="Arial"/>
        <sz val="10.0"/>
      </rPr>
      <t xml:space="preserve">!  </t>
    </r>
    <r>
      <rPr>
        <rFont val="ＭＳ Ｐゴシック"/>
        <sz val="10.0"/>
      </rPr>
      <t>ポンコツ新人</t>
    </r>
    <r>
      <rPr>
        <rFont val="Arial"/>
        <sz val="10.0"/>
      </rPr>
      <t>CA</t>
    </r>
    <r>
      <rPr>
        <rFont val="ＭＳ Ｐゴシック"/>
        <sz val="10.0"/>
      </rPr>
      <t>春田</t>
    </r>
    <r>
      <rPr>
        <rFont val="Arial"/>
        <sz val="10.0"/>
      </rPr>
      <t>(</t>
    </r>
    <r>
      <rPr>
        <rFont val="ＭＳ Ｐゴシック"/>
        <sz val="10.0"/>
      </rPr>
      <t>田中圭</t>
    </r>
    <r>
      <rPr>
        <rFont val="Arial"/>
        <sz val="10.0"/>
      </rPr>
      <t>)</t>
    </r>
    <r>
      <rPr>
        <rFont val="ＭＳ Ｐゴシック"/>
        <sz val="10.0"/>
      </rPr>
      <t>はある日突然、機長の黒澤</t>
    </r>
    <r>
      <rPr>
        <rFont val="Arial"/>
        <sz val="10.0"/>
      </rPr>
      <t>(</t>
    </r>
    <r>
      <rPr>
        <rFont val="ＭＳ Ｐゴシック"/>
        <sz val="10.0"/>
      </rPr>
      <t>吉田鋼太郎</t>
    </r>
    <r>
      <rPr>
        <rFont val="Arial"/>
        <sz val="10.0"/>
      </rPr>
      <t>)</t>
    </r>
    <r>
      <rPr>
        <rFont val="ＭＳ Ｐゴシック"/>
        <sz val="10.0"/>
      </rPr>
      <t>に絶叫告白をされる</t>
    </r>
    <r>
      <rPr>
        <rFont val="Arial"/>
        <sz val="10.0"/>
      </rPr>
      <t>!</t>
    </r>
    <r>
      <rPr>
        <rFont val="ＭＳ Ｐゴシック"/>
        <sz val="10.0"/>
      </rPr>
      <t>さらに、同じ寮で暮らす副操縦士・成瀬</t>
    </r>
    <r>
      <rPr>
        <rFont val="Arial"/>
        <sz val="10.0"/>
      </rPr>
      <t>(</t>
    </r>
    <r>
      <rPr>
        <rFont val="ＭＳ Ｐゴシック"/>
        <sz val="10.0"/>
      </rPr>
      <t>千葉雄大</t>
    </r>
    <r>
      <rPr>
        <rFont val="Arial"/>
        <sz val="10.0"/>
      </rPr>
      <t>)</t>
    </r>
    <r>
      <rPr>
        <rFont val="ＭＳ Ｐゴシック"/>
        <sz val="10.0"/>
      </rPr>
      <t>、整備士・四宮</t>
    </r>
    <r>
      <rPr>
        <rFont val="Arial"/>
        <sz val="10.0"/>
      </rPr>
      <t>(</t>
    </r>
    <r>
      <rPr>
        <rFont val="ＭＳ Ｐゴシック"/>
        <sz val="10.0"/>
      </rPr>
      <t>戸次重幸</t>
    </r>
    <r>
      <rPr>
        <rFont val="Arial"/>
        <sz val="10.0"/>
      </rPr>
      <t>)</t>
    </r>
    <r>
      <rPr>
        <rFont val="ＭＳ Ｐゴシック"/>
        <sz val="10.0"/>
      </rPr>
      <t>を巻き込み、おっさん同士のテラスハウス</t>
    </r>
    <r>
      <rPr>
        <rFont val="Arial"/>
        <sz val="10.0"/>
      </rPr>
      <t>…</t>
    </r>
    <r>
      <rPr>
        <rFont val="ＭＳ Ｐゴシック"/>
        <sz val="10.0"/>
      </rPr>
      <t>ならぬラブバトルに発展</t>
    </r>
    <r>
      <rPr>
        <rFont val="Arial"/>
        <sz val="10.0"/>
      </rPr>
      <t xml:space="preserve">…?  </t>
    </r>
    <r>
      <rPr>
        <rFont val="ＭＳ Ｐゴシック"/>
        <sz val="10.0"/>
      </rPr>
      <t>人を好きになるとはどういうことなのかー</t>
    </r>
    <r>
      <rPr>
        <rFont val="Arial"/>
        <sz val="10.0"/>
      </rPr>
      <t>?</t>
    </r>
    <r>
      <rPr>
        <rFont val="ＭＳ Ｐゴシック"/>
        <sz val="10.0"/>
      </rPr>
      <t>令和最初の冬に、新たな恋の乱気流が吹き荒れる</t>
    </r>
    <r>
      <rPr>
        <rFont val="Arial"/>
        <sz val="10.0"/>
      </rPr>
      <t>!</t>
    </r>
  </si>
  <si>
    <t>番組名おっさんずラブ　-in the sky-　#3/ENDLESS RAIN…父vs娘のラブバトル</t>
  </si>
  <si>
    <r>
      <rPr>
        <rFont val="ＭＳ Ｐゴシック"/>
        <sz val="10.0"/>
      </rPr>
      <t>社会現象を巻き起こしたおっさん同士のピュアラブが、舞台を</t>
    </r>
    <r>
      <rPr>
        <rFont val="Arial"/>
        <sz val="10.0"/>
      </rPr>
      <t>“</t>
    </r>
    <r>
      <rPr>
        <rFont val="ＭＳ Ｐゴシック"/>
        <sz val="10.0"/>
      </rPr>
      <t>空</t>
    </r>
    <r>
      <rPr>
        <rFont val="Arial"/>
        <sz val="10.0"/>
      </rPr>
      <t>"</t>
    </r>
    <r>
      <rPr>
        <rFont val="ＭＳ Ｐゴシック"/>
        <sz val="10.0"/>
      </rPr>
      <t>に生まれ変わるー</t>
    </r>
    <r>
      <rPr>
        <rFont val="Arial"/>
        <sz val="10.0"/>
      </rPr>
      <t xml:space="preserve">!  </t>
    </r>
    <r>
      <rPr>
        <rFont val="ＭＳ Ｐゴシック"/>
        <sz val="10.0"/>
      </rPr>
      <t>ポンコツ新人</t>
    </r>
    <r>
      <rPr>
        <rFont val="Arial"/>
        <sz val="10.0"/>
      </rPr>
      <t>CA</t>
    </r>
    <r>
      <rPr>
        <rFont val="ＭＳ Ｐゴシック"/>
        <sz val="10.0"/>
      </rPr>
      <t>春田</t>
    </r>
    <r>
      <rPr>
        <rFont val="Arial"/>
        <sz val="10.0"/>
      </rPr>
      <t>(</t>
    </r>
    <r>
      <rPr>
        <rFont val="ＭＳ Ｐゴシック"/>
        <sz val="10.0"/>
      </rPr>
      <t>田中圭</t>
    </r>
    <r>
      <rPr>
        <rFont val="Arial"/>
        <sz val="10.0"/>
      </rPr>
      <t>)</t>
    </r>
    <r>
      <rPr>
        <rFont val="ＭＳ Ｐゴシック"/>
        <sz val="10.0"/>
      </rPr>
      <t>はある日突然、機長の黒澤</t>
    </r>
    <r>
      <rPr>
        <rFont val="Arial"/>
        <sz val="10.0"/>
      </rPr>
      <t>(</t>
    </r>
    <r>
      <rPr>
        <rFont val="ＭＳ Ｐゴシック"/>
        <sz val="10.0"/>
      </rPr>
      <t>吉田鋼太郎</t>
    </r>
    <r>
      <rPr>
        <rFont val="Arial"/>
        <sz val="10.0"/>
      </rPr>
      <t>)</t>
    </r>
    <r>
      <rPr>
        <rFont val="ＭＳ Ｐゴシック"/>
        <sz val="10.0"/>
      </rPr>
      <t>に絶叫告白をされる</t>
    </r>
    <r>
      <rPr>
        <rFont val="Arial"/>
        <sz val="10.0"/>
      </rPr>
      <t>!</t>
    </r>
    <r>
      <rPr>
        <rFont val="ＭＳ Ｐゴシック"/>
        <sz val="10.0"/>
      </rPr>
      <t>さらに、同じ寮で暮らす副操縦士・成瀬</t>
    </r>
    <r>
      <rPr>
        <rFont val="Arial"/>
        <sz val="10.0"/>
      </rPr>
      <t>(</t>
    </r>
    <r>
      <rPr>
        <rFont val="ＭＳ Ｐゴシック"/>
        <sz val="10.0"/>
      </rPr>
      <t>千葉雄大</t>
    </r>
    <r>
      <rPr>
        <rFont val="Arial"/>
        <sz val="10.0"/>
      </rPr>
      <t>)</t>
    </r>
    <r>
      <rPr>
        <rFont val="ＭＳ Ｐゴシック"/>
        <sz val="10.0"/>
      </rPr>
      <t>、整備士・四宮</t>
    </r>
    <r>
      <rPr>
        <rFont val="Arial"/>
        <sz val="10.0"/>
      </rPr>
      <t>(</t>
    </r>
    <r>
      <rPr>
        <rFont val="ＭＳ Ｐゴシック"/>
        <sz val="10.0"/>
      </rPr>
      <t>戸次重幸</t>
    </r>
    <r>
      <rPr>
        <rFont val="Arial"/>
        <sz val="10.0"/>
      </rPr>
      <t>)</t>
    </r>
    <r>
      <rPr>
        <rFont val="ＭＳ Ｐゴシック"/>
        <sz val="10.0"/>
      </rPr>
      <t>を巻き込み、おっさん同士のテラスハウス</t>
    </r>
    <r>
      <rPr>
        <rFont val="Arial"/>
        <sz val="10.0"/>
      </rPr>
      <t>…</t>
    </r>
    <r>
      <rPr>
        <rFont val="ＭＳ Ｐゴシック"/>
        <sz val="10.0"/>
      </rPr>
      <t>ならぬラブバトルに発展</t>
    </r>
    <r>
      <rPr>
        <rFont val="Arial"/>
        <sz val="10.0"/>
      </rPr>
      <t xml:space="preserve">…?  </t>
    </r>
    <r>
      <rPr>
        <rFont val="ＭＳ Ｐゴシック"/>
        <sz val="10.0"/>
      </rPr>
      <t>人を好きになるとはどういうことなのかー</t>
    </r>
    <r>
      <rPr>
        <rFont val="Arial"/>
        <sz val="10.0"/>
      </rPr>
      <t>?</t>
    </r>
    <r>
      <rPr>
        <rFont val="ＭＳ Ｐゴシック"/>
        <sz val="10.0"/>
      </rPr>
      <t>令和最初の冬に、新たな恋の乱気流が吹き荒れる</t>
    </r>
    <r>
      <rPr>
        <rFont val="Arial"/>
        <sz val="10.0"/>
      </rPr>
      <t>!</t>
    </r>
  </si>
  <si>
    <t>番組名おっさんずラブ　-in the sky-　#4/嫌いになれない私たち</t>
  </si>
  <si>
    <r>
      <rPr>
        <rFont val="ＭＳ Ｐゴシック"/>
        <sz val="10.0"/>
      </rPr>
      <t>社会現象を巻き起こしたおっさん同士のピュアラブが、舞台を</t>
    </r>
    <r>
      <rPr>
        <rFont val="Arial"/>
        <sz val="10.0"/>
      </rPr>
      <t>“</t>
    </r>
    <r>
      <rPr>
        <rFont val="ＭＳ Ｐゴシック"/>
        <sz val="10.0"/>
      </rPr>
      <t>空</t>
    </r>
    <r>
      <rPr>
        <rFont val="Arial"/>
        <sz val="10.0"/>
      </rPr>
      <t>"</t>
    </r>
    <r>
      <rPr>
        <rFont val="ＭＳ Ｐゴシック"/>
        <sz val="10.0"/>
      </rPr>
      <t>に生まれ変わるー</t>
    </r>
    <r>
      <rPr>
        <rFont val="Arial"/>
        <sz val="10.0"/>
      </rPr>
      <t xml:space="preserve">!  </t>
    </r>
    <r>
      <rPr>
        <rFont val="ＭＳ Ｐゴシック"/>
        <sz val="10.0"/>
      </rPr>
      <t>ポンコツ新人</t>
    </r>
    <r>
      <rPr>
        <rFont val="Arial"/>
        <sz val="10.0"/>
      </rPr>
      <t>CA</t>
    </r>
    <r>
      <rPr>
        <rFont val="ＭＳ Ｐゴシック"/>
        <sz val="10.0"/>
      </rPr>
      <t>春田</t>
    </r>
    <r>
      <rPr>
        <rFont val="Arial"/>
        <sz val="10.0"/>
      </rPr>
      <t>(</t>
    </r>
    <r>
      <rPr>
        <rFont val="ＭＳ Ｐゴシック"/>
        <sz val="10.0"/>
      </rPr>
      <t>田中圭</t>
    </r>
    <r>
      <rPr>
        <rFont val="Arial"/>
        <sz val="10.0"/>
      </rPr>
      <t>)</t>
    </r>
    <r>
      <rPr>
        <rFont val="ＭＳ Ｐゴシック"/>
        <sz val="10.0"/>
      </rPr>
      <t>はある日突然、機長の黒澤</t>
    </r>
    <r>
      <rPr>
        <rFont val="Arial"/>
        <sz val="10.0"/>
      </rPr>
      <t>(</t>
    </r>
    <r>
      <rPr>
        <rFont val="ＭＳ Ｐゴシック"/>
        <sz val="10.0"/>
      </rPr>
      <t>吉田鋼太郎</t>
    </r>
    <r>
      <rPr>
        <rFont val="Arial"/>
        <sz val="10.0"/>
      </rPr>
      <t>)</t>
    </r>
    <r>
      <rPr>
        <rFont val="ＭＳ Ｐゴシック"/>
        <sz val="10.0"/>
      </rPr>
      <t>に絶叫告白をされる</t>
    </r>
    <r>
      <rPr>
        <rFont val="Arial"/>
        <sz val="10.0"/>
      </rPr>
      <t>!</t>
    </r>
    <r>
      <rPr>
        <rFont val="ＭＳ Ｐゴシック"/>
        <sz val="10.0"/>
      </rPr>
      <t>さらに、同じ寮で暮らす副操縦士・成瀬</t>
    </r>
    <r>
      <rPr>
        <rFont val="Arial"/>
        <sz val="10.0"/>
      </rPr>
      <t>(</t>
    </r>
    <r>
      <rPr>
        <rFont val="ＭＳ Ｐゴシック"/>
        <sz val="10.0"/>
      </rPr>
      <t>千葉雄大</t>
    </r>
    <r>
      <rPr>
        <rFont val="Arial"/>
        <sz val="10.0"/>
      </rPr>
      <t>)</t>
    </r>
    <r>
      <rPr>
        <rFont val="ＭＳ Ｐゴシック"/>
        <sz val="10.0"/>
      </rPr>
      <t>、整備士・四宮</t>
    </r>
    <r>
      <rPr>
        <rFont val="Arial"/>
        <sz val="10.0"/>
      </rPr>
      <t>(</t>
    </r>
    <r>
      <rPr>
        <rFont val="ＭＳ Ｐゴシック"/>
        <sz val="10.0"/>
      </rPr>
      <t>戸次重幸</t>
    </r>
    <r>
      <rPr>
        <rFont val="Arial"/>
        <sz val="10.0"/>
      </rPr>
      <t>)</t>
    </r>
    <r>
      <rPr>
        <rFont val="ＭＳ Ｐゴシック"/>
        <sz val="10.0"/>
      </rPr>
      <t>を巻き込み、おっさん同士のテラスハウス</t>
    </r>
    <r>
      <rPr>
        <rFont val="Arial"/>
        <sz val="10.0"/>
      </rPr>
      <t>…</t>
    </r>
    <r>
      <rPr>
        <rFont val="ＭＳ Ｐゴシック"/>
        <sz val="10.0"/>
      </rPr>
      <t>ならぬラブバトルに発展</t>
    </r>
    <r>
      <rPr>
        <rFont val="Arial"/>
        <sz val="10.0"/>
      </rPr>
      <t xml:space="preserve">…?  </t>
    </r>
    <r>
      <rPr>
        <rFont val="ＭＳ Ｐゴシック"/>
        <sz val="10.0"/>
      </rPr>
      <t>人を好きになるとはどういうことなのかー</t>
    </r>
    <r>
      <rPr>
        <rFont val="Arial"/>
        <sz val="10.0"/>
      </rPr>
      <t>?</t>
    </r>
    <r>
      <rPr>
        <rFont val="ＭＳ Ｐゴシック"/>
        <sz val="10.0"/>
      </rPr>
      <t>令和最初の冬に、新たな恋の乱気流が吹き荒れる</t>
    </r>
    <r>
      <rPr>
        <rFont val="Arial"/>
        <sz val="10.0"/>
      </rPr>
      <t>!</t>
    </r>
  </si>
  <si>
    <t>番組名おっさんずラブ　-in the sky-　#5/俺じゃダメか?ーはじめての嫉妬</t>
  </si>
  <si>
    <r>
      <rPr>
        <rFont val="ＭＳ Ｐゴシック"/>
        <sz val="10.0"/>
      </rPr>
      <t>社会現象を巻き起こしたおっさん同士のピュアラブが、舞台を</t>
    </r>
    <r>
      <rPr>
        <rFont val="Arial"/>
        <sz val="10.0"/>
      </rPr>
      <t>“</t>
    </r>
    <r>
      <rPr>
        <rFont val="ＭＳ Ｐゴシック"/>
        <sz val="10.0"/>
      </rPr>
      <t>空</t>
    </r>
    <r>
      <rPr>
        <rFont val="Arial"/>
        <sz val="10.0"/>
      </rPr>
      <t>"</t>
    </r>
    <r>
      <rPr>
        <rFont val="ＭＳ Ｐゴシック"/>
        <sz val="10.0"/>
      </rPr>
      <t>に生まれ変わるー</t>
    </r>
    <r>
      <rPr>
        <rFont val="Arial"/>
        <sz val="10.0"/>
      </rPr>
      <t xml:space="preserve">!  </t>
    </r>
    <r>
      <rPr>
        <rFont val="ＭＳ Ｐゴシック"/>
        <sz val="10.0"/>
      </rPr>
      <t>ポンコツ新人</t>
    </r>
    <r>
      <rPr>
        <rFont val="Arial"/>
        <sz val="10.0"/>
      </rPr>
      <t>CA</t>
    </r>
    <r>
      <rPr>
        <rFont val="ＭＳ Ｐゴシック"/>
        <sz val="10.0"/>
      </rPr>
      <t>春田</t>
    </r>
    <r>
      <rPr>
        <rFont val="Arial"/>
        <sz val="10.0"/>
      </rPr>
      <t>(</t>
    </r>
    <r>
      <rPr>
        <rFont val="ＭＳ Ｐゴシック"/>
        <sz val="10.0"/>
      </rPr>
      <t>田中圭</t>
    </r>
    <r>
      <rPr>
        <rFont val="Arial"/>
        <sz val="10.0"/>
      </rPr>
      <t>)</t>
    </r>
    <r>
      <rPr>
        <rFont val="ＭＳ Ｐゴシック"/>
        <sz val="10.0"/>
      </rPr>
      <t>はある日突然、機長の黒澤</t>
    </r>
    <r>
      <rPr>
        <rFont val="Arial"/>
        <sz val="10.0"/>
      </rPr>
      <t>(</t>
    </r>
    <r>
      <rPr>
        <rFont val="ＭＳ Ｐゴシック"/>
        <sz val="10.0"/>
      </rPr>
      <t>吉田鋼太郎</t>
    </r>
    <r>
      <rPr>
        <rFont val="Arial"/>
        <sz val="10.0"/>
      </rPr>
      <t>)</t>
    </r>
    <r>
      <rPr>
        <rFont val="ＭＳ Ｐゴシック"/>
        <sz val="10.0"/>
      </rPr>
      <t>に絶叫告白をされる</t>
    </r>
    <r>
      <rPr>
        <rFont val="Arial"/>
        <sz val="10.0"/>
      </rPr>
      <t>!</t>
    </r>
    <r>
      <rPr>
        <rFont val="ＭＳ Ｐゴシック"/>
        <sz val="10.0"/>
      </rPr>
      <t>さらに、同じ寮で暮らす副操縦士・成瀬</t>
    </r>
    <r>
      <rPr>
        <rFont val="Arial"/>
        <sz val="10.0"/>
      </rPr>
      <t>(</t>
    </r>
    <r>
      <rPr>
        <rFont val="ＭＳ Ｐゴシック"/>
        <sz val="10.0"/>
      </rPr>
      <t>千葉雄大</t>
    </r>
    <r>
      <rPr>
        <rFont val="Arial"/>
        <sz val="10.0"/>
      </rPr>
      <t>)</t>
    </r>
    <r>
      <rPr>
        <rFont val="ＭＳ Ｐゴシック"/>
        <sz val="10.0"/>
      </rPr>
      <t>、整備士・四宮</t>
    </r>
    <r>
      <rPr>
        <rFont val="Arial"/>
        <sz val="10.0"/>
      </rPr>
      <t>(</t>
    </r>
    <r>
      <rPr>
        <rFont val="ＭＳ Ｐゴシック"/>
        <sz val="10.0"/>
      </rPr>
      <t>戸次重幸</t>
    </r>
    <r>
      <rPr>
        <rFont val="Arial"/>
        <sz val="10.0"/>
      </rPr>
      <t>)</t>
    </r>
    <r>
      <rPr>
        <rFont val="ＭＳ Ｐゴシック"/>
        <sz val="10.0"/>
      </rPr>
      <t>を巻き込み、おっさん同士のテラスハウス</t>
    </r>
    <r>
      <rPr>
        <rFont val="Arial"/>
        <sz val="10.0"/>
      </rPr>
      <t>…</t>
    </r>
    <r>
      <rPr>
        <rFont val="ＭＳ Ｐゴシック"/>
        <sz val="10.0"/>
      </rPr>
      <t>ならぬラブバトルに発展</t>
    </r>
    <r>
      <rPr>
        <rFont val="Arial"/>
        <sz val="10.0"/>
      </rPr>
      <t xml:space="preserve">…?  </t>
    </r>
    <r>
      <rPr>
        <rFont val="ＭＳ Ｐゴシック"/>
        <sz val="10.0"/>
      </rPr>
      <t>人を好きになるとはどういうことなのかー</t>
    </r>
    <r>
      <rPr>
        <rFont val="Arial"/>
        <sz val="10.0"/>
      </rPr>
      <t>?</t>
    </r>
    <r>
      <rPr>
        <rFont val="ＭＳ Ｐゴシック"/>
        <sz val="10.0"/>
      </rPr>
      <t>令和最初の冬に、新たな恋の乱気流が吹き荒れる</t>
    </r>
    <r>
      <rPr>
        <rFont val="Arial"/>
        <sz val="10.0"/>
      </rPr>
      <t>!</t>
    </r>
  </si>
  <si>
    <t>番組名おっさんずラブ　-in the sky-　#6/俺とお前の七日間</t>
  </si>
  <si>
    <r>
      <rPr>
        <rFont val="ＭＳ Ｐゴシック"/>
        <sz val="10.0"/>
      </rPr>
      <t>社会現象を巻き起こしたおっさん同士のピュアラブが、舞台を</t>
    </r>
    <r>
      <rPr>
        <rFont val="Arial"/>
        <sz val="10.0"/>
      </rPr>
      <t>“</t>
    </r>
    <r>
      <rPr>
        <rFont val="ＭＳ Ｐゴシック"/>
        <sz val="10.0"/>
      </rPr>
      <t>空</t>
    </r>
    <r>
      <rPr>
        <rFont val="Arial"/>
        <sz val="10.0"/>
      </rPr>
      <t>"</t>
    </r>
    <r>
      <rPr>
        <rFont val="ＭＳ Ｐゴシック"/>
        <sz val="10.0"/>
      </rPr>
      <t>に生まれ変わるー</t>
    </r>
    <r>
      <rPr>
        <rFont val="Arial"/>
        <sz val="10.0"/>
      </rPr>
      <t xml:space="preserve">!  </t>
    </r>
    <r>
      <rPr>
        <rFont val="ＭＳ Ｐゴシック"/>
        <sz val="10.0"/>
      </rPr>
      <t>ポンコツ新人</t>
    </r>
    <r>
      <rPr>
        <rFont val="Arial"/>
        <sz val="10.0"/>
      </rPr>
      <t>CA</t>
    </r>
    <r>
      <rPr>
        <rFont val="ＭＳ Ｐゴシック"/>
        <sz val="10.0"/>
      </rPr>
      <t>春田</t>
    </r>
    <r>
      <rPr>
        <rFont val="Arial"/>
        <sz val="10.0"/>
      </rPr>
      <t>(</t>
    </r>
    <r>
      <rPr>
        <rFont val="ＭＳ Ｐゴシック"/>
        <sz val="10.0"/>
      </rPr>
      <t>田中圭</t>
    </r>
    <r>
      <rPr>
        <rFont val="Arial"/>
        <sz val="10.0"/>
      </rPr>
      <t>)</t>
    </r>
    <r>
      <rPr>
        <rFont val="ＭＳ Ｐゴシック"/>
        <sz val="10.0"/>
      </rPr>
      <t>はある日突然、機長の黒澤</t>
    </r>
    <r>
      <rPr>
        <rFont val="Arial"/>
        <sz val="10.0"/>
      </rPr>
      <t>(</t>
    </r>
    <r>
      <rPr>
        <rFont val="ＭＳ Ｐゴシック"/>
        <sz val="10.0"/>
      </rPr>
      <t>吉田鋼太郎</t>
    </r>
    <r>
      <rPr>
        <rFont val="Arial"/>
        <sz val="10.0"/>
      </rPr>
      <t>)</t>
    </r>
    <r>
      <rPr>
        <rFont val="ＭＳ Ｐゴシック"/>
        <sz val="10.0"/>
      </rPr>
      <t>に絶叫告白をされる</t>
    </r>
    <r>
      <rPr>
        <rFont val="Arial"/>
        <sz val="10.0"/>
      </rPr>
      <t>!</t>
    </r>
    <r>
      <rPr>
        <rFont val="ＭＳ Ｐゴシック"/>
        <sz val="10.0"/>
      </rPr>
      <t>さらに、同じ寮で暮らす副操縦士・成瀬</t>
    </r>
    <r>
      <rPr>
        <rFont val="Arial"/>
        <sz val="10.0"/>
      </rPr>
      <t>(</t>
    </r>
    <r>
      <rPr>
        <rFont val="ＭＳ Ｐゴシック"/>
        <sz val="10.0"/>
      </rPr>
      <t>千葉雄大</t>
    </r>
    <r>
      <rPr>
        <rFont val="Arial"/>
        <sz val="10.0"/>
      </rPr>
      <t>)</t>
    </r>
    <r>
      <rPr>
        <rFont val="ＭＳ Ｐゴシック"/>
        <sz val="10.0"/>
      </rPr>
      <t>、整備士・四宮</t>
    </r>
    <r>
      <rPr>
        <rFont val="Arial"/>
        <sz val="10.0"/>
      </rPr>
      <t>(</t>
    </r>
    <r>
      <rPr>
        <rFont val="ＭＳ Ｐゴシック"/>
        <sz val="10.0"/>
      </rPr>
      <t>戸次重幸</t>
    </r>
    <r>
      <rPr>
        <rFont val="Arial"/>
        <sz val="10.0"/>
      </rPr>
      <t>)</t>
    </r>
    <r>
      <rPr>
        <rFont val="ＭＳ Ｐゴシック"/>
        <sz val="10.0"/>
      </rPr>
      <t>を巻き込み、おっさん同士のテラスハウス</t>
    </r>
    <r>
      <rPr>
        <rFont val="Arial"/>
        <sz val="10.0"/>
      </rPr>
      <t>…</t>
    </r>
    <r>
      <rPr>
        <rFont val="ＭＳ Ｐゴシック"/>
        <sz val="10.0"/>
      </rPr>
      <t>ならぬラブバトルに発展</t>
    </r>
    <r>
      <rPr>
        <rFont val="Arial"/>
        <sz val="10.0"/>
      </rPr>
      <t xml:space="preserve">…?  </t>
    </r>
    <r>
      <rPr>
        <rFont val="ＭＳ Ｐゴシック"/>
        <sz val="10.0"/>
      </rPr>
      <t>人を好きになるとはどういうことなのかー</t>
    </r>
    <r>
      <rPr>
        <rFont val="Arial"/>
        <sz val="10.0"/>
      </rPr>
      <t>?</t>
    </r>
    <r>
      <rPr>
        <rFont val="ＭＳ Ｐゴシック"/>
        <sz val="10.0"/>
      </rPr>
      <t>令和最初の冬に、新たな恋の乱気流が吹き荒れる</t>
    </r>
    <r>
      <rPr>
        <rFont val="Arial"/>
        <sz val="10.0"/>
      </rPr>
      <t>!</t>
    </r>
  </si>
  <si>
    <t>番組名おっさんずラブ　-in the sky-　#7/そして誰もいなくなった</t>
  </si>
  <si>
    <r>
      <rPr>
        <rFont val="ＭＳ Ｐゴシック"/>
        <sz val="10.0"/>
      </rPr>
      <t>社会現象を巻き起こしたおっさん同士のピュアラブが、舞台を</t>
    </r>
    <r>
      <rPr>
        <rFont val="Arial"/>
        <sz val="10.0"/>
      </rPr>
      <t>“</t>
    </r>
    <r>
      <rPr>
        <rFont val="ＭＳ Ｐゴシック"/>
        <sz val="10.0"/>
      </rPr>
      <t>空</t>
    </r>
    <r>
      <rPr>
        <rFont val="Arial"/>
        <sz val="10.0"/>
      </rPr>
      <t>"</t>
    </r>
    <r>
      <rPr>
        <rFont val="ＭＳ Ｐゴシック"/>
        <sz val="10.0"/>
      </rPr>
      <t>に生まれ変わるー</t>
    </r>
    <r>
      <rPr>
        <rFont val="Arial"/>
        <sz val="10.0"/>
      </rPr>
      <t xml:space="preserve">!  </t>
    </r>
    <r>
      <rPr>
        <rFont val="ＭＳ Ｐゴシック"/>
        <sz val="10.0"/>
      </rPr>
      <t>ポンコツ新人</t>
    </r>
    <r>
      <rPr>
        <rFont val="Arial"/>
        <sz val="10.0"/>
      </rPr>
      <t>CA</t>
    </r>
    <r>
      <rPr>
        <rFont val="ＭＳ Ｐゴシック"/>
        <sz val="10.0"/>
      </rPr>
      <t>春田</t>
    </r>
    <r>
      <rPr>
        <rFont val="Arial"/>
        <sz val="10.0"/>
      </rPr>
      <t>(</t>
    </r>
    <r>
      <rPr>
        <rFont val="ＭＳ Ｐゴシック"/>
        <sz val="10.0"/>
      </rPr>
      <t>田中圭</t>
    </r>
    <r>
      <rPr>
        <rFont val="Arial"/>
        <sz val="10.0"/>
      </rPr>
      <t>)</t>
    </r>
    <r>
      <rPr>
        <rFont val="ＭＳ Ｐゴシック"/>
        <sz val="10.0"/>
      </rPr>
      <t>はある日突然、機長の黒澤</t>
    </r>
    <r>
      <rPr>
        <rFont val="Arial"/>
        <sz val="10.0"/>
      </rPr>
      <t>(</t>
    </r>
    <r>
      <rPr>
        <rFont val="ＭＳ Ｐゴシック"/>
        <sz val="10.0"/>
      </rPr>
      <t>吉田鋼太郎</t>
    </r>
    <r>
      <rPr>
        <rFont val="Arial"/>
        <sz val="10.0"/>
      </rPr>
      <t>)</t>
    </r>
    <r>
      <rPr>
        <rFont val="ＭＳ Ｐゴシック"/>
        <sz val="10.0"/>
      </rPr>
      <t>に絶叫告白をされる</t>
    </r>
    <r>
      <rPr>
        <rFont val="Arial"/>
        <sz val="10.0"/>
      </rPr>
      <t>!</t>
    </r>
    <r>
      <rPr>
        <rFont val="ＭＳ Ｐゴシック"/>
        <sz val="10.0"/>
      </rPr>
      <t>さらに、同じ寮で暮らす副操縦士・成瀬</t>
    </r>
    <r>
      <rPr>
        <rFont val="Arial"/>
        <sz val="10.0"/>
      </rPr>
      <t>(</t>
    </r>
    <r>
      <rPr>
        <rFont val="ＭＳ Ｐゴシック"/>
        <sz val="10.0"/>
      </rPr>
      <t>千葉雄大</t>
    </r>
    <r>
      <rPr>
        <rFont val="Arial"/>
        <sz val="10.0"/>
      </rPr>
      <t>)</t>
    </r>
    <r>
      <rPr>
        <rFont val="ＭＳ Ｐゴシック"/>
        <sz val="10.0"/>
      </rPr>
      <t>、整備士・四宮</t>
    </r>
    <r>
      <rPr>
        <rFont val="Arial"/>
        <sz val="10.0"/>
      </rPr>
      <t>(</t>
    </r>
    <r>
      <rPr>
        <rFont val="ＭＳ Ｐゴシック"/>
        <sz val="10.0"/>
      </rPr>
      <t>戸次重幸</t>
    </r>
    <r>
      <rPr>
        <rFont val="Arial"/>
        <sz val="10.0"/>
      </rPr>
      <t>)</t>
    </r>
    <r>
      <rPr>
        <rFont val="ＭＳ Ｐゴシック"/>
        <sz val="10.0"/>
      </rPr>
      <t>を巻き込み、おっさん同士のテラスハウス</t>
    </r>
    <r>
      <rPr>
        <rFont val="Arial"/>
        <sz val="10.0"/>
      </rPr>
      <t>…</t>
    </r>
    <r>
      <rPr>
        <rFont val="ＭＳ Ｐゴシック"/>
        <sz val="10.0"/>
      </rPr>
      <t>ならぬラブバトルに発展</t>
    </r>
    <r>
      <rPr>
        <rFont val="Arial"/>
        <sz val="10.0"/>
      </rPr>
      <t xml:space="preserve">…?  </t>
    </r>
    <r>
      <rPr>
        <rFont val="ＭＳ Ｐゴシック"/>
        <sz val="10.0"/>
      </rPr>
      <t>人を好きになるとはどういうことなのかー</t>
    </r>
    <r>
      <rPr>
        <rFont val="Arial"/>
        <sz val="10.0"/>
      </rPr>
      <t>?</t>
    </r>
    <r>
      <rPr>
        <rFont val="ＭＳ Ｐゴシック"/>
        <sz val="10.0"/>
      </rPr>
      <t>令和最初の冬に、新たな恋の乱気流が吹き荒れる</t>
    </r>
    <r>
      <rPr>
        <rFont val="Arial"/>
        <sz val="10.0"/>
      </rPr>
      <t>!</t>
    </r>
  </si>
  <si>
    <t>番組名おっさんずラブ　-in the sky-　#8/天空のメリークリスマス</t>
  </si>
  <si>
    <r>
      <rPr>
        <rFont val="ＭＳ Ｐゴシック"/>
        <sz val="10.0"/>
      </rPr>
      <t>社会現象を巻き起こしたおっさん同士のピュアラブが、舞台を</t>
    </r>
    <r>
      <rPr>
        <rFont val="Arial"/>
        <sz val="10.0"/>
      </rPr>
      <t>“</t>
    </r>
    <r>
      <rPr>
        <rFont val="ＭＳ Ｐゴシック"/>
        <sz val="10.0"/>
      </rPr>
      <t>空</t>
    </r>
    <r>
      <rPr>
        <rFont val="Arial"/>
        <sz val="10.0"/>
      </rPr>
      <t>"</t>
    </r>
    <r>
      <rPr>
        <rFont val="ＭＳ Ｐゴシック"/>
        <sz val="10.0"/>
      </rPr>
      <t>に生まれ変わるー</t>
    </r>
    <r>
      <rPr>
        <rFont val="Arial"/>
        <sz val="10.0"/>
      </rPr>
      <t xml:space="preserve">!  </t>
    </r>
    <r>
      <rPr>
        <rFont val="ＭＳ Ｐゴシック"/>
        <sz val="10.0"/>
      </rPr>
      <t>ポンコツ新人</t>
    </r>
    <r>
      <rPr>
        <rFont val="Arial"/>
        <sz val="10.0"/>
      </rPr>
      <t>CA</t>
    </r>
    <r>
      <rPr>
        <rFont val="ＭＳ Ｐゴシック"/>
        <sz val="10.0"/>
      </rPr>
      <t>春田</t>
    </r>
    <r>
      <rPr>
        <rFont val="Arial"/>
        <sz val="10.0"/>
      </rPr>
      <t>(</t>
    </r>
    <r>
      <rPr>
        <rFont val="ＭＳ Ｐゴシック"/>
        <sz val="10.0"/>
      </rPr>
      <t>田中圭</t>
    </r>
    <r>
      <rPr>
        <rFont val="Arial"/>
        <sz val="10.0"/>
      </rPr>
      <t>)</t>
    </r>
    <r>
      <rPr>
        <rFont val="ＭＳ Ｐゴシック"/>
        <sz val="10.0"/>
      </rPr>
      <t>はある日突然、機長の黒澤</t>
    </r>
    <r>
      <rPr>
        <rFont val="Arial"/>
        <sz val="10.0"/>
      </rPr>
      <t>(</t>
    </r>
    <r>
      <rPr>
        <rFont val="ＭＳ Ｐゴシック"/>
        <sz val="10.0"/>
      </rPr>
      <t>吉田鋼太郎</t>
    </r>
    <r>
      <rPr>
        <rFont val="Arial"/>
        <sz val="10.0"/>
      </rPr>
      <t>)</t>
    </r>
    <r>
      <rPr>
        <rFont val="ＭＳ Ｐゴシック"/>
        <sz val="10.0"/>
      </rPr>
      <t>に絶叫告白をされる</t>
    </r>
    <r>
      <rPr>
        <rFont val="Arial"/>
        <sz val="10.0"/>
      </rPr>
      <t>!</t>
    </r>
    <r>
      <rPr>
        <rFont val="ＭＳ Ｐゴシック"/>
        <sz val="10.0"/>
      </rPr>
      <t>さらに、同じ寮で暮らす副操縦士・成瀬</t>
    </r>
    <r>
      <rPr>
        <rFont val="Arial"/>
        <sz val="10.0"/>
      </rPr>
      <t>(</t>
    </r>
    <r>
      <rPr>
        <rFont val="ＭＳ Ｐゴシック"/>
        <sz val="10.0"/>
      </rPr>
      <t>千葉雄大</t>
    </r>
    <r>
      <rPr>
        <rFont val="Arial"/>
        <sz val="10.0"/>
      </rPr>
      <t>)</t>
    </r>
    <r>
      <rPr>
        <rFont val="ＭＳ Ｐゴシック"/>
        <sz val="10.0"/>
      </rPr>
      <t>、整備士・四宮</t>
    </r>
    <r>
      <rPr>
        <rFont val="Arial"/>
        <sz val="10.0"/>
      </rPr>
      <t>(</t>
    </r>
    <r>
      <rPr>
        <rFont val="ＭＳ Ｐゴシック"/>
        <sz val="10.0"/>
      </rPr>
      <t>戸次重幸</t>
    </r>
    <r>
      <rPr>
        <rFont val="Arial"/>
        <sz val="10.0"/>
      </rPr>
      <t>)</t>
    </r>
    <r>
      <rPr>
        <rFont val="ＭＳ Ｐゴシック"/>
        <sz val="10.0"/>
      </rPr>
      <t>を巻き込み、おっさん同士のテラスハウス</t>
    </r>
    <r>
      <rPr>
        <rFont val="Arial"/>
        <sz val="10.0"/>
      </rPr>
      <t>…</t>
    </r>
    <r>
      <rPr>
        <rFont val="ＭＳ Ｐゴシック"/>
        <sz val="10.0"/>
      </rPr>
      <t>ならぬラブバトルに発展</t>
    </r>
    <r>
      <rPr>
        <rFont val="Arial"/>
        <sz val="10.0"/>
      </rPr>
      <t xml:space="preserve">…?  </t>
    </r>
    <r>
      <rPr>
        <rFont val="ＭＳ Ｐゴシック"/>
        <sz val="10.0"/>
      </rPr>
      <t>人を好きになるとはどういうことなのかー</t>
    </r>
    <r>
      <rPr>
        <rFont val="Arial"/>
        <sz val="10.0"/>
      </rPr>
      <t>?</t>
    </r>
    <r>
      <rPr>
        <rFont val="ＭＳ Ｐゴシック"/>
        <sz val="10.0"/>
      </rPr>
      <t>令和最初の冬に、新たな恋の乱気流が吹き荒れる</t>
    </r>
    <r>
      <rPr>
        <rFont val="Arial"/>
        <sz val="10.0"/>
      </rPr>
      <t>!</t>
    </r>
  </si>
  <si>
    <t>1907_EX_木21</t>
  </si>
  <si>
    <t>サイン</t>
  </si>
  <si>
    <t>番組名サイン-法医学者　柚木貴志の事件-　#1</t>
  </si>
  <si>
    <r>
      <rPr>
        <rFont val="ＭＳ Ｐゴシック"/>
        <sz val="10.0"/>
      </rPr>
      <t>国民的人気歌手・北見永士</t>
    </r>
    <r>
      <rPr>
        <rFont val="Arial"/>
        <sz val="10.0"/>
      </rPr>
      <t>(</t>
    </r>
    <r>
      <rPr>
        <rFont val="ＭＳ Ｐゴシック"/>
        <sz val="10.0"/>
      </rPr>
      <t>横山涼</t>
    </r>
    <r>
      <rPr>
        <rFont val="Arial"/>
        <sz val="10.0"/>
      </rPr>
      <t>)</t>
    </r>
    <r>
      <rPr>
        <rFont val="ＭＳ Ｐゴシック"/>
        <sz val="10.0"/>
      </rPr>
      <t>がライブ会場で死んでいるのが発見された</t>
    </r>
    <r>
      <rPr>
        <rFont val="Arial"/>
        <sz val="10.0"/>
      </rPr>
      <t>!</t>
    </r>
    <r>
      <rPr>
        <rFont val="ＭＳ Ｐゴシック"/>
        <sz val="10.0"/>
      </rPr>
      <t>解剖医・柚木貴志</t>
    </r>
    <r>
      <rPr>
        <rFont val="Arial"/>
        <sz val="10.0"/>
      </rPr>
      <t>(</t>
    </r>
    <r>
      <rPr>
        <rFont val="ＭＳ Ｐゴシック"/>
        <sz val="10.0"/>
      </rPr>
      <t>大森南朋</t>
    </r>
    <r>
      <rPr>
        <rFont val="Arial"/>
        <sz val="10.0"/>
      </rPr>
      <t>)</t>
    </r>
    <r>
      <rPr>
        <rFont val="ＭＳ Ｐゴシック"/>
        <sz val="10.0"/>
      </rPr>
      <t>が、北見の司法解剖を一任されるが、解剖直前になって、急な解剖医の変更が</t>
    </r>
    <r>
      <rPr>
        <rFont val="Arial"/>
        <sz val="10.0"/>
      </rPr>
      <t>…</t>
    </r>
    <r>
      <rPr>
        <rFont val="ＭＳ Ｐゴシック"/>
        <sz val="10.0"/>
      </rPr>
      <t>。納得のいかない柚木は、遺体を保管庫から盗み出すという暴挙に出る</t>
    </r>
    <r>
      <rPr>
        <rFont val="Arial"/>
        <sz val="10.0"/>
      </rPr>
      <t>!?</t>
    </r>
    <r>
      <rPr>
        <rFont val="ＭＳ Ｐゴシック"/>
        <sz val="10.0"/>
      </rPr>
      <t>偶発的に解剖室へ引きずり込んだ新人解剖医・中園景</t>
    </r>
    <r>
      <rPr>
        <rFont val="Arial"/>
        <sz val="10.0"/>
      </rPr>
      <t>(</t>
    </r>
    <r>
      <rPr>
        <rFont val="ＭＳ Ｐゴシック"/>
        <sz val="10.0"/>
      </rPr>
      <t>飯豊まりえ</t>
    </r>
    <r>
      <rPr>
        <rFont val="Arial"/>
        <sz val="10.0"/>
      </rPr>
      <t>)</t>
    </r>
    <r>
      <rPr>
        <rFont val="ＭＳ Ｐゴシック"/>
        <sz val="10.0"/>
      </rPr>
      <t>も巻き込み、無許可で解剖を開始</t>
    </r>
    <r>
      <rPr>
        <rFont val="Arial"/>
        <sz val="10.0"/>
      </rPr>
      <t>!</t>
    </r>
    <r>
      <rPr>
        <rFont val="ＭＳ Ｐゴシック"/>
        <sz val="10.0"/>
      </rPr>
      <t>死因は「</t>
    </r>
    <r>
      <rPr>
        <rFont val="Arial"/>
        <sz val="10.0"/>
      </rPr>
      <t>100%</t>
    </r>
    <r>
      <rPr>
        <rFont val="ＭＳ Ｐゴシック"/>
        <sz val="10.0"/>
      </rPr>
      <t>他殺」と断言し</t>
    </r>
    <r>
      <rPr>
        <rFont val="Arial"/>
        <sz val="10.0"/>
      </rPr>
      <t>…!?</t>
    </r>
  </si>
  <si>
    <t>国民的人気歌手・北見永士(横山涼)がライブ会場で死んでいるのが発見された!解剖医・柚木貴志(大森南朋)が、北見の司法解剖を一任されるが、解剖直前になって、急な解剖医の変更が…。納得のいかない柚木は、遺体を保管庫から盗み出すという暴挙に出る!?偶発的に解剖室へ引きずり込んだ新人解剖医・中園景(飯豊まりえ)も巻き込み、無許可で解剖を開始!死因は「100%他殺」と断言し…!?</t>
  </si>
  <si>
    <t>番組名サイン-法医学者　柚木貴志の事件-　#2</t>
  </si>
  <si>
    <r>
      <rPr>
        <rFont val="ＭＳ Ｐゴシック"/>
        <sz val="10.0"/>
      </rPr>
      <t>東京と埼玉で、同時期に胸に奇妙なアザのある女性の首吊り死体が見つかった。埼玉で解剖した柚木</t>
    </r>
    <r>
      <rPr>
        <rFont val="Arial"/>
        <sz val="10.0"/>
      </rPr>
      <t>(</t>
    </r>
    <r>
      <rPr>
        <rFont val="ＭＳ Ｐゴシック"/>
        <sz val="10.0"/>
      </rPr>
      <t>大森南朋</t>
    </r>
    <r>
      <rPr>
        <rFont val="Arial"/>
        <sz val="10.0"/>
      </rPr>
      <t>)</t>
    </r>
    <r>
      <rPr>
        <rFont val="ＭＳ Ｐゴシック"/>
        <sz val="10.0"/>
      </rPr>
      <t>は「自殺に見せかけた他殺」と結論づける。一方、東京の伊達</t>
    </r>
    <r>
      <rPr>
        <rFont val="Arial"/>
        <sz val="10.0"/>
      </rPr>
      <t>(</t>
    </r>
    <r>
      <rPr>
        <rFont val="ＭＳ Ｐゴシック"/>
        <sz val="10.0"/>
      </rPr>
      <t>仲村トオル</t>
    </r>
    <r>
      <rPr>
        <rFont val="Arial"/>
        <sz val="10.0"/>
      </rPr>
      <t>)</t>
    </r>
    <r>
      <rPr>
        <rFont val="ＭＳ Ｐゴシック"/>
        <sz val="10.0"/>
      </rPr>
      <t>はある事情から早々に解剖を終了。「首吊りによる自殺で間違いない」と言い切り</t>
    </r>
    <r>
      <rPr>
        <rFont val="Arial"/>
        <sz val="10.0"/>
      </rPr>
      <t>…2</t>
    </r>
    <r>
      <rPr>
        <rFont val="ＭＳ Ｐゴシック"/>
        <sz val="10.0"/>
      </rPr>
      <t>人の見解は</t>
    </r>
    <r>
      <rPr>
        <rFont val="Arial"/>
        <sz val="10.0"/>
      </rPr>
      <t>“</t>
    </r>
    <r>
      <rPr>
        <rFont val="ＭＳ Ｐゴシック"/>
        <sz val="10.0"/>
      </rPr>
      <t>他殺</t>
    </r>
    <r>
      <rPr>
        <rFont val="Arial"/>
        <sz val="10.0"/>
      </rPr>
      <t>"</t>
    </r>
    <r>
      <rPr>
        <rFont val="ＭＳ Ｐゴシック"/>
        <sz val="10.0"/>
      </rPr>
      <t>と</t>
    </r>
    <r>
      <rPr>
        <rFont val="Arial"/>
        <sz val="10.0"/>
      </rPr>
      <t>“</t>
    </r>
    <r>
      <rPr>
        <rFont val="ＭＳ Ｐゴシック"/>
        <sz val="10.0"/>
      </rPr>
      <t>自殺</t>
    </r>
    <r>
      <rPr>
        <rFont val="Arial"/>
        <sz val="10.0"/>
      </rPr>
      <t>"</t>
    </r>
    <r>
      <rPr>
        <rFont val="ＭＳ Ｐゴシック"/>
        <sz val="10.0"/>
      </rPr>
      <t>の真っ二つに割れる。そんな中、埼玉で新たな首吊り死体が立て続けに発見される。</t>
    </r>
    <r>
      <rPr>
        <rFont val="Arial"/>
        <sz val="10.0"/>
      </rPr>
      <t xml:space="preserve">  </t>
    </r>
    <r>
      <rPr>
        <rFont val="ＭＳ Ｐゴシック"/>
        <sz val="10.0"/>
      </rPr>
      <t>震撼の連続殺人事件ーその真相を法医学が暴く</t>
    </r>
    <r>
      <rPr>
        <rFont val="Arial"/>
        <sz val="10.0"/>
      </rPr>
      <t>!!</t>
    </r>
  </si>
  <si>
    <t>東京と埼玉で、同時期に胸に奇妙なアザのある女性の首吊り死体が見つかった。埼玉で解剖した柚木(大森南朋)は「自殺に見せかけた他殺」と結論づける。一方、東京の伊達(仲村トオル)はある事情から早々に解剖を終了。「首吊りによる自殺で間違いない」と言い切り…2人の見解は“他殺"と“自殺"の真っ二つに割れる。そんな中、埼玉で新たな首吊り死体が立て続けに発見される。  震撼の連続殺人事件ーその真相を法医学が暴く!!</t>
  </si>
  <si>
    <t>番組名サイン-法医学者　柚木貴志の事件-　#3</t>
  </si>
  <si>
    <r>
      <rPr>
        <rFont val="ＭＳ Ｐゴシック"/>
        <sz val="10.0"/>
      </rPr>
      <t>暴力団員がスナック店内で、腹部と眉間を撃たれて死亡</t>
    </r>
    <r>
      <rPr>
        <rFont val="Arial"/>
        <sz val="10.0"/>
      </rPr>
      <t>!</t>
    </r>
    <r>
      <rPr>
        <rFont val="ＭＳ Ｐゴシック"/>
        <sz val="10.0"/>
      </rPr>
      <t>警視庁組織犯罪対策四課は「逃走中の暴力団員が抗争の末に射殺した」とにらみ、解剖を担当した日本法医学研究院の副院長・橘</t>
    </r>
    <r>
      <rPr>
        <rFont val="Arial"/>
        <sz val="10.0"/>
      </rPr>
      <t>(</t>
    </r>
    <r>
      <rPr>
        <rFont val="ＭＳ Ｐゴシック"/>
        <sz val="10.0"/>
      </rPr>
      <t>淵上泰史</t>
    </r>
    <r>
      <rPr>
        <rFont val="Arial"/>
        <sz val="10.0"/>
      </rPr>
      <t>)</t>
    </r>
    <r>
      <rPr>
        <rFont val="ＭＳ Ｐゴシック"/>
        <sz val="10.0"/>
      </rPr>
      <t>も同じ結論を出す。だが、疑問を抱いた解剖医・柚木</t>
    </r>
    <r>
      <rPr>
        <rFont val="Arial"/>
        <sz val="10.0"/>
      </rPr>
      <t>(</t>
    </r>
    <r>
      <rPr>
        <rFont val="ＭＳ Ｐゴシック"/>
        <sz val="10.0"/>
      </rPr>
      <t>大森南朋</t>
    </r>
    <r>
      <rPr>
        <rFont val="Arial"/>
        <sz val="10.0"/>
      </rPr>
      <t>)</t>
    </r>
    <r>
      <rPr>
        <rFont val="ＭＳ Ｐゴシック"/>
        <sz val="10.0"/>
      </rPr>
      <t>は、千聖</t>
    </r>
    <r>
      <rPr>
        <rFont val="Arial"/>
        <sz val="10.0"/>
      </rPr>
      <t>(</t>
    </r>
    <r>
      <rPr>
        <rFont val="ＭＳ Ｐゴシック"/>
        <sz val="10.0"/>
      </rPr>
      <t>松雪泰子</t>
    </r>
    <r>
      <rPr>
        <rFont val="Arial"/>
        <sz val="10.0"/>
      </rPr>
      <t>)</t>
    </r>
    <r>
      <rPr>
        <rFont val="ＭＳ Ｐゴシック"/>
        <sz val="10.0"/>
      </rPr>
      <t>に協力してもらい、景</t>
    </r>
    <r>
      <rPr>
        <rFont val="Arial"/>
        <sz val="10.0"/>
      </rPr>
      <t>(</t>
    </r>
    <r>
      <rPr>
        <rFont val="ＭＳ Ｐゴシック"/>
        <sz val="10.0"/>
      </rPr>
      <t>飯豊まりえ</t>
    </r>
    <r>
      <rPr>
        <rFont val="Arial"/>
        <sz val="10.0"/>
      </rPr>
      <t>)</t>
    </r>
    <r>
      <rPr>
        <rFont val="ＭＳ Ｐゴシック"/>
        <sz val="10.0"/>
      </rPr>
      <t>とともに事件現場となったスナック店内に潜入。飛び散った血痕の状況から、</t>
    </r>
    <r>
      <rPr>
        <rFont val="Arial"/>
        <sz val="10.0"/>
      </rPr>
      <t>“</t>
    </r>
    <r>
      <rPr>
        <rFont val="ＭＳ Ｐゴシック"/>
        <sz val="10.0"/>
      </rPr>
      <t>ある矛盾のサイン</t>
    </r>
    <r>
      <rPr>
        <rFont val="Arial"/>
        <sz val="10.0"/>
      </rPr>
      <t>"</t>
    </r>
    <r>
      <rPr>
        <rFont val="ＭＳ Ｐゴシック"/>
        <sz val="10.0"/>
      </rPr>
      <t>を嗅ぎ取るが</t>
    </r>
    <r>
      <rPr>
        <rFont val="Arial"/>
        <sz val="10.0"/>
      </rPr>
      <t>…!?</t>
    </r>
  </si>
  <si>
    <t>暴力団員がスナック店内で、腹部と眉間を撃たれて死亡!警視庁組織犯罪対策四課は「逃走中の暴力団員が抗争の末に射殺した」とにらみ、解剖を担当した日本法医学研究院の副院長・橘(淵上泰史)も同じ結論を出す。だが、疑問を抱いた解剖医・柚木(大森南朋)は、千聖(松雪泰子)に協力してもらい、景(飯豊まりえ)とともに事件現場となったスナック店内に潜入。飛び散った血痕の状況から、“ある矛盾のサイン"を嗅ぎ取るが…!?</t>
  </si>
  <si>
    <t>番組名サイン-法医学者　柚木貴志の事件-　#4</t>
  </si>
  <si>
    <r>
      <rPr>
        <rFont val="ＭＳ Ｐゴシック"/>
        <sz val="10.0"/>
      </rPr>
      <t>柚木</t>
    </r>
    <r>
      <rPr>
        <rFont val="Arial"/>
        <sz val="10.0"/>
      </rPr>
      <t>(</t>
    </r>
    <r>
      <rPr>
        <rFont val="ＭＳ Ｐゴシック"/>
        <sz val="10.0"/>
      </rPr>
      <t>大森南朋</t>
    </r>
    <r>
      <rPr>
        <rFont val="Arial"/>
        <sz val="10.0"/>
      </rPr>
      <t>)</t>
    </r>
    <r>
      <rPr>
        <rFont val="ＭＳ Ｐゴシック"/>
        <sz val="10.0"/>
      </rPr>
      <t>の亡き父が務めていた病院の医師</t>
    </r>
    <r>
      <rPr>
        <rFont val="Arial"/>
        <sz val="10.0"/>
      </rPr>
      <t>2</t>
    </r>
    <r>
      <rPr>
        <rFont val="ＭＳ Ｐゴシック"/>
        <sz val="10.0"/>
      </rPr>
      <t>人が、ほぼ同時刻に別々の場所で突然死した。千聖</t>
    </r>
    <r>
      <rPr>
        <rFont val="Arial"/>
        <sz val="10.0"/>
      </rPr>
      <t>(</t>
    </r>
    <r>
      <rPr>
        <rFont val="ＭＳ Ｐゴシック"/>
        <sz val="10.0"/>
      </rPr>
      <t>松雪泰子</t>
    </r>
    <r>
      <rPr>
        <rFont val="Arial"/>
        <sz val="10.0"/>
      </rPr>
      <t>)</t>
    </r>
    <r>
      <rPr>
        <rFont val="ＭＳ Ｐゴシック"/>
        <sz val="10.0"/>
      </rPr>
      <t>らは事件性を疑うが、解剖結果は特に異常なし。心不全としか言いようのない状態で</t>
    </r>
    <r>
      <rPr>
        <rFont val="Arial"/>
        <sz val="10.0"/>
      </rPr>
      <t>…!?</t>
    </r>
    <r>
      <rPr>
        <rFont val="ＭＳ Ｐゴシック"/>
        <sz val="10.0"/>
      </rPr>
      <t>一方、柚木のもとへ「やすもとしょうこ」と名乗る人物から、「日本法医学研究院」の解剖結果ねつ造を暴露する封書が届き</t>
    </r>
    <r>
      <rPr>
        <rFont val="Arial"/>
        <sz val="10.0"/>
      </rPr>
      <t>…!?</t>
    </r>
    <r>
      <rPr>
        <rFont val="ＭＳ Ｐゴシック"/>
        <sz val="10.0"/>
      </rPr>
      <t>そんな中、柚木を奈落の底へと突き落とす</t>
    </r>
    <r>
      <rPr>
        <rFont val="Arial"/>
        <sz val="10.0"/>
      </rPr>
      <t>“</t>
    </r>
    <r>
      <rPr>
        <rFont val="ＭＳ Ｐゴシック"/>
        <sz val="10.0"/>
      </rPr>
      <t>あってはならない出来事</t>
    </r>
    <r>
      <rPr>
        <rFont val="Arial"/>
        <sz val="10.0"/>
      </rPr>
      <t>"</t>
    </r>
    <r>
      <rPr>
        <rFont val="ＭＳ Ｐゴシック"/>
        <sz val="10.0"/>
      </rPr>
      <t>が起こってしまうー</t>
    </r>
    <r>
      <rPr>
        <rFont val="Arial"/>
        <sz val="10.0"/>
      </rPr>
      <t>!</t>
    </r>
  </si>
  <si>
    <t>柚木(大森南朋)の亡き父が務めていた病院の医師2人が、ほぼ同時刻に別々の場所で突然死した。千聖(松雪泰子)らは事件性を疑うが、解剖結果は特に異常なし。心不全としか言いようのない状態で…!?一方、柚木のもとへ「やすもとしょうこ」と名乗る人物から、「日本法医学研究院」の解剖結果ねつ造を暴露する封書が届き…!?そんな中、柚木を奈落の底へと突き落とす“あってはならない出来事"が起こってしまうー!</t>
  </si>
  <si>
    <t>番組名サイン-法医学者　柚木貴志の事件-　#5</t>
  </si>
  <si>
    <r>
      <rPr>
        <rFont val="ＭＳ Ｐゴシック"/>
        <sz val="10.0"/>
      </rPr>
      <t>恩人である「日本法医学研究院」の元院長・兵藤邦昭</t>
    </r>
    <r>
      <rPr>
        <rFont val="Arial"/>
        <sz val="10.0"/>
      </rPr>
      <t>(</t>
    </r>
    <r>
      <rPr>
        <rFont val="ＭＳ Ｐゴシック"/>
        <sz val="10.0"/>
      </rPr>
      <t>西田敏行</t>
    </r>
    <r>
      <rPr>
        <rFont val="Arial"/>
        <sz val="10.0"/>
      </rPr>
      <t>)</t>
    </r>
    <r>
      <rPr>
        <rFont val="ＭＳ Ｐゴシック"/>
        <sz val="10.0"/>
      </rPr>
      <t>の自殺に、激しいショックと疑念を抱く柚木</t>
    </r>
    <r>
      <rPr>
        <rFont val="Arial"/>
        <sz val="10.0"/>
      </rPr>
      <t>(</t>
    </r>
    <r>
      <rPr>
        <rFont val="ＭＳ Ｐゴシック"/>
        <sz val="10.0"/>
      </rPr>
      <t>大森南朋</t>
    </r>
    <r>
      <rPr>
        <rFont val="Arial"/>
        <sz val="10.0"/>
      </rPr>
      <t>)</t>
    </r>
    <r>
      <rPr>
        <rFont val="ＭＳ Ｐゴシック"/>
        <sz val="10.0"/>
      </rPr>
      <t>。その矢先、不審な死を遂げた医師</t>
    </r>
    <r>
      <rPr>
        <rFont val="Arial"/>
        <sz val="10.0"/>
      </rPr>
      <t>2</t>
    </r>
    <r>
      <rPr>
        <rFont val="ＭＳ Ｐゴシック"/>
        <sz val="10.0"/>
      </rPr>
      <t>人に続き、元看護師も遺体で見つかり、</t>
    </r>
    <r>
      <rPr>
        <rFont val="Arial"/>
        <sz val="10.0"/>
      </rPr>
      <t>3</t>
    </r>
    <r>
      <rPr>
        <rFont val="ＭＳ Ｐゴシック"/>
        <sz val="10.0"/>
      </rPr>
      <t>人の接点が</t>
    </r>
    <r>
      <rPr>
        <rFont val="Arial"/>
        <sz val="10.0"/>
      </rPr>
      <t>“25</t>
    </r>
    <r>
      <rPr>
        <rFont val="ＭＳ Ｐゴシック"/>
        <sz val="10.0"/>
      </rPr>
      <t>年前の医療ミス疑惑</t>
    </r>
    <r>
      <rPr>
        <rFont val="Arial"/>
        <sz val="10.0"/>
      </rPr>
      <t>"</t>
    </r>
    <r>
      <rPr>
        <rFont val="ＭＳ Ｐゴシック"/>
        <sz val="10.0"/>
      </rPr>
      <t>にあることが判明</t>
    </r>
    <r>
      <rPr>
        <rFont val="Arial"/>
        <sz val="10.0"/>
      </rPr>
      <t>!</t>
    </r>
    <r>
      <rPr>
        <rFont val="ＭＳ Ｐゴシック"/>
        <sz val="10.0"/>
      </rPr>
      <t>混迷を極める事態</t>
    </r>
    <r>
      <rPr>
        <rFont val="Arial"/>
        <sz val="10.0"/>
      </rPr>
      <t>…</t>
    </r>
    <r>
      <rPr>
        <rFont val="ＭＳ Ｐゴシック"/>
        <sz val="10.0"/>
      </rPr>
      <t>。やがて、同じく</t>
    </r>
    <r>
      <rPr>
        <rFont val="Arial"/>
        <sz val="10.0"/>
      </rPr>
      <t>25</t>
    </r>
    <r>
      <rPr>
        <rFont val="ＭＳ Ｐゴシック"/>
        <sz val="10.0"/>
      </rPr>
      <t>年前にこの世を去った柚木の父の死因に関する</t>
    </r>
    <r>
      <rPr>
        <rFont val="Arial"/>
        <sz val="10.0"/>
      </rPr>
      <t>“</t>
    </r>
    <r>
      <rPr>
        <rFont val="ＭＳ Ｐゴシック"/>
        <sz val="10.0"/>
      </rPr>
      <t>衝撃の真実</t>
    </r>
    <r>
      <rPr>
        <rFont val="Arial"/>
        <sz val="10.0"/>
      </rPr>
      <t>"</t>
    </r>
    <r>
      <rPr>
        <rFont val="ＭＳ Ｐゴシック"/>
        <sz val="10.0"/>
      </rPr>
      <t>も明らかに</t>
    </r>
    <r>
      <rPr>
        <rFont val="Arial"/>
        <sz val="10.0"/>
      </rPr>
      <t>!</t>
    </r>
    <r>
      <rPr>
        <rFont val="ＭＳ Ｐゴシック"/>
        <sz val="10.0"/>
      </rPr>
      <t>この真実が、柚木の確固たる信念に揺さぶりをかけ</t>
    </r>
    <r>
      <rPr>
        <rFont val="Arial"/>
        <sz val="10.0"/>
      </rPr>
      <t>…!?</t>
    </r>
  </si>
  <si>
    <t>恩人である「日本法医学研究院」の元院長・兵藤邦昭(西田敏行)の自殺に、激しいショックと疑念を抱く柚木(大森南朋)。その矢先、不審な死を遂げた医師2人に続き、元看護師も遺体で見つかり、3人の接点が“25年前の医療ミス疑惑"にあることが判明!混迷を極める事態…。やがて、同じく25年前にこの世を去った柚木の父の死因に関する“衝撃の真実"も明らかに!この真実が、柚木の確固たる信念に揺さぶりをかけ…!?</t>
  </si>
  <si>
    <t>番組名サイン-法医学者　柚木貴志の事件-　#6</t>
  </si>
  <si>
    <r>
      <rPr>
        <rFont val="ＭＳ Ｐゴシック"/>
        <sz val="10.0"/>
      </rPr>
      <t>法医学の未来を守るため解剖結果をねつ造してしまった柚木</t>
    </r>
    <r>
      <rPr>
        <rFont val="Arial"/>
        <sz val="10.0"/>
      </rPr>
      <t>(</t>
    </r>
    <r>
      <rPr>
        <rFont val="ＭＳ Ｐゴシック"/>
        <sz val="10.0"/>
      </rPr>
      <t>大森南朋</t>
    </r>
    <r>
      <rPr>
        <rFont val="Arial"/>
        <sz val="10.0"/>
      </rPr>
      <t>)</t>
    </r>
    <r>
      <rPr>
        <rFont val="ＭＳ Ｐゴシック"/>
        <sz val="10.0"/>
      </rPr>
      <t>は、自責の念にかられ「日本法医学研究院」を辞職。その矢先、女性会社員が金槌で撲殺される事件が発生し、落合という不審者が連行された。だが、落合にはアリバイがあり、有罪を裏付ける証拠は皆無</t>
    </r>
    <r>
      <rPr>
        <rFont val="Arial"/>
        <sz val="10.0"/>
      </rPr>
      <t>…</t>
    </r>
    <r>
      <rPr>
        <rFont val="ＭＳ Ｐゴシック"/>
        <sz val="10.0"/>
      </rPr>
      <t>。</t>
    </r>
    <r>
      <rPr>
        <rFont val="Arial"/>
        <sz val="10.0"/>
      </rPr>
      <t xml:space="preserve">  </t>
    </r>
    <r>
      <rPr>
        <rFont val="ＭＳ Ｐゴシック"/>
        <sz val="10.0"/>
      </rPr>
      <t>一方、</t>
    </r>
    <r>
      <rPr>
        <rFont val="Arial"/>
        <sz val="10.0"/>
      </rPr>
      <t>3</t>
    </r>
    <r>
      <rPr>
        <rFont val="ＭＳ Ｐゴシック"/>
        <sz val="10.0"/>
      </rPr>
      <t>年前に自分の妹を意識不明の重体に陥らせたのも落合だと確信した新人解剖医・景</t>
    </r>
    <r>
      <rPr>
        <rFont val="Arial"/>
        <sz val="10.0"/>
      </rPr>
      <t>(</t>
    </r>
    <r>
      <rPr>
        <rFont val="ＭＳ Ｐゴシック"/>
        <sz val="10.0"/>
      </rPr>
      <t>飯豊まりえ</t>
    </r>
    <r>
      <rPr>
        <rFont val="Arial"/>
        <sz val="10.0"/>
      </rPr>
      <t>)</t>
    </r>
    <r>
      <rPr>
        <rFont val="ＭＳ Ｐゴシック"/>
        <sz val="10.0"/>
      </rPr>
      <t>は憎悪をたぎらせ、証拠探しに躍起になるが</t>
    </r>
    <r>
      <rPr>
        <rFont val="Arial"/>
        <sz val="10.0"/>
      </rPr>
      <t>…!?</t>
    </r>
  </si>
  <si>
    <t>法医学の未来を守るため解剖結果をねつ造してしまった柚木(大森南朋)は、自責の念にかられ「日本法医学研究院」を辞職。その矢先、女性会社員が金槌で撲殺される事件が発生し、落合という不審者が連行された。だが、落合にはアリバイがあり、有罪を裏付ける証拠は皆無…。  一方、3年前に自分の妹を意識不明の重体に陥らせたのも落合だと確信した新人解剖医・景(飯豊まりえ)は憎悪をたぎらせ、証拠探しに躍起になるが…!?</t>
  </si>
  <si>
    <t>番組名サイン-法医学者　柚木貴志の事件-　#7</t>
  </si>
  <si>
    <r>
      <rPr>
        <rFont val="ＭＳ Ｐゴシック"/>
        <sz val="10.0"/>
      </rPr>
      <t>新人解剖医・景</t>
    </r>
    <r>
      <rPr>
        <rFont val="Arial"/>
        <sz val="10.0"/>
      </rPr>
      <t>(</t>
    </r>
    <r>
      <rPr>
        <rFont val="ＭＳ Ｐゴシック"/>
        <sz val="10.0"/>
      </rPr>
      <t>飯豊まりえ</t>
    </r>
    <r>
      <rPr>
        <rFont val="Arial"/>
        <sz val="10.0"/>
      </rPr>
      <t>)</t>
    </r>
    <r>
      <rPr>
        <rFont val="ＭＳ Ｐゴシック"/>
        <sz val="10.0"/>
      </rPr>
      <t>の妹も被害を受けた、不気味なゲーム殺人事件に急展開</t>
    </r>
    <r>
      <rPr>
        <rFont val="Arial"/>
        <sz val="10.0"/>
      </rPr>
      <t>!</t>
    </r>
    <r>
      <rPr>
        <rFont val="ＭＳ Ｐゴシック"/>
        <sz val="10.0"/>
      </rPr>
      <t>さらに、解剖医・柚木</t>
    </r>
    <r>
      <rPr>
        <rFont val="Arial"/>
        <sz val="10.0"/>
      </rPr>
      <t>(</t>
    </r>
    <r>
      <rPr>
        <rFont val="ＭＳ Ｐゴシック"/>
        <sz val="10.0"/>
      </rPr>
      <t>大森南朋</t>
    </r>
    <r>
      <rPr>
        <rFont val="Arial"/>
        <sz val="10.0"/>
      </rPr>
      <t>)</t>
    </r>
    <r>
      <rPr>
        <rFont val="ＭＳ Ｐゴシック"/>
        <sz val="10.0"/>
      </rPr>
      <t>にとって</t>
    </r>
    <r>
      <rPr>
        <rFont val="Arial"/>
        <sz val="10.0"/>
      </rPr>
      <t>“</t>
    </r>
    <r>
      <rPr>
        <rFont val="ＭＳ Ｐゴシック"/>
        <sz val="10.0"/>
      </rPr>
      <t>因縁の事件</t>
    </r>
    <r>
      <rPr>
        <rFont val="Arial"/>
        <sz val="10.0"/>
      </rPr>
      <t>"</t>
    </r>
    <r>
      <rPr>
        <rFont val="ＭＳ Ｐゴシック"/>
        <sz val="10.0"/>
      </rPr>
      <t>も再び大きく動き出す</t>
    </r>
    <r>
      <rPr>
        <rFont val="Arial"/>
        <sz val="10.0"/>
      </rPr>
      <t>!!</t>
    </r>
    <r>
      <rPr>
        <rFont val="ＭＳ Ｐゴシック"/>
        <sz val="10.0"/>
      </rPr>
      <t>なんと人気歌手・北見永士</t>
    </r>
    <r>
      <rPr>
        <rFont val="Arial"/>
        <sz val="10.0"/>
      </rPr>
      <t>(</t>
    </r>
    <r>
      <rPr>
        <rFont val="ＭＳ Ｐゴシック"/>
        <sz val="10.0"/>
      </rPr>
      <t>横山涼</t>
    </r>
    <r>
      <rPr>
        <rFont val="Arial"/>
        <sz val="10.0"/>
      </rPr>
      <t>)</t>
    </r>
    <r>
      <rPr>
        <rFont val="ＭＳ Ｐゴシック"/>
        <sz val="10.0"/>
      </rPr>
      <t>を殺したと自首して服役中の清花</t>
    </r>
    <r>
      <rPr>
        <rFont val="Arial"/>
        <sz val="10.0"/>
      </rPr>
      <t>(</t>
    </r>
    <r>
      <rPr>
        <rFont val="ＭＳ Ｐゴシック"/>
        <sz val="10.0"/>
      </rPr>
      <t>柳美稀</t>
    </r>
    <r>
      <rPr>
        <rFont val="Arial"/>
        <sz val="10.0"/>
      </rPr>
      <t>)</t>
    </r>
    <r>
      <rPr>
        <rFont val="ＭＳ Ｐゴシック"/>
        <sz val="10.0"/>
      </rPr>
      <t>が一転、無実を主張。その清花がまたも主張を覆した直後、突然シャワー室で死んでしまう。調べを進めると、北見事件に関する</t>
    </r>
    <r>
      <rPr>
        <rFont val="Arial"/>
        <sz val="10.0"/>
      </rPr>
      <t>“</t>
    </r>
    <r>
      <rPr>
        <rFont val="ＭＳ Ｐゴシック"/>
        <sz val="10.0"/>
      </rPr>
      <t>驚愕の事実</t>
    </r>
    <r>
      <rPr>
        <rFont val="Arial"/>
        <sz val="10.0"/>
      </rPr>
      <t>"</t>
    </r>
    <r>
      <rPr>
        <rFont val="ＭＳ Ｐゴシック"/>
        <sz val="10.0"/>
      </rPr>
      <t>と</t>
    </r>
    <r>
      <rPr>
        <rFont val="Arial"/>
        <sz val="10.0"/>
      </rPr>
      <t>“</t>
    </r>
    <r>
      <rPr>
        <rFont val="ＭＳ Ｐゴシック"/>
        <sz val="10.0"/>
      </rPr>
      <t>さらなる謎</t>
    </r>
    <r>
      <rPr>
        <rFont val="Arial"/>
        <sz val="10.0"/>
      </rPr>
      <t>"</t>
    </r>
    <r>
      <rPr>
        <rFont val="ＭＳ Ｐゴシック"/>
        <sz val="10.0"/>
      </rPr>
      <t>が浮かび上がり</t>
    </r>
    <r>
      <rPr>
        <rFont val="Arial"/>
        <sz val="10.0"/>
      </rPr>
      <t>…</t>
    </r>
  </si>
  <si>
    <t>新人解剖医・景(飯豊まりえ)の妹も被害を受けた、不気味なゲーム殺人事件に急展開!さらに、解剖医・柚木(大森南朋)にとって“因縁の事件"も再び大きく動き出す!!なんと人気歌手・北見永士(横山涼)を殺したと自首して服役中の清花(柳美稀)が一転、無実を主張。その清花がまたも主張を覆した直後、突然シャワー室で死んでしまう。調べを進めると、北見事件に関する“驚愕の事実"と“さらなる謎"が浮かび上がり…</t>
  </si>
  <si>
    <t>番組名サイン-法医学者　柚木貴志の事件-　#8</t>
  </si>
  <si>
    <r>
      <rPr>
        <rFont val="ＭＳ Ｐゴシック"/>
        <sz val="10.0"/>
      </rPr>
      <t>人気歌手・北見永士</t>
    </r>
    <r>
      <rPr>
        <rFont val="Arial"/>
        <sz val="10.0"/>
      </rPr>
      <t>(</t>
    </r>
    <r>
      <rPr>
        <rFont val="ＭＳ Ｐゴシック"/>
        <sz val="10.0"/>
      </rPr>
      <t>横山涼</t>
    </r>
    <r>
      <rPr>
        <rFont val="Arial"/>
        <sz val="10.0"/>
      </rPr>
      <t>)</t>
    </r>
    <r>
      <rPr>
        <rFont val="ＭＳ Ｐゴシック"/>
        <sz val="10.0"/>
      </rPr>
      <t>殺害事件の主犯は、次期総裁候補の娘・楓</t>
    </r>
    <r>
      <rPr>
        <rFont val="Arial"/>
        <sz val="10.0"/>
      </rPr>
      <t>(</t>
    </r>
    <r>
      <rPr>
        <rFont val="ＭＳ Ｐゴシック"/>
        <sz val="10.0"/>
      </rPr>
      <t>森川葵</t>
    </r>
    <r>
      <rPr>
        <rFont val="Arial"/>
        <sz val="10.0"/>
      </rPr>
      <t>)</t>
    </r>
    <r>
      <rPr>
        <rFont val="ＭＳ Ｐゴシック"/>
        <sz val="10.0"/>
      </rPr>
      <t>であり、彼女こそが北見を窒息死させてとどめを刺したに違いない</t>
    </r>
    <r>
      <rPr>
        <rFont val="Arial"/>
        <sz val="10.0"/>
      </rPr>
      <t>-</t>
    </r>
    <r>
      <rPr>
        <rFont val="ＭＳ Ｐゴシック"/>
        <sz val="10.0"/>
      </rPr>
      <t>。それが真実だと証明するため、解剖医・柚木</t>
    </r>
    <r>
      <rPr>
        <rFont val="Arial"/>
        <sz val="10.0"/>
      </rPr>
      <t>(</t>
    </r>
    <r>
      <rPr>
        <rFont val="ＭＳ Ｐゴシック"/>
        <sz val="10.0"/>
      </rPr>
      <t>大森南朋</t>
    </r>
    <r>
      <rPr>
        <rFont val="Arial"/>
        <sz val="10.0"/>
      </rPr>
      <t>)</t>
    </r>
    <r>
      <rPr>
        <rFont val="ＭＳ Ｐゴシック"/>
        <sz val="10.0"/>
      </rPr>
      <t>は警視庁捜査一課の千聖</t>
    </r>
    <r>
      <rPr>
        <rFont val="Arial"/>
        <sz val="10.0"/>
      </rPr>
      <t>(</t>
    </r>
    <r>
      <rPr>
        <rFont val="ＭＳ Ｐゴシック"/>
        <sz val="10.0"/>
      </rPr>
      <t>松雪泰子</t>
    </r>
    <r>
      <rPr>
        <rFont val="Arial"/>
        <sz val="10.0"/>
      </rPr>
      <t>)</t>
    </r>
    <r>
      <rPr>
        <rFont val="ＭＳ Ｐゴシック"/>
        <sz val="10.0"/>
      </rPr>
      <t>らと共に奔走する。だが、その矢先に共犯者の一人・会田</t>
    </r>
    <r>
      <rPr>
        <rFont val="Arial"/>
        <sz val="10.0"/>
      </rPr>
      <t>(</t>
    </r>
    <r>
      <rPr>
        <rFont val="ＭＳ Ｐゴシック"/>
        <sz val="10.0"/>
      </rPr>
      <t>猪野学</t>
    </r>
    <r>
      <rPr>
        <rFont val="Arial"/>
        <sz val="10.0"/>
      </rPr>
      <t>)</t>
    </r>
    <r>
      <rPr>
        <rFont val="ＭＳ Ｐゴシック"/>
        <sz val="10.0"/>
      </rPr>
      <t>が死亡してしまう</t>
    </r>
    <r>
      <rPr>
        <rFont val="Arial"/>
        <sz val="10.0"/>
      </rPr>
      <t>!</t>
    </r>
    <r>
      <rPr>
        <rFont val="ＭＳ Ｐゴシック"/>
        <sz val="10.0"/>
      </rPr>
      <t>さらに、楓がとうとう任意聴取に応じるが、そこには</t>
    </r>
    <r>
      <rPr>
        <rFont val="Arial"/>
        <sz val="10.0"/>
      </rPr>
      <t>“</t>
    </r>
    <r>
      <rPr>
        <rFont val="ＭＳ Ｐゴシック"/>
        <sz val="10.0"/>
      </rPr>
      <t>思わぬ落とし穴</t>
    </r>
    <r>
      <rPr>
        <rFont val="Arial"/>
        <sz val="10.0"/>
      </rPr>
      <t>"</t>
    </r>
    <r>
      <rPr>
        <rFont val="ＭＳ Ｐゴシック"/>
        <sz val="10.0"/>
      </rPr>
      <t>が待ち受けていて</t>
    </r>
    <r>
      <rPr>
        <rFont val="Arial"/>
        <sz val="10.0"/>
      </rPr>
      <t>…!?</t>
    </r>
  </si>
  <si>
    <t>人気歌手・北見永士(横山涼)殺害事件の主犯は、次期総裁候補の娘・楓(森川葵)であり、彼女こそが北見を窒息死させてとどめを刺したに違いない-。それが真実だと証明するため、解剖医・柚木(大森南朋)は警視庁捜査一課の千聖(松雪泰子)らと共に奔走する。だが、その矢先に共犯者の一人・会田(猪野学)が死亡してしまう!さらに、楓がとうとう任意聴取に応じるが、そこには“思わぬ落とし穴"が待ち受けていて…!?</t>
  </si>
  <si>
    <t>番組名サイン-法医学者　柚木貴志の事件-　#9</t>
  </si>
  <si>
    <r>
      <rPr>
        <rFont val="ＭＳ Ｐゴシック"/>
        <sz val="10.0"/>
      </rPr>
      <t>法医学</t>
    </r>
    <r>
      <rPr>
        <rFont val="Arial"/>
        <sz val="10.0"/>
      </rPr>
      <t>vs.</t>
    </r>
    <r>
      <rPr>
        <rFont val="ＭＳ Ｐゴシック"/>
        <sz val="10.0"/>
      </rPr>
      <t>巨大権力</t>
    </r>
    <r>
      <rPr>
        <rFont val="Arial"/>
        <sz val="10.0"/>
      </rPr>
      <t>“</t>
    </r>
    <r>
      <rPr>
        <rFont val="ＭＳ Ｐゴシック"/>
        <sz val="10.0"/>
      </rPr>
      <t>真実</t>
    </r>
    <r>
      <rPr>
        <rFont val="Arial"/>
        <sz val="10.0"/>
      </rPr>
      <t>"</t>
    </r>
    <r>
      <rPr>
        <rFont val="ＭＳ Ｐゴシック"/>
        <sz val="10.0"/>
      </rPr>
      <t>をめぐる攻防戦、ここに完結</t>
    </r>
    <r>
      <rPr>
        <rFont val="Arial"/>
        <sz val="10.0"/>
      </rPr>
      <t xml:space="preserve">!  </t>
    </r>
    <r>
      <rPr>
        <rFont val="ＭＳ Ｐゴシック"/>
        <sz val="10.0"/>
      </rPr>
      <t>殺された人気歌手の喉から見つかった</t>
    </r>
    <r>
      <rPr>
        <rFont val="Arial"/>
        <sz val="10.0"/>
      </rPr>
      <t>“</t>
    </r>
    <r>
      <rPr>
        <rFont val="ＭＳ Ｐゴシック"/>
        <sz val="10.0"/>
      </rPr>
      <t>青い繊維</t>
    </r>
    <r>
      <rPr>
        <rFont val="Arial"/>
        <sz val="10.0"/>
      </rPr>
      <t>"</t>
    </r>
    <r>
      <rPr>
        <rFont val="ＭＳ Ｐゴシック"/>
        <sz val="10.0"/>
      </rPr>
      <t>と、次期総裁候補の娘・楓</t>
    </r>
    <r>
      <rPr>
        <rFont val="Arial"/>
        <sz val="10.0"/>
      </rPr>
      <t>(</t>
    </r>
    <r>
      <rPr>
        <rFont val="ＭＳ Ｐゴシック"/>
        <sz val="10.0"/>
      </rPr>
      <t>森川葵</t>
    </r>
    <r>
      <rPr>
        <rFont val="Arial"/>
        <sz val="10.0"/>
      </rPr>
      <t>)</t>
    </r>
    <r>
      <rPr>
        <rFont val="ＭＳ Ｐゴシック"/>
        <sz val="10.0"/>
      </rPr>
      <t>の自宅から押収した凶器と思われる</t>
    </r>
    <r>
      <rPr>
        <rFont val="Arial"/>
        <sz val="10.0"/>
      </rPr>
      <t>“</t>
    </r>
    <r>
      <rPr>
        <rFont val="ＭＳ Ｐゴシック"/>
        <sz val="10.0"/>
      </rPr>
      <t>青いぬいぐるみ</t>
    </r>
    <r>
      <rPr>
        <rFont val="Arial"/>
        <sz val="10.0"/>
      </rPr>
      <t>"</t>
    </r>
    <r>
      <rPr>
        <rFont val="ＭＳ Ｐゴシック"/>
        <sz val="10.0"/>
      </rPr>
      <t>。柚木</t>
    </r>
    <r>
      <rPr>
        <rFont val="Arial"/>
        <sz val="10.0"/>
      </rPr>
      <t>(</t>
    </r>
    <r>
      <rPr>
        <rFont val="ＭＳ Ｐゴシック"/>
        <sz val="10.0"/>
      </rPr>
      <t>大森南朋</t>
    </r>
    <r>
      <rPr>
        <rFont val="Arial"/>
        <sz val="10.0"/>
      </rPr>
      <t>)</t>
    </r>
    <r>
      <rPr>
        <rFont val="ＭＳ Ｐゴシック"/>
        <sz val="10.0"/>
      </rPr>
      <t>らはこの</t>
    </r>
    <r>
      <rPr>
        <rFont val="Arial"/>
        <sz val="10.0"/>
      </rPr>
      <t>2</t>
    </r>
    <r>
      <rPr>
        <rFont val="ＭＳ Ｐゴシック"/>
        <sz val="10.0"/>
      </rPr>
      <t>つを照合検査にかけるが、結果は「不一致」で</t>
    </r>
    <r>
      <rPr>
        <rFont val="Arial"/>
        <sz val="10.0"/>
      </rPr>
      <t>…!</t>
    </r>
    <r>
      <rPr>
        <rFont val="ＭＳ Ｐゴシック"/>
        <sz val="10.0"/>
      </rPr>
      <t>権力によって次々と消されていく証拠</t>
    </r>
    <r>
      <rPr>
        <rFont val="Arial"/>
        <sz val="10.0"/>
      </rPr>
      <t>…</t>
    </r>
    <r>
      <rPr>
        <rFont val="ＭＳ Ｐゴシック"/>
        <sz val="10.0"/>
      </rPr>
      <t>。やがて、柚木は楓の罪を暴く</t>
    </r>
    <r>
      <rPr>
        <rFont val="Arial"/>
        <sz val="10.0"/>
      </rPr>
      <t>“</t>
    </r>
    <r>
      <rPr>
        <rFont val="ＭＳ Ｐゴシック"/>
        <sz val="10.0"/>
      </rPr>
      <t>真実のサイン</t>
    </r>
    <r>
      <rPr>
        <rFont val="Arial"/>
        <sz val="10.0"/>
      </rPr>
      <t>"</t>
    </r>
    <r>
      <rPr>
        <rFont val="ＭＳ Ｐゴシック"/>
        <sz val="10.0"/>
      </rPr>
      <t>を手に入れるため、想像を絶する</t>
    </r>
    <r>
      <rPr>
        <rFont val="Arial"/>
        <sz val="10.0"/>
      </rPr>
      <t>“</t>
    </r>
    <r>
      <rPr>
        <rFont val="ＭＳ Ｐゴシック"/>
        <sz val="10.0"/>
      </rPr>
      <t>決死の勝負</t>
    </r>
    <r>
      <rPr>
        <rFont val="Arial"/>
        <sz val="10.0"/>
      </rPr>
      <t>"</t>
    </r>
    <r>
      <rPr>
        <rFont val="ＭＳ Ｐゴシック"/>
        <sz val="10.0"/>
      </rPr>
      <t>に出るーー。</t>
    </r>
  </si>
  <si>
    <t>法医学vs.巨大権力“真実"をめぐる攻防戦、ここに完結!  殺された人気歌手の喉から見つかった“青い繊維"と、次期総裁候補の娘・楓(森川葵)の自宅から押収した凶器と思われる“青いぬいぐるみ"。柚木(大森南朋)らはこの2つを照合検査にかけるが、結果は「不一致」で…!権力によって次々と消されていく証拠…。やがて、柚木は楓の罪を暴く“真実のサイン"を手に入れるため、想像を絶する“決死の勝負"に出るーー。</t>
  </si>
  <si>
    <t>1907_EX_金23</t>
  </si>
  <si>
    <t>セミオトコ</t>
  </si>
  <si>
    <t>番組名セミオトコ　#1</t>
  </si>
  <si>
    <r>
      <rPr>
        <rFont val="ＭＳ Ｐゴシック"/>
        <sz val="10.0"/>
      </rPr>
      <t>『うつせみ荘』に続く庭の地中、</t>
    </r>
    <r>
      <rPr>
        <rFont val="Arial"/>
        <sz val="10.0"/>
      </rPr>
      <t>1</t>
    </r>
    <r>
      <rPr>
        <rFont val="ＭＳ Ｐゴシック"/>
        <sz val="10.0"/>
      </rPr>
      <t>匹のセミ</t>
    </r>
    <r>
      <rPr>
        <rFont val="Arial"/>
        <sz val="10.0"/>
      </rPr>
      <t>(</t>
    </r>
    <r>
      <rPr>
        <rFont val="ＭＳ Ｐゴシック"/>
        <sz val="10.0"/>
      </rPr>
      <t>山田涼介</t>
    </r>
    <r>
      <rPr>
        <rFont val="Arial"/>
        <sz val="10.0"/>
      </rPr>
      <t>)</t>
    </r>
    <r>
      <rPr>
        <rFont val="ＭＳ Ｐゴシック"/>
        <sz val="10.0"/>
      </rPr>
      <t>が羽化のときを待ちわびていた。</t>
    </r>
    <r>
      <rPr>
        <rFont val="Arial"/>
        <sz val="10.0"/>
      </rPr>
      <t xml:space="preserve">  </t>
    </r>
    <r>
      <rPr>
        <rFont val="ＭＳ Ｐゴシック"/>
        <sz val="10.0"/>
      </rPr>
      <t>ついに迎えた羽化の瞬間。地上へと這い出たセミの頭上から、『うつせみ荘』に住む女性・大川由香</t>
    </r>
    <r>
      <rPr>
        <rFont val="Arial"/>
        <sz val="10.0"/>
      </rPr>
      <t>(</t>
    </r>
    <r>
      <rPr>
        <rFont val="ＭＳ Ｐゴシック"/>
        <sz val="10.0"/>
      </rPr>
      <t>木南晴夏</t>
    </r>
    <r>
      <rPr>
        <rFont val="Arial"/>
        <sz val="10.0"/>
      </rPr>
      <t>)</t>
    </r>
    <r>
      <rPr>
        <rFont val="ＭＳ Ｐゴシック"/>
        <sz val="10.0"/>
      </rPr>
      <t>が落下してくる</t>
    </r>
    <r>
      <rPr>
        <rFont val="Arial"/>
        <sz val="10.0"/>
      </rPr>
      <t>!</t>
    </r>
    <r>
      <rPr>
        <rFont val="ＭＳ Ｐゴシック"/>
        <sz val="10.0"/>
      </rPr>
      <t>しかし由香は鮮やかにセミを避けて着地。</t>
    </r>
    <r>
      <rPr>
        <rFont val="Arial"/>
        <sz val="10.0"/>
      </rPr>
      <t xml:space="preserve">  </t>
    </r>
    <r>
      <rPr>
        <rFont val="ＭＳ Ｐゴシック"/>
        <sz val="10.0"/>
      </rPr>
      <t>自分の命を救ってくれた由香に感動し、由香を幸せにしてあげたいと考えたセミは、</t>
    </r>
    <r>
      <rPr>
        <rFont val="Arial"/>
        <sz val="10.0"/>
      </rPr>
      <t>7</t>
    </r>
    <r>
      <rPr>
        <rFont val="ＭＳ Ｐゴシック"/>
        <sz val="10.0"/>
      </rPr>
      <t>日間だけ人間の姿となり、由香の望みを叶えてあげようとするが</t>
    </r>
    <r>
      <rPr>
        <rFont val="Arial"/>
        <sz val="10.0"/>
      </rPr>
      <t>…?</t>
    </r>
  </si>
  <si>
    <t>『うつせみ荘』に続く庭の地中、1匹のセミ(山田涼介)が羽化のときを待ちわびていた。  ついに迎えた羽化の瞬間。地上へと這い出たセミの頭上から、『うつせみ荘』に住む女性・大川由香(木南晴夏)が落下してくる!しかし由香は鮮やかにセミを避けて着地。  自分の命を救ってくれた由香に感動し、由香を幸せにしてあげたいと考えたセミは、7日間だけ人間の姿となり、由香の望みを叶えてあげようとするが…?</t>
  </si>
  <si>
    <t>番組名セミオトコ　#2</t>
  </si>
  <si>
    <r>
      <rPr>
        <rFont val="ＭＳ Ｐゴシック"/>
        <sz val="10.0"/>
      </rPr>
      <t>羽化し、人間の姿になったセミ</t>
    </r>
    <r>
      <rPr>
        <rFont val="Arial"/>
        <sz val="10.0"/>
      </rPr>
      <t>(</t>
    </r>
    <r>
      <rPr>
        <rFont val="ＭＳ Ｐゴシック"/>
        <sz val="10.0"/>
      </rPr>
      <t>山田涼介</t>
    </r>
    <r>
      <rPr>
        <rFont val="Arial"/>
        <sz val="10.0"/>
      </rPr>
      <t>)</t>
    </r>
    <r>
      <rPr>
        <rFont val="ＭＳ Ｐゴシック"/>
        <sz val="10.0"/>
      </rPr>
      <t>は、</t>
    </r>
    <r>
      <rPr>
        <rFont val="Arial"/>
        <sz val="10.0"/>
      </rPr>
      <t>“</t>
    </r>
    <r>
      <rPr>
        <rFont val="ＭＳ Ｐゴシック"/>
        <sz val="10.0"/>
      </rPr>
      <t>地上で生きる最後の</t>
    </r>
    <r>
      <rPr>
        <rFont val="Arial"/>
        <sz val="10.0"/>
      </rPr>
      <t>7</t>
    </r>
    <r>
      <rPr>
        <rFont val="ＭＳ Ｐゴシック"/>
        <sz val="10.0"/>
      </rPr>
      <t>日間</t>
    </r>
    <r>
      <rPr>
        <rFont val="Arial"/>
        <sz val="10.0"/>
      </rPr>
      <t>"</t>
    </r>
    <r>
      <rPr>
        <rFont val="ＭＳ Ｐゴシック"/>
        <sz val="10.0"/>
      </rPr>
      <t>を大川由香</t>
    </r>
    <r>
      <rPr>
        <rFont val="Arial"/>
        <sz val="10.0"/>
      </rPr>
      <t>(</t>
    </r>
    <r>
      <rPr>
        <rFont val="ＭＳ Ｐゴシック"/>
        <sz val="10.0"/>
      </rPr>
      <t>木南晴夏</t>
    </r>
    <r>
      <rPr>
        <rFont val="Arial"/>
        <sz val="10.0"/>
      </rPr>
      <t>)</t>
    </r>
    <r>
      <rPr>
        <rFont val="ＭＳ Ｐゴシック"/>
        <sz val="10.0"/>
      </rPr>
      <t>の部屋で過ごすことに。由香によって急きょ「セミオ」と名付けられ、庄野くぎこ</t>
    </r>
    <r>
      <rPr>
        <rFont val="Arial"/>
        <sz val="10.0"/>
      </rPr>
      <t>(</t>
    </r>
    <r>
      <rPr>
        <rFont val="ＭＳ Ｐゴシック"/>
        <sz val="10.0"/>
      </rPr>
      <t>檀ふみ</t>
    </r>
    <r>
      <rPr>
        <rFont val="Arial"/>
        <sz val="10.0"/>
      </rPr>
      <t>)</t>
    </r>
    <r>
      <rPr>
        <rFont val="ＭＳ Ｐゴシック"/>
        <sz val="10.0"/>
      </rPr>
      <t>・ねじこ</t>
    </r>
    <r>
      <rPr>
        <rFont val="Arial"/>
        <sz val="10.0"/>
      </rPr>
      <t>(</t>
    </r>
    <r>
      <rPr>
        <rFont val="ＭＳ Ｐゴシック"/>
        <sz val="10.0"/>
      </rPr>
      <t>阿川佐和子</t>
    </r>
    <r>
      <rPr>
        <rFont val="Arial"/>
        <sz val="10.0"/>
      </rPr>
      <t>)</t>
    </r>
    <r>
      <rPr>
        <rFont val="ＭＳ Ｐゴシック"/>
        <sz val="10.0"/>
      </rPr>
      <t>姉妹ら『うつせみ荘』の住人たちに紹介される。セミオとくぎこ</t>
    </r>
    <r>
      <rPr>
        <rFont val="Arial"/>
        <sz val="10.0"/>
      </rPr>
      <t>&amp;</t>
    </r>
    <r>
      <rPr>
        <rFont val="ＭＳ Ｐゴシック"/>
        <sz val="10.0"/>
      </rPr>
      <t>ねじこ、春</t>
    </r>
    <r>
      <rPr>
        <rFont val="Arial"/>
        <sz val="10.0"/>
      </rPr>
      <t>(</t>
    </r>
    <r>
      <rPr>
        <rFont val="ＭＳ Ｐゴシック"/>
        <sz val="10.0"/>
      </rPr>
      <t>山崎静代</t>
    </r>
    <r>
      <rPr>
        <rFont val="Arial"/>
        <sz val="10.0"/>
      </rPr>
      <t>)</t>
    </r>
    <r>
      <rPr>
        <rFont val="ＭＳ Ｐゴシック"/>
        <sz val="10.0"/>
      </rPr>
      <t>らは、優雅なティータイムを過ごしながら、</t>
    </r>
    <r>
      <rPr>
        <rFont val="Arial"/>
        <sz val="10.0"/>
      </rPr>
      <t>“</t>
    </r>
    <r>
      <rPr>
        <rFont val="ＭＳ Ｐゴシック"/>
        <sz val="10.0"/>
      </rPr>
      <t>幸せ</t>
    </r>
    <r>
      <rPr>
        <rFont val="Arial"/>
        <sz val="10.0"/>
      </rPr>
      <t>"</t>
    </r>
    <r>
      <rPr>
        <rFont val="ＭＳ Ｐゴシック"/>
        <sz val="10.0"/>
      </rPr>
      <t>について考える。セミオが由香に与えたい</t>
    </r>
    <r>
      <rPr>
        <rFont val="Arial"/>
        <sz val="10.0"/>
      </rPr>
      <t>“</t>
    </r>
    <r>
      <rPr>
        <rFont val="ＭＳ Ｐゴシック"/>
        <sz val="10.0"/>
      </rPr>
      <t>幸せ</t>
    </r>
    <r>
      <rPr>
        <rFont val="Arial"/>
        <sz val="10.0"/>
      </rPr>
      <t>"</t>
    </r>
    <r>
      <rPr>
        <rFont val="ＭＳ Ｐゴシック"/>
        <sz val="10.0"/>
      </rPr>
      <t>とは</t>
    </r>
    <r>
      <rPr>
        <rFont val="Arial"/>
        <sz val="10.0"/>
      </rPr>
      <t>…?</t>
    </r>
  </si>
  <si>
    <t>羽化し、人間の姿になったセミ(山田涼介)は、“地上で生きる最後の7日間"を大川由香(木南晴夏)の部屋で過ごすことに。由香によって急きょ「セミオ」と名付けられ、庄野くぎこ(檀ふみ)・ねじこ(阿川佐和子)姉妹ら『うつせみ荘』の住人たちに紹介される。セミオとくぎこ&amp;ねじこ、春(山崎静代)らは、優雅なティータイムを過ごしながら、“幸せ"について考える。セミオが由香に与えたい“幸せ"とは…?</t>
  </si>
  <si>
    <t>番組名セミオトコ　#3</t>
  </si>
  <si>
    <r>
      <rPr>
        <rFont val="ＭＳ Ｐゴシック"/>
        <sz val="10.0"/>
      </rPr>
      <t>寝ているセミオ</t>
    </r>
    <r>
      <rPr>
        <rFont val="Arial"/>
        <sz val="10.0"/>
      </rPr>
      <t>(</t>
    </r>
    <r>
      <rPr>
        <rFont val="ＭＳ Ｐゴシック"/>
        <sz val="10.0"/>
      </rPr>
      <t>山田涼介</t>
    </r>
    <r>
      <rPr>
        <rFont val="Arial"/>
        <sz val="10.0"/>
      </rPr>
      <t>)</t>
    </r>
    <r>
      <rPr>
        <rFont val="ＭＳ Ｐゴシック"/>
        <sz val="10.0"/>
      </rPr>
      <t>にこっそり</t>
    </r>
    <r>
      <rPr>
        <rFont val="Arial"/>
        <sz val="10.0"/>
      </rPr>
      <t>“</t>
    </r>
    <r>
      <rPr>
        <rFont val="ＭＳ Ｐゴシック"/>
        <sz val="10.0"/>
      </rPr>
      <t>チュウ</t>
    </r>
    <r>
      <rPr>
        <rFont val="Arial"/>
        <sz val="10.0"/>
      </rPr>
      <t>"</t>
    </r>
    <r>
      <rPr>
        <rFont val="ＭＳ Ｐゴシック"/>
        <sz val="10.0"/>
      </rPr>
      <t>をした由香</t>
    </r>
    <r>
      <rPr>
        <rFont val="Arial"/>
        <sz val="10.0"/>
      </rPr>
      <t>(</t>
    </r>
    <r>
      <rPr>
        <rFont val="ＭＳ Ｐゴシック"/>
        <sz val="10.0"/>
      </rPr>
      <t>木南晴夏</t>
    </r>
    <r>
      <rPr>
        <rFont val="Arial"/>
        <sz val="10.0"/>
      </rPr>
      <t>)</t>
    </r>
    <r>
      <rPr>
        <rFont val="ＭＳ Ｐゴシック"/>
        <sz val="10.0"/>
      </rPr>
      <t>。翌朝『うつせみ荘』の住人たちにカマをかけられた由香は、その事実をセミオにまで知られてしまう</t>
    </r>
    <r>
      <rPr>
        <rFont val="Arial"/>
        <sz val="10.0"/>
      </rPr>
      <t>!</t>
    </r>
    <r>
      <rPr>
        <rFont val="ＭＳ Ｐゴシック"/>
        <sz val="10.0"/>
      </rPr>
      <t>思いがけないセミオの反応に戸惑う由香だったが</t>
    </r>
    <r>
      <rPr>
        <rFont val="Arial"/>
        <sz val="10.0"/>
      </rPr>
      <t>…?</t>
    </r>
    <r>
      <rPr>
        <rFont val="ＭＳ Ｐゴシック"/>
        <sz val="10.0"/>
      </rPr>
      <t>そんな中、食品工場では</t>
    </r>
    <r>
      <rPr>
        <rFont val="Arial"/>
        <sz val="10.0"/>
      </rPr>
      <t>“</t>
    </r>
    <r>
      <rPr>
        <rFont val="ＭＳ Ｐゴシック"/>
        <sz val="10.0"/>
      </rPr>
      <t>お仕事参観</t>
    </r>
    <r>
      <rPr>
        <rFont val="Arial"/>
        <sz val="10.0"/>
      </rPr>
      <t>"</t>
    </r>
    <r>
      <rPr>
        <rFont val="ＭＳ Ｐゴシック"/>
        <sz val="10.0"/>
      </rPr>
      <t>が開催され、小学生たちが見学に訪れる。小学生に混じり由香の仕事ぶりを見にきたセミオ。すると、セミオの胸の奥が、なぜかチクチクと痛み出し</t>
    </r>
    <r>
      <rPr>
        <rFont val="Arial"/>
        <sz val="10.0"/>
      </rPr>
      <t>…</t>
    </r>
  </si>
  <si>
    <t>寝ているセミオ(山田涼介)にこっそり“チュウ"をした由香(木南晴夏)。翌朝『うつせみ荘』の住人たちにカマをかけられた由香は、その事実をセミオにまで知られてしまう!思いがけないセミオの反応に戸惑う由香だったが…?そんな中、食品工場では“お仕事参観"が開催され、小学生たちが見学に訪れる。小学生に混じり由香の仕事ぶりを見にきたセミオ。すると、セミオの胸の奥が、なぜかチクチクと痛み出し…</t>
  </si>
  <si>
    <t>番組名セミオトコ　#4</t>
  </si>
  <si>
    <r>
      <rPr>
        <rFont val="ＭＳ Ｐゴシック"/>
        <sz val="10.0"/>
      </rPr>
      <t>セミオ</t>
    </r>
    <r>
      <rPr>
        <rFont val="Arial"/>
        <sz val="10.0"/>
      </rPr>
      <t>(</t>
    </r>
    <r>
      <rPr>
        <rFont val="ＭＳ Ｐゴシック"/>
        <sz val="10.0"/>
      </rPr>
      <t>山田涼介</t>
    </r>
    <r>
      <rPr>
        <rFont val="Arial"/>
        <sz val="10.0"/>
      </rPr>
      <t>)</t>
    </r>
    <r>
      <rPr>
        <rFont val="ＭＳ Ｐゴシック"/>
        <sz val="10.0"/>
      </rPr>
      <t>との残りの時間を考えると切ない由香</t>
    </r>
    <r>
      <rPr>
        <rFont val="Arial"/>
        <sz val="10.0"/>
      </rPr>
      <t>(</t>
    </r>
    <r>
      <rPr>
        <rFont val="ＭＳ Ｐゴシック"/>
        <sz val="10.0"/>
      </rPr>
      <t>木南晴夏</t>
    </r>
    <r>
      <rPr>
        <rFont val="Arial"/>
        <sz val="10.0"/>
      </rPr>
      <t>)</t>
    </r>
    <r>
      <rPr>
        <rFont val="ＭＳ Ｐゴシック"/>
        <sz val="10.0"/>
      </rPr>
      <t>は、セミオに手作りのメイプルシロップケースをプレゼントする。思いがけず大喜びするセミオに安心する由香ーーそんな由香にセミオは「おかゆさんに恋しています」と告白し</t>
    </r>
    <r>
      <rPr>
        <rFont val="Arial"/>
        <sz val="10.0"/>
      </rPr>
      <t xml:space="preserve">…?  </t>
    </r>
    <r>
      <rPr>
        <rFont val="ＭＳ Ｐゴシック"/>
        <sz val="10.0"/>
      </rPr>
      <t>「一緒にいたい」というセミオの願いを叶えるため、一緒に食品工場に出勤した由香。そんな中、『うつせみ荘』では春</t>
    </r>
    <r>
      <rPr>
        <rFont val="Arial"/>
        <sz val="10.0"/>
      </rPr>
      <t>(</t>
    </r>
    <r>
      <rPr>
        <rFont val="ＭＳ Ｐゴシック"/>
        <sz val="10.0"/>
      </rPr>
      <t>山崎静代</t>
    </r>
    <r>
      <rPr>
        <rFont val="Arial"/>
        <sz val="10.0"/>
      </rPr>
      <t>)</t>
    </r>
    <r>
      <rPr>
        <rFont val="ＭＳ Ｐゴシック"/>
        <sz val="10.0"/>
      </rPr>
      <t>がひとり部屋で苦しんでいた</t>
    </r>
    <r>
      <rPr>
        <rFont val="Arial"/>
        <sz val="10.0"/>
      </rPr>
      <t>!</t>
    </r>
  </si>
  <si>
    <t>セミオ(山田涼介)との残りの時間を考えると切ない由香(木南晴夏)は、セミオに手作りのメイプルシロップケースをプレゼントする。思いがけず大喜びするセミオに安心する由香ーーそんな由香にセミオは「おかゆさんに恋しています」と告白し…?  「一緒にいたい」というセミオの願いを叶えるため、一緒に食品工場に出勤した由香。そんな中、『うつせみ荘』では春(山崎静代)がひとり部屋で苦しんでいた!</t>
  </si>
  <si>
    <t>番組名セミオトコ　#5</t>
  </si>
  <si>
    <r>
      <rPr>
        <rFont val="ＭＳ Ｐゴシック"/>
        <sz val="10.0"/>
      </rPr>
      <t>春</t>
    </r>
    <r>
      <rPr>
        <rFont val="Arial"/>
        <sz val="10.0"/>
      </rPr>
      <t>(</t>
    </r>
    <r>
      <rPr>
        <rFont val="ＭＳ Ｐゴシック"/>
        <sz val="10.0"/>
      </rPr>
      <t>山崎静代</t>
    </r>
    <r>
      <rPr>
        <rFont val="Arial"/>
        <sz val="10.0"/>
      </rPr>
      <t>)</t>
    </r>
    <r>
      <rPr>
        <rFont val="ＭＳ Ｐゴシック"/>
        <sz val="10.0"/>
      </rPr>
      <t>の危機を救ったセミオ</t>
    </r>
    <r>
      <rPr>
        <rFont val="Arial"/>
        <sz val="10.0"/>
      </rPr>
      <t>(</t>
    </r>
    <r>
      <rPr>
        <rFont val="ＭＳ Ｐゴシック"/>
        <sz val="10.0"/>
      </rPr>
      <t>山田涼介</t>
    </r>
    <r>
      <rPr>
        <rFont val="Arial"/>
        <sz val="10.0"/>
      </rPr>
      <t>)</t>
    </r>
    <r>
      <rPr>
        <rFont val="ＭＳ Ｐゴシック"/>
        <sz val="10.0"/>
      </rPr>
      <t>は、みんなから「お手柄」と感謝される。しかし、セミオは初めて自分の命があとわずかなことに悲しみを覚えていた</t>
    </r>
    <r>
      <rPr>
        <rFont val="Arial"/>
        <sz val="10.0"/>
      </rPr>
      <t>…</t>
    </r>
    <r>
      <rPr>
        <rFont val="ＭＳ Ｐゴシック"/>
        <sz val="10.0"/>
      </rPr>
      <t>。住人たちが集まる中、</t>
    </r>
    <r>
      <rPr>
        <rFont val="Arial"/>
        <sz val="10.0"/>
      </rPr>
      <t>6</t>
    </r>
    <r>
      <rPr>
        <rFont val="ＭＳ Ｐゴシック"/>
        <sz val="10.0"/>
      </rPr>
      <t>年前に起きた出来事を話し始める春。さらに、ねじこ</t>
    </r>
    <r>
      <rPr>
        <rFont val="Arial"/>
        <sz val="10.0"/>
      </rPr>
      <t>(</t>
    </r>
    <r>
      <rPr>
        <rFont val="ＭＳ Ｐゴシック"/>
        <sz val="10.0"/>
      </rPr>
      <t>阿川佐和子</t>
    </r>
    <r>
      <rPr>
        <rFont val="Arial"/>
        <sz val="10.0"/>
      </rPr>
      <t>)&amp;</t>
    </r>
    <r>
      <rPr>
        <rFont val="ＭＳ Ｐゴシック"/>
        <sz val="10.0"/>
      </rPr>
      <t>くぎこ</t>
    </r>
    <r>
      <rPr>
        <rFont val="Arial"/>
        <sz val="10.0"/>
      </rPr>
      <t>(</t>
    </r>
    <r>
      <rPr>
        <rFont val="ＭＳ Ｐゴシック"/>
        <sz val="10.0"/>
      </rPr>
      <t>檀ふみ</t>
    </r>
    <r>
      <rPr>
        <rFont val="Arial"/>
        <sz val="10.0"/>
      </rPr>
      <t>)</t>
    </r>
    <r>
      <rPr>
        <rFont val="ＭＳ Ｐゴシック"/>
        <sz val="10.0"/>
      </rPr>
      <t>姉妹、美奈子</t>
    </r>
    <r>
      <rPr>
        <rFont val="Arial"/>
        <sz val="10.0"/>
      </rPr>
      <t>(</t>
    </r>
    <r>
      <rPr>
        <rFont val="ＭＳ Ｐゴシック"/>
        <sz val="10.0"/>
      </rPr>
      <t>今田美桜</t>
    </r>
    <r>
      <rPr>
        <rFont val="Arial"/>
        <sz val="10.0"/>
      </rPr>
      <t>)</t>
    </r>
    <r>
      <rPr>
        <rFont val="ＭＳ Ｐゴシック"/>
        <sz val="10.0"/>
      </rPr>
      <t>もこれまでに話したことがなかった過去を告白。住人たちが『うつせみ荘』の心地よさを感じる中、セミオの体にはある異変が</t>
    </r>
    <r>
      <rPr>
        <rFont val="Arial"/>
        <sz val="10.0"/>
      </rPr>
      <t>…</t>
    </r>
  </si>
  <si>
    <t>春(山崎静代)の危機を救ったセミオ(山田涼介)は、みんなから「お手柄」と感謝される。しかし、セミオは初めて自分の命があとわずかなことに悲しみを覚えていた…。住人たちが集まる中、6年前に起きた出来事を話し始める春。さらに、ねじこ(阿川佐和子)&amp;くぎこ(檀ふみ)姉妹、美奈子(今田美桜)もこれまでに話したことがなかった過去を告白。住人たちが『うつせみ荘』の心地よさを感じる中、セミオの体にはある異変が…</t>
  </si>
  <si>
    <t>番組名セミオトコ　#6</t>
  </si>
  <si>
    <r>
      <rPr>
        <rFont val="ＭＳ Ｐゴシック"/>
        <sz val="10.0"/>
      </rPr>
      <t>とうとう『うつせみ荘』の住人たちに自分の正体を告げたセミオ</t>
    </r>
    <r>
      <rPr>
        <rFont val="Arial"/>
        <sz val="10.0"/>
      </rPr>
      <t>(</t>
    </r>
    <r>
      <rPr>
        <rFont val="ＭＳ Ｐゴシック"/>
        <sz val="10.0"/>
      </rPr>
      <t>山田涼介</t>
    </r>
    <r>
      <rPr>
        <rFont val="Arial"/>
        <sz val="10.0"/>
      </rPr>
      <t>)</t>
    </r>
    <r>
      <rPr>
        <rFont val="ＭＳ Ｐゴシック"/>
        <sz val="10.0"/>
      </rPr>
      <t>。住人たちは静かに、その事実を受け入れる。だが、由香</t>
    </r>
    <r>
      <rPr>
        <rFont val="Arial"/>
        <sz val="10.0"/>
      </rPr>
      <t>(</t>
    </r>
    <r>
      <rPr>
        <rFont val="ＭＳ Ｐゴシック"/>
        <sz val="10.0"/>
      </rPr>
      <t>木南晴夏</t>
    </r>
    <r>
      <rPr>
        <rFont val="Arial"/>
        <sz val="10.0"/>
      </rPr>
      <t>)</t>
    </r>
    <r>
      <rPr>
        <rFont val="ＭＳ Ｐゴシック"/>
        <sz val="10.0"/>
      </rPr>
      <t>だけはひとりその現実に混乱。そんな由香の気持ちを察し、住人たちもまた悲しくやりきれない気持ちになっていた。そんな中、由香とセミオはデートに出かけることに</t>
    </r>
    <r>
      <rPr>
        <rFont val="Arial"/>
        <sz val="10.0"/>
      </rPr>
      <t>!</t>
    </r>
    <r>
      <rPr>
        <rFont val="ＭＳ Ｐゴシック"/>
        <sz val="10.0"/>
      </rPr>
      <t>楽しい時間を過ごす一方で、由香は密かにある決意をする</t>
    </r>
    <r>
      <rPr>
        <rFont val="Arial"/>
        <sz val="10.0"/>
      </rPr>
      <t>…</t>
    </r>
    <r>
      <rPr>
        <rFont val="ＭＳ Ｐゴシック"/>
        <sz val="10.0"/>
      </rPr>
      <t>。</t>
    </r>
  </si>
  <si>
    <t>とうとう『うつせみ荘』の住人たちに自分の正体を告げたセミオ(山田涼介)。住人たちは静かに、その事実を受け入れる。だが、由香(木南晴夏)だけはひとりその現実に混乱。そんな由香の気持ちを察し、住人たちもまた悲しくやりきれない気持ちになっていた。そんな中、由香とセミオはデートに出かけることに!楽しい時間を過ごす一方で、由香は密かにある決意をする…。</t>
  </si>
  <si>
    <t>番組名セミオトコ　#7</t>
  </si>
  <si>
    <r>
      <rPr>
        <rFont val="ＭＳ Ｐゴシック"/>
        <sz val="10.0"/>
      </rPr>
      <t>街へデートに出かけたセミオ</t>
    </r>
    <r>
      <rPr>
        <rFont val="Arial"/>
        <sz val="10.0"/>
      </rPr>
      <t>(</t>
    </r>
    <r>
      <rPr>
        <rFont val="ＭＳ Ｐゴシック"/>
        <sz val="10.0"/>
      </rPr>
      <t>山田涼介</t>
    </r>
    <r>
      <rPr>
        <rFont val="Arial"/>
        <sz val="10.0"/>
      </rPr>
      <t>)</t>
    </r>
    <r>
      <rPr>
        <rFont val="ＭＳ Ｐゴシック"/>
        <sz val="10.0"/>
      </rPr>
      <t>と由香</t>
    </r>
    <r>
      <rPr>
        <rFont val="Arial"/>
        <sz val="10.0"/>
      </rPr>
      <t>(</t>
    </r>
    <r>
      <rPr>
        <rFont val="ＭＳ Ｐゴシック"/>
        <sz val="10.0"/>
      </rPr>
      <t>木南晴夏</t>
    </r>
    <r>
      <rPr>
        <rFont val="Arial"/>
        <sz val="10.0"/>
      </rPr>
      <t>)</t>
    </r>
    <r>
      <rPr>
        <rFont val="ＭＳ Ｐゴシック"/>
        <sz val="10.0"/>
      </rPr>
      <t>。楽しい時間を過ごした帰り道、由香は思いがけず家族と再会する</t>
    </r>
    <r>
      <rPr>
        <rFont val="Arial"/>
        <sz val="10.0"/>
      </rPr>
      <t>!</t>
    </r>
    <r>
      <rPr>
        <rFont val="ＭＳ Ｐゴシック"/>
        <sz val="10.0"/>
      </rPr>
      <t>もう二度と会うことはないと思っていた家族と</t>
    </r>
    <r>
      <rPr>
        <rFont val="Arial"/>
        <sz val="10.0"/>
      </rPr>
      <t>“</t>
    </r>
    <r>
      <rPr>
        <rFont val="ＭＳ Ｐゴシック"/>
        <sz val="10.0"/>
      </rPr>
      <t>最後に</t>
    </r>
    <r>
      <rPr>
        <rFont val="Arial"/>
        <sz val="10.0"/>
      </rPr>
      <t>"</t>
    </r>
    <r>
      <rPr>
        <rFont val="ＭＳ Ｐゴシック"/>
        <sz val="10.0"/>
      </rPr>
      <t>会えたことを喜ぶ由香。「会えてよかった」と呟く由香に、セミオは最後の願いを伝える。そして『うつせみ荘』の住人たちもまた、由香のために何かできないかと考えていた</t>
    </r>
    <r>
      <rPr>
        <rFont val="Arial"/>
        <sz val="10.0"/>
      </rPr>
      <t>…</t>
    </r>
    <r>
      <rPr>
        <rFont val="ＭＳ Ｐゴシック"/>
        <sz val="10.0"/>
      </rPr>
      <t>。</t>
    </r>
  </si>
  <si>
    <t>街へデートに出かけたセミオ(山田涼介)と由香(木南晴夏)。楽しい時間を過ごした帰り道、由香は思いがけず家族と再会する!もう二度と会うことはないと思っていた家族と“最後に"会えたことを喜ぶ由香。「会えてよかった」と呟く由香に、セミオは最後の願いを伝える。そして『うつせみ荘』の住人たちもまた、由香のために何かできないかと考えていた…。</t>
  </si>
  <si>
    <t>番組名セミオトコ　#8</t>
  </si>
  <si>
    <r>
      <rPr>
        <rFont val="ＭＳ Ｐゴシック"/>
        <sz val="10.0"/>
      </rPr>
      <t>花火をしながら最後の夜を過ごすセミオ</t>
    </r>
    <r>
      <rPr>
        <rFont val="Arial"/>
        <sz val="10.0"/>
      </rPr>
      <t>(</t>
    </r>
    <r>
      <rPr>
        <rFont val="ＭＳ Ｐゴシック"/>
        <sz val="10.0"/>
      </rPr>
      <t>山田涼介</t>
    </r>
    <r>
      <rPr>
        <rFont val="Arial"/>
        <sz val="10.0"/>
      </rPr>
      <t>)</t>
    </r>
    <r>
      <rPr>
        <rFont val="ＭＳ Ｐゴシック"/>
        <sz val="10.0"/>
      </rPr>
      <t>と由香</t>
    </r>
    <r>
      <rPr>
        <rFont val="Arial"/>
        <sz val="10.0"/>
      </rPr>
      <t>(</t>
    </r>
    <r>
      <rPr>
        <rFont val="ＭＳ Ｐゴシック"/>
        <sz val="10.0"/>
      </rPr>
      <t>木南晴夏</t>
    </r>
    <r>
      <rPr>
        <rFont val="Arial"/>
        <sz val="10.0"/>
      </rPr>
      <t>)</t>
    </r>
    <r>
      <rPr>
        <rFont val="ＭＳ Ｐゴシック"/>
        <sz val="10.0"/>
      </rPr>
      <t>。『うつせみ荘』の住人たちはそんな二人の姿を見ながら、来たるべき明日に備え、「なるべく普通に」と意思を統一する。</t>
    </r>
    <r>
      <rPr>
        <rFont val="Arial"/>
        <sz val="10.0"/>
      </rPr>
      <t xml:space="preserve">  </t>
    </r>
    <r>
      <rPr>
        <rFont val="ＭＳ Ｐゴシック"/>
        <sz val="10.0"/>
      </rPr>
      <t>そして、迎えたセミオにとって最後の朝ーー。</t>
    </r>
    <r>
      <rPr>
        <rFont val="Arial"/>
        <sz val="10.0"/>
      </rPr>
      <t xml:space="preserve">  </t>
    </r>
    <r>
      <rPr>
        <rFont val="ＭＳ Ｐゴシック"/>
        <sz val="10.0"/>
      </rPr>
      <t>自分と由香のことを心配してくれる住人たちにセミオはある宣言を</t>
    </r>
    <r>
      <rPr>
        <rFont val="Arial"/>
        <sz val="10.0"/>
      </rPr>
      <t>…</t>
    </r>
    <r>
      <rPr>
        <rFont val="ＭＳ Ｐゴシック"/>
        <sz val="10.0"/>
      </rPr>
      <t>。</t>
    </r>
  </si>
  <si>
    <t>花火をしながら最後の夜を過ごすセミオ(山田涼介)と由香(木南晴夏)。『うつせみ荘』の住人たちはそんな二人の姿を見ながら、来たるべき明日に備え、「なるべく普通に」と意思を統一する。  そして、迎えたセミオにとって最後の朝ーー。  自分と由香のことを心配してくれる住人たちにセミオはある宣言を…。</t>
  </si>
  <si>
    <t>1907_EX_土23</t>
  </si>
  <si>
    <t>べしゃり暮らし</t>
  </si>
  <si>
    <t>番組名べしゃり暮らし　#1【森田まさのり原作×劇団ひとり演出×間宮祥太朗主演】</t>
  </si>
  <si>
    <r>
      <rPr>
        <rFont val="ＭＳ Ｐゴシック"/>
        <sz val="10.0"/>
      </rPr>
      <t>笑いのためなら何でもやる</t>
    </r>
    <r>
      <rPr>
        <rFont val="Arial"/>
        <sz val="10.0"/>
      </rPr>
      <t>“</t>
    </r>
    <r>
      <rPr>
        <rFont val="ＭＳ Ｐゴシック"/>
        <sz val="10.0"/>
      </rPr>
      <t>学園の爆笑王</t>
    </r>
    <r>
      <rPr>
        <rFont val="Arial"/>
        <sz val="10.0"/>
      </rPr>
      <t>"</t>
    </r>
    <r>
      <rPr>
        <rFont val="ＭＳ Ｐゴシック"/>
        <sz val="10.0"/>
      </rPr>
      <t>こと主人公・上妻圭右</t>
    </r>
    <r>
      <rPr>
        <rFont val="Arial"/>
        <sz val="10.0"/>
      </rPr>
      <t>(</t>
    </r>
    <r>
      <rPr>
        <rFont val="ＭＳ Ｐゴシック"/>
        <sz val="10.0"/>
      </rPr>
      <t>間宮祥太朗</t>
    </r>
    <r>
      <rPr>
        <rFont val="Arial"/>
        <sz val="10.0"/>
      </rPr>
      <t>)</t>
    </r>
    <r>
      <rPr>
        <rFont val="ＭＳ Ｐゴシック"/>
        <sz val="10.0"/>
      </rPr>
      <t>の前に、ある日現れた転校生の辻本潤</t>
    </r>
    <r>
      <rPr>
        <rFont val="Arial"/>
        <sz val="10.0"/>
      </rPr>
      <t>(</t>
    </r>
    <r>
      <rPr>
        <rFont val="ＭＳ Ｐゴシック"/>
        <sz val="10.0"/>
      </rPr>
      <t>渡辺大知</t>
    </r>
    <r>
      <rPr>
        <rFont val="Arial"/>
        <sz val="10.0"/>
      </rPr>
      <t>)</t>
    </r>
    <r>
      <rPr>
        <rFont val="ＭＳ Ｐゴシック"/>
        <sz val="10.0"/>
      </rPr>
      <t>は、なんと高校生ながら元プロ漫才師だった</t>
    </r>
    <r>
      <rPr>
        <rFont val="Arial"/>
        <sz val="10.0"/>
      </rPr>
      <t>…!</t>
    </r>
    <r>
      <rPr>
        <rFont val="ＭＳ Ｐゴシック"/>
        <sz val="10.0"/>
      </rPr>
      <t>激しく嫉妬する圭右に対し辻本は、学園の漫才コンテストでコンビを組まないかと持ち掛ける。</t>
    </r>
    <r>
      <rPr>
        <rFont val="Arial"/>
        <sz val="10.0"/>
      </rPr>
      <t>2</t>
    </r>
    <r>
      <rPr>
        <rFont val="ＭＳ Ｐゴシック"/>
        <sz val="10.0"/>
      </rPr>
      <t>人は、笑いの天下を</t>
    </r>
    <r>
      <rPr>
        <rFont val="Arial"/>
        <sz val="10.0"/>
      </rPr>
      <t>“</t>
    </r>
    <r>
      <rPr>
        <rFont val="ＭＳ Ｐゴシック"/>
        <sz val="10.0"/>
      </rPr>
      <t>べしゃり</t>
    </r>
    <r>
      <rPr>
        <rFont val="Arial"/>
        <sz val="10.0"/>
      </rPr>
      <t>"</t>
    </r>
    <r>
      <rPr>
        <rFont val="ＭＳ Ｐゴシック"/>
        <sz val="10.0"/>
      </rPr>
      <t>で掴み取ることができるのか</t>
    </r>
    <r>
      <rPr>
        <rFont val="Arial"/>
        <sz val="10.0"/>
      </rPr>
      <t>!?</t>
    </r>
    <r>
      <rPr>
        <rFont val="ＭＳ Ｐゴシック"/>
        <sz val="10.0"/>
      </rPr>
      <t>一方、お笑い嫌い圭右の父・潔</t>
    </r>
    <r>
      <rPr>
        <rFont val="Arial"/>
        <sz val="10.0"/>
      </rPr>
      <t>(</t>
    </r>
    <r>
      <rPr>
        <rFont val="ＭＳ Ｐゴシック"/>
        <sz val="10.0"/>
      </rPr>
      <t>寺島進</t>
    </r>
    <r>
      <rPr>
        <rFont val="Arial"/>
        <sz val="10.0"/>
      </rPr>
      <t>)</t>
    </r>
    <r>
      <rPr>
        <rFont val="ＭＳ Ｐゴシック"/>
        <sz val="10.0"/>
      </rPr>
      <t>と死別した母。上妻家の壮絶な過去が明らかになる</t>
    </r>
    <r>
      <rPr>
        <rFont val="Arial"/>
        <sz val="10.0"/>
      </rPr>
      <t>!</t>
    </r>
  </si>
  <si>
    <t>笑いのためなら何でもやる“学園の爆笑王"こと主人公・上妻圭右(間宮祥太朗)の前に、ある日現れた転校生の辻本潤(渡辺大知)は、なんと高校生ながら元プロ漫才師だった…!激しく嫉妬する圭右に対し辻本は、学園の漫才コンテストでコンビを組まないかと持ち掛ける。2人は、笑いの天下を“べしゃり"で掴み取ることができるのか!?一方、お笑い嫌い圭右の父・潔(寺島進)と死別した母。上妻家の壮絶な過去が明らかになる!</t>
  </si>
  <si>
    <t>番組名べしゃり暮らし　#2【森田まさのり原作×劇団ひとり演出×間宮祥太朗主演】</t>
  </si>
  <si>
    <r>
      <rPr>
        <rFont val="ＭＳ Ｐゴシック"/>
        <sz val="10.0"/>
      </rPr>
      <t>文化祭でアドリブ漫才を大成功させた圭右</t>
    </r>
    <r>
      <rPr>
        <rFont val="Arial"/>
        <sz val="10.0"/>
      </rPr>
      <t>(</t>
    </r>
    <r>
      <rPr>
        <rFont val="ＭＳ Ｐゴシック"/>
        <sz val="10.0"/>
      </rPr>
      <t>間宮祥太朗</t>
    </r>
    <r>
      <rPr>
        <rFont val="Arial"/>
        <sz val="10.0"/>
      </rPr>
      <t>)</t>
    </r>
    <r>
      <rPr>
        <rFont val="ＭＳ Ｐゴシック"/>
        <sz val="10.0"/>
      </rPr>
      <t>と辻本</t>
    </r>
    <r>
      <rPr>
        <rFont val="Arial"/>
        <sz val="10.0"/>
      </rPr>
      <t>(</t>
    </r>
    <r>
      <rPr>
        <rFont val="ＭＳ Ｐゴシック"/>
        <sz val="10.0"/>
      </rPr>
      <t>渡辺大知</t>
    </r>
    <r>
      <rPr>
        <rFont val="Arial"/>
        <sz val="10.0"/>
      </rPr>
      <t>)</t>
    </r>
    <r>
      <rPr>
        <rFont val="ＭＳ Ｐゴシック"/>
        <sz val="10.0"/>
      </rPr>
      <t>のコンビ・きそば</t>
    </r>
    <r>
      <rPr>
        <rFont val="Arial"/>
        <sz val="10.0"/>
      </rPr>
      <t>AT</t>
    </r>
    <r>
      <rPr>
        <rFont val="ＭＳ Ｐゴシック"/>
        <sz val="10.0"/>
      </rPr>
      <t>だが、以降圭右は、お笑い嫌いの父・潔</t>
    </r>
    <r>
      <rPr>
        <rFont val="Arial"/>
        <sz val="10.0"/>
      </rPr>
      <t>(</t>
    </r>
    <r>
      <rPr>
        <rFont val="ＭＳ Ｐゴシック"/>
        <sz val="10.0"/>
      </rPr>
      <t>寺島進</t>
    </r>
    <r>
      <rPr>
        <rFont val="Arial"/>
        <sz val="10.0"/>
      </rPr>
      <t>)</t>
    </r>
    <r>
      <rPr>
        <rFont val="ＭＳ Ｐゴシック"/>
        <sz val="10.0"/>
      </rPr>
      <t>に気兼ねしてか消極的。そんな圭右に辻本は、先輩の人気漫才コンビ・デジタルきんぎょの金本</t>
    </r>
    <r>
      <rPr>
        <rFont val="Arial"/>
        <sz val="10.0"/>
      </rPr>
      <t>(</t>
    </r>
    <r>
      <rPr>
        <rFont val="ＭＳ Ｐゴシック"/>
        <sz val="10.0"/>
      </rPr>
      <t>駿河太郎</t>
    </r>
    <r>
      <rPr>
        <rFont val="Arial"/>
        <sz val="10.0"/>
      </rPr>
      <t>)</t>
    </r>
    <r>
      <rPr>
        <rFont val="ＭＳ Ｐゴシック"/>
        <sz val="10.0"/>
      </rPr>
      <t>と藤川</t>
    </r>
    <r>
      <rPr>
        <rFont val="Arial"/>
        <sz val="10.0"/>
      </rPr>
      <t>(</t>
    </r>
    <r>
      <rPr>
        <rFont val="ＭＳ Ｐゴシック"/>
        <sz val="10.0"/>
      </rPr>
      <t>尾上寛之</t>
    </r>
    <r>
      <rPr>
        <rFont val="Arial"/>
        <sz val="10.0"/>
      </rPr>
      <t>)</t>
    </r>
    <r>
      <rPr>
        <rFont val="ＭＳ Ｐゴシック"/>
        <sz val="10.0"/>
      </rPr>
      <t>を引き合わせるが</t>
    </r>
    <r>
      <rPr>
        <rFont val="Arial"/>
        <sz val="10.0"/>
      </rPr>
      <t>…</t>
    </r>
    <r>
      <rPr>
        <rFont val="ＭＳ Ｐゴシック"/>
        <sz val="10.0"/>
      </rPr>
      <t>。そんな中、辻本から一方的にコンビを解消された元相方・静代</t>
    </r>
    <r>
      <rPr>
        <rFont val="Arial"/>
        <sz val="10.0"/>
      </rPr>
      <t>(</t>
    </r>
    <r>
      <rPr>
        <rFont val="ＭＳ Ｐゴシック"/>
        <sz val="10.0"/>
      </rPr>
      <t>小芝風花</t>
    </r>
    <r>
      <rPr>
        <rFont val="Arial"/>
        <sz val="10.0"/>
      </rPr>
      <t>)</t>
    </r>
    <r>
      <rPr>
        <rFont val="ＭＳ Ｐゴシック"/>
        <sz val="10.0"/>
      </rPr>
      <t>が現れ、急遽辻本と静代が漫才をすることになり</t>
    </r>
    <r>
      <rPr>
        <rFont val="Arial"/>
        <sz val="10.0"/>
      </rPr>
      <t>…!?</t>
    </r>
  </si>
  <si>
    <t>文化祭でアドリブ漫才を大成功させた圭右(間宮祥太朗)と辻本(渡辺大知)のコンビ・きそばATだが、以降圭右は、お笑い嫌いの父・潔(寺島進)に気兼ねしてか消極的。そんな圭右に辻本は、先輩の人気漫才コンビ・デジタルきんぎょの金本(駿河太郎)と藤川(尾上寛之)を引き合わせるが…。そんな中、辻本から一方的にコンビを解消された元相方・静代(小芝風花)が現れ、急遽辻本と静代が漫才をすることになり…!?</t>
  </si>
  <si>
    <t>番組名べしゃり暮らし　#3【森田まさのり原作×劇団ひとり演出×間宮祥太朗主演】</t>
  </si>
  <si>
    <r>
      <rPr>
        <rFont val="ＭＳ Ｐゴシック"/>
        <sz val="10.0"/>
      </rPr>
      <t>本気で芸人を目指す決意を固めた圭右</t>
    </r>
    <r>
      <rPr>
        <rFont val="Arial"/>
        <sz val="10.0"/>
      </rPr>
      <t>(</t>
    </r>
    <r>
      <rPr>
        <rFont val="ＭＳ Ｐゴシック"/>
        <sz val="10.0"/>
      </rPr>
      <t>間宮祥太朗</t>
    </r>
    <r>
      <rPr>
        <rFont val="Arial"/>
        <sz val="10.0"/>
      </rPr>
      <t>)</t>
    </r>
    <r>
      <rPr>
        <rFont val="ＭＳ Ｐゴシック"/>
        <sz val="10.0"/>
      </rPr>
      <t>と辻本</t>
    </r>
    <r>
      <rPr>
        <rFont val="Arial"/>
        <sz val="10.0"/>
      </rPr>
      <t>(</t>
    </r>
    <r>
      <rPr>
        <rFont val="ＭＳ Ｐゴシック"/>
        <sz val="10.0"/>
      </rPr>
      <t>渡辺大知</t>
    </r>
    <r>
      <rPr>
        <rFont val="Arial"/>
        <sz val="10.0"/>
      </rPr>
      <t>)</t>
    </r>
    <r>
      <rPr>
        <rFont val="ＭＳ Ｐゴシック"/>
        <sz val="10.0"/>
      </rPr>
      <t>は、漫才日本一を決めるコンテスト・</t>
    </r>
    <r>
      <rPr>
        <rFont val="Arial"/>
        <sz val="10.0"/>
      </rPr>
      <t>NMC</t>
    </r>
    <r>
      <rPr>
        <rFont val="ＭＳ Ｐゴシック"/>
        <sz val="10.0"/>
      </rPr>
      <t>に出場するが、会場の空気は大爆笑をさらった文化祭とは違い、重たく緊張感に満ちていた。全くウケず焦った圭右は、とんでもない行動に出てしまう</t>
    </r>
    <r>
      <rPr>
        <rFont val="Arial"/>
        <sz val="10.0"/>
      </rPr>
      <t>…</t>
    </r>
    <r>
      <rPr>
        <rFont val="ＭＳ Ｐゴシック"/>
        <sz val="10.0"/>
      </rPr>
      <t>。その光景を見た静代</t>
    </r>
    <r>
      <rPr>
        <rFont val="Arial"/>
        <sz val="10.0"/>
      </rPr>
      <t>(</t>
    </r>
    <r>
      <rPr>
        <rFont val="ＭＳ Ｐゴシック"/>
        <sz val="10.0"/>
      </rPr>
      <t>小芝風花</t>
    </r>
    <r>
      <rPr>
        <rFont val="Arial"/>
        <sz val="10.0"/>
      </rPr>
      <t>)</t>
    </r>
    <r>
      <rPr>
        <rFont val="ＭＳ Ｐゴシック"/>
        <sz val="10.0"/>
      </rPr>
      <t>は、元相方の辻本を叱責。一方デジきん・金本</t>
    </r>
    <r>
      <rPr>
        <rFont val="Arial"/>
        <sz val="10.0"/>
      </rPr>
      <t>(</t>
    </r>
    <r>
      <rPr>
        <rFont val="ＭＳ Ｐゴシック"/>
        <sz val="10.0"/>
      </rPr>
      <t>駿河太郎</t>
    </r>
    <r>
      <rPr>
        <rFont val="Arial"/>
        <sz val="10.0"/>
      </rPr>
      <t>)</t>
    </r>
    <r>
      <rPr>
        <rFont val="ＭＳ Ｐゴシック"/>
        <sz val="10.0"/>
      </rPr>
      <t>は</t>
    </r>
    <r>
      <rPr>
        <rFont val="Arial"/>
        <sz val="10.0"/>
      </rPr>
      <t>1</t>
    </r>
    <r>
      <rPr>
        <rFont val="ＭＳ Ｐゴシック"/>
        <sz val="10.0"/>
      </rPr>
      <t>枚の</t>
    </r>
    <r>
      <rPr>
        <rFont val="Arial"/>
        <sz val="10.0"/>
      </rPr>
      <t>DVD</t>
    </r>
    <r>
      <rPr>
        <rFont val="ＭＳ Ｐゴシック"/>
        <sz val="10.0"/>
      </rPr>
      <t>を辻本に託す</t>
    </r>
    <r>
      <rPr>
        <rFont val="Arial"/>
        <sz val="10.0"/>
      </rPr>
      <t>!</t>
    </r>
    <r>
      <rPr>
        <rFont val="ＭＳ Ｐゴシック"/>
        <sz val="10.0"/>
      </rPr>
      <t>険悪ムードの圭右と辻本、コンビの行方は</t>
    </r>
    <r>
      <rPr>
        <rFont val="Arial"/>
        <sz val="10.0"/>
      </rPr>
      <t>…!?</t>
    </r>
  </si>
  <si>
    <t>本気で芸人を目指す決意を固めた圭右(間宮祥太朗)と辻本(渡辺大知)は、漫才日本一を決めるコンテスト・NMCに出場するが、会場の空気は大爆笑をさらった文化祭とは違い、重たく緊張感に満ちていた。全くウケず焦った圭右は、とんでもない行動に出てしまう…。その光景を見た静代(小芝風花)は、元相方の辻本を叱責。一方デジきん・金本(駿河太郎)は1枚のDVDを辻本に託す!険悪ムードの圭右と辻本、コンビの行方は…!?</t>
  </si>
  <si>
    <t>番組名べしゃり暮らし　#4【森田まさのり原作×劇団ひとり演出×間宮祥太朗主演】</t>
  </si>
  <si>
    <r>
      <rPr>
        <rFont val="ＭＳ Ｐゴシック"/>
        <sz val="10.0"/>
      </rPr>
      <t>圭右</t>
    </r>
    <r>
      <rPr>
        <rFont val="Arial"/>
        <sz val="10.0"/>
      </rPr>
      <t>(</t>
    </r>
    <r>
      <rPr>
        <rFont val="ＭＳ Ｐゴシック"/>
        <sz val="10.0"/>
      </rPr>
      <t>間宮祥太朗</t>
    </r>
    <r>
      <rPr>
        <rFont val="Arial"/>
        <sz val="10.0"/>
      </rPr>
      <t>)</t>
    </r>
    <r>
      <rPr>
        <rFont val="ＭＳ Ｐゴシック"/>
        <sz val="10.0"/>
      </rPr>
      <t>は、解散した漫才コンビ・ねずみ花火の根津</t>
    </r>
    <r>
      <rPr>
        <rFont val="Arial"/>
        <sz val="10.0"/>
      </rPr>
      <t>(</t>
    </r>
    <r>
      <rPr>
        <rFont val="ＭＳ Ｐゴシック"/>
        <sz val="10.0"/>
      </rPr>
      <t>田中幸太朗</t>
    </r>
    <r>
      <rPr>
        <rFont val="Arial"/>
        <sz val="10.0"/>
      </rPr>
      <t>)</t>
    </r>
    <r>
      <rPr>
        <rFont val="ＭＳ Ｐゴシック"/>
        <sz val="10.0"/>
      </rPr>
      <t>と姉・しのぶ</t>
    </r>
    <r>
      <rPr>
        <rFont val="Arial"/>
        <sz val="10.0"/>
      </rPr>
      <t>(</t>
    </r>
    <r>
      <rPr>
        <rFont val="ＭＳ Ｐゴシック"/>
        <sz val="10.0"/>
      </rPr>
      <t>徳永えり</t>
    </r>
    <r>
      <rPr>
        <rFont val="Arial"/>
        <sz val="10.0"/>
      </rPr>
      <t>)</t>
    </r>
    <r>
      <rPr>
        <rFont val="ＭＳ Ｐゴシック"/>
        <sz val="10.0"/>
      </rPr>
      <t>の交際を知る。十年前、ねずみ花火が漫才の中で「きそば上妻」をいじったことで客が激減。圭右の母は家計を支えるため働きづめになり、その結果亡くなった。そんな過去があり、父・潔</t>
    </r>
    <r>
      <rPr>
        <rFont val="Arial"/>
        <sz val="10.0"/>
      </rPr>
      <t>(</t>
    </r>
    <r>
      <rPr>
        <rFont val="ＭＳ Ｐゴシック"/>
        <sz val="10.0"/>
      </rPr>
      <t>寺島進</t>
    </r>
    <r>
      <rPr>
        <rFont val="Arial"/>
        <sz val="10.0"/>
      </rPr>
      <t>)</t>
    </r>
    <r>
      <rPr>
        <rFont val="ＭＳ Ｐゴシック"/>
        <sz val="10.0"/>
      </rPr>
      <t>が交際を知ればただでは済まない。姉の幸せを願う圭右は辻本</t>
    </r>
    <r>
      <rPr>
        <rFont val="Arial"/>
        <sz val="10.0"/>
      </rPr>
      <t>(</t>
    </r>
    <r>
      <rPr>
        <rFont val="ＭＳ Ｐゴシック"/>
        <sz val="10.0"/>
      </rPr>
      <t>渡辺大知</t>
    </r>
    <r>
      <rPr>
        <rFont val="Arial"/>
        <sz val="10.0"/>
      </rPr>
      <t>)</t>
    </r>
    <r>
      <rPr>
        <rFont val="ＭＳ Ｐゴシック"/>
        <sz val="10.0"/>
      </rPr>
      <t>らと</t>
    </r>
    <r>
      <rPr>
        <rFont val="Arial"/>
        <sz val="10.0"/>
      </rPr>
      <t>2</t>
    </r>
    <r>
      <rPr>
        <rFont val="ＭＳ Ｐゴシック"/>
        <sz val="10.0"/>
      </rPr>
      <t>人を見張るが、そこに根津を探す謎の女性が現れて</t>
    </r>
    <r>
      <rPr>
        <rFont val="Arial"/>
        <sz val="10.0"/>
      </rPr>
      <t>…!?</t>
    </r>
  </si>
  <si>
    <t>圭右(間宮祥太朗)は、解散した漫才コンビ・ねずみ花火の根津(田中幸太朗)と姉・しのぶ(徳永えり)の交際を知る。十年前、ねずみ花火が漫才の中で「きそば上妻」をいじったことで客が激減。圭右の母は家計を支えるため働きづめになり、その結果亡くなった。そんな過去があり、父・潔(寺島進)が交際を知ればただでは済まない。姉の幸せを願う圭右は辻本(渡辺大知)らと2人を見張るが、そこに根津を探す謎の女性が現れて…!?</t>
  </si>
  <si>
    <t>番組名べしゃり暮らし　#5【森田まさのり原作×劇団ひとり演出×間宮祥太朗主演】</t>
  </si>
  <si>
    <r>
      <rPr>
        <rFont val="ＭＳ Ｐゴシック"/>
        <sz val="10.0"/>
      </rPr>
      <t>圭右</t>
    </r>
    <r>
      <rPr>
        <rFont val="Arial"/>
        <sz val="10.0"/>
      </rPr>
      <t>(</t>
    </r>
    <r>
      <rPr>
        <rFont val="ＭＳ Ｐゴシック"/>
        <sz val="10.0"/>
      </rPr>
      <t>間宮祥太朗</t>
    </r>
    <r>
      <rPr>
        <rFont val="Arial"/>
        <sz val="10.0"/>
      </rPr>
      <t>)</t>
    </r>
    <r>
      <rPr>
        <rFont val="ＭＳ Ｐゴシック"/>
        <sz val="10.0"/>
      </rPr>
      <t>の笑いに対するまっすぐな姿勢に胸打たれ、自分たちの原点を取り戻したデジタルきんぎょの金本</t>
    </r>
    <r>
      <rPr>
        <rFont val="Arial"/>
        <sz val="10.0"/>
      </rPr>
      <t>(</t>
    </r>
    <r>
      <rPr>
        <rFont val="ＭＳ Ｐゴシック"/>
        <sz val="10.0"/>
      </rPr>
      <t>駿河太郎</t>
    </r>
    <r>
      <rPr>
        <rFont val="Arial"/>
        <sz val="10.0"/>
      </rPr>
      <t>)</t>
    </r>
    <r>
      <rPr>
        <rFont val="ＭＳ Ｐゴシック"/>
        <sz val="10.0"/>
      </rPr>
      <t>と藤川</t>
    </r>
    <r>
      <rPr>
        <rFont val="Arial"/>
        <sz val="10.0"/>
      </rPr>
      <t>(</t>
    </r>
    <r>
      <rPr>
        <rFont val="ＭＳ Ｐゴシック"/>
        <sz val="10.0"/>
      </rPr>
      <t>尾上寛之</t>
    </r>
    <r>
      <rPr>
        <rFont val="Arial"/>
        <sz val="10.0"/>
      </rPr>
      <t>)</t>
    </r>
    <r>
      <rPr>
        <rFont val="ＭＳ Ｐゴシック"/>
        <sz val="10.0"/>
      </rPr>
      <t>。険悪だったコンビ仲も回復し、漫才日本一を決める</t>
    </r>
    <r>
      <rPr>
        <rFont val="Arial"/>
        <sz val="10.0"/>
      </rPr>
      <t>NMC</t>
    </r>
    <r>
      <rPr>
        <rFont val="ＭＳ Ｐゴシック"/>
        <sz val="10.0"/>
      </rPr>
      <t>の準決勝に進出。一方、藤川から圭右のエセ関西弁を正すよう忠告された圭右の相方・辻本</t>
    </r>
    <r>
      <rPr>
        <rFont val="Arial"/>
        <sz val="10.0"/>
      </rPr>
      <t>(</t>
    </r>
    <r>
      <rPr>
        <rFont val="ＭＳ Ｐゴシック"/>
        <sz val="10.0"/>
      </rPr>
      <t>渡辺大知</t>
    </r>
    <r>
      <rPr>
        <rFont val="Arial"/>
        <sz val="10.0"/>
      </rPr>
      <t>)</t>
    </r>
    <r>
      <rPr>
        <rFont val="ＭＳ Ｐゴシック"/>
        <sz val="10.0"/>
      </rPr>
      <t>だが、遠慮から言い出せずに悩む。そしてデジきんは準決勝のステージへ。</t>
    </r>
    <r>
      <rPr>
        <rFont val="Arial"/>
        <sz val="10.0"/>
      </rPr>
      <t>2</t>
    </r>
    <r>
      <rPr>
        <rFont val="ＭＳ Ｐゴシック"/>
        <sz val="10.0"/>
      </rPr>
      <t>人を待ち受ける、思いもよらない涙の結末とは</t>
    </r>
    <r>
      <rPr>
        <rFont val="Arial"/>
        <sz val="10.0"/>
      </rPr>
      <t>…!?</t>
    </r>
  </si>
  <si>
    <t>圭右(間宮祥太朗)の笑いに対するまっすぐな姿勢に胸打たれ、自分たちの原点を取り戻したデジタルきんぎょの金本(駿河太郎)と藤川(尾上寛之)。険悪だったコンビ仲も回復し、漫才日本一を決めるNMCの準決勝に進出。一方、藤川から圭右のエセ関西弁を正すよう忠告された圭右の相方・辻本(渡辺大知)だが、遠慮から言い出せずに悩む。そしてデジきんは準決勝のステージへ。2人を待ち受ける、思いもよらない涙の結末とは…!?</t>
  </si>
  <si>
    <t>番組名べしゃり暮らし　#6【森田まさのり原作×劇団ひとり演出×間宮祥太朗主演】</t>
  </si>
  <si>
    <r>
      <rPr>
        <rFont val="ＭＳ Ｐゴシック"/>
        <sz val="10.0"/>
      </rPr>
      <t>漫才日本一を決める</t>
    </r>
    <r>
      <rPr>
        <rFont val="Arial"/>
        <sz val="10.0"/>
      </rPr>
      <t>NMC</t>
    </r>
    <r>
      <rPr>
        <rFont val="ＭＳ Ｐゴシック"/>
        <sz val="10.0"/>
      </rPr>
      <t>決勝進出を決めたコンビ・デジタルきんぎょの藤川</t>
    </r>
    <r>
      <rPr>
        <rFont val="Arial"/>
        <sz val="10.0"/>
      </rPr>
      <t>(</t>
    </r>
    <r>
      <rPr>
        <rFont val="ＭＳ Ｐゴシック"/>
        <sz val="10.0"/>
      </rPr>
      <t>尾上寛之</t>
    </r>
    <r>
      <rPr>
        <rFont val="Arial"/>
        <sz val="10.0"/>
      </rPr>
      <t>)</t>
    </r>
    <r>
      <rPr>
        <rFont val="ＭＳ Ｐゴシック"/>
        <sz val="10.0"/>
      </rPr>
      <t>が、非業の死を遂げた</t>
    </r>
    <r>
      <rPr>
        <rFont val="Arial"/>
        <sz val="10.0"/>
      </rPr>
      <t>…</t>
    </r>
    <r>
      <rPr>
        <rFont val="ＭＳ Ｐゴシック"/>
        <sz val="10.0"/>
      </rPr>
      <t>。一同が深い悲しみに沈む中、相方の金本</t>
    </r>
    <r>
      <rPr>
        <rFont val="Arial"/>
        <sz val="10.0"/>
      </rPr>
      <t>(</t>
    </r>
    <r>
      <rPr>
        <rFont val="ＭＳ Ｐゴシック"/>
        <sz val="10.0"/>
      </rPr>
      <t>駿河太郎</t>
    </r>
    <r>
      <rPr>
        <rFont val="Arial"/>
        <sz val="10.0"/>
      </rPr>
      <t>)</t>
    </r>
    <r>
      <rPr>
        <rFont val="ＭＳ Ｐゴシック"/>
        <sz val="10.0"/>
      </rPr>
      <t>だけは藤川の遺体との対面もそこそこに、レギュラーラジオの生放送へと向かう。平静を装う金本は、代わりに圭右</t>
    </r>
    <r>
      <rPr>
        <rFont val="Arial"/>
        <sz val="10.0"/>
      </rPr>
      <t>(</t>
    </r>
    <r>
      <rPr>
        <rFont val="ＭＳ Ｐゴシック"/>
        <sz val="10.0"/>
      </rPr>
      <t>間宮祥太朗</t>
    </r>
    <r>
      <rPr>
        <rFont val="Arial"/>
        <sz val="10.0"/>
      </rPr>
      <t>)</t>
    </r>
    <r>
      <rPr>
        <rFont val="ＭＳ Ｐゴシック"/>
        <sz val="10.0"/>
      </rPr>
      <t>を座らせて何事もなかったように喋り始めるが、やがて想いは溢れ</t>
    </r>
    <r>
      <rPr>
        <rFont val="Arial"/>
        <sz val="10.0"/>
      </rPr>
      <t>…</t>
    </r>
    <r>
      <rPr>
        <rFont val="ＭＳ Ｐゴシック"/>
        <sz val="10.0"/>
      </rPr>
      <t>。金本の魂の叫びを間近で感じた圭右は、思いもよらない行動に出る</t>
    </r>
    <r>
      <rPr>
        <rFont val="Arial"/>
        <sz val="10.0"/>
      </rPr>
      <t>!</t>
    </r>
  </si>
  <si>
    <t>漫才日本一を決めるNMC決勝進出を決めたコンビ・デジタルきんぎょの藤川(尾上寛之)が、非業の死を遂げた…。一同が深い悲しみに沈む中、相方の金本(駿河太郎)だけは藤川の遺体との対面もそこそこに、レギュラーラジオの生放送へと向かう。平静を装う金本は、代わりに圭右(間宮祥太朗)を座らせて何事もなかったように喋り始めるが、やがて想いは溢れ…。金本の魂の叫びを間近で感じた圭右は、思いもよらない行動に出る!</t>
  </si>
  <si>
    <t>番組名べしゃり暮らし　#7【森田まさのり原作×劇団ひとり演出×間宮祥太朗主演】</t>
  </si>
  <si>
    <r>
      <rPr>
        <rFont val="ＭＳ Ｐゴシック"/>
        <sz val="10.0"/>
      </rPr>
      <t>ついに最終章</t>
    </r>
    <r>
      <rPr>
        <rFont val="Arial"/>
        <sz val="10.0"/>
      </rPr>
      <t>!</t>
    </r>
    <r>
      <rPr>
        <rFont val="ＭＳ Ｐゴシック"/>
        <sz val="10.0"/>
      </rPr>
      <t>高校を卒業した圭右</t>
    </r>
    <r>
      <rPr>
        <rFont val="Arial"/>
        <sz val="10.0"/>
      </rPr>
      <t>(</t>
    </r>
    <r>
      <rPr>
        <rFont val="ＭＳ Ｐゴシック"/>
        <sz val="10.0"/>
      </rPr>
      <t>間宮祥太朗</t>
    </r>
    <r>
      <rPr>
        <rFont val="Arial"/>
        <sz val="10.0"/>
      </rPr>
      <t>)</t>
    </r>
    <r>
      <rPr>
        <rFont val="ＭＳ Ｐゴシック"/>
        <sz val="10.0"/>
      </rPr>
      <t>は一人暮らしを始め、辻本</t>
    </r>
    <r>
      <rPr>
        <rFont val="Arial"/>
        <sz val="10.0"/>
      </rPr>
      <t>(</t>
    </r>
    <r>
      <rPr>
        <rFont val="ＭＳ Ｐゴシック"/>
        <sz val="10.0"/>
      </rPr>
      <t>渡辺大知</t>
    </r>
    <r>
      <rPr>
        <rFont val="Arial"/>
        <sz val="10.0"/>
      </rPr>
      <t>)</t>
    </r>
    <r>
      <rPr>
        <rFont val="ＭＳ Ｐゴシック"/>
        <sz val="10.0"/>
      </rPr>
      <t>とお笑い養成所・</t>
    </r>
    <r>
      <rPr>
        <rFont val="Arial"/>
        <sz val="10.0"/>
      </rPr>
      <t>YCA</t>
    </r>
    <r>
      <rPr>
        <rFont val="ＭＳ Ｐゴシック"/>
        <sz val="10.0"/>
      </rPr>
      <t>へ入学。圭右は子安</t>
    </r>
    <r>
      <rPr>
        <rFont val="Arial"/>
        <sz val="10.0"/>
      </rPr>
      <t>(</t>
    </r>
    <r>
      <rPr>
        <rFont val="ＭＳ Ｐゴシック"/>
        <sz val="10.0"/>
      </rPr>
      <t>矢本悠馬</t>
    </r>
    <r>
      <rPr>
        <rFont val="Arial"/>
        <sz val="10.0"/>
      </rPr>
      <t>)</t>
    </r>
    <r>
      <rPr>
        <rFont val="ＭＳ Ｐゴシック"/>
        <sz val="10.0"/>
      </rPr>
      <t>のネタ作りの才能に気づき、グループ名を</t>
    </r>
    <r>
      <rPr>
        <rFont val="Arial"/>
        <sz val="10.0"/>
      </rPr>
      <t>“</t>
    </r>
    <r>
      <rPr>
        <rFont val="ＭＳ Ｐゴシック"/>
        <sz val="10.0"/>
      </rPr>
      <t>べしゃり暮らし</t>
    </r>
    <r>
      <rPr>
        <rFont val="Arial"/>
        <sz val="10.0"/>
      </rPr>
      <t>"</t>
    </r>
    <r>
      <rPr>
        <rFont val="ＭＳ Ｐゴシック"/>
        <sz val="10.0"/>
      </rPr>
      <t>と改めた上、</t>
    </r>
    <r>
      <rPr>
        <rFont val="Arial"/>
        <sz val="10.0"/>
      </rPr>
      <t>3</t>
    </r>
    <r>
      <rPr>
        <rFont val="ＭＳ Ｐゴシック"/>
        <sz val="10.0"/>
      </rPr>
      <t>人トリオとして若手芸人の登竜門『漫才新人グランプリ』の出場を目指すことに。</t>
    </r>
    <r>
      <rPr>
        <rFont val="Arial"/>
        <sz val="10.0"/>
      </rPr>
      <t>YCA</t>
    </r>
    <r>
      <rPr>
        <rFont val="ＭＳ Ｐゴシック"/>
        <sz val="10.0"/>
      </rPr>
      <t>の同期ライバル達と切磋琢磨しながらお笑いの修業に励む圭右だが、得意とするアドリブと子安の作ったネタとの間で葛藤し</t>
    </r>
    <r>
      <rPr>
        <rFont val="Arial"/>
        <sz val="10.0"/>
      </rPr>
      <t>…!?</t>
    </r>
  </si>
  <si>
    <t>ついに最終章!高校を卒業した圭右(間宮祥太朗)は一人暮らしを始め、辻本(渡辺大知)とお笑い養成所・YCAへ入学。圭右は子安(矢本悠馬)のネタ作りの才能に気づき、グループ名を“べしゃり暮らし"と改めた上、3人トリオとして若手芸人の登竜門『漫才新人グランプリ』の出場を目指すことに。YCAの同期ライバル達と切磋琢磨しながらお笑いの修業に励む圭右だが、得意とするアドリブと子安の作ったネタとの間で葛藤し…!?</t>
  </si>
  <si>
    <t>番組名べしゃり暮らし　#8【森田まさのり原作×劇団ひとり演出×間宮祥太朗主演】</t>
  </si>
  <si>
    <r>
      <rPr>
        <rFont val="ＭＳ Ｐゴシック"/>
        <sz val="10.0"/>
      </rPr>
      <t>再び圭右</t>
    </r>
    <r>
      <rPr>
        <rFont val="Arial"/>
        <sz val="10.0"/>
      </rPr>
      <t>(</t>
    </r>
    <r>
      <rPr>
        <rFont val="ＭＳ Ｐゴシック"/>
        <sz val="10.0"/>
      </rPr>
      <t>間宮祥太朗</t>
    </r>
    <r>
      <rPr>
        <rFont val="Arial"/>
        <sz val="10.0"/>
      </rPr>
      <t>)</t>
    </r>
    <r>
      <rPr>
        <rFont val="ＭＳ Ｐゴシック"/>
        <sz val="10.0"/>
      </rPr>
      <t>と辻本</t>
    </r>
    <r>
      <rPr>
        <rFont val="Arial"/>
        <sz val="10.0"/>
      </rPr>
      <t>(</t>
    </r>
    <r>
      <rPr>
        <rFont val="ＭＳ Ｐゴシック"/>
        <sz val="10.0"/>
      </rPr>
      <t>渡辺大知</t>
    </r>
    <r>
      <rPr>
        <rFont val="Arial"/>
        <sz val="10.0"/>
      </rPr>
      <t>)</t>
    </r>
    <r>
      <rPr>
        <rFont val="ＭＳ Ｐゴシック"/>
        <sz val="10.0"/>
      </rPr>
      <t>のコンビに戻ったべしゃり暮らしは、芸人選抜クラスで芸を磨き、静代</t>
    </r>
    <r>
      <rPr>
        <rFont val="Arial"/>
        <sz val="10.0"/>
      </rPr>
      <t>(</t>
    </r>
    <r>
      <rPr>
        <rFont val="ＭＳ Ｐゴシック"/>
        <sz val="10.0"/>
      </rPr>
      <t>小芝風花</t>
    </r>
    <r>
      <rPr>
        <rFont val="Arial"/>
        <sz val="10.0"/>
      </rPr>
      <t>)</t>
    </r>
    <r>
      <rPr>
        <rFont val="ＭＳ Ｐゴシック"/>
        <sz val="10.0"/>
      </rPr>
      <t>や梵</t>
    </r>
    <r>
      <rPr>
        <rFont val="Arial"/>
        <sz val="10.0"/>
      </rPr>
      <t>(</t>
    </r>
    <r>
      <rPr>
        <rFont val="ＭＳ Ｐゴシック"/>
        <sz val="10.0"/>
      </rPr>
      <t>浅香航大</t>
    </r>
    <r>
      <rPr>
        <rFont val="Arial"/>
        <sz val="10.0"/>
      </rPr>
      <t>)</t>
    </r>
    <r>
      <rPr>
        <rFont val="ＭＳ Ｐゴシック"/>
        <sz val="10.0"/>
      </rPr>
      <t>といったライバルがひしめき合う中『漫才新人グランプリ』での優勝を目指す。</t>
    </r>
    <r>
      <rPr>
        <rFont val="Arial"/>
        <sz val="10.0"/>
      </rPr>
      <t>1</t>
    </r>
    <r>
      <rPr>
        <rFont val="ＭＳ Ｐゴシック"/>
        <sz val="10.0"/>
      </rPr>
      <t>次、</t>
    </r>
    <r>
      <rPr>
        <rFont val="Arial"/>
        <sz val="10.0"/>
      </rPr>
      <t>2</t>
    </r>
    <r>
      <rPr>
        <rFont val="ＭＳ Ｐゴシック"/>
        <sz val="10.0"/>
      </rPr>
      <t>次予選と進む中、互いの思いはかみ合わないまま。ついに</t>
    </r>
    <r>
      <rPr>
        <rFont val="Arial"/>
        <sz val="10.0"/>
      </rPr>
      <t>“</t>
    </r>
    <r>
      <rPr>
        <rFont val="ＭＳ Ｐゴシック"/>
        <sz val="10.0"/>
      </rPr>
      <t>お前が信じてくれるような相方になれなかった</t>
    </r>
    <r>
      <rPr>
        <rFont val="Arial"/>
        <sz val="10.0"/>
      </rPr>
      <t>"</t>
    </r>
    <r>
      <rPr>
        <rFont val="ＭＳ Ｐゴシック"/>
        <sz val="10.0"/>
      </rPr>
      <t>と、辻本は圭右のもとを去ってしまう</t>
    </r>
    <r>
      <rPr>
        <rFont val="Arial"/>
        <sz val="10.0"/>
      </rPr>
      <t>…</t>
    </r>
    <r>
      <rPr>
        <rFont val="ＭＳ Ｐゴシック"/>
        <sz val="10.0"/>
      </rPr>
      <t>。このまま</t>
    </r>
    <r>
      <rPr>
        <rFont val="Arial"/>
        <sz val="10.0"/>
      </rPr>
      <t>2</t>
    </r>
    <r>
      <rPr>
        <rFont val="ＭＳ Ｐゴシック"/>
        <sz val="10.0"/>
      </rPr>
      <t>人は解散してしまうのか</t>
    </r>
    <r>
      <rPr>
        <rFont val="Arial"/>
        <sz val="10.0"/>
      </rPr>
      <t>!?</t>
    </r>
    <r>
      <rPr>
        <rFont val="ＭＳ Ｐゴシック"/>
        <sz val="10.0"/>
      </rPr>
      <t>運命の最終回</t>
    </r>
    <r>
      <rPr>
        <rFont val="Arial"/>
        <sz val="10.0"/>
      </rPr>
      <t>!</t>
    </r>
  </si>
  <si>
    <t>再び圭右(間宮祥太朗)と辻本(渡辺大知)のコンビに戻ったべしゃり暮らしは、芸人選抜クラスで芸を磨き、静代(小芝風花)や梵(浅香航大)といったライバルがひしめき合う中『漫才新人グランプリ』での優勝を目指す。1次、2次予選と進む中、互いの思いはかみ合わないまま。ついに“お前が信じてくれるような相方になれなかった"と、辻本は圭右のもとを去ってしまう…。このまま2人は解散してしまうのか!?運命の最終回!</t>
  </si>
  <si>
    <t>1904_EX_木21</t>
  </si>
  <si>
    <t>緊急取調室</t>
  </si>
  <si>
    <t>番組名緊急取調室　#1</t>
  </si>
  <si>
    <r>
      <rPr>
        <rFont val="ＭＳ Ｐゴシック"/>
        <sz val="10.0"/>
      </rPr>
      <t>懲役</t>
    </r>
    <r>
      <rPr>
        <rFont val="Arial"/>
        <sz val="10.0"/>
      </rPr>
      <t>12</t>
    </r>
    <r>
      <rPr>
        <rFont val="ＭＳ Ｐゴシック"/>
        <sz val="10.0"/>
      </rPr>
      <t>年の判決が確定し、護送中の受刑者・野本雄太</t>
    </r>
    <r>
      <rPr>
        <rFont val="Arial"/>
        <sz val="10.0"/>
      </rPr>
      <t>(</t>
    </r>
    <r>
      <rPr>
        <rFont val="ＭＳ Ｐゴシック"/>
        <sz val="10.0"/>
      </rPr>
      <t>淵上泰史</t>
    </r>
    <r>
      <rPr>
        <rFont val="Arial"/>
        <sz val="10.0"/>
      </rPr>
      <t>)</t>
    </r>
    <r>
      <rPr>
        <rFont val="ＭＳ Ｐゴシック"/>
        <sz val="10.0"/>
      </rPr>
      <t>が逃走。主婦・藤沢さおり</t>
    </r>
    <r>
      <rPr>
        <rFont val="Arial"/>
        <sz val="10.0"/>
      </rPr>
      <t>(</t>
    </r>
    <r>
      <rPr>
        <rFont val="ＭＳ Ｐゴシック"/>
        <sz val="10.0"/>
      </rPr>
      <t>市川由衣</t>
    </r>
    <r>
      <rPr>
        <rFont val="Arial"/>
        <sz val="10.0"/>
      </rPr>
      <t>)</t>
    </r>
    <r>
      <rPr>
        <rFont val="ＭＳ Ｐゴシック"/>
        <sz val="10.0"/>
      </rPr>
      <t>を人質にして民家に立てこもる。交渉役に指名された警視庁初の女性刑事部参事官・菊池玲子</t>
    </r>
    <r>
      <rPr>
        <rFont val="Arial"/>
        <sz val="10.0"/>
      </rPr>
      <t>(</t>
    </r>
    <r>
      <rPr>
        <rFont val="ＭＳ Ｐゴシック"/>
        <sz val="10.0"/>
      </rPr>
      <t>浅野温子</t>
    </r>
    <r>
      <rPr>
        <rFont val="Arial"/>
        <sz val="10.0"/>
      </rPr>
      <t>)</t>
    </r>
    <r>
      <rPr>
        <rFont val="ＭＳ Ｐゴシック"/>
        <sz val="10.0"/>
      </rPr>
      <t>は、なんと犯人を射殺。真壁有希子</t>
    </r>
    <r>
      <rPr>
        <rFont val="Arial"/>
        <sz val="10.0"/>
      </rPr>
      <t>(</t>
    </r>
    <r>
      <rPr>
        <rFont val="ＭＳ Ｐゴシック"/>
        <sz val="10.0"/>
      </rPr>
      <t>天海祐希</t>
    </r>
    <r>
      <rPr>
        <rFont val="Arial"/>
        <sz val="10.0"/>
      </rPr>
      <t>)</t>
    </r>
    <r>
      <rPr>
        <rFont val="ＭＳ Ｐゴシック"/>
        <sz val="10.0"/>
      </rPr>
      <t>ら</t>
    </r>
    <r>
      <rPr>
        <rFont val="Arial"/>
        <sz val="10.0"/>
      </rPr>
      <t>“</t>
    </r>
    <r>
      <rPr>
        <rFont val="ＭＳ Ｐゴシック"/>
        <sz val="10.0"/>
      </rPr>
      <t>キントリ</t>
    </r>
    <r>
      <rPr>
        <rFont val="Arial"/>
        <sz val="10.0"/>
      </rPr>
      <t>"</t>
    </r>
    <r>
      <rPr>
        <rFont val="ＭＳ Ｐゴシック"/>
        <sz val="10.0"/>
      </rPr>
      <t>チームは菊池の取り調べを開始するが、職務執行法に抵触する点は見受けられない</t>
    </r>
    <r>
      <rPr>
        <rFont val="Arial"/>
        <sz val="10.0"/>
      </rPr>
      <t>…</t>
    </r>
    <r>
      <rPr>
        <rFont val="ＭＳ Ｐゴシック"/>
        <sz val="10.0"/>
      </rPr>
      <t>。果たして、本当に正当防衛なのか</t>
    </r>
    <r>
      <rPr>
        <rFont val="Arial"/>
        <sz val="10.0"/>
      </rPr>
      <t>!?</t>
    </r>
    <r>
      <rPr>
        <rFont val="ＭＳ Ｐゴシック"/>
        <sz val="10.0"/>
      </rPr>
      <t>それとも</t>
    </r>
    <r>
      <rPr>
        <rFont val="Arial"/>
        <sz val="10.0"/>
      </rPr>
      <t>…!?</t>
    </r>
  </si>
  <si>
    <t>懲役12年の判決が確定し、護送中の受刑者・野本雄太(淵上泰史)が逃走。主婦・藤沢さおり(市川由衣)を人質にして民家に立てこもる。交渉役に指名された警視庁初の女性刑事部参事官・菊池玲子(浅野温子)は、なんと犯人を射殺。真壁有希子(天海祐希)ら“キントリ"チームは菊池の取り調べを開始するが、職務執行法に抵触する点は見受けられない…。果たして、本当に正当防衛なのか!?それとも…!?</t>
  </si>
  <si>
    <t>番組名緊急取調室　#2</t>
  </si>
  <si>
    <r>
      <rPr>
        <rFont val="ＭＳ Ｐゴシック"/>
        <sz val="10.0"/>
      </rPr>
      <t>世間が注目する女流棋戦の最終対局が行われる中、スポンサーが毒殺された</t>
    </r>
    <r>
      <rPr>
        <rFont val="Arial"/>
        <sz val="10.0"/>
      </rPr>
      <t>!</t>
    </r>
    <r>
      <rPr>
        <rFont val="ＭＳ Ｐゴシック"/>
        <sz val="10.0"/>
      </rPr>
      <t>新進女流棋士・橘日名子</t>
    </r>
    <r>
      <rPr>
        <rFont val="Arial"/>
        <sz val="10.0"/>
      </rPr>
      <t>(</t>
    </r>
    <r>
      <rPr>
        <rFont val="ＭＳ Ｐゴシック"/>
        <sz val="10.0"/>
      </rPr>
      <t>松井珠理奈</t>
    </r>
    <r>
      <rPr>
        <rFont val="Arial"/>
        <sz val="10.0"/>
      </rPr>
      <t>)</t>
    </r>
    <r>
      <rPr>
        <rFont val="ＭＳ Ｐゴシック"/>
        <sz val="10.0"/>
      </rPr>
      <t>とベテラン女流棋士・宗形あずさ</t>
    </r>
    <r>
      <rPr>
        <rFont val="Arial"/>
        <sz val="10.0"/>
      </rPr>
      <t>(</t>
    </r>
    <r>
      <rPr>
        <rFont val="ＭＳ Ｐゴシック"/>
        <sz val="10.0"/>
      </rPr>
      <t>紺野まひる</t>
    </r>
    <r>
      <rPr>
        <rFont val="Arial"/>
        <sz val="10.0"/>
      </rPr>
      <t>)</t>
    </r>
    <r>
      <rPr>
        <rFont val="ＭＳ Ｐゴシック"/>
        <sz val="10.0"/>
      </rPr>
      <t>。あずさの</t>
    </r>
    <r>
      <rPr>
        <rFont val="Arial"/>
        <sz val="10.0"/>
      </rPr>
      <t>“</t>
    </r>
    <r>
      <rPr>
        <rFont val="ＭＳ Ｐゴシック"/>
        <sz val="10.0"/>
      </rPr>
      <t>ある証言</t>
    </r>
    <r>
      <rPr>
        <rFont val="Arial"/>
        <sz val="10.0"/>
      </rPr>
      <t>"</t>
    </r>
    <r>
      <rPr>
        <rFont val="ＭＳ Ｐゴシック"/>
        <sz val="10.0"/>
      </rPr>
      <t>により、殺害の疑いの目は日名子に注がれる。有希子</t>
    </r>
    <r>
      <rPr>
        <rFont val="Arial"/>
        <sz val="10.0"/>
      </rPr>
      <t>(</t>
    </r>
    <r>
      <rPr>
        <rFont val="ＭＳ Ｐゴシック"/>
        <sz val="10.0"/>
      </rPr>
      <t>天海祐希</t>
    </r>
    <r>
      <rPr>
        <rFont val="Arial"/>
        <sz val="10.0"/>
      </rPr>
      <t>)</t>
    </r>
    <r>
      <rPr>
        <rFont val="ＭＳ Ｐゴシック"/>
        <sz val="10.0"/>
      </rPr>
      <t>らキントリチームは、王手をかけるべく、なんと日名子とあずさを同じ日時に別室へ呼び出し、前代未聞の</t>
    </r>
    <r>
      <rPr>
        <rFont val="Arial"/>
        <sz val="10.0"/>
      </rPr>
      <t>“</t>
    </r>
    <r>
      <rPr>
        <rFont val="ＭＳ Ｐゴシック"/>
        <sz val="10.0"/>
      </rPr>
      <t>二元同時取り調べ</t>
    </r>
    <r>
      <rPr>
        <rFont val="Arial"/>
        <sz val="10.0"/>
      </rPr>
      <t>"</t>
    </r>
    <r>
      <rPr>
        <rFont val="ＭＳ Ｐゴシック"/>
        <sz val="10.0"/>
      </rPr>
      <t>を始める</t>
    </r>
    <r>
      <rPr>
        <rFont val="Arial"/>
        <sz val="10.0"/>
      </rPr>
      <t>…</t>
    </r>
    <r>
      <rPr>
        <rFont val="ＭＳ Ｐゴシック"/>
        <sz val="10.0"/>
      </rPr>
      <t>。</t>
    </r>
  </si>
  <si>
    <t>世間が注目する女流棋戦の最終対局が行われる中、スポンサーが毒殺された!新進女流棋士・橘日名子(松井珠理奈)とベテラン女流棋士・宗形あずさ(紺野まひる)。あずさの“ある証言"により、殺害の疑いの目は日名子に注がれる。有希子(天海祐希)らキントリチームは、王手をかけるべく、なんと日名子とあずさを同じ日時に別室へ呼び出し、前代未聞の“二元同時取り調べ"を始める…。</t>
  </si>
  <si>
    <t>番組名緊急取調室　#3</t>
  </si>
  <si>
    <r>
      <t>“5</t>
    </r>
    <r>
      <rPr>
        <rFont val="ＭＳ Ｐゴシック"/>
        <sz val="10.0"/>
      </rPr>
      <t>億稼ぐ女</t>
    </r>
    <r>
      <rPr>
        <rFont val="Arial"/>
        <sz val="10.0"/>
      </rPr>
      <t>"</t>
    </r>
    <r>
      <rPr>
        <rFont val="ＭＳ Ｐゴシック"/>
        <sz val="10.0"/>
      </rPr>
      <t>と呼ばれるカリスマトレーダー・宝城理沙</t>
    </r>
    <r>
      <rPr>
        <rFont val="Arial"/>
        <sz val="10.0"/>
      </rPr>
      <t>(</t>
    </r>
    <r>
      <rPr>
        <rFont val="ＭＳ Ｐゴシック"/>
        <sz val="10.0"/>
      </rPr>
      <t>筧美和子</t>
    </r>
    <r>
      <rPr>
        <rFont val="Arial"/>
        <sz val="10.0"/>
      </rPr>
      <t>)</t>
    </r>
    <r>
      <rPr>
        <rFont val="ＭＳ Ｐゴシック"/>
        <sz val="10.0"/>
      </rPr>
      <t>が殺害された。刑事・監物</t>
    </r>
    <r>
      <rPr>
        <rFont val="Arial"/>
        <sz val="10.0"/>
      </rPr>
      <t>(</t>
    </r>
    <r>
      <rPr>
        <rFont val="ＭＳ Ｐゴシック"/>
        <sz val="10.0"/>
      </rPr>
      <t>鈴木浩介</t>
    </r>
    <r>
      <rPr>
        <rFont val="Arial"/>
        <sz val="10.0"/>
      </rPr>
      <t>)</t>
    </r>
    <r>
      <rPr>
        <rFont val="ＭＳ Ｐゴシック"/>
        <sz val="10.0"/>
      </rPr>
      <t>と渡辺</t>
    </r>
    <r>
      <rPr>
        <rFont val="Arial"/>
        <sz val="10.0"/>
      </rPr>
      <t>(</t>
    </r>
    <r>
      <rPr>
        <rFont val="ＭＳ Ｐゴシック"/>
        <sz val="10.0"/>
      </rPr>
      <t>速水もこみち</t>
    </r>
    <r>
      <rPr>
        <rFont val="Arial"/>
        <sz val="10.0"/>
      </rPr>
      <t>)</t>
    </r>
    <r>
      <rPr>
        <rFont val="ＭＳ Ｐゴシック"/>
        <sz val="10.0"/>
      </rPr>
      <t>は、同じマンションに住む第一発見者・平井かすみ</t>
    </r>
    <r>
      <rPr>
        <rFont val="Arial"/>
        <sz val="10.0"/>
      </rPr>
      <t>(</t>
    </r>
    <r>
      <rPr>
        <rFont val="ＭＳ Ｐゴシック"/>
        <sz val="10.0"/>
      </rPr>
      <t>仙道敦子</t>
    </r>
    <r>
      <rPr>
        <rFont val="Arial"/>
        <sz val="10.0"/>
      </rPr>
      <t>)</t>
    </r>
    <r>
      <rPr>
        <rFont val="ＭＳ Ｐゴシック"/>
        <sz val="10.0"/>
      </rPr>
      <t>を逮捕。さらに</t>
    </r>
    <r>
      <rPr>
        <rFont val="Arial"/>
        <sz val="10.0"/>
      </rPr>
      <t>“5</t>
    </r>
    <r>
      <rPr>
        <rFont val="ＭＳ Ｐゴシック"/>
        <sz val="10.0"/>
      </rPr>
      <t>億稼ぐ女</t>
    </r>
    <r>
      <rPr>
        <rFont val="Arial"/>
        <sz val="10.0"/>
      </rPr>
      <t>"</t>
    </r>
    <r>
      <rPr>
        <rFont val="ＭＳ Ｐゴシック"/>
        <sz val="10.0"/>
      </rPr>
      <t>の正体は理沙ではなく、かすみだと判明する。しかし捜査は行き詰まり、有希子</t>
    </r>
    <r>
      <rPr>
        <rFont val="Arial"/>
        <sz val="10.0"/>
      </rPr>
      <t>(</t>
    </r>
    <r>
      <rPr>
        <rFont val="ＭＳ Ｐゴシック"/>
        <sz val="10.0"/>
      </rPr>
      <t>天海祐希</t>
    </r>
    <r>
      <rPr>
        <rFont val="Arial"/>
        <sz val="10.0"/>
      </rPr>
      <t>)</t>
    </r>
    <r>
      <rPr>
        <rFont val="ＭＳ Ｐゴシック"/>
        <sz val="10.0"/>
      </rPr>
      <t>らキントリ・チームが取り調べることに。かすみの</t>
    </r>
    <r>
      <rPr>
        <rFont val="Arial"/>
        <sz val="10.0"/>
      </rPr>
      <t>“</t>
    </r>
    <r>
      <rPr>
        <rFont val="ＭＳ Ｐゴシック"/>
        <sz val="10.0"/>
      </rPr>
      <t>別の顔</t>
    </r>
    <r>
      <rPr>
        <rFont val="Arial"/>
        <sz val="10.0"/>
      </rPr>
      <t>"</t>
    </r>
    <r>
      <rPr>
        <rFont val="ＭＳ Ｐゴシック"/>
        <sz val="10.0"/>
      </rPr>
      <t>を暴こうとしたところ、</t>
    </r>
    <r>
      <rPr>
        <rFont val="Arial"/>
        <sz val="10.0"/>
      </rPr>
      <t>“</t>
    </r>
    <r>
      <rPr>
        <rFont val="ＭＳ Ｐゴシック"/>
        <sz val="10.0"/>
      </rPr>
      <t>完全黙秘</t>
    </r>
    <r>
      <rPr>
        <rFont val="Arial"/>
        <sz val="10.0"/>
      </rPr>
      <t>"</t>
    </r>
    <r>
      <rPr>
        <rFont val="ＭＳ Ｐゴシック"/>
        <sz val="10.0"/>
      </rPr>
      <t>に転じてしまい</t>
    </r>
    <r>
      <rPr>
        <rFont val="Arial"/>
        <sz val="10.0"/>
      </rPr>
      <t>…!?</t>
    </r>
  </si>
  <si>
    <t>“5億稼ぐ女"と呼ばれるカリスマトレーダー・宝城理沙(筧美和子)が殺害された。刑事・監物(鈴木浩介)と渡辺(速水もこみち)は、同じマンションに住む第一発見者・平井かすみ(仙道敦子)を逮捕。さらに“5億稼ぐ女"の正体は理沙ではなく、かすみだと判明する。しかし捜査は行き詰まり、有希子(天海祐希)らキントリ・チームが取り調べることに。かすみの“別の顔"を暴こうとしたところ、“完全黙秘"に転じてしまい…!?</t>
  </si>
  <si>
    <t>番組名緊急取調室　#4</t>
  </si>
  <si>
    <r>
      <rPr>
        <rFont val="ＭＳ Ｐゴシック"/>
        <sz val="10.0"/>
      </rPr>
      <t>女子高校生連続殺人事件の被疑者として、樫村荘介</t>
    </r>
    <r>
      <rPr>
        <rFont val="Arial"/>
        <sz val="10.0"/>
      </rPr>
      <t>(</t>
    </r>
    <r>
      <rPr>
        <rFont val="ＭＳ Ｐゴシック"/>
        <sz val="10.0"/>
      </rPr>
      <t>今井悠貴</t>
    </r>
    <r>
      <rPr>
        <rFont val="Arial"/>
        <sz val="10.0"/>
      </rPr>
      <t>)</t>
    </r>
    <r>
      <rPr>
        <rFont val="ＭＳ Ｐゴシック"/>
        <sz val="10.0"/>
      </rPr>
      <t>を逮捕。さらに樫村は、</t>
    </r>
    <r>
      <rPr>
        <rFont val="Arial"/>
        <sz val="10.0"/>
      </rPr>
      <t>2</t>
    </r>
    <r>
      <rPr>
        <rFont val="ＭＳ Ｐゴシック"/>
        <sz val="10.0"/>
      </rPr>
      <t>日前の夜に失踪した女子高校生・福永真希を監禁している疑惑が浮上。樫村の殺害方法から推測すると、真希の生存可能時間は残りたったの</t>
    </r>
    <r>
      <rPr>
        <rFont val="Arial"/>
        <sz val="10.0"/>
      </rPr>
      <t>30</t>
    </r>
    <r>
      <rPr>
        <rFont val="ＭＳ Ｐゴシック"/>
        <sz val="10.0"/>
      </rPr>
      <t>時間</t>
    </r>
    <r>
      <rPr>
        <rFont val="Arial"/>
        <sz val="10.0"/>
      </rPr>
      <t>…</t>
    </r>
    <r>
      <rPr>
        <rFont val="ＭＳ Ｐゴシック"/>
        <sz val="10.0"/>
      </rPr>
      <t>。有希子</t>
    </r>
    <r>
      <rPr>
        <rFont val="Arial"/>
        <sz val="10.0"/>
      </rPr>
      <t>(</t>
    </r>
    <r>
      <rPr>
        <rFont val="ＭＳ Ｐゴシック"/>
        <sz val="10.0"/>
      </rPr>
      <t>天海祐希</t>
    </r>
    <r>
      <rPr>
        <rFont val="Arial"/>
        <sz val="10.0"/>
      </rPr>
      <t>)</t>
    </r>
    <r>
      <rPr>
        <rFont val="ＭＳ Ｐゴシック"/>
        <sz val="10.0"/>
      </rPr>
      <t>らキントリ・チームが取り調べるも、樫村は完全黙秘。さらなる手がかりを求め、寝たきりの祖母・澄江</t>
    </r>
    <r>
      <rPr>
        <rFont val="Arial"/>
        <sz val="10.0"/>
      </rPr>
      <t>(</t>
    </r>
    <r>
      <rPr>
        <rFont val="ＭＳ Ｐゴシック"/>
        <sz val="10.0"/>
      </rPr>
      <t>鷲尾真知子</t>
    </r>
    <r>
      <rPr>
        <rFont val="Arial"/>
        <sz val="10.0"/>
      </rPr>
      <t>)</t>
    </r>
    <r>
      <rPr>
        <rFont val="ＭＳ Ｐゴシック"/>
        <sz val="10.0"/>
      </rPr>
      <t>と暮らす樫村の姉・茜</t>
    </r>
    <r>
      <rPr>
        <rFont val="Arial"/>
        <sz val="10.0"/>
      </rPr>
      <t>(</t>
    </r>
    <r>
      <rPr>
        <rFont val="ＭＳ Ｐゴシック"/>
        <sz val="10.0"/>
      </rPr>
      <t>松本まりか</t>
    </r>
    <r>
      <rPr>
        <rFont val="Arial"/>
        <sz val="10.0"/>
      </rPr>
      <t>)</t>
    </r>
    <r>
      <rPr>
        <rFont val="ＭＳ Ｐゴシック"/>
        <sz val="10.0"/>
      </rPr>
      <t>と引き合わせるが</t>
    </r>
    <r>
      <rPr>
        <rFont val="Arial"/>
        <sz val="10.0"/>
      </rPr>
      <t>…</t>
    </r>
  </si>
  <si>
    <t>女子高校生連続殺人事件の被疑者として、樫村荘介(今井悠貴)を逮捕。さらに樫村は、2日前の夜に失踪した女子高校生・福永真希を監禁している疑惑が浮上。樫村の殺害方法から推測すると、真希の生存可能時間は残りたったの30時間…。有希子(天海祐希)らキントリ・チームが取り調べるも、樫村は完全黙秘。さらなる手がかりを求め、寝たきりの祖母・澄江(鷲尾真知子)と暮らす樫村の姉・茜(松本まりか)と引き合わせるが…</t>
  </si>
  <si>
    <t>番組名緊急取調室　#5</t>
  </si>
  <si>
    <r>
      <rPr>
        <rFont val="ＭＳ Ｐゴシック"/>
        <sz val="10.0"/>
      </rPr>
      <t>姑・山下昌子</t>
    </r>
    <r>
      <rPr>
        <rFont val="Arial"/>
        <sz val="10.0"/>
      </rPr>
      <t>(</t>
    </r>
    <r>
      <rPr>
        <rFont val="ＭＳ Ｐゴシック"/>
        <sz val="10.0"/>
      </rPr>
      <t>真野響子</t>
    </r>
    <r>
      <rPr>
        <rFont val="Arial"/>
        <sz val="10.0"/>
      </rPr>
      <t>)</t>
    </r>
    <r>
      <rPr>
        <rFont val="ＭＳ Ｐゴシック"/>
        <sz val="10.0"/>
      </rPr>
      <t>に頼まれ、夕食のスープに使うカボチャを買いに出かけた嫁・彩矢</t>
    </r>
    <r>
      <rPr>
        <rFont val="Arial"/>
        <sz val="10.0"/>
      </rPr>
      <t>(</t>
    </r>
    <r>
      <rPr>
        <rFont val="ＭＳ Ｐゴシック"/>
        <sz val="10.0"/>
      </rPr>
      <t>国分佐智子</t>
    </r>
    <r>
      <rPr>
        <rFont val="Arial"/>
        <sz val="10.0"/>
      </rPr>
      <t>)</t>
    </r>
    <r>
      <rPr>
        <rFont val="ＭＳ Ｐゴシック"/>
        <sz val="10.0"/>
      </rPr>
      <t>が行方不明に。有希子</t>
    </r>
    <r>
      <rPr>
        <rFont val="Arial"/>
        <sz val="10.0"/>
      </rPr>
      <t>(</t>
    </r>
    <r>
      <rPr>
        <rFont val="ＭＳ Ｐゴシック"/>
        <sz val="10.0"/>
      </rPr>
      <t>天海祐希</t>
    </r>
    <r>
      <rPr>
        <rFont val="Arial"/>
        <sz val="10.0"/>
      </rPr>
      <t>)</t>
    </r>
    <r>
      <rPr>
        <rFont val="ＭＳ Ｐゴシック"/>
        <sz val="10.0"/>
      </rPr>
      <t>は山下家に向かい、涙ながらに嫁の安否を案じる昌子から話を聞くことに。そんな中、夫・翔太が妻を殺したと自首してきた</t>
    </r>
    <r>
      <rPr>
        <rFont val="Arial"/>
        <sz val="10.0"/>
      </rPr>
      <t>!</t>
    </r>
    <r>
      <rPr>
        <rFont val="ＭＳ Ｐゴシック"/>
        <sz val="10.0"/>
      </rPr>
      <t>だが、有希子は昌子こそが真犯人だと確信し、重要参考人として出頭するよう依頼するが拒否される。しかし、自宅で有希子と</t>
    </r>
    <r>
      <rPr>
        <rFont val="Arial"/>
        <sz val="10.0"/>
      </rPr>
      <t>2</t>
    </r>
    <r>
      <rPr>
        <rFont val="ＭＳ Ｐゴシック"/>
        <sz val="10.0"/>
      </rPr>
      <t>人きりなら事情聴取に応じると言い出し</t>
    </r>
    <r>
      <rPr>
        <rFont val="Arial"/>
        <sz val="10.0"/>
      </rPr>
      <t>…!?</t>
    </r>
  </si>
  <si>
    <t>姑・山下昌子(真野響子)に頼まれ、夕食のスープに使うカボチャを買いに出かけた嫁・彩矢(国分佐智子)が行方不明に。有希子(天海祐希)は山下家に向かい、涙ながらに嫁の安否を案じる昌子から話を聞くことに。そんな中、夫・翔太が妻を殺したと自首してきた!だが、有希子は昌子こそが真犯人だと確信し、重要参考人として出頭するよう依頼するが拒否される。しかし、自宅で有希子と2人きりなら事情聴取に応じると言い出し…!?</t>
  </si>
  <si>
    <t>番組名緊急取調室　#6</t>
  </si>
  <si>
    <r>
      <rPr>
        <rFont val="ＭＳ Ｐゴシック"/>
        <sz val="10.0"/>
      </rPr>
      <t>保育園児・凛が自宅から誘拐され、園児の父親・康弘が遺体で発見された。情報提供により、ウサギの着ぐるみをまとった不審者が、凛を抱きかかえて歩く姿を撮影した映像を入手</t>
    </r>
    <r>
      <rPr>
        <rFont val="Arial"/>
        <sz val="10.0"/>
      </rPr>
      <t>!</t>
    </r>
    <r>
      <rPr>
        <rFont val="ＭＳ Ｐゴシック"/>
        <sz val="10.0"/>
      </rPr>
      <t>捜査協力を命じられたキントリ・チームは、母親・明日香</t>
    </r>
    <r>
      <rPr>
        <rFont val="Arial"/>
        <sz val="10.0"/>
      </rPr>
      <t>(</t>
    </r>
    <r>
      <rPr>
        <rFont val="ＭＳ Ｐゴシック"/>
        <sz val="10.0"/>
      </rPr>
      <t>土居志央梨</t>
    </r>
    <r>
      <rPr>
        <rFont val="Arial"/>
        <sz val="10.0"/>
      </rPr>
      <t>)</t>
    </r>
    <r>
      <rPr>
        <rFont val="ＭＳ Ｐゴシック"/>
        <sz val="10.0"/>
      </rPr>
      <t>と凛の担任保育士・柴田七海</t>
    </r>
    <r>
      <rPr>
        <rFont val="Arial"/>
        <sz val="10.0"/>
      </rPr>
      <t>(</t>
    </r>
    <r>
      <rPr>
        <rFont val="ＭＳ Ｐゴシック"/>
        <sz val="10.0"/>
      </rPr>
      <t>倉科カナ</t>
    </r>
    <r>
      <rPr>
        <rFont val="Arial"/>
        <sz val="10.0"/>
      </rPr>
      <t>)</t>
    </r>
    <r>
      <rPr>
        <rFont val="ＭＳ Ｐゴシック"/>
        <sz val="10.0"/>
      </rPr>
      <t>の取り調べに乗り出すが、有希子</t>
    </r>
    <r>
      <rPr>
        <rFont val="Arial"/>
        <sz val="10.0"/>
      </rPr>
      <t>(</t>
    </r>
    <r>
      <rPr>
        <rFont val="ＭＳ Ｐゴシック"/>
        <sz val="10.0"/>
      </rPr>
      <t>天海祐希</t>
    </r>
    <r>
      <rPr>
        <rFont val="Arial"/>
        <sz val="10.0"/>
      </rPr>
      <t>)</t>
    </r>
    <r>
      <rPr>
        <rFont val="ＭＳ Ｐゴシック"/>
        <sz val="10.0"/>
      </rPr>
      <t>は七海が嘘をつき、頑なに何かを隠そうとしているような気がしてならず</t>
    </r>
    <r>
      <rPr>
        <rFont val="Arial"/>
        <sz val="10.0"/>
      </rPr>
      <t>…</t>
    </r>
  </si>
  <si>
    <t>保育園児・凛が自宅から誘拐され、園児の父親・康弘が遺体で発見された。情報提供により、ウサギの着ぐるみをまとった不審者が、凛を抱きかかえて歩く姿を撮影した映像を入手!捜査協力を命じられたキントリ・チームは、母親・明日香(土居志央梨)と凛の担任保育士・柴田七海(倉科カナ)の取り調べに乗り出すが、有希子(天海祐希)は七海が嘘をつき、頑なに何かを隠そうとしているような気がしてならず…</t>
  </si>
  <si>
    <t>番組名緊急取調室　#7</t>
  </si>
  <si>
    <r>
      <rPr>
        <rFont val="ＭＳ Ｐゴシック"/>
        <sz val="10.0"/>
      </rPr>
      <t>宝石販売会社社長・伴佐知恵</t>
    </r>
    <r>
      <rPr>
        <rFont val="Arial"/>
        <sz val="10.0"/>
      </rPr>
      <t>(</t>
    </r>
    <r>
      <rPr>
        <rFont val="ＭＳ Ｐゴシック"/>
        <sz val="10.0"/>
      </rPr>
      <t>大久保佳代子</t>
    </r>
    <r>
      <rPr>
        <rFont val="Arial"/>
        <sz val="10.0"/>
      </rPr>
      <t>)</t>
    </r>
    <r>
      <rPr>
        <rFont val="ＭＳ Ｐゴシック"/>
        <sz val="10.0"/>
      </rPr>
      <t>が、元夫を殺害したと自首。有希子</t>
    </r>
    <r>
      <rPr>
        <rFont val="Arial"/>
        <sz val="10.0"/>
      </rPr>
      <t>(</t>
    </r>
    <r>
      <rPr>
        <rFont val="ＭＳ Ｐゴシック"/>
        <sz val="10.0"/>
      </rPr>
      <t>天海祐希</t>
    </r>
    <r>
      <rPr>
        <rFont val="Arial"/>
        <sz val="10.0"/>
      </rPr>
      <t>)</t>
    </r>
    <r>
      <rPr>
        <rFont val="ＭＳ Ｐゴシック"/>
        <sz val="10.0"/>
      </rPr>
      <t>らキントリチームが取り調べをすると、佐知恵は</t>
    </r>
    <r>
      <rPr>
        <rFont val="Arial"/>
        <sz val="10.0"/>
      </rPr>
      <t>24</t>
    </r>
    <r>
      <rPr>
        <rFont val="ＭＳ Ｐゴシック"/>
        <sz val="10.0"/>
      </rPr>
      <t>歳年下のイケメン販売員・若杉純</t>
    </r>
    <r>
      <rPr>
        <rFont val="Arial"/>
        <sz val="10.0"/>
      </rPr>
      <t>(</t>
    </r>
    <r>
      <rPr>
        <rFont val="ＭＳ Ｐゴシック"/>
        <sz val="10.0"/>
      </rPr>
      <t>稲葉友</t>
    </r>
    <r>
      <rPr>
        <rFont val="Arial"/>
        <sz val="10.0"/>
      </rPr>
      <t>)</t>
    </r>
    <r>
      <rPr>
        <rFont val="ＭＳ Ｐゴシック"/>
        <sz val="10.0"/>
      </rPr>
      <t>と再婚するため、罪を償いたいと打ち明ける。佐知恵は、取り調べでも素直に供述。物証もそろっており、容疑は固まったも同然。ところが、キントリきっての頭脳派・小石川</t>
    </r>
    <r>
      <rPr>
        <rFont val="Arial"/>
        <sz val="10.0"/>
      </rPr>
      <t>(</t>
    </r>
    <r>
      <rPr>
        <rFont val="ＭＳ Ｐゴシック"/>
        <sz val="10.0"/>
      </rPr>
      <t>小日向文世</t>
    </r>
    <r>
      <rPr>
        <rFont val="Arial"/>
        <sz val="10.0"/>
      </rPr>
      <t>)</t>
    </r>
    <r>
      <rPr>
        <rFont val="ＭＳ Ｐゴシック"/>
        <sz val="10.0"/>
      </rPr>
      <t>が、事件をめぐり有希子と対立してしまい</t>
    </r>
    <r>
      <rPr>
        <rFont val="Arial"/>
        <sz val="10.0"/>
      </rPr>
      <t>…!?</t>
    </r>
  </si>
  <si>
    <t>宝石販売会社社長・伴佐知恵(大久保佳代子)が、元夫を殺害したと自首。有希子(天海祐希)らキントリチームが取り調べをすると、佐知恵は24歳年下のイケメン販売員・若杉純(稲葉友)と再婚するため、罪を償いたいと打ち明ける。佐知恵は、取り調べでも素直に供述。物証もそろっており、容疑は固まったも同然。ところが、キントリきっての頭脳派・小石川(小日向文世)が、事件をめぐり有希子と対立してしまい…!?</t>
  </si>
  <si>
    <t>番組名緊急取調室　#8</t>
  </si>
  <si>
    <r>
      <rPr>
        <rFont val="ＭＳ Ｐゴシック"/>
        <sz val="10.0"/>
      </rPr>
      <t>会社社長・宇佐美友香が殺害された</t>
    </r>
    <r>
      <rPr>
        <rFont val="Arial"/>
        <sz val="10.0"/>
      </rPr>
      <t>!</t>
    </r>
    <r>
      <rPr>
        <rFont val="ＭＳ Ｐゴシック"/>
        <sz val="10.0"/>
      </rPr>
      <t>有希子</t>
    </r>
    <r>
      <rPr>
        <rFont val="Arial"/>
        <sz val="10.0"/>
      </rPr>
      <t>(</t>
    </r>
    <r>
      <rPr>
        <rFont val="ＭＳ Ｐゴシック"/>
        <sz val="10.0"/>
      </rPr>
      <t>天海祐希</t>
    </r>
    <r>
      <rPr>
        <rFont val="Arial"/>
        <sz val="10.0"/>
      </rPr>
      <t>)</t>
    </r>
    <r>
      <rPr>
        <rFont val="ＭＳ Ｐゴシック"/>
        <sz val="10.0"/>
      </rPr>
      <t>らキントリ・チームは初動捜査の応援を要請され、事件現場へと急行。捜査線上には、第一発見者の梅田</t>
    </r>
    <r>
      <rPr>
        <rFont val="Arial"/>
        <sz val="10.0"/>
      </rPr>
      <t>(</t>
    </r>
    <r>
      <rPr>
        <rFont val="ＭＳ Ｐゴシック"/>
        <sz val="10.0"/>
      </rPr>
      <t>三宅弘城</t>
    </r>
    <r>
      <rPr>
        <rFont val="Arial"/>
        <sz val="10.0"/>
      </rPr>
      <t>)</t>
    </r>
    <r>
      <rPr>
        <rFont val="ＭＳ Ｐゴシック"/>
        <sz val="10.0"/>
      </rPr>
      <t>、事件直前に社長から叱責されていた橋下</t>
    </r>
    <r>
      <rPr>
        <rFont val="Arial"/>
        <sz val="10.0"/>
      </rPr>
      <t>(</t>
    </r>
    <r>
      <rPr>
        <rFont val="ＭＳ Ｐゴシック"/>
        <sz val="10.0"/>
      </rPr>
      <t>入江甚儀</t>
    </r>
    <r>
      <rPr>
        <rFont val="Arial"/>
        <sz val="10.0"/>
      </rPr>
      <t>)</t>
    </r>
    <r>
      <rPr>
        <rFont val="ＭＳ Ｐゴシック"/>
        <sz val="10.0"/>
      </rPr>
      <t>、橋下と事件当時一緒にいた木崎</t>
    </r>
    <r>
      <rPr>
        <rFont val="Arial"/>
        <sz val="10.0"/>
      </rPr>
      <t>(</t>
    </r>
    <r>
      <rPr>
        <rFont val="ＭＳ Ｐゴシック"/>
        <sz val="10.0"/>
      </rPr>
      <t>橋本じゅん</t>
    </r>
    <r>
      <rPr>
        <rFont val="Arial"/>
        <sz val="10.0"/>
      </rPr>
      <t>)</t>
    </r>
    <r>
      <rPr>
        <rFont val="ＭＳ Ｐゴシック"/>
        <sz val="10.0"/>
      </rPr>
      <t>の</t>
    </r>
    <r>
      <rPr>
        <rFont val="Arial"/>
        <sz val="10.0"/>
      </rPr>
      <t>3</t>
    </r>
    <r>
      <rPr>
        <rFont val="ＭＳ Ｐゴシック"/>
        <sz val="10.0"/>
      </rPr>
      <t>人の名前が挙がり、取り調べを開始。だが、世代も部署も違う</t>
    </r>
    <r>
      <rPr>
        <rFont val="Arial"/>
        <sz val="10.0"/>
      </rPr>
      <t>3</t>
    </r>
    <r>
      <rPr>
        <rFont val="ＭＳ Ｐゴシック"/>
        <sz val="10.0"/>
      </rPr>
      <t>人をつなぐ線も、殺害動機もまるで見えてこず</t>
    </r>
    <r>
      <rPr>
        <rFont val="Arial"/>
        <sz val="10.0"/>
      </rPr>
      <t>…!?</t>
    </r>
  </si>
  <si>
    <t>会社社長・宇佐美友香が殺害された!有希子(天海祐希)らキントリ・チームは初動捜査の応援を要請され、事件現場へと急行。捜査線上には、第一発見者の梅田(三宅弘城)、事件直前に社長から叱責されていた橋下(入江甚儀)、橋下と事件当時一緒にいた木崎(橋本じゅん)の3人の名前が挙がり、取り調べを開始。だが、世代も部署も違う3人をつなぐ線も、殺害動機もまるで見えてこず…!?</t>
  </si>
  <si>
    <t>番組名緊急取調室　#9</t>
  </si>
  <si>
    <r>
      <rPr>
        <rFont val="ＭＳ Ｐゴシック"/>
        <sz val="10.0"/>
      </rPr>
      <t>有希子</t>
    </r>
    <r>
      <rPr>
        <rFont val="Arial"/>
        <sz val="10.0"/>
      </rPr>
      <t>(</t>
    </r>
    <r>
      <rPr>
        <rFont val="ＭＳ Ｐゴシック"/>
        <sz val="10.0"/>
      </rPr>
      <t>天海祐希</t>
    </r>
    <r>
      <rPr>
        <rFont val="Arial"/>
        <sz val="10.0"/>
      </rPr>
      <t>)</t>
    </r>
    <r>
      <rPr>
        <rFont val="ＭＳ Ｐゴシック"/>
        <sz val="10.0"/>
      </rPr>
      <t>らキントリ・チームが最後の取り調べをすることになったのは、医大生・藤井</t>
    </r>
    <r>
      <rPr>
        <rFont val="Arial"/>
        <sz val="10.0"/>
      </rPr>
      <t>(</t>
    </r>
    <r>
      <rPr>
        <rFont val="ＭＳ Ｐゴシック"/>
        <sz val="10.0"/>
      </rPr>
      <t>坂東龍汰</t>
    </r>
    <r>
      <rPr>
        <rFont val="Arial"/>
        <sz val="10.0"/>
      </rPr>
      <t>)</t>
    </r>
    <r>
      <rPr>
        <rFont val="ＭＳ Ｐゴシック"/>
        <sz val="10.0"/>
      </rPr>
      <t>が同級生を刺殺したと目される事件。実はこの事件、かつてキントリが自供を引き出せなかった連続殺人事件の被告人・未亜</t>
    </r>
    <r>
      <rPr>
        <rFont val="Arial"/>
        <sz val="10.0"/>
      </rPr>
      <t>(</t>
    </r>
    <r>
      <rPr>
        <rFont val="ＭＳ Ｐゴシック"/>
        <sz val="10.0"/>
      </rPr>
      <t>吉川愛</t>
    </r>
    <r>
      <rPr>
        <rFont val="Arial"/>
        <sz val="10.0"/>
      </rPr>
      <t>)</t>
    </r>
    <r>
      <rPr>
        <rFont val="ＭＳ Ｐゴシック"/>
        <sz val="10.0"/>
      </rPr>
      <t>との関連性が疑われていた。有希子らは、藤井や未亜と関わりのあった染谷</t>
    </r>
    <r>
      <rPr>
        <rFont val="Arial"/>
        <sz val="10.0"/>
      </rPr>
      <t>(</t>
    </r>
    <r>
      <rPr>
        <rFont val="ＭＳ Ｐゴシック"/>
        <sz val="10.0"/>
      </rPr>
      <t>吉田鋼太郎</t>
    </r>
    <r>
      <rPr>
        <rFont val="Arial"/>
        <sz val="10.0"/>
      </rPr>
      <t>)</t>
    </r>
    <r>
      <rPr>
        <rFont val="ＭＳ Ｐゴシック"/>
        <sz val="10.0"/>
      </rPr>
      <t>のもとを訪問するが</t>
    </r>
    <r>
      <rPr>
        <rFont val="Arial"/>
        <sz val="10.0"/>
      </rPr>
      <t>…!?</t>
    </r>
  </si>
  <si>
    <t>有希子(天海祐希)らキントリ・チームが最後の取り調べをすることになったのは、医大生・藤井(坂東龍汰)が同級生を刺殺したと目される事件。実はこの事件、かつてキントリが自供を引き出せなかった連続殺人事件の被告人・未亜(吉川愛)との関連性が疑われていた。有希子らは、藤井や未亜と関わりのあった染谷(吉田鋼太郎)のもとを訪問するが…!?</t>
  </si>
  <si>
    <t>番組名緊急取調室　#10</t>
  </si>
  <si>
    <r>
      <rPr>
        <rFont val="ＭＳ Ｐゴシック"/>
        <sz val="10.0"/>
      </rPr>
      <t>同級生毒殺の罪で起訴された被告人・未亜</t>
    </r>
    <r>
      <rPr>
        <rFont val="Arial"/>
        <sz val="10.0"/>
      </rPr>
      <t>(</t>
    </r>
    <r>
      <rPr>
        <rFont val="ＭＳ Ｐゴシック"/>
        <sz val="10.0"/>
      </rPr>
      <t>吉川愛</t>
    </r>
    <r>
      <rPr>
        <rFont val="Arial"/>
        <sz val="10.0"/>
      </rPr>
      <t>)</t>
    </r>
    <r>
      <rPr>
        <rFont val="ＭＳ Ｐゴシック"/>
        <sz val="10.0"/>
      </rPr>
      <t>と、同級生刺殺事件の被疑者・藤井</t>
    </r>
    <r>
      <rPr>
        <rFont val="Arial"/>
        <sz val="10.0"/>
      </rPr>
      <t>(</t>
    </r>
    <r>
      <rPr>
        <rFont val="ＭＳ Ｐゴシック"/>
        <sz val="10.0"/>
      </rPr>
      <t>坂東龍汰</t>
    </r>
    <r>
      <rPr>
        <rFont val="Arial"/>
        <sz val="10.0"/>
      </rPr>
      <t>)</t>
    </r>
    <r>
      <rPr>
        <rFont val="ＭＳ Ｐゴシック"/>
        <sz val="10.0"/>
      </rPr>
      <t>。</t>
    </r>
    <r>
      <rPr>
        <rFont val="Arial"/>
        <sz val="10.0"/>
      </rPr>
      <t>2</t>
    </r>
    <r>
      <rPr>
        <rFont val="ＭＳ Ｐゴシック"/>
        <sz val="10.0"/>
      </rPr>
      <t>人は事件前に、命の恩人である染谷</t>
    </r>
    <r>
      <rPr>
        <rFont val="Arial"/>
        <sz val="10.0"/>
      </rPr>
      <t>(</t>
    </r>
    <r>
      <rPr>
        <rFont val="ＭＳ Ｐゴシック"/>
        <sz val="10.0"/>
      </rPr>
      <t>吉田鋼太郎</t>
    </r>
    <r>
      <rPr>
        <rFont val="Arial"/>
        <sz val="10.0"/>
      </rPr>
      <t>)</t>
    </r>
    <r>
      <rPr>
        <rFont val="ＭＳ Ｐゴシック"/>
        <sz val="10.0"/>
      </rPr>
      <t>と会っていたことが判明。</t>
    </r>
    <r>
      <rPr>
        <rFont val="Arial"/>
        <sz val="10.0"/>
      </rPr>
      <t>3</t>
    </r>
    <r>
      <rPr>
        <rFont val="ＭＳ Ｐゴシック"/>
        <sz val="10.0"/>
      </rPr>
      <t>人の間に一体、何があったのか</t>
    </r>
    <r>
      <rPr>
        <rFont val="Arial"/>
        <sz val="10.0"/>
      </rPr>
      <t>?</t>
    </r>
    <r>
      <rPr>
        <rFont val="ＭＳ Ｐゴシック"/>
        <sz val="10.0"/>
      </rPr>
      <t>有希子</t>
    </r>
    <r>
      <rPr>
        <rFont val="Arial"/>
        <sz val="10.0"/>
      </rPr>
      <t>(</t>
    </r>
    <r>
      <rPr>
        <rFont val="ＭＳ Ｐゴシック"/>
        <sz val="10.0"/>
      </rPr>
      <t>天海祐希</t>
    </r>
    <r>
      <rPr>
        <rFont val="Arial"/>
        <sz val="10.0"/>
      </rPr>
      <t>)</t>
    </r>
    <r>
      <rPr>
        <rFont val="ＭＳ Ｐゴシック"/>
        <sz val="10.0"/>
      </rPr>
      <t>らキントリチームは、未亜を徹底的に追及。ついに未亜は重い口を開くが</t>
    </r>
    <r>
      <rPr>
        <rFont val="Arial"/>
        <sz val="10.0"/>
      </rPr>
      <t>…</t>
    </r>
    <r>
      <rPr>
        <rFont val="ＭＳ Ｐゴシック"/>
        <sz val="10.0"/>
      </rPr>
      <t>。さらに、有希子は事件の鍵を握る染谷の聴取を開始する。</t>
    </r>
    <r>
      <rPr>
        <rFont val="Arial"/>
        <sz val="10.0"/>
      </rPr>
      <t xml:space="preserve">  </t>
    </r>
    <r>
      <rPr>
        <rFont val="ＭＳ Ｐゴシック"/>
        <sz val="10.0"/>
      </rPr>
      <t>解散を目前に控えたキントリが挑む</t>
    </r>
    <r>
      <rPr>
        <rFont val="Arial"/>
        <sz val="10.0"/>
      </rPr>
      <t>“</t>
    </r>
    <r>
      <rPr>
        <rFont val="ＭＳ Ｐゴシック"/>
        <sz val="10.0"/>
      </rPr>
      <t>最後の事件</t>
    </r>
    <r>
      <rPr>
        <rFont val="Arial"/>
        <sz val="10.0"/>
      </rPr>
      <t>"</t>
    </r>
    <r>
      <rPr>
        <rFont val="ＭＳ Ｐゴシック"/>
        <sz val="10.0"/>
      </rPr>
      <t>の真相とは</t>
    </r>
    <r>
      <rPr>
        <rFont val="Arial"/>
        <sz val="10.0"/>
      </rPr>
      <t>…!?</t>
    </r>
  </si>
  <si>
    <t>同級生毒殺の罪で起訴された被告人・未亜(吉川愛)と、同級生刺殺事件の被疑者・藤井(坂東龍汰)。2人は事件前に、命の恩人である染谷(吉田鋼太郎)と会っていたことが判明。3人の間に一体、何があったのか?有希子(天海祐希)らキントリチームは、未亜を徹底的に追及。ついに未亜は重い口を開くが…。さらに、有希子は事件の鍵を握る染谷の聴取を開始する。  解散を目前に控えたキントリが挑む“最後の事件"の真相とは…!?</t>
  </si>
  <si>
    <t>1904_EX_金23</t>
  </si>
  <si>
    <t>家政夫のミタゾノ</t>
  </si>
  <si>
    <t>番組名家政夫のミタゾノ　#1</t>
  </si>
  <si>
    <r>
      <rPr>
        <rFont val="ＭＳ Ｐゴシック"/>
        <sz val="10.0"/>
      </rPr>
      <t>家政夫・三田園薫</t>
    </r>
    <r>
      <rPr>
        <rFont val="Arial"/>
        <sz val="10.0"/>
      </rPr>
      <t>(</t>
    </r>
    <r>
      <rPr>
        <rFont val="ＭＳ Ｐゴシック"/>
        <sz val="10.0"/>
      </rPr>
      <t>松岡昌宏</t>
    </r>
    <r>
      <rPr>
        <rFont val="Arial"/>
        <sz val="10.0"/>
      </rPr>
      <t>)</t>
    </r>
    <r>
      <rPr>
        <rFont val="ＭＳ Ｐゴシック"/>
        <sz val="10.0"/>
      </rPr>
      <t>は、新人家政婦の村田光</t>
    </r>
    <r>
      <rPr>
        <rFont val="Arial"/>
        <sz val="10.0"/>
      </rPr>
      <t>(</t>
    </r>
    <r>
      <rPr>
        <rFont val="ＭＳ Ｐゴシック"/>
        <sz val="10.0"/>
      </rPr>
      <t>伊野尾慧</t>
    </r>
    <r>
      <rPr>
        <rFont val="Arial"/>
        <sz val="10.0"/>
      </rPr>
      <t>)</t>
    </r>
    <r>
      <rPr>
        <rFont val="ＭＳ Ｐゴシック"/>
        <sz val="10.0"/>
      </rPr>
      <t>と恩田萌</t>
    </r>
    <r>
      <rPr>
        <rFont val="Arial"/>
        <sz val="10.0"/>
      </rPr>
      <t>(</t>
    </r>
    <r>
      <rPr>
        <rFont val="ＭＳ Ｐゴシック"/>
        <sz val="10.0"/>
      </rPr>
      <t>川栄李奈</t>
    </r>
    <r>
      <rPr>
        <rFont val="Arial"/>
        <sz val="10.0"/>
      </rPr>
      <t>)</t>
    </r>
    <r>
      <rPr>
        <rFont val="ＭＳ Ｐゴシック"/>
        <sz val="10.0"/>
      </rPr>
      <t>と共に、丼専門店で成功を収めた</t>
    </r>
    <r>
      <rPr>
        <rFont val="Arial"/>
        <sz val="10.0"/>
      </rPr>
      <t>“</t>
    </r>
    <r>
      <rPr>
        <rFont val="ＭＳ Ｐゴシック"/>
        <sz val="10.0"/>
      </rPr>
      <t>豊洲のドンタン</t>
    </r>
    <r>
      <rPr>
        <rFont val="Arial"/>
        <sz val="10.0"/>
      </rPr>
      <t>"</t>
    </r>
    <r>
      <rPr>
        <rFont val="ＭＳ Ｐゴシック"/>
        <sz val="10.0"/>
      </rPr>
      <t>こと丹波幸之助</t>
    </r>
    <r>
      <rPr>
        <rFont val="Arial"/>
        <sz val="10.0"/>
      </rPr>
      <t>(</t>
    </r>
    <r>
      <rPr>
        <rFont val="ＭＳ Ｐゴシック"/>
        <sz val="10.0"/>
      </rPr>
      <t>大和田伸也</t>
    </r>
    <r>
      <rPr>
        <rFont val="Arial"/>
        <sz val="10.0"/>
      </rPr>
      <t>)</t>
    </r>
    <r>
      <rPr>
        <rFont val="ＭＳ Ｐゴシック"/>
        <sz val="10.0"/>
      </rPr>
      <t>のもとへ派遣される。資産</t>
    </r>
    <r>
      <rPr>
        <rFont val="Arial"/>
        <sz val="10.0"/>
      </rPr>
      <t>800</t>
    </r>
    <r>
      <rPr>
        <rFont val="ＭＳ Ｐゴシック"/>
        <sz val="10.0"/>
      </rPr>
      <t>億とも言われる丹波は、何者かに命を狙われていた</t>
    </r>
    <r>
      <rPr>
        <rFont val="Arial"/>
        <sz val="10.0"/>
      </rPr>
      <t>…</t>
    </r>
    <r>
      <rPr>
        <rFont val="ＭＳ Ｐゴシック"/>
        <sz val="10.0"/>
      </rPr>
      <t>若妻・ユリア</t>
    </r>
    <r>
      <rPr>
        <rFont val="Arial"/>
        <sz val="10.0"/>
      </rPr>
      <t>(</t>
    </r>
    <r>
      <rPr>
        <rFont val="ＭＳ Ｐゴシック"/>
        <sz val="10.0"/>
      </rPr>
      <t>太田莉菜</t>
    </r>
    <r>
      <rPr>
        <rFont val="Arial"/>
        <sz val="10.0"/>
      </rPr>
      <t>)</t>
    </r>
    <r>
      <rPr>
        <rFont val="ＭＳ Ｐゴシック"/>
        <sz val="10.0"/>
      </rPr>
      <t>や妹夫婦、弁護士、記者など、周りには怪しい人ばかり</t>
    </r>
    <r>
      <rPr>
        <rFont val="Arial"/>
        <sz val="10.0"/>
      </rPr>
      <t>…</t>
    </r>
    <r>
      <rPr>
        <rFont val="ＭＳ Ｐゴシック"/>
        <sz val="10.0"/>
      </rPr>
      <t>三田園たちは家政婦兼、ボディーガード兼、探偵として雇われるが</t>
    </r>
    <r>
      <rPr>
        <rFont val="Arial"/>
        <sz val="10.0"/>
      </rPr>
      <t>…!?</t>
    </r>
  </si>
  <si>
    <t>家政夫・三田園薫(松岡昌宏)は、新人家政婦の村田光(伊野尾慧)と恩田萌(川栄李奈)と共に、丼専門店で成功を収めた“豊洲のドンタン"こと丹波幸之助(大和田伸也)のもとへ派遣される。資産800億とも言われる丹波は、何者かに命を狙われていた…若妻・ユリア(太田莉菜)や妹夫婦、弁護士、記者など、周りには怪しい人ばかり…三田園たちは家政婦兼、ボディーガード兼、探偵として雇われるが…!?</t>
  </si>
  <si>
    <t>番組名家政夫のミタゾノ　#2</t>
  </si>
  <si>
    <r>
      <t>100</t>
    </r>
    <r>
      <rPr>
        <rFont val="ＭＳ Ｐゴシック"/>
        <sz val="10.0"/>
      </rPr>
      <t>年に</t>
    </r>
    <r>
      <rPr>
        <rFont val="Arial"/>
        <sz val="10.0"/>
      </rPr>
      <t>1</t>
    </r>
    <r>
      <rPr>
        <rFont val="ＭＳ Ｐゴシック"/>
        <sz val="10.0"/>
      </rPr>
      <t>度の美人すぎるカリスマ姉妹として話題のハム会社社長・三ツ輪公子</t>
    </r>
    <r>
      <rPr>
        <rFont val="Arial"/>
        <sz val="10.0"/>
      </rPr>
      <t>(</t>
    </r>
    <r>
      <rPr>
        <rFont val="ＭＳ Ｐゴシック"/>
        <sz val="10.0"/>
      </rPr>
      <t>青山倫子</t>
    </r>
    <r>
      <rPr>
        <rFont val="Arial"/>
        <sz val="10.0"/>
      </rPr>
      <t>)</t>
    </r>
    <r>
      <rPr>
        <rFont val="ＭＳ Ｐゴシック"/>
        <sz val="10.0"/>
      </rPr>
      <t>と副社長・沙織</t>
    </r>
    <r>
      <rPr>
        <rFont val="Arial"/>
        <sz val="10.0"/>
      </rPr>
      <t>(</t>
    </r>
    <r>
      <rPr>
        <rFont val="ＭＳ Ｐゴシック"/>
        <sz val="10.0"/>
      </rPr>
      <t>知花くらら</t>
    </r>
    <r>
      <rPr>
        <rFont val="Arial"/>
        <sz val="10.0"/>
      </rPr>
      <t>)</t>
    </r>
    <r>
      <rPr>
        <rFont val="ＭＳ Ｐゴシック"/>
        <sz val="10.0"/>
      </rPr>
      <t>の家に派遣された三田園薫</t>
    </r>
    <r>
      <rPr>
        <rFont val="Arial"/>
        <sz val="10.0"/>
      </rPr>
      <t>(</t>
    </r>
    <r>
      <rPr>
        <rFont val="ＭＳ Ｐゴシック"/>
        <sz val="10.0"/>
      </rPr>
      <t>松岡昌宏</t>
    </r>
    <r>
      <rPr>
        <rFont val="Arial"/>
        <sz val="10.0"/>
      </rPr>
      <t>)</t>
    </r>
    <r>
      <rPr>
        <rFont val="ＭＳ Ｐゴシック"/>
        <sz val="10.0"/>
      </rPr>
      <t>と村田光</t>
    </r>
    <r>
      <rPr>
        <rFont val="Arial"/>
        <sz val="10.0"/>
      </rPr>
      <t>(</t>
    </r>
    <r>
      <rPr>
        <rFont val="ＭＳ Ｐゴシック"/>
        <sz val="10.0"/>
      </rPr>
      <t>伊野尾慧</t>
    </r>
    <r>
      <rPr>
        <rFont val="Arial"/>
        <sz val="10.0"/>
      </rPr>
      <t>)</t>
    </r>
    <r>
      <rPr>
        <rFont val="ＭＳ Ｐゴシック"/>
        <sz val="10.0"/>
      </rPr>
      <t>。実は、会社は金銭面で苦しんでおり、公子は資産</t>
    </r>
    <r>
      <rPr>
        <rFont val="Arial"/>
        <sz val="10.0"/>
      </rPr>
      <t>100</t>
    </r>
    <r>
      <rPr>
        <rFont val="ＭＳ Ｐゴシック"/>
        <sz val="10.0"/>
      </rPr>
      <t>億の男</t>
    </r>
    <r>
      <rPr>
        <rFont val="Arial"/>
        <sz val="10.0"/>
      </rPr>
      <t>(</t>
    </r>
    <r>
      <rPr>
        <rFont val="ＭＳ Ｐゴシック"/>
        <sz val="10.0"/>
      </rPr>
      <t>桐山漣</t>
    </r>
    <r>
      <rPr>
        <rFont val="Arial"/>
        <sz val="10.0"/>
      </rPr>
      <t>)</t>
    </r>
    <r>
      <rPr>
        <rFont val="ＭＳ Ｐゴシック"/>
        <sz val="10.0"/>
      </rPr>
      <t>との玉の輿婚を狙っていた</t>
    </r>
    <r>
      <rPr>
        <rFont val="Arial"/>
        <sz val="10.0"/>
      </rPr>
      <t>!!</t>
    </r>
    <r>
      <rPr>
        <rFont val="ＭＳ Ｐゴシック"/>
        <sz val="10.0"/>
      </rPr>
      <t>三田園は公子の女子力を偽装し</t>
    </r>
    <r>
      <rPr>
        <rFont val="Arial"/>
        <sz val="10.0"/>
      </rPr>
      <t>…!?</t>
    </r>
    <r>
      <rPr>
        <rFont val="ＭＳ Ｐゴシック"/>
        <sz val="10.0"/>
      </rPr>
      <t>さらにミタゾノ流、男を落とす家事ワザとは</t>
    </r>
    <r>
      <rPr>
        <rFont val="Arial"/>
        <sz val="10.0"/>
      </rPr>
      <t>!?</t>
    </r>
    <r>
      <rPr>
        <rFont val="ＭＳ Ｐゴシック"/>
        <sz val="10.0"/>
      </rPr>
      <t>一方、恩田萌</t>
    </r>
    <r>
      <rPr>
        <rFont val="Arial"/>
        <sz val="10.0"/>
      </rPr>
      <t>(</t>
    </r>
    <r>
      <rPr>
        <rFont val="ＭＳ Ｐゴシック"/>
        <sz val="10.0"/>
      </rPr>
      <t>川栄李奈</t>
    </r>
    <r>
      <rPr>
        <rFont val="Arial"/>
        <sz val="10.0"/>
      </rPr>
      <t>)</t>
    </r>
    <r>
      <rPr>
        <rFont val="ＭＳ Ｐゴシック"/>
        <sz val="10.0"/>
      </rPr>
      <t>は姉妹に隠された秘密を見つけてしまい</t>
    </r>
    <r>
      <rPr>
        <rFont val="Arial"/>
        <sz val="10.0"/>
      </rPr>
      <t>…</t>
    </r>
  </si>
  <si>
    <t>100年に1度の美人すぎるカリスマ姉妹として話題のハム会社社長・三ツ輪公子(青山倫子)と副社長・沙織(知花くらら)の家に派遣された三田園薫(松岡昌宏)と村田光(伊野尾慧)。実は、会社は金銭面で苦しんでおり、公子は資産100億の男(桐山漣)との玉の輿婚を狙っていた!!三田園は公子の女子力を偽装し…!?さらにミタゾノ流、男を落とす家事ワザとは!?一方、恩田萌(川栄李奈)は姉妹に隠された秘密を見つけてしまい…</t>
  </si>
  <si>
    <t>番組名家政夫のミタゾノ　#3</t>
  </si>
  <si>
    <r>
      <rPr>
        <rFont val="ＭＳ Ｐゴシック"/>
        <sz val="10.0"/>
      </rPr>
      <t>内閣官房長官・内部忠</t>
    </r>
    <r>
      <rPr>
        <rFont val="Arial"/>
        <sz val="10.0"/>
      </rPr>
      <t>(</t>
    </r>
    <r>
      <rPr>
        <rFont val="ＭＳ Ｐゴシック"/>
        <sz val="10.0"/>
      </rPr>
      <t>小堺一機</t>
    </r>
    <r>
      <rPr>
        <rFont val="Arial"/>
        <sz val="10.0"/>
      </rPr>
      <t>)</t>
    </r>
    <r>
      <rPr>
        <rFont val="ＭＳ Ｐゴシック"/>
        <sz val="10.0"/>
      </rPr>
      <t>の家に派遣された三田園薫</t>
    </r>
    <r>
      <rPr>
        <rFont val="Arial"/>
        <sz val="10.0"/>
      </rPr>
      <t>(</t>
    </r>
    <r>
      <rPr>
        <rFont val="ＭＳ Ｐゴシック"/>
        <sz val="10.0"/>
      </rPr>
      <t>松岡昌宏</t>
    </r>
    <r>
      <rPr>
        <rFont val="Arial"/>
        <sz val="10.0"/>
      </rPr>
      <t>)</t>
    </r>
    <r>
      <rPr>
        <rFont val="ＭＳ Ｐゴシック"/>
        <sz val="10.0"/>
      </rPr>
      <t>と村田光</t>
    </r>
    <r>
      <rPr>
        <rFont val="Arial"/>
        <sz val="10.0"/>
      </rPr>
      <t>(</t>
    </r>
    <r>
      <rPr>
        <rFont val="ＭＳ Ｐゴシック"/>
        <sz val="10.0"/>
      </rPr>
      <t>伊野尾慧</t>
    </r>
    <r>
      <rPr>
        <rFont val="Arial"/>
        <sz val="10.0"/>
      </rPr>
      <t>)</t>
    </r>
    <r>
      <rPr>
        <rFont val="ＭＳ Ｐゴシック"/>
        <sz val="10.0"/>
      </rPr>
      <t>は、内部が総理の</t>
    </r>
    <r>
      <rPr>
        <rFont val="Arial"/>
        <sz val="10.0"/>
      </rPr>
      <t>“</t>
    </r>
    <r>
      <rPr>
        <rFont val="ＭＳ Ｐゴシック"/>
        <sz val="10.0"/>
      </rPr>
      <t>ある</t>
    </r>
    <r>
      <rPr>
        <rFont val="Arial"/>
        <sz val="10.0"/>
      </rPr>
      <t>"</t>
    </r>
    <r>
      <rPr>
        <rFont val="ＭＳ Ｐゴシック"/>
        <sz val="10.0"/>
      </rPr>
      <t>スキャンダルを隠蔽している真っ最中であることを知る</t>
    </r>
    <r>
      <rPr>
        <rFont val="Arial"/>
        <sz val="10.0"/>
      </rPr>
      <t>!</t>
    </r>
    <r>
      <rPr>
        <rFont val="ＭＳ Ｐゴシック"/>
        <sz val="10.0"/>
      </rPr>
      <t>さらに、総理大臣賞を授与した新薬の開発も</t>
    </r>
    <r>
      <rPr>
        <rFont val="Arial"/>
        <sz val="10.0"/>
      </rPr>
      <t>“</t>
    </r>
    <r>
      <rPr>
        <rFont val="ＭＳ Ｐゴシック"/>
        <sz val="10.0"/>
      </rPr>
      <t>偽物</t>
    </r>
    <r>
      <rPr>
        <rFont val="Arial"/>
        <sz val="10.0"/>
      </rPr>
      <t>"</t>
    </r>
    <r>
      <rPr>
        <rFont val="ＭＳ Ｐゴシック"/>
        <sz val="10.0"/>
      </rPr>
      <t>だったという新たな疑惑が発覚</t>
    </r>
    <r>
      <rPr>
        <rFont val="Arial"/>
        <sz val="10.0"/>
      </rPr>
      <t>!?</t>
    </r>
    <r>
      <rPr>
        <rFont val="ＭＳ Ｐゴシック"/>
        <sz val="10.0"/>
      </rPr>
      <t>隠蔽工作中に次々と問題発生</t>
    </r>
    <r>
      <rPr>
        <rFont val="Arial"/>
        <sz val="10.0"/>
      </rPr>
      <t>!</t>
    </r>
    <r>
      <rPr>
        <rFont val="ＭＳ Ｐゴシック"/>
        <sz val="10.0"/>
      </rPr>
      <t>国を揺るがす</t>
    </r>
    <r>
      <rPr>
        <rFont val="Arial"/>
        <sz val="10.0"/>
      </rPr>
      <t>“</t>
    </r>
    <r>
      <rPr>
        <rFont val="ＭＳ Ｐゴシック"/>
        <sz val="10.0"/>
      </rPr>
      <t>秘密</t>
    </r>
    <r>
      <rPr>
        <rFont val="Arial"/>
        <sz val="10.0"/>
      </rPr>
      <t>"</t>
    </r>
    <r>
      <rPr>
        <rFont val="ＭＳ Ｐゴシック"/>
        <sz val="10.0"/>
      </rPr>
      <t>をめぐり、三田園と内部の忖度バトルに発展</t>
    </r>
    <r>
      <rPr>
        <rFont val="Arial"/>
        <sz val="10.0"/>
      </rPr>
      <t>!?</t>
    </r>
    <r>
      <rPr>
        <rFont val="ＭＳ Ｐゴシック"/>
        <sz val="10.0"/>
      </rPr>
      <t>一方、恩田萌</t>
    </r>
    <r>
      <rPr>
        <rFont val="Arial"/>
        <sz val="10.0"/>
      </rPr>
      <t>(</t>
    </r>
    <r>
      <rPr>
        <rFont val="ＭＳ Ｐゴシック"/>
        <sz val="10.0"/>
      </rPr>
      <t>川栄李奈</t>
    </r>
    <r>
      <rPr>
        <rFont val="Arial"/>
        <sz val="10.0"/>
      </rPr>
      <t>)</t>
    </r>
    <r>
      <rPr>
        <rFont val="ＭＳ Ｐゴシック"/>
        <sz val="10.0"/>
      </rPr>
      <t>は総理の</t>
    </r>
    <r>
      <rPr>
        <rFont val="Arial"/>
        <sz val="10.0"/>
      </rPr>
      <t>“</t>
    </r>
    <r>
      <rPr>
        <rFont val="ＭＳ Ｐゴシック"/>
        <sz val="10.0"/>
      </rPr>
      <t>ハワイの秘密</t>
    </r>
    <r>
      <rPr>
        <rFont val="Arial"/>
        <sz val="10.0"/>
      </rPr>
      <t>"</t>
    </r>
    <r>
      <rPr>
        <rFont val="ＭＳ Ｐゴシック"/>
        <sz val="10.0"/>
      </rPr>
      <t>に気付き</t>
    </r>
    <r>
      <rPr>
        <rFont val="Arial"/>
        <sz val="10.0"/>
      </rPr>
      <t>…!?</t>
    </r>
  </si>
  <si>
    <t>内閣官房長官・内部忠(小堺一機)の家に派遣された三田園薫(松岡昌宏)と村田光(伊野尾慧)は、内部が総理の“ある"スキャンダルを隠蔽している真っ最中であることを知る!さらに、総理大臣賞を授与した新薬の開発も“偽物"だったという新たな疑惑が発覚!?隠蔽工作中に次々と問題発生!国を揺るがす“秘密"をめぐり、三田園と内部の忖度バトルに発展!?一方、恩田萌(川栄李奈)は総理の“ハワイの秘密"に気付き…!?</t>
  </si>
  <si>
    <t>番組名家政夫のミタゾノ　#4</t>
  </si>
  <si>
    <r>
      <rPr>
        <rFont val="ＭＳ Ｐゴシック"/>
        <sz val="10.0"/>
      </rPr>
      <t>どんな不正も絶対に許さない裁判官・玄角厳吾</t>
    </r>
    <r>
      <rPr>
        <rFont val="Arial"/>
        <sz val="10.0"/>
      </rPr>
      <t>(</t>
    </r>
    <r>
      <rPr>
        <rFont val="ＭＳ Ｐゴシック"/>
        <sz val="10.0"/>
      </rPr>
      <t>山崎一</t>
    </r>
    <r>
      <rPr>
        <rFont val="Arial"/>
        <sz val="10.0"/>
      </rPr>
      <t>)</t>
    </r>
    <r>
      <rPr>
        <rFont val="ＭＳ Ｐゴシック"/>
        <sz val="10.0"/>
      </rPr>
      <t>の家に派遣された三田園薫</t>
    </r>
    <r>
      <rPr>
        <rFont val="Arial"/>
        <sz val="10.0"/>
      </rPr>
      <t>(</t>
    </r>
    <r>
      <rPr>
        <rFont val="ＭＳ Ｐゴシック"/>
        <sz val="10.0"/>
      </rPr>
      <t>松岡昌宏</t>
    </r>
    <r>
      <rPr>
        <rFont val="Arial"/>
        <sz val="10.0"/>
      </rPr>
      <t>)</t>
    </r>
    <r>
      <rPr>
        <rFont val="ＭＳ Ｐゴシック"/>
        <sz val="10.0"/>
      </rPr>
      <t>と村田光</t>
    </r>
    <r>
      <rPr>
        <rFont val="Arial"/>
        <sz val="10.0"/>
      </rPr>
      <t>(</t>
    </r>
    <r>
      <rPr>
        <rFont val="ＭＳ Ｐゴシック"/>
        <sz val="10.0"/>
      </rPr>
      <t>伊野尾慧</t>
    </r>
    <r>
      <rPr>
        <rFont val="Arial"/>
        <sz val="10.0"/>
      </rPr>
      <t>)</t>
    </r>
    <r>
      <rPr>
        <rFont val="ＭＳ Ｐゴシック"/>
        <sz val="10.0"/>
      </rPr>
      <t>と恩田萌</t>
    </r>
    <r>
      <rPr>
        <rFont val="Arial"/>
        <sz val="10.0"/>
      </rPr>
      <t>(</t>
    </r>
    <r>
      <rPr>
        <rFont val="ＭＳ Ｐゴシック"/>
        <sz val="10.0"/>
      </rPr>
      <t>川栄李奈</t>
    </r>
    <r>
      <rPr>
        <rFont val="Arial"/>
        <sz val="10.0"/>
      </rPr>
      <t>)</t>
    </r>
    <r>
      <rPr>
        <rFont val="ＭＳ Ｐゴシック"/>
        <sz val="10.0"/>
      </rPr>
      <t>。玄角は、家族にも正しく生きることを強制していたが</t>
    </r>
    <r>
      <rPr>
        <rFont val="Arial"/>
        <sz val="10.0"/>
      </rPr>
      <t>…</t>
    </r>
    <r>
      <rPr>
        <rFont val="ＭＳ Ｐゴシック"/>
        <sz val="10.0"/>
      </rPr>
      <t>家に『クソ裁判官一家』と書かれたイタズラ書きを発見したことで、家族の裏の顔が次々と明らかになっていく</t>
    </r>
    <r>
      <rPr>
        <rFont val="Arial"/>
        <sz val="10.0"/>
      </rPr>
      <t>!?</t>
    </r>
    <r>
      <rPr>
        <rFont val="ＭＳ Ｐゴシック"/>
        <sz val="10.0"/>
      </rPr>
      <t>裁判官一家は、なんと不正だらけの犯罪一家</t>
    </r>
    <r>
      <rPr>
        <rFont val="Arial"/>
        <sz val="10.0"/>
      </rPr>
      <t>!?</t>
    </r>
    <r>
      <rPr>
        <rFont val="ＭＳ Ｐゴシック"/>
        <sz val="10.0"/>
      </rPr>
      <t>家族を守るべきか</t>
    </r>
    <r>
      <rPr>
        <rFont val="Arial"/>
        <sz val="10.0"/>
      </rPr>
      <t>…</t>
    </r>
    <r>
      <rPr>
        <rFont val="ＭＳ Ｐゴシック"/>
        <sz val="10.0"/>
      </rPr>
      <t>それとも公平に裁くべきか</t>
    </r>
    <r>
      <rPr>
        <rFont val="Arial"/>
        <sz val="10.0"/>
      </rPr>
      <t>…</t>
    </r>
    <r>
      <rPr>
        <rFont val="ＭＳ Ｐゴシック"/>
        <sz val="10.0"/>
      </rPr>
      <t>ミタゾノ・リーガル編が始動</t>
    </r>
    <r>
      <rPr>
        <rFont val="Arial"/>
        <sz val="10.0"/>
      </rPr>
      <t>!</t>
    </r>
  </si>
  <si>
    <t>どんな不正も絶対に許さない裁判官・玄角厳吾(山崎一)の家に派遣された三田園薫(松岡昌宏)と村田光(伊野尾慧)と恩田萌(川栄李奈)。玄角は、家族にも正しく生きることを強制していたが…家に『クソ裁判官一家』と書かれたイタズラ書きを発見したことで、家族の裏の顔が次々と明らかになっていく!?裁判官一家は、なんと不正だらけの犯罪一家!?家族を守るべきか…それとも公平に裁くべきか…ミタゾノ・リーガル編が始動!</t>
  </si>
  <si>
    <t>番組名家政夫のミタゾノ　#5</t>
  </si>
  <si>
    <r>
      <rPr>
        <rFont val="ＭＳ Ｐゴシック"/>
        <sz val="10.0"/>
      </rPr>
      <t>事故で妻が亡くなったばかりの考古学者の家に派遣された三田園薫</t>
    </r>
    <r>
      <rPr>
        <rFont val="Arial"/>
        <sz val="10.0"/>
      </rPr>
      <t>(</t>
    </r>
    <r>
      <rPr>
        <rFont val="ＭＳ Ｐゴシック"/>
        <sz val="10.0"/>
      </rPr>
      <t>松岡昌宏</t>
    </r>
    <r>
      <rPr>
        <rFont val="Arial"/>
        <sz val="10.0"/>
      </rPr>
      <t>)</t>
    </r>
    <r>
      <rPr>
        <rFont val="ＭＳ Ｐゴシック"/>
        <sz val="10.0"/>
      </rPr>
      <t>、村田光</t>
    </r>
    <r>
      <rPr>
        <rFont val="Arial"/>
        <sz val="10.0"/>
      </rPr>
      <t>(</t>
    </r>
    <r>
      <rPr>
        <rFont val="ＭＳ Ｐゴシック"/>
        <sz val="10.0"/>
      </rPr>
      <t>伊野尾慧</t>
    </r>
    <r>
      <rPr>
        <rFont val="Arial"/>
        <sz val="10.0"/>
      </rPr>
      <t>)</t>
    </r>
    <r>
      <rPr>
        <rFont val="ＭＳ Ｐゴシック"/>
        <sz val="10.0"/>
      </rPr>
      <t>、恩田萌</t>
    </r>
    <r>
      <rPr>
        <rFont val="Arial"/>
        <sz val="10.0"/>
      </rPr>
      <t>(</t>
    </r>
    <r>
      <rPr>
        <rFont val="ＭＳ Ｐゴシック"/>
        <sz val="10.0"/>
      </rPr>
      <t>川栄李奈</t>
    </r>
    <r>
      <rPr>
        <rFont val="Arial"/>
        <sz val="10.0"/>
      </rPr>
      <t>)</t>
    </r>
    <r>
      <rPr>
        <rFont val="ＭＳ Ｐゴシック"/>
        <sz val="10.0"/>
      </rPr>
      <t>。価値の高い古民家に住んでいるため、不動産店員が家の売却を望み連日訪れてくる。その中に、学者の死んだ妻と同じ顔の筧真子</t>
    </r>
    <r>
      <rPr>
        <rFont val="Arial"/>
        <sz val="10.0"/>
      </rPr>
      <t>(</t>
    </r>
    <r>
      <rPr>
        <rFont val="ＭＳ Ｐゴシック"/>
        <sz val="10.0"/>
      </rPr>
      <t>安達祐実</t>
    </r>
    <r>
      <rPr>
        <rFont val="Arial"/>
        <sz val="10.0"/>
      </rPr>
      <t>)</t>
    </r>
    <r>
      <rPr>
        <rFont val="ＭＳ Ｐゴシック"/>
        <sz val="10.0"/>
      </rPr>
      <t>が</t>
    </r>
    <r>
      <rPr>
        <rFont val="Arial"/>
        <sz val="10.0"/>
      </rPr>
      <t>!?2</t>
    </r>
    <r>
      <rPr>
        <rFont val="ＭＳ Ｐゴシック"/>
        <sz val="10.0"/>
      </rPr>
      <t>億円で家を買おうとたくらむ真子は、家族乗っ取りを計画</t>
    </r>
    <r>
      <rPr>
        <rFont val="Arial"/>
        <sz val="10.0"/>
      </rPr>
      <t>!?</t>
    </r>
    <r>
      <rPr>
        <rFont val="ＭＳ Ｐゴシック"/>
        <sz val="10.0"/>
      </rPr>
      <t>さらにミタゾノの弱点</t>
    </r>
    <r>
      <rPr>
        <rFont val="Arial"/>
        <sz val="10.0"/>
      </rPr>
      <t>“</t>
    </r>
    <r>
      <rPr>
        <rFont val="ＭＳ Ｐゴシック"/>
        <sz val="10.0"/>
      </rPr>
      <t>アレ</t>
    </r>
    <r>
      <rPr>
        <rFont val="Arial"/>
        <sz val="10.0"/>
      </rPr>
      <t>"</t>
    </r>
    <r>
      <rPr>
        <rFont val="ＭＳ Ｐゴシック"/>
        <sz val="10.0"/>
      </rPr>
      <t>が登場</t>
    </r>
    <r>
      <rPr>
        <rFont val="Arial"/>
        <sz val="10.0"/>
      </rPr>
      <t>!</t>
    </r>
    <r>
      <rPr>
        <rFont val="ＭＳ Ｐゴシック"/>
        <sz val="10.0"/>
      </rPr>
      <t>呪われた家の秘密を</t>
    </r>
    <r>
      <rPr>
        <rFont val="Arial"/>
        <sz val="10.0"/>
      </rPr>
      <t>…</t>
    </r>
    <r>
      <rPr>
        <rFont val="ＭＳ Ｐゴシック"/>
        <sz val="10.0"/>
      </rPr>
      <t>ミタゾノ流タピオカミルクティーが暴く</t>
    </r>
    <r>
      <rPr>
        <rFont val="Arial"/>
        <sz val="10.0"/>
      </rPr>
      <t>!?</t>
    </r>
  </si>
  <si>
    <t>事故で妻が亡くなったばかりの考古学者の家に派遣された三田園薫(松岡昌宏)、村田光(伊野尾慧)、恩田萌(川栄李奈)。価値の高い古民家に住んでいるため、不動産店員が家の売却を望み連日訪れてくる。その中に、学者の死んだ妻と同じ顔の筧真子(安達祐実)が!?2億円で家を買おうとたくらむ真子は、家族乗っ取りを計画!?さらにミタゾノの弱点“アレ"が登場!呪われた家の秘密を…ミタゾノ流タピオカミルクティーが暴く!?</t>
  </si>
  <si>
    <t>番組名家政夫のミタゾノ　#6</t>
  </si>
  <si>
    <r>
      <rPr>
        <rFont val="ＭＳ Ｐゴシック"/>
        <sz val="10.0"/>
      </rPr>
      <t>ガンで余命半年と宣告された丸山武</t>
    </r>
    <r>
      <rPr>
        <rFont val="Arial"/>
        <sz val="10.0"/>
      </rPr>
      <t>(</t>
    </r>
    <r>
      <rPr>
        <rFont val="ＭＳ Ｐゴシック"/>
        <sz val="10.0"/>
      </rPr>
      <t>小林隆</t>
    </r>
    <r>
      <rPr>
        <rFont val="Arial"/>
        <sz val="10.0"/>
      </rPr>
      <t>)</t>
    </r>
    <r>
      <rPr>
        <rFont val="ＭＳ Ｐゴシック"/>
        <sz val="10.0"/>
      </rPr>
      <t>の家に派遣された三田園薫</t>
    </r>
    <r>
      <rPr>
        <rFont val="Arial"/>
        <sz val="10.0"/>
      </rPr>
      <t>(</t>
    </r>
    <r>
      <rPr>
        <rFont val="ＭＳ Ｐゴシック"/>
        <sz val="10.0"/>
      </rPr>
      <t>松岡昌宏</t>
    </r>
    <r>
      <rPr>
        <rFont val="Arial"/>
        <sz val="10.0"/>
      </rPr>
      <t>)</t>
    </r>
    <r>
      <rPr>
        <rFont val="ＭＳ Ｐゴシック"/>
        <sz val="10.0"/>
      </rPr>
      <t>、村田光</t>
    </r>
    <r>
      <rPr>
        <rFont val="Arial"/>
        <sz val="10.0"/>
      </rPr>
      <t>(</t>
    </r>
    <r>
      <rPr>
        <rFont val="ＭＳ Ｐゴシック"/>
        <sz val="10.0"/>
      </rPr>
      <t>伊野尾慧</t>
    </r>
    <r>
      <rPr>
        <rFont val="Arial"/>
        <sz val="10.0"/>
      </rPr>
      <t>)</t>
    </r>
    <r>
      <rPr>
        <rFont val="ＭＳ Ｐゴシック"/>
        <sz val="10.0"/>
      </rPr>
      <t>、恩田萌</t>
    </r>
    <r>
      <rPr>
        <rFont val="Arial"/>
        <sz val="10.0"/>
      </rPr>
      <t>(</t>
    </r>
    <r>
      <rPr>
        <rFont val="ＭＳ Ｐゴシック"/>
        <sz val="10.0"/>
      </rPr>
      <t>川栄李奈</t>
    </r>
    <r>
      <rPr>
        <rFont val="Arial"/>
        <sz val="10.0"/>
      </rPr>
      <t>)</t>
    </r>
    <r>
      <rPr>
        <rFont val="ＭＳ Ｐゴシック"/>
        <sz val="10.0"/>
      </rPr>
      <t>。しかし、病院の診断ミスが発覚</t>
    </r>
    <r>
      <rPr>
        <rFont val="Arial"/>
        <sz val="10.0"/>
      </rPr>
      <t>…</t>
    </r>
    <r>
      <rPr>
        <rFont val="ＭＳ Ｐゴシック"/>
        <sz val="10.0"/>
      </rPr>
      <t>武はガンではなかった</t>
    </r>
    <r>
      <rPr>
        <rFont val="Arial"/>
        <sz val="10.0"/>
      </rPr>
      <t>!?</t>
    </r>
    <r>
      <rPr>
        <rFont val="ＭＳ Ｐゴシック"/>
        <sz val="10.0"/>
      </rPr>
      <t>「家族に話すのを待ってほしい」と三田園に懇願するが、どんどん結束が強まる家族に武は真実が言い出しにくくなり</t>
    </r>
    <r>
      <rPr>
        <rFont val="Arial"/>
        <sz val="10.0"/>
      </rPr>
      <t>…</t>
    </r>
    <r>
      <rPr>
        <rFont val="ＭＳ Ｐゴシック"/>
        <sz val="10.0"/>
      </rPr>
      <t>。やがて、取り返しのつかない事態が</t>
    </r>
    <r>
      <rPr>
        <rFont val="Arial"/>
        <sz val="10.0"/>
      </rPr>
      <t>!!1</t>
    </r>
    <r>
      <rPr>
        <rFont val="ＭＳ Ｐゴシック"/>
        <sz val="10.0"/>
      </rPr>
      <t>枚の家族写真とミタゾノ流パンケーキが、隠された家族の秘密を暴く</t>
    </r>
    <r>
      <rPr>
        <rFont val="Arial"/>
        <sz val="10.0"/>
      </rPr>
      <t>!?</t>
    </r>
  </si>
  <si>
    <t>ガンで余命半年と宣告された丸山武(小林隆)の家に派遣された三田園薫(松岡昌宏)、村田光(伊野尾慧)、恩田萌(川栄李奈)。しかし、病院の診断ミスが発覚…武はガンではなかった!?「家族に話すのを待ってほしい」と三田園に懇願するが、どんどん結束が強まる家族に武は真実が言い出しにくくなり…。やがて、取り返しのつかない事態が!!1枚の家族写真とミタゾノ流パンケーキが、隠された家族の秘密を暴く!?</t>
  </si>
  <si>
    <t>番組名家政夫のミタゾノ　#7</t>
  </si>
  <si>
    <r>
      <t>“</t>
    </r>
    <r>
      <rPr>
        <rFont val="ＭＳ Ｐゴシック"/>
        <sz val="10.0"/>
      </rPr>
      <t>完璧な妻</t>
    </r>
    <r>
      <rPr>
        <rFont val="Arial"/>
        <sz val="10.0"/>
      </rPr>
      <t>"</t>
    </r>
    <r>
      <rPr>
        <rFont val="ＭＳ Ｐゴシック"/>
        <sz val="10.0"/>
      </rPr>
      <t>と世間を賑わせている黒部静子</t>
    </r>
    <r>
      <rPr>
        <rFont val="Arial"/>
        <sz val="10.0"/>
      </rPr>
      <t>(</t>
    </r>
    <r>
      <rPr>
        <rFont val="ＭＳ Ｐゴシック"/>
        <sz val="10.0"/>
      </rPr>
      <t>黒谷友香</t>
    </r>
    <r>
      <rPr>
        <rFont val="Arial"/>
        <sz val="10.0"/>
      </rPr>
      <t>)</t>
    </r>
    <r>
      <rPr>
        <rFont val="ＭＳ Ｐゴシック"/>
        <sz val="10.0"/>
      </rPr>
      <t>の家に派遣された三田園薫</t>
    </r>
    <r>
      <rPr>
        <rFont val="Arial"/>
        <sz val="10.0"/>
      </rPr>
      <t>(</t>
    </r>
    <r>
      <rPr>
        <rFont val="ＭＳ Ｐゴシック"/>
        <sz val="10.0"/>
      </rPr>
      <t>松岡昌宏</t>
    </r>
    <r>
      <rPr>
        <rFont val="Arial"/>
        <sz val="10.0"/>
      </rPr>
      <t>)</t>
    </r>
    <r>
      <rPr>
        <rFont val="ＭＳ Ｐゴシック"/>
        <sz val="10.0"/>
      </rPr>
      <t>、村田光</t>
    </r>
    <r>
      <rPr>
        <rFont val="Arial"/>
        <sz val="10.0"/>
      </rPr>
      <t>(</t>
    </r>
    <r>
      <rPr>
        <rFont val="ＭＳ Ｐゴシック"/>
        <sz val="10.0"/>
      </rPr>
      <t>伊野尾慧</t>
    </r>
    <r>
      <rPr>
        <rFont val="Arial"/>
        <sz val="10.0"/>
      </rPr>
      <t>)</t>
    </r>
    <r>
      <rPr>
        <rFont val="ＭＳ Ｐゴシック"/>
        <sz val="10.0"/>
      </rPr>
      <t>、恩田萌</t>
    </r>
    <r>
      <rPr>
        <rFont val="Arial"/>
        <sz val="10.0"/>
      </rPr>
      <t>(</t>
    </r>
    <r>
      <rPr>
        <rFont val="ＭＳ Ｐゴシック"/>
        <sz val="10.0"/>
      </rPr>
      <t>川栄李奈</t>
    </r>
    <r>
      <rPr>
        <rFont val="Arial"/>
        <sz val="10.0"/>
      </rPr>
      <t>)</t>
    </r>
    <r>
      <rPr>
        <rFont val="ＭＳ Ｐゴシック"/>
        <sz val="10.0"/>
      </rPr>
      <t>。静子は不倫疑惑で騒がれるレスリングコーチの夫</t>
    </r>
    <r>
      <rPr>
        <rFont val="Arial"/>
        <sz val="10.0"/>
      </rPr>
      <t>(</t>
    </r>
    <r>
      <rPr>
        <rFont val="ＭＳ Ｐゴシック"/>
        <sz val="10.0"/>
      </rPr>
      <t>大澄賢也</t>
    </r>
    <r>
      <rPr>
        <rFont val="Arial"/>
        <sz val="10.0"/>
      </rPr>
      <t>)</t>
    </r>
    <r>
      <rPr>
        <rFont val="ＭＳ Ｐゴシック"/>
        <sz val="10.0"/>
      </rPr>
      <t>の釈明会見で神対応をみせ、不倫疑惑を晴らす。ミタゾノは夫の不倫の証拠を静子に突き付けるが、「都合の悪いものは見なかったことにすれば、何もなかったのと同じ</t>
    </r>
    <r>
      <rPr>
        <rFont val="Arial"/>
        <sz val="10.0"/>
      </rPr>
      <t>…</t>
    </r>
    <r>
      <rPr>
        <rFont val="ＭＳ Ｐゴシック"/>
        <sz val="10.0"/>
      </rPr>
      <t>」と、脅迫</t>
    </r>
    <r>
      <rPr>
        <rFont val="Arial"/>
        <sz val="10.0"/>
      </rPr>
      <t>!?</t>
    </r>
    <r>
      <rPr>
        <rFont val="ＭＳ Ｐゴシック"/>
        <sz val="10.0"/>
      </rPr>
      <t>夫の不倫をもみ消す</t>
    </r>
    <r>
      <rPr>
        <rFont val="Arial"/>
        <sz val="10.0"/>
      </rPr>
      <t>“</t>
    </r>
    <r>
      <rPr>
        <rFont val="ＭＳ Ｐゴシック"/>
        <sz val="10.0"/>
      </rPr>
      <t>完璧な妻</t>
    </r>
    <r>
      <rPr>
        <rFont val="Arial"/>
        <sz val="10.0"/>
      </rPr>
      <t>"…</t>
    </r>
    <r>
      <rPr>
        <rFont val="ＭＳ Ｐゴシック"/>
        <sz val="10.0"/>
      </rPr>
      <t>本当の目的とは</t>
    </r>
    <r>
      <rPr>
        <rFont val="Arial"/>
        <sz val="10.0"/>
      </rPr>
      <t>!?</t>
    </r>
  </si>
  <si>
    <t>“完璧な妻"と世間を賑わせている黒部静子(黒谷友香)の家に派遣された三田園薫(松岡昌宏)、村田光(伊野尾慧)、恩田萌(川栄李奈)。静子は不倫疑惑で騒がれるレスリングコーチの夫(大澄賢也)の釈明会見で神対応をみせ、不倫疑惑を晴らす。ミタゾノは夫の不倫の証拠を静子に突き付けるが、「都合の悪いものは見なかったことにすれば、何もなかったのと同じ…」と、脅迫!?夫の不倫をもみ消す“完璧な妻"…本当の目的とは!?</t>
  </si>
  <si>
    <t>番組名家政夫のミタゾノ　#8</t>
  </si>
  <si>
    <r>
      <rPr>
        <rFont val="ＭＳ Ｐゴシック"/>
        <sz val="10.0"/>
      </rPr>
      <t>伝説的ロックバンド</t>
    </r>
    <r>
      <rPr>
        <rFont val="Arial"/>
        <sz val="10.0"/>
      </rPr>
      <t>“</t>
    </r>
    <r>
      <rPr>
        <rFont val="ＭＳ Ｐゴシック"/>
        <sz val="10.0"/>
      </rPr>
      <t>ハングリーズ</t>
    </r>
    <r>
      <rPr>
        <rFont val="Arial"/>
        <sz val="10.0"/>
      </rPr>
      <t>"</t>
    </r>
    <r>
      <rPr>
        <rFont val="ＭＳ Ｐゴシック"/>
        <sz val="10.0"/>
      </rPr>
      <t>のボーカル・ケビン小須田</t>
    </r>
    <r>
      <rPr>
        <rFont val="Arial"/>
        <sz val="10.0"/>
      </rPr>
      <t>(</t>
    </r>
    <r>
      <rPr>
        <rFont val="ＭＳ Ｐゴシック"/>
        <sz val="10.0"/>
      </rPr>
      <t>宇梶剛士</t>
    </r>
    <r>
      <rPr>
        <rFont val="Arial"/>
        <sz val="10.0"/>
      </rPr>
      <t>)</t>
    </r>
    <r>
      <rPr>
        <rFont val="ＭＳ Ｐゴシック"/>
        <sz val="10.0"/>
      </rPr>
      <t>の家に派遣された三田園薫</t>
    </r>
    <r>
      <rPr>
        <rFont val="Arial"/>
        <sz val="10.0"/>
      </rPr>
      <t>(</t>
    </r>
    <r>
      <rPr>
        <rFont val="ＭＳ Ｐゴシック"/>
        <sz val="10.0"/>
      </rPr>
      <t>松岡昌宏</t>
    </r>
    <r>
      <rPr>
        <rFont val="Arial"/>
        <sz val="10.0"/>
      </rPr>
      <t>)</t>
    </r>
    <r>
      <rPr>
        <rFont val="ＭＳ Ｐゴシック"/>
        <sz val="10.0"/>
      </rPr>
      <t>、村田光</t>
    </r>
    <r>
      <rPr>
        <rFont val="Arial"/>
        <sz val="10.0"/>
      </rPr>
      <t>(</t>
    </r>
    <r>
      <rPr>
        <rFont val="ＭＳ Ｐゴシック"/>
        <sz val="10.0"/>
      </rPr>
      <t>伊野尾慧</t>
    </r>
    <r>
      <rPr>
        <rFont val="Arial"/>
        <sz val="10.0"/>
      </rPr>
      <t>)</t>
    </r>
    <r>
      <rPr>
        <rFont val="ＭＳ Ｐゴシック"/>
        <sz val="10.0"/>
      </rPr>
      <t>、恩田萌</t>
    </r>
    <r>
      <rPr>
        <rFont val="Arial"/>
        <sz val="10.0"/>
      </rPr>
      <t>(</t>
    </r>
    <r>
      <rPr>
        <rFont val="ＭＳ Ｐゴシック"/>
        <sz val="10.0"/>
      </rPr>
      <t>川栄李奈</t>
    </r>
    <r>
      <rPr>
        <rFont val="Arial"/>
        <sz val="10.0"/>
      </rPr>
      <t>)</t>
    </r>
    <r>
      <rPr>
        <rFont val="ＭＳ Ｐゴシック"/>
        <sz val="10.0"/>
      </rPr>
      <t>。ライブをドタキャンしたケビンの元に『今度、ライブをしたら殺す』と脅迫状が届く。熱狂的なファンによる仕返しか</t>
    </r>
    <r>
      <rPr>
        <rFont val="Arial"/>
        <sz val="10.0"/>
      </rPr>
      <t>…!?</t>
    </r>
    <r>
      <rPr>
        <rFont val="ＭＳ Ｐゴシック"/>
        <sz val="10.0"/>
      </rPr>
      <t>光は犯人を捜すが襲われてしまい</t>
    </r>
    <r>
      <rPr>
        <rFont val="Arial"/>
        <sz val="10.0"/>
      </rPr>
      <t>…</t>
    </r>
    <r>
      <rPr>
        <rFont val="ＭＳ Ｐゴシック"/>
        <sz val="10.0"/>
      </rPr>
      <t>家政婦崩壊の危機</t>
    </r>
    <r>
      <rPr>
        <rFont val="Arial"/>
        <sz val="10.0"/>
      </rPr>
      <t>!?</t>
    </r>
    <r>
      <rPr>
        <rFont val="ＭＳ Ｐゴシック"/>
        <sz val="10.0"/>
      </rPr>
      <t>スターを伝説にするための家事ネタとは</t>
    </r>
    <r>
      <rPr>
        <rFont val="Arial"/>
        <sz val="10.0"/>
      </rPr>
      <t>…!?</t>
    </r>
    <r>
      <rPr>
        <rFont val="ＭＳ Ｐゴシック"/>
        <sz val="10.0"/>
      </rPr>
      <t>衝撃の最終回</t>
    </r>
    <r>
      <rPr>
        <rFont val="Arial"/>
        <sz val="10.0"/>
      </rPr>
      <t>…</t>
    </r>
    <r>
      <rPr>
        <rFont val="ＭＳ Ｐゴシック"/>
        <sz val="10.0"/>
      </rPr>
      <t>ミタゾノが星になる</t>
    </r>
    <r>
      <rPr>
        <rFont val="Arial"/>
        <sz val="10.0"/>
      </rPr>
      <t>!?</t>
    </r>
  </si>
  <si>
    <t>伝説的ロックバンド“ハングリーズ"のボーカル・ケビン小須田(宇梶剛士)の家に派遣された三田園薫(松岡昌宏)、村田光(伊野尾慧)、恩田萌(川栄李奈)。ライブをドタキャンしたケビンの元に『今度、ライブをしたら殺す』と脅迫状が届く。熱狂的なファンによる仕返しか…!?光は犯人を捜すが襲われてしまい…家政婦崩壊の危機!?スターを伝説にするための家事ネタとは…!?衝撃の最終回…ミタゾノが星になる!?</t>
  </si>
  <si>
    <t>1904_EX_土23</t>
  </si>
  <si>
    <t>東京独身男子</t>
  </si>
  <si>
    <t>番組名東京独身男子　#1</t>
  </si>
  <si>
    <r>
      <rPr>
        <rFont val="ＭＳ Ｐゴシック"/>
        <sz val="10.0"/>
      </rPr>
      <t>メガバンク勤務の石橋太郎</t>
    </r>
    <r>
      <rPr>
        <rFont val="Arial"/>
        <sz val="10.0"/>
      </rPr>
      <t>(</t>
    </r>
    <r>
      <rPr>
        <rFont val="ＭＳ Ｐゴシック"/>
        <sz val="10.0"/>
      </rPr>
      <t>高橋一生</t>
    </r>
    <r>
      <rPr>
        <rFont val="Arial"/>
        <sz val="10.0"/>
      </rPr>
      <t>)</t>
    </r>
    <r>
      <rPr>
        <rFont val="ＭＳ Ｐゴシック"/>
        <sz val="10.0"/>
      </rPr>
      <t>、審美歯科院長の三好玲也</t>
    </r>
    <r>
      <rPr>
        <rFont val="Arial"/>
        <sz val="10.0"/>
      </rPr>
      <t>(</t>
    </r>
    <r>
      <rPr>
        <rFont val="ＭＳ Ｐゴシック"/>
        <sz val="10.0"/>
      </rPr>
      <t>斎藤工</t>
    </r>
    <r>
      <rPr>
        <rFont val="Arial"/>
        <sz val="10.0"/>
      </rPr>
      <t>)</t>
    </r>
    <r>
      <rPr>
        <rFont val="ＭＳ Ｐゴシック"/>
        <sz val="10.0"/>
      </rPr>
      <t>、法律事務所のボス弁・岩倉和彦</t>
    </r>
    <r>
      <rPr>
        <rFont val="Arial"/>
        <sz val="10.0"/>
      </rPr>
      <t>(</t>
    </r>
    <r>
      <rPr>
        <rFont val="ＭＳ Ｐゴシック"/>
        <sz val="10.0"/>
      </rPr>
      <t>滝藤賢一</t>
    </r>
    <r>
      <rPr>
        <rFont val="Arial"/>
        <sz val="10.0"/>
      </rPr>
      <t>)</t>
    </r>
    <r>
      <rPr>
        <rFont val="ＭＳ Ｐゴシック"/>
        <sz val="10.0"/>
      </rPr>
      <t>は仕事も私生活も充実している『</t>
    </r>
    <r>
      <rPr>
        <rFont val="Arial"/>
        <sz val="10.0"/>
      </rPr>
      <t>AK(</t>
    </r>
    <r>
      <rPr>
        <rFont val="ＭＳ Ｐゴシック"/>
        <sz val="10.0"/>
      </rPr>
      <t>あえて結婚しない</t>
    </r>
    <r>
      <rPr>
        <rFont val="Arial"/>
        <sz val="10.0"/>
      </rPr>
      <t>)</t>
    </r>
    <r>
      <rPr>
        <rFont val="ＭＳ Ｐゴシック"/>
        <sz val="10.0"/>
      </rPr>
      <t>男子』。太郎の部屋で、時に三好の妹・かずな</t>
    </r>
    <r>
      <rPr>
        <rFont val="Arial"/>
        <sz val="10.0"/>
      </rPr>
      <t>(</t>
    </r>
    <r>
      <rPr>
        <rFont val="ＭＳ Ｐゴシック"/>
        <sz val="10.0"/>
      </rPr>
      <t>仲里依紗</t>
    </r>
    <r>
      <rPr>
        <rFont val="Arial"/>
        <sz val="10.0"/>
      </rPr>
      <t>)</t>
    </r>
    <r>
      <rPr>
        <rFont val="ＭＳ Ｐゴシック"/>
        <sz val="10.0"/>
      </rPr>
      <t>も交え食事をしたり楽しんでいる。そんなある日、太郎は元恋人の舞衣</t>
    </r>
    <r>
      <rPr>
        <rFont val="Arial"/>
        <sz val="10.0"/>
      </rPr>
      <t>(</t>
    </r>
    <r>
      <rPr>
        <rFont val="ＭＳ Ｐゴシック"/>
        <sz val="10.0"/>
      </rPr>
      <t>高橋メアリージュン</t>
    </r>
    <r>
      <rPr>
        <rFont val="Arial"/>
        <sz val="10.0"/>
      </rPr>
      <t>)</t>
    </r>
    <r>
      <rPr>
        <rFont val="ＭＳ Ｐゴシック"/>
        <sz val="10.0"/>
      </rPr>
      <t>と再会。三好はバーで出会った透子</t>
    </r>
    <r>
      <rPr>
        <rFont val="Arial"/>
        <sz val="10.0"/>
      </rPr>
      <t>(</t>
    </r>
    <r>
      <rPr>
        <rFont val="ＭＳ Ｐゴシック"/>
        <sz val="10.0"/>
      </rPr>
      <t>桜井ユキ</t>
    </r>
    <r>
      <rPr>
        <rFont val="Arial"/>
        <sz val="10.0"/>
      </rPr>
      <t>)</t>
    </r>
    <r>
      <rPr>
        <rFont val="ＭＳ Ｐゴシック"/>
        <sz val="10.0"/>
      </rPr>
      <t>とイイ雰囲気になるも問題発生。岩倉は父が病で倒れ</t>
    </r>
    <r>
      <rPr>
        <rFont val="Arial"/>
        <sz val="10.0"/>
      </rPr>
      <t>…</t>
    </r>
  </si>
  <si>
    <t>メガバンク勤務の石橋太郎(高橋一生)、審美歯科院長の三好玲也(斎藤工)、法律事務所のボス弁・岩倉和彦(滝藤賢一)は仕事も私生活も充実している『AK(あえて結婚しない)男子』。太郎の部屋で、時に三好の妹・かずな(仲里依紗)も交え食事をしたり楽しんでいる。そんなある日、太郎は元恋人の舞衣(高橋メアリージュン)と再会。三好はバーで出会った透子(桜井ユキ)とイイ雰囲気になるも問題発生。岩倉は父が病で倒れ…</t>
  </si>
  <si>
    <t>番組名東京独身男子　#2</t>
  </si>
  <si>
    <r>
      <rPr>
        <rFont val="ＭＳ Ｐゴシック"/>
        <sz val="10.0"/>
      </rPr>
      <t>太郎</t>
    </r>
    <r>
      <rPr>
        <rFont val="Arial"/>
        <sz val="10.0"/>
      </rPr>
      <t>(</t>
    </r>
    <r>
      <rPr>
        <rFont val="ＭＳ Ｐゴシック"/>
        <sz val="10.0"/>
      </rPr>
      <t>高橋一生</t>
    </r>
    <r>
      <rPr>
        <rFont val="Arial"/>
        <sz val="10.0"/>
      </rPr>
      <t>)</t>
    </r>
    <r>
      <rPr>
        <rFont val="ＭＳ Ｐゴシック"/>
        <sz val="10.0"/>
      </rPr>
      <t>は元恋人・舞衣</t>
    </r>
    <r>
      <rPr>
        <rFont val="Arial"/>
        <sz val="10.0"/>
      </rPr>
      <t>(</t>
    </r>
    <r>
      <rPr>
        <rFont val="ＭＳ Ｐゴシック"/>
        <sz val="10.0"/>
      </rPr>
      <t>高橋メアリージュン</t>
    </r>
    <r>
      <rPr>
        <rFont val="Arial"/>
        <sz val="10.0"/>
      </rPr>
      <t>)</t>
    </r>
    <r>
      <rPr>
        <rFont val="ＭＳ Ｐゴシック"/>
        <sz val="10.0"/>
      </rPr>
      <t>にプロポーズ</t>
    </r>
    <r>
      <rPr>
        <rFont val="Arial"/>
        <sz val="10.0"/>
      </rPr>
      <t>!</t>
    </r>
    <r>
      <rPr>
        <rFont val="ＭＳ Ｐゴシック"/>
        <sz val="10.0"/>
      </rPr>
      <t>話し合いをするも、舞衣の元婚約者が怒鳴り込んできて</t>
    </r>
    <r>
      <rPr>
        <rFont val="Arial"/>
        <sz val="10.0"/>
      </rPr>
      <t>…</t>
    </r>
    <r>
      <rPr>
        <rFont val="ＭＳ Ｐゴシック"/>
        <sz val="10.0"/>
      </rPr>
      <t>。一方、岩倉</t>
    </r>
    <r>
      <rPr>
        <rFont val="Arial"/>
        <sz val="10.0"/>
      </rPr>
      <t>(</t>
    </r>
    <r>
      <rPr>
        <rFont val="ＭＳ Ｐゴシック"/>
        <sz val="10.0"/>
      </rPr>
      <t>滝藤賢一</t>
    </r>
    <r>
      <rPr>
        <rFont val="Arial"/>
        <sz val="10.0"/>
      </rPr>
      <t>)</t>
    </r>
    <r>
      <rPr>
        <rFont val="ＭＳ Ｐゴシック"/>
        <sz val="10.0"/>
      </rPr>
      <t>は介護のため同居中の父に手を焼く。片や体力減退を感じていた三好</t>
    </r>
    <r>
      <rPr>
        <rFont val="Arial"/>
        <sz val="10.0"/>
      </rPr>
      <t>(</t>
    </r>
    <r>
      <rPr>
        <rFont val="ＭＳ Ｐゴシック"/>
        <sz val="10.0"/>
      </rPr>
      <t>斎藤工</t>
    </r>
    <r>
      <rPr>
        <rFont val="Arial"/>
        <sz val="10.0"/>
      </rPr>
      <t>)</t>
    </r>
    <r>
      <rPr>
        <rFont val="ＭＳ Ｐゴシック"/>
        <sz val="10.0"/>
      </rPr>
      <t>は透子</t>
    </r>
    <r>
      <rPr>
        <rFont val="Arial"/>
        <sz val="10.0"/>
      </rPr>
      <t>(</t>
    </r>
    <r>
      <rPr>
        <rFont val="ＭＳ Ｐゴシック"/>
        <sz val="10.0"/>
      </rPr>
      <t>桜井ユキ</t>
    </r>
    <r>
      <rPr>
        <rFont val="Arial"/>
        <sz val="10.0"/>
      </rPr>
      <t>)</t>
    </r>
    <r>
      <rPr>
        <rFont val="ＭＳ Ｐゴシック"/>
        <sz val="10.0"/>
      </rPr>
      <t>を部屋に招き入れるも、とんでもないハプニングが</t>
    </r>
    <r>
      <rPr>
        <rFont val="Arial"/>
        <sz val="10.0"/>
      </rPr>
      <t>!</t>
    </r>
    <r>
      <rPr>
        <rFont val="ＭＳ Ｐゴシック"/>
        <sz val="10.0"/>
      </rPr>
      <t>そんな中、太郎は舞衣から温泉へと誘われ、三好と岩倉を引き連れていくことに。そこに三好の妹かずな</t>
    </r>
    <r>
      <rPr>
        <rFont val="Arial"/>
        <sz val="10.0"/>
      </rPr>
      <t>(</t>
    </r>
    <r>
      <rPr>
        <rFont val="ＭＳ Ｐゴシック"/>
        <sz val="10.0"/>
      </rPr>
      <t>仲里依紗</t>
    </r>
    <r>
      <rPr>
        <rFont val="Arial"/>
        <sz val="10.0"/>
      </rPr>
      <t>)</t>
    </r>
    <r>
      <rPr>
        <rFont val="ＭＳ Ｐゴシック"/>
        <sz val="10.0"/>
      </rPr>
      <t>もやってきて</t>
    </r>
    <r>
      <rPr>
        <rFont val="Arial"/>
        <sz val="10.0"/>
      </rPr>
      <t>…</t>
    </r>
  </si>
  <si>
    <t>太郎(高橋一生)は元恋人・舞衣(高橋メアリージュン)にプロポーズ!話し合いをするも、舞衣の元婚約者が怒鳴り込んできて…。一方、岩倉(滝藤賢一)は介護のため同居中の父に手を焼く。片や体力減退を感じていた三好(斎藤工)は透子(桜井ユキ)を部屋に招き入れるも、とんでもないハプニングが!そんな中、太郎は舞衣から温泉へと誘われ、三好と岩倉を引き連れていくことに。そこに三好の妹かずな(仲里依紗)もやってきて…</t>
  </si>
  <si>
    <t>番組名東京独身男子　#3</t>
  </si>
  <si>
    <r>
      <rPr>
        <rFont val="ＭＳ Ｐゴシック"/>
        <sz val="10.0"/>
      </rPr>
      <t>太郎</t>
    </r>
    <r>
      <rPr>
        <rFont val="Arial"/>
        <sz val="10.0"/>
      </rPr>
      <t>(</t>
    </r>
    <r>
      <rPr>
        <rFont val="ＭＳ Ｐゴシック"/>
        <sz val="10.0"/>
      </rPr>
      <t>高橋一生</t>
    </r>
    <r>
      <rPr>
        <rFont val="Arial"/>
        <sz val="10.0"/>
      </rPr>
      <t>)</t>
    </r>
    <r>
      <rPr>
        <rFont val="ＭＳ Ｐゴシック"/>
        <sz val="10.0"/>
      </rPr>
      <t>は舞衣</t>
    </r>
    <r>
      <rPr>
        <rFont val="Arial"/>
        <sz val="10.0"/>
      </rPr>
      <t>(</t>
    </r>
    <r>
      <rPr>
        <rFont val="ＭＳ Ｐゴシック"/>
        <sz val="10.0"/>
      </rPr>
      <t>高橋メアリージュン</t>
    </r>
    <r>
      <rPr>
        <rFont val="Arial"/>
        <sz val="10.0"/>
      </rPr>
      <t>)</t>
    </r>
    <r>
      <rPr>
        <rFont val="ＭＳ Ｐゴシック"/>
        <sz val="10.0"/>
      </rPr>
      <t>への想いを断ち切ろうとする中、かずな</t>
    </r>
    <r>
      <rPr>
        <rFont val="Arial"/>
        <sz val="10.0"/>
      </rPr>
      <t>(</t>
    </r>
    <r>
      <rPr>
        <rFont val="ＭＳ Ｐゴシック"/>
        <sz val="10.0"/>
      </rPr>
      <t>仲里依紗</t>
    </r>
    <r>
      <rPr>
        <rFont val="Arial"/>
        <sz val="10.0"/>
      </rPr>
      <t>)</t>
    </r>
    <r>
      <rPr>
        <rFont val="ＭＳ Ｐゴシック"/>
        <sz val="10.0"/>
      </rPr>
      <t>から突然のキスをされ、関係を決めあぐねていた。そんな太郎に三好</t>
    </r>
    <r>
      <rPr>
        <rFont val="Arial"/>
        <sz val="10.0"/>
      </rPr>
      <t>(</t>
    </r>
    <r>
      <rPr>
        <rFont val="ＭＳ Ｐゴシック"/>
        <sz val="10.0"/>
      </rPr>
      <t>斎藤工</t>
    </r>
    <r>
      <rPr>
        <rFont val="Arial"/>
        <sz val="10.0"/>
      </rPr>
      <t>)</t>
    </r>
    <r>
      <rPr>
        <rFont val="ＭＳ Ｐゴシック"/>
        <sz val="10.0"/>
      </rPr>
      <t>は、妹・かずなをもらってくれたら嬉しいと言い、岩倉</t>
    </r>
    <r>
      <rPr>
        <rFont val="Arial"/>
        <sz val="10.0"/>
      </rPr>
      <t>(</t>
    </r>
    <r>
      <rPr>
        <rFont val="ＭＳ Ｐゴシック"/>
        <sz val="10.0"/>
      </rPr>
      <t>滝藤賢一</t>
    </r>
    <r>
      <rPr>
        <rFont val="Arial"/>
        <sz val="10.0"/>
      </rPr>
      <t>)</t>
    </r>
    <r>
      <rPr>
        <rFont val="ＭＳ Ｐゴシック"/>
        <sz val="10.0"/>
      </rPr>
      <t>には父・和雄</t>
    </r>
    <r>
      <rPr>
        <rFont val="Arial"/>
        <sz val="10.0"/>
      </rPr>
      <t>(</t>
    </r>
    <r>
      <rPr>
        <rFont val="ＭＳ Ｐゴシック"/>
        <sz val="10.0"/>
      </rPr>
      <t>小野武彦</t>
    </r>
    <r>
      <rPr>
        <rFont val="Arial"/>
        <sz val="10.0"/>
      </rPr>
      <t>)</t>
    </r>
    <r>
      <rPr>
        <rFont val="ＭＳ Ｐゴシック"/>
        <sz val="10.0"/>
      </rPr>
      <t>と離れた方が良いと、真逆の忠告をする。そんな中、舞衣と糸井</t>
    </r>
    <r>
      <rPr>
        <rFont val="Arial"/>
        <sz val="10.0"/>
      </rPr>
      <t>(</t>
    </r>
    <r>
      <rPr>
        <rFont val="ＭＳ Ｐゴシック"/>
        <sz val="10.0"/>
      </rPr>
      <t>早乙女太一</t>
    </r>
    <r>
      <rPr>
        <rFont val="Arial"/>
        <sz val="10.0"/>
      </rPr>
      <t>)</t>
    </r>
    <r>
      <rPr>
        <rFont val="ＭＳ Ｐゴシック"/>
        <sz val="10.0"/>
      </rPr>
      <t>の結婚パーティーに出席した太郎。舞衣への想いは</t>
    </r>
    <r>
      <rPr>
        <rFont val="Arial"/>
        <sz val="10.0"/>
      </rPr>
      <t>…</t>
    </r>
    <r>
      <rPr>
        <rFont val="ＭＳ Ｐゴシック"/>
        <sz val="10.0"/>
      </rPr>
      <t>そして、かずなとの関係は</t>
    </r>
    <r>
      <rPr>
        <rFont val="Arial"/>
        <sz val="10.0"/>
      </rPr>
      <t>…!?</t>
    </r>
  </si>
  <si>
    <t>太郎(高橋一生)は舞衣(高橋メアリージュン)への想いを断ち切ろうとする中、かずな(仲里依紗)から突然のキスをされ、関係を決めあぐねていた。そんな太郎に三好(斎藤工)は、妹・かずなをもらってくれたら嬉しいと言い、岩倉(滝藤賢一)には父・和雄(小野武彦)と離れた方が良いと、真逆の忠告をする。そんな中、舞衣と糸井(早乙女太一)の結婚パーティーに出席した太郎。舞衣への想いは…そして、かずなとの関係は…!?</t>
  </si>
  <si>
    <t>番組名東京独身男子　#4</t>
  </si>
  <si>
    <r>
      <rPr>
        <rFont val="ＭＳ Ｐゴシック"/>
        <sz val="10.0"/>
      </rPr>
      <t>太郎</t>
    </r>
    <r>
      <rPr>
        <rFont val="Arial"/>
        <sz val="10.0"/>
      </rPr>
      <t>(</t>
    </r>
    <r>
      <rPr>
        <rFont val="ＭＳ Ｐゴシック"/>
        <sz val="10.0"/>
      </rPr>
      <t>高橋一生</t>
    </r>
    <r>
      <rPr>
        <rFont val="Arial"/>
        <sz val="10.0"/>
      </rPr>
      <t>)</t>
    </r>
    <r>
      <rPr>
        <rFont val="ＭＳ Ｐゴシック"/>
        <sz val="10.0"/>
      </rPr>
      <t>はかずな</t>
    </r>
    <r>
      <rPr>
        <rFont val="Arial"/>
        <sz val="10.0"/>
      </rPr>
      <t>(</t>
    </r>
    <r>
      <rPr>
        <rFont val="ＭＳ Ｐゴシック"/>
        <sz val="10.0"/>
      </rPr>
      <t>仲里依紗</t>
    </r>
    <r>
      <rPr>
        <rFont val="Arial"/>
        <sz val="10.0"/>
      </rPr>
      <t>)</t>
    </r>
    <r>
      <rPr>
        <rFont val="ＭＳ Ｐゴシック"/>
        <sz val="10.0"/>
      </rPr>
      <t>に付き合ってほしいと告白したが、「結婚を前提に」という条件を突き付けられ、態度を保留してしまう。三好</t>
    </r>
    <r>
      <rPr>
        <rFont val="Arial"/>
        <sz val="10.0"/>
      </rPr>
      <t>(</t>
    </r>
    <r>
      <rPr>
        <rFont val="ＭＳ Ｐゴシック"/>
        <sz val="10.0"/>
      </rPr>
      <t>斎藤工</t>
    </r>
    <r>
      <rPr>
        <rFont val="Arial"/>
        <sz val="10.0"/>
      </rPr>
      <t>)</t>
    </r>
    <r>
      <rPr>
        <rFont val="ＭＳ Ｐゴシック"/>
        <sz val="10.0"/>
      </rPr>
      <t>と岩倉</t>
    </r>
    <r>
      <rPr>
        <rFont val="Arial"/>
        <sz val="10.0"/>
      </rPr>
      <t>(</t>
    </r>
    <r>
      <rPr>
        <rFont val="ＭＳ Ｐゴシック"/>
        <sz val="10.0"/>
      </rPr>
      <t>滝藤賢一</t>
    </r>
    <r>
      <rPr>
        <rFont val="Arial"/>
        <sz val="10.0"/>
      </rPr>
      <t>)</t>
    </r>
    <r>
      <rPr>
        <rFont val="ＭＳ Ｐゴシック"/>
        <sz val="10.0"/>
      </rPr>
      <t>と話し合い、</t>
    </r>
    <r>
      <rPr>
        <rFont val="Arial"/>
        <sz val="10.0"/>
      </rPr>
      <t>AK</t>
    </r>
    <r>
      <rPr>
        <rFont val="ＭＳ Ｐゴシック"/>
        <sz val="10.0"/>
      </rPr>
      <t>男子</t>
    </r>
    <r>
      <rPr>
        <rFont val="Arial"/>
        <sz val="10.0"/>
      </rPr>
      <t>3</t>
    </r>
    <r>
      <rPr>
        <rFont val="ＭＳ Ｐゴシック"/>
        <sz val="10.0"/>
      </rPr>
      <t>人は</t>
    </r>
    <r>
      <rPr>
        <rFont val="Arial"/>
        <sz val="10.0"/>
      </rPr>
      <t>“</t>
    </r>
    <r>
      <rPr>
        <rFont val="ＭＳ Ｐゴシック"/>
        <sz val="10.0"/>
      </rPr>
      <t>視野を広げる</t>
    </r>
    <r>
      <rPr>
        <rFont val="Arial"/>
        <sz val="10.0"/>
      </rPr>
      <t>"</t>
    </r>
    <r>
      <rPr>
        <rFont val="ＭＳ Ｐゴシック"/>
        <sz val="10.0"/>
      </rPr>
      <t>ため、ナイトライフへ繰り出すことに</t>
    </r>
    <r>
      <rPr>
        <rFont val="Arial"/>
        <sz val="10.0"/>
      </rPr>
      <t>!</t>
    </r>
    <r>
      <rPr>
        <rFont val="ＭＳ Ｐゴシック"/>
        <sz val="10.0"/>
      </rPr>
      <t>マッチングアプリで太郎も女性と会う約束を取り付けるが、現れたのはなんとかずなで</t>
    </r>
    <r>
      <rPr>
        <rFont val="Arial"/>
        <sz val="10.0"/>
      </rPr>
      <t>…!</t>
    </r>
    <r>
      <rPr>
        <rFont val="ＭＳ Ｐゴシック"/>
        <sz val="10.0"/>
      </rPr>
      <t>一方、三好と岩倉の透子</t>
    </r>
    <r>
      <rPr>
        <rFont val="Arial"/>
        <sz val="10.0"/>
      </rPr>
      <t>(</t>
    </r>
    <r>
      <rPr>
        <rFont val="ＭＳ Ｐゴシック"/>
        <sz val="10.0"/>
      </rPr>
      <t>桜井ユキ</t>
    </r>
    <r>
      <rPr>
        <rFont val="Arial"/>
        <sz val="10.0"/>
      </rPr>
      <t>)</t>
    </r>
    <r>
      <rPr>
        <rFont val="ＭＳ Ｐゴシック"/>
        <sz val="10.0"/>
      </rPr>
      <t>をめぐる三角関係もこじれて</t>
    </r>
    <r>
      <rPr>
        <rFont val="Arial"/>
        <sz val="10.0"/>
      </rPr>
      <t>…</t>
    </r>
  </si>
  <si>
    <t>太郎(高橋一生)はかずな(仲里依紗)に付き合ってほしいと告白したが、「結婚を前提に」という条件を突き付けられ、態度を保留してしまう。三好(斎藤工)と岩倉(滝藤賢一)と話し合い、AK男子3人は“視野を広げる"ため、ナイトライフへ繰り出すことに!マッチングアプリで太郎も女性と会う約束を取り付けるが、現れたのはなんとかずなで…!一方、三好と岩倉の透子(桜井ユキ)をめぐる三角関係もこじれて…</t>
  </si>
  <si>
    <t>番組名東京独身男子　#5</t>
  </si>
  <si>
    <r>
      <rPr>
        <rFont val="ＭＳ Ｐゴシック"/>
        <sz val="10.0"/>
      </rPr>
      <t>太郎</t>
    </r>
    <r>
      <rPr>
        <rFont val="Arial"/>
        <sz val="10.0"/>
      </rPr>
      <t>(</t>
    </r>
    <r>
      <rPr>
        <rFont val="ＭＳ Ｐゴシック"/>
        <sz val="10.0"/>
      </rPr>
      <t>高橋一生</t>
    </r>
    <r>
      <rPr>
        <rFont val="Arial"/>
        <sz val="10.0"/>
      </rPr>
      <t>)</t>
    </r>
    <r>
      <rPr>
        <rFont val="ＭＳ Ｐゴシック"/>
        <sz val="10.0"/>
      </rPr>
      <t>がかずな</t>
    </r>
    <r>
      <rPr>
        <rFont val="Arial"/>
        <sz val="10.0"/>
      </rPr>
      <t>(</t>
    </r>
    <r>
      <rPr>
        <rFont val="ＭＳ Ｐゴシック"/>
        <sz val="10.0"/>
      </rPr>
      <t>仲里依紗</t>
    </r>
    <r>
      <rPr>
        <rFont val="Arial"/>
        <sz val="10.0"/>
      </rPr>
      <t>)</t>
    </r>
    <r>
      <rPr>
        <rFont val="ＭＳ Ｐゴシック"/>
        <sz val="10.0"/>
      </rPr>
      <t>と結ばれることを決意した矢先、目の前に現れたのは、海外に行ったはずの元恋人・舞衣</t>
    </r>
    <r>
      <rPr>
        <rFont val="Arial"/>
        <sz val="10.0"/>
      </rPr>
      <t>(</t>
    </r>
    <r>
      <rPr>
        <rFont val="ＭＳ Ｐゴシック"/>
        <sz val="10.0"/>
      </rPr>
      <t>高橋メアリージュン</t>
    </r>
    <r>
      <rPr>
        <rFont val="Arial"/>
        <sz val="10.0"/>
      </rPr>
      <t>)</t>
    </r>
    <r>
      <rPr>
        <rFont val="ＭＳ Ｐゴシック"/>
        <sz val="10.0"/>
      </rPr>
      <t>だった</t>
    </r>
    <r>
      <rPr>
        <rFont val="Arial"/>
        <sz val="10.0"/>
      </rPr>
      <t>!</t>
    </r>
    <r>
      <rPr>
        <rFont val="ＭＳ Ｐゴシック"/>
        <sz val="10.0"/>
      </rPr>
      <t>同じ頃、三好</t>
    </r>
    <r>
      <rPr>
        <rFont val="Arial"/>
        <sz val="10.0"/>
      </rPr>
      <t>(</t>
    </r>
    <r>
      <rPr>
        <rFont val="ＭＳ Ｐゴシック"/>
        <sz val="10.0"/>
      </rPr>
      <t>斎藤工</t>
    </r>
    <r>
      <rPr>
        <rFont val="Arial"/>
        <sz val="10.0"/>
      </rPr>
      <t>)</t>
    </r>
    <r>
      <rPr>
        <rFont val="ＭＳ Ｐゴシック"/>
        <sz val="10.0"/>
      </rPr>
      <t>と岩倉</t>
    </r>
    <r>
      <rPr>
        <rFont val="Arial"/>
        <sz val="10.0"/>
      </rPr>
      <t>(</t>
    </r>
    <r>
      <rPr>
        <rFont val="ＭＳ Ｐゴシック"/>
        <sz val="10.0"/>
      </rPr>
      <t>滝藤賢一</t>
    </r>
    <r>
      <rPr>
        <rFont val="Arial"/>
        <sz val="10.0"/>
      </rPr>
      <t>)</t>
    </r>
    <r>
      <rPr>
        <rFont val="ＭＳ Ｐゴシック"/>
        <sz val="10.0"/>
      </rPr>
      <t>は透子</t>
    </r>
    <r>
      <rPr>
        <rFont val="Arial"/>
        <sz val="10.0"/>
      </rPr>
      <t>(</t>
    </r>
    <r>
      <rPr>
        <rFont val="ＭＳ Ｐゴシック"/>
        <sz val="10.0"/>
      </rPr>
      <t>桜井ユキ</t>
    </r>
    <r>
      <rPr>
        <rFont val="Arial"/>
        <sz val="10.0"/>
      </rPr>
      <t>)</t>
    </r>
    <r>
      <rPr>
        <rFont val="ＭＳ Ｐゴシック"/>
        <sz val="10.0"/>
      </rPr>
      <t>を巡り激論に</t>
    </r>
    <r>
      <rPr>
        <rFont val="Arial"/>
        <sz val="10.0"/>
      </rPr>
      <t>…</t>
    </r>
    <r>
      <rPr>
        <rFont val="ＭＳ Ｐゴシック"/>
        <sz val="10.0"/>
      </rPr>
      <t>。そんな中、父・和雄</t>
    </r>
    <r>
      <rPr>
        <rFont val="Arial"/>
        <sz val="10.0"/>
      </rPr>
      <t>(</t>
    </r>
    <r>
      <rPr>
        <rFont val="ＭＳ Ｐゴシック"/>
        <sz val="10.0"/>
      </rPr>
      <t>小野武彦</t>
    </r>
    <r>
      <rPr>
        <rFont val="Arial"/>
        <sz val="10.0"/>
      </rPr>
      <t>)</t>
    </r>
    <r>
      <rPr>
        <rFont val="ＭＳ Ｐゴシック"/>
        <sz val="10.0"/>
      </rPr>
      <t>の看病の御礼にと、透子をささやかな食事会に招待した岩倉。しかし、そこへ太郎と三好が押しかけ、さらにかずなと舞衣も加わり、一堂に会した</t>
    </r>
    <r>
      <rPr>
        <rFont val="Arial"/>
        <sz val="10.0"/>
      </rPr>
      <t>6</t>
    </r>
    <r>
      <rPr>
        <rFont val="ＭＳ Ｐゴシック"/>
        <sz val="10.0"/>
      </rPr>
      <t>人は波乱模様で</t>
    </r>
    <r>
      <rPr>
        <rFont val="Arial"/>
        <sz val="10.0"/>
      </rPr>
      <t>…</t>
    </r>
  </si>
  <si>
    <t>太郎(高橋一生)がかずな(仲里依紗)と結ばれることを決意した矢先、目の前に現れたのは、海外に行ったはずの元恋人・舞衣(高橋メアリージュン)だった!同じ頃、三好(斎藤工)と岩倉(滝藤賢一)は透子(桜井ユキ)を巡り激論に…。そんな中、父・和雄(小野武彦)の看病の御礼にと、透子をささやかな食事会に招待した岩倉。しかし、そこへ太郎と三好が押しかけ、さらにかずなと舞衣も加わり、一堂に会した6人は波乱模様で…</t>
  </si>
  <si>
    <t>番組名東京独身男子　#6</t>
  </si>
  <si>
    <r>
      <rPr>
        <rFont val="ＭＳ Ｐゴシック"/>
        <sz val="10.0"/>
      </rPr>
      <t>太郎</t>
    </r>
    <r>
      <rPr>
        <rFont val="Arial"/>
        <sz val="10.0"/>
      </rPr>
      <t>(</t>
    </r>
    <r>
      <rPr>
        <rFont val="ＭＳ Ｐゴシック"/>
        <sz val="10.0"/>
      </rPr>
      <t>高橋一生</t>
    </r>
    <r>
      <rPr>
        <rFont val="Arial"/>
        <sz val="10.0"/>
      </rPr>
      <t>)</t>
    </r>
    <r>
      <rPr>
        <rFont val="ＭＳ Ｐゴシック"/>
        <sz val="10.0"/>
      </rPr>
      <t>は、かずな</t>
    </r>
    <r>
      <rPr>
        <rFont val="Arial"/>
        <sz val="10.0"/>
      </rPr>
      <t>(</t>
    </r>
    <r>
      <rPr>
        <rFont val="ＭＳ Ｐゴシック"/>
        <sz val="10.0"/>
      </rPr>
      <t>仲里依紗</t>
    </r>
    <r>
      <rPr>
        <rFont val="Arial"/>
        <sz val="10.0"/>
      </rPr>
      <t>)</t>
    </r>
    <r>
      <rPr>
        <rFont val="ＭＳ Ｐゴシック"/>
        <sz val="10.0"/>
      </rPr>
      <t>から「太郎ちゃんが好きなのは、自分自身」と強烈な一言を浴びせられ、舞衣</t>
    </r>
    <r>
      <rPr>
        <rFont val="Arial"/>
        <sz val="10.0"/>
      </rPr>
      <t>(</t>
    </r>
    <r>
      <rPr>
        <rFont val="ＭＳ Ｐゴシック"/>
        <sz val="10.0"/>
      </rPr>
      <t>高橋メアリージュン</t>
    </r>
    <r>
      <rPr>
        <rFont val="Arial"/>
        <sz val="10.0"/>
      </rPr>
      <t>)</t>
    </r>
    <r>
      <rPr>
        <rFont val="ＭＳ Ｐゴシック"/>
        <sz val="10.0"/>
      </rPr>
      <t>には「友達じゃ嫌」と切り出される。一方、三好</t>
    </r>
    <r>
      <rPr>
        <rFont val="Arial"/>
        <sz val="10.0"/>
      </rPr>
      <t>(</t>
    </r>
    <r>
      <rPr>
        <rFont val="ＭＳ Ｐゴシック"/>
        <sz val="10.0"/>
      </rPr>
      <t>斎藤工</t>
    </r>
    <r>
      <rPr>
        <rFont val="Arial"/>
        <sz val="10.0"/>
      </rPr>
      <t>)</t>
    </r>
    <r>
      <rPr>
        <rFont val="ＭＳ Ｐゴシック"/>
        <sz val="10.0"/>
      </rPr>
      <t>は元妻・薫に、夫婦時代に購入した墓が欲しいと迫られる。そこで、三好の墓問題に岩倉</t>
    </r>
    <r>
      <rPr>
        <rFont val="Arial"/>
        <sz val="10.0"/>
      </rPr>
      <t>(</t>
    </r>
    <r>
      <rPr>
        <rFont val="ＭＳ Ｐゴシック"/>
        <sz val="10.0"/>
      </rPr>
      <t>滝藤賢一</t>
    </r>
    <r>
      <rPr>
        <rFont val="Arial"/>
        <sz val="10.0"/>
      </rPr>
      <t>)</t>
    </r>
    <r>
      <rPr>
        <rFont val="ＭＳ Ｐゴシック"/>
        <sz val="10.0"/>
      </rPr>
      <t>が仲介役を買って出る。そんな中、人間ドックを訪れた</t>
    </r>
    <r>
      <rPr>
        <rFont val="Arial"/>
        <sz val="10.0"/>
      </rPr>
      <t>AK</t>
    </r>
    <r>
      <rPr>
        <rFont val="ＭＳ Ｐゴシック"/>
        <sz val="10.0"/>
      </rPr>
      <t>男子</t>
    </r>
    <r>
      <rPr>
        <rFont val="Arial"/>
        <sz val="10.0"/>
      </rPr>
      <t>3</t>
    </r>
    <r>
      <rPr>
        <rFont val="ＭＳ Ｐゴシック"/>
        <sz val="10.0"/>
      </rPr>
      <t>人。すると人間ドックの結果、</t>
    </r>
    <r>
      <rPr>
        <rFont val="Arial"/>
        <sz val="10.0"/>
      </rPr>
      <t>“</t>
    </r>
    <r>
      <rPr>
        <rFont val="ＭＳ Ｐゴシック"/>
        <sz val="10.0"/>
      </rPr>
      <t>再検査</t>
    </r>
    <r>
      <rPr>
        <rFont val="Arial"/>
        <sz val="10.0"/>
      </rPr>
      <t>"</t>
    </r>
    <r>
      <rPr>
        <rFont val="ＭＳ Ｐゴシック"/>
        <sz val="10.0"/>
      </rPr>
      <t>の知らせが届く者がいて</t>
    </r>
    <r>
      <rPr>
        <rFont val="Arial"/>
        <sz val="10.0"/>
      </rPr>
      <t>…</t>
    </r>
  </si>
  <si>
    <t>太郎(高橋一生)は、かずな(仲里依紗)から「太郎ちゃんが好きなのは、自分自身」と強烈な一言を浴びせられ、舞衣(高橋メアリージュン)には「友達じゃ嫌」と切り出される。一方、三好(斎藤工)は元妻・薫に、夫婦時代に購入した墓が欲しいと迫られる。そこで、三好の墓問題に岩倉(滝藤賢一)が仲介役を買って出る。そんな中、人間ドックを訪れたAK男子3人。すると人間ドックの結果、“再検査"の知らせが届く者がいて…</t>
  </si>
  <si>
    <t>番組名東京独身男子　#7</t>
  </si>
  <si>
    <r>
      <rPr>
        <rFont val="ＭＳ Ｐゴシック"/>
        <sz val="10.0"/>
      </rPr>
      <t>太郎</t>
    </r>
    <r>
      <rPr>
        <rFont val="Arial"/>
        <sz val="10.0"/>
      </rPr>
      <t>(</t>
    </r>
    <r>
      <rPr>
        <rFont val="ＭＳ Ｐゴシック"/>
        <sz val="10.0"/>
      </rPr>
      <t>高橋一生</t>
    </r>
    <r>
      <rPr>
        <rFont val="Arial"/>
        <sz val="10.0"/>
      </rPr>
      <t>)</t>
    </r>
    <r>
      <rPr>
        <rFont val="ＭＳ Ｐゴシック"/>
        <sz val="10.0"/>
      </rPr>
      <t>は、かずな</t>
    </r>
    <r>
      <rPr>
        <rFont val="Arial"/>
        <sz val="10.0"/>
      </rPr>
      <t>(</t>
    </r>
    <r>
      <rPr>
        <rFont val="ＭＳ Ｐゴシック"/>
        <sz val="10.0"/>
      </rPr>
      <t>仲里依紗</t>
    </r>
    <r>
      <rPr>
        <rFont val="Arial"/>
        <sz val="10.0"/>
      </rPr>
      <t>)</t>
    </r>
    <r>
      <rPr>
        <rFont val="ＭＳ Ｐゴシック"/>
        <sz val="10.0"/>
      </rPr>
      <t>に恋人ができたらしいと聞き、ショックを受け、仕事も行き詰まる。そんな中、サラリーマン人生に大きな転機が訪れ</t>
    </r>
    <r>
      <rPr>
        <rFont val="Arial"/>
        <sz val="10.0"/>
      </rPr>
      <t>…</t>
    </r>
    <r>
      <rPr>
        <rFont val="ＭＳ Ｐゴシック"/>
        <sz val="10.0"/>
      </rPr>
      <t>。一方、実はクリニックが経営不振に陥っていた三好</t>
    </r>
    <r>
      <rPr>
        <rFont val="Arial"/>
        <sz val="10.0"/>
      </rPr>
      <t>(</t>
    </r>
    <r>
      <rPr>
        <rFont val="ＭＳ Ｐゴシック"/>
        <sz val="10.0"/>
      </rPr>
      <t>斎藤工</t>
    </r>
    <r>
      <rPr>
        <rFont val="Arial"/>
        <sz val="10.0"/>
      </rPr>
      <t>)</t>
    </r>
    <r>
      <rPr>
        <rFont val="ＭＳ Ｐゴシック"/>
        <sz val="10.0"/>
      </rPr>
      <t>。岩倉</t>
    </r>
    <r>
      <rPr>
        <rFont val="Arial"/>
        <sz val="10.0"/>
      </rPr>
      <t>(</t>
    </r>
    <r>
      <rPr>
        <rFont val="ＭＳ Ｐゴシック"/>
        <sz val="10.0"/>
      </rPr>
      <t>滝藤賢一</t>
    </r>
    <r>
      <rPr>
        <rFont val="Arial"/>
        <sz val="10.0"/>
      </rPr>
      <t>)</t>
    </r>
    <r>
      <rPr>
        <rFont val="ＭＳ Ｐゴシック"/>
        <sz val="10.0"/>
      </rPr>
      <t>も、透子</t>
    </r>
    <r>
      <rPr>
        <rFont val="Arial"/>
        <sz val="10.0"/>
      </rPr>
      <t>(</t>
    </r>
    <r>
      <rPr>
        <rFont val="ＭＳ Ｐゴシック"/>
        <sz val="10.0"/>
      </rPr>
      <t>桜井ユキ</t>
    </r>
    <r>
      <rPr>
        <rFont val="Arial"/>
        <sz val="10.0"/>
      </rPr>
      <t>)</t>
    </r>
    <r>
      <rPr>
        <rFont val="ＭＳ Ｐゴシック"/>
        <sz val="10.0"/>
      </rPr>
      <t>と父との</t>
    </r>
    <r>
      <rPr>
        <rFont val="Arial"/>
        <sz val="10.0"/>
      </rPr>
      <t>3</t>
    </r>
    <r>
      <rPr>
        <rFont val="ＭＳ Ｐゴシック"/>
        <sz val="10.0"/>
      </rPr>
      <t>人暮らしを開始したものの、困難を極め</t>
    </r>
    <r>
      <rPr>
        <rFont val="Arial"/>
        <sz val="10.0"/>
      </rPr>
      <t>…</t>
    </r>
    <r>
      <rPr>
        <rFont val="ＭＳ Ｐゴシック"/>
        <sz val="10.0"/>
      </rPr>
      <t>。悩める</t>
    </r>
    <r>
      <rPr>
        <rFont val="Arial"/>
        <sz val="10.0"/>
      </rPr>
      <t>3</t>
    </r>
    <r>
      <rPr>
        <rFont val="ＭＳ Ｐゴシック"/>
        <sz val="10.0"/>
      </rPr>
      <t>人はいつものように互いの将来について話し合う内、激しい口論へと発展</t>
    </r>
    <r>
      <rPr>
        <rFont val="Arial"/>
        <sz val="10.0"/>
      </rPr>
      <t>!</t>
    </r>
    <r>
      <rPr>
        <rFont val="ＭＳ Ｐゴシック"/>
        <sz val="10.0"/>
      </rPr>
      <t>ついに、喧嘩別れをしてしまい</t>
    </r>
    <r>
      <rPr>
        <rFont val="Arial"/>
        <sz val="10.0"/>
      </rPr>
      <t>…</t>
    </r>
  </si>
  <si>
    <t>太郎(高橋一生)は、かずな(仲里依紗)に恋人ができたらしいと聞き、ショックを受け、仕事も行き詰まる。そんな中、サラリーマン人生に大きな転機が訪れ…。一方、実はクリニックが経営不振に陥っていた三好(斎藤工)。岩倉(滝藤賢一)も、透子(桜井ユキ)と父との3人暮らしを開始したものの、困難を極め…。悩める3人はいつものように互いの将来について話し合う内、激しい口論へと発展!ついに、喧嘩別れをしてしまい…</t>
  </si>
  <si>
    <t>番組名東京独身男子　最終回</t>
  </si>
  <si>
    <r>
      <rPr>
        <rFont val="ＭＳ Ｐゴシック"/>
        <sz val="10.0"/>
      </rPr>
      <t>太郎</t>
    </r>
    <r>
      <rPr>
        <rFont val="Arial"/>
        <sz val="10.0"/>
      </rPr>
      <t>(</t>
    </r>
    <r>
      <rPr>
        <rFont val="ＭＳ Ｐゴシック"/>
        <sz val="10.0"/>
      </rPr>
      <t>高橋一生</t>
    </r>
    <r>
      <rPr>
        <rFont val="Arial"/>
        <sz val="10.0"/>
      </rPr>
      <t>)</t>
    </r>
    <r>
      <rPr>
        <rFont val="ＭＳ Ｐゴシック"/>
        <sz val="10.0"/>
      </rPr>
      <t>はかずな</t>
    </r>
    <r>
      <rPr>
        <rFont val="Arial"/>
        <sz val="10.0"/>
      </rPr>
      <t>(</t>
    </r>
    <r>
      <rPr>
        <rFont val="ＭＳ Ｐゴシック"/>
        <sz val="10.0"/>
      </rPr>
      <t>仲里依紗</t>
    </r>
    <r>
      <rPr>
        <rFont val="Arial"/>
        <sz val="10.0"/>
      </rPr>
      <t>)</t>
    </r>
    <r>
      <rPr>
        <rFont val="ＭＳ Ｐゴシック"/>
        <sz val="10.0"/>
      </rPr>
      <t>に再び自分の想いを伝えるも「これ以上、振り回されたくない</t>
    </r>
    <r>
      <rPr>
        <rFont val="Arial"/>
        <sz val="10.0"/>
      </rPr>
      <t>…</t>
    </r>
    <r>
      <rPr>
        <rFont val="ＭＳ Ｐゴシック"/>
        <sz val="10.0"/>
      </rPr>
      <t>」と去られてしまう。一方、岩倉</t>
    </r>
    <r>
      <rPr>
        <rFont val="Arial"/>
        <sz val="10.0"/>
      </rPr>
      <t>(</t>
    </r>
    <r>
      <rPr>
        <rFont val="ＭＳ Ｐゴシック"/>
        <sz val="10.0"/>
      </rPr>
      <t>滝藤賢一</t>
    </r>
    <r>
      <rPr>
        <rFont val="Arial"/>
        <sz val="10.0"/>
      </rPr>
      <t>)</t>
    </r>
    <r>
      <rPr>
        <rFont val="ＭＳ Ｐゴシック"/>
        <sz val="10.0"/>
      </rPr>
      <t>は同居を始めたばかりの透子</t>
    </r>
    <r>
      <rPr>
        <rFont val="Arial"/>
        <sz val="10.0"/>
      </rPr>
      <t>(</t>
    </r>
    <r>
      <rPr>
        <rFont val="ＭＳ Ｐゴシック"/>
        <sz val="10.0"/>
      </rPr>
      <t>桜井ユキ</t>
    </r>
    <r>
      <rPr>
        <rFont val="Arial"/>
        <sz val="10.0"/>
      </rPr>
      <t>)</t>
    </r>
    <r>
      <rPr>
        <rFont val="ＭＳ Ｐゴシック"/>
        <sz val="10.0"/>
      </rPr>
      <t>に出ていかれ、三好</t>
    </r>
    <r>
      <rPr>
        <rFont val="Arial"/>
        <sz val="10.0"/>
      </rPr>
      <t>(</t>
    </r>
    <r>
      <rPr>
        <rFont val="ＭＳ Ｐゴシック"/>
        <sz val="10.0"/>
      </rPr>
      <t>斎藤工</t>
    </r>
    <r>
      <rPr>
        <rFont val="Arial"/>
        <sz val="10.0"/>
      </rPr>
      <t>)</t>
    </r>
    <r>
      <rPr>
        <rFont val="ＭＳ Ｐゴシック"/>
        <sz val="10.0"/>
      </rPr>
      <t>はクリニックの経営を改善すべく太郎が暮らす部屋の売却を迫られてしまう。そんな中、太郎の母・寿美代</t>
    </r>
    <r>
      <rPr>
        <rFont val="Arial"/>
        <sz val="10.0"/>
      </rPr>
      <t>(</t>
    </r>
    <r>
      <rPr>
        <rFont val="ＭＳ Ｐゴシック"/>
        <sz val="10.0"/>
      </rPr>
      <t>萬田久子</t>
    </r>
    <r>
      <rPr>
        <rFont val="Arial"/>
        <sz val="10.0"/>
      </rPr>
      <t>)</t>
    </r>
    <r>
      <rPr>
        <rFont val="ＭＳ Ｐゴシック"/>
        <sz val="10.0"/>
      </rPr>
      <t>が上京するとの知らせが</t>
    </r>
    <r>
      <rPr>
        <rFont val="Arial"/>
        <sz val="10.0"/>
      </rPr>
      <t>…</t>
    </r>
    <r>
      <rPr>
        <rFont val="ＭＳ Ｐゴシック"/>
        <sz val="10.0"/>
      </rPr>
      <t>。それぞれの試練を前に、</t>
    </r>
    <r>
      <rPr>
        <rFont val="Arial"/>
        <sz val="10.0"/>
      </rPr>
      <t>AK</t>
    </r>
    <r>
      <rPr>
        <rFont val="ＭＳ Ｐゴシック"/>
        <sz val="10.0"/>
      </rPr>
      <t>男子</t>
    </r>
    <r>
      <rPr>
        <rFont val="Arial"/>
        <sz val="10.0"/>
      </rPr>
      <t>3</t>
    </r>
    <r>
      <rPr>
        <rFont val="ＭＳ Ｐゴシック"/>
        <sz val="10.0"/>
      </rPr>
      <t>人が下した人生の決断とは</t>
    </r>
    <r>
      <rPr>
        <rFont val="Arial"/>
        <sz val="10.0"/>
      </rPr>
      <t>…!?</t>
    </r>
  </si>
  <si>
    <t>太郎(高橋一生)はかずな(仲里依紗)に再び自分の想いを伝えるも「これ以上、振り回されたくない…」と去られてしまう。一方、岩倉(滝藤賢一)は同居を始めたばかりの透子(桜井ユキ)に出ていかれ、三好(斎藤工)はクリニックの経営を改善すべく太郎が暮らす部屋の売却を迫られてしまう。そんな中、太郎の母・寿美代(萬田久子)が上京するとの知らせが…。それぞれの試練を前に、AK男子3人が下した人生の決断とは…!?</t>
  </si>
  <si>
    <t>1901_EX_木21</t>
  </si>
  <si>
    <t>ハケン占い師アタル</t>
  </si>
  <si>
    <t>番組名ハケン占い師アタル　#1</t>
  </si>
  <si>
    <r>
      <rPr>
        <rFont val="ＭＳ Ｐゴシック"/>
        <sz val="10.0"/>
      </rPr>
      <t>イベント会社に派遣社員の的場中</t>
    </r>
    <r>
      <rPr>
        <rFont val="Arial"/>
        <sz val="10.0"/>
      </rPr>
      <t>=</t>
    </r>
    <r>
      <rPr>
        <rFont val="ＭＳ Ｐゴシック"/>
        <sz val="10.0"/>
      </rPr>
      <t>アタル</t>
    </r>
    <r>
      <rPr>
        <rFont val="Arial"/>
        <sz val="10.0"/>
      </rPr>
      <t>(</t>
    </r>
    <r>
      <rPr>
        <rFont val="ＭＳ Ｐゴシック"/>
        <sz val="10.0"/>
      </rPr>
      <t>杉咲花</t>
    </r>
    <r>
      <rPr>
        <rFont val="Arial"/>
        <sz val="10.0"/>
      </rPr>
      <t>)</t>
    </r>
    <r>
      <rPr>
        <rFont val="ＭＳ Ｐゴシック"/>
        <sz val="10.0"/>
      </rPr>
      <t>が入ってきた。社会人経験のないアタルは、神田</t>
    </r>
    <r>
      <rPr>
        <rFont val="Arial"/>
        <sz val="10.0"/>
      </rPr>
      <t>(</t>
    </r>
    <r>
      <rPr>
        <rFont val="ＭＳ Ｐゴシック"/>
        <sz val="10.0"/>
      </rPr>
      <t>志田未来</t>
    </r>
    <r>
      <rPr>
        <rFont val="Arial"/>
        <sz val="10.0"/>
      </rPr>
      <t>)</t>
    </r>
    <r>
      <rPr>
        <rFont val="ＭＳ Ｐゴシック"/>
        <sz val="10.0"/>
      </rPr>
      <t>の下で働き始めることに</t>
    </r>
    <r>
      <rPr>
        <rFont val="Arial"/>
        <sz val="10.0"/>
      </rPr>
      <t>…</t>
    </r>
    <r>
      <rPr>
        <rFont val="ＭＳ Ｐゴシック"/>
        <sz val="10.0"/>
      </rPr>
      <t>。その矢先、代々木部長</t>
    </r>
    <r>
      <rPr>
        <rFont val="Arial"/>
        <sz val="10.0"/>
      </rPr>
      <t>(</t>
    </r>
    <r>
      <rPr>
        <rFont val="ＭＳ Ｐゴシック"/>
        <sz val="10.0"/>
      </rPr>
      <t>及川光博</t>
    </r>
    <r>
      <rPr>
        <rFont val="Arial"/>
        <sz val="10.0"/>
      </rPr>
      <t>)</t>
    </r>
    <r>
      <rPr>
        <rFont val="ＭＳ Ｐゴシック"/>
        <sz val="10.0"/>
      </rPr>
      <t>から、あるイベントに</t>
    </r>
    <r>
      <rPr>
        <rFont val="Arial"/>
        <sz val="10.0"/>
      </rPr>
      <t>50</t>
    </r>
    <r>
      <rPr>
        <rFont val="ＭＳ Ｐゴシック"/>
        <sz val="10.0"/>
      </rPr>
      <t>人の赤ちゃんを招き、笑顔の集合写真を撮影するという無理難題を押し付けられる。わずか</t>
    </r>
    <r>
      <rPr>
        <rFont val="Arial"/>
        <sz val="10.0"/>
      </rPr>
      <t>1</t>
    </r>
    <r>
      <rPr>
        <rFont val="ＭＳ Ｐゴシック"/>
        <sz val="10.0"/>
      </rPr>
      <t>週間後に迫るイベントで、初めて運営を任された神田は戸惑うばかり</t>
    </r>
    <r>
      <rPr>
        <rFont val="Arial"/>
        <sz val="10.0"/>
      </rPr>
      <t>…</t>
    </r>
    <r>
      <rPr>
        <rFont val="ＭＳ Ｐゴシック"/>
        <sz val="10.0"/>
      </rPr>
      <t>。神田に対しアタルはたびたび不可思議な言動を</t>
    </r>
    <r>
      <rPr>
        <rFont val="Arial"/>
        <sz val="10.0"/>
      </rPr>
      <t>…!?</t>
    </r>
  </si>
  <si>
    <t>イベント会社に派遣社員の的場中=アタル(杉咲花)が入ってきた。社会人経験のないアタルは、神田(志田未来)の下で働き始めることに…。その矢先、代々木部長(及川光博)から、あるイベントに50人の赤ちゃんを招き、笑顔の集合写真を撮影するという無理難題を押し付けられる。わずか1週間後に迫るイベントで、初めて運営を任された神田は戸惑うばかり…。神田に対しアタルはたびたび不可思議な言動を…!?</t>
  </si>
  <si>
    <t>番組名ハケン占い師アタル　#2</t>
  </si>
  <si>
    <r>
      <rPr>
        <rFont val="ＭＳ Ｐゴシック"/>
        <sz val="10.0"/>
      </rPr>
      <t>父親のコネでイベント会社に入社して</t>
    </r>
    <r>
      <rPr>
        <rFont val="Arial"/>
        <sz val="10.0"/>
      </rPr>
      <t>3</t>
    </r>
    <r>
      <rPr>
        <rFont val="ＭＳ Ｐゴシック"/>
        <sz val="10.0"/>
      </rPr>
      <t>年ー。目黒円</t>
    </r>
    <r>
      <rPr>
        <rFont val="Arial"/>
        <sz val="10.0"/>
      </rPr>
      <t>(</t>
    </r>
    <r>
      <rPr>
        <rFont val="ＭＳ Ｐゴシック"/>
        <sz val="10.0"/>
      </rPr>
      <t>間宮祥太朗</t>
    </r>
    <r>
      <rPr>
        <rFont val="Arial"/>
        <sz val="10.0"/>
      </rPr>
      <t>)</t>
    </r>
    <r>
      <rPr>
        <rFont val="ＭＳ Ｐゴシック"/>
        <sz val="10.0"/>
      </rPr>
      <t>は失敗続き</t>
    </r>
    <r>
      <rPr>
        <rFont val="Arial"/>
        <sz val="10.0"/>
      </rPr>
      <t>…</t>
    </r>
    <r>
      <rPr>
        <rFont val="ＭＳ Ｐゴシック"/>
        <sz val="10.0"/>
      </rPr>
      <t>。部長の代々木</t>
    </r>
    <r>
      <rPr>
        <rFont val="Arial"/>
        <sz val="10.0"/>
      </rPr>
      <t>(</t>
    </r>
    <r>
      <rPr>
        <rFont val="ＭＳ Ｐゴシック"/>
        <sz val="10.0"/>
      </rPr>
      <t>及川光博</t>
    </r>
    <r>
      <rPr>
        <rFont val="Arial"/>
        <sz val="10.0"/>
      </rPr>
      <t>)</t>
    </r>
    <r>
      <rPr>
        <rFont val="ＭＳ Ｐゴシック"/>
        <sz val="10.0"/>
      </rPr>
      <t>があるイベントのコンペの話を持ちかける。目黒は、ここぞとばかりに立候補。周囲に不安視されても意に介さず、企画書も一人で作ると言って張り切りだす。派遣社員の的場中</t>
    </r>
    <r>
      <rPr>
        <rFont val="Arial"/>
        <sz val="10.0"/>
      </rPr>
      <t>=</t>
    </r>
    <r>
      <rPr>
        <rFont val="ＭＳ Ｐゴシック"/>
        <sz val="10.0"/>
      </rPr>
      <t>アタル</t>
    </r>
    <r>
      <rPr>
        <rFont val="Arial"/>
        <sz val="10.0"/>
      </rPr>
      <t>(</t>
    </r>
    <r>
      <rPr>
        <rFont val="ＭＳ Ｐゴシック"/>
        <sz val="10.0"/>
      </rPr>
      <t>杉咲花</t>
    </r>
    <r>
      <rPr>
        <rFont val="Arial"/>
        <sz val="10.0"/>
      </rPr>
      <t>)</t>
    </r>
    <r>
      <rPr>
        <rFont val="ＭＳ Ｐゴシック"/>
        <sz val="10.0"/>
      </rPr>
      <t>は、目黒を手伝うことになるが</t>
    </r>
    <r>
      <rPr>
        <rFont val="Arial"/>
        <sz val="10.0"/>
      </rPr>
      <t>…</t>
    </r>
    <r>
      <rPr>
        <rFont val="ＭＳ Ｐゴシック"/>
        <sz val="10.0"/>
      </rPr>
      <t>。奇跡を起こせると信じ勢いづく目黒だったが、どん底に突き落とされるような出来事が起き</t>
    </r>
    <r>
      <rPr>
        <rFont val="Arial"/>
        <sz val="10.0"/>
      </rPr>
      <t>…!</t>
    </r>
  </si>
  <si>
    <t>父親のコネでイベント会社に入社して3年ー。目黒円(間宮祥太朗)は失敗続き…。部長の代々木(及川光博)があるイベントのコンペの話を持ちかける。目黒は、ここぞとばかりに立候補。周囲に不安視されても意に介さず、企画書も一人で作ると言って張り切りだす。派遣社員の的場中=アタル(杉咲花)は、目黒を手伝うことになるが…。奇跡を起こせると信じ勢いづく目黒だったが、どん底に突き落とされるような出来事が起き…!</t>
  </si>
  <si>
    <t>番組名ハケン占い師アタル　#3</t>
  </si>
  <si>
    <r>
      <rPr>
        <rFont val="ＭＳ Ｐゴシック"/>
        <sz val="10.0"/>
      </rPr>
      <t>入社</t>
    </r>
    <r>
      <rPr>
        <rFont val="Arial"/>
        <sz val="10.0"/>
      </rPr>
      <t>1</t>
    </r>
    <r>
      <rPr>
        <rFont val="ＭＳ Ｐゴシック"/>
        <sz val="10.0"/>
      </rPr>
      <t>年目の品川一真</t>
    </r>
    <r>
      <rPr>
        <rFont val="Arial"/>
        <sz val="10.0"/>
      </rPr>
      <t>(</t>
    </r>
    <r>
      <rPr>
        <rFont val="ＭＳ Ｐゴシック"/>
        <sz val="10.0"/>
      </rPr>
      <t>志尊淳</t>
    </r>
    <r>
      <rPr>
        <rFont val="Arial"/>
        <sz val="10.0"/>
      </rPr>
      <t>)</t>
    </r>
    <r>
      <rPr>
        <rFont val="ＭＳ Ｐゴシック"/>
        <sz val="10.0"/>
      </rPr>
      <t>は、学生時代の友人たちのリア充ぶりにため息をつく毎日。勤務先でも連日、直属の上司・上野誠治</t>
    </r>
    <r>
      <rPr>
        <rFont val="Arial"/>
        <sz val="10.0"/>
      </rPr>
      <t>(</t>
    </r>
    <r>
      <rPr>
        <rFont val="ＭＳ Ｐゴシック"/>
        <sz val="10.0"/>
      </rPr>
      <t>小澤征悦</t>
    </r>
    <r>
      <rPr>
        <rFont val="Arial"/>
        <sz val="10.0"/>
      </rPr>
      <t>)</t>
    </r>
    <r>
      <rPr>
        <rFont val="ＭＳ Ｐゴシック"/>
        <sz val="10.0"/>
      </rPr>
      <t>から不当なパワハラを受け、我慢も限界に近づいていた。そんな品川は、イベントの実施提案書の作成を押し付けられ、派遣社員の的場中</t>
    </r>
    <r>
      <rPr>
        <rFont val="Arial"/>
        <sz val="10.0"/>
      </rPr>
      <t>=</t>
    </r>
    <r>
      <rPr>
        <rFont val="ＭＳ Ｐゴシック"/>
        <sz val="10.0"/>
      </rPr>
      <t>アタル</t>
    </r>
    <r>
      <rPr>
        <rFont val="Arial"/>
        <sz val="10.0"/>
      </rPr>
      <t>(</t>
    </r>
    <r>
      <rPr>
        <rFont val="ＭＳ Ｐゴシック"/>
        <sz val="10.0"/>
      </rPr>
      <t>杉咲花</t>
    </r>
    <r>
      <rPr>
        <rFont val="Arial"/>
        <sz val="10.0"/>
      </rPr>
      <t>)</t>
    </r>
    <r>
      <rPr>
        <rFont val="ＭＳ Ｐゴシック"/>
        <sz val="10.0"/>
      </rPr>
      <t>は手を貸そうとするのだが</t>
    </r>
    <r>
      <rPr>
        <rFont val="Arial"/>
        <sz val="10.0"/>
      </rPr>
      <t>…!?</t>
    </r>
    <r>
      <rPr>
        <rFont val="ＭＳ Ｐゴシック"/>
        <sz val="10.0"/>
      </rPr>
      <t>上野から猛烈なダメ出しを食らった品川は、会社を辞めると宣言し</t>
    </r>
    <r>
      <rPr>
        <rFont val="Arial"/>
        <sz val="10.0"/>
      </rPr>
      <t>…!?</t>
    </r>
  </si>
  <si>
    <t>入社1年目の品川一真(志尊淳)は、学生時代の友人たちのリア充ぶりにため息をつく毎日。勤務先でも連日、直属の上司・上野誠治(小澤征悦)から不当なパワハラを受け、我慢も限界に近づいていた。そんな品川は、イベントの実施提案書の作成を押し付けられ、派遣社員の的場中=アタル(杉咲花)は手を貸そうとするのだが…!?上野から猛烈なダメ出しを食らった品川は、会社を辞めると宣言し…!?</t>
  </si>
  <si>
    <t>番組名ハケン占い師アタル　#4</t>
  </si>
  <si>
    <r>
      <t>10</t>
    </r>
    <r>
      <rPr>
        <rFont val="ＭＳ Ｐゴシック"/>
        <sz val="10.0"/>
      </rPr>
      <t>年前に</t>
    </r>
    <r>
      <rPr>
        <rFont val="Arial"/>
        <sz val="10.0"/>
      </rPr>
      <t>“</t>
    </r>
    <r>
      <rPr>
        <rFont val="ＭＳ Ｐゴシック"/>
        <sz val="10.0"/>
      </rPr>
      <t>伝説のイベント</t>
    </r>
    <r>
      <rPr>
        <rFont val="Arial"/>
        <sz val="10.0"/>
      </rPr>
      <t>"</t>
    </r>
    <r>
      <rPr>
        <rFont val="ＭＳ Ｐゴシック"/>
        <sz val="10.0"/>
      </rPr>
      <t>を手がけた上野誠治</t>
    </r>
    <r>
      <rPr>
        <rFont val="Arial"/>
        <sz val="10.0"/>
      </rPr>
      <t>(</t>
    </r>
    <r>
      <rPr>
        <rFont val="ＭＳ Ｐゴシック"/>
        <sz val="10.0"/>
      </rPr>
      <t>小澤征悦</t>
    </r>
    <r>
      <rPr>
        <rFont val="Arial"/>
        <sz val="10.0"/>
      </rPr>
      <t>)</t>
    </r>
    <r>
      <rPr>
        <rFont val="ＭＳ Ｐゴシック"/>
        <sz val="10.0"/>
      </rPr>
      <t>は、俺様的性格のせいで降格され出世の道は途絶えた。そんなとき、新たなイベントで上野を指名した仕事が舞い込む。気合が入った上野は奮起するも周りが見えなくなり、派遣社員のアタル</t>
    </r>
    <r>
      <rPr>
        <rFont val="Arial"/>
        <sz val="10.0"/>
      </rPr>
      <t>(</t>
    </r>
    <r>
      <rPr>
        <rFont val="ＭＳ Ｐゴシック"/>
        <sz val="10.0"/>
      </rPr>
      <t>杉咲花</t>
    </r>
    <r>
      <rPr>
        <rFont val="Arial"/>
        <sz val="10.0"/>
      </rPr>
      <t>)</t>
    </r>
    <r>
      <rPr>
        <rFont val="ＭＳ Ｐゴシック"/>
        <sz val="10.0"/>
      </rPr>
      <t>らをこき使ったり悪態をついたり</t>
    </r>
    <r>
      <rPr>
        <rFont val="Arial"/>
        <sz val="10.0"/>
      </rPr>
      <t>…</t>
    </r>
    <r>
      <rPr>
        <rFont val="ＭＳ Ｐゴシック"/>
        <sz val="10.0"/>
      </rPr>
      <t>と、傍若無人ぶりを加速させる。自らの鼻をへし折られるような事態に直面した上野は、絶対に言ってはいけないことを口にしてしまい</t>
    </r>
    <r>
      <rPr>
        <rFont val="Arial"/>
        <sz val="10.0"/>
      </rPr>
      <t>…!?</t>
    </r>
  </si>
  <si>
    <t>10年前に“伝説のイベント"を手がけた上野誠治(小澤征悦)は、俺様的性格のせいで降格され出世の道は途絶えた。そんなとき、新たなイベントで上野を指名した仕事が舞い込む。気合が入った上野は奮起するも周りが見えなくなり、派遣社員のアタル(杉咲花)らをこき使ったり悪態をついたり…と、傍若無人ぶりを加速させる。自らの鼻をへし折られるような事態に直面した上野は、絶対に言ってはいけないことを口にしてしまい…!?</t>
  </si>
  <si>
    <t>番組名ハケン占い師アタル　#5</t>
  </si>
  <si>
    <r>
      <rPr>
        <rFont val="ＭＳ Ｐゴシック"/>
        <sz val="10.0"/>
      </rPr>
      <t>いつもピリピリムードの田端友代</t>
    </r>
    <r>
      <rPr>
        <rFont val="Arial"/>
        <sz val="10.0"/>
      </rPr>
      <t>(</t>
    </r>
    <r>
      <rPr>
        <rFont val="ＭＳ Ｐゴシック"/>
        <sz val="10.0"/>
      </rPr>
      <t>野波麻帆</t>
    </r>
    <r>
      <rPr>
        <rFont val="Arial"/>
        <sz val="10.0"/>
      </rPr>
      <t>)</t>
    </r>
    <r>
      <rPr>
        <rFont val="ＭＳ Ｐゴシック"/>
        <sz val="10.0"/>
      </rPr>
      <t>は淡々と的確な仕事をする一方、家庭の事情から残業や余計な仕事は徹底して断る主義を貫いている。その田端が社長の肝いりである</t>
    </r>
    <r>
      <rPr>
        <rFont val="Arial"/>
        <sz val="10.0"/>
      </rPr>
      <t>“</t>
    </r>
    <r>
      <rPr>
        <rFont val="ＭＳ Ｐゴシック"/>
        <sz val="10.0"/>
      </rPr>
      <t>女性躍進プロジェクト</t>
    </r>
    <r>
      <rPr>
        <rFont val="Arial"/>
        <sz val="10.0"/>
      </rPr>
      <t>"</t>
    </r>
    <r>
      <rPr>
        <rFont val="ＭＳ Ｐゴシック"/>
        <sz val="10.0"/>
      </rPr>
      <t>のモデルケースとし、社内報の密着取材を受けるハメに。しかし、部長の代々木匠</t>
    </r>
    <r>
      <rPr>
        <rFont val="Arial"/>
        <sz val="10.0"/>
      </rPr>
      <t>(</t>
    </r>
    <r>
      <rPr>
        <rFont val="ＭＳ Ｐゴシック"/>
        <sz val="10.0"/>
      </rPr>
      <t>及川光博</t>
    </r>
    <r>
      <rPr>
        <rFont val="Arial"/>
        <sz val="10.0"/>
      </rPr>
      <t>)</t>
    </r>
    <r>
      <rPr>
        <rFont val="ＭＳ Ｐゴシック"/>
        <sz val="10.0"/>
      </rPr>
      <t>のセクハラ発言が導火線となって、田端は煮え立った感情を抑えられなくなり、派遣社員・アタル</t>
    </r>
    <r>
      <rPr>
        <rFont val="Arial"/>
        <sz val="10.0"/>
      </rPr>
      <t>(</t>
    </r>
    <r>
      <rPr>
        <rFont val="ＭＳ Ｐゴシック"/>
        <sz val="10.0"/>
      </rPr>
      <t>杉咲花</t>
    </r>
    <r>
      <rPr>
        <rFont val="Arial"/>
        <sz val="10.0"/>
      </rPr>
      <t>)</t>
    </r>
    <r>
      <rPr>
        <rFont val="ＭＳ Ｐゴシック"/>
        <sz val="10.0"/>
      </rPr>
      <t>の前で怒りを爆発させてしまう</t>
    </r>
    <r>
      <rPr>
        <rFont val="Arial"/>
        <sz val="10.0"/>
      </rPr>
      <t>…</t>
    </r>
  </si>
  <si>
    <t>いつもピリピリムードの田端友代(野波麻帆)は淡々と的確な仕事をする一方、家庭の事情から残業や余計な仕事は徹底して断る主義を貫いている。その田端が社長の肝いりである“女性躍進プロジェクト"のモデルケースとし、社内報の密着取材を受けるハメに。しかし、部長の代々木匠(及川光博)のセクハラ発言が導火線となって、田端は煮え立った感情を抑えられなくなり、派遣社員・アタル(杉咲花)の前で怒りを爆発させてしまう…</t>
  </si>
  <si>
    <t>番組名ハケン占い師アタル　#6</t>
  </si>
  <si>
    <r>
      <rPr>
        <rFont val="ＭＳ Ｐゴシック"/>
        <sz val="10.0"/>
      </rPr>
      <t>大崎</t>
    </r>
    <r>
      <rPr>
        <rFont val="Arial"/>
        <sz val="10.0"/>
      </rPr>
      <t>(</t>
    </r>
    <r>
      <rPr>
        <rFont val="ＭＳ Ｐゴシック"/>
        <sz val="10.0"/>
      </rPr>
      <t>板谷由夏</t>
    </r>
    <r>
      <rPr>
        <rFont val="Arial"/>
        <sz val="10.0"/>
      </rPr>
      <t>)</t>
    </r>
    <r>
      <rPr>
        <rFont val="ＭＳ Ｐゴシック"/>
        <sz val="10.0"/>
      </rPr>
      <t>はいつものように中学生の息子から無視され、夫にもろくに話を聞いてもらえない、ため息混じりの朝を迎えていた。そんな大崎に、部長の代々木</t>
    </r>
    <r>
      <rPr>
        <rFont val="Arial"/>
        <sz val="10.0"/>
      </rPr>
      <t>(</t>
    </r>
    <r>
      <rPr>
        <rFont val="ＭＳ Ｐゴシック"/>
        <sz val="10.0"/>
      </rPr>
      <t>及川光博</t>
    </r>
    <r>
      <rPr>
        <rFont val="Arial"/>
        <sz val="10.0"/>
      </rPr>
      <t>)</t>
    </r>
    <r>
      <rPr>
        <rFont val="ＭＳ Ｐゴシック"/>
        <sz val="10.0"/>
      </rPr>
      <t>からリストラ候補者を</t>
    </r>
    <r>
      <rPr>
        <rFont val="Arial"/>
        <sz val="10.0"/>
      </rPr>
      <t>1</t>
    </r>
    <r>
      <rPr>
        <rFont val="ＭＳ Ｐゴシック"/>
        <sz val="10.0"/>
      </rPr>
      <t>人選べという指令が</t>
    </r>
    <r>
      <rPr>
        <rFont val="Arial"/>
        <sz val="10.0"/>
      </rPr>
      <t>…</t>
    </r>
    <r>
      <rPr>
        <rFont val="ＭＳ Ｐゴシック"/>
        <sz val="10.0"/>
      </rPr>
      <t>。彼女は実情を伏せたまま、部下たちと個別面談を始めるが、図らずもリストラの話を耳にした部下たちが、大崎に詰め寄る</t>
    </r>
    <r>
      <rPr>
        <rFont val="Arial"/>
        <sz val="10.0"/>
      </rPr>
      <t>!</t>
    </r>
    <r>
      <rPr>
        <rFont val="ＭＳ Ｐゴシック"/>
        <sz val="10.0"/>
      </rPr>
      <t>この一件は巡り巡って、アタル</t>
    </r>
    <r>
      <rPr>
        <rFont val="Arial"/>
        <sz val="10.0"/>
      </rPr>
      <t>(</t>
    </r>
    <r>
      <rPr>
        <rFont val="ＭＳ Ｐゴシック"/>
        <sz val="10.0"/>
      </rPr>
      <t>杉咲花</t>
    </r>
    <r>
      <rPr>
        <rFont val="Arial"/>
        <sz val="10.0"/>
      </rPr>
      <t>)</t>
    </r>
    <r>
      <rPr>
        <rFont val="ＭＳ Ｐゴシック"/>
        <sz val="10.0"/>
      </rPr>
      <t>の心にも不穏な影を落とす事態を招いてしまい</t>
    </r>
    <r>
      <rPr>
        <rFont val="Arial"/>
        <sz val="10.0"/>
      </rPr>
      <t>…!?</t>
    </r>
  </si>
  <si>
    <t>大崎(板谷由夏)はいつものように中学生の息子から無視され、夫にもろくに話を聞いてもらえない、ため息混じりの朝を迎えていた。そんな大崎に、部長の代々木(及川光博)からリストラ候補者を1人選べという指令が…。彼女は実情を伏せたまま、部下たちと個別面談を始めるが、図らずもリストラの話を耳にした部下たちが、大崎に詰め寄る!この一件は巡り巡って、アタル(杉咲花)の心にも不穏な影を落とす事態を招いてしまい…!?</t>
  </si>
  <si>
    <t>番組名ハケン占い師アタル　#7</t>
  </si>
  <si>
    <r>
      <rPr>
        <rFont val="ＭＳ Ｐゴシック"/>
        <sz val="10.0"/>
      </rPr>
      <t>華々しい出世を夢見る部長・代々木匠</t>
    </r>
    <r>
      <rPr>
        <rFont val="Arial"/>
        <sz val="10.0"/>
      </rPr>
      <t>(</t>
    </r>
    <r>
      <rPr>
        <rFont val="ＭＳ Ｐゴシック"/>
        <sz val="10.0"/>
      </rPr>
      <t>及川光博</t>
    </r>
    <r>
      <rPr>
        <rFont val="Arial"/>
        <sz val="10.0"/>
      </rPr>
      <t>)</t>
    </r>
    <r>
      <rPr>
        <rFont val="ＭＳ Ｐゴシック"/>
        <sz val="10.0"/>
      </rPr>
      <t>は、企みを阻止された</t>
    </r>
    <r>
      <rPr>
        <rFont val="Arial"/>
        <sz val="10.0"/>
      </rPr>
      <t>D</t>
    </r>
    <r>
      <rPr>
        <rFont val="ＭＳ Ｐゴシック"/>
        <sz val="10.0"/>
      </rPr>
      <t>チームを逆恨みし、過去最大の難題を押し付ける。その難題とは</t>
    </r>
    <r>
      <rPr>
        <rFont val="Arial"/>
        <sz val="10.0"/>
      </rPr>
      <t>…</t>
    </r>
    <r>
      <rPr>
        <rFont val="ＭＳ Ｐゴシック"/>
        <sz val="10.0"/>
      </rPr>
      <t>人気ピアニスト・タカオのコンサート。気難しいタカオが、急にコンサートの開催自体を拒否し始めたというのだ</t>
    </r>
    <r>
      <rPr>
        <rFont val="Arial"/>
        <sz val="10.0"/>
      </rPr>
      <t>!</t>
    </r>
    <r>
      <rPr>
        <rFont val="ＭＳ Ｐゴシック"/>
        <sz val="10.0"/>
      </rPr>
      <t>そんな中、代々木が親会社へ戻る道が突如絶たれ、</t>
    </r>
    <r>
      <rPr>
        <rFont val="Arial"/>
        <sz val="10.0"/>
      </rPr>
      <t>D</t>
    </r>
    <r>
      <rPr>
        <rFont val="ＭＳ Ｐゴシック"/>
        <sz val="10.0"/>
      </rPr>
      <t>チームの専任部長に任命されてしまう。さらに、アタル</t>
    </r>
    <r>
      <rPr>
        <rFont val="Arial"/>
        <sz val="10.0"/>
      </rPr>
      <t>(</t>
    </r>
    <r>
      <rPr>
        <rFont val="ＭＳ Ｐゴシック"/>
        <sz val="10.0"/>
      </rPr>
      <t>杉咲花</t>
    </r>
    <r>
      <rPr>
        <rFont val="Arial"/>
        <sz val="10.0"/>
      </rPr>
      <t>)</t>
    </r>
    <r>
      <rPr>
        <rFont val="ＭＳ Ｐゴシック"/>
        <sz val="10.0"/>
      </rPr>
      <t>の母・キズナ</t>
    </r>
    <r>
      <rPr>
        <rFont val="Arial"/>
        <sz val="10.0"/>
      </rPr>
      <t>(</t>
    </r>
    <r>
      <rPr>
        <rFont val="ＭＳ Ｐゴシック"/>
        <sz val="10.0"/>
      </rPr>
      <t>若村麻由美</t>
    </r>
    <r>
      <rPr>
        <rFont val="Arial"/>
        <sz val="10.0"/>
      </rPr>
      <t>)</t>
    </r>
    <r>
      <rPr>
        <rFont val="ＭＳ Ｐゴシック"/>
        <sz val="10.0"/>
      </rPr>
      <t>が会社を訪れ</t>
    </r>
    <r>
      <rPr>
        <rFont val="Arial"/>
        <sz val="10.0"/>
      </rPr>
      <t>…!?</t>
    </r>
  </si>
  <si>
    <t>華々しい出世を夢見る部長・代々木匠(及川光博)は、企みを阻止されたDチームを逆恨みし、過去最大の難題を押し付ける。その難題とは…人気ピアニスト・タカオのコンサート。気難しいタカオが、急にコンサートの開催自体を拒否し始めたというのだ!そんな中、代々木が親会社へ戻る道が突如絶たれ、Dチームの専任部長に任命されてしまう。さらに、アタル(杉咲花)の母・キズナ(若村麻由美)が会社を訪れ…!?</t>
  </si>
  <si>
    <t>番組名ハケン占い師アタル　#8</t>
  </si>
  <si>
    <r>
      <rPr>
        <rFont val="ＭＳ Ｐゴシック"/>
        <sz val="10.0"/>
      </rPr>
      <t>占い師・キズナ</t>
    </r>
    <r>
      <rPr>
        <rFont val="Arial"/>
        <sz val="10.0"/>
      </rPr>
      <t>(</t>
    </r>
    <r>
      <rPr>
        <rFont val="ＭＳ Ｐゴシック"/>
        <sz val="10.0"/>
      </rPr>
      <t>若村麻由美</t>
    </r>
    <r>
      <rPr>
        <rFont val="Arial"/>
        <sz val="10.0"/>
      </rPr>
      <t>)</t>
    </r>
    <r>
      <rPr>
        <rFont val="ＭＳ Ｐゴシック"/>
        <sz val="10.0"/>
      </rPr>
      <t>は、自分のもとから突然逃げ出した娘・的場中</t>
    </r>
    <r>
      <rPr>
        <rFont val="Arial"/>
        <sz val="10.0"/>
      </rPr>
      <t>=</t>
    </r>
    <r>
      <rPr>
        <rFont val="ＭＳ Ｐゴシック"/>
        <sz val="10.0"/>
      </rPr>
      <t>アタル</t>
    </r>
    <r>
      <rPr>
        <rFont val="Arial"/>
        <sz val="10.0"/>
      </rPr>
      <t>(</t>
    </r>
    <r>
      <rPr>
        <rFont val="ＭＳ Ｐゴシック"/>
        <sz val="10.0"/>
      </rPr>
      <t>杉咲花</t>
    </r>
    <r>
      <rPr>
        <rFont val="Arial"/>
        <sz val="10.0"/>
      </rPr>
      <t>)</t>
    </r>
    <r>
      <rPr>
        <rFont val="ＭＳ Ｐゴシック"/>
        <sz val="10.0"/>
      </rPr>
      <t>を連れ戻そうとするが、アタルは頑として拒否し、「占い以外にも、この会社でアタシにしかできないことがあると証明する」と宣言</t>
    </r>
    <r>
      <rPr>
        <rFont val="Arial"/>
        <sz val="10.0"/>
      </rPr>
      <t>!</t>
    </r>
    <r>
      <rPr>
        <rFont val="ＭＳ Ｐゴシック"/>
        <sz val="10.0"/>
      </rPr>
      <t>生まれて初めて</t>
    </r>
    <r>
      <rPr>
        <rFont val="Arial"/>
        <sz val="10.0"/>
      </rPr>
      <t>“</t>
    </r>
    <r>
      <rPr>
        <rFont val="ＭＳ Ｐゴシック"/>
        <sz val="10.0"/>
      </rPr>
      <t>仕事の壁</t>
    </r>
    <r>
      <rPr>
        <rFont val="Arial"/>
        <sz val="10.0"/>
      </rPr>
      <t>"</t>
    </r>
    <r>
      <rPr>
        <rFont val="ＭＳ Ｐゴシック"/>
        <sz val="10.0"/>
      </rPr>
      <t>にぶつかり、悩み苦しむアタル。そんなアタルを突如、</t>
    </r>
    <r>
      <rPr>
        <rFont val="Arial"/>
        <sz val="10.0"/>
      </rPr>
      <t>D</t>
    </r>
    <r>
      <rPr>
        <rFont val="ＭＳ Ｐゴシック"/>
        <sz val="10.0"/>
      </rPr>
      <t>チームの面々が占うと言い出し</t>
    </r>
    <r>
      <rPr>
        <rFont val="Arial"/>
        <sz val="10.0"/>
      </rPr>
      <t>…!?</t>
    </r>
    <r>
      <rPr>
        <rFont val="ＭＳ Ｐゴシック"/>
        <sz val="10.0"/>
      </rPr>
      <t>そして、ある結論にたどり着いたアタルは、キズナと対峙することを決意する。</t>
    </r>
  </si>
  <si>
    <t>占い師・キズナ(若村麻由美)は、自分のもとから突然逃げ出した娘・的場中=アタル(杉咲花)を連れ戻そうとするが、アタルは頑として拒否し、「占い以外にも、この会社でアタシにしかできないことがあると証明する」と宣言!生まれて初めて“仕事の壁"にぶつかり、悩み苦しむアタル。そんなアタルを突如、Dチームの面々が占うと言い出し…!?そして、ある結論にたどり着いたアタルは、キズナと対峙することを決意する。</t>
  </si>
  <si>
    <t>番組名ハケン占い師アタル　#9</t>
  </si>
  <si>
    <r>
      <rPr>
        <rFont val="ＭＳ Ｐゴシック"/>
        <sz val="10.0"/>
      </rPr>
      <t>占いはやめて、イベント会社「シンシアイベンツ」制作</t>
    </r>
    <r>
      <rPr>
        <rFont val="Arial"/>
        <sz val="10.0"/>
      </rPr>
      <t>D</t>
    </r>
    <r>
      <rPr>
        <rFont val="ＭＳ Ｐゴシック"/>
        <sz val="10.0"/>
      </rPr>
      <t>チームで働き続けることを決意した的場中</t>
    </r>
    <r>
      <rPr>
        <rFont val="Arial"/>
        <sz val="10.0"/>
      </rPr>
      <t>=</t>
    </r>
    <r>
      <rPr>
        <rFont val="ＭＳ Ｐゴシック"/>
        <sz val="10.0"/>
      </rPr>
      <t>アタル</t>
    </r>
    <r>
      <rPr>
        <rFont val="Arial"/>
        <sz val="10.0"/>
      </rPr>
      <t>(</t>
    </r>
    <r>
      <rPr>
        <rFont val="ＭＳ Ｐゴシック"/>
        <sz val="10.0"/>
      </rPr>
      <t>杉咲花</t>
    </r>
    <r>
      <rPr>
        <rFont val="Arial"/>
        <sz val="10.0"/>
      </rPr>
      <t>)</t>
    </r>
    <r>
      <rPr>
        <rFont val="ＭＳ Ｐゴシック"/>
        <sz val="10.0"/>
      </rPr>
      <t>が、過労で倒れてしまう。占いをすると、相手の不安や苦しみを共有してしまうらしい</t>
    </r>
    <r>
      <rPr>
        <rFont val="Arial"/>
        <sz val="10.0"/>
      </rPr>
      <t>…</t>
    </r>
    <r>
      <rPr>
        <rFont val="ＭＳ Ｐゴシック"/>
        <sz val="10.0"/>
      </rPr>
      <t>。</t>
    </r>
    <r>
      <rPr>
        <rFont val="Arial"/>
        <sz val="10.0"/>
      </rPr>
      <t>D</t>
    </r>
    <r>
      <rPr>
        <rFont val="ＭＳ Ｐゴシック"/>
        <sz val="10.0"/>
      </rPr>
      <t>チームの面々はアタルを心配し、チーム内の占い禁止令を掲げることに。そんな中、アタル発案のイベントが開催される。様々なトラブルが起きる中、アタルの心にも制御不能の大きなうねりが生まれ始め</t>
    </r>
    <r>
      <rPr>
        <rFont val="Arial"/>
        <sz val="10.0"/>
      </rPr>
      <t>…</t>
    </r>
  </si>
  <si>
    <t>占いはやめて、イベント会社「シンシアイベンツ」制作Dチームで働き続けることを決意した的場中=アタル(杉咲花)が、過労で倒れてしまう。占いをすると、相手の不安や苦しみを共有してしまうらしい…。Dチームの面々はアタルを心配し、チーム内の占い禁止令を掲げることに。そんな中、アタル発案のイベントが開催される。様々なトラブルが起きる中、アタルの心にも制御不能の大きなうねりが生まれ始め…</t>
  </si>
  <si>
    <t>1901_EX_金23</t>
  </si>
  <si>
    <t>私のおじさん</t>
  </si>
  <si>
    <t>番組名私のおじさん　#1/会社でガマンやめちゃえば…?毒舌妖精おじさん現る!</t>
  </si>
  <si>
    <t>恋に破れ、働き口も無くし、崖っぷちのひかり(岡田結実)が就職したのは、超過酷ロケで有名なバラエティ番組のAD。無理難題を押し付けられ「もう辞めてやる!」とトイレに駆け込むと、突如“妖精"を名乗るおじさん(遠藤憲一)が現れ…?ひかりにしか見えないおじさんは会社でも家でも四六時中つきまとい、言いたいことも言えないひかりに代わり忖度0で毒を吐きまくり…?我慢ばかりの全ての日本人に送る痛快社会派コメディ!岡田結実、城田優、小手伸也、戸塚純貴・田辺誠一・青木さやか、遠藤憲一岸本鮎佳竹園元aiko『愛した日』(ポニーキャニオン)【ゼネラルプロデューサー】三輪祐見子(テレビ朝日)  【プロデューサー】貴島彩理(テレビ朝日)、本郷達也(MMJ)、布施等(MMJ)☆番組HP  　https://www.tv-asahi.co.jp/wataoji/  ☆Twitter  　https://twitter.com/tvasahioji  ☆Instagram  　https://www.instagram.com/wataoji_friday/</t>
  </si>
  <si>
    <t>恋に破れ、働き口も無くし、崖っぷちのひかり(岡田結実)が就職したのは、超過酷ロケで有名なバラエティ番組のAD。無理難題を押し付けられ「もう辞めてやる!」とトイレに駆け込むと、突如“妖精"を名乗るおじさん(遠藤憲一)が現れ…?ひかりにしか見えないおじさんは会社でも家でも四六時中つきまとい、言いたいことも言えないひかりに代わり忖度0で毒を吐きまくり…?我慢ばかりの全ての日本人に送る痛快社会派コメディ!岡田結実、城田優、小手伸也、戸塚純貴・田辺誠一・青木さやか、遠藤憲一岸本鮎佳竹園元aiko『愛した日』(ポニーキャニオン)</t>
  </si>
  <si>
    <t>番組名私のおじさん　#2/お局マジうざい!絶望のパンスト相撲対決…!?</t>
  </si>
  <si>
    <r>
      <rPr>
        <rFont val="ＭＳ Ｐゴシック"/>
        <sz val="10.0"/>
      </rPr>
      <t>言いたいことも言えないポンコツ</t>
    </r>
    <r>
      <rPr>
        <rFont val="Arial"/>
        <sz val="10.0"/>
      </rPr>
      <t>AD</t>
    </r>
    <r>
      <rPr>
        <rFont val="ＭＳ Ｐゴシック"/>
        <sz val="10.0"/>
      </rPr>
      <t>・ひかり</t>
    </r>
    <r>
      <rPr>
        <rFont val="Arial"/>
        <sz val="10.0"/>
      </rPr>
      <t>(</t>
    </r>
    <r>
      <rPr>
        <rFont val="ＭＳ Ｐゴシック"/>
        <sz val="10.0"/>
      </rPr>
      <t>岡田結実</t>
    </r>
    <r>
      <rPr>
        <rFont val="Arial"/>
        <sz val="10.0"/>
      </rPr>
      <t>)</t>
    </r>
    <r>
      <rPr>
        <rFont val="ＭＳ Ｐゴシック"/>
        <sz val="10.0"/>
      </rPr>
      <t>の前に、ある日</t>
    </r>
    <r>
      <rPr>
        <rFont val="Arial"/>
        <sz val="10.0"/>
      </rPr>
      <t>“</t>
    </r>
    <r>
      <rPr>
        <rFont val="ＭＳ Ｐゴシック"/>
        <sz val="10.0"/>
      </rPr>
      <t>毒舌妖精おじさん</t>
    </r>
    <r>
      <rPr>
        <rFont val="Arial"/>
        <sz val="10.0"/>
      </rPr>
      <t>"(</t>
    </r>
    <r>
      <rPr>
        <rFont val="ＭＳ Ｐゴシック"/>
        <sz val="10.0"/>
      </rPr>
      <t>遠藤憲一</t>
    </r>
    <r>
      <rPr>
        <rFont val="Arial"/>
        <sz val="10.0"/>
      </rPr>
      <t>)</t>
    </r>
    <r>
      <rPr>
        <rFont val="ＭＳ Ｐゴシック"/>
        <sz val="10.0"/>
      </rPr>
      <t>が現れた</t>
    </r>
    <r>
      <rPr>
        <rFont val="Arial"/>
        <sz val="10.0"/>
      </rPr>
      <t>…!?</t>
    </r>
    <r>
      <rPr>
        <rFont val="ＭＳ Ｐゴシック"/>
        <sz val="10.0"/>
      </rPr>
      <t>ひかりにしか見えないそのおじさんは、会社でもプライベートでも四六時中つきまとい、まるでひかりの心を代弁するかのように</t>
    </r>
    <r>
      <rPr>
        <rFont val="Arial"/>
        <sz val="10.0"/>
      </rPr>
      <t>“</t>
    </r>
    <r>
      <rPr>
        <rFont val="ＭＳ Ｐゴシック"/>
        <sz val="10.0"/>
      </rPr>
      <t>忖度</t>
    </r>
    <r>
      <rPr>
        <rFont val="Arial"/>
        <sz val="10.0"/>
      </rPr>
      <t>0"</t>
    </r>
    <r>
      <rPr>
        <rFont val="ＭＳ Ｐゴシック"/>
        <sz val="10.0"/>
      </rPr>
      <t>で毒を吐きまくり</t>
    </r>
    <r>
      <rPr>
        <rFont val="Arial"/>
        <sz val="10.0"/>
      </rPr>
      <t xml:space="preserve">…?  </t>
    </r>
    <r>
      <rPr>
        <rFont val="ＭＳ Ｐゴシック"/>
        <sz val="10.0"/>
      </rPr>
      <t>「会社でガマン、やめちゃえば</t>
    </r>
    <r>
      <rPr>
        <rFont val="Arial"/>
        <sz val="10.0"/>
      </rPr>
      <t>?</t>
    </r>
    <r>
      <rPr>
        <rFont val="ＭＳ Ｐゴシック"/>
        <sz val="10.0"/>
      </rPr>
      <t>」</t>
    </r>
    <r>
      <rPr>
        <rFont val="Arial"/>
        <sz val="10.0"/>
      </rPr>
      <t>--</t>
    </r>
    <r>
      <rPr>
        <rFont val="ＭＳ Ｐゴシック"/>
        <sz val="10.0"/>
      </rPr>
      <t>疲れ切った全ての日本人に送る、痛快社会派コメディ</t>
    </r>
    <r>
      <rPr>
        <rFont val="Arial"/>
        <sz val="10.0"/>
      </rPr>
      <t>!</t>
    </r>
    <r>
      <rPr>
        <rFont val="ＭＳ Ｐゴシック"/>
        <sz val="10.0"/>
      </rPr>
      <t>テレビ朝日が送る第</t>
    </r>
    <r>
      <rPr>
        <rFont val="Arial"/>
        <sz val="10.0"/>
      </rPr>
      <t>2</t>
    </r>
    <r>
      <rPr>
        <rFont val="ＭＳ Ｐゴシック"/>
        <sz val="10.0"/>
      </rPr>
      <t>の</t>
    </r>
    <r>
      <rPr>
        <rFont val="Arial"/>
        <sz val="10.0"/>
      </rPr>
      <t>“</t>
    </r>
    <r>
      <rPr>
        <rFont val="ＭＳ Ｐゴシック"/>
        <sz val="10.0"/>
      </rPr>
      <t>おっさん</t>
    </r>
    <r>
      <rPr>
        <rFont val="Arial"/>
        <sz val="10.0"/>
      </rPr>
      <t>"</t>
    </r>
    <r>
      <rPr>
        <rFont val="ＭＳ Ｐゴシック"/>
        <sz val="10.0"/>
      </rPr>
      <t>シリーズ開幕</t>
    </r>
    <r>
      <rPr>
        <rFont val="Arial"/>
        <sz val="10.0"/>
      </rPr>
      <t>!</t>
    </r>
  </si>
  <si>
    <t>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「会社でガマン、やめちゃえば?」--疲れ切った全ての日本人に送る、痛快社会派コメディ!テレビ朝日が送る第2の“おっさん"シリーズ開幕!</t>
  </si>
  <si>
    <t>番組名私のおじさん　#3/万年AD理不尽デブチーフの秘密!“才能のない男"最後の挑戦</t>
  </si>
  <si>
    <r>
      <rPr>
        <rFont val="ＭＳ Ｐゴシック"/>
        <sz val="10.0"/>
      </rPr>
      <t>言いたいことも言えないポンコツ</t>
    </r>
    <r>
      <rPr>
        <rFont val="Arial"/>
        <sz val="10.0"/>
      </rPr>
      <t>AD</t>
    </r>
    <r>
      <rPr>
        <rFont val="ＭＳ Ｐゴシック"/>
        <sz val="10.0"/>
      </rPr>
      <t>・ひかり</t>
    </r>
    <r>
      <rPr>
        <rFont val="Arial"/>
        <sz val="10.0"/>
      </rPr>
      <t>(</t>
    </r>
    <r>
      <rPr>
        <rFont val="ＭＳ Ｐゴシック"/>
        <sz val="10.0"/>
      </rPr>
      <t>岡田結実</t>
    </r>
    <r>
      <rPr>
        <rFont val="Arial"/>
        <sz val="10.0"/>
      </rPr>
      <t>)</t>
    </r>
    <r>
      <rPr>
        <rFont val="ＭＳ Ｐゴシック"/>
        <sz val="10.0"/>
      </rPr>
      <t>の前に、ある日</t>
    </r>
    <r>
      <rPr>
        <rFont val="Arial"/>
        <sz val="10.0"/>
      </rPr>
      <t>“</t>
    </r>
    <r>
      <rPr>
        <rFont val="ＭＳ Ｐゴシック"/>
        <sz val="10.0"/>
      </rPr>
      <t>毒舌妖精おじさん</t>
    </r>
    <r>
      <rPr>
        <rFont val="Arial"/>
        <sz val="10.0"/>
      </rPr>
      <t>"(</t>
    </r>
    <r>
      <rPr>
        <rFont val="ＭＳ Ｐゴシック"/>
        <sz val="10.0"/>
      </rPr>
      <t>遠藤憲一</t>
    </r>
    <r>
      <rPr>
        <rFont val="Arial"/>
        <sz val="10.0"/>
      </rPr>
      <t>)</t>
    </r>
    <r>
      <rPr>
        <rFont val="ＭＳ Ｐゴシック"/>
        <sz val="10.0"/>
      </rPr>
      <t>が現れた</t>
    </r>
    <r>
      <rPr>
        <rFont val="Arial"/>
        <sz val="10.0"/>
      </rPr>
      <t>…!?</t>
    </r>
    <r>
      <rPr>
        <rFont val="ＭＳ Ｐゴシック"/>
        <sz val="10.0"/>
      </rPr>
      <t>ひかりにしか見えないそのおじさんは、会社でもプライベートでも四六時中つきまとい、まるでひかりの心を代弁するかのように</t>
    </r>
    <r>
      <rPr>
        <rFont val="Arial"/>
        <sz val="10.0"/>
      </rPr>
      <t>“</t>
    </r>
    <r>
      <rPr>
        <rFont val="ＭＳ Ｐゴシック"/>
        <sz val="10.0"/>
      </rPr>
      <t>忖度</t>
    </r>
    <r>
      <rPr>
        <rFont val="Arial"/>
        <sz val="10.0"/>
      </rPr>
      <t>0"</t>
    </r>
    <r>
      <rPr>
        <rFont val="ＭＳ Ｐゴシック"/>
        <sz val="10.0"/>
      </rPr>
      <t>で毒を吐きまくり</t>
    </r>
    <r>
      <rPr>
        <rFont val="Arial"/>
        <sz val="10.0"/>
      </rPr>
      <t xml:space="preserve">…?  </t>
    </r>
    <r>
      <rPr>
        <rFont val="ＭＳ Ｐゴシック"/>
        <sz val="10.0"/>
      </rPr>
      <t>「会社でガマン、やめちゃえば</t>
    </r>
    <r>
      <rPr>
        <rFont val="Arial"/>
        <sz val="10.0"/>
      </rPr>
      <t>?</t>
    </r>
    <r>
      <rPr>
        <rFont val="ＭＳ Ｐゴシック"/>
        <sz val="10.0"/>
      </rPr>
      <t>」</t>
    </r>
    <r>
      <rPr>
        <rFont val="Arial"/>
        <sz val="10.0"/>
      </rPr>
      <t>--</t>
    </r>
    <r>
      <rPr>
        <rFont val="ＭＳ Ｐゴシック"/>
        <sz val="10.0"/>
      </rPr>
      <t>疲れ切った全ての日本人に送る、痛快社会派コメディ</t>
    </r>
    <r>
      <rPr>
        <rFont val="Arial"/>
        <sz val="10.0"/>
      </rPr>
      <t>!</t>
    </r>
    <r>
      <rPr>
        <rFont val="ＭＳ Ｐゴシック"/>
        <sz val="10.0"/>
      </rPr>
      <t>テレビ朝日が送る第</t>
    </r>
    <r>
      <rPr>
        <rFont val="Arial"/>
        <sz val="10.0"/>
      </rPr>
      <t>2</t>
    </r>
    <r>
      <rPr>
        <rFont val="ＭＳ Ｐゴシック"/>
        <sz val="10.0"/>
      </rPr>
      <t>の</t>
    </r>
    <r>
      <rPr>
        <rFont val="Arial"/>
        <sz val="10.0"/>
      </rPr>
      <t>“</t>
    </r>
    <r>
      <rPr>
        <rFont val="ＭＳ Ｐゴシック"/>
        <sz val="10.0"/>
      </rPr>
      <t>おっさん</t>
    </r>
    <r>
      <rPr>
        <rFont val="Arial"/>
        <sz val="10.0"/>
      </rPr>
      <t>"</t>
    </r>
    <r>
      <rPr>
        <rFont val="ＭＳ Ｐゴシック"/>
        <sz val="10.0"/>
      </rPr>
      <t>シリーズ開幕</t>
    </r>
    <r>
      <rPr>
        <rFont val="Arial"/>
        <sz val="10.0"/>
      </rPr>
      <t>!</t>
    </r>
  </si>
  <si>
    <t>番組名私のおじさん　#4/視聴率って大事なの…?板挟み“中間管理職"のプライド</t>
  </si>
  <si>
    <r>
      <rPr>
        <rFont val="ＭＳ Ｐゴシック"/>
        <sz val="10.0"/>
      </rPr>
      <t>言いたいことも言えないポンコツ</t>
    </r>
    <r>
      <rPr>
        <rFont val="Arial"/>
        <sz val="10.0"/>
      </rPr>
      <t>AD</t>
    </r>
    <r>
      <rPr>
        <rFont val="ＭＳ Ｐゴシック"/>
        <sz val="10.0"/>
      </rPr>
      <t>・ひかり</t>
    </r>
    <r>
      <rPr>
        <rFont val="Arial"/>
        <sz val="10.0"/>
      </rPr>
      <t>(</t>
    </r>
    <r>
      <rPr>
        <rFont val="ＭＳ Ｐゴシック"/>
        <sz val="10.0"/>
      </rPr>
      <t>岡田結実</t>
    </r>
    <r>
      <rPr>
        <rFont val="Arial"/>
        <sz val="10.0"/>
      </rPr>
      <t>)</t>
    </r>
    <r>
      <rPr>
        <rFont val="ＭＳ Ｐゴシック"/>
        <sz val="10.0"/>
      </rPr>
      <t>の前に、ある日</t>
    </r>
    <r>
      <rPr>
        <rFont val="Arial"/>
        <sz val="10.0"/>
      </rPr>
      <t>“</t>
    </r>
    <r>
      <rPr>
        <rFont val="ＭＳ Ｐゴシック"/>
        <sz val="10.0"/>
      </rPr>
      <t>毒舌妖精おじさん</t>
    </r>
    <r>
      <rPr>
        <rFont val="Arial"/>
        <sz val="10.0"/>
      </rPr>
      <t>"(</t>
    </r>
    <r>
      <rPr>
        <rFont val="ＭＳ Ｐゴシック"/>
        <sz val="10.0"/>
      </rPr>
      <t>遠藤憲一</t>
    </r>
    <r>
      <rPr>
        <rFont val="Arial"/>
        <sz val="10.0"/>
      </rPr>
      <t>)</t>
    </r>
    <r>
      <rPr>
        <rFont val="ＭＳ Ｐゴシック"/>
        <sz val="10.0"/>
      </rPr>
      <t>が現れた</t>
    </r>
    <r>
      <rPr>
        <rFont val="Arial"/>
        <sz val="10.0"/>
      </rPr>
      <t>…!?</t>
    </r>
    <r>
      <rPr>
        <rFont val="ＭＳ Ｐゴシック"/>
        <sz val="10.0"/>
      </rPr>
      <t>ひかりにしか見えないそのおじさんは、会社でもプライベートでも四六時中つきまとい、まるでひかりの心を代弁するかのように</t>
    </r>
    <r>
      <rPr>
        <rFont val="Arial"/>
        <sz val="10.0"/>
      </rPr>
      <t>“</t>
    </r>
    <r>
      <rPr>
        <rFont val="ＭＳ Ｐゴシック"/>
        <sz val="10.0"/>
      </rPr>
      <t>忖度</t>
    </r>
    <r>
      <rPr>
        <rFont val="Arial"/>
        <sz val="10.0"/>
      </rPr>
      <t>0"</t>
    </r>
    <r>
      <rPr>
        <rFont val="ＭＳ Ｐゴシック"/>
        <sz val="10.0"/>
      </rPr>
      <t>で毒を吐きまくり</t>
    </r>
    <r>
      <rPr>
        <rFont val="Arial"/>
        <sz val="10.0"/>
      </rPr>
      <t xml:space="preserve">…?  </t>
    </r>
    <r>
      <rPr>
        <rFont val="ＭＳ Ｐゴシック"/>
        <sz val="10.0"/>
      </rPr>
      <t>「会社でガマン、やめちゃえば</t>
    </r>
    <r>
      <rPr>
        <rFont val="Arial"/>
        <sz val="10.0"/>
      </rPr>
      <t>?</t>
    </r>
    <r>
      <rPr>
        <rFont val="ＭＳ Ｐゴシック"/>
        <sz val="10.0"/>
      </rPr>
      <t>」</t>
    </r>
    <r>
      <rPr>
        <rFont val="Arial"/>
        <sz val="10.0"/>
      </rPr>
      <t>--</t>
    </r>
    <r>
      <rPr>
        <rFont val="ＭＳ Ｐゴシック"/>
        <sz val="10.0"/>
      </rPr>
      <t>疲れ切った全ての日本人に送る、痛快社会派コメディ</t>
    </r>
    <r>
      <rPr>
        <rFont val="Arial"/>
        <sz val="10.0"/>
      </rPr>
      <t>!</t>
    </r>
    <r>
      <rPr>
        <rFont val="ＭＳ Ｐゴシック"/>
        <sz val="10.0"/>
      </rPr>
      <t>テレビ朝日が送る第</t>
    </r>
    <r>
      <rPr>
        <rFont val="Arial"/>
        <sz val="10.0"/>
      </rPr>
      <t>2</t>
    </r>
    <r>
      <rPr>
        <rFont val="ＭＳ Ｐゴシック"/>
        <sz val="10.0"/>
      </rPr>
      <t>の</t>
    </r>
    <r>
      <rPr>
        <rFont val="Arial"/>
        <sz val="10.0"/>
      </rPr>
      <t>“</t>
    </r>
    <r>
      <rPr>
        <rFont val="ＭＳ Ｐゴシック"/>
        <sz val="10.0"/>
      </rPr>
      <t>おっさん</t>
    </r>
    <r>
      <rPr>
        <rFont val="Arial"/>
        <sz val="10.0"/>
      </rPr>
      <t>"</t>
    </r>
    <r>
      <rPr>
        <rFont val="ＭＳ Ｐゴシック"/>
        <sz val="10.0"/>
      </rPr>
      <t>シリーズ開幕</t>
    </r>
    <r>
      <rPr>
        <rFont val="Arial"/>
        <sz val="10.0"/>
      </rPr>
      <t>!</t>
    </r>
  </si>
  <si>
    <t>番組名私のおじさん　#5/仕事を休んで何が悪い?働き方改革モンスターに隠された秘密</t>
  </si>
  <si>
    <r>
      <rPr>
        <rFont val="ＭＳ Ｐゴシック"/>
        <sz val="10.0"/>
      </rPr>
      <t>言いたいことも言えないポンコツ</t>
    </r>
    <r>
      <rPr>
        <rFont val="Arial"/>
        <sz val="10.0"/>
      </rPr>
      <t>AD</t>
    </r>
    <r>
      <rPr>
        <rFont val="ＭＳ Ｐゴシック"/>
        <sz val="10.0"/>
      </rPr>
      <t>・ひかり</t>
    </r>
    <r>
      <rPr>
        <rFont val="Arial"/>
        <sz val="10.0"/>
      </rPr>
      <t>(</t>
    </r>
    <r>
      <rPr>
        <rFont val="ＭＳ Ｐゴシック"/>
        <sz val="10.0"/>
      </rPr>
      <t>岡田結実</t>
    </r>
    <r>
      <rPr>
        <rFont val="Arial"/>
        <sz val="10.0"/>
      </rPr>
      <t>)</t>
    </r>
    <r>
      <rPr>
        <rFont val="ＭＳ Ｐゴシック"/>
        <sz val="10.0"/>
      </rPr>
      <t>の前に、ある日</t>
    </r>
    <r>
      <rPr>
        <rFont val="Arial"/>
        <sz val="10.0"/>
      </rPr>
      <t>“</t>
    </r>
    <r>
      <rPr>
        <rFont val="ＭＳ Ｐゴシック"/>
        <sz val="10.0"/>
      </rPr>
      <t>毒舌妖精おじさん</t>
    </r>
    <r>
      <rPr>
        <rFont val="Arial"/>
        <sz val="10.0"/>
      </rPr>
      <t>"(</t>
    </r>
    <r>
      <rPr>
        <rFont val="ＭＳ Ｐゴシック"/>
        <sz val="10.0"/>
      </rPr>
      <t>遠藤憲一</t>
    </r>
    <r>
      <rPr>
        <rFont val="Arial"/>
        <sz val="10.0"/>
      </rPr>
      <t>)</t>
    </r>
    <r>
      <rPr>
        <rFont val="ＭＳ Ｐゴシック"/>
        <sz val="10.0"/>
      </rPr>
      <t>が現れた</t>
    </r>
    <r>
      <rPr>
        <rFont val="Arial"/>
        <sz val="10.0"/>
      </rPr>
      <t>…!?</t>
    </r>
    <r>
      <rPr>
        <rFont val="ＭＳ Ｐゴシック"/>
        <sz val="10.0"/>
      </rPr>
      <t>ひかりにしか見えないそのおじさんは、会社でもプライベートでも四六時中つきまとい、まるでひかりの心を代弁するかのように</t>
    </r>
    <r>
      <rPr>
        <rFont val="Arial"/>
        <sz val="10.0"/>
      </rPr>
      <t>“</t>
    </r>
    <r>
      <rPr>
        <rFont val="ＭＳ Ｐゴシック"/>
        <sz val="10.0"/>
      </rPr>
      <t>忖度</t>
    </r>
    <r>
      <rPr>
        <rFont val="Arial"/>
        <sz val="10.0"/>
      </rPr>
      <t>0"</t>
    </r>
    <r>
      <rPr>
        <rFont val="ＭＳ Ｐゴシック"/>
        <sz val="10.0"/>
      </rPr>
      <t>で毒を吐きまくり</t>
    </r>
    <r>
      <rPr>
        <rFont val="Arial"/>
        <sz val="10.0"/>
      </rPr>
      <t xml:space="preserve">…?  </t>
    </r>
    <r>
      <rPr>
        <rFont val="ＭＳ Ｐゴシック"/>
        <sz val="10.0"/>
      </rPr>
      <t>「会社でガマン、やめちゃえば</t>
    </r>
    <r>
      <rPr>
        <rFont val="Arial"/>
        <sz val="10.0"/>
      </rPr>
      <t>?</t>
    </r>
    <r>
      <rPr>
        <rFont val="ＭＳ Ｐゴシック"/>
        <sz val="10.0"/>
      </rPr>
      <t>」</t>
    </r>
    <r>
      <rPr>
        <rFont val="Arial"/>
        <sz val="10.0"/>
      </rPr>
      <t>--</t>
    </r>
    <r>
      <rPr>
        <rFont val="ＭＳ Ｐゴシック"/>
        <sz val="10.0"/>
      </rPr>
      <t>疲れ切った全ての日本人に送る、痛快社会派コメディ</t>
    </r>
    <r>
      <rPr>
        <rFont val="Arial"/>
        <sz val="10.0"/>
      </rPr>
      <t>!</t>
    </r>
    <r>
      <rPr>
        <rFont val="ＭＳ Ｐゴシック"/>
        <sz val="10.0"/>
      </rPr>
      <t>テレビ朝日が送る第</t>
    </r>
    <r>
      <rPr>
        <rFont val="Arial"/>
        <sz val="10.0"/>
      </rPr>
      <t>2</t>
    </r>
    <r>
      <rPr>
        <rFont val="ＭＳ Ｐゴシック"/>
        <sz val="10.0"/>
      </rPr>
      <t>の</t>
    </r>
    <r>
      <rPr>
        <rFont val="Arial"/>
        <sz val="10.0"/>
      </rPr>
      <t>“</t>
    </r>
    <r>
      <rPr>
        <rFont val="ＭＳ Ｐゴシック"/>
        <sz val="10.0"/>
      </rPr>
      <t>おっさん</t>
    </r>
    <r>
      <rPr>
        <rFont val="Arial"/>
        <sz val="10.0"/>
      </rPr>
      <t>"</t>
    </r>
    <r>
      <rPr>
        <rFont val="ＭＳ Ｐゴシック"/>
        <sz val="10.0"/>
      </rPr>
      <t>シリーズ</t>
    </r>
    <r>
      <rPr>
        <rFont val="Arial"/>
        <sz val="10.0"/>
      </rPr>
      <t>!</t>
    </r>
  </si>
  <si>
    <t>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t>
  </si>
  <si>
    <t>番組名私のおじさん　#6/大人になったら夢みちゃいけないの?引き抜きでNYに転職…!?</t>
  </si>
  <si>
    <r>
      <rPr>
        <rFont val="ＭＳ Ｐゴシック"/>
        <sz val="10.0"/>
      </rPr>
      <t>言いたいことも言えないポンコツ</t>
    </r>
    <r>
      <rPr>
        <rFont val="Arial"/>
        <sz val="10.0"/>
      </rPr>
      <t>AD</t>
    </r>
    <r>
      <rPr>
        <rFont val="ＭＳ Ｐゴシック"/>
        <sz val="10.0"/>
      </rPr>
      <t>・ひかり</t>
    </r>
    <r>
      <rPr>
        <rFont val="Arial"/>
        <sz val="10.0"/>
      </rPr>
      <t>(</t>
    </r>
    <r>
      <rPr>
        <rFont val="ＭＳ Ｐゴシック"/>
        <sz val="10.0"/>
      </rPr>
      <t>岡田結実</t>
    </r>
    <r>
      <rPr>
        <rFont val="Arial"/>
        <sz val="10.0"/>
      </rPr>
      <t>)</t>
    </r>
    <r>
      <rPr>
        <rFont val="ＭＳ Ｐゴシック"/>
        <sz val="10.0"/>
      </rPr>
      <t>の前に、ある日</t>
    </r>
    <r>
      <rPr>
        <rFont val="Arial"/>
        <sz val="10.0"/>
      </rPr>
      <t>“</t>
    </r>
    <r>
      <rPr>
        <rFont val="ＭＳ Ｐゴシック"/>
        <sz val="10.0"/>
      </rPr>
      <t>毒舌妖精おじさん</t>
    </r>
    <r>
      <rPr>
        <rFont val="Arial"/>
        <sz val="10.0"/>
      </rPr>
      <t>"(</t>
    </r>
    <r>
      <rPr>
        <rFont val="ＭＳ Ｐゴシック"/>
        <sz val="10.0"/>
      </rPr>
      <t>遠藤憲一</t>
    </r>
    <r>
      <rPr>
        <rFont val="Arial"/>
        <sz val="10.0"/>
      </rPr>
      <t>)</t>
    </r>
    <r>
      <rPr>
        <rFont val="ＭＳ Ｐゴシック"/>
        <sz val="10.0"/>
      </rPr>
      <t>が現れた</t>
    </r>
    <r>
      <rPr>
        <rFont val="Arial"/>
        <sz val="10.0"/>
      </rPr>
      <t>…!?</t>
    </r>
    <r>
      <rPr>
        <rFont val="ＭＳ Ｐゴシック"/>
        <sz val="10.0"/>
      </rPr>
      <t>ひかりにしか見えないそのおじさんは、会社でもプライベートでも四六時中つきまとい、まるでひかりの心を代弁するかのように</t>
    </r>
    <r>
      <rPr>
        <rFont val="Arial"/>
        <sz val="10.0"/>
      </rPr>
      <t>“</t>
    </r>
    <r>
      <rPr>
        <rFont val="ＭＳ Ｐゴシック"/>
        <sz val="10.0"/>
      </rPr>
      <t>忖度</t>
    </r>
    <r>
      <rPr>
        <rFont val="Arial"/>
        <sz val="10.0"/>
      </rPr>
      <t>0"</t>
    </r>
    <r>
      <rPr>
        <rFont val="ＭＳ Ｐゴシック"/>
        <sz val="10.0"/>
      </rPr>
      <t>で毒を吐きまくり</t>
    </r>
    <r>
      <rPr>
        <rFont val="Arial"/>
        <sz val="10.0"/>
      </rPr>
      <t xml:space="preserve">…?  </t>
    </r>
    <r>
      <rPr>
        <rFont val="ＭＳ Ｐゴシック"/>
        <sz val="10.0"/>
      </rPr>
      <t>「会社でガマン、やめちゃえば</t>
    </r>
    <r>
      <rPr>
        <rFont val="Arial"/>
        <sz val="10.0"/>
      </rPr>
      <t>?</t>
    </r>
    <r>
      <rPr>
        <rFont val="ＭＳ Ｐゴシック"/>
        <sz val="10.0"/>
      </rPr>
      <t>」</t>
    </r>
    <r>
      <rPr>
        <rFont val="Arial"/>
        <sz val="10.0"/>
      </rPr>
      <t>--</t>
    </r>
    <r>
      <rPr>
        <rFont val="ＭＳ Ｐゴシック"/>
        <sz val="10.0"/>
      </rPr>
      <t>疲れ切った全ての日本人に送る、痛快社会派コメディ</t>
    </r>
    <r>
      <rPr>
        <rFont val="Arial"/>
        <sz val="10.0"/>
      </rPr>
      <t>!</t>
    </r>
    <r>
      <rPr>
        <rFont val="ＭＳ Ｐゴシック"/>
        <sz val="10.0"/>
      </rPr>
      <t>テレビ朝日が送る第</t>
    </r>
    <r>
      <rPr>
        <rFont val="Arial"/>
        <sz val="10.0"/>
      </rPr>
      <t>2</t>
    </r>
    <r>
      <rPr>
        <rFont val="ＭＳ Ｐゴシック"/>
        <sz val="10.0"/>
      </rPr>
      <t>の</t>
    </r>
    <r>
      <rPr>
        <rFont val="Arial"/>
        <sz val="10.0"/>
      </rPr>
      <t>“</t>
    </r>
    <r>
      <rPr>
        <rFont val="ＭＳ Ｐゴシック"/>
        <sz val="10.0"/>
      </rPr>
      <t>おっさん</t>
    </r>
    <r>
      <rPr>
        <rFont val="Arial"/>
        <sz val="10.0"/>
      </rPr>
      <t>"</t>
    </r>
    <r>
      <rPr>
        <rFont val="ＭＳ Ｐゴシック"/>
        <sz val="10.0"/>
      </rPr>
      <t>シリーズ</t>
    </r>
    <r>
      <rPr>
        <rFont val="Arial"/>
        <sz val="10.0"/>
      </rPr>
      <t>!</t>
    </r>
  </si>
  <si>
    <t>番組名私のおじさん　#7/ヤラセ疑惑に熱愛スクープ?ホントか嘘か、決めるのは世間…?</t>
  </si>
  <si>
    <r>
      <rPr>
        <rFont val="ＭＳ Ｐゴシック"/>
        <sz val="10.0"/>
      </rPr>
      <t>言いたいことも言えないポンコツ</t>
    </r>
    <r>
      <rPr>
        <rFont val="Arial"/>
        <sz val="10.0"/>
      </rPr>
      <t>AD</t>
    </r>
    <r>
      <rPr>
        <rFont val="ＭＳ Ｐゴシック"/>
        <sz val="10.0"/>
      </rPr>
      <t>・ひかり</t>
    </r>
    <r>
      <rPr>
        <rFont val="Arial"/>
        <sz val="10.0"/>
      </rPr>
      <t>(</t>
    </r>
    <r>
      <rPr>
        <rFont val="ＭＳ Ｐゴシック"/>
        <sz val="10.0"/>
      </rPr>
      <t>岡田結実</t>
    </r>
    <r>
      <rPr>
        <rFont val="Arial"/>
        <sz val="10.0"/>
      </rPr>
      <t>)</t>
    </r>
    <r>
      <rPr>
        <rFont val="ＭＳ Ｐゴシック"/>
        <sz val="10.0"/>
      </rPr>
      <t>の前に、ある日</t>
    </r>
    <r>
      <rPr>
        <rFont val="Arial"/>
        <sz val="10.0"/>
      </rPr>
      <t>“</t>
    </r>
    <r>
      <rPr>
        <rFont val="ＭＳ Ｐゴシック"/>
        <sz val="10.0"/>
      </rPr>
      <t>毒舌妖精おじさん</t>
    </r>
    <r>
      <rPr>
        <rFont val="Arial"/>
        <sz val="10.0"/>
      </rPr>
      <t>"(</t>
    </r>
    <r>
      <rPr>
        <rFont val="ＭＳ Ｐゴシック"/>
        <sz val="10.0"/>
      </rPr>
      <t>遠藤憲一</t>
    </r>
    <r>
      <rPr>
        <rFont val="Arial"/>
        <sz val="10.0"/>
      </rPr>
      <t>)</t>
    </r>
    <r>
      <rPr>
        <rFont val="ＭＳ Ｐゴシック"/>
        <sz val="10.0"/>
      </rPr>
      <t>が現れた</t>
    </r>
    <r>
      <rPr>
        <rFont val="Arial"/>
        <sz val="10.0"/>
      </rPr>
      <t>…!?</t>
    </r>
    <r>
      <rPr>
        <rFont val="ＭＳ Ｐゴシック"/>
        <sz val="10.0"/>
      </rPr>
      <t>ひかりにしか見えないそのおじさんは、会社でもプライベートでも四六時中つきまとい、まるでひかりの心を代弁するかのように</t>
    </r>
    <r>
      <rPr>
        <rFont val="Arial"/>
        <sz val="10.0"/>
      </rPr>
      <t>“</t>
    </r>
    <r>
      <rPr>
        <rFont val="ＭＳ Ｐゴシック"/>
        <sz val="10.0"/>
      </rPr>
      <t>忖度</t>
    </r>
    <r>
      <rPr>
        <rFont val="Arial"/>
        <sz val="10.0"/>
      </rPr>
      <t>0"</t>
    </r>
    <r>
      <rPr>
        <rFont val="ＭＳ Ｐゴシック"/>
        <sz val="10.0"/>
      </rPr>
      <t>で毒を吐きまくり</t>
    </r>
    <r>
      <rPr>
        <rFont val="Arial"/>
        <sz val="10.0"/>
      </rPr>
      <t xml:space="preserve">…?  </t>
    </r>
    <r>
      <rPr>
        <rFont val="ＭＳ Ｐゴシック"/>
        <sz val="10.0"/>
      </rPr>
      <t>「会社でガマン、やめちゃえば</t>
    </r>
    <r>
      <rPr>
        <rFont val="Arial"/>
        <sz val="10.0"/>
      </rPr>
      <t>?</t>
    </r>
    <r>
      <rPr>
        <rFont val="ＭＳ Ｐゴシック"/>
        <sz val="10.0"/>
      </rPr>
      <t>」</t>
    </r>
    <r>
      <rPr>
        <rFont val="Arial"/>
        <sz val="10.0"/>
      </rPr>
      <t>--</t>
    </r>
    <r>
      <rPr>
        <rFont val="ＭＳ Ｐゴシック"/>
        <sz val="10.0"/>
      </rPr>
      <t>疲れ切った全ての日本人に送る、痛快社会派コメディ</t>
    </r>
    <r>
      <rPr>
        <rFont val="Arial"/>
        <sz val="10.0"/>
      </rPr>
      <t>!</t>
    </r>
    <r>
      <rPr>
        <rFont val="ＭＳ Ｐゴシック"/>
        <sz val="10.0"/>
      </rPr>
      <t>テレビ朝日が送る第</t>
    </r>
    <r>
      <rPr>
        <rFont val="Arial"/>
        <sz val="10.0"/>
      </rPr>
      <t>2</t>
    </r>
    <r>
      <rPr>
        <rFont val="ＭＳ Ｐゴシック"/>
        <sz val="10.0"/>
      </rPr>
      <t>の</t>
    </r>
    <r>
      <rPr>
        <rFont val="Arial"/>
        <sz val="10.0"/>
      </rPr>
      <t>“</t>
    </r>
    <r>
      <rPr>
        <rFont val="ＭＳ Ｐゴシック"/>
        <sz val="10.0"/>
      </rPr>
      <t>おっさん</t>
    </r>
    <r>
      <rPr>
        <rFont val="Arial"/>
        <sz val="10.0"/>
      </rPr>
      <t>"</t>
    </r>
    <r>
      <rPr>
        <rFont val="ＭＳ Ｐゴシック"/>
        <sz val="10.0"/>
      </rPr>
      <t>シリーズ</t>
    </r>
    <r>
      <rPr>
        <rFont val="Arial"/>
        <sz val="10.0"/>
      </rPr>
      <t>!</t>
    </r>
  </si>
  <si>
    <t>番組名私のおじさん　#8/サヨナラおじさん…妖精の正体がついに明かされる!</t>
  </si>
  <si>
    <r>
      <rPr>
        <rFont val="ＭＳ Ｐゴシック"/>
        <sz val="10.0"/>
      </rPr>
      <t>言いたいことも言えないポンコツ</t>
    </r>
    <r>
      <rPr>
        <rFont val="Arial"/>
        <sz val="10.0"/>
      </rPr>
      <t>AD</t>
    </r>
    <r>
      <rPr>
        <rFont val="ＭＳ Ｐゴシック"/>
        <sz val="10.0"/>
      </rPr>
      <t>・ひかり</t>
    </r>
    <r>
      <rPr>
        <rFont val="Arial"/>
        <sz val="10.0"/>
      </rPr>
      <t>(</t>
    </r>
    <r>
      <rPr>
        <rFont val="ＭＳ Ｐゴシック"/>
        <sz val="10.0"/>
      </rPr>
      <t>岡田結実</t>
    </r>
    <r>
      <rPr>
        <rFont val="Arial"/>
        <sz val="10.0"/>
      </rPr>
      <t>)</t>
    </r>
    <r>
      <rPr>
        <rFont val="ＭＳ Ｐゴシック"/>
        <sz val="10.0"/>
      </rPr>
      <t>の前に、ある日</t>
    </r>
    <r>
      <rPr>
        <rFont val="Arial"/>
        <sz val="10.0"/>
      </rPr>
      <t>“</t>
    </r>
    <r>
      <rPr>
        <rFont val="ＭＳ Ｐゴシック"/>
        <sz val="10.0"/>
      </rPr>
      <t>毒舌妖精おじさん</t>
    </r>
    <r>
      <rPr>
        <rFont val="Arial"/>
        <sz val="10.0"/>
      </rPr>
      <t>"(</t>
    </r>
    <r>
      <rPr>
        <rFont val="ＭＳ Ｐゴシック"/>
        <sz val="10.0"/>
      </rPr>
      <t>遠藤憲一</t>
    </r>
    <r>
      <rPr>
        <rFont val="Arial"/>
        <sz val="10.0"/>
      </rPr>
      <t>)</t>
    </r>
    <r>
      <rPr>
        <rFont val="ＭＳ Ｐゴシック"/>
        <sz val="10.0"/>
      </rPr>
      <t>が現れた</t>
    </r>
    <r>
      <rPr>
        <rFont val="Arial"/>
        <sz val="10.0"/>
      </rPr>
      <t>…!?</t>
    </r>
    <r>
      <rPr>
        <rFont val="ＭＳ Ｐゴシック"/>
        <sz val="10.0"/>
      </rPr>
      <t>ひかりにしか見えないそのおじさんは、会社でもプライベートでも四六時中つきまとい、まるでひかりの心を代弁するかのように</t>
    </r>
    <r>
      <rPr>
        <rFont val="Arial"/>
        <sz val="10.0"/>
      </rPr>
      <t>“</t>
    </r>
    <r>
      <rPr>
        <rFont val="ＭＳ Ｐゴシック"/>
        <sz val="10.0"/>
      </rPr>
      <t>忖度</t>
    </r>
    <r>
      <rPr>
        <rFont val="Arial"/>
        <sz val="10.0"/>
      </rPr>
      <t>0"</t>
    </r>
    <r>
      <rPr>
        <rFont val="ＭＳ Ｐゴシック"/>
        <sz val="10.0"/>
      </rPr>
      <t>で毒を吐きまくり</t>
    </r>
    <r>
      <rPr>
        <rFont val="Arial"/>
        <sz val="10.0"/>
      </rPr>
      <t xml:space="preserve">…?  </t>
    </r>
    <r>
      <rPr>
        <rFont val="ＭＳ Ｐゴシック"/>
        <sz val="10.0"/>
      </rPr>
      <t>「会社でガマン、やめちゃえば</t>
    </r>
    <r>
      <rPr>
        <rFont val="Arial"/>
        <sz val="10.0"/>
      </rPr>
      <t>?</t>
    </r>
    <r>
      <rPr>
        <rFont val="ＭＳ Ｐゴシック"/>
        <sz val="10.0"/>
      </rPr>
      <t>」</t>
    </r>
    <r>
      <rPr>
        <rFont val="Arial"/>
        <sz val="10.0"/>
      </rPr>
      <t>--</t>
    </r>
    <r>
      <rPr>
        <rFont val="ＭＳ Ｐゴシック"/>
        <sz val="10.0"/>
      </rPr>
      <t>疲れ切った全ての日本人に送る、痛快社会派コメディ</t>
    </r>
    <r>
      <rPr>
        <rFont val="Arial"/>
        <sz val="10.0"/>
      </rPr>
      <t>!</t>
    </r>
    <r>
      <rPr>
        <rFont val="ＭＳ Ｐゴシック"/>
        <sz val="10.0"/>
      </rPr>
      <t>テレビ朝日が送る第</t>
    </r>
    <r>
      <rPr>
        <rFont val="Arial"/>
        <sz val="10.0"/>
      </rPr>
      <t>2</t>
    </r>
    <r>
      <rPr>
        <rFont val="ＭＳ Ｐゴシック"/>
        <sz val="10.0"/>
      </rPr>
      <t>の</t>
    </r>
    <r>
      <rPr>
        <rFont val="Arial"/>
        <sz val="10.0"/>
      </rPr>
      <t>“</t>
    </r>
    <r>
      <rPr>
        <rFont val="ＭＳ Ｐゴシック"/>
        <sz val="10.0"/>
      </rPr>
      <t>おっさん</t>
    </r>
    <r>
      <rPr>
        <rFont val="Arial"/>
        <sz val="10.0"/>
      </rPr>
      <t>"</t>
    </r>
    <r>
      <rPr>
        <rFont val="ＭＳ Ｐゴシック"/>
        <sz val="10.0"/>
      </rPr>
      <t>シリーズ</t>
    </r>
    <r>
      <rPr>
        <rFont val="Arial"/>
        <sz val="10.0"/>
      </rPr>
      <t>!</t>
    </r>
  </si>
  <si>
    <t>1901_EX_土23</t>
  </si>
  <si>
    <t>僕の初恋をキミに捧ぐ</t>
  </si>
  <si>
    <t>番組名僕の初恋をキミに捧ぐ　#1「僕の人生にはタイムリミットがある」</t>
  </si>
  <si>
    <r>
      <rPr>
        <rFont val="ＭＳ Ｐゴシック"/>
        <sz val="10.0"/>
      </rPr>
      <t>垣野内逞</t>
    </r>
    <r>
      <rPr>
        <rFont val="Arial"/>
        <sz val="10.0"/>
      </rPr>
      <t>(</t>
    </r>
    <r>
      <rPr>
        <rFont val="ＭＳ Ｐゴシック"/>
        <sz val="10.0"/>
      </rPr>
      <t>野村周平</t>
    </r>
    <r>
      <rPr>
        <rFont val="Arial"/>
        <sz val="10.0"/>
      </rPr>
      <t>)</t>
    </r>
    <r>
      <rPr>
        <rFont val="ＭＳ Ｐゴシック"/>
        <sz val="10.0"/>
      </rPr>
      <t>は高校に入学するが、新入生代表の挨拶で壇に上がった女子生徒の顔を見て驚く。その女子生徒は、幼い頃に星空の下で結婚の約束をした繭</t>
    </r>
    <r>
      <rPr>
        <rFont val="Arial"/>
        <sz val="10.0"/>
      </rPr>
      <t>(</t>
    </r>
    <r>
      <rPr>
        <rFont val="ＭＳ Ｐゴシック"/>
        <sz val="10.0"/>
      </rPr>
      <t>桜井日奈子</t>
    </r>
    <r>
      <rPr>
        <rFont val="Arial"/>
        <sz val="10.0"/>
      </rPr>
      <t>)</t>
    </r>
    <r>
      <rPr>
        <rFont val="ＭＳ Ｐゴシック"/>
        <sz val="10.0"/>
      </rPr>
      <t>だったのだ</t>
    </r>
    <r>
      <rPr>
        <rFont val="Arial"/>
        <sz val="10.0"/>
      </rPr>
      <t>!</t>
    </r>
    <r>
      <rPr>
        <rFont val="ＭＳ Ｐゴシック"/>
        <sz val="10.0"/>
      </rPr>
      <t>彼女は</t>
    </r>
    <r>
      <rPr>
        <rFont val="Arial"/>
        <sz val="10.0"/>
      </rPr>
      <t>…</t>
    </r>
    <r>
      <rPr>
        <rFont val="ＭＳ Ｐゴシック"/>
        <sz val="10.0"/>
      </rPr>
      <t>誰よりも会うのを避けていた大切な初恋の相手だった。</t>
    </r>
    <r>
      <rPr>
        <rFont val="Arial"/>
        <sz val="10.0"/>
      </rPr>
      <t xml:space="preserve">  </t>
    </r>
    <r>
      <rPr>
        <rFont val="ＭＳ Ｐゴシック"/>
        <sz val="10.0"/>
      </rPr>
      <t>隠れて猛勉強してまで自分を追いかけてきた繭に対し、逞は戸惑いを隠せない。二十歳までしか生きられない病を抱えている逞は、繭を泣かせないために関係を終わらせようとするが</t>
    </r>
    <r>
      <rPr>
        <rFont val="Arial"/>
        <sz val="10.0"/>
      </rPr>
      <t>…</t>
    </r>
  </si>
  <si>
    <t>垣野内逞(野村周平)は高校に入学するが、新入生代表の挨拶で壇に上がった女子生徒の顔を見て驚く。その女子生徒は、幼い頃に星空の下で結婚の約束をした繭(桜井日奈子)だったのだ!彼女は…誰よりも会うのを避けていた大切な初恋の相手だった。  隠れて猛勉強してまで自分を追いかけてきた繭に対し、逞は戸惑いを隠せない。二十歳までしか生きられない病を抱えている逞は、繭を泣かせないために関係を終わらせようとするが…</t>
  </si>
  <si>
    <t>番組名僕の初恋をキミに捧ぐ　#2「友達ってすっごく遠い」</t>
  </si>
  <si>
    <r>
      <rPr>
        <rFont val="ＭＳ Ｐゴシック"/>
        <sz val="10.0"/>
      </rPr>
      <t>友達になるという道を選んだ逞</t>
    </r>
    <r>
      <rPr>
        <rFont val="Arial"/>
        <sz val="10.0"/>
      </rPr>
      <t>(</t>
    </r>
    <r>
      <rPr>
        <rFont val="ＭＳ Ｐゴシック"/>
        <sz val="10.0"/>
      </rPr>
      <t>野村周平</t>
    </r>
    <r>
      <rPr>
        <rFont val="Arial"/>
        <sz val="10.0"/>
      </rPr>
      <t>)</t>
    </r>
    <r>
      <rPr>
        <rFont val="ＭＳ Ｐゴシック"/>
        <sz val="10.0"/>
      </rPr>
      <t>と繭</t>
    </r>
    <r>
      <rPr>
        <rFont val="Arial"/>
        <sz val="10.0"/>
      </rPr>
      <t>(</t>
    </r>
    <r>
      <rPr>
        <rFont val="ＭＳ Ｐゴシック"/>
        <sz val="10.0"/>
      </rPr>
      <t>桜井日奈子</t>
    </r>
    <r>
      <rPr>
        <rFont val="Arial"/>
        <sz val="10.0"/>
      </rPr>
      <t>)</t>
    </r>
    <r>
      <rPr>
        <rFont val="ＭＳ Ｐゴシック"/>
        <sz val="10.0"/>
      </rPr>
      <t>は、律</t>
    </r>
    <r>
      <rPr>
        <rFont val="Arial"/>
        <sz val="10.0"/>
      </rPr>
      <t>(</t>
    </r>
    <r>
      <rPr>
        <rFont val="ＭＳ Ｐゴシック"/>
        <sz val="10.0"/>
      </rPr>
      <t>佐藤寛太</t>
    </r>
    <r>
      <rPr>
        <rFont val="Arial"/>
        <sz val="10.0"/>
      </rPr>
      <t>)</t>
    </r>
    <r>
      <rPr>
        <rFont val="ＭＳ Ｐゴシック"/>
        <sz val="10.0"/>
      </rPr>
      <t>らと楽しい日々を過ごしつつも、友達という関係に複雑な思いを感じ始めていた。そんな二人の微妙な関係を崩そうと生徒会長・昂</t>
    </r>
    <r>
      <rPr>
        <rFont val="Arial"/>
        <sz val="10.0"/>
      </rPr>
      <t>(</t>
    </r>
    <r>
      <rPr>
        <rFont val="ＭＳ Ｐゴシック"/>
        <sz val="10.0"/>
      </rPr>
      <t>宮沢氷魚</t>
    </r>
    <r>
      <rPr>
        <rFont val="Arial"/>
        <sz val="10.0"/>
      </rPr>
      <t>)</t>
    </r>
    <r>
      <rPr>
        <rFont val="ＭＳ Ｐゴシック"/>
        <sz val="10.0"/>
      </rPr>
      <t>は、繭を</t>
    </r>
    <r>
      <rPr>
        <rFont val="Arial"/>
        <sz val="10.0"/>
      </rPr>
      <t>“</t>
    </r>
    <r>
      <rPr>
        <rFont val="ＭＳ Ｐゴシック"/>
        <sz val="10.0"/>
      </rPr>
      <t>姫</t>
    </r>
    <r>
      <rPr>
        <rFont val="Arial"/>
        <sz val="10.0"/>
      </rPr>
      <t>"</t>
    </r>
    <r>
      <rPr>
        <rFont val="ＭＳ Ｐゴシック"/>
        <sz val="10.0"/>
      </rPr>
      <t>と呼び、自分の方へ振り向かせようと画策する。</t>
    </r>
    <r>
      <rPr>
        <rFont val="Arial"/>
        <sz val="10.0"/>
      </rPr>
      <t xml:space="preserve">  </t>
    </r>
    <r>
      <rPr>
        <rFont val="ＭＳ Ｐゴシック"/>
        <sz val="10.0"/>
      </rPr>
      <t>そんな中、球技大会で繭が足を痛めてしまう。繭を連れて病院へ向かった逞は、自分と同じ病気で入院中の照</t>
    </r>
    <r>
      <rPr>
        <rFont val="Arial"/>
        <sz val="10.0"/>
      </rPr>
      <t>(</t>
    </r>
    <r>
      <rPr>
        <rFont val="ＭＳ Ｐゴシック"/>
        <sz val="10.0"/>
      </rPr>
      <t>馬場ふみか</t>
    </r>
    <r>
      <rPr>
        <rFont val="Arial"/>
        <sz val="10.0"/>
      </rPr>
      <t>)</t>
    </r>
    <r>
      <rPr>
        <rFont val="ＭＳ Ｐゴシック"/>
        <sz val="10.0"/>
      </rPr>
      <t>と</t>
    </r>
    <r>
      <rPr>
        <rFont val="Arial"/>
        <sz val="10.0"/>
      </rPr>
      <t>4</t>
    </r>
    <r>
      <rPr>
        <rFont val="ＭＳ Ｐゴシック"/>
        <sz val="10.0"/>
      </rPr>
      <t>年ぶりに再会する。</t>
    </r>
  </si>
  <si>
    <t>友達になるという道を選んだ逞(野村周平)と繭(桜井日奈子)は、律(佐藤寛太)らと楽しい日々を過ごしつつも、友達という関係に複雑な思いを感じ始めていた。そんな二人の微妙な関係を崩そうと生徒会長・昂(宮沢氷魚)は、繭を“姫"と呼び、自分の方へ振り向かせようと画策する。  そんな中、球技大会で繭が足を痛めてしまう。繭を連れて病院へ向かった逞は、自分と同じ病気で入院中の照(馬場ふみか)と4年ぶりに再会する。</t>
  </si>
  <si>
    <t>番組名僕の初恋をキミに捧ぐ　#3「泣きながら決心した…もう嘘はイヤだ!」</t>
  </si>
  <si>
    <r>
      <rPr>
        <rFont val="ＭＳ Ｐゴシック"/>
        <sz val="10.0"/>
      </rPr>
      <t>病院で再会した逞</t>
    </r>
    <r>
      <rPr>
        <rFont val="Arial"/>
        <sz val="10.0"/>
      </rPr>
      <t>(</t>
    </r>
    <r>
      <rPr>
        <rFont val="ＭＳ Ｐゴシック"/>
        <sz val="10.0"/>
      </rPr>
      <t>野村周平</t>
    </r>
    <r>
      <rPr>
        <rFont val="Arial"/>
        <sz val="10.0"/>
      </rPr>
      <t>)</t>
    </r>
    <r>
      <rPr>
        <rFont val="ＭＳ Ｐゴシック"/>
        <sz val="10.0"/>
      </rPr>
      <t>と照</t>
    </r>
    <r>
      <rPr>
        <rFont val="Arial"/>
        <sz val="10.0"/>
      </rPr>
      <t>(</t>
    </r>
    <r>
      <rPr>
        <rFont val="ＭＳ Ｐゴシック"/>
        <sz val="10.0"/>
      </rPr>
      <t>馬場ふみか</t>
    </r>
    <r>
      <rPr>
        <rFont val="Arial"/>
        <sz val="10.0"/>
      </rPr>
      <t>)</t>
    </r>
    <r>
      <rPr>
        <rFont val="ＭＳ Ｐゴシック"/>
        <sz val="10.0"/>
      </rPr>
      <t>。繭</t>
    </r>
    <r>
      <rPr>
        <rFont val="Arial"/>
        <sz val="10.0"/>
      </rPr>
      <t>(</t>
    </r>
    <r>
      <rPr>
        <rFont val="ＭＳ Ｐゴシック"/>
        <sz val="10.0"/>
      </rPr>
      <t>桜井日奈子</t>
    </r>
    <r>
      <rPr>
        <rFont val="Arial"/>
        <sz val="10.0"/>
      </rPr>
      <t>)</t>
    </r>
    <r>
      <rPr>
        <rFont val="ＭＳ Ｐゴシック"/>
        <sz val="10.0"/>
      </rPr>
      <t>は、除け者にされたような気持ちになる。さらに、照が逞にキスをねだる場面を目撃し、思わず逃げ出してしまう。「逞と照が付き合うことになったらしい」という話が学校で一気に広まる中、昂</t>
    </r>
    <r>
      <rPr>
        <rFont val="Arial"/>
        <sz val="10.0"/>
      </rPr>
      <t>(</t>
    </r>
    <r>
      <rPr>
        <rFont val="ＭＳ Ｐゴシック"/>
        <sz val="10.0"/>
      </rPr>
      <t>宮沢氷魚</t>
    </r>
    <r>
      <rPr>
        <rFont val="Arial"/>
        <sz val="10.0"/>
      </rPr>
      <t>)</t>
    </r>
    <r>
      <rPr>
        <rFont val="ＭＳ Ｐゴシック"/>
        <sz val="10.0"/>
      </rPr>
      <t>からデートに誘われた繭は、ヤケクソで了解する。そんな中、逞が友達を連れてお見舞いに来てくれたことに大喜びしていた照が、突然胸を押さえて苦しみ始め</t>
    </r>
    <r>
      <rPr>
        <rFont val="Arial"/>
        <sz val="10.0"/>
      </rPr>
      <t>…</t>
    </r>
  </si>
  <si>
    <t>病院で再会した逞(野村周平)と照(馬場ふみか)。繭(桜井日奈子)は、除け者にされたような気持ちになる。さらに、照が逞にキスをねだる場面を目撃し、思わず逃げ出してしまう。「逞と照が付き合うことになったらしい」という話が学校で一気に広まる中、昂(宮沢氷魚)からデートに誘われた繭は、ヤケクソで了解する。そんな中、逞が友達を連れてお見舞いに来てくれたことに大喜びしていた照が、突然胸を押さえて苦しみ始め…</t>
  </si>
  <si>
    <t>番組名僕の初恋をキミに捧ぐ　#4　「俺は…繭のことが好きなんだ!」</t>
  </si>
  <si>
    <r>
      <rPr>
        <rFont val="ＭＳ Ｐゴシック"/>
        <sz val="10.0"/>
      </rPr>
      <t>自分の気持ちにケリをつけると決めた繭</t>
    </r>
    <r>
      <rPr>
        <rFont val="Arial"/>
        <sz val="10.0"/>
      </rPr>
      <t>(</t>
    </r>
    <r>
      <rPr>
        <rFont val="ＭＳ Ｐゴシック"/>
        <sz val="10.0"/>
      </rPr>
      <t>桜井日奈子</t>
    </r>
    <r>
      <rPr>
        <rFont val="Arial"/>
        <sz val="10.0"/>
      </rPr>
      <t>)</t>
    </r>
    <r>
      <rPr>
        <rFont val="ＭＳ Ｐゴシック"/>
        <sz val="10.0"/>
      </rPr>
      <t>は「来なければ諦める」と言い、逞</t>
    </r>
    <r>
      <rPr>
        <rFont val="Arial"/>
        <sz val="10.0"/>
      </rPr>
      <t>(</t>
    </r>
    <r>
      <rPr>
        <rFont val="ＭＳ Ｐゴシック"/>
        <sz val="10.0"/>
      </rPr>
      <t>野村周平</t>
    </r>
    <r>
      <rPr>
        <rFont val="Arial"/>
        <sz val="10.0"/>
      </rPr>
      <t>)</t>
    </r>
    <r>
      <rPr>
        <rFont val="ＭＳ Ｐゴシック"/>
        <sz val="10.0"/>
      </rPr>
      <t>を呼び出す。逞も律</t>
    </r>
    <r>
      <rPr>
        <rFont val="Arial"/>
        <sz val="10.0"/>
      </rPr>
      <t>(</t>
    </r>
    <r>
      <rPr>
        <rFont val="ＭＳ Ｐゴシック"/>
        <sz val="10.0"/>
      </rPr>
      <t>佐藤寛太</t>
    </r>
    <r>
      <rPr>
        <rFont val="Arial"/>
        <sz val="10.0"/>
      </rPr>
      <t>)</t>
    </r>
    <r>
      <rPr>
        <rFont val="ＭＳ Ｐゴシック"/>
        <sz val="10.0"/>
      </rPr>
      <t>に背中を押され、自分の気持ちに正直になると決めると、自分を思ってくれる照</t>
    </r>
    <r>
      <rPr>
        <rFont val="Arial"/>
        <sz val="10.0"/>
      </rPr>
      <t>(</t>
    </r>
    <r>
      <rPr>
        <rFont val="ＭＳ Ｐゴシック"/>
        <sz val="10.0"/>
      </rPr>
      <t>馬場ふみか</t>
    </r>
    <r>
      <rPr>
        <rFont val="Arial"/>
        <sz val="10.0"/>
      </rPr>
      <t>)</t>
    </r>
    <r>
      <rPr>
        <rFont val="ＭＳ Ｐゴシック"/>
        <sz val="10.0"/>
      </rPr>
      <t>との関係にケジメをつけるため病院へ向かう。しかし、すがってくる照に背を向けた時、苦しそうな呼吸音が聞こえて来る。振り向いた逞の目に飛び込んできたのは、胸を押さえて苦しむ照の姿だった</t>
    </r>
    <r>
      <rPr>
        <rFont val="Arial"/>
        <sz val="10.0"/>
      </rPr>
      <t>…</t>
    </r>
    <r>
      <rPr>
        <rFont val="ＭＳ Ｐゴシック"/>
        <sz val="10.0"/>
      </rPr>
      <t>。</t>
    </r>
  </si>
  <si>
    <t>自分の気持ちにケリをつけると決めた繭(桜井日奈子)は「来なければ諦める」と言い、逞(野村周平)を呼び出す。逞も律(佐藤寛太)に背中を押され、自分の気持ちに正直になると決めると、自分を思ってくれる照(馬場ふみか)との関係にケジメをつけるため病院へ向かう。しかし、すがってくる照に背を向けた時、苦しそうな呼吸音が聞こえて来る。振り向いた逞の目に飛び込んできたのは、胸を押さえて苦しむ照の姿だった…。</t>
  </si>
  <si>
    <t>番組名僕の初恋をキミに捧ぐ　#5　「私たち今からキスするから」</t>
  </si>
  <si>
    <r>
      <rPr>
        <rFont val="ＭＳ Ｐゴシック"/>
        <sz val="10.0"/>
      </rPr>
      <t>主治医の種田</t>
    </r>
    <r>
      <rPr>
        <rFont val="Arial"/>
        <sz val="10.0"/>
      </rPr>
      <t>(</t>
    </r>
    <r>
      <rPr>
        <rFont val="ＭＳ Ｐゴシック"/>
        <sz val="10.0"/>
      </rPr>
      <t>生瀬勝久</t>
    </r>
    <r>
      <rPr>
        <rFont val="Arial"/>
        <sz val="10.0"/>
      </rPr>
      <t>)</t>
    </r>
    <r>
      <rPr>
        <rFont val="ＭＳ Ｐゴシック"/>
        <sz val="10.0"/>
      </rPr>
      <t>から心臓移植の話を聞き、希望が湧いてきた逞</t>
    </r>
    <r>
      <rPr>
        <rFont val="Arial"/>
        <sz val="10.0"/>
      </rPr>
      <t>(</t>
    </r>
    <r>
      <rPr>
        <rFont val="ＭＳ Ｐゴシック"/>
        <sz val="10.0"/>
      </rPr>
      <t>野村周平</t>
    </r>
    <r>
      <rPr>
        <rFont val="Arial"/>
        <sz val="10.0"/>
      </rPr>
      <t>)</t>
    </r>
    <r>
      <rPr>
        <rFont val="ＭＳ Ｐゴシック"/>
        <sz val="10.0"/>
      </rPr>
      <t>に律</t>
    </r>
    <r>
      <rPr>
        <rFont val="Arial"/>
        <sz val="10.0"/>
      </rPr>
      <t>(</t>
    </r>
    <r>
      <rPr>
        <rFont val="ＭＳ Ｐゴシック"/>
        <sz val="10.0"/>
      </rPr>
      <t>佐藤寛太</t>
    </r>
    <r>
      <rPr>
        <rFont val="Arial"/>
        <sz val="10.0"/>
      </rPr>
      <t>)</t>
    </r>
    <r>
      <rPr>
        <rFont val="ＭＳ Ｐゴシック"/>
        <sz val="10.0"/>
      </rPr>
      <t>から電話がかかってくる。ドライブに出かけた昂</t>
    </r>
    <r>
      <rPr>
        <rFont val="Arial"/>
        <sz val="10.0"/>
      </rPr>
      <t>(</t>
    </r>
    <r>
      <rPr>
        <rFont val="ＭＳ Ｐゴシック"/>
        <sz val="10.0"/>
      </rPr>
      <t>宮沢氷魚</t>
    </r>
    <r>
      <rPr>
        <rFont val="Arial"/>
        <sz val="10.0"/>
      </rPr>
      <t>)</t>
    </r>
    <r>
      <rPr>
        <rFont val="ＭＳ Ｐゴシック"/>
        <sz val="10.0"/>
      </rPr>
      <t>と繭</t>
    </r>
    <r>
      <rPr>
        <rFont val="Arial"/>
        <sz val="10.0"/>
      </rPr>
      <t>(</t>
    </r>
    <r>
      <rPr>
        <rFont val="ＭＳ Ｐゴシック"/>
        <sz val="10.0"/>
      </rPr>
      <t>桜井日奈子</t>
    </r>
    <r>
      <rPr>
        <rFont val="Arial"/>
        <sz val="10.0"/>
      </rPr>
      <t>)</t>
    </r>
    <r>
      <rPr>
        <rFont val="ＭＳ Ｐゴシック"/>
        <sz val="10.0"/>
      </rPr>
      <t>が事故に遭ったという。慌てて病院に向かった逞は絶望の淵に</t>
    </r>
    <r>
      <rPr>
        <rFont val="Arial"/>
        <sz val="10.0"/>
      </rPr>
      <t>…</t>
    </r>
    <r>
      <rPr>
        <rFont val="ＭＳ Ｐゴシック"/>
        <sz val="10.0"/>
      </rPr>
      <t>だが、振り向いた瞬間に繭が現れ、思わず抱きしめ本心を打ち明ける。そして文化祭の日。繭の出し物の喫茶店に昂がやって来る。繭は昂に自分の気持ちを伝えようとするが、全てお見通しで</t>
    </r>
    <r>
      <rPr>
        <rFont val="Arial"/>
        <sz val="10.0"/>
      </rPr>
      <t>…</t>
    </r>
  </si>
  <si>
    <t>主治医の種田(生瀬勝久)から心臓移植の話を聞き、希望が湧いてきた逞(野村周平)に律(佐藤寛太)から電話がかかってくる。ドライブに出かけた昂(宮沢氷魚)と繭(桜井日奈子)が事故に遭ったという。慌てて病院に向かった逞は絶望の淵に…だが、振り向いた瞬間に繭が現れ、思わず抱きしめ本心を打ち明ける。そして文化祭の日。繭の出し物の喫茶店に昂がやって来る。繭は昂に自分の気持ちを伝えようとするが、全てお見通しで…</t>
  </si>
  <si>
    <t>番組名僕の初恋をキミに捧ぐ　#6「俺たち…これからデートするカップルみたいだな」</t>
  </si>
  <si>
    <r>
      <rPr>
        <rFont val="ＭＳ Ｐゴシック"/>
        <sz val="10.0"/>
      </rPr>
      <t>逞</t>
    </r>
    <r>
      <rPr>
        <rFont val="Arial"/>
        <sz val="10.0"/>
      </rPr>
      <t>(</t>
    </r>
    <r>
      <rPr>
        <rFont val="ＭＳ Ｐゴシック"/>
        <sz val="10.0"/>
      </rPr>
      <t>野村周平</t>
    </r>
    <r>
      <rPr>
        <rFont val="Arial"/>
        <sz val="10.0"/>
      </rPr>
      <t>)</t>
    </r>
    <r>
      <rPr>
        <rFont val="ＭＳ Ｐゴシック"/>
        <sz val="10.0"/>
      </rPr>
      <t>が体調に異変を感じている中、繭</t>
    </r>
    <r>
      <rPr>
        <rFont val="Arial"/>
        <sz val="10.0"/>
      </rPr>
      <t>(</t>
    </r>
    <r>
      <rPr>
        <rFont val="ＭＳ Ｐゴシック"/>
        <sz val="10.0"/>
      </rPr>
      <t>桜井日奈子</t>
    </r>
    <r>
      <rPr>
        <rFont val="Arial"/>
        <sz val="10.0"/>
      </rPr>
      <t>)</t>
    </r>
    <r>
      <rPr>
        <rFont val="ＭＳ Ｐゴシック"/>
        <sz val="10.0"/>
      </rPr>
      <t>から「助けて」と連絡がくる。優実</t>
    </r>
    <r>
      <rPr>
        <rFont val="Arial"/>
        <sz val="10.0"/>
      </rPr>
      <t>(</t>
    </r>
    <r>
      <rPr>
        <rFont val="ＭＳ Ｐゴシック"/>
        <sz val="10.0"/>
      </rPr>
      <t>松井愛莉</t>
    </r>
    <r>
      <rPr>
        <rFont val="Arial"/>
        <sz val="10.0"/>
      </rPr>
      <t>)</t>
    </r>
    <r>
      <rPr>
        <rFont val="ＭＳ Ｐゴシック"/>
        <sz val="10.0"/>
      </rPr>
      <t>と一緒にいた繭は、男に後をつけられて困っていた。息苦しいのをこらえ出かけようとする逞だったが、繭の元には昂</t>
    </r>
    <r>
      <rPr>
        <rFont val="Arial"/>
        <sz val="10.0"/>
      </rPr>
      <t>(</t>
    </r>
    <r>
      <rPr>
        <rFont val="ＭＳ Ｐゴシック"/>
        <sz val="10.0"/>
      </rPr>
      <t>宮沢氷魚</t>
    </r>
    <r>
      <rPr>
        <rFont val="Arial"/>
        <sz val="10.0"/>
      </rPr>
      <t>)</t>
    </r>
    <r>
      <rPr>
        <rFont val="ＭＳ Ｐゴシック"/>
        <sz val="10.0"/>
      </rPr>
      <t>が駆けつける。数日後、病院を訪れた逞に種田</t>
    </r>
    <r>
      <rPr>
        <rFont val="Arial"/>
        <sz val="10.0"/>
      </rPr>
      <t>(</t>
    </r>
    <r>
      <rPr>
        <rFont val="ＭＳ Ｐゴシック"/>
        <sz val="10.0"/>
      </rPr>
      <t>生瀬勝久</t>
    </r>
    <r>
      <rPr>
        <rFont val="Arial"/>
        <sz val="10.0"/>
      </rPr>
      <t>)</t>
    </r>
    <r>
      <rPr>
        <rFont val="ＭＳ Ｐゴシック"/>
        <sz val="10.0"/>
      </rPr>
      <t>は「予想外に病状が進行しているかもしれないので入院した方がいい」と告げる。そして逞と繭は、入院前、最後のデートに出かける。</t>
    </r>
  </si>
  <si>
    <t>逞(野村周平)が体調に異変を感じている中、繭(桜井日奈子)から「助けて」と連絡がくる。優実(松井愛莉)と一緒にいた繭は、男に後をつけられて困っていた。息苦しいのをこらえ出かけようとする逞だったが、繭の元には昂(宮沢氷魚)が駆けつける。数日後、病院を訪れた逞に種田(生瀬勝久)は「予想外に病状が進行しているかもしれないので入院した方がいい」と告げる。そして逞と繭は、入院前、最後のデートに出かける。</t>
  </si>
  <si>
    <t>番組名僕の初恋をキミに捧ぐ　#7/最終回「僕らの初恋は、永遠に輝き続ける」</t>
  </si>
  <si>
    <r>
      <rPr>
        <rFont val="ＭＳ Ｐゴシック"/>
        <sz val="10.0"/>
      </rPr>
      <t>突然、心臓移植が受けられることになった逞</t>
    </r>
    <r>
      <rPr>
        <rFont val="Arial"/>
        <sz val="10.0"/>
      </rPr>
      <t>(</t>
    </r>
    <r>
      <rPr>
        <rFont val="ＭＳ Ｐゴシック"/>
        <sz val="10.0"/>
      </rPr>
      <t>野村周平</t>
    </r>
    <r>
      <rPr>
        <rFont val="Arial"/>
        <sz val="10.0"/>
      </rPr>
      <t>)</t>
    </r>
    <r>
      <rPr>
        <rFont val="ＭＳ Ｐゴシック"/>
        <sz val="10.0"/>
      </rPr>
      <t>。繭</t>
    </r>
    <r>
      <rPr>
        <rFont val="Arial"/>
        <sz val="10.0"/>
      </rPr>
      <t>(</t>
    </r>
    <r>
      <rPr>
        <rFont val="ＭＳ Ｐゴシック"/>
        <sz val="10.0"/>
      </rPr>
      <t>桜井日奈子</t>
    </r>
    <r>
      <rPr>
        <rFont val="Arial"/>
        <sz val="10.0"/>
      </rPr>
      <t>)</t>
    </r>
    <r>
      <rPr>
        <rFont val="ＭＳ Ｐゴシック"/>
        <sz val="10.0"/>
      </rPr>
      <t>は安堵と喜びを覚えるが、心臓の提供者は脳死状態に陥った昂</t>
    </r>
    <r>
      <rPr>
        <rFont val="Arial"/>
        <sz val="10.0"/>
      </rPr>
      <t>(</t>
    </r>
    <r>
      <rPr>
        <rFont val="ＭＳ Ｐゴシック"/>
        <sz val="10.0"/>
      </rPr>
      <t>宮沢氷魚</t>
    </r>
    <r>
      <rPr>
        <rFont val="Arial"/>
        <sz val="10.0"/>
      </rPr>
      <t>)</t>
    </r>
    <r>
      <rPr>
        <rFont val="ＭＳ Ｐゴシック"/>
        <sz val="10.0"/>
      </rPr>
      <t>だった。逞は悩んだ末、「移植手術を拒否する」と書いた手紙を残し、病院から姿を消してしまう。絶望する逞の母・えみ</t>
    </r>
    <r>
      <rPr>
        <rFont val="Arial"/>
        <sz val="10.0"/>
      </rPr>
      <t>(</t>
    </r>
    <r>
      <rPr>
        <rFont val="ＭＳ Ｐゴシック"/>
        <sz val="10.0"/>
      </rPr>
      <t>石田ひかり</t>
    </r>
    <r>
      <rPr>
        <rFont val="Arial"/>
        <sz val="10.0"/>
      </rPr>
      <t>)</t>
    </r>
    <r>
      <rPr>
        <rFont val="ＭＳ Ｐゴシック"/>
        <sz val="10.0"/>
      </rPr>
      <t>。繭は「逞の居場所が分かるのは私だけ」と夜の街へ飛び出す。すると、逞は思い出の公園に。</t>
    </r>
    <r>
      <rPr>
        <rFont val="Arial"/>
        <sz val="10.0"/>
      </rPr>
      <t>2</t>
    </r>
    <r>
      <rPr>
        <rFont val="ＭＳ Ｐゴシック"/>
        <sz val="10.0"/>
      </rPr>
      <t>人は一夜を共にし、未来を信じてある決断を下すが</t>
    </r>
    <r>
      <rPr>
        <rFont val="Arial"/>
        <sz val="10.0"/>
      </rPr>
      <t>…!?</t>
    </r>
  </si>
  <si>
    <t>突然、心臓移植が受けられることになった逞(野村周平)。繭(桜井日奈子)は安堵と喜びを覚えるが、心臓の提供者は脳死状態に陥った昂(宮沢氷魚)だった。逞は悩んだ末、「移植手術を拒否する」と書いた手紙を残し、病院から姿を消してしまう。絶望する逞の母・えみ(石田ひかり)。繭は「逞の居場所が分かるのは私だけ」と夜の街へ飛び出す。すると、逞は思い出の公園に。2人は一夜を共にし、未来を信じてある決断を下すが…!?</t>
  </si>
  <si>
    <t>1810_EX_木21</t>
  </si>
  <si>
    <t>リーガルV</t>
  </si>
  <si>
    <t>番組名リーガルV　～元弁護士・小鳥遊翔子～　#1</t>
  </si>
  <si>
    <r>
      <rPr>
        <rFont val="ＭＳ Ｐゴシック"/>
        <sz val="10.0"/>
      </rPr>
      <t>翔子はペーパー弁護士の大学教授・京極</t>
    </r>
    <r>
      <rPr>
        <rFont val="Arial"/>
        <sz val="10.0"/>
      </rPr>
      <t>(</t>
    </r>
    <r>
      <rPr>
        <rFont val="ＭＳ Ｐゴシック"/>
        <sz val="10.0"/>
      </rPr>
      <t>高橋英樹</t>
    </r>
    <r>
      <rPr>
        <rFont val="Arial"/>
        <sz val="10.0"/>
      </rPr>
      <t>)</t>
    </r>
    <r>
      <rPr>
        <rFont val="ＭＳ Ｐゴシック"/>
        <sz val="10.0"/>
      </rPr>
      <t>を誘い、若手弁護士・青島</t>
    </r>
    <r>
      <rPr>
        <rFont val="Arial"/>
        <sz val="10.0"/>
      </rPr>
      <t>(</t>
    </r>
    <r>
      <rPr>
        <rFont val="ＭＳ Ｐゴシック"/>
        <sz val="10.0"/>
      </rPr>
      <t>林遣都</t>
    </r>
    <r>
      <rPr>
        <rFont val="Arial"/>
        <sz val="10.0"/>
      </rPr>
      <t>)</t>
    </r>
    <r>
      <rPr>
        <rFont val="ＭＳ Ｐゴシック"/>
        <sz val="10.0"/>
      </rPr>
      <t>をスカウト、さらに前科のあるパラリーガル・馬場</t>
    </r>
    <r>
      <rPr>
        <rFont val="Arial"/>
        <sz val="10.0"/>
      </rPr>
      <t>(</t>
    </r>
    <r>
      <rPr>
        <rFont val="ＭＳ Ｐゴシック"/>
        <sz val="10.0"/>
      </rPr>
      <t>荒川良々</t>
    </r>
    <r>
      <rPr>
        <rFont val="Arial"/>
        <sz val="10.0"/>
      </rPr>
      <t>)</t>
    </r>
    <r>
      <rPr>
        <rFont val="ＭＳ Ｐゴシック"/>
        <sz val="10.0"/>
      </rPr>
      <t>、伊藤</t>
    </r>
    <r>
      <rPr>
        <rFont val="Arial"/>
        <sz val="10.0"/>
      </rPr>
      <t>(</t>
    </r>
    <r>
      <rPr>
        <rFont val="ＭＳ Ｐゴシック"/>
        <sz val="10.0"/>
      </rPr>
      <t>安達祐実</t>
    </r>
    <r>
      <rPr>
        <rFont val="Arial"/>
        <sz val="10.0"/>
      </rPr>
      <t>)</t>
    </r>
    <r>
      <rPr>
        <rFont val="ＭＳ Ｐゴシック"/>
        <sz val="10.0"/>
      </rPr>
      <t>、茅野</t>
    </r>
    <r>
      <rPr>
        <rFont val="Arial"/>
        <sz val="10.0"/>
      </rPr>
      <t>(</t>
    </r>
    <r>
      <rPr>
        <rFont val="ＭＳ Ｐゴシック"/>
        <sz val="10.0"/>
      </rPr>
      <t>三浦翔平</t>
    </r>
    <r>
      <rPr>
        <rFont val="Arial"/>
        <sz val="10.0"/>
      </rPr>
      <t>)</t>
    </r>
    <r>
      <rPr>
        <rFont val="ＭＳ Ｐゴシック"/>
        <sz val="10.0"/>
      </rPr>
      <t>も雇って法律事務所を立ち上げる。事務所の初仕事は痴漢騒動。一流企業の社員・安田</t>
    </r>
    <r>
      <rPr>
        <rFont val="Arial"/>
        <sz val="10.0"/>
      </rPr>
      <t>(</t>
    </r>
    <r>
      <rPr>
        <rFont val="ＭＳ Ｐゴシック"/>
        <sz val="10.0"/>
      </rPr>
      <t>児嶋一哉</t>
    </r>
    <r>
      <rPr>
        <rFont val="Arial"/>
        <sz val="10.0"/>
      </rPr>
      <t>)</t>
    </r>
    <r>
      <rPr>
        <rFont val="ＭＳ Ｐゴシック"/>
        <sz val="10.0"/>
      </rPr>
      <t>は無実を主張するも、痴漢事件は圧倒的に被害者が有利。ところが当初はバッサリ切り捨てていた翔子が、安田が発したある一言に目の色を変え</t>
    </r>
    <r>
      <rPr>
        <rFont val="Arial"/>
        <sz val="10.0"/>
      </rPr>
      <t>…</t>
    </r>
  </si>
  <si>
    <t>翔子はペーパー弁護士の大学教授・京極(高橋英樹)を誘い、若手弁護士・青島(林遣都)をスカウト、さらに前科のあるパラリーガル・馬場(荒川良々)、伊藤(安達祐実)、茅野(三浦翔平)も雇って法律事務所を立ち上げる。事務所の初仕事は痴漢騒動。一流企業の社員・安田(児嶋一哉)は無実を主張するも、痴漢事件は圧倒的に被害者が有利。ところが当初はバッサリ切り捨てていた翔子が、安田が発したある一言に目の色を変え…</t>
  </si>
  <si>
    <t>番組名リーガルV　～元弁護士・小鳥遊翔子～　#2</t>
  </si>
  <si>
    <r>
      <rPr>
        <rFont val="ＭＳ Ｐゴシック"/>
        <sz val="10.0"/>
      </rPr>
      <t>翔子が管理人を務める京極法律事務所に、世界的企業の元取締役・永島美鈴</t>
    </r>
    <r>
      <rPr>
        <rFont val="Arial"/>
        <sz val="10.0"/>
      </rPr>
      <t>(</t>
    </r>
    <r>
      <rPr>
        <rFont val="ＭＳ Ｐゴシック"/>
        <sz val="10.0"/>
      </rPr>
      <t>斉藤由貴</t>
    </r>
    <r>
      <rPr>
        <rFont val="Arial"/>
        <sz val="10.0"/>
      </rPr>
      <t>)</t>
    </r>
    <r>
      <rPr>
        <rFont val="ＭＳ Ｐゴシック"/>
        <sz val="10.0"/>
      </rPr>
      <t>が弁護を依頼。</t>
    </r>
    <r>
      <rPr>
        <rFont val="Arial"/>
        <sz val="10.0"/>
      </rPr>
      <t>3</t>
    </r>
    <r>
      <rPr>
        <rFont val="ＭＳ Ｐゴシック"/>
        <sz val="10.0"/>
      </rPr>
      <t>人の部下からパワーハラスメントで告発され解任、会社を相手に民事訴訟を起こしたという。ところが、会社側を弁護する</t>
    </r>
    <r>
      <rPr>
        <rFont val="Arial"/>
        <sz val="10.0"/>
      </rPr>
      <t>Felix&amp;Temma</t>
    </r>
    <r>
      <rPr>
        <rFont val="ＭＳ Ｐゴシック"/>
        <sz val="10.0"/>
      </rPr>
      <t>法律事務所の白鳥</t>
    </r>
    <r>
      <rPr>
        <rFont val="Arial"/>
        <sz val="10.0"/>
      </rPr>
      <t>(</t>
    </r>
    <r>
      <rPr>
        <rFont val="ＭＳ Ｐゴシック"/>
        <sz val="10.0"/>
      </rPr>
      <t>菜々緒</t>
    </r>
    <r>
      <rPr>
        <rFont val="Arial"/>
        <sz val="10.0"/>
      </rPr>
      <t>)</t>
    </r>
    <r>
      <rPr>
        <rFont val="ＭＳ Ｐゴシック"/>
        <sz val="10.0"/>
      </rPr>
      <t>が青島</t>
    </r>
    <r>
      <rPr>
        <rFont val="Arial"/>
        <sz val="10.0"/>
      </rPr>
      <t>(</t>
    </r>
    <r>
      <rPr>
        <rFont val="ＭＳ Ｐゴシック"/>
        <sz val="10.0"/>
      </rPr>
      <t>林遣都</t>
    </r>
    <r>
      <rPr>
        <rFont val="Arial"/>
        <sz val="10.0"/>
      </rPr>
      <t>)</t>
    </r>
    <r>
      <rPr>
        <rFont val="ＭＳ Ｐゴシック"/>
        <sz val="10.0"/>
      </rPr>
      <t>と京極</t>
    </r>
    <r>
      <rPr>
        <rFont val="Arial"/>
        <sz val="10.0"/>
      </rPr>
      <t>(</t>
    </r>
    <r>
      <rPr>
        <rFont val="ＭＳ Ｐゴシック"/>
        <sz val="10.0"/>
      </rPr>
      <t>高橋英樹</t>
    </r>
    <r>
      <rPr>
        <rFont val="Arial"/>
        <sz val="10.0"/>
      </rPr>
      <t>)</t>
    </r>
    <r>
      <rPr>
        <rFont val="ＭＳ Ｐゴシック"/>
        <sz val="10.0"/>
      </rPr>
      <t>に手渡した音声データには、美鈴が部下にビルから飛び降りるよう迫り、暴力を振るっている様子が録音されていて</t>
    </r>
    <r>
      <rPr>
        <rFont val="Arial"/>
        <sz val="10.0"/>
      </rPr>
      <t>…</t>
    </r>
  </si>
  <si>
    <t>翔子が管理人を務める京極法律事務所に、世界的企業の元取締役・永島美鈴(斉藤由貴)が弁護を依頼。3人の部下からパワーハラスメントで告発され解任、会社を相手に民事訴訟を起こしたという。ところが、会社側を弁護するFelix&amp;Temma法律事務所の白鳥(菜々緒)が青島(林遣都)と京極(高橋英樹)に手渡した音声データには、美鈴が部下にビルから飛び降りるよう迫り、暴力を振るっている様子が録音されていて…</t>
  </si>
  <si>
    <t>番組名リーガルV　～元弁護士・小鳥遊翔子～　#3</t>
  </si>
  <si>
    <r>
      <rPr>
        <rFont val="ＭＳ Ｐゴシック"/>
        <sz val="10.0"/>
      </rPr>
      <t>ヤメ検弁護士・大鷹</t>
    </r>
    <r>
      <rPr>
        <rFont val="Arial"/>
        <sz val="10.0"/>
      </rPr>
      <t>(</t>
    </r>
    <r>
      <rPr>
        <rFont val="ＭＳ Ｐゴシック"/>
        <sz val="10.0"/>
      </rPr>
      <t>勝村政信</t>
    </r>
    <r>
      <rPr>
        <rFont val="Arial"/>
        <sz val="10.0"/>
      </rPr>
      <t>)</t>
    </r>
    <r>
      <rPr>
        <rFont val="ＭＳ Ｐゴシック"/>
        <sz val="10.0"/>
      </rPr>
      <t>が殺人事件の弁護を担当することに。被告人は被害者の夫・浅野</t>
    </r>
    <r>
      <rPr>
        <rFont val="Arial"/>
        <sz val="10.0"/>
      </rPr>
      <t>(</t>
    </r>
    <r>
      <rPr>
        <rFont val="ＭＳ Ｐゴシック"/>
        <sz val="10.0"/>
      </rPr>
      <t>桐山漣</t>
    </r>
    <r>
      <rPr>
        <rFont val="Arial"/>
        <sz val="10.0"/>
      </rPr>
      <t>)</t>
    </r>
    <r>
      <rPr>
        <rFont val="ＭＳ Ｐゴシック"/>
        <sz val="10.0"/>
      </rPr>
      <t>。しかし浅野には愛人がおり、妻に多額の生命保険をかけていたことまで発覚</t>
    </r>
    <r>
      <rPr>
        <rFont val="Arial"/>
        <sz val="10.0"/>
      </rPr>
      <t>!</t>
    </r>
    <r>
      <rPr>
        <rFont val="ＭＳ Ｐゴシック"/>
        <sz val="10.0"/>
      </rPr>
      <t>話を聞いた翔子は、勝った場合は事務所を宣伝する条件で調査協力を約束。そんな中、浅野が事件当日、新宿で高校時代の恩師・蟹江</t>
    </r>
    <r>
      <rPr>
        <rFont val="Arial"/>
        <sz val="10.0"/>
      </rPr>
      <t>(</t>
    </r>
    <r>
      <rPr>
        <rFont val="ＭＳ Ｐゴシック"/>
        <sz val="10.0"/>
      </rPr>
      <t>岡本信人</t>
    </r>
    <r>
      <rPr>
        <rFont val="Arial"/>
        <sz val="10.0"/>
      </rPr>
      <t>)</t>
    </r>
    <r>
      <rPr>
        <rFont val="ＭＳ Ｐゴシック"/>
        <sz val="10.0"/>
      </rPr>
      <t>夫妻と出会ったことを思い出す。だが、蟹江も妻の光代</t>
    </r>
    <r>
      <rPr>
        <rFont val="Arial"/>
        <sz val="10.0"/>
      </rPr>
      <t>(</t>
    </r>
    <r>
      <rPr>
        <rFont val="ＭＳ Ｐゴシック"/>
        <sz val="10.0"/>
      </rPr>
      <t>原日出子</t>
    </r>
    <r>
      <rPr>
        <rFont val="Arial"/>
        <sz val="10.0"/>
      </rPr>
      <t>)</t>
    </r>
    <r>
      <rPr>
        <rFont val="ＭＳ Ｐゴシック"/>
        <sz val="10.0"/>
      </rPr>
      <t>も新宿には行っていないと言い</t>
    </r>
    <r>
      <rPr>
        <rFont val="Arial"/>
        <sz val="10.0"/>
      </rPr>
      <t>…</t>
    </r>
  </si>
  <si>
    <t>ヤメ検弁護士・大鷹(勝村政信)が殺人事件の弁護を担当することに。被告人は被害者の夫・浅野(桐山漣)。しかし浅野には愛人がおり、妻に多額の生命保険をかけていたことまで発覚!話を聞いた翔子は、勝った場合は事務所を宣伝する条件で調査協力を約束。そんな中、浅野が事件当日、新宿で高校時代の恩師・蟹江(岡本信人)夫妻と出会ったことを思い出す。だが、蟹江も妻の光代(原日出子)も新宿には行っていないと言い…</t>
  </si>
  <si>
    <t>番組名リーガルV　～元弁護士・小鳥遊翔子～　#4</t>
  </si>
  <si>
    <r>
      <t>200</t>
    </r>
    <r>
      <rPr>
        <rFont val="ＭＳ Ｐゴシック"/>
        <sz val="10.0"/>
      </rPr>
      <t>億円の遺産を残し、峰島興業の会長</t>
    </r>
    <r>
      <rPr>
        <rFont val="Arial"/>
        <sz val="10.0"/>
      </rPr>
      <t>(</t>
    </r>
    <r>
      <rPr>
        <rFont val="ＭＳ Ｐゴシック"/>
        <sz val="10.0"/>
      </rPr>
      <t>竜雷太</t>
    </r>
    <r>
      <rPr>
        <rFont val="Arial"/>
        <sz val="10.0"/>
      </rPr>
      <t>)</t>
    </r>
    <r>
      <rPr>
        <rFont val="ＭＳ Ｐゴシック"/>
        <sz val="10.0"/>
      </rPr>
      <t>が死亡。葬儀に謎の女性・玲奈</t>
    </r>
    <r>
      <rPr>
        <rFont val="Arial"/>
        <sz val="10.0"/>
      </rPr>
      <t>(</t>
    </r>
    <r>
      <rPr>
        <rFont val="ＭＳ Ｐゴシック"/>
        <sz val="10.0"/>
      </rPr>
      <t>島崎遥香</t>
    </r>
    <r>
      <rPr>
        <rFont val="Arial"/>
        <sz val="10.0"/>
      </rPr>
      <t>)</t>
    </r>
    <r>
      <rPr>
        <rFont val="ＭＳ Ｐゴシック"/>
        <sz val="10.0"/>
      </rPr>
      <t>が現れ、自分は会長の妻であると主張。亡くなる</t>
    </r>
    <r>
      <rPr>
        <rFont val="Arial"/>
        <sz val="10.0"/>
      </rPr>
      <t>4</t>
    </r>
    <r>
      <rPr>
        <rFont val="ＭＳ Ｐゴシック"/>
        <sz val="10.0"/>
      </rPr>
      <t>時間前に婚姻届を提出したという。全額を相続するはずだった一人息子の社長</t>
    </r>
    <r>
      <rPr>
        <rFont val="Arial"/>
        <sz val="10.0"/>
      </rPr>
      <t>(</t>
    </r>
    <r>
      <rPr>
        <rFont val="ＭＳ Ｐゴシック"/>
        <sz val="10.0"/>
      </rPr>
      <t>袴田吉彦</t>
    </r>
    <r>
      <rPr>
        <rFont val="Arial"/>
        <sz val="10.0"/>
      </rPr>
      <t>)</t>
    </r>
    <r>
      <rPr>
        <rFont val="ＭＳ Ｐゴシック"/>
        <sz val="10.0"/>
      </rPr>
      <t>は玲奈を訴え、玲奈は京極法律事務所に弁護を依頼。担当になったペーパー弁護士・京極雅彦</t>
    </r>
    <r>
      <rPr>
        <rFont val="Arial"/>
        <sz val="10.0"/>
      </rPr>
      <t>(</t>
    </r>
    <r>
      <rPr>
        <rFont val="ＭＳ Ｐゴシック"/>
        <sz val="10.0"/>
      </rPr>
      <t>高橋英樹</t>
    </r>
    <r>
      <rPr>
        <rFont val="Arial"/>
        <sz val="10.0"/>
      </rPr>
      <t>)</t>
    </r>
    <r>
      <rPr>
        <rFont val="ＭＳ Ｐゴシック"/>
        <sz val="10.0"/>
      </rPr>
      <t>は初法廷に大はりきり。一方、翔子</t>
    </r>
    <r>
      <rPr>
        <rFont val="Arial"/>
        <sz val="10.0"/>
      </rPr>
      <t>(</t>
    </r>
    <r>
      <rPr>
        <rFont val="ＭＳ Ｐゴシック"/>
        <sz val="10.0"/>
      </rPr>
      <t>米倉涼子</t>
    </r>
    <r>
      <rPr>
        <rFont val="Arial"/>
        <sz val="10.0"/>
      </rPr>
      <t>)</t>
    </r>
    <r>
      <rPr>
        <rFont val="ＭＳ Ｐゴシック"/>
        <sz val="10.0"/>
      </rPr>
      <t>はなぜ玲奈が遺産に執着するのか疑問に感じ</t>
    </r>
    <r>
      <rPr>
        <rFont val="Arial"/>
        <sz val="10.0"/>
      </rPr>
      <t>…!?</t>
    </r>
  </si>
  <si>
    <t>200億円の遺産を残し、峰島興業の会長(竜雷太)が死亡。葬儀に謎の女性・玲奈(島崎遥香)が現れ、自分は会長の妻であると主張。亡くなる4時間前に婚姻届を提出したという。全額を相続するはずだった一人息子の社長(袴田吉彦)は玲奈を訴え、玲奈は京極法律事務所に弁護を依頼。担当になったペーパー弁護士・京極雅彦(高橋英樹)は初法廷に大はりきり。一方、翔子(米倉涼子)はなぜ玲奈が遺産に執着するのか疑問に感じ…!?</t>
  </si>
  <si>
    <t>番組名リーガルV　～元弁護士・小鳥遊翔子～　#5</t>
  </si>
  <si>
    <r>
      <rPr>
        <rFont val="ＭＳ Ｐゴシック"/>
        <sz val="10.0"/>
      </rPr>
      <t>ベンチャー企業代表の大学生・町村</t>
    </r>
    <r>
      <rPr>
        <rFont val="Arial"/>
        <sz val="10.0"/>
      </rPr>
      <t>(</t>
    </r>
    <r>
      <rPr>
        <rFont val="ＭＳ Ｐゴシック"/>
        <sz val="10.0"/>
      </rPr>
      <t>瀬戸利樹</t>
    </r>
    <r>
      <rPr>
        <rFont val="Arial"/>
        <sz val="10.0"/>
      </rPr>
      <t>)</t>
    </r>
    <r>
      <rPr>
        <rFont val="ＭＳ Ｐゴシック"/>
        <sz val="10.0"/>
      </rPr>
      <t>が暴行を受け重傷を負う。凶器から指紋が検出されたため同級生の武藤</t>
    </r>
    <r>
      <rPr>
        <rFont val="Arial"/>
        <sz val="10.0"/>
      </rPr>
      <t>(</t>
    </r>
    <r>
      <rPr>
        <rFont val="ＭＳ Ｐゴシック"/>
        <sz val="10.0"/>
      </rPr>
      <t>戸塚純貴</t>
    </r>
    <r>
      <rPr>
        <rFont val="Arial"/>
        <sz val="10.0"/>
      </rPr>
      <t>)</t>
    </r>
    <r>
      <rPr>
        <rFont val="ＭＳ Ｐゴシック"/>
        <sz val="10.0"/>
      </rPr>
      <t>が起訴され、青島</t>
    </r>
    <r>
      <rPr>
        <rFont val="Arial"/>
        <sz val="10.0"/>
      </rPr>
      <t>(</t>
    </r>
    <r>
      <rPr>
        <rFont val="ＭＳ Ｐゴシック"/>
        <sz val="10.0"/>
      </rPr>
      <t>林遣都</t>
    </r>
    <r>
      <rPr>
        <rFont val="Arial"/>
        <sz val="10.0"/>
      </rPr>
      <t>)</t>
    </r>
    <r>
      <rPr>
        <rFont val="ＭＳ Ｐゴシック"/>
        <sz val="10.0"/>
      </rPr>
      <t>が弁護することに。ところが、町村が「武藤から暴行を受けた」と証言</t>
    </r>
    <r>
      <rPr>
        <rFont val="Arial"/>
        <sz val="10.0"/>
      </rPr>
      <t>…</t>
    </r>
    <r>
      <rPr>
        <rFont val="ＭＳ Ｐゴシック"/>
        <sz val="10.0"/>
      </rPr>
      <t>武藤は一審で実刑判決を受ける。その後、ネットの誹謗中傷に耐えながら無実を証明しようと戦っていた武藤の母</t>
    </r>
    <r>
      <rPr>
        <rFont val="Arial"/>
        <sz val="10.0"/>
      </rPr>
      <t>(</t>
    </r>
    <r>
      <rPr>
        <rFont val="ＭＳ Ｐゴシック"/>
        <sz val="10.0"/>
      </rPr>
      <t>片岡礼子</t>
    </r>
    <r>
      <rPr>
        <rFont val="Arial"/>
        <sz val="10.0"/>
      </rPr>
      <t>)</t>
    </r>
    <r>
      <rPr>
        <rFont val="ＭＳ Ｐゴシック"/>
        <sz val="10.0"/>
      </rPr>
      <t>が自殺してしまう。圧倒的不利な状況の中、翔子は諦めず青島を鼓舞し続けるが</t>
    </r>
    <r>
      <rPr>
        <rFont val="Arial"/>
        <sz val="10.0"/>
      </rPr>
      <t>…</t>
    </r>
  </si>
  <si>
    <t>ベンチャー企業代表の大学生・町村(瀬戸利樹)が暴行を受け重傷を負う。凶器から指紋が検出されたため同級生の武藤(戸塚純貴)が起訴され、青島(林遣都)が弁護することに。ところが、町村が「武藤から暴行を受けた」と証言…武藤は一審で実刑判決を受ける。その後、ネットの誹謗中傷に耐えながら無実を証明しようと戦っていた武藤の母(片岡礼子)が自殺してしまう。圧倒的不利な状況の中、翔子は諦めず青島を鼓舞し続けるが…</t>
  </si>
  <si>
    <t>番組名リーガルV　～元弁護士・小鳥遊翔子～　#6</t>
  </si>
  <si>
    <r>
      <rPr>
        <rFont val="ＭＳ Ｐゴシック"/>
        <sz val="10.0"/>
      </rPr>
      <t>京極法律事務所に塩見一郎</t>
    </r>
    <r>
      <rPr>
        <rFont val="Arial"/>
        <sz val="10.0"/>
      </rPr>
      <t>(</t>
    </r>
    <r>
      <rPr>
        <rFont val="ＭＳ Ｐゴシック"/>
        <sz val="10.0"/>
      </rPr>
      <t>矢部太郎</t>
    </r>
    <r>
      <rPr>
        <rFont val="Arial"/>
        <sz val="10.0"/>
      </rPr>
      <t>)</t>
    </r>
    <r>
      <rPr>
        <rFont val="ＭＳ Ｐゴシック"/>
        <sz val="10.0"/>
      </rPr>
      <t>が相談に訪れた。婚約者に超お得だと言われ</t>
    </r>
    <r>
      <rPr>
        <rFont val="Arial"/>
        <sz val="10.0"/>
      </rPr>
      <t>3000</t>
    </r>
    <r>
      <rPr>
        <rFont val="ＭＳ Ｐゴシック"/>
        <sz val="10.0"/>
      </rPr>
      <t>万円で土地を購入したものの、実際はひどい土地だったことが判明。しかも、その婚約者と連絡が取れなくなっていた。塩見は「ローズブライダル」という婚活相談所で婚約者を紹介してもらったというが、その女性は馬場雄一</t>
    </r>
    <r>
      <rPr>
        <rFont val="Arial"/>
        <sz val="10.0"/>
      </rPr>
      <t>(</t>
    </r>
    <r>
      <rPr>
        <rFont val="ＭＳ Ｐゴシック"/>
        <sz val="10.0"/>
      </rPr>
      <t>荒川良々</t>
    </r>
    <r>
      <rPr>
        <rFont val="Arial"/>
        <sz val="10.0"/>
      </rPr>
      <t>)</t>
    </r>
    <r>
      <rPr>
        <rFont val="ＭＳ Ｐゴシック"/>
        <sz val="10.0"/>
      </rPr>
      <t>が失恋した相手と同一人物だった</t>
    </r>
    <r>
      <rPr>
        <rFont val="Arial"/>
        <sz val="10.0"/>
      </rPr>
      <t>!</t>
    </r>
    <r>
      <rPr>
        <rFont val="ＭＳ Ｐゴシック"/>
        <sz val="10.0"/>
      </rPr>
      <t>そこで、伊藤理恵</t>
    </r>
    <r>
      <rPr>
        <rFont val="Arial"/>
        <sz val="10.0"/>
      </rPr>
      <t>(</t>
    </r>
    <r>
      <rPr>
        <rFont val="ＭＳ Ｐゴシック"/>
        <sz val="10.0"/>
      </rPr>
      <t>安達祐実</t>
    </r>
    <r>
      <rPr>
        <rFont val="Arial"/>
        <sz val="10.0"/>
      </rPr>
      <t>)</t>
    </r>
    <r>
      <rPr>
        <rFont val="ＭＳ Ｐゴシック"/>
        <sz val="10.0"/>
      </rPr>
      <t>が婚活中を装い、初の潜入捜査を試みるが</t>
    </r>
    <r>
      <rPr>
        <rFont val="Arial"/>
        <sz val="10.0"/>
      </rPr>
      <t>…</t>
    </r>
  </si>
  <si>
    <t>京極法律事務所に塩見一郎(矢部太郎)が相談に訪れた。婚約者に超お得だと言われ3000万円で土地を購入したものの、実際はひどい土地だったことが判明。しかも、その婚約者と連絡が取れなくなっていた。塩見は「ローズブライダル」という婚活相談所で婚約者を紹介してもらったというが、その女性は馬場雄一(荒川良々)が失恋した相手と同一人物だった!そこで、伊藤理恵(安達祐実)が婚活中を装い、初の潜入捜査を試みるが…</t>
  </si>
  <si>
    <t>番組名リーガルV　～元弁護士・小鳥遊翔子～　#7</t>
  </si>
  <si>
    <r>
      <rPr>
        <rFont val="ＭＳ Ｐゴシック"/>
        <sz val="10.0"/>
      </rPr>
      <t>婚活詐欺を繰り返す高級婚活相談所・ローズブライダルを相手に、集団訴訟を起こそうとする京極法律事務所。そんな中、社会学者・高市哲也</t>
    </r>
    <r>
      <rPr>
        <rFont val="Arial"/>
        <sz val="10.0"/>
      </rPr>
      <t>(</t>
    </r>
    <r>
      <rPr>
        <rFont val="ＭＳ Ｐゴシック"/>
        <sz val="10.0"/>
      </rPr>
      <t>野間口徹</t>
    </r>
    <r>
      <rPr>
        <rFont val="Arial"/>
        <sz val="10.0"/>
      </rPr>
      <t>)</t>
    </r>
    <r>
      <rPr>
        <rFont val="ＭＳ Ｐゴシック"/>
        <sz val="10.0"/>
      </rPr>
      <t>もかつて騙されたらしいという情報が</t>
    </r>
    <r>
      <rPr>
        <rFont val="Arial"/>
        <sz val="10.0"/>
      </rPr>
      <t>!</t>
    </r>
    <r>
      <rPr>
        <rFont val="ＭＳ Ｐゴシック"/>
        <sz val="10.0"/>
      </rPr>
      <t>人気コメンテーターでもある高市が声を上げれば、世の流れは一気に変わるはずだが、本人はその事実を認めようとはせず</t>
    </r>
    <r>
      <rPr>
        <rFont val="Arial"/>
        <sz val="10.0"/>
      </rPr>
      <t>…</t>
    </r>
    <r>
      <rPr>
        <rFont val="ＭＳ Ｐゴシック"/>
        <sz val="10.0"/>
      </rPr>
      <t>そしてパラリーガル・茅野</t>
    </r>
    <r>
      <rPr>
        <rFont val="Arial"/>
        <sz val="10.0"/>
      </rPr>
      <t>(</t>
    </r>
    <r>
      <rPr>
        <rFont val="ＭＳ Ｐゴシック"/>
        <sz val="10.0"/>
      </rPr>
      <t>三浦翔平</t>
    </r>
    <r>
      <rPr>
        <rFont val="Arial"/>
        <sz val="10.0"/>
      </rPr>
      <t>)</t>
    </r>
    <r>
      <rPr>
        <rFont val="ＭＳ Ｐゴシック"/>
        <sz val="10.0"/>
      </rPr>
      <t>が思いがけず、</t>
    </r>
    <r>
      <rPr>
        <rFont val="Arial"/>
        <sz val="10.0"/>
      </rPr>
      <t>“</t>
    </r>
    <r>
      <rPr>
        <rFont val="ＭＳ Ｐゴシック"/>
        <sz val="10.0"/>
      </rPr>
      <t>ある意外な人物</t>
    </r>
    <r>
      <rPr>
        <rFont val="Arial"/>
        <sz val="10.0"/>
      </rPr>
      <t>"</t>
    </r>
    <r>
      <rPr>
        <rFont val="ＭＳ Ｐゴシック"/>
        <sz val="10.0"/>
      </rPr>
      <t>に関する</t>
    </r>
    <r>
      <rPr>
        <rFont val="Arial"/>
        <sz val="10.0"/>
      </rPr>
      <t>“</t>
    </r>
    <r>
      <rPr>
        <rFont val="ＭＳ Ｐゴシック"/>
        <sz val="10.0"/>
      </rPr>
      <t>実に興味深いネタ</t>
    </r>
    <r>
      <rPr>
        <rFont val="Arial"/>
        <sz val="10.0"/>
      </rPr>
      <t>"</t>
    </r>
    <r>
      <rPr>
        <rFont val="ＭＳ Ｐゴシック"/>
        <sz val="10.0"/>
      </rPr>
      <t>を入手してきて</t>
    </r>
    <r>
      <rPr>
        <rFont val="Arial"/>
        <sz val="10.0"/>
      </rPr>
      <t>…</t>
    </r>
  </si>
  <si>
    <t>婚活詐欺を繰り返す高級婚活相談所・ローズブライダルを相手に、集団訴訟を起こそうとする京極法律事務所。そんな中、社会学者・高市哲也(野間口徹)もかつて騙されたらしいという情報が!人気コメンテーターでもある高市が声を上げれば、世の流れは一気に変わるはずだが、本人はその事実を認めようとはせず…そしてパラリーガル・茅野(三浦翔平)が思いがけず、“ある意外な人物"に関する“実に興味深いネタ"を入手してきて…</t>
  </si>
  <si>
    <t>番組名リーガルV　～元弁護士・小鳥遊翔子～　#8</t>
  </si>
  <si>
    <r>
      <rPr>
        <rFont val="ＭＳ Ｐゴシック"/>
        <sz val="10.0"/>
      </rPr>
      <t>翔子</t>
    </r>
    <r>
      <rPr>
        <rFont val="Arial"/>
        <sz val="10.0"/>
      </rPr>
      <t>(</t>
    </r>
    <r>
      <rPr>
        <rFont val="ＭＳ Ｐゴシック"/>
        <sz val="10.0"/>
      </rPr>
      <t>米倉涼子</t>
    </r>
    <r>
      <rPr>
        <rFont val="Arial"/>
        <sz val="10.0"/>
      </rPr>
      <t>)</t>
    </r>
    <r>
      <rPr>
        <rFont val="ＭＳ Ｐゴシック"/>
        <sz val="10.0"/>
      </rPr>
      <t>はかつて弁護していた受刑者・守屋至</t>
    </r>
    <r>
      <rPr>
        <rFont val="Arial"/>
        <sz val="10.0"/>
      </rPr>
      <t>(</t>
    </r>
    <r>
      <rPr>
        <rFont val="ＭＳ Ｐゴシック"/>
        <sz val="10.0"/>
      </rPr>
      <t>寛一郎</t>
    </r>
    <r>
      <rPr>
        <rFont val="Arial"/>
        <sz val="10.0"/>
      </rPr>
      <t>)</t>
    </r>
    <r>
      <rPr>
        <rFont val="ＭＳ Ｐゴシック"/>
        <sz val="10.0"/>
      </rPr>
      <t>と面会する。</t>
    </r>
    <r>
      <rPr>
        <rFont val="Arial"/>
        <sz val="10.0"/>
      </rPr>
      <t>NPO</t>
    </r>
    <r>
      <rPr>
        <rFont val="ＭＳ Ｐゴシック"/>
        <sz val="10.0"/>
      </rPr>
      <t>法人の幹部職員を殺害した至だが、翔子は事件の奥に何かがあると直感。京極法律事務所の面々も協力し、背景を探る</t>
    </r>
    <r>
      <rPr>
        <rFont val="Arial"/>
        <sz val="10.0"/>
      </rPr>
      <t>!</t>
    </r>
    <r>
      <rPr>
        <rFont val="ＭＳ Ｐゴシック"/>
        <sz val="10.0"/>
      </rPr>
      <t>その矢先、天馬</t>
    </r>
    <r>
      <rPr>
        <rFont val="Arial"/>
        <sz val="10.0"/>
      </rPr>
      <t>(</t>
    </r>
    <r>
      <rPr>
        <rFont val="ＭＳ Ｐゴシック"/>
        <sz val="10.0"/>
      </rPr>
      <t>小日向文世</t>
    </r>
    <r>
      <rPr>
        <rFont val="Arial"/>
        <sz val="10.0"/>
      </rPr>
      <t>)</t>
    </r>
    <r>
      <rPr>
        <rFont val="ＭＳ Ｐゴシック"/>
        <sz val="10.0"/>
      </rPr>
      <t>の差し金で弁護士会から業務停止処分の可能性を記載した警告書が事務所に届く。しかもその直後、翔子がこつ然と姿を消してしまう</t>
    </r>
    <r>
      <rPr>
        <rFont val="Arial"/>
        <sz val="10.0"/>
      </rPr>
      <t>!</t>
    </r>
    <r>
      <rPr>
        <rFont val="ＭＳ Ｐゴシック"/>
        <sz val="10.0"/>
      </rPr>
      <t>翔子を失ったメンバーは次々に去っていき、事務所は解散の危機に</t>
    </r>
    <r>
      <rPr>
        <rFont val="Arial"/>
        <sz val="10.0"/>
      </rPr>
      <t>…!?</t>
    </r>
  </si>
  <si>
    <t>翔子(米倉涼子)はかつて弁護していた受刑者・守屋至(寛一郎)と面会する。NPO法人の幹部職員を殺害した至だが、翔子は事件の奥に何かがあると直感。京極法律事務所の面々も協力し、背景を探る!その矢先、天馬(小日向文世)の差し金で弁護士会から業務停止処分の可能性を記載した警告書が事務所に届く。しかもその直後、翔子がこつ然と姿を消してしまう!翔子を失ったメンバーは次々に去っていき、事務所は解散の危機に…!?</t>
  </si>
  <si>
    <t>番組名リーガルV　～元弁護士・小鳥遊翔子～　#9</t>
  </si>
  <si>
    <r>
      <rPr>
        <rFont val="ＭＳ Ｐゴシック"/>
        <sz val="10.0"/>
      </rPr>
      <t>小鳥遊翔子</t>
    </r>
    <r>
      <rPr>
        <rFont val="Arial"/>
        <sz val="10.0"/>
      </rPr>
      <t>(</t>
    </r>
    <r>
      <rPr>
        <rFont val="ＭＳ Ｐゴシック"/>
        <sz val="10.0"/>
      </rPr>
      <t>米倉涼子</t>
    </r>
    <r>
      <rPr>
        <rFont val="Arial"/>
        <sz val="10.0"/>
      </rPr>
      <t>)</t>
    </r>
    <r>
      <rPr>
        <rFont val="ＭＳ Ｐゴシック"/>
        <sz val="10.0"/>
      </rPr>
      <t>がかつて弁護した受刑者・守屋至</t>
    </r>
    <r>
      <rPr>
        <rFont val="Arial"/>
        <sz val="10.0"/>
      </rPr>
      <t>(</t>
    </r>
    <r>
      <rPr>
        <rFont val="ＭＳ Ｐゴシック"/>
        <sz val="10.0"/>
      </rPr>
      <t>寛一郎</t>
    </r>
    <r>
      <rPr>
        <rFont val="Arial"/>
        <sz val="10.0"/>
      </rPr>
      <t>)</t>
    </r>
    <r>
      <rPr>
        <rFont val="ＭＳ Ｐゴシック"/>
        <sz val="10.0"/>
      </rPr>
      <t>は、</t>
    </r>
    <r>
      <rPr>
        <rFont val="Arial"/>
        <sz val="10.0"/>
      </rPr>
      <t>NPO</t>
    </r>
    <r>
      <rPr>
        <rFont val="ＭＳ Ｐゴシック"/>
        <sz val="10.0"/>
      </rPr>
      <t>法人「貧困を救う会」の代表に脅され、殺人の罪に手を染めていた</t>
    </r>
    <r>
      <rPr>
        <rFont val="Arial"/>
        <sz val="10.0"/>
      </rPr>
      <t>…</t>
    </r>
    <r>
      <rPr>
        <rFont val="ＭＳ Ｐゴシック"/>
        <sz val="10.0"/>
      </rPr>
      <t>その真実を法廷で明らかにするため、翔子は天馬</t>
    </r>
    <r>
      <rPr>
        <rFont val="Arial"/>
        <sz val="10.0"/>
      </rPr>
      <t>(</t>
    </r>
    <r>
      <rPr>
        <rFont val="ＭＳ Ｐゴシック"/>
        <sz val="10.0"/>
      </rPr>
      <t>小日向文世</t>
    </r>
    <r>
      <rPr>
        <rFont val="Arial"/>
        <sz val="10.0"/>
      </rPr>
      <t>)</t>
    </r>
    <r>
      <rPr>
        <rFont val="ＭＳ Ｐゴシック"/>
        <sz val="10.0"/>
      </rPr>
      <t>を提訴。たった</t>
    </r>
    <r>
      <rPr>
        <rFont val="Arial"/>
        <sz val="10.0"/>
      </rPr>
      <t>1</t>
    </r>
    <r>
      <rPr>
        <rFont val="ＭＳ Ｐゴシック"/>
        <sz val="10.0"/>
      </rPr>
      <t>円の損害賠償を求める民事訴訟を起こした。ところがその矢先、京極</t>
    </r>
    <r>
      <rPr>
        <rFont val="Arial"/>
        <sz val="10.0"/>
      </rPr>
      <t>(</t>
    </r>
    <r>
      <rPr>
        <rFont val="ＭＳ Ｐゴシック"/>
        <sz val="10.0"/>
      </rPr>
      <t>高橋英樹</t>
    </r>
    <r>
      <rPr>
        <rFont val="Arial"/>
        <sz val="10.0"/>
      </rPr>
      <t>)</t>
    </r>
    <r>
      <rPr>
        <rFont val="ＭＳ Ｐゴシック"/>
        <sz val="10.0"/>
      </rPr>
      <t>と理恵</t>
    </r>
    <r>
      <rPr>
        <rFont val="Arial"/>
        <sz val="10.0"/>
      </rPr>
      <t>(</t>
    </r>
    <r>
      <rPr>
        <rFont val="ＭＳ Ｐゴシック"/>
        <sz val="10.0"/>
      </rPr>
      <t>安達祐実</t>
    </r>
    <r>
      <rPr>
        <rFont val="Arial"/>
        <sz val="10.0"/>
      </rPr>
      <t>)</t>
    </r>
    <r>
      <rPr>
        <rFont val="ＭＳ Ｐゴシック"/>
        <sz val="10.0"/>
      </rPr>
      <t>が逮捕された上に、馬場</t>
    </r>
    <r>
      <rPr>
        <rFont val="Arial"/>
        <sz val="10.0"/>
      </rPr>
      <t>(</t>
    </r>
    <r>
      <rPr>
        <rFont val="ＭＳ Ｐゴシック"/>
        <sz val="10.0"/>
      </rPr>
      <t>荒川良々</t>
    </r>
    <r>
      <rPr>
        <rFont val="Arial"/>
        <sz val="10.0"/>
      </rPr>
      <t>)</t>
    </r>
    <r>
      <rPr>
        <rFont val="ＭＳ Ｐゴシック"/>
        <sz val="10.0"/>
      </rPr>
      <t>と茅野</t>
    </r>
    <r>
      <rPr>
        <rFont val="Arial"/>
        <sz val="10.0"/>
      </rPr>
      <t>(</t>
    </r>
    <r>
      <rPr>
        <rFont val="ＭＳ Ｐゴシック"/>
        <sz val="10.0"/>
      </rPr>
      <t>三浦翔平</t>
    </r>
    <r>
      <rPr>
        <rFont val="Arial"/>
        <sz val="10.0"/>
      </rPr>
      <t>)</t>
    </r>
    <r>
      <rPr>
        <rFont val="ＭＳ Ｐゴシック"/>
        <sz val="10.0"/>
      </rPr>
      <t>が暴力団に襲われて病院送りの身となってしまい</t>
    </r>
    <r>
      <rPr>
        <rFont val="Arial"/>
        <sz val="10.0"/>
      </rPr>
      <t>…</t>
    </r>
  </si>
  <si>
    <t>小鳥遊翔子(米倉涼子)がかつて弁護した受刑者・守屋至(寛一郎)は、NPO法人「貧困を救う会」の代表に脅され、殺人の罪に手を染めていた…その真実を法廷で明らかにするため、翔子は天馬(小日向文世)を提訴。たった1円の損害賠償を求める民事訴訟を起こした。ところがその矢先、京極(高橋英樹)と理恵(安達祐実)が逮捕された上に、馬場(荒川良々)と茅野(三浦翔平)が暴力団に襲われて病院送りの身となってしまい…</t>
  </si>
  <si>
    <t>1810_EX_金23</t>
  </si>
  <si>
    <t>僕とシッポと神楽坂</t>
  </si>
  <si>
    <t>番組名僕とシッポと神楽坂　#1</t>
  </si>
  <si>
    <r>
      <rPr>
        <rFont val="ＭＳ Ｐゴシック"/>
        <sz val="10.0"/>
      </rPr>
      <t>実家のある神楽坂に帰ってきた獣医師の高円寺達也</t>
    </r>
    <r>
      <rPr>
        <rFont val="Arial"/>
        <sz val="10.0"/>
      </rPr>
      <t>(</t>
    </r>
    <r>
      <rPr>
        <rFont val="ＭＳ Ｐゴシック"/>
        <sz val="10.0"/>
      </rPr>
      <t>相葉雅紀</t>
    </r>
    <r>
      <rPr>
        <rFont val="Arial"/>
        <sz val="10.0"/>
      </rPr>
      <t>)</t>
    </r>
    <r>
      <rPr>
        <rFont val="ＭＳ Ｐゴシック"/>
        <sz val="10.0"/>
      </rPr>
      <t>。尊敬する獣医師・徳丸善次郎</t>
    </r>
    <r>
      <rPr>
        <rFont val="Arial"/>
        <sz val="10.0"/>
      </rPr>
      <t>(</t>
    </r>
    <r>
      <rPr>
        <rFont val="ＭＳ Ｐゴシック"/>
        <sz val="10.0"/>
      </rPr>
      <t>イッセー尾形</t>
    </r>
    <r>
      <rPr>
        <rFont val="Arial"/>
        <sz val="10.0"/>
      </rPr>
      <t>)</t>
    </r>
    <r>
      <rPr>
        <rFont val="ＭＳ Ｐゴシック"/>
        <sz val="10.0"/>
      </rPr>
      <t>の元で働くつもりだったが、病院には徳丸の姿はなく、預かり犬のダイキチだけが残されていた</t>
    </r>
    <r>
      <rPr>
        <rFont val="Arial"/>
        <sz val="10.0"/>
      </rPr>
      <t>…</t>
    </r>
    <r>
      <rPr>
        <rFont val="ＭＳ Ｐゴシック"/>
        <sz val="10.0"/>
      </rPr>
      <t>。</t>
    </r>
    <r>
      <rPr>
        <rFont val="Arial"/>
        <sz val="10.0"/>
      </rPr>
      <t xml:space="preserve">  </t>
    </r>
    <r>
      <rPr>
        <rFont val="ＭＳ Ｐゴシック"/>
        <sz val="10.0"/>
      </rPr>
      <t>そんなある日、達也は車に轢かれたパピヨン犬と、その犬に付き添う少年・大地</t>
    </r>
    <r>
      <rPr>
        <rFont val="Arial"/>
        <sz val="10.0"/>
      </rPr>
      <t>(</t>
    </r>
    <r>
      <rPr>
        <rFont val="ＭＳ Ｐゴシック"/>
        <sz val="10.0"/>
      </rPr>
      <t>矢村央希</t>
    </r>
    <r>
      <rPr>
        <rFont val="Arial"/>
        <sz val="10.0"/>
      </rPr>
      <t>)</t>
    </r>
    <r>
      <rPr>
        <rFont val="ＭＳ Ｐゴシック"/>
        <sz val="10.0"/>
      </rPr>
      <t>と出会う。息子の大地を心配して病院に駆け付けた母親の加瀬トキワ</t>
    </r>
    <r>
      <rPr>
        <rFont val="Arial"/>
        <sz val="10.0"/>
      </rPr>
      <t>(</t>
    </r>
    <r>
      <rPr>
        <rFont val="ＭＳ Ｐゴシック"/>
        <sz val="10.0"/>
      </rPr>
      <t>広末涼子</t>
    </r>
    <r>
      <rPr>
        <rFont val="Arial"/>
        <sz val="10.0"/>
      </rPr>
      <t>)</t>
    </r>
    <r>
      <rPr>
        <rFont val="ＭＳ Ｐゴシック"/>
        <sz val="10.0"/>
      </rPr>
      <t>だが、緊急を要したった二人で手術をすることに</t>
    </r>
    <r>
      <rPr>
        <rFont val="Arial"/>
        <sz val="10.0"/>
      </rPr>
      <t>…!?</t>
    </r>
  </si>
  <si>
    <t>実家のある神楽坂に帰ってきた獣医師の高円寺達也(相葉雅紀)。尊敬する獣医師・徳丸善次郎(イッセー尾形)の元で働くつもりだったが、病院には徳丸の姿はなく、預かり犬のダイキチだけが残されていた…。  そんなある日、達也は車に轢かれたパピヨン犬と、その犬に付き添う少年・大地(矢村央希)と出会う。息子の大地を心配して病院に駆け付けた母親の加瀬トキワ(広末涼子)だが、緊急を要したった二人で手術をすることに…!?</t>
  </si>
  <si>
    <t>番組名僕とシッポと神楽坂　#2</t>
  </si>
  <si>
    <r>
      <rPr>
        <rFont val="ＭＳ Ｐゴシック"/>
        <sz val="10.0"/>
      </rPr>
      <t>トキワ</t>
    </r>
    <r>
      <rPr>
        <rFont val="Arial"/>
        <sz val="10.0"/>
      </rPr>
      <t>(</t>
    </r>
    <r>
      <rPr>
        <rFont val="ＭＳ Ｐゴシック"/>
        <sz val="10.0"/>
      </rPr>
      <t>広末涼子</t>
    </r>
    <r>
      <rPr>
        <rFont val="Arial"/>
        <sz val="10.0"/>
      </rPr>
      <t>)</t>
    </r>
    <r>
      <rPr>
        <rFont val="ＭＳ Ｐゴシック"/>
        <sz val="10.0"/>
      </rPr>
      <t>を看護師に迎え、達也</t>
    </r>
    <r>
      <rPr>
        <rFont val="Arial"/>
        <sz val="10.0"/>
      </rPr>
      <t>(</t>
    </r>
    <r>
      <rPr>
        <rFont val="ＭＳ Ｐゴシック"/>
        <sz val="10.0"/>
      </rPr>
      <t>相葉雅紀</t>
    </r>
    <r>
      <rPr>
        <rFont val="Arial"/>
        <sz val="10.0"/>
      </rPr>
      <t>)</t>
    </r>
    <r>
      <rPr>
        <rFont val="ＭＳ Ｐゴシック"/>
        <sz val="10.0"/>
      </rPr>
      <t>は、『坂の上動物病院』の院長として再出発する。そんな達也のもとにやってきたのは大沢香子</t>
    </r>
    <r>
      <rPr>
        <rFont val="Arial"/>
        <sz val="10.0"/>
      </rPr>
      <t>(</t>
    </r>
    <r>
      <rPr>
        <rFont val="ＭＳ Ｐゴシック"/>
        <sz val="10.0"/>
      </rPr>
      <t>喜多乃愛</t>
    </r>
    <r>
      <rPr>
        <rFont val="Arial"/>
        <sz val="10.0"/>
      </rPr>
      <t>)</t>
    </r>
    <r>
      <rPr>
        <rFont val="ＭＳ Ｐゴシック"/>
        <sz val="10.0"/>
      </rPr>
      <t>。骨肉種を患う愛犬・ジュリは、がんの転移の可能性から断脚手術を考えるべき</t>
    </r>
    <r>
      <rPr>
        <rFont val="Arial"/>
        <sz val="10.0"/>
      </rPr>
      <t>…</t>
    </r>
    <r>
      <rPr>
        <rFont val="ＭＳ Ｐゴシック"/>
        <sz val="10.0"/>
      </rPr>
      <t>と告げられていたが、母・頼子から猛反対をされていた。「ジュリを診てください」と達也に頼む香子。そんな香子の懇願に、達也の下した判断とは</t>
    </r>
    <r>
      <rPr>
        <rFont val="Arial"/>
        <sz val="10.0"/>
      </rPr>
      <t>…!?</t>
    </r>
  </si>
  <si>
    <t>トキワ(広末涼子)を看護師に迎え、達也(相葉雅紀)は、『坂の上動物病院』の院長として再出発する。そんな達也のもとにやってきたのは大沢香子(喜多乃愛)。骨肉種を患う愛犬・ジュリは、がんの転移の可能性から断脚手術を考えるべき…と告げられていたが、母・頼子から猛反対をされていた。「ジュリを診てください」と達也に頼む香子。そんな香子の懇願に、達也の下した判断とは…!?</t>
  </si>
  <si>
    <t>番組名僕とシッポと神楽坂　#3</t>
  </si>
  <si>
    <r>
      <rPr>
        <rFont val="ＭＳ Ｐゴシック"/>
        <sz val="10.0"/>
      </rPr>
      <t>トキワ</t>
    </r>
    <r>
      <rPr>
        <rFont val="Arial"/>
        <sz val="10.0"/>
      </rPr>
      <t>(</t>
    </r>
    <r>
      <rPr>
        <rFont val="ＭＳ Ｐゴシック"/>
        <sz val="10.0"/>
      </rPr>
      <t>広末涼子</t>
    </r>
    <r>
      <rPr>
        <rFont val="Arial"/>
        <sz val="10.0"/>
      </rPr>
      <t>)</t>
    </r>
    <r>
      <rPr>
        <rFont val="ＭＳ Ｐゴシック"/>
        <sz val="10.0"/>
      </rPr>
      <t>は、ひょんなことから扇店『かなめ屋』を営む小宮千津</t>
    </r>
    <r>
      <rPr>
        <rFont val="Arial"/>
        <sz val="10.0"/>
      </rPr>
      <t>(</t>
    </r>
    <r>
      <rPr>
        <rFont val="ＭＳ Ｐゴシック"/>
        <sz val="10.0"/>
      </rPr>
      <t>加賀まりこ</t>
    </r>
    <r>
      <rPr>
        <rFont val="Arial"/>
        <sz val="10.0"/>
      </rPr>
      <t>)</t>
    </r>
    <r>
      <rPr>
        <rFont val="ＭＳ Ｐゴシック"/>
        <sz val="10.0"/>
      </rPr>
      <t>と出会い、愛猫・カナメを残して逝くことになるかもしれないという千津の不安を聞き、達也</t>
    </r>
    <r>
      <rPr>
        <rFont val="Arial"/>
        <sz val="10.0"/>
      </rPr>
      <t>(</t>
    </r>
    <r>
      <rPr>
        <rFont val="ＭＳ Ｐゴシック"/>
        <sz val="10.0"/>
      </rPr>
      <t>相葉雅紀</t>
    </r>
    <r>
      <rPr>
        <rFont val="Arial"/>
        <sz val="10.0"/>
      </rPr>
      <t>)</t>
    </r>
    <r>
      <rPr>
        <rFont val="ＭＳ Ｐゴシック"/>
        <sz val="10.0"/>
      </rPr>
      <t>にそのことを話す。二人は、神楽坂で動物を飼うお年寄りのために往診をすることを考える。突然病院に姿を現した徳丸</t>
    </r>
    <r>
      <rPr>
        <rFont val="Arial"/>
        <sz val="10.0"/>
      </rPr>
      <t>(</t>
    </r>
    <r>
      <rPr>
        <rFont val="ＭＳ Ｐゴシック"/>
        <sz val="10.0"/>
      </rPr>
      <t>イッセー尾形</t>
    </r>
    <r>
      <rPr>
        <rFont val="Arial"/>
        <sz val="10.0"/>
      </rPr>
      <t>)</t>
    </r>
    <r>
      <rPr>
        <rFont val="ＭＳ Ｐゴシック"/>
        <sz val="10.0"/>
      </rPr>
      <t>は、二人の様子を見て安堵の表情を浮かべる。そんな中、千津の愛猫・カナメの病気が発覚して</t>
    </r>
    <r>
      <rPr>
        <rFont val="Arial"/>
        <sz val="10.0"/>
      </rPr>
      <t>…!?</t>
    </r>
  </si>
  <si>
    <t>トキワ(広末涼子)は、ひょんなことから扇店『かなめ屋』を営む小宮千津(加賀まりこ)と出会い、愛猫・カナメを残して逝くことになるかもしれないという千津の不安を聞き、達也(相葉雅紀)にそのことを話す。二人は、神楽坂で動物を飼うお年寄りのために往診をすることを考える。突然病院に姿を現した徳丸(イッセー尾形)は、二人の様子を見て安堵の表情を浮かべる。そんな中、千津の愛猫・カナメの病気が発覚して…!?</t>
  </si>
  <si>
    <t>番組名僕とシッポと神楽坂　#4</t>
  </si>
  <si>
    <r>
      <rPr>
        <rFont val="ＭＳ Ｐゴシック"/>
        <sz val="10.0"/>
      </rPr>
      <t>獣医学生の広樹</t>
    </r>
    <r>
      <rPr>
        <rFont val="Arial"/>
        <sz val="10.0"/>
      </rPr>
      <t>(</t>
    </r>
    <r>
      <rPr>
        <rFont val="ＭＳ Ｐゴシック"/>
        <sz val="10.0"/>
      </rPr>
      <t>小瀧望</t>
    </r>
    <r>
      <rPr>
        <rFont val="Arial"/>
        <sz val="10.0"/>
      </rPr>
      <t>)</t>
    </r>
    <r>
      <rPr>
        <rFont val="ＭＳ Ｐゴシック"/>
        <sz val="10.0"/>
      </rPr>
      <t>が、心臓に腫瘍がある犬・ぐりと、飼い主・早苗</t>
    </r>
    <r>
      <rPr>
        <rFont val="Arial"/>
        <sz val="10.0"/>
      </rPr>
      <t>(</t>
    </r>
    <r>
      <rPr>
        <rFont val="ＭＳ Ｐゴシック"/>
        <sz val="10.0"/>
      </rPr>
      <t>滝沢涼子</t>
    </r>
    <r>
      <rPr>
        <rFont val="Arial"/>
        <sz val="10.0"/>
      </rPr>
      <t>)</t>
    </r>
    <r>
      <rPr>
        <rFont val="ＭＳ Ｐゴシック"/>
        <sz val="10.0"/>
      </rPr>
      <t>を連れて達也</t>
    </r>
    <r>
      <rPr>
        <rFont val="Arial"/>
        <sz val="10.0"/>
      </rPr>
      <t>(</t>
    </r>
    <r>
      <rPr>
        <rFont val="ＭＳ Ｐゴシック"/>
        <sz val="10.0"/>
      </rPr>
      <t>相葉雅紀</t>
    </r>
    <r>
      <rPr>
        <rFont val="Arial"/>
        <sz val="10.0"/>
      </rPr>
      <t>)</t>
    </r>
    <r>
      <rPr>
        <rFont val="ＭＳ Ｐゴシック"/>
        <sz val="10.0"/>
      </rPr>
      <t>のもとにやってくる。ぐりの年齢や心臓の状態を考えると手術は難しい</t>
    </r>
    <r>
      <rPr>
        <rFont val="Arial"/>
        <sz val="10.0"/>
      </rPr>
      <t>…</t>
    </r>
    <r>
      <rPr>
        <rFont val="ＭＳ Ｐゴシック"/>
        <sz val="10.0"/>
      </rPr>
      <t>。達也は「</t>
    </r>
    <r>
      <rPr>
        <rFont val="Arial"/>
        <sz val="10.0"/>
      </rPr>
      <t>1%</t>
    </r>
    <r>
      <rPr>
        <rFont val="ＭＳ Ｐゴシック"/>
        <sz val="10.0"/>
      </rPr>
      <t>でも可能性があるなら、見捨てるわけにいかない」と、トキワ</t>
    </r>
    <r>
      <rPr>
        <rFont val="Arial"/>
        <sz val="10.0"/>
      </rPr>
      <t>(</t>
    </r>
    <r>
      <rPr>
        <rFont val="ＭＳ Ｐゴシック"/>
        <sz val="10.0"/>
      </rPr>
      <t>広末涼子</t>
    </r>
    <r>
      <rPr>
        <rFont val="Arial"/>
        <sz val="10.0"/>
      </rPr>
      <t>)</t>
    </r>
    <r>
      <rPr>
        <rFont val="ＭＳ Ｐゴシック"/>
        <sz val="10.0"/>
      </rPr>
      <t>の反対を押し切って手術に臨む</t>
    </r>
    <r>
      <rPr>
        <rFont val="Arial"/>
        <sz val="10.0"/>
      </rPr>
      <t>!</t>
    </r>
    <r>
      <rPr>
        <rFont val="ＭＳ Ｐゴシック"/>
        <sz val="10.0"/>
      </rPr>
      <t>手術は成功したが、ぐりの容態が急変し</t>
    </r>
    <r>
      <rPr>
        <rFont val="Arial"/>
        <sz val="10.0"/>
      </rPr>
      <t>…!?</t>
    </r>
    <r>
      <rPr>
        <rFont val="ＭＳ Ｐゴシック"/>
        <sz val="10.0"/>
      </rPr>
      <t>その翌日から、坂の上動物病院に対する心無い噂が飛び交い始め</t>
    </r>
    <r>
      <rPr>
        <rFont val="Arial"/>
        <sz val="10.0"/>
      </rPr>
      <t>…?</t>
    </r>
  </si>
  <si>
    <t>獣医学生の広樹(小瀧望)が、心臓に腫瘍がある犬・ぐりと、飼い主・早苗(滝沢涼子)を連れて達也(相葉雅紀)のもとにやってくる。ぐりの年齢や心臓の状態を考えると手術は難しい…。達也は「1%でも可能性があるなら、見捨てるわけにいかない」と、トキワ(広末涼子)の反対を押し切って手術に臨む!手術は成功したが、ぐりの容態が急変し…!?その翌日から、坂の上動物病院に対する心無い噂が飛び交い始め…?</t>
  </si>
  <si>
    <t>番組名僕とシッポと神楽坂　#5</t>
  </si>
  <si>
    <r>
      <rPr>
        <rFont val="ＭＳ Ｐゴシック"/>
        <sz val="10.0"/>
      </rPr>
      <t>獣医師・達也</t>
    </r>
    <r>
      <rPr>
        <rFont val="Arial"/>
        <sz val="10.0"/>
      </rPr>
      <t>(</t>
    </r>
    <r>
      <rPr>
        <rFont val="ＭＳ Ｐゴシック"/>
        <sz val="10.0"/>
      </rPr>
      <t>相葉雅紀</t>
    </r>
    <r>
      <rPr>
        <rFont val="Arial"/>
        <sz val="10.0"/>
      </rPr>
      <t>)</t>
    </r>
    <r>
      <rPr>
        <rFont val="ＭＳ Ｐゴシック"/>
        <sz val="10.0"/>
      </rPr>
      <t>のもとに、神楽坂の芸者・すず芽</t>
    </r>
    <r>
      <rPr>
        <rFont val="Arial"/>
        <sz val="10.0"/>
      </rPr>
      <t>(</t>
    </r>
    <r>
      <rPr>
        <rFont val="ＭＳ Ｐゴシック"/>
        <sz val="10.0"/>
      </rPr>
      <t>趣里</t>
    </r>
    <r>
      <rPr>
        <rFont val="Arial"/>
        <sz val="10.0"/>
      </rPr>
      <t>)</t>
    </r>
    <r>
      <rPr>
        <rFont val="ＭＳ Ｐゴシック"/>
        <sz val="10.0"/>
      </rPr>
      <t>がセキセイインコを連れてやってくる。断絶状態にある母・咲江</t>
    </r>
    <r>
      <rPr>
        <rFont val="Arial"/>
        <sz val="10.0"/>
      </rPr>
      <t>(</t>
    </r>
    <r>
      <rPr>
        <rFont val="ＭＳ Ｐゴシック"/>
        <sz val="10.0"/>
      </rPr>
      <t>池谷のぶえ</t>
    </r>
    <r>
      <rPr>
        <rFont val="Arial"/>
        <sz val="10.0"/>
      </rPr>
      <t>)</t>
    </r>
    <r>
      <rPr>
        <rFont val="ＭＳ Ｐゴシック"/>
        <sz val="10.0"/>
      </rPr>
      <t>が入院することになり、世話をすることになったのだ。その頃、トキワ</t>
    </r>
    <r>
      <rPr>
        <rFont val="Arial"/>
        <sz val="10.0"/>
      </rPr>
      <t>(</t>
    </r>
    <r>
      <rPr>
        <rFont val="ＭＳ Ｐゴシック"/>
        <sz val="10.0"/>
      </rPr>
      <t>広末涼子</t>
    </r>
    <r>
      <rPr>
        <rFont val="Arial"/>
        <sz val="10.0"/>
      </rPr>
      <t>)</t>
    </r>
    <r>
      <rPr>
        <rFont val="ＭＳ Ｐゴシック"/>
        <sz val="10.0"/>
      </rPr>
      <t>は、行方不明の夫・佑</t>
    </r>
    <r>
      <rPr>
        <rFont val="Arial"/>
        <sz val="10.0"/>
      </rPr>
      <t>(</t>
    </r>
    <r>
      <rPr>
        <rFont val="ＭＳ Ｐゴシック"/>
        <sz val="10.0"/>
      </rPr>
      <t>眞島秀和</t>
    </r>
    <r>
      <rPr>
        <rFont val="Arial"/>
        <sz val="10.0"/>
      </rPr>
      <t>)</t>
    </r>
    <r>
      <rPr>
        <rFont val="ＭＳ Ｐゴシック"/>
        <sz val="10.0"/>
      </rPr>
      <t>の両親がやってきて「大地</t>
    </r>
    <r>
      <rPr>
        <rFont val="Arial"/>
        <sz val="10.0"/>
      </rPr>
      <t>(</t>
    </r>
    <r>
      <rPr>
        <rFont val="ＭＳ Ｐゴシック"/>
        <sz val="10.0"/>
      </rPr>
      <t>矢村央希</t>
    </r>
    <r>
      <rPr>
        <rFont val="Arial"/>
        <sz val="10.0"/>
      </rPr>
      <t>)</t>
    </r>
    <r>
      <rPr>
        <rFont val="ＭＳ Ｐゴシック"/>
        <sz val="10.0"/>
      </rPr>
      <t>を返して」と懇願される。トキワと大地、そして咲江とすず芽</t>
    </r>
    <r>
      <rPr>
        <rFont val="Arial"/>
        <sz val="10.0"/>
      </rPr>
      <t>…</t>
    </r>
    <r>
      <rPr>
        <rFont val="ＭＳ Ｐゴシック"/>
        <sz val="10.0"/>
      </rPr>
      <t>ふたつの</t>
    </r>
    <r>
      <rPr>
        <rFont val="Arial"/>
        <sz val="10.0"/>
      </rPr>
      <t>“</t>
    </r>
    <r>
      <rPr>
        <rFont val="ＭＳ Ｐゴシック"/>
        <sz val="10.0"/>
      </rPr>
      <t>親子</t>
    </r>
    <r>
      <rPr>
        <rFont val="Arial"/>
        <sz val="10.0"/>
      </rPr>
      <t>"</t>
    </r>
    <r>
      <rPr>
        <rFont val="ＭＳ Ｐゴシック"/>
        <sz val="10.0"/>
      </rPr>
      <t>の運命は</t>
    </r>
    <r>
      <rPr>
        <rFont val="Arial"/>
        <sz val="10.0"/>
      </rPr>
      <t>!?</t>
    </r>
  </si>
  <si>
    <t>獣医師・達也(相葉雅紀)のもとに、神楽坂の芸者・すず芽(趣里)がセキセイインコを連れてやってくる。断絶状態にある母・咲江(池谷のぶえ)が入院することになり、世話をすることになったのだ。その頃、トキワ(広末涼子)は、行方不明の夫・佑(眞島秀和)の両親がやってきて「大地(矢村央希)を返して」と懇願される。トキワと大地、そして咲江とすず芽…ふたつの“親子"の運命は!?</t>
  </si>
  <si>
    <t>番組名僕とシッポと神楽坂　#6</t>
  </si>
  <si>
    <r>
      <rPr>
        <rFont val="ＭＳ Ｐゴシック"/>
        <sz val="10.0"/>
      </rPr>
      <t>獣医師・達也</t>
    </r>
    <r>
      <rPr>
        <rFont val="Arial"/>
        <sz val="10.0"/>
      </rPr>
      <t>(</t>
    </r>
    <r>
      <rPr>
        <rFont val="ＭＳ Ｐゴシック"/>
        <sz val="10.0"/>
      </rPr>
      <t>相葉雅紀</t>
    </r>
    <r>
      <rPr>
        <rFont val="Arial"/>
        <sz val="10.0"/>
      </rPr>
      <t>)</t>
    </r>
    <r>
      <rPr>
        <rFont val="ＭＳ Ｐゴシック"/>
        <sz val="10.0"/>
      </rPr>
      <t>のもとに、大沢香子</t>
    </r>
    <r>
      <rPr>
        <rFont val="Arial"/>
        <sz val="10.0"/>
      </rPr>
      <t>(</t>
    </r>
    <r>
      <rPr>
        <rFont val="ＭＳ Ｐゴシック"/>
        <sz val="10.0"/>
      </rPr>
      <t>喜多乃愛</t>
    </r>
    <r>
      <rPr>
        <rFont val="Arial"/>
        <sz val="10.0"/>
      </rPr>
      <t>)</t>
    </r>
    <r>
      <rPr>
        <rFont val="ＭＳ Ｐゴシック"/>
        <sz val="10.0"/>
      </rPr>
      <t>が弱ったチワワを連れてやってくる。新しい飼い主が見つかるまで香子の家で暮らすことに。香子は「チワワを飼いたい」と母親に切望するが大反対される</t>
    </r>
    <r>
      <rPr>
        <rFont val="Arial"/>
        <sz val="10.0"/>
      </rPr>
      <t>…</t>
    </r>
    <r>
      <rPr>
        <rFont val="ＭＳ Ｐゴシック"/>
        <sz val="10.0"/>
      </rPr>
      <t>。果たしてチワワの運命は</t>
    </r>
    <r>
      <rPr>
        <rFont val="Arial"/>
        <sz val="10.0"/>
      </rPr>
      <t>!?</t>
    </r>
    <r>
      <rPr>
        <rFont val="ＭＳ Ｐゴシック"/>
        <sz val="10.0"/>
      </rPr>
      <t>そんな中、「達也とトキワ</t>
    </r>
    <r>
      <rPr>
        <rFont val="Arial"/>
        <sz val="10.0"/>
      </rPr>
      <t>(</t>
    </r>
    <r>
      <rPr>
        <rFont val="ＭＳ Ｐゴシック"/>
        <sz val="10.0"/>
      </rPr>
      <t>広末涼子</t>
    </r>
    <r>
      <rPr>
        <rFont val="Arial"/>
        <sz val="10.0"/>
      </rPr>
      <t>)</t>
    </r>
    <r>
      <rPr>
        <rFont val="ＭＳ Ｐゴシック"/>
        <sz val="10.0"/>
      </rPr>
      <t>がキスをしていた」という噂が流れ始める。根も葉もない噂に困惑する達也とトキワだったが、二人の距離が急激に縮まるある出来事が起きて</t>
    </r>
    <r>
      <rPr>
        <rFont val="Arial"/>
        <sz val="10.0"/>
      </rPr>
      <t>…?</t>
    </r>
  </si>
  <si>
    <t>獣医師・達也(相葉雅紀)のもとに、大沢香子(喜多乃愛)が弱ったチワワを連れてやってくる。新しい飼い主が見つかるまで香子の家で暮らすことに。香子は「チワワを飼いたい」と母親に切望するが大反対される…。果たしてチワワの運命は!?そんな中、「達也とトキワ(広末涼子)がキスをしていた」という噂が流れ始める。根も葉もない噂に困惑する達也とトキワだったが、二人の距離が急激に縮まるある出来事が起きて…?</t>
  </si>
  <si>
    <t>番組名僕とシッポと神楽坂　#7</t>
  </si>
  <si>
    <r>
      <rPr>
        <rFont val="ＭＳ Ｐゴシック"/>
        <sz val="10.0"/>
      </rPr>
      <t>トキワ</t>
    </r>
    <r>
      <rPr>
        <rFont val="Arial"/>
        <sz val="10.0"/>
      </rPr>
      <t>(</t>
    </r>
    <r>
      <rPr>
        <rFont val="ＭＳ Ｐゴシック"/>
        <sz val="10.0"/>
      </rPr>
      <t>広末涼子</t>
    </r>
    <r>
      <rPr>
        <rFont val="Arial"/>
        <sz val="10.0"/>
      </rPr>
      <t>)</t>
    </r>
    <r>
      <rPr>
        <rFont val="ＭＳ Ｐゴシック"/>
        <sz val="10.0"/>
      </rPr>
      <t>が熱を出し、坂の上動物病院は達也</t>
    </r>
    <r>
      <rPr>
        <rFont val="Arial"/>
        <sz val="10.0"/>
      </rPr>
      <t>(</t>
    </r>
    <r>
      <rPr>
        <rFont val="ＭＳ Ｐゴシック"/>
        <sz val="10.0"/>
      </rPr>
      <t>相葉雅紀</t>
    </r>
    <r>
      <rPr>
        <rFont val="Arial"/>
        <sz val="10.0"/>
      </rPr>
      <t>)</t>
    </r>
    <r>
      <rPr>
        <rFont val="ＭＳ Ｐゴシック"/>
        <sz val="10.0"/>
      </rPr>
      <t>と広樹</t>
    </r>
    <r>
      <rPr>
        <rFont val="Arial"/>
        <sz val="10.0"/>
      </rPr>
      <t>(</t>
    </r>
    <r>
      <rPr>
        <rFont val="ＭＳ Ｐゴシック"/>
        <sz val="10.0"/>
      </rPr>
      <t>小瀧望</t>
    </r>
    <r>
      <rPr>
        <rFont val="Arial"/>
        <sz val="10.0"/>
      </rPr>
      <t>)</t>
    </r>
    <r>
      <rPr>
        <rFont val="ＭＳ Ｐゴシック"/>
        <sz val="10.0"/>
      </rPr>
      <t>だけで診療を行わなければならず、てんてこ舞いに</t>
    </r>
    <r>
      <rPr>
        <rFont val="Arial"/>
        <sz val="10.0"/>
      </rPr>
      <t>!</t>
    </r>
    <r>
      <rPr>
        <rFont val="ＭＳ Ｐゴシック"/>
        <sz val="10.0"/>
      </rPr>
      <t>そんな中、まめ福</t>
    </r>
    <r>
      <rPr>
        <rFont val="Arial"/>
        <sz val="10.0"/>
      </rPr>
      <t>(</t>
    </r>
    <r>
      <rPr>
        <rFont val="ＭＳ Ｐゴシック"/>
        <sz val="10.0"/>
      </rPr>
      <t>渚</t>
    </r>
    <r>
      <rPr>
        <rFont val="Arial"/>
        <sz val="10.0"/>
      </rPr>
      <t>)</t>
    </r>
    <r>
      <rPr>
        <rFont val="ＭＳ Ｐゴシック"/>
        <sz val="10.0"/>
      </rPr>
      <t>は老舗ホテル社長にプロポーズされ、達也に相談をしていた。結婚観を名倉</t>
    </r>
    <r>
      <rPr>
        <rFont val="Arial"/>
        <sz val="10.0"/>
      </rPr>
      <t>(</t>
    </r>
    <r>
      <rPr>
        <rFont val="ＭＳ Ｐゴシック"/>
        <sz val="10.0"/>
      </rPr>
      <t>大倉孝二</t>
    </r>
    <r>
      <rPr>
        <rFont val="Arial"/>
        <sz val="10.0"/>
      </rPr>
      <t>)</t>
    </r>
    <r>
      <rPr>
        <rFont val="ＭＳ Ｐゴシック"/>
        <sz val="10.0"/>
      </rPr>
      <t>と話したばかりだった達也は、妙にトキワのことを意識してしまい</t>
    </r>
    <r>
      <rPr>
        <rFont val="Arial"/>
        <sz val="10.0"/>
      </rPr>
      <t>…?</t>
    </r>
    <r>
      <rPr>
        <rFont val="ＭＳ Ｐゴシック"/>
        <sz val="10.0"/>
      </rPr>
      <t>そんな中、名倉の飼い犬が急患として病院にやってくる。脳腫瘍を患っていることを知った名倉が選んだ答えは</t>
    </r>
    <r>
      <rPr>
        <rFont val="Arial"/>
        <sz val="10.0"/>
      </rPr>
      <t>…?</t>
    </r>
  </si>
  <si>
    <t>トキワ(広末涼子)が熱を出し、坂の上動物病院は達也(相葉雅紀)と広樹(小瀧望)だけで診療を行わなければならず、てんてこ舞いに!そんな中、まめ福(渚)は老舗ホテル社長にプロポーズされ、達也に相談をしていた。結婚観を名倉(大倉孝二)と話したばかりだった達也は、妙にトキワのことを意識してしまい…?そんな中、名倉の飼い犬が急患として病院にやってくる。脳腫瘍を患っていることを知った名倉が選んだ答えは…?</t>
  </si>
  <si>
    <t>番組名僕とシッポと神楽坂　#8</t>
  </si>
  <si>
    <r>
      <rPr>
        <rFont val="ＭＳ Ｐゴシック"/>
        <sz val="10.0"/>
      </rPr>
      <t>トキワ</t>
    </r>
    <r>
      <rPr>
        <rFont val="Arial"/>
        <sz val="10.0"/>
      </rPr>
      <t>(</t>
    </r>
    <r>
      <rPr>
        <rFont val="ＭＳ Ｐゴシック"/>
        <sz val="10.0"/>
      </rPr>
      <t>広末涼子</t>
    </r>
    <r>
      <rPr>
        <rFont val="Arial"/>
        <sz val="10.0"/>
      </rPr>
      <t>)</t>
    </r>
    <r>
      <rPr>
        <rFont val="ＭＳ Ｐゴシック"/>
        <sz val="10.0"/>
      </rPr>
      <t>のもとに、夫の佑</t>
    </r>
    <r>
      <rPr>
        <rFont val="Arial"/>
        <sz val="10.0"/>
      </rPr>
      <t>(</t>
    </r>
    <r>
      <rPr>
        <rFont val="ＭＳ Ｐゴシック"/>
        <sz val="10.0"/>
      </rPr>
      <t>眞島秀和</t>
    </r>
    <r>
      <rPr>
        <rFont val="Arial"/>
        <sz val="10.0"/>
      </rPr>
      <t>)</t>
    </r>
    <r>
      <rPr>
        <rFont val="ＭＳ Ｐゴシック"/>
        <sz val="10.0"/>
      </rPr>
      <t>と見られる日本人男性が南米で見つかったと連絡が入る。神楽坂界隈は、その話題で持ちきりになる。しかし、衝撃の真実が明らかになり、トキワは大きなショックを受ける。達也</t>
    </r>
    <r>
      <rPr>
        <rFont val="Arial"/>
        <sz val="10.0"/>
      </rPr>
      <t>(</t>
    </r>
    <r>
      <rPr>
        <rFont val="ＭＳ Ｐゴシック"/>
        <sz val="10.0"/>
      </rPr>
      <t>相葉雅紀</t>
    </r>
    <r>
      <rPr>
        <rFont val="Arial"/>
        <sz val="10.0"/>
      </rPr>
      <t>)</t>
    </r>
    <r>
      <rPr>
        <rFont val="ＭＳ Ｐゴシック"/>
        <sz val="10.0"/>
      </rPr>
      <t>にも、大地</t>
    </r>
    <r>
      <rPr>
        <rFont val="Arial"/>
        <sz val="10.0"/>
      </rPr>
      <t>(</t>
    </r>
    <r>
      <rPr>
        <rFont val="ＭＳ Ｐゴシック"/>
        <sz val="10.0"/>
      </rPr>
      <t>矢村央希</t>
    </r>
    <r>
      <rPr>
        <rFont val="Arial"/>
        <sz val="10.0"/>
      </rPr>
      <t>)</t>
    </r>
    <r>
      <rPr>
        <rFont val="ＭＳ Ｐゴシック"/>
        <sz val="10.0"/>
      </rPr>
      <t>にも言い出せず、今後のことを考えて不安になるトキワだったが</t>
    </r>
    <r>
      <rPr>
        <rFont val="Arial"/>
        <sz val="10.0"/>
      </rPr>
      <t>…?</t>
    </r>
    <r>
      <rPr>
        <rFont val="ＭＳ Ｐゴシック"/>
        <sz val="10.0"/>
      </rPr>
      <t>そんな中、病院に認知症を患った犬が迷い込んでくる。飼い主の蔦子がその犬を迎えにくるが</t>
    </r>
    <r>
      <rPr>
        <rFont val="Arial"/>
        <sz val="10.0"/>
      </rPr>
      <t>…</t>
    </r>
  </si>
  <si>
    <t>トキワ(広末涼子)のもとに、夫の佑(眞島秀和)と見られる日本人男性が南米で見つかったと連絡が入る。神楽坂界隈は、その話題で持ちきりになる。しかし、衝撃の真実が明らかになり、トキワは大きなショックを受ける。達也(相葉雅紀)にも、大地(矢村央希)にも言い出せず、今後のことを考えて不安になるトキワだったが…?そんな中、病院に認知症を患った犬が迷い込んでくる。飼い主の蔦子がその犬を迎えにくるが…</t>
  </si>
  <si>
    <t>1810_EX_土23</t>
  </si>
  <si>
    <t>あなたには渡さない</t>
  </si>
  <si>
    <t>番組名あなたには渡さない　#1</t>
  </si>
  <si>
    <r>
      <rPr>
        <rFont val="ＭＳ Ｐゴシック"/>
        <sz val="10.0"/>
      </rPr>
      <t>夫・旬平</t>
    </r>
    <r>
      <rPr>
        <rFont val="Arial"/>
        <sz val="10.0"/>
      </rPr>
      <t>(</t>
    </r>
    <r>
      <rPr>
        <rFont val="ＭＳ Ｐゴシック"/>
        <sz val="10.0"/>
      </rPr>
      <t>萩原聖人</t>
    </r>
    <r>
      <rPr>
        <rFont val="Arial"/>
        <sz val="10.0"/>
      </rPr>
      <t>)</t>
    </r>
    <r>
      <rPr>
        <rFont val="ＭＳ Ｐゴシック"/>
        <sz val="10.0"/>
      </rPr>
      <t>から「酒造会社の社長が来るから、迎えに行ってくれ」と言われた通子</t>
    </r>
    <r>
      <rPr>
        <rFont val="Arial"/>
        <sz val="10.0"/>
      </rPr>
      <t>(</t>
    </r>
    <r>
      <rPr>
        <rFont val="ＭＳ Ｐゴシック"/>
        <sz val="10.0"/>
      </rPr>
      <t>木村佳乃</t>
    </r>
    <r>
      <rPr>
        <rFont val="Arial"/>
        <sz val="10.0"/>
      </rPr>
      <t>)</t>
    </r>
    <r>
      <rPr>
        <rFont val="ＭＳ Ｐゴシック"/>
        <sz val="10.0"/>
      </rPr>
      <t>は、東京駅へ。男性社長だと思って待っていた通子の前に現れたのは、着物姿の多衣</t>
    </r>
    <r>
      <rPr>
        <rFont val="Arial"/>
        <sz val="10.0"/>
      </rPr>
      <t>(</t>
    </r>
    <r>
      <rPr>
        <rFont val="ＭＳ Ｐゴシック"/>
        <sz val="10.0"/>
      </rPr>
      <t>水野美紀</t>
    </r>
    <r>
      <rPr>
        <rFont val="Arial"/>
        <sz val="10.0"/>
      </rPr>
      <t>)</t>
    </r>
    <r>
      <rPr>
        <rFont val="ＭＳ Ｐゴシック"/>
        <sz val="10.0"/>
      </rPr>
      <t>。多衣は通子を自身が泊まっているホテルの喫茶に誘うと、勝ち誇った顔で言う。</t>
    </r>
    <r>
      <rPr>
        <rFont val="Arial"/>
        <sz val="10.0"/>
      </rPr>
      <t xml:space="preserve">     </t>
    </r>
    <r>
      <rPr>
        <rFont val="ＭＳ Ｐゴシック"/>
        <sz val="10.0"/>
      </rPr>
      <t>「わたくし、ご主人をいただきにまいりました」ーー。</t>
    </r>
    <r>
      <rPr>
        <rFont val="Arial"/>
        <sz val="10.0"/>
      </rPr>
      <t xml:space="preserve">    </t>
    </r>
    <r>
      <rPr>
        <rFont val="ＭＳ Ｐゴシック"/>
        <sz val="10.0"/>
      </rPr>
      <t>通子の幼なじみ・笠井</t>
    </r>
    <r>
      <rPr>
        <rFont val="Arial"/>
        <sz val="10.0"/>
      </rPr>
      <t>(</t>
    </r>
    <r>
      <rPr>
        <rFont val="ＭＳ Ｐゴシック"/>
        <sz val="10.0"/>
      </rPr>
      <t>田中哲司</t>
    </r>
    <r>
      <rPr>
        <rFont val="Arial"/>
        <sz val="10.0"/>
      </rPr>
      <t>)</t>
    </r>
    <r>
      <rPr>
        <rFont val="ＭＳ Ｐゴシック"/>
        <sz val="10.0"/>
      </rPr>
      <t>も巻き込んで、男女</t>
    </r>
    <r>
      <rPr>
        <rFont val="Arial"/>
        <sz val="10.0"/>
      </rPr>
      <t>4</t>
    </r>
    <r>
      <rPr>
        <rFont val="ＭＳ Ｐゴシック"/>
        <sz val="10.0"/>
      </rPr>
      <t>人のドロ沼愛憎劇が幕を開ける</t>
    </r>
    <r>
      <rPr>
        <rFont val="Arial"/>
        <sz val="10.0"/>
      </rPr>
      <t>!</t>
    </r>
  </si>
  <si>
    <t>夫・旬平(萩原聖人)から「酒造会社の社長が来るから、迎えに行ってくれ」と言われた通子(木村佳乃)は、東京駅へ。男性社長だと思って待っていた通子の前に現れたのは、着物姿の多衣(水野美紀)。多衣は通子を自身が泊まっているホテルの喫茶に誘うと、勝ち誇った顔で言う。     「わたくし、ご主人をいただきにまいりました」ーー。    通子の幼なじみ・笠井(田中哲司)も巻き込んで、男女4人のドロ沼愛憎劇が幕を開ける!</t>
  </si>
  <si>
    <t>番組名あなたには渡さない　#2</t>
  </si>
  <si>
    <r>
      <rPr>
        <rFont val="ＭＳ Ｐゴシック"/>
        <sz val="10.0"/>
      </rPr>
      <t>夫・旬平</t>
    </r>
    <r>
      <rPr>
        <rFont val="Arial"/>
        <sz val="10.0"/>
      </rPr>
      <t>(</t>
    </r>
    <r>
      <rPr>
        <rFont val="ＭＳ Ｐゴシック"/>
        <sz val="10.0"/>
      </rPr>
      <t>萩原聖人</t>
    </r>
    <r>
      <rPr>
        <rFont val="Arial"/>
        <sz val="10.0"/>
      </rPr>
      <t>)</t>
    </r>
    <r>
      <rPr>
        <rFont val="ＭＳ Ｐゴシック"/>
        <sz val="10.0"/>
      </rPr>
      <t>の愛人・多衣</t>
    </r>
    <r>
      <rPr>
        <rFont val="Arial"/>
        <sz val="10.0"/>
      </rPr>
      <t>(</t>
    </r>
    <r>
      <rPr>
        <rFont val="ＭＳ Ｐゴシック"/>
        <sz val="10.0"/>
      </rPr>
      <t>水野美紀</t>
    </r>
    <r>
      <rPr>
        <rFont val="Arial"/>
        <sz val="10.0"/>
      </rPr>
      <t>)</t>
    </r>
    <r>
      <rPr>
        <rFont val="ＭＳ Ｐゴシック"/>
        <sz val="10.0"/>
      </rPr>
      <t>から</t>
    </r>
    <r>
      <rPr>
        <rFont val="Arial"/>
        <sz val="10.0"/>
      </rPr>
      <t>6000</t>
    </r>
    <r>
      <rPr>
        <rFont val="ＭＳ Ｐゴシック"/>
        <sz val="10.0"/>
      </rPr>
      <t>万円を借りることになった通子</t>
    </r>
    <r>
      <rPr>
        <rFont val="Arial"/>
        <sz val="10.0"/>
      </rPr>
      <t>(</t>
    </r>
    <r>
      <rPr>
        <rFont val="ＭＳ Ｐゴシック"/>
        <sz val="10.0"/>
      </rPr>
      <t>木村佳乃</t>
    </r>
    <r>
      <rPr>
        <rFont val="Arial"/>
        <sz val="10.0"/>
      </rPr>
      <t>)</t>
    </r>
    <r>
      <rPr>
        <rFont val="ＭＳ Ｐゴシック"/>
        <sz val="10.0"/>
      </rPr>
      <t>は、金が用意できるまでの間、多衣の紹介で金沢の旅館に泊まる。しかし、そこには多衣の仕掛けた罠が</t>
    </r>
    <r>
      <rPr>
        <rFont val="Arial"/>
        <sz val="10.0"/>
      </rPr>
      <t>…!</t>
    </r>
    <r>
      <rPr>
        <rFont val="ＭＳ Ｐゴシック"/>
        <sz val="10.0"/>
      </rPr>
      <t>その後、新生『花ずみ』の開店準備をする通子と旬平の前に、通子の幼なじみ笠井</t>
    </r>
    <r>
      <rPr>
        <rFont val="Arial"/>
        <sz val="10.0"/>
      </rPr>
      <t>(</t>
    </r>
    <r>
      <rPr>
        <rFont val="ＭＳ Ｐゴシック"/>
        <sz val="10.0"/>
      </rPr>
      <t>田中哲司</t>
    </r>
    <r>
      <rPr>
        <rFont val="Arial"/>
        <sz val="10.0"/>
      </rPr>
      <t>)</t>
    </r>
    <r>
      <rPr>
        <rFont val="ＭＳ Ｐゴシック"/>
        <sz val="10.0"/>
      </rPr>
      <t>が様子を伺いに訪問。さらに多衣までが現れ、四角関係の当事者が一堂に会する修羅場に</t>
    </r>
    <r>
      <rPr>
        <rFont val="Arial"/>
        <sz val="10.0"/>
      </rPr>
      <t>!</t>
    </r>
    <r>
      <rPr>
        <rFont val="ＭＳ Ｐゴシック"/>
        <sz val="10.0"/>
      </rPr>
      <t>そして、いよいよ開店初日を迎えるが</t>
    </r>
    <r>
      <rPr>
        <rFont val="Arial"/>
        <sz val="10.0"/>
      </rPr>
      <t>…!?</t>
    </r>
  </si>
  <si>
    <t>夫・旬平(萩原聖人)の愛人・多衣(水野美紀)から6000万円を借りることになった通子(木村佳乃)は、金が用意できるまでの間、多衣の紹介で金沢の旅館に泊まる。しかし、そこには多衣の仕掛けた罠が…!その後、新生『花ずみ』の開店準備をする通子と旬平の前に、通子の幼なじみ笠井(田中哲司)が様子を伺いに訪問。さらに多衣までが現れ、四角関係の当事者が一堂に会する修羅場に!そして、いよいよ開店初日を迎えるが…!?</t>
  </si>
  <si>
    <t>番組名あなたには渡さない　#3</t>
  </si>
  <si>
    <r>
      <rPr>
        <rFont val="ＭＳ Ｐゴシック"/>
        <sz val="10.0"/>
      </rPr>
      <t>料亭『花ずみ』の女将として順調なスタートを切った通子</t>
    </r>
    <r>
      <rPr>
        <rFont val="Arial"/>
        <sz val="10.0"/>
      </rPr>
      <t>(</t>
    </r>
    <r>
      <rPr>
        <rFont val="ＭＳ Ｐゴシック"/>
        <sz val="10.0"/>
      </rPr>
      <t>木村佳乃</t>
    </r>
    <r>
      <rPr>
        <rFont val="Arial"/>
        <sz val="10.0"/>
      </rPr>
      <t>)</t>
    </r>
    <r>
      <rPr>
        <rFont val="ＭＳ Ｐゴシック"/>
        <sz val="10.0"/>
      </rPr>
      <t>。しかしそこに</t>
    </r>
    <r>
      <rPr>
        <rFont val="Arial"/>
        <sz val="10.0"/>
      </rPr>
      <t>“</t>
    </r>
    <r>
      <rPr>
        <rFont val="ＭＳ Ｐゴシック"/>
        <sz val="10.0"/>
      </rPr>
      <t>もう一人の愛人</t>
    </r>
    <r>
      <rPr>
        <rFont val="Arial"/>
        <sz val="10.0"/>
      </rPr>
      <t>"</t>
    </r>
    <r>
      <rPr>
        <rFont val="ＭＳ Ｐゴシック"/>
        <sz val="10.0"/>
      </rPr>
      <t>が出現</t>
    </r>
    <r>
      <rPr>
        <rFont val="Arial"/>
        <sz val="10.0"/>
      </rPr>
      <t>!</t>
    </r>
    <r>
      <rPr>
        <rFont val="ＭＳ Ｐゴシック"/>
        <sz val="10.0"/>
      </rPr>
      <t>その女性は、旬平</t>
    </r>
    <r>
      <rPr>
        <rFont val="Arial"/>
        <sz val="10.0"/>
      </rPr>
      <t>(</t>
    </r>
    <r>
      <rPr>
        <rFont val="ＭＳ Ｐゴシック"/>
        <sz val="10.0"/>
      </rPr>
      <t>萩原聖人</t>
    </r>
    <r>
      <rPr>
        <rFont val="Arial"/>
        <sz val="10.0"/>
      </rPr>
      <t>)</t>
    </r>
    <r>
      <rPr>
        <rFont val="ＭＳ Ｐゴシック"/>
        <sz val="10.0"/>
      </rPr>
      <t>の父親で先代板長の愛人・鶴代</t>
    </r>
    <r>
      <rPr>
        <rFont val="Arial"/>
        <sz val="10.0"/>
      </rPr>
      <t>(</t>
    </r>
    <r>
      <rPr>
        <rFont val="ＭＳ Ｐゴシック"/>
        <sz val="10.0"/>
      </rPr>
      <t>萬田久子</t>
    </r>
    <r>
      <rPr>
        <rFont val="Arial"/>
        <sz val="10.0"/>
      </rPr>
      <t>)</t>
    </r>
    <r>
      <rPr>
        <rFont val="ＭＳ Ｐゴシック"/>
        <sz val="10.0"/>
      </rPr>
      <t>。そしてその後ろから、旬平を通子から奪った多衣</t>
    </r>
    <r>
      <rPr>
        <rFont val="Arial"/>
        <sz val="10.0"/>
      </rPr>
      <t>(</t>
    </r>
    <r>
      <rPr>
        <rFont val="ＭＳ Ｐゴシック"/>
        <sz val="10.0"/>
      </rPr>
      <t>水野美紀</t>
    </r>
    <r>
      <rPr>
        <rFont val="Arial"/>
        <sz val="10.0"/>
      </rPr>
      <t>)</t>
    </r>
    <r>
      <rPr>
        <rFont val="ＭＳ Ｐゴシック"/>
        <sz val="10.0"/>
      </rPr>
      <t>までもが現れる</t>
    </r>
    <r>
      <rPr>
        <rFont val="Arial"/>
        <sz val="10.0"/>
      </rPr>
      <t>!</t>
    </r>
    <r>
      <rPr>
        <rFont val="ＭＳ Ｐゴシック"/>
        <sz val="10.0"/>
      </rPr>
      <t>義父の愛人だった鶴代と、夫の愛人だった多衣</t>
    </r>
    <r>
      <rPr>
        <rFont val="Arial"/>
        <sz val="10.0"/>
      </rPr>
      <t>…</t>
    </r>
    <r>
      <rPr>
        <rFont val="ＭＳ Ｐゴシック"/>
        <sz val="10.0"/>
      </rPr>
      <t>。最初は別々の場所に座っていた鶴代と多衣だが、やがて</t>
    </r>
    <r>
      <rPr>
        <rFont val="Arial"/>
        <sz val="10.0"/>
      </rPr>
      <t>2</t>
    </r>
    <r>
      <rPr>
        <rFont val="ＭＳ Ｐゴシック"/>
        <sz val="10.0"/>
      </rPr>
      <t>人の愛人は通子を巻き込んだバトルを展開し始め</t>
    </r>
    <r>
      <rPr>
        <rFont val="Arial"/>
        <sz val="10.0"/>
      </rPr>
      <t>…!?</t>
    </r>
  </si>
  <si>
    <t>料亭『花ずみ』の女将として順調なスタートを切った通子(木村佳乃)。しかしそこに“もう一人の愛人"が出現!その女性は、旬平(萩原聖人)の父親で先代板長の愛人・鶴代(萬田久子)。そしてその後ろから、旬平を通子から奪った多衣(水野美紀)までもが現れる!義父の愛人だった鶴代と、夫の愛人だった多衣…。最初は別々の場所に座っていた鶴代と多衣だが、やがて2人の愛人は通子を巻き込んだバトルを展開し始め…!?</t>
  </si>
  <si>
    <t>番組名あなたには渡さない　#4</t>
  </si>
  <si>
    <r>
      <rPr>
        <rFont val="ＭＳ Ｐゴシック"/>
        <sz val="10.0"/>
      </rPr>
      <t>元夫・旬平</t>
    </r>
    <r>
      <rPr>
        <rFont val="Arial"/>
        <sz val="10.0"/>
      </rPr>
      <t>(</t>
    </r>
    <r>
      <rPr>
        <rFont val="ＭＳ Ｐゴシック"/>
        <sz val="10.0"/>
      </rPr>
      <t>萩原聖人</t>
    </r>
    <r>
      <rPr>
        <rFont val="Arial"/>
        <sz val="10.0"/>
      </rPr>
      <t>)</t>
    </r>
    <r>
      <rPr>
        <rFont val="ＭＳ Ｐゴシック"/>
        <sz val="10.0"/>
      </rPr>
      <t>への未練を断ち切り、料亭『花ずみ』の女将として邁進する通子</t>
    </r>
    <r>
      <rPr>
        <rFont val="Arial"/>
        <sz val="10.0"/>
      </rPr>
      <t>(</t>
    </r>
    <r>
      <rPr>
        <rFont val="ＭＳ Ｐゴシック"/>
        <sz val="10.0"/>
      </rPr>
      <t>木村佳乃</t>
    </r>
    <r>
      <rPr>
        <rFont val="Arial"/>
        <sz val="10.0"/>
      </rPr>
      <t>)</t>
    </r>
    <r>
      <rPr>
        <rFont val="ＭＳ Ｐゴシック"/>
        <sz val="10.0"/>
      </rPr>
      <t>。そんな通子の手腕によって</t>
    </r>
    <r>
      <rPr>
        <rFont val="Arial"/>
        <sz val="10.0"/>
      </rPr>
      <t>1000</t>
    </r>
    <r>
      <rPr>
        <rFont val="ＭＳ Ｐゴシック"/>
        <sz val="10.0"/>
      </rPr>
      <t>食分の弁当を引き受けることになり、夫を奪った多衣</t>
    </r>
    <r>
      <rPr>
        <rFont val="Arial"/>
        <sz val="10.0"/>
      </rPr>
      <t>(</t>
    </r>
    <r>
      <rPr>
        <rFont val="ＭＳ Ｐゴシック"/>
        <sz val="10.0"/>
      </rPr>
      <t>水野美紀</t>
    </r>
    <r>
      <rPr>
        <rFont val="Arial"/>
        <sz val="10.0"/>
      </rPr>
      <t>)</t>
    </r>
    <r>
      <rPr>
        <rFont val="ＭＳ Ｐゴシック"/>
        <sz val="10.0"/>
      </rPr>
      <t>にも手伝ってもらうことに。そんな中、スパイ疑惑で『花ずみ』を辞めた八重</t>
    </r>
    <r>
      <rPr>
        <rFont val="Arial"/>
        <sz val="10.0"/>
      </rPr>
      <t>(</t>
    </r>
    <r>
      <rPr>
        <rFont val="ＭＳ Ｐゴシック"/>
        <sz val="10.0"/>
      </rPr>
      <t>荻野目慶子</t>
    </r>
    <r>
      <rPr>
        <rFont val="Arial"/>
        <sz val="10.0"/>
      </rPr>
      <t>)</t>
    </r>
    <r>
      <rPr>
        <rFont val="ＭＳ Ｐゴシック"/>
        <sz val="10.0"/>
      </rPr>
      <t>が店に飛び込んでくる</t>
    </r>
    <r>
      <rPr>
        <rFont val="Arial"/>
        <sz val="10.0"/>
      </rPr>
      <t>!</t>
    </r>
    <r>
      <rPr>
        <rFont val="ＭＳ Ｐゴシック"/>
        <sz val="10.0"/>
      </rPr>
      <t>しかもその手は血まみれで</t>
    </r>
    <r>
      <rPr>
        <rFont val="Arial"/>
        <sz val="10.0"/>
      </rPr>
      <t>…!?</t>
    </r>
    <r>
      <rPr>
        <rFont val="ＭＳ Ｐゴシック"/>
        <sz val="10.0"/>
      </rPr>
      <t>さらに、通子に思いを寄せる幼なじみの笠井</t>
    </r>
    <r>
      <rPr>
        <rFont val="Arial"/>
        <sz val="10.0"/>
      </rPr>
      <t>(</t>
    </r>
    <r>
      <rPr>
        <rFont val="ＭＳ Ｐゴシック"/>
        <sz val="10.0"/>
      </rPr>
      <t>田中哲司</t>
    </r>
    <r>
      <rPr>
        <rFont val="Arial"/>
        <sz val="10.0"/>
      </rPr>
      <t>)</t>
    </r>
    <r>
      <rPr>
        <rFont val="ＭＳ Ｐゴシック"/>
        <sz val="10.0"/>
      </rPr>
      <t>もついに行動に出るが</t>
    </r>
    <r>
      <rPr>
        <rFont val="Arial"/>
        <sz val="10.0"/>
      </rPr>
      <t>…!?</t>
    </r>
  </si>
  <si>
    <t>元夫・旬平(萩原聖人)への未練を断ち切り、料亭『花ずみ』の女将として邁進する通子(木村佳乃)。そんな通子の手腕によって1000食分の弁当を引き受けることになり、夫を奪った多衣(水野美紀)にも手伝ってもらうことに。そんな中、スパイ疑惑で『花ずみ』を辞めた八重(荻野目慶子)が店に飛び込んでくる!しかもその手は血まみれで…!?さらに、通子に思いを寄せる幼なじみの笠井(田中哲司)もついに行動に出るが…!?</t>
  </si>
  <si>
    <t>番組名あなたには渡さない　#5</t>
  </si>
  <si>
    <r>
      <rPr>
        <rFont val="ＭＳ Ｐゴシック"/>
        <sz val="10.0"/>
      </rPr>
      <t>夫・旬平</t>
    </r>
    <r>
      <rPr>
        <rFont val="Arial"/>
        <sz val="10.0"/>
      </rPr>
      <t>(</t>
    </r>
    <r>
      <rPr>
        <rFont val="ＭＳ Ｐゴシック"/>
        <sz val="10.0"/>
      </rPr>
      <t>萩原聖人</t>
    </r>
    <r>
      <rPr>
        <rFont val="Arial"/>
        <sz val="10.0"/>
      </rPr>
      <t>)</t>
    </r>
    <r>
      <rPr>
        <rFont val="ＭＳ Ｐゴシック"/>
        <sz val="10.0"/>
      </rPr>
      <t>を奪った多衣</t>
    </r>
    <r>
      <rPr>
        <rFont val="Arial"/>
        <sz val="10.0"/>
      </rPr>
      <t>(</t>
    </r>
    <r>
      <rPr>
        <rFont val="ＭＳ Ｐゴシック"/>
        <sz val="10.0"/>
      </rPr>
      <t>水野美紀</t>
    </r>
    <r>
      <rPr>
        <rFont val="Arial"/>
        <sz val="10.0"/>
      </rPr>
      <t>)</t>
    </r>
    <r>
      <rPr>
        <rFont val="ＭＳ Ｐゴシック"/>
        <sz val="10.0"/>
      </rPr>
      <t>への復讐のため、通子</t>
    </r>
    <r>
      <rPr>
        <rFont val="Arial"/>
        <sz val="10.0"/>
      </rPr>
      <t>(</t>
    </r>
    <r>
      <rPr>
        <rFont val="ＭＳ Ｐゴシック"/>
        <sz val="10.0"/>
      </rPr>
      <t>木村佳乃</t>
    </r>
    <r>
      <rPr>
        <rFont val="Arial"/>
        <sz val="10.0"/>
      </rPr>
      <t>)</t>
    </r>
    <r>
      <rPr>
        <rFont val="ＭＳ Ｐゴシック"/>
        <sz val="10.0"/>
      </rPr>
      <t>は彼女を薪能を観る一泊旅行に誘い、二人で会場へ。その晩、旅館の客室で、突然通子は多衣に向かって「脱ぎなさい」と告げ、無理やり多衣の着物を剥ぎ取り始める</t>
    </r>
    <r>
      <rPr>
        <rFont val="Arial"/>
        <sz val="10.0"/>
      </rPr>
      <t>…!</t>
    </r>
    <r>
      <rPr>
        <rFont val="ＭＳ Ｐゴシック"/>
        <sz val="10.0"/>
      </rPr>
      <t>通子の思惑とは</t>
    </r>
    <r>
      <rPr>
        <rFont val="Arial"/>
        <sz val="10.0"/>
      </rPr>
      <t>?</t>
    </r>
    <r>
      <rPr>
        <rFont val="ＭＳ Ｐゴシック"/>
        <sz val="10.0"/>
      </rPr>
      <t>多衣の反応は</t>
    </r>
    <r>
      <rPr>
        <rFont val="Arial"/>
        <sz val="10.0"/>
      </rPr>
      <t>?</t>
    </r>
    <r>
      <rPr>
        <rFont val="ＭＳ Ｐゴシック"/>
        <sz val="10.0"/>
      </rPr>
      <t>そして、多衣が通子のために用意した</t>
    </r>
    <r>
      <rPr>
        <rFont val="Arial"/>
        <sz val="10.0"/>
      </rPr>
      <t>6000</t>
    </r>
    <r>
      <rPr>
        <rFont val="ＭＳ Ｐゴシック"/>
        <sz val="10.0"/>
      </rPr>
      <t>万円の出どころが、初めて明らかになるー</t>
    </r>
    <r>
      <rPr>
        <rFont val="Arial"/>
        <sz val="10.0"/>
      </rPr>
      <t>!</t>
    </r>
  </si>
  <si>
    <t>夫・旬平(萩原聖人)を奪った多衣(水野美紀)への復讐のため、通子(木村佳乃)は彼女を薪能を観る一泊旅行に誘い、二人で会場へ。その晩、旅館の客室で、突然通子は多衣に向かって「脱ぎなさい」と告げ、無理やり多衣の着物を剥ぎ取り始める…!通子の思惑とは?多衣の反応は?そして、多衣が通子のために用意した6000万円の出どころが、初めて明らかになるー!</t>
  </si>
  <si>
    <t>番組名あなたには渡さない　#6</t>
  </si>
  <si>
    <r>
      <rPr>
        <rFont val="ＭＳ Ｐゴシック"/>
        <sz val="10.0"/>
      </rPr>
      <t>通子</t>
    </r>
    <r>
      <rPr>
        <rFont val="Arial"/>
        <sz val="10.0"/>
      </rPr>
      <t>(</t>
    </r>
    <r>
      <rPr>
        <rFont val="ＭＳ Ｐゴシック"/>
        <sz val="10.0"/>
      </rPr>
      <t>木村佳乃</t>
    </r>
    <r>
      <rPr>
        <rFont val="Arial"/>
        <sz val="10.0"/>
      </rPr>
      <t>)</t>
    </r>
    <r>
      <rPr>
        <rFont val="ＭＳ Ｐゴシック"/>
        <sz val="10.0"/>
      </rPr>
      <t>の夫・旬平</t>
    </r>
    <r>
      <rPr>
        <rFont val="Arial"/>
        <sz val="10.0"/>
      </rPr>
      <t>(</t>
    </r>
    <r>
      <rPr>
        <rFont val="ＭＳ Ｐゴシック"/>
        <sz val="10.0"/>
      </rPr>
      <t>萩原聖人</t>
    </r>
    <r>
      <rPr>
        <rFont val="Arial"/>
        <sz val="10.0"/>
      </rPr>
      <t>)</t>
    </r>
    <r>
      <rPr>
        <rFont val="ＭＳ Ｐゴシック"/>
        <sz val="10.0"/>
      </rPr>
      <t>が突然いなくなってから</t>
    </r>
    <r>
      <rPr>
        <rFont val="Arial"/>
        <sz val="10.0"/>
      </rPr>
      <t>1</t>
    </r>
    <r>
      <rPr>
        <rFont val="ＭＳ Ｐゴシック"/>
        <sz val="10.0"/>
      </rPr>
      <t>年半</t>
    </r>
    <r>
      <rPr>
        <rFont val="Arial"/>
        <sz val="10.0"/>
      </rPr>
      <t>…</t>
    </r>
    <r>
      <rPr>
        <rFont val="ＭＳ Ｐゴシック"/>
        <sz val="10.0"/>
      </rPr>
      <t>。その夫を奪っていった愛人・多衣</t>
    </r>
    <r>
      <rPr>
        <rFont val="Arial"/>
        <sz val="10.0"/>
      </rPr>
      <t>(</t>
    </r>
    <r>
      <rPr>
        <rFont val="ＭＳ Ｐゴシック"/>
        <sz val="10.0"/>
      </rPr>
      <t>水野美紀</t>
    </r>
    <r>
      <rPr>
        <rFont val="Arial"/>
        <sz val="10.0"/>
      </rPr>
      <t>)</t>
    </r>
    <r>
      <rPr>
        <rFont val="ＭＳ Ｐゴシック"/>
        <sz val="10.0"/>
      </rPr>
      <t>の妊娠が発覚</t>
    </r>
    <r>
      <rPr>
        <rFont val="Arial"/>
        <sz val="10.0"/>
      </rPr>
      <t>!</t>
    </r>
    <r>
      <rPr>
        <rFont val="ＭＳ Ｐゴシック"/>
        <sz val="10.0"/>
      </rPr>
      <t>だが、彼女は父親については口をつぐみーー。そんな中、通子に恋心を寄せていた笠井</t>
    </r>
    <r>
      <rPr>
        <rFont val="Arial"/>
        <sz val="10.0"/>
      </rPr>
      <t>(</t>
    </r>
    <r>
      <rPr>
        <rFont val="ＭＳ Ｐゴシック"/>
        <sz val="10.0"/>
      </rPr>
      <t>田中哲司</t>
    </r>
    <r>
      <rPr>
        <rFont val="Arial"/>
        <sz val="10.0"/>
      </rPr>
      <t>)</t>
    </r>
    <r>
      <rPr>
        <rFont val="ＭＳ Ｐゴシック"/>
        <sz val="10.0"/>
      </rPr>
      <t>が贈賄疑惑の罪に問われることに。様々な出来事に混乱した通子は、笠井に教えてもらった住所を頼りに旬平の元へ。そこには旬平と、幼子を抱えた見知らぬ女がいて</t>
    </r>
    <r>
      <rPr>
        <rFont val="Arial"/>
        <sz val="10.0"/>
      </rPr>
      <t>…!?</t>
    </r>
    <r>
      <rPr>
        <rFont val="ＭＳ Ｐゴシック"/>
        <sz val="10.0"/>
      </rPr>
      <t>急展開の最終章</t>
    </r>
    <r>
      <rPr>
        <rFont val="Arial"/>
        <sz val="10.0"/>
      </rPr>
      <t>!</t>
    </r>
  </si>
  <si>
    <t>通子(木村佳乃)の夫・旬平(萩原聖人)が突然いなくなってから1年半…。その夫を奪っていった愛人・多衣(水野美紀)の妊娠が発覚!だが、彼女は父親については口をつぐみーー。そんな中、通子に恋心を寄せていた笠井(田中哲司)が贈賄疑惑の罪に問われることに。様々な出来事に混乱した通子は、笠井に教えてもらった住所を頼りに旬平の元へ。そこには旬平と、幼子を抱えた見知らぬ女がいて…!?急展開の最終章!</t>
  </si>
  <si>
    <t>番組名あなたには渡さない　衝撃の最終回</t>
  </si>
  <si>
    <r>
      <rPr>
        <rFont val="ＭＳ Ｐゴシック"/>
        <sz val="10.0"/>
      </rPr>
      <t>笠井</t>
    </r>
    <r>
      <rPr>
        <rFont val="Arial"/>
        <sz val="10.0"/>
      </rPr>
      <t>(</t>
    </r>
    <r>
      <rPr>
        <rFont val="ＭＳ Ｐゴシック"/>
        <sz val="10.0"/>
      </rPr>
      <t>田中哲司</t>
    </r>
    <r>
      <rPr>
        <rFont val="Arial"/>
        <sz val="10.0"/>
      </rPr>
      <t>)</t>
    </r>
    <r>
      <rPr>
        <rFont val="ＭＳ Ｐゴシック"/>
        <sz val="10.0"/>
      </rPr>
      <t>の贈賄疑惑に関わっているという噂により、料亭「花ずみ」の客足が途絶え、ピンチに陥る通子</t>
    </r>
    <r>
      <rPr>
        <rFont val="Arial"/>
        <sz val="10.0"/>
      </rPr>
      <t>(</t>
    </r>
    <r>
      <rPr>
        <rFont val="ＭＳ Ｐゴシック"/>
        <sz val="10.0"/>
      </rPr>
      <t>木村佳乃</t>
    </r>
    <r>
      <rPr>
        <rFont val="Arial"/>
        <sz val="10.0"/>
      </rPr>
      <t>)</t>
    </r>
    <r>
      <rPr>
        <rFont val="ＭＳ Ｐゴシック"/>
        <sz val="10.0"/>
      </rPr>
      <t>。そんな中、お腹の子を抱えたまま多衣</t>
    </r>
    <r>
      <rPr>
        <rFont val="Arial"/>
        <sz val="10.0"/>
      </rPr>
      <t>(</t>
    </r>
    <r>
      <rPr>
        <rFont val="ＭＳ Ｐゴシック"/>
        <sz val="10.0"/>
      </rPr>
      <t>水野美紀</t>
    </r>
    <r>
      <rPr>
        <rFont val="Arial"/>
        <sz val="10.0"/>
      </rPr>
      <t>)</t>
    </r>
    <r>
      <rPr>
        <rFont val="ＭＳ Ｐゴシック"/>
        <sz val="10.0"/>
      </rPr>
      <t>が忽然と姿を消してしまい、通子は別れた夫・旬平</t>
    </r>
    <r>
      <rPr>
        <rFont val="Arial"/>
        <sz val="10.0"/>
      </rPr>
      <t>(</t>
    </r>
    <r>
      <rPr>
        <rFont val="ＭＳ Ｐゴシック"/>
        <sz val="10.0"/>
      </rPr>
      <t>萩原聖人</t>
    </r>
    <r>
      <rPr>
        <rFont val="Arial"/>
        <sz val="10.0"/>
      </rPr>
      <t>)</t>
    </r>
    <r>
      <rPr>
        <rFont val="ＭＳ Ｐゴシック"/>
        <sz val="10.0"/>
      </rPr>
      <t>に相談する。さらに、逮捕された笠井が出所してくるも、意味深な言葉を通子に残し</t>
    </r>
    <r>
      <rPr>
        <rFont val="Arial"/>
        <sz val="10.0"/>
      </rPr>
      <t>…</t>
    </r>
    <r>
      <rPr>
        <rFont val="ＭＳ Ｐゴシック"/>
        <sz val="10.0"/>
      </rPr>
      <t>。それを聞いた通子が取った驚くべき行動とは</t>
    </r>
    <r>
      <rPr>
        <rFont val="Arial"/>
        <sz val="10.0"/>
      </rPr>
      <t>!?</t>
    </r>
    <r>
      <rPr>
        <rFont val="ＭＳ Ｐゴシック"/>
        <sz val="10.0"/>
      </rPr>
      <t>最後の最後で何かが起こる</t>
    </r>
    <r>
      <rPr>
        <rFont val="Arial"/>
        <sz val="10.0"/>
      </rPr>
      <t>…</t>
    </r>
    <r>
      <rPr>
        <rFont val="ＭＳ Ｐゴシック"/>
        <sz val="10.0"/>
      </rPr>
      <t>全ての謎が解ける衝撃の最終回</t>
    </r>
    <r>
      <rPr>
        <rFont val="Arial"/>
        <sz val="10.0"/>
      </rPr>
      <t>!</t>
    </r>
  </si>
  <si>
    <t>笠井(田中哲司)の贈賄疑惑に関わっているという噂により、料亭「花ずみ」の客足が途絶え、ピンチに陥る通子(木村佳乃)。そんな中、お腹の子を抱えたまま多衣(水野美紀)が忽然と姿を消してしまい、通子は別れた夫・旬平(萩原聖人)に相談する。さらに、逮捕された笠井が出所してくるも、意味深な言葉を通子に残し…。それを聞いた通子が取った驚くべき行動とは!?最後の最後で何かが起こる…全ての謎が解ける衝撃の最終回!</t>
  </si>
  <si>
    <t>1807_EX_木21</t>
  </si>
  <si>
    <t>ハゲタカ</t>
  </si>
  <si>
    <t>番組名ハゲタカ　初回拡大スペシャル</t>
  </si>
  <si>
    <t>1997年。名門・三葉銀行はバブル崩壊後の金融危機を脱するため、回収困難な不良債権を投資会社に一括でまとめ売りする日本初の“バルクセール"を実施。銀行常務・飯島亮介(小林薫)の命を受けた行員・芝野健夫(渡部篤郎)は外資系投資ファンド代表・鷲津政彦に査定を依頼するが、通達額は驚くべき金額だった!一方、ホテルウーマン・松平貴子(沢尻エリカ)は、鷲津がある債務者から怒号を浴びせられる光景を偶然目撃し…!?綾野剛、渡部篤郎、沢尻エリカ、池内博之、木南晴夏、堀内敬子、佐倉絵麻・杉本哲太・光石研、小林薫  【ゲスト】藤本隆宏、六角精児真山仁『ハゲタカ』『ハゲタカII』(講談社文庫)古家和尚和泉聖治富貴晴美    【主題歌】  Mr.Children『SINGLES』(TOY'S FACTORY)【エグゼクティブプロデューサー】内山聖子(テレビ朝日)  【プロデューサー】中川慎子(テレビ朝日)、下山潤(ジャンゴフィルム)☆番組HP  　http://www.tv-asahi.co.jp/hagetaka/  ☆Twitter  　https://twitter.com/hagetaka_ex  ☆Instagram  　https://www.instagram.com/hagetaka_ex/</t>
  </si>
  <si>
    <t>1997年。名門・三葉銀行はバブル崩壊後の金融危機を脱するため、回収困難な不良債権を投資会社に一括でまとめ売りする日本初の“バルクセール"を実施。銀行常務・飯島亮介(小林薫)の命を受けた行員・芝野健夫(渡部篤郎)は外資系投資ファンド代表・鷲津政彦に査定を依頼するが、通達額は驚くべき金額だった!一方、ホテルウーマン・松平貴子(沢尻エリカ)は、鷲津がある債務者から怒号を浴びせられる光景を偶然目撃し…!?</t>
  </si>
  <si>
    <t>番組名ハゲタカ　第2話拡大スペシャル</t>
  </si>
  <si>
    <t>2001年。名門・三葉銀行が行った日本初の“バルクセール"から4年が経ち、再び銀行常務・飯島(小林薫)の前に現れた鷲津(綾野剛)は、社長・中森瑞恵(かたせ梨乃)ら経営者一族の浪費と乱脈経営で多額の負債を抱える老舗ベッドメーカー・太陽ベッドの債権譲渡を迫る。一方、経営悪化の一途をたどる日光みやびホテルの支配人となった貴子(沢尻エリカ)は、融資の依頼にエリート銀行マン・芝野(渡部篤郎)を訪ねるが…!?綾野剛、渡部篤郎、沢尻エリカ、池内博之、木南晴夏、堀内敬子、佐倉絵麻・杉本哲太・光石研、小林薫  【ゲスト】かたせ梨乃真山仁『ハゲタカ』『ハゲタカII』(講談社文庫)古家和尚和泉聖治富貴晴美    【主題歌】  Mr.Children『SINGLES』(TOY'S FACTORY)【エグゼクティブプロデューサー】内山聖子(テレビ朝日)  【プロデューサー】中川慎子(テレビ朝日)、下山潤(ジャンゴフィルム)☆番組HP  　http://www.tv-asahi.co.jp/hagetaka/  ☆Twitter  　https://twitter.com/hagetaka_ex  ☆Instagram  　https://www.instagram.com/hagetaka_ex/</t>
  </si>
  <si>
    <t>2001年。名門・三葉銀行が行った日本初の“バルクセール"から4年が経ち、再び銀行常務・飯島(小林薫)の前に現れた鷲津(綾野剛)は、社長・中森瑞恵(かたせ梨乃)ら経営者一族の浪費と乱脈経営で多額の負債を抱える老舗ベッドメーカー・太陽ベッドの債権譲渡を迫る。一方、経営悪化の一途をたどる日光みやびホテルの支配人となった貴子(沢尻エリカ)は、融資の依頼にエリート銀行マン・芝野(渡部篤郎)を訪ねるが…!?</t>
  </si>
  <si>
    <t>番組名ハゲタカ　#3</t>
  </si>
  <si>
    <t>貴子(沢尻エリカ)は、新社長に就任したホテルの買収を鷲津(綾野剛)から宣言され、がく然とする。一方、三葉銀行は常務・飯島(小林薫)の指揮のもと、地方と企業を支援する『三葉ふるさとファンド』を設立し、同ホテルが支援候補に。しかし、プロジェクトの真の目的を知った銀行員・芝野(渡部篤郎)は、複雑な思いを抱え…!?そして遂に、鷲津が貴子や飯島に近づいた本当の理由が明らかに!「ハゲタカ」第一章、いよいよ完結!!綾野剛、渡部篤郎、沢尻エリカ、池内博之、木南晴夏、堀内敬子、佐倉絵麻・杉本哲太・光石研、小林薫真山仁『ハゲタカ』『ハゲタカII』(講談社文庫)古家和尚和泉聖治富貴晴美    【主題歌】  Mr.Children『SINGLES』(TOY'S FACTORY)【エグゼクティブプロデューサー】内山聖子(テレビ朝日)  【プロデューサー】中川慎子(テレビ朝日)、下山潤(ジャンゴフィルム)☆番組HP  　http://www.tv-asahi.co.jp/hagetaka/  ☆Twitter  　https://twitter.com/hagetaka_ex  ☆Instagram  　https://www.instagram.com/hagetaka_ex/</t>
  </si>
  <si>
    <t>貴子(沢尻エリカ)は、新社長に就任したホテルの買収を鷲津(綾野剛)から宣言され、がく然とする。一方、三葉銀行は常務・飯島(小林薫)の指揮のもと、地方と企業を支援する『三葉ふるさとファンド』を設立し、同ホテルが支援候補に。しかし、プロジェクトの真の目的を知った銀行員・芝野(渡部篤郎)は、複雑な思いを抱え…!?そして遂に、鷲津が貴子や飯島に近づいた本当の理由が明らかに!「ハゲタカ」第一章、いよいよ完結!!</t>
  </si>
  <si>
    <t>番組名ハゲタカ　#4</t>
  </si>
  <si>
    <t>いよいよ第2章突入!2010年。名実ともに日本最強の企業買収者となったハゲタカ・鷲津政彦(綾野剛)の次なる標的は、国内有数の大手電機メーカー『あけぼの』。一方、三葉銀行を辞めた芝野(渡部篤郎)が『あけぼの』の再生担当執行役員に就任したことを知った鷲津は、芝野を警戒し買収を一旦保留にするよう部下に命じる。さらにPCメーカー『ファインTD』のカリスマ社長・滝本(高嶋政伸)も『あけぼの』買収に動き始め…綾野剛、渡部篤郎、沢尻エリカ、池内博之、木南晴夏、堀内敬子、佐倉絵麻、是永瞳・杉本哲太・光石研、小林薫  【ゲスト】高嶋政伸、筒井道隆、竜雷太真山仁『ハゲタカ』『ハゲタカII』(講談社文庫)古家和尚和泉聖治富貴晴美    【主題歌】  Mr.Children『SINGLES』(TOY'S FACTORY)【エグゼクティブプロデューサー】内山聖子(テレビ朝日)  【プロデューサー】中川慎子(テレビ朝日)、下山潤(ジャンゴフィルム)☆番組HP  　http://www.tv-asahi.co.jp/hagetaka/  ☆Twitter  　https://twitter.com/hagetaka_ex  ☆Instagram  　https://www.instagram.com/hagetaka_ex/</t>
  </si>
  <si>
    <t>いよいよ第2章突入!2010年。名実ともに日本最強の企業買収者となったハゲタカ・鷲津政彦(綾野剛)の次なる標的は、国内有数の大手電機メーカー『あけぼの』。一方、三葉銀行を辞めた芝野(渡部篤郎)が『あけぼの』の再生担当執行役員に就任したことを知った鷲津は、芝野を警戒し買収を一旦保留にするよう部下に命じる。さらにPCメーカー『ファインTD』のカリスマ社長・滝本(高嶋政伸)も『あけぼの』買収に動き始め…</t>
  </si>
  <si>
    <t>番組名ハゲタカ　#5</t>
  </si>
  <si>
    <t>総合電機メーカー『あけぼの』の買収を狙う『ファインTD』社長・滝本(高嶋政伸)の策略と部下からの思わぬ裏切りによって、ホライズンを解雇された鷲津(綾野剛)。しかし鷲津は新たに『サムライファンド』を立ち上げ、『あけぼの』再生担当執行役員の芝野(渡部篤郎)と共に、再び滝本と対峙する準備を始める。そして遂に、『サムライファンド』と『ファインTD』の壮絶な買収合戦の幕が切って落とされる…!綾野剛、渡部篤郎、沢尻エリカ、池内博之、木南晴夏、堀内敬子、佐倉絵麻、是永瞳・杉本哲太・光石研、小林薫  【ゲスト】高嶋政伸、筒井道隆、竜雷太真山仁『ハゲタカ』『ハゲタカII』(講談社文庫)古家和尚田村直己(テレビ朝日)富貴晴美    【主題歌】  Mr.Children『SINGLES』(TOY'S FACTORY)【エグゼクティブプロデューサー】内山聖子(テレビ朝日)  【プロデューサー】中川慎子(テレビ朝日)、下山潤(ジャンゴフィルム)☆番組HP  　http://www.tv-asahi.co.jp/hagetaka/  ☆Twitter  　https://twitter.com/hagetaka_ex  ☆Instagram  　https://www.instagram.com/hagetaka_ex/</t>
  </si>
  <si>
    <t>総合電機メーカー『あけぼの』の買収を狙う『ファインTD』社長・滝本(高嶋政伸)の策略と部下からの思わぬ裏切りによって、ホライズンを解雇された鷲津(綾野剛)。しかし鷲津は新たに『サムライファンド』を立ち上げ、『あけぼの』再生担当執行役員の芝野(渡部篤郎)と共に、再び滝本と対峙する準備を始める。そして遂に、『サムライファンド』と『ファインTD』の壮絶な買収合戦の幕が切って落とされる…!</t>
  </si>
  <si>
    <t>番組名ハゲタカ　#6</t>
  </si>
  <si>
    <t>「ハゲタカ」第2章、ついに決着!総合電機メーカー『あけぼの』を巡る買収合戦が激化!鷲津(綾野剛)は、敵対するPCメーカー『ファインTD』社長・滝本(高嶋政伸)からの執拗な裏工作の数々にも一歩も引かず、出演した報道番組の中で「『あけぼの』を狙う『ファインTD』の背後には、米最大の軍需産業ファンド『プラザ・グループ』が潜んでいる」と激白。そして『プラザ・グループ』は直接『あけぼの』買収に動き出し…?綾野剛、渡部篤郎、沢尻エリカ、池内博之、木南晴夏、堀内敬子、佐倉絵麻、是永瞳・杉本哲太・光石研、小林薫  【ゲスト】高嶋政伸、筒井道隆、竜雷太真山仁『ハゲタカ』『ハゲタカII』(講談社文庫)古家和尚近藤一彦富貴晴美    【主題歌】  Mr.Children『SINGLES』(TOY'S FACTORY)【エグゼクティブプロデューサー】内山聖子(テレビ朝日)  【プロデューサー】中川慎子(テレビ朝日)、下山潤(ジャンゴフィルム)☆番組HP  　http://www.tv-asahi.co.jp/hagetaka/  ☆Twitter  　https://twitter.com/hagetaka_ex  ☆Instagram  　https://www.instagram.com/hagetaka_ex/</t>
  </si>
  <si>
    <t>「ハゲタカ」第2章、ついに決着!総合電機メーカー『あけぼの』を巡る買収合戦が激化!鷲津(綾野剛)は、敵対するPCメーカー『ファインTD』社長・滝本(高嶋政伸)からの執拗な裏工作の数々にも一歩も引かず、出演した報道番組の中で「『あけぼの』を狙う『ファインTD』の背後には、米最大の軍需産業ファンド『プラザ・グループ』が潜んでいる」と激白。そして『プラザ・グループ』は直接『あけぼの』買収に動き出し…?</t>
  </si>
  <si>
    <t>番組名ハゲタカ　#7</t>
  </si>
  <si>
    <t>2018年。平成最後の夏、社長・真壁達臣(伊武雅刀)率いる名門重工業メーカー『帝都重工』でデータ改ざんの不祥事が発覚。日本ルネッサンス機構の飯島亮介(小林薫)は芝野健夫(渡部篤郎)にこの処理を依頼し、芝野はサムライファンド代表・鷲津政彦(綾野剛)に救済を求めるが、『帝都重工』の腐敗を察知した鷲津は驚きの行動に出る!一方、若きベンチャー企業の代表・天宮光一(森崎ウィン)は、とある依頼を鷲津に持ちかけ…?綾野剛、渡部篤郎、沢尻エリカ、池内博之、木南晴夏、堀内敬子、佐倉絵麻、是永瞳・杉本哲太・光石研、小林薫  【ゲスト】森崎ウィン、伊武雅刀真山仁『ハゲタカ』『ハゲタカII』(講談社文庫)古家和尚近藤一彦富貴晴美    【主題歌】  Mr.Children『SINGLES』(TOY'S FACTORY)【エグゼクティブプロデューサー】内山聖子(テレビ朝日)  【プロデューサー】中川慎子(テレビ朝日)、下山潤(ジャンゴフィルム)☆番組HP  　http://www.tv-asahi.co.jp/hagetaka/  ☆Twitter  　https://twitter.com/hagetaka_ex  ☆Instagram  　https://www.instagram.com/hagetaka_ex/</t>
  </si>
  <si>
    <t>2018年。平成最後の夏、社長・真壁達臣(伊武雅刀)率いる名門重工業メーカー『帝都重工』でデータ改ざんの不祥事が発覚。日本ルネッサンス機構の飯島亮介(小林薫)は芝野健夫(渡部篤郎)にこの処理を依頼し、芝野はサムライファンド代表・鷲津政彦(綾野剛)に救済を求めるが、『帝都重工』の腐敗を察知した鷲津は驚きの行動に出る!一方、若きベンチャー企業の代表・天宮光一(森崎ウィン)は、とある依頼を鷲津に持ちかけ…?</t>
  </si>
  <si>
    <t>番組名ハゲタカ　最終話・拡大スペシャル</t>
  </si>
  <si>
    <t>超巨大企業『帝都重工』再建のため同社長に就任した鷲津政彦(綾野剛)は、再生担当執行役員に芝野健夫(渡部篤郎)を据え本格始動し、「30日以内に『帝都重工』に“革命"をもたらす」と会見で宣言する!様々な思惑が渦巻く中、松平貴子(沢尻エリカ)が社長を務める『日光みやびホテル』で開催された国際会議で、大事件が勃発し…!?一方、鷲津は若きベンチャー企業代表・天宮光一(森崎ウィン)に対し、まさかの行動に出る!綾野剛、渡部篤郎、沢尻エリカ、池内博之、木南晴夏、堀内敬子、佐倉絵麻、是永瞳・杉本哲太・光石研、小林薫  【ゲスト】森崎ウィン、伊武雅刀真山仁『ハゲタカ』『ハゲタカII』(講談社文庫)古家和尚星野和成(MMJ)富貴晴美    【主題歌】  Mr.Children『SINGLES』(TOY'S FACTORY)【エグゼクティブプロデューサー】内山聖子(テレビ朝日)  【プロデューサー】中川慎子(テレビ朝日)、下山潤(ジャンゴフィルム)☆番組HP  　http://www.tv-asahi.co.jp/hagetaka/  ☆Twitter  　https://twitter.com/hagetaka_ex  ☆Instagram  　https://www.instagram.com/hagetaka_ex/</t>
  </si>
  <si>
    <t>超巨大企業『帝都重工』再建のため同社長に就任した鷲津政彦(綾野剛)は、再生担当執行役員に芝野健夫(渡部篤郎)を据え本格始動し、「30日以内に『帝都重工』に“革命"をもたらす」と会見で宣言する!様々な思惑が渦巻く中、松平貴子(沢尻エリカ)が社長を務める『日光みやびホテル』で開催された国際会議で、大事件が勃発し…!?一方、鷲津は若きベンチャー企業代表・天宮光一(森崎ウィン)に対し、まさかの行動に出る!</t>
  </si>
  <si>
    <t>1807_EX_金23</t>
  </si>
  <si>
    <t>dele</t>
  </si>
  <si>
    <t>番組名dele/ディーリー　#1</t>
  </si>
  <si>
    <t>被告人として出廷した何でも屋・真柴祐太郎(菅田将暉)に興味を持った弁護士・坂上舞(麻生久美子)は、すぐさま保釈手続きを取り、彼に仕事を紹介する。それは舞の弟・坂上圭司(山田孝之)が「dele. LIFE」という会社を立ち上げ、単独従事している秘密裏の仕事…。クライアントの依頼を受け、その人の死後に不都合なデジタル遺品をすべて“内密に"抹消する仕事だった!そんな中、新たな依頼人からの仕事が舞い込む…。山田孝之、菅田将暉、麻生久美子  【ゲスト】江口のりこ、般若本多孝好本多孝好常廣丈太(テレビ朝日)岩崎太整、DJ MITSU THE BEATS【ゼネラルプロデューサー】黒田徹也(テレビ朝日)  【プロデューサー】山田兼司(テレビ朝日)、太田雅晴(5年D組)☆番組HP  　http://dele.life/  ☆Twitter  　https://twitter.com/sudayamada  ☆Instagram  　https://www.instagram.com/yamadasuda/</t>
  </si>
  <si>
    <t>被告人として出廷した何でも屋・真柴祐太郎(菅田将暉)に興味を持った弁護士・坂上舞(麻生久美子)は、すぐさま保釈手続きを取り、彼に仕事を紹介する。それは舞の弟・坂上圭司(山田孝之)が「dele. LIFE」という会社を立ち上げ、単独従事している秘密裏の仕事…。クライアントの依頼を受け、その人の死後に不都合なデジタル遺品をすべて“内密に"抹消する仕事だった!そんな中、新たな依頼人からの仕事が舞い込む…。</t>
  </si>
  <si>
    <t>番組名dele/ディーリー　#2</t>
  </si>
  <si>
    <t>『dele. LIFE』にスマホ・データの死後削除を依頼していた詩織(コムアイ)が突然、「やっぱりデータは消さないでください」と書き残して死亡した。詩織の心変わりの理由を探ろうとする圭司(山田孝之)と祐太郎(菅田将暉)。そんな中、祐太郎は詩織と交流のあった沙也加(石橋静河)を訪ねるが…!?やがて圭司らは、詩織のスマホから“微塵も想像していなかったデータ"を見つけるーー。山田孝之、菅田将暉、麻生久美子  【ゲスト】コムアイ(水曜日のカンパネラ)、石橋静河、中村育二本多孝好渡辺雄介常廣丈太(テレビ朝日)岩崎太整、DJ MITSU THE BEATS【ゼネラルプロデューサー】黒田徹也(テレビ朝日)  【プロデューサー】山田兼司(テレビ朝日)、太田雅晴(5年D組)☆番組HP  　http://dele.life/  ☆Twitter  　https://twitter.com/sudayamada  ☆Instagram  　https://www.instagram.com/yamadasuda/</t>
  </si>
  <si>
    <t>『dele. LIFE』にスマホ・データの死後削除を依頼していた詩織(コムアイ)が突然、「やっぱりデータは消さないでください」と書き残して死亡した。詩織の心変わりの理由を探ろうとする圭司(山田孝之)と祐太郎(菅田将暉)。そんな中、祐太郎は詩織と交流のあった沙也加(石橋静河)を訪ねるが…!?やがて圭司らは、詩織のスマホから“微塵も想像していなかったデータ"を見つけるーー。</t>
  </si>
  <si>
    <t>番組名dele/ディーリー　#3</t>
  </si>
  <si>
    <t>自分の死後、あるデータを削除する前にコピーし、バラの花と一緒に幸子(余貴美子)という女性に届けてほしいーー。そんな奇妙な依頼を『dele. LIFE』に託した老人・浦田(高橋源一郎)が自殺した!死亡確認に向かった祐太郎(菅田将暉)は、不審な男が浦田のパソコンを盗む現場を目撃。間もなく圭司(山田孝之)のPC端末に、浦田のパソコン起動を知らせる信号が送られてきて…!?山田孝之、菅田将暉、麻生久美子  【ゲスト】余貴美子、高橋源一郎本多孝好青島武瀧本智行岩崎太整、DJ MITSU THE BEATS【ゼネラルプロデューサー】黒田徹也(テレビ朝日)  【プロデューサー】山田兼司(テレビ朝日)、太田雅晴(5年D組)※この番組は放送時間が変更になる場合があります    ☆番組HP  　http://dele.life/  ☆Twitter  　https://twitter.com/sudayamada  ☆Instagram  　https://www.instagram.com/yamadasuda/</t>
  </si>
  <si>
    <t>自分の死後、あるデータを削除する前にコピーし、バラの花と一緒に幸子(余貴美子)という女性に届けてほしいーー。そんな奇妙な依頼を『dele. LIFE』に託した老人・浦田(高橋源一郎)が自殺した!死亡確認に向かった祐太郎(菅田将暉)は、不審な男が浦田のパソコンを盗む現場を目撃。間もなく圭司(山田孝之)のPC端末に、浦田のパソコン起動を知らせる信号が送られてきて…!?</t>
  </si>
  <si>
    <t>番組名dele/ディーリー　#4</t>
  </si>
  <si>
    <t>あるファイルの死後削除を『dele. LIFE』に依頼していた日暮(野田洋次郎)が、葛藤に満ちた不可解な文章と、描きかけの絵を遺して死亡した。日暮はかつて天才超能力少年として一世を風靡し、圭司(山田孝之)も心酔していた人物。だが25年前、ある霊視に失敗し、メディアから姿を消していた…。圭司と祐太郎(菅田将暉)は、日暮の最期の思いを紐解こうとするが…!?山田孝之、菅田将暉、麻生久美子  【ゲスト】野田洋次郎(RADWIMPS)、矢島健一、松本若菜本多孝好瀧本智行瀧本智行岩崎太整、DJ MITSU THE BEATS【ゼネラルプロデューサー】黒田徹也(テレビ朝日)  【プロデューサー】山田兼司(テレビ朝日)、太田雅晴(5年D組)※この番組は放送時間が変更になる場合があります    ☆番組HP  　http://dele.life/  ☆Twitter  　https://twitter.com/sudayamada  ☆Instagram  　https://www.instagram.com/yamadasuda/</t>
  </si>
  <si>
    <t>あるファイルの死後削除を『dele. LIFE』に依頼していた日暮(野田洋次郎)が、葛藤に満ちた不可解な文章と、描きかけの絵を遺して死亡した。日暮はかつて天才超能力少年として一世を風靡し、圭司(山田孝之)も心酔していた人物。だが25年前、ある霊視に失敗し、メディアから姿を消していた…。圭司と祐太郎(菅田将暉)は、日暮の最期の思いを紐解こうとするが…!?</t>
  </si>
  <si>
    <t>番組名dele/ディーリー　#5</t>
  </si>
  <si>
    <t>『dele. LIFE』にデータの死後削除を依頼していた聡史(朝比奈秀樹)のパソコンが、操作されなくなった。圭司(山田孝之)の指示で死亡確認に向かった祐太郎(菅田将暉)は、聡史が事故で意識不明状態だと知る。しかも、聡史の幼なじみで婚約者だという百合子(橋本愛)からは、削除依頼を取り消すと言われ…!一方、圭司は元恋人・明奈(柴咲コウ)と1年ぶりに再会するのだが…!?山田孝之、菅田将暉  【ゲスト】柴咲コウ、橋本愛、渡辺大知、朝比奈秀樹本多孝好本多孝好常廣丈太(テレビ朝日)岩崎太整、DJ MITSU THE BEATS【ゼネラルプロデューサー】黒田徹也(テレビ朝日)  【プロデューサー】山田兼司(テレビ朝日)、太田雅晴(5年D組)☆番組HP  　http://dele.life/  ☆Twitter  　https://twitter.com/sudayamada  ☆Instagram  　https://www.instagram.com/yamadasuda/</t>
  </si>
  <si>
    <t>『dele. LIFE』にデータの死後削除を依頼していた聡史(朝比奈秀樹)のパソコンが、操作されなくなった。圭司(山田孝之)の指示で死亡確認に向かった祐太郎(菅田将暉)は、聡史が事故で意識不明状態だと知る。しかも、聡史の幼なじみで婚約者だという百合子(橋本愛)からは、削除依頼を取り消すと言われ…!一方、圭司は元恋人・明奈(柴咲コウ)と1年ぶりに再会するのだが…!?</t>
  </si>
  <si>
    <t>番組名dele/ディーリー　#6</t>
  </si>
  <si>
    <t>家出していた中学生・純子(山田愛奈)が死体で見つかる。いじめが原因ではないかと疑う両親は、真の自殺理由を知りたい一心で、純子が日記をつけていたパソコンのパスワード解除を圭司(山田孝之)に依頼。ところが、苦労の末に解除するも、肝心なデータは何一つ残っておらず…!?山田孝之、菅田将暉、麻生久美子  【ゲスト】山田愛奈本多孝好金城一紀常廣丈太(テレビ朝日)岩崎太整、DJ MITSU THE BEATS【ゼネラルプロデューサー】黒田徹也(テレビ朝日)  【プロデューサー】山田兼司(テレビ朝日)、太田雅晴(5年D組)☆番組HP  　http://dele.life/  ☆Twitter  　https://twitter.com/sudayamada  ☆Instagram  　https://www.instagram.com/yamadasuda/</t>
  </si>
  <si>
    <t>家出していた中学生・純子(山田愛奈)が死体で見つかる。いじめが原因ではないかと疑う両親は、真の自殺理由を知りたい一心で、純子が日記をつけていたパソコンのパスワード解除を圭司(山田孝之)に依頼。ところが、苦労の末に解除するも、肝心なデータは何一つ残っておらず…!?</t>
  </si>
  <si>
    <t>番組名dele/ディーリー　#7</t>
  </si>
  <si>
    <t>『dele. LIFE』の依頼人が死んだ。依頼人は、無実を訴え続ける死刑囚・笹本清一(塚本晋也)の息子。しかも、依頼人が死後削除を依頼したファイルは、真犯人をとらえた映像だった!やがて、この事件で娘を亡くした上野(Mummy-D)など周辺人物から、圭司(山田孝之)と祐太郎(菅田将暉)は、事件解決のカギになると思われる裏情報を入手。だが、調べれば調べるほど、容疑者となりうる人物が次々と浮上してきて…!?山田孝之、菅田将暉、麻生久美子  【ゲスト】塚本晋也、Mummy-D本多孝好徳永富彦常廣丈太(テレビ朝日)岩崎太整、DJ MITSU THE BEATS【ゼネラルプロデューサー】黒田徹也(テレビ朝日)  【プロデューサー】山田兼司(テレビ朝日)、太田雅晴(5年D組)☆番組HP  　http://dele.life/  ☆Twitter  　https://twitter.com/sudayamada  ☆Instagram  　https://www.instagram.com/yamadasuda/</t>
  </si>
  <si>
    <t>『dele. LIFE』の依頼人が死んだ。依頼人は、無実を訴え続ける死刑囚・笹本清一(塚本晋也)の息子。しかも、依頼人が死後削除を依頼したファイルは、真犯人をとらえた映像だった!やがて、この事件で娘を亡くした上野(Mummy-D)など周辺人物から、圭司(山田孝之)と祐太郎(菅田将暉)は、事件解決のカギになると思われる裏情報を入手。だが、調べれば調べるほど、容疑者となりうる人物が次々と浮上してきて…!?</t>
  </si>
  <si>
    <t>番組名dele/ディーリー　#8</t>
  </si>
  <si>
    <t>祐太郎(菅田将暉)の妹・鈴の不審な死…それから9年。鈴が入院していた病院の弁護をしていた辰巳仁志(大塚明夫)が死亡した。しかも、辰巳が『dele. LIFE』に死後削除を依頼していた音声データには、“祐太郎の無念を晴らす真実"を示唆する大物政治家・仲村(麿赤兒)との会話が記録されていた!それを機に、あぶり出される祐太郎と圭司(山田孝之)の過去…。「dele」衝撃の最終回が、ついに幕を開けるー。山田孝之、菅田将暉、麻生久美子  【ゲスト】麿赤兒、大塚明夫本多孝好本多孝好常廣丈太(テレビ朝日)岩崎太整、DJ MITSU THE BEATS【ゼネラルプロデューサー】黒田徹也(テレビ朝日)  【プロデューサー】山田兼司(テレビ朝日)、太田雅晴(5年D組)☆番組HP  　http://dele.life/  ☆Twitter  　https://twitter.com/sudayamada  ☆Instagram  　https://www.instagram.com/yamadasuda/</t>
  </si>
  <si>
    <t>祐太郎(菅田将暉)の妹・鈴の不審な死…それから9年。鈴が入院していた病院の弁護をしていた辰巳仁志(大塚明夫)が死亡した。しかも、辰巳が『dele. LIFE』に死後削除を依頼していた音声データには、“祐太郎の無念を晴らす真実"を示唆する大物政治家・仲村(麿赤兒)との会話が記録されていた!それを機に、あぶり出される祐太郎と圭司(山田孝之)の過去…。「dele」衝撃の最終回が、ついに幕を開けるー。</t>
  </si>
  <si>
    <t>1807_EX_土23</t>
  </si>
  <si>
    <t>ヒモメン</t>
  </si>
  <si>
    <t>番組名ヒモメン　#1</t>
  </si>
  <si>
    <t>看護師・春日ゆり子(川口春奈)は彼氏・碑文谷翔(窪田正孝)と同棲していたが、彼女には誰にも言えない秘密があった。翔は女の金で暮らす無職の男ーそう“ヒモ"だったのだ…!ある日、ゆり子の勤務先に入院してきたVIP患者・矢沢(宇梶剛士)の愛鳥が失踪。ゆり子は責任を取らされ辞職の危機に!「ゆり子に捨てられたくない…でも、働きたくない」。人生最大の選択を迫られるヒモ男・翔が彼女のピンチにとった行動とは…!?窪田正孝、川口春奈、勝地涼、岡田結実、佐藤仁美、YOU、金田明夫  【ナレーション】キートン山田  【ゲスト】宇梶剛士鴻池剛『ヒモメン～ヒモ更生プログラム～』(MFコミックス フラッパーシリーズ/KADOKAWA刊)森ハヤシ片山修井筒昭雄    【主題歌】  超特急『Jesus』(SDR)【ゼネラルプロデューサー】横地郁英  【プロデューサー】秋山貴人、河野美里(ホリプロ)☆番組HP  　http://www.tv-asahi.co.jp/himomen/  ☆☆Twitter  　https://twitter.com/HTvasahi  ☆Instagram  　https://www.instagram.com/himotvasahi/</t>
  </si>
  <si>
    <t>看護師・春日ゆり子(川口春奈)は彼氏・碑文谷翔(窪田正孝)と同棲していたが、彼女には誰にも言えない秘密があった。翔は女の金で暮らす無職の男ーそう“ヒモ"だったのだ…!ある日、ゆり子の勤務先に入院してきたVIP患者・矢沢(宇梶剛士)の愛鳥が失踪。ゆり子は責任を取らされ辞職の危機に!「ゆり子に捨てられたくない…でも、働きたくない」。人生最大の選択を迫られるヒモ男・翔が彼女のピンチにとった行動とは…!?</t>
  </si>
  <si>
    <t>番組名ヒモメン　#2</t>
  </si>
  <si>
    <t>同棲中のヒモ彼氏・碑文谷翔(窪田正孝)に連れ出された春日ゆり子(川口春奈)。到着した先はなんと結婚式場!ゆり子はプロポーズされたものと思い込み、感動の涙を浮かべる!ところが、ゆり子の姉でウエディングプランナーの桜子(片瀬那奈)とバッタリ遭遇!男性を仕事や年収で判断するタイプの桜子は、二人の交際に大反対。3日で128万円を集めてこなければ別れさせると宣言!人生最大のピンチを翔はどう乗り越えるのか!?窪田正孝、川口春奈、勝地涼、岡田結実 / 片瀬那奈 / 佐藤仁美、金田明夫  【ナレーション】キートン山田鴻池剛『ヒモメン～ヒモ更生プログラム～』(MFコミックス フラッパーシリーズ/KADOKAWA刊)森ハヤシ片山修井筒昭雄    【主題歌】  超特急『Jesus』(SDR)【ゼネラルプロデューサー】横地郁英  【プロデューサー】秋山貴人、河野美里(ホリプロ)☆番組HP  　http://www.tv-asahi.co.jp/himomen/  ☆Twitter  　https://twitter.com/HTvasahi  ☆Instagram  　https://www.instagram.com/himotvasahi/</t>
  </si>
  <si>
    <t>同棲中のヒモ彼氏・碑文谷翔(窪田正孝)に連れ出された春日ゆり子(川口春奈)。到着した先はなんと結婚式場!ゆり子はプロポーズされたものと思い込み、感動の涙を浮かべる!ところが、ゆり子の姉でウエディングプランナーの桜子(片瀬那奈)とバッタリ遭遇!男性を仕事や年収で判断するタイプの桜子は、二人の交際に大反対。3日で128万円を集めてこなければ別れさせると宣言!人生最大のピンチを翔はどう乗り越えるのか!?</t>
  </si>
  <si>
    <t>番組名ヒモメン　#3</t>
  </si>
  <si>
    <t>ヒモ彼氏・翔(窪田正孝)は、ゆり子(川口春奈)が大切にとっておいた3枚ある「お食事券」を1枚勝手に使い、ゆり子を激怒させてしまう。許してもらうために残り2枚の「お食事券」を探すが、奪われていることに気付く。そんな中、国会議員・森山(西尾まり)と秘書・長谷部(小沢真珠)が「お食事券」について話していることを聞きつけるが、それは…「汚職事件」のことだった。ヒモ男が政界を揺るがす事態に…!?窪田正孝、川口春奈、勝地涼、岡田結実、佐藤仁美、YOU、金田明夫  【ナレーション】キートン山田  【ゲスト】西尾まり、小沢真珠鴻池剛『ヒモメン～ヒモ更生プログラム～』(MFコミックス フラッパーシリーズ/KADOKAWA刊)江頭美智留宝来忠昭井筒昭雄    【主題歌】  超特急『Jesus』(SDR)【ゼネラルプロデューサー】横地郁英  【プロデューサー】秋山貴人、河野美里(ホリプロ)※この番組は放送時間が変更になる場合があります    ☆番組HP  　http://www.tv-asahi.co.jp/himomen/  ☆Twitter  　https://twitter.com/HTvasahi  ☆Instagram  　https://www.instagram.com/himotvasahi/</t>
  </si>
  <si>
    <t>ヒモ彼氏・翔(窪田正孝)は、ゆり子(川口春奈)が大切にとっておいた3枚ある「お食事券」を1枚勝手に使い、ゆり子を激怒させてしまう。許してもらうために残り2枚の「お食事券」を探すが、奪われていることに気付く。そんな中、国会議員・森山(西尾まり)と秘書・長谷部(小沢真珠)が「お食事券」について話していることを聞きつけるが、それは…「汚職事件」のことだった。ヒモ男が政界を揺るがす事態に…!?</t>
  </si>
  <si>
    <t>番組名ヒモメン　#4</t>
  </si>
  <si>
    <t>恋人・春日ゆり子(川口春奈)に別れを告げられたヒモ彼氏・碑文谷翔(窪田正孝)が、ついに就職!?翔は、池目(勝地涼)の紹介を受けて大手電機メーカーの面接に行く。そこで中国のエリート技術者と間違われ、極秘AIロボの開発の手伝いをすることに。ゆり子と離れたくない翔は、「自分の仕事姿を見てほしい」とアピールするが、プロジェクトの発表イベントで、またしても人生最大のピンチに見舞われるー!窪田正孝、川口春奈、勝地涼、岡田結実、佐藤仁美、金田明夫  【ナレーション】キートン山田  【ゲスト】長谷川朝晴、山崎一鴻池剛『ヒモメン～ヒモ更生プログラム～』(MFコミックス フラッパーシリーズ/KADOKAWA刊)小峯裕之宝来忠昭井筒昭雄    【主題歌】  超特急『Jesus』(SDR)【ゼネラルプロデューサー】横地郁英  【プロデューサー】秋山貴人、河野美里(ホリプロ)※この番組は放送時間が変更になる場合があります    ☆番組HP  　http://www.tv-asahi.co.jp/himomen/  ☆Twitter  　https://twitter.com/HTvasahi  ☆Instagram  　https://www.instagram.com/himotvasahi/</t>
  </si>
  <si>
    <t>恋人・春日ゆり子(川口春奈)に別れを告げられたヒモ彼氏・碑文谷翔(窪田正孝)が、ついに就職!?翔は、池目(勝地涼)の紹介を受けて大手電機メーカーの面接に行く。そこで中国のエリート技術者と間違われ、極秘AIロボの開発の手伝いをすることに。ゆり子と離れたくない翔は、「自分の仕事姿を見てほしい」とアピールするが、プロジェクトの発表イベントで、またしても人生最大のピンチに見舞われるー!</t>
  </si>
  <si>
    <t>番組名ヒモメン　#5</t>
  </si>
  <si>
    <t>【副音声～川口春奈×岡田結実×片瀬那奈による女子トーク開催!】  ヒモ男・碑文谷翔(窪田正孝)とその彼女・春日ゆり子(川口春奈)の前に、突然ある男(音尾琢真)が現れた。すると、ゆり子が1000万円の借金をしていることが判明!借金のかたに連れ去られようとするゆり子を救うため、翔が立ち上がる!ついに、ゆり子のために働くことに…だが、全ては「ヒモ更生プログラム」の一貫だった!?遂にヒモ男、ヒモを卒業!?窪田正孝、川口春奈、勝地涼、岡田結実 / 片瀬那奈 / 佐藤仁美、YOU、金田明夫  【ナレーション】キートン山田  【ゲスト】音尾琢真鴻池剛『ヒモメン～ヒモ更生プログラム～』(MFコミックス フラッパーシリーズ/KADOKAWA刊)吉田真侑子片山修井筒昭雄    【主題歌】  超特急『Jesus』(SDR)【ゼネラルプロデューサー】横地郁英  【プロデューサー】秋山貴人、河野美里(ホリプロ)☆番組HP  　http://www.tv-asahi.co.jp/himomen/  ☆Twitter  　https://twitter.com/HTvasahi  ☆Instagram  　https://www.instagram.com/himotvasahi/</t>
  </si>
  <si>
    <t>【副音声～川口春奈×岡田結実×片瀬那奈による女子トーク開催!】  ヒモ男・碑文谷翔(窪田正孝)とその彼女・春日ゆり子(川口春奈)の前に、突然ある男(音尾琢真)が現れた。すると、ゆり子が1000万円の借金をしていることが判明!借金のかたに連れ去られようとするゆり子を救うため、翔が立ち上がる!ついに、ゆり子のために働くことに…だが、全ては「ヒモ更生プログラム」の一貫だった!?遂にヒモ男、ヒモを卒業!?</t>
  </si>
  <si>
    <t>番組名ヒモメン　#6</t>
  </si>
  <si>
    <t>ヒモ男・翔(窪田正孝)は、居酒屋でインテリア雑貨会社の社長・加賀美香(高岡早紀)から、突然「明日、仕事しない?」と声をかけられる。それは見合い相手との縁談を断るため、婚約者のフリをするという“契約"だった。しかも、翔のことが気に入った美香は「お金は欲しいだけあげるから契約を延長しよう」と言い出す。ヒモメン・翔は、美香と共に“永遠のヒモ"の道を進むのか、彼女・ゆり子(川口春奈)との愛に生きるのか…!?窪田正孝、川口春奈、勝地涼、岡田結実、佐藤仁美、YOU、金田明夫  【ナレーション】キートン山田  【ゲスト】高岡早紀、近藤公園、六平直政鴻池剛『ヒモメン～ヒモ更生プログラム～』(MFコミックス フラッパーシリーズ/KADOKAWA刊)小峯裕之宝来忠昭井筒昭雄    【主題歌】  超特急『Jesus』(SDR)【ゼネラルプロデューサー】横地郁英  【プロデューサー】秋山貴人、河野美里(ホリプロ)☆番組HP  　http://www.tv-asahi.co.jp/himomen/  ☆Twitter  　https://twitter.com/HTvasahi  ☆Instagram  　https://www.instagram.com/himotvasahi/</t>
  </si>
  <si>
    <t>ヒモ男・翔(窪田正孝)は、居酒屋でインテリア雑貨会社の社長・加賀美香(高岡早紀)から、突然「明日、仕事しない?」と声をかけられる。それは見合い相手との縁談を断るため、婚約者のフリをするという“契約"だった。しかも、翔のことが気に入った美香は「お金は欲しいだけあげるから契約を延長しよう」と言い出す。ヒモメン・翔は、美香と共に“永遠のヒモ"の道を進むのか、彼女・ゆり子(川口春奈)との愛に生きるのか…!?</t>
  </si>
  <si>
    <t>番組名ヒモメン　#7</t>
  </si>
  <si>
    <t>楽して生きたいヒモ男・翔(窪田正孝)vsヒモを更生させたい彼女・ゆり子(川口春奈)の戦いも遂に最終話!ゆり子は、姉・桜子(片瀬那奈)から「今すぐ結婚しなさい」と、いきなり命じられビックリ!翔を認めない桜子が結婚相手として指定したのは、ゆり子の幼なじみ・松平鷹彦(渡辺大)。鷹彦は元医師で、高身長&amp;イケメンという“ミスターパーフェクト"。ゆり子が選ぶのは、翔か鷹彦か、はたまた池目(勝地涼)か!?窪田正孝、川口春奈、勝地涼、岡田結実 / 片瀬那奈 / 佐藤仁美、YOU、金田明夫  【ナレーション】キートン山田  【ゲスト】渡辺大鴻池剛『ヒモメン～ヒモ更生プログラム～』(MFコミックス フラッパーシリーズ/KADOKAWA刊)吉田真侑子片山修井筒昭雄    【主題歌】  超特急『Jesus』(SDR)【ゼネラルプロデューサー】横地郁英  【プロデューサー】秋山貴人、河野美里(ホリプロ)☆番組HP  　http://www.tv-asahi.co.jp/himomen/  ☆Twitter  　https://twitter.com/HTvasahi  ☆Instagram  　https://www.instagram.com/himotvasahi/</t>
  </si>
  <si>
    <t>楽して生きたいヒモ男・翔(窪田正孝)vsヒモを更生させたい彼女・ゆり子(川口春奈)の戦いも遂に最終話!ゆり子は、姉・桜子(片瀬那奈)から「今すぐ結婚しなさい」と、いきなり命じられビックリ!翔を認めない桜子が結婚相手として指定したのは、ゆり子の幼なじみ・松平鷹彦(渡辺大)。鷹彦は元医師で、高身長&amp;イケメンという“ミスターパーフェクト"。ゆり子が選ぶのは、翔か鷹彦か、はたまた池目(勝地涼)か!?</t>
  </si>
  <si>
    <t>1804_EX_木21</t>
  </si>
  <si>
    <t>未解決の女</t>
  </si>
  <si>
    <t>番組名未解決の女　警視庁文書捜査官　#1</t>
  </si>
  <si>
    <t>負傷した警視庁捜査一課の刑事・矢代朋(波瑠)は古賀(沢村一樹)率いる「特命捜査対策室」の第6係に異動。そこは未解決事件の文書解読係。朋は係長の財津(高田純次)、無口な草加(遠藤憲一)そして文書解読のエキスパート・鳴海理沙(鈴木京香)と働き始める。そんな折、10年前に発生し未解決のままになっているミステリー作家(中山美穂)密室殺人事件との関連を匂わせる変死事件が発生。朋は10年前の事件の再捜査を提案し…波瑠、沢村一樹、工藤阿須加、山内圭哉、西銘駿、高田純次、光石研、遠藤憲一、鈴木京香  【ゲスト】中山美穂、風間俊介、渡辺いっけい  【スペシャルコラボゲスト】内藤剛志麻見和史『警視庁文書捜査官』(角川文庫/KADOKAWA刊)大森美香田村直己(テレビ朝日)村松崇継    【主題歌】平井堅『知らないんでしょ?』(アリオラジャパン)【ゼネラルプロデューサー】横地郁英(テレビ朝日)  【プロデューサー】服部宣之(テレビ朝日)、菊池誠(アズバーズ)、岡美鶴(アズバーズ)☆番組HP  　http://www.tv-asahi.co.jp/mikaiketsu/  ☆Twitter  　https://twitter.com/mikaiketsu2018  ☆Instagram  　https://www.instagram.com/mikaiketsu2018/</t>
  </si>
  <si>
    <t>医大で起きた女性職員の転落死事件を担当することになった凜々子（吉高由里子）。被害者は、臨床病理学教授・高嶋敦史（原田龍二）の助手を務める三宅香織（佐藤めぐみ）。二人が不倫関係にあったことが発覚し、さらに香織の爪の間から高嶋のDNAが検出されたことから、高嶋が殺人容疑で逮捕される。しかし高嶋は容疑を否認し、完璧なアリバイを主張する！果たして凜々子は、複雑に絡み合う事件を解決に導くことができるのか!?</t>
  </si>
  <si>
    <t>番組名未解決の女　警視庁文書捜査官　#2</t>
  </si>
  <si>
    <t>大手IT企業の社長令嬢で中学生の幸田遥花が誘拐された。身代金は1億円!犯人が電話で父親・雅也(戸次重幸)に遥花の声を聞かせた時、「かもめ」とだけ口にしたという。まるで意味が分からない朋(波瑠)だが、その一言は文字フェチの理沙(鈴木京香)に12年前の未解決事件を思い出させる…。それは主婦・坂下菜々美(高岡早紀)の娘・芽以が誘拐された事件。当時、芽以も今回と同様に「かもめ」という言葉を発していたのだ!波瑠、沢村一樹、工藤阿須加、山内圭哉、西銘駿、高田純次、光石研、遠藤憲一、鈴木京香  【ゲスト】高岡早紀、戸次重幸、畑芽育麻見和史『警視庁文書捜査官』(角川文庫/KADOKAWA刊)大森美香田村直己(テレビ朝日)村松崇継    【主題歌】平井堅『知らないんでしょ?』(アリオラジャパン)【ゼネラルプロデューサー】横地郁英(テレビ朝日)  【プロデューサー】服部宣之(テレビ朝日)、菊池誠(アズバーズ)、岡美鶴(アズバーズ)☆番組HP  　http://www.tv-asahi.co.jp/mikaiketsu/  ☆Twitter  　https://twitter.com/mikaiketsu2018  ☆Instagram  　https://www.instagram.com/mikaiketsu2018/</t>
  </si>
  <si>
    <t>オレオレ詐欺事件を担当する事になった凜々子（吉高由里子）。逮捕された大学生・浅田（岡山天音）は「アルバイト感覚だった」と主張し、反省した態度を見せる。そこに浅田の弁護士としてやってきたのが、大学時代からの親友・美咲（倉科カナ）だった。浅田の釈放を要求する美咲だが、凜々子は拒否！立場の違いから対立する二人！オレオレ詐欺事件の行方は？そして、二人の友情は?</t>
  </si>
  <si>
    <t>番組名未解決の女　警視庁文書捜査官　#3</t>
  </si>
  <si>
    <t>5年前、大学教授・塚本(吉田栄作)のもとで百人一首を研究していた大学生・佳織(福原遥)が殺され、事件は未解決のままになっていた。そして現在、当時佳織と交際していた男が殺害される!特命捜査対策室第6係の矢代朋(波瑠)は捜査を開始。佳織が持っていた百人一首の箱に“間違ったもの"が入っていた、との情報を得る。それと“彼女の日記に頻出する言葉"を分析した鳴海理沙(鈴木京香)は佳織の知られざる一面を推察し…波瑠、沢村一樹、工藤阿須加、山内圭哉、西銘駿、高田純次、光石研、遠藤憲一、鈴木京香  【ゲスト】吉田栄作、福原遥、深水元基麻見和史『警視庁文書捜査官』(角川文庫/KADOKAWA刊)大森美香樹下直美(アズバーズ)村松崇継    【主題歌】平井堅『知らないんでしょ?』(アリオラジャパン)【ゼネラルプロデューサー】横地郁英(テレビ朝日)  【プロデューサー】服部宣之(テレビ朝日)、菊池誠(アズバーズ)、岡美鶴(アズバーズ)☆番組HP  　http://www.tv-asahi.co.jp/mikaiketsu/  ☆Twitter  　https://twitter.com/mikaiketsu2018  ☆Instagram  　https://www.instagram.com/mikaiketsu2018/</t>
  </si>
  <si>
    <t>近藤公園保育園で園児が大ケガを負った！遊具から落ちた事故と思われたが、父・小峰（近藤公園）は、園側の説明に納得がいかず被害届けを提出！凜々子が担当する事に。バツイチ子持ちの相原は、子供が被害者ということで、いつになく熱くなる。小峰の証言から虐待の可能性も出てくるが、保育園の園長・瀬川弥生（朝加真由美）は謝罪しながらも、保育園の過失を否定。単なる事故か？傷害致傷か？子供の聴き取りから、意外な事実が明らかに!</t>
  </si>
  <si>
    <t>番組名未解決の女　警視庁文書捜査官　#4</t>
  </si>
  <si>
    <t>ショップ店員が山中の橋から転落し、意識不明の重体に陥った。そして、その女性の車から採取された毛髪のDNAが、15年前に失踪した主婦・藤田里美(真飛聖)のものと一致。里美は代議士の夫・晃一(堀部圭亮)と息子2人と共に祭りに行き、そこで神隠しのように姿を消してしまった。矢代朋(波瑠)と共に捜査に乗り出した鳴海理沙(鈴木京香)は、里美が息子たちに託した手書きレシピを見て「字が泣いている」と言い出し…波瑠、沢村一樹、工藤阿須加、山内圭哉、西銘駿、高田純次、光石研、遠藤憲一、鈴木京香  【ゲスト】真飛聖、堀部圭亮、吉井怜麻見和史『警視庁文書捜査官』(角川文庫/KADOKAWA刊)大森美香樹下直美(アズバーズ)村松崇継    【主題歌】平井堅『知らないんでしょ?』(アリオラジャパン)【ゼネラルプロデューサー】横地郁英(テレビ朝日)  【プロデューサー】服部宣之(テレビ朝日)、菊池誠(アズバーズ)、岡美鶴(アズバーズ)☆番組HP  　http://www.tv-asahi.co.jp/mikaiketsu/  ☆Twitter  　https://twitter.com/mikaiketsu2018  ☆Instagram  　https://www.instagram.com/mikaiketsu2018/</t>
  </si>
  <si>
    <t>凜々子（吉高由里子）は、ひき逃げ事件を担当する。被疑者は、人気俳優・光岡駿太（桐山漣）のマネージャー・斎藤茂典（正名僕蔵）。斎藤は深く反省した様子だが、「人をはねた記憶はない」と主張しており、凜々子は相原（安田顕）とともに、詳しく捜査を始める。人気俳優に会い、いつもよりテンション高い凜々子に相原はあきれ顔…。そんな中、捜査を進めていくと、ひき逃げ事件に隠された、ある真実が見えてくるーー。</t>
  </si>
  <si>
    <t>番組名未解決の女　警視庁文書捜査官　#5</t>
  </si>
  <si>
    <t>厚生労働省の官僚が突然死し、体内からモスキートペアンが見つかった。これは5年前の手術の際に放置されたもので、その手術の1週間後に放射線技師が刺殺されていた!現場には「も」の一文字が…。矢代朋(波瑠)と鳴海理沙(鈴木京香)は、この未解決事件に注目。だが、執刀医を務めた松河正一(植草克秀)らにはアリバイが。そして正一の弟・松河森次(宮迫博之)は、数カ月前、重傷を負った朋を死の淵から救ってくれた恩人で…波瑠、沢村一樹、工藤阿須加、山内圭哉、西銘駿、高田純次、光石研、遠藤憲一、鈴木京香  【ゲスト】宮迫博之、植草克秀麻見和史『警視庁文書捜査官』(角川文庫/KADOKAWA刊)大森美香田村直己(テレビ朝日)村松崇継    【主題歌】平井堅『知らないんでしょ?』(アリオラジャパン)【ゼネラルプロデューサー】横地郁英(テレビ朝日)  【プロデューサー】服部宣之(テレビ朝日)、菊池誠(アズバーズ)、岡美鶴(アズバーズ)☆番組HP  　http://www.tv-asahi.co.jp/mikaiketsu/  ☆Twitter  　https://twitter.com/mikaiketsu2018  ☆Instagram  　https://www.instagram.com/mikaiketsu2018/</t>
  </si>
  <si>
    <t>凜々子（吉高由里子）が、過去に担当した痴漢事件の真犯人が逮捕され「冤罪」だった事が発覚する。被疑者・村井直陽（東幹久）は、取調べでも素直に容疑を認めていた為、確信を持って起訴したはずだった。しかし新たに出てきた証拠で、村井は無罪だと判断される。責任を感じた凜々子は、検事を続けていいのか思い悩むのだった…。検事人生、最大のピンチを迎えた凜々子の運命は！？そして、冤罪となった痴漢事件の真相は!?</t>
  </si>
  <si>
    <t>番組名未解決の女　警視庁文書捜査官　#6</t>
  </si>
  <si>
    <t>ダンサーの遠藤千鶴(板野友美)が鉄パイプで頭部を殴打され、殺害された。未解決のまま時が過ぎ、その6年後、矢代朋(波瑠)は高校の同窓会に参加。そこで再会した磯野から、千鶴を殺した犯人が分かったかもしれないと耳打ちされる。しかし、その磯野も何者かに刺殺されてしまい、激しく動揺する朋…。そんな中、鳴海理沙(鈴木京香)は、一見どうでもいい話を綴った千鶴のSNSへの投稿文の中に、ある暗号を見つけ出し…!?波瑠、沢村一樹、工藤阿須加、山内圭哉、西銘駿、高田純次、光石研、遠藤憲一、鈴木京香  【ゲスト】柳下大、板野友美、桐山漣、榊原徹士、入山法子、マギー  【コラボゲスト】金田明夫麻見和史『警視庁文書捜査官』(角川文庫/KADOKAWA刊)大森美香樹下直美(アズバーズ)村松崇継    【主題歌】平井堅『知らないんでしょ?』(アリオラジャパン)【ゼネラルプロデューサー】横地郁英(テレビ朝日)  【プロデューサー】服部宣之(テレビ朝日)、菊池誠(アズバーズ)、岡美鶴(アズバーズ)☆番組HP  　http://www.tv-asahi.co.jp/mikaiketsu/  ☆Twitter  　https://twitter.com/mikaiketsu2018  ☆Instagram  　https://www.instagram.com/mikaiketsu2018/</t>
  </si>
  <si>
    <t>凜々子（吉高由里子）は、衆議院議員・中条（宅麻伸）の息子・秀成（落合モトキ）が犯した殺人事件を担当する。秀成は「被害者に包丁で脅され、身を守るためだった」と正当防衛を主張。それを裏付ける目撃者も現れる。しかし凜々子と相原（安田顕）が調べを進めていくと、事件には隠された謎が…。中条から捜査への圧力もかかり、凜々子の下す起訴判断が、検察庁全体をゆるがす重大な問題へとなっていく…。果たして事件の行方は?</t>
  </si>
  <si>
    <t>番組名未解決の女　警視庁文書捜査官　#7</t>
  </si>
  <si>
    <t>2003年秋、現金輸送車が襲われ3億円が強奪された。未解決のまま15年が過ぎた現在、都内で男性の死体が見つかり、その現場に3億円強奪事件で盗まれた二千円札が落ちていた!矢代朋(波瑠)もこの事件の捜査に参加し、殺害現場に残されたアルファベットカードの解読は鳴海理沙(鈴木京香)に託される。すると、このメッセージの発信者をめぐり、朋が“突拍子もない推理"を提示。しかし、そんな朋を絶体絶命の危機が襲い…波瑠、沢村一樹、工藤阿須加、山内圭哉、西銘駿、高田純次、光石研、遠藤憲一、鈴木京香  【ゲスト】谷村美月、石黒賢、岩城滉一、岡田浩暉、長谷川朝晴、大谷亮平、梨本謙次郎麻見和史『警視庁文書捜査官』(角川文庫/KADOKAWA刊)大森美香田村直己(テレビ朝日)村松崇継    【主題歌】平井堅『知らないんでしょ?』(アリオラジャパン)【ゼネラルプロデューサー】横地郁英(テレビ朝日)  【プロデューサー】服部宣之(テレビ朝日)、菊池誠(アズバーズ)、岡美鶴(アズバーズ)☆番組HP  　http://www.tv-asahi.co.jp/mikaiketsu/  ☆Twitter  　https://twitter.com/mikaiketsu2018  ☆Instagram  　https://www.instagram.com/mikaiketsu2018/</t>
  </si>
  <si>
    <t>2003年秋、現金輸送車が襲われ3億円が強奪された。未解決のまま15年が過ぎた現在、都内で男性の死体が見つかり、その現場に3億円強奪事件で盗まれた二千円札が落ちていた!矢代朋(波瑠)もこの事件の捜査に参加し、殺害現場に残されたアルファベットカードの解読は鳴海理沙(鈴木京香)に託される。すると、このメッセージの発信者をめぐり、朋が“突拍子もない推理"を提示。しかし、そんな朋を絶体絶命の危機が襲い…</t>
  </si>
  <si>
    <t>番組名未解決の女　警視庁文書捜査官　#8</t>
  </si>
  <si>
    <t>矢代朋(波瑠)が凶弾に倒れた!朋を撃った拳銃は、4日前の殺人事件で使用された拳銃と同じものだと判明。どちらも百々瀬佐智(谷村美月)を誘拐し、身代金をせしめて逃亡した秋田昇(岡田浩暉)の犯行と裏付けられる。その矢先、秋田が何者かに胸を刺され死亡。自宅からは、15年前の3億円強奪事件で盗まれた二千円札が見つかる!そして3億円強奪事件の捜査資料に目を通した鳴海理沙(鈴木京香)は、ある筆跡に違和感を覚え…波瑠、沢村一樹、工藤阿須加、山内圭哉、西銘駿、高田純次、光石研、遠藤憲一、鈴木京香  【ゲスト】谷村美月、石黒賢、岩城滉一、岡田浩暉、長谷川朝晴、大谷亮平、梨本謙次郎  【スペシャルコラボゲスト】内藤剛志麻見和史『警視庁文書捜査官』(角川文庫/KADOKAWA刊)大森美香田村直己(テレビ朝日)村松崇継    【主題歌】平井堅『知らないんでしょ?』(アリオラジャパン)【ゼネラルプロデューサー】横地郁英(テレビ朝日)  【プロデューサー】服部宣之(テレビ朝日)、菊池誠(アズバーズ)、岡美鶴(アズバーズ)☆番組HP  　http://www.tv-asahi.co.jp/mikaiketsu/  ☆Twitter  　https://twitter.com/mikaiketsu2018  ☆Instagram  　https://www.instagram.com/mikaiketsu2018/</t>
  </si>
  <si>
    <t>矢代朋(波瑠)が凶弾に倒れた!朋を撃った拳銃は、4日前の殺人事件で使用された拳銃と同じものだと判明。どちらも百々瀬佐智(谷村美月)を誘拐し、身代金をせしめて逃亡した秋田昇(岡田浩暉)の犯行と裏付けられる。その矢先、秋田が何者かに胸を刺され死亡。自宅からは、15年前の3億円強奪事件で盗まれた二千円札が見つかる!そして3億円強奪事件の捜査資料に目を通した鳴海理沙(鈴木京香)は、ある筆跡に違和感を覚え…</t>
  </si>
  <si>
    <t>1804_EX_金23</t>
  </si>
  <si>
    <t>家政夫の三田園薫(松岡昌宏)は、勤め先の家政婦紹介所所長・結頼子(余貴美子)から、新人家政婦の五味麻琴(剛力彩芽)とともに、小さな町工場に派遣される。従業員らを家族同然に思う社長の花沢進助(橋本じゅん)や、彼らを献身的に支える妻(森脇英理子)と接したミタゾノは「油の汚れの下に素顔を隠した人もいたりして…」と意味深な言葉を残す。その言葉通り、花沢夫妻の知られざる顔がミタゾノの手により次々と暴かれ…!?松岡昌宏、剛力彩芽、椿鬼奴、内藤理沙、余貴美子  【ゲスト】橋本じゅん、森脇英理子、ジェシー八津弘幸七高剛島茂子『戯言』(ジェイ・ストーム)【ゼネラルプロデューサー】内山聖子(テレビ朝日)  【プロデューサー】秋山貴人(テレビ朝日)、木曽貴美子(MMJ)、椋尾由希子(MMJ)☆番組HP  　http://www.tv-asahi.co.jp/mitazono/  ☆Twitter  　https://twitter.com/mitazono_desu</t>
  </si>
  <si>
    <t>家政夫の三田園薫(松岡昌宏)は、勤め先の家政婦紹介所所長・結頼子(余貴美子)から、新人家政婦の五味麻琴(剛力彩芽)とともに、小さな町工場に派遣される。従業員らを家族同然に思う社長の花沢進助(橋本じゅん)や、彼らを献身的に支える妻(森脇英理子)と接したミタゾノは「油の汚れの下に素顔を隠した人もいたりして…」と意味深な言葉を残す。その言葉通り、花沢夫妻の知られざる顔がミタゾノの手により次々と暴かれ…!?</t>
  </si>
  <si>
    <t>三田園薫(松岡昌宏)と五味麻琴(剛力彩芽)が派遣先を訪れると、家主の矢吹研一(近藤公園)が若い女性といる不倫現場に遭遇する…!研一は、妻・理沙子(矢田亜希子)が依頼した家政婦たちの登場に驚きつつ、酒にのまれ昨夜のことは覚えていないと弁明。麻琴はその態度に怒り心頭。一方ミタゾノは、不倫を隠すための家事テクを披露!そこに理沙子が帰宅し研一の行動を怪しむが、三田園はむしろ理沙子に疑問を抱き…!?松岡昌宏、剛力彩芽、椿鬼奴、内藤理沙、余貴美子  【ゲスト】矢田亜希子、近藤公園、迫田孝也、片山萌美小峯裕之片山修(テレビ朝日)島茂子『戯言』(ジェイ・ストーム)【ゼネラルプロデューサー】内山聖子(テレビ朝日)  【プロデューサー】秋山貴人(テレビ朝日)、木曽貴美子(MMJ)、椋尾由希子(MMJ)☆番組HP  　http://www.tv-asahi.co.jp/mitazono/  ☆Twitter  　https://twitter.com/mitazono_desu</t>
  </si>
  <si>
    <t>三田園薫(松岡昌宏)と五味麻琴(剛力彩芽)が派遣先を訪れると、家主の矢吹研一(近藤公園)が若い女性といる不倫現場に遭遇する…!研一は、妻・理沙子(矢田亜希子)が依頼した家政婦たちの登場に驚きつつ、酒にのまれ昨夜のことは覚えていないと弁明。麻琴はその態度に怒り心頭。一方ミタゾノは、不倫を隠すための家事テクを披露!そこに理沙子が帰宅し研一の行動を怪しむが、三田園はむしろ理沙子に疑問を抱き…!?</t>
  </si>
  <si>
    <t>三田園薫(松岡昌宏)と五味麻琴(剛力彩芽)が派遣された浅野家に、家主・堅一(升毅)の一人娘である真実(藤井美菜)との結婚を許してもらうため、恋人の孝文(戸塚純貴)がやってくる。しかし孝文は道中、見知らぬ男とぶつかった弾みでバッグを取り違えてしまう!バッグの中には血のついた服が入っており、動揺する孝文は巡回中の警察官に付近で多発中の連続殺人犯と疑われる。さらに、堅一も刑事だったことが分かり…!?松岡昌宏、剛力彩芽、椿鬼奴、内藤理沙、余貴美子  【ゲスト】戸塚純貴、升毅、藤井美菜山岡潤平小松隆志島茂子『戯言』(ジェイ・ストーム)【ゼネラルプロデューサー】内山聖子(テレビ朝日)  【プロデューサー】秋山貴人(テレビ朝日)、木曽貴美子(MMJ)、椋尾由希子(MMJ)☆番組HP  　http://www.tv-asahi.co.jp/mitazono/  ☆Twitter  　https://twitter.com/mitazono_desu</t>
  </si>
  <si>
    <t>三田園薫(松岡昌宏)と五味麻琴(剛力彩芽)が派遣された浅野家に、家主・堅一(升毅)の一人娘である真実(藤井美菜)との結婚を許してもらうため、恋人の孝文(戸塚純貴)がやってくる。しかし孝文は道中、見知らぬ男とぶつかった弾みでバッグを取り違えてしまう!バッグの中には血のついた服が入っており、動揺する孝文は巡回中の警察官に付近で多発中の連続殺人犯と疑われる。さらに、堅一も刑事だったことが分かり…!?</t>
  </si>
  <si>
    <t>三田園薫(松岡昌宏)と五味麻琴(剛力彩芽)が派遣されたのは、美容界のカリスマと呼ばれた山脇美子(黒田福美)の葬式の手伝いだった。残された家族が悲しみに暮れる中、三田園の前に突如、真っ白な顔をした美子が現れる…!数少ない弱点であるオバケが怖い三田園は卒倒しそうになるが、聞くと美子は死んだフリをして、息子と娘の動向をこっそり観察し、どちらが跡継ぎに相応しいか見極めようとしていて…!?松岡昌宏、剛力彩芽、椿鬼奴、内藤理沙、余貴美子  【ゲスト】黒田福美八津弘幸片山修(テレビ朝日)島茂子『戯言』(ジェイ・ストーム)【ゼネラルプロデューサー】内山聖子(テレビ朝日)  【プロデューサー】秋山貴人(テレビ朝日)、木曽貴美子(MMJ)、椋尾由希子(MMJ)☆番組HP  　http://www.tv-asahi.co.jp/mitazono/  ☆Twitter  　https://twitter.com/mitazono_desu</t>
  </si>
  <si>
    <t>三田園薫(松岡昌宏)と五味麻琴(剛力彩芽)が派遣されたのは、美容界のカリスマと呼ばれた山脇美子(黒田福美)の葬式の手伝いだった。残された家族が悲しみに暮れる中、三田園の前に突如、真っ白な顔をした美子が現れる…!数少ない弱点であるオバケが怖い三田園は卒倒しそうになるが、聞くと美子は死んだフリをして、息子と娘の動向をこっそり観察し、どちらが跡継ぎに相応しいか見極めようとしていて…!?</t>
  </si>
  <si>
    <t>デザイナーを夢見る木口一美(佐藤仁美)は、有名デザイナー・森品千恵子のもとで家政婦として働いていたが、自分のデザインが千恵子によって盗作されたことで口論となり、揉みあった末に誤って殺害してしまう。そこに、千恵子の依頼で派遣された三田園薫(松岡昌宏)と五味麻琴(剛力彩芽)がやってくる!一美は、千恵子になりすまし、その場をなんとか乗り切ろうとするが…?松岡昌宏、剛力彩芽、椿鬼奴、内藤理沙、余貴美子  【ゲスト】佐藤仁美山岡潤平小松隆志島茂子『戯言』(ジェイ・ストーム)【ゼネラルプロデューサー】内山聖子(テレビ朝日)  【プロデューサー】秋山貴人(テレビ朝日)、木曽貴美子(MMJ)、椋尾由希子(MMJ)☆番組HP  　http://www.tv-asahi.co.jp/mitazono/  ☆Twitter  　https://twitter.com/mitazono_desu</t>
  </si>
  <si>
    <t>デザイナーを夢見る木口一美(佐藤仁美)は、有名デザイナー・森品千恵子のもとで家政婦として働いていたが、自分のデザインが千恵子によって盗作されたことで口論となり、揉みあった末に誤って殺害してしまう。そこに、千恵子の依頼で派遣された三田園薫(松岡昌宏)と五味麻琴(剛力彩芽)がやってくる!一美は、千恵子になりすまし、その場をなんとか乗り切ろうとするが…?</t>
  </si>
  <si>
    <t>恋愛成就率99.9%の人気占い師・望月ルナ(鳥居みゆき)からの依頼で、自宅を訪れた三田園薫(松岡昌宏)と五味麻琴(剛力彩芽)。占いを的中させるルナの姿を目の当たりにした麻琴は、自らも占いを受けてある予言を授かる。一方、三田園はルナの寝室で札束を発見…!その夜、ジャーナリストの内山田洋子(東風万智子)から、ルナに騙されたと訴える女性が最近急増していること、巨額の所得隠しの噂があることを告げられて…?松岡昌宏、剛力彩芽、椿鬼奴、内藤理沙、余貴美子  【ゲスト】鳥居みゆき、東風万智子林誠人七高剛島茂子『戯言』(ジェイ・ストーム)【ゼネラルプロデューサー】内山聖子(テレビ朝日)  【プロデューサー】秋山貴人(テレビ朝日)、木曽貴美子(MMJ)、椋尾由希子(MMJ)☆番組HP  　http://www.tv-asahi.co.jp/mitazono/  ☆Twitter  　https://twitter.com/mitazono_desu</t>
  </si>
  <si>
    <t>恋愛成就率99.9%の人気占い師・望月ルナ(鳥居みゆき)からの依頼で、自宅を訪れた三田園薫(松岡昌宏)と五味麻琴(剛力彩芽)。占いを的中させるルナの姿を目の当たりにした麻琴は、自らも占いを受けてある予言を授かる。一方、三田園はルナの寝室で札束を発見…!その夜、ジャーナリストの内山田洋子(東風万智子)から、ルナに騙されたと訴える女性が最近急増していること、巨額の所得隠しの噂があることを告げられて…?</t>
  </si>
  <si>
    <t>三田園薫(松岡昌宏)と五味麻琴(剛力彩芽)が派遣された老舗高級旅館のオーナー・恩田が亡くなった。遺言状には「旅館の権利一切は、メアリー・アニンストン(ナタリー・エモンズ)に譲る」と書かれており、恩田の妻で女将の時江(岡本麗)らは唖然とする。そんな中、メアリーが来日し、遺言どおり旅館のオーナー兼女将を務めると宣言!老舗旅館に勃発した“日米女将対決"の行方は?そして、メアリーが来日した真の目的とは…!?松岡昌宏、剛力彩芽、椿鬼奴、内藤理沙、余貴美子  【ゲスト】ナタリー・エモンズ、岡本麗小峯裕之小松隆志島茂子『戯言』(ジェイ・ストーム)【ゼネラルプロデューサー】内山聖子(テレビ朝日)  【プロデューサー】秋山貴人(テレビ朝日)、木曽貴美子(MMJ)、椋尾由希子(MMJ)☆番組HP  　http://www.tv-asahi.co.jp/mitazono/  ☆Twitter  　https://twitter.com/mitazono_desu</t>
  </si>
  <si>
    <t>三田園薫(松岡昌宏)と五味麻琴(剛力彩芽)が派遣された老舗高級旅館のオーナー・恩田が亡くなった。遺言状には「旅館の権利一切は、メアリー・アニンストン(ナタリー・エモンズ)に譲る」と書かれており、恩田の妻で女将の時江(岡本麗)らは唖然とする。そんな中、メアリーが来日し、遺言どおり旅館のオーナー兼女将を務めると宣言!老舗旅館に勃発した“日米女将対決"の行方は?そして、メアリーが来日した真の目的とは…!?</t>
  </si>
  <si>
    <t>三田園薫(松岡昌宏)が派遣されたのは、五味麻琴(剛力彩芽)の家!かつて大金持ちだった麻琴の家は、ある家政婦によって壊されたことが明らかに!その家政婦は三田園ではと疑う一同だが、本当は森田順子(若村麻由美)という女性だった。するとなんとそこに、麻琴の父・隆志(デビット伊東)が順子を伴って帰宅し、順子との再婚を唐突に報告。しかし、順子が五味家に近づいたのには、ある思惑があって…!?衝撃の最終回!松岡昌宏、剛力彩芽、椿鬼奴、内藤理沙、余貴美子  【ゲスト】若村麻由美、デビット伊東、島茂子八津弘幸七高剛島茂子『戯言』(ジェイ・ストーム)【ゼネラルプロデューサー】内山聖子(テレビ朝日)  【プロデューサー】秋山貴人(テレビ朝日)、木曽貴美子(MMJ)、椋尾由希子(MMJ)☆番組HP  　http://www.tv-asahi.co.jp/mitazono/  ☆Twitter  　https://twitter.com/mitazono_desu</t>
  </si>
  <si>
    <t>三田園薫(松岡昌宏)が派遣されたのは、五味麻琴(剛力彩芽)の家!かつて大金持ちだった麻琴の家は、ある家政婦によって壊されたことが明らかに!その家政婦は三田園ではと疑う一同だが、本当は森田順子(若村麻由美)という女性だった。するとなんとそこに、麻琴の父・隆志(デビット伊東)が順子を伴って帰宅し、順子との再婚を唐突に報告。しかし、順子が五味家に近づいたのには、ある思惑があって…!?衝撃の最終回!</t>
  </si>
  <si>
    <t>1804_EX_土23</t>
  </si>
  <si>
    <t>番組名おっさんずラブ　#1/ある日、僕は部長に告白された-胸キュンおっさんラブコメ</t>
  </si>
  <si>
    <t>モテない33歳独身の春田(田中圭)は、ある日、とんでもないものを見てしまう。それは上司・黒澤(吉田鋼太郎)のPCに保存された、大量の春田の隠し撮り写真…え、え、何?いまの何!?動揺する春田に黒澤は、トイレで壁ドンし「好きです」と愛の告白!一方、ルームメイトの牧(林遣都)からも風呂場で壁ドンされ…。常識で考えたらありえない?でも常識って何?人を好きになるって…何!?この春、1番ピュアな純愛ドラマ、開幕!田中圭、林遣都、内田理央、金子大地、伊藤修子、児嶋一哉、眞島秀和、大塚寧々、吉田鋼太郎徳尾浩司瑠東東一郎河野伸スキマスイッチ『Revival』(ユニバーサル ミュージック)【ゼネラルプロデューサー】三輪祐見子(テレビ朝日)  【プロデューサー】貴島彩理(テレビ朝日)、神馬由季(アズバーズ)、松野千鶴子(アズバーズ)☆番組HP  　http://www.tv-asahi.co.jp/ossanslove/  ☆Twitter  　https://twitter.com/ossans_love  ☆Instagram  　https://www.instagram.com/ossanslove/</t>
  </si>
  <si>
    <t>モテない33歳独身の春田(田中圭)は、ある日、とんでもないものを見てしまう。それは上司・黒澤(吉田鋼太郎)のPCに保存された、大量の春田の隠し撮り写真…え、え、何?いまの何!?動揺する春田に黒澤は、トイレで壁ドンし「好きです」と愛の告白!一方、ルームメイトの牧(林遣都)からも風呂場で壁ドンされ…。常識で考えたらありえない?でも常識って何?人を好きになるって…何!?この春、1番ピュアな純愛ドラマ、開幕!</t>
  </si>
  <si>
    <t>番組名おっさんずラブ　#2/俺のために争わないで!ヒロインvsライバル…男の壮絶バトル</t>
  </si>
  <si>
    <t>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る。ちょっと待って神様、こんなモテ期いりません!ー常識で考えたらありえない?でも常識って何?人を好きになるって…何!?この春1番ピュアな、おっさん同士の胸キュン純愛ラブコメディ!!田中圭、林遣都、内田理央、金子大地、伊藤修子、児嶋一哉、眞島秀和、大塚寧々、吉田鋼太郎徳尾浩司山本大輔河野伸スキマスイッチ『Revival』(ユニバーサル ミュージック)【ゼネラルプロデューサー】三輪祐見子(テレビ朝日)  【プロデューサー】貴島彩理(テレビ朝日)、神馬由季(アズバーズ)、松野千鶴子(アズバーズ)☆番組HP  　http://www.tv-asahi.co.jp/ossanslove/  ☆Twitter  　https://twitter.com/ossans_love  ☆Instagram  　https://www.instagram.com/ossanslove/</t>
  </si>
  <si>
    <t>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る。ちょっと待って神様、こんなモテ期いりません!ー常識で考えたらありえない?でも常識って何?人を好きになるって…何!?この春1番ピュアな、おっさん同士の胸キュン純愛ラブコメディ!!</t>
  </si>
  <si>
    <t>番組名おっさんずラブ　#3/君の名は…?夫の不倫相手は何と男…?30年の夫婦愛の結末</t>
  </si>
  <si>
    <t>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Yuki Saito河野伸スキマスイッチ『Revival』(ユニバーサル ミュージック)【ゼネラルプロデューサー】三輪祐見子(テレビ朝日)  【プロデューサー】貴島彩理(テレビ朝日)、神馬由季(アズバーズ)、松野千鶴子(アズバーズ)☆番組HP  　http://www.tv-asahi.co.jp/ossanslove/  ☆Twitter  　https://twitter.com/ossans_love  ☆Instagram  　https://www.instagram.com/ossanslove/</t>
  </si>
  <si>
    <t>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t>
  </si>
  <si>
    <t>番組名おっさんずラブ　#4/第3の男、襲来!ーサヨナラ部長、愛してくれてありがとう</t>
  </si>
  <si>
    <t>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瑠東東一郎河野伸スキマスイッチ『Revival』(ユニバーサル ミュージック)【ゼネラルプロデューサー】三輪祐見子(テレビ朝日)  【プロデューサー】貴島彩理(テレビ朝日)、神馬由季(アズバーズ)、松野千鶴子(アズバーズ)☆番組HP  　http://www.tv-asahi.co.jp/ossanslove/  ☆Twitter  　https://twitter.com/ossans_love  ☆Instagram  　https://www.instagram.com/ossanslove/  ☆Instagram『武蔵の部屋』  　https://www.instagram.com/musashis_room/</t>
  </si>
  <si>
    <t>番組名おっさんずラブ　#5/Can You“Coming Out"?-俺も朝ドラ女優も熱愛発覚!?</t>
  </si>
  <si>
    <t>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山本大輔河野伸スキマスイッチ『Revival』(ユニバーサル ミュージック)【ゼネラルプロデューサー】三輪祐見子(テレビ朝日)  【プロデューサー】貴島彩理(テレビ朝日)、神馬由季(アズバーズ)、松野千鶴子(アズバーズ)☆番組HP  　http://www.tv-asahi.co.jp/ossanslove/  ☆Twitter  　https://twitter.com/ossans_love  ☆Instagram  　https://www.instagram.com/ossanslove/  ☆Instagram『武蔵の部屋』  　https://www.instagram.com/musashis_room/</t>
  </si>
  <si>
    <t>番組名おっさんずラブ　#6/息子さんを僕にください!?-おっさんヒロイン最後の逆襲!</t>
  </si>
  <si>
    <t>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Yuki Saito河野伸スキマスイッチ『Revival』(ユニバーサル ミュージック)【ゼネラルプロデューサー】三輪祐見子(テレビ朝日)  【プロデューサー】貴島彩理(テレビ朝日)、神馬由季(アズバーズ)、松野千鶴子(アズバーズ)☆番組HP  　http://www.tv-asahi.co.jp/ossanslove/  ☆Twitter  　https://twitter.com/ossans_love  ☆Instagram  　https://www.instagram.com/ossanslove/  ☆Instagram『武蔵の部屋』  　https://www.instagram.com/musashis_room/</t>
  </si>
  <si>
    <t>番組名おっさんずラブ　♯7/HAPPY HAPPY WEDDING!?-君に会えてよかった。</t>
  </si>
  <si>
    <t>1801_EX_木21</t>
  </si>
  <si>
    <t>BG</t>
  </si>
  <si>
    <t>番組名BG～身辺警護人～　#1</t>
  </si>
  <si>
    <t>工事現場の警備員・島崎章(木村拓哉)は、所属会社が「身辺警護課」を新設したことをきっかけに、ボディーガードとなる。ボディーガードとして華々しく活躍していた過去は秘密にし、村田(上川隆也)、高梨(斎藤工)、菅沼(菜々緒)、沢口(間宮祥太朗)らと共にチームに加わる。最初の依頼は、マラソン大会に出席する社長の警護。そこには、脅迫を受けている立原大臣(石田ゆり子)と警視庁SP・落合(江口洋介)の姿が…!?島崎章…木村拓哉  落合義明…江口洋介  高梨雅也…斎藤工  菅沼まゆ…菜々緒  沢口正太郎…間宮祥太朗  立原愛子…石田ゆり子  村田五郎…上川隆也  ・  河野純也…満島真之介  今関重信…永島敏行  氷川修…宇梶剛士  清田春孝…阿部進之介  島崎瞬…田中奏生    【第1話ゲスト】  犬飼悟…勝地涼  大久保佐助…伊武雅刀  佐藤雄二…でんでん  山手華子…濱田マリ井上由美子常廣丈太(テレビ朝日)高見優【ゼネラルプロデューサー】内山聖子(テレビ朝日)、三輪祐見子(テレビ朝日)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</si>
  <si>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工事現場の警備員・島崎章(木村拓哉)は、所属会社が「身辺警護課」を新設したことをきっかけに、ボディーガードとなる。ボディーガードとして華々しく活躍していた過去は秘密にし、村田(上川隆也)、高梨(斎藤工)、菅沼(菜々緒)、沢口(間宮祥太朗)らと共にチームに加わる。最初の依頼は、マラソン大会に出席する社長の警護。そこには、脅迫を受けている立原大臣(石田ゆり子)と警視庁SP・落合(江口洋介)の姿が…!?</t>
  </si>
  <si>
    <t>番組名BG～身辺警護人～　#2</t>
  </si>
  <si>
    <t>ある日、裁判官・行永(田中哲司)の自宅で自転車放火事件が発生。判決を目前に控えた裁判への脅迫行為と判断され、警視庁SP・落合(江口洋介)らが警護につく。一方、妻・亜佐美(大塚寧々)の警護には、SPではなく、章(木村拓哉)たち民間ボディーガードがつくことに!妻が隠した秘密の生活が次第に明らかになり…!?夫婦を狙う脅威とは…判決までの緊迫の24時間を護り抜け!島崎章…木村拓哉  落合義明…江口洋介  高梨雅也…斎藤工  菅沼まゆ…菜々緒  沢口正太郎…間宮祥太朗  立原愛子…石田ゆり子  村田五郎…上川隆也  ・  河野純也…満島真之介  清田春孝…阿部進之介  島崎瞬…田中奏生    【第2話ゲスト】  行永亜佐美…大塚寧々  行永辰夫…田中哲司井上由美子常廣丈太(テレビ朝日)高見優【ゼネラルプロデューサー】内山聖子(テレビ朝日)、三輪祐見子(テレビ朝日)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</si>
  <si>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ある日、裁判官・行永(田中哲司)の自宅で自転車放火事件が発生。判決を目前に控えた裁判への脅迫行為と判断され、警視庁SP・落合(江口洋介)らが警護につく。一方、妻・亜佐美(大塚寧々)の警護には、SPではなく、章(木村拓哉)たち民間ボディーガードがつくことに!妻が隠した秘密の生活が次第に明らかになり…!?夫婦を狙う脅威とは…判決までの緊迫の24時間を護り抜け</t>
  </si>
  <si>
    <t>番組名BG～身辺警護人～　#3</t>
  </si>
  <si>
    <t>島崎章(木村拓哉)ら身辺警護課メンバーは、緊急事案だと課長の村田(上川隆也)に深夜呼び出される。今回の依頼は、引退をほのめかす人気タレント・かのん(三吉彩花)を引き留めるための、芸能事務所社長(西村まさ彦)が用意した現金一億円の警護!しかし、目的地が不明!?誰かの電話を待つ社長の様子から、章はこれが“誘拐事件"であると感じ…。警察に通報しようとするが、社長は警察を呼ぶ前に事件を解決しようと…!?島崎章…木村拓哉  落合義明…江口洋介  高梨雅也…斎藤工  菅沼まゆ…菜々緒  沢口正太郎…間宮祥太朗  立原愛子…石田ゆり子  村田五郎…上川隆也  ・  今関重信…永島敏行  氷川修…宇梶剛士  清田春孝…阿部進之介  島崎瞬…田中奏生    【第3話ゲスト】  坂東光英…西村まさ彦  かのん…三吉彩花井上由美子七高剛高見優【ゼネラルプロデューサー】内山聖子(テレビ朝日)、三輪祐見子(テレビ朝日)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</si>
  <si>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島崎章(木村拓哉)ら身辺警護課メンバーは、緊急事案だと課長の村田(上川隆也)に深夜呼び出される。今回の依頼は、引退をほのめかす人気タレント・かのん(三吉彩花)を引き留めるための、芸能事務所社長(西村まさ彦)が用意した現金一億円の警護!しかし、目的地が不明!?誰かの電話を待つ社長の様子から、章はこれが“誘拐事件"であると感じ…。警察に通報しようとするが、社長は警察を呼ぶ前に事件を解決しようと…!?</t>
  </si>
  <si>
    <t>番組名BG～身辺警護人～　#4</t>
  </si>
  <si>
    <t>身辺警護課の章(木村拓哉)と課長・村田(上川隆也)は、重要かつ極秘の依頼として、厚生労働大臣・立原愛子(石田ゆり子)の個人的な警護を担当!?ホテルで、ある人物と密会するまでの3時間の警護…それは、愛子を警護する落合(江口洋介)ら警視庁SPを敵にまわす禁断の任務!愛子がホテルへ向かう本当の理由とは…仕掛けられた黒い罠!愛子が涙に隠した大スキャンダルとは…衝撃のラストへ!島崎章…木村拓哉  落合義明…江口洋介  高梨雅也…斎藤工  菅沼まゆ…菜々緒  沢口正太郎…間宮祥太朗  立原愛子…石田ゆり子  村田五郎…上川隆也  ・  河野純也…満島真之介  今関重信…永島敏行  氷川修…宇梶剛士  清田春孝…阿部進之介  島崎瞬…田中奏生    【第4話ゲスト】  崎山敬一郎…中尾彬井上由美子七高剛高見優【ゼネラルプロデューサー】内山聖子(テレビ朝日)、三輪祐見子(テレビ朝日)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</si>
  <si>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身辺警護課の章(木村拓哉)と課長・村田(上川隆也)は、重要かつ極秘の依頼として、厚生労働大臣・立原愛子(石田ゆり子)の個人的な警護を担当!?ホテルで、ある人物と密会するまでの3時間の警護…それは、愛子を警護する落合(江口洋介)ら警視庁SPを敵にまわす禁断の任務!愛子がホテルへ向かう本当の理由とは…仕掛けられた黒い罠!愛子が涙に隠した大スキャンダルとは…衝撃のラストへ!</t>
  </si>
  <si>
    <t>番組名BG～身辺警護人～　#5</t>
  </si>
  <si>
    <t>章(木村拓哉)の過去の秘密を知る元サッカー選手・河野純也(満島真之介)が、依頼人として登場。過去に因縁のある純也が、何故いまさら章に依頼を…復讐か、罠か!?6年前、章と純也の間には一体何があったのか…。そして、章はなぜ一度ボディーガードを辞めたのか…。章は悩んだ末、「この任務が終わったら、みんなにすべてを話す」と身辺警護課のメンバーに約束し、依頼を引き受けるが…?衝撃の過去がついに明らかになる!島崎章…木村拓哉  落合義明…江口洋介  高梨雅也…斎藤工  菅沼まゆ…菜々緒  沢口正太郎…間宮祥太朗  立原愛子…石田ゆり子  村田五郎…上川隆也  ・  河野純也…満島真之介  氷川修…宇梶剛士  清田春孝…阿部進之介  島崎瞬…田中奏生井上由美子常廣丈太(テレビ朝日)高見優【ゼネラルプロデューサー】内山聖子(テレビ朝日)、三輪祐見子(テレビ朝日)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</si>
  <si>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章(木村拓哉)の過去の秘密を知る元サッカー選手・河野純也(満島真之介)が、依頼人として登場。過去に因縁のある純也が、何故いまさら章に依頼を…復讐か、罠か!?6年前、章と純也の間には一体何があったのか…。そして、章はなぜ一度ボディーガードを辞めたのか…。章は悩んだ末、「この任務が終わったら、みんなにすべてを話す」と身辺警護課のメンバーに約束し、依頼を引き受けるが…?衝撃の過去がついに明らかになる!</t>
  </si>
  <si>
    <t>番組名BG～身辺警護人～　#6</t>
  </si>
  <si>
    <t>今回の警護対象者は、元内閣総理大臣の鮫島匡一(橋爪功)。総理経験者には警視庁SPがつくのが通常だが、警護期間終了を言い渡される。SPが外れるタイミングを狙ってか、自宅に無言電話がかかるようになり…。不安に感じた鮫島は、章(木村拓哉)ら民間ボディーガードに警護を依頼。一体、誰が鮫島を狙っているのか?さらに、孫・彩矢(豊嶋花)にも怪しい影が忍び寄り…!?島崎章…木村拓哉  落合義明…江口洋介  高梨雅也…斎藤工  菅沼まゆ…菜々緒  沢口正太郎…間宮祥太朗  立原愛子…石田ゆり子  村田五郎…上川隆也  ・  氷川修…宇梶剛士  島崎瞬…田中奏生  【第6話ゲスト】  鮫島匡一…橋爪功  鮫島喜和子…中村ゆり  鮫島彩矢…豊嶋花井上由美子七高剛高見優【ゼネラルプロデューサー】内山聖子(テレビ朝日)、三輪祐見子(テレビ朝日)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</si>
  <si>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今回の警護対象者は、元内閣総理大臣の鮫島匡一(橋爪功)。総理経験者には警視庁SPがつくのが通常だが、警護期間終了を言い渡される。SPが外れるタイミングを狙ってか、自宅に無言電話がかかるようになり…。不安に感じた鮫島は、章(木村拓哉)ら民間ボディーガードに警護を依頼。一体、誰が鮫島を狙っているのか?さらに、孫・彩矢(豊嶋花)にも怪しい影が忍び寄り…!?</t>
  </si>
  <si>
    <t>番組名BG～身辺警護人～　#7</t>
  </si>
  <si>
    <t>6年前に別れた元妻・小田切仁美(山口智子)から「誰かに狙われている…わたしを護って」と警護を依頼された章(木村拓哉)。あくまで“ボディーガード"として接する章だったが、時折り“元夫婦"を感じさせる瞬間も…。そんな中、仁美を付け狙っていた人物の正体が判明。警護の延長で、レストランで食事をすることになった二人…だが、突然の銃声に店内は騒然!!危機を乗り越えようとする元夫婦が辿りついた衝撃の別れ…!?島崎章…木村拓哉  落合義明…江口洋介  高梨雅也…斎藤工  菅沼まゆ…菜々緒  沢口正太郎…間宮祥太朗  立原愛子…石田ゆり子  村田五郎…上川隆也  ・  小田切仁美…山口智子  清田春孝…阿部進之介  島崎瞬…田中奏生井上由美子常廣丈太(テレビ朝日)高見優【ゼネラルプロデューサー】内山聖子(テレビ朝日)、三輪祐見子(テレビ朝日)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</si>
  <si>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6年前に別れた元妻・小田切仁美(山口智子)から「誰かに狙われている…わたしを護って」と警護を依頼された章(木村拓哉)。あくまで“ボディーガード"として接する章だったが、時折り“元夫婦"を感じさせる瞬間も…。そんな中、仁美を付け狙っていた人物の正体が判明。警護の延長で、レストランで食事をすることになった二人…だが、突然の銃声に店内は騒然!!危機を乗り越えようとする元夫婦が辿りついた衝撃の別れ…!?</t>
  </si>
  <si>
    <t>番組名BG～身辺警護人～　#8</t>
  </si>
  <si>
    <t>身辺警護課・課長の村田(上川隆也)が、政治がらみの発砲事件に巻き込まれ撃たれた!だが、世間は「出しゃばった民間ボディーガードの無謀な行動で撃たれた」と否定的な目を向け、現場にいた厚労大臣の愛子(石田ゆり子)や警視庁SP・落合(江口洋介)らも、真実を公表しようとはしない。事件の真相が隠蔽され、章(木村拓哉)たち身辺警護課メンバーは、村田の汚名を返上するため奔走するが…?撃たれた仲間の名誉を護り抜け!島崎章…木村拓哉  落合義明…江口洋介  高梨雅也…斎藤工  菅沼まゆ…菜々緒  沢口正太郎…間宮祥太朗  立原愛子…石田ゆり子  村田五郎…上川隆也  ・  今関重信…永島敏行  氷川修…宇梶剛士  清田春孝…阿部進之介  島崎瞬…田中奏生  【第8話ゲスト】  大久保佐助…伊武雅刀井上由美子七高剛高見優【ゼネラルプロデューサー】内山聖子(テレビ朝日)、三輪祐見子(テレビ朝日)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</si>
  <si>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身辺警護課・課長の村田(上川隆也)が、政治がらみの発砲事件に巻き込まれ撃たれた!だが、世間は「出しゃばった民間ボディーガードの無謀な行動で撃たれた」と否定的な目を向け、現場にいた厚労大臣の愛子(石田ゆり子)や警視庁SP・落合(江口洋介)らも、真実を公表しようとはしない。事件の真相が隠蔽され、章(木村拓哉)たち身辺警護課メンバーは、村田の汚名を返上するため奔走するが…?撃たれた仲間の名誉を護り抜け!</t>
  </si>
  <si>
    <t>番組名BG～身辺警護人～　#9</t>
  </si>
  <si>
    <t>ついに最終回!殉職した村田課長(上川隆也)に着せられた汚名を返上しようと誓う章(木村拓哉)たちの前に、厚労大臣の職を辞した愛子(石田ゆり子)が「私が真実を話します」と名乗り出てくる。真相を語る場所まで愛子を警護することを決めた章たちだったが…ボディーガードまでも脅威にさらされピンチに陥る…。落合(江口洋介)ら警視庁SPと、民間ボディーガードの信念を賭けた最終対決が始まる!!島崎章…木村拓哉  落合義明…江口洋介  高梨雅也…斎藤工  菅沼まゆ…菜々緒  沢口正太郎…間宮祥太朗  立原愛子…石田ゆり子  村田五郎…上川隆也  ・  今関重信…永島敏行  氷川修…宇梶剛士  清田春孝…阿部進之介  島崎瞬…田中奏生  【最終回ゲスト】  村田靖子…中山忍  村田庸一…堀家一希  矢沢永吉  新川貴志…健太郎井上由美子常廣丈太(テレビ朝日)高見優【ゼネラルプロデューサー】内山聖子(テレビ朝日)、三輪祐見子(テレビ朝日)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</si>
  <si>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ついに最終回!殉職した村田課長(上川隆也)に着せられた汚名を返上しようと誓う章(木村拓哉)たちの前に、厚労大臣の職を辞した愛子(石田ゆり子)が「私が真実を話します」と名乗り出てくる。真相を語る場所まで愛子を警護することを決めた章たちだったが…ボディーガードまでも脅威にさらされピンチに陥る…。落合(江口洋介)ら警視庁SPと、民間ボディーガードの信念を賭けた最終対決が始まる!!</t>
  </si>
  <si>
    <t>1801_EX_金23</t>
  </si>
  <si>
    <t>ホリデイラブ</t>
  </si>
  <si>
    <t>番組名ホリデイラブ　#1</t>
  </si>
  <si>
    <t>自宅でネイルサロンを経営する高森杏寿(仲里依紗)は、単身赴任中の夫・純平(塚本高史)と娘に支えられ、ごく普通の幸せな家庭を築いていた。しかし、ある日突然、どん底へと突き落とされる…。アザだらけの顔をした純平と共に見知らぬ男・井筒渡(中村倫也)が自宅に現れ、告げられたのは“愛する夫が浮気した"という信じがたい事実だったー。さらに驚愕の出来事が発覚し…!?  渡辺千穂脚本で送る“サレ妻"恋愛サスペンス!!仲里依紗、塚本高史、中村倫也、松本まりか、山田裕貴、飯島寛騎、岡田龍太郎、三津谷葉子、壇蜜、平岡祐太こやまゆかり、草壁エリザ『ホリデイラブ～夫婦間恋愛～』(DeNA「マンガボックス」連載)渡辺千穂松田礼人(ドリマックス・テレビジョン)【主題歌】ポルノグラフィティ『カメレオン・レンズ』(SMEレコーズ)  【音楽】横山克、Evan Call【ゼネラルプロデューサー】大川武宏(テレビ朝日)  【プロデューサー】飯田爽(テレビ朝日)、木曽貴美子(MMJ)☆番組HP  　http://www.tv-asahi.co.jp/holidaylove/  ☆Twitter  　https://twitter.com/holiday__love/  ☆Instagram  　https://www.instagram.com/holiday__love/</t>
  </si>
  <si>
    <t>自宅でネイルサロンを経営する高森杏寿(仲里依紗)は、単身赴任中の夫・純平(塚本高史)と娘に支えられ、ごく普通の幸せな家庭を築いていた。しかし、ある日突然、どん底へと突き落とされる…。アザだらけの顔をした純平と共に見知らぬ男・井筒渡(中村倫也)が自宅に現れ、告げられたのは“愛する夫が浮気した"という信じがたい事実だったー。さらに驚愕の出来事が発覚し…!?  渡辺千穂脚本で送る“サレ妻"恋愛サスペンス!!</t>
  </si>
  <si>
    <t>番組名ホリデイラブ　#2</t>
  </si>
  <si>
    <t>「あなたの夫、浮気しているんです。」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サレ妻地獄へ、ようこそ。"仲里依紗、塚本高史、中村倫也、松本まりか、山田裕貴、飯島寛騎、岡田龍太郎、三津谷葉子、壇蜜、平岡祐太こやまゆかり、草壁エリザ『ホリデイラブ～夫婦間恋愛～』(DeNA「マンガボックス」連載)渡辺千穂松田礼人(ドリマックス・テレビジョン)【主題歌】ポルノグラフィティ『カメレオン・レンズ』(SMEレコーズ)  【音楽】横山克、Evan Call【ゼネラルプロデューサー】大川武宏(テレビ朝日)  【プロデューサー】飯田爽(テレビ朝日)、木曽貴美子(MMJ)☆番組HP  　http://www.tv-asahi.co.jp/holidaylove/  ☆Twitter  　https://twitter.com/holiday__love/  ☆Instagram  　https://www.instagram.com/holiday__love/</t>
  </si>
  <si>
    <t>「あなたの夫、浮気しているんです。」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渡辺千穂脚本で送る恋愛サスペンス!“サレ妻地獄へ、ようこそ。"</t>
  </si>
  <si>
    <t>番組名ホリデイラブ　#3</t>
  </si>
  <si>
    <t>「あなたの夫、浮気しているんです。」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三津谷葉子、壇蜜、平岡祐太こやまゆかり、草壁エリザ『ホリデイラブ～夫婦間恋愛～』(DeNA「マンガボックス」連載)渡辺千穂山本大輔(アズバーズ)【主題歌】ポルノグラフィティ『カメレオン・レンズ』(SMEレコーズ)  【音楽】横山克、Evan Call【ゼネラルプロデューサー】大川武宏(テレビ朝日)  【プロデューサー】飯田爽(テレビ朝日)、木曽貴美子(MMJ)☆番組HP  　http://www.tv-asahi.co.jp/holidaylove/  ☆Twitter  　https://twitter.com/holiday__love/  ☆Instagram  　https://www.instagram.com/holiday__love/</t>
  </si>
  <si>
    <t>「あなたの夫、浮気しているんです。」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t>
  </si>
  <si>
    <t>番組名ホリデイラブ　#4</t>
  </si>
  <si>
    <t>「あなたの夫、浮気しているんです。」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平岡祐太こやまゆかり、草壁エリザ『ホリデイラブ～夫婦間恋愛～』(DeNA「マンガボックス」連載)渡辺千穂小野浩司(MMJ)【主題歌】ポルノグラフィティ『カメレオン・レンズ』(SMEレコーズ)  【音楽】横山克、Evan Call【ゼネラルプロデューサー】大川武宏(テレビ朝日)  【プロデューサー】飯田爽(テレビ朝日)、木曽貴美子(MMJ)☆番組HP  　http://www.tv-asahi.co.jp/holidaylove/  ☆Twitter  　https://twitter.com/holiday__love/  ☆Instagram  　https://www.instagram.com/holiday__love/</t>
  </si>
  <si>
    <t>番組名ホリデイラブ　#5</t>
  </si>
  <si>
    <t>「あなたの夫、浮気しているんです。」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三津谷葉子、壇蜜、平岡祐太こやまゆかり、草壁エリザ『ホリデイラブ～夫婦間恋愛～』(DeNA「マンガボックス」連載)渡辺千穂松田礼人(ドリマックス・テレビジョン)【主題歌】ポルノグラフィティ『カメレオン・レンズ』(SMEレコーズ)  【音楽】横山克、Evan Call【ゼネラルプロデューサー】大川武宏(テレビ朝日)  【プロデューサー】飯田爽(テレビ朝日)、木曽貴美子(MMJ)☆番組HP  　http://www.tv-asahi.co.jp/holidaylove/  ☆Twitter  　https://twitter.com/holiday__love/  ☆Instagram  　https://www.instagram.com/holiday__love/</t>
  </si>
  <si>
    <t>番組名ホリデイラブ　#6</t>
  </si>
  <si>
    <t>「あなたの夫、浮気しているんです。」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壇蜜、平岡祐太こやまゆかり、草壁エリザ『ホリデイラブ～夫婦間恋愛～』(DeNA「マンガボックス」連載)渡辺千穂山本大輔(アズバーズ)【主題歌】ポルノグラフィティ『カメレオン・レンズ』(SMEレコーズ)  【音楽】横山克、Evan Call【ゼネラルプロデューサー】大川武宏(テレビ朝日)  【プロデューサー】飯田爽(テレビ朝日)、木曽貴美子(MMJ)☆番組HP  　http://www.tv-asahi.co.jp/holidaylove/  ☆Twitter  　https://twitter.com/holiday__love/  ☆Instagram  　https://www.instagram.com/holiday__love/</t>
  </si>
  <si>
    <t>番組名ホリデイラブ　#7</t>
  </si>
  <si>
    <t>番組名ホリデイラブ　#8</t>
  </si>
  <si>
    <t>1801_EX_土23</t>
  </si>
  <si>
    <t>明日の君がもっと好き</t>
  </si>
  <si>
    <t>番組名明日の君がもっと好き　#1</t>
  </si>
  <si>
    <t>造園デザイナーの松尾亮(市原隼人)は、社長秘書・里川茜(伊藤歩)のスカートが風でめくれ、つい目がいくものの恋愛には奥手。そんな茜に新入社員の城崎遥飛(白洲迅)は人懐っこく声をかける。亮は勤務先の社長・丹野文彦(柳葉敏郎)から、娘の香(森川葵)との結婚を切り出される。昼間は工事現場、夜はガールズバーで働く香は、性的アイデンティティーを見失っていた。そんな香の店に、茜の妹・梓(志田未来)がやってきて…市原隼人、伊藤歩、森川葵、白洲迅  渡辺大、小松和重、神永圭佑、大沢健、綾田俊樹、品川徹  志田未来、柳葉敏郎、三田佳子井沢満竹園元(テレビ朝日)【音楽プロデュース】S.E.N.S. Company  【音楽】有木竜郎  【主題歌】PrizmaX『yours』(SDR)【プロデューサー】竹園元(テレビ朝日)、中込卓也(テレビ朝日)、下山潤(ジャンゴフィルム)☆番組HP  　http://www.tv-asahi.co.jp/asukimi/  ☆Twitter  　https://twitter.com/asukimi2018</t>
  </si>
  <si>
    <t>造園デザイナーの松尾亮(市原隼人)は、社長秘書・里川茜(伊藤歩)のスカートが風でめくれ、つい目がいくものの恋愛には奥手。そんな茜に新入社員の城崎遥飛(白洲迅)は人懐っこく声をかける。亮は勤務先の社長・丹野文彦(柳葉敏郎)から、娘の香(森川葵)との結婚を切り出される。昼間は工事現場、夜はガールズバーで働く香は、性的アイデンティティーを見失っていた。そんな香の店に、茜の妹・梓(志田未来)がやってきて…</t>
  </si>
  <si>
    <t>番組名明日の君がもっと好き　#2</t>
  </si>
  <si>
    <t>香(森川葵)から性に関する悩みを打ち明けられた亮(市原隼人)は、戸惑いながらも受け入れる。その夜、梓(志田未来)は夫の智弘(渡辺大)に嘘をつき、香の勤めるガールズバーへと出かけていく。同じ頃、遥飛(白洲迅)は子持ちの美晴(釈由美子)を誘い、いつものように罵倒していた。そして、放って置かれるはめになった智弘は、ある女性を寿司屋に誘う。やってきた女性は、なんと元カノにして梓の姉・茜(伊藤歩)だった…市原隼人、伊藤歩、森川葵、白洲迅  渡辺大、小松和重、神永圭佑、朝倉えりか、釈由美子、綾田俊樹、品川徹  志田未来、柳葉敏郎、三田佳子井沢満竹園元(テレビ朝日)【音楽プロデュース】S.E.N.S. Company  【音楽】有木竜郎  【主題歌】PrizmaX『yours』(SDR)【プロデューサー】竹園元(テレビ朝日)、中込卓也(テレビ朝日)、下山潤(ジャンゴフィルム)☆番組HP  　http://www.tv-asahi.co.jp/asukimi/  ☆Twitter  　https://twitter.com/asukimi2018</t>
  </si>
  <si>
    <t>香(森川葵)から性に関する悩みを打ち明けられた亮(市原隼人)は、戸惑いながらも受け入れる。その夜、梓(志田未来)は夫の智弘(渡辺大)に嘘をつき、香の勤めるガールズバーへと出かけていく。同じ頃、遥飛(白洲迅)は子持ちの美晴(釈由美子)を誘い、いつものように罵倒していた。そして、放って置かれるはめになった智弘は、ある女性を寿司屋に誘う。やってきた女性は、なんと元カノにして梓の姉・茜(伊藤歩)だった</t>
  </si>
  <si>
    <t>番組名明日の君がもっと好き　#3</t>
  </si>
  <si>
    <t>里川家を訪れた亮(市原隼人)は、静子(三田佳子)の計らいで茜(伊藤歩)、梓(志田未来)、智弘(渡辺大)と夕食を共にする。そんな中、梓のスマートフォンに香(森川葵)からの着信が。香に会いたい気持ちを抑えられない梓は、香が勤めるガールズバーへと強引に3人を連れ出す。そこへ、酔っぱらった遥飛(白洲迅)が年上で子持ちの店員・美波(朝倉えりか)を求めて乱入。遥飛は、目撃した梓と香の秘密を亮たちに暴露し始め…市原隼人、伊藤歩、森川葵、白洲迅  渡辺大、小松和重、神永圭佑、朝倉えりか、品川徹  志田未来、柳葉敏郎、三田佳子井沢満片山修(テレビ朝日)【音楽プロデュース】S.E.N.S. Company  【音楽】有木竜郎  【主題歌】PrizmaX『yours』(SDR)【プロデューサー】竹園元(テレビ朝日)、中込卓也(テレビ朝日)、下山潤(ジャンゴフィルム)☆番組HP  　http://www.tv-asahi.co.jp/asukimi/  ☆Twitter  　https://twitter.com/asukimi2018</t>
  </si>
  <si>
    <t>里川家を訪れた亮(市原隼人)は、静子(三田佳子)の計らいで茜(伊藤歩)、梓(志田未来)、智弘(渡辺大)と夕食を共にする。そんな中、梓のスマートフォンに香(森川葵)からの着信が。香に会いたい気持ちを抑えられない梓は、香が勤めるガールズバーへと強引に3人を連れ出す。そこへ、酔っぱらった遥飛(白洲迅)が年上で子持ちの店員・美波(朝倉えりか)を求めて乱入。遥飛は、目撃した梓と香の秘密を亮たちに暴露し始め</t>
  </si>
  <si>
    <t>番組名明日の君がもっと好き　#4</t>
  </si>
  <si>
    <t>茜(伊藤歩)の家に来たタクシー運転手の聖誠実(小松和重)は、結婚前提の付き合いを申し込み、断れば警察に行ってタクシー代を払わせると脅すが、そこに亮(市原隼人)が現れ…。遥飛(白洲迅)は、熟女達をいたぶっている写真が社内で流出し、会社に姿を見せなくなってしまう。一方、亮と香(森川葵)の関係が停滞していると見た文彦(柳葉敏郎)は、香のマンションへ。その時、香の部屋には梓(志田未来)が訪ねて来ており…市原隼人、伊藤歩、森川葵、白洲迅  渡辺大、小松和重、神永圭佑、須永慶、朝倉えりか、釈由美子  大島蓉子、綾田俊樹  志田未来、柳葉敏郎、三田佳子井沢満片山修(テレビ朝日)【音楽プロデュース】S.E.N.S. Company  【音楽】有木竜郎  【主題歌】PrizmaX『yours』(SDR)【プロデューサー】竹園元(テレビ朝日)、中込卓也(テレビ朝日)、下山潤(ジャンゴフィルム)☆番組HP  　http://www.tv-asahi.co.jp/asukimi/  ☆Twitter  　https://twitter.com/asukimi2018</t>
  </si>
  <si>
    <t>茜(伊藤歩)の家に来たタクシー運転手の聖誠実(小松和重)は、結婚前提の付き合いを申し込み、断れば警察に行ってタクシー代を払わせると脅すが、そこに亮(市原隼人)が現れ…。遥飛(白洲迅)は、熟女達をいたぶっている写真が社内で流出し、会社に姿を見せなくなってしまう。一方、亮と香(森川葵)の関係が停滞していると見た文彦(柳葉敏郎)は、香のマンションへ。その時、香の部屋には梓(志田未来)が訪ねて来ており</t>
  </si>
  <si>
    <t>番組名明日の君がもっと好き　#5</t>
  </si>
  <si>
    <t>香(森川葵)を連れ戻そうと里川家に乗り込んだ文彦(柳葉敏郎)は、香だけでなく静子(三田佳子)とも子どもの育て方をめぐり対立。その成り行きを見守っていた亮(市原隼人)と茜(伊藤歩)の間にも、亮と香の婚約のことで微妙な距離が生じる…。一方、出勤途中のバスで遥飛(白洲迅)は突然、痴漢の被害を訴えられ、警察に連れて行かれてしまう。訴えた女性は、かつて遥飛がいたぶった子持ち女性の美晴(釈由美子)だった!市原隼人、伊藤歩、森川葵、白洲迅  渡辺大、釈由美子、朝倉えりか、品川徹  志田未来、柳葉敏郎、三田佳子井沢満竹園元(テレビ朝日)【音楽プロデュース】S.E.N.S. Company  【音楽】有木竜郎  【主題歌】PrizmaX『yours』(SDR)【プロデューサー】竹園元(テレビ朝日)、中込卓也(テレビ朝日)、下山潤(ジャンゴフィルム)☆番組HP  　http://www.tv-asahi.co.jp/asukimi/  ☆Twitter  　https://twitter.com/asukimi2018</t>
  </si>
  <si>
    <t>香(森川葵)を連れ戻そうと里川家に乗り込んだ文彦(柳葉敏郎)は、香だけでなく静子(三田佳子)とも子どもの育て方をめぐり対立。その成り行きを見守っていた亮(市原隼人)と茜(伊藤歩)の間にも、亮と香の婚約のことで微妙な距離が生じる…。一方、出勤途中のバスで遥飛(白洲迅)は突然、痴漢の被害を訴えられ、警察に連れて行かれてしまう。訴えた女性は、かつて遥飛がいたぶった子持ち女性の美晴(釈由美子)だった!</t>
  </si>
  <si>
    <t>番組名明日の君がもっと好き　#6</t>
  </si>
  <si>
    <t>茜(伊藤歩)と遥飛(白洲迅)がベッドインする姿を目撃した亮(市原隼人)は、燃え上がる嫉妬に苦しむ。そんなある日、亮の実家の大衆演劇団が東京公演のため上京。亮は家を飛び出して以来、一度も会っていなかった父(ベンガル)と16年ぶりの再会を果たす。また、静子(三田佳子)は学生時代の恋人(村井國夫)と半世紀ぶりのデートへ。そして、香(森川葵)は思いを断ち切れず梓(志田未来)に会いに行くのだが…市原隼人、伊藤歩、森川葵、白洲迅  渡辺大、朝倉えりか、村井國夫、ベンガル、黄川田将也、綾田俊樹、品川徹  志田未来、柳葉敏郎、三田佳子井沢満片山修(テレビ朝日)【音楽プロデュース】S.E.N.S. Company  【音楽】有木竜郎  【主題歌】PrizmaX『yours』(SDR)【プロデューサー】竹園元(テレビ朝日)、中込卓也(テレビ朝日)、下山潤(ジャンゴフィルム)☆番組HP  　http://www.tv-asahi.co.jp/asukimi/  ☆Twitter  　https://twitter.com/asukimi2018</t>
  </si>
  <si>
    <t>茜(伊藤歩)と遥飛(白洲迅)がベッドインする姿を目撃した亮(市原隼人)は、燃え上がる嫉妬に苦しむ。そんなある日、亮の実家の大衆演劇団が東京公演のため上京。亮は家を飛び出して以来、一度も会っていなかった父(ベンガル)と16年ぶりの再会を果たす。また、静子(三田佳子)は学生時代の恋人(村井國夫)と半世紀ぶりのデートへ。そして、香(森川葵)は思いを断ち切れず梓(志田未来)に会いに行くのだが</t>
  </si>
  <si>
    <t>番組名明日の君がもっと好き　#7</t>
  </si>
  <si>
    <t>亮(市原隼人)と香(森川葵)は結婚の準備を進めるが、香は指輪をはめることができない。そんな二人に文彦(柳葉敏郎)は、娘を想う気持ちを伝える。一方、一生独身で通すと決めた茜(伊藤歩)は、静子(三田佳子)から「女が天から授かった宝物」が何であるかを説かれ、気持ちが揺れ動く。遥飛(白洲迅)もロンドンへの旅立ちを決意…。4人はそれぞれに、明日を重ねていく相手が誰なのか、改めて自分の気持ちを見つめ直す。市原隼人、伊藤歩、森川葵、白洲迅  渡辺大、神永圭佑、朝倉えりか、綾田俊樹、品川徹  志田未来、柳葉敏郎、三田佳子井沢満竹園元(テレビ朝日)【音楽プロデュース】S.E.N.S. Company  【音楽】有木竜郎  【主題歌】PrizmaX『yours』(SDR)【プロデューサー】竹園元(テレビ朝日)、中込卓也(テレビ朝日)、下山潤(ジャンゴフィルム)☆番組HP  　http://www.tv-asahi.co.jp/asukimi/  ☆Twitter  　https://twitter.com/asukimi2018</t>
  </si>
  <si>
    <t>亮(市原隼人)と香(森川葵)は結婚の準備を進めるが、香は指輪をはめることができない。そんな二人に文彦(柳葉敏郎)は、娘を想う気持ちを伝える。一方、一生独身で通すと決めた茜(伊藤歩)は、静子(三田佳子)から「女が天から授かった宝物」が何であるかを説かれ、気持ちが揺れ動く。遥飛(白洲迅)もロンドンへの旅立ちを決意…。4人はそれぞれに、明日を重ねていく相手が誰なのか、改めて自分の気持ちを見つめ直す。</t>
  </si>
  <si>
    <t>1710_EX_木21</t>
  </si>
  <si>
    <t>番組名ドクターX～外科医・大門未知子～　#1</t>
  </si>
  <si>
    <t>東帝大学病院でクリーンな医局を取り戻すべく、大改革を推し進める初の女性院長・志村まどか(大地真央)が大門未知子(米倉涼子)を雇う。しかし、まどかは未知子が救命措置を行った患者の手術を、アメリカにいる心臓外科の世界的権威に手術支援ロボットを遠隔操作して執刀するよう依頼。その頃トンカツ店にいた未知子は、目の前で倒れた有名ジャーナリスト・一色を東帝大学病院に搬送する。これが“とんでもない事態"を招き…!?米倉涼子、岸部一徳、草刈正雄、永山絢斗、内田有紀、遠藤憲一、鈴木浩介、田中圭、野村周平、是永瞳、久住小春、陣内孝則、段田安則、大地真央、西田敏行  【ゲスト】升毅、藤真利子、松澤一之田口トモロヲ林誠人田村直己(テレビ朝日)沢田完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</si>
  <si>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東帝大学病院でクリーンな医局を取り戻すべく、大改革を推し進める初の女性院長・志村まどか(大地真央)が大門未知子(米倉涼子)を雇う。しかし、まどかは未知子が救命措置を行った患者の手術を、アメリカにいる心臓外科の世界的権威に手術支援ロボットを遠隔操作して執刀するよう依頼。その頃トンカツ店にいた未知子は、目の前で倒れた有名ジャーナリスト・一色を東帝大学病院に搬送する。これが“とんでもない事態"を招き…!?</t>
  </si>
  <si>
    <t>番組名ドクターX～外科医・大門未知子～　#2</t>
  </si>
  <si>
    <t>ゆとり世代の医師・伊東亮治(野村周平)の母・不二子(中田喜子)が倒れ、東帝大学病院に入院する。大門未知子(米倉涼子)が執刀を名乗り出るも、院長に返り咲いた蛭間重勝(西田敏行)は「母子オペ」で世の注目を集めようと、伊東を執刀医に指名。だが、伊東はなぜか、母親を心配する素振りを微塵も見せず、不二子も手術を拒否。未知子は何とか不二子の同意を得ようとするが…!?米倉涼子、岸部一徳、草刈正雄、永山絢斗、内田有紀、遠藤憲一、鈴木浩介、田中圭、野村周平、是永瞳、久住小春、陣内孝則、西田敏行  【ゲスト】中田喜子田口トモロヲ寺田敏雄松田秀知沢田完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</si>
  <si>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ゆとり世代の医師・伊東亮治(野村周平)の母・不二子(中田喜子)が倒れ、東帝大学病院に入院する。大門未知子(米倉涼子)が執刀を名乗り出るも、院長に返り咲いた蛭間重勝(西田敏行)は「母子オペ」で世の注目を集めようと、伊東を執刀医に指名。だが、伊東はなぜか、母親を心配する素振りを微塵も見せず、不二子も手術を拒否。未知子は何とか不二子の同意を得ようとするが…!?</t>
  </si>
  <si>
    <t>番組名ドクターX～外科医・大門未知子～　#3</t>
  </si>
  <si>
    <t>東帝大付属幼稚園園長・三鴨(平田満)が倒れた。執刀医の座をめぐり、外科副部長・猪又(陣内孝則)と未知子(米倉涼子)が激突!そんな中、三鴨はセカンドオピニオンを希望。内神田(草刈正雄)の命を受け、未知子を潰そうとする蛭間院長(西田敏行)は、ある企みを猪又に囁き…!?米倉涼子、岸部一徳、草刈正雄、永山絢斗、内田有紀、遠藤憲一、鈴木浩介、田中圭、是永瞳、陣内孝則、段田安則、西田敏行  【ゲスト】平田満田口トモロヲ林誠人田村直己(テレビ朝日)沢田完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</si>
  <si>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東帝大付属幼稚園園長・三鴨(平田満)が倒れた。執刀医の座をめぐり、外科副部長・猪又(陣内孝則)と未知子(米倉涼子)が激突!そんな中、三鴨はセカンドオピニオンを希望。内神田(草刈正雄)の命を受け、未知子を潰そうとする蛭間院長(西田敏行)は、ある企みを猪又に囁き…!?</t>
  </si>
  <si>
    <t>番組名ドクターX～外科医・大門未知子～　#4</t>
  </si>
  <si>
    <t>森本(田中圭)と婚活パーティーで出会い、婚約した内神田四織(仲里依紗)が倒れた!未知子(米倉涼子)が処置に当たるが、四織が日本医師倶楽部会長・内神田(草刈正雄)の娘であると告白し、蛭間院長(西田敏行)は大慌て。さらに、四織は「森本以外の手術は受けない」と宣言し…米倉涼子、岸部一徳、草刈正雄、永山絢斗、内田有紀、遠藤憲一、鈴木浩介、田中圭、是永瞳、陣内孝則、段田安則、西田敏行  【ゲスト】仲里依紗田口トモロヲ香坂隆史松田秀知沢田完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</si>
  <si>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森本(田中圭)と婚活パーティーで出会い、婚約した内神田四織(仲里依紗)が倒れた!未知子(米倉涼子)が処置に当たるが、四織が日本医師倶楽部会長・内神田(草刈正雄)の娘であると告白し、蛭間院長(西田敏行)は大慌て。さらに、四織は「森本以外の手術は受けない」と宣言し…</t>
  </si>
  <si>
    <t>番組名ドクターX～外科医・大門未知子～　#5</t>
  </si>
  <si>
    <t>若き天才棋士・五反田五郎(間宮祥太朗)が、対局中に意識を消失。外科副部長・鳥井(段田安則)は、日本医師倶楽部会長・内神田(草刈正雄)の意向を受け、最先端の人工知能「ヒポクラテス」の診断結果を提示した。大門未知子(米倉涼子)は違和感を感じるも、病名までは特定できず…。米倉涼子、岸部一徳、草刈正雄、永山絢斗、内田有紀、遠藤憲一、鈴木浩介、是永瞳、久住小春、段田安則、西田敏行  【ゲスト】間宮祥太朗田口トモロヲ林誠人田村直己(テレビ朝日)沢田完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</si>
  <si>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若き天才棋士・五反田五郎(間宮祥太朗)が、対局中に意識を消失。外科副部長・鳥井(段田安則)は、日本医師倶楽部会長・内神田(草刈正雄)の意向を受け、最先端の人工知能「ヒポクラテス」の診断結果を提示した。大門未知子(米倉涼子)は違和感を感じるも、病名までは特定できず…。</t>
  </si>
  <si>
    <t>番組名ドクターX～外科医・大門未知子～　#6</t>
  </si>
  <si>
    <t>些細なことでケンカをした、未知子(米倉涼子)と博美(内田有紀)。そこへ名医紹介所にまつわるある事実が判明し、さらに険悪になってしまう。そんな中、二人が共に担当する予定だった、中華料理店の店主・六浦良夫(平泉成)の妻・敦子(松金よね子)の手術を前に、良夫の膵臓に複数の腫瘍があることが判明!夫婦同時オペとなるが、博美は患者の立場から手術をためらい、未知子は博美がいるなら自分は手術をしないと言い張り…米倉涼子、岸部一徳、永山絢斗、内田有紀、遠藤憲一、鈴木浩介、田中圭、是永瞳、久住小春、陣内孝則  【ゲスト】平泉成、松金よね子田口トモロヲ香坂隆史松田秀知沢田完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</si>
  <si>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些細なことでケンカをした、未知子(米倉涼子)と博美(内田有紀)。そこへ名医紹介所にまつわるある事実が判明し、さらに険悪になってしまう。そんな中、二人が共に担当する予定だった、中華料理店の店主・六浦良夫(平泉成)の妻・敦子(松金よね子)の手術を前に、良夫の膵臓に複数の腫瘍があることが判明!夫婦同時オペとなるが、博美は患者の立場から手術をためらい、未知子は博美がいるなら自分は手術をしないと言い張り…</t>
  </si>
  <si>
    <t>番組名ドクターX～外科医・大門未知子～　#7</t>
  </si>
  <si>
    <t>原守(鈴木浩介)と日本医師倶楽部会長・内神田(草刈正雄)夫人の従妹とのお見合いの場に、大門未知子(米倉涼子)が元恋人のナナーシャ(シャーロット・ケイト・フォックス)を連れてきた!お見合いはぶち壊しとなり、その後ナナーシャが脳腫瘍で余命3カ月と判明する。未知子はオペを申し出るも、ナナーシャは拒絶。さらに、お見合いを成立させたい蛭間院長(西田敏行)も手術を妨げようとし…。恋か?出世か?原守の決断は…米倉涼子、岸部一徳、永山絢斗、鈴木浩介、田中圭、是永瞳、久住小春、陣内孝則、段田安則、西田敏行  【ゲスト】シャーロット・ケイト・フォックス、藤真利子、戸田菜穂田口トモロヲ香坂隆史山田勇人沢田完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</si>
  <si>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原守(鈴木浩介)と日本医師倶楽部会長・内神田(草刈正雄)夫人の従妹とのお見合いの場に、大門未知子(米倉涼子)が元恋人のナナーシャ(シャーロット・ケイト・フォックス)を連れてきた!お見合いはぶち壊しとなり、その後ナナーシャが脳腫瘍で余命3カ月と判明する。未知子はオペを申し出るも、ナナーシャは拒絶。さらに、お見合いを成立させたい蛭間院長(西田敏行)も手術を妨げようとし…。恋か?出世か?原守の決断は…</t>
  </si>
  <si>
    <t>番組名ドクターX～外科医・大門未知子～　#8</t>
  </si>
  <si>
    <t>根治手術が不可能ながんであると診断され、死を覚悟した元大臣秘書官・八雲(林家正蔵)が厚労省の不祥事を告発。しかし、告発した人物らは日本医師倶楽部会長・内神田(草刈正雄)の友人だった!内神田に釘を刺された蛭間(西田敏行)は、未知子(米倉涼子)を八雲のオペから排除。納得のいかない未知子だが、そこで若手医師の西山(永山絢斗)が未知子に“これまで口にすることのなかった思い"をぶつけ、信じられない行動に出る米倉涼子、岸部一徳、草刈正雄、永山絢斗、内田有紀、遠藤憲一、田中圭、久住小春、陣内孝則、段田安則、西田敏行  【ゲスト】林家正蔵田口トモロヲ林誠人田村直己(テレビ朝日)沢田完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</si>
  <si>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根治手術が不可能ながんであると診断され、死を覚悟した元大臣秘書官・八雲(林家正蔵)が厚労省の不祥事を告発。しかし、告発した人物らは日本医師倶楽部会長・内神田(草刈正雄)の友人だった!内神田に釘を刺された蛭間(西田敏行)は、未知子(米倉涼子)を八雲のオペから排除。納得のいかない未知子だが、そこで若手医師の西山(永山絢斗)が未知子に“これまで口にすることのなかった思い"をぶつけ、信じられない行動に出る</t>
  </si>
  <si>
    <t>番組名ドクターX～外科医・大門未知子～　#9</t>
  </si>
  <si>
    <t>バレエ教室に通う少女・九重遥(井本彩花)が、足を骨折。通常の治療では、大事な選考会に間に合わない。そこで、未知子(米倉涼子)はたった1回の手術で完治できるという、「患者自身の骨で作った骨のネジで骨折部を固定する」術式を提案。一方、日本医師倶楽部会長・内神田(草刈正雄)は未知子を日本の医学界から排除すべく、本格的に暗躍し始める。そして、少女の治療にまい進する未知子の前に“高い壁"が立ちはだかり…米倉涼子、岸部一徳、草刈正雄、永山絢斗、内田有紀、遠藤憲一、鈴木浩介、田中圭、是永瞳、久住小春、陣内孝則、段田安則、西田敏行  【ゲスト】井本彩花、原沙知絵、きたろう、大友康平田口トモロヲ寺田敏雄松田秀知沢田完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</si>
  <si>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バレエ教室に通う少女・九重遥(井本彩花)が、足を骨折。通常の治療では、大事な選考会に間に合わない。そこで、未知子(米倉涼子)はたった1回の手術で完治できるという、「患者自身の骨で作った骨のネジで骨折部を固定する」術式を提案。一方、日本医師倶楽部会長・内神田(草刈正雄)は未知子を日本の医学界から排除すべく、本格的に暗躍し始める。そして、少女の治療にまい進する未知子の前に“高い壁"が立ちはだかり…</t>
  </si>
  <si>
    <t>番組名ドクターX～外科医・大門未知子～　#10</t>
  </si>
  <si>
    <t>大門未知子(米倉涼子)が倒れた!その矢先、日本医師倶楽部会長・内神田(草刈正雄)が食道がんを患い手術を受けることになるが、内神田は敵視する未知子の執刀を拒否。そこへ、加地秀樹(勝村政信)が出現!執刀医に名乗りを上げるが…。自らの体を蝕む病魔と闘いながら、未知子は内神田の命を救うことができるのか…!?そして、ほかでもない未知子自身の命は助かるのか…!?大門未知子、“最後のオペ"がついに始まる!米倉涼子、岸部一徳、草刈正雄、永山絢斗、内田有紀、遠藤憲一、鈴木浩介、田中圭、是永瞳、久住小春、陣内孝則、段田安則、西田敏行  【ゲスト】勝村政信田口トモロヲ林誠人田村直己(テレビ朝日)沢田完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</si>
  <si>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大門未知子(米倉涼子)が倒れた!その矢先、日本医師倶楽部会長・内神田(草刈正雄)が食道がんを患い手術を受けることになるが、内神田は敵視する未知子の執刀を拒否。そこへ、加地秀樹(勝村政信)が出現!執刀医に名乗りを上げるが…。自らの体を蝕む病魔と闘いながら、未知子は内神田の命を救うことができるのか…!?そして、ほかでもない未知子自身の命は助かるのか…!?大門未知子、“最後のオペ"がついに始まる!</t>
  </si>
  <si>
    <t>1710_EX_金23</t>
  </si>
  <si>
    <t>重要参考人探偵</t>
  </si>
  <si>
    <t>番組名重要参考人探偵　#1　なぜか死体を見つける男!シャンデリア殺人事件</t>
  </si>
  <si>
    <t>なぜかいつも死体に遭遇、第一発見者になってしまう不幸な男・圭(玉森裕太)は、モデル仲間の斎(小山慶一郎)、シモン(古川雄輝)と共に腕時計のパンフレットの撮影に臨んでいた。そこに時計会社の部長・小高(遼河はるひ)がやって来て、圭たちをパーティーに招待する。 圭はパーティーで小高のエスコート役に。しかし、小高がスピーチを始めたその時、シャンデリアが落下!現場には刑事・果林(新木優子)が現れて…玉森裕太、小山慶一郎、新木優子、古川雄輝、堀田茜、一井直樹、滝藤賢一、豊原功補、西岡徳馬、松平健  【ゲスト】マギー、遼河はるひ絹田村子『重要参考人探偵』(小学館 月刊flowers)黒岩勉塚本連平Kis-My-Ft2『赤い果実』(avex trax)【ゼネラルプロデューサー】横地郁英(テレビ朝日)  【プロデューサー】神田エミイ亜希子(テレビ朝日)、浅井千瑞(MMJ)、本郷達也(MMJ)☆番組HP  　http://www.tv-asahi.co.jp/sankounin/  ☆Twitter  　https://twitter.com/sankounin  ☆Instagram  　https://www.instagram.com/sankounin_tvasahi/</t>
  </si>
  <si>
    <t>なぜかいつも死体に遭遇、第一発見者になってしまう不幸な男・圭(玉森裕太)は、モデル仲間の斎(小山慶一郎)、シモン(古川雄輝)と共に腕時計のパンフレットの撮影に臨んでいた。そこに時計会社の部長・小高(遼河はるひ)がやって来て、圭たちをパーティーに招待する。 圭はパーティーで小高のエスコート役に。しかし、小高がスピーチを始めたその時、シャンデリアが落下!現場には刑事・果林(新木優子)が現れて…</t>
  </si>
  <si>
    <t>番組名重要参考人探偵　#2　殺人オーディションと10年前の“点と線"</t>
  </si>
  <si>
    <t>国民的女優・乙原ゆり(志田未来)が出演するCMオーディションに参加した圭(玉森裕太)、斎(小山慶一郎)、シモン(古川雄輝)。一次審査を通過した圭は、モデルの魚住爽太(中山優馬)と出会う。最終審査で、相手役は爽太に決定!残念ながら不合格となった圭が会場を出ようとしたその時…何かが落下する音が!?音のした方に向かった圭は、そこで頭から血を流した爽太の姿を発見。爽太の過去を調べるため、生まれ故郷に向かい…玉森裕太、小山慶一郎、新木優子、古川雄輝、堀田茜、一井直樹、滝藤賢一、豊原功補  【ゲスト】志田未来、中山優馬、市川知宏絹田村子『重要参考人探偵』(小学館 月刊flowers)黒岩勉塚本連平Kis-My-Ft2『赤い果実』(avex trax)【ゼネラルプロデューサー】横地郁英(テレビ朝日)  【プロデューサー】神田エミイ亜希子(テレビ朝日)、浅井千瑞(MMJ)、本郷達也(MMJ)☆番組HP  　http://www.tv-asahi.co.jp/sankounin/  ☆Twitter  　https://twitter.com/sankounin  ☆Instagram  　https://www.instagram.com/sankounin_tvasahi/</t>
  </si>
  <si>
    <t>国民的女優・乙原ゆり(志田未来)が出演するCMオーディションに参加した圭(玉森裕太)、斎(小山慶一郎)、シモン(古川雄輝)。一次審査を通過した圭は、モデルの魚住爽太(中山優馬)と出会う。最終審査で、相手役は爽太に決定!残念ながら不合格となった圭が会場を出ようとしたその時…何かが落下する音が!?音のした方に向かった圭は、そこで頭から血を流した爽太の姿を発見。爽太の過去を調べるため、生まれ故郷に向かい…</t>
  </si>
  <si>
    <t>番組名重要参考人探偵　#3　山頂の密室殺人!!増える死体!?</t>
  </si>
  <si>
    <t>雑誌の企画で、登山をしにきた圭(玉森裕太)、斎(小山慶一郎)、シモン(古川雄輝)は、撮影終了後に山のロッジに泊まることになる。そこには、無愛想な管理人(敦士)とその妻(笛木優子)が…。さらにそのロッジには、立入禁止の部屋があった。夜、寝つけなかった圭は、たまたま扉が開いていた立入禁止の部屋に入り、内側から鍵をかけ、つい寝入ってしまう。しかし、翌朝目覚めるとベッドの下には死体があり…!?玉森裕太、小山慶一郎、新木優子、古川雄輝、堀田茜、一井直樹、滝藤賢一、豊原功補  【ゲスト】笛木優子、敦士、冨家規政絹田村子『重要参考人探偵』(小学館 月刊flowers)黒岩勉宝来忠昭Kis-My-Ft2『赤い果実』(avex trax)【ゼネラルプロデューサー】横地郁英(テレビ朝日)  【プロデューサー】神田エミイ亜希子(テレビ朝日)、浅井千瑞(MMJ)、本郷達也(MMJ)☆番組HP  　http://www.tv-asahi.co.jp/sankounin/  ☆Twitter  　https://twitter.com/sankounin  ☆Instagram  　https://www.instagram.com/sankounin_tvasahi/</t>
  </si>
  <si>
    <t>雑誌の企画で、登山をしにきた圭(玉森裕太)、斎(小山慶一郎)、シモン(古川雄輝)は、撮影終了後に山のロッジに泊まることになる。そこには、無愛想な管理人(敦士)とその妻(笛木優子)が…。さらにそのロッジには、立入禁止の部屋があった。夜、寝つけなかった圭は、たまたま扉が開いていた立入禁止の部屋に入り、内側から鍵をかけ、つい寝入ってしまう。しかし、翌朝目覚めるとベッドの下には死体があり…!?</t>
  </si>
  <si>
    <t>番組名重要参考人探偵　#4　殺人シェイクスピア!!舞台上演中に起きた殺人事件の謎!!</t>
  </si>
  <si>
    <t>絶海の孤島に建つ洋館で起きる殺人事件を描いた舞台に、一番初めに殺される男として出演することになった弥木圭(玉森裕太)。緊張している圭を劇団員の栞(雛形あきこ)がなぐさめてくれる。しかし、開演直前に主演の黒井(福田悠太)とルナ(矢作穂香)が言い争っている様子を目撃。不審に思う中、舞台の幕が開く。しかし、圭はシモン(古川雄輝)、果林(新木優子)ら観客が見守る舞台上で黒井が殺害されているのを発見し…?玉森裕太、小山慶一郎、新木優子、古川雄輝、堀田茜、一井直樹、滝藤賢一、豊原功補、西岡徳馬  【ゲスト】雛形あきこ、福田悠太(ふぉ～ゆ～)、矢作穂香絹田村子『重要参考人探偵』(小学館 月刊flowers)黒岩勉小松隆志Kis-My-Ft2『赤い果実』(avex trax)【ゼネラルプロデューサー】横地郁英(テレビ朝日)  【プロデューサー】神田エミイ亜希子(テレビ朝日)、浅井千瑞(MMJ)、本郷達也(MMJ)☆番組HP  　http://www.tv-asahi.co.jp/sankounin/  ☆Twitter  　https://twitter.com/sankounin  ☆Instagram  　https://www.instagram.com/sankounin_tvasahi/</t>
  </si>
  <si>
    <t>絶海の孤島に建つ洋館で起きる殺人事件を描いた舞台に、一番初めに殺される男として出演することになった弥木圭(玉森裕太)。緊張している圭を劇団員の栞(雛形あきこ)がなぐさめてくれる。しかし、開演直前に主演の黒井(福田悠太)とルナ(矢作穂香)が言い争っている様子を目撃。不審に思う中、舞台の幕が開く。しかし、圭はシモン(古川雄輝)、果林(新木優子)ら観客が見守る舞台上で黒井が殺害されているのを発見し…?</t>
  </si>
  <si>
    <t>番組名重要参考人探偵　#5　隣人の秘密!?セレブ妻の裏の顔!!</t>
  </si>
  <si>
    <t>何度も殺人事件に遭遇したことで、圭(玉森裕太)の仕事が激減。その分、斎(小山慶一郎)がモデルの仕事を引き受ける。そんな中、圭は引っ越しのバイトをすることに。シモン(古川雄輝)と共に高級住宅街を訪れる途中、上品な雰囲気の柘植梓(紺野まひる)に出会う。その後、依頼主の昭島家に向かうが、依頼主が殺されていた…。向かいに住む勝子(青木さやか)と浜(六角慎司)の証言は、圭に不利なことばかりで…玉森裕太、小山慶一郎、新木優子、古川雄輝、堀田茜、一井直樹、滝藤賢一、かとうかず子、大澄賢也、豊原功補、西岡徳馬  【ゲスト】紺野まひる、青木さやか、六角慎司絹田村子『重要参考人探偵』(小学館 月刊flowers)黒岩勉塚本連平Kis-My-Ft2『赤い果実』(avex trax)【ゼネラルプロデューサー】横地郁英(テレビ朝日)  【プロデューサー】神田エミイ亜希子(テレビ朝日)、浅井千瑞(MMJ)、本郷達也(MMJ)☆番組HP  　http://www.tv-asahi.co.jp/sankounin/  ☆Twitter  　https://twitter.com/sankounin  ☆Instagram  　https://www.instagram.com/sankounin_tvasahi/</t>
  </si>
  <si>
    <t>何度も殺人事件に遭遇したことで、圭(玉森裕太)の仕事が激減。その分、斎(小山慶一郎)がモデルの仕事を引き受ける。そんな中、圭は引っ越しのバイトをすることに。シモン(古川雄輝)と共に高級住宅街を訪れる途中、上品な雰囲気の柘植梓(紺野まひる)に出会う。その後、依頼主の昭島家に向かうが、依頼主が殺されていた…。向かいに住む勝子(青木さやか)と浜(六角慎司)の証言は、圭に不利なことばかりで…</t>
  </si>
  <si>
    <t>番組名重要参考人探偵　#6　殺人ファッションショー!?消えた死体の謎!!</t>
  </si>
  <si>
    <t>シモン(古川雄輝)が出演するファッションショーに来た圭(玉森裕太)と斎(小山慶一郎)。圭はそこで、デザイナーの和哉(岡田義徳)、プロデューサーの茂(姜暢雄)と歩実(須藤理彩)を紹介され、飲み会に誘われる。仕事場の飲み会に遅れてきた圭は、和哉から「茂を呼んできてくれ」と頼まれる。しかし、圭がドアを開けると血を流して倒れている茂の姿が…!救急車を呼び、再び部屋へ行くと、茂の姿は跡形もなく消えていて…?玉森裕太、小山慶一郎、新木優子、古川雄輝、堀田茜、一井直樹、滝藤賢一、豊原功補  【ゲスト】岡田義徳、須藤理彩、姜暢雄、柳ゆり菜絹田村子『重要参考人探偵』(小学館 月刊flowers)黒岩勉小松隆志Kis-My-Ft2『赤い果実』(avex trax)【ゼネラルプロデューサー】横地郁英(テレビ朝日)  【プロデューサー】神田エミイ亜希子(テレビ朝日)、浅井千瑞(MMJ)、本郷達也(MMJ)☆番組HP  　http://www.tv-asahi.co.jp/sankounin/  ☆Twitter  　https://twitter.com/sankounin  ☆Instagram  　https://www.instagram.com/sankounin_tvasahi/</t>
  </si>
  <si>
    <t>シモン(古川雄輝)が出演するファッションショーに来た圭(玉森裕太)と斎(小山慶一郎)。圭はそこで、デザイナーの和哉(岡田義徳)、プロデューサーの茂(姜暢雄)と歩実(須藤理彩)を紹介され、飲み会に誘われる。仕事場の飲み会に遅れてきた圭は、和哉から「茂を呼んできてくれ」と頼まれる。しかし、圭がドアを開けると血を流して倒れている茂の姿が…!救急車を呼び、再び部屋へ行くと、茂の姿は跡形もなく消えていて…?</t>
  </si>
  <si>
    <t>番組名重要参考人探偵　#7　ついに最終章!!温泉女将が隠す父の死の謎!?</t>
  </si>
  <si>
    <t>温泉旅館での撮影のため、石長島にやってきた圭(玉森裕太)、斎(小山慶一郎)、シモン(古川雄輝)。しかし、圭は以前にこの島に来たことがあるような不思議な気分に…。旅館に着いた圭たちを迎えたのは、女将の田崎典子(伊藤かずえ)と番頭の佐久間和夫(モト冬樹)。女将から温泉にまつわる秘話を聞いた圭たちは、源泉を飲んでみることに。しかし、圭が用意した湯呑みを使ったカメラマンが吐血し死亡!圭は再び疑われ…?玉森裕太、小山慶一郎、新木優子、古川雄輝、堀田茜、一井直樹、滝藤賢一、かとうかず子、大澄賢也、豊原功補、西岡徳馬、松平健  【ゲスト】伊藤かずえ、モト冬樹、岩佐真悠子、斉藤陽一郎、瀬戸利樹絹田村子『重要参考人探偵』(小学館 月刊flowers)黒岩勉宝来忠昭Kis-My-Ft2『赤い果実』(avex trax)【ゼネラルプロデューサー】横地郁英(テレビ朝日)  【プロデューサー】神田エミイ亜希子(テレビ朝日)、浅井千瑞(MMJ)、本郷達也(MMJ)☆番組HP  　http://www.tv-asahi.co.jp/sankounin/  ☆Twitter  　https://twitter.com/sankounin  ☆Instagram  　https://www.instagram.com/sankounin_tvasahi/</t>
  </si>
  <si>
    <t>温泉旅館での撮影のため、石長島にやってきた圭(玉森裕太)、斎(小山慶一郎)、シモン(古川雄輝)。しかし、圭は以前にこの島に来たことがあるような不思議な気分に…。旅館に着いた圭たちを迎えたのは、女将の田崎典子(伊藤かずえ)と番頭の佐久間和夫(モト冬樹)。女将から温泉にまつわる秘話を聞いた圭たちは、源泉を飲んでみることに。しかし、圭が用意した湯呑みを使ったカメラマンが吐血し死亡!圭は再び疑われ…?</t>
  </si>
  <si>
    <t>番組名重要参考人探偵　#8　【最終回】父親殺しの復讐!?命がけで最後の推理!</t>
  </si>
  <si>
    <t>【最終回】自分の過去について鍵を握るフリージャーナリスト・織居に呼び出された圭(玉森裕太)が指定された場所に行くと、そこには瀕死の織居の姿が…。謎の鍵を託されるが、織居は絶命してしまう。今度こそ連行されてしまうと考えた圭は、斎(小山慶一郎)、シモン(古川雄輝)の助けをかりて逃走…。命がけで突き止める真犯人とは?果林(新木優子)、古仙(西岡徳馬)、吉倉(松平健)を巻き込んだ最大の謎が立ちはだかる!!玉森裕太、小山慶一郎、新木優子、古川雄輝、堀田茜、一井直樹、滝藤賢一、大澄賢也、かとうかず子、豊原功補、西岡徳馬、松平健  【ゲスト】林家三平絹田村子『重要参考人探偵』(小学館 月刊flowers)黒岩勉塚本連平Kis-My-Ft2『赤い果実』(avex trax)【ゼネラルプロデューサー】横地郁英(テレビ朝日)  【プロデューサー】神田エミイ亜希子(テレビ朝日)、浅井千瑞(MMJ)、本郷達也(MMJ)☆番組HP  　http://www.tv-asahi.co.jp/sankounin/  ☆Twitter  　https://twitter.com/sankounin  ☆Instagram  　https://www.instagram.com/sankounin_tvasahi/</t>
  </si>
  <si>
    <t>自分の過去について鍵を握るフリージャーナリスト・織居に呼び出された圭(玉森裕太)が指定された場所に行くと、そこには瀕死の織居の姿が…。謎の鍵を託されるが、織居は絶命してしまう。今度こそ連行されてしまうと考えた圭は、斎(小山慶一郎)、シモン(古川雄輝)の助けをかりて逃走…。命がけで突き止める真犯人とは?果林(新木優子)、古仙(西岡徳馬)、吉倉(松平健)を巻き込んだ最大の謎が立ちはだかる!!</t>
  </si>
  <si>
    <t>1707_EX_木20</t>
  </si>
  <si>
    <t>遺留捜査</t>
  </si>
  <si>
    <t>番組名遺留捜査　初回2時間スペシャル　#1</t>
  </si>
  <si>
    <t>['20', '21']</t>
  </si>
  <si>
    <t>神戸港を周遊する遊覧船が爆破され、乗員乗客が人質になる事件が発生。身代金2億円が運航会社の黒沢興産に要求され、京都府警・特別捜査対策室、通称“特対"が動き出した。メンバーの神崎莉緒(栗山千明)も、現場へと急行する。一方で、休暇中の刑事・糸村聡(上川隆也)が、偶然にもその船に乗り合わせていた!糸村はその爆発現場で燃えかけの和紙を拾う…。人質の解放後、糸村は莉緒に遺留品の鑑定を依頼するのだが…!?まもなく事件の指揮を任された特対の室長・桧山亘(段田安則)は、遊覧船に乗っていた議員・長部麗子(財前直見)と黒沢興産の間に、知られざる繋がりがあるのではと睨む。特対刑事の佐倉路花(戸田恵子)や雨宮宏(永井大)らが、彼女らの周辺を探り出すことに。一方の糸村は、例によって遺留品の和紙のことばかりを調べている始末だったが、その線で辿りついた人物が、なんと黒沢興産の創業者である黒沢恒之助(伊東四朗)で…!?上川隆也、栗山千明、永井大、宮崎香蓮、和泉崇司・甲本雅裕、戸田恵子、段田安則    【ゲスト】伊東四朗、財前直見、南沢奈央、升毅、野村宏伸、東根作寿英、新納敏正、金剛地武志、堀内正美　ほか大石哲也兼崎涼介小田和正『小さな風景』(アリオラジャパン)【ゼネラルプロデューサー】三輪祐見子(テレビ朝日)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</si>
  <si>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神戸港を周遊する遊覧船が爆破され、乗員乗客が人質になる事件が発生。身代金2億円が運航会社の黒沢興産に要求され、京都府警・特別捜査対策室、通称“特対"が動き出した。メンバーの神崎莉緒(栗山千明)も、現場へと急行する。一方で、休暇中の刑事・糸村聡(上川隆也)が、偶然にもその船に乗り合わせていた!糸村はその爆発現場で燃えかけの和紙を拾う…。人質の解放後、糸村は莉緒に遺留品の鑑定を依頼するのだが…!?まもなく事件の指揮を任された特対の室長・桧山亘(段田安則)は、遊覧船に乗っていた議員・長部麗子(財前直見)と黒沢興産の間に、知られざる繋がりがあるのではと睨む。特対刑事の佐倉路花(戸田恵子)や雨宮宏(永井大)らが、彼女らの周辺を探り出すことに。一方の糸村は、例によって遺留品の和紙のことばかりを調べている始末だったが、その線で辿りついた人物が、なんと黒沢興産の創業者である黒沢恒之助(伊東四朗)で…!?</t>
  </si>
  <si>
    <t>番組名遺留捜査　#2</t>
  </si>
  <si>
    <t>['20', '20']</t>
  </si>
  <si>
    <t>放火殺人容疑で逮捕された赤木(近藤公園)が所轄署から逃走。翌朝、会社員・坂田の刺殺体が発見される。現場には1枚の将棋の駒…一部が焦げ、血痕が付着。しかも表は“銀"なのに裏が“角"!?駒と衣服から赤木の指紋が検出され、かつ坂田が放火殺人の目撃証人だったことが判明。赤木の報復か!?もう1人の目撃証人・西崎みちる(酒井若菜)の身を案じ接触する糸村だったが、みちるの息子・優太(寺田心)の将棋を指す姿を見て…上川隆也、栗山千明、永井大、宮崎香蓮、和泉崇司・甲本雅裕、戸田恵子、段田安則    【ゲスト】酒井若菜、近藤公園、寺田心、大河内浩、井田國彦、山田アキラ、大脇あかね ほか大石哲也長谷川康小田和正『小さな風景』(アリオラジャパン)【ゼネラルプロデューサー】三輪祐見子(テレビ朝日)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</si>
  <si>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放火殺人容疑で逮捕された赤木(近藤公園)が所轄署から逃走。翌朝、会社員・坂田の刺殺体が発見される。現場には1枚の将棋の駒…一部が焦げ、血痕が付着。しかも表は“銀"なのに裏が“角"!?駒と衣服から赤木の指紋が検出され、かつ坂田が放火殺人の目撃証人だったことが判明。赤木の報復か!?もう1人の目撃証人・西崎みちる(酒井若菜)の身を案じ接触する糸村だったが、みちるの息子・優太(寺田心)の将棋を指す姿を見て…</t>
  </si>
  <si>
    <t>番組名遺留捜査　#3</t>
  </si>
  <si>
    <t>科学番組MCとして人気の准教授・梨田(袴田吉彦)が自宅で刺殺された。捜査は異性トラブルの線で進められるが、糸村(上川隆也)だけは現場に落ちていたやじろべえ人形が気になる。そんな中、梨田の親友の科学者・栗原(平岳大)が捜査線上に…なんと、梨田は栗原の妻・恵と不倫関係にあったという。しかも、彼女が謎の爆破事件に巻き込まれ不慮の死を遂げていた。栗原は富田教授(下條アトム)のもと、新エネルギーの研究を続けていて…上川隆也、栗山千明、永井大、宮崎香蓮、和泉崇司・甲本雅裕、戸田恵子、段田安則    【ゲスト】平岳大、袴田吉彦、下條アトム、陽月華、内田慈、松井紀美江、相沢美紗樹、今西彩、福嶋千明、吉澤智美、内山森彦、雪代敬子 ほか森下直長谷川康小田和正『小さな風景』(アリオラジャパン)【ゼネラルプロデューサー】三輪祐見子(テレビ朝日)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</si>
  <si>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科学番組MCとして人気の准教授・梨田(袴田吉彦)が自宅で刺殺された。捜査は異性トラブルの線で進められるが、糸村(上川隆也)だけは現場に落ちていたやじろべえ人形が気になる。そんな中、梨田の親友の科学者・栗原(平岳大)が捜査線上に…なんと、梨田は栗原の妻・恵と不倫関係にあったという。しかも、彼女が謎の爆破事件に巻き込まれ不慮の死を遂げていた。栗原は富田教授(下條アトム)のもと、新エネルギーの研究を続けていて…</t>
  </si>
  <si>
    <t>番組名遺留捜査　#4</t>
  </si>
  <si>
    <t>京都財界の有力者・竹原(団時朗)が自宅に押し入った強盗・石橋(辻本祐樹)を射殺。竹原は正当防衛を主張するが、不自然なほど都合よく壁にかかっていた猟銃、施錠されていた玄関、強盗が靴を脱いでから家に侵入した形跡など、不審な点が多数浮上する…。果たして、本当に正当防衛だったのか!?そんな中、糸村は、石橋が死の間際に引きちぎったと思われる「金のチェーン」が気になる。遺留品が導き出す、射殺事件の真相とは…!?上川隆也、栗山千明、永井大、宮崎香蓮、和泉崇司・甲本雅裕、戸田恵子、段田安則  【ゲスト】辻本祐樹、団時朗、立石涼子、小久保丈二、安藤玉恵、生島勇輝、岡村いずみ、金重陽平、上西雄大、中川晴樹、山本悠央、徳竹未夏 ほか森下直濱龍也小田和正『小さな風景』(アリオラジャパン)【ゼネラルプロデューサー】三輪祐見子(テレビ朝日)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</si>
  <si>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京都財界の有力者・竹原(団時朗)が自宅に押し入った強盗・石橋(辻本祐樹)を射殺。竹原は正当防衛を主張するが、不自然なほど都合よく壁にかかっていた猟銃、施錠されていた玄関、強盗が靴を脱いでから家に侵入した形跡など、不審な点が多数浮上する…。果たして、本当に正当防衛だったのか!?そんな中、糸村は、石橋が死の間際に引きちぎったと思われる「金のチェーン」が気になる。遺留品が導き出す、射殺事件の真相とは…!?</t>
  </si>
  <si>
    <t>番組名遺留捜査　#5</t>
  </si>
  <si>
    <t>“鬼女"と恐れられる不動産ブローカー・東條志津子(多岐川裕美)が刺殺された。苛烈な仕事ぶりで業界内にも敵が多く、仕事絡みの線で捜査は進む。そんな中、殺害現場となった森の売買で、部下の岩田(伊東孝明)と対立していたことが判明!さらに、絶縁した息子の達也(山中崇)とも、彼が働く陶芸工房の立ち退きをめぐり反目していたことも分かる。2人の男に疑惑が向く中、遺体の近くに落ちていた「陶器のかけら」が導く真実とは!?上川隆也、栗山千明、永井大、宮崎香蓮、和泉崇司・甲本雅裕、戸田恵子、段田安則  【ゲスト】多岐川裕美、升毅、山中崇、伊東孝明、吉谷彩子、河西健司、伊庭剛、中村彩実、窪田弘和、松本和真 ほか大石哲也匂坂力祥小田和正『小さな風景』(アリオラジャパン)【ゼネラルプロデューサー】三輪祐見子(テレビ朝日)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</si>
  <si>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鬼女"と恐れられる不動産ブローカー・東條志津子(多岐川裕美)が刺殺された。苛烈な仕事ぶりで業界内にも敵が多く、仕事絡みの線で捜査は進む。そんな中、殺害現場となった森の売買で、部下の岩田(伊東孝明)と対立していたことが判明!さらに、絶縁した息子の達也(山中崇)とも、彼が働く陶芸工房の立ち退きをめぐり反目していたことも分かる。2人の男に疑惑が向く中、遺体の近くに落ちていた「陶器のかけら」が導く真実とは!?</t>
  </si>
  <si>
    <t>番組名遺留捜査　#6</t>
  </si>
  <si>
    <t>所轄署の警察官・西岡(岩松了)が殺害された。言い争う様子や離婚届から、妻の真由美(国生さゆり)に疑惑が向く。西岡は、10年前の女子大生殺害事件で真由美の兄が逮捕されたことで、刑事課を追われていた。二つの事件によって謎が深まる中、科捜研の村木(甲本雅裕)は、事件の捜査協力を糸村(上川隆也)に依頼。村木の真意は一体…!?糸村は、“離婚届"の歪んだ文字と黒い汚れが気になる。遺留品が導く、事件の真相とは…!?上川隆也、栗山千明、永井大、宮崎香蓮、和泉崇司・甲本雅裕、戸田恵子、段田安則  【ゲスト】国生さゆり、岩松了、野村宏伸、久松信美、中西良太、森脇英理子、杉森大祐、奥深山新、北川裕介、森山くるみ、平野航平、上杉逸平 ほか大石哲也長谷川康小田和正『小さな風景』(アリオラジャパン)【ゼネラルプロデューサー】三輪祐見子(テレビ朝日)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</si>
  <si>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所轄署の警察官・西岡(岩松了)が殺害された。言い争う様子や離婚届から、妻の真由美(国生さゆり)に疑惑が向く。西岡は、10年前の女子大生殺害事件で真由美の兄が逮捕されたことで、刑事課を追われていた。二つの事件によって謎が深まる中、科捜研の村木(甲本雅裕)は、事件の捜査協力を糸村(上川隆也)に依頼。村木の真意は一体…!?糸村は、“離婚届"の歪んだ文字と黒い汚れが気になる。遺留品が導く、事件の真相とは…!?</t>
  </si>
  <si>
    <t>番組名遺留捜査　#7</t>
  </si>
  <si>
    <t>5年前に失踪した人気作家・尾上(小林隆)の遺体が、河川敷で発見された。なぜ路上生活をしていたのかは、元妻・さつき(渡辺梓)、出版社社長・野崎(湯江タケユキ)や尾上担当の塔子(大谷みつほ)、誰も知らないという。尾上のねぐらにノートはあるが、書くものが無いことに糸村(上川隆也)は引っかかる。現場近くでカウンセラーの小沼(大和田獏)を見たとの証言をつかむが、彼は否定。だが小沼の息子が、事件後行方をくらましていて…上川隆也、栗山千明、永井大、宮崎香蓮、和泉崇司・甲本雅裕、戸田恵子、段田安則  【ゲスト】大和田獏、小林隆、桜田通、湯江タケユキ、大谷みつほ、渡辺梓、曽和瑠布子、朱花 ほか山岡潤平濱龍也小田和正『小さな風景』(アリオラジャパン)【ゼネラルプロデューサー】三輪祐見子(テレビ朝日)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</si>
  <si>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5年前に失踪した人気作家・尾上(小林隆)の遺体が、河川敷で発見された。なぜ路上生活をしていたのかは、元妻・さつき(渡辺梓)、出版社社長・野崎(湯江タケユキ)や尾上担当の塔子(大谷みつほ)、誰も知らないという。尾上のねぐらにノートはあるが、書くものが無いことに糸村(上川隆也)は引っかかる。現場近くでカウンセラーの小沼(大和田獏)を見たとの証言をつかむが、彼は否定。だが小沼の息子が、事件後行方をくらましていて…</t>
  </si>
  <si>
    <t>番組名遺留捜査　#8</t>
  </si>
  <si>
    <t>イベント会社社長・柴田亜弓(小沢真珠)が絞殺された。彼女はその辣腕な仕事ぶりからハイヒールを履いた“悪魔"とまで呼ばれ、社内外は敵だらけだった。さらに、部下の川嶋由希(大野いと)がパワハラに苦しんでいた事実も発覚!手口は管内で起きている連続通り魔事件の犯行と酷似しているが、同一犯の犯行なのか?それとも、怨恨による殺人なのか…!?亜弓が履いていた遺留品「折れたピンヒール」だけが知る“悪魔"の素顔とは?上川隆也、栗山千明、永井大、宮崎香蓮、和泉崇司・甲本雅裕、戸田恵子、段田安則  【ゲスト】小沢真珠、大野いと、渋江譲二、伊藤正之、西村亜矢子、増田広司、清水章吾、菅原洋美、松永渚、七海薫子、藤井宏之、福村美桜 ほか山本むつみ兼崎涼介小田和正『小さな風景』(アリオラジャパン)【ゼネラルプロデューサー】三輪祐見子(テレビ朝日)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</si>
  <si>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イベント会社社長・柴田亜弓(小沢真珠)が絞殺された。彼女はその辣腕な仕事ぶりからハイヒールを履いた“悪魔"とまで呼ばれ、社内外は敵だらけだった。さらに、部下の川嶋由希(大野いと)がパワハラに苦しんでいた事実も発覚!手口は管内で起きている連続通り魔事件の犯行と酷似しているが、同一犯の犯行なのか?それとも、怨恨による殺人なのか…!?亜弓が履いていた遺留品「折れたピンヒール」だけが知る“悪魔"の素顔とは?</t>
  </si>
  <si>
    <t>番組名遺留捜査　#9</t>
  </si>
  <si>
    <t>黒留袖を着た女性が、結婚式場で殺害された!被害者の坂口真代(かとうかず子)は御祝儀泥棒として逮捕歴があり、他人の保険証を使い無関係な式に忍び込んでいた。また御祝儀泥棒を試みたのか?真代は職場の同僚や家族から敬遠されていたため、人付き合いが全くなかった…。なぜ式場へ向かい、そして殺されてしまったのか!?そんな中、糸村は真代の所持していた「衣類のタグ」が気になり…。遺留品が導く、最後の事件の真相とは?上川隆也、栗山千明、永井大、宮崎香蓮、和泉崇司・甲本雅裕、戸田恵子、段田安則  【ゲスト】かとうかず子、岡まゆみ、大路恵美、浜田学、若杉宏二、たかはしあいこ、椎平瑠月、角田貴志 ほか真部千晶兼崎涼介小田和正『小さな風景』(アリオラジャパン)【ゼネラルプロデューサー】三輪祐見子(テレビ朝日)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</si>
  <si>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黒留袖を着た女性が、結婚式場で殺害された!被害者の坂口真代(かとうかず子)は御祝儀泥棒として逮捕歴があり、他人の保険証を使い無関係な式に忍び込んでいた。また御祝儀泥棒を試みたのか?真代は職場の同僚や家族から敬遠されていたため、人付き合いが全くなかった…。なぜ式場へ向かい、そして殺されてしまったのか!?そんな中、糸村は真代の所持していた「衣類のタグ」が気になり…。遺留品が導く、最後の事件の真相とは?</t>
  </si>
  <si>
    <t>1707_EX_木21</t>
  </si>
  <si>
    <t>黒革の手帖</t>
  </si>
  <si>
    <t>番組名黒革の手帖　#1</t>
  </si>
  <si>
    <t>派遣行員として勤めていた銀行から1億8千万円もの大金を横領した原口元子(武井咲)は、銀座に自身のクラブ「カルネ」をオープンさせる。危険と知りながらも、自らの野望のためだけに突き進み、『黒革の手帖』を盾に政財界の大物たちと渡り合っていく。それぞれの欲望が息苦しいほど交錯する夜の街・銀座で、“派遣のオンナ"から“銀座のママ"へと華麗な転身を遂げた元子の、孤高の戦いが華やかに幕を開ける!!武井咲、江口洋介、仲里依紗、滝藤賢一、和田正人、内藤理沙・高嶋政伸・真矢ミキ・高畑淳子、奥田瑛二、伊東四朗松本清張『黒革の手帖』(新潮文庫刊)羽原大介本橋圭太福山雅治『聖域』(アミューズ/ユニバーサルJ)【ゼネラルプロデューサー】内山聖子(テレビ朝日)  【プロデューサー】中川慎子(テレビ朝日)、菊池誠(アズバーズ)、岡美鶴(アズバーズ)☆番組HP  　http://www.tv-asahi.co.jp/kurokawanotecho/  ☆Twitter  　https://twitter.com/kurokawaTVasahi/  ☆Instagram  　https://www.instagram.com/kurokawaTVasahi/</t>
  </si>
  <si>
    <t>派遣行員として勤めていた銀行から1億8千万円もの大金を横領した原口元子(武井咲)は、銀座に自身のクラブ「カルネ」をオープンさせる。危険と知りながらも、自らの野望のためだけに突き進み、『黒革の手帖』を盾に政財界の大物たちと渡り合っていく。それぞれの欲望が息苦しいほど交錯する夜の街・銀座で、“派遣のオンナ"から“銀座のママ"へと華麗な転身を遂げた元子の、孤高の戦いが華やかに幕を開ける!!</t>
  </si>
  <si>
    <t>番組名黒革の手帖　#2　拡大スペシャル</t>
  </si>
  <si>
    <t>横領した1億8千万円と借名口座のリストを記した“黒革の手帖"を武器に、原口元子(武井咲)は銀座にクラブ『カルネ』をオープンさせた。ほどなくして、元同僚の山田波子(仲里依紗)が元子の店で働くことに。入店早々、楢林クリニック院長・楢林謙治(奥田瑛二)に見初められるが、次第に親密になっていく二人に元子は一抹の不安を感じ、ある策を講じる。楢林クリニック看護師長・中岡市子(高畑淳子)を呼び出し…武井咲、江口洋介、仲里依紗、滝藤賢一、和田正人、内藤理沙・高嶋政伸・真矢ミキ・高畑淳子、奥田瑛二、伊東四朗松本清張『黒革の手帖』(新潮文庫刊)羽原大介本橋圭太福山雅治『聖域』(アミューズ/ユニバーサルJ)【ゼネラルプロデューサー】内山聖子(テレビ朝日)  【プロデューサー】中川慎子(テレビ朝日)、菊池誠(アズバーズ)、岡美鶴(アズバーズ)☆番組HP  　http://www.tv-asahi.co.jp/kurokawanotecho/  ☆Twitter  　https://twitter.com/kurokawaTVasahi/  ☆Instagram  　https://www.instagram.com/kurokawaTVasahi/</t>
  </si>
  <si>
    <t>横領した1億8千万円と借名口座のリストを記した“黒革の手帖"を武器に、原口元子(武井咲)は銀座にクラブ『カルネ』をオープンさせた。ほどなくして、元同僚の山田波子(仲里依紗)が元子の店で働くことに。入店早々、楢林クリニック院長・楢林謙治(奥田瑛二)に見初められるが、次第に親密になっていく二人に元子は一抹の不安を感じ、ある策を講じる。楢林クリニック看護師長・中岡市子(高畑淳子)を呼び出し…</t>
  </si>
  <si>
    <t>番組名黒革の手帖　#3</t>
  </si>
  <si>
    <t>原口元子(武井咲)の妨害により、銀座に新店を出す計画が頓挫した山田波子(仲里依紗)は、元子を潰そうと動き始める。一方、上星ゼミナールの理事長・橋田常雄(高嶋政伸)は、元子を自分のものにしようとあらゆる手を使うが、相手にしてもらえず嫉妬心を募らせていく。ある日、突然『カルネ』に東林銀行の元上司・村井亨(滝藤賢一)がやってきて…?  元子に蹴落とされた者たちが、銀座の街で暴走する!!武井咲、江口洋介、仲里依紗、滝藤賢一、和田正人、内藤理沙・高嶋政伸・真矢ミキ・高畑淳子、奥田瑛二、伊東四朗松本清張『黒革の手帖』(新潮文庫刊)羽原大介本橋圭太、片山修(テレビ朝日)福山雅治『聖域』(アミューズ/ユニバーサルJ)【ゼネラルプロデューサー】内山聖子(テレビ朝日)  【プロデューサー】中川慎子(テレビ朝日)、菊池誠(アズバーズ)、岡美鶴(アズバーズ)☆番組HP  　http://www.tv-asahi.co.jp/kurokawanotecho/  ☆Twitter  　https://twitter.com/kurokawaTVasahi/  ☆Instagram  　https://www.instagram.com/kurokawaTVasahi/</t>
  </si>
  <si>
    <t>原口元子(武井咲)の妨害により、銀座に新店を出す計画が頓挫した山田波子(仲里依紗)は、元子を潰そうと動き始める。一方、上星ゼミナールの理事長・橋田常雄(高嶋政伸)は、元子を自分のものにしようとあらゆる手を使うが、相手にしてもらえず嫉妬心を募らせていく。ある日、突然『カルネ』に東林銀行の元上司・村井亨(滝藤賢一)がやってきて…?  元子に蹴落とされた者たちが、銀座の街で暴走する!!</t>
  </si>
  <si>
    <t>番組名黒革の手帖　#4</t>
  </si>
  <si>
    <t>銀座のクラブの最高峰である『ルダン』が売りに出されると耳にした原口元子(武井咲)は、次なる一手に思いを巡らせていた。予備校理事長・橋田常雄(高嶋政伸)は元子を一泊二日の温泉旅行に誘うが、安島富夫(江口洋介)に気がある様子の元子に嫉妬心を掻き立てられ、無理矢理自分のものにしようと襲い掛かる…。  銀座の全てを支配するため、元子はある計画を決意。最強悪女の第二章が、ついに幕を開ける!!武井咲、江口洋介、仲里依紗、滝藤賢一、和田正人、内藤理沙・高嶋政伸・真矢ミキ・高畑淳子、奥田瑛二、伊東四朗松本清張『黒革の手帖』(新潮文庫刊)羽原大介片山修(テレビ朝日)福山雅治『聖域』(アミューズ/ユニバーサルJ)【ゼネラルプロデューサー】内山聖子(テレビ朝日)  【プロデューサー】中川慎子(テレビ朝日)、菊池誠(アズバーズ)、岡美鶴(アズバーズ)☆番組HP  　http://www.tv-asahi.co.jp/kurokawanotecho/  ☆Twitter  　https://twitter.com/kurokawaTVasahi/  ☆Instagram  　https://www.instagram.com/kurokawaTVasahi/</t>
  </si>
  <si>
    <t>銀座のクラブの最高峰である『ルダン』が売りに出されると耳にした原口元子(武井咲)は、次なる一手に思いを巡らせていた。予備校理事長・橋田常雄(高嶋政伸)は元子を一泊二日の温泉旅行に誘うが、安島富夫(江口洋介)に気がある様子の元子に嫉妬心を掻き立てられ、無理矢理自分のものにしようと襲い掛かる…。  銀座の全てを支配するため、元子はある計画を決意。最強悪女の第二章が、ついに幕を開ける!!</t>
  </si>
  <si>
    <t>番組名黒革の手帖　#5</t>
  </si>
  <si>
    <t>予備校理事長・橋田常雄(高嶋政伸)の裏口入学斡旋者リストを手に入れた原口元子(武井咲)は、銀座の最高峰クラブ『ルダン』を買い取るため、計画を実行に移す決意をする。一方、議員選挙に出馬しようとしていた安島富夫(江口洋介)は、自らの夢を叶えようと、恩人を裏切る驚きの行動をとっていた…。  それぞれの欲望が渦巻く銀座の街で、さらなる高みを目指す悪女と怪物たちの凄まじいバトルがさらに勢いを増していく!武井咲、江口洋介、仲里依紗、滝藤賢一、和田正人、内藤理沙・高嶋政伸・真矢ミキ・高畑淳子、奥田瑛二、伊東四朗松本清張『黒革の手帖』(新潮文庫刊)羽原大介本橋圭太福山雅治『聖域』(アミューズ/ユニバーサルJ)【ゼネラルプロデューサー】内山聖子(テレビ朝日)  【プロデューサー】中川慎子(テレビ朝日)、菊池誠(アズバーズ)、岡美鶴(アズバーズ)☆番組HP  　http://www.tv-asahi.co.jp/kurokawanotecho/  ☆Twitter  　https://twitter.com/kurokawaTVasahi/  ☆Instagram  　https://www.instagram.com/kurokawaTVasahi/</t>
  </si>
  <si>
    <t>予備校理事長・橋田常雄(高嶋政伸)の裏口入学斡旋者リストを手に入れた原口元子(武井咲)は、銀座の最高峰クラブ『ルダン』を買い取るため、計画を実行に移す決意をする。一方、議員選挙に出馬しようとしていた安島富夫(江口洋介)は、自らの夢を叶えようと、恩人を裏切る驚きの行動をとっていた…。  それぞれの欲望が渦巻く銀座の街で、さらなる高みを目指す悪女と怪物たちの凄まじいバトルがさらに勢いを増していく!</t>
  </si>
  <si>
    <t>番組名黒革の手帖　#6</t>
  </si>
  <si>
    <t>長谷川庄治(伊東四朗)から銀座の最高峰クラブ『ルダン』を買い取るため、原口元子(武井咲)は手付金の5千万円を支払い、売買契約書を交わす。しかし、その矢先、次々と驚愕の事実がもたらされる!橋田常雄(高嶋政伸)から奪ったはずの料亭『梅村』が…。クラブ『カルネ』に、失脚したはずの村井亨(滝藤賢一)が…。追い打ちをかけるように、元子の自宅に何者かが侵入してきて…!?果たして、最強悪女を待ち受ける運命とは…武井咲、江口洋介、仲里依紗、滝藤賢一、和田正人、内藤理沙・高嶋政伸・真矢ミキ・高畑淳子、奥田瑛二、伊東四朗松本清張『黒革の手帖』(新潮文庫刊)羽原大介片山修(テレビ朝日)福山雅治『聖域』(アミューズ/ユニバーサルJ)【ゼネラルプロデューサー】内山聖子(テレビ朝日)  【プロデューサー】中川慎子(テレビ朝日)、菊池誠(アズバーズ)、岡美鶴(アズバーズ)☆番組HP  　http://www.tv-asahi.co.jp/kurokawanotecho/  ☆Twitter  　https://twitter.com/kurokawaTVasahi/  ☆Instagram  　https://www.instagram.com/kurokawaTVasahi/</t>
  </si>
  <si>
    <t>長谷川庄治(伊東四朗)から銀座の最高峰クラブ『ルダン』を買い取るため、原口元子(武井咲)は手付金の5千万円を支払い、売買契約書を交わす。しかし、その矢先、次々と驚愕の事実がもたらされる!橋田常雄(高嶋政伸)から奪ったはずの料亭『梅村』が…。クラブ『カルネ』に、失脚したはずの村井亨(滝藤賢一)が…。追い打ちをかけるように、元子の自宅に何者かが侵入してきて…!?果たして、最強悪女を待ち受ける運命とは…</t>
  </si>
  <si>
    <t>番組名黒革の手帖　#7</t>
  </si>
  <si>
    <t>契約金の残金を支払えなかったことで『ルダン』を手に入れることはおろか、『カルネ』までも差し押さえられてしまった原口元子(武井咲)。さらに黒革の手帖も奪われ、文字通りすべてを失ってしまう。『燭台』の叡子ママ(真矢ミキ)にまで「ルールを破った女に居場所はない」と冷たく言い放たれ、追い討ちをかけるようにさらなる不幸が舞い込んでくる。絶体絶命に追い込まれた元子が、選択する道とは…?武井咲、江口洋介、仲里依紗、滝藤賢一、和田正人、内藤理沙・高嶋政伸・真矢ミキ・高畑淳子、奥田瑛二、伊東四朗松本清張『黒革の手帖』(新潮文庫刊)羽原大介本橋圭太福山雅治『聖域』(アミューズ/ユニバーサルJ)【ゼネラルプロデューサー】内山聖子(テレビ朝日)  【プロデューサー】中川慎子(テレビ朝日)、菊池誠(アズバーズ)、岡美鶴(アズバーズ)☆番組HP  　http://www.tv-asahi.co.jp/kurokawanotecho/  ☆Twitter  　https://twitter.com/kurokawaTVasahi/  ☆Instagram  　https://www.instagram.com/kurokawaTVasahi/</t>
  </si>
  <si>
    <t>契約金の残金を支払えなかったことで『ルダン』を手に入れることはおろか、『カルネ』までも差し押さえられてしまった原口元子(武井咲)。さらに黒革の手帖も奪われ、文字通りすべてを失ってしまう。『燭台』の叡子ママ(真矢ミキ)にまで「ルールを破った女に居場所はない」と冷たく言い放たれ、追い討ちをかけるようにさらなる不幸が舞い込んでくる。絶体絶命に追い込まれた元子が、選択する道とは…?</t>
  </si>
  <si>
    <t>番組名黒革の手帖　#8</t>
  </si>
  <si>
    <t>安島富夫(江口洋介)から渡された封筒を手に、もう一度、長谷川庄治(伊東四朗)に会う約束を取り付けた原口元子(武井咲)。何度どん底に突き落とされても諦めず『カルネ』の権利を返すよう迫る元子に、観念した長谷川が覚書にサインをしたその時、思いがけない事態が起こり…?銀座に舞い戻った元子は、これまで通りの日々が続いていくかのように思えたが、その裏ではあの怪物たちも自らの居場所を求め、うごめきだしていた…。武井咲、江口洋介、仲里依紗、滝藤賢一、和田正人、内藤理沙・高嶋政伸・真矢ミキ・高畑淳子、奥田瑛二、伊東四朗松本清張『黒革の手帖』(新潮文庫刊)羽原大介本橋圭太福山雅治『聖域』(アミューズ/ユニバーサルJ)【ゼネラルプロデューサー】内山聖子(テレビ朝日)  【プロデューサー】中川慎子(テレビ朝日)、菊池誠(アズバーズ)、岡美鶴(アズバーズ)☆番組HP  　http://www.tv-asahi.co.jp/kurokawanotecho/  ☆Twitter  　https://twitter.com/kurokawaTVasahi/  ☆Instagram  　https://www.instagram.com/kurokawaTVasahi/</t>
  </si>
  <si>
    <t>安島富夫(江口洋介)から渡された封筒を手に、もう一度、長谷川庄治(伊東四朗)に会う約束を取り付けた原口元子(武井咲)。何度どん底に突き落とされても諦めず『カルネ』の権利を返すよう迫る元子に、観念した長谷川が覚書にサインをしたその時、思いがけない事態が起こり…?銀座に舞い戻った元子は、これまで通りの日々が続いていくかのように思えたが、その裏ではあの怪物たちも自らの居場所を求め、うごめきだしていた…。</t>
  </si>
  <si>
    <t>1707_EX_金23</t>
  </si>
  <si>
    <t>あいの結婚相談所</t>
  </si>
  <si>
    <t>番組名あいの結婚相談所　#1　成婚率100%!?毒舌ヒーローが男女を結ぶ!</t>
  </si>
  <si>
    <t>【結婚サギ!? エリート証券マン×土地持ち美女!!】  元動物行動学者の所長・藍野真伍(山崎育三郎)や依頼者にすぐ惚れてしまうシスター・エリザベス(高梨臨)など、個性豊かな面々が働く『あいの結婚相談所』に横田(加藤晴彦)がやってきた。結婚相手の条件は「一緒に自然の中で過ごせる人」。藍野は運命の相手に瑞絵(市川由衣)を選び出すが…。一方、別の依頼者である会社社長・里子(小沢真珠)の行動に問題が発覚する!藍野真伍…山崎育三郎  シスター・エリザベス…高梨臨  都築賢一郎…鹿賀丈史  土師野郁江…前田美波里  真壁男夢…中尾暢樹  橘シャーロット麻理子…山賀琴子  【第1話ゲスト】  加藤晴彦、市川由衣、小沢真珠加藤山羊・矢樹純『あいの結婚相談所』(小学館ビッグコミックス刊)徳尾浩司星野和成金子隆博    【テーマソング】  山崎育三郎『Congratulations』『あいのデータ』(ユニバーサル ミュージック)【ゼネラルプロデューサー】横地郁英(テレビ朝日)  【プロデューサー】竹園元(テレビ朝日)、川島誠史(テレビ朝日)、木曽貴美子(MMJ)☆番組HP  　http://www.tv-asahi.co.jp/aino/  ☆Twitter  　https://twitter.com/aino_tvasahi  ☆Instagram  　https://www.instagram.com/aino_tvasahi/</t>
  </si>
  <si>
    <t>【結婚サギ!? エリート証券マン×土地持ち美女!!】  元動物行動学者の所長・藍野真伍(山崎育三郎)や依頼者にすぐ惚れてしまうシスター・エリザベス(高梨臨)など、個性豊かな面々が働く『あいの結婚相談所』に横田(加藤晴彦)がやってきた。結婚相手の条件は「一緒に自然の中で過ごせる人」。藍野は運命の相手に瑞絵(市川由衣)を選び出すが…。一方、別の依頼者である会社社長・里子(小沢真珠)の行動に問題が発覚する!</t>
  </si>
  <si>
    <t>番組名あいの結婚相談所　#2　運命の人はストーカー男!?</t>
  </si>
  <si>
    <t>『あいの結婚相談所』に保育士の有希(釈由美子)がやってきた。ストーカー被害に悩む有希の条件は「私を守ってくれる人」。藍野(山崎育三郎)はシスター・エリザベス(高梨臨)に有希を守るよう指示し、運命の相手に奥崎(柏原収史)を選び出す。奥崎は、有希に託児所となる物件を紹介した不動産マンだった。一方でストーカー行為はエスカレート、ついにはマンションでボヤ騒ぎが起こり、その現場で不審な奥崎の姿が目撃され…!藍野真伍…山崎育三郎  シスター・エリザベス…高梨臨  都築賢一郎…鹿賀丈史  土師野郁江…前田美波里  真壁男夢…中尾暢樹  橘シャーロット麻理子…山賀琴子  【第2話ゲスト】  園田有希…釈由美子  奥崎亮輔…柏原収史加藤山羊・矢樹純『あいの結婚相談所』(小学館ビッグコミックス刊)徳尾浩司星野和成金子隆博    【テーマソング】  山崎育三郎『Congratulations』『あいのデータ』(ユニバーサル ミュージック)【ゼネラルプロデューサー】横地郁英(テレビ朝日)  【プロデューサー】竹園元(テレビ朝日)、川島誠史(テレビ朝日)、木曽貴美子(MMJ)☆番組HP  　http://www.tv-asahi.co.jp/aino/  ☆Twitter  　https://twitter.com/aino_tvasahi  ☆Instagram  　https://www.instagram.com/aino_tvasahi/</t>
  </si>
  <si>
    <t>『あいの結婚相談所』に保育士の有希(釈由美子)がやってきた。ストーカー被害に悩む有希の条件は「私を守ってくれる人」。藍野(山崎育三郎)はシスター・エリザベス(高梨臨)に有希を守るよう指示し、運命の相手に奥崎(柏原収史)を選び出す。奥崎は、有希に託児所となる物件を紹介した不動産マンだった。一方でストーカー行為はエスカレート、ついにはマンションでボヤ騒ぎが起こり、その現場で不審な奥崎の姿が目撃され…!</t>
  </si>
  <si>
    <t>番組名あいの結婚相談所　#3　新旧アイドル壮絶バトル!!</t>
  </si>
  <si>
    <t>藍野とシスター・エリザベス(高梨臨)が、元アイドルで女優の祥子(内山理名)の前に現れた!祥子のファンである藍野は、入会金200万円を特別に0円で運命の相手を見つけると約束。祥子の条件は「自分がアイドルだったことを知らない人」。藍野は条件に合う奈良を紹介。祥子も次第に惹かれていたある日、奈良とタレント・絵理との密会現場を目撃してしまい…!一方、藍野の前に謎の美女(中村アン)が現れて、藍野を誘惑し…!?藍野真伍…山崎育三郎  シスター・エリザベス…高梨臨  都築賢一郎…鹿賀丈史  土師野郁江…前田美波里  金城麗美…中村アン  真壁男夢…中尾暢樹  橘シャーロット麻理子…山賀琴子  【第3話ゲスト】  小津祥子…内山理名  奈良一雄…金井勇太加藤山羊・矢樹純『あいの結婚相談所』(小学館ビッグコミックス刊)矢島弘一小松隆志金子隆博    【テーマソング】  山崎育三郎『Congratulations』『あいのデータ』(ユニバーサル ミュージック)【ゼネラルプロデューサー】横地郁英(テレビ朝日)  【プロデューサー】竹園元(テレビ朝日)、川島誠史(テレビ朝日)、木曽貴美子(MMJ)※この番組は放送時間が変更になる場合があります    ☆番組HP  　http://www.tv-asahi.co.jp/aino/  ☆Twitter  　https://twitter.com/aino_tvasahi  ☆Instagram  　https://www.instagram.com/aino_tvasahi/</t>
  </si>
  <si>
    <t>藍野とシスター・エリザベス(高梨臨)が、元アイドルで女優の祥子(内山理名)の前に現れた!祥子のファンである藍野は、入会金200万円を特別に0円で運命の相手を見つけると約束。祥子の条件は「自分がアイドルだったことを知らない人」。藍野は条件に合う奈良を紹介。祥子も次第に惹かれていたある日、奈良とタレント・絵理との密会現場を目撃してしまい…!一方、藍野の前に謎の美女(中村アン)が現れて、藍野を誘惑し…!?</t>
  </si>
  <si>
    <t>番組名あいの結婚相談所　#4　修羅場の女子マラソン!花嫁ランナーVS悪女</t>
  </si>
  <si>
    <t>シスター・エリザベス(高梨臨)はある夜、謎の美女・麗美(中村アン)にあやしく言い寄られる結婚相談所所長・藍野(山崎育三郎)を目撃する…!一方相談所には、結婚間近のマラソンランナー・路子(谷村美月)が涙ぐみながらやってきた。相手の美濃(大東駿介)から突然婚約破棄を言い渡されたという。しかも別れの理由が麗美の略奪婚と知り、納得いかない路子は麗美を相手にとんでもない賭けに出て…!?美女2人の壮絶バトル!藍野真伍…山崎育三郎  シスター・エリザベス…高梨臨  都築賢一郎…鹿賀丈史  土師野郁江…前田美波里  金城麗美…中村アン  真壁男夢…中尾暢樹  橘シャーロット麻理子…山賀琴子  【第4話ゲスト】  長峰路子…谷村美月  美濃大悟…大東駿介  澤田伸也…染谷俊之加藤山羊・矢樹純『あいの結婚相談所』(小学館ビッグコミックス刊)徳尾浩司小松隆志金子隆博    【テーマソング】  山崎育三郎『Congratulations』『あいのデータ』(ユニバーサル ミュージック)【ゼネラルプロデューサー】横地郁英(テレビ朝日)  【プロデューサー】竹園元(テレビ朝日)、川島誠史(テレビ朝日)、木曽貴美子(MMJ)※この番組は放送時間が変更になる場合があります    ☆番組HP  　http://www.tv-asahi.co.jp/aino/  ☆Twitter  　https://twitter.com/aino_tvasahi  ☆Instagram  　https://www.instagram.com/aino_tvasahi/</t>
  </si>
  <si>
    <t>シスター・エリザベス(高梨臨)はある夜、謎の美女・麗美(中村アン)にあやしく言い寄られる結婚相談所所長・藍野(山崎育三郎)を目撃する…!一方相談所には、結婚間近のマラソンランナー・路子(谷村美月)が涙ぐみながらやってきた。相手の美濃(大東駿介)から突然婚約破棄を言い渡されたという。しかも別れの理由が麗美の略奪婚と知り、納得いかない路子は麗美を相手にとんでもない賭けに出て…!?美女2人の壮絶バトル!</t>
  </si>
  <si>
    <t>番組名あいの結婚相談所　#5　婚活荒らしの六マタ女×お坊さん!衝撃の結末!</t>
  </si>
  <si>
    <t>イケメン僧侶の磯山(石黒英雄)が『あいの結婚相談所』にやってきた。所長の藍野(山崎育三郎)は磯山の条件に合う亜美(中村静香)を紹介するが、シスター・エリザベス(高梨臨)の調べにより、亜美は次から次に男たちを手玉にとり金品を手に入れる、六マタ婚活荒らし女であることが明らかに!しかし、その間にも亜美と磯山の関係は急速に発展していってしまい…?そして、最後に待ち受ける衝撃の大どんでん返しとは!?藍野真伍…山崎育三郎  シスター・エリザベス…高梨臨  都築賢一郎…鹿賀丈史  土師野郁江…前田美波里  金城麗美…中村アン  真壁男夢…中尾暢樹  橘シャーロット麻理子…山賀琴子  【第5話ゲスト】  御子柴亜美…中村静香  磯山昌尚…石黒英雄加藤山羊・矢樹純『あいの結婚相談所』(小学館ビッグコミックス刊)徳尾浩司星野和成金子隆博    【テーマソング】  山崎育三郎『Congratulations』『あいのデータ』(ユニバーサル ミュージック)【ゼネラルプロデューサー】横地郁英(テレビ朝日)  【プロデューサー】竹園元(テレビ朝日)、川島誠史(テレビ朝日)、木曽貴美子(MMJ)☆番組HP  　http://www.tv-asahi.co.jp/aino/  ☆Twitter  　https://twitter.com/aino_tvasahi  ☆Instagram  　https://www.instagram.com/aino_tvasahi/</t>
  </si>
  <si>
    <t>イケメン僧侶の磯山(石黒英雄)が『あいの結婚相談所』にやってきた。所長の藍野(山崎育三郎)は磯山の条件に合う亜美(中村静香)を紹介するが、シスター・エリザベス(高梨臨)の調べにより、亜美は次から次に男たちを手玉にとり金品を手に入れる、六マタ婚活荒らし女であることが明らかに!しかし、その間にも亜美と磯山の関係は急速に発展していってしまい…?そして、最後に待ち受ける衝撃の大どんでん返しとは!?</t>
  </si>
  <si>
    <t>番組名あいの結婚相談所　最終回　花嫁逃亡!?「愛」の結末!!</t>
  </si>
  <si>
    <t>社長令嬢の香奈(黒川智花)は『あいの結婚相談所』に来るなり「私、結婚したくないんです!」と訴え、藍野所長やシスター・エリザベス(高梨臨)らも驚く。母・あかり(山村紅葉)が政略結婚を強引に進める一方、結婚相手は自分で見つけたいと願う香奈。藍野は宮城在住の公務員を紹介するが、あかりの猛烈な妨害を受け、成婚率100%を誇る相談所に最大の危機が訪れる!そしてメンバーに意外な結末が!ついに迎える衝撃の最終回!藍野真伍…山崎育三郎  シスター・エリザベス…高梨臨  都築賢一郎…鹿賀丈史  土師野郁江…前田美波里  金城麗美…中村アン  真壁男夢…中尾暢樹  橘シャーロット麻理子…山賀琴子  【最終回ゲスト】  澤峰香奈…黒川智花  長田達夫…本多力  澤峰あかり…山村紅葉加藤山羊・矢樹純『あいの結婚相談所』(小学館ビッグコミックス刊)清水友佳子・徳尾浩司竹園元(テレビ朝日)金子隆博    【テーマソング】  山崎育三郎『Congratulations』『あいのデータ』(ユニバーサル ミュージック)【ゼネラルプロデューサー】横地郁英(テレビ朝日)  【プロデューサー】竹園元(テレビ朝日)、川島誠史(テレビ朝日)、木曽貴美子(MMJ)☆番組HP  　http://www.tv-asahi.co.jp/aino/  ☆Twitter  　https://twitter.com/aino_tvasahi  ☆Instagram  　https://www.instagram.com/aino_tvasahi/</t>
  </si>
  <si>
    <t>社長令嬢の香奈(黒川智花)は『あいの結婚相談所』に来るなり「私、結婚したくないんです!」と訴え、藍野所長やシスター・エリザベス(高梨臨)らも驚く。母・あかり(山村紅葉)が政略結婚を強引に進める一方、結婚相手は自分で見つけたいと願う香奈。藍野は宮城在住の公務員を紹介するが、あかりの猛烈な妨害を受け、成婚率100%を誇る相談所に最大の危機が訪れる!そしてメンバーに意外な結末が!ついに迎える衝撃の最終回!</t>
  </si>
  <si>
    <t>1704_EX_木21</t>
  </si>
  <si>
    <t>宅配便の配達車の中で、なぜか“傘をさした"男の遺体が見つかった。死因は薬物による中毒死。そんな中、天涯孤独の77歳の老女・民子(三田佳子)が自首してくる。ところが、民子は数時間後には自首した記憶さえ曖昧に!?手ごわい被疑者をキントリ(=緊急事案対応取調班)が取り調べすることに。民子と向き合った真壁有希子(天海祐希)は、思わぬ苦戦を強いられる。有希子は、民子の深層心理と真実へつながる突破口を開こうとするが…天海祐希、田中哲司、速水もこみち、鈴木浩介、大倉孝二、でんでん、大杉漣、小日向文世  【第1話ゲスト】三田佳子井上由美子常廣丈太(テレビ朝日)林ゆうきAI『最後は必ず正義が勝つ』(ユニバーサル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</si>
  <si>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宅配便の配達車の中で、なぜか“傘をさした"男の遺体が見つかった。死因は薬物による中毒死。そんな中、天涯孤独の77歳の老女・民子(三田佳子)が自首してくる。ところが、民子は数時間後には自首した記憶さえ曖昧に!?手ごわい被疑者をキントリ(=緊急事案対応取調班)が取り調べすることに。民子と向き合った真壁有希子(天海祐希)は、思わぬ苦戦を強いられる。有希子は、民子の深層心理と真実へつながる突破口を開こうとするが…</t>
  </si>
  <si>
    <t>深夜の病院で人工呼吸器につながれた患者・高木の容態が急変。当直医の糸山(福士誠治)が処置に当たるが、看護師が家族を呼びに病室に戻ると人工呼吸器を外され絶命した高木に、なぜか糸山が靴下を履かせていた。糸山は殺害容疑で逮捕されるが、一貫して否認。看護師が戻るまでの『空白の9分間』に何があったのか?取り調べのため、警察官・宮沢(村田雄浩)が糸山をキントリに連れてくる。だが、聴取を終えた直後、緊急事態が起こる天海祐希、田中哲司、速水もこみち、鈴木浩介、大倉孝二、でんでん、大杉漣、小日向文世  【第2話ゲスト】福士誠治、村田雄浩井上由美子常廣丈太(テレビ朝日)林ゆうきAI『最後は必ず正義が勝つ』(ユニバーサル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</si>
  <si>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深夜の病院で人工呼吸器につながれた患者・高木の容態が急変。当直医の糸山(福士誠治)が処置に当たるが、看護師が家族を呼びに病室に戻ると人工呼吸器を外され絶命した高木に、なぜか糸山が靴下を履かせていた。糸山は殺害容疑で逮捕されるが、一貫して否認。看護師が戻るまでの『空白の9分間』に何があったのか?取り調べのため、警察官・宮沢(村田雄浩)が糸山をキントリに連れてくる。だが、聴取を終えた直後、緊急事態が起こる</t>
  </si>
  <si>
    <t>建築会社社長・小泉正隆(入江雅人)の自宅プールで男の遺体が見つかった。正隆も妻のマユミ(酒井美紀)も、男を知らないと言う。すると「死ね!」という甲高い声が聞こえてきた。声の主はペットのオウム…。現場に残された血痕から夫婦は警察に連行されるが、互いが自分の犯行だと主張し…。被害者の身元が判明すると、彼らが大きな嘘をついていることが明らかに。有希子(天海祐希)らは、なんと目撃者のオウムを取り調べることに…天海祐希、田中哲司、速水もこみち、鈴木浩介、大倉孝二、でんでん、大杉漣、小日向文世  【第3話ゲスト】酒井美紀、入江雅人 ほか井上由美子本橋圭太(アズバーズ)林ゆうきAI『最後は必ず正義が勝つ』(ユニバーサル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</si>
  <si>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建築会社社長・小泉正隆(入江雅人)の自宅プールで男の遺体が見つかった。正隆も妻のマユミ(酒井美紀)も、男を知らないと言う。すると「死ね!」という甲高い声が聞こえてきた。声の主はペットのオウム…。現場に残された血痕から夫婦は警察に連行されるが、互いが自分の犯行だと主張し…。被害者の身元が判明すると、彼らが大きな嘘をついていることが明らかに。有希子(天海祐希)らは、なんと目撃者のオウムを取り調べることに…</t>
  </si>
  <si>
    <t>担任の沢本愛(矢田亜希子)の授業中に、生徒の春日俊介が倒れ、意識不明の重体に。俊介が青酸ソーダを飲んだことは分かるが、入手経路や動機が明らかにならない。有希子(天海祐希)らキントリは、生徒29人全員の取り調べをすることに。だが、沢本が何かと横槍を入れてきてうまくいかない。疑問を持った有希子は、中田(大杉漣)と俊介の家を訪問。しかし、母親の愛(森尾由美)は、沢本のことをよく思っておらず…天海祐希、田中哲司、速水もこみち、鈴木浩介、大倉孝二、でんでん、大杉漣、小日向文世  【第4話ゲスト】矢田亜希子、森尾由美井上由美子本橋圭太林ゆうきAI『最後は必ず正義が勝つ』(ユニバーサル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</si>
  <si>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担任の沢本愛(矢田亜希子)の授業中に、生徒の春日俊介が倒れ、意識不明の重体に。俊介が青酸ソーダを飲んだことは分かるが、入手経路や動機が明らかにならない。有希子(天海祐希)らキントリは、生徒29人全員の取り調べをすることに。だが、沢本が何かと横槍を入れてきてうまくいかない。疑問を持った有希子は、中田(大杉漣)と俊介の家を訪問。しかし、母親の愛(森尾由美)は、沢本のことをよく思っておらず…</t>
  </si>
  <si>
    <t>オフィス街をうろうろ歩いていた血まみれの男。その男は、会社員の水越(塚本高史)だと判明。水越は、「昨夜10時に退勤してから、今朝目覚めるまでの記憶がない…」と主張。珍しく、渡辺(速水もこみち)と監物(鈴木浩介)が取り調べを名乗り出るも、失敗…。有希子(天海祐希)らキントリが交代をするが、二転三転する水越の供述に翻弄される。しかし、水越が事件の夜の記憶を徐々に取り戻し始め、捜査は大きく動き出す!!天海祐希、田中哲司、速水もこみち、鈴木浩介、大倉孝二、でんでん、大杉漣、小日向文世  【第5話ゲスト】塚本高史、入山杏奈(AKB48)井上由美子常廣丈太(テレビ朝日)林ゆうきAI『最後は必ず正義が勝つ』(ユニバーサル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</si>
  <si>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オフィス街をうろうろ歩いていた血まみれの男。その男は、会社員の水越(塚本高史)だと判明。水越は、「昨夜10時に退勤してから、今朝目覚めるまでの記憶がない…」と主張。珍しく、渡辺(速水もこみち)と監物(鈴木浩介)が取り調べを名乗り出るも、失敗…。有希子(天海祐希)らキントリが交代をするが、二転三転する水越の供述に翻弄される。しかし、水越が事件の夜の記憶を徐々に取り戻し始め、捜査は大きく動き出す!!</t>
  </si>
  <si>
    <t>マンションから飛び降り自殺をした女性銀行員。飛び降りる最中に電話をしていた相手・ネイリストの恭子(鶴田真由)が疑われる。恭子の顧客が過去に2人、彼女に多額の融資をした後に自殺していた。有希子(天海祐希)らは、恭子の取り調べをするが、どんなアプローチをしても平然と受け答えをする。しかも、シングルマザーであることを見破られ、ペースを乱される有希子は、梶山(田中哲司)から厳しくたしなめられてしまい…天海祐希、田中哲司、速水もこみち、鈴木浩介、大倉孝二、でんでん、大杉漣、小日向文世  【第6話ゲスト】鶴田真由井上由美子本橋圭太(アズバーズ)林ゆうきAI『最後は必ず正義が勝つ』(ユニバーサル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</si>
  <si>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マンションから飛び降り自殺をした女性銀行員。飛び降りる最中に電話をしていた相手・ネイリストの恭子(鶴田真由)が疑われる。恭子の顧客が過去に2人、彼女に多額の融資をした後に自殺していた。有希子(天海祐希)らは、恭子の取り調べをするが、どんなアプローチをしても平然と受け答えをする。しかも、シングルマザーであることを見破られ、ペースを乱される有希子は、梶山(田中哲司)から厳しくたしなめられてしまい…</t>
  </si>
  <si>
    <t>通販会社のやり手女課長・理香(上野なつひ)の遺体が女子更衣室で見つかった。理香のバッグが発見され、現金が盗まれていたことが判明。強盗の線も浮上するが、社内の防犯カメラには不審人物は映っていなかった。同部署のパート従業員、かずえ(田中美奈子)、聡子(阿知波悟美)、愛美(西原亜希)に話を聞く有希子(天海祐希)は、お互いの悪口は言い合うのに、理香のことは口裏を合わせたように褒め称える点を不自然に思い…天海祐希、田中哲司、速水もこみち、鈴木浩介、大倉孝二、でんでん、大杉漣、小日向文世  【第7話ゲスト】田中美奈子、阿知波悟美、西原亜希井上由美子本橋圭太(アズバーズ)林ゆうきAI『最後は必ず正義が勝つ』(ユニバーサル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</si>
  <si>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通販会社のやり手女課長・理香(上野なつひ)の遺体が女子更衣室で見つかった。理香のバッグが発見され、現金が盗まれていたことが判明。強盗の線も浮上するが、社内の防犯カメラには不審人物は映っていなかった。同部署のパート従業員、かずえ(田中美奈子)、聡子(阿知波悟美)、愛美(西原亜希)に話を聞く有希子(天海祐希)は、お互いの悪口は言い合うのに、理香のことは口裏を合わせたように褒め称える点を不自然に思い…</t>
  </si>
  <si>
    <t>警察官を襲った喪服を着た男2人組…現行犯逮捕された男(鶴見辰吾)は、氏名も年齢も不明。キントリは男の取り調べを行うが、どんな揺さぶりにも乗らず、完全黙秘を続ける。そんな中、警察官の証言で、逃走しているもう1人の男のモンタージュが完成。その顔を見た有希子(天海祐希)は息をのむ…。その矢先、盗まれた拳銃が使われて弁護士の滝沢(渡辺真起子)が脚を撃たれてしまい、キントリも追い込まれていく…天海祐希、田中哲司、速水もこみち、鈴木浩介、大倉孝二、でんでん、大杉漣、小日向文世  【第8話ゲスト】鶴見辰吾、眞島秀和、渡辺真起子井上由美子常廣丈太(テレビ朝日)林ゆうきAI『最後は必ず正義が勝つ』(ユニバーサル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</si>
  <si>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警察官を襲った喪服を着た男2人組…現行犯逮捕された男(鶴見辰吾)は、氏名も年齢も不明。キントリは男の取り調べを行うが、どんな揺さぶりにも乗らず、完全黙秘を続ける。そんな中、警察官の証言で、逃走しているもう1人の男のモンタージュが完成。その顔を見た有希子(天海祐希)は息をのむ…。その矢先、盗まれた拳銃が使われて弁護士の滝沢(渡辺真起子)が脚を撃たれてしまい、キントリも追い込まれていく…</t>
  </si>
  <si>
    <t>有希子(天海祐希)が磐城(大倉孝二)をかばって被弾した。撃ったのは警察官から拳銃を奪った2人組のひとり・峰岸(眞島秀和)で、有希子の亡き夫にそっくりな男だった。逃走する峰岸…一方、勾留中の久保寺(鶴見辰吾)は何も語らない。有希子は自ら志願して取り調べを担当。有希子の言葉は久保寺の心を揺さぶるが、相変わらず黙秘を貫く。やがて峰岸が捕まり…。キントリは最後の事件と肝に銘じ、一丸となって取り調べに挑む!!天海祐希、田中哲司、速水もこみち、鈴木浩介、大倉孝二、でんでん、大杉漣、小日向文世  【最終回ゲスト】鶴見辰吾、眞島秀和、渡辺真起子井上由美子常廣丈太(テレビ朝日)林ゆうきAI『最後は必ず正義が勝つ』(ユニバーサル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</si>
  <si>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有希子(天海祐希)が磐城(大倉孝二)をかばって被弾した。撃ったのは警察官から拳銃を奪った2人組のひとり・峰岸(眞島秀和)で、有希子の亡き夫にそっくりな男だった。逃走する峰岸…一方、勾留中の久保寺(鶴見辰吾)は何も語らない。有希子は自ら志願して取り調べを担当。有希子の言葉は久保寺の心を揺さぶるが、相変わらず黙秘を貫く。やがて峰岸が捕まり…。キントリは最後の事件と肝に銘じ、一丸となって取り調べに挑む!!</t>
  </si>
  <si>
    <t>1704_EX_金23</t>
  </si>
  <si>
    <t>女囚セブン</t>
  </si>
  <si>
    <t>番組名女囚セブン　#1/全員、悪女!史上最恐のプリズン・サバイバルが、いま始まる!</t>
  </si>
  <si>
    <t>ある日、花園女子刑務所に、殺人罪の芸妓・琴音(剛力彩芽)がやってくる。謎多き政治秘書(山口紗弥加)、夫殺しの元ヤン・シングルマザー(トリンドル玲奈)、遺産目当ての毒婦(平岩紙)、全身整形の美容整形看護師(橋本マナミ)、老老介護で夫を殺した最高齢女囚(木野花)らと同室になるが、早速“新人イジメ"の標的に…。そんな中、刑務所ナンバー1の情報屋・奈津(安達祐実)だけが、琴音を優しくフォローしてくれて…?剛力彩芽、山口紗弥加、トリンドル玲奈、内藤理沙、久住小春　・平岩紙、橋本マナミ、木野花・　安達祐実、梶芽衣子、高嶋政伸西荻弓絵瑠東東一郎スキャット後藤    【主題歌】  新しい学校のリーダーズ『毒花』(ビクターエンタテインメント)【ゼネラルプロデューサー】内山聖子(テレビ朝日)  【プロデューサー】山田兼司(テレビ朝日)、浅井千瑞(MMJ)、本郷達也(MMJ)☆番組HP  　http://www.tv-asahi.co.jp/joshu-7/  ☆Twitter  　https://twitter.com/joshuuu_7</t>
  </si>
  <si>
    <t>ある日、花園女子刑務所に、殺人罪の芸妓・琴音(剛力彩芽)がやってくる。謎多き政治秘書(山口紗弥加)、夫殺しの元ヤン・シングルマザー(トリンドル玲奈)、遺産目当ての毒婦(平岩紙)、全身整形の美容整形看護師(橋本マナミ)、老老介護で夫を殺した最高齢女囚(木野花)らと同室になるが、早速“新人イジメ"の標的に…。そんな中、刑務所ナンバー1の情報屋・奈津(安達祐実)だけが、琴音を優しくフォローしてくれて…?</t>
  </si>
  <si>
    <t>番組名女囚セブン　#2/獄中ダンス大会でマウント合戦!?“後妻業のエロ女"の危険な罠</t>
  </si>
  <si>
    <t>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が始まる!剛力彩芽、山口紗弥加、トリンドル玲奈、内藤理沙、久住小春　・平岩紙、橋本マナミ、木野花・　安達祐実、梶芽衣子、高嶋政伸西荻弓絵瑠東東一郎スキャット後藤    【主題歌】  新しい学校のリーダーズ『毒花』(ビクターエンタテインメント)【ゼネラルプロデューサー】内山聖子(テレビ朝日)  【プロデューサー】山田兼司(テレビ朝日)、浅井千瑞(MMJ)、本郷達也(MMJ)☆番組HP  　http://www.tv-asahi.co.jp/joshu-7/  ☆Twitter  　https://twitter.com/joshuuu_7</t>
  </si>
  <si>
    <t>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が始まる!</t>
  </si>
  <si>
    <t>番組名女囚セブン　#3/女囚が国家試験に挑戦!?夫殺しの元ヤン・シングルマザーの秘密</t>
  </si>
  <si>
    <t>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剛力彩芽、山口紗弥加、トリンドル玲奈、内藤理沙、久住小春　・平岩紙、橋本マナミ、木野花・　安達祐実、梶芽衣子西荻弓絵豊島圭介スキャット後藤    【主題歌】  新しい学校のリーダーズ『毒花』(ビクターエンタテインメント)【ゼネラルプロデューサー】内山聖子(テレビ朝日)  【プロデューサー】山田兼司(テレビ朝日)、浅井千瑞(MMJ)、本郷達也(MMJ)☆番組HP  　http://www.tv-asahi.co.jp/joshu-7/  ☆Twitter  　https://twitter.com/joshuuu_7</t>
  </si>
  <si>
    <t>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t>
  </si>
  <si>
    <t>番組名女囚セブン　#4/“全身整形ナース"のゲス不倫殺人の真相!女の怨念が大暴走…!</t>
  </si>
  <si>
    <t>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剛力彩芽、山口紗弥加、トリンドル玲奈、内藤理沙、久住小春　・平岩紙、橋本マナミ、木野花・　安達祐実、梶芽衣子、高嶋政伸西荻弓絵小松隆志スキャット後藤    【主題歌】  新しい学校のリーダーズ『毒花』(ビクターエンタテインメント)【ゼネラルプロデューサー】内山聖子(テレビ朝日)  【プロデューサー】山田兼司(テレビ朝日)、浅井千瑞(MMJ)、本郷達也(MMJ)☆番組HP  　http://www.tv-asahi.co.jp/joshu-7/  ☆Twitter  　https://twitter.com/joshuuu_7</t>
  </si>
  <si>
    <t>番組名女囚セブン　#5/老老介護で夫殺し!?ついに“冤罪事件"の黒幕が明かされる!</t>
  </si>
  <si>
    <t>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剛力彩芽、山口紗弥加、トリンドル玲奈、内藤理沙、久住小春　・平岩紙、橋本マナミ、木野花・　安達祐実、梶芽衣子西荻弓絵小野浩司スキャット後藤    【主題歌】新しい学校のリーダーズ『毒花』(ビクターエンタテインメント)【ゼネラルプロデューサー】内山聖子(テレビ朝日)  【プロデューサー】山田兼司(テレビ朝日)、浅井千瑞(MMJ)、本郷達也(MMJ)☆番組HP  　http://www.tv-asahi.co.jp/joshu-7/  ☆Twitter  　https://twitter.com/joshuuu_7</t>
  </si>
  <si>
    <t>番組名女囚セブン　#6/愛欲に溺れた政治秘書!汚れたスーツと“黒い契り"</t>
  </si>
  <si>
    <t>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剛力彩芽、山口紗弥加、トリンドル玲奈、内藤理沙、久住小春　・平岩紙、橋本マナミ、木野花・　安達祐実、梶芽衣子、高嶋政伸西荻弓絵豊島圭介スキャット後藤    【主題歌】新しい学校のリーダーズ『毒花』(ビクターエンタテインメント)【ゼネラルプロデューサー】内山聖子(テレビ朝日)  【プロデューサー】山田兼司(テレビ朝日)、浅井千瑞(MMJ)、本郷達也(MMJ)☆番組HP  　http://www.tv-asahi.co.jp/joshu-7/  ☆Twitter  　https://twitter.com/joshuuu_7</t>
  </si>
  <si>
    <t>番組名女囚セブン　#7/最終章-塀の中の殺人事件!?女囚vs腐った国家、ついに決戦!</t>
  </si>
  <si>
    <t>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剛力彩芽、山口紗弥加、トリンドル玲奈、内藤理沙、久住小春　・平岩紙、橋本マナミ、木野花・　安達祐実、梶芽衣子、高嶋政伸西荻弓絵瑠東東一郎スキャット後藤    【主題歌】新しい学校のリーダーズ『毒花』(ビクターエンタテインメント)【ゼネラルプロデューサー】内山聖子(テレビ朝日)  【プロデューサー】山田兼司(テレビ朝日)、浅井千瑞(MMJ)、本郷達也(MMJ)☆番組HP  　http://www.tv-asahi.co.jp/joshu-7/  ☆Twitter  　https://twitter.com/joshuuu_7</t>
  </si>
  <si>
    <t>番組名女囚セブン　#8/命がけの脱獄…!女囚vs総理大臣ーどん底からの大逆襲!</t>
  </si>
  <si>
    <t>1701_EX_木21</t>
  </si>
  <si>
    <t>就活家族</t>
  </si>
  <si>
    <t>番組名就活家族～きっと、うまくいく～　#1</t>
  </si>
  <si>
    <t>大手メーカーで人事部長を務める富川洋輔(三浦友和)。上司からも部下からも信頼の厚い彼は、新卒採用の面接とリストラを言い渡すという重責を担っていた。一方の富川家は、それぞれ問題を抱えていた。就職活動中の息子・光(工藤阿須加)はまったく内定がもらえる気配がなく、挙げ句、ホストクラブから出てくる母の水希(黒木瞳)を目撃してしまう。娘の栞(前田敦子)も、会社でのセクハラに悩んでいた。追いつめられた家族は…三浦友和、黒木瞳、前田敦子、工藤阿須加、新井浩文、山本未來、中川知香、渡辺大、木村多江橋本裕志秋山純(テレビ朝日)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</si>
  <si>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大手メーカーで人事部長を務める富川洋輔(三浦友和)。上司からも部下からも信頼の厚い彼は、新卒採用の面接とリストラを言い渡すという重責を担っていた。一方の富川家は、それぞれ問題を抱えていた。就職活動中の息子・光(工藤阿須加)はまったく内定がもらえる気配がなく、挙げ句、ホストクラブから出てくる母の水希(黒木瞳)を目撃してしまう。娘の栞(前田敦子)も、会社でのセクハラに悩んでいた。追いつめられた家族は…</t>
  </si>
  <si>
    <t>番組名就活家族～きっと、うまくいく～　#2</t>
  </si>
  <si>
    <t>川村優子(木村多江)からの身に覚えのないセクハラ告発で窮地に追い込まれた富川洋輔(三浦友和)は、自宅待機を言い渡されてしまう!夫の役員昇進に喜ぶ水希(黒木瞳)に事実を言い出すことが出来ずにいた洋輔は、同じ境遇の天谷五郎(段田安則)と出会う。その頃、長女の栞(前田敦子)は部署異動を実現させようとしていた。一方、怪しげな就活塾に入塾した長男の光(工藤阿須加)は、さらなる高額の教材費を払うことになり…。三浦友和、前田敦子、工藤阿須加、新井浩文、渡辺大、山本未來、中川知香、キムラ緑子、木村多江、段田安則、黒木瞳橋本裕志常廣丈太(テレビ朝日)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</si>
  <si>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川村優子(木村多江)からの身に覚えのないセクハラ告発で窮地に追い込まれた富川洋輔(三浦友和)は、自宅待機を言い渡されてしまう!夫の役員昇進に喜ぶ水希(黒木瞳)に事実を言い出すことが出来ずにいた洋輔は、同じ境遇の天谷五郎(段田安則)と出会う。その頃、長女の栞(前田敦子)は部署異動を実現させようとしていた。一方、怪しげな就活塾に入塾した長男の光(工藤阿須加)は、さらなる高額の教材費を払うことになり…。</t>
  </si>
  <si>
    <t>番組名就活家族～きっと、うまくいく～　#3</t>
  </si>
  <si>
    <t>会社を辞めたものの、就職活動が進まない富川洋輔(三浦友和)は、川村優子(木村多江)に「会社を紹介してほしい」と頭を下げる。ようやく再就職の目処が立つが、水希(黒木瞳)ら家族には真実を言い出せないまま…。一方、内申書取り違えの件を解決するよう命じられた水希は、その生徒の自宅に通っていた。その頃、栞(前田敦子)は、宝石を売るため婚活パーティーに申し込む。光(工藤阿須加)も、ある会社から内定をもらうが…三浦友和、前田敦子、工藤阿須加、新井浩文、渡辺大、山本未來、中川知香、キムラ緑子、木村多江、段田安則、黒木瞳橋本裕志落合正幸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</si>
  <si>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会社を辞めたものの、就職活動が進まない富川洋輔(三浦友和)は、川村優子(木村多江)に「会社を紹介してほしい」と頭を下げる。ようやく再就職の目処が立つが、水希(黒木瞳)ら家族には真実を言い出せないまま…。一方、内申書取り違えの件を解決するよう命じられた水希は、その生徒の自宅に通っていた。その頃、栞(前田敦子)は、宝石を売るため婚活パーティーに申し込む。光(工藤阿須加)も、ある会社から内定をもらうが…</t>
  </si>
  <si>
    <t>番組名就活家族～きっと、うまくいく～　#4</t>
  </si>
  <si>
    <t>妻の水希(黒木瞳)がホストクラブに入店する場面を目撃してしまい、動揺したまま同窓会にやってきた富川洋輔(三浦友和)。久々に再会した夏野久美(キムラ緑子)ら女性陣から「ホストに大金を貢いだりする場合もある」と聞かされ、不安を募らせる。一方、栞(前田敦子)は真壁雄斗(渡辺大)との関係が課長の中原綾子(山本未來)に知られ三角関係に…。光(工藤阿須加)は、希望だった出版社でアルバイトとして働き始めるが…。三浦友和、前田敦子、工藤阿須加、新井浩文、渡辺大、山本未來、中川知香、キムラ緑子、木村多江、段田安則、黒木瞳橋本裕志秋山純(テレビ朝日)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</si>
  <si>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妻の水希(黒木瞳)がホストクラブに入店する場面を目撃してしまい、動揺したまま同窓会にやってきた富川洋輔(三浦友和)。久々に再会した夏野久美(キムラ緑子)ら女性陣から「ホストに大金を貢いだりする場合もある」と聞かされ、不安を募らせる。一方、栞(前田敦子)は真壁雄斗(渡辺大)との関係が課長の中原綾子(山本未來)に知られ三角関係に…。光(工藤阿須加)は、希望だった出版社でアルバイトとして働き始めるが…。</t>
  </si>
  <si>
    <t>番組名就活家族～きっと、うまくいく～　#5</t>
  </si>
  <si>
    <t>「最近、襟元に社章付けてないね」と妻の水希(黒木瞳)に指摘され、焦る富川洋輔(三浦友和)。マイホーム購入の話も着々と進み、家族に失業を隠しておくのは難しくなってきていた。そんな中、学校で理不尽な扱いを受け続ける水希はホストクラブへ。栞(前田敦子)は、パワハラ課長に「今月いっぱいで退職させていただきます」と宣言するも待っていたのは…?さらに光(工藤阿須加)は、内定をもらった会社の研修をすっぽかし…三浦友和、前田敦子、工藤阿須加、新井浩文、渡辺大、山本未來、中川知香、キムラ緑子、木村多江、段田安則、黒木瞳橋本裕志秋山純(テレビ朝日)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</si>
  <si>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最近、襟元に社章付けてないね」と妻の水希(黒木瞳)に指摘され、焦る富川洋輔(三浦友和)。マイホーム購入の話も着々と進み、家族に失業を隠しておくのは難しくなってきていた。そんな中、学校で理不尽な扱いを受け続ける水希はホストクラブへ。栞(前田敦子)は、パワハラ課長に「今月いっぱいで退職させていただきます」と宣言するも待っていたのは…?さらに光(工藤阿須加)は、内定をもらった会社の研修をすっぽかし…</t>
  </si>
  <si>
    <t>番組名就活家族～きっと、うまくいく～　#6</t>
  </si>
  <si>
    <t>水希(黒木瞳)がホストクラブに通いつめていたこと、洋輔(三浦友和)が再就職先を探していたことなどがすべて家族に知られ、富川家はバラバラに…。天谷五郎(段田安則)から「自営のコンサルタントをやるのはどうか」と提案され、洋輔は一念発起!しかし、水希からは「生活のことを考えて」と言われてしまう。さらに、転職を模索し始めた栞(前田敦子)、内定を一つでも取ろうとする光(工藤阿須加)だったが、それぞれ苦戦し…三浦友和、前田敦子、工藤阿須加、新井浩文、渡辺大、中川知香、キムラ緑子、木村多江、段田安則、黒木瞳橋本裕志落合正幸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</si>
  <si>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水希(黒木瞳)がホストクラブに通いつめていたこと、洋輔(三浦友和)が再就職先を探していたことなどがすべて家族に知られ、富川家はバラバラに…。天谷五郎(段田安則)から「自営のコンサルタントをやるのはどうか」と提案され、洋輔は一念発起!しかし、水希からは「生活のことを考えて」と言われてしまう。さらに、転職を模索し始めた栞(前田敦子)、内定を一つでも取ろうとする光(工藤阿須加)だったが、それぞれ苦戦し…</t>
  </si>
  <si>
    <t>番組名就活家族～きっと、うまくいく～　#7</t>
  </si>
  <si>
    <t>洋輔(三浦友和)の退職の理由が、優子(木村多江)へのセクハラだったことが分かり、富川家は完全に冷え切った状態に…。水希(黒木瞳)は「セクハラをしたことよりも、そんな大事なことを家族に隠してきた貴方に我慢ならない」と、洋輔を避けるように生活を始める。一方、光(工藤阿須加)は内々定を取得。しかし、名古屋の本社勤務の可能性が浮上。そして、真壁(渡辺大)との結婚を本格的に考えだした栞(前田敦子)は…。三浦友和、前田敦子、工藤阿須加、新井浩文、渡辺大、中川知香、木村多江、段田安則、黒木瞳橋本裕志落合正幸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</si>
  <si>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洋輔(三浦友和)の退職の理由が、優子(木村多江)へのセクハラだったことが分かり、富川家は完全に冷え切った状態に…。水希(黒木瞳)は「セクハラをしたことよりも、そんな大事なことを家族に隠してきた貴方に我慢ならない」と、洋輔を避けるように生活を始める。一方、光(工藤阿須加)は内々定を取得。しかし、名古屋の本社勤務の可能性が浮上。そして、真壁(渡辺大)との結婚を本格的に考えだした栞(前田敦子)は…。</t>
  </si>
  <si>
    <t>番組名就活家族～きっと、うまくいく～　#8</t>
  </si>
  <si>
    <t>かつて勤めていた会社の社長から、インドに設立する新会社の社長就任を打診された富川洋輔(三浦友和)。前向きに考えつつ、その場に優子(木村多江)が同席していたことを不審に思う。一方の水希(黒木瞳)は、新しい職場で充実感を覚え、離婚を申し出る。その決意に娘の栞(前田敦子)、息子の光(工藤阿須加)は動揺するが、それぞれ住む場所を探し…。そんな中、洋輔の友人で相談相手でもある天谷(段田安則)が倒れてしまう。三浦友和、前田敦子、工藤阿須加、新井浩文、渡辺大、中川知香、木村多江、段田安則、黒木瞳橋本裕志秋山純(テレビ朝日)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</si>
  <si>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かつて勤めていた会社の社長から、インドに設立する新会社の社長就任を打診された富川洋輔(三浦友和)。前向きに考えつつ、その場に優子(木村多江)が同席していたことを不審に思う。一方の水希(黒木瞳)は、新しい職場で充実感を覚え、離婚を申し出る。その決意に娘の栞(前田敦子)、息子の光(工藤阿須加)は動揺するが、それぞれ住む場所を探し…。そんな中、洋輔の友人で相談相手でもある天谷(段田安則)が倒れてしまう。</t>
  </si>
  <si>
    <t>番組名就活家族～きっと、うまくいく～　#9</t>
  </si>
  <si>
    <t>家族との食事会を、仕事のためにすっぽかしてしまった富川洋輔(三浦友和)。大事なときにまで家族より仕事を優先した洋輔に対し、水希(黒木瞳)は離婚届を突きつけて家を出る。水希は社員用アパート、栞(前田敦子)は真壁(渡辺大)のマンション、光(工藤阿須加)は就活塾の塾長・国原(新井浩文)が用意してくれた家に移り住み、富川家はバラバラの生活をスタートさせるが…。一家は、最後にどんな未来を選択するのか!?三浦友和、前田敦子、工藤阿須加、新井浩文、渡辺大、中川知香、木村多江、段田安則、黒木瞳橋本裕志秋山純(テレビ朝日)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</si>
  <si>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家族との食事会を、仕事のためにすっぽかしてしまった富川洋輔(三浦友和)。大事なときにまで家族より仕事を優先した洋輔に対し、水希(黒木瞳)は離婚届を突きつけて家を出る。水希は社員用アパート、栞(前田敦子)は真壁(渡辺大)のマンション、光(工藤阿須加)は就活塾の塾長・国原(新井浩文)が用意してくれた家に移り住み、富川家はバラバラの生活をスタートさせるが…。一家は、最後にどんな未来を選択するのか!?</t>
  </si>
  <si>
    <t>1701_EX_金23</t>
  </si>
  <si>
    <t>奪い愛、冬</t>
  </si>
  <si>
    <t>番組名奪い愛、冬　#1</t>
  </si>
  <si>
    <t>恋人の康太(三浦翔平)からプロポーズされ、幸せを噛みしめていた光(倉科カナ)の前に、突然一人の男が現れた!信(大谷亮平)という名の彼は、かつて光が死ぬほど愛した男、そして3年前に突然姿を消した男だった!光は激しく動揺するが、この再会はこれから始まる激動の愛憎劇の序章に過ぎなかった!異常なまでに夫・信に執着する妻・蘭(水野美紀)、さらに康太を溺愛する母・美佐(榊原郁恵)らが光の前に立ちはだかる!池内光…倉科カナ  奥川康太…三浦翔平  森山信…大谷亮平    豊野秀子…秋元才加  尾上礼香…ダレノガレ明美  斎藤部長…ミスターちん  加藤清…西銘駿  ・  池内麻紀…キムラ緑子  ・  武田玄…三宅弘城  奥川美佐…榊原郁恵  森山蘭…水野美紀鈴木おさむ樹下直美沢田完AAA『MAGIC』(avex trax)    【オープニングテーマ】  Aimer『凍えそうな季節から』(ソニーミュージックエンタテインメント)【ゼネラルプロデューサー】横地郁英(テレビ朝日)  【プロデューサー】川島誠史(テレビ朝日)、遠田孝一(MMJ)、八巻薫(MMJ)☆番組HP  　http://www.tv-asahi.co.jp/ubaiai/  ☆Twitter  　https://twitter.com/ubaiai</t>
  </si>
  <si>
    <t>恋人の康太(三浦翔平)からプロポーズされ、幸せを噛みしめていた光(倉科カナ)の前に、突然一人の男が現れた!信(大谷亮平)という名の彼は、かつて光が死ぬほど愛した男、そして3年前に突然姿を消した男だった!光は激しく動揺するが、この再会はこれから始まる激動の愛憎劇の序章に過ぎなかった!異常なまでに夫・信に執着する妻・蘭(水野美紀)、さらに康太を溺愛する母・美佐(榊原郁恵)らが光の前に立ちはだかる!</t>
  </si>
  <si>
    <t>番組名奪い愛、冬　#2</t>
  </si>
  <si>
    <t>婚約者の康太(三浦翔平)がいながら、かつて死ぬほど愛した男・信(大谷亮平)に心が揺れる光(倉科カナ)。一方、異常なまでに夫・信に執着する妻・蘭(水野美紀)が、突然、光と康太の前に現れ、光に先制攻撃を仕掛ける!さらに、康太を溺愛する母・美佐(榊原郁恵)からの嫌がらせも始まり…!?そんな中、光と信は、あるアクシデントによって二人でホテルへ行くことに!そこには驚くべき罠が待っていた!池内光…倉科カナ  奥川康太…三浦翔平  森山信…大谷亮平    豊野秀子…秋元才加  尾上礼香…ダレノガレ明美  斎藤部長…ミスターちん  加藤清…西銘駿  ・  池内麻紀…キムラ緑子  ・  武田玄…三宅弘城  奥川美佐…榊原郁恵  森山蘭…水野美紀鈴木おさむ樹下直美沢田完AAA『MAGIC』(avex trax)    【オープニングテーマ】  Aimer『凍えそうな季節から』(ソニーミュージックエンタテインメント)【ゼネラルプロデューサー】横地郁英(テレビ朝日)  【プロデューサー】川島誠史(テレビ朝日)、遠田孝一(MMJ)、八巻薫(MMJ)☆番組HP  　http://www.tv-asahi.co.jp/ubaiai/  ☆Twitter  　https://twitter.com/ubaiai</t>
  </si>
  <si>
    <t>婚約者の康太(三浦翔平)がいながら、かつて死ぬほど愛した男・信(大谷亮平)に心が揺れる光(倉科カナ)。一方、異常なまでに夫・信に執着する妻・蘭(水野美紀)が、突然、光と康太の前に現れ、光に先制攻撃を仕掛ける!さらに、康太を溺愛する母・美佐(榊原郁恵)からの嫌がらせも始まり…!?そんな中、光と信は、あるアクシデントによって二人でホテルへ行くことに!そこには驚くべき罠が待っていた!</t>
  </si>
  <si>
    <t>番組名奪い愛、冬　#3</t>
  </si>
  <si>
    <t>婚約者の康太(三浦翔平)と、熱海へ婚前旅行に行くことになった光(倉科カナ)。しかし、そこに康太の母・美佐(榊原郁恵)が現れ、強烈な嫌がらせを仕掛けてくる!一方、光のかつての恋人・信(大谷亮平)の妻・蘭(水野美紀)は、夫を連れて光の会社に乗り込んでくるが…!?そんなある日、光はあることがきっかけで、蘭が不在中の信の家を訪れることに。愛を抑えきれず唇を重ねようとした瞬間、身の毛もよだつ出来事が起きて…池内光…倉科カナ  奥川康太…三浦翔平  森山信…大谷亮平    豊野秀子…秋元才加  尾上礼香…ダレノガレ明美  斎藤部長…ミスターちん  加藤清…西銘駿    武田玄…三宅弘城  奥川美佐…榊原郁恵  森山蘭…水野美紀鈴木おさむ小松隆志沢田完AAA『MAGIC』(avex trax)    【オープニングテーマ】  Aimer『凍えそうな季節から』(ソニーミュージックエンタテインメント)【ゼネラルプロデューサー】横地郁英(テレビ朝日)  【プロデューサー】川島誠史(テレビ朝日)、遠田孝一(MMJ)、八巻薫(MMJ)☆番組HP  　http://www.tv-asahi.co.jp/ubaiai/  ☆Twitter  　https://twitter.com/ubaiai</t>
  </si>
  <si>
    <t>婚約者の康太(三浦翔平)と、熱海へ婚前旅行に行くことになった光(倉科カナ)。しかし、そこに康太の母・美佐(榊原郁恵)が現れ、強烈な嫌がらせを仕掛けてくる!一方、光のかつての恋人・信(大谷亮平)の妻・蘭(水野美紀)は、夫を連れて光の会社に乗り込んでくるが…!?そんなある日、光はあることがきっかけで、蘭が不在中の信の家を訪れることに。愛を抑えきれず唇を重ねようとした瞬間、身の毛もよだつ出来事が起きて…</t>
  </si>
  <si>
    <t>番組名奪い愛、冬　#4</t>
  </si>
  <si>
    <t>元カレ・信(大谷亮平)とキスした瞬間を、その妻・蘭(水野美紀)に見られてしまった光(倉科カナ)。蘭は、ますます光への復讐心を加速させる。そんな中、光と婚約者・康太(三浦翔平)は“ある目的"を果たすため、信と蘭の家を訪問。そんな2人を、蘭は何を考えているのか、冬の海へと旅行に誘う。光と康太、元カレとその妻…愛と憎しみに満ちた4人の旅行で、とんでもない出来事が待ち受けていた!池内光…倉科カナ  奥川康太…三浦翔平  森山信…大谷亮平    豊野秀子…秋元才加  尾上礼香…ダレノガレ明美  斎藤部長…ミスターちん  加藤清…西銘駿    武田玄…三宅弘城  奥川美佐…榊原郁恵  森山蘭…水野美紀鈴木おさむ小松隆志沢田完AAA『MAGIC』(avex trax)    【オープニングテーマ】  Aimer『凍えそうな季節から』(ソニーミュージックエンタテインメント)【ゼネラルプロデューサー】横地郁英(テレビ朝日)  【プロデューサー】川島誠史(テレビ朝日)、遠田孝一(MMJ)、八巻薫(MMJ)☆番組HP  　http://www.tv-asahi.co.jp/ubaiai/  ☆Twitter  　https://twitter.com/ubaiai</t>
  </si>
  <si>
    <t>元カレ・信(大谷亮平)とキスした瞬間を、その妻・蘭(水野美紀)に見られてしまった光(倉科カナ)。蘭は、ますます光への復讐心を加速させる。そんな中、光と婚約者・康太(三浦翔平)は“ある目的"を果たすため、信と蘭の家を訪問。そんな2人を、蘭は何を考えているのか、冬の海へと旅行に誘う。光と康太、元カレとその妻…愛と憎しみに満ちた4人の旅行で、とんでもない出来事が待ち受けていた!</t>
  </si>
  <si>
    <t>番組名奪い愛、冬　#5</t>
  </si>
  <si>
    <t>光(倉科カナ)の元カレ・信(大谷亮平)は、妻の蘭(水野美紀)もいる前で「俺はまだ、光のことが好きだ」と衝撃の告白。それを見た光の婚約者・康太(三浦翔平)は逆上し、弾みで光を突き飛ばし気絶させてしまう。一方、蘭の復讐心はさらに加速。その矛先は光の母・麻紀(キムラ緑子)に向けられ…。それを知った光は、ついに蘭への反撃を決意。女同士の壮絶な直接対決が!さらに、衝撃の新事実が発覚し…!?池内光…倉科カナ  奥川康太…三浦翔平  森山信…大谷亮平    豊野秀子…秋元才加  尾上礼香…ダレノガレ明美  加藤清…西銘駿  ・  池内麻紀…キムラ緑子  ・  武田玄…三宅弘城  奥川美佐…榊原郁恵  森山蘭…水野美紀鈴木おさむ樹下直美沢田完AAA『MAGIC』(avex trax)    【オープニングテーマ】  Aimer『凍えそうな季節から』(ソニーミュージックエンタテインメント)【ゼネラルプロデューサー】横地郁英(テレビ朝日)  【プロデューサー】川島誠史(テレビ朝日)、遠田孝一(MMJ)、八巻薫(MMJ)☆番組HP  　http://www.tv-asahi.co.jp/ubaiai/  ☆Twitter  　https://twitter.com/ubaiai</t>
  </si>
  <si>
    <t>光(倉科カナ)の元カレ・信(大谷亮平)は、妻の蘭(水野美紀)もいる前で「俺はまだ、光のことが好きだ」と衝撃の告白。それを見た光の婚約者・康太(三浦翔平)は逆上し、弾みで光を突き飛ばし気絶させてしまう。一方、蘭の復讐心はさらに加速。その矛先は光の母・麻紀(キムラ緑子)に向けられ…。それを知った光は、ついに蘭への反撃を決意。女同士の壮絶な直接対決が!さらに、衝撃の新事実が発覚し…!?</t>
  </si>
  <si>
    <t>番組名奪い愛、冬　#6　ついに最終章!</t>
  </si>
  <si>
    <t>光(倉科カナ)はすべてを振り切り、元カレ・信(大谷亮平)のもとへ…!そして2人は愛を確かめ合う。一方、結婚目前で光を奪われた康太(三浦翔平)は、失意の中、同じく夫の信を奪われた蘭(水野美紀)に接触し、蘭が抱える重大な秘密を知ってしまう!その頃、信は医師から、自分の余命が残りわずかだと宣告を受ける。今度こそ光を幸せにしようとした矢先の、残酷すぎる運命…。そんな中、信が突如、姿を消してしまい…!?池内光…倉科カナ  奥川康太…三浦翔平  森山信…大谷亮平    豊野秀子…秋元才加  尾上礼香…ダレノガレ明美  加藤清…西銘駿    武田玄…三宅弘城  奥川美佐…榊原郁恵  森山蘭…水野美紀鈴木おさむ星野和成沢田完AAA『MAGIC』(avex trax)    【オープニングテーマ】  Aimer『凍えそうな季節から』(ソニーミュージックエンタテインメント)【ゼネラルプロデューサー】横地郁英(テレビ朝日)  【プロデューサー】川島誠史(テレビ朝日)、遠田孝一(MMJ)、八巻薫(MMJ)☆番組HP  　http://www.tv-asahi.co.jp/ubaiai/  ☆Twitter  　https://twitter.com/ubaiai</t>
  </si>
  <si>
    <t>光(倉科カナ)はすべてを振り切り、元カレ・信(大谷亮平)のもとへ…!そして2人は愛を確かめ合う。一方、結婚目前で光を奪われた康太(三浦翔平)は、失意の中、同じく夫の信を奪われた蘭(水野美紀)に接触し、蘭が抱える重大な秘密を知ってしまう!その頃、信は医師から、自分の余命が残りわずかだと宣告を受ける。今度こそ光を幸せにしようとした矢先の、残酷すぎる運命…。そんな中、信が突如、姿を消してしまい…!?</t>
  </si>
  <si>
    <t>番組名奪い愛、冬　#7　ついに最終回!</t>
  </si>
  <si>
    <t>衝撃の最終回!光(倉科カナ)は、婚約者だった康太(三浦翔平)と別れ、妻・蘭(水野美紀)から奪い返した元カレ・信(大谷亮平)と一緒になる道を選ぶ。だが、信の余命はあとわずか…。さらに、蘭の足のケガに関する重大な秘密が明らかになり、それを知った信は、蘭とともに光の前から去ってしまう!そんな中、康太は「来なかったら死ぬ」と光を呼び出し…!?奪われたら、奪い返せ!最後に待ち受ける衝撃の大どんでん返しとは!?【副音声】水野美紀、大谷亮平、脚本の鈴木おさむによる座談会を緊急開催!地上波のみでの特別企画!「信が蘭の足をさする名物シーン誕生の経緯」や、「水野と大谷がさまざまなシーンを演じながら、密かに感じていたこと」、「最終回に登場する描写に隠された倉科&amp;三浦のこだわり」など、貴重な裏話が次々と披露されます!『奪い愛、冬』のラストナイトをぜひ、水野&amp;大谷&amp;鈴木と一緒に満喫してください!池内光…倉科カナ  奥川康太…三浦翔平  森山信…大谷亮平    豊野秀子…秋元才加  尾上礼香…ダレノガレ明美  斎藤部長…ミスターちん  加藤清…西銘駿  ・  池内麻紀…キムラ緑子  ・  武田玄…三宅弘城  奥川美佐…榊原郁恵  森山蘭…水野美紀鈴木おさむ小松隆志沢田完    【主題歌】  AAA『MAGIC』(avex trax)    【オープニングテーマ】  Aimer『凍えそうな季節から』(ソニーミュージックエンタテインメント)【ゼネラルプロデューサー】横地郁英(テレビ朝日)  【プロデューサー】川島誠史(テレビ朝日)、遠田孝一(MMJ)、八巻薫(MMJ)☆番組HP  　http://www.tv-asahi.co.jp/ubaiai/  ☆Twitter  　https://twitter.com/ubaiai</t>
  </si>
  <si>
    <t>衝撃の最終回!光(倉科カナ)は、婚約者だった康太(三浦翔平)と別れ、妻・蘭(水野美紀)から奪い返した元カレ・信(大谷亮平)と一緒になる道を選ぶ。だが、信の余命はあとわずか…。さらに、蘭の足のケガに関する重大な秘密が明らかになり、それを知った信は、蘭とともに光の前から去ってしまう!そんな中、康太は「来なかったら死ぬ」と光を呼び出し…!?奪われたら、奪い返せ!最後に待ち受ける衝撃の大どんでん返しとは!?【副音声】水野美紀、大谷亮平、脚本の鈴木おさむによる座談会を緊急開催!地上波のみでの特別企画!「信が蘭の足をさする名物シーン誕生の経緯」や、「水野と大谷がさまざまなシーンを演じながら、密かに感じていたこと」、「最終回に登場する描写に隠された倉科&amp;三浦のこだわり」など、貴重な裏話が次々と披露されます!『奪い愛、冬』のラストナイトをぜひ、水野&amp;大谷&amp;鈴木と一緒に満喫してください!</t>
  </si>
  <si>
    <t>1610_EX_木21</t>
  </si>
  <si>
    <t>舞台は、宿敵・蛭間(西田敏行)率いる、医療ミス、派閥闘争などで評判ガタ落ちになった国内最高峰の大学病院ー。黄川田(生瀬勝久)ら御意軍団たちがブランド力を再確立し“病院の格付け"に躍起になる中、未知子(米倉涼子)は「目の前の命を救う」という確固たる信念に従い、突き進んでいく。ところが、その行く手には“史上最も危険で、最強の敵"となる副院長・久保(泉ピン子)ら、新たな強敵たちが待ち受けていて…!?米倉涼子、岸部一徳、泉ピン子、生瀬勝久、内田有紀、勝村政信、滝藤賢一、草刈民代、田中道子、吉田鋼太郎、西田敏行  【ゲスト】渡辺大知、竜雷太(特別出演)田口トモロヲ中園ミホ田村直己(テレビ朝日)沢田完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</si>
  <si>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舞台は、宿敵・蛭間(西田敏行)率いる、医療ミス、派閥闘争などで評判ガタ落ちになった国内最高峰の大学病院ー。黄川田(生瀬勝久)ら御意軍団たちがブランド力を再確立し“病院の格付け"に躍起になる中、未知子(米倉涼子)は「目の前の命を救う」という確固たる信念に従い、突き進んでいく。ところが、その行く手には“史上最も危険で、最強の敵"となる副院長・久保(泉ピン子)ら、新たな強敵たちが待ち受けていて…!?</t>
  </si>
  <si>
    <t>富裕層に特化したブランド戦略を打ち出した蛭間(西田敏行)。ある日、貧相な身なりの二岡夫妻(山本圭、星由里子)が来院するが、内科医の黄川田(生瀬勝久)らは転院を勧め、国会議員・金本(西岡徳馬)が極秘入院すると、手厚く対応する身の変わり様。そんな時、二岡の容体が急変し、未知子(米倉涼子)は周囲の反対を押しのけオペを断行。しかし、二岡が日本で一番貧しい村長として価値があると知った東子(泉ピン子)は、未知子を利用し…米倉涼子、岸部一徳、泉ピン子、生瀬勝久、内田有紀、勝村政信、滝藤賢一、草刈民代、田中道子、吉田鋼太郎、西田敏行  【ゲスト】山本圭、星由里子、西岡徳馬田口トモロヲ林誠人田村直己(テレビ朝日)沢田完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</si>
  <si>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富裕層に特化したブランド戦略を打ち出した蛭間(西田敏行)。ある日、貧相な身なりの二岡夫妻(山本圭、星由里子)が来院するが、内科医の黄川田(生瀬勝久)らは転院を勧め、国会議員・金本(西岡徳馬)が極秘入院すると、手厚く対応する身の変わり様。そんな時、二岡の容体が急変し、未知子(米倉涼子)は周囲の反対を押しのけオペを断行。しかし、二岡が日本で一番貧しい村長として価値があると知った東子(泉ピン子)は、未知子を利用し…</t>
  </si>
  <si>
    <t>落とし物を拾ってくれた未知子(米倉涼子)を訪ね、三佐江(松下由樹)と名乗る女性が東帝大病院にやってきた。お礼に最高ランクの人間ドックを予約すると言うが…。不審がる東子(泉ピン子)らの予想は的中!三佐江は外科部長・西園寺(吉田鋼太郎)の元愛人だった。しかも検査の結果、三佐江の体内に大きな腫瘍が見つかる。オペをしようする未知子だが、西園寺の医療ミスが関係していると知った蛭間(西田敏行)は中止を命令し…米倉涼子、岸部一徳、泉ピン子、生瀬勝久、内田有紀、勝村政信、滝藤賢一、草刈民代、田中道子、吉田鋼太郎、西田敏行  【ゲスト】松下由樹田口トモロヲ寺田敏雄松田秀知沢田完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【プロデューサー】大江達樹(テレビ朝日)、都築歩(テレビ朝日)、霜田一寿(ザ・ワークス)、池田禎子(ザ・ワークス)、大垣一穂(ザ・ワークス)※この番組は放送時間が変更または休止になる場合があります    ☆番組HP  　http://www.tv-asahi.co.jp/doctor-x/  ☆Twitter  　https://twitter.com/Doctor_X2016</t>
  </si>
  <si>
    <t>落とし物を拾ってくれた未知子(米倉涼子)を訪ね、三佐江(松下由樹)と名乗る女性が東帝大病院にやってきた。お礼に最高ランクの人間ドックを予約すると言うが…。不審がる東子(泉ピン子)らの予想は的中!三佐江は外科部長・西園寺(吉田鋼太郎)の元愛人だった。しかも検査の結果、三佐江の体内に大きな腫瘍が見つかる。オペをしようする未知子だが、西園寺の医療ミスが関係していると知った蛭間(西田敏行)は中止を命令し…</t>
  </si>
  <si>
    <t>美人姉妹ユニット「四葉姉妹」が東帝大学病院に極秘入院してきた。病室を覗いた未知子(米倉涼子)は、美しい姉・美麗(高岡早紀)と、見る影もなく太ってしまった妹・美音(小林きな子)を目撃する。美音は肥満治療のために入院しており、副院長の東子(泉ピン子)は主治医を原(鈴木浩介)にお願いしていた。ある日、美音と鉢合わせた未知子は、彼女の体に異変を確認し、緊急オペをしようとするが…実は、美麗の体も病に侵されており…!?米倉涼子、岸部一徳、泉ピン子、生瀬勝久、内田有紀、勝村政信、滝藤賢一、鈴木浩介、草刈民代、田中道子、吉田鋼太郎、西田敏行  【ゲスト】高岡早紀、小林きな子田口トモロヲ香坂隆史松田秀知沢田完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</si>
  <si>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美人姉妹ユニット「四葉姉妹」が東帝大学病院に極秘入院してきた。病室を覗いた未知子(米倉涼子)は、美しい姉・美麗(高岡早紀)と、見る影もなく太ってしまった妹・美音(小林きな子)を目撃する。美音は肥満治療のために入院しており、副院長の東子(泉ピン子)は主治医を原(鈴木浩介)にお願いしていた。ある日、美音と鉢合わせた未知子は、彼女の体に異変を確認し、緊急オペをしようとするが…実は、美麗の体も病に侵されており…!?</t>
  </si>
  <si>
    <t>格下の大学病院の研究論文が世界に評価され始めたことで、東帝大の病院長・蛭間(西田敏行)が論文を書くことを強要。そのため医師たちは、休む間もなく手術をすることに。未知子(米倉涼子)は大喜びするが、みんな疲弊していき…。そんな中、内科部長・黄川田(生瀬勝久)の部下が斬新な論文を提案。症例にあった患者を見つけて手術をするが、これが東帝大ブランドを奈落の底に落とすことに。そんな中、海老名(遠藤憲一)がやってきて…米倉涼子、岸部一徳、泉ピン子、生瀬勝久、内田有紀、勝村政信、滝藤賢一、鈴木浩介、草刈民代、田中道子、吉田鋼太郎、西田敏行  【ゲスト】遠藤憲一、土屋佑壱、横山歩田口トモロヲ林誠人田村直己(テレビ朝日)沢田完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</si>
  <si>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格下の大学病院の研究論文が世界に評価され始めたことで、東帝大の病院長・蛭間(西田敏行)が論文を書くことを強要。そのため医師たちは、休む間もなく手術をすることに。未知子(米倉涼子)は大喜びするが、みんな疲弊していき…。そんな中、内科部長・黄川田(生瀬勝久)の部下が斬新な論文を提案。症例にあった患者を見つけて手術をするが、これが東帝大ブランドを奈落の底に落とすことに。そんな中、海老名(遠藤憲一)がやってきて…</t>
  </si>
  <si>
    <t>蛭間院長(西田敏行)の論文盗用疑惑を機に、東子(泉ピン子)は蛭間の部下たちを統率。失脚会見の日、駆けつけたのは蛭間の腹心・海老名(遠藤憲一)とアメリカからきた有名教授の部下・シュリンプ教授(坂元健児)。論文は2人の共同執筆であり、世界初の術式を開発したと発表!!未知子(米倉涼子)は、メスも人工心肺も使わない手術に強い関心を示す。そんなとき、シュリンプが突然倒れるも、未知子以外誰もオペをしようとせず…米倉涼子、岸部一徳、泉ピン子、生瀬勝久、内田有紀、勝村政信、滝藤賢一、鈴木浩介、草刈民代、田中道子、吉田鋼太郎、西田敏行  【ゲスト】遠藤憲一、坂元健児、イアン・ムーア田口トモロヲ林誠人松田秀知沢田完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</si>
  <si>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蛭間院長(西田敏行)の論文盗用疑惑を機に、東子(泉ピン子)は蛭間の部下たちを統率。失脚会見の日、駆けつけたのは蛭間の腹心・海老名(遠藤憲一)とアメリカからきた有名教授の部下・シュリンプ教授(坂元健児)。論文は2人の共同執筆であり、世界初の術式を開発したと発表!!未知子(米倉涼子)は、メスも人工心肺も使わない手術に強い関心を示す。そんなとき、シュリンプが突然倒れるも、未知子以外誰もオペをしようとせず…</t>
  </si>
  <si>
    <t>耳が聞こえないピアニスト・七尾(武田真治)のリサイタルを、晶(岸部一徳)と聴きに行った未知子(米倉涼子)は、「七尾の耳を治してほしい」とアシスタントの由香(知英)から懇願される。しかし、蛭間(西田敏行)は「バイトに世界的ピアニストの手術はさせない」と、世界の北野(滝藤賢一)にオペをさせる。だが、七尾はまさかの手術拒否!!一方、未知子は由香が道路をふらふらと歩く姿を見かけ、彼女の体の異変に気付き…米倉涼子、岸部一徳、生瀬勝久、内田有紀、勝村政信、滝藤賢一、鈴木浩介、草刈民代、田中道子、吉田鋼太郎、西田敏行  【ゲスト】知英、武田真治田口トモロヲ寺田敏雄田村直己(テレビ朝日)沢田完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</si>
  <si>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耳が聞こえないピアニスト・七尾(武田真治)のリサイタルを、晶(岸部一徳)と聴きに行った未知子(米倉涼子)は、「七尾の耳を治してほしい」とアシスタントの由香(知英)から懇願される。しかし、蛭間(西田敏行)は「バイトに世界的ピアニストの手術はさせない」と、世界の北野(滝藤賢一)にオペをさせる。だが、七尾はまさかの手術拒否!!一方、未知子は由香が道路をふらふらと歩く姿を見かけ、彼女の体の異変に気付き…</t>
  </si>
  <si>
    <t>独身大物アーティスト八乙女悠太(小西遼生)が人気絶頂の中、姿を消した。極秘結婚を噂されていたが、実は肝臓がんを患っており、東子(泉ピン子)の手引きで東帝大に極秘入院。トップシークレットとして、院内には超厳戒態勢が敷かれていた。オペはプロジェクションマッピングを使った最新機器で北野(滝藤賢一)が担当することになり、未知子(米倉涼子)は興味津々。その矢先、八乙女の入院情報が流出!さらに、史上最悪のトラブルが!!米倉涼子、岸部一徳、泉ピン子、生瀬勝久、内田有紀、勝村政信、滝藤賢一、鈴木浩介、草刈民代、田中道子、吉田鋼太郎  【ゲスト】小西遼生、宮地雅子田口トモロヲ宇田学    【脚本協力】林誠人松田秀知沢田完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</si>
  <si>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独身大物アーティスト八乙女悠太(小西遼生)が人気絶頂の中、姿を消した。極秘結婚を噂されていたが、実は肝臓がんを患っており、東子(泉ピン子)の手引きで東帝大に極秘入院。トップシークレットとして、院内には超厳戒態勢が敷かれていた。オペはプロジェクションマッピングを使った最新機器で北野(滝藤賢一)が担当することになり、未知子(米倉涼子)は興味津々。その矢先、八乙女の入院情報が流出!さらに、史上最悪のトラブルが!!</t>
  </si>
  <si>
    <t>東帝大のライバル慶林大が、病院ランキングで1位を獲得。蛭間院長(西田敏行)は“打倒慶林!!"を合言葉に、医師たちに発破をかける。一方、蛭間の妻・華子(藤真利子)、慶林大院長の妻・律子(高橋ひとみ)ら婦人会の関係も悪化。慶林大に営業をかけたい晶(岸部一徳)と親睦会に顔を出した未知子(米倉涼子)。そこで慶林大の映美(中山忍)が突然倒れ、未知子は東帝大で治そうとするが、ライバルの身内を受け入れることに華子は大反対し…米倉涼子、岸部一徳、泉ピン子、生瀬勝久、勝村政信、滝藤賢一、鈴木浩介、草刈民代、田中道子、吉田鋼太郎、西田敏行  【ゲスト】藤真利子、高橋ひとみ、中山忍、矢柴俊博 ほか田口トモロヲ香坂隆史田村直己(テレビ朝日)沢田完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</si>
  <si>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東帝大のライバル慶林大が、病院ランキングで1位を獲得。蛭間院長(西田敏行)は“打倒慶林!!"を合言葉に、医師たちに発破をかける。一方、蛭間の妻・華子(藤真利子)、慶林大院長の妻・律子(高橋ひとみ)ら婦人会の関係も悪化。慶林大に営業をかけたい晶(岸部一徳)と親睦会に顔を出した未知子(米倉涼子)。そこで慶林大の映美(中山忍)が突然倒れ、未知子は東帝大で治そうとするが、ライバルの身内を受け入れることに華子は大反対し…</t>
  </si>
  <si>
    <t>東帝大に中国の大財閥・王超(矢野浩二)の妻・十希子(黒木メイサ)が出産のために入院する。検査の結果、十希子は心臓疾患を発症しており、このまま妊娠を継続すれば、自分の命が危険にさらされることが判明。未知子(米倉涼子)は執刀すると名乗り出るが、十希子は子供の命だけ助けてくれと毅然な態度をとる。シングルマザーの博美(内田有紀)は十希子の思いに理解を示すが、納得いかない未知子は母体も胎児も両方救う方法を模索して…米倉涼子、岸部一徳、泉ピン子、生瀬勝久、内田有紀、勝村政信、滝藤賢一、鈴木浩介、草刈民代、田中道子、吉田鋼太郎、西田敏行  【ゲスト】黒木メイサ、矢野浩二田口トモロヲ中園ミホ松田秀知沢田完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</si>
  <si>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東帝大に中国の大財閥・王超(矢野浩二)の妻・十希子(黒木メイサ)が出産のために入院する。検査の結果、十希子は心臓疾患を発症しており、このまま妊娠を継続すれば、自分の命が危険にさらされることが判明。未知子(米倉涼子)は執刀すると名乗り出るが、十希子は子供の命だけ助けてくれと毅然な態度をとる。シングルマザーの博美(内田有紀)は十希子の思いに理解を示すが、納得いかない未知子は母体も胎児も両方救う方法を模索して…</t>
  </si>
  <si>
    <t>番組名ドクターX～外科医・大門未知子～　#11</t>
  </si>
  <si>
    <t>ついに、麻酔科医の博美(内田有紀)が、がんで倒れてしまった。未知子(米倉涼子)は、博美の執刀医になることを名乗り出るが、未知子の腕を持ってしても、がんは完全切除が不可能な状況だった…。博美は自分の命よりも、娘の舞へお金を遺すことに協力して欲しい…と未知子に懇願する。そんな時、北野(滝藤賢一)が担当する手術に未知子が第3助手として参加し、とんでもない行動に出る!?果たして、未知子は博美を救えるのか…米倉涼子、岸部一徳、泉ピン子、生瀬勝久、内田有紀、勝村政信、滝藤賢一、鈴木浩介、草刈民代、田中道子、吉田鋼太郎、西田敏行  【ゲスト】矢野浩二、藤井杏奈田口トモロヲ中園ミホ田村直己(テレビ朝日)沢田完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</si>
  <si>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ついに、麻酔科医の博美(内田有紀)が、がんで倒れてしまった。未知子(米倉涼子)は、博美の執刀医になることを名乗り出るが、未知子の腕を持ってしても、がんは完全切除が不可能な状況だった…。博美は自分の命よりも、娘の舞へお金を遺すことに協力して欲しい…と未知子に懇願する。そんな時、北野(滝藤賢一)が担当する手術に未知子が第3助手として参加し、とんでもない行動に出る!?果たして、未知子は博美を救えるのか…</t>
  </si>
  <si>
    <t>1610_EX_金23</t>
  </si>
  <si>
    <t>番組名家政夫のミタゾノ　#1/史上最恐の“女装"家政夫、ミタゾノ降臨!</t>
  </si>
  <si>
    <t>家事スキルはプロ級、神出鬼没で不気味な“女装"家政夫・三田園薫(松岡昌宏)。派遣先の家庭の事情を覗き見するのが好き、という変わった趣味を持つ三田園は、相棒の花田えみり(清水富美加)と共に、ある日、現職都知事一家のもとへ派遣される。絵に描いたような幸せな家庭…と思いきや、その内情は闇が深いようで…?さらに、都知事のもとへ「選挙への出馬を取りやめろ」という脅迫状が届き…!?松岡昌宏、清水富美加、柴本幸、堀田茜、平田敦子、余貴美子八津弘幸七高剛TOKIO『愛!wanna be with you…』(J storm)【ゼネラルプロデューサー】内山聖子(テレビ朝日)  【プロデューサー】秋山貴人(テレビ朝日)、木曽貴美子(MMJ)☆番組HP  　http://www.tv-asahi.co.jp/mitazono/  ☆Twitter  　https://twitter.com/mitazono_desu</t>
  </si>
  <si>
    <t>家事スキルはプロ級、神出鬼没で不気味な“女装"家政夫・三田園薫(松岡昌宏)。派遣先の家庭の事情を覗き見するのが好き、という変わった趣味を持つ三田園は、相棒の花田えみり(清水富美加)と共に、ある日、現職都知事一家のもとへ派遣される。絵に描いたような幸せな家庭…と思いきや、その内情は闇が深いようで…?さらに、都知事のもとへ「選挙への出馬を取りやめろ」という脅迫状が届き…!?</t>
  </si>
  <si>
    <t>番組名家政夫のミタゾノ　#2/覗かれた女子アナの秘密!隠された“謎の双子"!?</t>
  </si>
  <si>
    <t>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松岡昌宏、清水富美加、柴本幸、堀田茜、平田敦子、余貴美子八津弘幸七高剛TOKIO『愛!wanna be with you…』(J storm)【ゼネラルプロデューサー】内山聖子(テレビ朝日)  【プロデューサー】秋山貴人(テレビ朝日)、木曽貴美子(MMJ)☆番組HP  　http://www.tv-asahi.co.jp/mitazono/  ☆Twitter  　https://twitter.com/mitazono_desu</t>
  </si>
  <si>
    <t>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t>
  </si>
  <si>
    <t>番組名家政夫のミタゾノ　#3/最強のライバル出現!ミタゾノ大奥編、突入!?</t>
  </si>
  <si>
    <t>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松岡昌宏、清水富美加、柴本幸、堀田茜、平田敦子、余貴美子八津弘幸小松隆志TOKIO『愛!wanna be with you…』(J storm)【ゼネラルプロデューサー】内山聖子(テレビ朝日)  【プロデューサー】秋山貴人(テレビ朝日)、木曽貴美子(MMJ)☆番組HP  　http://www.tv-asahi.co.jp/mitazono/  ☆Twitter  　https://twitter.com/mitazono_desu</t>
  </si>
  <si>
    <t>番組名家政夫のミタゾノ　#4/後妻業のオンナ現る!?財産を狙う40歳下のぶりっこ妻</t>
  </si>
  <si>
    <t>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松岡昌宏、清水富美加、柴本幸、堀田茜、平田敦子、余貴美子小峯裕之片山修(テレビ朝日)TOKIO『愛!wanna be with you…』(J storm)【ゼネラルプロデューサー】内山聖子(テレビ朝日)  【プロデューサー】秋山貴人(テレビ朝日)、木曽貴美子(MMJ)☆番組HP  　http://www.tv-asahi.co.jp/mitazono/  ☆Twitter  　https://twitter.com/mitazono_desu</t>
  </si>
  <si>
    <t>番組名家政夫のミタゾノ　#5/泥棒が家主のフリ!?謎の天才少女と秘密の親子ごっこ!?</t>
  </si>
  <si>
    <t>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松岡昌宏、清水富美加、柴本幸、堀田茜、平田敦子、余貴美子山岡潤平小松隆志TOKIO『愛!wanna be with you…』(J storm)【ゼネラルプロデューサー】内山聖子(テレビ朝日)  【プロデューサー】秋山貴人(テレビ朝日)、木曽貴美子(MMJ)☆番組HP  　http://www.tv-asahi.co.jp/mitazono/  ☆Twitter  　https://twitter.com/mitazono_desu</t>
  </si>
  <si>
    <t>番組名家政夫のミタゾノ　#6/黒いウワサの熱血教師!ついにミタゾノのヅラが奪われる!?</t>
  </si>
  <si>
    <t>番組名家政夫のミタゾノ　#7/幽霊と仲良く暮らす家!?“死者が蘇る"秘密の部屋</t>
  </si>
  <si>
    <t>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松岡昌宏、清水富美加、柴本幸、堀田茜、平田敦子、余貴美子西荻弓絵片山修(テレビ朝日)TOKIO『愛!wanna be with you…』(J storm)【ゼネラルプロデューサー】内山聖子(テレビ朝日)  【プロデューサー】秋山貴人(テレビ朝日)、木曽貴美子(MMJ)☆番組HP  　http://www.tv-asahi.co.jp/mitazono/  ☆Twitter  　https://twitter.com/mitazono_desu</t>
  </si>
  <si>
    <t>番組名家政夫のミタゾノ　♯8/ミタゾノが捨てた妻と子!?ついに明かされる壮絶過去!</t>
  </si>
  <si>
    <t>1607_EX_木21</t>
  </si>
  <si>
    <t>はじめまして、愛しています。</t>
  </si>
  <si>
    <t>番組名はじめまして、愛しています。　#1</t>
  </si>
  <si>
    <t>梅田美奈(尾野真千子)は、夫の信次(江口洋介)から、近所に不審な生き物が出没しているとの噂を聞かされる。しかし、ピアニストである美奈が案じなければいけないのは、近々あるコンクールのこと…。入賞を夢みてきたが、年齢制限のあるコンクールへの出場は、今回が最後だと決めていた。そんな覚悟の美奈がピアノの練習をしていると、不審なものが庭に侵入する。恐る恐る正体を確かめると、それは幼い男の子で…。尾野真千子、江口洋介、速水もこみち、坂井真紀、余貴美子、藤竜也遊川和彦片山修(テレビ朝日)平井真美子槇原敬之『理由』(Buppu Label)【ゼネラルプロデューサー】黒田徹也(テレビ朝日)  【プロデューサー】山田兼司(テレビ朝日)、太田雅晴(5年D組)☆番組HP  　http://www.tv-asahi.co.jp/hajimemashite/  ☆Twitter  　https://twitter.com/hajimemashite_5</t>
  </si>
  <si>
    <t>梅田美奈(尾野真千子)は、夫の信次(江口洋介)から、近所に不審な生き物が出没しているとの噂を聞かされる。しかし、ピアニストである美奈が案じなければいけないのは、近々あるコンクールのこと…。入賞を夢みてきたが、年齢制限のあるコンクールへの出場は、今回が最後だと決めていた。そんな覚悟の美奈がピアノの練習をしていると、不審なものが庭に侵入する。恐る恐る正体を確かめると、それは幼い男の子で…。</t>
  </si>
  <si>
    <t>番組名はじめまして、愛しています。　#2</t>
  </si>
  <si>
    <t>育児放棄された男の子の親になると決め、梅田美奈(尾野真千子)と信次(江口洋介)が特別養子縁組の申請をしてから3カ月…。二人は堂本真知(余貴美子)からの電話を、落ち着かない気持ちで待っていた。今日は二人が、里親として適格かどうかの判定が下される運命の日。この3カ月、里親資格を得るために様々な研修を受けてきた。あとは結果を待つのみだったが、信次は真知に無理を言って、男の子と動物園に行くことにして…。尾野真千子、江口洋介、速水もこみち、坂井真紀、余貴美子、藤竜也遊川和彦片山修(テレビ朝日)平井真美子槇原敬之『理由』(Buppu Label)【ゼネラルプロデューサー】黒田徹也(テレビ朝日)  【プロデューサー】山田兼司(テレビ朝日)、太田雅晴(5年D組)☆番組HP  　http://www.tv-asahi.co.jp/hajimemashite/  ☆Twitter  　https://twitter.com/hajimemashite_5</t>
  </si>
  <si>
    <t>育児放棄された男の子の親になると決め、梅田美奈(尾野真千子)と信次(江口洋介)が特別養子縁組の申請をしてから3カ月…。二人は堂本真知(余貴美子)からの電話を、落ち着かない気持ちで待っていた。今日は二人が、里親として適格かどうかの判定が下される運命の日。この3カ月、里親資格を得るために様々な研修を受けてきた。あとは結果を待つのみだったが、信次は真知に無理を言って、男の子と動物園に行くことにして…。</t>
  </si>
  <si>
    <t>番組名はじめまして、愛しています。　#3</t>
  </si>
  <si>
    <t>特別養子縁組に向けた里親認定の許可が正式に下り、梅田美奈(尾野真千子)と信次(江口洋介)が男の子(横山歩)を家に迎える日がやってくる。「これからの方がもっと大変」…堂本真知(余貴美子)の言葉を思い出し、美奈は気持ちを引き締める。しかし、里親の愛情を図る子どもの“試し行動"は、ほぼ100%の確率で表れると聞かされる。最初は、拍子抜けするほど穏やかな日々が過ぎていくが、ついに嵐が襲来し…!尾野真千子、江口洋介、速水もこみち、坂井真紀、余貴美子、藤竜也遊川和彦日暮謙平井真美子槇原敬之『理由』(Buppu Label)【ゼネラルプロデューサー】黒田徹也(テレビ朝日)  【プロデューサー】山田兼司(テレビ朝日)、太田雅晴(5年D組)☆番組HP  　http://www.tv-asahi.co.jp/hajimemashite/  ☆Twitter  　https://twitter.com/hajimemashite_5</t>
  </si>
  <si>
    <t>特別養子縁組に向けた里親認定の許可が正式に下り、梅田美奈(尾野真千子)と信次(江口洋介)が男の子(横山歩)を家に迎える日がやってくる。「これからの方がもっと大変」…堂本真知(余貴美子)の言葉を思い出し、美奈は気持ちを引き締める。しかし、里親の愛情を図る子どもの“試し行動"は、ほぼ100%の確率で表れると聞かされる。最初は、拍子抜けするほど穏やかな日々が過ぎていくが、ついに嵐が襲来し…!</t>
  </si>
  <si>
    <t>番組名はじめまして、愛しています。　#4</t>
  </si>
  <si>
    <t>ハジメ(横山歩)による第二の試練“赤ちゃん返り"が梅田美奈(尾野真千子)を襲う。ハジメは美奈に抱きつき、片時も離れようとしない。堂本真知(余貴美子)によれば、実の親に甘えられなかった反動の表れで、本当の赤ちゃんのように扱う以外にないという。美奈は、辛抱強く付き合うが、次第に疲労が蓄積。夫の信次(江口洋介)とも衝突してしまう。しかし、信次の思いやりを知り、自分も本物の母親になるためにある決断をする。尾野真千子、江口洋介、速水もこみち、坂井真紀、余貴美子、藤竜也遊川和彦日暮謙平井真美子槇原敬之『理由』(Buppu Label)【ゼネラルプロデューサー】黒田徹也(テレビ朝日)  【プロデューサー】山田兼司(テレビ朝日)、太田雅晴(5年D組)☆番組HP  　http://www.tv-asahi.co.jp/hajimemashite/  ☆Twitter  　https://twitter.com/hajimemashite_5</t>
  </si>
  <si>
    <t>ハジメ(横山歩)による第二の試練“赤ちゃん返り"が梅田美奈(尾野真千子)を襲う。ハジメは美奈に抱きつき、片時も離れようとしない。堂本真知(余貴美子)によれば、実の親に甘えられなかった反動の表れで、本当の赤ちゃんのように扱う以外にないという。美奈は、辛抱強く付き合うが、次第に疲労が蓄積。夫の信次(江口洋介)とも衝突してしまう。しかし、信次の思いやりを知り、自分も本物の母親になるためにある決断をする。</t>
  </si>
  <si>
    <t>番組名はじめまして、愛しています。　#5</t>
  </si>
  <si>
    <t>親に捨てられた男の子・ハジメ(横山歩)と特別養子縁組をすると決めた梅田美奈(尾野真千子)と信次(江口洋介)は、子育てと向き合うことになった。堂本真知(余貴美子)の助言に従い「どんな人間になってほしいか」を考えるが、子育ての悩みは深まるばかり。自分の親にも聞いてみるが、解決策は見つからない。次第に美奈たちとハジメの想いは、すれ違うように…。そんな中、ついに感情が爆発!梅田家に危機と奇跡がおとずれる!?尾野真千子、江口洋介、速水もこみち、坂井真紀、余貴美子、藤竜也遊川和彦片山修(テレビ朝日)平井真美子槇原敬之『理由』(Buppu Label)【ゼネラルプロデューサー】黒田徹也(テレビ朝日)  【プロデューサー】山田兼司(テレビ朝日)、太田雅晴(5年D組)☆番組HP  　http://www.tv-asahi.co.jp/hajimemashite/  ☆Twitter  　https://twitter.com/hajimemashite_5</t>
  </si>
  <si>
    <t>親に捨てられた男の子・ハジメ(横山歩)と特別養子縁組をすると決めた梅田美奈(尾野真千子)と信次(江口洋介)は、子育てと向き合うことになった。堂本真知(余貴美子)の助言に従い「どんな人間になってほしいか」を考えるが、子育ての悩みは深まるばかり。自分の親にも聞いてみるが、解決策は見つからない。次第に美奈たちとハジメの想いは、すれ違うように…。そんな中、ついに感情が爆発!梅田家に危機と奇跡がおとずれる!?</t>
  </si>
  <si>
    <t>番組名はじめまして、愛しています。　#6</t>
  </si>
  <si>
    <t>育児放棄された男の子・ハジメ(横山歩)と、特別養子縁組で本当の家族になろうと奮闘中の梅田美奈(尾野真千子)と夫の信次(江口洋介)は、ハジメを幼稚園に通わせる事にする。他の子供たちとなじめるのか?ハジメが養子であることを周囲に知らせるべきか?…などを悩みつつも、何とか幼稚園デビューを果たす。しかし、早々に波乱が…!!ハジメが両親に問う究極の疑問とは!?そして、ハジメがとった意外な行動が奇跡を起こし…!?尾野真千子、江口洋介、速水もこみち、坂井真紀、余貴美子、藤竜也遊川和彦日暮謙平井真美子槇原敬之『理由』(Buppu Label)【ゼネラルプロデューサー】黒田徹也(テレビ朝日)  【プロデューサー】山田兼司(テレビ朝日)、太田雅晴(5年D組)☆番組HP  　http://www.tv-asahi.co.jp/hajimemashite/  ☆Twitter  　https://twitter.com/hajimemashite_5</t>
  </si>
  <si>
    <t>育児放棄された男の子・ハジメ(横山歩)と、特別養子縁組で本当の家族になろうと奮闘中の梅田美奈(尾野真千子)と夫の信次(江口洋介)は、ハジメを幼稚園に通わせる事にする。他の子供たちとなじめるのか?ハジメが養子であることを周囲に知らせるべきか?…などを悩みつつも、何とか幼稚園デビューを果たす。しかし、早々に波乱が…!!ハジメが両親に問う究極の疑問とは!?そして、ハジメがとった意外な行動が奇跡を起こし…!?</t>
  </si>
  <si>
    <t>番組名はじめまして、愛しています。　#7</t>
  </si>
  <si>
    <t>突然現れた黒川月子(富田靖子)は、美奈(尾野真千子)や信次(江口洋介)に断りもなく、ハジメ(横山歩)を連れて帰ろうとする。美奈はハジメをかばいながら抗議。堂本真知(余貴美子)も手続き上の問題があるとして、月子を押しとどめる。しかし、特別養子縁組制度では、実の親が子どもを手放すことを拒否した場合、申請中の里親に抵抗するすべはない…。親として成長を見届けたいと願う美奈と信次、そしてハジメの運命は…!?尾野真千子、江口洋介、速水もこみち、坂井真紀、余貴美子、藤竜也遊川和彦伊藤彰記平井真美子槇原敬之『理由』(Buppu Label)【ゼネラルプロデューサー】黒田徹也(テレビ朝日)  【プロデューサー】山田兼司(テレビ朝日)、太田雅晴(5年D組)☆番組HP  　http://www.tv-asahi.co.jp/hajimemashite/  ☆Twitter  　https://twitter.com/hajimemashite_5</t>
  </si>
  <si>
    <t>突然現れた黒川月子(富田靖子)は、美奈(尾野真千子)や信次(江口洋介)に断りもなく、ハジメ(横山歩)を連れて帰ろうとする。美奈はハジメをかばいながら抗議。堂本真知(余貴美子)も手続き上の問題があるとして、月子を押しとどめる。しかし、特別養子縁組制度では、実の親が子どもを手放すことを拒否した場合、申請中の里親に抵抗するすべはない…。親として成長を見届けたいと願う美奈と信次、そしてハジメの運命は…!?</t>
  </si>
  <si>
    <t>番組名はじめまして、愛しています。　#8</t>
  </si>
  <si>
    <t>ハジメがいなくなった梅田家では、美奈(尾野真千子)と信次(江口洋介)の会話も消え、ただ時間だけがむなしく流れていった。春代(坂井真紀)や巧(速水もこみち)の慰めも届かない。堂本真知(余貴美子)によれば、祖母の月子(富田靖子)と暮らしているハジメに虐待の様子は見られないという。ただ、母親の泉(志田未来)はいまだ入院中らしい。気持ちの整理がつかない二人は、ハジメが引き取られた長野へ向かうことにするが…尾野真千子、江口洋介、速水もこみち、坂井真紀、富田靖子、志田未来、余貴美子、藤竜也遊川和彦日暮謙平井真美子槇原敬之『理由』(Buppu Label)【ゼネラルプロデューサー】黒田徹也(テレビ朝日)  【プロデューサー】山田兼司(テレビ朝日)、太田雅晴(5年D組)☆番組HP  　http://www.tv-asahi.co.jp/hajimemashite/  ☆Twitter  　https://twitter.com/hajimemashite_5</t>
  </si>
  <si>
    <t>ハジメがいなくなった梅田家では、美奈(尾野真千子)と信次(江口洋介)の会話も消え、ただ時間だけがむなしく流れていった。春代(坂井真紀)や巧(速水もこみち)の慰めも届かない。堂本真知(余貴美子)によれば、祖母の月子(富田靖子)と暮らしているハジメに虐待の様子は見られないという。ただ、母親の泉(志田未来)はいまだ入院中らしい。気持ちの整理がつかない二人は、ハジメが引き取られた長野へ向かうことにするが…</t>
  </si>
  <si>
    <t>番組名はじめまして、愛しています。　#9</t>
  </si>
  <si>
    <t>梅田美奈(尾野真千子)と信次(江口洋介)は、自分たちの方がハジメ(横山歩)を養育するのに適していると、家庭裁判所に“監護者の指定"を申し立てる。堂本真知(余貴美子)から「勝つ確率はゼロに近い」と言われても、二人は諦めないと決めていた。ところが、ハジメの産みの親である泉(志田未来)が手紙を残して姿を消してしまう。ハジメの出生の真実とは?美奈、信次、ハジメの3人は本当の家族になれるのか?奇跡の最終回!尾野真千子、江口洋介、速水もこみち、坂井真紀、富田靖子、志田未来、余貴美子、藤竜也遊川和彦片山修(テレビ朝日)平井真美子槇原敬之『理由』(Buppu Label)【ゼネラルプロデューサー】黒田徹也(テレビ朝日)  【プロデューサー】山田兼司(テレビ朝日)、太田雅晴(5年D組)☆番組HP  　http://www.tv-asahi.co.jp/hajimemashite/  ☆Twitter  　https://twitter.com/hajimemashite_5</t>
  </si>
  <si>
    <t>梅田美奈(尾野真千子)と信次(江口洋介)は、自分たちの方がハジメ(横山歩)を養育するのに適していると、家庭裁判所に“監護者の指定"を申し立てる。堂本真知(余貴美子)から「勝つ確率はゼロに近い」と言われても、二人は諦めないと決めていた。ところが、ハジメの産みの親である泉(志田未来)が手紙を残して姿を消してしまう。ハジメの出生の真実とは?美奈、信次、ハジメの3人は本当の家族になれるのか?奇跡の最終回!</t>
  </si>
  <si>
    <t>1607_EX_金23</t>
  </si>
  <si>
    <t>グ・ラ・メ！</t>
  </si>
  <si>
    <t>番組名グ・ラ・メ!～総理の料理番～　#1</t>
  </si>
  <si>
    <t>総理vs元総理!  25歳の女性シェフ・一木くるみ(剛力彩芽)は「総理の意を汲み、料理にメッセージを込めてゲストに届ける」官邸料理人!だが、官邸には陰謀や策略が渦巻いていた!現総理と辞めさせたい元総理との対決!緊迫した会談の中、くるみが編み出した究極の料理とは!?剛力彩芽、滝藤賢一、高橋一生、新川優愛、内藤理沙、松尾幸実、片桐仁、三宅弘城、小日向文世『グ・ラ・メ!～大宰相の料理人～』  作・西村ミツル  画・大崎充(新潮社)菱田シンヤ常廣丈太(テレビ朝日)富貴晴美    【主題歌】ケツメイシ『カラーバリエーション』(avex trax)【ゼネラルプロデューサー】内山聖子(テレビ朝日)  【プロデューサー】中川慎子(テレビ朝日)、浅井千瑞(MMJ)、神通勉(MMJ)☆番組HP  　http://www.tv-asahi.co.jp/gurame/  ☆Twitter  　https://twitter.com/gurame_drama</t>
  </si>
  <si>
    <t>総理vs元総理!  25歳の女性シェフ・一木くるみ(剛力彩芽)は「総理の意を汲み、料理にメッセージを込めてゲストに届ける」官邸料理人!だが、官邸には陰謀や策略が渦巻いていた!現総理と辞めさせたい元総理との対決!緊迫した会談の中、くるみが編み出した究極の料理とは!?</t>
  </si>
  <si>
    <t>番組名グ・ラ・メ!～総理の料理番～　#2</t>
  </si>
  <si>
    <t>総理vsアジアの女帝!  資本撤退問題で、日本企業との関係が悪化したシンガポールのカリスマ女性経営者!もし撤退となれば、日本には10万人の失業者が…最悪の事態を回避するために、阿藤総理が動きだす!しかし、会談目前、女性経営者は料理に対し次々に無理難題を押し付け、くるみはピンチに追い込まれる!さらに、官邸大食堂のライバル料理人が現れ、料理対決に!10万人の日本人を救う料理は、果たして見つかるのか!?剛力彩芽、滝藤賢一、高橋一生、新川優愛、内藤理沙、松尾幸実、片桐仁、三宅弘城、小日向文世  【ゲスト】ジュディ・オング『グ・ラ・メ!～大宰相の料理人～』  作・西村ミツル  画・大崎充(新潮社)菱田シンヤ落合正幸富貴晴美    【主題歌】ケツメイシ『カラーバリエーション』(avex trax)【ゼネラルプロデューサー】内山聖子(テレビ朝日)  【プロデューサー】中川慎子(テレビ朝日)、浅井千瑞(MMJ)、神通勉(MMj)☆番組HP  　http://www.tv-asahi.co.jp/gurame/  ☆Twitter  　https://twitter.com/gurame_drama</t>
  </si>
  <si>
    <t>総理vsアジアの女帝!  資本撤退問題で、日本企業との関係が悪化したシンガポールのカリスマ女性経営者!もし撤退となれば、日本には10万人の失業者が…最悪の事態を回避するために、阿藤総理が動きだす!しかし、会談目前、女性経営者は料理に対し次々に無理難題を押し付け、くるみはピンチに追い込まれる!さらに、官邸大食堂のライバル料理人が現れ、料理対決に!10万人の日本人を救う料理は、果たして見つかるのか!?</t>
  </si>
  <si>
    <t>番組名グ・ラ・メ!～総理の料理番～　#3</t>
  </si>
  <si>
    <t>総理官邸に立てこもり犯が侵入!人質となった阿藤総理(小日向文世)を救うのは、世界最高の失敗料理!?タイムリミットが迫る中、くるみ(剛力彩芽)は命がけの一皿に挑む!そんな中、官邸嫌いを明言する天才棋士が国民栄誉賞を拒否!!大きなニュースになって拡散していく…。この2つを解決する、メッセージ料理とは!?剛力彩芽、滝藤賢一、高橋一生、新川優愛、内藤理沙、松尾幸実、片桐仁、三宅弘城、小日向文世  【ゲスト】和田聰宏、矢柴俊博『グ・ラ・メ!～大宰相の料理人～』  作・西村ミツル  画・大崎充(新潮社)山岡潤平常廣丈太(テレビ朝日)富貴晴美    【主題歌】ケツメイシ『カラーバリエーション』(avex trax)【ゼネラルプロデューサー】内山聖子(テレビ朝日)  【プロデューサー】中川慎子(テレビ朝日)、浅井千瑞(MMJ)、神通勉(MMJ)☆番組HP  　http://www.tv-asahi.co.jp/gurame/  ☆Twitter  　https://twitter.com/gurame_drama</t>
  </si>
  <si>
    <t>総理官邸に立てこもり犯が侵入!人質となった阿藤総理(小日向文世)を救うのは、世界最高の失敗料理!?タイムリミットが迫る中、くるみ(剛力彩芽)は命がけの一皿に挑む!そんな中、官邸嫌いを明言する天才棋士が国民栄誉賞を拒否!!大きなニュースになって拡散していく…。この2つを解決する、メッセージ料理とは!?</t>
  </si>
  <si>
    <t>番組名グ・ラ・メ!～総理の料理番～　#4</t>
  </si>
  <si>
    <t>失言大臣が官邸でカレーライスの乱を巻き起こす?  大臣の失言により、外交問題が発生!総理が大臣を更迭するとの噂が広がり、大臣は総理に激しく抗議!くるみ(剛力彩芽)は、大臣の好きなカレーライスで総理との和解を試みるも、メッセージ料理が伝わらず、大臣をいっそう怒らせてしまう…。さらには、大臣が“官邸グラン・メゾン潰し"を宣言。料理人のクビを賭けた官邸料理バトル!起死回生の一品を提供することが出来るのか!?剛力彩芽、滝藤賢一、高橋一生、新川優愛、内藤理沙、松尾幸実、片桐仁、三宅弘城、小日向文世  【ゲスト】大和田伸也、萩尾みどり『グ・ラ・メ!～大宰相の料理人～』  作・西村ミツル  画・大崎充(新潮社)菱田シンヤ小松隆志富貴晴美    【主題歌】ケツメイシ『カラーバリエーション』(avex trax)【ゼネラルプロデューサー】内山聖子(テレビ朝日)  【プロデューサー】中川慎子(テレビ朝日)、浅井千瑞(MMJ)、神通勉(MMJ)※この番組は放送時間が変更になる場合があります    ☆番組HP  　http://www.tv-asahi.co.jp/gurame/  ☆Twitter  　https://twitter.com/gurame_drama</t>
  </si>
  <si>
    <t>失言大臣が官邸でカレーライスの乱を巻き起こす?  大臣の失言により、外交問題が発生!総理が大臣を更迭するとの噂が広がり、大臣は総理に激しく抗議!くるみ(剛力彩芽)は、大臣の好きなカレーライスで総理との和解を試みるも、メッセージ料理が伝わらず、大臣をいっそう怒らせてしまう…。さらには、大臣が“官邸グラン・メゾン潰し"を宣言。料理人のクビを賭けた官邸料理バトル!起死回生の一品を提供することが出来るのか!?</t>
  </si>
  <si>
    <t>番組名グ・ラ・メ!～総理の料理番～　#5</t>
  </si>
  <si>
    <t>阿藤総理(小日向文世)にアメリカからの刺客が…!?アメリカ大統領からのあるメッセージを携えて、女性首席補佐官・アリー(草刈民代)が日本に緊急来日!突然のオファーで、官邸内に緊張が走る中、緊急会談で料理バトルが繰り広げられる!一方、阿藤総理の愛人スキャンダルが報道され、窮地に立たされる総理に、さらに厳しいバッシングの嵐が巻き起こる!阿藤政権最大のピンチに立ち向かうメッセージ料理とは!?剛力彩芽、滝藤賢一、高橋一生、新川優愛、内藤理沙、松尾幸実、片桐仁、三宅弘城、小日向文世  【ゲスト】草刈民代『グ・ラ・メ!～大宰相の料理人～』  作・西村ミツル  画・大崎充(新潮社)山岡潤平常廣丈太(テレビ朝日)富貴晴美    【主題歌】ケツメイシ『カラーバリエーション』(avex trax)【ゼネラルプロデューサー】内山聖子(テレビ朝日)  【プロデューサー】中川慎子(テレビ朝日)、浅井千瑞(MMJ)、神通勉(MMJ)☆番組HP  　http://www.tv-asahi.co.jp/gurame/  ☆Twitter  　https://twitter.com/gurame_drama</t>
  </si>
  <si>
    <t>阿藤総理(小日向文世)にアメリカからの刺客が…!?アメリカ大統領からのあるメッセージを携えて、女性首席補佐官・アリー(草刈民代)が日本に緊急来日!突然のオファーで、官邸内に緊張が走る中、緊急会談で料理バトルが繰り広げられる!一方、阿藤総理の愛人スキャンダルが報道され、窮地に立たされる総理に、さらに厳しいバッシングの嵐が巻き起こる!阿藤政権最大のピンチに立ち向かうメッセージ料理とは!?</t>
  </si>
  <si>
    <t>番組名グ・ラ・メ!～総理の料理番～　#6</t>
  </si>
  <si>
    <t>「総理vs傲慢官僚!さらに永田町に伝説の女料理人現る!」  官僚機構の改革を進めようとする阿藤総理(小日向文世 )に、事務次官の石垣(藤本隆宏)は猛反発!“内閣vs官僚"の構図が浮き彫りに…。総理の悪評が流されるまでに事態は悪化し、総理は石垣事務次官との緊急会談を開くことに!だが、その調理は官邸料理人のくるみ(剛力彩芽)には託されず…総理を助ける術がなくなったくるみは、永田町の伝説の女料理人に接触!剛力彩芽、滝藤賢一、高橋一生、新川優愛、内藤理沙、松尾幸実、片桐仁、三宅弘城、小日向文世  【ゲスト】藤田弓子、藤本隆宏『グ・ラ・メ!～大宰相の料理人～』  作・西村ミツル  画・大崎充(新潮社)菱田シンヤ落合正幸富貴晴美    【主題歌】ケツメイシ『カラーバリエーション』(avex trax)【ゼネラルプロデューサー】内山聖子(テレビ朝日)  【プロデューサー】中川慎子(テレビ朝日)、浅井千瑞(MMJ)、神通勉(MMJ)☆番組HP  　http://www.tv-asahi.co.jp/gurame/  ☆Twitter  　https://twitter.com/gurame_drama</t>
  </si>
  <si>
    <t>「総理vs傲慢官僚!さらに永田町に伝説の女料理人現る!」  官僚機構の改革を進めようとする阿藤総理(小日向文世 )に、事務次官の石垣(藤本隆宏)は猛反発!“内閣vs官僚"の構図が浮き彫りに…。総理の悪評が流されるまでに事態は悪化し、総理は石垣事務次官との緊急会談を開くことに!だが、その調理は官邸料理人のくるみ(剛力彩芽)には託されず…総理を助ける術がなくなったくるみは、永田町の伝説の女料理人に接触!</t>
  </si>
  <si>
    <t>番組名グ・ラ・メ!～総理の料理番～　#7</t>
  </si>
  <si>
    <t>「日本レストラン王vs官邸料理人」  総理とパリ市長との会食を、日本のレストラン王の三戸が仕切る事になり、官邸グランメゾンが乗っ取られる事態に!だが、三戸は過去に食品偽装問題を糾弾した総理に恨みを持っていた。そこに注文した食材が届かない、というトラブルが発生!さらに、くるみが怪我で調理が出来ない状況に!窮地に陥った厨房を救おうとしたのは意外な人物だった。だが、その人物の過去が官邸最大の危機を招く事に!剛力彩芽、滝藤賢一、高橋一生、新川優愛、内藤理沙、松尾幸実、片桐仁、三宅弘城、小日向文世  【ゲスト】半海一晃『グ・ラ・メ!～大宰相の料理人～』  作・西村ミツル  画・大崎充(新潮社)山岡潤平小松隆志富貴晴美    【主題歌】ケツメイシ『カラーバリエーション』(avex trax)【ゼネラルプロデューサー】内山聖子(テレビ朝日)  【プロデューサー】中川慎子(テレビ朝日)、浅井千瑞(MMJ)、神通勉(MMJ)☆番組HP  　http://www.tv-asahi.co.jp/gurame/  ☆Twitter  　https://twitter.com/gurame_drama</t>
  </si>
  <si>
    <t>「日本レストラン王vs官邸料理人」  総理とパリ市長との会食を、日本のレストラン王の三戸が仕切る事になり、官邸グランメゾンが乗っ取られる事態に!だが、三戸は過去に食品偽装問題を糾弾した総理に恨みを持っていた。そこに注文した食材が届かない、というトラブルが発生!さらに、くるみが怪我で調理が出来ない状況に!窮地に陥った厨房を救おうとしたのは意外な人物だった。だが、その人物の過去が官邸最大の危機を招く事に!</t>
  </si>
  <si>
    <t>番組名グ・ラ・メ!～総理の料理番～　#8</t>
  </si>
  <si>
    <t>「総理大臣vs次期総理大臣候補!」  巷で絶大な人気を誇る若手政治家・氷室(葛山信吾)が、阿藤総理(小日向文世)と“官邸グラン・メゾン"を真っ向からバッシング。そして、次期内閣総理大臣を目指すことを記者たちの前で宣言する。そんな中、阿藤総理は報道陣の前で倒れ、内閣支持率は急降下。氷室には退陣を迫られ、崖っぷちとなる。阿藤と氷室の会談を成功させるため、くるみ(剛力彩芽)が最後のひと皿に込める思いとは…?剛力彩芽、滝藤賢一、高橋一生、新川優愛、内藤理沙、松尾幸実、片桐仁、三宅弘城、小日向文世  【ゲスト】葛山信吾『グ・ラ・メ!～大宰相の料理人～』  作・西村ミツル  画・大崎充(新潮社)菱田シンヤ常廣丈太(テレビ朝日)富貴晴美    【主題歌】ケツメイシ『カラーバリエーション』(avex trax)【ゼネラルプロデューサー】内山聖子(テレビ朝日)  【プロデューサー】中川慎子(テレビ朝日)、浅井千瑞(MMJ)、神通勉(MMJ)☆番組HP  　http://www.tv-asahi.co.jp/gurame/  ☆Twitter  　https://twitter.com/gurame_drama</t>
  </si>
  <si>
    <t>「総理大臣vs次期総理大臣候補!」  巷で絶大な人気を誇る若手政治家・氷室(葛山信吾)が、阿藤総理(小日向文世)と“官邸グラン・メゾン"を真っ向からバッシング。そして、次期内閣総理大臣を目指すことを記者たちの前で宣言する。そんな中、阿藤総理は報道陣の前で倒れ、内閣支持率は急降下。氷室には退陣を迫られ、崖っぷちとなる。阿藤と氷室の会談を成功させるため、くるみ(剛力彩芽)が最後のひと皿に込める思いとは…?</t>
  </si>
  <si>
    <t>1604_EX_木21</t>
  </si>
  <si>
    <t>グッドパートナー</t>
  </si>
  <si>
    <t>番組名グッドパートナー　無敵の弁護士　#1</t>
  </si>
  <si>
    <t>『神宮寺法律事務所』のボスである神宮寺一彦(國村隼)は、敏腕弁護士・咲坂健人(竹野内豊)に新人弁護士・熱海優作(賀来賢人)の教育係になるように言い渡す。その事務所には、咲坂の元妻で弁護士の夏目佳恵(松雪泰子)や猫田純一(杉本哲太)ら最強弁護士軍団が。咲坂にデザイン会社の社長・重国(鈴木杏樹)から、著作権訴訟の弁護依頼が舞い込む。勝ち目がない完全不利な訴訟事件だが、咲坂は全面的に争うことを宣言する。竹野内豊、松雪泰子、賀来賢人、山崎育三郎、馬場園梓(アジアン)、岡本あずさ、宮崎香蓮、上地春奈、松風理咲/杉本哲太/合田雅吏、宮地雅子、大倉孝二/國村隼  【ゲスト】鈴木杏樹、近藤芳正、手塚とおる、山崎潤、吉成浩一、小久保寿人、荻野友里、桜川博子、木川淳一、諌山幸治、松葉洋人、水口早香、前野恵、伊佐美紀福田靖本橋圭太平井堅『Plus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</si>
  <si>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神宮寺法律事務所』のボスである神宮寺一彦(國村隼)は、敏腕弁護士・咲坂健人(竹野内豊)に新人弁護士・熱海優作(賀来賢人)の教育係になるように言い渡す。その事務所には、咲坂の元妻で弁護士の夏目佳恵(松雪泰子)や猫田純一(杉本哲太)ら最強弁護士軍団が。咲坂にデザイン会社の社長・重国(鈴木杏樹)から、著作権訴訟の弁護依頼が舞い込む。勝ち目がない完全不利な訴訟事件だが、咲坂は全面的に争うことを宣言する。</t>
  </si>
  <si>
    <t>番組名グッドパートナー　無敵の弁護士　#2</t>
  </si>
  <si>
    <t>咲坂(竹野内豊)の顧問先の企業が、元社員・小西(野間口徹)の不当解雇で訴えられ、小西の弁護士・宮前(モロ師岡)に、会社に戻せないならば残りの2年分の給与2400万円を支払うことを要求された。一方、夏目(松雪泰子)も顧問先の企業合併が破談になり、先方の顧問弁護士に会いに行くと、なんと咲坂の案件と同じ宮前だった。神宮寺(國村隼)に「絶対に勝て」と焚き付けられた2人は、思いもよらない方法で曲者弁護士に立ち向かう!竹野内豊、松雪泰子、賀来賢人、山崎育三郎、馬場園梓(アジアン)、岡本あずさ、宮崎香蓮、上地春奈、松風理咲/杉本哲太/合田雅吏、宮地雅子、大倉孝二/國村隼  【ゲスト】モロ師岡、野間口徹、高橋光臣、青山倫子、三浦浩一、田口主将、Erina、村井美和、佐々木省三、向衣琴、中村高華、井上あかね、安藤聡海、河西結心福田靖本橋圭太平井堅『Plus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</si>
  <si>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咲坂(竹野内豊)の顧問先の企業が、元社員・小西(野間口徹)の不当解雇で訴えられ、小西の弁護士・宮前(モロ師岡)に、会社に戻せないならば残りの2年分の給与2400万円を支払うことを要求された。一方、夏目(松雪泰子)も顧問先の企業合併が破談になり、先方の顧問弁護士に会いに行くと、なんと咲坂の案件と同じ宮前だった。神宮寺(國村隼)に「絶対に勝て」と焚き付けられた2人は、思いもよらない方法で曲者弁護士に立ち向かう!</t>
  </si>
  <si>
    <t>番組名グッドパートナー　無敵の弁護士　#3</t>
  </si>
  <si>
    <t>猫田(杉本哲太)が手がける企業の上場案件にトラブル発生!信頼して業務委託をしていた会社が、暴力団に関連する企業である疑いが浮上。案件を手伝う咲坂(竹野内豊)と熱海(賀来賢人)は、猫田とその企業の社長(星田英利)に会いに行くが、事実ではないと追い返されてしまう。そんな時、咲坂と佳恵(松雪泰子)の一人娘・みずき(松風理咲)の盗撮写真が事務所に送られてきた。2人は、暴力団からの脅しだと慌てて…竹野内豊、松雪泰子、賀来賢人、山崎育三郎、馬場園梓(アジアン)、岡本あずさ、宮崎香蓮、上地春奈、松風理咲/杉本哲太/合田雅吏、宮地雅子、大倉孝二/國村隼  【ゲスト】星田英利、高橋光臣、青山倫子、横田栄司、望月章男、紀村龍、森谷勇太、児玉貴志、荒川浩平福田靖田村直己(テレビ朝日)平井堅『Plus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</si>
  <si>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猫田(杉本哲太)が手がける企業の上場案件にトラブル発生!信頼して業務委託をしていた会社が、暴力団に関連する企業である疑いが浮上。案件を手伝う咲坂(竹野内豊)と熱海(賀来賢人)は、猫田とその企業の社長(星田英利)に会いに行くが、事実ではないと追い返されてしまう。そんな時、咲坂と佳恵(松雪泰子)の一人娘・みずき(松風理咲)の盗撮写真が事務所に送られてきた。2人は、暴力団からの脅しだと慌てて…</t>
  </si>
  <si>
    <t>番組名グッドパートナー　無敵の弁護士　#4</t>
  </si>
  <si>
    <t>顧問先の老舗シューズメーカーの会長・健三(竜雷太)が、息子であり現社長の孝太郎(矢柴俊博)への不満を爆発させた。会社を守り続けてきた健三は、靴屋にも関わらず飲食店経営に手を出す息子が許せず、お家騒動にまで発展。咲坂(竹野内豊)と熱海(賀来賢人)は、親子の仲を取り持つことが解決策だと、大きな賭けにでる。一方、佳恵(松雪泰子)のアソシエイト・赤星(山崎育三郎)が入院し、九十九(大倉孝二)が指名され…。竹野内豊、松雪泰子、賀来賢人、山崎育三郎、馬場園梓(アジアン)、岡本あずさ、宮崎香蓮、上地春奈、松風理咲/杉本哲太/宮地雅子、大倉孝二/國村隼  【ゲスト】竜雷太、矢柴俊博、横田栄司、三上市朗、高桑満、池波玄八、城戸光晴、出口高司福田靖田村直己(テレビ朝日)平井堅『Plus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</si>
  <si>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顧問先の老舗シューズメーカーの会長・健三(竜雷太)が、息子であり現社長の孝太郎(矢柴俊博)への不満を爆発させた。会社を守り続けてきた健三は、靴屋にも関わらず飲食店経営に手を出す息子が許せず、お家騒動にまで発展。咲坂(竹野内豊)と熱海(賀来賢人)は、親子の仲を取り持つことが解決策だと、大きな賭けにでる。一方、佳恵(松雪泰子)のアソシエイト・赤星(山崎育三郎)が入院し、九十九(大倉孝二)が指名され…。</t>
  </si>
  <si>
    <t>番組名グッドパートナー　無敵の弁護士　#5</t>
  </si>
  <si>
    <t>顧問先の病院から依頼され、セクハラ講習会の講師をする咲坂(竹野内豊)と熱海(賀来健人)。その病院の事務長・葛原(小林隆)の様子がおかしいことに気付いた咲坂は、葛原から病院のエース医師・厚木(神尾佑)による看護師たちへのセクハラ問題が起きていることを相談される。神宮寺(國村隼)に、「セクハラ問題なら夏目先生(松雪泰子)の力を借りろ」と言われ、咲坂は不本意ながら佳恵と隠蔽体質の病院にメスを入れていく!竹野内豊、松雪泰子、賀来賢人、山崎育三郎、馬場園梓(アジアン)、岡本あずさ、宮崎香蓮、上地春奈、松風理咲/杉本哲太/合田雅吏、宮地雅子、大倉孝二/國村隼  【ゲスト】小林隆、神尾佑、逢沢りな、佐渡稔、横田栄司、浅野雅博、石川シン、深柄比菜、坂井裕美、橘美緒、竹中友紀子、祖父江進、マソウドルーズバハニ、佐藤詩子、ルギャルアルノ、長城祝華、川北のん、吉田直未福田靖本橋圭太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</si>
  <si>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顧問先の病院から依頼され、セクハラ講習会の講師をする咲坂(竹野内豊)と熱海(賀来健人)。その病院の事務長・葛原(小林隆)の様子がおかしいことに気付いた咲坂は、葛原から病院のエース医師・厚木(神尾佑)による看護師たちへのセクハラ問題が起きていることを相談される。神宮寺(國村隼)に、「セクハラ問題なら夏目先生(松雪泰子)の力を借りろ」と言われ、咲坂は不本意ながら佳恵と隠蔽体質の病院にメスを入れていく!</t>
  </si>
  <si>
    <t>番組名グッドパートナー　無敵の弁護士　#6</t>
  </si>
  <si>
    <t>咲坂(竹野内豊)に、そば店を経営する夫婦が「都内に数店舗ある店の経営が数年前から傾き始め倒産寸前」だと、飛び込みの相談にやってきた。「従業員や取引先に迷惑をかけないために店は潰せない」と言う店主のために、咲坂と熱海(賀来賢人)は再建に向けての計画をたてるが、財務に強い赤星(山崎育三郎)は倒産を勧める。真っ向から意見が対立する咲坂と赤星。実は赤星には、佳恵(松雪泰子)にも告白していない過去があり…。竹野内豊、松雪泰子、賀来賢人、山崎育三郎、馬場園梓(アジアン)、岡本あずさ、宮崎香蓮、上地春奈、松風理咲/杉本哲太/合田雅吏、宮地雅子、大倉孝二/國村隼  【ゲスト】六平直政、横田栄司、小松彩夏、千賀由紀子、伊藤修子、藤野大輝、中脇樹人、伊藤毅、目黒杏理、青柳文太郎、綾瀬羽乃、藤本沙紀福田靖常廣丈太(テレビ朝日)平井堅『Plus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</si>
  <si>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咲坂(竹野内豊)に、そば店を経営する夫婦が「都内に数店舗ある店の経営が数年前から傾き始め倒産寸前」だと、飛び込みの相談にやってきた。「従業員や取引先に迷惑をかけないために店は潰せない」と言う店主のために、咲坂と熱海(賀来賢人)は再建に向けての計画をたてるが、財務に強い赤星(山崎育三郎)は倒産を勧める。真っ向から意見が対立する咲坂と赤星。実は赤星には、佳恵(松雪泰子)にも告白していない過去があり…。</t>
  </si>
  <si>
    <t>番組名グッドパートナー　無敵の弁護士　#7</t>
  </si>
  <si>
    <t>熱海(賀来賢人)は、幼なじみの勝太(渋谷謙人)から、親子で営む旅館・しらかぜ荘で温泉汲み上げ施設の爆発事故があったことを聞く。施設管理会社の社長・土井垣(福田転球)は一切責任をとらず、勝太の父は多額の借金に悩み、亡くなってしまった。熱海は咲坂(竹野内豊)に「こんな理不尽は許せない」と訴える。熱海の熱い想いで咲坂や佳恵(松雪泰子)は、しらかぜ荘を立て直すことを決意するが、土井垣には大物政治家がバックにいて…!?竹野内豊、松雪泰子、賀来賢人、山崎育三郎、馬場園梓(アジアン)、岡本あずさ、宮崎香蓮、上地春奈、松風理咲/杉本哲太/宮地雅子、大倉孝二/國村隼  【ゲスト】福田転球、正名僕蔵、あめくみちこ、横田栄司、新井康弘、清水紘治、渋谷謙人、小松彩夏、藤野大輝、高橋美津子、羽場涼介福田靖田村直己(テレビ朝日)平井堅『Plus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</si>
  <si>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熱海(賀来賢人)は、幼なじみの勝太(渋谷謙人)から、親子で営む旅館・しらかぜ荘で温泉汲み上げ施設の爆発事故があったことを聞く。施設管理会社の社長・土井垣(福田転球)は一切責任をとらず、勝太の父は多額の借金に悩み、亡くなってしまった。熱海は咲坂(竹野内豊)に「こんな理不尽は許せない」と訴える。熱海の熱い想いで咲坂や佳恵(松雪泰子)は、しらかぜ荘を立て直すことを決意するが、土井垣には大物政治家がバックにいて…!?</t>
  </si>
  <si>
    <t>番組名グッドパートナー　無敵の弁護士　#8</t>
  </si>
  <si>
    <t>熱海(賀来賢人)の幼なじみの家族が経営する温泉宿『しらかぜ荘』を救うために咲坂(竹野内豊)と佳恵(松雪泰子)らは、爆発事故を起こした施設管理会社の土井垣(福田転球)の代理人である岬弁護士(正名僕蔵)に異議申し立てをする。しかし、第一回口頭弁論を終えて帰ってきた佳恵から「負けたわ」と衝撃の言葉が…。苦境に立たされた咲坂は、思いもよらない方法でしらかぜ荘を救うことを思いつき、事務所総出で証明を試みる!!竹野内豊、松雪泰子、賀来賢人、山崎育三郎、馬場園梓(アジアン)、岡本あずさ、宮崎香蓮、上地春奈、松風理咲/杉本哲太/合田雅吏、宮地雅子、大倉孝二/國村隼  【ゲスト】あめくみちこ、福田転球、新井康弘、正名僕蔵、村杉蝉之介、峯村リエ、渋谷謙人、横田栄司、清水紘治、小松彩夏、高橋美津子、石井洋祐、羽場涼介福田靖本橋圭太平井堅『Plus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</si>
  <si>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熱海(賀来賢人)の幼なじみの家族が経営する温泉宿『しらかぜ荘』を救うために咲坂(竹野内豊)と佳恵(松雪泰子)らは、爆発事故を起こした施設管理会社の土井垣(福田転球)の代理人である岬弁護士(正名僕蔵)に異議申し立てをする。しかし、第一回口頭弁論を終えて帰ってきた佳恵から「負けたわ」と衝撃の言葉が…。苦境に立たされた咲坂は、思いもよらない方法でしらかぜ荘を救うことを思いつき、事務所総出で証明を試みる!!</t>
  </si>
  <si>
    <t>番組名グッドパートナー　無敵の弁護士　#9</t>
  </si>
  <si>
    <t>顧問先の社長夫人(戸田菜穂)が「夫(橋本さとし)と離婚したい」と、咲坂(竹野内豊)と佳恵(松雪泰子)に相談にくる。夫の会社の顧問である神宮寺法律事務所は、「妻側の弁護はできない」と断る。しかし、佳恵が「少し考えさせてほしい」と言ったことで、熱海(賀来賢人)や赤星(山崎育三郎)は戸惑いを隠せない。実は佳恵は、知り合いの弁護士・亜希子(峯村リエ)からヘッドハントされていた…。最後の案件に、咲坂がとった手段とは!?竹野内豊、松雪泰子、賀来賢人、山崎育三郎、馬場園梓(アジアン)、岡本あずさ、宮崎香蓮、上地春奈、松風理咲/杉本哲太/合田雅吏、宮地雅子、大倉孝二/國村隼  【ゲスト】戸田菜穂、橋本さとし、羽場裕一、横田栄司、峯村リエ、上野なつひ、小池由、坂口涼太郎福田靖本橋圭太平井堅『Plus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</si>
  <si>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顧問先の社長夫人(戸田菜穂)が「夫(橋本さとし)と離婚したい」と、咲坂(竹野内豊)と佳恵(松雪泰子)に相談にくる。夫の会社の顧問である神宮寺法律事務所は、「妻側の弁護はできない」と断る。しかし、佳恵が「少し考えさせてほしい」と言ったことで、熱海(賀来賢人)や赤星(山崎育三郎)は戸惑いを隠せない。実は佳恵は、知り合いの弁護士・亜希子(峯村リエ)からヘッドハントされていた…。最後の案件に、咲坂がとった手段とは!?</t>
  </si>
  <si>
    <t>1604_EX_金23</t>
  </si>
  <si>
    <t>不機嫌な果実</t>
  </si>
  <si>
    <t>番組名不機嫌な果実　#1　林真理子原作の衝撃作、ドラマ化!</t>
  </si>
  <si>
    <t>結婚して5年、麻也子(栗山千明)は、マザコンで潔癖症の夫・航一(稲垣吾郎)とセックスレスの日々を送る。満たされない麻也子は、昔の恋人・野村(成宮寛貴)に連絡をとり、「不倫」という危険な道へと溺れてゆく。さらに、少年のような音楽評論家・通彦(市原隼人)と運命的な出会いを果たし、女友達の久美(高梨臨)や玲子(橋本マナミ)をも巻き込んで、やがてドロドロの愛憎劇に発展してゆく…!水越麻也子…栗山千明  工藤通彦…市原隼人  竹田久美…高梨臨  遠山玲子…橋本マナミ    関口真希…藤本泉  古川　徹…奥村秀人  山岸亮介…多和田秀弥    遠山　茂…六角精児  津久井哲也…光石研  水越綾子…萬田久子  野村健吾…成宮寛貴  水越航一…稲垣吾郎林真理子『不機嫌な果実』(文春文庫)江頭美智留樹下直美沢田完    【主題歌】斉藤和義『マディウォーター』(スピードスターレコーズ)【ゼネラルプロデューサー】横地郁英(テレビ朝日)  【プロデューサー】川島誠史(テレビ朝日)、木曽貴美子(MMJ)☆番組HP  　http://www.tv-asahi.co.jp/fukigen/  ☆Twitter  　https://twitter.com/fukigen_kajitsu</t>
  </si>
  <si>
    <t>結婚して5年、麻也子(栗山千明)は、マザコンで潔癖症の夫・航一(稲垣吾郎)とセックスレスの日々を送る。満たされない麻也子は、昔の恋人・野村(成宮寛貴)に連絡をとり、「不倫」という危険な道へと溺れてゆく。さらに、少年のような音楽評論家・通彦(市原隼人)と運命的な出会いを果たし、女友達の久美(高梨臨)や玲子(橋本マナミ)をも巻き込んで、やがてドロドロの愛憎劇に発展してゆく…!</t>
  </si>
  <si>
    <t>番組名不機嫌な果実　♯2　林真理子原作の傑作愛憎劇!箱根での禁断の一夜!</t>
  </si>
  <si>
    <t>マザコンの夫・航一(稲垣吾郎)に不満を持つ麻也子(栗山千明)は、昔の恋人・野村(成宮寛貴)と不倫の一歩を踏み出してしまう。一方、不倫を憎む女友達・久美(高梨臨)も、誰かと秘密の連絡を取り合っており…!そんな頃、麻也子は音楽評論家・通彦(市原隼人)と偶然の再会を果たすが…。そして、遂に麻也子は野村と箱根に不倫旅行へ。その裏で、夫・航一のとんでもない秘密が明らかになる!水越麻也子…栗山千明  工藤通彦…市原隼人  竹田久美…高梨臨  遠山玲子…橋本マナミ    関口真希…藤本泉  古川徹…奥村秀人  山岸亮介…多和田秀弥    遠山茂…六角精児  津久井哲也…光石研  水越綾子…萬田久子  野村健吾…成宮寛貴  水越航一…稲垣吾郎林真理子『不機嫌な果実』(文春文庫)江頭美智留樹下直美沢田完    【主題歌】斉藤和義『マディウォーター』(スピードスターレコーズ)【ゼネラルプロデューサー】横地郁英(テレビ朝日)  【プロデューサー】川島誠史(テレビ朝日)、木曽貴美子(MMJ)☆番組HP  　http://www.tv-asahi.co.jp/fukigen/  ☆Twitter  　https://twitter.com/fukigen_kajitsu</t>
  </si>
  <si>
    <t>マザコンの夫・航一(稲垣吾郎)に不満を持つ麻也子(栗山千明)は、昔の恋人・野村(成宮寛貴)と不倫の一歩を踏み出してしまう。一方、不倫を憎む女友達・久美(高梨臨)も、誰かと秘密の連絡を取り合っており…!そんな頃、麻也子は音楽評論家・通彦(市原隼人)と偶然の再会を果たすが…。そして、遂に麻也子は野村と箱根に不倫旅行へ。その裏で、夫・航一のとんでもない秘密が明らかになる!</t>
  </si>
  <si>
    <t>番組名不機嫌な果実　#3　林真理子原作!絶体絶命…夫と不倫相手がハチ合わせ!</t>
  </si>
  <si>
    <t>マザコンの夫・航一(稲垣吾郎)に不満を持つ麻也子(栗山千明)は、昔の恋人・野村(成宮寛貴)と“不倫への道"へ踏み出してゆく。しかも、箱根での不倫旅行からの帰りを、友達の玲子(橋本マナミ)に目撃されてしまう!そうとは知らない麻也子は、さらなるピンチに!なんと、夫の航一、不倫相手の野村、自分に思いを寄せる通彦(市原隼人)と、久美(高梨臨)の店で同席することになり、最大の修羅場を迎える!!水越麻也子…栗山千明  工藤通彦…市原隼人  竹田久美…高梨臨  遠山玲子…橋本マナミ    関口真希…藤本泉  古川徹…奥村秀人  山岸亮介…多和田秀弥    津久井哲也…光石研  野村健吾…成宮寛貴  水越航一…稲垣吾郎林真理子『不機嫌な果実』(文春文庫)小山正太、江頭美智留星野和成沢田完    【主題歌】斉藤和義『マディウォーター』(スピードスターレコーズ)【ゼネラルプロデューサー】横地郁英(テレビ朝日)  【プロデューサー】川島誠史(テレビ朝日)、木曽貴美子(MMJ)☆番組HP  　http://www.tv-asahi.co.jp/fukigen/  ☆Twitter  　https://twitter.com/fukigen_kajitsu</t>
  </si>
  <si>
    <t>マザコンの夫・航一(稲垣吾郎)に不満を持つ麻也子(栗山千明)は、昔の恋人・野村(成宮寛貴)と“不倫への道"へ踏み出してゆく。しかも、箱根での不倫旅行からの帰りを、友達の玲子(橋本マナミ)に目撃されてしまう!そうとは知らない麻也子は、さらなるピンチに!なんと、夫の航一、不倫相手の野村、自分に思いを寄せる通彦(市原隼人)と、久美(高梨臨)の店で同席することになり、最大の修羅場を迎える!!</t>
  </si>
  <si>
    <t>番組名不機嫌な果実　♯4　林真理子原作!妻の浮気発覚でマザコン夫号泣!!</t>
  </si>
  <si>
    <t>マザコンの夫・航一(稲垣吾郎)に不満を持つ麻也子(栗山千明)は、昔の恋人と“不倫への道"へ踏み出すが、早くも夫にバレて窮地に!駆けつけた姑・綾子(萬田久子)は激怒、なんとそのまま同居を始めてしまう。さらに、麻也子と航一がセックスレスだと知り、ありえない方向へと暴走し始め…!そんなある日、麻也子を元気づけようと、通彦(市原隼人)が“あるもの"を持って会いにくるが、その現場を航一に見られてしまい…!?水越麻也子…栗山千明  工藤通彦…市原隼人  竹田久美…高梨臨  遠山玲子…橋本マナミ    関口真希…藤本泉  古川徹…奥村秀人    遠山茂…六角精児  津久井哲也…光石研  水越綾子…萬田久子  水越航一…稲垣吾郎林真理子『不機嫌な果実』(文春文庫)江頭美智留小松隆志沢田完    【主題歌】斉藤和義『マディウォーター』(スピードスターレコーズ)【ゼネラルプロデューサー】横地郁英(テレビ朝日)  【プロデューサー】川島誠史(テレビ朝日)、木曽貴美子(MMJ)☆番組HP  　http://www.tv-asahi.co.jp/fukigen/  ☆Twitter  　https://twitter.com/fukigen_kajitsu</t>
  </si>
  <si>
    <t>マザコンの夫・航一(稲垣吾郎)に不満を持つ麻也子(栗山千明)は、昔の恋人と“不倫への道"へ踏み出すが、早くも夫にバレて窮地に!駆けつけた姑・綾子(萬田久子)は激怒、なんとそのまま同居を始めてしまう。さらに、麻也子と航一がセックスレスだと知り、ありえない方向へと暴走し始め…!そんなある日、麻也子を元気づけようと、通彦(市原隼人)が“あるもの"を持って会いにくるが、その現場を航一に見られてしまい…!?</t>
  </si>
  <si>
    <t>番組名不機嫌な果実　♯5/裏切りのバーベキュー!離婚へのカウントダウン!?</t>
  </si>
  <si>
    <t>麻也子(栗山千明)は、不倫がバレたことにより、マザコン夫・航一(稲垣吾郎)の異常な監視体制に置かれることに。そんな中、親友・久美(高梨臨)に誘われたバーベキュー・パーティーで通彦(市原隼人)と再会。惹かれ合う二人のもとに、接待ゴルフに行っていたはずの航一が現れ…!?策略と裏切りが渦巻く中、ついに麻也子と航一の離婚へのカウントダウンが始まる!水越麻也子…栗山千明  工藤通彦…市原隼人  竹田久美…高梨臨  遠山玲子…橋本マナミ    関口真希…藤本泉  古川徹…奥村秀人    遠山茂…六角精児  津久井哲也…光石研  水越航一…稲垣吾郎林真理子『不機嫌な果実』(文春文庫)清水友佳子樹下直美沢田完    【主題歌】斉藤和義『マディウォーター』(スピードスターレコーズ)【ゼネラルプロデューサー】横地郁英(テレビ朝日)  【プロデューサー】川島誠史(テレビ朝日)、木曽貴美子(MMJ)☆番組HP  　http://www.tv-asahi.co.jp/fukigen/  ☆Twitter  　https://twitter.com/fukigen_kajitsu</t>
  </si>
  <si>
    <t>麻也子(栗山千明)は、不倫がバレたことにより、マザコン夫・航一(稲垣吾郎)の異常な監視体制に置かれることに。そんな中、親友・久美(高梨臨)に誘われたバーベキュー・パーティーで通彦(市原隼人)と再会。惹かれ合う二人のもとに、接待ゴルフに行っていたはずの航一が現れ…!?策略と裏切りが渦巻く中、ついに麻也子と航一の離婚へのカウントダウンが始まる!</t>
  </si>
  <si>
    <t>番組名不機嫌な果実　♯6/最終章!マザコン夫が記憶喪失!さらに“謎の女"登場!</t>
  </si>
  <si>
    <t>ついに麻也子(栗山千明)は通彦(市原隼人)と結ばれ「一緒にイタリアに行こう」とプロポーズされる。麻也子は、夫・航一(稲垣吾郎)に離婚話を切り出すが、揉み合いの末に頭を強打した航一が、なんと記憶喪失に!看護を続ける麻也子だが、人が変わったかのように“純粋で心優しい航一"に触れ…!?そんな中、病院でウエディング・プランナーの早苗(名取裕子)という女性と知り合う。この出会いが新たな修羅場を呼ぶ!水越麻也子…栗山千明  工藤通彦…市原隼人  竹田久美…高梨臨  遠山玲子…橋本マナミ  ・  田中早苗…名取裕子  ・  津久井哲也…光石研  水越綾子…萬田久子  水越航一…稲垣吾郎林真理子『不機嫌な果実』(文春文庫)江頭美智留星野和成沢田完    【主題歌】斉藤和義『マディウォーター』(スピードスターレコーズ)【ゼネラルプロデューサー】横地郁英(テレビ朝日)  【プロデューサー】川島誠史(テレビ朝日)、木曽貴美子(MMJ)☆番組HP  　http://www.tv-asahi.co.jp/fukigen/  ☆Twitter  　https://twitter.com/fukigen_kajitsu</t>
  </si>
  <si>
    <t>ついに麻也子(栗山千明)は通彦(市原隼人)と結ばれ「一緒にイタリアに行こう」とプロポーズされる。麻也子は、夫・航一(稲垣吾郎)に離婚話を切り出すが、揉み合いの末に頭を強打した航一が、なんと記憶喪失に!看護を続ける麻也子だが、人が変わったかのように“純粋で心優しい航一"に触れ…!?そんな中、病院でウエディング・プランナーの早苗(名取裕子)という女性と知り合う。この出会いが新たな修羅場を呼ぶ!</t>
  </si>
  <si>
    <t>番組名不機嫌な果実　♯7/衝撃の最終回!ドロ沼愛憎劇の結末</t>
  </si>
  <si>
    <t>夫・航一(稲垣吾郎)の記憶喪失が自作自演だったこと、さらには親友の久美(高梨臨)との不倫も発覚し、麻也子(栗山千明)は通彦(市原隼人)との結婚へ踏み切るが、新たな姑・早苗(名取裕子)の猛反対にあう。そんな麻也子に航一は「卒業証書だよ」と“あるもの"を渡し、夫婦がセックスレスになった原因について衝撃的な告白を始める!そして、偶然にも野村(成宮寛貴)と再会し…?愛憎渦巻く不倫劇が迎える、衝撃の結末は!?水越麻也子…栗山千明  工藤通彦…市原隼人  竹田久美…高梨臨  遠山玲子…橋本マナミ  ・  田中早苗…名取裕子  ・  関口真希…藤本泉  古川徹…奥村秀人  ・  遠山茂…六角精児  津久井哲也…光石研  水越綾子…萬田久子  野村健吾…成宮寛貴  水越航一…稲垣吾郎林真理子『不機嫌な果実』(文春文庫)江頭美智留樹下直美沢田完    【主題歌】斉藤和義『マディウォーター』(スピードスターレコーズ)【ゼネラルプロデューサー】横地郁英(テレビ朝日)  【プロデューサー】川島誠史(テレビ朝日)、木曽貴美子(MMJ)☆番組HP  　http://www.tv-asahi.co.jp/fukigen/  ☆Twitter  　https://twitter.com/fukigen_kajitsu</t>
  </si>
  <si>
    <t>夫・航一(稲垣吾郎)の記憶喪失が自作自演だったこと、さらには親友の久美(高梨臨)との不倫も発覚し、麻也子(栗山千明)は通彦(市原隼人)との結婚へ踏み切るが、新たな姑・早苗(名取裕子)の猛反対にあう。そんな麻也子に航一は「卒業証書だよ」と“あるもの"を渡し、夫婦がセックスレスになった原因について衝撃的な告白を始める!そして、偶然にも野村(成宮寛貴)と再会し…?愛憎渦巻く不倫劇が迎える、衝撃の結末は!?</t>
  </si>
  <si>
    <t>1601_EX_木21</t>
  </si>
  <si>
    <t>スペシャリスト</t>
  </si>
  <si>
    <t>番組名スペシャリスト　#1</t>
  </si>
  <si>
    <t>宅間善人(草ナギ剛)は東京刑務所に収監されていた。以前、殺人未遂罪で滋賀中央刑務所に入れられて以来、二度目の刑務所生活。一度目は冤罪であることが判明し、出所となったが…。  事の始まりは10カ月前に遡る。宅間は、密室で起きた小説家刺殺事件を捜査することに。現場を見た宅間は、次々とこの事件に隠されたトリックを暴き、見事に犯人を落とす。解決したかに思われたが、その裏にはとんでもない犯罪計画が隠されていて!?宅間善人…草ナギ剛  姉小路千波…南果歩  松原唯子…芦名星  野方希望…和田正人  我妻真里亜…夏菜  堀川耕平…平岡祐太  滝道博喜…吹越満    【ゲスト】石田ひかり、井上順 ほか戸田山雅司横山克七高剛【ゼネラルプロデューサー】横地郁英(テレビ朝日)  【プロデューサー】船津浩一(テレビ朝日)、川島誠史(テレビ朝日)、目黒正之(東映)、和佐野健一(東映)☆番組HP  　http://www.tv-asahi.co.jp/specialist_2016/  ☆Twitter  　https://twitter.com/specialist244</t>
  </si>
  <si>
    <t>宅間善人(草ナギ剛)は東京刑務所に収監されていた。以前、殺人未遂罪で滋賀中央刑務所に入れられて以来、二度目の刑務所生活。一度目は冤罪であることが判明し、出所となったが…。  事の始まりは10カ月前に遡る。宅間は、密室で起きた小説家刺殺事件を捜査することに。現場を見た宅間は、次々とこの事件に隠されたトリックを暴き、見事に犯人を落とす。解決したかに思われたが、その裏にはとんでもない犯罪計画が隠されていて!?宅間善人</t>
  </si>
  <si>
    <t>番組名スペシャリスト　#2</t>
  </si>
  <si>
    <t>主人公・宅間善人(草ナギ剛)は、冤罪で10年服役した経歴を持つ刑事。服役中に受刑者のあらゆる犯罪データを記憶した“犯罪心理のスペシャリスト"!  男の転落死体が見つかり、その所持品から「い」という文字が書かれた謎のカードが見つかった。“犬も歩けば棒に当たる"という、ことわざにぴったりの殺害状況に宅間は注目。その後も、次々と「いろはかるた」になぞらえた犯行が連続して発生し…!?宅間善人…草ナギ剛  姉小路千波…南果歩  松原唯子…芦名星  野方希望…和田正人  我妻真里亜…夏菜  堀川耕平…平岡祐太    【ゲスト】矢島健一、相島一之、雛形あきこ ほか戸田山雅司横山克七高剛【ゼネラルプロデューサー】横地郁英(テレビ朝日)  【プロデューサー】船津浩一(テレビ朝日)、川島誠史(テレビ朝日)、目黒正之(東映)、和佐野健一(東映)☆番組HP  　http://www.tv-asahi.co.jp/specialist_2016/  ☆Twitter  　https://twitter.com/specialist244</t>
  </si>
  <si>
    <t>主人公・宅間善人(草ナギ剛)は、冤罪で10年服役した経歴を持つ刑事。服役中に受刑者のあらゆる犯罪データを記憶した“犯罪心理のスペシャリスト"!  男の転落死体が見つかり、その所持品から「い」という文字が書かれた謎のカードが見つかった。“犬も歩けば棒に当たる"という、ことわざにぴったりの殺害状況に宅間は注目。その後も、次々と「いろはかるた」になぞらえた犯行が連続して発生し…!?宅間善人</t>
  </si>
  <si>
    <t>番組名スペシャリスト　#3</t>
  </si>
  <si>
    <t>主人公・宅間善人(草ナギ剛)は、冤罪で10年服役した経歴を持つ刑事。服役中に記憶したあらゆる犯罪データを駆使して鮮やかに事件を解く!  宅間の同僚刑事・我妻真里亜(夏菜)は、かつて自分の家庭教師をしていた女(鶴田真由)によって、密室に閉じ込められる。目の前に置かれた2つのケース。女が言うには、一方を開ければ助かり、もう一方を開ければ爆発すると…。タイムリミットが迫る中、究極の心理戦が繰り広げられる!宅間善人…草ナギ剛  姉小路千波…南果歩  松原唯子…芦名星  野方希望…和田正人  我妻真里亜…夏菜  堀川耕平…平岡祐太    【ゲスト】鶴田真由、羽場裕一戸田山雅司横山克七高剛【ゼネラルプロデューサー】横地郁英(テレビ朝日)  【プロデューサー】船津浩一(テレビ朝日)、川島誠史(テレビ朝日)、目黒正之(東映)、和佐野健一(東映)☆番組HP  　http://www.tv-asahi.co.jp/specialist_2016/  ☆Twitter  　https://twitter.com/specialist244</t>
  </si>
  <si>
    <t>主人公・宅間善人(草ナギ剛)は、冤罪で10年服役した経歴を持つ刑事。服役中に記憶したあらゆる犯罪データを駆使して鮮やかに事件を解く!  宅間の同僚刑事・我妻真里亜(夏菜)は、かつて自分の家庭教師をしていた女(鶴田真由)によって、密室に閉じ込められる。目の前に置かれた2つのケース。女が言うには、一方を開ければ助かり、もう一方を開ければ爆発すると…。タイムリミットが迫る中、究極の心理戦が繰り広げられる!宅間善人</t>
  </si>
  <si>
    <t>番組名スペシャリスト　#4</t>
  </si>
  <si>
    <t>主人公・宅間善人(草ナギ剛)は冤罪で10年服役した経歴を持つ刑事。第4話では、冤罪で服役したもう一人の男が登場!?  キャバクラのボーイが刺殺される事件が発生。時を同じくして、千波(南果歩)が5年前に強盗容疑で逮捕、送検した矢橋(眞島秀和)が出所。千波に対し、「あれは冤罪だった…」と訴える矢橋。やがて、ボーイ刺殺事件と矢橋との接点が見つかり!?矢橋の無実を信じる千波を見て、宅間はある作戦を練る!宅間善人…草ナギ剛  姉小路千波…南果歩  松原唯子…芦名星  野方希望…和田正人  我妻真里亜…夏菜  堀川耕平…平岡祐太    【ゲスト】眞島秀和、角田晃広(東京03)戸田山雅司横山克及川拓郎【ゼネラルプロデューサー】横地郁英(テレビ朝日)  【プロデューサー】船津浩一(テレビ朝日)、川島誠史(テレビ朝日)、目黒正之(東映)、和佐野健一(東映)☆番組HP  　http://www.tv-asahi.co.jp/specialist_2016/  ☆Twitter  　https://twitter.com/specialist244</t>
  </si>
  <si>
    <t>主人公・宅間善人(草ナギ剛)は冤罪で10年服役した経歴を持つ刑事。第4話では、冤罪で服役したもう一人の男が登場!?  キャバクラのボーイが刺殺される事件が発生。時を同じくして、千波(南果歩)が5年前に強盗容疑で逮捕、送検した矢橋(眞島秀和)が出所。千波に対し、「あれは冤罪だった…」と訴える矢橋。やがて、ボーイ刺殺事件と矢橋との接点が見つかり!?矢橋の無実を信じる千波を見て、宅間はある作戦を練る!宅間善人</t>
  </si>
  <si>
    <t>番組名スペシャリスト　#5</t>
  </si>
  <si>
    <t>身に覚えのない映画試写会の招待状を受け取った宅間(草ナギ剛)は、千波(南果歩)とともに映画館に向かう。上映中、突然スクリーンにメッセージが現れ、客席の下から毒ガス発生装置が発見される!宅間は自身の刑務所での経験から、犯人は観客15人の中にいることを明言。混乱する館内!さらにスクリーンには、毒ガス装置の解除キーと思われる謎の数字が3つ現れる。その数字は、宅間の刑務所時代の衝撃の真実と関係していて…!?宅間善人…草ナギ剛  姉小路千波…南果歩  松原唯子…芦名星  野方希望…和田正人  我妻真里亜…夏菜  堀川耕平…平岡祐太    【ゲスト】神尾佑、東根作寿英徳永友一横山克及川拓郎【ゼネラルプロデューサー】横地郁英(テレビ朝日)  【プロデューサー】船津浩一(テレビ朝日)、川島誠史(テレビ朝日)、目黒正之(東映)、和佐野健一(東映)☆番組HP  　http://www.tv-asahi.co.jp/specialist_2016/  ☆Twitter  　https://twitter.com/specialist244</t>
  </si>
  <si>
    <t>身に覚えのない映画試写会の招待状を受け取った宅間(草ナギ剛)は、千波(南果歩)とともに映画館に向かう。上映中、突然スクリーンにメッセージが現れ、客席の下から毒ガス発生装置が発見される!宅間は自身の刑務所での経験から、犯人は観客15人の中にいることを明言。混乱する館内!さらにスクリーンには、毒ガス装置の解除キーと思われる謎の数字が3つ現れる。その数字は、宅間の刑務所時代の衝撃の真実と関係していて…!?宅間善人</t>
  </si>
  <si>
    <t>番組名スペシャリスト　#6</t>
  </si>
  <si>
    <t>男性の刺殺体が発見され、傍らには楽譜が置かれていた。それは日本を代表する世界的なピアニスト・雨宮薫(矢田亜希子)が作った曲であることが分かる。宅間はこの曲に頻繁に出てくるあるメロディに目をつけ、それを英語の音名に直してみると、「DEAD BECCA」という言葉が現れる。「BECCA」の意味を調べるうちに、薫の衝撃的な過去が明らかになり…!?ひとつのピアノ曲をめぐって、事件は意外な結末を迎える!宅間善人…草ナギ剛  姉小路千波…南果歩  松原唯子…芦名星  野方希望…和田正人  我妻真里亜…夏菜  堀川耕平…平岡祐太    【ゲスト】矢田亜希子 ほか徳永友一横山克細川光信【ゼネラルプロデューサー】横地郁英(テレビ朝日)  【プロデューサー】船津浩一(テレビ朝日)、川島誠史(テレビ朝日)、目黒正之(東映)、和佐野健一(東映)☆番組HP  　http://www.tv-asahi.co.jp/specialist_2016/  ☆Twitter  　https://twitter.com/specialist244</t>
  </si>
  <si>
    <t>男性の刺殺体が発見され、傍らには楽譜が置かれていた。それは日本を代表する世界的なピアニスト・雨宮薫(矢田亜希子)が作った曲であることが分かる。宅間はこの曲に頻繁に出てくるあるメロディに目をつけ、それを英語の音名に直してみると、「DEAD BECCA」という言葉が現れる。「BECCA」の意味を調べるうちに、薫の衝撃的な過去が明らかになり…!?ひとつのピアノ曲をめぐって、事件は意外な結末を迎える!宅間善人</t>
  </si>
  <si>
    <t>番組名スペシャリスト　#7</t>
  </si>
  <si>
    <t>7通の怪文書が送られてきた、という一報を受けて、宅間(草ナギ剛)らはその大病院へ向かう。怪文書を読んだ宅間は、白衣をまとい病院内に潜入捜査。次々と怪文書の内容に沿った悪事を暴いていく!一方、別の場所で男性の撲殺体が発見される。宅間は、その事件が怪文書と繋がっていると名言。さらにこの病院では、ある要人が極秘で手術を受ける予定があることも判明し…!?やがて病院は、一般人を巻き込んで大パニックに陥っていく!宅間善人…草ナギ剛  姉小路千波…南果歩  松原唯子…芦名星  野方希望…和田正人  我妻真里亜…夏菜  堀川耕平…平岡祐太    【ゲスト】袴田吉彦、池田政典、逢沢りな、清水章吾 ほか戸田山雅司横山克細川光信【ゼネラルプロデューサー】横地郁英(テレビ朝日)  【プロデューサー】船津浩一(テレビ朝日)、川島誠史(テレビ朝日)、目黒正之(東映)、和佐野健一(東映)☆番組HP  　http://www.tv-asahi.co.jp/specialist_2016/  ☆Twitter  　https://twitter.com/specialist244</t>
  </si>
  <si>
    <t>7通の怪文書が送られてきた、という一報を受けて、宅間(草ナギ剛)らはその大病院へ向かう。怪文書を読んだ宅間は、白衣をまとい病院内に潜入捜査。次々と怪文書の内容に沿った悪事を暴いていく!一方、別の場所で男性の撲殺体が発見される。宅間は、その事件が怪文書と繋がっていると名言。さらにこの病院では、ある要人が極秘で手術を受ける予定があることも判明し…!?やがて病院は、一般人を巻き込んで大パニックに陥っていく!宅間善人</t>
  </si>
  <si>
    <t>番組名スペシャリスト　#8　ついに最終章へ!</t>
  </si>
  <si>
    <t>宅間(草ナギ剛)は、同窓会で上京した元妻・美也子(紺野まひる)と久々に会い、ある思い出の品を受け取る。その後、連続殺人事件が発生。共通している点は2つ。  (1)現場に不可解な印のついたプラスチック片が残されている。  (2)被害者は、過去に殺人の容疑をかけられるも不起訴になっている。  この異常な連続殺人に宅間は、京都府警時代に出逢った“殺人脚本家"の存在を思い出す。やがて宅間と美也子に衝撃の展開が待ち受ける!宅間善人…草ナギ剛  姉小路千波…南果歩  松原唯子…芦名星  野方希望…和田正人  我妻真里亜…夏菜  堀川耕平…平岡祐太    【ゲスト】井上和香、石黒英雄、田中要次、紺野まひる戸田山雅司横山克及川拓郎【ゼネラルプロデューサー】横地郁英(テレビ朝日)  【プロデューサー】船津浩一(テレビ朝日)、川島誠史(テレビ朝日)、目黒正之(東映)、和佐野健一(東映)☆番組HP  　http://www.tv-asahi.co.jp/specialist_2016/  ☆Twitter  　https://twitter.com/specialist244</t>
  </si>
  <si>
    <t>宅間(草ナギ剛)は、同窓会で上京した元妻・美也子(紺野まひる)と久々に会い、ある思い出の品を受け取る。その後、連続殺人事件が発生。共通している点は2つ。  (1)現場に不可解な印のついたプラスチック片が残されている。  (2)被害者は、過去に殺人の容疑をかけられるも不起訴になっている。  この異常な連続殺人に宅間は、京都府警時代に出逢った“殺人脚本家"の存在を思い出す。やがて宅間と美也子に衝撃の展開が待ち受ける!宅間善人</t>
  </si>
  <si>
    <t>番組名スペシャリスト　#9　ついに全ての謎が明かされる!</t>
  </si>
  <si>
    <t>宅間(草ナギ剛)の元妻・美也子(紺野まひる)までをも巻き込んだ、男女8人による「殺人トーナメント」。その背後に、以前から因縁のある“犯罪脚本家"佐神(上川隆也)の存在を察知した宅間は、その行方を追い始める。一方、殺人トーナメントにおける最初の事件の第一発見者である巡査・岸田が、毒殺され拳銃が盗まれる事件が発生!さらなる緊張が走る。そんな中、宅間の元に一通の招待状が。ついに宅間は佐神と対決することに!宅間善人…草ナギ剛  姉小路千波…南果歩  松原唯子…芦名星  野方希望…和田正人  我妻真里亜…夏菜  堀川耕平…平岡祐太    【ゲスト】  佐神稚洋…上川隆也  山本裕典、井上和香、石黒英雄、江波杏子戸田山雅司横山克七高剛【ゼネラルプロデューサー】横地郁英(テレビ朝日)  【プロデューサー】船津浩一(テレビ朝日)、川島誠史(テレビ朝日)、目黒正之(東映)、和佐野健一(東映)☆番組HP  　http://www.tv-asahi.co.jp/specialist_2016/  ☆Twitter  　https://twitter.com/specialist244</t>
  </si>
  <si>
    <t>宅間(草ナギ剛)の元妻・美也子(紺野まひる)までをも巻き込んだ、男女8人による「殺人トーナメント」。その背後に、以前から因縁のある“犯罪脚本家"佐神(上川隆也)の存在を察知した宅間は、その行方を追い始める。一方、殺人トーナメントにおける最初の事件の第一発見者である巡査・岸田が、毒殺され拳銃が盗まれる事件が発生!さらなる緊張が走る。そんな中、宅間の元に一通の招待状が。ついに宅間は佐神と対決することに!宅間善人</t>
  </si>
  <si>
    <t>番組名スペシャリスト　#10　衝撃の最終回!</t>
  </si>
  <si>
    <t>ついに最終回!元妻・美也子(紺野まひる)に毒を盛った男を殺害した疑いをかけられた宅間(草ナギ剛)は、一瞬の隙をついて逃亡。逃げ回る中で宅間は、自身を冤罪に陥れた本当の黒幕を暴き出すため、一か八かの“賭け"に出る!追い詰められた宅間の前に現れた、驚くべき人物とは!?宅間の無実を信じる総事係の仲間が探り出した、驚くべき真実とは!?全てが明らかになるとき、そこには何もかもを覆す衝撃の結末が待っていた!宅間善人…草ナギ剛  姉小路千波…南果歩  松原唯子…芦名星  野方希望…和田正人  我妻真里亜…夏菜  堀川耕平…平岡祐太  滝道博喜…吹越満    【ゲスト】松平健、山本裕典、羽場裕一、紺野まひる戸田山雅司横山克七高剛【ゼネラルプロデューサー】横地郁英(テレビ朝日)  【プロデューサー】船津浩一(テレビ朝日)、川島誠史(テレビ朝日)、目黒正之(東映)、和佐野健一(東映)☆番組HP  　http://www.tv-asahi.co.jp/specialist_2016/  ☆Twitter  　https://twitter.com/specialist244</t>
  </si>
  <si>
    <t>ついに最終回!元妻・美也子(紺野まひる)に毒を盛った男を殺害した疑いをかけられた宅間(草ナギ剛)は、一瞬の隙をついて逃亡。逃げ回る中で宅間は、自身を冤罪に陥れた本当の黒幕を暴き出すため、一か八かの“賭け"に出る!追い詰められた宅間の前に現れた、驚くべき人物とは!?宅間の無実を信じる総事係の仲間が探り出した、驚くべき真実とは!?全てが明らかになるとき、そこには何もかもを覆す衝撃の結末が待っていた!宅間善人</t>
  </si>
  <si>
    <t>1601_EX_金23</t>
  </si>
  <si>
    <t>スミカスミレ</t>
  </si>
  <si>
    <t>番組名スミカスミレ　45歳若返った女　#1</t>
  </si>
  <si>
    <t>青春を謳歌することなく、65歳になった如月澄(松坂慶子)。天涯孤独の身となった彼女は、納戸で黒猫が描かれた古い屏風に指をひっかけてしまう。その晩、「人生をやり直したい…」と願うと、屏風から黒猫が飛び出し、人に姿を変えた黎(及川光博)が現れた。澄は、黎の術によって20歳の姿となり、如月すみれ(桐谷美玲)と名乗って憧れの大学へ通うことに。そこで真白勇征(町田啓太)に出会うが…。桐谷美玲、松坂慶子、及川光博、町田啓太  水沢エレナ、竹内涼真  高杉真宙、高橋ひとみ、小日向文世高梨みつば『スミカスミレ』(集英社「Cocohana」連載)古家和尚今井和久池頼広    【主題歌】  秦基博『スミレ』(アリオラジャパン オーガスタレコード)【ゼネラルプロデューサー】横地郁英(テレビ朝日)  【プロデューサー】大江達樹(テレビ朝日)、神通勉(MMJ)☆番組HP  　http://www.tv-asahi.co.jp/sumikasumire/  ☆Twitter  　https://twitter.com/sumikasumire_d</t>
  </si>
  <si>
    <t>青春を謳歌することなく、65歳になった如月澄(松坂慶子)。天涯孤独の身となった彼女は、納戸で黒猫が描かれた古い屏風に指をひっかけてしまう。その晩、「人生をやり直したい…」と願うと、屏風から黒猫が飛び出し、人に姿を変えた黎(及川光博)が現れた。澄は、黎の術によって20歳の姿となり、如月すみれ(桐谷美玲)と名乗って憧れの大学へ通うことに。そこで真白勇征(町田啓太)に出会うが…。</t>
  </si>
  <si>
    <t>番組名スミカスミレ　45歳若返った女　#2</t>
  </si>
  <si>
    <t>化け猫・黎(及川光博)の術で20歳の姿になった65歳の澄(松坂慶子)は、すみれ(桐谷美玲)と名乗って大学に通い、青春をやり直すことに。そんな中、バレンタインデーが近づいてきた!ゼミ仲間たちもそわそわし始める。すみれも真白勇征(町田啓太)に連絡先を聞かれ、胸を高鳴らせる。その矢先、すみれは同じゼミの学生・由ノ郷千明(秋元才加)が、ずっと休学していることを知る。心配したすみれは、千明の自宅へ行き…。桐谷美玲、松坂慶子、及川光博、町田啓太  水沢エレナ、竹内涼真  高杉真宙、高橋ひとみ、小日向文世高梨みつば『スミカスミレ』(集英社「Cocohana」連載)古家和尚今井和久(MMJ)池頼広    【主題歌】  秦基博『スミレ』(アリオラジャパン オーガスタレコード)【ゼネラルプロデューサー】横地郁英(テレビ朝日)  【プロデューサー】大江達樹(テレビ朝日)、神通勉(MMJ)☆番組HP  　http://www.tv-asahi.co.jp/sumikasumire/  ☆Twitter  　https://twitter.com/sumikasumire_d</t>
  </si>
  <si>
    <t>化け猫・黎(及川光博)の術で20歳の姿になった65歳の澄(松坂慶子)は、すみれ(桐谷美玲)と名乗って大学に通い、青春をやり直すことに。そんな中、バレンタインデーが近づいてきた!ゼミ仲間たちもそわそわし始める。すみれも真白勇征(町田啓太)に連絡先を聞かれ、胸を高鳴らせる。その矢先、すみれは同じゼミの学生・由ノ郷千明(秋元才加)が、ずっと休学していることを知る。心配したすみれは、千明の自宅へ行き…。</t>
  </si>
  <si>
    <t>番組名スミカスミレ　45歳若返った女　#3</t>
  </si>
  <si>
    <t>気になる存在の真白勇征(町田啓太)の目の前で、如月すみれ(桐谷美玲)を“絶体絶命のピンチ"が襲った!あろうことか、元の65歳の如月澄(松坂慶子)の姿に戻ってしまったのだ。なすすべもなく、呆然とするすみれ…。だが、間一髪のところで黎(及川光博)が機転を利かせ、すみれの“秘密"を守り抜く。そんな中、真白がすみれをデートに誘ってきた!すみれの胸はどんどんときめいていくが…。桐谷美玲、松坂慶子、及川光博、町田啓太  水沢エレナ、竹内涼真  高杉真宙、高橋ひとみ、小日向文世高梨みつば『スミカスミレ』(集英社「Cocohana」連載)古家和尚小松隆志(MMJ)池頼広    【主題歌】  秦基博『スミレ』(アリオラジャパン オーガスタレコード)【ゼネラルプロデューサー】横地郁英(テレビ朝日)  【プロデューサー】大江達樹(テレビ朝日)、神通勉(MMJ)☆番組HP  　http://www.tv-asahi.co.jp/sumikasumire/  ☆Twitter  　https://twitter.com/sumikasumire_d</t>
  </si>
  <si>
    <t>気になる存在の真白勇征(町田啓太)の目の前で、如月すみれ(桐谷美玲)を“絶体絶命のピンチ"が襲った!あろうことか、元の65歳の如月澄(松坂慶子)の姿に戻ってしまったのだ。なすすべもなく、呆然とするすみれ…。だが、間一髪のところで黎(及川光博)が機転を利かせ、すみれの“秘密"を守り抜く。そんな中、真白がすみれをデートに誘ってきた!すみれの胸はどんどんときめいていくが…。</t>
  </si>
  <si>
    <t>番組名スミカスミレ　45歳若返った女　#4</t>
  </si>
  <si>
    <t>憧れの人・真白勇征(町田啓太)から、遂に愛の告白をされた如月すみれ(桐谷美玲)。体は20歳だが、中身は65歳の澄(松坂慶子)であるすみれは、長い人生の中で初めて男の人と付き合うことに!そんな中、すみれは親友の由ノ郷千明(秋元才加)と一緒に、人生初のアルバイトを始める。何かを急ぐかのように、“若い頃に出来なかったこと"をどんどん体験していくすみれ。その姿をそばで見守っていた黎(及川光博)は、心配を募らせ…。桐谷美玲、松坂慶子、及川光博、町田啓太  水沢エレナ、竹内涼真  高杉真宙、高橋ひとみ、小日向文世高梨みつば『スミカスミレ』(集英社「Cocohana」連載)古家和尚小松隆志(MMJ)池頼広    【主題歌】  秦基博『スミレ』(アリオラジャパン オーガスタレコード)【ゼネラルプロデューサー】横地郁英(テレビ朝日)  【プロデューサー】大江達樹(テレビ朝日)、神通勉(MMJ)☆番組HP  　http://www.tv-asahi.co.jp/sumikasumire/  ☆Twitter  　https://twitter.com/sumikasumire_d</t>
  </si>
  <si>
    <t>憧れの人・真白勇征(町田啓太)から、遂に愛の告白をされた如月すみれ(桐谷美玲)。体は20歳だが、中身は65歳の澄(松坂慶子)であるすみれは、長い人生の中で初めて男の人と付き合うことに!そんな中、すみれは親友の由ノ郷千明(秋元才加)と一緒に、人生初のアルバイトを始める。何かを急ぐかのように、“若い頃に出来なかったこと"をどんどん体験していくすみれ。その姿をそばで見守っていた黎(及川光博)は、心配を募らせ…。</t>
  </si>
  <si>
    <t>番組名スミカスミレ　45歳若返った女　#5</t>
  </si>
  <si>
    <t>如月すみれ(桐谷美玲)が“鍵の言葉"を口にしたことで、恋人・真白勇征(町田啓太)の家の屏風に封印されていた化け猫・雪白(小西真奈美)が姿を現した!雪白は、化け猫・黎(及川光博)の婚約者で、黎に会わせるために連れて行くが…。そんな中、すみれは真白に誘われ、一泊二日のスノボ・デートへ。ところが、すみれを一目見て気に入った男が、真白がそばにいない隙を見計らい、すみれを山頂の上級者コースへと誘い出して…。桐谷美玲、松坂慶子、及川光博、町田啓太  水沢エレナ、竹内涼真/小西真奈美  高杉真宙、高橋ひとみ、小日向文世高梨みつば『スミカスミレ』(集英社「Cocohana」連載)古家和尚宮岡太郎(MMJ)池頼広    【主題歌】  秦基博『スミレ』(アリオラジャパン オーガスタレコード)【ゼネラルプロデューサー】横地郁英(テレビ朝日)  【プロデューサー】大江達樹(テレビ朝日)、神通勉(MMJ)☆番組HP  　http://www.tv-asahi.co.jp/sumikasumire/  ☆Twitter  　https://twitter.com/sumikasumire_d</t>
  </si>
  <si>
    <t>如月すみれ(桐谷美玲)が“鍵の言葉"を口にしたことで、恋人・真白勇征(町田啓太)の家の屏風に封印されていた化け猫・雪白(小西真奈美)が姿を現した!雪白は、化け猫・黎(及川光博)の婚約者で、黎に会わせるために連れて行くが…。そんな中、すみれは真白に誘われ、一泊二日のスノボ・デートへ。ところが、すみれを一目見て気に入った男が、真白がそばにいない隙を見計らい、すみれを山頂の上級者コースへと誘い出して…。</t>
  </si>
  <si>
    <t>番組名スミカスミレ　45歳若返った女　#6</t>
  </si>
  <si>
    <t>真白勇征(町田啓太)が命にかかわる病を患い、入院したことを知った如月すみれ(桐谷美玲)は、ショックを受ける。すると化け猫・黎(及川光博)が、65歳の如月澄(松坂慶子)を20歳のすみれに若返らせた時と同じように、自分の生気を分け与えると言いだす。しかし、それを実行すれば、黎の命の保証はない…。すみれは永遠に65歳の姿に戻ることを覚悟の上で、かつて黎からもらった生気を真白に与えようと決断するが…。桐谷美玲、松坂慶子、及川光博、町田啓太  水沢エレナ、竹内涼真/小西真奈美  高杉真宙、高橋ひとみ、小日向文世高梨みつば『スミカスミレ』(集英社「Cocohana」連載)嶋田うれ葉、古家和尚小松隆志(MMJ)池頼広    【主題歌】  秦基博『スミレ』(アリオラジャパン オーガスタレコード)【ゼネラルプロデューサー】横地郁英(テレビ朝日)  【プロデューサー】大江達樹(テレビ朝日)、神通勉(MMJ)☆番組HP  　http://www.tv-asahi.co.jp/sumikasumire/  ☆Twitter  　https://twitter.com/sumikasumire_d</t>
  </si>
  <si>
    <t>真白勇征(町田啓太)が命にかかわる病を患い、入院したことを知った如月すみれ(桐谷美玲)は、ショックを受ける。すると化け猫・黎(及川光博)が、65歳の如月澄(松坂慶子)を20歳のすみれに若返らせた時と同じように、自分の生気を分け与えると言いだす。しかし、それを実行すれば、黎の命の保証はない…。すみれは永遠に65歳の姿に戻ることを覚悟の上で、かつて黎からもらった生気を真白に与えようと決断するが…。</t>
  </si>
  <si>
    <t>番組名スミカスミレ　45歳若返った女　#7</t>
  </si>
  <si>
    <t>如月澄(松坂慶子)に自分の残りの生気を与え、再び20歳の如月すみれ(桐谷美玲)へと若返らせた化け猫・黎(及川光博)。彼が姿を消してから、5年が経った…。  中身は70歳、体は25歳になったすみれは大学を卒業し、憧れの映画会社に就職。“二度目の新しい人生"を精一杯生きていた。そんなある日、すみれは職場の同僚から合コンに誘われる。そこでなんと真白勇征(町田啓太)と、友人・辻井健人(竹内涼真)に再会し…!桐谷美玲、松坂慶子、及川光博、町田啓太  水沢エレナ、竹内涼真/小西真奈美  高杉真宙、高橋ひとみ、小日向文世高梨みつば『スミカスミレ』(集英社「Cocohana」連載)古家和尚今井和久(MMJ)池頼広    【主題歌】  秦基博『スミレ』(アリオラジャパン オーガスタレコード)【ゼネラルプロデューサー】横地郁英(テレビ朝日)  【プロデューサー】大江達樹(テレビ朝日)、神通勉(MMJ)☆番組HP  　http://www.tv-asahi.co.jp/sumikasumire/  ☆Twitter  　https://twitter.com/sumikasumire_d</t>
  </si>
  <si>
    <t>如月澄(松坂慶子)に自分の残りの生気を与え、再び20歳の如月すみれ(桐谷美玲)へと若返らせた化け猫・黎(及川光博)。彼が姿を消してから、5年が経った…。  中身は70歳、体は25歳になったすみれは大学を卒業し、憧れの映画会社に就職。“二度目の新しい人生"を精一杯生きていた。そんなある日、すみれは職場の同僚から合コンに誘われる。そこでなんと真白勇征(町田啓太)と、友人・辻井健人(竹内涼真)に再会し…!</t>
  </si>
  <si>
    <t>番組名スミカスミレ　45歳若返った女　#8</t>
  </si>
  <si>
    <t>5年ぶりの再会を経て、初恋の人・真白勇征(町田啓太)からプロポーズをされた如月すみれ(桐谷美玲)。しかし、すみれは今でも、深夜になると元の如月澄(松坂慶子)の姿に戻ってしまう。真白はそのすべてを受け止めると宣言。だが、自分の本来の姿に負い目を感じるすみれは、真白の気持ちを受け入れることができず…。その反応を見た真白の脳裏に浮かんだのが、澄を若返らせ、守り続けてきた化け猫・黎(及川光博)の存在で…!?桐谷美玲、松坂慶子、及川光博、町田啓太  水沢エレナ、竹内涼真/小西真奈美  高杉真宙、高橋ひとみ、小日向文世高梨みつば『スミカスミレ』(集英社「Cocohana」連載)古家和尚、嶋田うれ葉小松隆志(MMJ)池頼広    【主題歌】  秦基博『スミレ』(アリオラジャパン オーガスタレコード)【ゼネラルプロデューサー】横地郁英(テレビ朝日)  【プロデューサー】大江達樹(テレビ朝日)、神通勉(MMJ)☆番組HP  　http://www.tv-asahi.co.jp/sumikasumire/  ☆Twitter  　https://twitter.com/sumikasumire_d</t>
  </si>
  <si>
    <t>5年ぶりの再会を経て、初恋の人・真白勇征(町田啓太)からプロポーズをされた如月すみれ(桐谷美玲)。しかし、すみれは今でも、深夜になると元の如月澄(松坂慶子)の姿に戻ってしまう。真白はそのすべてを受け止めると宣言。だが、自分の本来の姿に負い目を感じるすみれは、真白の気持ちを受け入れることができず…。その反応を見た真白の脳裏に浮かんだのが、澄を若返らせ、守り続けてきた化け猫・黎(及川光博)の存在で…!?</t>
  </si>
  <si>
    <t>1510_EX_木21</t>
  </si>
  <si>
    <t>遺産争族</t>
  </si>
  <si>
    <t>番組名遺産争族　#1</t>
  </si>
  <si>
    <t>莫大な資産を誇る葬儀会社会長・河村龍太郎(伊東四朗)が倒れたのをきっかけに、河村家では「遺産相続問題」が勃発。そんな中、研修医・佐藤育生(向井理)は、龍太郎の孫娘・楓(榮倉奈々)にプロポーズ。しかし父・恒三(岸部一徳)に「ムコ入り」を提案されてしまう。幸せなはずの結婚が引き金になり、金をめぐる家族の争いに巻き込まれてゆく育生。果たして家族とは何なのか。そして遺産は誰の手に?向井理、榮倉奈々、余貴美子、室井滋、板谷由夏、鈴木浩介、堀内敬子、真飛聖、渡辺いっけい、岸本加世子、岸部一徳、伊東四朗井上由美子松田秀知沢田完いきものがかり『ラブとピース!』(EPICレコードジャパン)【ゼネラルプロデューサー】内山聖子(テレビ朝日)  【プロデューサー】服部宣之(テレビ朝日)、峰島あゆみ(テレビ朝日)、霜田一寿(ザ・ワークス)、池田禎子(ザ・ワークス)☆番組HP  　http://www.tv-asahi.co.jp/isansouzoku/  ☆Twitter  　https://twitter.com/isan_sozoku  ☆Instagram  　https://instagram.com/isan_sozoku/</t>
  </si>
  <si>
    <t>莫大な資産を誇る葬儀会社会長・河村龍太郎(伊東四朗)が倒れたのをきっかけに、河村家では「遺産相続問題」が勃発。そんな中、研修医・佐藤育生(向井理)は、龍太郎の孫娘・楓(榮倉奈々)にプロポーズ。しかし父・恒三(岸部一徳)に「ムコ入り」を提案されてしまう。幸せなはずの結婚が引き金になり、金をめぐる家族の争いに巻き込まれてゆく育生。果たして家族とは何なのか。そして遺産は誰の手に?</t>
  </si>
  <si>
    <t>番組名遺産争族　#2【ムコの正体-結婚を決めた本当の目的!】</t>
  </si>
  <si>
    <t>“ムコ入り"した研修医、育生。そこには“遺産"をめぐっていがみ合い、欲望にまみれた一族がいた!-育生と楓の幸せな結婚が引き金となり、家長である龍太郎(伊東四朗)のにぎる約10億円の資産をめぐり、「家族」は「争族」へと変貌していく。金をめぐる骨肉の争いが、「家族」の本当の姿をあぶりだす!果たして遺産は誰の手に?愛憎にまみれた新しいホームドラマ誕生!向井理、榮倉奈々、余貴美子、室井滋、板谷由夏、鈴木浩介、堀内敬子、真飛聖、渡辺いっけい、岸本加世子、岸部一徳、伊東四朗井上由美子常廣丈太(テレビ朝日)沢田完いきものがかり『ラブとピース!』(EPICレコードジャパン)【ゼネラルプロデューサー】内山聖子(テレビ朝日)  【プロデューサー】服部宣之(テレビ朝日)、峰島あゆみ(テレビ朝日)、霜田一寿(ザ・ワークス)、池田禎子(ザ・ワークス)☆番組HP  　http://www.tv-asahi.co.jp/isansouzoku/  ☆Twitter  　https://twitter.com/isan_sozoku  ☆Instagram  　https://instagram.com/isan_sozoku/</t>
  </si>
  <si>
    <t>“ムコ入り"した研修医、育生。そこには“遺産"をめぐっていがみ合い、欲望にまみれた一族がいた!-育生と楓の幸せな結婚が引き金となり、家長である龍太郎(伊東四朗)のにぎる約10億円の資産をめぐり、「家族」は「争族」へと変貌していく。金をめぐる骨肉の争いが、「家族」の本当の姿をあぶりだす!果たして遺産は誰の手に?愛憎にまみれた新しいホームドラマ誕生!</t>
  </si>
  <si>
    <t>番組名遺産争族　#3【舅の企み-10億巡るシュウトのムコいびり!ムコが息子に…!?】</t>
  </si>
  <si>
    <t>“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向井理、榮倉奈々、余貴美子、室井滋、板谷由夏、鈴木浩介、堀内敬子、真飛聖、渡辺いっけい、岸本加世子、岸部一徳、伊東四朗井上由美子常廣丈太沢田完いきものがかり『ラブとピース!』(EPICレコードジャパン)【ゼネラルプロデューサー】内山聖子(テレビ朝日)  【プロデューサー】服部宣之(テレビ朝日)、峰島あゆみ(テレビ朝日)、霜田一寿(ザ・ワークス)、池田禎子(ザ・ワークス)☆番組HP  　http://www.tv-asahi.co.jp/isansouzoku/  ☆Twitter  　https://twitter.com/isan_sozoku  ☆Instagram  　https://instagram.com/isan_sozoku/</t>
  </si>
  <si>
    <t>“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t>
  </si>
  <si>
    <t>番組名遺産争族　#4【家族が壊れていく…嫁VS姑戦争勃発!!遺産10億の行方は…!?】</t>
  </si>
  <si>
    <t>“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向井理、榮倉奈々、余貴美子、室井滋、板谷由夏、鈴木浩介、真飛聖、渡辺いっけい、岸本加世子、岸部一徳、伊東四朗井上由美子松田秀知沢田完いきものがかり『ラブとピース!』(EPICレコードジャパン)【ゼネラルプロデューサー】内山聖子(テレビ朝日)  【プロデューサー】服部宣之(テレビ朝日)、峰島あゆみ(テレビ朝日)、霜田一寿(ザ・ワークス)、池田禎子(ザ・ワークス)☆番組HP  　http://www.tv-asahi.co.jp/isansouzoku/  ☆Twitter  　https://twitter.com/isan_sozoku  ☆Instagram  　https://instagram.com/isan_sozoku/</t>
  </si>
  <si>
    <t>“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t>
  </si>
  <si>
    <t>番組名遺産争族　#5【おじいちゃん、死す!?ついに明かされる衝撃遺言!】</t>
  </si>
  <si>
    <t>“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向井理、榮倉奈々、余貴美子、室井滋、板谷由夏、鈴木浩介、堀内敬子、真飛聖、渡辺いっけい、岸本加世子、岸部一徳、伊東四朗井上由美子常廣丈太(テレビ朝日)沢田完いきものがかり『ラブとピース!』(EPICレコードジャパン)【ゼネラルプロデューサー】内山聖子(テレビ朝日)  【プロデューサー】服部宣之(テレビ朝日)、峰島あゆみ(テレビ朝日)、霜田一寿(ザ・ワークス)、池田禎子(ザ・ワークス)☆番組HP  　http://www.tv-asahi.co.jp/isansouzoku/  ☆Twitter  　https://twitter.com/isan_sozoku  ☆Instagram  　https://instagram.com/isan_sozoku/</t>
  </si>
  <si>
    <t>番組名遺産争族　#6【目的は金?生き別れの父現る!婿いびりも頂点に…遂に婿が動く!】</t>
  </si>
  <si>
    <t>“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向井理、榮倉奈々、余貴美子、室井滋、板谷由夏、真飛聖、渡辺いっけい、岸本加世子、岸部一徳、伊東四朗井上由美子松田秀知沢田完いきものがかり『ラブとピース!』(EPICレコードジャパン)【ゼネラルプロデューサー】内山聖子(テレビ朝日)  【プロデューサー】服部宣之(テレビ朝日)、峰島あゆみ(テレビ朝日)、霜田一寿(ザ・ワークス)、池田禎子(ザ・ワークス)☆番組HP  　http://www.tv-asahi.co.jp/isansouzoku/  ☆Twitter  　https://twitter.com/isan_sozoku  ☆Instagram  　https://instagram.com/isan_sozoku/</t>
  </si>
  <si>
    <t>番組名遺産争族　#7【ムコ(向井理)豹変!10億総取り!?】</t>
  </si>
  <si>
    <t>“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向井理、榮倉奈々、余貴美子、室井滋、板谷由夏、堀内敬子、真飛聖、渡辺いっけい、岸本加世子、岸部一徳、伊東四朗井上由美子松田秀知沢田完いきものがかり『ラブとピース!』(EPICレコードジャパン)【ゼネラルプロデューサー】内山聖子(テレビ朝日)  【プロデューサー】服部宣之(テレビ朝日)、峰島あゆみ(テレビ朝日)、霜田一寿(ザ・ワークス)、池田禎子(ザ・ワークス)☆番組HP  　http://www.tv-asahi.co.jp/isansouzoku/  ☆Twitter  　https://twitter.com/isan_sozoku  ☆Instagram  　https://instagram.com/isan_sozoku/</t>
  </si>
  <si>
    <t>番組名遺産争族　#8【最終決戦!入りムコが“争族"の頂点へ!】</t>
  </si>
  <si>
    <t>番組名遺産争族　#9【最終回!“争族"の果ての“家族"】</t>
  </si>
  <si>
    <t>“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向井理、榮倉奈々、余貴美子、室井滋、板谷由夏、鈴木浩介、堀内敬子、真飛聖、渡辺いっけい、岸本加世子、岸部一徳、伊東四朗井上由美子松田秀知沢田完いきものがかり『ラブとピース!』(EPICレコードジャパン)【ゼネラルプロデューサー】内山聖子(テレビ朝日)  【プロデューサー】服部宣之(テレビ朝日)、峰島あゆみ(テレビ朝日)、霜田一寿(ザ・ワークス)、池田禎子(ザ・ワークス)☆番組HP  　http://www.tv-asahi.co.jp/isansouzoku/  ☆Twitter  　https://twitter.com/isan_sozoku  ☆Instagram  　https://instagram.com/isan_sozoku/</t>
  </si>
  <si>
    <t>“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t>
  </si>
  <si>
    <t>1510_EX_金23</t>
  </si>
  <si>
    <t>サムライせんせい</t>
  </si>
  <si>
    <t>番組名サムライせんせい　#1</t>
  </si>
  <si>
    <t>時は幕末、武市半平太は切腹を……次の瞬間、現代にタイムスリップしていたーー。一方、侍の格好をした不審人物の出現に、村人たちもオロオロするばかり!事情を聞こうとするが、タイムスリップしたことを自覚していない半平太は、獄中への逆戻りを恐れ、逃げてしまう!その矢先、殺人事件の犯人らしき男が近隣の駅で目撃されたとの情報が!その男が半平太ではないかと訝った村人たちは、騒ぎ始め…!?錦戸亮、神木隆之介、比嘉愛未、藤井流星(ジャニーズWEST)、黒島結菜、石田ニコル、梶原善、森本レオ黒江S介『サムライせんせい』(リブレ出版)黒岩勉井筒昭雄    【主題歌】  関ジャニ∞『侍唄(さむらいソング)』(インフィニティ・レコーズ)片山修(テレビ朝日)【ゼネラルプロデューサー】内山聖子(テレビ朝日)  【プロデューサー】山田兼司(テレビ朝日)、木曽貴美子(MMJ)  【協力プロデューサー】遠田孝一(MMJ)☆番組HP  　http://www.tv-asahi.co.jp/samuraisensei/  ☆Twitter  　https://twitter.com/samurai_tvasahi</t>
  </si>
  <si>
    <t>時は幕末、武市半平太は切腹を……次の瞬間、現代にタイムスリップしていたーー。一方、侍の格好をした不審人物の出現に、村人たちもオロオロするばかり!事情を聞こうとするが、タイムスリップしたことを自覚していない半平太は、獄中への逆戻りを恐れ、逃げてしまう!その矢先、殺人事件の犯人らしき男が近隣の駅で目撃されたとの情報が!その男が半平太ではないかと訝った村人たちは、騒ぎ始め…!?</t>
  </si>
  <si>
    <t>番組名サムライせんせい　#2</t>
  </si>
  <si>
    <t>山小屋での誘拐事件に巻き込まれた半平太は、人質となっていた子供たちを無事に助けるため、一戦交える覚悟で犯人を挑発するが…!?事件の後、半平太は「さらばじゃ」という言葉を残して、晴香(比嘉愛未)たちの前から姿を消してしまう。そんな時、楢崎と名乗り現代に溶け込む坂本龍馬(神木隆之介)が現れる!一方、晴香は上司の小見山(梶原善)からセクハラを受ける日々…それを知った半平太は驚きの行動にでる!!錦戸亮、神木隆之介、比嘉愛未、藤井流星(ジャニーズWEST)、黒島結菜、石田ニコル、梶原善、森本レオ黒江S介『サムライせんせい』(リブレ出版)黒岩勉井筒昭雄    【主題歌】  関ジャニ∞『侍唄(さむらいソング)』(インフィニティ・レコーズ)片山修(テレビ朝日)【ゼネラルプロデューサー】内山聖子(テレビ朝日)  【プロデューサー】山田兼司(テレビ朝日)、木曽貴美子(MMJ)  【協力プロデューサー】遠田孝一(MMJ)☆番組HP  　http://www.tv-asahi.co.jp/samuraisensei/  ☆Twitter  　https://twitter.com/samurai_tvasahi</t>
  </si>
  <si>
    <t>山小屋での誘拐事件に巻き込まれた半平太は、人質となっていた子供たちを無事に助けるため、一戦交える覚悟で犯人を挑発するが…!?事件の後、半平太は「さらばじゃ」という言葉を残して、晴香(比嘉愛未)たちの前から姿を消してしまう。そんな時、楢崎と名乗り現代に溶け込む坂本龍馬(神木隆之介)が現れる!一方、晴香は上司の小見山(梶原善)からセクハラを受ける日々…それを知った半平太は驚きの行動にでる!!</t>
  </si>
  <si>
    <t>番組名サムライせんせい　#3</t>
  </si>
  <si>
    <t>坂本龍馬との再会を果たした半平太だったが、龍馬が半平太の妻・富子と瓜二つの女性を現代で見かけたと言い出す!そんな中、神里村で2時間サスペンスのロケが行われることになり、撮影隊と共に有名女優の有紗がやってくる。その顔を見てビックリ!有紗が富子とまったく同じ顔をしていたのだ!彼女が、富子本人だと確信した半平太は、周囲が止めるのも聞かず、ドラマ撮影中の有紗に強引に接近するが…!?錦戸亮、神木隆之介、比嘉愛未、藤井流星(ジャニーズWEST)、黒島結菜、石田ニコル、梶原善、森本レオ黒江S介『サムライせんせい』(リブレ出版)黒岩勉井筒昭雄    【主題歌】  関ジャニ∞『侍唄(さむらいソング)』(インフィニティ・レコーズ)木村ひさし【ゼネラルプロデューサー】内山聖子(テレビ朝日)  【プロデューサー】山田兼司(テレビ朝日)、木曽貴美子(MMJ)  【協力プロデューサー】遠田孝一(MMJ)☆番組HP  　http://www.tv-asahi.co.jp/samuraisensei/  ☆Twitter  　https://twitter.com/samurai_tvasahi</t>
  </si>
  <si>
    <t>坂本龍馬との再会を果たした半平太だったが、龍馬が半平太の妻・富子と瓜二つの女性を現代で見かけたと言い出す!そんな中、神里村で2時間サスペンスのロケが行われることになり、撮影隊と共に有名女優の有紗がやってくる。その顔を見てビックリ!有紗が富子とまったく同じ顔をしていたのだ!彼女が、富子本人だと確信した半平太は、周囲が止めるのも聞かず、ドラマ撮影中の有紗に強引に接近するが…!?</t>
  </si>
  <si>
    <t>番組名サムライせんせい　#4</t>
  </si>
  <si>
    <t>サチコ(黒島結菜)もタイムスリップ!?半平太と龍馬がタイムスリップした場所で思いつめたように佇んでいた!ところが、突然現れたスーツの男にサチコはさらわれてしまう!半平太は、龍馬の協力を得て、寅之助(藤井流星)と共にサチコを追跡!すると、サチコが連れ去られたのは、思いもしない場所だった。それでも半平太たちは、サチコを救い出すため、意を決して敷地内に忍び込むが…。錦戸亮、神木隆之介、比嘉愛未、藤井流星(ジャニーズWEST)、黒島結菜、石田ニコル、梶原善、森本レオ黒江S介『サムライせんせい』(リブレ出版)黒岩勉井筒昭雄    【主題歌】  関ジャニ∞『侍唄(さむらいソング)』(インフィニティ・レコーズ)木村ひさし【ゼネラルプロデューサー】内山聖子(テレビ朝日)  【プロデューサー】山田兼司(テレビ朝日)、木曽貴美子(MMJ)  【協力プロデューサー】遠田孝一(MMJ)☆番組HP  　http://www.tv-asahi.co.jp/samuraisensei/  ☆Twitter  　https://twitter.com/samurai_tvasahi</t>
  </si>
  <si>
    <t>サチコ(黒島結菜)もタイムスリップ!?半平太と龍馬がタイムスリップした場所で思いつめたように佇んでいた!ところが、突然現れたスーツの男にサチコはさらわれてしまう!半平太は、龍馬の協力を得て、寅之助(藤井流星)と共にサチコを追跡!すると、サチコが連れ去られたのは、思いもしない場所だった。それでも半平太たちは、サチコを救い出すため、意を決して敷地内に忍び込むが…。</t>
  </si>
  <si>
    <t>番組名サムライせんせい　#5</t>
  </si>
  <si>
    <t>学校に漆黒の武者!?夜中の学校で“漆黒の武者"を見たという噂が広まる!村には『神里の村乱れし時、漆黒の武者現れ、血の裁きを下す』という言い伝えがあるというが…!?半平太と坂本龍馬は、自分たちのタイムスリップと関係があるのではないかと言い出す。オカルトの類いが苦手な半平太は、完全に腰が引けていたが、元の時代に戻る手掛かりを放ってはおけず、龍馬や晴香(比嘉愛未)と共に夜の学校に足を踏み入れるが…。錦戸亮、神木隆之介、比嘉愛未、藤井流星(ジャニーズWEST)、黒島結菜、石田ニコル、梶原善、森本レオ黒江S介『サムライせんせい』(リブレ出版)黒岩勉井筒昭雄    【主題歌】  関ジャニ∞『侍唄(さむらいソング)』(インフィニティ・レコーズ)植田尚【ゼネラルプロデューサー】内山聖子(テレビ朝日)  【プロデューサー】山田兼司(テレビ朝日)、木曽貴美子(MMJ)  【協力プロデューサー】遠田孝一(MMJ)☆番組HP  　http://www.tv-asahi.co.jp/samuraisensei/  ☆Twitter  　https://twitter.com/samurai_tvasahi</t>
  </si>
  <si>
    <t>学校に漆黒の武者!?夜中の学校で“漆黒の武者"を見たという噂が広まる!村には『神里の村乱れし時、漆黒の武者現れ、血の裁きを下す』という言い伝えがあるというが…!?半平太と坂本龍馬は、自分たちのタイムスリップと関係があるのではないかと言い出す。オカルトの類いが苦手な半平太は、完全に腰が引けていたが、元の時代に戻る手掛かりを放ってはおけず、龍馬や晴香(比嘉愛未)と共に夜の学校に足を踏み入れるが…。</t>
  </si>
  <si>
    <t>番組名サムライせんせい　#6</t>
  </si>
  <si>
    <t>タイムスリップしてきた場所で、負傷している男を発見!男は鬼沢(RED RICE)という地元で有名な暴走族の元リーダーであることが判明!5年前に起きた族同士の大規模な抗争の際に逮捕され、最近出所してきたらしい…が、抗争相手のリーダーだった猿川たちに襲われ、鬼沢の元嫁・理央(石田ニコル)と、娘の優菜にも危害を加えると脅される!事情を聞いた半平太は2人を守ろうとするが、猿川の魔の手はすでに迫っており…!?錦戸亮、神木隆之介、比嘉愛未、藤井流星(ジャニーズWEST)、黒島結菜、石田ニコル、梶原善、森本レオ黒江S介『サムライせんせい』(リブレ出版)黒岩勉井筒昭雄    【主題歌】  関ジャニ∞『侍唄(さむらいソング)』(インフィニティ・レコーズ)片山修(テレビ朝日)【ゼネラルプロデューサー】内山聖子(テレビ朝日)  【プロデューサー】山田兼司(テレビ朝日)、木曽貴美子(MMJ)  【協力プロデューサー】遠田孝一(MMJ)☆番組HP  　http://www.tv-asahi.co.jp/samuraisensei/  ☆Twitter  　https://twitter.com/samurai_tvasahi</t>
  </si>
  <si>
    <t>タイムスリップしてきた場所で、負傷している男を発見!男は鬼沢(RED RICE)という地元で有名な暴走族の元リーダーであることが判明!5年前に起きた族同士の大規模な抗争の際に逮捕され、最近出所してきたらしい…が、抗争相手のリーダーだった猿川たちに襲われ、鬼沢の元嫁・理央(石田ニコル)と、娘の優菜にも危害を加えると脅される!事情を聞いた半平太は2人を守ろうとするが、猿川の魔の手はすでに迫っており…!?</t>
  </si>
  <si>
    <t>番組名サムライせんせい　#7</t>
  </si>
  <si>
    <t>侍が東京へ!半平太と龍馬の前に最強の敵現る!  世間を騒がせている殺人事件の容疑者たちが、龍馬が制作した「平成建白書」という会員制サイトの影響を受けていることが発覚!龍馬が、裏社会のフィクサー・海道匠と繋がっている疑惑まで浮上。一方、寅之助(藤井流星)は、半平太に密着したミニ動画を撮影して、ひと儲けしようと画策していた。半平太も、龍馬を探すため、東京都心に乗り込むことになるのだが…!?錦戸亮、神木隆之介、比嘉愛未、藤井流星(ジャニーズWEST)、黒島結菜、石田ニコル、梶原善、森本レオ黒江S介『サムライせんせい』(リブレ出版)黒岩勉井筒昭雄    【主題歌】  関ジャニ∞『侍唄(さむらいソング)』(インフィニティ・レコーズ)植田尚【ゼネラルプロデューサー】内山聖子(テレビ朝日)  【プロデューサー】山田兼司(テレビ朝日)、木曽貴美子(MMJ)  【協力プロデューサー】遠田孝一(MMJ)☆番組HP  　http://www.tv-asahi.co.jp/samuraisensei/  ☆Twitter  　https://twitter.com/samurai_tvasahi</t>
  </si>
  <si>
    <t>侍が東京へ!半平太と龍馬の前に最強の敵現る!  世間を騒がせている殺人事件の容疑者たちが、龍馬が制作した「平成建白書」という会員制サイトの影響を受けていることが発覚!龍馬が、裏社会のフィクサー・海道匠と繋がっている疑惑まで浮上。一方、寅之助(藤井流星)は、半平太に密着したミニ動画を撮影して、ひと儲けしようと画策していた。半平太も、龍馬を探すため、東京都心に乗り込むことになるのだが…!?</t>
  </si>
  <si>
    <t>番組名サムライせんせい　#8</t>
  </si>
  <si>
    <t>最終対決!武市半平太vs坂本龍馬!!  龍馬の計画は、金の力で権力を握ろうとしている海道(忍成修吾)に天誅を下し、政治家が絡んだ裏帳簿を公開し“平成建白書"に賛同した1万人の同志が一斉蜂起するというものだった。だが、海道が半平太を急襲!不意を突かれた半平太は重傷を負い、谷底へと転落…!?再び“日本を洗濯する"ために動き出した半平太と龍馬。150年後の未来に迷い込んだ2人の志士の物語がクライマックスを迎える!錦戸亮、神木隆之介、比嘉愛未、藤井流星(ジャニーズWEST)、黒島結菜、石田ニコル、梶原善、森本レオ黒江S介『サムライせんせい』(リブレ出版)黒岩勉井筒昭雄    【主題歌】  関ジャニ∞『侍唄(さむらいソング)』(インフィニティ・レコーズ)片山修(テレビ朝日)【ゼネラルプロデューサー】内山聖子(テレビ朝日)  【プロデューサー】山田兼司(テレビ朝日)、木曽貴美子(MMJ)  【協力プロデューサー】遠田孝一(MMJ)☆番組HP  　http://www.tv-asahi.co.jp/samuraisensei/  ☆Twitter  　https://twitter.com/samurai_tvasahi</t>
  </si>
  <si>
    <t>最終対決!武市半平太vs坂本龍馬!!  龍馬の計画は、金の力で権力を握ろうとしている海道(忍成修吾)に天誅を下し、政治家が絡んだ裏帳簿を公開し“平成建白書"に賛同した1万人の同志が一斉蜂起するというものだった。だが、海道が半平太を急襲!不意を突かれた半平太は重傷を負い、谷底へと転落…!?再び“日本を洗濯する"ために動き出した半平太と龍馬。150年後の未来に迷い込んだ2人の志士の物語がクライマックスを迎える!</t>
  </si>
  <si>
    <t>1507_EX_木21</t>
  </si>
  <si>
    <t>エイジハラスメント</t>
  </si>
  <si>
    <t>番組名エイジハラスメント　#1</t>
  </si>
  <si>
    <t>【第1話】吉井英美里(武井咲)は総合商社・帝都物産の新入社員。しかし、希望していた現場の繊維部門ではなく『総務部』に配属される。課長職以下の事務系社員は制服着用を義務付けられ、電球の交換から名刺発注まで、社内の“何でも屋"扱いに英美里は愕然。さらに、コンプライアンスの元締めであるはずの総務部だったが、実態は“女性活用"は口先だけの旧体質。そこにはあらゆるハラスメントが横行していた…。武井咲、稲森いずみ、瀬戸康史、要潤、大倉孝二、内藤理沙、原幹恵・杉本哲太・吹越満、浅野和之、麻生祐未、竹中直人、風間杜夫、小泉孝太郎内館牧子『エイジハラスメント』(幻冬舎文庫)田村直己(テレビ朝日)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</si>
  <si>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第1話】吉井英美里(武井咲)は総合商社・帝都物産の新入社員。しかし、希望していた現場の繊維部門ではなく『総務部』に配属される。課長職以下の事務系社員は制服着用を義務付けられ、電球の交換から名刺発注まで、社内の“何でも屋"扱いに英美里は愕然。さらに、コンプライアンスの元締めであるはずの総務部だったが、実態は“女性活用"は口先だけの旧体質。そこにはあらゆるハラスメントが横行していた…。</t>
  </si>
  <si>
    <t>番組名エイジハラスメント　#2</t>
  </si>
  <si>
    <t>総務部主導の社内イベント「社員家族夏祭り」の担当になった英美里(武井咲)。イベント当日、繊維二課の増田(高橋光臣)と会話をしているところを、浮気を疑う増田の妻に目撃され、夫妻の不倫騒動に巻き込まれてしまう…!一方で、総務部内では「痛い女」をめぐって、総務課の美魔女・桂子(麻生祐未)と派遣社員の真理亜(宮地雅子)が対立。2人の激しい言い争いは英美里VS百合子(稲森いずみ)にも飛び火する!武井咲、稲森いずみ、瀬戸康史、要潤、大倉孝二、内藤理沙、原幹恵・杉本哲太・吹越満、浅野和之、麻生祐未、竹中直人、風間杜夫、小泉孝太郎内館牧子『エイジハラスメント』(幻冬舎文庫)小松隆志(MMJ)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</si>
  <si>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総務部主導の社内イベント「社員家族夏祭り」の担当になった英美里(武井咲)。イベント当日、繊維二課の増田(高橋光臣)と会話をしているところを、浮気を疑う増田の妻に目撃され、夫妻の不倫騒動に巻き込まれてしまう…!一方で、総務部内では「痛い女」をめぐって、総務課の美魔女・桂子(麻生祐未)と派遣社員の真理亜(宮地雅子)が対立。2人の激しい言い争いは英美里VS百合子(稲森いずみ)にも飛び火する!</t>
  </si>
  <si>
    <t>番組名エイジハラスメント　#3</t>
  </si>
  <si>
    <t>体育会駅伝部出身で周囲からは「筋肉入社」と揶揄されている総務部の平本(大倉孝二)。そんな平本は、駅伝部のOBでもある繊維一課長・山川(高杉亘)に呼び出されては、「繊維一課に引っ張るから」と、異動を餌に朝まで飲み会に強制参加させられていた。英美里は山川の行動を注視し始め、山川と平本には大学の先輩・後輩を越えた不正伝票処理にまつわる利害関係があると気づく。自らその真相に近づこうとする英美里は…。武井咲、稲森いずみ、瀬戸康史、要潤、大倉孝二、内藤理沙、原幹恵・杉本哲太・吹越満、浅野和之、麻生祐未、竹中直人、風間杜夫、小泉孝太郎内館牧子『エイジハラスメント』(幻冬舎文庫)藤田明二(テレビ朝日)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</si>
  <si>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体育会駅伝部出身で周囲からは「筋肉入社」と揶揄されている総務部の平本(大倉孝二)。そんな平本は、駅伝部のOBでもある繊維一課長・山川(高杉亘)に呼び出されては、「繊維一課に引っ張るから」と、異動を餌に朝まで飲み会に強制参加させられていた。英美里は山川の行動を注視し始め、山川と平本には大学の先輩・後輩を越えた不正伝票処理にまつわる利害関係があると気づく。自らその真相に近づこうとする英美里は…。</t>
  </si>
  <si>
    <t>番組名エイジハラスメント　#4</t>
  </si>
  <si>
    <t>新しく繊維一課長に着任した小田みどり(森口瑤子)は海外勤務も長く、成果主義のやり手女性。着任早々に「総合職も一般職も給料分、しっかりと働いてもらう」と宣言したみどりは、残業や出張がイヤで一般職を選んだ菊池あけみ(櫻井淳子)らの反感を買ってしまう。“総合職vs一般職"の闘いは過熱の一途をたどり、遂には“警察沙汰にもなりかねない事件"が勃発する…!武井咲、稲森いずみ、瀬戸康史、要潤、大倉孝二、内藤理沙、原幹恵・杉本哲太・吹越満、浅野和之、麻生祐未、竹中直人、風間杜夫、小泉孝太郎  【ゲスト】森口瑤子、櫻井淳子内館牧子『エイジハラスメント』(幻冬舎文庫)田村直己(テレビ朝日)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</si>
  <si>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新しく繊維一課長に着任した小田みどり(森口瑤子)は海外勤務も長く、成果主義のやり手女性。着任早々に「総合職も一般職も給料分、しっかりと働いてもらう」と宣言したみどりは、残業や出張がイヤで一般職を選んだ菊池あけみ(櫻井淳子)らの反感を買ってしまう。“総合職vs一般職"の闘いは過熱の一途をたどり、遂には“警察沙汰にもなりかねない事件"が勃発する…!</t>
  </si>
  <si>
    <t>番組名エイジハラスメント　#5</t>
  </si>
  <si>
    <t>鉄鋼材料課の若手社員・上田(大東駿介)が、直属の上司・小森(光石研)のことを相談しに、英美里(武井咲)のいる総務課へやって来た。小森は人と人とのつながりを大切にする昭和気質の男。現代っ子にとっては“古い価値観"を部下に押し付けてくるという。その矢先、メールに頼ったばかりに、致命的なミスを犯した上田に小森は激怒。この一件が社内全体を巻き込む大騒動へと発展し…!?武井咲、稲森いずみ、瀬戸康史、要潤、大倉孝二、内藤理沙、原幹恵・杉本哲太・吹越満、浅野和之、麻生祐未、竹中直人、風間杜夫、小泉孝太郎  【ゲスト】大東駿介、光石研内館牧子『エイジハラスメント』(幻冬舎文庫)小松隆志(MMJ)沢田完花岡なつみ『夏の罪』(ビクターエンタテインメント)【ゼネラルプロデューサー】内山聖子(テレビ朝日)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</si>
  <si>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鉄鋼材料課の若手社員・上田(大東駿介)が、直属の上司・小森(光石研)のことを相談しに、英美里(武井咲)のいる総務課へやって来た。小森は人と人とのつながりを大切にする昭和気質の男。現代っ子にとっては“古い価値観"を部下に押し付けてくるという。その矢先、メールに頼ったばかりに、致命的なミスを犯した上田に小森は激怒。この一件が社内全体を巻き込む大騒動へと発展し…!?</t>
  </si>
  <si>
    <t>番組名エイジハラスメント　#6</t>
  </si>
  <si>
    <t>イクメン社員・佐田(要潤)に欧州帝都物産ロンドン本社転勤の話が持ち上がる。エリートポストだけに権藤常務(風間杜夫)肝いりの人選だと、部長の高山(竹中直人)と課長の百合子(稲森いずみ)は佐田を説得。家族の賛成を得た佐田自身も意気揚々と未来を思い描く。一方、保科(小泉孝太郎)と一線を越えた英美里(武井咲)は、保科が百合子と不倫の仲だとはつゆ知らず、すっかり夢中になってしまう…。武井咲、稲森いずみ、瀬戸康史、要潤、大倉孝二、内藤理沙、原幹恵・杉本哲太・吹越満、浅野和之、麻生祐未、竹中直人、風間杜夫、小泉孝太郎内館牧子『エイジハラスメント』(幻冬舎文庫)藤田明二(テレビ朝日)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</si>
  <si>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イクメン社員・佐田(要潤)に欧州帝都物産ロンドン本社転勤の話が持ち上がる。エリートポストだけに権藤常務(風間杜夫)肝いりの人選だと、部長の高山(竹中直人)と課長の百合子(稲森いずみ)は佐田を説得。家族の賛成を得た佐田自身も意気揚々と未来を思い描く。一方、保科(小泉孝太郎)と一線を越えた英美里(武井咲)は、保科が百合子と不倫の仲だとはつゆ知らず、すっかり夢中になってしまう…。</t>
  </si>
  <si>
    <t>番組名エイジハラスメント　#7</t>
  </si>
  <si>
    <t>百合子(稲森いずみ)は不倫相手である保科(小泉孝太郎)が、英美里(武井咲)と付き合っていると疑惑を深めていく…。  そんな中、常務取締役の権藤(風間杜夫)が女性登用プロジェクトを立ち上げると宣言。井川(瀬戸康史)は、雑談の中で「女性登用プロジェクトだけでなく、だらしない男性を叩き直すプロジェクトも併用すべき」と発案。その案をあろうことか、浅野(吹越満)が自分のアイデアだと偽って上司に提出し…!?武井咲、稲森いずみ、瀬戸康史、要潤、大倉孝二、内藤理沙、原幹恵・杉本哲太・吹越満、浅野和之、麻生祐未、竹中直人、風間杜夫、小泉孝太郎内館牧子『エイジハラスメント』(幻冬舎文庫)田村直己(テレビ朝日)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</si>
  <si>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百合子(稲森いずみ)は不倫相手である保科(小泉孝太郎)が、英美里(武井咲)と付き合っていると疑惑を深めていく…。  そんな中、常務取締役の権藤(風間杜夫)が女性登用プロジェクトを立ち上げると宣言。井川(瀬戸康史)は、雑談の中で「女性登用プロジェクトだけでなく、だらしない男性を叩き直すプロジェクトも併用すべき」と発案。その案をあろうことか、浅野(吹越満)が自分のアイデアだと偽って上司に提出し…!?</t>
  </si>
  <si>
    <t>番組名エイジハラスメント　#8</t>
  </si>
  <si>
    <t>桂子(麻生祐未)が総務課全員の前で、英美里が百合子の不倫相手・保科を横取りしたと暴露!この噂はたちまち社内に広まり、真偽をめぐって憶測が飛び交うことに…。当然、百合子と保科の関係を知らなかった英美里も動揺を隠せない。そんな中、ミカ(原幹恵)が来年の春に心臓外科医として働く男性と結婚することを宣言。しかしミカの結婚に“ある疑惑"が持ち上がる…!武井咲、稲森いずみ、瀬戸康史、要潤、大倉孝二、内藤理沙、原幹恵・杉本哲太・吹越満、浅野和之、麻生祐未、竹中直人、風間杜夫、小泉孝太郎内館牧子『エイジハラスメント』(幻冬舎文庫)小松隆志(MMJ)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</si>
  <si>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桂子(麻生祐未)が総務課全員の前で、英美里が百合子の不倫相手・保科を横取りしたと暴露!この噂はたちまち社内に広まり、真偽をめぐって憶測が飛び交うことに…。当然、百合子と保科の関係を知らなかった英美里も動揺を隠せない。そんな中、ミカ(原幹恵)が来年の春に心臓外科医として働く男性と結婚することを宣言。しかしミカの結婚に“ある疑惑"が持ち上がる…!</t>
  </si>
  <si>
    <t>番組名エイジハラスメント　#9</t>
  </si>
  <si>
    <t>権藤常務(風間杜夫)肝いりの『女性登用プロジェクト』が専門の部として発足することになり、権藤は百合子(稲森いずみ)に白羽の矢を立てる。能力や実績ではなく「女だから」選ばれたと気づく百合子だが、腹をくくってさっそく部員候補のリストアップを進める。そんな中、百合子が作成した個人情報満載のリストが流出し大騒動に…。流出の起因に疑問を感じた英美里(武井咲)は、建前を全面に押し出す組織に向かい立ち上がる!武井咲、稲森いずみ、瀬戸康史、要潤、大倉孝二、内藤理沙、原幹恵・杉本哲太・吹越満、浅野和之、麻生祐未、竹中直人、風間杜夫、小泉孝太郎内館牧子『エイジハラスメント』(幻冬舎文庫)田村直己(テレビ朝日)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</si>
  <si>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権藤常務(風間杜夫)肝いりの『女性登用プロジェクト』が専門の部として発足することになり、権藤は百合子(稲森いずみ)に白羽の矢を立てる。能力や実績ではなく「女だから」選ばれたと気づく百合子だが、腹をくくってさっそく部員候補のリストアップを進める。そんな中、百合子が作成した個人情報満載のリストが流出し大騒動に…。流出の起因に疑問を感じた英美里(武井咲)は、建前を全面に押し出す組織に向かい立ち上がる!</t>
  </si>
  <si>
    <t>1507_EX_金23</t>
  </si>
  <si>
    <t>民王</t>
  </si>
  <si>
    <t>番組名民王　#1 「組閣」</t>
  </si>
  <si>
    <t>武藤泰山(遠藤憲一)は、政界のドン・城山和彦(西田敏行)の力を借りて、ついに内閣総理大臣の座を手にする。一方、地位と権力にしか興味がなく、家庭を顧みない泰山に嫌気がさして、家に寄りつかなくなってしまった息子・翔(菅田将暉)。そんな2人がある日突然入れ替わってしまい…これは事故か!?はたまた陰謀か!?!?異色の政治エンターテインメントが今夜、幕を開ける!!遠藤憲一、菅田将暉、本仮屋ユイカ、知英、原金太郎、池谷のぶえ、峯村リエ、山内圭哉、六角精児、高橋一生、金田明夫、草刈正雄(特別出演)、西田敏行 ほか池井戸潤『民王』(文春文庫)西荻弓絵木村ひさしmiwa『ストレスフリー』(ソニー・ミュージックレコーズ)【チーフプロデューサー】大川武宏(テレビ朝日)  【プロデューサー】飯田爽(テレビ朝日)、菊池誠(アズバーズ)、神山明子(アズバーズ)☆番組HP  　http://www.tv-asahi.co.jp/tamiou/  ☆Twitter  　http://twitter.com/tamioudrama  ☆Instagram  　https://instagram.com/tamioudrama/</t>
  </si>
  <si>
    <t>武藤泰山(遠藤憲一)は、政界のドン・城山和彦(西田敏行)の力を借りて、ついに内閣総理大臣の座を手にする。一方、地位と権力にしか興味がなく、家庭を顧みない泰山に嫌気がさして、家に寄りつかなくなってしまった息子・翔(菅田将暉)。そんな2人がある日突然入れ替わってしまい…これは事故か!?はたまた陰謀か!?!?異色の政治エンターテインメントが今夜、幕を開ける!!</t>
  </si>
  <si>
    <t>番組名民王　#2 「外交」</t>
  </si>
  <si>
    <t>武藤内閣は発足まもなくして危機に瀕してしまう。そんな中、ウズラスキスタン国の大統領が来日することに。さまざまな試練が待ち受ける中、翔は初めての外交を成功させることができるのかー?遠藤憲一、菅田将暉、本仮屋ユイカ、知英、原金太郎、池谷のぶえ、峯村リエ、山内圭哉、六角精児、高橋一生、金田明夫、草刈正雄(特別出演)、西田敏行池井戸潤『民王』(文春文庫)西荻弓絵木村ひさしmiwa『ストレスフリー』(ソニー・ミュージックレコーズ)【チーフプロデューサー】大川武宏(テレビ朝日)  【プロデューサー】飯田爽(テレビ朝日)、菊池誠(アズバーズ)、神山明子(アズバーズ)☆番組HP  　http://www.tv-asahi.co.jp/tamiou/  ☆Twitter  　http://twitter.com/tamioudrama  ☆Instagram  　https://instagram.com/tamioudrama/</t>
  </si>
  <si>
    <t>武藤内閣は発足まもなくして危機に瀕してしまう。そんな中、ウズラスキスタン国の大統領が来日することに。さまざまな試練が待ち受ける中、翔は初めての外交を成功させることができるのかー?</t>
  </si>
  <si>
    <t>番組名民王　#3 「政敵」</t>
  </si>
  <si>
    <t>犯人探しに躍起になる泰山たちは、政敵である憲民党の蔵本(草刈正雄)に疑いの目を向ける。だが、思いもよらぬ事実が明らかになり…!遠藤憲一、菅田将暉、本仮屋ユイカ、知英、原金太郎、池谷のぶえ、峯村リエ、山内圭哉、六角精児、高橋一生、金田明夫、草刈正雄(特別出演)、西田敏行池井戸潤『民王』(文春文庫)西荻弓絵本橋圭太miwa『ストレスフリー』(ソニー・ミュージックレコーズ)【チーフプロデューサー】大川武宏(テレビ朝日)  【プロデューサー】飯田爽(テレビ朝日)、菊池誠(アズバーズ)、神山明子(アズバーズ)☆番組HP  　http://www.tv-asahi.co.jp/tamiou/  ☆Twitter  　http://twitter.com/tamioudrama  ☆Instagram  　https://instagram.com/tamioudrama/    ※この番組は放送時間が変更になる場合があります</t>
  </si>
  <si>
    <t>犯人探しに躍起になる泰山たちは、政敵である憲民党の蔵本(草刈正雄)に疑いの目を向ける。だが、思いもよらぬ事実が明らかになり…!</t>
  </si>
  <si>
    <t>番組名民王　#4 「盟友」</t>
  </si>
  <si>
    <t>さらに、エリカが蔵本の娘だと聞き、その驚きは一層大きなものになる。早速、防衛省の技術研究本部で脳波の検査を行うと、泰山と翔に埋め込まれたものと同じチップが蔵本たちにも装着されていたことが判明。長年政敵としていがみ合ってきた泰山と蔵本だったが、この入れ替わりを仕組んだ犯人を見つけ出すまでは一時休戦し、手を組むことを約束するのだが…!遠藤憲一、菅田将暉、本仮屋ユイカ、知英、原金太郎、池谷のぶえ、峯村リエ、山内圭哉、六角精児、高橋一生、金田明夫、草刈正雄(特別出演)、西田敏行池井戸潤『民王』(文春文庫)西荻弓絵本橋圭太miwa『ストレスフリー』(ソニー・ミュージックレコーズ)【チーフプロデューサー】大川武宏(テレビ朝日)  【プロデューサー】飯田爽(テレビ朝日)、菊池誠(アズバーズ)、神山明子(アズバーズ)☆番組HP  　http://www.tv-asahi.co.jp/tamiou/  ☆Twitter  　http://twitter.com/tamioudrama  ☆Instagram  　https://instagram.com/tamioudrama/</t>
  </si>
  <si>
    <t>さらに、エリカが蔵本の娘だと聞き、その驚きは一層大きなものになる。早速、防衛省の技術研究本部で脳波の検査を行うと、泰山と翔に埋め込まれたものと同じチップが蔵本たちにも装着されていたことが判明。長年政敵としていがみ合ってきた泰山と蔵本だったが、この入れ替わりを仕組んだ犯人を見つけ出すまでは一時休戦し、手を組むことを約束するのだが…!</t>
  </si>
  <si>
    <t>番組名民王　#5 「革命」</t>
  </si>
  <si>
    <t>その人物は『ジャカランダ』というフリースクールの理事長・黒川(池田鉄洋)。翔は以前に南真衣(本仮屋ユイカ)から、このフリースクールのボランティアに誘われており、それを聞いた泰山は翔のフリをして真衣に連絡し、『武藤総理、フリースクールを視察』の手筈を整えるのだがー!遠藤憲一、菅田将暉、本仮屋ユイカ、知英、原金太郎、池谷のぶえ、峯村リエ、山内圭哉、六角精児、高橋一生、金田明夫、草刈正雄(特別出演)、西田敏行池井戸潤『民王』(文春文庫)西荻弓絵木村ひさしmiwa『ストレスフリー』(ソニー・ミュージックレコーズ)【チーフプロデューサー】大川武宏(テレビ朝日)  【プロデューサー】飯田爽(テレビ朝日)、菊池誠(アズバーズ)、神山明子(アズバーズ)☆番組HP  　http://www.tv-asahi.co.jp/tamiou/  ☆Twitter  　http://twitter.com/tamioudrama  ☆Instagram  　https://instagram.com/tamioudrama/</t>
  </si>
  <si>
    <t>その人物は『ジャカランダ』というフリースクールの理事長・黒川(池田鉄洋)。翔は以前に南真衣(本仮屋ユイカ)から、このフリースクールのボランティアに誘われており、それを聞いた泰山は翔のフリをして真衣に連絡し、『武藤総理、フリースクールを視察』の手筈を整えるのだがー!</t>
  </si>
  <si>
    <t>番組名民王　#6 「暗殺」</t>
  </si>
  <si>
    <t>武藤内閣の支持率も上がり、武藤泰山(遠藤憲一)はひと安心していた。さらに、公安の新田理(山内圭哉)の捜査によって脳波ジャックの犯人にも徐々に近づいており、翔(菅田将暉)も事態の好転を喜ぶ!  その矢先、ネット上で武藤内閣ネガティブキャンペーンが繰り広げられていることが判明!悪質なデマ書き込みが出回り、泰山や官房長官の狩屋孝司(金田明夫)らは犯人探しに躍起になるが…。遠藤憲一、菅田将暉、本仮屋ユイカ、知英、原金太郎、池谷のぶえ、峯村リエ、山内圭哉、六角精児、高橋一生、金田明夫、草刈正雄(特別出演)、西田敏行池井戸潤『民王』(文春文庫)西荻弓絵山本大輔miwa『ストレスフリー』(ソニー・ミュージックレコーズ)【チーフプロデューサー】大川武宏(テレビ朝日)  【プロデューサー】飯田爽(テレビ朝日)、菊池誠(アズバーズ)、神山明子☆番組HP  　http://www.tv-asahi.co.jp/tamiou/  ☆Twitter  　http://twitter.com/tamioudrama  ☆Instagram  　https://instagram.com/tamioudrama/</t>
  </si>
  <si>
    <t>武藤内閣の支持率も上がり、武藤泰山(遠藤憲一)はひと安心していた。さらに、公安の新田理(山内圭哉)の捜査によって脳波ジャックの犯人にも徐々に近づいており、翔(菅田将暉)も事態の好転を喜ぶ!  その矢先、ネット上で武藤内閣ネガティブキャンペーンが繰り広げられていることが判明!悪質なデマ書き込みが出回り、泰山や官房長官の狩屋孝司(金田明夫)らは犯人探しに躍起になるが…。</t>
  </si>
  <si>
    <t>番組名民王　#7 「謀反」</t>
  </si>
  <si>
    <t>官房長官の狩屋孝司(金田明夫)や妻の綾(峯村リエ)は涙ながらに見守り、誰もが泰山の死を覚悟。だがそれを予見するかのように、事前に何者かによって脳波操作オペレーションのパスワードが書き換えられており、泰山の思惑は失敗に終わってしまう…。  ★待望の副音声『たみちゃんねる』を実施!  遠藤憲一、菅田将暉の主演2人と木村ひさし監督が完成した本編を見ながら座談会!ここでしか聞けないレアトーク満載です!遠藤憲一、菅田将暉、本仮屋ユイカ、知英、原金太郎、池谷のぶえ、峯村リエ、山内圭哉、六角精児、高橋一生、金田明夫、草刈正雄(特別出演)、西田敏行池井戸潤『民王』(文春文庫)西荻弓絵木村ひさしmiwa『ストレスフリー』(ソニー・ミュージックレコーズ)【チーフプロデューサー】大川武宏(テレビ朝日)  【プロデューサー】飯田爽(テレビ朝日)、菊池誠(アズバーズ)、神山明子(アズバーズ)☆番組HP  　http://www.tv-asahi.co.jp/tamiou/  ☆Twitter  　http://twitter.com/tamioudrama  ☆Instagram  　https://instagram.com/tamioudrama/</t>
  </si>
  <si>
    <t xml:space="preserve">官房長官の狩屋孝司(金田明夫)や妻の綾(峯村リエ)は涙ながらに見守り、誰もが泰山の死を覚悟。だがそれを予見するかのように、事前に何者かによって脳波操作オペレーションのパスワードが書き換えられており、泰山の思惑は失敗に終わってしまう…。  ★待望の副音声『たみちゃんねる』を実施!  </t>
  </si>
  <si>
    <t>番組名民王　#8 「民王」</t>
  </si>
  <si>
    <t>貝原に城山和彦(西田敏行)の離党・新党立ち上げについていくことを宣言され、窮地に陥る泰山。民政党を離党した城山は、新党・前進党を立ち上げ、すぐさま武藤内閣不信任案を提出。国会でも可決され、泰山は10日以内の内閣総辞職か衆議院解散の後の総選挙か、を迫られる…。  ★今回も副音声『たみちゃんねる』実施緊急決定!!  秘書貝原役・高橋一生さん、官房長官狩屋役・金田明夫さんが登場!!遠藤憲一、菅田将暉、本仮屋ユイカ、知英、原金太郎、池谷のぶえ、峯村リエ、山内圭哉、六角精児、高橋一生、金田明夫、草刈正雄(特別出演)、西田敏行池井戸潤『民王』(文春文庫)西荻弓絵木村ひさしmiwa『ストレスフリー』(ソニー・ミュージックレコーズ)【チーフプロデューサー】大川武宏(テレビ朝日)  【プロデューサー】飯田爽(テレビ朝日)、菊池誠(アズバーズ)、神山明子(アズバーズ)☆番組HP  　http://www.tv-asahi.co.jp/tamiou/  ☆Twitter  　http://twitter.com/tamioudrama  ☆Instagram  　https://instagram.com/tamioudrama/</t>
  </si>
  <si>
    <t>貝原に城山和彦(西田敏行)の離党・新党立ち上げについていくことを宣言され、窮地に陥る泰山。民政党を離党した城山は、新党・前進党を立ち上げ、すぐさま武藤内閣不信任案を提出。国会でも可決され、泰山は10日以内の内閣総辞職か衆議院解散の後の総選挙か、を迫られる…。  ★今回も副音声『たみちゃんねる』実施緊急決定!!  秘書貝原役・高橋一生さん、官房長官狩屋役・金田明夫さんが登場!!</t>
  </si>
  <si>
    <t>1504_EX_木21</t>
  </si>
  <si>
    <t>アイムホーム</t>
  </si>
  <si>
    <t>番組名アイムホーム　#1</t>
  </si>
  <si>
    <t>爆発事故に巻き込まれ奇跡的に生還した家路久(木村拓哉)は、その影響で直近5年ほどの記憶が曖昧になってしまう。彼に残ったものは、おぼろげな過去の記憶と謎の10本の鍵束だけだった。エリート証券マンから一転、閑職セクションに追いやられた久だったが、「僕には家族がいる」と、妻の恵(上戸彩)と息子・良雄(高橋來)と暮らす家に帰る。しかし、「おかえり」と振り返る二人の顔は、なぜか仮面に見えてしまうのだった…!家路久…木村拓哉  家路恵…上戸彩  野沢香…水野美紀  本城剛…田中圭  四月信次…鈴木浩介  小鳥遊優愛…吉本実憂  家路良雄…高橋來  野沢すばる…山口まゆ  黒木仁…新井浩文  轟春木…光石研  勅使河原洋介…渡辺いっけい  筑波良明…及川光博  小机幸男…西田敏行  【第1話ゲスト】  香川照之、高岡早紀石坂啓『アイムホーム(上下巻)』(小学館刊)林宏司七高剛菅野祐悟【ゼネラルプロデューサー】横地郁英(テレビ朝日)  【プロデューサー】大江達樹(テレビ朝日)、川島誠史(テレビ朝日)、太田雅晴(5年D組)☆番組HP  　http://www.tv-asahi.co.jp/imhome/</t>
  </si>
  <si>
    <t>爆発事故に巻き込まれ奇跡的に生還した家路久(木村拓哉)は、その影響で直近5年ほどの記憶が曖昧になってしまう。彼に残ったものは、おぼろげな過去の記憶と謎の10本の鍵束だけだった。エリート証券マンから一転、閑職セクションに追いやられた久だったが、「僕には家族がいる」と、妻の恵(上戸彩)と息子・良雄(高橋來)と暮らす家に帰る。しかし、「おかえり」と振り返る二人の顔は、なぜか仮面に見えてしまうのだった…!</t>
  </si>
  <si>
    <t>番組名アイムホーム　#2</t>
  </si>
  <si>
    <t>ある朝、家路久(木村拓哉)は妻・恵(上戸彩)から「レンタルビデオ店から延滞料金の連絡が来た」と告げられる。それが、学生時代からの唯一の親友・山野辺俊(田中直樹)が監督を務めた作品であることを思い出した久は、鍵束から山野辺のアパートの鍵を見つけ出し、訪ねてみる。久が山野辺に、記憶のない5年間について聞くと、山野辺は「思い出さない方がいいことも世の中にはある」と、なぜか恵のことについては言葉を濁し…!?家路久…木村拓哉  家路恵…上戸彩  野沢香…水野美紀  本城剛…田中圭  四月信次…鈴木浩介  小鳥遊優愛…吉本実憂  家路良雄…高橋來  野沢すばる…山口まゆ  黒木仁…新井浩文  轟春木…光石研  勅使河原洋介…渡辺いっけい  筑波良明…及川光博  小机幸男…西田敏行  【第2話ゲスト】  田中直樹(ココリコ)、西岡徳馬石坂啓『アイムホーム(上下巻)』(小学館刊)林宏司七高剛菅野祐悟【ゼネラルプロデューサー】横地郁英(テレビ朝日)  【プロデューサー】大江達樹(テレビ朝日)、川島誠史(テレビ朝日)、太田雅晴(5年D組)☆番組HP  　http://www.tv-asahi.co.jp/imhome/</t>
  </si>
  <si>
    <t>ある朝、家路久(木村拓哉)は妻・恵(上戸彩)から「レンタルビデオ店から延滞料金の連絡が来た」と告げられる。それが、学生時代からの唯一の親友・山野辺俊(田中直樹)が監督を務めた作品であることを思い出した久は、鍵束から山野辺のアパートの鍵を見つけ出し、訪ねてみる。久が山野辺に、記憶のない5年間について聞くと、山野辺は「思い出さない方がいいことも世の中にはある」と、なぜか恵のことについては言葉を濁し…!?</t>
  </si>
  <si>
    <t>番組名アイムホーム　#3</t>
  </si>
  <si>
    <t>法要の場でテキパキと働く家路久(木村拓哉)。そこは別れた妻・野沢香(水野美紀)の父・和也(寺田農)の七回忌法要の会場で、またしても記憶違いをした久が間違って来てしまったのだ。香の妹・祥子(蓮佛美沙子)は、久の姿を見つけ驚がく。しかも久は野沢家の親族に「お前が和也さんを死なせた」と突然殴られてしまう!家に帰ると、妻・恵(上戸彩)が出迎えてくれるが、その顔は相変わらず仮面に見えてしまい…!?家路久…木村拓哉  家路恵…上戸彩  野沢香…水野美紀  小鳥遊優愛…吉本実憂  家路良雄…高橋來  野沢すばる…山口まゆ  轟春木…光石研  勅使河原洋介…渡辺いっけい  小机幸男…西田敏行  【第3話ゲスト】  野沢祥子…蓮佛美沙子  野沢和也…寺田農石坂啓『アイムホーム(上下巻)』(小学館刊)林宏司田村直己(テレビ朝日)菅野祐悟【ゼネラルプロデューサー】横地郁英(テレビ朝日)  【プロデューサー】大江達樹(テレビ朝日)、川島誠史(テレビ朝日)、太田雅晴(5年D組)☆番組HP  　http://www.tv-asahi.co.jp/imhome/</t>
  </si>
  <si>
    <t>法要の場でテキパキと働く家路久(木村拓哉)。そこは別れた妻・野沢香(水野美紀)の父・和也(寺田農)の七回忌法要の会場で、またしても記憶違いをした久が間違って来てしまったのだ。香の妹・祥子(蓮佛美沙子)は、久の姿を見つけ驚がく。しかも久は野沢家の親族に「お前が和也さんを死なせた」と突然殴られてしまう!家に帰ると、妻・恵(上戸彩)が出迎えてくれるが、その顔は相変わらず仮面に見えてしまい…!?</t>
  </si>
  <si>
    <t>番組名アイムホーム　#4</t>
  </si>
  <si>
    <t>相変わらず妻・恵(上戸彩)の顔が仮面に見える家路久(木村拓哉)。記憶を少しでも取り戻すため、事故前に単身赴任していた町を訪れる。酔った久はかつて住んでいたアパートの部屋を今の家と勘違いし、帰宅。勝手に上がり込んで寝てしまい、翌朝、現在の住人・徳山(平泉成)と鉢合わせしてしまう!お互いの身の上を語り合い意気投合する二人だが、久から渡された名刺の会社名を見た徳山は、途端に顔色を変え…?家路久…木村拓哉  家路恵…上戸彩  本城剛…田中圭  四月信次…鈴木浩介  小鳥遊優愛…吉本実憂  家路良雄…高橋來  黒木仁…新井浩文  筑波良明…及川光博  【第4話ゲスト】  徳山正夫…平泉成  徳山葉子…市毛良枝石坂啓『アイムホーム(上下巻)』(小学館刊)林宏司田村直己(テレビ朝日)菅野祐悟【ゼネラルプロデューサー】横地郁英(テレビ朝日)  【プロデューサー】大江達樹(テレビ朝日)、川島誠史(テレビ朝日)、太田雅晴(5年D組)☆番組HP  　http://www.tv-asahi.co.jp/imhome/</t>
  </si>
  <si>
    <t>相変わらず妻・恵(上戸彩)の顔が仮面に見える家路久(木村拓哉)。記憶を少しでも取り戻すため、事故前に単身赴任していた町を訪れる。酔った久はかつて住んでいたアパートの部屋を今の家と勘違いし、帰宅。勝手に上がり込んで寝てしまい、翌朝、現在の住人・徳山(平泉成)と鉢合わせしてしまう!お互いの身の上を語り合い意気投合する二人だが、久から渡された名刺の会社名を見た徳山は、途端に顔色を変え…?</t>
  </si>
  <si>
    <t>番組名アイムホーム　#5</t>
  </si>
  <si>
    <t>同僚・四月(鈴木浩介)の助言により、事故以来初めて実家を訪ねてみる久(木村拓哉)だったが、酒屋だったはずの実家はなぜかコンビニに変わっていた。久の姿を見るや敵意をむき出しにした弟の浩(永井大)とは対照的に、母の梓(風吹ジュン)は喜んで久を迎え入れる。帰宅した久は、妻の恵(上戸彩)から、事故前は実家を忌み嫌っていたことを聞かされて愕然とするが…!?衝撃の真実に隠された母の愛、そして家族の愛とは!?家路久…木村拓哉  家路恵…上戸彩  野沢香…水野美紀  四月信次…鈴木浩介  小鳥遊優愛…吉本実憂  家路良雄…高橋來  轟春木…光石研  勅使河原洋介…渡辺いっけい  【第5話ゲスト】  家路梓…風吹ジュン  家路浩…永井大石坂啓『アイムホーム(上下巻)』(小学館刊)林宏司七高剛菅野祐悟【ゼネラルプロデューサー】横地郁英(テレビ朝日)  【プロデューサー】大江達樹(テレビ朝日)、川島誠史(テレビ朝日)、太田雅晴(5年D組)☆番組HP  　http://www.tv-asahi.co.jp/imhome/</t>
  </si>
  <si>
    <t>同僚・四月(鈴木浩介)の助言により、事故以来初めて実家を訪ねてみる久(木村拓哉)だったが、酒屋だったはずの実家はなぜかコンビニに変わっていた。久の姿を見るや敵意をむき出しにした弟の浩(永井大)とは対照的に、母の梓(風吹ジュン)は喜んで久を迎え入れる。帰宅した久は、妻の恵(上戸彩)から、事故前は実家を忌み嫌っていたことを聞かされて愕然とするが…!?衝撃の真実に隠された母の愛、そして家族の愛とは!?</t>
  </si>
  <si>
    <t>番組名アイムホーム　#6</t>
  </si>
  <si>
    <t>蓼科の別荘に遊びにきた家路一家。バーベキューを楽しんでいたが、野菜を届けにきた店主(神保悟志)に、一年前に同じ別荘に来ていたときには、良雄に冷たくしていたことを聞かされ、久は自己嫌悪に陥る。その夜、落ち込んだ久を慰めようとした恵。しかしその恵から「久さん、私のこと見えてる?」という衝撃的な問いかけが…!さらに翌朝、良雄が姿を消してしまい…!?  急展開を迎える「アイムホーム」…記憶はついに戻るのか!?家路久…木村拓哉  家路恵…上戸彩  野沢香…水野美紀  本城剛…田中圭  小鳥遊優愛…吉本実憂  家路良雄…高橋來  野沢すばる…山口まゆ  黒木仁…新井浩文  四月信次…鈴木浩介  轟春木…光石研  勅使河原洋介…渡辺いっけい  小机幸男…西田敏行石坂啓『アイムホーム(上下巻)』(小学館刊)山浦雅大、林宏司田村直己(テレビ朝日)菅野祐悟【ゼネラルプロデューサー】横地郁英(テレビ朝日)  【プロデューサー】大江達樹(テレビ朝日)、川島誠史(テレビ朝日)、太田雅晴(5年D組)☆番組HP  　http://www.tv-asahi.co.jp/imhome/</t>
  </si>
  <si>
    <t>蓼科の別荘に遊びにきた家路一家。バーベキューを楽しんでいたが、野菜を届けにきた店主(神保悟志)に、一年前に同じ別荘に来ていたときには、良雄に冷たくしていたことを聞かされ、久は自己嫌悪に陥る。その夜、落ち込んだ久を慰めようとした恵。しかしその恵から「久さん、私のこと見えてる?」という衝撃的な問いかけが…!さらに翌朝、良雄が姿を消してしまい…!?  急展開を迎える「アイムホーム」…記憶はついに戻るのか!?</t>
  </si>
  <si>
    <t>番組名アイムホーム　#7</t>
  </si>
  <si>
    <t>ある日、家路家に警察から一本の電話がかかってくる。久の父親・洋蔵が、無銭飲食で補導されたというのだ。洋蔵は、久が11歳のころ家を出て以来連絡の一本も寄こさなかった…妻・恵(上戸彩)を前に、久は父親への怒りを露わにする。しかし、母親の梓(風吹ジュン)と電話で話した久は、洋蔵に関するある意外が事実を聞かされる。更に、洋蔵は重大な秘密を抱えていて…!30年ぶりに再会した父と子を待ち受ける衝撃の結末とは!?家路久…木村拓哉  家路恵…上戸彩  野沢香…水野美紀  本城剛…田中圭  小鳥遊優愛…吉本実憂  家路良雄…高橋來  野沢すばる…山口まゆ  轟春木…光石研  筑波良明…及川光博  【第7話ゲスト】  家路洋蔵…北大路欣也  家路梓…風吹ジュン  野沢祥子…蓮佛美沙子  北村和子…大島さと子  野上…六角精児石坂啓『アイムホーム(上下巻)』(小学館刊)林宏司星野和成菅野祐悟【ゼネラルプロデューサー】横地郁英(テレビ朝日)  【プロデューサー】大江達樹(テレビ朝日)、川島誠史(テレビ朝日)、太田雅晴(5年D組)☆番組HP  　http://www.tv-asahi.co.jp/imhome/</t>
  </si>
  <si>
    <t>ある日、家路家に警察から一本の電話がかかってくる。久の父親・洋蔵が、無銭飲食で補導されたというのだ。洋蔵は、久が11歳のころ家を出て以来連絡の一本も寄こさなかった…妻・恵(上戸彩)を前に、久は父親への怒りを露わにする。しかし、母親の梓(風吹ジュン)と電話で話した久は、洋蔵に関するある意外が事実を聞かされる。更に、洋蔵は重大な秘密を抱えていて…!30年ぶりに再会した父と子を待ち受ける衝撃の結末とは!?</t>
  </si>
  <si>
    <t>番組名アイムホーム　#8</t>
  </si>
  <si>
    <t>妻・恵と、サッカーコーチ・本城剛(田中圭)との親密な写真を見てしまった久は、部長の小机(西田敏行)に誘われるがまま飲みにいき泥酔し、そのまま間違って昔の愛人・杏子(吹石一恵)のマンションに帰ってしまう。杏子から自身との関係について衝撃的な過去を聞かされる久。そして遂に元妻・香の病気についても知ることになり…。次々と明らかにされる久の過去にまつわる秘密!久と取り巻く環境が一気に変化していく!家路久…木村拓哉  家路恵…上戸彩  野沢香…水野美紀  本城剛…田中圭  小鳥遊優愛…吉本実憂  家路良雄…高橋來  野沢すばる…山口まゆ  轟春木…光石研  小机幸男…西田敏行  【第8話ゲスト】  白石杏子…吹石一恵  野沢祥子…蓮佛美沙子石坂啓『アイムホーム(上下巻)』(小学館刊)林宏司、山浦雅大田村直己(テレビ朝日)菅野祐悟【ゼネラルプロデューサー】横地郁英(テレビ朝日)  【プロデューサー】大江達樹(テレビ朝日)、川島誠史(テレビ朝日)、太田雅晴(5年D組)☆番組HP  　http://www.tv-asahi.co.jp/imhome/</t>
  </si>
  <si>
    <t>妻・恵と、サッカーコーチ・本城剛(田中圭)との親密な写真を見てしまった久は、部長の小机(西田敏行)に誘われるがまま飲みにいき泥酔し、そのまま間違って昔の愛人・杏子(吹石一恵)のマンションに帰ってしまう。杏子から自身との関係について衝撃的な過去を聞かされる久。そして遂に元妻・香の病気についても知ることになり…。次々と明らかにされる久の過去にまつわる秘密!久と取り巻く環境が一気に変化していく!</t>
  </si>
  <si>
    <t>番組名アイムホーム　#9</t>
  </si>
  <si>
    <t>家路久(木村拓哉)は、妻・恵(上戸彩)との間の埋めがたい溝を実感していた。そんなある日、第一営業部の雑務を手伝っていた久ら第十三営業部の面々は、帳簿に挟まっていた不審なメモを発見。調べてみようと息巻く久らを、こっそり伺っている人物がいた…!会社の大きな秘密を知ろうとしてしまった久を待ち受ける運命とは!?そして苦悩する久は、恵についに禁断の告白をする…!?激動の中で、久の記憶がついに戻る!?家路久…木村拓哉  家路恵…上戸彩  野沢香…水野美紀  四月信次…鈴木浩介  小鳥遊優愛…吉本実憂  家路良雄…高橋來  野沢すばる…山口まゆ  黒木仁…新井浩文  轟春木…光石研  小机幸男…西田敏行石坂啓『アイムホーム(上下巻)』(小学館刊)林宏司七高剛菅野祐悟【ゼネラルプロデューサー】横地郁英(テレビ朝日)  【プロデューサー】大江達樹(テレビ朝日)、川島誠史(テレビ朝日)、太田雅晴(5年D組)☆番組HP  　http://www.tv-asahi.co.jp/imhome/</t>
  </si>
  <si>
    <t>家路久(木村拓哉)は、妻・恵(上戸彩)との間の埋めがたい溝を実感していた。そんなある日、第一営業部の雑務を手伝っていた久ら第十三営業部の面々は、帳簿に挟まっていた不審なメモを発見。調べてみようと息巻く久らを、こっそり伺っている人物がいた…!会社の大きな秘密を知ろうとしてしまった久を待ち受ける運命とは!?そして苦悩する久は、恵についに禁断の告白をする…!?激動の中で、久の記憶がついに戻る!?</t>
  </si>
  <si>
    <t>番組名アイムホーム　#10</t>
  </si>
  <si>
    <t>「私には久さんが仮面に見える」と、妻・恵から衝撃の告白をされた家路久は、手元にある鍵束の中にトランクルームの鍵が残っていることに気付く。そこで一枚の写真を見た久の脳裏に、ある衝撃的な事実がよみがえる!さらに、葵インペリアル証券の損失隠しに関する記憶も取り戻した久。速やかに所持しているデータを、社長の上王子悟史(沢村一樹)に渡すよう、小机部長(西田敏行)に迫られるが…!?全ての謎が解ける衝撃の結末!家路久…木村拓哉  家路恵…上戸彩  野沢香…水野美紀  本城剛…田中圭  小鳥遊優愛…吉本実憂  家路良雄…高橋來  野沢すばる…山口まゆ  黒木仁…新井浩文  四月信次…鈴木浩介  轟春木…光石研  筑波良明…及川光博  小机幸男…西田敏行  【第10話ゲスト】  上王子悟史…沢村一樹  西澤真理…佐々木希石坂啓『アイムホーム(上下巻)』(小学館刊)林宏司七高剛菅野祐悟【ゼネラルプロデューサー】横地郁英(テレビ朝日)  【プロデューサー】大江達樹(テレビ朝日)、川島誠史(テレビ朝日)、太田雅晴(5年D組)☆番組HP  　http://www.tv-asahi.co.jp/imhome/</t>
  </si>
  <si>
    <t>「私には久さんが仮面に見える」と、妻・恵から衝撃の告白をされた家路久は、手元にある鍵束の中にトランクルームの鍵が残っていることに気付く。そこで一枚の写真を見た久の脳裏に、ある衝撃的な事実がよみがえる!さらに、葵インペリアル証券の損失隠しに関する記憶も取り戻した久。速やかに所持しているデータを、社長の上王子悟史(沢村一樹)に渡すよう、小机部長(西田敏行)に迫られるが…!?全ての謎が解ける衝撃の結末!</t>
  </si>
  <si>
    <t>1504_EX_金23</t>
  </si>
  <si>
    <t>天使と悪魔</t>
  </si>
  <si>
    <t>番組名天使と悪魔ー未解決事件匿名交渉課ー　#1</t>
  </si>
  <si>
    <t>【未解決事件 CASE.1】  キャバクラ嬢殺害×政治アナリスト失踪!  重要参考人の政治アナリストが失踪したため、迷宮入りしているキャバクラ嬢殺害事件。蒔田ヒカリ(剛力彩芽)と茶島龍之介(渡部篤郎)は二重に絡み合う不可解な“未解決事件"を再調査するため、重要参考人の妻・美加子(高岡早紀)のもとへ。二人は、ある“重大な嘘"が捜査をかく乱させたことを確認し…!?剛力彩芽、渡部篤郎、長谷川朝晴、内藤理沙、中村静香、荒川良々、宇崎竜童  【ゲスト】高岡早紀、霧島れいか、飯田基祐高橋悠也波多野貴文林ゆうきソナーポケット『Song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</si>
  <si>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【未解決事件 CASE.1】  キャバクラ嬢殺害×政治アナリスト失踪!  重要参考人の政治アナリストが失踪したため、迷宮入りしているキャバクラ嬢殺害事件。蒔田ヒカリ(剛力彩芽)と茶島龍之介(渡部篤郎)は二重に絡み合う不可解な“未解決事件"を再調査するため、重要参考人の妻・美加子(高岡早紀)のもとへ。二人は、ある“重大な嘘"が捜査をかく乱させたことを確認し…!?</t>
  </si>
  <si>
    <t>番組名天使と悪魔ー未解決事件匿名交渉課ー　#2</t>
  </si>
  <si>
    <t>【未解決事件 CASE.2“殺人病棟"】  3年前、目撃証言が多数あるにも関わらず、迷宮入りした謎の入院患者刺殺事件。ヒカリ(剛力彩芽)と茶島(渡部篤郎)は、様々な病院関係者に再調査を開始。だが、第一発見者の看護師・郁子は行方不明で…!?やがて、茶島は極秘裏に“二重の司法取引"を駆使。ヒカリをぼう然とさせる事件の真相にたどり着くー。  嘘をついているのは誰だ?仕掛けられた罠とは…その真相に涙する。剛力彩芽、渡部篤郎、長谷川朝晴、内藤理沙、中村静香、荒川良々、宇崎竜童  【ゲスト】浅利陽介、高橋かおり、山田明郷高橋悠也植田尚林ゆうきソナーポケット『Song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</si>
  <si>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【未解決事件 CASE.2“殺人病棟"】  3年前、目撃証言が多数あるにも関わらず、迷宮入りした謎の入院患者刺殺事件。ヒカリ(剛力彩芽)と茶島(渡部篤郎)は、様々な病院関係者に再調査を開始。だが、第一発見者の看護師・郁子は行方不明で…!?やがて、茶島は極秘裏に“二重の司法取引"を駆使。ヒカリをぼう然とさせる事件の真相にたどり着くー。  嘘をついているのは誰だ?仕掛けられた罠とは…その真相に涙する。</t>
  </si>
  <si>
    <t>番組名天使と悪魔ー未解決事件匿名交渉課ー　#3</t>
  </si>
  <si>
    <t>【未解決事件 CASE.3“エリート官僚怪死事件"】  5年前に発見されたエリート官僚の謎の焼死体!  被害者の妻・沙知絵(雛形あきこ)から話を聞くと、1年前から遺族に資金援助をする“謎の男"の存在が浮かび上がり…!?被害者の裏の顔と、隠された驚愕の真実とは…。  衝撃の結末が待ち受ける---剛力彩芽、渡部篤郎、長谷川朝晴、内藤理沙、中村静香、荒川良々、宇崎竜童  【ゲスト】雛形あきこ、池内万作、高橋洋高橋悠也植田尚林ゆうきソナーポケット『Song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</si>
  <si>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【未解決事件 CASE.3“エリート官僚怪死事件"】  5年前に発見されたエリート官僚の謎の焼死体!  被害者の妻・沙知絵(雛形あきこ)から話を聞くと、1年前から遺族に資金援助をする“謎の男"の存在が浮かび上がり…!?被害者の裏の顔と、隠された驚愕の真実とは…。  衝撃の結末が待ち受ける---</t>
  </si>
  <si>
    <t>番組名天使と悪魔ー未解決事件匿名交渉課ー　#4</t>
  </si>
  <si>
    <t>【未解決事件 CASE.4“殺人同窓会"】  4年前に失踪した主婦の白骨死体が発見される!その主婦は同窓会以降、足取りが不明に…。元夫の証言から“裏の顔"があったことが判明!だが、主婦の同窓生の証言が食い違うなど、15年前に隠された衝撃の真実が見え隠れし始め……誰が嘘をついているのか!?  いまだかつてない禁断の司法取引により、救えるのはただ1人…予測不可能な衝撃の結末が待ち受ける!剛力彩芽、渡部篤郎、長谷川朝晴、内藤理沙、中村静香、荒川良々  【ゲスト】篠井英介、原田佳奈、山崎真実、梅舟惟永、朝倉えりか香坂隆史片山修(テレビ朝日)林ゆうきソナーポケット『Song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</si>
  <si>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【未解決事件 CASE.4“殺人同窓会"】  4年前に失踪した主婦の白骨死体が発見される!その主婦は同窓会以降、足取りが不明に…。元夫の証言から“裏の顔"があったことが判明!だが、主婦の同窓生の証言が食い違うなど、15年前に隠された衝撃の真実が見え隠れし始め……誰が嘘をついているのか!?  いまだかつてない禁断の司法取引により、救えるのはただ1人…予測不可能な衝撃の結末が待ち受ける!</t>
  </si>
  <si>
    <t>番組名天使と悪魔ー未解決事件匿名交渉課ー　#5</t>
  </si>
  <si>
    <t>【未解決事件 CASE.5“あけび山の殺人伝説"】  あけび山と呼ばれる山中でハイキングに出かけた主婦が他殺体として見つかり、「人間じゃない」などと書かれた不可解なダイイングメッセージを残して迷宮入り。1年後、先に帰って助かった主婦も似た手口で焼死体として発見。  人知を超えた犯人像や、町ぐるみで見え隠れする不穏な動きなど、史上最も解決困難な未解決事件の様相を呈する中、事態はやがて衝撃の真相へ……。剛力彩芽、渡部篤郎、長谷川朝晴、内藤理沙、中村静香、荒川良々  【ゲスト】少路勇介、須田邦裕、やべきょうすけ、笠原秀幸、神保悟志徳永富彦片山修(テレビ朝日)林ゆうきソナーポケット『Song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</si>
  <si>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【未解決事件 CASE.5“あけび山の殺人伝説"】  あけび山と呼ばれる山中でハイキングに出かけた主婦が他殺体として見つかり、「人間じゃない」などと書かれた不可解なダイイングメッセージを残して迷宮入り。1年後、先に帰って助かった主婦も似た手口で焼死体として発見。  人知を超えた犯人像や、町ぐるみで見え隠れする不穏な動きなど、史上最も解決困難な未解決事件の様相を呈する中、事態はやがて衝撃の真相へ……。</t>
  </si>
  <si>
    <t>番組名天使と悪魔ー未解決事件匿名交渉課ー　#6</t>
  </si>
  <si>
    <t>【未解決事件 CASE.6“密室の悪魔"】  司法取引を犯罪者から持ちかけられる!3年前の女性失踪事件の目撃証言をする代わりに、里親の最期を看取りたいので仮釈放を早めて欲しい…との取引条件が。失踪した女性は元刑事の愛人だったことが発覚!果たして、証言は真実なのか?脱獄のためなのか?  1つの証言によって連鎖する未解決ミステリー。過去に隠された悲しくも切ない衝撃の真相ーー剛力彩芽、渡部篤郎、長谷川朝晴、内藤理沙、中村静香、荒川良々、宇崎竜童  【ゲスト】早乙女太一、三浦涼介、堀部圭亮、梅沢昌代瀧本智行波多野貴文林ゆうきソナーポケット『Song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</si>
  <si>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【未解決事件 CASE.6“密室の悪魔"】  司法取引を犯罪者から持ちかけられる!3年前の女性失踪事件の目撃証言をする代わりに、里親の最期を看取りたいので仮釈放を早めて欲しい…との取引条件が。失踪した女性は元刑事の愛人だったことが発覚!果たして、証言は真実なのか?脱獄のためなのか?  1つの証言によって連鎖する未解決ミステリー。過去に隠された悲しくも切ない衝撃の真相ーー</t>
  </si>
  <si>
    <t>番組名天使と悪魔ー未解決事件匿名交渉課ー　#7</t>
  </si>
  <si>
    <t>【未解決事件 CASE.7“毒婦の誘惑"】  結婚した男性が次々と不審な死を遂げてしまう女…。男たちを瞬く間に虜にする美貌と妖艶さを持ち、週刊誌などでもスキャンダラスに報じられていた。財産目的の殺人容疑がかけられるが、証拠不十分で不起訴に。遺族からは「魔性の毒婦」と「いい人」という真逆の証言が!さらに彼女には強力な女性弁護人がいて、ヒカリたちを阻んでいく!その弁護人は茶島の過去を知る人物だった…剛力彩芽、渡部篤郎、長谷川朝晴、内藤理沙、中村静香、荒川良々  【ゲスト】森口瑤子、玄覺悠子、永山たかし、小松利昌高橋悠也植田尚林ゆうきソナーポケット『Song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</si>
  <si>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【未解決事件 CASE.7“毒婦の誘惑"】  結婚した男性が次々と不審な死を遂げてしまう女…。男たちを瞬く間に虜にする美貌と妖艶さを持ち、週刊誌などでもスキャンダラスに報じられていた。財産目的の殺人容疑がかけられるが、証拠不十分で不起訴に。遺族からは「魔性の毒婦」と「いい人」という真逆の証言が!さらに彼女には強力な女性弁護人がいて、ヒカリたちを阻んでいく!その弁護人は茶島の過去を知る人物だった…</t>
  </si>
  <si>
    <t>番組名天使と悪魔ー未解決事件匿名交渉課ー　#8</t>
  </si>
  <si>
    <t>【未解決事件 CASE.8“殺人家族と消えた少女"】  20年前におきた塾経営者一家殺害事件。8歳の娘は数日間監禁されたあと、傷だらけで発見される!この未解決事件を捜査するが、遺族の娘は再捜査を拒否。今まで苦しんできたが、ようやくお店も軌道に乗り始め、これからは前だけを見て生きていきたい…との思いがを伝えられる。その事件を捜査していくと、あまりに悲しく、切ない真相が待ち受けていた…。剛力彩芽、渡部篤郎、長谷川朝晴、内藤理沙、中村静香、荒川良々、宇崎竜童  【ゲスト】小林涼子、山本圭、窪塚俊介香坂隆史片山修(テレビ朝日)林ゆうきソナーポケット『Song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</si>
  <si>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【未解決事件 CASE.8“殺人家族と消えた少女"】  20年前におきた塾経営者一家殺害事件。8歳の娘は数日間監禁されたあと、傷だらけで発見される!この未解決事件を捜査するが、遺族の娘は再捜査を拒否。今まで苦しんできたが、ようやくお店も軌道に乗り始め、これからは前だけを見て生きていきたい…との思いがを伝えられる。その事件を捜査していくと、あまりに悲しく、切ない真相が待ち受けていた…。</t>
  </si>
  <si>
    <t>番組名天使と悪魔ー未解決事件匿名交渉課ー　#9</t>
  </si>
  <si>
    <t>【未解決事件 CASE.9“巨悪VS最後の司法取引"】  「匿名交渉課」の廃止が決定になる!そんな中、10年前に起こった疑惑の女性事務官殺人事件を探り始める!当時、被疑者が犯行を認めたにも関わらず、無実を訴える別の被疑者が起訴されていた。この事件には茶島と「匿名交渉課」を立ち上げた神楽坂が関わっていた…。驚きの巨悪の正体とは?この陰謀は暴けないのか…黒幕は誰なのか…衝撃の真実が待ち受ける!剛力彩芽、渡部篤郎、長谷川朝晴、内藤理沙、中村静香、荒川良々、宇崎竜童  【ゲスト】太賀高橋悠也波多野貴文林ゆうきソナーポケット『Song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</si>
  <si>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【未解決事件 CASE.9“巨悪VS最後の司法取引"】  「匿名交渉課」の廃止が決定になる!そんな中、10年前に起こった疑惑の女性事務官殺人事件を探り始める!当時、被疑者が犯行を認めたにも関わらず、無実を訴える別の被疑者が起訴されていた。この事件には茶島と「匿名交渉課」を立ち上げた神楽坂が関わっていた…。驚きの巨悪の正体とは?この陰謀は暴けないのか…黒幕は誰なのか…衝撃の真実が待ち受ける!</t>
  </si>
  <si>
    <t>1501_EX_木21</t>
  </si>
  <si>
    <t>DOCTORS3</t>
  </si>
  <si>
    <t>番組名DOCTORS 3 最強の名医　#1</t>
  </si>
  <si>
    <t>『DOCTORS』待望のパート3がスタート!  たまき院長(野際陽子)が旅行中の間、森山が堂上総合病院の院長代理に!傍若無人な振る舞いを繰り返す森山。一方、相良は肝臓の血管に腫瘍ができた患者を救うため、難しい手術に挑もうとするも、その手術の成功の確率の低さを理由に森山に反対される。患者を救うため相良は動き出すが…!?沢村一樹、高嶋政伸、比嘉愛未、黒川智花、宮地雅子、正名僕蔵、滝沢沙織、敦士、斉藤陽一郎、尾崎右宗、阿南敦子、浅利陽介、小野武彦、伊藤蘭、野際陽子 ほか福田靖本橋圭太コブクロ『奇跡』(ワーナーミュージック・ジャパン)【ゼネラルプロデューサー】黒田徹也(テレビ朝日)、三輪祐見子(テレビ朝日)  【プロデューサー】松野千鶴子(アズバーズ)、神馬由季(アズバーズ)☆番組HP  　http://www.tv-asahi.co.jp/doctors/</t>
  </si>
  <si>
    <t>番組名DOCTORS 3 最強の名医　#2</t>
  </si>
  <si>
    <t>院長代理に就任した森山(高嶋政伸)の暴挙が止まらない!ついには「病院内のすべてのことは自分が決める」と言い始め、病院内は混乱する!しかし、相良(沢村一樹)は何故か、森山の決定に従順にしたがう。そんな中、平松(西岡徳馬)という男性が緊急入院!同じ病棟に入院する武藤(志賀廣太郎)の姿を見て激しく動揺する…。2人の患者の間には何があったのか!?相良の新たな企みとは!?沢村一樹、高嶋政伸、比嘉愛未、黒川智花、宮地雅子、正名僕蔵、滝沢沙織、敦士、斉藤陽一郎、尾崎右宗、阿南敦子、浅利陽介、小野武彦、伊藤蘭、野際陽子 ほか福田靖常廣丈太(テレビ朝日)コブクロ『奇跡』(ワーナーミュージック・ジャパン)【ゼネラルプロデューサー】黒田徹也(テレビ朝日)、三輪祐見子(テレビ朝日)  【プロデューサー】松野千鶴子(アズバーズ)、神馬由季(アズバーズ)☆番組HP  　http://www.tv-asahi.co.jp/doctors/</t>
  </si>
  <si>
    <t>院長代理に就任した森山(高嶋政伸)の暴挙が止まらない!ついには「病院内のすべてのことは自分が決める」と言い始め、病院内は混乱する!しかし、相良(沢村一樹)は何故か、森山の決定に従順にしたがう。そんな中、平松(西岡徳馬)という男性が緊急入院!同じ病棟に入院する武藤(志賀廣太郎)の姿を見て激しく動揺する…。2人の患者の間には何があったのか!?相良の新たな企みとは!?</t>
  </si>
  <si>
    <t>番組名DOCTORS 3 最強の名医　#3</t>
  </si>
  <si>
    <t>沢村一樹、高嶋政伸、比嘉愛未、黒川智花、宮地雅子、正名僕蔵、滝沢沙織、敦士、斉藤陽一郎、尾崎右宗、阿南敦子、浅利陽介、小野武彦、伊藤蘭、野際陽子 ほか福田靖樹下直美コブクロ『奇跡』(ワーナーミュージック・ジャパン)【ゼネラルプロデューサー】黒田徹也(テレビ朝日)、三輪祐見子(テレビ朝日)  【プロデューサー】松野千鶴子(アズバーズ)、神馬由季(アズバーズ)☆番組HP  　http://www.tv-asahi.co.jp/doctors/</t>
  </si>
  <si>
    <t>高嶋政伸、比嘉愛未、黒川智花、宮地雅子、正名僕蔵、滝沢沙織、敦士、斉藤陽一郎、尾崎右宗、阿南敦子、浅利陽介、小野武彦、伊藤蘭、野際陽子 ほか福田靖樹下直美コブクロ『奇跡』(ワーナーミュージック・ジャパン)【ゼネラルプロデューサー】黒田徹也(テレビ朝日)、三輪祐見子(テレビ朝日)  【プロデューサー】松野千鶴子(アズバーズ)、神馬由季(アズバーズ)☆番組HP  　http://www.tv-asahi.co.jp/doctors/</t>
  </si>
  <si>
    <t>番組名DOCTORS 3 最強の名医　#4</t>
  </si>
  <si>
    <t>たまきの頼みの綱の相良(沢村一樹)にも「僕はこの病院と心中する気はありませんよ」と見放すような発言をされてしまい、たまきは途方に暮れる。森山を見かねた“チーム森山"のメンバーたちは、病院を辞めることも検討に入れ始め…。沢村一樹、高嶋政伸、比嘉愛未、黒川智花、宮地雅子、正名僕蔵、滝沢沙織、敦士、斉藤陽一郎、尾崎右宗、阿南敦子、浅利陽介、小野武彦、伊藤蘭、野際陽子 ほか福田靖本橋圭太コブクロ『奇跡』(ワーナーミュージック・ジャパン)【ゼネラルプロデューサー】黒田徹也(テレビ朝日)、三輪祐見子(テレビ朝日)  【プロデューサー】松野千鶴子(アズバーズ)、神馬由季(アズバーズ)☆番組HP  　http://www.tv-asahi.co.jp/doctors/</t>
  </si>
  <si>
    <t>たまきの頼みの綱の相良(沢村一樹)にも「僕はこの病院と心中する気はありませんよ」と見放すような発言をされてしまい、たまきは途方に暮れる。森山を見かねた“チーム森山"のメンバーたちは、病院を辞めることも検討に入れ始め…。</t>
  </si>
  <si>
    <t>番組名DOCTORS 3 最強の名医　#5</t>
  </si>
  <si>
    <t>一方、相良(沢村一樹)は、直腸がんを患った男性患者・小金沢芳雄(市川勇)が搬送されてくるが、男性は金銭的理由から手術が困難で、小金沢の息子・春樹(柏原収史)に援助を頼むも「縁は切れている…」と断られてしまいー。沢村一樹、高嶋政伸、比嘉愛未、黒川智花、宮地雅子、正名僕蔵、滝沢沙織、敦士、斉藤陽一郎、尾崎右宗、阿南敦子、浅利陽介、小野武彦、伊藤蘭、野際陽子 ほか福田靖常廣丈太(テレビ朝日)コブクロ『奇跡』(ワーナーミュージック・ジャパン)【ゼネラルプロデューサー】黒田徹也(テレビ朝日)、三輪祐見子(テレビ朝日)  【プロデューサー】松野千鶴子(アズバーズ)、神馬由季(アズバーズ)☆番組HP  　http://www.tv-asahi.co.jp/doctors/</t>
  </si>
  <si>
    <t>一方、相良(沢村一樹)は、直腸がんを患った男性患者・小金沢芳雄(市川勇)が搬送されてくるが、男性は金銭的理由から手術が困難で、小金沢の息子・春樹(柏原収史)に援助を頼むも「縁は切れている…」と断られてしまいー。</t>
  </si>
  <si>
    <t>番組名DOCTORS 3 最強の名医　#6</t>
  </si>
  <si>
    <t>そんな折、堂上総合病院を傘下に入れようと『医療法人グループ 満潤会』の会長・満堂潤三郎(大和田伸也)が、堂上たまき(野際陽子)のもとにやってくる。強引な利益至上主義で有名な満潤会に「堂上を売り渡すわけにはいかない」と、たまきらは断固として要請を突っぱねるが…?沢村一樹、高嶋政伸、比嘉愛未、黒川智花、宮地雅子、正名僕蔵、滝沢沙織、敦士、斉藤陽一郎、尾崎右宗、阿南敦子、浅利陽介、小野武彦、伊藤蘭、野際陽子 ほか福田靖樹下直美コブクロ『奇跡』(ワーナーミュージック・ジャパン)【ゼネラルプロデューサー】黒田徹也(テレビ朝日)、三輪祐見子(テレビ朝日)  【プロデューサー】松野千鶴子(アズバーズ)、神馬由季(アズバーズ)☆番組HP  　http://www.tv-asahi.co.jp/doctors/</t>
  </si>
  <si>
    <t>そんな折、堂上総合病院を傘下に入れようと『医療法人グループ 満潤会』の会長・満堂潤三郎(大和田伸也)が、堂上たまき(野際陽子)のもとにやってくる。強引な利益至上主義で有名な満潤会に「堂上を売り渡すわけにはいかない」と、たまきらは断固として要請を突っぱねるが…?</t>
  </si>
  <si>
    <t>番組名DOCTORS 3 最強の名医　#7</t>
  </si>
  <si>
    <t>満潤会にうまく言いくるめられた森山は、院長のたまき(野際陽子)に「今すぐ病院を継がせてほしい」と懇願。だが「いいドクターになったら…」と言われ、森山は困惑してしまう…。 一方、相良は、佐々井(正名僕蔵)ら“チーム森山"の評判を上げる作戦を企てる。どんどん評判を上げていく周りのドクターたちを見て焦る森山。  果たして、森山は答えを見つけることができるのか?相良のその作戦の狙いとは!?沢村一樹、高嶋政伸、比嘉愛未、黒川智花、宮地雅子、正名僕蔵、滝沢沙織、敦士、斉藤陽一郎、尾崎右宗、阿南敦子、浅利陽介、小野武彦、伊藤蘭、野際陽子 ほか福田靖本橋圭太コブクロ『奇跡』(ワーナーミュージック・ジャパン)【ゼネラルプロデューサー】黒田徹也(テレビ朝日)、三輪祐見子(テレビ朝日)  【プロデューサー】松野千鶴子(アズバーズ)、神馬由季(アズバーズ)☆番組HP  　http://www.tv-asahi.co.jp/doctors/</t>
  </si>
  <si>
    <t>満潤会にうまく言いくるめられた森山は、院長のたまき(野際陽子)に「今すぐ病院を継がせてほしい」と懇願。だが「いいドクターになったら…」と言われ、森山は困惑してしまう…。 一方、相良は、佐々井(正名僕蔵)ら“チーム森山"の評判を上げる作戦を企てる。どんどん評判を上げていく周りのドクターたちを見て焦る森山。  果たして、森山は答えを見つけることができるのか?相良のその作戦の狙いとは!?</t>
  </si>
  <si>
    <t>番組名DOCTORS 3 最強の名医　#8</t>
  </si>
  <si>
    <t>しかし、満潤会の会長・満堂潤三郎(大和田伸也)からのある言葉が、森山の心を180度転換させることになり…。一方、相良は、肝臓と心臓に疾患を持った患者・浩子(阿知波悟美)の手術方法を熟考するが…?沢村一樹、高嶋政伸、比嘉愛未、黒川智花、宮地雅子、正名僕蔵、滝沢沙織、敦士、斉藤陽一郎、尾崎右宗、阿南敦子、浅利陽介、小野武彦、伊藤蘭、野際陽子 ほか福田靖常廣丈太(テレビ朝日)コブクロ『奇跡』(ワーナーミュージック・ジャパン)【ゼネラルプロデューサー】黒田徹也(テレビ朝日)、三輪祐見子(テレビ朝日)  【プロデューサー】松野千鶴子(アズバーズ)、神馬由季(アズバーズ)☆番組HP  　http://www.tv-asahi.co.jp/doctors/</t>
  </si>
  <si>
    <t>しかし、満潤会の会長・満堂潤三郎(大和田伸也)からのある言葉が、森山の心を180度転換させることになり…。一方、相良は、肝臓と心臓に疾患を持った患者・浩子(阿知波悟美)の手術方法を熟考するが…?</t>
  </si>
  <si>
    <t>番組名DOCTORS 3 最強の名医　#9</t>
  </si>
  <si>
    <t>生体ドミノ肝移植手術という、難易度の高い手術に臨む堂上のドクターたちだが、森山(高嶋政伸)だけは参加を拒否。どうにか森山の心を変えさせたい相良の最後の策略とは…?  相良は森山の心を動かし、堂上総合病院を守ることができるのか?そして、堂上総合病院での生体ドミノ肝移植手術は成功するのか?沢村一樹、高嶋政伸、比嘉愛未、黒川智花、宮地雅子、正名僕蔵、滝沢沙織、敦士、斉藤陽一郎、尾崎右宗、阿南敦子、浅利陽介、小野武彦、伊藤蘭、野際陽子 ほか福田靖本橋圭太コブクロ『奇跡』(ワーナーミュージック・ジャパン)【ゼネラルプロデューサー】黒田徹也(テレビ朝日)、三輪祐見子(テレビ朝日)  【プロデューサー】松野千鶴子(アズバーズ)、神馬由季(アズバーズ)☆番組HP  　http://www.tv-asahi.co.jp/doctors/</t>
  </si>
  <si>
    <t>生体ドミノ肝移植手術という、難易度の高い手術に臨む堂上のドクターたちだが、森山(高嶋政伸)だけは参加を拒否。どうにか森山の心を変えさせたい相良の最後の策略とは…?  相良は森山の心を動かし、堂上総合病院を守ることができるのか?そして、堂上総合病院での生体ドミノ肝移植手術は成功するのか?</t>
  </si>
  <si>
    <t>1501_EX_金23</t>
  </si>
  <si>
    <t>セカンド・ラブ</t>
  </si>
  <si>
    <t>番組名セカンド・ラブ　#1</t>
  </si>
  <si>
    <t>才能を持ちながらステージに立つ機会を失ったコンテンポラリーダンサー・平慶(亀梨和也)と、同僚との不倫関係から抜け出せない高校教師・西原結唯(深田恭子)。  ある日カンパニーから試験の不合格を言い渡され、失望のどん底にいた慶だったが、偶然見かけた結唯の姿にまるで吸い込まれるかのように心を奪われる。それからというもの学校の正門に姿を現すようになった慶。生徒のストーカーではないか、と不穏な空気に包まれて…亀梨和也、深田恭子、早見あかり、小芝風花、大貫勇輔・秋山菜津子、寺島進、麻生祐未、生瀬勝久大石静塚原あゆ子得田真裕    【主題歌】KAT-TUN『KISS KISS KISS』(ジェイ・ストーム)  【挿入歌】MISIA『白い季節』(Ariola Japan)【ゼネラルプロデューサー】内山聖子(テレビ朝日)  【プロデューサー】中川慎子(テレビ朝日)、中沢晋(オフィスクレッシェンド)☆番組HP  　http://www.tv-asahi.co.jp/secondlove/</t>
  </si>
  <si>
    <t>才能を持ちながらステージに立つ機会を失ったコンテンポラリーダンサー・平慶(亀梨和也)と、同僚との不倫関係から抜け出せない高校教師・西原結唯(深田恭子)。  ある日カンパニーから試験の不合格を言い渡され、失望のどん底にいた慶だったが、偶然見かけた結唯の姿にまるで吸い込まれるかのように心を奪われる。それからというもの学校の正門に姿を現すようになった慶。生徒のストーカーではないか、と不穏な空気に包まれて…</t>
  </si>
  <si>
    <t>番組名セカンド・ラブ　#2</t>
  </si>
  <si>
    <t>才能を持ちながらステージに立つ機会を失ったコンテンポラリーダンサー・平慶(亀梨和也)と、同僚との不倫関係から抜け出せない高校教師・西原結唯(深田恭子)。二人が運命の出会いを果たし、捨て身の激愛に溺れていく…。その関係に気づいた結唯の不倫相手・高柳(生瀬勝久)と、慶の幼なじみ・綾子(早見あかり)の行動が、二人の関係に暗雲をもたらしていく…。亀梨和也、深田恭子、早見あかり、小芝風花、大貫勇輔・秋山菜津子、寺島進、麻生祐未、生瀬勝久大石静塚原あゆ子得田真裕  【主題歌】KAT-TUN『KISS KISS KISS』(ジェイ・ストーム)  【挿入歌】MISIA『白い季節』(Ariola Japan)【ゼネラルプロデューサー】内山聖子(テレビ朝日)  【プロデューサー】中川慎子(テレビ朝日)、中沢晋(オフィスクレッシェンド)☆番組HP  　http://www.tv-asahi.co.jp/secondlove/</t>
  </si>
  <si>
    <t>才能を持ちながらステージに立つ機会を失ったコンテンポラリーダンサー・平慶(亀梨和也)と、同僚との不倫関係から抜け出せない高校教師・西原結唯(深田恭子)。二人が運命の出会いを果たし、捨て身の激愛に溺れていく…。その関係に気づいた結唯の不倫相手・高柳(生瀬勝久)と、慶の幼なじみ・綾子(早見あかり)の行動が、二人の関係に暗雲をもたらしていく…。</t>
  </si>
  <si>
    <t>番組名セカンド・ラブ　#3</t>
  </si>
  <si>
    <t>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慶と共に過ごすため、結唯は母・真理子(麻生祐未)、不倫相手の高柳(生瀬勝久)をそれぞれ説得しようと試みるが…!?亀梨和也、深田恭子、早見あかり、小芝風花、大貫勇輔・秋山菜津子、寺島進、麻生祐未、生瀬勝久大石静片山修(テレビ朝日)得田真裕  【主題歌】KAT-TUN『KISS KISS KISS』(ジェイ・ストーム)  【挿入歌】MISIA『白い季節』(Ariola Japan)【ゼネラルプロデューサー】内山聖子(テレビ朝日)  【プロデューサー】中川慎子(テレビ朝日)、中沢晋(オフィスクレッシェンド)☆番組HP  　http://www.tv-asahi.co.jp/secondlove/</t>
  </si>
  <si>
    <t>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慶と共に過ごすため、結唯は母・真理子(麻生祐未)、不倫相手の高柳(生瀬勝久)をそれぞれ説得しようと試みるが…!?</t>
  </si>
  <si>
    <t>番組名セカンド・ラブ　#4</t>
  </si>
  <si>
    <t>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苦悩しながらも、ドイツのダンスカンパニーの日本公演時に通訳の仕事を始めることを決断した慶だったが、そこで人生をガラリと変えるような出来事に遭遇する…!亀梨和也、深田恭子、早見あかり、小芝風花、大貫勇輔・秋山菜津子、寺島進、麻生祐未、生瀬勝久大石静塚原あゆ子得田真裕  【主題歌】KAT-TUN『KISS KISS KISS』(ジェイ・ストーム)  【挿入歌】MISIA『白い季節』(Ariola Japan)【ゼネラルプロデューサー】内山聖子(テレビ朝日)  【プロデューサー】中川慎子(テレビ朝日)、中沢晋(オフィスクレッシェンド)☆番組HP  　http://www.tv-asahi.co.jp/secondlove/</t>
  </si>
  <si>
    <t>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苦悩しながらも、ドイツのダンスカンパニーの日本公演時に通訳の仕事を始めることを決断した慶だったが、そこで人生をガラリと変えるような出来事に遭遇する…!</t>
  </si>
  <si>
    <t>番組名セカンド・ラブ　#5</t>
  </si>
  <si>
    <t>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振付師として脚光を浴びるようになった慶に対し、結唯は少しずつ遠く感じるようになっていた。そんな折、結唯の元不倫相手・高柳(生瀬勝久)は結唯への執着心からとんでもない行動に出てしまう…!亀梨和也、深田恭子、早見あかり、小芝風花、大貫勇輔・秋山菜津子、寺島進、麻生祐未、生瀬勝久大石静片山修(テレビ朝日)得田真裕  【主題歌】KAT-TUN『KISS KISS KISS』(ジェイ・ストーム)  【挿入歌】MISIA『白い季節』(Ariola Japan)【ゼネラルプロデューサー】内山聖子(テレビ朝日)  【プロデューサー】中川慎子(テレビ朝日)、中沢晋(オフィスクレッシェンド)☆番組HP  　http://www.tv-asahi.co.jp/secondlove/</t>
  </si>
  <si>
    <t>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振付師として脚光を浴びるようになった慶に対し、結唯は少しずつ遠く感じるようになっていた。そんな折、結唯の元不倫相手・高柳(生瀬勝久)は結唯への執着心からとんでもない行動に出てしまう…!</t>
  </si>
  <si>
    <t>番組名セカンド・ラブ　#6</t>
  </si>
  <si>
    <t>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振り付けの仕事でロンドンへ渡った慶は、結唯に一切連絡を入れず予定よりも早く帰国。目まぐるしく変化していく環境の中、どんどんすれ違っていく慶と結唯。やがて二人は相手を想うからこその決断を下す!亀梨和也、深田恭子、早見あかり、小芝風花、大貫勇輔・秋山菜津子、寺島進、麻生祐未、生瀬勝久大石静塚原あゆ子得田真裕  【主題歌】KAT-TUN『KISS KISS KISS』(ジェイ・ストーム)  【挿入歌】MISIA『白い季節』(Ariola Japan)【ゼネラルプロデューサー】内山聖子(テレビ朝日)  【プロデューサー】中川慎子(テレビ朝日)、中沢晋(オフィスクレッシェンド)☆番組HP  　http://www.tv-asahi.co.jp/secondlove/</t>
  </si>
  <si>
    <t>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振り付けの仕事でロンドンへ渡った慶は、結唯に一切連絡を入れず予定よりも早く帰国。目まぐるしく変化していく環境の中、どんどんすれ違っていく慶と結唯。やがて二人は相手を想うからこその決断を下す!</t>
  </si>
  <si>
    <t>番組名セカンド・ラブ　#7</t>
  </si>
  <si>
    <t>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結唯から別れを告げられて約1年ー。世界ツアーで大成功を収め日本に帰国した慶は、なぜ結唯を強引にでも同行させなかったのか…後悔の念に駆られていた。結唯を必死に探す慶だったが結唯は学校を辞めていて…亀梨和也、深田恭子、早見あかり、小芝風花、大貫勇輔・秋山菜津子、寺島進、麻生祐未、生瀬勝久大石静片山修(テレビ朝日)得田真裕  【主題歌】KAT-TUN『KISS KISS KISS』(ジェイ・ストーム)  【挿入歌】MISIA『白い季節』(Ariola Japan)【ゼネラルプロデューサー】内山聖子(テレビ朝日)  【プロデューサー】中川慎子(テレビ朝日)、中沢晋(オフィスクレッシェンド)☆番組HP  　http://www.tv-asahi.co.jp/secondlove/</t>
  </si>
  <si>
    <t>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結唯から別れを告げられて約1年ー。世界ツアーで大成功を収め日本に帰国した慶は、なぜ結唯を強引にでも同行させなかったのか…後悔の念に駆られていた。結唯を必死に探す慶だったが結唯は学校を辞めていて…</t>
  </si>
  <si>
    <t>1410_EX_木21</t>
  </si>
  <si>
    <t>元医師・毒島隆之介(伊東四朗)が、心臓腫瘍と肝細胞がんを患い「国立高度医療センター」に入院。国が威信をかけて創立したこの病院では、東西を代表する「東帝大学病院」と「西京大学病院」の不毛な覇権争いが渦巻いていた。両派閥は自ら毒島のオペを担当しようと、一歩も引かない状態に!そんな中、未知子は「西京大学病院」の病院長・蛭間重勝(西田敏行)に雇われ毒島のオペを担当することになるが、患者本人から拒否され…!?米倉涼子、遠藤憲一、内田有紀、勝村政信、渡辺いっけい、マキタスポーツ、高橋和也、木下隆行、内藤理沙、庄野崎謙、松島花・伊東四朗(特別出演)、古谷一行(特別出演)、西田敏行(特別出演)・伊武雅刀、高畑淳子、岸部一徳、北大路欣也  【ゲスト】大谷直子、モト冬樹、中尾彬林誠人沢田完田村直己(テレビ朝日)Superfly『愛をからだに吹き込んで』(ワーナーミュージック・ジャパン)【ゼネラルプロデューサー】内山聖子(テレビ朝日)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</si>
  <si>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元医師・毒島隆之介(伊東四朗)が、心臓腫瘍と肝細胞がんを患い「国立高度医療センター」に入院。国が威信をかけて創立したこの病院では、東西を代表する「東帝大学病院」と「西京大学病院」の不毛な覇権争いが渦巻いていた。両派閥は自ら毒島のオペを担当しようと、一歩も引かない状態に!そんな中、未知子は「西京大学病院」の病院長・蛭間重勝(西田敏行)に雇われ毒島のオペを担当することになるが、患者本人から拒否され…!?</t>
  </si>
  <si>
    <t>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マキタスポーツ、高橋和也、木下隆行、内藤理沙、庄野崎謙、松島花、伊武雅刀、高畑淳子、岸部一徳、北大路欣也  【ゲスト】又吉直樹、モト冬樹林誠人沢田完松田秀知(共同テレビ)Superfly『愛をからだに吹き込んで』(ワーナーミュージック・ジャパン)【ゼネラルプロデューサー】内山聖子(テレビ朝日)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</si>
  <si>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t>
  </si>
  <si>
    <t>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高橋和也、木下隆行、内藤理沙、庄野崎謙、松島花、伊武雅刀、高畑淳子、岸部一徳、北大路欣也  【ゲスト】岩下志麻林誠人沢田完田村直己(テレビ朝日)Superfly『愛をからだに吹き込んで』(ワーナーミュージック・ジャパン)【ゼネラルプロデューサー】内山聖子(テレビ朝日)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</si>
  <si>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鈴木浩介、木下隆行、内藤理沙、庄野崎謙、松島花、伊武雅刀、岸部一徳、北大路欣也  【ゲスト】松尾貴史林誠人沢田完松田秀知(共同テレビ)Superfly『愛をからだに吹き込んで』(ワーナーミュージック・ジャパン)【ゼネラルプロデューサー】内山聖子(テレビ朝日)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</si>
  <si>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鈴木浩介、木下隆行、内藤理沙、庄野崎謙、松島花、伊武雅刀、高畑淳子、岸部一徳、北大路欣也  【ゲスト】井上順、吉満涼太田口トモロヲ林誠人田村直己(テレビ朝日)沢田完    【主題歌】  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</si>
  <si>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鈴木浩介、木下隆行、内藤理沙、庄野崎謙、松島花、岸部一徳、北大路欣也  【ゲスト】金子昇、嶋田久作田口トモロヲ林誠人山田勇人(ザ・ワークス)沢田完    【主題歌】  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</si>
  <si>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鈴木浩介、木下隆行、内藤理沙、庄野崎謙、松島花、古田新太、高畑淳子、岸部一徳、北大路欣也  【ゲスト】銀粉蝶、高林由紀子田口トモロヲ林誠人松田秀知(共同テレビ)沢田完    【主題歌】  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</si>
  <si>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鈴木浩介、木下隆行、内藤理沙、庄野崎謙、松島花、古田新太、高畑淳子、岸部一徳、北大路欣也  【ゲスト】石井一孝、堀内敬子、小林星蘭田口トモロヲ寺田敏雄松田秀知(共同テレビ)沢田完    【主題歌】  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</si>
  <si>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鈴木浩介、木下隆行、内藤理沙、庄野崎謙、松島花、古田新太、高畑淳子、岸部一徳、北大路欣也  【ゲスト】菜々緒、ジュディ・オング田口トモロヲ林誠人田村直己(テレビ朝日)沢田完    【主題歌】  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</si>
  <si>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鈴木浩介、木下隆行、内藤理沙、庄野崎謙、松島花、古田新太、高畑淳子、岸部一徳、北大路欣也  【ゲスト】ジュディ・オング田口トモロヲ中園ミホ松田秀知(共同テレビ)沢田完    【主題歌】  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</si>
  <si>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鈴木浩介、木下隆行、内藤理沙、庄野崎謙、松島花、古田新太、高畑淳子、岸部一徳、北大路欣也  【ゲスト】西田敏行、ジュディ・オング田口トモロヲ中園ミホ田村直己(テレビ朝日)沢田完    【主題歌】  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</si>
  <si>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1410_EX_金23</t>
  </si>
  <si>
    <t>黒服物語</t>
  </si>
  <si>
    <t>番組名黒服物語　#1</t>
  </si>
  <si>
    <t>初めてキャバクラに入店した彰は、煌びやかな世界に圧倒される!楽しい時間を過ごすが、料金が支払えないことが判明!警察に突き出されそうになった彰は、この店で働かせてほしいと願い出るが、「このくらいの仕事ならできるんじゃないか」とナメた口をきく彰に原田たちは怒り心頭…。店長の斉藤の許しを得、『ジュリエット』で働き始めることになるが、ぬるま湯で育ってきた彰にとって夜の世界は想像以上に厳しいものだった…!中島健人(Sexy Zone)、佐々木希、山本裕典、柏木由紀(AKB48)、中尾明慶、安井謙太郎(ジャニーズJr.)、柳俊太郎、入山杏奈(AKB48)、筧美和子、杉本有美、柳ゆり菜、福吉真璃奈、相葉裕樹、中島ひろ子、神保悟志、北村有起哉、要潤、竹中直人【原作】倉科遼  【漫画】成田マナブ『黒服物語』(集英社刊)旺季志ずか小松隆志仲西匡    【主題歌】  Sexy Zone『君にHITOMEBORE』(ポニーキャニオン)【ゼネラルプロデューサー】横地郁英(テレビ朝日)  【プロデューサー】大江達樹(テレビ朝日)、布施等(MMJ)、木曽貴美子(MMJ)☆番組HP  　http://www.tv-asahi.co.jp/kurofuku/</t>
  </si>
  <si>
    <t>初めてキャバクラに入店した彰は、煌びやかな世界に圧倒される!楽しい時間を過ごすが、料金が支払えないことが判明!警察に突き出されそうになった彰は、この店で働かせてほしいと願い出るが、「このくらいの仕事ならできるんじゃないか」とナメた口をきく彰に原田たちは怒り心頭…。店長の斉藤の許しを得、『ジュリエット』で働き始めることになるが、ぬるま湯で育ってきた彰にとって夜の世界は想像以上に厳しいものだった…!</t>
  </si>
  <si>
    <t>番組名黒服物語　#2</t>
  </si>
  <si>
    <t>黒服になった彰(中島健人)はキャストのゆかりから呼び出され、中絶同意書にサインをしてほしいと頼まれる。そこを黒服の田辺に目撃される!キャストと黒服の恋愛はご法度というのが夜の世界の掟。それを破ったと思われた彰に対し、黒服の風当たりはますます強くなっていく。その最中、彰は杏子(佐々木希)と原田(山本裕典)のただならぬ場面を見てしまう!杏子に想いを寄せる彰は原田に敵対心を燃やし、仕事で宣戦布告をする!中島健人(Sexy Zone)、佐々木希、山本裕典、柏木由紀(AKB48)、中尾明慶、黒川智花、安井謙太郎(ジャニーズJr.)、柳俊太郎、入山杏奈(AKB48)、筧美和子、杉本有美、金田彩菜、相葉裕樹、中島ひろ子、北村有起哉、竹中直人【原作】倉科遼  【漫画】成田マナブ『黒服物語』(集英社刊)旺季志ずか小松隆志(MMJ)仲西匡    【主題歌】  Sexy Zone『君にHITOMEBORE』(ポニーキャニオン)【ゼネラルプロデューサー】横地郁英(テレビ朝日)  【プロデューサー】大江達樹(テレビ朝日)、布施等(MMJ)、木曽貴美子(MMJ)☆番組HP  　http://www.tv-asahi.co.jp/kurofuku/</t>
  </si>
  <si>
    <t>黒服になった彰(中島健人)はキャストのゆかりから呼び出され、中絶同意書にサインをしてほしいと頼まれる。そこを黒服の田辺に目撃される!キャストと黒服の恋愛はご法度というのが夜の世界の掟。それを破ったと思われた彰に対し、黒服の風当たりはますます強くなっていく。その最中、彰は杏子(佐々木希)と原田(山本裕典)のただならぬ場面を見てしまう!杏子に想いを寄せる彰は原田に敵対心を燃やし、仕事で宣戦布告をする!</t>
  </si>
  <si>
    <t>番組名黒服物語　#3</t>
  </si>
  <si>
    <t>原田(山本裕典)に宣戦布告した彰(中島健人)だが、未熟な判断と焦りから『ジュリエット』は大混乱に!憧れの杏子(佐々木希)からも一喝されてしまう。そんなある日、聖子(入山杏奈)の客が美樹(柏木由紀)を指名。お客を寝取ったと思い込んだ聖子は、美樹に喧嘩をふっかけ掴み合いの乱闘状態に!一方、担当キャストも6人に増え自信もついてきた矢先、彰の行動がキャストたちを怒らせ、絶体絶命の窮地に追い込まれてしまう…中島健人(Sexy Zone)、佐々木希、山本裕典、柏木由紀(AKB48)、中尾明慶、安井謙太郎(ジャニーズJr.)、柳俊太郎、入山杏奈(AKB48)、筧美和子、杉本有美、柳ゆり菜、福吉真璃奈、金田彩菜、木下ほうか、中島ひろ子、神保悟志、黒川智花、要潤、竹中直人【原作】倉科遼  【漫画】成田マナブ『黒服物語』(集英社刊)山浦雅大植田尚(MMJ)仲西匡    【主題歌】  Sexy Zone『君にHITOMEBORE』(ポニーキャニオン)【ゼネラルプロデューサー】横地郁英(テレビ朝日)  【プロデューサー】大江達樹(テレビ朝日)、布施等(MMJ)、木曽貴美子(MMJ)☆番組HP  　http://www.tv-asahi.co.jp/kurofuku/</t>
  </si>
  <si>
    <t>原田(山本裕典)に宣戦布告した彰(中島健人)だが、未熟な判断と焦りから『ジュリエット』は大混乱に!憧れの杏子(佐々木希)からも一喝されてしまう。そんなある日、聖子(入山杏奈)の客が美樹(柏木由紀)を指名。お客を寝取ったと思い込んだ聖子は、美樹に喧嘩をふっかけ掴み合いの乱闘状態に!一方、担当キャストも6人に増え自信もついてきた矢先、彰の行動がキャストたちを怒らせ、絶体絶命の窮地に追い込まれてしまう…</t>
  </si>
  <si>
    <t>番組名黒服物語　#4</t>
  </si>
  <si>
    <t>キャバクラNo.1総選挙開催!?その効果もあり、店は連日新人キャスト目当ての客で賑わいを見せることに。その中で真央(筧美和子)は特に浮かない表情を…。そんな真央に佐伯という男が客として近づく。雑誌のカメラマンを名乗る佐伯は「自分にグラビアを撮らせてくれれば芸能事務所に売り込んであげる」と言葉巧みに真央を誘惑。金銭面の話をされ、つい佐伯の話に乗ってしまう…!だがそこには卑劣な罠が…!中島健人(Sexy Zone)、佐々木希、山本裕典、柏木由紀(AKB48)、中尾明慶、安井謙太郎(ジャニーズJr.)、柳俊太郎、入山杏奈(AKB48)、筧美和子、杉本有美、柳ゆり菜、福吉真璃奈、相葉裕樹、黒川智花、要潤、竹中直人【原作】倉科遼  【漫画】成田マナブ『黒服物語』(集英社刊)山浦雅大植田尚(MMJ)仲西匡    【主題歌】  Sexy Zone『君にHITOMEBORE』(ポニーキャニオン)【ゼネラルプロデューサー】横地郁英(テレビ朝日)  【プロデューサー】大江達樹(テレビ朝日)、布施等(MMJ)、木曽貴美子(MMJ)☆番組HP  　http://www.tv-asahi.co.jp/kurofuku/</t>
  </si>
  <si>
    <t>キャバクラNo.1総選挙開催!?その効果もあり、店は連日新人キャスト目当ての客で賑わいを見せることに。その中で真央(筧美和子)は特に浮かない表情を…。そんな真央に佐伯という男が客として近づく。雑誌のカメラマンを名乗る佐伯は「自分にグラビアを撮らせてくれれば芸能事務所に売り込んであげる」と言葉巧みに真央を誘惑。金銭面の話をされ、つい佐伯の話に乗ってしまう…!だがそこには卑劣な罠が…!</t>
  </si>
  <si>
    <t>番組名黒服物語　#5</t>
  </si>
  <si>
    <t>池袋の老舗キャバクラ「デリシャス」による嫌がらせが激化!ある日、杏子(佐々木希)のドレスが切り裂かれる!不安に襲われつつも、杏子はコスプレで率先して店の雰囲気を盛り上げる!だが、皆のドレスも何者かに引き裂かれる事件が発生!キャバ嬢たちの怒りの矛先は、黒服の彰(中島健人)に向けられる。皆に責められても反論しない彰を見兼ねた美樹(柏木由紀)は、原田(山本裕典)と杏子が付き合っている事を暴露してしまう…中島健人(Sexy Zone)、佐々木希、山本裕典、柏木由紀(AKB48)、中尾明慶、柳俊太郎、入山杏奈(AKB48)、筧美和子、杉本有美、相葉裕樹、黒川智花、北村有起哉、要潤、竹中直人  【ゲスト】水沢エレナ、阿部亮平【原作】倉科遼  【漫画】成田マナブ『黒服物語』(集英社刊)旺季志ずか小松隆志(MMJ)仲西匡    【主題歌】  Sexy Zone『君にHITOMEBORE』(ポニーキャニオン)【ゼネラルプロデューサー】横地郁英(テレビ朝日)  【プロデューサー】大江達樹(テレビ朝日)、布施等(MMJ)、木曽貴美子(MMJ)☆番組HP  　http://www.tv-asahi.co.jp/kurofuku/</t>
  </si>
  <si>
    <t>池袋の老舗キャバクラ「デリシャス」による嫌がらせが激化!ある日、杏子(佐々木希)のドレスが切り裂かれる!不安に襲われつつも、杏子はコスプレで率先して店の雰囲気を盛り上げる!だが、皆のドレスも何者かに引き裂かれる事件が発生!キャバ嬢たちの怒りの矛先は、黒服の彰(中島健人)に向けられる。皆に責められても反論しない彰を見兼ねた美樹(柏木由紀)は、原田(山本裕典)と杏子が付き合っている事を暴露してしまう…</t>
  </si>
  <si>
    <t>番組名黒服物語　#6</t>
  </si>
  <si>
    <t>杏子(佐々木希)に別れを告げられ、傷心の彰(中島健人)…。そんな中、『ジュリエット』が何者かに放火される!『ジュリエット』のホステスと黒服たちは散り散りに系列店へ。売上至上主義の方針に疑問を抱いた彰は『ジュリエット』復活のために奔走する。しかしライバル店『デリシャス』の背後にいる銀龍会の妨害に遭い、なかなか上手く進まない。そこで彰は予想だにしない行動に打って出るのだった!中島健人(Sexy Zone)、佐々木希、山本裕典、柏木由紀(AKB48)、中尾明慶、黒川智花、安井謙太郎(ジャニーズJr.)、柳俊太郎、入山杏奈(AKB48)、筧美和子、杉本有美、柳ゆり菜、福吉真璃奈、相葉裕樹、山下真司、宮川一朗太、神保悟志、北村有起哉、要潤、竹中直人【原作】倉科遼  【漫画】成田マナブ『黒服物語』(集英社刊)旺季志ずか小松隆志(MMJ)仲西匡    【主題歌】  Sexy Zone『君にHITOMEBORE』(ポニーキャニオン)【ゼネラルプロデューサー】横地郁英(テレビ朝日)  【プロデューサー】大江達樹(テレビ朝日)、布施等(MMJ)、木曽貴美子(MMJ)☆番組HP  　http://www.tv-asahi.co.jp/kurofuku/</t>
  </si>
  <si>
    <t>杏子(佐々木希)に別れを告げられ、傷心の彰(中島健人)…。そんな中、『ジュリエット』が何者かに放火される!『ジュリエット』のホステスと黒服たちは散り散りに系列店へ。売上至上主義の方針に疑問を抱いた彰は『ジュリエット』復活のために奔走する。しかしライバル店『デリシャス』の背後にいる銀龍会の妨害に遭い、なかなか上手く進まない。そこで彰は予想だにしない行動に打って出るのだった!</t>
  </si>
  <si>
    <t>番組名黒服物語　#7</t>
  </si>
  <si>
    <t>新ママに杏子(佐々木希 )を迎え、心機一転動き出した『ニュージュリエット』。だがライバル店『デリシャス』の店長に原田(山本裕典)が就任し、嫌がらせも激化する。そんな中、美樹(柏木由紀)がデリシャスに引き抜かれる!そして、杏子にもストーカーの毒牙が迫っていた!!中島健人(Sexy Zone)、佐々木希、山本裕典、柏木由紀(AKB48)、中尾明慶、黒川智花、安井謙太郎(ジャニーズJr.)、柳俊太郎、入山杏奈(AKB48)、筧美和子、杉本有美、金田彩菜、相葉裕樹、中島ひろ子、神保悟志、北村有起哉、要潤、竹中直人【原作】倉科遼  【漫画】成田マナブ『黒服物語』(集英社刊)山浦雅大植田尚(MMJ)仲西匡    【主題歌】  Sexy Zone『君にHITOMEBORE』(ポニーキャニオン)【ゼネラルプロデューサー】横地郁英(テレビ朝日)  【プロデューサー】大江達樹(テレビ朝日)、布施等(MMJ)、木曽貴美子(MMJ)☆番組HP  　http://www.tv-asahi.co.jp/kurofuku/</t>
  </si>
  <si>
    <t>新ママに杏子(佐々木希 )を迎え、心機一転動き出した『ニュージュリエット』。だがライバル店『デリシャス』の店長に原田(山本裕典)が就任し、嫌がらせも激化する。そんな中、美樹(柏木由紀)がデリシャスに引き抜かれる!そして、杏子にもストーカーの毒牙が迫っていた!!</t>
  </si>
  <si>
    <t>番組名黒服物語　#8</t>
  </si>
  <si>
    <t>窮地に追い込まれた『ニュージュリエット』は杏子(佐々木希)をキャストに戻し、綾乃(黒川智花)をママに据える。下っ端黒服として再出発した彰(中島健人)。新ママとなった綾乃はキャストらに理不尽な要求を繰り返し、みんなの不満は日に日に高まっていく。さらに、銀龍会の構成員たちが営業妨害に現れ、いよいよ存続が危うくなり…!?ついにすべての黒幕が明らかに…!そして、杏子と彰の禁断の恋にも思いもよらない結末が!中島健人(Sexy Zone)、佐々木希、山本裕典、柏木由紀(AKB48)、中尾明慶、黒川智花、安井謙太郎(ジャニーズJr.)、柳俊太郎、入山杏奈(AKB48)、筧美和子、杉本有美、柳ゆり菜、福吉真璃奈、金田彩菜、宮川一朗太、木下ほうか、北村有起哉、要潤、竹中直人【原作】倉科遼  【漫画】成田マナブ『黒服物語』(集英社刊)旺季志ずか小松隆志(MMJ)仲西匡    【主題歌】  Sexy Zone『君にHITOMEBORE』(ポニーキャニオン)【ゼネラルプロデューサー】横地郁英(テレビ朝日)  【プロデューサー】大江達樹(テレビ朝日)、布施等(MMJ)、木曽貴美子(MMJ)☆番組HP  　http://www.tv-asahi.co.jp/kurofuku/</t>
  </si>
  <si>
    <t>窮地に追い込まれた『ニュージュリエット』は杏子(佐々木希)をキャストに戻し、綾乃(黒川智花)をママに据える。下っ端黒服として再出発した彰(中島健人)。新ママとなった綾乃はキャストらに理不尽な要求を繰り返し、みんなの不満は日に日に高まっていく。さらに、銀龍会の構成員たちが営業妨害に現れ、いよいよ存続が危うくなり…!?ついにすべての黒幕が明らかに…!そして、杏子と彰の禁断の恋にも思いもよらない結末が!</t>
  </si>
  <si>
    <t>1407_EX_木20</t>
  </si>
  <si>
    <t>信長のシェフ</t>
  </si>
  <si>
    <t>番組名信長のシェフ　初回2時間スペシャル　#1</t>
  </si>
  <si>
    <t>['19', '21']</t>
  </si>
  <si>
    <t>織田信長の料理人となった平成のフレンチシェフ・ケンの物語『第二章』が幕を開ける!  「信長の敵は内部にいるかも?」という明智光秀の言葉が気になるケン。  そんな折、“最も危険な人物"松永久秀が信長の家臣に!　　　  信長は「お主の料理で久秀の腹の中を見せよ」とケンに命じる。  そして甲斐の虎・武田信玄も打倒信長に動き出す!  一方、石山本願寺の顕如は謎の女料理人・香蓮に信長への料理に毒を盛れと命じるが…!?玉森裕太(Kis-My-Ft2)、及川光博、志田未来、高嶋政伸、佐々木希、斉藤由貴、ゴリ、芦名星、市川猿之助、稲垣吾郎(特別出演)【原作】西村ミツル  【漫画】梶川卓郎『信長のシェフ』(芳文社「週刊漫画TIMES」)深沢正樹田村直己(テレビ朝日)Kis-My-Ft2『Another Future』(avex trax)【ゼネラルプロデューサー】横地郁英(テレビ朝日)  【プロデューサー】大江達樹(テレビ朝日)、島田薫(東映)☆番組HP  　http://www.tv-asahi.co.jp/nobunaga/</t>
  </si>
  <si>
    <t>織田信長の料理人となった平成のフレンチシェフ・ケンの物語『第二章』が幕を開ける!  「信長の敵は内部にいるかも?」という明智光秀の言葉が気になるケン。  そんな折、“最も危険な人物"松永久秀が信長の家臣に!　　　  信長は「お主の料理で久秀の腹の中を見せよ」とケンに命じる。  そして甲斐の虎・武田信玄も打倒信長に動き出す!  一方、石山本願寺の顕如は謎の女料理人・香蓮に信長への料理に毒を盛れと命じるが…!?</t>
  </si>
  <si>
    <t>番組名信長のシェフ　#2</t>
  </si>
  <si>
    <t>とうとう比叡山の焼き討ちを宣言した信長(及川光博)。  秀吉(ゴリ)、勝家らは、ケン(玉森裕太)に信長の真意を確かめるよう助言。比叡山の焼き討ちで女子供を惨殺させたくないと考えるケンの前に濃姫(斉藤由貴)が現れ、ある衝撃的な出来事を語り始める!!  ケンの料理で、信長の意図を家臣たちに伝えられるのか!?玉森裕太(Kis-My-Ft2)、及川光博、志田未来、高嶋政伸、斉藤由貴、ゴリ、芦名星、正名僕蔵【原作】西村ミツル  【漫画】梶川卓郎『信長のシェフ』(芳文社「週刊漫画TIMES」)深沢正樹田村直己(テレビ朝日)Kis-My-Ft2『Another Future』(avex trax)【ゼネラルプロデューサー】横地郁英(テレビ朝日)  【プロデューサー】大江達樹(テレビ朝日)、島田薫(東映)☆番組HP  　http://www.tv-asahi.co.jp/nobunaga/</t>
  </si>
  <si>
    <t>とうとう比叡山の焼き討ちを宣言した信長(及川光博)。  秀吉(ゴリ)、勝家らは、ケン(玉森裕太)に信長の真意を確かめるよう助言。比叡山の焼き討ちで女子供を惨殺させたくないと考えるケンの前に濃姫(斉藤由貴)が現れ、ある衝撃的な出来事を語り始める!!  ケンの料理で、信長の意図を家臣たちに伝えられるのか!?</t>
  </si>
  <si>
    <t>番組名信長のシェフ　#3</t>
  </si>
  <si>
    <t>比叡山の焼き討ちで、足利義昭、顕如らはより一層、織田信長討伐への思いを強める。そしてついに甲斐の虎・武田信玄も信長の首を獲るべく、動き出そうとしていた。そんな中、松永久秀は、三好義継と手を組み、信長に対して謀反を起こす!松永の動きを知った信玄は、秋山信友を使い、ケンと夏を拉致させる!ケンに“武田信玄"の料理を作るように命じ、自分にふさわしくない料理であれば、即刻ケンも夏も殺害する、と言う信玄だが…玉森裕太(Kis-My-Ft2)、及川光博、志田未来、高嶋政伸、斉藤由貴、笹野高史、風間トオル、賀来賢人、芦名星【原作】西村ミツル  【漫画】梶川卓郎『信長のシェフ』(芳文社「週刊漫画TIMES」)深沢正樹猪原達三Kis-My-Ft2『Another Future』(avex trax)【ゼネラルプロデューサー】横地郁英(テレビ朝日)  【プロデューサー】大江達樹(テレビ朝日)、島田薫(東映)☆番組HP  　http://www.tv-asahi.co.jp/nobunaga/</t>
  </si>
  <si>
    <t>比叡山の焼き討ちで、足利義昭、顕如らはより一層、織田信長討伐への思いを強める。そしてついに甲斐の虎・武田信玄も信長の首を獲るべく、動き出そうとしていた。そんな中、松永久秀は、三好義継と手を組み、信長に対して謀反を起こす!松永の動きを知った信玄は、秋山信友を使い、ケンと夏を拉致させる!ケンに“武田信玄"の料理を作るように命じ、自分にふさわしくない料理であれば、即刻ケンも夏も殺害する、と言う信玄だが…</t>
  </si>
  <si>
    <t>番組名信長のシェフ　#4</t>
  </si>
  <si>
    <t>武田信玄に捕らわれたケンは、料理人として仕える事に!楓はケンに、隙を見て信玄に毒を盛り、殺害するよう告げる…。  そんな中、信玄の息子・勝頼に見初められた夏は、侍女として屋敷で身の回りの世話をすることに。このままでは夏と離れてしまうケン。信長からは餞別の包丁まで届き、混乱していく。ついに信玄が京へ向かうことを決意し、ケンに帯同するよう命じる!信長と信玄は、ケンの目の前で戦うことになってしまうのか!?玉森裕太(Kis-My-Ft2)、及川光博、志田未来、高嶋政伸、風間トオル、ゴリ、賀来賢人、芦名星、正名僕蔵【原作】西村ミツル  【漫画】梶川卓郎『信長のシェフ』(芳文社「週刊漫画TIMES」)深沢正樹猪原達三Kis-My-Ft2『Another Future』(avex trax)【ゼネラルプロデューサー】横地郁英(テレビ朝日)  【プロデューサー】大江達樹(テレビ朝日)、島田薫(東映)☆番組HP  　http://www.tv-asahi.co.jp/nobunaga/</t>
  </si>
  <si>
    <t>武田信玄に捕らわれたケンは、料理人として仕える事に!楓はケンに、隙を見て信玄に毒を盛り、殺害するよう告げる…。  そんな中、信玄の息子・勝頼に見初められた夏は、侍女として屋敷で身の回りの世話をすることに。このままでは夏と離れてしまうケン。信長からは餞別の包丁まで届き、混乱していく。ついに信玄が京へ向かうことを決意し、ケンに帯同するよう命じる!信長と信玄は、ケンの目の前で戦うことになってしまうのか!?</t>
  </si>
  <si>
    <t>番組名信長のシェフ　#5</t>
  </si>
  <si>
    <t>京に上ることを決めた武田信玄(高嶋政伸)は、その要請をするため重臣を招いた宴を催し、そこでケン(玉森裕太)に料理を作るよう命じる!  「己の望むまま、死ぬ覚悟で戦え」と包丁を送ってくれた織田信長(及川光博)の思いに報いるためにも、なんとか信玄の上洛を止め、夏(志田未来)とともに信長の元へ帰ろうと考えるケン。そんな中、信玄の体調が思わしくなくなり…。信玄はケンに思わぬ行動をとる!玉森裕太(Kis-My-Ft2)、及川光博、志田未来、高嶋政伸、斉藤由貴、賀来賢人、芦名星、きたろう【原作】西村ミツル  【漫画】梶川卓郎『信長のシェフ』(芳文社「週刊漫画TIMES」)深沢正樹猪原達三Kis-My-Ft2『Another Future』(avex trax)【ゼネラルプロデューサー】横地郁英(テレビ朝日)  【プロデューサー】大江達樹(テレビ朝日)、島田薫(東映)☆番組HP  　http://www.tv-asahi.co.jp/nobunaga/</t>
  </si>
  <si>
    <t>京に上ることを決めた武田信玄(高嶋政伸)は、その要請をするため重臣を招いた宴を催し、そこでケン(玉森裕太)に料理を作るよう命じる!  「己の望むまま、死ぬ覚悟で戦え」と包丁を送ってくれた織田信長(及川光博)の思いに報いるためにも、なんとか信玄の上洛を止め、夏(志田未来)とともに信長の元へ帰ろうと考えるケン。そんな中、信玄の体調が思わしくなくなり…。信玄はケンに思わぬ行動をとる!</t>
  </si>
  <si>
    <t>番組名信長のシェフ　#6</t>
  </si>
  <si>
    <t>武田信玄VS徳川家康!  信長から「家康を救い出せ」という命令に、ケン(玉森裕太)は戸惑うが…。実は信長(及川光博)には策があり、足利義昭、顕如らによる包囲網を突破!  家康は、信玄の首を獲ってやろうと考え、出陣を決意!だが歴史上、家康が三方ケ原で信玄に大敗することを思い出したケンは、家康を止めようとするが…!?玉森裕太(Kis-My-Ft2)、及川光博、志田未来、高嶋政伸、カンニング竹山、斉藤由貴、風間トオル、正名僕蔵、神保悟志【原作】西村ミツル  【漫画】梶川卓郎『信長のシェフ』(芳文社「週刊漫画TIMES」)深沢正樹田村直己(テレビ朝日)Kis-My-Ft2『Another Future』(avex trax)【ゼネラルプロデューサー】横地郁英(テレビ朝日)  【プロデューサー】大江達樹(テレビ朝日)、島田薫(東映)☆番組HP  　http://www.tv-asahi.co.jp/nobunaga/</t>
  </si>
  <si>
    <t>武田信玄VS徳川家康!  信長から「家康を救い出せ」という命令に、ケン(玉森裕太)は戸惑うが…。実は信長(及川光博)には策があり、足利義昭、顕如らによる包囲網を突破!  家康は、信玄の首を獲ってやろうと考え、出陣を決意!だが歴史上、家康が三方ケ原で信玄に大敗することを思い出したケンは、家康を止めようとするが…!?</t>
  </si>
  <si>
    <t>番組名信長のシェフ　#7</t>
  </si>
  <si>
    <t>食材がすっぽんだと知った義昭は、ケンと明智光秀に対し、怒りのあまり刀を抜く!義昭が定めた元号である『元亀』にも用いられている“亀"を食べさせたことで「将軍家を愚弄した…」というのが義昭の大義名分だった。  しかし光秀の機転で二人は二条城を脱出。すぐさま挙兵した義昭に対し、信長も総力をあげて出陣する事に!!玉森裕太(Kis-My-Ft2)、及川光博、志田未来、ゴリ、きたろう、正名僕蔵 、稲垣吾郎(特別出演)【原作】西村ミツル  【漫画】梶川卓郎『信長のシェフ』(芳文社「週刊漫画TIMES」)深沢正樹兼崎涼介Kis-My-Ft2『Another Future』(avex trax)【ゼネラルプロデューサー】横地郁英(テレビ朝日)  【プロデューサー】大江達樹(テレビ朝日)、島田薫(東映)☆番組HP  　http://www.tv-asahi.co.jp/nobunaga/</t>
  </si>
  <si>
    <t>食材がすっぽんだと知った義昭は、ケンと明智光秀に対し、怒りのあまり刀を抜く!義昭が定めた元号である『元亀』にも用いられている“亀"を食べさせたことで「将軍家を愚弄した…」というのが義昭の大義名分だった。  しかし光秀の機転で二人は二条城を脱出。すぐさま挙兵した義昭に対し、信長も総力をあげて出陣する事に!!</t>
  </si>
  <si>
    <t>番組名信長のシェフ　#8</t>
  </si>
  <si>
    <t>朝倉・浅井軍の殲滅に乗り出した織田信長は、ケンを浅井長政の居城・小谷城に潜入させ、長政の真意を確かめるよう命じる。その道中、明智光秀が現れ「平成に帰ることができる」とケンに忠告をするが、ケンは「お市様を放っておけない」と…。光秀はケンへの不快感を募らせるのだった。一方信長は、破竹の勢いで朝倉軍を撃破。信長に妹・お市の方を殺させたくないケンは、無事に小谷城からお市の方たちを助け出すことはできるのか?玉森裕太(Kis-My-Ft2)、及川光博、志田未来、稲垣吾郎(特別出演)、斉藤由貴、星野真里、河相我聞、芦名星、ゴリ【原作】西村ミツル  【漫画】梶川卓郎『信長のシェフ』(芳文社「週刊漫画TIMES」)深沢正樹兼崎涼介Kis-My-Ft2『Another Future』(avex trax)【ゼネラルプロデューサー】横地郁英(テレビ朝日)  【プロデューサー】大江達樹(テレビ朝日)、島田薫(東映)☆番組HP  　http://www.tv-asahi.co.jp/nobunaga/</t>
  </si>
  <si>
    <t>朝倉・浅井軍の殲滅に乗り出した織田信長は、ケンを浅井長政の居城・小谷城に潜入させ、長政の真意を確かめるよう命じる。その道中、明智光秀が現れ「平成に帰ることができる」とケンに忠告をするが、ケンは「お市様を放っておけない」と…。光秀はケンへの不快感を募らせるのだった。一方信長は、破竹の勢いで朝倉軍を撃破。信長に妹・お市の方を殺させたくないケンは、無事に小谷城からお市の方たちを助け出すことはできるのか?</t>
  </si>
  <si>
    <t>1407_EX_木21</t>
  </si>
  <si>
    <t>ゼロの真実</t>
  </si>
  <si>
    <t>番組名ゼロの真実～監察医・松本真央～　#1</t>
  </si>
  <si>
    <t>建設現場で発見され、中央監察医務院に運び込まれた意識不明の現場監督。建設現場の足場から落ちたとみられ、転落死とされた。ところが夫の死にどうしても納得できないと妻に訴えられ、真央(武井咲)は死因を調べ始める。すると、男性は単純に足場から落ちて頭を打ったのではないことが判明。事件性が浮上し司法解剖することになるーー。武井咲、佐々木蔵之介、生瀬勝久、和田正人、六角精児、小松和重、水沢エレナ、宮崎香蓮、青柳翔・尾美としのり、でんでん、橋爪功(特別出演)、真矢みき大石静井筒昭雄常廣丈太(テレビ朝日)湘南乃風『パズル』(TOY'S FACTORY)【ゼネラルプロデューサー】内山聖子(テレビ朝日)  【プロデューサー】中川慎子(テレビ朝日)、浅井千端(MMJ)☆番組HP  　http://www.tv-asahi.co.jp/zeroshin/</t>
  </si>
  <si>
    <t>建設現場で発見され、中央監察医務院に運び込まれた意識不明の現場監督。建設現場の足場から落ちたとみられ、転落死とされた。ところが夫の死にどうしても納得できないと妻に訴えられ、真央(武井咲)は死因を調べ始める。すると、男性は単純に足場から落ちて頭を打ったのではないことが判明。事件性が浮上し司法解剖することになるーー。</t>
  </si>
  <si>
    <t>番組名ゼロの真実～監察医・松本真央～　#2</t>
  </si>
  <si>
    <t>都内のアパートで独り暮らしの若い男・狭川明(柄本時生)の遺体が発見された。第一発見者は偶然訪ねてきた母親の典子(手塚理美)。遺体は死因不詳のため行政解剖となる。しかし母親の典子は「息子は自分が殺した…」と謎の言葉をつぶやく。その頃、刑事の屋敷(佐々木蔵之介)は、息子に多額の保険金を掛けていた母親の典子に疑惑の目を向けていた…。武井咲、佐々木蔵之介、生瀬勝久、和田正人、六角精児、小松和重、水沢エレナ、宮崎香蓮、青柳翔・尾美としのり、でんでん、橋爪功(特別出演)、真矢みき  【ゲスト】手塚理美、柄本時生大石静井筒昭雄星野和成(MMJ)湘南乃風『パズル』(TOY'S FACTORY)【ゼネラルプロデューサー】内山聖子(テレビ朝日)  【プロデューサー】中川慎子(テレビ朝日)、浅井千瑞(MMJ)☆番組HP  　http://www.tv-asahi.co.jp/zeroshin/</t>
  </si>
  <si>
    <t>都内のアパートで独り暮らしの若い男・狭川明(柄本時生)の遺体が発見された。第一発見者は偶然訪ねてきた母親の典子(手塚理美)。遺体は死因不詳のため行政解剖となる。しかし母親の典子は「息子は自分が殺した…」と謎の言葉をつぶやく。その頃、刑事の屋敷(佐々木蔵之介)は、息子に多額の保険金を掛けていた母親の典子に疑惑の目を向けていた…。</t>
  </si>
  <si>
    <t>番組名ゼロの真実～監察医・松本真央～　#3</t>
  </si>
  <si>
    <t>印田恭子(真矢みき)の同期で大学病院勤務の女医・蒲生弓子(床嶋佳子)が突然死を遂げる。くも膜下出血のためと診断されたが、真央(武井咲)が現場で検案した結果、遺体にくも膜下出血にみられるはずの特徴的な症状が見当たらなかった。病死と思われた遺体から突如事件性が浮上。また死んだ蒲生は、手術ミスを疑った患者の遺族から脅迫を受けていたという情報もあり、女医のもうひとつの顔がだんだんと暴かれ始める…!武井咲、佐々木蔵之介、生瀬勝久、和田正人、六角精児、小松和重、水沢エレナ、宮崎香蓮、青柳翔・尾美としのり、でんでん、橋爪功(特別出演)、真矢みき  【ゲスト】床嶋佳子大石静井筒昭雄片山修(テレビ朝日)湘南乃風『パズル』(TOY'S FACTORY)【ゼネラルプロデューサー】内山聖子(テレビ朝日)  【プロデューサー】中川慎子(テレビ朝日)、浅井千端(MMJ)☆番組HP  　http://www.tv-asahi.co.jp/zeroshin/</t>
  </si>
  <si>
    <t>印田恭子(真矢みき)の同期で大学病院勤務の女医・蒲生弓子(床嶋佳子)が突然死を遂げる。くも膜下出血のためと診断されたが、真央(武井咲)が現場で検案した結果、遺体にくも膜下出血にみられるはずの特徴的な症状が見当たらなかった。病死と思われた遺体から突如事件性が浮上。また死んだ蒲生は、手術ミスを疑った患者の遺族から脅迫を受けていたという情報もあり、女医のもうひとつの顔がだんだんと暴かれ始める…!</t>
  </si>
  <si>
    <t>番組名ゼロの真実～監察医・松本真央～　#4</t>
  </si>
  <si>
    <t>東京郊外の山中でミイラ化した遺体が発見される。警視庁の屋敷(佐々木蔵之介)は、死体遺棄事件の疑いで捜査を開始。真央(武井咲)は、中央監察医務院で中山(尾美としのり)の指導の下、ミイラの解剖に携わる。結果、死因は刺されたことによる心臓損傷だと判明。そんな折、遺体は8年前に失踪した自分の妻だという歯科医が現れ…。武井咲、佐々木蔵之介、生瀬勝久、和田正人、六角精児、小松和重、水沢エレナ、宮崎香蓮、青柳翔・尾美としのり、でんでん、橋爪功(特別出演)、真矢みき  【ゲスト】野間口徹大石静井筒昭雄常廣丈太(テレビ朝日)湘南乃風『パズル』(TOY'S FACTORY)【ゼネラルプロデューサー】内山聖子(テレビ朝日)  【プロデューサー】中川慎子(テレビ朝日)、浅井千端(MMJ)☆番組HP  　http://www.tv-asahi.co.jp/zeroshin/</t>
  </si>
  <si>
    <t>東京郊外の山中でミイラ化した遺体が発見される。警視庁の屋敷(佐々木蔵之介)は、死体遺棄事件の疑いで捜査を開始。真央(武井咲)は、中央監察医務院で中山(尾美としのり)の指導の下、ミイラの解剖に携わる。結果、死因は刺されたことによる心臓損傷だと判明。そんな折、遺体は8年前に失踪した自分の妻だという歯科医が現れ…。</t>
  </si>
  <si>
    <t>番組名ゼロの真実～監察医・松本真央～　#5</t>
  </si>
  <si>
    <t>自宅で死亡した代議士(浜田晃)。しかし検案の結果“嘘"が発覚。実際は愛人宅で死亡し、自宅に運び込まれたことが分かる。愛人の存在が許せない正妻(木野花)は世間体を守るため、夫は自宅で死んだことにすると言う。一方、捜査のため屋敷(佐々木蔵之介)は愛人(堀内敬子)の部屋を訪ねていくが…実は屋敷の別れた妻だったことが判明!さらに真央(武井咲)が解剖した結果、屋敷の元妻に殺人容疑が…!?武井咲、佐々木蔵之介、生瀬勝久、和田正人、六角精児、小松和重、水沢エレナ、宮崎香蓮、青柳翔・尾美としのり、でんでん、橋爪功(特別出演)、真矢みき  【ゲスト】堀内敬子、木野花、浜田晃大石静井筒昭雄星野和成(MMJ)湘南乃風『パズル』(TOY'S FACTORY)【ゼネラルプロデューサー】内山聖子(テレビ朝日)  【プロデューサー】中川慎子(テレビ朝日)、浅井千端(MMJ)☆番組HP  　http://www.tv-asahi.co.jp/zeroshin/</t>
  </si>
  <si>
    <t>自宅で死亡した代議士(浜田晃)。しかし検案の結果“嘘"が発覚。実際は愛人宅で死亡し、自宅に運び込まれたことが分かる。愛人の存在が許せない正妻(木野花)は世間体を守るため、夫は自宅で死んだことにすると言う。一方、捜査のため屋敷(佐々木蔵之介)は愛人(堀内敬子)の部屋を訪ねていくが…実は屋敷の別れた妻だったことが判明!さらに真央(武井咲)が解剖した結果、屋敷の元妻に殺人容疑が…!?</t>
  </si>
  <si>
    <t>番組名ゼロの真実～監察医・松本真央～　#6</t>
  </si>
  <si>
    <t>中央監察医務院で死因不詳の遺体を解剖中に、岩松(六角精児)、中山(尾美としのり)、保坂(でんでん)の3人が、次々と意識を失い倒れる。胃の中に残留していた青酸ガスを吸い込み中毒症状を起こしたのだ。さらには、青酸化合物で無理心中したと思われる男女の遺体が見つかるが、真央(武井咲)による解剖の結果、予想外の死因が導き出される…。武井咲、佐々木蔵之介、生瀬勝久、和田正人、六角精児、小松和重、水沢エレナ、宮崎香蓮、青柳翔・尾美としのり、でんでん、橋爪功(特別出演)、真矢みき大石静井筒昭雄片山修(テレビ朝日)湘南乃風『パズル』(TOY'S FACTORY)【ゼネラルプロデューサー】内山聖子(テレビ朝日)  【プロデューサー】中川慎子(テレビ朝日)、浅井千端(MMJ)☆番組HP  　http://www.tv-asahi.co.jp/zeroshin/</t>
  </si>
  <si>
    <t>中央監察医務院で死因不詳の遺体を解剖中に、岩松(六角精児)、中山(尾美としのり)、保坂(でんでん)の3人が、次々と意識を失い倒れる。胃の中に残留していた青酸ガスを吸い込み中毒症状を起こしたのだ。さらには、青酸化合物で無理心中したと思われる男女の遺体が見つかるが、真央(武井咲)による解剖の結果、予想外の死因が導き出される…。</t>
  </si>
  <si>
    <t>番組名ゼロの真実～監察医・松本真央～　#7</t>
  </si>
  <si>
    <t>松本真央(武井咲)は屋敷一郎(佐々木蔵之介)から、死刑囚の小杉貞夫(橋爪功)を最初に取り調べた刑事は自分だと打ち明けられる。大学教授だった小杉による連続殺人は“理由なき快楽殺人"としてマスコミや世間を騒がせた。真央の母と小杉の関係とは…!?  一方で真央は、連続放火による火災現場で発見された遺体の解剖をすることに。その結果、遺体は火事で焼かれる前に、すでに一酸化炭素中毒で死亡していたことが判明する。武井咲、佐々木蔵之介、生瀬勝久、和田正人、六角精児、小松和重、水沢エレナ、宮崎香蓮、青柳翔・尾美としのり、でんでん、橋爪功(特別出演)、真矢みき大石静井筒昭雄星野和成(MMJ)湘南乃風『パズル』(TOY'S FACTORY)【ゼネラルプロデューサー】内山聖子(テレビ朝日)  【プロデューサー】中川慎子(テレビ朝日)、浅井千端(MMJ)☆番組HP  　http://www.tv-asahi.co.jp/zeroshin/</t>
  </si>
  <si>
    <t>松本真央(武井咲)は屋敷一郎(佐々木蔵之介)から、死刑囚の小杉貞夫(橋爪功)を最初に取り調べた刑事は自分だと打ち明けられる。大学教授だった小杉による連続殺人は“理由なき快楽殺人"としてマスコミや世間を騒がせた。真央の母と小杉の関係とは…!?  一方で真央は、連続放火による火災現場で発見された遺体の解剖をすることに。その結果、遺体は火事で焼かれる前に、すでに一酸化炭素中毒で死亡していたことが判明する。</t>
  </si>
  <si>
    <t>番組名ゼロの真実～監察医・松本真央～　#8</t>
  </si>
  <si>
    <t>高層ビルから転落死した女性。自殺と推測されることから印田(真矢みき)は「解剖の必要なし」と判断。しかし、真央(武井咲)は判断を押し切り、遺体を中央監察医務院に搬送する。  真央には、解明しなければならない転落死がもう一つあった…。8年前の母の死。中央監察医務院の記録から印田の仕業なのか、真央の母の解剖写真はすべて削除されていた。そこで真央は、屋敷(佐々木蔵之介)にある取り引きを持ちかける…。武井咲、佐々木蔵之介、生瀬勝久、和田正人、六角精児、小松和重、水沢エレナ、宮崎香蓮、青柳翔・尾美としのり、でんでん、橋爪功(特別出演)、真矢みき  【ゲスト】霧島れいか、黒川芽以、小島藤子大石静井筒昭雄常廣丈太(テレビ朝日)湘南乃風『パズル』(TOY'S FACTORY)【ゼネラルプロデューサー】内山聖子(テレビ朝日)  【プロデューサー】中川慎子(テレビ朝日)、浅井千端(MMJ)☆番組HP  　http://www.tv-asahi.co.jp/zeroshin/</t>
  </si>
  <si>
    <t>高層ビルから転落死した女性。自殺と推測されることから印田(真矢みき)は「解剖の必要なし」と判断。しかし、真央(武井咲)は判断を押し切り、遺体を中央監察医務院に搬送する。  真央には、解明しなければならない転落死がもう一つあった…。8年前の母の死。中央監察医務院の記録から印田の仕業なのか、真央の母の解剖写真はすべて削除されていた。そこで真央は、屋敷(佐々木蔵之介)にある取り引きを持ちかける…。</t>
  </si>
  <si>
    <t>1407_EX_金23</t>
  </si>
  <si>
    <t>匿名探偵</t>
  </si>
  <si>
    <t>番組名匿名探偵　#1</t>
  </si>
  <si>
    <t>【第1話　探偵と夢にまでみた女】  新しい街で仕事を始めた探偵(高橋克典)のもとへ、カリスマ経営者の村木美里(石野真子)から、生き別れの娘と同じ特徴を持つ自社の派遣社員・由紀(中村ゆり)が、本当の娘かどうか確かめて欲しい、と依頼がきた。調査を進め、親子の確信を深める探偵だったが、清楚に見えた由紀には、知られざる別の顔があった。さらに調べを進める探偵の前に、美里の会社を揺るがす新たな問題が発覚してー高橋克典、片瀬那奈、山口大地、原幹恵、森次晃嗣、田山涼成、柴俊夫  【第1話ゲスト】中村ゆり、石野真子、水橋研二、名高達男 ほか尾崎将也秋山純(テレビ朝日)EDGE of LIFE『Can't Stop』(avex trax)【ゼネラルプロデューサー】黒田徹也(テレビ朝日)  【プロデューサー】池田邦晃(テレビ朝日)、遠田孝一(MMJ)、神通勉(MMJ)☆番組HP  　http://www.tv-asahi.co.jp/tokumeitantei/</t>
  </si>
  <si>
    <t>【第1話　探偵と夢にまでみた女】  新しい街で仕事を始めた探偵(高橋克典)のもとへ、カリスマ経営者の村木美里(石野真子)から、生き別れの娘と同じ特徴を持つ自社の派遣社員・由紀(中村ゆり)が、本当の娘かどうか確かめて欲しい、と依頼がきた。調査を進め、親子の確信を深める探偵だったが、清楚に見えた由紀には、知られざる別の顔があった。さらに調べを進める探偵の前に、美里の会社を揺るがす新たな問題が発覚してー</t>
  </si>
  <si>
    <t>番組名匿名探偵　#2</t>
  </si>
  <si>
    <t>【第2話　探偵と信じがたい女】ちょっとした誤解で警察に連行された探偵(高橋克典)は、柏原妙子(清水美沙)という女性を阿南刑事(田山涼成)から紹介される。向かいの家に住む会社社長・大原俊之(鈴木一真)が妻・初枝を絞殺する現場を目撃し、警察に通報したらしい。ところが警察はそんな事実はなかったの一点張り。探偵は半ば強引に警察の捜査に納得のいかない妙子からの依頼を受けるはめになり、真相を調査することに…。高橋克典、片瀬那奈、山口大地、原幹恵、森次晃嗣、田山涼成、柴俊夫  【第2話ゲスト】清水美沙、鈴木一真高山直也仲西匡秋山純(テレビ朝日)EDGE of LIFE『Can't Stop』(avex trax)【ゼネラルプロデューサー】黒田徹也(テレビ朝日)  【プロデューサー】池田邦晃(テレビ朝日)、遠田孝一(MMJ)、神通勉(MMJ)☆番組HP  　http://www.tv-asahi.co.jp/tokumeitantei/</t>
  </si>
  <si>
    <t>【第2話　探偵と信じがたい女】ちょっとした誤解で警察に連行された探偵(高橋克典)は、柏原妙子(清水美沙)という女性を阿南刑事(田山涼成)から紹介される。向かいの家に住む会社社長・大原俊之(鈴木一真)が妻・初枝を絞殺する現場を目撃し、警察に通報したらしい。ところが警察はそんな事実はなかったの一点張り。探偵は半ば強引に警察の捜査に納得のいかない妙子からの依頼を受けるはめになり、真相を調査することに…。</t>
  </si>
  <si>
    <t>番組名匿名探偵　#3</t>
  </si>
  <si>
    <t>【第3話　探偵と夢見がちな女】探偵(高橋克典)は社長夫人・真鍋祥子(舟木幸)の依頼で家出した娘・沙織(荒井萌)を捜すことに。女優を目指す沙織は母の反対を押し切り、家を飛び出してしまったという。探偵は記者のふりをして劇団に潜入。プロデューサーの柴田(宮川一朗太)や演出家の山西(相島一之)にダメ出しされながら、舞台稽古に励む沙織の姿を見つける。沙織に接触する探偵だが、劇団から何やらきな臭さを嗅ぎ取り…高橋克典、片瀬那奈、山口大地、原幹恵、森次晃嗣、田山涼成、柴俊夫  【第3話ゲスト】宮川一朗太、相島一之、荒井萌尾崎将也仲西匡秋山純(テレビ朝日)EDGE of LIFE『Can't Stop』(avex trax)【ゼネラルプロデューサー】黒田徹也(テレビ朝日)  【プロデューサー】池田邦晃(テレビ朝日)、遠田孝一(MMJ)、神通勉(MMJ)☆番組HP  　http://www.tv-asahi.co.jp/tokumeitantei/</t>
  </si>
  <si>
    <t>【第3話　探偵と夢見がちな女】探偵(高橋克典)は社長夫人・真鍋祥子(舟木幸)の依頼で家出した娘・沙織(荒井萌)を捜すことに。女優を目指す沙織は母の反対を押し切り、家を飛び出してしまったという。探偵は記者のふりをして劇団に潜入。プロデューサーの柴田(宮川一朗太)や演出家の山西(相島一之)にダメ出しされながら、舞台稽古に励む沙織の姿を見つける。沙織に接触する探偵だが、劇団から何やらきな臭さを嗅ぎ取り…</t>
  </si>
  <si>
    <t>番組名匿名探偵　#4</t>
  </si>
  <si>
    <t>【第4話　探偵と舌の肥えた女】  辛口の評論で有名な料理評論家・片桐文乃(若村麻由美)のもとに脅迫めいた手紙が送られてきた。大ごとにはしたくない文乃は警察には届けず、探偵(高橋克典)に犯人を突き止めるよう依頼。さっそく調査に乗り出した探偵は思いもよらぬ事件の真相、そして文乃自身に隠された“驚愕の秘密"にたどり着く…!高橋克典、片瀬那奈、山口大地、原幹恵、森次晃嗣、田山涼成、柴俊夫  【第4話ゲスト】若村麻由美高山直也仲西匡小松隆志(MMJ)EDGE of LIFE『Can't Stop』(avex trax)【ゼネラルプロデューサー】黒田徹也(テレビ朝日)  【プロデューサー】池田邦晃(テレビ朝日)、遠田孝一(MMJ)、神通勉(MMJ)☆番組HP  　http://www.tv-asahi.co.jp/tokumeitantei/</t>
  </si>
  <si>
    <t>【第4話　探偵と舌の肥えた女】  辛口の評論で有名な料理評論家・片桐文乃(若村麻由美)のもとに脅迫めいた手紙が送られてきた。大ごとにはしたくない文乃は警察には届けず、探偵(高橋克典)に犯人を突き止めるよう依頼。さっそく調査に乗り出した探偵は思いもよらぬ事件の真相、そして文乃自身に隠された“驚愕の秘密"にたどり着く…!</t>
  </si>
  <si>
    <t>番組名匿名探偵　#5</t>
  </si>
  <si>
    <t>【第5話　探偵と知りたがる女】  探偵(高橋克典)のもとに主婦・遠藤幸枝(田中美里)からの依頼が舞い込んだ。依頼内容は大学講師である夫・遠藤伸一(石黒賢)の素行調査。なんでも幸枝は先日、伸一が出所不明の大金を隠し持っているのを目撃したという。調査を始めた探偵は、冴えない伸一が、なぜか明るい雰囲気の美人女子大生・若菜(南沢奈央)と親しげに話している姿を目撃する…。高橋克典、片瀬那奈、山口大地、原幹恵、森次晃嗣、田山涼成、柴俊夫  【第5話ゲスト】南沢奈央、石黒賢、田中美里尾崎将也仲西匡小松隆志(MMJ)EDGE of LIFE『Can't Stop』(avex trax)【ゼネラルプロデューサー】黒田徹也(テレビ朝日)  【プロデューサー】池田邦晃(テレビ朝日)、遠田孝一(MMJ)、神通勉(MMJ)☆番組HP  　http://www.tv-asahi.co.jp/tokumeitantei/</t>
  </si>
  <si>
    <t>【第5話　探偵と知りたがる女】  探偵(高橋克典)のもとに主婦・遠藤幸枝(田中美里)からの依頼が舞い込んだ。依頼内容は大学講師である夫・遠藤伸一(石黒賢)の素行調査。なんでも幸枝は先日、伸一が出所不明の大金を隠し持っているのを目撃したという。調査を始めた探偵は、冴えない伸一が、なぜか明るい雰囲気の美人女子大生・若菜(南沢奈央)と親しげに話している姿を目撃する…。</t>
  </si>
  <si>
    <t>番組名匿名探偵　第6話・探偵と口がうまい女【狙われた人気女子アナの秘密!!】</t>
  </si>
  <si>
    <t>【第6話　探偵と口がうまい女】テレビ局アナウンサーの花堂彩香(原田夏希)から、探偵(高橋克典)に依頼が入った。最近、彼女のブログに悪質な書き込みが集中し、アナウンス部に脅迫状が送られてきたという。調査を開始した探偵は、ブログ荒らしの犯人が幹本猛(敦士)だと突き止める。だが、幹本は脅迫状については一切関与を否定。その矢先、スポーツ新聞に彩香のスキャンダル写真が掲載され、同時に幹本の刺殺体が見つかる!!高橋克典、片瀬那奈、山口大地、原幹恵、森次晃嗣、田山涼成、柴俊夫  【第6話ゲスト】原田夏希、脊山麻理子嶋田うれ葉仲西匡塚本連平(MMJ)EDGE of LIFE『Can't Stop』(avex trax)【ゼネラルプロデューサー】黒田徹也(テレビ朝日)  【プロデューサー】池田邦晃(テレビ朝日)、遠田孝一(MMJ)、神通勉(MMJ)☆番組HP  　http://www.tv-asahi.co.jp/tokumeitantei/    ※この番組は放送時間が変更になる場合があります</t>
  </si>
  <si>
    <t>【第6話　探偵と口がうまい女】テレビ局アナウンサーの花堂彩香(原田夏希)から、探偵(高橋克典)に依頼が入った。最近、彼女のブログに悪質な書き込みが集中し、アナウンス部に脅迫状が送られてきたという。調査を開始した探偵は、ブログ荒らしの犯人が幹本猛(敦士)だと突き止める。だが、幹本は脅迫状については一切関与を否定。その矢先、スポーツ新聞に彩香のスキャンダル写真が掲載され、同時に幹本の刺殺体が見つかる!!</t>
  </si>
  <si>
    <t>番組名匿名探偵　#7</t>
  </si>
  <si>
    <t>【第7話　探偵と待ちぼうけの女】東京から遠く離れた片田舎の駅で、探偵(高橋克典)は鈴原小百合(安達祐実)と出会う。小百合は5年前、人間関係に疲れてこの町に来訪。旅をしていた画家・坂巻英治(葛山信吾)と出会い、愛し合うようになった。だが坂巻はある日突然、別れを切り出し姿を消した。それ以来、小百合は坂巻を待ち続けているという。小百合の一途さと涙に心を動かされた探偵は自ら志願し、調査を開始する…。高橋克典、片瀬那奈、山口大地、原幹恵、森次晃嗣、田山涼成、柴俊夫  【第7話ゲスト】安達祐実、葛山信吾高山直也仲西匡秋山純(テレビ朝日)EDGE of LIFE『Can't Stop』(avex trax)【ゼネラルプロデューサー】黒田徹也(テレビ朝日)  【プロデューサー】池田邦晃(テレビ朝日)、遠田孝一(MMJ)、神通勉(MMJ)☆番組HP  　http://www.tv-asahi.co.jp/tokumeitantei/    ※この番組は放送時間が変更になる場合があります</t>
  </si>
  <si>
    <t>【第7話　探偵と待ちぼうけの女】東京から遠く離れた片田舎の駅で、探偵(高橋克典)は鈴原小百合(安達祐実)と出会う。小百合は5年前、人間関係に疲れてこの町に来訪。旅をしていた画家・坂巻英治(葛山信吾)と出会い、愛し合うようになった。だが坂巻はある日突然、別れを切り出し姿を消した。それ以来、小百合は坂巻を待ち続けているという。小百合の一途さと涙に心を動かされた探偵は自ら志願し、調査を開始する…。</t>
  </si>
  <si>
    <t>番組名匿名探偵　第8話【美しき女探偵、登場!】</t>
  </si>
  <si>
    <t>【第8話　探偵と腕のたつ女】探偵(高橋克典)は主婦・安岡圭子(山下容莉枝)の依頼で、ある企業の研究員として働く彼女の夫・安岡道雄(大鶴義丹)の浮気調査を開始。安岡が女性と寄り添って歩く決定的瞬間をカメラに収めた瞬間、探偵の前に女探偵・山村サキ(壇蜜)が現れた!探偵からカメラを奪おうとするサキ。2人は激しく格闘するが、安岡らがいなくなっていることに気づいたサキは急いでその場を立ち去るーー高橋克典、片瀬那奈、山口大地、原幹恵、森次晃嗣、田山涼成、柴俊夫  【第8話ゲスト】壇蜜尾崎将也仲西匡塚本連平(MMJ)EDGE of LIFE『Can't Stop』(avex trax)【ゼネラルプロデューサー】黒田徹也(テレビ朝日)  【プロデューサー】池田邦晃(テレビ朝日)、遠田孝一(MMJ)、神通勉(MMJ)☆番組HP  　http://www.tv-asahi.co.jp/tokumeitantei/</t>
  </si>
  <si>
    <t>【第8話　探偵と腕のたつ女】探偵(高橋克典)は主婦・安岡圭子(山下容莉枝)の依頼で、ある企業の研究員として働く彼女の夫・安岡道雄(大鶴義丹)の浮気調査を開始。安岡が女性と寄り添って歩く決定的瞬間をカメラに収めた瞬間、探偵の前に女探偵・山村サキ(壇蜜)が現れた!探偵からカメラを奪おうとするサキ。2人は激しく格闘するが、安岡らがいなくなっていることに気づいたサキは急いでその場を立ち去るーー</t>
  </si>
  <si>
    <t>番組名匿名探偵　最終話</t>
  </si>
  <si>
    <t>【最終話】探偵(高橋克典)は久しぶりに会った真由美(三浦理恵子)から、麻美(小池里奈)の行方を探して欲しいと依頼される。その頃、不思議な能力を持った男・城ヶ崎(林家三平)がテレビ番組の生放送中、行方不明の男性・北山が死んでいる場所を突き止め世間を騒がせていた。探偵は麻美の残したメールを手がかりに彼女を見つける。真相を探るべく、マスコミで城ヶ崎を糾弾している柳井教授(袴田吉彦)のもとへ向かうが…。高橋克典、片瀬那奈、山口大地、原幹恵、森次晃嗣、田山涼成、柴俊夫  【ゲスト】三浦理恵子、小池里奈、林家三平、袴田吉彦 ほか尾崎将也仲西匡秋山純(テレビ朝日)EDGE of LIFE『Can't Stop』(avex trax)【ゼネラルプロデューサー】黒田徹也(テレビ朝日)  【プロデューサー】池田邦晃(テレビ朝日)、遠田孝一(MMJ)、神通勉(MMJ)☆番組HP  　http://www.tv-asahi.co.jp/tokumeitantei/</t>
  </si>
  <si>
    <t>【最終話】探偵(高橋克典)は久しぶりに会った真由美(三浦理恵子)から、麻美(小池里奈)の行方を探して欲しいと依頼される。その頃、不思議な能力を持った男・城ヶ崎(林家三平)がテレビ番組の生放送中、行方不明の男性・北山が死んでいる場所を突き止め世間を騒がせていた。探偵は麻美の残したメールを手がかりに彼女を見つける。真相を探るべく、マスコミで城ヶ崎を糾弾している柳井教授(袴田吉彦)のもとへ向かうが…。</t>
  </si>
  <si>
    <t>1404_EX_水21</t>
  </si>
  <si>
    <t>TEAM</t>
  </si>
  <si>
    <t>番組名TEAM～警視庁特別犯罪捜査本部　#1</t>
  </si>
  <si>
    <t>商社マンの遺体が東京駅前広場で発見される。自殺を唱える所轄署、他殺を主張する管理官・佐久晋吾(小澤征悦)。そこには所轄署長と企業の癒着、東京地検との縄張り争いが渦を巻いていた。佐久管理官の奇怪な策略で捜査本部は混乱を極めるが…小澤征悦、田辺誠一、塚本高史、神尾佑、田中隆三、猪野学、篠田光亮、渡辺いっけい、西田敏行    【ゲスト】古谷一行吉本昌弘猪崎宣昭加藤ミリヤ×清水翔太『ESCAPE』(Sony Music Records/MASTERSIX FOUNDATION)【ゼネラルプロデューサー】松本基弘(テレビ朝日)  【プロデューサー】藤本一彦(テレビ朝日)、金丸哲也(東映)、和佐野健一(東映)☆番組HP  　http://www.tv-asahi.co.jp/team/</t>
  </si>
  <si>
    <t>商社マンの遺体が東京駅前広場で発見される。自殺を唱える所轄署、他殺を主張する管理官・佐久晋吾(小澤征悦)。そこには所轄署長と企業の癒着、東京地検との縄張り争いが渦を巻いていた。佐久管理官の奇怪な策略で捜査本部は混乱を極めるが…</t>
  </si>
  <si>
    <t>番組名TEAM～警視庁特別犯罪捜査本部　#2</t>
  </si>
  <si>
    <t>小澤征悦が民放連続ドラマ初主演!バラバラの思いを抱える熱い刑事たちと、冷徹な管理官・佐久晋吾(小澤征悦)が、正義の名のもと、ひとつ≪TEAM≫になる…。小澤征悦、田辺誠一、塚本高史、神尾佑、田中隆三、猪野学、篠田光亮、渡辺いっけい、西田敏行  【ゲスト】ダンカン吉本昌弘猪崎宣昭加藤ミリヤ×清水翔太『ESCAPE』(Sony Music Records/MASTERSIX FOUNDATION)【ゼネラルプロデューサー】松本基弘(テレビ朝日)  【プロデューサー】藤本一彦(テレビ朝日)、金丸哲也(東映)、和佐野健一(東映)☆番組HP  　http://www.tv-asahi.co.jp/team/</t>
  </si>
  <si>
    <t>小澤征悦が民放連続ドラマ初主演!バラバラの思いを抱える熱い刑事たちと、冷徹な管理官・佐久晋吾(小澤征悦)が、正義の名のもと、ひとつ≪TEAM≫になる</t>
  </si>
  <si>
    <t>番組名TEAM～警視庁特別犯罪捜査本部　#3</t>
  </si>
  <si>
    <t>小澤征悦が民放連続ドラマ初主演!バラバラの思いを抱える熱い刑事たちと、冷徹な管理官・佐久晋吾(小澤征悦)が、正義の名のもと、ひとつ≪TEAM≫になる…。小澤征悦、田辺誠一、塚本高史、神尾佑、田中隆三、猪野学、篠田光亮、渡辺いっけい、西田敏行  【ゲスト】矢島健一、大河内浩大石哲也新村良二加藤ミリヤ×清水翔太『ESCAPE』(Sony Music Records/MASTERSIX FOUNDATION)【ゼネラルプロデューサー】松本基弘(テレビ朝日)  【プロデューサー】藤本一彦(テレビ朝日)、金丸哲也(東映)、和佐野健(東映)  【音楽】吉川清之☆番組HP  　http://www.tv-asahi.co.jp/team/</t>
  </si>
  <si>
    <t>番組名TEAM～警視庁特別犯罪捜査本部　#4</t>
  </si>
  <si>
    <t>小澤征悦が民放連続ドラマ初主演!バラバラの思いを抱える熱い刑事たちと、冷徹な管理官・佐久晋吾(小澤征悦)が、正義の名のもと、ひとつ≪TEAM≫になる…。小澤征悦、田辺誠一、塚本高史、神尾佑、田中隆三、猪野学、篠田光亮、渡辺いっけい、西田敏行  【ゲスト】飯田基祐、山田純大、山田明郷真野勝成新村良二加藤ミリヤ×清水翔太『ESCAPE』(Sony Music Records/MASTERSIX FOUNDATION)【ゼネラルプロデューサー】松本基弘(テレビ朝日)  【プロデューサー】藤本一彦(テレビ朝日)、金丸哲也(東映)、和佐野健一(東映)  【音楽】吉川清之☆番組HP  　http://www.tv-asahi.co.jp/team/</t>
  </si>
  <si>
    <t>番組名TEAM～警視庁特別犯罪捜査本部　#5</t>
  </si>
  <si>
    <t>小澤征悦が民放連続ドラマ初主演!バラバラの思いを抱える熱い刑事たちと、冷徹な管理官・佐久晋吾(小澤征悦)が、正義の名のもと、ひとつ≪TEAM≫になる…。小澤征悦、田辺誠一、塚本高史、神尾佑、田中隆三、猪野学、篠田光亮、渡辺いっけい  【ゲスト】佐藤浩市、でんでん徳永富彦猪崎宣昭加藤ミリヤ×清水翔太『ESCAPE』(Sony Music Records/MASTERSIX FOUNDATION)【ゼネラルプロデューサー】松本基弘(テレビ朝日)  【プロデューサー】藤本一彦(テレビ朝日)、金丸哲也(東映)、和佐野健一(東映)  【音楽】吉川清之☆番組HP  　http://www.tv-asahi.co.jp/team/</t>
  </si>
  <si>
    <t>番組名TEAM～警視庁特別犯罪捜査本部　#6</t>
  </si>
  <si>
    <t>小澤征悦が民放連続ドラマ初主演!バラバラの思いを抱える熱い刑事たちと、冷徹な管理官・佐久晋吾(小澤征悦)が、正義の名のもと、ひとつ≪TEAM≫になる…。小澤征悦、田辺誠一、塚本高史、神尾佑、田中隆三、猪野学、篠田光亮、渡辺いっけい、西田敏行    【ゲスト】堀部圭亮、宮地真緒岡崎由紀子新村良二加藤ミリヤ×清水翔太『ESCAPE』(Sony Music Records/MASTERSIX FOUNDATION)【ゼネラルプロデューサー】松本基弘(テレビ朝日)  【プロデューサー】藤本一彦(テレビ朝日)、金丸哲也(東映)、和佐野健一(東映)☆番組HP  　http://www.tv-asahi.co.jp/team/</t>
  </si>
  <si>
    <t>番組名TEAM～警視庁特別犯罪捜査本部　#7</t>
  </si>
  <si>
    <t>捜査本部のトップである“管理官”佐久晋吾(小澤征悦)は「あなたたちは駒です」と現場の刑事に言い放ち、大胆不敵な捜査方針を打ち出す。刑事たちはそんな佐久とたびたび衝突するが、彼らに共通するただ一つの目的は“事件解決”。いつしか佐久の策に取り込まれ、&lt;TEAM&gt;となっていく…。小澤征悦、田辺誠一、塚本高史、神尾佑、田中隆三、猪野学、篠田光亮  【ゲスト】西村雅彦、浅見れいな真野勝成猪崎宣昭加藤ミリヤ×清水翔太『ESCAPE』(Sony Music Records/MASTERSIX FOUNDATION)【ゼネラルプロデューサー】松本基弘(テレビ朝日)  【プロデューサー】藤本一彦(テレビ朝日)、金丸哲也(東映)、和佐野健一(東映)  【音楽】吉川清之☆番組HP  　http://www.tv-asahi.co.jp/team/</t>
  </si>
  <si>
    <t>捜査本部のトップである“管理官”佐久晋吾(小澤征悦)は「あなたたちは駒です」と現場の刑事に言い放ち、大胆不敵な捜査方針を打ち出す。刑事たちはそんな佐久とたびたび衝突するが、彼らに共通するただ一つの目的は“事件解決”。いつしか佐久の策に取り込まれ、&lt;TEAM&gt;となっていく</t>
  </si>
  <si>
    <t>番組名TEAM～警視庁特別犯罪捜査本部　#8</t>
  </si>
  <si>
    <t>捜査本部のトップである“管理官"佐久晋吾(小澤征悦)は「あなたたちは駒です」と現場の刑事に言い放ち、大胆不敵な捜査方針を打ち出す。刑事たちはそんな佐久とたびたび衝突するが、彼らに共通するただ一つの目的は“事件解決"。いつしか佐久の策に取り込まれ、&lt;TEAM&gt;となっていく…。小澤征悦、田辺誠一、塚本高史、神尾佑、田中隆三、猪野学、篠田光亮、渡辺いっけい、西田敏行  【ゲスト】  浅野和之、モロ師岡吉本昌弘新村良二加藤ミリヤ×清水翔太『ESCAPE』(Sony Music Records/MASTERSIX FOUNDATION)【ゼネラルプロデューサー】松本基弘(テレビ朝日)  【プロデューサー】藤本一彦(テレビ朝日)、金丸哲也(東映)、和佐野健一(東映)  【音楽】吉川清之☆番組HP  　http://www.tv-asahi.co.jp/team/</t>
  </si>
  <si>
    <t>捜査本部のトップである“管理官"佐久晋吾(小澤征悦)は「あなたたちは駒です」と現場の刑事に言い放ち、大胆不敵な捜査方針を打ち出す。刑事たちはそんな佐久とたびたび衝突するが、彼らに共通するただ一つの目的は“事件解決"。いつしか佐久の策に取り込まれ、&lt;TEAM&gt;となっていく</t>
  </si>
  <si>
    <t>番組名TEAM～警視庁特別犯罪捜査本部　#9</t>
  </si>
  <si>
    <t>小澤征悦が民放連続ドラマ初主演!バラバラの思いを抱える熱い刑事たちと、冷徹な管理官・佐久晋吾(小澤征悦)が、正義の名のもと、ひとつ≪TEAM≫になる…。小澤征悦、田辺誠一、塚本高史、神尾佑、田中隆三、猪野学、篠田光亮、渡辺いっけい、西田敏行  【ゲスト】菅原大吉、飯田基祐、団時朗、長谷川朝晴、石橋蓮司吉本昌弘猪崎宣昭加藤ミリヤ×清水翔太『ESCAPE』(Sony Music Records/MASTERSIX FOUNDATION)【ゼネラルプロデューサー】松本基弘(テレビ朝日)  【プロデューサー】藤本一彦(テレビ朝日)、金丸哲也(東映)、和佐野健一(東映)  【音楽】吉川清之☆番組HP  　http://www.tv-asahi.co.jp/team/</t>
  </si>
  <si>
    <t>1404_EX_木20</t>
  </si>
  <si>
    <t>刑事110キロ</t>
  </si>
  <si>
    <t>番組名刑事110キロ　初回2時間スペシャル　#1</t>
  </si>
  <si>
    <t>有名ファッションデザイナー・有本ちさ子(賀来千香子)は、共同経営者で恋人の西田恭平(高杉亘)を絞殺した。ライバルメーカー社長・湯川江利子(床嶋佳子)と手を組んで会社を売ろうとした西田を許せなかったのだ。ちさ子は共犯者と手を組み、完璧なアリバイを用意。調べはじめた花沢太郎(石塚英彦)はすぐに共犯者が女性であることを見抜くが、敵の多いちさ子に手を貸す女性は皆無だった。特に江利子とは“犬猿の仲”で有名だったが…!?  華やかなファッション業界の裏に潜む女同士の壮絶なバトルに、花沢が斬りこんでいく!花沢太郎…石塚英彦  木内光義…中村俊介  権田千夏…星野真里  鬼久保巌…石丸謙二郎  林弘太郎…陳内将  木内菜穂子…井上和香  錦織玲子…高畑淳子  【ゲスト】  有本ちさ子…賀来千香子  湯川江利子…床嶋佳子  牧田光一…渡辺大尾西兼一石川一郎【音楽】  沢田完    【主題歌】  ウルフルズ『ヒーロー』(ワーナーミュージック・ジャパン)【ゼネラルプロデューサー】井土隆(テレビ朝日)  【プロデューサー】川島誠史(テレビ朝日)、河瀬光(東映)、榎本美華(東映)☆番組HP  　http://www.tv-asahi.co.jp/110kg/</t>
  </si>
  <si>
    <t>有名ファッションデザイナー・有本ちさ子(賀来千香子)は、共同経営者で恋人の西田恭平(高杉亘)を絞殺した。ライバルメーカー社長・湯川江利子(床嶋佳子)と手を組んで会社を売ろうとした西田を許せなかったのだ。ちさ子は共犯者と手を組み、完璧なアリバイを用意。調べはじめた花沢太郎(石塚英彦)はすぐに共犯者が女性であることを見抜くが、敵の多いちさ子に手を貸す女性は皆無だった。特に江利子とは“犬猿の仲”で有名だったが</t>
  </si>
  <si>
    <t>番組名刑事110キロ　#2</t>
  </si>
  <si>
    <t>主婦の三隅和代(松原智恵子)は、会計事務所所長の夫・重雄(秋野太作)を拳銃で殺害した。結婚して40年、重雄の部下たちからルビー婚式のパーティーをしようと提案された直後であった。花沢太郎(石塚英彦)は、和代が夫の遺体を見つけて通報した直後に食器を洗い、洗濯機をまわしていたことに不審を抱く。普通の主婦である和代がどうやって凶器の拳銃を手に入れたのか!?そして一見、どこにでもいる熟年夫婦の間にいったい何があったのか!?その裏にある本当の動機を、花沢が探る!花沢太郎…石塚英彦  木内光義…中村俊介  権田千夏…星野真里  鬼久保巌…石丸謙二郎  林弘太郎…陳内将  木内菜穂子…井上和香  錦織玲子…高畑淳子  【ゲスト】  三隅和代…松原智恵子  三隅重雄…秋野太作石原武龍黒沢直輔沢田完    【主題歌】  ウルフルズ『ヒーロー』(ワーナーミュージック・ジャパン)【ゼネラルプロデューサー】井土隆(テレビ朝日)  【プロデューサー】川島誠史(テレビ朝日)、河瀬光(東映)、榎本美華(東映)☆番組HP  　http://www.tv-asahi.co.jp/110kg/</t>
  </si>
  <si>
    <t>主婦の三隅和代(松原智恵子)は、会計事務所所長の夫・重雄(秋野太作)を拳銃で殺害した。結婚して40年、重雄の部下たちからルビー婚式のパーティーをしようと提案された直後であった。花沢太郎(石塚英彦)は、和代が夫の遺体を見つけて通報した直後に食器を洗い、洗濯機をまわしていたことに不審を抱く。普通の主婦である和代がどうやって凶器の拳銃を手に入れたのか!?そして一見、どこにでもいる熟年夫婦の間にいったい何があったのか!?その裏にある本当の動機を、花沢が探る!花沢太郎</t>
  </si>
  <si>
    <t>番組名刑事110キロ　#3</t>
  </si>
  <si>
    <t>市議会議員・本橋慶次(岡田浩暉)の私設秘書である大田が殺害された。大田は、選挙を前に敵の陣営に移ると言い出していたという。現場は荒らされており、強盗の仕業かと思われたが、現場の状況の不自然さに気づいた花沢太郎(石塚英彦)は、本橋の犯行を直感。決定的証拠がない中、事件当夜、現場から逃走する犯人を目撃したという少年・満(鈴木福)に出会う。満の証言にしたがって似顔絵を作成するが、完成した顔は本橋とは明らかに違う人物だった…。この似顔絵が第二の殺人を呼ぶことになり…!?花沢太郎…石塚英彦  木内光義…中村俊介  権田千夏…星野真里  鬼久保巌…石丸謙二郎  林弘太郎…陳内将  木内菜穂子…井上和香  錦織玲子…高畑淳子  【ゲスト】  本橋慶次…岡田浩暉  相沢満…鈴木福尾西兼一黒沢直輔沢田完    【主題歌】  ウルフルズ『ヒーロー』(ワーナーミュージック・ジャパン)【ゼネラルプロデューサー】井土隆(テレビ朝日)  【プロデューサー】川島誠史(テレビ朝日)、河瀬光(東映)、榎本美華(東映)☆番組HP  　http://www.tv-asahi.co.jp/110kg/</t>
  </si>
  <si>
    <t>市議会議員・本橋慶次(岡田浩暉)の私設秘書である大田が殺害された。大田は、選挙を前に敵の陣営に移ると言い出していたという。現場は荒らされており、強盗の仕業かと思われたが、現場の状況の不自然さに気づいた花沢太郎(石塚英彦)は、本橋の犯行を直感。決定的証拠がない中、事件当夜、現場から逃走する犯人を目撃したという少年・満(鈴木福)に出会う。満の証言にしたがって似顔絵を作成するが、完成した顔は本橋とは明らかに違う人物だった</t>
  </si>
  <si>
    <t>番組名刑事110キロ　#4</t>
  </si>
  <si>
    <t>ベテラン女優・加賀美麗華(山本陽子)が主演する舞台の本番中に、その義理の妹が殺された。現場の状況から捜査一課の鬼久保警部(石丸謙二郎)は物盗りの犯行と考えるが、花沢太郎(石塚英彦)は第2幕の冒頭に麗華の出番がないことを知り、彼女の仕業ではないかと疑う。しかし、幕間のわずかな10分の間に地下の楽屋を抜け出して、ホテル14階の現場まで行って殺人を犯し、何事もなかったかのように舞台に舞い戻ることは本当に可能なのか…!?実験したところ、非常階段を使ってもエレベーターを利用しても時間的に無理があった。アリバイトリックは崩せるか!?花沢太郎…石塚英彦  木内光義…中村俊介  権田千夏…星野真里  鬼久保巌…石丸謙二郎  林弘太郎…陳内将  木内菜穂子…井上和香  錦織玲子…高畑淳子  【ゲスト】  加賀美麗華…山本陽子  好子…瀬戸さおりもろさわ和幸石川一郎沢田完    【主題歌】  ウルフルズ『ヒーロー』(ワーナーミュージック・ジャパン)【ゼネラルプロデューサー】井土隆(テレビ朝日)  【プロデューサー】川島誠史(テレビ朝日)、河瀬光(東映)、榎本美華(東映)☆番組HP  　http://www.tv-asahi.co.jp/110kg/</t>
  </si>
  <si>
    <t>ベテラン女優・加賀美麗華(山本陽子)が主演する舞台の本番中に、その義理の妹が殺された。現場の状況から捜査一課の鬼久保警部(石丸謙二郎)は物盗りの犯行と考えるが、花沢太郎(石塚英彦)は第2幕の冒頭に麗華の出番がないことを知り、彼女の仕業ではないかと疑う。しかし、幕間のわずかな10分の間に地下の楽屋を抜け出して、ホテル14階の現場まで行って殺人を犯し、何事もなかったかのように舞台に舞い戻ることは本当に可能なのか</t>
  </si>
  <si>
    <t>番組名刑事110キロ　#5</t>
  </si>
  <si>
    <t>凄腕デイトレーダー・田辺(高橋光臣)が、交際していた女の遺体を車で運んでいる最中に、老人をはねてしまう!翌日、田辺がその老人とともに交番に出向くと、そこには花沢(石塚英彦)がいた。花沢は、老人を見て驚く。その老人は、過去の事件で関わったことのある小畑八郎(ミッキー・カーチス)だったのだ!田辺の話によると、小畑をはねてしまったが大したケガではなかったため、昨晩は家に泊まってもらったという。その親切すぎる対応に、何かあると直感した花沢は…!?花沢太郎…石塚英彦  木内光義…中村俊介  権田千夏…星野真里  鬼久保巌…石丸謙二郎  林弘太郎…陳内将  木内菜穂子…井上和香  錦織玲子…高畑淳子  【ゲスト】  田辺由紀也…高橋光臣  小畑八郎…ミッキー・カーチス中村由加里石川一郎沢田完    【主題歌】  ウルフルズ『ヒーロー』(ワーナーミュージック・ジャパン)【ゼネラルプロデューサー】井土隆(テレビ朝日)  【プロデューサー】川島誠史(テレビ朝日)、河瀬光(東映)、榎本美華(東映)☆番組HP  　http://www.tv-asahi.co.jp/110kg/</t>
  </si>
  <si>
    <t>凄腕デイトレーダー・田辺(高橋光臣)が、交際していた女の遺体を車で運んでいる最中に、老人をはねてしまう!翌日、田辺がその老人とともに交番に出向くと、そこには花沢(石塚英彦)がいた。花沢は、老人を見て驚く。その老人は、過去の事件で関わったことのある小畑八郎(ミッキー・カーチス)だったのだ!田辺の話によると、小畑をはねてしまったが大したケガではなかったため、昨晩は家に泊まってもらったという。その親切すぎる対応に、何かあると直感した花沢は</t>
  </si>
  <si>
    <t>番組名刑事110キロ　最終回2時間SP</t>
  </si>
  <si>
    <t>目の不自由な画家・小田島克也(柄本明)の妻・奈津美(渡辺梓)が、アトリエで死体となって見つかった。第一発見者は、小田島のマネージャーである黒川あゆみ(遠藤久美子)だった。  臨場した花沢太郎(石塚英彦)は、居間のエアコンの設定温度が高かったこと、キッチンから生焼けのピザが見つかったことなど、不自然な状況を次々と指摘する。小田島は長年、自らの目となって支えてきてくれた妻をなぜ殺害したのか…!?“心眼"を持つと言われる画家・小田島の、暗闇を利用した驚愕の殺人トリックに挑んでいく…!  それから数日後、小田島の画を購入していた資産家・秋葉家の令嬢、美由紀(川島なお美)の夫が殺害された。その手口は、以前逮捕された窃盗常習犯のものと酷似していることから、花沢らは、出所後、姿をくらましているその男の行方を探しはじめる。しかしその影には、花沢の仲間の誰かが関わっている可能性が浮上し…!?花沢太郎…石塚英彦  木内光義…中村俊介  権田千夏…星野真里  鬼久保巌…石丸謙二郎  林弘太郎…陳内将  木内菜穂子…井上和香  錦織玲子…高畑淳子  【ゲスト】  小田島克也…柄本明  秋葉美由紀…川島なお美  黒川あゆみ…遠藤久美子  小田島奈津美…渡辺梓森下直/石原武龍猪原達三沢田完    【主題歌】  ウルフルズ『ヒーロー』(ワーナーミュージック・ジャパン)【ゼネラルプロデューサー】井土隆(テレビ朝日)  【プロデューサー】川島誠史(テレビ朝日)、河瀬光(東映)、榎本美華(東映)☆番組HP  　http://www.tv-asahi.co.jp/110kg/</t>
  </si>
  <si>
    <t>目の不自由な画家・小田島克也(柄本明)の妻・奈津美(渡辺梓)が、アトリエで死体となって見つかった。第一発見者は、小田島のマネージャーである黒川あゆみ(遠藤久美子)だった。  臨場した花沢太郎(石塚英彦)は、居間のエアコンの設定温度が高かったこと、キッチンから生焼けのピザが見つかったことなど、不自然な状況を次々と指摘する。小田島は長年、自らの目となって支えてきてくれた妻をなぜ殺害したのか</t>
  </si>
  <si>
    <t>1404_EX_木21</t>
  </si>
  <si>
    <t>BORDER</t>
  </si>
  <si>
    <t>番組名BORDER　#1</t>
  </si>
  <si>
    <t>奇跡的に蘇生し“死者と交信できる”という特殊能力を得た、刑事・石川(小栗旬)は一家惨殺事件の捜査を担当することに。  被害者家族の“死者の声”に導かれ石川は誰も知らない事件の真相を知ることになる。徹底的に真相を暴こうとするが真犯人につながる物証がなく、捜査の壁にぶち当たり…!?小栗旬、青木崇高、波瑠 / 古田新太 / 遠藤憲一    【ゲスト】清水美沙金城一紀橋本一川井憲次MAN WITH A MISSION『evils fall』(Sony Records)  ※ニューアルバム『Tales of Purefly』収録【ゼネラルプロデューサー】松本基弘(テレビ朝日)  【プロデューサー】山田兼司(テレビ朝日)、太田雅晴(5年D組)☆番組HP  　http://www.tv-asahi.co.jp/border/</t>
  </si>
  <si>
    <t>奇跡的に蘇生し“死者と交信できる”という特殊能力を得た、刑事・石川(小栗旬)は一家惨殺事件の捜査を担当することに。  被害者家族の“死者の声”に導かれ石川は誰も知らない事件の真相を知ることになる。徹底的に真相を暴こうとするが真犯人につながる物証がなく、捜査の壁にぶち当たり</t>
  </si>
  <si>
    <t>番組名BORDER　#2</t>
  </si>
  <si>
    <t>小栗旬、青木崇高、波瑠 / 古田新太 / 野間口徹、浜野謙太、遠藤憲一    【ゲスト】丸山智己 ほか金城一紀橋本一川井憲次MAN WITH A MISSION『evils fall』(ソニーミュージック)  ※ニューアルバム『Tales of Purefly』収録【ゼネラルプロデューサー】松本基弘(テレビ朝日)  【プロデューサー】山田兼司(テレビ朝日)、太田雅晴(5年D組)☆番組HP  　http://www.tv-asahi.co.jp/border/</t>
  </si>
  <si>
    <t>番組名BORDER　#3</t>
  </si>
  <si>
    <t>小栗旬、青木崇高、波瑠 / 古田新太 / 滝藤賢一、野間口徹、浜野謙太、遠藤憲一  【ゲスト】平田満 ほか金城一紀波多野貴文川井憲次MAN WITH A MISSION『evils fall』(Sony Records)  ※ニューアルバム『Tales of Purefly』収録【ゼネラルプロデューサー】松本基弘(テレビ朝日)  【プロデューサー】山田兼司(テレビ朝日)、太田雅晴(5年D組)☆番組HP  　http://www.tv-asahi.co.jp/border/</t>
  </si>
  <si>
    <t>番組名BORDER　#4</t>
  </si>
  <si>
    <t>小栗旬、青木崇高、波瑠 / 古田新太 / 野間口徹、浜野謙太、遠藤憲一 ほか金城一紀波多野貴文川井憲次MAN WITH A MISSION『evils fall』(Sony Records)  ※ニューアルバム『Tales of Purefly』収録【ゼネラルプロデューサー】松本基弘(テレビ朝日)  【プロデューサー】山田兼司(テレビ朝日)、太田雅晴(5年D組)☆番組HP  　http://www.tv-asahi.co.jp/border/</t>
  </si>
  <si>
    <t>番組名BORDER　#5</t>
  </si>
  <si>
    <t>小栗旬、青木崇高、波瑠 / 滝藤賢一、遠藤憲一    【ゲスト】宮藤官九郎 ほか金城一紀橋本一川井憲次MAN WITH A MISSION『evils fall』(Sony Records)  ※ニューアルバム『Tales of Purefly』収録【ゼネラルプロデューサー】松本基弘(テレビ朝日)  【プロデューサー】山田兼司(テレビ朝日)、太田雅晴(5年D組)☆番組HP  　http://www.tv-asahi.co.jp/border/</t>
  </si>
  <si>
    <t>番組名BORDER　#6</t>
  </si>
  <si>
    <t>小栗旬、青木崇高、波瑠 、野間口徹、浜野謙太、遠藤憲一 ほか金城一紀波多野貴文川井憲次MAN WITH A MISSION『evils fall』(Sony Records)  ※ニューアルバム『Tales of Purefly』収録【ゼネラルプロデューサー】松本基弘(テレビ朝日)  【プロデューサー】山田兼司(テレビ朝日)、太田雅晴(5年D組)☆番組HP  　http://www.tv-asahi.co.jp/border/</t>
  </si>
  <si>
    <t>番組名BORDER　#7</t>
  </si>
  <si>
    <t>小栗旬、青木崇高、波瑠 / 古田新太 / 滝藤賢一、野間口徹、浜野謙太、遠藤憲一  【ゲスト】中村達也 ほか金城一紀橋本一川井憲次MAN WITH A MISSION『evils fall』(Sony Records)  ※ニューアルバム『Tales of Purefly』収録【ゼネラルプロデューサー】松本基弘(テレビ朝日)  【プロデューサー】山田兼司(テレビ朝日)、太田雅晴(5年D組)☆番組HP  　http://www.tv-asahi.co.jp/border/    ※この番組は放送時間が変更になる場合があります</t>
  </si>
  <si>
    <t>番組名BORDER　#8</t>
  </si>
  <si>
    <t>小栗旬、青木崇高、波瑠 / 古田新太 / 滝藤賢一、野間口徹、浜野謙太、遠藤憲一 ほか金城一紀波多野貴文川井憲次MAN WITH A MISSION『evils fall』(Sony Records)  ※ニューアルバム『Tales of Purefly』収録【ゼネラルプロデューサー】松本基弘(テレビ朝日)  【プロデューサー】山田兼司(テレビ朝日)、太田雅晴(5年D組)☆番組HP  　http://www.tv-asahi.co.jp/border/</t>
  </si>
  <si>
    <t>番組名BORDER　#9</t>
  </si>
  <si>
    <t>小栗旬、青木崇高、波瑠 / 古田新太 / 滝藤賢一、野間口徹、浜野謙太、遠藤憲一　  【ゲスト】  大森南朋 ほか金城一紀橋本一川井憲次MAN WITH A MISSION『evils fall』(Sony Records)  ※ニューアルバム『Tales of Purefly』収録【ゼネラルプロデューサー】松本基弘(テレビ朝日)  【プロデューサー】山田兼司(テレビ朝日)、太田雅晴(5年D組)☆番組HP  　http://www.tv-asahi.co.jp/border/</t>
  </si>
  <si>
    <t>1404_EX_金23</t>
  </si>
  <si>
    <t>死神くん</t>
  </si>
  <si>
    <t>番組名死神くん　#1</t>
  </si>
  <si>
    <t>火傷をして落ち込む真実を福子だけは毎日見舞う。そんな福子の前に死神が現れ、告げた。「おめでとうございます。お迎えに上がりました」  福子の余命はあと3日。運命を受け入れられない福子。死神はそんな福子を気にかけつつ、彼なりの助言をしていく。福子は自分がやり残したことについて考え始めるが…?大野智、桐谷美玲、松重豊    【ゲスト】  大原櫻子、高田里穂、渡部秀、おかやまはじめ、池谷のぶえ、阿南敦子 ほかえんどコイチ『死神くん』(集英社文庫&lt;コミック版&gt;)橋本裕志中田秀夫嵐『誰も知らない』(ジェイ・ストーム)【ゼネラルプロデューサー】内山聖子(テレビ朝日)  【プロデューサー】飯田爽(テレビ朝日)、西河喜美子(テレビ朝日)、下山潤(ジャンゴフィルム)☆番組HP  　http://www.tv-asahi.co.jp/shinigamikun/</t>
  </si>
  <si>
    <t>火傷をして落ち込む真実を福子だけは毎日見舞う。そんな福子の前に死神が現れ、告げた。「おめでとうございます。お迎えに上がりました」  福子の余命はあと3日。運命を受け入れられない福子。死神はそんな福子を気にかけつつ、彼なりの助言をしていく。福子は自分がやり残したことについて考え始めるが…?</t>
  </si>
  <si>
    <t>番組名死神くん　#2</t>
  </si>
  <si>
    <t>大事な仕事道具である死神手帳を紛失してしまった死神No.413(大野智)。手帳の力を悪用されれば、予定外の死を招いてしまう恐れが…。慌てて人間界へ手帳探しに!大野智、桐谷美玲、菅田将暉、松重豊  【ゲスト】林遣都、神保悟志、田中奏生、森下能幸、舟木幸えんどコイチ『死神くん』(集英社文庫&lt;コミック版&gt;)橋本裕志常廣丈太(テレビ朝日)嵐『誰も知らない』(ジェイ・ストーム)【ゼネラルプロデューサー】内山聖子(テレビ朝日)  【プロデューサー】飯田爽(テレビ朝日)、西河喜美子(テレビ朝日)、下山潤(ジャンゴフィルム)☆番組HP  　http://www.tv-asahi.co.jp/shinigamikun/</t>
  </si>
  <si>
    <t>大事な仕事道具である死神手帳を紛失してしまった死神No.413(大野智)。手帳の力を悪用されれば、予定外の死を招いてしまう恐れが…。慌てて人間界へ手帳探しに!</t>
  </si>
  <si>
    <t>番組名死神くん　#3</t>
  </si>
  <si>
    <t>「魂と引き換えに、3つまでならどんな願いでも叶えます」と悪魔(菅田将暉)に言われ、願いを伝える桐嶋。一方、死神は令嬢・瞳に余命を宣告。父親の愛情を確かめたい瞳は、桐嶋に狂言誘拐を提案!桐嶋は悪魔に頼ろうと…。悪魔に魂を渡してはなるまいと死神は桐嶋を説得するが…。大野智、桐谷美玲、菅田将暉、松重豊  【ゲスト】柄本時生、杉咲花えんどコイチ『死神くん』(集英社文庫&lt;コミック版&gt;)橋本裕志筧昌也嵐『誰も知らない』(ジェイ・ストーム)【ゼネラルプロデューサー】内山聖子(テレビ朝日)  【プロデューサー】飯田爽(テレビ朝日)、西河喜美子(テレビ朝日)、下山潤(ジャンゴフィルム)☆番組HP  　http://www.tv-asahi.co.jp/shinigamikun/</t>
  </si>
  <si>
    <t>「魂と引き換えに、3つまでならどんな願いでも叶えます」と悪魔(菅田将暉)に言われ、願いを伝える桐嶋。一方、死神は令嬢・瞳に余命を宣告。父親の愛情を確かめたい瞳は、桐嶋に狂言誘拐を提案!桐嶋は悪魔に頼ろうと…。悪魔に魂を渡してはなるまいと死神は桐嶋を説得するが…。</t>
  </si>
  <si>
    <t>番組名死神くん　#4</t>
  </si>
  <si>
    <t>名前だけが記載されていない死神手帳…。  死亡予定場所に向かった死神はそこで5人の人間と遭遇する。別れる間際のカップル、病気の子供と母親、そして殺人事件の容疑者。  この中で誰が死ぬのか?エゴが渦巻く中、その中の一人がついに悪魔を呼んでしまい…。大野智、桐谷美玲、菅田将暉、松重豊  【ゲスト】平岳大、臼田あさ美、佐藤仁美、安田顕えんどコイチ『死神くん』(集英社文庫&lt;コミック版&gt;)橋本裕志本橋圭太嵐『誰も知らない』(ジェイ・ストーム)【ゼネラルプロデューサー】内山聖子(テレビ朝日)  【プロデューサー】飯田爽(テレビ朝日)、西河喜美子(テレビ朝日)、下山潤(ジャンゴフィルム)☆番組HP  　http://www.tv-asahi.co.jp/shinigamikun/</t>
  </si>
  <si>
    <t>名前だけが記載されていない死神手帳…。  死亡予定場所に向かった死神はそこで5人の人間と遭遇する。別れる間際のカップル、病気の子供と母親、そして殺人事件の容疑者。  この中で誰が死ぬのか?エゴが渦巻く中、その中の一人がついに悪魔を呼んでしまい…。</t>
  </si>
  <si>
    <t>番組名死神くん　#5</t>
  </si>
  <si>
    <t>寝たきりの留吉に、死神が余命を告げに現れる。「死ぬまでにやり残したことはありますか?」という問いに夫婦は何も望まない。だが、夫婦の前に悪魔が出現!ずっと会っていない孫に、最後に会いたいと切望しはじめる留吉。その願いを叶えてあげたく、妻は悪魔の誘いに乗ってしまう!衝撃的な事実が留吉たちを襲い…!?大野智、桐谷美玲、菅田将暉、松重豊  【ゲスト】吉行和子、山本圭えんどコイチ『死神くん』(集英社文庫&lt;コミック版&gt;)橋本裕志中田秀夫嵐『誰も知らない』(ジェイ・ストーム)【ゼネラルプロデューサー】内山聖子(テレビ朝日)  【プロデューサー】飯田爽(テレビ朝日)、西河喜美子(テレビ朝日)、下山潤(ジャンゴフィルム)☆番組HP  　http://www.tv-asahi.co.jp/shinigamikun/</t>
  </si>
  <si>
    <t>寝たきりの留吉に、死神が余命を告げに現れる。「死ぬまでにやり残したことはありますか?」という問いに夫婦は何も望まない。だが、夫婦の前に悪魔が出現!ずっと会っていない孫に、最後に会いたいと切望しはじめる留吉。その願いを叶えてあげたく、妻は悪魔の誘いに乗ってしまう!衝撃的な事実が留吉たちを襲い…!?</t>
  </si>
  <si>
    <t>番組名死神くん　#6</t>
  </si>
  <si>
    <t>今回の死亡予定者は結婚詐欺師の男!被害者には、敏腕女性編集長の里奈もいた。監死官は、詐欺の事実を里奈に告げ、詐欺師の明とはもう関わらないよう忠告する。その矢先、明が詐欺容疑で逮捕されてしまう。里奈は、思いもかけない行動に!?そして監死官は、これまでにない行動に出るのだった…!大野智、桐谷美玲、菅田将暉、松重豊  【ゲスト】  伊藤歩、鈴木浩介えんどコイチ『死神くん』(集英社文庫&lt;コミック版&gt;)橋本裕志常廣丈太(テレビ朝日)嵐『誰も知らない』(ジェイ・ストーム)【ゼネラルプロデューサー】内山聖子(テレビ朝日)  【プロデューサー】飯田爽(テレビ朝日)、西河喜美子(テレビ朝日)、下山潤(ジャンゴフィルム)☆番組HP  　http://www.tv-asahi.co.jp/shinigamikun/</t>
  </si>
  <si>
    <t>今回の死亡予定者は結婚詐欺師の男!被害者には、敏腕女性編集長の里奈もいた。監死官は、詐欺の事実を里奈に告げ、詐欺師の明とはもう関わらないよう忠告する。その矢先、明が詐欺容疑で逮捕されてしまう。里奈は、思いもかけない行動に!?そして監死官は、これまでにない行動に出るのだった…!</t>
  </si>
  <si>
    <t>番組名死神くん　#7</t>
  </si>
  <si>
    <t>人気の下落に悩む歌手のゆかりは悪魔(菅田将暉)の力を借りてライバルであるAMIを蹴落とし、再復活しようと目論む。死神(大野智)と監死官(桐谷美玲)は、即刻悪魔とは手を切るよう忠告するが、憎しみの心を燃やすゆかりに、なす術がない。ゆかりの願いは「AMIをこの世から消して」という最悪のものだった。死神はなんとか事態を食い止めようとするがー。大野智、桐谷美玲、菅田将暉、松重豊  【ゲスト】  清水くるみ、唯月ふうか、黒柳徹子(特別出演)えんどコイチ『死神くん』(集英社文庫&lt;コミック版&gt;)橋本裕志筧昌也嵐『誰も知らない』(ジェイ・ストーム)【ゼネラルプロデューサー】内山聖子(テレビ朝日)  【プロデューサー】飯田爽(テレビ朝日)、西河喜美子(テレビ朝日)、下山潤(ジャンゴフィルム)☆番組HP  　http://www.tv-asahi.co.jp/shinigamikun/</t>
  </si>
  <si>
    <t>人気の下落に悩む歌手のゆかりは悪魔(菅田将暉)の力を借りてライバルであるAMIを蹴落とし、再復活しようと目論む。死神(大野智)と監死官(桐谷美玲)は、即刻悪魔とは手を切るよう忠告するが、憎しみの心を燃やすゆかりに、なす術がない。ゆかりの願いは「AMIをこの世から消して」という最悪のものだった。死神はなんとか事態を食い止めようとするがー。</t>
  </si>
  <si>
    <t>番組名死神くん　#8</t>
  </si>
  <si>
    <t>会社経営に行き詰まった克也が、妻の美恵と息子の翔太を道連れに一家心中を図ろうとするが、最悪の事態は回避するのだった。だが死亡者リストにはすでに克也の名前が…。美恵は色々うまくいかず、好き嫌いも直らない翔太の存在にも頭を悩ませていた。自分が母親を悩ませている…、と落ち込む翔太の前に悪魔が現れる。翔太が告げた願いは「友達になってよ」だった…。そして翔太は、まさかの二つ目の願い事をしてしまい…!?大野智、桐谷美玲、菅田将暉、松重豊  【ゲスト】中越典子、小市慢太郎、高橋來えんどコイチ『死神くん』(集英社文庫&lt;コミック版&gt;)橋本裕志本橋圭太嵐『誰も知らない』(ジェイ・ストーム)【ゼネラルプロデューサー】内山聖子(テレビ朝日)  【プロデューサー】飯田爽(テレビ朝日)、西河喜美子(テレビ朝日)、下山潤(ジャンゴフィルム)☆番組HP  　http://www.tv-asahi.co.jp/shinigamikun/</t>
  </si>
  <si>
    <t>会社経営に行き詰まった克也が、妻の美恵と息子の翔太を道連れに一家心中を図ろうとするが、最悪の事態は回避するのだった。だが死亡者リストにはすでに克也の名前が…。美恵は色々うまくいかず、好き嫌いも直らない翔太の存在にも頭を悩ませていた。自分が母親を悩ませている…、と落ち込む翔太の前に悪魔が現れる。翔太が告げた願いは「友達になってよ」だった…。そして翔太は、まさかの二つ目の願い事をしてしまい…!?</t>
  </si>
  <si>
    <t>番組名死神くん　#9</t>
  </si>
  <si>
    <t>「僕の最後はそばにいて」  復讐のために大量殺人を企てる男が悪魔(菅田将暉)と契約を結んだ!犯人は人質1200人を監禁し、爆弾を会社に仕掛けていた!止めることができなければ、死神と監死官(桐谷美玲)の消滅は確実…。悪魔に犯人の魂を奪わせることも阻止したい。死神と監死官はビルの中の人々を避難させ、なんとか事態を回避しようとする。死神の必死の言葉は届くのか!? そして死神と監視官は消滅してしまうのか!?大野智、桐谷美玲、菅田将暉、松重豊  【ゲスト】田中圭えんどコイチ『死神くん』(集英社文庫&lt;コミック版&gt;)橋本裕志本橋圭太嵐『誰も知らない』(ジェイ・ストーム)【ゼネラルプロデューサー】内山聖子(テレビ朝日)  【プロデューサー】飯田爽(テレビ朝日)、西河喜美子(テレビ朝日)、下山潤(ジャンゴフィルム)☆番組HP  　http://www.tv-asahi.co.jp/shinigamikun/</t>
  </si>
  <si>
    <t>「僕の最後はそばにいて」  復讐のために大量殺人を企てる男が悪魔(菅田将暉)と契約を結んだ!犯人は人質1200人を監禁し、爆弾を会社に仕掛けていた!止めることができなければ、死神と監死官(桐谷美玲)の消滅は確実…。悪魔に犯人の魂を奪わせることも阻止したい。死神と監死官はビルの中の人々を避難させ、なんとか事態を回避しようとする。死神の必死の言葉は届くのか!? そして死神と監視官は消滅してしまうのか!?</t>
  </si>
  <si>
    <t>1401_EX_木21</t>
  </si>
  <si>
    <t>“名前のない男”  交番爆破事件の被疑者を任意同行した直後、真犯人と名乗る男(高嶋政伸)が現れた!  有希子(天海祐希)ら緊急事案対応取調班は、男の取り調べを開始。  だが、身元を明かさない男に、有希子らは手を焼き…。天海祐希、田中哲司、速水もこみち、鈴木浩介、篠井英介、草刈正雄、でんでん、大杉漣、小日向文世 ほか    【ゲスト】  高嶋政伸井上由美子常廣丈太(テレビ朝日)JUJU『Door』(Sony Music Associated Records)【ゼネラルプロデューサー】黒田徹也(テレビ朝日)  【プロデューサー】三輪祐見子(テレビ朝日)、浦井孝行(国際放映)、櫻井美恵子(国際放映)☆番組HP  　http://www.tv-asahi.co.jp/kintori/</t>
  </si>
  <si>
    <t>“名前のない男”  交番爆破事件の被疑者を任意同行した直後、真犯人と名乗る男(高嶋政伸)が現れた!  有希子(天海祐希)ら緊急事案対応取調班は、男の取り調べを開始。  だが、身元を明かさない男に、有希子らは手を焼き</t>
  </si>
  <si>
    <t>天海祐希、田中哲司、速水もこみち、鈴木浩介、篠井英介、草刈正雄、でんでん、大杉漣、小日向文世 ほか    【ゲスト】  林家正蔵井上由美子本橋圭太(アズバーズ)JUJU『Door』(Sony Music Associated Records)【ゼネラルプロデューサー】黒田徹也(テレビ朝日)  【プロデューサー】三輪祐見子(テレビ朝日)、浦井孝行(国際放映)、櫻井美恵子(国際放映)☆番組HP  　http://www.tv-asahi.co.jp/kintori/</t>
  </si>
  <si>
    <t>天海祐希、田中哲司、速水もこみち、鈴木浩介、篠井英介、草刈正雄、でんでん、大杉漣、小日向文世 ほか    【ゲスト】  安達祐実井上由美子常廣丈太(テレビ朝日)JUJU『Door』(Sony Music Associated Records)【ゼネラルプロデューサー】黒田徹也(テレビ朝日)  【プロデューサー】三輪祐見子(テレビ朝日)、浦井孝行(国際放映)、櫻井美恵子(国際放映)☆番組HP  　http://www.tv-asahi.co.jp/kintori/</t>
  </si>
  <si>
    <t>天海祐希、田中哲司、速水もこみち、鈴木浩介、篠井英介、草刈正雄、でんでん、大杉漣、小日向文世 ほか    【ゲスト】  神保悟志、泉谷しげる井上由美子本橋圭太(アズバーズ)JUJU『Door』(Sony Music Associated Records)【ゼネラルプロデューサー】黒田徹也(テレビ朝日)  【プロデューサー】三輪祐見子(テレビ朝日)、浦井孝行(国際放映)、櫻井美恵子(国際放映)☆番組HP  　http://www.tv-asahi.co.jp/kintori/</t>
  </si>
  <si>
    <t>天海祐希、田中哲司、速水もこみち、鈴木浩介、篠井英介、草刈正雄、でんでん、大杉漣、小日向文世 ほか    【ゲスト】  根岸季衣、茅島成美、西尾まり、正名僕蔵井上由美子常廣丈太(テレビ朝日)JUJU『Door』(Sony Music Associated Records)【ゼネラルプロデューサー】黒田徹也(テレビ朝日)  【プロデューサー】三輪祐見子(テレビ朝日)、浦井孝行(国際放映)、櫻井美恵子(国際放映)☆番組HP  　http://www.tv-asahi.co.jp/kintori/</t>
  </si>
  <si>
    <t>天海祐希、田中哲司、速水もこみち、鈴木浩介、篠井英介、草刈正雄、でんでん、大杉漣、小日向文世 ほか    【ゲスト】  満島真之介井上由美子本橋圭太(アズバーズ)JUJU『Door』(Sony Music Associated Records)【ゼネラルプロデューサー】黒田徹也(テレビ朝日)  【プロデューサー】三輪祐見子(テレビ朝日)、浦井孝行(国際放映)、櫻井美恵子(国際放映)☆番組HP  　http://www.tv-asahi.co.jp/kintori/</t>
  </si>
  <si>
    <t>天海祐希、田中哲司、速水もこみち、鈴木浩介、篠井英介、草刈正雄、でんでん、大杉漣、小日向文世 ほか    【ゲスト】浅野和之井上由美子常廣丈太(テレビ朝日)JUJU『Door』(Sony Music Associated Records)【ゼネラルプロデューサー】黒田徹也(テレビ朝日)  【プロデューサー】三輪祐見子(テレビ朝日)、浦井孝行(国際放映)、櫻井美恵子(国際放映)☆番組HP  　http://www.tv-asahi.co.jp/kintori/</t>
  </si>
  <si>
    <t>天海祐希、田中哲司、速水もこみち、鈴木浩介、篠井英介、草刈正雄、でんでん、大杉漣、小日向文世 ほか    【ゲスト】浅野和之井上由美子本橋圭太(アズバーズ)JUJU『Door』(Sony Music Associated Records)【ゼネラルプロデューサー】黒田徹也(テレビ朝日)  【プロデューサー】三輪祐見子(テレビ朝日)、浦井孝行(国際放映)、櫻井美恵子(国際放映)☆番組HP  　http://www.tv-asahi.co.jp/kintori/</t>
  </si>
  <si>
    <t>天海祐希、田中哲司、速水もこみち、鈴木浩介、篠井英介、草刈正雄、でんでん、大杉漣、小日向文世 ほか井上由美子常廣丈太(テレビ朝日)JUJU『Door』(Sony Music Associated Records)【ゼネラルプロデューサー】黒田徹也(テレビ朝日)  【プロデューサー】三輪祐見子(テレビ朝日)、浦井孝行(国際放映)、櫻井美恵子(国際放映)☆番組HP  　http://www.tv-asahi.co.jp/kintori/</t>
  </si>
  <si>
    <t>1401_EX_金23</t>
  </si>
  <si>
    <t>私の嫌いな探偵</t>
  </si>
  <si>
    <t>番組名私の嫌いな探偵　#1</t>
  </si>
  <si>
    <t>お金が大好きマイペースな探偵・鵜飼(玉木宏)。ミステリーマニアのビルオーナー・朱美(剛力彩芽)の強引な言葉におされ、事務所を朱美のビルへ引っ越すことに。ある日、転落死事件が発生!鵜飼は朱美に強引に連れられ事件現場へ!朱美は突拍子もない推理を展開するが…剛力彩芽、玉木宏、白石隼也、内藤理沙、鹿沼憂妃、安田美沙子、渡辺いっけい東川篤哉「烏賊川市シリーズ」より『私の嫌いな探偵』ほか(光文社刊)福田雄一塚本連平剛力彩芽『あなたの100の嫌いなところ』(gr8!records)【ゼネラルプロデューサー】内山聖子(テレビ朝日)  【プロデューサー】池田邦晃(テレビ朝日)、大江達樹(テレビ朝日)、布施等(MMJ)☆番組HP  　http://www.tv-asahi.co.jp/kirainatantei/</t>
  </si>
  <si>
    <t>お金が大好きマイペースな探偵・鵜飼(玉木宏)。ミステリーマニアのビルオーナー・朱美(剛力彩芽)の強引な言葉におされ、事務所を朱美のビルへ引っ越すことに。ある日、転落死事件が発生!鵜飼は朱美に強引に連れられ事件現場へ!朱美は突拍子もない推理を展開するが…</t>
  </si>
  <si>
    <t>番組名私の嫌いな探偵　#2</t>
  </si>
  <si>
    <t>金曜の夜に新たな名(迷?)コンビが誕生!?  ミステリー大好きな大家と殺人現場大嫌いな探偵ー  風変わりな2人が繰り広げる、突拍子もないやり取りから目が離せない!!剛力彩芽、玉木宏、白石隼也、内藤理沙、鹿沼憂妃、安田美沙子、渡辺いっけい東川篤哉「烏賊川市シリーズ」より『私の嫌いな探偵』ほか(光文社刊)福田雄一塚本連平剛力彩芽『あなたの100の嫌いなところ』(gr8!records)【ゼネラルプロデューサー】内山聖子(テレビ朝日)  【プロデューサー】池田邦晃(テレビ朝日)、大江達樹(テレビ朝日)、布施等(MMJ)☆番組HP  　http://www.tv-asahi.co.jp/kirainatantei/</t>
  </si>
  <si>
    <t>金曜の夜に新たな名(迷?)コンビが誕生!?  ミステリー大好きな大家と殺人現場大嫌いな探偵ー  風変わりな2人が繰り広げる、突拍子もないやり取りから目が離せない!!</t>
  </si>
  <si>
    <t>番組名私の嫌いな探偵　#3</t>
  </si>
  <si>
    <t>金曜の夜に新たな名(迷?)コンビが誕生!?  ミステリー大好きな大家と殺人現場大嫌いな探偵ー  風変わりな2人が繰り広げる、突拍子もないやり取りから目が離せない!!剛力彩芽、玉木宏、白石隼也、内藤理沙、鹿沼憂妃、安田美沙子、渡辺いっけい東川篤哉「烏賊川市シリーズ」より『私の嫌いな探偵』ほか(光文社刊)福田雄一片山修(テレビ朝日)剛力彩芽『あなたの100の嫌いなところ』(gr8!records)【ゼネラルプロデューサー】内山聖子(テレビ朝日)  【プロデューサー】池田邦晃(テレビ朝日)、大江達樹(テレビ朝日)、布施等(MMJ)☆番組HP  　http://www.tv-asahi.co.jp/kirainatantei/</t>
  </si>
  <si>
    <t>番組名私の嫌いな探偵　#4</t>
  </si>
  <si>
    <t>金曜の夜に新たな名(迷?)コンビが誕生!?  ミステリー大好きな大家と殺人現場大嫌いな探偵ー  風変わりな2人が繰り広げる、突拍子もないやり取りから目が離せない!!剛力彩芽、玉木宏、白石隼也、内藤理沙、鹿沼憂妃、安田美沙子、渡辺いっけい東川篤哉「烏賊川市シリーズ」より『私の嫌いな探偵』ほか(光文社刊)林誠人、福田雄一片山修(テレビ朝日)剛力彩芽『あなたの100の嫌いなところ』(gr8!records)【ゼネラルプロデューサー】内山聖子(テレビ朝日)  【プロデューサー】池田邦晃(テレビ朝日)、大江達樹(テレビ朝日)、布施等(MMJ)☆番組HP  　http://www.tv-asahi.co.jp/kirainatantei/</t>
  </si>
  <si>
    <t>番組名私の嫌いな探偵　#5</t>
  </si>
  <si>
    <t>金曜の夜に新たな名(迷?)コンビが誕生!?  ミステリー大好きな大家と殺人現場大嫌いな探偵ー  風変わりな2人が繰り広げる、突拍子もないやり取りから目が離せない!!剛力彩芽、玉木宏、白石隼也、内藤理沙、鹿沼憂妃、安田美沙子、渡辺いっけい東川篤哉「烏賊川市シリーズ」より『私の嫌いな探偵』ほか(光文社刊)福田雄一木村ひさし剛力彩芽『あなたの100の嫌いなところ』(gr8!records)【ゼネラルプロデューサー】内山聖子(テレビ朝日)  【プロデューサー】池田邦晃(テレビ朝日)、大江達樹(テレビ朝日)、布施等(MMJ)☆番組HP  　http://www.tv-asahi.co.jp/kirainatantei/</t>
  </si>
  <si>
    <t>番組名私の嫌いな探偵　#6</t>
  </si>
  <si>
    <t>番組名私の嫌いな探偵　♯7</t>
  </si>
  <si>
    <t>番組名私の嫌いな探偵　#8</t>
  </si>
  <si>
    <t>1310_EX_木21</t>
  </si>
  <si>
    <t>舞台は前シリーズの分院から本院へ!外科部長に西田敏行、内科部長に三田佳子、未知子に興味を示す外科医に藤木直人…前回の規模を大きくしのぐ強大な敵陣に手術のスキルだけを武器に未知子が戦う!閉塞感に包まれた日常に風穴を開ける痛快なストーリーに乞うご期待!米倉涼子、藤木直人、内田有紀、遠藤憲一、満島真之介、笛木優子、水沢エレナ、猪野学、野間口徹、六角慎司、浅野和之、笹野高史、岸部一徳、三田佳子、西田敏行    【ゲスト】  鈴木浩介中園ミホ田村直己(テレビ朝日)Superfly『Bi-Li-Li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</si>
  <si>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舞台は前シリーズの分院から本院へ!外科部長に西田敏行、内科部長に三田佳子、未知子に興味を示す外科医に藤木直人…前回の規模を大きくしのぐ強大な敵陣に手術のスキルだけを武器に未知子が戦う!閉塞感に包まれた日常に風穴を開ける痛快なストーリーに乞うご期待!</t>
  </si>
  <si>
    <t>失敗しない女・大門未知子(米倉涼子)が帰ってきた!異色・孤高・反骨のフリーランス天才外科医の活躍を描いた2012年No.1ヒットドラマがスケールアップしてこの秋、復活!舞台を前作の分院から本院に移し、未知子が新たな戦いにメスをもって挑んでゆく!米倉涼子、藤木直人、内田有紀、遠藤憲一、満島真之介、笛木優子、水沢エレナ、猪野学、野間口徹、六角慎司、笹野高史、岸部一徳、三田佳子、西田敏行    【ゲスト】  寺田農中園ミホ松田秀知(共同テレビ)Superfly『Bi-Li-Li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</si>
  <si>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失敗しない女・大門未知子(米倉涼子)が帰ってきた!異色・孤高・反骨のフリーランス天才外科医の活躍を描いた2012年No.1ヒットドラマがスケールアップしてこの秋、復活!舞台を前作の分院から本院に移し、未知子が新たな戦いにメスをもって挑んでゆく!</t>
  </si>
  <si>
    <t>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米倉涼子、藤木直人、内田有紀、遠藤憲一、満島真之介、笛木優子、水沢エレナ、猪野学、野間口徹、六角慎司、笹野高史、藤真利子、岸部一徳、三田佳子、西田敏行    【ゲスト】  山本未來武井彩松田秀知(共同テレビ)Superfly『Bi-Li-Li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</si>
  <si>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t>
  </si>
  <si>
    <t>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米倉涼子、藤木直人、遠藤憲一、満島真之介、笛木優子、水沢エレナ、猪野学、野間口徹、六角慎司、藤真利子、岸部一徳、西田敏行    【ゲスト】  釈由美子林誠人田村直己(テレビ朝日)Superfly『Bi-Li-Li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</si>
  <si>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米倉涼子、藤木直人、内田有紀、遠藤憲一、満島真之介、水沢エレナ、猪野学、野間口徹、六角慎司、笹野高史、岸部一徳、西田敏行    【ゲスト】  別所哲也林誠人松田秀知(共同テレビ)Superfly『Bi-Li-Li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</si>
  <si>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米倉涼子、藤木直人、内田有紀、遠藤憲一、満島真之介、笛木優子、水沢エレナ、猪野学、野間口徹、浅野和之、笹野高史、藤真利子、岸部一徳、三田佳子、西田敏行    【ゲスト】  泉谷しげる寺田敏雄田村直己(テレビ朝日)Superfly『Bi-Li-Li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</si>
  <si>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米倉涼子、藤木直人、内田有紀、遠藤憲一、満島真之介、笛木優子、水沢エレナ、猪野学、野間口徹、六角慎司、浅野和之、笹野高史、岸部一徳、三田佳子、西田敏行    【ゲスト】  白川由美林誠人松田秀知(共同テレビ)Superfly『Bi-Li-Li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</si>
  <si>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米倉涼子、藤木直人、内田有紀、遠藤憲一、満島真之介、水沢エレナ、猪野学、野間口徹、六角慎司、浅野和之、笹野高史、藤真利子、岸部一徳、三田佳子、西田敏行    【ゲスト】  勝村政信、奥貫薫寺田敏雄田村直己(テレビ朝日)Superfly『Bi-Li-Li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</si>
  <si>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米倉涼子、藤木直人、内田有紀、遠藤憲一、満島真之介、笛木優子、水沢エレナ、猪野学、野間口徹、六角慎司、浅野和之、笹野高史、藤真利子、岸部一徳、三田佳子、西田敏行    【ゲスト】  伊東四朗、古谷一行、本田望結、奥貫薫寺田敏雄田村直己(テレビ朝日)Superfly『Bi-Li-Li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</si>
  <si>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1310_EX_金23</t>
  </si>
  <si>
    <t>都市伝説の女</t>
  </si>
  <si>
    <t>番組名都市伝説の女　#1</t>
  </si>
  <si>
    <t>富士山の都市伝説を語り合うシンポジウム当日の朝“ある真実”を発表する予定だったモッシー研究家が遺体で見つかった。地面には深い樹海の方へと遺体を引きずった跡が残されており「この事件には富士山の都市伝説が絡んでる!」と確信した月子(長澤まさみ)は樹海へと足を踏み入れる…!長澤まさみ、溝端淳平、竹中直人、平山浩行、大久保佳代子、高月彩良、秋月成美、宅間孝行、伊武雅刀    【第1話ゲスト】  須藤理彩、窪塚俊介後藤法子池頼広塚本連平Perfume『Sweet Refrain』(ユニバーサルJ)    ◇オープニングテーマ曲  LUNA SEA『乱』(ユニバーサルJ)【プロデューサー】  横地郁英(テレビ朝日)、遠田孝一(MMJ)、浅井千瑞(MMJ)☆番組HP  　http://www.tv-asahi.co.jp/toshidensetsu/</t>
  </si>
  <si>
    <t>富士山の都市伝説を語り合うシンポジウム当日の朝“ある真実”を発表する予定だったモッシー研究家が遺体で見つかった。地面には深い樹海の方へと遺体を引きずった跡が残されており「この事件には富士山の都市伝説が絡んでる!」と確信した月子(長澤まさみ)は樹海へと足を踏み入れる…!</t>
  </si>
  <si>
    <t>番組名都市伝説の女　#2</t>
  </si>
  <si>
    <t>月子(長澤まさみ)ら非科学事件捜査班は夫妻の発見場所へ。鑑識係の勝浦洋人(溝端淳平)から夫妻の車が新車であり、走行距離も神戸～羽田間に到底及ばないことを知らされる。月子は夫妻が車ごとUFOに誘拐され、羽田空港付近で解放されたと推理し、捜査を開始する!長澤まさみ、溝端淳平、竹中直人、平山浩行、大久保佳代子、高月彩良、秋月成美    【第2話ゲスト】  酒井美紀、金子賢、長澤奈央、近江谷太朗、高木万平 ほか後藤法子池頼広秋山純(テレビ朝日)Perfume『Sweet Refrain』(ユニバーサルJ)    ◇オープニングテーマ曲  LUNA SEA『乱』(ユニバーサルJ)【プロデューサー】  横地郁英(テレビ朝日)、遠田孝一(MMJ)、浅井千瑞(MMJ)☆番組HP  　http://www.tv-asahi.co.jp/toshidensetsu/</t>
  </si>
  <si>
    <t>月子(長澤まさみ)ら非科学事件捜査班は夫妻の発見場所へ。鑑識係の勝浦洋人(溝端淳平)から夫妻の車が新車であり、走行距離も神戸～羽田間に到底及ばないことを知らされる。月子は夫妻が車ごとUFOに誘拐され、羽田空港付近で解放されたと推理し、捜査を開始する!</t>
  </si>
  <si>
    <t>番組名都市伝説の女　#3</t>
  </si>
  <si>
    <t>月子の脳裏をかすめたのは…、「魔女として追われたフリッグが、13日の金曜日に悪事をはたらいた」という都市伝説。奥多摩のキャンプ場で、被害者が魔女フリッグに殺されてしまったのだと推理した月子は、またしても鑑識係の勝浦洋人(溝端淳平)を巻き込み、証拠を探そうとする。長澤まさみ、溝端淳平、竹中直人、平山浩行、大久保佳代子、高月彩良、秋月成美、宅間孝行、伊武雅刀    【第3話ゲスト】  袴田吉彦、小島よしお、田中聡元、夙川アトム、尾崎右宗 ほか福田雄一池頼広塚本連平Perfume『Sweet Refrain』(ユニバーサルJ)    ◇オープニングテーマ曲  LUNA SEA『乱』(ユニバーサルJ)【プロデューサー】  横地郁英(テレビ朝日)、遠田孝一(MMJ)、浅井千瑞(MMJ)☆番組HP  　http://www.tv-asahi.co.jp/toshidensetsu/</t>
  </si>
  <si>
    <t>月子の脳裏をかすめたのは…、「魔女として追われたフリッグが、13日の金曜日に悪事をはたらいた」という都市伝説。奥多摩のキャンプ場で、被害者が魔女フリッグに殺されてしまったのだと推理した月子は、またしても鑑識係の勝浦洋人(溝端淳平)を巻き込み、証拠を探そうとする。</t>
  </si>
  <si>
    <t>番組名都市伝説の女　#4</t>
  </si>
  <si>
    <t>被害者が握っていた五百円札が、三億円事件で盗まれた紙幣のうちの1枚かもしれない!月子(長澤まさみ)の脳裏に三億円事件の都市伝説がよぎる。その矢先に資産家が病死してしまう。非科学事件捜査班が捜査を進めると、資産家と三億円事件を結ぶ“かもしれない”事実が明るみにでて…!長澤まさみ、溝端淳平、竹中直人、平山浩行、大久保佳代子、高月彩良、秋月成美、宅間孝行、伊武雅刀    【第4話ゲスト】  市川由衣、瀬奈じゅん倉持裕池頼広星野和成(MMJ)Perfume『Sweet Refrain』(ユニバーサルJ)    ◇オープニングテーマ曲  LUNA SEA『乱』(ユニバーサルJ)【プロデューサー】  横地郁英(テレビ朝日)、遠田孝一(MMJ)、浅井千瑞(MMJ)☆番組HP  　http://www.tv-asahi.co.jp/toshidensetsu/</t>
  </si>
  <si>
    <t>被害者が握っていた五百円札が、三億円事件で盗まれた紙幣のうちの1枚かもしれない!月子(長澤まさみ)の脳裏に三億円事件の都市伝説がよぎる。その矢先に資産家が病死してしまう。非科学事件捜査班が捜査を進めると、資産家と三億円事件を結ぶ“かもしれない”事実が明るみにでて…!</t>
  </si>
  <si>
    <t>番組名都市伝説の女　#5</t>
  </si>
  <si>
    <t>過去にトイレで自殺した生徒の霊が事件に関係している!月子(長澤まさみ)は、被害者のアイドルは「トイレの花子さんに呪い殺された」と確信。月子は捜査のため学校を訪れるが、ありえない光景を目撃してしまう!窓から室内を覗く、花子さんとしか思えないおかっぱ頭の女の子の姿をーー。長澤まさみ、溝端淳平、竹中直人、平山浩行、大久保佳代子、高月彩良、秋月成美    【第5話ゲスト】  安達祐実、清水富美加、上間美緒 ほか奥山雄太池頼広秋山純(テレビ朝日)Perfume『Sweet Refrain』(ユニバーサルJ)    ◇オープニングテーマ曲  LUNA SEA『乱』(ユニバーサルJ)【プロデューサー】  横地郁英(テレビ朝日)、遠田孝一(MMJ)、浅井千瑞(MMJ)☆番組HP  　http://www.tv-asahi.co.jp/toshidensetsu/</t>
  </si>
  <si>
    <t>過去にトイレで自殺した生徒の霊が事件に関係している!月子(長澤まさみ)は、被害者のアイドルは「トイレの花子さんに呪い殺された」と確信。月子は捜査のため学校を訪れるが、ありえない光景を目撃してしまう!窓から室内を覗く、花子さんとしか思えないおかっぱ頭の女の子の姿をーー。</t>
  </si>
  <si>
    <t>番組名都市伝説の女　#6</t>
  </si>
  <si>
    <t>浴槽で感電死した教授…壁には犯行声明が!教授が最後に残したメール「これより先の領域に触れてはならない…」人間の感情を持つロボット開発に成功し自殺をしたロシアの科学者ボリコフが全く同じ遺書を残していた。そんな都市伝説から月子は、教授は自ら開発した人造人間に殺された…と!長澤まさみ、溝端淳平、竹中直人、平山浩行、大久保佳代子、高月彩良、秋月成美    【第6話ゲスト】  浅見れいな、大鶴義丹、矢柴俊博 ほか渡辺雄介池頼広小松隆志(MMJ)Perfume『Sweet Refrain』(ユニバーサルJ)    ◇オープニングテーマ曲  LUNA SEA『乱』(ユニバーサルJ)【プロデューサー】  横地郁英(テレビ朝日)、遠田孝一(MMJ)、浅井千瑞(MMJ)☆番組HP  　http://www.tv-asahi.co.jp/toshidensetsu/</t>
  </si>
  <si>
    <t>浴槽で感電死した教授…壁には犯行声明が!教授が最後に残したメール「これより先の領域に触れてはならない…」人間の感情を持つロボット開発に成功し自殺をしたロシアの科学者ボリコフが全く同じ遺書を残していた。そんな都市伝説から月子は、教授は自ら開発した人造人間に殺された…と!</t>
  </si>
  <si>
    <t>番組名都市伝説の女　#7</t>
  </si>
  <si>
    <t>ドラキュラ!?被害者の首筋に赤い点が2つあり本来なら頸動脈から大量の出血があるはず…。しかし現場には一滴の血も残されていなかった。さらに楽屋に死んだはずの女優が現れる。一方、警視総監・武(伊武雅刀)に呼び出された丹内(竹中直人)は、月子に関する“内密の話”を打ち明けられて…長澤まさみ、溝端淳平、竹中直人、平山浩行、大久保佳代子、高月彩良、秋月成美、伊武雅刀    【最終回ゲスト】  高嶋政宏、小沢真珠、東風万智子、オダギリジョー ほか福田雄一池頼広塚本連平Perfume『Sweet Refrain』(ユニバーサルJ)    ◇オープニングテーマ曲  LUNA SEA『乱』(ユニバーサルJ)【プロデューサー】  横地郁英(テレビ朝日)、遠田孝一(MMJ)、浅井千瑞(MMJ)☆番組HP  　http://www.tv-asahi.co.jp/toshidensetsu/</t>
  </si>
  <si>
    <t>ドラキュラ!?被害者の首筋に赤い点が2つあり本来なら頸動脈から大量の出血があるはず…。しかし現場には一滴の血も残されていなかった。さらに楽屋に死んだはずの女優が現れる。一方、警視総監・武(伊武雅刀)に呼び出された丹内(竹中直人)は、月子に関する“内密の話”を打ち明けられて…</t>
  </si>
  <si>
    <t>1307_EX_木21</t>
  </si>
  <si>
    <t>DOCTORS2</t>
  </si>
  <si>
    <t>番組名DOCTORS 2 最強の名医　#1</t>
  </si>
  <si>
    <t>院長・たまき(野際陽子)が森山(高嶋政伸)を新院長に指名。森山の人格に不信感を抱く和枝(伊藤蘭)たちは動揺を隠せない。その頃、森山が手術を行った患者の容体が芳しくなく、その娘・美由紀は森山の態度に不信感を抱く。そんな中、相良は“ある計画”を実行しようとする-沢村一樹、高嶋政伸、比嘉愛未、黒川智花、宮地雅子、正名僕蔵、滝沢沙織、敦士、斉藤陽一郎、尾崎右宗、阿南敦子、藤原令子/小野武彦、伊藤蘭、野際陽子福田靖本橋圭太B’z『ユートピア』(VERMILLION RECORDS)  ※「B’z The Best XXV 1999-2012」収録【ゼネラルプロデューサー】黒田徹也(テレビ朝日)  【プロデューサー】三輪祐見子(テレビ朝日)、松野千鶴子(アズバーズ)☆番組HP  　http://www.tv-asahi.co.jp/doctors/</t>
  </si>
  <si>
    <t>院長・たまき(野際陽子)が森山(高嶋政伸)を新院長に指名。森山の人格に不信感を抱く和枝(伊藤蘭)たちは動揺を隠せない。その頃、森山が手術を行った患者の容体が芳しくなく、その娘・美由紀は森山の態度に不信感を抱く。そんな中、相良は“ある計画”を実行しようとする-</t>
  </si>
  <si>
    <t>番組名DOCTORS 2 最強の名医　#2</t>
  </si>
  <si>
    <t>沢村一樹、高嶋政伸、比嘉愛未、黒川智花、宮地雅子、正名僕蔵、滝沢沙織、敦士、斉藤陽一郎、尾崎右宗、阿南敦子、藤原令子/小野武彦、伊藤蘭、野際陽子福田靖本橋圭太B’z『ユートピア』(VERMILLION RECORDS)  ※「B’z The Best XXV 1999-2012」収録【ゼネラルプロデューサー】黒田徹也(テレビ朝日)  【プロデューサー】三輪祐見子(テレビ朝日)、松野千鶴子(アズバーズ)☆番組HP  　http://www.tv-asahi.co.jp/doctors/</t>
  </si>
  <si>
    <t>番組名DOCTORS 2 最強の名医　#3</t>
  </si>
  <si>
    <t>番組名DOCTORS 2 最強の名医　#4</t>
  </si>
  <si>
    <t>沢村一樹、高嶋政伸、比嘉愛未、黒川智花、宮地雅子、正名僕蔵、滝沢沙織、敦士、斉藤陽一郎、尾崎右宗、阿南敦子、藤原令子/小野武彦、伊藤蘭、野際陽子(他)福田靖猪原達三B’z『ユートピア』(VERMILLION RECORDS)  ※「B’z The Best XXV 1999-2012」収録【ゼネラルプロデューサー】黒田徹也(テレビ朝日)  【プロデューサー】三輪祐見子(テレビ朝日)、松野千鶴子(アズバーズ)☆番組HP  　http://www.tv-asahi.co.jp/doctors/</t>
  </si>
  <si>
    <t>番組名DOCTORS 2 最強の名医　#5</t>
  </si>
  <si>
    <t>沢村一樹、高嶋政伸、比嘉愛未、黒川智花、宮地雅子、正名僕蔵、滝沢沙織、敦士、斉藤陽一郎、尾崎右宗、阿南敦子、藤原令子/小野武彦、伊藤蘭、野際陽子福田靖猪原達三B’z『ユートピア』(VERMILLION RECORDS)  ※「B’z The Best XXV 1999-2012」収録【ゼネラルプロデューサー】黒田徹也(テレビ朝日)  【プロデューサー】三輪祐見子(テレビ朝日)、松野千鶴子(アズバーズ)☆番組HP  　http://www.tv-asahi.co.jp/doctors/</t>
  </si>
  <si>
    <t>番組名DOCTORS 2 最強の名医　#6</t>
  </si>
  <si>
    <t>番組名DOCTORS 2 最強の名医　#7</t>
  </si>
  <si>
    <t>沢村一樹、高嶋政伸、比嘉愛未、黒川智花、宮地雅子、正名僕蔵、滝沢沙織、敦士、斉藤陽一郎、尾崎右宗、阿南敦子、藤原令子/小野武彦、伊藤蘭、野際陽子福田靖樹下直美B’z『ユートピア』(VERMILLION RECORDS)  ※「B’z The Best XXV 1999-2012」収録【ゼネラルプロデューサー】黒田徹也(テレビ朝日)  【プロデューサー】三輪祐見子(テレビ朝日)、松野千鶴子(アズバーズ)☆番組HP  　http://www.tv-asahi.co.jp/doctors/</t>
  </si>
  <si>
    <t>番組名DOCTORS 2 最強の名医　#8</t>
  </si>
  <si>
    <t>番組名DOCTORS 2 最強の名医　#9</t>
  </si>
  <si>
    <t>1304_EX_水21</t>
  </si>
  <si>
    <t>番組名遺留捜査　#1</t>
  </si>
  <si>
    <t>撮影所で爆発が起こり、フリー記者の死体が見つかった。被害者が持っていたハーモニカが気になる糸村(上川隆也)は捜査一課から来た森田(西村雅彦)に睨まれながらもハーモニカにこだわり続ける…。そして、改めてハーモニカを観察した時、そこから事件の思わぬ側面を見出す!上川隆也、斉藤由貴、八嶋智人、岡田義徳、正名僕蔵、眞島秀和、波岡一喜、甲本雅裕、西村雅彦、三宅裕司    【ゲスト】  若村麻由美、高岡早紀、小市慢太郎、山下規介、尾高杏奈、小木茂光(他)大石哲也長谷川康小田和正『やさしい風が吹いたら』(アリオラジャパン)【チーフプロデューサー】佐藤凉一(テレビ朝日)  【プロデューサー】三輪祐見子(テレビ朝日)、丸山真哉(東映)、和佐野健一(東映)☆番組HP  　http://www.tv-asahi.co.jp/iryu/</t>
  </si>
  <si>
    <t>撮影所で爆発が起こり、フリー記者の死体が見つかった。被害者が持っていたハーモニカが気になる糸村(上川隆也)は捜査一課から来た森田(西村雅彦)に睨まれながらもハーモニカにこだわり続ける…。そして、改めてハーモニカを観察した時、そこから事件の思わぬ側面を見出す!</t>
  </si>
  <si>
    <t>上川隆也、斉藤由貴、正名僕蔵、眞島秀和、波岡一喜、甲本雅裕、西村雅彦、三宅裕司    【ゲスト】  高岡早紀、斎藤歩、逢沢りな、大浦龍宇一、小木茂光(他)大石哲也長谷川康小田和正『やさしい風が吹いたら』(アリオラジャパン)【チーフプロデューサー】佐藤凉一(テレビ朝日)  【プロデューサー】三輪祐見子(テレビ朝日)、丸山真哉(東映)、和佐野健一(東映)☆番組HP  　http://www.tv-asahi.co.jp/iryu/</t>
  </si>
  <si>
    <t>上川隆也、斉藤由貴、正名僕蔵、眞島秀和、波岡一喜、甲本雅裕、西村雅彦、三宅裕司    【ゲスト】  小林涼子、山田明郷、松浦佐知子、松本若菜、和泉崇司、勝部演之(他)池上純哉七高剛小田和正『やさしい風が吹いたら』(アリオラジャパン)【チーフプロデューサー】佐藤凉一(テレビ朝日)  【プロデューサー】三輪祐見子(テレビ朝日)、丸山真哉(東映)、和佐野健一(東映)☆番組HP  　http://www.tv-asahi.co.jp/iryu/</t>
  </si>
  <si>
    <t>上川隆也、斉藤由貴、正名僕蔵、眞島秀和、波岡一喜、甲本雅裕、西村雅彦、三宅裕司    【ゲスト】  黄川田将也、北見敏之、荒井萌、少路勇介、森脇英理子(他)大石哲也七高剛小田和正『やさしい風が吹いたら』(アリオラジャパン)【チーフプロデューサー】佐藤凉一(テレビ朝日)  【プロデューサー】三輪祐見子(テレビ朝日)、丸山真哉(東映)、和佐野健一(東映)☆番組HP  　http://www.tv-asahi.co.jp/iryu/</t>
  </si>
  <si>
    <t>上川隆也、斉藤由貴、正名僕蔵、眞島秀和、波岡一喜、甲本雅裕、西村雅彦、三宅裕司    【ゲスト】  矢田亜希子、吉田羊、堀内正美、姿晴香、累央、山口美也子、山崎大輔(他)大石哲也長谷川康小田和正『やさしい風が吹いたら』(アリオラジャパン)【チーフプロデューサー】佐藤凉一(テレビ朝日)  【プロデューサー】三輪祐見子(テレビ朝日)、丸山真哉(東映)、和佐野健一(東映)☆番組HP  　http://www.tv-asahi.co.jp/iryu/</t>
  </si>
  <si>
    <t>上川隆也、斉藤由貴、正名僕蔵、眞島秀和、波岡一喜、甲本雅裕、西村雅彦、三宅裕司    【ゲスト】  浅見れいな、佐藤祐基、藤本哉汰、RIKIYA、モロ師岡(他)池上純哉長谷川康小田和正『やさしい風が吹いたら』(アリオラジャパン)【チーフプロデューサー】佐藤凉一(テレビ朝日)  【プロデューサー】三輪祐見子(テレビ朝日)、丸山真哉(東映)、和佐野健一(東映)☆番組HP  　http://www.tv-asahi.co.jp/iryu/</t>
  </si>
  <si>
    <t>上川隆也、斉藤由貴、正名僕蔵、眞島秀和、波岡一喜、甲本雅裕、西村雅彦、三宅裕司    【ゲスト】  岡田浩暉、岩佐真悠子、中島ひろ子、奥田達士、松田賢二、山本學(他)田中孝治高橋浩小田和正『やさしい風が吹いたら』(アリオラジャパン)【チーフプロデューサー】佐藤凉一(テレビ朝日)  【プロデューサー】三輪祐見子(テレビ朝日)、丸山真哉(東映)、和佐野健一(東映)☆番組HP  　http://www.tv-asahi.co.jp/iryu/</t>
  </si>
  <si>
    <t>上川隆也、斉藤由貴、正名僕蔵、眞島秀和、波岡一喜、甲本雅裕、西村雅彦、三宅裕司    【ゲスト】  鈴木浩介、酒井美紀、河相我聞、石井萌々果、小木茂光、中原丈雄(他)大石哲也七高剛小田和正『やさしい風が吹いたら』(アリオラジャパン)【チーフプロデューサー】佐藤凉一(テレビ朝日)  【プロデューサー】三輪祐見子(テレビ朝日)、丸山真哉(東映)、和佐野健一(東映)☆番組HP  　http://www.tv-asahi.co.jp/iryu/</t>
  </si>
  <si>
    <t>1304_EX_木20</t>
  </si>
  <si>
    <t>番組名刑事110キロ　#1</t>
  </si>
  <si>
    <t>第1話には、特別ゲストとして市原悦子が出演!新米刑事・花沢が初めて担当する事件の重要参考人として、訳ありの助産師を演じる!    　殺人事件発生!捜査一課の錦織(高畑淳子)と木内(中村俊介)は容疑者の母(市原悦子)の自宅の張り込みを開始!　そこへ突然、たっぷり太った警官がその家の前まで全速力で疾走してきて、不意に中に入っていったからビックリ!その警官・花沢太郎(石塚英彦)は下着泥棒を追いかけていた途中で、のどが渇いて水を一杯もらうために、たまたまその家に立ち寄ったのだが…!?花沢太郎…石塚英彦  木内光義…中村俊介  権田千夏…星野真里  鬼久保巌…石丸謙二郎  林弘太郎…陳内将  鈴春…石井トミコ  木内菜穂子…井上和香  白石あかね…竹下景子  錦織玲子…高畑淳子    【特別ゲスト】  市原悦子石原武龍黒沢直輔【主題歌】  徳永英明『STATEMENT』(ユニバーサル シグマ)    【音楽】  沢田完【ゼネラルプロデューサー】井土隆(テレビ朝日)  【プロデューサー】川島誠史(テレビ朝日)、河瀬光(東映)、横塚孝弘(東映)☆番組HP  　http://www.tv-asahi.co.jp/110kg/</t>
  </si>
  <si>
    <t>第1話には、特別ゲストとして市原悦子が出演!新米刑事・花沢が初めて担当する事件の重要参考人として、訳ありの助産師を演じる!    　殺人事件発生!捜査一課の錦織(高畑淳子)と木内(中村俊介)は容疑者の母(市原悦子)の自宅の張り込みを開始!　そこへ突然、たっぷり太った警官がその家の前まで全速力で疾走してきて、不意に中に入っていったからビックリ!その警官・花沢太郎(石塚英彦)は下着泥棒を追いかけていた途中で、のどが渇いて水を一杯もらうために、たまたまその家に立ち寄ったのだが…!?</t>
  </si>
  <si>
    <t>京都の町で人気のおまわりさんが、ある日突然、刑事に!?石塚英彦が、20年の交番勤務で培った洞察力と人間観察力を生かして難事件に挑む、“規格外”の刑事を演じる!花沢太郎…石塚英彦  木内光義…中村俊介  権田千夏…星野真里  鬼久保巌…石丸謙二郎  林弘太郎…陳内将  鈴春…石井トミコ  木内菜穂子…井上和香  白石あかね…竹下景子  錦織玲子…高畑淳子    【ゲスト】  羽場裕一、高野志穂、本田博太郎 ほか石原武龍黒沢直輔【主題歌】  徳永英明『STATEMENT』(ユニバーサル シグマ)    【音楽】  沢田完【ゼネラルプロデューサー】井土隆(テレビ朝日)  【プロデューサー】川島誠史(テレビ朝日)、河瀬光(東映)、横塚孝弘(東映)☆番組HP  　http://www.tv-asahi.co.jp/110kg/</t>
  </si>
  <si>
    <t>京都の町で人気のおまわりさんが、ある日突然、刑事に!?石塚英彦が、20年の交番勤務で培った洞察力と人間観察力を生かして難事件に挑む、“規格外”の刑事を演じる!</t>
  </si>
  <si>
    <t>敵対する一係によって取調室に連行される錦織…。さらに、人気キャスター(東ちづる)がニュース番組を通じて、錦織を名指しで糾弾する事態に!絶体絶命の危機に直面した“特別班”は、花沢の発案で、ある大胆な作戦を立てる!京都の町で人気のおまわりさんが、ある日突然、刑事に!?石塚英彦が、20年の交番勤務で培った洞察力と人間観察力を生かして難事件に挑む、“規格外”の刑事を演じる!花沢太郎…石塚英彦  木内光義…中村俊介  権田千夏…星野真里  鬼久保巌…石丸謙二郎  林弘太郎…陳内将  鈴春…石井トミコ  木内菜穂子…井上和香  白石あかね…竹下景子  錦織玲子…高畑淳子    【ゲスト】  東ちづる、三浦浩一、嶋田久作石原武龍石川一郎【主題歌】  徳永英明『STATEMENT』(ユニバーサル シグマ)    【音楽】  沢田完【ゼネラルプロデューサー】井土隆(テレビ朝日)  【プロデューサー】川島誠史(テレビ朝日)、河瀬光(東映)、横塚孝弘(東映)☆番組HP  　http://www.tv-asahi.co.jp/110kg/</t>
  </si>
  <si>
    <t>敵対する一係によって取調室に連行される錦織…。さらに、人気キャスター(東ちづる)がニュース番組を通じて、錦織を名指しで糾弾する事態に!絶体絶命の危機に直面した“特別班”は、花沢の発案で、ある大胆な作戦を立てる!京都の町で人気のおまわりさんが、ある日突然、刑事に!?石塚英彦が、20年の交番勤務で培った洞察力と人間観察力を生かして難事件に挑む、“規格外”の刑事を演じる!</t>
  </si>
  <si>
    <t>京都の大学で教授が殺害された!権田刑事(星野真里)の母校であるその大学を訪れた花沢(石塚英彦)は、権田の恩師で犯罪心理学の権威である奈良教授(辰巳琢郎)に出会う。犯罪のプロである奈良から事件についての見解を聞くうちに、花沢は奈良の話のある矛盾に気付き…!京都の町で人気のおまわりさんが、ある日突然、刑事に!?石塚英彦が、20年の交番勤務で培った洞察力と人間観察力を生かして難事件に挑む、“規格外”の刑事を演じる!花沢太郎…石塚英彦  木内光義…中村俊介  権田千夏…星野真里  鬼久保巌…石丸謙二郎  林弘太郎…陳内将  鈴春…石井トミコ  木内菜穂子…井上和香  白石あかね…竹下景子  錦織玲子…高畑淳子    【ゲスト】  辰巳琢郎、舟木幸 ほか徳永友一石川一郎【主題歌】  徳永英明『STATEMENT』(ユニバーサル シグマ)    【音楽】  沢田完【ゼネラルプロデューサー】井土隆(テレビ朝日)  【プロデューサー】川島誠史(テレビ朝日)、河瀬光(東映)、横塚孝弘(東映)☆番組HP  　http://www.tv-asahi.co.jp/110kg/</t>
  </si>
  <si>
    <t>京都の大学で教授が殺害された!権田刑事(星野真里)の母校であるその大学を訪れた花沢(石塚英彦)は、権田の恩師で犯罪心理学の権威である奈良教授(辰巳琢郎)に出会う。犯罪のプロである奈良から事件についての見解を聞くうちに、花沢は奈良の話のある矛盾に気付き…!京都の町で人気のおまわりさんが、ある日突然、刑事に!?石塚英彦が、20年の交番勤務で培った洞察力と人間観察力を生かして難事件に挑む、“規格外”の刑事を演じる!</t>
  </si>
  <si>
    <t>ビルの上から自殺を図る一人の少女(小池里奈)。自殺を止めるため、花沢らが少女の指示する場所へ行くと、ホームレス襲撃に始まり、ライフル銃撃事件など、次々と事件が巻き起こる!やがて誰かに訴えるように切々と歌い出す少女。その歌が、それらの事件を一つに繋いでいき…!?京都の町で人気のおまわりさんが、ある日突然、刑事に!?石塚英彦が、20年の交番勤務で培った洞察力と人間観察力を生かして難事件に挑む、“規格外”の刑事を演じる!花沢太郎…石塚英彦  木内光義…中村俊介  権田千夏…星野真里  鬼久保巌…石丸謙二郎  林弘太郎…陳内将  鈴春…石井トミコ  木内菜穂子…井上和香  白石あかね…竹下景子  錦織玲子…高畑淳子    【ゲスト】  小池里奈、井之脇海(他)尾西兼一黒沢直輔【主題歌】  徳永英明『STATEMENT』(ユニバーサル シグマ)    【音楽】  沢田完【ゼネラルプロデューサー】井土隆(テレビ朝日)  【プロデューサー】川島誠史(テレビ朝日)、河瀬光(東映)、横塚孝弘(東映)☆番組HP  　http://www.tv-asahi.co.jp/110kg/</t>
  </si>
  <si>
    <t>ビルの上から自殺を図る一人の少女(小池里奈)。自殺を止めるため、花沢らが少女の指示する場所へ行くと、ホームレス襲撃に始まり、ライフル銃撃事件など、次々と事件が巻き起こる!やがて誰かに訴えるように切々と歌い出す少女。その歌が、それらの事件を一つに繋いでいき…!?京都の町で人気のおまわりさんが、ある日突然、刑事に!?石塚英彦が、20年の交番勤務で培った洞察力と人間観察力を生かして難事件に挑む、“規格外”の刑事を演じる!</t>
  </si>
  <si>
    <t>番組名刑事110キロ　#6</t>
  </si>
  <si>
    <t>その後起きた殺人事件で、被害者の男が“空き巣のハチ”と同じ刑務所に服役していたことが分かる。さらに現場からハチの指紋も採取されたことから、ハチは容疑者として取り調べを受けることに。だが花沢は彼の「大丈夫、大丈夫」という口癖が気になって…?京都の町で人気のおまわりさんが、ある日突然、刑事に!?石塚英彦が、20年の交番勤務で培った洞察力と人間観察力を生かして難事件に挑む、“規格外”の刑事を演じる!花沢太郎…石塚英彦  木内光義…中村俊介  権田千夏…星野真里  鬼久保巌…石丸謙二郎  林弘太郎…陳内将  鈴春…石井トミコ  木内菜穂子…井上和香  白石あかね…竹下景子  錦織玲子…高畑淳子    【ゲスト】  ミッキー・カーチス、高橋和也中村由加里黒沢直輔【主題歌】  徳永英明『STATEMENT』(ユニバーサル シグマ)    【音楽】  沢田完【ゼネラルプロデューサー】井土隆(テレビ朝日)  【プロデューサー】川島誠史(テレビ朝日)、河瀬光(東映)、横塚孝弘(東映)☆番組HP  　http://www.tv-asahi.co.jp/110kg/</t>
  </si>
  <si>
    <t>その後起きた殺人事件で、被害者の男が“空き巣のハチ”と同じ刑務所に服役していたことが分かる。さらに現場からハチの指紋も採取されたことから、ハチは容疑者として取り調べを受けることに。だが花沢は彼の「大丈夫、大丈夫」という口癖が気になって…?京都の町で人気のおまわりさんが、ある日突然、刑事に!?石塚英彦が、20年の交番勤務で培った洞察力と人間観察力を生かして難事件に挑む、“規格外”の刑事を演じる!</t>
  </si>
  <si>
    <t>番組名刑事110キロ　#7</t>
  </si>
  <si>
    <t>花沢は、木内(中村俊介)の家族旅行に便乗して訪れた村で、立てこもり事件に遭遇!人質となったのは木内の妻(井上和香)とその子供たち。とっさに犯人を銃殺したのは、花沢とは旧知の仲である村の駐在警察官(鶴見辰吾)だったが…。のどかな村で起こった銃殺事件は意外な展開を迎える!京都の町で人気のおまわりさんが、ある日突然、刑事に!?石塚英彦が、20年の交番勤務で培った洞察力と人間観察力を生かして難事件に挑む、“規格外”の刑事を演じる!花沢太郎…石塚英彦  木内光義…中村俊介  権田千夏…星野真里  鬼久保巌…石丸謙二郎  林弘太郎…陳内将  鈴春…石井トミコ  木内菜穂子…井上和香  白石あかね…竹下景子  錦織玲子…高畑淳子    【ゲスト】  鶴見辰吾、佐野和真 ほか尾西兼一石川一郎【主題歌】  徳永英明『STATEMENT』(ユニバーサル シグマ)    【音楽】  沢田完【ゼネラルプロデューサー】井土隆(テレビ朝日)  【プロデューサー】川島誠史(テレビ朝日)、河瀬光(東映)、横塚孝弘(東映)☆番組HP  　http://www.tv-asahi.co.jp/110kg/</t>
  </si>
  <si>
    <t>花沢は、木内(中村俊介)の家族旅行に便乗して訪れた村で、立てこもり事件に遭遇!人質となったのは木内の妻(井上和香)とその子供たち。とっさに犯人を銃殺したのは、花沢とは旧知の仲である村の駐在警察官(鶴見辰吾)だったが…。のどかな村で起こった銃殺事件は意外な展開を迎える!京都の町で人気のおまわりさんが、ある日突然、刑事に!?石塚英彦が、20年の交番勤務で培った洞察力と人間観察力を生かして難事件に挑む、“規格外”の刑事を演じる!</t>
  </si>
  <si>
    <t>番組名刑事110キロ　#8</t>
  </si>
  <si>
    <t>花沢(石塚英彦)が小鍋屋で出会った無銭飲食の男(梶原善)。女将のあかね(竹下景子)の計らいで、花沢が逮捕をためらったその男が、強盗殺人を…!?その捜査をきっかけに、15年前にあかねが犯した殺人が冤罪だった可能性が浮上!いよいよ衝撃の真実が明らかに…!?京都の町で人気のおまわりさんが、ある日突然、刑事に!?石塚英彦が、20年の交番勤務で培った洞察力と人間観察力を生かして難事件に挑む、“規格外”の刑事を演じる!花沢太郎…石塚英彦  木内光義…中村俊介  権田千夏…星野真里  鬼久保巌…石丸謙二郎  林弘太郎…陳内将  鈴春…石井トミコ  木内菜穂子…井上和香  白石あかね…竹下景子  錦織玲子…高畑淳子    【最終回ゲスト】  梶原善、中原果南、嶋田久作　ほか石原武龍石川一郎【主題歌】  徳永英明『STATEMENT』(ユニバーサル シグマ)    【音楽】  沢田完【ゼネラルプロデューサー】井土隆(テレビ朝日)  【プロデューサー】川島誠史(テレビ朝日)、河瀬光(東映)、横塚孝弘(東映)☆番組HP  　http://www.tv-asahi.co.jp/110kg/</t>
  </si>
  <si>
    <t>花沢(石塚英彦)が小鍋屋で出会った無銭飲食の男(梶原善)。女将のあかね(竹下景子)の計らいで、花沢が逮捕をためらったその男が、強盗殺人を…!?その捜査をきっかけに、15年前にあかねが犯した殺人が冤罪だった可能性が浮上!いよいよ衝撃の真実が明らかに…!?京都の町で人気のおまわりさんが、ある日突然、刑事に!?石塚英彦が、20年の交番勤務で培った洞察力と人間観察力を生かして難事件に挑む、“規格外”の刑事を演じる!</t>
  </si>
  <si>
    <t>1304_EX_金23</t>
  </si>
  <si>
    <t>お天気お姉さん</t>
  </si>
  <si>
    <t>番組名お天気お姉さん　#1</t>
  </si>
  <si>
    <t>雨の日に起きている4件の連続放火事件!  新人刑事の豪太は、通りがかりのライターを持った男に職務質問をかけていた。だが豪太の前に不思議な女が現れ告げる。  「犯人はその人じゃありません」  女は驚くべき“犯人の名前”を告げる!  気象学により、様々な衝撃トリックを暴いていく!武井咲、大倉忠義(関ジャニ∞)、佐々木希、笛木優子、丸山智己、壇蜜、内藤理沙、野村麻純、高知東生、佐々木蔵之介大石静片山修(テレビ朝日)関ジャニ∞『へそ曲がり』(テイチクエンタテインメント)【ゼネラルプロデューサー】内山聖子(テレビ朝日)  【プロデューサー】中川慎子(テレビ朝日)、山本喜彦(MMJ)☆番組HP  　http://www.tv-asahi.co.jp/otenki/</t>
  </si>
  <si>
    <t>雨の日に起きている4件の連続放火事件!  新人刑事の豪太は、通りがかりのライターを持った男に職務質問をかけていた。だが豪太の前に不思議な女が現れ告げる。  「犯人はその人じゃありません」  女は驚くべき“犯人の名前”を告げる!  気象学により、様々な衝撃トリックを暴いていく!</t>
  </si>
  <si>
    <t>番組名お天気お姉さん　#2</t>
  </si>
  <si>
    <t>永遠の愛を手にできる、と言われるパワースポットを訪れた直後に自殺した夫!夫の自殺は不倫と横領に悩んだ末のものなのか?  パワースポットを訪れた晴子(武井咲)と豪太(大倉忠義)は驚くべき妖怪に遭遇する!?晴子と豪太の身に危機が・・・武井咲、大倉忠義(関ジャニ∞)、佐々木希、笛木優子、丸山智己、壇蜜、内藤理沙、野村麻純、高知東生、佐々木蔵之介大石静片山修(テレビ朝日)関ジャニ∞『へそ曲がり』(テイチクエンタテインメント)【ゼネラルプロデューサー】内山聖子(テレビ朝日)  【プロデューサー】中川慎子(テレビ朝日)、山本喜彦(MMJ)☆番組HP  　http://www.tv-asahi.co.jp/otenki/</t>
  </si>
  <si>
    <t>永遠の愛を手にできる、と言われるパワースポットを訪れた直後に自殺した夫!夫の自殺は不倫と横領に悩んだ末のものなのか?  パワースポットを訪れた晴子(武井咲)と豪太(大倉忠義)は驚くべき妖怪に遭遇する!?晴子と豪太の身に危機が・・・</t>
  </si>
  <si>
    <t>番組名お天気お姉さん　#3</t>
  </si>
  <si>
    <t>ストーカーの存在に怯える女性の周りで連続放火事件発生!だが女性は一向に被害届を出そうとしない…。被害届を出させたい豪太は晴子とともに真相究明に!茜にも謎の男から頻繁に連絡が…。身に覚えのない男の存在に不安と恐怖を募らせる。巧妙に仕掛けられたトリックとは!?武井咲、大倉忠義(関ジャニ∞)、佐々木希、笛木優子、丸山智己、壇蜜、内藤理沙、野村麻純、高知東生、佐々木蔵之介大石静田村直己(テレビ朝日)関ジャニ∞『へそ曲がり』(テイチクエンタテインメント)【ゼネラルプロデューサー】内山聖子(テレビ朝日)  【プロデューサー】中川慎子(テレビ朝日)、山本喜彦(MMJ)☆番組HP  　http://www.tv-asahi.co.jp/otenki/</t>
  </si>
  <si>
    <t>ストーカーの存在に怯える女性の周りで連続放火事件発生!だが女性は一向に被害届を出そうとしない…。被害届を出させたい豪太は晴子とともに真相究明に!茜にも謎の男から頻繁に連絡が…。身に覚えのない男の存在に不安と恐怖を募らせる。巧妙に仕掛けられたトリックとは!?</t>
  </si>
  <si>
    <t>番組名お天気お姉さん　#4</t>
  </si>
  <si>
    <t>ある病院の屋上で元大リーガーの間瀬が死亡。周囲に高い建物はなく、屋上へ飛び降りることが不可能と思われたが、検死の結果、死因は転落死と判断される。晴子(武井咲)が説明するダストデビル現象を信じ、捜査に来た豪太(大倉忠義)だったが…。衝撃の事実が発覚する!!武井咲、大倉忠義(関ジャニ∞)、佐々木希、笛木優子、丸山智己、壇蜜、内藤理沙、野村麻純、高知東生、佐々木蔵之介大石静田村直己(テレビ朝日)関ジャニ∞『へそ曲がり』(テイチクエンタテインメント)【ゼネラルプロデューサー】内山聖子(テレビ朝日)  【プロデューサー】中川慎子(テレビ朝日)、山本喜彦(MMJ)☆番組HP  　http://www.tv-asahi.co.jp/otenki/</t>
  </si>
  <si>
    <t>ある病院の屋上で元大リーガーの間瀬が死亡。周囲に高い建物はなく、屋上へ飛び降りることが不可能と思われたが、検死の結果、死因は転落死と判断される。晴子(武井咲)が説明するダストデビル現象を信じ、捜査に来た豪太(大倉忠義)だったが…。衝撃の事実が発覚する!!</t>
  </si>
  <si>
    <t>番組名お天気お姉さん　#5</t>
  </si>
  <si>
    <t>豪太(大倉忠義)の恩師が交通事故死する!だが三平(佐々木蔵之介)の検死によると死因は凍死だった…。晴子(武井咲)の話から雨に濡れての凍死を疑う豪太だが、事件当夜、現場付近では雨は降っていなかった!武井咲、大倉忠義(関ジャニ∞)、佐々木希、笛木優子、丸山智己、壇蜜、内藤理沙、野村麻純、高知東生、佐々木蔵之介大石静植田尚(MMJ)関ジャニ∞『へそ曲がり』(テイチクエンタテインメント)【ゼネラルプロデューサー】内山聖子(テレビ朝日)  【プロデューサー】中川慎子(テレビ朝日)、山本喜彦(MMJ)☆番組HP  　http://www.tv-asahi.co.jp/otenki/</t>
  </si>
  <si>
    <t>豪太(大倉忠義)の恩師が交通事故死する!だが三平(佐々木蔵之介)の検死によると死因は凍死だった…。晴子(武井咲)の話から雨に濡れての凍死を疑う豪太だが、事件当夜、現場付近では雨は降っていなかった!</t>
  </si>
  <si>
    <t>番組名お天気お姉さん　#6</t>
  </si>
  <si>
    <t>川で紙幣とナイフが発見され、そのやや上流で男性の刺殺体が発見される!容疑者として浮かび上がったのは、晴子(武井咲)と蜜代(壇蜜)が通うヨガのインストラクター。アリバイ崩しのために現場を訪れた晴子は…?武井咲、大倉忠義(関ジャニ∞)、佐々木希、笛木優子、丸山智己、壇蜜、内藤理沙、野村麻純、高知東生、佐々木蔵之介大石静片山修(テレビ朝日)関ジャニ∞『へそ曲がり』(テイチクエンタテインメント)【ゼネラルプロデューサー】内山聖子(テレビ朝日)  【プロデューサー】中川慎子(テレビ朝日)、山本喜彦(MMJ)☆番組HP  　http://www.tv-asahi.co.jp/otenki/</t>
  </si>
  <si>
    <t>川で紙幣とナイフが発見され、そのやや上流で男性の刺殺体が発見される!容疑者として浮かび上がったのは、晴子(武井咲)と蜜代(壇蜜)が通うヨガのインストラクター。アリバイ崩しのために現場を訪れた晴子は…?</t>
  </si>
  <si>
    <t>番組名お天気お姉さん　#7</t>
  </si>
  <si>
    <t>経済界の大物・園部がトイレの便器で“溺死”!?さらに、局部には火傷の跡が見つかるが、便器の少ない水でどのようにして溺死したのか、疑問に思う…。晴子(武井咲)は現場に行き、どのようにして園部が火傷をしたのかを解明する!一方、風間は茜(佐々木希)を拉致し…!!武井咲、大倉忠義(関ジャニ∞)、佐々木希、笛木優子、丸山智己、壇蜜、内藤理沙、野村麻純、高知東生、佐々木蔵之介大石静田村直己(テレビ朝日)関ジャニ∞『へそ曲がり』(テイチクエンタテインメント)【ゼネラルプロデューサー】内山聖子(テレビ朝日)  【プロデューサー】中川慎子(テレビ朝日)、山本喜彦(MMJ)☆番組HP  　http://www.tv-asahi.co.jp/otenki/</t>
  </si>
  <si>
    <t>経済界の大物・園部がトイレの便器で“溺死”!?さらに、局部には火傷の跡が見つかるが、便器の少ない水でどのようにして溺死したのか、疑問に思う…。晴子(武井咲)は現場に行き、どのようにして園部が火傷をしたのかを解明する!一方、風間は茜(佐々木希)を拉致し…!!</t>
  </si>
  <si>
    <t>番組名お天気お姉さん　#8</t>
  </si>
  <si>
    <t>晴子(武井咲)の活躍が取り沙汰され、豪太(大倉忠義)は上司から晴子に会うことを禁止されてしまう!そんな中、三平(佐々木蔵之介)の同期生が現れ、晴子に行方不明の教え子を探してほしいと依頼を…。すると数日後に、あるマンションの一室からミイラ化した遺体が発見される!武井咲、大倉忠義(関ジャニ∞)、佐々木希、笛木優子、丸山智己、壇蜜、内藤理沙、野村麻純、高知東生、佐々木蔵之介大石静植田尚(MMJ)関ジャニ∞『へそ曲がり』(テイチクエンタテインメント)【ゼネラルプロデューサー】内山聖子(テレビ朝日)  【プロデューサー】中川慎子(テレビ朝日)、山本喜彦(MMJ)☆番組HP  　http://www.tv-asahi.co.jp/otenki/</t>
  </si>
  <si>
    <t>晴子(武井咲)の活躍が取り沙汰され、豪太(大倉忠義)は上司から晴子に会うことを禁止されてしまう!そんな中、三平(佐々木蔵之介)の同期生が現れ、晴子に行方不明の教え子を探してほしいと依頼を…。すると数日後に、あるマンションの一室からミイラ化した遺体が発見される!</t>
  </si>
  <si>
    <t>番組名お天気お姉さん　#9</t>
  </si>
  <si>
    <t>行方不明だった女性が六本木のマンションでミイラ化した遺体となって発見された事件。  誰が彼女を殺したのか?  どうしてミイラになってしまったのか?  女性の行方を捜して欲しいと、依頼してきた天才科学者の本当の目的とは!?  天才気象予報士・安倍晴子が、最後の事件の真相に挑む!!武井咲、大倉忠義(関ジャニ∞)、佐々木希、笛木優子、丸山智己、壇蜜、内藤理沙、野村麻純、高知東生、佐々木蔵之介大石静片山修(テレビ朝日)関ジャニ∞『へそ曲がり』(テイチクエンタテインメント)【ゼネラルプロデューサー】内山聖子(テレビ朝日)  【プロデューサー】中川慎子(テレビ朝日)、山本喜彦(MMJ)☆番組HP  　http://www.tv-asahi.co.jp/otenki/</t>
  </si>
  <si>
    <t>行方不明だった女性が六本木のマンションでミイラ化した遺体となって発見された事件。  誰が彼女を殺したのか?  どうしてミイラになってしまったのか?  女性の行方を捜して欲しいと、依頼してきた天才科学者の本当の目的とは!?  天才気象予報士・安倍晴子が、最後の事件の真相に挑む!!</t>
  </si>
  <si>
    <t>1301_EX_木21</t>
  </si>
  <si>
    <t>おトメさん</t>
  </si>
  <si>
    <t>番組名おトメさん　#1</t>
  </si>
  <si>
    <t>『姑デビューは地獄の始まり』  姑が亡くなり同居から解放された主婦・水沢麻子(黒木瞳)に運命の日が…。息子の優太(郭智博)が結婚し、姑≪トメ≫デビューすることになったのだ。式当日…麻子は嫁・李里香(相武紗季)に優しくしようと心に決めるが、不吉な胸騒ぎを感じ…黒木瞳、相武紗季、石田純一、郭智博、大地康雄、鈴木砂羽、臼田あさ美、冨士眞奈美、奈美悦子、大浦龍宇一、神保悟志井上由美子本橋圭太竹内まりや『たそがれダイアリー』(ワーナーミュージック・ジャパン)  2月20日(水)発売!  本ドラマのために書き下ろした珠玉の一曲♪【ゼネラルプロデューサー】黒田徹也(テレビ朝日)  【プロデューサー】山田兼司(テレビ朝日)、清水真由美(MMJ)☆番組HP  　http://www.tv-asahi.co.jp/otomesan/</t>
  </si>
  <si>
    <t>『姑デビューは地獄の始まり』  姑が亡くなり同居から解放された主婦・水沢麻子(黒木瞳)に運命の日が…。息子の優太(郭智博)が結婚し、姑≪トメ≫デビューすることになったのだ。式当日…麻子は嫁・李里香(相武紗季)に優しくしようと心に決めるが、不吉な胸騒ぎを感じ…</t>
  </si>
  <si>
    <t>番組名おトメさん　#2</t>
  </si>
  <si>
    <t>嫁の衝撃的な過去を掴み、その勢いからさらに大胆な行動へと出ていく麻子。そのころ、麻子たちが暮らす住宅街付近で起きた男性失踪事件を追う刑事・呉竹(大地康雄)は、どういうわけか李里香に目を付け始め…!?黒木瞳、相武紗季、石田純一、郭智博、大地康雄、鈴木砂羽、臼田あさ美、冨士眞奈美、奈美悦子、大浦龍宇一、神保悟志井上由美子本橋圭太竹内まりや『たそがれダイアリー』(ワーナーミュージック・ジャパン)  2月20日(水)発売!  本ドラマのために書き下ろした珠玉の一曲♪【ゼネラルプロデューサー】黒田徹也(テレビ朝日)  【プロデューサー】山田兼司(テレビ朝日)、清水真由美(MMJ)☆番組HP  　http://www.tv-asahi.co.jp/otomesan/</t>
  </si>
  <si>
    <t>嫁の衝撃的な過去を掴み、その勢いからさらに大胆な行動へと出ていく麻子。そのころ、麻子たちが暮らす住宅街付近で起きた男性失踪事件を追う刑事・呉竹(大地康雄)は、どういうわけか李里香に目を付け始め…!?</t>
  </si>
  <si>
    <t>番組名おトメさん　#3</t>
  </si>
  <si>
    <t>嫁の目的は何なのか…!?何とかしなければ!  麻子は李里香の宣戦布告に怯みながらも、立ち向かおうとする。悩んだ挙句、麻子は夫の博行(石田純一)に相談しようと決意。博行の昼休みに、勤務先近くの喫茶店で会う約束をするが、信じがたいショッキングな光景が飛び込んできて…!黒木瞳、相武紗季、石田純一、郭智博、大地康雄、鈴木砂羽、臼田あさ美、冨士眞奈美、奈美悦子、大浦龍宇一、神保悟志井上由美子星野和成(MMJ)竹内まりや『たそがれダイアリー』(ワーナーミュージック・ジャパン)  2月27日(水)発売!  本ドラマのために書き下ろした珠玉の一曲♪【ゼネラルプロデューサー】黒田徹也(テレビ朝日)  【プロデューサー】山田兼司(テレビ朝日)、清水真由美(MMJ)☆番組HP  　http://www.tv-asahi.co.jp/otomesan/</t>
  </si>
  <si>
    <t>嫁の目的は何なのか…!?何とかしなければ!  麻子は李里香の宣戦布告に怯みながらも、立ち向かおうとする。悩んだ挙句、麻子は夫の博行(石田純一)に相談しようと決意。博行の昼休みに、勤務先近くの喫茶店で会う約束をするが、信じがたいショッキングな光景が飛び込んできて…!</t>
  </si>
  <si>
    <t>番組名おトメさん　#4</t>
  </si>
  <si>
    <t>ますます李里香への戦意を燃やしていく麻子。なんとか優太を説得し、離婚を決意させようとする。そんな折、博行が取締役就任に内定。宣伝を手がけた映画が映画祭でグランプリの最有力候補になったことから、社長らを自宅に招きパーティーを開くことに。主婦のプライドをかけて良き妻に徹する麻子だが…。 黒木瞳、相武紗季、石田純一、郭智博、大地康雄、鈴木砂羽、臼田あさ美、冨士眞奈美、奈美悦子、大浦龍宇一、神保悟志 井上由美子 星野和成(MMJ) 竹内まりや『たそがれダイアリー』(ワーナーミュージック・ジャパン)2月27日(水)発売!本ドラマのために書き下ろした珠玉の一曲♪ 【ゼネラルプロデューサー】黒田徹也(テレビ朝日)【プロデューサー】山田兼司(テレビ朝日)、清水真由美(MMJ) ☆番組HP　http://www.tv-asahi.co.jp/otomesan/</t>
  </si>
  <si>
    <t xml:space="preserve">ますます李里香への戦意を燃やしていく麻子。なんとか優太を説得し、離婚を決意させようとする。そんな折、博行が取締役就任に内定。宣伝を手がけた映画が映画祭でグランプリの最有力候補になったことから、社長らを自宅に招きパーティーを開くことに。主婦のプライドをかけて良き妻に徹する麻子だが…。 </t>
  </si>
  <si>
    <t>番組名おトメさん　#5</t>
  </si>
  <si>
    <t>李里香を訪ね、福本のチラシを持った呉竹が水沢家へ。やがて李里香は怪しい行動に出るようになる…。一方、男としての独り立ちを焦る優太のもとにおいしい話が飛び込んでくる。しかし、そこには“無理難題の条件”が待っていた…。その頃、麻子は李里香に現金を渡していた男が何者なのかが気になり…。黒木瞳、相武紗季、石田純一、郭智博、大地康雄、鈴木砂羽、臼田あさ美、冨士眞奈美、奈美悦子、大浦龍宇一、神保悟志井上由美子本橋圭太竹内まりや『たそがれダイアリー』(ワーナーミュージック・ジャパン)  2月27日(水)発売!  本ドラマのために書き下ろした珠玉の一曲♪【ゼネラルプロデューサー】黒田徹也(テレビ朝日)  【プロデューサー】山田兼司(テレビ朝日)、清水真由美(MMJ)☆番組HP  　http://www.tv-asahi.co.jp/otomesan/</t>
  </si>
  <si>
    <t>李里香を訪ね、福本のチラシを持った呉竹が水沢家へ。やがて李里香は怪しい行動に出るようになる…。一方、男としての独り立ちを焦る優太のもとにおいしい話が飛び込んでくる。しかし、そこには“無理難題の条件”が待っていた…。その頃、麻子は李里香に現金を渡していた男が何者なのかが気になり…。</t>
  </si>
  <si>
    <t>番組名おトメさん　#6</t>
  </si>
  <si>
    <t>失踪人の名刺を含む、嫁・李里香(相武紗季)の持ち物が忽然と消えた!それらを嫁の怪しげな正体を暴くための証拠として、夫・博行(石田純一)に見せようとした麻子(黒木瞳)は愕然…。そんなとき李里香は、麻子を海へと誘う。人気のない断崖絶壁の岬で李里香が語ったこととは……! 黒木瞳、相武紗季、石田純一、郭智博、大地康雄、鈴木砂羽、臼田あさ美、冨士眞奈美、奈美悦子、大浦龍宇一、神保悟志 井上由美子 星野和成(MMJ) 竹内まりや『たそがれダイアリー』(ワーナーミュージック・ジャパン)2月27日(水)発売!本ドラマのために書き下ろした珠玉の一曲♪ 【ゼネラルプロデューサー】黒田徹也(テレビ朝日)【プロデューサー】山田兼司(テレビ朝日)、清水真由美(MMJ) ☆番組HP　http://www.tv-asahi.co.jp/otomesan/</t>
  </si>
  <si>
    <t xml:space="preserve">失踪人の名刺を含む、嫁・李里香(相武紗季)の持ち物が忽然と消えた!それらを嫁の怪しげな正体を暴くための証拠として、夫・博行(石田純一)に見せようとした麻子(黒木瞳)は愕然…。そんなとき李里香は、麻子を海へと誘う。人気のない断崖絶壁の岬で李里香が語ったこととは……! </t>
  </si>
  <si>
    <t>番組名おトメさん　#7</t>
  </si>
  <si>
    <t>李里香(相武紗季)の告白で、キャバクラ嬢時代の客だった失踪人の福本章介が勤め先の都庁から横領した金を使って付きまとっていたことが判明。麻子(黒木瞳)は嫁のことを信じようと決意。一方、呉竹たちは福本が殺害されている可能性も考慮して捜査本部を設置。“新たな事件”が始まり…。 黒木瞳、相武紗季、石田純一、郭智博、大地康雄、鈴木砂羽、臼田あさ美、冨士眞奈美、奈美悦子、大浦龍宇一、神保悟志 井上由美子 本橋圭太 竹内まりや『たそがれダイアリー』(ワーナーミュージック・ジャパン)本ドラマのために書き下ろした珠玉の一曲♪ 【ゼネラルプロデューサー】黒田徹也(テレビ朝日)【プロデューサー】山田兼司(テレビ朝日)、清水真由美(MMJ) ☆番組HP　http://www.tv-asahi.co.jp/otomesan/</t>
  </si>
  <si>
    <t xml:space="preserve">李里香(相武紗季)の告白で、キャバクラ嬢時代の客だった失踪人の福本章介が勤め先の都庁から横領した金を使って付きまとっていたことが判明。麻子(黒木瞳)は嫁のことを信じようと決意。一方、呉竹たちは福本が殺害されている可能性も考慮して捜査本部を設置。“新たな事件”が始まり…。 </t>
  </si>
  <si>
    <t>番組名おトメさん　#8</t>
  </si>
  <si>
    <t>刑事・呉竹(大地康雄)は失踪中の都庁職員・福本が億単位の金を横領していた事実を知ることに。捜査本部では福本が入れ揚げていた李里香に金の一部を流しているのではないか…、との見方が浮上。しかし呉竹は納得が行かない。実は、呉竹が李里香を執拗にマークし続けた真意は他にあって…!?黒木瞳、相武紗季、石田純一、郭智博、大地康雄、鈴木砂羽、臼田あさ美、冨士眞奈美、奈美悦子、大浦龍宇一、神保悟志井上由美子星野和成(MMJ)竹内まりや『たそがれダイアリー』(ワーナーミュージック・ジャパン)  本ドラマのために書き下ろした珠玉の一曲♪【ゼネラルプロデューサー】黒田徹也(テレビ朝日)  【プロデューサー】山田兼司(テレビ朝日)、清水真由美(MMJ)☆番組HP  　http://www.tv-asahi.co.jp/otomesan/</t>
  </si>
  <si>
    <t>刑事・呉竹(大地康雄)は失踪中の都庁職員・福本が億単位の金を横領していた事実を知ることに。捜査本部では福本が入れ揚げていた李里香に金の一部を流しているのではないか…、との見方が浮上。しかし呉竹は納得が行かない。実は、呉竹が李里香を執拗にマークし続けた真意は他にあって…!?</t>
  </si>
  <si>
    <t>番組名おトメさん</t>
  </si>
  <si>
    <t>「あなたにこの家をお願いしたいの」ーー。  姑・麻子(黒木瞳)の真意が掴めず、戸惑う李里香。そんな嫁に麻子が告げたのは“知られざる事実”だった!麻子が長年、密かに抱え込んできた“秘密”とは、一体何なのか!?そして、それを知った李里香は…!?黒木瞳、相武紗季、石田純一、郭智博、大地康雄、鈴木砂羽、臼田あさ美、冨士眞奈美、奈美悦子、大浦龍宇一、神保悟志井上由美子本橋圭太竹内まりや『たそがれダイアリー』(ワーナーミュージック・ジャパン)  本ドラマのために書き下ろした珠玉の一曲♪【ゼネラルプロデューサー】黒田徹也(テレビ朝日)  【プロデューサー】山田兼司(テレビ朝日)、清水真由美(MMJ)☆番組HP  　http://www.tv-asahi.co.jp/otomesan/</t>
  </si>
  <si>
    <t>「あなたにこの家をお願いしたいの」ーー。  姑・麻子(黒木瞳)の真意が掴めず、戸惑う李里香。そんな嫁に麻子が告げたのは“知られざる事実”だった!麻子が長年、密かに抱え込んできた“秘密”とは、一体何なのか!?そして、それを知った李里香は…!?</t>
  </si>
  <si>
    <t>1301_EX_金23</t>
  </si>
  <si>
    <t>番組名信長のシェフ　#1</t>
  </si>
  <si>
    <t>最初の料理勝負は、現・信長の専属料理人!  題目は“鴨”!  「負けた方は殺す!」と言い放つ、信長(及川光博)!  だが、この時代にない調味料が多い…  果たしてケン(玉森裕太)はどうするのか!?  その中で、後に信長を裏切る明智光秀(稲垣吾郎)に出会う!玉森裕太(Kis-My-Ft2)、志田未来、ゴリ、宇梶剛士、芦名星、きたろう、香椎由宇、稲垣吾郎≪特別出演≫、及川光博【原作】西村ミツル  【漫画】梶川卓郎『信長のシェフ』(芳文社「週刊漫画TIMES」)深沢正樹兼崎涼介Kis-My-Ft2『MY Resistance-タシカナモノ-』  (avex trax)【ゼネラルプロデューサー】横地郁英(テレビ朝日)  【プロデューサー】大江達樹(テレビ朝日)、島田薫(東映)☆番組HP  　http://www.tv-asahi.co.jp/nobunaga/</t>
  </si>
  <si>
    <t>最初の料理勝負は、現・信長の専属料理人!  題目は“鴨”!  「負けた方は殺す!」と言い放つ、信長(及川光博)!  だが、この時代にない調味料が多い…  果たしてケン(玉森裕太)はどうするのか!?  その中で、後に信長を裏切る明智光秀(稲垣吾郎)に出会う!</t>
  </si>
  <si>
    <t>伊勢の北畠具教攻めに向かう軍に帯同したケン!「明日死ぬかもしれない戦場で、皆が食べたいものとはなんだろう…?」  戦場の壮絶さを目の当たりにしながらも料理で兵士たちの士気を高めていく!そんなケンに信長から「おぬしが戦を終わらせるのじゃ」との命令が…。ケンはどのような料理で戦うのか!?玉森裕太(Kis-My-Ft2)、志田未来、ゴリ、宇梶剛士、芦名星、きたろう、香椎由宇、及川光博【原作】西村ミツル  【漫画】梶川卓郎『信長のシェフ』(芳文社「週刊漫画TIMES」)深沢正樹兼崎涼介Kis-My-Ft2『MY Resistance-タシカナモノ-』  (avex trax)【ゼネラルプロデューサー】横地郁英(テレビ朝日)  【プロデューサー】大江達樹(テレビ朝日)、島田薫(東映)☆番組HP  　http://www.tv-asahi.co.jp/nobunaga/</t>
  </si>
  <si>
    <t>伊勢の北畠具教攻めに向かう軍に帯同したケン!「明日死ぬかもしれない戦場で、皆が食べたいものとはなんだろう…?」  戦場の壮絶さを目の当たりにしながらも料理で兵士たちの士気を高めていく!そんなケンに信長から「おぬしが戦を終わらせるのじゃ」との命令が…。ケンはどのような料理で戦うのか!?</t>
  </si>
  <si>
    <t>伊勢を平定した信長は将軍・足利義昭に会うために京へ…。ケンの料理に魅せられた義昭はケンを自分の料理人にしたいと言い出す!断る信長に激昂した義昭は、無理矢理ケンと夏を拉致し…!?さらにその先には、信長軍の運命を大きく動かすことになる出来事が待ち受けていた…!玉森裕太(Kis-My-Ft2)、志田未来、ゴリ、宇梶剛士、芦名星、きたろう、カンニング竹山、正名僕蔵、香椎由宇、及川光博【原作】西村ミツル  【漫画】梶川卓郎『信長のシェフ』(芳文社「週刊漫画TIMES」)倉持裕田村直己(テレビ朝日)Kis-My-Ft2『MY Resistance-タシカナモノ-』  (avex trax)【ゼネラルプロデューサー】横地郁英(テレビ朝日)  【プロデューサー】大江達樹(テレビ朝日)、島田薫(東映)☆番組HP  　http://www.tv-asahi.co.jp/nobunaga/</t>
  </si>
  <si>
    <t>伊勢を平定した信長は将軍・足利義昭に会うために京へ…。ケンの料理に魅せられた義昭はケンを自分の料理人にしたいと言い出す!断る信長に激昂した義昭は、無理矢理ケンと夏を拉致し…!?さらにその先には、信長軍の運命を大きく動かすことになる出来事が待ち受けていた…!</t>
  </si>
  <si>
    <t>朝倉討伐に出た信長だったが、義弟・浅井長政からまさかの裏切りに遭う!退却を余儀なくされた信長はケンを伴い、岐阜へと戻る!今度は信長に徳川家康裏切り情報が…。  信長は「鯛を使い、家康の心を繋ぎ止める料理を作れ」と、ケンに指示する。その鯛にはある大きな意味が込められていて…玉森裕太(Kis-My-Ft2)、志田未来、ゴリ、宇梶剛士、芦名星、きたろう、カンニング竹山、正名僕蔵、香椎由宇、及川光博【原作】西村ミツル  【漫画】梶川卓郎『信長のシェフ』(芳文社「週刊漫画TIMES」)倉持裕田村直己(テレビ朝日)Kis-My-Ft2『MY Resistance-タシカナモノ-』  (avex trax)【ゼネラルプロデューサー】横地郁英(テレビ朝日)  【プロデューサー】大江達樹(テレビ朝日)、島田薫(東映)☆番組HP  　http://www.tv-asahi.co.jp/nobunaga/</t>
  </si>
  <si>
    <t>朝倉討伐に出た信長だったが、義弟・浅井長政からまさかの裏切りに遭う!退却を余儀なくされた信長はケンを伴い、岐阜へと戻る!今度は信長に徳川家康裏切り情報が…。  信長は「鯛を使い、家康の心を繋ぎ止める料理を作れ」と、ケンに指示する。その鯛にはある大きな意味が込められていて…</t>
  </si>
  <si>
    <t>信長から「浅井長政の台所に潜入し、先方に借りを返してこい!」と命じられたケン。小谷城には信長の妹・市とその娘・茶々と初もいる。敵となった義理の弟だけでなく、実の妹や姪たちまでもを毒殺しろということなのか…。思い悩む…。信長からお市へ平成のグルメでメッセージを伝えたいが…。玉森裕太(Kis-My-Ft2)、志田未来、ゴリ、宇梶剛士、芦名星、きたろう、カンニング竹山、香椎由宇、及川光博【原作】西村ミツル  【漫画】梶川卓郎『信長のシェフ』(芳文社「週刊漫画TIMES」)深沢正樹藤岡浩二郎Kis-My-Ft2『MY Resistance-タシカナモノ-』  (avex trax)【ゼネラルプロデューサー】横地郁英(テレビ朝日)  【プロデューサー】大江達樹(テレビ朝日)、島田薫(東映)☆番組HP  　http://www.tv-asahi.co.jp/nobunaga/</t>
  </si>
  <si>
    <t>信長から「浅井長政の台所に潜入し、先方に借りを返してこい!」と命じられたケン。小谷城には信長の妹・市とその娘・茶々と初もいる。敵となった義理の弟だけでなく、実の妹や姪たちまでもを毒殺しろということなのか…。思い悩む…。信長からお市へ平成のグルメでメッセージを伝えたいが…。</t>
  </si>
  <si>
    <t>信長軍は姉川にて浅井長政との戦を開始!信長は「浅井軍に食わす料理を作れ」と命じるのだった。「敵に食わす料理」とはいったい何なのか-。ケンは、思いもよらぬ方法を見つける!そして石山本願寺の顕如にも不穏な動きが…そんな顕如の傍らには、脳裏にたびたびフラッシュバックする謎の女の姿があった! 玉森裕太(Kis-My-Ft2)、志田未来、ゴリ、宇梶剛士、芦名星・渡辺いっけい、大和田獏&lt;友情出演&gt;・市川猿之助、香椎由宇、及川光博 【原作】西村ミツル【漫画】梶川卓郎『信長のシェフ』(芳文社「週刊漫画TIMES」) 倉持裕 藤岡浩二郎 Kis-My-Ft2『MY Resistance-タシカナモノ-』(avex trax) 【ゼネラルプロデューサー】横地郁英(テレビ朝日)【プロデューサー】大江達樹(テレビ朝日)、島田薫(東映) ☆番組HP　http://www.tv-asahi.co.jp/nobunaga/</t>
  </si>
  <si>
    <t xml:space="preserve">信長軍は姉川にて浅井長政との戦を開始!信長は「浅井軍に食わす料理を作れ」と命じるのだった。「敵に食わす料理」とはいったい何なのか-。ケンは、思いもよらぬ方法を見つける!そして石山本願寺の顕如にも不穏な動きが…そんな顕如の傍らには、脳裏にたびたびフラッシュバックする謎の女の姿があった! </t>
  </si>
  <si>
    <t>光秀を本願寺に招いた顕如は「わたしと組めば、あなたが天下を取れる」と、信長を裏切るようそそのかす!一笑に付す光秀だったが、その顔には不敵な笑みが浮かんでいた…。軍に同行したケンは、そこで信長を迎えた光秀を見て『本能寺の変』が起こるのではないか、と危惧する…! 玉森裕太(Kis-My-Ft2)、志田未来、ゴリ、宇梶剛士、きたろう・正名僕蔵、市川猿之助、香椎由宇、稲垣吾郎(特別出演)、及川光博 【原作】西村ミツル【漫画】梶川卓郎『信長のシェフ』(芳文社「週刊漫画TIMES」) 深沢正樹 兼崎涼介 Kis-My-Ft2『MY Resistance-タシカナモノ-』(avex trax) 【ゼネラルプロデューサー】横地郁英(テレビ朝日)【プロデューサー】大江達樹(テレビ朝日)、島田薫(東映) ☆番組HP　http://www.tv-asahi.co.jp/nobunaga/</t>
  </si>
  <si>
    <t xml:space="preserve">光秀を本願寺に招いた顕如は「わたしと組めば、あなたが天下を取れる」と、信長を裏切るようそそのかす!一笑に付す光秀だったが、その顔には不敵な笑みが浮かんでいた…。軍に同行したケンは、そこで信長を迎えた光秀を見て『本能寺の変』が起こるのではないか、と危惧する…! </t>
  </si>
  <si>
    <t>信長軍が壊滅すると読んだ可成は、盾となり朝倉・浅井軍の進軍を食い止めると宣言!行ってほしくないケンは、思いを込めた料理を作る。朝倉・浅井軍の3万の大軍勢に対して、可成軍は3000…、捨て身の大戦!そこでケンが目にしたのは、壮絶な戦いを繰り広げる可成軍の姿と…!? 玉森裕太(Kis-My-Ft2)、志田未来、ゴリ、宇梶剛士、芦名星　永瀬廉(関西ジャニーズJr.)・正名僕蔵、市川猿之助、香椎由宇、及川光博 【原作】西村ミツル【漫画】梶川卓郎『信長のシェフ』(芳文社「週刊漫画TIMES」) 倉持裕 濱龍也 Kis-My-Ft2『MY Resistance-タシカナモノ-』(avex trax) 【ゼネラルプロデューサー】横地郁英(テレビ朝日)【プロデューサー】大江達樹(テレビ朝日)、島田薫(東映) ☆番組HP　http://www.tv-asahi.co.jp/nobunaga/</t>
  </si>
  <si>
    <t xml:space="preserve">信長軍が壊滅すると読んだ可成は、盾となり朝倉・浅井軍の進軍を食い止めると宣言!行ってほしくないケンは、思いを込めた料理を作る。朝倉・浅井軍の3万の大軍勢に対して、可成軍は3000…、捨て身の大戦!そこでケンが目にしたのは、壮絶な戦いを繰り広げる可成軍の姿と…!? </t>
  </si>
  <si>
    <t>番組名信長のシェフ　#9</t>
  </si>
  <si>
    <t>ケンは「自分が負けたら信長はここで死ぬのか?歴史を変えていいのか」と戸惑う・・・。ケンの様子を察した信長は「負けたときは、おぬしを斬る!」と宣言。そんな中「御前試合などやめて、瑤子という女と『平成』に帰れ」と告げる光秀。ケンの料理対決は?そして『平成』に帰れるのか!?玉森裕太(Kis-My-Ft2)、志田未来、ゴリ、芦名星、きたろう・森本レオ、正名僕蔵、市川猿之助、香椎由宇、稲垣吾郎(特別出演)、及川光博【原作】西村ミツル  【漫画】梶川卓郎『信長のシェフ』(芳文社「週刊漫画TIMES」)深沢正樹兼崎涼介Kis-My-Ft2『MY Resistance-タシカナモノ-』  (avex trax)【ゼネラルプロデューサー】横地郁英(テレビ朝日)  【プロデューサー】大江達樹(テレビ朝日)、島田薫(東映)☆番組HP  　http://www.tv-asahi.co.jp/nobunaga/</t>
  </si>
  <si>
    <t>ケンは「自分が負けたら信長はここで死ぬのか?歴史を変えていいのか」と戸惑う・・・。ケンの様子を察した信長は「負けたときは、おぬしを斬る!」と宣言。そんな中「御前試合などやめて、瑤子という女と『平成』に帰れ」と告げる光秀。ケンの料理対決は?そして『平成』に帰れるのか!?</t>
  </si>
  <si>
    <t>1210_EX_木21</t>
  </si>
  <si>
    <t>医師とは思えぬ出で立ちの大門未知子(米倉涼子)が紹介状を持って大学病院にやってくる。変わっているのは外見だけではなかった。着任早々、未知子は院長の久保(竜雷太)が執刀する手術に異議を唱える。一気に院内の反感を買った未知子。しかし、院長が始めた手術はとんでもない事態を迎える…!米倉涼子、田中圭、内田有紀、勝村政信、鈴木浩介、紫吹淳、林丹丹、山本美月、岸部一徳、室井滋、段田安則、伊東四朗中園ミホ(『ハケンの品格』『ナサケの女～国税局査察官』など)田村直己(テレビ朝日)Superfly『Force』(Warner Music Japan)【ゼネラルプロデューサー】内山聖子(テレビ朝日)  【プロデューサー】大江達樹(テレビ朝日)、西河喜美子(テレビ朝日)、霜田一寿(ザ・ワークス)、池田禎子(ザ・ワークス)、大垣一穂(ザ・ワークス)☆番組HP  　http://www.tv-asahi.co.jp/doctor-x/</t>
  </si>
  <si>
    <t>医師とは思えぬ出で立ちの大門未知子(米倉涼子)が紹介状を持って大学病院にやってくる。変わっているのは外見だけではなかった。着任早々、未知子は院長の久保(竜雷太)が執刀する手術に異議を唱える。一気に院内の反感を買った未知子。しかし、院長が始めた手術はとんでもない事態を迎える…!</t>
  </si>
  <si>
    <t>有名出版社社長の二階堂(半海一晃)がすい臓ガンを患い入院してくる。執刀医の鳥井(段田安則)の術式に対し患部がとりきれないと未知子は反対。自分ならできると主張するが、謝礼金目的だと却下されてしまう。だが当日、手術は困難を極めついに鳥井は根をあげてしまう!そこで呼ばれたのは…?米倉涼子、田中圭、内田有紀、勝村政信、鈴木浩介、紫吹淳、林丹丹、山本美月、岸部一徳、室井滋、段田安則、伊東四朗中園ミホ(『ハケンの品格』『ナサケの女～国税局査察官』など)松田秀知Superfly『Force』(Warner Music Japan)【ゼネラルプロデューサー】内山聖子(テレビ朝日)  【プロデューサー】大江達樹(テレビ朝日)、西河喜美子(テレビ朝日)、霜田一寿(ザ・ワークス)、池田禎子(ザ・ワークス)、大垣一穂(ザ・ワークス)☆番組HP  　http://www.tv-asahi.co.jp/doctor-x/</t>
  </si>
  <si>
    <t>有名出版社社長の二階堂(半海一晃)がすい臓ガンを患い入院してくる。執刀医の鳥井(段田安則)の術式に対し患部がとりきれないと未知子は反対。自分ならできると主張するが、謝礼金目的だと却下されてしまう。だが当日、手術は困難を極めついに鳥井は根をあげてしまう!そこで呼ばれたのは…?</t>
  </si>
  <si>
    <t>米倉涼子がスーパードクターに初挑戦!天才的な腕を持ちながら組織に属さないフリー外科医・未知子が、叩き上げのスキルを武器に金と欲にまみれた病院組織にメスを入れる!米倉涼子、田中圭、内田有紀、勝村政信、鈴木浩介、紫吹淳、林丹丹、山本美月、岸部一徳、室井滋、段田安則、伊東四朗  【ゲスト】  平岩紙、中丸新将中園ミホ(『ハケンの品格』『ナサケの女～国税局査察官』など)田村直己(テレビ朝日)Superfly『Force』(Warner Music Japan)【ゼネラルプロデューサー】内山聖子(テレビ朝日)  【プロデューサー】大江達樹(テレビ朝日)、西河喜美子(テレビ朝日)、霜田一寿(ザ・ワークス)、池田禎子(ザ・ワークス)、大垣一穂(ザ・ワークス)☆番組HP  　http://www.tv-asahi.co.jp/doctor-x/</t>
  </si>
  <si>
    <t>米倉涼子がスーパードクターに初挑戦!天才的な腕を持ちながら組織に属さないフリー外科医・未知子が、叩き上げのスキルを武器に金と欲にまみれた病院組織にメスを入れる!</t>
  </si>
  <si>
    <t>米倉涼子がスーパードクターに初挑戦!天才的な腕を持ちながら組織に属さないフリー外科医・未知子が、叩き上げのスキルを武器に金と欲にまみれた病院組織にメスを入れる!米倉涼子、田中圭、内田有紀、勝村政信、鈴木浩介、紫吹淳、林丹丹、山本美月、岸部一徳、室井滋、段田安則、伊東四朗  【ゲスト】  鶴見辰吾、赤江珠緒中園ミホ(『ハケンの品格』『ナサケの女～国税局査察官』など)松田秀知Superfly『Force』(Warner Music Japan)【ゼネラルプロデューサー】内山聖子(テレビ朝日)  【プロデューサー】大江達樹(テレビ朝日)、西河喜美子(テレビ朝日)、霜田一寿(ザ・ワークス)、池田禎子(ザ・ワークス)、大垣一穂(ザ・ワークス)☆番組HP  　http://www.tv-asahi.co.jp/doctor-x/</t>
  </si>
  <si>
    <t>米倉涼子がスーパードクターに初挑戦!天才的な腕を持ちながら組織に属さないフリー外科医・未知子が、叩き上げのスキルを武器に金と欲にまみれた病院組織にメスを入れる!米倉涼子、田中圭、内田有紀、勝村政信、鈴木浩介、紫吹淳、林丹丹、山本美月、岸部一徳、室井滋、段田安則、伊東四朗  【ゲスト】  石丸謙二郎、福士誠治、二宮星中園ミホ(『ハケンの品格』『ナサケの女～国税局査察官』など)松田秀知Superfly『Force』(Warner Music Japan)【ゼネラルプロデューサー】内山聖子(テレビ朝日)  【プロデューサー】大江達樹(テレビ朝日)、西河喜美子(テレビ朝日)、霜田一寿(ザ・ワークス)、池田禎子(ザ・ワークス)、大垣一穂(ザ・ワークス)☆番組HP  　http://www.tv-asahi.co.jp/doctor-x/</t>
  </si>
  <si>
    <t>米倉涼子がスーパードクターに初挑戦!天才的な腕を持ちながら組織に属さないフリー外科医・未知子が、叩き上げのスキルを武器に金と欲にまみれた病院組織にメスを入れる!米倉涼子、田中圭、内田有紀、勝村政信、鈴木浩介、紫吹淳、林丹丹、山本美月、岸部一徳、室井滋、段田安則、伊東四朗    【ゲスト】  六平直政中園ミホ(『ハケンの品格』『ナサケの女～国税局査察官』など)田村直己(テレビ朝日)Superfly『Force』(Warner Music Japan)【ゼネラルプロデューサー】内山聖子(テレビ朝日)  【プロデューサー】大江達樹(テレビ朝日)、西河喜美子(テレビ朝日)、霜田一寿(ザ・ワークス)、池田禎子(ザ・ワークス)、大垣一穂(ザ・ワークス)☆番組HP  　http://www.tv-asahi.co.jp/doctor-x/</t>
  </si>
  <si>
    <t>米倉涼子がスーパードクターに初挑戦!  『私、失敗しないので。』  天才的な腕を持ちながら組織に属さないフリー外科医・未知子が、叩き上げのスキルを武器に金と欲にまみれた病院組織にメスを入れる!米倉涼子、田中圭、内田有紀、勝村政信、鈴木浩介、紫吹淳、林丹丹、山本美月、岸部一徳、室井滋、段田安則、伊東四朗    【ゲスト】  岸本加世子、山本耕史中園ミホ(『ハケンの品格』『ナサケの女～国税局査察官』など)松田秀知Superfly『Force』(Warner Music Japan)【ゼネラルプロデューサー】内山聖子(テレビ朝日)  【プロデューサー】大江達樹(テレビ朝日)、西河喜美子(テレビ朝日)、霜田一寿(ザ・ワークス)、池田禎子(ザ・ワークス)、大垣一穂(ザ・ワークス)☆番組HP  　http://www.tv-asahi.co.jp/doctor-x/</t>
  </si>
  <si>
    <t>米倉涼子がスーパードクターに初挑戦!  『私、失敗しないので。』  天才的な腕を持ちながら組織に属さないフリー外科医・未知子が、叩き上げのスキルを武器に金と欲にまみれた病院組織にメスを入れる!</t>
  </si>
  <si>
    <t>番組名ドクターX～外科医・大門未知子～</t>
  </si>
  <si>
    <t>米倉涼子がスーパードクターに初挑戦!天才的な腕を持ちながら組織に属さないフリー外科医・未知子が、叩き上げのスキルを武器に金と欲にまみれた病院組織にメスを入れる!米倉涼子、田中圭、内田有紀、勝村政信、鈴木浩介、紫吹淳、林丹丹、山本美月、岸部一徳、室井滋、段田安則、伊東四朗    【ゲスト】  小林稔侍中園ミホ(『ハケンの品格』『ナサケの女～国税局査察官』など)田村直己(テレビ朝日)Superfly『Force』(Warner Music Japan)【ゼネラルプロデューサー】内山聖子(テレビ朝日)  【プロデューサー】大江達樹(テレビ朝日)、西河喜美子(テレビ朝日)、霜田一寿(ザ・ワークス)、池田禎子(ザ・ワークス)、大垣一穂(ザ・ワークス)☆番組HP  　http://www.tv-asahi.co.jp/doctor-x/</t>
  </si>
  <si>
    <t>1210_EX_金23</t>
  </si>
  <si>
    <t>ストーカーに悩む美女(宮地真緒)の依頼を受けた探偵(高橋克典)は、その正体を突き止めるべく調査を開始!ストーカーの正体を突き止めかけたかに見えた探偵だっだが、依頼者が殺人事件の容疑者として逮捕されるという不測の事態が起こり…!?高橋克典、片瀬那奈、山口大地、森次晃嗣、田山涼成、三浦理恵子高山直也秋山純(テレビ朝日)優梨花『六本木心中』(エイベックス・エンタテインメント)【ゼネラルプロデューサー】黒田徹也(テレビ朝日)  【プロデューサー】池田邦晃(テレビ朝日)、遠田孝一(MMJ)、伊藤達哉(MMJ)☆番組HP  　http://www.tv-asahi.co.jp/tokumeitantei/</t>
  </si>
  <si>
    <t>伝説のドラマ「特命係長・只野仁」以来、高橋克典の金曜ナイトドラマ主演作がスタート!サスペンス、コメディ、少々お色気!?氏名不詳の私立探偵が金曜日の夜を熱くする!高橋克典、片瀬那奈、山口大地、森次晃嗣、田山涼成、三浦理恵子    【第2話ゲスト】  吉井怜、二階堂智、七海なな高山直也秋山純(テレビ朝日)優梨花『六本木心中』(エイベックス・エンタテインメント)【ゼネラルプロデューサー】黒田徹也(テレビ朝日)  【プロデューサー】池田邦晃(テレビ朝日)、遠田孝一(MMJ)、伊藤達哉(MMJ)☆番組HP  　http://www.tv-asahi.co.jp/tokumeitantei/</t>
  </si>
  <si>
    <t>伝説のドラマ「特命係長・只野仁」以来の、高橋克典・金曜ナイトドラマ主演作がスタート!サスペンス、コメディ、少々お色気!?氏名不詳の私立探偵が金曜日の夜を最高に熱くする!高橋克典、片瀬那奈、山口大地、森次晃嗣、田山涼成、三浦理恵子    【第3話ゲスト】  小池里奈　阿南健治　ほか高山直也塚本連平優梨花『六本木心中』(エイベックス・エンタテインメント)【ゼネラルプロデューサー】黒田徹也(テレビ朝日)  【プロデューサー】池田邦晃(テレビ朝日)、遠田孝一(MMJ)、伊藤達哉(MMJ)☆番組HP  　http://www.tv-asahi.co.jp/tokumeitantei/</t>
  </si>
  <si>
    <t>伝説のドラマ「特命係長・只野仁」以来の、高橋克典・金曜ナイトドラマ主演作がスタート!サスペンス、コメディ、少々お色気!?氏名不詳の私立探偵が金曜日の夜を最高に熱くする!高橋克典、片瀬那奈、山口大地、森次晃嗣、田山涼成、三浦理恵子高山直也大塚徹優梨花『六本木心中』(エイベックス・エンタテインメント)【ゼネラルプロデューサー】黒田徹也(テレビ朝日)  【プロデューサー】池田邦晃(テレビ朝日)、遠田孝一(MMJ)、伊藤達哉(MMJ)☆番組HP  　http://www.tv-asahi.co.jp/tokumeitantei/</t>
  </si>
  <si>
    <t>伝説のドラマ「特命係長・只野仁」以来の、高橋克典・金曜ナイトドラマ主演作がスタート!サスペンス、コメディ、少々お色気!?氏名不詳の私立探偵が金曜日の夜を最高に熱くする!高橋克典、片瀬那奈、山口大地、森次晃嗣、田山涼成、三浦理恵子    【ゲスト】  雛形あきこ、阿部亮平、倉田昭二、ドロンズ石本鴨義信秋山純(テレビ朝日)優梨花『六本木心中』(エイベックス・エンタテインメント)【ゼネラルプロデューサー】黒田徹也(テレビ朝日)  【プロデューサー】池田邦晃(テレビ朝日)、遠田孝一(MMJ)、伊藤達哉(MMJ)☆番組HP  　http://www.tv-asahi.co.jp/tokumeitantei/</t>
  </si>
  <si>
    <t>番組名匿名探偵　#6</t>
  </si>
  <si>
    <t>伝説のドラマ「特命係長・只野仁」以来の、高橋克典・金曜ナイトドラマ主演作がスタート!サスペンス、コメディ、少々お色気!?氏名不詳の私立探偵が金曜日の夜を最高に熱くする!高橋克典、片瀬那奈、山口大地、森次晃嗣、田山涼成、三浦理恵子    【ゲスト】  小松彩夏、黒田アーサー、壇蜜高山直也塚本連平優梨花『六本木心中』(エイベックス・エンタテインメント)【ゼネラルプロデューサー】黒田徹也(テレビ朝日)  【プロデューサー】池田邦晃(テレビ朝日)、遠田孝一(MMJ)、伊藤達哉(MMJ)☆番組HP  　http://www.tv-asahi.co.jp/tokumeitantei/</t>
  </si>
  <si>
    <t>伝説のドラマ「特命係長・只野仁」以来の、高橋克典・金曜ナイトドラマ主演作がスタート!サスペンス、コメディ、少々お色気!?氏名不詳の私立探偵が金曜日の夜を最高に熱くする!高橋克典、片瀬那奈、山口大地、森次晃嗣、田山涼成、三浦理恵子    【ゲスト】  草村礼子、岩田さゆり、伊阪達也、城咲仁　ほか三上幸四郎大塚徹(MMJ)優梨花『六本木心中』(エイベックス・エンタテインメント)【ゼネラルプロデューサー】黒田徹也(テレビ朝日)  【プロデューサー】池田邦晃(テレビ朝日)、遠田孝一(MMJ)、伊藤達哉(MMJ)☆番組HP  　http://www.tv-asahi.co.jp/tokumeitantei/</t>
  </si>
  <si>
    <t>番組名匿名探偵　#8</t>
  </si>
  <si>
    <t>伝説のドラマ「特命係長・只野仁」以来の、高橋克典・金曜ナイトドラマ主演作がスタート!サスペンス、コメディ、少々お色気!?氏名不詳の私立探偵が金曜日の夜を最高に熱くする!高橋克典、片瀬那奈、山口大地、森次晃嗣、田山涼成、三浦理恵子    【ゲスト】  川上麻衣子、小須田康人、春海四方、丸高愛実高山直也塚本連平優梨花『六本木心中』(エイベックス・エンタテインメント)【ゼネラルプロデューサー】黒田徹也(テレビ朝日)  【プロデューサー】池田邦晃(テレビ朝日)、遠田孝一(MMJ)、伊藤達哉(MMJ)☆番組HP  　http://www.tv-asahi.co.jp/tokumeitantei/</t>
  </si>
  <si>
    <t>番組名匿名探偵</t>
  </si>
  <si>
    <t>伝説のドラマ「特命係長・只野仁」以来の、高橋克典・金曜ナイトドラマ主演作がスタート!サスペンス、コメディ、少々お色気!?氏名不詳の私立探偵が金曜日の夜を最高に熱くする!高橋克典、片瀬那奈、山口大地、森次晃嗣、田山涼成、三浦理恵子    【最終話ゲスト】  橋本マナミ、遠野なぎこ、神保悟志、南圭介(他)高山直也秋山純(テレビ朝日)優梨花『六本木心中』(エイベックス・エンタテインメント)【ゼネラルプロデューサー】黒田徹也(テレビ朝日)  【プロデューサー】池田邦晃(テレビ朝日)、遠田孝一(MMJ)、伊藤達哉(MMJ)☆番組HP  　http://www.tv-asahi.co.jp/tokumeitantei/</t>
  </si>
  <si>
    <t>1207_EX_木21</t>
  </si>
  <si>
    <t>番組名遺留捜査　初回2時間スペシャル</t>
  </si>
  <si>
    <t>糸村聡(上川隆也)は警視庁捜査一課から月島中央署へ左遷!そんな矢先、月島中央署の女性警察官が何者かに誘拐された。チームワークが重視される所轄での捜査でも、独自の感性で捜査をする糸村。やがて糸村は事件関係者の部屋で見つけた“あるもの”に注目するが…!?上川隆也、斉藤由貴、八嶋智人、田中哲司、岡田義徳、正名僕蔵、眞島秀和 / 三宅裕司  【ゲスト】  吉田栄作、深水三章、黒川芽以、川村亮介、辻本祐樹 / 甲本雅裕、大杉漣大石哲也猪崎宣昭山下達郎『愛を教えて』(ワーナーミュージック・ジャパン)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t>
  </si>
  <si>
    <t>糸村聡(上川隆也)は警視庁捜査一課から月島中央署へ左遷!そんな矢先、月島中央署の女性警察官が何者かに誘拐された。チームワークが重視される所轄での捜査でも、独自の感性で捜査をする糸村。やがて糸村は事件関係者の部屋で見つけた“あるもの”に注目するが</t>
  </si>
  <si>
    <t>上川隆也、斉藤由貴、八嶋智人、田中哲司、岡田義徳、正名僕蔵、眞島秀和 / 三宅裕司  【ゲスト】  高橋和也、中村倫也、水上剣星、小野真弓、足立理　ほか大石哲也長谷川康山下達郎『愛を教えて』(ワーナーミュージック・ジャパン)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t>
  </si>
  <si>
    <t>上川隆也、斉藤由貴、八嶋智人、田中哲司、岡田義徳、正名僕蔵、眞島秀和 / 三宅裕司  【ゲスト】  藤真利子、原田佳奈、久世星佳、湯江健幸、水野真紀　ほか福島治子長谷川康山下達郎『愛を教えて』(ワーナーミュージック・ジャパン)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t>
  </si>
  <si>
    <t>上川隆也、斉藤由貴、八嶋智人、田中哲司、岡田義徳、正名僕蔵、眞島秀和 / 三宅裕司  【ゲスト】  高橋かおり、合田雅吏、上原さくら、三輪ひとみ、水野真紀(他)尾西兼一猪崎宣昭山下達郎『愛を教えて』(ワーナーミュージック・ジャパン)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t>
  </si>
  <si>
    <t>上川隆也、斉藤由貴、八嶋智人、田中哲司、岡田義徳、正名僕蔵、眞島秀和 / 三宅裕司  【ゲスト】  徳井優、原田夏希、尾上寛之、伊藤洋三郎、甲本雅裕(他)大石哲也猪崎宣昭山下達郎『愛を教えて』(ワーナーミュージック・ジャパン)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t>
  </si>
  <si>
    <t>上川隆也、斉藤由貴、八嶋智人、田中哲司、岡田義徳、正名僕蔵、眞島秀和 / 三宅裕司  【ゲスト】  伊藤裕子、東根作寿英、今井朋彦(他)大石哲也伊藤寿浩山下達郎『愛を教えて』(ワーナーミュージック・ジャパン)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t>
  </si>
  <si>
    <t>上川隆也、斉藤由貴、八嶋智人、田中哲司、岡田義徳、正名僕蔵、眞島秀和 / 三宅裕司  【ゲスト】  マギー、加藤虎ノ介、堀部圭亮(他)田中孝治伊藤寿浩山下達郎『愛を教えて』(ワーナーミュージック・ジャパン)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t>
  </si>
  <si>
    <t>番組名遺留捜査</t>
  </si>
  <si>
    <t>上川隆也、斉藤由貴、八嶋智人、田中哲司、岡田義徳、正名僕蔵、眞島秀和 / 三宅裕司  【ゲスト】  平田満、安藤玉恵、矢島健一、甲本雅裕 / 笹野高史　ほか大石哲也猪崎宣昭山下達郎『愛を教えて』(ワーナーミュージック・ジャパン)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t>
  </si>
  <si>
    <t>1207_EX_金23</t>
  </si>
  <si>
    <t>ボーイズ・オン・ザ・ラン</t>
  </si>
  <si>
    <t>番組名ボーイズ・オン・ザ・ラン　#1</t>
  </si>
  <si>
    <t>田西は後輩のちはるに悶々とした恋心を抱きつつも、テレクラやアダルトビデオでやるせなさを解消する毎日…。だが戦友の手ほどきでちはるを飲み会に誘い出すことに成功!さらに終電を逃した二人はホテルへ。どーなる!田西の恋心!?世の女子たちよ、これを見て男たちの悲しくもかわいらしい禁断の本音を知れ!丸山隆平 / 平愛梨、斎藤工、上田竜也、南明奈、デビット伊東、モロ師岡 / 浅田美代子 / 敦士、浦上晟周、臼田あさ美、徳井優、佐藤江梨子 /陣内孝則花沢健吾『ボーイズ・オン・ザ・ラン』(小学館 ビッグスピリッツコミックス 刊)高橋悠也常廣丈太(テレビ朝日)関ジャニ∞『あおっぱな』(テイチクエンタテインメント)【ゼネラルプロデューサー】内山聖子(テレビ朝日)  【プロデューサー】中込卓也(テレビ朝日)、山田兼司(テレビ朝日)、太田雅晴(5年D組)☆番組HP  　http://www.tv-asahi.co.jp/boys/</t>
  </si>
  <si>
    <t>田西は後輩のちはるに悶々とした恋心を抱きつつも、テレクラやアダルトビデオでやるせなさを解消する毎日…。だが戦友の手ほどきでちはるを飲み会に誘い出すことに成功!さらに終電を逃した二人はホテルへ。どーなる!田西の恋心!?世の女子たちよ、これを見て男たちの悲しくもかわいらしい禁断の本音を知れ!</t>
  </si>
  <si>
    <t>番組名ボーイズ・オン・ザ・ラン　#2</t>
  </si>
  <si>
    <t>テレビでは困難と言われた「青春漫画の最高傑作」が奇跡のドラマ化!27年彼女なしのダメ男が人生変える恋をした!金曜ナイトでしか見られない禁断の青春ラブコメディ誕生!丸山隆平 / 平愛梨、斎藤工、上田竜也、南明奈、デビット伊東、モロ師岡 / 浅田美代子 / 敦士、浦上晟周、臼田あさ美、徳井優、佐藤江梨子 / 陣内孝則花沢健吾『ボーイズ・オン・ザ・ラン』(小学館 ビッグスピリッツコミックス 刊)高橋悠也唐木希浩(5年D組)関ジャニ∞『あおっぱな』(テイチクエンタテインメント)【ゼネラルプロデューサー】内山聖子(テレビ朝日)  【プロデューサー】中込卓也(テレビ朝日)、山田兼司(テレビ朝日)、太田雅晴(5年D組)☆番組HP  　http://www.tv-asahi.co.jp/boys/</t>
  </si>
  <si>
    <t>テレビでは困難と言われた「青春漫画の最高傑作」が奇跡のドラマ化!27年彼女なしのダメ男が人生変える恋をした!金曜ナイトでしか見られない禁断の青春ラブコメディ誕生!</t>
  </si>
  <si>
    <t>番組名ボーイズ・オン・ザ・ラン　#3</t>
  </si>
  <si>
    <t>「世界で一番嫌いです」と告げられた田西!!だが、何事もなかったかのように話しかけてくるちはる。ある日、田西はしほから、ちはるが毎晩長電話し、週末は朝帰りをしている、と聞く!相手は誰なのか…気になる田西はついにちはるを尾行!だが相手は恋のアドバイスをしてくれてた青山だと知ってしまう!?丸山隆平 / 平愛梨、斎藤工、上田竜也、南明奈、デビット伊東、モロ師岡 / 浅田美代子 / 敦士、浦上晟周、臼田あさ美、徳井優、佐藤江梨子 / 陣内孝則花沢健吾『ボーイズ・オン・ザ・ラン』(小学館 ビッグスピリッツコミックス 刊)高橋悠也唐木希浩(5年D組)関ジャニ∞『あおっぱな』(テイチクエンタテインメント)【ゼネラルプロデューサー】内山聖子(テレビ朝日)  【プロデューサー】中込卓也(テレビ朝日)、山田兼司(テレビ朝日)、太田雅晴(5年D組)☆番組HP  　http://www.tv-asahi.co.jp/boys/</t>
  </si>
  <si>
    <t>「世界で一番嫌いです」と告げられた田西!!だが、何事もなかったかのように話しかけてくるちはる。ある日、田西はしほから、ちはるが毎晩長電話し、週末は朝帰りをしている、と聞く!相手は誰なのか…気になる田西はついにちはるを尾行!だが相手は恋のアドバイスをしてくれてた青山だと知ってしまう!?</t>
  </si>
  <si>
    <t>番組名ボーイズ・オン・ザ・ラン　#4</t>
  </si>
  <si>
    <t>だが、ちはるには青山との決闘を反対され、サヨナラを言いわたされる…。  「本当は逃げたい!でも決めたことだから!!」  田西は気合い入れのために、映画“タクシードライバー”のトラヴィス(ロバート・デ・ニーロ)を真似てモヒカンに!そして田西は青山と衝撃の対決へ!丸山隆平 / 平愛梨、斎藤工、上田竜也、南明奈、デビット伊東、モロ師岡 / 浅田美代子 / 敦士、浦上晟周、臼田あさ美、徳井優、佐藤江梨子 / 陣内孝則花沢健吾『ボーイズ・オン・ザ・ラン』(小学館 ビッグスピリッツコミックス 刊)高橋悠也常廣丈太(テレビ朝日)関ジャニ∞『あおっぱな』(テイチクエンタテインメント)【ゼネラルプロデューサー】内山聖子(テレビ朝日)  【プロデューサー】中込卓也(テレビ朝日)、山田兼司(テレビ朝日)、太田雅晴(5年D組)☆番組HP  　http://www.tv-asahi.co.jp/boys/</t>
  </si>
  <si>
    <t>だが、ちはるには青山との決闘を反対され、サヨナラを言いわたされる…。  「本当は逃げたい!でも決めたことだから!!」  田西は気合い入れのために、映画“タクシードライバー”のトラヴィス(ロバート・デ・ニーロ)を真似てモヒカンに!そして田西は青山と衝撃の対決へ!</t>
  </si>
  <si>
    <t>番組名ボーイズ・オン・ザ・ラン　#5</t>
  </si>
  <si>
    <t>鈴木の家で半年ぶりに花と再会する!そこで花に「わたしのことを好きになってボクシングを始めてみたら?」と誘われた田西!瞬間的に新しい恋に目覚めた田西は一念発起し、櫻田ジムに通うことを決意する!そして念願の花との初デートの日。思いも寄らない出来事が田西と花を襲う!丸山隆平 / 平愛梨、上田竜也 / 浅田美代子 / 浦上晟周、徳井優、佐藤江梨子 / 陣内孝則花沢健吾『ボーイズ・オン・ザ・ラン』(小学館 ビッグスピリッツコミックス 刊)高橋悠也常廣丈太(テレビ朝日)関ジャニ∞『あおっぱな』(テイチクエンタテインメント)【ゼネラルプロデューサー】内山聖子(テレビ朝日)  【プロデューサー】中込卓也(テレビ朝日)、山田兼司(テレビ朝日)、太田雅晴(5年D組)熱闘甲子園が休止の場合は、30分繰り上げて放送いたします。    ☆番組HP  　http://www.tv-asahi.co.jp/boys/</t>
  </si>
  <si>
    <t>鈴木の家で半年ぶりに花と再会する!そこで花に「わたしのことを好きになってボクシングを始めてみたら?」と誘われた田西!瞬間的に新しい恋に目覚めた田西は一念発起し、櫻田ジムに通うことを決意する!そして念願の花との初デートの日。思いも寄らない出来事が田西と花を襲う!</t>
  </si>
  <si>
    <t>番組名ボーイズ・オン・ザ・ラン　#6</t>
  </si>
  <si>
    <t>花が結婚していた事実に、愕然とする!田西がとまどいを隠せない中、突然花の夫・源が姿を現す!その頃、再び東京に出てきていたちはると花が出会ってしまう!ひょんなことから互いの恋愛話を打ち明けあったふたりは、その相手が共に田西であるとは思いもせず、意気投合してしまい…。そして衝撃過ぎる展開に!!丸山隆平 / 平愛梨、上田竜也、南明奈 / 浅田美代子 / 浦上晟周、徳井優、佐藤江梨子   【ゲスト】  RED RICE(湘南乃風)花沢健吾『ボーイズ・オン・ザ・ラン』(小学館 ビッグスピリッツコミックス 刊)高橋悠也唐木希浩(5年D組)関ジャニ∞『あおっぱな』(テイチクエンタテインメント)【ゼネラルプロデューサー】内山聖子(テレビ朝日)  【プロデューサー】中込卓也(テレビ朝日)、山田兼司(テレビ朝日)、太田雅晴(5年D組)「熱闘甲子園」が休止の場合、30分繰り上げて放送いたします。    ☆番組HP  　http://www.tv-asahi.co.jp/boys/</t>
  </si>
  <si>
    <t>花が結婚していた事実に、愕然とする!田西がとまどいを隠せない中、突然花の夫・源が姿を現す!その頃、再び東京に出てきていたちはると花が出会ってしまう!ひょんなことから互いの恋愛話を打ち明けあったふたりは、その相手が共に田西であるとは思いもせず、意気投合してしまい…。そして衝撃過ぎる展開に!!</t>
  </si>
  <si>
    <t>番組名ボーイズ・オン・ザ・ラン　#7</t>
  </si>
  <si>
    <t>ちはると会っていたことがバレ、花に絶交を言い渡されてしまった田西!ある日、再び源の姿が!花に金をせびる源に腹を立てた田西は思わず源に殴りかかり、自分は花の彼氏だと宣言する!だが、源は田西に「100万円で花と離婚してやる」と取り引きを持ちかけ・・・丸山隆平 / 平愛梨、斎藤工、上田竜也 / 浅田美代子 / 浦上晟周、RED RICE(湘南乃風)、臼田あさ美、徳井優、佐藤江梨子花沢健吾『ボーイズ・オン・ザ・ラン』(小学館 ビッグスピリッツコミックス 刊)高橋悠也日暮謙(5年D組)関ジャニ∞『あおっぱな』(テイチクエンタテインメント)【ゼネラルプロデューサー】内山聖子(テレビ朝日)  【プロデューサー】中込卓也(テレビ朝日)、山田兼司(テレビ朝日)、太田雅晴(5年D組)☆番組HP  　http://www.tv-asahi.co.jp/boys/    この番組は放送時間が30分繰り下がる可能性があります。</t>
  </si>
  <si>
    <t>ちはると会っていたことがバレ、花に絶交を言い渡されてしまった田西!ある日、再び源の姿が!花に金をせびる源に腹を立てた田西は思わず源に殴りかかり、自分は花の彼氏だと宣言する!だが、源は田西に「100万円で花と離婚してやる」と取り引きを持ちかけ・・・</t>
  </si>
  <si>
    <t>番組名ボーイズ・オン・ザ・ラン　#8</t>
  </si>
  <si>
    <t>修(浦上晟周)もまた花に絶交を言い渡され落ち込んでいた。田西(丸山隆平)は修のために、家を出た母親に会いに行くことを決める!!だが、修のことは忘れ、新しい生活に向かっている母親の姿を目の当たりにしてしまった田西…。その後、衝撃の展開に発展していく!田西の戦いはまだまだ続く!丸山隆平 / 平愛梨、斎藤工、上田竜也 / 浅田美代子 / 浦上晟周、RED RICE(湘南乃風)、臼田あさ美、徳井優、佐藤江梨子 / 陣内孝則花沢健吾『ボーイズ・オン・ザ・ラン』(小学館 ビッグスピリッツコミックス 刊)高橋悠也常廣丈太(テレビ朝日)関ジャニ∞『あおっぱな』(テイチクエンタテインメント)【ゼネラルプロデューサー】内山聖子(テレビ朝日)  【プロデューサー】中込卓也(テレビ朝日)、山田兼司(テレビ朝日)、太田雅晴(5年D組)☆番組HP  　http://www.tv-asahi.co.jp/boys/</t>
  </si>
  <si>
    <t>修(浦上晟周)もまた花に絶交を言い渡され落ち込んでいた。田西(丸山隆平)は修のために、家を出た母親に会いに行くことを決める!!だが、修のことは忘れ、新しい生活に向かっている母親の姿を目の当たりにしてしまった田西…。その後、衝撃の展開に発展していく!田西の戦いはまだまだ続く!</t>
  </si>
  <si>
    <t>番組名ボーイズ・オン・ザ・ラン</t>
  </si>
  <si>
    <t>花(平愛梨)を連れ去ろうとする源(RED RICE)を止めるため、再び立ち向かう田西!そして不屈の精神で向かい続けた田西は、ついに源を倒す!?ようやく花と結ばれ幸せになったのもつかの間…、思いがけない出来事が田西を襲う!田西のラストラン!丸山隆平/平愛梨、斎藤工、上田竜也、南明奈、デビット伊東、モロ師岡/浅田美代子(特別出演)/臼田あさ美、敦士、浦上晟周、徳井優、山田明郷、RED RICE(湘南乃風)、佐藤江梨子/陣内孝則花沢健吾『ボーイズ・オン・ザ・ラン』(小学館 ビッグスピリッツコミックス 刊)高橋悠也常廣丈太(テレビ朝日)関ジャニ∞『あおっぱな』(テイチクエンタテインメント)【ゼネラルプロデューサー】内山聖子(テレビ朝日)  【プロデューサー】中込卓也(テレビ朝日)、山田兼司(テレビ朝日)、太田雅晴(5年D組)☆番組HP  　http://www.tv-asahi.co.jp/boys/</t>
  </si>
  <si>
    <t>花(平愛梨)を連れ去ろうとする源(RED RICE)を止めるため、再び立ち向かう田西!そして不屈の精神で向かい続けた田西は、ついに源を倒す!?ようやく花と結ばれ幸せになったのもつかの間…、思いがけない出来事が田西を襲う!田西のラストラン!</t>
  </si>
  <si>
    <t>1204_EX_木21</t>
  </si>
  <si>
    <t>Wの悲劇</t>
  </si>
  <si>
    <t>番組名Wの悲劇　#1</t>
  </si>
  <si>
    <t>大財閥・和辻家に生まれ、当主の寵愛を一身に受けて育った摩子。ショーパブで清掃のバイトをしながら、男に体を売って金を稼ぐ倉沢さつき。全く同じ顔を持ちながらも正反対の人生を歩んできた2人は、ある殺人事件をきっかけに出会うー。そしてふたりの人生は大きく変わり始めようとしていた…!武井咲、桐谷健太、福田沙紀、剛力彩芽、武田航平、高橋一生/ 松下由樹 / 森田彩華、昆夏美 ・ 寺田農 ・ 金田明夫、中村俊介、若村麻由美、野際陽子夏樹静子『Wの悲劇』(光文社文庫・角川文庫)寺田敏雄片山修(テレビ朝日)平井堅『告白』(デフスターレコーズ)  5月23日(水)発売決定!!【ゼネラルプロデューサー】内山聖子(テレビ朝日)  【プロデューサー】飯田爽(テレビ朝日)、清水真由美(MMJ)☆番組HP  　http://www.tv-asahi.co.jp/w-higeki/</t>
  </si>
  <si>
    <t>大財閥・和辻家に生まれ、当主の寵愛を一身に受けて育った摩子。ショーパブで清掃のバイトをしながら、男に体を売って金を稼ぐ倉沢さつき。全く同じ顔を持ちながらも正反対の人生を歩んできた2人は、ある殺人事件をきっかけに出会うー。そしてふたりの人生は大きく変わり始めようとしていた…!</t>
  </si>
  <si>
    <t>番組名Wの悲劇　#2</t>
  </si>
  <si>
    <t>偶然出会った摩子とさつき(武井咲)はお互いの人生を入れ替えて生きることに。摩子はショーパブでバイトを続けるが、ダンサーの沙耶香(剛力彩芽)や綺羅々(福田沙紀)らは冷ややかな様子。そして、刑事・弓坂圭一郎(桐谷健太)も、さつきの様子を監視し続けていた。武井咲、桐谷健太、福田沙紀、剛力彩芽、武田航平、高橋一生/ 松下由樹 / 森田彩華、昆夏美 ・ 寺田農 ・ 金田明夫、中村俊介、若村麻由美、野際陽子夏樹静子『Wの悲劇』(光文社文庫・角川文庫)旺季志ずか片山修(テレビ朝日)平井堅『告白』(デフスターレコーズ)  5月23日(水)発売決定!!【ゼネラルプロデューサー】内山聖子(テレビ朝日)  【プロデューサー】飯田爽(テレビ朝日)、清水真由美(MMJ)☆番組HP  　http://www.tv-asahi.co.jp/w-higeki/</t>
  </si>
  <si>
    <t>偶然出会った摩子とさつき(武井咲)はお互いの人生を入れ替えて生きることに。摩子はショーパブでバイトを続けるが、ダンサーの沙耶香(剛力彩芽)や綺羅々(福田沙紀)らは冷ややかな様子。そして、刑事・弓坂圭一郎(桐谷健太)も、さつきの様子を監視し続けていた。</t>
  </si>
  <si>
    <t>番組名Wの悲劇　#3</t>
  </si>
  <si>
    <t>「和辻摩子(武井咲)には双子の妹がいた」  和辻与兵衛(寺田農)から衝撃の事実を明かされた倉沢さつき(武井咲・二役)。さらに淑枝(若村麻由美)からも、思いもよらない告白を受ける。動揺するさつきだったが、その矢先とんでもない事件が和辻家を襲う!武井咲、桐谷健太、福田沙紀、武田航平、高橋一生/ 松下由樹 / 森田彩華、昆夏美 ・ 寺田農 ・ 金田明夫、中村俊介、若村麻由美、野際陽子夏樹静子『Wの悲劇』(光文社文庫・角川文庫)寺田敏雄植田尚(MMJ)平井堅『告白』(デフスターレコーズ)  5月23日(水)発売決定!!【ゼネラルプロデューサー】内山聖子(テレビ朝日)  【プロデューサー】飯田爽(テレビ朝日)、清水真由美(MMJ)☆番組HP  　http://www.tv-asahi.co.jp/w-higeki/</t>
  </si>
  <si>
    <t>「和辻摩子(武井咲)には双子の妹がいた」  和辻与兵衛(寺田農)から衝撃の事実を明かされた倉沢さつき(武井咲・二役)。さらに淑枝(若村麻由美)からも、思いもよらない告白を受ける。動揺するさつきだったが、その矢先とんでもない事件が和辻家を襲う!</t>
  </si>
  <si>
    <t>番組名Wの悲劇　#4</t>
  </si>
  <si>
    <t>『わたし、おじいさまを殺してしまった…』  和辻家の面々は「自首をする」というさつきの言葉を制し、与兵衛(寺田農)が強盗に殺されたかのように工作するという。すべては和辻家の地位を守るための策だった…。  アリバイをつくるため、さつきはひとり東京へ。そして、与兵衛の死亡と、事件の隠蔽が始まる!武井咲、桐谷健太、福田沙紀、武田航平、高橋一生/ 松下由樹 / 森田彩華、昆夏美 ・ 寺田農 ・ 金田明夫、中村俊介、若村麻由美、野際陽子夏樹静子『Wの悲劇』(光文社文庫・角川文庫)旺季志ずか植田尚(MMJ)平井堅『告白』(デフスターレコーズ)  5月23日(水)発売決定!!【ゼネラルプロデューサー】内山聖子(テレビ朝日)  【プロデューサー】飯田爽(テレビ朝日)、清水真由美(MMJ)☆番組HP  　http://www.tv-asahi.co.jp/w-higeki/</t>
  </si>
  <si>
    <t>『わたし、おじいさまを殺してしまった…』  和辻家の面々は「自首をする」というさつきの言葉を制し、与兵衛(寺田農)が強盗に殺されたかのように工作するという。すべては和辻家の地位を守るための策だった…。  アリバイをつくるため、さつきはひとり東京へ。そして、与兵衛の死亡と、事件の隠蔽が始まる!</t>
  </si>
  <si>
    <t>番組名Wの悲劇　#5</t>
  </si>
  <si>
    <t>与兵衛(寺田農)の死に動揺した摩子(武井咲)。そんな摩子にさつきは意外な言葉をぶつける。その頃、和辻家では必死の偽装工作が行なわれていた。そこへ、弓坂(桐谷健太)が現れ、和辻家の当主の死を知る。さらに、県警の中里右京(津川雅彦)が現れて…武井咲、桐谷健太、福田沙紀、武田航平、高橋一生/ 松下由樹 / 森田彩華、昆夏美 ・ 寺田農 ・ 金田明夫、中村俊介、若村麻由美、野際陽子夏樹静子『Wの悲劇』(光文社文庫・角川文庫)寺田敏雄常廣丈太(テレビ朝日)平井堅『告白』(デフスターレコーズ)  5月30日(水)発売!!【ゼネラルプロデューサー】内山聖子(テレビ朝日)  【プロデューサー】飯田爽(テレビ朝日)、清水真由美(MMJ)☆番組HP  　http://www.tv-asahi.co.jp/w-higeki/</t>
  </si>
  <si>
    <t>与兵衛(寺田農)の死に動揺した摩子(武井咲)。そんな摩子にさつきは意外な言葉をぶつける。その頃、和辻家では必死の偽装工作が行なわれていた。そこへ、弓坂(桐谷健太)が現れ、和辻家の当主の死を知る。さらに、県警の中里右京(津川雅彦)が現れて…</t>
  </si>
  <si>
    <t>番組名Wの悲劇　#6</t>
  </si>
  <si>
    <t>ついにさつきと摩子(武井咲・2役)が入れ替わっていることを突き止めた弓坂(桐谷健太)。同じ頃、和辻家には老刑事・中里(津川雅彦)が捜査にきていた。発見された胃ゾンデの切れ端、残された不自然な足跡。まるで殺人事件が隠ぺいされたかのような現状を疑問に思い…。武井咲、桐谷健太、福田沙紀、武田航平、高橋一生/ 松下由樹 / 森田彩華、昆夏美 ・ 寺田農 ・ 金田明夫、中村俊介、若村麻由美、野際陽子夏樹静子『Wの悲劇』(光文社文庫・角川文庫)旺季志ずか片山修(テレビ朝日)平井堅『告白』(デフスターレコーズ)  5月30日(水)発売!!【ゼネラルプロデューサー】内山聖子(テレビ朝日)  【プロデューサー】飯田爽(テレビ朝日)、清水真由美(MMJ)☆番組HP  　http://www.tv-asahi.co.jp/w-higeki/</t>
  </si>
  <si>
    <t>ついにさつきと摩子(武井咲・2役)が入れ替わっていることを突き止めた弓坂(桐谷健太)。同じ頃、和辻家には老刑事・中里(津川雅彦)が捜査にきていた。発見された胃ゾンデの切れ端、残された不自然な足跡。まるで殺人事件が隠ぺいされたかのような現状を疑問に思い…。</t>
  </si>
  <si>
    <t>番組名Wの悲劇　#7</t>
  </si>
  <si>
    <t>さつきの突然の自首に、中里はその信憑性を疑う。その頃、和辻家に春生が訪ねてくる。みねや淑枝らと対面したが、自分たちの対面しか気にしない和辻家の面々に、苛立ちを覚える。一方、中学校教師殺害事件が進展を見せる!弓坂の捜査線上に浮上したある意外な人物とは!?武井咲、桐谷健太、福田沙紀、武田航平、高橋一生/ 松下由樹 / 森田彩華、昆夏美 ・ 寺田農 ・ 金田明夫、中村俊介、若村麻由美、野際陽子夏樹静子『Wの悲劇』(光文社文庫・角川文庫)寺田敏雄植田尚(MMJ)平井堅『告白』(デフスターレコーズ)【ゼネラルプロデューサー】内山聖子(テレビ朝日)  【プロデューサー】飯田爽(テレビ朝日)、清水真由美(MMJ)☆番組HP  　http://www.tv-asahi.co.jp/w-higeki/</t>
  </si>
  <si>
    <t>さつきの突然の自首に、中里はその信憑性を疑う。その頃、和辻家に春生が訪ねてくる。みねや淑枝らと対面したが、自分たちの対面しか気にしない和辻家の面々に、苛立ちを覚える。一方、中学校教師殺害事件が進展を見せる!弓坂の捜査線上に浮上したある意外な人物とは!?</t>
  </si>
  <si>
    <t>番組名Wの悲劇</t>
  </si>
  <si>
    <t>“さつき”について真相を探るため『マスカレード』を訪れた淑枝は、そこでさつきに成り代わった摩子と再会する!その頃、事件の捜査に行き詰まっていた中里警部らは、この事件にはさらに裏があるのではないか、と推測。少しずつ真実が見え始めてくる中、思いもよらなかった事実が明らかになる…!武井咲、桐谷健太、武田航平/ 松下由樹 /  金田明夫、中村俊介、若村麻由美、野際陽子夏樹静子『Wの悲劇』(光文社文庫・角川文庫)寺田敏雄片山修(テレビ朝日)平井堅『告白』(デフスターレコーズ)【ゼネラルプロデューサー】内山聖子(テレビ朝日)  【プロデューサー】飯田爽(テレビ朝日)、清水真由美(MMJ)☆番組HP  　http://www.tv-asahi.co.jp/w-higeki/</t>
  </si>
  <si>
    <t>“さつき”について真相を探るため『マスカレード』を訪れた淑枝は、そこでさつきに成り代わった摩子と再会する!その頃、事件の捜査に行き詰まっていた中里警部らは、この事件にはさらに裏があるのではないか、と推測。少しずつ真実が見え始めてくる中、思いもよらなかった事実が明らかになる…!</t>
  </si>
  <si>
    <t>1204_EX_金23</t>
  </si>
  <si>
    <t>飛び降り自殺と思われる男性の遺体が見つかった!遺体の顔が、現場近くにある都市伝説の名所・平将門の首塚に向いていることを発見した月子。事件は将門の祟りによるものだと上司・丹内(竹中直人)に訴えるが罵倒されてしまう。月子は鑑識の勝浦(溝端淳平)を巻き込み独自捜査を開始する。長澤まさみ、溝端淳平、竹中直人、伊武雅刀、宇津井健、平山浩行、宅間孝行(他)  【ゲスト】  内山理名、柏原収史(他)後藤法子池頼広星野和成木村カエラ『マミレル』(日本コロムビア)    ◇オープニングテーマ曲  m-flo『Don't Stop Me Now』≪アルバム「SQUARE ONE」収録≫(rhythm zone)【プロデューサー】  横地郁英(テレビ朝日)、遠田孝一(MMJ)、八巻薫(MMJ)☆番組HP  　http://www.tv-asahi.co.jp/toshidensetsu/</t>
  </si>
  <si>
    <t>飛び降り自殺と思われる男性の遺体が見つかった!遺体の顔が、現場近くにある都市伝説の名所・平将門の首塚に向いていることを発見した月子。事件は将門の祟りによるものだと上司・丹内(竹中直人)に訴えるが罵倒されてしまう。月子は鑑識の勝浦(溝端淳平)を巻き込み独自捜査を開始する。</t>
  </si>
  <si>
    <t>美しすぎる新米刑事・音無月子(長澤まさみ)は大の都市伝説オタク。どんな事件も都市伝説が絡むと信じ、その美貌とマニアックな視点を活かして未解決事件を解決していく!長澤まさみ、溝端淳平、竹中直人、伊武雅刀、宇津井健、平山浩行、宅間孝行(他)  【ゲスト】  MEGUMI、山村紅葉(他)後藤法子池頼広塚本連平木村カエラ『マミレル』(日本コロムビア)    ◇オープニングテーマ曲  m-flo『Don't Stop Me Now』≪アルバム「SQUARE ONE」収録≫(rhythm zone)【プロデューサー】  横地郁英(テレビ朝日)、遠田孝一(MMJ)、八巻薫(MMJ)☆番組HP  　http://www.tv-asahi.co.jp/toshidensetsu/</t>
  </si>
  <si>
    <t>美しすぎる新米刑事・音無月子(長澤まさみ)は大の都市伝説オタク。どんな事件も都市伝説が絡むと信じ、その美貌とマニアックな視点を活かして未解決事件を解決していく!</t>
  </si>
  <si>
    <t>美しすぎる新米刑事・音無月子(長澤まさみ)は大の都市伝説オタク。どんな事件も都市伝説が絡むと信じ、その美貌とマニアックな視点を活かして未解決事件を解決していく!長澤まさみ、溝端淳平、竹中直人、伊武雅刀、宇津井健、平山浩行、宅間孝行(他)  【ゲスト】  釈由美子、金子貴俊、黒坂真美(他)後藤法子池頼広星野和成(MMJ)木村カエラ『マミレル』(日本コロムビア)    ◇オープニングテーマ曲  m-flo『Don't Stop Me Now』≪アルバム「SQUARE ONE」収録≫(rhythm zone)【プロデューサー】  横地郁英(テレビ朝日)、遠田孝一(MMJ)、八巻薫(MMJ)☆番組HP  　http://www.tv-asahi.co.jp/toshidensetsu/</t>
  </si>
  <si>
    <t>美しすぎる新米刑事・音無月子(長澤まさみ)は大の都市伝説オタク。どんな事件も都市伝説が絡むと信じ、その美貌とマニアックな視点を活かして未解決事件を解決していく!長澤まさみ、溝端淳平、竹中直人、伊武雅刀、宇津井健、平山浩行、宅間孝行(他)  【ゲスト】  荻野目慶子、平松來馬、三上市朗(他)後藤法子池頼広秋山純(テレビ朝日)木村カエラ『マミレル』(日本コロムビア)    ◇オープニングテーマ曲  m-flo『Don't Stop Me Now』≪アルバム「SQUARE ONE」収録≫(rhythm zone)【プロデューサー】  横地郁英(テレビ朝日)、遠田孝一(MMJ)、八巻薫(MMJ)☆番組HP  　http://www.tv-asahi.co.jp/toshidensetsu/</t>
  </si>
  <si>
    <t>美しすぎる新米刑事・音無月子(長澤まさみ)は大の都市伝説オタク。どんな事件も都市伝説が絡むと信じ、その美貌とマニアックな視点を活かして未解決事件を解決していく!長澤まさみ、溝端淳平、竹中直人、伊武雅刀、宇津井健、平山浩行、宅間孝行(他)  【ゲスト】  山口紗弥加、銀粉蝶、品川徹後藤法子池頼広塚本連平木村カエラ『マミレル』(日本コロムビア)    ◇オープニングテーマ曲  m-flo『Don't Stop Me Now』≪アルバム「SQUARE ONE」収録≫(rhythm zone)【プロデューサー】  横地郁英(テレビ朝日)、遠田孝一(MMJ)、八巻薫(MMJ)☆番組HP  　http://www.tv-asahi.co.jp/toshidensetsu/</t>
  </si>
  <si>
    <t>美しすぎる新米刑事・音無月子(長澤まさみ)は大の都市伝説オタク。どんな事件も都市伝説が絡むと信じ、その美貌とマニアックな視点を活かして未解決事件を解決していく!長澤まさみ、溝端淳平、竹中直人、伊武雅刀、宇津井健、平山浩行、宅間孝行(他)  【ゲスト】  遠藤久美子、神保悟志、長谷川朝晴、遊井亮子後藤法子池頼広星野和成(MMJ)木村カエラ『マミレル』(日本コロムビア)    ◇オープニングテーマ曲  m-flo『Don't Stop Me Now』≪アルバム「SQUARE ONE」収録≫(rhythm zone)【プロデューサー】  横地郁英(テレビ朝日)、遠田孝一(MMJ)、八巻薫(MMJ)☆番組HP  　http://www.tv-asahi.co.jp/toshidensetsu/</t>
  </si>
  <si>
    <t>美しすぎる新米刑事・音無月子(長澤まさみ)は大の都市伝説オタク。どんな事件も都市伝説が絡むと信じ、その美貌とマニアックな視点を活かして未解決事件を解決していく!長澤まさみ、溝端淳平、竹中直人、伊武雅刀、宇津井健、平山浩行、宅間孝行(他)  【ゲスト】  佐々木すみ江、未来穂香、相楽樹、筒井真理子、ルー大柴後藤法子池頼広秋山純(テレビ朝日)木村カエラ『マミレル』(日本コロムビア)    ◇オープニングテーマ曲  m-flo『Don't Stop Me Now』≪アルバム「SQUARE ONE」収録≫(rhythm zone)【プロデューサー】  横地郁英(テレビ朝日)、遠田孝一(MMJ)、八巻薫(MMJ)☆番組HP  　http://www.tv-asahi.co.jp/toshidensetsu/</t>
  </si>
  <si>
    <t>番組名都市伝説の女　#8</t>
  </si>
  <si>
    <t>美しすぎる新米刑事・音無月子(長澤まさみ)は大の都市伝説オタク。どんな事件も都市伝説が絡むと信じ、その美貌とマニアックな視点を活かして未解決事件を解決していく!長澤まさみ、溝端淳平、竹中直人、伊武雅刀、宇津井健、平山浩行、宅間孝行(他)  【ゲスト】  西原亜希、小松和重、おかやまはじめ後藤法子池頼広塚本連平木村カエラ『マミレル』(日本コロムビア)    ◇オープニングテーマ曲  m-flo『Don't Stop Me Now』≪アルバム「SQUARE ONE」収録≫(rhythm zone)【プロデューサー】  横地郁英(テレビ朝日)、遠田孝一(MMJ)、八巻薫(MMJ)☆番組HP  　http://www.tv-asahi.co.jp/toshidensetsu/</t>
  </si>
  <si>
    <t>番組名都市伝説の女</t>
  </si>
  <si>
    <t>美しすぎる新米刑事・音無月子(長澤まさみ)は大の都市伝説オタク。どんな事件も都市伝説が絡むと信じ、その美貌とマニアックな視点を活かして未解決事件を解決していく!長澤まさみ、溝端淳平、竹中直人、伊武雅刀、宇津井健、平山浩行、宅間孝行(他)  【ゲスト】  葛山信吾、山田まりや、ノゾエ征爾後藤法子池頼広秋山純(テレビ朝日)木村カエラ『マミレル』(日本コロムビア)    ◇オープニングテーマ曲  m-flo『Don't Stop Me Now』≪アルバム「SQUARE ONE」収録≫(rhythm zone)【プロデューサー】  横地郁英(テレビ朝日)、遠田孝一(MMJ)、八巻薫(MMJ)☆番組HP  　http://www.tv-asahi.co.jp/toshidensetsu/</t>
  </si>
  <si>
    <t>1201_EX_木21</t>
  </si>
  <si>
    <t>聖なる怪物たち</t>
  </si>
  <si>
    <t>番組名聖なる怪物たち　#1</t>
  </si>
  <si>
    <t>医師、看護師、教育者ー“聖職者”と呼ばれる者たちが自らの欲のため少しずつ道を踏み外していく!様々な人間の思惑に翻弄されながらも、その実態を暴こうとする若き外科医。ー道を誤ったのは誰なのか?  この冬、もっともスキャンダラスな医療サスペンスが誕生する…岡田将生、中谷美紀、加藤あい、長谷川博己、大政絢 / 鈴木杏、渡辺いっけい、山本陽子(特別出演)/ 勝村政信、平田満、小日向文世河原れん『聖なる怪物たち』(幻冬舎文庫)荒井修子藤田明二(テレビ朝日)キャサリン・ジェンキンス『アヴェ・マリア(シューベルト)』  (ワーナーミュージック・ジャパン)【ゼネラルプロデューサー】内山聖子(テレビ朝日)  【プロデューサー】船津浩一(テレビ朝日)、霜田一寿(ザ・ワークス)、池田禎子(ザ・ワークス)公式HPでPR映像がご覧になれます!  ☆番組HP  　http://www.tv-asahi.co.jp/seinaru/</t>
  </si>
  <si>
    <t>医師、看護師、教育者ー“聖職者”と呼ばれる者たちが自らの欲のため少しずつ道を踏み外していく!様々な人間の思惑に翻弄されながらも、その実態を暴こうとする若き外科医。ー道を誤ったのは誰なのか?  この冬、もっともスキャンダラスな医療サスペンスが誕生する…</t>
  </si>
  <si>
    <t>番組名聖なる怪物たち　#2</t>
  </si>
  <si>
    <t>嵐の夜、飛び込み出産があった。男の子が生まれ、母親は命を落とした。偶然の事故か?仕組まれた事件か?皮肉な偶然と思われた出来事が、徐々に恐ろしい実態を現わす…岡田将生、中谷美紀、加藤あい、長谷川博己、大政絢 / 鈴木杏、渡辺いっけい、山本陽子(特別出演)/ 勝村政信、平田満、小日向文世河原れん『聖なる怪物たち』(幻冬舎文庫)荒井修子藤田明二(テレビ朝日)キャサリン・ジェンキンス『アヴェ・マリア(シューベルト)』  (ワーナーミュージック・ジャパン)【ゼネラルプロデューサー】内山聖子(テレビ朝日)  【プロデューサー】船津浩一(テレビ朝日)、霜田一寿(ザ・ワークス)、池田禎子(ザ・ワークス)公式HPでPR映像がご覧になれます!    ☆番組HP  　http://www.tv-asahi.co.jp/seinaru/</t>
  </si>
  <si>
    <t>嵐の夜、飛び込み出産があった。男の子が生まれ、母親は命を落とした。偶然の事故か?仕組まれた事件か?皮肉な偶然と思われた出来事が、徐々に恐ろしい実態を現わす…</t>
  </si>
  <si>
    <t>番組名聖なる怪物たち　#3</t>
  </si>
  <si>
    <t>嵐の夜、飛び込み出産があった。男の子が生まれ、母親は命を落とした。偶然の事故か?仕組まれた事件か?皮肉な偶然と思われた出来事が、徐々に恐ろしい実態を現わす…岡田将生、中谷美紀、加藤あい、長谷川博己、大政絢 / 鈴木杏、渡辺いっけい、山本陽子(特別出演)/ 勝村政信、平田満、小日向文世河原れん『聖なる怪物たち』(幻冬舎文庫)高山直也落合正幸キャサリン・ジェンキンス『アヴェ・マリア(シューベルト)』  (ワーナーミュージック・ジャパン)【ゼネラルプロデューサー】内山聖子(テレビ朝日)  【プロデューサー】船津浩一(テレビ朝日)、霜田一寿(ザ・ワークス)、池田禎子(ザ・ワークス)公式HPでPR映像がご覧になれます!    ☆番組HP  　http://www.tv-asahi.co.jp/seinaru/</t>
  </si>
  <si>
    <t>番組名聖なる怪物たち　#4</t>
  </si>
  <si>
    <t>嵐の夜、飛び込み出産があった。男の子が生まれ、母親は命を落とした。偶然の事故か?仕組まれた事件か?皮肉な偶然と思われた出来事が、徐々に恐ろしい実態を現わす…“聖職者”が自らの欲のため少しずつ道を踏み外していく!  ー道を誤ったのは誰なのか?岡田将生、中谷美紀、加藤あい、長谷川博己、大政絢 / 鈴木杏、渡辺いっけい、山本陽子(特別出演)/ 勝村政信、平田満、小日向文世河原れん『聖なる怪物たち』(幻冬舎文庫)荒井修子落合正幸キャサリン・ジェンキンス『アヴェ・マリア(シューベルト)』  (ワーナーミュージック・ジャパン)【ゼネラルプロデューサー】内山聖子(テレビ朝日)  【プロデューサー】船津浩一(テレビ朝日)、霜田一寿(ザ・ワークス)、池田禎子(ザ・ワークス)公式HPでPR映像がご覧になれます!    ☆番組HP  　http://www.tv-asahi.co.jp/seinaru/</t>
  </si>
  <si>
    <t>嵐の夜、飛び込み出産があった。男の子が生まれ、母親は命を落とした。偶然の事故か?仕組まれた事件か?皮肉な偶然と思われた出来事が、徐々に恐ろしい実態を現わす…“聖職者”が自らの欲のため少しずつ道を踏み外していく!  ー道を誤ったのは誰なのか?</t>
  </si>
  <si>
    <t>番組名聖なる怪物たち　#5</t>
  </si>
  <si>
    <t>何も知らない健吾は、妊婦を死なせてしまい、父親も誰なのかわからない赤ん坊を残してしまったことで、激しい自責の念にかられる。  「なぜ妊婦は亡くなってしまったのか」  「この赤ん坊は誰の子なのか」  健吾はその真実を突き止めるため、周囲の静止を聞かず、ひとりで調べ始める。そこで健吾を待っていた衝撃の事実とは?岡田将生、中谷美紀、加藤あい、長谷川博己、大政絢 / 鈴木杏、渡辺いっけい、山本陽子(特別出演)/ 勝村政信、平田満、小日向文世河原れん『聖なる怪物たち』(幻冬舎文庫)高山直也常廣丈太(テレビ朝日)キャサリン・ジェンキンス『アヴェ・マリア(シューベルト)』  (ワーナーミュージック・ジャパン)【ゼネラルプロデューサー】内山聖子(テレビ朝日)  【プロデューサー】船津浩一(テレビ朝日)、霜田一寿(ザ・ワークス)、池田禎子(ザ・ワークス)☆番組HP  　http://www.tv-asahi.co.jp/seinaru/</t>
  </si>
  <si>
    <t>何も知らない健吾は、妊婦を死なせてしまい、父親も誰なのかわからない赤ん坊を残してしまったことで、激しい自責の念にかられる。  「なぜ妊婦は亡くなってしまったのか」  「この赤ん坊は誰の子なのか」  健吾はその真実を突き止めるため、周囲の静止を聞かず、ひとりで調べ始める。そこで健吾を待っていた衝撃の事実とは?</t>
  </si>
  <si>
    <t>番組名聖なる怪物たち　#6</t>
  </si>
  <si>
    <t>急に羽振りがよくなった経営状況や、医師たちが次々病院を去っていく様子を不審に思う中、なぜか健吾も慶林大学病院に戻るよう指示をされる!落ち込む出来事が重なった健吾は慶林大学病院の塩野教授の部屋である衝撃の事実を目にする!  一方、日向家では子どもを巡り嫁姑の対立が深まりはじめ…岡田将生、中谷美紀、加藤あい、長谷川博己、大政絢 / 鈴木杏、渡辺いっけい、山本陽子(特別出演)/ 勝村政信、平田満、小日向文世河原れん『聖なる怪物たち』(幻冬舎文庫)荒井修子常廣丈太(テレビ朝日)キャサリン・ジェンキンス『アヴェ・マリア(シューベルト)』  (ワーナーミュージック・ジャパン)【ゼネラルプロデューサー】内山聖子(テレビ朝日)  【プロデューサー】船津浩一(テレビ朝日)、霜田一寿(ザ・ワークス)、池田禎子(ザ・ワークス)☆番組HP  　http://www.tv-asahi.co.jp/seinaru/</t>
  </si>
  <si>
    <t>急に羽振りがよくなった経営状況や、医師たちが次々病院を去っていく様子を不審に思う中、なぜか健吾も慶林大学病院に戻るよう指示をされる!落ち込む出来事が重なった健吾は慶林大学病院の塩野教授の部屋である衝撃の事実を目にする!  一方、日向家では子どもを巡り嫁姑の対立が深まりはじめ…</t>
  </si>
  <si>
    <t>番組名聖なる怪物たち　#7</t>
  </si>
  <si>
    <t>「三恵は輸血が間に合わなくて死んだんでしょう?」という篤志の言葉を聞いた健吾は、大久保記念病院に戻り、手術の際に本当に正しい血液が輸血されていたかを春日井に確認。だが春日井は、健吾の指摘を否定!さらに「三恵さんが亡くなったのはあなたが未熟だったから」と…。道を誤ったのは誰なのか!?岡田将生、中谷美紀、加藤あい、長谷川博己、大政絢 / 鈴木杏、渡辺いっけい、山本陽子(特別出演)/ 勝村政信、平田満、小日向文世河原れん『聖なる怪物たち』(幻冬舎文庫)高山直也落合正幸キャサリン・ジェンキンス『アヴェ・マリア(シューベルト)』  (ワーナーミュージック・ジャパン)【ゼネラルプロデューサー】内山聖子(テレビ朝日)  【プロデューサー】船津浩一(テレビ朝日)、霜田一寿(ザ・ワークス)、池田禎子(ザ・ワークス)☆番組HP  　http://www.tv-asahi.co.jp/seinaru/</t>
  </si>
  <si>
    <t>「三恵は輸血が間に合わなくて死んだんでしょう?」という篤志の言葉を聞いた健吾は、大久保記念病院に戻り、手術の際に本当に正しい血液が輸血されていたかを春日井に確認。だが春日井は、健吾の指摘を否定!さらに「三恵さんが亡くなったのはあなたが未熟だったから」と…。道を誤ったのは誰なのか!?</t>
  </si>
  <si>
    <t>番組名聖なる怪物たち</t>
  </si>
  <si>
    <t>“聖職者”が自らの欲のため少しずつ道を踏み外していく!  様々な人間の思惑に翻弄されながらも、その実態を暴こうとする若き外科医。  -道を誤ったのは誰なのか?  原作とは異なる結末が用意された最終話。果たして本当の『怪物』とは誰だったのか?そして健吾の必死の思いは春日井たちに通じるのか?岡田将生、中谷美紀、加藤あい、長谷川博己、大政絢 / 鈴木杏、渡辺いっけい、山本陽子(特別出演)/ 勝村政信、平田満、小日向文世河原れん『聖なる怪物たち』(幻冬舎文庫)荒井修子藤田明二(テレビ朝日)キャサリン・ジェンキンス『アヴェ・マリア(シューベルト)』  (ワーナーミュージック・ジャパン)【ゼネラルプロデューサー】内山聖子(テレビ朝日)  【プロデューサー】船津浩一(テレビ朝日)、霜田一寿(ザ・ワークス)、池田禎子(ザ・ワークス)☆番組HP  　http://www.tv-asahi.co.jp/seinaru/</t>
  </si>
  <si>
    <t>“聖職者”が自らの欲のため少しずつ道を踏み外していく!  様々な人間の思惑に翻弄されながらも、その実態を暴こうとする若き外科医。  -道を誤ったのは誰なのか?  原作とは異なる結末が用意された最終話。果たして本当の『怪物』とは誰だったのか?そして健吾の必死の思いは春日井たちに通じるのか?</t>
  </si>
  <si>
    <t>1201_EX_金23</t>
  </si>
  <si>
    <t>13歳のハローワーク</t>
  </si>
  <si>
    <t>番組名13歳のハローワーク　#1</t>
  </si>
  <si>
    <t>人生のやり直しを願う35歳の警察官・小暮鉄平(松岡昌宏)。ある日突然、22年前にタイムスリップ!将来のことを適当に考えている13歳の自分=テッペイ(田中偉登)に最高の人生を歩ませるため“再教育”することを決意するも…。松岡昌宏(TOKIO)、横山裕(関ジャニ∞)、桐谷美玲、田中偉登、沢木ルカ、小松和重、光石研、古田新太、風吹ジュン　ほか村上龍『新13歳のハローワーク』(幻冬舎刊)大石哲也高橋伸之(テレビ朝日)TOKIO『羽田空港の奇跡』(ジェイ・ストーム)  【作詞・作曲】横山剣  【編曲】横山剣、KAM【ゼネラルプロデューサー】内山聖子(テレビ朝日)  【プロデューサー】中川慎子(テレビ朝日)、遠田孝一(MMJ)、浅井千瑞(MMJ)☆番組HP  　http://www.tv-asahi.co.jp/13sai/</t>
  </si>
  <si>
    <t>人生のやり直しを願う35歳の警察官・小暮鉄平(松岡昌宏)。ある日突然、22年前にタイムスリップ!将来のことを適当に考えている13歳の自分=テッペイ(田中偉登)に最高の人生を歩ませるため“再教育”することを決意するも</t>
  </si>
  <si>
    <t>番組名13歳のハローワーク　#2</t>
  </si>
  <si>
    <t>13歳のテッペイが通う塾の講師・翔子(桐谷美玲)が妙な手紙に悩まされ始める。でも鉄平の前では強がる翔子。一方、鉄平につきまとってくる高野(横山裕)。何故か鉄平は高野とともに下町の工場に働き始めることとなり、1990年でのハローワークが始める!!松岡昌宏(TOKIO)、横山裕(関ジャニ∞)、桐谷美玲、田中偉登、沢木ルカ、小松和重、光石研、古田新太、風吹ジュン　ほか村上龍『新13歳のハローワーク』(幻冬舎刊)大石哲也塚本連平(MMJ)TOKIO『羽田空港の奇跡』(ジェイ・ストーム)  【作詞・作曲】横山剣  【編曲】横山剣、KAM【ゼネラルプロデューサー】内山聖子(テレビ朝日)  【プロデューサー】中川慎子(テレビ朝日)、遠田孝一(MMJ)、浅井千瑞(MMJ)☆番組HP  　http://www.tv-asahi.co.jp/13sai/</t>
  </si>
  <si>
    <t>13歳のテッペイが通う塾の講師・翔子(桐谷美玲)が妙な手紙に悩まされ始める。でも鉄平の前では強がる翔子。一方、鉄平につきまとってくる高野(横山裕)。何故か鉄平は高野とともに下町の工場に働き始めることとなり、1990年でのハローワークが始める!!</t>
  </si>
  <si>
    <t>番組名13歳のハローワーク　#3</t>
  </si>
  <si>
    <t>1990年で高野(横山裕)と共に翔子(桐谷美玲)の家に居候することになった鉄平(松岡昌宏)。ひょんなことから鉄平と高野は看護師見習いとして病院に潜入することに!そこでベテラン看護師・若槻みのり(石田ひかり)と出会い、鉄平はみのりの働きぶりに尊敬の念を抱く。松岡昌宏(TOKIO)、横山裕(関ジャニ∞)、桐谷美玲、田中偉登、沢木ルカ、小松和重、光石研、古田新太、風吹ジュン　ほか村上龍『新13歳のハローワーク』(幻冬舎刊)大石哲也塚本連平(MMJ)TOKIO『羽田空港の奇跡』(ジェイ・ストーム)  【作詞・作曲】横山剣  【編曲】横山剣、KAM【ゼネラルプロデューサー】内山聖子(テレビ朝日)  【プロデューサー】中川慎子(テレビ朝日)、遠田孝一(MMJ)、浅井千瑞(MMJ)☆番組HP  　http://www.tv-asahi.co.jp/13sai/</t>
  </si>
  <si>
    <t>1990年で高野(横山裕)と共に翔子(桐谷美玲)の家に居候することになった鉄平(松岡昌宏)。ひょんなことから鉄平と高野は看護師見習いとして病院に潜入することに!そこでベテラン看護師・若槻みのり(石田ひかり)と出会い、鉄平はみのりの働きぶりに尊敬の念を抱く。</t>
  </si>
  <si>
    <t>番組名13歳のハローワーク　#4</t>
  </si>
  <si>
    <t>テッペイ(田中偉登)は相変わらず能天気で、鉄平(松岡昌宏)が理想の人生に導こうとしても糠に釘状態。そんな中、テッペイの塾仲間・岡島正人(高杉真宙)に漫画家デビューの話が!正人は過酷な条件を提示されるもデビューのために頑張ることを決意するが…。松岡昌宏(TOKIO)、横山裕(関ジャニ∞)、桐谷美玲、田中偉登、沢木ルカ、小松和重、光石研、古田新太、風吹ジュン　ほか村上龍『新13歳のハローワーク』(幻冬舎刊)大石哲也高橋伸之(テレビ朝日)TOKIO『羽田空港の奇跡』(ジェイ・ストーム)  【作詞・作曲】横山剣  【編曲】横山剣、KAM【ゼネラルプロデューサー】内山聖子(テレビ朝日)  【プロデューサー】中川慎子(テレビ朝日)、遠田孝一(MMJ)、浅井千瑞(MMJ)☆番組HP  　http://www.tv-asahi.co.jp/13sai/</t>
  </si>
  <si>
    <t>テッペイ(田中偉登)は相変わらず能天気で、鉄平(松岡昌宏)が理想の人生に導こうとしても糠に釘状態。そんな中、テッペイの塾仲間・岡島正人(高杉真宙)に漫画家デビューの話が!正人は過酷な条件を提示されるもデビューのために頑張ることを決意するが…。</t>
  </si>
  <si>
    <t>番組名13歳のハローワーク　#5</t>
  </si>
  <si>
    <t>バンドブーム到来!デビュー目前のバンドのボーカル・康介(木村了)を兄に持つ剛志(桑代貴明)は自身もバンドを組む。またもあっさりと感化されたテッペイ(田中偉登)はバンドに入りたいと大興奮!一方、鉄平はバンドの現場マネージャーを担当するよう命じられ…松岡昌宏(TOKIO)、横山裕(関ジャニ∞)、桐谷美玲、田中偉登、沢木ルカ、小松和重、光石研、古田新太、風吹ジュン　ほか村上龍『新13歳のハローワーク』(幻冬舎刊)倉持裕塚本連平(MMJ)TOKIO『羽田空港の奇跡』(ジェイ・ストーム)  【作詞・作曲】横山剣  【編曲】横山剣、KAM【ゼネラルプロデューサー】内山聖子(テレビ朝日)  【プロデューサー】中川慎子(テレビ朝日)、遠田孝一(MMJ)、浅井千瑞(MMJ)☆番組HP  　http://www.tv-asahi.co.jp/13sai/</t>
  </si>
  <si>
    <t>バンドブーム到来!デビュー目前のバンドのボーカル・康介(木村了)を兄に持つ剛志(桑代貴明)は自身もバンドを組む。またもあっさりと感化されたテッペイ(田中偉登)はバンドに入りたいと大興奮!一方、鉄平はバンドの現場マネージャーを担当するよう命じられ…</t>
  </si>
  <si>
    <t>番組名13歳のハローワーク　#6</t>
  </si>
  <si>
    <t>将来、いい男と結婚することを夢見る里奈(小野花梨)。だが、上昇志向が強い真帆(山本舞香)は目の敵にする。一方、鉄平(松岡昌宏)と高野(横山裕)はホストクラブで働くことに。客と仲良くなった高野はショッピングに出掛けるが、その様子を翔子(桐谷美玲)が目撃し…松岡昌宏(TOKIO)、横山裕(関ジャニ∞)、桐谷美玲、田中偉登、沢木ルカ、小松和重、光石研、古田新太、風吹ジュン　ほか村上龍『新13歳のハローワーク』(幻冬舎刊)内平未央梶山貴弘(テレビ朝日)TOKIO『羽田空港の奇跡』(ジェイ・ストーム)  【作詞・作曲】横山剣  【編曲】横山剣、KAM【ゼネラルプロデューサー】内山聖子(テレビ朝日)  【プロデューサー】中川慎子(テレビ朝日)、遠田孝一(MMJ)、浅井千瑞(MMJ)☆番組HP  　http://www.tv-asahi.co.jp/13sai/</t>
  </si>
  <si>
    <t>将来、いい男と結婚することを夢見る里奈(小野花梨)。だが、上昇志向が強い真帆(山本舞香)は目の敵にする。一方、鉄平(松岡昌宏)と高野(横山裕)はホストクラブで働くことに。客と仲良くなった高野はショッピングに出掛けるが、その様子を翔子(桐谷美玲)が目撃し…</t>
  </si>
  <si>
    <t>番組名13歳のハローワーク　#7</t>
  </si>
  <si>
    <t>鉄平(松岡昌宏)にチャンスが舞い込んできた!念願の捜査一課に配属されるかもしれない!だがその矢先、1990年にタイムスリップ。今回も高野(横山裕)と人気の“キャンパスカレー”のコックに。無事に2012年に帰れると思ったが…。更に新たな事件が幕を開ける!松岡昌宏(TOKIO)、横山裕(関ジャニ∞)、桐谷美玲、田中偉登、沢木ルカ、小松和重、光石研、古田新太、風吹ジュン　ほか村上龍『新13歳のハローワーク』(幻冬舎刊)大石哲也高橋伸之(テレビ朝日)TOKIO『羽田空港の奇跡』(ジェイ・ストーム)  【作詞・作曲】横山剣  【編曲】横山剣、KAM【ゼネラルプロデューサー】内山聖子(テレビ朝日)  【プロデューサー】中川慎子(テレビ朝日)、遠田孝一(MMJ)、浅井千瑞(MMJ)☆番組HP  　http://www.tv-asahi.co.jp/13sai/</t>
  </si>
  <si>
    <t>鉄平(松岡昌宏)にチャンスが舞い込んできた!念願の捜査一課に配属されるかもしれない!だがその矢先、1990年にタイムスリップ。今回も高野(横山裕)と人気の“キャンパスカレー”のコックに。無事に2012年に帰れると思ったが…。更に新たな事件が幕を開ける!</t>
  </si>
  <si>
    <t>番組名13歳のハローワーク　#8</t>
  </si>
  <si>
    <t>1990年にタイムスリップした鉄平(松岡昌宏)は何をやっても2012年に戻れず、とうとう捜査一課への異動が懸かった面談のタイムリミットを迎えてしまった。そんな中、連続して起こる強盗事件の捜査に鉄平と高野(横山裕)は乗り出すが…!?さらに、翔子にも危険が!?松岡昌宏(TOKIO)、横山裕(関ジャニ∞)、桐谷美玲、田中偉登、沢木ルカ、小松和重、光石研、古田新太、風吹ジュン　ほか村上龍『新13歳のハローワーク』(幻冬舎刊)大石哲也塚本連平(MMJ)TOKIO『羽田空港の奇跡』(ジェイ・ストーム)  【作詞・作曲】横山剣  【編曲】横山剣、KAM【ゼネラルプロデューサー】内山聖子(テレビ朝日)  【プロデューサー】中川慎子(テレビ朝日)、遠田孝一(MMJ)、浅井千瑞(MMJ)☆番組HP  　http://www.tv-asahi.co.jp/13sai/</t>
  </si>
  <si>
    <t>1990年にタイムスリップした鉄平(松岡昌宏)は何をやっても2012年に戻れず、とうとう捜査一課への異動が懸かった面談のタイムリミットを迎えてしまった。そんな中、連続して起こる強盗事件の捜査に鉄平と高野(横山裕)は乗り出すが…!?さらに、翔子にも危険が!?</t>
  </si>
  <si>
    <t>番組名13歳のハローワーク</t>
  </si>
  <si>
    <t>高野(横山裕)と翔子(桐谷美玲)に未来から来たことがバレてしまった鉄平。テッペイの身に危険が及ぶことを恐れ、ボディーガードを買って出る。その時、あの22年前の事件の記憶が甦る!テッペイを守る為、事件の発生を阻止する為、鉄平の最期のハローワークが始まる!松岡昌宏(TOKIO)、横山裕(関ジャニ∞)、桐谷美玲、田中偉登、沢木ルカ、小松和重、光石研、古田新太、風吹ジュン　ほか  【ゲスト】  丸山隆平(関ジャニ∞)村上龍『新13歳のハローワーク』(幻冬舎刊)大石哲也高橋伸之(テレビ朝日)TOKIO『羽田空港の奇跡』(ジェイ・ストーム)  【作詞・作曲】横山剣  【編曲】横山剣、KAM【ゼネラルプロデューサー】内山聖子(テレビ朝日)  【プロデューサー】中川慎子(テレビ朝日)、遠田孝一(MMJ)、浅井千瑞(MMJ)☆番組HP  　http://www.tv-asahi.co.jp/13sai/</t>
  </si>
  <si>
    <t>高野(横山裕)と翔子(桐谷美玲)に未来から来たことがバレてしまった鉄平。テッペイの身に危険が及ぶことを恐れ、ボディーガードを買って出る。その時、あの22年前の事件の記憶が甦る!テッペイを守る為、事件の発生を阻止する為、鉄平の最期のハローワークが始まる!</t>
  </si>
  <si>
    <t>1201_EX_日23</t>
  </si>
  <si>
    <t>妄想捜査</t>
  </si>
  <si>
    <t>番組名妄想捜査～桑潟幸一准教授のスタイリッシュな生活　#1</t>
  </si>
  <si>
    <t>呪われた研究室を使用していた教授が、季節はずれの雪に吹き飛ばされて窓から転落する怪奇事件が発生。学生の間で“エイプリルゴースト”と恐れられる幽霊に立ち向かうのは、妄想以外にとりえもない新任の准教授・桑潟幸一。大学構内に棲む謎のホームレス女子大生と組んで、事件の真相に斬りこんでいく。佐藤隆太、桜庭ななみ、倉科カナ、竹富聖花、河北麻友子、藤村聖子、渡部秀、升毅、倍賞美津子奥泉光『桑潟幸一准教授のスタイリッシュな生活』(文藝春秋刊)森ハヤシ小泉徳宏(ROBOT)チャットモンチー『満月に吠えろ』(キューンレコード)【ゼネラルプロデューサー】横地郁英(テレビ朝日)  【プロデューサー】関拓也(テレビ朝日)、目黒正之(東映)、和佐野健一(東映)☆番組HP  　http://www.tv-asahi.co.jp/mousou/</t>
  </si>
  <si>
    <t>呪われた研究室を使用していた教授が、季節はずれの雪に吹き飛ばされて窓から転落する怪奇事件が発生。学生の間で“エイプリルゴースト”と恐れられる幽霊に立ち向かうのは、妄想以外にとりえもない新任の准教授・桑潟幸一。大学構内に棲む謎のホームレス女子大生と組んで、事件の真相に斬りこんでいく。</t>
  </si>
  <si>
    <t>番組名妄想捜査～桑潟幸一准教授のスタイリッシュな生活　#2</t>
  </si>
  <si>
    <t>佐藤隆太、桜庭ななみ、倉科カナ、竹富聖花、河北麻友子、藤村聖子、渡部秀、升毅、倍賞美津子  【ゲスト】  野波麻帆、橋本さとし奥泉光『桑潟幸一准教授のスタイリッシュな生活』(文藝春秋刊)山岡真介及川拓郎チャットモンチー『満月に吠えろ』(キューンレコード)【ゼネラルプロデューサー】横地郁英(テレビ朝日)  【プロデューサー】関拓也(テレビ朝日)、目黒正之(東映)、和佐野健一(東映)☆番組HP  　http://www.tv-asahi.co.jp/mousou/</t>
  </si>
  <si>
    <t>番組名妄想捜査～桑潟幸一准教授のスタイリッシュな生活　#3</t>
  </si>
  <si>
    <t>佐藤隆太、桜庭ななみ、倉科カナ、竹富聖花、河北麻友子、藤村聖子、渡部秀、升毅奥泉光『桑潟幸一准教授のスタイリッシュな生活』(文藝春秋刊)及川拓郎及川拓郎チャットモンチー『満月に吠えろ』(キューンレコード)【ゼネラルプロデューサー】横地郁英(テレビ朝日)  【プロデューサー】関拓也(テレビ朝日)、目黒正之(東映)、和佐野健一(東映)☆番組HP  　http://www.tv-asahi.co.jp/mousou/</t>
  </si>
  <si>
    <t>番組名妄想捜査～桑潟幸一准教授のスタイリッシュな生活　#4</t>
  </si>
  <si>
    <t>佐藤隆太、桜庭ななみ、倉科カナ、竹富聖花、河北麻友子、藤村聖子、渡部秀、升毅奥泉光『桑潟幸一准教授のスタイリッシュな生活』(文藝春秋刊)森ハヤシ七高剛チャットモンチー『満月に吠えろ』(キューンレコード)【ゼネラルプロデューサー】横地郁英(テレビ朝日)  【プロデューサー】関拓也(テレビ朝日)、目黒正之(東映)、和佐野健一(東映)☆番組HP  　http://www.tv-asahi.co.jp/mousou/</t>
  </si>
  <si>
    <t>番組名妄想捜査～桑潟幸一准教授のスタイリッシュな生活　#5</t>
  </si>
  <si>
    <t>番組名妄想捜査～桑潟幸一准教授のスタイリッシュな生活　#6</t>
  </si>
  <si>
    <t>佐藤隆太、桜庭ななみ、倉科カナ、竹富聖花、河北麻友子、藤村聖子、渡部秀、升毅、倍賞美津子奥泉光『桑潟幸一准教授のスタイリッシュな生活』(文藝春秋刊)及川拓郎及川拓郎チャットモンチー『満月に吠えろ』(キューンレコード)【ゼネラルプロデューサー】横地郁英(テレビ朝日)  【プロデューサー】関拓也(テレビ朝日)、目黒正之(東映)、和佐野健一(東映)☆番組HP  　http://www.tv-asahi.co.jp/mousou/</t>
  </si>
  <si>
    <t>番組名妄想捜査～桑潟幸一准教授のスタイリッシュな生活　#7</t>
  </si>
  <si>
    <t>佐藤隆太、桜庭ななみ、倉科カナ、竹富聖花、河北麻友子、藤村聖子、渡部秀、升毅奥泉光『桑潟幸一准教授のスタイリッシュな生活』(文藝春秋刊)山岡真介石井裕也チャットモンチー『満月に吠えろ』(キューンレコード)【ゼネラルプロデューサー】横地郁英(テレビ朝日)  【プロデューサー】関拓也(テレビ朝日)、目黒正之(東映)、和佐野健一(東映)☆番組HP  　http://www.tv-asahi.co.jp/mousou/</t>
  </si>
  <si>
    <t>番組名妄想捜査～桑潟幸一准教授のスタイリッシュな生活</t>
  </si>
  <si>
    <t>佐藤隆太、桜庭ななみ、倉科カナ、竹富聖花、河北麻友子、藤村聖子、渡部秀、升毅、倍賞美津子  【ゲスト】  原沙知絵奥泉光『桑潟幸一准教授のスタイリッシュな生活』(文藝春秋刊)森ハヤシ石井裕也チャットモンチー『満月に吠えろ』(キューンレコード)【ゼネラルプロデューサー】横地郁英(テレビ朝日)  【プロデューサー】関拓也(テレビ朝日)、目黒正之(東映)、和佐野健一(東映)☆番組HP  　http://www.tv-asahi.co.jp/mousou/</t>
  </si>
  <si>
    <t>1110_EX_木21</t>
  </si>
  <si>
    <t>DOCTORS</t>
  </si>
  <si>
    <t>番組名DOCTORS　最強の名医　#1</t>
  </si>
  <si>
    <t>赤字経営に悩む病院に外科医・相良(沢村一樹)がやって来る。院長の堂上たまき(野際陽子)は相良をいまひとつ信用できないまま採用を決める。森山(高嶋政伸)がオペを行なっていると、患者が急変。主治医の皆川(伊藤蘭)や森山も動揺する中、相良が手術室に現れて!?沢村一樹、高嶋政伸、比嘉愛未、黒川智花、滝沢沙織、敦士、小野武彦、伊藤蘭、野際陽子ほか福田靖本橋圭太JUJU『Lullaby Of Birdland』  (ソニー・ミュージック・アソシエイテッド・レコーズ)【ゼネラルプロデューサー】黒田徹也(テレビ朝日)  【プロデューサー】三輪祐見子(テレビ朝日)、及川博則(アズバーズ)、松野千鶴子(アズバーズ)☆番組HP  　http://www.tv-asahi.co.jp/doctors/</t>
  </si>
  <si>
    <t>赤字経営に悩む病院に外科医・相良(沢村一樹)がやって来る。院長の堂上たまき(野際陽子)は相良をいまひとつ信用できないまま採用を決める。森山(高嶋政伸)がオペを行なっていると、患者が急変。主治医の皆川(伊藤蘭)や森山も動揺する中、相良が手術室に現れて!?</t>
  </si>
  <si>
    <t>番組名DOCTORS　最強の名医　#2</t>
  </si>
  <si>
    <t>独断で手術を行なったことで相良(沢村一樹)は森山(高嶋政伸)ら他の医師や看護師から孤立する。だが一向に意に介さず次々と病院の改革を提案していく。救命救急を開始したある日、腹部痛を訴える女性が搬送されてくる。一方、病院を辞めようとしていた内科医の皆川(伊藤蘭)は?沢村一樹、高嶋政伸、比嘉愛未、黒川智花、滝沢沙織、敦士、伊藤蘭、野際陽子福田靖本橋圭太JUJU『Lullaby Of Birdland』  (ソニー・ミュージック・アソシエイテッド・レコーズ)【ゼネラルプロデューサー】黒田徹也(テレビ朝日)  【プロデューサー】三輪祐見子(テレビ朝日)、及川博則(アズバーズ)、松野千鶴子(アズバーズ)☆番組HP  　http://www.tv-asahi.co.jp/doctors/</t>
  </si>
  <si>
    <t>独断で手術を行なったことで相良(沢村一樹)は森山(高嶋政伸)ら他の医師や看護師から孤立する。だが一向に意に介さず次々と病院の改革を提案していく。救命救急を開始したある日、腹部痛を訴える女性が搬送されてくる。一方、病院を辞めようとしていた内科医の皆川(伊藤蘭)は?</t>
  </si>
  <si>
    <t>番組名DOCTORS　最強の名医　#3</t>
  </si>
  <si>
    <t>『総合診療科』の設立を提案した相良(沢村一樹)。森山(高嶋政伸)はそんな相良をいまいましく思っていた。ある日、「腹膜偽粘液腫」という難病の患者がやってきた。相良は高難度であるそのオペを森山に頼みたいと申し出る。相良の真意を測りかねる森山だったが、ある策を胸に執刀を引き受ける…。沢村一樹、高嶋政伸、比嘉愛未、黒川智花、滝沢沙織、敦士、小野武彦、伊藤蘭、野際陽子　ほか福田靖猪原達三JUJU『Lullaby Of Birdland』  (ソニー・ミュージック・アソシエイテッド・レコーズ)【ゼネラルプロデューサー】黒田徹也(テレビ朝日)  【プロデューサー】三輪祐見子(テレビ朝日)、及川博則(アズバーズ)、松野千鶴子(アズバーズ)☆番組HP  　http://www.tv-asahi.co.jp/doctors/</t>
  </si>
  <si>
    <t>『総合診療科』の設立を提案した相良(沢村一樹)。森山(高嶋政伸)はそんな相良をいまいましく思っていた。ある日、「腹膜偽粘液腫」という難病の患者がやってきた。相良は高難度であるそのオペを森山に頼みたいと申し出る。相良の真意を測りかねる森山だったが、ある策を胸に執刀を引き受ける…。</t>
  </si>
  <si>
    <t>番組名DOCTORS　最強の名医　#4</t>
  </si>
  <si>
    <t>相良(沢村一樹)の計らいで同室に入院することになったエリート中学生・俊(西山潤)とホームレスの男・野々村(浅野和之)。2人には、意外な共通点があった。やがて野々村の隠された過去が明らかになっていく。一方で森山(高嶋政伸)は相良の患者の受け入れ体制に反発する!沢村一樹、高嶋政伸、比嘉愛未、黒川智花、滝沢沙織、敦士、伊藤蘭、野際陽子福田靖猪原達三JUJU『Lullaby Of Birdland』  (ソニー・ミュージック・アソシエイテッド・レコーズ)【ゼネラルプロデューサー】黒田徹也(テレビ朝日)  【プロデューサー】三輪祐見子(テレビ朝日)、及川博則(アズバーズ)、松野千鶴子(アズバーズ)☆番組HP  　http://www.tv-asahi.co.jp/doctors/</t>
  </si>
  <si>
    <t>相良(沢村一樹)の計らいで同室に入院することになったエリート中学生・俊(西山潤)とホームレスの男・野々村(浅野和之)。2人には、意外な共通点があった。やがて野々村の隠された過去が明らかになっていく。一方で森山(高嶋政伸)は相良の患者の受け入れ体制に反発する!</t>
  </si>
  <si>
    <t>番組名DOCTORS　最強の名医　#5</t>
  </si>
  <si>
    <t>ある日、佐々井(正名僕蔵)は亜美(黒川智花)に「ナースの立場をわきまえろ」と発言。森山(高嶋政伸)ら他の外科医達も同等の考えだ。看護師達は怒りを募らせ、対立が激化していた。相良(沢村一樹)は、ある策を講じ、佐知(比嘉愛未)を焚きつけるが…?沢村一樹、高嶋政伸、比嘉愛未、黒川智花、滝沢沙織、敦士、伊藤蘭、野際陽子福田靖本橋圭太JUJU『Lullaby Of Birdland』  (ソニー・ミュージック・アソシエイテッド・レコーズ)【ゼネラルプロデューサー】黒田徹也(テレビ朝日)  【プロデューサー】三輪祐見子(テレビ朝日)、及川博則(アズバーズ)、松野千鶴子(アズバーズ)☆番組HP  　http://www.tv-asahi.co.jp/doctors/</t>
  </si>
  <si>
    <t>ある日、佐々井(正名僕蔵)は亜美(黒川智花)に「ナースの立場をわきまえろ」と発言。森山(高嶋政伸)ら他の外科医達も同等の考えだ。看護師達は怒りを募らせ、対立が激化していた。相良(沢村一樹)は、ある策を講じ、佐知(比嘉愛未)を焚きつけるが…?</t>
  </si>
  <si>
    <t>番組名DOCTORS　最強の名医　#6</t>
  </si>
  <si>
    <t>相良(沢村一樹)は手術を行なったゆき乃(加藤貴子)の術後の容態が思わしくなく、原因究明に奔走していた。その頃、医療専門誌の企画『日本のスーパー外科医100人』の候補に相良が選ばれる。相良は森山(高嶋政伸)も立派なドクターだ、と推薦するが…?沢村一樹、高嶋政伸、比嘉愛未、黒川智花、滝沢沙織、敦士、伊藤蘭、野際陽子福田靖本橋圭太JUJU『Lullaby Of Birdland』  (ソニー・ミュージック・アソシエイテッド・レコーズ)【ゼネラルプロデューサー】黒田徹也(テレビ朝日)  【プロデューサー】三輪祐見子(テレビ朝日)、及川博則(アズバーズ)、松野千鶴子(アズバーズ)☆番組HP  　http://www.tv-asahi.co.jp/doctors/</t>
  </si>
  <si>
    <t>相良(沢村一樹)は手術を行なったゆき乃(加藤貴子)の術後の容態が思わしくなく、原因究明に奔走していた。その頃、医療専門誌の企画『日本のスーパー外科医100人』の候補に相良が選ばれる。相良は森山(高嶋政伸)も立派なドクターだ、と推薦するが…?</t>
  </si>
  <si>
    <t>番組名DOCTORS　最強の名医　#7</t>
  </si>
  <si>
    <t>堂上総合病院に10歳の光太郎(澁谷武尊)が肝硬変で入院してくる。最悪の場合、肝臓がんにも発展しかねない病状に。生体肝移植を提案する相良(沢村一樹)だが、森山(高嶋政伸)らにリスクが高すぎると反対されてしまう。そんな中、相良にも最大の危機が訪れようとしていて…?沢村一樹、高嶋政伸、比嘉愛未、黒川智花、滝沢沙織、敦士、伊藤蘭、野際陽子福田靖猪原達三JUJU『Lullaby Of Birdland』  (ソニー・ミュージック・アソシエイテッド・レコーズ)【ゼネラルプロデューサー】黒田徹也(テレビ朝日)  【プロデューサー】三輪祐見子(テレビ朝日)、及川博則(アズバーズ)、松野千鶴子(アズバーズ)☆番組HP  　http://www.tv-asahi.co.jp/doctors/</t>
  </si>
  <si>
    <t>堂上総合病院に10歳の光太郎(澁谷武尊)が肝硬変で入院してくる。最悪の場合、肝臓がんにも発展しかねない病状に。生体肝移植を提案する相良(沢村一樹)だが、森山(高嶋政伸)らにリスクが高すぎると反対されてしまう。そんな中、相良にも最大の危機が訪れようとしていて…?</t>
  </si>
  <si>
    <t>番組名DOCTORS　最強の名医</t>
  </si>
  <si>
    <t>胃がんが発覚した相良(沢村一樹)は、その手術を森山(高嶋政伸)に依頼する。森山に命を託す相良だったが、相良を嫌う森山の心は揺れ動く。一方、生体肝移植を目指す光太郎(澁谷武尊)のドナー探しも難航していた。果たして相良の手術は成功するのか?光太郎の運命は!?沢村一樹、高嶋政伸、比嘉愛未、黒川智花、滝沢沙織、敦士、伊藤蘭、野際陽子福田靖猪原達三JUJU『Lullaby Of Birdland』  (ソニー・ミュージック・アソシエイテッド・レコーズ)【ゼネラルプロデューサー】黒田徹也(テレビ朝日)  【プロデューサー】三輪祐見子(テレビ朝日)、及川博則(アズバーズ)、松野千鶴子(アズバーズ)☆番組HP  　http://www.tv-asahi.co.jp/doctors/</t>
  </si>
  <si>
    <t>胃がんが発覚した相良(沢村一樹)は、その手術を森山(高嶋政伸)に依頼する。森山に命を託す相良だったが、相良を嫌う森山の心は揺れ動く。一方、生体肝移植を目指す光太郎(澁谷武尊)のドナー探しも難航していた。果たして相良の手術は成功するのか?光太郎の運命は!?</t>
  </si>
  <si>
    <t>1110_EX_金23</t>
  </si>
  <si>
    <t>11人もいる！</t>
  </si>
  <si>
    <t>番組名11人もいる!　#1</t>
  </si>
  <si>
    <t>子供8人の真田家の父親・実(田辺誠一)は仕事がないカメラマンで、母親の恵(光浦靖子)のカフェには客が来ない。10名の貧乏大家族を長男・一男(神木隆之介)が支えている。ある日、末っ子の才悟(加藤清史郎)に謎の幽霊(広末涼子)が見え…!?神木隆之介、光浦靖子、加藤清史郎、星野源、有村架純、金井美樹、皆川猿時、小松和重、野村麻純、広末涼子(特別出演)、田辺誠一宮藤官九郎片山修(テレビ朝日)NICO Touches the Walls『バイシクル』(Sony Music)【ゼネラルプロデューサー】黒田徹也(テレビ朝日)  【プロデューサー】:中川慎子(テレビ朝日)、中込卓也(テレビ朝日)、小池唯一(泉放送)☆番組HP  　http://www.tv-asahi.co.jp/11nin/</t>
  </si>
  <si>
    <t>子供8人の真田家の父親・実(田辺誠一)は仕事がないカメラマンで、母親の恵(光浦靖子)のカフェには客が来ない。10名の貧乏大家族を長男・一男(神木隆之介)が支えている。ある日、末っ子の才悟(加藤清史郎)に謎の幽霊(広末涼子)が見え…!?</t>
  </si>
  <si>
    <t>番組名11人もいる!#2</t>
  </si>
  <si>
    <t>向田邦子賞受賞後、人気脚本家・宮藤官九郎が初めて描く待望の連続ドラマ!“大家族”をテーマにした“笑って”“泣ける”まったく新しいホームドラマがついに誕生!神木隆之介、光浦靖子、加藤清史郎、星野源、有村架純、金井美樹、皆川猿時、小松和重、野村麻純、広末涼子(特別出演)、田辺誠一宮藤官九郎片山修(テレビ朝日)NICO Touches the Walls『バイシクル』(Sony Music)【ゼネラルプロデューサー】黒田徹也(テレビ朝日)  【プロデューサー】:中川慎子(テレビ朝日)、中込卓也(テレビ朝日)、小池唯一(泉放送制作)☆番組HP  　http://www.tv-asahi.co.jp/11nin/</t>
  </si>
  <si>
    <t>向田邦子賞受賞後、人気脚本家・宮藤官九郎が初めて描く待望の連続ドラマ!“大家族”をテーマにした“笑って”“泣ける”まったく新しいホームドラマがついに誕生!</t>
  </si>
  <si>
    <t>番組名11人もいる!　#3</t>
  </si>
  <si>
    <t>向田邦子賞受賞後、人気脚本家・宮藤官九郎が初めて描く待望の連続ドラマ!“大家族”をテーマにした“笑って”“泣ける”まったく新しいホームドラマがついに誕生!神木隆之介、光浦靖子、加藤清史郎、星野源、有村架純、金井美樹、皆川猿時、小松和重、野村麻純、広末涼子(特別出演)、田辺誠一宮藤官九郎唐木希浩NICO Touches the Walls『バイシクル』(Ki/oon Records)【ゼネラルプロデューサー】黒田徹也(テレビ朝日)  【プロデューサー】:中川慎子(テレビ朝日)、中込卓也(テレビ朝日)、小池唯一(泉放送制作)☆番組HP  　http://www.tv-asahi.co.jp/11nin/</t>
  </si>
  <si>
    <t>番組名11人もいる!　#4</t>
  </si>
  <si>
    <t>向田邦子賞受賞後、人気脚本家・宮藤官九郎が初めて描く待望の連続ドラマ!“大家族”をテーマにした“笑って”“泣ける”まったく新しいホームドラマがついに誕生!神木隆之介、光浦靖子、加藤清史郎、星野源、有村架純、金井美樹、皆川猿時、小松和重、野村麻純、広末涼子(特別出演)、田辺誠一宮藤官九郎唐木希浩NICO Touches the Walls『バイシクル』(Ki/oon Records)【ゼネラルプロデューサー】黒田徹也(テレビ朝日)  【プロデューサー】中川慎子(テレビ朝日)、中込卓也(テレビ朝日)、小池唯一(泉放送制作)☆番組HP  　http://www.tv-asahi.co.jp/11nin/</t>
  </si>
  <si>
    <t>番組名11人もいる!　#5</t>
  </si>
  <si>
    <t>向田邦子賞受賞後、人気脚本家・宮藤官九郎が初めて描く待望の連続ドラマ!“大家族”をテーマにした“笑って”“泣ける”まったく新しいホームドラマがついに誕生!神木隆之介、光浦靖子、加藤清史郎、星野源、有村架純、金井美樹、皆川猿時、小松和重、野村麻純、広末涼子(特別出演)、田辺誠一宮藤官九郎片山修(テレビ朝日)NICO Touches the Walls『バイシクル』(Ki/oon Records)【ゼネラルプロデューサー】黒田徹也(テレビ朝日)  【プロデューサー】中川慎子(テレビ朝日)、中込卓也(テレビ朝日)、小池唯一(泉放送制作)☆番組HP  　http://www.tv-asahi.co.jp/11nin/</t>
  </si>
  <si>
    <t>番組名11人もいる!　#6</t>
  </si>
  <si>
    <t>番組名11人もいる!　#7</t>
  </si>
  <si>
    <t>番組名11人もいる!　#8</t>
  </si>
  <si>
    <t>番組名11人もいる!</t>
  </si>
  <si>
    <t>1107_EX_木21</t>
  </si>
  <si>
    <t>陽はまた昇る</t>
  </si>
  <si>
    <t>番組名陽はまた昇る　#1</t>
  </si>
  <si>
    <t>捜査一課の刑事・遠野一行(佐藤浩市)はある事件の責任を取り、警察学校の新任教官として訓練生を指導することになった。そこで待っていたのは、宮田英二(三浦春馬)をはじめとした、甘い考えを持つイマドキの若き訓練生たち。彼らの戦いの夏が始まる!佐藤浩市、三浦春馬、池松壮亮、斉藤由貴、ARATA、YOU、六角精児、石野真子、真矢みき、橋爪功井上由美子秋山純(テレビ朝日)、今井和久(MMJ)江口貴勅EXILE　ATSUSHI『いつかきっと…』(rhythm　zone)プロデューサー:黒田徹也(テレビ朝日)、清水真由美(MMJ)☆番組HP  　http://www.tv-asahi.co.jp/hiwamatanoboru/</t>
  </si>
  <si>
    <t>捜査一課の刑事・遠野一行(佐藤浩市)はある事件の責任を取り、警察学校の新任教官として訓練生を指導することになった。そこで待っていたのは、宮田英二(三浦春馬)をはじめとした、甘い考えを持つイマドキの若き訓練生たち。彼らの戦いの夏が始まる!</t>
  </si>
  <si>
    <t>番組名陽はまた昇る　#2</t>
  </si>
  <si>
    <t>警察学校を舞台に、新任教官・遠野(佐藤浩市)と訓練生たち、そして彼らを取り巻く様々な大人たちがぶつかり、成長していく姿を描く、この夏一番胸を熱くする人間ドラマ!佐藤浩市、三浦春馬、池松壮亮、斉藤由貴、ARATA、YOU、六角精児、石野真子、真矢みき、橋爪功井上由美子秋山純(テレビ朝日)、今井和久(MMJ)江口貴勅EXILE　ATSUSHI『いつかきっと…』(rhythm　zone)プロデューサー:黒田徹也(テレビ朝日)、清水真由美(MMJ)☆番組HP  　http://www.tv-asahi.co.jp/hiwamatanoboru/  この番組は、放送開始時間が変更になる場合があります。  ご了承ください。</t>
  </si>
  <si>
    <t>番組名陽はまた昇る　#3</t>
  </si>
  <si>
    <t>警察学校を舞台に、新任教官・遠野(佐藤浩市)と訓練生たち、そして彼らを取り巻く様々な大人たちがぶつかり、成長していく姿を描く、この夏一番胸を熱くする人間ドラマ!佐藤浩市、三浦春馬、池松壮亮、斉藤由貴、ARATA、YOU、六角精児、石野真子、真矢みき、橋爪功井上由美子今井和久江口貴勅EXILE　ATSUSHI『いつかきっと…』(rhythm　zone)プロデューサー:黒田徹也(テレビ朝日)、清水真由美(MMJ)☆番組HP  　http://www.tv-asahi.co.jp/hiwamatanoboru/</t>
  </si>
  <si>
    <t>番組名陽はまた昇る　#4</t>
  </si>
  <si>
    <t>警察学校を舞台に、新任教官・遠野(佐藤浩市)と訓練生たち、そして彼らを取り巻く様々な大人たちがぶつかり、成長していく姿を描く、この夏一番胸を熱くする人間ドラマ!佐藤浩市、三浦春馬、池松壮亮、斉藤由貴、ARATA、YOU、六角精児、石野真子、真矢みき、橋爪功井上由美子秋山純(テレビ朝日)、今井和久(MMJ)江口貴勅EXILE　ATSUSHI『いつかきっと…』(rhythm　zone)プロデューサー:黒田徹也(テレビ朝日)、清水真由美(MMJ)☆番組HP  　http://www.tv-asahi.co.jp/hiwamatanoboru/</t>
  </si>
  <si>
    <t>番組名陽はまた昇る　#5</t>
  </si>
  <si>
    <t>警察学校を舞台に、新任教官・遠野(佐藤浩市)と訓練生たち、そして彼らを取り巻く様々な大人たちがぶつかり、成長していく姿を描く、この夏一番胸を熱くする人間ドラマ!佐藤浩市、三浦春馬、池松壮亮、斉藤由貴、ARATA、YOU、六角精児、石野真子、真矢みき、橋爪功井上由美子秋山純(テレビ朝日)江口貴勅EXILE　ATSUSHI『いつかきっと…』(rhythm　zone)プロデューサー:黒田徹也(テレビ朝日)、清水真由美(MMJ)☆番組HP  　http://www.tv-asahi.co.jp/hiwamatanoboru/</t>
  </si>
  <si>
    <t>番組名陽はまた昇る　#6</t>
  </si>
  <si>
    <t>番組名陽はまた昇る　#7</t>
  </si>
  <si>
    <t>番組名陽はまた昇る　#8</t>
  </si>
  <si>
    <t>警察学校を舞台に、新任教官・遠野(佐藤浩市)と訓練生たち、そして彼らを取り巻く様々な大人たちがぶつかり、成長していく姿を描く、この夏一番胸を熱くする人間ドラマ!佐藤浩市、三浦春馬、池松壮亮、斉藤由貴、ARATA、YOU、六角精児、石野真子、真矢みき、橋爪功井上由美子今井和久(MMJ)江口貴勅EXILE　ATSUSHI『いつかきっと…』(rhythm　zone)プロデューサー:黒田徹也(テレビ朝日)、清水真由美(MMJ)☆番組HP  　http://www.tv-asahi.co.jp/hiwamatanoboru/</t>
  </si>
  <si>
    <t>番組名陽はまた昇る</t>
  </si>
  <si>
    <t>1107_EX_金23</t>
  </si>
  <si>
    <t>ジウ</t>
  </si>
  <si>
    <t>番組名ジウ　警視庁特殊犯捜査係</t>
  </si>
  <si>
    <t>ベストセラー作家・誉田哲也氏による、  傑作警察小説が黒木メイサ×多部未華子のW主演で待望の連続ドラマ化!  相反する2人の女刑事が謎の殺人者・ジウを追い詰める!  スリルとサスペンスに目が離せない!黒木メイサ、多部未華子  城田優、北村有起哉、L/モロ師岡、姜暢雄、小柳友  矢島健一、岸本加世子(友情出演)、伊武雅刀誉田哲也  『ジウI　警視庁特殊犯捜査係』  『ジウII　警視庁特殊急襲部隊』  『ジウIII　新世界秩序』  (中公文庫刊)菱田信也片山修レディー・ガガ『ジ・エッジ・オブ・グローリー』  (ユニバーサルインターナショナル)  ※アルバム『BORN　THIS　WAY』に収録ゼネラルプロデューサー:内山聖子(テレビ朝日)  プロデューサー:大江達樹(テレビ朝日)、阿部謙三(東宝)、神戸明(東宝映画)☆番組HP  　http://www.tv-asahi.co.jp/jiu/  この番組は、開始時間が変更になる場合があります。  ご了承ください。</t>
  </si>
  <si>
    <t>ベストセラー作家・誉田哲也氏による、  傑作警察小説が黒木メイサ×多部未華子のW主演で待望の連続ドラマ化!  相反する2人の女刑事が謎の殺人者・ジウを追い詰める!  スリルとサスペンスに目が離せない!</t>
  </si>
  <si>
    <t>番組名ジウ　警視庁特殊犯捜査係　#2</t>
  </si>
  <si>
    <t>「服を脱げ!」目の前には人質にナイフを突きつけている犯人・・・  絶体絶命の危機に立たされる美咲!  そして、建物の周囲の警察官を退避させていないことに気付いた岡村は逆上!さらに基子は突入の際、犯人に向けて発砲!?  果たして基子、美咲、人質、犯人の運命は…黒木メイサ、多部未華子  城田優、北村有起哉、L(エル) / モロ師岡、姜暢雄、小柳友/矢島健一、岸本加世子(友情出演)、伊武雅刀誉田哲也  『ジウI　警視庁特殊犯捜査係』  『ジウII　警視庁特殊急襲部隊』  『ジウIII　新世界秩序』  (中公文庫刊)菱田信也片山修レディー・ガガ『ジ・エッジ・オブ・グローリー』  (ユニバーサルインターナショナル)  ※アルバム『BORN　THIS　WAY』に収録ゼネラルプロデューサー:内山聖子(テレビ朝日)  プロデューサー:大江達樹(テレビ朝日)、阿部謙三(東宝)、神戸明(東宝映画)☆番組HP  　http://www.tv-asahi.co.jp/jiu/</t>
  </si>
  <si>
    <t>「服を脱げ!」目の前には人質にナイフを突きつけている犯人・・・  絶体絶命の危機に立たされる美咲!  そして、建物の周囲の警察官を退避させていないことに気付いた岡村は逆上!さらに基子は突入の際、犯人に向けて発砲!?  果たして基子、美咲、人質、犯人の運命は…</t>
  </si>
  <si>
    <t>番組名ジウ　警視庁特殊犯捜査係　#3</t>
  </si>
  <si>
    <t>基子はSATへ異動!美咲は未解決の『利憲ちゃん誘拐事件』の捜査本部へ!  立てこもり犯の岡村が誘拐事件に関与しているという疑惑が浮上!  美咲は自分を切りつけた、岡村と対峙することに!  そんな中、ある廃屋で3体の死体が発見され…?衝撃の事実に直面する!黒木メイサ、多部未華子  城田優、北村有起哉、L(エル) / 飯田基祐　宮川一朗太/矢島健一、岸本加世子(友情出演)、伊武雅刀誉田哲也  『ジウI　警視庁特殊犯捜査係』  『ジウII　警視庁特殊急襲部隊』  『ジウIII　新世界秩序』  (中公文庫刊)菱田信也藤田明二レディー・ガガ『ジ・エッジ・オブ・グローリー』  (ユニバーサルインターナショナル)  ※アルバム『BORN　THIS　WAY』に収録ゼネラルプロデューサー:内山聖子(テレビ朝日)  プロデューサー:大江達樹(テレビ朝日)、阿部謙三(東宝)、神戸明(東宝映画)☆番組HP  　http://www.tv-asahi.co.jp/jiu/  この番組は放送開始時間が変更になる場合があります。ご了承ください。</t>
  </si>
  <si>
    <t>基子はSATへ異動!美咲は未解決の『利憲ちゃん誘拐事件』の捜査本部へ!  立てこもり犯の岡村が誘拐事件に関与しているという疑惑が浮上!  美咲は自分を切りつけた、岡村と対峙することに!  そんな中、ある廃屋で3体の死体が発見され…?衝撃の事実に直面する!</t>
  </si>
  <si>
    <t>番組名ジウ　警視庁特殊犯捜査係　#4</t>
  </si>
  <si>
    <t>利憲の証言で岡村が誘拐事件に関わっていたことが明らかになる!  そして金髪の男もいたことを聞き出す。  その頃、意識不明だった岡村が目を覚まし・・・  一方、基子は雨宮に衝撃の過去を告白していた!  バラバラだったはずの事件に少しずつ関連性が見え始め…黒木メイサ、多部未華子  城田優、北村有起哉、L(エル) / 飯田基祐、宮川一朗太/堀内敬子、岸本加世子(友情出演)、光石研誉田哲也  『ジウI　警視庁特殊犯捜査係』  『ジウII　警視庁特殊急襲部隊』  『ジウIII　新世界秩序』  (中公文庫刊)菱田信也藤田明二レディー・ガガ『ジ・エッジ・オブ・グローリー』  (ユニバーサルインターナショナル)  ※アルバム『BORN　THIS　WAY』に収録ゼネラルプロデューサー:内山聖子(テレビ朝日)  プロデューサー:大江達樹(テレビ朝日)、阿部謙三(東宝)、神戸明(東宝映画)☆番組HP  　http://www.tv-asahi.co.jp/jiu/  この番組は放送開始時間が変更になる場合があります。ご了承ください。</t>
  </si>
  <si>
    <t>利憲の証言で岡村が誘拐事件に関わっていたことが明らかになる!  そして金髪の男もいたことを聞き出す。  その頃、意識不明だった岡村が目を覚まし・・・  一方、基子は雨宮に衝撃の過去を告白していた!  バラバラだったはずの事件に少しずつ関連性が見え始め…</t>
  </si>
  <si>
    <t>番組名ジウ　警視庁特殊犯捜査係　#5</t>
  </si>
  <si>
    <t>信じかけていた雨宮が自分を監視していた・・・  基子はショックを受ける!  その頃、入院していた立てこもり犯の岡村が、何者かに殺害される!!ジウの仕業だと睨んだ東、美咲らは、ジウがアジトとしていそうな廃墟をしらみつぶしに当たっていくことに!  その矢先、女児が誘拐されるという事件が!黒木メイサ、多部未華子  城田優、北村有起哉、L(エル) / 飯田基祐、宮川一朗太/堀内敬子、岸本加世子(友情出演)、光石研誉田哲也  『ジウI　警視庁特殊犯捜査係』  『ジウII　警視庁特殊急襲部隊』  『ジウIII　新世界秩序』  (中公文庫刊)菱田信也常廣丈太レディー・ガガ『ジ・エッジ・オブ・グローリー』  (ユニバーサルインターナショナル)  ※アルバム『BORN　THIS　WAY』に収録ゼネラルプロデューサー:内山聖子(テレビ朝日)  プロデューサー:大江達樹(テレビ朝日)、阿部謙三(東宝)、神戸明(東宝映画)☆番組HP  　http://www.tv-asahi.co.jp/jiu/</t>
  </si>
  <si>
    <t>信じかけていた雨宮が自分を監視していた・・・  基子はショックを受ける!  その頃、入院していた立てこもり犯の岡村が、何者かに殺害される!!ジウの仕業だと睨んだ東、美咲らは、ジウがアジトとしていそうな廃墟をしらみつぶしに当たっていくことに!  その矢先、女児が誘拐されるという事件が!</t>
  </si>
  <si>
    <t>番組名ジウ　警視庁特殊犯捜査係　#6</t>
  </si>
  <si>
    <t>女児誘拐犯のアジトに居合わせた美咲と東。焦りを見せる東に美咲は違和感と不安感を抱く!そして基子らSATにもついに出動命令が下る!雨宮とともに屋上からの侵入を試みることになる基子だが思いがけない悲劇がふたりを襲う!東も犯人グループに見つかり、拘束され…!黒木メイサ、多部未華子  城田優、北村有起哉、L(エル) / 飯田基祐、宮川一朗太/堀内敬子、岸本加世子(友情出演)、光石研、伊武雅刀誉田哲也  『ジウI　警視庁特殊犯捜査係』  『ジウII　警視庁特殊急襲部隊』  『ジウIII　新世界秩序』  (中公文庫刊)菱田信也常廣丈太レディー・ガガ『ジ・エッジ・オブ・グローリー』  (ユニバーサルインターナショナル)  ※アルバム『BORN　THIS　WAY』に収録ゼネラルプロデューサー:内山聖子(テレビ朝日)  プロデューサー:大江達樹(テレビ朝日)、阿部謙三(東宝)、神戸明(東宝映画)☆番組HP  　http://www.tv-asahi.co.jp/jiu/</t>
  </si>
  <si>
    <t>女児誘拐犯のアジトに居合わせた美咲と東。焦りを見せる東に美咲は違和感と不安感を抱く!そして基子らSATにもついに出動命令が下る!雨宮とともに屋上からの侵入を試みることになる基子だが思いがけない悲劇がふたりを襲う!東も犯人グループに見つかり、拘束され…!</t>
  </si>
  <si>
    <t>番組名ジウ　警視庁特殊犯捜査係　#7</t>
  </si>
  <si>
    <t>美咲は女児誘拐事件の犯人のひとり・竹内の取り調べで思いも寄らぬ驚愕の事実を告げられる!一方、基子のもとにフリージャーナリストの木原が現れ、雨宮の死の真相や一連の事件の首謀者であるジウについて語りはじめる!自分と組んで、ジウを捕まえようと持ちかける木原に基子は…?黒木メイサ、多部未華子  城田優、北村有起哉、L(エル) / 飯田基祐、宮川一朗太、小市慢太郎、光石研誉田哲也  『ジウI　警視庁特殊犯捜査係』  『ジウII　警視庁特殊急襲部隊』  『ジウIII　新世界秩序』  (中公文庫刊)菱田信也常廣丈太(テレビ朝日)レディー・ガガ『ジ・エッジ・オブ・グローリー』  (ユニバーサルインターナショナル)  ※アルバム『BORN　THIS　WAY』に収録ゼネラルプロデューサー:内山聖子(テレビ朝日)  プロデューサー:大江達樹(テレビ朝日)、阿部謙三(東宝)、神戸明(東宝映画)☆番組HP  　http://www.tv-asahi.co.jp/jiu/</t>
  </si>
  <si>
    <t>美咲は女児誘拐事件の犯人のひとり・竹内の取り調べで思いも寄らぬ驚愕の事実を告げられる!一方、基子のもとにフリージャーナリストの木原が現れ、雨宮の死の真相や一連の事件の首謀者であるジウについて語りはじめる!自分と組んで、ジウを捕まえようと持ちかける木原に基子は…?</t>
  </si>
  <si>
    <t>番組名ジウ　警視庁特殊犯捜査係　#8</t>
  </si>
  <si>
    <t>基子はついにジウと対峙!さらにジウの後ろ盾となっている人物・ミヤジの存在も明らかになり死んだ雨宮についても衝撃的な事実を知らされる!!  一方、女児誘拐事件発生!被害者の女児がある大物政治家と繋がりがあることを美咲は聞きだす!とてつもなく大きな事件が動き始めだしていた…黒木メイサ、多部未華子  城田優、北村有起哉、L(エル) / 神保悟志、小市慢太郎、光石研 / 石坂浩二誉田哲也  『ジウI　警視庁特殊犯捜査係』  『ジウII　警視庁特殊急襲部隊』  『ジウIII　新世界秩序』  (中公文庫刊)菱田信也藤田明二レディー・ガガ『ジ・エッジ・オブ・グローリー』  (ユニバーサルインターナショナル)  ※アルバム『BORN　THIS　WAY』に収録ゼネラルプロデューサー:内山聖子(テレビ朝日)  プロデューサー:大江達樹(テレビ朝日)、阿部謙三(東宝)、神戸明(東宝映画)☆番組HP  　http://www.tv-asahi.co.jp/jiu/</t>
  </si>
  <si>
    <t>基子はついにジウと対峙!さらにジウの後ろ盾となっている人物・ミヤジの存在も明らかになり死んだ雨宮についても衝撃的な事実を知らされる!!  一方、女児誘拐事件発生!被害者の女児がある大物政治家と繋がりがあることを美咲は聞きだす!とてつもなく大きな事件が動き始めだしていた…</t>
  </si>
  <si>
    <t>1107_EX_日23</t>
  </si>
  <si>
    <t>バラ色の聖戦</t>
  </si>
  <si>
    <t>番組名バラ色の聖戦　#1</t>
  </si>
  <si>
    <t>三木真琴(吹石一恵)は30歳の専業主婦。2児の子育てと家事、夫の世話に毎日を費やすうち、お腹には立派な脂肪が蓄えられていた。夫の敦司(長谷川朝晴)とまともな会話もないが、「そんなもんか」と自分を慰めつつ、平穏な日々を送っていた。ところが、ある日敦司の浮気が発覚して…。吹石一恵、芦名星、長谷川朝晴、渡邊このみ、井上順、滝沢沙織、要潤、夏木マリこやまゆかり『バラ色の聖戦』(講談社“Kiss”連載中)旺季志ずか麻生学加藤ミリヤ『RAINBOW』(Sony　Music)ゼネラルプロデューサー:横地郁英(テレビ朝日)  プロデューサー:飯田爽(テレビ朝日)、菊池誠(アズバーズ)☆番組HP  http://www.tv-asahi.co.jp/barasen/</t>
  </si>
  <si>
    <t>三木真琴(吹石一恵)は30歳の専業主婦。2児の子育てと家事、夫の世話に毎日を費やすうち、お腹には立派な脂肪が蓄えられていた。夫の敦司(長谷川朝晴)とまともな会話もないが、「そんなもんか」と自分を慰めつつ、平穏な日々を送っていた。ところが、ある日敦司の浮気が発覚して…。</t>
  </si>
  <si>
    <t>番組名バラ色の聖戦　#2</t>
  </si>
  <si>
    <t>真琴は夫の反対を押し切りモデルになることを決意!だが、モデル事務所探しは難航…。そんな中、ライバルの紗良は大企業のイメージガールとして鮮烈なデビューを果たす!真琴もどうにかこうにか弱小モデル事務所への登録にこぎ着けるが、その先にはプロとしての厳しい試練が待っていた!吹石一恵、芦名星、長谷川朝晴、渡邊このみ、井上順、滝沢沙織、要潤、夏木マリこやまゆかり『バラ色の聖戦』(講談社“Kiss”連載中)旺季志ずか麻生学加藤ミリヤ『RAINBOW』(Sony　Music)ゼネラルプロデューサー:横地郁英(テレビ朝日)  プロデューサー:飯田爽(テレビ朝日)、菊池誠(アズバーズ)☆番組HP  http://www.tv-asahi.co.jp/barasen/</t>
  </si>
  <si>
    <t>真琴は夫の反対を押し切りモデルになることを決意!だが、モデル事務所探しは難航…。そんな中、ライバルの紗良は大企業のイメージガールとして鮮烈なデビューを果たす!真琴もどうにかこうにか弱小モデル事務所への登録にこぎ着けるが、その先にはプロとしての厳しい試練が待っていた!</t>
  </si>
  <si>
    <t>番組名バラ色の聖戦　#3</t>
  </si>
  <si>
    <t>一人前のモデルを目指しトレーニングを積んできた真琴が、いよいよファッションショーに出演!真琴は、いつまでも否定的な敦司に、モデルとしての自分を見てもらおうと発奮する。ついに地道な努力が結実するその時、人気モデルとなった紗良が突然現れ、意味深な言動で真琴の心をかき乱す!?吹石一恵、芦名星、長谷川朝晴、渡邊このみ、井上順、滝沢沙織、要潤、夏木マリこやまゆかり『バラ色の聖戦』(講談社“Kiss”連載中)旺季志ずか樹下直美加藤ミリヤ『RAINBOW』(Sony　Music)ゼネラルプロデューサー:横地郁英(テレビ朝日)  プロデューサー:飯田爽(テレビ朝日)、菊池誠(アズバーズ)☆番組HP  http://www.tv-asahi.co.jp/barasen/</t>
  </si>
  <si>
    <t>一人前のモデルを目指しトレーニングを積んできた真琴が、いよいよファッションショーに出演!真琴は、いつまでも否定的な敦司に、モデルとしての自分を見てもらおうと発奮する。ついに地道な努力が結実するその時、人気モデルとなった紗良が突然現れ、意味深な言動で真琴の心をかき乱す!?</t>
  </si>
  <si>
    <t>番組名バラ色の聖戦　#4</t>
  </si>
  <si>
    <t>地道な努力でモデルとしてステップアップしてきた真琴(吹石一恵)。しかし真琴のモデル生命を絶つために、紗良(芦名星)は卑劣な罠を仕掛ける。世界的デザイナー・黒田洋介(戸次重幸)のオーディションで自分の全てを掛けて戦う真琴だが、オーディションの成否は!?吹石一恵、芦名星、長谷川朝晴、渡邊このみ、井上順、滝沢沙織、要潤、夏木マリこやまゆかり『バラ色の聖戦』(講談社“Kiss”連載中)旺季志ずか樹下直美加藤ミリヤ『RAINBOW』(Sony　Music)【ゼネラルプロデューサー】横地郁英(テレビ朝日)  【プロデューサー】飯田爽(テレビ朝日)、菊池誠(アズバーズ)☆番組HP  　http://www.tv-asahi.co.jp/barasen/</t>
  </si>
  <si>
    <t>地道な努力でモデルとしてステップアップしてきた真琴(吹石一恵)。しかし真琴のモデル生命を絶つために、紗良(芦名星)は卑劣な罠を仕掛ける。世界的デザイナー・黒田洋介(戸次重幸)のオーディションで自分の全てを掛けて戦う真琴だが、オーディションの成否は!?</t>
  </si>
  <si>
    <t>1104_EX_水21</t>
  </si>
  <si>
    <t>人気作曲家の財津が殺害!捜査一課のみゆき(貫地谷しほり)らの現場検証の中、科学捜査係の糸村(上川隆也)は誰も気にしない遺された玩具のピアノにこだわり、現場から疎まれる。糸村の風変わりな捜査が波紋を呼ぶが、糸村の着目する遺留品から意外な真相が明らかになり…!?　上川隆也、貫地谷しほり、佐野史郎、波岡一喜、甲本雅裕、水野真紀、大杉漣  《ゲスト》  　近藤芳正、橋本さとし、中山忍　尾西兼一　猪崎宣昭　MISIA『記憶』(アリオラジャパン)ゼネラルプロデューサー:松本基弘(テレビ朝日)  プロデューサー:三輪祐見子(テレビ朝日)  　　　　　　　　丸山真哉(東映)  　　　　　　　　横塚孝弘(東映)☆番組HP  　http://www.tv-asahi.co.jp/iryu/</t>
  </si>
  <si>
    <t xml:space="preserve">人気作曲家の財津が殺害!捜査一課のみゆき(貫地谷しほり)らの現場検証の中、科学捜査係の糸村(上川隆也)は誰も気にしない遺された玩具のピアノにこだわり、現場から疎まれる。糸村の風変わりな捜査が波紋を呼ぶが、糸村の着目する遺留品から意外な真相が明らかになり…!?　</t>
  </si>
  <si>
    <t>殺害された女性が遺した生後8カ月の赤ん坊と下半分のおみくじ…。糸村(上川隆也)だけがこだわる2つの“遺されたもの”から、思いもよらない事件の真相が浮かび上がってきて…!?2つの遺留品に残された被害者の想いとは?　上川隆也、貫地谷しほり、佐野史郎、波岡一喜、甲本雅裕、水野真紀、大杉漣  《ゲスト》  　黒川智花　伊藤洋子　猪崎宣昭　MISIA『記憶』(アリオラジャパン)ゼネラルプロデューサー:松本基弘(テレビ朝日)  プロデューサー:三輪祐見子(テレビ朝日)  　　　　　　　　丸山真哉(東映)  　　　　　　　　横塚孝弘(東映)☆番組HP  　http://www.tv-asahi.co.jp/iryu/</t>
  </si>
  <si>
    <t xml:space="preserve">殺害された女性が遺した生後8カ月の赤ん坊と下半分のおみくじ…。糸村(上川隆也)だけがこだわる2つの“遺されたもの”から、思いもよらない事件の真相が浮かび上がってきて…!?2つの遺留品に残された被害者の想いとは?　</t>
  </si>
  <si>
    <t>警視庁捜査一課・科学捜査係を舞台に、遺留品から真実に迫る新たな刑事ドラマ誕生!主演・上川隆也演じる刑事・糸村が明らかにする被害者たちの伝えられなかった想いとは?　上川隆也、貫地谷しほり、佐野史郎、波岡一喜、甲本雅裕  &lt;ゲスト&gt;  　江守徹、芳本美代子、遊井亮子　池上純哉　麻生学　MISIA『記憶』(アリオラジャパン)ゼネラルプロデューサー:松本基弘(テレビ朝日)  プロデューサー:三輪祐見子(テレビ朝日)  　　　　　　　　丸山真哉(東映)  　　　　　　　　横塚孝弘(東映)☆番組HP  　http://www.tv-asahi.co.jp/iryu/</t>
  </si>
  <si>
    <t xml:space="preserve">警視庁捜査一課・科学捜査係を舞台に、遺留品から真実に迫る新たな刑事ドラマ誕生!主演・上川隆也演じる刑事・糸村が明らかにする被害者たちの伝えられなかった想いとは?　</t>
  </si>
  <si>
    <t>警視庁捜査一課・科学捜査係を舞台に、遺留品から真実に迫る新たな刑事ドラマ誕生!主演・上川隆也演じる刑事・糸村が明らかにする被害者たちの伝えられなかった想いとは?　上川隆也、貫地谷しほり、佐野史郎、波岡一喜、甲本雅裕、水野真紀、大杉漣  &lt;ゲスト&gt;  　小野武彦、佐野和真、大地泰仁　尾西兼一　麻生学　MISIA『記憶』(アリオラジャパン)ゼネラルプロデューサー:松本基弘(テレビ朝日)  プロデューサー:三輪祐見子(テレビ朝日)  　　　　　　　　丸山真哉(東映)  　　　　　　　　横塚孝弘(東映)☆番組HP  　http://www.tv-asahi.co.jp/iryu/</t>
  </si>
  <si>
    <t>警視庁捜査一課・科学捜査係を舞台に、遺留品から真実に迫る新たな刑事ドラマ誕生!主演・上川隆也演じる刑事・糸村が明らかにする被害者たちの伝えられなかった想いとは?　上川隆也、貫地谷しほり、佐野史郎、波岡一喜、甲本雅裕、水野真紀、大杉漣  &lt;ゲスト&gt;  　石田太郎、中原果南、近江谷太朗、水沢奈子　尾西兼一　長谷川康　MISIA『記憶』(アリオラジャパン)ゼネラルプロデューサー:松本基弘(テレビ朝日)  プロデューサー:三輪祐見子(テレビ朝日)  　　　　　　　　丸山真哉(東映)  　　　　　　　　横塚孝弘(東映)☆番組HP  　http://www.tv-asahi.co.jp/iryu/</t>
  </si>
  <si>
    <t>警視庁捜査一課・科学捜査係を舞台に、遺留品から真実に迫る新たな刑事ドラマ誕生!主演・上川隆也演じる刑事・糸村が明らかにする被害者たちの伝えられなかった想いとは?上川隆也、貫地谷しほり、佐野史郎、波岡一喜、甲本雅裕  &lt;ゲスト&gt;  北川弘美 近藤公園　伊藤祐輝　伊藤洋子　長谷川康　MISIA『記憶』(アリオラジャパン)ゼネラルプロデューサー:松本基弘(テレビ朝日)  プロデューサー:三輪祐見子(テレビ朝日)  　　　　　　　　丸山真哉(東映)  　　　　　　　　横塚孝弘(東映)☆番組HP  　http://www.tv-asahi.co.jp/iryu/</t>
  </si>
  <si>
    <t>警視庁捜査一課・科学捜査係を舞台に、遺留品から真実に迫る新たな刑事ドラマ誕生!主演・上川隆也演じる刑事・糸村が明らかにする被害者たちの伝えられなかった想いとは?</t>
  </si>
  <si>
    <t>警視庁捜査一課・科学捜査係を舞台に、遺留品から真実に迫る新たな刑事ドラマ誕生!主演・上川隆也演じる刑事・糸村が明らかにする被害者たちの伝えられなかった想いとは?上川隆也、貫地谷しほり、佐野史郎、波岡一喜、甲本雅裕  &lt;ゲスト&gt;     前田亜季　根岸季衣　河西健司池上純哉猪崎宣昭MISIA『記憶』(アリオラジャパン)5月25日(水)発売!ゼネラルプロデューサー:松本基弘(テレビ朝日)  プロデューサー:三輪祐見子(テレビ朝日)  　　　　　　　　丸山真哉(東映)  　　　　　　　　横塚孝弘(東映)☆番組HP  　http://www.tv-asahi.co.jp/iryu/</t>
  </si>
  <si>
    <t>警視庁捜査一課・科学捜査係を舞台に、遺留品から真実に迫る新たな刑事ドラマ誕生!主演・上川隆也演じる刑事・糸村が明らかにする被害者たちの伝えられなかった想いとは?上川隆也、貫地谷しほり、佐野史郎、波岡一喜、甲本雅裕、水野真紀、大杉漣  &lt;ゲスト&gt;  星野真里坂田義和猪崎宣昭MISIA『記憶』(アリオラジャパン)5月25日(水)発売!ゼネラルプロデューサー:松本基弘(テレビ朝日)  プロデューサー:三輪祐見子(テレビ朝日)  　　　　　　　　丸山真哉(東映)  　　　　　　　　横塚孝弘(東映)☆番組HP  　http://www.tv-asahi.co.jp/iryu/</t>
  </si>
  <si>
    <t>警視庁捜査一課・科学捜査係を舞台に、遺留品から真実に迫る新たな刑事ドラマ誕生!主演・上川隆也演じる刑事・糸村が明らかにする被害者たちの伝えられなかった想いとは?上川隆也、貫地谷しほり、佐野史郎、波岡一喜、甲本雅裕徳永富彦麻生学MISIA『記憶』(アリオラジャパン)発売中!ゼネラルプロデューサー:松本基弘(テレビ朝日)  プロデューサー:三輪祐見子(テレビ朝日)  　　　　　　　　丸山真哉(東映)  　　　　　　　　横塚孝弘(東映)☆番組HP  　http://www.tv-asahi.co.jp/iryu/</t>
  </si>
  <si>
    <t>番組名遺留捜査　#10</t>
  </si>
  <si>
    <t>警視庁捜査一課・科学捜査係を舞台に、遺留品から真実に迫る新たな刑事ドラマ誕生!主演・上川隆也演じる刑事・糸村が明らかにする被害者たちの伝えられなかった想いとは?上川隆也、貫地谷しほり、佐野史郎、波岡一喜、甲本雅裕、水野真紀、大杉漣尾西兼一麻生学MISIA『記憶』(アリオラジャパン)発売中!ゼネラルプロデューサー:松本基弘(テレビ朝日)  プロデューサー:三輪祐見子(テレビ朝日)  　　　　　　　　丸山真哉(東映)  　　　　　　　　横塚孝弘(東映)☆番組HP  　http://www.tv-asahi.co.jp/iryu/</t>
  </si>
  <si>
    <t>警視庁捜査一課・科学捜査係を舞台に、遺留品から真実に迫る新たな刑事ドラマ誕生!主演・上川隆也演じる刑事・糸村が明らかにする被害者たちの伝えられなかった想いとは?上川隆也、貫地谷しほり、佐野史郎、波岡一喜、甲本雅裕、水野真紀、大杉漣  《ゲスト》  佐々木すみ江、長谷川初範尾西兼一猪崎宣昭MISIA『記憶』(アリオラジャパン)発売中!ゼネラルプロデューサー:松本基弘(テレビ朝日)  プロデューサー:三輪祐見子(テレビ朝日)  　　　　　　　　丸山真哉(東映)  　　　　　　　　横塚孝弘(東映)☆番組HP  　http://www.tv-asahi.co.jp/iryu/</t>
  </si>
  <si>
    <t>1104_EX_金23</t>
  </si>
  <si>
    <t>犬を飼うということ</t>
  </si>
  <si>
    <t>番組名犬を飼うということ</t>
  </si>
  <si>
    <t>物語の主役は、完成間近の東京スカイツリーのふもとにある古ぼけた団地に暮らす本郷一家。父・勇次、母・幸子、そして8歳の長男・大と6歳の長女・眞子はほどほどに幸せな、ごくごく普通の家族のように見えた…が、実はそれぞれが、それぞれの胸に隠している“言い出せない或ること”があった。　錦戸亮、水川あさみ、田口淳之介、久家心(子役)、山崎竜太郎(子役)、武田航平、鹿沼憂妃、風見しんご、吹越満、杉本哲太、泉谷しげる　寺田敏雄　本木克英　関ジャニ∞『マイホーム』(テイチクエンタテインメント)  　5月11日(水)発売!!ゼネラルプロデューサー:内山聖子(テレビ朝日)   プロデューサー:木内麻由美(テレビ朝日)  　　　　　　　　大江達樹(テレビ朝日)  　　　　　　　　池田禎子(ザ・ワークス)☆番組HP  　http://www.tv-asahi.co.jp/inu/</t>
  </si>
  <si>
    <t xml:space="preserve">物語の主役は、完成間近の東京スカイツリーのふもとにある古ぼけた団地に暮らす本郷一家。父・勇次、母・幸子、そして8歳の長男・大と6歳の長女・眞子はほどほどに幸せな、ごくごく普通の家族のように見えた…が、実はそれぞれが、それぞれの胸に隠している“言い出せない或ること”があった。　</t>
  </si>
  <si>
    <t>番組名犬を飼うということ　#2</t>
  </si>
  <si>
    <t>犬の鳴き声がしたと密告が入る!聞き込みが開始され…  一方、昔のバンド仲間の川島に会った勇次は、幸子から渡された金を、見栄から使いきってしまう。帰宅後、使ってしまったお金を補てんするために、勇次の手が家族の貯金箱「夢の箱」に伸びる…それを見ていた小さな影…それは末っ子の眞子だった!?　錦戸亮、水川あさみ、田口淳之介、久家心(子役)、山崎竜太郎(子役)、武田航平、鹿沼憂妃、風見しんご、杉本哲太、泉谷しげる　寺田敏雄　本木克英　関ジャニ∞『マイホーム』(テイチクエンタテインメント)  　5月11日(水)発売!!ゼネラルプロデューサー:内山聖子(テレビ朝日)   プロデューサー:木内麻由美(テレビ朝日)  　　　　　　　　大江達樹(テレビ朝日)  　　　　　　　　池田禎子(ザ・ワークス)☆番組HP  　http://www.tv-asahi.co.jp/inu/</t>
  </si>
  <si>
    <t xml:space="preserve">犬の鳴き声がしたと密告が入る!聞き込みが開始され…  一方、昔のバンド仲間の川島に会った勇次は、幸子から渡された金を、見栄から使いきってしまう。帰宅後、使ってしまったお金を補てんするために、勇次の手が家族の貯金箱「夢の箱」に伸びる…それを見ていた小さな影…それは末っ子の眞子だった!?　</t>
  </si>
  <si>
    <t>番組名犬を飼うということ　#3</t>
  </si>
  <si>
    <t>追い詰められていく勇次。彼は一家の未来を大きく変える“ある選択”をする!悩んだ挙句“ある選択”に手を伸ばす!それは家族が誰ひとりとして予想すらしなかった選択だった…。次から次へと襲い掛かる問題。個々にひとりで抱え込み、ますます心を痛めていく本郷家の面々…そんななか、幸子が再び倒れて…!?　錦戸亮、水川あさみ、田口淳之介、久家心(子役)、山崎竜太郎(子役)、武田航平、鹿沼憂妃、風見しんご、吹越満、杉本哲太、泉谷しげる　寺田敏雄　遠藤光貴　関ジャニ∞『マイホーム』(テイチクエンタテインメント)  　5月11日(水)発売!!ゼネラルプロデューサー:内山聖子(テレビ朝日)   プロデューサー:木内麻由美(テレビ朝日)  　　　　　　　　大江達樹(テレビ朝日)  　　　　　　　　池田禎子(ザ・ワークス)☆番組HP  　http://www.tv-asahi.co.jp/inu/</t>
  </si>
  <si>
    <t xml:space="preserve">追い詰められていく勇次。彼は一家の未来を大きく変える“ある選択”をする!悩んだ挙句“ある選択”に手を伸ばす!それは家族が誰ひとりとして予想すらしなかった選択だった…。次から次へと襲い掛かる問題。個々にひとりで抱え込み、ますます心を痛めていく本郷家の面々…そんななか、幸子が再び倒れて…!?　</t>
  </si>
  <si>
    <t>番組名犬を飼うということ　#4</t>
  </si>
  <si>
    <t>この事件が発端となり、本郷家は“ホーカイ”の危機を迎える事に…  実は、大には昔からずっと心に溜め込んでいる“罪悪感”があった。  さらに長女の眞子とスカイツリー(犬)の身に大きな危険が迫り…!!  窮地に追い込まれていく本郷家!その行方はーーー!?　錦戸亮、水川あさみ、田口淳之介、久家心(子役)、山崎竜太郎(子役)、武田航平、鹿沼憂妃、風見しんご、杉本哲太、泉谷しげる　寺田敏雄　遠藤光貴　関ジャニ∞『マイホーム』(テイチクエンタテインメント)  　5月11日(水)発売!!ゼネラルプロデューサー:内山聖子(テレビ朝日)   プロデューサー:木内麻由美(テレビ朝日)  　　　　　　　　大江達樹(テレビ朝日)  　　　　　　　　池田禎子(ザ・ワークス)☆番組HP  　http://www.tv-asahi.co.jp/inu/</t>
  </si>
  <si>
    <t xml:space="preserve">この事件が発端となり、本郷家は“ホーカイ”の危機を迎える事に…  実は、大には昔からずっと心に溜め込んでいる“罪悪感”があった。  さらに長女の眞子とスカイツリー(犬)の身に大きな危険が迫り…!!  窮地に追い込まれていく本郷家!その行方はーーー!?　</t>
  </si>
  <si>
    <t>番組名犬を飼うということ　#5</t>
  </si>
  <si>
    <t>身を切られる思いで、スカイ(犬)を可愛がる娘・眞子を説得し、元の飼い主に返そうとする!!「スカイはうちの子だもん!」反発する眞子はある大きな決断を…!!　錦戸亮、水川あさみ、田口淳之介、久家心(子役)、山崎竜太郎(子役)、武田航平、風見しんご、杉本哲太、泉谷しげる　寺田敏雄　高橋伸之　関ジャニ∞『マイホーム』(テイチクエンタテインメント)  　5月11日(水)発売!!ゼネラルプロデューサー:内山聖子(テレビ朝日)   プロデューサー:木内麻由美(テレビ朝日)  　　　　　　　　大江達樹(テレビ朝日)  　　　　　　　　池田禎子(ザ・ワークス)☆番組HP  　http://www.tv-asahi.co.jp/inu/</t>
  </si>
  <si>
    <t xml:space="preserve">身を切られる思いで、スカイ(犬)を可愛がる娘・眞子を説得し、元の飼い主に返そうとする!!「スカイはうちの子だもん!」反発する眞子はある大きな決断を…!!　</t>
  </si>
  <si>
    <t>番組名犬を飼うということ　#6</t>
  </si>
  <si>
    <t>検査をして、万が一よくない結果が出たら…ーー誰よりもスカイのことを可愛がっている眞子の気持ちを考えると、勇次はどうしても事実を伝えられなかった。ひたすら独りで悩みを抱え込む勇次。だが、勇次は窪田(泉谷しげる)から“ある事実”を聞かされたことを機に、思い切ってスカイの検査のことを家族に伝え…。　錦戸亮、水川あさみ、田口淳之介、久家心(子役)、山崎竜太郎(子役)、武田航平、鹿沼憂妃、風見しんご、杉本哲太、泉谷しげる　寺田敏雄　木内麻由美(テレビ朝日)　関ジャニ∞『マイホーム』(テイチクエンタテインメント)  　　　　　発売中!!ゼネラルプロデューサー:内山聖子(テレビ朝日)   プロデューサー:大江達樹(テレビ朝日)  　　　　　　　　池田禎子(ザ・ワークス)☆番組HP  　http://www.tv-asahi.co.jp/inu/</t>
  </si>
  <si>
    <t xml:space="preserve">検査をして、万が一よくない結果が出たら…ーー誰よりもスカイのことを可愛がっている眞子の気持ちを考えると、勇次はどうしても事実を伝えられなかった。ひたすら独りで悩みを抱え込む勇次。だが、勇次は窪田(泉谷しげる)から“ある事実”を聞かされたことを機に、思い切ってスカイの検査のことを家族に伝え…。　</t>
  </si>
  <si>
    <t>番組名犬を飼うということ　#7</t>
  </si>
  <si>
    <t>正社員の清掃員として働き始めた勇次。しかし、勇次は未だに音楽の夢を捨てられていないのかもしれない…。その思いは幸子の心にずっと引っかかっていた。幸子は勇次の元バンド仲間・川島に問いかけられる。  「ユージはさ、もう、自由には、なれないのかな…」  その言葉は幸子の胸にグサリと突き刺さりーー錦戸亮、水川あさみ、田口淳之介、久家心(子役)、山崎竜太郎(子役)、武田航平、鹿沼憂妃、風見しんご、杉本哲太、泉谷しげる寺田敏雄遠藤光貴関ジャニ∞『マイホーム』(テイチクエンタテインメント)発売中!!ゼネラルプロデューサー:内山聖子(テレビ朝日)   プロデューサー:木内麻由美(テレビ朝日)  　　　　　　　　大江達樹(テレビ朝日)  　　　　　　　　池田禎子(ザ・ワークス)☆番組HP  　http://www.tv-asahi.co.jp/inu/</t>
  </si>
  <si>
    <t>正社員の清掃員として働き始めた勇次。しかし、勇次は未だに音楽の夢を捨てられていないのかもしれない…。その思いは幸子の心にずっと引っかかっていた。幸子は勇次の元バンド仲間・川島に問いかけられる。  「ユージはさ、もう、自由には、なれないのかな…」  その言葉は幸子の胸にグサリと突き刺さりーー</t>
  </si>
  <si>
    <t>番組名犬を飼うということ　#8</t>
  </si>
  <si>
    <t>スカイが抗がん剤の副作用を起こした!奈良橋からスカイの病状に関する“悲しい事実”を告げられる!その日から勇次と幸子は子どもたちと一緒に、大切な家族であるスカイを見守り続ける。悲しい現実に一丸となって立ち向かうことで絆を深め、家族の幸せを噛み締めていく本郷家。ところが…!錦戸亮、水川あさみ、田口淳之介、久家心(子役)、山崎竜太郎(子役)、武田航平、鹿沼憂妃、風見しんご、杉本哲太、泉谷しげる寺田敏雄高橋伸之関ジャニ∞『マイホーム』(テイチクエンタテインメント)  　　　　発売中!!ゼネラルプロデューサー:内山聖子(テレビ朝日)   プロデューサー:木内麻由美(テレビ朝日)  　　　　　　　　大江達樹(テレビ朝日)  　　　　　　　　池田禎子(ザ・ワークス)☆番組HP  　http://www.tv-asahi.co.jp/inu/</t>
  </si>
  <si>
    <t>スカイが抗がん剤の副作用を起こした!奈良橋からスカイの病状に関する“悲しい事実”を告げられる!その日から勇次と幸子は子どもたちと一緒に、大切な家族であるスカイを見守り続ける。悲しい現実に一丸となって立ち向かうことで絆を深め、家族の幸せを噛み締めていく本郷家。ところが…!</t>
  </si>
  <si>
    <t>「拾われたのは僕たち家族のほうでした」  最終回!  主治医である奈良橋のもとへ駆け込む幸子。   「家族を、呼びなさい」  激しい動揺に襲われる幸子!家族はそれぞれの場所で、共通の想いを胸に抱く。大切な家族であるスカイの回復を祈る気持ちーー。  その時、本郷家は・・・!?錦戸亮、水川あさみ、田口淳之介、久家心(子役)、山崎竜太郎(子役)、武田航平、鹿沼憂妃、風見しんご、杉本哲太、泉谷しげる寺田敏雄遠藤光貴関ジャニ∞『マイホーム』(テイチクエンタテインメント)発売中!!ゼネラルプロデューサー:内山聖子(テレビ朝日)   プロデューサー:木内麻由美(テレビ朝日)  　　　　　　　　大江達樹(テレビ朝日)  　　　　　　　　池田禎子(ザ・ワークス)☆番組HP  　http://www.tv-asahi.co.jp/inu/</t>
  </si>
  <si>
    <t>「拾われたのは僕たち家族のほうでした」  最終回!  主治医である奈良橋のもとへ駆け込む幸子。   「家族を、呼びなさい」  激しい動揺に襲われる幸子!家族はそれぞれの場所で、共通の想いを胸に抱く。大切な家族であるスカイの回復を祈る気持ちーー。  その時、本郷家は・・・!?</t>
  </si>
  <si>
    <t>1104_EX_日23</t>
  </si>
  <si>
    <t>アスコーマーチ</t>
  </si>
  <si>
    <t>番組名アスコーマーチ　#1</t>
  </si>
  <si>
    <t>憧れの女子高に落ち、男ばかりの工業高校に入学した直(武井咲)。クラスメイトの玉木(賀来賢人)らとも馴染めず戸惑う日々…さらにホストの格好をした有人(松坂桃李)には学校内で突然迫られる。そんな中、直は玉木のある事情を知り、ある行動を。それがきっかけで玉木を怒らせてしまい…!?　武井咲、松坂桃李、賀来賢人、永山絢斗、南圭介、石田卓也、松山メアリ、古川雄輝、金井勇太、新井裕介、西洋亮/笹野高史/神保悟志、剛力彩芽、白石美帆、菊川怜、勝村政信　アキヤマ香『アスコーマーチ!～県立明日香工業高校行進曲～』(集英社「YOU」連載中)　森ハヤシ　田村直己(テレビ朝日)　FUNKY　MONKEY　BABYS『それでも信じてる』  (ドリーミュージック・)プロデューサー:横地郁英(テレビ朝日)  　　　　　　　　浅井千瑞(MMJ)☆番組HP  　http://www.tv-asahi.co.jp/asuko/</t>
  </si>
  <si>
    <t xml:space="preserve">憧れの女子高に落ち、男ばかりの工業高校に入学した直(武井咲)。クラスメイトの玉木(賀来賢人)らとも馴染めず戸惑う日々…さらにホストの格好をした有人(松坂桃李)には学校内で突然迫られる。そんな中、直は玉木のある事情を知り、ある行動を。それがきっかけで玉木を怒らせてしまい…!?　</t>
  </si>
  <si>
    <t>番組名アスコーマーチ　#2</t>
  </si>
  <si>
    <t>工業高校から普通高校へ転入を考えはじめた直(武井咲)。だが転入には実習の成績が必要と知る。直は転入のことを伏せて玉木(賀来賢人)に協力をあおぐ。喜んでペア実習にのぞむ玉木だが有人(松坂桃李)に直を取られてしまう。そんな中、更衣室で桃(剛力彩芽)が有人に襲われて!?　武井咲、松坂桃李、賀来賢人、永山絢斗、南圭介、石田卓也、松山メアリ、古川雄輝、金井勇太、新井裕介、西洋亮/笹野高史/神保悟志、剛力彩芽、白石美帆、菊川怜、勝村政信　アキヤマ香『アスコーマーチ!～県立明日香工業高校行進曲～』(集英社「YOU」連載中)　森ハヤシ　田村直己(テレビ朝日)　FUNKY　MONKEY　BABYS『それでも信じてる』  (ドリーミュージック・)プロデューサー:横地郁英(テレビ朝日)  　　　　　　　　浅井千瑞(MMJ)☆番組HP  　http://www.tv-asahi.co.jp/asuko/</t>
  </si>
  <si>
    <t xml:space="preserve">工業高校から普通高校へ転入を考えはじめた直(武井咲)。だが転入には実習の成績が必要と知る。直は転入のことを伏せて玉木(賀来賢人)に協力をあおぐ。喜んでペア実習にのぞむ玉木だが有人(松坂桃李)に直を取られてしまう。そんな中、更衣室で桃(剛力彩芽)が有人に襲われて!?　</t>
  </si>
  <si>
    <t>番組名アスコーマーチ　#3</t>
  </si>
  <si>
    <t>周りのアスコー生たちがやりたいことを見つけている中、直(武井咲)は転入して自分は何をやりたいのかわからず悩み始める。そんな折、直は広瀬(石田卓也)がオルゴールを作っている姿を見る。広瀬はそれを桃(剛力彩芽)にプレゼントするが、取り巻きの男子生徒たちに馬鹿にされ彼らを殴ってしまう!　武井咲、松坂桃李、賀来賢人、永山絢斗、南圭介、石田卓也、松山メアリ、古川雄輝、金井勇太、新井裕介、西洋亮/笹野高史/神保悟志、剛力彩芽、白石美帆、菊川怜、勝村政信　アキヤマ香『アスコーマーチ～県立明日香工業高校行進曲～』(集英社「YOU」連載中)　森ハヤシ　塚本連平　FUNKY　MONKEY　BABYS『それでも信じてる』  (ドリーミュージック・)プロデューサー:横地郁英(テレビ朝日)  　　　　　　　　浅井千瑞(MMJ)☆番組HP  　http://www.tv-asahi.co.jp/asuko/</t>
  </si>
  <si>
    <t xml:space="preserve">周りのアスコー生たちがやりたいことを見つけている中、直(武井咲)は転入して自分は何をやりたいのかわからず悩み始める。そんな折、直は広瀬(石田卓也)がオルゴールを作っている姿を見る。広瀬はそれを桃(剛力彩芽)にプレゼントするが、取り巻きの男子生徒たちに馬鹿にされ彼らを殴ってしまう!　</t>
  </si>
  <si>
    <t>番組名アスコーマーチ　#4</t>
  </si>
  <si>
    <t>クラスでエコカーを作る行事のリーダーにさせられた直(武井咲)。周りを見下す竹内(永山絢斗)を仲間に入れようとするがうまくいかない。ある日、直は竹内が描いたエコカーのデザインを見つけそれを採用する。が、竹内宅を訪ねた直は竹内の父(野村宏伸)に罵倒されてキレてしまう!武井咲、松坂桃李、賀来賢人、永山絢斗、南圭介、石田卓也、松山メアリ、古川雄輝、金井勇太、新井裕介、西洋亮/笹野高史/神保悟志、剛力彩芽、白石美帆、菊川怜、勝村政信アキヤマ香『アスコーマーチ!～県立明日香工業高校行進曲～』(集英社「YOU」連載中)森ハヤシ塚本連平FUNKY　MONKEY　BABYS『それでも信じてる』  (ドリーミュージック・)プロデューサー:横地郁英(テレビ朝日)  　　　　　　　　浅井千瑞(MMJ)☆番組HP  　http://www.tv-asahi.co.jp/asuko/</t>
  </si>
  <si>
    <t>クラスでエコカーを作る行事のリーダーにさせられた直(武井咲)。周りを見下す竹内(永山絢斗)を仲間に入れようとするがうまくいかない。ある日、直は竹内が描いたエコカーのデザインを見つけそれを採用する。が、竹内宅を訪ねた直は竹内の父(野村宏伸)に罵倒されてキレてしまう!</t>
  </si>
  <si>
    <t>番組名アスコーマーチ　#5</t>
  </si>
  <si>
    <t>転入試験まで10日。エコカー作りも佳境を迎え直(武井咲)は寝不足の毎日。そんなとき、直の不注意で玉木(賀来賢人)に怪我させてしまう。全てがうまくいかないイライラで「エコカーなんて走らなくてもいい」と口走ってしまう直。そのことで、リーダーばかりかエコカー作りからもはずされてしまう…武井咲、松坂桃李、賀来賢人、永山絢斗、南圭介、石田卓也、松山メアリ、古川雄輝、金井勇太、新井裕介、西洋亮/笹野高史/神保悟志、剛力彩芽、白石美帆、菊川怜、勝村政信アキヤマ香『アスコーマーチ～県立明日香工業高校行進曲～』(集英社「YOU」連載中)森ハヤシ田村直己(テレビ朝日)FUNKY　MONKEY　BABYS『それでも信じてる』  (ドリーミュージック・)プロデューサー:横地郁英(テレビ朝日)  　　　　　　　　浅井千瑞(MMJ)☆番組HP  　http://www.tv-asahi.co.jp/asuko/</t>
  </si>
  <si>
    <t>転入試験まで10日。エコカー作りも佳境を迎え直(武井咲)は寝不足の毎日。そんなとき、直の不注意で玉木(賀来賢人)に怪我させてしまう。全てがうまくいかないイライラで「エコカーなんて走らなくてもいい」と口走ってしまう直。そのことで、リーダーばかりかエコカー作りからもはずされてしまう…</t>
  </si>
  <si>
    <t>番組名アスコーマーチ　#6</t>
  </si>
  <si>
    <t>直(武井咲)の転入の日が近づいていた。直は、敏郎(原田龍二)から逃げてきた有人(松坂桃李)と祥子(菊川怜)を直の家に数日間かくまうことに。さらにモーターショー前日、エコカーが壊れる事件が!必死に修復する生徒たちだったが、その最中に直が行方不明に!第1章、完結!武井咲、松坂桃李、賀来賢人、永山絢斗、南圭介、石田卓也、松山メアリ、古川雄輝、金井勇太、新井裕介、西洋亮/笹野高史/神保悟志、剛力彩芽、白石美帆、菊川怜、勝村政信アキヤマ香『アスコーマーチ～県立明日香工業高校行進曲～』(集英社「YOU」連載中)森ハヤシ日比野朗FUNKY　MONKEY　BABYS『それでも信じてる』  (ドリーミュージック・)プロデューサー:横地郁英(テレビ朝日)  　　　　　　　　浅井千瑞(MMJ)☆番組HP  　http://www.tv-asahi.co.jp/asuko/</t>
  </si>
  <si>
    <t>直(武井咲)の転入の日が近づいていた。直は、敏郎(原田龍二)から逃げてきた有人(松坂桃李)と祥子(菊川怜)を直の家に数日間かくまうことに。さらにモーターショー前日、エコカーが壊れる事件が!必死に修復する生徒たちだったが、その最中に直が行方不明に!第1章、完結!</t>
  </si>
  <si>
    <t>番組名アスコーマーチ　#7</t>
  </si>
  <si>
    <t>最終章!直(武井咲)は有人(松坂桃李)玉木(賀来賢人)らと、工場でインターンをすることに。だが直たちの指導担当・野口(西岡徳馬)は自らも仕事をせず何も教えてくれない。そこで、直たちは工場の材料を勝手に仕上げはじめる。それに激怒した野口を輪島(南圭介)が殴ってしまい…!武井咲、松坂桃李、賀来賢人、永山絢斗、南圭介、石田卓也、松山メアリ、古川雄輝、金井勇太、新井裕介、西洋亮/笹野高史/神保悟志、剛力彩芽、白石美帆、勝村政信アキヤマ香『アスコーマーチ!～県立明日香工業高校行進曲～』(集英社「YOU」連載中)森ハヤシ田村直己(テレビ朝日)FUNKY　MONKEY　BABYS『それでも信じてる』  (ドリーミュージック・)プロデューサー:横地郁英(テレビ朝日)  　　　　　　　　浅井千瑞(MMJ)☆番組HP  　http://www.tv-asahi.co.jp/asuko/</t>
  </si>
  <si>
    <t>最終章!直(武井咲)は有人(松坂桃李)玉木(賀来賢人)らと、工場でインターンをすることに。だが直たちの指導担当・野口(西岡徳馬)は自らも仕事をせず何も教えてくれない。そこで、直たちは工場の材料を勝手に仕上げはじめる。それに激怒した野口を輪島(南圭介)が殴ってしまい…!</t>
  </si>
  <si>
    <t>番組名アスコーマーチ　#8</t>
  </si>
  <si>
    <t>すっかり明日工に染まった直の前に、シンガポールで会社を経営する母・歩(賀来千香子)が現れる!歩は、勝手にシンガポールへの留学を決めてくる。「明日工は進学率も上がり真面目な生徒ばかり!」と訴える直だったが、歩が授業見学に来てしまう!そんな歩は、娘に言えない秘密があるようで…武井咲、松坂桃李、賀来賢人、永山絢斗、南圭介、石田卓也、松山メアリ、古川雄輝、金井勇太、新井裕介、西洋亮/笹野高史/神保悟志、剛力彩芽、白石美帆、菊川怜、勝村政信アキヤマ香『アスコーマーチ!～県立明日香工業高校行進曲～』(集英社「YOU」連載中)森ハヤシ塚本連平FUNKY　MONKEY　BABYS『それでも信じてる』  (ドリーミュージック・)プロデューサー:横地郁英(テレビ朝日)  　　　　　　　　浅井千瑞(MMJ)☆番組HP  　http://www.tv-asahi.co.jp/asuko/</t>
  </si>
  <si>
    <t>すっかり明日工に染まった直の前に、シンガポールで会社を経営する母・歩(賀来千香子)が現れる!歩は、勝手にシンガポールへの留学を決めてくる。「明日工は進学率も上がり真面目な生徒ばかり!」と訴える直だったが、歩が授業見学に来てしまう!そんな歩は、娘に言えない秘密があるようで…</t>
  </si>
  <si>
    <t>1101_EX_木21</t>
  </si>
  <si>
    <t>告発～国選弁護人</t>
  </si>
  <si>
    <t>番組名告発～国選弁護人　#1</t>
  </si>
  <si>
    <t>『夫殺しの女』  「暴行容疑」をかけられた親友を救うために佐原(田村正和)が敵討ちに立ち上がる!だが、そこには思いもよらない事件「夫殺しの女」を弁護する事となる。何故彼女は夫を殺してしまったのかーいや、殺さなければならなかったのではないかー事件を追うに連れ「背後に潜む巨悪の影」が見え始める…　田村正和、真矢みき、相武紗季、近藤芳正、松尾敏伸/北村有起哉、布施博、相島一之、平田満、釈由美子、木村多江/橋爪功　竹山洋　藤田明二(テレビ朝日)　沢田完チーフプロデューサー:五十嵐文郎(テレビ朝日)  プロデューサー:内山聖子、藤本一彦(テレビ朝日)☆番組HP  　http://www.tv-asahi.co.jp/kokuhatsu/</t>
  </si>
  <si>
    <t xml:space="preserve">『夫殺しの女』  「暴行容疑」をかけられた親友を救うために佐原(田村正和)が敵討ちに立ち上がる!だが、そこには思いもよらない事件「夫殺しの女」を弁護する事となる。何故彼女は夫を殺してしまったのかーいや、殺さなければならなかったのではないかー事件を追うに連れ「背後に潜む巨悪の影」が見え始める…　</t>
  </si>
  <si>
    <t>番組名告発～国選弁護人　#2</t>
  </si>
  <si>
    <t>弁護士のレイプ疑惑、能登での特捜検事転落殺人、その背後に蠢く政治と金の黒い人脈。事件の影には二人の悪女が・・・。国選弁護人が複雑な謎を、鮮やかに解き明かす!田村正和、真矢みき、木村多江、釈由美子、橋爪功他超豪華キャストが集う法廷サスペンス!!田村正和、真矢みき、相武紗季、近藤芳正、松尾敏伸/北村有起哉、布施博、相島一之、平田満、平幹二朗、釈由美子、木村多江/山口智充、橋爪功　竹山洋　藤田明二(テレビ朝日)　沢田完チーフプロデューサー:五十嵐文郎(テレビ朝日)  プロデューサー:内山聖子、藤本一彦(テレビ朝日)☆番組HP  　http://www.tv-asahi.co.jp/kokuhatsu/</t>
  </si>
  <si>
    <t>弁護士のレイプ疑惑、能登での特捜検事転落殺人、その背後に蠢く政治と金の黒い人脈。事件の影には二人の悪女が・・・。国選弁護人が複雑な謎を、鮮やかに解き明かす!</t>
  </si>
  <si>
    <t>番組名告発～国選弁護人　#3</t>
  </si>
  <si>
    <t>佐原のもとに男のアリバイを証言する1人の女が現れる。女は偽証をする理由も無く、佐原は男の無罪を主張する。しかし男が無罪だとすると、誰が真犯人なのか?殺された男の妻が警察に再捜査を受ける中、佐原は、アリバイ証言に潜む微かな矛盾に疑問を感じ、事件の真相に迫って行く・・・。　田村正和、真矢みき、近藤芳正、松尾敏伸/和田正人、遊井亮子、石井正則/大空眞弓、原沙知絵　吉本昌弘　藤田明二(テレビ朝日)　沢田完チーフプロデューサー:五十嵐文郎(テレビ朝日)  プロデューサー:内山聖子、藤本一彦(テレビ朝日)☆番組HP  　http://www.tv-asahi.co.jp/kokuhatsu/</t>
  </si>
  <si>
    <t xml:space="preserve">佐原のもとに男のアリバイを証言する1人の女が現れる。女は偽証をする理由も無く、佐原は男の無罪を主張する。しかし男が無罪だとすると、誰が真犯人なのか?殺された男の妻が警察に再捜査を受ける中、佐原は、アリバイ証言に潜む微かな矛盾に疑問を感じ、事件の真相に迫って行く・・・。　</t>
  </si>
  <si>
    <t>番組名告発～国選弁護人　#4</t>
  </si>
  <si>
    <t>熱子は殺人時、記憶を喪失し「火が見えた、自分は娘を殺していない」と佐原に話す。佐原はその言葉を信じ、弁護を引き受ける事に。しかし、熱子の男性関係は乱れ、調べれば調べるほど悪女の姿しか浮かび上がって来ない…殺人事件の真実はどこにあるのか?　田村正和、真矢みき、相武紗季、山口智充、近藤芳正、松尾敏伸/岩崎ひろみ、若村麻由美　竹山洋　藤田明二(テレビ朝日)　沢田完チーフプロデューサー:五十嵐文郎(テレビ朝日)  プロデューサー:内山聖子、藤本一彦(テレビ朝日)☆番組HP  　http://www.tv-asahi.co.jp/kokuhatsu/</t>
  </si>
  <si>
    <t xml:space="preserve">熱子は殺人時、記憶を喪失し「火が見えた、自分は娘を殺していない」と佐原に話す。佐原はその言葉を信じ、弁護を引き受ける事に。しかし、熱子の男性関係は乱れ、調べれば調べるほど悪女の姿しか浮かび上がって来ない…殺人事件の真実はどこにあるのか?　</t>
  </si>
  <si>
    <t>番組名告発～国選弁護人　#5</t>
  </si>
  <si>
    <t>佐原(田村正和)は、死刑判決を受けた清水熱子(若村麻由美)から幼い頃母と見た『火の記憶』に不振な男・河辺(菅田俊)の存在を知る。熱子は、その男が、父と母を殺したのかもしれないと曖昧な発言をして気絶する。佐原は、熱子の父(伊東四朗)と河辺との接点を突き止める。　田村正和、真矢みき、相武紗季、山口智充、近藤芳正、松尾敏伸/伊東四朗/岩崎ひろみ、若村麻由美　竹山洋　藤田明二(テレビ朝日)　沢田完チーフプロデューサー:五十嵐文郎(テレビ朝日)  プロデューサー:内山聖子、藤本一彦(テレビ朝日)☆番組HP  　http://www.tv-asahi.co.jp/kokuhatsu/</t>
  </si>
  <si>
    <t xml:space="preserve">佐原(田村正和)は、死刑判決を受けた清水熱子(若村麻由美)から幼い頃母と見た『火の記憶』に不振な男・河辺(菅田俊)の存在を知る。熱子は、その男が、父と母を殺したのかもしれないと曖昧な発言をして気絶する。佐原は、熱子の父(伊東四朗)と河辺との接点を突き止める。　</t>
  </si>
  <si>
    <t>番組名告発～国選弁護人　#6</t>
  </si>
  <si>
    <t>通り魔殺人の容疑者・井上(長谷川博己)に一審で死刑判決が下ったが、井上は控訴せず。一度の裁判で死刑確定を危惧した佐原(田村正和)達は、弁護を担当する。被害者の妻・由紀子(国仲涼子)も死刑には困惑する。調べると被害者には、集団暴行で逮捕された過去が!　田村正和、真矢みき、近藤芳正、松尾敏伸/長谷川博己、国仲涼子　ちゃき克彰　藤田明二(テレビ朝日)　沢田完チーフプロデューサー:五十嵐文郎(テレビ朝日)  プロデューサー:内山聖子、藤本一彦(テレビ朝日)☆番組HP  　http://www.tv-asahi.co.jp/kokuhatsu/</t>
  </si>
  <si>
    <t xml:space="preserve">通り魔殺人の容疑者・井上(長谷川博己)に一審で死刑判決が下ったが、井上は控訴せず。一度の裁判で死刑確定を危惧した佐原(田村正和)達は、弁護を担当する。被害者の妻・由紀子(国仲涼子)も死刑には困惑する。調べると被害者には、集団暴行で逮捕された過去が!　</t>
  </si>
  <si>
    <t>番組名告発～国選弁護人　#7</t>
  </si>
  <si>
    <t>佐原(田村正和)は姿を隠していた岡部(橋爪功)を道端で見かけ後を追う。すると大物政治家・藤尾(浜田晃)の会合の場であった。突如そこで財界の首領・石川松子(市原悦子)が銃弾に倒れる。その後岡部は『嫌な仕事を引き受けた』と佐原に告げ法廷での対決を宣言する!!　田村正和、真矢みき、相武紗季、近藤芳正、松尾敏伸/釈由美子、西村雅彦、市原悦子/山口智充、橋爪功　竹山洋　藤田明二(テレビ朝日)　沢田完チーフプロデューサー:五十嵐文郎(テレビ朝日)  プロデューサー:内山聖子、藤本一彦(テレビ朝日)☆番組HP  　http://www.tv-asahi.co.jp/kokuhatsu/</t>
  </si>
  <si>
    <t xml:space="preserve">佐原(田村正和)は姿を隠していた岡部(橋爪功)を道端で見かけ後を追う。すると大物政治家・藤尾(浜田晃)の会合の場であった。突如そこで財界の首領・石川松子(市原悦子)が銃弾に倒れる。その後岡部は『嫌な仕事を引き受けた』と佐原に告げ法廷での対決を宣言する!!　</t>
  </si>
  <si>
    <t>番組名告発～国選弁護人　#8</t>
  </si>
  <si>
    <t>31年前の殺人事件を自らの犯行だと告白した女帝・松子(市原悦子)。不審に思った佐原(田村正和)が、事実確認すると大物政治家が浮上する!!そして岸田麗子(釈由美子)の公判が始まる。佐原が検事側の証人として出廷。佐原と岡部、男の対決が始まる。　田村正和、真矢みき、相武紗季、山口智充、近藤芳正、松尾敏伸/市原悦子/木村多江、釈由美子、西村雅彦、橋爪功　竹山洋　藤田明二(テレビ朝日)　沢田完チーフプロデューサー:五十嵐文郎(テレビ朝日)  プロデューサー:内山聖子、藤本一彦(テレビ朝日)☆番組HP  　http://www.tv-asahi.co.jp/kokuhatsu/</t>
  </si>
  <si>
    <t xml:space="preserve">31年前の殺人事件を自らの犯行だと告白した女帝・松子(市原悦子)。不審に思った佐原(田村正和)が、事実確認すると大物政治家が浮上する!!そして岸田麗子(釈由美子)の公判が始まる。佐原が検事側の証人として出廷。佐原と岡部、男の対決が始まる。　</t>
  </si>
  <si>
    <t>1101_EX_金21</t>
  </si>
  <si>
    <t>悪党～重犯罪捜査班</t>
  </si>
  <si>
    <t>番組名悪党～重犯罪捜査班　#1</t>
  </si>
  <si>
    <t>悪党と呼ばれる非情で切ない刑事たちが、巨悪を狩る!  横浜の繁華街で、若い女性の刺殺体が見つかった。現場に駆け付けたのは、横浜港町署刑事課第四係・富樫正義(高橋克典)ら4人の刑事。富樫は遺体のポケットから何かを見つけ、さりげなくポケットに隠したのだが・・・。高橋克典、小泉孝太郎、内山理名、鈴木浩介、平山浩行、梅沢富美男、村上弘明深沢正樹小松隆志朝倉紀行    【主題歌】  S.R.S『Real　Lie』(トイズファクトリー)    【オープニングテーマ】  4Minute『WHY』(ファー・イースタン・トライブ・レコーズ)ゼネラルプロデューサー:黒田徹也(テレビ朝日)  プロデューサー:中込卓也(テレビ朝日)  　　　　　　　　飯田新(ABC)  　　　　　　　　川西琢(テレビ朝日)  　　　　　　　　伊藤達哉(MMJ)☆番組HP  　http://akutou.asahi.co.jp/</t>
  </si>
  <si>
    <t>悪党と呼ばれる非情で切ない刑事たちが、巨悪を狩る!  横浜の繁華街で、若い女性の刺殺体が見つかった。現場に駆け付けたのは、横浜港町署刑事課第四係・富樫正義(高橋克典)ら4人の刑事。富樫は遺体のポケットから何かを見つけ、さりげなくポケットに隠したのだが・・・。</t>
  </si>
  <si>
    <t>番組名悪党～重犯罪捜査班　#2</t>
  </si>
  <si>
    <t>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高橋克典、小泉孝太郎、内山理名、鈴木浩介、平山浩行、梅沢富美男、村上弘明　ほか深沢正樹小松隆志朝倉紀行    【主題歌】  S.R.S『Real　Lie』(トイズファクトリー)    【オープニングテーマ】  4Minute『WHY』(ファー・イースタン・トライブ・レコーズ)ゼネラルプロデューサー:黒田徹也(テレビ朝日)  プロデューサー:中込卓也(テレビ朝日)  　　　　　　　　飯田新(ABC)  　　　　　　　　川西琢(テレビ朝日)  　　　　　　　　伊藤達哉(MMJ)☆番組HP  　http://akutou.asahi.co.jp/</t>
  </si>
  <si>
    <t>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t>
  </si>
  <si>
    <t>番組名悪党～重犯罪捜査班　#3</t>
  </si>
  <si>
    <t>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高橋克典、小泉孝太郎、内山理名、鈴木浩介、平山浩行、村上弘明　ほか深沢正樹塚本連平朝倉紀行    【主題歌】  S.R.S『Real　Lie』(トイズファクトリー)    【オープニングテーマ】  4Minute『WHY』(ファー・イースタン・トライブ・レコーズ)ゼネラルプロデューサー:黒田徹也(テレビ朝日)  プロデューサー:中込卓也(テレビ朝日)  　　　　　　　　飯田新(ABC)  　　　　　　　　川西琢(テレビ朝日)  　　　　　　　　伊藤達哉(MMJ)☆番組HP  　http://akutou.asahi.co.jp/</t>
  </si>
  <si>
    <t>番組名悪党～重犯罪捜査班　#4</t>
  </si>
  <si>
    <t>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高橋克典、小泉孝太郎、内山理名、鈴木浩介、平山浩行、滝沢沙織、八神蓮、原田佳奈、敦士、松原夏海(AKB48)、桃永、宮武美桜、デビット伊東、大森暁美、梅沢富美男、村上弘明  《ゲスト》  斉藤洋介、武田航平、宮平安春、菅野篤海深沢正樹塚本連平朝倉紀行    【主題歌】  S.R.S『Real　Lie』(トイズファクトリー)    【オープニングテーマ】  4Minute『WHY』(ファー・イースタン・トライブ・レコーズ)ゼネラルプロデューサー:黒田徹也(テレビ朝日)  プロデューサー:中込卓也(テレビ朝日)  　　　　　　　　飯田新(ABC)  　　　　　　　　川西琢(テレビ朝日)  　　　　　　　　伊藤達哉(MMJ)☆番組HP  　http://akutou.asahi.co.jp/</t>
  </si>
  <si>
    <t>番組名悪党～重犯罪捜査班　#5</t>
  </si>
  <si>
    <t>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高橋克典、小泉孝太郎、内山理名、鈴木浩介、平山浩行、滝沢沙織、八神蓮、原田佳奈、敦士、松原夏海(AKB48)、桃永、宮武美桜、デビット伊東、大森暁美、梅沢富美男、村上弘明  《ゲスト》  木之元亮、佐野圭亮、有村架純、石垣佑磨深沢正樹小松隆志朝倉紀行    【主題歌】  S.R.S『Real　Lie』(トイズファクトリー)    【オープニングテーマ】  4Minute『WHY』(ファー・イースタン・トライブ・レコーズ)ゼネラルプロデューサー:黒田徹也(テレビ朝日)  プロデューサー:中込卓也(テレビ朝日)  　　　　　　　　飯田新(ABC)  　　　　　　　　川西琢(テレビ朝日)  　　　　　　　　伊藤達哉(MMJ)☆番組HP  　http://akutou.asahi.co.jp/</t>
  </si>
  <si>
    <t>番組名悪党～重犯罪捜査班　#6</t>
  </si>
  <si>
    <t>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高橋克典、小泉孝太郎、内山理名、鈴木浩介、平山浩行、滝沢沙織、八神蓮、原田佳奈、敦士、松原夏海(AKB48)、桃永、宮武美桜、デビット伊東、大森暁美、梅沢富美男、村上弘明  《ゲスト》  風間トオル、森永健司、森脇英理子深沢正樹塚本連平朝倉紀行    【主題歌】  S.R.S『Real　Lie』(トイズファクトリー)    【オープニングテーマ】  4Minute『WHY』(ファー・イースタン・トライブ・レコーズ)ゼネラルプロデューサー:黒田徹也(テレビ朝日)  プロデューサー:中込卓也(テレビ朝日)  　　　　　　　　飯田新(ABC)  　　　　　　　　川西琢(テレビ朝日)  　　　　　　　　伊藤達哉(MMJ)☆番組HP  　http://akutou.asahi.co.jp/</t>
  </si>
  <si>
    <t>番組名悪党～重犯罪捜査班　#7</t>
  </si>
  <si>
    <t>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高橋克典、小泉孝太郎、内山理名、鈴木浩介、平山浩行、滝沢沙織、八神蓮、原田佳奈、敦士、松原夏海(AKB48)、桃永、宮武美桜、デビット伊東、大森暁美、梅沢富美男、村上弘明  &lt;ゲスト&gt;     中丸新将、春田純一深沢正樹塚本連平朝倉紀行    【主題歌】  S.R.S『Real　Lie』(トイズファクトリー)    【オープニングテーマ】  4Minute『WHY』(ファー・イースタン・トライブ・レコーズ)ゼネラルプロデューサー:黒田徹也(テレビ朝日)  プロデューサー:中込卓也(テレビ朝日)  　　　　　　　　飯田新(ABC)  　　　　　　　　川西琢(テレビ朝日)  　　　　　　　　伊藤達哉(MMJ)☆番組HP  　http://akutou.asahi.co.jp/</t>
  </si>
  <si>
    <t>番組名悪党～重犯罪捜査班</t>
  </si>
  <si>
    <t>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高橋克典、小泉孝太郎、内山理名、鈴木浩介、平山浩行、滝沢沙織、八神蓮、原田佳奈、敦士、松原夏海(AKB48)、桃永、宮武美桜、デビット伊東、大森暁美、梅沢富美男、村上弘明  《ゲスト》  石丸謙二郎、山田明郷、滝藤賢一深沢正樹小松隆志朝倉紀行    【主題歌】  S.R.S『Real　Lie』(トイズファクトリー)    【オープニングテーマ】  4Minute『WHY』(ファー・イースタン・トライブ・レコーズ)ゼネラルプロデューサー:黒田徹也(テレビ朝日)  プロデューサー:中込卓也(テレビ朝日)  　　　　　　　　飯田新(ABC)  　　　　　　　　川西琢(テレビ朝日)  　　　　　　　　伊藤達哉(MMJ)☆番組HP  　http://akutou.asahi.co.jp/</t>
  </si>
  <si>
    <t>1101_EX_金23</t>
  </si>
  <si>
    <t>バーテンダー</t>
  </si>
  <si>
    <t>番組名バーテンダー　#1</t>
  </si>
  <si>
    <t>バーテンダーの道を歩むことをやめた天才バーテンダー・佐々倉溜(相葉雅紀)。そんな彼の前に“究極の一杯”を作るバーテンダーを捜し求める雑誌記者・来島美和(貫地谷しほり)が現れた!美和に押し切られ、美和の祖父・泰三(津川雅彦)にカクテルを出すもー。　相葉雅紀、貫地谷しほり、荒川良々、光石研、池津祥子、西慶子/金子ノブアキ/尾美としのり、竹中直人、津川雅彦　ほか　原作・城アラキ/漫画・長友健篩   『Bartender』(集英社『スーパージャンプ』)　高橋ナツコ、山浦雅大　ほか　片山修、田村直己、二宮崇、白石和彌　中島靖雄　嵐『Lotus』(ジェイ・ストーム)ゼネラルプロデューサー:横地郁英(テレビ朝日)  プロデューサー:中川慎子(テレビ朝日)  　　　　　　　　大江達樹(テレビ朝日)  　　　　　　　　原藤一輝(ジェイ・ストーム)  　　　　　　　　中沢晋(オフィス クレッシェンド)☆番組HP  　http://www.tv-asahi.co.jp/bartender/  ☆携帯サイト  　メニュー⇒テレビ⇒テレビ朝日⇒バーテンダー</t>
  </si>
  <si>
    <t xml:space="preserve">バーテンダーの道を歩むことをやめた天才バーテンダー・佐々倉溜(相葉雅紀)。そんな彼の前に“究極の一杯”を作るバーテンダーを捜し求める雑誌記者・来島美和(貫地谷しほり)が現れた!美和に押し切られ、美和の祖父・泰三(津川雅彦)にカクテルを出すもー。　</t>
  </si>
  <si>
    <t>番組名バーテンダー　#2</t>
  </si>
  <si>
    <t>泰三(津川雅彦)は溜(相葉雅紀)と天才バーテンダー・葛原(金子ノブアキ)2人の腕を試すため、ホテルの記念パーティーでバーブースを担当させる。そんななか美和(貫地谷しほり)の友人・由香利(倉科カナ)が、恋人がいるにもかかわらず、溜に接近し…　相葉雅紀、貫地谷しほり、荒川良々、光石研、池津祥子、西慶子/金子ノブアキ/尾美としのり、竹中直人、津川雅彦　ほか　原作・城アラキ/漫画・長友健篩   『Bartender』(集英社『スーパージャンプ』)　高橋ナツコ　片山修　中島靖雄　嵐『Lotus』(ジェイ・ストーム)ゼネラルプロデューサー:横地郁英(テレビ朝日)  プロデューサー:中川慎子(テレビ朝日)  　　　　　　　　大江達樹(テレビ朝日)  　　　　　　　　原藤一輝(ジェイ・ストーム)  　　　　　　　　中沢晋(オフィス クレッシェンド)☆番組HP  　http://www.tv-asahi.co.jp/bartender/  ☆携帯サイト  　メニュー⇒テレビ⇒テレビ朝日⇒バーテンダー</t>
  </si>
  <si>
    <t xml:space="preserve">泰三(津川雅彦)は溜(相葉雅紀)と天才バーテンダー・葛原(金子ノブアキ)2人の腕を試すため、ホテルの記念パーティーでバーブースを担当させる。そんななか美和(貫地谷しほり)の友人・由香利(倉科カナ)が、恋人がいるにもかかわらず、溜に接近し…　</t>
  </si>
  <si>
    <t>番組名バーテンダー　#3</t>
  </si>
  <si>
    <t>そんな中、「ラパン」に医師の織田(津田寛治)が来店する。織田の彼女は美和の上司・五木(池津祥子)。結婚を視野に入れている2人だが、溜はどうも何かが引っかかる。杉山はコンクールで優勝することが出来るか!?そして織田と五木の恋、美和の想いの行方は…!?　相葉雅紀、貫地谷しほり、荒川良々、光石研、池津祥子、西慶子/金子ノブアキ/尾美としのり、竹中直人、津川雅彦　ほか　原作・城アラキ/漫画・長友健篩   『Bartender』(集英社『スーパージャンプ』)　日比野正和　片山修　中島靖雄　嵐『Lotus』(ジェイ・ストーム)ゼネラルプロデューサー:横地郁英(テレビ朝日)  プロデューサー:中川慎子(テレビ朝日)  　　　　　　　　大江達樹(テレビ朝日)  　　　　　　　　原藤一輝(ジェイ・ストーム)  　　　　　　　　中沢晋(オフィスクレッシェンド)☆番組HP  　http://www.tv-asahi.co.jp/bartender/  ☆携帯サイト  　メニュー⇒テレビ⇒テレビ朝日⇒バーテンダー</t>
  </si>
  <si>
    <t xml:space="preserve">そんな中、「ラパン」に医師の織田(津田寛治)が来店する。織田の彼女は美和の上司・五木(池津祥子)。結婚を視野に入れている2人だが、溜はどうも何かが引っかかる。杉山はコンクールで優勝することが出来るか!?そして織田と五木の恋、美和の想いの行方は…!?　</t>
  </si>
  <si>
    <t>番組名バーテンダー　#4</t>
  </si>
  <si>
    <t>溜は北方に反感を覚える…溜と北方はどんな関係なのか!? 独自調査して2人の関係性を知った美和は、今度は溜がフランスから突然帰国した理由が気になる。一方、溜は偶然にも亜希と再会。ある事情を抱えた亜希に、溜はどんなカクテルと言葉を差し出すのかーー!?　相葉雅紀、貫地谷しほり、荒川良々、光石研、池津祥子、西慶子、尾美としのり、竹中直人、津川雅彦　ほか  《ゲスト》  　カンニング竹山、田中美保　原作・城アラキ/漫画・長友健篩   『Bartender』(集英社『スーパージャンプ』)　山浦雅大　田村直己(テレビ朝日)　中島靖雄　嵐『Lotus』(ジェイ・ストーム)ゼネラルプロデューサー:横地郁英(テレビ朝日)  プロデューサー:中川慎子(テレビ朝日)  　　　　　　　　大江達樹(テレビ朝日)  　　　　　　　　原藤一輝(ジェイ・ストーム)  　　　　　　　　中沢晋(オフィス クレッシェンド)☆番組HP  　http://www.tv-asahi.co.jp/bartender/  ☆携帯サイト  　メニュー⇒テレビ⇒テレビ朝日⇒バーテンダー</t>
  </si>
  <si>
    <t xml:space="preserve">溜は北方に反感を覚える…溜と北方はどんな関係なのか!? 独自調査して2人の関係性を知った美和は、今度は溜がフランスから突然帰国した理由が気になる。一方、溜は偶然にも亜希と再会。ある事情を抱えた亜希に、溜はどんなカクテルと言葉を差し出すのかーー!?　</t>
  </si>
  <si>
    <t>番組名バーテンダー　#5</t>
  </si>
  <si>
    <t>同じころ、美和(貫地谷しほり)はピアニスト・マリ(芦名星)と偶然再開し、BAR「ラパン」へやって来る。早苗とマリは親子で、並々ならぬ確執がある様子。溜はこの親子のためによかれと思い、早苗のバーの名前と同じ名前のカクテルを作るが、マリに激怒される…!?　相葉雅紀、貫地谷しほり、荒川良々、光石研、池津祥子、竹中直人、津川雅彦　ほか  《ゲスト》  　室井滋、芦名星　原作・城アラキ/漫画・長友健篩   『Bartender』(集英社『スーパージャンプ』)　山浦雅大　二宮崇　中島靖雄　嵐『Lotus』(ジェイ・ストーム)ゼネラルプロデューサー:横地郁英(テレビ朝日)  プロデューサー:中川慎子(テレビ朝日)  　　　　　　　　大江達樹(テレビ朝日)  　　　　　　　　原藤一輝(ジェイ・ストーム)  　　　　　　　　中沢晋(オフィスクレッシェンド)☆番組HP  　http://www.tv-asahi.co.jp/bartender/  ☆携帯サイト  　メニュー⇒テレビ⇒テレビ朝日⇒バーテンダー</t>
  </si>
  <si>
    <t xml:space="preserve">同じころ、美和(貫地谷しほり)はピアニスト・マリ(芦名星)と偶然再開し、BAR「ラパン」へやって来る。早苗とマリは親子で、並々ならぬ確執がある様子。溜はこの親子のためによかれと思い、早苗のバーの名前と同じ名前のカクテルを作るが、マリに激怒される…!?　</t>
  </si>
  <si>
    <t>番組名バーテンダー　#6</t>
  </si>
  <si>
    <t>「ホテルカーディナル」で行われるフランスフェアのため、加瀬とフレンチシェフ・山之内(大友康平)が凱旋来日する。山之内が食材をパリと同じもので揃えるよう無理難題を押しつけてきた。そのことを知った美和(貫地谷しほり)は、溜に山之内を「ラパン」でもてなして説得するよう頼むも…　相葉雅紀、貫地谷しほり、荒川良々、光石研、池津祥子、西慶子/金子ノブアキ/尾美としのり、竹中直人、津川雅彦　ほか  ゲスト:大友康平　原作・城アラキ/漫画・長友健篩   『Bartender』(集英社『スーパージャンプ』)　日比野正和　片山修(テレビ朝日)　中島靖雄　嵐『Lotus』(ジェイ・ストーム)ゼネラルプロデューサー:横地郁英(テレビ朝日)  プロデューサー:中川慎子(テレビ朝日)  　　　　　　　　大江達樹(テレビ朝日)  　　　　　　　　原藤一輝(ジェイ・ストーム)  　　　　　　　　中沢晋(オフィスクレッシェンド)☆番組HP  　http://www.tv-asahi.co.jp/bartender/  ☆携帯サイト  　メニュー⇒テレビ⇒テレビ朝日⇒バーテンダー</t>
  </si>
  <si>
    <t xml:space="preserve">「ホテルカーディナル」で行われるフランスフェアのため、加瀬とフレンチシェフ・山之内(大友康平)が凱旋来日する。山之内が食材をパリと同じもので揃えるよう無理難題を押しつけてきた。そのことを知った美和(貫地谷しほり)は、溜に山之内を「ラパン」でもてなして説得するよう頼むも…　</t>
  </si>
  <si>
    <t>番組名バーテンダー　#7</t>
  </si>
  <si>
    <t>そんな矢先、フランスフェアで葛原(金子ノブアキ)が加瀬(竹中直人)のサポートをすることに!葛原を「カーディナル」メインバーのチーフに!?美和は加瀬とちゃんと向き合うようにと溜を説得しようとするも…。溜は“本物のバーテンダー”への1歩を踏み出せるのか!?　相葉雅紀、貫地谷しほり、荒川良々、光石研、西慶子/金子ノブアキ/尾美としのり、竹中直人、津川雅彦　ほか  《ゲスト》  　別所哲也、佐藤江梨子　原作・城アラキ/漫画・長友健篩   『Bartender』(集英社『スーパージャンプ』)　日比野正和　片山修(テレビ朝日)　中島靖雄　嵐『Lotus』(ジェイ・ストーム)ゼネラルプロデューサー:横地郁英(テレビ朝日)  プロデューサー:中川慎子(テレビ朝日)  　　　　　　　　大江達樹(テレビ朝日)  　　　　　　　　原藤一輝(ジェイ・ストーム)  　　　　　　　　中沢晋(オフィスクレッシェンド)☆番組HP  　http://www.tv-asahi.co.jp/bartender/  ☆携帯サイト  　メニュー⇒テレビ⇒テレビ朝日⇒バーテンダー</t>
  </si>
  <si>
    <t xml:space="preserve">そんな矢先、フランスフェアで葛原(金子ノブアキ)が加瀬(竹中直人)のサポートをすることに!葛原を「カーディナル」メインバーのチーフに!?美和は加瀬とちゃんと向き合うようにと溜を説得しようとするも…。溜は“本物のバーテンダー”への1歩を踏み出せるのか!?　</t>
  </si>
  <si>
    <t>番組名バーテンダー</t>
  </si>
  <si>
    <t>泰三(津川雅彦)の葬儀が終わった。「ホテルカーディナル」メインバーのチーフバーテンダーという一席しかないその座を狙い、葛原(金子ノブアキ)と対峙する。そして遂に、人選を任された溜の元師匠・加瀬(竹中直人)が決断を下す日がやってきた…。　相葉雅紀、貫地谷しほり、荒川良々、光石研、池津祥子、西慶子/金子ノブアキ/尾美としのり、竹中直人　津川雅彦　ほか  《ゲスト》  　錦戸亮　原作・城アラキ/漫画・長友健篩   『Bartender』(集英社『スーパージャンプ』)　山浦雅大　片山修(テレビ朝日)　中島靖雄　嵐『Lotus』(ジェイ・ストーム)ゼネラルプロデューサー:横地郁英(テレビ朝日)  プロデューサー:中川慎子(テレビ朝日)  　　　　　　　　大江達樹(テレビ朝日)  　　　　　　　　原藤一輝(ジェイ・ストーム)  　　　　　　　　中沢晋(オフィスクレッシェンド)☆番組HP  　http://www.tv-asahi.co.jp/bartender/  ☆携帯サイト  　メニュー⇒テレビ⇒テレビ朝日⇒バーテンダー</t>
  </si>
  <si>
    <t xml:space="preserve">泰三(津川雅彦)の葬儀が終わった。「ホテルカーディナル」メインバーのチーフバーテンダーという一席しかないその座を狙い、葛原(金子ノブアキ)と対峙する。そして遂に、人選を任された溜の元師匠・加瀬(竹中直人)が決断を下す日がやってきた…。　</t>
  </si>
  <si>
    <t>1101_EX_日23</t>
  </si>
  <si>
    <t>Dr.伊良部一郎</t>
  </si>
  <si>
    <t>番組名Dr.伊良部一郎　#1</t>
  </si>
  <si>
    <t>やくざなのに尖端恐怖症に悩まされている狩野(西村雅彦)は、恋人(三浦理恵子)のススメで病院を訪れるが、そこで彼を待っていた医者・伊良部一郎(徳重聡)と助手のマユミ(余貴美子)は、嫌がる狩野に無理矢理注射をする、トンデモ精神科医だった!?　徳重聡、余貴美子、原幹恵、三浦理恵子、西村雅彦　奥田英朗著『イン・ザ・プール』『空中ブランコ』『町長選挙』(文春文庫刊)　八津弘幸　配島邦明　高橋伸之(テレビ朝日)　ほかNot yet「週末Not yet」(日本コロンビア)ゼネラルプロデューサー:黒田徹也(テレビ朝日)  プロデューサー:船津浩一(テレビ朝日)   　　　　　　　　里内英司(5年D組)   　　　　　　　　松井洋子(5年D組)☆番組HP  　http://www.tv-asahi.co.jp/irabu/</t>
  </si>
  <si>
    <t xml:space="preserve">やくざなのに尖端恐怖症に悩まされている狩野(西村雅彦)は、恋人(三浦理恵子)のススメで病院を訪れるが、そこで彼を待っていた医者・伊良部一郎(徳重聡)と助手のマユミ(余貴美子)は、嫌がる狩野に無理矢理注射をする、トンデモ精神科医だった!?　</t>
  </si>
  <si>
    <t>番組名Dr.伊良部一郎　#2</t>
  </si>
  <si>
    <t>直木賞作家・奥田英朗著の話題作待望の連続ドラマ化!トンデモ精神科医伊良部一郎を演じるのは、連ドラ初主演の徳重聡。伊良部の奇想天外な治療法が悩める現代人を救う!?徳重聡、余貴美子、原幹恵、岡田義徳、石橋蓮司奥田英朗著「義父のヅラ」(文春文庫『空中ブランコ』所収)八津弘幸配島邦明高橋伸之(テレビ朝日)Not　yet『週末Not　yet』(日本コロムビア)ゼネラルプロデューサー:黒田徹也(テレビ朝日)  プロデューサー:船津浩一(テレビ朝日)   　　　　　　　　里内英司(5年D組)   　　　　　　　　松井洋子(5年D組)☆番組HP  　http://www.tv-asahi.co.jp/irabu/</t>
  </si>
  <si>
    <t>番組名Dr.伊良部一郎　#3</t>
  </si>
  <si>
    <t>直木賞作家・奥田英朗著の話題作待望の連続ドラマ化!トンデモ精神科医伊良部一郎を演じるのは、連ドラ初主演の徳重聡。伊良部の奇想天外な治療法が悩める現代人を救う!?徳重聡、余貴美子、原幹恵、井上和香奥田英朗著『イン・ザ・プール』『空中ブランコ』『町長選挙』(文春文庫刊)田中一彦配島邦明高橋伸之(テレビ朝日)Not　yet『週末Not　yet』(日本コロムビア)ゼネラルプロデューサー:黒田徹也(テレビ朝日)  プロデューサー:船津浩一(テレビ朝日)   　　　　　　　　里内英司(5年D組)   　　　　　　　　松井洋子(5年D組)☆番組HP  　http://www.tv-asahi.co.jp/irabu/</t>
  </si>
  <si>
    <t>番組名Dr.伊良部一郎　#4</t>
  </si>
  <si>
    <t>直木賞作家・奥田英朗著の話題作待望の連続ドラマ化!トンデモ精神科医伊良部一郎を演じるのは、連ドラ初主演の徳重聡。伊良部の奇想天外な治療法が悩める現代人を救う!?徳重聡、余貴美子、原幹恵、津川雅彦、綾田俊樹、鶴見辰吾　ほか奥田英朗著「オーナー」(文春文庫『町長選挙』所収)高山直也配島邦明常廣丈太(テレビ朝日)Not　yet『週末Not　yet』(日本コロムビア)ゼネラルプロデューサー:黒田徹也(テレビ朝日)  プロデューサー:船津浩一(テレビ朝日)   　　　　　　　　里内英司(5年D組)   　　　　　　　　松井洋子(5年D組)☆番組HP  　http://www.tv-asahi.co.jp/irabu/</t>
  </si>
  <si>
    <t>番組名Dr.伊良部一郎　#5</t>
  </si>
  <si>
    <t>直木賞作家・奥田英朗著の話題作待望の連続ドラマ化!トンデモ精神科医伊良部一郎を演じるのは、連ドラ初主演の徳重聡。伊良部の奇想天外な治療法が悩める現代人を救う!?　徳重聡、余貴美子、原幹恵、浅野ゆう子、阿知波悟美、秋本奈緒美　ほか　奥田英朗著　「カリスマ稼業」(文春文庫『町長選挙』所収)　八津弘幸　配島邦明　高橋伸之(テレビ朝日)　Not　yet『週末Not　yet』(日本コロムビア)ゼネラルプロデューサー:黒田徹也(テレビ朝日)  プロデューサー:船津浩一(テレビ朝日)   　　　　　　　　里内英司(5年D組)   　　　　　　　　松井洋子(5年D組)☆番組HP  　http://www.tv-asahi.co.jp/irabu/</t>
  </si>
  <si>
    <t>番組名Dr.伊良部一郎　#6</t>
  </si>
  <si>
    <t>直木賞作家・奥田英朗著の話題作待望の連続ドラマ化!トンデモ精神科医伊良部一郎を演じるのは、連ドラ初主演の徳重聡。伊良部の奇想天外な治療法が悩める現代人を救う!?　徳重聡、余貴美子、原幹恵、中山忍　ほか　奥田英朗著「イン・ザ・プール」(文春文庫『イン・ザ・プール』所収)　高山直也　配島邦明　常廣丈太(テレビ朝日)　Not　yet『週末Not　yet』(日本コロムビア)ゼネラルプロデューサー:黒田徹也(テレビ朝日)  プロデューサー:船津浩一(テレビ朝日)   　　　　　　　　里内英司(5年D組)   　　　　　　　　松井洋子(5年D組)☆番組HP  　http://www.tv-asahi.co.jp/irabu/</t>
  </si>
  <si>
    <t>番組名Dr.伊良部一郎　#7</t>
  </si>
  <si>
    <t>直木賞作家・奥田英朗著の話題作待望の連続ドラマ化!トンデモ精神科医伊良部一郎を演じるのは、連ドラ初主演の徳重聡。伊良部の奇想天外な治療法が悩める現代人を救う!?　徳重聡、余貴美子、原幹恵、忍成修吾、中山恵、Notyet(大島優子、北原里英、指原莉乃、横山由依)　ほか　奥田英朗著「アンポンマン」(文春文庫『町長選挙』所収)　八津弘幸　配島邦明　高橋伸之(テレビ朝日)　Not　yet『週末Not　yet』(日本コロムビア)ゼネラルプロデューサー:黒田徹也(テレビ朝日)  プロデューサー:船津浩一(テレビ朝日)   　　　　　　　　里内英司(5年D組)   　　　　　　　　松井洋子(5年D組)☆番組HP  　http://www.tv-asahi.co.jp/irabu/</t>
  </si>
  <si>
    <t>番組名日曜ナイトドラマ　Dr.伊良部一郎</t>
  </si>
  <si>
    <t>直木賞作家・奥田英朗著の話題作待望の連続ドラマ化!トンデモ精神科医伊良部一郎を演じるのは、連ドラ初主演の徳重聡。伊良部の奇想天外な治療法が悩める現代人を救う!?　徳重聡、余貴美子、原幹恵、金児憲史、勝部演之、団時朗、河本準一(次長課長)、舘ひろし　奥田英朗著「いてもたっても」(文春文庫『イン・ザ・プール』所収)　八津弘幸　配島邦明　高橋伸之(テレビ朝日)　Not　yet『週末Not　yet』(日本コロムビア)ゼネラルプロデューサー:黒田徹也(テレビ朝日)  プロデューサー:船津浩一(テレビ朝日)   　　　　　　　　里内英司(5年D組)   　　　　　　　　松井洋子(5年D組)☆番組HP  　http://www.tv-asahi.co.jp/irabu/</t>
  </si>
  <si>
    <t>1010_EX_木21</t>
  </si>
  <si>
    <t>ナサケの女</t>
  </si>
  <si>
    <t>番組名ナサケの女　～国税局査察官～　#1</t>
  </si>
  <si>
    <t>西伊豆税務署に勤めていた松平松子(米倉涼子)は手腕を買われ東京国税局へ異動に…  東京のホストクラブ・フィナーレ。そこにはドレス姿の松子が。ナンバーワンホスト(金児憲史)に近づく。同じ頃東京国税局査察部ではフィナーレに対しガサ入れの準備が整えられていた…。　米倉涼子、柳葉敏郎、塚本高史、勝村政信、鈴木浩介、小市慢太郎、夕輝壽太、齋藤めぐみ・瀬戸康史、鹿沼憂妃/泉谷しげる、飯島直子、武田鉄矢  ゲスト:菊池桃子、金児憲史、笹野高史　中園ミホ　松田秀知、田村直己(テレビ朝日)　DREAMS　COME　TRUE『LIES,LIES.』  　(DCT records Inc./NAYUTAWAVE RECORDS)プロデューサー:内山聖子、木内麻由美(テレビ朝日)  協力プロデューサー:梅田玲子(ザ・ワークス)☆番組HP  　http://www.tv-asahi.co.jp/nasake/</t>
  </si>
  <si>
    <t xml:space="preserve">西伊豆税務署に勤めていた松平松子(米倉涼子)は手腕を買われ東京国税局へ異動に…  東京のホストクラブ・フィナーレ。そこにはドレス姿の松子が。ナンバーワンホスト(金児憲史)に近づく。同じ頃東京国税局査察部ではフィナーレに対しガサ入れの準備が整えられていた…。　</t>
  </si>
  <si>
    <t>番組名ナサケの女　～国税局査察官～　#2</t>
  </si>
  <si>
    <t>経営コンサルタント、桐島まどか(森口瑤子)の講演が東京国税局で開かれる。彼女のツイッターで語られる豪華な暮らしぶりに、松子は「脱税してません?」と詰め寄る。だがその後の内偵調査は証拠不十分で打ち切りに…そんな中、松子はまどかの敏腕税理士・白石徹(佐野史郎)に近づく。　米倉涼子、柳葉敏郎、塚本高史、勝村政信、鈴木浩介、小市慢太郎、夕輝壽太、齋藤めぐみ・瀬戸康史、鹿沼憂妃/泉谷しげる、飯島直子、武田鉄矢　中園ミホ　松田秀知、田村直己(テレビ朝日)　DREAMS　COME　TRUE『LIES,LIES.』  　(DCT records Inc./NAYUTAWAVE RECORDS)プロデューサー:内山聖子、木内麻由美(テレビ朝日)  協力プロデューサー:梅田玲子(ザ・ワークス)☆番組HP  　http://www.tv-asahi.co.jp/nasake/</t>
  </si>
  <si>
    <t xml:space="preserve">経営コンサルタント、桐島まどか(森口瑤子)の講演が東京国税局で開かれる。彼女のツイッターで語られる豪華な暮らしぶりに、松子は「脱税してません?」と詰め寄る。だがその後の内偵調査は証拠不十分で打ち切りに…そんな中、松子はまどかの敏腕税理士・白石徹(佐野史郎)に近づく。　</t>
  </si>
  <si>
    <t>番組名ナサケの女　～国税局査察官～　#3</t>
  </si>
  <si>
    <t>「裏口入学」「裏金」…名門私立・京徳学園に関するタレコミに目をつけた松子。しかし、政財界の子息が多く通う同校には触るなと釘をさされる。「脱税を見逃す奴は脱税する奴と同じ」松子は早速、独断で理事長の門倉要(石橋蓮司)に接触したり、お受験ママに扮して内偵を開始する。　米倉涼子、柳葉敏郎、塚本高史、勝村政信、鈴木浩介、小市慢太郎、夕輝壽太、齋藤めぐみ・瀬戸康史、鹿沼憂妃/泉谷しげる、飯島直子、武田鉄矢　中園ミホ　松田秀知、田村直己(テレビ朝日)　DREAMS　COME　TRUE『LIES,LIES.』  　(DCT records Inc./NAYUTAWAVE RECORDS)プロデューサー:内山聖子、木内麻由美(テレビ朝日)  協力プロデューサー:梅田玲子(ザ・ワークス)☆番組HP  　http://www.tv-asahi.co.jp/nasake/</t>
  </si>
  <si>
    <t xml:space="preserve">「裏口入学」「裏金」…名門私立・京徳学園に関するタレコミに目をつけた松子。しかし、政財界の子息が多く通う同校には触るなと釘をさされる。「脱税を見逃す奴は脱税する奴と同じ」松子は早速、独断で理事長の門倉要(石橋蓮司)に接触したり、お受験ママに扮して内偵を開始する。　</t>
  </si>
  <si>
    <t>番組名ナサケの女　～国税局査察官～　#4</t>
  </si>
  <si>
    <t>内偵で潜入した婚活パーティー。そこで松子は「母が果樹園にワイナリー、ビルまで持っている」という小田健太郎(塚地武雅)から金の匂いを嗅ぎとる。早速松子は山梨の小田宅へ。母親のタキ(佐々木すみ江)に花嫁候補と偽り接触。その夜、畑に現金を埋めるタキを目撃するが…　米倉涼子、柳葉敏郎、塚本高史、勝村政信、鈴木浩介、小市慢太郎、夕輝壽太、齋藤めぐみ・瀬戸康史、鹿沼憂妃/泉谷しげる、飯島直子、武田鉄矢　中園ミホ　田村直己(テレビ朝日)　DREAMS　COME　TRUE『LIES,LIES.』  　(DCT records Inc./NAYUTAWAVE RECORDS)プロデューサー:内山聖子、木内麻由美(テレビ朝日)  協力プロデューサー:梅田玲子(ザ・ワークス)☆番組HP  　http://www.tv-asahi.co.jp/nasake/</t>
  </si>
  <si>
    <t xml:space="preserve">内偵で潜入した婚活パーティー。そこで松子は「母が果樹園にワイナリー、ビルまで持っている」という小田健太郎(塚地武雅)から金の匂いを嗅ぎとる。早速松子は山梨の小田宅へ。母親のタキ(佐々木すみ江)に花嫁候補と偽り接触。その夜、畑に現金を埋めるタキを目撃するが…　</t>
  </si>
  <si>
    <t>番組名ナサケの女　～国税局査察官～　#5</t>
  </si>
  <si>
    <t>松子と三木は建設会社の内偵で不正な現金の受け渡し現場を押さえる。強制調査にこぎつけるが肝心の現金が見つからない。現場監督の萩原(村田充)が3億円の現金とともに逃走してしまったのだ。このままだと告発できない…松子たちは窮地に立たされる。ところがその後、その3億がなんと友也の元に…!?　米倉涼子、柳葉敏郎、塚本高史、勝村政信、鈴木浩介、小市慢太郎、夕輝壽太、齋藤めぐみ・瀬戸康史、鹿沼憂妃/泉谷しげる、飯島直子、武田鉄矢　中園ミホ　松田秀知、田村直己(テレビ朝日)　DREAMS　COME　TRUE『LIES,LIES.』  　(DCT records Inc./NAYUTAWAVE RECORDS)プロデューサー:内山聖子、木内麻由美(テレビ朝日)  協力プロデューサー:梅田玲子(ザ・ワークス)☆番組HP  　http://www.tv-asahi.co.jp/nasake/</t>
  </si>
  <si>
    <t xml:space="preserve">松子と三木は建設会社の内偵で不正な現金の受け渡し現場を押さえる。強制調査にこぎつけるが肝心の現金が見つからない。現場監督の萩原(村田充)が3億円の現金とともに逃走してしまったのだ。このままだと告発できない…松子たちは窮地に立たされる。ところがその後、その3億がなんと友也の元に…!?　</t>
  </si>
  <si>
    <t>番組名ナサケの女　～国税局査察官～　#6</t>
  </si>
  <si>
    <t>結婚産業グループの会長・大鳥(平泉成)は、鉄子の部屋の常連。大鳥の鞄の中に大金を見つけた松子は彼を尾行、その金を愛人に預ける所を目撃する。大鳥は複数の愛人に脱税して作った金の番をさせていた。強制調査で他の愛人たちが白状する中、愛(室井滋)だけは黙秘を決め込んでいたが…　米倉涼子、柳葉敏郎、塚本高史、勝村政信、鈴木浩介、小市慢太郎、夕輝壽太、齋藤めぐみ・瀬戸康史、鹿沼憂妃/泉谷しげる、飯島直子、武田鉄矢  《ゲスト》  　室井滋、平泉成　中園ミホ　田村直己(テレビ朝日)　DREAMS　COME　TRUE『LIES,LIES.』  　(DCT records Inc./NAYUTAWAVE RECORDS)プロデューサー:内山聖子、木内麻由美(テレビ朝日)  協力プロデューサー:梅田玲子(ザ・ワークス)☆番組HP  　http://www.tv-asahi.co.jp/nasake/</t>
  </si>
  <si>
    <t xml:space="preserve">結婚産業グループの会長・大鳥(平泉成)は、鉄子の部屋の常連。大鳥の鞄の中に大金を見つけた松子は彼を尾行、その金を愛人に預ける所を目撃する。大鳥は複数の愛人に脱税して作った金の番をさせていた。強制調査で他の愛人たちが白状する中、愛(室井滋)だけは黙秘を決め込んでいたが…　</t>
  </si>
  <si>
    <t>番組名ナサケの女　～国税局査察官～　#7</t>
  </si>
  <si>
    <t>女社長青山貴美子(真野響子)は愛人である花形不動産社長の花形啓介(橋爪功)を三億の脱税容疑で新田に密告。一方、松子は花形不動産と裏でつながっている山井興業を独断で調査、鉄子の過去が山井興業に関わっていることを突き止める。新田も再び鉄子にある協力を依頼して…?　米倉涼子、柳葉敏郎、塚本高史、勝村政信、鈴木浩介、小市慢太郎、夕輝壽太、齋藤めぐみ・瀬戸康史、鹿沼憂妃/泉谷しげる、飯島直子、武田鉄矢　中園ミホ　田村直己(テレビ朝日)　DREAMS　COME　TRUE『LIES,LIES.』  　(DCT records Inc./NAYUTAWAVE RECORDS)プロデューサー:内山聖子、木内麻由美(テレビ朝日)  協力プロデューサー:梅田玲子(ザ・ワークス)☆番組HP  　http://www.tv-asahi.co.jp/nasake/</t>
  </si>
  <si>
    <t xml:space="preserve">女社長青山貴美子(真野響子)は愛人である花形不動産社長の花形啓介(橋爪功)を三億の脱税容疑で新田に密告。一方、松子は花形不動産と裏でつながっている山井興業を独断で調査、鉄子の過去が山井興業に関わっていることを突き止める。新田も再び鉄子にある協力を依頼して…?　</t>
  </si>
  <si>
    <t>番組名ナサケの女　～国税局査察官～</t>
  </si>
  <si>
    <t>新田が撃たれた後、松子は西伊豆の老人ホームにいた。が、突然そのホームが差し押さえられてしまう。そこには花形不動産が関わっていた。ホームを計画倒産させては隠し財産を得ていたのだ。松子は東京に戻り、ナサケの仲間とともに内偵調査を再開。再び花形不動産へのガサ入れにこぎつける!　米倉涼子、柳葉敏郎、塚本高史、勝村政信、鈴木浩介、小市慢太郎、夕輝壽太、齋藤めぐみ・瀬戸康史、鹿沼憂妃/泉谷しげる、飯島直子、武田鉄矢　中園ミホ　松田秀知、田村直己(テレビ朝日)　DREAMS　COME　TRUE『LIES,LIES.』  　(DCT records Inc./NAYUTAWAVE RECORDS)プロデューサー:内山聖子、木内麻由美(テレビ朝日)  協力プロデューサー:梅田玲子(ザ・ワークス)☆番組HP  　http://www.tv-asahi.co.jp/nasake/</t>
  </si>
  <si>
    <t xml:space="preserve">新田が撃たれた後、松子は西伊豆の老人ホームにいた。が、突然そのホームが差し押さえられてしまう。そこには花形不動産が関わっていた。ホームを計画倒産させては隠し財産を得ていたのだ。松子は東京に戻り、ナサケの仲間とともに内偵調査を再開。再び花形不動産へのガサ入れにこぎつける!　</t>
  </si>
  <si>
    <t>1010_EX_金21</t>
  </si>
  <si>
    <t>検事・鬼島平八郎</t>
  </si>
  <si>
    <t>番組名検事・鬼島平八郎　#1</t>
  </si>
  <si>
    <t>浜田演じる鬼島平八郎は、44歳にして新人という異色の検事。  難しい「法律」より自分の「感覚」を信じて、事件の真実を追求していく。  当初、小さな横領と思われた事件の裏側に、とんでもない『闇』が隠れていた!!　浜田雅功、内田有紀/濱田岳、西山茉希/ビートたけし(特別出演)/濱田龍臣、刈谷友衣子/小沢仁志、板尾創路、風見しんご/細川茂樹、田山涼成/松重豊、西村雅彦/石橋凌/古谷一行  　津田寛治、名高達郎『東京地検特捜部長　鬼島平八郎』(小池書院)    作:鍋島雅治  画:池辺かつみ　樫田正剛　白川士『On　Your　Mark～ヒカリのキセキ』  三代目J Soul Brothers(リズムゾーン)　中村竜哉ゼネラルプロデューサー:郷田美雄(ABC)  プロデューサー:安井一成(ABC)  　　　　　　　　飯田爽(テレビ朝日)  　　　　　　　　稲冨聡(よしもとクリエイティブ・エージェンシー)  　　　　　　　　池田禎子(ザ・ワークス)☆番組HP  　http://onijima.asahi.co.jp/</t>
  </si>
  <si>
    <t xml:space="preserve">浜田演じる鬼島平八郎は、44歳にして新人という異色の検事。  難しい「法律」より自分の「感覚」を信じて、事件の真実を追求していく。  当初、小さな横領と思われた事件の裏側に、とんでもない『闇』が隠れていた!!　</t>
  </si>
  <si>
    <t>番組名検事・鬼島平八郎　#2</t>
  </si>
  <si>
    <t>会社社長による裏金疑惑が勃発。鬼島(浜田雅功)が聴取を担当するが、社長を怒らせてしまうという大失態を演じる。彼は地元の権力者で検察に対するバッシングの嵐が吹き荒れる中、鬼島の意外な行動で、事件は急展開を迎える!?　浜田雅功、内田有紀/濱田岳、西山茉希/ビートたけし(特別出演)/濱田龍臣、刈谷友衣子/小沢仁志、板尾創路/細川茂樹、田山涼成/松重豊、西村雅彦/石橋凌/名高達郎『東京地検特捜部長　鬼島平八郎』(小池書院)  作:鍋島雅治  画:池辺かつみ　徳永友一　白川士『On　Your　Mark～ヒカリのキセキ』  三代目J Soul Brothers(リズムゾーン)　中村竜哉ゼネラルプロデューサー:郷田美雄(ABC)  プロデューサー:安井一成(ABC)  　　　　　　　　飯田爽(テレビ朝日)  　　　　　　　　稲冨聡(よしもとクリエイティブ・エージェンシー)  　　　　　　　　池田禎子(ザ・ワークス)☆番組HP  　http://onijima.asahi.co.jp/</t>
  </si>
  <si>
    <t xml:space="preserve">会社社長による裏金疑惑が勃発。鬼島(浜田雅功)が聴取を担当するが、社長を怒らせてしまうという大失態を演じる。彼は地元の権力者で検察に対するバッシングの嵐が吹き荒れる中、鬼島の意外な行動で、事件は急展開を迎える!?　</t>
  </si>
  <si>
    <t>番組名検事・鬼島平八郎　#3</t>
  </si>
  <si>
    <t>鬼島平八郎(浜田雅功)らの粘り強い捜査で、ついに樋村孝四郎(名高達男)から供述を得た伊智地検は、本格的に大橋はじめ議員(細川茂樹)への裏金献金ルートの解明を開始。だが鬼島は捜査からは外されてしまう。伊智地検は大橋議員の事務所と元秘書・九条誠(長谷川朝晴)の自宅を捜索。  九条の自宅から現金1億円を発見する!その結果、九条の私的流用の可能性を指摘され、大橋議員に対する捜査方法が問題となってしまう!!　浜田雅功、内田有紀/濱田岳、西山茉希/ビートたけし(特別出演)/濱田龍臣、刈谷友衣子/小沢仁志、板尾創路、風見しんご/細川茂樹、田山涼成/松重豊、西村雅彦/石橋凌作:鍋島雅治  画:池辺かつみ  『東京地検特捜部長　鬼島平八郎』(小池書院)　徳永友一　遠藤光貴『On　Your　Mark～ヒカリのキセキ』  三代目J Soul Brothers(リズムゾーン)    【音楽】  　中村竜哉ゼネラルプロデューサー:郷田美雄(ABC)  プロデューサー:安井一成(ABC)  　　　　　　　　飯田爽(テレビ朝日)  　　　　　　　　稲冨聡(よしもとクリエイティブ・エージェンシー)  　　　　　　　　池田禎子(ザ・ワークス)☆番組HP  　http://onijima.asahi.co.jp/</t>
  </si>
  <si>
    <t xml:space="preserve">鬼島平八郎(浜田雅功)らの粘り強い捜査で、ついに樋村孝四郎(名高達男)から供述を得た伊智地検は、本格的に大橋はじめ議員(細川茂樹)への裏金献金ルートの解明を開始。だが鬼島は捜査からは外されてしまう。伊智地検は大橋議員の事務所と元秘書・九条誠(長谷川朝晴)の自宅を捜索。  九条の自宅から現金1億円を発見する!その結果、九条の私的流用の可能性を指摘され、大橋議員に対する捜査方法が問題となってしまう!!　</t>
  </si>
  <si>
    <t>番組名検事・鬼島平八郎　#4</t>
  </si>
  <si>
    <t>44歳で新人という異色の検事・鬼島平八郎(浜田雅功)が手掛けた小さな横領事件は、ついに国会議員・大橋はじめ(細川茂樹)への3億円にのぼる不正献金疑惑へと発展。政界を揺るがす大事件の様相を呈してきた。そして次期総裁候補と目される大物代議士・橘寛二(松方弘樹)が登場。大橋議員を断罪する!!その矢先、地検に怪文書入りの時限爆弾が…。かく乱される中、老検事・木戸勉(田山涼成)がある想いを胸に執念の捜査を続ける…。　浜田雅功、内田有紀/濱田岳、西山茉希/ビートたけし(特別出演)/濱田龍臣、刈谷友衣子/小沢仁志、板尾創路、風見しんご/細川茂樹、田山涼成/松重豊、西村雅彦/山田親太朗/石橋凌/古谷一行、松方弘樹作:鍋島雅治  画:池辺かつみ  『東京地検特捜部長　鬼島平八郎』(小池書院)　徳永友一　遠藤光貴『On　Your　Mark～ヒカリのキセキ』  三代目J Soul Brothers(リズムゾーン)    【音楽】  　中村竜哉ゼネラルプロデューサー:郷田美雄(ABC)  プロデューサー:安井一成(ABC)  　　　　　　　　飯田爽(テレビ朝日)  　　　　　　　　稲冨聡(よしもとクリエイティブ・エージェンシー)  　　　　　　　　池田禎子(ザ・ワークス)☆番組HP  　http://onijima.asahi.co.jp/</t>
  </si>
  <si>
    <t xml:space="preserve">44歳で新人という異色の検事・鬼島平八郎(浜田雅功)が手掛けた小さな横領事件は、ついに国会議員・大橋はじめ(細川茂樹)への3億円にのぼる不正献金疑惑へと発展。政界を揺るがす大事件の様相を呈してきた。そして次期総裁候補と目される大物代議士・橘寛二(松方弘樹)が登場。大橋議員を断罪する!!その矢先、地検に怪文書入りの時限爆弾が…。かく乱される中、老検事・木戸勉(田山涼成)がある想いを胸に執念の捜査を続ける…。　</t>
  </si>
  <si>
    <t>番組名検事・鬼島平八郎　#5</t>
  </si>
  <si>
    <t>ついに現職の国会議員・大橋はじめ(細川茂樹)を逮捕・起訴に持ち込んだ鬼島平八郎(浜田雅功)ら伊智地検のメンバーだが、木戸勉(田山涼成)は、「この事件を大橋の起訴だけで終わらせてはいけない」と話す。そんな中、森本真紀(内田有紀)が東京地検の敷島康広検事正(石橋凌)と密会する現場を地検のメンバーに目撃される。そして、大橋議員事件の裏にあった大きな『闇』が形を見せ始める…。そこにあった衝撃の真実とは!?　浜田雅功、内田有紀/濱田岳、西山茉希/ビートたけし(特別出演)/濱田龍臣、刈谷友衣子/小沢仁志、板尾創路、風見しんご/細川茂樹、田山涼成/松重豊、西村雅彦/石橋凌/松方弘樹作:鍋島雅治  画:池辺かつみ  『東京地検特捜部長　鬼島平八郎』(小池書院)　徳永友一　白川士『On　Your　Mark～ヒカリのキセキ』  三代目J Soul Brothers(リズムゾーン)    【音楽】  　中村竜哉ゼネラルプロデューサー:郷田美雄(ABC)  プロデューサー:安井一成(ABC)  　　　　　　　　飯田爽(テレビ朝日)  　　　　　　　　稲冨聡(よしもとクリエイティブ・エージェンシー)  　　　　　　　　池田禎子(ザ・ワークス)☆番組HP  　http://onijima.asahi.co.jp/</t>
  </si>
  <si>
    <t xml:space="preserve">ついに現職の国会議員・大橋はじめ(細川茂樹)を逮捕・起訴に持ち込んだ鬼島平八郎(浜田雅功)ら伊智地検のメンバーだが、木戸勉(田山涼成)は、「この事件を大橋の起訴だけで終わらせてはいけない」と話す。そんな中、森本真紀(内田有紀)が東京地検の敷島康広検事正(石橋凌)と密会する現場を地検のメンバーに目撃される。そして、大橋議員事件の裏にあった大きな『闇』が形を見せ始める…。そこにあった衝撃の真実とは!?　</t>
  </si>
  <si>
    <t>番組名検事・鬼島平八郎　#6</t>
  </si>
  <si>
    <t>秘書に殺されかけた大橋はじめ議員(細川茂樹)を間一髪で救った鬼島平八郎(浜田雅功)らは、三億円の不正献金に加えて、大橋への殺人未遂という事件の真の黒幕が優明党の橘寛二幹事長(松方弘樹)ではないかと考え始める。しかし、本格的な捜査に乗り出した途端、敷島康広検事正(石橋凌)率いる東京地検特捜部が伊智地検に乗り込んで来て、今後、この件に関わる捜査を禁じられてしまう!!そんな中、入院中の大橋が病院から姿を消し…　浜田雅功、内田有紀/濱田岳、西山茉希/ビートたけし(特別出演)/濱田龍臣、刈谷友衣子/小沢仁志、板尾創路、風見しんご/細川茂樹、田山涼成/松重豊、西村雅彦/石橋凌/古谷一行/松方弘樹作:鍋島雅治  画:池辺かつみ  『東京地検特捜部長　鬼島平八郎』(小池書院)　杉山嘉一　遠藤光貴『On　Your　Mark～ヒカリのキセキ』  三代目J Soul Brothers(リズムゾーン)    【音楽】  　中村竜哉ゼネラルプロデューサー:郷田美雄(ABC)  プロデューサー:安井一成(ABC)  　　　　　　　　飯田爽(テレビ朝日)  　　　　　　　　稲冨聡(よしもとクリエイティブ・エージェンシー)  　　　　　　　　池田禎子(ザ・ワークス)☆番組HP  　http://onijima.asahi.co.jp/</t>
  </si>
  <si>
    <t xml:space="preserve">秘書に殺されかけた大橋はじめ議員(細川茂樹)を間一髪で救った鬼島平八郎(浜田雅功)らは、三億円の不正献金に加えて、大橋への殺人未遂という事件の真の黒幕が優明党の橘寛二幹事長(松方弘樹)ではないかと考え始める。しかし、本格的な捜査に乗り出した途端、敷島康広検事正(石橋凌)率いる東京地検特捜部が伊智地検に乗り込んで来て、今後、この件に関わる捜査を禁じられてしまう!!そんな中、入院中の大橋が病院から姿を消し…　</t>
  </si>
  <si>
    <t>番組名検事・鬼島平八郎</t>
  </si>
  <si>
    <t>東京地検に身柄が渡るのを防ぐため、大橋はじめ議員(細川茂樹)を公務執行妨害という別件で逮捕・拘束した伊智地検だが、大橋が拘置所内で自殺してしまい、マスコミや世間からの検察批判が強まる!!そんな中、鬼島平八郎(浜田雅功)宛てに大橋の妻から壷が届く。そこに事件の真相があると睨んだ鬼島らは、捜査を開始!果たして、一連の事件の黒幕に辿りつけるのか!?中央政界まで切り込んだ伊智地検の運命は…　浜田雅功、内田有紀/濱田岳、西山茉希/ビートたけし(特別出演)/濱田龍臣、刈谷友衣子/小沢仁志、板尾創路、風見しんご/細川茂樹、田山涼成/松重豊、西村雅彦/石橋凌/古谷一行/松方弘樹作:鍋島雅治  画:池辺かつみ  『東京地検特捜部長　鬼島平八郎』(小池書院)　徳永友一　白川士『On　Your　Mark～ヒカリのキセキ』  三代目J Soul Brothers(リズムゾーン)    【音楽】  　中村竜哉ゼネラルプロデューサー:郷田美雄(ABC)  プロデューサー:安井一成(ABC)  　　　　　　　　飯田爽(テレビ朝日)  　　　　　　　　稲冨聡(よしもとクリエイティブ・エージェンシー)  　　　　　　　　池田禎子(ザ・ワークス)☆番組HP  　http://onijima.asahi.co.jp/</t>
  </si>
  <si>
    <t xml:space="preserve">東京地検に身柄が渡るのを防ぐため、大橋はじめ議員(細川茂樹)を公務執行妨害という別件で逮捕・拘束した伊智地検だが、大橋が拘置所内で自殺してしまい、マスコミや世間からの検察批判が強まる!!そんな中、鬼島平八郎(浜田雅功)宛てに大橋の妻から壷が届く。そこに事件の真相があると睨んだ鬼島らは、捜査を開始!果たして、一連の事件の黒幕に辿りつけるのか!?中央政界まで切り込んだ伊智地検の運命は…　</t>
  </si>
  <si>
    <t>1010_EX_金23</t>
  </si>
  <si>
    <t>秘密</t>
  </si>
  <si>
    <t>番組名秘密　#1</t>
  </si>
  <si>
    <t>娘・藻奈美(志田未来)と母・直子(石田ひかり)を乗せたバスが崖から転落。父・平介(佐々木蔵之介)の見守る中、奇跡的に目を覚ました藻奈美だったが、何とその体に、先ほど死んだはずの直子の魂が宿っていたー!そして、娘の姿をした妻とその夫との秘密の夫婦生活が始まった。　志田未来、佐々木蔵之介、本仮屋ユイカ、橋本さとし、升毅、池津祥子、林丹丹、竜星涼、堀内敬子、吹越満、石田ひかり　ほか　東野圭吾『秘密』(文藝春秋・刊)　吉田紀子　唐木希浩(5年D組)、高橋伸之(テレビ朝日)　溝口肇　初音『つよがりソレイユ』(avex　trax)ゼネラルプロデューサー:横地郁英(テレビ朝日)  プロデューサー:中川慎子(テレビ朝日)  　　　　　　　　太田雅晴(5年D組)☆番組HP  　http://www.tv-asahi.co.jp/himitsu/</t>
  </si>
  <si>
    <t xml:space="preserve">娘・藻奈美(志田未来)と母・直子(石田ひかり)を乗せたバスが崖から転落。父・平介(佐々木蔵之介)の見守る中、奇跡的に目を覚ました藻奈美だったが、何とその体に、先ほど死んだはずの直子の魂が宿っていたー!そして、娘の姿をした妻とその夫との秘密の夫婦生活が始まった。　</t>
  </si>
  <si>
    <t>番組名秘密　#2</t>
  </si>
  <si>
    <t>藻奈美(志田未来)に乗り移った妻・直子と、夫・平介(佐々木蔵之介)の秘密の夫婦生活が始まった。そんな中、平介は偶然、事故を起こした運転手の妻・征子に出くわす。複雑な思いを抱えつつ、事故の秘密を知るべく征子に接触する平介に対し直子は激昂、関わらないよう強く求めるが…　志田未来、佐々木蔵之介、本仮屋ユイカ、橋本さとし、升毅、池津祥子、林丹丹、竜星涼、日向ななみ、堀内敬子、吹越満、石田ひかり　ほか　東野圭吾『秘密』(文藝春秋・刊)　吉田紀子　唐木希浩(5年D組)、高橋伸之(テレビ朝日)　溝口肇　初音『つよがりソレイユ』(avex　trax)ゼネラルプロデューサー:横地郁英(テレビ朝日)  プロデューサー:中川慎子(テレビ朝日)  　　　　　　　　太田雅晴(5年D組)☆番組HP  　http://www.tv-asahi.co.jp/himitsu/</t>
  </si>
  <si>
    <t xml:space="preserve">藻奈美(志田未来)に乗り移った妻・直子と、夫・平介(佐々木蔵之介)の秘密の夫婦生活が始まった。そんな中、平介は偶然、事故を起こした運転手の妻・征子に出くわす。複雑な思いを抱えつつ、事故の秘密を知るべく征子に接触する平介に対し直子は激昂、関わらないよう強く求めるが…　</t>
  </si>
  <si>
    <t>番組名秘密　#3</t>
  </si>
  <si>
    <t>藻奈美の体に宿った直子(志田未来)と平介(佐々木蔵之介)の元に同窓会の招待状が届く。迷った末、藻奈美として出席することを決めた直子だったが、その日を機に直子はある重大な決心をする。一方平介は事故の運転手の妻、征子と再び接触。複雑な感情を抱きつつも、彼女に翻弄されていくー　志田未来、佐々木蔵之介、本仮屋ユイカ、橋本さとし、升毅、池津祥子、林丹丹、竜星涼、日向ななみ、堀内敬子、吹越満、石田ひかり　ほか　東野圭吾『秘密』(文藝春秋・刊)　吉田紀子　唐木希浩(5年D組)、高橋伸之(テレビ朝日)　溝口肇　初音『つよがりソレイユ』(avex　trax)ゼネラルプロデューサー:横地郁英(テレビ朝日)  プロデューサー:中川慎子(テレビ朝日)  　　　　　　　　太田雅晴(5年D組)☆番組HP  　http://www.tv-asahi.co.jp/himitsu/</t>
  </si>
  <si>
    <t xml:space="preserve">藻奈美の体に宿った直子(志田未来)と平介(佐々木蔵之介)の元に同窓会の招待状が届く。迷った末、藻奈美として出席することを決めた直子だったが、その日を機に直子はある重大な決心をする。一方平介は事故の運転手の妻、征子と再び接触。複雑な感情を抱きつつも、彼女に翻弄されていくー　</t>
  </si>
  <si>
    <t>番組名秘密　#4</t>
  </si>
  <si>
    <t>東野圭吾の大ベストセラーがドラマ化!母娘を乗せたバスが崖から転落。父・平介が見守る中、目を覚ました娘・藻奈美の体に、何と死んだはずの母・直子の魂が宿っていたー!　志田未来、佐々木蔵之介、本仮屋ユイカ、橋本さとし、升毅、池津祥子、林丹丹、竜星涼、日向ななみ、堀内敬子、吹越満、石田ひかり　ほか　東野圭吾『秘密』(文藝春秋・刊)　吉田紀子　高橋伸之(テレビ朝日)　溝口肇　初音『つよがりソレイユ』(avex　trax)ゼネラルプロデューサー:横地郁英(テレビ朝日)  プロデューサー:中川慎子(テレビ朝日)  　　　　　　　　太田雅晴(5年D組)☆番組HP  　http://www.tv-asahi.co.jp/himitsu/</t>
  </si>
  <si>
    <t xml:space="preserve">東野圭吾の大ベストセラーがドラマ化!母娘を乗せたバスが崖から転落。父・平介が見守る中、目を覚ました娘・藻奈美の体に、何と死んだはずの母・直子の魂が宿っていたー!　</t>
  </si>
  <si>
    <t>番組名秘密　#5</t>
  </si>
  <si>
    <t>東野圭吾の大ベストセラーがドラマ化!母娘を乗せたバスが崖から転落。父・平介が見守る中、目を覚ました娘・藻奈美の体に、何と死んだはずの母・直子の魂が宿っていたー!　志田未来、佐々木蔵之介、本仮屋ユイカ、橋本さとし、升毅、池津祥子、林丹丹、竜星涼、日向ななみ、堀内敬子、吹越満、石田ひかり　ほか　東野圭吾『秘密』(文藝春秋・刊)　吉田紀子　唐木希浩(5年D組)、高橋伸之(テレビ朝日)　溝口肇　初音『つよがりソレイユ』(avex　trax)ゼネラルプロデューサー:横地郁英(テレビ朝日)  プロデューサー:中川慎子(テレビ朝日)  　　　　　　　　太田雅晴(5年D組)☆番組HP  　http://www.tv-asahi.co.jp/himitsu/</t>
  </si>
  <si>
    <t>番組名秘密　#6</t>
  </si>
  <si>
    <t>東野圭吾の大ベストセラーがドラマ化!母娘を乗せたバスが崖から転落。父・平介が見守る中、目を覚ました娘・藻奈美の体に、何と死んだはずの母・直子の魂が宿っていたー!　志田未来、佐々木蔵之介、本仮屋ユイカ、橋本さとし、田中圭、升毅、池津祥子、林丹丹、竜星涼、日向ななみ、堀内敬子、吹越満、石田ひかり　ほか　東野圭吾『秘密』(文藝春秋・刊)　吉田紀子　日暮謙(5年D組)　溝口肇　初音『つよがりソレイユ』(avex　trax)ゼネラルプロデューサー:横地郁英(テレビ朝日)  プロデューサー:中川慎子(テレビ朝日)  　　　　　　　　太田雅晴(5年D組)☆番組HP  　http://www.tv-asahi.co.jp/himitsu/</t>
  </si>
  <si>
    <t>番組名秘密　#7</t>
  </si>
  <si>
    <t>東野圭吾の大ベストセラーがドラマ化!母娘を乗せたバスが崖から転落。父・平介が見守る中、目を覚ました娘・藻奈美の体に、何と死んだはずの母・直子の魂が宿っていたー!　志田未来、佐々木蔵之介、本仮屋ユイカ、橋本さとし、田中圭、升毅、池津祥子、林丹丹、竜星涼、日向ななみ、堀内敬子、吹越満、石田ひかり　ほか　東野圭吾『秘密』(文藝春秋・刊)　吉田紀子　唐木希浩(5年D組)　溝口肇　初音『つよがりソレイユ』(avex　trax)ゼネラルプロデューサー:横地郁英(テレビ朝日)  プロデューサー:中川慎子(テレビ朝日)  　　　　　　　　太田雅晴(5年D組)☆番組HP  　http://www.tv-asahi.co.jp/himitsu/</t>
  </si>
  <si>
    <t>番組名秘密　#8</t>
  </si>
  <si>
    <t>東野圭吾の大ベストセラーがドラマ化!母娘を乗せたバスが崖から転落。父・平介が見守る中、目を覚ました娘・藻奈美の体に、何と死んだはずの母・直子の魂が宿っていたー!　志田未来、佐々木蔵之介、本仮屋ユイカ、橋本さとし、田中圭、升毅、池津祥子、林丹丹、竜星涼、日向ななみ、堀内敬子、吹越満、石田ひかり　ほか　東野圭吾『秘密』(文藝春秋・刊)　吉田紀子　高橋伸之(テレビ朝日)　溝口肇　初音『つよがりソレイユ』(avex　trax)ゼネラルプロデューサー:横地郁英(テレビ朝日)  プロデューサー:中川慎子(テレビ朝日)  　　　　　　　　太田雅晴(5年D組)☆番組HP  　http://www.tv-asahi.co.jp/himitsu/</t>
  </si>
  <si>
    <t>番組名秘密</t>
  </si>
  <si>
    <t>東野圭吾の大ベストセラーがドラマ化!母娘を乗せたバスが崖から転落。父・平介が見守る中、目を覚ました娘・藻奈美の体に、何と死んだはずの母・直子の魂が宿っていたー!　志田未来、佐々木蔵之介、本仮屋ユイカ、橋本さとし、升毅、池津祥子、林丹丹、竜星涼、日向ななみ、堀内敬子、吹越満、石田ひかり　ほか　東野圭吾『秘密』(文藝春秋・刊)　吉田紀子　唐木希浩(5年D組)　溝口肇　初音『つよがりソレイユ』(avex　trax)ゼネラルプロデューサー:横地郁英(テレビ朝日)  プロデューサー:中川慎子(テレビ朝日)  　　　　　　　　太田雅晴(5年D組)☆番組HP  　http://www.tv-asahi.co.jp/himitsu/</t>
  </si>
  <si>
    <t>1007_EX_木21</t>
  </si>
  <si>
    <t>警視庁継続捜査班</t>
  </si>
  <si>
    <t>番組名警視庁継続捜査班　#01</t>
  </si>
  <si>
    <t>女性の絞殺体が発見され、動画サイトにその女性が殺害される場面が投稿されていた。殺害方法から6年前に起きた連続殺人事件との関連性を疑われ、貴志真奈美(木村佳乃)ら継続捜査班が召集。貴志のプロファイリングから犯人像に近づくも、再び『金曜日の絞殺魔』は動き出し…。　木村佳乃、筒井道隆、高知東生、笛木優子、田島優成/余貴美子/平泉成、伊原剛志　吉本昌弘、長坂秀佳　ほか　猪原達三、常廣丈太、高橋伸之　AI『眠れない街』(ユニバーサル シグマ)チーフプロデューサー:五十嵐文郎(テレビ朝日)  プロデューサー:船津浩一(テレビ朝日)  　　　　　　　　壁谷悌之(泉放送制作)☆番組HP  　http://www.tv-asahi.co.jp/keizoku/</t>
  </si>
  <si>
    <t xml:space="preserve">女性の絞殺体が発見され、動画サイトにその女性が殺害される場面が投稿されていた。殺害方法から6年前に起きた連続殺人事件との関連性を疑われ、貴志真奈美(木村佳乃)ら継続捜査班が召集。貴志のプロファイリングから犯人像に近づくも、再び『金曜日の絞殺魔』は動き出し…。　</t>
  </si>
  <si>
    <t>番組名警視庁継続捜査班　#02</t>
  </si>
  <si>
    <t>貴志(木村佳乃)の父親・徳治郎(橋爪功)は、10年前に担当して“雨の日の悪魔”事件が今でも気になっている。そして、類似した事件が起こり、継続捜査班は驚愕する。当時の捜査員・福角(矢島健一)の助言で容疑者が浮上し、真奈美はその自宅を訪れるも…!?　木村佳乃、筒井道隆、高知東生、笛木優子、田島優成/余貴美子/平泉成、伊原剛志  《ゲスト》  　橋爪功、矢島健一　吉本昌弘、長坂秀佳　ほか　猪原達三、常廣丈太、高橋伸之　AI『眠れない街』(ユニバーサル シグマ)チーフプロデューサー:五十嵐文郎(テレビ朝日)  プロデューサー:船津浩一(テレビ朝日)  　　　　　　　　壁谷悌之(泉放送制作)☆番組HP  　http://www.tv-asahi.co.jp/keizoku/</t>
  </si>
  <si>
    <t xml:space="preserve">貴志(木村佳乃)の父親・徳治郎(橋爪功)は、10年前に担当して“雨の日の悪魔”事件が今でも気になっている。そして、類似した事件が起こり、継続捜査班は驚愕する。当時の捜査員・福角(矢島健一)の助言で容疑者が浮上し、真奈美はその自宅を訪れるも…!?　</t>
  </si>
  <si>
    <t>番組名警視庁継続捜査班　#03</t>
  </si>
  <si>
    <t>15年前の夫婦惨殺事件の生き残りのひとり娘・越坂奈月(芦名星)は、天才チェリストとして活躍する音大生。そんな奈月に15年前の犯人と思しき者からメールが届く。だが、容疑者・小林玲吾(梶原善)は何者かに殺害され…事件当日に小林が奈月と接触した疑いがあり…　木村佳乃、筒井道隆、高知東生、笛木優子、田島優成/余貴美子/平泉成、伊原剛志　吉本昌弘、長坂秀佳　ほか　猪原達三、常廣丈太、高橋伸之　AI『眠れない街』(ユニバーサル シグマ)チーフプロデューサー:五十嵐文郎(テレビ朝日)  プロデューサー:船津浩一(テレビ朝日)  　　　　　　　　壁谷悌之(泉放送制作)☆番組HP  　http://www.tv-asahi.co.jp/keizoku/</t>
  </si>
  <si>
    <t xml:space="preserve">15年前の夫婦惨殺事件の生き残りのひとり娘・越坂奈月(芦名星)は、天才チェリストとして活躍する音大生。そんな奈月に15年前の犯人と思しき者からメールが届く。だが、容疑者・小林玲吾(梶原善)は何者かに殺害され…事件当日に小林が奈月と接触した疑いがあり…　</t>
  </si>
  <si>
    <t>番組名警視庁継続捜査班　#04</t>
  </si>
  <si>
    <t>連続射殺事件が発生し、使用された銃が10年前に警察官が奪われた物と一致。さらに被害者らが10年前の女子高生殺害事件の犯人と判明。その女子高生の父親が事件後行方不明になっていることから、一連の事件は父親による復讐と推測された。だが、更に新たな事実が明らかに…　木村佳乃、筒井道隆、高知東生、笛木優子、田島優成/余貴美子/平泉成、伊原剛志　吉本昌弘、長坂秀佳　ほか　猪原達三、常廣丈太、高橋伸之　AI『眠れない街』(ユニバーサル シグマ)チーフプロデューサー:五十嵐文郎(テレビ朝日)  プロデューサー:船津浩一(テレビ朝日)  　　　　　　　　壁谷悌之(泉放送制作)☆番組HP  　http://www.tv-asahi.co.jp/keizoku/</t>
  </si>
  <si>
    <t xml:space="preserve">連続射殺事件が発生し、使用された銃が10年前に警察官が奪われた物と一致。さらに被害者らが10年前の女子高生殺害事件の犯人と判明。その女子高生の父親が事件後行方不明になっていることから、一連の事件は父親による復讐と推測された。だが、更に新たな事実が明らかに…　</t>
  </si>
  <si>
    <t>番組名警視庁継続捜査班　#05</t>
  </si>
  <si>
    <t>1年前、少女が誘拐され遺体で発見された。その1年後、手口が似ている少女誘拐事件が発生。少女らに共通点は無いが同一犯と推測。だが前回は身代金を要求しなかった犯人が今回は要求し、「娘の値段は自分で決めろ」と言う。同一犯ではないのか…やがて事件に隠された事実が突き止められる。　木村佳乃、筒井道隆、高知東生、笛木優子、田島優成/余貴美子/平泉成、伊原剛志　吉本昌弘、長坂秀佳　ほか　猪原達三、常廣丈太、高橋伸之　AI『眠れない街』(ユニバーサル シグマ)チーフプロデューサー:五十嵐文郎(テレビ朝日)  プロデューサー:船津浩一(テレビ朝日)  　　　　　　　　壁谷悌之(泉放送制作)☆番組HP  　http://www.tv-asahi.co.jp/keizoku/</t>
  </si>
  <si>
    <t xml:space="preserve">1年前、少女が誘拐され遺体で発見された。その1年後、手口が似ている少女誘拐事件が発生。少女らに共通点は無いが同一犯と推測。だが前回は身代金を要求しなかった犯人が今回は要求し、「娘の値段は自分で決めろ」と言う。同一犯ではないのか…やがて事件に隠された事実が突き止められる。　</t>
  </si>
  <si>
    <t>番組名警視庁継続捜査班　#06</t>
  </si>
  <si>
    <t>岩瀬(平泉成)に逮捕されたことを逆恨みする殺人犯・梅野が護送中に逃走。岩瀬に接触を図ってくると考えた真奈美(木村佳乃)らは、岩瀬を警護する。そんな中、岩瀬の娘・彩那(西原亜希)を人質に梅野が立てこもる!梅野は幼い頃生き別れた父親の面影を探していると考えられたが…　木村佳乃、筒井道隆、高知東生、笛木優子、田島優成/余貴美子/平泉成、伊原剛志　吉本昌弘、長坂秀佳　ほか　猪原達三、常廣丈太、高橋伸之　AI『眠れない街』(ユニバーサル シグマ)チーフプロデューサー:五十嵐文郎(テレビ朝日)  プロデューサー:船津浩一(テレビ朝日)  　　　　　　　　壁谷悌之(泉放送制作)☆番組HP  　http://www.tv-asahi.co.jp/keizoku/</t>
  </si>
  <si>
    <t xml:space="preserve">岩瀬(平泉成)に逮捕されたことを逆恨みする殺人犯・梅野が護送中に逃走。岩瀬に接触を図ってくると考えた真奈美(木村佳乃)らは、岩瀬を警護する。そんな中、岩瀬の娘・彩那(西原亜希)を人質に梅野が立てこもる!梅野は幼い頃生き別れた父親の面影を探していると考えられたが…　</t>
  </si>
  <si>
    <t>番組名警視庁継続捜査班　#07</t>
  </si>
  <si>
    <t>6年前の資産家殺害事件に新たな目撃証言が加わり、真奈美(木村佳乃)らは再捜査に。真奈美は、容疑者である桂木洋介(小林隆)の娘に会いに行き、班長が桂木は犯人ではないことを主張していたと聞く。そんな中、新たな殺人が!その遺留品に桂木のものと思われる社章が握られていた!　木村佳乃、筒井道隆、高知東生、笛木優子、田島優成/余貴美子/平泉成、伊原剛志　吉本昌弘、長坂秀佳　ほか　猪原達三、常廣丈太、高橋伸之　AI『眠れない街』(ユニバーサル シグマ)チーフプロデューサー:五十嵐文郎(テレビ朝日)  プロデューサー:船津浩一(テレビ朝日)  　　　　　　　　壁谷悌之(泉放送制作)☆番組HP  　http://www.tv-asahi.co.jp/keizoku/</t>
  </si>
  <si>
    <t xml:space="preserve">6年前の資産家殺害事件に新たな目撃証言が加わり、真奈美(木村佳乃)らは再捜査に。真奈美は、容疑者である桂木洋介(小林隆)の娘に会いに行き、班長が桂木は犯人ではないことを主張していたと聞く。そんな中、新たな殺人が!その遺留品に桂木のものと思われる社章が握られていた!　</t>
  </si>
  <si>
    <t>番組名警視庁継続捜査班</t>
  </si>
  <si>
    <t>紀子(余貴美子)が狙撃された。一命は取り留めたが、犯人は不明。そんな中6年前に亡くなった当時警察大学校の教授だった加藤(柴俊夫)の娘との接点が…部活の男子生徒が転落死し、紀子は話を聞こうとしていた。だが、加藤はライフルで娘を射殺!加藤は刑務所から出所したが…　木村佳乃、筒井道隆、高知東生、笛木優子、田島優成/余貴美子/平泉成、伊原剛志　吉本昌弘、長坂秀佳　ほか　猪原達三、常廣丈太、高橋伸之　AI『眠れない街』(ユニバーサル シグマ)チーフプロデューサー:五十嵐文郎(テレビ朝日)  プロデューサー:船津浩一(テレビ朝日)  　　　　　　　　壁谷悌之(泉放送制作)☆番組HP  　http://www.tv-asahi.co.jp/keizoku/</t>
  </si>
  <si>
    <t xml:space="preserve">紀子(余貴美子)が狙撃された。一命は取り留めたが、犯人は不明。そんな中6年前に亡くなった当時警察大学校の教授だった加藤(柴俊夫)の娘との接点が…部活の男子生徒が転落死し、紀子は話を聞こうとしていた。だが、加藤はライフルで娘を射殺!加藤は刑務所から出所したが…　</t>
  </si>
  <si>
    <t>1007_EX_金21</t>
  </si>
  <si>
    <t>崖っぷちのエリー</t>
  </si>
  <si>
    <t>番組名崖っぷちのエリー～この世でいちばん大事な「カネ」の話　#1</t>
  </si>
  <si>
    <t>極貧&amp;不幸な女エリーが東京で人気漫画家になるまでを描く痛快ドラマ!父・正造(陣内孝則)と母・光代(渡辺えり)は爆破事故に遭遇。絵里子(山田優)は東京でキャバ嬢をしながら金の稼げる漫画家を目指すが…。　山田優、塚地武雅(ドランクドラゴン)、小泉孝太郎、西岡徳馬、佐藤江梨子、升毅、田中要次、陣内孝則(特別出演)、渡辺えり　西原理恵子『この世でいちばん大事な「カネ」の話』(理論社「よりみちパン!セ」・刊)　佐藤久美子　塚本連平　仲西匡　AAA『負けない心』(エイベックス トラックス)チーフプロデューサー:深沢義啓(ABC)  プロデューサー:奈良井正巳(ABC)  　　　　　　　　川西琢(テレビ朝日)  　　　　　　　　井上竜太(ホリプロ)  【制作】  　ABC、テレビ朝日、ホリプロ☆番組HP  　http://gakeppuchi.asahi.co.jp/    この夏、元気が欲しいみなさんへ!是非このドラマで熱い気持ちをゲットしてください!貧乏親子の情愛に、思わずホロリとさせます!ご期待ください!</t>
  </si>
  <si>
    <t xml:space="preserve">極貧&amp;不幸な女エリーが東京で人気漫画家になるまでを描く痛快ドラマ!父・正造(陣内孝則)と母・光代(渡辺えり)は爆破事故に遭遇。絵里子(山田優)は東京でキャバ嬢をしながら金の稼げる漫画家を目指すが…。　</t>
  </si>
  <si>
    <t>番組名崖っぷちのエリー～この世でいちばん大事な「カネ」の話　#02</t>
  </si>
  <si>
    <t>漫画家・西原理恵子の壮絶半生をドラマ化!連ドラ初主演の山田優はじめ個性的かつ豪華なキャストで贈る痛快サクセスストーリー!最下位には最下位の戦いがあるっ!　山田優、塚地武雅(ドランクドラゴン)、小泉孝太郎、鈴木一真、佐藤江梨子、田中要次、大杉漣、渡辺えり　西原理恵子『この世でいちばん大事な「カネ」の話』(理論社「よりみちパン!セ」・刊)　佐藤久美子　塚本連平　仲西匡　AAA『負けない心』(エイベックス トラックス)チーフプロデューサー:深沢義啓(ABC)  プロデューサー:奈良井正巳(ABC)  　　　　　　　　川西琢(テレビ朝日)  　　　　　　　　井上竜太(ホリプロ)  【制作】  　ABC、テレビ朝日、ホリプロ☆番組HP  　http://gakeppuchi.asahi.co.jp/    この夏、元気が欲しいみなさんへ!是非このドラマで熱い気持ちをゲットしてください!貧乏親子の情愛に、思わずホロリとさせます!ご期待ください!</t>
  </si>
  <si>
    <t xml:space="preserve">漫画家・西原理恵子の壮絶半生をドラマ化!連ドラ初主演の山田優はじめ個性的かつ豪華なキャストで贈る痛快サクセスストーリー!最下位には最下位の戦いがあるっ!　</t>
  </si>
  <si>
    <t>番組名崖っぷちのエリー～この世でいちばん大事な「カネ」の話　#03</t>
  </si>
  <si>
    <t>極貧&amp;不幸な女“エリー”が東京で人気漫画家になるまでを描く痛快ドラマ!　山田優、塚地武雅(ドランクドラゴン)、小泉孝太郎、田中要次、大杉漣、渡辺えり　西原理恵子『この世でいちばん大事な「カネ」の話』(理論社「よりみちパン!セ」・刊)　佐藤久美子　塚本連平　仲西匡　AAA『負けない心』(エイベックス トラックス)チーフプロデューサー:深沢義啓(ABC)  プロデューサー:奈良井正巳(ABC)  　　　　　　　　川西琢(テレビ朝日)  　　　　　　　　井上竜太(ホリプロ)  【制作】  　ABC、テレビ朝日、ホリプロ☆番組HP  　http://gakeppuchi.asahi.co.jp/  放送時間が変更になる場合があります。ご了承ください。</t>
  </si>
  <si>
    <t xml:space="preserve">極貧&amp;不幸な女“エリー”が東京で人気漫画家になるまでを描く痛快ドラマ!　</t>
  </si>
  <si>
    <t>番組名崖っぷちのエリー～この世でいちばん大事な「カネ」の話　#04</t>
  </si>
  <si>
    <t>漫画家・西原理恵子の壮絶半生をドラマ化!連ドラ初主演の山田優はじめ個性的かつ豪華なキャストで贈る痛快サクセスストーリー!最下位には最下位の戦いがあるっ!　山田優、塚地武雅(ドランクドラゴン)、小泉孝太郎、田中要次、大杉漣、渡辺えり・中原丈雄、佐藤江梨子、半海一晃、濱田龍臣　西原理恵子『この世でいちばん大事な「カネ」の話』(理論社「よりみちパン!セ」・刊)　佐藤久美子　白川士　仲西匡　AAA『負けない心』(エイベックス トラックス)チーフプロデューサー:深沢義啓(ABC)  プロデューサー:奈良井正巳(ABC)  　　　　　　　　川西琢(テレビ朝日)  　　　　　　　　井上竜太(ホリプロ)  【制作】  　ABC、テレビ朝日、ホリプロこの夏、元気が欲しいみなさんへ!是非このドラマで熱い気持ちをゲットしてください!貧乏親子の情愛に、思わずホロリとさせます!ご期待ください!    ☆番組HP  　http://gakeppuchi.asahi.co.jp/</t>
  </si>
  <si>
    <t>番組名崖っぷちのエリー～この世でいちばん大事な「カネ」の話　#05</t>
  </si>
  <si>
    <t>漫画家・西原理恵子の壮絶半生をドラマ化!連ドラ初主演の山田優はじめ個性的かつ豪華なキャストで贈る痛快サクセスストーリー!最下位には最下位の戦いがあるっ!　山田優、塚地武雅(ドランクドラゴン)、小泉孝太郎、田中要次、大杉漣、渡辺えり・山下真司、佐藤江梨子、石井正則、濱田龍臣　西原理恵子『この世でいちばん大事な「カネ」の話』(理論社「よりみちパン!セ」・刊)　佐藤久美子　塚本連平　仲西匡　AAA『負けない心』(エイベックス トラックス)チーフプロデューサー:深沢義啓(ABC)  プロデューサー:奈良井正巳(ABC)  　　　　　　　　川西琢(テレビ朝日)  　　　　　　　　井上竜太(ホリプロ)  【制作】  　ABC、テレビ朝日、ホリプロこの夏、元気が欲しいみなさんへ!是非このドラマで熱い気持ちをゲットしてください!貧乏親子の情愛に、思わずホロリとさせます!ご期待ください!    ☆番組HP  　http://gakeppuchi.asahi.co.jp/</t>
  </si>
  <si>
    <t>番組名崖っぷちのエリー～この世でいちばん大事な「カネ」の話　#06</t>
  </si>
  <si>
    <t>漫画家・西原理恵子の壮絶半生をドラマ化!連ドラ初主演の山田優はじめ個性的かつ豪華なキャストで贈る痛快サクセスストーリー!最下位には最下位の戦いがあるっ!　山田優、塚地武雅(ドランクドラゴン)、小泉孝太郎、田中要次、大杉漣、渡辺えり・東ちづる、大島蓉子　西原理恵子『この世でいちばん大事な「カネ」の話』(理論社「よりみちパン!セ」・刊)　佐藤久美子　塚本連平　仲西匡　AAA『負けない心』(エイベックス トラックス)チーフプロデューサー:深沢義啓(ABC)  プロデューサー:奈良井正巳(ABC)  　　　　　　　　川西琢(テレビ朝日)  　　　　　　　　井上竜太(ホリプロ)  【制作】  　ABC、テレビ朝日、ホリプロこの夏、元気が欲しいみなさんへ!是非このドラマで熱い気持ちをゲットしてください!貧乏親子の情愛に、思わずホロリとさせます!ご期待ください!    ☆番組HP  　http://gakeppuchi.asahi.co.jp/</t>
  </si>
  <si>
    <t>番組名崖っぷちのエリー～この世でいちばん大事な「カネ」の話　#07</t>
  </si>
  <si>
    <t>漫画家・西原理恵子の壮絶半生をドラマ化!連ドラ初主演の山田優はじめ個性的かつ豪華なキャストで贈る痛快サクセスストーリー!最下位には最下位の戦いがあるっ!　山田優、塚地武雅(ドランクドラゴン)、小泉孝太郎、田中要次、八神蓮、大杉漣・西村雅彦、西島隆弘(AAA)、マギー、鈴木拓(ドランクドラゴン)、上宮菜々子(テレビ朝日アナウンサー)　西原理恵子『この世でいちばん大事な「カネ」の話』(理論社「よりみちパン!セ」・刊)　山本あかり　冨塚博司　仲西匡　AAA『負けない心』(エイベックス トラックス)チーフプロデューサー:深沢義啓(ABC)  プロデューサー:奈良井正巳(ABC)  　　　　　　　　川西琢(テレビ朝日)  　　　　　　　　井上竜太(ホリプロ)  【制作】  　ABC、テレビ朝日、ホリプロこの夏、元気が欲しいみなさんへ!是非このドラマで熱い気持ちをゲットしてください!貧乏親子の情愛に、思わずホロリとさせます!ご期待ください!    ☆番組HP  　http://gakeppuchi.asahi.co.jp/</t>
  </si>
  <si>
    <t>番組名崖っぷちのエリー～この世でいちばん大事な「カネ」の話　#08</t>
  </si>
  <si>
    <t>漫画家・西原理恵子の壮絶半生をドラマ化!連ドラ初主演の山田優はじめ個性的かつ豪華なキャストで贈る痛快サクセスストーリー!最下位には最下位の戦いがあるっ!　山田優、塚地武雅(ドランクドラゴン)、小泉孝太郎、田中要次、八神蓮、石井美絵子、花王おさむ、大杉漣・上川隆也　西原理恵子『この世でいちばん大事な「カネ」の話』(理論社「よりみちパン!セ」・刊)　佐藤久美子　冨塚博司　仲西匡　AAA『負けない心』(エイベックス トラックス)チーフプロデューサー:深沢義啓(ABC)  プロデューサー:奈良井正巳(ABC)  　　　　　　　　川西琢(テレビ朝日)  　　　　　　　　井上竜太(ホリプロ)  【制作】  　ABC、テレビ朝日、ホリプロこの夏、元気が欲しいみなさんへ!是非このドラマで熱い気持ちをゲットしてください!貧乏親子の情愛に、思わずホロリとさせます!ご期待ください!    ☆番組HP  　http://gakeppuchi.asahi.co.jp/</t>
  </si>
  <si>
    <t>番組名崖っぷちのエリー～この世でいちばん大事な「カネ」の話</t>
  </si>
  <si>
    <t>漫画家・西原理恵子の壮絶半生をドラマ化!連ドラ初主演の山田優はじめ個性的かつ豪華なキャストで贈る痛快サクセスストーリー!最下位には最下位の戦いがあるっ!　山田優、塚地武雅(ドランクドラゴン)、小泉孝太郎、田中要次、大杉漣、渡辺えり/八神蓮、石井美絵子、中原和宏、桜観、花王おさむ、小須田康人、山下真司、西原理恵子　西原理恵子『この世でいちばん大事な「カネ」の話』(理論社「よりみちパン!セ」・刊)　佐藤久美子　塚本連平　仲西匡　AAA『負けない心』(エイベックス トラックス)チーフプロデューサー:深沢義啓(ABC)  プロデューサー:奈良井正巳(ABC)  　　　　　　　　川西琢(テレビ朝日)  　　　　　　　　井上竜太(ホリプロ)  【制作】  　ABC、テレビ朝日、ホリプロこの夏、元気が欲しいみなさんへ!是非このドラマで熱い気持ちをゲットしてください!貧乏親子の情愛に、思わずホロリとさせます!ご期待ください!    ☆番組HP  　http://gakeppuchi.asahi.co.jp/</t>
  </si>
  <si>
    <t>1007_EX_金23</t>
  </si>
  <si>
    <t>熱海の捜査官</t>
  </si>
  <si>
    <t>番組名熱海の捜査官　#01</t>
  </si>
  <si>
    <t>女子高生4人の乗ったバスが忽然と姿を消した!その事件を捜査する広域捜査官・星崎(オダギリジョー)と北島(栗山千明)!事件の鍵を握るのは、失踪した4人のうち、唯一戻ってきた少女・東雲麻衣。星崎と北島は東雲に会いに行くが、異様な姿に驚くのであった!オダギリジョー、栗山千明、松重豊、ふせえり、田中哲司、岩松了、松尾スズキ、萩原聖人　ほか三木聡坂口修東京事変『天国へようこそ』(EMIミュージック・ジャパン)ゼネラルプロデューサー:横地郁英(テレビ朝日)  プロデューサー:大江達樹(テレビ朝日)  　　　　　　　　遠田孝一(MMJ)  　　　　　　　　日枝広道(電通)☆番組HP  　http://www.tv-asahi.co.jp/atami/</t>
  </si>
  <si>
    <t>女子高生4人の乗ったバスが忽然と姿を消した!その事件を捜査する広域捜査官・星崎(オダギリジョー)と北島(栗山千明)!事件の鍵を握るのは、失踪した4人のうち、唯一戻ってきた少女・東雲麻衣。星崎と北島は東雲に会いに行くが、異様な姿に驚くのであった!</t>
  </si>
  <si>
    <t>番組名熱海の捜査官　#02</t>
  </si>
  <si>
    <t>失踪したバスは海底から見つかったが、3人の少女は行方不明のまま・・・その中の1人、椹木みこは陶芸クラブのメンバーだったことが発覚!しかも、その妖しい陶芸クラブにはウラの顔が!そして、1人だけ生還した包帯少女の東雲の正体もついに明らかになる!　オダギリジョー、栗山千明、松重豊、ふせえり、田中哲司、岩松了、松尾スズキ、萩原聖人　ほか　三木聡　坂口修　東京事変『天国へようこそ』(EMIミュージック・ジャパン)ゼネラルプロデューサー:横地郁英(テレビ朝日)  プロデューサー:大江達樹(テレビ朝日)  　　　　　　　　遠田孝一(MMJ)  　　　　　　　　日枝広道(電通)☆番組HP  　http://www.tv-asahi.co.jp/atami/</t>
  </si>
  <si>
    <t xml:space="preserve">失踪したバスは海底から見つかったが、3人の少女は行方不明のまま・・・その中の1人、椹木みこは陶芸クラブのメンバーだったことが発覚!しかも、その妖しい陶芸クラブにはウラの顔が!そして、1人だけ生還した包帯少女の東雲の正体もついに明らかになる!　</t>
  </si>
  <si>
    <t>番組名熱海の捜査官　#03</t>
  </si>
  <si>
    <t>星崎たちは北島が手品で消した蛇川が住む大名荘へ。蛇川の姿は見当たらなかったが畳の下からビデオテープが出てきた! その矢先、桂東の調べで蛇川に関する驚愕の事実が判明!星崎らは急いでビデオテープの映像を確認。そこには不思議なダンスを踊る椹木みこと包帯少女・東雲が映っていた…　オダギリジョー、栗山千明、松重豊、ふせえり、田中哲司、岩松了、松尾スズキ、萩原聖人　ほか　三木聡　坂口修　東京事変『天国へようこそ』(EMIミュージック・ジャパン)ゼネラルプロデューサー:横地郁英(テレビ朝日)  プロデューサー:大江達樹(テレビ朝日)  　　　　　　　　遠田孝一(MMJ)  　　　　　　　　日枝広道(電通)☆番組HP  　http://www.tv-asahi.co.jp/atami/  番組開始時間が変更になる場合があります。</t>
  </si>
  <si>
    <t xml:space="preserve">星崎たちは北島が手品で消した蛇川が住む大名荘へ。蛇川の姿は見当たらなかったが畳の下からビデオテープが出てきた! その矢先、桂東の調べで蛇川に関する驚愕の事実が判明!星崎らは急いでビデオテープの映像を確認。そこには不思議なダンスを踊る椹木みこと包帯少女・東雲が映っていた…　</t>
  </si>
  <si>
    <t>番組名熱海の捜査官　#04</t>
  </si>
  <si>
    <t>星崎になぜ東雲らに裸をデッサンさせたのか追及された新也は敷島先生との秘密を告白してしまう。そして、東雲らが乗ったスクールバスが事件発生現場に差し掛かった途端、倒れている人を発見!新宮寺は3年前と同じようにバスを止めて、その人物に近付いた。バスは再び消えてしまうのか!?　オダギリジョー、栗山千明、松重豊、ふせえり、田中哲司、岩松了、松尾スズキ、萩原聖人　ほか　三木聡　坂口修　東京事変『天国へようこそ』(EMIミュージック・ジャパン)ゼネラルプロデューサー:横地郁英(テレビ朝日)  プロデューサー:大江達樹(テレビ朝日)  　　　　　　　　遠田孝一(MMJ)  　　　　　　　　日枝広道(電通)☆番組HP  　http://www.tv-asahi.co.jp/atami/※この番組は放送時間が変更になる場合があります。</t>
  </si>
  <si>
    <t xml:space="preserve">星崎になぜ東雲らに裸をデッサンさせたのか追及された新也は敷島先生との秘密を告白してしまう。そして、東雲らが乗ったスクールバスが事件発生現場に差し掛かった途端、倒れている人を発見!新宮寺は3年前と同じようにバスを止めて、その人物に近付いた。バスは再び消えてしまうのか!?　</t>
  </si>
  <si>
    <t>番組名熱海の捜査官　#05</t>
  </si>
  <si>
    <t>1人だけ生還した少女・東雲がバス失踪直前の“ある記憶”を取り戻したという。その記憶が正しければ、行方不明の3人の少女がバスと一緒に海へと沈んだ可能性は消える。やがて星崎は東雲からバス消失地点に呼び出されるが、現地に到着した直後、背後から何者かに殴られ昏倒してしまう!　オダギリジョー、栗山千明、松重豊、ふせえり、田中哲司、岩松了、松尾スズキ、萩原聖人　ほか　三木聡　坂口修　東京事変『天国へようこそ』(EMIミュージック・ジャパン)ゼネラルプロデューサー:横地郁英(テレビ朝日)  プロデューサー:大江達樹(テレビ朝日)  　　　　　　　　遠田孝一(MMJ)  　　　　　　　　日枝広道(電通)☆番組HP  　http://www.tv-asahi.co.jp/atami/</t>
  </si>
  <si>
    <t xml:space="preserve">1人だけ生還した少女・東雲がバス失踪直前の“ある記憶”を取り戻したという。その記憶が正しければ、行方不明の3人の少女がバスと一緒に海へと沈んだ可能性は消える。やがて星崎は東雲からバス消失地点に呼び出されるが、現地に到着した直後、背後から何者かに殴られ昏倒してしまう!　</t>
  </si>
  <si>
    <t>番組名熱海の捜査官　#06</t>
  </si>
  <si>
    <t>新宮寺の死の真相は!?犯人を捜す北島に対し、星崎は意外な説を唱える。南熱海警察署では桂東がイタズラ用に作った落とし穴に“邪悪な者”が落ちているのを発見する。その正体とは一体…!? 一方、永遠の森学園では新也が東雲に、甘利レミーとの意外な関係を告白していた…。　オダギリジョー、栗山千明、松重豊、ふせえり、田中哲司、岩松了、松尾スズキ、萩原聖人　ほか　三木聡　坂口修　東京事変『天国へようこそ』(EMIミュージック・ジャパン)ゼネラルプロデューサー:横地郁英(テレビ朝日)  プロデューサー:大江達樹(テレビ朝日)  　　　　　　　　遠田孝一(MMJ)  　　　　　　　　日枝広道(電通)☆番組HP  　http://www.tv-asahi.co.jp/atami/</t>
  </si>
  <si>
    <t xml:space="preserve">新宮寺の死の真相は!?犯人を捜す北島に対し、星崎は意外な説を唱える。南熱海警察署では桂東がイタズラ用に作った落とし穴に“邪悪な者”が落ちているのを発見する。その正体とは一体…!? 一方、永遠の森学園では新也が東雲に、甘利レミーとの意外な関係を告白していた…。　</t>
  </si>
  <si>
    <t>番組名熱海の捜査官　#07</t>
  </si>
  <si>
    <t>『最終章!ついにバスを消した真犯人が明らかに!!』東雲がさらに一つ記憶を取り戻す。そして、犬塚が手に入れた機械でカセットテープを再生すると驚きの映像が!真犯人の正体は意外な人物だった!星崎と北島の関係は?涙のラストに繋がる衝撃の最終章!　オダギリジョー、栗山千明、松重豊、ふせえり、田中哲司、岩松了、松尾スズキ、萩原聖人　ほか　三木聡　坂口修　東京事変『天国へようこそ』(EMIミュージック・ジャパン)ゼネラルプロデューサー:横地郁英(テレビ朝日)  プロデューサー:大江達樹(テレビ朝日)  　　　　　　　　遠田孝一(MMJ)  　　　　　　　　日枝広道(電通)☆番組HP  　http://www.tv-asahi.co.jp/atami/</t>
  </si>
  <si>
    <t xml:space="preserve">『最終章!ついにバスを消した真犯人が明らかに!!』東雲がさらに一つ記憶を取り戻す。そして、犬塚が手に入れた機械でカセットテープを再生すると驚きの映像が!真犯人の正体は意外な人物だった!星崎と北島の関係は?涙のラストに繋がる衝撃の最終章!　</t>
  </si>
  <si>
    <t>番組名熱海の捜査官</t>
  </si>
  <si>
    <t>ついに涙の最終回!美少女がバスごと失踪した事件の謎がついに全て明らかになる!平坂の本当の動機とは?行方不明の3人の美少女はどこにいるのか?そして意外な共犯者とは?さらに星崎と北島の衝撃過去も明らかに!あなたも必ず騙される予想不可能な驚愕の結末をお見逃しなく!　オダギリジョー、栗山千明、松重豊、ふせえり、田中哲司、岩松了、松尾スズキ、萩原聖人　ほか　三木聡　坂口修　東京事変『天国へようこそ』(EMIミュージック・ジャパン)ゼネラルプロデューサー:横地郁英(テレビ朝日)  プロデューサー:大江達樹(テレビ朝日)  　　　　　　　　遠田孝一(MMJ)  　　　　　　　　日枝広道(電通)☆番組HP  　http://www.tv-asahi.co.jp/atami/</t>
  </si>
  <si>
    <t xml:space="preserve">ついに涙の最終回!美少女がバスごと失踪した事件の謎がついに全て明らかになる!平坂の本当の動機とは?行方不明の3人の美少女はどこにいるのか?そして意外な共犯者とは?さらに星崎と北島の衝撃過去も明らかに!あなたも必ず騙される予想不可能な驚愕の結末をお見逃しなく!　</t>
  </si>
  <si>
    <t>1004_EX_水21</t>
  </si>
  <si>
    <t>臨場</t>
  </si>
  <si>
    <t>番組名臨場　#01</t>
  </si>
  <si>
    <t>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内野聖陽、松下由樹、高嶋政伸、渡辺大、益岡徹、伊藤裕子、隆大介　ほか　横山秀夫「臨場」(光文社文庫)　坂田義和　橋本一　吉川清之　平原綾香『威風堂々』(ドリーミュージック・)プロデューサー:佐藤凉一(テレビ朝日)  　　　　　　　　目黒正之(東映)  　　　　　　　　横塚孝弘(東映)☆番組HP  　http://www.tv-asahi.co.jp/rinjo/</t>
  </si>
  <si>
    <t xml:space="preserve">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t>
  </si>
  <si>
    <t>番組名臨場　#02</t>
  </si>
  <si>
    <t>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内野聖陽、松下由樹、高嶋政伸、渡辺大、益岡徹、伊藤裕子、小林勝也、隆大介　ほか　横山秀夫「臨場」(光文社文庫)　坂田義和　橋本一　吉川清之　平原綾香『威風堂々』(ドリーミュージック・)プロデューサー:佐藤凉一(テレビ朝日)  　　　　　　　　目黒正之(東映)  　　　　　　　　横塚孝弘(東映)☆番組HP  　http://www.tv-asahi.co.jp/rinjo/</t>
  </si>
  <si>
    <t>番組名臨場　#03</t>
  </si>
  <si>
    <t>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内野聖陽、松下由樹、高嶋政伸、渡辺大、益岡徹、伊藤裕子、小林勝也、隆大介　ほか　横山秀夫「臨場」(光文社文庫)　尾西兼一　藤岡浩二郎　吉川清之　平原綾香『威風堂々』(ドリーミュージック・)プロデューサー:佐藤凉一(テレビ朝日)  　　　　　　　　目黒正之(東映)  　　　　　　　　横塚孝弘(東映)☆番組HP  　http://www.tv-asahi.co.jp/rinjo/</t>
  </si>
  <si>
    <t>番組名臨場　#04</t>
  </si>
  <si>
    <t>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内野聖陽、松下由樹、高嶋政伸、渡辺大、益岡徹、隆大介　ほか　横山秀夫「臨場」(光文社文庫)　佐伯俊道　藤岡浩二郎　吉川清之　平原綾香『威風堂々』(ドリーミュージック・)プロデューサー:佐藤凉一(テレビ朝日)  　　　　　　　　目黒正之(東映)  　　　　　　　　横塚孝弘(東映)☆番組HP  　http://www.tv-asahi.co.jp/rinjo/</t>
  </si>
  <si>
    <t>番組名臨場　#05</t>
  </si>
  <si>
    <t>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内野聖陽、松下由樹、高嶋政伸、渡辺大、小林勝也、隆大介　ほか　横山秀夫「臨場」(光文社文庫)　尾西兼一　橋本一　吉川清之　平原綾香『威風堂々』(ドリーミュージック・)プロデューサー:佐藤凉一(テレビ朝日)  　　　　　　　　目黒正之(東映)  　　　　　　　　横塚孝弘(東映)☆番組HP  　http://www.tv-asahi.co.jp/rinjo/</t>
  </si>
  <si>
    <t>番組名臨場　#06</t>
  </si>
  <si>
    <t>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内野聖陽、松下由樹、平山浩行、小林勝也、益岡徹　ほか　横山秀夫「臨場」(光文社文庫)　坂田義和　橋本一　吉川清之　平原綾香『威風堂々』(ドリーミュージック・)プロデューサー:佐藤凉一(テレビ朝日)  　　　　　　　　目黒正之(東映)  　　　　　　　　横塚孝弘(東映)☆番組HP  　http://www.tv-asahi.co.jp/rinjo/</t>
  </si>
  <si>
    <t>番組名臨場　#07</t>
  </si>
  <si>
    <t>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内野聖陽、松下由樹、渡辺大、平山浩行、伊藤裕子、隆大介、高嶋政伸　ほか　横山秀夫「臨場」(光文社文庫)　尾西兼一　石川一郎　吉川清之　平原綾香『威風堂々』(ドリーミュージック・)プロデューサー:佐藤凉一(テレビ朝日)  　　　　　　　　目黒正之(東映)  　　　　　　　　横塚孝弘(東映)☆番組HP  　http://www.tv-asahi.co.jp/rinjo/</t>
  </si>
  <si>
    <t>番組名臨場　#08</t>
  </si>
  <si>
    <t>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内野聖陽、松下由樹、渡辺大、平山浩行、伊藤裕子、小林勝也、隆大介、高嶋政伸　ほか　横山秀夫「臨場」(光文社文庫)　吉本昌弘　石川一郎　吉川清之　平原綾香『威風堂々』(ドリーミュージック・)プロデューサー:佐藤凉一(テレビ朝日)  　　　　　　　　目黒正之(東映)  　　　　　　　　横塚孝弘(東映)☆番組HP  　http://www.tv-asahi.co.jp/rinjo/</t>
  </si>
  <si>
    <t>番組名臨場　#09</t>
  </si>
  <si>
    <t>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内野聖陽、松下由樹、渡辺大、平山浩行、伊藤裕子、小林勝也、隆大介、益岡徹、高嶋政伸　ほか　横山秀夫「臨場」(光文社文庫)　尾西兼一　藤岡浩二郎　吉川清之　平原綾香『威風堂々』(ドリーミュージック・)プロデューサー:佐藤凉一(テレビ朝日)  　　　　　　　　目黒正之(東映)  　　　　　　　　横塚孝弘(東映)☆番組HP  　http://www.tv-asahi.co.jp/rinjo/</t>
  </si>
  <si>
    <t>番組名臨場　#10</t>
  </si>
  <si>
    <t>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内野聖陽、松下由樹、高嶋政伸、渡辺大、平山浩行、隆大介、益岡徹　ほか　横山秀夫「臨場」(光文社文庫)　坂田義和　橋本一　吉川清之　平原綾香『威風堂々』(ドリーミュージック・)プロデューサー:佐藤凉一(テレビ朝日)  　　　　　　　　目黒正之(東映)  　　　　　　　　横塚孝弘(東映)☆番組HP  　http://www.tv-asahi.co.jp/rinjo/</t>
  </si>
  <si>
    <t>番組名臨場　#11</t>
  </si>
  <si>
    <t>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内野聖陽、松下由樹、渡辺大、平山浩行、伊藤裕子、小林勝也、隆大介、益岡徹、高嶋政伸　ほか　横山秀夫「臨場」(光文社文庫)　坂田義和　橋本一　吉川清之　平原綾香『威風堂々』(ドリーミュージック・)プロデューサー:佐藤凉一(テレビ朝日)  　　　　　　　　目黒正之(東映)  　　　　　　　　横塚孝弘(東映)☆番組HP  　http://www.tv-asahi.co.jp/rinjo/</t>
  </si>
  <si>
    <t>1004_EX_木21</t>
  </si>
  <si>
    <t>同窓会</t>
  </si>
  <si>
    <t>番組名同窓会～ラブ・アゲイン症候群　#01</t>
  </si>
  <si>
    <t>平凡な主婦・朋美(黒木瞳)、警視庁の刑事・杉山(高橋克典)、セレブ主婦・陽子(斉藤由貴)、ジャーナリスト・大久保(三上博史)。中学の同級生4人は、30年ぶりの同窓会で再会する。淡い恋が再燃する予感もつかの間、ある衝撃の事件に巻き込まれていく。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</si>
  <si>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平凡な主婦・朋美(黒木瞳)、警視庁の刑事・杉山(高橋克典)、セレブ主婦・陽子(斉藤由貴)、ジャーナリスト・大久保(三上博史)。中学の同級生4人は、30年ぶりの同窓会で再会する。淡い恋が再燃する予感もつかの間、ある衝撃の事件に巻き込まれていく。</t>
  </si>
  <si>
    <t>番組名同窓会～ラブ・アゲイン症候群　#02</t>
  </si>
  <si>
    <t>杉山(高橋)、大久保(三上)、陽子(斉藤)に捜索しに行こうと持ちかける。しかし朋美は初恋の相手だった杉山との時間を過ごしたいだけなのでは、と皆に見透かされ…。ところが、朋美以外の3人も、恋で人生を捨てようとしている同級生の生き様が気になり出す。4人は高速バスに乗って捜索旅行へ…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</si>
  <si>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杉山(高橋)、大久保(三上)、陽子(斉藤)に捜索しに行こうと持ちかける。しかし朋美は初恋の相手だった杉山との時間を過ごしたいだけなのでは、と皆に見透かされ…。ところが、朋美以外の3人も、恋で人生を捨てようとしている同級生の生き様が気になり出す。4人は高速バスに乗って捜索旅行へ…</t>
  </si>
  <si>
    <t>番組名同窓会～ラブ・アゲイン症候群　#03</t>
  </si>
  <si>
    <t>失踪した同級生の捜索で山中湖に向かう、朋美(黒木瞳)、杉山(高橋克典)、陽子(斉藤由貴)、大久保(三上博史)。杉山と一緒にいたい朋美は内心、二人が早く見つからないことを願ってしまう。一方、朋美の夫・誠一郎(吹越満)は妻の不倫を疑い、何と山中湖まで追いかけてきて…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</si>
  <si>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失踪した同級生の捜索で山中湖に向かう、朋美(黒木瞳)、杉山(高橋克典)、陽子(斉藤由貴)、大久保(三上博史)。杉山と一緒にいたい朋美は内心、二人が早く見つからないことを願ってしまう。一方、朋美の夫・誠一郎(吹越満)は妻の不倫を疑い、何と山中湖まで追いかけてきて…</t>
  </si>
  <si>
    <t>番組名同窓会～ラブ・アゲイン症候群　#04</t>
  </si>
  <si>
    <t>東京で元の生活に戻った一同だったが、家族の疑念、上司との軋轢と、それぞれ人生の歯車が狂っていく。そんな時、大久保(三上博史)が編集長を務める雑誌に失踪した同級生のスキャンダラスな記事が躍り、朋美(黒木瞳)、杉山(高橋克典)、陽子(斉藤由貴)は激しい衝撃を受ける。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</si>
  <si>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東京で元の生活に戻った一同だったが、家族の疑念、上司との軋轢と、それぞれ人生の歯車が狂っていく。そんな時、大久保(三上博史)が編集長を務める雑誌に失踪した同級生のスキャンダラスな記事が躍り、朋美(黒木瞳)、杉山(高橋克典)、陽子(斉藤由貴)は激しい衝撃を受ける。</t>
  </si>
  <si>
    <t>番組名同窓会～ラブ・アゲイン症候群　#05</t>
  </si>
  <si>
    <t>朋美(黒木瞳)と杉山(高橋克典)の想いが加速する中、親の不貞を疑うそれぞれの娘・息子が急接近、驚きの行動に出る。一方、失踪した同級生から大久保(三上博史)の元へ突然連絡が入る。その鬼気迫る様子に、二人の失踪は、ただの駆け落ちではないと直感した大久保だったが・・・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</si>
  <si>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朋美(黒木瞳)と杉山(高橋克典)の想いが加速する中、親の不貞を疑うそれぞれの娘・息子が急接近、驚きの行動に出る。一方、失踪した同級生から大久保(三上博史)の元へ突然連絡が入る。その鬼気迫る様子に、二人の失踪は、ただの駆け落ちではないと直感した大久保だったが・・・</t>
  </si>
  <si>
    <t>番組名同窓会～ラブ・アゲイン症候群　#06</t>
  </si>
  <si>
    <t>想いを確認し合った朋美(黒木瞳)と杉山(高橋克典)だったが、お互いの家族のためにもう会わないと決める。そんな二人の関係を察した大久保(三上博史)もまた、陽子(斉藤由貴)と一夜を共にして以来、彼女の存在が大きくなっていく。それぞれの想いが渦巻く中、彼らをある悲劇が襲う・・・!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</si>
  <si>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想いを確認し合った朋美(黒木瞳)と杉山(高橋克典)だったが、お互いの家族のためにもう会わないと決める。そんな二人の関係を察した大久保(三上博史)もまた、陽子(斉藤由貴)と一夜を共にして以来、彼女の存在が大きくなっていく。それぞれの想いが渦巻く中、彼らをある悲劇が襲う・・・!</t>
  </si>
  <si>
    <t>番組名同窓会～ラブ・アゲイン症候群　#07</t>
  </si>
  <si>
    <t>杉山(高橋克典)が刺された現場に居合わせた朋美(黒木瞳)は、警察から事情聴取を受けることになる。家族からも孤立し、居場所を失っていく朋美。一方、新しい生活を始めた大久保(三上博史)と陽子(斉藤由貴)。ささやかな幸せもつかの間、病魔が確実に大久保を蝕んでいき・・・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</si>
  <si>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杉山(高橋克典)が刺された現場に居合わせた朋美(黒木瞳)は、警察から事情聴取を受けることになる。家族からも孤立し、居場所を失っていく朋美。一方、新しい生活を始めた大久保(三上博史)と陽子(斉藤由貴)。ささやかな幸せもつかの間、病魔が確実に大久保を蝕んでいき・・・</t>
  </si>
  <si>
    <t>番組名同窓会～ラブ・アゲイン症候群　#08</t>
  </si>
  <si>
    <t>悲しい決意を胸に、病院を後にした朋美(黒木瞳)と杉山(高橋克典)。残された家族たちは衝撃の事実に取り乱し、思わぬ行動に出る。一方、真実を語りたいと言う福島(尾美としのり)と落ち合うために車を走らせる大久保(三上博史)だったが、そこには警察の手が迫っていた。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</si>
  <si>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悲しい決意を胸に、病院を後にした朋美(黒木瞳)と杉山(高橋克典)。残された家族たちは衝撃の事実に取り乱し、思わぬ行動に出る。一方、真実を語りたいと言う福島(尾美としのり)と落ち合うために車を走らせる大久保(三上博史)だったが、そこには警察の手が迫っていた。</t>
  </si>
  <si>
    <t>番組名木曜ドラマ　同窓会～ラブ・アゲイン症候群　#09</t>
  </si>
  <si>
    <t>スタジオで真実を話せという言葉を福島に残し、病院に搬送された大久保(三上博史)。逃避行をしていた朋美(黒木瞳)、杉山(高橋克典)にも、緊急記者会見のニュースが飛び込む。生放送で福島が語った、国家を揺るがす衝撃の事実とは?そして男と女、最後の決断の時が迫る!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</si>
  <si>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スタジオで真実を話せという言葉を福島に残し、病院に搬送された大久保(三上博史)。逃避行をしていた朋美(黒木瞳)、杉山(高橋克典)にも、緊急記者会見のニュースが飛び込む。生放送で福島が語った、国家を揺るがす衝撃の事実とは?そして男と女、最後の決断の時が迫る!</t>
  </si>
  <si>
    <t>1001_EX_木21</t>
  </si>
  <si>
    <t>エンゼルバンク</t>
  </si>
  <si>
    <t>番組名エンゼルバンク～転職代理人　#01</t>
  </si>
  <si>
    <t>『離婚主婦の再就職!価値0円といわれた女!人生の大逆転』  新人転職代理人となった井野真々子(長谷川京子)は「仕事はありません」と海老沢(生瀬勝久)に宣言されたシングルマザーの再就職を担当することになる。かつての教え子・藤川(新垣結衣)らも相談を持ちかける。　長谷川京子、ウエンツ瑛士、村上知子(森三中)、中村蒼、大島優子(AKB48)/新垣結衣/尾美としのり、高知東生、西岡徳馬/生瀬勝久　ほか  《ゲスト》  　奥貫薫、小野武彦　三田紀房『エンゼルバンク　ドラゴン桜外伝』(講談社　週刊モーニング連載中)　荒井修子　片山修　ほか主題歌:レミオロメン『花鳥風月』  挿入歌:鶴『小さくても世界は変わってる』プロデューサー:大川武宏(テレビ朝日)  　　　　　　　　遠田孝一(MMJ)  　　　　　　　　布施等(MMJ)  　　　　　　　　藤田滋生(レプロエンタテインメント)☆番組HP  　http://www.tv-asahi.co.jp/angelbank/</t>
  </si>
  <si>
    <t xml:space="preserve">『離婚主婦の再就職!価値0円といわれた女!人生の大逆転』  新人転職代理人となった井野真々子(長谷川京子)は「仕事はありません」と海老沢(生瀬勝久)に宣言されたシングルマザーの再就職を担当することになる。かつての教え子・藤川(新垣結衣)らも相談を持ちかける。　</t>
  </si>
  <si>
    <t>番組名エンゼルバンク～転職代理人　#02</t>
  </si>
  <si>
    <t>自分は仕事が出来ると思い込んでいる甘い男が登場。新人転職代理人・井野真々子(長谷川京子)は、転職を成功させる五角形を使って彼に親身になっていく。　長谷川京子、ウエンツ瑛士/村上知子(森三中)、中村蒼、大島優子(AKB48)、君沢ユウキ、鈴木美恵、奥村佳恵/尾美としのり、高知東生、西岡徳馬/生瀬勝久　ほか  《ゲスト》  　忍成修吾、中原丈雄　三田紀房『エンゼルバンク　ドラゴン桜外伝』(講談社　週刊モーニング連載中)　荒井修子　片山修主題歌:レミオロメン『花鳥風月』  挿入歌:鶴『小さくても世界は変わってる』プロデューサー:大川武宏(テレビ朝日)  　　　　　　　　遠田孝一(MMJ)  　　　　　　　　布施等(MMJ)  　　　　　　　　藤田滋生(レプロエンタテインメント)☆番組HP  　http://www.tv-asahi.co.jp/angelbank/</t>
  </si>
  <si>
    <t xml:space="preserve">自分は仕事が出来ると思い込んでいる甘い男が登場。新人転職代理人・井野真々子(長谷川京子)は、転職を成功させる五角形を使って彼に親身になっていく。　</t>
  </si>
  <si>
    <t>番組名エンゼルバンク～転職代理人　#03</t>
  </si>
  <si>
    <t>『女の敵は女?屈辱かプライドかベテランOL運命の選択』  人生逆転新ドラマ!経済不況を生き抜く技も紹介!話題の出演者も登場!!　長谷川京子、ウエンツ瑛士/村上知子(森三中)、中村蒼、大島優子(AKB48)、君沢ユウキ、鈴木美恵、奥村佳恵/尾美としのり、高知東生、西岡徳馬/生瀬勝久　ほか　三田紀房『エンゼルバンク　ドラゴン桜外伝』(講談社　週刊モーニング連載中)　荒井修子　今井和久　ほか主題歌:レミオロメン『花鳥風月』  挿入歌:鶴『小さくても世界は変わってる』プロデューサー:大川武宏(テレビ朝日)  　　　　　　　　遠田孝一(MMJ)  　　　　　　　　布施等(MMJ)  　　　　　　　　藤田滋生(レプロエンタテインメント)☆番組HP  　http://www.tv-asahi.co.jp/angelbank/</t>
  </si>
  <si>
    <t xml:space="preserve">『女の敵は女?屈辱かプライドかベテランOL運命の選択』  人生逆転新ドラマ!経済不況を生き抜く技も紹介!話題の出演者も登場!!　</t>
  </si>
  <si>
    <t>番組名エンゼルバンク～転職代理人　#04</t>
  </si>
  <si>
    <t>「父の就職活動!!その時家族は・・・」不況下のリストラされた失意の父と、会話の少ない家族。他人事ではない今そこにある脅威!　長谷川京子、ウエンツ瑛士/村上知子(森三中)、中村蒼、大島優子(AKB48)、君沢ユウキ、鈴木美恵、奥村佳恵/尾美としのり、高知東生、西岡徳馬/生瀬勝久　ほか　三田紀房『エンゼルバンク　ドラゴン桜外伝』(講談社　週刊モーニング連載中)　荒井修子　片山修　ほか主題歌:レミオロメン『花鳥風月』  挿入歌:鶴『小さくても世界は変わってる』プロデューサー:大川武宏(テレビ朝日)  　　　　　　　　遠田孝一(MMJ)  　　　　　　　　布施等(MMJ)  　　　　　　　　藤田滋生(レプロエンタテインメント)☆番組HP  　http://www.tv-asahi.co.jp/angelbank/</t>
  </si>
  <si>
    <t xml:space="preserve">「父の就職活動!!その時家族は・・・」不況下のリストラされた失意の父と、会話の少ない家族。他人事ではない今そこにある脅威!　</t>
  </si>
  <si>
    <t>番組名エンゼルバンク～転職代理人　#05</t>
  </si>
  <si>
    <t>「会社が倒産寸前!逃げるか?残るか?」  会社倒産の危機をいち早く知った経理部員は、転職活動を始めるが・・・。転職先を決めたところで迷い始める。彼はコネ入社だった!　長谷川京子、ウエンツ瑛士/村上知子(森三中)、中村蒼、大島優子(AKB48)、君沢ユウキ、鈴木美恵、奥村佳恵/尾美としのり、高知東生、西岡徳馬/生瀬勝久　ほか　三田紀房『エンゼルバンク　ドラゴン桜外伝』(講談社　週刊モーニング連載中)　荒井修子　二宮浩行主題歌:レミオロメン『花鳥風月』  挿入歌:鶴『小さくても世界は変わってる』プロデューサー:大川武宏(テレビ朝日)  　　　　　　　　遠田孝一(MMJ)  　　　　　　　　布施等(MMJ)  　　　　　　　　藤田滋生(レプロエンタテインメント)☆番組HP  　http://www.tv-asahi.co.jp/angelbank/</t>
  </si>
  <si>
    <t xml:space="preserve">「会社が倒産寸前!逃げるか?残るか?」  会社倒産の危機をいち早く知った経理部員は、転職活動を始めるが・・・。転職先を決めたところで迷い始める。彼はコネ入社だった!　</t>
  </si>
  <si>
    <t>番組名エンゼルバンク～転職代理人　#06</t>
  </si>
  <si>
    <t>『女子アナ転職!!理想と現実』人生逆転新ドラマ!長谷川京子、ウエンツ瑛士、生瀬勝久が転職代理人に!経済不況を生き抜く技も紹介!テレビ朝日の人気女性アナウンサーも多数登場!  《ゲスト》小沢真珠、山崎樹範　ほか　長谷川京子、ウエンツ瑛士/村上知子(森三中)、中村蒼、大島優子(AKB48)、君沢ユウキ、鈴木美恵、奥村佳恵/尾美としのり、高知東生、西岡徳馬/生瀬勝久　ほか　三田紀房『エンゼルバンク　ドラゴン桜外伝』(講談社　週刊モーニング連載中)　荒井修子　梶山貴弘主題歌:レミオロメン『花鳥風月』  挿入歌:鶴『小さくても世界は変わってる』プロデューサー:大川武宏(テレビ朝日)  　　　　　　　　遠田孝一(MMJ)  　　　　　　　　布施等(MMJ)  　　　　　　　　藤田滋生(レプロエンタテインメント)☆番組HP  　http://www.tv-asahi.co.jp/angelbank/</t>
  </si>
  <si>
    <t>『女子アナ転職!!理想と現実』人生逆転新ドラマ!</t>
  </si>
  <si>
    <t>番組名エンゼルバンク～転職代理人　#07</t>
  </si>
  <si>
    <t>「エリート社員VS落ちこぼれ社員」人生逆転新ドラマ!長谷川京子、ウエンツ瑛士、生瀬勝久が転職代理人に!経済不況を生き抜く技も紹介!  《ゲスト》  　葛山信吾、加藤虎ノ介、小林涼子  *プレゼント情報も!長谷川京子、ウエンツ瑛士/村上知子(森三中)、中村蒼、大島優子(AKB48)、君沢ユウキ、鈴木美恵、奥村佳恵/尾美としのり、高知東生、西岡徳馬/生瀬勝久　ほか三田紀房『エンゼルバンク　ドラゴン桜外伝』(講談社　週刊モーニング連載中)荒井修子二宮浩行主題歌:レミオロメン『花鳥風月』  挿入歌:鶴『小さくても世界は変わってる』プロデューサー:大川武宏(テレビ朝日)  　　　　　　　　遠田孝一(MMJ)  　　　　　　　　布施等(MMJ)  　　　　　　　　藤田滋生(レプロエンタテインメント)☆番組HP  　http://www.tv-asahi.co.jp/angelbank/</t>
  </si>
  <si>
    <t>「エリート社員VS落ちこぼれ社員」人生逆転新ドラマ!</t>
  </si>
  <si>
    <t>番組名エンゼルバンク～転職代理人　#08</t>
  </si>
  <si>
    <t>いよいよ最終回!男には分からない働く女性の問題に、転職代理人・井野(長谷川京子)が挑む!　長谷川京子、ウエンツ瑛士/村上知子(森三中)、中村蒼、大島優子(AKB48)、君沢ユウキ、鈴木美恵、奥村佳恵/尾美としのり、高知東生、西岡徳馬/生瀬勝久　ほか  《ゲスト》  　鈴木砂羽、藤田弓子　三田紀房『エンゼルバンク　ドラゴン桜外伝』(講談社　週刊モーニング連載中)　荒井修子　二宮浩行主題歌:レミオロメン『花鳥風月』  挿入歌:鶴『小さくても世界は変わってる』プロデューサー:大川武宏(テレビ朝日)  　　　　　　　　遠田孝一(MMJ)  　　　　　　　　布施等(MMJ)  　　　　　　　　藤田滋生(レプロエンタテインメント)☆番組HP  　http://www.tv-asahi.co.jp/angelbank/</t>
  </si>
  <si>
    <t xml:space="preserve">いよいよ最終回!男には分からない働く女性の問題に、転職代理人・井野(長谷川京子)が挑む!　</t>
  </si>
  <si>
    <t>1001_EX_金23</t>
  </si>
  <si>
    <t>サラリーマン金太郎2</t>
  </si>
  <si>
    <t>番組名サラリーマン金太郎　#01</t>
  </si>
  <si>
    <t>アフリカから帰国した金太郎(永井大)は、帰国早々、ヤマト建設が合併する事を知る。新社長・丸山(森本レオ)の人格者ぶりに皆、安心感を抱くが、ただひとり金太郎だけが彼の態度に違和感を覚える。果たして、金太郎はヤマト建設を救うことが出来るのか!?　永井大、井上和香、青山倫子、風見しんご、森本レオ、細川茂樹、古谷一行、宇津井健　ほか　本宮ひろ志『サラリーマン金太郎』(集英社ヤングジャンプ・コミックス)　深沢正樹、倉持裕　小松隆志、田村直己(テレビ朝日)　仲西匡　B'z『long　time　no　see』(VERMILLION RECORDS)ゼネラルプロデューサー:横地郁英(テレビ朝日)  プロデューサー:大江達樹(テレビ朝日)  　　　　　　　　伊藤達哉(MMJ)☆番組HP  　http://www.tv-asahi.co.jp/kintaro/</t>
  </si>
  <si>
    <t xml:space="preserve">アフリカから帰国した金太郎(永井大)は、帰国早々、ヤマト建設が合併する事を知る。新社長・丸山(森本レオ)の人格者ぶりに皆、安心感を抱くが、ただひとり金太郎だけが彼の態度に違和感を覚える。果たして、金太郎はヤマト建設を救うことが出来るのか!?　</t>
  </si>
  <si>
    <t>番組名サラリーマン金太郎　#02</t>
  </si>
  <si>
    <t>百年に一度の不景気にアフリカからあの男が帰ってきた!元暴走族のヘッドで型破りなサラリーマン・矢島金太郎が腐った日本に活を入れ、行く先々で大暴れします!　永井大、井上和香、青山倫子、風見しんご、森本レオ、細川茂樹、古谷一行、宇津井健　ほか　本宮ひろ志『サラリーマン金太郎』(集英社ヤングジャンプ・コミックス)　深沢正樹　小松隆志　仲西匡　B'z『long　time　no　see』(VERMILLION RECORDS)ゼネラルプロデューサー:横地郁英(テレビ朝日)  プロデューサー:大江達樹(テレビ朝日)  　　　　　　　　伊藤達哉(MMJ)☆番組HP  　http://www.tv-asahi.co.jp/kintaro/</t>
  </si>
  <si>
    <t>番組名サラリーマン金太郎　#03</t>
  </si>
  <si>
    <t>百年に一度の不景気にアフリカからあの男が帰ってきた!元暴走族のヘッドで型破りなサラリーマン・矢島金太郎が腐った日本に活を入れ、行く先々で大暴れします!　永井大、井上和香、青山倫子、風見しんご、森本レオ、細川茂樹、古谷一行、宇津井健　ほか　本宮ひろ志『サラリーマン金太郎』(集英社ヤングジャンプ・コミックス)　深沢正樹、倉持裕　小松隆志、田村直己(テレビ朝日)　仲西匡　B'z『long　time　no　see』(VERMILLION RECORDS)ゼネラルプロデューサー:横地郁英(テレビ朝日)  プロデューサー:大江達樹(テレビ朝日)  　　　　　　　　伊藤達哉(MMJ)☆番組HP  　http://www.tv-asahi.co.jp/kintaro/</t>
  </si>
  <si>
    <t>番組名サラリーマン金太郎　#04</t>
  </si>
  <si>
    <t>百年に一度の不景気にアフリカからあの男が帰ってきた!元暴走族のヘッドで型破りなサラリーマン・矢島金太郎が腐った日本に活を入れ、行く先々で大暴れします!　永井大、井上和香、青山倫子、風見しんご、笹野高史、森本レオ、細川茂樹、古谷一行、宇津井健　ほか　本宮ひろ志『サラリーマン金太郎』(集英社ヤングジャンプ・コミックス)　深沢正樹、倉持裕　小松隆志、田村直己(テレビ朝日)　仲西匡　B'z『long　time　no　see』(VERMILLION RECORDS)ゼネラルプロデューサー:横地郁英(テレビ朝日)  プロデューサー:大江達樹(テレビ朝日)  　　　　　　　　伊藤達哉(MMJ)☆番組HP  　http://www.tv-asahi.co.jp/kintaro/</t>
  </si>
  <si>
    <t>番組名サラリーマン金太郎　#05</t>
  </si>
  <si>
    <t>百年に一度の不景気にアフリカからあの男が帰ってきた!元暴走族のヘッドで型破りなサラリーマン・矢島金太郎が腐った日本に活を入れ、行く先々で大暴れします!　永井大、井上和香、青山倫子、風見しんご、細川茂樹、古谷一行、宇津井健(他)  《ゲスト》  　中越典子、『シルシルミシル』のAD堀君　本宮ひろ志『サラリーマン金太郎』(集英社ヤングジャンプ・コミックス)　倉持裕　小松隆志　仲西匡　B'z『long　time　no　see』(VERMILLION RECORDS)ゼネラルプロデューサー:横地郁英(テレビ朝日)  プロデューサー:大江達樹(テレビ朝日)  　　　　　　　　伊藤達哉(MMJ)☆番組HP  　http://www.tv-asahi.co.jp/kintaro/</t>
  </si>
  <si>
    <t>番組名サラリーマン金太郎　#06</t>
  </si>
  <si>
    <t>百年に一度の不景気にアフリカからあの男が帰ってきた!元暴走族のヘッドで型破りなサラリーマン・矢島金太郎が腐った日本に活を入れ、行く先々で大暴れします!　永井大、井上和香、青山倫子、風見しんご、森本レオ、細川茂樹、古谷一行、宇津井健(他)  《ゲスト》  　中越典子　本宮ひろ志『サラリーマン金太郎』(集英社ヤングジャンプ・コミックス)　倉持裕　小松隆志　仲西匡　B'z『long　time　no　see』(VERMILLION RECORDS)ゼネラルプロデューサー:横地郁英(テレビ朝日)  プロデューサー:大江達樹(テレビ朝日)  　　　　　　　　伊藤達哉(MMJ)☆番組HP  　http://www.tv-asahi.co.jp/kintaro/</t>
  </si>
  <si>
    <t>番組名サラリーマン金太郎　#07</t>
  </si>
  <si>
    <t>百年に一度の不景気にアフリカからあの男が帰ってきた!元暴走族のヘッドで型破りなサラリーマン・矢島金太郎が腐った日本に活を入れ、行く先々で大暴れします!　永井大、井上和香、青山倫子、風見しんご、森本レオ、細川茂樹、古谷一行、宇津井健　ほか　本宮ひろ志『サラリーマン金太郎』(集英社ヤングジャンプ・コミックス)　深沢正樹　田村直己(テレビ朝日)　仲西匡　B'z『long　time　no　see』(VERMILLION RECORDS)ゼネラルプロデューサー:横地郁英(テレビ朝日)  プロデューサー:大江達樹(テレビ朝日)  　　　　　　　　伊藤達哉(MMJ)☆番組HP  　http://www.tv-asahi.co.jp/kintaro/</t>
  </si>
  <si>
    <t>番組名サラリーマン金太郎　#08</t>
  </si>
  <si>
    <t>百年に一度の不景気にアフリカからあの男が帰ってきた!元暴走族のヘッドで型破りなサラリーマン・矢島金太郎が腐った日本に活を入れ、行く先々で大暴れします!永井大、井上和香、青山倫子、風見しんご、森本レオ、細川茂樹、古谷一行、宇津井健　ほか本宮ひろ志『サラリーマン金太郎』(集英社ヤングジャンプ・コミックス)深沢正樹小松隆志仲西匡B'z『long　time　no　see』(VERMILLION RECORDS)ゼネラルプロデューサー:横地郁英(テレビ朝日)  プロデューサー:大江達樹(テレビ朝日)  　　　　　　　　伊藤達哉(MMJ)☆番組HP  　http://www.tv-asahi.co.jp/kintaro/</t>
  </si>
  <si>
    <t>番組名サラリーマン金太郎　#09</t>
  </si>
  <si>
    <t>百年に一度の不景気にアフリカからあの男が帰ってきた!元暴走族のヘッドで型破りなサラリーマン・矢島金太郎が腐った日本に活を入れ、行く先々で大暴れします!永井大、井上和香、青山倫子、風見しんご、森本レオ、細川茂樹、宇津井健(他)本宮ひろ志『サラリーマン金太郎』(集英社ヤングジャンプ・コミックス)倉持裕田村直己(テレビ朝日)仲西匡B'z『long　time　no　see』(VERMILLION RECORDS)ゼネラルプロデューサー:横地郁英(テレビ朝日)  プロデューサー:大江達樹(テレビ朝日)  　　　　　　　　伊藤達哉(MMJ)☆番組HP  　http://www.tv-asahi.co.jp/kintaro/</t>
  </si>
  <si>
    <t>番組名サラリーマン金太郎　#10</t>
  </si>
  <si>
    <t>0910_EX_木21</t>
  </si>
  <si>
    <t>交渉人</t>
  </si>
  <si>
    <t>番組名交渉人　#01</t>
  </si>
  <si>
    <t>「誘拐…立て篭もり…企業恐喝…」現在進行形の事件を扱うSIT。  拳銃、無差別ばらまき事件発生!善良な市民が銃を手に犯罪者へと変貌していく!「広がる悪意」と「サマー・クロース」と名乗る謎の人物…  頭脳と心理戦を駆使し、命がけの交渉に挑む!!　米倉涼子・筧利夫・高岡蒼甫・笹野高史・塚地武雅(ドランクドラゴン)・高知東生・八神蓮/城田優・林丹丹・安めぐみ・中山恵・永池南津子/大杉 漣・伊武雅刀/浅野ゆう子(友情出演)高橋克実・陣内孝則　寺田敏雄　松田秀知(共同テレビジョン)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t>
  </si>
  <si>
    <t xml:space="preserve">「誘拐…立て篭もり…企業恐喝…」現在進行形の事件を扱うSIT。  拳銃、無差別ばらまき事件発生!善良な市民が銃を手に犯罪者へと変貌していく!「広がる悪意」と「サマー・クロース」と名乗る謎の人物…  頭脳と心理戦を駆使し、命がけの交渉に挑む!!　</t>
  </si>
  <si>
    <t>番組名交渉人2　#02</t>
  </si>
  <si>
    <t>拳銃、無差別ばらまき事件発生!銃を手にした青年が家に立て籠もってしまう!要求は父親をこの手で殺す事・・・  必死の説得に応じない青年は玲子(米倉)と銃を向け合う!  だが玲子が撃ってしまった相手は仲間だった・・・  決死の攻防が幕を開ける!　米倉涼子・筧利夫・笹野高史・塚地武雅(ドランクドラゴン)・高知東生・高岡蒼甫・八神蓮/城田優・林丹丹・安めぐみ・中山恵・永池南津子/大杉 漣・伊武雅刀/浅野ゆう子(友情出演)高橋克実・陣内孝則　寺田敏雄　佐藤源太(共同テレビジョン)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t>
  </si>
  <si>
    <t xml:space="preserve">拳銃、無差別ばらまき事件発生!銃を手にした青年が家に立て籠もってしまう!要求は父親をこの手で殺す事・・・  必死の説得に応じない青年は玲子(米倉)と銃を向け合う!  だが玲子が撃ってしまった相手は仲間だった・・・  決死の攻防が幕を開ける!　</t>
  </si>
  <si>
    <t>番組名交渉人2　#03</t>
  </si>
  <si>
    <t>「誘拐・・・立て篭もり・・・企業恐喝・・・」現在進行形の事件を扱うSIT。  一分一秒何が起こるか、わからない状況。興奮しきった犯人をどのような交渉で人質と犯人を無事確保できるのか・・・心理戦や頭脳戦が入り混じり、手に汗握る展開が待ち受ける!　米倉涼子、筧利夫、笹野高史、塚地武雅(ドランクドラゴン)、高知東生、高岡蒼甫、八神蓮/城田優、林丹丹、安めぐみ、中山恵、永池南津子/大杉 漣、伊武雅刀/浅野ゆう子(友情出演)、高橋克実、陣内孝則　寺田敏雄　松田秀知(共同テレビジョン)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t>
  </si>
  <si>
    <t>「誘拐・・・立て篭もり・・・企業恐喝・・・」現在進行形の事件を扱うSIT。  一分一秒何が起こるか、わからない状況。興奮しきった犯人をどのような交渉で人質と犯人を無事確保できるのか・・・心理戦や頭脳戦が入り混じり、手に汗握る展開が待ち受ける!人</t>
  </si>
  <si>
    <t>番組名交渉人2　#04</t>
  </si>
  <si>
    <t>ストーカー加害者が被害者を人質にレストランに立て籠もる!  爆弾を手にした犯人の要求は死ぬ前の最後の食事!!  ハラハラ、ドキドキの心理戦や頭脳戦に一分一秒見逃せない手に汗握るスリリングな展開が!!事件の闇に隠された衝撃的な結末とは!!　米倉涼子・筧利夫・笹野高史・塚地武雅(ドランクドラゴン)・高知東生・高岡蒼甫・八神蓮/城田優・林丹丹・安めぐみ・中山恵・永池南津子/大杉 漣・伊武雅刀/浅野ゆう子(友情出演)・高橋克実・陣内孝則　深沢正樹　佐藤源太(共同テレビジョン)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t>
  </si>
  <si>
    <t xml:space="preserve">ストーカー加害者が被害者を人質にレストランに立て籠もる!  爆弾を手にした犯人の要求は死ぬ前の最後の食事!!  ハラハラ、ドキドキの心理戦や頭脳戦に一分一秒見逃せない手に汗握るスリリングな展開が!!事件の闇に隠された衝撃的な結末とは!!　</t>
  </si>
  <si>
    <t>番組名交渉人2　#05</t>
  </si>
  <si>
    <t>新型ウイルスのワクチンが何者かにより盗まれる!  身代金要求額は1億5000万円!人質は、患者の命…  発症後、30時間以内にワクチンを接種しないと死に至るウイルス!  交渉人は時間内にワクチンを取り戻すことが出来るのか!?  事件の裏に隠された衝撃の結末とは!!　米倉涼子・筧利夫・笹野高史・塚地武雅(ドランクドラゴン)・高知東生・八神蓮/城田優・林丹丹・中山恵・永池南津子/高橋克実・陣内孝則    《ゲスト》  　前田美波里、遠藤章造(ココリコ)、浅見れいな　稲葉一広　松田秀知(共同テレビジョン)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    宇佐木玲子の待受け配信中!</t>
  </si>
  <si>
    <t xml:space="preserve">新型ウイルスのワクチンが何者かにより盗まれる!  身代金要求額は1億5000万円!人質は、患者の命…  発症後、30時間以内にワクチンを接種しないと死に至るウイルス!  交渉人は時間内にワクチンを取り戻すことが出来るのか!?  事件の裏に隠された衝撃の結末とは!!　</t>
  </si>
  <si>
    <t>番組名交渉人2　#06</t>
  </si>
  <si>
    <t>老人ホームで立てこもり事件!  体力消耗していく老人たち…  交渉を長引かせる事は出来ない状況の中  潜入交渉を行うが玲子の出した答えは  交渉決裂…!?  本当の目的は一体!?人質と犯人を助ける事ができるのか!?  一分一秒見逃せない手に汗握るスリリングな展開が待ち受ける!　米倉涼子・筧利夫・笹野高史・塚地武雅(ドランクドラゴン)・高知東生・高岡蒼甫・八神蓮/城田優・林丹丹・中山恵・永池南津子/陣内孝則　西森英行　田村直己(テレビ朝日)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t>
  </si>
  <si>
    <t xml:space="preserve">老人ホームで立てこもり事件!  体力消耗していく老人たち…  交渉を長引かせる事は出来ない状況の中  潜入交渉を行うが玲子の出した答えは  交渉決裂…!?  本当の目的は一体!?人質と犯人を助ける事ができるのか!?  一分一秒見逃せない手に汗握るスリリングな展開が待ち受ける!　</t>
  </si>
  <si>
    <t>番組名交渉人2　#07</t>
  </si>
  <si>
    <t>最大の敵『サマー・クロース』  遂に直接交渉に入る!今まで、交渉人を操り続けてきた人とは!?  弓坂の自作自演なのか…!?それとも…  予想だにしない展開が、交渉人に襲いかかる!!  交渉人VSサマークロースの第1弾が遂に幕を開ける!!　米倉涼子・筧利夫・笹野高史・塚地武雅(ドランクドラゴン)・高知東生・高岡蒼甫・八神蓮/城田優・林丹丹・安めぐみ・中山恵・永池南津子/大杉 漣・伊武雅刀/浅野ゆう子(友情出演)高橋克実・陣内孝則　寺田敏雄　松田秀知(共同テレビジョン)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t>
  </si>
  <si>
    <t xml:space="preserve">最大の敵『サマー・クロース』  遂に直接交渉に入る!今まで、交渉人を操り続けてきた人とは!?  弓坂の自作自演なのか…!?それとも…  予想だにしない展開が、交渉人に襲いかかる!!  交渉人VSサマークロースの第1弾が遂に幕を開ける!!　</t>
  </si>
  <si>
    <t>番組名交渉人2　#08</t>
  </si>
  <si>
    <t>「これで、あいつも僕の仲間だ」と謎めいた言葉を口にする真里谷。サマー・クロースはずっと玲子を見ていた!?予想だにしない展開が、交渉人に襲いかかる!本当の目的とは!事件に隠された真実とは!?  一分一秒見逃せない手に汗握るスリリングな展開が待ち受ける!　米倉涼子・筧利夫・笹野高史・塚地武雅(ドランクドラゴン)・高知東生・高岡蒼甫・八神蓮/城田優・林丹丹・安めぐみ・中山恵・永池南津子/大杉 漣・伊武雅刀/浅野ゆう子(友情出演)高橋克実・陣内孝則　深沢正樹　田村直己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t>
  </si>
  <si>
    <t xml:space="preserve">「これで、あいつも僕の仲間だ」と謎めいた言葉を口にする真里谷。サマー・クロースはずっと玲子を見ていた!?予想だにしない展開が、交渉人に襲いかかる!本当の目的とは!事件に隠された真実とは!?  一分一秒見逃せない手に汗握るスリリングな展開が待ち受ける!　</t>
  </si>
  <si>
    <t>番組名交渉人2　#09</t>
  </si>
  <si>
    <t>絶望と後悔が残る死を玲子にさせる…  「あの人を撃てば、あなたは助かります」  その声に乗客たちは銃を奪い合い、人に銃口を向ける!!人の命の重さに差はあるのか!?  警察の威厳を守るのか、市民を守るのか!?  苦渋の選択に交渉人は衝撃の決断をする!!　米倉涼子・筧利夫・笹野高史・塚地武雅(ドランクドラゴン)・高知東生・高岡蒼甫・八神蓮/城田優・林丹丹・安めぐみ・中山恵・永池南津子/大杉 漣・伊武雅刀/浅野ゆう子(友情出演)高橋克実・陣内孝則　深沢正樹　佐藤源太・松田秀知(共同テレビジョン)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t>
  </si>
  <si>
    <t xml:space="preserve">絶望と後悔が残る死を玲子にさせる…  「あの人を撃てば、あなたは助かります」  その声に乗客たちは銃を奪い合い、人に銃口を向ける!!人の命の重さに差はあるのか!?  警察の威厳を守るのか、市民を守るのか!?  苦渋の選択に交渉人は衝撃の決断をする!!　</t>
  </si>
  <si>
    <t>0910_EX_金21</t>
  </si>
  <si>
    <t>アンタッチャブル</t>
  </si>
  <si>
    <t>番組名アンタッチャブル　#01</t>
  </si>
  <si>
    <t>仲間由紀恵主演の極上の本格ミステリー。三流週刊誌の女性記者・鳴海遼子は、仕事にも恋にもあつかましい粘着質な性格。そんな彼女が不可解な事件の裏側に隠された“アンタッチャブルな真実”を解き明かしていく。　仲間由紀恵、要潤、佐藤智仁、芦名星、辻谷嘉真、浦野一美(AKB48)、田中要次、酒井敏也、小澤征悦、田中哲司、寺島進/浅野ゆう子、光石研　ほか　橋本裕志　下山天　井筒昭雄　GIRL　NEXT　DOOR『Orion』(avex　trax)GIRL　NEXT　DOORが歌う主題歌『Orion』の着うたプレゼント情報あり♪    ☆番組HP  　http://untouchable.asahi.co.jp/  ☆携帯サイト  　メニュー&gt;テレビ&gt;ABC朝日放送&gt;アンタッチャブル</t>
  </si>
  <si>
    <t xml:space="preserve">仲間由紀恵主演の極上の本格ミステリー。三流週刊誌の女性記者・鳴海遼子は、仕事にも恋にもあつかましい粘着質な性格。そんな彼女が不可解な事件の裏側に隠された“アンタッチャブルな真実”を解き明かしていく。　</t>
  </si>
  <si>
    <t>番組名アンタッチャブル～事件記者・鳴海遼子～　#02</t>
  </si>
  <si>
    <t>2人の人気作家が同時に同じ小説を発表し、W盗作疑惑として騒然となる!!  また、事件を追う遼子(仲間由紀恵)と美鈴(芦名星)の間で女のプライドをかけた熾烈なバトルが勃発!最後にたどり着く衝撃の真実とは!?　仲間由紀恵、要潤、佐藤智仁、芦名星、辻谷嘉真、浦野一美(AKB48)、田中要次、酒井敏也、小澤征悦、田中哲司、寺島進  　京本政樹、相島一之、福田萌、若葉竜也　ほか　橋本裕志　下山天　井筒昭雄　GIRL　NEXT　DOOR『Orion』(avex　trax)☆番組HP  　http://untouchable.asahi.co.jp/  ☆携帯サイト  　メニュー&gt;テレビ&gt;ABC朝日放送&gt;アンタッチャブル</t>
  </si>
  <si>
    <t xml:space="preserve">2人の人気作家が同時に同じ小説を発表し、W盗作疑惑として騒然となる!!  また、事件を追う遼子(仲間由紀恵)と美鈴(芦名星)の間で女のプライドをかけた熾烈なバトルが勃発!最後にたどり着く衝撃の真実とは!?　</t>
  </si>
  <si>
    <t>番組名アンタッチャブル　#03</t>
  </si>
  <si>
    <t>突然、空から降ってきた1億円が衝撃的な事件の幕を開けた!  整形疑惑で騒がれるアイドルと国会議員、さらにカリスマ美容整形医を巻き込んだ複雑な人間関係が発覚!?そこにはアンタッチャブルな“闇”が潜んでいた…　仲間由紀恵、要潤、佐藤智仁、芦名星、辻谷嘉真、浦野一美(AKB48)、田中要次、酒井敏也、小澤征悦、田中哲司、寺島進  　高橋ひとみ、小野真弓、多岐川華子　ほか　橋本裕志　唐木希浩　井筒昭雄　GIRL　NEXT　DOOR『Orion』(avex　trax)☆番組HP  　http://untouchable.asahi.co.jp/  ☆携帯サイト  　メニュー&gt;テレビ&gt;ABC朝日放送&gt;アンタッチャブル</t>
  </si>
  <si>
    <t xml:space="preserve">突然、空から降ってきた1億円が衝撃的な事件の幕を開けた!  整形疑惑で騒がれるアイドルと国会議員、さらにカリスマ美容整形医を巻き込んだ複雑な人間関係が発覚!?そこにはアンタッチャブルな“闇”が潜んでいた…　</t>
  </si>
  <si>
    <t>番組名アンタッチャブル　#04</t>
  </si>
  <si>
    <t>はたして遼子は無事生還できるのか?そして驚くべき犯人の犯行目的とは…!?　仲間由紀恵、要潤、佐藤智仁、芦名星、辻谷嘉真、浦野一美(AKB48)、田中要次、酒井敏也、小澤征悦、田中哲司、寺島進  　原田龍二、国分佐智子、金子さやか　ほか　橋本裕志　下山天　井筒昭雄　GIRL　NEXT　DOOR『Orion』(avex　trax)☆番組HP  　http://untouchable.asahi.co.jp/  ☆携帯サイト  　メニュー&gt;テレビ&gt;ABC朝日放送&gt;アンタッチャブル</t>
  </si>
  <si>
    <t xml:space="preserve">はたして遼子は無事生還できるのか?そして驚くべき犯人の犯行目的とは…!?　</t>
  </si>
  <si>
    <t>番組名アンタッチャブル　#05</t>
  </si>
  <si>
    <t>女記者vs名探偵の推理バトルが繰り広げられる!?    仲間由紀恵主演の極上の本格ミステリー。三流週刊誌の女性記者・鳴海遼子は、仕事にも恋にもあつかましい粘着質な性格。そんな彼女が不可解な事件の裏側に隠された“アンタッチャブルな真実”を解き明かしていく。　仲間由紀恵、要潤、佐藤智仁、芦名星、辻谷嘉真、浦野一美(AKB48)、田中要次、酒井敏也、小澤征悦、田中哲司、寺島進  　中村獅童、三浦理恵子、井上正大、松本若菜　ほか　橋本裕志　唐木希浩　井筒昭雄　GIRL　NEXT　DOOR『Orion』(avex　trax)☆番組HP  　http://untouchable.asahi.co.jp/  ☆携帯サイト  　メニュー&gt;テレビ&gt;ABC朝日放送&gt;アンタッチャブル</t>
  </si>
  <si>
    <t xml:space="preserve">女記者vs名探偵の推理バトルが繰り広げられる!?    仲間由紀恵主演の極上の本格ミステリー。三流週刊誌の女性記者・鳴海遼子は、仕事にも恋にもあつかましい粘着質な性格。そんな彼女が不可解な事件の裏側に隠された“アンタッチャブルな真実”を解き明かしていく。　</t>
  </si>
  <si>
    <t>番組名アンタッチャブル　#06</t>
  </si>
  <si>
    <t>セレブ美人音楽姉妹が登場!!その演奏に熱狂し失神するファンも!?遼子(仲間由紀恵)は彼女達のスキャンダルな素顔に迫るが、編集長(田中哲司)は何故か関心を示さない。遼子はただならぬものを感じ始める。　仲間由紀恵、要潤、佐藤智仁、芦名星、辻谷嘉真、浦野一美(AKB48)、田中要次、酒井敏也、小澤征悦、田中哲司、寺島進  　櫻井淳子、雛形あきこ　ほか　橋本裕志　常廣丈太　井筒昭雄　GIRL　NEXT　DOOR『Orion』(avex　trax)☆番組HP  　http://untouchable.asahi.co.jp/  ☆携帯サイト  　メニュー&gt;テレビ&gt;ABC朝日放送&gt;アンタッチャブル</t>
  </si>
  <si>
    <t xml:space="preserve">セレブ美人音楽姉妹が登場!!その演奏に熱狂し失神するファンも!?遼子(仲間由紀恵)は彼女達のスキャンダルな素顔に迫るが、編集長(田中哲司)は何故か関心を示さない。遼子はただならぬものを感じ始める。　</t>
  </si>
  <si>
    <t>番組名アンタッチャブル　#07</t>
  </si>
  <si>
    <t>高級クラブに潜入取材する遼子。ホステスとなり、政官界の大物とホテルへ…!?一方、謎の告発者“名なしの権兵衛”の正体がいよいよ明らかに!?それは遼子が愛した男だった…そして、また新たな犠牲者が!!　仲間由紀恵、要潤、佐藤智仁、芦名星、辻谷嘉真、浦野一美(AKB48)、田中要次、酒井敏也、小澤征悦、田中哲司、寺島進、川上麻衣子、大和田伸也、ダンディ坂野　ほか　橋本裕志　唐木希浩　井筒昭雄　GIRL　NEXT　DOOR『Orion』(avex　trax)☆番組HP  　http://untouchable.asahi.co.jp/  　http://untouchable.tv/  ☆携帯サイト  　メニュー&gt;テレビ&gt;ABC朝日放送&gt;アンタッチャブル</t>
  </si>
  <si>
    <t xml:space="preserve">高級クラブに潜入取材する遼子。ホステスとなり、政官界の大物とホテルへ…!?一方、謎の告発者“名なしの権兵衛”の正体がいよいよ明らかに!?それは遼子が愛した男だった…そして、また新たな犠牲者が!!　</t>
  </si>
  <si>
    <t>番組名アンタッチャブル　#08</t>
  </si>
  <si>
    <t>いよいよ最終章…真犯人“名なしの権兵衛”が鳴海遼子(仲間由紀恵)に最接近を図る!!そんな中、永倉栄一(寺島進)が経営する能力開発塾が大ブームに!次々と天才児を生み出す塾に秘められた恐ろしい計画とは!?　仲間由紀恵、要潤、佐藤智仁、芦名星、辻谷嘉真、浦野一美(AKB48)、田中要次、酒井敏也、小澤征悦、田中哲司、寺島進    　荻野目慶子、浅野和之　ほか　橋本裕志　常廣丈太　井筒昭雄　GIRL　NEXT　DOOR『Orion』(avex　trax)☆番組HP  　http://untouchable.asahi.co.jp/  ☆携帯サイト  　メニュー&gt;テレビ&gt;ABC朝日放送&gt;アンタッチャブル</t>
  </si>
  <si>
    <t xml:space="preserve">いよいよ最終章…真犯人“名なしの権兵衛”が鳴海遼子(仲間由紀恵)に最接近を図る!!そんな中、永倉栄一(寺島進)が経営する能力開発塾が大ブームに!次々と天才児を生み出す塾に秘められた恐ろしい計画とは!?　</t>
  </si>
  <si>
    <t>番組名アンタッチャブル　#09</t>
  </si>
  <si>
    <t>仲間由紀恵、要潤、佐藤智仁、芦名星、辻谷嘉真、浦野一美(AKB48)、田中要次、酒井敏也、小澤征悦、田中哲司、寺島進  《ゲスト》  　荻野目慶子、長谷川初範　ほか　橋本裕志　唐木希浩　井筒昭雄　GIRL　NEXT　DOOR『Orion』(avex　trax)☆超豪華賞品が当たる真犯人推理クイズを実施中!!  　詳しくは番組HP  　http://untouchable.asahi.co.jp/  ☆携帯サイト  　メニュー&gt;テレビ&gt;ABC朝日放送&gt;アンタッチャブル</t>
  </si>
  <si>
    <t>0910_EX_金23</t>
  </si>
  <si>
    <t>マイガール</t>
  </si>
  <si>
    <t>番組名マイガール　#01</t>
  </si>
  <si>
    <t>忘れられない恋人を6年間思い続ける正宗(相葉雅紀)のもとに、ある日突然その恋人・陽子(優香)の訃報が届く。陽子の死を受け入れることができない正宗。さらに陽子と自分の間にひとりの娘・コハル(石井萌々果)がいたことを知るがその事実も受け入れる事ができず…。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　ゼネラルプロデューサー:桑田潔(テレビ朝日)  　プロデューサー:中川慎子(テレビ朝日)  　　　　　　　　　長松谷太郎(ジェイ・ストーム)  　　　　　　　　　佐藤善宏(東宝)☆番組HP  　http://www.tv-asahi.co.jp/mygirl/  ☆携帯サイト  　メニュー&gt;テレビ&gt;テレビ朝日&gt;マイガール</t>
  </si>
  <si>
    <t xml:space="preserve">忘れられない恋人を6年間思い続ける正宗(相葉雅紀)のもとに、ある日突然その恋人・陽子(優香)の訃報が届く。陽子の死を受け入れることができない正宗。さらに陽子と自分の間にひとりの娘・コハル(石井萌々果)がいたことを知るがその事実も受け入れる事ができず…。　</t>
  </si>
  <si>
    <t>番組名マイガール　#02</t>
  </si>
  <si>
    <t>一緒に暮らし始めた正宗(相葉雅紀)とコハル(石井萌々果)だったが、慣れない家事と仕事の両立で正宗はいっぱいいっぱいに。そんな中、正宗は大物写真家・霧島良明のアシスタントを任される。プライベートの時間も割いて、霧島の世話に忙殺される正宗は…!?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　ゼネラルプロデューサー:桑田潔(テレビ朝日)  　プロデューサー:中川慎子(テレビ朝日)  　　　　　　　　　長松谷太郎(ジェイ・ストーム)  　　　　　　　　　佐藤善宏(東宝)☆番組HP  　http://www.tv-asahi.co.jp/mygirl/  ☆携帯サイト  　メニュー&gt;テレビ&gt;テレビ朝日&gt;マイガール</t>
  </si>
  <si>
    <t xml:space="preserve">一緒に暮らし始めた正宗(相葉雅紀)とコハル(石井萌々果)だったが、慣れない家事と仕事の両立で正宗はいっぱいいっぱいに。そんな中、正宗は大物写真家・霧島良明のアシスタントを任される。プライベートの時間も割いて、霧島の世話に忙殺される正宗は…!?　</t>
  </si>
  <si>
    <t>番組名マイガール　#03</t>
  </si>
  <si>
    <t>正宗(相葉雅紀)とコハル(石井萌々果)の生活も軌道に乗ってきた。そんなある日、正宗の母・光代(室井滋)がアパートを訪ねてくる。コハルとの生活を両親に話していなかった正宗は慌てふためく。正宗の勝手な決断を認めようとしない光代だったが…!?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嵐『マイガール』(ジェイ・ストーム)　ゼネラルプロデューサー:桑田潔(テレビ朝日)  　プロデューサー:中川慎子(テレビ朝日)  　　　　　　　　　長松谷太郎(ジェイ・ストーム)  　　　　　　　　　佐藤善宏(東宝)☆番組HP  　http://www.tv-asahi.co.jp/mygirl/  ☆携帯サイト  　メニュー&gt;テレビ&gt;テレビ朝日&gt;マイガール</t>
  </si>
  <si>
    <t xml:space="preserve">正宗(相葉雅紀)とコハル(石井萌々果)の生活も軌道に乗ってきた。そんなある日、正宗の母・光代(室井滋)がアパートを訪ねてくる。コハルとの生活を両親に話していなかった正宗は慌てふためく。正宗の勝手な決断を認めようとしない光代だったが…!?　</t>
  </si>
  <si>
    <t>番組名マイガール　#04</t>
  </si>
  <si>
    <t>正宗(相葉雅紀)とコハル(石井萌々果)の生活はなんとか軌道に乗り始めた。だが保育士の友哉(村上信五)には父親の自覚を促されてしまう。そんなある日、友哉の不注意からコハルに怪我をさせてしまう。友哉の様子がおかしいと感じた正宗は…。いつも明るく子ども思いの友哉の知られざる過去とは?!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嵐『マイガール』(ジェイ・ストーム)　ゼネラルプロデューサー:桑田潔(テレビ朝日)  　プロデューサー:中川慎子(テレビ朝日)  　　　　　　　　　長松谷太郎(ジェイ・ストーム)  　　　　　　　　　佐藤善宏(東宝)☆番組HP  　http://www.tv-asahi.co.jp/mygirl/  ☆携帯サイト  　メニュー&gt;テレビ&gt;テレビ朝日&gt;マイガール</t>
  </si>
  <si>
    <t xml:space="preserve">正宗(相葉雅紀)とコハル(石井萌々果)の生活はなんとか軌道に乗り始めた。だが保育士の友哉(村上信五)には父親の自覚を促されてしまう。そんなある日、友哉の不注意からコハルに怪我をさせてしまう。友哉の様子がおかしいと感じた正宗は…。いつも明るく子ども思いの友哉の知られざる過去とは?!　</t>
  </si>
  <si>
    <t>番組名マイガール　#05</t>
  </si>
  <si>
    <t>日々の生活に追われ、プロのカメラマンとしての勉強がなかなか進まないことに焦る正宗(相葉雅紀)。一方でそんな様子をコハル(石井萌々果)に察知されて、ふたりの間にはぎくしゃくした空気が…。そんな中、上司の林(北村有起哉)の妻・ユカリ(鈴木砂羽)が会社を訪ねてきて…!?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嵐『マイガール』(ジェイ・ストーム)　ゼネラルプロデューサー:桑田潔(テレビ朝日)  　プロデューサー:中川慎子(テレビ朝日)  　　　　　　　　　長松谷太郎(ジェイ・ストーム)  　　　　　　　　　佐藤善宏(東宝)☆番組HP  　http://www.tv-asahi.co.jp/mygirl/  ☆携帯サイト  　メニュー&gt;テレビ&gt;テレビ朝日&gt;マイガール</t>
  </si>
  <si>
    <t xml:space="preserve">日々の生活に追われ、プロのカメラマンとしての勉強がなかなか進まないことに焦る正宗(相葉雅紀)。一方でそんな様子をコハル(石井萌々果)に察知されて、ふたりの間にはぎくしゃくした空気が…。そんな中、上司の林(北村有起哉)の妻・ユカリ(鈴木砂羽)が会社を訪ねてきて…!?　</t>
  </si>
  <si>
    <t>番組名マイガール　#06</t>
  </si>
  <si>
    <t>高志(山崎樹範)が高校時代に片想いをしていた菜摘(市川由衣)が結婚することを知る。祝福しようとしたが菜摘の結婚相手には別の女性がいるようで…?一方、正宗(相葉雅紀)はコハル(石井萌々果)に相撲大会への出場をせがまれるものの断ってしまう。何もかもから逃げている自分に気づき…。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嵐『マイガール』(ジェイ・ストーム)　ゼネラルプロデューサー:桑田潔(テレビ朝日)  　プロデューサー:中川慎子(テレビ朝日)  　　　　　　　　　長松谷太郎(ジェイ・ストーム)  　　　　　　　　　佐藤善宏(東宝)☆番組HP  　http://www.tv-asahi.co.jp/mygirl/  ☆携帯サイト  　メニュー&gt;テレビ&gt;テレビ朝日&gt;マイガール</t>
  </si>
  <si>
    <t xml:space="preserve">高志(山崎樹範)が高校時代に片想いをしていた菜摘(市川由衣)が結婚することを知る。祝福しようとしたが菜摘の結婚相手には別の女性がいるようで…?一方、正宗(相葉雅紀)はコハル(石井萌々果)に相撲大会への出場をせがまれるものの断ってしまう。何もかもから逃げている自分に気づき…。　</t>
  </si>
  <si>
    <t>番組名マイガール　#07</t>
  </si>
  <si>
    <t>はるか(平岩紙)が勤める会社が倒産。シングルマザーとして新太を育てるはるかは再就職先探しに奔走する。一方、正宗(相葉雅紀)は陽子(優香)の母・志織(朝加真由美)から「いずれは自分の幸せのことも考えて」と言われる。いつまでも陽子のことを忘れられない正宗はその言葉の意味を考え…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嵐『マイガール』(ジェイ・ストーム)　ゼネラルプロデューサー:桑田潔(テレビ朝日)  　プロデューサー:中川慎子(テレビ朝日)  　　　　　　　　　長松谷太郎(ジェイ・ストーム)  　　　　　　　　　佐藤善宏(東宝)☆番組HP  　http://www.tv-asahi.co.jp/mygirl/  ☆携帯サイト  　メニュー&gt;テレビ&gt;テレビ朝日&gt;マイガール</t>
  </si>
  <si>
    <t xml:space="preserve">はるか(平岩紙)が勤める会社が倒産。シングルマザーとして新太を育てるはるかは再就職先探しに奔走する。一方、正宗(相葉雅紀)は陽子(優香)の母・志織(朝加真由美)から「いずれは自分の幸せのことも考えて」と言われる。いつまでも陽子のことを忘れられない正宗はその言葉の意味を考え…　</t>
  </si>
  <si>
    <t>番組名マイガール　#08</t>
  </si>
  <si>
    <t>断絶状態の正宗(相葉雅紀)と母の光代(室井滋)。コハルはお遊戯会で主役の座を射止めた。そんな矢先、親友の佳奈とケンカをしてしまう。ケンカの理由を聞いても答えないコハルに正宗は困惑。さらに保育園への登園を拒否!仕事を休めない正宗はやむを得ず光代に来てもらうことに…。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嵐『マイガール』(ジェイ・ストーム)　ゼネラルプロデューサー:桑田潔(テレビ朝日)  　プロデューサー:中川慎子(テレビ朝日)  　　　　　　　　　長松谷太郎(ジェイ・ストーム)  　　　　　　　　　佐藤善宏(東宝)☆番組HP  　http://www.tv-asahi.co.jp/mygirl/  ☆携帯サイト  　メニュー&gt;テレビ&gt;テレビ朝日&gt;マイガール</t>
  </si>
  <si>
    <t xml:space="preserve">断絶状態の正宗(相葉雅紀)と母の光代(室井滋)。コハルはお遊戯会で主役の座を射止めた。そんな矢先、親友の佳奈とケンカをしてしまう。ケンカの理由を聞いても答えないコハルに正宗は困惑。さらに保育園への登園を拒否!仕事を休めない正宗はやむを得ず光代に来てもらうことに…。　</t>
  </si>
  <si>
    <t>番組名マイガール　#09</t>
  </si>
  <si>
    <t>正宗(相葉雅紀)は本格的にカメラマンへの道を考え始める。そんな中、正宗はコハル(石井萌々果)とともに陽子(優香)が生まれ育った街へ。陽子の幼い頃の写真を見たコハルは「ママと同じ小学校に行きたい」と言い始める。自分の夢とコハルの将来との間で悩む正宗だったが…。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嵐『マイガール』(ジェイ・ストーム)　ゼネラルプロデューサー:桑田潔(テレビ朝日)  　プロデューサー:中川慎子(テレビ朝日)  　　　　　　　　　長松谷太郎(ジェイ・ストーム)  　　　　　　　　　佐藤善宏(東宝)☆番組HP  　http://www.tv-asahi.co.jp/mygirl/  ☆携帯サイト  　メニュー&gt;テレビ&gt;テレビ朝日&gt;マイガール</t>
  </si>
  <si>
    <t xml:space="preserve">正宗(相葉雅紀)は本格的にカメラマンへの道を考え始める。そんな中、正宗はコハル(石井萌々果)とともに陽子(優香)が生まれ育った街へ。陽子の幼い頃の写真を見たコハルは「ママと同じ小学校に行きたい」と言い始める。自分の夢とコハルの将来との間で悩む正宗だったが…。　</t>
  </si>
  <si>
    <t>番組名マイガール　#10</t>
  </si>
  <si>
    <t>カメラマンになる夢を諦め、コハル(石井萌々果)とともに静岡に行くことを決めた正宗(相葉雅紀)。自分のために夢を諦めたと思ったコハルは「正宗くんと静岡には行きません」と言い出す。また、正宗にもカメラアシスタントとしてのチャンスが訪れ。再び自分の夢と向き合った正宗が最後に出す結論とは…　相葉雅紀、優香、村上信五(関ジャニ∞)、北村有起哉、山崎樹範、平岩紙、井村空美、石井萌々果(子役)/朝加真由美、山崎一/日村勇紀(バナナマン)、八名信夫、大森暁美、室井滋　ほか  《友情出演》  　櫻井翔、大杉漣　佐原ミズ『マイガール』(バンチコミックス/新潮社刊)　大島里美、荒井修子、高橋麻紀　高橋伸之、麻生学、梶山貴弘　嵐『マイガール』(ジェイ・ストーム)　ゼネラルプロデューサー:桑田潔(テレビ朝日)  　プロデューサー:中川慎子(テレビ朝日)  　　　　　　　　　長松谷太郎(ジェイ・ストーム)  　　　　　　　　　佐藤善宏(東宝)☆番組HP  　http://www.tv-asahi.co.jp/mygirl/  ☆携帯サイト  　メニュー&gt;テレビ&gt;テレビ朝日&gt;マイガール</t>
  </si>
  <si>
    <t xml:space="preserve">カメラマンになる夢を諦め、コハル(石井萌々果)とともに静岡に行くことを決めた正宗(相葉雅紀)。自分のために夢を諦めたと思ったコハルは「正宗くんと静岡には行きません」と言い出す。また、正宗にもカメラアシスタントとしてのチャンスが訪れ。再び自分の夢と向き合った正宗が最後に出す結論とは…　</t>
  </si>
  <si>
    <t>0907_EX_木21</t>
  </si>
  <si>
    <t>ダンディ・ダディ？</t>
  </si>
  <si>
    <t>番組名ダンディ・ダディ?～恋愛小説家・伊崎龍之介～　#01</t>
  </si>
  <si>
    <t>恋愛のカリスマと言われる人気恋愛小説家・伊崎龍之介には、プライベートに別の顔があった・・・それは大切なひとり娘への突き抜けた愛情。世の中には自由な恋愛を説きながら、自分の娘の恋愛は絶対反対!主人公・伊崎龍之介が抱える大いなる矛盾が、とんでもない事件を引き起こす!　舘ひろし、南沢奈央、平山あや、石黒英雄、池田努/ 野際陽子(特別出演)/佐藤二朗、林丹丹、八嶋智人、余貴美子、鹿賀丈史　ほか　永田優子　池添博、本橋圭太、梶山貴弘　ほか　浜崎あゆみ『Sunrise～LOVE　is　ALL～』(avex trax)チーフプロデューサー:桑田潔(テレビ朝日)  プロデューサー:中込卓也(テレビ朝日)  　　　　　　　　大川武宏(テレビ朝日)  　　　　　　　　平部隆明(ホリプロ)  　　　　　　　　梶野祐司(ホリプロ)　テレビ朝日  　ホリプロ☆番組HP  　http://www.tv-asahi.co.jp/dandy/  ☆携帯サイト  　メニュー&gt;テレビ&gt;テレビ朝日&gt;ダンディ・ダディ?</t>
  </si>
  <si>
    <t xml:space="preserve">恋愛のカリスマと言われる人気恋愛小説家・伊崎龍之介には、プライベートに別の顔があった・・・それは大切なひとり娘への突き抜けた愛情。世の中には自由な恋愛を説きながら、自分の娘の恋愛は絶対反対!主人公・伊崎龍之介が抱える大いなる矛盾が、とんでもない事件を引き起こす!　</t>
  </si>
  <si>
    <t>番組名ダンディ・ダディ?～恋愛小説家・伊崎龍之介～　#02</t>
  </si>
  <si>
    <t>恋愛のカリスマと言われる人気恋愛小説家・伊崎龍之介には、プライベートに別の顔があった・・・それは大切なひとり娘への突き抜けた愛情。世の中には自由な恋愛を説きながら、自分の娘の恋愛は絶対反対!　舘ひろし、南沢奈央、平山あや、石黒英雄、池田努/ 野際陽子(特別出演)/佐藤二朗、林丹丹、八嶋智人、余貴美子、鹿賀丈史　ほか　永田優子　池添博、本橋圭太、梶山貴弘　ほか　浜崎あゆみ『Sunrise～LOVE　is　ALL～』(avex trax)チーフプロデューサー:桑田潔(テレビ朝日)  プロデューサー:中込卓也(テレビ朝日)  　　　　　　　　大川武宏(テレビ朝日)  　　　　　　　　平部隆明(ホリプロ)  　　　　　　　　梶野祐司(ホリプロ)　テレビ朝日  　ホリプロ☆番組HP  　http://www.tv-asahi.co.jp/dandy/  ☆携帯サイト  　メニュー&gt;テレビ&gt;テレビ朝日&gt;ダンディ・ダディ?</t>
  </si>
  <si>
    <t xml:space="preserve">恋愛のカリスマと言われる人気恋愛小説家・伊崎龍之介には、プライベートに別の顔があった・・・それは大切なひとり娘への突き抜けた愛情。世の中には自由な恋愛を説きながら、自分の娘の恋愛は絶対反対!　</t>
  </si>
  <si>
    <t>番組名ダンディ・ダディ?～恋愛小説家・伊崎龍之介～　#03</t>
  </si>
  <si>
    <t>娘への心配のあまり、暴走が止まらない伊崎龍之介(舘ひろし)。娘のあかり(南沢奈央)が恋人・悠樹(石黒英雄)と演劇祭で演じる「ロミオとジュリエット」のラブシーンに嫉妬し、自ら脚本を執筆し直すことを申し出る。結果、あかりのクラスメイトを巻き込んで大波乱が!　舘ひろし、南沢奈央、平山あや、石黒英雄、池田努/ 野際陽子(特別出演)/佐藤二朗、林丹丹、八嶋智人、余貴美子、鹿賀丈史　ほか　永田優子　池添博、本橋圭太、梶山貴弘　ほか　浜崎あゆみ『Sunrise～LOVE　is　ALL～』(avex trax)チーフプロデューサー:桑田潔(テレビ朝日)  プロデューサー:中込卓也(テレビ朝日)  　　　　　　　　大川武宏(テレビ朝日)  　　　　　　　　平部隆明(ホリプロ)  　　　　　　　　梶野祐司(ホリプロ)　テレビ朝日  　ホリプロ☆番組HP  　http://www.tv-asahi.co.jp/dandy/  ☆携帯サイト  　メニュー&gt;テレビ&gt;テレビ朝日&gt;ダンディ・ダディ?</t>
  </si>
  <si>
    <t xml:space="preserve">娘への心配のあまり、暴走が止まらない伊崎龍之介(舘ひろし)。娘のあかり(南沢奈央)が恋人・悠樹(石黒英雄)と演劇祭で演じる「ロミオとジュリエット」のラブシーンに嫉妬し、自ら脚本を執筆し直すことを申し出る。結果、あかりのクラスメイトを巻き込んで大波乱が!　</t>
  </si>
  <si>
    <t>番組名ダンディ・ダディ?～恋愛小説家・伊崎龍之介～　#04</t>
  </si>
  <si>
    <t>番組名ダンディ・ダディ?～恋愛小説家・伊崎龍之介～　#05</t>
  </si>
  <si>
    <t>何よりも大切な一人娘・あかり(南沢奈央)が悠樹(石黒英雄)にフラれてしまったことで、龍之介(舘ひろし)にまた新たな心配事ができた。なぜか、あかりが妙に食欲旺盛で明るいのだ。あかりは「立ち直った」と言い張るが・・・　舘ひろし、南沢奈央、平山あや、石黒英雄、池田努/ 野際陽子(特別出演)/佐藤二朗、林丹丹、八嶋智人、余貴美子、鹿賀丈史　ほか　永田優子　本橋圭太　浜崎あゆみ『Sunrise～LOVE　is　ALL～』(avex trax)チーフプロデューサー:桑田潔(テレビ朝日)  プロデューサー:中込卓也(テレビ朝日)  　　　　　　　　大川武宏(テレビ朝日)  　　　　　　　　平部隆明(ホリプロ)  　　　　　　　　梶野祐司(ホリプロ)　テレビ朝日  　ホリプロ☆番組HP  　http://www.tv-asahi.co.jp/dandy/  ☆携帯サイト  　メニュー&gt;テレビ&gt;テレビ朝日&gt;ダンディ・ダディ?</t>
  </si>
  <si>
    <t xml:space="preserve">何よりも大切な一人娘・あかり(南沢奈央)が悠樹(石黒英雄)にフラれてしまったことで、龍之介(舘ひろし)にまた新たな心配事ができた。なぜか、あかりが妙に食欲旺盛で明るいのだ。あかりは「立ち直った」と言い張るが・・・　</t>
  </si>
  <si>
    <t>番組名ダンディ・ダディ?～恋愛小説家・伊崎龍之介～　#06</t>
  </si>
  <si>
    <t>龍之介(舘ひろし)の協力のおかげで、再び付き合うことになったあかり(南沢奈央)と悠樹(石黒英雄)。ところが、2人にはまだ問題が残っていた。悠樹の父・佐々木泰三(鹿賀丈史)は龍之介と犬猿の仲にある文芸評論家。龍之介はいまだにそのことを知らないのだ。　舘ひろし、南沢奈央、平山あや、石黒英雄、池田努/ 野際陽子(特別出演)/佐藤二朗、林丹丹、八嶋智人、余貴美子、鹿賀丈史　ほか　永田優子　池添博、本橋圭太、梶山貴弘　ほか　浜崎あゆみ『Sunrise～LOVE　is　ALL～』(avex trax)チーフプロデューサー:桑田潔(テレビ朝日)  プロデューサー:中込卓也(テレビ朝日)  　　　　　　　　大川武宏(テレビ朝日)  　　　　　　　　平部隆明(ホリプロ)  　　　　　　　　梶野祐司(ホリプロ)　テレビ朝日  　ホリプロ☆番組HP  　http://www.tv-asahi.co.jp/dandy/  ☆携帯サイト  　メニュー&gt;テレビ&gt;テレビ朝日&gt;ダンディ・ダディ?</t>
  </si>
  <si>
    <t xml:space="preserve">龍之介(舘ひろし)の協力のおかげで、再び付き合うことになったあかり(南沢奈央)と悠樹(石黒英雄)。ところが、2人にはまだ問題が残っていた。悠樹の父・佐々木泰三(鹿賀丈史)は龍之介と犬猿の仲にある文芸評論家。龍之介はいまだにそのことを知らないのだ。　</t>
  </si>
  <si>
    <t>番組名ダンディ・ダディ?～恋愛小説家・伊崎龍之介～　#07</t>
  </si>
  <si>
    <t>龍之介(舘ひろし)が新進女流作家と恋愛について対談することになった。ところが、目の前に現れた対談相手・藤崎かれん(笛木優子)を見た龍之介はビックリ!亡き妻・みのり(笛木・二役)に瓜二つだったのだ。しかも、かれんは、龍之介に共同で恋愛小説を書くことを提案。　舘ひろし、南沢奈央、平山あや、石黒英雄、池田努/ 野際陽子(特別出演)/佐藤二朗、林丹丹、八嶋智人、余貴美子、鹿賀丈史　ほか　永田優子　池添博、本橋圭太、梶山貴弘　ほか　浜崎あゆみ『Sunrise～LOVE　is　ALL～』(avex trax)チーフプロデューサー:桑田潔(テレビ朝日)  プロデューサー:中込卓也(テレビ朝日)  　　　　　　　　大川武宏(テレビ朝日)  　　　　　　　　平部隆明(ホリプロ)  　　　　　　　　梶野祐司(ホリプロ)　テレビ朝日  　ホリプロ☆番組HP  　http://www.tv-asahi.co.jp/dandy/  ☆携帯サイト  　メニュー&gt;テレビ&gt;テレビ朝日&gt;ダンディ・ダディ?</t>
  </si>
  <si>
    <t xml:space="preserve">龍之介(舘ひろし)が新進女流作家と恋愛について対談することになった。ところが、目の前に現れた対談相手・藤崎かれん(笛木優子)を見た龍之介はビックリ!亡き妻・みのり(笛木・二役)に瓜二つだったのだ。しかも、かれんは、龍之介に共同で恋愛小説を書くことを提案。　</t>
  </si>
  <si>
    <t>番組名ダンディ・ダディ?～恋愛小説家・伊崎龍之介～　#08</t>
  </si>
  <si>
    <t>健康状態に一抹の不安を抱いた龍之介(舘ひろし)は、人間ドックに入ることに。その病院で、龍之介の担当編集者・後藤美羽(平山あや)と内野(布施博)の複雑な関係を知る。自らの余命がわずかだと知った龍之介があかりのために、美羽のためにとった行動とは?　舘ひろし、南沢奈央、平山あや、石黒英雄、池田努/ 野際陽子(特別出演)/佐藤二朗、林丹丹、八嶋智人、余貴美子、鹿賀丈史　ほか　永田優子　池添博、本橋圭太、梶山貴弘　ほか　浜崎あゆみ『Sunrise～LOVE　is　ALL～』(avex trax)チーフプロデューサー:桑田潔(テレビ朝日)  プロデューサー:中込卓也(テレビ朝日)  　　　　　　　　大川武宏(テレビ朝日)  　　　　　　　　平部隆明(ホリプロ)  　　　　　　　　梶野祐司(ホリプロ)　テレビ朝日  　ホリプロ☆番組HP  　http://www.tv-asahi.co.jp/dandy/  ☆携帯サイト  　メニュー&gt;テレビ&gt;テレビ朝日&gt;ダンディ・ダディ?</t>
  </si>
  <si>
    <t xml:space="preserve">健康状態に一抹の不安を抱いた龍之介(舘ひろし)は、人間ドックに入ることに。その病院で、龍之介の担当編集者・後藤美羽(平山あや)と内野(布施博)の複雑な関係を知る。自らの余命がわずかだと知った龍之介があかりのために、美羽のためにとった行動とは?　</t>
  </si>
  <si>
    <t>0907_EX_金21</t>
  </si>
  <si>
    <t>コールセンターの恋人</t>
  </si>
  <si>
    <t>番組名コールセンターの恋人　#01</t>
  </si>
  <si>
    <t>中堅商社でテレビ通販の企画開発をしている都会派サラリーマン・都倉渉(小泉孝太郎)。彼はひょんなことから片田舎のコールセンターに異動となる。不満を募らせる都倉だったが、さらに重大事件に巻き込まれる!　小泉孝太郎、ミムラ、松重豊、安田顕、中島ひろ子/滝沢沙織、中林大樹、石井康太、山崎野々華、樋場早紀/えれな、はねゆり、真下玲奈、福井仁美、愛未/柴俊夫、若林豪、名取裕子/黒柳徹子、小倉久寛　山口雅俊(株式会社ヒント)　中園ミホ　片山修(テレビ朝日)　仲西匡　Sonar Pocket『アリガトウ』(UNIVERSAL SIGMA)☆番組HP  　http://callcenter.asahi.co.jp/  ☆携帯サイト  　メニュー&gt;テレビ&gt;ABC朝日放送&gt;コールセンターの恋人</t>
  </si>
  <si>
    <t xml:space="preserve">中堅商社でテレビ通販の企画開発をしている都会派サラリーマン・都倉渉(小泉孝太郎)。彼はひょんなことから片田舎のコールセンターに異動となる。不満を募らせる都倉だったが、さらに重大事件に巻き込まれる!　</t>
  </si>
  <si>
    <t>番組名コールセンターの恋人　#02</t>
  </si>
  <si>
    <t>南極アイス(名取裕子)の手腕で爆発的に売れる「わけありタラコ」。在庫が品薄になり、本社がとった行動に、疑問を感じた都倉渉(小泉孝太郎)は単身北海道へと飛ぶが…!　小泉孝太郎、ミムラ、松重豊、安田顕、中島ひろ子、滝沢沙織、中林大樹、石井康太、山崎野々華、樋場早紀、えれな、はねゆり、真下玲奈、福井仁美、愛未、柴俊夫、若林豪、名取裕子　ほか　山口雅俊(株式会社ヒント)　中園ミホ　片山修(テレビ朝日)　仲西匡　Sonar Pocket『アリガトウ』(UNIVERSAL SIGMA)☆番組HP  　http://callcenter.asahi.co.jp/  ☆携帯サイト  　メニュー&gt;テレビ&gt;ABC朝日放送&gt;コールセンターの恋人</t>
  </si>
  <si>
    <t xml:space="preserve">南極アイス(名取裕子)の手腕で爆発的に売れる「わけありタラコ」。在庫が品薄になり、本社がとった行動に、疑問を感じた都倉渉(小泉孝太郎)は単身北海道へと飛ぶが…!　</t>
  </si>
  <si>
    <t>番組名コールセンターの恋人　#03</t>
  </si>
  <si>
    <t>そんな時、村松妙子(倍賞美津子)という挙動不振な女性から苦情が入る。妙子にはある危機が迫っていた…。　小泉孝太郎、ミムラ、松重豊、安田顕、中島ひろ子  　滝沢沙織、中林大樹、石井康太、山崎野々華、樋場早紀  　えれな、はねゆり、真下玲奈、福井仁美、愛未  　柴俊夫、若林豪、名取裕子  　倍賞美津子　ほか　山口雅俊(株式会社ヒント)　大口幸子　田村直己(テレビ朝日)　仲西匡　Sonar Pocket『アリガトウ』(UNIVERSAL SIGMA)☆番組HP  　http://callcenter.asahi.co.jp/  ☆携帯サイト  　メニュー&gt;テレビ&gt;ABC朝日放送&gt;コールセンターの恋人</t>
  </si>
  <si>
    <t xml:space="preserve">そんな時、村松妙子(倍賞美津子)という挙動不振な女性から苦情が入る。妙子にはある危機が迫っていた…。　</t>
  </si>
  <si>
    <t>番組名コールセンターの恋人　#04</t>
  </si>
  <si>
    <t>おびえる都倉(小泉孝太郎)を尻目に、アイスは心霊写真が撮れるという噂を逆手に取ったプロモーションを発案し、売り上げをぐんぐん伸ばす。ほどなく、心霊写真のカラクリは明らかになるのだが、響子(ミムラ)はなぜか客に本当のことを告げず、再び都倉と衝突する!　小泉孝太郎、ミムラ、松重豊、安田顕、中島ひろ子  　滝沢沙織、中林大樹、石井康太、山崎野々華、樋場早紀  　えれな、はねゆり、真下玲奈、福井仁美、愛未  　柴俊夫、若林豪、名取裕子　ほか　山口雅俊(株式会社ヒント)　中園ミホ　田村直己(テレビ朝日)　仲西匡　Sonar Pocket『アリガトウ』(UNIVERSAL SIGMA)☆番組HP  　http://callcenter.asahi.co.jp/  ☆携帯サイト  　メニュー&gt;テレビ&gt;ABC朝日放送&gt;コールセンターの恋人</t>
  </si>
  <si>
    <t xml:space="preserve">おびえる都倉(小泉孝太郎)を尻目に、アイスは心霊写真が撮れるという噂を逆手に取ったプロモーションを発案し、売り上げをぐんぐん伸ばす。ほどなく、心霊写真のカラクリは明らかになるのだが、響子(ミムラ)はなぜか客に本当のことを告げず、再び都倉と衝突する!　</t>
  </si>
  <si>
    <t>番組名コールセンターの恋人　#05</t>
  </si>
  <si>
    <t>意に沿わずお客様相談窓口に異動させられた都会派サラリーマン・都倉渉(小泉孝太郎)が、個性豊かな相談窓口の面々とともに、様々な客とのふれあいの中で成長していく物語。　小泉孝太郎、ミムラ、松重豊、安田顕、中島ひろ子、滝沢沙織、中林大樹、石井康太、山崎野々華、樋場早紀、えれな、はねゆり、真下玲奈、福井仁美、愛未、柴俊夫、若林豪、名取裕子　ほか　山口雅俊(株式会社ヒント)　中園ミホ　片山修(テレビ朝日)　仲西匡　Sonar Pocket『アリガトウ』(UNIVERSAL SIGMA)☆番組HP  　http://callcenter.asahi.co.jp/  ☆携帯サイト  　メニュー&gt;テレビ&gt;ABC朝日放送&gt;コールセンターの恋人</t>
  </si>
  <si>
    <t xml:space="preserve">意に沿わずお客様相談窓口に異動させられた都会派サラリーマン・都倉渉(小泉孝太郎)が、個性豊かな相談窓口の面々とともに、様々な客とのふれあいの中で成長していく物語。　</t>
  </si>
  <si>
    <t>番組名コールセンターの恋人　#6</t>
  </si>
  <si>
    <t>今日の商品は都倉(小泉孝太郎)が本社時代に企画したダイエットDVD。南極アイス(名取裕子)はインストラクターのハンスをデンマークから呼び寄せ、生レッスンを開始する。そんな矢先不思議な苦情が届く…。　小泉孝太郎、ミムラ、松重豊、安田顕、中島ひろ子  　滝沢沙織、中林大樹、石井康太、山崎野々華、樋場早紀  　柴俊夫、若林豪、名取裕子  　近藤芳正、ギャル曽根、ニコラス・ペタス　山口雅俊(株式会社ヒント)　大口幸子(株式会社ヒント)　木村政和(テレビ朝日)　仲西匡　Sonar Pocket『アリガトウ』(UNIVERSAL SIGMA)☆番組HP  　http://callcenter.asahi.co.jp/  ☆携帯サイト  　メニュー&gt;テレビ&gt;ABC朝日放送&gt;コールセンターの恋人</t>
  </si>
  <si>
    <t xml:space="preserve">今日の商品は都倉(小泉孝太郎)が本社時代に企画したダイエットDVD。南極アイス(名取裕子)はインストラクターのハンスをデンマークから呼び寄せ、生レッスンを開始する。そんな矢先不思議な苦情が届く…。　</t>
  </si>
  <si>
    <t>番組名コールセンターの恋人　#07</t>
  </si>
  <si>
    <t>高性能ビデオカメラ『思いで残しま専科』の不調が原因で花形商事は“思い出代”という弁償金を支払うことに。都倉(小泉孝太郎)や響子(ミムラ)らは何とか“思い出代”を払わずにすむように悪戦苦闘するが…。　小泉孝太郎、ミムラ、松重豊、安田顕、中島ひろ子  　滝沢沙織、中林大樹、石井康太、山崎野々華、樋場早紀  　えれな、はねゆり、真下玲奈、福井仁美、愛未  　柴俊夫、若林豪、名取裕子  　保阪尚希、井上和香、川崎麻世　山口雅俊(株式会社ヒント)　福間正浩　田村直己(テレビ朝日)　仲西匡　Sonar Pocket『アリガトウ』(UNIVERSAL SIGMA)☆番組HP  　http://callcenter.asahi.co.jp/  ☆携帯サイト  　メニュー&gt;テレビ&gt;ABC朝日放送&gt;コールセンターの恋人</t>
  </si>
  <si>
    <t xml:space="preserve">高性能ビデオカメラ『思いで残しま専科』の不調が原因で花形商事は“思い出代”という弁償金を支払うことに。都倉(小泉孝太郎)や響子(ミムラ)らは何とか“思い出代”を払わずにすむように悪戦苦闘するが…。　</t>
  </si>
  <si>
    <t>番組名コールセンターの恋人　#08</t>
  </si>
  <si>
    <t>テレビ通販のお客様相談窓口を舞台ににしたお仕事コメディ!  連続ドラマ初主演の小泉孝太郎&amp;人気脚本家・中園ミホのオリジナル脚本で描く話題作!　小泉孝太郎、ミムラ、松重豊、安田顕、中島ひろ子  　滝沢沙織、中林大樹、石井康太、山崎野々華、樋場早紀  　えれな、はねゆり、真下玲奈、福井仁美、愛未  　柴俊夫、若林豪、名取裕子  　金田明夫  　ほか　山口雅俊(株式会社ヒント)　中園ミホ　田村直己(テレビ朝日)　仲西匡　Sonar Pocket『アリガトウ』(UNIVERSAL SIGMA)☆番組HP  　http://callcenter.asahi.co.jp/  ☆携帯サイト  　メニュー&gt;テレビ&gt;ABC朝日放送&gt;コールセンターの恋人</t>
  </si>
  <si>
    <t xml:space="preserve">テレビ通販のお客様相談窓口を舞台ににしたお仕事コメディ!  連続ドラマ初主演の小泉孝太郎&amp;人気脚本家・中園ミホのオリジナル脚本で描く話題作!　</t>
  </si>
  <si>
    <t>番組名コールセンターの恋人　#09</t>
  </si>
  <si>
    <t>通販で売られた缶詰に髪の毛が入っていたと暴力団風の男たちが乗り込んでくる。あまりの迫力に酒巻(松重豊)はお金を渡してしまう。図に乗った男たちは都倉(小泉孝太郎)を監禁。一方、響子(ミムラ)の過去がついに明らかになる…。　小泉孝太郎、ミムラ、松重豊、安田顕、中島ひろ子、山崎野々華、柴俊夫、若林豪、名取裕子、伊吹吾郎　ほか　山口雅俊(株式会社ヒント)　中園ミホ、福間正浩　片山修(テレビ朝日)　仲西匡　Sonar Pocket『アリガトウ』(UNIVERSAL SIGMA)☆番組HP  　http://callcenter.asahi.co.jp/  ☆携帯サイト  　メニュー&gt;テレビ&gt;ABC朝日放送&gt;コールセンターの恋人</t>
  </si>
  <si>
    <t xml:space="preserve">通販で売られた缶詰に髪の毛が入っていたと暴力団風の男たちが乗り込んでくる。あまりの迫力に酒巻(松重豊)はお金を渡してしまう。図に乗った男たちは都倉(小泉孝太郎)を監禁。一方、響子(ミムラ)の過去がついに明らかになる…。　</t>
  </si>
  <si>
    <t>番組名コールセンターの恋人　最終回</t>
  </si>
  <si>
    <t>失踪した響子(ミムラ)の行方は依然わからない。都倉(小泉孝太郎)は響子の気持ちに少しでも近づくためある行動を起こす。そんな時、超常連クレーマー大平(みのもんた)から怒りの電話が・・・!　小泉孝太郎、ミムラ、松重豊、安田顕、中島ひろ子、滝沢沙織、中林大樹、石井康太、山崎野々華、樋場早紀/大和田獏、梨本謙次郎、磯野貴理/みのもんた、黒柳徹子/柴俊夫、若林豪、名取裕子　ほか　山口雅俊(株式会社ヒント)　中園ミホ　片山修(テレビ朝日)　仲西匡　Sonar Pocket『アリガトウ』(UNIVERSAL SIGMA)☆番組HP  　http://callcenter.asahi.co.jp/  ☆携帯サイト  　メニュー&gt;テレビ&gt;ABC朝日放送&gt;コールセンターの恋人</t>
  </si>
  <si>
    <t xml:space="preserve">失踪した響子(ミムラ)の行方は依然わからない。都倉(小泉孝太郎)は響子の気持ちに少しでも近づくためある行動を起こす。そんな時、超常連クレーマー大平(みのもんた)から怒りの電話が・・・!　</t>
  </si>
  <si>
    <t>0907_EX_金23</t>
  </si>
  <si>
    <t>メイド刑事</t>
  </si>
  <si>
    <t>番組名メイド刑事　#02</t>
  </si>
  <si>
    <t>普段は可愛いメイドさん。しかし、ひとたび指令が下されると、警察が踏み込めない屋敷に潜入し悪を斬る『メイド刑事(デカ)』に…!京都を舞台に、迫力満点のアクションと、謎が謎を呼ぶミステリーが融合したドラマです!キメ台詞は…「悪の汚れ、お掃除させていただきます!」　福田沙紀、原田龍二、的場浩司、大島蓉子、品川徹、中山恵、かでなれおん　ほか  【ゲスト】  　杉浦太陽、波岡一喜、相本久美子、仲村瑠璃亜　ほか　早見裕司『メイド刑事』(ソフトバンククリエイティブ株式会社　GA文庫刊)　真部千晶　藤岡浩二郎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　テレビ朝日  　東映パソコン・携帯で「メイド刑事」をもう一度見よう!!  ☆番組HP  　http://www.tv-asahi.co.jp/meido/  ☆携帯サイト  　メニュー&gt;テレビ&gt;テレビ朝日&gt;メイド刑事</t>
  </si>
  <si>
    <t>番組名メイド刑事　#03</t>
  </si>
  <si>
    <t>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　ほか  【ゲスト】  　中山忍、神保悟志、小野寺丈、団時朗　ほか　早見裕司『メイド刑事』(ソフトバンククリエイティブ株式会社　GA文庫刊)　波多野都　山下智彦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　テレビ朝日  　東映パソコン・携帯で『メイド刑事』をもう一度見よう!!  ☆番組HP  　http://www.tv-asahi.co.jp/meido/  ☆携帯サイト  　メニュー&gt;テレビ&gt;テレビ朝日&gt;メイド刑事</t>
  </si>
  <si>
    <t>番組名メイド刑事　#04</t>
  </si>
  <si>
    <t>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　ほか  【ゲスト】  　相田翔子、棚橋幸代、石橋菜津美、菅野莉央、本宮泰風、中原丈雄　ほか　早見裕司『メイド刑事』(ソフトバンククリエイティブ株式会社　GA文庫刊)　末安正子山下智彦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　テレビ朝日  　東映パソコン・携帯で『メイド刑事』をもう一度見よう!!  ☆番組HP  　http://www.tv-asahi.co.jp/meido/  ☆携帯サイト  　メニュー&gt;テレビ&gt;テレビ朝日&gt;メイド刑事</t>
  </si>
  <si>
    <t>番組名メイド刑事　#05</t>
  </si>
  <si>
    <t>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　ほか  【ゲスト】  　岩佐真悠子、柏原収史、和泉敬子、浅田祐二　ほか　早見裕司『メイド刑事』(ソフトバンククリエイティブ株式会社　GA文庫刊)　ハセベバクシンオー　橋本一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　テレビ朝日  　東映パソコン・携帯で『メイド刑事』をもう一度見よう!!  ☆番組HP  　http://www.tv-asahi.co.jp/meido/  ☆携帯サイト  　メニュー&gt;テレビ&gt;テレビ朝日&gt;メイド刑事</t>
  </si>
  <si>
    <t>番組名メイド刑事　#06</t>
  </si>
  <si>
    <t>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福田沙紀、原田龍二、的場浩司、大島蓉子、品川徹、中山恵、かでなれおん&lt;ゲスト&gt;  　南野陽子、榊英雄、遠山俊也、長江英和、後藤聡、芝本正　ほか　早見裕司『メイド刑事』(ソフトバンククリエイティブ株式会社　GA文庫刊)　真部千晶　橋本一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　テレビ朝日  　東映パソコン・携帯で『メイド刑事』をもう一度見よう!!  ☆番組HP  　http://www.tv-asahi.co.jp/meido/  ☆携帯サイト  　メニュー&gt;テレビ&gt;テレビ朝日&gt;メイド刑事</t>
  </si>
  <si>
    <t>番組名メイド刑事　#07</t>
  </si>
  <si>
    <t>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　ほか  【ゲスト】  　山崎真実、相島一之、宮地真緒、山内明日　ほか　早見裕司『メイド刑事』(ソフトバンククリエイティブ株式会社　GA文庫刊)　岩下悠子　藤岡浩二郎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小柳憲子(東映)パソコン・携帯で『メイド刑事』をもう一度見よう!!  ☆番組HP  　http://www.tv-asahi.co.jp/meido/  ☆携帯サイト  　メニュー&gt;テレビ&gt;テレビ朝日&gt;メイド刑事※『熱闘甲子園』が雨天中止のときは、番組を30分繰り上げて放送予定です</t>
  </si>
  <si>
    <t>番組名メイド刑事　#08</t>
  </si>
  <si>
    <t>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　&lt;ゲスト&gt;星野真里、長谷川朝晴、山下容莉枝、榎園実穂、大西亜実、福本　清三ほか　早見裕司『メイド刑事』(ソフトバンククリエイティブ株式会社　GA文庫刊)　波多野都　藤岡浩二郎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小柳憲子(東映)パソコン・携帯で『メイド刑事』をもう一度見よう!!  ☆番組HP  　http://www.tv-asahi.co.jp/meido/  ☆携帯サイト  　メニュー&gt;テレビ&gt;テレビ朝日&gt;メイド刑事※『熱闘甲子園』が雨天中止のときは、番組を30分繰り上げて放送予定です</t>
  </si>
  <si>
    <t>番組名メイド刑事　#09</t>
  </si>
  <si>
    <t>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　【ゲスト】  　小沢真珠、黒田福美、城咲仁、六角慎司　ほか　早見裕司『メイド刑事』(ソフトバンククリエイティブ株式会社　GA文庫刊)　松田知子　山下智彦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　テレビ朝日  　東映パソコン・携帯で『メイド刑事』をもう一度見よう!!  ☆番組HP  　http://www.tv-asahi.co.jp/meido/  ☆携帯サイト  　メニュー&gt;テレビ&gt;テレビ朝日&gt;メイド刑事</t>
  </si>
  <si>
    <t>番組名メイド刑事　#10</t>
  </si>
  <si>
    <t>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　ほか  　【ゲスト】  　横山めぐみ、宮地雅子、柳沢なな、ふせえり、サミ・ポップ　ほか　早見裕司『メイド刑事』(ソフトバンククリエイティブ株式会社　GA文庫刊)　波多野都　山下智彦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　テレビ朝日  　東映パソコン・携帯で『メイド刑事』をもう一度見よう!!  ☆番組HP  　http://www.tv-asahi.co.jp/meido/  ☆携帯サイト  　メニュー&gt;テレビ&gt;テレビ朝日&gt;メイド刑事</t>
  </si>
  <si>
    <t>番組名メイド刑事　最終回</t>
  </si>
  <si>
    <t>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  　【ゲスト】  　国生さゆり、本田博太郎、須藤元気　ほか　早見裕司『メイド刑事』(ソフトバンククリエイティブ株式会社　GA文庫刊)　真部千晶　藤岡浩二郎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　テレビ朝日  　東映パソコン・携帯で『メイド刑事』をもう一度見よう!!  ☆番組HP  　http://www.tv-asahi.co.jp/meido/  ☆携帯サイト  　メニュー&gt;テレビ&gt;テレビ朝日&gt;メイド刑事</t>
  </si>
  <si>
    <t>0904_EX_水21</t>
  </si>
  <si>
    <t>番組名臨場</t>
  </si>
  <si>
    <t>臨場とは、事件現場に臨み、初動捜査に当たること。遺体や現場に残された物証から、事件の筋立てを読む検視官・倉石義男は、優秀だが死者の声をすべて拾えれば周囲との軋轢など気にしない組織の厄介者。「拾えるものは、根こそぎ拾ってやれ」彼の死者に対する悼み方、優しさが死因を追究し事件解決へ導く。　内野聖陽　松下由樹　渡辺大　伊藤裕子　京野ことみ　金子さやか　橋爪淳　伊武雅刀　高嶋政伸　ほか　横山秀夫「臨場」(光文社文庫)　坂田義和　橋本一　吉川清之プロデューサー:佐藤凉一(テレビ朝日)  　　　　　　　　目黒正之(東映)  　　　　　　　　横塚孝弘(東映)　テレビ朝日  　東映☆番組HP  　http://www.tv-asahi.co.jp/rinjo/</t>
  </si>
  <si>
    <t>臨場とは、事件現場に臨み、初動捜査に当たること。遺体や現場に残された物証から、事件の筋立てを読む検視官・倉石義男は、優秀だが死者の声をすべて拾えれば周囲との軋轢など気にしない組織の厄介者。「拾えるものは、根こそぎ拾ってやれ」彼の死者に対する悼み方、優しさが死因を追究し事件解決へ導く。　内野聖陽　松下由樹　渡辺大　伊藤裕子　京野ことみ　金子さやか　橋爪淳　伊武雅刀　高嶋政伸　ほか　横山秀夫「臨場」(光文社文庫)　佐伯俊道　橋本一　吉川清之プロデューサー:佐藤凉一(テレビ朝日)  　　　　　　　　目黒正之(東映)  　　　　　　　　横塚孝弘(東映)　テレビ朝日  　東映☆番組HP  　http://www.tv-asahi.co.jp/rinjo/</t>
  </si>
  <si>
    <t>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内野聖陽　松下由樹　渡辺大　伊藤裕子　京野ことみ　金子さやか　橋爪淳　ほか　横山秀夫「臨場」(光文社文庫)　尾西兼一　猪原達三　吉川清之プロデューサー:佐藤凉一(テレビ朝日)  　　　　　　　　目黒正之(東映)  　　　　　　　　横塚孝弘(東映)　テレビ朝日  　東映☆番組HP  　http://www.tv-asahi.co.jp/rinjo/</t>
  </si>
  <si>
    <t>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内野聖陽　松下由樹　渡辺大　伊藤裕子　京野ことみ　金子さやか　橋爪淳　伊武雅刀　高嶋政伸　ほか　横山秀夫「臨場」(光文社文庫)　岩下悠子　猪原達三　吉川清之プロデューサー:佐藤凉一(テレビ朝日)  　　　　　　　　目黒正之(東映)  　　　　　　　　横塚孝弘(東映)　テレビ朝日  　東映☆番組HP  　http://www.tv-asahi.co.jp/rinjo/</t>
  </si>
  <si>
    <t>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内野聖陽　松下由樹　渡辺大　伊藤裕子　京野ことみ　伊武雅刀　高嶋政伸　ほか　横山秀夫「臨場」(光文社文庫)　坂田義和　伊藤寿浩　吉川清之プロデューサー:佐藤凉一(テレビ朝日)  　　　　　　　　目黒正之(東映)  　　　　　　　　横塚孝弘(東映)　テレビ朝日  　東映☆番組HP  　http://www.tv-asahi.co.jp/rinjo/</t>
  </si>
  <si>
    <t>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内野聖陽　松下由樹　渡辺大　伊藤裕子　京野ことみ　金子さやか　ほか　横山秀夫「臨場」(光文社文庫)　吉本昌弘　伊藤寿浩　吉川清之プロデューサー:佐藤凉一(テレビ朝日)  　　　　　　　　目黒正之(東映)  　　　　　　　　横塚孝弘(東映)　テレビ朝日  　東映☆番組HP  　http://www.tv-asahi.co.jp/rinjo/</t>
  </si>
  <si>
    <t>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内野聖陽　松下由樹　渡辺大　京野ことみ　高嶋政伸　ほか　横山秀夫「臨場」(光文社文庫)　佐伯俊道　猪原達三　吉川清之プロデューサー:佐藤凉一(テレビ朝日)  　　　　　　　　目黒正之(東映)  　　　　　　　　横塚孝弘(東映)　テレビ朝日  　東映☆番組HP  　http://www.tv-asahi.co.jp/rinjo/</t>
  </si>
  <si>
    <t>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内野聖陽　松下由樹　渡辺大　伊藤裕子　京野ことみ　金子さやか　伊武雅刀　高嶋政伸　ほか　横山秀夫「臨場」(光文社文庫)　尾西兼一　猪原達三　吉川清之プロデューサー:佐藤凉一(テレビ朝日)  　　　　　　　　目黒正之(東映)  　　　　　　　　横塚孝弘(東映)　テレビ朝日  　東映☆番組HP　http://www.tv-asahi.co.jp/rinjo/    ※放送日時のお知らせ  　6月10日(水)休止  　6月17日(水)後9時30分～10時24分(第9話放送)  　6月24日(水)後9時00分～9時54分(第10話放送)</t>
  </si>
  <si>
    <t>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内野聖陽　松下由樹　渡辺大　伊藤裕子　京野ことみ　伊武雅刀　高嶋政伸　ほか　横山秀夫「臨場」(光文社文庫)　坂田義和　橋本一　吉川清之プロデューサー:佐藤凉一(テレビ朝日)  　　　　　　　　目黒正之(東映)  　　　　　　　　横塚孝弘(東映)　テレビ朝日  　東映☆番組HP  　http://www.tv-asahi.co.jp/rinjo/    ☆17日放送は、午後9時30分～</t>
  </si>
  <si>
    <t>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内野聖陽　松下由樹　渡辺大　伊藤裕子　京野ことみ　金子さやか　高嶋政伸　ほか　横山秀夫「臨場」(光文社文庫)　佐伯俊道　橋本一　吉川清之プロデューサー:佐藤凉一(テレビ朝日)  　　　　　　　　目黒正之(東映)  　　　　　　　　横塚孝弘(東映)　テレビ朝日  　東映☆24日は最終回!午後9時～OA(通常放送)    ☆番組HP  　http://www.tv-asahi.co.jp/rinjo/</t>
  </si>
  <si>
    <t>0904_EX_木21</t>
  </si>
  <si>
    <t>夜光の階段</t>
  </si>
  <si>
    <t>番組名夜光の階段</t>
  </si>
  <si>
    <t>一人の才気あふれる美しき青年美容師・佐山(藤木直人)に群がる女性たち。その美容師は女たちの求めに応じていくつもの顔を使い分けながら、美容界の頂点へと…。女が望むのは独占。男を満たすのは富と名声。誰もがその駆け引きに勝ち、階段を昇っていきたいと思ってはいるが…。　藤木直人、木村佳乃、夏川結衣、渡辺いっけい、荻野目慶子、石井正則、三浦理恵子、田丸麻紀、原幹恵、赤座美代子、余貴美子、室井滋、小林稔侍　ほか　松本清張「夜光の階段」(新潮文庫刊)　竹山洋　藤田明二(テレビ朝日)　藤木直人「CRIME　OF　LOVE」(ポニーキャニオン)チーフプロデューサー:五十嵐文郎(テレビ朝日)  プロデューサー:藤本一彦(テレビ朝日)  　　　　　　　　布施等(MMJ)　テレビ朝日  　メディア・ミックス・ジャパン(MMJ)☆番組HP  　http://www.tv-asahi.co.jp/yako/</t>
  </si>
  <si>
    <t xml:space="preserve">一人の才気あふれる美しき青年美容師・佐山(藤木直人)に群がる女性たち。その美容師は女たちの求めに応じていくつもの顔を使い分けながら、美容界の頂点へと…。女が望むのは独占。男を満たすのは富と名声。誰もがその駆け引きに勝ち、階段を昇っていきたいと思ってはいるが…。　</t>
  </si>
  <si>
    <t>大女優のヘアメイクに着任し、念願の店舗も手にする佐山道夫(藤木直人)。  過去を勘ぐる複数の視線をかいくぐりながら、野望の階段を昇りはじめた佐山は、幸子(木村佳乃)との愛を一気に加速させる。  そのとき、思わず佐山の口をついて出てきた言葉とは…!?　藤木直人、木村佳乃、夏川結衣、渡辺いっけい、荻野目慶子、石井正則、三浦理恵子、高知東生、余貴美子、室井滋、小林稔侍　ほか　松本清張「夜光の階段」(新潮文庫刊)　竹山洋　藤田明二(テレビ朝日)　藤木直人「CRIME　OF　LOVE」(ポニーキャニオン)チーフプロデューサー:五十嵐文郎(テレビ朝日)  プロデューサー:藤本一彦(テレビ朝日)  　　　　　　　　布施等(MMJ)　テレビ朝日  　メディア・ミックス・ジャパン(MMJ)☆番組HP  　http://www.tv-asahi.co.jp/yako/  ☆携帯サイト  　メニュー &gt;テレビ &gt;テレビ朝日 &gt;夜光の階段</t>
  </si>
  <si>
    <t xml:space="preserve">大女優のヘアメイクに着任し、念願の店舗も手にする佐山道夫(藤木直人)。  過去を勘ぐる複数の視線をかいくぐりながら、野望の階段を昇りはじめた佐山は、幸子(木村佳乃)との愛を一気に加速させる。  そのとき、思わず佐山の口をついて出てきた言葉とは…!?　</t>
  </si>
  <si>
    <t>自由が丘に店を持つに至り、野望の階段を着実に昇っていく道夫(藤木直人)。しかし、そんな道夫の足を欲深い女たちが引っ張り始める!一度は途切れたかに思えた桑山(小林稔侍)の鋭い視線も、再び道夫を捉え…。華々しさの陰に潜んでいた道夫の悪が、徐々に目を覚ます!　藤木直人、木村佳乃、夏川結衣、渡辺いっけい、荻野目慶子、南野陽子、石井正則、三浦理恵子、高知東生、余貴美子、室井滋、小林稔侍ほか　松本清張「夜光の階段」(新潮文庫刊)　竹山洋　藤田明二(テレビ朝日)、今井和久(MMJ)、高橋伸之(テレビ朝日)　藤木直人「CRIME　OF　LOVE」(ポニーキャニオン)チーフプロデューサー:五十嵐文郎(テレビ朝日)  プロデューサー:藤本一彦(テレビ朝日)  　　　　　　　　布施等(MMJ)　テレビ朝日  　メディア・ミックス・ジャパン(MMJ)☆番組HP  　http://www.tv-asahi.co.jp/yako/  ☆携帯サイト  　メニュー &gt;テレビ &gt;テレビ朝日 &gt;夜光の階段</t>
  </si>
  <si>
    <t xml:space="preserve">自由が丘に店を持つに至り、野望の階段を着実に昇っていく道夫(藤木直人)。しかし、そんな道夫の足を欲深い女たちが引っ張り始める!一度は途切れたかに思えた桑山(小林稔侍)の鋭い視線も、再び道夫を捉え…。華々しさの陰に潜んでいた道夫の悪が、徐々に目を覚ます!　</t>
  </si>
  <si>
    <t>道夫(藤木直人)は大胆にも店の名義を手に入れようと画策する。道夫に溺れる幸子(木村佳乃)は、嫉妬と欲望に苦しみながらも生涯を捧げる覚悟を決める。フジ子(夏川結衣)の冷笑、雅子(室井滋)の逆上、そして過去の忌まわしい記憶が道夫を再び犯罪に走らせる…!?　藤木直人、木村佳乃、夏川結衣、南野陽子、石井正則、三浦理恵子、高知東生、余貴美子、室井滋、小林稔侍ほか　松本清張「夜光の階段」(新潮文庫刊)　竹山洋　藤田明二(テレビ朝日)、今井和久(MMJ)、高橋伸之(テレビ朝日)　藤木直人「CRIME　OF　LOVE」(ポニーキャニオン)チーフプロデューサー:五十嵐文郎(テレビ朝日)  プロデューサー:藤本一彦(テレビ朝日)  　　　　　　　　布施等(MMJ)　テレビ朝日  　メディア・ミックス・ジャパン(MMJ)☆番組HP  　http://www.tv-asahi.co.jp/yako/  ☆携帯サイト  　メニュー &gt;テレビ &gt;テレビ朝日 &gt;夜光の階段</t>
  </si>
  <si>
    <t xml:space="preserve">道夫(藤木直人)は大胆にも店の名義を手に入れようと画策する。道夫に溺れる幸子(木村佳乃)は、嫉妬と欲望に苦しみながらも生涯を捧げる覚悟を決める。フジ子(夏川結衣)の冷笑、雅子(室井滋)の逆上、そして過去の忌まわしい記憶が道夫を再び犯罪に走らせる…!?　</t>
  </si>
  <si>
    <t>雅子(室井滋)の死をもって呪縛から解放された道夫(藤木直人)。  しかし、その道夫を今度は幸子(木村佳乃)が異様な執念で縛りつける!  そしてフジ子(夏川結衣)は、過去をついに告白し…欲望と愛憎の炎は周囲の人間にも飛び火し始める。　藤木直人、木村佳乃、夏川結衣、南野陽子、石井正則、三浦理恵子、高知東生、余貴美子、室井滋、小林稔侍　ほか　松本清張「夜光の階段」(新潮文庫刊)　竹山洋　藤田明二(テレビ朝日)、今井和久(MMJ)、高橋伸之(テレビ朝日)　藤木直人「CRIME　OF　LOVE」(ポニーキャニオン)チーフプロデューサー:五十嵐文郎(テレビ朝日)  プロデューサー:藤本一彦(テレビ朝日)  　　　　　　　　布施等(MMJ)　テレビ朝日  　メディア・ミックス・ジャパン(MMJ)☆番組HP  　http://www.tv-asahi.co.jp/yako/  ☆携帯サイト  　メニュー &gt;テレビ &gt;テレビ朝日 &gt;夜光の階段</t>
  </si>
  <si>
    <t xml:space="preserve">雅子(室井滋)の死をもって呪縛から解放された道夫(藤木直人)。  しかし、その道夫を今度は幸子(木村佳乃)が異様な執念で縛りつける!  そしてフジ子(夏川結衣)は、過去をついに告白し…欲望と愛憎の炎は周囲の人間にも飛び火し始める。　</t>
  </si>
  <si>
    <t>新店舗をオープンさせまた一歩、野望の階段を上る道夫(藤木直人)。しかし、その足下に激しく絡み付いてくる幸子(木村佳乃)の異常性は!?道夫にまたしても恐ろしい企みをもたらす…幸子、弓子(南野陽子)、フジ子(夏川結衣)の対立も顕在化、はたして生き残るのは!?　藤木直人、木村佳乃、夏川結衣、南野陽子、石井正則、三浦理恵子、高知東生、余貴美子、室井滋、小林稔侍ほか　松本清張「夜光の階段」(新潮文庫刊)　竹山洋　藤田明二(テレビ朝日)、今井和久(MMJ)、高橋伸之(テレビ朝日)　藤木直人「CRIME　OF　LOVE」(ポニーキャニオン)チーフプロデューサー:五十嵐文郎(テレビ朝日)  プロデューサー:藤本一彦(テレビ朝日)  　　　　　　　　布施等(MMJ)　テレビ朝日  　メディア・ミックス・ジャパン(MMJ)☆番組HP  　http://www.tv-asahi.co.jp/yako/  ☆携帯サイト  　メニュー &gt;テレビ &gt;テレビ朝日 &gt;夜光の階段</t>
  </si>
  <si>
    <t xml:space="preserve">新店舗をオープンさせまた一歩、野望の階段を上る道夫(藤木直人)。しかし、その足下に激しく絡み付いてくる幸子(木村佳乃)の異常性は!?道夫にまたしても恐ろしい企みをもたらす…幸子、弓子(南野陽子)、フジ子(夏川結衣)の対立も顕在化、はたして生き残るのは!?　</t>
  </si>
  <si>
    <t>巧妙な手口で岡野を殺人犯に仕立て上げる道夫(藤木直人)。  婚約者を殺された悲劇のカリスマとして世間の同情票を獲得!  幸子(木村佳乃)の死は、まるでそれが彼女の望みであったかのように、道夫に一層の輝きを与える…しかし、そんな佐山に桑山(小林稔侍)の追及の手が襲いかかる!!　藤木直人、夏川結衣、石井正則、三浦理恵子、田丸麻紀、原幹恵、余貴美子、小林稔侍　ほか　松本清張「夜光の階段」(新潮文庫刊)　竹山洋　藤田明二(テレビ朝日)、今井和久(MMJ)、高橋伸之(テレビ朝日)　藤木直人「CRIME　OF　LOVE」(ポニーキャニオン)チーフプロデューサー:五十嵐文郎(テレビ朝日)  プロデューサー:藤本一彦(テレビ朝日)  　　　　　　　　布施等(MMJ)　テレビ朝日  　メディア・ミックス・ジャパン(MMJ)☆番組HP  　http://www.tv-asahi.co.jp/yako/  ☆携帯サイト  　メニュー &gt;テレビ &gt;テレビ朝日 &gt;夜光の階段</t>
  </si>
  <si>
    <t xml:space="preserve">巧妙な手口で岡野を殺人犯に仕立て上げる道夫(藤木直人)。  婚約者を殺された悲劇のカリスマとして世間の同情票を獲得!  幸子(木村佳乃)の死は、まるでそれが彼女の望みであったかのように、道夫に一層の輝きを与える…しかし、そんな佐山に桑山(小林稔侍)の追及の手が襲いかかる!!　</t>
  </si>
  <si>
    <t>道夫(藤木直人)を影となり支えるフジ子(夏川結衣)。そんな2人の前に突然、道夫の生き別れた母(柏木由紀子)が現れる!幸子殺害事件の公判もスタートし、丸岡(余貴美子)と桑山(小林稔侍)の激しい対立の中、証言台に立ったフジ子は何を語るのか　藤木直人、夏川結衣、荻野目慶子、石井正則、三浦理恵子、田丸麻紀、高知東生、余貴美子、小林稔侍　ほか　松本清張「夜光の階段」(新潮文庫刊)　竹山洋　藤田明二(テレビ朝日)、今井和久(MMJ)、高橋伸之(テレビ朝日)　藤木直人「CRIME　OF　LOVE」(ポニーキャニオン)チーフプロデューサー:五十嵐文郎(テレビ朝日)  プロデューサー:藤本一彦(テレビ朝日)  　　　　　　　　布施等(MMJ)　テレビ朝日  　メディア・ミックス・ジャパン(MMJ)☆番組HP  　http://www.tv-asahi.co.jp/yako/  ☆携帯サイト  　メニュー &gt;テレビ &gt;テレビ朝日 &gt;夜光の階段</t>
  </si>
  <si>
    <t xml:space="preserve">道夫(藤木直人)を影となり支えるフジ子(夏川結衣)。そんな2人の前に突然、道夫の生き別れた母(柏木由紀子)が現れる!幸子殺害事件の公判もスタートし、丸岡(余貴美子)と桑山(小林稔侍)の激しい対立の中、証言台に立ったフジ子は何を語るのか　</t>
  </si>
  <si>
    <t>《最終話》  　道夫(藤木直人)の野望の炎に吸い寄せられた蝶のような幸子(木村佳乃)、フジ子(夏川結衣)、雅子(室井滋)の女3人の運命と引き換えに美容界のトップへとひたすらのぼり続ける。それを阻止しようと駆けずり回る桑山(小林稔侍)との対決もついに最終決着・・・　藤木直人、夏川結衣、荻野目慶子、石井正則、三浦理恵子、田丸麻紀、高知東生、余貴美子、小林稔侍　ほか　松本清張「夜光の階段」(新潮文庫刊)　竹山洋　藤田明二(テレビ朝日)、今井和久(MMJ)、高橋伸之(テレビ朝日)　藤木直人「CRIME　OF　LOVE」(ポニーキャニオン)チーフプロデューサー:五十嵐文郎(テレビ朝日)  プロデューサー:藤本一彦(テレビ朝日)  　　　　　　　　布施等(MMJ)　テレビ朝日  　メディア・ミックス・ジャパン(MMJ)☆番組HP  　http://www.tv-asahi.co.jp/yako/  ☆携帯サイト  　メニュー &gt;テレビ &gt;テレビ朝日 &gt;夜光の階段</t>
  </si>
  <si>
    <t xml:space="preserve">《最終話》  　道夫(藤木直人)の野望の炎に吸い寄せられた蝶のような幸子(木村佳乃)、フジ子(夏川結衣)、雅子(室井滋)の女3人の運命と引き換えに美容界のトップへとひたすらのぼり続ける。それを阻止しようと駆けずり回る桑山(小林稔侍)との対決もついに最終決着・・・　</t>
  </si>
  <si>
    <t>0904_EX_金21</t>
  </si>
  <si>
    <t>必殺仕事人2009</t>
  </si>
  <si>
    <t>番組名必殺仕事人2009</t>
  </si>
  <si>
    <t>仕事人は世間に存在を知られてはならない不文律がある。仕事を見られたなら、見た方か見られた方が死ななければならない。それを見ていた小五郎(東山紀之)は“源太の優しすぎる心はいずれ他の仕事人の命取りになる…”と覚悟を決めた。数日後、源太の母親だと名乗る女・お富(浅野ゆう子)が現れて…。　東山紀之・松岡昌宏・大倉忠義・谷村美月・福士誠治・宇梶剛士・前田航基/野際陽子・中越典子/浅野ゆう子・岡本光太郎・菅田俊・大富士/和久井映見・藤田まこと　ほか　寺田敏雄　石原興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東山紀之、松岡昌宏、大倉忠義、藤田まことら出演者のインタビュー、撮り下ろし写真が満載。必殺シリーズ初の公式本!朝日新聞出版編1,365円(税込み)全国書店にて絶賛発売中!☆番組ホームページ  　http://hissatsu2009.asahi.co.jp/</t>
  </si>
  <si>
    <t>仕事人は世間に存在を知られてはならない不文律がある。仕事を見られたなら、見た方か見られた方が死ななければならない。それを見ていた小五郎(東山紀之)は“源太の優しすぎる心はいずれ他の仕事人の命取りになる…”と覚悟を決めた。数日後、源太の母親だと名乗る女・お富(浅野ゆう子)が現れて…。</t>
  </si>
  <si>
    <t>その後、主水(藤田まこと)といた小五郎はかんざしを盗んだ優しき浪人・清兵衛(松村雄基)を偶然捕まえる。名奉行・矢部甲斐守(小林稔侍)は、清兵衛の家庭の事情を勘案して彼を放免するのだが…。　東山紀之・松岡昌宏・大倉忠義・福士誠治・宇梶剛士/野際陽子・中越典子/小林稔侍・松村雄基・上杉祥三・本田博太郎・渋谷琴乃/和久井映見・藤田まこと　ほか　瀧本智行　酒井信行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東山紀之、松岡昌宏、大倉忠義、藤田まことら出演者のインタビュー、撮り下ろし写真が満載。必殺シリーズ初の公式本!朝日新聞出版編1,365円(税込み)全国書店にて絶賛発売中!☆番組ホームページ  　http://hissatsu2009.asahi.co.jp/</t>
  </si>
  <si>
    <t>その後、主水(藤田まこと)といた小五郎はかんざしを盗んだ優しき浪人・清兵衛(松村雄基)を偶然捕まえる。名奉行・矢部甲斐守(小林稔侍)は、清兵衛の家庭の事情を勘案して彼を放免するのだが…。</t>
  </si>
  <si>
    <t>小五郎(東山紀之)の的を横取りした男を涼次(松岡昌宏)が追うが見失う。主水(藤田まこと)は手口から同じ仕事人だと断言。男は住居も仕事もない連中を世話する仕立て屋の匳(田中聖)だった。涼次はお上に密告される前に男を消そうとするが、小五郎は…　東山紀之・松岡昌宏・田中聖・福士誠治・宇梶剛士/野際陽子・中越典子/  浅利陽介・森田彩華・石丸謙二郎/和久井映見・藤田まこと　ほか　森下直　石原興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1,365円(税込み)全国書店にて絶賛発売中!!☆DVD発売が決定!  充実の特典映像はもちろん、「必殺」の名場面を振り返るミニブックも封入!  詳しくは番組HPへ。    ☆番組ホームページ  　http://hissatsu2009.asahi.co.jp/</t>
  </si>
  <si>
    <t>小五郎(東山紀之)の的を横取りした男を涼次(松岡昌宏)が追うが見失う。主水(藤田まこと)は手口から同じ仕事人だと断言。男は住居も仕事もない連中を世話する仕立て屋の匳(田中聖)だった。涼次はお上に密告される前に男を消そうとするが、小五郎は…</t>
  </si>
  <si>
    <t>何者かにつけられ恐怖に慄く若いおゆう(井上和香)は、小五郎(東山紀之)の同僚・森岡(山口馬木也)に助けられる。許婚はいるが、母子二人暮らしのおゆうは次第に親切な森岡を頼りに…。自分に惚れていると思い込んだ森岡はおゆうに近づく男を始末しだす。　東山紀之・松岡昌宏・田中聖・谷村美月・福士誠治・宇梶剛士/野際陽子・中越典子/井上和香・山口馬木也・谷口高史・烏丸せつこ/和久井映見・藤田まこと　ほか　岡本さとる　原田徹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</si>
  <si>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何者かにつけられ恐怖に慄く若いおゆう(井上和香)は、小五郎(東山紀之)の同僚・森岡(山口馬木也)に助けられる。許婚はいるが、母子二人暮らしのおゆうは次第に親切な森岡を頼りに…。自分に惚れていると思い込んだ森岡はおゆうに近づく男を始末しだす。</t>
  </si>
  <si>
    <t>涼次(松岡昌宏)は命の恩人のおゆき(伊藤裕子)と十数年ぶりに出会い逢瀬を重ねる。おゆきは評判の料理屋「川兆」の藤一郎(田中実)に見初められ祝言をあげ、店を一生懸命切り盛りする。数日後、藤一郎と母・おしん(絵沢萠子)が不審の死と遂げ、涼次は…　東山紀之・松岡昌宏・田中聖・福士誠治・宇梶剛士/野際陽子・中越典子/  伊藤裕子・絵沢萌子・田中実・宮本真希/和久井映見・藤田まこと　ほか　前川洋一　石原興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</si>
  <si>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涼次(松岡昌宏)は命の恩人のおゆき(伊藤裕子)と十数年ぶりに出会い逢瀬を重ねる。おゆきは評判の料理屋「川兆」の藤一郎(田中実)に見初められ祝言をあげ、店を一生懸命切り盛りする。数日後、藤一郎と母・おしん(絵沢萠子)が不審の死と遂げ、涼次は…</t>
  </si>
  <si>
    <t>お志乃は医師の四郎(崎本大海)と小豆屋の佐吉(尾上寛之 )との間で恋心が揺れ、お菊に相談する。そのころ、小五郎(東山紀之)と伝七(福士誠治)は死亡した八百屋一家の売り物の野菜から台所の生ゴミまで全て持ち込み、一家死亡の原因を突き止めてもらおうとしていたのだ。　東山紀之・松岡昌宏・田中聖・福士誠治・宇梶剛士/野際陽子・中越典子/貫地谷しほり・大杉漣・尾上寛之・崎本大海・雨宮良・佐藤二朗・竹内都子/和久井映見・藤田まこと　ほか　森下直　井上昌典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</si>
  <si>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お志乃は医師の四郎(崎本大海)と小豆屋の佐吉(尾上寛之 )との間で恋心が揺れ、お菊に相談する。そのころ、小五郎(東山紀之)と伝七(福士誠治)は死亡した八百屋一家の売り物の野菜から台所の生ゴミまで全て持ち込み、一家死亡の原因を突き止めてもらおうとしていたのだ。</t>
  </si>
  <si>
    <t>小五郎(東山紀之)が体よく逃げたため、仕方なく主水が屋敷に出かけていくが、そこにはワケありの骸を始末する裏家業の始末人・アヤメ(加賀まりこ)がいた。アヤメは身寄りのない老人を世話し、何と匳までそれを手伝っていたのだった。だが、その費用には巨悪の裏が…　東山紀之・松岡昌宏・田中聖・福士誠治・宇梶剛士/野際陽子・中越典子/加賀まりこ・綿引勝彦/和久井映見・藤田まこと　ほか　森下直　酒井信行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</si>
  <si>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小五郎(東山紀之)が体よく逃げたため、仕方なく主水が屋敷に出かけていくが、そこにはワケありの骸を始末する裏家業の始末人・アヤメ(加賀まりこ)がいた。アヤメは身寄りのない老人を世話し、何と匳までそれを手伝っていたのだった。だが、その費用には巨悪の裏が…</t>
  </si>
  <si>
    <t>主水(藤田まこと)、涼次(松岡昌宏)、匳(田中聖)に緊張が走る。主水は何かの罠の可能性もあると言う。小五郎は自分の身辺に仕事人の影がちらついていることを感じ取っていた。寺島村に何かがあるとわかり、小五郎は七年ぶりに村を訪ねる。そこで、旧知の仲・左兵衛(哀川翔)に出会うが…。　東山紀之・松岡昌宏・田中聖・福士誠治・宇梶剛士/野際陽子・中越典子/哀川翔・宮地真緒・柳生みゆ・北原佐和子/和久井映見・藤田まこと　ほか　岡本さとる　井上昌典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</si>
  <si>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主水(藤田まこと)、涼次(松岡昌宏)、匳(田中聖)に緊張が走る。主水は何かの罠の可能性もあると言う。小五郎は自分の身辺に仕事人の影がちらついていることを感じ取っていた。寺島村に何かがあるとわかり、小五郎は七年ぶりに村を訪ねる。そこで、旧知の仲・左兵衛(哀川翔)に出会うが…。</t>
  </si>
  <si>
    <t>如月は何の気なしに仕事人がいるらしいと涼次に話すが、仕事人稼業に関わってほしくない思いからケンカになってしまう。涼次のもとを飛び出した如月は、夜鷹のおみつと再会する。  　数日後、おみつを見かけた主水(藤田まこと)は、おみつがお鈴の姉だと思い出す。そんな中、宗右衛門が何者かに殺されて…。　東山紀之・松岡昌宏・田中聖・谷村美月・福士誠治・宇梶剛士/野際陽子・中越典子/原田佳奈・小島聖・大和田伸也/和久井映見・藤田まこと　ほか　瀧本智行　山下智彦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</si>
  <si>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如月は何の気なしに仕事人がいるらしいと涼次に話すが、仕事人稼業に関わってほしくない思いからケンカになってしまう。涼次のもとを飛び出した如月は、夜鷹のおみつと再会する。  　数日後、おみつを見かけた主水(藤田まこと)は、おみつがお鈴の姉だと思い出す。そんな中、宗右衛門が何者かに殺されて…。</t>
  </si>
  <si>
    <t>伝七は貴恵に助太刀を買ってでるが、仇の相手・津田兵馬(姜暢雄)と貴恵は特別な関係に…。さらに、仇討ちには巨悪なからくりが…　東山紀之、松岡昌宏、田中聖、福士誠治、宇梶剛士/野際陽子、中越典子/原田夏希、姜暢雄、原田大二郎、芦川よしみ、大河内浩/和久井映見、藤田まこと　ほか　森下直　原田徹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</si>
  <si>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雨宮は仕事人を使い加納を闇に葬ろうとするが、大老の密偵だということが加納一派に発覚し、無理やり切腹させられてしまう。小五郎は雨宮の妻・きよ(若村麻由美)の依頼で仕事を受けるが、そこには…　東山紀之・松岡昌宏・田中聖・谷村美月・福士誠治・宇梶剛士/野際陽子・中越典子/勝野洋・若村麻由美・杉本哲太・神山繁・宮川一朗太/和久井映見・藤田まこと　ほか　寺田敏雄　石原興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</si>
  <si>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雨宮は仕事人を使い加納を闇に葬ろうとするが、大老の密偵だということが加納一派に発覚し、無理やり切腹させられてしまう。小五郎は雨宮の妻・きよ(若村麻由美)の依頼で仕事を受けるが、そこには…</t>
  </si>
  <si>
    <t>涼次が口を割れば追手が襲ってくる。小五郎(東山紀之)たちは行くも地獄、逃げるも地獄の中、追い込まれて行き…　東山紀之・松岡昌宏・田中聖・谷村美月・福士誠治・宇梶剛士/野際陽子・中越典子/若村麻由美・杉本哲太・神山繁・寺田農・火野正平/和久井映見・藤田まこと　ほか　寺田敏雄　石原興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</si>
  <si>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涼次が口を割れば追手が襲ってくる。小五郎(東山紀之)たちは行くも地獄、逃げるも地獄の中、追い込まれて行き…</t>
  </si>
  <si>
    <t>0904_EX_金23</t>
  </si>
  <si>
    <t>名探偵の掟</t>
  </si>
  <si>
    <t>番組名名探偵の掟</t>
  </si>
  <si>
    <t>東野圭吾原作!掟破りのミステリー超大作!?  第1話のテーマは、トリックの王様こと、&lt;密室&gt;  「密室トリックって、実は意味なくね?」  名探偵・天下一大五郎(松田翔太)が、本格推理世界の裏側を赤裸々に暴露しながら、難事件を解決してみます!　松田翔太、香椎由宇、ちすん、入江甚儀、木村祐一　ほか　東野圭吾『名探偵の掟』(講談社文庫)　大石哲也　宮下健作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t>
  </si>
  <si>
    <t xml:space="preserve">東野圭吾原作!掟破りのミステリー超大作!?  第1話のテーマは、トリックの王様こと、&lt;密室&gt;  「密室トリックって、実は意味なくね?」  名探偵・天下一大五郎(松田翔太)が、本格推理世界の裏側を赤裸々に暴露しながら、難事件を解決してみます!　</t>
  </si>
  <si>
    <t>温泉・グルメ・電車が絡んだ時、必ず殺人事件が起こる。  大河原が旅先で遭遇した遺体には、刺された痕が3箇所あった。  天下一は、消えた凶器にこそ事件解明の手がかりがあると推理するが…。  早くもシリーズ終了の危機!?　天下一を襲う史上最大のピンチとは!!　松田翔太、香椎由宇、ちすん、入江甚儀、木村祐一　ほか　東野圭吾『名探偵の掟』(講談社文庫)　大石哲也　宮下健作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t>
  </si>
  <si>
    <t xml:space="preserve">温泉・グルメ・電車が絡んだ時、必ず殺人事件が起こる。  大河原が旅先で遭遇した遺体には、刺された痕が3箇所あった。  天下一は、消えた凶器にこそ事件解明の手がかりがあると推理するが…。  早くもシリーズ終了の危機!?　天下一を襲う史上最大のピンチとは!!　</t>
  </si>
  <si>
    <t>遺体のそばで発見されたアルファベットの『WEX』と思しき謎の文字。  被害者が死ぬ間際に、犯人を微妙に遠まわしに暗示するよう、わざわざ書き遺したダイイングメッセージ…そこに秘められた驚愕の真実とは!?  原作の中でも最高傑作のひとつと呼ばれる珠玉の短編を、思い切ってドラマ化してみます。　松田翔太、香椎由宇、ちすん、入江甚儀、木村祐一　ほか　東野圭吾『名探偵の掟』(講談社文庫)　山岡真介　常廣丈太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  ☆携帯サイト  　メニュー&gt;テレビ&gt;テレビ朝日&gt;名探偵の掟</t>
  </si>
  <si>
    <t xml:space="preserve">遺体のそばで発見されたアルファベットの『WEX』と思しき謎の文字。  被害者が死ぬ間際に、犯人を微妙に遠まわしに暗示するよう、わざわざ書き遺したダイイングメッセージ…そこに秘められた驚愕の真実とは!?  原作の中でも最高傑作のひとつと呼ばれる珠玉の短編を、思い切ってドラマ化してみます。　</t>
  </si>
  <si>
    <t>画家刺殺の容疑者4人はいずれ劣らぬ犯人キャラだが、天下一は斬新なトリックが使われていないことに不安を覚える。今回のテーマはミステリーの基本中の基本(つまり地味)である犯人探し(フーダニット)…やる気を失った天下一の前に可憐な美少女が現れると、事態は急変!　松田翔太、香椎由宇、ちすん、入江甚儀、木村祐一　ほか　東野圭吾『名探偵の掟』(講談社文庫)　大石哲也　常廣丈太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  ☆携帯サイト  　メニュー&gt;テレビ&gt;テレビ朝日&gt;名探偵の掟</t>
  </si>
  <si>
    <t xml:space="preserve">画家刺殺の容疑者4人はいずれ劣らぬ犯人キャラだが、天下一は斬新なトリックが使われていないことに不安を覚える。今回のテーマはミステリーの基本中の基本(つまり地味)である犯人探し(フーダニット)…やる気を失った天下一の前に可憐な美少女が現れると、事態は急変!　</t>
  </si>
  <si>
    <t>鉄道ファンついでにミステリーファン必見!    東京～軽井沢～大阪  　愛と哀しみの時刻表トリック    みたいなの、やってみます!  なぜ人は、わざわざ鉄道に乗って、殺人を犯すのか!?  アリバイのある人物こそが真犯人…鉄壁のアリバイを崩すため、天下一が行き当たりばったりの旅に出る!　松田翔太、香椎由宇、ちすん、入江甚儀、木村祐一　ほか　東野圭吾『名探偵の掟』(講談社文庫)　山岡真介　宮下健作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  ☆携帯サイト  　メニュー&gt;テレビ&gt;テレビ朝日&gt;名探偵の掟</t>
  </si>
  <si>
    <t xml:space="preserve">鉄道ファンついでにミステリーファン必見!    東京～軽井沢～大阪  　愛と哀しみの時刻表トリック    みたいなの、やってみます!  なぜ人は、わざわざ鉄道に乗って、殺人を犯すのか!?  アリバイのある人物こそが真犯人…鉄壁のアリバイを崩すため、天下一が行き当たりばったりの旅に出る!　</t>
  </si>
  <si>
    <t>口に饅頭をくわえた遺体やら。布団に包まった遺体やら。  なぜかテレビ局を舞台に巻き起こる、童唄通りの連続殺人!  しかもその童唄には、よりによって10番まで歌詞があった…。  つまり天下一は、名探偵の掟に従い、あと残り8人が童唄になぞらえて殺されるまで、指をくわえてただ待ち続けるしかないのだーっ!　松田翔太、香椎由宇、ちすん、入江甚儀、木村祐一　ほか　東野圭吾『名探偵の掟』(講談社文庫)　大石哲也　七高剛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  ☆携帯サイト  　メニュー&gt;テレビ&gt;テレビ朝日&gt;名探偵の掟</t>
  </si>
  <si>
    <t xml:space="preserve">口に饅頭をくわえた遺体やら。布団に包まった遺体やら。  なぜかテレビ局を舞台に巻き起こる、童唄通りの連続殺人!  しかもその童唄には、よりによって10番まで歌詞があった…。  つまり天下一は、名探偵の掟に従い、あと残り8人が童唄になぞらえて殺されるまで、指をくわえてただ待ち続けるしかないのだーっ!　</t>
  </si>
  <si>
    <t>また洋館で殺人事件が発生。  また偶然居合わせた天下一は、犯行現場から逃げさる男の姿を目撃した。  事件当時の屋敷には数名の男女がいたが、赤井留美という美貌の女性だけは、大河原たちの前になぜか姿を現そうとしない。  小説内でしか成立しないはずの衝撃トリック、世界初!?の完全映像化　松田翔太、香椎由宇、ちすん、入江甚儀、木村祐一　ほか　東野圭吾『名探偵の掟』(講談社文庫)　山岡真介　常廣丈太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  ☆携帯サイト  　メニュー&gt;テレビ&gt;テレビ朝日&gt;名探偵の掟</t>
  </si>
  <si>
    <t xml:space="preserve">また洋館で殺人事件が発生。  また偶然居合わせた天下一は、犯行現場から逃げさる男の姿を目撃した。  事件当時の屋敷には数名の男女がいたが、赤井留美という美貌の女性だけは、大河原たちの前になぜか姿を現そうとしない。  小説内でしか成立しないはずの衝撃トリック、世界初!?の完全映像化　</t>
  </si>
  <si>
    <t>福島県いわき湯本温泉を旅する茉奈の行く先々で、観光とグルメと温泉の紹介がふんだんに盛り込まれた殺人事件が次々と発生。  今回のテーマは“2時間サスペンス”。  観光案内に徹する天下一と大河原をよそに単独捜査をする茉奈は、果たして露天風呂への入浴を拒否し続けられるのか!?　松田翔太、香椎由宇、ちすん、入江甚儀、木村祐一　ほか　東野圭吾『名探偵の掟』(講談社文庫)　大石哲也　七高剛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  ☆携帯サイト  　メニュー&gt;テレビ&gt;テレビ朝日&gt;名探偵の掟</t>
  </si>
  <si>
    <t xml:space="preserve">福島県いわき湯本温泉を旅する茉奈の行く先々で、観光とグルメと温泉の紹介がふんだんに盛り込まれた殺人事件が次々と発生。  今回のテーマは“2時間サスペンス”。  観光案内に徹する天下一と大河原をよそに単独捜査をする茉奈は、果たして露天風呂への入浴を拒否し続けられるのか!?　</t>
  </si>
  <si>
    <t>《第9話》  さよなら大河原警部…ついに最終章へ突入!  大河原警部が主役のスピンオフが企画されていた!?  天下一は警部とのコンビ解消を宣言!!  主役の座を意識し、男前メイクで張り切りまくる警部!  主役の座と今回のトリックに危機感を募らせる天下一!　松田翔太、香椎由宇、ちすん、入江甚儀、木村祐一　ほか　東野圭吾『名探偵の掟』(講談社文庫)　鎌田智恵　常廣丈太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  ☆携帯サイト  　メニュー&gt;テレビ&gt;テレビ朝日&gt;名探偵の掟</t>
  </si>
  <si>
    <t xml:space="preserve">《第9話》  さよなら大河原警部…ついに最終章へ突入!  大河原警部が主役のスピンオフが企画されていた!?  天下一は警部とのコンビ解消を宣言!!  主役の座を意識し、男前メイクで張り切りまくる警部!  主役の座と今回のトリックに危機感を募らせる天下一!　</t>
  </si>
  <si>
    <t>謎の“素人探偵連続殺人”が発生!  現場に残された凶器は“死亡フラグ”!?  天下一の身に迫る殉職の危機!  茉奈が天下一のことを愛すれば愛するほどに、  天下一の死ぬ確立が跳ね上がる罠!  天下一と大河原を襲う衝撃の結末…掟破りの最終回!!　松田翔太、香椎由宇、ちすん、入江甚儀、木村祐一　ほか　東野圭吾『名探偵の掟』(講談社文庫)　大石哲也　七高剛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  ☆携帯サイト  　メニュー&gt;テレビ&gt;テレビ朝日&gt;名探偵の掟</t>
  </si>
  <si>
    <t xml:space="preserve">謎の“素人探偵連続殺人”が発生!  現場に残された凶器は“死亡フラグ”!?  天下一の身に迫る殉職の危機!  茉奈が天下一のことを愛すれば愛するほどに、  天下一の死ぬ確立が跳ね上がる罠!  天下一と大河原を襲う衝撃の結末…掟破りの最終回!!　</t>
  </si>
  <si>
    <t>0901_EX_木21</t>
  </si>
  <si>
    <t>特命係長　只野仁</t>
  </si>
  <si>
    <t>番組名特命係長　只野仁</t>
  </si>
  <si>
    <t>1月8日スタート!毎週木曜夜9時放送の「特命係長・只野仁」の第1話では高橋克典さんが只野役と韓流スター役の二役をこなすのが見どころ!  ゲスト:田中美里高橋克典　櫻井淳子　永井大　蛯原友里　田山涼成　近江谷太朗　斉藤優  椎名法子　細野佑美子　はるな愛　田中美里　三浦理恵子　梅宮辰夫　柳沢きみお『特命係長 只野仁　ファイナル』  　(Bbmf/ケータイ★まんが王国連載)　三上幸四郎　仲西匡　秋山純チーフプロデューサー:黒田徹也(テレビ朝日)  プロデューサー:樽井勝弘(テレビ朝日)  　　　　　　　　東城祐司(MMJ)  　　　　　　　　清水真由美(MMJ)　テレビ朝日  　MMJ</t>
  </si>
  <si>
    <t xml:space="preserve">1月8日スタート!毎週木曜夜9時放送の「特命係長・只野仁」の第1話では高橋克典さんが只野役と韓流スター役の二役をこなすのが見どころ!  </t>
  </si>
  <si>
    <t>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高橋克典　櫻井淳子　永井大　蛯原友里　田山涼成　近江谷太朗　斉藤優  椎名法子　細野佑美子　はるな愛　三浦理恵子　梅宮辰夫  第2話ゲスト:野久保直樹　原史奈ほか柳沢きみお『特命係長 只野仁　ファイナル』  (Bbmf/ケータイ★まんが王国連載)尾崎将也音楽　仲西匡  主題歌　「悲しみを愛しさで」阪井あゆみ  挿入歌　「男の美学」高橋克典塚本連平チーフプロデューサー:黒田徹也(テレビ朝日)  プロデューサー:樽井勝弘(テレビ朝日)  　　　　　　　　東城祐司(MMJ)  　　　　　　　　清水真由美(MMJ)テレビ朝日  MMJ</t>
  </si>
  <si>
    <t>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高橋克典　櫻井淳子　永井大　蛯原友里　田山涼成　近江谷太朗　斉藤優  椎名法子　細野佑美子　はるな愛　三浦理恵子　梅宮辰夫  第3話ゲスト:鈴木砂羽　川野直輝　ほか柳沢きみお『特命係長 只野仁　ファイナル』  (Bbmf/ケータイ★まんが王国連載)旺季志ずか音楽　仲西匡  主題歌　「悲しみを愛しさで」阪井あゆみ  挿入歌　「男の美学」高橋克典秋山純チーフプロデューサー:黒田徹也(テレビ朝日)  プロデューサー:樽井勝弘(テレビ朝日)  　　　　　　　　東城祐司(MMJ)  　　　　　　　　清水真由美(MMJ)テレビ朝日  MMJ</t>
  </si>
  <si>
    <t>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高橋克典　櫻井淳子　永井大　蛯原友里　田山涼成　近江谷太朗　斉藤優  椎名法子　細野佑美子　はるな愛　三浦理恵子　梅宮辰夫  第4話ゲスト:江守徹　横山めぐみ　ほか柳沢きみお『特命係長 只野仁　ファイナル』  (Bbmf/ケータイ★まんが王国連載)尾崎将也音楽　仲西匡  主題歌　「悲しみを愛しさで」阪井あゆみ  挿入歌　「男の美学」高橋克典大塚徹チーフプロデューサー:黒田徹也(テレビ朝日)  プロデューサー:樽井勝弘(テレビ朝日)  　　　　　　　　東城祐司(MMJ)  　　　　　　　　清水真由美(MMJ)テレビ朝日  MMJ☆番組ホームページ  　http://www.tv-asahi.co.jp/tadanohitoshi/  ☆野村と久保のスピンアウトドラマも配信中!</t>
  </si>
  <si>
    <t>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高橋克典　櫻井淳子　永井大　蛯原友里　田山涼成　近江谷太朗　斉藤優  椎名法子　細野佑美子　はるな愛　三浦理恵子　梅宮辰夫  第5話ゲスト:安達祐実　野村宏伸　石丸謙二郎　ほか柳沢きみお『特命係長 只野仁　ファイナル』  (Bbmf/ケータイ★まんが王国連載)高山直也音楽　仲西匡  主題歌　「悲しみを愛しさで」阪井あゆみ  挿入歌　「男の美学」高橋克典小松隆志チーフプロデューサー:黒田徹也(テレビ朝日)  プロデューサー:樽井勝弘(テレビ朝日)  　　　　　　　　東城祐司(MMJ)  　　　　　　　　清水真由美(MMJ)テレビ朝日  MMJ☆番組ホームページ  　http://www.tv-asahi.co.jp/tadanohitoshi/  ☆着うた、待受、只野仁スピンオフドラマも配信中!</t>
  </si>
  <si>
    <t>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高橋克典　櫻井淳子　永井大　蛯原友里　田山涼成　近江谷太朗　斉藤優  椎名法子　細野佑美子　はるな愛　三浦理恵子　梅宮辰夫  第6話ゲスト:伊藤かずえ　宇野実彩子(トリプル・エー)矢吹春奈　りりあん　ほか柳沢きみお『特命係長 只野仁　ファイナル』  (Bbmf/ケータイ★まんが王国連載)三上幸四郎音楽:仲西匡  主題歌:「悲しみを愛しさで」阪井あゆみ  挿入歌:「男の美学」高橋克典秋山純チーフプロデューサー:黒田徹也(テレビ朝日)  プロデューサー:樽井勝弘(テレビ朝日)  　　　　　　　　東城祐司(MMJ)  　　　　　　　　清水真由美(MMJ)テレビ朝日  MMJ☆番組ホームページ  　http://www.tv-asahi.co.jp/tadanohitoshi/  ☆着うた、待受、只野仁スピンオフドラマも配信中!</t>
  </si>
  <si>
    <t>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高橋克典　櫻井淳子　永井大　蛯原友里　田山涼成　近江谷太朗　斉藤優  椎名法子　細野佑美子　はるな愛　三浦理恵子　梅宮辰夫  第7話ゲスト:岡田浩暉　神楽坂恵　弓削智久　ほか柳沢きみお『特命係長 只野仁　ファイナル』  (Bbmf/ケータイ★まんが王国連載)加藤公平音楽　仲西匡  主題歌　「悲しみを愛しさで」阪井あゆみ  挿入歌　「男の美学」高橋克典小松隆志チーフプロデューサー:黒田徹也(テレビ朝日)  プロデューサー:樽井勝弘(テレビ朝日)  　　　　　　　　東城祐司(MMJ)  　　　　　　　　清水真由美(MMJ)テレビ朝日  MMJ☆番組ホームページ  　http://www.tv-asahi.co.jp/tadanohitoshi/  ☆ゲーム、着うた、待受、只野仁スピンオフドラマも配信中!</t>
  </si>
  <si>
    <t>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高橋克典　櫻井淳子　永井大　蛯原友里　田山涼成　近江谷太朗　斉藤優  椎名法子　細野佑美子　はるな愛　三浦理恵子　梅宮辰夫  最終回ゲスト:金子さやか　ケイン・コスギ　阪井あゆみ　鈴木一真　ほか柳沢きみお『特命係長 只野仁　ファイナル』  (Bbmf/ケータイ★まんが王国連載)高山直也音楽　仲西匡  主題歌　「悲しみを愛しさで」阪井あゆみ  挿入歌　「男の美学」高橋克典秋山純チーフプロデューサー:黒田徹也(テレビ朝日)  プロデューサー:樽井勝弘(テレビ朝日)  　　　　　　　　東城祐司(MMJ)  　　　　　　　　清水真由美(MMJ)テレビ朝日  MMJ☆番組ホームページ  　http://www.tv-asahi.co.jp/tadanohitoshi/  ☆ゲーム、着うた、待受、只野仁スピンオフドラマも配信中!</t>
  </si>
  <si>
    <t>0901_EX_金21</t>
  </si>
  <si>
    <t>若い女が男に殺された。男は「美景庵」という美男・色男が揃う店の者。女の妹・お絹(小林涼子)は追われているその男・直助(中村俊介)を助け、恋心を抱く。一方、父親は娘の仇をとりに「美景庵」に行くが…　東山紀之・松岡昌宏・大倉忠義・谷村美月・福士誠治・宇梶剛士・前田航基/野際陽子・中越典子/中村俊介・小林涼子・藤井隆・陣内智則/和久井映見・藤田まこと　ほか　寺田敏雄　石原興　平尾昌晃「鏡花水月」The　SHIGOTONIN　ABC・テレビ朝日・松竹</t>
  </si>
  <si>
    <t>若い女が男に殺された。男は「美景庵」という美男・色男が揃う店の者。女の妹・お絹(小林涼子)は追われているその男・直助(中村俊介)を助け、恋心を抱く。一方、父親は娘の仇をとりに「美景庵」に行くが</t>
  </si>
  <si>
    <t>弱者を狙う無差別殺人が横行する中、源太(大倉忠義)は正義感の強い数馬(忍成修吾)に助けられる。数馬は母・みち(賀来千香子)の内職で高名な道場に通い、主の監物(目黒祐樹)と息子・太平(浜田学)に気に入られる。しかし殺人者の正体が太平だと知り…　東山紀之・松岡昌宏・大倉忠義・福士誠治・宇梶剛士・前田航基/野際陽子・中越典子/賀来千賀子・忍成修吾・目黒祐樹・浜田学/和久井映見・藤田まこと　ほか　岡本さとる　原田徹　平尾昌晃「鏡花水月」The　SHIGOTONIN　ABC・テレビ朝日・松竹</t>
  </si>
  <si>
    <t>弱者を狙う無差別殺人が横行する中、源太(大倉忠義)は正義感の強い数馬(忍成修吾)に助けられる。数馬は母・みち(賀来千香子)の内職で高名な道場に通い、主の監物(目黒祐樹)と息子・太平(浜田学)に気に入られる。しかし殺人者の正体が太平だと知り</t>
  </si>
  <si>
    <t>袋とじを楽しむ主水(藤田まこと)にお菊(和久井映見)は天才画家の平吉(吹越満)が酒を飲み妻のお静(清水美沙)を殴るので止めるよう頼む。主水の言葉で改心した夫は鶴屋で働くが何者かに斬捨てられる…　東山紀之・松岡昌宏・大倉忠義・福士誠治・宇梶剛士・前田航基/野際陽子・中越典子/吹越満・清水美沙・西田健/和久井映見・藤田まこと　ほか　前川洋一　原田徹　平尾昌晃「鏡花水月」The　SHIGOTONIN  (ジャニーズ・エンタテイメント)　ABC・テレビ朝日・松竹☆番組ホームページ  http://hissatsu2009.asahi.co.jp/</t>
  </si>
  <si>
    <t>袋とじを楽しむ主水(藤田まこと)にお菊(和久井映見)は天才画家の平吉(吹越満)が酒を飲み妻のお静(清水美沙)を殴るので止めるよう頼む。主水の言葉で改心した夫は鶴屋で働くが何者かに斬捨てられる</t>
  </si>
  <si>
    <t>阿片の取引現場に踏み込んだ小五郎は旗本の望月に一括される。一方、涼次は如月が盗んだ財布が元で命を狙われる。新任同心の新吾はその財布の中から阿片密売の証拠を得、裏で操る謎の暗闇奉行の正体を知ることに…　東山紀之・松岡昌宏・大倉忠義・谷村美月・福士誠治・宇梶剛士・前田航基/野際陽子・中越典子/市川亀治郎・石倉三郎・梨本謙次郎・中西良太/和久井映見・藤田まこと　ほか　岡本さとる　石原興　平尾昌晃「鏡花水月」The　SHIGOTONIN  (ジャニーズ・エンタテイメント)　ABC・テレビ朝日・松竹☆番組ホームページ  http://hissatsu2009.asahi.co.jp/  50時間テレビHP⇒http://www.tv-asahi.co.jp/50th/</t>
  </si>
  <si>
    <t>阿片の取引現場に踏み込んだ小五郎は旗本の望月に一括される。一方、涼次は如月が盗んだ財布が元で命を狙われる。新任同心の新吾はその財布の中から阿片密売の証拠を得、裏で操る謎の暗闇奉行の正体を知ることに</t>
  </si>
  <si>
    <t>一方、商い税が設けられ主水(藤田まこと)は激怒。そんな中、宮大工の宗兵衛(堤大二郎)は大仏の手抜き工事を知り、一家とも惨殺される…　東山紀之・松岡昌宏・大倉忠義・福士誠治・宇梶剛士・前田航基/野際陽子・中越典子/平幹二朗・堤大二郎・徳井優/和久井映見・藤田まこと　ほか　前川洋一　酒井信行　平尾昌晃「鏡花水月」The　SHIGOTONIN  (ジャニーズ・エンタテイメント)　ABC・テレビ朝日・松竹☆番組ホームページ  　http://hissatsu2009.asahi.co.jp/</t>
  </si>
  <si>
    <t>一方、商い税が設けられ主水(藤田まこと)は激怒。そんな中、宮大工の宗兵衛(堤大二郎)は大仏の手抜き工事を知り、一家とも惨殺される</t>
  </si>
  <si>
    <t>一方、勾玉数珠で病気を治す評判の陰陽師・百瀬(篠井英介)に藤五郎は初枝の治療を頼む。数珠は高額だが、夫は妻のために…　東山紀之・松岡昌宏・大倉忠義・福士誠治・宇梶剛士・前田航基/野際陽子・中越典子/田中美里・西村和彦・篠井英介/和久井映見・藤田まこと　ほか　森下直　山下智彦　平尾昌晃「鏡花水月」The　SHIGOTONIN  (ジャニーズ・エンタテイメント)　ABC・テレビ朝日・松竹☆番組ホームページ  　http://hissatsu2009.asahi.co.jp/</t>
  </si>
  <si>
    <t>一方、勾玉数珠で病気を治す評判の陰陽師・百瀬(篠井英介)に藤五郎は初枝の治療を頼む。数珠は高額だが、夫は妻のために</t>
  </si>
  <si>
    <t>命を賭け、天才相場師・江上屋の芳太郎(津田寛治)に藩の大事を質に借金を申し込むことに涼次らは反対をする。しかし、米相場で悪名高い芳太郎でも自分は命の恩人だからと聞かない…　東山紀之・松岡昌宏・大倉忠義・谷村美月・福士誠治・宇梶剛士・前田航基/野際陽子・中越典子/渡辺いっけい・津田寛治・中原丈雄・海原はるか/和久井映見・藤田まこと　ほか　岡本さとる　原田徹　平尾昌晃「鏡花水月」The　SHIGOTONIN  (ジャニーズ・エンタテイメント)　ABC・テレビ朝日・松竹☆番組ホームページ  　http://hissatsu2009.asahi.co.jp/</t>
  </si>
  <si>
    <t>命を賭け、天才相場師・江上屋の芳太郎(津田寛治)に藩の大事を質に借金を申し込むことに涼次らは反対をする。しかし、米相場で悪名高い芳太郎でも自分は命の恩人だからと聞かない</t>
  </si>
  <si>
    <t>相談を受けた旧友の主水(藤田まこと)は仇を取ろうとする嘉助をなだめるが、嘉助は一世一代のスリの勝負に出る…　東山紀之・松岡昌宏・大倉忠義・福士誠治・宇梶剛士・前田航基/野際陽子・中越典子/長門裕之・神保悟志・遠野凪子/和久井映見・藤田まこと　ほか　森下直　酒井信行　平尾昌晃「鏡花水月」The　SHIGOTONIN  (ジャニーズ・エンタテイメント)　ABC・テレビ朝日・松竹☆番組ホームページ  　http://hissatsu2009.asahi.co.jp/</t>
  </si>
  <si>
    <t>相談を受けた旧友の主水(藤田まこと)は仇を取ろうとする嘉助をなだめるが、嘉助は一世一代のスリの勝負に出る</t>
  </si>
  <si>
    <t>そんな時、伊織は講師を監督する役人・畠中伊右衛門(田中健)に呼び出され、事情を聞かれる。身重の妻・きぬ(遠藤久美子)も心配する中、伊織は今度は不正の疑いをかけられる…　東山紀之・松岡昌宏・大倉忠義・福士誠治・宇梶剛士・前田航基/野際陽子・中越典子/田中健・池内博之・遠藤久美子/和久井映見・藤田まこと　ほか　後藤法子　山下智彦　平尾昌晃「鏡花水月」The　SHIGOTONIN  (ジャニーズ・エンタテイメント)　ABC・テレビ朝日・松竹☆番組ホームページ  　http://hissatsu2009.asahi.co.jp/</t>
  </si>
  <si>
    <t>そんな時、伊織は講師を監督する役人・畠中伊右衛門(田中健)に呼び出され、事情を聞かれる。身重の妻・きぬ(遠藤久美子)も心配する中、伊織は今度は不正の疑いをかけられる</t>
  </si>
  <si>
    <t>一方、如月(谷村美月)が黒頭巾に襲われ、殺しの道具で助けた涼次(松岡昌宏)は小五郎の同僚の大河原伝七(福士誠治)に見咎められてしまう。主水(藤田まこと)の機転に助けられ何とか追及をかわすが、主水から、仕事道具を白昼堂々と使うとは何事だと厳しく諭される。　東山紀之・松岡昌宏・大倉忠義・谷村美月・福士誠治・宇梶剛士・前田航基/野際陽子・中越典子/池上季実子・荒川良々・平泉成・内山信二/和久井映見・藤田まこと　ほか　寺田敏雄　石原興　平尾昌晃「鏡花水月」The　SHIGOTONIN  (ジャニーズ・エンタテイメント)　ABC・テレビ朝日・松竹☆番組ホームページ  　http://hissatsu2009.asahi.co.jp/</t>
  </si>
  <si>
    <t xml:space="preserve">一方、如月(谷村美月)が黒頭巾に襲われ、殺しの道具で助けた涼次(松岡昌宏)は小五郎の同僚の大河原伝七(福士誠治)に見咎められてしまう。主水(藤田まこと)の機転に助けられ何とか追及をかわすが、主水から、仕事道具を白昼堂々と使うとは何事だと厳しく諭される。　</t>
  </si>
  <si>
    <t>0901_EX_金23</t>
  </si>
  <si>
    <t>歌のおにいさん</t>
  </si>
  <si>
    <t>番組名歌のおにいさん</t>
  </si>
  <si>
    <t>健太(大野智)はある日突然、バンド仲間から解散を宣告され、恋人にもふられ、挙句の果てに内定も取り消されてしまう。破れかぶれで面接を受けにいったテレビ局で間違えて「歌のおにいさん」の面接を受けてしまい、なぜか採用されてしまう!何事にもやる気の出ない健太は子供の見本「歌のおにいさん」になれるか?大野智　千紗(GIRL　NEXT　DOOR)　片瀬那奈　丸山隆平(関ジャニ∞)　永池南津子　高良光莉　前田健  吹越満・須藤理彩　滝沢沙織　金児憲史　小野武彦　木村佳乃永田優子長江俊和　高橋伸之　梶山貴弘チーフプロデューサー:桑田潔(テレビ朝日)  プロデューサー:川西琢(テレビ朝日)  　　　　　　　　壁谷悌之(泉放送)テレビ朝日  泉放送</t>
  </si>
  <si>
    <t>健太(大野智)はある日突然、バンド仲間から解散を宣告され、恋人にもふられ、挙句の果てに内定も取り消されてしまう。破れかぶれで面接を受けにいったテレビ局で間違えて「歌のおにいさん」の面接を受けてしまい、なぜか採用されてしまう!何事にもやる気の出ない健太は子供の見本「歌のおにいさん」になれるか?</t>
  </si>
  <si>
    <t>健太(大野智)が「歌のおにいさんとゆかいな仲間」として採用された番組「みなうた」は、ヘンテコ王子・氷室洋一(戸次重幸)の独裁帝国だった・・!「あんたには絶対謝んねー」と言い切った健太に対し、氷室王子の容赦ないイジメが続く。そんな中、「みなうた」の公開放送が始まる。　大野智　千紗(GIRL　NEXT　DOOR)　片瀬那奈　丸山隆平(関ジャニ∞)　永池南津子　高良光莉　前田健  吹越満・須藤理彩　滝沢沙織　金児憲史　小野武彦　木村佳乃　永田優子　長江俊和　高橋伸之　梶山貴弘　矢野健太　starring Satoshi Ohno  　「曇りのち、快晴」(ジェイ・ストーム)　チーフプロデューサー:桑田潔(テレビ朝日)  　プロデューサー:川西琢(テレビ朝日)  　　　　　　　　　壁谷悌之(泉放送)　テレビ朝日  　泉放送</t>
  </si>
  <si>
    <t xml:space="preserve">健太(大野智)が「歌のおにいさんとゆかいな仲間」として採用された番組「みなうた」は、ヘンテコ王子・氷室洋一(戸次重幸)の独裁帝国だった・・!「あんたには絶対謝んねー」と言い切った健太に対し、氷室王子の容赦ないイジメが続く。そんな中、「みなうた」の公開放送が始まる。　</t>
  </si>
  <si>
    <t>健太(大野智)は専務の鶴の一声で、氷室王子(戸次重幸)との歌のおにいさん交代を宣告され、正式に「歌のおにいさん」となる。子供達から熱い視線を送られる日々だが、本心は自分を捨てたバンドに未練があった。笑顔を失っていく健太を真鍋(木村佳乃)は一喝するが・・。大野智　千紗(GIRL　NEXT　DOOR)　片瀬那奈　丸山隆平(関ジャニ∞)　永池南津子　高良光莉　前田健  吹越満・須藤理彩　滝沢沙織　金児憲史　小野武彦　木村佳乃永田優子長江俊和　高橋伸之　梶山貴弘矢野健太　starring Satoshi Ohno  「曇りのち、快晴」(ジェイ・ストーム)チーフプロデューサー:桑田潔(テレビ朝日)  プロデューサー:川西琢(テレビ朝日)  　　　　　　　　壁谷悌之(泉放送)テレビ朝日  泉放送☆番組ホームページ  　http://www.tv-asahi.co.jp/utaoni/  50時間テレビHP⇒http://www.tv-asahi.co.jp/50th/?exspa=d</t>
  </si>
  <si>
    <t>健太(大野智)は専務の鶴の一声で、氷室王子(戸次重幸)との歌のおにいさん交代を宣告され、正式に「歌のおにいさん」となる。子供達から熱い視線を送られる日々だが、本心は自分を捨てたバンドに未練があった。笑顔を失っていく健太を真鍋(木村佳乃)は一喝するが・・。</t>
  </si>
  <si>
    <t>歌のおにいさんとしてやっていく決心をした健太(大野智)だが、その矢先真鍋(木村佳乃)から「歌のおにいさんたるもの、身も心も清くなくてはならない」と諭され、「歌のおにいさん7カ条」を元にした講習を受けさせられることになる。さらに「みなうた」にみちる(高良光莉)をはじめとした子供ユニットが復活し・・。　大野智　千紗(GIRL　NEXT　DOOR)　片瀬那奈　丸山隆平(関ジャニ∞)　永池南津子　高良光莉　前田健  吹越満・須藤理彩　滝沢沙織　金児憲史　小野武彦　木村佳乃　永田優子　長江俊和　高橋伸之　梶山貴弘　矢野健太　starring Satoshi Ohno  　「曇りのち、快晴」(ジェイ・ストーム)　チーフプロデューサー:桑田潔(テレビ朝日)  　プロデューサー:川西琢(テレビ朝日)  　　　　　　　　　壁谷悌之(泉放送)　テレビ朝日  　泉放送☆番組ホームページ  　http://www.tv-asahi.co.jp/utaoni/</t>
  </si>
  <si>
    <t xml:space="preserve">歌のおにいさんとしてやっていく決心をした健太(大野智)だが、その矢先真鍋(木村佳乃)から「歌のおにいさんたるもの、身も心も清くなくてはならない」と諭され、「歌のおにいさん7カ条」を元にした講習を受けさせられることになる。さらに「みなうた」にみちる(高良光莉)をはじめとした子供ユニットが復活し・・。　</t>
  </si>
  <si>
    <t>さくら(須藤理彩)が突然お見合いをすることになった。健太(大野智)はお見合いの様子を探りに当日ホテルのラウンジに乗り込む。そんな健太の前に突然うらら(片瀬那奈)が現れる!うららは健太を自分の席に連れて行き、自分の恋人だ、と相手に紹介し・・・!!　大野智　千紗(GIRL　NEXT　DOOR)　片瀬那奈　丸山隆平(関ジャニ∞)　永池南津子　高良光莉　前田健  吹越満・須藤理彩　滝沢沙織　金児憲史　小野武彦　木村佳乃　永田優子　長江俊和　高橋伸之　梶山貴弘　矢野健太　starring Satoshi Ohno  　「曇りのち、快晴」(ジェイ・ストーム)　チーフプロデューサー:桑田潔(テレビ朝日)  　プロデューサー:川西琢(テレビ朝日)  　　　　　　　　　壁谷悌之(泉放送)　テレビ朝日  　泉放送☆番組ホームページ  　http://www.tv-asahi.co.jp/utaoni/</t>
  </si>
  <si>
    <t xml:space="preserve">さくら(須藤理彩)が突然お見合いをすることになった。健太(大野智)はお見合いの様子を探りに当日ホテルのラウンジに乗り込む。そんな健太の前に突然うらら(片瀬那奈)が現れる!うららは健太を自分の席に連れて行き、自分の恋人だ、と相手に紹介し・・・!!　</t>
  </si>
  <si>
    <t>守(丸山隆平)は、なんとかこの状況を打開しようと、ソロを歌わせてほしいと申し出る。しかしフタをあけてみると守のパートで視聴率のグラフはガクンと下がっていて…。　大野智　千紗(GIRL　NEXT　DOOR)　片瀬那奈　丸山隆平(関ジャニ∞)　永池南津子　能世あんな　高良光莉　前田健  吹越満・須藤理彩　滝沢沙織　金児憲史　小野武彦　木村佳乃　永田優子　長江俊和　高橋伸之　梶山貴弘　矢野健太　starring Satoshi Ohno  　「曇りのち、快晴」(ジェイ・ストーム)　チーフプロデューサー:桑田潔(テレビ朝日)  　プロデューサー:川西琢(テレビ朝日)  　　　　　　　　　壁谷悌之(泉放送)　テレビ朝日  　泉放送☆番組ホームページ  　http://www.tv-asahi.co.jp/utaoni/</t>
  </si>
  <si>
    <t xml:space="preserve">守(丸山隆平)は、なんとかこの状況を打開しようと、ソロを歌わせてほしいと申し出る。しかしフタをあけてみると守のパートで視聴率のグラフはガクンと下がっていて…。　</t>
  </si>
  <si>
    <t>真鍋(木村佳乃)が、ほかの番組プロデューサーに住吉(前田健)や洋子(永池南津子)のことを話している現場をうらら(片瀬那奈)が目撃!危険分子を追い出そうとしていると勘違いをしたうららや守(丸山隆平)らは、真鍋に嫌われないように必死にゴマすりを開始する。　大野智　千紗(GIRL　NEXT　DOOR)　片瀬那奈　丸山隆平(関ジャニ∞)　永池南津子　高良光莉　前田健  吹越満・須藤理彩　滝沢沙織　金児憲史　小野武彦　木村佳乃　永田優子　長江俊和　高橋伸之　梶山貴弘　矢野健太　starring Satoshi Ohno  　「曇りのち、快晴」(ジェイ・ストーム)　チーフプロデューサー:桑田潔(テレビ朝日)  　プロデューサー:川西琢(テレビ朝日)  　　　　　　　　　壁谷悌之(泉放送)　テレビ朝日  　泉放送☆番組ホームページ  　http://www.tv-asahi.co.jp/utaoni/</t>
  </si>
  <si>
    <t xml:space="preserve">真鍋(木村佳乃)が、ほかの番組プロデューサーに住吉(前田健)や洋子(永池南津子)のことを話している現場をうらら(片瀬那奈)が目撃!危険分子を追い出そうとしていると勘違いをしたうららや守(丸山隆平)らは、真鍋に嫌われないように必死にゴマすりを開始する。　</t>
  </si>
  <si>
    <t>健太(大野智)は「みなうた」の番組終了を受け、就職活動を始めるがなかなかうまくいかない。そんな中、健太は明音(千紗)から“ジゼル”に戻ってきて欲しいと頼まれる。健太とよりを戻し、はじめからやりなおしたいのだと…。さらに健太の父・光雄(小野武彦)が入院してしまう。崖っぷちにたたされた健太は…?　大野智　千紗(GIRL　NEXT　DOOR)　片瀬那奈　丸山隆平(関ジャニ∞)　永池南津子　高良光莉　前田健  吹越満・須藤理彩　滝沢沙織　金児憲史　小野武彦　木村佳乃　永田優子　長江俊和　高橋伸之　梶山貴弘　矢野健太　starring Satoshi Ohno  　「曇りのち、快晴」(ジェイ・ストーム)　チーフプロデューサー:桑田潔(テレビ朝日)  　プロデューサー:川西琢(テレビ朝日)  　　　　　　　　　壁谷悌之(泉放送)　テレビ朝日  　泉放送☆番組ホームページ  　http://www.tv-asahi.co.jp/utaoni/</t>
  </si>
  <si>
    <t xml:space="preserve">健太(大野智)は「みなうた」の番組終了を受け、就職活動を始めるがなかなかうまくいかない。そんな中、健太は明音(千紗)から“ジゼル”に戻ってきて欲しいと頼まれる。健太とよりを戻し、はじめからやりなおしたいのだと…。さらに健太の父・光雄(小野武彦)が入院してしまう。崖っぷちにたたされた健太は…?　</t>
  </si>
  <si>
    <t>0810_EX_木21</t>
  </si>
  <si>
    <t>小児救命</t>
  </si>
  <si>
    <t>番組名小児救命</t>
  </si>
  <si>
    <t>大病院に勤める宇宙(小西真奈美)は、子どもたちの命を救うためには、なりふり構わない熱心な小児科医。そしてついには24時間365日診療の「青空こどもクリニック」を開業。だが大胆すぎる宇宙の行動を恋人の狩矢(塚本高史)、元上司の柾(陣内孝則)は心配する。小西真奈美、塚本高史、勝地涼、山口紗弥加、笛木優子、藤原一裕(ライセンス)・大杉漣・正名僕蔵、田実陽子、名高達男、渡辺えり(特別出演)、陣内孝則　ほか龍居由佳里片山　修(テレビ朝日)B’z「いつかまたここで」(VERMILLION　RECORDS)チーフプロデューサー:五十嵐文郎(テレビ朝日)  プロデューサー:中込卓也(テレビ朝日)  　　　　　　　　中川慎子(テレビ朝日)  　　　　　　　　太田雅晴(5年D組)  　　　　　　　　里内英司(5年D組)《公式HP》  http://www.tv-asahi.co.jp/kyumei/</t>
  </si>
  <si>
    <t>大病院に勤める宇宙(小西真奈美)は、子どもたちの命を救うためには、なりふり構わない熱心な小児科医。そしてついには24時間365日診療の「青空こどもクリニック」を開業。だが大胆すぎる宇宙の行動を恋人の狩矢(塚本高史)、元上司の柾(陣内孝則)は心配する。</t>
  </si>
  <si>
    <t>彼女は離婚後に拓実を引き取った父親の家まで押し掛けるが、拓実の姿どころか父親の姿も見当たらない。そんな中、川で溺れて瀕死の状態にある少年が「青空こどもクリニック」に運ばれてきてるのだが!?小西真奈美、塚本高史、勝地涼、山口紗弥加、笛木優子、藤原一裕(ライセンス)・大杉漣・正名僕蔵、田実陽子、名高達男、渡辺えり(特別出演)、陣内孝則　ほか龍居由佳里片山　修(テレビ朝日)B’z「いつかまたここで」(VERMILLION　RECORDS)チーフプロデューサー:五十嵐文郎(テレビ朝日)  プロデューサー:中込卓也(テレビ朝日)  　　　　　　　　中川慎子(テレビ朝日)  　　　　　　　　太田雅晴(5年D組)  　　　　　　　　里内英司(5年D組)《公式HP》  http://www.tv-asahi.co.jp/kyumei/☆野球が延長になった場合  ワンセグでは、引き続き野球放送を行うため、『小児救命』は放送されない場合があります。</t>
  </si>
  <si>
    <t>彼女は離婚後に拓実を引き取った父親の家まで押し掛けるが、拓実の姿どころか父親の姿も見当たらない。そんな中、川で溺れて瀕死の状態にある少年が「青空こどもクリニック」に運ばれてきてるのだが!?</t>
  </si>
  <si>
    <t>青空こどもクリニックに喘息患者の上原レイナ(松浦愛紗)がひとりで来院し、突然発作を起こした!宇宙は彼女の両親と電話で連絡を取るが、レイナの母親・純子(鳥居かほり)は「吸入が終わったら自分で帰るように言ってください」と信じられない言葉を発し…。小西真奈美、塚本高史、勝地涼、山口紗弥加、笛木優子、藤原一裕(ライセンス)・大杉漣・正名僕蔵、田実陽子、名高達男、渡辺えり(特別出演)、陣内孝則　ほか龍居由佳里唐木希浩(5年D組)B’z「いつかまたここで」(VERMILLION　RECORDS)チーフプロデューサー:五十嵐文郎(テレビ朝日)  プロデューサー:中込卓也(テレビ朝日)  　　　　　　　　中川慎子(テレビ朝日)  　　　　　　　　太田正晴(5年D組)  　　　　　　　　里内英司(5年D組)《公式HP》  http://www.tv-asahi.co.jp/kyumei/#</t>
  </si>
  <si>
    <t>青空こどもクリニックに喘息患者の上原レイナ(松浦愛紗)がひとりで来院し、突然発作を起こした!宇宙は彼女の両親と電話で連絡を取るが、レイナの母親・純子(鳥居かほり)は「吸入が終わったら自分で帰るように言ってください」と信じられない言葉を発し…。</t>
  </si>
  <si>
    <t>疲弊したスタッフの穴埋めをするのは主に院長の宇宙と相馬(正名僕蔵)だった。ある日、突然、相馬が辞めると言い出した。その理由は…小西真奈美、塚本高史、勝地涼、山口紗弥加、笛木優子、藤原一裕(ライセンス)・大杉漣・正名僕蔵、田実陽子、名高達男、渡辺えり(特別出演)、陣内孝則　ほか龍居由佳里唐木希浩(5年D組)B’z「いつかまたここで」チーフプロデューサー:五十嵐文郎(テレビ朝日)  プロデューサー:中込卓也(テレビ朝日)  　　　　　　　　中川慎子(テレビ朝日)  　　　　　　　　太田正晴(5年D組)  　　　　　　　　里内英司(5年D組)《公式HP》http://www.tv-asahi.co.jp/kyumei/    ※この番組は【日本シリーズ2008】が放送になり延長した場合、放送時間が変更又は休止になる場合があります。</t>
  </si>
  <si>
    <t>疲弊したスタッフの穴埋めをするのは主に院長の宇宙と相馬(正名僕蔵)だった。ある日、突然、相馬が辞めると言い出した。その理由は…</t>
  </si>
  <si>
    <t>いつしか宇宙と他の医師たちとの間には少しずつ溝ができ始めていた。そんな中突然辞意を告げる者が現れて…!?小西真奈美、塚本高史、勝地　涼、山口紗弥加、笛木優子、藤原一裕(ライセンス)・大杉　漣・田実陽子、名高達男、渡辺えり(特別出演)、陣内孝則　ほか龍居由佳里唐木希浩(5年D組)B’z「いつかまたここで」(VERMILLION　RECORDS)チーフプロデューサー:五十嵐文郎(テレビ朝日)  プロデューサー:中込卓也(テレビ朝日)  　　　　　　　　中川慎子(テレビ朝日)  　　　　　　　　太田雅晴(5年D組)  　　　　　　　　里内英司(5年D組)《公式HP》  http://www.tv-asahi.co.jp/kyumei/</t>
  </si>
  <si>
    <t>いつしか宇宙と他の医師たちとの間には少しずつ溝ができ始めていた。そんな中突然辞意を告げる者が現れて…!?</t>
  </si>
  <si>
    <t>その極限状態の中、名波(藤原一裕)が風邪と診断した少女・亜美に脳疾患の疑いが生じる。自らの誤診に責任を感じた名波は「青空こどもクリニック」から姿を消し…。小西真奈美、塚本高史、勝地　涼、山口紗弥加、笛木優子、藤原一裕(ライセンス)・大杉　漣・田実陽子、名高達男、渡辺えり(特別出演)、陣内孝則　ほか龍居由佳里片山　修(テレビ朝日)B’z「いつかまたここで」(VERMILLION　RECORDS)チーフプロデューサー:五十嵐文郎(テレビ朝日)  プロデューサー:中込卓也(テレビ朝日)  　　　　　　　　中川慎子(テレビ朝日)  　　　　　　　　太田雅晴(5年D組)  　　　　　　　　里内英司(5年D組)《公式HP》  http://www.tv-asahi.co.jp/kyumei/</t>
  </si>
  <si>
    <t>その極限状態の中、名波(藤原一裕)が風邪と診断した少女・亜美に脳疾患の疑いが生じる。自らの誤診に責任を感じた名波は「青空こどもクリニック」から姿を消し…。</t>
  </si>
  <si>
    <t>その混乱の中、啓翠会をやめ、クリニックで働くことになった狩矢(塚本高史)から突然プロポーズされた宇宙(小西真奈美)は激しく動揺するが!?小西真奈美、塚本高史、勝地　涼、山口紗弥加、笛木優子、藤原一裕(ライセンス)・大杉　漣・正名僕蔵、田実陽子、名高達男、渡辺えり(特別出演)、陣内孝則　ほか龍居由佳里阿部雄一(5年D組)B’z「いつかまたここで」(VERMILLION　RECORDS)チーフプロデューサー:五十嵐文郎(テレビ朝日)  プロデューサー:中込卓也(テレビ朝日)  　　　　　　　　中川慎子(テレビ朝日)  　　　　　　　　太田雅晴(5年D組)  　　　　　　　　里内英司(5年D組)《公式HP》  http://www.tv-asahi.co.jp/kyumei/</t>
  </si>
  <si>
    <t>その混乱の中、啓翠会をやめ、クリニックで働くことになった狩矢(塚本高史)から突然プロポーズされた宇宙(小西真奈美)は激しく動揺するが!?</t>
  </si>
  <si>
    <t>一方で『青空こどもクリニック』に若く派手な母親・純(片瀬那奈)がやってくる。しかし純は治療費がないという理由で子ども用の薬を拒否して帰ってしまい・・・小西真奈美、塚本高史、勝地　涼、山口紗弥加、笛木優子、藤原一裕(ライセンス)・大杉　漣・田実陽子、名高達男、渡辺えり(特別出演)、陣内孝則　ほか  《第7話ゲスト》片瀬那奈龍居由佳里唐木希浩(5年D組)B’z「いつかまたここで」(VERMILLION　RECORDS)チーフプロデューサー:五十嵐文郎(テレビ朝日)  プロデューサー:中込卓也(テレビ朝日)  　　　　　　　　中川慎子(テレビ朝日)  　　　　　　　　太田雅晴(5年D組)  　　　　　　　　里内英司(5年D組)《公式HP》  http://www.tv-asahi.co.jp/kyumei/</t>
  </si>
  <si>
    <t>一方で『青空こどもクリニック』に若く派手な母親・純(片瀬那奈)がやってくる。しかし純は治療費がないという理由で子ども用の薬を拒否して帰ってしまい・・・</t>
  </si>
  <si>
    <t>一方、「青空こどもクリニック」は深刻な経営難に。宇宙(小西真奈美)に代わって必死に資金のやり繰りをする狩矢(塚本高史)にクリニックのスタッフは戸惑いを隠せず・・・小西真奈美、塚本高史、勝地涼、山口紗弥加、笛木優子、藤原一裕(ライセンス)・大杉漣・田実陽子、名高達男、渡辺えり(特別出演)、陣内孝則　ほか龍居由佳里片山　修(テレビ朝日)B’z「いつかまたここで」(VERMILLION　RECORDS)チーフプロデューサー:五十嵐文郎(テレビ朝日)  プロデューサー:中込卓也(テレビ朝日)  　　　　　　　　中川慎子(テレビ朝日)  　　　　　　　　太田雅晴(5年D組)  　　　　　　　　里内英司(5年D組)《公式HP》  http://www.tv-asahi.co.jp/kyumei/</t>
  </si>
  <si>
    <t>一方、「青空こどもクリニック」は深刻な経営難に。宇宙(小西真奈美)に代わって必死に資金のやり繰りをする狩矢(塚本高史)にクリニックのスタッフは戸惑いを隠せず・・・</t>
  </si>
  <si>
    <t>宇宙(小西真奈美)と狩矢(塚本高史)は合間を縫って金策に走るが、経営はどんどん悪化する。そんな折、結城弘美(高橋由美子)という記者が取材にやって来て・・・小西真奈美、塚本高史、勝地　涼、山口紗弥加、笛木優子、藤原一裕(ライセンス)・大杉　漣・正名僕蔵、田実陽子、名高達男、渡辺えり(特別出演)、陣内孝則　ほか龍居由佳里片山　修(テレビ朝日)B’z「いつかまたここで」(VERMILLION　RECORDS)チーフプロデューサー:五十嵐文郎(テレビ朝日)  プロデューサー:中込卓也(テレビ朝日)  　　　　　　　　中川慎子(テレビ朝日)  　　　　　　　　太田雅晴(5年D組)  　　　　　　　　里内英司(5年D組)《公式HP》  http://www.tv-asahi.co.jp/kyumei/</t>
  </si>
  <si>
    <t>宇宙(小西真奈美)と狩矢(塚本高史)は合間を縫って金策に走るが、経営はどんどん悪化する。そんな折、結城弘美(高橋由美子)という記者が取材にやって来て・・・</t>
  </si>
  <si>
    <t>0810_EX_金21</t>
  </si>
  <si>
    <t>ギラギラ</t>
  </si>
  <si>
    <t>番組名ギラギラ</t>
  </si>
  <si>
    <t>伝説のホスト・七瀬公平(佐々木蔵之介)は妻・桃子(原沙知絵)と娘に囲まれ幸せな生活を送っていた。しかし会社からの突然のリストラ。公平は妻に内緒でホストに復帰しようとかつて働いていた店の門を叩くが…。佐々木蔵之介、真矢みき、原沙知絵、三浦翔平、芦名　星、五十嵐隼士、原　幹恵、戸田恵子、田中要次、山崎　一、平泉　成、古手川祐子、石橋　凌　ほか滝　直毅・作画/土田世紀(小学館コミックス刊)荒井修子高橋伸之住友紀人「情熱の代償」GIRL NEXT DOOR  (エイベックス・トラックス)チーフプロデューサー:桑田　潔  プロデューサー:船津浩一、奈良井正巳、井上竜太朝日放送、テレビ朝日、ホリプロ</t>
  </si>
  <si>
    <t>伝説のホスト・七瀬公平(佐々木蔵之介)は妻・桃子(原沙知絵)と娘に囲まれ幸せな生活を送っていた。しかし会社からの突然のリストラ。公平は妻に内緒でホストに復帰しようとかつて働いていた店の門を叩くが…。</t>
  </si>
  <si>
    <t>ホストクラブ「リンク」への復帰が決まった公平(佐々木蔵之介)だったがナンバーワンホスト・イーグル(五十嵐隼士)からの風当たりは強くなるばかり。そんな中イーグルの恋人小夜(原幹恵)とのデートが決まり…。佐々木蔵之介、真矢みき、原沙知絵、三浦翔平、芦名　星、五十嵐隼士、原　幹恵、阿部　力、田中要次、平泉　成、石橋　凌　ほか滝　直毅・作画/土田世紀(小学館コミックス刊)荒井修子高橋伸之住友紀人「情熱の代償」GIRL NEXT DOOR  (エイベックス・トラックス)チーフプロデューサー:桑田　潔  プロデューサー:船津浩一、奈良井正巳、井上竜太朝日放送、テレビ朝日、ホリプロ</t>
  </si>
  <si>
    <t>ホストクラブ「リンク」への復帰が決まった公平(佐々木蔵之介)だったがナンバーワンホスト・イーグル(五十嵐隼士)からの風当たりは強くなるばかり。そんな中イーグルの恋人小夜(原幹恵)とのデートが決まり…。</t>
  </si>
  <si>
    <t>有希(真矢みき)は止めるが、公平はその勝負を受け入れる。そんな彼の前に銀座高級クラブの超一流ホステスが現われる…佐々木蔵之介、真矢みき、原沙知絵、三浦翔平、芦名　星、佐藤智仁、阿部　力、三津谷葉子、小林恵美、田中要次、平泉　成、古手川祐子、石橋　凌　ほか  　ほか滝　直毅・作画/土田世紀(小学館コミックス刊)荒井修子池添　博住友紀人「情熱の代償」GIRL NEXT DOOR  (エイベックス・トラックス)チーフプロデューサー:桑田　潔  プロデューサー:船津浩一、奈良井正巳、井上竜太朝日放送、テレビ朝日、ホリプロ</t>
  </si>
  <si>
    <t>有希(真矢みき)は止めるが、公平はその勝負を受け入れる。そんな彼の前に銀座高級クラブの超一流ホステスが現われる…</t>
  </si>
  <si>
    <t>何とか収拾をつけようとする公平(佐々木蔵之介)と有希(真矢みき)だがその裏にはある陰謀が隠されていた…。佐々木蔵之介、真矢みき、原沙知絵、三浦翔平、芦名　星、佐藤智仁、野波真帆、阿部　力、中村倫也、秋山莉奈、田中要次、石橋　凌　ほか滝　直毅・作画/土田世紀(小学館コミックス刊)荒井修子高橋伸之住友紀人「情熱の代償」GIRL NEXT DOOR  (エイベックス・トラックス)チーフプロデューサー:桑田　潔  プロデューサー:船津浩一、奈良井正巳、井上竜太朝日放送、テレビ朝日、ホリプロ</t>
  </si>
  <si>
    <t>何とか収拾をつけようとする公平(佐々木蔵之介)と有希(真矢みき)だがその裏にはある陰謀が隠されていた…。</t>
  </si>
  <si>
    <t>伝説のホスト七瀬公平が六本木に帰ってきた!超人気コミックスが待望のドラマ化!連ドラ初主演の佐々木蔵之介はじめ豪華キャストで送る人間ドラマ!佐々木蔵之介、真矢みき、原沙知絵、三浦翔平、芦名　星、佐藤智仁、田中要次、平泉　成、古手川祐子、石橋　凌　ほか滝　直毅・作画/土田世紀(小学館コミックス刊)荒井修子池添　博住友紀人「情熱の代償」GIRL NEXT DOOR  (エイベックス・トラックス)チーフプロデューサー:桑田　潔  プロデューサー:船津浩一、奈良井正巳、井上竜太朝日放送、テレビ朝日、ホリプロ</t>
  </si>
  <si>
    <t>伝説のホスト七瀬公平が六本木に帰ってきた!超人気コミックスが待望のドラマ化!連ドラ初主演の佐々木蔵之介はじめ豪華キャストで送る人間ドラマ!</t>
  </si>
  <si>
    <t>秀吉(佐藤智仁)は「ホストの墓場」と呼ばれる店で働いていた。何とか連れ戻そうする公平(佐々木蔵之介)だが、その店の代表サキエル(黄川田将也)がある条件を出す。果たしてその条件とは…?佐々木蔵之介、真矢みき、原沙知絵、三浦翔平、芦名　星、佐藤智仁、黄川田将也、西原亜希、田中要次、石橋　凌　ほか滝　直毅・作画/土田世紀(小学館コミックス刊)荒井修子高橋伸之住友紀人「情熱の代償」GIRL NEXT DOOR  (エイベックス・トラックス)チーフプロデューサー:桑田　潔  プロデューサー:船津浩一、奈良井正巳、井上竜太朝日放送、テレビ朝日、ホリプロ</t>
  </si>
  <si>
    <t>秀吉(佐藤智仁)は「ホストの墓場」と呼ばれる店で働いていた。何とか連れ戻そうする公平(佐々木蔵之介)だが、その店の代表サキエル(黄川田将也)がある条件を出す。果たしてその条件とは…?</t>
  </si>
  <si>
    <t>佐々木蔵之介、真矢みき、原沙知絵、三浦翔平、芦名　星、佐藤智仁、和田正人、田中要次、平泉　成、石橋　凌　ほか滝　直毅・作画/土田世紀(小学館コミックス刊)荒井修子池添　博住友紀人「情熱の代償」GIRL NEXT DOOR  (エイベックス・トラックス)チーフプロデューサー:桑田　潔  プロデューサー:船津浩一、奈良井正巳、井上竜太朝日放送、テレビ朝日、ホリプロ</t>
  </si>
  <si>
    <t>真矢みき、原沙知絵、三浦翔平、芦名　星、佐藤智仁、和田正人、田中要次、平泉　成、石橋　凌　ほか滝　直毅・作画/土田世紀(小学館コミックス刊)荒井修子池添　博住友紀人「情熱の代償」GIRL NEXT DOOR  (エイベックス・トラックス)チーフプロデューサー:桑田　潔  プロデューサー:船津浩一、奈良井正巳、井上竜太朝日放送、テレビ朝日、ホリプロ</t>
  </si>
  <si>
    <t>そんな中、カズマ(和田正人)の父親が大成だということを知った公平は親子の再会を試みるが…佐々木蔵之介、真矢みき、原沙知絵、三浦翔平、芦名星、佐藤智仁、和田正人、田中要次、平泉成、古手川祐子、石橋凌　ほか滝　直毅・作画/土田世紀(小学館コミックス刊)荒井修子高橋伸之住友紀人「情熱の代償」GIRL NEXT DOOR  (エイベックス・トラックス)チーフプロデューサー:桑田　潔  プロデューサー:船津浩一、奈良井正巳、井上竜太朝日放送、テレビ朝日、ホリプロ</t>
  </si>
  <si>
    <t>そんな中、カズマ(和田正人)の父親が大成だということを知った公平は親子の再会を試みるが…</t>
  </si>
  <si>
    <t>0810_EX_金23</t>
  </si>
  <si>
    <t>サラリーマン金太郎</t>
  </si>
  <si>
    <t>番組名サラリーマン金太郎</t>
  </si>
  <si>
    <t>かつては関東一円でその名を鳴らした暴走族・八州連合のヘッド。熱い魂を持つ型破りな主人公・矢島金太郎がサラリーマンの常識をぶち破り、会社を飲み込む台風の目となり、行く先々で大暴れを繰り広げます!永井　大、井上和香、青山倫子、風見しんご、菊池健一郎、小川奈那、辻　修、柴　俊夫、細川茂樹、古谷一行、宇津井健　ほか本宮ひろ志『サラリーマン金太郎』(集英社ヤングジャンプ・コミックス)深沢正樹、倉持　裕小松隆志、田村直己(テレビ朝日)ゆず「シシカバブー」プロデューサー:横地郁英(テレビ朝日)  　　　　　　　　伊藤達哉(MMJ)テレビ朝日、MMJ</t>
  </si>
  <si>
    <t>かつて関東一円でその名を鳴らした暴走族・八州連合のヘッド。熱い魂を持つ型破りな主人公・矢島金太郎がサラリーマンの常識をぶち破り、行く先々で大暴れを繰り広げます!永井大、井上和香、青山倫子、風見しんご、菊池健一郎、小川奈那、辻修、柴俊夫、細川茂樹、古谷一行、宇津井健　ほか本宮ひろ志『サラリーマン金太郎』(集英社ヤングジャンプ・コミックス)深沢正樹小松隆志ゆず「シシカバブー」(TOY'S　FACTORY)プロデューサー:横地郁英(テレビ朝日)  　　　　　　　　伊藤達哉(MMJ)テレビ朝日、MMJ《公式HP》  http://www.tv-asahi.co.jp/kintaro/</t>
  </si>
  <si>
    <t>かつて関東一円でその名を鳴らした暴走族・八州連合のヘッド。熱い魂を持つ型破りな主人公・矢島金太郎がサラリーマンの常識をぶち破り、行く先々で大暴れを繰り広げます!永井大、井上和香、青山倫子、風見しんご、菊池健一郎、小川奈那、辻修、柴俊夫、細川茂樹、古谷一行、宇津井健　ほか本宮ひろ志『サラリーマン金太郎』(集英社ヤングジャンプ・コミックス)深沢正樹田村直己(テレビ朝日)ゆず「シシカバブー」(TOY’S　FACTORY)プロデューサー:横地郁英(テレビ朝日)  　　　　　　　　伊藤達哉(MMJ)テレビ朝日、MMJ</t>
  </si>
  <si>
    <t>かつて関東一円でその名を鳴らした暴走族・八州連合のヘッド。熱い魂を持つ型破りな主人公・矢島金太郎がサラリーマンの常識をぶち破り、行く先々で大暴れを繰り広げます!永井大、井上和香、青山倫子、風見しんご、菊池健一郎、小川奈那、辻修、柴俊夫、細川茂樹、古谷一行、宇津井健　ほか本宮ひろ志『サラリーマン金太郎』(集英社ヤングジャンプ・コミックス)倉持　裕田村直己(テレビ朝日)ゆず「シシカバブー」(TOY’S　FACTORY)プロデューサー:横地郁英(テレビ朝日)  　　　　　　　　伊藤達哉(MMJ)テレビ朝日、MMJ《公式HP》  http://www.tv-asahi.co.jp/kintaro/</t>
  </si>
  <si>
    <t>かつて関東一円でその名を鳴らした暴走族・八州連合のヘッド。熱い魂を持つ型破りな主人公・矢島金太郎がサラリーマンの常識をぶち破り、行く先々で大暴れを繰り広げます!永井大、井上和香、青山倫子、風見しんご、菊池健一郎、小川奈那、辻修、柴俊夫、細川茂樹、古谷一行、宇津井健　ほか本宮ひろ志『サラリーマン金太郎』(集英社ヤングジャンプ・コミックス)倉持　裕小松隆志ゆず「シシカバブー」(TOY’S　FACTORY)プロデューサー:横地郁英(テレビ朝日)  　　　　　　　　伊藤達哉(MMJ)テレビ朝日、MMJ《公式HP》  http://www.tv-asahi.co.jp/kintaro/</t>
  </si>
  <si>
    <t>かつて関東一円でその名を鳴らした暴走族・八州連合のヘッド。熱い魂を持つ型破りな主人公・矢島金太郎がサラリーマンの常識をぶち破り、行く先々で大暴れを繰り広げます!永井大、井上和香、青山倫子、風見しんご、菊池健一郎、小川奈那、辻修、柴俊夫、細川茂樹、古谷一行、宇津井健　ほか本宮ひろ志『サラリーマン金太郎』(集英社ヤングジャンプ・コミックス)深沢正樹安見悟朗ゆず「シシカバブー」(TOY’S　FACTORY)プロデューサー:横地郁英(テレビ朝日)  　　　　　　　　伊藤達哉(MMJ)テレビ朝日、MMJ《公式HP》  http://www.tv-asahi.co.jp/kintaro/</t>
  </si>
  <si>
    <t>かつて関東一円でその名を鳴らした暴走族・八州連合のヘッド。熱い魂を持つ型破りな主人公・矢島金太郎がサラリーマンの常識をぶち破り、行く先々で大暴れを繰り広げます!永井大、井上和香、青山倫子、風見しんご、菊池健一郎、小川奈那、辻修、柴俊夫、細川茂樹、古谷一行、宇津井健　ほか本宮ひろ志『サラリーマン金太郎』(集英社ヤングジャンプ・コミックス)深沢正樹田村直己(テレビ朝日)ゆず「シシカバブー」(TOY’S　FACTORY)プロデューサー:横地郁英(テレビ朝日)  　　　　　　　　伊藤達哉(MMJ)テレビ朝日、MMJ《公式HP》  http://www.tv-asahi.co.jp/kintaro/</t>
  </si>
  <si>
    <t>かつて関東一円でその名を鳴らした暴走族・八州連合のヘッド。熱い魂を持つ型破りな主人公・矢島金太郎がサラリーマンの常識をぶち破り、行く先々で大暴れを繰り広げます!永井大、井上和香、青山倫子、風見しんご、菊池健一郎、小川奈那、辻修、柴俊夫、細川茂樹、古谷一行、宇津井健　ほか本宮ひろ志『サラリーマン金太郎』(集英社ヤングジャンプ・コミックス)深沢正樹小松隆志ゆず「シシカバブー」(TOY’S　FACTORY)プロデューサー:横地郁英(テレビ朝日)  　　　　　　　　伊藤達哉(MMJ)テレビ朝日、MMJ《公式HP》  http://www.tv-asahi.co.jp/kintaro/</t>
  </si>
  <si>
    <t>0807_EX_水21</t>
  </si>
  <si>
    <t>ゴンゾウ</t>
  </si>
  <si>
    <t>番組名ゴンゾウ～伝説の刑事</t>
  </si>
  <si>
    <t>第1話「ダメ警官登場」  井の頭署の地下にある備品係…。そこにいるのは…日本一のダメ警官・黒木俊英(内野聖陽)!?  かつては元警視庁捜査一課の伝説の刑事と呼ばれていたのだが…。  そんな黒木は所轄署で平穏な日々を送っていたのだがとんでもない事件が舞い込む…。内野聖陽・筒井道隆・本仮屋ユイカ・大塚寧々  高橋一生・矢島健一・菅原大吉・吉本菜穂子・前田亜季・綿引勝彦古沢良太猪崎宣昭池 頼広「Who -08-」小谷美紗子(ユニバーサル シグマ)チーフプロデューサー:松本基弘(テレビ朝日)  プロデューサー:伊東仁(テレビ朝日)・須藤泰司(東映)・横塚孝弘(東映)番組ホームページや携帯サイトも充実!  パソコン: www.tv-asahi.co.jp/gonzo  ケータイ: メニュー ⇒ TV ⇒ テレビ朝日 ⇒ ゴンゾウ</t>
  </si>
  <si>
    <t>第1話「ダメ警官登場」  井の頭署の地下にある備品係</t>
  </si>
  <si>
    <t>第2話「第一容疑者」  鶴(本仮屋ユイカ)ともなみ(前田亜季)が撃たれた…。死者が出たというが両方なのか1人だけなのか…。混乱の中、捜査本部に備品係の黒木(内野聖陽)が呼び戻されるが…。呼び戻したのはかつて部下だった佐久間(筒井道隆)。彼の意図は何なのか?内野聖陽・筒井道隆・本仮屋ユイカ・大塚寧々  高橋一生・矢島健一・菅原大吉・吉本菜穂子・前田亜季・綿引勝彦古沢良太猪崎宣昭池 頼広「Who -08-」小谷美紗子  (ユニバーサル シグマ)チーフプロデューサー:松本基弘(テレビ朝日)  プロデューサー:伊東仁(テレビ朝日)・須藤泰司(東映)・横塚孝弘(東映)番組ホームページや携帯サイトも充実!  パソコン: www.tv-asahi.co.jp/gonzo  ケータイ: メニュー ⇒ TV ⇒ テレビ朝日 ⇒ ゴンゾウ</t>
  </si>
  <si>
    <t>第2話「第一容疑者」  鶴(本仮屋ユイカ)ともなみ(前田亜季)が撃たれた</t>
  </si>
  <si>
    <t>第3話「目撃者ロダン」  日本一のダメ警官黒木(内野聖陽)がついに動き出す!?もなみ(前田亜季)銃撃の手がかりを得ようと聞き込みを開始し、天性の勘で事件の目撃者(金田明夫)を見つけるのだが…!指揮官の佐久間(筒井道隆)が凄腕ぶりを発揮!?内野聖陽・筒井道隆・本仮屋ユイカ・大塚寧々  高橋一生・矢島健一・菅原大吉・吉本菜穂子・前田亜季・綿引勝彦  《ゲスト》金田明夫古沢良太橋本 一池 頼広「Who -08-」小谷美紗子  (ユニバーサル シグマ)チーフプロデューサー:松本基弘(テレビ朝日)  プロデューサー:伊東仁(テレビ朝日)・須藤泰司(東映)・横塚孝弘(東映)●黒木待受、主題歌着メロ、好評配信中!  ケータイ: メニュー ⇒ TV ⇒ テレビ朝日 ⇒ ゴンゾウ  ●ポスター壁紙や黒木壁紙も追加!  PC: www.tv-asahi.co.jp/gonzo</t>
  </si>
  <si>
    <t>第3話「目撃者ロダン」  日本一のダメ警官黒木(内野聖陽)がついに動き出す!?もなみ(前田亜季)銃撃の手がかりを得ようと聞き込みを開始し、天性の勘で事件の目撃者(金田明夫)を見つけるのだが</t>
  </si>
  <si>
    <t>第4話「天使の証明」  日本一のダメ警官黒木(内野聖陽)が捜査に復帰。佐久間(筒井道隆)の指示でもなみ(前田亜季)の男性関係を洗う。憔悴しきったもなみの両親にもあたるが黒木は後ろめたい男性関係などないと判断するが佐久間は否定し、もなみの家を訪れ手がかりを掴もうとする…。内野聖陽・筒井道隆・本仮屋ユイカ・大塚寧々  高橋一生・矢島健一・菅原大吉・吉本菜穂子・綿引勝彦  《ゲスト》遠藤憲一脚本:古沢良太監督:橋本一池 頼広「Who -08-」小谷美紗子(ユニバーサル シグマ)チーフプロデューサー:松本基弘(テレビ朝日)  プロデューサー:伊東仁(テレビ朝日)・須藤泰司(東映)・横塚孝弘(東映)●黒木待受、主題歌着メロ、好評配信中!  ケータイ: メニュー ⇒ TV ⇒ テレビ朝日 ⇒ ゴンゾウ  ●ポスター壁紙や黒木壁紙も追加!  PC: www.tv-asahi.co.jp/gonzo</t>
  </si>
  <si>
    <t>第4話「天使の証明」  日本一のダメ警官黒木(内野聖陽)が捜査に復帰。佐久間(筒井道隆)の指示でもなみ(前田亜季)の男性関係を洗う。憔悴しきったもなみの両親にもあたるが黒木は後ろめたい男性関係などないと判断するが佐久間は否定し、もなみの家を訪れ手がかりを掴もうとする</t>
  </si>
  <si>
    <t>第5話「幻の拳銃」  黒木(内野聖陽)の提案で捜査本部はもなみ殺害に使われた銃を捜査することに。組事務所を捜索した結果イカズチという拳銃を売りに来た謎のブローカーがいたことが判明。黒木らは当時イカズチ製造工場で働いていた津田(左とん平)から話を聞くが…。内野聖陽　筒井道隆　本仮屋ユイカ　大塚寧々  高橋一生　矢島健一　菅原大吉　吉本菜穂子　綿引勝彦  左とん平　白井晃古沢良太猪崎宣昭池 頼広「Who -08-」小谷美紗子(ユニバーサル シグマ)チーフプロデューサー:松本基弘(テレビ朝日)  プロデューサー:伊東仁(テレビ朝日)・須藤泰司(東映)・横塚孝弘(東映)●黒木待受をゲットせよ!  ケータイ: メニュー ⇒ TV ⇒ テレビ朝日 ⇒ ゴンゾウ  ●パソコンには黒木壁紙が必須アイテム!  パソコン: www.tv-asahi.co.jp/gonzo</t>
  </si>
  <si>
    <t>第5話「幻の拳銃」  黒木(内野聖陽)の提案で捜査本部はもなみ殺害に使われた銃を捜査することに。組事務所を捜索した結果イカズチという拳銃を売りに来た謎のブローカーがいたことが判明。黒木らは当時イカズチ製造工場で働いていた津田(左とん平)から話を聞くが</t>
  </si>
  <si>
    <t>第6話「潜入捜査」  もなみ(前田亜季)殺害の容疑者が急浮上。思想団体会長の岡林(白井晃)。鶴の目撃証言とも一致。自宅に銃を何丁も所持との情報も…。黒木(内野聖陽)は潜入を希望するも佐久間(筒井道隆)は日比野(高橋一生)に潜入を命じ…内野聖陽　筒井道隆　本仮屋ユイカ　大塚寧々  高橋一生　矢島健一　菅原大吉　吉本菜穂子  白井晃　内田朝陽　三輪ひとみ古沢良太猪崎宣昭池 頼広「Who -08-」小谷美紗子(ユニバーサル シグマ)■チーフプロデューサー:  松本基弘(テレビ朝日)  ■プロデューサー:  伊東仁(テレビ朝日)  須藤泰司(東映)  横塚孝弘(東映)■キャスト待受、ゴンゾウ度診断はケータイサイトで!  ケータイ: メニュー ⇒ TV ⇒ テレビ朝日 ⇒ ゴンゾウ  ■黒木壁紙や現場紹介は、PCサイトで!  パソコン: www.tv-asahi.co.jp/gonzo</t>
  </si>
  <si>
    <t>第6話「潜入捜査」  もなみ(前田亜季)殺害の容疑者が急浮上。思想団体会長の岡林(白井晃)。鶴の目撃証言とも一致。自宅に銃を何丁も所持との情報も</t>
  </si>
  <si>
    <t>※【オリンピック2008】延長時には、放送時間が変更になる場合があります。  ご注意ください!第7話「3年前の真実」  岡林(白井晃)に銃を構えられた黒木(内野聖陽)の運命やいかに…!  いよいよ黒木の過去が明らかに!バイオリニスト殺人事件の3年前に黒木に一体なにがあったのか?本庁捜査一課のエース刑事が備品係へ転属のきっかけとなった衝撃の事件とは!?内野聖陽　筒井道隆　本仮屋ユイカ　大塚寧々  高橋一生　矢島健一　菅原大吉　吉本菜穂子  池脇千鶴　中村育二　白井晃　前田亜季　有馬稲子古沢良太橋本一池 頼広「Who -08-」小谷美紗子(ユニバーサル シグマ)■チーフプロデューサー  松本基弘(テレビ朝日)  ■プロデューサー  伊東仁(テレビ朝日)  須藤泰司(東映)  横塚孝弘(東映)■キャスト待受、ゴンゾウ度診断はケータイサイトで!  ケータイ: メニュー ⇒ TV ⇒ テレビ朝日 ⇒ ゴンゾウ  ■黒木壁紙や現場紹介は、PCサイトで!  パソコン: www.tv-asahi.co.jp/gonzo</t>
  </si>
  <si>
    <t>※【オリンピック2008】延長時には、放送時間が変更になる場合があります。  ご注意ください!第7話「3年前の真実」  岡林(白井晃)に銃を構えられた黒木(内野聖陽)の運命やいかに</t>
  </si>
  <si>
    <t>第8話「鍵を握る女」  岡林(白井晃)に銃をつきつけられた黒木(内野聖陽)の運命やいかに!  いよいよ事件が展開する!新たな物証が見つかり、黒木が動きだす!内野聖陽　筒井道隆　本仮屋ユイカ　大塚寧々  高橋一生　矢島健一　菅原大吉　吉本菜穂子  白井晃　前田亜季　有馬稲子古沢良太  代表作はドラマ「相棒」、映画「Always 三丁目の夕日」「キサラギ」ほか。橋本 一池 頼広「Who -08-」小谷美紗子(ユニバーサル シグマ)■チーフプロデューサー  松本基弘(テレビ朝日)  ■プロデューサー  伊東仁(テレビ朝日)  須藤泰司(東映)  横塚孝弘(東映)■キャスト待受、ゴンゾウ度診断はケータイサイトで!  ケータイ: メニュー ⇒ TV ⇒ テレビ朝日 ⇒ ゴンゾウ  ■黒木壁紙や現場紹介は、PCサイトで!  パソコン: www.tv-asahi.co.jp/gonzo</t>
  </si>
  <si>
    <t>第8話「鍵を握る女」  岡林(白井晃)に銃をつきつけられた黒木(内野聖陽)の運命やいかに!  いよいよ事件が展開する!新たな物証が見つかり、黒木が動きだす</t>
  </si>
  <si>
    <t>第9話内野聖陽　筒井道隆　本仮屋ユイカ　大塚寧々  高橋一生　矢島健一　菅原大吉　吉本菜穂子　綿引勝彦古沢良太  代表作はドラマ「相棒」、映画「Always 三丁目の夕日」「キサラギ」ほか。猪崎宣昭池 頼広「Who -08-」小谷美紗子(ユニバーサル シグマ)■チーフプロデューサー  松本基弘(テレビ朝日)  ■プロデューサー  伊東仁(テレビ朝日)  須藤泰司(東映)■キャスト待受、ゴンゾウ度診断はケータイサイトで!  ケータイ: メニュー ⇒ TV ⇒ テレビ朝日 ⇒ ゴンゾウ  ■黒木壁紙や現場紹介は、PCサイトで!  パソコン: www.tv-asahi.co.jp/gonzo</t>
  </si>
  <si>
    <t>第9話</t>
  </si>
  <si>
    <t>いよいよ最終回!  第10話!「夏の終わり」  黒木(内野聖陽)がいよいよ真犯人と直接対決!  ゴンゾウ黒木の運命はいかに!?  捜査に乗り出す黒木に佐久間の陰謀が?  佐久間の狙いとは一体なんなのか!?  暑い夏が終わろうとしている…内野聖陽　筒井道隆　本仮屋ユイカ　大塚寧々  高橋一生　矢島健一　菅原大吉　吉本菜穂子　綿引勝彦古沢良太  代表作はドラマ「相棒」、映画「Always 三丁目の夕日」「キサラギ」ほか。猪崎宣昭池 頼広「Who -08-」小谷美紗子(ユニバーサル シグマ)■チーフプロデューサー  松本基弘(テレビ朝日)  ■プロデューサー  伊東仁(テレビ朝日)  須藤泰司(東映)■キャスト待受、ゴンゾウ度診断はケータイサイトで!  ケータイ: メニュー ⇒ TV ⇒ テレビ朝日 ⇒ ゴンゾウ  ■黒木壁紙や現場紹介は、PCサイトで!  パソコン: www.tv-asahi.co.jp/gonzo</t>
  </si>
  <si>
    <t>いよいよ最終回!  第10話!「夏の終わり」  黒木(内野聖陽)がいよいよ真犯人と直接対決!  ゴンゾウ黒木の運命はいかに!?  捜査に乗り出す黒木に佐久間の陰謀が?  佐久間の狙いとは一体なんなのか!?  暑い夏が終わろうとしている</t>
  </si>
  <si>
    <t>0807_EX_木21</t>
  </si>
  <si>
    <t>四つの嘘</t>
  </si>
  <si>
    <t>番組名四つの嘘</t>
  </si>
  <si>
    <t>どこの家庭にも秘密がある。時には残酷な、毒のある嘘がある。そんな女性たちの滑稽な人生を、ウィットとユーモアに溢れた展開の中で描く!40代に突入した元クラスメイトたちが繰り広げる嘘と本音のリアルな辛口ドラマを、豪華4人の女優陣がパワフルに競演!永作博美、寺島しのぶ、勝地涼、渡辺いっけい/野際陽子(特別出演)/仲村トオル(友情出演)、羽田美智子、高島礼子大石　静松田秀知(共同テレビ)『If I'm not the one』谷村奈南(SONICGROOVE)プロデューサー:内山聖子(テレビ朝日)  　　　　　　　　中川慎子(テレビ朝日)  　　　　　　　　高橋萬彦(共同テレビ)《公式HP》  http://www.tv-asahi.co.jp/4lies/</t>
  </si>
  <si>
    <t>どこの家庭にも秘密がある。時には残酷な、毒のある嘘がある。そんな女性たちの滑稽な人生を、ウィットとユーモアに溢れた展開の中で描く!40代に突入した元クラスメイトたちが繰り広げる嘘と本音のリアルな辛口ドラマを、豪華4人の女優陣がパワフルに競演!</t>
  </si>
  <si>
    <t>どこの家庭にも秘密がある。時には残酷な、毒のある嘘がある。思いがけない急展開が!それぞれの家庭の事情と事件をめぐる人々の波乱が交錯する!永作博美、寺島しのぶ、勝地涼、渡辺いっけい/野際陽子(特別出演)/仲村トオル(友情出演)、羽田美智子、高島礼子大石　静松田秀知(共同テレビ)・藤田明二(テレビ朝日)『If I'm not the one』谷村奈南(SONICGROOVE)プロデューサー:内山聖子(テレビ朝日)  　　　　　　　　中川慎子(テレビ朝日)  　　　　　　　　高橋萬彦(共同テレビ)《公式HP》  http://www.tv-asahi.co.jp/4lies/</t>
  </si>
  <si>
    <t>どこの家庭にも秘密がある。時には残酷な、毒のある嘘がある。思いがけない急展開が!それぞれの家庭の事情と事件をめぐる人々の波乱が交錯する!</t>
  </si>
  <si>
    <t>親の老後、子供の幸せ、経営困難、禁断の恋、様々な事が41歳女性たちに押し寄せる!秘密が増して大きくなり理性と本音の葛藤が交錯する!40代に突入した元クラスメイトたちが繰り広げる嘘と本音のリアルな辛口ドラマを、豪華4人の女優陣がパワフルに競演!永作博美、寺島しのぶ、勝地涼、渡辺いっけい/野際陽子(特別出演)/仲村トオル(友情出演)、羽田美智子、高島礼子大石　静藤田明二(テレビ朝日)『If I'm not the one』谷村奈南(SONICGROOVE)プロデューサー:内山聖子(テレビ朝日)  　　　　　　　　中川慎子(テレビ朝日)  　　　　　　　　高橋萬彦(共同テレビ)《公式HP》  http://www.tv-asahi.co.jp/4lies/</t>
  </si>
  <si>
    <t>親の老後、子供の幸せ、経営困難、禁断の恋、様々な事が41歳女性たちに押し寄せる!秘密が増して大きくなり理性と本音の葛藤が交錯する!40代に突入した元クラスメイトたちが繰り広げる嘘と本音のリアルな辛口ドラマを、豪華4人の女優陣がパワフルに競演!</t>
  </si>
  <si>
    <t>父親の介護、経営困難な店、娘のあるべき将来・・・時には嘘をついて守る事が必要なのかもしれない。周りを見渡せば、自分だけ取り残されていてる感覚と焦り。41歳で出会ってしまった現実との葛藤。  守るべきものが増えた今、何を大切にし、何を犠牲にするのか・・・41歳の女性たちの思いが波乱をよぶ!永作博美、寺島しのぶ、勝地涼、渡辺いっけい/野際陽子(特別出演)/仲村トオル(友情出演)、羽田美智子、高島礼子大石　静藤田明二(テレビ朝日)『If I'm not the one』谷村奈南(SONICGROOVE)プロデューサー:内山聖子(テレビ朝日)  　　　　　　　　中川慎子(テレビ朝日)  　　　　　　　　高橋萬彦(共同テレビ)《公式HP》  http://www.tv-asahi.co.jp/4lies/</t>
  </si>
  <si>
    <t>父親の介護、経営困難な店、娘のあるべき将来・・・時には嘘をついて守る事が必要なのかもしれない。周りを見渡せば、自分だけ取り残されていてる感覚と焦り。41歳で出会ってしまった現実との葛藤。  守るべきものが増えた今、何を大切にし、何を犠牲にするのか・・・41歳の女性たちの思いが波乱をよぶ!</t>
  </si>
  <si>
    <t>年下との恋の進展、友達の男への恋、娘の身勝手、新たな恋の予感・・。  守るべきものが増えた今、何を大切にし、何を犠牲にするのか・・・どこの家庭にも秘密がある。時には残酷な、毒のある嘘がある。41歳の女性たちの思いが波乱をよぶ!永作博美、寺島しのぶ、勝地涼、渡辺いっけい/野際陽子(特別出演)/仲村トオル(友情出演)、羽田美智子、高島礼子  《ゲスト》石黒賢大石　静松田秀知(共同テレビ)『If I'm not the one』谷村奈南(SONICGROOVE)プロデューサー:内山聖子(テレビ朝日)  　　　　　　　　中川慎子(テレビ朝日)  　　　　　　　　高橋萬彦(共同テレビ)《公式HP》  http://www.tv-asahi.co.jp/4lies/</t>
  </si>
  <si>
    <t>年下との恋の進展、友達の男への恋、娘の身勝手、新たな恋の予感・・。  守るべきものが増えた今、何を大切にし、何を犠牲にするのか・・・どこの家庭にも秘密がある。時には残酷な、毒のある嘘がある。41歳の女性たちの思いが波乱をよぶ!</t>
  </si>
  <si>
    <t>年下との恋の進展、友達の男への恋、娘の身勝手、新たな恋の予感・・。  守るべきものが増えた今、何を大切にし、何を犠牲にするのか・・・どこの家庭にも秘密がある。時には残酷な、毒のある嘘がある。41歳の女性たちの思いが波乱をよぶ!永作博美、寺島しのぶ、勝地涼、渡辺いっけい/野際陽子(特別出演)/仲村トオル(友情出演)、羽田美智子、高島礼子大石　静土方政人(共同テレビ)『If I'm not the one』谷村奈南(SONICGROOVE)プロデューサー:内山聖子(テレビ朝日)  　　　　　　　　中川慎子(テレビ朝日)  　　　　　　　　高橋萬彦(共同テレビ)《公式HP》  http://www.tv-asahi.co.jp/4lies/</t>
  </si>
  <si>
    <t>3人の女の物語が急展開!詩文(永作博美)の新たな恋!ネリ(高島礼子)に巻き起こったスキャンダル!夫の不倫で家庭崩壊の危機を迎える満希子(寺島しのぶ)!そんな満希子も決意を・・若い男への止められない気持ち・・  それぞれの家庭の秘密が明らかに!永作博美、寺島しのぶ、勝地涼、渡辺いっけい/野際陽子(特別出演)/仲村トオル(友情出演)、羽田美智子、高島礼子　《ゲスト》石黒賢・星野真里大石　静松田秀知(共同テレビ)『If I'm not the one』谷村奈南(SONICGROOVE)プロデューサー:内山聖子(テレビ朝日)  　　　　　　　　中川慎子(テレビ朝日)  　　　　　　　　高橋萬彦(共同テレビ)《公式HP》  http://www.tv-asahi.co.jp/4lies/</t>
  </si>
  <si>
    <t>3人の女の物語が急展開!詩文(永作博美)の新たな恋!ネリ(高島礼子)に巻き起こったスキャンダル!夫の不倫で家庭崩壊の危機を迎える満希子(寺島しのぶ)!そんな満希子も決意を・・若い男への止められない気持ち・・  それぞれの家庭の秘密が明らかに!</t>
  </si>
  <si>
    <t>3人の女の物語が急展開!詩文(永作博美)の結婚への決意!?ネリ(高島礼子)を陥れようとしていた者の正体は・・・!夫の不倫で拍車がかかる年下の男への止められない想いの満希子(寺島しのぶ)!  それぞれの嘘が明るみになり、新たな嘘を呼ぶ・・・!!永作博美、寺島しのぶ、勝地涼、渡辺いっけい/野際陽子(特別出演)/仲村トオル(友情出演)、羽田美智子、高島礼子大石　静藤田明二(テレビ朝日)『If I'm not the one』谷村奈南(SONICGROOVE)プロデューサー:内山聖子(テレビ朝日)  　　　　　　　　中川慎子(テレビ朝日)  　　　　　　　　高橋萬彦(共同テレビ)《公式HP》  http://www.tv-asahi.co.jp/4lies/</t>
  </si>
  <si>
    <t>3人の女の物語が急展開!詩文(永作博美)の結婚への決意!?ネリ(高島礼子)を陥れようとしていた者の正体は・・・!夫の不倫で拍車がかかる年下の男への止められない想いの満希子(寺島しのぶ)!  それぞれの嘘が明るみになり、新たな嘘を呼ぶ・・・!!</t>
  </si>
  <si>
    <t>4人の女の物語が遂に完結!どこの家庭にも秘密がある。時には残酷な、毒のある嘘がある。そんな女性たちの滑稽な人生が再度波乱に巻き込まれる!!  それぞれの嘘が明るみになり、新たな嘘を呼ぶ・・・!!  最後に4人がとった衝撃の行動とは・・・!!永作博美、寺島しのぶ、勝地涼、渡辺いっけい/野際陽子(特別出演)/仲村トオル(友情出演)、羽田美智子、高島礼子  《ゲスト》石黒賢・星野真里大石　静藤田明二(テレビ朝日)『If I'm not the one』谷村奈南(SONICGROOVE)プロデューサー:内山聖子(テレビ朝日)  　　　　　　　　中川慎子(テレビ朝日)  　　　　　　　　高橋萬彦(共同テレビ)《公式HP》  http://www.tv-asahi.co.jp/4lies/</t>
  </si>
  <si>
    <t>4人の女の物語が遂に完結!どこの家庭にも秘密がある。時には残酷な、毒のある嘘がある。そんな女性たちの滑稽な人生が再度波乱に巻き込まれる!!  それぞれの嘘が明るみになり、新たな嘘を呼ぶ・・・!!  最後に4人がとった衝撃の行動とは・・・!!</t>
  </si>
  <si>
    <t>0807_EX_金23</t>
  </si>
  <si>
    <t>打撃天使ルリ</t>
  </si>
  <si>
    <t>番組名打撃天使ルリ</t>
  </si>
  <si>
    <t>OL小峰ルリは会社ではお局、軽んじられ残業や雑用を押し付けられる日々。両親と実家暮しでいい歳して彼氏なし。ある日自分の不思議な力に気づく…『怒りがわくと拳にものすごい力が宿って一発で人を倒してしまう』悪の限りを尽くす若者や荒くれ者、決して法だけでは裁ききれない悪をルリの華奢な豪腕が打ちのめす!菊川怜、遠藤雄弥(D-BOYS)、池田努、中山恵、木内晶子、小須田康人、永池南津子、能世あんな、沢木ルカ、升毅、石野真子、池畑慎之介    第1話:井田國彦、菊地裕子、松本春姫、千代将太、平田竜也、竹内友哉徳永友一、高橋美幸週刊ヤングジャンプ「打撃天使ルリ」(山本康人)常廣丈太(テレビ朝日)「I　LOVE　YOUをさがしてる」GLAY  (EMIミュージック・ジャパン)    【音楽】  海田庄吾チーフプロデューサー:桑田　潔(テレビ朝日)  プロデューサー:川西　琢(テレビ朝日)テレビ朝日、国際放映</t>
  </si>
  <si>
    <t>OL小峰ルリは会社ではお局、軽んじられ残業や雑用を押し付けられる日々。両親と実家暮しでいい歳して彼氏なし。ある日自分の不思議な力に気づく…『怒りがわくと拳にものすごい力が宿って一発で人を倒してしまう』悪の限りを尽くす若者や荒くれ者、決して法だけでは裁ききれない悪をルリの華奢な豪腕が打ちのめす!</t>
  </si>
  <si>
    <t>唯は、恐怖に戸惑うルリに「打撃すればいい。答えはおのずと出るはず」と語りかける。出社途中のルリに若い男が「婚約者に渡して。俺はやってない、そう伝えて」と言いながら、警官に連行されていく…菊川怜、遠藤雄弥(D-BOYS)、池田努、中山恵、木内晶子、小須田康人、永池南津子、能世あんな、沢木ルカ、升毅、石野真子、池畑慎之介    佐藤寛子、遠山俊也、渡航輝、井田國彦、菊地裕子、松本春姫、千代将太、平田竜也、竹内友哉徳永友一週刊ヤングジャンプ「打撃天使ルリ」(山本康人)常廣丈太「I　LOVE　YOUをさがしてる」GLAY  (EMIミュージック・ジャパン)    【音楽】  海田庄吾チーフプロデューサー:桑田　潔(テレビ朝日)  プロデューサー:川西　琢(テレビ朝日)テレビ朝日、国際放映</t>
  </si>
  <si>
    <t>唯は、恐怖に戸惑うルリに「打撃すればいい。答えはおのずと出るはず」と語りかける。出社途中のルリに若い男が「婚約者に渡して。俺はやってない、そう伝えて」と言いながら、警官に連行されていく…</t>
  </si>
  <si>
    <t>アポロンズのエース三宅は20連勝中。女子アナウンサー岩倉優子(古川りか)と交際中。スポーツマンらしい爽やかさに健一郎はますますファンになっる。ルリは優子の態度がどこか気にかかる。山中で女性の遺体が発見され、神取(池畑慎之介)佐々木(池田努)が捜査を開始菊川怜、遠藤雄弥(D-BOYS)、池田努、中山恵、木内晶子、小須田康人、永池南津子、能世あんな、沢木ルカ、升毅、石野真子、池畑慎之介　　　  古川りか、永山たかし、渡辺俊介(ロッテ)、大堀こういち、細田喜加、栗山英樹、大木優紀徳永友一週刊ヤングジャンプ「打撃天使ルリ」(山本康人)秋山純(テレビ朝日)「I　LOVE　YOUをさがしてる」GLAY  (EMIミュージック・ジャパン)    【音楽】  海田庄吾チーフプロデューサー:桑田　潔(テレビ朝日)  プロデューサー:川西　琢(テレビ朝日)テレビ朝日、国際放映☆プレゼントもあります!    ※『熱闘甲子園』が雨天中止のときは、番組を繰り上げて放送予定です</t>
  </si>
  <si>
    <t>アポロンズのエース三宅は20連勝中。女子アナウンサー岩倉優子(古川りか)と交際中。スポーツマンらしい爽やかさに健一郎はますますファンになっる。ルリは優子の態度がどこか気にかかる。山中で女性の遺体が発見され、神取(池畑慎之介)佐々木(池田努)が捜査を開始</t>
  </si>
  <si>
    <t>※この番組は、「熱闘甲子園」が休止の場合は放送時間が変更になります。起業して間もない国井は、ここ数年急成長し業界から注目される存在。ルリの会社クレセンスでも、もちろん女子社員の憧れの的!一方、連続する暴行事件の被害状況を検証しようと実験を試みる佐々木(池田努)と神取(池畑慎之介)。菊川怜、遠藤雄弥(D-BOYS)、池田努、中山恵、木内晶子、小須田康人、永池南津子、能世あんな、沢木ルカ、升毅、石野真子、池畑慎之介    大沢樹生、古川りか、大山英雄、半田周平、高本惠理、黒濱優至、町田政則徳永友一週刊ヤングジャンプ「打撃天使ルリ」(山本康人)秋山純(テレビ朝日)「I　LOVE　YOUをさがしてる」GLAY  (EMIミュージック・ジャパン)    【音楽】  海田庄吾チーフプロデューサー:桑田　潔(テレビ朝日)  プロデューサー:川西　琢(テレビ朝日)テレビ朝日、国際放映</t>
  </si>
  <si>
    <t>。起業して間もない国井は、ここ数年急成長し業界から注目される存在。ルリの会社クレセンスでも、もちろん女子社員の憧れの的!一方、連続する暴行事件の被害状況を検証しようと実験を試みる佐々木(池田努)と神取(池畑慎之介)。</t>
  </si>
  <si>
    <t>息子を連続暴行魔に打撃され敵をとろうと必死に探していた男は、あるニュースをきっかけにルリを疑い始める!ついに小峰家を突き止め・・・ルリは両親の前で打撃することはできるのか!ルリと佐々木(池田努)2人が急接近!一方、唯に依頼されある場所を訪れた健一郎が大ピンチ!!菊川怜、遠藤雄弥(D-BOYS)、池田努、中山恵、木内晶子、小須田康人、永池南津子、能世あんな、沢木ルカ、升毅、石野真子、池畑慎之介    山田明郷、永山たかし徳永友一週刊ヤングジャンプ「打撃天使ルリ」(山本康人)常廣丈太(テレビ朝日)「I　LOVE　YOUをさがしてる」GLAY  (EMIミュージック・ジャパン)    【音楽】  海田庄吾チーフプロデューサー:桑田　潔(テレビ朝日)  プロデューサー:川西　琢(テレビ朝日)テレビ朝日、国際放映詳しくは　www.tv-asahi.co.jp/dageki/</t>
  </si>
  <si>
    <t>息子を連続暴行魔に打撃され敵をとろうと必死に探していた男は、あるニュースをきっかけにルリを疑い始める!ついに小峰家を突き止め・・・ルリは両親の前で打撃することはできるのか!ルリと佐々木(池田努)2人が急接近!一方、唯に依頼されある場所を訪れた健一郎が大ピンチ!!</t>
  </si>
  <si>
    <t>健一郎(遠藤雄弥)は、唯(沢木ルカ)のお願いであるマンションを訪れて、何者かによって打撃を受け気を失う!目覚めると、そこには工藤真彦(大浦龍宇一)が。工藤は「キミと同じ打撃人類だ」と告白する。果たして彼は敵なのか、それとも味方なのか…。ついに謎の唯が始動する!菊川怜、遠藤雄弥(D-BOYS)、池田努、中山恵、木内晶子、小須田康人、永池南津子、能世あんな、沢木ルカ、升毅、石野真子、池畑慎之介    大浦龍宇一、山内翔平、河野達郎、平山恵理、松浦愛弓徳永友一週刊ヤングジャンプ「打撃天使ルリ」(山本康人)梶山貴弘(テレビ朝日)「I　LOVE　YOUをさがしてる」GLAY  (EMIミュージック・ジャパン)    【音楽】  海田庄吾チーフプロデューサー:桑田　潔(テレビ朝日)  プロデューサー:川西　琢(テレビ朝日)テレビ朝日、国際放映能勢あんなさん演じるニュースキャスター・葛谷美里の知られざる素顔が描かれたスピンオフドラマがホームページで配信スタート!  ネット動画『葛谷美里の女子アナ日記』第2話  www.tv-asahi.co.jp/dageki/</t>
  </si>
  <si>
    <t>健一郎(遠藤雄弥)は、唯(沢木ルカ)のお願いであるマンションを訪れて、何者かによって打撃を受け気を失う!目覚めると、そこには工藤真彦(大浦龍宇一)が。工藤は「キミと同じ打撃人類だ」と告白する。果たして彼は敵なのか、それとも味方なのか…。ついに謎の唯が始動する!</t>
  </si>
  <si>
    <t>打撃を封印した健一郎。ルリを匿う佐々木。ルリを追い込む神取。それぞれの想いが複雑に絡み合い「打撃」の本当の意味とは何かを考えるルリ。果たして打撃は天使なのか?悪魔なのか?ついにルリと神取の宿命の対決が見られる!ラスト打撃「だしゃあ-!」に込められた思いとは!菊川怜、遠藤雄弥(D-BOYS)、池田努、中山恵、木内晶子、小須田康人、永池南津子、能世あんな、沢木ルカ、升毅、石野真子、池畑慎之介    小林すすむ、佐野夏芽、山内翔平、河野達郎、平山恵理、松浦愛弓、石井嘉仁、深寅芥徳永友一週刊ヤングジャンプ「打撃天使ルリ」(山本康人)秋山純(テレビ朝日)「I　LOVE　YOUをさがしてる」GLAY  (EMIミュージック・ジャパン)    【音楽】  海田庄吾チーフプロデューサー:桑田　潔(テレビ朝日)  プロデューサー:川西　琢(テレビ朝日)テレビ朝日、国際放映ネット動画『葛谷美里の女子アナ日記』ホームページで配信中!   www.tv-asahi.co.jp/dageki/    主題歌「I LOVE　YOUをさがしてる」GLAY　プレゼントあり!!</t>
  </si>
  <si>
    <t>打撃を封印した健一郎。ルリを匿う佐々木。ルリを追い込む神取。それぞれの想いが複雑に絡み合い「打撃」の本当の意味とは何かを考えるルリ。果たして打撃は天使なのか?悪魔なのか?ついにルリと神取の宿命の対決が見られる!ラスト打撃「だしゃあ-!」に込められた思いとは!</t>
  </si>
  <si>
    <t>0804_EX_木21</t>
  </si>
  <si>
    <t>7人の女弁護士</t>
  </si>
  <si>
    <t>番組名7人の女弁護士</t>
  </si>
  <si>
    <t>温泉に来た、真紀(釈由美子)、妙子(原沙知絵)、静香(東ちづる)はドラマの撮影隊と遭遇する。真紀はそこで女優として頑張っている友人・睦美(鈴木亜美)と再会する。再会を喜ぶ2人だが…翌日、監督(斉藤洋介)の死体が発見され、容疑者として睦美が逮捕される釈由美子、原沙知絵、野際陽子、東ちづる、中島知子、三浦理恵子、滝沢沙織、永井大、中村果生莉  【ゲスト】鈴木亜美、涼風真世、デビット伊東、半田健人　ほか尾崎将也、田子明弘　ほか麻生 学、新村良二、二宮浩行『Kissing　you』BoAチーフプロデューサー:五十嵐文郎(テレビ朝日)  プロデューサー:藤本一彦(テレビ朝日)  　　　　　　　　横地郁英(テレビ朝日)  　　　　　　　　遠田孝一(MMJ)  　　　　　　　　布施　等(MMJ)『7人の女弁護士』公式HP  　http://www.tv-asahi.co.jp/7nin/   携帯サイト  　メニュー⇒TV⇒テレビ朝日⇒7人の女弁護士  　★藤堂真紀待ち受け配信中★</t>
  </si>
  <si>
    <t>温泉に来た、真紀(釈由美子)、妙子(原沙知絵)、静香(東ちづる)はドラマの撮影隊と遭遇する。真紀はそこで女優として頑張っている友人・睦美(鈴木亜美)と再会する。再会を喜ぶ2人だが</t>
  </si>
  <si>
    <t>真紀(釈由美子)と一平(永井大)が買い物をしているとそこに沢田光代(筒井真理子)と裕一(野々村真)がやってきてなにやらクレームを店長・佳恵(山田まりや)につけていた…。後日、光代が殺され目撃情報から佳恵が逮捕される。真紀は佳恵の弁護を引き受けるが…。　釈由美子、原沙知絵、野際陽子、東ちづる、中島知子、三浦理恵子、滝沢沙織、永井大、中村果生莉  【ゲスト】  　山田まりや、筒井真理子、野々村真　尾崎将也、田子明弘ほか　麻生 学、新村良二、二宮浩行　『Kissing　you』BoA　チーフプロデューサー:五十嵐文郎(テレビ朝日)  　プロデューサー:藤本一彦(テレビ朝日)  　　　　　　　　　横地郁英(テレビ朝日)  　　　　　　　　　遠田孝一(MMJ)  　　　　　　　　　布施　等(MMJ)『7人の女弁護士』公式HP  　http://www.tv-asahi.co.jp/7nin/   携帯サイト  　メニュー⇒TV⇒テレビ朝日⇒7人の女弁護士  　　★藤堂真紀待ち受け配信中★</t>
  </si>
  <si>
    <t xml:space="preserve">真紀(釈由美子)と一平(永井大)が買い物をしているとそこに沢田光代(筒井真理子)と裕一(野々村真)がやってきてなにやらクレームを店長・佳恵(山田まりや)につけていた…。後日、光代が殺され目撃情報から佳恵が逮捕される。真紀は佳恵の弁護を引き受けるが…。　</t>
  </si>
  <si>
    <t>息子・涼太の自殺の原因は学校でのイジメ、と思い込む母親の忍(伊藤かずえ)はイジメを認めない学校側に腹を立て藤川校長(永島敏行)を切り付ける。真紀(釈由美子)は自暴自棄になる忍の弁護に悪戦苦闘!そんな中、涼太の担任・美緒(吉井怜)が自殺し…　釈由美子、原沙知絵、野際陽子、東ちづる、中島知子、三浦理恵子、滝沢沙織、永井大、中村果生莉  【ゲスト】  　伊藤かずえ、永島敏行、吉井　怜、佐藤銀平ほか　尾崎将也、田子明弘　麻生 学、新村良二、二宮浩行『Kissing　you』BoA(エイベックス　トラックス)　チーフプロデューサー:五十嵐文郎(テレビ朝日)  　プロデューサー:藤本一彦(テレビ朝日)  　　　　　　　　　横地郁英(テレビ朝日)  　　　　　　　　　遠田孝一(MMJ)  　　　　　　　　　布施　等(MMJ)『7人の女弁護士』公式HP  http://www.tv-asahi.co.jp/7nin/  -出演者インタビュー、スイーツ&amp;ファッション情報など情報満載!-   携帯サイト  メニュー⇒TV⇒テレビ朝日⇒7人の女弁護士  ★藤堂真紀待ち受け配信中★</t>
  </si>
  <si>
    <t xml:space="preserve">息子・涼太の自殺の原因は学校でのイジメ、と思い込む母親の忍(伊藤かずえ)はイジメを認めない学校側に腹を立て藤川校長(永島敏行)を切り付ける。真紀(釈由美子)は自暴自棄になる忍の弁護に悪戦苦闘!そんな中、涼太の担任・美緒(吉井怜)が自殺し…　</t>
  </si>
  <si>
    <t>会社員の間下(鈴木浩介)が殺害され、出会い系サイトで知り合った美由紀(安倍麻美)が逮捕された。美由紀は犯行を否認したまま起訴されてしまう。真紀(釈由美子)は、自分が容疑者になっているにも関わらず、曖昧な態度をとる美由紀に驚きながらも、調査を開始すると・・・　釈由美子、原沙知絵、野際陽子、東ちづる、中島知子、三浦理恵子、滝沢沙織、永井大、中村果生莉    【ゲスト】安倍麻美、岩崎ひろみ、鈴木浩介、すほうれいこ、中村俊太ほか　尾崎将也、田子明弘ほか　麻生 学、新村良二、二宮浩行『Kissing　you』BoA(エイベックス　トラックス)チーフプロデューサー:五十嵐文郎(テレビ朝日)  プロデューサー:藤本一彦(テレビ朝日)  　　　　　　　　横地郁英(テレビ朝日)  　　　　　　　　遠田孝一(MMJ)  　　　　　　　　布施　等(MMJ)『7人の女弁護士』公式HP  http://www.tv-asahi.co.jp/7nin/  -出演者インタビュー、スイーツ&amp;ファッション情報など情報満載!-   携帯サイト  メニュー⇒TV⇒テレビ朝日⇒7人の女弁護士  ★藤堂真紀待ち受け配信中★</t>
  </si>
  <si>
    <t xml:space="preserve">会社員の間下(鈴木浩介)が殺害され、出会い系サイトで知り合った美由紀(安倍麻美)が逮捕された。美由紀は犯行を否認したまま起訴されてしまう。真紀(釈由美子)は、自分が容疑者になっているにも関わらず、曖昧な態度をとる美由紀に驚きながらも、調査を開始すると・・・　</t>
  </si>
  <si>
    <t>あやめ(遠藤久美子)は妹・久美子(市川由衣)がホストのリョウ(天野浩成)に騙されていることを知り、直談判に・・・その翌日、リョウの遺体が発見され、あやめは逮捕される。久美子は助けを求めて弁護士事務所へ!真紀(釈由美子)は真犯人探しを開始するが?!　釈由美子、原沙知絵、野際陽子、東ちづる、中島知子、三浦理恵子、滝沢沙織、永井大、中村果生莉  【ゲスト】  　市川由衣、遠藤久美子、甲本雅裕、天野浩成、斎藤工、小野真弓 ほか　尾崎将也、田子明弘、樫田正剛ほか　麻生 学、新村良二、二宮浩行『Kissing　you』BoA(エイベックス　トラックス)チーフプロデューサー:五十嵐文郎(テレビ朝日)  プロデューサー:藤本一彦(テレビ朝日)  　　　　　　　　横地郁英(テレビ朝日)  　　　　　　　　遠田孝一(MMJ)  　　　　　　　　布施　等(MMJ)『7人の女弁護士』公式HP  　http://www.tv-asahi.co.jp/7nin/  真紀のファッションチェックやスイーツ情報!など情報が満載♪     携帯サイト  　メニュー⇒TV⇒テレビ朝日⇒7人の女弁護士  　★藤堂真紀待ち受け配信中★</t>
  </si>
  <si>
    <t xml:space="preserve">あやめ(遠藤久美子)は妹・久美子(市川由衣)がホストのリョウ(天野浩成)に騙されていることを知り、直談判に・・・その翌日、リョウの遺体が発見され、あやめは逮捕される。久美子は助けを求めて弁護士事務所へ!真紀(釈由美子)は真犯人探しを開始するが?!　</t>
  </si>
  <si>
    <t>一流企業の課長・真鍋(大鶴義丹)の遺体が同社の資料室から発見され、真鍋からセクハラにあっていた部下の恵美(酒井美紀)が殺害容疑で逮捕される。会社を守ろうとする企業の弁護士・大沢(升毅)と対立しながら、真紀(釈由美子)らは恵美の無罪を証明するため奔走することに　釈由美子、原沙知絵、野際陽子、東ちづる、中島知子、三浦理恵子、滝沢沙織、永井大、中村果生莉  【ゲスト】  　酒井美紀、升毅、大鶴義丹、西川忠志、一戸奈美ほか　尾崎将也、田子明弘、樫田正剛ほか　麻生 学、新村良二、二宮浩行『Kissing　you』BoA(エイベックス　トラックス)チーフプロデューサー:五十嵐文郎(テレビ朝日)  プロデューサー:藤本一彦(テレビ朝日)  　　　　　　　　横地郁英(テレビ朝日)  　　　　　　　　遠田孝一(MMJ)  　　　　　　　　布施　等(MMJ)『7人の女弁護士』公式HP  　http://www.tv-asahi.co.jp/7nin/  真紀のファッションチェックやスイーツ情報!など情報が満載♪     携帯サイト  　メニュー⇒TV⇒テレビ朝日⇒7人の女弁護士  　★藤堂真紀待ち受け配信中★</t>
  </si>
  <si>
    <t xml:space="preserve">一流企業の課長・真鍋(大鶴義丹)の遺体が同社の資料室から発見され、真鍋からセクハラにあっていた部下の恵美(酒井美紀)が殺害容疑で逮捕される。会社を守ろうとする企業の弁護士・大沢(升毅)と対立しながら、真紀(釈由美子)らは恵美の無罪を証明するため奔走することに　</t>
  </si>
  <si>
    <t>美佐子(野際陽子)の友人・フミ(朝丘雪路)が息子・一郎(金山一彦)の嫁・典子(中島ひろ子)殺害容疑で逮捕された。嫁姑の確執も浮上する。真紀は事件発生時に引きこもったままだった隣家の光橋(中本賢)を不振に思うも・・・一郎に疑惑が浮上し!?　釈由美子、原沙知絵、野際陽子、東ちづる、中島知子、三浦理恵子、滝沢沙織、永井大、中村果生莉  【ゲスト】  　朝丘雪路、中本　賢、中島ひろ子、金山一彦、金子さやか、赤座美代子　ほか　尾崎将也、田子明弘、樫田正剛ほか　麻生 学、新村良二、二宮浩行『Kissing　you』BoA(エイベックス　トラックス)チーフプロデューサー:五十嵐文郎(テレビ朝日)  プロデューサー:藤本一彦(テレビ朝日)  　　　　　　　　横地郁英(テレビ朝日)  　　　　　　　　遠田孝一(MMJ)  　　　　　　　　布施　等(MMJ)『7人の女弁護士』公式HP  　http://www.tv-asahi.co.jp/7nin/  真紀のファッションチェックやスイーツ情報!など情報が満載♪     携帯サイト  　メニュー⇒TV⇒テレビ朝日⇒7人の女弁護士  　★藤堂真紀待ち受け配信中★</t>
  </si>
  <si>
    <t xml:space="preserve">美佐子(野際陽子)の友人・フミ(朝丘雪路)が息子・一郎(金山一彦)の嫁・典子(中島ひろ子)殺害容疑で逮捕された。嫁姑の確執も浮上する。真紀は事件発生時に引きこもったままだった隣家の光橋(中本賢)を不振に思うも・・・一郎に疑惑が浮上し!?　</t>
  </si>
  <si>
    <t>ベジタブルフレンチ店のオーナー(石田太郎)が殺害され、店のメニューで40kgのダイエットに成功したという美晴(相田翔子)が容疑者として逮捕された。真紀(釈由美子)ら調査で次々と上がる容疑者!更に婚約者の慎太郎(合田雅吏)にも動機が浮上し・・・　釈由美子、原沙知絵、野際陽子、東ちづる、中島知子、三浦理恵子、滝沢沙織、永井大、中村果生莉  【ゲスト】  　相田翔子、合田雅吏、石田太郎、入江雅人、北見敏之、中村綾　ほか　尾崎将也、田子明弘、樫田正剛、酒井直行　麻生 学、新村良二、二宮浩行『Kissing　you』BoA(エイベックス　トラックス)チーフプロデューサー:五十嵐文郎(テレビ朝日)  プロデューサー:藤本一彦(テレビ朝日)  　　　　　　　　横地郁英(テレビ朝日)  　　　　　　　　遠田孝一(MMJ)  　　　　　　　　布施　等(MMJ)『7人の女弁護士』公式HP  　http://www.tv-asahi.co.jp/7nin/  真紀のファッションチェックやスイーツ情報!など情報が満載♪     携帯サイト  　メニュー⇒TV⇒テレビ朝日⇒7人の女弁護士  　★藤堂真紀待ち受け配信中★</t>
  </si>
  <si>
    <t xml:space="preserve">ベジタブルフレンチ店のオーナー(石田太郎)が殺害され、店のメニューで40kgのダイエットに成功したという美晴(相田翔子)が容疑者として逮捕された。真紀(釈由美子)ら調査で次々と上がる容疑者!更に婚約者の慎太郎(合田雅吏)にも動機が浮上し・・・　</t>
  </si>
  <si>
    <t>マジシャンのMAX憲之(水橋研二)が楽屋で刺殺され、婚約者だったサナエ(笛木優子)が容疑者として逮捕された。凶器のナイフはステージ上でパートナーのMRマジカル(川崎麻世)が消したものだった!真紀(釈由美子)は、トリックの調査を開始するも…　釈由美子、原沙知絵、野際陽子、東ちづる、中島知子、三浦理恵子、滝沢沙織、永井大、中村果生莉  【ゲスト】  　笛木優子、川崎麻世、水橋研二、不破万作、顔田顔彦ほか　尾崎将也、田子明弘、樫田正剛、酒井直行　麻生 学、新村良二、二宮浩行『Kissing　you』BoA(エイベックス　トラックス)チーフプロデューサー:五十嵐文郎(テレビ朝日)  プロデューサー:藤本一彦(テレビ朝日)  　　　　　　　　横地郁英(テレビ朝日)  　　　　　　　　遠田孝一(MMJ)  　　　　　　　　布施　等(MMJ)『7人の女弁護士』公式HP  http://www.tv-asahi.co.jp/7nin/  真紀のファッションチェックやスイーツ情報!など情報が満載♪     携帯サイト  メニュー⇒TV⇒テレビ朝日⇒7人の女弁護士  ★藤堂真紀待ち受け配信中★</t>
  </si>
  <si>
    <t xml:space="preserve">マジシャンのMAX憲之(水橋研二)が楽屋で刺殺され、婚約者だったサナエ(笛木優子)が容疑者として逮捕された。凶器のナイフはステージ上でパートナーのMRマジカル(川崎麻世)が消したものだった!真紀(釈由美子)は、トリックの調査を開始するも…　</t>
  </si>
  <si>
    <t>デートDVの被害者・華織(浜田翔子)が恋人・金井(伊藤高史)殺害容疑で逮捕される。真紀(釈由美子)たちが調査中に出会った、長谷部(加勢大周)の情報により金井は華織が働くメイド喫茶の同僚・萌絵(石田未来)と二股をかけていたことが判明。　釈由美子、原沙知絵、野際陽子、東ちづる、中島知子、三浦理恵子、滝沢沙織、永井大、中村　果生莉  【ゲスト】  　浜田翔子、加勢大周、伊藤高史、石田未来、つぶやきシロー、山口いづみ、名高達男ほか　尾崎将也、田子明弘、樫田正剛、酒井直行　麻生 学、新村良二、二宮浩行『Kissing　you』BoA(エイベックス　トラックス)チーフプロデューサー:五十嵐文郎(テレビ朝日)  プロデューサー:藤本一彦(テレビ朝日)  　　　　　　　　横地郁英(テレビ朝日)  　　　　　　　　遠田孝一(MMJ)  　　　　　　　　布施　等(MMJ)『7人の女弁護士』公式HP  http://www.tv-asahi.co.jp/7nin/  真紀のファッションチェックやスイーツ情報!など情報が満載♪     携帯サイト  メニュー⇒TV⇒テレビ朝日⇒7人の女弁護士  ★藤堂真紀待ち受け配信中★</t>
  </si>
  <si>
    <t xml:space="preserve">デートDVの被害者・華織(浜田翔子)が恋人・金井(伊藤高史)殺害容疑で逮捕される。真紀(釈由美子)たちが調査中に出会った、長谷部(加勢大周)の情報により金井は華織が働くメイド喫茶の同僚・萌絵(石田未来)と二股をかけていたことが判明。　</t>
  </si>
  <si>
    <t>妙子(原沙知絵)が恋人・中川(葛山信吾)の殺人容疑で逮捕された。困惑する中でも妙子の無実を証明するべく奔走する7人の女弁護士事務所のメンバーだが、妙子は容疑を認め、真紀(釈由美子)らを弁護人から解任!妙子の秘密とは?!浮かび上がる真実!釈由美子、原沙知絵、野際陽子、東ちづる、中島知子、三浦理恵子、滝沢沙織、永井大、中村果生莉  【ゲスト】  葛山信吾 、風見しんご、佐藤仁美、堀部圭亮　ほか尾崎将也、田子明弘、樫田正剛、酒井直行麻生 学、新村良二、二宮浩行『Kissing　you』BoA(エイベックス　トラックス)チーフプロデューサー:五十嵐文郎(テレビ朝日)  プロデューサー:藤本一彦(テレビ朝日)  　　　　　　　　横地郁英(テレビ朝日)  　　　　　　　　遠田孝一(MMJ)  　　　　　　　　布施　等(MMJ)『7人の女弁護士』公式HP  http://www.tv-asahi.co.jp/7nin/  真紀のファッションチェックやスイーツ情報!など情報が満載♪     携帯サイト  メニュー⇒TV⇒テレビ朝日⇒7人の女弁護士  ★藤堂真紀待ち受け配信中★</t>
  </si>
  <si>
    <t>妙子(原沙知絵)が恋人・中川(葛山信吾)の殺人容疑で逮捕された。困惑する中でも妙子の無実を証明するべく奔走する7人の女弁護士事務所のメンバーだが、妙子は容疑を認め、真紀(釈由美子)らを弁護人から解任!妙子の秘密とは?!浮かび上がる真実!</t>
  </si>
  <si>
    <t>0804_EX_金21</t>
  </si>
  <si>
    <t>パズル</t>
  </si>
  <si>
    <t>番組名パズル</t>
  </si>
  <si>
    <t>強欲英語教師の鮎川(石原さとみ)が超エリート男子校に赴任、イケメン高校生3人と旧家の青柳家に伝わる家宝を謎の暗号を解いて探し出す。が、青柳家の血縁者との争奪戦で血文字の脅迫文と屋根裏部屋に死体が…　石原さとみ・山本裕典・木村了・永山絢斗・岩田さゆり・佐藤千亜妃・朝倉あき・辻谷嘉真・金児憲史・塩見三省/西郷輝彦・荻野目慶子・神保悟志・井手らっきょ・宮地雅子・山下裕子・井川比佐志【脚本】  　蒔田光治【演出】  　片山修　ほか　仲西　匡　ABC・テレビ朝日・東宝</t>
  </si>
  <si>
    <t xml:space="preserve">強欲英語教師の鮎川(石原さとみ)が超エリート男子校に赴任、イケメン高校生3人と旧家の青柳家に伝わる家宝を謎の暗号を解いて探し出す。が、青柳家の血縁者との争奪戦で血文字の脅迫文と屋根裏部屋に死体が…　</t>
  </si>
  <si>
    <t>しかし、神社に残る落ち武者の拷問と同様、巨大岩が動き、人が下敷き、さらに逆さ吊りの死体も発見され…　石原さとみが初ミステリーに挑戦!“お金至上主義”の強欲英語教師が注目のイケメン3人の高校生を従え毎回豪華ゲストを相手に謎の暗号・お宝・殺人事件を痛快に解く!　石原さとみ・山本裕典・木村了・永山絢斗・岩田さゆり・佐藤千亜妃・朝倉あき・辻谷嘉真・金児憲史・塩見三省/若村麻由美・大鶴義丹・池津祥子・城咲仁・北山雅康・久保田磨希・河原さぶ・黒部進【脚本】  　蒔田光治【演出】  　宮下健作　仲西　匡　倖田來未「Moon　Crying」(rhythm　zone)　ABC・テレビ朝日・東宝</t>
  </si>
  <si>
    <t xml:space="preserve">しかし、神社に残る落ち武者の拷問と同様、巨大岩が動き、人が下敷き、さらに逆さ吊りの死体も発見され…　石原さとみが初ミステリーに挑戦!“お金至上主義”の強欲英語教師が注目のイケメン3人の高校生を従え毎回豪華ゲストを相手に謎の暗号・お宝・殺人事件を痛快に解く!　</t>
  </si>
  <si>
    <t>推理クイズ大会に豪華賞品を狙い参加した鮎川らは何故か一家5人皆殺しがあった屋敷へ…。そこには謎の¥7111の数字と「赤」という血文字が!さらに次々と参加者が死んでいく。そして謎を解く鮎川にも危機が…　石原さとみ・山本裕典・木村了・永山絢斗・岩田さゆり・佐藤千亜妃・朝倉あき・辻谷嘉真・金児憲史・塩見三省/市川亀治郎・美保純・矢島健一・近江谷太朗・西尾まり　ほか【脚本】  　蒔田光治【演出】  　片山修　ほか　仲西　匡　倖田來未「Moon　Crying」(rhythm　zone)　ABC・テレビ朝日・東宝</t>
  </si>
  <si>
    <t xml:space="preserve">推理クイズ大会に豪華賞品を狙い参加した鮎川らは何故か一家5人皆殺しがあった屋敷へ…。そこには謎の¥7111の数字と「赤」という血文字が!さらに次々と参加者が死んでいく。そして謎を解く鮎川にも危機が…　</t>
  </si>
  <si>
    <t>鮎川と接触した人物が殺される!国際窃盗団の裏切り者で盗んだ宝石を隠したためだ。その隠し場所を知った鮎川は早速向かうが、そこでは大女優の栗原の映画が撮影中で、幽霊が出没!?さらに謎の連続殺人事件が発生…　石原さとみ・山本裕典・木村了・永山絢斗・岩田さゆり・佐藤千亜妃・朝倉あき・辻谷嘉真・金児憲史・塩見三省/木の実ナナ・斉藤洋介・六角慎司・ニコラスペタス・藤本静・森下能幸・坂本真・中田猪久・加藤諒ほか【脚本】  　蒔田光治【演出】  　宮下健作　仲西　匡　倖田來未「Moon　Crying」(rhythm　zone)　ABC・テレビ朝日・東宝</t>
  </si>
  <si>
    <t xml:space="preserve">鮎川と接触した人物が殺される!国際窃盗団の裏切り者で盗んだ宝石を隠したためだ。その隠し場所を知った鮎川は早速向かうが、そこでは大女優の栗原の映画が撮影中で、幽霊が出没!?さらに謎の連続殺人事件が発生…　</t>
  </si>
  <si>
    <t>資産家の息子との合コンで徳川の埋蔵金を所有する跡取りから求婚された鮎川。財宝目当てで挨拶に行くが他の2人と花嫁選びの儀式に参加することに。選ばれないと宝にありつけない鮎川だが、その前に謎の死体が…　石原さとみ・山本裕典・木村了・永山絢斗・岩田さゆり・佐藤千亜妃・朝倉あき・辻谷嘉真・金児憲史・塩見三省/山本陽子・笹野高史・草村礼子・川俣しのぶ・越智静香・渋谷琴乃　遠藤彩見【演出】  　片山修　ほか　仲西　匡　倖田來未「Moon　Crying」(rhythm　zone)　ABC・テレビ朝日・東宝</t>
  </si>
  <si>
    <t xml:space="preserve">資産家の息子との合コンで徳川の埋蔵金を所有する跡取りから求婚された鮎川。財宝目当てで挨拶に行くが他の2人と花嫁選びの儀式に参加することに。選ばれないと宝にありつけない鮎川だが、その前に謎の死体が…　</t>
  </si>
  <si>
    <t>豪華賞品目当てに南国リゾートに行く鮎川だが、その島は10年前、宝石強盗殺人犯が逃げ込み未発見のまま。鮎川らは胸にナイフが刺さった人形と血文字、人形と全く同じ状態の死体を発見!さらに殺人鬼の魔の手が…　石原さとみ・山本裕典・木村了・永山絢斗・岩田さゆり・佐藤千亜妃・朝倉あき・辻谷嘉真・金児憲史・塩見三省/峰岸徹・阿南健治・半海一晃・団時朗・小林綾子・飯島ぼぼぼ【脚本】  　蒔田光治【演出】  　片山修　仲西　匡　倖田來未「Moon　Crying」(rhythm　zone)　ABC・テレビ朝日・東宝</t>
  </si>
  <si>
    <t xml:space="preserve">豪華賞品目当てに南国リゾートに行く鮎川だが、その島は10年前、宝石強盗殺人犯が逃げ込み未発見のまま。鮎川らは胸にナイフが刺さった人形と血文字、人形と全く同じ状態の死体を発見!さらに殺人鬼の魔の手が…　</t>
  </si>
  <si>
    <t>「聞くと必ず死ぬ落語」落語家の一門に財宝のありか示す暗号も隠されているとあって鮎川らはその落語を聞きに行くが、噺の途中で客が死んでしまう。さらに数時間後、別の客も死に…。果たして落語の秘密と謎とは…　石原さとみ・山本裕典・木村了・永山絢斗・岩田さゆり・佐藤千亜妃・朝倉あき・辻谷嘉真・金児憲史・塩見三省/風間杜夫・清水紘治・でんでん・中西良太・浜田晃・鈴木早智子・桂福團治・大竹浩一ほか【脚本】  　蒔田光治【演出】  　高橋伸之　仲西　匡　倖田來未「Moon　Crying」(rhythm　zone)　ABC・テレビ朝日・東宝</t>
  </si>
  <si>
    <t xml:space="preserve">「聞くと必ず死ぬ落語」落語家の一門に財宝のありか示す暗号も隠されているとあって鮎川らはその落語を聞きに行くが、噺の途中で客が死んでしまう。さらに数時間後、別の客も死に…。果たして落語の秘密と謎とは…　</t>
  </si>
  <si>
    <t>数億する人気作家の出版権目当てにパーティーに潜り込んだ鮎川はゲームの暗号「和歌」を脅威的頭脳で解明するが、発見したのは密室内の死体と謎のバネ。賞品のため次の暗号を解読すると再び密室の死体とバネが…　石原さとみ・山本裕典・木村了・永山絢斗・岩田さゆり・佐藤千亜妃・朝倉あき・辻谷嘉真・金児憲史・塩見三省/中山忍・若林志穂・袴田吉彦・小市慢太郎・六角精児・春山剛・西田健ほか【脚本】  　林壮太郎【演出】  　宮下健作　仲西　匡　倖田來未「Moon　Crying」(rhythm　zone)　ABC・テレビ朝日・東宝</t>
  </si>
  <si>
    <t xml:space="preserve">数億する人気作家の出版権目当てにパーティーに潜り込んだ鮎川はゲームの暗号「和歌」を脅威的頭脳で解明するが、発見したのは密室内の死体と謎のバネ。賞品のため次の暗号を解読すると再び密室の死体とバネが…　</t>
  </si>
  <si>
    <t>賞品は山一つ!鬼喰村の祭り、数え歌宝探しラリーに参加した鮎川らは突然、鬼に囲まれる。急遽ラリーは中止。かわって鮎川は数え歌に隠された村の財宝を探し出すが、数え歌通りに次々と殺人事件が起きる…!?　石原さとみ・山本裕典・木村了・永山絢斗・岩田さゆり・佐藤千亜妃・朝倉あき・辻谷嘉真・金児憲史・塩見三省/高橋かおり・林泰文・八十田勇一・石塚義之・棚橋ナッツ・八名信夫ほか【脚本】  　蒔田光治【演出】  　木村政和　仲西　匡　倖田來未「Moon　Crying」(rhythm　zone)　ABC・テレビ朝日・東宝</t>
  </si>
  <si>
    <t xml:space="preserve">賞品は山一つ!鬼喰村の祭り、数え歌宝探しラリーに参加した鮎川らは突然、鬼に囲まれる。急遽ラリーは中止。かわって鮎川は数え歌に隠された村の財宝を探し出すが、数え歌通りに次々と殺人事件が起きる…!?　</t>
  </si>
  <si>
    <t>室町時代の海賊の末裔が先祖の財宝を探すツアーを開催。聞きつけた鮎川は宝が眠る無人島へ!そこには死も恐れぬ猛者たちが…。しかし、財宝の暗号を解く者が一人・二人と死んでいき、鮎川にも殺人犯の魔の手が…。石原さとみ・山本裕典・木村了・永山絢斗・岩田さゆり・佐藤千亜妃・朝倉あき・辻谷嘉真・金児憲史・塩見三省/大和田伸也・佐田真由美・橋本さとし・中村育二・徳井優ほか【脚本】  　大野敏哉【演出】  　片山修　仲西　匡　倖田來未「Moon　Crying」(rhythm　zone)　ABC・テレビ朝日・東宝</t>
  </si>
  <si>
    <t>室町時代の海賊の末裔が先祖の財宝を探すツアーを開催。聞きつけた鮎川は宝が眠る無人島へ!そこには死も恐れぬ猛者たちが…。しかし、財宝の暗号を解く者が一人・二人と死んでいき、鮎川にも殺人犯の魔の手が…。</t>
  </si>
  <si>
    <t>0804_EX_金23</t>
  </si>
  <si>
    <t>キミ犯人じゃないよね？</t>
  </si>
  <si>
    <t>番組名キミ犯人じゃないよね?</t>
  </si>
  <si>
    <t>推理力抜群のフリーター・森田さくら(貫地谷しほり)が恋愛体質の坊ちゃん刑事・宇田川教生(要潤)に雇われて難事件解決!いきなり難易度Sクラス!貫地谷しほり、要　潤、渡辺いっけい、池田　努、小川奈那、小島藤子、萩野崇、金剛地武志　ほか  《第1話マドンナ》黒谷友香林　誠人植田泰史(共同テレビジョン)YA-KYIM「Super☆Looper」  (Warner　Music　Japan)チーフプロデューサー:桑田　潔(テレビ朝日)  プロデューサー:大川武宏(テレビ朝日)  　　　　　　　　高丸雅隆(共同テレビジョン)</t>
  </si>
  <si>
    <t>推理力抜群のフリーター・森田さくら(貫地谷しほり)が恋愛体質の坊ちゃん刑事・宇田川教生(要潤)に雇われて難事件解決!いきなり難易度Sクラス!</t>
  </si>
  <si>
    <t>推理力抜群のフリーター・森田さくら(貫地谷しほり)が恋愛体質の坊ちゃん刑事・宇田川教生(要潤)に雇われて難事件解決!　貫地谷しほり、要　潤、渡辺いっけい、池田　努、小川奈那、小島藤子、萩野崇、金剛地武志　ほか    《第2話マドンナ》  　新山千春　林　誠人　石川淳一(共同テレビジョン)　YA-KYIM「Super☆Looper」  　(Warner　Music　Japan)　チーフプロデューサー:桑田　潔(テレビ朝日)  　プロデューサー:大川武宏(テレビ朝日)  　　　　　　　　　高丸雅隆(共同テレビジョン)</t>
  </si>
  <si>
    <t xml:space="preserve">推理力抜群のフリーター・森田さくら(貫地谷しほり)が恋愛体質の坊ちゃん刑事・宇田川教生(要潤)に雇われて難事件解決!　</t>
  </si>
  <si>
    <t>推理力抜群のフリーター・森田さくら(貫地谷しほり)が恋愛体質の坊ちゃん刑事・宇田川教生(要潤)に雇われて難事件解決!いきなり難易度Sクラス!　貫地谷しほり、要　潤、渡辺いっけい、池田　努、小川奈那、小島藤子、萩野崇、金剛地武志　ほか    《第3話マドンナ》星野真里　荒井修子　城宝秀則(共同テレビジョン)　YA-KYIM「Super☆Looper」  (Warner　Music　Japan)　チーフプロデューサー:桑田　潔(テレビ朝日)  　プロデューサー:大川武宏(テレビ朝日)  　　　　　　　　　高丸雅隆(共同テレビジョン)</t>
  </si>
  <si>
    <t xml:space="preserve">推理力抜群のフリーター・森田さくら(貫地谷しほり)が恋愛体質の坊ちゃん刑事・宇田川教生(要潤)に雇われて難事件解決!いきなり難易度Sクラス!　</t>
  </si>
  <si>
    <t>推理力抜群のフリーター・森田さくら(貫地谷しほり)が恋愛体質の坊ちゃん刑事・宇田川教生(要潤)に雇われて難事件解決!　貫地谷しほり、要　潤、渡辺いっけい、池田　努、小川奈那、小島藤子、萩野崇、金剛地武志　ほか  《第4話マドンナ》山口紗弥加  《ゲスト》六角精児、池田鉄洋、まいける　ほか　林　誠人　植田泰史(共同テレビジョン)　YA-KYIM「Super☆Looper」  　(Warner　Music　Japan)チーフプロデューサー:桑田　潔(テレビ朝日)  プロデューサー:大川武宏(テレビ朝日)  　　　　　　　　高丸雅隆(共同テレビジョン)</t>
  </si>
  <si>
    <t>推理力抜群のフリーター・森田さくら(貫地谷しほり)が恋愛体質の坊ちゃん刑事・宇田川教生(要潤)に雇われて難事件解決!いきなり難易度Sクラス!　貫地谷しほり、要　潤、渡辺いっけい、池田　努、小川奈那、小島藤子、萩野崇、金剛地武志　ほか    《第5話マドンナ》片瀬那奈　林　誠人　石川淳一YA-KYIM「Super☆Looper」  (Warner　Music　Japan)チーフプロデューサー:桑田　潔(テレビ朝日)  プロデューサー:大川武宏(テレビ朝日)  　　　　　　　　高丸雅隆(共同テレビジョン)</t>
  </si>
  <si>
    <t>推理力抜群のフリーター・森田さくら(貫地谷しほり)が恋愛体質の坊ちゃん刑事・宇田川教生(要潤)に雇われて難事件解決!いきなり難易度Sクラス!　貫地谷しほり、要　潤、渡辺いっけい、池田　努、小川奈那、小島藤子、萩野崇、金剛地武志　ほか  《第6話マドンナ》紺野まひる　加藤淳也　田村直己YA-KYIM「Super☆Looper」  (Warner　Music　Japan)チーフプロデューサー:桑田　潔(テレビ朝日)  プロデューサー:大川武宏(テレビ朝日)  　　　　　　　　高丸雅隆(共同テレビジョン)</t>
  </si>
  <si>
    <t>推理力抜群のフリーター・森田さくら(貫地谷しほり)が恋愛体質の坊ちゃん刑事・宇田川教生(要潤)に雇われて難事件解決!いきなり難易度Sクラス!　貫地谷しほり、要　潤、渡辺いっけい、池田　努、小川奈那、小島藤子、萩野崇、金剛地武志　ほか    《第7話マドンナ》矢吹春奈　松永京子　小松彩夏　小川みづき　岩田和行　YA-KYIM「Super☆Looper」  　(Warner　Music　Japan)チーフプロデューサー:桑田　潔(テレビ朝日)  プロデューサー:大川武宏(テレビ朝日)  　　　　　　　　高丸雅隆(共同テレビジョン)</t>
  </si>
  <si>
    <t>推理力抜群のフリーター・森田さくら(貫地谷しほり)が恋愛体質の坊ちゃん刑事・宇田川教生(要潤)に雇われて難事件解決!いきなり難易度Sクラス!貫地谷しほり、要　潤、渡辺いっけい、池田　努、小川奈那、小島藤子、萩野崇、金剛地武志　ほか  (今週のマドンナ)梅宮万紗子、金子さやか林誠人都築淳一YA-KYIM「Super☆Looper」  (Warner　Music　Japan)チーフプロデューサー:桑田　潔(テレビ朝日)  プロデューサー:大川武宏(テレビ朝日)  　　　　　　　　高丸雅隆(共同テレビジョン)</t>
  </si>
  <si>
    <t>推理力抜群のフリーター・森田さくら(貫地谷しほり)が恋愛体質の坊ちゃん刑事・宇田川教生(要潤)に雇われて難事件解決!最大のライバル現る!!　貫地谷しほり、要　潤、渡辺いっけい、池田　努、小川奈那、小島藤子、萩野崇、金剛地武志　ほか    《今週のマドンナ》酒井彩名　加藤淳也　田村直己(テレビ朝日)YA-KYIM「Super☆Looper」  (Warner　Music　Japan)チーフプロデューサー:桑田　潔(テレビ朝日)  プロデューサー:大川武宏(テレビ朝日)  　　　　　　　　高丸雅隆(共同テレビジョン)</t>
  </si>
  <si>
    <t xml:space="preserve">推理力抜群のフリーター・森田さくら(貫地谷しほり)が恋愛体質の坊ちゃん刑事・宇田川教生(要潤)に雇われて難事件解決!最大のライバル現る!!　</t>
  </si>
  <si>
    <t>推理力抜群のフリーター・森田さくら(貫地谷しほり)が恋愛体質の坊ちゃん刑事・宇田川教生(要潤)に雇われて難事件解決!いよいよ今夜最終回!!　貫地谷しほり、要　潤、渡辺いっけい、池田　努、小川奈那、小島藤子、萩野崇、金剛地武志　ほか    《ラストマドンナ》横山めぐみ　林誠人　都築淳一(共同テレビジョン)YA-KYIM「Super☆Looper」  (Warner　Music　Japan)チーフプロデューサー:桑田　潔(テレビ朝日)  プロデューサー:大川武宏(テレビ朝日)  　　　　　　　　高丸雅隆(共同テレビジョン)ノベライズのプレゼント告知とDVD発売告知があります。</t>
  </si>
  <si>
    <t xml:space="preserve">推理力抜群のフリーター・森田さくら(貫地谷しほり)が恋愛体質の坊ちゃん刑事・宇田川教生(要潤)に雇われて難事件解決!いよいよ今夜最終回!!　</t>
  </si>
  <si>
    <t>0801_EX_木21</t>
  </si>
  <si>
    <t>番組名交渉人「人質の命は5分！？犯罪交渉人玲子～最初の事件！」</t>
  </si>
  <si>
    <t>凶悪犯罪に立ち向かう警視庁捜査一課特殊班の女性交渉人・宇佐木玲子(米倉涼子)らの日常を描く。脚本・寺田敏雄、演出・松田秀知。　人質を取っての立てこもり事件が発生した。少年課から警視庁捜査一課特殊班・ＳＩＴに配属になった玲子(米倉)は、桐沢(陣内孝則)や木崎(筧利夫)らとともに現場に駆け付ける。人質に拳銃を押し付け、興奮状態の犯人・竹本(高杉亘)から電話が入り、木崎が対応するが「あと五分で人質を撃つ」と言って電話を切られてしまう。玲子は、犯人の拳銃が本物か確かめる必要があるのではと言うが、誰も耳を傾けようとしない。そんな中、桐沢が玲子に意外な提案をする。</t>
  </si>
  <si>
    <t>凶悪犯罪に立ち向かう警視庁捜査一課特殊班の女性交渉人・宇佐木玲子(米倉涼子)らの日常を描く。</t>
  </si>
  <si>
    <t>番組名交渉人「脱ぐ女刑事ｖｓ立てこもり犯！」</t>
  </si>
  <si>
    <t>立てこもり事件が発生し、犯人(姜暢雄)は交渉人として玲子(米倉涼子)を指名する。桐沢(陣内孝則)の許可を得て現場に入った玲子は、犯人に問い掛けるふりをしながら、無線で桐沢たちに現場の状況を伝える。桐沢たちは、犯人は愉快犯ではないと推理するが、本当の目的が分からない。そんな中、犯人が玲子にとんでもない要求を出す。</t>
  </si>
  <si>
    <t>番組名交渉人「都内9ケ所に爆弾を運ぶ女！？」</t>
  </si>
  <si>
    <t>カフェに振動で爆発する爆弾が仕掛けられた。現場に向かった玲子(米倉涼子)は、爆発物処理班の伊豆田(内倉憲二)らとともに店内に入り、客たちを慎重に外へ誘導する。そこへ爆発物処理班班長・河相(平賀雅臣)らが到着。爆弾の処理を開始し、ふたを開けることに成功するが、時限装置のスイッチが入ってしまう。</t>
  </si>
  <si>
    <t>番組名交渉人「爆発まで9秒のトリック！？」</t>
  </si>
  <si>
    <t>墨田(笹野高史)がクラブのママから受け取った芋ようかんに、振動で爆発する爆弾が仕掛けられていた。玲子(米倉涼子)はトランシーバーで話す犯人と交渉を開始したが、一度通信を切ってから、なかなかかけてこない犯人に疑問を抱く。二度目の通信で、犯人は玲子たちの居る部屋の状況を把握していないことが判明。爆弾処理班を無能呼ばわりする犯人は、爆弾処理班への挑戦が目的らしい。河相(平賀雅臣)と伊豆田(内倉憲二)が爆弾の処理を始めようとした直後、トランシーバーが鳴り、部屋の状況を言い当てた犯人に、玲子は混乱する。</t>
  </si>
  <si>
    <t>番組名交渉人「2千億の少年を誘拐する女！？」</t>
  </si>
  <si>
    <t>大企業トップの息子・和馬(岡田将生)が誘拐され、玲子(米倉涼子)は木崎(筧利夫)らとともに和馬の自宅へ急行する。女性の声で「和馬君を誘拐しました。捜さないでください」という電話が入り、その表現に疑問を抱いた木崎は、営利目的とは違うにおいを感じる。やがて、和馬が美術教師・小百合(井上和香)と学校を出たことが判明し、駆け落ちの可能性が浮上する。そんな中、犯人から電話が入り、和馬の母親・芳江(山口美也子)を装って電話に出た玲子がかまをかけると、犯人は自分が小百合だと認め、身代金三千万円を要求する。芳江は要求に従って金を用意するが、玲子は彼女の態度に不審を抱く。</t>
  </si>
  <si>
    <t>番組名交渉人「連続殺人犯からのラブレター」</t>
  </si>
  <si>
    <t>玲子(米倉涼子)の父親・修次(陰山泰)が殉職した立てこもり事件の犯人グループの一人・飯塚(大東俊介)が殺害された。父親の死の真相を追っていた玲子は、現場へ出掛け、同じく修次が殉職した事件を追っている新聞記者の工藤(伊武雅刀)と出会う。工藤は飯塚が死ぬ直前、彼の仲間である連続殺人犯・真里谷(城田優)から来た”ラブレター”が入ったロッカーの鍵を預かったという。工藤とともにロッカーを開けて手紙を取り出した玲子は、真里谷が同様の手紙を以前の仲間・田口(斉藤祥太)らにも送ったことを知る。</t>
  </si>
  <si>
    <t>番組名交渉人</t>
  </si>
  <si>
    <t>交渉人◇真里谷（城田優）が５年前の立てこもり事件当時、心神喪失状態だったという鑑定結果が出た。そのため真里谷は無罪になる可能性もある。接見する玲子（米倉涼子）に、真里谷はそっちに出ていくと不敵に笑う。そんな中、田口（斉藤祥太）の自殺を止められなかったことを理由に、玲子は異動を命じられる。折しも、気象予報士の望月（木原実）が突然、５年前の真里谷の仲間の名前をテレビで公表した。望月は妻を拉致され、無理やりメッセージを読まされたらしい。騒然となる中、玲子は桐沢（陣内孝則）らに、真里谷が出所したら困る人間の仕業ではないかと持論を展開する。さらに、自分が５年前の事件で殉職した機動隊員の娘で、父の死の真相を探っていることを明かす。</t>
  </si>
  <si>
    <t>遂に!衝撃の最終回!!連続殺人犯VS警視庁・交渉班。死刑囚の出獄?!「5年前と一緒だ・・・」。玲子を待ち受けている運命とは・・・。黒幕がとった行動とは!!交渉班に隠された全ての謎が明らかに!予想外の展開と衝撃の結末が!　米倉涼子・筧利夫・高岡蒼甫・笹野高史・鈴木浩介・高知東生  　城田 優・安めぐみ・林丹丹  　大杉 漣・伊武雅刀  　中山 恵・河本麻希・高橋克実・陣内孝則　田中圭・荒木宏文・倉貫匡弘・高橋光臣　寺田敏雄　松田秀知(共同テレビジョン)　佐藤　準  【主題歌】  「黄金魂」湘南乃風(トイズファクトリー)　チーフプロデューサー  　　　:五十嵐文郎  　プロデューサー  　　　:内山聖子/柳川由起子(共同テレビジョン)　放送終了後、PCサイトで木崎(筧利夫)と生交渉!!  　http://www.tv-asahi.co.jp/koshonin/</t>
  </si>
  <si>
    <t>遂に!衝撃の最終回!!連続殺人犯VS警視庁・交渉班。死刑囚の出獄?!「5年前と一緒だ・・・」。玲子を待ち受けている運命とは・・・。黒幕がとった行動とは!!交渉班に隠された全ての謎が明らかに!予想外の展開と衝撃の結末が!</t>
  </si>
  <si>
    <t>0801_EX_金21</t>
  </si>
  <si>
    <t>4姉妹探偵団</t>
  </si>
  <si>
    <t>番組名赤川次郎ミステリー　4姉妹探偵団「父の完全犯罪！？密室トリックの謎」</t>
  </si>
  <si>
    <t>四姉妹が、さまざまな難事件の真相に迫る。原作・赤川次郎、脚本・福田卓郎、演出・新城毅彦。　父一人、娘四人暮らしの佐々本家が放火に遭い、高校生の四女・夕里子(夏帆)が焼け出される。父・周平(竹中直人)は出張中で、長女・真理(中越典子)、二女・綾子(加藤夏希)、三女・珠美(市川由衣)も外出していたため全員無事だった。だが、焼け跡から女性の変死体が発見されたことで、所在の分からない周平に容疑が掛かり、夕里子たちは警察から監視されることに。そんな警察の態度に反感を抱いた夕里子は、自分の手で父の無実を証明しようと、一人で調査を開始する。</t>
  </si>
  <si>
    <t>番組名赤川次郎ミステリー　4姉妹探偵団「復讐！？超高級エステ殺人！！」</t>
  </si>
  <si>
    <t>夕里子(夏帆)たち佐々本一家は、叔母・加津代(室井滋)の家に引っ越す。その近所で、小西(安居剣一郎)の遺体が発見される。国友(吉沢悠)たち警察は自殺と断定するが、交際中の女性との間に問題があったことを知る小西の母・清子(大島さと子)は納得がいかず、息子の手帳に名前が書かれていた夕里子を刃物で襲う。疑いは晴れたが、清子をふびんに思った夕里子は調査を開始する。</t>
  </si>
  <si>
    <t>番組名赤川次郎ミステリー　4姉妹探偵団「お見合い相手は殺人犯！？狙われた女優」</t>
  </si>
  <si>
    <t>加津代(室井滋)が突然、見合いをすると言いだす。だが、相手の西崎(長谷川初範)は、真理(中越典子)を相手と勘違いし、二人は見合いをすることに。西崎に一目ぼれした真理は、彼との結婚を考え始める。そんな折、綾子(加藤夏希)の先輩でメーキャップアーティストの紀子(岡田薫)が殺害され、西崎に容疑が掛かる。落ち込む真理の力になろうと、夕里子(夏帆)は独自に西崎のことを調べ始める。</t>
  </si>
  <si>
    <t>番組名赤川次郎ミステリー　4姉妹探偵団「死神に愛された女」</t>
  </si>
  <si>
    <t>有名ファッションデザイナー・春代(小沢真珠)の夫が殺害された。犯人の堀江(松沢一之)は国友(吉沢悠)たちに追われた末に自殺。その後、堀江が真理(中越典子)の大学時代の友人・涼子(野波麻帆)の父だと分かり、夕里子(夏帆)たち四姉妹は事件を調べ始める。警察の捜査で、春代の身内や愛する人間が事故や急病で亡くなっていたことが判明。そのたびに彼女は、多額の保険金を手にしていたという。そんな中、春代の会社から独立したばかりのデザイナー・伸子(橘実里)も不審死を遂げる。</t>
  </si>
  <si>
    <t>番組名赤川次郎ミステリー　4姉妹探偵団「催眠のトリック！？殺しあう4姉妹…」</t>
  </si>
  <si>
    <t>臨床心理士の玲子(舟木幸)が殺害され、目撃者のマキ(葵)は周平(竹中直人)が犯人だと証言。周平は殺人容疑で連行されてしまう。一方、佐々本家では、あかり(さとう珠緒)という女性が周平との結婚を妨害されたと言って、腹いせに真理(中越典子)を襲う。家族の危機を救おうと動きだした夕里子(夏帆)は、玲子とあかりが同じビル内に勤めていたことを突き止め、二つの事件の関連性を疑い始める。</t>
  </si>
  <si>
    <t>番組名赤川次郎ミステリー　4姉妹探偵団</t>
  </si>
  <si>
    <t>夏帆　吉沢悠　中越典子　加藤夏希　市川由衣  　近藤芳正　竹中直人　生瀬勝久　室井滋  　宮路真緒　斉藤慶太　国広富之  　石野真子　金山一彦　長江健次　見栄晴ほか「三姉妹探偵団」シリーズ  　赤川次郎　(講談社刊)    【脚本】  　立見千香「Namidairo」/YUI(ソニー・ミュージックレコーズ)　辻陽【プロデューサー】  　横地郁英(テレビ朝日)  　奈良井正巳(朝日放送)  　太田雅晴(5年D組)</t>
  </si>
  <si>
    <t>夏帆　吉沢悠　中越典子　加藤夏希　市川由衣  　近藤芳正　竹中直人　生瀬勝久　室井滋  　金子賢　雛形あきこ　布施博  　寺泉憲　水沢アキ　大場久美子　大島蓉子  　ダンディ坂野　他　「三姉妹探偵団」シリーズ  　　赤川次郎　(講談社刊)    【脚本】  　高山直也    【監督】  　池添　博　「Namidairo」/YUI(ソニー・ミュージックレコーズ)　辻陽【プロデューサー】  　横地郁英(テレビ朝日)  　奈良井正巳(朝日放送)  　太田雅晴(5年D組)</t>
  </si>
  <si>
    <t>夏帆　吉沢悠　中越典子　加藤夏希　市川由衣  　近藤芳正　竹中直人　生瀬勝久　室井滋　ほか「三姉妹探偵団」シリーズ  　赤川次郎　(講談社刊)    【脚本】  　福田卓郎　新城毅彦　「Namidairo」/YUI(ソニー・ミュージックレコーズ)　辻陽【プロデューサー】  　横地郁英(テレビ朝日)  　奈良井正巳(朝日放送)  　太田雅晴(5年D組)</t>
  </si>
  <si>
    <t>0801_EX_金23</t>
  </si>
  <si>
    <t>未来講師めぐる</t>
  </si>
  <si>
    <t>番組名未来講師めぐる「食後は20年後が見える！？」</t>
  </si>
  <si>
    <t>二十四歳の誕生日に突然、特殊な能力に目覚めた塾の英語講師・吉田めぐる(深田恭子)が、仕事に恋に奮闘するコメディー。脚本・宮藤官九郎、演出・唐木希浩。　塾の英語講師・めぐる(深田)は、二十四歳の誕生日に突然、満腹になると人の二十年後が予見できるようになる。困惑しためぐるに祖父・中吉(地井武男)は、自分にも昔からその能力があったことを話し始める。そんな折、最近成績が落ち込み気味だった塾の生徒・赤坂(佐藤和也)を心配しためぐるは、彼の二十年後をのぞき見してしまう。</t>
  </si>
  <si>
    <t>二十四歳の誕生日に突然、特殊な能力に目覚めた塾の英語講師・吉田めぐる(深田恭子)が、仕事に恋に奮闘するコメディー。</t>
  </si>
  <si>
    <t>番組名未来講師めぐる「20年後の彼に恋！！」</t>
  </si>
  <si>
    <t>英語講師・めぐる(深田恭子)の授業中に突然、肥満児の生徒・大作(高井理央)が倒れた。原因が栄養失調だと知って驚いためぐるは、病院に駆け付けた大作の父(パパイヤ鈴木)から、最近の彼の食生活を聞く。父によると、大作はここ数日、ほとんど断食状態だったという。めぐるが直接、その理由を聞くと、大作は「好きな子がいる」と明かす。好きな子に太っていることを非難されてダイエットを始めたと知っためぐるは、彼の恋を応援しようと決意する。</t>
  </si>
  <si>
    <t>番組名未来講師めぐる「美少女・禁断の愛」</t>
  </si>
  <si>
    <t>めぐる(深田恭子)が働く進学塾に突然、東北なまりの、みちる(黒川智花)が現れる。高尾山(正名僕蔵)の教え子だというみちるは、彼に会うために仙台から東京にやって来たらしい。塾でアルバイトをしたいと言う彼女に、めぐるや塾長の門伝(武田真治)らは賛成するが、高尾山だけはかたくなに反対する。講師陣が彼を問い詰めると、みちるは、高尾山が教師を解雇されるきっかけとなった”淫行(いんこう)事件”の相手だったことが判明。その夜、みちると高尾山がめぐるの家を訪れ、一緒に夕食を取ることに。二人の二十年後が気になっためぐるは、思わず満腹になり、彼らの未来を見てしまう。</t>
  </si>
  <si>
    <t>番組名未来講師めぐる「愛は時空を超える」</t>
  </si>
  <si>
    <t>めぐる(深田恭子)は、自分の特殊な能力を恋人・海老沢(勝地涼)に打ち明けるが、信じてもらえない。そんな中、はまる(船越英一郎)に誘われ、誕生日パーティーに参加しためぐるは、幼なじみのアキラ(塚本高史)と再会。アキラは幼少期に比べ、見違えるほど格好よくなっていた。舞い上がっためぐるは、彼と連絡先を交換し、食事に行く約束をする。</t>
  </si>
  <si>
    <t>番組名未来講師めぐる「私が未来を変える」</t>
  </si>
  <si>
    <t>めぐる(深田恭子)が勤める塾に、教育熱心な母親・ゆり子(高橋由美子)の息子・タモツ(石田愛希)が通うことになる。ゆり子はめぐるに熱く語り掛け、授業のやり方から服装、化粧のことまで注文を付け始める。あまりの気迫に押されためぐるは、翌日からプレッシャーのあまり、ノイローゼ気味になってしまう。そんな中、業界最大手の塾が近所に開講。生徒を取られ始め、めぐるが勤める塾に存続の危機が迫っていた。</t>
  </si>
  <si>
    <t>番組名未来講師めぐる「手錠と恋と受験生」</t>
  </si>
  <si>
    <t>めぐる(深田恭子)が十二歳の時以来、行方不明だった母・愛子(榊原郁恵)の居場所が分かり、中吉(地井武男)が家に連れ戻す。めぐるは、母との思いがけない再会に感激する。一方、受験もピークを迎え、めぐるが勤める塾は多忙を極めていた。合格率を上げようと講師陣が奮闘する中、めぐるは千鶴(森岡朋奈)の様子がおかしいことに気付く。以前、彼女の二十年後を見ためぐるは、その未来を変えようと奔走し始める。</t>
  </si>
  <si>
    <t>番組名未来講師めぐる</t>
  </si>
  <si>
    <t>未来講師めぐる◇自分の20年後だけは見えていなかっためぐる（深田恭子）だが、ついに自分の20年後が見えてしまう。手錠をかけられ、犯罪者のような姿の自分の未来にめぐるは混乱し、母の愛子（榊原郁恵）に助けを求める。愛子は、自分にも同じ能力があることを打ち明け、その能力を悪用されないようにしなさいと忠告する。愛子の言葉を受け、めぐるは自分の周囲で怪しい人間がいないかどうかを警戒する。そんな中、講師の江口（星野源）の様子がおかしいことに気付く。江口は、生徒の母親の絵里子（野波麻帆）に恋心を抱いているらしい。そんな中、江口は絵里子が、自分が好きだった元人気ＡＶ女優の”沢樹あんな”だと知る。</t>
  </si>
  <si>
    <t>['#008']</t>
  </si>
  <si>
    <t>塾に小6の少年・シンゴがやってきた。「何故この子の未来だけ見えないの?」一方、家にはめぐるの叔父・永作が。なんとシンゴは永作の息子、つまり、いとこ同士だった。シンゴはめぐるに、自分にも同じ能力があること、それを父に内緒にしていることを打ち明ける。「父さんは先生の力を利用しようとしてるよ…」　深田恭子/勝地涼　黒川智花/武田真治/正名僕蔵　星野源/橋本じゅん　荒川良々/田口浩正/榊原郁恵/船越英一郎(特別出演)/地井武男 (他)　宮藤官九郎　唐木希浩 (他)　野崎良太(JAZZTRONIK)　「サクラ」やなわらばー　チーフプロデューサー:桑田 潔  　プロデューサー:中込卓也　平部隆明    【制作】  　テレビ朝日　The Farm</t>
  </si>
  <si>
    <t xml:space="preserve">塾に小6の少年・シンゴがやってきた。「何故この子の未来だけ見えないの?」一方、家にはめぐるの叔父・永作が。なんとシンゴは永作の息子、つまり、いとこ同士だった。シンゴはめぐるに、自分にも同じ能力があること、それを父に内緒にしていることを打ち明ける。「父さんは先生の力を利用しようとしてるよ…」　</t>
  </si>
  <si>
    <t>['#009']</t>
  </si>
  <si>
    <t>新興宗教の代表である永作は、めぐるの能力に目を付け、自分の後継者にしようと、陰から見張り続けていた。一方、見えなくなっためぐるは、一抹の寂しさを感じていた。それは…20年後のユーキに会えないこと…。そんなある日、めぐるのもとに氷高という刑事がやってくる。なんと氷高はユーキ43にそっくりだった!　深田恭子/勝地涼　黒川智花/武田真治/正名僕蔵　星野源/橋本じゅん　荒川良々/田口浩正/榊原郁恵/船越英一郎(特別出演)/地井武男 (他)　宮藤官九郎　高橋伸之 (他)　野崎良太(JAZZTRONIK)　「サクラ」やなわらばー　チーフプロデューサー:桑田 潔  　プロデューサー:中込卓也　平部隆明    【制作】  　テレビ朝日　The Farm</t>
  </si>
  <si>
    <t xml:space="preserve">新興宗教の代表である永作は、めぐるの能力に目を付け、自分の後継者にしようと、陰から見張り続けていた。一方、見えなくなっためぐるは、一抹の寂しさを感じていた。それは…20年後のユーキに会えないこと…。そんなある日、めぐるのもとに氷高という刑事がやってくる。なんと氷高はユーキ43にそっくりだった!　</t>
  </si>
  <si>
    <t>['#010']</t>
  </si>
  <si>
    <t>再び未来が見えるようになって喜ぶめぐるだったが、みちるが「おじいちゃんとシンゴが吉田永作に連れて行かれた!」と知らせに来る。更に、めぐるの前に氷高が立ちはだかり、ついに腕に手錠がかけられてしまう…果たしてめぐるは、ユーキ、塾講師の仲間の協力を得て、バラバラになった吉田家を元に戻すことができるのか?　深田恭子/勝地涼　黒川智花/武田真治/正名僕蔵　星野源/橋本じゅん　荒川良々/田口浩正/榊原郁恵/船越英一郎(特別出演)/地井武男 (他)　宮藤官九郎　唐木希浩 (他)　野崎良太(JAZZTRONIK)　「サクラ」やなわらばー　チーフプロデューサー:桑田 潔  　プロデューサー:中込卓也　平部隆明    【制作】  　テレビ朝日　The Farm</t>
  </si>
  <si>
    <t>再び未来が見えるようになって喜ぶめぐるだったが、みちるが「おじいちゃんとシンゴが吉田永作に連れて行かれた!」と知らせに来る。更に、めぐるの前に氷高が立ちはだかり、ついに腕に手錠がかけられてしまう…果たしてめぐるは、ユーキ、塾講師の仲間の協力を得て、バラバラになった吉田家を元に戻すことができるのか?</t>
  </si>
  <si>
    <t>0710_EX_木21</t>
  </si>
  <si>
    <t>おいしいごはん</t>
  </si>
  <si>
    <t>番組名おいしいごはん　鎌倉・春日井米店「春一番のコロッケ」</t>
  </si>
  <si>
    <t>神奈川県鎌倉市の老舗米店を舞台に、崩壊していた家族が父親の病気をきっかけに久々に集まり、再生していく姿を描く。脚本・古沢良太、監督・吉田啓一郎。　大手出版社に勤めていた新平(徳重聡)は、リストラに遭い失業中。楽天家の妻・たえ(藤原紀香)は、ふてくされる新平を励ましている。ある日、新平の実家「春日井米店」の従業員・ゴロー(塚地武雅)が鎌倉から訪ねて来る。米店の社長である新平の父・竜平(渡哲也)が入院中のため、退院するまで店を手伝ってほしいという。春日井家は十五年前に竜平の勝手な振る舞いが原因で崩壊し、父とは絶縁状態だったが、号泣するゴローに根負けした新平は、家業を手伝うことになる。</t>
  </si>
  <si>
    <t>番組名おいしいごはん　鎌倉・春日井米店「三女の秘密」</t>
  </si>
  <si>
    <t>春日井家に竜平(渡哲也)の”隠し子”雫(星井七瀬)が転がり込んできた。昨年、雫の母・美雪(高島礼子)が他界し、雫は叔母夫婦の元で暮らしていたが折り合いが悪く、それを聞いた竜平が呼び寄せたという。怒る新平(徳重聡)たちを尻目に、竜平は雫がかわいくてたまらない様子。そんな中、雫が大切にしていた縫いぐるみが何者かに切り裂かれ、ごみ捨て場に捨てられる事件が発生する。竜平は新平、円(羽田美智子)、楓(水川あさみ)の誰かが犯人と決め付け、春日井家に亀裂が走る。</t>
  </si>
  <si>
    <t>番組名おいしいごはん　鎌倉・春日井米店「嫁姑跡目争いで親父一喝！！女は男が守れ」</t>
  </si>
  <si>
    <t>春日井家の長女・円(羽田美智子)の夫・正邦(林泰文)と義母・静江(中村玉緒)が、竜平(渡哲也)にあいさつをしたいと言いだす。嫁いだ時、円は竜平と縁を絶っていたため、両者はこれまで顔を合わせたことがなかったのだ。円の嫁ぎ先は華道の家元で名門の宇喜田家。新平(徳重聡)は、竜平の離婚の原因が隠し子であることが分かったら円は離縁されてしまうと反対する。だが、翌日、ホテルで両家の会食が行われ、竜平は真っ先に隠し子がいることを話してしまう。</t>
  </si>
  <si>
    <t>番組名おいしいごはん　鎌倉・春日井米店「娘との亀裂…心の傷涙の海鮮手巻き寿司」</t>
  </si>
  <si>
    <t>前衛芸術家の二女・楓(水川あさみ)が一人で暮らすアパートを訪ねた長女・円(羽田美智子)は、楓が自殺未遂を試みたと早とちりする。知らせを受けて駆け付けた竜平(渡哲也)、たえ(藤原紀香)、新平(徳重聡)らは、真相を知って拍子抜けする。だが、楓は自殺騒動のせいでアパートを追い出されてしまい、春日井家で暮らすことになる。そんな中、楓が突然、絵をやめると言いだした。七年間もスランプが続いていることを知った円と新平は、幼いころの楓の夢が”普通のお嫁さん”だったことを思い出す。</t>
  </si>
  <si>
    <t>番組名おいしいごはん　鎌倉・春日井米店「孫のイジメ必勝法！！男の強さは優しさだ」</t>
  </si>
  <si>
    <t>出版社時代に新平(徳重聡)をリストラした上司・新田部長(相島一之)が、春日井米店に来るという。新平はすっかりおびえてしまい、ふさぎ込む。そんな中、翔太(土井洋輝)が小学校でいじめに遭っていることが分かる。たえ(藤原紀香)は、新平も小学校時代にいじめに遭っていて、竜平(渡哲也)から相手と決闘をするようけしかけられたことを聞く。その直後、新平は竜平が翔太にけんかの仕方を教えているところを目撃し、激怒する。</t>
  </si>
  <si>
    <t>番組名おいしいごはん　鎌倉・春日井米店「熟年離婚夫婦の危機　奥さんを私に下さい」</t>
  </si>
  <si>
    <t>たえ(藤原紀香)は、竜平(渡哲也)と別れた妻・千恵子(余貴美子)を復縁させようと奔走する。そんな折、千恵子の現在の恋人・津村(舘ひろし)が春日井米店を訪ねて来る。津村は竜平や子供たちに、千恵子に結婚を申し込むことを宣言して帰っていく。その夜、酔いつぶれて帰宅した竜平の姿を見て、従業員のゴロー(塚地武雅)は、竜平は内心では千恵子に戻ってきてもらいたいはずだと涙ぐむ。それを聞いたたえは、竜平に千恵子の愛を取り戻す最後のチャンスをつくろうと作戦を練る。</t>
  </si>
  <si>
    <t>番組名おいしいごはん　鎌倉・春日井米店「亡き母の手紙が語る熟年離婚の衝撃真相」</t>
  </si>
  <si>
    <t>新平(徳重聡)と円(羽田美智子)は、雫(星井七瀬)が春日井家にやって来た目的は、竜平(渡哲也)に取り入り、遺産を独り占めすることだと知って驚く。雫が竜平を慕い始めていることを感じ取っていたたえ(藤原紀香)は、千恵子(余貴美子)の元へ相談に向かい、十五年前に雫の亡き母・美雪(高島礼子)が千恵子にあてた手紙を預かる。そんな折、町内で火事が発生し、消防団への復帰を考えていた竜平は早速、出動しようとする。たえたちが必死に止めようとする中、雫が竜平の心臓病は治らないという、これまで家族が隠してきた秘密を本人に話してしまう。</t>
  </si>
  <si>
    <t>番組名おいしいごはん　鎌倉・春日井米店「渡哲也…男の死に際最終話！！いい日旅立ち父の遺言」</t>
  </si>
  <si>
    <t>明るい人柄のたえ(藤原紀香)のおかげで、春日井米店は繁盛していた。だが、自分の心臓病が治らないことを知って以来、すっかり弱気になった竜平(渡哲也)は、家族への態度も穏やかなものになっていた。そんな折、新平(徳重聡)、円(羽田美智子)、楓(水川あさみ)の三人に大きな転機が訪れる。だが、余命わずかな竜平を気遣う新平たちは、春日井家から出て行くことをためらい、夢をあきらめようとする。</t>
  </si>
  <si>
    <t>0710_EX_金21</t>
  </si>
  <si>
    <t>オトコの子育て</t>
  </si>
  <si>
    <t>番組名オトコの子育て「子育てしなくていいですか？」</t>
  </si>
  <si>
    <t>六年間、家出状態だった無責任な父親・矢野篤(高橋克典)が、妻の急死をきっかけに、子供たちと奇妙な同居生活を始めるホームコメディー。脚本・尾崎将也、演出・塚本連平。　妻の急死を知り、六年ぶりに帰宅した篤(高橋)は、長女で小学校六年生の凛子(夏居瑠奈)に追い返されてしまう。初めから子育てをする気のない篤は、おとなしく家を出て行く。そんな折、凛子が学校で同級生の竜也(熊谷知博)とトラブルを起こす。担任の洋介(小泉孝太郎)は保護者同士の話し合いでの解決を望むが、凛子の保護者代わりの弥生(国仲涼子)は相手にやり込められそうになる。そこへ、騒ぎを知った篤が現れる。</t>
  </si>
  <si>
    <t>番組名オトコの子育て「運動会ビリでもいいですか？」</t>
  </si>
  <si>
    <t>篤(高橋克典)と子供たちの奇妙な同居が始まって数日がたち、子供たちが通う小学校では運動会が迫っていた。運動が苦手な長男・健太郎(吉川史樹)は、運動会が雨で中止になることを願う。長女・凛子(夏居瑠奈)は弟の意気地のなさを責めるが、篤は「ビリだっていいじゃん」と、凛子とは正反対の態度。あきれた凛子は、健太郎と妹・真美(遠藤由実)を連れて、弥生(国仲涼子)の元へ行ってしまう。</t>
  </si>
  <si>
    <t>番組名オトコの子育て「点数悪くて何が悪い姉弟のテスト対決！」</t>
  </si>
  <si>
    <t>算数が苦手な健太郎(吉川史樹)が、点数の悪かったテスト用紙を隠していたことが分かった。篤(高橋克典)がその悪事に手を貸そうとしていたことを知った凛子(夏居瑠奈)は激怒し、健太郎を塾に行かせるから月謝を払えと篤に迫る。月謝を払うのが嫌な篤は、なんとか健太郎をその気にさせるが、勉強はなかなかはかどらない。そこで篤は、塾通いをしている竜也(熊谷知博)をおだてて健太郎に算数を教えてくれるよう頼む。</t>
  </si>
  <si>
    <t>番組名オトコの子育て「娘の初恋！大人の純愛！禁断の愛！？」</t>
  </si>
  <si>
    <t>子供たちが通う学校で”告白”がブームになる。一喜一憂する同級生たちを見て、心の中で子供扱いしていた凛子(夏居瑠奈)だが、実は気になる男子がいた。その意中の男子から告白され、デートにも誘われた凛子は、初めての経験に戸惑う。篤(高橋克典)は、ろくなアドバイスもせずに娘の初恋を面白がるばかりで、凛子と対立してしまう。</t>
  </si>
  <si>
    <t>番組名オトコの子育て「探せ！子供の頃の夢将来の夢」</t>
  </si>
  <si>
    <t>洋介(小泉孝太郎)は「将来の夢」をテーマに子供たちに作文を書かせるが、凛子(夏居瑠奈)の原稿用紙は白紙。心配する洋介に、凛子は「夢なんてどうせかなわない」と現実的なことを言って困らせる。一週間以内に作文を仕上げて提出することになった凛子だが、「適当に書け」という篤(高橋克典)に弥生(国仲涼子)は反論する。だが、篤に自分の子供のころの夢について聞かれ、忘れてしまっていることに気付く。</t>
  </si>
  <si>
    <t>番組名オトコの子育て「大激怒！子供のお金使い込み！！」</t>
  </si>
  <si>
    <t>高価な人形を欲しがる真美(遠藤由実)に弥生(国仲涼子)は、金は一生懸命働いて稼ぐものだと説き、家や店の手伝いをすれば小遣いをあげると約束する。真美は、わずかずつながら小遣いをためていく。そんな中、篤(高橋克典)に珍しくまとまった額の仕事が舞い込む。生活費のために仕事に打ち込む篤だったが、資料を購入する金に困り、真美の金に手を出してしまう。</t>
  </si>
  <si>
    <t>番組名オトコの子育て「どうする！？イジメ！！恋の決着！！家出…！！」</t>
  </si>
  <si>
    <t>子供たちの学校で授業参観ウイークが始まる。そんな折、凛子(夏居瑠奈)は、篤(高橋克典)が原因で健太郎(吉川史樹)がクラスメートからいじめを受けている現場を目撃。篤にいじめの実態を訴えるが、授業参観のことは伝えない。篤は自分がいじめの原因をつくったと知り、さすがに気落ちする。弥生(国仲涼子)と洋介(小泉孝太郎)から「人は変われる」と言われた篤は翌日から、まともな父親らしく振る舞おうと努力を始める。</t>
  </si>
  <si>
    <t>番組名オトコの子育て「6年前の秘密！！」</t>
  </si>
  <si>
    <t>六年前と同じように篤(高橋克典)が姿を消し、弥生(国仲涼子)と凛子(夏居瑠奈)は不安を募らせる。篤を恋しがる健太郎(吉川史樹)と真美(遠藤由実)のため、弥生は洋介(小泉孝太郎)と協力して篤を捜すが、行方は一向につかめない。疲れ切って万作(加藤茶)の店に寄った弥生たちは、そこで酒を飲んでいる篤を発見する。怒った弥生は篤を家に連れて帰るが、凛子は家に入ることを許さない。再び家を出ていく篤の手には、六年前のクリスマスに撮った家族写真が握られていた。</t>
  </si>
  <si>
    <t>0710_EX_金23</t>
  </si>
  <si>
    <t>モップガール</t>
  </si>
  <si>
    <t>番組名モップガール「葬儀会社の美少女は死体を救う」</t>
  </si>
  <si>
    <t>葬儀会社で働く長谷川桃子(北川景子)が、自分の特殊な能力に気付き、現世に思いを残した死者を救うために悪戦苦闘する。原作・加藤実秋、脚本・真柴あずき、演出・片山修。　ウエディングプランナーの桃子(北川)は、結婚式を台無しにしてしまい、葬儀会社に異動を命じられる。”特殊清掃”の依頼を受けて現場に向かった桃子は、そこで銀行強盗が警官に射殺されたことを聞き、特殊清掃とは殺害現場を片付けることだと知る。桃子は遺体を引き取ることになり警察に向かうが、その遺体は、高校時代の恩師・平松(小倉久寛)だった。ショックを受けながらも、警部補の横内(マギー)から平松の遺品を預かった桃子は、遺品に触れた瞬間、強い耳鳴りに襲われる。</t>
  </si>
  <si>
    <t>番組名モップガール「セレブ花嫁は殺人がお好き！？」</t>
  </si>
  <si>
    <t>ブライダルショーに出演する人気モデル・綾乃(酒井彩名)が殺害された。大会社の社長令嬢である綾乃は、会社社長の本宮(西村清孝)と婚約し、挙式を来週に控えていた。偶然、現場に居合わせた桃子(北川景子)は、大友(谷原章介)とともに現場の片付けに向かい、綾乃の遺体にすがる本宮の姿を見る。だが、警部補の横内(マギー)から、本宮こそが綾乃殺害の第一容疑者だと聞き、驚く。綾乃の無念を思いながら現場を片付けていた桃子は、彼女が大切にしていたブーケを手に取った瞬間、激しい耳鳴りに襲われる。</t>
  </si>
  <si>
    <t>番組名モップガール「アイドル議員の秘密は蜜の味！？」</t>
  </si>
  <si>
    <t>汚職疑惑の会見中に、都議会議員・小百合(宝生舞)が殺害された。清掃に向かった桃子(北川景子)と大友(谷原章介)は、現場で小百合の元秘書で高校時代からの同級生・佳代(小西美帆)とライバル議員の蘭子(片桐はいり)に会う。その蘭子のバッグから、殺害に使われたと見られる導線の一部が発見され、蘭子は小百合殺害の第一容疑者に挙げられる。その夜、現場に小百合のバッジを探しに行った桃子は、バッジを手に取った瞬間、耳鳴りを感じる。</t>
  </si>
  <si>
    <t>番組名モップガール「メイド桃子、秋葉原で愛を叫ぶ」</t>
  </si>
  <si>
    <t>メイド喫茶で働く真理(小出早織)が、ストーカーの塚田(坂本真)に殺害され、塚田自身も自殺するという事件が発生した。警察から塚田の遺体を引き取るよう依頼された桃子(北川景子)は、彼の自宅へ向かう。報道陣に囲まれる塚田の母親・初子(山口美也子)に近づこうとした時、桃子は彼女の手から何かが落ちるのを見る。彼女が落としたチェスの駒に触れた桃子は、強い耳鳴りに襲われる。</t>
  </si>
  <si>
    <t>番組名モップガール「容疑者・東社長の謎を追え！！」</t>
  </si>
  <si>
    <t>フリーの葬儀コーディネーター・大津(橋本さとし)が殺害された。大津は桃子(北川景子)が勤める会社「リトルエンジェルズ」の社長・東(佐藤二朗)の幼なじみであり、ライバルの同業者でもある。東は以前から大津と仲が悪く、殺害現場近くで目撃証言があったため、第一容疑者として警察に連行される。東の無実を信じる桃子は彼のぬれぎぬを晴らしたいと考え、初めて自分の意思で過去に戻る。</t>
  </si>
  <si>
    <t>番組名モップガール「グラビアアイドルの夢は夜ひらく！？」</t>
  </si>
  <si>
    <t>女優志望の元グラビアアイドル・明日香(佐藤仁美)が殺害された。犯人はちまたで話題になっていた、鎌(かま)を持って人を襲う”鎌男”。明日香の女優への並々ならぬ意欲を知っていた桃子(北川景子)は、殺害現場を掃除している際に、彼女の鈴が落ちているのを発見する。桃子は明日香の無念を思いながら鈴を手に取り、彼女が殺されるのを防ごうと過去に戻っていく。</t>
  </si>
  <si>
    <t>番組名モップガール「覗かれた！？女教師の秘密の保健室」</t>
  </si>
  <si>
    <t>名門高校の女子生徒・亜衣(尾高杏奈)が殺害された。警察は容疑者として同じ高校の化学教師・小泉(村杉蝉之介)を任意同行する。遺体の清掃に行った桃子(北川景子)は、亜衣が近所の名門高校の”イケメン”三人組の一人・尾関(山口翔悟)と一緒に撮ったプリクラが張られたカードケースを発見する。それに触れた桃子は事件があった日の朝に戻り、大友(谷原章介)とともに真相を突き止め、事件を阻止しようと高校に潜入する。</t>
  </si>
  <si>
    <t>番組名モップガール「謎の変態作家集団！？殺意の宴へようこそ」</t>
  </si>
  <si>
    <t>”ケータイ小説”で人気の恋愛小説家・早乙女(加勢大周)が、自らが主催するパーティーの最中に殺害された。早乙女からパーティーに招かれていた桃子(北川景子)と大友(谷原章介)は、殺害現場に居合わせることに。桃子は現場で早乙女が大切にしていた万年筆を手に取り、激しい耳鳴りを感じる。事件の朝に戻った桃子は、大友と手分けをして、早乙女を恨んでいる人物がいなかったかを探り始める。</t>
  </si>
  <si>
    <t>番組名モップガール「余命1日…ヤクザの20年愛！約束の地へ」</t>
  </si>
  <si>
    <t>暴力団の組長・北浜(葛山信吾)が、敵対する組との抗争中に銃で撃たれ、桃子(北川景子)の父・隆治(本田博太郎)が経営する病院に入院する。葬儀の生前予約をするために桃子たちを呼んだ北浜は突然、桃子に身の回りの世話を依頼。程なく、北浜は容体が急変し、亡くなる。病室の片付けをしていた桃子は、北浜が大切にしていた腕時計を手にし、耳鳴りを感じる。北浜が亡くなる日の朝に戻った桃子は、彼が生前会いたがっていた初恋の女性を捜し、会わせようと決意する。</t>
  </si>
  <si>
    <t>番組名モップガール「桃子死す…さよなら大友さん！！」</t>
  </si>
  <si>
    <t>ホストクラブを訪れた桃子(北川景子)は、ナンバーワンホストの雪弥(阿部力)が何者かに刺殺される現場に居合わせる。騒ぎになる中、桃子は建物の陰に犯人らしき人物を見つけて後を追うが、背後から襲われ、刺されてしまう。桃子は病院に搬送され、大友(谷原章介)らが駆け付けるが、意識は戻らない。だが、雪弥の娘・つらら(奥山志紀)が、雪弥が大事にしていたストラップを桃子に握らせると、桃子はその日の朝に戻り、事件を食い止めようと動き始める。</t>
  </si>
  <si>
    <t>1910_NTV_水22</t>
  </si>
  <si>
    <t>同期のサクラ</t>
  </si>
  <si>
    <t>番組名同期のサクラ#01</t>
  </si>
  <si>
    <r>
      <t>2009</t>
    </r>
    <r>
      <rPr>
        <rFont val="ＭＳ Ｐゴシック"/>
        <sz val="10.0"/>
      </rPr>
      <t>年。花村建設の新入社員・北野サクラ（高畑充希）は、新人研修で同じ班になった同期の百合</t>
    </r>
    <r>
      <rPr>
        <rFont val="Arial"/>
        <sz val="10.0"/>
      </rPr>
      <t>(</t>
    </r>
    <r>
      <rPr>
        <rFont val="ＭＳ Ｐゴシック"/>
        <sz val="10.0"/>
      </rPr>
      <t>橋本愛</t>
    </r>
    <r>
      <rPr>
        <rFont val="Arial"/>
        <sz val="10.0"/>
      </rPr>
      <t>)</t>
    </r>
    <r>
      <rPr>
        <rFont val="ＭＳ Ｐゴシック"/>
        <sz val="10.0"/>
      </rPr>
      <t>、葵</t>
    </r>
    <r>
      <rPr>
        <rFont val="Arial"/>
        <sz val="10.0"/>
      </rPr>
      <t>(</t>
    </r>
    <r>
      <rPr>
        <rFont val="ＭＳ Ｐゴシック"/>
        <sz val="10.0"/>
      </rPr>
      <t>新田真剣佑</t>
    </r>
    <r>
      <rPr>
        <rFont val="Arial"/>
        <sz val="10.0"/>
      </rPr>
      <t>)</t>
    </r>
    <r>
      <rPr>
        <rFont val="ＭＳ Ｐゴシック"/>
        <sz val="10.0"/>
      </rPr>
      <t>、菊夫</t>
    </r>
    <r>
      <rPr>
        <rFont val="Arial"/>
        <sz val="10.0"/>
      </rPr>
      <t>(</t>
    </r>
    <r>
      <rPr>
        <rFont val="ＭＳ Ｐゴシック"/>
        <sz val="10.0"/>
      </rPr>
      <t>竜星涼</t>
    </r>
    <r>
      <rPr>
        <rFont val="Arial"/>
        <sz val="10.0"/>
      </rPr>
      <t>)</t>
    </r>
    <r>
      <rPr>
        <rFont val="ＭＳ Ｐゴシック"/>
        <sz val="10.0"/>
      </rPr>
      <t>、蓮太郎</t>
    </r>
    <r>
      <rPr>
        <rFont val="Arial"/>
        <sz val="10.0"/>
      </rPr>
      <t>(</t>
    </r>
    <r>
      <rPr>
        <rFont val="ＭＳ Ｐゴシック"/>
        <sz val="10.0"/>
      </rPr>
      <t>岡山天音</t>
    </r>
    <r>
      <rPr>
        <rFont val="Arial"/>
        <sz val="10.0"/>
      </rPr>
      <t>)</t>
    </r>
    <r>
      <rPr>
        <rFont val="ＭＳ Ｐゴシック"/>
        <sz val="10.0"/>
      </rPr>
      <t>と共に、配属先の決定に影響する課題に取り組むことに。「故郷の離島に橋を架けたい」という夢のためには、決して忖度しない性格のサクラは、同期を巻き込み会社組織の中で、思わぬ事態を引き起こし</t>
    </r>
    <r>
      <rPr>
        <rFont val="Arial"/>
        <sz val="10.0"/>
      </rPr>
      <t>……</t>
    </r>
    <r>
      <rPr>
        <rFont val="ＭＳ Ｐゴシック"/>
        <sz val="10.0"/>
      </rPr>
      <t>。</t>
    </r>
  </si>
  <si>
    <t>2009年。花村建設の新入社員・北野サクラ（高畑充希）は、新人研修で同じ班になった同期の百合(橋本愛)、葵(新田真剣佑)、菊夫(竜星涼)、蓮太郎(岡山天音)と共に、配属先の決定に影響する課題に取り組むことに。「故郷の離島に橋を架けたい」という夢のためには、決して忖度しない性格のサクラは、同期を巻き込み会社組織の中で、思わぬ事態を引き起こし……。</t>
  </si>
  <si>
    <t>番組名同期のサクラ#02</t>
  </si>
  <si>
    <r>
      <t>2010</t>
    </r>
    <r>
      <rPr>
        <rFont val="ＭＳ Ｐゴシック"/>
        <sz val="10.0"/>
      </rPr>
      <t>年。花村建設・土木部を希望しながら、人事部に配属されて社会人２年目を迎えたサクラ（高畑充希）は、「残業時間を減らせ」という部長の黒川（椎名桔平）からの命令で、各部署を回ることに。久々に同期と再会し刺激を受けるサクラ。しかし、営業部の菊夫（竜星涼）がパワハラまがいの上司に苦しんでいる事を知る。心身ともに追い詰められた菊夫を助けるため、自分の夢を諦めないため、忖度しないサクラが進む道とは</t>
    </r>
    <r>
      <rPr>
        <rFont val="Arial"/>
        <sz val="10.0"/>
      </rPr>
      <t>…!?</t>
    </r>
  </si>
  <si>
    <t>2010年。花村建設・土木部を希望しながら、人事部に配属されて社会人２年目を迎えたサクラ（高畑充希）は、「残業時間を減らせ」という部長の黒川（椎名桔平）からの命令で、各部署を回ることに。久々に同期と再会し刺激を受けるサクラ。しかし、営業部の菊夫（竜星涼）がパワハラまがいの上司に苦しんでいる事を知る。心身ともに追い詰められた菊夫を助けるため、自分の夢を諦めないため、忖度しないサクラが進む道とは…!?</t>
  </si>
  <si>
    <t>番組名同期のサクラ#03</t>
  </si>
  <si>
    <r>
      <t>2011</t>
    </r>
    <r>
      <rPr>
        <rFont val="ＭＳ Ｐゴシック"/>
        <sz val="10.0"/>
      </rPr>
      <t>年</t>
    </r>
    <r>
      <rPr>
        <rFont val="Arial"/>
        <sz val="10.0"/>
      </rPr>
      <t>3</t>
    </r>
    <r>
      <rPr>
        <rFont val="ＭＳ Ｐゴシック"/>
        <sz val="10.0"/>
      </rPr>
      <t>月、東日本大震災前日ー。間もなく入社３年目を迎えるサクラ（高畑充希）は会社の採用パンフレット作りのため広報部の百合（橋本愛）と協力することに。男社会のゼネコンで本音を殺して働いてきた百合が、セクハラを受けてると知り、サクラの忖度なしの行動が騒動を巻き起こす。さらに震災の混乱で対応に追われる中、サクラは百合が寿退社すると聞き</t>
    </r>
    <r>
      <rPr>
        <rFont val="Arial"/>
        <sz val="10.0"/>
      </rPr>
      <t>……</t>
    </r>
    <r>
      <rPr>
        <rFont val="ＭＳ Ｐゴシック"/>
        <sz val="10.0"/>
      </rPr>
      <t>。</t>
    </r>
  </si>
  <si>
    <t>2011年3月、東日本大震災前日ー。間もなく入社３年目を迎えるサクラ（高畑充希）は会社の採用パンフレット作りのため広報部の百合（橋本愛）と協力することに。男社会のゼネコンで本音を殺して働いてきた百合が、セクハラを受けてると知り、サクラの忖度なしの行動が騒動を巻き起こす。さらに震災の混乱で対応に追われる中、サクラは百合が寿退社すると聞き……。</t>
  </si>
  <si>
    <t>番組名同期のサクラ#04</t>
  </si>
  <si>
    <r>
      <t>2012</t>
    </r>
    <r>
      <rPr>
        <rFont val="ＭＳ Ｐゴシック"/>
        <sz val="10.0"/>
      </rPr>
      <t>年</t>
    </r>
    <r>
      <rPr>
        <rFont val="Arial"/>
        <sz val="10.0"/>
      </rPr>
      <t>9</t>
    </r>
    <r>
      <rPr>
        <rFont val="ＭＳ Ｐゴシック"/>
        <sz val="10.0"/>
      </rPr>
      <t>月。サクラ（高畑充希）は社史編纂室から黒川（椎名桔平）との約束通り人事部に戻り、社員のメンタルケアを担当する事に。各部を回る中で、同僚と馴染めない蓮太郎（岡山天音）がイジメを受けている事を知るサクラ。そんな中、カッターで部員を切りつけようとした蓮太郎を止めようとし、サクラがケガをしてしまう。出社拒否になった仲間を救うために、サクラは百合（橋本愛）達と、蓮太郎の家へ向かう</t>
    </r>
    <r>
      <rPr>
        <rFont val="Arial"/>
        <sz val="10.0"/>
      </rPr>
      <t>…</t>
    </r>
    <r>
      <rPr>
        <rFont val="ＭＳ Ｐゴシック"/>
        <sz val="10.0"/>
      </rPr>
      <t>。</t>
    </r>
  </si>
  <si>
    <t>2012年9月。サクラ（高畑充希）は社史編纂室から黒川（椎名桔平）との約束通り人事部に戻り、社員のメンタルケアを担当する事に。各部を回る中で、同僚と馴染めない蓮太郎（岡山天音）がイジメを受けている事を知るサクラ。そんな中、カッターで部員を切りつけようとした蓮太郎を止めようとし、サクラがケガをしてしまう。出社拒否になった仲間を救うために、サクラは百合（橋本愛）達と、蓮太郎の家へ向かう…。</t>
  </si>
  <si>
    <t>番組名同期のサクラ#05</t>
  </si>
  <si>
    <r>
      <rPr>
        <rFont val="ＭＳ Ｐゴシック"/>
        <sz val="10.0"/>
      </rPr>
      <t>人事部で５年目を迎えたサクラ（高畑充希）は、社内表彰を受けた葵（新田真剣佑）を祝おうと同期を集める。しかし担当プロジェクトが国から急遽凍結され、問題を抱えていた葵は上から目線の言動で同期と溝を深めてしまう。会社では高級官僚の父親のコネばかりあてにされ、家では落ちこぼれ扱いされ、実は強烈なコンプレックスを抱いていた葵。そんな葵に手を差し伸べたサクラは、「俺と付き合わない？」と迫られて</t>
    </r>
    <r>
      <rPr>
        <rFont val="Arial"/>
        <sz val="10.0"/>
      </rPr>
      <t>……!?</t>
    </r>
  </si>
  <si>
    <t>人事部で５年目を迎えたサクラ（高畑充希）は、社内表彰を受けた葵（新田真剣佑）を祝おうと同期を集める。しかし担当プロジェクトが国から急遽凍結され、問題を抱えていた葵は上から目線の言動で同期と溝を深めてしまう。会社では高級官僚の父親のコネばかりあてにされ、家では落ちこぼれ扱いされ、実は強烈なコンプレックスを抱いていた葵。そんな葵に手を差し伸べたサクラは、「俺と付き合わない？」と迫られて……!?</t>
  </si>
  <si>
    <t>番組名同期のサクラ#06</t>
  </si>
  <si>
    <r>
      <rPr>
        <rFont val="ＭＳ Ｐゴシック"/>
        <sz val="10.0"/>
      </rPr>
      <t>子会社に飛ばされ社会人６年目を迎えたサクラ（高畑充希）は、その信念に密かな迷いを抱き始めていた。一方サクラを気にかけつつも人事部で仕事と子育ての両立に追われるシングルマザーすみれ（相武紗季）。</t>
    </r>
    <r>
      <rPr>
        <rFont val="Arial"/>
        <sz val="10.0"/>
      </rPr>
      <t>“</t>
    </r>
    <r>
      <rPr>
        <rFont val="ＭＳ Ｐゴシック"/>
        <sz val="10.0"/>
      </rPr>
      <t>女性研修セミナー</t>
    </r>
    <r>
      <rPr>
        <rFont val="Arial"/>
        <sz val="10.0"/>
      </rPr>
      <t>”</t>
    </r>
    <r>
      <rPr>
        <rFont val="ＭＳ Ｐゴシック"/>
        <sz val="10.0"/>
      </rPr>
      <t>を任され、女性評論家の理不尽な要望に振り回される毎日を送っていた。そんな忖度する母の姿に、すみれの娘・つくしはサクラに「大人になるって大変？」と聞くが、答えられないサクラだった。</t>
    </r>
  </si>
  <si>
    <t>子会社に飛ばされ社会人６年目を迎えたサクラ（高畑充希）は、その信念に密かな迷いを抱き始めていた。一方サクラを気にかけつつも人事部で仕事と子育ての両立に追われるシングルマザーすみれ（相武紗季）。“女性研修セミナー”を任され、女性評論家の理不尽な要望に振り回される毎日を送っていた。そんな忖度する母の姿に、すみれの娘・つくしはサクラに「大人になるって大変？」と聞くが、答えられないサクラだった。</t>
  </si>
  <si>
    <t>番組名同期のサクラ#07</t>
  </si>
  <si>
    <t>サクラ（高畑充希）の夢、故郷の橋の着工が始まった。直接は関われないものの、完成した橋を祖父・柊作（津嘉山正種）と渡る日を夢見ていた。そんな中、黒川（椎名桔平）から本社に呼び出されたサクラは、橋の安全性について不安を抱いている島民たちを現地の説明会で説得してほしいと頼まれる。同期たちと共に故郷の島を訪れるサクラ。そこで人生を揺るがす究極の選択と最愛の人との悲しい別れが待っていた・・・。</t>
  </si>
  <si>
    <t>番組名同期のサクラ#08</t>
  </si>
  <si>
    <r>
      <rPr>
        <rFont val="ＭＳ Ｐゴシック"/>
        <sz val="10.0"/>
      </rPr>
      <t>故郷に橋を架ける夢とたった一人の肉親である祖父を一度に失い、強い喪失感に襲われたまま社会人８年目を迎えたサクラ（高畑充希）は、なんとか仕事を続けていたものの、ある日心が限界を迎え出社できなくなってしまう。それ以来１年以上休職し続け、誰にも会わなくなってしまったサクラを、百合（橋本愛）たち同期はなんとか元気付けようと奮闘するが、サクラが会社から解雇される日は近づいていた</t>
    </r>
    <r>
      <rPr>
        <rFont val="Arial"/>
        <sz val="10.0"/>
      </rPr>
      <t>……</t>
    </r>
    <r>
      <rPr>
        <rFont val="ＭＳ Ｐゴシック"/>
        <sz val="10.0"/>
      </rPr>
      <t>。</t>
    </r>
  </si>
  <si>
    <t>故郷に橋を架ける夢とたった一人の肉親である祖父を一度に失い、強い喪失感に襲われたまま社会人８年目を迎えたサクラ（高畑充希）は、なんとか仕事を続けていたものの、ある日心が限界を迎え出社できなくなってしまう。それ以来１年以上休職し続け、誰にも会わなくなってしまったサクラを、百合（橋本愛）たち同期はなんとか元気付けようと奮闘するが、サクラが会社から解雇される日は近づいていた……。</t>
  </si>
  <si>
    <t>番組名同期のサクラ#09</t>
  </si>
  <si>
    <t>長い眠りから目覚めたサクラ（高畑充希）。花村建設を解雇されたものの、再び建設会社で夢を叶えようと頑張る前向きな姿に、百合（橋本愛）たち同期はかつてのサクラが復活したと安堵する。しかし、忖度できないサクラの就活は難航。貯金も底をつき心細さを感じる。一方、自分が知らない間に各々の人生の問題にきちんと向き合うようになっていく同期に孤独感が募り、サクラはふるさとの島へ帰る決心をするのだったー。</t>
  </si>
  <si>
    <t>番組名同期のサクラ#10</t>
  </si>
  <si>
    <r>
      <t>2020</t>
    </r>
    <r>
      <rPr>
        <rFont val="ＭＳ Ｐゴシック"/>
        <sz val="10.0"/>
      </rPr>
      <t>年</t>
    </r>
    <r>
      <rPr>
        <rFont val="Arial"/>
        <sz val="10.0"/>
      </rPr>
      <t>3</t>
    </r>
    <r>
      <rPr>
        <rFont val="ＭＳ Ｐゴシック"/>
        <sz val="10.0"/>
      </rPr>
      <t>月。サクラ（高畑充希）は、花村建設に復帰していた。副社長になった黒川（椎名桔平）の「力があれば、自分を貫ける」という理念に感化され、これまでにない仕事での高揚感を感じるようになる。一方、サクラを心配する同期の言葉に耳を貸さず、衝突する。自分を見失いかけたサクラは、どのようにして本来の自分を取り戻すのか？涙なくしては、見れないラストシーンに向け、サクラと同期の</t>
    </r>
    <r>
      <rPr>
        <rFont val="Arial"/>
        <sz val="10.0"/>
      </rPr>
      <t>10</t>
    </r>
    <r>
      <rPr>
        <rFont val="ＭＳ Ｐゴシック"/>
        <sz val="10.0"/>
      </rPr>
      <t>年間が完結する</t>
    </r>
    <r>
      <rPr>
        <rFont val="Arial"/>
        <sz val="10.0"/>
      </rPr>
      <t>…</t>
    </r>
    <r>
      <rPr>
        <rFont val="ＭＳ Ｐゴシック"/>
        <sz val="10.0"/>
      </rPr>
      <t>。</t>
    </r>
  </si>
  <si>
    <t>2020年3月。サクラ（高畑充希）は、花村建設に復帰していた。副社長になった黒川（椎名桔平）の「力があれば、自分を貫ける」という理念に感化され、これまでにない仕事での高揚感を感じるようになる。一方、サクラを心配する同期の言葉に耳を貸さず、衝突する。自分を見失いかけたサクラは、どのようにして本来の自分を取り戻すのか？涙なくしては、見れないラストシーンに向け、サクラと同期の10年間が完結する…。</t>
  </si>
  <si>
    <t>1910_NTV_土22</t>
  </si>
  <si>
    <t>俺の話は長い</t>
  </si>
  <si>
    <t>番組名俺の話は長い#01</t>
  </si>
  <si>
    <r>
      <rPr>
        <rFont val="ＭＳ Ｐゴシック"/>
        <sz val="10.0"/>
      </rPr>
      <t>岸辺満</t>
    </r>
    <r>
      <rPr>
        <rFont val="Arial"/>
        <sz val="10.0"/>
      </rPr>
      <t>(</t>
    </r>
    <r>
      <rPr>
        <rFont val="ＭＳ Ｐゴシック"/>
        <sz val="10.0"/>
      </rPr>
      <t>生田斗真</t>
    </r>
    <r>
      <rPr>
        <rFont val="Arial"/>
        <sz val="10.0"/>
      </rPr>
      <t>)</t>
    </r>
    <r>
      <rPr>
        <rFont val="ＭＳ Ｐゴシック"/>
        <sz val="10.0"/>
      </rPr>
      <t>は、喫茶店を営む母・房枝</t>
    </r>
    <r>
      <rPr>
        <rFont val="Arial"/>
        <sz val="10.0"/>
      </rPr>
      <t>(</t>
    </r>
    <r>
      <rPr>
        <rFont val="ＭＳ Ｐゴシック"/>
        <sz val="10.0"/>
      </rPr>
      <t>原田美枝子</t>
    </r>
    <r>
      <rPr>
        <rFont val="Arial"/>
        <sz val="10.0"/>
      </rPr>
      <t>)</t>
    </r>
    <r>
      <rPr>
        <rFont val="ＭＳ Ｐゴシック"/>
        <sz val="10.0"/>
      </rPr>
      <t>に寄生する</t>
    </r>
    <r>
      <rPr>
        <rFont val="Arial"/>
        <sz val="10.0"/>
      </rPr>
      <t>31</t>
    </r>
    <r>
      <rPr>
        <rFont val="ＭＳ Ｐゴシック"/>
        <sz val="10.0"/>
      </rPr>
      <t>歳のニート。ある晩、姉の秋葉綾子</t>
    </r>
    <r>
      <rPr>
        <rFont val="Arial"/>
        <sz val="10.0"/>
      </rPr>
      <t>(</t>
    </r>
    <r>
      <rPr>
        <rFont val="ＭＳ Ｐゴシック"/>
        <sz val="10.0"/>
      </rPr>
      <t>小池栄子</t>
    </r>
    <r>
      <rPr>
        <rFont val="Arial"/>
        <sz val="10.0"/>
      </rPr>
      <t>)</t>
    </r>
    <r>
      <rPr>
        <rFont val="ＭＳ Ｐゴシック"/>
        <sz val="10.0"/>
      </rPr>
      <t>が夫の光司</t>
    </r>
    <r>
      <rPr>
        <rFont val="Arial"/>
        <sz val="10.0"/>
      </rPr>
      <t>(</t>
    </r>
    <r>
      <rPr>
        <rFont val="ＭＳ Ｐゴシック"/>
        <sz val="10.0"/>
      </rPr>
      <t>安田顕</t>
    </r>
    <r>
      <rPr>
        <rFont val="Arial"/>
        <sz val="10.0"/>
      </rPr>
      <t>)</t>
    </r>
    <r>
      <rPr>
        <rFont val="ＭＳ Ｐゴシック"/>
        <sz val="10.0"/>
      </rPr>
      <t>とすきやき用の肉を携えてやってくる。マイホーム建て替えの</t>
    </r>
    <r>
      <rPr>
        <rFont val="Arial"/>
        <sz val="10.0"/>
      </rPr>
      <t xml:space="preserve"> 3 </t>
    </r>
    <r>
      <rPr>
        <rFont val="ＭＳ Ｐゴシック"/>
        <sz val="10.0"/>
      </rPr>
      <t>か月間、娘の春海</t>
    </r>
    <r>
      <rPr>
        <rFont val="Arial"/>
        <sz val="10.0"/>
      </rPr>
      <t>(</t>
    </r>
    <r>
      <rPr>
        <rFont val="ＭＳ Ｐゴシック"/>
        <sz val="10.0"/>
      </rPr>
      <t>清原果耶</t>
    </r>
    <r>
      <rPr>
        <rFont val="Arial"/>
        <sz val="10.0"/>
      </rPr>
      <t>)</t>
    </r>
    <r>
      <rPr>
        <rFont val="ＭＳ Ｐゴシック"/>
        <sz val="10.0"/>
      </rPr>
      <t>も加えた家族</t>
    </r>
    <r>
      <rPr>
        <rFont val="Arial"/>
        <sz val="10.0"/>
      </rPr>
      <t xml:space="preserve"> 3 </t>
    </r>
    <r>
      <rPr>
        <rFont val="ＭＳ Ｐゴシック"/>
        <sz val="10.0"/>
      </rPr>
      <t>人で岸辺家に同居させてほしいというのだ。「相談の仕方間違ってる」満は、すき焼きが嫌いだからとヘリクツを並べて同居に反対し、綾子との壮絶な言い争いを繰り広げる。</t>
    </r>
  </si>
  <si>
    <t>岸辺満(生田斗真)は、喫茶店を営む母・房枝(原田美枝子)に寄生する31歳のニート。ある晩、姉の秋葉綾子(小池栄子)が夫の光司(安田顕)とすきやき用の肉を携えてやってくる。マイホーム建て替えの 3 か月間、娘の春海(清原果耶)も加えた家族 3 人で岸辺家に同居させてほしいというのだ。「相談の仕方間違ってる」満は、すき焼きが嫌いだからとヘリクツを並べて同居に反対し、綾子との壮絶な言い争いを繰り広げる。</t>
  </si>
  <si>
    <t>番組名俺の話は長い 第２話「焼きそばと海」「コーヒーと台所」</t>
  </si>
  <si>
    <r>
      <rPr>
        <rFont val="ＭＳ Ｐゴシック"/>
        <sz val="10.0"/>
      </rPr>
      <t>岸辺家と綾子（小池栄子）一家との同居が始まる。満（生田斗真）を働かせたい綾子だったが、また学校へ行かないと言い出した娘の春海（清原果耶）の説得を成功報酬</t>
    </r>
    <r>
      <rPr>
        <rFont val="Arial"/>
        <sz val="10.0"/>
      </rPr>
      <t>5</t>
    </r>
    <r>
      <rPr>
        <rFont val="ＭＳ Ｐゴシック"/>
        <sz val="10.0"/>
      </rPr>
      <t>千円で頼んでしまう。春海は好きな陸（水沢林太郎）が親友と付き合いだしたことに胸を痛めていた。</t>
    </r>
    <r>
      <rPr>
        <rFont val="Arial"/>
        <sz val="10.0"/>
      </rPr>
      <t xml:space="preserve">  </t>
    </r>
    <r>
      <rPr>
        <rFont val="ＭＳ Ｐゴシック"/>
        <sz val="10.0"/>
      </rPr>
      <t>「無職の息子だけならまだしも不登校の孫まで家に残して一生懸命働いてるんだぞ？婆ちゃんがどんな気持ちか考えろよ」と説得する満だったが</t>
    </r>
    <r>
      <rPr>
        <rFont val="Arial"/>
        <sz val="10.0"/>
      </rPr>
      <t>-</t>
    </r>
    <r>
      <rPr>
        <rFont val="ＭＳ Ｐゴシック"/>
        <sz val="10.0"/>
      </rPr>
      <t>。</t>
    </r>
  </si>
  <si>
    <t>岸辺家と綾子（小池栄子）一家との同居が始まる。満（生田斗真）を働かせたい綾子だったが、また学校へ行かないと言い出した娘の春海（清原果耶）の説得を成功報酬5千円で頼んでしまう。春海は好きな陸（水沢林太郎）が親友と付き合いだしたことに胸を痛めていた。  「無職の息子だけならまだしも不登校の孫まで家に残して一生懸命働いてるんだぞ？婆ちゃんがどんな気持ちか考えろよ」と説得する満だったが-。</t>
  </si>
  <si>
    <t>番組名俺の話は長い  第３話 其の五「カボチャと喫茶店」・其の六「酢豚と墓参り」</t>
  </si>
  <si>
    <t>房枝（原田美枝子）が頂き物のカボチャを店でハロウィンの特別メニューにすると聞いて激怒する満（生田斗真）。密かにネットでの転売を目論んでいたのだ。「この先ずーっと『あぁこの店はハロウィンみたいなチャラついたイベントに便乗する店なんだって』思われるんだよ？」ハロウィンと謳わずに出すという房枝に「ワールドカップの時に日本代表のユニフォームきてるのに『一切便乗してません』って言って通用する？」と訴える</t>
  </si>
  <si>
    <t>番組名俺の話は長い 第四話 「アイスと夜の散歩」・「バーニャカウダと犬の散歩」</t>
  </si>
  <si>
    <r>
      <rPr>
        <rFont val="ＭＳ Ｐゴシック"/>
        <sz val="10.0"/>
      </rPr>
      <t>大事にとっておいたアイスが、誰かに食べられたと騒ぎ出す満</t>
    </r>
    <r>
      <rPr>
        <rFont val="Arial"/>
        <sz val="10.0"/>
      </rPr>
      <t>(</t>
    </r>
    <r>
      <rPr>
        <rFont val="ＭＳ Ｐゴシック"/>
        <sz val="10.0"/>
      </rPr>
      <t>生田斗真</t>
    </r>
    <r>
      <rPr>
        <rFont val="Arial"/>
        <sz val="10.0"/>
      </rPr>
      <t>)</t>
    </r>
    <r>
      <rPr>
        <rFont val="ＭＳ Ｐゴシック"/>
        <sz val="10.0"/>
      </rPr>
      <t>。ゴミを捨てただけいう綾子</t>
    </r>
    <r>
      <rPr>
        <rFont val="Arial"/>
        <sz val="10.0"/>
      </rPr>
      <t>(</t>
    </r>
    <r>
      <rPr>
        <rFont val="ＭＳ Ｐゴシック"/>
        <sz val="10.0"/>
      </rPr>
      <t>小池栄子</t>
    </r>
    <r>
      <rPr>
        <rFont val="Arial"/>
        <sz val="10.0"/>
      </rPr>
      <t>)</t>
    </r>
    <r>
      <rPr>
        <rFont val="ＭＳ Ｐゴシック"/>
        <sz val="10.0"/>
      </rPr>
      <t>に「川に拳銃は捨てたけど撃ったのはワタシじゃありませんて言って誰が信じるよ？」「これはアイスの問題じゃない。アイスを食べたクセに黙っている犯人がこの中に居ることが問題なんです」と探偵気取りで推理する満。</t>
    </r>
    <r>
      <rPr>
        <rFont val="Arial"/>
        <sz val="10.0"/>
      </rPr>
      <t xml:space="preserve">  </t>
    </r>
    <r>
      <rPr>
        <rFont val="ＭＳ Ｐゴシック"/>
        <sz val="10.0"/>
      </rPr>
      <t>一方春海（清原果耶）は、陸</t>
    </r>
    <r>
      <rPr>
        <rFont val="Arial"/>
        <sz val="10.0"/>
      </rPr>
      <t>(</t>
    </r>
    <r>
      <rPr>
        <rFont val="ＭＳ Ｐゴシック"/>
        <sz val="10.0"/>
      </rPr>
      <t>水沢林太郎</t>
    </r>
    <r>
      <rPr>
        <rFont val="Arial"/>
        <sz val="10.0"/>
      </rPr>
      <t>)</t>
    </r>
    <r>
      <rPr>
        <rFont val="ＭＳ Ｐゴシック"/>
        <sz val="10.0"/>
      </rPr>
      <t>と光司</t>
    </r>
    <r>
      <rPr>
        <rFont val="Arial"/>
        <sz val="10.0"/>
      </rPr>
      <t>(</t>
    </r>
    <r>
      <rPr>
        <rFont val="ＭＳ Ｐゴシック"/>
        <sz val="10.0"/>
      </rPr>
      <t>安田顕</t>
    </r>
    <r>
      <rPr>
        <rFont val="Arial"/>
        <sz val="10.0"/>
      </rPr>
      <t>)</t>
    </r>
    <r>
      <rPr>
        <rFont val="ＭＳ Ｐゴシック"/>
        <sz val="10.0"/>
      </rPr>
      <t>がメールしている事が気になる。</t>
    </r>
  </si>
  <si>
    <t>大事にとっておいたアイスが、誰かに食べられたと騒ぎ出す満(生田斗真)。ゴミを捨てただけいう綾子(小池栄子)に「川に拳銃は捨てたけど撃ったのはワタシじゃありませんて言って誰が信じるよ？」「これはアイスの問題じゃない。アイスを食べたクセに黙っている犯人がこの中に居ることが問題なんです」と探偵気取りで推理する満。  一方春海（清原果耶）は、陸(水沢林太郎)と光司(安田顕)がメールしている事が気になる。</t>
  </si>
  <si>
    <t>番組名俺の話は長い 第５話「銀杏と爪切り」・「シャンパンと合い鍵」</t>
  </si>
  <si>
    <r>
      <rPr>
        <rFont val="ＭＳ Ｐゴシック"/>
        <sz val="10.0"/>
      </rPr>
      <t>綾子</t>
    </r>
    <r>
      <rPr>
        <rFont val="Arial"/>
        <sz val="10.0"/>
      </rPr>
      <t>(</t>
    </r>
    <r>
      <rPr>
        <rFont val="ＭＳ Ｐゴシック"/>
        <sz val="10.0"/>
      </rPr>
      <t>小池栄子</t>
    </r>
    <r>
      <rPr>
        <rFont val="Arial"/>
        <sz val="10.0"/>
      </rPr>
      <t>)</t>
    </r>
    <r>
      <rPr>
        <rFont val="ＭＳ Ｐゴシック"/>
        <sz val="10.0"/>
      </rPr>
      <t>は春海</t>
    </r>
    <r>
      <rPr>
        <rFont val="Arial"/>
        <sz val="10.0"/>
      </rPr>
      <t>(</t>
    </r>
    <r>
      <rPr>
        <rFont val="ＭＳ Ｐゴシック"/>
        <sz val="10.0"/>
      </rPr>
      <t>清原果耶</t>
    </r>
    <r>
      <rPr>
        <rFont val="Arial"/>
        <sz val="10.0"/>
      </rPr>
      <t>)</t>
    </r>
    <r>
      <rPr>
        <rFont val="ＭＳ Ｐゴシック"/>
        <sz val="10.0"/>
      </rPr>
      <t>がわざと模擬試験で悪い点をとって、陸</t>
    </r>
    <r>
      <rPr>
        <rFont val="Arial"/>
        <sz val="10.0"/>
      </rPr>
      <t>(</t>
    </r>
    <r>
      <rPr>
        <rFont val="ＭＳ Ｐゴシック"/>
        <sz val="10.0"/>
      </rPr>
      <t>水沢林太郎</t>
    </r>
    <r>
      <rPr>
        <rFont val="Arial"/>
        <sz val="10.0"/>
      </rPr>
      <t>)</t>
    </r>
    <r>
      <rPr>
        <rFont val="ＭＳ Ｐゴシック"/>
        <sz val="10.0"/>
      </rPr>
      <t>と同じ高校に行こうとしていると疑っていた。春海は否定するが、疑い続ける綾子の様子に、光司</t>
    </r>
    <r>
      <rPr>
        <rFont val="Arial"/>
        <sz val="10.0"/>
      </rPr>
      <t>(</t>
    </r>
    <r>
      <rPr>
        <rFont val="ＭＳ Ｐゴシック"/>
        <sz val="10.0"/>
      </rPr>
      <t>安田顕</t>
    </r>
    <r>
      <rPr>
        <rFont val="Arial"/>
        <sz val="10.0"/>
      </rPr>
      <t>)</t>
    </r>
    <r>
      <rPr>
        <rFont val="ＭＳ Ｐゴシック"/>
        <sz val="10.0"/>
      </rPr>
      <t>は二人の志望校は違うことを、陸に直接確認してしまう。光司と陸が繋がっていることに綾子はショックをうける。満</t>
    </r>
    <r>
      <rPr>
        <rFont val="Arial"/>
        <sz val="10.0"/>
      </rPr>
      <t>(</t>
    </r>
    <r>
      <rPr>
        <rFont val="ＭＳ Ｐゴシック"/>
        <sz val="10.0"/>
      </rPr>
      <t>生田斗真</t>
    </r>
    <r>
      <rPr>
        <rFont val="Arial"/>
        <sz val="10.0"/>
      </rPr>
      <t>)</t>
    </r>
    <r>
      <rPr>
        <rFont val="ＭＳ Ｐゴシック"/>
        <sz val="10.0"/>
      </rPr>
      <t>は「姉ちゃんもそういう立場になったってことだよ」と子供の頃、一緒に親を欺いた思い出話で綾子を慰める。</t>
    </r>
  </si>
  <si>
    <t>綾子(小池栄子)は春海(清原果耶)がわざと模擬試験で悪い点をとって、陸(水沢林太郎)と同じ高校に行こうとしていると疑っていた。春海は否定するが、疑い続ける綾子の様子に、光司(安田顕)は二人の志望校は違うことを、陸に直接確認してしまう。光司と陸が繋がっていることに綾子はショックをうける。満(生田斗真)は「姉ちゃんもそういう立場になったってことだよ」と子供の頃、一緒に親を欺いた思い出話で綾子を慰める。</t>
  </si>
  <si>
    <t>番組名俺の話は長い 第六話「毛蟹と体温計」・「モンブランと亀」</t>
  </si>
  <si>
    <r>
      <rPr>
        <rFont val="ＭＳ Ｐゴシック"/>
        <sz val="10.0"/>
      </rPr>
      <t>光司</t>
    </r>
    <r>
      <rPr>
        <rFont val="Arial"/>
        <sz val="10.0"/>
      </rPr>
      <t>(</t>
    </r>
    <r>
      <rPr>
        <rFont val="ＭＳ Ｐゴシック"/>
        <sz val="10.0"/>
      </rPr>
      <t>安田顕</t>
    </r>
    <r>
      <rPr>
        <rFont val="Arial"/>
        <sz val="10.0"/>
      </rPr>
      <t>)</t>
    </r>
    <r>
      <rPr>
        <rFont val="ＭＳ Ｐゴシック"/>
        <sz val="10.0"/>
      </rPr>
      <t>が高熱で会社を休んだ。岸辺家では光司の一番の好物である、いただきものの毛蟹を黙って食べてしまうかどうかで揉める。春海</t>
    </r>
    <r>
      <rPr>
        <rFont val="Arial"/>
        <sz val="10.0"/>
      </rPr>
      <t>(</t>
    </r>
    <r>
      <rPr>
        <rFont val="ＭＳ Ｐゴシック"/>
        <sz val="10.0"/>
      </rPr>
      <t>清原果耶</t>
    </r>
    <r>
      <rPr>
        <rFont val="Arial"/>
        <sz val="10.0"/>
      </rPr>
      <t>)</t>
    </r>
    <r>
      <rPr>
        <rFont val="ＭＳ Ｐゴシック"/>
        <sz val="10.0"/>
      </rPr>
      <t>が出汁を雑炊にする提案をしてー。一方、満</t>
    </r>
    <r>
      <rPr>
        <rFont val="Arial"/>
        <sz val="10.0"/>
      </rPr>
      <t>(</t>
    </r>
    <r>
      <rPr>
        <rFont val="ＭＳ Ｐゴシック"/>
        <sz val="10.0"/>
      </rPr>
      <t>生田斗真</t>
    </r>
    <r>
      <rPr>
        <rFont val="Arial"/>
        <sz val="10.0"/>
      </rPr>
      <t>)</t>
    </r>
    <r>
      <rPr>
        <rFont val="ＭＳ Ｐゴシック"/>
        <sz val="10.0"/>
      </rPr>
      <t>が、犬の散歩を頼んでいる女社長、明日香</t>
    </r>
    <r>
      <rPr>
        <rFont val="Arial"/>
        <sz val="10.0"/>
      </rPr>
      <t>(</t>
    </r>
    <r>
      <rPr>
        <rFont val="ＭＳ Ｐゴシック"/>
        <sz val="10.0"/>
      </rPr>
      <t>倉科カナ</t>
    </r>
    <r>
      <rPr>
        <rFont val="Arial"/>
        <sz val="10.0"/>
      </rPr>
      <t>)</t>
    </r>
    <r>
      <rPr>
        <rFont val="ＭＳ Ｐゴシック"/>
        <sz val="10.0"/>
      </rPr>
      <t>とさらに急接近。</t>
    </r>
    <r>
      <rPr>
        <rFont val="Arial"/>
        <sz val="10.0"/>
      </rPr>
      <t>2</t>
    </r>
    <r>
      <rPr>
        <rFont val="ＭＳ Ｐゴシック"/>
        <sz val="10.0"/>
      </rPr>
      <t>年前のように再びヒモになるのでは？と心配の岸辺家。昔ヒモだったという光司が話を聞きに行くと、今度は本気らしいとわかる。</t>
    </r>
  </si>
  <si>
    <t>光司(安田顕)が高熱で会社を休んだ。岸辺家では光司の一番の好物である、いただきものの毛蟹を黙って食べてしまうかどうかで揉める。春海(清原果耶)が出汁を雑炊にする提案をしてー。一方、満(生田斗真)が、犬の散歩を頼んでいる女社長、明日香(倉科カナ)とさらに急接近。2年前のように再びヒモになるのでは？と心配の岸辺家。昔ヒモだったという光司が話を聞きに行くと、今度は本気らしいとわかる。</t>
  </si>
  <si>
    <t>番組名俺の話は長い 第七話 「ジンライムと商店街」・「カレーライスと砂浜」</t>
  </si>
  <si>
    <r>
      <rPr>
        <rFont val="ＭＳ Ｐゴシック"/>
        <sz val="10.0"/>
      </rPr>
      <t>房枝</t>
    </r>
    <r>
      <rPr>
        <rFont val="Arial"/>
        <sz val="10.0"/>
      </rPr>
      <t>(</t>
    </r>
    <r>
      <rPr>
        <rFont val="ＭＳ Ｐゴシック"/>
        <sz val="10.0"/>
      </rPr>
      <t>原田美枝子</t>
    </r>
    <r>
      <rPr>
        <rFont val="Arial"/>
        <sz val="10.0"/>
      </rPr>
      <t>)</t>
    </r>
    <r>
      <rPr>
        <rFont val="ＭＳ Ｐゴシック"/>
        <sz val="10.0"/>
      </rPr>
      <t>が、家を売ろうとしているのを知った満</t>
    </r>
    <r>
      <rPr>
        <rFont val="Arial"/>
        <sz val="10.0"/>
      </rPr>
      <t>(</t>
    </r>
    <r>
      <rPr>
        <rFont val="ＭＳ Ｐゴシック"/>
        <sz val="10.0"/>
      </rPr>
      <t>生田斗真</t>
    </r>
    <r>
      <rPr>
        <rFont val="Arial"/>
        <sz val="10.0"/>
      </rPr>
      <t>)</t>
    </r>
    <r>
      <rPr>
        <rFont val="ＭＳ Ｐゴシック"/>
        <sz val="10.0"/>
      </rPr>
      <t>は猛反対。喫茶店を手放すことに、会社を三日前に辞めたという光司</t>
    </r>
    <r>
      <rPr>
        <rFont val="Arial"/>
        <sz val="10.0"/>
      </rPr>
      <t>(</t>
    </r>
    <r>
      <rPr>
        <rFont val="ＭＳ Ｐゴシック"/>
        <sz val="10.0"/>
      </rPr>
      <t>安田顕</t>
    </r>
    <r>
      <rPr>
        <rFont val="Arial"/>
        <sz val="10.0"/>
      </rPr>
      <t>)</t>
    </r>
    <r>
      <rPr>
        <rFont val="ＭＳ Ｐゴシック"/>
        <sz val="10.0"/>
      </rPr>
      <t>が「僕が継ぎます！」と言い出す。何も知らなかった綾子</t>
    </r>
    <r>
      <rPr>
        <rFont val="Arial"/>
        <sz val="10.0"/>
      </rPr>
      <t>(</t>
    </r>
    <r>
      <rPr>
        <rFont val="ＭＳ Ｐゴシック"/>
        <sz val="10.0"/>
      </rPr>
      <t>小池栄子</t>
    </r>
    <r>
      <rPr>
        <rFont val="Arial"/>
        <sz val="10.0"/>
      </rPr>
      <t>)</t>
    </r>
    <r>
      <rPr>
        <rFont val="ＭＳ Ｐゴシック"/>
        <sz val="10.0"/>
      </rPr>
      <t>はー。</t>
    </r>
    <r>
      <rPr>
        <rFont val="Arial"/>
        <sz val="10.0"/>
      </rPr>
      <t xml:space="preserve">  </t>
    </r>
    <r>
      <rPr>
        <rFont val="ＭＳ Ｐゴシック"/>
        <sz val="10.0"/>
      </rPr>
      <t>一方、明日香</t>
    </r>
    <r>
      <rPr>
        <rFont val="Arial"/>
        <sz val="10.0"/>
      </rPr>
      <t>(</t>
    </r>
    <r>
      <rPr>
        <rFont val="ＭＳ Ｐゴシック"/>
        <sz val="10.0"/>
      </rPr>
      <t>倉科カナ</t>
    </r>
    <r>
      <rPr>
        <rFont val="Arial"/>
        <sz val="10.0"/>
      </rPr>
      <t>)</t>
    </r>
    <r>
      <rPr>
        <rFont val="ＭＳ Ｐゴシック"/>
        <sz val="10.0"/>
      </rPr>
      <t>に「自分のこれからやるべきことは明日香のサポート」と言う満。しかし彼女の反応は予想外だった</t>
    </r>
    <r>
      <rPr>
        <rFont val="Arial"/>
        <sz val="10.0"/>
      </rPr>
      <t>…</t>
    </r>
    <r>
      <rPr>
        <rFont val="ＭＳ Ｐゴシック"/>
        <sz val="10.0"/>
      </rPr>
      <t>。</t>
    </r>
    <r>
      <rPr>
        <rFont val="Arial"/>
        <sz val="10.0"/>
      </rPr>
      <t xml:space="preserve">  </t>
    </r>
    <r>
      <rPr>
        <rFont val="ＭＳ Ｐゴシック"/>
        <sz val="10.0"/>
      </rPr>
      <t>さらに、春海</t>
    </r>
    <r>
      <rPr>
        <rFont val="Arial"/>
        <sz val="10.0"/>
      </rPr>
      <t>(</t>
    </r>
    <r>
      <rPr>
        <rFont val="ＭＳ Ｐゴシック"/>
        <sz val="10.0"/>
      </rPr>
      <t>清原果耶</t>
    </r>
    <r>
      <rPr>
        <rFont val="Arial"/>
        <sz val="10.0"/>
      </rPr>
      <t>)</t>
    </r>
    <r>
      <rPr>
        <rFont val="ＭＳ Ｐゴシック"/>
        <sz val="10.0"/>
      </rPr>
      <t>がついに告白の為に陸</t>
    </r>
    <r>
      <rPr>
        <rFont val="Arial"/>
        <sz val="10.0"/>
      </rPr>
      <t>(</t>
    </r>
    <r>
      <rPr>
        <rFont val="ＭＳ Ｐゴシック"/>
        <sz val="10.0"/>
      </rPr>
      <t>水沢林太郎</t>
    </r>
    <r>
      <rPr>
        <rFont val="Arial"/>
        <sz val="10.0"/>
      </rPr>
      <t>)</t>
    </r>
    <r>
      <rPr>
        <rFont val="ＭＳ Ｐゴシック"/>
        <sz val="10.0"/>
      </rPr>
      <t>を呼び出す。</t>
    </r>
  </si>
  <si>
    <t>房枝(原田美枝子)が、家を売ろうとしているのを知った満(生田斗真)は猛反対。喫茶店を手放すことに、会社を三日前に辞めたという光司(安田顕)が「僕が継ぎます！」と言い出す。何も知らなかった綾子(小池栄子)はー。  一方、明日香(倉科カナ)に「自分のこれからやるべきことは明日香のサポート」と言う満。しかし彼女の反応は予想外だった…。  さらに、春海(清原果耶)がついに告白の為に陸(水沢林太郎)を呼び出す。</t>
  </si>
  <si>
    <t>番組名俺の話は長い 第八話「ゆで卵と福引き」・「ミカンとコタツ」</t>
  </si>
  <si>
    <r>
      <rPr>
        <rFont val="ＭＳ Ｐゴシック"/>
        <sz val="10.0"/>
      </rPr>
      <t>房枝（原田美枝子）にアプローチするリッチな檀野</t>
    </r>
    <r>
      <rPr>
        <rFont val="Arial"/>
        <sz val="10.0"/>
      </rPr>
      <t>(</t>
    </r>
    <r>
      <rPr>
        <rFont val="ＭＳ Ｐゴシック"/>
        <sz val="10.0"/>
      </rPr>
      <t>長谷川初範</t>
    </r>
    <r>
      <rPr>
        <rFont val="Arial"/>
        <sz val="10.0"/>
      </rPr>
      <t>)</t>
    </r>
    <r>
      <rPr>
        <rFont val="ＭＳ Ｐゴシック"/>
        <sz val="10.0"/>
      </rPr>
      <t>。綾子</t>
    </r>
    <r>
      <rPr>
        <rFont val="Arial"/>
        <sz val="10.0"/>
      </rPr>
      <t>(</t>
    </r>
    <r>
      <rPr>
        <rFont val="ＭＳ Ｐゴシック"/>
        <sz val="10.0"/>
      </rPr>
      <t>小池栄子</t>
    </r>
    <r>
      <rPr>
        <rFont val="Arial"/>
        <sz val="10.0"/>
      </rPr>
      <t>)</t>
    </r>
    <r>
      <rPr>
        <rFont val="ＭＳ Ｐゴシック"/>
        <sz val="10.0"/>
      </rPr>
      <t>達は再婚の後押しをする気でいた。しかし、満（生田斗真）は、牧本（西村まさ彦）に「二人の恋路を邪魔してはもらえないだろうか？」と頼まれる。</t>
    </r>
    <r>
      <rPr>
        <rFont val="Arial"/>
        <sz val="10.0"/>
      </rPr>
      <t xml:space="preserve">  </t>
    </r>
    <r>
      <rPr>
        <rFont val="ＭＳ Ｐゴシック"/>
        <sz val="10.0"/>
      </rPr>
      <t>一方、光司（安田顕）は満と同じグレーのジャージを着てニート生活さながらに。二人はコタツで「ニートブラザーズ」の曲を作り歌い出す。そこに春海（清原果耶）が帰宅し歌を止める光司だったが</t>
    </r>
    <r>
      <rPr>
        <rFont val="Arial"/>
        <sz val="10.0"/>
      </rPr>
      <t>…</t>
    </r>
  </si>
  <si>
    <t>房枝（原田美枝子）にアプローチするリッチな檀野(長谷川初範)。綾子(小池栄子)達は再婚の後押しをする気でいた。しかし、満（生田斗真）は、牧本（西村まさ彦）に「二人の恋路を邪魔してはもらえないだろうか？」と頼まれる。  一方、光司（安田顕）は満と同じグレーのジャージを着てニート生活さながらに。二人はコタツで「ニートブラザーズ」の曲を作り歌い出す。そこに春海（清原果耶）が帰宅し歌を止める光司だったが…</t>
  </si>
  <si>
    <t>番組名俺の話は長い 第九話「トンカツと占い」・「ラーメンとフリーマーケット」</t>
  </si>
  <si>
    <r>
      <rPr>
        <rFont val="ＭＳ Ｐゴシック"/>
        <sz val="10.0"/>
      </rPr>
      <t>春海（清原果耶）が高校進学をやめ、ラジオパーソナリティーになると言い出した。満（生田斗真）が適性を確かめてやると、リスナーに扮し仕事が見つからない悩みを春海に相談するが</t>
    </r>
    <r>
      <rPr>
        <rFont val="Arial"/>
        <sz val="10.0"/>
      </rPr>
      <t>-</t>
    </r>
    <r>
      <rPr>
        <rFont val="ＭＳ Ｐゴシック"/>
        <sz val="10.0"/>
      </rPr>
      <t>。</t>
    </r>
    <r>
      <rPr>
        <rFont val="Arial"/>
        <sz val="10.0"/>
      </rPr>
      <t xml:space="preserve">  </t>
    </r>
    <r>
      <rPr>
        <rFont val="ＭＳ Ｐゴシック"/>
        <sz val="10.0"/>
      </rPr>
      <t>自分が不採用だった議員秘書が、満には向いていると気づく光司（安田顕）。満自身、イエスマンばかりに囲まれている偉い人にはっきり物言う仕事を思いついたことがあったらしい。さっそく綾子（小池栄子）は檀野（長谷川初範）と話を進めて</t>
    </r>
    <r>
      <rPr>
        <rFont val="Arial"/>
        <sz val="10.0"/>
      </rPr>
      <t>-</t>
    </r>
    <r>
      <rPr>
        <rFont val="ＭＳ Ｐゴシック"/>
        <sz val="10.0"/>
      </rPr>
      <t>。</t>
    </r>
  </si>
  <si>
    <t>春海（清原果耶）が高校進学をやめ、ラジオパーソナリティーになると言い出した。満（生田斗真）が適性を確かめてやると、リスナーに扮し仕事が見つからない悩みを春海に相談するが-。  自分が不採用だった議員秘書が、満には向いていると気づく光司（安田顕）。満自身、イエスマンばかりに囲まれている偉い人にはっきり物言う仕事を思いついたことがあったらしい。さっそく綾子（小池栄子）は檀野（長谷川初範）と話を進めて-。</t>
  </si>
  <si>
    <t>番組名俺の話は長い 最終回「すき焼きと引越し」・「コーヒーとマラソン」</t>
  </si>
  <si>
    <r>
      <rPr>
        <rFont val="ＭＳ Ｐゴシック"/>
        <sz val="10.0"/>
      </rPr>
      <t>引越し前の最後の食事は</t>
    </r>
    <r>
      <rPr>
        <rFont val="Arial"/>
        <sz val="10.0"/>
      </rPr>
      <t>3</t>
    </r>
    <r>
      <rPr>
        <rFont val="ＭＳ Ｐゴシック"/>
        <sz val="10.0"/>
      </rPr>
      <t>か月前と同じすき焼きがいいと言う満（生田斗真）。いまいち乗らない綾子</t>
    </r>
    <r>
      <rPr>
        <rFont val="Arial"/>
        <sz val="10.0"/>
      </rPr>
      <t>(</t>
    </r>
    <r>
      <rPr>
        <rFont val="ＭＳ Ｐゴシック"/>
        <sz val="10.0"/>
      </rPr>
      <t>小池栄子</t>
    </r>
    <r>
      <rPr>
        <rFont val="Arial"/>
        <sz val="10.0"/>
      </rPr>
      <t>)</t>
    </r>
    <r>
      <rPr>
        <rFont val="ＭＳ Ｐゴシック"/>
        <sz val="10.0"/>
      </rPr>
      <t>達だったが、秋葉家の危機を救ったのは誰？と満のへりくつが始まりー。</t>
    </r>
    <r>
      <rPr>
        <rFont val="Arial"/>
        <sz val="10.0"/>
      </rPr>
      <t xml:space="preserve">    </t>
    </r>
    <r>
      <rPr>
        <rFont val="ＭＳ Ｐゴシック"/>
        <sz val="10.0"/>
      </rPr>
      <t>ついに秋葉家が去り、岸辺家に日常が戻ってきた。突然議員秘書の面接を受けるという満は面接に向かうがその日、商店街はマラソンコースになっていた。【演出】中島悟【脚本】金子茂樹【主題歌】関ジャニ∞「友よ」（インフィニティ・レコーズ</t>
    </r>
    <r>
      <rPr>
        <rFont val="Arial"/>
        <sz val="10.0"/>
      </rPr>
      <t xml:space="preserve">)  </t>
    </r>
  </si>
  <si>
    <t>引越し前の最後の食事は3か月前と同じすき焼きがいいと言う満（生田斗真）。いまいち乗らない綾子(小池栄子)達だったが、秋葉家の危機を救ったのは誰？と満のへりくつが始まりー。    ついに秋葉家が去り、岸辺家に日常が戻ってきた。突然議員秘書の面接を受けるという満は面接に向かうがその日、商店街はマラソンコースになっていた。</t>
  </si>
  <si>
    <t>1910_NTV_日22</t>
  </si>
  <si>
    <t>ニッポンノワール</t>
  </si>
  <si>
    <t>番組名ニッポンノワール－刑事Ｙの反乱-#1【超規格外刑事ドラマ、ここに開幕！】</t>
  </si>
  <si>
    <r>
      <rPr>
        <rFont val="ＭＳ Ｐゴシック"/>
        <sz val="10.0"/>
      </rPr>
      <t>遊佐清春（賀来賢人）が目を覚ますと、隣には碓氷薫（広末涼子）の遺体が。手には拳銃を持ち、なぜか３ヶ月分の記憶を綺麗に失っていた。</t>
    </r>
    <r>
      <rPr>
        <rFont val="Arial"/>
        <sz val="10.0"/>
      </rPr>
      <t xml:space="preserve">  </t>
    </r>
    <r>
      <rPr>
        <rFont val="ＭＳ Ｐゴシック"/>
        <sz val="10.0"/>
      </rPr>
      <t>コノママデハツカマル。</t>
    </r>
    <r>
      <rPr>
        <rFont val="Arial"/>
        <sz val="10.0"/>
      </rPr>
      <t xml:space="preserve">  </t>
    </r>
    <r>
      <rPr>
        <rFont val="ＭＳ Ｐゴシック"/>
        <sz val="10.0"/>
      </rPr>
      <t>そう思った清春は全ての痕跡を消し去りその場を後にする。</t>
    </r>
    <r>
      <rPr>
        <rFont val="Arial"/>
        <sz val="10.0"/>
      </rPr>
      <t xml:space="preserve">  </t>
    </r>
    <r>
      <rPr>
        <rFont val="ＭＳ Ｐゴシック"/>
        <sz val="10.0"/>
      </rPr>
      <t>だが、すぐに刑事として事件現場に招集されると、そこには悪名高い刑事である清春に向けられた疑いの目たちが</t>
    </r>
    <r>
      <rPr>
        <rFont val="Arial"/>
        <sz val="10.0"/>
      </rPr>
      <t>……</t>
    </r>
    <r>
      <rPr>
        <rFont val="ＭＳ Ｐゴシック"/>
        <sz val="10.0"/>
      </rPr>
      <t>。</t>
    </r>
    <r>
      <rPr>
        <rFont val="Arial"/>
        <sz val="10.0"/>
      </rPr>
      <t xml:space="preserve">  </t>
    </r>
    <r>
      <rPr>
        <rFont val="ＭＳ Ｐゴシック"/>
        <sz val="10.0"/>
      </rPr>
      <t>衝撃的展開の連続！欺く者は誰かーー！誰も想像出来ない規格外刑事ドラマ、大開幕</t>
    </r>
    <r>
      <rPr>
        <rFont val="Arial"/>
        <sz val="10.0"/>
      </rPr>
      <t>!</t>
    </r>
  </si>
  <si>
    <t>遊佐清春（賀来賢人）が目を覚ますと、隣には碓氷薫（広末涼子）の遺体が。手には拳銃を持ち、なぜか３ヶ月分の記憶を綺麗に失っていた。  コノママデハツカマル。  そう思った清春は全ての痕跡を消し去りその場を後にする。  だが、すぐに刑事として事件現場に招集されると、そこには悪名高い刑事である清春に向けられた疑いの目たちが……。  衝撃的展開の連続！欺く者は誰かーー！誰も想像出来ない規格外刑事ドラマ、大開幕!</t>
  </si>
  <si>
    <t>番組名ニッポンノワール－刑事Ｙの反乱-#2【暴かれる一つの罪！偽る者は誰だ!?】</t>
  </si>
  <si>
    <r>
      <rPr>
        <rFont val="ＭＳ Ｐゴシック"/>
        <sz val="10.0"/>
      </rPr>
      <t>遊佐清春（賀来賢人）の自宅に自身が碓氷薫（広末涼子）を殺害した犯人へと繋がる証拠が残されていた。そして既に周囲は刑事に囲まれていて</t>
    </r>
    <r>
      <rPr>
        <rFont val="Arial"/>
        <sz val="10.0"/>
      </rPr>
      <t>…</t>
    </r>
    <r>
      <rPr>
        <rFont val="ＭＳ Ｐゴシック"/>
        <sz val="10.0"/>
      </rPr>
      <t>。碓氷班の面々は「十億円強奪事件」と「碓氷薫殺害事件」、二つの事件の捜査を命じられる。その鍵を握っていたのは薫の一人息子：克喜（田野井健）であった。そして、捜査の中で一人の少女：芹奈（佐久間由衣）の「ある秘密」が明らかになる。芹奈は亡き薫と死の数日前に会っていてーー。</t>
    </r>
  </si>
  <si>
    <t>遊佐清春（賀来賢人）の自宅に自身が碓氷薫（広末涼子）を殺害した犯人へと繋がる証拠が残されていた。そして既に周囲は刑事に囲まれていて…。碓氷班の面々は「十億円強奪事件」と「碓氷薫殺害事件」、二つの事件の捜査を命じられる。その鍵を握っていたのは薫の一人息子：克喜（田野井健）であった。そして、捜査の中で一人の少女：芹奈（佐久間由衣）の「ある秘密」が明らかになる。芹奈は亡き薫と死の数日前に会っていてーー。</t>
  </si>
  <si>
    <t>番組名ニッポンノワール－刑事Ｙの反乱-#3【直接対決！最も怪しきあの男…!!】</t>
  </si>
  <si>
    <r>
      <rPr>
        <rFont val="ＭＳ Ｐゴシック"/>
        <sz val="10.0"/>
      </rPr>
      <t>亡き刑事：本城（篠井英介）に女性刑事殺害事件と十億円強奪事件という二つの大事件の罪を着せ、全てをうやむやに処理しようとする警察上層部。しかし、その流れに清春（賀来賢人）や南武（北村一輝）が待ったをかける。確実に裏のある事件の真相を突き止めるべく信念を持った再捜査が始まる。そして、清春は隠れて糸を引き続ける怪しき男：才門（井浦新）を追い詰めていくことに。その真意とは</t>
    </r>
    <r>
      <rPr>
        <rFont val="Arial"/>
        <sz val="10.0"/>
      </rPr>
      <t>…</t>
    </r>
    <r>
      <rPr>
        <rFont val="ＭＳ Ｐゴシック"/>
        <sz val="10.0"/>
      </rPr>
      <t>。対決の時、来たる。</t>
    </r>
  </si>
  <si>
    <t>亡き刑事：本城（篠井英介）に女性刑事殺害事件と十億円強奪事件という二つの大事件の罪を着せ、全てをうやむやに処理しようとする警察上層部。しかし、その流れに清春（賀来賢人）や南武（北村一輝）が待ったをかける。確実に裏のある事件の真相を突き止めるべく信念を持った再捜査が始まる。そして、清春は隠れて糸を引き続ける怪しき男：才門（井浦新）を追い詰めていくことに。その真意とは…。対決の時、来たる。</t>
  </si>
  <si>
    <t>番組名ニッポンノワール－刑事Ｙの反乱-#4【核心、判明す!?……蘇る記憶!】</t>
  </si>
  <si>
    <r>
      <rPr>
        <rFont val="ＭＳ Ｐゴシック"/>
        <sz val="10.0"/>
      </rPr>
      <t>ホンボシ（本犯）は南武（北村一輝）だと告げられた清春（賀来賢人）が南武の素性を洗っていくと、これまで既に多くの嘘をついていたことが分かる。南武の本意を探る清春。一方克喜（田野井健）は南武のアリバイ崩しに繋がる証拠を持っており、南武に呼び出され、直接会いに行くことに</t>
    </r>
    <r>
      <rPr>
        <rFont val="Arial"/>
        <sz val="10.0"/>
      </rPr>
      <t>…</t>
    </r>
    <r>
      <rPr>
        <rFont val="ＭＳ Ｐゴシック"/>
        <sz val="10.0"/>
      </rPr>
      <t>。ついに物語は核心へと向かう。繋がる事件。浮き上がる真実。そして清春の失われた記憶の扉が、ついに開くーー。</t>
    </r>
  </si>
  <si>
    <t>ホンボシ（本犯）は南武（北村一輝）だと告げられた清春（賀来賢人）が南武の素性を洗っていくと、これまで既に多くの嘘をついていたことが分かる。南武の本意を探る清春。一方克喜（田野井健）は南武のアリバイ崩しに繋がる証拠を持っており、南武に呼び出され、直接会いに行くことに…。ついに物語は核心へと向かう。繋がる事件。浮き上がる真実。そして清春の失われた記憶の扉が、ついに開くーー。</t>
  </si>
  <si>
    <t>番組名ニッポンノワール－刑事Ｙの反乱-#5【十億円強奪犯判明！第１部、完結ー。】</t>
  </si>
  <si>
    <t>警察の暗部となる地下組織「ニッポンノワール」の存在が明らかになった。そして清春（賀来賢人）は重大な記憶を取り戻し、その闇へと立ち向かうことになる。南武（北村一輝）からニッポンノワールと半グレ集団との関与の疑惑を聞かされた清春は捜査へ向かう。その捜査は警察の闇との全面対決と繋がることに。そしてこの日、ついに十億円強奪事件の犯人が明かされる。物語の第１部が完結を迎えるーー。必見の第５話。</t>
  </si>
  <si>
    <t>番組名ニッポンノワール－刑事Ｙの反乱-#6【第２部カク※※編開幕！逆襲、始まる】</t>
  </si>
  <si>
    <r>
      <rPr>
        <rFont val="ＭＳ Ｐゴシック"/>
        <sz val="10.0"/>
      </rPr>
      <t>全国に指名手配をかけられた刑事：清春（賀来賢人）は、公安部の刑事：才門（井浦新）と共に逃走劇を繰り広げる。完全なる窮地に陥る中、地下組織「ニッポンノワール」の中枢の情報を掴む清春は、その核心へと迫っていくことになる。清春が目的の場所へとたどり着いた時、すべての様相が明らかになっていく。そして、この日誰もが想像しない更なる衝撃展開が巻き起こる。第２部「カク※※編」。刑事</t>
    </r>
    <r>
      <rPr>
        <rFont val="Arial"/>
        <sz val="10.0"/>
      </rPr>
      <t>Y</t>
    </r>
    <r>
      <rPr>
        <rFont val="ＭＳ Ｐゴシック"/>
        <sz val="10.0"/>
      </rPr>
      <t>の逆襲がここに始まる。</t>
    </r>
  </si>
  <si>
    <t>全国に指名手配をかけられた刑事：清春（賀来賢人）は、公安部の刑事：才門（井浦新）と共に逃走劇を繰り広げる。完全なる窮地に陥る中、地下組織「ニッポンノワール」の中枢の情報を掴む清春は、その核心へと迫っていくことになる。清春が目的の場所へとたどり着いた時、すべての様相が明らかになっていく。そして、この日誰もが想像しない更なる衝撃展開が巻き起こる。第２部「カク※※編」。刑事Yの逆襲がここに始まる。</t>
  </si>
  <si>
    <t>番組名ニッポンノワール－刑事Ｙの反乱-#7【暴く闇の正体！亡き刑事、涙の真相…】</t>
  </si>
  <si>
    <r>
      <rPr>
        <rFont val="ＭＳ Ｐゴシック"/>
        <sz val="10.0"/>
      </rPr>
      <t>地下組織：ニッポンノワールの施設に潜入した清春（賀来賢人）。人並外れた力を持つ工作員たちが大挙していた。薫（広末涼子）との記憶を取り戻した清春は衝撃の陰謀を垣間見ることとなった。一方、息子・克喜は組織の元へ連れ去られ、囚われの身となる。逆襲を試みる清春だったが、そこには裏切りの手が迫っていた</t>
    </r>
    <r>
      <rPr>
        <rFont val="Arial"/>
        <sz val="10.0"/>
      </rPr>
      <t>……</t>
    </r>
    <r>
      <rPr>
        <rFont val="ＭＳ Ｐゴシック"/>
        <sz val="10.0"/>
      </rPr>
      <t>。第２部覚醒編。刑事は遂に敵の正体を暴く。そこで亡き刑事が涙を流したその真相を知ることとなる。</t>
    </r>
  </si>
  <si>
    <t>地下組織：ニッポンノワールの施設に潜入した清春（賀来賢人）。人並外れた力を持つ工作員たちが大挙していた。薫（広末涼子）との記憶を取り戻した清春は衝撃の陰謀を垣間見ることとなった。一方、息子・克喜は組織の元へ連れ去られ、囚われの身となる。逆襲を試みる清春だったが、そこには裏切りの手が迫っていた……。第２部覚醒編。刑事は遂に敵の正体を暴く。そこで亡き刑事が涙を流したその真相を知ることとなる。</t>
  </si>
  <si>
    <t>番組名ニッポンノワール－刑事Ｙの反乱-#8【命懸けの救出劇！あの男の最期…。】</t>
  </si>
  <si>
    <r>
      <rPr>
        <rFont val="ＭＳ Ｐゴシック"/>
        <sz val="10.0"/>
      </rPr>
      <t>組織の手により濡れ衣を着せられ、囚われの身となった清春（賀来賢人）。そんな中、息子の克喜（田野井健）は人体実験場へと連れ去らわれていた</t>
    </r>
    <r>
      <rPr>
        <rFont val="Arial"/>
        <sz val="10.0"/>
      </rPr>
      <t>…</t>
    </r>
    <r>
      <rPr>
        <rFont val="ＭＳ Ｐゴシック"/>
        <sz val="10.0"/>
      </rPr>
      <t>。一方、自身が記憶も人格も全て作られた人間であることを知った宮城（細田善彦）は、自分の存在そのものに悩み、葛藤をすることに</t>
    </r>
    <r>
      <rPr>
        <rFont val="Arial"/>
        <sz val="10.0"/>
      </rPr>
      <t>…</t>
    </r>
    <r>
      <rPr>
        <rFont val="ＭＳ Ｐゴシック"/>
        <sz val="10.0"/>
      </rPr>
      <t>。そして反逆者たちは組織の手が迫る少年を救うため、命懸けの救出劇を繰り広げる。その果てには、あの男の最期がーー。</t>
    </r>
  </si>
  <si>
    <t>組織の手により濡れ衣を着せられ、囚われの身となった清春（賀来賢人）。そんな中、息子の克喜（田野井健）は人体実験場へと連れ去らわれていた…。一方、自身が記憶も人格も全て作られた人間であることを知った宮城（細田善彦）は、自分の存在そのものに悩み、葛藤をすることに…。そして反逆者たちは組織の手が迫る少年を救うため、命懸けの救出劇を繰り広げる。その果てには、あの男の最期がーー。</t>
  </si>
  <si>
    <t>番組名ニッポンノワール－刑事Ｙの反乱-#9【蘇る全ての記憶！覚せいの日、来たる】</t>
  </si>
  <si>
    <r>
      <rPr>
        <rFont val="ＭＳ Ｐゴシック"/>
        <sz val="10.0"/>
      </rPr>
      <t>亡き薫（広末涼子）が残した</t>
    </r>
    <r>
      <rPr>
        <rFont val="Arial"/>
        <sz val="10.0"/>
      </rPr>
      <t>USB</t>
    </r>
    <r>
      <rPr>
        <rFont val="ＭＳ Ｐゴシック"/>
        <sz val="10.0"/>
      </rPr>
      <t>の情報が開示され、清春（賀来賢人）は喫茶店マスター深水喜一（笹野高史）のもとを訪れる。カウントダウンされていた覚醒の日を、ついに迎えることとなる刑事</t>
    </r>
    <r>
      <rPr>
        <rFont val="Arial"/>
        <sz val="10.0"/>
      </rPr>
      <t>Y</t>
    </r>
    <r>
      <rPr>
        <rFont val="ＭＳ Ｐゴシック"/>
        <sz val="10.0"/>
      </rPr>
      <t>。『覚醒』、その意味とはーー。そして全ての記憶を蘇らせ、ついに真相へと辿り着くこととなる。薫を殺した真犯人は誰か！？めまぐるしく展開したミステリーが佳境を迎える</t>
    </r>
    <r>
      <rPr>
        <rFont val="Arial"/>
        <sz val="10.0"/>
      </rPr>
      <t>!</t>
    </r>
    <r>
      <rPr>
        <rFont val="ＭＳ Ｐゴシック"/>
        <sz val="10.0"/>
      </rPr>
      <t>第</t>
    </r>
    <r>
      <rPr>
        <rFont val="Arial"/>
        <sz val="10.0"/>
      </rPr>
      <t>9</t>
    </r>
    <r>
      <rPr>
        <rFont val="ＭＳ Ｐゴシック"/>
        <sz val="10.0"/>
      </rPr>
      <t>話、『誰にも騙されることなかれ』。衝撃が待ち受ける</t>
    </r>
    <r>
      <rPr>
        <rFont val="Arial"/>
        <sz val="10.0"/>
      </rPr>
      <t>!</t>
    </r>
  </si>
  <si>
    <t>亡き薫（広末涼子）が残したUSBの情報が開示され、清春（賀来賢人）は喫茶店マスター深水喜一（笹野高史）のもとを訪れる。カウントダウンされていた覚醒の日を、ついに迎えることとなる刑事Y。『覚醒』、その意味とはーー。そして全ての記憶を蘇らせ、ついに真相へと辿り着くこととなる。薫を殺した真犯人は誰か！？めまぐるしく展開したミステリーが佳境を迎える!第9話、『誰にも騙されることなかれ』。衝撃が待ち受ける!</t>
  </si>
  <si>
    <t>番組名ニッポンノワール－刑事Ｙの反乱-#10全ての謎は、この１時間の為にあった</t>
  </si>
  <si>
    <r>
      <rPr>
        <rFont val="ＭＳ Ｐゴシック"/>
        <sz val="10.0"/>
      </rPr>
      <t>時刻は</t>
    </r>
    <r>
      <rPr>
        <rFont val="Arial"/>
        <sz val="10.0"/>
      </rPr>
      <t>22</t>
    </r>
    <r>
      <rPr>
        <rFont val="ＭＳ Ｐゴシック"/>
        <sz val="10.0"/>
      </rPr>
      <t>時</t>
    </r>
    <r>
      <rPr>
        <rFont val="Arial"/>
        <sz val="10.0"/>
      </rPr>
      <t>30</t>
    </r>
    <r>
      <rPr>
        <rFont val="ＭＳ Ｐゴシック"/>
        <sz val="10.0"/>
      </rPr>
      <t>分。清春</t>
    </r>
    <r>
      <rPr>
        <rFont val="Arial"/>
        <sz val="10.0"/>
      </rPr>
      <t>(</t>
    </r>
    <r>
      <rPr>
        <rFont val="ＭＳ Ｐゴシック"/>
        <sz val="10.0"/>
      </rPr>
      <t>賀来賢人</t>
    </r>
    <r>
      <rPr>
        <rFont val="Arial"/>
        <sz val="10.0"/>
      </rPr>
      <t>)</t>
    </r>
    <r>
      <rPr>
        <rFont val="ＭＳ Ｐゴシック"/>
        <sz val="10.0"/>
      </rPr>
      <t>はガスマスクの男と対峙したーー。全ての黒幕であるこの男は何者か。薫（広末涼子）を殺害したのは誰か</t>
    </r>
    <r>
      <rPr>
        <rFont val="Arial"/>
        <sz val="10.0"/>
      </rPr>
      <t>…</t>
    </r>
    <r>
      <rPr>
        <rFont val="ＭＳ Ｐゴシック"/>
        <sz val="10.0"/>
      </rPr>
      <t>。十億円はどこに隠されているのか</t>
    </r>
    <r>
      <rPr>
        <rFont val="Arial"/>
        <sz val="10.0"/>
      </rPr>
      <t>…</t>
    </r>
    <r>
      <rPr>
        <rFont val="ＭＳ Ｐゴシック"/>
        <sz val="10.0"/>
      </rPr>
      <t>。地下組織：ニッポンノワールの狙いは</t>
    </r>
    <r>
      <rPr>
        <rFont val="Arial"/>
        <sz val="10.0"/>
      </rPr>
      <t>…</t>
    </r>
    <r>
      <rPr>
        <rFont val="ＭＳ Ｐゴシック"/>
        <sz val="10.0"/>
      </rPr>
      <t>。全ての謎が紡がれ、暴かれていく最終回。物語は私達現実世界と同じ</t>
    </r>
    <r>
      <rPr>
        <rFont val="Arial"/>
        <sz val="10.0"/>
      </rPr>
      <t>12</t>
    </r>
    <r>
      <rPr>
        <rFont val="ＭＳ Ｐゴシック"/>
        <sz val="10.0"/>
      </rPr>
      <t>月</t>
    </r>
    <r>
      <rPr>
        <rFont val="Arial"/>
        <sz val="10.0"/>
      </rPr>
      <t>15</t>
    </r>
    <r>
      <rPr>
        <rFont val="ＭＳ Ｐゴシック"/>
        <sz val="10.0"/>
      </rPr>
      <t>日の</t>
    </r>
    <r>
      <rPr>
        <rFont val="Arial"/>
        <sz val="10.0"/>
      </rPr>
      <t>55</t>
    </r>
    <r>
      <rPr>
        <rFont val="ＭＳ Ｐゴシック"/>
        <sz val="10.0"/>
      </rPr>
      <t>分間の時間軸で決着を迎える。全ての謎はこの１時間のためにあった。</t>
    </r>
    <r>
      <rPr>
        <rFont val="Arial"/>
        <sz val="10.0"/>
      </rPr>
      <t>……</t>
    </r>
    <r>
      <rPr>
        <rFont val="ＭＳ Ｐゴシック"/>
        <sz val="10.0"/>
      </rPr>
      <t>最後の１秒まで、見逃すことなかれ</t>
    </r>
    <r>
      <rPr>
        <rFont val="Arial"/>
        <sz val="10.0"/>
      </rPr>
      <t>!</t>
    </r>
  </si>
  <si>
    <t>時刻は22時30分。清春(賀来賢人)はガスマスクの男と対峙したーー。全ての黒幕であるこの男は何者か。薫（広末涼子）を殺害したのは誰か…。十億円はどこに隠されているのか…。地下組織：ニッポンノワールの狙いは…。全ての謎が紡がれ、暴かれていく最終回。物語は私達現実世界と同じ12月15日の55分間の時間軸で決着を迎える。全ての謎はこの１時間のためにあった。……最後の１秒まで、見逃すことなかれ!</t>
  </si>
  <si>
    <t>1907_NTV_水22</t>
  </si>
  <si>
    <t>偽装不倫</t>
  </si>
  <si>
    <t>番組名偽装不倫#01</t>
  </si>
  <si>
    <r>
      <rPr>
        <rFont val="ＭＳ Ｐゴシック"/>
        <sz val="10.0"/>
      </rPr>
      <t>３２歳・独身・彼氏なしの鐘子（杏）は、成果の出ない婚活をやめ「婚活さよならパーティー」と名付けた博多への一人旅に向かう。だが、姉の葉子（仲間由紀恵）から借りた服のポケットになぜか結婚指輪が入っていることに気づく。機内でその指輪を落としてしまい慌てる鐘子。拾ってくれたのは年下のイケメン・丈（宮沢氷魚）だった。動揺した鐘子は、つい既婚者のフリをしてしまう！たったひとつの嘘から、本物の恋が始まる</t>
    </r>
    <r>
      <rPr>
        <rFont val="Arial"/>
        <sz val="10.0"/>
      </rPr>
      <t>…!!</t>
    </r>
  </si>
  <si>
    <t>３２歳・独身・彼氏なしの鐘子（杏）は、成果の出ない婚活をやめ「婚活さよならパーティー」と名付けた博多への一人旅に向かう。だが、姉の葉子（仲間由紀恵）から借りた服のポケットになぜか結婚指輪が入っていることに気づく。機内でその指輪を落としてしまい慌てる鐘子。拾ってくれたのは年下のイケメン・丈（宮沢氷魚）だった。動揺した鐘子は、つい既婚者のフリをしてしまう！たったひとつの嘘から、本物の恋が始まる…!!</t>
  </si>
  <si>
    <t>番組名偽装不倫#02</t>
  </si>
  <si>
    <r>
      <rPr>
        <rFont val="ＭＳ Ｐゴシック"/>
        <sz val="10.0"/>
      </rPr>
      <t>つい既婚者のふりをしたことから、思いがけず旅先で丈（宮沢氷魚）と一夜を共にした鐘子（杏）は、東京への帰路で、姉・葉子（仲間由紀恵）の結婚指輪を忘れて来たことに気付く。慌ててホテルに問い合わせても、指輪は見つからず</t>
    </r>
    <r>
      <rPr>
        <rFont val="Arial"/>
        <sz val="10.0"/>
      </rPr>
      <t>…</t>
    </r>
    <r>
      <rPr>
        <rFont val="ＭＳ Ｐゴシック"/>
        <sz val="10.0"/>
      </rPr>
      <t>。そんな中鐘子は、出張に行ったはずの葉子が、着飾って街を歩いているのを目撃。思わず後をつけた鐘子が目にしたのは、ピンク頭の年下イケメン・風太（瀬戸利樹）とデートをする姉の姿だった</t>
    </r>
    <r>
      <rPr>
        <rFont val="Arial"/>
        <sz val="10.0"/>
      </rPr>
      <t>!</t>
    </r>
  </si>
  <si>
    <t>つい既婚者のふりをしたことから、思いがけず旅先で丈（宮沢氷魚）と一夜を共にした鐘子（杏）は、東京への帰路で、姉・葉子（仲間由紀恵）の結婚指輪を忘れて来たことに気付く。慌ててホテルに問い合わせても、指輪は見つからず…。そんな中鐘子は、出張に行ったはずの葉子が、着飾って街を歩いているのを目撃。思わず後をつけた鐘子が目にしたのは、ピンク頭の年下イケメン・風太（瀬戸利樹）とデートをする姉の姿だった!</t>
  </si>
  <si>
    <t>番組名偽装不倫#03</t>
  </si>
  <si>
    <r>
      <rPr>
        <rFont val="ＭＳ Ｐゴシック"/>
        <sz val="10.0"/>
      </rPr>
      <t>鐘子（杏）は、丈（宮沢氷魚）が預かっていた姉・葉子（仲間由紀恵）の結婚指輪を取り戻し、これで丈と会うこともないと、寂しさを感じる。一方、丈は人知れず頭痛とめまいに苦しんでいた</t>
    </r>
    <r>
      <rPr>
        <rFont val="Arial"/>
        <sz val="10.0"/>
      </rPr>
      <t>……</t>
    </r>
    <r>
      <rPr>
        <rFont val="ＭＳ Ｐゴシック"/>
        <sz val="10.0"/>
      </rPr>
      <t>。</t>
    </r>
    <r>
      <rPr>
        <rFont val="Arial"/>
        <sz val="10.0"/>
      </rPr>
      <t xml:space="preserve">  </t>
    </r>
    <r>
      <rPr>
        <rFont val="ＭＳ Ｐゴシック"/>
        <sz val="10.0"/>
      </rPr>
      <t>そんな中、葉子は不倫相手の風太（瀬戸利樹）が怪我で入院したと聞き、夫・賢治（谷原章介）との結婚記念日ディナーを抜け出してお見舞いに行くため、鐘子に協力を頼む。呆れる鐘子だったが、姉の口裏合わせに付き合うことになり</t>
    </r>
    <r>
      <rPr>
        <rFont val="Arial"/>
        <sz val="10.0"/>
      </rPr>
      <t>……</t>
    </r>
    <r>
      <rPr>
        <rFont val="ＭＳ Ｐゴシック"/>
        <sz val="10.0"/>
      </rPr>
      <t>。</t>
    </r>
  </si>
  <si>
    <t>鐘子（杏）は、丈（宮沢氷魚）が預かっていた姉・葉子（仲間由紀恵）の結婚指輪を取り戻し、これで丈と会うこともないと、寂しさを感じる。一方、丈は人知れず頭痛とめまいに苦しんでいた……。  そんな中、葉子は不倫相手の風太（瀬戸利樹）が怪我で入院したと聞き、夫・賢治（谷原章介）との結婚記念日ディナーを抜け出してお見舞いに行くため、鐘子に協力を頼む。呆れる鐘子だったが、姉の口裏合わせに付き合うことになり……。</t>
  </si>
  <si>
    <t>番組名偽装不倫#04</t>
  </si>
  <si>
    <r>
      <rPr>
        <rFont val="ＭＳ Ｐゴシック"/>
        <sz val="10.0"/>
      </rPr>
      <t>丈（宮沢氷魚）の部屋から朝帰りした鐘子（杏）は、週末に約束した岩手旅行を心待ちにする。仕事中も丈とのメールに浮かれるものの、突然返事が途絶え不安を覚える鐘子。だが、そのころ丈は意外な場所にいた</t>
    </r>
    <r>
      <rPr>
        <rFont val="Arial"/>
        <sz val="10.0"/>
      </rPr>
      <t>…</t>
    </r>
    <r>
      <rPr>
        <rFont val="ＭＳ Ｐゴシック"/>
        <sz val="10.0"/>
      </rPr>
      <t>。一方、風太（瀬戸利樹）との不倫のために嘘を重ねる葉子（仲間由紀恵）に、賢治（谷原章介）は少しずつ違和感を抱き始めていた</t>
    </r>
    <r>
      <rPr>
        <rFont val="Arial"/>
        <sz val="10.0"/>
      </rPr>
      <t>…</t>
    </r>
    <r>
      <rPr>
        <rFont val="ＭＳ Ｐゴシック"/>
        <sz val="10.0"/>
      </rPr>
      <t>。そして、岩手旅行当日。丈が待つ東京駅へと向かった鐘子に、想定外のトラブルが</t>
    </r>
    <r>
      <rPr>
        <rFont val="Arial"/>
        <sz val="10.0"/>
      </rPr>
      <t>!</t>
    </r>
  </si>
  <si>
    <t>丈（宮沢氷魚）の部屋から朝帰りした鐘子（杏）は、週末に約束した岩手旅行を心待ちにする。仕事中も丈とのメールに浮かれるものの、突然返事が途絶え不安を覚える鐘子。だが、そのころ丈は意外な場所にいた…。一方、風太（瀬戸利樹）との不倫のために嘘を重ねる葉子（仲間由紀恵）に、賢治（谷原章介）は少しずつ違和感を抱き始めていた…。そして、岩手旅行当日。丈が待つ東京駅へと向かった鐘子に、想定外のトラブルが!</t>
  </si>
  <si>
    <t>番組名偽装不倫#05</t>
  </si>
  <si>
    <r>
      <rPr>
        <rFont val="ＭＳ Ｐゴシック"/>
        <sz val="10.0"/>
      </rPr>
      <t>鐘子（杏）と行くはずだった岩手旅行に一人でやってきた丈（宮沢氷魚）。東京駅で鐘子と一緒にいた賢治（谷原章介）を鐘子の夫だと思い込んでいる丈は、鐘子を旅行に誘ったことを後悔する。鐘子も、丈が姿を消したのは不倫の厄介事から逃げるためだと思い、落ち込む。一方、葉子（仲間由紀恵）は、夫・賢治の出張の隙に風太（瀬戸利樹）とのデートへ出かける。だが、賢治は予定を変更し、早く東京へ帰ろうとしていた</t>
    </r>
    <r>
      <rPr>
        <rFont val="Arial"/>
        <sz val="10.0"/>
      </rPr>
      <t>…!</t>
    </r>
  </si>
  <si>
    <t>鐘子（杏）と行くはずだった岩手旅行に一人でやってきた丈（宮沢氷魚）。東京駅で鐘子と一緒にいた賢治（谷原章介）を鐘子の夫だと思い込んでいる丈は、鐘子を旅行に誘ったことを後悔する。鐘子も、丈が姿を消したのは不倫の厄介事から逃げるためだと思い、落ち込む。一方、葉子（仲間由紀恵）は、夫・賢治の出張の隙に風太（瀬戸利樹）とのデートへ出かける。だが、賢治は予定を変更し、早く東京へ帰ろうとしていた…!</t>
  </si>
  <si>
    <t>番組名偽装不倫#06</t>
  </si>
  <si>
    <r>
      <rPr>
        <rFont val="ＭＳ Ｐゴシック"/>
        <sz val="10.0"/>
      </rPr>
      <t>本当は独身だということを打ち明けようとした鐘子（杏）の前で突然倒れた丈（宮沢氷魚）。病院で目を覚ました丈は、医師の一之瀬（眞島秀和）に病気のことを秘密にするよう頼む。また本当のことを言えなかった鐘子は、このまま</t>
    </r>
    <r>
      <rPr>
        <rFont val="Arial"/>
        <sz val="10.0"/>
      </rPr>
      <t>“</t>
    </r>
    <r>
      <rPr>
        <rFont val="ＭＳ Ｐゴシック"/>
        <sz val="10.0"/>
      </rPr>
      <t>偽装不倫</t>
    </r>
    <r>
      <rPr>
        <rFont val="Arial"/>
        <sz val="10.0"/>
      </rPr>
      <t>”</t>
    </r>
    <r>
      <rPr>
        <rFont val="ＭＳ Ｐゴシック"/>
        <sz val="10.0"/>
      </rPr>
      <t>を続けていくことに</t>
    </r>
    <r>
      <rPr>
        <rFont val="Arial"/>
        <sz val="10.0"/>
      </rPr>
      <t>…</t>
    </r>
    <r>
      <rPr>
        <rFont val="ＭＳ Ｐゴシック"/>
        <sz val="10.0"/>
      </rPr>
      <t>。</t>
    </r>
    <r>
      <rPr>
        <rFont val="Arial"/>
        <sz val="10.0"/>
      </rPr>
      <t xml:space="preserve">  </t>
    </r>
    <r>
      <rPr>
        <rFont val="ＭＳ Ｐゴシック"/>
        <sz val="10.0"/>
      </rPr>
      <t>葉子（仲間由紀恵）は風太（瀬戸利樹）の試合と同じ日に賢治（谷原章介）から熱海旅行に誘われピンチに陥る。どちらにも行くつもりで、嫌がる鐘子に協力を仰ぐが</t>
    </r>
    <r>
      <rPr>
        <rFont val="Arial"/>
        <sz val="10.0"/>
      </rPr>
      <t>…</t>
    </r>
    <r>
      <rPr>
        <rFont val="ＭＳ Ｐゴシック"/>
        <sz val="10.0"/>
      </rPr>
      <t>。</t>
    </r>
  </si>
  <si>
    <t>本当は独身だということを打ち明けようとした鐘子（杏）の前で突然倒れた丈（宮沢氷魚）。病院で目を覚ました丈は、医師の一之瀬（眞島秀和）に病気のことを秘密にするよう頼む。また本当のことを言えなかった鐘子は、このまま“偽装不倫”を続けていくことに…。  葉子（仲間由紀恵）は風太（瀬戸利樹）の試合と同じ日に賢治（谷原章介）から熱海旅行に誘われピンチに陥る。どちらにも行くつもりで、嫌がる鐘子に協力を仰ぐが…。</t>
  </si>
  <si>
    <t>番組名偽装不倫#07</t>
  </si>
  <si>
    <r>
      <rPr>
        <rFont val="ＭＳ Ｐゴシック"/>
        <sz val="10.0"/>
      </rPr>
      <t>丈（宮沢氷魚）から「大好きだ」と言われて指輪をもらった鐘子（杏）は、丈が人妻だと思っている自分に指輪をくれた真意がわからずに悩む。一方、風太（瀬戸利樹）の試合を観に行き、賢治（谷原章介）との熱海旅行をドタキャンした葉子（仲間由紀恵）。帰宅した葉子を待っていたのは不自然なほど笑顔の賢治だった。翌日、鐘子は賢治に呼び出されるが、なんとそこに風太が偶然通りかかり、新たな修羅場のピンチに陥ってしまう</t>
    </r>
    <r>
      <rPr>
        <rFont val="Arial"/>
        <sz val="10.0"/>
      </rPr>
      <t>……!</t>
    </r>
  </si>
  <si>
    <t>丈（宮沢氷魚）から「大好きだ」と言われて指輪をもらった鐘子（杏）は、丈が人妻だと思っている自分に指輪をくれた真意がわからずに悩む。一方、風太（瀬戸利樹）の試合を観に行き、賢治（谷原章介）との熱海旅行をドタキャンした葉子（仲間由紀恵）。帰宅した葉子を待っていたのは不自然なほど笑顔の賢治だった。翌日、鐘子は賢治に呼び出されるが、なんとそこに風太が偶然通りかかり、新たな修羅場のピンチに陥ってしまう……!</t>
  </si>
  <si>
    <t>番組名偽装不倫#08</t>
  </si>
  <si>
    <r>
      <rPr>
        <rFont val="ＭＳ Ｐゴシック"/>
        <sz val="10.0"/>
      </rPr>
      <t>大人のピュアラブコメディ。メールで嘘を打ち明けた鐘子（杏）は、丈（宮沢氷魚）から返信がないことに落ち込む。そんな時風太（瀬戸利樹）とバッタリ出会い、自分と丈の話を打ち明けるが、うっかり葉子（仲間由紀恵）が結婚していることをバラしてしまう！覚悟を決めて風太に会いに行った葉子は、今までと変わらない風太の姿に心を痛める。だが通りの向こうには、立ち尽くす夫・賢治（谷原章介）の姿があった</t>
    </r>
    <r>
      <rPr>
        <rFont val="Arial"/>
        <sz val="10.0"/>
      </rPr>
      <t>!</t>
    </r>
  </si>
  <si>
    <t>大人のピュアラブコメディ。メールで嘘を打ち明けた鐘子（杏）は、丈（宮沢氷魚）から返信がないことに落ち込む。そんな時風太（瀬戸利樹）とバッタリ出会い、自分と丈の話を打ち明けるが、うっかり葉子（仲間由紀恵）が結婚していることをバラしてしまう！覚悟を決めて風太に会いに行った葉子は、今までと変わらない風太の姿に心を痛める。だが通りの向こうには、立ち尽くす夫・賢治（谷原章介）の姿があった!</t>
  </si>
  <si>
    <t>番組名偽装不倫#09</t>
  </si>
  <si>
    <r>
      <rPr>
        <rFont val="ＭＳ Ｐゴシック"/>
        <sz val="10.0"/>
      </rPr>
      <t>丈（宮沢氷魚）との別れから２ヶ月。失恋を引きずりながらも以前のお一人様生活に戻った鐘子（杏）。取引先のワイナリー会社の藤堂（桐山漣）からデートに誘われ、新たな恋の予感が</t>
    </r>
    <r>
      <rPr>
        <rFont val="Arial"/>
        <sz val="10.0"/>
      </rPr>
      <t>…</t>
    </r>
    <r>
      <rPr>
        <rFont val="ＭＳ Ｐゴシック"/>
        <sz val="10.0"/>
      </rPr>
      <t>。一方、賢治（谷原章介）との夫婦生活を続けるために風太（瀬戸利樹）と別れた葉子（仲間由紀恵）だったが、偶然風太と再会し心が揺れる。そんな中、脳腫瘍の手術を受けるためにスペインに帰っていた丈が、再び鐘子の前に現れる！</t>
    </r>
  </si>
  <si>
    <t>丈（宮沢氷魚）との別れから２ヶ月。失恋を引きずりながらも以前のお一人様生活に戻った鐘子（杏）。取引先のワイナリー会社の藤堂（桐山漣）からデートに誘われ、新たな恋の予感が…。一方、賢治（谷原章介）との夫婦生活を続けるために風太（瀬戸利樹）と別れた葉子（仲間由紀恵）だったが、偶然風太と再会し心が揺れる。そんな中、脳腫瘍の手術を受けるためにスペインに帰っていた丈が、再び鐘子の前に現れる！</t>
  </si>
  <si>
    <t>番組名偽装不倫#10</t>
  </si>
  <si>
    <r>
      <rPr>
        <rFont val="ＭＳ Ｐゴシック"/>
        <sz val="10.0"/>
      </rPr>
      <t>脳腫瘍の手術を受けて帰ってきた丈（宮沢氷魚）が、後遺症で自分のことを忘れていたことに傷つく鐘子（杏）。嘘のない関係を築き直すチャンスだと前向きに考えるが</t>
    </r>
    <r>
      <rPr>
        <rFont val="Arial"/>
        <sz val="10.0"/>
      </rPr>
      <t>…</t>
    </r>
    <r>
      <rPr>
        <rFont val="ＭＳ Ｐゴシック"/>
        <sz val="10.0"/>
      </rPr>
      <t>。一方、葉子（仲間由紀恵）から離婚を切り出された賢治（谷原章介）は、風太（瀬戸利樹）に</t>
    </r>
    <r>
      <rPr>
        <rFont val="Arial"/>
        <sz val="10.0"/>
      </rPr>
      <t>“</t>
    </r>
    <r>
      <rPr>
        <rFont val="ＭＳ Ｐゴシック"/>
        <sz val="10.0"/>
      </rPr>
      <t>勝負</t>
    </r>
    <r>
      <rPr>
        <rFont val="Arial"/>
        <sz val="10.0"/>
      </rPr>
      <t>”</t>
    </r>
    <r>
      <rPr>
        <rFont val="ＭＳ Ｐゴシック"/>
        <sz val="10.0"/>
      </rPr>
      <t>を挑む。自分が賢治を追いつめてしまったと胸を痛める葉子だったが</t>
    </r>
    <r>
      <rPr>
        <rFont val="Arial"/>
        <sz val="10.0"/>
      </rPr>
      <t>…</t>
    </r>
    <r>
      <rPr>
        <rFont val="ＭＳ Ｐゴシック"/>
        <sz val="10.0"/>
      </rPr>
      <t>。そんなある日、記憶障害を抱える丈が、突然、一之瀬医師（眞島秀和）の前に姿を現す</t>
    </r>
    <r>
      <rPr>
        <rFont val="Arial"/>
        <sz val="10.0"/>
      </rPr>
      <t>…!</t>
    </r>
  </si>
  <si>
    <t>脳腫瘍の手術を受けて帰ってきた丈（宮沢氷魚）が、後遺症で自分のことを忘れていたことに傷つく鐘子（杏）。嘘のない関係を築き直すチャンスだと前向きに考えるが…。一方、葉子（仲間由紀恵）から離婚を切り出された賢治（谷原章介）は、風太（瀬戸利樹）に“勝負”を挑む。自分が賢治を追いつめてしまったと胸を痛める葉子だったが…。そんなある日、記憶障害を抱える丈が、突然、一之瀬医師（眞島秀和）の前に姿を現す…!</t>
  </si>
  <si>
    <t>1907_NTV_木23</t>
  </si>
  <si>
    <t>わたし旦那をシェアしてた</t>
  </si>
  <si>
    <t>番組名新ドラマ「わたし旦那をシェアしてた」主演小池栄子【遺産３億巡る妻バトル】</t>
  </si>
  <si>
    <r>
      <rPr>
        <rFont val="ＭＳ Ｐゴシック"/>
        <sz val="10.0"/>
      </rPr>
      <t>シングルマザーの森下晴美（小池栄子）は、天谷恭平（平山浩行）と事実婚していた。</t>
    </r>
    <r>
      <rPr>
        <rFont val="Arial"/>
        <sz val="10.0"/>
      </rPr>
      <t xml:space="preserve">  </t>
    </r>
    <r>
      <rPr>
        <rFont val="ＭＳ Ｐゴシック"/>
        <sz val="10.0"/>
      </rPr>
      <t>そんな中、晴美のもとに警察から恭平が危篤状態だと連絡が。病院に駆けつけると、恭平の妻だと名乗る小椋加奈子（りょう）、藤宮茜（岡本玲）が現れる。</t>
    </r>
    <r>
      <rPr>
        <rFont val="Arial"/>
        <sz val="10.0"/>
      </rPr>
      <t xml:space="preserve">  </t>
    </r>
    <r>
      <rPr>
        <rFont val="ＭＳ Ｐゴシック"/>
        <sz val="10.0"/>
      </rPr>
      <t>３人の妻達が顔を合わせパニックになる中、恭平は息を引き取ってしまう</t>
    </r>
    <r>
      <rPr>
        <rFont val="Arial"/>
        <sz val="10.0"/>
      </rPr>
      <t>…</t>
    </r>
    <r>
      <rPr>
        <rFont val="ＭＳ Ｐゴシック"/>
        <sz val="10.0"/>
      </rPr>
      <t>。恭平が何者かに殺されたと知り、ショックを受ける３人だったが、恭平の本当の妻は自分だけだと言い争いになり</t>
    </r>
    <r>
      <rPr>
        <rFont val="Arial"/>
        <sz val="10.0"/>
      </rPr>
      <t>…</t>
    </r>
    <r>
      <rPr>
        <rFont val="ＭＳ Ｐゴシック"/>
        <sz val="10.0"/>
      </rPr>
      <t>。</t>
    </r>
  </si>
  <si>
    <t>シングルマザーの森下晴美（小池栄子）は、天谷恭平（平山浩行）と事実婚していた。  そんな中、晴美のもとに警察から恭平が危篤状態だと連絡が。病院に駆けつけると、恭平の妻だと名乗る小椋加奈子（りょう）、藤宮茜（岡本玲）が現れる。  ３人の妻達が顔を合わせパニックになる中、恭平は息を引き取ってしまう…。恭平が何者かに殺されたと知り、ショックを受ける３人だったが、恭平の本当の妻は自分だけだと言い争いになり…。</t>
  </si>
  <si>
    <t>番組名「わたし旦那をシェアしてた」＃２【モラハラ元旦那登場で加速する妻バトル】</t>
  </si>
  <si>
    <r>
      <rPr>
        <rFont val="ＭＳ Ｐゴシック"/>
        <sz val="10.0"/>
      </rPr>
      <t>森下晴美（小池栄子）、小椋加奈子（りょう）、藤宮茜（岡本玲）の共同生活が始まった。</t>
    </r>
    <r>
      <rPr>
        <rFont val="Arial"/>
        <sz val="10.0"/>
      </rPr>
      <t xml:space="preserve">  </t>
    </r>
    <r>
      <rPr>
        <rFont val="ＭＳ Ｐゴシック"/>
        <sz val="10.0"/>
      </rPr>
      <t>染谷文江（夏木マリ）は３人に</t>
    </r>
    <r>
      <rPr>
        <rFont val="Arial"/>
        <sz val="10.0"/>
      </rPr>
      <t>“</t>
    </r>
    <r>
      <rPr>
        <rFont val="ＭＳ Ｐゴシック"/>
        <sz val="10.0"/>
      </rPr>
      <t>天谷恭平（平山浩行）がなぜシングルマザー専用のシェアハウスを運営し始めたのか？</t>
    </r>
    <r>
      <rPr>
        <rFont val="Arial"/>
        <sz val="10.0"/>
      </rPr>
      <t>”</t>
    </r>
    <r>
      <rPr>
        <rFont val="ＭＳ Ｐゴシック"/>
        <sz val="10.0"/>
      </rPr>
      <t>という課題を与える。</t>
    </r>
    <r>
      <rPr>
        <rFont val="Arial"/>
        <sz val="10.0"/>
      </rPr>
      <t xml:space="preserve">  </t>
    </r>
    <r>
      <rPr>
        <rFont val="ＭＳ Ｐゴシック"/>
        <sz val="10.0"/>
      </rPr>
      <t>そんな中、晴美は元夫の室井正樹（安井順平）と再会。正樹は娘の沙紀（平澤宏々路）から恭平のことを知らされ、心配して会いに来たと言う。なぜ正樹に連絡したのかと沙紀を問い詰めると、沙紀は反発し</t>
    </r>
    <r>
      <rPr>
        <rFont val="Arial"/>
        <sz val="10.0"/>
      </rPr>
      <t>…</t>
    </r>
  </si>
  <si>
    <t>森下晴美（小池栄子）、小椋加奈子（りょう）、藤宮茜（岡本玲）の共同生活が始まった。  染谷文江（夏木マリ）は３人に“天谷恭平（平山浩行）がなぜシングルマザー専用のシェアハウスを運営し始めたのか？”という課題を与える。  そんな中、晴美は元夫の室井正樹（安井順平）と再会。正樹は娘の沙紀（平澤宏々路）から恭平のことを知らされ、心配して会いに来たと言う。なぜ正樹に連絡したのかと沙紀を問い詰めると、沙紀は反発し…</t>
  </si>
  <si>
    <t>番組名「わたし旦那をシェアしてた」＃３【第４の妻登場！激化する妻たちの戦い】</t>
  </si>
  <si>
    <r>
      <rPr>
        <rFont val="ＭＳ Ｐゴシック"/>
        <sz val="10.0"/>
      </rPr>
      <t>入居希望の女性・絵里（松井玲奈）がシェアハウスにやってくる。</t>
    </r>
    <r>
      <rPr>
        <rFont val="Arial"/>
        <sz val="10.0"/>
      </rPr>
      <t xml:space="preserve">  </t>
    </r>
    <r>
      <rPr>
        <rFont val="ＭＳ Ｐゴシック"/>
        <sz val="10.0"/>
      </rPr>
      <t>恭平（平山浩行）の妻で、彼の子を妊娠しているという。第４の妻の登場に、晴美（小池栄子）、加奈子（りょう）、茜（岡本玲）は動揺。</t>
    </r>
    <r>
      <rPr>
        <rFont val="Arial"/>
        <sz val="10.0"/>
      </rPr>
      <t xml:space="preserve">  </t>
    </r>
    <r>
      <rPr>
        <rFont val="ＭＳ Ｐゴシック"/>
        <sz val="10.0"/>
      </rPr>
      <t>絵里がシェアハウスでの暮らしに溶け込む一方、晴美は、恭平に一番愛されてはいなかったのだと思い、部屋を出ていくと言い出す。そして、文江（夏木マリ）が</t>
    </r>
    <r>
      <rPr>
        <rFont val="Arial"/>
        <sz val="10.0"/>
      </rPr>
      <t>“</t>
    </r>
    <r>
      <rPr>
        <rFont val="ＭＳ Ｐゴシック"/>
        <sz val="10.0"/>
      </rPr>
      <t>この中から１人、追放者を投票で決める</t>
    </r>
    <r>
      <rPr>
        <rFont val="Arial"/>
        <sz val="10.0"/>
      </rPr>
      <t>”</t>
    </r>
    <r>
      <rPr>
        <rFont val="ＭＳ Ｐゴシック"/>
        <sz val="10.0"/>
      </rPr>
      <t>という課題を言い渡すが</t>
    </r>
    <r>
      <rPr>
        <rFont val="Arial"/>
        <sz val="10.0"/>
      </rPr>
      <t>…</t>
    </r>
  </si>
  <si>
    <t>入居希望の女性・絵里（松井玲奈）がシェアハウスにやってくる。  恭平（平山浩行）の妻で、彼の子を妊娠しているという。第４の妻の登場に、晴美（小池栄子）、加奈子（りょう）、茜（岡本玲）は動揺。  絵里がシェアハウスでの暮らしに溶け込む一方、晴美は、恭平に一番愛されてはいなかったのだと思い、部屋を出ていくと言い出す。そして、文江（夏木マリ）が“この中から１人、追放者を投票で決める”という課題を言い渡すが…</t>
  </si>
  <si>
    <t>番組名「わたし旦那をシェアしてた」＃４【裏切りの嘘！妻達に迫る凶悪犯の闇】</t>
  </si>
  <si>
    <r>
      <rPr>
        <rFont val="ＭＳ Ｐゴシック"/>
        <sz val="10.0"/>
      </rPr>
      <t>晴美（小池栄子）は同僚の香織（黒沢リコ）からパワハラで訴えられ、示談金を要求される。茜（岡本玲）は、慎香（池谷美音）の病気に多額の治療費がかかると言われる。加奈子（りょう）は元夫から慰謝料を請求され、払えないなら透（牧純矢）の親権を渡せと迫られて</t>
    </r>
    <r>
      <rPr>
        <rFont val="Arial"/>
        <sz val="10.0"/>
      </rPr>
      <t>…</t>
    </r>
    <r>
      <rPr>
        <rFont val="ＭＳ Ｐゴシック"/>
        <sz val="10.0"/>
      </rPr>
      <t>。</t>
    </r>
    <r>
      <rPr>
        <rFont val="Arial"/>
        <sz val="10.0"/>
      </rPr>
      <t xml:space="preserve">  </t>
    </r>
    <r>
      <rPr>
        <rFont val="ＭＳ Ｐゴシック"/>
        <sz val="10.0"/>
      </rPr>
      <t>急に金が必要になった３人は、３億円を山分けしようと意見が一致するが、文江（夏木マリ）はそれを許さず、</t>
    </r>
    <r>
      <rPr>
        <rFont val="Arial"/>
        <sz val="10.0"/>
      </rPr>
      <t>“</t>
    </r>
    <r>
      <rPr>
        <rFont val="ＭＳ Ｐゴシック"/>
        <sz val="10.0"/>
      </rPr>
      <t>恭平（平山浩行）の好物を当てろ</t>
    </r>
    <r>
      <rPr>
        <rFont val="Arial"/>
        <sz val="10.0"/>
      </rPr>
      <t>”</t>
    </r>
    <r>
      <rPr>
        <rFont val="ＭＳ Ｐゴシック"/>
        <sz val="10.0"/>
      </rPr>
      <t>と課題を与え</t>
    </r>
    <r>
      <rPr>
        <rFont val="Arial"/>
        <sz val="10.0"/>
      </rPr>
      <t>…</t>
    </r>
  </si>
  <si>
    <t>晴美（小池栄子）は同僚の香織（黒沢リコ）からパワハラで訴えられ、示談金を要求される。茜（岡本玲）は、慎香（池谷美音）の病気に多額の治療費がかかると言われる。加奈子（りょう）は元夫から慰謝料を請求され、払えないなら透（牧純矢）の親権を渡せと迫られて…。  急に金が必要になった３人は、３億円を山分けしようと意見が一致するが、文江（夏木マリ）はそれを許さず、“恭平（平山浩行）の好物を当てろ”と課題を与え…</t>
  </si>
  <si>
    <t>番組名「わたし旦那をシェアしてた」#5【第2章開幕!妻たちを襲う男たちの思惑】</t>
  </si>
  <si>
    <r>
      <rPr>
        <rFont val="ＭＳ Ｐゴシック"/>
        <sz val="10.0"/>
      </rPr>
      <t>加藤と名乗る男が、シェアハウスを訪れる。彼は恭平（平山浩行）の友人で、晴美（小池栄子）、加奈子（りょう）、茜（岡本玲）の相談役になってほしいと頼まれていたという。秀明（赤楚衛二）は、加藤の姿に動揺。男の正体は、恭平殺しの実行犯・森（黒木啓司）だった</t>
    </r>
    <r>
      <rPr>
        <rFont val="Arial"/>
        <sz val="10.0"/>
      </rPr>
      <t xml:space="preserve">…  </t>
    </r>
    <r>
      <rPr>
        <rFont val="ＭＳ Ｐゴシック"/>
        <sz val="10.0"/>
      </rPr>
      <t>森は晴美達に、遺産３億円は寄付しようと提案する。文江（夏木マリ）は反対するが、言いくるめられてしまい、森の計画通り、晴美達は寄付する事に同意して</t>
    </r>
    <r>
      <rPr>
        <rFont val="Arial"/>
        <sz val="10.0"/>
      </rPr>
      <t>…</t>
    </r>
  </si>
  <si>
    <t>加藤と名乗る男が、シェアハウスを訪れる。彼は恭平（平山浩行）の友人で、晴美（小池栄子）、加奈子（りょう）、茜（岡本玲）の相談役になってほしいと頼まれていたという。秀明（赤楚衛二）は、加藤の姿に動揺。男の正体は、恭平殺しの実行犯・森（黒木啓司）だった…  森は晴美達に、遺産３億円は寄付しようと提案する。文江（夏木マリ）は反対するが、言いくるめられてしまい、森の計画通り、晴美達は寄付する事に同意して…</t>
  </si>
  <si>
    <t>番組名「わたし旦那をシェアしてた」＃６【シェア旦那の本当の顔…驚愕事実が発覚】</t>
  </si>
  <si>
    <r>
      <rPr>
        <rFont val="ＭＳ Ｐゴシック"/>
        <sz val="10.0"/>
      </rPr>
      <t>升毅森（黒木啓司）らに襲われた文江（夏木マリ）は意識を取り戻したが、秀明（赤楚衛二）は昏睡状態。晴美（小池栄子）と加奈子（りょう）が病院に付き添い、茜（岡本玲）が子供達の面倒をみていた。</t>
    </r>
    <r>
      <rPr>
        <rFont val="Arial"/>
        <sz val="10.0"/>
      </rPr>
      <t xml:space="preserve">  </t>
    </r>
    <r>
      <rPr>
        <rFont val="ＭＳ Ｐゴシック"/>
        <sz val="10.0"/>
      </rPr>
      <t>美保（渡辺真起子）ら警察に守られているものの、逃亡中の森がまた現れるのではないかと晴美達は気が気ではない。</t>
    </r>
    <r>
      <rPr>
        <rFont val="Arial"/>
        <sz val="10.0"/>
      </rPr>
      <t xml:space="preserve">  </t>
    </r>
    <r>
      <rPr>
        <rFont val="ＭＳ Ｐゴシック"/>
        <sz val="10.0"/>
      </rPr>
      <t>そんな中、晴美と加奈子は恭平（平山浩行）の思い出を語り合う内、恭平の主治医だった笠浦（升毅）の存在に気付き</t>
    </r>
    <r>
      <rPr>
        <rFont val="Arial"/>
        <sz val="10.0"/>
      </rPr>
      <t>…</t>
    </r>
  </si>
  <si>
    <t>升毅森（黒木啓司）らに襲われた文江（夏木マリ）は意識を取り戻したが、秀明（赤楚衛二）は昏睡状態。晴美（小池栄子）と加奈子（りょう）が病院に付き添い、茜（岡本玲）が子供達の面倒をみていた。  美保（渡辺真起子）ら警察に守られているものの、逃亡中の森がまた現れるのではないかと晴美達は気が気ではない。  そんな中、晴美と加奈子は恭平（平山浩行）の思い出を語り合う内、恭平の主治医だった笠浦（升毅）の存在に気付き…</t>
  </si>
  <si>
    <t>番組名「わたし旦那をシェアしてた」＃７【事件の衝撃真相！禁断の恋が動き出す！】</t>
  </si>
  <si>
    <r>
      <rPr>
        <rFont val="ＭＳ Ｐゴシック"/>
        <sz val="10.0"/>
      </rPr>
      <t>晴美（小池栄子）は、意識を取り戻した秀明（赤楚衛二）から、森（黒木啓司）が恭平（平山浩行）を殺した犯人であり、見殺しにした自分も同罪だと言われる。そして秀明は、その償いをすると言い残して姿を消す。</t>
    </r>
    <r>
      <rPr>
        <rFont val="Arial"/>
        <sz val="10.0"/>
      </rPr>
      <t xml:space="preserve">  </t>
    </r>
    <r>
      <rPr>
        <rFont val="ＭＳ Ｐゴシック"/>
        <sz val="10.0"/>
      </rPr>
      <t>晴美、加奈子（りょう）、茜（岡本玲）は文江（夏木マリ）から、</t>
    </r>
    <r>
      <rPr>
        <rFont val="Arial"/>
        <sz val="10.0"/>
      </rPr>
      <t>“</t>
    </r>
    <r>
      <rPr>
        <rFont val="ＭＳ Ｐゴシック"/>
        <sz val="10.0"/>
      </rPr>
      <t>なぜ恭平は３億円を３人に残したのか？</t>
    </r>
    <r>
      <rPr>
        <rFont val="Arial"/>
        <sz val="10.0"/>
      </rPr>
      <t>”</t>
    </r>
    <r>
      <rPr>
        <rFont val="ＭＳ Ｐゴシック"/>
        <sz val="10.0"/>
      </rPr>
      <t>と</t>
    </r>
    <r>
      <rPr>
        <rFont val="Arial"/>
        <sz val="10.0"/>
      </rPr>
      <t>“</t>
    </r>
    <r>
      <rPr>
        <rFont val="ＭＳ Ｐゴシック"/>
        <sz val="10.0"/>
      </rPr>
      <t>なぜ恭平は指輪を買ったのか？</t>
    </r>
    <r>
      <rPr>
        <rFont val="Arial"/>
        <sz val="10.0"/>
      </rPr>
      <t>”</t>
    </r>
    <r>
      <rPr>
        <rFont val="ＭＳ Ｐゴシック"/>
        <sz val="10.0"/>
      </rPr>
      <t>という課題のどちらかについて、答えを見つけ出すようにと告げられるが</t>
    </r>
    <r>
      <rPr>
        <rFont val="Arial"/>
        <sz val="10.0"/>
      </rPr>
      <t>…</t>
    </r>
  </si>
  <si>
    <t>晴美（小池栄子）は、意識を取り戻した秀明（赤楚衛二）から、森（黒木啓司）が恭平（平山浩行）を殺した犯人であり、見殺しにした自分も同罪だと言われる。そして秀明は、その償いをすると言い残して姿を消す。  晴美、加奈子（りょう）、茜（岡本玲）は文江（夏木マリ）から、“なぜ恭平は３億円を３人に残したのか？”と“なぜ恭平は指輪を買ったのか？”という課題のどちらかについて、答えを見つけ出すようにと告げられるが…</t>
  </si>
  <si>
    <t>番組名「わたし旦那をシェアしてた」＃８【ついに夫殺害の計画犯発覚！どの妻か？】</t>
  </si>
  <si>
    <r>
      <rPr>
        <rFont val="ＭＳ Ｐゴシック"/>
        <sz val="10.0"/>
      </rPr>
      <t>晴美（小池栄子）は、警察に追われる秀明（赤楚衛二）を匿いたいと頼むが、加奈子（りょう</t>
    </r>
    <r>
      <rPr>
        <rFont val="Arial"/>
        <sz val="10.0"/>
      </rPr>
      <t>)</t>
    </r>
    <r>
      <rPr>
        <rFont val="ＭＳ Ｐゴシック"/>
        <sz val="10.0"/>
      </rPr>
      <t>、茜</t>
    </r>
    <r>
      <rPr>
        <rFont val="Arial"/>
        <sz val="10.0"/>
      </rPr>
      <t>(</t>
    </r>
    <r>
      <rPr>
        <rFont val="ＭＳ Ｐゴシック"/>
        <sz val="10.0"/>
      </rPr>
      <t>岡本玲</t>
    </r>
    <r>
      <rPr>
        <rFont val="Arial"/>
        <sz val="10.0"/>
      </rPr>
      <t>)</t>
    </r>
    <r>
      <rPr>
        <rFont val="ＭＳ Ｐゴシック"/>
        <sz val="10.0"/>
      </rPr>
      <t>、文江</t>
    </r>
    <r>
      <rPr>
        <rFont val="Arial"/>
        <sz val="10.0"/>
      </rPr>
      <t>(</t>
    </r>
    <r>
      <rPr>
        <rFont val="ＭＳ Ｐゴシック"/>
        <sz val="10.0"/>
      </rPr>
      <t>夏木マリ</t>
    </r>
    <r>
      <rPr>
        <rFont val="Arial"/>
        <sz val="10.0"/>
      </rPr>
      <t>)</t>
    </r>
    <r>
      <rPr>
        <rFont val="ＭＳ Ｐゴシック"/>
        <sz val="10.0"/>
      </rPr>
      <t>は、森</t>
    </r>
    <r>
      <rPr>
        <rFont val="Arial"/>
        <sz val="10.0"/>
      </rPr>
      <t>(</t>
    </r>
    <r>
      <rPr>
        <rFont val="ＭＳ Ｐゴシック"/>
        <sz val="10.0"/>
      </rPr>
      <t>黒木啓司</t>
    </r>
    <r>
      <rPr>
        <rFont val="Arial"/>
        <sz val="10.0"/>
      </rPr>
      <t>)</t>
    </r>
    <r>
      <rPr>
        <rFont val="ＭＳ Ｐゴシック"/>
        <sz val="10.0"/>
      </rPr>
      <t>を殺した殺人犯である秀明を匿うことに同意できない。</t>
    </r>
    <r>
      <rPr>
        <rFont val="Arial"/>
        <sz val="10.0"/>
      </rPr>
      <t xml:space="preserve">  </t>
    </r>
    <r>
      <rPr>
        <rFont val="ＭＳ Ｐゴシック"/>
        <sz val="10.0"/>
      </rPr>
      <t>晴美は、北神谷町未解決殺人事件の真相と、恭平（平山浩行）が指輪を買った理由を秀明が知っているかもしれないと主張。加奈子と茜は彼を匿う覚悟を決める。文江も、</t>
    </r>
    <r>
      <rPr>
        <rFont val="Arial"/>
        <sz val="10.0"/>
      </rPr>
      <t>“</t>
    </r>
    <r>
      <rPr>
        <rFont val="ＭＳ Ｐゴシック"/>
        <sz val="10.0"/>
      </rPr>
      <t>今日１日、警察から秀明を隠し通せるか</t>
    </r>
    <r>
      <rPr>
        <rFont val="Arial"/>
        <sz val="10.0"/>
      </rPr>
      <t>”</t>
    </r>
    <r>
      <rPr>
        <rFont val="ＭＳ Ｐゴシック"/>
        <sz val="10.0"/>
      </rPr>
      <t>という課題を出し</t>
    </r>
    <r>
      <rPr>
        <rFont val="Arial"/>
        <sz val="10.0"/>
      </rPr>
      <t>…</t>
    </r>
  </si>
  <si>
    <t>晴美（小池栄子）は、警察に追われる秀明（赤楚衛二）を匿いたいと頼むが、加奈子（りょう)、茜(岡本玲)、文江(夏木マリ)は、森(黒木啓司)を殺した殺人犯である秀明を匿うことに同意できない。  晴美は、北神谷町未解決殺人事件の真相と、恭平（平山浩行）が指輪を買った理由を秀明が知っているかもしれないと主張。加奈子と茜は彼を匿う覚悟を決める。文江も、“今日１日、警察から秀明を隠し通せるか”という課題を出し…</t>
  </si>
  <si>
    <t>番組名「わたし旦那をシェアしてた」＃９【夫殺害の謎が全て発覚！３億円は誰の手に？】</t>
  </si>
  <si>
    <r>
      <rPr>
        <rFont val="ＭＳ Ｐゴシック"/>
        <sz val="10.0"/>
      </rPr>
      <t>晴美（小池栄子）は、赤いワンピースを着た茜（岡本玲）に声をかけ、レストランで一緒に食事をすることに。そこに現れた文江（夏木マリ）は、茜こそが</t>
    </r>
    <r>
      <rPr>
        <rFont val="Arial"/>
        <sz val="10.0"/>
      </rPr>
      <t>“</t>
    </r>
    <r>
      <rPr>
        <rFont val="ＭＳ Ｐゴシック"/>
        <sz val="10.0"/>
      </rPr>
      <t>恭平の殺害依頼をした女</t>
    </r>
    <r>
      <rPr>
        <rFont val="Arial"/>
        <sz val="10.0"/>
      </rPr>
      <t>”</t>
    </r>
    <r>
      <rPr>
        <rFont val="ＭＳ Ｐゴシック"/>
        <sz val="10.0"/>
      </rPr>
      <t>だと確信していた。</t>
    </r>
    <r>
      <rPr>
        <rFont val="Arial"/>
        <sz val="10.0"/>
      </rPr>
      <t xml:space="preserve">  </t>
    </r>
    <r>
      <rPr>
        <rFont val="ＭＳ Ｐゴシック"/>
        <sz val="10.0"/>
      </rPr>
      <t>文江は、晴美と加奈子（りょう）に対して</t>
    </r>
    <r>
      <rPr>
        <rFont val="Arial"/>
        <sz val="10.0"/>
      </rPr>
      <t>“</t>
    </r>
    <r>
      <rPr>
        <rFont val="ＭＳ Ｐゴシック"/>
        <sz val="10.0"/>
      </rPr>
      <t>茜を許せるかどうか</t>
    </r>
    <r>
      <rPr>
        <rFont val="Arial"/>
        <sz val="10.0"/>
      </rPr>
      <t>”</t>
    </r>
    <r>
      <rPr>
        <rFont val="ＭＳ Ｐゴシック"/>
        <sz val="10.0"/>
      </rPr>
      <t>という課題を出す。晴美と加奈子は、どうすればいいのかと悩む。</t>
    </r>
    <r>
      <rPr>
        <rFont val="Arial"/>
        <sz val="10.0"/>
      </rPr>
      <t xml:space="preserve">  </t>
    </r>
    <r>
      <rPr>
        <rFont val="ＭＳ Ｐゴシック"/>
        <sz val="10.0"/>
      </rPr>
      <t>そんな中、茜の子供の慎吾と慎香が、文江に連れ去られてしまい、茜は激しく動揺するが</t>
    </r>
    <r>
      <rPr>
        <rFont val="Arial"/>
        <sz val="10.0"/>
      </rPr>
      <t>…</t>
    </r>
    <r>
      <rPr>
        <rFont val="ＭＳ Ｐゴシック"/>
        <sz val="10.0"/>
      </rPr>
      <t>。</t>
    </r>
  </si>
  <si>
    <t>晴美（小池栄子）は、赤いワンピースを着た茜（岡本玲）に声をかけ、レストランで一緒に食事をすることに。そこに現れた文江（夏木マリ）は、茜こそが“恭平の殺害依頼をした女”だと確信していた。  文江は、晴美と加奈子（りょう）に対して“茜を許せるかどうか”という課題を出す。晴美と加奈子は、どうすればいいのかと悩む。  そんな中、茜の子供の慎吾と慎香が、文江に連れ去られてしまい、茜は激しく動揺するが…。</t>
  </si>
  <si>
    <t>1907_NTV_土22</t>
  </si>
  <si>
    <t>ボイス</t>
  </si>
  <si>
    <t>番組名ボイス 110緊急指令室#01</t>
  </si>
  <si>
    <r>
      <t>110</t>
    </r>
    <r>
      <rPr>
        <rFont val="ＭＳ Ｐゴシック"/>
        <sz val="10.0"/>
      </rPr>
      <t>番緊急指令室を舞台に、唐沢寿明演じる敏腕刑事・樋口彰吾と、真木よう子演じるボイスプロファイラー・橘ひかりが、助けを求める人々を救うタイムリミットサスペンス。妻を殺人鬼に奪われた樋口は、容疑者の男を自ら逮捕する。しかし直接妻の通報を受けた指令室員、橘ひかりが「犯人の声は相良ではない」と発言。怒りに燃える樋口はひかりを問い詰めるが・・・。殺人鬼は誰なのか？そして新たな通報電話が鳴り響いて・・・</t>
    </r>
    <r>
      <rPr>
        <rFont val="Arial"/>
        <sz val="10.0"/>
      </rPr>
      <t>!</t>
    </r>
  </si>
  <si>
    <t>110番緊急指令室を舞台に、唐沢寿明演じる敏腕刑事・樋口彰吾と、真木よう子演じるボイスプロファイラー・橘ひかりが、助けを求める人々を救うタイムリミットサスペンス。妻を殺人鬼に奪われた樋口は、容疑者の男を自ら逮捕する。しかし直接妻の通報を受けた指令室員、橘ひかりが「犯人の声は相良ではない」と発言。怒りに燃える樋口はひかりを問い詰めるが・・・。殺人鬼は誰なのか？そして新たな通報電話が鳴り響いて・・・!</t>
  </si>
  <si>
    <t>番組名ボイス 110緊急指令室#02</t>
  </si>
  <si>
    <r>
      <rPr>
        <rFont val="ＭＳ Ｐゴシック"/>
        <sz val="10.0"/>
      </rPr>
      <t>女子大生拉致事件解決後、ひかり（真木よう子）は条件付きで</t>
    </r>
    <r>
      <rPr>
        <rFont val="Arial"/>
        <sz val="10.0"/>
      </rPr>
      <t xml:space="preserve">ECU </t>
    </r>
    <r>
      <rPr>
        <rFont val="ＭＳ Ｐゴシック"/>
        <sz val="10.0"/>
      </rPr>
      <t>の設置を許可される。翌朝、息子・大樹の病室で夜を明かした樋口（唐沢寿明）は後輩の石川（増田貴久）からの電話で、ひかりが自分たちを</t>
    </r>
    <r>
      <rPr>
        <rFont val="Arial"/>
        <sz val="10.0"/>
      </rPr>
      <t xml:space="preserve">ECU </t>
    </r>
    <r>
      <rPr>
        <rFont val="ＭＳ Ｐゴシック"/>
        <sz val="10.0"/>
      </rPr>
      <t>に異動させたことを知る。樋口に詰め寄られたひかりは、自分の聴力の秘密を打ち明ける。果たして、ひかりが樋口を</t>
    </r>
    <r>
      <rPr>
        <rFont val="Arial"/>
        <sz val="10.0"/>
      </rPr>
      <t xml:space="preserve">ECU </t>
    </r>
    <r>
      <rPr>
        <rFont val="ＭＳ Ｐゴシック"/>
        <sz val="10.0"/>
      </rPr>
      <t>に呼び寄せた真の目的とは</t>
    </r>
    <r>
      <rPr>
        <rFont val="Arial"/>
        <sz val="10.0"/>
      </rPr>
      <t>!?</t>
    </r>
  </si>
  <si>
    <t>女子大生拉致事件解決後、ひかり（真木よう子）は条件付きでECU の設置を許可される。翌朝、息子・大樹の病室で夜を明かした樋口（唐沢寿明）は後輩の石川（増田貴久）からの電話で、ひかりが自分たちをECU に異動させたことを知る。樋口に詰め寄られたひかりは、自分の聴力の秘密を打ち明ける。果たして、ひかりが樋口をECU に呼び寄せた真の目的とは!?</t>
  </si>
  <si>
    <t>番組名ボイス 110緊急指令室#03</t>
  </si>
  <si>
    <r>
      <rPr>
        <rFont val="ＭＳ Ｐゴシック"/>
        <sz val="10.0"/>
      </rPr>
      <t>県警に勤める栞（石橋菜津美）の妹・葵（矢作穂香）が拉致され、緊急指令室に入電。口を塞がれたような声が聞こえてくる。</t>
    </r>
    <r>
      <rPr>
        <rFont val="Arial"/>
        <sz val="10.0"/>
      </rPr>
      <t xml:space="preserve"> </t>
    </r>
    <r>
      <rPr>
        <rFont val="ＭＳ Ｐゴシック"/>
        <sz val="10.0"/>
      </rPr>
      <t>ひかりは音に集中し車の位置を推測。樋口は車を追跡。車の所有者が葵のかつての交際相手だと判明。停車させ説得を試みる樋口だが</t>
    </r>
    <r>
      <rPr>
        <rFont val="Arial"/>
        <sz val="10.0"/>
      </rPr>
      <t>…</t>
    </r>
    <r>
      <rPr>
        <rFont val="ＭＳ Ｐゴシック"/>
        <sz val="10.0"/>
      </rPr>
      <t>。</t>
    </r>
    <r>
      <rPr>
        <rFont val="Arial"/>
        <sz val="10.0"/>
      </rPr>
      <t xml:space="preserve">  </t>
    </r>
    <r>
      <rPr>
        <rFont val="ＭＳ Ｐゴシック"/>
        <sz val="10.0"/>
      </rPr>
      <t>そんな中、樋口はあることが気になる。栞と葵の叔母・志津</t>
    </r>
    <r>
      <rPr>
        <rFont val="Arial"/>
        <sz val="10.0"/>
      </rPr>
      <t>(YOU)</t>
    </r>
    <r>
      <rPr>
        <rFont val="ＭＳ Ｐゴシック"/>
        <sz val="10.0"/>
      </rPr>
      <t>と、葵の恋人・新田（森永悠希）も駆けつける中、樋口とひかりは「罠」に気づき始めていた。</t>
    </r>
  </si>
  <si>
    <t>県警に勤める栞（石橋菜津美）の妹・葵（矢作穂香）が拉致され、緊急指令室に入電。口を塞がれたような声が聞こえてくる。 ひかりは音に集中し車の位置を推測。樋口は車を追跡。車の所有者が葵のかつての交際相手だと判明。停車させ説得を試みる樋口だが…。  そんな中、樋口はあることが気になる。栞と葵の叔母・志津(YOU)と、葵の恋人・新田（森永悠希）も駆けつける中、樋口とひかりは「罠」に気づき始めていた。</t>
  </si>
  <si>
    <t>番組名ボイス 110緊急指令室#04</t>
  </si>
  <si>
    <r>
      <rPr>
        <rFont val="ＭＳ Ｐゴシック"/>
        <sz val="10.0"/>
      </rPr>
      <t>森下葵（矢作穂香）が拉致されて４時間が経過。新田（森永悠希）が葵の暴行動画のライブ配信する時刻が迫る。沖原（木村祐一）たち強行犯係は逃亡ルートとなる港に急ぐが、樋口（唐沢寿明）らは葵の捜索に全力を注ぐ。一方、新田の過去を洗っていた緒方（田村健太郎）はその意外な正体を突き止める。それを聞いた栞（石橋菜津美）は、妹の葵がある廃校に監禁されているはずだと言い出し</t>
    </r>
    <r>
      <rPr>
        <rFont val="Arial"/>
        <sz val="10.0"/>
      </rPr>
      <t>…</t>
    </r>
    <r>
      <rPr>
        <rFont val="ＭＳ Ｐゴシック"/>
        <sz val="10.0"/>
      </rPr>
      <t>。廃校で、緊迫の救出劇が始まる</t>
    </r>
    <r>
      <rPr>
        <rFont val="Arial"/>
        <sz val="10.0"/>
      </rPr>
      <t>!!</t>
    </r>
  </si>
  <si>
    <t>森下葵（矢作穂香）が拉致されて４時間が経過。新田（森永悠希）が葵の暴行動画のライブ配信する時刻が迫る。沖原（木村祐一）たち強行犯係は逃亡ルートとなる港に急ぐが、樋口（唐沢寿明）らは葵の捜索に全力を注ぐ。一方、新田の過去を洗っていた緒方（田村健太郎）はその意外な正体を突き止める。それを聞いた栞（石橋菜津美）は、妹の葵がある廃校に監禁されているはずだと言い出し…。廃校で、緊迫の救出劇が始まる!!</t>
  </si>
  <si>
    <t>番組名ボイス 110緊急指令室#05</t>
  </si>
  <si>
    <r>
      <rPr>
        <rFont val="ＭＳ Ｐゴシック"/>
        <sz val="10.0"/>
      </rPr>
      <t>橘ひかり（真木よう子）は、</t>
    </r>
    <r>
      <rPr>
        <rFont val="Arial"/>
        <sz val="10.0"/>
      </rPr>
      <t>3</t>
    </r>
    <r>
      <rPr>
        <rFont val="ＭＳ Ｐゴシック"/>
        <sz val="10.0"/>
      </rPr>
      <t>年前の事件の警察内の協力者として沖原（木村祐一）を疑う。樋口（唐沢寿明）とひかりは真犯人のある特徴を突き止めるが、そんな中、</t>
    </r>
    <r>
      <rPr>
        <rFont val="Arial"/>
        <sz val="10.0"/>
      </rPr>
      <t>ECU</t>
    </r>
    <r>
      <rPr>
        <rFont val="ＭＳ Ｐゴシック"/>
        <sz val="10.0"/>
      </rPr>
      <t>に</t>
    </r>
    <r>
      <rPr>
        <rFont val="Arial"/>
        <sz val="10.0"/>
      </rPr>
      <t>6</t>
    </r>
    <r>
      <rPr>
        <rFont val="ＭＳ Ｐゴシック"/>
        <sz val="10.0"/>
      </rPr>
      <t>歳の子供・歩から、母親に刺され洗濯機の中に隠れていると通報を受ける。</t>
    </r>
    <r>
      <rPr>
        <rFont val="Arial"/>
        <sz val="10.0"/>
      </rPr>
      <t xml:space="preserve">  </t>
    </r>
    <r>
      <rPr>
        <rFont val="ＭＳ Ｐゴシック"/>
        <sz val="10.0"/>
      </rPr>
      <t>ひかりは、樋口と石川（増田貴久）に出動指示。電話口から歩を探し回る狂気に満ちた母親の声が漏れ聞こえる中、救出活動が始まった。そしてラストには驚きの真相が待っていた</t>
    </r>
    <r>
      <rPr>
        <rFont val="Arial"/>
        <sz val="10.0"/>
      </rPr>
      <t>!</t>
    </r>
  </si>
  <si>
    <t>橘ひかり（真木よう子）は、3年前の事件の警察内の協力者として沖原（木村祐一）を疑う。樋口（唐沢寿明）とひかりは真犯人のある特徴を突き止めるが、そんな中、ECUに6歳の子供・歩から、母親に刺され洗濯機の中に隠れていると通報を受ける。  ひかりは、樋口と石川（増田貴久）に出動指示。電話口から歩を探し回る狂気に満ちた母親の声が漏れ聞こえる中、救出活動が始まった。そしてラストには驚きの真相が待っていた!</t>
  </si>
  <si>
    <t>番組名ボイス 110緊急指令室#06</t>
  </si>
  <si>
    <r>
      <rPr>
        <rFont val="ＭＳ Ｐゴシック"/>
        <sz val="10.0"/>
      </rPr>
      <t>襲撃され消息を絶つ樋口（唐沢寿明）。ひかり（真木よう子）は強行犯係の力を借りて樋口を探す。石川（増田貴久）は樋口の携帯を頼りに現場へ急行。</t>
    </r>
    <r>
      <rPr>
        <rFont val="Arial"/>
        <sz val="10.0"/>
      </rPr>
      <t xml:space="preserve">   </t>
    </r>
    <r>
      <rPr>
        <rFont val="ＭＳ Ｐゴシック"/>
        <sz val="10.0"/>
      </rPr>
      <t>監禁された樋口は</t>
    </r>
    <r>
      <rPr>
        <rFont val="Arial"/>
        <sz val="10.0"/>
      </rPr>
      <t>“</t>
    </r>
    <r>
      <rPr>
        <rFont val="ＭＳ Ｐゴシック"/>
        <sz val="10.0"/>
      </rPr>
      <t>カチカチと顎を鳴らす男</t>
    </r>
    <r>
      <rPr>
        <rFont val="Arial"/>
        <sz val="10.0"/>
      </rPr>
      <t>”</t>
    </r>
    <r>
      <rPr>
        <rFont val="ＭＳ Ｐゴシック"/>
        <sz val="10.0"/>
      </rPr>
      <t>上杉と対面。上杉は、部下に樋口の殺害を命じる。田所（小市慢太郎）から勝手な捜査について勧告を受けたひかりは、樋口の襲撃についての被疑者の指名手配を求める。そして沖原（木村祐一）は捜査の動向をある人物に報告していた。</t>
    </r>
  </si>
  <si>
    <t>襲撃され消息を絶つ樋口（唐沢寿明）。ひかり（真木よう子）は強行犯係の力を借りて樋口を探す。石川（増田貴久）は樋口の携帯を頼りに現場へ急行。   監禁された樋口は“カチカチと顎を鳴らす男”上杉と対面。上杉は、部下に樋口の殺害を命じる。田所（小市慢太郎）から勝手な捜査について勧告を受けたひかりは、樋口の襲撃についての被疑者の指名手配を求める。そして沖原（木村祐一）は捜査の動向をある人物に報告していた。</t>
  </si>
  <si>
    <t>番組名ボイス 110緊急指令室#07</t>
  </si>
  <si>
    <r>
      <rPr>
        <rFont val="ＭＳ Ｐゴシック"/>
        <sz val="10.0"/>
      </rPr>
      <t>病院で息子・大樹（鳥越壮真）を襲った男・長坂（敬太）を確保した樋口（唐沢寿明）は、沖原が襲われたこと聞き、凍りつく。そんな中、樋口とひかり（真木よう子）は、残忍な手口から愛する人を奪った真犯人は他にいると気づき始めていた</t>
    </r>
    <r>
      <rPr>
        <rFont val="Arial"/>
        <sz val="10.0"/>
      </rPr>
      <t>……</t>
    </r>
    <r>
      <rPr>
        <rFont val="ＭＳ Ｐゴシック"/>
        <sz val="10.0"/>
      </rPr>
      <t>。そんな中、</t>
    </r>
    <r>
      <rPr>
        <rFont val="Arial"/>
        <sz val="10.0"/>
      </rPr>
      <t xml:space="preserve">ECU </t>
    </r>
    <r>
      <rPr>
        <rFont val="ＭＳ Ｐゴシック"/>
        <sz val="10.0"/>
      </rPr>
      <t>に</t>
    </r>
    <r>
      <rPr>
        <rFont val="Arial"/>
        <sz val="10.0"/>
      </rPr>
      <t>“</t>
    </r>
    <r>
      <rPr>
        <rFont val="ＭＳ Ｐゴシック"/>
        <sz val="10.0"/>
      </rPr>
      <t>人質を道連れに屋上から飛び降りようとしている男・高木から通報が入る</t>
    </r>
    <r>
      <rPr>
        <rFont val="Arial"/>
        <sz val="10.0"/>
      </rPr>
      <t>!</t>
    </r>
  </si>
  <si>
    <t>病院で息子・大樹（鳥越壮真）を襲った男・長坂（敬太）を確保した樋口（唐沢寿明）は、沖原が襲われたこと聞き、凍りつく。そんな中、樋口とひかり（真木よう子）は、残忍な手口から愛する人を奪った真犯人は他にいると気づき始めていた……。そんな中、ECU に“人質を道連れに屋上から飛び降りようとしている男・高木から通報が入る!</t>
  </si>
  <si>
    <t>番組名ボイス 110緊急指令室#08</t>
  </si>
  <si>
    <r>
      <rPr>
        <rFont val="ＭＳ Ｐゴシック"/>
        <sz val="10.0"/>
      </rPr>
      <t>殺された妻の</t>
    </r>
    <r>
      <rPr>
        <rFont val="Arial"/>
        <sz val="10.0"/>
      </rPr>
      <t>3</t>
    </r>
    <r>
      <rPr>
        <rFont val="ＭＳ Ｐゴシック"/>
        <sz val="10.0"/>
      </rPr>
      <t>年前の行動を探る樋口</t>
    </r>
    <r>
      <rPr>
        <rFont val="Arial"/>
        <sz val="10.0"/>
      </rPr>
      <t>(</t>
    </r>
    <r>
      <rPr>
        <rFont val="ＭＳ Ｐゴシック"/>
        <sz val="10.0"/>
      </rPr>
      <t>唐沢寿明</t>
    </r>
    <r>
      <rPr>
        <rFont val="Arial"/>
        <sz val="10.0"/>
      </rPr>
      <t>)</t>
    </r>
    <r>
      <rPr>
        <rFont val="ＭＳ Ｐゴシック"/>
        <sz val="10.0"/>
      </rPr>
      <t>。そんな中、ひかり（真木よう子）の自宅内に真犯人の影が忍び寄る。そして樋口とひかり（真木よう子）は、警察署内で雫（伊勢谷友介）とついに顔を合わせる</t>
    </r>
    <r>
      <rPr>
        <rFont val="Arial"/>
        <sz val="10.0"/>
      </rPr>
      <t>……</t>
    </r>
    <r>
      <rPr>
        <rFont val="ＭＳ Ｐゴシック"/>
        <sz val="10.0"/>
      </rPr>
      <t>！ひかりはその声を聞き、すぐに雫が真犯人だと気付く</t>
    </r>
    <r>
      <rPr>
        <rFont val="Arial"/>
        <sz val="10.0"/>
      </rPr>
      <t>!</t>
    </r>
  </si>
  <si>
    <t>殺された妻の3年前の行動を探る樋口(唐沢寿明)。そんな中、ひかり（真木よう子）の自宅内に真犯人の影が忍び寄る。そして樋口とひかり（真木よう子）は、警察署内で雫（伊勢谷友介）とついに顔を合わせる……！ひかりはその声を聞き、すぐに雫が真犯人だと気付く!</t>
  </si>
  <si>
    <t>番組名ボイス 110緊急指令室#09</t>
  </si>
  <si>
    <r>
      <rPr>
        <rFont val="ＭＳ Ｐゴシック"/>
        <sz val="10.0"/>
      </rPr>
      <t>樋口（唐沢寿明）たちと緊急指令室の</t>
    </r>
    <r>
      <rPr>
        <rFont val="Arial"/>
        <sz val="10.0"/>
      </rPr>
      <t>ECU</t>
    </r>
    <r>
      <rPr>
        <rFont val="ＭＳ Ｐゴシック"/>
        <sz val="10.0"/>
      </rPr>
      <t>が連携し、地下トンネル現場では必死の救助作業が進む。しかし安否不明の最後の一人を探す樋口たちを、ガス漏れによる爆発が襲う</t>
    </r>
    <r>
      <rPr>
        <rFont val="Arial"/>
        <sz val="10.0"/>
      </rPr>
      <t xml:space="preserve">!  </t>
    </r>
    <r>
      <rPr>
        <rFont val="ＭＳ Ｐゴシック"/>
        <sz val="10.0"/>
      </rPr>
      <t>ひかり</t>
    </r>
    <r>
      <rPr>
        <rFont val="Arial"/>
        <sz val="10.0"/>
      </rPr>
      <t>(</t>
    </r>
    <r>
      <rPr>
        <rFont val="ＭＳ Ｐゴシック"/>
        <sz val="10.0"/>
      </rPr>
      <t>真木よう子</t>
    </r>
    <r>
      <rPr>
        <rFont val="Arial"/>
        <sz val="10.0"/>
      </rPr>
      <t>)</t>
    </r>
    <r>
      <rPr>
        <rFont val="ＭＳ Ｐゴシック"/>
        <sz val="10.0"/>
      </rPr>
      <t>は真犯人と内通の疑いがある石川（増田貴久）をチームから外すべきだと主張。</t>
    </r>
    <r>
      <rPr>
        <rFont val="Arial"/>
        <sz val="10.0"/>
      </rPr>
      <t xml:space="preserve">  </t>
    </r>
    <r>
      <rPr>
        <rFont val="ＭＳ Ｐゴシック"/>
        <sz val="10.0"/>
      </rPr>
      <t>そんな中、意味深なメールを樋口に残し、石川が姿を消す。すでに石川の身に雫の魔の手が迫っていた</t>
    </r>
    <r>
      <rPr>
        <rFont val="Arial"/>
        <sz val="10.0"/>
      </rPr>
      <t>!</t>
    </r>
  </si>
  <si>
    <t>樋口（唐沢寿明）たちと緊急指令室のECUが連携し、地下トンネル現場では必死の救助作業が進む。しかし安否不明の最後の一人を探す樋口たちを、ガス漏れによる爆発が襲う!  ひかり(真木よう子)は真犯人と内通の疑いがある石川（増田貴久）をチームから外すべきだと主張。  そんな中、意味深なメールを樋口に残し、石川が姿を消す。すでに石川の身に雫の魔の手が迫っていた!</t>
  </si>
  <si>
    <t>番組名ボイス 110緊急指令室#10</t>
  </si>
  <si>
    <r>
      <rPr>
        <rFont val="ＭＳ Ｐゴシック"/>
        <sz val="10.0"/>
      </rPr>
      <t>唐沢寿明＆真木よう子出演のタイムリミットサスペンス</t>
    </r>
    <r>
      <rPr>
        <rFont val="Arial"/>
        <sz val="10.0"/>
      </rPr>
      <t xml:space="preserve">!  </t>
    </r>
    <r>
      <rPr>
        <rFont val="ＭＳ Ｐゴシック"/>
        <sz val="10.0"/>
      </rPr>
      <t>ついに最終話</t>
    </r>
    <r>
      <rPr>
        <rFont val="Arial"/>
        <sz val="10.0"/>
      </rPr>
      <t>!</t>
    </r>
    <r>
      <rPr>
        <rFont val="ＭＳ Ｐゴシック"/>
        <sz val="10.0"/>
      </rPr>
      <t>雫</t>
    </r>
    <r>
      <rPr>
        <rFont val="Arial"/>
        <sz val="10.0"/>
      </rPr>
      <t>(</t>
    </r>
    <r>
      <rPr>
        <rFont val="ＭＳ Ｐゴシック"/>
        <sz val="10.0"/>
      </rPr>
      <t>伊勢谷友介</t>
    </r>
    <r>
      <rPr>
        <rFont val="Arial"/>
        <sz val="10.0"/>
      </rPr>
      <t>)</t>
    </r>
    <r>
      <rPr>
        <rFont val="ＭＳ Ｐゴシック"/>
        <sz val="10.0"/>
      </rPr>
      <t>の別荘に急行した樋口（唐沢寿明）は、現場音を聞いたひかり（真木よう子）が地下室の存在に気付き、向かう。すると、そこで樋口を待っていたのは血まみれで倒れている石川（増田貴久）だった</t>
    </r>
    <r>
      <rPr>
        <rFont val="Arial"/>
        <sz val="10.0"/>
      </rPr>
      <t>…</t>
    </r>
    <r>
      <rPr>
        <rFont val="ＭＳ Ｐゴシック"/>
        <sz val="10.0"/>
      </rPr>
      <t>。怒りに震える樋口に奇襲を仕掛ける雫！最後に笑うのは誰だ</t>
    </r>
    <r>
      <rPr>
        <rFont val="Arial"/>
        <sz val="10.0"/>
      </rPr>
      <t xml:space="preserve">?  </t>
    </r>
    <r>
      <rPr>
        <rFont val="ＭＳ Ｐゴシック"/>
        <sz val="10.0"/>
      </rPr>
      <t>最後まで目が離せないスリルと衝撃の最終回</t>
    </r>
    <r>
      <rPr>
        <rFont val="Arial"/>
        <sz val="10.0"/>
      </rPr>
      <t>!</t>
    </r>
  </si>
  <si>
    <t>唐沢寿明＆真木よう子出演のタイムリミットサスペンス!  ついに最終話!雫(伊勢谷友介)の別荘に急行した樋口（唐沢寿明）は、現場音を聞いたひかり（真木よう子）が地下室の存在に気付き、向かう。すると、そこで樋口を待っていたのは血まみれで倒れている石川（増田貴久）だった…。怒りに震える樋口に奇襲を仕掛ける雫！最後に笑うのは誰だ?  最後まで目が離せないスリルと衝撃の最終回!</t>
  </si>
  <si>
    <t>1907_NTV_日22</t>
  </si>
  <si>
    <t>あなたの番です</t>
  </si>
  <si>
    <t>番組名あなたの番です#12【怪しい住民達の素顔！！袴田吉彦殺害犯が明らかに…！】</t>
  </si>
  <si>
    <r>
      <rPr>
        <rFont val="ＭＳ Ｐゴシック"/>
        <sz val="10.0"/>
      </rPr>
      <t>木下（山田真歩）の部屋に踏み込んだ翔太（田中圭）たち。木下の正体とその目的とは一体</t>
    </r>
    <r>
      <rPr>
        <rFont val="Arial"/>
        <sz val="10.0"/>
      </rPr>
      <t>…!?</t>
    </r>
    <r>
      <rPr>
        <rFont val="ＭＳ Ｐゴシック"/>
        <sz val="10.0"/>
      </rPr>
      <t>翔太は木下が集めた住民のゴミを、半ば強引に持ち出して調べ始めるが、黒島（西野七瀬）のゴミから香典袋が見つかり、彼女に疑念を抱く。</t>
    </r>
    <r>
      <rPr>
        <rFont val="Arial"/>
        <sz val="10.0"/>
      </rPr>
      <t xml:space="preserve">  </t>
    </r>
    <r>
      <rPr>
        <rFont val="ＭＳ Ｐゴシック"/>
        <sz val="10.0"/>
      </rPr>
      <t>そんな中、鍋を作って</t>
    </r>
    <r>
      <rPr>
        <rFont val="Arial"/>
        <sz val="10.0"/>
      </rPr>
      <t>304</t>
    </r>
    <r>
      <rPr>
        <rFont val="ＭＳ Ｐゴシック"/>
        <sz val="10.0"/>
      </rPr>
      <t>号室を訪れた翔太。二階堂</t>
    </r>
    <r>
      <rPr>
        <rFont val="Arial"/>
        <sz val="10.0"/>
      </rPr>
      <t>(</t>
    </r>
    <r>
      <rPr>
        <rFont val="ＭＳ Ｐゴシック"/>
        <sz val="10.0"/>
      </rPr>
      <t>横浜流星</t>
    </r>
    <r>
      <rPr>
        <rFont val="Arial"/>
        <sz val="10.0"/>
      </rPr>
      <t>)</t>
    </r>
    <r>
      <rPr>
        <rFont val="ＭＳ Ｐゴシック"/>
        <sz val="10.0"/>
      </rPr>
      <t>から、もっと菜奈（原田知世）の情報が欲しいと言われ、翔太が部屋に戻ると、なぜか尾野（奈緒）が菜奈の書斎にいて</t>
    </r>
    <r>
      <rPr>
        <rFont val="Arial"/>
        <sz val="10.0"/>
      </rPr>
      <t>…!?</t>
    </r>
  </si>
  <si>
    <t>木下（山田真歩）の部屋に踏み込んだ翔太（田中圭）たち。木下の正体とその目的とは一体…!?翔太は木下が集めた住民のゴミを、半ば強引に持ち出して調べ始めるが、黒島（西野七瀬）のゴミから香典袋が見つかり、彼女に疑念を抱く。  そんな中、鍋を作って304号室を訪れた翔太。二階堂(横浜流星)から、もっと菜奈（原田知世）の情報が欲しいと言われ、翔太が部屋に戻ると、なぜか尾野（奈緒）が菜奈の書斎にいて…!?</t>
  </si>
  <si>
    <t>番組名あなたの番です#13【新住民は超くせ者！衝撃の3人目の殺人者とは!?】</t>
  </si>
  <si>
    <r>
      <rPr>
        <rFont val="ＭＳ Ｐゴシック"/>
        <sz val="10.0"/>
      </rPr>
      <t>イクバルたちが翔太（田中圭）を襲ったことで、警察に捕まると悟ったシンイー（金澤美穂）は不法滞在中の恋人・クオン（井阪郁巳）を逃がす。翔太と二階堂（横浜流星）は、臨時の住民会に出席。そこに新住人・南（田中哲司）が登場。不躾に事件の話を聞こうとする南に、住民たちは警戒心を強める。</t>
    </r>
    <r>
      <rPr>
        <rFont val="Arial"/>
        <sz val="10.0"/>
      </rPr>
      <t xml:space="preserve">  </t>
    </r>
    <r>
      <rPr>
        <rFont val="ＭＳ Ｐゴシック"/>
        <sz val="10.0"/>
      </rPr>
      <t>翔太が交換殺人ゲームの話を警察にしたことから、殺人容疑をかけられた藤井（片桐仁）はすべてを告白しようとするが</t>
    </r>
    <r>
      <rPr>
        <rFont val="Arial"/>
        <sz val="10.0"/>
      </rPr>
      <t>…!?</t>
    </r>
  </si>
  <si>
    <t>イクバルたちが翔太（田中圭）を襲ったことで、警察に捕まると悟ったシンイー（金澤美穂）は不法滞在中の恋人・クオン（井阪郁巳）を逃がす。翔太と二階堂（横浜流星）は、臨時の住民会に出席。そこに新住人・南（田中哲司）が登場。不躾に事件の話を聞こうとする南に、住民たちは警戒心を強める。  翔太が交換殺人ゲームの話を警察にしたことから、殺人容疑をかけられた藤井（片桐仁）はすべてを告白しようとするが…!?</t>
  </si>
  <si>
    <t>番組名あなたの番です#14【AIが出した殺人鬼とは？夏祭りで新たな犠牲者が！？】</t>
  </si>
  <si>
    <r>
      <rPr>
        <rFont val="ＭＳ Ｐゴシック"/>
        <sz val="10.0"/>
      </rPr>
      <t>翔太（田中圭）は目覚めた久住（袴田吉彦）に会いに行くが、久住の様子は以前と全く変わっていた。</t>
    </r>
    <r>
      <rPr>
        <rFont val="Arial"/>
        <sz val="10.0"/>
      </rPr>
      <t xml:space="preserve">  </t>
    </r>
    <r>
      <rPr>
        <rFont val="ＭＳ Ｐゴシック"/>
        <sz val="10.0"/>
      </rPr>
      <t>取調べで自供を始める早苗（木村多江）。しかし、必死で誰かをかばっているようで</t>
    </r>
    <r>
      <rPr>
        <rFont val="Arial"/>
        <sz val="10.0"/>
      </rPr>
      <t>…</t>
    </r>
    <r>
      <rPr>
        <rFont val="ＭＳ Ｐゴシック"/>
        <sz val="10.0"/>
      </rPr>
      <t>。二階堂（横浜流星）の</t>
    </r>
    <r>
      <rPr>
        <rFont val="Arial"/>
        <sz val="10.0"/>
      </rPr>
      <t>AI</t>
    </r>
    <r>
      <rPr>
        <rFont val="ＭＳ Ｐゴシック"/>
        <sz val="10.0"/>
      </rPr>
      <t>分析では、赤池夫妻、浮田</t>
    </r>
    <r>
      <rPr>
        <rFont val="Arial"/>
        <sz val="10.0"/>
      </rPr>
      <t>(</t>
    </r>
    <r>
      <rPr>
        <rFont val="ＭＳ Ｐゴシック"/>
        <sz val="10.0"/>
      </rPr>
      <t>田中要次</t>
    </r>
    <r>
      <rPr>
        <rFont val="Arial"/>
        <sz val="10.0"/>
      </rPr>
      <t>)</t>
    </r>
    <r>
      <rPr>
        <rFont val="ＭＳ Ｐゴシック"/>
        <sz val="10.0"/>
      </rPr>
      <t>、菜奈</t>
    </r>
    <r>
      <rPr>
        <rFont val="Arial"/>
        <sz val="10.0"/>
      </rPr>
      <t>(</t>
    </r>
    <r>
      <rPr>
        <rFont val="ＭＳ Ｐゴシック"/>
        <sz val="10.0"/>
      </rPr>
      <t>原田知世</t>
    </r>
    <r>
      <rPr>
        <rFont val="Arial"/>
        <sz val="10.0"/>
      </rPr>
      <t>)</t>
    </r>
    <r>
      <rPr>
        <rFont val="ＭＳ Ｐゴシック"/>
        <sz val="10.0"/>
      </rPr>
      <t>を殺害したのは同一人物で、快楽殺人者の可能性が高い。しかも容疑者は意外な人物だった</t>
    </r>
    <r>
      <rPr>
        <rFont val="Arial"/>
        <sz val="10.0"/>
      </rPr>
      <t xml:space="preserve">!  </t>
    </r>
    <r>
      <rPr>
        <rFont val="ＭＳ Ｐゴシック"/>
        <sz val="10.0"/>
      </rPr>
      <t>夏祭りの夜、新たな犠牲者が！？果たして狙われるのは誰なのか</t>
    </r>
    <r>
      <rPr>
        <rFont val="Arial"/>
        <sz val="10.0"/>
      </rPr>
      <t>!?</t>
    </r>
  </si>
  <si>
    <t>翔太（田中圭）は目覚めた久住（袴田吉彦）に会いに行くが、久住の様子は以前と全く変わっていた。  取調べで自供を始める早苗（木村多江）。しかし、必死で誰かをかばっているようで…。二階堂（横浜流星）のAI分析では、赤池夫妻、浮田(田中要次)、菜奈(原田知世)を殺害したのは同一人物で、快楽殺人者の可能性が高い。しかも容疑者は意外な人物だった!  夏祭りの夜、新たな犠牲者が！？果たして狙われるのは誰なのか!?</t>
  </si>
  <si>
    <t>番組名あなたの番です#15【黒島の運命は!?南の正体は!?最恐展開が続々!】</t>
  </si>
  <si>
    <r>
      <rPr>
        <rFont val="ＭＳ Ｐゴシック"/>
        <sz val="10.0"/>
      </rPr>
      <t>翔太</t>
    </r>
    <r>
      <rPr>
        <rFont val="Arial"/>
        <sz val="10.0"/>
      </rPr>
      <t>(</t>
    </r>
    <r>
      <rPr>
        <rFont val="ＭＳ Ｐゴシック"/>
        <sz val="10.0"/>
      </rPr>
      <t>田中圭</t>
    </r>
    <r>
      <rPr>
        <rFont val="Arial"/>
        <sz val="10.0"/>
      </rPr>
      <t>)</t>
    </r>
    <r>
      <rPr>
        <rFont val="ＭＳ Ｐゴシック"/>
        <sz val="10.0"/>
      </rPr>
      <t>、二階堂</t>
    </r>
    <r>
      <rPr>
        <rFont val="Arial"/>
        <sz val="10.0"/>
      </rPr>
      <t>(</t>
    </r>
    <r>
      <rPr>
        <rFont val="ＭＳ Ｐゴシック"/>
        <sz val="10.0"/>
      </rPr>
      <t>横浜流星</t>
    </r>
    <r>
      <rPr>
        <rFont val="Arial"/>
        <sz val="10.0"/>
      </rPr>
      <t>)</t>
    </r>
    <r>
      <rPr>
        <rFont val="ＭＳ Ｐゴシック"/>
        <sz val="10.0"/>
      </rPr>
      <t>、南</t>
    </r>
    <r>
      <rPr>
        <rFont val="Arial"/>
        <sz val="10.0"/>
      </rPr>
      <t>(</t>
    </r>
    <r>
      <rPr>
        <rFont val="ＭＳ Ｐゴシック"/>
        <sz val="10.0"/>
      </rPr>
      <t>田中哲司</t>
    </r>
    <r>
      <rPr>
        <rFont val="Arial"/>
        <sz val="10.0"/>
      </rPr>
      <t>)</t>
    </r>
    <r>
      <rPr>
        <rFont val="ＭＳ Ｐゴシック"/>
        <sz val="10.0"/>
      </rPr>
      <t>は、水城</t>
    </r>
    <r>
      <rPr>
        <rFont val="Arial"/>
        <sz val="10.0"/>
      </rPr>
      <t>(</t>
    </r>
    <r>
      <rPr>
        <rFont val="ＭＳ Ｐゴシック"/>
        <sz val="10.0"/>
      </rPr>
      <t>皆川猿時</t>
    </r>
    <r>
      <rPr>
        <rFont val="Arial"/>
        <sz val="10.0"/>
      </rPr>
      <t>)</t>
    </r>
    <r>
      <rPr>
        <rFont val="ＭＳ Ｐゴシック"/>
        <sz val="10.0"/>
      </rPr>
      <t>から、黒島</t>
    </r>
    <r>
      <rPr>
        <rFont val="Arial"/>
        <sz val="10.0"/>
      </rPr>
      <t>(</t>
    </r>
    <r>
      <rPr>
        <rFont val="ＭＳ Ｐゴシック"/>
        <sz val="10.0"/>
      </rPr>
      <t>西野七瀬</t>
    </r>
    <r>
      <rPr>
        <rFont val="Arial"/>
        <sz val="10.0"/>
      </rPr>
      <t>)</t>
    </r>
    <r>
      <rPr>
        <rFont val="ＭＳ Ｐゴシック"/>
        <sz val="10.0"/>
      </rPr>
      <t>が線路へ突き落とされたと聞く。</t>
    </r>
    <r>
      <rPr>
        <rFont val="Arial"/>
        <sz val="10.0"/>
      </rPr>
      <t xml:space="preserve">  </t>
    </r>
    <r>
      <rPr>
        <rFont val="ＭＳ Ｐゴシック"/>
        <sz val="10.0"/>
      </rPr>
      <t>神谷（浅香航大）は、収賄と交換殺人ゲームの隠蔽によって謹慎処分となるが、独自に捜査を続け、思わぬ事実にたどり着く。翔太は、監禁中に聞いた謎の声の主が神谷だと気付き</t>
    </r>
    <r>
      <rPr>
        <rFont val="Arial"/>
        <sz val="10.0"/>
      </rPr>
      <t xml:space="preserve">!?  </t>
    </r>
    <r>
      <rPr>
        <rFont val="ＭＳ Ｐゴシック"/>
        <sz val="10.0"/>
      </rPr>
      <t>黒島を突き落とした犯人探しを始める南に疑念を抱いた住民達が彼を問い詰めると、自分の正体を明らかにする</t>
    </r>
    <r>
      <rPr>
        <rFont val="Arial"/>
        <sz val="10.0"/>
      </rPr>
      <t>!</t>
    </r>
  </si>
  <si>
    <t>翔太(田中圭)、二階堂(横浜流星)、南(田中哲司)は、水城(皆川猿時)から、黒島(西野七瀬)が線路へ突き落とされたと聞く。  神谷（浅香航大）は、収賄と交換殺人ゲームの隠蔽によって謹慎処分となるが、独自に捜査を続け、思わぬ事実にたどり着く。翔太は、監禁中に聞いた謎の声の主が神谷だと気付き!?  黒島を突き落とした犯人探しを始める南に疑念を抱いた住民達が彼を問い詰めると、自分の正体を明らかにする!</t>
  </si>
  <si>
    <t>番組名あなたの番です#16【ついにブル!?急浮上した連続殺人犯とは!?】</t>
  </si>
  <si>
    <r>
      <rPr>
        <rFont val="ＭＳ Ｐゴシック"/>
        <sz val="10.0"/>
      </rPr>
      <t>神谷（浅香航大）が惨殺され、翔太（田中圭）と水城（皆川猿時）は、犯人への怒りを胸に、ともに事件解決を誓う。</t>
    </r>
    <r>
      <rPr>
        <rFont val="Arial"/>
        <sz val="10.0"/>
      </rPr>
      <t xml:space="preserve">  </t>
    </r>
    <r>
      <rPr>
        <rFont val="ＭＳ Ｐゴシック"/>
        <sz val="10.0"/>
      </rPr>
      <t>二階堂（横浜流星）は、翔太のアドバイスで、退院した黒島（西野七瀬）をひまわり畑へデートに誘うことに。そんな２人を、陰から黒島のストーカー・内山達生（大内田悠平）が見ていた。一体彼は何者なのか</t>
    </r>
    <r>
      <rPr>
        <rFont val="Arial"/>
        <sz val="10.0"/>
      </rPr>
      <t xml:space="preserve">…?  </t>
    </r>
    <r>
      <rPr>
        <rFont val="ＭＳ Ｐゴシック"/>
        <sz val="10.0"/>
      </rPr>
      <t>新事実が次々と判明し、連続殺人の犯人としてある人物が急浮上！！果たして、それは誰なのか</t>
    </r>
    <r>
      <rPr>
        <rFont val="Arial"/>
        <sz val="10.0"/>
      </rPr>
      <t>…!?</t>
    </r>
  </si>
  <si>
    <t>神谷（浅香航大）が惨殺され、翔太（田中圭）と水城（皆川猿時）は、犯人への怒りを胸に、ともに事件解決を誓う。  二階堂（横浜流星）は、翔太のアドバイスで、退院した黒島（西野七瀬）をひまわり畑へデートに誘うことに。そんな２人を、陰から黒島のストーカー・内山達生（大内田悠平）が見ていた。一体彼は何者なのか…?  新事実が次々と判明し、連続殺人の犯人としてある人物が急浮上！！果たして、それは誰なのか…!?</t>
  </si>
  <si>
    <t>番組名あなたの番です#17【真実か罠か！？殺人鬼の動画と危険人物の暴走！！】</t>
  </si>
  <si>
    <r>
      <rPr>
        <rFont val="ＭＳ Ｐゴシック"/>
        <sz val="10.0"/>
      </rPr>
      <t>装置が作動してダーツの矢が胸に刺さった内山（大内田悠平）は、まもなく絶命。その瞬間、パソコンから動画が流れる。衝撃的な内容に、翔太</t>
    </r>
    <r>
      <rPr>
        <rFont val="Arial"/>
        <sz val="10.0"/>
      </rPr>
      <t>(</t>
    </r>
    <r>
      <rPr>
        <rFont val="ＭＳ Ｐゴシック"/>
        <sz val="10.0"/>
      </rPr>
      <t>田中圭</t>
    </r>
    <r>
      <rPr>
        <rFont val="Arial"/>
        <sz val="10.0"/>
      </rPr>
      <t>)</t>
    </r>
    <r>
      <rPr>
        <rFont val="ＭＳ Ｐゴシック"/>
        <sz val="10.0"/>
      </rPr>
      <t>、二階堂</t>
    </r>
    <r>
      <rPr>
        <rFont val="Arial"/>
        <sz val="10.0"/>
      </rPr>
      <t>(</t>
    </r>
    <r>
      <rPr>
        <rFont val="ＭＳ Ｐゴシック"/>
        <sz val="10.0"/>
      </rPr>
      <t>横浜流星</t>
    </r>
    <r>
      <rPr>
        <rFont val="Arial"/>
        <sz val="10.0"/>
      </rPr>
      <t>)</t>
    </r>
    <r>
      <rPr>
        <rFont val="ＭＳ Ｐゴシック"/>
        <sz val="10.0"/>
      </rPr>
      <t>、水城</t>
    </r>
    <r>
      <rPr>
        <rFont val="Arial"/>
        <sz val="10.0"/>
      </rPr>
      <t>(</t>
    </r>
    <r>
      <rPr>
        <rFont val="ＭＳ Ｐゴシック"/>
        <sz val="10.0"/>
      </rPr>
      <t>皆川猿時</t>
    </r>
    <r>
      <rPr>
        <rFont val="Arial"/>
        <sz val="10.0"/>
      </rPr>
      <t>)</t>
    </r>
    <r>
      <rPr>
        <rFont val="ＭＳ Ｐゴシック"/>
        <sz val="10.0"/>
      </rPr>
      <t>は言葉を失うーー。</t>
    </r>
    <r>
      <rPr>
        <rFont val="Arial"/>
        <sz val="10.0"/>
      </rPr>
      <t xml:space="preserve">  </t>
    </r>
    <r>
      <rPr>
        <rFont val="ＭＳ Ｐゴシック"/>
        <sz val="10.0"/>
      </rPr>
      <t>翔太と二階堂は南（田中哲司）を訪ね、内山のアパートにいた理由について問い詰めるが、「ただのネタ探し」だと答える南</t>
    </r>
    <r>
      <rPr>
        <rFont val="Arial"/>
        <sz val="10.0"/>
      </rPr>
      <t>…</t>
    </r>
    <r>
      <rPr>
        <rFont val="ＭＳ Ｐゴシック"/>
        <sz val="10.0"/>
      </rPr>
      <t>。果たして彼の目的は</t>
    </r>
    <r>
      <rPr>
        <rFont val="Arial"/>
        <sz val="10.0"/>
      </rPr>
      <t xml:space="preserve">!?  </t>
    </r>
    <r>
      <rPr>
        <rFont val="ＭＳ Ｐゴシック"/>
        <sz val="10.0"/>
      </rPr>
      <t>そして、ついに住民の中に潜む危険人物が暴走し始める</t>
    </r>
    <r>
      <rPr>
        <rFont val="Arial"/>
        <sz val="10.0"/>
      </rPr>
      <t>…!</t>
    </r>
  </si>
  <si>
    <t>装置が作動してダーツの矢が胸に刺さった内山（大内田悠平）は、まもなく絶命。その瞬間、パソコンから動画が流れる。衝撃的な内容に、翔太(田中圭)、二階堂(横浜流星)、水城(皆川猿時)は言葉を失うーー。  翔太と二階堂は南（田中哲司）を訪ね、内山のアパートにいた理由について問い詰めるが、「ただのネタ探し」だと答える南…。果たして彼の目的は!?  そして、ついに住民の中に潜む危険人物が暴走し始める…!</t>
  </si>
  <si>
    <t>番組名あなたの番です#18【連続殺人犯は誰だ！？怪しい住民の秘密が暴かれる！！】</t>
  </si>
  <si>
    <r>
      <rPr>
        <rFont val="ＭＳ Ｐゴシック"/>
        <sz val="10.0"/>
      </rPr>
      <t>南（田中哲司）は、５年前に高知で起こった少女殺害事件の犯人だと田宮（生瀬勝久）に襲いかかる！翔太（田中圭）に語った引っ越してきた本当の理由とは</t>
    </r>
    <r>
      <rPr>
        <rFont val="Arial"/>
        <sz val="10.0"/>
      </rPr>
      <t xml:space="preserve">!?  </t>
    </r>
    <r>
      <rPr>
        <rFont val="ＭＳ Ｐゴシック"/>
        <sz val="10.0"/>
      </rPr>
      <t>黒島</t>
    </r>
    <r>
      <rPr>
        <rFont val="Arial"/>
        <sz val="10.0"/>
      </rPr>
      <t>(</t>
    </r>
    <r>
      <rPr>
        <rFont val="ＭＳ Ｐゴシック"/>
        <sz val="10.0"/>
      </rPr>
      <t>西野七瀬</t>
    </r>
    <r>
      <rPr>
        <rFont val="Arial"/>
        <sz val="10.0"/>
      </rPr>
      <t>)</t>
    </r>
    <r>
      <rPr>
        <rFont val="ＭＳ Ｐゴシック"/>
        <sz val="10.0"/>
      </rPr>
      <t>は連絡が取れなくなった二階堂（横浜流星）を心配するが、彼は尾野（奈緒）の部屋にいて</t>
    </r>
    <r>
      <rPr>
        <rFont val="Arial"/>
        <sz val="10.0"/>
      </rPr>
      <t xml:space="preserve">…!?  </t>
    </r>
    <r>
      <rPr>
        <rFont val="ＭＳ Ｐゴシック"/>
        <sz val="10.0"/>
      </rPr>
      <t>独白動画に隠された秘密、佐野（安藤政信）と久住（袴田吉彦）の関係と謎多き佐野の正体</t>
    </r>
    <r>
      <rPr>
        <rFont val="Arial"/>
        <sz val="10.0"/>
      </rPr>
      <t>…</t>
    </r>
    <r>
      <rPr>
        <rFont val="ＭＳ Ｐゴシック"/>
        <sz val="10.0"/>
      </rPr>
      <t>明らかになる事実とともに、ＡＩ分析で浮かび上がる犯人像とは</t>
    </r>
    <r>
      <rPr>
        <rFont val="Arial"/>
        <sz val="10.0"/>
      </rPr>
      <t>!?</t>
    </r>
  </si>
  <si>
    <t>南（田中哲司）は、５年前に高知で起こった少女殺害事件の犯人だと田宮（生瀬勝久）に襲いかかる！翔太（田中圭）に語った引っ越してきた本当の理由とは!?  黒島(西野七瀬)は連絡が取れなくなった二階堂（横浜流星）を心配するが、彼は尾野（奈緒）の部屋にいて…!?  独白動画に隠された秘密、佐野（安藤政信）と久住（袴田吉彦）の関係と謎多き佐野の正体…明らかになる事実とともに、ＡＩ分析で浮かび上がる犯人像とは!?</t>
  </si>
  <si>
    <t>番組名あなたの番です#19【バディ対立！黒島はシロかクロか？殺人鬼を炙り出せ！】</t>
  </si>
  <si>
    <r>
      <rPr>
        <rFont val="ＭＳ Ｐゴシック"/>
        <sz val="10.0"/>
      </rPr>
      <t>二階堂（横浜流星）の</t>
    </r>
    <r>
      <rPr>
        <rFont val="Arial"/>
        <sz val="10.0"/>
      </rPr>
      <t>AI</t>
    </r>
    <r>
      <rPr>
        <rFont val="ＭＳ Ｐゴシック"/>
        <sz val="10.0"/>
      </rPr>
      <t>は、黒島</t>
    </r>
    <r>
      <rPr>
        <rFont val="Arial"/>
        <sz val="10.0"/>
      </rPr>
      <t>(</t>
    </r>
    <r>
      <rPr>
        <rFont val="ＭＳ Ｐゴシック"/>
        <sz val="10.0"/>
      </rPr>
      <t>西野七瀬</t>
    </r>
    <r>
      <rPr>
        <rFont val="Arial"/>
        <sz val="10.0"/>
      </rPr>
      <t>)</t>
    </r>
    <r>
      <rPr>
        <rFont val="ＭＳ Ｐゴシック"/>
        <sz val="10.0"/>
      </rPr>
      <t>が犯人の有力候補と分析。疑う翔太（田中圭）とかばう二階堂は、険悪な雰囲気に。</t>
    </r>
    <r>
      <rPr>
        <rFont val="Arial"/>
        <sz val="10.0"/>
      </rPr>
      <t xml:space="preserve">  </t>
    </r>
    <r>
      <rPr>
        <rFont val="ＭＳ Ｐゴシック"/>
        <sz val="10.0"/>
      </rPr>
      <t>自首した田宮（生瀬勝久）が語り始めた殺人とは？さらに、次々と疑惑を深める証拠が出る尾野（奈緒）、罪を隠してきた藤井（片桐仁）と桜木（筧美和子）、突き落とされた久住（袴田吉彦）の運命は！？パズルの裏から見つけた手がかりで、翔太は黒幕をおびき出す作戦を決行！現れるのは、一体誰だ</t>
    </r>
    <r>
      <rPr>
        <rFont val="Arial"/>
        <sz val="10.0"/>
      </rPr>
      <t>!?</t>
    </r>
  </si>
  <si>
    <t>二階堂（横浜流星）のAIは、黒島(西野七瀬)が犯人の有力候補と分析。疑う翔太（田中圭）とかばう二階堂は、険悪な雰囲気に。  自首した田宮（生瀬勝久）が語り始めた殺人とは？さらに、次々と疑惑を深める証拠が出る尾野（奈緒）、罪を隠してきた藤井（片桐仁）と桜木（筧美和子）、突き落とされた久住（袴田吉彦）の運命は！？パズルの裏から見つけた手がかりで、翔太は黒幕をおびき出す作戦を決行！現れるのは、一体誰だ!?</t>
  </si>
  <si>
    <t>番組名あなたの番です#20【最終回!!ついに連続殺人鬼と対決!黒幕は誰だ!?】</t>
  </si>
  <si>
    <t>['#20']</t>
  </si>
  <si>
    <r>
      <rPr>
        <rFont val="ＭＳ Ｐゴシック"/>
        <sz val="10.0"/>
      </rPr>
      <t>二階堂（横浜流星）に締め落とされた翔太（田中圭）が目を覚ますと、両手足は拘束され、腕に点滴の針が刺さっていた。隣には、同じように拘束された黒島（西野七瀬）がいる。混乱する</t>
    </r>
    <r>
      <rPr>
        <rFont val="Arial"/>
        <sz val="10.0"/>
      </rPr>
      <t>2</t>
    </r>
    <r>
      <rPr>
        <rFont val="ＭＳ Ｐゴシック"/>
        <sz val="10.0"/>
      </rPr>
      <t>人の前に、二階堂が現れ</t>
    </r>
    <r>
      <rPr>
        <rFont val="Arial"/>
        <sz val="10.0"/>
      </rPr>
      <t xml:space="preserve">…!?  </t>
    </r>
    <r>
      <rPr>
        <rFont val="ＭＳ Ｐゴシック"/>
        <sz val="10.0"/>
      </rPr>
      <t>木下</t>
    </r>
    <r>
      <rPr>
        <rFont val="Arial"/>
        <sz val="10.0"/>
      </rPr>
      <t>(</t>
    </r>
    <r>
      <rPr>
        <rFont val="ＭＳ Ｐゴシック"/>
        <sz val="10.0"/>
      </rPr>
      <t>山田真歩</t>
    </r>
    <r>
      <rPr>
        <rFont val="Arial"/>
        <sz val="10.0"/>
      </rPr>
      <t>)</t>
    </r>
    <r>
      <rPr>
        <rFont val="ＭＳ Ｐゴシック"/>
        <sz val="10.0"/>
      </rPr>
      <t>は西村</t>
    </r>
    <r>
      <rPr>
        <rFont val="Arial"/>
        <sz val="10.0"/>
      </rPr>
      <t>(</t>
    </r>
    <r>
      <rPr>
        <rFont val="ＭＳ Ｐゴシック"/>
        <sz val="10.0"/>
      </rPr>
      <t>和田聰宏</t>
    </r>
    <r>
      <rPr>
        <rFont val="Arial"/>
        <sz val="10.0"/>
      </rPr>
      <t>)</t>
    </r>
    <r>
      <rPr>
        <rFont val="ＭＳ Ｐゴシック"/>
        <sz val="10.0"/>
      </rPr>
      <t>に、床島</t>
    </r>
    <r>
      <rPr>
        <rFont val="Arial"/>
        <sz val="10.0"/>
      </rPr>
      <t>(</t>
    </r>
    <r>
      <rPr>
        <rFont val="ＭＳ Ｐゴシック"/>
        <sz val="10.0"/>
      </rPr>
      <t>竹中直人</t>
    </r>
    <r>
      <rPr>
        <rFont val="Arial"/>
        <sz val="10.0"/>
      </rPr>
      <t>)</t>
    </r>
    <r>
      <rPr>
        <rFont val="ＭＳ Ｐゴシック"/>
        <sz val="10.0"/>
      </rPr>
      <t>殺害を問い詰め</t>
    </r>
    <r>
      <rPr>
        <rFont val="Arial"/>
        <sz val="10.0"/>
      </rPr>
      <t>…</t>
    </r>
    <r>
      <rPr>
        <rFont val="ＭＳ Ｐゴシック"/>
        <sz val="10.0"/>
      </rPr>
      <t>。</t>
    </r>
    <r>
      <rPr>
        <rFont val="Arial"/>
        <sz val="10.0"/>
      </rPr>
      <t xml:space="preserve">  </t>
    </r>
    <r>
      <rPr>
        <rFont val="ＭＳ Ｐゴシック"/>
        <sz val="10.0"/>
      </rPr>
      <t>交換殺人ゲームの全貌が、ついに明らかに！！連続殺人鬼は誰だ！？ラスト</t>
    </r>
    <r>
      <rPr>
        <rFont val="Arial"/>
        <sz val="10.0"/>
      </rPr>
      <t>1</t>
    </r>
    <r>
      <rPr>
        <rFont val="ＭＳ Ｐゴシック"/>
        <sz val="10.0"/>
      </rPr>
      <t>秒まで衝撃の連続</t>
    </r>
    <r>
      <rPr>
        <rFont val="Arial"/>
        <sz val="10.0"/>
      </rPr>
      <t>!</t>
    </r>
    <r>
      <rPr>
        <rFont val="ＭＳ Ｐゴシック"/>
        <sz val="10.0"/>
      </rPr>
      <t>見届けるのは、あなたの番です。</t>
    </r>
  </si>
  <si>
    <t>二階堂（横浜流星）に締め落とされた翔太（田中圭）が目を覚ますと、両手足は拘束され、腕に点滴の針が刺さっていた。隣には、同じように拘束された黒島（西野七瀬）がいる。混乱する2人の前に、二階堂が現れ…!?  木下(山田真歩)は西村(和田聰宏)に、床島(竹中直人)殺害を問い詰め…。  交換殺人ゲームの全貌が、ついに明らかに！！連続殺人鬼は誰だ！？ラスト1秒まで衝撃の連続!見届けるのは、あなたの番です。</t>
  </si>
  <si>
    <t>1904_NTV_水22</t>
  </si>
  <si>
    <t>白衣の戦士！</t>
  </si>
  <si>
    <t>番組名白衣の戦士!#01</t>
  </si>
  <si>
    <r>
      <rPr>
        <rFont val="ＭＳ Ｐゴシック"/>
        <sz val="10.0"/>
      </rPr>
      <t>はるか（中条あやみ）は「元ヤン」の新米ナース。やる気はあるが空回りしがちで指導係の先輩ナース・夏美（水川あさみ）から叱られてばかり。入院中の高校生・潤也（鈴木仁）の担当になったものの、問題行動ばかり起こす潤也と早速バチバチに</t>
    </r>
    <r>
      <rPr>
        <rFont val="Arial"/>
        <sz val="10.0"/>
      </rPr>
      <t>…</t>
    </r>
    <r>
      <rPr>
        <rFont val="ＭＳ Ｐゴシック"/>
        <sz val="10.0"/>
      </rPr>
      <t>。一方「結婚退職」を目標に婚活中の夏美は、見合い相手から「結婚したら仕事は辞めて家庭に入ってほしい」と言われ、二つ返事で承諾してしまう。そんな中、潤也が病院からいなくなった</t>
    </r>
    <r>
      <rPr>
        <rFont val="Arial"/>
        <sz val="10.0"/>
      </rPr>
      <t>!</t>
    </r>
  </si>
  <si>
    <t>はるか（中条あやみ）は「元ヤン」の新米ナース。やる気はあるが空回りしがちで指導係の先輩ナース・夏美（水川あさみ）から叱られてばかり。入院中の高校生・潤也（鈴木仁）の担当になったものの、問題行動ばかり起こす潤也と早速バチバチに…。一方「結婚退職」を目標に婚活中の夏美は、見合い相手から「結婚したら仕事は辞めて家庭に入ってほしい」と言われ、二つ返事で承諾してしまう。そんな中、潤也が病院からいなくなった!</t>
  </si>
  <si>
    <t>番組名白衣の戦士!#02</t>
  </si>
  <si>
    <t>中条あやみ、水川あさみ、小瀧望（ジャニーズWEST)、安田顕、沢村一樹、片瀬那奈、鈴木紗理奈、小松彩夏、山崎萌香、三宅亮輔【ゲスト】堀田真由、田中幸太朗新米ナースのはるか（中条あやみ）が働き始めてから一週間が過ぎたが、相変わらず指導係の夏美（水川あさみ）からはダメ出しされる日々が続いていた。そしてそんな夏美も、結婚退職を目標に進めていた婚活に葛藤し始めていた。ある日外科病棟に、斎藤（小瀧望）の元カノ・真理子（堀田真由）が入院してくる。斎藤のことが気になり始めていたはるかは動揺。だが真理子は、医師の柳楽（安田顕）から投与された薬を捨ててしまう……【演出】菅原伸太郎【脚本】梅田みか【主題歌】 「アメノチハレ」ジャニーズWEST(ジャニーズ・エンタテイメント)  【挿入歌】 「片隅」三浦大知(SONIC GROOVE)  【音楽】菅野祐悟、眞鍋昭大【プロデューサー】加藤正俊、鈴木香織(AXON)  【制作協力】AXON  【製作著作】日本テレビ</t>
  </si>
  <si>
    <t>中条あやみ、水川あさみ、小瀧望（ジャニーズWEST)、安田顕、沢村一樹、片瀬那奈、鈴木紗理奈、小松彩夏、山崎萌香、三宅亮輔</t>
  </si>
  <si>
    <t>番組名白衣の戦士!#03</t>
  </si>
  <si>
    <r>
      <rPr>
        <rFont val="ＭＳ Ｐゴシック"/>
        <sz val="10.0"/>
      </rPr>
      <t>新米ナースのはるか（中条あやみ）は、指導係の夏美（水川あさみ）や同期の斎藤（小瀧望）と共に初めての夜勤を任される。張り切るはるかだったが、誰もいないはずの病室からナースコールが鳴り、夜の病棟で大騒動が！ある日、一人の女性・加奈（財前直見）が入院してくる。元ナースという加奈は、はるかや夏美の仕事ぶりにダメ出しを連発し、二人ともタジタジに</t>
    </r>
    <r>
      <rPr>
        <rFont val="Arial"/>
        <sz val="10.0"/>
      </rPr>
      <t>……</t>
    </r>
    <r>
      <rPr>
        <rFont val="ＭＳ Ｐゴシック"/>
        <sz val="10.0"/>
      </rPr>
      <t>。だが、加奈がステージ４のがんであることが判明する</t>
    </r>
    <r>
      <rPr>
        <rFont val="Arial"/>
        <sz val="10.0"/>
      </rPr>
      <t>……!</t>
    </r>
  </si>
  <si>
    <t>新米ナースのはるか（中条あやみ）は、指導係の夏美（水川あさみ）や同期の斎藤（小瀧望）と共に初めての夜勤を任される。張り切るはるかだったが、誰もいないはずの病室からナースコールが鳴り、夜の病棟で大騒動が！ある日、一人の女性・加奈（財前直見）が入院してくる。元ナースという加奈は、はるかや夏美の仕事ぶりにダメ出しを連発し、二人ともタジタジに……。だが、加奈がステージ４のがんであることが判明する……!</t>
  </si>
  <si>
    <t>番組名白衣の戦士!#04</t>
  </si>
  <si>
    <r>
      <rPr>
        <rFont val="ＭＳ Ｐゴシック"/>
        <sz val="10.0"/>
      </rPr>
      <t>夏美（水川あさみ）は、久々の合コンに気合が入る。しかし、急遽代打で参加することになったはるか（中条あやみ）が「初めての合コン」に浮かれてしまい</t>
    </r>
    <r>
      <rPr>
        <rFont val="Arial"/>
        <sz val="10.0"/>
      </rPr>
      <t>…</t>
    </r>
    <r>
      <rPr>
        <rFont val="ＭＳ Ｐゴシック"/>
        <sz val="10.0"/>
      </rPr>
      <t>。ある日、本城（沢村一樹）の娘・紗耶（川島鈴遥）が虫垂炎で入院してくる。７年前に離婚して離れて暮らしている娘に、どう接したらいいのか悩む本城。しかも紗耶はメイクもネイルもバッチリの女子高生ギャルだった！さらに、紗耶は手術をかたくなに拒否し</t>
    </r>
    <r>
      <rPr>
        <rFont val="Arial"/>
        <sz val="10.0"/>
      </rPr>
      <t>……!</t>
    </r>
  </si>
  <si>
    <t>夏美（水川あさみ）は、久々の合コンに気合が入る。しかし、急遽代打で参加することになったはるか（中条あやみ）が「初めての合コン」に浮かれてしまい…。ある日、本城（沢村一樹）の娘・紗耶（川島鈴遥）が虫垂炎で入院してくる。７年前に離婚して離れて暮らしている娘に、どう接したらいいのか悩む本城。しかも紗耶はメイクもネイルもバッチリの女子高生ギャルだった！さらに、紗耶は手術をかたくなに拒否し……!</t>
  </si>
  <si>
    <t>番組名白衣の戦士!#05</t>
  </si>
  <si>
    <r>
      <rPr>
        <rFont val="ＭＳ Ｐゴシック"/>
        <sz val="10.0"/>
      </rPr>
      <t>はるか（中条あやみ）は斎藤（小瀧望）から突然映画に誘われ、「これって、デート！？」と一人盛り上がる。その映画館で、主任の真由（片瀬那奈）が、デートしている姿を目撃。デートの相手は、同じ病院の脳外科医・清水（東根作寿英）だった。だが、そのことを夏美（水川あさみ）に報告すると、「清水先生には奥さんがいる」と知らされる</t>
    </r>
    <r>
      <rPr>
        <rFont val="Arial"/>
        <sz val="10.0"/>
      </rPr>
      <t>!  “</t>
    </r>
    <r>
      <rPr>
        <rFont val="ＭＳ Ｐゴシック"/>
        <sz val="10.0"/>
      </rPr>
      <t>不倫の恋</t>
    </r>
    <r>
      <rPr>
        <rFont val="Arial"/>
        <sz val="10.0"/>
      </rPr>
      <t>”</t>
    </r>
    <r>
      <rPr>
        <rFont val="ＭＳ Ｐゴシック"/>
        <sz val="10.0"/>
      </rPr>
      <t>に悩む真由。それを知ったはるかと夏美は</t>
    </r>
    <r>
      <rPr>
        <rFont val="Arial"/>
        <sz val="10.0"/>
      </rPr>
      <t>……</t>
    </r>
    <r>
      <rPr>
        <rFont val="ＭＳ Ｐゴシック"/>
        <sz val="10.0"/>
      </rPr>
      <t>。</t>
    </r>
  </si>
  <si>
    <t>はるか（中条あやみ）は斎藤（小瀧望）から突然映画に誘われ、「これって、デート！？」と一人盛り上がる。その映画館で、主任の真由（片瀬那奈）が、デートしている姿を目撃。デートの相手は、同じ病院の脳外科医・清水（東根作寿英）だった。だが、そのことを夏美（水川あさみ）に報告すると、「清水先生には奥さんがいる」と知らされる!  “不倫の恋”に悩む真由。それを知ったはるかと夏美は……。</t>
  </si>
  <si>
    <t>番組名白衣の戦士!#06</t>
  </si>
  <si>
    <t>中条あやみ、水川あさみ、小瀧望（ジャニーズWEST)、安田顕、沢村一樹、片瀬那奈、鈴木紗理奈、小松彩夏、山崎萌香、三宅亮輔  金田明夫、梅沢昌代、田中幸太朗、富田望生、松熊つる松夏美（水川あさみ）の元お見合い相手・里中（田中幸太朗）が入院。再び心が揺れる夏美を見て、気が気でない本城(沢村一樹)。一方、後輩・七海(富田望生)から、恋の助言を受けたはるか（中条あやみ）は、鈍感すぎる斎藤（小瀧望）に気持ちをぶつけようと決意するが…？そんな時、わがまま放題の胡桃沢（金田明夫）が入院してきた。隙あらば病院を抜け出そうとして二人を翻弄する…。はるかと夏美の恋模様が大きな転機を迎える!【演出】猪股隆一【脚本】横田理恵【主題歌】「アメノチハレ」ジャニーズWEST(ジャニーズ・エンタテイメント)  【挿入歌】「片隅」三浦大知(SONIC GROOVE)  【音楽】菅野祐悟、眞鍋昭大【プロデューサー】加藤正俊、鈴木香織(AXON)  【制作協力】AXON  【製作著作】日本テレビ</t>
  </si>
  <si>
    <t>中条あやみ、水川あさみ、小瀧望（ジャニーズWEST)、安田顕、沢村一樹、片瀬那奈、鈴木紗理奈、小松彩夏、山崎萌香、三宅亮輔  金田明夫、梅沢昌代、田中幸太朗、富田望生、松熊つる松夏美（水川あさみ）の元お見合い相手・里中（田中幸太朗）が入院。再び心が揺れる夏美を見て、気が気でない本城(沢村一樹)。一方、後輩・七海(富田望生)から、恋の助言を受けたはるか（中条あやみ）は、鈍感すぎる斎藤（小瀧望）に気持ちをぶつけようと決意するが…？そんな時、わがまま放題の胡桃沢（金田明夫）が入院してきた。隙あらば病院を抜け出そうとして二人を翻弄する…。はるかと夏美の恋模様が大きな転機を迎える!</t>
  </si>
  <si>
    <t>番組名白衣の戦士!#07</t>
  </si>
  <si>
    <r>
      <rPr>
        <rFont val="ＭＳ Ｐゴシック"/>
        <sz val="10.0"/>
      </rPr>
      <t>斎藤（小瀧望）に告白するつもりが、酔った勢いでキスしてしまったはるか（中条あやみ）。キスをした記憶がないはるかに、斎藤はドギマギ</t>
    </r>
    <r>
      <rPr>
        <rFont val="Arial"/>
        <sz val="10.0"/>
      </rPr>
      <t>…</t>
    </r>
    <r>
      <rPr>
        <rFont val="ＭＳ Ｐゴシック"/>
        <sz val="10.0"/>
      </rPr>
      <t>。一方、夏美（水川あさみ）と本城（沢村一樹）の二人は、順調に距離を縮め</t>
    </r>
    <r>
      <rPr>
        <rFont val="Arial"/>
        <sz val="10.0"/>
      </rPr>
      <t>…</t>
    </r>
    <r>
      <rPr>
        <rFont val="ＭＳ Ｐゴシック"/>
        <sz val="10.0"/>
      </rPr>
      <t>。</t>
    </r>
    <r>
      <rPr>
        <rFont val="Arial"/>
        <sz val="10.0"/>
      </rPr>
      <t xml:space="preserve">  </t>
    </r>
    <r>
      <rPr>
        <rFont val="ＭＳ Ｐゴシック"/>
        <sz val="10.0"/>
      </rPr>
      <t>そんな中、はるかはシングルマザーの先輩ナース・貴子（鈴木紗理奈）の息子・佑輔を一晩預かることに</t>
    </r>
    <r>
      <rPr>
        <rFont val="Arial"/>
        <sz val="10.0"/>
      </rPr>
      <t>…</t>
    </r>
    <r>
      <rPr>
        <rFont val="ＭＳ Ｐゴシック"/>
        <sz val="10.0"/>
      </rPr>
      <t>。女手一つで仕事と子育てを両立させている貴子だったが、思わぬピンチに陥ってしまう</t>
    </r>
    <r>
      <rPr>
        <rFont val="Arial"/>
        <sz val="10.0"/>
      </rPr>
      <t>…</t>
    </r>
    <r>
      <rPr>
        <rFont val="ＭＳ Ｐゴシック"/>
        <sz val="10.0"/>
      </rPr>
      <t>。</t>
    </r>
  </si>
  <si>
    <t>斎藤（小瀧望）に告白するつもりが、酔った勢いでキスしてしまったはるか（中条あやみ）。キスをした記憶がないはるかに、斎藤はドギマギ…。一方、夏美（水川あさみ）と本城（沢村一樹）の二人は、順調に距離を縮め…。  そんな中、はるかはシングルマザーの先輩ナース・貴子（鈴木紗理奈）の息子・佑輔を一晩預かることに…。女手一つで仕事と子育てを両立させている貴子だったが、思わぬピンチに陥ってしまう…。</t>
  </si>
  <si>
    <t>番組名白衣の戦士!#08</t>
  </si>
  <si>
    <r>
      <rPr>
        <rFont val="ＭＳ Ｐゴシック"/>
        <sz val="10.0"/>
      </rPr>
      <t>お互いの恋の相手が斎藤（小瀧望）と本城（沢村一樹）だと知ってしまったはるか（中条あやみ）と夏美（水川あさみ）。柳楽（安田顕）も４人の関係を知るが、彼自身は妻から自宅を追い出されてしまっていた。そんな中、病院には柳楽が１３年前にも手術をした沙織（足立梨花）が腸閉塞で入院してきた。一週間後に結婚式を控えていた沙織は、症状が収まり無事退院することになったが、結婚式当日、起きてはいけない事態が</t>
    </r>
    <r>
      <rPr>
        <rFont val="Arial"/>
        <sz val="10.0"/>
      </rPr>
      <t>…</t>
    </r>
    <r>
      <rPr>
        <rFont val="ＭＳ Ｐゴシック"/>
        <sz val="10.0"/>
      </rPr>
      <t>。</t>
    </r>
  </si>
  <si>
    <t>お互いの恋の相手が斎藤（小瀧望）と本城（沢村一樹）だと知ってしまったはるか（中条あやみ）と夏美（水川あさみ）。柳楽（安田顕）も４人の関係を知るが、彼自身は妻から自宅を追い出されてしまっていた。そんな中、病院には柳楽が１３年前にも手術をした沙織（足立梨花）が腸閉塞で入院してきた。一週間後に結婚式を控えていた沙織は、症状が収まり無事退院することになったが、結婚式当日、起きてはいけない事態が…。</t>
  </si>
  <si>
    <t>番組名白衣の戦士!#09</t>
  </si>
  <si>
    <r>
      <rPr>
        <rFont val="ＭＳ Ｐゴシック"/>
        <sz val="10.0"/>
      </rPr>
      <t>斎藤（小瀧望）と両想いだという事に気付き、舞い上がるはるか（中条あやみ）。一方、夏美（水川あさみ）と本城（沢村一樹）の交際も順調に進んでいた。ある日、斎藤の父・渡（寺脇康文）と母・芳子（藤吉久美子）が上京してくる。はるかは斎藤と一緒に両親の東京見物につきあうことになったが、斎藤と渡の間に確執があることに気づく</t>
    </r>
    <r>
      <rPr>
        <rFont val="Arial"/>
        <sz val="10.0"/>
      </rPr>
      <t>…</t>
    </r>
    <r>
      <rPr>
        <rFont val="ＭＳ Ｐゴシック"/>
        <sz val="10.0"/>
      </rPr>
      <t>。そんな中、渡が突然腹痛を訴える！！父と息子、それぞれの想いが交錯する第９話！</t>
    </r>
  </si>
  <si>
    <t>斎藤（小瀧望）と両想いだという事に気付き、舞い上がるはるか（中条あやみ）。一方、夏美（水川あさみ）と本城（沢村一樹）の交際も順調に進んでいた。ある日、斎藤の父・渡（寺脇康文）と母・芳子（藤吉久美子）が上京してくる。はるかは斎藤と一緒に両親の東京見物につきあうことになったが、斎藤と渡の間に確執があることに気づく…。そんな中、渡が突然腹痛を訴える！！父と息子、それぞれの想いが交錯する第９話！</t>
  </si>
  <si>
    <t>番組名白衣の戦士!#10</t>
  </si>
  <si>
    <r>
      <rPr>
        <rFont val="ＭＳ Ｐゴシック"/>
        <sz val="10.0"/>
      </rPr>
      <t>ついに斎藤（小瀧望）とつきあい始めたはるか（中条あやみ）、本城（沢村一樹）と一晩を過ごした夏美（水川あさみ）。それぞれの恋が幸せな結末を迎えようとしていたある日、夏美の母・幸江（高橋ひとみ）が突然現れる。幸江は本城がバツイチ・子持ちだという事から交際に反対して</t>
    </r>
    <r>
      <rPr>
        <rFont val="Arial"/>
        <sz val="10.0"/>
      </rPr>
      <t>…</t>
    </r>
    <r>
      <rPr>
        <rFont val="ＭＳ Ｐゴシック"/>
        <sz val="10.0"/>
      </rPr>
      <t>。外科病棟では緊急入院してきた都議会議員の五十嵐（東幹久）をはるかが怒らせてしまい、さらに事務長の大橋（神保悟志）も現れて大きな騒動に</t>
    </r>
    <r>
      <rPr>
        <rFont val="Arial"/>
        <sz val="10.0"/>
      </rPr>
      <t>!</t>
    </r>
  </si>
  <si>
    <t>ついに斎藤（小瀧望）とつきあい始めたはるか（中条あやみ）、本城（沢村一樹）と一晩を過ごした夏美（水川あさみ）。それぞれの恋が幸せな結末を迎えようとしていたある日、夏美の母・幸江（高橋ひとみ）が突然現れる。幸江は本城がバツイチ・子持ちだという事から交際に反対して…。外科病棟では緊急入院してきた都議会議員の五十嵐（東幹久）をはるかが怒らせてしまい、さらに事務長の大橋（神保悟志）も現れて大きな騒動に!</t>
  </si>
  <si>
    <t>1904_NTV_木23</t>
  </si>
  <si>
    <t>向かいのバズる家族</t>
  </si>
  <si>
    <t>番組名「向かいのバズる家族」内田理央主演、家族一同バズって行く物語</t>
  </si>
  <si>
    <r>
      <rPr>
        <rFont val="ＭＳ Ｐゴシック"/>
        <sz val="10.0"/>
      </rPr>
      <t>カフェ「コロナ」で店長を務める篝（かがり）家の長女・あかり</t>
    </r>
    <r>
      <rPr>
        <rFont val="Arial"/>
        <sz val="10.0"/>
      </rPr>
      <t>(</t>
    </r>
    <r>
      <rPr>
        <rFont val="ＭＳ Ｐゴシック"/>
        <sz val="10.0"/>
      </rPr>
      <t>内田理央</t>
    </r>
    <r>
      <rPr>
        <rFont val="Arial"/>
        <sz val="10.0"/>
      </rPr>
      <t>)</t>
    </r>
    <r>
      <rPr>
        <rFont val="ＭＳ Ｐゴシック"/>
        <sz val="10.0"/>
      </rPr>
      <t>。</t>
    </r>
    <r>
      <rPr>
        <rFont val="Arial"/>
        <sz val="10.0"/>
      </rPr>
      <t xml:space="preserve">  </t>
    </r>
    <r>
      <rPr>
        <rFont val="ＭＳ Ｐゴシック"/>
        <sz val="10.0"/>
      </rPr>
      <t>平凡な日々を過ごしていたが、ある日、動画がＳＮＳ上で偶然バズったのをきっかけに、「普通で幸せな家族」の生活が狂い始める。</t>
    </r>
    <r>
      <rPr>
        <rFont val="Arial"/>
        <sz val="10.0"/>
      </rPr>
      <t xml:space="preserve">  </t>
    </r>
    <r>
      <rPr>
        <rFont val="ＭＳ Ｐゴシック"/>
        <sz val="10.0"/>
      </rPr>
      <t>一瞬にして人気者になり、密かに思いを寄せていた常連客の皆戸涼太（白洲迅）から食事に誘われ、興奮を隠せないあかりだが、実は誰にも見せられない</t>
    </r>
    <r>
      <rPr>
        <rFont val="Arial"/>
        <sz val="10.0"/>
      </rPr>
      <t>“</t>
    </r>
    <r>
      <rPr>
        <rFont val="ＭＳ Ｐゴシック"/>
        <sz val="10.0"/>
      </rPr>
      <t>裏の顔</t>
    </r>
    <r>
      <rPr>
        <rFont val="Arial"/>
        <sz val="10.0"/>
      </rPr>
      <t>”</t>
    </r>
    <r>
      <rPr>
        <rFont val="ＭＳ Ｐゴシック"/>
        <sz val="10.0"/>
      </rPr>
      <t>が</t>
    </r>
    <r>
      <rPr>
        <rFont val="Arial"/>
        <sz val="10.0"/>
      </rPr>
      <t>…</t>
    </r>
    <r>
      <rPr>
        <rFont val="ＭＳ Ｐゴシック"/>
        <sz val="10.0"/>
      </rPr>
      <t>さらに家族全員がバズりはじめ</t>
    </r>
    <r>
      <rPr>
        <rFont val="Arial"/>
        <sz val="10.0"/>
      </rPr>
      <t>…</t>
    </r>
  </si>
  <si>
    <t>カフェ「コロナ」で店長を務める篝（かがり）家の長女・あかり(内田理央)。  平凡な日々を過ごしていたが、ある日、動画がＳＮＳ上で偶然バズったのをきっかけに、「普通で幸せな家族」の生活が狂い始める。  一瞬にして人気者になり、密かに思いを寄せていた常連客の皆戸涼太（白洲迅）から食事に誘われ、興奮を隠せないあかりだが、実は誰にも見せられない“裏の顔”が…さらに家族全員がバズりはじめ…</t>
  </si>
  <si>
    <t>番組名「向かいのバズる家族」内田理央ｖｓ高岡早紀、母と娘のバズり合い</t>
  </si>
  <si>
    <r>
      <rPr>
        <rFont val="ＭＳ Ｐゴシック"/>
        <sz val="10.0"/>
      </rPr>
      <t>篝（かがり）家の長女・あかり（内田理央）の動画がバズってから早３日。バズり具合は最高潮に達し、あかりはアイドル気分の浮かれ調子。その一方で母・緋奈子（高岡早紀）もまた、セクシーな衣装で撮影した料理動画のコメントに浮かれている。そんな折、緋奈子の</t>
    </r>
    <r>
      <rPr>
        <rFont val="Arial"/>
        <sz val="10.0"/>
      </rPr>
      <t>“</t>
    </r>
    <r>
      <rPr>
        <rFont val="ＭＳ Ｐゴシック"/>
        <sz val="10.0"/>
      </rPr>
      <t>セクシー動画</t>
    </r>
    <r>
      <rPr>
        <rFont val="Arial"/>
        <sz val="10.0"/>
      </rPr>
      <t>”</t>
    </r>
    <r>
      <rPr>
        <rFont val="ＭＳ Ｐゴシック"/>
        <sz val="10.0"/>
      </rPr>
      <t>を目にしてしまったあかりは投稿をやめるように緋奈子に言うが、緋奈子は聞く耳を持たないどころか「私の人気に嫉妬している」とあかりを煽り始め</t>
    </r>
    <r>
      <rPr>
        <rFont val="Arial"/>
        <sz val="10.0"/>
      </rPr>
      <t>…</t>
    </r>
  </si>
  <si>
    <t>篝（かがり）家の長女・あかり（内田理央）の動画がバズってから早３日。バズり具合は最高潮に達し、あかりはアイドル気分の浮かれ調子。その一方で母・緋奈子（高岡早紀）もまた、セクシーな衣装で撮影した料理動画のコメントに浮かれている。そんな折、緋奈子の“セクシー動画”を目にしてしまったあかりは投稿をやめるように緋奈子に言うが、緋奈子は聞く耳を持たないどころか「私の人気に嫉妬している」とあかりを煽り始め…</t>
  </si>
  <si>
    <t>番組名「向かいのバズる家族」一人を取るか、不特定多数を取るか。それが問題だ。</t>
  </si>
  <si>
    <r>
      <rPr>
        <rFont val="ＭＳ Ｐゴシック"/>
        <sz val="10.0"/>
      </rPr>
      <t>あかり（内田理央）の動画がバズってから数日が経ち、</t>
    </r>
    <r>
      <rPr>
        <rFont val="Arial"/>
        <sz val="10.0"/>
      </rPr>
      <t>SNS</t>
    </r>
    <r>
      <rPr>
        <rFont val="ＭＳ Ｐゴシック"/>
        <sz val="10.0"/>
      </rPr>
      <t>のフォロワーはすでに１万人超。一方、あかりの</t>
    </r>
    <r>
      <rPr>
        <rFont val="Arial"/>
        <sz val="10.0"/>
      </rPr>
      <t>“</t>
    </r>
    <r>
      <rPr>
        <rFont val="ＭＳ Ｐゴシック"/>
        <sz val="10.0"/>
      </rPr>
      <t>裏の顔</t>
    </r>
    <r>
      <rPr>
        <rFont val="Arial"/>
        <sz val="10.0"/>
      </rPr>
      <t>”</t>
    </r>
    <r>
      <rPr>
        <rFont val="ＭＳ Ｐゴシック"/>
        <sz val="10.0"/>
      </rPr>
      <t>ナマハゲチョップの動画再生数は数十回。「こっちは知る人ぞ知る存在でいい」と自分に言い聞かせていた。</t>
    </r>
    <r>
      <rPr>
        <rFont val="Arial"/>
        <sz val="10.0"/>
      </rPr>
      <t xml:space="preserve">  </t>
    </r>
    <r>
      <rPr>
        <rFont val="ＭＳ Ｐゴシック"/>
        <sz val="10.0"/>
      </rPr>
      <t>そんな中、涼太（白洲迅）に告白されたあかりは、けじめをつけるため</t>
    </r>
    <r>
      <rPr>
        <rFont val="Arial"/>
        <sz val="10.0"/>
      </rPr>
      <t>“</t>
    </r>
    <r>
      <rPr>
        <rFont val="ＭＳ Ｐゴシック"/>
        <sz val="10.0"/>
      </rPr>
      <t>世界</t>
    </r>
    <r>
      <rPr>
        <rFont val="Arial"/>
        <sz val="10.0"/>
      </rPr>
      <t>”</t>
    </r>
    <r>
      <rPr>
        <rFont val="ＭＳ Ｐゴシック"/>
        <sz val="10.0"/>
      </rPr>
      <t>に向けて生配信をすることを決める。</t>
    </r>
    <r>
      <rPr>
        <rFont val="Arial"/>
        <sz val="10.0"/>
      </rPr>
      <t xml:space="preserve">  </t>
    </r>
    <r>
      <rPr>
        <rFont val="ＭＳ Ｐゴシック"/>
        <sz val="10.0"/>
      </rPr>
      <t>生配信が始まると高揚感を覚えてしまうあかり。決意が揺れる中、最後に出した答えとは</t>
    </r>
    <r>
      <rPr>
        <rFont val="Arial"/>
        <sz val="10.0"/>
      </rPr>
      <t>-</t>
    </r>
  </si>
  <si>
    <t>あかり（内田理央）の動画がバズってから数日が経ち、SNSのフォロワーはすでに１万人超。一方、あかりの“裏の顔”ナマハゲチョップの動画再生数は数十回。「こっちは知る人ぞ知る存在でいい」と自分に言い聞かせていた。  そんな中、涼太（白洲迅）に告白されたあかりは、けじめをつけるため“世界”に向けて生配信をすることを決める。  生配信が始まると高揚感を覚えてしまうあかり。決意が揺れる中、最後に出した答えとは-</t>
  </si>
  <si>
    <t>番組名「向かいのバズる家族」ナマハゲチョップ、ついにバレる…家族崩壊の序章</t>
  </si>
  <si>
    <r>
      <rPr>
        <rFont val="ＭＳ Ｐゴシック"/>
        <sz val="10.0"/>
      </rPr>
      <t>あかり（内田理央）は、裏の顔であるナマハゲチョップを生配信で紹介してしまい、正体がバレることに怯えていた。</t>
    </r>
    <r>
      <rPr>
        <rFont val="Arial"/>
        <sz val="10.0"/>
      </rPr>
      <t xml:space="preserve">  </t>
    </r>
    <r>
      <rPr>
        <rFont val="ＭＳ Ｐゴシック"/>
        <sz val="10.0"/>
      </rPr>
      <t>そんな折、あかりの動画を見た父・篤史（木下隆行）が、カフェ「コロナ」へ。そこに生配信中の母・緋奈子（高岡早紀）、さらには皆戸涼太（白洲迅）もやってきて、パニックのあかりは店から逃げ出してしまう。</t>
    </r>
    <r>
      <rPr>
        <rFont val="Arial"/>
        <sz val="10.0"/>
      </rPr>
      <t xml:space="preserve">  </t>
    </r>
    <r>
      <rPr>
        <rFont val="ＭＳ Ｐゴシック"/>
        <sz val="10.0"/>
      </rPr>
      <t>フラれたと勘違いした涼太から別れを告げられたあかりは、さらに桃（小川紗良）に、ある弱みを握られ</t>
    </r>
    <r>
      <rPr>
        <rFont val="Arial"/>
        <sz val="10.0"/>
      </rPr>
      <t>…</t>
    </r>
  </si>
  <si>
    <t>あかり（内田理央）は、裏の顔であるナマハゲチョップを生配信で紹介してしまい、正体がバレることに怯えていた。  そんな折、あかりの動画を見た父・篤史（木下隆行）が、カフェ「コロナ」へ。そこに生配信中の母・緋奈子（高岡早紀）、さらには皆戸涼太（白洲迅）もやってきて、パニックのあかりは店から逃げ出してしまう。  フラれたと勘違いした涼太から別れを告げられたあかりは、さらに桃（小川紗良）に、ある弱みを握られ…</t>
  </si>
  <si>
    <t>番組名「向かいのバズる家族」母オフ会…父母Ｗ不倫、あかり衝撃の過去を知る男現る</t>
  </si>
  <si>
    <r>
      <rPr>
        <rFont val="ＭＳ Ｐゴシック"/>
        <sz val="10.0"/>
      </rPr>
      <t>あかり（内田理央）が謎の男の着信を受けてから数日、あかりの元に再び着信が入る。電話の男・鍋島剛（笠松将）はナマハゲチョップの正体と、もう一つの秘密</t>
    </r>
    <r>
      <rPr>
        <rFont val="Arial"/>
        <sz val="10.0"/>
      </rPr>
      <t>“</t>
    </r>
    <r>
      <rPr>
        <rFont val="ＭＳ Ｐゴシック"/>
        <sz val="10.0"/>
      </rPr>
      <t>あかりの過去</t>
    </r>
    <r>
      <rPr>
        <rFont val="Arial"/>
        <sz val="10.0"/>
      </rPr>
      <t>”</t>
    </r>
    <r>
      <rPr>
        <rFont val="ＭＳ Ｐゴシック"/>
        <sz val="10.0"/>
      </rPr>
      <t>を知る唯一の人物だった。</t>
    </r>
    <r>
      <rPr>
        <rFont val="Arial"/>
        <sz val="10.0"/>
      </rPr>
      <t xml:space="preserve">  </t>
    </r>
    <r>
      <rPr>
        <rFont val="ＭＳ Ｐゴシック"/>
        <sz val="10.0"/>
      </rPr>
      <t>動揺しながらも、皆戸涼太（白洲迅）とデートへ出かけるあかり。そこで、迫滝（前田公輝）と仲睦まじく歩く母・緋奈子</t>
    </r>
    <r>
      <rPr>
        <rFont val="Arial"/>
        <sz val="10.0"/>
      </rPr>
      <t>(</t>
    </r>
    <r>
      <rPr>
        <rFont val="ＭＳ Ｐゴシック"/>
        <sz val="10.0"/>
      </rPr>
      <t>高岡早紀</t>
    </r>
    <r>
      <rPr>
        <rFont val="Arial"/>
        <sz val="10.0"/>
      </rPr>
      <t>)</t>
    </r>
    <r>
      <rPr>
        <rFont val="ＭＳ Ｐゴシック"/>
        <sz val="10.0"/>
      </rPr>
      <t>、鴇田</t>
    </r>
    <r>
      <rPr>
        <rFont val="Arial"/>
        <sz val="10.0"/>
      </rPr>
      <t>(</t>
    </r>
    <r>
      <rPr>
        <rFont val="ＭＳ Ｐゴシック"/>
        <sz val="10.0"/>
      </rPr>
      <t>藤井武美</t>
    </r>
    <r>
      <rPr>
        <rFont val="Arial"/>
        <sz val="10.0"/>
      </rPr>
      <t>)</t>
    </r>
    <r>
      <rPr>
        <rFont val="ＭＳ Ｐゴシック"/>
        <sz val="10.0"/>
      </rPr>
      <t>とアクセサリーショップを覗く父・篤史（木下隆行）の姿を目撃してしまい</t>
    </r>
    <r>
      <rPr>
        <rFont val="Arial"/>
        <sz val="10.0"/>
      </rPr>
      <t>…</t>
    </r>
  </si>
  <si>
    <t>あかり（内田理央）が謎の男の着信を受けてから数日、あかりの元に再び着信が入る。電話の男・鍋島剛（笠松将）はナマハゲチョップの正体と、もう一つの秘密“あかりの過去”を知る唯一の人物だった。  動揺しながらも、皆戸涼太（白洲迅）とデートへ出かけるあかり。そこで、迫滝（前田公輝）と仲睦まじく歩く母・緋奈子(高岡早紀)、鴇田(藤井武美)とアクセサリーショップを覗く父・篤史（木下隆行）の姿を目撃してしまい…</t>
  </si>
  <si>
    <t>番組名「向かいのバズる家族」第７話ついに決壊！ネットに晒された家族の真実</t>
  </si>
  <si>
    <r>
      <rPr>
        <rFont val="ＭＳ Ｐゴシック"/>
        <sz val="10.0"/>
      </rPr>
      <t>長女・あかり</t>
    </r>
    <r>
      <rPr>
        <rFont val="Arial"/>
        <sz val="10.0"/>
      </rPr>
      <t>(</t>
    </r>
    <r>
      <rPr>
        <rFont val="ＭＳ Ｐゴシック"/>
        <sz val="10.0"/>
      </rPr>
      <t>内田理央</t>
    </r>
    <r>
      <rPr>
        <rFont val="Arial"/>
        <sz val="10.0"/>
      </rPr>
      <t>)</t>
    </r>
    <r>
      <rPr>
        <rFont val="ＭＳ Ｐゴシック"/>
        <sz val="10.0"/>
      </rPr>
      <t>、母・緋奈子</t>
    </r>
    <r>
      <rPr>
        <rFont val="Arial"/>
        <sz val="10.0"/>
      </rPr>
      <t>(</t>
    </r>
    <r>
      <rPr>
        <rFont val="ＭＳ Ｐゴシック"/>
        <sz val="10.0"/>
      </rPr>
      <t>高岡早紀</t>
    </r>
    <r>
      <rPr>
        <rFont val="Arial"/>
        <sz val="10.0"/>
      </rPr>
      <t>)</t>
    </r>
    <r>
      <rPr>
        <rFont val="ＭＳ Ｐゴシック"/>
        <sz val="10.0"/>
      </rPr>
      <t>、弟・薪人</t>
    </r>
    <r>
      <rPr>
        <rFont val="Arial"/>
        <sz val="10.0"/>
      </rPr>
      <t>(</t>
    </r>
    <r>
      <rPr>
        <rFont val="ＭＳ Ｐゴシック"/>
        <sz val="10.0"/>
      </rPr>
      <t>那智</t>
    </r>
    <r>
      <rPr>
        <rFont val="Arial"/>
        <sz val="10.0"/>
      </rPr>
      <t>)</t>
    </r>
    <r>
      <rPr>
        <rFont val="ＭＳ Ｐゴシック"/>
        <sz val="10.0"/>
      </rPr>
      <t>が父・篤史</t>
    </r>
    <r>
      <rPr>
        <rFont val="Arial"/>
        <sz val="10.0"/>
      </rPr>
      <t>(</t>
    </r>
    <r>
      <rPr>
        <rFont val="ＭＳ Ｐゴシック"/>
        <sz val="10.0"/>
      </rPr>
      <t>木下隆行</t>
    </r>
    <r>
      <rPr>
        <rFont val="Arial"/>
        <sz val="10.0"/>
      </rPr>
      <t>)</t>
    </r>
    <r>
      <rPr>
        <rFont val="ＭＳ Ｐゴシック"/>
        <sz val="10.0"/>
      </rPr>
      <t>の秘密を見てしまってから一夜、緊迫した空気の篝（かがり）家。そんな折、緋奈子の動画と、篤史がプロデューサーを務める『少年スナイパー</t>
    </r>
    <r>
      <rPr>
        <rFont val="Arial"/>
        <sz val="10.0"/>
      </rPr>
      <t xml:space="preserve"> </t>
    </r>
    <r>
      <rPr>
        <rFont val="ＭＳ Ｐゴシック"/>
        <sz val="10.0"/>
      </rPr>
      <t>新平！』がバズり始め、さらに、あかりと緋奈子、篤史が親子であり、篝一家が</t>
    </r>
    <r>
      <rPr>
        <rFont val="Arial"/>
        <sz val="10.0"/>
      </rPr>
      <t>“</t>
    </r>
    <r>
      <rPr>
        <rFont val="ＭＳ Ｐゴシック"/>
        <sz val="10.0"/>
      </rPr>
      <t>バズる家族</t>
    </r>
    <r>
      <rPr>
        <rFont val="Arial"/>
        <sz val="10.0"/>
      </rPr>
      <t>”</t>
    </r>
    <r>
      <rPr>
        <rFont val="ＭＳ Ｐゴシック"/>
        <sz val="10.0"/>
      </rPr>
      <t>だとネットで噂に。</t>
    </r>
    <r>
      <rPr>
        <rFont val="Arial"/>
        <sz val="10.0"/>
      </rPr>
      <t xml:space="preserve">  </t>
    </r>
    <r>
      <rPr>
        <rFont val="ＭＳ Ｐゴシック"/>
        <sz val="10.0"/>
      </rPr>
      <t>いつしか、恋人・皆戸涼太（白洲迅）の前でさえ、あかりの笑顔は消えていて</t>
    </r>
    <r>
      <rPr>
        <rFont val="Arial"/>
        <sz val="10.0"/>
      </rPr>
      <t>…</t>
    </r>
  </si>
  <si>
    <t>長女・あかり(内田理央)、母・緋奈子(高岡早紀)、弟・薪人(那智)が父・篤史(木下隆行)の秘密を見てしまってから一夜、緊迫した空気の篝（かがり）家。そんな折、緋奈子の動画と、篤史がプロデューサーを務める『少年スナイパー 新平！』がバズり始め、さらに、あかりと緋奈子、篤史が親子であり、篝一家が“バズる家族”だとネットで噂に。  いつしか、恋人・皆戸涼太（白洲迅）の前でさえ、あかりの笑顔は消えていて…</t>
  </si>
  <si>
    <t>番組名「向かいのバズる家族」爆発する家族！崩壊へのカウントダウン！涙の叫び</t>
  </si>
  <si>
    <r>
      <rPr>
        <rFont val="ＭＳ Ｐゴシック"/>
        <sz val="10.0"/>
      </rPr>
      <t>篝（かがり）家は、ついに</t>
    </r>
    <r>
      <rPr>
        <rFont val="Arial"/>
        <sz val="10.0"/>
      </rPr>
      <t>“</t>
    </r>
    <r>
      <rPr>
        <rFont val="ＭＳ Ｐゴシック"/>
        <sz val="10.0"/>
      </rPr>
      <t>バズる家族</t>
    </r>
    <r>
      <rPr>
        <rFont val="Arial"/>
        <sz val="10.0"/>
      </rPr>
      <t>”</t>
    </r>
    <r>
      <rPr>
        <rFont val="ＭＳ Ｐゴシック"/>
        <sz val="10.0"/>
      </rPr>
      <t>になってしまった。</t>
    </r>
    <r>
      <rPr>
        <rFont val="Arial"/>
        <sz val="10.0"/>
      </rPr>
      <t xml:space="preserve">  </t>
    </r>
    <r>
      <rPr>
        <rFont val="ＭＳ Ｐゴシック"/>
        <sz val="10.0"/>
      </rPr>
      <t>もう幸せなフリをして笑っていたくない</t>
    </r>
    <r>
      <rPr>
        <rFont val="Arial"/>
        <sz val="10.0"/>
      </rPr>
      <t>…</t>
    </r>
    <r>
      <rPr>
        <rFont val="ＭＳ Ｐゴシック"/>
        <sz val="10.0"/>
      </rPr>
      <t>長女・あかり（内田理央）はお互いと向き合うために家族会議を開く。</t>
    </r>
    <r>
      <rPr>
        <rFont val="Arial"/>
        <sz val="10.0"/>
      </rPr>
      <t xml:space="preserve">  </t>
    </r>
    <r>
      <rPr>
        <rFont val="ＭＳ Ｐゴシック"/>
        <sz val="10.0"/>
      </rPr>
      <t>会議に関心がない父・篤史</t>
    </r>
    <r>
      <rPr>
        <rFont val="Arial"/>
        <sz val="10.0"/>
      </rPr>
      <t>(</t>
    </r>
    <r>
      <rPr>
        <rFont val="ＭＳ Ｐゴシック"/>
        <sz val="10.0"/>
      </rPr>
      <t>木下隆行</t>
    </r>
    <r>
      <rPr>
        <rFont val="Arial"/>
        <sz val="10.0"/>
      </rPr>
      <t>)</t>
    </r>
    <r>
      <rPr>
        <rFont val="ＭＳ Ｐゴシック"/>
        <sz val="10.0"/>
      </rPr>
      <t>、母・緋奈子</t>
    </r>
    <r>
      <rPr>
        <rFont val="Arial"/>
        <sz val="10.0"/>
      </rPr>
      <t>(</t>
    </r>
    <r>
      <rPr>
        <rFont val="ＭＳ Ｐゴシック"/>
        <sz val="10.0"/>
      </rPr>
      <t>高岡早紀</t>
    </r>
    <r>
      <rPr>
        <rFont val="Arial"/>
        <sz val="10.0"/>
      </rPr>
      <t>)</t>
    </r>
    <r>
      <rPr>
        <rFont val="ＭＳ Ｐゴシック"/>
        <sz val="10.0"/>
      </rPr>
      <t>、弟・薪人</t>
    </r>
    <r>
      <rPr>
        <rFont val="Arial"/>
        <sz val="10.0"/>
      </rPr>
      <t>(</t>
    </r>
    <r>
      <rPr>
        <rFont val="ＭＳ Ｐゴシック"/>
        <sz val="10.0"/>
      </rPr>
      <t>那智</t>
    </r>
    <r>
      <rPr>
        <rFont val="Arial"/>
        <sz val="10.0"/>
      </rPr>
      <t>)</t>
    </r>
    <r>
      <rPr>
        <rFont val="ＭＳ Ｐゴシック"/>
        <sz val="10.0"/>
      </rPr>
      <t>だったが、そこで明らかになった</t>
    </r>
    <r>
      <rPr>
        <rFont val="Arial"/>
        <sz val="10.0"/>
      </rPr>
      <t>“</t>
    </r>
    <r>
      <rPr>
        <rFont val="ＭＳ Ｐゴシック"/>
        <sz val="10.0"/>
      </rPr>
      <t>ある事実</t>
    </r>
    <r>
      <rPr>
        <rFont val="Arial"/>
        <sz val="10.0"/>
      </rPr>
      <t>”</t>
    </r>
    <r>
      <rPr>
        <rFont val="ＭＳ Ｐゴシック"/>
        <sz val="10.0"/>
      </rPr>
      <t>から次第に火がつき</t>
    </r>
    <r>
      <rPr>
        <rFont val="Arial"/>
        <sz val="10.0"/>
      </rPr>
      <t>…</t>
    </r>
    <r>
      <rPr>
        <rFont val="ＭＳ Ｐゴシック"/>
        <sz val="10.0"/>
      </rPr>
      <t>。</t>
    </r>
    <r>
      <rPr>
        <rFont val="Arial"/>
        <sz val="10.0"/>
      </rPr>
      <t xml:space="preserve">  </t>
    </r>
    <r>
      <rPr>
        <rFont val="ＭＳ Ｐゴシック"/>
        <sz val="10.0"/>
      </rPr>
      <t>やがて浮き彫りになる</t>
    </r>
    <r>
      <rPr>
        <rFont val="Arial"/>
        <sz val="10.0"/>
      </rPr>
      <t>“</t>
    </r>
    <r>
      <rPr>
        <rFont val="ＭＳ Ｐゴシック"/>
        <sz val="10.0"/>
      </rPr>
      <t>バズる家族</t>
    </r>
    <r>
      <rPr>
        <rFont val="Arial"/>
        <sz val="10.0"/>
      </rPr>
      <t>”</t>
    </r>
    <r>
      <rPr>
        <rFont val="ＭＳ Ｐゴシック"/>
        <sz val="10.0"/>
      </rPr>
      <t>の本当の姿</t>
    </r>
    <r>
      <rPr>
        <rFont val="Arial"/>
        <sz val="10.0"/>
      </rPr>
      <t>…</t>
    </r>
    <r>
      <rPr>
        <rFont val="ＭＳ Ｐゴシック"/>
        <sz val="10.0"/>
      </rPr>
      <t>壮絶なバトルの末、篝家がたどり着いた結論とは</t>
    </r>
    <r>
      <rPr>
        <rFont val="Arial"/>
        <sz val="10.0"/>
      </rPr>
      <t>!?</t>
    </r>
  </si>
  <si>
    <t>篝（かがり）家は、ついに“バズる家族”になってしまった。  もう幸せなフリをして笑っていたくない…長女・あかり（内田理央）はお互いと向き合うために家族会議を開く。  会議に関心がない父・篤史(木下隆行)、母・緋奈子(高岡早紀)、弟・薪人(那智)だったが、そこで明らかになった“ある事実”から次第に火がつき…。  やがて浮き彫りになる“バズる家族”の本当の姿…壮絶なバトルの末、篝家がたどり着いた結論とは!?</t>
  </si>
  <si>
    <t>番組名「向かいのバズる家族」家族解散、まさかの日常！顔の見えない誰かとの恋?</t>
  </si>
  <si>
    <r>
      <rPr>
        <rFont val="ＭＳ Ｐゴシック"/>
        <sz val="10.0"/>
      </rPr>
      <t>篝（かがり）家の</t>
    </r>
    <r>
      <rPr>
        <rFont val="Arial"/>
        <sz val="10.0"/>
      </rPr>
      <t>“</t>
    </r>
    <r>
      <rPr>
        <rFont val="ＭＳ Ｐゴシック"/>
        <sz val="10.0"/>
      </rPr>
      <t>解散宣言</t>
    </r>
    <r>
      <rPr>
        <rFont val="Arial"/>
        <sz val="10.0"/>
      </rPr>
      <t>”</t>
    </r>
    <r>
      <rPr>
        <rFont val="ＭＳ Ｐゴシック"/>
        <sz val="10.0"/>
      </rPr>
      <t>から一夜明け、ネットカフェに寝泊まりする長女・あかり（内田理央）は、家族の解散を祖父・清史（小野武彦）に打ち明けられずにいた。</t>
    </r>
    <r>
      <rPr>
        <rFont val="Arial"/>
        <sz val="10.0"/>
      </rPr>
      <t xml:space="preserve">  </t>
    </r>
    <r>
      <rPr>
        <rFont val="ＭＳ Ｐゴシック"/>
        <sz val="10.0"/>
      </rPr>
      <t>そんな中、あかりの全てを知ろうとする恋人・涼太（白洲迅）を拒絶してしまう。その一方で、幼き日の初恋を彷彿させる『トゥナイトスター』からのメッセージに、あかりは惹かれていく。はたしてあかりが選ぶのは、涼太か、未だ姿もわからぬ『トゥナイトスター』か</t>
    </r>
    <r>
      <rPr>
        <rFont val="Arial"/>
        <sz val="10.0"/>
      </rPr>
      <t>…</t>
    </r>
  </si>
  <si>
    <t>篝（かがり）家の“解散宣言”から一夜明け、ネットカフェに寝泊まりする長女・あかり（内田理央）は、家族の解散を祖父・清史（小野武彦）に打ち明けられずにいた。  そんな中、あかりの全てを知ろうとする恋人・涼太（白洲迅）を拒絶してしまう。その一方で、幼き日の初恋を彷彿させる『トゥナイトスター』からのメッセージに、あかりは惹かれていく。はたしてあかりが選ぶのは、涼太か、未だ姿もわからぬ『トゥナイトスター』か…</t>
  </si>
  <si>
    <t>番組名「向かいのバズる家族」最終話！家族の愛とは？謎のアカウントの正体明らかに</t>
  </si>
  <si>
    <r>
      <rPr>
        <rFont val="ＭＳ Ｐゴシック"/>
        <sz val="10.0"/>
      </rPr>
      <t>篝（かがり）家の長女・あかり（内田理央）は、カフェ「コロナ」で会う約束をした</t>
    </r>
    <r>
      <rPr>
        <rFont val="Arial"/>
        <sz val="10.0"/>
      </rPr>
      <t>“</t>
    </r>
    <r>
      <rPr>
        <rFont val="ＭＳ Ｐゴシック"/>
        <sz val="10.0"/>
      </rPr>
      <t>トゥナイトスター</t>
    </r>
    <r>
      <rPr>
        <rFont val="Arial"/>
        <sz val="10.0"/>
      </rPr>
      <t>”</t>
    </r>
    <r>
      <rPr>
        <rFont val="ＭＳ Ｐゴシック"/>
        <sz val="10.0"/>
      </rPr>
      <t>が現れる時を今か今かと待っていた。その正体は予想もしてなかった人物で</t>
    </r>
    <r>
      <rPr>
        <rFont val="Arial"/>
        <sz val="10.0"/>
      </rPr>
      <t xml:space="preserve">…!?  </t>
    </r>
    <r>
      <rPr>
        <rFont val="ＭＳ Ｐゴシック"/>
        <sz val="10.0"/>
      </rPr>
      <t>その夜、空っぽの篝邸に戻ったあかりは</t>
    </r>
    <r>
      <rPr>
        <rFont val="Arial"/>
        <sz val="10.0"/>
      </rPr>
      <t>SNS</t>
    </r>
    <r>
      <rPr>
        <rFont val="ＭＳ Ｐゴシック"/>
        <sz val="10.0"/>
      </rPr>
      <t>に一枚の写真をアップする。投稿を目にした緋奈子</t>
    </r>
    <r>
      <rPr>
        <rFont val="Arial"/>
        <sz val="10.0"/>
      </rPr>
      <t>(</t>
    </r>
    <r>
      <rPr>
        <rFont val="ＭＳ Ｐゴシック"/>
        <sz val="10.0"/>
      </rPr>
      <t>高岡早紀</t>
    </r>
    <r>
      <rPr>
        <rFont val="Arial"/>
        <sz val="10.0"/>
      </rPr>
      <t>)</t>
    </r>
    <r>
      <rPr>
        <rFont val="ＭＳ Ｐゴシック"/>
        <sz val="10.0"/>
      </rPr>
      <t>、篤史</t>
    </r>
    <r>
      <rPr>
        <rFont val="Arial"/>
        <sz val="10.0"/>
      </rPr>
      <t>(</t>
    </r>
    <r>
      <rPr>
        <rFont val="ＭＳ Ｐゴシック"/>
        <sz val="10.0"/>
      </rPr>
      <t>木下隆行</t>
    </r>
    <r>
      <rPr>
        <rFont val="Arial"/>
        <sz val="10.0"/>
      </rPr>
      <t>)</t>
    </r>
    <r>
      <rPr>
        <rFont val="ＭＳ Ｐゴシック"/>
        <sz val="10.0"/>
      </rPr>
      <t>、薪人</t>
    </r>
    <r>
      <rPr>
        <rFont val="Arial"/>
        <sz val="10.0"/>
      </rPr>
      <t>(</t>
    </r>
    <r>
      <rPr>
        <rFont val="ＭＳ Ｐゴシック"/>
        <sz val="10.0"/>
      </rPr>
      <t>那智</t>
    </r>
    <r>
      <rPr>
        <rFont val="Arial"/>
        <sz val="10.0"/>
      </rPr>
      <t>)</t>
    </r>
    <r>
      <rPr>
        <rFont val="ＭＳ Ｐゴシック"/>
        <sz val="10.0"/>
      </rPr>
      <t>は、あかりが写真に込めたメッセージに気がついて</t>
    </r>
    <r>
      <rPr>
        <rFont val="Arial"/>
        <sz val="10.0"/>
      </rPr>
      <t>…</t>
    </r>
    <r>
      <rPr>
        <rFont val="ＭＳ Ｐゴシック"/>
        <sz val="10.0"/>
      </rPr>
      <t>。今宵、</t>
    </r>
    <r>
      <rPr>
        <rFont val="Arial"/>
        <sz val="10.0"/>
      </rPr>
      <t>“</t>
    </r>
    <r>
      <rPr>
        <rFont val="ＭＳ Ｐゴシック"/>
        <sz val="10.0"/>
      </rPr>
      <t>バズる家族</t>
    </r>
    <r>
      <rPr>
        <rFont val="Arial"/>
        <sz val="10.0"/>
      </rPr>
      <t>”</t>
    </r>
    <r>
      <rPr>
        <rFont val="ＭＳ Ｐゴシック"/>
        <sz val="10.0"/>
      </rPr>
      <t>一世一代の生配信が始まるー</t>
    </r>
  </si>
  <si>
    <t>篝（かがり）家の長女・あかり（内田理央）は、カフェ「コロナ」で会う約束をした“トゥナイトスター”が現れる時を今か今かと待っていた。その正体は予想もしてなかった人物で…!?  その夜、空っぽの篝邸に戻ったあかりはSNSに一枚の写真をアップする。投稿を目にした緋奈子(高岡早紀)、篤史(木下隆行)、薪人(那智)は、あかりが写真に込めたメッセージに気がついて…。今宵、“バズる家族”一世一代の生配信が始まるー</t>
  </si>
  <si>
    <t>1904_NTV_土22</t>
  </si>
  <si>
    <t>俺のスカート、どこ行った？</t>
  </si>
  <si>
    <t>番組名俺のスカート、どこ行った?#1</t>
  </si>
  <si>
    <r>
      <rPr>
        <rFont val="ＭＳ Ｐゴシック"/>
        <sz val="10.0"/>
      </rPr>
      <t>ゲイで女装家の高校教師・原田のぶお</t>
    </r>
    <r>
      <rPr>
        <rFont val="Arial"/>
        <sz val="10.0"/>
      </rPr>
      <t>52</t>
    </r>
    <r>
      <rPr>
        <rFont val="ＭＳ Ｐゴシック"/>
        <sz val="10.0"/>
      </rPr>
      <t>歳が繰り広げる涙＋涙（笑）の学園ドラマ！「恋してやろうか、この野郎」赴任早々衝撃の発言で生徒たちのリア充的学園生活に降臨した原田のぶお（古田新太）。校長（いとうせいこう）に呼ばれてきた原田に、長井</t>
    </r>
    <r>
      <rPr>
        <rFont val="Arial"/>
        <sz val="10.0"/>
      </rPr>
      <t>(</t>
    </r>
    <r>
      <rPr>
        <rFont val="ＭＳ Ｐゴシック"/>
        <sz val="10.0"/>
      </rPr>
      <t>松下奈緒</t>
    </r>
    <r>
      <rPr>
        <rFont val="Arial"/>
        <sz val="10.0"/>
      </rPr>
      <t>)</t>
    </r>
    <r>
      <rPr>
        <rFont val="ＭＳ Ｐゴシック"/>
        <sz val="10.0"/>
      </rPr>
      <t>、里見</t>
    </r>
    <r>
      <rPr>
        <rFont val="Arial"/>
        <sz val="10.0"/>
      </rPr>
      <t>(</t>
    </r>
    <r>
      <rPr>
        <rFont val="ＭＳ Ｐゴシック"/>
        <sz val="10.0"/>
      </rPr>
      <t>白石麻衣</t>
    </r>
    <r>
      <rPr>
        <rFont val="Arial"/>
        <sz val="10.0"/>
      </rPr>
      <t>)</t>
    </r>
    <r>
      <rPr>
        <rFont val="ＭＳ Ｐゴシック"/>
        <sz val="10.0"/>
      </rPr>
      <t>ら先生陣も驚きを隠せない。クラスの生徒・明智</t>
    </r>
    <r>
      <rPr>
        <rFont val="Arial"/>
        <sz val="10.0"/>
      </rPr>
      <t>(</t>
    </r>
    <r>
      <rPr>
        <rFont val="ＭＳ Ｐゴシック"/>
        <sz val="10.0"/>
      </rPr>
      <t>永瀬廉</t>
    </r>
    <r>
      <rPr>
        <rFont val="Arial"/>
        <sz val="10.0"/>
      </rPr>
      <t>)</t>
    </r>
    <r>
      <rPr>
        <rFont val="ＭＳ Ｐゴシック"/>
        <sz val="10.0"/>
      </rPr>
      <t>、東条</t>
    </r>
    <r>
      <rPr>
        <rFont val="Arial"/>
        <sz val="10.0"/>
      </rPr>
      <t>(</t>
    </r>
    <r>
      <rPr>
        <rFont val="ＭＳ Ｐゴシック"/>
        <sz val="10.0"/>
      </rPr>
      <t>道枝駿佑</t>
    </r>
    <r>
      <rPr>
        <rFont val="Arial"/>
        <sz val="10.0"/>
      </rPr>
      <t>)</t>
    </r>
    <r>
      <rPr>
        <rFont val="ＭＳ Ｐゴシック"/>
        <sz val="10.0"/>
      </rPr>
      <t>は原田を辞めさせようと若林（長尾謙杜）を使った作戦をたてるが</t>
    </r>
    <r>
      <rPr>
        <rFont val="Arial"/>
        <sz val="10.0"/>
      </rPr>
      <t>…</t>
    </r>
    <r>
      <rPr>
        <rFont val="ＭＳ Ｐゴシック"/>
        <sz val="10.0"/>
      </rPr>
      <t>。</t>
    </r>
  </si>
  <si>
    <t>ゲイで女装家の高校教師・原田のぶお52歳が繰り広げる涙＋涙（笑）の学園ドラマ！「恋してやろうか、この野郎」赴任早々衝撃の発言で生徒たちのリア充的学園生活に降臨した原田のぶお（古田新太）。校長（いとうせいこう）に呼ばれてきた原田に、長井(松下奈緒)、里見(白石麻衣)ら先生陣も驚きを隠せない。クラスの生徒・明智(永瀬廉)、東条(道枝駿佑)は原田を辞めさせようと若林（長尾謙杜）を使った作戦をたてるが…。</t>
  </si>
  <si>
    <t>番組名俺のスカート、どこ行った?#02</t>
  </si>
  <si>
    <r>
      <rPr>
        <rFont val="ＭＳ Ｐゴシック"/>
        <sz val="10.0"/>
      </rPr>
      <t>他ゲイで女装家の高校教師・原田のぶお</t>
    </r>
    <r>
      <rPr>
        <rFont val="Arial"/>
        <sz val="10.0"/>
      </rPr>
      <t>52</t>
    </r>
    <r>
      <rPr>
        <rFont val="ＭＳ Ｐゴシック"/>
        <sz val="10.0"/>
      </rPr>
      <t>歳が繰り広げる涙＋涙（笑）の学園ドラマ！赴任早々校門をぶち壊したりと生徒たちのリア充的学園生活に衝撃を与え続ける原田（古田新太）がチアダンス部の顧問を担当することに。「チアダンスに男も女もない！」といいつつ練習の長さにブラック部活だと毒づく原田。ある日、チア部員川崎（高橋ひかる）のケガが原因で長井（松下奈緒）に部活休止を命じられた原田は秘策を思いつく</t>
    </r>
    <r>
      <rPr>
        <rFont val="Arial"/>
        <sz val="10.0"/>
      </rPr>
      <t>…</t>
    </r>
    <r>
      <rPr>
        <rFont val="ＭＳ Ｐゴシック"/>
        <sz val="10.0"/>
      </rPr>
      <t>。</t>
    </r>
  </si>
  <si>
    <t>他ゲイで女装家の高校教師・原田のぶお52歳が繰り広げる涙＋涙（笑）の学園ドラマ！赴任早々校門をぶち壊したりと生徒たちのリア充的学園生活に衝撃を与え続ける原田（古田新太）がチアダンス部の顧問を担当することに。「チアダンスに男も女もない！」といいつつ練習の長さにブラック部活だと毒づく原田。ある日、チア部員川崎（高橋ひかる）のケガが原因で長井（松下奈緒）に部活休止を命じられた原田は秘策を思いつく…。</t>
  </si>
  <si>
    <t>番組名俺のスカート、どこ行った?#03</t>
  </si>
  <si>
    <r>
      <rPr>
        <rFont val="ＭＳ Ｐゴシック"/>
        <sz val="10.0"/>
      </rPr>
      <t>明智（永瀬廉）ら</t>
    </r>
    <r>
      <rPr>
        <rFont val="Arial"/>
        <sz val="10.0"/>
      </rPr>
      <t>2</t>
    </r>
    <r>
      <rPr>
        <rFont val="ＭＳ Ｐゴシック"/>
        <sz val="10.0"/>
      </rPr>
      <t>年</t>
    </r>
    <r>
      <rPr>
        <rFont val="Arial"/>
        <sz val="10.0"/>
      </rPr>
      <t>3</t>
    </r>
    <r>
      <rPr>
        <rFont val="ＭＳ Ｐゴシック"/>
        <sz val="10.0"/>
      </rPr>
      <t>組のリア充学園生活に波風たてまくりの原田のぶお（古田新太）はテストを前に、赤点を取られると補習が面倒と張り切って授業をする日々。そんな中、不登校だった光岡（阿久津仁愛）が、テスト当日原田の前に初めて登校した。光岡は幼い弟妹（鈴木楽・誉）の面倒を母（須藤理彩）に代わって看ており大学に行きたい気持ちはありつつ学校が面倒になっていたのだ。そんな中、光岡のカンニング騒動が起きて</t>
    </r>
    <r>
      <rPr>
        <rFont val="Arial"/>
        <sz val="10.0"/>
      </rPr>
      <t>…</t>
    </r>
    <r>
      <rPr>
        <rFont val="ＭＳ Ｐゴシック"/>
        <sz val="10.0"/>
      </rPr>
      <t>。</t>
    </r>
  </si>
  <si>
    <t>明智（永瀬廉）ら2年3組のリア充学園生活に波風たてまくりの原田のぶお（古田新太）はテストを前に、赤点を取られると補習が面倒と張り切って授業をする日々。そんな中、不登校だった光岡（阿久津仁愛）が、テスト当日原田の前に初めて登校した。光岡は幼い弟妹（鈴木楽・誉）の面倒を母（須藤理彩）に代わって看ており大学に行きたい気持ちはありつつ学校が面倒になっていたのだ。そんな中、光岡のカンニング騒動が起きて…。</t>
  </si>
  <si>
    <t>番組名俺のスカート、どこ行った?#04</t>
  </si>
  <si>
    <r>
      <t>2</t>
    </r>
    <r>
      <rPr>
        <rFont val="ＭＳ Ｐゴシック"/>
        <sz val="10.0"/>
      </rPr>
      <t>年</t>
    </r>
    <r>
      <rPr>
        <rFont val="Arial"/>
        <sz val="10.0"/>
      </rPr>
      <t>3</t>
    </r>
    <r>
      <rPr>
        <rFont val="ＭＳ Ｐゴシック"/>
        <sz val="10.0"/>
      </rPr>
      <t>組のリア充学園生活に波風たてまくりの原田のぶお（古田新太）だが、若林（長尾謙杜）ら一部の生徒達はその存在に慣れてきたようだ。しかし、東条（道枝駿佑）はのぶおが来てから明智（永瀬廉）とギクシャクした関係が続いていた。そんな中、クラスは校長（いとうせいこう）のダイバーシティ教育の一環で職業体験に行くことになり、のぶおが引率する東条・若林らの班は探偵事務所を体験することになってしまう</t>
    </r>
    <r>
      <rPr>
        <rFont val="Arial"/>
        <sz val="10.0"/>
      </rPr>
      <t>…</t>
    </r>
    <r>
      <rPr>
        <rFont val="ＭＳ Ｐゴシック"/>
        <sz val="10.0"/>
      </rPr>
      <t>。</t>
    </r>
  </si>
  <si>
    <t>2年3組のリア充学園生活に波風たてまくりの原田のぶお（古田新太）だが、若林（長尾謙杜）ら一部の生徒達はその存在に慣れてきたようだ。しかし、東条（道枝駿佑）はのぶおが来てから明智（永瀬廉）とギクシャクした関係が続いていた。そんな中、クラスは校長（いとうせいこう）のダイバーシティ教育の一環で職業体験に行くことになり、のぶおが引率する東条・若林らの班は探偵事務所を体験することになってしまう…。</t>
  </si>
  <si>
    <t>番組名俺のスカート、どこ行った?#05</t>
  </si>
  <si>
    <r>
      <rPr>
        <rFont val="ＭＳ Ｐゴシック"/>
        <sz val="10.0"/>
      </rPr>
      <t>他</t>
    </r>
    <r>
      <rPr>
        <rFont val="Arial"/>
        <sz val="10.0"/>
      </rPr>
      <t>2</t>
    </r>
    <r>
      <rPr>
        <rFont val="ＭＳ Ｐゴシック"/>
        <sz val="10.0"/>
      </rPr>
      <t>年</t>
    </r>
    <r>
      <rPr>
        <rFont val="Arial"/>
        <sz val="10.0"/>
      </rPr>
      <t>3</t>
    </r>
    <r>
      <rPr>
        <rFont val="ＭＳ Ｐゴシック"/>
        <sz val="10.0"/>
      </rPr>
      <t>組のリア充学園生活になんだか馴染んできた原田のぶお</t>
    </r>
    <r>
      <rPr>
        <rFont val="Arial"/>
        <sz val="10.0"/>
      </rPr>
      <t>(</t>
    </r>
    <r>
      <rPr>
        <rFont val="ＭＳ Ｐゴシック"/>
        <sz val="10.0"/>
      </rPr>
      <t>古田新太</t>
    </r>
    <r>
      <rPr>
        <rFont val="Arial"/>
        <sz val="10.0"/>
      </rPr>
      <t>)</t>
    </r>
    <r>
      <rPr>
        <rFont val="ＭＳ Ｐゴシック"/>
        <sz val="10.0"/>
      </rPr>
      <t>。明智</t>
    </r>
    <r>
      <rPr>
        <rFont val="Arial"/>
        <sz val="10.0"/>
      </rPr>
      <t>(</t>
    </r>
    <r>
      <rPr>
        <rFont val="ＭＳ Ｐゴシック"/>
        <sz val="10.0"/>
      </rPr>
      <t>永瀬廉</t>
    </r>
    <r>
      <rPr>
        <rFont val="Arial"/>
        <sz val="10.0"/>
      </rPr>
      <t>)</t>
    </r>
    <r>
      <rPr>
        <rFont val="ＭＳ Ｐゴシック"/>
        <sz val="10.0"/>
      </rPr>
      <t>はまだのぶおを辞めさせる賭けを続けていると言うが、クラスはヘンテコな担任を受け入れつつあった。ある日、若林（長尾謙杜）が</t>
    </r>
    <r>
      <rPr>
        <rFont val="Arial"/>
        <sz val="10.0"/>
      </rPr>
      <t>”</t>
    </r>
    <r>
      <rPr>
        <rFont val="ＭＳ Ｐゴシック"/>
        <sz val="10.0"/>
      </rPr>
      <t>恋の病</t>
    </r>
    <r>
      <rPr>
        <rFont val="Arial"/>
        <sz val="10.0"/>
      </rPr>
      <t>”</t>
    </r>
    <r>
      <rPr>
        <rFont val="ＭＳ Ｐゴシック"/>
        <sz val="10.0"/>
      </rPr>
      <t>に落ちたと知り、のぶおはクラスメイトたちと「若林。をプロデュース」作戦をたてることに。和気あいあいと若林の事で盛り上がるのぶお達を見て、長井（松下奈緒）ののぶおを見る目も変わって来て</t>
    </r>
    <r>
      <rPr>
        <rFont val="Arial"/>
        <sz val="10.0"/>
      </rPr>
      <t>…</t>
    </r>
    <r>
      <rPr>
        <rFont val="ＭＳ Ｐゴシック"/>
        <sz val="10.0"/>
      </rPr>
      <t>。</t>
    </r>
  </si>
  <si>
    <t>他2年3組のリア充学園生活になんだか馴染んできた原田のぶお(古田新太)。明智(永瀬廉)はまだのぶおを辞めさせる賭けを続けていると言うが、クラスはヘンテコな担任を受け入れつつあった。ある日、若林（長尾謙杜）が”恋の病”に落ちたと知り、のぶおはクラスメイトたちと「若林。をプロデュース」作戦をたてることに。和気あいあいと若林の事で盛り上がるのぶお達を見て、長井（松下奈緒）ののぶおを見る目も変わって来て…。</t>
  </si>
  <si>
    <t>番組名俺のスカート、どこ行った?#06</t>
  </si>
  <si>
    <r>
      <t>2</t>
    </r>
    <r>
      <rPr>
        <rFont val="ＭＳ Ｐゴシック"/>
        <sz val="10.0"/>
      </rPr>
      <t>年</t>
    </r>
    <r>
      <rPr>
        <rFont val="Arial"/>
        <sz val="10.0"/>
      </rPr>
      <t>3</t>
    </r>
    <r>
      <rPr>
        <rFont val="ＭＳ Ｐゴシック"/>
        <sz val="10.0"/>
      </rPr>
      <t>組のリア充学園生活に受け入れられてきた原田のぶお</t>
    </r>
    <r>
      <rPr>
        <rFont val="Arial"/>
        <sz val="10.0"/>
      </rPr>
      <t>(</t>
    </r>
    <r>
      <rPr>
        <rFont val="ＭＳ Ｐゴシック"/>
        <sz val="10.0"/>
      </rPr>
      <t>古田新太</t>
    </r>
    <r>
      <rPr>
        <rFont val="Arial"/>
        <sz val="10.0"/>
      </rPr>
      <t>)</t>
    </r>
    <r>
      <rPr>
        <rFont val="ＭＳ Ｐゴシック"/>
        <sz val="10.0"/>
      </rPr>
      <t>。</t>
    </r>
    <r>
      <rPr>
        <rFont val="Arial"/>
        <sz val="10.0"/>
      </rPr>
      <t>2</t>
    </r>
    <r>
      <rPr>
        <rFont val="ＭＳ Ｐゴシック"/>
        <sz val="10.0"/>
      </rPr>
      <t>年生の進路説明会と授業参観が行われることになり、生徒たちは保護者が学校に来るということに浮足立つが、明智（永瀬廉）だけはその話題に加わろうとしない</t>
    </r>
    <r>
      <rPr>
        <rFont val="Arial"/>
        <sz val="10.0"/>
      </rPr>
      <t>…</t>
    </r>
    <r>
      <rPr>
        <rFont val="ＭＳ Ｐゴシック"/>
        <sz val="10.0"/>
      </rPr>
      <t>。そんな中、里見（白石麻衣）は親の決めたお見合いで結婚をし教師を辞めなければならないという岐路に立たされていた。オトナもコドモも関係ないのぶおの進路指導が始まる</t>
    </r>
    <r>
      <rPr>
        <rFont val="Arial"/>
        <sz val="10.0"/>
      </rPr>
      <t>!</t>
    </r>
  </si>
  <si>
    <t>2年3組のリア充学園生活に受け入れられてきた原田のぶお(古田新太)。2年生の進路説明会と授業参観が行われることになり、生徒たちは保護者が学校に来るということに浮足立つが、明智（永瀬廉）だけはその話題に加わろうとしない…。そんな中、里見（白石麻衣）は親の決めたお見合いで結婚をし教師を辞めなければならないという岐路に立たされていた。オトナもコドモも関係ないのぶおの進路指導が始まる!</t>
  </si>
  <si>
    <t>番組名俺のスカート、どこ行った?#07</t>
  </si>
  <si>
    <r>
      <rPr>
        <rFont val="ＭＳ Ｐゴシック"/>
        <sz val="10.0"/>
      </rPr>
      <t>原田のぶお（古田新太）と</t>
    </r>
    <r>
      <rPr>
        <rFont val="Arial"/>
        <sz val="10.0"/>
      </rPr>
      <t>2</t>
    </r>
    <r>
      <rPr>
        <rFont val="ＭＳ Ｐゴシック"/>
        <sz val="10.0"/>
      </rPr>
      <t>年</t>
    </r>
    <r>
      <rPr>
        <rFont val="Arial"/>
        <sz val="10.0"/>
      </rPr>
      <t>3</t>
    </r>
    <r>
      <rPr>
        <rFont val="ＭＳ Ｐゴシック"/>
        <sz val="10.0"/>
      </rPr>
      <t>組の学園生活が軌道に乗り始める中、明智（永瀬廉）が長井（松下奈緒）に退学届を提出。長井は明智の父親・純一（板尾創路）に事情を聞きに行き明智が家族の犠牲になっているのではと感じる。助ける術がわからない長井を見て、動き始めるのぶおの作戦には、当然のように東条（道枝駿佑）や若林（長尾謙杜）ら生徒達が巻き込まれるのだった！のぶおのトンデモ授業は明智を学校に取り戻せるのか</t>
    </r>
    <r>
      <rPr>
        <rFont val="Arial"/>
        <sz val="10.0"/>
      </rPr>
      <t>…!?</t>
    </r>
  </si>
  <si>
    <t>原田のぶお（古田新太）と2年3組の学園生活が軌道に乗り始める中、明智（永瀬廉）が長井（松下奈緒）に退学届を提出。長井は明智の父親・純一（板尾創路）に事情を聞きに行き明智が家族の犠牲になっているのではと感じる。助ける術がわからない長井を見て、動き始めるのぶおの作戦には、当然のように東条（道枝駿佑）や若林（長尾謙杜）ら生徒達が巻き込まれるのだった！のぶおのトンデモ授業は明智を学校に取り戻せるのか…!?</t>
  </si>
  <si>
    <t>番組名俺のスカート、どこ行った?#08</t>
  </si>
  <si>
    <r>
      <rPr>
        <rFont val="ＭＳ Ｐゴシック"/>
        <sz val="10.0"/>
      </rPr>
      <t>明智（永瀬廉）も学園生活に戻り原田のぶお（古田新太）と</t>
    </r>
    <r>
      <rPr>
        <rFont val="Arial"/>
        <sz val="10.0"/>
      </rPr>
      <t>2</t>
    </r>
    <r>
      <rPr>
        <rFont val="ＭＳ Ｐゴシック"/>
        <sz val="10.0"/>
      </rPr>
      <t>年</t>
    </r>
    <r>
      <rPr>
        <rFont val="Arial"/>
        <sz val="10.0"/>
      </rPr>
      <t>3</t>
    </r>
    <r>
      <rPr>
        <rFont val="ＭＳ Ｐゴシック"/>
        <sz val="10.0"/>
      </rPr>
      <t>組がついにまとまりを見せてきた。そんな中、生徒も先生も大はしゃぎの文化祭が開催される！学園は演劇、お化け屋敷と定番の出し物で盛り上がり、のぶおのクラスは若林（長尾謙杜）のアイデアで東条（道枝駿佑）をママにした「女装バー」が大盛況！しかし、のぶおが一番楽しみにしているのは、主張したい事を思い切り叫ぶメインイベント「青年の主張」だった</t>
    </r>
    <r>
      <rPr>
        <rFont val="Arial"/>
        <sz val="10.0"/>
      </rPr>
      <t>…</t>
    </r>
    <r>
      <rPr>
        <rFont val="ＭＳ Ｐゴシック"/>
        <sz val="10.0"/>
      </rPr>
      <t>。</t>
    </r>
  </si>
  <si>
    <t>明智（永瀬廉）も学園生活に戻り原田のぶお（古田新太）と2年3組がついにまとまりを見せてきた。そんな中、生徒も先生も大はしゃぎの文化祭が開催される！学園は演劇、お化け屋敷と定番の出し物で盛り上がり、のぶおのクラスは若林（長尾謙杜）のアイデアで東条（道枝駿佑）をママにした「女装バー」が大盛況！しかし、のぶおが一番楽しみにしているのは、主張したい事を思い切り叫ぶメインイベント「青年の主張」だった…。</t>
  </si>
  <si>
    <t>番組名俺のスカート、どこ行った?#09</t>
  </si>
  <si>
    <r>
      <rPr>
        <rFont val="ＭＳ Ｐゴシック"/>
        <sz val="10.0"/>
      </rPr>
      <t>原田のぶお（古田新太）の余命が少ないことを知った</t>
    </r>
    <r>
      <rPr>
        <rFont val="Arial"/>
        <sz val="10.0"/>
      </rPr>
      <t>2</t>
    </r>
    <r>
      <rPr>
        <rFont val="ＭＳ Ｐゴシック"/>
        <sz val="10.0"/>
      </rPr>
      <t>年</t>
    </r>
    <r>
      <rPr>
        <rFont val="Arial"/>
        <sz val="10.0"/>
      </rPr>
      <t>3</t>
    </r>
    <r>
      <rPr>
        <rFont val="ＭＳ Ｐゴシック"/>
        <sz val="10.0"/>
      </rPr>
      <t>組と学園のみんな。そんな中、矢野（小市慢太郎）が撮影したボクシング会場での、のぶおと明智（永瀬廉）の動画が「教師の暴力」としてアップされ、炎上し「ゲイの暴力教師を野放しにするな」と世間から非難を受けることに。辞職を迫られる校長（いとうせいこう）とのぶおのために、明智や東条（道枝駿佑）らは奔走、そして長井（松下奈緒）もついに立ちあがるのだった</t>
    </r>
    <r>
      <rPr>
        <rFont val="Arial"/>
        <sz val="10.0"/>
      </rPr>
      <t>!</t>
    </r>
  </si>
  <si>
    <t>原田のぶお（古田新太）の余命が少ないことを知った2年3組と学園のみんな。そんな中、矢野（小市慢太郎）が撮影したボクシング会場での、のぶおと明智（永瀬廉）の動画が「教師の暴力」としてアップされ、炎上し「ゲイの暴力教師を野放しにするな」と世間から非難を受けることに。辞職を迫られる校長（いとうせいこう）とのぶおのために、明智や東条（道枝駿佑）らは奔走、そして長井（松下奈緒）もついに立ちあがるのだった!</t>
  </si>
  <si>
    <t>番組名俺のスカート、どこ行った?#10</t>
  </si>
  <si>
    <r>
      <rPr>
        <rFont val="ＭＳ Ｐゴシック"/>
        <sz val="10.0"/>
      </rPr>
      <t>原田のぶお（古田新太）が学校を辞めた。残された</t>
    </r>
    <r>
      <rPr>
        <rFont val="Arial"/>
        <sz val="10.0"/>
      </rPr>
      <t>2</t>
    </r>
    <r>
      <rPr>
        <rFont val="ＭＳ Ｐゴシック"/>
        <sz val="10.0"/>
      </rPr>
      <t>年</t>
    </r>
    <r>
      <rPr>
        <rFont val="Arial"/>
        <sz val="10.0"/>
      </rPr>
      <t>3</t>
    </r>
    <r>
      <rPr>
        <rFont val="ＭＳ Ｐゴシック"/>
        <sz val="10.0"/>
      </rPr>
      <t>組と学園の先生たちは「のぶおっぽさ」を心の中に置いてけぼりにされて毎日を過ごすが、どこか物足りない。「死ぬ前にやりたいことがいっぱいある」というのぶおの言葉が頭に残る学園のみんな。明智（永瀬廉）は「死ぬ前じゃなくてもやりたいこと全部やっていいと思う」と、田中（桐山漣）の授業時間を使いのぶおの「やりたい」自分たちの</t>
    </r>
    <r>
      <rPr>
        <rFont val="Arial"/>
        <sz val="10.0"/>
      </rPr>
      <t>1</t>
    </r>
    <r>
      <rPr>
        <rFont val="ＭＳ Ｐゴシック"/>
        <sz val="10.0"/>
      </rPr>
      <t>年早い卒業式を開こうと提案する</t>
    </r>
    <r>
      <rPr>
        <rFont val="Arial"/>
        <sz val="10.0"/>
      </rPr>
      <t>!</t>
    </r>
  </si>
  <si>
    <t>原田のぶお（古田新太）が学校を辞めた。残された2年3組と学園の先生たちは「のぶおっぽさ」を心の中に置いてけぼりにされて毎日を過ごすが、どこか物足りない。「死ぬ前にやりたいことがいっぱいある」というのぶおの言葉が頭に残る学園のみんな。明智（永瀬廉）は「死ぬ前じゃなくてもやりたいこと全部やっていいと思う」と、田中（桐山漣）の授業時間を使いのぶおの「やりたい」自分たちの1年早い卒業式を開こうと提案する!</t>
  </si>
  <si>
    <t>1904_NTV_日22</t>
  </si>
  <si>
    <t>番組名あなたの番です#01</t>
  </si>
  <si>
    <r>
      <rPr>
        <rFont val="ＭＳ Ｐゴシック"/>
        <sz val="10.0"/>
      </rPr>
      <t>とあるマンションに引っ越してきた新婚夫婦の菜奈（原田）と翔太（田中）。新生活に胸を膨らませていた</t>
    </r>
    <r>
      <rPr>
        <rFont val="Arial"/>
        <sz val="10.0"/>
      </rPr>
      <t>2</t>
    </r>
    <r>
      <rPr>
        <rFont val="ＭＳ Ｐゴシック"/>
        <sz val="10.0"/>
      </rPr>
      <t>人だが、菜奈が参加した住民会で、ひょんなことから参加者が</t>
    </r>
    <r>
      <rPr>
        <rFont val="Arial"/>
        <sz val="10.0"/>
      </rPr>
      <t>“</t>
    </r>
    <r>
      <rPr>
        <rFont val="ＭＳ Ｐゴシック"/>
        <sz val="10.0"/>
      </rPr>
      <t>殺したい人</t>
    </r>
    <r>
      <rPr>
        <rFont val="Arial"/>
        <sz val="10.0"/>
      </rPr>
      <t>”</t>
    </r>
    <r>
      <rPr>
        <rFont val="ＭＳ Ｐゴシック"/>
        <sz val="10.0"/>
      </rPr>
      <t>の名前を紙に書いて、クジのように引いていく「交換殺人ゲーム」が行われる。それは、ただの憂さ晴らしのゲームだったはずだが</t>
    </r>
    <r>
      <rPr>
        <rFont val="Arial"/>
        <sz val="10.0"/>
      </rPr>
      <t>…!?</t>
    </r>
  </si>
  <si>
    <t>とあるマンションに引っ越してきた新婚夫婦の菜奈（原田）と翔太（田中）。新生活に胸を膨らませていた2人だが、菜奈が参加した住民会で、ひょんなことから参加者が“殺したい人”の名前を紙に書いて、クジのように引いていく「交換殺人ゲーム」が行われる。それは、ただの憂さ晴らしのゲームだったはずだが…!?</t>
  </si>
  <si>
    <t>番組名あなたの番です#02【ついに始まる交換殺人！次は誰が殺す番！？】</t>
  </si>
  <si>
    <r>
      <rPr>
        <rFont val="ＭＳ Ｐゴシック"/>
        <sz val="10.0"/>
      </rPr>
      <t>管理人の床島（竹中直人）が屋上から転落死した。マンションの掲示板には</t>
    </r>
    <r>
      <rPr>
        <rFont val="Arial"/>
        <sz val="10.0"/>
      </rPr>
      <t>“</t>
    </r>
    <r>
      <rPr>
        <rFont val="ＭＳ Ｐゴシック"/>
        <sz val="10.0"/>
      </rPr>
      <t>管理人さん</t>
    </r>
    <r>
      <rPr>
        <rFont val="Arial"/>
        <sz val="10.0"/>
      </rPr>
      <t>”</t>
    </r>
    <r>
      <rPr>
        <rFont val="ＭＳ Ｐゴシック"/>
        <sz val="10.0"/>
      </rPr>
      <t>と書かれた紙が</t>
    </r>
    <r>
      <rPr>
        <rFont val="Arial"/>
        <sz val="10.0"/>
      </rPr>
      <t>…</t>
    </r>
    <r>
      <rPr>
        <rFont val="ＭＳ Ｐゴシック"/>
        <sz val="10.0"/>
      </rPr>
      <t>。恐ろしい交換殺人ゲームの幕開けなのか</t>
    </r>
    <r>
      <rPr>
        <rFont val="Arial"/>
        <sz val="10.0"/>
      </rPr>
      <t xml:space="preserve">!?  </t>
    </r>
    <r>
      <rPr>
        <rFont val="ＭＳ Ｐゴシック"/>
        <sz val="10.0"/>
      </rPr>
      <t>翔太</t>
    </r>
    <r>
      <rPr>
        <rFont val="Arial"/>
        <sz val="10.0"/>
      </rPr>
      <t>(</t>
    </r>
    <r>
      <rPr>
        <rFont val="ＭＳ Ｐゴシック"/>
        <sz val="10.0"/>
      </rPr>
      <t>田中圭</t>
    </r>
    <r>
      <rPr>
        <rFont val="Arial"/>
        <sz val="10.0"/>
      </rPr>
      <t>)</t>
    </r>
    <r>
      <rPr>
        <rFont val="ＭＳ Ｐゴシック"/>
        <sz val="10.0"/>
      </rPr>
      <t>は、ショックで沈んでいる菜奈（原田知世）を気遣う。一方、ゲームのことを翔太に知られたくない菜奈。</t>
    </r>
    <r>
      <rPr>
        <rFont val="Arial"/>
        <sz val="10.0"/>
      </rPr>
      <t xml:space="preserve">  </t>
    </r>
    <r>
      <rPr>
        <rFont val="ＭＳ Ｐゴシック"/>
        <sz val="10.0"/>
      </rPr>
      <t>そんな中、臨時の住民会が開かれる。不安ながらも住民たちは「あのゲームは床島の死と関係ないはず」と言い聞かせるが、悲劇はこれで終わりではなかった</t>
    </r>
    <r>
      <rPr>
        <rFont val="Arial"/>
        <sz val="10.0"/>
      </rPr>
      <t>…!</t>
    </r>
  </si>
  <si>
    <t>管理人の床島（竹中直人）が屋上から転落死した。マンションの掲示板には“管理人さん”と書かれた紙が…。恐ろしい交換殺人ゲームの幕開けなのか!?  翔太(田中圭)は、ショックで沈んでいる菜奈（原田知世）を気遣う。一方、ゲームのことを翔太に知られたくない菜奈。  そんな中、臨時の住民会が開かれる。不安ながらも住民たちは「あのゲームは床島の死と関係ないはず」と言い聞かせるが、悲劇はこれで終わりではなかった…!</t>
  </si>
  <si>
    <t>番組名あなたの番です#03【止めどない脅迫…!!第3の殺人は起こるのか!?】</t>
  </si>
  <si>
    <r>
      <rPr>
        <rFont val="ＭＳ Ｐゴシック"/>
        <sz val="10.0"/>
      </rPr>
      <t>タレント医師の山際（森岡豊）が殺害され、</t>
    </r>
    <r>
      <rPr>
        <rFont val="Arial"/>
        <sz val="10.0"/>
      </rPr>
      <t xml:space="preserve"> </t>
    </r>
    <r>
      <rPr>
        <rFont val="ＭＳ Ｐゴシック"/>
        <sz val="10.0"/>
      </rPr>
      <t>藤井（片桐仁）への脅迫がエスカレート。藤井は、山際を殺して自分を脅迫する人物がマンション内にいると疑うが、住民の間では、山際を殺したのは藤井だという噂が広がる。</t>
    </r>
    <r>
      <rPr>
        <rFont val="Arial"/>
        <sz val="10.0"/>
      </rPr>
      <t xml:space="preserve">  </t>
    </r>
    <r>
      <rPr>
        <rFont val="ＭＳ Ｐゴシック"/>
        <sz val="10.0"/>
      </rPr>
      <t>推理モードの翔太（田中圭）は菜奈（原田知世）に山際事件の推理を披露するが、菜奈は心ここにあらず。</t>
    </r>
    <r>
      <rPr>
        <rFont val="Arial"/>
        <sz val="10.0"/>
      </rPr>
      <t xml:space="preserve">  </t>
    </r>
    <r>
      <rPr>
        <rFont val="ＭＳ Ｐゴシック"/>
        <sz val="10.0"/>
      </rPr>
      <t>住民たちが疑心暗鬼になる中、藤井は引いた紙に書かれた</t>
    </r>
    <r>
      <rPr>
        <rFont val="Arial"/>
        <sz val="10.0"/>
      </rPr>
      <t>“</t>
    </r>
    <r>
      <rPr>
        <rFont val="ＭＳ Ｐゴシック"/>
        <sz val="10.0"/>
      </rPr>
      <t>タナカマサオ</t>
    </r>
    <r>
      <rPr>
        <rFont val="Arial"/>
        <sz val="10.0"/>
      </rPr>
      <t>”</t>
    </r>
    <r>
      <rPr>
        <rFont val="ＭＳ Ｐゴシック"/>
        <sz val="10.0"/>
      </rPr>
      <t>が誰なのか探し始めるが</t>
    </r>
    <r>
      <rPr>
        <rFont val="Arial"/>
        <sz val="10.0"/>
      </rPr>
      <t>…!?</t>
    </r>
  </si>
  <si>
    <t>タレント医師の山際（森岡豊）が殺害され、 藤井（片桐仁）への脅迫がエスカレート。藤井は、山際を殺して自分を脅迫する人物がマンション内にいると疑うが、住民の間では、山際を殺したのは藤井だという噂が広がる。  推理モードの翔太（田中圭）は菜奈（原田知世）に山際事件の推理を披露するが、菜奈は心ここにあらず。  住民たちが疑心暗鬼になる中、藤井は引いた紙に書かれた“タナカマサオ”が誰なのか探し始めるが…!?</t>
  </si>
  <si>
    <t>番組名あなたの番です#04【ついに住民から被害者が…!!殺されるのは誰!?】</t>
  </si>
  <si>
    <r>
      <rPr>
        <rFont val="ＭＳ Ｐゴシック"/>
        <sz val="10.0"/>
      </rPr>
      <t>ゲームで名前を書かれた人物が、立て続けに</t>
    </r>
    <r>
      <rPr>
        <rFont val="Arial"/>
        <sz val="10.0"/>
      </rPr>
      <t>3</t>
    </r>
    <r>
      <rPr>
        <rFont val="ＭＳ Ｐゴシック"/>
        <sz val="10.0"/>
      </rPr>
      <t>人命を落とした。住民会では、「誰の名前を書いたか発表しよう」という話が持ち上がるが、誰も応じない。</t>
    </r>
    <r>
      <rPr>
        <rFont val="Arial"/>
        <sz val="10.0"/>
      </rPr>
      <t xml:space="preserve">  </t>
    </r>
    <r>
      <rPr>
        <rFont val="ＭＳ Ｐゴシック"/>
        <sz val="10.0"/>
      </rPr>
      <t>そんな中、翔太（田中圭）は尾野（奈緒）から、交換殺人ゲームの話を聞かされ、菜奈（原田知世）が自分に嘘をついていると知りショックを受ける。菜奈に理由を問いただすか迷う翔太。</t>
    </r>
    <r>
      <rPr>
        <rFont val="Arial"/>
        <sz val="10.0"/>
      </rPr>
      <t xml:space="preserve">  </t>
    </r>
    <r>
      <rPr>
        <rFont val="ＭＳ Ｐゴシック"/>
        <sz val="10.0"/>
      </rPr>
      <t>そして、ゲームの次なる犠牲者は住民の中にいた</t>
    </r>
    <r>
      <rPr>
        <rFont val="Arial"/>
        <sz val="10.0"/>
      </rPr>
      <t>…</t>
    </r>
    <r>
      <rPr>
        <rFont val="ＭＳ Ｐゴシック"/>
        <sz val="10.0"/>
      </rPr>
      <t>！殺されるのは誰なのか</t>
    </r>
    <r>
      <rPr>
        <rFont val="Arial"/>
        <sz val="10.0"/>
      </rPr>
      <t>…!?</t>
    </r>
  </si>
  <si>
    <t>ゲームで名前を書かれた人物が、立て続けに3人命を落とした。住民会では、「誰の名前を書いたか発表しよう」という話が持ち上がるが、誰も応じない。  そんな中、翔太（田中圭）は尾野（奈緒）から、交換殺人ゲームの話を聞かされ、菜奈（原田知世）が自分に嘘をついていると知りショックを受ける。菜奈に理由を問いただすか迷う翔太。  そして、ゲームの次なる犠牲者は住民の中にいた…！殺されるのは誰なのか…!?</t>
  </si>
  <si>
    <t>番組名あなたの番です#05【暴かれた妻の秘密…!!今夜の犠牲者は誰だ!?】</t>
  </si>
  <si>
    <r>
      <rPr>
        <rFont val="ＭＳ Ｐゴシック"/>
        <sz val="10.0"/>
      </rPr>
      <t>菜奈（原田知世）は住民会で交換殺人ゲームのことを警察に話すべきだと言うが、住民たちは反対。その後、ある人物から</t>
    </r>
    <r>
      <rPr>
        <rFont val="Arial"/>
        <sz val="10.0"/>
      </rPr>
      <t>“</t>
    </r>
    <r>
      <rPr>
        <rFont val="ＭＳ Ｐゴシック"/>
        <sz val="10.0"/>
      </rPr>
      <t>赤池美里</t>
    </r>
    <r>
      <rPr>
        <rFont val="Arial"/>
        <sz val="10.0"/>
      </rPr>
      <t>”</t>
    </r>
    <r>
      <rPr>
        <rFont val="ＭＳ Ｐゴシック"/>
        <sz val="10.0"/>
      </rPr>
      <t>の名前を書いたと告白され</t>
    </r>
    <r>
      <rPr>
        <rFont val="Arial"/>
        <sz val="10.0"/>
      </rPr>
      <t>…</t>
    </r>
    <r>
      <rPr>
        <rFont val="ＭＳ Ｐゴシック"/>
        <sz val="10.0"/>
      </rPr>
      <t>。</t>
    </r>
    <r>
      <rPr>
        <rFont val="Arial"/>
        <sz val="10.0"/>
      </rPr>
      <t xml:space="preserve">  </t>
    </r>
    <r>
      <rPr>
        <rFont val="ＭＳ Ｐゴシック"/>
        <sz val="10.0"/>
      </rPr>
      <t>そんな中、翔太（田中圭）がゲームのことを知っていた事を知り、ショックを受ける菜奈。一方、菜奈がこっそり朝男（野間口徹）と会っているところを目撃する翔太。菜奈と翔太の関係に、ついに亀裂が！？さらに、新たな犠牲者が</t>
    </r>
    <r>
      <rPr>
        <rFont val="Arial"/>
        <sz val="10.0"/>
      </rPr>
      <t>…!!</t>
    </r>
  </si>
  <si>
    <t>菜奈（原田知世）は住民会で交換殺人ゲームのことを警察に話すべきだと言うが、住民たちは反対。その後、ある人物から“赤池美里”の名前を書いたと告白され…。  そんな中、翔太（田中圭）がゲームのことを知っていた事を知り、ショックを受ける菜奈。一方、菜奈がこっそり朝男（野間口徹）と会っているところを目撃する翔太。菜奈と翔太の関係に、ついに亀裂が！？さらに、新たな犠牲者が…!!</t>
  </si>
  <si>
    <t>番組名あなたの番です#06【妻の秘密の全貌…!!真相解明に動き出す!!】</t>
  </si>
  <si>
    <r>
      <rPr>
        <rFont val="ＭＳ Ｐゴシック"/>
        <sz val="10.0"/>
      </rPr>
      <t>俳優の袴田吉彦が殺され責任を感じる久住</t>
    </r>
    <r>
      <rPr>
        <rFont val="Arial"/>
        <sz val="10.0"/>
      </rPr>
      <t>(</t>
    </r>
    <r>
      <rPr>
        <rFont val="ＭＳ Ｐゴシック"/>
        <sz val="10.0"/>
      </rPr>
      <t>袴田吉彦</t>
    </r>
    <r>
      <rPr>
        <rFont val="Arial"/>
        <sz val="10.0"/>
      </rPr>
      <t>)</t>
    </r>
    <r>
      <rPr>
        <rFont val="ＭＳ Ｐゴシック"/>
        <sz val="10.0"/>
      </rPr>
      <t>。菜奈</t>
    </r>
    <r>
      <rPr>
        <rFont val="Arial"/>
        <sz val="10.0"/>
      </rPr>
      <t>(</t>
    </r>
    <r>
      <rPr>
        <rFont val="ＭＳ Ｐゴシック"/>
        <sz val="10.0"/>
      </rPr>
      <t>原田知世</t>
    </r>
    <r>
      <rPr>
        <rFont val="Arial"/>
        <sz val="10.0"/>
      </rPr>
      <t>)</t>
    </r>
    <r>
      <rPr>
        <rFont val="ＭＳ Ｐゴシック"/>
        <sz val="10.0"/>
      </rPr>
      <t>は</t>
    </r>
    <r>
      <rPr>
        <rFont val="Arial"/>
        <sz val="10.0"/>
      </rPr>
      <t>“</t>
    </r>
    <r>
      <rPr>
        <rFont val="ＭＳ Ｐゴシック"/>
        <sz val="10.0"/>
      </rPr>
      <t>細川朝男</t>
    </r>
    <r>
      <rPr>
        <rFont val="Arial"/>
        <sz val="10.0"/>
      </rPr>
      <t>”</t>
    </r>
    <r>
      <rPr>
        <rFont val="ＭＳ Ｐゴシック"/>
        <sz val="10.0"/>
      </rPr>
      <t>と書いたのは自分だと告げ、翔太（田中圭）に、朝男（野間口徹）との本当の関係を打ち明ける。</t>
    </r>
    <r>
      <rPr>
        <rFont val="Arial"/>
        <sz val="10.0"/>
      </rPr>
      <t xml:space="preserve">  </t>
    </r>
    <r>
      <rPr>
        <rFont val="ＭＳ Ｐゴシック"/>
        <sz val="10.0"/>
      </rPr>
      <t>一方、</t>
    </r>
    <r>
      <rPr>
        <rFont val="Arial"/>
        <sz val="10.0"/>
      </rPr>
      <t>102</t>
    </r>
    <r>
      <rPr>
        <rFont val="ＭＳ Ｐゴシック"/>
        <sz val="10.0"/>
      </rPr>
      <t>号室の児嶋佳世</t>
    </r>
    <r>
      <rPr>
        <rFont val="Arial"/>
        <sz val="10.0"/>
      </rPr>
      <t>(</t>
    </r>
    <r>
      <rPr>
        <rFont val="ＭＳ Ｐゴシック"/>
        <sz val="10.0"/>
      </rPr>
      <t>片岡礼子</t>
    </r>
    <r>
      <rPr>
        <rFont val="Arial"/>
        <sz val="10.0"/>
      </rPr>
      <t>)</t>
    </r>
    <r>
      <rPr>
        <rFont val="ＭＳ Ｐゴシック"/>
        <sz val="10.0"/>
      </rPr>
      <t>は、夫・俊明</t>
    </r>
    <r>
      <rPr>
        <rFont val="Arial"/>
        <sz val="10.0"/>
      </rPr>
      <t>(</t>
    </r>
    <r>
      <rPr>
        <rFont val="ＭＳ Ｐゴシック"/>
        <sz val="10.0"/>
      </rPr>
      <t>坪倉由幸</t>
    </r>
    <r>
      <rPr>
        <rFont val="Arial"/>
        <sz val="10.0"/>
      </rPr>
      <t>)</t>
    </r>
    <r>
      <rPr>
        <rFont val="ＭＳ Ｐゴシック"/>
        <sz val="10.0"/>
      </rPr>
      <t>との関係が冷え切り、マンション内の子供たちに異常に執着して</t>
    </r>
    <r>
      <rPr>
        <rFont val="Arial"/>
        <sz val="10.0"/>
      </rPr>
      <t>…</t>
    </r>
    <r>
      <rPr>
        <rFont val="ＭＳ Ｐゴシック"/>
        <sz val="10.0"/>
      </rPr>
      <t>。</t>
    </r>
    <r>
      <rPr>
        <rFont val="Arial"/>
        <sz val="10.0"/>
      </rPr>
      <t xml:space="preserve">  </t>
    </r>
    <r>
      <rPr>
        <rFont val="ＭＳ Ｐゴシック"/>
        <sz val="10.0"/>
      </rPr>
      <t>連鎖する殺人の真相を突き止めるために動き出した菜奈と翔太。しかし、またしても犠牲者が出てしまう</t>
    </r>
    <r>
      <rPr>
        <rFont val="Arial"/>
        <sz val="10.0"/>
      </rPr>
      <t>…!</t>
    </r>
  </si>
  <si>
    <t>俳優の袴田吉彦が殺され責任を感じる久住(袴田吉彦)。菜奈(原田知世)は“細川朝男”と書いたのは自分だと告げ、翔太（田中圭）に、朝男（野間口徹）との本当の関係を打ち明ける。  一方、102号室の児嶋佳世(片岡礼子)は、夫・俊明(坪倉由幸)との関係が冷え切り、マンション内の子供たちに異常に執着して…。  連鎖する殺人の真相を突き止めるために動き出した菜奈と翔太。しかし、またしても犠牲者が出てしまう…!</t>
  </si>
  <si>
    <t>番組名あなたの番です#07【単独犯!?嘘つきは誰だ!?今夜は2人死ぬ…!?】</t>
  </si>
  <si>
    <r>
      <rPr>
        <rFont val="ＭＳ Ｐゴシック"/>
        <sz val="10.0"/>
      </rPr>
      <t>児嶋佳世（片岡礼子）が殺され、足だけが発見。菜奈（原田知世）と翔太（田中圭）は、佳世の名を書いた澄香（真飛聖）とゲームのことを警察に話すべきだと話していた。そこに警察官で早苗（木村多江）の夫・正志（阪田マサノブ）が刑事の神谷（浅香航大）を連れてやってくる。神谷に捜査を任せることに。</t>
    </r>
    <r>
      <rPr>
        <rFont val="Arial"/>
        <sz val="10.0"/>
      </rPr>
      <t xml:space="preserve">  </t>
    </r>
    <r>
      <rPr>
        <rFont val="ＭＳ Ｐゴシック"/>
        <sz val="10.0"/>
      </rPr>
      <t>度重なる脅迫に悩む久住（袴田吉彦）は、浮田（田中要次）に相談。浮田は殺人犯に見当がついていると、ある行動に出るが</t>
    </r>
    <r>
      <rPr>
        <rFont val="Arial"/>
        <sz val="10.0"/>
      </rPr>
      <t>…</t>
    </r>
    <r>
      <rPr>
        <rFont val="ＭＳ Ｐゴシック"/>
        <sz val="10.0"/>
      </rPr>
      <t>。</t>
    </r>
  </si>
  <si>
    <t>児嶋佳世（片岡礼子）が殺され、足だけが発見。菜奈（原田知世）と翔太（田中圭）は、佳世の名を書いた澄香（真飛聖）とゲームのことを警察に話すべきだと話していた。そこに警察官で早苗（木村多江）の夫・正志（阪田マサノブ）が刑事の神谷（浅香航大）を連れてやってくる。神谷に捜査を任せることに。  度重なる脅迫に悩む久住（袴田吉彦）は、浮田（田中要次）に相談。浮田は殺人犯に見当がついていると、ある行動に出るが…。</t>
  </si>
  <si>
    <t>番組名あなたの番です#08【妻が容疑者に!?住民に4人の嘘つき…犯人は誰!?】</t>
  </si>
  <si>
    <r>
      <rPr>
        <rFont val="ＭＳ Ｐゴシック"/>
        <sz val="10.0"/>
      </rPr>
      <t>菜奈（原田知世）は、刑事の神谷（浅香航大）と水城（皆川猿時）から、朝男（野間口徹）の殺害依頼をネットに書き込んだ疑いで取調べを受ける。</t>
    </r>
    <r>
      <rPr>
        <rFont val="Arial"/>
        <sz val="10.0"/>
      </rPr>
      <t xml:space="preserve">  </t>
    </r>
    <r>
      <rPr>
        <rFont val="ＭＳ Ｐゴシック"/>
        <sz val="10.0"/>
      </rPr>
      <t>真相を突き止めたい翔太（田中圭）は、田宮（生瀬勝久）から、書いた名前と引いた紙に書かれていた名前を聞き出すことに成功。早苗（木村多江）や黒島（西野七瀬）を集めて、浮田（田中要次）を殺した可能性のある４人の住民の名を挙げる。その中には、意外な人物が入っていて</t>
    </r>
    <r>
      <rPr>
        <rFont val="Arial"/>
        <sz val="10.0"/>
      </rPr>
      <t>…!?</t>
    </r>
  </si>
  <si>
    <t>菜奈（原田知世）は、刑事の神谷（浅香航大）と水城（皆川猿時）から、朝男（野間口徹）の殺害依頼をネットに書き込んだ疑いで取調べを受ける。  真相を突き止めたい翔太（田中圭）は、田宮（生瀬勝久）から、書いた名前と引いた紙に書かれていた名前を聞き出すことに成功。早苗（木村多江）や黒島（西野七瀬）を集めて、浮田（田中要次）を殺した可能性のある４人の住民の名を挙げる。その中には、意外な人物が入っていて…!?</t>
  </si>
  <si>
    <t>番組名あなたの番です#09【衝撃!!親友の狂気…402号室の秘密とは!?】</t>
  </si>
  <si>
    <r>
      <rPr>
        <rFont val="ＭＳ Ｐゴシック"/>
        <sz val="10.0"/>
      </rPr>
      <t>菜奈（原田知世）が</t>
    </r>
    <r>
      <rPr>
        <rFont val="Arial"/>
        <sz val="10.0"/>
      </rPr>
      <t>“</t>
    </r>
    <r>
      <rPr>
        <rFont val="ＭＳ Ｐゴシック"/>
        <sz val="10.0"/>
      </rPr>
      <t>殺す番</t>
    </r>
    <r>
      <rPr>
        <rFont val="Arial"/>
        <sz val="10.0"/>
      </rPr>
      <t>”</t>
    </r>
    <r>
      <rPr>
        <rFont val="ＭＳ Ｐゴシック"/>
        <sz val="10.0"/>
      </rPr>
      <t>だった甲野（鈴木勝大）が殺された。誰が代わりに殺したのか</t>
    </r>
    <r>
      <rPr>
        <rFont val="Arial"/>
        <sz val="10.0"/>
      </rPr>
      <t xml:space="preserve">?   </t>
    </r>
    <r>
      <rPr>
        <rFont val="ＭＳ Ｐゴシック"/>
        <sz val="10.0"/>
      </rPr>
      <t>菜奈は翔太</t>
    </r>
    <r>
      <rPr>
        <rFont val="Arial"/>
        <sz val="10.0"/>
      </rPr>
      <t>(</t>
    </r>
    <r>
      <rPr>
        <rFont val="ＭＳ Ｐゴシック"/>
        <sz val="10.0"/>
      </rPr>
      <t>田中圭</t>
    </r>
    <r>
      <rPr>
        <rFont val="Arial"/>
        <sz val="10.0"/>
      </rPr>
      <t>)</t>
    </r>
    <r>
      <rPr>
        <rFont val="ＭＳ Ｐゴシック"/>
        <sz val="10.0"/>
      </rPr>
      <t>に引っ越しを提案。誰も助けられなかった上に、木下（山田真歩）に見せられた『</t>
    </r>
    <r>
      <rPr>
        <rFont val="Arial"/>
        <sz val="10.0"/>
      </rPr>
      <t>302</t>
    </r>
    <r>
      <rPr>
        <rFont val="ＭＳ Ｐゴシック"/>
        <sz val="10.0"/>
      </rPr>
      <t>号室の人』の紙も気になる。そんな中、刑事の神谷（浅香航大）と話すうち、</t>
    </r>
    <r>
      <rPr>
        <rFont val="Arial"/>
        <sz val="10.0"/>
      </rPr>
      <t>2</t>
    </r>
    <r>
      <rPr>
        <rFont val="ＭＳ Ｐゴシック"/>
        <sz val="10.0"/>
      </rPr>
      <t>人は早苗</t>
    </r>
    <r>
      <rPr>
        <rFont val="Arial"/>
        <sz val="10.0"/>
      </rPr>
      <t>(</t>
    </r>
    <r>
      <rPr>
        <rFont val="ＭＳ Ｐゴシック"/>
        <sz val="10.0"/>
      </rPr>
      <t>木村多江</t>
    </r>
    <r>
      <rPr>
        <rFont val="Arial"/>
        <sz val="10.0"/>
      </rPr>
      <t>)</t>
    </r>
    <r>
      <rPr>
        <rFont val="ＭＳ Ｐゴシック"/>
        <sz val="10.0"/>
      </rPr>
      <t>が誰かを殺していると考えざるを得なくなる。推理モードの翔太が早苗の周辺を調べ始めると、驚くべき秘密が明らかに</t>
    </r>
    <r>
      <rPr>
        <rFont val="Arial"/>
        <sz val="10.0"/>
      </rPr>
      <t>…!</t>
    </r>
  </si>
  <si>
    <t>菜奈（原田知世）が“殺す番”だった甲野（鈴木勝大）が殺された。誰が代わりに殺したのか?   菜奈は翔太(田中圭)に引っ越しを提案。誰も助けられなかった上に、木下（山田真歩）に見せられた『302号室の人』の紙も気になる。そんな中、刑事の神谷（浅香航大）と話すうち、2人は早苗(木村多江)が誰かを殺していると考えざるを得なくなる。推理モードの翔太が早苗の周辺を調べ始めると、驚くべき秘密が明らかに…!</t>
  </si>
  <si>
    <t>番組名あなたの番です#10</t>
  </si>
  <si>
    <r>
      <rPr>
        <rFont val="ＭＳ Ｐゴシック"/>
        <sz val="10.0"/>
      </rPr>
      <t>早苗（木村多江）によって</t>
    </r>
    <r>
      <rPr>
        <rFont val="Arial"/>
        <sz val="10.0"/>
      </rPr>
      <t>402</t>
    </r>
    <r>
      <rPr>
        <rFont val="ＭＳ Ｐゴシック"/>
        <sz val="10.0"/>
      </rPr>
      <t>号室の隠し部屋に監禁された翔太（田中圭）と黒島（西野七瀬）。２人は部屋にいた謎の少年（荒木飛羽）の正体を知る。</t>
    </r>
    <r>
      <rPr>
        <rFont val="Arial"/>
        <sz val="10.0"/>
      </rPr>
      <t xml:space="preserve">  </t>
    </r>
    <r>
      <rPr>
        <rFont val="ＭＳ Ｐゴシック"/>
        <sz val="10.0"/>
      </rPr>
      <t>菜奈（原田知世）は翔太が無断欠勤していると連絡を受け、前夜に翔太が強引に侵入した</t>
    </r>
    <r>
      <rPr>
        <rFont val="Arial"/>
        <sz val="10.0"/>
      </rPr>
      <t>402</t>
    </r>
    <r>
      <rPr>
        <rFont val="ＭＳ Ｐゴシック"/>
        <sz val="10.0"/>
      </rPr>
      <t>号室を訪ねる。早苗は、何食わぬ顔で一緒に捜すと言い</t>
    </r>
    <r>
      <rPr>
        <rFont val="Arial"/>
        <sz val="10.0"/>
      </rPr>
      <t>…</t>
    </r>
    <r>
      <rPr>
        <rFont val="ＭＳ Ｐゴシック"/>
        <sz val="10.0"/>
      </rPr>
      <t>。</t>
    </r>
    <r>
      <rPr>
        <rFont val="Arial"/>
        <sz val="10.0"/>
      </rPr>
      <t xml:space="preserve">  </t>
    </r>
    <r>
      <rPr>
        <rFont val="ＭＳ Ｐゴシック"/>
        <sz val="10.0"/>
      </rPr>
      <t>推理し始めた菜奈は藤井（片桐仁）がゲームで名前を書いた医師・山際を殺した犯人が誰なのか、ある人物に行きあたる</t>
    </r>
    <r>
      <rPr>
        <rFont val="Arial"/>
        <sz val="10.0"/>
      </rPr>
      <t>…!</t>
    </r>
  </si>
  <si>
    <t>早苗（木村多江）によって402号室の隠し部屋に監禁された翔太（田中圭）と黒島（西野七瀬）。２人は部屋にいた謎の少年（荒木飛羽）の正体を知る。  菜奈（原田知世）は翔太が無断欠勤していると連絡を受け、前夜に翔太が強引に侵入した402号室を訪ねる。早苗は、何食わぬ顔で一緒に捜すと言い…。  推理し始めた菜奈は藤井（片桐仁）がゲームで名前を書いた医師・山際を殺した犯人が誰なのか、ある人物に行きあたる…!</t>
  </si>
  <si>
    <t>番組名「あなたの番です」特別編【菜奈と翔太の恋の軌跡＆すべての事件を総復習！】</t>
  </si>
  <si>
    <r>
      <rPr>
        <rFont val="ＭＳ Ｐゴシック"/>
        <sz val="10.0"/>
      </rPr>
      <t>菜奈（原田知世）の葬儀を終えて茫然自失の翔太（田中圭）は、菜奈が遺した日記を見つける。そこには出会いからの２人の思い出が詰まっていた。すると、パソコンに１通のメールが届き</t>
    </r>
    <r>
      <rPr>
        <rFont val="Arial"/>
        <sz val="10.0"/>
      </rPr>
      <t>…</t>
    </r>
    <r>
      <rPr>
        <rFont val="ＭＳ Ｐゴシック"/>
        <sz val="10.0"/>
      </rPr>
      <t>。</t>
    </r>
    <r>
      <rPr>
        <rFont val="Arial"/>
        <sz val="10.0"/>
      </rPr>
      <t xml:space="preserve">  </t>
    </r>
    <r>
      <rPr>
        <rFont val="ＭＳ Ｐゴシック"/>
        <sz val="10.0"/>
      </rPr>
      <t>一方、刑事の神谷（浅香航大）と水城（皆川猿時）は、翔太が一連の連続殺人の首謀者である可能性を検証し始める。</t>
    </r>
    <r>
      <rPr>
        <rFont val="Arial"/>
        <sz val="10.0"/>
      </rPr>
      <t xml:space="preserve">  </t>
    </r>
    <r>
      <rPr>
        <rFont val="ＭＳ Ｐゴシック"/>
        <sz val="10.0"/>
      </rPr>
      <t>刑事たちの目線で振り返る全事件！翔太は容疑者なのか！？菜奈と翔太の出会いからプロポーズまでの軌跡を描く感動の特別編</t>
    </r>
    <r>
      <rPr>
        <rFont val="Arial"/>
        <sz val="10.0"/>
      </rPr>
      <t>!</t>
    </r>
  </si>
  <si>
    <t>菜奈（原田知世）の葬儀を終えて茫然自失の翔太（田中圭）は、菜奈が遺した日記を見つける。そこには出会いからの２人の思い出が詰まっていた。すると、パソコンに１通のメールが届き…。  一方、刑事の神谷（浅香航大）と水城（皆川猿時）は、翔太が一連の連続殺人の首謀者である可能性を検証し始める。  刑事たちの目線で振り返る全事件！翔太は容疑者なのか！？菜奈と翔太の出会いからプロポーズまでの軌跡を描く感動の特別編!</t>
  </si>
  <si>
    <t>番組名あなたの番です#11【反撃編スタート!!妻を殺した殺人鬼をあぶり出せ!!】</t>
  </si>
  <si>
    <r>
      <rPr>
        <rFont val="ＭＳ Ｐゴシック"/>
        <sz val="10.0"/>
      </rPr>
      <t>最愛の妻を殺された男の反撃が始まる</t>
    </r>
    <r>
      <rPr>
        <rFont val="Arial"/>
        <sz val="10.0"/>
      </rPr>
      <t xml:space="preserve">!!  </t>
    </r>
    <r>
      <rPr>
        <rFont val="ＭＳ Ｐゴシック"/>
        <sz val="10.0"/>
      </rPr>
      <t>翔太</t>
    </r>
    <r>
      <rPr>
        <rFont val="Arial"/>
        <sz val="10.0"/>
      </rPr>
      <t>(</t>
    </r>
    <r>
      <rPr>
        <rFont val="ＭＳ Ｐゴシック"/>
        <sz val="10.0"/>
      </rPr>
      <t>田中圭</t>
    </r>
    <r>
      <rPr>
        <rFont val="Arial"/>
        <sz val="10.0"/>
      </rPr>
      <t>)</t>
    </r>
    <r>
      <rPr>
        <rFont val="ＭＳ Ｐゴシック"/>
        <sz val="10.0"/>
      </rPr>
      <t>は、菜奈</t>
    </r>
    <r>
      <rPr>
        <rFont val="Arial"/>
        <sz val="10.0"/>
      </rPr>
      <t>(</t>
    </r>
    <r>
      <rPr>
        <rFont val="ＭＳ Ｐゴシック"/>
        <sz val="10.0"/>
      </rPr>
      <t>原田知世</t>
    </r>
    <r>
      <rPr>
        <rFont val="Arial"/>
        <sz val="10.0"/>
      </rPr>
      <t>)</t>
    </r>
    <r>
      <rPr>
        <rFont val="ＭＳ Ｐゴシック"/>
        <sz val="10.0"/>
      </rPr>
      <t>の最期の姿を映した動画のことを警察に通報。神谷（浅香航大）たちはサイバー班を連れてくるが、投稿者は特定できない。進まない捜査に苛立った翔太は、犯人探しをするため住民会に出席。そこへ</t>
    </r>
    <r>
      <rPr>
        <rFont val="Arial"/>
        <sz val="10.0"/>
      </rPr>
      <t>304</t>
    </r>
    <r>
      <rPr>
        <rFont val="ＭＳ Ｐゴシック"/>
        <sz val="10.0"/>
      </rPr>
      <t>号室の新しい住人・二階堂（横浜流星）が登場。大学院生の彼が研究する人工知能・</t>
    </r>
    <r>
      <rPr>
        <rFont val="Arial"/>
        <sz val="10.0"/>
      </rPr>
      <t>AI</t>
    </r>
    <r>
      <rPr>
        <rFont val="ＭＳ Ｐゴシック"/>
        <sz val="10.0"/>
      </rPr>
      <t>は、凶悪事件の捜査にも使われ始めていると聞いた翔太は</t>
    </r>
    <r>
      <rPr>
        <rFont val="Arial"/>
        <sz val="10.0"/>
      </rPr>
      <t>…</t>
    </r>
    <r>
      <rPr>
        <rFont val="ＭＳ Ｐゴシック"/>
        <sz val="10.0"/>
      </rPr>
      <t>。</t>
    </r>
  </si>
  <si>
    <t>最愛の妻を殺された男の反撃が始まる!!  翔太(田中圭)は、菜奈(原田知世)の最期の姿を映した動画のことを警察に通報。神谷（浅香航大）たちはサイバー班を連れてくるが、投稿者は特定できない。進まない捜査に苛立った翔太は、犯人探しをするため住民会に出席。そこへ304号室の新しい住人・二階堂（横浜流星）が登場。大学院生の彼が研究する人工知能・AIは、凶悪事件の捜査にも使われ始めていると聞いた翔太は…。</t>
  </si>
  <si>
    <t>1901_NTV_水22</t>
  </si>
  <si>
    <t>家売るオンナの逆襲</t>
  </si>
  <si>
    <t>番組名家売るオンナの逆襲#01</t>
  </si>
  <si>
    <r>
      <rPr>
        <rFont val="ＭＳ Ｐゴシック"/>
        <sz val="10.0"/>
      </rPr>
      <t>伝説の不動産屋三軒家万智（北川景子）が夫である屋代課長（仲村トオル）とテーコー不動産へ戻ってきた。庭野（工藤阿須加）や足立（千葉雄大）との再会も束の間、問題を抱えた客を担当することに。熟年離婚をたくらむ専業主婦（岡江久美子）＆過激な動画で世間を騒がせる炎上系</t>
    </r>
    <r>
      <rPr>
        <rFont val="Arial"/>
        <sz val="10.0"/>
      </rPr>
      <t>YouTuber(</t>
    </r>
    <r>
      <rPr>
        <rFont val="ＭＳ Ｐゴシック"/>
        <sz val="10.0"/>
      </rPr>
      <t>加藤諒</t>
    </r>
    <r>
      <rPr>
        <rFont val="Arial"/>
        <sz val="10.0"/>
      </rPr>
      <t>)…</t>
    </r>
    <r>
      <rPr>
        <rFont val="ＭＳ Ｐゴシック"/>
        <sz val="10.0"/>
      </rPr>
      <t>。</t>
    </r>
  </si>
  <si>
    <t>伝説の不動産屋三軒家万智（北川景子）が夫である屋代課長（仲村トオル）とテーコー不動産へ戻ってきた。庭野（工藤阿須加）や足立（千葉雄大）との再会も束の間、問題を抱えた客を担当することに。熟年離婚をたくらむ専業主婦（岡江久美子）＆過激な動画で世間を騒がせる炎上系YouTuber(加藤諒)…。</t>
  </si>
  <si>
    <t>番組名家売るオンナの逆襲#02</t>
  </si>
  <si>
    <r>
      <rPr>
        <rFont val="ＭＳ Ｐゴシック"/>
        <sz val="10.0"/>
      </rPr>
      <t>復帰早々、家を売りまくる三軒家万智（北川景子）は屋代課長（仲村トオル）との夫婦生活をほったらかし庭野（工藤阿須加）が担当する性悪な金持ち客・神子（泉ピン子）に立ち向かう。契約直前でドタキャンを繰り返すモンスター客の正体は</t>
    </r>
    <r>
      <rPr>
        <rFont val="Arial"/>
        <sz val="10.0"/>
      </rPr>
      <t>…</t>
    </r>
    <r>
      <rPr>
        <rFont val="ＭＳ Ｐゴシック"/>
        <sz val="10.0"/>
      </rPr>
      <t>ネットカフェで暮らすお婆さん！独特な哲学で家を売る万智が神子にすすめる家とは？さらにフリーランスの不動産屋・留守堂（松田翔太）が現れ</t>
    </r>
    <r>
      <rPr>
        <rFont val="Arial"/>
        <sz val="10.0"/>
      </rPr>
      <t>…</t>
    </r>
    <r>
      <rPr>
        <rFont val="ＭＳ Ｐゴシック"/>
        <sz val="10.0"/>
      </rPr>
      <t>。哲学と哲学がぶつかる熾烈なバトルの行方は</t>
    </r>
    <r>
      <rPr>
        <rFont val="Arial"/>
        <sz val="10.0"/>
      </rPr>
      <t>?</t>
    </r>
  </si>
  <si>
    <t>復帰早々、家を売りまくる三軒家万智（北川景子）は屋代課長（仲村トオル）との夫婦生活をほったらかし庭野（工藤阿須加）が担当する性悪な金持ち客・神子（泉ピン子）に立ち向かう。契約直前でドタキャンを繰り返すモンスター客の正体は…ネットカフェで暮らすお婆さん！独特な哲学で家を売る万智が神子にすすめる家とは？さらにフリーランスの不動産屋・留守堂（松田翔太）が現れ…。哲学と哲学がぶつかる熾烈なバトルの行方は?</t>
  </si>
  <si>
    <t>番組名家売るオンナの逆襲#03 LGBT様々な愛の形!現地販売会で家爆売りGO!</t>
  </si>
  <si>
    <r>
      <rPr>
        <rFont val="ＭＳ Ｐゴシック"/>
        <sz val="10.0"/>
      </rPr>
      <t>現地販売開催。旗竿地に建つ家、元力士の家など売りにくい物件を皆で売ることに。そこにゲイやレズビアンの客が訪れ営業課では</t>
    </r>
    <r>
      <rPr>
        <rFont val="Arial"/>
        <sz val="10.0"/>
      </rPr>
      <t>LGBT</t>
    </r>
    <r>
      <rPr>
        <rFont val="ＭＳ Ｐゴシック"/>
        <sz val="10.0"/>
      </rPr>
      <t>が話題に上がる。そんな中、万智（北川景子）と庭野（工藤阿須加）は家族で住む家を探す女（佐藤仁美）を担当。万智が女の夫に会いに行くと、なんと夫（池田鉄洋）は女装姿！自分の性別に違和感を感じながら生きるトランスジェンダーの夫との生活に限界を感じている家族に万智が驚きの家を提案</t>
    </r>
    <r>
      <rPr>
        <rFont val="Arial"/>
        <sz val="10.0"/>
      </rPr>
      <t>!</t>
    </r>
  </si>
  <si>
    <t>現地販売開催。旗竿地に建つ家、元力士の家など売りにくい物件を皆で売ることに。そこにゲイやレズビアンの客が訪れ営業課ではLGBTが話題に上がる。そんな中、万智（北川景子）と庭野（工藤阿須加）は家族で住む家を探す女（佐藤仁美）を担当。万智が女の夫に会いに行くと、なんと夫（池田鉄洋）は女装姿！自分の性別に違和感を感じながら生きるトランスジェンダーの夫との生活に限界を感じている家族に万智が驚きの家を提案!</t>
  </si>
  <si>
    <t>番組名家売るオンナの逆襲#04 悲しき昭和の企業戦士に一発逆転の家爆売りGO!</t>
  </si>
  <si>
    <r>
      <rPr>
        <rFont val="ＭＳ Ｐゴシック"/>
        <sz val="10.0"/>
      </rPr>
      <t>働き方改革に向け労働時間の見直しが始まった新宿営業所。万智（北川景子）は定年間近の企業戦士・山路（佐野史郎）を担当。娘夫婦の家の資金援助をしたいという山路だが、計画性のない娘と上昇志向のない娘婿は山路の薦める物件をことごとく否定。さらに、娘夫婦と意気投合した新人ダメ社員鍵村（草川拓弥）がまさかの万智の客を横取り</t>
    </r>
    <r>
      <rPr>
        <rFont val="Arial"/>
        <sz val="10.0"/>
      </rPr>
      <t>!?</t>
    </r>
    <r>
      <rPr>
        <rFont val="ＭＳ Ｐゴシック"/>
        <sz val="10.0"/>
      </rPr>
      <t>そしてついに天才的家売るオトコ留守堂（松田翔太）が本領発揮！三軒家万智最大のピンチ</t>
    </r>
    <r>
      <rPr>
        <rFont val="Arial"/>
        <sz val="10.0"/>
      </rPr>
      <t>!</t>
    </r>
  </si>
  <si>
    <t>働き方改革に向け労働時間の見直しが始まった新宿営業所。万智（北川景子）は定年間近の企業戦士・山路（佐野史郎）を担当。娘夫婦の家の資金援助をしたいという山路だが、計画性のない娘と上昇志向のない娘婿は山路の薦める物件をことごとく否定。さらに、娘夫婦と意気投合した新人ダメ社員鍵村（草川拓弥）がまさかの万智の客を横取り!?そしてついに天才的家売るオトコ留守堂（松田翔太）が本領発揮！三軒家万智最大のピンチ!</t>
  </si>
  <si>
    <t>番組名家売るオンナの逆襲#05 偽装美女&amp;野獣カップルに起死回生の家爆売りGO!</t>
  </si>
  <si>
    <r>
      <rPr>
        <rFont val="ＭＳ Ｐゴシック"/>
        <sz val="10.0"/>
      </rPr>
      <t>留守堂（松田翔太）に負け、姿を消した万智</t>
    </r>
    <r>
      <rPr>
        <rFont val="Arial"/>
        <sz val="10.0"/>
      </rPr>
      <t>(</t>
    </r>
    <r>
      <rPr>
        <rFont val="ＭＳ Ｐゴシック"/>
        <sz val="10.0"/>
      </rPr>
      <t>北川景子</t>
    </r>
    <r>
      <rPr>
        <rFont val="Arial"/>
        <sz val="10.0"/>
      </rPr>
      <t>)</t>
    </r>
    <r>
      <rPr>
        <rFont val="ＭＳ Ｐゴシック"/>
        <sz val="10.0"/>
      </rPr>
      <t>。庭野</t>
    </r>
    <r>
      <rPr>
        <rFont val="Arial"/>
        <sz val="10.0"/>
      </rPr>
      <t>(</t>
    </r>
    <r>
      <rPr>
        <rFont val="ＭＳ Ｐゴシック"/>
        <sz val="10.0"/>
      </rPr>
      <t>工藤阿須加</t>
    </r>
    <r>
      <rPr>
        <rFont val="Arial"/>
        <sz val="10.0"/>
      </rPr>
      <t>)</t>
    </r>
    <r>
      <rPr>
        <rFont val="ＭＳ Ｐゴシック"/>
        <sz val="10.0"/>
      </rPr>
      <t>は美女と野獣カップル・竜司（柄本時生）と奈々（知英）を担当する。竜司は万智が陽気な人気者だった同級生『マンチッチ』ではないかと言い出し</t>
    </r>
    <r>
      <rPr>
        <rFont val="Arial"/>
        <sz val="10.0"/>
      </rPr>
      <t>…</t>
    </r>
    <r>
      <rPr>
        <rFont val="ＭＳ Ｐゴシック"/>
        <sz val="10.0"/>
      </rPr>
      <t>。そんな中、内見中のアクシデントで奈々が化粧テクニックで素顔を偽った偽装美人と発覚！真実を知り、婚約を破棄しようとする竜司の前に万智が現れ</t>
    </r>
    <r>
      <rPr>
        <rFont val="Arial"/>
        <sz val="10.0"/>
      </rPr>
      <t>…!!</t>
    </r>
    <r>
      <rPr>
        <rFont val="ＭＳ Ｐゴシック"/>
        <sz val="10.0"/>
      </rPr>
      <t>今夜万智の過去と留守堂の正体がついに明かされる</t>
    </r>
    <r>
      <rPr>
        <rFont val="Arial"/>
        <sz val="10.0"/>
      </rPr>
      <t>!</t>
    </r>
  </si>
  <si>
    <t>留守堂（松田翔太）に負け、姿を消した万智(北川景子)。庭野(工藤阿須加)は美女と野獣カップル・竜司（柄本時生）と奈々（知英）を担当する。竜司は万智が陽気な人気者だった同級生『マンチッチ』ではないかと言い出し…。そんな中、内見中のアクシデントで奈々が化粧テクニックで素顔を偽った偽装美人と発覚！真実を知り、婚約を破棄しようとする竜司の前に万智が現れ…!!今夜万智の過去と留守堂の正体がついに明かされる!</t>
  </si>
  <si>
    <t>番組名家売るオンナの逆襲#06 運命大作戦!W不倫夫婦に奇想天外の家爆売りGO!</t>
  </si>
  <si>
    <r>
      <rPr>
        <rFont val="ＭＳ Ｐゴシック"/>
        <sz val="10.0"/>
      </rPr>
      <t>互いの不倫を公認する八十多湊人（武田航平）・つぐみ（内山理名）夫妻を担当する万智</t>
    </r>
    <r>
      <rPr>
        <rFont val="Arial"/>
        <sz val="10.0"/>
      </rPr>
      <t>(</t>
    </r>
    <r>
      <rPr>
        <rFont val="ＭＳ Ｐゴシック"/>
        <sz val="10.0"/>
      </rPr>
      <t>北川景子</t>
    </r>
    <r>
      <rPr>
        <rFont val="Arial"/>
        <sz val="10.0"/>
      </rPr>
      <t>)</t>
    </r>
    <r>
      <rPr>
        <rFont val="ＭＳ Ｐゴシック"/>
        <sz val="10.0"/>
      </rPr>
      <t>。一方留守堂</t>
    </r>
    <r>
      <rPr>
        <rFont val="Arial"/>
        <sz val="10.0"/>
      </rPr>
      <t>(</t>
    </r>
    <r>
      <rPr>
        <rFont val="ＭＳ Ｐゴシック"/>
        <sz val="10.0"/>
      </rPr>
      <t>松田翔太</t>
    </r>
    <r>
      <rPr>
        <rFont val="Arial"/>
        <sz val="10.0"/>
      </rPr>
      <t>)</t>
    </r>
    <r>
      <rPr>
        <rFont val="ＭＳ Ｐゴシック"/>
        <sz val="10.0"/>
      </rPr>
      <t>は妻・まり（筧美和子）の愛を独り占めしたいという年上の夫・順平（橋爪淳）から家探しを相談される。実はまりは湊人と不倫関係にあって</t>
    </r>
    <r>
      <rPr>
        <rFont val="Arial"/>
        <sz val="10.0"/>
      </rPr>
      <t>...</t>
    </r>
    <r>
      <rPr>
        <rFont val="ＭＳ Ｐゴシック"/>
        <sz val="10.0"/>
      </rPr>
      <t>。妻の浮気に気づいた順平のこじれた愛は刃傷沙汰に発展！家が売れなくなるピンチに万智は留守堂とタッグを組み、新宿営業所をあげて驚愕の作戦を実行する</t>
    </r>
    <r>
      <rPr>
        <rFont val="Arial"/>
        <sz val="10.0"/>
      </rPr>
      <t>!</t>
    </r>
  </si>
  <si>
    <t>互いの不倫を公認する八十多湊人（武田航平）・つぐみ（内山理名）夫妻を担当する万智(北川景子)。一方留守堂(松田翔太)は妻・まり（筧美和子）の愛を独り占めしたいという年上の夫・順平（橋爪淳）から家探しを相談される。実はまりは湊人と不倫関係にあって...。妻の浮気に気づいた順平のこじれた愛は刃傷沙汰に発展！家が売れなくなるピンチに万智は留守堂とタッグを組み、新宿営業所をあげて驚愕の作戦を実行する!</t>
  </si>
  <si>
    <t>番組名家売るオンナの逆襲#07 バリキャリvsワーママ!?仁義なき家爆売りGO!</t>
  </si>
  <si>
    <r>
      <rPr>
        <rFont val="ＭＳ Ｐゴシック"/>
        <sz val="10.0"/>
      </rPr>
      <t>輝く女性の活躍をアピールするための社内プロジェクトに選ばれた万智（北川景子）。しかし、チーム内のキャリアウーマン・朝倉雅美（佐藤江梨子）とワーキングマザー・宇佐美サキ（佐津川愛美）は何かと衝突。さらに家探しをしていた二人の希望物件がバッティング！雅美の担当・万智とサキの担当・留守堂（松田翔太）はなんとボウリングで決着をつけることに</t>
    </r>
    <r>
      <rPr>
        <rFont val="Arial"/>
        <sz val="10.0"/>
      </rPr>
      <t>…!!</t>
    </r>
    <r>
      <rPr>
        <rFont val="ＭＳ Ｐゴシック"/>
        <sz val="10.0"/>
      </rPr>
      <t>一方屋代</t>
    </r>
    <r>
      <rPr>
        <rFont val="Arial"/>
        <sz val="10.0"/>
      </rPr>
      <t>(</t>
    </r>
    <r>
      <rPr>
        <rFont val="ＭＳ Ｐゴシック"/>
        <sz val="10.0"/>
      </rPr>
      <t>仲村トオル</t>
    </r>
    <r>
      <rPr>
        <rFont val="Arial"/>
        <sz val="10.0"/>
      </rPr>
      <t>)</t>
    </r>
    <r>
      <rPr>
        <rFont val="ＭＳ Ｐゴシック"/>
        <sz val="10.0"/>
      </rPr>
      <t>と万智の夫婦関係も怪しい雲行きで</t>
    </r>
    <r>
      <rPr>
        <rFont val="Arial"/>
        <sz val="10.0"/>
      </rPr>
      <t>...</t>
    </r>
    <r>
      <rPr>
        <rFont val="ＭＳ Ｐゴシック"/>
        <sz val="10.0"/>
      </rPr>
      <t>。</t>
    </r>
  </si>
  <si>
    <t>輝く女性の活躍をアピールするための社内プロジェクトに選ばれた万智（北川景子）。しかし、チーム内のキャリアウーマン・朝倉雅美（佐藤江梨子）とワーキングマザー・宇佐美サキ（佐津川愛美）は何かと衝突。さらに家探しをしていた二人の希望物件がバッティング！雅美の担当・万智とサキの担当・留守堂（松田翔太）はなんとボウリングで決着をつけることに…!!一方屋代(仲村トオル)と万智の夫婦関係も怪しい雲行きで...。</t>
  </si>
  <si>
    <t>番組名家売るオンナの逆襲#08 三軒家チルドレン庭野の卒業!!涙の家爆売りGO!</t>
  </si>
  <si>
    <r>
      <rPr>
        <rFont val="ＭＳ Ｐゴシック"/>
        <sz val="10.0"/>
      </rPr>
      <t>庭野（工藤阿須加）のダメ父・茂雄（泉谷しげる）が来店。実家を売った金で夢を追いたいと話す茂雄だが、庭野はだらしなく商才のない茂雄の生活基盤を守るため家の売却に反対。しかし万智（北川景子）が家を売ると宣言する！担当客・棟方幸子（南野陽子）・すみれ（大後寿々花）母娘に自分を重ねた庭野は母の我儘に振り回されるすみれに共感し、万智の言いなりになるまいとするが</t>
    </r>
    <r>
      <rPr>
        <rFont val="Arial"/>
        <sz val="10.0"/>
      </rPr>
      <t xml:space="preserve">…!! </t>
    </r>
    <r>
      <rPr>
        <rFont val="ＭＳ Ｐゴシック"/>
        <sz val="10.0"/>
      </rPr>
      <t>そして夫婦の危機を前に万智を悲劇が襲う</t>
    </r>
    <r>
      <rPr>
        <rFont val="Arial"/>
        <sz val="10.0"/>
      </rPr>
      <t>!</t>
    </r>
  </si>
  <si>
    <t>庭野（工藤阿須加）のダメ父・茂雄（泉谷しげる）が来店。実家を売った金で夢を追いたいと話す茂雄だが、庭野はだらしなく商才のない茂雄の生活基盤を守るため家の売却に反対。しかし万智（北川景子）が家を売ると宣言する！担当客・棟方幸子（南野陽子）・すみれ（大後寿々花）母娘に自分を重ねた庭野は母の我儘に振り回されるすみれに共感し、万智の言いなりになるまいとするが…!! そして夫婦の危機を前に万智を悲劇が襲う!</t>
  </si>
  <si>
    <t>番組名家売るオンナの逆襲#09 友情愛情大錯綜で留守堂崩壊!?嵐の家爆売りGO!</t>
  </si>
  <si>
    <r>
      <rPr>
        <rFont val="ＭＳ Ｐゴシック"/>
        <sz val="10.0"/>
      </rPr>
      <t>万智（北川景子）は母（松金よね子）と同居するための家を探す独身女性・馬場礼子（酒井若菜）を担当。庭野（工藤阿須加）は古い家をリノベーションして売るため、施工会社の仲良し社員・真壁（入江甚儀）と協力する。そして足立（千葉雄大）は家を売るため偶然留守堂（松田翔太）と協力することに。そんな中、万智が庭野と真壁のリノベ物件をリノベし直して自分が売ると宣言！さらに今夜、孤独な留守堂の万智への愛が爆発する</t>
    </r>
    <r>
      <rPr>
        <rFont val="Arial"/>
        <sz val="10.0"/>
      </rPr>
      <t>!?</t>
    </r>
  </si>
  <si>
    <t>万智（北川景子）は母（松金よね子）と同居するための家を探す独身女性・馬場礼子（酒井若菜）を担当。庭野（工藤阿須加）は古い家をリノベーションして売るため、施工会社の仲良し社員・真壁（入江甚儀）と協力する。そして足立（千葉雄大）は家を売るため偶然留守堂（松田翔太）と協力することに。そんな中、万智が庭野と真壁のリノベ物件をリノベし直して自分が売ると宣言！さらに今夜、孤独な留守堂の万智への愛が爆発する!?</t>
  </si>
  <si>
    <t>番組名家売るオンナの逆襲#10 留守堂の逆襲!!今夜衝撃のラストショーが開幕!</t>
  </si>
  <si>
    <r>
      <t>)</t>
    </r>
    <r>
      <rPr>
        <rFont val="ＭＳ Ｐゴシック"/>
        <sz val="10.0"/>
      </rPr>
      <t>留守堂（松田翔太）が姿を消し１年。ライバル会社の急成長により新宿営業所は消滅危機を迎えていた。ライバルが次々部屋を買い上げているという集合住宅を訪れた万智（北川景子）と庭野（工藤阿須加）は立ち退きを拒否する兄弟・藤見明（笹野高史）と譲（本田博太郎）に出会い</t>
    </r>
    <r>
      <rPr>
        <rFont val="Arial"/>
        <sz val="10.0"/>
      </rPr>
      <t>…</t>
    </r>
    <r>
      <rPr>
        <rFont val="ＭＳ Ｐゴシック"/>
        <sz val="10.0"/>
      </rPr>
      <t>。さらに留守堂がライバル会社の副社長として暗躍していることが発覚！万智は驚愕のプラン実現のため、テーコー不動産社長（舘ひろし）の元を訪ねる</t>
    </r>
    <r>
      <rPr>
        <rFont val="Arial"/>
        <sz val="10.0"/>
      </rPr>
      <t>…</t>
    </r>
    <r>
      <rPr>
        <rFont val="ＭＳ Ｐゴシック"/>
        <sz val="10.0"/>
      </rPr>
      <t>。</t>
    </r>
  </si>
  <si>
    <t>)留守堂（松田翔太）が姿を消し１年。ライバル会社の急成長により新宿営業所は消滅危機を迎えていた。ライバルが次々部屋を買い上げているという集合住宅を訪れた万智（北川景子）と庭野（工藤阿須加）は立ち退きを拒否する兄弟・藤見明（笹野高史）と譲（本田博太郎）に出会い…。さらに留守堂がライバル会社の副社長として暗躍していることが発覚！万智は驚愕のプラン実現のため、テーコー不動産社長（舘ひろし）の元を訪ねる…。</t>
  </si>
  <si>
    <t>1901_NTV_木23</t>
  </si>
  <si>
    <t>人生が楽しくなる幸せの法則</t>
  </si>
  <si>
    <t>番組名木曜ドラマＦ「人生が楽しくなる幸せの法則」相席スタート・山崎ケイ原作！</t>
  </si>
  <si>
    <r>
      <rPr>
        <rFont val="ＭＳ Ｐゴシック"/>
        <sz val="10.0"/>
      </rPr>
      <t>ジャストライト物産に勤務する中川彩香</t>
    </r>
    <r>
      <rPr>
        <rFont val="Arial"/>
        <sz val="10.0"/>
      </rPr>
      <t>(</t>
    </r>
    <r>
      <rPr>
        <rFont val="ＭＳ Ｐゴシック"/>
        <sz val="10.0"/>
      </rPr>
      <t>夏菜</t>
    </r>
    <r>
      <rPr>
        <rFont val="Arial"/>
        <sz val="10.0"/>
      </rPr>
      <t>)</t>
    </r>
    <r>
      <rPr>
        <rFont val="ＭＳ Ｐゴシック"/>
        <sz val="10.0"/>
      </rPr>
      <t>、木原里琴</t>
    </r>
    <r>
      <rPr>
        <rFont val="Arial"/>
        <sz val="10.0"/>
      </rPr>
      <t>(</t>
    </r>
    <r>
      <rPr>
        <rFont val="ＭＳ Ｐゴシック"/>
        <sz val="10.0"/>
      </rPr>
      <t>高橋メアリージュン）、皆本佳恵（小林きな子）は、ある晩、流れ星の光に飲まれ</t>
    </r>
    <r>
      <rPr>
        <rFont val="Arial"/>
        <sz val="10.0"/>
      </rPr>
      <t>“</t>
    </r>
    <r>
      <rPr>
        <rFont val="ＭＳ Ｐゴシック"/>
        <sz val="10.0"/>
      </rPr>
      <t>ちょうどいいブスの神様</t>
    </r>
    <r>
      <rPr>
        <rFont val="Arial"/>
        <sz val="10.0"/>
      </rPr>
      <t>”</t>
    </r>
    <r>
      <rPr>
        <rFont val="ＭＳ Ｐゴシック"/>
        <sz val="10.0"/>
      </rPr>
      <t>（山崎ケイ（相席スタート））と出会う。神様は</t>
    </r>
    <r>
      <rPr>
        <rFont val="Arial"/>
        <sz val="10.0"/>
      </rPr>
      <t>“</t>
    </r>
    <r>
      <rPr>
        <rFont val="ＭＳ Ｐゴシック"/>
        <sz val="10.0"/>
      </rPr>
      <t>自己表現下手くそ女子</t>
    </r>
    <r>
      <rPr>
        <rFont val="Arial"/>
        <sz val="10.0"/>
      </rPr>
      <t>”</t>
    </r>
    <r>
      <rPr>
        <rFont val="ＭＳ Ｐゴシック"/>
        <sz val="10.0"/>
      </rPr>
      <t>の彩香、</t>
    </r>
    <r>
      <rPr>
        <rFont val="Arial"/>
        <sz val="10.0"/>
      </rPr>
      <t>“</t>
    </r>
    <r>
      <rPr>
        <rFont val="ＭＳ Ｐゴシック"/>
        <sz val="10.0"/>
      </rPr>
      <t>融通の利かない女子</t>
    </r>
    <r>
      <rPr>
        <rFont val="Arial"/>
        <sz val="10.0"/>
      </rPr>
      <t>”</t>
    </r>
    <r>
      <rPr>
        <rFont val="ＭＳ Ｐゴシック"/>
        <sz val="10.0"/>
      </rPr>
      <t>の里琴、</t>
    </r>
    <r>
      <rPr>
        <rFont val="Arial"/>
        <sz val="10.0"/>
      </rPr>
      <t>“</t>
    </r>
    <r>
      <rPr>
        <rFont val="ＭＳ Ｐゴシック"/>
        <sz val="10.0"/>
      </rPr>
      <t>開き直り女子</t>
    </r>
    <r>
      <rPr>
        <rFont val="Arial"/>
        <sz val="10.0"/>
      </rPr>
      <t>”</t>
    </r>
    <r>
      <rPr>
        <rFont val="ＭＳ Ｐゴシック"/>
        <sz val="10.0"/>
      </rPr>
      <t>の佳恵に、「おめでとう。あなた達は、私に選ばれました。私についてくれば、あなた達は必ず幸せになれます！」と語りかけるが</t>
    </r>
    <r>
      <rPr>
        <rFont val="Arial"/>
        <sz val="10.0"/>
      </rPr>
      <t>…</t>
    </r>
    <r>
      <rPr>
        <rFont val="ＭＳ Ｐゴシック"/>
        <sz val="10.0"/>
      </rPr>
      <t>。</t>
    </r>
  </si>
  <si>
    <t>ジャストライト物産に勤務する中川彩香(夏菜)、木原里琴(高橋メアリージュン）、皆本佳恵（小林きな子）は、ある晩、流れ星の光に飲まれ“ちょうどいいブスの神様”（山崎ケイ（相席スタート））と出会う。神様は“自己表現下手くそ女子”の彩香、“融通の利かない女子”の里琴、“開き直り女子”の佳恵に、「おめでとう。あなた達は、私に選ばれました。私についてくれば、あなた達は必ず幸せになれます！」と語りかけるが…。</t>
  </si>
  <si>
    <t>番組名木曜ドラマＦ「人生が楽しくなる幸せの法則」夏菜・高橋メアリージュン出演</t>
  </si>
  <si>
    <r>
      <rPr>
        <rFont val="ＭＳ Ｐゴシック"/>
        <sz val="10.0"/>
      </rPr>
      <t>大型契約を控えた得意先のアイザック・ベネット社長が突然、ジャストライト物産を訪れてきた。「抜き打ち視察だ！機嫌を損ねて契約破棄されると困る！」と社内は大慌て。一同総出で対応にあたるが、中川彩香</t>
    </r>
    <r>
      <rPr>
        <rFont val="Arial"/>
        <sz val="10.0"/>
      </rPr>
      <t>(</t>
    </r>
    <r>
      <rPr>
        <rFont val="ＭＳ Ｐゴシック"/>
        <sz val="10.0"/>
      </rPr>
      <t>夏菜</t>
    </r>
    <r>
      <rPr>
        <rFont val="Arial"/>
        <sz val="10.0"/>
      </rPr>
      <t>)</t>
    </r>
    <r>
      <rPr>
        <rFont val="ＭＳ Ｐゴシック"/>
        <sz val="10.0"/>
      </rPr>
      <t>、木原里琴</t>
    </r>
    <r>
      <rPr>
        <rFont val="Arial"/>
        <sz val="10.0"/>
      </rPr>
      <t>(</t>
    </r>
    <r>
      <rPr>
        <rFont val="ＭＳ Ｐゴシック"/>
        <sz val="10.0"/>
      </rPr>
      <t>高橋メアリージュン）、皆本佳恵（小林きな子）は的外れの対応ばかり。それを</t>
    </r>
    <r>
      <rPr>
        <rFont val="Arial"/>
        <sz val="10.0"/>
      </rPr>
      <t>“</t>
    </r>
    <r>
      <rPr>
        <rFont val="ＭＳ Ｐゴシック"/>
        <sz val="10.0"/>
      </rPr>
      <t>ちょうどいいブスの神様</t>
    </r>
    <r>
      <rPr>
        <rFont val="Arial"/>
        <sz val="10.0"/>
      </rPr>
      <t>”</t>
    </r>
    <r>
      <rPr>
        <rFont val="ＭＳ Ｐゴシック"/>
        <sz val="10.0"/>
      </rPr>
      <t>（山崎ケイ・相席スタート）は「あなた達に足りないのはコミュニケーション能力！」と指摘し</t>
    </r>
    <r>
      <rPr>
        <rFont val="Arial"/>
        <sz val="10.0"/>
      </rPr>
      <t>…</t>
    </r>
  </si>
  <si>
    <t>大型契約を控えた得意先のアイザック・ベネット社長が突然、ジャストライト物産を訪れてきた。「抜き打ち視察だ！機嫌を損ねて契約破棄されると困る！」と社内は大慌て。一同総出で対応にあたるが、中川彩香(夏菜)、木原里琴(高橋メアリージュン）、皆本佳恵（小林きな子）は的外れの対応ばかり。それを“ちょうどいいブスの神様”（山崎ケイ・相席スタート）は「あなた達に足りないのはコミュニケーション能力！」と指摘し…</t>
  </si>
  <si>
    <r>
      <rPr>
        <rFont val="ＭＳ Ｐゴシック"/>
        <sz val="10.0"/>
      </rPr>
      <t>彩香</t>
    </r>
    <r>
      <rPr>
        <rFont val="Arial"/>
        <sz val="10.0"/>
      </rPr>
      <t>(</t>
    </r>
    <r>
      <rPr>
        <rFont val="ＭＳ Ｐゴシック"/>
        <sz val="10.0"/>
      </rPr>
      <t>夏菜</t>
    </r>
    <r>
      <rPr>
        <rFont val="Arial"/>
        <sz val="10.0"/>
      </rPr>
      <t>)</t>
    </r>
    <r>
      <rPr>
        <rFont val="ＭＳ Ｐゴシック"/>
        <sz val="10.0"/>
      </rPr>
      <t>、里琴</t>
    </r>
    <r>
      <rPr>
        <rFont val="Arial"/>
        <sz val="10.0"/>
      </rPr>
      <t>(</t>
    </r>
    <r>
      <rPr>
        <rFont val="ＭＳ Ｐゴシック"/>
        <sz val="10.0"/>
      </rPr>
      <t>高橋メアリージュン）、佳恵（小林きな子）は自己評価と他人の評価が違いすぎる。ちょうどいいブスの神様（山崎ケイ）から「あなたたちは自分が見えてない！ブスと認めたのなら人並み以上の努力をしなきゃダメ！」と発破をかけられ、３人それぞれに挑戦し始める中、里琴が新人の福田（山本直寛）の教育係を引き受ける。しかし福田は取引先に絡んだミスを起こし、彩香は里琴と一緒に、ある無謀な行動に出る</t>
    </r>
    <r>
      <rPr>
        <rFont val="Arial"/>
        <sz val="10.0"/>
      </rPr>
      <t>…</t>
    </r>
    <r>
      <rPr>
        <rFont val="ＭＳ Ｐゴシック"/>
        <sz val="10.0"/>
      </rPr>
      <t>。</t>
    </r>
  </si>
  <si>
    <t>彩香(夏菜)、里琴(高橋メアリージュン）、佳恵（小林きな子）は自己評価と他人の評価が違いすぎる。ちょうどいいブスの神様（山崎ケイ）から「あなたたちは自分が見えてない！ブスと認めたのなら人並み以上の努力をしなきゃダメ！」と発破をかけられ、３人それぞれに挑戦し始める中、里琴が新人の福田（山本直寛）の教育係を引き受ける。しかし福田は取引先に絡んだミスを起こし、彩香は里琴と一緒に、ある無謀な行動に出る…。</t>
  </si>
  <si>
    <t>番組名木曜ドラマＦ「人生が楽しくなる幸せの法則」大号泣！波乱の予感！恋はRPG</t>
  </si>
  <si>
    <r>
      <rPr>
        <rFont val="ＭＳ Ｐゴシック"/>
        <sz val="10.0"/>
      </rPr>
      <t>中川彩香（夏菜）は、佐久間涼太（和田琢磨）から誘われたデートのことで頭がいっぱい。恋愛の必殺技など持たない彩香、木原里琴（高橋メアリージュン）、皆本佳恵（小林きな子）に、</t>
    </r>
    <r>
      <rPr>
        <rFont val="Arial"/>
        <sz val="10.0"/>
      </rPr>
      <t>“</t>
    </r>
    <r>
      <rPr>
        <rFont val="ＭＳ Ｐゴシック"/>
        <sz val="10.0"/>
      </rPr>
      <t>ちょうどいいブスの神様</t>
    </r>
    <r>
      <rPr>
        <rFont val="Arial"/>
        <sz val="10.0"/>
      </rPr>
      <t>”</t>
    </r>
    <r>
      <rPr>
        <rFont val="ＭＳ Ｐゴシック"/>
        <sz val="10.0"/>
      </rPr>
      <t>（山崎ケイ・相席スタート）は「</t>
    </r>
    <r>
      <rPr>
        <rFont val="Arial"/>
        <sz val="10.0"/>
      </rPr>
      <t>“</t>
    </r>
    <r>
      <rPr>
        <rFont val="ＭＳ Ｐゴシック"/>
        <sz val="10.0"/>
      </rPr>
      <t>ちょうどいいブスの恋は</t>
    </r>
    <r>
      <rPr>
        <rFont val="Arial"/>
        <sz val="10.0"/>
      </rPr>
      <t>RPG”!</t>
    </r>
    <r>
      <rPr>
        <rFont val="ＭＳ Ｐゴシック"/>
        <sz val="10.0"/>
      </rPr>
      <t>少しずつ経験値を積んで、ひとつひとつステージをクリアしていくの！」とアドバイス。彩香は「佐久間君と楽しく会話をすること」を目標に突き進むが</t>
    </r>
    <r>
      <rPr>
        <rFont val="Arial"/>
        <sz val="10.0"/>
      </rPr>
      <t>…</t>
    </r>
  </si>
  <si>
    <t>中川彩香（夏菜）は、佐久間涼太（和田琢磨）から誘われたデートのことで頭がいっぱい。恋愛の必殺技など持たない彩香、木原里琴（高橋メアリージュン）、皆本佳恵（小林きな子）に、“ちょうどいいブスの神様”（山崎ケイ・相席スタート）は「“ちょうどいいブスの恋はRPG”!少しずつ経験値を積んで、ひとつひとつステージをクリアしていくの！」とアドバイス。彩香は「佐久間君と楽しく会話をすること」を目標に突き進むが…</t>
  </si>
  <si>
    <t>番組名木曜ドラマＦ「人生が楽しくなる幸せの法則」ショック療法！透明人間やめます</t>
  </si>
  <si>
    <r>
      <rPr>
        <rFont val="ＭＳ Ｐゴシック"/>
        <sz val="10.0"/>
      </rPr>
      <t>神様からのレッスン５は、衝撃の「パンスト相撲」？失恋から立ち直れない中川彩香（夏菜）と皆本佳恵（小林きな子）に、</t>
    </r>
    <r>
      <rPr>
        <rFont val="Arial"/>
        <sz val="10.0"/>
      </rPr>
      <t>“</t>
    </r>
    <r>
      <rPr>
        <rFont val="ＭＳ Ｐゴシック"/>
        <sz val="10.0"/>
      </rPr>
      <t>ちょうどいいブスの神様</t>
    </r>
    <r>
      <rPr>
        <rFont val="Arial"/>
        <sz val="10.0"/>
      </rPr>
      <t>”</t>
    </r>
    <r>
      <rPr>
        <rFont val="ＭＳ Ｐゴシック"/>
        <sz val="10.0"/>
      </rPr>
      <t>（山崎ケイ・相席スタート）は</t>
    </r>
    <r>
      <rPr>
        <rFont val="Arial"/>
        <sz val="10.0"/>
      </rPr>
      <t>“</t>
    </r>
    <r>
      <rPr>
        <rFont val="ＭＳ Ｐゴシック"/>
        <sz val="10.0"/>
      </rPr>
      <t>ショック療法</t>
    </r>
    <r>
      <rPr>
        <rFont val="Arial"/>
        <sz val="10.0"/>
      </rPr>
      <t>”</t>
    </r>
    <r>
      <rPr>
        <rFont val="ＭＳ Ｐゴシック"/>
        <sz val="10.0"/>
      </rPr>
      <t>と称して合コンにチャレンジさせる。合コンに拒否反応を見せる彩香に、神様は「ちょうどいい距離を制する者が、全てを制す！」とアドバイス。そして彩香と佳恵のために、木原里琴（高橋メアリージュン）が合コンをセッティングするが</t>
    </r>
    <r>
      <rPr>
        <rFont val="Arial"/>
        <sz val="10.0"/>
      </rPr>
      <t>…</t>
    </r>
  </si>
  <si>
    <t>神様からのレッスン５は、衝撃の「パンスト相撲」？失恋から立ち直れない中川彩香（夏菜）と皆本佳恵（小林きな子）に、“ちょうどいいブスの神様”（山崎ケイ・相席スタート）は“ショック療法”と称して合コンにチャレンジさせる。合コンに拒否反応を見せる彩香に、神様は「ちょうどいい距離を制する者が、全てを制す！」とアドバイス。そして彩香と佳恵のために、木原里琴（高橋メアリージュン）が合コンをセッティングするが…</t>
  </si>
  <si>
    <t>番組名木曜ドラマＦ「人生が楽しくなる幸せの法則」恋のライバル！？強敵が出現!!</t>
  </si>
  <si>
    <r>
      <rPr>
        <rFont val="ＭＳ Ｐゴシック"/>
        <sz val="10.0"/>
      </rPr>
      <t>ちょうどいいブスの神様</t>
    </r>
    <r>
      <rPr>
        <rFont val="Arial"/>
        <sz val="10.0"/>
      </rPr>
      <t>”</t>
    </r>
    <r>
      <rPr>
        <rFont val="ＭＳ Ｐゴシック"/>
        <sz val="10.0"/>
      </rPr>
      <t>（山崎ケイ・相席スタート）から与えられた課題は「幸せが勝手に舞い込むなんて思ったら大間違い！受け身にならず、今こそ動く！」というもの。早速、中川彩香（夏菜）は、佐久間涼太（和田琢磨）が女性と言い争うのを見て、木原里琴（高橋メアリージュン）、皆本佳恵（小林きな子）と後をつける。すると涼太の思わぬ一面が発覚。「目に見えているものが真実とは限らない」と三人は引き続き行動するが</t>
    </r>
    <r>
      <rPr>
        <rFont val="Arial"/>
        <sz val="10.0"/>
      </rPr>
      <t>…</t>
    </r>
  </si>
  <si>
    <t>ちょうどいいブスの神様”（山崎ケイ・相席スタート）から与えられた課題は「幸せが勝手に舞い込むなんて思ったら大間違い！受け身にならず、今こそ動く！」というもの。早速、中川彩香（夏菜）は、佐久間涼太（和田琢磨）が女性と言い争うのを見て、木原里琴（高橋メアリージュン）、皆本佳恵（小林きな子）と後をつける。すると涼太の思わぬ一面が発覚。「目に見えているものが真実とは限らない」と三人は引き続き行動するが…</t>
  </si>
  <si>
    <t>番組名木曜ドラマＦ「人生が楽しくなる幸せの法則」大波乱！怒涛の逆襲編スタート</t>
  </si>
  <si>
    <r>
      <t>“</t>
    </r>
    <r>
      <rPr>
        <rFont val="ＭＳ Ｐゴシック"/>
        <sz val="10.0"/>
      </rPr>
      <t>ちょうどいいブスの神様</t>
    </r>
    <r>
      <rPr>
        <rFont val="Arial"/>
        <sz val="10.0"/>
      </rPr>
      <t>”</t>
    </r>
    <r>
      <rPr>
        <rFont val="ＭＳ Ｐゴシック"/>
        <sz val="10.0"/>
      </rPr>
      <t>（山崎ケイ・相席スタート）からの次なるミッションは「ブスな部分を長所に変える」。中川彩香（夏菜）は自己表現が下手なところ、木原里琴（高橋メアリージュン）は融通のきかないところ、皆本佳恵（小林きな子）は他人のアラ探しをしてしまうところを、個性ととらえて長所にしてしまえと言うのだが、やり方が分からない三人。「何事も挑戦！ブス</t>
    </r>
    <r>
      <rPr>
        <rFont val="Arial"/>
        <sz val="10.0"/>
      </rPr>
      <t xml:space="preserve"> Be ambitious!</t>
    </r>
    <r>
      <rPr>
        <rFont val="ＭＳ Ｐゴシック"/>
        <sz val="10.0"/>
      </rPr>
      <t>」と神様はけしかけるが</t>
    </r>
    <r>
      <rPr>
        <rFont val="Arial"/>
        <sz val="10.0"/>
      </rPr>
      <t>…</t>
    </r>
  </si>
  <si>
    <t>“ちょうどいいブスの神様”（山崎ケイ・相席スタート）からの次なるミッションは「ブスな部分を長所に変える」。中川彩香（夏菜）は自己表現が下手なところ、木原里琴（高橋メアリージュン）は融通のきかないところ、皆本佳恵（小林きな子）は他人のアラ探しをしてしまうところを、個性ととらえて長所にしてしまえと言うのだが、やり方が分からない三人。「何事も挑戦！ブス Be ambitious!」と神様はけしかけるが…</t>
  </si>
  <si>
    <t>番組名木曜ドラマＦ「人生が楽しくなる幸せの法則」ちょうどいいブスの３か条とは?</t>
  </si>
  <si>
    <r>
      <rPr>
        <rFont val="ＭＳ Ｐゴシック"/>
        <sz val="10.0"/>
      </rPr>
      <t>木原里琴（高橋メアリージュン）が情報漏洩の犯人だと疑われるが、中川彩香（夏菜）、皆本佳恵（小林きな子）は里琴を信じて疑わない。</t>
    </r>
    <r>
      <rPr>
        <rFont val="Arial"/>
        <sz val="10.0"/>
      </rPr>
      <t>“</t>
    </r>
    <r>
      <rPr>
        <rFont val="ＭＳ Ｐゴシック"/>
        <sz val="10.0"/>
      </rPr>
      <t>ちょうどいいブスの神様</t>
    </r>
    <r>
      <rPr>
        <rFont val="Arial"/>
        <sz val="10.0"/>
      </rPr>
      <t>”</t>
    </r>
    <r>
      <rPr>
        <rFont val="ＭＳ Ｐゴシック"/>
        <sz val="10.0"/>
      </rPr>
      <t>（山崎ケイ・相席スタート）は、そんな３人の友情を褒めたたえ、ブス３か条「真実を見抜く目を持つ」「気高き精神を持つ」「仲間を裏切らない」を掲げて仲間のピンチを救えと言う。そんな折、</t>
    </r>
    <r>
      <rPr>
        <rFont val="Arial"/>
        <sz val="10.0"/>
      </rPr>
      <t>“</t>
    </r>
    <r>
      <rPr>
        <rFont val="ＭＳ Ｐゴシック"/>
        <sz val="10.0"/>
      </rPr>
      <t>ちょうどいいブス</t>
    </r>
    <r>
      <rPr>
        <rFont val="Arial"/>
        <sz val="10.0"/>
      </rPr>
      <t>”</t>
    </r>
    <r>
      <rPr>
        <rFont val="ＭＳ Ｐゴシック"/>
        <sz val="10.0"/>
      </rPr>
      <t>のレジェンド、松澤初美（伊藤修子）に不穏な動きが</t>
    </r>
    <r>
      <rPr>
        <rFont val="Arial"/>
        <sz val="10.0"/>
      </rPr>
      <t>…</t>
    </r>
  </si>
  <si>
    <t>木原里琴（高橋メアリージュン）が情報漏洩の犯人だと疑われるが、中川彩香（夏菜）、皆本佳恵（小林きな子）は里琴を信じて疑わない。“ちょうどいいブスの神様”（山崎ケイ・相席スタート）は、そんな３人の友情を褒めたたえ、ブス３か条「真実を見抜く目を持つ」「気高き精神を持つ」「仲間を裏切らない」を掲げて仲間のピンチを救えと言う。そんな折、“ちょうどいいブス”のレジェンド、松澤初美（伊藤修子）に不穏な動きが…</t>
  </si>
  <si>
    <t>番組名木曜ドラマＦ「人生が楽しくなる幸せの法則」勝負！ちょうどいいブス最終試験</t>
  </si>
  <si>
    <r>
      <rPr>
        <rFont val="ＭＳ Ｐゴシック"/>
        <sz val="10.0"/>
      </rPr>
      <t>ジャストライト物産が、ワンオアエイトカンパニーに吸収合併される見込みとなった。社長の神原重吉（田山涼成）は行方不明のままで、代わりに神原譲吉（阿南健治）が舵をとる。会社の行く末を心配する中川彩香</t>
    </r>
    <r>
      <rPr>
        <rFont val="Arial"/>
        <sz val="10.0"/>
      </rPr>
      <t>(</t>
    </r>
    <r>
      <rPr>
        <rFont val="ＭＳ Ｐゴシック"/>
        <sz val="10.0"/>
      </rPr>
      <t>夏菜</t>
    </r>
    <r>
      <rPr>
        <rFont val="Arial"/>
        <sz val="10.0"/>
      </rPr>
      <t>)</t>
    </r>
    <r>
      <rPr>
        <rFont val="ＭＳ Ｐゴシック"/>
        <sz val="10.0"/>
      </rPr>
      <t>、木原里琴</t>
    </r>
    <r>
      <rPr>
        <rFont val="Arial"/>
        <sz val="10.0"/>
      </rPr>
      <t>(</t>
    </r>
    <r>
      <rPr>
        <rFont val="ＭＳ Ｐゴシック"/>
        <sz val="10.0"/>
      </rPr>
      <t>高橋メアリージュン）、皆本佳恵（小林きな子）に、</t>
    </r>
    <r>
      <rPr>
        <rFont val="Arial"/>
        <sz val="10.0"/>
      </rPr>
      <t>“</t>
    </r>
    <r>
      <rPr>
        <rFont val="ＭＳ Ｐゴシック"/>
        <sz val="10.0"/>
      </rPr>
      <t>ちょうどいいブスの神様</t>
    </r>
    <r>
      <rPr>
        <rFont val="Arial"/>
        <sz val="10.0"/>
      </rPr>
      <t>”</t>
    </r>
    <r>
      <rPr>
        <rFont val="ＭＳ Ｐゴシック"/>
        <sz val="10.0"/>
      </rPr>
      <t>（山崎ケイ・相席スタート）は意外なミッションを与える。そしてそれは</t>
    </r>
    <r>
      <rPr>
        <rFont val="Arial"/>
        <sz val="10.0"/>
      </rPr>
      <t>“</t>
    </r>
    <r>
      <rPr>
        <rFont val="ＭＳ Ｐゴシック"/>
        <sz val="10.0"/>
      </rPr>
      <t>ちょうどいいブス</t>
    </r>
    <r>
      <rPr>
        <rFont val="Arial"/>
        <sz val="10.0"/>
      </rPr>
      <t>”</t>
    </r>
    <r>
      <rPr>
        <rFont val="ＭＳ Ｐゴシック"/>
        <sz val="10.0"/>
      </rPr>
      <t>の卒業試験でもあり</t>
    </r>
    <r>
      <rPr>
        <rFont val="Arial"/>
        <sz val="10.0"/>
      </rPr>
      <t>…</t>
    </r>
  </si>
  <si>
    <t>ジャストライト物産が、ワンオアエイトカンパニーに吸収合併される見込みとなった。社長の神原重吉（田山涼成）は行方不明のままで、代わりに神原譲吉（阿南健治）が舵をとる。会社の行く末を心配する中川彩香(夏菜)、木原里琴(高橋メアリージュン）、皆本佳恵（小林きな子）に、“ちょうどいいブスの神様”（山崎ケイ・相席スタート）は意外なミッションを与える。そしてそれは“ちょうどいいブス”の卒業試験でもあり…</t>
  </si>
  <si>
    <t>番組名木曜ドラマＦ「人生が楽しくなる幸せの法則」幸せ目前？恋愛大波乱の最終回!</t>
  </si>
  <si>
    <r>
      <rPr>
        <rFont val="ＭＳ Ｐゴシック"/>
        <sz val="10.0"/>
      </rPr>
      <t>幸せを目前にして逃げ出してしまう中川彩香</t>
    </r>
    <r>
      <rPr>
        <rFont val="Arial"/>
        <sz val="10.0"/>
      </rPr>
      <t>(</t>
    </r>
    <r>
      <rPr>
        <rFont val="ＭＳ Ｐゴシック"/>
        <sz val="10.0"/>
      </rPr>
      <t>夏菜</t>
    </r>
    <r>
      <rPr>
        <rFont val="Arial"/>
        <sz val="10.0"/>
      </rPr>
      <t>)</t>
    </r>
    <r>
      <rPr>
        <rFont val="ＭＳ Ｐゴシック"/>
        <sz val="10.0"/>
      </rPr>
      <t>、木原里琴</t>
    </r>
    <r>
      <rPr>
        <rFont val="Arial"/>
        <sz val="10.0"/>
      </rPr>
      <t>(</t>
    </r>
    <r>
      <rPr>
        <rFont val="ＭＳ Ｐゴシック"/>
        <sz val="10.0"/>
      </rPr>
      <t>高橋メアリージュン）、皆本佳恵（小林きな子）。その三人は黒い</t>
    </r>
    <r>
      <rPr>
        <rFont val="Arial"/>
        <sz val="10.0"/>
      </rPr>
      <t>“</t>
    </r>
    <r>
      <rPr>
        <rFont val="ＭＳ Ｐゴシック"/>
        <sz val="10.0"/>
      </rPr>
      <t>ブスノート</t>
    </r>
    <r>
      <rPr>
        <rFont val="Arial"/>
        <sz val="10.0"/>
      </rPr>
      <t>”</t>
    </r>
    <r>
      <rPr>
        <rFont val="ＭＳ Ｐゴシック"/>
        <sz val="10.0"/>
      </rPr>
      <t>を手にして</t>
    </r>
    <r>
      <rPr>
        <rFont val="Arial"/>
        <sz val="10.0"/>
      </rPr>
      <t>“</t>
    </r>
    <r>
      <rPr>
        <rFont val="ＭＳ Ｐゴシック"/>
        <sz val="10.0"/>
      </rPr>
      <t>ちょうどいいブスの神様</t>
    </r>
    <r>
      <rPr>
        <rFont val="Arial"/>
        <sz val="10.0"/>
      </rPr>
      <t>”</t>
    </r>
    <r>
      <rPr>
        <rFont val="ＭＳ Ｐゴシック"/>
        <sz val="10.0"/>
      </rPr>
      <t>（山崎ケイ・相席スタート）の記憶を取り戻す。そして再び神様に会うことを願うが、手立てが見つからない。一方、三人のことがいまだに気になる神様は、助手のコロンブスに乗せられ、踏ん切りをつけるために「エア卒業式」を行うことにするが</t>
    </r>
    <r>
      <rPr>
        <rFont val="Arial"/>
        <sz val="10.0"/>
      </rPr>
      <t>…</t>
    </r>
    <r>
      <rPr>
        <rFont val="ＭＳ Ｐゴシック"/>
        <sz val="10.0"/>
      </rPr>
      <t>。</t>
    </r>
  </si>
  <si>
    <t>幸せを目前にして逃げ出してしまう中川彩香(夏菜)、木原里琴(高橋メアリージュン）、皆本佳恵（小林きな子）。その三人は黒い“ブスノート”を手にして“ちょうどいいブスの神様”（山崎ケイ・相席スタート）の記憶を取り戻す。そして再び神様に会うことを願うが、手立てが見つからない。一方、三人のことがいまだに気になる神様は、助手のコロンブスに乗せられ、踏ん切りをつけるために「エア卒業式」を行うことにするが…。</t>
  </si>
  <si>
    <t>1901_NTV_土22</t>
  </si>
  <si>
    <t>イノセンス</t>
  </si>
  <si>
    <t>番組名イノセンス 冤罪弁護士#1【無実の弱者を救え！科学の力で逆転無罪！？】</t>
  </si>
  <si>
    <r>
      <rPr>
        <rFont val="ＭＳ Ｐゴシック"/>
        <sz val="10.0"/>
      </rPr>
      <t>黒川拓（坂口健太郎）は逆転無罪を</t>
    </r>
    <r>
      <rPr>
        <rFont val="Arial"/>
        <sz val="10.0"/>
      </rPr>
      <t>3</t>
    </r>
    <r>
      <rPr>
        <rFont val="ＭＳ Ｐゴシック"/>
        <sz val="10.0"/>
      </rPr>
      <t>年で</t>
    </r>
    <r>
      <rPr>
        <rFont val="Arial"/>
        <sz val="10.0"/>
      </rPr>
      <t>5</t>
    </r>
    <r>
      <rPr>
        <rFont val="ＭＳ Ｐゴシック"/>
        <sz val="10.0"/>
      </rPr>
      <t>件も勝ち取った敏腕若手弁護士。拓とバディを組み、振り回されながらも事件解決に向けて情熱を燃やす新米弁護士・和倉楓（川口春奈）。無実なのに罪に問われた弱者を救う弁護士・科学者（藤木直人）・ジャーナリスト（市川実日子）たちの活躍を描くヒューマン・リーガル・エンターテインメント！自宅放火の罪を着せられた男（吉田栄作）の冤罪を</t>
    </r>
    <r>
      <rPr>
        <rFont val="Arial"/>
        <sz val="10.0"/>
      </rPr>
      <t>“</t>
    </r>
    <r>
      <rPr>
        <rFont val="ＭＳ Ｐゴシック"/>
        <sz val="10.0"/>
      </rPr>
      <t>科学の力</t>
    </r>
    <r>
      <rPr>
        <rFont val="Arial"/>
        <sz val="10.0"/>
      </rPr>
      <t>”</t>
    </r>
    <r>
      <rPr>
        <rFont val="ＭＳ Ｐゴシック"/>
        <sz val="10.0"/>
      </rPr>
      <t>で晴らすことができるのか</t>
    </r>
    <r>
      <rPr>
        <rFont val="Arial"/>
        <sz val="10.0"/>
      </rPr>
      <t>!?</t>
    </r>
  </si>
  <si>
    <t>黒川拓（坂口健太郎）は逆転無罪を3年で5件も勝ち取った敏腕若手弁護士。拓とバディを組み、振り回されながらも事件解決に向けて情熱を燃やす新米弁護士・和倉楓（川口春奈）。無実なのに罪に問われた弱者を救う弁護士・科学者（藤木直人）・ジャーナリスト（市川実日子）たちの活躍を描くヒューマン・リーガル・エンターテインメント！自宅放火の罪を着せられた男（吉田栄作）の冤罪を“科学の力”で晴らすことができるのか!?</t>
  </si>
  <si>
    <t>番組名イノセンス 冤罪弁護士#2【夢追う息子がコンビニ強盗!?信じる母の願い!】</t>
  </si>
  <si>
    <r>
      <rPr>
        <rFont val="ＭＳ Ｐゴシック"/>
        <sz val="10.0"/>
      </rPr>
      <t>コンビニ強盗で逮捕された十勝岳雄（山田裕貴）の依頼を受けた拓</t>
    </r>
    <r>
      <rPr>
        <rFont val="Arial"/>
        <sz val="10.0"/>
      </rPr>
      <t>(</t>
    </r>
    <r>
      <rPr>
        <rFont val="ＭＳ Ｐゴシック"/>
        <sz val="10.0"/>
      </rPr>
      <t>坂口健太郎</t>
    </r>
    <r>
      <rPr>
        <rFont val="Arial"/>
        <sz val="10.0"/>
      </rPr>
      <t>)</t>
    </r>
    <r>
      <rPr>
        <rFont val="ＭＳ Ｐゴシック"/>
        <sz val="10.0"/>
      </rPr>
      <t>と楓</t>
    </r>
    <r>
      <rPr>
        <rFont val="Arial"/>
        <sz val="10.0"/>
      </rPr>
      <t>(</t>
    </r>
    <r>
      <rPr>
        <rFont val="ＭＳ Ｐゴシック"/>
        <sz val="10.0"/>
      </rPr>
      <t>川口春奈</t>
    </r>
    <r>
      <rPr>
        <rFont val="Arial"/>
        <sz val="10.0"/>
      </rPr>
      <t>)</t>
    </r>
    <r>
      <rPr>
        <rFont val="ＭＳ Ｐゴシック"/>
        <sz val="10.0"/>
      </rPr>
      <t>。母子家庭で育ち不良だった岳雄は態度が悪く二人を追い返す。料理人になるため更生したはずの息子の無実を信じる母・睦美（仙道敦子）</t>
    </r>
    <r>
      <rPr>
        <rFont val="Arial"/>
        <sz val="10.0"/>
      </rPr>
      <t xml:space="preserve"> </t>
    </r>
    <r>
      <rPr>
        <rFont val="ＭＳ Ｐゴシック"/>
        <sz val="10.0"/>
      </rPr>
      <t>から改めて依頼を受ける二人だが、状況は限りなく黒。しかし、調べるうちに偏見と警察の杜撰な捜査が明らかに。岳雄のアリバイを証明するべく、拓は秋保（藤木直人）と再び衝撃の実験を行う</t>
    </r>
    <r>
      <rPr>
        <rFont val="Arial"/>
        <sz val="10.0"/>
      </rPr>
      <t>……</t>
    </r>
  </si>
  <si>
    <t>コンビニ強盗で逮捕された十勝岳雄（山田裕貴）の依頼を受けた拓(坂口健太郎)と楓(川口春奈)。母子家庭で育ち不良だった岳雄は態度が悪く二人を追い返す。料理人になるため更生したはずの息子の無実を信じる母・睦美（仙道敦子） から改めて依頼を受ける二人だが、状況は限りなく黒。しかし、調べるうちに偏見と警察の杜撰な捜査が明らかに。岳雄のアリバイを証明するべく、拓は秋保（藤木直人）と再び衝撃の実験を行う……</t>
  </si>
  <si>
    <t>番組名イノセンス 冤罪弁護士#3【白い巨塔で医療ミス!?陰謀から無実の医師を救え】</t>
  </si>
  <si>
    <t>聡子（市川実日子）は心臓手術の医療ミスで逮捕された医師・雲仙（平岳大）の冤罪を晴らしてほしいという看護師・白山（青野楓）を、拓（坂口健太郎）の元へ連れてくる。雲仙の同期で出世頭の磐梯（山本耕史）に話を聞く拓たちだが、手術に立ち会ったスタッフには会わせてもらえず、病院側から渡された内部調査報告書もデタラメであることが発覚。病院側は雲仙のミスとして事態を終息させるため、組織ぐるみの隠蔽をしていたー。</t>
  </si>
  <si>
    <t>番組名イノセンス 冤罪弁護士#4【海底の砂だけが知る孤独なOLの嫉妬と殺意!】</t>
  </si>
  <si>
    <r>
      <rPr>
        <rFont val="ＭＳ Ｐゴシック"/>
        <sz val="10.0"/>
      </rPr>
      <t>食玩メーカーの</t>
    </r>
    <r>
      <rPr>
        <rFont val="Arial"/>
        <sz val="10.0"/>
      </rPr>
      <t>OL</t>
    </r>
    <r>
      <rPr>
        <rFont val="ＭＳ Ｐゴシック"/>
        <sz val="10.0"/>
      </rPr>
      <t>・小笠原奈美</t>
    </r>
    <r>
      <rPr>
        <rFont val="Arial"/>
        <sz val="10.0"/>
      </rPr>
      <t>(</t>
    </r>
    <r>
      <rPr>
        <rFont val="ＭＳ Ｐゴシック"/>
        <sz val="10.0"/>
      </rPr>
      <t>ともさかりえ）が同僚の姫島理沙（入山法子）殺害容疑で逮捕される。好意を寄せる奈美からの弁護依頼に浮かれる登別（正名僕蔵）だが、企業法務専門の登別に勝ち目はないと、拓（坂口健太郎）たちが引き継ぐ。現場に赴いた拓は、真冬の海に入ると海中に顔を押し付け事件を検証するが</t>
    </r>
    <r>
      <rPr>
        <rFont val="Arial"/>
        <sz val="10.0"/>
      </rPr>
      <t>…</t>
    </r>
    <r>
      <rPr>
        <rFont val="ＭＳ Ｐゴシック"/>
        <sz val="10.0"/>
      </rPr>
      <t>。有力な証拠がないまま裁判を迎え、さらに証人である奈美の上司の意外な一言が一気に拓たちを窮地に追い込む</t>
    </r>
    <r>
      <rPr>
        <rFont val="Arial"/>
        <sz val="10.0"/>
      </rPr>
      <t>!</t>
    </r>
  </si>
  <si>
    <t>食玩メーカーのOL・小笠原奈美(ともさかりえ）が同僚の姫島理沙（入山法子）殺害容疑で逮捕される。好意を寄せる奈美からの弁護依頼に浮かれる登別（正名僕蔵）だが、企業法務専門の登別に勝ち目はないと、拓（坂口健太郎）たちが引き継ぐ。現場に赴いた拓は、真冬の海に入ると海中に顔を押し付け事件を検証するが…。有力な証拠がないまま裁判を迎え、さらに証人である奈美の上司の意外な一言が一気に拓たちを窮地に追い込む!</t>
  </si>
  <si>
    <t>番組名イノセンス 冤罪弁護士#5【盗撮動画で体罰パワハラ教師に社会的制裁の罠！】</t>
  </si>
  <si>
    <r>
      <rPr>
        <rFont val="ＭＳ Ｐゴシック"/>
        <sz val="10.0"/>
      </rPr>
      <t>拓（坂口健太郎）と楓（川口春奈）の元に弁護依頼に訪れた、高校の名門フェンシング部顧問の高松（豊原功補）は、指導中の突きによってエース部員の藤里（清水尋也）を心停止させたとして在宅起訴されたという。優秀な指導者だと生徒や学校関係者からの評判も良く、副部長の田代（柾木玲弥）は高松のためなら裁判で証言をしてもいいと申し出る。そして迎えた証人尋問の日、耳を疑うような田代の証言と体罰動画で法廷は大混乱に</t>
    </r>
    <r>
      <rPr>
        <rFont val="Arial"/>
        <sz val="10.0"/>
      </rPr>
      <t>!!</t>
    </r>
  </si>
  <si>
    <t>拓（坂口健太郎）と楓（川口春奈）の元に弁護依頼に訪れた、高校の名門フェンシング部顧問の高松（豊原功補）は、指導中の突きによってエース部員の藤里（清水尋也）を心停止させたとして在宅起訴されたという。優秀な指導者だと生徒や学校関係者からの評判も良く、副部長の田代（柾木玲弥）は高松のためなら裁判で証言をしてもいいと申し出る。そして迎えた証人尋問の日、耳を疑うような田代の証言と体罰動画で法廷は大混乱に!!</t>
  </si>
  <si>
    <t>番組名イノセンス 冤罪弁護士#6【射殺＆幼児誘拐事件発生！消えたベース音の謎！】</t>
  </si>
  <si>
    <r>
      <rPr>
        <rFont val="ＭＳ Ｐゴシック"/>
        <sz val="10.0"/>
      </rPr>
      <t>射殺事件が発生。社長子息・裕也（須賀健太）の弁護をすることになった拓（坂口健太郎）と楓（川口春奈）。裕也は犯行を否認するが、証拠が揃っている上に評判も最悪。使用人の有珠田（吹越満）は、事件当日裕也は部屋でベースを弾いていたと言うが、近所でその音を聞いた者はゼロ。そんな中、パラリーガルの穂香（趣里）の息子が誘拐され、弁護をやめないと子供の命はないと脅迫される。拓たちは、穂香の息子の命を救えるのか</t>
    </r>
    <r>
      <rPr>
        <rFont val="Arial"/>
        <sz val="10.0"/>
      </rPr>
      <t>?!</t>
    </r>
  </si>
  <si>
    <t>射殺事件が発生。社長子息・裕也（須賀健太）の弁護をすることになった拓（坂口健太郎）と楓（川口春奈）。裕也は犯行を否認するが、証拠が揃っている上に評判も最悪。使用人の有珠田（吹越満）は、事件当日裕也は部屋でベースを弾いていたと言うが、近所でその音を聞いた者はゼロ。そんな中、パラリーガルの穂香（趣里）の息子が誘拐され、弁護をやめないと子供の命はないと脅迫される。拓たちは、穂香の息子の命を救えるのか?!</t>
  </si>
  <si>
    <t>番組名イノセンス 冤罪弁護士#7【命がけの再現実験で悪女の仕掛けた罠を暴け!!】</t>
  </si>
  <si>
    <r>
      <rPr>
        <rFont val="ＭＳ Ｐゴシック"/>
        <sz val="10.0"/>
      </rPr>
      <t>拓</t>
    </r>
    <r>
      <rPr>
        <rFont val="Arial"/>
        <sz val="10.0"/>
      </rPr>
      <t>(</t>
    </r>
    <r>
      <rPr>
        <rFont val="ＭＳ Ｐゴシック"/>
        <sz val="10.0"/>
      </rPr>
      <t>坂口健太郎</t>
    </r>
    <r>
      <rPr>
        <rFont val="Arial"/>
        <sz val="10.0"/>
      </rPr>
      <t>)</t>
    </r>
    <r>
      <rPr>
        <rFont val="ＭＳ Ｐゴシック"/>
        <sz val="10.0"/>
      </rPr>
      <t>と楓</t>
    </r>
    <r>
      <rPr>
        <rFont val="Arial"/>
        <sz val="10.0"/>
      </rPr>
      <t>(</t>
    </r>
    <r>
      <rPr>
        <rFont val="ＭＳ Ｐゴシック"/>
        <sz val="10.0"/>
      </rPr>
      <t>川口春奈</t>
    </r>
    <r>
      <rPr>
        <rFont val="Arial"/>
        <sz val="10.0"/>
      </rPr>
      <t>)</t>
    </r>
    <r>
      <rPr>
        <rFont val="ＭＳ Ｐゴシック"/>
        <sz val="10.0"/>
      </rPr>
      <t>は、</t>
    </r>
    <r>
      <rPr>
        <rFont val="Arial"/>
        <sz val="10.0"/>
      </rPr>
      <t>“</t>
    </r>
    <r>
      <rPr>
        <rFont val="ＭＳ Ｐゴシック"/>
        <sz val="10.0"/>
      </rPr>
      <t>青梅のカサノバ</t>
    </r>
    <r>
      <rPr>
        <rFont val="Arial"/>
        <sz val="10.0"/>
      </rPr>
      <t>”</t>
    </r>
    <r>
      <rPr>
        <rFont val="ＭＳ Ｐゴシック"/>
        <sz val="10.0"/>
      </rPr>
      <t>と呼ばれる資産家の夫を殺したとされる若妻・満里奈（川島海荷）を弁護することに。夫が死ぬまで窓から外出していたと疑われた満里奈だが防犯カメラには一酸化炭素の充満した部屋に１時間以上いた証拠が</t>
    </r>
    <r>
      <rPr>
        <rFont val="Arial"/>
        <sz val="10.0"/>
      </rPr>
      <t>…</t>
    </r>
    <r>
      <rPr>
        <rFont val="ＭＳ Ｐゴシック"/>
        <sz val="10.0"/>
      </rPr>
      <t>。調査を進めるうちに依頼人の嘘を暴くかもしれないことに気づいた拓は、弁護士としてどうすべきか葛藤する。そして秋保</t>
    </r>
    <r>
      <rPr>
        <rFont val="Arial"/>
        <sz val="10.0"/>
      </rPr>
      <t>(</t>
    </r>
    <r>
      <rPr>
        <rFont val="ＭＳ Ｐゴシック"/>
        <sz val="10.0"/>
      </rPr>
      <t>藤木直人</t>
    </r>
    <r>
      <rPr>
        <rFont val="Arial"/>
        <sz val="10.0"/>
      </rPr>
      <t>)</t>
    </r>
    <r>
      <rPr>
        <rFont val="ＭＳ Ｐゴシック"/>
        <sz val="10.0"/>
      </rPr>
      <t>らと命がけの再現実験を決行する</t>
    </r>
    <r>
      <rPr>
        <rFont val="Arial"/>
        <sz val="10.0"/>
      </rPr>
      <t>!!</t>
    </r>
  </si>
  <si>
    <t>拓(坂口健太郎)と楓(川口春奈)は、“青梅のカサノバ”と呼ばれる資産家の夫を殺したとされる若妻・満里奈（川島海荷）を弁護することに。夫が死ぬまで窓から外出していたと疑われた満里奈だが防犯カメラには一酸化炭素の充満した部屋に１時間以上いた証拠が…。調査を進めるうちに依頼人の嘘を暴くかもしれないことに気づいた拓は、弁護士としてどうすべきか葛藤する。そして秋保(藤木直人)らと命がけの再現実験を決行する!!</t>
  </si>
  <si>
    <t>番組名イノセンス 冤罪弁護士#8【死刑囚を冤罪から救え!!24年前のお化けの謎】</t>
  </si>
  <si>
    <r>
      <rPr>
        <rFont val="ＭＳ Ｐゴシック"/>
        <sz val="10.0"/>
      </rPr>
      <t>癌で余命宣告を受けた、</t>
    </r>
    <r>
      <rPr>
        <rFont val="Arial"/>
        <sz val="10.0"/>
      </rPr>
      <t>24</t>
    </r>
    <r>
      <rPr>
        <rFont val="ＭＳ Ｐゴシック"/>
        <sz val="10.0"/>
      </rPr>
      <t>年前の毒殺事件の死刑囚・式根</t>
    </r>
    <r>
      <rPr>
        <rFont val="Arial"/>
        <sz val="10.0"/>
      </rPr>
      <t>(</t>
    </r>
    <r>
      <rPr>
        <rFont val="ＭＳ Ｐゴシック"/>
        <sz val="10.0"/>
      </rPr>
      <t>片岡鶴太郎</t>
    </r>
    <r>
      <rPr>
        <rFont val="Arial"/>
        <sz val="10.0"/>
      </rPr>
      <t>)</t>
    </r>
    <r>
      <rPr>
        <rFont val="ＭＳ Ｐゴシック"/>
        <sz val="10.0"/>
      </rPr>
      <t>の冤罪を、生きている内に晴らしてほしいと聡子（市川実日子）から頼まれた拓（坂口健太郎）。マスコミから追われ続けた式根の娘・玲子（星野真里）からは、これ以上苦しめないでほしいと協力を拒絶される。当時の『引き当たり捜査』の写真に違和感を感じた拓は、秋保（藤木直人）の協力を得て警察が証拠を捏造したことを発見！希望の光は見えるのか</t>
    </r>
    <r>
      <rPr>
        <rFont val="Arial"/>
        <sz val="10.0"/>
      </rPr>
      <t>……!?</t>
    </r>
  </si>
  <si>
    <t>癌で余命宣告を受けた、24年前の毒殺事件の死刑囚・式根(片岡鶴太郎)の冤罪を、生きている内に晴らしてほしいと聡子（市川実日子）から頼まれた拓（坂口健太郎）。マスコミから追われ続けた式根の娘・玲子（星野真里）からは、これ以上苦しめないでほしいと協力を拒絶される。当時の『引き当たり捜査』の写真に違和感を感じた拓は、秋保（藤木直人）の協力を得て警察が証拠を捏造したことを発見！希望の光は見えるのか……!?</t>
  </si>
  <si>
    <t>番組名イノセンス 冤罪弁護士#9【ついに最終章！追い続けた11年前の事件再び!?】</t>
  </si>
  <si>
    <r>
      <rPr>
        <rFont val="ＭＳ Ｐゴシック"/>
        <sz val="10.0"/>
      </rPr>
      <t>都内で起きた美大生殺人事件と</t>
    </r>
    <r>
      <rPr>
        <rFont val="Arial"/>
        <sz val="10.0"/>
      </rPr>
      <t>11</t>
    </r>
    <r>
      <rPr>
        <rFont val="ＭＳ Ｐゴシック"/>
        <sz val="10.0"/>
      </rPr>
      <t>年前の事件の共通点を知った拓</t>
    </r>
    <r>
      <rPr>
        <rFont val="Arial"/>
        <sz val="10.0"/>
      </rPr>
      <t>(</t>
    </r>
    <r>
      <rPr>
        <rFont val="ＭＳ Ｐゴシック"/>
        <sz val="10.0"/>
      </rPr>
      <t>坂口健太郎</t>
    </r>
    <r>
      <rPr>
        <rFont val="Arial"/>
        <sz val="10.0"/>
      </rPr>
      <t>)</t>
    </r>
    <r>
      <rPr>
        <rFont val="ＭＳ Ｐゴシック"/>
        <sz val="10.0"/>
      </rPr>
      <t>は、被疑者・富士田</t>
    </r>
    <r>
      <rPr>
        <rFont val="Arial"/>
        <sz val="10.0"/>
      </rPr>
      <t>(</t>
    </r>
    <r>
      <rPr>
        <rFont val="ＭＳ Ｐゴシック"/>
        <sz val="10.0"/>
      </rPr>
      <t>坂本真</t>
    </r>
    <r>
      <rPr>
        <rFont val="Arial"/>
        <sz val="10.0"/>
      </rPr>
      <t>)</t>
    </r>
    <r>
      <rPr>
        <rFont val="ＭＳ Ｐゴシック"/>
        <sz val="10.0"/>
      </rPr>
      <t>に接見。犯行を疑われる内容を</t>
    </r>
    <r>
      <rPr>
        <rFont val="Arial"/>
        <sz val="10.0"/>
      </rPr>
      <t>SNS</t>
    </r>
    <r>
      <rPr>
        <rFont val="ＭＳ Ｐゴシック"/>
        <sz val="10.0"/>
      </rPr>
      <t>に上げていたことに違和感を覚える。浅間の無実を信じたい思いと、調べなければ分からないという理性の間で苦しむ拓に、新たな遺体が見つかり富士田が再逮捕された情報が入る！事件が連続殺人として脚光を浴びる中、</t>
    </r>
    <r>
      <rPr>
        <rFont val="Arial"/>
        <sz val="10.0"/>
      </rPr>
      <t>11</t>
    </r>
    <r>
      <rPr>
        <rFont val="ＭＳ Ｐゴシック"/>
        <sz val="10.0"/>
      </rPr>
      <t>年前の事件と拓との関係も掘り起こされ、拓は窮地に立たされる</t>
    </r>
    <r>
      <rPr>
        <rFont val="Arial"/>
        <sz val="10.0"/>
      </rPr>
      <t>!</t>
    </r>
  </si>
  <si>
    <t>都内で起きた美大生殺人事件と11年前の事件の共通点を知った拓(坂口健太郎)は、被疑者・富士田(坂本真)に接見。犯行を疑われる内容をSNSに上げていたことに違和感を覚える。浅間の無実を信じたい思いと、調べなければ分からないという理性の間で苦しむ拓に、新たな遺体が見つかり富士田が再逮捕された情報が入る！事件が連続殺人として脚光を浴びる中、11年前の事件と拓との関係も掘り起こされ、拓は窮地に立たされる!</t>
  </si>
  <si>
    <t>番組名イノセンス 冤罪弁護士#10【怒涛の最終話!!狂気の殺人犯vs冤罪弁護士】</t>
  </si>
  <si>
    <r>
      <rPr>
        <rFont val="ＭＳ Ｐゴシック"/>
        <sz val="10.0"/>
      </rPr>
      <t>楓（川口春奈）を刺した男・神津（武田真治）が自首。接見を願い出た拓（坂口健太郎）は、神津から</t>
    </r>
    <r>
      <rPr>
        <rFont val="Arial"/>
        <sz val="10.0"/>
      </rPr>
      <t>11</t>
    </r>
    <r>
      <rPr>
        <rFont val="ＭＳ Ｐゴシック"/>
        <sz val="10.0"/>
      </rPr>
      <t>年前に秋保の妹・彩花</t>
    </r>
    <r>
      <rPr>
        <rFont val="Arial"/>
        <sz val="10.0"/>
      </rPr>
      <t>(</t>
    </r>
    <r>
      <rPr>
        <rFont val="ＭＳ Ｐゴシック"/>
        <sz val="10.0"/>
      </rPr>
      <t>伊藤梨沙子</t>
    </r>
    <r>
      <rPr>
        <rFont val="Arial"/>
        <sz val="10.0"/>
      </rPr>
      <t>)</t>
    </r>
    <r>
      <rPr>
        <rFont val="ＭＳ Ｐゴシック"/>
        <sz val="10.0"/>
      </rPr>
      <t>を殺したのは自分だと告げられるが肝心の証拠がない。</t>
    </r>
    <r>
      <rPr>
        <rFont val="Arial"/>
        <sz val="10.0"/>
      </rPr>
      <t>11</t>
    </r>
    <r>
      <rPr>
        <rFont val="ＭＳ Ｐゴシック"/>
        <sz val="10.0"/>
      </rPr>
      <t>年前捜査に当たっていた元刑事・草津（佐藤Ｂ作）から現場遺留品の煙草の吸殻が証拠とされなかったという新事実を聴いた拓は、地裁に対し証拠品の開示と再審請求を行うが</t>
    </r>
    <r>
      <rPr>
        <rFont val="Arial"/>
        <sz val="10.0"/>
      </rPr>
      <t>……</t>
    </r>
    <r>
      <rPr>
        <rFont val="ＭＳ Ｐゴシック"/>
        <sz val="10.0"/>
      </rPr>
      <t>。それぞれの思いを胸に真実に迫る衝撃と感動の最終話</t>
    </r>
    <r>
      <rPr>
        <rFont val="Arial"/>
        <sz val="10.0"/>
      </rPr>
      <t>!!</t>
    </r>
  </si>
  <si>
    <t>楓（川口春奈）を刺した男・神津（武田真治）が自首。接見を願い出た拓（坂口健太郎）は、神津から11年前に秋保の妹・彩花(伊藤梨沙子)を殺したのは自分だと告げられるが肝心の証拠がない。11年前捜査に当たっていた元刑事・草津（佐藤Ｂ作）から現場遺留品の煙草の吸殻が証拠とされなかったという新事実を聴いた拓は、地裁に対し証拠品の開示と再審請求を行うが……。それぞれの思いを胸に真実に迫る衝撃と感動の最終話!!</t>
  </si>
  <si>
    <t>1810_NTV_水22</t>
  </si>
  <si>
    <t>獣になれない私たち</t>
  </si>
  <si>
    <t>番組名獣になれない私たち#01</t>
  </si>
  <si>
    <r>
      <rPr>
        <rFont val="ＭＳ Ｐゴシック"/>
        <sz val="10.0"/>
      </rPr>
      <t>クラフトビールバー「</t>
    </r>
    <r>
      <rPr>
        <rFont val="Arial"/>
        <sz val="10.0"/>
      </rPr>
      <t>5tap</t>
    </r>
    <r>
      <rPr>
        <rFont val="ＭＳ Ｐゴシック"/>
        <sz val="10.0"/>
      </rPr>
      <t>」で飲む</t>
    </r>
    <r>
      <rPr>
        <rFont val="Arial"/>
        <sz val="10.0"/>
      </rPr>
      <t>2</t>
    </r>
    <r>
      <rPr>
        <rFont val="ＭＳ Ｐゴシック"/>
        <sz val="10.0"/>
      </rPr>
      <t>組のカップル。晶（新垣結衣）と彼氏の京谷（田中圭）と、会計士の恒星（松田龍平）と呉羽（菊地凛子）。呉羽が突然「私結婚した」と告げ、驚く恒星。４人は一緒に呉羽の結婚を祝うことに。呉羽の「私と恒星はお互いに大して好きじゃなかったから」という言葉が気になる晶。晶には、京谷との間に「ある問題」があったのだ。翌日、晶は</t>
    </r>
    <r>
      <rPr>
        <rFont val="Arial"/>
        <sz val="10.0"/>
      </rPr>
      <t>5tap</t>
    </r>
    <r>
      <rPr>
        <rFont val="ＭＳ Ｐゴシック"/>
        <sz val="10.0"/>
      </rPr>
      <t>で恒星に出くわす。思い切って声をかけると</t>
    </r>
    <r>
      <rPr>
        <rFont val="Arial"/>
        <sz val="10.0"/>
      </rPr>
      <t>…</t>
    </r>
    <r>
      <rPr>
        <rFont val="ＭＳ Ｐゴシック"/>
        <sz val="10.0"/>
      </rPr>
      <t>。</t>
    </r>
  </si>
  <si>
    <t>クラフトビールバー「5tap」で飲む2組のカップル。晶（新垣結衣）と彼氏の京谷（田中圭）と、会計士の恒星（松田龍平）と呉羽（菊地凛子）。呉羽が突然「私結婚した」と告げ、驚く恒星。４人は一緒に呉羽の結婚を祝うことに。呉羽の「私と恒星はお互いに大して好きじゃなかったから」という言葉が気になる晶。晶には、京谷との間に「ある問題」があったのだ。翌日、晶は5tapで恒星に出くわす。思い切って声をかけると…。</t>
  </si>
  <si>
    <t>番組名獣になれない私たち#02</t>
  </si>
  <si>
    <r>
      <rPr>
        <rFont val="ＭＳ Ｐゴシック"/>
        <sz val="10.0"/>
      </rPr>
      <t>我慢し続けていた晶（新垣結衣）は、遂に長の九十九（山内圭哉）に業務改善要求を突き付け休暇をとる。しかし松任谷（伊藤沙莉）から、上野（犬飼貴丈）が大事な契約書を持ったまま無断欠勤しているので助けて欲しいと言われ、休みを返上し上野の家を訪ねるが、そこで思わぬ話を持ちかけられ</t>
    </r>
    <r>
      <rPr>
        <rFont val="Arial"/>
        <sz val="10.0"/>
      </rPr>
      <t>…</t>
    </r>
    <r>
      <rPr>
        <rFont val="ＭＳ Ｐゴシック"/>
        <sz val="10.0"/>
      </rPr>
      <t>。</t>
    </r>
    <r>
      <rPr>
        <rFont val="Arial"/>
        <sz val="10.0"/>
      </rPr>
      <t xml:space="preserve">  </t>
    </r>
    <r>
      <rPr>
        <rFont val="ＭＳ Ｐゴシック"/>
        <sz val="10.0"/>
      </rPr>
      <t>一方、恒星は初対面の会社社長・勝俣（八嶋智人）から、粉飾した税務申告書類に担当税理士として判を押すよう頼まれていた。</t>
    </r>
  </si>
  <si>
    <t>我慢し続けていた晶（新垣結衣）は、遂に長の九十九（山内圭哉）に業務改善要求を突き付け休暇をとる。しかし松任谷（伊藤沙莉）から、上野（犬飼貴丈）が大事な契約書を持ったまま無断欠勤しているので助けて欲しいと言われ、休みを返上し上野の家を訪ねるが、そこで思わぬ話を持ちかけられ…。  一方、恒星は初対面の会社社長・勝俣（八嶋智人）から、粉飾した税務申告書類に担当税理士として判を押すよう頼まれていた。</t>
  </si>
  <si>
    <t>番組名獣になれない私たち#03</t>
  </si>
  <si>
    <r>
      <rPr>
        <rFont val="ＭＳ Ｐゴシック"/>
        <sz val="10.0"/>
      </rPr>
      <t>ワンマン社長・九十九</t>
    </r>
    <r>
      <rPr>
        <rFont val="Arial"/>
        <sz val="10.0"/>
      </rPr>
      <t>(</t>
    </r>
    <r>
      <rPr>
        <rFont val="ＭＳ Ｐゴシック"/>
        <sz val="10.0"/>
      </rPr>
      <t>山内圭哉</t>
    </r>
    <r>
      <rPr>
        <rFont val="Arial"/>
        <sz val="10.0"/>
      </rPr>
      <t>)</t>
    </r>
    <r>
      <rPr>
        <rFont val="ＭＳ Ｐゴシック"/>
        <sz val="10.0"/>
      </rPr>
      <t>へ決死の業務改善要求をした結果、うやむやのまま「特別チーフクリエイター」に昇進させられてしまった晶（新垣結衣）。晶は、元彼女の朱里（黒木華）のことで疲れ切っている彼氏の京谷（田中圭）の前では自分のことは何も言えない</t>
    </r>
    <r>
      <rPr>
        <rFont val="Arial"/>
        <sz val="10.0"/>
      </rPr>
      <t xml:space="preserve">…  </t>
    </r>
    <r>
      <rPr>
        <rFont val="ＭＳ Ｐゴシック"/>
        <sz val="10.0"/>
      </rPr>
      <t>一方、恒星（松田龍平）の事務所に、突然訪ねてきた叔父から告げられたのは、数年前から行方不明になっていた兄が東京にいるらしいという情報だった</t>
    </r>
    <r>
      <rPr>
        <rFont val="Arial"/>
        <sz val="10.0"/>
      </rPr>
      <t>…</t>
    </r>
  </si>
  <si>
    <t>ワンマン社長・九十九(山内圭哉)へ決死の業務改善要求をした結果、うやむやのまま「特別チーフクリエイター」に昇進させられてしまった晶（新垣結衣）。晶は、元彼女の朱里（黒木華）のことで疲れ切っている彼氏の京谷（田中圭）の前では自分のことは何も言えない…  一方、恒星（松田龍平）の事務所に、突然訪ねてきた叔父から告げられたのは、数年前から行方不明になっていた兄が東京にいるらしいという情報だった…</t>
  </si>
  <si>
    <t>番組名獣になれない私たち#04</t>
  </si>
  <si>
    <r>
      <rPr>
        <rFont val="ＭＳ Ｐゴシック"/>
        <sz val="10.0"/>
      </rPr>
      <t>「家に居座り続ける元カノ・朱里（黒木華）」の事でケンカになった晶（新垣結衣）と京谷（田中圭）。晶は京谷のスマホに「ごめん」とメッセージを送るも既読にならない。一方、会社で服が昨日から変わっていないことを指摘される京谷・・・</t>
    </r>
    <r>
      <rPr>
        <rFont val="Arial"/>
        <sz val="10.0"/>
      </rPr>
      <t xml:space="preserve">  </t>
    </r>
    <r>
      <rPr>
        <rFont val="ＭＳ Ｐゴシック"/>
        <sz val="10.0"/>
      </rPr>
      <t>晶は、京谷がなくしたスマホを呉羽（菊地凛子）がもっていることを知り受け取りに。そこで呉羽から昨晩起きた衝撃の事実をきいた晶はパニックのまま恒星（松田龍平）の事務所へ・・・</t>
    </r>
    <r>
      <rPr>
        <rFont val="Arial"/>
        <sz val="10.0"/>
      </rPr>
      <t>!</t>
    </r>
  </si>
  <si>
    <t>「家に居座り続ける元カノ・朱里（黒木華）」の事でケンカになった晶（新垣結衣）と京谷（田中圭）。晶は京谷のスマホに「ごめん」とメッセージを送るも既読にならない。一方、会社で服が昨日から変わっていないことを指摘される京谷・・・  晶は、京谷がなくしたスマホを呉羽（菊地凛子）がもっていることを知り受け取りに。そこで呉羽から昨晩起きた衝撃の事実をきいた晶はパニックのまま恒星（松田龍平）の事務所へ・・・!</t>
  </si>
  <si>
    <t>番組名獣になれない私たち#05</t>
  </si>
  <si>
    <r>
      <rPr>
        <rFont val="ＭＳ Ｐゴシック"/>
        <sz val="10.0"/>
      </rPr>
      <t>京谷（田中圭）の家に暮らし続ける元カノ・朱里（黒木華）と遂に対面した晶（新垣結衣）。冷静に「ここを出て行くつもりありますか？」と問いかけるも、感情的に主張をぶつける朱里をみて、自分との違いを改めて突きつけられる。</t>
    </r>
    <r>
      <rPr>
        <rFont val="Arial"/>
        <sz val="10.0"/>
      </rPr>
      <t xml:space="preserve">  </t>
    </r>
    <r>
      <rPr>
        <rFont val="ＭＳ Ｐゴシック"/>
        <sz val="10.0"/>
      </rPr>
      <t>一方、晶と一夜を共にしたと聞いて逆上した京谷に殴られた恒星（松田龍平）。恒星も今まで目を背けていた呉羽（菊地凛子）の夫「橘カイジ」の名前を</t>
    </r>
    <r>
      <rPr>
        <rFont val="Arial"/>
        <sz val="10.0"/>
      </rPr>
      <t>PC</t>
    </r>
    <r>
      <rPr>
        <rFont val="ＭＳ Ｐゴシック"/>
        <sz val="10.0"/>
      </rPr>
      <t>で検索し、向き合うことを決意する。</t>
    </r>
  </si>
  <si>
    <t>京谷（田中圭）の家に暮らし続ける元カノ・朱里（黒木華）と遂に対面した晶（新垣結衣）。冷静に「ここを出て行くつもりありますか？」と問いかけるも、感情的に主張をぶつける朱里をみて、自分との違いを改めて突きつけられる。  一方、晶と一夜を共にしたと聞いて逆上した京谷に殴られた恒星（松田龍平）。恒星も今まで目を背けていた呉羽（菊地凛子）の夫「橘カイジ」の名前をPCで検索し、向き合うことを決意する。</t>
  </si>
  <si>
    <t>番組名獣になれない私たち#06</t>
  </si>
  <si>
    <r>
      <rPr>
        <rFont val="ＭＳ Ｐゴシック"/>
        <sz val="10.0"/>
      </rPr>
      <t>晶（新垣結衣）と恒星（松田龍平）は、路上でのキスを呉羽（菊地凛子）に目撃されてしまう。呉羽の夫・橘カイジのことが気になっている恒星は、２人の結婚についての「不穏な噂」を聞く</t>
    </r>
    <r>
      <rPr>
        <rFont val="Arial"/>
        <sz val="10.0"/>
      </rPr>
      <t xml:space="preserve">…  </t>
    </r>
    <r>
      <rPr>
        <rFont val="ＭＳ Ｐゴシック"/>
        <sz val="10.0"/>
      </rPr>
      <t>朱里（黒木華）が居座るマンションを出た事を晶に告げられないままの京谷</t>
    </r>
    <r>
      <rPr>
        <rFont val="Arial"/>
        <sz val="10.0"/>
      </rPr>
      <t>(</t>
    </r>
    <r>
      <rPr>
        <rFont val="ＭＳ Ｐゴシック"/>
        <sz val="10.0"/>
      </rPr>
      <t>田中圭</t>
    </r>
    <r>
      <rPr>
        <rFont val="Arial"/>
        <sz val="10.0"/>
      </rPr>
      <t>)</t>
    </r>
    <r>
      <rPr>
        <rFont val="ＭＳ Ｐゴシック"/>
        <sz val="10.0"/>
      </rPr>
      <t>。</t>
    </r>
    <r>
      <rPr>
        <rFont val="Arial"/>
        <sz val="10.0"/>
      </rPr>
      <t xml:space="preserve">  </t>
    </r>
    <r>
      <rPr>
        <rFont val="ＭＳ Ｐゴシック"/>
        <sz val="10.0"/>
      </rPr>
      <t>そんな中、朱里は京谷宛ての昔の年賀状を見つけ、晶の家に向かう。途中</t>
    </r>
    <r>
      <rPr>
        <rFont val="Arial"/>
        <sz val="10.0"/>
      </rPr>
      <t>5tap</t>
    </r>
    <r>
      <rPr>
        <rFont val="ＭＳ Ｐゴシック"/>
        <sz val="10.0"/>
      </rPr>
      <t>に立ち寄った朱里は偶然いた恒星たちと知り合い一緒に飲み始め・・・</t>
    </r>
  </si>
  <si>
    <t>晶（新垣結衣）と恒星（松田龍平）は、路上でのキスを呉羽（菊地凛子）に目撃されてしまう。呉羽の夫・橘カイジのことが気になっている恒星は、２人の結婚についての「不穏な噂」を聞く…  朱里（黒木華）が居座るマンションを出た事を晶に告げられないままの京谷(田中圭)。  そんな中、朱里は京谷宛ての昔の年賀状を見つけ、晶の家に向かう。途中5tapに立ち寄った朱里は偶然いた恒星たちと知り合い一緒に飲み始め・・・</t>
  </si>
  <si>
    <t>番組名獣になれない私たち#07</t>
  </si>
  <si>
    <r>
      <rPr>
        <rFont val="ＭＳ Ｐゴシック"/>
        <sz val="10.0"/>
      </rPr>
      <t>恒星（松田龍平）が謎の大金を持っているのを目撃し、とまどう晶（新垣結衣）。恒星は「この金で不正に加担するよう脅迫されていて抜け出せない」と話す。その告白を真剣に聞く晶に「</t>
    </r>
    <r>
      <rPr>
        <rFont val="Arial"/>
        <sz val="10.0"/>
      </rPr>
      <t>…</t>
    </r>
    <r>
      <rPr>
        <rFont val="ＭＳ Ｐゴシック"/>
        <sz val="10.0"/>
      </rPr>
      <t>という映画の話」と言って話を変えてしまう恒星。京谷（田中圭）の父の容態が悪化、病院にいれるかどうかで千春（田中美佐子）と家族はもめる。</t>
    </r>
    <r>
      <rPr>
        <rFont val="Arial"/>
        <sz val="10.0"/>
      </rPr>
      <t xml:space="preserve">  </t>
    </r>
    <r>
      <rPr>
        <rFont val="ＭＳ Ｐゴシック"/>
        <sz val="10.0"/>
      </rPr>
      <t>千春と連絡がつかず心配しながら帰宅した晶は、部屋の前で眠り込む朱里（黒木華）を見つけ</t>
    </r>
    <r>
      <rPr>
        <rFont val="Arial"/>
        <sz val="10.0"/>
      </rPr>
      <t>…</t>
    </r>
    <r>
      <rPr>
        <rFont val="ＭＳ Ｐゴシック"/>
        <sz val="10.0"/>
      </rPr>
      <t>。</t>
    </r>
  </si>
  <si>
    <t>恒星（松田龍平）が謎の大金を持っているのを目撃し、とまどう晶（新垣結衣）。恒星は「この金で不正に加担するよう脅迫されていて抜け出せない」と話す。その告白を真剣に聞く晶に「…という映画の話」と言って話を変えてしまう恒星。京谷（田中圭）の父の容態が悪化、病院にいれるかどうかで千春（田中美佐子）と家族はもめる。  千春と連絡がつかず心配しながら帰宅した晶は、部屋の前で眠り込む朱里（黒木華）を見つけ…。</t>
  </si>
  <si>
    <t>番組名獣になれない私たち#08</t>
  </si>
  <si>
    <r>
      <rPr>
        <rFont val="ＭＳ Ｐゴシック"/>
        <sz val="10.0"/>
      </rPr>
      <t>晶（新垣結衣）は会社の業務改善に向けて積極的に動き出し、新入社員の採用を開始！しかし面談に現れたのは、京谷（田中圭）の元彼女でひきこもり中の朱里（黒木華）だった</t>
    </r>
    <r>
      <rPr>
        <rFont val="Arial"/>
        <sz val="10.0"/>
      </rPr>
      <t xml:space="preserve">!  </t>
    </r>
    <r>
      <rPr>
        <rFont val="ＭＳ Ｐゴシック"/>
        <sz val="10.0"/>
      </rPr>
      <t>一方、恒星</t>
    </r>
    <r>
      <rPr>
        <rFont val="Arial"/>
        <sz val="10.0"/>
      </rPr>
      <t>(</t>
    </r>
    <r>
      <rPr>
        <rFont val="ＭＳ Ｐゴシック"/>
        <sz val="10.0"/>
      </rPr>
      <t>松田龍平</t>
    </r>
    <r>
      <rPr>
        <rFont val="Arial"/>
        <sz val="10.0"/>
      </rPr>
      <t>)</t>
    </r>
    <r>
      <rPr>
        <rFont val="ＭＳ Ｐゴシック"/>
        <sz val="10.0"/>
      </rPr>
      <t>は、呉羽</t>
    </r>
    <r>
      <rPr>
        <rFont val="Arial"/>
        <sz val="10.0"/>
      </rPr>
      <t>(</t>
    </r>
    <r>
      <rPr>
        <rFont val="ＭＳ Ｐゴシック"/>
        <sz val="10.0"/>
      </rPr>
      <t>菊地凛子</t>
    </r>
    <r>
      <rPr>
        <rFont val="Arial"/>
        <sz val="10.0"/>
      </rPr>
      <t>)</t>
    </r>
    <r>
      <rPr>
        <rFont val="ＭＳ Ｐゴシック"/>
        <sz val="10.0"/>
      </rPr>
      <t>の夫・橘カイジの会社の上場を手伝うことを決めるが、ドタキャン続きでなかなか会えず仕舞い</t>
    </r>
    <r>
      <rPr>
        <rFont val="Arial"/>
        <sz val="10.0"/>
      </rPr>
      <t>…</t>
    </r>
    <r>
      <rPr>
        <rFont val="ＭＳ Ｐゴシック"/>
        <sz val="10.0"/>
      </rPr>
      <t>そんな中、行方不明の兄・陽太（安井順平）が警察に捕まったという連絡が</t>
    </r>
    <r>
      <rPr>
        <rFont val="Arial"/>
        <sz val="10.0"/>
      </rPr>
      <t>!</t>
    </r>
  </si>
  <si>
    <t>晶（新垣結衣）は会社の業務改善に向けて積極的に動き出し、新入社員の採用を開始！しかし面談に現れたのは、京谷（田中圭）の元彼女でひきこもり中の朱里（黒木華）だった!  一方、恒星(松田龍平)は、呉羽(菊地凛子)の夫・橘カイジの会社の上場を手伝うことを決めるが、ドタキャン続きでなかなか会えず仕舞い…そんな中、行方不明の兄・陽太（安井順平）が警察に捕まったという連絡が!</t>
  </si>
  <si>
    <t>番組名獣になれない私たち#09</t>
  </si>
  <si>
    <r>
      <rPr>
        <rFont val="ＭＳ Ｐゴシック"/>
        <sz val="10.0"/>
      </rPr>
      <t>晶（新垣結衣）が進めた業務改善の結果が出始めた頃、九十九（山内圭哉）が晶の『特別チーフクリエイター営業部長』昇進</t>
    </r>
    <r>
      <rPr>
        <rFont val="Arial"/>
        <sz val="10.0"/>
      </rPr>
      <t>&amp;</t>
    </r>
    <r>
      <rPr>
        <rFont val="ＭＳ Ｐゴシック"/>
        <sz val="10.0"/>
      </rPr>
      <t>朱里</t>
    </r>
    <r>
      <rPr>
        <rFont val="Arial"/>
        <sz val="10.0"/>
      </rPr>
      <t>(</t>
    </r>
    <r>
      <rPr>
        <rFont val="ＭＳ Ｐゴシック"/>
        <sz val="10.0"/>
      </rPr>
      <t>黒木華</t>
    </r>
    <r>
      <rPr>
        <rFont val="Arial"/>
        <sz val="10.0"/>
      </rPr>
      <t>)</t>
    </r>
    <r>
      <rPr>
        <rFont val="ＭＳ Ｐゴシック"/>
        <sz val="10.0"/>
      </rPr>
      <t>の『社長秘書』任命を発表し驚く一同。</t>
    </r>
    <r>
      <rPr>
        <rFont val="Arial"/>
        <sz val="10.0"/>
      </rPr>
      <t xml:space="preserve">  </t>
    </r>
    <r>
      <rPr>
        <rFont val="ＭＳ Ｐゴシック"/>
        <sz val="10.0"/>
      </rPr>
      <t>恒星（松田龍平）と呉羽（菊地凛子）のハグ写真が週刊誌に掲載された。</t>
    </r>
    <r>
      <rPr>
        <rFont val="Arial"/>
        <sz val="10.0"/>
      </rPr>
      <t>5tap</t>
    </r>
    <r>
      <rPr>
        <rFont val="ＭＳ Ｐゴシック"/>
        <sz val="10.0"/>
      </rPr>
      <t>前には橘カイジの妻の呉羽を追うために記者が張り込み不穏な空気に。</t>
    </r>
    <r>
      <rPr>
        <rFont val="Arial"/>
        <sz val="10.0"/>
      </rPr>
      <t xml:space="preserve">  </t>
    </r>
    <r>
      <rPr>
        <rFont val="ＭＳ Ｐゴシック"/>
        <sz val="10.0"/>
      </rPr>
      <t>京谷（田中圭）の家に遊びに来た千春（田中美佐子）は朱里と鉢合わせ！遂に恋愛問題がバレた</t>
    </r>
    <r>
      <rPr>
        <rFont val="Arial"/>
        <sz val="10.0"/>
      </rPr>
      <t>!?</t>
    </r>
  </si>
  <si>
    <t>晶（新垣結衣）が進めた業務改善の結果が出始めた頃、九十九（山内圭哉）が晶の『特別チーフクリエイター営業部長』昇進&amp;朱里(黒木華)の『社長秘書』任命を発表し驚く一同。  恒星（松田龍平）と呉羽（菊地凛子）のハグ写真が週刊誌に掲載された。5tap前には橘カイジの妻の呉羽を追うために記者が張り込み不穏な空気に。  京谷（田中圭）の家に遊びに来た千春（田中美佐子）は朱里と鉢合わせ！遂に恋愛問題がバレた!?</t>
  </si>
  <si>
    <t>番組名獣になれない私たち#10</t>
  </si>
  <si>
    <r>
      <rPr>
        <rFont val="ＭＳ Ｐゴシック"/>
        <sz val="10.0"/>
      </rPr>
      <t>傷ついた心のまま一夜を共にした晶（新垣結衣）と恒星（松田龍平）は、お互いの気持ちが分からずモヤモヤ。</t>
    </r>
    <r>
      <rPr>
        <rFont val="Arial"/>
        <sz val="10.0"/>
      </rPr>
      <t>5tap</t>
    </r>
    <r>
      <rPr>
        <rFont val="ＭＳ Ｐゴシック"/>
        <sz val="10.0"/>
      </rPr>
      <t>で話そうとするが、松任谷（伊藤沙莉）と上野（犬飼貴丈）、更には京谷（田中圭）までが訪ねて来て大混乱！ようやく本音で話そうとした</t>
    </r>
    <r>
      <rPr>
        <rFont val="Arial"/>
        <sz val="10.0"/>
      </rPr>
      <t>2</t>
    </r>
    <r>
      <rPr>
        <rFont val="ＭＳ Ｐゴシック"/>
        <sz val="10.0"/>
      </rPr>
      <t>人に今度は呉羽</t>
    </r>
    <r>
      <rPr>
        <rFont val="Arial"/>
        <sz val="10.0"/>
      </rPr>
      <t>(</t>
    </r>
    <r>
      <rPr>
        <rFont val="ＭＳ Ｐゴシック"/>
        <sz val="10.0"/>
      </rPr>
      <t>菊地凛子</t>
    </r>
    <r>
      <rPr>
        <rFont val="Arial"/>
        <sz val="10.0"/>
      </rPr>
      <t>)</t>
    </r>
    <r>
      <rPr>
        <rFont val="ＭＳ Ｐゴシック"/>
        <sz val="10.0"/>
      </rPr>
      <t>から着信が。バッシング記事でこれ以上夫のカイジに迷惑をかけないためにある決断をする呉羽</t>
    </r>
    <r>
      <rPr>
        <rFont val="Arial"/>
        <sz val="10.0"/>
      </rPr>
      <t>…</t>
    </r>
    <r>
      <rPr>
        <rFont val="ＭＳ Ｐゴシック"/>
        <sz val="10.0"/>
      </rPr>
      <t>人生ままならない大人達が最後に自分で選ぶ人生は</t>
    </r>
    <r>
      <rPr>
        <rFont val="Arial"/>
        <sz val="10.0"/>
      </rPr>
      <t>!?</t>
    </r>
  </si>
  <si>
    <t>傷ついた心のまま一夜を共にした晶（新垣結衣）と恒星（松田龍平）は、お互いの気持ちが分からずモヤモヤ。5tapで話そうとするが、松任谷（伊藤沙莉）と上野（犬飼貴丈）、更には京谷（田中圭）までが訪ねて来て大混乱！ようやく本音で話そうとした2人に今度は呉羽(菊地凛子)から着信が。バッシング記事でこれ以上夫のカイジに迷惑をかけないためにある決断をする呉羽…人生ままならない大人達が最後に自分で選ぶ人生は!?</t>
  </si>
  <si>
    <t>1810_NTV_木23</t>
  </si>
  <si>
    <t>ブラックスキャンダル</t>
  </si>
  <si>
    <t>番組名ドラマ「ブラックスキャンダル」【芸能界の闇を描くスキャンダルな復讐劇】</t>
  </si>
  <si>
    <r>
      <rPr>
        <rFont val="ＭＳ Ｐゴシック"/>
        <sz val="10.0"/>
      </rPr>
      <t>５年前。女優の藤崎紗羅（松本まりか）は、根も葉もない不倫スキャンダルの当事者に仕立て上げられ、不本意な偽りの謝罪会見をする羽目となった。紗羅は激しいバッシングを受けて芸能界を追放され、紗羅の母は、娘のスキャンダルを苦に焼身自殺で命を絶った</t>
    </r>
    <r>
      <rPr>
        <rFont val="Arial"/>
        <sz val="10.0"/>
      </rPr>
      <t>…</t>
    </r>
    <r>
      <rPr>
        <rFont val="ＭＳ Ｐゴシック"/>
        <sz val="10.0"/>
      </rPr>
      <t>。</t>
    </r>
    <r>
      <rPr>
        <rFont val="Arial"/>
        <sz val="10.0"/>
      </rPr>
      <t xml:space="preserve">  </t>
    </r>
    <r>
      <rPr>
        <rFont val="ＭＳ Ｐゴシック"/>
        <sz val="10.0"/>
      </rPr>
      <t>そして現在、全てを失った紗羅は、整形して矢神亜梨沙（山口紗弥加）というマネージャーに姿を変え、偽りの謝罪会見を仕組んだゲス達に復讐を果たすべく動き出す</t>
    </r>
    <r>
      <rPr>
        <rFont val="Arial"/>
        <sz val="10.0"/>
      </rPr>
      <t>!</t>
    </r>
  </si>
  <si>
    <t>５年前。女優の藤崎紗羅（松本まりか）は、根も葉もない不倫スキャンダルの当事者に仕立て上げられ、不本意な偽りの謝罪会見をする羽目となった。紗羅は激しいバッシングを受けて芸能界を追放され、紗羅の母は、娘のスキャンダルを苦に焼身自殺で命を絶った…。  そして現在、全てを失った紗羅は、整形して矢神亜梨沙（山口紗弥加）というマネージャーに姿を変え、偽りの謝罪会見を仕組んだゲス達に復讐を果たすべく動き出す!</t>
  </si>
  <si>
    <t>番組名ブラックスキャンダル【ゲス過ぎる二世俳優の薬物汚染が止まらない！】</t>
  </si>
  <si>
    <r>
      <rPr>
        <rFont val="ＭＳ Ｐゴシック"/>
        <sz val="10.0"/>
      </rPr>
      <t>佐藤友治</t>
    </r>
    <r>
      <rPr>
        <rFont val="Arial"/>
        <sz val="10.0"/>
      </rPr>
      <t>(</t>
    </r>
    <r>
      <rPr>
        <rFont val="ＭＳ Ｐゴシック"/>
        <sz val="10.0"/>
      </rPr>
      <t>他</t>
    </r>
    <r>
      <rPr>
        <rFont val="Arial"/>
        <sz val="10.0"/>
      </rPr>
      <t>)</t>
    </r>
    <r>
      <rPr>
        <rFont val="ＭＳ Ｐゴシック"/>
        <sz val="10.0"/>
      </rPr>
      <t>『フローライト』の看板女優、阿久津唯菜（松井玲奈）とドラマで共演することになった俳優の棚城健二郎</t>
    </r>
    <r>
      <rPr>
        <rFont val="Arial"/>
        <sz val="10.0"/>
      </rPr>
      <t>(</t>
    </r>
    <r>
      <rPr>
        <rFont val="ＭＳ Ｐゴシック"/>
        <sz val="10.0"/>
      </rPr>
      <t>波岡一喜</t>
    </r>
    <r>
      <rPr>
        <rFont val="Arial"/>
        <sz val="10.0"/>
      </rPr>
      <t>)</t>
    </r>
    <r>
      <rPr>
        <rFont val="ＭＳ Ｐゴシック"/>
        <sz val="10.0"/>
      </rPr>
      <t>。</t>
    </r>
    <r>
      <rPr>
        <rFont val="Arial"/>
        <sz val="10.0"/>
      </rPr>
      <t xml:space="preserve">  </t>
    </r>
    <r>
      <rPr>
        <rFont val="ＭＳ Ｐゴシック"/>
        <sz val="10.0"/>
      </rPr>
      <t>健二郎こそが、ありもしない藤崎紗羅（松本まりか）との不倫を認め、紗羅を地獄へ突き落した張本人だった</t>
    </r>
    <r>
      <rPr>
        <rFont val="Arial"/>
        <sz val="10.0"/>
      </rPr>
      <t xml:space="preserve">!  </t>
    </r>
    <r>
      <rPr>
        <rFont val="ＭＳ Ｐゴシック"/>
        <sz val="10.0"/>
      </rPr>
      <t>矢神亜梨沙</t>
    </r>
    <r>
      <rPr>
        <rFont val="Arial"/>
        <sz val="10.0"/>
      </rPr>
      <t>(</t>
    </r>
    <r>
      <rPr>
        <rFont val="ＭＳ Ｐゴシック"/>
        <sz val="10.0"/>
      </rPr>
      <t>山口紗弥加</t>
    </r>
    <r>
      <rPr>
        <rFont val="Arial"/>
        <sz val="10.0"/>
      </rPr>
      <t>)</t>
    </r>
    <r>
      <rPr>
        <rFont val="ＭＳ Ｐゴシック"/>
        <sz val="10.0"/>
      </rPr>
      <t>は、その健二郎に復讐すべく近づいていく。しかしそれを健二郎のマネージャーに阻まれ事態は棚城の父で人気俳優の棚城正則（山下真司）をも巻き込んでいく事件へと発展していく</t>
    </r>
    <r>
      <rPr>
        <rFont val="Arial"/>
        <sz val="10.0"/>
      </rPr>
      <t>…</t>
    </r>
  </si>
  <si>
    <t>佐藤友治(他)『フローライト』の看板女優、阿久津唯菜（松井玲奈）とドラマで共演することになった俳優の棚城健二郎(波岡一喜)。  健二郎こそが、ありもしない藤崎紗羅（松本まりか）との不倫を認め、紗羅を地獄へ突き落した張本人だった!  矢神亜梨沙(山口紗弥加)は、その健二郎に復讐すべく近づいていく。しかしそれを健二郎のマネージャーに阻まれ事態は棚城の父で人気俳優の棚城正則（山下真司）をも巻き込んでいく事件へと発展していく…</t>
  </si>
  <si>
    <t>番組名ブラックスキャンダル【アイドルの闇！？芸能界のタブーが暴露される】</t>
  </si>
  <si>
    <r>
      <rPr>
        <rFont val="ＭＳ Ｐゴシック"/>
        <sz val="10.0"/>
      </rPr>
      <t>『週刊星流』の記者、巻田健吾（片桐仁）は、五色沼仁（袴田吉彦）や棚城健二郎（波岡一喜）が起こした騒動の影に、矢神亜梨沙（山口紗弥加）がいることに気付き、亜梨沙のことを探り始める。</t>
    </r>
    <r>
      <rPr>
        <rFont val="Arial"/>
        <sz val="10.0"/>
      </rPr>
      <t xml:space="preserve">  </t>
    </r>
    <r>
      <rPr>
        <rFont val="ＭＳ Ｐゴシック"/>
        <sz val="10.0"/>
      </rPr>
      <t>一方『フローライト』では、売り出し中のミルキーロードのメンバー、ミカ（田中真琴）の妊娠が発覚！しかも、お腹の子の父親はマネージャーの犬飼遊真（森田甘路）だった。亜梨沙はミカを守るためにある手段を思いつくが</t>
    </r>
    <r>
      <rPr>
        <rFont val="Arial"/>
        <sz val="10.0"/>
      </rPr>
      <t>…</t>
    </r>
    <r>
      <rPr>
        <rFont val="ＭＳ Ｐゴシック"/>
        <sz val="10.0"/>
      </rPr>
      <t>。</t>
    </r>
  </si>
  <si>
    <t>『週刊星流』の記者、巻田健吾（片桐仁）は、五色沼仁（袴田吉彦）や棚城健二郎（波岡一喜）が起こした騒動の影に、矢神亜梨沙（山口紗弥加）がいることに気付き、亜梨沙のことを探り始める。  一方『フローライト』では、売り出し中のミルキーロードのメンバー、ミカ（田中真琴）の妊娠が発覚！しかも、お腹の子の父親はマネージャーの犬飼遊真（森田甘路）だった。亜梨沙はミカを守るためにある手段を思いつくが…。</t>
  </si>
  <si>
    <t>番組名ブラックスキャンダル【整形発覚で復讐終了！？ゲスの極み芸能記者！】</t>
  </si>
  <si>
    <r>
      <rPr>
        <rFont val="ＭＳ Ｐゴシック"/>
        <sz val="10.0"/>
      </rPr>
      <t>矢神亜梨沙（山口紗弥加）は、巻田健吾（片桐仁）から「あんたは藤崎紗羅（松本まりか）と同一人物で、５年前の復讐をしている」と見抜かれる。巻田は、それをネタに「バラされたくなければ、大物芸能人のスキャンダルネタを探して来い」と亜梨沙を脅す。一方、花園由祐子（平岩紙）は、亜梨沙にチーフマネージャーの地位を奪われないよう、亜梨沙が担当する小嶋夏恋（小川紗良）の過去の枕営業をスキャンダルにしようと目論むが</t>
    </r>
    <r>
      <rPr>
        <rFont val="Arial"/>
        <sz val="10.0"/>
      </rPr>
      <t>…</t>
    </r>
  </si>
  <si>
    <t>矢神亜梨沙（山口紗弥加）は、巻田健吾（片桐仁）から「あんたは藤崎紗羅（松本まりか）と同一人物で、５年前の復讐をしている」と見抜かれる。巻田は、それをネタに「バラされたくなければ、大物芸能人のスキャンダルネタを探して来い」と亜梨沙を脅す。一方、花園由祐子（平岩紙）は、亜梨沙にチーフマネージャーの地位を奪われないよう、亜梨沙が担当する小嶋夏恋（小川紗良）の過去の枕営業をスキャンダルにしようと目論むが…</t>
  </si>
  <si>
    <t>番組名ブラックスキャンダル【因縁のＣＭ争奪バトル！枕営業再び…衝撃結末】</t>
  </si>
  <si>
    <r>
      <rPr>
        <rFont val="ＭＳ Ｐゴシック"/>
        <sz val="10.0"/>
      </rPr>
      <t>矢神亜梨沙（山口紗弥加）と花園由祐子（平岩紙）は、勅使河原友和（片岡鶴太郎）から、ある企業の仕事を取った方をチーフマネージャーにすると言い渡される。</t>
    </r>
    <r>
      <rPr>
        <rFont val="Arial"/>
        <sz val="10.0"/>
      </rPr>
      <t xml:space="preserve">  </t>
    </r>
    <r>
      <rPr>
        <rFont val="ＭＳ Ｐゴシック"/>
        <sz val="10.0"/>
      </rPr>
      <t>それは久保寺徹（笠原秀幸）が経営する企業のＣＭで、出演者は久保寺を囲むパーティーで決まると言う。</t>
    </r>
    <r>
      <rPr>
        <rFont val="Arial"/>
        <sz val="10.0"/>
      </rPr>
      <t xml:space="preserve">  </t>
    </r>
    <r>
      <rPr>
        <rFont val="ＭＳ Ｐゴシック"/>
        <sz val="10.0"/>
      </rPr>
      <t>亜梨沙は小嶋夏恋（小川紗良）を、花園はソフィア（瑛茉ジャスミン）を推してパーティーへ。そこでは熾烈な戦いが繰り広げられていて、想定外の大事件が起きる</t>
    </r>
    <r>
      <rPr>
        <rFont val="Arial"/>
        <sz val="10.0"/>
      </rPr>
      <t>…</t>
    </r>
  </si>
  <si>
    <t>矢神亜梨沙（山口紗弥加）と花園由祐子（平岩紙）は、勅使河原友和（片岡鶴太郎）から、ある企業の仕事を取った方をチーフマネージャーにすると言い渡される。  それは久保寺徹（笠原秀幸）が経営する企業のＣＭで、出演者は久保寺を囲むパーティーで決まると言う。  亜梨沙は小嶋夏恋（小川紗良）を、花園はソフィア（瑛茉ジャスミン）を推してパーティーへ。そこでは熾烈な戦いが繰り広げられていて、想定外の大事件が起きる…</t>
  </si>
  <si>
    <t>番組名ブラックスキャンダル【復讐最終章！ゲス社長が秘密にする衝撃事実】</t>
  </si>
  <si>
    <r>
      <rPr>
        <rFont val="ＭＳ Ｐゴシック"/>
        <sz val="10.0"/>
      </rPr>
      <t>勅使河原純矢（安藤政信）に、自分が藤崎紗羅であることを打ち明けた矢神亜梨沙（山口紗弥加）。そして亜梨沙は、父親の勅使河原友和（片岡鶴太郎）に復讐するつもりだと純矢に告げる。すると純矢は、思わぬ言葉を亜梨沙に返すのだった</t>
    </r>
    <r>
      <rPr>
        <rFont val="Arial"/>
        <sz val="10.0"/>
      </rPr>
      <t>…</t>
    </r>
    <r>
      <rPr>
        <rFont val="ＭＳ Ｐゴシック"/>
        <sz val="10.0"/>
      </rPr>
      <t>。</t>
    </r>
    <r>
      <rPr>
        <rFont val="Arial"/>
        <sz val="10.0"/>
      </rPr>
      <t xml:space="preserve">  </t>
    </r>
    <r>
      <rPr>
        <rFont val="ＭＳ Ｐゴシック"/>
        <sz val="10.0"/>
      </rPr>
      <t>一方『フローライト』の新社長になるジョーンＤ（マイケル富岡）は、社員に「私が社長になったら、タレントもマネージャーも整理をする」と言い放ち『フローライト』には不穏な空気が漂い</t>
    </r>
    <r>
      <rPr>
        <rFont val="Arial"/>
        <sz val="10.0"/>
      </rPr>
      <t>…</t>
    </r>
  </si>
  <si>
    <t>勅使河原純矢（安藤政信）に、自分が藤崎紗羅であることを打ち明けた矢神亜梨沙（山口紗弥加）。そして亜梨沙は、父親の勅使河原友和（片岡鶴太郎）に復讐するつもりだと純矢に告げる。すると純矢は、思わぬ言葉を亜梨沙に返すのだった…。  一方『フローライト』の新社長になるジョーンＤ（マイケル富岡）は、社員に「私が社長になったら、タレントもマネージャーも整理をする」と言い放ち『フローライト』には不穏な空気が漂い…</t>
  </si>
  <si>
    <t>番組名ブラックスキャンダル【まさかの裏切り！壮絶過ぎる女同士のバトル】</t>
  </si>
  <si>
    <r>
      <rPr>
        <rFont val="ＭＳ Ｐゴシック"/>
        <sz val="10.0"/>
      </rPr>
      <t>阿久津唯菜（松井玲奈）と勅使河原純矢（安藤政信）が婚約したというニュースが流れ、唖然とする矢神亜梨沙（山口紗弥加）。さらに亜梨沙は、唯菜の口から衝撃の事実を知らされて</t>
    </r>
    <r>
      <rPr>
        <rFont val="Arial"/>
        <sz val="10.0"/>
      </rPr>
      <t>…</t>
    </r>
    <r>
      <rPr>
        <rFont val="ＭＳ Ｐゴシック"/>
        <sz val="10.0"/>
      </rPr>
      <t>。ショックを受ける亜梨沙の元に、純矢は話したいことがあると訪れる。</t>
    </r>
    <r>
      <rPr>
        <rFont val="Arial"/>
        <sz val="10.0"/>
      </rPr>
      <t xml:space="preserve">  </t>
    </r>
    <r>
      <rPr>
        <rFont val="ＭＳ Ｐゴシック"/>
        <sz val="10.0"/>
      </rPr>
      <t>一方、巻田健吾（片桐仁）は亜梨沙に、藤崎紗羅であることを暴露されたくなければ大金を払えと脅しをかける。亜梨沙がその巻田のもとに駆け付けると、思わぬ事態が起きていて</t>
    </r>
    <r>
      <rPr>
        <rFont val="Arial"/>
        <sz val="10.0"/>
      </rPr>
      <t>…</t>
    </r>
  </si>
  <si>
    <t>阿久津唯菜（松井玲奈）と勅使河原純矢（安藤政信）が婚約したというニュースが流れ、唖然とする矢神亜梨沙（山口紗弥加）。さらに亜梨沙は、唯菜の口から衝撃の事実を知らされて…。ショックを受ける亜梨沙の元に、純矢は話したいことがあると訪れる。  一方、巻田健吾（片桐仁）は亜梨沙に、藤崎紗羅であることを暴露されたくなければ大金を払えと脅しをかける。亜梨沙がその巻田のもとに駆け付けると、思わぬ事態が起きていて…</t>
  </si>
  <si>
    <t>番組名ブラックスキャンダル【真の黒幕はまさかの！？今夜衝撃の真相を暴露】</t>
  </si>
  <si>
    <r>
      <rPr>
        <rFont val="ＭＳ Ｐゴシック"/>
        <sz val="10.0"/>
      </rPr>
      <t>阿久津唯菜（松井玲奈）は、マスコミの前で矢神亜梨沙（山口紗弥加）の正体が藤崎紗羅であり、勅使河原純矢（安藤政信）と唯菜との関係を逆恨みして唯菜に大けがを負わせたと言い放った。そのためマスコミに追われる亜梨沙は、責任を取りフローライトを辞職することに。</t>
    </r>
    <r>
      <rPr>
        <rFont val="Arial"/>
        <sz val="10.0"/>
      </rPr>
      <t xml:space="preserve">  </t>
    </r>
    <r>
      <rPr>
        <rFont val="ＭＳ Ｐゴシック"/>
        <sz val="10.0"/>
      </rPr>
      <t>一方、水谷快人（若葉竜也）は姉の死に関わる重要な動画を手に入れ勅使河原友和（片岡鶴太郎）に突き付ける。そこに駆け付けた亜梨沙は衝撃の事態を目にして</t>
    </r>
    <r>
      <rPr>
        <rFont val="Arial"/>
        <sz val="10.0"/>
      </rPr>
      <t>…</t>
    </r>
  </si>
  <si>
    <t>阿久津唯菜（松井玲奈）は、マスコミの前で矢神亜梨沙（山口紗弥加）の正体が藤崎紗羅であり、勅使河原純矢（安藤政信）と唯菜との関係を逆恨みして唯菜に大けがを負わせたと言い放った。そのためマスコミに追われる亜梨沙は、責任を取りフローライトを辞職することに。  一方、水谷快人（若葉竜也）は姉の死に関わる重要な動画を手に入れ勅使河原友和（片岡鶴太郎）に突き付ける。そこに駆け付けた亜梨沙は衝撃の事態を目にして…</t>
  </si>
  <si>
    <t>番組名ブラックスキャンダル最終話【黒幕はゲスの極み！壮絶な結末を見逃すな！】</t>
  </si>
  <si>
    <r>
      <rPr>
        <rFont val="ＭＳ Ｐゴシック"/>
        <sz val="10.0"/>
      </rPr>
      <t>勅使河原友和（片岡鶴太郎）が自殺した。</t>
    </r>
    <r>
      <rPr>
        <rFont val="Arial"/>
        <sz val="10.0"/>
      </rPr>
      <t xml:space="preserve">  </t>
    </r>
    <r>
      <rPr>
        <rFont val="ＭＳ Ｐゴシック"/>
        <sz val="10.0"/>
      </rPr>
      <t>矢神亜梨沙（山口紗弥加）が、勅使河原純矢（安藤政信）に、水谷快人（若葉竜也）の姉の死の真相を問いただすと、「そうだよ、俺が殺した」と認める純矢。そして、純矢は、さらなる衝撃の事実を亜梨沙に告げるのだった</t>
    </r>
    <r>
      <rPr>
        <rFont val="Arial"/>
        <sz val="10.0"/>
      </rPr>
      <t>…</t>
    </r>
    <r>
      <rPr>
        <rFont val="ＭＳ Ｐゴシック"/>
        <sz val="10.0"/>
      </rPr>
      <t>。</t>
    </r>
    <r>
      <rPr>
        <rFont val="Arial"/>
        <sz val="10.0"/>
      </rPr>
      <t xml:space="preserve">  </t>
    </r>
    <r>
      <rPr>
        <rFont val="ＭＳ Ｐゴシック"/>
        <sz val="10.0"/>
      </rPr>
      <t>その後、純矢は新たに事務所を立ち上げることになり、看板女優となる小嶋夏恋（小川紗良）に目をかける。そして亜梨沙は、真の復讐へと立ち上がるのだが</t>
    </r>
    <r>
      <rPr>
        <rFont val="Arial"/>
        <sz val="10.0"/>
      </rPr>
      <t>…</t>
    </r>
  </si>
  <si>
    <t>勅使河原友和（片岡鶴太郎）が自殺した。  矢神亜梨沙（山口紗弥加）が、勅使河原純矢（安藤政信）に、水谷快人（若葉竜也）の姉の死の真相を問いただすと、「そうだよ、俺が殺した」と認める純矢。そして、純矢は、さらなる衝撃の事実を亜梨沙に告げるのだった…。  その後、純矢は新たに事務所を立ち上げることになり、看板女優となる小嶋夏恋（小川紗良）に目をかける。そして亜梨沙は、真の復讐へと立ち上がるのだが…</t>
  </si>
  <si>
    <t>1810_NTV_土22</t>
  </si>
  <si>
    <t>ドロ刑</t>
  </si>
  <si>
    <t>番組名ドロ刑 ‐警視庁捜査三課‐#01</t>
  </si>
  <si>
    <r>
      <rPr>
        <rFont val="ＭＳ Ｐゴシック"/>
        <sz val="10.0"/>
      </rPr>
      <t>イマドキの刑事・斑目勉（中島健人）と伝説の大泥棒・煙鴉（遠藤憲一）がなぜか名コンビを組んだ！？</t>
    </r>
    <r>
      <rPr>
        <rFont val="Arial"/>
        <sz val="10.0"/>
      </rPr>
      <t xml:space="preserve"> </t>
    </r>
    <r>
      <rPr>
        <rFont val="ＭＳ Ｐゴシック"/>
        <sz val="10.0"/>
      </rPr>
      <t>初戦の相手は、プライドの高い稀代の空き巣「キツツキのマサ」（高橋克実）。捜査三課を舞台にプロ</t>
    </r>
    <r>
      <rPr>
        <rFont val="Arial"/>
        <sz val="10.0"/>
      </rPr>
      <t>vs</t>
    </r>
    <r>
      <rPr>
        <rFont val="ＭＳ Ｐゴシック"/>
        <sz val="10.0"/>
      </rPr>
      <t>プロの対決の幕が上がる！騙し合いあり、裏切りあり、どんでん返しありの全く新しい刑事エンターテインメントドラマの誕生！</t>
    </r>
    <r>
      <rPr>
        <rFont val="Arial"/>
        <sz val="10.0"/>
      </rPr>
      <t xml:space="preserve"> </t>
    </r>
    <r>
      <rPr>
        <rFont val="ＭＳ Ｐゴシック"/>
        <sz val="10.0"/>
      </rPr>
      <t>煙鴉を狙う刑事皇子山</t>
    </r>
    <r>
      <rPr>
        <rFont val="Arial"/>
        <sz val="10.0"/>
      </rPr>
      <t>(</t>
    </r>
    <r>
      <rPr>
        <rFont val="ＭＳ Ｐゴシック"/>
        <sz val="10.0"/>
      </rPr>
      <t>中村倫也</t>
    </r>
    <r>
      <rPr>
        <rFont val="Arial"/>
        <sz val="10.0"/>
      </rPr>
      <t>)!</t>
    </r>
    <r>
      <rPr>
        <rFont val="ＭＳ Ｐゴシック"/>
        <sz val="10.0"/>
      </rPr>
      <t>密かに</t>
    </r>
    <r>
      <rPr>
        <rFont val="Arial"/>
        <sz val="10.0"/>
      </rPr>
      <t>13</t>
    </r>
    <r>
      <rPr>
        <rFont val="ＭＳ Ｐゴシック"/>
        <sz val="10.0"/>
      </rPr>
      <t>係の結成を目論む鯨岡</t>
    </r>
    <r>
      <rPr>
        <rFont val="Arial"/>
        <sz val="10.0"/>
      </rPr>
      <t>(</t>
    </r>
    <r>
      <rPr>
        <rFont val="ＭＳ Ｐゴシック"/>
        <sz val="10.0"/>
      </rPr>
      <t>稲森いずみ</t>
    </r>
    <r>
      <rPr>
        <rFont val="Arial"/>
        <sz val="10.0"/>
      </rPr>
      <t>)</t>
    </r>
    <r>
      <rPr>
        <rFont val="ＭＳ Ｐゴシック"/>
        <sz val="10.0"/>
      </rPr>
      <t>の真意は</t>
    </r>
    <r>
      <rPr>
        <rFont val="Arial"/>
        <sz val="10.0"/>
      </rPr>
      <t>!?</t>
    </r>
  </si>
  <si>
    <t>イマドキの刑事・斑目勉（中島健人）と伝説の大泥棒・煙鴉（遠藤憲一）がなぜか名コンビを組んだ！？ 初戦の相手は、プライドの高い稀代の空き巣「キツツキのマサ」（高橋克実）。捜査三課を舞台にプロvsプロの対決の幕が上がる！騙し合いあり、裏切りあり、どんでん返しありの全く新しい刑事エンターテインメントドラマの誕生！ 煙鴉を狙う刑事皇子山(中村倫也)!密かに13係の結成を目論む鯨岡(稲森いずみ)の真意は!?</t>
  </si>
  <si>
    <t>番組名ドロ刑 ‐警視庁捜査三課‐#02</t>
  </si>
  <si>
    <r>
      <rPr>
        <rFont val="ＭＳ Ｐゴシック"/>
        <sz val="10.0"/>
      </rPr>
      <t>刑事・斑目（中島健人）と大泥棒・煙鴉（遠藤憲一）の異色コンビ！次の相手は忍び込みのプロ「黒蛇」大堂吾郎</t>
    </r>
    <r>
      <rPr>
        <rFont val="Arial"/>
        <sz val="10.0"/>
      </rPr>
      <t>(</t>
    </r>
    <r>
      <rPr>
        <rFont val="ＭＳ Ｐゴシック"/>
        <sz val="10.0"/>
      </rPr>
      <t>笹野高史</t>
    </r>
    <r>
      <rPr>
        <rFont val="Arial"/>
        <sz val="10.0"/>
      </rPr>
      <t>)!13</t>
    </r>
    <r>
      <rPr>
        <rFont val="ＭＳ Ｐゴシック"/>
        <sz val="10.0"/>
      </rPr>
      <t>係結成で個性派揃いの刑事たちの捜査も開始</t>
    </r>
    <r>
      <rPr>
        <rFont val="Arial"/>
        <sz val="10.0"/>
      </rPr>
      <t>!</t>
    </r>
    <r>
      <rPr>
        <rFont val="ＭＳ Ｐゴシック"/>
        <sz val="10.0"/>
      </rPr>
      <t>音楽隊出身美希</t>
    </r>
    <r>
      <rPr>
        <rFont val="Arial"/>
        <sz val="10.0"/>
      </rPr>
      <t>(</t>
    </r>
    <r>
      <rPr>
        <rFont val="ＭＳ Ｐゴシック"/>
        <sz val="10.0"/>
      </rPr>
      <t>石橋杏奈</t>
    </r>
    <r>
      <rPr>
        <rFont val="Arial"/>
        <sz val="10.0"/>
      </rPr>
      <t>)</t>
    </r>
    <r>
      <rPr>
        <rFont val="ＭＳ Ｐゴシック"/>
        <sz val="10.0"/>
      </rPr>
      <t>、捜査一課出身皇子山</t>
    </r>
    <r>
      <rPr>
        <rFont val="Arial"/>
        <sz val="10.0"/>
      </rPr>
      <t>(</t>
    </r>
    <r>
      <rPr>
        <rFont val="ＭＳ Ｐゴシック"/>
        <sz val="10.0"/>
      </rPr>
      <t>中村倫也</t>
    </r>
    <r>
      <rPr>
        <rFont val="Arial"/>
        <sz val="10.0"/>
      </rPr>
      <t>)</t>
    </r>
    <r>
      <rPr>
        <rFont val="ＭＳ Ｐゴシック"/>
        <sz val="10.0"/>
      </rPr>
      <t>、スリ捜査出身左門</t>
    </r>
    <r>
      <rPr>
        <rFont val="Arial"/>
        <sz val="10.0"/>
      </rPr>
      <t>(</t>
    </r>
    <r>
      <rPr>
        <rFont val="ＭＳ Ｐゴシック"/>
        <sz val="10.0"/>
      </rPr>
      <t>板尾創路</t>
    </r>
    <r>
      <rPr>
        <rFont val="Arial"/>
        <sz val="10.0"/>
      </rPr>
      <t>)</t>
    </r>
    <r>
      <rPr>
        <rFont val="ＭＳ Ｐゴシック"/>
        <sz val="10.0"/>
      </rPr>
      <t>らを集めた鯨岡（稲森いずみ）の真意は！？執念の張り込みで次の犯行を暴け</t>
    </r>
    <r>
      <rPr>
        <rFont val="Arial"/>
        <sz val="10.0"/>
      </rPr>
      <t>!</t>
    </r>
    <r>
      <rPr>
        <rFont val="ＭＳ Ｐゴシック"/>
        <sz val="10.0"/>
      </rPr>
      <t>警視庁</t>
    </r>
    <r>
      <rPr>
        <rFont val="Arial"/>
        <sz val="10.0"/>
      </rPr>
      <t>vs</t>
    </r>
    <r>
      <rPr>
        <rFont val="ＭＳ Ｐゴシック"/>
        <sz val="10.0"/>
      </rPr>
      <t>県警</t>
    </r>
    <r>
      <rPr>
        <rFont val="Arial"/>
        <sz val="10.0"/>
      </rPr>
      <t>?</t>
    </r>
    <r>
      <rPr>
        <rFont val="ＭＳ Ｐゴシック"/>
        <sz val="10.0"/>
      </rPr>
      <t>警察は数字の取り合い、奪い合い！？泥棒の余罪で検挙数を上げろ</t>
    </r>
    <r>
      <rPr>
        <rFont val="Arial"/>
        <sz val="10.0"/>
      </rPr>
      <t>!</t>
    </r>
  </si>
  <si>
    <t>刑事・斑目（中島健人）と大泥棒・煙鴉（遠藤憲一）の異色コンビ！次の相手は忍び込みのプロ「黒蛇」大堂吾郎(笹野高史)!13係結成で個性派揃いの刑事たちの捜査も開始!音楽隊出身美希(石橋杏奈)、捜査一課出身皇子山(中村倫也)、スリ捜査出身左門(板尾創路)らを集めた鯨岡（稲森いずみ）の真意は！？執念の張り込みで次の犯行を暴け!警視庁vs県警?警察は数字の取り合い、奪い合い！？泥棒の余罪で検挙数を上げろ!</t>
  </si>
  <si>
    <t>番組名ドロ刑 ‐警視庁捜査三課‐#03</t>
  </si>
  <si>
    <r>
      <rPr>
        <rFont val="ＭＳ Ｐゴシック"/>
        <sz val="10.0"/>
      </rPr>
      <t>刑事・斑目（中島健人）と大泥棒・煙鴉（遠藤憲一）の異色コンビ</t>
    </r>
    <r>
      <rPr>
        <rFont val="Arial"/>
        <sz val="10.0"/>
      </rPr>
      <t>!!</t>
    </r>
    <r>
      <rPr>
        <rFont val="ＭＳ Ｐゴシック"/>
        <sz val="10.0"/>
      </rPr>
      <t>斑目が潜入捜査で大ピンチ</t>
    </r>
    <r>
      <rPr>
        <rFont val="Arial"/>
        <sz val="10.0"/>
      </rPr>
      <t>!?13</t>
    </r>
    <r>
      <rPr>
        <rFont val="ＭＳ Ｐゴシック"/>
        <sz val="10.0"/>
      </rPr>
      <t>係の次なる事件は新手窃盗団による金庫破り！最新技術を駆使した手口に鯨岡（稲森いずみ）はお手上げ宣言</t>
    </r>
    <r>
      <rPr>
        <rFont val="Arial"/>
        <sz val="10.0"/>
      </rPr>
      <t>!?</t>
    </r>
    <r>
      <rPr>
        <rFont val="ＭＳ Ｐゴシック"/>
        <sz val="10.0"/>
      </rPr>
      <t>煙鴉の助言で斑目が天才ハッカー順平（寛一郎）に急接近</t>
    </r>
    <r>
      <rPr>
        <rFont val="Arial"/>
        <sz val="10.0"/>
      </rPr>
      <t>!!</t>
    </r>
    <r>
      <rPr>
        <rFont val="ＭＳ Ｐゴシック"/>
        <sz val="10.0"/>
      </rPr>
      <t>潜入捜査の急展開に</t>
    </r>
    <r>
      <rPr>
        <rFont val="Arial"/>
        <sz val="10.0"/>
      </rPr>
      <t>13</t>
    </r>
    <r>
      <rPr>
        <rFont val="ＭＳ Ｐゴシック"/>
        <sz val="10.0"/>
      </rPr>
      <t>係総力戦</t>
    </r>
    <r>
      <rPr>
        <rFont val="Arial"/>
        <sz val="10.0"/>
      </rPr>
      <t>!!</t>
    </r>
    <r>
      <rPr>
        <rFont val="ＭＳ Ｐゴシック"/>
        <sz val="10.0"/>
      </rPr>
      <t>美希</t>
    </r>
    <r>
      <rPr>
        <rFont val="Arial"/>
        <sz val="10.0"/>
      </rPr>
      <t>(</t>
    </r>
    <r>
      <rPr>
        <rFont val="ＭＳ Ｐゴシック"/>
        <sz val="10.0"/>
      </rPr>
      <t>石橋杏奈</t>
    </r>
    <r>
      <rPr>
        <rFont val="Arial"/>
        <sz val="10.0"/>
      </rPr>
      <t>)</t>
    </r>
    <r>
      <rPr>
        <rFont val="ＭＳ Ｐゴシック"/>
        <sz val="10.0"/>
      </rPr>
      <t>も特技発揮</t>
    </r>
    <r>
      <rPr>
        <rFont val="Arial"/>
        <sz val="10.0"/>
      </rPr>
      <t>!?</t>
    </r>
    <r>
      <rPr>
        <rFont val="ＭＳ Ｐゴシック"/>
        <sz val="10.0"/>
      </rPr>
      <t>皇子山</t>
    </r>
    <r>
      <rPr>
        <rFont val="Arial"/>
        <sz val="10.0"/>
      </rPr>
      <t>(</t>
    </r>
    <r>
      <rPr>
        <rFont val="ＭＳ Ｐゴシック"/>
        <sz val="10.0"/>
      </rPr>
      <t>中村倫也</t>
    </r>
    <r>
      <rPr>
        <rFont val="Arial"/>
        <sz val="10.0"/>
      </rPr>
      <t>)</t>
    </r>
    <r>
      <rPr>
        <rFont val="ＭＳ Ｐゴシック"/>
        <sz val="10.0"/>
      </rPr>
      <t>が頼った意外な相手とは？孤独なハッカーの心の叫びを聞け</t>
    </r>
    <r>
      <rPr>
        <rFont val="Arial"/>
        <sz val="10.0"/>
      </rPr>
      <t>!!</t>
    </r>
  </si>
  <si>
    <t>刑事・斑目（中島健人）と大泥棒・煙鴉（遠藤憲一）の異色コンビ!!斑目が潜入捜査で大ピンチ!?13係の次なる事件は新手窃盗団による金庫破り！最新技術を駆使した手口に鯨岡（稲森いずみ）はお手上げ宣言!?煙鴉の助言で斑目が天才ハッカー順平（寛一郎）に急接近!!潜入捜査の急展開に13係総力戦!!美希(石橋杏奈)も特技発揮!?皇子山(中村倫也)が頼った意外な相手とは？孤独なハッカーの心の叫びを聞け!!</t>
  </si>
  <si>
    <t>番組名ドロ刑 ‐警視庁捜査三課‐#04</t>
  </si>
  <si>
    <r>
      <rPr>
        <rFont val="ＭＳ Ｐゴシック"/>
        <sz val="10.0"/>
      </rPr>
      <t>刑事・斑目（中島健人）と大泥棒・煙鴉（遠藤憲一）の異色コンビ</t>
    </r>
    <r>
      <rPr>
        <rFont val="Arial"/>
        <sz val="10.0"/>
      </rPr>
      <t>!!</t>
    </r>
    <r>
      <rPr>
        <rFont val="ＭＳ Ｐゴシック"/>
        <sz val="10.0"/>
      </rPr>
      <t>斑目が美希</t>
    </r>
    <r>
      <rPr>
        <rFont val="Arial"/>
        <sz val="10.0"/>
      </rPr>
      <t>(</t>
    </r>
    <r>
      <rPr>
        <rFont val="ＭＳ Ｐゴシック"/>
        <sz val="10.0"/>
      </rPr>
      <t>石橋杏奈</t>
    </r>
    <r>
      <rPr>
        <rFont val="Arial"/>
        <sz val="10.0"/>
      </rPr>
      <t>)</t>
    </r>
    <r>
      <rPr>
        <rFont val="ＭＳ Ｐゴシック"/>
        <sz val="10.0"/>
      </rPr>
      <t>と左門</t>
    </r>
    <r>
      <rPr>
        <rFont val="Arial"/>
        <sz val="10.0"/>
      </rPr>
      <t>(</t>
    </r>
    <r>
      <rPr>
        <rFont val="ＭＳ Ｐゴシック"/>
        <sz val="10.0"/>
      </rPr>
      <t>板尾創路</t>
    </r>
    <r>
      <rPr>
        <rFont val="Arial"/>
        <sz val="10.0"/>
      </rPr>
      <t>)</t>
    </r>
    <r>
      <rPr>
        <rFont val="ＭＳ Ｐゴシック"/>
        <sz val="10.0"/>
      </rPr>
      <t>に弟子入り</t>
    </r>
    <r>
      <rPr>
        <rFont val="Arial"/>
        <sz val="10.0"/>
      </rPr>
      <t>?</t>
    </r>
    <r>
      <rPr>
        <rFont val="ＭＳ Ｐゴシック"/>
        <sz val="10.0"/>
      </rPr>
      <t>元スリ専門刑事</t>
    </r>
    <r>
      <rPr>
        <rFont val="Arial"/>
        <sz val="10.0"/>
      </rPr>
      <t>”</t>
    </r>
    <r>
      <rPr>
        <rFont val="ＭＳ Ｐゴシック"/>
        <sz val="10.0"/>
      </rPr>
      <t>モサ</t>
    </r>
    <r>
      <rPr>
        <rFont val="Arial"/>
        <sz val="10.0"/>
      </rPr>
      <t>”</t>
    </r>
    <r>
      <rPr>
        <rFont val="ＭＳ Ｐゴシック"/>
        <sz val="10.0"/>
      </rPr>
      <t>に学ぶ刑事の道とは</t>
    </r>
    <r>
      <rPr>
        <rFont val="Arial"/>
        <sz val="10.0"/>
      </rPr>
      <t>!?</t>
    </r>
    <r>
      <rPr>
        <rFont val="ＭＳ Ｐゴシック"/>
        <sz val="10.0"/>
      </rPr>
      <t>伝説の最強スリ「機械屋銀次」こと大文</t>
    </r>
    <r>
      <rPr>
        <rFont val="Arial"/>
        <sz val="10.0"/>
      </rPr>
      <t>(</t>
    </r>
    <r>
      <rPr>
        <rFont val="ＭＳ Ｐゴシック"/>
        <sz val="10.0"/>
      </rPr>
      <t>杉本哲太</t>
    </r>
    <r>
      <rPr>
        <rFont val="Arial"/>
        <sz val="10.0"/>
      </rPr>
      <t>)</t>
    </r>
    <r>
      <rPr>
        <rFont val="ＭＳ Ｐゴシック"/>
        <sz val="10.0"/>
      </rPr>
      <t>の復帰に左門の静かな闘志が燃える</t>
    </r>
    <r>
      <rPr>
        <rFont val="Arial"/>
        <sz val="10.0"/>
      </rPr>
      <t>!!</t>
    </r>
    <r>
      <rPr>
        <rFont val="ＭＳ Ｐゴシック"/>
        <sz val="10.0"/>
      </rPr>
      <t>凸凹</t>
    </r>
    <r>
      <rPr>
        <rFont val="Arial"/>
        <sz val="10.0"/>
      </rPr>
      <t>13</t>
    </r>
    <r>
      <rPr>
        <rFont val="ＭＳ Ｐゴシック"/>
        <sz val="10.0"/>
      </rPr>
      <t>係は鯨岡</t>
    </r>
    <r>
      <rPr>
        <rFont val="Arial"/>
        <sz val="10.0"/>
      </rPr>
      <t>(</t>
    </r>
    <r>
      <rPr>
        <rFont val="ＭＳ Ｐゴシック"/>
        <sz val="10.0"/>
      </rPr>
      <t>稲森いずみ</t>
    </r>
    <r>
      <rPr>
        <rFont val="Arial"/>
        <sz val="10.0"/>
      </rPr>
      <t>)</t>
    </r>
    <r>
      <rPr>
        <rFont val="ＭＳ Ｐゴシック"/>
        <sz val="10.0"/>
      </rPr>
      <t>の珍作戦で三課内検挙数バトル</t>
    </r>
    <r>
      <rPr>
        <rFont val="Arial"/>
        <sz val="10.0"/>
      </rPr>
      <t>!?</t>
    </r>
    <r>
      <rPr>
        <rFont val="ＭＳ Ｐゴシック"/>
        <sz val="10.0"/>
      </rPr>
      <t>全国から終結したスリ</t>
    </r>
    <r>
      <rPr>
        <rFont val="Arial"/>
        <sz val="10.0"/>
      </rPr>
      <t>vs</t>
    </r>
    <r>
      <rPr>
        <rFont val="ＭＳ Ｐゴシック"/>
        <sz val="10.0"/>
      </rPr>
      <t>刑事の最終決戦で煙鴉に近付く皇子山（中村倫也）に史上最大の危機が</t>
    </r>
    <r>
      <rPr>
        <rFont val="Arial"/>
        <sz val="10.0"/>
      </rPr>
      <t>!?</t>
    </r>
  </si>
  <si>
    <t>刑事・斑目（中島健人）と大泥棒・煙鴉（遠藤憲一）の異色コンビ!!斑目が美希(石橋杏奈)と左門(板尾創路)に弟子入り?元スリ専門刑事”モサ”に学ぶ刑事の道とは!?伝説の最強スリ「機械屋銀次」こと大文(杉本哲太)の復帰に左門の静かな闘志が燃える!!凸凹13係は鯨岡(稲森いずみ)の珍作戦で三課内検挙数バトル!?全国から終結したスリvs刑事の最終決戦で煙鴉に近付く皇子山（中村倫也）に史上最大の危機が!?</t>
  </si>
  <si>
    <t>番組名ドロ刑 ‐警視庁捜査三課‐#05</t>
  </si>
  <si>
    <r>
      <rPr>
        <rFont val="ＭＳ Ｐゴシック"/>
        <sz val="10.0"/>
      </rPr>
      <t>刑事・斑目（中島健人）と大泥棒・煙鴉（遠藤憲一）の秘密バディ</t>
    </r>
    <r>
      <rPr>
        <rFont val="Arial"/>
        <sz val="10.0"/>
      </rPr>
      <t>!</t>
    </r>
    <r>
      <rPr>
        <rFont val="ＭＳ Ｐゴシック"/>
        <sz val="10.0"/>
      </rPr>
      <t>皇子山</t>
    </r>
    <r>
      <rPr>
        <rFont val="Arial"/>
        <sz val="10.0"/>
      </rPr>
      <t>(</t>
    </r>
    <r>
      <rPr>
        <rFont val="ＭＳ Ｐゴシック"/>
        <sz val="10.0"/>
      </rPr>
      <t>中村倫也</t>
    </r>
    <r>
      <rPr>
        <rFont val="Arial"/>
        <sz val="10.0"/>
      </rPr>
      <t>)</t>
    </r>
    <r>
      <rPr>
        <rFont val="ＭＳ Ｐゴシック"/>
        <sz val="10.0"/>
      </rPr>
      <t>が煙鴉を尾行した先々で殺人事件！煙鴉に殺人容疑でバディ最大の危機</t>
    </r>
    <r>
      <rPr>
        <rFont val="Arial"/>
        <sz val="10.0"/>
      </rPr>
      <t>!?</t>
    </r>
    <r>
      <rPr>
        <rFont val="ＭＳ Ｐゴシック"/>
        <sz val="10.0"/>
      </rPr>
      <t>鯨岡</t>
    </r>
    <r>
      <rPr>
        <rFont val="Arial"/>
        <sz val="10.0"/>
      </rPr>
      <t>(</t>
    </r>
    <r>
      <rPr>
        <rFont val="ＭＳ Ｐゴシック"/>
        <sz val="10.0"/>
      </rPr>
      <t>稲森いずみ</t>
    </r>
    <r>
      <rPr>
        <rFont val="Arial"/>
        <sz val="10.0"/>
      </rPr>
      <t>)</t>
    </r>
    <r>
      <rPr>
        <rFont val="ＭＳ Ｐゴシック"/>
        <sz val="10.0"/>
      </rPr>
      <t>のノルマで</t>
    </r>
    <r>
      <rPr>
        <rFont val="Arial"/>
        <sz val="10.0"/>
      </rPr>
      <t>13</t>
    </r>
    <r>
      <rPr>
        <rFont val="ＭＳ Ｐゴシック"/>
        <sz val="10.0"/>
      </rPr>
      <t>係は必死の捜査</t>
    </r>
    <r>
      <rPr>
        <rFont val="Arial"/>
        <sz val="10.0"/>
      </rPr>
      <t>!</t>
    </r>
    <r>
      <rPr>
        <rFont val="ＭＳ Ｐゴシック"/>
        <sz val="10.0"/>
      </rPr>
      <t>所轄と本庁の意外な関係。斑目は孤独な空き巣</t>
    </r>
    <r>
      <rPr>
        <rFont val="Arial"/>
        <sz val="10.0"/>
      </rPr>
      <t>”</t>
    </r>
    <r>
      <rPr>
        <rFont val="ＭＳ Ｐゴシック"/>
        <sz val="10.0"/>
      </rPr>
      <t>白昼の蝙蝠</t>
    </r>
    <r>
      <rPr>
        <rFont val="Arial"/>
        <sz val="10.0"/>
      </rPr>
      <t>”</t>
    </r>
    <r>
      <rPr>
        <rFont val="ＭＳ Ｐゴシック"/>
        <sz val="10.0"/>
      </rPr>
      <t>東村（三遊亭好楽）と必要以上に仲良くなり。皇子山も美希（石橋杏奈）に関する事件の容疑者に！斑目の直感で炙り出された意外すぎる真実でまさかの結末に</t>
    </r>
    <r>
      <rPr>
        <rFont val="Arial"/>
        <sz val="10.0"/>
      </rPr>
      <t>!</t>
    </r>
  </si>
  <si>
    <t>刑事・斑目（中島健人）と大泥棒・煙鴉（遠藤憲一）の秘密バディ!皇子山(中村倫也)が煙鴉を尾行した先々で殺人事件！煙鴉に殺人容疑でバディ最大の危機!?鯨岡(稲森いずみ)のノルマで13係は必死の捜査!所轄と本庁の意外な関係。斑目は孤独な空き巣”白昼の蝙蝠”東村（三遊亭好楽）と必要以上に仲良くなり。皇子山も美希（石橋杏奈）に関する事件の容疑者に！斑目の直感で炙り出された意外すぎる真実でまさかの結末に!</t>
  </si>
  <si>
    <t>番組名ドロ刑 ‐警視庁捜査三課‐#06</t>
  </si>
  <si>
    <r>
      <rPr>
        <rFont val="ＭＳ Ｐゴシック"/>
        <sz val="10.0"/>
      </rPr>
      <t>主婦は大泥棒</t>
    </r>
    <r>
      <rPr>
        <rFont val="Arial"/>
        <sz val="10.0"/>
      </rPr>
      <t>!?</t>
    </r>
    <r>
      <rPr>
        <rFont val="ＭＳ Ｐゴシック"/>
        <sz val="10.0"/>
      </rPr>
      <t>不敵に笑う女性窃盗犯鳥飼和子</t>
    </r>
    <r>
      <rPr>
        <rFont val="Arial"/>
        <sz val="10.0"/>
      </rPr>
      <t>(</t>
    </r>
    <r>
      <rPr>
        <rFont val="ＭＳ Ｐゴシック"/>
        <sz val="10.0"/>
      </rPr>
      <t>余</t>
    </r>
    <r>
      <rPr>
        <rFont val="Arial"/>
        <sz val="10.0"/>
      </rPr>
      <t xml:space="preserve"> </t>
    </r>
    <r>
      <rPr>
        <rFont val="ＭＳ Ｐゴシック"/>
        <sz val="10.0"/>
      </rPr>
      <t>貴美子</t>
    </r>
    <r>
      <rPr>
        <rFont val="Arial"/>
        <sz val="10.0"/>
      </rPr>
      <t>)</t>
    </r>
    <r>
      <rPr>
        <rFont val="ＭＳ Ｐゴシック"/>
        <sz val="10.0"/>
      </rPr>
      <t>と刑事たちの旅の行方は？万引き主婦が総額</t>
    </r>
    <r>
      <rPr>
        <rFont val="Arial"/>
        <sz val="10.0"/>
      </rPr>
      <t>1500</t>
    </r>
    <r>
      <rPr>
        <rFont val="ＭＳ Ｐゴシック"/>
        <sz val="10.0"/>
      </rPr>
      <t>万円の窃盗の余罪を自供、それは</t>
    </r>
    <r>
      <rPr>
        <rFont val="Arial"/>
        <sz val="10.0"/>
      </rPr>
      <t>”</t>
    </r>
    <r>
      <rPr>
        <rFont val="ＭＳ Ｐゴシック"/>
        <sz val="10.0"/>
      </rPr>
      <t>無錠の空き</t>
    </r>
    <r>
      <rPr>
        <rFont val="Arial"/>
        <sz val="10.0"/>
      </rPr>
      <t>”</t>
    </r>
    <r>
      <rPr>
        <rFont val="ＭＳ Ｐゴシック"/>
        <sz val="10.0"/>
      </rPr>
      <t>の犯行と重なる。三課が真相を確かめるべく被疑者と犯行現場に検証に向かう。皇子山（中村倫也）と瑤子（江口のりこ）の厳しい追及をよそに和子は新米刑事斑目（中島健人）と美希（石橋杏奈）を手玉にとる。斑目と美希の直感で判明した本当の家族愛と衝撃の結末とは</t>
    </r>
    <r>
      <rPr>
        <rFont val="Arial"/>
        <sz val="10.0"/>
      </rPr>
      <t>!?</t>
    </r>
  </si>
  <si>
    <t>主婦は大泥棒!?不敵に笑う女性窃盗犯鳥飼和子(余 貴美子)と刑事たちの旅の行方は？万引き主婦が総額1500万円の窃盗の余罪を自供、それは”無錠の空き”の犯行と重なる。三課が真相を確かめるべく被疑者と犯行現場に検証に向かう。皇子山（中村倫也）と瑤子（江口のりこ）の厳しい追及をよそに和子は新米刑事斑目（中島健人）と美希（石橋杏奈）を手玉にとる。斑目と美希の直感で判明した本当の家族愛と衝撃の結末とは!?</t>
  </si>
  <si>
    <t>番組名ドロ刑 ‐警視庁捜査三課‐#07</t>
  </si>
  <si>
    <r>
      <rPr>
        <rFont val="ＭＳ Ｐゴシック"/>
        <sz val="10.0"/>
      </rPr>
      <t>白い巨塔に潜入捜査！大学病院に出没する窃盗犯を捕まえるべく斑目（中島健人）たち１３係の刑事たちが変装し奮闘！リーダーは変装の達人瑤子（江口のりこ</t>
    </r>
    <r>
      <rPr>
        <rFont val="Arial"/>
        <sz val="10.0"/>
      </rPr>
      <t>)!</t>
    </r>
    <r>
      <rPr>
        <rFont val="ＭＳ Ｐゴシック"/>
        <sz val="10.0"/>
      </rPr>
      <t>研修医美希</t>
    </r>
    <r>
      <rPr>
        <rFont val="Arial"/>
        <sz val="10.0"/>
      </rPr>
      <t>(</t>
    </r>
    <r>
      <rPr>
        <rFont val="ＭＳ Ｐゴシック"/>
        <sz val="10.0"/>
      </rPr>
      <t>石橋杏奈</t>
    </r>
    <r>
      <rPr>
        <rFont val="Arial"/>
        <sz val="10.0"/>
      </rPr>
      <t>)</t>
    </r>
    <r>
      <rPr>
        <rFont val="ＭＳ Ｐゴシック"/>
        <sz val="10.0"/>
      </rPr>
      <t>にナース斑目</t>
    </r>
    <r>
      <rPr>
        <rFont val="Arial"/>
        <sz val="10.0"/>
      </rPr>
      <t>!</t>
    </r>
    <r>
      <rPr>
        <rFont val="ＭＳ Ｐゴシック"/>
        <sz val="10.0"/>
      </rPr>
      <t>患者として潜入した左門（板尾創路）の秘密が発覚！皇子山（中村倫也）は単独で煙鴉（遠藤憲一）の正体を追う！鯨岡（稲森いずみ）の思惑も見え隠れ。意外な真実と医療の闇が暴かれる！そして刑事</t>
    </r>
    <r>
      <rPr>
        <rFont val="Arial"/>
        <sz val="10.0"/>
      </rPr>
      <t>×</t>
    </r>
    <r>
      <rPr>
        <rFont val="ＭＳ Ｐゴシック"/>
        <sz val="10.0"/>
      </rPr>
      <t>泥棒の最強バディ解消の危機</t>
    </r>
    <r>
      <rPr>
        <rFont val="Arial"/>
        <sz val="10.0"/>
      </rPr>
      <t>!?</t>
    </r>
  </si>
  <si>
    <t>白い巨塔に潜入捜査！大学病院に出没する窃盗犯を捕まえるべく斑目（中島健人）たち１３係の刑事たちが変装し奮闘！リーダーは変装の達人瑤子（江口のりこ)!研修医美希(石橋杏奈)にナース斑目!患者として潜入した左門（板尾創路）の秘密が発覚！皇子山（中村倫也）は単独で煙鴉（遠藤憲一）の正体を追う！鯨岡（稲森いずみ）の思惑も見え隠れ。意外な真実と医療の闇が暴かれる！そして刑事×泥棒の最強バディ解消の危機!?</t>
  </si>
  <si>
    <t>番組名ドロ刑 ‐警視庁捜査三課‐#08</t>
  </si>
  <si>
    <r>
      <rPr>
        <rFont val="ＭＳ Ｐゴシック"/>
        <sz val="10.0"/>
      </rPr>
      <t>自称・煙鴉</t>
    </r>
    <r>
      <rPr>
        <rFont val="Arial"/>
        <sz val="10.0"/>
      </rPr>
      <t>(</t>
    </r>
    <r>
      <rPr>
        <rFont val="ＭＳ Ｐゴシック"/>
        <sz val="10.0"/>
      </rPr>
      <t>大友康平</t>
    </r>
    <r>
      <rPr>
        <rFont val="Arial"/>
        <sz val="10.0"/>
      </rPr>
      <t>)</t>
    </r>
    <r>
      <rPr>
        <rFont val="ＭＳ Ｐゴシック"/>
        <sz val="10.0"/>
      </rPr>
      <t>が出頭する。相棒の偽物登場</t>
    </r>
    <r>
      <rPr>
        <rFont val="Arial"/>
        <sz val="10.0"/>
      </rPr>
      <t>(?)</t>
    </r>
    <r>
      <rPr>
        <rFont val="ＭＳ Ｐゴシック"/>
        <sz val="10.0"/>
      </rPr>
      <t>に戸惑う斑目</t>
    </r>
    <r>
      <rPr>
        <rFont val="Arial"/>
        <sz val="10.0"/>
      </rPr>
      <t>(</t>
    </r>
    <r>
      <rPr>
        <rFont val="ＭＳ Ｐゴシック"/>
        <sz val="10.0"/>
      </rPr>
      <t>中島健人</t>
    </r>
    <r>
      <rPr>
        <rFont val="Arial"/>
        <sz val="10.0"/>
      </rPr>
      <t>)</t>
    </r>
    <r>
      <rPr>
        <rFont val="ＭＳ Ｐゴシック"/>
        <sz val="10.0"/>
      </rPr>
      <t>。煙鴉</t>
    </r>
    <r>
      <rPr>
        <rFont val="Arial"/>
        <sz val="10.0"/>
      </rPr>
      <t>(</t>
    </r>
    <r>
      <rPr>
        <rFont val="ＭＳ Ｐゴシック"/>
        <sz val="10.0"/>
      </rPr>
      <t>遠藤憲一</t>
    </r>
    <r>
      <rPr>
        <rFont val="Arial"/>
        <sz val="10.0"/>
      </rPr>
      <t>)</t>
    </r>
    <r>
      <rPr>
        <rFont val="ＭＳ Ｐゴシック"/>
        <sz val="10.0"/>
      </rPr>
      <t>も真実の追求に動き出す。とんでもない秘密の暴露に翻弄される</t>
    </r>
    <r>
      <rPr>
        <rFont val="Arial"/>
        <sz val="10.0"/>
      </rPr>
      <t>13</t>
    </r>
    <r>
      <rPr>
        <rFont val="ＭＳ Ｐゴシック"/>
        <sz val="10.0"/>
      </rPr>
      <t>係</t>
    </r>
    <r>
      <rPr>
        <rFont val="Arial"/>
        <sz val="10.0"/>
      </rPr>
      <t>!!</t>
    </r>
    <r>
      <rPr>
        <rFont val="ＭＳ Ｐゴシック"/>
        <sz val="10.0"/>
      </rPr>
      <t>ひるむ皇子山</t>
    </r>
    <r>
      <rPr>
        <rFont val="Arial"/>
        <sz val="10.0"/>
      </rPr>
      <t>(</t>
    </r>
    <r>
      <rPr>
        <rFont val="ＭＳ Ｐゴシック"/>
        <sz val="10.0"/>
      </rPr>
      <t>中村倫也</t>
    </r>
    <r>
      <rPr>
        <rFont val="Arial"/>
        <sz val="10.0"/>
      </rPr>
      <t>)</t>
    </r>
    <r>
      <rPr>
        <rFont val="ＭＳ Ｐゴシック"/>
        <sz val="10.0"/>
      </rPr>
      <t>、壊れる美希</t>
    </r>
    <r>
      <rPr>
        <rFont val="Arial"/>
        <sz val="10.0"/>
      </rPr>
      <t>(</t>
    </r>
    <r>
      <rPr>
        <rFont val="ＭＳ Ｐゴシック"/>
        <sz val="10.0"/>
      </rPr>
      <t>石橋杏奈</t>
    </r>
    <r>
      <rPr>
        <rFont val="Arial"/>
        <sz val="10.0"/>
      </rPr>
      <t>)</t>
    </r>
    <r>
      <rPr>
        <rFont val="ＭＳ Ｐゴシック"/>
        <sz val="10.0"/>
      </rPr>
      <t>、果たして知りすぎた男は何者なのか？真の煙鴉は誰なのか</t>
    </r>
    <r>
      <rPr>
        <rFont val="Arial"/>
        <sz val="10.0"/>
      </rPr>
      <t>!?</t>
    </r>
    <r>
      <rPr>
        <rFont val="ＭＳ Ｐゴシック"/>
        <sz val="10.0"/>
      </rPr>
      <t>真実が取り戻す家族の絆</t>
    </r>
    <r>
      <rPr>
        <rFont val="Arial"/>
        <sz val="10.0"/>
      </rPr>
      <t>!</t>
    </r>
    <r>
      <rPr>
        <rFont val="ＭＳ Ｐゴシック"/>
        <sz val="10.0"/>
      </rPr>
      <t>鯨岡</t>
    </r>
    <r>
      <rPr>
        <rFont val="Arial"/>
        <sz val="10.0"/>
      </rPr>
      <t>(</t>
    </r>
    <r>
      <rPr>
        <rFont val="ＭＳ Ｐゴシック"/>
        <sz val="10.0"/>
      </rPr>
      <t>稲森いずみ</t>
    </r>
    <r>
      <rPr>
        <rFont val="Arial"/>
        <sz val="10.0"/>
      </rPr>
      <t>)</t>
    </r>
    <r>
      <rPr>
        <rFont val="ＭＳ Ｐゴシック"/>
        <sz val="10.0"/>
      </rPr>
      <t>が</t>
    </r>
    <r>
      <rPr>
        <rFont val="Arial"/>
        <sz val="10.0"/>
      </rPr>
      <t>13</t>
    </r>
    <r>
      <rPr>
        <rFont val="ＭＳ Ｐゴシック"/>
        <sz val="10.0"/>
      </rPr>
      <t>係を集めた本当の目的がついに明らかに</t>
    </r>
    <r>
      <rPr>
        <rFont val="Arial"/>
        <sz val="10.0"/>
      </rPr>
      <t>!?</t>
    </r>
    <r>
      <rPr>
        <rFont val="ＭＳ Ｐゴシック"/>
        <sz val="10.0"/>
      </rPr>
      <t>最終章へ向けた怒涛の展開が待ち受ける</t>
    </r>
    <r>
      <rPr>
        <rFont val="Arial"/>
        <sz val="10.0"/>
      </rPr>
      <t>!!</t>
    </r>
  </si>
  <si>
    <t>自称・煙鴉(大友康平)が出頭する。相棒の偽物登場(?)に戸惑う斑目(中島健人)。煙鴉(遠藤憲一)も真実の追求に動き出す。とんでもない秘密の暴露に翻弄される13係!!ひるむ皇子山(中村倫也)、壊れる美希(石橋杏奈)、果たして知りすぎた男は何者なのか？真の煙鴉は誰なのか!?真実が取り戻す家族の絆!鯨岡(稲森いずみ)が13係を集めた本当の目的がついに明らかに!?最終章へ向けた怒涛の展開が待ち受ける!!</t>
  </si>
  <si>
    <t>番組名ドロ刑 ‐警視庁捜査三課‐#09</t>
  </si>
  <si>
    <r>
      <rPr>
        <rFont val="ＭＳ Ｐゴシック"/>
        <sz val="10.0"/>
      </rPr>
      <t>ついに最終章</t>
    </r>
    <r>
      <rPr>
        <rFont val="Arial"/>
        <sz val="10.0"/>
      </rPr>
      <t>!!</t>
    </r>
    <r>
      <rPr>
        <rFont val="ＭＳ Ｐゴシック"/>
        <sz val="10.0"/>
      </rPr>
      <t>覚醒した斑目</t>
    </r>
    <r>
      <rPr>
        <rFont val="Arial"/>
        <sz val="10.0"/>
      </rPr>
      <t>(</t>
    </r>
    <r>
      <rPr>
        <rFont val="ＭＳ Ｐゴシック"/>
        <sz val="10.0"/>
      </rPr>
      <t>中島健人</t>
    </r>
    <r>
      <rPr>
        <rFont val="Arial"/>
        <sz val="10.0"/>
      </rPr>
      <t>)</t>
    </r>
    <r>
      <rPr>
        <rFont val="ＭＳ Ｐゴシック"/>
        <sz val="10.0"/>
      </rPr>
      <t>が相棒の逮捕を決意</t>
    </r>
    <r>
      <rPr>
        <rFont val="Arial"/>
        <sz val="10.0"/>
      </rPr>
      <t>!?</t>
    </r>
    <r>
      <rPr>
        <rFont val="ＭＳ Ｐゴシック"/>
        <sz val="10.0"/>
      </rPr>
      <t>本気の煙鴉</t>
    </r>
    <r>
      <rPr>
        <rFont val="Arial"/>
        <sz val="10.0"/>
      </rPr>
      <t>(</t>
    </r>
    <r>
      <rPr>
        <rFont val="ＭＳ Ｐゴシック"/>
        <sz val="10.0"/>
      </rPr>
      <t>遠藤憲一</t>
    </r>
    <r>
      <rPr>
        <rFont val="Arial"/>
        <sz val="10.0"/>
      </rPr>
      <t>)vs13</t>
    </r>
    <r>
      <rPr>
        <rFont val="ＭＳ Ｐゴシック"/>
        <sz val="10.0"/>
      </rPr>
      <t>係総力戦</t>
    </r>
    <r>
      <rPr>
        <rFont val="Arial"/>
        <sz val="10.0"/>
      </rPr>
      <t>!!</t>
    </r>
    <r>
      <rPr>
        <rFont val="ＭＳ Ｐゴシック"/>
        <sz val="10.0"/>
      </rPr>
      <t>犯行予告と謎の言葉が紡ぐ不可能犯罪</t>
    </r>
    <r>
      <rPr>
        <rFont val="Arial"/>
        <sz val="10.0"/>
      </rPr>
      <t>!!</t>
    </r>
    <r>
      <rPr>
        <rFont val="ＭＳ Ｐゴシック"/>
        <sz val="10.0"/>
      </rPr>
      <t>相棒が真の目的のために動き出す！鯨岡（稲森いずみ）が１３係を結成した意外な秘密も明らかに</t>
    </r>
    <r>
      <rPr>
        <rFont val="Arial"/>
        <sz val="10.0"/>
      </rPr>
      <t>!!</t>
    </r>
    <r>
      <rPr>
        <rFont val="ＭＳ Ｐゴシック"/>
        <sz val="10.0"/>
      </rPr>
      <t>煙鴉の犯行阻止に特技を発揮する美希</t>
    </r>
    <r>
      <rPr>
        <rFont val="Arial"/>
        <sz val="10.0"/>
      </rPr>
      <t>(</t>
    </r>
    <r>
      <rPr>
        <rFont val="ＭＳ Ｐゴシック"/>
        <sz val="10.0"/>
      </rPr>
      <t>石橋杏奈</t>
    </r>
    <r>
      <rPr>
        <rFont val="Arial"/>
        <sz val="10.0"/>
      </rPr>
      <t>)!!</t>
    </r>
    <r>
      <rPr>
        <rFont val="ＭＳ Ｐゴシック"/>
        <sz val="10.0"/>
      </rPr>
      <t>皇子山</t>
    </r>
    <r>
      <rPr>
        <rFont val="Arial"/>
        <sz val="10.0"/>
      </rPr>
      <t>(</t>
    </r>
    <r>
      <rPr>
        <rFont val="ＭＳ Ｐゴシック"/>
        <sz val="10.0"/>
      </rPr>
      <t>中村倫也</t>
    </r>
    <r>
      <rPr>
        <rFont val="Arial"/>
        <sz val="10.0"/>
      </rPr>
      <t>)</t>
    </r>
    <r>
      <rPr>
        <rFont val="ＭＳ Ｐゴシック"/>
        <sz val="10.0"/>
      </rPr>
      <t>の妹の女医を殺したのは誰なのか</t>
    </r>
    <r>
      <rPr>
        <rFont val="Arial"/>
        <sz val="10.0"/>
      </rPr>
      <t>!?</t>
    </r>
    <r>
      <rPr>
        <rFont val="ＭＳ Ｐゴシック"/>
        <sz val="10.0"/>
      </rPr>
      <t>衝撃の悲劇とまさかの結末</t>
    </r>
    <r>
      <rPr>
        <rFont val="Arial"/>
        <sz val="10.0"/>
      </rPr>
      <t>!!</t>
    </r>
    <r>
      <rPr>
        <rFont val="ＭＳ Ｐゴシック"/>
        <sz val="10.0"/>
      </rPr>
      <t>すべての秘密の幕開けが始まる</t>
    </r>
    <r>
      <rPr>
        <rFont val="Arial"/>
        <sz val="10.0"/>
      </rPr>
      <t>!!</t>
    </r>
  </si>
  <si>
    <t>ついに最終章!!覚醒した斑目(中島健人)が相棒の逮捕を決意!?本気の煙鴉(遠藤憲一)vs13係総力戦!!犯行予告と謎の言葉が紡ぐ不可能犯罪!!相棒が真の目的のために動き出す！鯨岡（稲森いずみ）が１３係を結成した意外な秘密も明らかに!!煙鴉の犯行阻止に特技を発揮する美希(石橋杏奈)!!皇子山(中村倫也)の妹の女医を殺したのは誰なのか!?衝撃の悲劇とまさかの結末!!すべての秘密の幕開けが始まる!!</t>
  </si>
  <si>
    <t>番組名ドロ刑 ‐警視庁捜査三課‐</t>
  </si>
  <si>
    <r>
      <rPr>
        <rFont val="ＭＳ Ｐゴシック"/>
        <sz val="10.0"/>
      </rPr>
      <t>最後の敵は相棒</t>
    </r>
    <r>
      <rPr>
        <rFont val="Arial"/>
        <sz val="10.0"/>
      </rPr>
      <t>!?13</t>
    </r>
    <r>
      <rPr>
        <rFont val="ＭＳ Ｐゴシック"/>
        <sz val="10.0"/>
      </rPr>
      <t>係と刑事斑目</t>
    </r>
    <r>
      <rPr>
        <rFont val="Arial"/>
        <sz val="10.0"/>
      </rPr>
      <t>(</t>
    </r>
    <r>
      <rPr>
        <rFont val="ＭＳ Ｐゴシック"/>
        <sz val="10.0"/>
      </rPr>
      <t>中島健人</t>
    </r>
    <r>
      <rPr>
        <rFont val="Arial"/>
        <sz val="10.0"/>
      </rPr>
      <t>)vs</t>
    </r>
    <r>
      <rPr>
        <rFont val="ＭＳ Ｐゴシック"/>
        <sz val="10.0"/>
      </rPr>
      <t>大泥棒煙鴉</t>
    </r>
    <r>
      <rPr>
        <rFont val="Arial"/>
        <sz val="10.0"/>
      </rPr>
      <t>(</t>
    </r>
    <r>
      <rPr>
        <rFont val="ＭＳ Ｐゴシック"/>
        <sz val="10.0"/>
      </rPr>
      <t>遠藤憲一</t>
    </r>
    <r>
      <rPr>
        <rFont val="Arial"/>
        <sz val="10.0"/>
      </rPr>
      <t>)</t>
    </r>
    <r>
      <rPr>
        <rFont val="ＭＳ Ｐゴシック"/>
        <sz val="10.0"/>
      </rPr>
      <t>衝撃の最終決戦</t>
    </r>
    <r>
      <rPr>
        <rFont val="Arial"/>
        <sz val="10.0"/>
      </rPr>
      <t>!</t>
    </r>
    <r>
      <rPr>
        <rFont val="ＭＳ Ｐゴシック"/>
        <sz val="10.0"/>
      </rPr>
      <t>鯨岡</t>
    </r>
    <r>
      <rPr>
        <rFont val="Arial"/>
        <sz val="10.0"/>
      </rPr>
      <t>(</t>
    </r>
    <r>
      <rPr>
        <rFont val="ＭＳ Ｐゴシック"/>
        <sz val="10.0"/>
      </rPr>
      <t>稲森いずみ</t>
    </r>
    <r>
      <rPr>
        <rFont val="Arial"/>
        <sz val="10.0"/>
      </rPr>
      <t>)</t>
    </r>
    <r>
      <rPr>
        <rFont val="ＭＳ Ｐゴシック"/>
        <sz val="10.0"/>
      </rPr>
      <t>と煙鴉の過去と警察上層部の思惑！皇子山（中村倫也）の妹である女医・真里（真魚）の死と煙鴉の真実が明らかに！標的の正体と真の黒幕は</t>
    </r>
    <r>
      <rPr>
        <rFont val="Arial"/>
        <sz val="10.0"/>
      </rPr>
      <t>!?</t>
    </r>
    <r>
      <rPr>
        <rFont val="ＭＳ Ｐゴシック"/>
        <sz val="10.0"/>
      </rPr>
      <t>全ての伏線を回収する激動のクライマックスと意外すぎる結末！美希（石橋杏奈）が受けたプロポーズの相手は</t>
    </r>
    <r>
      <rPr>
        <rFont val="Arial"/>
        <sz val="10.0"/>
      </rPr>
      <t>?13</t>
    </r>
    <r>
      <rPr>
        <rFont val="ＭＳ Ｐゴシック"/>
        <sz val="10.0"/>
      </rPr>
      <t>係と斑目</t>
    </r>
    <r>
      <rPr>
        <rFont val="Arial"/>
        <sz val="10.0"/>
      </rPr>
      <t>&amp;</t>
    </r>
    <r>
      <rPr>
        <rFont val="ＭＳ Ｐゴシック"/>
        <sz val="10.0"/>
      </rPr>
      <t>煙鴉最強バディの最後の運命は</t>
    </r>
    <r>
      <rPr>
        <rFont val="Arial"/>
        <sz val="10.0"/>
      </rPr>
      <t>!?</t>
    </r>
  </si>
  <si>
    <t>最後の敵は相棒!?13係と刑事斑目(中島健人)vs大泥棒煙鴉(遠藤憲一)衝撃の最終決戦!鯨岡(稲森いずみ)と煙鴉の過去と警察上層部の思惑！皇子山（中村倫也）の妹である女医・真里（真魚）の死と煙鴉の真実が明らかに！標的の正体と真の黒幕は!?全ての伏線を回収する激動のクライマックスと意外すぎる結末！美希（石橋杏奈）が受けたプロポーズの相手は?13係と斑目&amp;煙鴉最強バディの最後の運命は!?</t>
  </si>
  <si>
    <t>1810_NTV_日22</t>
  </si>
  <si>
    <t>今日から俺は!!</t>
  </si>
  <si>
    <t>番組名今日から俺は!!第一話【伝説の幕開け！ツッパリとマブいスケバンの約束】</t>
  </si>
  <si>
    <r>
      <rPr>
        <rFont val="ＭＳ Ｐゴシック"/>
        <sz val="10.0"/>
      </rPr>
      <t>三橋貴志（賀来賢人）は転校を機に「今日からつっぱる</t>
    </r>
    <r>
      <rPr>
        <rFont val="Arial"/>
        <sz val="10.0"/>
      </rPr>
      <t>!</t>
    </r>
    <r>
      <rPr>
        <rFont val="ＭＳ Ｐゴシック"/>
        <sz val="10.0"/>
      </rPr>
      <t>」と金髪にした高校生。登校初日に担任の椋木（ムロツヨシ）やクラスメイトをビビらせるが、三橋と同じツッパリデビューのトゲ頭・伊藤（伊藤健太郎）が現れ大慌て！三橋は、不良１０人を伊藤と２人で偶然倒したことをきっかけに、同じ秘密を抱える相棒として伊藤と手を組む。翌日、２人の噂を聞きつけたスケバン・京子（橋本環奈）が明美（若月佑美）と共に訪ねてきて</t>
    </r>
    <r>
      <rPr>
        <rFont val="Arial"/>
        <sz val="10.0"/>
      </rPr>
      <t>…</t>
    </r>
  </si>
  <si>
    <t>三橋貴志（賀来賢人）は転校を機に「今日からつっぱる!」と金髪にした高校生。登校初日に担任の椋木（ムロツヨシ）やクラスメイトをビビらせるが、三橋と同じツッパリデビューのトゲ頭・伊藤（伊藤健太郎）が現れ大慌て！三橋は、不良１０人を伊藤と２人で偶然倒したことをきっかけに、同じ秘密を抱える相棒として伊藤と手を組む。翌日、２人の噂を聞きつけたスケバン・京子（橋本環奈）が明美（若月佑美）と共に訪ねてきて…</t>
  </si>
  <si>
    <t>番組名今日から俺は!!第二話【恋と道場破り!?ナウい青春が動き出す!!】</t>
  </si>
  <si>
    <r>
      <rPr>
        <rFont val="ＭＳ Ｐゴシック"/>
        <sz val="10.0"/>
      </rPr>
      <t>武道の達人・赤坂理子（清野菜名）に道でケチをつけられた三橋（賀来賢人）は、苛立ちながらも理子のことが気になって仕方ない。父・一郎（吉田鋼太郎）から「恋をしている」と指摘されるが、理子をぶっ飛ばしたくてムシャクシャしているだけだと言い張る三橋。そして、理子を倒すつもりが、なぜか理子の父・哲夫（佐藤二朗）に巻き込まれ、伊藤（伊藤健太郎）と共に、理子の家の道場にやってきた道場破りと戦うことになって</t>
    </r>
    <r>
      <rPr>
        <rFont val="Arial"/>
        <sz val="10.0"/>
      </rPr>
      <t>…!?</t>
    </r>
  </si>
  <si>
    <t>武道の達人・赤坂理子（清野菜名）に道でケチをつけられた三橋（賀来賢人）は、苛立ちながらも理子のことが気になって仕方ない。父・一郎（吉田鋼太郎）から「恋をしている」と指摘されるが、理子をぶっ飛ばしたくてムシャクシャしているだけだと言い張る三橋。そして、理子を倒すつもりが、なぜか理子の父・哲夫（佐藤二朗）に巻き込まれ、伊藤（伊藤健太郎）と共に、理子の家の道場にやってきた道場破りと戦うことになって…!?</t>
  </si>
  <si>
    <t>番組名今日から俺は!!第三話【ツッパリ最凶集団との因縁の闘いが始まる！】</t>
  </si>
  <si>
    <r>
      <rPr>
        <rFont val="ＭＳ Ｐゴシック"/>
        <sz val="10.0"/>
      </rPr>
      <t>三橋（賀来賢人）の</t>
    </r>
    <r>
      <rPr>
        <rFont val="Arial"/>
        <sz val="10.0"/>
      </rPr>
      <t>“</t>
    </r>
    <r>
      <rPr>
        <rFont val="ＭＳ Ｐゴシック"/>
        <sz val="10.0"/>
      </rPr>
      <t>意外といいヤツ</t>
    </r>
    <r>
      <rPr>
        <rFont val="Arial"/>
        <sz val="10.0"/>
      </rPr>
      <t>”</t>
    </r>
    <r>
      <rPr>
        <rFont val="ＭＳ Ｐゴシック"/>
        <sz val="10.0"/>
      </rPr>
      <t>な一面を知り、惹かれる理子（清野菜名）。そんな理子に想いを募らせる今井（太賀）は連日の待ち伏せの末、ついに告白するもあえなく玉砕。現実を受け入れられない今井は、失恋の腹いせに馬鹿力で投げた石が運悪く最凶最悪の開久高校のヤンキーに直撃したことで喧嘩が勃発し</t>
    </r>
    <r>
      <rPr>
        <rFont val="Arial"/>
        <sz val="10.0"/>
      </rPr>
      <t>…</t>
    </r>
    <r>
      <rPr>
        <rFont val="ＭＳ Ｐゴシック"/>
        <sz val="10.0"/>
      </rPr>
      <t>。</t>
    </r>
    <r>
      <rPr>
        <rFont val="Arial"/>
        <sz val="10.0"/>
      </rPr>
      <t xml:space="preserve">  </t>
    </r>
    <r>
      <rPr>
        <rFont val="ＭＳ Ｐゴシック"/>
        <sz val="10.0"/>
      </rPr>
      <t>今井の失恋が、三橋や伊藤（伊藤健太郎）を巻き込んだ大ごとに発展！因縁の開久対決、ついに開幕</t>
    </r>
    <r>
      <rPr>
        <rFont val="Arial"/>
        <sz val="10.0"/>
      </rPr>
      <t>!</t>
    </r>
  </si>
  <si>
    <t>三橋（賀来賢人）の“意外といいヤツ”な一面を知り、惹かれる理子（清野菜名）。そんな理子に想いを募らせる今井（太賀）は連日の待ち伏せの末、ついに告白するもあえなく玉砕。現実を受け入れられない今井は、失恋の腹いせに馬鹿力で投げた石が運悪く最凶最悪の開久高校のヤンキーに直撃したことで喧嘩が勃発し…。  今井の失恋が、三橋や伊藤（伊藤健太郎）を巻き込んだ大ごとに発展！因縁の開久対決、ついに開幕!</t>
  </si>
  <si>
    <t>番組名今日から俺は!!第四話【大恋愛が加速!?先生どうして人を好きになるんですか？】</t>
  </si>
  <si>
    <r>
      <rPr>
        <rFont val="ＭＳ Ｐゴシック"/>
        <sz val="10.0"/>
      </rPr>
      <t>モテない今井（太賀）が、突然明美（若月佑美）から告白めいた手紙を渡される！不思議とウマが合う明美とまさかのカップル成立！？それが猛烈に許せない三橋（賀来賢人）は二人の邪魔をしようと試行錯誤。人の恋路に気を取られ、配慮のない三橋の鈍感さに拗ねる理子（清野菜名）と、呆れる伊藤</t>
    </r>
    <r>
      <rPr>
        <rFont val="Arial"/>
        <sz val="10.0"/>
      </rPr>
      <t>(</t>
    </r>
    <r>
      <rPr>
        <rFont val="ＭＳ Ｐゴシック"/>
        <sz val="10.0"/>
      </rPr>
      <t>伊藤健太郎</t>
    </r>
    <r>
      <rPr>
        <rFont val="Arial"/>
        <sz val="10.0"/>
      </rPr>
      <t>)</t>
    </r>
    <r>
      <rPr>
        <rFont val="ＭＳ Ｐゴシック"/>
        <sz val="10.0"/>
      </rPr>
      <t>。一方、京子</t>
    </r>
    <r>
      <rPr>
        <rFont val="Arial"/>
        <sz val="10.0"/>
      </rPr>
      <t>(</t>
    </r>
    <r>
      <rPr>
        <rFont val="ＭＳ Ｐゴシック"/>
        <sz val="10.0"/>
      </rPr>
      <t>橋本環奈</t>
    </r>
    <r>
      <rPr>
        <rFont val="Arial"/>
        <sz val="10.0"/>
      </rPr>
      <t>)</t>
    </r>
    <r>
      <rPr>
        <rFont val="ＭＳ Ｐゴシック"/>
        <sz val="10.0"/>
      </rPr>
      <t>はあることをきっかけに一人落ち込んでいた。そんな中、三橋と伊藤は明美のある秘密を目撃し</t>
    </r>
    <r>
      <rPr>
        <rFont val="Arial"/>
        <sz val="10.0"/>
      </rPr>
      <t>…!</t>
    </r>
  </si>
  <si>
    <t>モテない今井（太賀）が、突然明美（若月佑美）から告白めいた手紙を渡される！不思議とウマが合う明美とまさかのカップル成立！？それが猛烈に許せない三橋（賀来賢人）は二人の邪魔をしようと試行錯誤。人の恋路に気を取られ、配慮のない三橋の鈍感さに拗ねる理子（清野菜名）と、呆れる伊藤(伊藤健太郎)。一方、京子(橋本環奈)はあることをきっかけに一人落ち込んでいた。そんな中、三橋と伊藤は明美のある秘密を目撃し…!</t>
  </si>
  <si>
    <t>番組名今日から俺は!!第五話 ギザギザハートのシティ派不良登場！タイマンて何ですか</t>
  </si>
  <si>
    <r>
      <rPr>
        <rFont val="ＭＳ Ｐゴシック"/>
        <sz val="10.0"/>
      </rPr>
      <t>東京に出かけた佐川（柾木玲弥）が、東京の不良・ユタカ（平埜生成）に襲われ入院！翌日、理子（清野菜名）から話を聞いて怒る三橋（賀来賢人）と伊藤（伊藤健太郎）だが犯人の手がかりはなく</t>
    </r>
    <r>
      <rPr>
        <rFont val="Arial"/>
        <sz val="10.0"/>
      </rPr>
      <t>…</t>
    </r>
    <r>
      <rPr>
        <rFont val="ＭＳ Ｐゴシック"/>
        <sz val="10.0"/>
      </rPr>
      <t>。一方、ユタカの仲間・紅野（中村倫也）たちは千葉のヤンキーたちをからかおうと、三橋たちのすぐそばまで迫っていた</t>
    </r>
    <r>
      <rPr>
        <rFont val="Arial"/>
        <sz val="10.0"/>
      </rPr>
      <t>…</t>
    </r>
    <r>
      <rPr>
        <rFont val="ＭＳ Ｐゴシック"/>
        <sz val="10.0"/>
      </rPr>
      <t>！！勝手の違う敵に三橋がまさかの大ピンチ！？東京の不良と千葉ヤンキーの一大闘争勃発！三橋の奇策とは</t>
    </r>
    <r>
      <rPr>
        <rFont val="Arial"/>
        <sz val="10.0"/>
      </rPr>
      <t>!?</t>
    </r>
  </si>
  <si>
    <t>東京に出かけた佐川（柾木玲弥）が、東京の不良・ユタカ（平埜生成）に襲われ入院！翌日、理子（清野菜名）から話を聞いて怒る三橋（賀来賢人）と伊藤（伊藤健太郎）だが犯人の手がかりはなく…。一方、ユタカの仲間・紅野（中村倫也）たちは千葉のヤンキーたちをからかおうと、三橋たちのすぐそばまで迫っていた…！！勝手の違う敵に三橋がまさかの大ピンチ！？東京の不良と千葉ヤンキーの一大闘争勃発！三橋の奇策とは!?</t>
  </si>
  <si>
    <t>番組名今日から俺は!!第六話【憧れの金○先生に俺はなる!?暴力教師に正義の鉄拳！！】</t>
  </si>
  <si>
    <r>
      <rPr>
        <rFont val="ＭＳ Ｐゴシック"/>
        <sz val="10.0"/>
      </rPr>
      <t>ある場所で三橋（賀来賢人）の父・一郎（吉田鋼太郎）に出くわした椋木（ムロツヨシ）は、秘密を共有する事で「三橋に言うことをきかせる」という取引をする。一郎から</t>
    </r>
    <r>
      <rPr>
        <rFont val="Arial"/>
        <sz val="10.0"/>
      </rPr>
      <t>“</t>
    </r>
    <r>
      <rPr>
        <rFont val="ＭＳ Ｐゴシック"/>
        <sz val="10.0"/>
      </rPr>
      <t>ある見返り</t>
    </r>
    <r>
      <rPr>
        <rFont val="Arial"/>
        <sz val="10.0"/>
      </rPr>
      <t>”</t>
    </r>
    <r>
      <rPr>
        <rFont val="ＭＳ Ｐゴシック"/>
        <sz val="10.0"/>
      </rPr>
      <t>を提案された三橋は、１週間椋木のしもべになるという男の約束を交わす。一方、坂本（じろう）は剛田（勝矢）という元・ヤクザの用心棒を手に入れ、突然強気キャラに豹変！椋木のしもべ・三橋</t>
    </r>
    <r>
      <rPr>
        <rFont val="Arial"/>
        <sz val="10.0"/>
      </rPr>
      <t>vs</t>
    </r>
    <r>
      <rPr>
        <rFont val="ＭＳ Ｐゴシック"/>
        <sz val="10.0"/>
      </rPr>
      <t>坂本の用心棒・剛田の抗争勃発でどうなる軟葉高校</t>
    </r>
    <r>
      <rPr>
        <rFont val="Arial"/>
        <sz val="10.0"/>
      </rPr>
      <t>!</t>
    </r>
  </si>
  <si>
    <t>ある場所で三橋（賀来賢人）の父・一郎（吉田鋼太郎）に出くわした椋木（ムロツヨシ）は、秘密を共有する事で「三橋に言うことをきかせる」という取引をする。一郎から“ある見返り”を提案された三橋は、１週間椋木のしもべになるという男の約束を交わす。一方、坂本（じろう）は剛田（勝矢）という元・ヤクザの用心棒を手に入れ、突然強気キャラに豹変！椋木のしもべ・三橋vs坂本の用心棒・剛田の抗争勃発でどうなる軟葉高校!</t>
  </si>
  <si>
    <t>番組名今日から俺は!!第七話【伝説エピソード解禁！世界一ムダな戦いが幕を開ける…】</t>
  </si>
  <si>
    <r>
      <rPr>
        <rFont val="ＭＳ Ｐゴシック"/>
        <sz val="10.0"/>
      </rPr>
      <t>今井（太賀）の理子（清野菜名）へのラブレターを盗み読んだ三橋（賀来賢人）は、呼び出し場所に先回りして、今井を脅かそうとするが</t>
    </r>
    <r>
      <rPr>
        <rFont val="Arial"/>
        <sz val="10.0"/>
      </rPr>
      <t>…!?</t>
    </r>
    <r>
      <rPr>
        <rFont val="ＭＳ Ｐゴシック"/>
        <sz val="10.0"/>
      </rPr>
      <t>ここから始まる三橋</t>
    </r>
    <r>
      <rPr>
        <rFont val="Arial"/>
        <sz val="10.0"/>
      </rPr>
      <t>VS</t>
    </r>
    <r>
      <rPr>
        <rFont val="ＭＳ Ｐゴシック"/>
        <sz val="10.0"/>
      </rPr>
      <t>今井の仁義なき戦い。やられたら</t>
    </r>
    <r>
      <rPr>
        <rFont val="Arial"/>
        <sz val="10.0"/>
      </rPr>
      <t>100</t>
    </r>
    <r>
      <rPr>
        <rFont val="ＭＳ Ｐゴシック"/>
        <sz val="10.0"/>
      </rPr>
      <t>倍でやり返す男・三橋が、今井を廃ビルに監禁！？原作ファンの間で最も人気が高く、実写化は無理だと言われた禁断の回がついに</t>
    </r>
    <r>
      <rPr>
        <rFont val="Arial"/>
        <sz val="10.0"/>
      </rPr>
      <t>…</t>
    </r>
    <r>
      <rPr>
        <rFont val="ＭＳ Ｐゴシック"/>
        <sz val="10.0"/>
      </rPr>
      <t>！どうする三橋！！どうなる今井！！あなたは衝撃的瞬間の目撃者になる</t>
    </r>
    <r>
      <rPr>
        <rFont val="Arial"/>
        <sz val="10.0"/>
      </rPr>
      <t>!!!</t>
    </r>
  </si>
  <si>
    <t>今井（太賀）の理子（清野菜名）へのラブレターを盗み読んだ三橋（賀来賢人）は、呼び出し場所に先回りして、今井を脅かそうとするが…!?ここから始まる三橋VS今井の仁義なき戦い。やられたら100倍でやり返す男・三橋が、今井を廃ビルに監禁！？原作ファンの間で最も人気が高く、実写化は無理だと言われた禁断の回がついに…！どうする三橋！！どうなる今井！！あなたは衝撃的瞬間の目撃者になる!!!</t>
  </si>
  <si>
    <t>番組名今日から俺は!!第八話【ラブストーリーは唐突に？俺の女に手を出すな！】</t>
  </si>
  <si>
    <r>
      <rPr>
        <rFont val="ＭＳ Ｐゴシック"/>
        <sz val="10.0"/>
      </rPr>
      <t>新入生にモテて図に乗る三橋（賀来賢人）は、理子（清野菜名）の助言で人気上昇！喧嘩を避ければいいと勘違いした三橋は、三人がかりで挑んできたツッパリを佐川（柾木玲弥）に任せる。理子が慌てて助けると、新入生達は、理子こそ「ウラ番」だと信じる。人気を奪われ、ふてくされる三橋。そんな中、ヘルメットをした危険な新入生（須賀健太）が、軟高で「一番強いヤツ」を探して暴れていた</t>
    </r>
    <r>
      <rPr>
        <rFont val="Arial"/>
        <sz val="10.0"/>
      </rPr>
      <t>…</t>
    </r>
    <r>
      <rPr>
        <rFont val="ＭＳ Ｐゴシック"/>
        <sz val="10.0"/>
      </rPr>
      <t>。狙われた理子！その時、三橋は</t>
    </r>
    <r>
      <rPr>
        <rFont val="Arial"/>
        <sz val="10.0"/>
      </rPr>
      <t>!?</t>
    </r>
  </si>
  <si>
    <t>新入生にモテて図に乗る三橋（賀来賢人）は、理子（清野菜名）の助言で人気上昇！喧嘩を避ければいいと勘違いした三橋は、三人がかりで挑んできたツッパリを佐川（柾木玲弥）に任せる。理子が慌てて助けると、新入生達は、理子こそ「ウラ番」だと信じる。人気を奪われ、ふてくされる三橋。そんな中、ヘルメットをした危険な新入生（須賀健太）が、軟高で「一番強いヤツ」を探して暴れていた…。狙われた理子！その時、三橋は!?</t>
  </si>
  <si>
    <t>番組名今日から俺は!!第九話【最終章！開久と全面戦争で全校生徒を巻き込む大騒動!?】</t>
  </si>
  <si>
    <r>
      <rPr>
        <rFont val="ＭＳ Ｐゴシック"/>
        <sz val="10.0"/>
      </rPr>
      <t>開久の番長・智司（鈴木伸之）の静観の構えに、三橋（賀来賢人）と伊藤（伊藤健太郎）に手を出せず苛ついていた相良（磯村勇斗）は、奇策を思いつく。智司はその作戦にのせられ、集団で伊藤を襲う。突然の奇襲にもかかわらず、智司めがけて正面から挑み続ける伊藤。その姿に、智司は伊藤にタイマンを持ちかけ・・・。相良のクーデター勃発！開久が軟高に押しかける！？どうする三橋伊藤</t>
    </r>
    <r>
      <rPr>
        <rFont val="Arial"/>
        <sz val="10.0"/>
      </rPr>
      <t>!?</t>
    </r>
    <r>
      <rPr>
        <rFont val="ＭＳ Ｐゴシック"/>
        <sz val="10.0"/>
      </rPr>
      <t>軟高</t>
    </r>
    <r>
      <rPr>
        <rFont val="Arial"/>
        <sz val="10.0"/>
      </rPr>
      <t>vs</t>
    </r>
    <r>
      <rPr>
        <rFont val="ＭＳ Ｐゴシック"/>
        <sz val="10.0"/>
      </rPr>
      <t>開久の全面戦争の行方はー</t>
    </r>
    <r>
      <rPr>
        <rFont val="Arial"/>
        <sz val="10.0"/>
      </rPr>
      <t>!</t>
    </r>
  </si>
  <si>
    <t>開久の番長・智司（鈴木伸之）の静観の構えに、三橋（賀来賢人）と伊藤（伊藤健太郎）に手を出せず苛ついていた相良（磯村勇斗）は、奇策を思いつく。智司はその作戦にのせられ、集団で伊藤を襲う。突然の奇襲にもかかわらず、智司めがけて正面から挑み続ける伊藤。その姿に、智司は伊藤にタイマンを持ちかけ・・・。相良のクーデター勃発！開久が軟高に押しかける！？どうする三橋伊藤!?軟高vs開久の全面戦争の行方はー!</t>
  </si>
  <si>
    <t>番組名今日から俺は!!第十話【最終回！突然のツッパリやめます宣言！一体なにが!?】</t>
  </si>
  <si>
    <r>
      <rPr>
        <rFont val="ＭＳ Ｐゴシック"/>
        <sz val="10.0"/>
      </rPr>
      <t>今井（太賀）がヤクザに襲われ意識不明の重体。さらに次は伊藤（伊藤健太郎）が</t>
    </r>
    <r>
      <rPr>
        <rFont val="Arial"/>
        <sz val="10.0"/>
      </rPr>
      <t>…</t>
    </r>
    <r>
      <rPr>
        <rFont val="ＭＳ Ｐゴシック"/>
        <sz val="10.0"/>
      </rPr>
      <t>！圧倒的強さの月川（城田優）にどう立ち向かう！？</t>
    </r>
    <r>
      <rPr>
        <rFont val="Arial"/>
        <sz val="10.0"/>
      </rPr>
      <t>…</t>
    </r>
    <r>
      <rPr>
        <rFont val="ＭＳ Ｐゴシック"/>
        <sz val="10.0"/>
      </rPr>
      <t>と、そんな中、三橋（賀来賢人）が「今日からツッパリやめます」宣言</t>
    </r>
    <r>
      <rPr>
        <rFont val="Arial"/>
        <sz val="10.0"/>
      </rPr>
      <t>!?</t>
    </r>
    <r>
      <rPr>
        <rFont val="ＭＳ Ｐゴシック"/>
        <sz val="10.0"/>
      </rPr>
      <t>理子</t>
    </r>
    <r>
      <rPr>
        <rFont val="Arial"/>
        <sz val="10.0"/>
      </rPr>
      <t>(</t>
    </r>
    <r>
      <rPr>
        <rFont val="ＭＳ Ｐゴシック"/>
        <sz val="10.0"/>
      </rPr>
      <t>清野菜名</t>
    </r>
    <r>
      <rPr>
        <rFont val="Arial"/>
        <sz val="10.0"/>
      </rPr>
      <t>)</t>
    </r>
    <r>
      <rPr>
        <rFont val="ＭＳ Ｐゴシック"/>
        <sz val="10.0"/>
      </rPr>
      <t>も怒る理由が見つからず動揺！どうした三橋！最終回だぞ三橋！？待ちきれないけど、来てほしくなかった最終回ついに！開久との真の決着もすべてはこの回で！さようなら８０年代のツッパリたち</t>
    </r>
    <r>
      <rPr>
        <rFont val="Arial"/>
        <sz val="10.0"/>
      </rPr>
      <t>!</t>
    </r>
  </si>
  <si>
    <t>今井（太賀）がヤクザに襲われ意識不明の重体。さらに次は伊藤（伊藤健太郎）が…！圧倒的強さの月川（城田優）にどう立ち向かう！？…と、そんな中、三橋（賀来賢人）が「今日からツッパリやめます」宣言!?理子(清野菜名)も怒る理由が見つからず動揺！どうした三橋！最終回だぞ三橋！？待ちきれないけど、来てほしくなかった最終回ついに！開久との真の決着もすべてはこの回で！さようなら８０年代のツッパリたち!</t>
  </si>
  <si>
    <t>1807_NTV_水22</t>
  </si>
  <si>
    <t>高嶺の花</t>
  </si>
  <si>
    <t>番組名高嶺の花#01</t>
  </si>
  <si>
    <t>もも（石原さとみ）は華道の名門「月島流」の令嬢。美しく才能豊か、すべてに恵まれたももだったが、婚約者に裏切られて結婚が破談、深く傷つき立ち直れずにいた。ある日、ももは転んで自転車を大破、迷い込んだ小さな商店街で自転車店を営む直人（峯田和伸）と出会う。高飛車で奔放なももを、直人は穏やかに受け入れて…。あり得ない二人の、まさかの運命の恋を描く、野島伸司脚本による怒涛の純愛エンターテインメント!</t>
  </si>
  <si>
    <t>番組名高嶺の花#02</t>
  </si>
  <si>
    <t>月島流の大切な行事に登場し、華道家として復活したもも（石原さとみ）のもとに、彼女をキャバクラ嬢と勘違いした直人（峯田和伸）たちから電話が。ももはとっさに話を合わせ、店に来て指名して、と頼む。そしてすぐさま店の面接を受けて即採用、直人をキャバクラ嬢として接客する。酔った勢いも手伝い、二人は急接近…!?だがその帰り道、突然、元婚約者・吉池（三浦貴大）からの電話が鳴って、思わず受けてしまったももは…。</t>
  </si>
  <si>
    <t>番組名高嶺の花#03</t>
  </si>
  <si>
    <t>直人（峯田和伸）はもも（石原さとみ）を慰めようと、元カレとの思い出話を聞くと申し出るが、ももは怒ってしまう。女心がわからない直人。そんな中、ももの雑誌取材を龍一（千葉雄大）が手配、二人はなな（芳根京子）の反対も聞かず連絡先を交換した。その夜、ももの前に吉池（三浦貴大）が現れ、妻が隠していた月島流の免状を見せる。彼女が内部関係者だったと知り、激しく動揺するもも。吉池が誘惑されたのは、誰かの策略か…!</t>
  </si>
  <si>
    <t>番組名高嶺の花#04</t>
  </si>
  <si>
    <r>
      <rPr>
        <rFont val="ＭＳ Ｐゴシック"/>
        <sz val="10.0"/>
      </rPr>
      <t>もも（石原さとみ）は直人（峯田和伸）を恋の相手と意識していたが、ももにキスされて以来、直人は目も合わせられず挙動不審に。一方、なな（芳根京子）は龍一（千葉雄大）への思いから、市松（小日向文世）に自分も家元を継ぐチャンスが欲しいと訴え出て、ももには長年抱えてきたコンプレックスを激しくぶつけた！そんな中、雑誌に月島ももの取材記事が掲載され、直人はついに彼女の正体を知ることになる。その時、ももは</t>
    </r>
    <r>
      <rPr>
        <rFont val="Arial"/>
        <sz val="10.0"/>
      </rPr>
      <t>…!?</t>
    </r>
  </si>
  <si>
    <t>もも（石原さとみ）は直人（峯田和伸）を恋の相手と意識していたが、ももにキスされて以来、直人は目も合わせられず挙動不審に。一方、なな（芳根京子）は龍一（千葉雄大）への思いから、市松（小日向文世）に自分も家元を継ぐチャンスが欲しいと訴え出て、ももには長年抱えてきたコンプレックスを激しくぶつけた！そんな中、雑誌に月島ももの取材記事が掲載され、直人はついに彼女の正体を知ることになる。その時、ももは…!?</t>
  </si>
  <si>
    <t>番組名高嶺の花#05</t>
  </si>
  <si>
    <r>
      <rPr>
        <rFont val="ＭＳ Ｐゴシック"/>
        <sz val="10.0"/>
      </rPr>
      <t>もも（石原さとみ）は直人（峯田和伸）を月島家に招き、市松（小日向文世）に、彼と結婚するのでなな（芳根京子）を家元に、と切り出す。直人は唐突な結婚話に戸惑いながらも話を合わせる。市松は、それなら破門だとももに告げた。一方、ななは龍一（千葉雄大）とルリ子（戸田菜穂）の密会にニアミス！そんな中、吉池（三浦貴大）が市松を襲い大ケガを負わせた！病院に駆けつけたももに市松は、ももの知らない母親の話を始める</t>
    </r>
    <r>
      <rPr>
        <rFont val="Arial"/>
        <sz val="10.0"/>
      </rPr>
      <t>…</t>
    </r>
    <r>
      <rPr>
        <rFont val="ＭＳ Ｐゴシック"/>
        <sz val="10.0"/>
      </rPr>
      <t>。</t>
    </r>
  </si>
  <si>
    <t>もも（石原さとみ）は直人（峯田和伸）を月島家に招き、市松（小日向文世）に、彼と結婚するのでなな（芳根京子）を家元に、と切り出す。直人は唐突な結婚話に戸惑いながらも話を合わせる。市松は、それなら破門だとももに告げた。一方、ななは龍一（千葉雄大）とルリ子（戸田菜穂）の密会にニアミス！そんな中、吉池（三浦貴大）が市松を襲い大ケガを負わせた！病院に駆けつけたももに市松は、ももの知らない母親の話を始める…。</t>
  </si>
  <si>
    <t>番組名高嶺の花#06</t>
  </si>
  <si>
    <t>家元になると決意したもも（石原さとみ）だったが、満足のいく作品が創れない。一方、なな（芳根京子）はももが逃亡中の吉池（三浦貴大）を匿っていると知り驚愕！そんな中、ももと直人（峯田和伸）の婚約パーティーが開かれる。皆に祝福され、ももははしゃいでいた。ななは、結婚を止めなければと直人にももの「驚くべき計画」を告げるが、それを聞いた直人は意外な反応を…。そして、二人の結婚式が始まる。そこで衝撃の悲劇が…【演出】大塚恭司【脚本】野島伸司【主題歌】『ラヴ・ミー・テンダー』エルヴィス・プレスリー【音楽】上野耕路【プロデューサー】  松原浩  鈴木亜希乃 渡邉浩仁</t>
  </si>
  <si>
    <t>家元になると決意したもも（石原さとみ）だったが、満足のいく作品が創れない。一方、なな（芳根京子）はももが逃亡中の吉池（三浦貴大）を匿っていると知り驚愕！そんな中、ももと直人（峯田和伸）の婚約パーティーが開かれる。皆に祝福され、ももははしゃいでいた。ななは、結婚を止めなければと直人にももの「驚くべき計画」を告げるが、それを聞いた直人は意外な反応を…。そして、二人の結婚式が始まる。そこで衝撃の悲劇が…</t>
  </si>
  <si>
    <t>番組名高嶺の花#07</t>
  </si>
  <si>
    <t>結婚式から逃げたもも（石原さとみ）だったが、別れ際の直人（峯田和伸）の笑顔が頭から離れない。直人はなぜ笑ったの…？そんな中、ももは華道界一の名門の家元候補・兵馬（大貫勇輔）と出会い、敬意を抱く。一方、直人は図書館で看護師・千秋（香里奈）と知り合う。そしてなな（芳根京子）は、ついに龍一（千葉雄大）と母・ルリ子（戸田菜穂）が密会しているのを目の当たりに…！秘密、嘘、裏切り、愛憎渦巻く第二章スタート!【演出】【脚本】野島伸司【主題歌】『ラヴ・ミー・テンダー』エルヴィス・プレスリー【音楽】上野耕路【プロデューサー】  松原浩  鈴木亜希乃 渡邉浩仁</t>
  </si>
  <si>
    <t>結婚式から逃げたもも（石原さとみ）だったが、別れ際の直人（峯田和伸）の笑顔が頭から離れない。直人はなぜ笑ったの…？そんな中、ももは華道界一の名門の家元候補・兵馬（大貫勇輔）と出会い、敬意を抱く。一方、直人は図書館で看護師・千秋（香里奈）と知り合う。そしてなな（芳根京子）は、ついに龍一（千葉雄大）と母・ルリ子（戸田菜穂）が密会しているのを目の当たりに…！秘密、嘘、裏切り、愛憎渦巻く第二章スタート!</t>
  </si>
  <si>
    <t>番組名高嶺の花#08</t>
  </si>
  <si>
    <t>もも（石原さとみ）は兵馬（大貫勇輔）の生け花に魅了され、直人（峯田和伸）は千秋（香里奈）と親しくなる。一方で直人は、生け花関連の本を読みこみ、ももの苦悩を理解しようと努めていた。そんな中、ついにももとなな（芳根京子）どちらが次の家元か見定める催事「俎上」の日が。直人、龍一（千葉雄大）、それぞれへの想いが移った対照的な作品に、投票は同数に。最後の市松（小日向文世）の一票で、次の家元が決定される…!【演出】岩崎マリエ【脚本】野島伸司【主題歌】『ラヴ・ミー・テンダー』エルヴィス・プレスリー【音楽】上野耕路【プロデューサー】  松原浩  鈴木亜希乃 渡邉浩仁</t>
  </si>
  <si>
    <t>もも（石原さとみ）は兵馬（大貫勇輔）の生け花に魅了され、直人（峯田和伸）は千秋（香里奈）と親しくなる。一方で直人は、生け花関連の本を読みこみ、ももの苦悩を理解しようと努めていた。そんな中、ついにももとなな（芳根京子）どちらが次の家元か見定める催事「俎上」の日が。直人、龍一（千葉雄大）、それぞれへの想いが移った対照的な作品に、投票は同数に。最後の市松（小日向文世）の一票で、次の家元が決定される…!</t>
  </si>
  <si>
    <t>番組名高嶺の花#09</t>
  </si>
  <si>
    <t>神宮流の次の家元を決める催事が龍一（千葉雄大）と兵馬（大貫勇輔）で行われる。もも（石原さとみ）、なな（芳根京子）も票を持つこの決戦に人生を懸けて挑む龍一。直人（峯田和伸）は千秋（香里奈）の意外な正体を知らぬまま親しくなる。そしてももは、龍一から、自分は市松（小日向文世）の実子でないことを知らされる…！激しく動揺し、ももは真実を確かめに市松のもとへ…。その時、市松は？ももの心に押し寄せる思いとは…!【演出】松原浩【脚本】野島伸司【主題歌】『ラヴ・ミー・テンダー』エルヴィス・プレスリー【音楽】上野耕路【プロデューサー】  松原浩  鈴木亜希乃 渡邉浩仁</t>
  </si>
  <si>
    <t>神宮流の次の家元を決める催事が龍一（千葉雄大）と兵馬（大貫勇輔）で行われる。もも（石原さとみ）、なな（芳根京子）も票を持つこの決戦に人生を懸けて挑む龍一。直人（峯田和伸）は千秋（香里奈）の意外な正体を知らぬまま親しくなる。そしてももは、龍一から、自分は市松（小日向文世）の実子でないことを知らされる…！激しく動揺し、ももは真実を確かめに市松のもとへ…。その時、市松は？ももの心に押し寄せる思いとは…!</t>
  </si>
  <si>
    <t>番組名高嶺の花#10</t>
  </si>
  <si>
    <t>もも（石原さとみ）は千秋（香里奈）が直人（峯田和伸）を誘惑する様子を電話で聴いていた。浮気でかまわない、と誘いかける千秋に、直人は…。龍一（千葉雄大）と生きる決意をしたなな（芳根京子）は市松（小日向文世）に破門され、市松は龍一に、ももとの縁談を持ちかける。ももは直人を呼び出して、月島を継ぐことになったと、これまでの感謝の思いを伝え本当の別れを告げる…。感動と衝撃、すべてのピースがはまる最終回!【演出】大塚恭司【脚本】野島伸司【主題歌】『ラヴ・ミー・テンダー』エルヴィス・プレスリー【音楽】上野耕路【プロデューサー】  松原浩  鈴木亜希乃 渡邉浩仁</t>
  </si>
  <si>
    <t>もも（石原さとみ）は千秋（香里奈）が直人（峯田和伸）を誘惑する様子を電話で聴いていた。浮気でかまわない、と誘いかける千秋に、直人は…。龍一（千葉雄大）と生きる決意をしたなな（芳根京子）は市松（小日向文世）に破門され、市松は龍一に、ももとの縁談を持ちかける。ももは直人を呼び出して、月島を継ぐことになったと、これまでの感謝の思いを伝え本当の別れを告げる…。感動と衝撃、すべてのピースがはまる最終回!</t>
  </si>
  <si>
    <t>1807_NTV_木23</t>
  </si>
  <si>
    <t>探偵が早すぎる</t>
  </si>
  <si>
    <t>番組名探偵が早すぎる#1【滝藤賢一&amp;広瀬アリスW主演!史上最速の探偵、登場】</t>
  </si>
  <si>
    <t>千曲川光…滝藤賢一  十川一華…広瀬アリス    城之内翼…佐藤寛太  山崎未夏…南乃彩希  阿部律音…水島麻理奈  大陀羅麻百合…結城モエ  十川純華…新山千春    大陀羅朱鳥…片平なぎさ(特別出演)    大陀羅壬流古…桐山漣  大陀羅亜謄蛇…神保悟志    橋田政子…水野美紀(他)早すぎる探偵・千曲川光（滝藤賢一）が今回受けた依頼は、父親の遺産５兆円を突如相続することになった美女・十川一華（広瀬アリス）の命を守ること。  父親の兄弟たち大陀羅一族が、莫大な遺産を奪おうと、あの手この手で暗殺を仕掛てくる。魑魅魍魎な彼らは緻密に練られた殺害方法で、次々と一華に襲いかかるのだが・・・  秘技トリック返し！史上最速の探偵は事件を未然に防ぎ、犯人を返り討ちにすることができるのか!?【原作】  『探偵が早すぎる』井上真偽（講談社タイガ刊)  【脚本】  宇田学  【音楽】  イケガミキヨシ  【主題歌】  「フラワーステップ」edda(ビクターカラフルレコーズ)  【チーフプロデューサー】  前西和成  【プロデューサー】  中山喬詞  白石裕菜  河野美里  【演出】  湯浅弘章http://www.ytv.co.jp/tantei/  【番組公式Twitter】  @ytvdrama  【番組公式Instagram】  @hayasugi_tantei  【番組公式LINE ID】  @tanteigahayasugiru</t>
  </si>
  <si>
    <t>早すぎる探偵・千曲川光（滝藤賢一）が今回受けた依頼は、父親の遺産５兆円を突如相続することになった美女・十川一華（広瀬アリス）の命を守ること。  父親の兄弟たち大陀羅一族が、莫大な遺産を奪おうと、あの手この手で暗殺を仕掛てくる。魑魅魍魎な彼らは緻密に練られた殺害方法で、次々と一華に襲いかかるのだが・・・  秘技トリック返し！史上最速の探偵は事件を未然に防ぎ、犯人を返り討ちにすることができるのか!?</t>
  </si>
  <si>
    <t>番組名探偵が早すぎる#2【滝藤賢一&amp;広瀬アリス主演!最速の探偵VS最恐の一族】</t>
  </si>
  <si>
    <t>千曲川光…滝藤賢一  十川一華…広瀬アリス    城之内翼…佐藤寛太  山崎未夏…南乃彩希  阿部律音…水島麻理奈  大陀羅麻百合…結城モエ  十川純華…新山千春    加藤康子…山田真歩  三田村博…池田鉄洋  マスター…高橋努    大陀羅朱鳥…片平なぎさ(特別出演)    大陀羅壬流古…桐山漣    橋田政子…水野美紀(他)事件を未然に解決し、一華（広瀬アリス）の命を救った千曲川（滝藤賢一）だったが…  一華は探偵のことを“私を殺そうとした奴”と疑い、さらには父親の遺産５兆円の相続までも拒否することに。しかし、千曲川は自身の報酬のために相続させようと説得する。２人が反発し合う中、大陀羅一族は新たな完全犯罪計画に動き出す…！次なる最恐の刺客とはー!?【原作】  『探偵が早すぎる』井上真偽（講談社タイガ刊)  【脚本】  宇田学  【音楽】  イケガミキヨシ  【主題歌】  「フラワーステップ」edda(ビクターカラフルレコーズ)  【チーフプロデューサー】  前西和成  【プロデューサー】  中山喬詞  白石裕菜  河野美里  【演出】  湯浅弘章http://www.ytv.co.jp/tantei/  【番組公式Twitter】  @ytvdrama  【番組公式Instagram】  @hayasugi_tantei  【番組公式LINE ID】  @tanteigahayasugiru</t>
  </si>
  <si>
    <t>事件を未然に解決し、一華（広瀬アリス）の命を救った千曲川（滝藤賢一）だったが…  一華は探偵のことを“私を殺そうとした奴”と疑い、さらには父親の遺産５兆円の相続までも拒否することに。しかし、千曲川は自身の報酬のために相続させようと説得する。２人が反発し合う中、大陀羅一族は新たな完全犯罪計画に動き出す…！次なる最恐の刺客とはー!?</t>
  </si>
  <si>
    <t>番組名探偵が早すぎる#3【滝藤賢一&amp;広瀬アリス・最速の探偵がまさかの不在！？】</t>
  </si>
  <si>
    <t>千曲川光…滝藤賢一  十川一華…広瀬アリス    城之内翼…佐藤寛太  山崎未夏…南乃彩希  阿部律音…水島麻理奈    西岡京一…相島一之    大陀羅朱鳥…片平なぎさ(特別出演)    大陀羅亜謄蛇…神保悟志    橋田政子…水野美紀(他)またしても一華（広瀬アリス）を守り抜いた千曲川（滝藤賢一）。そして一華は、５兆円の遺産を相続し大陀羅一族と向き合うことを決意する。常に付きまとう千曲川に嫌気がさした一華は、橋田（水野美紀）を通じて千曲川に近づかないようお願いする。しかし、橋田は「彼が離れるときは、あなたが命を狙われる時です」と言う。千曲川が一華から離れた時、裏ではいったい何が起きているのか…今回の刺客は、恐るべき頭脳犯!!【原作】  『探偵が早すぎる』井上真偽（講談社タイガ刊)  【脚本】  宇田学  【音楽】  イケガミキヨシ  【主題歌】  「フラワーステップ」edda(ビクターカラフルレコーズ)  【チーフプロデューサー】  前西和成  【プロデューサー】  中山喬詞  白石裕菜  河野美里  【演出】  瑠東東一郎http://www.ytv.co.jp/tantei/  【番組公式Twitter】  @ytvdrama  【番組公式Instagram】  @hayasugi_tantei  【番組公式LINE ID】  @tanteigahayasugiru</t>
  </si>
  <si>
    <t>またしても一華（広瀬アリス）を守り抜いた千曲川（滝藤賢一）。そして一華は、５兆円の遺産を相続し大陀羅一族と向き合うことを決意する。常に付きまとう千曲川に嫌気がさした一華は、橋田（水野美紀）を通じて千曲川に近づかないようお願いする。しかし、橋田は「彼が離れるときは、あなたが命を狙われる時です」と言う。千曲川が一華から離れた時、裏ではいったい何が起きているのか…今回の刺客は、恐るべき頭脳犯!!</t>
  </si>
  <si>
    <t>番組名探偵が早すぎる#4【滝藤賢一&amp;広瀬アリス・最速の探偵ＶＳ天才サイコパス】</t>
  </si>
  <si>
    <t>千曲川光…滝藤賢一  十川一華…広瀬アリス    城之内翼…佐藤寛太  山崎未夏…南乃彩希  阿部律音…水島麻理奈  大陀羅麻百合…結城モエ  十川純華…新山千春  大陀羅瑛…玉置孝匡    大陀羅貴人…前田公輝    大陀羅朱鳥…片平なぎさ(特別出演)    大陀羅壬流古…桐山漣    橋田政子…水野美紀(他)一華（広瀬アリス）の命を狙う次なる刺客は、大陀羅一族の中でも随一の天才・貴人（前田公輝）。遊園地を舞台に、サイコパスが考え出した恐るべき完全犯罪のトリックとはー  さらに、正体不明な家政婦・橋田（水野美紀）の過去が明らかに!?  探偵・千曲川(滝藤賢一)は、今回も事件を未然に防ぐことができるのか…早すぎる史上、最高峰の対決が幕を開ける!!【原作】  『探偵が早すぎる』井上真偽（講談社タイガ刊)  【脚本】  宇田学  【音楽】  イケガミキヨシ  【主題歌】  「フラワーステップ」edda(ビクターカラフルレコーズ)  【チーフプロデューサー】  前西和成  【プロデューサー】  中山喬詞  白石裕菜  河野美里  【演出】  瑠東東一郎http://www.ytv.co.jp/tantei/  【番組公式Twitter】  @ytvdrama  【番組公式Instagram】  @hayasugi_tantei  【番組公式LINE ID】  @tanteigahayasugiru</t>
  </si>
  <si>
    <t>一華（広瀬アリス）の命を狙う次なる刺客は、大陀羅一族の中でも随一の天才・貴人（前田公輝）。遊園地を舞台に、サイコパスが考え出した恐るべき完全犯罪のトリックとはー  さらに、正体不明な家政婦・橋田（水野美紀）の過去が明らかに!?  探偵・千曲川(滝藤賢一)は、今回も事件を未然に防ぐことができるのか…早すぎる史上、最高峰の対決が幕を開ける!!</t>
  </si>
  <si>
    <t>番組名探偵が早すぎる#5【滝藤賢一&amp;広瀬アリス夏祭りの惨劇・刺客は子ども！？】</t>
  </si>
  <si>
    <t>千曲川光…滝藤賢一  十川一華…広瀬アリス    城之内翼…佐藤寛太  山崎未夏…南乃彩希  阿部律音…水島麻理奈  大陀羅麻百合…結城モエ    透…五十嵐陽向  乃亜…竹野谷咲    大陀羅朱鳥…片平なぎさ(特別出演)    大陀羅壬流古…桐山漣    橋田政子…水野美紀(他)一華（広瀬アリス）の命を狙うべく、朱鳥（片平なぎさ）の息子・壬流古（桐山漣）が声をかけたのは、幼い兄弟。次なる刺客は、まさかの子ども!?  史上最速の探偵・千曲川(滝藤賢一)は、子ども相手にも容赦なくトリック返しで鉄槌をくだすのか！？そして、不穏な動きを見せるドＳ家政婦の橋田（水野美紀）。一華の母親の過去に、彼女が関わっているのか…その謎の真相が!!  夏祭りで繰り広げられる暗殺計画の行方はー【原作】  『探偵が早すぎる』井上真偽（講談社タイガ刊)  【脚本】  藤平久子  【音楽】  イケガミキヨシ  【主題歌】  「フラワーステップ」edda(ビクターカラフルレコーズ)  【チーフプロデューサー】  前西和成  【プロデューサー】  中山喬詞  白石裕菜  河野美里  【演出】  湯浅弘章http://www.ytv.co.jp/tantei/  【番組公式Twitter】  @ytvdrama  【番組公式Instagram】  @hayasugi_tantei  【番組公式LINE ID】  @tanteigahayasugiru</t>
  </si>
  <si>
    <t>一華（広瀬アリス）の命を狙うべく、朱鳥（片平なぎさ）の息子・壬流古（桐山漣）が声をかけたのは、幼い兄弟。次なる刺客は、まさかの子ども!?  史上最速の探偵・千曲川(滝藤賢一)は、子ども相手にも容赦なくトリック返しで鉄槌をくだすのか！？そして、不穏な動きを見せるドＳ家政婦の橋田（水野美紀）。一華の母親の過去に、彼女が関わっているのか…その謎の真相が!!  夏祭りで繰り広げられる暗殺計画の行方はー</t>
  </si>
  <si>
    <t>番組名探偵が早すぎる#6【滝藤賢一&amp;広瀬アリス・最速の探偵が最大のピンチ】</t>
  </si>
  <si>
    <t>千曲川光…滝藤賢一  十川一華…広瀬アリス    城之内翼…佐藤寛太  山崎未夏…南乃彩希  阿部律音…水島麻理奈  大陀羅麻百合…結城モエ  十川純華…新山千春    マスター…高橋努  城之内早苗…優希美青    大陀羅朱鳥…片平なぎさ(特別出演)    大陀羅壬流古…桐山漣  大陀羅亜謄蛇…神保悟志    橋田政子…水野美紀(他)千曲川（滝藤賢一）が朱鳥（片平なぎさ）の息子・壬流古（桐山漣）に重傷を負わせたことで、朱鳥は大激怒！千曲川を先に始末するように命令を出す。捕らえられ、監禁されてしまった千曲川…探偵の命が危ない中、亜謄蛇（神保悟志）はプロの刺客を雇い一華に襲い掛かる…千曲川不在の中、朱鳥と亜謄蛇が同時に命を狙ってくることにーー  最大のピンチをどう切り抜けるのか!?【原作】  『探偵が早すぎる』井上真偽（講談社タイガ刊)  【脚本】  宇田学  【音楽】  イケガミキヨシ  【主題歌】  「フラワーステップ」edda(ビクターカラフルレコーズ)  【チーフプロデューサー】  前西和成  【プロデューサー】  中山喬詞  白石裕菜  河野美里  【演出】  本田隆一http://www.ytv.co.jp/tantei/  【番組公式Twitter】  @ytvdrama  【番組公式Instagram】  @hayasugi_tantei  【番組公式LINE ID】  @tanteigahayasugiru</t>
  </si>
  <si>
    <t>千曲川（滝藤賢一）が朱鳥（片平なぎさ）の息子・壬流古（桐山漣）に重傷を負わせたことで、朱鳥は大激怒！千曲川を先に始末するように命令を出す。捕らえられ、監禁されてしまった千曲川…探偵の命が危ない中、亜謄蛇（神保悟志）はプロの刺客を雇い一華に襲い掛かる…千曲川不在の中、朱鳥と亜謄蛇が同時に命を狙ってくることにーー  最大のピンチをどう切り抜けるのか!?</t>
  </si>
  <si>
    <t>番組名探偵が早すぎる#7【滝藤賢一&amp;広瀬アリス・制御不能の暴君が狙う密室殺人】</t>
  </si>
  <si>
    <t>千曲川光…滝藤賢一  十川一華…広瀬アリス    城之内翼…佐藤寛太  山崎未夏…南乃彩希  阿部律音…水島麻理奈  大陀羅麻百合…結城モエ  十川純華…新山千春    大陀羅舞輝斗…駒木根隆介    マスター…高橋努  城之内早苗…優希美青大陀羅朱鳥…片平なぎさ(特別出演)    大陀羅亜謄蛇…神保悟志  大陀羅壬流古…桐山漣    橋田政子…水野美紀(他)朱鳥（片平なぎさ）の刺客として、一華（広瀬アリス）の命を狙った城之内（佐藤寛太）は意識不明の状態に。  探偵・千曲川（滝藤賢一）を許せない一華は解雇すると告げるが、橋田（水野美紀）はそれを許してくれない。そんな中、千曲川の知られざる過去が明らかに…  一方、大陀羅一族の新たなメンバーが一華の命を虎視眈々と狙う！今回の完全犯罪トリックは“密室殺人”！？さらに、城之内の妹・早苗（優希美青）まで襲われるーー【原作】  『探偵が早すぎる』井上真偽（講談社タイガ刊)  【脚本】  藤平久子  【音楽】  イケガミキヨシ  【主題歌】  「フラワーステップ」edda(ビクターカラフルレコーズ)  【チーフプロデューサー】  前西和成  【プロデューサー】  中山喬詞  白石裕菜  河野美里  【演出】  本田隆一http://www.ytv.co.jp/tantei/  【番組公式Twitter】  @ytvdrama  【番組公式Instagram】  @hayasugi_tantei  【番組公式LINE ID】  @tanteigahayasugiru</t>
  </si>
  <si>
    <t>朱鳥（片平なぎさ）の刺客として、一華（広瀬アリス）の命を狙った城之内（佐藤寛太）は意識不明の状態に。  探偵・千曲川（滝藤賢一）を許せない一華は解雇すると告げるが、橋田（水野美紀）はそれを許してくれない。そんな中、千曲川の知られざる過去が明らかに…  一方、大陀羅一族の新たなメンバーが一華の命を虎視眈々と狙う！今回の完全犯罪トリックは“密室殺人”！？さらに、城之内の妹・早苗（優希美青）まで襲われるーー</t>
  </si>
  <si>
    <t>番組名探偵が早すぎる#8【滝藤賢一&amp;広瀬アリス・予期せぬ再会と裏切りの結末】</t>
  </si>
  <si>
    <t>千曲川光…滝藤賢一  十川一華…広瀬アリス    山崎未夏…南乃彩希  阿部律音…水島麻理奈  大陀羅麻百合…結城モエ  十川純華…新山千春  大陀羅瑛…玉置孝匡    マスター…高橋努    大陀羅朱鳥…片平なぎさ(特別出演)    大陀羅壬流古…桐山漣  大陀羅亜謄蛇…神保悟志    橋田政子…水野美紀(他)城之内（佐藤寛太）が病院から姿を消し、妹・早苗（優希美青）も何者かに襲われた。橋田（水野美紀）の腕の傷から、早苗を襲ったのは橋田…？と疑いを抱く一華（広瀬アリス）。そして、母・純華（新山千春）の死に関して新証言を聞く。なんと母は生きていた!?  その一方で、橋田が不穏な動きを見せる…橋田は大陀羅一族の手下だったのか？一華を殺そうとしている刺客なのか？そのとき、探偵・千曲川（滝藤賢一）はーー!?【原作】  『探偵が早すぎる』井上真偽（講談社タイガ刊)  【脚本】  宇田学  【音楽】  イケガミキヨシ  【主題歌】  「フラワーステップ」edda(ビクターカラフルレコーズ)  【チーフプロデューサー】  前西和成  【プロデューサー】  中山喬詞  白石裕菜  河野美里  【演出】  瑠東東一郎http://www.ytv.co.jp/tantei/  【番組公式Twitter】  @ytvdrama  【番組公式Instagram】  @hayasugi_tantei  【番組公式LINE ID】  @tanteigahayasugiru</t>
  </si>
  <si>
    <t>城之内（佐藤寛太）が病院から姿を消し、妹・早苗（優希美青）も何者かに襲われた。橋田（水野美紀）の腕の傷から、早苗を襲ったのは橋田…？と疑いを抱く一華（広瀬アリス）。そして、母・純華（新山千春）の死に関して新証言を聞く。なんと母は生きていた!?  その一方で、橋田が不穏な動きを見せる…橋田は大陀羅一族の手下だったのか？一華を殺そうとしている刺客なのか？そのとき、探偵・千曲川（滝藤賢一）はーー!?</t>
  </si>
  <si>
    <t>番組名探偵が早すぎる＃９【最終決戦！最速の探偵ＶＳ最恐の一族！ついに直接対決】</t>
  </si>
  <si>
    <t>千曲川光…滝藤賢一  十川一華…広瀬アリス    城之内翼…佐藤寛太  山崎未夏…南乃彩希  阿部律音…水島麻理奈  大陀羅麻百合…結城モエ    大陀羅貴人…前田公輝    マスター…高橋努    大陀羅朱鳥…片平なぎさ(特別出演)    大陀羅壬流古…桐山漣  大陀羅亜謄蛇…神保悟志    橋田政子…水野美紀(他)いよいよ！最終決戦の幕が開ける!  大陀羅一族と直接戦う決意をした一華（広瀬アリス）。一方、朱鳥（片平なぎさ）と亜謄蛇（神保悟志）らも手を組み、一族総出で一華を仕留めにかかることに!  決戦の日は、亡き父親の百箇日の法要。一族の別荘に乗り込んでいく千曲川(滝藤賢一)、一華、橋田(水野美紀)。しかし、そこには様々な罠が仕掛けられていた。  はたして、千曲川は一華を守り抜くことができるのかーー!?【原作】  『探偵が早すぎる』井上真偽（講談社タイガ刊)  【脚本】  宇田学  【音楽】  イケガミキヨシ  【主題歌】  「フラワーステップ」edda(ビクターカラフルレコーズ)  【チーフプロデューサー】  前西和成  【プロデューサー】  中山喬詞  白石裕菜  河野美里  【演出】  湯浅弘章http://www.ytv.co.jp/tantei/  【番組公式Twitter】  @ytvdrama  【番組公式Instagram】  @hayasugi_tantei  【番組公式LINE ID】  @tanteigahayasugiru</t>
  </si>
  <si>
    <t>いよいよ！最終決戦の幕が開ける!  大陀羅一族と直接戦う決意をした一華（広瀬アリス）。一方、朱鳥（片平なぎさ）と亜謄蛇（神保悟志）らも手を組み、一族総出で一華を仕留めにかかることに!  決戦の日は、亡き父親の百箇日の法要。一族の別荘に乗り込んでいく千曲川(滝藤賢一)、一華、橋田(水野美紀)。しかし、そこには様々な罠が仕掛けられていた。  はたして、千曲川は一華を守り抜くことができるのかーー!?</t>
  </si>
  <si>
    <t>番組名最終話「探偵が早すぎる」滝藤賢一＆広瀬アリス・５兆円をかけた戦いが完結!</t>
  </si>
  <si>
    <t>千曲川光…滝藤賢一  十川一華…広瀬アリス    城之内翼…佐藤寛太  大陀羅麻百合…結城モエ    大陀羅貴人…前田公輝    大陀羅朱鳥…片平なぎさ(特別出演)    大陀羅壬流古…桐山漣  大陀羅亜謄蛇…神保悟志    橋田政子…水野美紀(他)遺産５兆円をかけた最終決戦が、ついに完結!!橋田(水野美紀)が刺され、激怒した一華（広瀬アリス）は、朱鳥（片平なぎさ）に「ここで殺しなさいよ！」と宣戦布告。  そして、ついに！大陀羅一族の二大巨頭・朱鳥と亜謄蛇（神保悟志）が自ら動き出す!!  女帝・朱鳥が狙うのは、“トリック返しのトリック返し”！？巧妙な罠にはめられた千曲川（滝藤賢一）は絶体絶命のピンチに…命をかけた激動のラストステージの行方はーー【原作】  『探偵が早すぎる』井上真偽（講談社タイガ刊)  【脚本】  宇田学  【音楽】  イケガミキヨシ  【主題歌】  「フラワーステップ」edda(ビクターカラフルレコーズ)  【チーフプロデューサー】  前西和成  【プロデューサー】  中山喬詞  白石裕菜  河野美里  【演出】  瑠東東一郎http://www.ytv.co.jp/tantei/  【番組公式Twitter】  @ytvdrama  【番組公式Instagram】  @hayasugi_tantei  【番組公式LINE ID】  @tanteigahayasugiru</t>
  </si>
  <si>
    <t>遺産５兆円をかけた最終決戦が、ついに完結!!橋田(水野美紀)が刺され、激怒した一華（広瀬アリス）は、朱鳥（片平なぎさ）に「ここで殺しなさいよ！」と宣戦布告。  そして、ついに！大陀羅一族の二大巨頭・朱鳥と亜謄蛇（神保悟志）が自ら動き出す!!  女帝・朱鳥が狙うのは、“トリック返しのトリック返し”！？巧妙な罠にはめられた千曲川（滝藤賢一）は絶体絶命のピンチに…命をかけた激動のラストステージの行方はーー</t>
  </si>
  <si>
    <t>1807_NTV_土22</t>
  </si>
  <si>
    <t>サバイバル・ウェディング</t>
  </si>
  <si>
    <t>番組名サバイバル・ウェディング#1ドン底女、立ち上がれ！幸せつかむ戦い始まる!</t>
  </si>
  <si>
    <t>波瑠、吉沢亮、高橋メアリージュン、ブルゾンちえみ、前野朋哉、山根和馬、小越勇輝、奈緒、石田ニコル、ついひじ杏奈/風間俊介/須藤理彩、野間口徹/生瀬勝久、財前直見/荒川良々/伊勢谷友介 ほか仕事も結婚も同時に失ってしまった人生ドン底女・さやか（波瑠）に救いの手を差し伸べたのは、人気雑誌の編集長・宇佐美（伊勢谷友介）。毒舌・ナルシストの宇佐美のもと、一流ブランドのマーケティング戦略を応用した恋愛戦術で、半年間のサバイバル婚活に挑む!!元カレ(風間俊介)と復縁すべく作戦を実行。うまく行くのか！？さらに、年下のイケメン（吉沢亮）にも出会って…!?笑って泣けて、賢くなれる人生応援コメディ!【演出】佐藤東弥【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</si>
  <si>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仕事も結婚も同時に失ってしまった人生ドン底女・さやか（波瑠）に救いの手を差し伸べたのは、人気雑誌の編集長・宇佐美（伊勢谷友介）。毒舌・ナルシストの宇佐美のもと、一流ブランドのマーケティング戦略を応用した恋愛戦術で、半年間のサバイバル婚活に挑む!!元カレ(風間俊介)と復縁すべく作戦を実行。うまく行くのか！？さらに、年下のイケメン（吉沢亮）にも出会って…!?笑って泣けて、賢くなれる人生応援コメディ!</t>
  </si>
  <si>
    <t>番組名サバイバル・ウェディング＃２脱！元カレ底なし沼なるか!?ついに王子登場</t>
  </si>
  <si>
    <t>波瑠、吉沢亮、高橋メアリージュン、ブルゾンちえみ、前野朋哉、山根和馬、小越勇輝、奈緒、石田ニコル、ついひじ杏奈/風間俊介/須藤理彩、野間口徹/生瀬勝久、財前直見/荒川良々/伊勢谷友介 ほか宇佐美（伊勢谷友介）のマーケティング戦略に納得しつつも、自分をうっかり“安売り”してしまう恋愛下手なさやか（波瑠）。そんな彼女に新たな出会いが！優しくイケメン、仕事もできる広告代理店の好青年・祐一（吉沢亮）。久しぶりの“恋のはじまりの予感”を生かすことができるのか!? 和也との関係には“未来”があるのか!? そして宇佐美が授ける次なる“作戦”とは??  笑って泣けて、賢くなれる人生応援コメディ!【演出】佐藤東弥【原作】大橋弘祐「サバイバル・ウェディング」(文響社)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</si>
  <si>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宇佐美（伊勢谷友介）のマーケティング戦略に納得しつつも、自分をうっかり“安売り”してしまう恋愛下手なさやか（波瑠）。そんな彼女に新たな出会いが！優しくイケメン、仕事もできる広告代理店の好青年・祐一（吉沢亮）。久しぶりの“恋のはじまりの予感”を生かすことができるのか!? 和也との関係には“未来”があるのか!? そして宇佐美が授ける次なる“作戦”とは??  笑って泣けて、賢くなれる人生応援コメディ!</t>
  </si>
  <si>
    <t>番組名サバイバル・ウェディング#3【打倒!!愛され系女子!!で大変身なるか!?】</t>
  </si>
  <si>
    <t>波瑠、吉沢亮、高橋メアリージュン、ブルゾンちえみ、前野朋哉、山根和馬、小越勇輝、奈緒、石田ニコル、ついひじ杏奈/風間俊介/須藤理彩、野間口徹/生瀬勝久、財前直見/荒川良々/伊勢谷友介 ほか顧客＝男性のニーズに応える近道として宇佐美（伊勢谷友介）がさやか（波瑠）に提案したのは、男性受けする“愛されファッション”へのシフトチェンジ！しかし、さやかにとって“愛されファッション”のハードルはものすごく高くて…。祐一（吉沢亮）を巡って、仕事でも女子力でもバトルを仕掛けてくる美里（奈緒）。そんな中、さやかと和也（風間俊介）、宇佐美が鉢合わせ!? そして明らかになる祐一の思いがけない素顔とは!?【演出】佐藤東弥【原作】大橋弘祐「サバイバル・ウェディング」(文響社)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</si>
  <si>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顧客＝男性のニーズに応える近道として宇佐美（伊勢谷友介）がさやか（波瑠）に提案したのは、男性受けする“愛されファッション”へのシフトチェンジ！しかし、さやかにとって“愛されファッション”のハードルはものすごく高くて…。祐一（吉沢亮）を巡って、仕事でも女子力でもバトルを仕掛けてくる美里（奈緒）。そんな中、さやかと和也（風間俊介）、宇佐美が鉢合わせ!? そして明らかになる祐一の思いがけない素顔とは!?</t>
  </si>
  <si>
    <t>番組名サバイバル・ウェディング＃４【王子と急接近!?波乱の30歳バースデー!!】</t>
  </si>
  <si>
    <t>波瑠、吉沢亮、高橋メアリージュン、ブルゾンちえみ、前野朋哉、山根和馬、小越勇輝、奈緒、石田ニコル、ついひじ杏奈/風間俊介/須藤理彩、野間口徹/生瀬勝久、財前直見/荒川良々/伊勢谷友介 ほか30歳の誕生日を目前にしたさやか(波瑠)。宇佐美(伊勢谷友介)から、出会う男の数を増やすこと、自分から男性に声をかけるよう命じられ、多香子（高橋メアリージュン）とともに合コンに精を出すさやか。しかし、なかなかいい人には巡り会えない。そんな中、ある合コンで思いがけず祐一（吉沢亮）と再会して…!?そして、ついに迎えた30歳の誕生日。結婚式を挙げるはずだったこの日、思わぬ修羅場が訪れる!!【演出】小室直子【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</si>
  <si>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30歳の誕生日を目前にしたさやか(波瑠)。宇佐美(伊勢谷友介)から、出会う男の数を増やすこと、自分から男性に声をかけるよう命じられ、多香子（高橋メアリージュン）とともに合コンに精を出すさやか。しかし、なかなかいい人には巡り会えない。そんな中、ある合コンで思いがけず祐一（吉沢亮）と再会して…!?そして、ついに迎えた30歳の誕生日。結婚式を挙げるはずだったこの日、思わぬ修羅場が訪れる!!</t>
  </si>
  <si>
    <t>番組名サバイバル・ウェディング＃５【成功なるか!?ボディメイクと初デート!!】</t>
  </si>
  <si>
    <t>波瑠、吉沢亮、高橋メアリージュン、ブルゾンちえみ、前野朋哉、山根和馬、小越勇輝、奈緒、石田ニコル、ついひじ杏奈/風間俊介/須藤理彩、野間口徹/生瀬勝久、財前直見/荒川良々/伊勢谷友介 ほか宇佐美（伊勢谷友介）から“健康で魅力的なボディ”になるため「夏の１か月ボディメイク特集」を担当するよう命じられたさやか（波瑠）。バランスの良い食事＆適度な運動で、健康的な美ボディに近づいたさやかは祐一（吉沢亮）をデートに誘うことに。しかし、宇佐美が初デートに選んだのは、小汚い居酒屋で…!?デート当日、愛されワンピで臨んだものの、思わぬトラブルが発生！２人の距離は一気に縮まる…のか!?【演出】水野格【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</si>
  <si>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宇佐美（伊勢谷友介）から“健康で魅力的なボディ”になるため「夏の１か月ボディメイク特集」を担当するよう命じられたさやか（波瑠）。バランスの良い食事＆適度な運動で、健康的な美ボディに近づいたさやかは祐一（吉沢亮）をデートに誘うことに。しかし、宇佐美が初デートに選んだのは、小汚い居酒屋で…!?デート当日、愛されワンピで臨んだものの、思わぬトラブルが発生！２人の距離は一気に縮まる…のか!?</t>
  </si>
  <si>
    <t>番組名サバイバル・ウェディング#6【王子VS編集長!!親友のピンチを救えるか!?】</t>
  </si>
  <si>
    <t>波瑠、吉沢亮、高橋メアリージュン、ブルゾンちえみ、前野朋哉、山根和馬、小越勇輝、奈緒、石田ニコル、ついひじ杏奈/風間俊介/須藤理彩、野間口徹/生瀬勝久、財前直見/荒川良々/伊勢谷友介 ほか祐一（吉沢亮）との関係が前進し、仕事も好調なさやか（波瑠）。しかし、親友の多香子（高橋メアリージュン）は、宇佐美（伊勢谷友介）不在中の“編集長代理”を務めることになり、さらにクライアントの永瀬（野間口徹）との不倫が妻にばれて、慰謝料を請求される身に。宇佐美に助けを求めることができない状況で、恋と仕事と女の友情の危機に陥ってしまったさやか。自力でこのピンチから脱出することができるのか??【演出】佐藤東弥【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</si>
  <si>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祐一（吉沢亮）との関係が前進し、仕事も好調なさやか（波瑠）。しかし、親友の多香子（高橋メアリージュン）は、宇佐美（伊勢谷友介）不在中の“編集長代理”を務めることになり、さらにクライアントの永瀬（野間口徹）との不倫が妻にばれて、慰謝料を請求される身に。宇佐美に助けを求めることができない状況で、恋と仕事と女の友情の危機に陥ってしまったさやか。自力でこのピンチから脱出することができるのか??</t>
  </si>
  <si>
    <t>番組名サバイバル・ウェディング＃７【ついに王子と恋人に!?元カレの素顔とは?】</t>
  </si>
  <si>
    <t>波瑠、吉沢亮、高橋メアリージュン、ブルゾンちえみ、前野朋哉、山根和馬、小越勇輝、奈緒、石田ニコル、ついひじ杏奈/風間俊介/須藤理彩、野間口徹/生瀬勝久、財前直見/荒川良々/伊勢谷友介 ほか元カレの和也（風間俊介）が行方不明になった。子会社への左遷が理由だという。心配ではあるが、正直関わりたくないと思うさやか(波瑠)。一方、祐一(吉沢亮)とは出かける機会も増え、名前で呼び合う仲に進展。そんなさやかに宇佐美（伊勢谷友介）は、結婚するためには「相手を幸せにする力」が必要だと説く。幸せにしてもらう事ばかり考えていた自分に気づいたさやか。そんな中、目の前に、ボロボロの和也が現れて…!?【演出】小室直子【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</si>
  <si>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元カレの和也（風間俊介）が行方不明になった。子会社への左遷が理由だという。心配ではあるが、正直関わりたくないと思うさやか(波瑠)。一方、祐一(吉沢亮)とは出かける機会も増え、名前で呼び合う仲に進展。そんなさやかに宇佐美（伊勢谷友介）は、結婚するためには「相手を幸せにする力」が必要だと説く。幸せにしてもらう事ばかり考えていた自分に気づいたさやか。そんな中、目の前に、ボロボロの和也が現れて…!?</t>
  </si>
  <si>
    <t>番組名サバイバル・ウェディング＃８【まさかの展開!!王子様からプロポーズ!?】</t>
  </si>
  <si>
    <t>波瑠、吉沢亮、高橋メアリージュン、ブルゾンちえみ、前野朋哉、山根和馬、小越勇輝、奈緒、石田ニコル、ついひじ杏奈/風間俊介/須藤理彩、野間口徹/生瀬勝久、財前直見/荒川良々/伊勢谷友介 ほか祐一（吉沢亮）の気持ちが分からず悩むさやか（波瑠）だが、「あと1回の連載のうちに結婚」するためにも、手段を選んでいる暇はない。宇佐美（伊勢谷友介）は祐一の気持ちを確かめるよう命じるが、さやかは勇気が出ない。そんな中、上京した母・美恵子（財前直見）が祐一にグイグイいく姿に苛立ったさやかは、思わず母を傷つけてしまう。母との関係を修復できるのか？そして祐一の思いを確かめることはできるのか…!?【演出】水野格【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</si>
  <si>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祐一（吉沢亮）の気持ちが分からず悩むさやか（波瑠）だが、「あと1回の連載のうちに結婚」するためにも、手段を選んでいる暇はない。宇佐美（伊勢谷友介）は祐一の気持ちを確かめるよう命じるが、さやかは勇気が出ない。そんな中、上京した母・美恵子（財前直見）が祐一にグイグイいく姿に苛立ったさやかは、思わず母を傷つけてしまう。母との関係を修復できるのか？そして祐一の思いを確かめることはできるのか…!?</t>
  </si>
  <si>
    <t>番組名サバイバル・ウェディング＃９【マリッジブルー!?王子インドに永住宣言!!】</t>
  </si>
  <si>
    <t>波瑠、吉沢亮、高橋メアリージュン、ブルゾンちえみ、前野朋哉、山根和馬、小越勇輝、奈緒、石田ニコル、ついひじ杏奈/風間俊介/須藤理彩、野間口徹/生瀬勝久、財前直見/荒川良々/伊勢谷友介 ほかさやか（波瑠）が祐一（吉沢亮）からプロポーズされた！ 祐一がインドに転勤になったと早合点したさやかは喜ぶが、実は祐一は今の地位をすべて捨ててインドで新事業を始めるつもりだった。「半年間の連載が終わるまでに結婚する」という“ゴール”まであと一歩のところで、心が揺れ動くさやか。宇佐美（伊勢谷友介）はさやかの背中を押そうとするが、結婚を迷っている本当の理由が他にもあることに気付いたさやかは…!?【演出】佐藤東弥【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</si>
  <si>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さやか（波瑠）が祐一（吉沢亮）からプロポーズされた！ 祐一がインドに転勤になったと早合点したさやかは喜ぶが、実は祐一は今の地位をすべて捨ててインドで新事業を始めるつもりだった。「半年間の連載が終わるまでに結婚する」という“ゴール”まであと一歩のところで、心が揺れ動くさやか。宇佐美（伊勢谷友介）はさやかの背中を押そうとするが、結婚を迷っている本当の理由が他にもあることに気付いたさやかは…!?</t>
  </si>
  <si>
    <t>番組名サバイバル・ウェディング#10【結婚か?仕事か?幸せはどっちだ!?】</t>
  </si>
  <si>
    <t>波瑠、吉沢亮、高橋メアリージュン、ブルゾンちえみ、前野朋哉、山根和馬、小越勇輝、奈緒、石田ニコル、ついひじ杏奈/風間俊介/須藤理彩、野間口徹/生瀬勝久、財前直見/荒川良々/伊勢谷友介 ほか祐一（吉沢亮）と一緒にインドへ行く覚悟が自分にないこと、そして宇佐美（伊勢谷友介）と一緒にもっと仕事をしたいと気づいたさやか（波瑠）は、プロポーズを断ろうと決断。祐一も結婚は考え直そうと提案する。一方で、インドでの起業は必ず父の惣一（生瀬勝久）に認めてもらうと決意し、さやかも祐一を応援するが…。迷う部下のために、宇佐美が取った驚きの行動とは!?最後にさやかが選ぶ幸せは、仕事か、結婚か…!?【演出】佐藤東弥【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</si>
  <si>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祐一（吉沢亮）と一緒にインドへ行く覚悟が自分にないこと、そして宇佐美（伊勢谷友介）と一緒にもっと仕事をしたいと気づいたさやか（波瑠）は、プロポーズを断ろうと決断。祐一も結婚は考え直そうと提案する。一方で、インドでの起業は必ず父の惣一（生瀬勝久）に認めてもらうと決意し、さやかも祐一を応援するが…。迷う部下のために、宇佐美が取った驚きの行動とは!?最後にさやかが選ぶ幸せは、仕事か、結婚か…!?</t>
  </si>
  <si>
    <t>1807_NTV_日22</t>
  </si>
  <si>
    <t>ゼロ</t>
  </si>
  <si>
    <t>番組名ゼロ 一獲千金ゲーム#01</t>
  </si>
  <si>
    <t>加藤シゲアキ(NEWS)、間宮祥太朗、小関裕太、加藤諒、岡山天音、杉野遥亮/ケンドーコバヤシ、梅沢富美男、小池栄子 ほか世間では 義賊が話題になっていた。振り込め詐欺で得た金を義賊に奪われたヤクザの末崎(ケンドーコバヤシ)は激怒。義賊のチカラ（加藤諒）、ヒロシ（岡山天音）、スナオ（杉野遥亮）を拉致するが首謀者は、ゼロ(加藤シゲアキ)という男らしい。ゼロは3人を助けにくるが、在全(梅沢冨美男)と幹部の峰子(小池栄子)が現れ、在全グループの後継者を決める選抜ゲームに参加しろと言う。一同はゲーム会場、ドリームキングダムへ【演出】丸谷俊平【原作】福本伸行「賭博覇王伝 零」  【脚本】小原信治【音楽】グランドファンク  【主題歌】NEWS「生きろ」【プロデューサー】櫨山裕子、秋元孝之  【製作著作】日本テレビ  【制作協力】オフィスクレッシェンド【公式HP】 http://www.ntv.co.jp/0/  【公式Twitter】https://twitter.com/ZERO_dorama</t>
  </si>
  <si>
    <t>加藤シゲアキ(NEWS)、間宮祥太朗、小関裕太、加藤諒、岡山天音、杉野遥亮/ケンドーコバヤシ、梅沢富美男、小池栄子 ほか世間では 義賊が話題になっていた。振り込め詐欺で得た金を義賊に奪われたヤクザの末崎(ケンドーコバヤシ)は激怒。義賊のチカラ（加藤諒）、ヒロシ（岡山天音）、スナオ（杉野遥亮）を拉致するが首謀者は、ゼロ(加藤シゲアキ)という男らしい。ゼロは3人を助けにくるが、在全(梅沢冨美男)と幹部の峰子(小池栄子)が現れ、在全グループの後継者を決める選抜ゲームに参加しろと言う。一同はゲーム会場、ドリームキングダムへ</t>
  </si>
  <si>
    <t>番組名ゼロ 一獲千金ゲーム#02</t>
  </si>
  <si>
    <t>加藤シゲアキ(NEWS)、間宮祥太朗、小関裕太、加藤諒、岡山天音、杉野遥亮/ケンドーコバヤシ、梅沢富美男、小池栄子 ほかゼロ（加藤シゲアキ）たちは死闘の末に予選を勝ち抜き、金の力の「王」在全（梅沢富美男）の後継者を決める本選へ勝ち進んだ。峰子（小池栄子）によると、ドリームキングダムには20以上のゲームがあり、勝てばもらえるリングを4つ集めた者が王になれるという。リングを強奪する手段に出たセイギ（間宮祥太朗）とユウキ（小関裕太）は、止めようとするゼロ達と対立。そこへゼロの高校時代の同級生、カズヤ（増田貴久）が登場し…【演出】丸谷俊平【原作】福本伸行「賭博覇王伝 零」  【脚本】小原信治【音楽】グランドファンク  【主題歌】NEWS「生きろ」【プロデューサー】櫨山裕子、秋元孝之  【製作著作】日本テレビ  【制作協力】オフィスクレッシェンド【公式HP】 http://www.ntv.co.jp/0/  【公式Twitter】https://twitter.com/ZERO_dorama</t>
  </si>
  <si>
    <t>加藤シゲアキ(NEWS)、間宮祥太朗、小関裕太、加藤諒、岡山天音、杉野遥亮/ケンドーコバヤシ、梅沢富美男、小池栄子 ほかゼロ（加藤シゲアキ）たちは死闘の末に予選を勝ち抜き、金の力の「王」在全（梅沢富美男）の後継者を決める本選へ勝ち進んだ。峰子（小池栄子）によると、ドリームキングダムには20以上のゲームがあり、勝てばもらえるリングを4つ集めた者が王になれるという。リングを強奪する手段に出たセイギ（間宮祥太朗）とユウキ（小関裕太）は、止めようとするゼロ達と対立。そこへゼロの高校時代の同級生、カズヤ（増田貴久）が登場し…</t>
  </si>
  <si>
    <t>番組名ゼロ 一獲千金ゲーム#03</t>
  </si>
  <si>
    <t>加藤シゲアキ(NEWS)、間宮祥太朗、小関裕太、加藤諒、岡山天音、杉野遥亮/佐藤龍我(東京B少年/ジャニーズJr.)/ケンドーコバヤシ、梅沢富美男、小池栄子 ほか4方向のうち一つしかないセーフエリアへ飛ばなければ、奈落の底に転落する生存率25%の「クォータージャンプ」。声役のカズヤ（増田貴久）はアウトエリアから目隠しされたゼロ（加藤シゲアキ）に自分が正解の方向にいると嘘をつく。カズヤは学生時代に受けた屈辱からゼロの死を願っていたのだった。ゼロはカズヤを信じて飛ぼうとするが…。  残り2方向の声役には、セイギ（間宮祥太朗）と峰子（小池栄子）がそれぞれ立った。【演出】丸谷俊平【原作】福本伸行「賭博覇王伝 零」  【脚本】小原信治【音楽】グランドファンク  【主題歌】NEWS「生きろ」【プロデューサー】櫨山裕子、秋元孝之  【製作著作】日本テレビ  【制作協力】オフィスクレッシェンド【公式HP】 http://www.ntv.co.jp/0/  【公式Twitter】https://twitter.com/ZERO_dorama</t>
  </si>
  <si>
    <t>加藤シゲアキ(NEWS)、間宮祥太朗、小関裕太、加藤諒、岡山天音、杉野遥亮/佐藤龍我(東京B少年/ジャニーズJr.)/ケンドーコバヤシ、梅沢富美男、小池栄子 ほか4方向のうち一つしかないセーフエリアへ飛ばなければ、奈落の底に転落する生存率25%の「クォータージャンプ」。声役のカズヤ（増田貴久）はアウトエリアから目隠しされたゼロ（加藤シゲアキ）に自分が正解の方向にいると嘘をつく。カズヤは学生時代に受けた屈辱からゼロの死を願っていたのだった。ゼロはカズヤを信じて飛ぼうとするが…。  残り2方向の声役には、セイギ（間宮祥太朗）と峰子（小池栄子）がそれぞれ立った。</t>
  </si>
  <si>
    <t>番組名ゼロ 一獲千金ゲーム#04</t>
  </si>
  <si>
    <t>加藤シゲアキ(NEWS)、間宮祥太朗、小関裕太、加藤諒、岡山天音、杉野遥亮/佐藤龍我(東京B少年/ジャニーズJr.)/ケンドーコバヤシ、梅沢富美男、小池栄子 ほかゼロ（加藤シゲアキ）は末崎（ケンドーコバヤシ）とセイギ（間宮祥太朗）の3人でチームを組むことになった。扉の奥には三角の部屋が二つ。  そこで出される問題「部屋はすべて同じ。君達は何？」答えるチャンスは一回。25の選択肢の中から30分以内に1チームでも正解すれば終了となるが、出題と同時に注がれる水は、30分でいっぱいになるらしい。  チームワークが最悪の中、拘束されたゼロは仲の悪い兄弟に翻弄されていく。【演出】中島悟【原作】福本伸行「賭博覇王伝 零」  【脚本】小原信治【音楽】グランドファンク  【主題歌】NEWS「生きろ」【プロデューサー】櫨山裕子、秋元孝之  【製作著作】日本テレビ  【制作協力】オフィスクレッシェンド【公式HP】 http://www.ntv.co.jp/0/  【公式Twitter】https://twitter.com/ZERO_dorama</t>
  </si>
  <si>
    <t>加藤シゲアキ(NEWS)、間宮祥太朗、小関裕太、加藤諒、岡山天音、杉野遥亮/佐藤龍我(東京B少年/ジャニーズJr.)/ケンドーコバヤシ、梅沢富美男、小池栄子 ほかゼロ（加藤シゲアキ）は末崎（ケンドーコバヤシ）とセイギ（間宮祥太朗）の3人でチームを組むことになった。扉の奥には三角の部屋が二つ。  そこで出される問題「部屋はすべて同じ。君達は何？」答えるチャンスは一回。25の選択肢の中から30分以内に1チームでも正解すれば終了となるが、出題と同時に注がれる水は、30分でいっぱいになるらしい。  チームワークが最悪の中、拘束されたゼロは仲の悪い兄弟に翻弄されていく。</t>
  </si>
  <si>
    <t>番組名ゼロ 一獲千金ゲーム#05</t>
  </si>
  <si>
    <t>加藤シゲアキ(NEWS)、間宮祥太朗、小関裕太、加藤諒、岡山天音、杉野遥亮/佐藤龍我(東京B少年/ジャニーズJr.)/ケンドーコバヤシ、梅沢富美男、小池栄子 ほか制限時間内にどこかのチームが正解しないと、全ての部屋の水槽内の人間全員が犠牲になってしまう。拘束されたゼロ(加藤シゲアキ)は、自分を見殺しにするつもりのセイギ(間宮祥太朗)から解答する主導権を奪うため、末崎(ケンドーコバヤシ)に自力で問題を解かせようと苦闘。しかし二人の兄弟はさらに心の奥底にある憎しみをぶつけあっていき…。追い詰められた各部屋の面々が不正解を送信、一度だけの解答権を失っていく・・・【演出】中島悟【原作】福本伸行「賭博覇王伝 零」  【脚本】小原信治【音楽】グランドファンク  【主題歌】NEWS「生きろ」【プロデューサー】櫨山裕子、秋元孝之  【製作著作】日本テレビ  【制作協力】オフィスクレッシェンド【公式HP】 http://www.ntv.co.jp/0/  【公式Twitter】https://twitter.com/ZERO_dorama</t>
  </si>
  <si>
    <t>加藤シゲアキ(NEWS)、間宮祥太朗、小関裕太、加藤諒、岡山天音、杉野遥亮/佐藤龍我(東京B少年/ジャニーズJr.)/ケンドーコバヤシ、梅沢富美男、小池栄子 ほか制限時間内にどこかのチームが正解しないと、全ての部屋の水槽内の人間全員が犠牲になってしまう。拘束されたゼロ(加藤シゲアキ)は、自分を見殺しにするつもりのセイギ(間宮祥太朗)から解答する主導権を奪うため、末崎(ケンドーコバヤシ)に自力で問題を解かせようと苦闘。しかし二人の兄弟はさらに心の奥底にある憎しみをぶつけあっていき…。追い詰められた各部屋の面々が不正解を送信、一度だけの解答権を失っていく・・・</t>
  </si>
  <si>
    <t>番組名ゼロ 一獲千金ゲーム#06</t>
  </si>
  <si>
    <t>加藤シゲアキ(NEWS)、間宮祥太朗、小関裕太、加藤諒、岡山天音、杉野遥亮/佐藤龍我(東京B少年/ジャニーズJr.)/ケンドーコバヤシ、梅沢富美男、小池栄子 ほか「ようこそ『ザ・アンカー』へ！」台に寝かされたゼロ（加藤シゲアキ）達の前にMCの小太郎(手越祐也)が現れた。鉄のアンカー（錨）の鋭い刃が顔の真上で振り子のように行き来する過酷なゲーム。パネルから問題を選び、3人の挑戦者が順に解答、不正解が続けばアンカーが徐々に下がり「アンカーが頭に直撃！どっか～ん！」ゲームの進行役に峰子（小池栄子）が送り込んだのが友情や人の絆を憎悪するサディストの小太郎だった…【演出】丸谷俊平【原作】福本伸行「賭博覇王伝 零」  【脚本】小原信治【音楽】グランドファンク  【主題歌】NEWS「生きろ」【プロデューサー】櫨山裕子、秋元孝之  【製作著作】日本テレビ  【制作協力】オフィスクレッシェンド【公式HP】 http://www.ntv.co.jp/0/  【公式Twitter】https://twitter.com/ZERO_dorama</t>
  </si>
  <si>
    <t>加藤シゲアキ(NEWS)、間宮祥太朗、小関裕太、加藤諒、岡山天音、杉野遥亮/佐藤龍我(東京B少年/ジャニーズJr.)/ケンドーコバヤシ、梅沢富美男、小池栄子 ほか「ようこそ『ザ・アンカー』へ！」台に寝かされたゼロ（加藤シゲアキ）達の前にMCの小太郎(手越祐也)が現れた。鉄のアンカー（錨）の鋭い刃が顔の真上で振り子のように行き来する過酷なゲーム。パネルから問題を選び、3人の挑戦者が順に解答、不正解が続けばアンカーが徐々に下がり「アンカーが頭に直撃！どっか～ん！」ゲームの進行役に峰子（小池栄子）が送り込んだのが友情や人の絆を憎悪するサディストの小太郎だった…</t>
  </si>
  <si>
    <t>番組名ゼロ 一獲千金ゲーム#07</t>
  </si>
  <si>
    <t>加藤シゲアキ(NEWS)、間宮祥太朗、小関裕太、加藤諒、岡山天音、杉野遥亮/佐藤龍我(東京B少年/ジャニーズJr.)/ケンドーコバヤシ、梅沢富美男、小池栄子 ほか残虐非道なMC小太郎(手越祐也)が進行する「ザ・アンカー」に挑むゼロ（加藤シゲアキ）達はもはや絶体絶命！無茶な問題でも正解へとにじりよるゼロに、小太郎は焦りの色を隠せない。  絶対に解答不能なスペシャル問題をゼロにぶつけてやると息巻く小太郎。  一方ゼロは、どうやっても勝てないようにゲームが操作されていることに気づく。  「…終わる？」これまでどんな状況でもあきらめなかったゼロが初めて希望を見失い…。【演出】丸谷俊平【原作】福本伸行「賭博覇王伝 零」  【脚本】川邊優子、小原信治【音楽】グランドファンク  【主題歌】NEWS「生きろ」【プロデューサー】櫨山裕子、秋元孝之  【製作著作】日本テレビ  【制作協力】オフィスクレッシェンド【公式HP】 http://www.ntv.co.jp/0/  【公式Twitter】https://twitter.com/ZERO_dorama</t>
  </si>
  <si>
    <t>加藤シゲアキ(NEWS)、間宮祥太朗、小関裕太、加藤諒、岡山天音、杉野遥亮/佐藤龍我(東京B少年/ジャニーズJr.)/ケンドーコバヤシ、梅沢富美男、小池栄子 ほか残虐非道なMC小太郎(手越祐也)が進行する「ザ・アンカー」に挑むゼロ（加藤シゲアキ）達はもはや絶体絶命！無茶な問題でも正解へとにじりよるゼロに、小太郎は焦りの色を隠せない。  絶対に解答不能なスペシャル問題をゼロにぶつけてやると息巻く小太郎。  一方ゼロは、どうやっても勝てないようにゲームが操作されていることに気づく。  「…終わる？」これまでどんな状況でもあきらめなかったゼロが初めて希望を見失い…。</t>
  </si>
  <si>
    <t>番組名ゼロ 一獲千金ゲーム#08</t>
  </si>
  <si>
    <t>加藤シゲアキ(NEWS)、間宮祥太朗、小関裕太、加藤諒、岡山天音、杉野遥亮/佐藤龍我(東京B少年/ジャニーズJr.)/ケンドーコバヤシ、梅沢富美男、小池栄子 ほかゼロ（加藤シゲアキ）について行けば確実にリングが獲れると、末崎(ケンドーコバヤシ)が、「魔女の館」の挑戦者を勝手に集めてしまった。兵士が壁に描かれた部屋の中央に立つ魔女像が話し出す。「捕らわれの21人が、生きて出る方法はただひとつ。この部屋にかけられた魔女の呪いを解くこと」  突然壁から無数の槍が飛び出し、ひとりの挑戦者の腹を刺した。間一髪でゼロが答えを送信するが、『不正解』の文字・・・【演出】中島悟【原作】福本伸行「賭博覇王伝 零」  【脚本】小原信治、川邊優子【音楽】グランドファンク  【主題歌】NEWS「生きろ」【プロデューサー】櫨山裕子、秋元孝之  【製作著作】日本テレビ  【制作協力】オフィスクレッシェンド【公式HP】 http://www.ntv.co.jp/0/  【公式Twitter】https://twitter.com/ZERO_dorama</t>
  </si>
  <si>
    <t>加藤シゲアキ(NEWS)、間宮祥太朗、小関裕太、加藤諒、岡山天音、杉野遥亮/佐藤龍我(東京B少年/ジャニーズJr.)/ケンドーコバヤシ、梅沢富美男、小池栄子 ほかゼロ（加藤シゲアキ）について行けば確実にリングが獲れると、末崎(ケンドーコバヤシ)が、「魔女の館」の挑戦者を勝手に集めてしまった。兵士が壁に描かれた部屋の中央に立つ魔女像が話し出す。「捕らわれの21人が、生きて出る方法はただひとつ。この部屋にかけられた魔女の呪いを解くこと」  突然壁から無数の槍が飛び出し、ひとりの挑戦者の腹を刺した。間一髪でゼロが答えを送信するが、『不正解』の文字・・・</t>
  </si>
  <si>
    <t>番組名ゼロ 一獲千金ゲーム#09</t>
  </si>
  <si>
    <t>加藤シゲアキ(NEWS)、間宮祥太朗、小関裕太、加藤諒、岡山天音、杉野遥亮/佐藤龍我(東京B少年/ジャニーズJr.)/ケンドーコバヤシ、梅沢富美男、小池栄子 ほかついに勝者の条件である、4つ目のリングを標（佐藤龍我）が獲得した。あと１つが目前だったゼロ（加藤シゲアキ）は愕然とするが、在全（梅沢富美男）の思いつきで20分の延長が全員に与えられる。最後のチャンスに皆が奔走する中、ゼロは標が企てている“在全を倒す”計画を聞き、全貌に驚愕する。  そして決勝戦ー。標の前にゼロが現れた。行われるのは一対一の心理戦「ブレークダウン」。二人の壮絶な頭脳戦が繰り広げられる。【演出】丸谷俊平【原作】福本伸行「賭博覇王伝 零」  【脚本】川邊優子【音楽】グランドファンク  【主題歌】NEWS「生きろ」【プロデューサー】櫨山裕子、秋元孝之  【製作著作】日本テレビ  【制作協力】オフィスクレッシェンド【公式HP】 http://www.ntv.co.jp/0/  【公式Twitter】https://twitter.com/ZERO_dorama</t>
  </si>
  <si>
    <t>加藤シゲアキ(NEWS)、間宮祥太朗、小関裕太、加藤諒、岡山天音、杉野遥亮/佐藤龍我(東京B少年/ジャニーズJr.)/ケンドーコバヤシ、梅沢富美男、小池栄子 ほかついに勝者の条件である、4つ目のリングを標（佐藤龍我）が獲得した。あと１つが目前だったゼロ（加藤シゲアキ）は愕然とするが、在全（梅沢富美男）の思いつきで20分の延長が全員に与えられる。最後のチャンスに皆が奔走する中、ゼロは標が企てている“在全を倒す”計画を聞き、全貌に驚愕する。  そして決勝戦ー。標の前にゼロが現れた。行われるのは一対一の心理戦「ブレークダウン」。二人の壮絶な頭脳戦が繰り広げられる。</t>
  </si>
  <si>
    <t>番組名ゼロ 一獲千金ゲーム#10</t>
  </si>
  <si>
    <t>加藤シゲアキ(NEWS)、間宮祥太朗、小関裕太、加藤諒、岡山天音、杉野遥亮/佐藤龍我(東京B少年/ジャニーズJr.)/ケンドーコバヤシ、梅沢富美男、小池栄子 ほかゼロ（加藤シゲアキ）が勝利者となった直後、峰子（小池栄子）は、最後に自分との一騎打ちを仕掛ける。そこへ現れたのは、行方不明になっていた友人ミツル（小山慶一郎）だった。在全グループに匿われていたというミツルは驚くべきことを口にする。 「後藤峰子は俺の姉なんだ」   勝負は変則ポーカー『デイ&amp;ナイト』。峰子が圧倒的な点差をつけた。しかし私情を持ち込んだ罰として、在全から、峰子に極秘の命令が下る…。【演出】丸谷俊平【原作】福本伸行「賭博覇王伝 零」  【脚本】小原信治【音楽】グランドファンク  【主題歌】NEWS「生きろ」【プロデューサー】櫨山裕子、秋元孝之  【製作著作】日本テレビ  【制作協力】オフィスクレッシェンド【公式HP】 http://www.ntv.co.jp/0/  【公式Twitter】https://twitter.com/ZERO_dorama</t>
  </si>
  <si>
    <t>加藤シゲアキ(NEWS)、間宮祥太朗、小関裕太、加藤諒、岡山天音、杉野遥亮/佐藤龍我(東京B少年/ジャニーズJr.)/ケンドーコバヤシ、梅沢富美男、小池栄子 ほかゼロ（加藤シゲアキ）が勝利者となった直後、峰子（小池栄子）は、最後に自分との一騎打ちを仕掛ける。そこへ現れたのは、行方不明になっていた友人ミツル（小山慶一郎）だった。在全グループに匿われていたというミツルは驚くべきことを口にする。 「後藤峰子は俺の姉なんだ」   勝負は変則ポーカー『デイ&amp;ナイト』。峰子が圧倒的な点差をつけた。しかし私情を持ち込んだ罰として、在全から、峰子に極秘の命令が下る…。</t>
  </si>
  <si>
    <t>1804_NTV_水22</t>
  </si>
  <si>
    <t>正義のセ</t>
  </si>
  <si>
    <t>番組名正義のセ#01</t>
  </si>
  <si>
    <t>吉高由里子、安田顕、三浦翔平、広瀬アリス、平埜生成、夙川アトム、大野拓朗、塚地武雅、宮崎美子、寺脇康文、生瀬勝久  【ゲスト】石黒賢、浅利陽介、森矢カンナ、六角慎司竹村凜々子（吉高由里子）は、横浜地検港南支部に赴任した２年目の検事。まだまだ新米なので何ごとにも一生懸命だが、喜怒哀楽がすぐに出てしまう性格のため失敗ばかり。バディを組む事務官の相原（安田顕）から、ついつい小言を言われてしまう。ある日、上司が部下をケガさせた傷害事件を担当する。だが被疑者は容疑を全面的に否認。被害者の言い分と真っ向から対立する。凜々子は、事件の真相解明のために捜査を始めるーー。【演出】南雲聖一【原作】阿川佐和子「正義のセ」シリーズ(角川文庫)  【脚本】松田裕子【主題歌】福山雅治「失敗学」（アミューズ／ユニバーサルJ)  【音楽】得田真裕【プロデューサー】加藤正俊、鈴木香織(AXON)  【制作協力】AXON  【製作著作】日本テレビ</t>
  </si>
  <si>
    <t>竹村凜々子（吉高由里子）は、横浜地検港南支部に赴任した２年目の検事。まだまだ新米なので何ごとにも一生懸命だが、喜怒哀楽がすぐに出てしまう性格のため失敗ばかり。バディを組む事務官の相原（安田顕）から、ついつい小言を言われてしまう。ある日、上司が部下をケガさせた傷害事件を担当する。だが被疑者は容疑を全面的に否認。被害者の言い分と真っ向から対立する。凜々子は、事件の真相解明のために捜査を始めるーー。</t>
  </si>
  <si>
    <t>番組名正義のセ#02</t>
  </si>
  <si>
    <t>吉高由里子、安田顕、三浦翔平、広瀬アリス、平埜生成、夙川アトム、大野拓朗、塚地武雅、宮崎美子、寺脇康文、生瀬勝久  【ゲスト】財前直見、大澄賢也、石橋保、矢作穂香初めて殺人事件を担当する事になった凜々子（吉高由里子）は、大張り切り。しかし事務官の相原（安田顕）からは、「常に冷静に」と釘をさされる。被疑者は、夫の暴力から身を守る為、殺してしまったという主婦・町田かれん（財前直見）。初めは同情する凜々子だったが、その後かれんが夫以外の男性と頻繁に会っていたという情報がもたらされる。さらに司法解剖によって新事実も明らかになり、殺意があった疑いが強まっていくーー。【演出】南雲聖一【原作】阿川佐和子「正義のセ」シリーズ(角川文庫)  【脚本】松田裕子、松本美弥子【主題歌】福山雅治「失敗学」（アミューズ／ユニバーサルJ)  【音楽】得田真裕【プロデューサー】加藤正俊、鈴木香織(AXON)  【制作協力】AXON  【製作著作】日本テレビ</t>
  </si>
  <si>
    <t>初めて殺人事件を担当する事になった凜々子（吉高由里子）は、大張り切り。しかし事務官の相原（安田顕）からは、「常に冷静に」と釘をさされる。被疑者は、夫の暴力から身を守る為、殺してしまったという主婦・町田かれん（財前直見）。初めは同情する凜々子だったが、その後かれんが夫以外の男性と頻繁に会っていたという情報がもたらされる。さらに司法解剖によって新事実も明らかになり、殺意があった疑いが強まっていくーー。</t>
  </si>
  <si>
    <t>番組名正義のセ#03</t>
  </si>
  <si>
    <t>吉高由里子、安田顕、三浦翔平、広瀬アリス、平埜生成、夙川アトム、大野拓朗、塚地武雅、宮崎美子、生瀬勝久  【ゲスト】三浦貴大、磯山さやか結婚詐欺事件を担当する事になった凜々子（吉高由里子）。被害者の七美（磯山さやか）は、結婚の約束をしていた男から一千万円を騙し取られたという。だが、被疑者の鈴木（三浦貴大）は金は受け取っておらず、七美の事も愛していたと訴える。凜々子は相原（安田顕）とともに詐欺の証拠を探し出そうとするが、決定的な物は見つからず、捜査は難航していく…。そんな中、凜々子は恋人の優希（大野拓朗）から突然、プロポーズされる!【演出】岩崎マリエ【原作】阿川佐和子「正義のセ」シリーズ(角川文庫)  【脚本】梅田みか【主題歌】福山雅治「失敗学」（アミューズ／ユニバーサルJ)  【音楽】得田真裕【プロデューサー】加藤正俊、鈴木香織(AXON)  【制作協力】AXON  【製作著作】日本テレビ</t>
  </si>
  <si>
    <t>結婚詐欺事件を担当する事になった凜々子（吉高由里子）。被害者の七美（磯山さやか）は、結婚の約束をしていた男から一千万円を騙し取られたという。だが、被疑者の鈴木（三浦貴大）は金は受け取っておらず、七美の事も愛していたと訴える。凜々子は相原（安田顕）とともに詐欺の証拠を探し出そうとするが、決定的な物は見つからず、捜査は難航していく…。そんな中、凜々子は恋人の優希（大野拓朗）から突然、プロポーズされる!</t>
  </si>
  <si>
    <t>番組名正義のセ#04</t>
  </si>
  <si>
    <t>吉高由里子、安田顕、三浦翔平、広瀬アリス、平埜生成、夙川アトム、塚地武雅、宮崎美子、寺脇康文、生瀬勝久  【ゲスト】白洲迅、茅島成美、菊池均也凜々子（吉高由里子）は、若者がバイクで老人をはねて死亡させた交通事故案件を担当する。夫を亡くし、残された妻・フネ（茅島成美）は、信号無視をした被疑者・勝村弘（白洲迅）に「厳しい罰を与えてほしい」と訴える。フネの思いを受け、取調べをする凜々子。勝村は容疑を全面的に認めるものの、「記憶がない」と多くを語らない。起訴判断に悩んだ凜々子が事務官の相原（安田顕）と詳しく調べ始めると、意外な事実が発覚する…!【演出】明石広人【原作】阿川佐和子「正義のセ」シリーズ(角川文庫)  【脚本】松本美弥子【主題歌】福山雅治「失敗学」（アミューズ／ユニバーサルJ)  【音楽】得田真裕【プロデューサー】加藤正俊、鈴木香織(AXON)  【制作協力】AXON  【製作著作】日本テレビ</t>
  </si>
  <si>
    <t>凜々子（吉高由里子）は、若者がバイクで老人をはねて死亡させた交通事故案件を担当する。夫を亡くし、残された妻・フネ（茅島成美）は、信号無視をした被疑者・勝村弘（白洲迅）に「厳しい罰を与えてほしい」と訴える。フネの思いを受け、取調べをする凜々子。勝村は容疑を全面的に認めるものの、「記憶がない」と多くを語らない。起訴判断に悩んだ凜々子が事務官の相原（安田顕）と詳しく調べ始めると、意外な事実が発覚する…!</t>
  </si>
  <si>
    <t>番組名正義のセ#05</t>
  </si>
  <si>
    <t>吉高由里子、安田顕、三浦翔平、広瀬アリス、平埜生成、夙川アトム、塚地武雅、宮崎美子、寺脇康文、生瀬勝久  【ゲスト】原田龍二、木下隆行(TKO)、佐藤めぐみ医大で起きた女性職員の転落死事件を担当することになった凜々子（吉高由里子）。被害者は、臨床病理学教授・高嶋敦史（原田龍二）の助手を務める三宅香織（佐藤めぐみ）。二人が不倫関係にあったことが発覚し、さらに香織の爪の間から高嶋のDNAが検出されたことから、高嶋が殺人容疑で逮捕される。しかし高嶋は容疑を否認し、完璧なアリバイを主張する！果たして凜々子は、複雑に絡み合う事件を解決に導くことができるのか!?【演出】南雲聖一【原作】阿川佐和子「正義のセ」シリーズ(角川文庫)  【脚本】梅田みか【主題歌】福山雅治「失敗学」（アミューズ／ユニバーサルJ)  【音楽】得田真裕【プロデューサー】加藤正俊、鈴木香織(AXON)  【制作協力】AXON  【製作著作】日本テレビ</t>
  </si>
  <si>
    <t>番組名正義のセ#06</t>
  </si>
  <si>
    <t>吉高由里子、安田顕、三浦翔平、広瀬アリス、平埜生成、夙川アトム、塚地武雅、宮崎美子、寺脇康文、生瀬勝久  【ゲスト】倉科カナ、岡山天音、笠原秀幸オレオレ詐欺事件を担当する事になった凜々子（吉高由里子）。逮捕された大学生・浅田（岡山天音）は「アルバイト感覚だった」と主張し、反省した態度を見せる。そこに浅田の弁護士としてやってきたのが、大学時代からの親友・美咲（倉科カナ）だった。浅田の釈放を要求する美咲だが、凜々子は拒否！立場の違いから対立する二人！オレオレ詐欺事件の行方は？そして、二人の友情は?【演出】 岩崎マリエ【原作】阿川佐和子「正義のセ」シリーズ(角川文庫)  【脚本】梅田みか【主題歌】福山雅治「失敗学」（アミューズ／ユニバーサルJ)  【音楽】得田真裕【プロデューサー】加藤正俊、鈴木香織(AXON)  【制作協力】AXON  【製作著作】日本テレビ</t>
  </si>
  <si>
    <t>番組名正義のセ#07</t>
  </si>
  <si>
    <t>吉高由里子、安田顕、三浦翔平、広瀬アリス、平埜生成、夙川アトム、塚地武雅、宮崎美子、寺脇康文、生瀬勝久  【ゲスト】朝加真由美、近藤公園保育園で園児が大ケガを負った！遊具から落ちた事故と思われたが、父・小峰（近藤公園）は、園側の説明に納得がいかず被害届けを提出！凜々子が担当する事に。バツイチ子持ちの相原は、子供が被害者ということで、いつになく熱くなる。小峰の証言から虐待の可能性も出てくるが、保育園の園長・瀬川弥生（朝加真由美）は謝罪しながらも、保育園の過失を否定。単なる事故か？傷害致傷か？子供の聴き取りから、意外な事実が明らかに!【演出】明石広人【原作】阿川佐和子「正義のセ」シリーズ(角川文庫)  【脚本】山岡潤平【主題歌】福山雅治「失敗学」（アミューズ／ユニバーサルJ)  【音楽】得田真裕【プロデューサー】加藤正俊、鈴木香織(AXON)  【制作協力】AXON  【製作著作】日本テレビ</t>
  </si>
  <si>
    <t>番組名正義のセ#08</t>
  </si>
  <si>
    <t>吉高由里子、安田顕、三浦翔平、広瀬アリス、平埜生成、夙川アトム、塚地武雅、宮崎美子、寺脇康文、生瀬勝久  【ゲスト】正名僕蔵、桐山漣凜々子（吉高由里子）は、ひき逃げ事件を担当する。被疑者は、人気俳優・光岡駿太（桐山漣）のマネージャー・斎藤茂典（正名僕蔵）。斎藤は深く反省した様子だが、「人をはねた記憶はない」と主張しており、凜々子は相原（安田顕）とともに、詳しく捜査を始める。人気俳優に会い、いつもよりテンション高い凜々子に相原はあきれ顔…。そんな中、捜査を進めていくと、ひき逃げ事件に隠された、ある真実が見えてくるーー。【演出】南雲聖一【原作】阿川佐和子「正義のセ」シリーズ(角川文庫)  【脚本】梅田みか【主題歌】福山雅治「失敗学」（アミューズ／ユニバーサルJ)  【音楽】得田真裕【プロデューサー】加藤正俊、鈴木香織(AXON)  【制作協力】AXON  【製作著作】日本テレビ</t>
  </si>
  <si>
    <t>番組名正義のセ#09</t>
  </si>
  <si>
    <t>吉高由里子、安田顕、三浦翔平、広瀬アリス、平埜生成、夙川アトム、塚地武雅、宮崎美子、寺脇康文、生瀬勝久  【ゲスト】東幹久、向井地美音(AKB48)、森高愛凜々子（吉高由里子）が、過去に担当した痴漢事件の真犯人が逮捕され「冤罪」だった事が発覚する。被疑者・村井直陽（東幹久）は、取調べでも素直に容疑を認めていた為、確信を持って起訴したはずだった。しかし新たに出てきた証拠で、村井は無罪だと判断される。責任を感じた凜々子は、検事を続けていいのか思い悩むのだった…。検事人生、最大のピンチを迎えた凜々子の運命は！？そして、冤罪となった痴漢事件の真相は!?【演出】明石広人【原作】阿川佐和子「正義のセ」シリーズ(角川文庫)  【脚本】梅田みか【主題歌】福山雅治「失敗学」（アミューズ／ユニバーサルJ)  【音楽】得田真裕【プロデューサー】加藤正俊、鈴木香織(AXON)  【制作協力】AXON  【製作著作】日本テレビ</t>
  </si>
  <si>
    <t>番組名正義のセ#10</t>
  </si>
  <si>
    <t>吉高由里子、安田顕、三浦翔平、広瀬アリス、平埜生成、夙川アトム、塚地武雅、宮崎美子、寺脇康文、生瀬勝久  【ゲスト】宅麻伸、落合モトキ、岡本玲、佐藤祐基、渡部秀、小松彩夏凜々子（吉高由里子）は、衆議院議員・中条（宅麻伸）の息子・秀成（落合モトキ）が犯した殺人事件を担当する。秀成は「被害者に包丁で脅され、身を守るためだった」と正当防衛を主張。それを裏付ける目撃者も現れる。しかし凜々子と相原（安田顕）が調べを進めていくと、事件には隠された謎が…。中条から捜査への圧力もかかり、凜々子の下す起訴判断が、検察庁全体をゆるがす重大な問題へとなっていく…。果たして事件の行方は?【演出】南雲聖一【原作】阿川佐和子「正義のセ」シリーズ(角川文庫)  【脚本】梅田みか【主題歌】福山雅治「失敗学」（アミューズ／ユニバーサルJ)  【音楽】得田真裕【プロデューサー】加藤正俊、鈴木香織(AXON)  【制作協力】AXON  【製作著作】日本テレビ</t>
  </si>
  <si>
    <t>1804_NTV_木23</t>
  </si>
  <si>
    <t>ラブリラン</t>
  </si>
  <si>
    <t>番組名ラブリラン【中村アン×古川雄輝×大谷亮平】#1</t>
  </si>
  <si>
    <t>南さやか…中村アン  町田翔平…古川雄輝  宇野友美…佐津川愛美  菅野太一郎…小松利昌  佐山大輔…渡部秀  青山瑞希…片瀬那奈(特別出演)  前島悟郎…村杉蝉之介  泉智子…ふせえり  小笠原杏子…大政絢  鷺沢亮介…大谷亮平１５年間の幼馴染・鷺沢（大谷亮平）への片想いをこじらせて、３０歳にして男性経験のない地味女子の南さやか（中村アン)。  ある日、目を覚ますとさやかの目の前には、見知らぬ男が…。その男は町田（古川雄輝）と名乗り、２人は付き合っていて同棲をしていると言う。  どうやら３ヶ月間の記憶を失くしているらしい。しかも見た目も、なぜか女子力高めのステキ女子に変身している…  記憶を失くした３ヶ月間に何が起きたのか!?【原作】「ラブリラン」天沢アキ(講談社「Kiss」所載)  【脚本】永田優子  【音楽】未知留  【演出】藤村享平  【主題歌】「また、アシタ」GENERATIONS from EXILE TRIBE(rhythm zone)http://www.ytv.co.jp/lovererun/  【番組公式Twitter】  @ytvdrama  【番組公式Instagram】  @_lovererun_  【番組公式LINE ID】  @lovererun</t>
  </si>
  <si>
    <t>１５年間の幼馴染・鷺沢（大谷亮平）への片想いをこじらせて、３０歳にして男性経験のない地味女子の南さやか（中村アン)。  ある日、目を覚ますとさやかの目の前には、見知らぬ男が…。その男は町田（古川雄輝）と名乗り、２人は付き合っていて同棲をしていると言う。  どうやら３ヶ月間の記憶を失くしているらしい。しかも見た目も、なぜか女子力高めのステキ女子に変身している…  記憶を失くした３ヶ月間に何が起きたのか!?</t>
  </si>
  <si>
    <t>番組名ラブリラン ＃２【中村アン×古川雄輝×大谷亮平】</t>
  </si>
  <si>
    <t>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鷺沢亮介…大谷亮平南さやか（中村アン）は記憶が戻るまで、町田翔平（古川雄輝）と再び同棲をすることになった。  そんなさやかの前に、「さやかと寝た」と言う見知らぬ青年・藤崎隼人（市川知宏）が現れ、さやかは驚愕する。その上、鷺沢亮介（大谷亮平）が青山瑞希（片瀬那奈）からプロポーズを断られたと知り、さやかは亮介への想いも捨てきれずにいた…  そんな中、記憶を失くす前にデザインした広告案が、最終コンペまで残ったと告げられて…【原作】「ラブリラン」天沢アキ(講談社「Kiss」所載)  【脚本】大林利江子  【音楽】未知留  【演出】藤村享平  【主題歌】「また、アシタ」GENERATIONS from EXILE TRIBE(rhythm zone)http://www.ytv.co.jp/lovererun/  【番組公式Twitter】  @ytvdrama  【番組公式Instagram】  @_lovererun_  【番組公式LINE ID】  @lovererun</t>
  </si>
  <si>
    <t>南さやか（中村アン）は記憶が戻るまで、町田翔平（古川雄輝）と再び同棲をすることになった。  そんなさやかの前に、「さやかと寝た」と言う見知らぬ青年・藤崎隼人（市川知宏）が現れ、さやかは驚愕する。その上、鷺沢亮介（大谷亮平）が青山瑞希（片瀬那奈）からプロポーズを断られたと知り、さやかは亮介への想いも捨てきれずにいた…  そんな中、記憶を失くす前にデザインした広告案が、最終コンペまで残ったと告げられて…</t>
  </si>
  <si>
    <t>番組名ラブリラン ＃３【涙の告白!15年の想いは届くのか…今夜、恋が動き出す】</t>
  </si>
  <si>
    <t>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鷺沢亮介…大谷亮平南さやか（中村アン）の最終プレゼンの競合相手が、１５年間片想い中の幼馴染み・鷺沢亮介（大谷亮平）だと判明する。  デザイナーとして初めて憧れの亮介と戦うさやかは、全力でプレゼンの準備を進める。  しかし町田翔平（古川雄輝）は、なおも亮介を慕うさやかに対し、「（亮介に）便利使いされているだけ」と冷ややかな態度を取り、さやかはその態度に憤りを感じる。  そしてさやかは、遂に亮介への告白を決意するのだが…【原作】  「ラブリラン」天沢アキ(講談社「Kiss」所載)  【脚本】  大林利江子  【音楽】  未知留  【演出】  金澤友也  【プロデューサー】  中間利彦（読売テレビ)  汐口武史(読売テレビ)  河原瑶(テレパック)  【主題歌】「また、アシタ」GENERATIONS from EXILE TRIBE(rhythm zone)http://www.ytv.co.jp/lovererun/  【番組公式Twitter】  @ytvdrama  【番組公式Instagram】  @_lovererun_  【番組公式LINE ID】  @lovererun</t>
  </si>
  <si>
    <t>南さやか（中村アン）の最終プレゼンの競合相手が、１５年間片想い中の幼馴染み・鷺沢亮介（大谷亮平）だと判明する。  デザイナーとして初めて憧れの亮介と戦うさやかは、全力でプレゼンの準備を進める。  しかし町田翔平（古川雄輝）は、なおも亮介を慕うさやかに対し、「（亮介に）便利使いされているだけ」と冷ややかな態度を取り、さやかはその態度に憤りを感じる。  そしてさやかは、遂に亮介への告白を決意するのだが…</t>
  </si>
  <si>
    <t>番組名ラブリラン＃４【火花散る元カノとの女バトル！】</t>
  </si>
  <si>
    <t>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鷺沢亮介…大谷亮平南さやか（中村アン）を突然ビンタしたのは、人気モデルの小笠原杏子（大政絢）だった。  さやかは、チーフデザイナーの立場で杏子と一緒に仕事をする事になってしまう。  そして同じプロジェクトに参加する鷺沢亮介(大谷亮平)、青山瑞希(片瀬那奈)に、町田翔平(古川雄輝)、さやかを交えた決起集会が開かれるのだが、さやかは亮介と瑞希の仲睦まじい姿を見てザワつく…  そんな中、町田と杏子に意外な関係がある事を知って…【原作】  「ラブリラン」天沢アキ(講談社「Kiss」所載)  【脚本】  永田優子  【音楽】  未知留  【演出】  汐口武史  【プロデューサー】  中間利彦（読売テレビ)  河原瑶(テレパック)  金澤友也(テレパック)  【主題歌】「また、アシタ」GENERATIONS from EXILE TRIBE(rhythm zone)http://www.ytv.co.jp/lovererun/  【番組公式Twitter】  @ytvdrama  【番組公式Instagram】  @_lovererun_  【番組公式LINE ID】  @lovererun</t>
  </si>
  <si>
    <t>南さやか（中村アン）を突然ビンタしたのは、人気モデルの小笠原杏子（大政絢）だった。  さやかは、チーフデザイナーの立場で杏子と一緒に仕事をする事になってしまう。  そして同じプロジェクトに参加する鷺沢亮介(大谷亮平)、青山瑞希(片瀬那奈)に、町田翔平(古川雄輝)、さやかを交えた決起集会が開かれるのだが、さやかは亮介と瑞希の仲睦まじい姿を見てザワつく…  そんな中、町田と杏子に意外な関係がある事を知って…</t>
  </si>
  <si>
    <t>番組名ラブリラン #6【衝撃真実!娘を愛する母の想い…】</t>
  </si>
  <si>
    <t>南さやか…中村アン  町田翔平…古川雄輝  宇野友美…佐津川愛美  菅野太一郎…小松利昌  藤崎隼人…市川知宏  佐山大輔…渡部秀  青山瑞希…片瀬那奈(特別出演)  前島悟郎…村杉蝉之介  小笠原杏子…大政絢  鷺沢亮介…大谷亮平    【6話 ゲスト】  南恵子…榊原郁恵さやか（中村アン）の元に母の恵子（榊原郁恵）が訪ねてくる。さやかの彼氏に会うために上京してきたと言う。母に心配をかけたくないさやかは、記憶をなくした事も、町田（古川雄輝）と別れた事も打ち明けられず、付き合っているフリをすることに。  しかしさやかは、町田から恋人扱いされるたびに心がザワついてしまい…  そして、恵子の呼びかけで亮介（大谷亮平）と瑞希（片瀬那奈）を加えた５人で食事をすることになるのだが…【原作】  「ラブリラン」天沢アキ(講談社「Kiss」所載)  【脚本】  永田優子  【音楽】  未知留  【演出】  金澤友也  【プロデューサー】  中間利彦（読売テレビ)  汐口武史(読売テレビ)  河原瑶(テレパック)  【主題歌】「また、アシタ」GENERATIONS from EXILE TRIBE(rhythm zone)http://www.ytv.co.jp/lovererun/  【番組公式Twitter】  @ytvdrama  【番組公式Instagram】  @_lovererun_  【番組公式LINE ID】  @lovererun</t>
  </si>
  <si>
    <t>さやか（中村アン）の元に母の恵子（榊原郁恵）が訪ねてくる。さやかの彼氏に会うために上京してきたと言う。母に心配をかけたくないさやかは、記憶をなくした事も、町田（古川雄輝）と別れた事も打ち明けられず、付き合っているフリをすることに。  しかしさやかは、町田から恋人扱いされるたびに心がザワついてしまい…  そして、恵子の呼びかけで亮介（大谷亮平）と瑞希（片瀬那奈）を加えた５人で食事をすることになるのだが…</t>
  </si>
  <si>
    <t>番組名ラブリラン ＃７【記憶の謎…ついに別れの真相が明らかに！】</t>
  </si>
  <si>
    <t>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    【７話 ゲスト】  栗子…ロン・モンロウついに町田（古川雄輝）に告白したさやか（中村アン）だが、「だったら同居は解消だ」と町田から冷たく突き放されてしまう…  さやかは、過去に町田にフラれた理由を思い出し、もう一度告白し直そうと必死になる。そして、女子高生・栗子（ロン・モンロウ）のインスタに、記憶のカギがあると思うのだが…    一方、亮介（大谷亮平）は恋人の瑞希（片瀬那奈）から「結婚を考え直してみない？」と告げられるが答えられずにいた…【原作】  「ラブリラン」天沢アキ(講談社「Kiss」所載)  【脚本】  大林利江子  【音楽】  未知留  【演出】  汐口武史  【プロデューサー】  中間利彦（読売テレビ)  河原瑶(テレパック)  金澤友也(テレパック)  【主題歌】「また、アシタ」GENERATIONS from EXILE TRIBE(rhythm zone)http://www.ytv.co.jp/lovererun/  【番組公式Twitter】  @ytvdrama  【番組公式Instagram】  @_lovererun_  【番組公式LINE ID】  @lovererun</t>
  </si>
  <si>
    <t>ロン・モンロウついに町田（古川雄輝）に告白したさやか（中村アン）だが、「だったら同居は解消だ」と町田から冷たく突き放されてしまう…  さやかは、過去に町田にフラれた理由を思い出し、もう一度告白し直そうと必死になる。そして、女子高生・栗子（ロン・モンロウ）のインスタに、記憶のカギがあると思うのだが…    一方、亮介（大谷亮平）は恋人の瑞希（片瀬那奈）から「結婚を考え直してみない？」と告げられるが答えられずにいた…</t>
  </si>
  <si>
    <t>番組名ラブリラン ＃８【惜別の涙…運命が引き裂かれる】</t>
  </si>
  <si>
    <t>南さやか…中村アン  町田翔平…古川雄輝  宇野友美…佐津川愛美  菅野太一郎…小松利昌  佐山大輔…渡部秀  青山瑞希…片瀬那奈(特別出演)  前島悟郎…村杉蝉之介  泉智子…ふせえり  小笠原杏子…大政絢  鷺沢亮介…大谷亮平さやか（中村アン）に、亮介（大谷亮平）とキスをしようとする記憶が突然蘇った。さやかは、亮介を好きなまま町田（古川雄輝）と付き合っていたのかもしれないと心を痛める。そんなさやかに亮介は「好きだ」と告白し、町田は「二度と同じ間違いを繰り返すな」と突き放す。さやかは、亮介への想いと町田への想いと、どちらが本当の気持ちなのか分からなくなってしまう。そして、混乱したさやかは仕事に没頭して体を壊してしまい…未知留  【主題歌】  「また、アシタ」GENERATIONS from EXILE TRIBE(rhythm zone)【原作】  「ラブリラン」天沢アキ(講談社「Kiss」所載)  【脚本】  永田優子  【演出】  汐口武史  【プロデューサー】  中間利彦（読売テレビ)  河原瑶(テレパック)  金澤友也(テレパック)http://www.ytv.co.jp/lovererun/  【番組公式Twitter】  @ytvdrama  【番組公式Instagram】  @_lovererun_  【番組公式LINE ID】  @lovererun</t>
  </si>
  <si>
    <t xml:space="preserve">さやか（中村アン）に、亮介（大谷亮平）とキスをしようとする記憶が突然蘇った。さやかは、亮介を好きなまま町田（古川雄輝）と付き合っていたのかもしれないと心を痛める。そんなさやかに亮介は「好きだ」と告白し、町田は「二度と同じ間違いを繰り返すな」と突き放す。さやかは、亮介への想いと町田への想いと、どちらが本当の気持ちなのか分からなくなってしまう。そして、混乱したさやかは仕事に没頭して体を壊してしまい…未知留  </t>
  </si>
  <si>
    <t>番組名ラブリラン ＃９【揺れる恋…想い届ける最後の賭け！】</t>
  </si>
  <si>
    <t>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    【ゲスト主演】  ロンドンの社長…マーク・パンサー  武田…是近敦之町田（古川雄輝）とやり直すことを諦めたさやか（中村アン）は、以前のひっつめ髪にすっぴんメガネの地味系女子に戻る。そんなさやかは、亮介（大谷亮平）と故郷の広島に泊りがけの取材に出かけることに。  一方、町田は、杏子（大政絢）の薦めで、前からやりたかったロンドン行きの仕事について考え始める。さやかと町田は、互いを忘れてそれぞれの「正しい場所」に戻ろうとするが、二人の間で決めた“ある約束”を思い出して…未知留  【主題歌】  「また、アシタ」GENERATIONS from EXILE TRIBE(rhythm zone)【原作】  「ラブリラン」天沢アキ(講談社「Kiss」所載)  【脚本】  大林利江子  【演出】  藤村享平  【プロデューサー】  中間利彦  汐口武史  河原瑶  金澤友也http://www.ytv.co.jp/lovererun/  【番組公式Twitter】  @ytvdrama  【番組公式Instagram】  @_lovererun_  【番組公式LINE ID】  @lovererun</t>
  </si>
  <si>
    <t xml:space="preserve">  ロンドンの社長…マーク・パンサー  武田…是近敦之町田（古川雄輝）とやり直すことを諦めたさやか（中村アン）は、以前のひっつめ髪にすっぴんメガネの地味系女子に戻る。そんなさやかは、亮介（大谷亮平）と故郷の広島に泊りがけの取材に出かけることに。  一方、町田は、杏子（大政絢）の薦めで、前からやりたかったロンドン行きの仕事について考え始める。さやかと町田は、互いを忘れてそれぞれの「正しい場所」に戻ろうとするが、二人の間で決めた“ある約束”を思い出して…</t>
  </si>
  <si>
    <t>1804_NTV_土22</t>
  </si>
  <si>
    <t>Missデビル</t>
  </si>
  <si>
    <t>番組名Missデビル 人事の悪魔・椿眞子#01</t>
  </si>
  <si>
    <t>菜々緒、佐藤勝利(Sexy Zone)、木村佳乃、和田正人、白石聖、鶴見辰吾/第1話ゲスト:森永悠希/船越英一郎、西田敏行 ほか大手損害保険会社に入社した斉藤博史（佐藤勝利）。だが、「Missデビル」の異名を持つ冷徹な人事コンサルタント・椿眞子（菜々緒）が行う過酷な新人研修に、同期が次々と脱落していく様を見て、希望を打ち砕かれる。見かねた人事部長の伊東千紘（木村佳乃）は研修の中止を大沢社長（船越英一郎）に進言するが、大沢は眞子に全て一任していると言う。会長の喜田村（西田敏行）も静観していた。果たしてこの研修の本当の意味は?【演出】佐久間紀佳【脚本】山浦雅大【音楽】井筒昭雄  【主題歌】安室奈美恵「Body Feels EXIT(from AL「Finally」)」(Dimension Point)  【挿入歌】Sexy Zone「イノセントデイズ」（ポニーキャニオン)【プロデューサー】森雅弘、本多繁勝(AXON)  【製作著作】日本テレビ  【制作協力】AXON</t>
  </si>
  <si>
    <t>番組名Missデビル 人事の悪魔・椿眞子#02</t>
  </si>
  <si>
    <t>菜々緒、佐藤勝利(Sexy Zone)、木村佳乃、和田正人、白石聖、鶴見辰吾/船越英一郎、西田敏行 ほか  (2話ゲスト)中越典子、神保悟志、チャンカワイ、鈴木拓「Miss デビル」こと眞子（菜々緒）がリーダーとして社員のリストラを推進する「人材活用ラボ」に配属された博史（佐藤勝利）の初仕事は、第２営業部での研修。しかし研修とは名ばかりで、眞子の目的は博史に第２営業部からリストラ対象者を選ばせることにあった！ 博史は、部下の夏月（中越典子）にセクハラしている部長の浅岡（神保悟志）にターゲットを絞るが…!!【演出】佐久間紀佳【脚本】山浦雅大【音楽】井筒昭雄  【主題歌】安室奈美恵「Body Feels EXIT(from AL「Finally」)」(Dimension Point)  【挿入歌】Sexy Zone「イノセントデイズ」（ポニーキャニオン)【プロデューサー】森雅弘、本多繁勝(AXON)  【製作著作】日本テレビ  【制作協力】AXON</t>
  </si>
  <si>
    <t>菜々緒、佐藤勝利(Sexy Zone)、木村佳乃、和田正人、白石聖、鶴見辰吾/船越英一郎、西田敏行 ほか  (2話ゲスト)中越典子、神保悟志、チャンカワイ、鈴木拓「Miss デビル」こと眞子（菜々緒）がリーダーとして社員のリストラを推進する「人材活用ラボ」に配属された博史（佐藤勝利）の初仕事は、第２営業部での研修。しかし研修とは名ばかりで、眞子の目的は博史に第２営業部からリストラ対象者を選ばせることにあった！ 博史は、部下の夏月（中越典子）にセクハラしている部長の浅岡（神保悟志）にターゲットを絞るが…!!</t>
  </si>
  <si>
    <t>番組名Missデビル 人事の悪魔・椿眞子#03</t>
  </si>
  <si>
    <t>菜々緒、佐藤勝利(Sexy Zone)、木村佳乃、和田正人、白石聖、鶴見辰吾/船越英一郎、西田敏行 ほか  【3話ゲスト】金子貴俊、前田公輝、おかやまはじめ眞子（菜々緒）に「損害サービス部」での研修を命じられた博史(佐藤勝利/Sexy Zone)は、「働き方改革」を推し進める尾上部長（おかやまはじめ）の下、一人で残業を背負い込んでいる簑島課長（金子貴俊）と出会う。博史は簑島に仕事を押し付ける部下の吉田（前田公輝）をリストラ候補に選ぶが、眞子は却下する。簑島の元上司の千紘（木村佳乃）が簑島を心配する中、思いがけない事件が起こってしまう。【演出】佐久間紀佳【脚本】山浦雅大【音楽】井筒昭雄  【主題歌】安室奈美恵「Body Feels EXIT(from AL「Finally」)」(Dimension Point)  【挿入歌】Sexy Zone「イノセントデイズ」（ポニーキャニオン)【プロデューサー】森雅弘、本多繁勝(AXON)  【製作著作】日本テレビ  【制作協力】AXON</t>
  </si>
  <si>
    <t>眞子（菜々緒）に「損害サービス部」での研修を命じられた博史(佐藤勝利/Sexy Zone)は、「働き方改革」を推し進める尾上部長（おかやまはじめ）の下、一人で残業を背負い込んでいる簑島課長（金子貴俊）と出会う。博史は簑島に仕事を押し付ける部下の吉田（前田公輝）をリストラ候補に選ぶが、眞子は却下する。簑島の元上司の千紘（木村佳乃）が簑島を心配する中、思いがけない事件が起こってしまう。</t>
  </si>
  <si>
    <t>番組名Missデビル 人事の悪魔・椿眞子#04</t>
  </si>
  <si>
    <t>菜々緒、佐藤勝利(Sexy Zone)、木村佳乃、和田正人、白石聖、鶴見辰吾/船越英一郎、西田敏行 ほか  【4話ゲスト】水橋研二、筧美和子、川久保拓司眞子（菜々緒）から、恋多き女として社内でも有名な総務部の花憐（筧美和子）と恋するように命じられた博史(佐藤/Sexy Zone)。そんな中、ライバル会社のスパイが社内に潜入していることが判明し、千紘（木村佳乃）は眞子がスパイではないかと調査を開始する。一方眞子は、花憐の本命がスパイだと確信し、博史にその相手を探すよう命じる。博史は、同じ総務課の梨木課長（水橋研二）が相手ではないかと勘ぐるが・・・。【演出】小室直子【脚本】藤平久子【音楽】井筒昭雄  【主題歌】安室奈美恵「Body Feels EXIT(from AL「Finally」)」(Dimension Point)  【挿入歌】Sexy Zone「イノセントデイズ」（ポニーキャニオン)【プロデューサー】森雅弘、本多繁勝(AXON)  【製作著作】日本テレビ  【制作協力】AXON</t>
  </si>
  <si>
    <t>眞子（菜々緒）から、恋多き女として社内でも有名な総務部の花憐（筧美和子）と恋するように命じられた博史(佐藤/Sexy Zone)。そんな中、ライバル会社のスパイが社内に潜入していることが判明し、千紘（木村佳乃）は眞子がスパイではないかと調査を開始する。一方眞子は、花憐の本命がスパイだと確信し、博史にその相手を探すよう命じる。博史は、同じ総務課の梨木課長（水橋研二）が相手ではないかと勘ぐるが・・・。</t>
  </si>
  <si>
    <t>番組名Missデビル 人事の悪魔・椿眞子#05</t>
  </si>
  <si>
    <t>菜々緒、佐藤勝利(Sexy Zone)、木村佳乃、和田正人、白石聖、鶴見辰吾/船越英一郎、西田敏行 ほか  【5話ゲスト】小林隆博史(佐藤勝利/Sexy Zone)の同期・南雲(前田航基)が社長の大沢(船越英一郎)を刺した。なぜ南雲はそんなことをしたのか？幸い軽症で済んだ大沢は、事件を内々で処理し、南雲を軟禁する。その一方で、眞子（菜々緒）は博史に審査部で担当部長の瀬登（小林隆）を”リストラする理由”を探るよう命令。しかし南雲のことが気になる博史は仕事が手に付かず、眞子は仕方なく南雲が大沢を刺した理由を語り始める。【演出】本多繁勝(AXON)【脚本】山浦雅大【音楽】井筒昭雄  【主題歌】安室奈美恵「Body Feels EXIT(from AL「Finally」)」(Dimension Point)  【挿入歌】Sexy Zone「イノセントデイズ」（ポニーキャニオン)【プロデューサー】森雅弘  【製作著作】日本テレビ  【制作協力】AXON</t>
  </si>
  <si>
    <t>博史(佐藤勝利/Sexy Zone)の同期・南雲(前田航基)が社長の大沢(船越英一郎)を刺した。なぜ南雲はそんなことをしたのか？幸い軽症で済んだ大沢は、事件を内々で処理し、南雲を軟禁する。その一方で、眞子（菜々緒）は博史に審査部で担当部長の瀬登（小林隆）を”リストラする理由”を探るよう命令。しかし南雲のことが気になる博史は仕事が手に付かず、眞子は仕方なく南雲が大沢を刺した理由を語り始める。</t>
  </si>
  <si>
    <t>番組名Missデビル 人事の悪魔・椿眞子#06</t>
  </si>
  <si>
    <t>菜々緒、佐藤勝利(Sexy Zone)、木村佳乃、和田正人、白石聖、鶴見辰吾/船越英一郎、西田敏行 ほか  【6話ゲスト】篠田麻里子、湯江タケユキ眞子（菜々緒）から宣伝広報部に研修に行くよう命じられた博史（佐藤勝利）。折しも宣伝広報部では妊娠中の唯香（篠田麻里子）がテレビの取材を受けることになり、部長の寺田（湯江タケユキ）が張り切っていた。会社の子育て支援をアピールしたい寺田は、唯香に仕事をさせないよう過剰に気遣う結果、周囲の女性社員の中で孤立させてしまう。周囲の態度が「マタハラ」ではないかと博史は眞子に相談するが、一蹴されてしまう。【演出】小室直子【脚本】藤平久子【音楽】井筒昭雄  【主題歌】安室奈美恵「Body Feels EXIT(from AL「Finally」)」(Dimension Point)  【挿入歌】Sexy Zone「イノセントデイズ」（ポニーキャニオン)【プロデューサー】森雅弘、本多繁勝(AXON)  【製作著作】日本テレビ  【制作協力】AXON</t>
  </si>
  <si>
    <t>眞子（菜々緒）から宣伝広報部に研修に行くよう命じられた博史（佐藤勝利）。折しも宣伝広報部では妊娠中の唯香（篠田麻里子）がテレビの取材を受けることになり、部長の寺田（湯江タケユキ）が張り切っていた。会社の子育て支援をアピールしたい寺田は、唯香に仕事をさせないよう過剰に気遣う結果、周囲の女性社員の中で孤立させてしまう。周囲の態度が「マタハラ」ではないかと博史は眞子に相談するが、一蹴されてしまう。</t>
  </si>
  <si>
    <t>番組名Missデビル 人事の悪魔・椿眞子#07</t>
  </si>
  <si>
    <t>菜々緒、佐藤勝利(Sexy Zone)、木村佳乃、和田正人、白石聖、鶴見辰吾/船越英一郎、西田敏行 ほか  【7話ゲスト】袴田吉彦眞子（菜々緒）は社内の精鋭が集まる新設の部署・CFDでの研修を博史（佐藤勝利）に指示。沖津（和田正人）の同期・里中（永岡佑）が過労で倒れたのを機に、博史はCFD部員が退社後に集う「残業アジト」の存在を探る。そして、アジトの場所が判明するが、そこではリーダーの甘露路（袴田吉彦）を筆頭に、取り憑かれたように仕事をするメンバーたちの姿が！彼らは仕事の邪魔をする眞子と千紘（木村佳乃）を拘束する!【演出】佐久間紀佳【脚本】山浦雅大【音楽】井筒昭雄  【主題歌】安室奈美恵「Body Feels EXIT(from AL「Finally」)」(Dimension Point)  【挿入歌】Sexy Zone「イノセントデイズ」（ポニーキャニオン)【プロデューサー】森雅弘、本多繁勝(AXON)  【製作著作】日本テレビ  【制作協力】AXON</t>
  </si>
  <si>
    <t>眞子（菜々緒）は社内の精鋭が集まる新設の部署・CFDでの研修を博史（佐藤勝利）に指示。沖津（和田正人）の同期・里中（永岡佑）が過労で倒れたのを機に、博史はCFD部員が退社後に集う「残業アジト」の存在を探る。そして、アジトの場所が判明するが、そこではリーダーの甘露路（袴田吉彦）を筆頭に、取り憑かれたように仕事をするメンバーたちの姿が！彼らは仕事の邪魔をする眞子と千紘（木村佳乃）を拘束する!</t>
  </si>
  <si>
    <t>番組名Missデビル 人事の悪魔・椿眞子#08</t>
  </si>
  <si>
    <t>菜々緒、佐藤勝利(Sexy Zone)、木村佳乃、和田正人、白石聖、鶴見辰吾/船越英一郎、西田敏行 ほか  【8話ゲスト】石橋保眞子（菜々緒）から社長秘書の研修をするよう命じられた博史(佐藤勝利)。大沢(船越英一郎)と修(鶴見辰吾)はどんな関係なのか聞き出せないまま大沢のそばで悶々と過ごす博史に新たな試練が。それは修とケンカをして家出をしてきた妹の茜（関屋利歩）と、父の介護のために会社を辞めるべきか悩んでいる真冬（白石聖）の２組の父娘の問題を解決すること。その課程で、ほかにも問題を抱えた父娘が存在することが明らかに…!?【演出】小室直子【脚本】山浦雅大【音楽】井筒昭雄  【主題歌】安室奈美恵「Body Feels EXIT(from AL「Finally」)」(Dimension Point)  【挿入歌】Sexy Zone「イノセントデイズ」（ポニーキャニオン)【プロデューサー】森雅弘、本多繁勝(AXON)  【製作著作】日本テレビ  【制作協力】AXON</t>
  </si>
  <si>
    <t>眞子（菜々緒）から社長秘書の研修をするよう命じられた博史(佐藤勝利)。大沢(船越英一郎)と修(鶴見辰吾)はどんな関係なのか聞き出せないまま大沢のそばで悶々と過ごす博史に新たな試練が。それは修とケンカをして家出をしてきた妹の茜（関屋利歩）と、父の介護のために会社を辞めるべきか悩んでいる真冬（白石聖）の２組の父娘の問題を解決すること。その課程で、ほかにも問題を抱えた父娘が存在することが明らかに…!?</t>
  </si>
  <si>
    <t>番組名Missデビル 人事の悪魔・椿眞子#09</t>
  </si>
  <si>
    <t>菜々緒、佐藤勝利(Sexy Zone)、木村佳乃、和田正人、白石聖、鶴見辰吾/船越英一郎、西田敏行 ほか  【9話ゲスト】小市慢太郎眞子（菜々緒）の父が経営していたホテルアックスの火災事故で保険金が支払われなかったのは、当時担当していた大沢（船越英一郎）と縣（大高洋夫）が偽装工作を行ったせいだった。次々に衝撃の事実が判明する中、縣が何者かに殺害された。警察から事情を聞かれることになった大沢や喜多村（西田敏行）ら共亜火災の関係者たち。そして修（鶴見辰吾）からも事情聴取した警察が、遂に博史（佐藤勝利）の元へやってくる!!【演出】佐久間紀佳【脚本】山浦雅大【音楽】井筒昭雄  【主題歌】安室奈美恵「Body Feels EXIT(from AL「Finally」)」(Dimension Point)  【挿入歌】Sexy Zone「イノセントデイズ」（ポニーキャニオン)【プロデューサー】森雅弘、本多繁勝(AXON)  【製作著作】日本テレビ  【制作協力】AXON</t>
  </si>
  <si>
    <t>眞子（菜々緒）の父が経営していたホテルアックスの火災事故で保険金が支払われなかったのは、当時担当していた大沢（船越英一郎）と縣（大高洋夫）が偽装工作を行ったせいだった。次々に衝撃の事実が判明する中、縣が何者かに殺害された。警察から事情を聞かれることになった大沢や喜多村（西田敏行）ら共亜火災の関係者たち。そして修（鶴見辰吾）からも事情聴取した警察が、遂に博史（佐藤勝利）の元へやってくる!!</t>
  </si>
  <si>
    <t>番組名Missデビル 人事の悪魔・椿眞子#10</t>
  </si>
  <si>
    <t>菜々緒、佐藤勝利(Sexy Zone)、木村佳乃、和田正人、白石聖、鶴見辰吾/船越英一郎、西田敏行 ほか  【10話ゲスト】堀部圭亮、永見佳織（静岡第一テレビアナウンサー)16年前にホテルアックスが倒産したのは火災事故の際に大沢（船越英一郎）が偽装を働いたせいだった。そして、行方不明になっている眞子（菜々緒）の父は縣（大高洋夫）に殺されていた!?大沢の告白に博史(佐藤勝利)が衝撃を受ける中、混乱の続く共亜火災では退職者が続出。そんな共亜火災を支援しようと、投資会社CEOの曽我部（堀部圭亮）が現れるのだが…。眞子が導き出した衝撃のクライマックスとは!?【演出】佐久間紀佳【脚本】山浦雅大【音楽】井筒昭雄  【主題歌】安室奈美恵「Body Feels EXIT(from AL「Finally」)」(Dimension Point)  【挿入歌】Sexy Zone「イノセントデイズ」（ポニーキャニオン)【プロデューサー】森雅弘、本多繁勝(AXON)  【製作著作】日本テレビ  【制作協力】AXON</t>
  </si>
  <si>
    <t>堀部圭亮、永見佳織（静岡第一テレビアナウンサー)16年前にホテルアックスが倒産したのは火災事故の際に大沢（船越英一郎）が偽装を働いたせいだった。そして、行方不明になっている眞子（菜々緒）の父は縣（大高洋夫）に殺されていた!?大沢の告白に博史(佐藤勝利)が衝撃を受ける中、混乱の続く共亜火災では退職者が続出。そんな共亜火災を支援しようと、投資会社CEOの曽我部（堀部圭亮）が現れるのだが…。眞子が導き出した衝撃のクライマックスとは!?</t>
  </si>
  <si>
    <t>1804_NTV_日22</t>
  </si>
  <si>
    <t>崖っぷちホテル！</t>
  </si>
  <si>
    <t>番組名崖っぷちホテル!#01</t>
  </si>
  <si>
    <t>岩田剛典、戸田恵梨香、浜辺美波、中村倫也、くっきー（野性爆弾）、チャド・マレーン、佐伯大地／鈴木浩介／西尾まり、宮川大輔、りょう、渡辺いっけいかつては栄華を極めた老舗ホテル。…しかし今はクセ者揃いのダメスタッフだけが残り、大借金抱えて破産寸前。新米総支配人の佐那（戸田恵梨香）は周りのスタッフから総スカンの状態の日々を過ごしていた。そこに現れたのは、ホテルに似つかわしくないラフな格好をした謎の客：宇海（岩田剛典）。彼は、到着早々からホテルに対してなぜか無理難題を次々に告げていく。この来客が、この崖っぷちホテルの大逆転の幕開けであった……。【演出】猪股隆一【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</si>
  <si>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かつては栄華を極めた老舗ホテル。…しかし今はクセ者揃いのダメスタッフだけが残り、大借金抱えて破産寸前。新米総支配人の佐那（戸田恵梨香）は周りのスタッフから総スカンの状態の日々を過ごしていた。そこに現れたのは、ホテルに似つかわしくないラフな格好をした謎の客：宇海（岩田剛典）。彼は、到着早々からホテルに対してなぜか無理難題を次々に告げていく。この来客が、この崖っぷちホテルの大逆転の幕開けであった……。</t>
  </si>
  <si>
    <t>番組名崖っぷちホテル!#02</t>
  </si>
  <si>
    <t>岩田剛典、戸田恵梨香、浜辺美波、中村倫也、くっきー（野性爆弾）、チャド・マレーン、佐伯大地／鈴木浩介／西尾まり、宮川大輔、りょう、渡辺いっけいホテル・グランデインヴルサに訪れた謎の客：宇海直哉（岩田剛典）が支配人の佐那（戸田恵梨香）の申し出により、ホテルマンの一員に。彼が起こす大革命に期待を寄せる中、宇海が最初に言い出したのは、なんとまさかの人事異動。降格処分をくらった時貞（渡辺いっけい）と江口（中村倫也）は猛反発をするが、宇海は気にすることもなく、かつてこのホテルに存在した「幻のケーキ」を復活し、ケーキフェアを行うことを提案して……【演出】猪股隆一【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</si>
  <si>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ホテル・グランデインヴルサに訪れた謎の客：宇海直哉（岩田剛典）が支配人の佐那（戸田恵梨香）の申し出により、ホテルマンの一員に。彼が起こす大革命に期待を寄せる中、宇海が最初に言い出したのは、なんとまさかの人事異動。降格処分をくらった時貞（渡辺いっけい）と江口（中村倫也）は猛反発をするが、宇海は気にすることもなく、かつてこのホテルに存在した「幻のケーキ」を復活し、ケーキフェアを行うことを提案して……</t>
  </si>
  <si>
    <t>番組名崖っぷちホテル!#03</t>
  </si>
  <si>
    <t>岩田剛典、戸田恵梨香、浜辺美波、中村倫也、くっきー（野性爆弾）、チャド・マレーン、佐伯大地／鈴木浩介／西尾まり、宮川大輔、りょう、渡辺いっけい降格処分を受けた江口（中村倫也）、時貞（渡辺いっけい）は、佐那（戸田恵梨香）に自分たちを元の役職に戻すように詰めかける。が、佐那は宇海（岩田剛典）の決断を信じて、それを却下。そこに現れた宇海（岩田剛典）。江口、時貞の意見を聞いて、悩み始める。そしてアッサリと役職復帰の提案を始め、愕然とする佐那。だが、そのために宇海は一夜限りの企画勝負を提案する。彼の狙い、その先にある新たな小さな奇跡とは…?【演出】岩本仁志【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</si>
  <si>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降格処分を受けた江口（中村倫也）、時貞（渡辺いっけい）は、佐那（戸田恵梨香）に自分たちを元の役職に戻すように詰めかける。が、佐那は宇海（岩田剛典）の決断を信じて、それを却下。そこに現れた宇海（岩田剛典）。江口、時貞の意見を聞いて、悩み始める。そしてアッサリと役職復帰の提案を始め、愕然とする佐那。だが、そのために宇海は一夜限りの企画勝負を提案する。彼の狙い、その先にある新たな小さな奇跡とは…?</t>
  </si>
  <si>
    <t>番組名崖っぷちホテル!#04</t>
  </si>
  <si>
    <t>岩田剛典、戸田恵梨香、浜辺美波、中村倫也、くっきー（野性爆弾）、チャド・マレーン、佐伯大地／鈴木浩介／西尾まり、宮川大輔、りょう、渡辺いっけい近隣にビジネスホテルの建設予定が…。そして古参の丹沢（鈴木浩介）がその引き抜きでホテルを辞めると宣言。さらには尚美（西尾まり）、大田原（くっきー）までこのホテルを出ると言い出す。悩める総支配人の佐那（戸田恵梨香）が宇海（岩田剛典）に相談すると、なんと宇海は古参を切り捨て新人面接を行うと言い出す。様々な想いが交錯するホテルインヴルサ。物語のキーは意外なものが握っていて…。次なる大逆転の一手とは!【演出】水野格【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</si>
  <si>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近隣にビジネスホテルの建設予定が…。そして古参の丹沢（鈴木浩介）がその引き抜きでホテルを辞めると宣言。さらには尚美（西尾まり）、大田原（くっきー）までこのホテルを出ると言い出す。悩める総支配人の佐那（戸田恵梨香）が宇海（岩田剛典）に相談すると、なんと宇海は古参を切り捨て新人面接を行うと言い出す。様々な想いが交錯するホテルインヴルサ。物語のキーは意外なものが握っていて…。次なる大逆転の一手とは</t>
  </si>
  <si>
    <t>番組名崖っぷちホテル!#05</t>
  </si>
  <si>
    <t>岩田剛典、戸田恵梨香、浜辺美波、中村倫也、川栄李奈、くっきー（野性爆弾）、チャド・マレーン、佐伯大地／鈴木浩介／西尾まり、宮川大輔、りょう、渡辺いっけいある夫婦から宇海（岩田剛典）にホテルで結婚式を挙げたいと連絡が。しかし、このブライダル…とてつもなく注文の多いブライダルであった。式の希望日はなんと5日後!更には巨大ケーキの発注に、その他次々に注文が殺到。ブライダルプランナーに任命された枝川（りょう）は困り果て…。一方、宇海には元のホテルに戻る疑惑が発生。佐那（戸田恵梨香）と裕子（川栄李奈）がそれを聞きつけ…。【演出】猪股隆一【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</si>
  <si>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ある夫婦から宇海（岩田剛典）にホテルで結婚式を挙げたいと連絡が。しかし、このブライダル…とてつもなく注文の多いブライダルであった。式の希望日はなんと5日後!更には巨大ケーキの発注に、その他次々に注文が殺到。ブライダルプランナーに任命された枝川（りょう）は困り果て…。一方、宇海には元のホテルに戻る疑惑が発生。佐那（戸田恵梨香）と裕子（川栄李奈）がそれを聞きつけ…。</t>
  </si>
  <si>
    <t>番組名崖っぷちホテル!#06</t>
  </si>
  <si>
    <t>岩田剛典、戸田恵梨香、浜辺美波、中村倫也、川栄李奈、くっきー（野性爆弾）、チャド・マレーン、佐伯大地／鈴木浩介／西尾まり、宮川大輔、りょう、渡辺いっけいホテルに告発状が届く。内容は時貞（渡辺いっけい）が事件を起こしたというもの。動揺の色を見せる時貞だったが、さらに告発の主とみられる後藤（でんでん）が直接宿泊にやってくる。スタッフたちは時貞の事件の噂話を広げ、長吉（宮川大輔）の怒りが爆発して内部分裂が発生。しかし、宇海（岩田剛典）は後藤に最大のおもてなしでお迎えをとニコやかな表情を浮かべて…。真相は何か、謎が謎を呼ぶ第６話。どうなるインヴルサ!?【演出】岩本仁志【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</si>
  <si>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ホテルに告発状が届く。内容は時貞（渡辺いっけい）が事件を起こしたというもの。動揺の色を見せる時貞だったが、さらに告発の主とみられる後藤（でんでん）が直接宿泊にやってくる。スタッフたちは時貞の事件の噂話を広げ、長吉（宮川大輔）の怒りが爆発して内部分裂が発生。しかし、宇海（岩田剛典）は後藤に最大のおもてなしでお迎えをとニコやかな表情を浮かべて…。真相は何か、謎が謎を呼ぶ第６話。どうなるインヴルサ!?</t>
  </si>
  <si>
    <t>番組名崖っぷちホテル!#07</t>
  </si>
  <si>
    <t>岩田剛典、戸田恵梨香、浜辺美波、中村倫也、川栄李奈、くっきー（野性爆弾）、チャド・マレーン、佐伯大地／鈴木浩介／西尾まり、宮川大輔、りょう、渡辺いっけい佐那（戸田恵梨香）の兄・誠一（佐藤隆太）が再びホテルに現れた。かつての身勝手なモンスターぶりを知る従業員達は警戒するが、初対面の宇海（岩田剛典）はすっかり意気投合!?そして誠一は「自分が総支配人だ」と宣言し、従業員のポジションを大シャッフルすると言い出す。抗議する佐那だが誠一は悪びれる様子もなく、ホテルを売るつもりだと告げ…再び崖っぷちに立たされたグランデ・インヴルサに大逆転の手立てはあるのか!?【演出】猪股隆一【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</si>
  <si>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佐那（戸田恵梨香）の兄・誠一（佐藤隆太）が再びホテルに現れた。かつての身勝手なモンスターぶりを知る従業員達は警戒するが、初対面の宇海（岩田剛典）はすっかり意気投合!?そして誠一は「自分が総支配人だ」と宣言し、従業員のポジションを大シャッフルすると言い出す。抗議する佐那だが誠一は悪びれる様子もなく、ホテルを売るつもりだと告げ…再び崖っぷちに立たされたグランデ・インヴルサに大逆転の手立てはあるのか!?</t>
  </si>
  <si>
    <t>番組名崖っぷちホテル!#08</t>
  </si>
  <si>
    <t>岩田剛典、戸田恵梨香、浜辺美波、中村倫也、川栄李奈、くっきー（野性爆弾）、チャド・マレーン、佐伯大地／鈴木浩介／西尾まり、宮川大輔、りょう、渡辺いっけいついに一丸となったチームインヴルサ。そこにやってきたのは国の重要外交相手である王国の７人の王女たち。彼女らは父親である王が昔このインヴルサで食べたという『忘れられないディナー』を経験しにきたという。成功の鍵を握るのはハル（浜辺美波）と江口（中村倫也）の厨房組。このおもてなしの成否がホテルの明日を決める。大ピンチか、はたまた大チャンスか。ホテル・グランデ・インヴルサの明日はどっち!?【演出】山田信義【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</si>
  <si>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ついに一丸となったチームインヴルサ。そこにやってきたのは国の重要外交相手である王国の７人の王女たち。彼女らは父親である王が昔このインヴルサで食べたという『忘れられないディナー』を経験しにきたという。成功の鍵を握るのはハル（浜辺美波）と江口（中村倫也）の厨房組。このおもてなしの成否がホテルの明日を決める。大ピンチか、はたまた大チャンスか。ホテル・グランデ・インヴルサの明日はどっち!?</t>
  </si>
  <si>
    <t>番組名崖っぷちホテル!#09</t>
  </si>
  <si>
    <t>岩田剛典、戸田恵梨香、浜辺美波、中村倫也、川栄李奈、くっきー（野性爆弾）、チャド・マレーン、佐伯大地／鈴木浩介／西尾まり、宮川大輔、りょう、渡辺いっけいインヴルサに予約の電話が殺到！王国動かす奇跡のホテルとして話題になる！千客万来に喜ぶ一同だったが、取材に来た人物は何やら宇海（岩田剛典）の良からぬ噂を耳にしているようで…。一方、インヴルサは創立５０周年イベントとして大花火大会を計画する。この花火大会がこれまでの全ての奇跡を凌駕する大感動を呼ぶとは知らずに…。そして、宇海は皆のために、これまで謎に包まれていた自身のことを明かし始める。必見の第９話。【演出】岩本仁志【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</si>
  <si>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インヴルサに予約の電話が殺到！王国動かす奇跡のホテルとして話題になる！千客万来に喜ぶ一同だったが、取材に来た人物は何やら宇海（岩田剛典）の良からぬ噂を耳にしているようで…。一方、インヴルサは創立５０周年イベントとして大花火大会を計画する。この花火大会がこれまでの全ての奇跡を凌駕する大感動を呼ぶとは知らずに…。そして、宇海は皆のために、これまで謎に包まれていた自身のことを明かし始める。必見の第９話。</t>
  </si>
  <si>
    <t>番組名崖っぷちホテル!#10いよいよ最終回。最後のインヴルサは、楽しく、切ない</t>
  </si>
  <si>
    <t>岩田剛典、戸田恵梨香、浜辺美波、中村倫也、川栄李奈、くっきー（野性爆弾）、チャド・マレーン、佐伯大地／鈴木浩介／西尾まり、宮川大輔、りょう、渡辺いっけい宇海（岩田剛典）の夢を叶え、順風満帆なホテル・インヴルサ。そこにやってきたのは、ただいま絶賛崖っぷち状態のホテルに勤めるという11人の団体客。一同は宇海に呼ばれたらしい。何やら不穏な空気を感じる佐那（戸田恵梨香）。宇海に呼び出された佐那は、彼に直接このホテルを出るのかと尋ねる…。その答えは…。宇海の決意に佐那の涙の決断。最後は皆の想いと感動に包まれる最終回。最後のインヴルサは、楽しく、切ない。【演出】猪股隆一【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</si>
  <si>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宇海（岩田剛典）の夢を叶え、順風満帆なホテル・インヴルサ。そこにやってきたのは、ただいま絶賛崖っぷち状態のホテルに勤めるという11人の団体客。一同は宇海に呼ばれたらしい。何やら不穏な空気を感じる佐那（戸田恵梨香）。宇海に呼び出された佐那は、彼に直接このホテルを出るのかと尋ねる…。その答えは…。宇海の決意に佐那の涙の決断。最後は皆の想いと感動に包まれる最終回。最後のインヴルサは、楽しく、切ない。</t>
  </si>
  <si>
    <t>1801_NTV_水22</t>
  </si>
  <si>
    <t>anone</t>
  </si>
  <si>
    <t>番組名anone#01</t>
  </si>
  <si>
    <t>広瀬すず、小林聡美、阿部サダヲ、瑛太、田中裕子 ほか  【第一話ゲスト】倍賞美津子亜乃音（田中裕子）はその日、自宅一階の廃業した印刷工場の床下から大量の１万円札の束を見つけ…。一方、ネットカフェに寝泊まりしている通称“ハズレ”こと辻沢ハリカ（広瀬すず）は、札束の入ったバッグが捨てられているのを見たという友人の証言をもとに「柘」という町を目指すことに。「つげ」は、かつてハリカが祖母（倍賞美津子）と暮らした幸せな記憶のある町。しかしそこで彼女を待ち受けていたものとは…。【演出】水田伸生  【プロデューサー】次屋尚【脚本】坂元裕二【音楽】三宅一徳【製作著作】日本テレビ  【制作協力】ザ・ワークス</t>
  </si>
  <si>
    <t>倍賞美津子亜乃音（田中裕子）はその日、自宅一階の廃業した印刷工場の床下から大量の１万円札の束を見つけ…。一方、ネットカフェに寝泊まりしている通称“ハズレ”こと辻沢ハリカ（広瀬すず）は、札束の入ったバッグが捨てられているのを見たという友人の証言をもとに「柘」という町を目指すことに。「つげ」は、かつてハリカが祖母（倍賞美津子）と暮らした幸せな記憶のある町。しかしそこで彼女を待ち受けていたものとは…。【演出</t>
  </si>
  <si>
    <t>番組名anone#02</t>
  </si>
  <si>
    <t>広瀬すず、小林聡美、阿部サダヲ、瑛太、火野正平、田中裕子 ほかハリカ（広瀬すず）は「林田印刷所」の名前を頼りに亜乃音（田中裕子）の元を訪ねる。そこであの札束の衝撃的な真相を知る。さらに床下から15年前に失踪したはずの亜乃音の娘・玲（江口のりこ）が写っている写真が発見され戸惑う亜乃音。一方、舵（阿部サダヲ）が幼なじみの西海（川瀬陽太）にカレー店を乗っ取られようとしているのを見かねたるい子（小林聡美）は…。玲の足跡を辿るハリカと亜乃音が知るのは更に切ない現実で…【演出】水田伸生  【プロデューサー】次屋尚【脚本】坂元裕二【音楽】三宅一徳【製作著作】日本テレビ  【制作協力】ザ・ワークス</t>
  </si>
  <si>
    <t>広瀬すず、小林聡美、阿部サダヲ、瑛太、火野正平、田中裕子 ほかハリカ（広瀬すず）は「林田印刷所」の名前を頼りに亜乃音（田中裕子）の元を訪ねる。そこであの札束の衝撃的な真相を知る。さらに床下から15年前に失踪したはずの亜乃音の娘・玲（江口のりこ）が写っている写真が発見され戸惑う亜乃音。一方、舵（阿部サダヲ）が幼なじみの西海（川瀬陽太）にカレー店を乗っ取られようとしているのを見かねたるい子（小林聡美）は…。玲の足跡を辿るハリカと亜乃音が知るのは更に切ない現実で…</t>
  </si>
  <si>
    <t>番組名anone#03</t>
  </si>
  <si>
    <t>広瀬すず、小林聡美、阿部サダヲ、瑛太、火野正平、田中裕子 ほかハリカ（広瀬すず）を亜乃音（田中裕子）の娘だと思い込む舵（阿部サダヲ）の話を聞いた西海（川瀬陽太）は、ハリカをだしに亜乃音から身代金を取ろうと言い出す。一方、亜乃音の元をかつて林田印刷所の従業員だった中世古理市（瑛太）が訪ねて来て…。そして身代金の取り立てに亜乃音の元へ来たるい子（小林聡美）は、ハリカが亜乃音の娘ではないことを知る。しかし、亜乃音が選んだ行動はとても意外なもので…。【演出】水田伸生  【プロデューサー】次屋尚【脚本】坂元裕二【音楽】三宅一徳【製作著作】日本テレビ  【制作協力】ザ・ワークス</t>
  </si>
  <si>
    <t>ハリカ（広瀬すず）を亜乃音（田中裕子）の娘だと思い込む舵（阿部サダヲ）の話を聞いた西海（川瀬陽太）は、ハリカをだしに亜乃音から身代金を取ろうと言い出す。一方、亜乃音の元をかつて林田印刷所の従業員だった中世古理市（瑛太）が訪ねて来て…。そして身代金の取り立てに亜乃音の元へ来たるい子（小林聡美）は、ハリカが亜乃音の娘ではないことを知る。しかし、亜乃音が選んだ行動はとても意外なもので…。</t>
  </si>
  <si>
    <t>番組名anone#04</t>
  </si>
  <si>
    <t>広瀬すず、小林聡美、阿部サダヲ、瑛太、田中裕子 ほか一千万円を持ち逃げしたるい子は、いつも謎の女子高生とともに過ごしている。しかし、どうやらその姿はるい子にしか見えていないようで…。ふと娘・玲（江口のりこ）の仕事先を覗いた亜乃音は、下校中の玲の息子・陽人を見かけ束の間の交流をする。一方、ハリカ（広瀬すず）と舵（阿部サダヲ）はるい子を見つけ出しお金を返すよう詰め寄る。やがて、るい子の過去に秘められた理不尽で悲しい現実が明らかになっていく。【演出】水田伸生  【プロデューサー】次屋尚【脚本】坂元裕二【音楽】三宅一徳【製作著作】日本テレビ  【制作協力】ザ・ワークス</t>
  </si>
  <si>
    <t>一千万円を持ち逃げしたるい子は、いつも謎の女子高生とともに過ごしている。しかし、どうやらその姿はるい子にしか見えていないようで…。ふと娘・玲（江口のりこ）の仕事先を覗いた亜乃音は、下校中の玲の息子・陽人を見かけ束の間の交流をする。一方、ハリカ（広瀬すず）と舵（阿部サダヲ）はるい子を見つけ出しお金を返すよう詰め寄る。やがて、るい子の過去に秘められた理不尽で悲しい現実が明らかになっていく。</t>
  </si>
  <si>
    <t>番組名anone#05</t>
  </si>
  <si>
    <t>広瀬すず、小林聡美、阿部サダヲ、瑛太、火野正平、田中裕子 ほか亜乃音（田中裕子）の元には、お金を返すことの出来なくなったるい子（小林聡美）が、舵（阿部サダヲ）とともに謝罪に訪れる。亜乃音は行き場のない二人をどうしても憎み切れず、四人の奇妙な共同生活が始まることに。一方、理市（瑛太）は秘密の別宅で試行錯誤し、両替機を騙すニセ札を完成させる…。彦星がゲームにログインしなくなり不安になったハリカは窓越しに彦星の病室が片付けられているのを見てショックを受け…。【演出】水田伸生  【プロデューサー】次屋尚【脚本】坂元裕二【音楽】三宅一徳【製作著作】日本テレビ  【制作協力】ザ・ワークス</t>
  </si>
  <si>
    <t>亜乃音（田中裕子）の元には、お金を返すことの出来なくなったるい子（小林聡美）が、舵（阿部サダヲ）とともに謝罪に訪れる。亜乃音は行き場のない二人をどうしても憎み切れず、四人の奇妙な共同生活が始まることに。一方、理市（瑛太）は秘密の別宅で試行錯誤し、両替機を騙すニセ札を完成させる…。彦星がゲームにログインしなくなり不安になったハリカは窓越しに彦星の病室が片付けられているのを見てショックを受け…。</t>
  </si>
  <si>
    <t>番組名anone#06</t>
  </si>
  <si>
    <t>広瀬すず、小林聡美、阿部サダヲ、江口のりこ、鈴木杏、瑛太、火野正平、田中裕子 ほか亜乃音（田中裕子）たちは理市（瑛太）から印刷所の機械を使いニセ札を作るよう迫られる。ハリカ（広瀬すず）とるい子(小林聡美)、舵(阿部サダヲ)は亜乃音のために理市を突っぱねつつも、それぞれ心の内には思うところがあって…。かつてお金によって人生を狂わされた理市の不気味な導きによって、四人はニセ札作りの道へ引き込まれようとしていた…【演出】水田伸生  【プロデューサー】次屋尚【脚本】坂元裕二【音楽】三宅一徳【製作著作】日本テレビ  【制作協力】ザ・ワークス</t>
  </si>
  <si>
    <t>亜乃音（田中裕子）たちは理市（瑛太）から印刷所の機械を使いニセ札を作るよう迫られる。ハリカ（広瀬すず）とるい子(小林聡美)、舵(阿部サダヲ)は亜乃音のために理市を突っぱねつつも、それぞれ心の内には思うところがあって…。かつてお金によって人生を狂わされた理市の不気味な導きによって、四人はニセ札作りの道へ引き込まれようとしていた…</t>
  </si>
  <si>
    <t>番組名anone#07</t>
  </si>
  <si>
    <t>広瀬すず、小林聡美、阿部サダヲ、江口のりこ、鈴木杏、瑛太、火野正平、田中裕子 ほか理市（瑛太）に脅迫され亜乃音（田中裕子）はニセ札作りへの協力を決意する。るい子（小林聡美）と舵（阿部サダヲ）も協力を申し出る中、ハリカ（広瀬すず）を巻き込みたくない亜乃音はそのことをハリカにだけは隠すことに…。しかしハリカが彦星（清水尋也）の治療のために大金を必要としていると知った亜乃音は、ニセ札作りに惹かれるハリカを諭しながらも心の内に葛藤を抱え…。【演出】水田伸生  【プロデューサー】次屋尚【脚本】坂元裕二【音楽】三宅一徳【製作著作】日本テレビ  【制作協力】ザ・ワークス</t>
  </si>
  <si>
    <t>理市（瑛太）に脅迫され亜乃音（田中裕子）はニセ札作りへの協力を決意する。るい子（小林聡美）と舵（阿部サダヲ）も協力を申し出る中、ハリカ（広瀬すず）を巻き込みたくない亜乃音はそのことをハリカにだけは隠すことに…。しかしハリカが彦星（清水尋也）の治療のために大金を必要としていると知った亜乃音は、ニセ札作りに惹かれるハリカを諭しながらも心の内に葛藤を抱え…。</t>
  </si>
  <si>
    <t>番組名anone#08</t>
  </si>
  <si>
    <t>広瀬すず、小林聡美、阿部サダヲ、江口のりこ、鈴木杏、瑛太、火野正平、田中裕子 ほか万平（火野正平）は、このところ亜乃音（田中裕子）の様子がおかしいと疑い、行動を監視する。そんな中、ニセ千円札を自動販売機に通すことに成功したハリカ（広瀬すず）たちは、ついジュースを買ってしまい、試作のニセ札を回収するべく自動販売機の管理をしている酒屋でニセ札を取り返そうとする。一方チャットゲーム上で彦星（清水尋也）に話しかけたハリカは、返信してきた香澄（藤井武美）に呼び出され…。【演出】水田伸生  【プロデューサー】次屋尚【脚本】坂元裕二【音楽】三宅一徳【製作著作】日本テレビ  【制作協力】ザ・ワークス</t>
  </si>
  <si>
    <t>万平（火野正平）は、このところ亜乃音（田中裕子）の様子がおかしいと疑い、行動を監視する。そんな中、ニセ千円札を自動販売機に通すことに成功したハリカ（広瀬すず）たちは、ついジュースを買ってしまい、試作のニセ札を回収するべく自動販売機の管理をしている酒屋でニセ札を取り返そうとする。一方チャットゲーム上で彦星（清水尋也）に話しかけたハリカは、返信してきた香澄（藤井武美）に呼び出され…。</t>
  </si>
  <si>
    <t>番組名anone#09</t>
  </si>
  <si>
    <t>広瀬すず、小林聡美、阿部サダヲ、江口のりこ、鈴木杏、瑛太、火野正平、田中裕子 ほかATMで理市（瑛太）が試し、返却されなかったニセ札が元で事件は明るみに、警察の捜査が進むことに。理市の妻・結季（鈴木杏）は、ニュースに流れる防犯カメラに映った映像の男が自分の夫だと確信していた。そんな中、ハリカ（広瀬すず）は彦星（清水尋也）から直接会いたいと言われ、亜乃音（田中裕子）にプレゼントされたワンピースを着て出かけるのだが…。【演出】水田伸生  【プロデューサー】次屋尚【脚本】坂元裕二【音楽】三宅一徳【製作著作】日本テレビ  【制作協力】ザ・ワークス</t>
  </si>
  <si>
    <t>ATMで理市（瑛太）が試し、返却されなかったニセ札が元で事件は明るみに、警察の捜査が進むことに。理市の妻・結季（鈴木杏）は、ニュースに流れる防犯カメラに映った映像の男が自分の夫だと確信していた。そんな中、ハリカ（広瀬すず）は彦星（清水尋也）から直接会いたいと言われ、亜乃音（田中裕子）にプレゼントされたワンピースを着て出かけるのだが…。</t>
  </si>
  <si>
    <t>番組名anone#10</t>
  </si>
  <si>
    <t>広瀬すず、小林聡美、阿部サダヲ、清水尋也、江口のりこ、瑛太、火野正平、田中裕子 ほか一片のニセ札を見つけられ、警察に連行された亜乃音のその後は…。悲しい嘘で別れを告げたハリカ（広瀬すず）と彦星（清水尋也）はこのまま悲恋に終わるのか…。ニセ札を持って逃亡を図った中世古（瑛太）の行方は…。持本（阿部サダヲ）のわずかな余命、それを看取る決意をした青羽（小林聡美）、ふたりの運命は…。すべての物語は、この結末のためにあった。【演出】水田伸生  【プロデューサー】次屋尚【脚本】坂元裕二【音楽】三宅一徳【製作著作】日本テレビ  【制作協力】ザ・ワークス</t>
  </si>
  <si>
    <t>一片のニセ札を見つけられ、警察に連行された亜乃音のその後は…。悲しい嘘で別れを告げたハリカ（広瀬すず）と彦星（清水尋也）はこのまま悲恋に終わるのか…。ニセ札を持って逃亡を図った中世古（瑛太）の行方は…。持本（阿部サダヲ）のわずかな余命、それを看取る決意をした青羽（小林聡美）、ふたりの運命は…。すべての物語は、この結末のためにあった。</t>
  </si>
  <si>
    <t>1801_NTV_木23</t>
  </si>
  <si>
    <t>リピート</t>
  </si>
  <si>
    <t>番組名新木曜ドラマＦ「リピート～運命を変える１０か月～」</t>
  </si>
  <si>
    <t>篠崎鮎美…貫地谷しほり  毛利圭介…本郷奏多  天童太郎…ゴリ（ガレッジセール)  町田由子…島崎遥香  郷原俊樹…清水圭  高橋和彦…福田転球  坪井要…猪野広樹  久瀬一樹…松田悟志  横沢佐知子…手塚理美  大森知恵…安達祐実(特別出演)  風間…六角精児図書館司書の鮎美（貫地谷しほり）のもとに男から「１時間後に地震が起きる」と電話があった。悪戯かと思ったが予言通りに地震が起こる。男は「風間」（六角精児）と名乗り「未来から過去のある時点へと戻っているので未来に起きることを既に知っている」と言う。風間はこの時間旅行に鮎美をゲストとして誘う。そして、鮎美、圭介(本郷奏多)、天童(ゴリ)を含めた男女8人で10か月前へ遡る『リピート』の旅へ出る事になるが…【原作】  『リピート』（乾くるみ 著/文春文庫 刊)  【脚本】  泉澤陽子  【演出】  蔵方政俊  【音楽】  松本晃彦http://www.ytv.co.jp/repeat/  【番組公式Twitter】  @repeat_drama  【番組公式Instaglam】  @repeat_drama  【番組公式LINE ID】  @repeat_drama</t>
  </si>
  <si>
    <t>図書館司書の鮎美（貫地谷しほり）のもとに男から「１時間後に地震が起きる」と電話があった。悪戯かと思ったが予言通りに地震が起こる。男は「風間」（六角精児）と名乗り「未来から過去のある時点へと戻っているので未来に起きることを既に知っている」と言う。風間はこの時間旅行に鮎美をゲストとして誘う。そして、鮎美、圭介(本郷奏多)、天童(ゴリ)を含めた男女8人で10か月前へ遡る『リピート』の旅へ出る事になるが…</t>
  </si>
  <si>
    <t>番組名【大どんでん返し】木曜ドラマＦ「リピート～運命を変える１０か月～」第２話</t>
  </si>
  <si>
    <t>篠崎鮎美…貫地谷しほり  毛利圭介…本郷奏多  天童太郎…ゴリ（ガレッジセール)  町田由子…島崎遥香  郷原俊樹…清水圭  高橋和彦…福田転球  坪井要…猪野広樹  久瀬一樹…松田悟志  横沢佐知子…手塚理美  大森知恵…安達祐実(特別出演)  風間…六角精児第２話も、衝撃の大どんでん返し！リピートした仲間の１人が、直後に不慮の事故で亡くなった。それでも篠崎鮎美（貫地谷しほり）はリピートを利用して結婚話を順調に進め、毛利圭介（本郷奏多）も過去のトラブルを回避しようとしていた。そんな折、前の世界では起きていなかった出来事が次々と起こり始め、事態は思わぬ展開に…。「裏切り・壊された夢・束縛」、鮎美や圭介は、２度目の人生でも運命を変えることはできないのか?【原作】  『リピート』（乾くるみ 著/文春文庫 刊)  【脚本】  泉澤陽子  【演出】  蔵方政俊  【音楽】  松本晃彦  【主題歌】  「If ～また逢えたら～」DAY6(ワーナーミュージック・ジャパン)http://www.ytv.co.jp/repeat/  【番組公式Twitter】  @repeat_drama  【番組公式Instaglam】  @repeat_drama  【番組公式LINE ID】  @repeat_drama</t>
  </si>
  <si>
    <t>第２話も、衝撃の大どんでん返し！リピートした仲間の１人が、直後に不慮の事故で亡くなった。それでも篠崎鮎美（貫地谷しほり）はリピートを利用して結婚話を順調に進め、毛利圭介（本郷奏多）も過去のトラブルを回避しようとしていた。そんな折、前の世界では起きていなかった出来事が次々と起こり始め、事態は思わぬ展開に…。「裏切り・壊された夢・束縛」、鮎美や圭介は、２度目の人生でも運命を変えることはできないのか?</t>
  </si>
  <si>
    <t>番組名【大どんでん返し】木曜ドラマＦ「リピート～運命を変える１０か月～」第３話</t>
  </si>
  <si>
    <t>篠崎鮎美…貫地谷しほり  毛利圭介…本郷奏多  天童太郎…ゴリ（ガレッジセール)  町田由子…島崎遥香  郷原俊樹…清水圭  坪井要…猪野広樹  久瀬一樹…松田悟志  大森知恵…安達祐実(特別出演)  風間…六角精児    【第3話ゲスト】文香…ちすんリピート仲間の高橋と横沢が続けて亡くなった。２人の死を不審に思いつつも、篠崎鮎美（貫地谷しほり）と毛利圭介（本郷奏多）は、天童太郎（ゴリ）がリピートをした本当の理由を知って手伝おうとする。だが天童の願いが叶うと思った矢先、想定外の事件が起こる。一方、圭介の元彼女・由子（島崎遥香）のストーカー行為が激しさを増していく。圭介は別れたつもりだったが、圭介の動きを監視しようと由子が目論んだのは、衝撃の…。【原作】  『リピート』（乾くるみ 著/文春文庫 刊)  【脚本】  泉澤陽子  【演出】  片桐健滋  【音楽】  松本晃彦  【主題歌】  「If ～また逢えたら～」DAY6(ワーナーミュージック・ジャパン)http://www.ytv.co.jp/repeat/  【番組公式Twitter】  @repeat_drama  【番組公式Instaglam】  @repeat_drama  【番組公式LINE ID】  @repeat_drama</t>
  </si>
  <si>
    <t>ちすんリピート仲間の高橋と横沢が続けて亡くなった。２人の死を不審に思いつつも、篠崎鮎美（貫地谷しほり）と毛利圭介（本郷奏多）は、天童太郎（ゴリ）がリピートをした本当の理由を知って手伝おうとする。だが天童の願いが叶うと思った矢先、想定外の事件が起こる。一方、圭介の元彼女・由子（島崎遥香）のストーカー行為が激しさを増していく。圭介は別れたつもりだったが、圭介の動きを監視しようと由子が目論んだのは、衝撃の…。</t>
  </si>
  <si>
    <t>番組名【衝撃の４話】木曜ドラマＦ「リピート～運命を変える１０か月～」見えない敵</t>
  </si>
  <si>
    <t>篠崎鮎美…貫地谷しほり  毛利圭介…本郷奏多  天童太郎…ゴリ（ガレッジセール)  町田由子…島崎遥香  郷原俊樹…清水圭  坪井要…猪野広樹  大森知恵…安達祐実(特別出演)  風間…六角精児天童太郎（ゴリ）の息子の事故死は避けられたが、運命の皮肉なのか、別の少年が亡くなってしまう。ショックを受ける天童と篠崎鮎美（貫地谷しほり）に毛利圭介（本郷奏多）は「リピートは悪いことばかりじゃない」というが…。そんな折、リピート仲間の郷原（清水圭）と坪井（猪野広樹）が路上で揉めていて、その後思わぬ事件が発生する。一方、鮎美は図書館で勤務中、夏目漱石を勉強していると話す見知らぬ女子大生と出会う。【原作】  『リピート』（乾くるみ 著/文春文庫 刊)  【脚本】  森山あけみ  【演出】  片桐健滋  【音楽】  松本晃彦  【主題歌】  「If ～また逢えたら～」DAY6(ワーナーミュージック・ジャパン)http://www.ytv.co.jp/repeat/  【番組公式Twitter】  @repeat_drama  【番組公式Instaglam】  @repeat_drama  【番組公式LINE ID】  @repeat_drama</t>
  </si>
  <si>
    <t>天童太郎（ゴリ）の息子の事故死は避けられたが、運命の皮肉なのか、別の少年が亡くなってしまう。ショックを受ける天童と篠崎鮎美（貫地谷しほり）に毛利圭介（本郷奏多）は「リピートは悪いことばかりじゃない」というが…。そんな折、リピート仲間の郷原（清水圭）と坪井（猪野広樹）が路上で揉めていて、その後思わぬ事件が発生する。一方、鮎美は図書館で勤務中、夏目漱石を勉強していると話す見知らぬ女子大生と出会う。</t>
  </si>
  <si>
    <t>番組名木曜ドラマＦ「リピート～運命を変える１０か月～」【第５話…破滅への序章】</t>
  </si>
  <si>
    <t>篠崎鮎美…貫地谷しほり  毛利圭介…本郷奏多  天童太郎…ゴリ（ガレッジセール)  町田由子…島崎遥香  坪井要…猪野広樹  まひる…松尾薫  大森知恵…安達祐実(特別出演)  風間…六角精児篠崎鮎美（貫地谷しほり）が階段から突き落とされた。毛利圭介（本郷奏多）と天童太郎（ゴリ）はリピート仲間を狙った事件の犯人は坪井（猪野広樹）では？と疑っていた。坪井は死んだ郷原（清水圭）と言い争いの際「ネメシス」という謎の言葉を言い放っていて…。一方、由子（島崎遥香）は様々な方法で鮎美との距離を縮めていく。天童と大森（安達祐実）も急接近する出来事があり、リピート仲間それぞれの思惑が交錯していく…。【原作】  『リピート』（乾くるみ 著/文春文庫 刊)  【脚本】  泉澤陽子  【演出】  湯浅弘章  【音楽】  松本晃彦  【主題歌】  「If ～また逢えたら～」DAY6(ワーナーミュージック・ジャパン)http://www.ytv.co.jp/repeat/  【番組公式Twitter】  @repeat_drama  【番組公式Instaglam】  @repeat_drama  【番組公式LINE ID】  @repeat_drama</t>
  </si>
  <si>
    <t>篠崎鮎美（貫地谷しほり）が階段から突き落とされた。毛利圭介（本郷奏多）と天童太郎（ゴリ）はリピート仲間を狙った事件の犯人は坪井（猪野広樹）では？と疑っていた。坪井は死んだ郷原（清水圭）と言い争いの際「ネメシス」という謎の言葉を言い放っていて…。一方、由子（島崎遥香）は様々な方法で鮎美との距離を縮めていく。天童と大森（安達祐実）も急接近する出来事があり、リピート仲間それぞれの思惑が交錯していく…。</t>
  </si>
  <si>
    <t>番組名木曜ドラマＦ「リピート～運命を変える１０か月～」【暴かれる裏の顔…８話】</t>
  </si>
  <si>
    <t>篠崎鮎美…貫地谷しほり  毛利圭介…本郷奏多  天童太郎…ゴリ（ガレッジセール)  まひる…松尾薫  大森知恵…安達祐実(特別出演)由子（島崎遥香）の行方を探る興信所の男（清水伸）が、篠崎鮎美（貫地谷しほり）と毛利圭介（本郷奏多）の関係を詮索する。一方、坪井（猪野広樹）が殺され、リピート仲間が狙われた事件の犯人の見当がつかなくなる。圭介は天童太郎（ゴリ）の最近の言動から「裏の顔がある」と考え、大森（安達祐実）との関係も疑い出して、２人はぎくしゃくする。再びリピートすることを画策する天童は、ある日「犯人が分かった」と言い出して…【原作】  『リピート』（乾くるみ 著/文春文庫 刊)  【脚本】  泉澤陽子  【演出】  蔵方政俊  【音楽】  松本晃彦  【主題歌】  「If ～また逢えたら～」DAY6(ワーナーミュージック・ジャパン)http://www.ytv.co.jp/repeat/  【番組公式Twitter】  @repeat_drama  【番組公式Instaglam】  @repeat_drama  【番組公式LINE ID】  @repeat_drama</t>
  </si>
  <si>
    <t>由子（島崎遥香）の行方を探る興信所の男（清水伸）が、篠崎鮎美（貫地谷しほり）と毛利圭介（本郷奏多）の関係を詮索する。一方、坪井（猪野広樹）が殺され、リピート仲間が狙われた事件の犯人の見当がつかなくなる。圭介は天童太郎（ゴリ）の最近の言動から「裏の顔がある」と考え、大森（安達祐実）との関係も疑い出して、２人はぎくしゃくする。再びリピートすることを画策する天童は、ある日「犯人が分かった」と言い出して…</t>
  </si>
  <si>
    <t>番組名木曜ドラマＦ「リピート～運命を変える１０か月～」【第９話…衝撃の最終章】</t>
  </si>
  <si>
    <t>篠崎鮎美…貫地谷しほり  毛利圭介…本郷奏多  天童太郎…ゴリ（ガレッジセール)  坪井要…猪野広樹  まひる…松尾薫  寺山…チングポカ  大森知恵…安達祐実(特別出演)  風間…六角精児お腹に毛利圭介（本郷奏多）の子を宿した篠崎鮎美（貫地谷しほり）は、「もうリピートできない」と言うが、このままでは２人は警察に捕まりかねない。その頃、「一連の事件の犯人が分かった」と大森知恵（安達祐実）に告白した天童太郎（ゴリ）は思わぬ場所にいた。そして圭介も『犯人』に気付き、風間（六角精児）に会いに行く。「正解です！」謎が解けた圭介に、風間から告げられた衝撃の内容と、鮎美に迫る新たな危機とは一体?【原作】  『リピート』（乾くるみ 著/文春文庫 刊)  【脚本】  泉澤陽子  【演出】  湯浅弘章  【音楽】  松本晃彦  【主題歌】  「If ～また逢えたら～」DAY6(ワーナーミュージック・ジャパン)http://www.ytv.co.jp/repeat/  【番組公式Twitter】  @repeat_drama  【番組公式Instaglam】  @repeat_drama  【番組公式LINE ID】  @repeat_drama</t>
  </si>
  <si>
    <t>お腹に毛利圭介（本郷奏多）の子を宿した篠崎鮎美（貫地谷しほり）は、「もうリピートできない」と言うが、このままでは２人は警察に捕まりかねない。その頃、「一連の事件の犯人が分かった」と大森知恵（安達祐実）に告白した天童太郎（ゴリ）は思わぬ場所にいた。そして圭介も『犯人』に気付き、風間（六角精児）に会いに行く。「正解です！」謎が解けた圭介に、風間から告げられた衝撃の内容と、鮎美に迫る新たな危機とは一体?</t>
  </si>
  <si>
    <t>番組名リピート～運命を変える１０か月～【最終回】衝撃の大どんでん返しを見逃すな</t>
  </si>
  <si>
    <t>篠崎鮎美…貫地谷しほり  毛利圭介…本郷奏多  天童太郎…ゴリ（ガレッジセール)  まひる…松尾薫  風間…六角精児篠崎鮎美（貫地谷しほり）はトラックの事故で死ぬ運命だと風間（六角精児）は言う。その運命の時間が近づき、毛利圭介（本郷奏多）は鮎美を救おうと走り出す。一方、天童太郎（ゴリ）は「死んでしまった町田由子（島崎遥香）や仲間を救うために、もう一度リピートして、次を最後にしよう」と提案する。なんとか風間を出し抜き、２度目のリピートを画策する天童が「計画通りだ」というその方法と、衝撃の大どんでん返しの結末とは?【原作】  『リピート』（乾くるみ 著/文春文庫 刊)  【脚本】  泉澤陽子  【演出】  湯浅弘章  【音楽】  松本晃彦  【主題歌】  「If ～また逢えたら～」DAY6(ワーナーミュージック・ジャパン)http://www.ytv.co.jp/repeat/  【番組公式Twitter】  @repeat_drama  【番組公式Instagram】  @repeat_drama  【番組公式LINE ID】  @repeat_drama</t>
  </si>
  <si>
    <t>篠崎鮎美（貫地谷しほり）はトラックの事故で死ぬ運命だと風間（六角精児）は言う。その運命の時間が近づき、毛利圭介（本郷奏多）は鮎美を救おうと走り出す。一方、天童太郎（ゴリ）は「死んでしまった町田由子（島崎遥香）や仲間を救うために、もう一度リピートして、次を最後にしよう」と提案する。なんとか風間を出し抜き、２度目のリピートを画策する天童が「計画通りだ」というその方法と、衝撃の大どんでん返しの結末とは?</t>
  </si>
  <si>
    <t>1801_NTV_土22</t>
  </si>
  <si>
    <t>もみ消して冬</t>
  </si>
  <si>
    <t>番組名もみ消して冬～わが家の問題なかったことに～#01</t>
  </si>
  <si>
    <t>山田涼介、波瑠、小澤征悦、小瀧望（ジャニーズWEST)、恒松祐里、児嶋一哉、千葉雄大、浅野和之、中村梅雀エリート警察官の北沢秀作(山田涼介)は、敏腕弁護士の姉、知晶(波瑠)と、天才外科医の兄、博文(小澤征悦) 、私立中の学園長である父、泰蔵(中村梅雀)に、名家の一員としてプレッシャーをかけられ、ちょっとしんどい人生を送ってきた。そんな中、泰蔵が好きになった女性に裸の写真を撮られ、金を要求された。博文と知晶は職業倫理に反してでも何とかしようと奔走。秀作は「家族を守りたいが法律は犯せない」と葛藤し…【演出】中島悟 ほか【脚本】金子茂樹【音楽】ワンミュージック  【主題歌】「マエヲムケ」Hey!Say!JUMP(ジェイ・ストーム)【プロデューサー】櫨山裕子、秋元孝之  【制作協力】オフィスクレッシェンド  【製作著作】日本テレビ</t>
  </si>
  <si>
    <t>エリート警察官の北沢秀作(山田涼介)は、敏腕弁護士の姉、知晶(波瑠)と、天才外科医の兄、博文(小澤征悦) 、私立中の学園長である父、泰蔵(中村梅雀)に、名家の一員としてプレッシャーをかけられ、ちょっとしんどい人生を送ってきた。そんな中、泰蔵が好きになった女性に裸の写真を撮られ、金を要求された。博文と知晶は職業倫理に反してでも何とかしようと奔走。秀作は「家族を守りたいが法律は犯せない」と葛藤し…</t>
  </si>
  <si>
    <t>番組名もみ消して冬～わが家の問題なかったことに～#02</t>
  </si>
  <si>
    <t>山田涼介、波瑠、小澤征悦、小瀧望（ジャニーズWEST)、恒松祐里、児嶋一哉、千葉雄大、浅野和之、中村梅雀博文(小澤征悦)が血と泥にまみれて帰ってきた。浜野谷院長(柴俊夫)の愛犬ジョンを逃してしまい、探し回っていたという。72時間以内に見つけないとクビと宣告された大ピンチの博文は、そっくりな犬を探すという知晶（波瑠）の無謀な提案にのる。賛成できない秀作（山田涼介）を外して作戦は着々と進むが、楠木(千葉雄大)が活躍し、知晶に頼られていくのを見た秀作は、北沢家での自分の立ち位置が脅かされる危機を感じて…【演出】中島悟 ほか【脚本】金子茂樹【音楽】ワンミュージック  【主題歌】「マエヲムケ」Hey!Say!JUMP(ジェイ・ストーム)【プロデューサー】櫨山裕子、秋元孝之  【制作協力】オフィスクレッシェンド  【製作著作】日本テレビ</t>
  </si>
  <si>
    <t>博文(小澤征悦)が血と泥にまみれて帰ってきた。浜野谷院長(柴俊夫)の愛犬ジョンを逃してしまい、探し回っていたという。72時間以内に見つけないとクビと宣告された大ピンチの博文は、そっくりな犬を探すという知晶（波瑠）の無謀な提案にのる。賛成できない秀作（山田涼介）を外して作戦は着々と進むが、楠木(千葉雄大)が活躍し、知晶に頼られていくのを見た秀作は、北沢家での自分の立ち位置が脅かされる危機を感じて…</t>
  </si>
  <si>
    <t>番組名もみ消して冬～わが家の問題なかったことに～#03</t>
  </si>
  <si>
    <t>山田涼介、波瑠、小澤征悦、小瀧望（ジャニーズWEST)、恒松祐里、児嶋一哉、千葉雄大、浅野和之、中村梅雀ベテラン執事の小岩井(浅野和之)が、自殺しようとしていたところを保護された。小岩井はメイド喫茶にハマっていたらしく、北沢家の名誉を傷つけるのは契約違反だと辞めさせようとする泰蔵(中村梅雀)たち。退職願いを差し出す小岩井を引きとめる秀作（山田涼介）。そんな中、知晶（波瑠）が小岩井の娘（桜井日奈子）がメイド喫茶で働いている事を突き止める。一方、小岩井はすでに新しい職場で働き始めていて…【演出】丸谷俊平【脚本】金子茂樹【音楽】ワンミュージック  【主題歌】「マエヲムケ」Hey!Say!JUMP(ジェイ・ストーム)【プロデューサー】櫨山裕子、秋元孝之  【制作協力】オフィスクレッシェンド  【製作著作】日本テレビ【公式HP】 http://www.ntv.co.jp/momifuyu/  【公式Twitter】https://twitter.com/momikesi_ntv</t>
  </si>
  <si>
    <t>ベテラン執事の小岩井(浅野和之)が、自殺しようとしていたところを保護された。小岩井はメイド喫茶にハマっていたらしく、北沢家の名誉を傷つけるのは契約違反だと辞めさせようとする泰蔵(中村梅雀)たち。退職願いを差し出す小岩井を引きとめる秀作（山田涼介）。そんな中、知晶（波瑠）が小岩井の娘（桜井日奈子）がメイド喫茶で働いている事を突き止める。一方、小岩井はすでに新しい職場で働き始めていて…</t>
  </si>
  <si>
    <t>番組名もみ消して冬～わが家の問題なかったことに～#04</t>
  </si>
  <si>
    <t>山田涼介、波瑠、小澤征悦、小瀧望（ジャニーズWEST)、恒松祐里、児嶋一哉、千葉雄大、浅野和之、中村梅雀知晶（波瑠）が泰蔵（中村梅雀）の持ってきた見合い話を断り、今、気になっている人がいると宣言。  そんな矢先、楠木（千葉雄大）の背中に鯉の入れ墨を目撃した秀作（山田涼介）は、楠木を問いつめると、知晶にキスをされたという衝撃の告白をする。  知晶の恋を応援しようと思う秀作だが、見合い相手の角居（駿河太郎）が北沢学園に関係する重要人物の為、何としても結婚させろと泰蔵たちに追い詰められ、ある作戦に出る…【演出】中島 悟【脚本】金子茂樹【音楽】ワンミュージック  【主題歌】「マエヲムケ」Hey!Say!JUMP(ジェイ・ストーム)【プロデューサー】櫨山裕子、秋元孝之  【制作協力】オフィスクレッシェンド  【製作著作】日本テレビ【公式HP】 http://www.ntv.co.jp/momifuyu/  【公式Twitter】https://twitter.com/momikesi_ntv</t>
  </si>
  <si>
    <t>知晶（波瑠）が泰蔵（中村梅雀）の持ってきた見合い話を断り、今、気になっている人がいると宣言。  そんな矢先、楠木（千葉雄大）の背中に鯉の入れ墨を目撃した秀作（山田涼介）は、楠木を問いつめると、知晶にキスをされたという衝撃の告白をする。  知晶の恋を応援しようと思う秀作だが、見合い相手の角居（駿河太郎）が北沢学園に関係する重要人物の為、何としても結婚させろと泰蔵たちに追い詰められ、ある作戦に出る…</t>
  </si>
  <si>
    <t>番組名もみ消して冬～わが家の問題なかったことに～#05</t>
  </si>
  <si>
    <t>山田涼介、波瑠、小澤征悦、小瀧望（ジャニーズWEST)、恒松祐里、児嶋一哉、千葉雄大、浅野和之、中村梅雀秀作（山田涼介）は里子（恒松祐里）と結婚する気の博文（小澤征悦）に、彼女のことを前から好きだったと打ち明けるが、博文は引き下がるどころか「争うだけ無駄」とあしらう。激怒した秀作は、今度ばかりは勝ってみせると宣戦布告するのだった。  一方、楠木(千葉雄大)に見せるためのキスを知晶(波瑠)からされた尾関(小瀧望)は、知晶を好きになってしまったらしく、秀作に例え話を持ち掛ける。【演出】丸谷俊平【脚本】金子茂樹【音楽】ワンミュージック  【主題歌】「マエヲムケ」Hey!Say!JUMP(ジェイ・ストーム)【プロデューサー】櫨山裕子、秋元孝之  【制作協力】オフィスクレッシェンド  【製作著作】日本テレビ【公式HP】 http://www.ntv.co.jp/momifuyu/  【公式Twitter】https://twitter.com/momikesi_ntv</t>
  </si>
  <si>
    <t>秀作（山田涼介）は里子（恒松祐里）と結婚する気の博文（小澤征悦）に、彼女のことを前から好きだったと打ち明けるが、博文は引き下がるどころか「争うだけ無駄」とあしらう。激怒した秀作は、今度ばかりは勝ってみせると宣戦布告するのだった。  一方、楠木(千葉雄大)に見せるためのキスを知晶(波瑠)からされた尾関(小瀧望)は、知晶を好きになってしまったらしく、秀作に例え話を持ち掛ける。</t>
  </si>
  <si>
    <t>番組名もみ消して冬～わが家の問題なかったことに～#06</t>
  </si>
  <si>
    <t>山田涼介、波瑠、小澤征悦、小瀧望（ジャニーズWEST)、恒松祐里、児嶋一哉、千葉雄大、浅野和之、中村梅雀泰蔵(中村梅雀)が何者かに睡眠薬を飲まされ病院に運ばれた。その夜大学時代の社交ダンス部の同窓会に行っていた事から、犯人はその中にいると北沢家では断定。秀作(山田涼介)達は、5人の女性を北沢家に呼んで取り調べするが、その中でひと際犯人のオーラを放つこずえ(山村紅葉)が怪しいとにらむ秀作。さらに別の薬物が検出され、事態は殺人未遂事件へと変わっていく。秀作と知晶（波瑠）の推理対決が繰り広げられてゆくがー【演出】中島悟【脚本】金子茂樹【音楽】ワンミュージック  【主題歌】「マエヲムケ」Hey!Say!JUMP(ジェイ・ストーム)【プロデューサー】櫨山裕子、秋元孝之  【制作協力】オフィスクレッシェンド  【製作著作】日本テレビ【公式HP】 http://www.ntv.co.jp/momifuyu/  【公式Twitter】https://twitter.com/momikesi_ntv</t>
  </si>
  <si>
    <t>泰蔵(中村梅雀)が何者かに睡眠薬を飲まされ病院に運ばれた。その夜大学時代の社交ダンス部の同窓会に行っていた事から、犯人はその中にいると北沢家では断定。秀作(山田涼介)達は、5人の女性を北沢家に呼んで取り調べするが、その中でひと際犯人のオーラを放つこずえ(山村紅葉)が怪しいとにらむ秀作。さらに別の薬物が検出され、事態は殺人未遂事件へと変わっていく。秀作と知晶（波瑠）の推理対決が繰り広げられてゆくがー</t>
  </si>
  <si>
    <t>番組名もみ消して冬～わが家の問題なかったことに～#07</t>
  </si>
  <si>
    <t>山田涼介、波瑠、小澤征悦、小瀧望（ジャニーズWEST)、恒松祐里、児嶋一哉、千葉雄大、浅野和之、中村梅雀善財(竹森千人)が倒れているのを発見した博文(小澤征悦)。ところが犯行動機や指紋から博文が襲ったのではと警察に疑われ、さらに人望のなさが明るみに。出世も遠ざかり、博文は人生初の挫折を味わう。一方、男らしくない態度を里子（恒松祐里）に責められフラれた秀作(山田涼介)は、不幸な秀作なら博文を勇気づけられると知晶(波瑠)から励まし役を命じられる。そんな中、手毛綱（児嶋一哉）がある情報を持ってくる。【演出】丸谷俊平【脚本】金子茂樹【音楽】ワンミュージック  【主題歌】「マエヲムケ」Hey!Say!JUMP(ジェイ・ストーム)【プロデューサー】櫨山裕子、秋元孝之  【制作協力】オフィスクレッシェンド  【製作著作】日本テレビ【公式HP】 http://www.ntv.co.jp/momifuyu/  【公式Twitter】https://twitter.com/momikesi_ntv</t>
  </si>
  <si>
    <t>善財(竹森千人)が倒れているのを発見した博文(小澤征悦)。ところが犯行動機や指紋から博文が襲ったのではと警察に疑われ、さらに人望のなさが明るみに。出世も遠ざかり、博文は人生初の挫折を味わう。一方、男らしくない態度を里子（恒松祐里）に責められフラれた秀作(山田涼介)は、不幸な秀作なら博文を勇気づけられると知晶(波瑠)から励まし役を命じられる。そんな中、手毛綱（児嶋一哉）がある情報を持ってくる。</t>
  </si>
  <si>
    <t>番組名もみ消して冬～わが家の問題なかったことに～#08</t>
  </si>
  <si>
    <t>山田涼介、波瑠、小澤征悦、小瀧望（ジャニーズWEST)、恒松祐里、児嶋一哉、千葉雄大、浅野和之、中村梅雀秀作(山田涼介)は、里子(恒松祐里)を北沢家へ招待して泰蔵(中村梅雀)に紹介することに。その晩、不在のはずの知晶(波瑠)が早々に帰宅。遅くなる予定だった博文(小澤征悦)も、尾関(小瀧望)と手毛綱(児嶋一哉)を引き連れて帰ってきた。嫌な予感しかしない秀作をよそに、リビングでは知晶にキスをした尾関の公開裁判が開かれる。そんな中、里子の靴が玄関から消えていることに気付く秀作。犯人捜しを始めるが…。【演出】中島悟【脚本】金子茂樹【音楽】ワンミュージック  【主題歌】「マエヲムケ」Hey!Say!JUMP(ジェイ・ストーム)【プロデューサー】櫨山裕子、秋元孝之  【制作協力】オフィスクレッシェンド  【製作著作】日本テレビ【公式HP】 http://www.ntv.co.jp/momifuyu/  【公式Twitter】https://twitter.com/momikesi_ntv</t>
  </si>
  <si>
    <t>秀作(山田涼介)は、里子(恒松祐里)を北沢家へ招待して泰蔵(中村梅雀)に紹介することに。その晩、不在のはずの知晶(波瑠)が早々に帰宅。遅くなる予定だった博文(小澤征悦)も、尾関(小瀧望)と手毛綱(児嶋一哉)を引き連れて帰ってきた。嫌な予感しかしない秀作をよそに、リビングでは知晶にキスをした尾関の公開裁判が開かれる。そんな中、里子の靴が玄関から消えていることに気付く秀作。犯人捜しを始めるが…。</t>
  </si>
  <si>
    <t>番組名もみ消して冬～わが家の問題なかったことに～#09</t>
  </si>
  <si>
    <t>山田涼介、波瑠、小澤征悦、小瀧望（ジャニーズWEST)、恒松祐里、児嶋一哉、千葉雄大、浅野和之、中村梅雀  加藤諒秀作（山田涼介）は里子(恒松祐里)の後をつけていたストーカーを捕まえたが、その男、吉田邦夫(加藤諒)の目的は秀作だった。理由を聞くと衝撃の事実を口にする。「ボクたち、赤ちゃんの時に取り違えられたんです」  秀作は、このことを家族に打ち明けるが、知晶(波瑠)と博文(小澤征悦)の反応は薄く、弟に辛くあたってしまう理由がわかってスッキリした様子。  やがて、一週間だけ二人を入れ替えて生活することが決まり…。【演出】丸谷俊平【脚本】金子茂樹【音楽】ワンミュージック  【主題歌】「マエヲムケ」Hey!Say!JUMP(ジェイ・ストーム)【プロデューサー】櫨山裕子、秋元孝之  【制作協力】オフィスクレッシェンド  【製作著作】日本テレビ【公式HP】 http://www.ntv.co.jp/momifuyu/  【公式Twitter】https://twitter.com/momikesi_ntv</t>
  </si>
  <si>
    <t>秀作（山田涼介）は里子(恒松祐里)の後をつけていたストーカーを捕まえたが、その男、吉田邦夫(加藤諒)の目的は秀作だった。理由を聞くと衝撃の事実を口にする。「ボクたち、赤ちゃんの時に取り違えられたんです」  秀作は、このことを家族に打ち明けるが、知晶(波瑠)と博文(小澤征悦)の反応は薄く、弟に辛くあたってしまう理由がわかってスッキリした様子。  やがて、一週間だけ二人を入れ替えて生活することが決まり…。</t>
  </si>
  <si>
    <t>番組名もみ消して冬～わが家の問題なかったことに～#10</t>
  </si>
  <si>
    <t>山田涼介、波瑠、小澤征悦、小瀧望（ジャニーズWEST)、恒松祐里、児嶋一哉、千葉雄大、浅野和之、中村梅雀  加藤諒秀作(山田涼介)と邦夫(加藤諒)の入れ替わり生活は続き、秀作は些細な事で感謝を口にしてくれる吉田家で、幸せをかみしめていた。  納得できない尾関(小瀧望)は、秀作を説得するが、しょせん知晶(波瑠)へのポイント稼ぎだと相手にされない。  そんな中、またもや北沢家にもみ消しが必要な事件が起こる。楠木(千葉雄大)からそのことを知らされた秀作は、もう北沢家の人間ではないからと聞き流すが、あることに気づき…【演出】中島悟【脚本】金子茂樹【音楽】ワンミュージック  【主題歌】「マエヲムケ」Hey!Say!JUMP(ジェイ・ストーム)【プロデューサー】櫨山裕子、秋元孝之  【制作協力】オフィスクレッシェンド  【製作著作】日本テレビ【公式HP】 http://www.ntv.co.jp/momifuyu/  【公式Twitter】https://twitter.com/momikesi_ntv</t>
  </si>
  <si>
    <t>秀作(山田涼介)と邦夫(加藤諒)の入れ替わり生活は続き、秀作は些細な事で感謝を口にしてくれる吉田家で、幸せをかみしめていた。  納得できない尾関(小瀧望)は、秀作を説得するが、しょせん知晶(波瑠)へのポイント稼ぎだと相手にされない。  そんな中、またもや北沢家にもみ消しが必要な事件が起こる。楠木(千葉雄大)からそのことを知らされた秀作は、もう北沢家の人間ではないからと聞き流すが、あることに気づき…</t>
  </si>
  <si>
    <t>1801_NTV_日22</t>
  </si>
  <si>
    <t>トドメの接吻</t>
  </si>
  <si>
    <t>番組名トドメの接吻#01</t>
  </si>
  <si>
    <t>山崎賢人、門脇麦、新田真剣佑、新木優子、佐野勇斗、  宮沢氷魚、堀田茜、唐田えりか、山本亜依 / 志尊淳  光石研、奥貫薫、岡田義徳、弓削智久、山田明郷、高橋ひとみ、小市慢太郎、菅田将暉No.1ホスト「エイト」こと堂島旺太郎（山崎賢人）は、金と権力のために女を弄んでいる男。自身の成り上がりのために個人資産100億円のホテル王・並樹(なみき)グループの令嬢・美尊（新木優子）に狙いを定めるが、突然現れた真っ赤なルージュの女（門脇麦）に唇を奪われ、そのまま命を落としてしまう。が、目を覚ました旺太郎の前に広がるのはなんと７日前と全く同じ光景だった…。大注目のタイムリープ・ラブサスペンス!【演出】菅原伸太郎、明石広人【脚本】いずみ吉紘【主題歌】菅田将暉「さよならエレジー」(EPICレコードジャパン)  【音楽】Ken Arai【プロデューサー】鈴木亜希乃、渡邉浩仁、岡宅真由美  【製作著作】日本テレビ  【制作協力】AXON</t>
  </si>
  <si>
    <t>No.1ホスト「エイト」こと堂島旺太郎（山崎賢人）は、金と権力のために女を弄んでいる男。自身の成り上がりのために個人資産100億円のホテル王・並樹(なみき)グループの令嬢・美尊（新木優子）に狙いを定めるが、突然現れた真っ赤なルージュの女（門脇麦）に唇を奪われ、そのまま命を落としてしまう。が、目を覚ました旺太郎の前に広がるのはなんと７日前と全く同じ光景だった…。大注目のタイムリープ・ラブサスペンス!</t>
  </si>
  <si>
    <t>番組名トドメの接吻#02</t>
  </si>
  <si>
    <t>山崎賢人、門脇麦、新田真剣佑、新木優子、佐野勇斗、  宮沢氷魚、堀田茜、唐田えりか、山本亜依 / 志尊淳  光石研、奥貫薫、岡田義徳、弓削智久、山田明郷、高橋ひとみ、小市慢太郎、菅田将暉バックヤードで旺太郎の栄養ドリンクを飲んだ同僚ホストが倒れ、旺太郎はロッカーから毒物が見つかったことで容疑者に…。心配する和馬（志尊淳）の助けで警察署から逃げ出したところに、なんとキス女（門脇麦）から呼び出しの電話がかかってくる。警戒しつつ待ち合わせ場所に向かった旺太郎は、突然背中を包丁で刺され…!!大注目のタイムリープ・ラブサスペンス!【演出】菅原伸太郎、明石広人【脚本】いずみ吉紘【主題歌】菅田将暉「さよならエレジー」(EPICレコードジャパン)  【音楽】Ken Arai【プロデューサー】鈴木亜希乃、渡邉浩仁、岡宅真由美  【製作著作】日本テレビ  【制作協力】AXON</t>
  </si>
  <si>
    <t>バックヤードで旺太郎の栄養ドリンクを飲んだ同僚ホストが倒れ、旺太郎はロッカーから毒物が見つかったことで容疑者に…。心配する和馬（志尊淳）の助けで警察署から逃げ出したところに、なんとキス女（門脇麦）から呼び出しの電話がかかってくる。警戒しつつ待ち合わせ場所に向かった旺太郎は、突然背中を包丁で刺され…!!大注目のタイムリープ・ラブサスペンス!</t>
  </si>
  <si>
    <t>番組名トドメの接吻#03</t>
  </si>
  <si>
    <t>山崎賢人、門脇麦、新田真剣佑、新木優子、佐野勇斗、  宮沢氷魚、堀田茜、唐田えりか、山本亜依 / 志尊淳  光石研、奥貫薫、岡田義徳、弓削智久、山田明郷、高橋ひとみ、小市慢太郎、菅田将暉旺太郎（山崎賢人）への異常な愛情からストーカーとなっていた和馬（志尊淳）に刺された旺太郎は、なんとか一命を取り留めるも負傷を負う。  そして旺太郎に冷たくされ逆上した和馬が美尊（新木優子）を襲い、顔に大怪我を負わせる。美尊の母から責められ、並樹家に近づく術を失った旺太郎は宰子（門脇麦）の自宅を突き止め、過去に戻るため、戸惑う宰子にキスを迫る！【演出】菅原伸太郎、明石広人【脚本】いずみ吉紘【主題歌】菅田将暉「さよならエレジー」(EPICレコードジャパン)  【音楽】Ken Arai【プロデューサー】鈴木亜希乃、渡邉浩仁、岡宅真由美  【製作著作】日本テレビ  【制作協力】AXON</t>
  </si>
  <si>
    <t>旺太郎（山崎賢人）への異常な愛情からストーカーとなっていた和馬（志尊淳）に刺された旺太郎は、なんとか一命を取り留めるも負傷を負う。  そして旺太郎に冷たくされ逆上した和馬が美尊（新木優子）を襲い、顔に大怪我を負わせる。美尊の母から責められ、並樹家に近づく術を失った旺太郎は宰子（門脇麦）の自宅を突き止め、過去に戻るため、戸惑う宰子にキスを迫る！</t>
  </si>
  <si>
    <t>番組名トドメの接吻#04</t>
  </si>
  <si>
    <t>山崎賢人、門脇麦、新田真剣佑、新木優子、佐野勇斗、  宮沢氷魚、堀田茜、唐田えりか、山本亜依   弓削智久、山田明郷、高橋ひとみ、小市慢太郎、菅田将暉養子であるために並樹グループの後継を任されない尊氏（新田真剣佑）の前に、副社長の座を狙う尊氏の叔父・郡次（小市慢太郎）は１２年前の沈没事故のある証拠をちらつかせ、養子を解消して妹の美尊（新木優子）と結婚し後継者となるようプレッシャーをかける。一方、尊氏と美尊の婚約話を知った旺太郎（山崎賢人）は時間を戻してやり直すため、自分を避ける宰子（門脇麦）にキスされようと命がけの作戦を決行する!【演出】明石広人【脚本】いずみ吉紘【主題歌】菅田将暉「さよならエレジー」(EPICレコードジャパン)  【音楽】Ken Arai【プロデューサー】鈴木亜希乃、渡邉浩仁、岡宅真由美  【製作著作】日本テレビ  【制作協力】AXON</t>
  </si>
  <si>
    <t>養子であるために並樹グループの後継を任されない尊氏（新田真剣佑）の前に、副社長の座を狙う尊氏の叔父・郡次（小市慢太郎）は１２年前の沈没事故のある証拠をちらつかせ、養子を解消して妹の美尊（新木優子）と結婚し後継者となるようプレッシャーをかける。一方、尊氏と美尊の婚約話を知った旺太郎（山崎賢人）は時間を戻してやり直すため、自分を避ける宰子（門脇麦）にキスされようと命がけの作戦を決行する!</t>
  </si>
  <si>
    <t>番組名トドメの接吻#05</t>
  </si>
  <si>
    <t>山崎賢人、門脇麦、新田真剣佑、新木優子、佐野勇斗、  宮沢氷魚、堀田茜、唐田えりか、山本亜依   弓削智久、山田明郷、高橋ひとみ、奥貫薫、小市慢太郎、菅田将暉宰子（門脇麦）からのキスで想定外のタイムリープをした旺太郎（山崎賢人）を待っていたのは、社長の座を狙う尊氏（新田真剣佑）があえて病床の父を助けず、それにより美尊（新木優子）を奪うという不都合な状況だった。それを逆転しようという作戦の途中、母・光代（奥貫薫）が転倒して意識不明の状態だという連絡が。直前に母に冷たい言葉をかけてしまった旺太郎の心は揺れるが、運命を変えるチャンスを前に彼が選ぶ道とは…!?【演出】菅原伸太郎【脚本】いずみ吉紘【主題歌】菅田将暉「さよならエレジー」(EPICレコードジャパン)  【音楽】Ken Arai【プロデューサー】鈴木亜希乃、渡邉浩仁、岡宅真由美  【製作著作】日本テレビ  【制作協力】AXON</t>
  </si>
  <si>
    <t>宰子（門脇麦）からのキスで想定外のタイムリープをした旺太郎（山崎賢人）を待っていたのは、社長の座を狙う尊氏（新田真剣佑）があえて病床の父を助けず、それにより美尊（新木優子）を奪うという不都合な状況だった。それを逆転しようという作戦の途中、母・光代（奥貫薫）が転倒して意識不明の状態だという連絡が。直前に母に冷たい言葉をかけてしまった旺太郎の心は揺れるが、運命を変えるチャンスを前に彼が選ぶ道とは…!?</t>
  </si>
  <si>
    <t>番組名トドメの接吻#06</t>
  </si>
  <si>
    <t>山崎賢人、門脇麦、新田真剣佑、新木優子、佐野勇斗、  宮沢氷魚、堀田茜、唐田えりか、山本亜依   岡田義徳、弓削智久、高橋ひとみ、小市慢太郎、菅田将暉沈没事故の証拠のビデオテープを真犯人の尊氏（新田真剣佑）に燃やされてしまった旺太郎（山崎賢人）だが、美尊（新木優子）の心を掴み尊氏と美尊の婚約披露パーティーの場で派手にキスを交わす。  さらにクルーズ会社を営む長谷部（佐野勇斗）の父が尊氏の罪のもみ消しに協力していたという新情報で旺太郎は長谷部を脅迫し、ビデオテープのコピーを探させる。しかし旺太郎を待っていたのは長谷部が亡くなったというニュースで…【演出】明石広人【脚本】いずみ吉紘【主題歌】菅田将暉「さよならエレジー」(EPICレコードジャパン)  【音楽】Ken Arai【プロデューサー】鈴木亜希乃、渡邉浩仁、岡宅真由美  【製作著作】日本テレビ  【制作協力】AXON</t>
  </si>
  <si>
    <t>沈没事故の証拠のビデオテープを真犯人の尊氏（新田真剣佑）に燃やされてしまった旺太郎（山崎賢人）だが、美尊（新木優子）の心を掴み尊氏と美尊の婚約披露パーティーの場で派手にキスを交わす。  さらにクルーズ会社を営む長谷部（佐野勇斗）の父が尊氏の罪のもみ消しに協力していたという新情報で旺太郎は長谷部を脅迫し、ビデオテープのコピーを探させる。しかし旺太郎を待っていたのは長谷部が亡くなったというニュースで…</t>
  </si>
  <si>
    <t>番組名トドメの接吻#07</t>
  </si>
  <si>
    <t>山崎賢人、門脇麦、新田真剣佑、新木優子、佐野勇斗、  宮沢氷魚、堀田茜、唐田えりか、山本亜依   光石研、奥貫薫、岡田義徳、弓削智久、高橋ひとみ、小市慢太郎、菅田将暉覆面の男に襲われた旺太郎（山崎賢人）は、時間を戻そうと必死にキスする宰子（門脇麦）の努力も虚しく、すでに息絶えていて…!!旺太郎の突然の死に取り乱す美尊（新木優子）は、事件の黒幕が尊氏（新田真剣佑）だと疑う長谷部（佐野勇斗）を尊氏が暴力で黙らせようとしている現場を目撃。そんな中、宰子は12年前の事故で旺太郎の弟を犠牲にして生き残ってしまった償いとして、旺太郎のためにある危険な計画を実行し…。【演出】菅原伸太郎【脚本】いずみ吉紘【主題歌】菅田将暉「さよならエレジー」(EPICレコードジャパン)  【音楽】Ken Arai【プロデューサー】鈴木亜希乃、渡邉浩仁、岡宅真由美  【製作著作】日本テレビ  【制作協力】AXON</t>
  </si>
  <si>
    <t>覆面の男に襲われた旺太郎（山崎賢人）は、時間を戻そうと必死にキスする宰子（門脇麦）の努力も虚しく、すでに息絶えていて…!!旺太郎の突然の死に取り乱す美尊（新木優子）は、事件の黒幕が尊氏（新田真剣佑）だと疑う長谷部（佐野勇斗）を尊氏が暴力で黙らせようとしている現場を目撃。そんな中、宰子は12年前の事故で旺太郎の弟を犠牲にして生き残ってしまった償いとして、旺太郎のためにある危険な計画を実行し…。</t>
  </si>
  <si>
    <t>番組名トドメの接吻#08</t>
  </si>
  <si>
    <t>山崎賢人、門脇麦、新田真剣佑、新木優子、佐野勇斗、  宮沢氷魚、堀田茜、唐田えりか、山本亜依   光石研、奥貫薫、高橋ひとみ、小市慢太郎、菅田将暉宰子（門脇麦）の健気な決心を知り思わず抱きしめた所を美尊（新木優子）に見られた旺太郎（山崎賢人）は、咄嗟に宰子を面倒を見ている遠い親戚だと紹介。タイムリープを夢だと思い込む美尊は夢でキスした宰子が実在することに驚くも、旺太郎に結婚を前提に付き合いたいと告白。一方、春海（菅田将暉）から宰子の正体をほのめかされた尊氏（新田真剣佑）は、美尊と旺太郎の交際を応援するふりをして、旺太郎と宰子を並樹家に招く。【演出】菅原伸太郎【脚本】いずみ吉紘【主題歌】菅田将暉「さよならエレジー」(EPICレコードジャパン)  【音楽】Ken Arai【プロデューサー】鈴木亜希乃、渡邉浩仁、岡宅真由美  【製作著作】日本テレビ  【制作協力】AXON</t>
  </si>
  <si>
    <t>宰子（門脇麦）の健気な決心を知り思わず抱きしめた所を美尊（新木優子）に見られた旺太郎（山崎賢人）は、咄嗟に宰子を面倒を見ている遠い親戚だと紹介。タイムリープを夢だと思い込む美尊は夢でキスした宰子が実在することに驚くも、旺太郎に結婚を前提に付き合いたいと告白。一方、春海（菅田将暉）から宰子の正体をほのめかされた尊氏（新田真剣佑）は、美尊と旺太郎の交際を応援するふりをして、旺太郎と宰子を並樹家に招く。</t>
  </si>
  <si>
    <t>番組名トドメの接吻#09</t>
  </si>
  <si>
    <t>山崎賢人、門脇麦、新田真剣佑、新木優子、佐野勇斗、  宮沢氷魚、堀田茜、唐田えりか、山本亜依 、志尊淳、  高橋ひとみ、小市慢太郎、菅田将暉旺太郎（山崎賢人）の秘密を暴こうとする尊氏（新田真剣佑）が宰子（門脇麦）を拉致。宰子の身を案じながらも、旺太郎は美尊（新木優子）の旅行の誘いを断るわけにいかず…その道中で尊氏から呼び出された旺太郎は美尊を残し指定された工場へ。宰子を人質にタイムリープの秘密に迫ろうとする尊氏だが、旺太郎は美尊から愛されない尊氏を挑発！逆上した尊氏は旺太郎を殺そうと首を絞めるが、そこには予想外の罠が仕掛けてあって…！【演出】明石広人【脚本】いずみ吉紘【主題歌】菅田将暉「さよならエレジー」(EPICレコードジャパン)  【音楽】Ken Arai【プロデューサー】鈴木亜希乃、渡邉浩仁、岡宅真由美  【製作著作】日本テレビ  【制作協力】AXON</t>
  </si>
  <si>
    <t>旺太郎（山崎賢人）の秘密を暴こうとする尊氏（新田真剣佑）が宰子（門脇麦）を拉致。宰子の身を案じながらも、旺太郎は美尊（新木優子）の旅行の誘いを断るわけにいかず…その道中で尊氏から呼び出された旺太郎は美尊を残し指定された工場へ。宰子を人質にタイムリープの秘密に迫ろうとする尊氏だが、旺太郎は美尊から愛されない尊氏を挑発！逆上した尊氏は旺太郎を殺そうと首を絞めるが、そこには予想外の罠が仕掛けてあって…！</t>
  </si>
  <si>
    <t>番組名トドメの接吻#10</t>
  </si>
  <si>
    <t>山崎賢人、門脇麦、新田真剣佑、新木優子、佐野勇斗、  宮沢氷魚、堀田茜、唐田えりか、山本亜依 、志尊淳、  岡田義徳、弓削智久、高橋ひとみ、小市慢太郎、菅田将暉死んでしまった宰子（門脇麦）のために美尊（新木優子）を愛して幸せになると誓う旺太郎（山崎賢人）は、入籍と入社の準備を着々と進める。そんな中、旺太郎の部屋に現れた和馬（志尊淳）は、愛を否定し続けてきた旺太郎が宰子を失い苦しむ様子を笑い、旺太郎は初めて自分の宰子に対する愛を自覚する。そんな彼の前に現れたのは春海（菅田将暉）。宰子とキスをしてもタイムリープしなかった春海の衝撃の正体がついに明らかに…!!【演出】菅原伸太郎【脚本】いずみ吉紘【主題歌】菅田将暉「さよならエレジー」(EPICレコードジャパン)  【音楽】Ken Arai【プロデューサー】鈴木亜希乃、渡邉浩仁、岡宅真由美  【製作著作】日本テレビ  【制作協力】AXON</t>
  </si>
  <si>
    <t>死んでしまった宰子（門脇麦）のために美尊（新木優子）を愛して幸せになると誓う旺太郎（山崎賢人）は、入籍と入社の準備を着々と進める。そんな中、旺太郎の部屋に現れた和馬（志尊淳）は、愛を否定し続けてきた旺太郎が宰子を失い苦しむ様子を笑い、旺太郎は初めて自分の宰子に対する愛を自覚する。そんな彼の前に現れたのは春海（菅田将暉）。宰子とキスをしてもタイムリープしなかった春海の衝撃の正体がついに明らかに…!!</t>
  </si>
  <si>
    <t>1710_NTV_水22</t>
  </si>
  <si>
    <t>奥様は、取り扱い注意</t>
  </si>
  <si>
    <t>番組名奥様は、取り扱い注意#01</t>
  </si>
  <si>
    <t>綾瀬はるか、広末涼子、本田翼、中尾明慶、銀粉蝶、石黒賢、西島秀俊、ほか    【ゲスト】倉科カナ、近藤公園ワケありの過去を捨てて、新しく人生をやり直すため平凡な主婦となった伊佐山菜美（綾瀬はるか）。旦那の勇輝（西島秀俊）とともに、幸せな生活が始まった。そんななか、両隣に住む主婦、大原優里（広末涼子）と佐藤京子（本田翼）と友達になった菜美は、苦手な家事を克服するため料理教室へ通うことに。そこで出会った水上知花（倉科カナ）が抱える問題に気づいた菜美は……笑いあり涙ありアクションありの爽快エンタメドラマ!【演出】 猪股隆一【原案・脚本】 金城一紀【音楽】 得田真裕【制作協力】AXON  【製作著作】日本テレビ</t>
  </si>
  <si>
    <t>公園ワケありの過去を捨てて、新しく人生をやり直すため平凡な主婦となった伊佐山菜美（綾瀬はるか）。旦那の勇輝（西島秀俊）とともに、幸せな生活が始まった。そんななか、両隣に住む主婦、大原優里（広末涼子）と佐藤京子（本田翼）と友達になった菜美は、苦手な家事を克服するため料理教室へ通うことに。そこで出会った水上知花（倉科カナ）が抱える問題に気づいた菜美は……笑いあり涙ありアクションありの爽快エンタメドラマ!</t>
  </si>
  <si>
    <t>番組名奥様は、取り扱い注意#02</t>
  </si>
  <si>
    <t>綾瀬はるか、広末涼子、本田翼、中尾明慶、銀粉蝶、石黒賢、西島秀俊、ほか    【ゲスト】高岡早紀主婦力を上げるため着付け教室に通い始めた菜美（綾瀬はるか）と優里(広末涼子)、京子(本田翼)。和装が夫婦生活のスパイスになれば…と目論むが、なかなか思い通りに事は運ばない。３人は教室に通う美女・夏希(高岡早紀)と親しくなるが、秘密の過去が何者かに暴露された夏希は、夫との平穏な日々を奪われ町内でも問題になってしまう。菜美は、夏希の過去をネタに彼女をゆする男たちとの直接対決に挑む!【演出】 猪股隆一【原案・脚本】金城一紀【音楽】得田真裕【制作協力】AXON  【製作著作】日本テレビ</t>
  </si>
  <si>
    <t>主婦力を上げるため着付け教室に通い始めた菜美（綾瀬はるか）と優里(広末涼子)、京子(本田翼)。和装が夫婦生活のスパイスになれば…と目論むが、なかなか思い通りに事は運ばない。３人は教室に通う美女・夏希(高岡早紀)と親しくなるが、秘密の過去が何者かに暴露された夏希は、夫との平穏な日々を奪われ町内でも問題になってしまう。菜美は、夏希の過去をネタに彼女をゆする男たちとの直接対決に挑む!</t>
  </si>
  <si>
    <t>番組名奥様は、取り扱い注意#03</t>
  </si>
  <si>
    <t>綾瀬はるか、広末涼子、本田翼、銀粉蝶、石黒賢、西島秀俊ほか    【ゲスト】青木さやか、小野ゆり子ママ友グループのボス的存在の主婦・貴子（青木さやか）からいじめに遭っている理沙（小野ゆり子）は、菜美(綾瀬はるか)に、“強さ”を手に入れるためにトレーニングを願い出る！！「ストレス発散にピッタリ！」と優里(広末涼子)と京子(本田翼)もトレーニングに参加することに。やがて貴子の取り巻き主婦たちもレッスンに加わり始める。旦那からも距離を置かれ、孤立した貴子がとった行動とは……【演出】 長沼誠【原案・脚本】金城一紀【音楽】得田真裕【制作協力】AXON  【製作著作】日本テレビ</t>
  </si>
  <si>
    <t>ゆり子ママ友グループのボス的存在の主婦・貴子（青木さやか）からいじめに遭っている理沙（小野ゆり子）は、菜美(綾瀬はるか)に、“強さ”を手に入れるためにトレーニングを願い出る！！「ストレス発散にピッタリ！」と優里(広末涼子)と京子(本田翼)もトレーニングに参加することに。やがて貴子の取り巻き主婦たちもレッスンに加わり始める。旦那からも距離を置かれ、孤立した貴子がとった行動とは……</t>
  </si>
  <si>
    <t>番組名奥様は、取り扱い注意#04</t>
  </si>
  <si>
    <t>綾瀬はるか、広末涼子、本田翼、中尾明慶、石黒賢、西島秀俊ほか    【ゲスト】星野真里、佐野ひなこ、西尾まり菜美（綾瀬はるか）と勇輝(西島秀俊)の住む街で、誘拐事件が発生！！標的となったのは、菜美と優里(広末涼子)、京子(本田翼)が参加している「読書会」の主宰者・美佐子（星野真里）の息子・悠斗。悠斗の家庭教師・真純（佐野ひなこ）も心配で家を訪れる。犯人から身代金の受け渡し役に真純を指定するメールが届く。菜美は真犯人を突き止め、悠斗を取り戻すことができるのか?【演出】 長沼誠【原案・脚本】金城一紀【音楽】 得田真裕【制作協力】AXON  【製作著作】日本テレビ</t>
  </si>
  <si>
    <t>菜美（綾瀬はるか）と勇輝(西島秀俊)の住む街で、誘拐事件が発生！！標的となったのは、菜美と優里(広末涼子)、京子(本田翼)が参加している「読書会」の主宰者・美佐子（星野真里）の息子・悠斗。悠斗の家庭教師・真純（佐野ひなこ）も心配で家を訪れる。犯人から身代金の受け渡し役に真純を指定するメールが届く。菜美は真犯人を突き止め、悠斗を取り戻すことができるのか?</t>
  </si>
  <si>
    <t>番組名奥様は、取り扱い注意#05</t>
  </si>
  <si>
    <t>綾瀬はるか、広末涼子、本田翼、中尾明慶、銀粉蝶、石黒賢、西島秀俊ほか菜美(綾瀬はるか)、優里(広末涼子)、京子(本田翼)が、夫への不満を爆発させて家出を決意!!妻の家出に気付いた勇輝(西島秀俊)と渉(中尾明慶)、啓輔(石黒賢)が心細そうに対策を話し合う一方、3人は久しぶりに味わう自由を謳歌しようと、優里に連れられてクラブへ向かう。不慣れながらも満喫する菜美だったが、目を離した隙に優里と京子が姿を消してしまう。菜美は2人を怪しげな男たちから守ることができるのか!?【演出】 小室直子【原案・脚本】金城一紀【音楽】得田真裕【制作協力】AXON  【製作著作】日本テレビ</t>
  </si>
  <si>
    <t>菜美(綾瀬はるか)、優里(広末涼子)、京子(本田翼)が、夫への不満を爆発させて家出を決意!!妻の家出に気付いた勇輝(西島秀俊)と渉(中尾明慶)、啓輔(石黒賢)が心細そうに対策を話し合う一方、3人は久しぶりに味わう自由を謳歌しようと、優里に連れられてクラブへ向かう。不慣れながらも満喫する菜美だったが、目を離した隙に優里と京子が姿を消してしまう。菜美は2人を怪しげな男たちから守ることができるのか!?</t>
  </si>
  <si>
    <t>番組名奥様は、取り扱い注意#06</t>
  </si>
  <si>
    <t>綾瀬はるか、広末涼子、本田翼、中尾明慶、石黒賢、西島秀俊ほか    【ゲスト】酒井美紀、芦名星、原田佳奈、竹財輝之助菜美（綾瀬はるか）は、フラワーアレンジメント教室で知り合った冴月（酒井美紀）の自宅で、冴月の親友・靖子（芦名星）と千尋（原田佳奈）と共に冴月の夫・吉岡(竹財輝之助)が殺されているのを発見した。“第一発見者”として捜査に協力することになった菜美は、人並外れた観察力と推理力から事件にマスコミが報じていない“真実”が隠れていることを直感し、大好きな街の平和な“日常”を取り戻すために、ある行動に出る!【演出】猪股隆一【原案・脚本】 金城一紀【音楽】 得田真裕【制作協力】AXON  【製作著作】日本テレビ</t>
  </si>
  <si>
    <t>菜美（綾瀬はるか）は、フラワーアレンジメント教室で知り合った冴月（酒井美紀）の自宅で、冴月の親友・靖子（芦名星）と千尋（原田佳奈）と共に冴月の夫・吉岡(竹財輝之助)が殺されているのを発見した。“第一発見者”として捜査に協力することになった菜美は、人並外れた観察力と推理力から事件にマスコミが報じていない“真実”が隠れていることを直感し、大好きな街の平和な“日常”を取り戻すために、ある行動に出る!</t>
  </si>
  <si>
    <t>番組名奥様は、取り扱い注意#07</t>
  </si>
  <si>
    <t>綾瀬はるか、広末涼子、本田翼、中尾明慶、銀粉蝶/玉山鉄二/石黒賢/西島秀俊ほか    【ゲスト】霧島れいか、渋川清彦菜美（綾瀬はるか）と優里(広末涼子)、京子(本田翼)は、主婦仲間の友恵(霧島れいか)から、大学時代に別れた恋人探しを頼まれた。余命半年を宣告された友恵は、死ぬ前に恋人にひと目会い、「妻」ではなく「女」としての自分を取り戻したかった。そんな友恵の思いに共感した優里と京子に背中を押され、菜美はかつての仕事仲間・小雪（西尾まり）に調査を依頼することに。菜美たちは、友恵の願いを叶えることができるのか!?【演出】山田信義【原案・脚本】 金城一紀【音楽】 得田真裕【制作協力】AXON  【製作著作】日本テレビ</t>
  </si>
  <si>
    <t>菜美（綾瀬はるか）と優里(広末涼子)、京子(本田翼)は、主婦仲間の友恵(霧島れいか)から、大学時代に別れた恋人探しを頼まれた。余命半年を宣告された友恵は、死ぬ前に恋人にひと目会い、「妻」ではなく「女」としての自分を取り戻したかった。そんな友恵の思いに共感した優里と京子に背中を押され、菜美はかつての仕事仲間・小雪（西尾まり）に調査を依頼することに。菜美たちは、友恵の願いを叶えることができるのか!?</t>
  </si>
  <si>
    <t>番組名奥様は、取り扱い注意#08</t>
  </si>
  <si>
    <t>綾瀬はるか、広末涼子、本田翼、中尾明慶、銀粉蝶、石黒賢/西島秀俊ほか    【ゲスト】笛木優子菜美（綾瀬はるか）たちの街で、連続空き巣事件が発生！愛の巣を踏みにじられ、愛する勇輝（西島秀俊）を傷つけられた菜美は、犯人を見つけ出しお仕置きを決意。一方、菜美と優里(広末涼子)、京子(本田翼)のプライベートにも大きな変化が。３人の“決断”の先に待っているのは…!?菜美たちの“奥様”としての幸せが大きく揺らぎ始める!!【演出】小室直子【原案・脚本】 金城一紀【音楽】 得田真裕【制作協力】AXON  【製作著作】日本テレビ</t>
  </si>
  <si>
    <t>菜美（綾瀬はるか）たちの街で、連続空き巣事件が発生！愛の巣を踏みにじられ、愛する勇輝（西島秀俊）を傷つけられた菜美は、犯人を見つけ出しお仕置きを決意。一方、菜美と優里(広末涼子)、京子(本田翼)のプライベートにも大きな変化が。３人の“決断”の先に待っているのは…!?菜美たちの“奥様”としての幸せが大きく揺らぎ始める!!</t>
  </si>
  <si>
    <t>番組名奥様は、取り扱い注意#09</t>
  </si>
  <si>
    <t>綾瀬はるか、広末涼子、本田翼、中尾明慶/玉山鉄二/銀粉蝶、 石黒賢/西島秀俊ほか菜美（綾瀬はるか）は、勇輝（西島秀俊）から突然の海外赴任の話を聞かされ疑惑を深め、小雪（西尾まり）に調査を依頼。一方で、啓輔（石黒賢）との生活に限界を感じた優里（広末涼子）は、安西（小関裕太）に安らぎを求めるようになっていた。京子（本田翼）は夫の不倫を疑い渉（中尾明慶）を尾行し、同僚の女性とホテルに入る姿を目撃。そして遂に謎の男・横溝（玉山鉄二）が動き出す……思いもしない方向へと事態は急発展!!【演出】長沼誠【原案・脚本】 金城一紀【音楽】 得田真裕【制作協力】AXON  【製作著作】日本テレビ</t>
  </si>
  <si>
    <t>菜美（綾瀬はるか）は、勇輝（西島秀俊）から突然の海外赴任の話を聞かされ疑惑を深め、小雪（西尾まり）に調査を依頼。一方で、啓輔（石黒賢）との生活に限界を感じた優里（広末涼子）は、安西（小関裕太）に安らぎを求めるようになっていた。京子（本田翼）は夫の不倫を疑い渉（中尾明慶）を尾行し、同僚の女性とホテルに入る姿を目撃。そして遂に謎の男・横溝（玉山鉄二）が動き出す……思いもしない方向へと事態は急発展!!</t>
  </si>
  <si>
    <t>番組名奥様は、取り扱い注意#10</t>
  </si>
  <si>
    <t>綾瀬はるか、広末涼子、本田翼、中尾明慶/玉山鉄二/銀粉蝶、 石黒賢/西島秀俊ほか勇輝（西島秀俊）の本当の姿を知った菜美（綾瀬はるか）は激怒。命がけの夫婦ゲンカの末、自らの秘密を打ち明けた勇輝は、夫婦でいるために自分に従うよう菜美に忠告する。そんな中、横溝（玉山鉄二）に反抗した優里（広末涼子）が暴行を受け、入院。菜美は優里を救うために、勇輝の制止も聞かず、横溝と対決するために敵地へ乗り込んでいく！奥様たちは幸せを手にすることができるのか!?【演出】 猪股隆一【原案・脚本】 金城一紀【音楽】 得田真裕【制作協力】AXON  【製作著作】日本テレビ</t>
  </si>
  <si>
    <t>勇輝（西島秀俊）の本当の姿を知った菜美（綾瀬はるか）は激怒。命がけの夫婦ゲンカの末、自らの秘密を打ち明けた勇輝は、夫婦でいるために自分に従うよう菜美に忠告する。そんな中、横溝（玉山鉄二）に反抗した優里（広末涼子）が暴行を受け、入院。菜美は優里を救うために、勇輝の制止も聞かず、横溝と対決するために敵地へ乗り込んでいく！奥様たちは幸せを手にすることができるのか!?</t>
  </si>
  <si>
    <t>1710_NTV_木23</t>
  </si>
  <si>
    <t>ブラックリベンジ</t>
  </si>
  <si>
    <t>番組名【禁断の新ドラマ】木村多江主演「ブラックリベンジ」第１話</t>
  </si>
  <si>
    <t>今宮沙織…木村多江    福島勲…佐藤二朗  天満龍二…平山浩行  高槻裕也…堀井新太  芦原咲良…岡野真也  田村雄大…竹内まなぶ（カミナリ)  岡島まこと…石田たくみ（カミナリ)  寺田圭吾…高橋光臣    城田純一…DAIGO(特別出演)    糸賀朱里…鈴木砂羽    【第1話ゲスト】  塚本修二郎…神尾佑  塚本渚…高橋かおり  彩香…白羽ゆり「週刊星流」の契約ライターになってスクープを連発する沙織（木村多江）は、もうすぐ大臣になる塚本議員（神尾佑）に愛人がいるという情報を掴む。沙織は高級クラブのNo.１ホステスの彩香（白羽ゆり）が愛人と突き止めるが、彩香は相手に一切の迷惑が掛からないように痕跡を全く残さない“プロ愛人”だった。それでも沙織は彩香に自分が愛人だと独占告白させようと考えていた。塚本を社会から葬り地獄の底に叩き落とすために…【脚本】  佐藤友治  【演出】  大谷太郎  【音楽】  大間々昂  【主題歌】  「闇に咲く花～The Catastrophe～」SING LIKE TALKING feat.サラ・オレイン(UNIVERSAL J)http://www.ytv.co.jp/blackrevenge/  「週刊星流チャンネル」  http://www.ytv.co.jp/blackrevenge/seiryu/  【番組公式Twitter】  _blackrevenge_ #ブラックリベンジ  【番組公式Instagram ID】  _blackrevenge_  【番組公式LINE ID】  blackrevenge</t>
  </si>
  <si>
    <t>「週刊星流」の契約ライターになってスクープを連発する沙織（木村多江）は、もうすぐ大臣になる塚本議員（神尾佑）に愛人がいるという情報を掴む。沙織は高級クラブのNo.１ホステスの彩香（白羽ゆり）が愛人と突き止めるが、彩香は相手に一切の迷惑が掛からないように痕跡を全く残さない“プロ愛人”だった。それでも沙織は彩香に自分が愛人だと独占告白させようと考えていた。塚本を社会から葬り地獄の底に叩き落とすために…</t>
  </si>
  <si>
    <t>番組名【禁断のドラマ】木村多江主演「ブラックリベンジ」第２話</t>
  </si>
  <si>
    <t>今宮沙織…木村多江    福島勲…佐藤二朗  天満龍二…平山浩行  高槻裕也…堀井新太  芦原咲良…岡野真也  田村雄大…竹内まなぶ（カミナリ)  岡島まこと…石田たくみ（カミナリ)    城田純一…DAIGO(特別出演)    糸賀朱里…鈴木砂羽    【第2話ゲスト】  愛原サユミ…芹那  足立奈津…小野ゆり子沙織（木村多江）は、年商1500億円を誇るIT企業のイケメン社長との結婚式を控える人気絶頂の女優サユミ（芹那）のスキャンダルを暴くために動く。世間的には清純派女優で通っているが、裏では派手な恋愛を繰り返してきた。これだけ遊んでいても週刊誌にスクープされた事が一度もないのは、マネージャー奈津（小野ゆり子）のおかげだった。沙織は必死にサユミを守る奈津に接触を試みる。サユミを骨の髄まで炎上させるために…【脚本】  佐藤友治  【演出】  大谷太郎  【音楽】  大間々昂  【主題歌】  「闇に咲く花～The Catastrophe～」SING LIKE TALKING feat.サラ・オレイン(UNIVERSAL J)http://www.ytv.co.jp/blackrevenge/  「週刊星流チャンネル」  http://www.ytv.co.jp/blackrevenge/seiryu/  【番組公式Twitter】  _blackrevenge_ #ブラックリベンジ  【番組公式Instagram ID】  _blackrevenge_  【番組公式LINE ID】  blackrevenge</t>
  </si>
  <si>
    <t>沙織（木村多江）は、年商1500億円を誇るIT企業のイケメン社長との結婚式を控える人気絶頂の女優サユミ（芹那）のスキャンダルを暴くために動く。世間的には清純派女優で通っているが、裏では派手な恋愛を繰り返してきた。これだけ遊んでいても週刊誌にスクープされた事が一度もないのは、マネージャー奈津（小野ゆり子）のおかげだった。沙織は必死にサユミを守る奈津に接触を試みる。サユミを骨の髄まで炎上させるために…</t>
  </si>
  <si>
    <t>番組名【禁断のドラマ】木村多江主演「ブラックリベンジ」第３話</t>
  </si>
  <si>
    <t>今宮沙織…木村多江    福島勲…佐藤二朗  天満龍二…平山浩行  高槻裕也…堀井新太  芦原咲良…岡野真也  田村雄大…竹内まなぶ（カミナリ)  岡島まこと…石田たくみ（カミナリ)  寺田圭吾…高橋光臣    城田純一…DAIGO(特別出演)    糸賀朱里…鈴木砂羽    【第3話ゲスト】  南條夕子…横山めぐみ  川崎隼也…大和孔太沙織（木村多江）はネット通販会社の女社長南條（横山めぐみ）に復讐するために動き出す。そんな折、沙織は天満（平山浩行）から依頼され、沙織の事を調べていた城田(DAIGO)に復讐を気付かれて恐喝される。５年前に圭吾（高橋光臣）の記事を書いたのは天満だった。沙織は南條が芸能の仕事をエサにモデルの隼也（大和孔太）を食い物にしている事実を突き止める。南條を地獄の底に叩き落とし、復讐を完遂させるために…【脚本】  佐藤友治  【演出】  茂山佳則  【音楽】  大間々昂  【主題歌】  「闇に咲く花～The Catastrophe～」SING LIKE TALKING feat.サラ・オレイン(UNIVERSAL J)http://www.ytv.co.jp/blackrevenge/  「週刊星流チャンネル」  http://www.ytv.co.jp/blackrevenge/seiryu/  【番組公式Twitter】  _blackrevenge_ #ブラックリベンジ  【番組公式Instagram ID】  _blackrevenge_  【番組公式LINE ID】  blackrevenge</t>
  </si>
  <si>
    <t>沙織（木村多江）はネット通販会社の女社長南條（横山めぐみ）に復讐するために動き出す。そんな折、沙織は天満（平山浩行）から依頼され、沙織の事を調べていた城田(DAIGO)に復讐を気付かれて恐喝される。５年前に圭吾（高橋光臣）の記事を書いたのは天満だった。沙織は南條が芸能の仕事をエサにモデルの隼也（大和孔太）を食い物にしている事実を突き止める。南條を地獄の底に叩き落とし、復讐を完遂させるために…</t>
  </si>
  <si>
    <t>番組名【禁断のドラマ】木村多江主演「ブラックリベンジ」第４話</t>
  </si>
  <si>
    <t>今宮沙織…木村多江    福島勲…佐藤二朗  天満龍二…平山浩行  高槻裕也…堀井新太  芦原咲良…岡野真也  田村雄大…竹内まなぶ（カミナリ)  岡島まこと…石田たくみ（カミナリ)  寺田圭吾…高橋光臣    城田純一…DAIGO(特別出演)    糸賀朱里…鈴木砂羽    【第4話ゲスト】  南條夕子…横山めぐみ  川崎隼也…大和孔太沙織（木村多江）は南條（横山めぐみ）が美少年愛人倶楽部を運営している事を突き止めるが、記事にするには店のサイトの存在と南條が運営している証拠が必要だった。南條が運営する証拠を掴めない沙織だったが、そんな時、死んだはずの夫、圭吾（高橋光臣）からメールが届く。数日後、南條が経営するネット通販会社の設立10周年&amp;オリジナルブランド発表会が開催される。沙織は南條を地獄の底に叩き落すために奇策を仕掛けるが…【脚本】  佐藤友治  【演出】  茂山佳則  【音楽】  大間々昂  【主題歌】  「闇に咲く花～The Catastrophe～」SING LIKE TALKING feat.サラ・オレイン(UNIVERSAL J)http://www.ytv.co.jp/blackrevenge/  「週刊星流チャンネル」  http://www.ytv.co.jp/blackrevenge/seiryu/  【番組公式Twitter】  _blackrevenge_ #ブラックリベンジ  【番組公式Instagram ID】  _blackrevenge_  【番組公式LINE ID】  blackrevenge</t>
  </si>
  <si>
    <t>沙織（木村多江）は南條（横山めぐみ）が美少年愛人倶楽部を運営している事を突き止めるが、記事にするには店のサイトの存在と南條が運営している証拠が必要だった。南條が運営する証拠を掴めない沙織だったが、そんな時、死んだはずの夫、圭吾（高橋光臣）からメールが届く。数日後、南條が経営するネット通販会社の設立10周年&amp;オリジナルブランド発表会が開催される。沙織は南條を地獄の底に叩き落すために奇策を仕掛けるが…</t>
  </si>
  <si>
    <t>番組名【いよいよ新展開！】木村多江主演「ブラックリベンジ」第５話</t>
  </si>
  <si>
    <t>今宮沙織…木村多江    福島勲…佐藤二朗  天満龍二…平山浩行  高槻裕也…堀井新太  芦原咲良…岡野真也  田村雄大…竹内まなぶ（カミナリ)  岡島まこと…石田たくみ（カミナリ)  寺田圭吾…高橋光臣    城田純一…DAIGO(特別出演)    糸賀朱里…鈴木砂羽    【第5話ゲスト】横山めぐみ沙織（木村多江）は南條（横山めぐみ）から５年前の黒幕が「週刊星流」編集長の福島勲（佐藤二朗）だという新事実を知る。デスクの天満（平山浩行）は城田(DAIGO)が残した資料から沙織の正体と目的に気付く。天満は沙織と話をして、圭吾の記事がねつ造された事を初めて知る。天満は情報を持ってきた福島に言われるがまま取材して記事を書いただけだった。沙織は謝罪する天満に福島を地獄の底に叩き落す手伝いを頼むが…【音楽】大間々昂  【主題歌】「闇に咲く花～The Catastrophe～」SING LIKE TALKING feat.サラ・オレイン(UNIVERSAL J)【脚本】佐藤友治  【演出】西村了http://www.ytv.co.jp/blackrevenge/  「週刊星流チャンネル」  http://www.ytv.co.jp/blackrevenge/seiryu/  【番組公式Twitter】  _blackrevenge_ #ブラックリベンジ  【番組公式Instagram ID】  _blackrevenge_  【番組公式LINE ID】  blackrevenge</t>
  </si>
  <si>
    <t>沙織（木村多江）は南條（横山めぐみ）から５年前の黒幕が「週刊星流」編集長の福島勲（佐藤二朗）だという新事実を知る。デスクの天満（平山浩行）は城田(DAIGO)が残した資料から沙織の正体と目的に気付く。天満は沙織と話をして、圭吾の記事がねつ造された事を初めて知る。天満は情報を持ってきた福島に言われるがまま取材して記事を書いただけだった。沙織は謝罪する天満に福島を地獄の底に叩き落す手伝いを頼むが…</t>
  </si>
  <si>
    <t>番組名【禁断のドラマ】木村多江主演「ブラックリベンジ」第６話</t>
  </si>
  <si>
    <t>今宮沙織…木村多江    福島勲…佐藤二朗  天満龍二…平山浩行  高槻裕也…堀井新太  芦原咲良…岡野真也  田村雄大…竹内まなぶ（カミナリ)  岡島まこと…石田たくみ（カミナリ)    鶴川謙三…宇野祥平  並木猛…加治将樹    石田綾子…中村映里子  寺田圭吾…高橋光臣    城田純一…DAIGO(特別出演)    糸賀朱里…鈴木砂羽沙織（木村多江）は福島（佐藤二朗）のねつ造を誌面で告発しようとするが、福島によって記事は差し替えられる。それは妹の綾子（中村映里子）が圭吾（高橋光臣）の愛人だったという記事だった。沙織はまた圭吾の記事をねつ造した事に激怒するが、福島は全部真実だと主張し証拠動画を見せる。その動画で、圭吾は綾子と肉体関係を持った事を認めていた。沙織は綾子に真相を確認し綾子はずっと秘密にしていた衝撃の事実を打ち明けて…【脚本】  佐藤友治  【演出】  西村了  【音楽】  大間々昂  【主題歌】  「闇に咲く花～The Catastrophe～」SING LIKE TALKING feat.サラ・オレイン(UNIVERSAL J)http://www.ytv.co.jp/blackrevenge/  「週刊星流チャンネル」  http://www.ytv.co.jp/blackrevenge/seiryu/  【番組公式Twitter】  _blackrevenge_ #ブラックリベンジ  【番組公式Instagram ID】  _blackrevenge_  【番組公式LINE ID】  blackrevenge</t>
  </si>
  <si>
    <t>沙織（木村多江）は福島（佐藤二朗）のねつ造を誌面で告発しようとするが、福島によって記事は差し替えられる。それは妹の綾子（中村映里子）が圭吾（高橋光臣）の愛人だったという記事だった。沙織はまた圭吾の記事をねつ造した事に激怒するが、福島は全部真実だと主張し証拠動画を見せる。その動画で、圭吾は綾子と肉体関係を持った事を認めていた。沙織は綾子に真相を確認し綾子はずっと秘密にしていた衝撃の事実を打ち明けて…</t>
  </si>
  <si>
    <t>番組名【禁断のドラマ】木村多江主演「ブラックリベンジ」第７話</t>
  </si>
  <si>
    <t>今宮沙織…木村多江    福島勲…佐藤二朗  天満龍二…平山浩行  高槻裕也…堀井新太  芦原咲良…岡野真也  石山綾子…中村映里子  田村雄大…竹内まなぶ（カミナリ)  岡島まこと…石田たくみ（カミナリ)    寺田圭吾…高橋光臣    糸賀朱里…鈴木砂羽福島（佐藤二朗）は沙織（木村多江）の妹の綾子（中村映里子）が圭吾（高橋光臣）の愛人だったという記事を星流に掲載。綾子は圭吾との肉体関係を認め悠斗（佐藤令旺）が圭吾との間にできた子供と打ち明ける。圭吾、綾子に裏切られた沙織に追い打ちをかけるように福島は悠斗の事も最新号に掲載。さらに福島は星流の記者に綾子を直撃取材させる。心労から倒れて病院に運ばれる綾子。沙織は病室で眠っている綾子の首に両手を伸ばし…【脚本】  佐藤友治  【演出】  茂山佳則  【音楽】  大間々昂  【主題歌】  「闇に咲く花～The Catastrophe～」SING LIKE TALKING feat.サラ・オレイン(UNIVERSAL J)http://www.ytv.co.jp/blackrevenge/  「週刊星流チャンネル」  http://www.ytv.co.jp/blackrevenge/seiryu/  【番組公式Twitter】  _blackrevenge_ #ブラックリベンジ  【番組公式Instagram ID】  _blackrevenge_  【番組公式LINE ID】  blackrevenge</t>
  </si>
  <si>
    <t>福島（佐藤二朗）は沙織（木村多江）の妹の綾子（中村映里子）が圭吾（高橋光臣）の愛人だったという記事を星流に掲載。綾子は圭吾との肉体関係を認め悠斗（佐藤令旺）が圭吾との間にできた子供と打ち明ける。圭吾、綾子に裏切られた沙織に追い打ちをかけるように福島は悠斗の事も最新号に掲載。さらに福島は星流の記者に綾子を直撃取材させる。心労から倒れて病院に運ばれる綾子。沙織は病室で眠っている綾子の首に両手を伸ばし…</t>
  </si>
  <si>
    <t>番組名【禁断のドラマ】木村多江主演「ブラックリベンジ」第８話</t>
  </si>
  <si>
    <t>今宮沙織…木村多江    福島勲…佐藤二朗  天満龍二…平山浩行  高槻裕也…堀井新太  芦原咲良…岡野真也  田村雄大…竹内まなぶ（カミナリ)  岡島まこと…石田たくみ（カミナリ)  寺田圭吾…高橋光臣    糸賀朱里…鈴木砂羽沙織（木村多江）は生きる意味を再び見失うが、朱里（鈴木砂羽）に促され、福島（佐藤二朗）への復讐を再度誓う。警察から逃走中の高槻（堀井新太）は廃屋に身を潜めながら朱里の事を調べ、新事実を突き止める。芦原（岡野真也）は独自に動き、５年前のねつ造の証拠を探すが失敗に終わる。福島は雑誌スクープ大賞の授賞式に出席。授賞式後、沙織は２人きりになるチャンスを狙い、福島をナイフで刺し殺して復讐するつもりだった…【脚本】  佐藤友治  【演出】  松永洋一  【音楽】  大間々昂  【主題歌】  「闇に咲く花～The Catastrophe～」SING LIKE TALKING feat.サラ・オレイン(UNIVERSAL J)http://www.ytv.co.jp/blackrevenge/  「週刊星流チャンネル」  http://www.ytv.co.jp/blackrevenge/seiryu/  【番組公式Twitter】  _blackrevenge_ #ブラックリベンジ  【番組公式Instagram ID】  _blackrevenge_  【番組公式LINE ID】  blackrevenge</t>
  </si>
  <si>
    <t>沙織（木村多江）は生きる意味を再び見失うが、朱里（鈴木砂羽）に促され、福島（佐藤二朗）への復讐を再度誓う。警察から逃走中の高槻（堀井新太）は廃屋に身を潜めながら朱里の事を調べ、新事実を突き止める。芦原（岡野真也）は独自に動き、５年前のねつ造の証拠を探すが失敗に終わる。福島は雑誌スクープ大賞の授賞式に出席。授賞式後、沙織は２人きりになるチャンスを狙い、福島をナイフで刺し殺して復讐するつもりだった…</t>
  </si>
  <si>
    <t>番組名【いよいよ最終章！】木村多江主演「ブラックリベンジ」第９話</t>
  </si>
  <si>
    <t>今宮沙織…木村多江    福島勲…佐藤二朗  天満龍二…平山浩行  高槻裕也…堀井新太  芦原咲良…岡野真也  石山綾子…中村映里子  田村雄大…竹内まなぶ（カミナリ)  岡島まこと…石田たくみ（カミナリ)  寺田圭吾…高橋光臣    糸賀朱里…鈴木砂羽沙織（木村多江）は福島（佐藤二朗）を地獄の底へと叩き落し、編集部員たちはねつ造騒動の対応に追われる。そして、星流は３０年の歴史に幕を下ろして廃刊が決定する。この後、沙織は福島に呼び出される。復讐を成し遂げてホッとしている沙織に対し、福島は「お前は踊らされているだけなんだよ」と言い放ち、５年前に圭吾（高橋光臣）を陥れた記事ねつ造の真実を語り始める。沙織は全く思いもよらない驚愕の真実を知る事になる…【脚本】  佐藤友治  【演出】  松永洋一  【音楽】  大間々昂  【主題歌】  「闇に咲く花～The Catastrophe～」SING LIKE TALKING feat.サラ・オレイン(UNIVERSAL J)http://www.ytv.co.jp/blackrevenge/  「週刊星流チャンネル」  http://www.ytv.co.jp/blackrevenge/seiryu/  【番組公式Twitter】  _blackrevenge_ #ブラックリベンジ  【番組公式Instagram ID】  _blackrevenge_  【番組公式LINE ID】  blackrevenge</t>
  </si>
  <si>
    <t>沙織（木村多江）は福島（佐藤二朗）を地獄の底へと叩き落し、編集部員たちはねつ造騒動の対応に追われる。そして、星流は３０年の歴史に幕を下ろして廃刊が決定する。この後、沙織は福島に呼び出される。復讐を成し遂げてホッとしている沙織に対し、福島は「お前は踊らされているだけなんだよ」と言い放ち、５年前に圭吾（高橋光臣）を陥れた記事ねつ造の真実を語り始める。沙織は全く思いもよらない驚愕の真実を知る事になる…</t>
  </si>
  <si>
    <t>1710_NTV_土22</t>
  </si>
  <si>
    <t>先に生まれただけの僕</t>
  </si>
  <si>
    <t>番組名先に生まれただけの僕#01</t>
  </si>
  <si>
    <t>櫻井翔、蒼井優、瀬戸康史、木南晴夏、森川葵、平山浩行、池田鉄洋、木下ほうか／多部未華子／井川遥、荒川良々、秋山菜津子、高嶋政伸、風間杜夫嵐の櫻井翔が主演する、社会派エンターテインメントドラマ。  勤め先の商社からの出向辞令を受け、突然私立高校の校長となった35歳の若きサラリーマン。  日本の未来を支える子供たちに、大人たちは、教師たちは、今何を語り教えるべきなのか?  豪華キャストでお送りする大人のための新しい学園ドラマ。【演出】水田伸生 ほか  【プロデューサー】次屋尚、高橋史典【脚本】福田靖【主題歌】嵐「Doors ～勇気の軌跡～」(ジェイ・ストーム)  【音楽】平野義久【製作著作】日本テレビ  【制作協力】ケイファクトリー</t>
  </si>
  <si>
    <t>嵐の櫻井翔が主演する、社会派エンターテインメントドラマ。  勤め先の商社からの出向辞令を受け、突然私立高校の校長となった35歳の若きサラリーマン。  日本の未来を支える子供たちに、大人たちは、教師たちは、今何を語り教えるべきなのか?  豪華キャストでお送りする大人のための新しい学園ドラマ。</t>
  </si>
  <si>
    <t>番組名先に生まれただけの僕#02</t>
  </si>
  <si>
    <t>櫻井翔、蒼井優、瀬戸康史、木南晴夏、森川葵、平山浩行、池田鉄洋、木下ほうか／多部未華子／井川遥、荒川良々、秋山菜津子、高嶋政伸、風間杜夫教育現場を知らない校長として、職員室内で反発を受ける鳴海（櫻井翔）。そんな中、奨学金を受給する事の覚悟を説いて聞かせた生徒が学校を休んでいると分かり、不登校ではないかと気が気では無くなる。さらに、沙織（井川遥）から、腹痛を訴え保健室に毎日通う生徒の事を聞かされ、担任の及川（木下ほうか）にケアするよう言うが、取り合おうとしない。そして、この生徒が抱えていた悩みには、学校内の大きな問題が隠されていて…【演出】水田伸生 ほか  【プロデューサー】次屋尚、高橋史典【脚本】福田靖【主題歌】嵐「Doors ～勇気の軌跡～」(ジェイ・ストーム)  【音楽】平野義久【製作著作】日本テレビ  【制作協力】ケイファクトリー</t>
  </si>
  <si>
    <t>教育現場を知らない校長として、職員室内で反発を受ける鳴海（櫻井翔）。そんな中、奨学金を受給する事の覚悟を説いて聞かせた生徒が学校を休んでいると分かり、不登校ではないかと気が気では無くなる。さらに、沙織（井川遥）から、腹痛を訴え保健室に毎日通う生徒の事を聞かされ、担任の及川（木下ほうか）にケアするよう言うが、取り合おうとしない。そして、この生徒が抱えていた悩みには、学校内の大きな問題が隠されていて…</t>
  </si>
  <si>
    <t>番組名先に生まれただけの僕#03</t>
  </si>
  <si>
    <t>櫻井翔、蒼井優、瀬戸康史、木南晴夏、森川葵、平山浩行、池田鉄洋、木下ほうか／多部未華子／井川遥、荒川良々、秋山菜津子、高嶋政伸、風間杜夫退職した及川（木下ほうか）の代わりに自分が教壇に立つと宣言した鳴海（櫻井翔）。数学を担当することになるものの、教科書に目を通すと思いのほかレベルの高い内容に、すっかり自信を失う。そんな中、京明館高校の生徒がスマホを使って漫画の盗み撮りをしているとコンビニから連絡を受け、鳴海は慌てふためく。そして鳴海の授業当日。注目が集まる中で教壇に立った鳴海は、見よう見まねのアクティブラーニング型授業を行うが…。【演出】水田伸生 ほか  【プロデューサー】次屋尚、高橋史典【脚本】福田靖【主題歌】嵐「Doors ～勇気の軌跡～」(ジェイ・ストーム)  【音楽】平野義久【製作著作】日本テレビ  【制作協力】ケイファクトリー</t>
  </si>
  <si>
    <t>退職した及川（木下ほうか）の代わりに自分が教壇に立つと宣言した鳴海（櫻井翔）。数学を担当することになるものの、教科書に目を通すと思いのほかレベルの高い内容に、すっかり自信を失う。そんな中、京明館高校の生徒がスマホを使って漫画の盗み撮りをしているとコンビニから連絡を受け、鳴海は慌てふためく。そして鳴海の授業当日。注目が集まる中で教壇に立った鳴海は、見よう見まねのアクティブラーニング型授業を行うが…。</t>
  </si>
  <si>
    <t>番組名先に生まれただけの僕#04</t>
  </si>
  <si>
    <t>櫻井翔、蒼井優、瀬戸康史、木南晴夏、森川葵、平山浩行、池田鉄洋／多部未華子／井川遥、荒川良々、秋山菜津子、高嶋政伸、風間杜夫生徒たちの勉強意欲を向上させるべく、鳴海（櫻井翔）は授業にアクティブラーニングを導入したいと教師たちに提案する。ノウハウを持っていた島津（瀬戸康史）をはじめ、薫(木南晴夏)、日菜子(森川葵)は賛成。一方、文恵(秋山菜津子)、郷原(荒川良々)、河原崎(池田鉄洋)は反対。職員室の意見が分かれる中、生徒たちには好評で、鳴海は手応えを感じるも、同時に、予想していなかった問題が持ち上がり…。【演出】水田伸生 ほか  【プロデューサー】次屋尚、高橋史典【脚本】福田靖【主題歌】嵐「Doors ～勇気の軌跡～」(ジェイ・ストーム)  【音楽】平野義久【製作著作】日本テレビ  【制作協力】ケイファクトリー</t>
  </si>
  <si>
    <t>生徒たちの勉強意欲を向上させるべく、鳴海（櫻井翔）は授業にアクティブラーニングを導入したいと教師たちに提案する。ノウハウを持っていた島津（瀬戸康史）をはじめ、薫(木南晴夏)、日菜子(森川葵)は賛成。一方、文恵(秋山菜津子)、郷原(荒川良々)、河原崎(池田鉄洋)は反対。職員室の意見が分かれる中、生徒たちには好評で、鳴海は手応えを感じるも、同時に、予想していなかった問題が持ち上がり…。</t>
  </si>
  <si>
    <t>番組名先に生まれただけの僕#05</t>
  </si>
  <si>
    <t>櫻井翔、蒼井優、瀬戸康史、木南晴夏、森川葵、平山浩行、池田鉄洋／多部未華子／井川遥、荒川良々、秋山菜津子、高嶋政伸、風間杜夫『オープンキャンパス』開催を知った鳴海（櫻井翔）は、生徒たちにもイベントに協力してもらい、京明館高校の魅力をアピールしたいと教師たちに提案。さらに、樫松物産社長・原（小林勝也）にも来てほしいと直訴。しかし、そんな鳴海の行動が疎ましい加賀谷（高嶋政伸）は沙織（井川遥）に接触し、鳴海に反発している教師の名前を聞き出そうとする。さまざまな思惑と生徒たちの熱意が渦巻く中、オープンキャンパスは当日を迎える…【演出】水田伸生 ほか  【プロデューサー】次屋尚、高橋史典【脚本】福田靖【主題歌】嵐「Doors ～勇気の軌跡～」(ジェイ・ストーム)  【音楽】平野義久【製作著作】日本テレビ  【制作協力】ケイファクトリー</t>
  </si>
  <si>
    <t>『オープンキャンパス』開催を知った鳴海（櫻井翔）は、生徒たちにもイベントに協力してもらい、京明館高校の魅力をアピールしたいと教師たちに提案。さらに、樫松物産社長・原（小林勝也）にも来てほしいと直訴。しかし、そんな鳴海の行動が疎ましい加賀谷（高嶋政伸）は沙織（井川遥）に接触し、鳴海に反発している教師の名前を聞き出そうとする。さまざまな思惑と生徒たちの熱意が渦巻く中、オープンキャンパスは当日を迎える…</t>
  </si>
  <si>
    <t>番組名先に生まれただけの僕#06</t>
  </si>
  <si>
    <t>櫻井翔、蒼井優、瀬戸康史、木南晴夏、森川葵、平山浩行、池田鉄洋／多部未華子／井川遥、荒川良々、秋山菜津子、高嶋政伸、風間杜夫オープンキャンパスの成功で京明館高校の評判が高まり、手応えを感じる鳴海（櫻井翔）だが、現在の京明館の位置づけは公立校の滑り止めで、気が焦るばかり。一方、聡子（多部未華子）は、鳴海とちひろ（蒼井優）の関係が気になっていた。そんな聡子の気持ちを知らない鳴海は学校説明会の準備に忙しく、デートの誘いを断り続ける。そして、学校説明会当日。鳴海は得意のプレゼンで京明館をアピールするが、大波乱が待ち受けていた…【演出】水田伸生、相沢淳 ほか  【プロデューサー】次屋尚、高橋史典【脚本】福田靖【主題歌】嵐「Doors ～勇気の軌跡～」(ジェイ・ストーム)  【音楽】平野義久【製作著作】日本テレビ  【制作協力】ケイファクトリー</t>
  </si>
  <si>
    <t>オープンキャンパスの成功で京明館高校の評判が高まり、手応えを感じる鳴海（櫻井翔）だが、現在の京明館の位置づけは公立校の滑り止めで、気が焦るばかり。一方、聡子（多部未華子）は、鳴海とちひろ（蒼井優）の関係が気になっていた。そんな聡子の気持ちを知らない鳴海は学校説明会の準備に忙しく、デートの誘いを断り続ける。そして、学校説明会当日。鳴海は得意のプレゼンで京明館をアピールするが、大波乱が待ち受けていた…</t>
  </si>
  <si>
    <t>番組名先に生まれただけの僕#07</t>
  </si>
  <si>
    <t>櫻井翔、蒼井優、瀬戸康史、木南晴夏、森川葵、平山浩行、池田鉄洋／多部未華子／井川遥、荒川良々、秋山菜津子、高嶋政伸、風間杜夫学校説明会を成功させ、入学志願者増加に手応えを感じる鳴海（櫻井翔）。しかし、学校の運営に夢中になるあまり、聡子（多部未華子）と会っていても学校の話ばかり。一方、ちひろ（蒼井優）は三田ほのか（山田佳奈実）の母親から、ほのかが卒業後は進学せず結婚したいと言っていると相談を受ける。鳴海とちひろはほのかから話を聞くも決意は固く…。その頃、加賀谷（高嶋政伸）は鳴海と聡子の仲を引き裂こうと策略を巡らせていて…【演出】水田伸生 ほか  【プロデューサー】次屋尚、高橋史典【脚本】福田靖【主題歌】嵐「Doors ～勇気の軌跡～」(ジェイ・ストーム)  【音楽】平野義久【製作著作】日本テレビ  【制作協力】ケイファクトリー</t>
  </si>
  <si>
    <t>学校説明会を成功させ、入学志願者増加に手応えを感じる鳴海（櫻井翔）。しかし、学校の運営に夢中になるあまり、聡子（多部未華子）と会っていても学校の話ばかり。一方、ちひろ（蒼井優）は三田ほのか（山田佳奈実）の母親から、ほのかが卒業後は進学せず結婚したいと言っていると相談を受ける。鳴海とちひろはほのかから話を聞くも決意は固く…。その頃、加賀谷（高嶋政伸）は鳴海と聡子の仲を引き裂こうと策略を巡らせていて…</t>
  </si>
  <si>
    <t>番組名先に生まれただけの僕#08</t>
  </si>
  <si>
    <t>櫻井翔、蒼井優、瀬戸康史、木南晴夏、森川葵、平山浩行、池田鉄洋／多部未華子／井川遥、荒川良々、秋山菜津子、高嶋政伸、風間杜夫学校改革の手応えを感じ始め、一層気合いが入る鳴海（櫻井翔）。そんな中、２年３組の大和田達也（伊能佑之介）の成績が急降下している事を聞かされる。なんと、塾に行くと嘘をつき、将棋教室に通っていた事が判明。さらに、「プロ棋士になる為に学校を辞めたっていい」と言い始める。達也の父は困惑。鳴海やちひろ（蒼井優）は、話し合いの場を設けるが…。一方、聡子（多部未華子）は後藤田（平山浩行）から衝撃の告白を受け…【演出】鈴木勇馬  【プロデューサー】次屋尚、高橋史典【脚本】福田靖【主題歌】嵐「Doors ～勇気の軌跡～」(ジェイ・ストーム)  【音楽】平野義久【製作著作】日本テレビ  【制作協力】ケイファクトリー</t>
  </si>
  <si>
    <t>学校改革の手応えを感じ始め、一層気合いが入る鳴海（櫻井翔）。そんな中、２年３組の大和田達也（伊能佑之介）の成績が急降下している事を聞かされる。なんと、塾に行くと嘘をつき、将棋教室に通っていた事が判明。さらに、「プロ棋士になる為に学校を辞めたっていい」と言い始める。達也の父は困惑。鳴海やちひろ（蒼井優）は、話し合いの場を設けるが…。一方、聡子（多部未華子）は後藤田（平山浩行）から衝撃の告白を受け…</t>
  </si>
  <si>
    <t>番組名先に生まれただけの僕#09</t>
  </si>
  <si>
    <t>櫻井翔、蒼井優、瀬戸康史、木南晴夏、森川葵、平山浩行、池田鉄洋／多部未華子／井川遥、荒川良々、秋山菜津子、高嶋政伸、風間杜夫バスケ部の生徒の保護者が怒っていると顧問の河原崎（池田鉄洋）から聞かされた鳴海（櫻井翔）。部活強化のため雇ったコーチ・熱川（松田悟志）が遠征試合を組み、保護者の負担する費用があまりに高額だった為であった。職員会議では、来年度の入学試験のことが議題に挙がる。教師たちは、どうすれば受験生を増やし、目標の入学者数を確保できるかアイデアを出し合う。一方、鳴海と聡子の関係はさらにすれ違いを生み…【演出】水田伸生 ほか  【プロデューサー】次屋尚、高橋史典【脚本】福田靖【主題歌】嵐「Doors ～勇気の軌跡～」(ジェイ・ストーム)  【音楽】平野義久【製作著作】日本テレビ  【制作協力】ケイファクトリー</t>
  </si>
  <si>
    <t>バスケ部の生徒の保護者が怒っていると顧問の河原崎（池田鉄洋）から聞かされた鳴海（櫻井翔）。部活強化のため雇ったコーチ・熱川（松田悟志）が遠征試合を組み、保護者の負担する費用があまりに高額だった為であった。職員会議では、来年度の入学試験のことが議題に挙がる。教師たちは、どうすれば受験生を増やし、目標の入学者数を確保できるかアイデアを出し合う。一方、鳴海と聡子の関係はさらにすれ違いを生み…</t>
  </si>
  <si>
    <t>番組名先に生まれただけの僕#10</t>
  </si>
  <si>
    <t>櫻井翔、蒼井優、瀬戸康史、木南晴夏、森川葵、平山浩行、池田鉄洋／多部未華子／井川遥、荒川良々、秋山菜津子、高嶋政伸、風間杜夫聡子（多部未華子）から別れを告げられ、加賀谷（高嶋政伸）からは校長を続けたいなら会社を辞めて転籍するよう迫られた鳴海（櫻井翔）。一方、ちひろ（蒼井優）らは新入生を増やすための活動を続けるも、思うように集まらない。鳴海は、定員割れになったら自分が責任を取ると宣言。ちひろは鳴海が京明館を辞めてしまうのではないかと動揺するが、柏木（風間杜夫）は鳴海の事を考え、会社に戻って聡子と結婚した方がいいと勧める。【演出】水田伸生 ほか  【プロデューサー】次屋尚、高橋史典【脚本】福田靖【主題歌】嵐「Doors ～勇気の軌跡～」(ジェイ・ストーム)  【音楽】平野義久【製作著作】日本テレビ  【制作協力】ケイファクトリー</t>
  </si>
  <si>
    <t>聡子（多部未華子）から別れを告げられ、加賀谷（高嶋政伸）からは校長を続けたいなら会社を辞めて転籍するよう迫られた鳴海（櫻井翔）。一方、ちひろ（蒼井優）らは新入生を増やすための活動を続けるも、思うように集まらない。鳴海は、定員割れになったら自分が責任を取ると宣言。ちひろは鳴海が京明館を辞めてしまうのではないかと動揺するが、柏木（風間杜夫）は鳴海の事を考え、会社に戻って聡子と結婚した方がいいと勧める。</t>
  </si>
  <si>
    <t>1710_NTV_日22</t>
  </si>
  <si>
    <t>今からあなたを脅迫します</t>
  </si>
  <si>
    <t>番組名今からあなたを脅迫します#01</t>
  </si>
  <si>
    <t>ディーン・フジオカ、武井咲、鈴木伸之、島崎遥香、山賀琴子、佐藤玲、内藤理沙、蛭子能収、三宅弘城、近藤正臣  【ゲスト】稲葉友、石田ひかり、小沢仁志 ほか人を脅して事件を解決する「脅迫屋」の千川完二（ディーン・フジオカ）は、振込詐欺グループと間違えて女子大生・金坂澪（武井咲）を脅迫。しかしお人よしの澪は、見ず知らずの人質・佐藤（稲葉友）を助けるために自分が身代金を払うと言いだした！更に、本来の脅迫相手はすでに何者かに殺されていたことが発覚。そんな中、澪のもとに千川から解放された佐藤が訪れ…。脅迫屋と変人級な善人の出会いで事件は思いがけない展開に!!【演出】中島悟【原作】藤石波矢  【脚本】渡部亮平、関えり香【主題歌】DEAN FUJIOKA「Let it snow!」(A-Sketch)  【音楽】林ゆうき【プロデューサー】松本京子、難波利昭  【製作著作】日本テレビ  【制作協力】AXON</t>
  </si>
  <si>
    <t>人を脅して事件を解決する「脅迫屋」の千川完二（ディーン・フジオカ）は、振込詐欺グループと間違えて女子大生・金坂澪（武井咲）を脅迫。しかしお人よしの澪は、見ず知らずの人質・佐藤（稲葉友）を助けるために自分が身代金を払うと言いだした！更に、本来の脅迫相手はすでに何者かに殺されていたことが発覚。そんな中、澪のもとに千川から解放された佐藤が訪れ…。脅迫屋と変人級な善人の出会いで事件は思いがけない展開に!!</t>
  </si>
  <si>
    <t>番組名今からあなたを脅迫します#02</t>
  </si>
  <si>
    <t>ディーン・フジオカ、武井咲、鈴木伸之、島崎遥香、山賀琴子、佐藤玲、内藤理沙、蛭子能収、三宅弘城、近藤正臣 ほか    【ゲスト】大後寿々花、高月彩良、片岡礼子、小木茂光、袴田吉彦、小沢仁志 ほか脅迫屋の千川（ディーン・フジオカ）に弱みを握られた澪（武井咲）は仕事を手伝うことに。１年前に自殺した人気の歌姫・ERu(高月彩良)の親友・沙和子(大後寿々花)から「ゴーストライターがいるというガセネタでERuを自殺に追いやった週刊誌の編集長・茂木（小木茂光）に彼女の名誉回復のための記事を書かせて欲しい」という依頼を受けるが大苦戦。そんな中、ERuの記事をかかせた本当の黒幕が判明し・・・【演出】中島悟【原作】藤石波矢  【脚本】関えり香【主題歌】DEAN FUJIOKA「Let it snow!」(A-Sketch)  【音楽】林ゆうき【プロデューサー】松本京子、難波利昭  【製作著作】日本テレビ  【制作協力】AXON</t>
  </si>
  <si>
    <t>脅迫屋の千川（ディーン・フジオカ）に弱みを握られた澪（武井咲）は仕事を手伝うことに。１年前に自殺した人気の歌姫・ERu(高月彩良)の親友・沙和子(大後寿々花)から「ゴーストライターがいるというガセネタでERuを自殺に追いやった週刊誌の編集長・茂木（小木茂光）に彼女の名誉回復のための記事を書かせて欲しい」という依頼を受けるが大苦戦。そんな中、ERuの記事をかかせた本当の黒幕が判明し・・・</t>
  </si>
  <si>
    <t>番組名今からあなたを脅迫します#03</t>
  </si>
  <si>
    <t>ディーン・フジオカ、武井咲、鈴木伸之、島崎遥香、山賀琴子、佐藤玲、内藤理沙、蛭子能収、三宅弘城、近藤正臣  【ゲスト】浅香航大、南沢奈央、東幹久、袴田吉彦澪（武井咲）は大学で、千川（ディーン・フジオカ）が学生の益子（浅香航大）を脅迫する現場に遭遇。『500万払わなければ母親が結婚詐欺師だったことをバラす』という要求を益子は飲むという。それどころか益子は千川に『バイト先で働く真希（南沢奈央）が妻子がいる戸田（東幹久）と別れられず困っているので戸田を脅迫して欲しい』と自らも脅迫を依頼。脅迫の依頼が同時多発的に起こる中、千川は全てを解決できる?!【演出】狩山俊輔【原作】藤石波矢  【脚本】根本ノンジ【主題歌】DEAN FUJIOKA「Let it snow!」(A-Sketch)  【音楽】林ゆうき【プロデューサー】松本京子、難波利昭  【製作著作】日本テレビ  【制作協力】AXON</t>
  </si>
  <si>
    <t>澪（武井咲）は大学で、千川（ディーン・フジオカ）が学生の益子（浅香航大）を脅迫する現場に遭遇。『500万払わなければ母親が結婚詐欺師だったことをバラす』という要求を益子は飲むという。それどころか益子は千川に『バイト先で働く真希（南沢奈央）が妻子がいる戸田（東幹久）と別れられず困っているので戸田を脅迫して欲しい』と自らも脅迫を依頼。脅迫の依頼が同時多発的に起こる中、千川は全てを解決できる?!</t>
  </si>
  <si>
    <t>番組名今からあなたを脅迫します#04</t>
  </si>
  <si>
    <t>ディーン・フジオカ、武井咲、鈴木伸之、島崎遥香、山賀琴子、佐藤玲、内藤理沙、蛭子能収、三宅弘城、近藤正臣  【ゲスト】前田公輝、森田甘路、石田ひかり、袴田吉彦、小沢仁志澪（武井咲）は教師だった母親の教え子・國枝から、両親が亡くなった交通事故の真犯人はまだ罪を償っていないと聞く。そんな中、國枝が真犯人である添島を襲い逃走。澪の不幸な生い立ちを知った千川（ディーン・フジオカ）は、澪に添島の脅迫を持ちかける。しかし母親の生前の言葉を守って人を憎みたくないという澪は千川の提案を拒む。そして、澪に優しかった隣人のカオル（鈴木伸之）が、実は澪の部屋を盗聴していて…。【演出】本多繁勝【原作】藤石波矢  【脚本】関えり香【主題歌】DEAN FUJIOKA「Let it snow!」(A-Sketch)  【音楽】林ゆうき【プロデューサー】松本京子、難波利昭  【製作著作】日本テレビ  【制作協力】AXON</t>
  </si>
  <si>
    <t>澪（武井咲）は教師だった母親の教え子・國枝から、両親が亡くなった交通事故の真犯人はまだ罪を償っていないと聞く。そんな中、國枝が真犯人である添島を襲い逃走。澪の不幸な生い立ちを知った千川（ディーン・フジオカ）は、澪に添島の脅迫を持ちかける。しかし母親の生前の言葉を守って人を憎みたくないという澪は千川の提案を拒む。そして、澪に優しかった隣人のカオル（鈴木伸之）が、実は澪の部屋を盗聴していて…。</t>
  </si>
  <si>
    <t>番組名今からあなたを脅迫します#05</t>
  </si>
  <si>
    <t>ディーン・フジオカ、武井咲、鈴木伸之、島崎遥香、山賀琴子、佐藤玲、内藤理沙、蛭子能収、三宅弘城、近藤正臣  【ゲスト】袴田吉彦、小沢仁志千川（ディーン・フジオカ）は轟（近藤正臣）に「孫の澪（武井咲）を守れ」と脅迫を受ける。そのころ澪は、隣室のカオル（鈴木伸之）に誘拐され監禁されていた。千川は「監視屋」のカオルを雇っていたのが人気政治家の新戸部（袴田吉彦）だったと知る。新戸部は轟を脅迫し、澪の命と引き換えに轟の命と財産を差し出すよう迫る。澪の救出に向かう千川だが、同時に轟を暗殺しようとしているイベントの時間も迫っていた…!!【演出】狩山俊輔【原作】藤石波矢  【脚本】宇治信行【主題歌】DEAN FUJIOKA「Let it snow!」(A-Sketch)  【音楽】林ゆうき【プロデューサー】松本京子、難波利昭  【製作著作】日本テレビ  【制作協力】AXON</t>
  </si>
  <si>
    <t>千川（ディーン・フジオカ）は轟（近藤正臣）に「孫の澪（武井咲）を守れ」と脅迫を受ける。そのころ澪は、隣室のカオル（鈴木伸之）に誘拐され監禁されていた。千川は「監視屋」のカオルを雇っていたのが人気政治家の新戸部（袴田吉彦）だったと知る。新戸部は轟を脅迫し、澪の命と引き換えに轟の命と財産を差し出すよう迫る。澪の救出に向かう千川だが、同時に轟を暗殺しようとしているイベントの時間も迫っていた…!!</t>
  </si>
  <si>
    <t>番組名今からあなたを脅迫します#06</t>
  </si>
  <si>
    <t>ディーン・フジオカ、武井咲、間宮祥太朗、島崎遥香、山賀琴子、佐藤玲、内藤理沙、蛭子能収、真野響子、三宅弘城、近藤正臣    【ゲスト】佐伯日菜子、飯塚悟志(東京03)、高橋洋、笠原秀幸 ほか誘拐騒ぎ後、澪（武井咲）は祖父の轟（近藤正臣）と和解。そして自称ナンパ師の男・スナオ（間宮祥太朗）に運命の人だと口説かれる。その頃千川（ディーン・フジオカ）は、母親のあかね（佐伯日菜子）の元交際相手に怪我を負わされた小学生・愛梨と知り合い「お母さんを助けて欲しい」と頼まれる。その様子をみていたスナオは千川にほれ込み、舎弟にして欲しいと言い出して…。更に千川の隠された過去が徐々に明らかに!【演出】本多繁勝【原作】藤石波矢  【脚本】関えり香【主題歌】DEAN FUJIOKA「Let it snow!」(A-Sketch)  【音楽】林ゆうき【プロデューサー】松本京子、難波利昭  【製作著作】日本テレビ  【制作協力】AXON</t>
  </si>
  <si>
    <t>誘拐騒ぎ後、澪（武井咲）は祖父の轟（近藤正臣）と和解。そして自称ナンパ師の男・スナオ（間宮祥太朗）に運命の人だと口説かれる。その頃千川（ディーン・フジオカ）は、母親のあかね（佐伯日菜子）の元交際相手に怪我を負わされた小学生・愛梨と知り合い「お母さんを助けて欲しい」と頼まれる。その様子をみていたスナオは千川にほれ込み、舎弟にして欲しいと言い出して…。更に千川の隠された過去が徐々に明らかに!</t>
  </si>
  <si>
    <t>番組名今からあなたを脅迫します#07</t>
  </si>
  <si>
    <t>ディーン・フジオカ、武井咲、間宮祥太朗、島崎遥香、山賀琴子、佐藤玲、内藤理沙/松下奈緒/蛭子能収、真野響子、三宅弘城、近藤正臣    【ゲスト】橋本じゅん、阿部純子、佐伯日菜子、飯塚悟志(東京03)/笠原秀幸、後藤亜実ほか千川（ディーン・フジオカ）が脅迫をした蔵井（飯塚悟志）が謎の突然死をしたことで、千川達に殺人犯の疑いがかかる。入院中の澪（武井咲）は心配しつつも素直になれない。容疑を晴らすため死の真相を調べる千川は、蔵井が死んだ状況に偶然が重なりすぎていることを不審に思いはじめる。そして事件の真相に近づく千川の身に危機が！さらに亡くなった千川の恋人・来栖稚奈（松下奈緒）とスナオの意外な過去が明らかに…!?【演出】高橋朋広【原作】藤石波矢  【脚本】宇治信行【主題歌】DEAN FUJIOKA「Let it snow!」(A-Sketch)  【音楽】林ゆうき【プロデューサー】松本京子、難波利昭  【製作著作】日本テレビ  【制作協力】AXON</t>
  </si>
  <si>
    <t>千川（ディーン・フジオカ）が脅迫をした蔵井（飯塚悟志）が謎の突然死をしたことで、千川達に殺人犯の疑いがかかる。入院中の澪（武井咲）は心配しつつも素直になれない。容疑を晴らすため死の真相を調べる千川は、蔵井が死んだ状況に偶然が重なりすぎていることを不審に思いはじめる。そして事件の真相に近づく千川の身に危機が！さらに亡くなった千川の恋人・来栖稚奈（松下奈緒）とスナオの意外な過去が明らかに…!?</t>
  </si>
  <si>
    <t>番組名今からあなたを脅迫します#08</t>
  </si>
  <si>
    <t>ディーン・フジオカ、武井咲、間宮祥太朗、島崎遥香、山賀琴子、佐藤玲、内藤理沙/松下奈緒/蛭子能収、真野響子、三宅弘城、近藤正臣  【ゲスト】小沢仁志、笠原秀幸、後藤亜実、相島一之ほか澪（武井咲）が千川の亡き恋人・稚奈（松下奈緒）が営んでいたTシャツ屋を訪ねると血まみれで倒れている千川（ディーン・フジオカ）を発見。感電死事件の真相を知ったため医師の高ノ森（笠原秀幸）に襲われたが何とか逃げ出してきたのだ。その頃、目黒（三宅弘城）と栃乙女（島崎遥香）は、スナオ（間宮祥太朗）から４年前の千川と稚奈の幸せだった日々、そして稚奈の不審な死を千川が誰かに殺されたと思っていることを聞く。【演出】狩山俊輔【原作】藤石波矢  【脚本】関えり香【主題歌】DEAN FUJIOKA「Let it snow!」(A-Sketch)  【音楽】林ゆうき【プロデューサー】松本京子、難波利昭  【製作著作】日本テレビ  【制作協力】AXON</t>
  </si>
  <si>
    <t>澪（武井咲）が千川の亡き恋人・稚奈（松下奈緒）が営んでいたTシャツ屋を訪ねると血まみれで倒れている千川（ディーン・フジオカ）を発見。感電死事件の真相を知ったため医師の高ノ森（笠原秀幸）に襲われたが何とか逃げ出してきたのだ。その頃、目黒（三宅弘城）と栃乙女（島崎遥香）は、スナオ（間宮祥太朗）から４年前の千川と稚奈の幸せだった日々、そして稚奈の不審な死を千川が誰かに殺されたと思っていることを聞く。</t>
  </si>
  <si>
    <t>番組名今からあなたを脅迫します#09</t>
  </si>
  <si>
    <t>ディーン・フジオカ、武井咲、間宮祥太朗、島崎遥香、山賀琴子、佐藤玲、内藤理沙/松下奈緒/蛭子能収、真野響子、三宅弘城、近藤正臣    【ゲスト】小沢仁志、笠原秀幸、後藤亜実 ほか千川（ディーン・フジオカ）を、恋人・稚奈（松下奈緒）の復讐に行かせてしまった澪（武井咲）は後悔していたが、栃乙女（島崎遥香）の「千川を人殺しにしたくない」という言葉を聞き改めて千川を止めようと決意。「人を傷つけない脅迫をして」と語りかける。スナオ（間宮祥太朗）や目黒（三宅弘城）達と、雨垂れの会代表の富永（真野響子）のもとへ向かう千川の前には難攻不落の警備が！さらに最後の脅迫は衝撃的な結末を迎える!【演出】狩山俊輔【原作】藤石波矢  【脚本】関えり香【主題歌】DEAN FUJIOKA「Let it snow!」(A-Sketch)  【音楽】林ゆうき【プロデューサー】松本京子、難波利昭  【製作著作】日本テレビ  【制作協力】AXON</t>
  </si>
  <si>
    <t>千川（ディーン・フジオカ）を、恋人・稚奈（松下奈緒）の復讐に行かせてしまった澪（武井咲）は後悔していたが、栃乙女（島崎遥香）の「千川を人殺しにしたくない」という言葉を聞き改めて千川を止めようと決意。「人を傷つけない脅迫をして」と語りかける。スナオ（間宮祥太朗）や目黒（三宅弘城）達と、雨垂れの会代表の富永（真野響子）のもとへ向かう千川の前には難攻不落の警備が！さらに最後の脅迫は衝撃的な結末を迎える!</t>
  </si>
  <si>
    <t>1707_NTV_水22</t>
  </si>
  <si>
    <t>過保護のカホコ</t>
  </si>
  <si>
    <t>番組名過保護のカホコ　#1</t>
  </si>
  <si>
    <t>高畑充希、黒木瞳、竹内涼真、久保田紗友、　・三田佳子・　佐藤二朗、　西岡徳馬、　平泉成、時任三郎、ほかカホコ(高畑)は、ママ(黒木)とパパ(時任)の愛情を一身に受け21年間、何の苦労も知らずに育った「超箱入り娘」  そんなカホコの前に、彼女とは正反対の境遇の苦学生の初(竹内)が現れ「お前のような過保護が、日本をダメにしているんだ!」と厳しく言い放つ。  彼との出会いが、カホコの中に眠っていた不思議な力を目覚めさせ、カホコとその家族の人生の歯車が大きく動き出す。  脚本は、「家政婦のミタ」の遊川和彦【演出】南雲聖一【脚本】遊川和彦【主題歌】星野源「Family　Song」(スピードスターレコーズ)【制作協力】5年D組  【製作著作】日本テレビ</t>
  </si>
  <si>
    <t>カホコ(高畑)は、ママ(黒木)とパパ(時任)の愛情を一身に受け21年間、何の苦労も知らずに育った「超箱入り娘」  そんなカホコの前に、彼女とは正反対の境遇の苦学生の初(竹内)が現れ「お前のような過保護が、日本をダメにしているんだ!」と厳しく言い放つ。  彼との出会いが、カホコの中に眠っていた不思議な力を目覚めさせ、カホコとその家族の人生の歯車が大きく動き出す。  脚本は、「家政婦のミタ」の遊川和彦</t>
  </si>
  <si>
    <t>番組名過保護のカホコ　#2</t>
  </si>
  <si>
    <t>高畑充希、黒木瞳、竹内涼真、久保田紗友、　・三田佳子・　佐藤二朗、　西岡徳馬、　平泉成、時任三郎、ほか自分の将来を真剣に考え始めたカホコ(高畑充希)は、泉(黒木瞳)と共に、父や親戚の仕事見学をする。そんな折、イトコの糸が手首を痛めながらもコンクールに出場する事を知ってしまう。本番当日、カホコの怖れていた最悪の結果が待っていた。【演出】南雲聖一【脚本】遊川和彦【主題歌】星野源「Family　Song」(スピードスターレコーズ)【制作協力】5年D組  【製作著作】日本テレビ</t>
  </si>
  <si>
    <t>自分の将来を真剣に考え始めたカホコ(高畑充希)は、泉(黒木瞳)と共に、父や親戚の仕事見学をする。そんな折、イトコの糸が手首を痛めながらもコンクールに出場する事を知ってしまう。本番当日、カホコの怖れていた最悪の結果が待っていた。</t>
  </si>
  <si>
    <t>番組名過保護のカホコ　#3</t>
  </si>
  <si>
    <t>高畑充希、黒木瞳、竹内涼真、久保田紗友、　・三田佳子・　佐藤二朗、　西岡徳馬、　平泉成、時任三郎、ほかカホコ(高畑充希)は、初(竹内涼真)に恋をしたことを自覚するが、それを知った泉(黒木瞳)は猛反発。初の悪口を連発。そんなママに、カホコは生まれて初めて怒鳴ってしまう。【演出】日暮謙【脚本】遊川和彦【主題歌】星野源「Family　Song」(スピードスターレコーズ)【制作協力】5年D組  【製作著作】日本テレビ</t>
  </si>
  <si>
    <t>カホコ(高畑充希)は、初(竹内涼真)に恋をしたことを自覚するが、それを知った泉(黒木瞳)は猛反発。初の悪口を連発。そんなママに、カホコは生まれて初めて怒鳴ってしまう。</t>
  </si>
  <si>
    <t>番組名過保護のカホコ　#4</t>
  </si>
  <si>
    <t>高畑充希、黒木瞳、竹内涼真、久保田紗友、　・三田佳子・　佐藤二朗、　西岡徳馬、　平泉成、時任三郎、ほかカホコ(高畑充希)と泉(黒木瞳)の固い絆が崩れ、正高(時任三郎)は冷戦状態の2人の板挟みにあう。初(竹内涼真)からフラれ、人生初の失恋に落ち込むカホコは、立ち直る方法を探すが…。正高の提案で気分転換のために泉の実家を訪ねたカホコは、初めてお酒で酔い、そのまま初のもとへ向かう!【演出】伊藤彰記【脚本】遊川和彦【主題歌】星野源「Family　Song」(スピードスターレコーズ)【制作協力】5年D組  【製作著作】日本テレビ</t>
  </si>
  <si>
    <t>カホコ(高畑充希)と泉(黒木瞳)の固い絆が崩れ、正高(時任三郎)は冷戦状態の2人の板挟みにあう。初(竹内涼真)からフラれ、人生初の失恋に落ち込むカホコは、立ち直る方法を探すが…。正高の提案で気分転換のために泉の実家を訪ねたカホコは、初めてお酒で酔い、そのまま初のもとへ向かう!</t>
  </si>
  <si>
    <t>番組名過保護のカホコ　#5</t>
  </si>
  <si>
    <t>高畑充希、黒木瞳、竹内涼真、久保田紗友、　・三田佳子・　佐藤二朗、　西岡徳馬、　平泉成、時任三郎、ほかカホコと泉に腹を立てた正高は、とうとう家出を敢行!  時を同じくして親戚の抱えていた問題も次々表面化する。初の影響で過保護を自覚し始めたカホコはこの機会に将来のことを真剣に考えるが、家族のいない初の生い立ちを知り、自分にできることはないか奔走する。【演出】南雲聖一【脚本】遊川和彦【主題歌】星野源「Family　Song」(スピードスターレコーズ)【制作協力】5年D組  【製作著作】日本テレビ</t>
  </si>
  <si>
    <t>カホコと泉に腹を立てた正高は、とうとう家出を敢行!  時を同じくして親戚の抱えていた問題も次々表面化する。初の影響で過保護を自覚し始めたカホコはこの機会に将来のことを真剣に考えるが、家族のいない初の生い立ちを知り、自分にできることはないか奔走する。</t>
  </si>
  <si>
    <t>番組名過保護のカホコ　#6</t>
  </si>
  <si>
    <t>高畑充希、黒木瞳、竹内涼真、久保田紗友、　・三田佳子・　佐藤二朗、　西岡徳馬、　平泉成、時任三郎、ほかカホコの「脱過保護宣言」を受け家出した泉を説得するため、正高は泉の実家へ。しかしそこには家庭問題を抱えた泉の妹が次々家出してくる。一方、両親の前で交際宣言をした初が嬉しいカホコが、「カホコと呼ぶ」「好きと言う」というお願いに答えてくれないモヤモヤと泉の家出に悩み、ついに行動に出る。【演出】明石広人【脚本】遊川和彦【主題歌】星野源「Family　Song」(スピードスターレコーズ)【制作協力】5年D組  【製作著作】日本テレビ</t>
  </si>
  <si>
    <t>カホコの「脱過保護宣言」を受け家出した泉を説得するため、正高は泉の実家へ。しかしそこには家庭問題を抱えた泉の妹が次々家出してくる。一方、両親の前で交際宣言をした初が嬉しいカホコが、「カホコと呼ぶ」「好きと言う」というお願いに答えてくれないモヤモヤと泉の家出に悩み、ついに行動に出る。</t>
  </si>
  <si>
    <t>番組名過保護のカホコ　#7</t>
  </si>
  <si>
    <t>高畑充希、黒木瞳、竹内涼真、久保田紗友、　・三田佳子・　佐藤二朗、　西岡徳馬、　平泉成、時任三郎、ほかカホコ(高畑充希)と泉(黒木瞳)が不器用ながら過保護を卒業しようとする姿に正高(時任三郎)は期待を寄せる。カホコは初代(三田佳子)が心臓の病を隠していることを知るが、秘密にして欲しいと頼まれる。初代のため、イト(久保田紗友)の誕生会に親戚を集めようと奮闘するカホコを止める初(竹内涼真)との関係が微妙に変わっていく。【演出】日暮　謙【脚本】遊川和彦【主題歌】星野源「Family　Song」(スピードスターレコーズ)【制作協力】5年D組  【製作著作】日本テレビ</t>
  </si>
  <si>
    <t>カホコ(高畑充希)と泉(黒木瞳)が不器用ながら過保護を卒業しようとする姿に正高(時任三郎)は期待を寄せる。カホコは初代(三田佳子)が心臓の病を隠していることを知るが、秘密にして欲しいと頼まれる。初代のため、イト(久保田紗友)の誕生会に親戚を集めようと奮闘するカホコを止める初(竹内涼真)との関係が微妙に変わっていく。</t>
  </si>
  <si>
    <t>番組名過保護のカホコ　#8</t>
  </si>
  <si>
    <t>高畑充希、黒木瞳、竹内涼真、久保田紗友、　・三田佳子・　佐藤二朗、　西岡徳馬、　平泉成、時任三郎、ほか【演出】【脚本】遊川和彦【主題歌】星野源「Family　Song」(スピードスターレコーズ)【制作協力】5年D組  【製作著作】日本テレビ</t>
  </si>
  <si>
    <t>番組名過保護のカホコ #9</t>
  </si>
  <si>
    <t>高畑充希、黒木瞳、竹内涼真、久保田紗友、 ・三田佳子・ 佐藤二朗、 西岡徳馬、 平泉成、時任三郎、ほかカホコと初は両親に結婚の許しを乞うが、泉は結婚するなら勘当だとキッパリ告げる。そんな中、初代が倒れ、各家庭の問題も悪化する。カホコは初と助け合い、家族を修復しようと奔走するが...。【演出】日暮謙【脚本】遊川和彦【主題歌】星野源「Family Song」(スピードスターレコーズ)【制作協力】5年D組  【製作著作】日本テレビ</t>
  </si>
  <si>
    <t>カホコと初は両親に結婚の許しを乞うが、泉は結婚するなら勘当だとキッパリ告げる。そんな中、初代が倒れ、各家庭の問題も悪化する。カホコは初と助け合い、家族を修復しようと奔走するが...。</t>
  </si>
  <si>
    <t>番組名過保護のカホコ#10</t>
  </si>
  <si>
    <t>高畑充希、黒木瞳、竹内涼真、久保田紗友、 ・三田佳子・ 佐藤二朗、 西岡徳馬、 平泉成、時任三郎、ほかカホコは泉と正高に改めて初との結婚を認めて欲しいと頼みに行くが、自分以上にカホコを幸せにできるのかと迫る泉に初は…。そして結婚式の日、泉の姿はなく…。【演出】南雲聖一【脚本】遊川和彦【主題歌】星野源「Family Song」(スピードスターレコーズ)【制作協力】5年D組  【製作著作】日本テレビ</t>
  </si>
  <si>
    <t>カホコは泉と正高に改めて初との結婚を認めて欲しいと頼みに行くが、自分以上にカホコを幸せにできるのかと迫る泉に初は…。そして結婚式の日、泉の姿はなく…。</t>
  </si>
  <si>
    <t>1707_NTV_木23</t>
  </si>
  <si>
    <t>脳にスマホが埋められた！</t>
  </si>
  <si>
    <t>番組名【新ドラマ】伊藤淳史主演「脳にスマホが埋められた!」第1話</t>
  </si>
  <si>
    <t>折茂圭太…伊藤淳史  石野柳子…新川優愛  安田部々香…安藤なつ(メイプル超合金)    田西譲司…岡田龍太郎  蜂谷薫…野村麻純  臼田定子…ぼくもとさきこ  蟹江小夜…結城モエ  ★  栗山五月…篠田麻里子  竹ノ塚史郎…池田鉄洋  林家ペー…林家ペー  林家パー子…林家パー子  ★  藤木友里…西丸優子  小堀守…戸田昌宏    黒部仁…岸谷五朗アパレル会社『エグザルトン』に勤める折茂圭太(伊藤淳史)。ごくごく普通のサラリーマンだったが、リストラを宣告されたある日突然、“脳内スマホ人間”になってしまう!!!  視界にはスマホと同じ画面が現れ、さらには他人のメッセージまで見ることができるように。戸惑う圭太は、脳内スマホ人間を調べる契約パタンナーの石野柳子(新川優愛)と出会い、次々と社内外のトラブルに巻き込まれていくが……。【主題歌】  「U」三浦大知(SONIC　GROOVE)【企画】  鈴木おさむ(「新企画」幻冬舎)  【脚本】  森ハヤシ  【演出】  筧昌也番組公式Twitterにて、鈴木おさむさんによるリアルタイムツイートを実施予定!こちらもお楽しみに!http://www.ytv.co.jp/smahoman/  【番組公式Twitter】  @smahoman　#電話男  【番組公式LINE】  ID:@smahoman  【番組公式Instagram】  ID:smahoman  【番組公式SNOW】  ID:ishino.ryuko</t>
  </si>
  <si>
    <t>アパレル会社『エグザルトン』に勤める折茂圭太(伊藤淳史)。ごくごく普通のサラリーマンだったが、リストラを宣告されたある日突然、“脳内スマホ人間”になってしまう!!!  視界にはスマホと同じ画面が現れ、さらには他人のメッセージまで見ることができるように。戸惑う圭太は、脳内スマホ人間を調べる契約パタンナーの石野柳子(新川優愛)と出会い、次々と社内外のトラブルに巻き込まれていくが……。</t>
  </si>
  <si>
    <t>番組名伊藤淳史主演「脳にスマホが埋められた!」第2話</t>
  </si>
  <si>
    <t>折茂圭太…伊藤淳史  石野柳子…新川優愛  安田部々香…安藤なつ(メイプル超合金)    田西譲司…岡田龍太郎  蜂谷薫…野村麻純  臼田定子…ぼくもとさきこ  蟹江小夜…結城モエ    相馬美羽…相楽樹〈第2話ゲスト〉    栗山五月…篠田麻里子  林家ペー…林家ペー  林家パー子…林家パー子    藤木友里…西丸優子  小堀守…戸田昌宏    黒部仁…岸谷五朗アパレル会社『エグザルトン』に勤める折茂圭太(伊藤淳史)。“脳内スマホ人間”になってしまった彼に、同僚の石野柳子(新川優愛)は、「黒部社長(岸谷五朗)に復讐したいんです。“脳内スマホ”の力で、助けてもらえませんか?」と言い出す。  そんなある日、かつての部下・相馬美羽(相楽樹)と再会。美羽の思わせぶりな態度にドギマギする圭太だったが、脳内スマホで見た美羽のスマホから、4股交際している事実が発覚し…兼松衆  【主題歌】「U」三浦大知(SONIC　GROOVE)【企画】鈴木おさむ(「新企画」幻冬舎)  【脚本】森ハヤシ  【演出】筧昌也番組公式Twitterにて、人気芸人によるリアルタイムツイートを実施予定!いったい誰がつぶやくのか???こちらもお楽しみに!http://www.ytv.co.jp/smahoman/  【番組公式Twitter】  @smahoman　#脳スマ  【番組公式LINE　ID】  @smahoman  【番組公式Instagram　ID】  smahoman  【番組公式SNOW　ID】  ishino.ryuko</t>
  </si>
  <si>
    <t xml:space="preserve">アパレル会社『エグザルトン』に勤める折茂圭太(伊藤淳史)。“脳内スマホ人間”になってしまった彼に、同僚の石野柳子(新川優愛)は、「黒部社長(岸谷五朗)に復讐したいんです。“脳内スマホ”の力で、助けてもらえませんか?」と言い出す。  そんなある日、かつての部下・相馬美羽(相楽樹)と再会。美羽の思わせぶりな態度にドギマギする圭太だったが、脳内スマホで見た美羽のスマホから、4股交際している事実が発覚し…兼松衆  </t>
  </si>
  <si>
    <t>番組名伊藤淳史主演「脳にスマホが埋められた!」第3話</t>
  </si>
  <si>
    <t>折茂圭太…伊藤淳史  石野柳子…新川優愛  安田部々香…安藤なつ(メイプル超合金)    田西譲司…岡田龍太郎  蜂谷薫…野村麻純  臼田定子…ぼくもとさきこ  蟹江小夜…結城モエ    本吉佳蓮…秋元才加&lt;第3話ゲスト&gt;    栗山五月…篠田麻里子  林家ペー…林家ペー  林家パー子…林家パー子    藤木友里…西丸優子  小堀守…戸田昌宏    黒部仁…岸谷五朗&lt;篠田麻里子&amp;秋元才加　AKB卒業後、ドラマ初共演!&gt;  折茂圭太(伊藤淳史)は、『エグザルトン』の社員、本吉佳蓮(秋元才加)が「死にたい…」とスマホで呟いている事に気づく。佳蓮は実業団チーム所属の世界的に有名なマラソン選手だった。心配した圭太が佳蓮の事情を探ると、佳蓮は右ひざに爆弾を抱えている事を知る。佳蓮を救いたい圭太は、石野柳子(新川優愛)や栗山五月(篠田麻里子)に協力をお願いするが…!?兼松衆  【主題歌】  「U」三浦大知(SONIC　GROOVE)【企画】  鈴木おさむ(「新企画」幻冬舎)  【脚本】  森ハヤシ  【演出】  根本和政番組公式Twitter　にて、人気芸人によるリアルタイムツイートを実施予定!  今週は誰がつぶやくのか?  こちらもお楽しみに!http://www.ytv.co.jp/smahoman/  【番組公式Twitter】  @smahoman　#脳スマ  【番組公式LINE　ID】  @smahoman  【番組公式Instagram　ID】  smahoman  【番組公式SNOW　ID】  ishino.ryuko</t>
  </si>
  <si>
    <t xml:space="preserve">&lt;篠田麻里子&amp;秋元才加　AKB卒業後、ドラマ初共演!&gt;  折茂圭太(伊藤淳史)は、『エグザルトン』の社員、本吉佳蓮(秋元才加)が「死にたい…」とスマホで呟いている事に気づく。佳蓮は実業団チーム所属の世界的に有名なマラソン選手だった。心配した圭太が佳蓮の事情を探ると、佳蓮は右ひざに爆弾を抱えている事を知る。佳蓮を救いたい圭太は、石野柳子(新川優愛)や栗山五月(篠田麻里子)に協力をお願いするが…!?兼松衆  </t>
  </si>
  <si>
    <t>番組名伊藤淳史主演「脳にスマホが埋められた!」第4話</t>
  </si>
  <si>
    <t>折茂圭太…伊藤淳史  石野柳子…新川優愛  安田部々香…安藤なつ(メイプル超合金)    田西譲司…岡田龍太郎  蜂谷薫…野村麻純  臼田定子…ぼくもとさきこ  蟹江小夜…結城モエ    柏木悠介…遠藤雄弥&lt;第4話ゲスト&gt;  朝長真帆…松本穂香&lt;第4話ゲスト&gt;    栗山五月…篠田麻里子    藤木友里…西丸優子  小堀守…戸田昌宏    黒部仁…岸谷五朗ある日、折茂圭太(伊藤淳史)は、社長の黒部仁(岸谷五朗)に呼び出され、パワハラの疑惑がある社員、柏木悠介(遠藤雄弥)の調査を依頼される。柏木は圭太の元部下だった。圭太は、柏木が店長を務める販売店舗へ潜入捜査をする事に!?そこで圭太は、柏木が部下の森脇を強く叱責する姿を見てしまう…  しかし同僚の朝長真帆(松本穂香)から、森脇は柏木のライバルである久保田の為に、わざと柏木に迷惑をかけていると言われて…兼松衆  【主題歌】  「U」三浦大知(SONIC　GROOVE)【企画】  鈴木おさむ(「新企画」幻冬舎)  【脚本】  長谷川徹  【演出】  根本和政番組公式Twitter　にて、人気芸人によるリアルタイムツイートを実施予定!  今週は誰がつぶやくのか?  こちらもお楽しみに!http://www.ytv.co.jp/smahoman/  【番組公式Twitter】  @smahoman　#脳スマ  【番組公式LINE　ID】  @smahoman  【番組公式Instagram　ID】  smahoman  【番組公式SNOW　ID】  ishino.ryuko</t>
  </si>
  <si>
    <t xml:space="preserve">ある日、折茂圭太(伊藤淳史)は、社長の黒部仁(岸谷五朗)に呼び出され、パワハラの疑惑がある社員、柏木悠介(遠藤雄弥)の調査を依頼される。柏木は圭太の元部下だった。圭太は、柏木が店長を務める販売店舗へ潜入捜査をする事に!?そこで圭太は、柏木が部下の森脇を強く叱責する姿を見てしまう…  しかし同僚の朝長真帆(松本穂香)から、森脇は柏木のライバルである久保田の為に、わざと柏木に迷惑をかけていると言われて…兼松衆  </t>
  </si>
  <si>
    <t>番組名伊藤淳史主演「脳にスマホが埋められた!」第5話</t>
  </si>
  <si>
    <t>折茂圭太…伊藤淳史  石野柳子…新川優愛  安田部々香…安藤なつ(メイプル超合金)    田西譲司…岡田龍太郎  蜂谷薫…野村麻純  臼田定子…ぼくもとさきこ  蟹江小夜…結城モエ    安達信也…佐藤寛太(劇団EXILE)&lt;第5話ゲスト&gt;    栗山五月…篠田麻里子    藤木友里…西丸優子  小堀守…戸田昌宏    黒部仁…岸谷五朗“脳内スマホ”を使いたくないという折茂圭太(伊藤淳史)とケンカをした石野柳子(新川優愛)。しかたなく圭太とは別のスマホ人間を探そうとする柳子の前に、安達信也(佐藤寛太)という別のスマホ人間が現れる。安達は自らを“スマホマン”と名乗り、脳内スマホの能力を使って、ヒーロー活動を行っていた。柳子の事情を聞いた安達は、黒部社長(岸谷五朗)への復讐を手伝ってくれると言うが…兼松衆  【主題歌】  「U」三浦大知(SONIC　GROOVE)【企画】  鈴木おさむ(「新企画」幻冬舎)  【脚本】  森ハヤシ  【演出】  坂本栄隆★番組公式Twitterにて、佐藤寛太さんによるリアルタイムツイートを実施予定!  佐藤さん自ら、どんなつぶやきをしてくれるのか?お楽しみに!★http://www.ytv.co.jp/smahoman/  【番組公式Twitter】  @smahoman　#脳スマ  【番組公式LINE　ID】  @smahoman  【番組公式Instagram　ID】  smahoman  【番組公式SNOW　ID】  ishino.ryuko</t>
  </si>
  <si>
    <t xml:space="preserve">“脳内スマホ”を使いたくないという折茂圭太(伊藤淳史)とケンカをした石野柳子(新川優愛)。しかたなく圭太とは別のスマホ人間を探そうとする柳子の前に、安達信也(佐藤寛太)という別のスマホ人間が現れる。安達は自らを“スマホマン”と名乗り、脳内スマホの能力を使って、ヒーロー活動を行っていた。柳子の事情を聞いた安達は、黒部社長(岸谷五朗)への復讐を手伝ってくれると言うが…兼松衆  </t>
  </si>
  <si>
    <t>番組名伊藤淳史主演「脳にスマホが埋められた!」第6話</t>
  </si>
  <si>
    <t>折茂圭太…伊藤淳史  石野柳子…新川優愛  安田部々香…安藤なつ(メイプル超合金)    田西譲司…岡田龍太郎  蜂谷薫…野村麻純  臼田定子…ぼくもとさきこ  蟹江小夜…結城モエ    会沢聡…東根作寿英&lt;第6話ゲスト&gt;  薮田正樹…岩崎う大(かもめんたる)&lt;第6話ゲスト&gt;    竹ノ塚史郎…池田鉄洋    栗山五月…篠田麻里子    小堀守…戸田昌宏ある日、折茂圭太(伊藤淳史)が娘の愛花に勧められ「お見合いアプリ」を登録すると、迷惑メールが届き出し、脳内スマホの電源が切れないようになってしまう…。  そんな圭太が出社すると、同僚の蜂谷薫(野村麻純)が「お見合いアプリ」で婚活をしていた。お見合い相手の会沢聡(東根作寿英)との結婚を望む蜂谷だったが、会沢が結婚詐欺師ではないかという疑いが生じて…。兼松衆  【主題歌】  「U」三浦大知(SONIC　GROOVE)【企画】  鈴木おさむ(「新企画」幻冬舎)  【脚本】  筧昌也長谷川徹  【演出】  筧昌也★番組公式Twitter　にて、かもめんたるの岩崎う大さんによるリアルタイムツイートを実施予定!お楽しみに!★http://www.ytv.co.jp/smahoman/  【番組公式Twitter】  @smahoman　#脳スマ  【番組公式LINE　ID】  @smahoman  【番組公式Instagram　ID】  smahoman  【番組公式SNOW　ID】  ishino.ryuko</t>
  </si>
  <si>
    <t>ある日、折茂圭太(伊藤淳史)が娘の愛花に勧められ「お見合いアプリ」を登録すると、迷惑メールが届き出し、脳内スマホの電源が切れないようになってしまう…。  そんな圭太が出社すると、同僚の蜂谷薫(野村麻純)が「お見合いアプリ」で婚活をしていた。お見合い相手の会沢聡(東根作寿英)との結婚を望む蜂谷だったが、会沢が結婚詐欺師ではないかという疑いが生じて…。</t>
  </si>
  <si>
    <t>番組名脳にスマホが埋められた!#07【海外有名デザイナーと危ない逃避行】</t>
  </si>
  <si>
    <t>折茂圭太…伊藤淳史  石野柳子…新川優愛  安田部々香…安藤なつ(メイプル超合金)    田西譲司…岡田龍太郎  蜂谷薫…野村麻純  臼田定子…ぼくもとさきこ  蟹江小夜…結城モエ    フローラ・キャンベル…シャーロット・ケイト・フォックス&lt;第7話ゲスト&gt;    栗山五月…篠田麻里子    藤木友里…西丸優子  小堀守…戸田昌宏    黒部仁…岸谷五朗折茂圭太(伊藤淳史)の勤める『エグザルトン』と、海外ブランドのカリスマデザイナー、フローラ・キャンベル(シャーロット・ケイト・フォックス)が、コラボ契約を結ぶことになった。しかし、黒部社長(岸谷五朗)が契約を心待ちにしている中、来日したフローラは空港から逃亡してしまう…  そんな折、何も知らない圭太は、偶然、ふさぎ込むフローラと出会い、二人で東京見学に向かうが、フローラの行方を探す男達が迫ってきて…兼松衆  【主題歌】  「U」三浦大知(SONIC　GROOVE)【企画】  鈴木おさむ(「新企画」幻冬舎)  【脚本】  山田能龍  【演出】  根本和政★番組公式Twitter　にて、池田鉄洋さんによるリアルタイムツイートを実施予定!どんなつぶやきをしてくれるのか?お楽しみに!★http://www.ytv.co.jp/smahoman/  【番組公式Twitter】  @smahoman　#脳スマ  【番組公式LINE　ID】  @smahoman  【番組公式Instagram　ID】  smahoman  【番組公式SNOW　ID】  ishino.ryuko</t>
  </si>
  <si>
    <t>折茂圭太(伊藤淳史)の勤める『エグザルトン』と、海外ブランドのカリスマデザイナー、フローラ・キャンベル(シャーロット・ケイト・フォックス)が、コラボ契約を結ぶことになった。しかし、黒部社長(岸谷五朗)が契約を心待ちにしている中、来日したフローラは空港から逃亡してしまう…  そんな折、何も知らない圭太は、偶然、ふさぎ込むフローラと出会い、二人で東京見学に向かうが、フローラの行方を探す男達が迫ってきて…</t>
  </si>
  <si>
    <t>番組名脳にスマホが埋められた!#08【二股ゲス夫VS妻　ドロ沼不倫バトル】</t>
  </si>
  <si>
    <t>折茂圭太…伊藤淳史  石野柳子…新川優愛  安田部々香…安藤なつ(メイプル超合金)    田西譲司…岡田龍太郎  蜂谷薫…野村麻純  臼田定子…ぼくもとさきこ  蟹江小夜…結城モエ    小堀加代…MEGUMI&lt;第8話ゲスト&gt;    栗山五月…篠田麻里子  　　　　  小堀守…戸田昌宏部下の栗山五月(篠田麻里子)と不倫をしている総務課長・小堀守(戸田昌宏)が、妻に家を追い出され、折茂圭太(伊藤淳史)のシェアハウスに「泊めてほしい」と泣きついてくる。しかも小堀のスマートフォンには、妻によってGPSの監視アプリがインストールされていた…怯える小堀だったが、栗山とは別れるつもりはないと言う。  しかし、不倫に激怒した妻の加代(MEGUMI)が、会社に乗り込んできて…兼松衆  【主題歌】  「U」三浦大知(SONIC　GROOVE)【企画】  鈴木おさむ(「新企画」幻冬舎)  【脚本】  森ハヤシ  【演出】  筧昌也★番組公式Twitter　にて、篠田麻里子さん&amp;ぼくもとさきこさんによるリアルタイムツイートを実施!しかもプレミア視聴者プレゼントも!お楽しみに★http://www.ytv.co.jp/smahoman/  【番組公式Twitter】  @smahoman　#脳スマ  【番組公式LINE　ID】  @smahoman  【番組公式Instagram　ID】  smahoman  【番組公式SNOW　ID】  ishino.ryuko</t>
  </si>
  <si>
    <t>折茂圭太…伊藤淳史  石野柳子…新川優愛  安田部々香…安藤なつ(メイプル超合金)    田西譲司…岡田龍太郎  蜂谷薫…野村麻純  臼田定子…ぼくもとさきこ  蟹江小夜…結城モエ    小堀加代…MEGUMI&lt;第8話ゲスト&gt;    栗山五月…篠田麻里子  　　　　  小堀守…戸田昌宏部下の栗山五月(篠田麻里子)と不倫をしている総務課長・小堀守(戸田昌宏)が、妻に家を追い出され、折茂圭太(伊藤淳史)のシェアハウスに「泊めてほしい」と泣きついてくる。しかも小堀のスマートフォンには、妻によってGPSの監視アプリがインストールされていた…怯える小堀だったが、栗山とは別れるつもりはないと言う。  しかし、不倫に激怒した妻の加代(MEGUMI)が、会社に乗り込んできて…</t>
  </si>
  <si>
    <t>番組名脳にスマホが埋められた!#09【負ければクビ!?　火花散る女のバトル】</t>
  </si>
  <si>
    <t>折茂圭太…伊藤淳史  石野柳子…新川優愛  安田部々香…安藤なつ(メイプル超合金)    田西譲司…岡田龍太郎  蜂谷薫…野村麻純  臼田定子…ぼくもとさきこ  蟹江小夜…結城モエ    朝比奈…高月彩良&lt;第9話ゲスト&gt;    楓…中川知香  栞…新田祐里子    栗山五月…篠田麻里子  藤木友里…西丸優子  小堀守…戸田昌宏    黒部仁…岸谷五朗『エグザルトン』の社長・黒部仁(岸谷五朗)は、3年ごとに必ず秘書を代える主義で、新しい秘書候補として、女子大生企業家として名を馳せた朝比奈(高月彩良)を雇う。現在の秘書・藤木友里(西丸優子)は、クビの危機にさらされてしまう。  「秘書なら黒部の弱点を知っているはず!徹底マークして!」と息巻く石野柳子(新川優愛)の指示で、藤木に近づく折茂圭太(伊藤淳史)だったが、思わぬトラブルに巻き込まれてしまい…兼松衆  【主題歌】  「U」三浦大知(SONIC　GROOVE)【企画】  鈴木おさむ(「新企画」幻冬舎)  【脚本】  山田能龍  【演出】  坂本栄隆★番組公式Twitterにて、安藤なつさんと岡田龍太郎さんによるリアルタイムツイート企画を実施予定!お楽しみに!★http://www.ytv.co.jp/smahoman/  【番組公式Twitter】  @smahoman　#脳スマ  【番組公式LINE　ID】  @smahoman  【番組公式Instagram　ID】  smahoman  【番組公式SNOW　ID】  ishino.ryuko</t>
  </si>
  <si>
    <t>『エグザルトン』の社長・黒部仁(岸谷五朗)は、3年ごとに必ず秘書を代える主義で、新しい秘書候補として、女子大生企業家として名を馳せた朝比奈(高月彩良)を雇う。現在の秘書・藤木友里(西丸優子)は、クビの危機にさらされてしまう。  「秘書なら黒部の弱点を知っているはず!徹底マークして!」と息巻く石野柳子(新川優愛)の指示で、藤木に近づく折茂圭太(伊藤淳史)だったが、思わぬトラブルに巻き込まれてしまい…</t>
  </si>
  <si>
    <t>番組名脳にスマホが埋められた!#10【過去との決別…因縁の同期バトル！】</t>
  </si>
  <si>
    <t>折茂圭太…伊藤淳史  石野柳子…新川優愛  安田部々香…安藤なつ（メイプル超合金)    田西譲司…岡田龍太郎  蜂谷薫…野村麻純  臼田定子…ぼくもとさきこ  蟹江小夜…結城モエ    桝本…福士誠治&lt;第10話ゲスト&gt;    楓…中川知香栞…新田祐里子    竹ノ塚史郎…池田鉄洋  栗山五月…篠田麻里子  藤木友里…西丸優子  小堀守…戸田昌宏    黒部仁…岸谷五朗折茂圭太（伊藤淳史）は、社長の黒部仁（岸谷五朗）が、水木花店に毎月3000万円もの大金を、私的に会社から振り込んでいるという『裏金の証拠』をついに掴んだ…  そんな中、圭太は黒部より、商品部のチーフＭＤへの昇格辞令を受ける。商品部には、かつての圭太の同期ライバルで、今は上司となる桝本（福士誠治）がいた。  圭太は桝本から、『裏金の証拠』をもとに黒部を社長解任に追い込もうと提案されるが…兼松衆  【主題歌】  「U」三浦大知(SONIC GROOVE)【企画】  鈴木おさむ(「新企画」幻冬舎)  【脚本】  森ハヤシ  【演出】  根本和政★番組公式Twitterにて、#小島よしお さんによるリアルタイムツイート企画を実施予定！お楽しみに！★http://www.ytv.co.jp/smahoman/  【番組公式Twitter】  @smahoman #脳スマ  【番組公式LINE ID】  @smahoman  【番組公式Instagram ID】  smahoman  【番組公式SNOW ID】  ishino.ryuko</t>
  </si>
  <si>
    <t>折茂圭太（伊藤淳史）は、社長の黒部仁（岸谷五朗）が、水木花店に毎月3000万円もの大金を、私的に会社から振り込んでいるという『裏金の証拠』をついに掴んだ…  そんな中、圭太は黒部より、商品部のチーフＭＤへの昇格辞令を受ける。商品部には、かつての圭太の同期ライバルで、今は上司となる桝本（福士誠治）がいた。  圭太は桝本から、『裏金の証拠』をもとに黒部を社長解任に追い込もうと提案されるが…</t>
  </si>
  <si>
    <t>番組名脳にスマホが埋められた！最終回【因縁の親子喧嘩 スマホ男の衝撃結末】</t>
  </si>
  <si>
    <t>折茂圭太…伊藤淳史  石野柳子…新川優愛  安田部々香…安藤なつ（メイプル超合金)  田西譲司…岡田龍太郎  蜂谷薫…野村麻純  臼田定子…ぼくもとさきこ  蟹江小夜…結城モエ  楓…中川知香  栞…新田祐里子  愛花…高嶋琴羽    林家ペー…林家ペー  安達信也…佐藤寛太(劇団EXILE)    栗山五月…篠田麻里子  藤木友里…西丸優子  小堀守…戸田昌宏    黒部仁…岸谷五朗石野柳子（新川優愛）は折茂圭太（伊藤淳史）に、自身が黒部仁（岸谷五朗）の実の娘であることを打ち明ける。そして同じ頃、安田部々香（安藤なつ）が、「黒部社長もスマホ人間なのでは？」という疑惑を口にする。圭太は黒部に接触し、スマホ人間かどうかを確かめる。そして、柳子と黒部の親子関係の修復を図ろうとするが…  「スマホ人間とは?」「SPMBとは?」…物語は予想もつかない驚きのラストを迎える…!!兼松衆  【主題歌】「U」三浦大知(SONIC GROOVE)【企画】鈴木おさむ(「新企画」幻冬舎)  【脚本】森ハヤシ  【演出】根本和政★番組公式Twitterにて、人気声優の＃梶裕貴さんによるリアルタイムツイート企画を実施予定！お楽しみに！★http://www.ytv.co.jp/smahoman/  【番組公式Twitter】  @smahoman #脳スマ  【番組公式LINE ID】  @smahoman  【番組公式Instagram ID】  smahoman  【番組公式SNOW ID】  ishino.ryuko</t>
  </si>
  <si>
    <t>石野柳子（新川優愛）は折茂圭太（伊藤淳史）に、自身が黒部仁（岸谷五朗）の実の娘であることを打ち明ける。そして同じ頃、安田部々香（安藤なつ）が、「黒部社長もスマホ人間なのでは？」という疑惑を口にする。圭太は黒部に接触し、スマホ人間かどうかを確かめる。そして、柳子と黒部の親子関係の修復を図ろうとするが…  「スマホ人間とは?」「SPMBとは?」…物語は予想もつかない驚きのラストを迎える…!!</t>
  </si>
  <si>
    <t>1707_NTV_土22</t>
  </si>
  <si>
    <t>ウチの夫は仕事ができない</t>
  </si>
  <si>
    <t>番組名ウチの夫は仕事ができない　#1</t>
  </si>
  <si>
    <t>錦戸亮、松岡茉優、イモトアヤコ、壇蜜、薮宏太(Hey!Say!JUMP)、江口のりこ、佐藤隆太イベント会社に勤める小林司(錦戸亮)は見た目・学歴・収入ともに申し分ない理想の夫!しかし実際のところは会社でミスを繰り返すお荷物社員。自分を尊敬する妻・沙也加(松岡茉優)にだけはその事実を知られたくないと思っていた。司は厳しい上司・土方(佐藤隆太)率いる新しい配属先で風当たりに耐えながら一生懸命仕事に打ち込むが、ひょんなことで退職を迫られるピンチに立たされる!そんな矢先、沙也加の妊娠が発覚して…!【演出】佐藤東弥  【プロデューサー】小田玲奈、鈴木香織、森雅弘【脚本】渡辺千穂【主題歌】関ジャニ∞「奇跡の人」(インフィニティ・レコーズ)  【音楽】菅野祐悟【製作著作】日本テレビ  【制作協力】AXON</t>
  </si>
  <si>
    <t>イベント会社に勤める小林司(錦戸亮)は見た目・学歴・収入ともに申し分ない理想の夫!しかし実際のところは会社でミスを繰り返すお荷物社員。自分を尊敬する妻・沙也加(松岡茉優)にだけはその事実を知られたくないと思っていた。司は厳しい上司・土方(佐藤隆太)率いる新しい配属先で風当たりに耐えながら一生懸命仕事に打ち込むが、ひょんなことで退職を迫られるピンチに立たされる!そんな矢先、沙也加の妊娠が発覚して…!</t>
  </si>
  <si>
    <t>番組名ウチの夫は仕事ができない　#2</t>
  </si>
  <si>
    <t>錦戸亮、松岡茉優、イモトアヤコ、壇蜜、薮宏太(Hey!Say!JUMP)、江口のりこ、佐藤隆太司(錦戸亮)は、仕事ができない自分を丸ごと受け入れてくれた妻・沙也加(松岡茉優)のため会社で頑張ろうと決意。上司の土方(佐藤隆太)から教育係に黒川(壇蜜)を指名され、一大イベントを担当することになるが、任されたのは新人の仕事である弁当発注だけ。それでも沙也加と協力して頑張る司。そんな中、司の話から黒川を男と勘違いした沙也加は「黒川先輩についていきましょう」と二人を接近させるアシストをしてしまう…。【演出】佐藤東弥  【プロデューサー】小田玲奈、鈴木香織、森雅弘【脚本】渡辺千穂【主題歌】関ジャニ∞「奇跡の人」(インフィニティ・レコーズ)  【音楽】菅野祐悟【製作著作】日本テレビ  【制作協力】AXON</t>
  </si>
  <si>
    <t>司(錦戸亮)は、仕事ができない自分を丸ごと受け入れてくれた妻・沙也加(松岡茉優)のため会社で頑張ろうと決意。上司の土方(佐藤隆太)から教育係に黒川(壇蜜)を指名され、一大イベントを担当することになるが、任されたのは新人の仕事である弁当発注だけ。それでも沙也加と協力して頑張る司。そんな中、司の話から黒川を男と勘違いした沙也加は「黒川先輩についていきましょう」と二人を接近させるアシストをしてしまう…。</t>
  </si>
  <si>
    <t>番組名ウチの夫は仕事ができない　#3</t>
  </si>
  <si>
    <t>錦戸亮、松岡茉優、イモトアヤコ、壇蜜、薮宏太(Hey!Say!JUMP)、江口のりこ、佐藤隆太  【ゲスト】岸谷五朗司(錦戸亮)はショッピングモールの集客イベントのために超多忙な世界的デザイナー(岸谷五朗)にTシャツのデザインを依頼する。司と一緒にデザイナーの元を訪れた田所(薮宏太)はデザインの締め切りを偽り、まず仕事の確約をとることを優先しようとする。しかし、嘘がつけない司は真実を話して交渉決裂!田所と大喧嘩に!そんな中、妻・沙也加は偶然元カレと再会。司に秘密にする。仕事に家庭に、嘘が小林夫婦にピンチを招く!【演出】小室直子  【プロデューサー】小田玲奈、鈴木香織、森雅弘【脚本】渡辺千穂【主題歌】関ジャニ∞「奇跡の人」(インフィニティ・レコーズ)  【音楽】菅野祐悟【製作著作】日本テレビ  【制作協力】AXON</t>
  </si>
  <si>
    <t>司(錦戸亮)はショッピングモールの集客イベントのために超多忙な世界的デザイナー(岸谷五朗)にTシャツのデザインを依頼する。司と一緒にデザイナーの元を訪れた田所(薮宏太)はデザインの締め切りを偽り、まず仕事の確約をとることを優先しようとする。しかし、嘘がつけない司は真実を話して交渉決裂!田所と大喧嘩に!そんな中、妻・沙也加は偶然元カレと再会。司に秘密にする。仕事に家庭に、嘘が小林夫婦にピンチを招く!</t>
  </si>
  <si>
    <t>番組名ウチの夫は仕事ができない　#4</t>
  </si>
  <si>
    <t>錦戸亮、松岡茉優、イモトアヤコ、壇蜜、薮宏太(Hey!Say!JUMP)、江口のりこ、佐藤隆太司(錦戸亮)は仕事ができない告白をしたことで、最近、妻・沙也加(松岡茉優)とのスキンシップが少なくなっているのではと悩む。会社ではテレビ局のイベントの小さなステージ企画を任され、「隙間責任者」とからかわれるが、妻には責任者になったと見栄を張る。一方、沙也加のマタ友のあかり(イモトアヤコ)の夫に浮気疑惑が勃発!さらに、司はイベント直前に一般参加者のキャンセルが相次ぎ隙間企画中止の危機に追い込まれる…【演出】小室直子  【プロデューサー】小田玲奈、鈴木香織、森雅弘【脚本】渡辺千穂【主題歌】関ジャニ∞「奇跡の人」(インフィニティ・レコーズ)  【音楽】菅野祐悟【製作著作】日本テレビ  【制作協力】AXON</t>
  </si>
  <si>
    <t>司(錦戸亮)は仕事ができない告白をしたことで、最近、妻・沙也加(松岡茉優)とのスキンシップが少なくなっているのではと悩む。会社ではテレビ局のイベントの小さなステージ企画を任され、「隙間責任者」とからかわれるが、妻には責任者になったと見栄を張る。一方、沙也加のマタ友のあかり(イモトアヤコ)の夫に浮気疑惑が勃発!さらに、司はイベント直前に一般参加者のキャンセルが相次ぎ隙間企画中止の危機に追い込まれる…</t>
  </si>
  <si>
    <t>番組名ウチの夫は仕事ができない　#5</t>
  </si>
  <si>
    <t>錦戸亮、松岡茉優、イモトアヤコ、壇蜜、薮宏太(Hey!Say!JUMP)、江口のりこ、佐藤隆太  【ゲスト】羽田美智子司(錦戸亮)と沙也加(松岡茉優)は家に居候を始めたみどり(江口のりこ)に「出ていけ」と言えず悩んでいた。一方、会社では老舗文房具屋の万年筆を高齢者向けに展開するイベントの準備が進む。司は街の声を集める中で「高齢者は万年筆を使っていない」という事実を知るが頑張る土方(佐藤隆太)の姿を見て言えない。そんな中、庶務課の恩田(羽田美智子)が土方の別居中の妻と知り…。仕事に家庭に、司は自分の意見を通せるか?【演出】佐藤東弥  【プロデューサー】小田玲奈、鈴木香織、森雅弘【脚本】渡辺千穂【主題歌】関ジャニ∞「奇跡の人」(インフィニティ・レコーズ)  【音楽】菅野祐悟【製作著作】日本テレビ  【制作協力】AXON</t>
  </si>
  <si>
    <t>司(錦戸亮)と沙也加(松岡茉優)は家に居候を始めたみどり(江口のりこ)に「出ていけ」と言えず悩んでいた。一方、会社では老舗文房具屋の万年筆を高齢者向けに展開するイベントの準備が進む。司は街の声を集める中で「高齢者は万年筆を使っていない」という事実を知るが頑張る土方(佐藤隆太)の姿を見て言えない。そんな中、庶務課の恩田(羽田美智子)が土方の別居中の妻と知り…。仕事に家庭に、司は自分の意見を通せるか?</t>
  </si>
  <si>
    <t>番組名ウチの夫は仕事ができない　#6</t>
  </si>
  <si>
    <t>錦戸亮、松岡茉優、イモトアヤコ、壇蜜、薮宏太(Hey!Say!JUMP)、江口のりこ、佐藤隆太  【ゲスト】袴田吉彦司(錦戸亮)と喧嘩をしたことのない沙也加(松岡茉優)はマタ友から「喧嘩してこそ夫婦の絆は深まる」と聞き焦る。一方会社で司は、下請け会社の危機を救うため経理部に相談するも堅物な合田(袴田吉彦)に門前払いを食らう。土方(佐藤隆太)から喧嘩して下請けを守れと言われ奮闘。そんなとき家に帰ると、大切な粘菌が沙也加の不注意でダメに。想定外の夫婦喧嘩勃発!家庭に仕事に「喧嘩」に悩まされる司に出口は見えるのか!?【演出】森雅弘  【プロデューサー】小田玲奈、鈴木香織【脚本】渡辺千穂【主題歌】関ジャニ∞「奇跡の人」(インフィニティ・レコーズ)  【音楽】菅野祐悟【製作著作】日本テレビ  【制作協力】AXON</t>
  </si>
  <si>
    <t>司(錦戸亮)と喧嘩をしたことのない沙也加(松岡茉優)はマタ友から「喧嘩してこそ夫婦の絆は深まる」と聞き焦る。一方会社で司は、下請け会社の危機を救うため経理部に相談するも堅物な合田(袴田吉彦)に門前払いを食らう。土方(佐藤隆太)から喧嘩して下請けを守れと言われ奮闘。そんなとき家に帰ると、大切な粘菌が沙也加の不注意でダメに。想定外の夫婦喧嘩勃発!家庭に仕事に「喧嘩」に悩まされる司に出口は見えるのか!?</t>
  </si>
  <si>
    <t>番組名ウチの夫は仕事ができない　#7</t>
  </si>
  <si>
    <t>錦戸亮、松岡茉優、イモトアヤコ、壇蜜、薮宏太(Hey!Say!JUMP)、江口のりこ、佐藤隆太  【ゲスト】升毅司(錦戸亮)と沙也加(松岡茉優)はお腹の子が男女どちらか想像を膨らませる。そんな中、司の父(升毅)が突然上京し小林家に滞在することに。一方会社では、司は一人で仕事を任されるが、なかなかうまくいかない。仕事の悩みを家で打ち明けると、沙也加は男の生きづらさを感じ「子供は女の子がいい」と漏らす。父は「男が女に弱音を吐くなんて情けない」と激怒。司は男の子が産まれても沙也加ががっかりしないよう一大奮起する!【演出】小室直子  【プロデューサー】小田玲奈、鈴木香織、森雅弘【脚本】渡辺千穂【主題歌】関ジャニ∞「奇跡の人」(インフィニティ・レコーズ)  【音楽】菅野祐悟【製作著作】日本テレビ  【制作協力】AXON</t>
  </si>
  <si>
    <t>司(錦戸亮)と沙也加(松岡茉優)はお腹の子が男女どちらか想像を膨らませる。そんな中、司の父(升毅)が突然上京し小林家に滞在することに。一方会社では、司は一人で仕事を任されるが、なかなかうまくいかない。仕事の悩みを家で打ち明けると、沙也加は男の生きづらさを感じ「子供は女の子がいい」と漏らす。父は「男が女に弱音を吐くなんて情けない」と激怒。司は男の子が産まれても沙也加ががっかりしないよう一大奮起する!</t>
  </si>
  <si>
    <t>番組名ウチの夫は仕事ができない　#8</t>
  </si>
  <si>
    <t>錦戸亮、松岡茉優、イモトアヤコ、壇蜜、薮宏太(Hey!Say!JUMP)、江口のりこ、佐藤隆太  【ゲスト】小林隆これまでの地道な努力が評価された司(錦戸亮)は社内でも注目される重大イベントの担当者に抜擢される。一方、沙也加(松岡茉優)はマタ友の影響でマイホームを夢見るが…。そんな中、リア充すぎる生活を送る司の小学校時代の親友・高杉(和田正人)との再会が思わぬ転機となる!果たして司は千載一遇のチャンスを掴み、成功の階段を駆け上がることができるのか?ウチの夫は仕事ができる!?…でも…想定外すぎる第二章の幕開け!【演出】佐藤東弥  【プロデューサー】小田玲奈、鈴木香織、森雅弘【脚本】渡辺千穂【主題歌】関ジャニ∞「奇跡の人」(インフィニティ・レコーズ)  【音楽】菅野祐悟【製作著作】日本テレビ  【制作協力】AXON</t>
  </si>
  <si>
    <t>これまでの地道な努力が評価された司(錦戸亮)は社内でも注目される重大イベントの担当者に抜擢される。一方、沙也加(松岡茉優)はマタ友の影響でマイホームを夢見るが…。そんな中、リア充すぎる生活を送る司の小学校時代の親友・高杉(和田正人)との再会が思わぬ転機となる!果たして司は千載一遇のチャンスを掴み、成功の階段を駆け上がることができるのか?ウチの夫は仕事ができる!?…でも…想定外すぎる第二章の幕開け!</t>
  </si>
  <si>
    <t>番組名ウチの夫は仕事ができない #9</t>
  </si>
  <si>
    <t>錦戸亮、松岡茉優、イモトアヤコ、壇蜜、薮宏太(Hey!Say!JUMP)、江口のりこ、佐藤隆太すっかりできる男に変身した司（錦戸亮）はパリで行われる注目のイベントを任される。沙也加（松岡茉優）は司の成功を喜びながらも夫婦で話す時間がなくなったことに虚しさを感じていた。多忙を極め仕事のことで頭がいっぱいの司は成長する赤ちゃんの様子を報告する沙也加の話も上の空。ついに愛妻弁当に手を付けずに家に帰って来てしまう。翌朝、目が覚めると沙也加の姿はなく…。仕事ができることは家族を幸せに導くのか?【演出】小室直子  【プロデューサー】小田玲奈、鈴木香織、森雅弘【脚本】渡辺千穂【主題歌】関ジャニ∞「奇跡の人」（インフィニティ・レコーズ)  【音楽】菅野祐悟【製作著作】日本テレビ  【制作協力】AXON</t>
  </si>
  <si>
    <t>すっかりできる男に変身した司（錦戸亮）はパリで行われる注目のイベントを任される。沙也加（松岡茉優）は司の成功を喜びながらも夫婦で話す時間がなくなったことに虚しさを感じていた。多忙を極め仕事のことで頭がいっぱいの司は成長する赤ちゃんの様子を報告する沙也加の話も上の空。ついに愛妻弁当に手を付けずに家に帰って来てしまう。翌朝、目が覚めると沙也加の姿はなく…。仕事ができることは家族を幸せに導くのか?</t>
  </si>
  <si>
    <t>番組名ウチの夫は仕事ができない#10</t>
  </si>
  <si>
    <t>錦戸亮、松岡茉優、イモトアヤコ、壇蜜、薮宏太(Hey!Say!JUMP)、江口のりこ、佐藤隆太司（錦戸亮）は沙也加（松岡茉優）と一緒に両親学級に参加し父親になることを実感。出産に立ち会うことを決意した。会社では大手自動車会社の社内イベントを担当し、小さな仕事でも全力で向き合う姿に土方（佐藤隆太）は感心。しかも、そのイベントが好評で大仕事が舞い込む。沙也加は「出産が仕事と重なった場合は仕事を優先して」と言うが…。大切な仕事の日、沙也加から破水の連絡が入った司、…仕事と家庭、両立できるのか!?【演出】佐藤東弥  【プロデューサー】小田玲奈、鈴木香織、森雅弘【脚本】渡辺千穂【主題歌】関ジャニ∞「奇跡の人」（インフィニティ・レコーズ)  【音楽】菅野祐悟【製作著作】日本テレビ  【制作協力】AXON</t>
  </si>
  <si>
    <t>司（錦戸亮）は沙也加（松岡茉優）と一緒に両親学級に参加し父親になることを実感。出産に立ち会うことを決意した。会社では大手自動車会社の社内イベントを担当し、小さな仕事でも全力で向き合う姿に土方（佐藤隆太）は感心。しかも、そのイベントが好評で大仕事が舞い込む。沙也加は「出産が仕事と重なった場合は仕事を優先して」と言うが…。大切な仕事の日、沙也加から破水の連絡が入った司、…仕事と家庭、両立できるのか!?</t>
  </si>
  <si>
    <t>1707_NTV_日22</t>
  </si>
  <si>
    <t>愛してたって、秘密はある。</t>
  </si>
  <si>
    <t>番組名愛してたって、秘密はある。　#1</t>
  </si>
  <si>
    <t>福士蒼汰、川口春奈、鈴木浩介、賀来賢人、白洲迅、柄本時生、吉川愛、矢柴俊博、佐伯大地/山本未來、堀部圭亮/岡江久美子、遠藤憲一、鈴木保奈美福士蒼汰、ミステリー初挑戦!中学生の頃に、父親を殺してしまった主人公は、母親(鈴木保奈美)と2人、その事実を隠したまま生きてきた。絶対言えない秘密を抱えながらも、恋人(川口春奈)にプロポーズするが、その直後から、「秘密」を知る何者かから謎のメッセージが届き始めて…!?1話から衝撃の展開が待ち受ける!その秘密、隠し通せるか?愛する人の秘密、どこまで許せるか?愛の極限が問われる自問自答ラブミステリー!【演出】河合勇人  【プロデューサー】鈴間広枝、柳内久仁子【企画・原案】秋元康  【脚本】桑村さや香【主題歌】家入レオ「ずっと、ふたりで」(ビクターエンタテインメント)  【音楽】林ゆうき、橘麻美【製作著作】日本テレビ  【制作協力】AXON</t>
  </si>
  <si>
    <t>ミステリー初挑戦!中学生の頃に、父親を殺してしまった主人公は、母親(鈴木保奈美)と2人、その事実を隠したまま生きてきた。絶対言えない秘密を抱えながらも、恋人(川口春奈)にプロポーズするが、その直後から、「秘密」を知る何者かから謎のメッセージが届き始めて…!?1話から衝撃の展開が待ち受ける!その秘密、隠し通せるか?愛する人の秘密、どこまで許せるか?愛の極限が問われる自問自答ラブミステリー!</t>
  </si>
  <si>
    <t>番組名愛してたって、秘密はある。　#2</t>
  </si>
  <si>
    <t>福士蒼汰、川口春奈、鈴木浩介、賀来賢人、白洲迅、柄本時生、吉川愛、矢柴俊博、佐伯大地/山本未來、堀部圭亮/岡江久美子、遠藤憲一、鈴木保奈美父の遺体を埋めた庭が掘り返され、遺骨と凶器が持ち去られていた。自首すると言い出す黎(福士蒼汰)に対し、晶子(鈴木保奈美)はやめてほしいと懇願。黎は、爽(川口春奈)と別れる決意をする。一方、立花(遠藤憲一)から黎との結婚を反対される彼女のもとに、差出人不明の封筒が届く。その中には、黎の父に関する、ある事実が記された紙が…!爽は、黎が父親のことで嘘をついていると知る。黎は、爽に問い詰められ…!?【演出】河合勇人  【プロデューサー】鈴間広枝、柳内久仁子【企画・原案】秋元康  【脚本】桑村さや香【主題歌】家入レオ「ずっと、ふたりで」(ビクターエンタテインメント)  【音楽】林ゆうき、橘麻美【製作著作】日本テレビ  【制作協力】AXON</t>
  </si>
  <si>
    <t>父の遺体を埋めた庭が掘り返され、遺骨と凶器が持ち去られていた。自首すると言い出す黎(福士蒼汰)に対し、晶子(鈴木保奈美)はやめてほしいと懇願。黎は、爽(川口春奈)と別れる決意をする。一方、立花(遠藤憲一)から黎との結婚を反対される彼女のもとに、差出人不明の封筒が届く。その中には、黎の父に関する、ある事実が記された紙が…!爽は、黎が父親のことで嘘をついていると知る。黎は、爽に問い詰められ…!?</t>
  </si>
  <si>
    <t>番組名愛してたって、秘密はある。　#3</t>
  </si>
  <si>
    <t>福士蒼汰、川口春奈、鈴木浩介、賀来賢人、白洲迅、柄本時生、吉川愛、矢柴俊博、佐伯大地/山本未來、堀部圭亮/岡江久美子、遠藤憲一、鈴木保奈美11年前に黎(福士蒼汰)と晶子(鈴木保奈美)が罪を隠すため、海に沈めた奥森(堀部圭亮)の車が発見された。黎は、誰かが自分に罪を突き付けていると不安を抱く。一方、爽(川口春奈)は結婚を認めてもらおうと立花(遠藤憲一)を説得するが、立花は「信用できない」と拒絶。爽の父親が神奈川地検の検事だと知った晶子は、驚きの行動に出る…!不気味なメール、謎の侵入者…またしても追い詰められていく黎の運命は…!?【演出】佐久間紀佳  【プロデューサー】鈴間広枝、柳内久仁子【企画・原案】秋元康  【脚本】桑村さや香【主題歌】家入レオ「ずっと、ふたりで」(ビクターエンタテインメント)  【音楽】林ゆうき、橘麻美【製作著作】日本テレビ  【制作協力】AXON</t>
  </si>
  <si>
    <t>11年前に黎(福士蒼汰)と晶子(鈴木保奈美)が罪を隠すため、海に沈めた奥森(堀部圭亮)の車が発見された。黎は、誰かが自分に罪を突き付けていると不安を抱く。一方、爽(川口春奈)は結婚を認めてもらおうと立花(遠藤憲一)を説得するが、立花は「信用できない」と拒絶。爽の父親が神奈川地検の検事だと知った晶子は、驚きの行動に出る…!不気味なメール、謎の侵入者…またしても追い詰められていく黎の運命は…!?</t>
  </si>
  <si>
    <t>番組名愛してたって、秘密はある。　#4</t>
  </si>
  <si>
    <t>福士蒼汰、川口春奈、鈴木浩介、賀来賢人、白洲迅、柄本時生、吉川愛、矢柴俊博、佐伯大地/山本未來、堀部圭亮/岡江久美子、遠藤憲一、鈴木保奈美晶子(鈴木保奈美)が階段から転落し、入院することに。黎(福士蒼汰)は次々と起こる不気味な出来事に、母や爽(川口春奈)の身が危ないのではないかと心配し、“黒幕”に立ち向かう決意をする。そんな中、黎と爽は茜(岡江久美子)から、花火大会のチケットをもらうが、黎にとって花火は、父を殺した夜を思い起こさせるものだった…。さらに、爽のマンションの防犯カメラに、不可解な出来事の“犯人”が映っていて…!?【演出】河合勇人  【プロデューサー】鈴間広枝、柳内久仁子【企画・原案】秋元康  【脚本】桑村さや香【主題歌】家入レオ「ずっと、ふたりで」(ビクターエンタテインメント)  【音楽】林ゆうき、橘麻美【製作著作】日本テレビ  【制作協力】AXON</t>
  </si>
  <si>
    <t>晶子(鈴木保奈美)が階段から転落し、入院することに。黎(福士蒼汰)は次々と起こる不気味な出来事に、母や爽(川口春奈)の身が危ないのではないかと心配し、“黒幕”に立ち向かう決意をする。そんな中、黎と爽は茜(岡江久美子)から、花火大会のチケットをもらうが、黎にとって花火は、父を殺した夜を思い起こさせるものだった…。さらに、爽のマンションの防犯カメラに、不可解な出来事の“犯人”が映っていて…!?</t>
  </si>
  <si>
    <t>番組名愛してたって、秘密はある。　#5</t>
  </si>
  <si>
    <t>福士蒼汰、川口春奈、鈴木浩介、賀来賢人、白洲迅、柄本時生、吉川愛、矢柴俊博、佐伯大地/山本未來、堀部圭亮/岡江久美子、遠藤憲一、鈴木保奈美父を殺した凶器のトロフィーが爽(川口春奈)に送り付けられたと知った黎(福士蒼汰)は、激しく動揺。送り主の名は、父だった…!?何者かによる揺さぶりは続き、苦悩を深める黎だが、立花(遠藤憲一)と話すうち、爽への想いを再認識し、立花に結婚を許してくれるよう頭を下げる。彼女を喜ばせようと、婚約指輪をサプライズでプレゼントしようとする黎だったが、下見に行ったチャペルで、さらなる悲劇が襲い掛かる…!【演出】佐久間紀佳  【プロデューサー】鈴間広枝、柳内久仁子【企画・原案】秋元康  【脚本】桑村さや香【主題歌】家入レオ「ずっと、ふたりで」(ビクターエンタテインメント)  【音楽】林ゆうき、橘麻美【製作著作】日本テレビ  【制作協力】AXON</t>
  </si>
  <si>
    <t>父を殺した凶器のトロフィーが爽(川口春奈)に送り付けられたと知った黎(福士蒼汰)は、激しく動揺。送り主の名は、父だった…!?何者かによる揺さぶりは続き、苦悩を深める黎だが、立花(遠藤憲一)と話すうち、爽への想いを再認識し、立花に結婚を許してくれるよう頭を下げる。彼女を喜ばせようと、婚約指輪をサプライズでプレゼントしようとする黎だったが、下見に行ったチャペルで、さらなる悲劇が襲い掛かる…!</t>
  </si>
  <si>
    <t>番組名愛してたって、秘密はある。　#6</t>
  </si>
  <si>
    <t>福士蒼汰、川口春奈、鈴木浩介、賀来賢人、白洲迅、柄本時生、吉川愛、矢柴俊博、佐伯大地/山本未來、堀部圭亮/岡江久美子、遠藤憲一、鈴木保奈美黎(福士蒼汰)が爽(川口春奈)に渡そうとした婚約指輪は、なぜか埋めたはずの奥森(堀部圭亮)の結婚指輪にすり替わっていた…!そんな中、黎と晶子(鈴木保奈美)は警察に呼び出され、「車が崖から落ちた」と通報した人物の声を聞く。しかし、その声に聞き覚えはなく…。何者かによる不気味な揺さぶりは止まらない。自分が爽や晶子を守らなければならないと決意する黎だったが、ついに怒りが爆発…!【演出】山田信義  【プロデューサー】鈴間広枝、柳内久仁子【企画・原案】秋元康  【脚本】松本美弥子【主題歌】家入レオ「ずっと、ふたりで」(ビクターエンタテインメント)  【音楽】林ゆうき、橘麻美【製作著作】日本テレビ  【制作協力】AXON</t>
  </si>
  <si>
    <t>黎(福士蒼汰)が爽(川口春奈)に渡そうとした婚約指輪は、なぜか埋めたはずの奥森(堀部圭亮)の結婚指輪にすり替わっていた…!そんな中、黎と晶子(鈴木保奈美)は警察に呼び出され、「車が崖から落ちた」と通報した人物の声を聞く。しかし、その声に聞き覚えはなく…。何者かによる不気味な揺さぶりは止まらない。自分が爽や晶子を守らなければならないと決意する黎だったが、ついに怒りが爆発…!</t>
  </si>
  <si>
    <t>番組名愛してたって、秘密はある。　#7</t>
  </si>
  <si>
    <t>福士蒼汰、川口春奈、鈴木浩介、賀来賢人、白洲迅、柄本時生、吉川愛、矢柴俊博、佐伯大地/山本未來、堀部圭亮/岡江久美子、遠藤憲一、鈴木保奈美風見(鈴木浩介)と顔を合わせた爽(川口春奈)は、ショックで倒れてしまう。黎(福士蒼汰)は爽から、10年前、何者かに襲われた過去を打ち明けられる。爽は犯人が風見だったというが、信じられない黎。そんな中、黎のもとに不気味な写真が舞い込む。虎太郎(白洲迅)に疑いを持ち、尾行すると、果凛(吉川愛)と会っていて…黎を脅かしてきたのは、この2人なのか!?そして、爽の事件と風見の過去に隠された真相とは…!?【演出】佐久間紀佳  【プロデューサー】鈴間広枝、柳内久仁子【企画・原案】秋元康  【脚本】桑村さや香【主題歌】家入レオ「ずっと、ふたりで」(ビクターエンタテインメント)  【音楽】林ゆうき、橘麻美【製作著作】日本テレビ  【制作協力】AXON</t>
  </si>
  <si>
    <t>風見(鈴木浩介)と顔を合わせた爽(川口春奈)は、ショックで倒れてしまう。黎(福士蒼汰)は爽から、10年前、何者かに襲われた過去を打ち明けられる。爽は犯人が風見だったというが、信じられない黎。そんな中、黎のもとに不気味な写真が舞い込む。虎太郎(白洲迅)に疑いを持ち、尾行すると、果凛(吉川愛)と会っていて…黎を脅かしてきたのは、この2人なのか!?そして、爽の事件と風見の過去に隠された真相とは…!?</t>
  </si>
  <si>
    <t>番組名愛してたって、秘密はある。　#8</t>
  </si>
  <si>
    <t>福士蒼汰、川口春奈、鈴木浩介、賀来賢人、白洲迅、柄本時生、吉川愛、矢柴俊博、佐伯大地/山本未來、堀部圭亮/岡江久美子、遠藤憲一、鈴木保奈美黎(福士蒼汰)は風見(鈴木浩介)の部屋で、父(堀部圭亮)の遺骨、指輪と血痕の付いたトロフィーが入った箱を見つけた。風見は、10年前に爽(川口春奈)を誘拐した事件で自首すると言ったきり、姿を消してしまい、警察は風見を奥森殺害の容疑者と断定し、彼の行方を追う。晶子(鈴木保奈美)は、今までの脅迫の黒幕は風見だと言い、殺害の罪をも着せてしまおうと考えるが、黎は、爽にすべてを告白してから自首すると決意する。【演出】山田信義  【プロデューサー】鈴間広枝、柳内久仁子【企画・原案】秋元康  【脚本】松本美弥子【主題歌】家入レオ「ずっと、ふたりで」(ビクターエンタテインメント)  【音楽】林ゆうき、橘麻美【製作著作】日本テレビ  【制作協力】AXON</t>
  </si>
  <si>
    <t>黎(福士蒼汰)は風見(鈴木浩介)の部屋で、父(堀部圭亮)の遺骨、指輪と血痕の付いたトロフィーが入った箱を見つけた。風見は、10年前に爽(川口春奈)を誘拐した事件で自首すると言ったきり、姿を消してしまい、警察は風見を奥森殺害の容疑者と断定し、彼の行方を追う。晶子(鈴木保奈美)は、今までの脅迫の黒幕は風見だと言い、殺害の罪をも着せてしまおうと考えるが、黎は、爽にすべてを告白してから自首すると決意する。</t>
  </si>
  <si>
    <t>番組名愛してたって、秘密はある。 #9</t>
  </si>
  <si>
    <t>福士蒼汰、川口春奈、鈴木浩介、賀来賢人、白洲迅、柄本時生、吉川愛、矢柴俊博、佐伯大地／山本未來、堀部圭亮／岡江久美子、遠藤憲一、鈴木保奈美晶子（鈴木保奈美）が、11年前に奥森(堀部圭亮)を殺したのは自分だと自首した。黎は葛藤しながらも、警察の事情聴取では晶子に合わせて嘘をつく。晶子は逮捕され、黎は爽（川口春奈）に別れを告げる。そんな折、法律事務所に出勤した爽は、見覚えのない封筒を見つける。中には、奥森が遺した日記のコピーが入っていた。それを読んで衝撃的な事実を知る爽。彼女は、日記に書かれていたことを立花（遠藤憲一）に突きつける。【演出】佐久間紀佳  【プロデューサー】鈴間広枝、柳内久仁子【企画・原案】秋元康  【脚本】桑村さや香【主題歌】家入レオ「ずっと、ふたりで」（ビクターエンタテインメント)  【音楽】林ゆうき、橘麻美【製作著作】日本テレビ  【制作協力】AXON</t>
  </si>
  <si>
    <t>晶子（鈴木保奈美）が、11年前に奥森(堀部圭亮)を殺したのは自分だと自首した。黎は葛藤しながらも、警察の事情聴取では晶子に合わせて嘘をつく。晶子は逮捕され、黎は爽（川口春奈）に別れを告げる。そんな折、法律事務所に出勤した爽は、見覚えのない封筒を見つける。中には、奥森が遺した日記のコピーが入っていた。それを読んで衝撃的な事実を知る爽。彼女は、日記に書かれていたことを立花（遠藤憲一）に突きつける。</t>
  </si>
  <si>
    <t>番組名愛してたって、秘密はある。#10</t>
  </si>
  <si>
    <t>福士蒼汰、川口春奈、鈴木浩介、賀来賢人、白洲迅、柄本時生、吉川愛、矢柴俊博、佐伯大地／山本未來、堀部圭亮／岡江久美子、遠藤憲一、鈴木保奈美「奥森（堀部圭亮）を殺したのは自分だ」と爽（川口春奈）に罪を告白した黎（福士蒼汰）。爽は驚きのあまり、黎を拒絶してしまう。そんな中、警察の捜査により、凶器を爽に送った女が判明！その女が、すべての黒幕だったのか…？真実を確かめるために自首を留まった黎は、ある朝、自宅のリビングで引き裂かれ散乱した奥森の日記のコピーと、見覚えのないDVDを見つける。そのDVDに映っていたのは、思いもよらない人物で…!?【演出】河合勇人  【プロデューサー】鈴間広枝、柳内久仁子【企画・原案】秋元康  【脚本】桑村さや香【主題歌】家入レオ「ずっと、ふたりで」（ビクターエンタテインメント)  【音楽】林ゆうき、橘麻美【製作著作】日本テレビ  【制作協力】AXON</t>
  </si>
  <si>
    <t>「奥森（堀部圭亮）を殺したのは自分だ」と爽（川口春奈）に罪を告白した黎（福士蒼汰）。爽は驚きのあまり、黎を拒絶してしまう。そんな中、警察の捜査により、凶器を爽に送った女が判明！その女が、すべての黒幕だったのか…？真実を確かめるために自首を留まった黎は、ある朝、自宅のリビングで引き裂かれ散乱した奥森の日記のコピーと、見覚えのないDVDを見つける。そのDVDに映っていたのは、思いもよらない人物で…!?</t>
  </si>
  <si>
    <t>1704_NTV_水22</t>
  </si>
  <si>
    <t>母になる</t>
  </si>
  <si>
    <t>番組名母になる　#1</t>
  </si>
  <si>
    <t>沢尻エリカ、藤木直人、中島裕翔、道枝駿佑(関西ジャニーズJr.)、高橋メアリージュン、藤澤遥、望月歩、浅野和之、板谷由夏、風吹ジュン、小池栄子、ほか北海道から上京した結衣(沢尻エリカ)は勤め先の書店で陽一(藤木直人)と出会う。やがて息子の広「コウ」を宿した事をきっかけに、2人は結婚する。陽一の母・里恵(風吹ジュン)にも温かく迎えられ、幸せな時間を過ごしていた。ある日、幼稚園の帰り道に息子が誘拐されてしまう。時を同じくして、アパートで一人暮らしのOL・麻子(小池栄子)は、隣の部屋の様子に不審を抱き、ドアを開けて覗き込んでみると・・・。【演出】中島悟【脚本】水橋文美江【音楽】得田真裕  【主題歌】「Just　You　and　I」　安室奈美恵(Dimension　Point)</t>
  </si>
  <si>
    <t>北海道から上京した結衣(沢尻エリカ)は勤め先の書店で陽一(藤木直人)と出会う。やがて息子の広「コウ」を宿した事をきっかけに、2人は結婚する。陽一の母・里恵(風吹ジュン)にも温かく迎えられ、幸せな時間を過ごしていた。ある日、幼稚園の帰り道に息子が誘拐されてしまう。時を同じくして、アパートで一人暮らしのOL・麻子(小池栄子)は、隣の部屋の様子に不審を抱き、ドアを開けて覗き込んでみると・・・。</t>
  </si>
  <si>
    <t>番組名母になる　#2</t>
  </si>
  <si>
    <t>沢尻エリカ、藤木直人、中島裕翔、道枝駿佑(関西ジャニーズJr.)、高橋メアリージュン、藤澤遥、望月歩、浅野和之、板谷由夏、風吹ジュン、小池栄子、ほか9年前に誘拐された息子が生きていた。離婚して一人で暮らしていた結衣の生活に明るい光を与える。一方の陽一は引きこもり同然の生活を送っていた。そこへ広の過去を調べている児童福祉司の木野愁平がやってくる。広が養護施設にいる事を知らせにきたのだ。そして広が持っている手紙の存在を打ち明ける。そこには衝撃の事実が隠されていたのであった・・・。【演出】中島悟【脚本】水橋文美江【音楽】得田真裕  【主題歌】「Just　You　and　I」　安室奈美恵(Dimension　Point)</t>
  </si>
  <si>
    <t>9年前に誘拐された息子が生きていた。離婚して一人で暮らしていた結衣の生活に明るい光を与える。一方の陽一は引きこもり同然の生活を送っていた。そこへ広の過去を調べている児童福祉司の木野愁平がやってくる。広が養護施設にいる事を知らせにきたのだ。そして広が持っている手紙の存在を打ち明ける。そこには衝撃の事実が隠されていたのであった・・・。</t>
  </si>
  <si>
    <t>番組名母になる　#3</t>
  </si>
  <si>
    <t>沢尻エリカ、藤木直人、中島裕翔、道枝駿佑(関西ジャニーズJr.)、高橋メアリージュン、藤澤遥、望月歩、浅野和之、板谷由夏、風吹ジュン、小池栄子、ほか広と一緒に暮らす事に決めた結衣と陽一。柏崎オートで広の誕生日会が開かれ、すぐに皆と打ち解ける広の様子に里恵と莉沙子も安心する。里恵の勧めで親子3人で一緒に暮らすため、柏崎オートに引っ越して来た結衣は、陽一との距離感に戸惑いながらも、新しい生活が始まる。そんな中、広は誕生日プレゼントに貰った携帯電話でこっそり麻子に連絡を取っていた。麻子は広に「逢いに行く…」と告げ…【演出】中島悟【脚本】水橋文美江【音楽】得田真裕  【主題歌】「Just　You　and　I」　安室奈美恵(Dimension　Point)</t>
  </si>
  <si>
    <t>広と一緒に暮らす事に決めた結衣と陽一。柏崎オートで広の誕生日会が開かれ、すぐに皆と打ち解ける広の様子に里恵と莉沙子も安心する。里恵の勧めで親子3人で一緒に暮らすため、柏崎オートに引っ越して来た結衣は、陽一との距離感に戸惑いながらも、新しい生活が始まる。そんな中、広は誕生日プレゼントに貰った携帯電話でこっそり麻子に連絡を取っていた。麻子は広に「逢いに行く…」と告げ…</t>
  </si>
  <si>
    <t>番組名母になる　#4</t>
  </si>
  <si>
    <t>沢尻エリカ、藤木直人、中島裕翔、道枝駿佑(関西ジャニーズJr.)、高橋メアリージュン、藤澤遥、望月歩、浅野和之、板谷由夏、風吹ジュン、小池栄子、ほか麻子に再会したが、捨てられたとショックを受けた広が、結衣に対してよそよそしく振る舞うようになった。陽一や里恵には今まで通りに接する広の様子に戸惑う結衣。自分が作った弁当も、実は食べていなかったことに気づく。必死のアプローチを試みた結衣に「施設に戻りたい」と本音をぶつける広。しかし結衣は何も言い返せずにその場をやり過ごす。陽一も心配するが、結衣は一人で抱え込んでしまうのだった。【演出】中島悟【脚本】水橋文美江【音楽】得田真裕  【主題歌】「Just　You　and　I」　安室奈美恵(Dimension　Point)</t>
  </si>
  <si>
    <t>麻子に再会したが、捨てられたとショックを受けた広が、結衣に対してよそよそしく振る舞うようになった。陽一や里恵には今まで通りに接する広の様子に戸惑う結衣。自分が作った弁当も、実は食べていなかったことに気づく。必死のアプローチを試みた結衣に「施設に戻りたい」と本音をぶつける広。しかし結衣は何も言い返せずにその場をやり過ごす。陽一も心配するが、結衣は一人で抱え込んでしまうのだった。</t>
  </si>
  <si>
    <t>番組名母になる　#5</t>
  </si>
  <si>
    <t>沢尻エリカ、藤木直人、中島裕翔、道枝駿佑(関西ジャニーズJr.)、高橋メアリージュン、藤澤遥、望月歩、浅野和之、板谷由夏、風吹ジュン、小池栄子、ほか広が姿を消してしまう。結衣は広が麻子の所へ行ったのではないかと不安を抱えるが、木野から今偉と一緒にネットカフェにいるのを見つけたと連絡が来る。広は行方不明になっている今偉の母親の居場所探しで結託していた。ヒントを掴んだ広達は母親に会いに行くが…。同じ頃、麻子は一緒に飲みに行った琴音と意気投合。新しい仕事を紹介して貰っていた。それが柏崎オートの仕事とは知らないまま、里恵にも紹介されて…。【演出】丸谷俊平【脚本】水橋文美江【音楽】得田真裕  【主題歌】「Just　You　and　I」　安室奈美恵(Dimension　Point)</t>
  </si>
  <si>
    <t>広が姿を消してしまう。結衣は広が麻子の所へ行ったのではないかと不安を抱えるが、木野から今偉と一緒にネットカフェにいるのを見つけたと連絡が来る。広は行方不明になっている今偉の母親の居場所探しで結託していた。ヒントを掴んだ広達は母親に会いに行くが…。同じ頃、麻子は一緒に飲みに行った琴音と意気投合。新しい仕事を紹介して貰っていた。それが柏崎オートの仕事とは知らないまま、里恵にも紹介されて…。</t>
  </si>
  <si>
    <t>番組名母になる　#6</t>
  </si>
  <si>
    <t>沢尻エリカ、藤木直人、中島裕翔、道枝駿佑(関西ジャニーズJr.)、高橋メアリージュン、藤澤遥、望月歩、浅野和之、板谷由夏、風吹ジュン、小池栄子、ほか柏崎オートに再び麻子が現れ、ここで働く事になったと言い出す。唖然とする結衣と陽一は、麻子が刑務所にいた事を知りさらに驚く。木野によると、2年前に麻子が起した事件は、つきまとう男の暴力から広を守るためだった。そして麻子が本当の母親だと思っていた木野が刑務所に面会に行ったのは、広に託されていた手紙がきっかけだった。ついに語られる麻子の壮絶な過去と、広との真実。その全てを知った結衣は…。【演出】中島悟【脚本】水橋文美江【音楽】得田真裕  【主題歌】「Just　You　and　I」　安室奈美恵(Dimension　Point)</t>
  </si>
  <si>
    <t>柏崎オートに再び麻子が現れ、ここで働く事になったと言い出す。唖然とする結衣と陽一は、麻子が刑務所にいた事を知りさらに驚く。木野によると、2年前に麻子が起した事件は、つきまとう男の暴力から広を守るためだった。そして麻子が本当の母親だと思っていた木野が刑務所に面会に行ったのは、広に託されていた手紙がきっかけだった。ついに語られる麻子の壮絶な過去と、広との真実。その全てを知った結衣は…。</t>
  </si>
  <si>
    <t>番組名母になる　#7</t>
  </si>
  <si>
    <t>沢尻エリカ、藤木直人、中島裕翔、道枝駿佑(関西ジャニーズJr.)、高橋メアリージュン、藤澤遥、望月歩、浅野和之、板谷由夏、風吹ジュン、小池栄子、ほか結衣は同じ母親としてわかりあいたいと思い、陽一と広を釣りに送り出した後、麻子を家に迎える。低姿勢で謝罪する麻子に、麻子の過去を考えると責める気持ちは無いと謝罪を受け入れる。しかし、結衣が無意識に発した一言で麻子の態度は豹変し、壮絶な言い合いへ。一方、莉沙子も太治に自分が母の代わりをやるので、母親業をやめていいと言われ、戸惑う。そんな中、陽一達と釣りに行った木野は、柏崎オートで意外な人物と再会する。【演出】丸谷俊平【脚本】水橋文美江【音楽】得田真裕  【主題歌】「Just　You　and　I」　安室奈美恵(Dimension　Point)</t>
  </si>
  <si>
    <t>結衣は同じ母親としてわかりあいたいと思い、陽一と広を釣りに送り出した後、麻子を家に迎える。低姿勢で謝罪する麻子に、麻子の過去を考えると責める気持ちは無いと謝罪を受け入れる。しかし、結衣が無意識に発した一言で麻子の態度は豹変し、壮絶な言い合いへ。一方、莉沙子も太治に自分が母の代わりをやるので、母親業をやめていいと言われ、戸惑う。そんな中、陽一達と釣りに行った木野は、柏崎オートで意外な人物と再会する。</t>
  </si>
  <si>
    <t>番組名母になる　#8</t>
  </si>
  <si>
    <t>沢尻エリカ、藤木直人、中島裕翔、道枝駿佑(関西ジャニーズJr.)、高橋メアリージュン、藤澤遥、望月歩、浅野和之、板谷由夏、風吹ジュン、小池栄子、ほか結衣は麻子から、2年前の事件を広が知っても、今は嘘をついて欲しいと頼まれ、困惑する。そんな中、麻子は愛美が柏崎オートに取材目当てで近づいた事を知り、後をつけるとそこには育児放棄された息子の姿が。木野は亡き友達の母の行動にショックを受ける。一方、結衣と陽一は広が昔、麻子と訪れたお好み焼き屋を訪ね、自分たちの知らない広の様子を聞く。同じ頃、広は繭から告白されるが、心の中には別の女子の存在が・・・。【演出】中島悟【脚本】水橋文美江【音楽】得田真裕  【主題歌】「Just　You　and　I」　安室奈美恵(Dimension　Point)</t>
  </si>
  <si>
    <t>結衣は麻子から、2年前の事件を広が知っても、今は嘘をついて欲しいと頼まれ、困惑する。そんな中、麻子は愛美が柏崎オートに取材目当てで近づいた事を知り、後をつけるとそこには育児放棄された息子の姿が。木野は亡き友達の母の行動にショックを受ける。一方、結衣と陽一は広が昔、麻子と訪れたお好み焼き屋を訪ね、自分たちの知らない広の様子を聞く。同じ頃、広は繭から告白されるが、心の中には別の女子の存在が・・・。</t>
  </si>
  <si>
    <t>番組名母になる　#9</t>
  </si>
  <si>
    <t>沢尻エリカ、藤木直人、中島裕翔、道枝駿佑(関西ジャニーズJr.)、高橋メアリージュン、藤澤遥、望月歩、浅野和之、板谷由夏、風吹ジュン、小池栄子、ほか広が学校をサボり女子高生の桃と一緒にいた事を知り、ショックを受ける結衣。それを知った里恵は家族会議を開く事を決め、広に関わる人々を集める。そんな中、広は桃を花火大会に誘う。心配する結衣は麻子に思わず連絡してしまう。麻子は働き口を見つけ、東京を離れると告げ、お互い連絡先を消去する約束をする。陽一は広の恋を微笑ましく見守っていたが、約束の時間に帰ってこなかった広に、厳しい父親の顔を見せる。【演出】丸谷俊平【脚本】水橋文美江【音楽】得田真裕  【主題歌】「Just　You　and　I」　安室奈美恵(Dimension　Point)</t>
  </si>
  <si>
    <t>広が学校をサボり女子高生の桃と一緒にいた事を知り、ショックを受ける結衣。それを知った里恵は家族会議を開く事を決め、広に関わる人々を集める。そんな中、広は桃を花火大会に誘う。心配する結衣は麻子に思わず連絡してしまう。麻子は働き口を見つけ、東京を離れると告げ、お互い連絡先を消去する約束をする。陽一は広の恋を微笑ましく見守っていたが、約束の時間に帰ってこなかった広に、厳しい父親の顔を見せる。</t>
  </si>
  <si>
    <t>番組名母になる　#10</t>
  </si>
  <si>
    <t>沢尻エリカ、藤木直人、中島裕翔、道枝駿佑(関西ジャニーズJr.)、高橋メアリージュン、藤澤遥、望月歩、浅野和之、板谷由夏、風吹ジュン、小池栄子、ほか麻子が東京を去り、結衣は気持ちを切り替えると宣言。そんな中、莉沙子は長期出張を断った事を繭と太治に言い出せずにいた。繭は自分の為に仕事を断ったと察し、会社に直談判をしに行く。一方、麻子への気持ちに決着を付けられずにいた結衣は、広のマラソン大会のお知らせを麻子に送ってしまう。広は桃に彼氏がいる事を知り、意気消沈。マラソン大会には誰も応援に来ないで欲しいと言い出し、再び家族会議が開かれる事に・・・【演出】中島悟【脚本】水橋文美江【音楽】得田真裕  【主題歌】「Just　You　and　I」　安室奈美恵(Dimension　Point)</t>
  </si>
  <si>
    <t>麻子が東京を去り、結衣は気持ちを切り替えると宣言。そんな中、莉沙子は長期出張を断った事を繭と太治に言い出せずにいた。繭は自分の為に仕事を断ったと察し、会社に直談判をしに行く。一方、麻子への気持ちに決着を付けられずにいた結衣は、広のマラソン大会のお知らせを麻子に送ってしまう。広は桃に彼氏がいる事を知り、意気消沈。マラソン大会には誰も応援に来ないで欲しいと言い出し、再び家族会議が開かれる事に・・・</t>
  </si>
  <si>
    <t>1704_NTV_木23</t>
  </si>
  <si>
    <t>恋がヘタでも生きてます</t>
  </si>
  <si>
    <t>番組名新ドラマ「恋がヘタでも生きてます」高梨臨　田中圭　土村芳　淵上泰史</t>
  </si>
  <si>
    <t>茅ヶ崎美沙…高梨臨  雄島佳介…田中圭  榎田千尋…土村芳  橋本司…淵上泰史    桜井理佳子…内田理央  柿谷真吾…小関裕太  時藤仁…長田成哉  小池奈々…今野杏南  塚地マサノブ…中村公隆  夏目元気…雨野宮将明  前島耕一…金剛地武志    日下部慎太郎…寺脇康文スマホゲーム会社で恋愛ゲームのプロデューサーを務める茅ヶ崎美沙(高梨臨)。仕事が恋人で恋愛は2か月以上続かない。ヒットゲームを生み出し日々奮闘していた美沙だが、突然現れた経営のプロ・雄島佳介(田中圭)に念願だった社長の座を奪われる。美沙の親友・榎田千尋(土村芳)は、4年付き合っていた彼氏からプロポーズされるが、彼氏の浮気を目撃。そんな彼女の前に、女は体だけで十分と言う橋本司(淵上泰史)が現れる。吉俣良  【主題歌】  「Girl」秦基博(AUGUSTA　RECORDS/UNIVERSAL　MUSIC　LLC)【原作】  「恋がヘタでも生きてます」藤原晶　小学館「プチコミック」FCα刊  【脚本】  横田理恵  【演出】  大谷健太郎【番組公式サイト】  http://www.ytv.co.jp/koiheta/  【番組公式Twitter】  @ytvdrama　#恋ヘタ　  【番組ウラ公式Twitter】  @koiheta0406　#恋ヘタ  【番組公式LINE】  ID:@koiheta  【番組公式Instagram】  ID:@koiheta</t>
  </si>
  <si>
    <t xml:space="preserve">スマホゲーム会社で恋愛ゲームのプロデューサーを務める茅ヶ崎美沙(高梨臨)。仕事が恋人で恋愛は2か月以上続かない。ヒットゲームを生み出し日々奮闘していた美沙だが、突然現れた経営のプロ・雄島佳介(田中圭)に念願だった社長の座を奪われる。美沙の親友・榎田千尋(土村芳)は、4年付き合っていた彼氏からプロポーズされるが、彼氏の浮気を目撃。そんな彼女の前に、女は体だけで十分と言う橋本司(淵上泰史)が現れる。吉俣良  </t>
  </si>
  <si>
    <t>番組名「恋がヘタでも生きてます」高梨臨　田中圭　土村芳　淵上泰史　愛でるキス</t>
  </si>
  <si>
    <t>茅ヶ崎美沙…高梨臨  雄島佳介…田中圭  榎田千尋…土村芳  橋本司…淵上泰史    桜井理佳子…内田理央  柿谷真吾…小関裕太  時藤仁…長田成哉  小池奈々…今野杏南  塚地マサノブ…中村公隆  夏目元気…雨野宮将明  前島耕一…金剛地武志    和久井遙香…野波麻帆    日下部慎太郎…寺脇康文スマホゲーム会社で恋愛ゲームのプロデューサーを務める美沙(高梨臨)。恋愛ヘタの美沙は突然現れた佳介(田中圭)にキスされ、交際を申し込まれた。社長の座も佳介に奪われた美沙は、仕事の実権を握られ今まで通り仕事ができないでいた。そんな中、ゲームの新キャラがパクリではないかという騒動が。一方、婚約者に浮気されていた千尋(土村芳)は、池に溺れていたのを救ってくれた命の恩人・司(淵上泰史)と再会する。吉俣良  【主題歌】  「Girl」秦基博(AUGUSTA　RECORDS/UNIVERSAL　MUSIC　LLC)【原作】  「恋がヘタでも生きてます」藤原晶　小学館「プチコミック」FCα刊  【脚本】  横田理恵  【演出】  大谷健太郎【番組公式サイト】  http://www.ytv.co.jp/koiheta/  【番組公式Twitter】  @ytvdrama　#恋ヘタ　  【番組ウラ公式Twitter】  @koiheta0406　#恋ヘタ  【番組公式LINE】  ID:@koiheta  【番組公式Instagram】  ID:@koiheta</t>
  </si>
  <si>
    <t xml:space="preserve">スマホゲーム会社で恋愛ゲームのプロデューサーを務める美沙(高梨臨)。恋愛ヘタの美沙は突然現れた佳介(田中圭)にキスされ、交際を申し込まれた。社長の座も佳介に奪われた美沙は、仕事の実権を握られ今まで通り仕事ができないでいた。そんな中、ゲームの新キャラがパクリではないかという騒動が。一方、婚約者に浮気されていた千尋(土村芳)は、池に溺れていたのを救ってくれた命の恩人・司(淵上泰史)と再会する。吉俣良  </t>
  </si>
  <si>
    <t>番組名「恋がヘタでも生きてます」高梨臨　田中圭　土村芳　淵上泰史　楽し恥ずコメ</t>
  </si>
  <si>
    <t>茅ヶ崎美沙…高梨臨  雄島佳介…田中圭  榎田千尋…土村芳  橋本司…淵上泰史    桜井理佳子…内田理央  柿谷真吾…小関裕太  時藤仁…長田成哉  小池奈々…今野杏南  塚地マサノブ…中村公隆  夏目元気…雨野宮将明    和久井遙香…野波麻帆    日下部慎太郎…寺脇康文美沙(高梨臨)は佳介(田中圭)から交際を申し込まれるが、「付き合いたいなら会社をやめてください」と条件を突きつける。そんな中、2人は取引先の社長である佳介の元カノ・遙香(野波麻帆)が主催するパーティーへ行くことに。デートのような雰囲気に“仕事”と言い聞かせ葛藤する美沙。しかし、その思いとは裏腹な行動に出てしまう。そして、その夜、突如佳介とお泊りすることにー吉俣良  【主題歌】  「Girl」秦基博(AUGUSTA　RECORDS/UNIVERSAL　MUSIC　LLC)【原作】  「恋がヘタでも生きてます」藤原晶　小学館「プチコミック」FCα刊  【脚本】  牟田桂子  【演出】  本田隆一【番組公式サイト】  http://www.ytv.co.jp/koiheta/  【番組公式Twitter】  @ytvdrama　#恋ヘタ　  【番組ウラ公式Twitter】  @koiheta0406　#恋ヘタ  【番組公式LINE】  ID:@koiheta  【番組公式Instagram】  ID:@koiheta</t>
  </si>
  <si>
    <t xml:space="preserve">美沙(高梨臨)は佳介(田中圭)から交際を申し込まれるが、「付き合いたいなら会社をやめてください」と条件を突きつける。そんな中、2人は取引先の社長である佳介の元カノ・遙香(野波麻帆)が主催するパーティーへ行くことに。デートのような雰囲気に“仕事”と言い聞かせ葛藤する美沙。しかし、その思いとは裏腹な行動に出てしまう。そして、その夜、突如佳介とお泊りすることにー吉俣良  </t>
  </si>
  <si>
    <t>番組名「恋がヘタでも生きてます」高梨臨　田中圭　土村芳　淵上泰史</t>
  </si>
  <si>
    <t>茅ヶ崎美沙…高梨臨  雄島佳介…田中圭  榎田千尋…土村芳  橋本司…淵上泰史    桜井理佳子…内田理央  柿谷真吾…小関裕太  時藤仁…長田成哉  小池奈々…今野杏南  塚地マサノブ…中村公隆  夏目元気…雨野宮将明  前島耕一…金剛地武志    和久井遙香…野波麻帆佳介(田中圭)と一晩をともにすることになった美沙(高梨臨)だったが、突然逃げ出してしまう。そんな矢先、後輩の真吾(小関裕太)が思いもよらぬ行動を…一方、千尋(土村芳)は、『彼氏を浮気相手から取り戻すレッスン』として司(淵上泰史)と体の関係を持つことに。さらに、千尋の彼氏を奪った理佳子(内田理央)が司にも近づき始めたー。それぞれに待ち受ける恋の試練を“恋ヘタ”男女は乗り越えていくことができるのか!?吉俣良  【主題歌】  「Girl」秦基博(AUGUSTA　RECORDS/UNIVERSAL　MUSIC　LLC)【原作】  「恋がヘタでも生きてます」藤原晶　小学館「プチコミック」FCα刊  【脚本】  横田理恵  【演出】  本田隆一【番組公式サイト】  http://www.ytv.co.jp/koiheta/  【番組公式Twitter】  @ytvdrama　#恋ヘタ　  【番組ウラ公式Twitter】  @koiheta0406　#恋ヘタ  【番組公式LINE】  ID:@koiheta  【番組公式Instagram】  ID:@koiheta</t>
  </si>
  <si>
    <t>佳介(田中圭)と一晩をともにすることになった美沙(高梨臨)だったが、突然逃げ出してしまう。そんな矢先、後輩の真吾(小関裕太)が思いもよらぬ行動を…一方、千尋(土村芳)は、『彼氏を浮気相手から取り戻すレッスン』として司(淵上泰史)と体の関係を持つことに。さらに、千尋の彼氏を奪った理佳子(内田理央)が司にも近づき始めたー。それぞれに待ち受ける恋の試練を“恋ヘタ”男女は乗り越えていくことができるのか!?</t>
  </si>
  <si>
    <t>番組名恋がヘタでも生きてます「絶叫…初デートと最後の夜」高梨臨　田中圭</t>
  </si>
  <si>
    <t>茅ヶ崎美沙…高梨臨  雄島佳介…田中圭  榎田千尋…土村芳  橋本司…淵上泰史    桜井理佳子…内田理央  柿谷真吾…小関裕太  時藤仁…長田成哉  小池奈々…今野杏南  塚地マサノブ…中村公隆  夏目元気…雨野宮将明  黒川卓美…小西遼生  占い師…山崎ケイ(相席スタート)佳介(田中圭)と一晩ともにする直前で逃げ出した美沙(高梨臨)。さらに真吾(小関裕太)からもキスをされ…そんな中、佳介からデートに誘われる。迷いながらもデートへ行くことを決意したが、思いもよらぬ事態に。一方、婚約者に浮気された千尋(土村芳)は司(淵上泰史)と体の関係を持つことに。しかし、理佳子(内田理央)がまたもや邪魔をし始める。苦悩と葛藤を繰り返しながらも前に進もうとする恋ヘタ男女たちの運命は!?吉俣良  【主題歌】  「Girl」秦基博(AUGUSTA　RECORDS/UNIVERSAL　MUSIC　LLC)【原作】  藤原晶「恋がヘタでも生きてます」小学館「プチコミック」FCα刊  【脚本】  横田理恵  【演出】  大谷健太郎【番組公式サイト】  http://www.ytv.co.jp/koiheta/  【番組公式Twitter】  @ytvdrama　#恋ヘタ　  【番組ウラ公式Twitter】  @koiheta0406　#恋ヘタ  【番組公式LINE】  ID:@koiheta  【番組公式Instagram】  ID:@koiheta</t>
  </si>
  <si>
    <t xml:space="preserve">佳介(田中圭)と一晩ともにする直前で逃げ出した美沙(高梨臨)。さらに真吾(小関裕太)からもキスをされ…そんな中、佳介からデートに誘われる。迷いながらもデートへ行くことを決意したが、思いもよらぬ事態に。一方、婚約者に浮気された千尋(土村芳)は司(淵上泰史)と体の関係を持つことに。しかし、理佳子(内田理央)がまたもや邪魔をし始める。苦悩と葛藤を繰り返しながらも前に進もうとする恋ヘタ男女たちの運命は!?吉俣良  </t>
  </si>
  <si>
    <t>番組名恋がヘタでも生きてます「結ばれた先の切なき悶え」高梨臨　田中圭</t>
  </si>
  <si>
    <t>茅ヶ崎美沙…高梨臨  雄島佳介…田中圭  榎田千尋…土村芳  橋本司…淵上泰史    桜井理佳子…内田理央  柿谷真吾…小関裕太  時藤仁…長田成哉  小池奈々…今野杏南  塚地マサノブ…中村公隆  夏目元気…雨野宮将明  黒川卓美…小西遼生    和久井遙香…野波麻帆  日下部慎太郎…寺脇康文初デートの後、ついに佳介(田中圭)と結ばれ喜ぶ美沙(高梨臨)。だが、いざ付き合ったらどうしていいか分からず、どんどん不安が募っていく。そんな中、元カレに誘われ、迷いながらも会うことに…体の関係だけと割り切っていたはずの千尋(土村芳)は、徐々に司(淵上泰史)に惹かれ始め、ついに婚約者の仁(長田成哉)に別れを告げる。自分の思いとは裏腹に…自分の思いに正直に…恋ヘタ男女たちの恋の行方は、はたして!?吉俣良  【主題歌】  「Girl」秦基博(AUGUSTA　RECORDS/UNIVERSAL　MUSIC　LLC)【原作】  「恋がヘタでも生きてます」藤原晶　小学館「プチコミック」FCα刊  【脚本】  牟田桂子  【演出】  大谷健太郎【番組公式サイト】  http://www.ytv.co.jp/koiheta/  【番組公式Twitter】  @ytvdrama　#恋ヘタ　  【番組ウラ公式Twitter】  @koiheta0406　#恋ヘタ  【番組公式LINE】  ID:@koiheta  【番組公式Instagram】  ID:@koiheta</t>
  </si>
  <si>
    <t>初デートの後、ついに佳介(田中圭)と結ばれ喜ぶ美沙(高梨臨)。だが、いざ付き合ったらどうしていいか分からず、どんどん不安が募っていく。そんな中、元カレに誘われ、迷いながらも会うことに…体の関係だけと割り切っていたはずの千尋(土村芳)は、徐々に司(淵上泰史)に惹かれ始め、ついに婚約者の仁(長田成哉)に別れを告げる。自分の思いとは裏腹に…自分の思いに正直に…恋ヘタ男女たちの恋の行方は、はたして!?</t>
  </si>
  <si>
    <t>番組名恋がヘタでも生きてます「恋人の幸せ、セフレの覚悟」高梨臨　田中圭　#7</t>
  </si>
  <si>
    <t>茅ヶ崎美沙…高梨臨  雄島佳介…田中圭  榎田千尋…土村芳  橋本司…淵上泰史    桜井理佳子…内田理央  柿谷真吾…小関裕太  時藤仁…長田成哉  小池奈々…今野杏南  塚地マサノブ…中村公隆  夏目元気…雨野宮将明  前島耕一…金剛地武志  川上怜奈…大沢ひかる  黒川卓美…小西遼生  馬場薫…遊井亮子佳介(田中圭)に元カレとのキスを目撃されてしまった美沙(高梨臨)。たまっていた不安を優しく受け止めてくれる佳介に初めて自分の思いを伝える。彼女として充実した生活を満喫する美沙だったが、佳介の思わぬ姿を目撃してしまうー結婚を取りやめた千尋(土村芳)は、新しいスタートを切ろうと決意。しかし、司(淵上泰史)のことになるとセフレとしての立場に苦悩してしまう。2人のいびつな関係は一体どうなっていくのかー吉俣良  【主題歌】  「Girl」秦基博(AUGUSTA　RECORDS/UNIVERSAL　MUSIC　LLC)【原作】  「恋がヘタでも生きてます」藤原晶　小学館「プチコミック」FCα刊  【脚本】  松本美弥子  【演出】  大谷健太郎【番組公式サイト】  http://www.ytv.co.jp/koiheta/  【番組公式Twitter】  @ytvdrama　#恋ヘタ　  【番組ウラ公式Twitter】  @koiheta0406　#恋ヘタ  【番組公式LINE】  ID:@koiheta  【番組公式Instagram】  ID:@koiheta</t>
  </si>
  <si>
    <t>佳介(田中圭)に元カレとのキスを目撃されてしまった美沙(高梨臨)。たまっていた不安を優しく受け止めてくれる佳介に初めて自分の思いを伝える。彼女として充実した生活を満喫する美沙だったが、佳介の思わぬ姿を目撃してしまうー結婚を取りやめた千尋(土村芳)は、新しいスタートを切ろうと決意。しかし、司(淵上泰史)のことになるとセフレとしての立場に苦悩してしまう。2人のいびつな関係は一体どうなっていくのかー</t>
  </si>
  <si>
    <t>番組名恋がヘタでも生きてます「私、全てを失うの?」高梨臨　田中圭</t>
  </si>
  <si>
    <t>茅ヶ崎美沙…高梨臨  雄島佳介…田中圭  榎田千尋…土村芳  橋本司…淵上泰史    桜井理佳子…内田理央  柿谷真吾…小関裕太  時藤仁…長田成哉  小池奈々…今野杏南  塚地マサノブ…中村公隆  夏目元気…雨野宮将明  前島耕一…金剛地武志  川上怜奈…大沢ひかる  馬場薫…遊井亮子  和久井遙香…野波麻帆  日下部慎太郎…寺脇康文幸せの絶頂だった美沙(高梨臨)だが、佳介(田中圭)の元カノ・怜奈(大沢ひかる)が現れ、佳介から距離を置こうと言われてしまう。恋も仕事も行き詰まり路頭に迷ってしまう美沙…結婚を取りやめた千尋(土村芳)は、“セフレ”ではなく、なんとか司(淵上泰史)と一緒の時間を過ごしたいという思いが強まっていく。しかし、司の部屋で理佳子(内田理央)と出くわし、司を取り合う女同士のケンカが…その結末とはー?吉俣良  【主題歌】  「Girl」秦基博(AUGUSTA　RECORDS/UNIVERSAL　MUSIC　LLC)【原作】  「恋がヘタでも生きてます」藤原晶　小学館「プチコミック」FCα刊  【脚本】  横田理恵  【演出】  大谷健太郎【番組公式サイト】  http://www.ytv.co.jp/koiheta/  【番組公式Twitter】  @ytvdrama　#恋ヘタ　  【番組ウラ公式Twitter】  @koiheta0406　#恋ヘタ  【番組公式LINE】  ID:@koiheta  【番組公式Instagram】  ID:@koiheta</t>
  </si>
  <si>
    <t>幸せの絶頂だった美沙(高梨臨)だが、佳介(田中圭)の元カノ・怜奈(大沢ひかる)が現れ、佳介から距離を置こうと言われてしまう。恋も仕事も行き詰まり路頭に迷ってしまう美沙…結婚を取りやめた千尋(土村芳)は、“セフレ”ではなく、なんとか司(淵上泰史)と一緒の時間を過ごしたいという思いが強まっていく。しかし、司の部屋で理佳子(内田理央)と出くわし、司を取り合う女同士のケンカが…その結末とはー?</t>
  </si>
  <si>
    <t>番組名恋がヘタでも生きてます「あなたの手のぬくもり」高梨臨　田中圭</t>
  </si>
  <si>
    <t>茅ヶ崎美沙…高梨臨  雄島佳介…田中圭  榎田千尋…土村芳  橋本司…淵上泰史    桜井理佳子…内田理央  柿谷真吾…小関裕太  時藤仁…長田成哉  小池奈々…今野杏南  塚地マサノブ…中村公隆  夏目元気…雨野宮将明  前島耕一…金剛地武志  川上怜奈…大沢ひかる  馬場薫…遊井亮子  小宮山泰造…森岡豊  和久井遙香…野波麻帆  日下部慎太郎…寺脇康文佳介(田中圭)から距離を置こうと言われ、彼女としての立場に葛藤する美沙(高梨臨)。佳介に言われた言葉をきっかけに自分を見つめ直した美沙は、恋も仕事も前向きに頑張っていこうと決意する…しかし、そんな矢先、会社の根幹を揺るがす大問題が発覚…司(淵上泰史)と一緒にいたい千尋(土村芳)は、意を決してランチデートに誘う。初めてのデートを楽しみ、幸せをかみしめる千尋だが、司は驚きの言葉を口にする…吉俣良  【主題歌】「Girl」秦基博(AUGUSTA　RECORDS/UNIVERSAL　MUSIC　LLC)【原作】「恋がヘタでも生きてます」藤原晶　小学館「プチコミック」FCα刊  【脚本】横田理恵  【演出】汐口武史【番組公式サイト】  http://www.ytv.co.jp/koiheta/  【番組公式Twitter】  @ytvdrama　#恋ヘタ　  【番組ウラ公式Twitter】  @koiheta0406　#恋ヘタ  【番組公式LINE】  ID:@koiheta  【番組公式Instagram】  ID:@koiheta</t>
  </si>
  <si>
    <t>佳介(田中圭)から距離を置こうと言われ、彼女としての立場に葛藤する美沙(高梨臨)。佳介に言われた言葉をきっかけに自分を見つめ直した美沙は、恋も仕事も前向きに頑張っていこうと決意する…しかし、そんな矢先、会社の根幹を揺るがす大問題が発覚…司(淵上泰史)と一緒にいたい千尋(土村芳)は、意を決してランチデートに誘う。初めてのデートを楽しみ、幸せをかみしめる千尋だが、司は驚きの言葉を口にする…</t>
  </si>
  <si>
    <t>番組名恋がヘタでも生きてます「あなたのことが好き」高梨臨　田中圭</t>
  </si>
  <si>
    <t>茅ヶ崎美沙…高梨臨  雄島佳介…田中圭  榎田千尋…土村芳  橋本司…淵上泰史    桜井理佳子…内田理央  柿谷真吾…小関裕太  小池奈々…今野杏南  塚地マサノブ…中村公隆  夏目元気…雨野宮将明  前島耕一…金剛地武志  川上怜奈…大沢ひかる  馬場薫…遊井亮子  小宮山泰造…森岡豊  和久井遙香…野波麻帆  日下部慎太郎…寺脇康文バスキアの買収問題が発覚し、美沙(高梨臨)は佳介(田中圭)に会社を辞めると告げた。仕事と恋愛の両方を失いかけていた美沙は、ついにある決心を胸に佳介のもとへー。結婚を取りやめ、司(淵上泰史)に「セフレにしてください!」と頼み込んだ千尋(土村芳)は、司から別れを切り出され、“セフレ”という、いびつな関係も解消し、今までのように会えなくなってしまう。2人の恋は、このまま切ない終わりを迎えてしまうのかー。吉俣良  【主題歌】  「Girl」秦基博(AUGUSTA　RECORDS/UNIVERSAL　MUSIC　LLC)【原作】  「恋がヘタでも生きてます」藤原晶　小学館「プチコミック」FCα刊  【脚本】  松本美弥子  【演出】  大谷健太郎【番組公式サイト】  http://www.ytv.co.jp/koiheta/  【番組公式Twitter】  @ytvdrama　#恋ヘタ　  【番組ウラ公式Twitter】  @koiheta0406　#恋ヘタ  【番組公式LINE】  ID:@koiheta  【番組公式Instagram】  ID:@koiheta</t>
  </si>
  <si>
    <t>バスキアの買収問題が発覚し、美沙(高梨臨)は佳介(田中圭)に会社を辞めると告げた。仕事と恋愛の両方を失いかけていた美沙は、ついにある決心を胸に佳介のもとへー。結婚を取りやめ、司(淵上泰史)に「セフレにしてください!」と頼み込んだ千尋(土村芳)は、司から別れを切り出され、“セフレ”という、いびつな関係も解消し、今までのように会えなくなってしまう。2人の恋は、このまま切ない終わりを迎えてしまうのかー。</t>
  </si>
  <si>
    <t>番組名恋がヘタでも生きてます「恋がヘタでも生きていく」高梨臨　田中圭</t>
  </si>
  <si>
    <t>茅ヶ崎美沙…高梨臨  雄島佳介…田中圭  榎田千尋…土村芳  橋本司…淵上泰史    桜井理佳子…内田理央  柿谷真吾…小関裕太  時藤仁…長田成哉  小池奈々…今野杏南  塚地マサノブ…中村公隆  夏目元気…雨野宮将明  前島耕一…金剛地武志  川上怜奈…大沢ひかる  馬場薫…遊井亮子  小宮山泰造…森岡豊  和久井遙香…野波麻帆  日下部慎太郎…寺脇康文美沙(高梨臨)は会社を辞める、と佳介(田中圭)に伝え合鍵も返してしまう。その後、バスキアの買収問題は意外な展開に。そして、その裏には思いもよらぬ事実が隠されていた…恋に仕事に佳介から振り回されていた美沙はどんな運命を迎えるのかー!?千尋(土村芳)は司(淵上泰史)から「もう会わない」と別れを切り出されてしまった。会わない間、お互いのことを考えていた2人に待ち受ける驚きの結末とはー!?吉俣良  【主題歌】  「Girl」秦基博(AUGUSTA　RECORDS/UNIVERSAL　MUSIC　LLC)【原作】  「恋がヘタでも生きてます」藤原晶　小学館「プチコミック」FCα刊  【脚本】  横田理恵  【演出】  大谷健太郎【番組公式サイト】  http://www.ytv.co.jp/koiheta/  【番組公式Twitter】  @ytvdrama　#恋ヘタ　  【番組ウラ公式Twitter】  @koiheta0406　#恋ヘタ  【番組公式LINE】  ID:@koiheta  【番組公式Instagram】  ID:@koiheta</t>
  </si>
  <si>
    <t>美沙(高梨臨)は会社を辞める、と佳介(田中圭)に伝え合鍵も返してしまう。その後、バスキアの買収問題は意外な展開に。そして、その裏には思いもよらぬ事実が隠されていた…恋に仕事に佳介から振り回されていた美沙はどんな運命を迎えるのかー!?千尋(土村芳)は司(淵上泰史)から「もう会わない」と別れを切り出されてしまった。会わない間、お互いのことを考えていた2人に待ち受ける驚きの結末とはー!?</t>
  </si>
  <si>
    <t>1704_NTV_土22</t>
  </si>
  <si>
    <t>ボク、運命の人です。</t>
  </si>
  <si>
    <t>番組名ボク、運命の人です。　#1</t>
  </si>
  <si>
    <t>亀梨和也、木村文乃　　菜々緒、澤部佑、渡辺江里子(阿佐ヶ谷姉妹)、岡野真也/杉本哲太/大倉孝二、石野真子、田辺誠一/山下智久これまで圧倒的に女運の無い恋愛ばかりしてきた男:正木誠(亀梨和也)。彼はこの春、東京の営業所へと異動してくることに。そんな誠が家に着くと、突然謎の男(山下智久)が現れる。自分を神と名乗るその男。驚く誠に一人の女性:湖月晴子(木村文乃)の写真を見せ、彼女が誠の「運命の女性」だと告げる。晴子は誠にとって見ず知らずの女性……。しかし二人は過去に何度も奇跡のようなすれ違いをしていたことが明らかになりーー。【演出】佐久間紀佳  【プロデューサー】福井雄太、下山潤【脚本】金子茂樹【主題歌】亀と山P「背中越しのチャンス」(ジェイ・ストーム)  【音楽】林ゆうき【製作著作】日本テレビ  【制作協力】日活</t>
  </si>
  <si>
    <t>これまで圧倒的に女運の無い恋愛ばかりしてきた男:正木誠(亀梨和也)。彼はこの春、東京の営業所へと異動してくることに。そんな誠が家に着くと、突然謎の男(山下智久)が現れる。自分を神と名乗るその男。驚く誠に一人の女性:湖月晴子(木村文乃)の写真を見せ、彼女が誠の「運命の女性」だと告げる。晴子は誠にとって見ず知らずの女性……。しかし二人は過去に何度も奇跡のようなすれ違いをしていたことが明らかになりーー。</t>
  </si>
  <si>
    <t>番組名ボク、運命の人です。#2</t>
  </si>
  <si>
    <t>亀梨和也、木村文乃　　満島真之介、菜々緒、澤部佑、渡辺江里子(阿佐ヶ谷姉妹)、岡野真也/杉本哲太/大倉孝二、石野真子、田辺誠一/山下智久恋のライバル登場!晴子(木村文乃)は高校の同級生・定岡(満島真之介)と運命的な再会を果たす。誠(亀梨和也)はその瞬間を目撃し対抗しようとするが、晴子の目にはまだ誠の存在は「運命を語る変わった男」という認識でしかなかった。誠が謎の男(山下智久)にどうすればいいかと尋ねると、誠に今必要なのは愛でも情熱でもなく「お金」だという。「お金」に立ち向かう誠。彼の持つ運命の力は彼に味方をするのか……【演出】佐久間紀佳  【プロデューサー】福井雄太、下山潤【脚本】金子茂樹【主題歌】亀と山P「背中越しのチャンス」(ジェイ・ストーム)  【音楽】林ゆうき【製作著作】日本テレビ  【制作協力】日活</t>
  </si>
  <si>
    <t>恋のライバル登場!晴子(木村文乃)は高校の同級生・定岡(満島真之介)と運命的な再会を果たす。誠(亀梨和也)はその瞬間を目撃し対抗しようとするが、晴子の目にはまだ誠の存在は「運命を語る変わった男」という認識でしかなかった。誠が謎の男(山下智久)にどうすればいいかと尋ねると、誠に今必要なのは愛でも情熱でもなく「お金」だという。「お金」に立ち向かう誠。彼の持つ運命の力は彼に味方をするのか……</t>
  </si>
  <si>
    <t>番組名ボク、運命の人です。#3</t>
  </si>
  <si>
    <t>亀梨和也、木村文乃　　満島真之介、菜々緒、澤部佑、渡辺江里子(阿佐ヶ谷姉妹)、岡野真也/杉本哲太/大倉孝二、石野真子、田辺誠一/山下智久早くも運命の恋に大進展が!?謎の男(山下智久)の指令により、日常に溢れる「音楽」に注目を置く誠。ささいな出来事が力をくれると言うのだが…。一方ライバルの定岡(満島真之介)はなんと晴子(木村文乃)に告白をすると宣言。焦る誠は二人の元へと走って行くのだが…。恋が大きく動きだす第3話。皆さんの日常も大きく変わってしまうかもしれない、小さな奇跡のお話。【演出】小室直子  【プロデューサー】福井雄太、下山潤【脚本】金子茂樹【主題歌】亀と山P「背中越しのチャンス」(ジェイ・ストーム)  【音楽】林ゆうき【製作著作】日本テレビ  【制作協力】日活</t>
  </si>
  <si>
    <t>早くも運命の恋に大進展が!?謎の男(山下智久)の指令により、日常に溢れる「音楽」に注目を置く誠。ささいな出来事が力をくれると言うのだが…。一方ライバルの定岡(満島真之介)はなんと晴子(木村文乃)に告白をすると宣言。焦る誠は二人の元へと走って行くのだが…。恋が大きく動きだす第3話。皆さんの日常も大きく変わってしまうかもしれない、小さな奇跡のお話。</t>
  </si>
  <si>
    <t>番組名ボク、運命の人です。　#4</t>
  </si>
  <si>
    <t>亀梨和也、木村文乃　　満島真之介、菜々緒、澤部佑、渡辺江里子(阿佐ヶ谷姉妹)、岡野真也/杉本哲太/大倉孝二、石野真子、田辺誠一/山下智久自分は恋するスイッチを失ったと、自己嫌悪の中に入る晴子(木村文乃)。完全に勝機がないと諦める謎の男(山下智久)だったが、彼女を本気で好きになったと不屈の宣言をする誠(亀梨和也)に、男はなぜか烏田(田辺誠一)の人参嫌い克服へ向かうという謎の指令を授ける。嫌いを好きに変える方法に悩む誠。しかし、その騒動は晴子の固い殻を突き破るある発見に繋がっていくことに…!?気持ち動かす一手が飛び出す必見の第4話!【演出】佐久間紀佳  【プロデューサー】福井雄太、下山潤【脚本】金子茂樹【主題歌】亀と山P「背中越しのチャンス」(ジェイ・ストーム)  【音楽】林ゆうき【製作著作】日本テレビ  【制作協力】日活</t>
  </si>
  <si>
    <t>自分は恋するスイッチを失ったと、自己嫌悪の中に入る晴子(木村文乃)。完全に勝機がないと諦める謎の男(山下智久)だったが、彼女を本気で好きになったと不屈の宣言をする誠(亀梨和也)に、男はなぜか烏田(田辺誠一)の人参嫌い克服へ向かうという謎の指令を授ける。嫌いを好きに変える方法に悩む誠。しかし、その騒動は晴子の固い殻を突き破るある発見に繋がっていくことに…!?気持ち動かす一手が飛び出す必見の第4話!</t>
  </si>
  <si>
    <t>番組名ボク、運命の人です。　#5</t>
  </si>
  <si>
    <t>亀梨和也、木村文乃　　満島真之介、菜々緒、澤部佑、渡辺江里子(阿佐ヶ谷姉妹)、岡野真也/杉本哲太/大倉孝二、石野真子、田辺誠一/山下智久誠(亀梨和也)と晴子(木村文乃)の初デート。二人は、晴子の憧れの元力士の断髪式へと誘われる。そんな中、誠は謎の男(山下智久)の指令でなぜか定岡(満島真之介)と共に筋力トレーニングをさせられる。それが奇跡を呼び起こすとは知らずに…。二人がデートで訪れた場所は偶然晴子の両親が30年前に結婚式を挙げたホテルで。ーーこの回、誰も想像していないアノ奇跡が起きる。皆さんで是非、見届けてください。【演出】小室直子  【プロデューサー】福井雄太、下山潤【脚本】金子茂樹【主題歌】亀と山P「背中越しのチャンス」(ジェイ・ストーム)  【音楽】林ゆうき【製作著作】日本テレビ  【制作協力】日活</t>
  </si>
  <si>
    <t>誠(亀梨和也)と晴子(木村文乃)の初デート。二人は、晴子の憧れの元力士の断髪式へと誘われる。そんな中、誠は謎の男(山下智久)の指令でなぜか定岡(満島真之介)と共に筋力トレーニングをさせられる。それが奇跡を呼び起こすとは知らずに…。二人がデートで訪れた場所は偶然晴子の両親が30年前に結婚式を挙げたホテルで。ーーこの回、誰も想像していないアノ奇跡が起きる。皆さんで是非、見届けてください。</t>
  </si>
  <si>
    <t>番組名ボク、運命の人です。#6</t>
  </si>
  <si>
    <t>亀梨和也、木村文乃　　満島真之介、菜々緒、澤部佑、渡辺江里子(阿佐ヶ谷姉妹)、岡野真也/杉本哲太/大倉孝二、石野真子、田辺誠一/山下智久晴子(木村文乃)を自宅に呼んでしまおうと誠(亀梨和也)に提案する謎の男(山下智久)。誠に足りないのは強引に女性を引っ張る男らしさだと言う謎の男は誠に「目指せ亭主関白」を指令として出す。いつものように無茶苦茶な指令に戸惑う中で、誠が別の女性と交際しているのではという疑惑が発生。その誤解を解くために必死の説得で晴子を家に招く誠。一つ屋根の下、涙する彼女。全てが繋がる第6話。一つの答えが導き出される…。【演出】佐久間紀佳  【プロデューサー】福井雄太、下山潤【脚本】金子茂樹【主題歌】亀と山P「背中越しのチャンス」(ジェイ・ストーム)  【音楽】林ゆうき【製作著作】日本テレビ  【制作協力】日活</t>
  </si>
  <si>
    <t>晴子(木村文乃)を自宅に呼んでしまおうと誠(亀梨和也)に提案する謎の男(山下智久)。誠に足りないのは強引に女性を引っ張る男らしさだと言う謎の男は誠に「目指せ亭主関白」を指令として出す。いつものように無茶苦茶な指令に戸惑う中で、誠が別の女性と交際しているのではという疑惑が発生。その誤解を解くために必死の説得で晴子を家に招く誠。一つ屋根の下、涙する彼女。全てが繋がる第6話。一つの答えが導き出される…。</t>
  </si>
  <si>
    <t>番組名ボク、運命の人です。　#7</t>
  </si>
  <si>
    <t>亀梨和也、木村文乃　　満島真之介、菜々緒、澤部佑、渡辺江里子(阿佐ヶ谷姉妹)、岡野真也/杉本哲太/大倉孝二、石野真子、田辺誠一/山下智久晴れて付き合うことになった誠(亀梨和也)と晴子(木村文乃)。だが、謎の男(山下智久)はあくまで二人の結婚を求め、その期限はあと1ヶ月だと告げる。通常の手順では間に合わないという謎の男は、彼女のちゃんとした誕生日プレゼントに指輪をプレゼントすることを指示する。しかも、その渡し方は誰も想像出来ない究極のサプライズを求められ…。付き合った二人。その「二人」にこれまでにない奇跡の運命が降り注ぐ…。【演出】猪股隆一  【プロデューサー】福井雄太、下山潤【脚本】金子茂樹【主題歌】亀と山P「背中越しのチャンス」(ジェイ・ストーム)  【音楽】林ゆうき【製作著作】日本テレビ  【制作協力】日活</t>
  </si>
  <si>
    <t>晴れて付き合うことになった誠(亀梨和也)と晴子(木村文乃)。だが、謎の男(山下智久)はあくまで二人の結婚を求め、その期限はあと1ヶ月だと告げる。通常の手順では間に合わないという謎の男は、彼女のちゃんとした誕生日プレゼントに指輪をプレゼントすることを指示する。しかも、その渡し方は誰も想像出来ない究極のサプライズを求められ…。付き合った二人。その「二人」にこれまでにない奇跡の運命が降り注ぐ…。</t>
  </si>
  <si>
    <t>番組名ボク、運命の人です。　#8</t>
  </si>
  <si>
    <t>亀梨和也、木村文乃　　満島真之介、菜々緒、澤部佑、渡辺江里子(阿佐ヶ谷姉妹)、岡野真也/杉本哲太/大倉孝二、石野真子、田辺誠一/山下智久誠(亀梨和也)の元彼女が美人局の罪を行なっていたことを知った晴子(木村文乃)の父・大地(杉本哲太)が大激怒。誠のことを認めていた状態が一転。娘との交際は許さないと殻を閉ざしてしまう。落ち込む誠とは逆に今こそチャンスだと言う謎の男(山下智久)。不良が良いことをした時に株が急上昇するのと同じく挽回したら奇跡の男になれると助言。そして攻略の鍵は三恵(菜々緒)にアリと聞き…。親子が起こす新たな運命とは!?【演出】高橋朋広  【プロデューサー】福井雄太、下山潤【脚本】金子茂樹【主題歌】亀と山P「背中越しのチャンス」(ジェイ・ストーム)  【音楽】林ゆうき【製作著作】日本テレビ  【制作協力】日活</t>
  </si>
  <si>
    <t>誠(亀梨和也)の元彼女が美人局の罪を行なっていたことを知った晴子(木村文乃)の父・大地(杉本哲太)が大激怒。誠のことを認めていた状態が一転。娘との交際は許さないと殻を閉ざしてしまう。落ち込む誠とは逆に今こそチャンスだと言う謎の男(山下智久)。不良が良いことをした時に株が急上昇するのと同じく挽回したら奇跡の男になれると助言。そして攻略の鍵は三恵(菜々緒)にアリと聞き…。親子が起こす新たな運命とは!?</t>
  </si>
  <si>
    <t>番組名ボク、運命の人です。　#9</t>
  </si>
  <si>
    <t>亀梨和也、木村文乃　　満島真之介、菜々緒、澤部佑、渡辺江里子(阿佐ヶ谷姉妹)、岡野真也/杉本哲太/大倉孝二、石野真子、田辺誠一/山下智久ついに最終試験!運命の一夜を過ごすことになった誠(亀梨和也)と晴子(木村文乃)。一方、謎の男(山下智久)は突然自らの正体を誠に語り出す。戸惑う誠を尻目にそんなことはどうでもいいとばかりに晴子との温泉旅行に対しいつも通りの無茶な指令として、「湯を全て抜いてこい」と誠に命じる。温泉旅行を満喫する誠と晴子は思わぬ夜を迎え…。そして謎の男はいつもと違う表情で誠を出迎える。寂しげな神。二人、出会いがあれば…【演出】猪股隆一  【プロデューサー】福井雄太、下山潤【脚本】金子茂樹【主題歌】亀と山P「背中越しのチャンス」(ジェイ・ストーム)  【音楽】林ゆうき【製作著作】日本テレビ  【制作協力】日活</t>
  </si>
  <si>
    <t>ついに最終試験!運命の一夜を過ごすことになった誠(亀梨和也)と晴子(木村文乃)。一方、謎の男(山下智久)は突然自らの正体を誠に語り出す。戸惑う誠を尻目にそんなことはどうでもいいとばかりに晴子との温泉旅行に対しいつも通りの無茶な指令として、「湯を全て抜いてこい」と誠に命じる。温泉旅行を満喫する誠と晴子は思わぬ夜を迎え…。そして謎の男はいつもと違う表情で誠を出迎える。寂しげな神。二人、出会いがあれば…</t>
  </si>
  <si>
    <t>番組名ボク、運命の人です。　#10</t>
  </si>
  <si>
    <t>亀梨和也、木村文乃　　満島真之介、菜々緒、澤部佑、渡辺江里子(阿佐ヶ谷姉妹)、岡野真也/杉本哲太/大倉孝二、石野真子、田辺誠一/山下智久未来から来た正木一郎(山下智久)の記憶が消えてしまった誠(亀梨和也)。自らの力で晴子(木村文乃)へプロポーズに向かうが、なぜか二人の運命の歯車は少しずつ噛み合わなくなっていく…。背中越しの席は変わり、晴子は遠方へ出張が決まる。しかしいつも助けてくれていた一郎はもう居ない…。そんな一郎は突然、定岡(満島真之介)の前に現れて…。全ての奇跡はこの日のために。皆さん是非一緒に彼らの運命を見届けてください!【演出】佐久間紀佳  【プロデューサー】福井雄太、下山潤【脚本】金子茂樹【主題歌】亀と山P「背中越しのチャンス」(ジェイ・ストーム)  【音楽】林ゆうき【製作著作】日本テレビ  【制作協力】日活</t>
  </si>
  <si>
    <t>未来から来た正木一郎(山下智久)の記憶が消えてしまった誠(亀梨和也)。自らの力で晴子(木村文乃)へプロポーズに向かうが、なぜか二人の運命の歯車は少しずつ噛み合わなくなっていく…。背中越しの席は変わり、晴子は遠方へ出張が決まる。しかしいつも助けてくれていた一郎はもう居ない…。そんな一郎は突然、定岡(満島真之介)の前に現れて…。全ての奇跡はこの日のために。皆さん是非一緒に彼らの運命を見届けてください!</t>
  </si>
  <si>
    <t>1704_NTV_日22</t>
  </si>
  <si>
    <t>フランケンシュタインの恋</t>
  </si>
  <si>
    <t>番組名フランケンシュタインの恋　#1</t>
  </si>
  <si>
    <t>綾野剛、二階堂ふみ、柳楽優弥、川栄李奈、篠原篤、葉山奨之、木野花、黒田大輔、森岡龍、水沢エレナ、大西礼芳、田島ゆみか、中村無何有、永岡佑、新井浩文、山内圭哉、光石研、柄本明津軽(二階堂ふみ)は、キノコの研究に没頭する大学生。同じ研究室の稲庭(柳楽優弥)からは、菌類女子“キンジョ”というあだ名を付けられるほどキノコにのめり込んでいた。ある日、キノコを探して森に入った彼女は、怪物(綾野剛)と出会う。「僕は人間じゃない」と謎めいた言葉を口にし、自分は人間とは暮らせないと打ち明ける怪物を津軽は森から連れ出す。ずっと孤独に生きてきた怪物は、初めて人間と触れ合うことになり…。　【演出】狩山俊輔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</si>
  <si>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 xml:space="preserve">津軽(二階堂ふみ)は、キノコの研究に没頭する大学生。同じ研究室の稲庭(柳楽優弥)からは、菌類女子“キンジョ”というあだ名を付けられるほどキノコにのめり込んでいた。ある日、キノコを探して森に入った彼女は、怪物(綾野剛)と出会う。「僕は人間じゃない」と謎めいた言葉を口にし、自分は人間とは暮らせないと打ち明ける怪物を津軽は森から連れ出す。ずっと孤独に生きてきた怪物は、初めて人間と触れ合うことになり…。　</t>
  </si>
  <si>
    <t>番組名フランケンシュタインの恋　#2</t>
  </si>
  <si>
    <t>綾野剛、二階堂ふみ、柳楽優弥、川栄李奈、篠原篤、葉山奨之、木野花、黒田大輔、森岡龍、水沢エレナ、大西礼芳、田島ゆみか、中村無何有、永岡佑、新井浩文、山内圭哉、光石研、柄本明津軽(二階堂ふみ)と稲庭(柳楽優弥)の2人の抱擁を見た深志研(綾野剛)は、嫉妬の感情からか、変態してしまう。さらに、深志研がその体で触れてしまった晴果(田島ゆみか)は、顔を半透明の白いキノコに覆われ、意識不明の状態に。津軽は、深志研が晴果の症状に関わっていると考え、姿を消した彼を探す。だが、目の前に現れた津軽に深志研は「ぼくをもう見つけないでください」と言い残し、森の中へ去ってしまう…。【演出】狩山俊輔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</si>
  <si>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津軽(二階堂ふみ)と稲庭(柳楽優弥)の2人の抱擁を見た深志研(綾野剛)は、嫉妬の感情からか、変態してしまう。さらに、深志研がその体で触れてしまった晴果(田島ゆみか)は、顔を半透明の白いキノコに覆われ、意識不明の状態に。津軽は、深志研が晴果の症状に関わっていると考え、姿を消した彼を探す。だが、目の前に現れた津軽に深志研は「ぼくをもう見つけないでください」と言い残し、森の中へ去ってしまう…。</t>
  </si>
  <si>
    <t>番組名フランケンシュタインの恋　#3</t>
  </si>
  <si>
    <t>綾野剛、二階堂ふみ、柳楽優弥、川栄李奈、篠原篤、葉山奨之、木野花、黒田大輔、森岡龍、水沢エレナ、大西礼芳、田島ゆみか、中村無何有、新井浩文、山内圭哉、光石研、柄本明稲庭工務店に戻ってきた深志研(綾野剛)は、稲庭(柳楽優弥)の助けを借り、大好きなラジオ番組の悩み相談に投稿することに。一方、津軽(二階堂ふみ)は祖母の叶枝(木野花)から、120年前、半透明のキノコに覆われるという原因不明の病気で死んだ叶枝の祖母の妹・サキの話を聞く。そんな中、工務店の面々が働く建築現場の壁に落書きが見つかる。それを見て、激しく動揺する室園(川栄李奈)の前に、町田という男が現れて…。【演出】狩山俊輔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</si>
  <si>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稲庭工務店に戻ってきた深志研(綾野剛)は、稲庭(柳楽優弥)の助けを借り、大好きなラジオ番組の悩み相談に投稿することに。一方、津軽(二階堂ふみ)は祖母の叶枝(木野花)から、120年前、半透明のキノコに覆われるという原因不明の病気で死んだ叶枝の祖母の妹・サキの話を聞く。そんな中、工務店の面々が働く建築現場の壁に落書きが見つかる。それを見て、激しく動揺する室園(川栄李奈)の前に、町田という男が現れて…。</t>
  </si>
  <si>
    <t>番組名フランケンシュタインの恋　#4</t>
  </si>
  <si>
    <t>綾野剛、二階堂ふみ、柳楽優弥、川栄李奈、篠原篤、葉山奨之、黒田大輔、森岡龍、水沢エレナ、大西礼芳、田島ゆみか、中村無何有、新井浩文、山内圭哉、光石研、柄本明深志研の「恋をした相手が治らない病気で悩んでいる。その人の命を守るためにはどうしたらいいか」という投稿を受け取った天草は、生放送中に鶴丸(柄本明)を訪ねる。悩みに答えてほしいと頼まれた鶴丸は「相手の生命力を引き出すために、恋をしなさい」と勧める。津軽に恋をしていると告白するが、拒絶された深志研は、どうしたら津軽を救うことができるのか思案する。そんな中、彼は建設現場で事故に遭ってしまう…。【演出】茂山佳則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</si>
  <si>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深志研の「恋をした相手が治らない病気で悩んでいる。その人の命を守るためにはどうしたらいいか」という投稿を受け取った天草は、生放送中に鶴丸(柄本明)を訪ねる。悩みに答えてほしいと頼まれた鶴丸は「相手の生命力を引き出すために、恋をしなさい」と勧める。津軽に恋をしていると告白するが、拒絶された深志研は、どうしたら津軽を救うことができるのか思案する。そんな中、彼は建設現場で事故に遭ってしまう…。</t>
  </si>
  <si>
    <t>番組名フランケンシュタインの恋　#5</t>
  </si>
  <si>
    <t>綾野剛、二階堂ふみ、柳楽優弥、川栄李奈、篠原篤、葉山奨之、黒田大輔、森岡龍、水沢エレナ、大西礼芳、田島ゆみか、中村無何有、新井浩文、山内圭哉、光石研、柄本明深志研は稲庭(柳楽優弥)から、天草が会いたがっていることを聞かされ、喜び、天草と会えるのを心待ちにするように。稲庭工務店では、母親が病気でお金に困っているのでお金を貸して欲しいと部屋を訪れた飯塚(葉山奨之)に給料全てを渡してしまった深志研。しかし、飯塚が嘘をついていたことが発覚し、工務店の人々を巻き込んだ騒動になってしまう。そして、天草が稲庭工務店にやって来て、ついに深志研は天草に対面し・・・。【演出】茂山佳則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</si>
  <si>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深志研は稲庭(柳楽優弥)から、天草が会いたがっていることを聞かされ、喜び、天草と会えるのを心待ちにするように。稲庭工務店では、母親が病気でお金に困っているのでお金を貸して欲しいと部屋を訪れた飯塚(葉山奨之)に給料全てを渡してしまった深志研。しかし、飯塚が嘘をついていたことが発覚し、工務店の人々を巻き込んだ騒動になってしまう。そして、天草が稲庭工務店にやって来て、ついに深志研は天草に対面し・・・。</t>
  </si>
  <si>
    <t>番組名フランケンシュタインの恋　#6</t>
  </si>
  <si>
    <t>綾野剛、二階堂ふみ、柳楽優弥、川栄李奈、篠原篤、葉山奨之、黒田大輔、森岡龍、水沢エレナ、大西礼芳、中村無何有、新井浩文、山内圭哉、光石研、柄本明鶴丸(柄本明)は、感情の高ぶりによって菌を放出する深志研がラジオ出演を通じて多くの人と関わると、菌をまき散らす危険性があると分析。津軽は、ラジオ出演が深志研にとって本当に良いことなのか、心配になる。放送後の反響が大きく、津軽の思いをよそに、菌の放出を誘発するまでのトラブルも起こらず、放送は好評。“フランケンシュタイン”の人気はさらに高まっていくが…。【演出】狩山俊輔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</si>
  <si>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鶴丸(柄本明)は、感情の高ぶりによって菌を放出する深志研がラジオ出演を通じて多くの人と関わると、菌をまき散らす危険性があると分析。津軽は、ラジオ出演が深志研にとって本当に良いことなのか、心配になる。放送後の反響が大きく、津軽の思いをよそに、菌の放出を誘発するまでのトラブルも起こらず、放送は好評。“フランケンシュタイン”の人気はさらに高まっていくが…。</t>
  </si>
  <si>
    <t>番組名フランケンシュタインの恋　#7</t>
  </si>
  <si>
    <t>綾野剛、二階堂ふみ、柳楽優弥、川栄李奈、篠原篤、葉山奨之、木野花、黒田大輔、森岡龍、水沢エレナ、大西礼芳、田島ゆみか、中村無何有、永岡佑、新井浩文、山内圭哉、光石研、柄本明深志研は鶴丸(柄本明)に自分の体の仕組みを尋ね、今後、人間の世界で生活する中で複雑な感情が生まれるたびに、危険なものを生み出すことになるだろうと告げられる。自分が津軽といることで再び同じ現象が起こってしまうのではないかと恐れる。プロデューサーからラジオの公開放送にフランケンを出すよう言われた天草は彼の秘密を知り、断るが、聞き入れてもらえず、深志研はラジオの公開生放送へ出演することになる…。【演出】守下敏行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</si>
  <si>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深志研は鶴丸(柄本明)に自分の体の仕組みを尋ね、今後、人間の世界で生活する中で複雑な感情が生まれるたびに、危険なものを生み出すことになるだろうと告げられる。自分が津軽といることで再び同じ現象が起こってしまうのではないかと恐れる。プロデューサーからラジオの公開放送にフランケンを出すよう言われた天草は彼の秘密を知り、断るが、聞き入れてもらえず、深志研はラジオの公開生放送へ出演することになる…。</t>
  </si>
  <si>
    <t>番組名フランケンシュタインの恋　#8</t>
  </si>
  <si>
    <t>綾野剛、二階堂ふみ、柳楽優弥、川栄李奈、篠原篤、葉山奨之、黒田大輔、森岡龍、水沢エレナ、大西礼芳、田島ゆみか、中村無何有、永岡佑、新井浩文、山内圭哉、光石研、柄本明深志研に「僕は本物の怪物なんです」と打ち明けられた稲庭工務店の皆は動揺する。公開生放送で深志研の菌に触れて体調を崩した人が続出し、ラジオ局には抗議が殺到していた。天草(新井浩文)は深志研に真実をラジオで話してほしいと頼み、深志研は承諾。そんな彼のラジオ出演を止めようと津軽(二階堂ふみ)は、二人で一緒に森に逃げようと言う。その時、彼の奥に眠っていた120年前のある記憶がよみがえり…。【演出】茂山佳則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</si>
  <si>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深志研に「僕は本物の怪物なんです」と打ち明けられた稲庭工務店の皆は動揺する。公開生放送で深志研の菌に触れて体調を崩した人が続出し、ラジオ局には抗議が殺到していた。天草(新井浩文)は深志研に真実をラジオで話してほしいと頼み、深志研は承諾。そんな彼のラジオ出演を止めようと津軽(二階堂ふみ)は、二人で一緒に森に逃げようと言う。その時、彼の奥に眠っていた120年前のある記憶がよみがえり…。</t>
  </si>
  <si>
    <t>番組名フランケンシュタインの恋　#9</t>
  </si>
  <si>
    <t>綾野剛、二階堂ふみ、柳楽優弥、川栄李奈、篠原篤、葉山奨之、斎藤工、木野花、黒田大輔、森岡龍、水沢エレナ、大西礼芳、田島ゆみか、中村無何有、永岡佑、新井浩文、山内圭哉、光石研、柄本明120年前、貧しい農家に生まれた山部呼六(綾野・二役)という男がいた。彼は、独学で医師になり、富嶽伝染病研究所で細菌の研究を続ける医学博士・研太郎(斎藤工)に弟子入りする。呼六は、患者のために研究所の周りにある農地で野菜を作ろうと考え、地主の娘・サキ(二階堂ふみ)と出会う。一方、研太郎は密かに、世界中の菌類を集め培養し交配させて新しい菌を生み出そうとしていた。それは、不老不死の研究であったが…。【演出】狩山俊輔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</si>
  <si>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120年前、貧しい農家に生まれた山部呼六(綾野・二役)という男がいた。彼は、独学で医師になり、富嶽伝染病研究所で細菌の研究を続ける医学博士・研太郎(斎藤工)に弟子入りする。呼六は、患者のために研究所の周りにある農地で野菜を作ろうと考え、地主の娘・サキ(二階堂ふみ)と出会う。一方、研太郎は密かに、世界中の菌類を集め培養し交配させて新しい菌を生み出そうとしていた。それは、不老不死の研究であったが…。</t>
  </si>
  <si>
    <t>番組名フランケンシュタインの恋　#10</t>
  </si>
  <si>
    <t>綾野剛、二階堂ふみ、柳楽優弥、川栄李奈、篠原篤、葉山奨之、木野花、黒田大輔、森岡龍、水沢エレナ、大西礼芳、田島ゆみか、中村無何有、新井浩文、山内圭哉、光石研、柄本明深志研は、自分が津軽の先祖・サキと恋をしていた120年前の記憶を津軽に語り、二人は、お互いの気持ちを確かめ合う。ラジオでの深志研の告白に、世間は賛否両論。深志研の持つ菌を危険視する声、深志研を支持する声など、さまざまな意見がラジオ局に寄せられる。そんな中、近所の住民が通報し、保健所の職員が深志研を調べるため、連行しにやってくる。深志研と津軽は、120年の恋を貫くことができるのか!?感動の最終回!【演出】狩山俊輔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</si>
  <si>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深志研は、自分が津軽の先祖・サキと恋をしていた120年前の記憶を津軽に語り、二人は、お互いの気持ちを確かめ合う。ラジオでの深志研の告白に、世間は賛否両論。深志研の持つ菌を危険視する声、深志研を支持する声など、さまざまな意見がラジオ局に寄せられる。そんな中、近所の住民が通報し、保健所の職員が深志研を調べるため、連行しにやってくる。深志研と津軽は、120年の恋を貫くことができるのか!?感動の最終回!</t>
  </si>
  <si>
    <t>1701_NTV_水22</t>
  </si>
  <si>
    <t>東京タラレバ娘</t>
  </si>
  <si>
    <t>番組名東京タラレバ娘【東村アキコの大ヒットコミック待望のドラマ化!】#01</t>
  </si>
  <si>
    <t>吉高由里子、榮倉奈々、大島優子  坂口健太郎、鈴木亮平  石川恋、菊池均也、金田明夫  【声の出演】加藤諒、あ～ちゃん(Perfume)倫子(吉高由里子)、香(榮倉奈々)、小雪(大島優子)は、女子会と称して酒を飲んでばかりのアラサー独身女子。ある日、倫子は仕事仲間の早坂(鈴木亮平)から食事に誘われ、「告白?プロポーズ?」と思いがけずときめく。だが、謎の男・KEY(坂口健太郎)が現れ、タラレバ話ばかり繰り広げて騒ぐ倫子たちは「タラレバ女」と名付けられてしまう。突然つきつけられた厳しい現実。幸せ求めてタラレバ娘たちの奮闘の日々が始まる【演出】南雲聖一【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t>
  </si>
  <si>
    <t>倫子(吉高由里子)、香(榮倉奈々)、小雪(大島優子)は、女子会と称して酒を飲んでばかりのアラサー独身女子。ある日、倫子は仕事仲間の早坂(鈴木亮平)から食事に誘われ、「告白?プロポーズ?」と思いがけずときめく。だが、謎の男・KEY(坂口健太郎)が現れ、タラレバ話ばかり繰り広げて騒ぐ倫子たちは「タラレバ女」と名付けられてしまう。突然つきつけられた厳しい現実。幸せ求めてタラレバ娘たちの奮闘の日々が始まる</t>
  </si>
  <si>
    <t>番組名東京タラレバ娘【アラサー3人娘が幸せ求めて悪戦苦闘、右往左往!】#02</t>
  </si>
  <si>
    <t>吉高由里子、榮倉奈々、大島優子  坂口健太郎、鈴木亮平  石川恋、平岡祐太、金田明夫  菊池均也、遼河はるひ、筧美和子  【声の出演】加藤諒、あ～ちゃん(Perfume)倫子(吉高由里子)、香(榮倉奈々)、小雪(大島優子)は女子会と称して酒を飲んでばかりいる三人組。仕事仲間の早坂(鈴木亮平)との恋が、始まる前に終わってしまった倫子に、仕事でもピンチが!新ドラマの仕事を、若い女性脚本家に取られてしまう。一方香は、人気バンドのギタリストとなっていた元カレの涼(平岡祐太)と再会。そして、倫子たちに「タラレバ女」と名付けたKEY(坂口健太郎)の意外な一面が明らかに……。【演出】南雲聖一【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</si>
  <si>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倫子(吉高由里子)、香(榮倉奈々)、小雪(大島優子)は女子会と称して酒を飲んでばかりいる三人組。仕事仲間の早坂(鈴木亮平)との恋が、始まる前に終わってしまった倫子に、仕事でもピンチが!新ドラマの仕事を、若い女性脚本家に取られてしまう。一方香は、人気バンドのギタリストとなっていた元カレの涼(平岡祐太)と再会。そして、倫子たちに「タラレバ女」と名付けたKEY(坂口健太郎)の意外な一面が明らかに……。</t>
  </si>
  <si>
    <t>番組名東京タラレバ娘【アラサー3人娘が幸せ求めて悪戦苦闘、右往左往!】#03</t>
  </si>
  <si>
    <t>吉高由里子、榮倉奈々、大島優子  坂口健太郎、平岡祐太、田中圭、鈴木亮平  石川恋、金田明夫  【声の出演】  加藤諒、あ～ちゃん(Perfume)KEY(坂口健太郎)と一夜を共にしてしまった倫子(吉高由里子)。KEYの気持ちがわからず悶々とする倫子は、せめて仕事だけでも前へ進もうと早坂(鈴木亮平)に仕事の売り込みをかける。一方、香(榮倉奈々)も元カレ・涼(平岡祐太)と一夜を共にするが、涼が彼女と同棲していることを知り、忘れようと決意。そして、小雪(大島優子)にも運命の恋が到来!超絶タイプの男・丸井(田中圭)と出会い、急速に惹かれていく。【演出】鈴木勇馬【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</si>
  <si>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KEY(坂口健太郎)と一夜を共にしてしまった倫子(吉高由里子)。KEYの気持ちがわからず悶々とする倫子は、せめて仕事だけでも前へ進もうと早坂(鈴木亮平)に仕事の売り込みをかける。一方、香(榮倉奈々)も元カレ・涼(平岡祐太)と一夜を共にするが、涼が彼女と同棲していることを知り、忘れようと決意。そして、小雪(大島優子)にも運命の恋が到来!超絶タイプの男・丸井(田中圭)と出会い、急速に惹かれていく。</t>
  </si>
  <si>
    <t>番組名東京タラレバ娘【アラサー3人娘が幸せ求めて悪戦苦闘、右往左往!】#04</t>
  </si>
  <si>
    <t>吉高由里子、榮倉奈々、大島優子  坂口健太郎、石川恋、平岡祐太  金田明夫、田中圭、鈴木亮平  【声の出演】加藤諒、あ～ちゃん(Perfume)丸井(田中圭)との不倫の恋が始まった小雪(大島優子)。数年ぶりに再会した元カレ・涼(平岡祐太)に彼女がいると知りながら“セカンド”のポジションを受け入れてしまった香(榮倉奈々)。そんな二人に、仕事も恋もうまくいかない倫子(吉高由里子)が八つ当たりをしたことから、3人は今までにない大ゲンカをしてしまう!高校時代から続いた女の友情に、ついに亀裂が!タラレバ娘の絆に暗雲が立ち込める第4話!!【演出】小室直子【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</si>
  <si>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丸井(田中圭)との不倫の恋が始まった小雪(大島優子)。数年ぶりに再会した元カレ・涼(平岡祐太)に彼女がいると知りながら“セカンド”のポジションを受け入れてしまった香(榮倉奈々)。そんな二人に、仕事も恋もうまくいかない倫子(吉高由里子)が八つ当たりをしたことから、3人は今までにない大ゲンカをしてしまう!高校時代から続いた女の友情に、ついに亀裂が!タラレバ娘の絆に暗雲が立ち込める第4話!!</t>
  </si>
  <si>
    <t>番組名東京タラレバ娘【アラサー3人娘が幸せ求めて悪戦苦闘、右往左往!】#05</t>
  </si>
  <si>
    <t>吉高由里子、榮倉奈々、大島優子  坂口健太郎、鈴木亮平  石川恋、金田明夫  【声の出演】加藤諒、あ～ちゃん(Perfume)気づけば恋だけでなく仕事まで失ってしまった倫子(吉高由里子)。厳しい現実に落ち込んでいたある日、長身でイケメン、性格もいいバーテンダー・奥田(速水もこみち)と出会う。「運命の出会い!」と、あっという間に心惹かれていく倫子に、香(榮倉奈々)と小雪(大島優子)は「結婚のチャンスかも!?」と盛り上がるが、KEY(坂口健太郎)は「結婚は夢ではなく現実だ」と厳しい言葉を投げかける。幸せ求めてさまよう第5話!【演出】南雲聖一【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</si>
  <si>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気づけば恋だけでなく仕事まで失ってしまった倫子(吉高由里子)。厳しい現実に落ち込んでいたある日、長身でイケメン、性格もいいバーテンダー・奥田(速水もこみち)と出会う。「運命の出会い!」と、あっという間に心惹かれていく倫子に、香(榮倉奈々)と小雪(大島優子)は「結婚のチャンスかも!?」と盛り上がるが、KEY(坂口健太郎)は「結婚は夢ではなく現実だ」と厳しい言葉を投げかける。幸せ求めてさまよう第5話!</t>
  </si>
  <si>
    <t>番組名東京タラレバ娘【アラサー3人娘が幸せ求めて悪戦苦闘、右往左往!】#06</t>
  </si>
  <si>
    <t>吉高由里子、榮倉奈々、大島優子  坂口健太郎、石川恋、平岡祐太  速水もこみち、金田明夫、田中圭、鈴木亮平  【声の出演】  加藤諒、あ～ちゃん(Perfume)バーテンダーの奥田(速水もこみち)と付き合うことになった倫子(吉高由里子)。結婚もほのめかされ胸を躍らせるが、次第に奥田との間に微妙なズレが生まれていく…。香(榮倉奈々)は婚活をスタートさせようと結婚相談所に登録。小雪(大島優子)は丸井(田中圭)との不倫関係を継続させる。3人にとって「結婚」とは「幸せ」とはいったい…。KEY(坂口健太郎)と早坂(鈴木亮平)、男たちの心情にも変化が訪れる第6話!【演出】鈴木勇馬【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</si>
  <si>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バーテンダーの奥田(速水もこみち)と付き合うことになった倫子(吉高由里子)。結婚もほのめかされ胸を躍らせるが、次第に奥田との間に微妙なズレが生まれていく…。香(榮倉奈々)は婚活をスタートさせようと結婚相談所に登録。小雪(大島優子)は丸井(田中圭)との不倫関係を継続させる。3人にとって「結婚」とは「幸せ」とはいったい…。KEY(坂口健太郎)と早坂(鈴木亮平)、男たちの心情にも変化が訪れる第6話!</t>
  </si>
  <si>
    <t>番組名東京タラレバ娘【アラサー3人娘が幸せ求めて悪戦苦闘、右往左往!】#07</t>
  </si>
  <si>
    <t>吉高由里子、榮倉奈々、大島優子  坂口健太郎、石川恋、平岡祐太  速水もこみち、金田明夫、田中圭、鈴木亮平  【声の出演】  加藤諒、あ～ちゃん(Perfume)一つの恋が終わった倫子(吉高由里子)に、早坂(鈴木亮平)から町おこしPRドラマの仕事が舞い込む。はじめは気乗りがしない倫子だったが、町の人たちの熱い思いに心を動かされ、仕事への意欲を取り戻していく。生き生きと働く倫子の姿に、KEY(坂口健太郎)は何かを感じ…。一方、香(榮倉奈々)は元カレ・涼(平岡祐太)との関係が停滞。小雪(大島優子)は、丸井(田中圭)との不倫関係を父に知られてしまう……。【演出】小室直子【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</si>
  <si>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一つの恋が終わった倫子(吉高由里子)に、早坂(鈴木亮平)から町おこしPRドラマの仕事が舞い込む。はじめは気乗りがしない倫子だったが、町の人たちの熱い思いに心を動かされ、仕事への意欲を取り戻していく。生き生きと働く倫子の姿に、KEY(坂口健太郎)は何かを感じ…。一方、香(榮倉奈々)は元カレ・涼(平岡祐太)との関係が停滞。小雪(大島優子)は、丸井(田中圭)との不倫関係を父に知られてしまう……。</t>
  </si>
  <si>
    <t>番組名東京タラレバ娘【アラサー3人娘が幸せ求めて悪戦苦闘、右往左往!】#08</t>
  </si>
  <si>
    <t>吉高由里子、榮倉奈々、大島優子  坂口健太郎、石川恋、平岡祐太、井上晴美  金田明夫、田中圭、鈴木亮平  【声の出演】  加藤諒、あ～ちゃん(Perfume)北伊豆での早坂(鈴木亮平)とのキスに、動揺を隠せない倫子(吉高由里子)。香(榮倉奈々)と小雪(大島優子)は「今度こそプロポーズされるのでは?」と盛り上がるが、倫子は自分の気持ちにブレーキをかけ、素直に喜べずにいた。同じ頃、香に妊娠の可能性が発覚する。香はこれを期に、涼(平岡祐太)がもう一度自分を本命にしてくれるかもしれないと期待する一方、「もし嫌な顔されたら」と涼の反応が気になって……。【演出】南雲聖一【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</si>
  <si>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北伊豆での早坂(鈴木亮平)とのキスに、動揺を隠せない倫子(吉高由里子)。香(榮倉奈々)と小雪(大島優子)は「今度こそプロポーズされるのでは?」と盛り上がるが、倫子は自分の気持ちにブレーキをかけ、素直に喜べずにいた。同じ頃、香に妊娠の可能性が発覚する。香はこれを期に、涼(平岡祐太)がもう一度自分を本命にしてくれるかもしれないと期待する一方、「もし嫌な顔されたら」と涼の反応が気になって……。</t>
  </si>
  <si>
    <t>番組名東京タラレバ娘【アラサー3人娘が幸せ求めて悪戦苦闘、右往左往!】#09</t>
  </si>
  <si>
    <t>吉高由里子、榮倉奈々、大島優子  坂口健太郎、石川恋、平岡祐太、井上晴美  金田明夫、田中圭、鈴木亮平  【声の出演】  加藤諒、あ～ちゃん(Perfume)早坂(鈴木亮平)と付き合い始めた倫子(吉高由里子)は、「一緒に暮らそう」と提案され、幸せを実感。一方、亡き妻への思いを断ち切れないKEY(坂口健太郎)は、七回忌法要で義父から「娘のことは忘れて」と言われショックを受ける。小雪はルール違反であることを自覚しながら、妻が不在の丸井(田中圭)の家に泊まる。だが翌朝、妻の緊急出産の知らせが入って丸井は慌てて出ていき、小雪は一人取り残されてしまう…。【演出】小室直子【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</si>
  <si>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早坂(鈴木亮平)と付き合い始めた倫子(吉高由里子)は、「一緒に暮らそう」と提案され、幸せを実感。一方、亡き妻への思いを断ち切れないKEY(坂口健太郎)は、七回忌法要で義父から「娘のことは忘れて」と言われショックを受ける。小雪はルール違反であることを自覚しながら、妻が不在の丸井(田中圭)の家に泊まる。だが翌朝、妻の緊急出産の知らせが入って丸井は慌てて出ていき、小雪は一人取り残されてしまう…。</t>
  </si>
  <si>
    <t>番組名東京タラレバ娘【アラサー3人娘が幸せ求めて悪戦苦闘、右往左往!】#10</t>
  </si>
  <si>
    <t>吉高由里子、榮倉奈々、大島優子  坂口健太郎、石川恋、平岡祐太、井上晴美  金田明夫、田中圭、鈴木亮平  【声の出演】  加藤諒、あ～ちゃん(Perfume)早坂(鈴木亮平)との同棲準備が進む中、倫子(吉高由里子)は精神的に落ち込んでいたKEY(坂口健太郎)を放っておけず、家に一晩泊めてしまう。KEYに惹かれている自分の気持ちに蓋をして、なかったとこにしようと決意する倫子。一方、香(榮倉奈々)の前に涼(平岡祐太)が現れ、彼女と別れたと告白。小雪(大島優子)は、不倫相手だった丸井(田中圭)と偶然再会する。三人が探していた“幸せ”の行方は…!?【演出】南雲聖一【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</si>
  <si>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早坂(鈴木亮平)との同棲準備が進む中、倫子(吉高由里子)は精神的に落ち込んでいたKEY(坂口健太郎)を放っておけず、家に一晩泊めてしまう。KEYに惹かれている自分の気持ちに蓋をして、なかったとこにしようと決意する倫子。一方、香(榮倉奈々)の前に涼(平岡祐太)が現れ、彼女と別れたと告白。小雪(大島優子)は、不倫相手だった丸井(田中圭)と偶然再会する。三人が探していた“幸せ”の行方は…!?</t>
  </si>
  <si>
    <t>1701_NTV_木23</t>
  </si>
  <si>
    <t>増山超能力師事務所</t>
  </si>
  <si>
    <t>番組名ドラマ「増山超能力師事務所」主演ココリコ田中</t>
  </si>
  <si>
    <t>増山圭太郎…田中直樹(ココリコ)  高原篤志…浅香航大  住吉悦子…中村ゆり  中井健…柄本時生  大谷津朋江…平田敦子    河原崎晃…忍成修吾  宇川明美…ルウト    榎本克己…六平直政    高鍋逸雄…鹿賀丈史    【第1話ゲスト】  矢野…松永拓野  成田史哉…雨野宮将明  杉浦…まちゃあき(エグスプロージョン)  アナウンサー…川田裕美(他)日本超能力師協会が発足し、認定試験に合格した“超能力師”が誕生。高鍋リサーチに勤める増山圭太郎(ココリコ田中)の仕事は新たな能力者の調査なのだが、高鍋逸雄(鹿賀丈史)が事件絡みの“危険な”能力者の調査を急ぐよう指示しているのに反し、増山は何故か一風変わった“へっぽこな”能力者(浅香航大・中村ゆり・柄本時生)をスカウトしていく。一体、増山の意図は!?原作にない(秘)エピソードから新ドラマがスタート!【演出】  久万真路【原作】  『増山超能力師事務所』誉田哲也著(文春文庫刊)  【脚本】  櫻井剛BRADIO  田井モトヨシ  石塚徹  【主題歌】  「君じゃなきゃ」ユナク&amp;ソンジェ　from　超新星(YM3D/よしもとアール・アンド・シー)【番組公式サイト】  http://www.ytv.co.jp/masuyama/    【番組公式Twitter】  https://twitter.com/ytvdrama　#増山超能力師事務所    【番組公式LINE】  ID:@masuyama</t>
  </si>
  <si>
    <t>日本超能力師協会が発足し、認定試験に合格した“超能力師”が誕生。高鍋リサーチに勤める増山圭太郎(ココリコ田中)の仕事は新たな能力者の調査なのだが、高鍋逸雄(鹿賀丈史)が事件絡みの“危険な”能力者の調査を急ぐよう指示しているのに反し、増山は何故か一風変わった“へっぽこな”能力者(浅香航大・中村ゆり・柄本時生)をスカウトしていく。一体、増山の意図は!?原作にない(秘)エピソードから新ドラマがスタート!</t>
  </si>
  <si>
    <t>番組名増山超能力師事務所「初仕事はゴムの味」主演ココリコ田中</t>
  </si>
  <si>
    <t>増山圭太郎…田中直樹(ココリコ)  高原篤志…浅香航大  住吉悦子…中村ゆり  中井健…柄本時生  大谷津朋江…平田敦子    白石耕太…好井まさお(井下好井)  榎本克己…六平直政    【第2話ゲスト】  西条照美…雛形あきこ  西条敏郎…梶原善(他)増山圭太郎(田中直樹)が設立した「超能力師事務所」が始動!所員は認定試験に合格したばかりの篤志(浅香航大)ら個性的な二級超能力師。そんな篤志に増山は初仕事を任せる。依頼者は上品な夫人・照美(雛形あきこ)。依頼内容は愛する夫の浮気調査だ。篤志は超能力を駆使してアパレル社長の夫(梶原善)を尾行。女の気配を感じながらも決定的な証拠が掴めない。ついに増山が動き…女の意外な正体に、妻がキレる…必見の結末!BRADIO  田井モトヨシ  石塚徹  【主題歌】  「君じゃなきゃ」ユナク&amp;ソンジェ　from　超新星(YM3D/よしもとアール・アンド・シー)【原作】  『増山超能力師事務所』誉田哲也著(文春文庫刊)  【脚本】  櫻井剛  【演出】  久万真路【番組公式サイト】  http://www.ytv.co.jp/masuyama/    【番組公式Twitter】  https://twitter.com/ytvdrama　#増山超能力師事務所    【番組公式LINE】  ID:@masuyama</t>
  </si>
  <si>
    <t>増山圭太郎(田中直樹)が設立した「超能力師事務所」が始動!所員は認定試験に合格したばかりの篤志(浅香航大)ら個性的な二級超能力師。そんな篤志に増山は初仕事を任せる。依頼者は上品な夫人・照美(雛形あきこ)。依頼内容は愛する夫の浮気調査だ。篤志は超能力を駆使してアパレル社長の夫(梶原善)を尾行。女の気配を感じながらも決定的な証拠が掴めない。ついに増山が動き…女の意外な正体に、妻がキレる…必見の結末!</t>
  </si>
  <si>
    <t>番組名増山超能力師事務所「イケメン探偵と相棒ブサイクが家出少女の謎を追う」</t>
  </si>
  <si>
    <t>増山圭太郎…田中直樹(ココリコ)  高原篤志…浅香航大  住吉悦子…中村ゆり  中井健…柄本時生  大谷津朋江…平田敦子    【ゲスト】  川西今日子…田丸麻紀  川西彰浩…藤本涼    川西春奈…畑芽育  里美…ami(J☆Dee‘Z)    山本亜美…Nono(J☆Dee‘Z)  森山加代子…MOMOKA(J☆Dee‘Z)  従業員…久保田和靖(とろサーモン)  ラーメン屋店主…藤原光博(リットン調査団)増山圭太郎(田中直樹)に家出少女の捜索を任された篤志(浅香航大)。依頼人は美人の母親・今日子(田丸麻紀)。家出人は高1の娘・春奈(畑芽育)だった。理由が思い当たらないと言う今日子だが、篤志が超能力で春奈の部屋の私物を読み取ると「私はママの子じゃない」と叫ぶ可憐な春奈の姿が見えて来る。中井(柄本時生)と共に捜索する内、“里美”という美しい謎の少女の存在が浮上…。複雑な糸が絡み合う「家族の秘密」とは?BRADIO  田井モトヨシ  石塚徹  【主題歌】  「君じゃなきゃ」ユナク&amp;ソンジェ　from　超新星(YM3D/よしもとアール・アンド・シー)【原作】  『増山超能力師事務所』誉田哲也著(文春文庫刊)  【脚本】  櫻井剛  【演出】  久万真路【番組公式サイト】  http://www.ytv.co.jp/masuyama/    【番組公式Twitter】  https://twitter.com/ytvdrama　#増山超能力師事務所    【番組公式LINE】  ID:@masuyama</t>
  </si>
  <si>
    <t xml:space="preserve">  ラーメン屋店主…藤原光博(リットン調査団)増山圭太郎(田中直樹)に家出少女の捜索を任された篤志(浅香航大)。依頼人は美人の母親・今日子(田丸麻紀)。家出人は高1の娘・春奈(畑芽育)だった。理由が思い当たらないと言う今日子だが、篤志が超能力で春奈の部屋の私物を読み取ると「私はママの子じゃない」と叫ぶ可憐な春奈の姿が見えて来る。中井(柄本時生)と共に捜索する内、“里美”という美しい謎の少女の存在が浮上…。複雑な糸が絡み合う「家族の秘密」とは?</t>
  </si>
  <si>
    <t>番組名増山超能力師事務所「新メンバーは謎の美女。ココリコ2人とも出演」</t>
  </si>
  <si>
    <t>増山圭太郎…田中直樹(ココリコ)  高原篤志…浅香航大  住吉悦子…中村ゆり  中井健…柄本時生  大谷津朋江…平田敦子  宇川明美…ルウト  河原崎晃…忍成修吾    【ゲスト】  石野公子…上原多香子  大倉和斗…村田秀亮(とろサーモン)  常連客…堤下敦(インパルス)  キャバクラ店長…小村裕次郎    安田幸一…モト冬樹(他)事務所に異能の新メンバー明美(ルウト)が加入!?しかも彼女をスカウトした増山(ココリコ田中)が高額報酬の案件を抱えて行方不明!そんな中、国会議員秘書・石野(上原多香子)から依頼が。議員(モト冬樹)の不正献金問題が世間をにぎわす中、情報をリークした秘書・大倉(とろサーモン村田)が失踪、議員が派遣したヤクザに捕まれば命がない…。大倉を助けて欲しいと言う石野だが、この件には増山が関与しているようで…BRADIO  田井モトヨシ  石塚徹  【主題歌】  「君じゃなきゃ」ユナク&amp;ソンジェ　from　超新星(YM3D/よしもとアール・アンド・シー)【原作】  『増山超能力師事務所』誉田哲也著(文春文庫刊)  【脚本】  櫻井剛  【演出】  湯浅弘章【番組公式サイト】  http://www.ytv.co.jp/masuyama/    【番組公式Twitter】  https://twitter.com/ytvdrama　#増山超能力師事務所    【番組公式LINE】  ID:@masuyama</t>
  </si>
  <si>
    <t>事務所に異能の新メンバー明美(ルウト)が加入!?しかも彼女をスカウトした増山(ココリコ田中)が高額報酬の案件を抱えて行方不明!そんな中、国会議員秘書・石野(上原多香子)から依頼が。議員(モト冬樹)の不正献金問題が世間をにぎわす中、情報をリークした秘書・大倉(とろサーモン村田)が失踪、議員が派遣したヤクザに捕まれば命がない…。大倉を助けて欲しいと言う石野だが、この件には増山が関与しているようで…</t>
  </si>
  <si>
    <t>番組名増山超能力師事務所「超能力めしの料理人が登場!?」ゲスト寺脇康文</t>
  </si>
  <si>
    <t>増山圭太郎…田中直樹(ココリコ)  高原篤志…浅香航大  住吉悦子…中村ゆり  中井健…柄本時生  大谷津朋江…平田敦子  宇川明美…ルウト    【ゲスト】  田丸等…寺脇康文  田丸俊介…柳喬之  リポーター…横澤夏子(他)「超能力を教えてくれ!」と、突然やってきた「いこい食堂」の息子・俊介(柳喬之)。父・等(寺脇康文)は“超能力めし”で食堂を街一番の繁盛店にした料理人だ。しかし、等が体を壊して入院してしまい、俊介は勝手に父親の代わりをつとめることに。しかし、その途端に客が激減する。俊介は自分も父親のように超能力を使った料理を作り、客を取り戻したいと言う。一方、増山は「食堂を潰してほしい」という等の依頼を引き受ける。BRADIO  田井モトヨシ  石塚徹  【主題歌】  「君じゃなきゃ」ユナク&amp;ソンジェ　from　超新星(YM3D/よしもとアール・アンド・シー)【原作】  『増山超能力師事務所』誉田哲也著(文春文庫刊)  【脚本】  櫻井剛  【演出】  湯浅弘章【番組公式サイト】  http://www.ytv.co.jp/masuyama/    【番組公式Twitter】  https://twitter.com/ytvdrama　#増山超能力師事務所    【番組公式LINE】  ID:@masuyama</t>
  </si>
  <si>
    <t>「超能力を教えてくれ!」と、突然やってきた「いこい食堂」の息子・俊介(柳喬之)。父・等(寺脇康文)は“超能力めし”で食堂を街一番の繁盛店にした料理人だ。しかし、等が体を壊して入院してしまい、俊介は勝手に父親の代わりをつとめることに。しかし、その途端に客が激減する。俊介は自分も父親のように超能力を使った料理を作り、客を取り戻したいと言う。一方、増山は「食堂を潰してほしい」という等の依頼を引き受ける。</t>
  </si>
  <si>
    <t>番組名増山超能力師事務所「超能力事件が発生!容疑者は超能力少女」</t>
  </si>
  <si>
    <t>増山圭太郎…田中直樹(ココリコ)  高原篤志…浅香航大  住吉悦子…中村ゆり  中井健…柄本時生  大谷津朋江…平田敦子  宇川明美…ルウト  白石耕太…好井まさお(井下好井)  榎本克己…六平直政    【ゲスト】  浦沢南…内田未来  浦沢留美…中島ひろ子  杉下正明…小野寺大夢(他)男の変死体が発見され、榎本刑事(六平直政)から増山(ココリコ田中)に調査依頼が。超能力者による事件の可能性が高いと言うのだ。悦子(中村ゆり)と明美(ルウト)らが現場検証を開始すると、小学生の超能力者・南(内田未来)が事件に関与した疑いが。しかし悦子はかつての自分を思い出し、南を頑なに庇う…。少女は本当に超能力で男を死に至らしめたのか?増山の活躍で意外な真実が明らかに!そして悦子の過去とは…BRADIO  田井モトヨシ  石塚徹  【主題歌】  「君じゃなきゃ」ユナク&amp;ソンジェ　from　超新星(YM3D/よしもとアール・アンド・シー)【原作】  『増山超能力師事務所』誉田哲也著(文春文庫刊)  【脚本】  櫻井剛  【演出】  湯浅弘章【番組公式サイト】  http://www.ytv.co.jp/masuyama/    【番組公式Twitter】  https://twitter.com/ytvdrama　#増山超能力師事務所    【番組公式LINE】  ID:@masuyama</t>
  </si>
  <si>
    <t>男の変死体が発見され、榎本刑事(六平直政)から増山(ココリコ田中)に調査依頼が。超能力者による事件の可能性が高いと言うのだ。悦子(中村ゆり)と明美(ルウト)らが現場検証を開始すると、小学生の超能力者・南(内田未来)が事件に関与した疑いが。しかし悦子はかつての自分を思い出し、南を頑なに庇う…。少女は本当に超能力で男を死に至らしめたのか?増山の活躍で意外な真実が明らかに!そして悦子の過去とは…</t>
  </si>
  <si>
    <t>番組名増山超能力師事務所「大変身でパワハラ退治!叶わぬ恋の秘密とは」</t>
  </si>
  <si>
    <t>増山圭太郎…田中直樹(ココリコ)  高原篤志…浅香航大  住吉悦子…中村ゆり  中井健…柄本時生  大谷津朋江…平田敦子  宇川明美…ルウト    【ゲスト】  畑中葵…真野恵里菜  宮田純一…落合モトキ  染谷保…土佐信道(明和電機)(他)明美(ルウト)が幼馴染・純一(落合モトキ)の依頼を引き受けて来た。同僚の葵(真野恵里菜)が職場でパワハラに遭っており、その原因を究明して欲しいと言う。しかし、この葵という女性は、篤志(浅香航大)が身辺調査中の人物でもあった。その依頼人は…葵の勤務先の店長・染谷(土佐信道/明和電機)。染谷が葵に強い好意を抱いていると判断した悦子(中村ゆり)達は、染谷が職場内のパワハラにも関わっていると推測するが…?BRADIO  田井モトヨシ  石塚徹  【主題歌】  「君じゃなきゃ」ユナク&amp;ソンジェ　from　超新星(YM3D/よしもとアール・アンド・シー)【原作】  『増山超能力師事務所』誉田哲也著(文春文庫刊)  【脚本】  櫻井剛  【演出】  湯浅弘章【番組公式サイト】  http://www.ytv.co.jp/masuyama/    【番組公式Twitter】  https://twitter.com/ytvdrama　#増山超能力師事務所    【番組公式LINE】  ID:@masuyama</t>
  </si>
  <si>
    <t>明美(ルウト)が幼馴染・純一(落合モトキ)の依頼を引き受けて来た。同僚の葵(真野恵里菜)が職場でパワハラに遭っており、その原因を究明して欲しいと言う。しかし、この葵という女性は、篤志(浅香航大)が身辺調査中の人物でもあった。その依頼人は…葵の勤務先の店長・染谷(土佐信道/明和電機)。染谷が葵に強い好意を抱いていると判断した悦子(中村ゆり)達は、染谷が職場内のパワハラにも関わっていると推測するが…?</t>
  </si>
  <si>
    <t>番組名増山超能力師事務所「2つの指輪の謎を追え!運命の人と再会できるか」</t>
  </si>
  <si>
    <t>増山圭太郎…田中直樹(ココリコ)  高原篤志…浅香航大  住吉悦子…中村ゆり  中井健…柄本時生  大谷津朋江…平田敦子  宇川明美…ルウト  増山アリス…武田梨花  増山文乃…芦名星    【ゲスト】  篠崎玲奈…山下リオ  ユン・ジフン…ユナク(from　超新星)  大谷津誠司…モロ師岡(他)主題歌を歌うユナク(超新星)がゲスト出演!男関係が派手な玲奈(山下リオ)の依頼は、「友達が窓から投げ捨てた指輪を探して欲しい」。一方、事務員・朋江(平田敦子)は夫・誠司(モロ師岡)からもらった結婚指輪を失くし、増山(ココリコ田中)がその捜索に乗り出していた。2つの指輪をめぐる謎を事務所メンバーが超能力で解き明かす。そこには深い思いと意外な真実が隠されていた…!そして増山の妻・文乃の秘密とは!?BRADIO  田井モトヨシ  石塚徹  【主題歌】  「君じゃなきゃ」ユナク&amp;ソンジェ　from　超新星(YM3D/よしもとアール・アンド・シー)【原作】  『増山超能力師事務所』誉田哲也著(文春文庫刊)  【脚本】  櫻井剛  【演出】  片桐健滋【番組公式サイト】  http://www.ytv.co.jp/masuyama/    【番組公式Twitter】  https://twitter.com/ytvdrama　#増山超能力師事務所    【番組公式LINE】  ID:@masuyama</t>
  </si>
  <si>
    <t>主題歌を歌うユナク(超新星)がゲスト出演!男関係が派手な玲奈(山下リオ)の依頼は、「友達が窓から投げ捨てた指輪を探して欲しい」。一方、事務員・朋江(平田敦子)は夫・誠司(モロ師岡)からもらった結婚指輪を失くし、増山(ココリコ田中)がその捜索に乗り出していた。2つの指輪をめぐる謎を事務所メンバーが超能力で解き明かす。そこには深い思いと意外な真実が隠されていた…!そして増山の妻・文乃の秘密とは!?</t>
  </si>
  <si>
    <t>番組名増山超能力師事務所「浮気調査と殺人事件!?今夜2つのサスペンス」</t>
  </si>
  <si>
    <t>増山圭太郎…田中直樹(ココリコ)  高原篤志…浅香航大  住吉悦子…中村ゆり  中井健…柄本時生  大谷津朋江…平田敦子  宇川明美…ルウト  白石耕太…好井まさお(井下好井)  増山アリス…武田梨花  増山文乃…芦名星  榎本克己…六平直政    【ゲスト】  倉木都…小沢真珠  松澤萌…筧美和子(他)白石刑事の恋人・萌(筧美和子)の浮気調査をする事になった中井(柄本時生)と明美(ルウト)。調査すると疑わしい点ばかり。一方、篤志(浅香航大)は白石の上司・榎本(六平直政)からの依頼で記憶喪失の女(小沢真珠)を捜索。篤志が残された女の衣服をサイコメトリーすると、女はどこかから命からがら逃げてきた様子。そんな中、萌が死体となって発見!?2つの事件にはある共通点があった…超能力師たちが怒涛の活躍で解決!BRADIO  田井モトヨシ  石塚徹  【主題歌】  「君じゃなきゃ」ユナク&amp;ソンジェ　from　超新星(YM3D/よしもとアール・アンド・シー)【原作】  『増山超能力師事務所』誉田哲也著(文春文庫刊)  【脚本】  櫻井剛  【演出】  片桐健滋【番組公式サイト】  http://www.ytv.co.jp/masuyama/    【番組公式Twitter】  https://twitter.com/ytvdrama　#増山超能力師事務所    【番組公式LINE】  ID:@masuyama</t>
  </si>
  <si>
    <t>白石刑事の恋人・萌(筧美和子)の浮気調査をする事になった中井(柄本時生)と明美(ルウト)。調査すると疑わしい点ばかり。一方、篤志(浅香航大)は白石の上司・榎本(六平直政)からの依頼で記憶喪失の女(小沢真珠)を捜索。篤志が残された女の衣服をサイコメトリーすると、女はどこかから命からがら逃げてきた様子。そんな中、萌が死体となって発見!?2つの事件にはある共通点があった…超能力師たちが怒涛の活躍で解決!</t>
  </si>
  <si>
    <t>番組名増山超能力師事務所「犯人はこの中にいる!?愛と殺人のミステリー」</t>
  </si>
  <si>
    <t>増山圭太郎…田中直樹(ココリコ)  高原篤志…浅香航大  住吉悦子…中村ゆり  中井健…柄本時生  大谷津朋江…平田敦子  宇川明美…ルウト  白石耕太…好井まさお(井下好井)  増山アリス…武田梨花  増山文乃…芦名星  河原崎晃…忍成修吾  榎本克己…六平直政  高鍋逸雄…鹿賀丈史    【ゲスト】  長尾秀人…山中崇  竹田月子…芹那  金田信夫…福田転球(他)事務所近くのビルで転落死事件が起きる。ビルの屋上からDM値が検出されたことから、その時事務所にいた事務所メンバーたちが疑われる。しかし榎本刑事(六平直政)が被害者の男の携帯の発信履歴から転落死の直前にかけている番号をダイヤルすると、篤志の依頼人・長尾(山中崇)の携帯が鳴る…。遠距離恋愛中に音信不通となった恋人・月子(芹那)の調査を依頼していた長尾。彼の過去が明らかになり、事件の謎は深まっていく…BRADIO  田井モトヨシ  石塚徹  【主題歌】  「君じゃなきゃ」ユナク&amp;ソンジェ　from　超新星(YM3D/よしもとアール・アンド・シー)【原作】  『増山超能力師事務所』誉田哲也著(文春文庫刊)  【脚本】  櫻井剛  【演出】  久万真路【番組公式サイト】  http://www.ytv.co.jp/masuyama/    【番組公式Twitter】  https://twitter.com/ytvdrama　#増山超能力師事務所    【番組公式LINE】  ID:@masuyama</t>
  </si>
  <si>
    <t>事務所近くのビルで転落死事件が起きる。ビルの屋上からDM値が検出されたことから、その時事務所にいた事務所メンバーたちが疑われる。しかし榎本刑事(六平直政)が被害者の男の携帯の発信履歴から転落死の直前にかけている番号をダイヤルすると、篤志の依頼人・長尾(山中崇)の携帯が鳴る…。遠距離恋愛中に音信不通となった恋人・月子(芹那)の調査を依頼していた長尾。彼の過去が明らかになり、事件の謎は深まっていく…</t>
  </si>
  <si>
    <t>番組名増山超能力師事務所「心霊現象の少女の正体は!?ナルシスト探偵が究明」</t>
  </si>
  <si>
    <t>増山圭太郎…田中直樹(ココリコ)  高原篤志…浅香航大  住吉悦子…中村ゆり  中井健…柄本時生  大谷津朋江…平田敦子  宇川明美…ルウト  河原崎晃…忍成修吾  増山文乃…芦名星  増山アリス…武田梨花  榎本克己…六平直政  高鍋逸雄…鹿賀丈史    【ゲスト】  藤宮千秋…高月彩良  藤宮亜澄…堀田茜  藤宮博之…星田英利  藤宮千佳…須藤理彩(他)ある家庭を悩ますポルターガイスト現象。それは受験を控えた高校生の藤宮千秋(高月彩良)がひた隠しにしている、ある秘密が原因だった。千秋を調査する中で、増山(ココリコ田中)の妻・文乃(芦名星)の過去に行き当たる河原崎(忍成修吾)。そして文乃には高鍋(鹿賀丈史)の影が忍び寄っていた。藤宮家で起こるポルターガイストの正体は超能力なのか?だとすれば一体、誰の?ついに増山の妻・文乃の衝撃の過去が明らかになる…BRADIO  田井モトヨシ  石塚徹  【主題歌】  「君じゃなきゃ」ユナク&amp;ソンジェ　from　超新星(YM3D/よしもとアール・アンド・シー)【原作】  『増山超能力師事務所』誉田哲也著(文春文庫刊)  【脚本】  櫻井剛  【演出】  久万真路【番組公式サイト】  http://www.ytv.co.jp/masuyama/    【番組公式Twitter】  https://twitter.com/ytvdrama　#増山超能力師事務所    【番組公式LINE】  ID:@masuyama</t>
  </si>
  <si>
    <t xml:space="preserve">増山圭太郎…田中直樹(ココリコ)  高原篤志…浅香航大  住吉悦子…中村ゆり  中井健…柄本時生  大谷津朋江…平田敦子  宇川明美…ルウト  河原崎晃…忍成修吾  増山文乃…芦名星  増山アリス…武田梨花  榎本克己…六平直政  高鍋逸雄…鹿賀丈史    【ゲスト】  藤宮千秋…高月彩良  藤宮亜澄…堀田茜  藤宮博之…星田英利  藤宮千佳…須藤理彩(他)ある家庭を悩ますポルターガイスト現象。それは受験を控えた高校生の藤宮千秋(高月彩良)がひた隠しにしている、ある秘密が原因だった。千秋を調査する中で、増山(ココリコ田中)の妻・文乃(芦名星)の過去に行き当たる河原崎(忍成修吾)。そして文乃には高鍋(鹿賀丈史)の影が忍び寄っていた。藤宮家で起こるポルターガイストの正体は超能力なのか?だとすれば一体、誰の?ついに増山の妻・文乃の衝撃の過去が明らかになる…BRADIO  田井モトヨシ  石塚徹  【主題歌】  「君じゃなきゃ」ユナク&amp;ソンジェ　from　超新星(YM3D/よしもとアール・アンド・シー)【原作】  『増山超能力師事務所』誉田哲也著(文春文庫刊)  【脚本】  櫻井剛  </t>
  </si>
  <si>
    <t>番組名増山超能力師事務所【最終話】美容サギ師は超能力者!?恋人を失った女が激怒</t>
  </si>
  <si>
    <t>増山圭太郎…田中直樹(ココリコ)  高原篤志…浅香航大  住吉悦子…中村ゆり  中井健…柄本時生  大谷津朋江…平田敦子  宇川明美…ルウト    増山アリス…武田梨花  増山文乃…芦名星  榎本克己…六平直政  高鍋逸雄…鹿賀丈史    【ゲスト】  マダム朝倉…横山めぐみ  遠藤いずみ…黒川智花  今井司郎…藤原一裕(ライセンス)(他)TVディレクターからエステ詐欺の実態を調査して欲しいと依頼が。ターゲットはサロン経営者のマダム朝倉(横山めぐみ)。被害者(黒川智花)の証言をもとに調査を進めると、マダムは『理想の自分になれる』と謳いながら、実際は超能力を使った詐欺行為で暴利を貪っていた。だがそこにはマダムの悲しい過去が…。そして高鍋(鹿賀丈史)と増山(ココリコ田中)が直接対決!「増山超能力師事務所」最後の活躍にご期待ください!BRADIO  田井モトヨシ  石塚徹  【主題歌】  「君じゃなきゃ」ユナク&amp;ソンジェ　from　超新星(YM3D/よしもとアール・アンド・シー)【原作】  『増山超能力師事務所』誉田哲也著(文春文庫刊)  【脚本】  櫻井剛  【演出】  湯浅弘章【番組公式サイト】  http://www.ytv.co.jp/masuyama/    【番組公式Twitter】  https://twitter.com/ytvdrama　#増山超能力師事務所    【番組公式LINE】  ID:@masuyama</t>
  </si>
  <si>
    <t xml:space="preserve">増山圭太郎…田中直樹(ココリコ)  高原篤志…浅香航大  住吉悦子…中村ゆり  中井健…柄本時生  大谷津朋江…平田敦子  宇川明美…ルウト    増山アリス…武田梨花  増山文乃…芦名星  榎本克己…六平直政  高鍋逸雄…鹿賀丈史    【ゲスト】  マダム朝倉…横山めぐみ  遠藤いずみ…黒川智花  今井司郎…藤原一裕(ライセンス)(他)TVディレクターからエステ詐欺の実態を調査して欲しいと依頼が。ターゲットはサロン経営者のマダム朝倉(横山めぐみ)。被害者(黒川智花)の証言をもとに調査を進めると、マダムは『理想の自分になれる』と謳いながら、実際は超能力を使った詐欺行為で暴利を貪っていた。だがそこにはマダムの悲しい過去が…。そして高鍋(鹿賀丈史)と増山(ココリコ田中)が直接対決!「増山超能力師事務所」最後の活躍にご期待ください!BRADIO  田井モトヨシ  石塚徹  【主題歌】  「君じゃなきゃ」ユナク&amp;ソンジェ　from　超新星(YM3D/よしもとアール・アンド・シー)【原作】  『増山超能力師事務所』誉田哲也著(文春文庫刊)  【脚本】  櫻井剛  </t>
  </si>
  <si>
    <t>1701_NTV_土21</t>
  </si>
  <si>
    <t>スーパーサラリーマン左江内氏</t>
  </si>
  <si>
    <t>番組名スーパーサラリーマン左江内氏(1)【藤子Fの大人ヒーロー!堤真一×小泉今日子】</t>
  </si>
  <si>
    <t>堤真一、小泉今日子、ムロツヨシ、島崎遥香、賀来賢人、早見あかり、中村倫也、横山歩、福島マリコ、富山えり子、金澤美穂、犬飼貴丈/塚本高史/佐藤二朗、笹野高史、高橋克実ほか左江内(堤真一)は、万年係長。鬼嫁・円子(小泉今日子)に逆らえず、二人の子供・はね子(島崎遥香)、もや夫(横山歩)にも舐められる。ある日、左江内は、怪しい老人(笹野高史)から「スーパーヒーローにならないか?」と言われる。無視しようとする左江内につきまとう老人。そんな中、円子からはね子のお弁当を届けてくれと頼まれた左江内は、仕方なく、老人からスーパースーツを借りることにするのだが…。【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</si>
  <si>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左江内(堤真一)は、万年係長。鬼嫁・円子(小泉今日子)に逆らえず、二人の子供・はね子(島崎遥香)、もや夫(横山歩)にも舐められる。ある日、左江内は、怪しい老人(笹野高史)から「スーパーヒーローにならないか?」と言われる。無視しようとする左江内につきまとう老人。そんな中、円子からはね子のお弁当を届けてくれと頼まれた左江内は、仕方なく、老人からスーパースーツを借りることにするのだが…。</t>
  </si>
  <si>
    <t>番組名スーパーサラリーマン左江内氏(2)【藤子Fの大人ヒーロー!堤真一×小泉今日子】</t>
  </si>
  <si>
    <t>堤真一、小泉今日子、ムロツヨシ、島崎遥香、賀来賢人、早見あかり、中村倫也、横山歩、福島マリコ、富山えり子、金澤美穂、犬飼貴丈/織本順吉、佐々木すみ江/佐藤二朗、笹野高史、高橋克実ほか左江内(堤真一)の息子・もや夫(横山歩)が、合唱コンクールで指揮者に選ばれた。円子(小泉今日子)は大喜び。そんな中、もや夫が学校のうんていから落ちてケガをした。指揮者に選ばれたもや夫に嫉妬した同級生の仕業らしく、もや夫はふさぎ込んでしまい…。一方、左江内が進めるタワーマンション建設計画にも大きなトラブルが…。プライベートと仕事で問題を抱えた左江内は、父として、人として、どう立ち向かうのか!?【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</si>
  <si>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左江内(堤真一)の息子・もや夫(横山歩)が、合唱コンクールで指揮者に選ばれた。円子(小泉今日子)は大喜び。そんな中、もや夫が学校のうんていから落ちてケガをした。指揮者に選ばれたもや夫に嫉妬した同級生の仕業らしく、もや夫はふさぎ込んでしまい…。一方、左江内が進めるタワーマンション建設計画にも大きなトラブルが…。プライベートと仕事で問題を抱えた左江内は、父として、人として、どう立ち向かうのか!?</t>
  </si>
  <si>
    <t>番組名スーパーサラリーマン左江内氏(3)【藤子Fの大人ヒーロー!堤真一×小泉今日子】</t>
  </si>
  <si>
    <t>堤真一、小泉今日子、ムロツヨシ、島崎遥香、賀来賢人、早見あかり、中村倫也、横山歩、富山えり子、金澤美穂、犬飼貴丈/浜辺美波、村岡希美、郭　智博、戸塚純貴/佐藤二朗、笹野高史、高橋克実ほか左江内(堤真一)は、はね子(島崎遥香)から、アイドルグループのオーディションを受けると聞かされる。「センターを奪う!」と、野望に燃える家族。そんな中、左江内は、会社のCM撮影で、そのアイドルのセンター・真中ありさ(浜辺美波)と出会う。裏表のはげしい性格のありさにこき使われる左江内。左江内ははね子のオーディションを反対し出すが、逆に、ありさにはね子をプッシュしてほしいと円子に言われ…?【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</si>
  <si>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左江内(堤真一)は、はね子(島崎遥香)から、アイドルグループのオーディションを受けると聞かされる。「センターを奪う!」と、野望に燃える家族。そんな中、左江内は、会社のCM撮影で、そのアイドルのセンター・真中ありさ(浜辺美波)と出会う。裏表のはげしい性格のありさにこき使われる左江内。左江内ははね子のオーディションを反対し出すが、逆に、ありさにはね子をプッシュしてほしいと円子に言われ…?</t>
  </si>
  <si>
    <t>番組名スーパーサラリーマン左江内氏(4)【禁断のコピーロボット!堤真一×小泉今日子】</t>
  </si>
  <si>
    <t>堤真一、小泉今日子、ムロツヨシ、島崎遥香、賀来賢人、早見あかり、中村倫也、横山歩、福島マリコ、富山えり子/笠原秀幸、尾上寛之/佐藤二朗、笹野高史、高橋克実ほか左江内(堤真一)は、新しいホテルの受注競合プレゼンを任される。ただし、期日は2日後・・・。そんな中、左江内は円子(小泉今日子)から、もや夫(横山歩)の遠足の付き添いを頼まれる。ママ友とけんかしてしまったから行きたくないという。しかし、遠足とプレゼンは同日。困り果てた左江内は老人(笹野高史)に、身代わりになるコピーロボットを用意してほしいと懇願するが・・左江内は仕事と遠足、どう切り抜けるのか!?【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</si>
  <si>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左江内(堤真一)は、新しいホテルの受注競合プレゼンを任される。ただし、期日は2日後・・・。そんな中、左江内は円子(小泉今日子)から、もや夫(横山歩)の遠足の付き添いを頼まれる。ママ友とけんかしてしまったから行きたくないという。しかし、遠足とプレゼンは同日。困り果てた左江内は老人(笹野高史)に、身代わりになるコピーロボットを用意してほしいと懇願するが・・左江内は仕事と遠足、どう切り抜けるのか!?</t>
  </si>
  <si>
    <t>番組名スーパーサラリーマン左江内氏(5)【不倫地獄!?本田翼、参戦】</t>
  </si>
  <si>
    <t>堤真一、小泉今日子、ムロツヨシ、島崎遥香、賀来賢人、早見あかり、中村倫也、横山歩、富山えり子、金澤美穂、犬飼貴丈/本田翼/山田明郷、若葉竜也/佐藤二朗、笹野高史、高橋克実ほか左江内(堤真一)は簑島(高橋克実)に、藤崎(本田翼)という総務課の社員と酔った勢いで不倫したかもしれないと相談される。左江内は、真相を確かめる為、藤崎と飲みに行く。…が、気がつくとホテルの一室で目を覚ます。まったく記憶がない。こんなことが円子(小泉今日子)にバレたら、タダでは済まない左江内。何があったのか真相を知りたい左江内は、再び藤崎と飲みに行く。そこで彼は、意外なことを聞かされ…。【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</si>
  <si>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左江内(堤真一)は簑島(高橋克実)に、藤崎(本田翼)という総務課の社員と酔った勢いで不倫したかもしれないと相談される。左江内は、真相を確かめる為、藤崎と飲みに行く。…が、気がつくとホテルの一室で目を覚ます。まったく記憶がない。こんなことが円子(小泉今日子)にバレたら、タダでは済まない左江内。何があったのか真相を知りたい左江内は、再び藤崎と飲みに行く。そこで彼は、意外なことを聞かされ…。</t>
  </si>
  <si>
    <t>番組名スーパーサラリーマン左江内氏(6)【重大発表!今夜明らかに】</t>
  </si>
  <si>
    <t>堤真一、小泉今日子、ムロツヨシ、島崎遥香、賀来賢人、早見あかり、中村倫也、横山歩、福島マリコ、富山えり子、金澤美穂、犬飼貴丈/矢本悠馬/佐藤二朗、笹野高史、高橋克実ほか小池刑事(ムロツヨシ)と刈野(中村倫也)が大活躍!?週末、家族と遊園地にやってきた左江内(堤真一)。そんな彼の耳に危険を知らせる信号が聞こえてくる。遊園地のどこかに爆弾が仕掛けられているという。左江内は家族を避難させようとするが、円子(小泉今日子)たちは信じない。しかも、次々と騒動に見舞われ…。一方、小池たちは、爆弾捜しに奔走。左江内は家族を守り、危機を救うことができるのか!?【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</si>
  <si>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小池刑事(ムロツヨシ)と刈野(中村倫也)が大活躍!?週末、家族と遊園地にやってきた左江内(堤真一)。そんな彼の耳に危険を知らせる信号が聞こえてくる。遊園地のどこかに爆弾が仕掛けられているという。左江内は家族を避難させようとするが、円子(小泉今日子)たちは信じない。しかも、次々と騒動に見舞われ…。一方、小池たちは、爆弾捜しに奔走。左江内は家族を守り、危機を救うことができるのか!?</t>
  </si>
  <si>
    <t>番組名スーパーサラリーマン左江内氏(7)【ヒーロー交代!?スーパー池杉】</t>
  </si>
  <si>
    <t>堤真一、小泉今日子、ムロツヨシ、島崎遥香、賀来賢人、早見あかり、中村倫也、横山歩、富山えり子、金澤美穂、犬飼貴丈/鈴木浩介、間宮祥太朗/佐藤二朗、笹野高史、高橋克実ほか平和を守っているものの、海外のテロのニュースを見て無力感を覚えるヒーローブルーな左江内(堤真一)。彼は酔った勢いで池杉(賀来賢人)にスーパーヒーローを引き継ぐと言い出し、スーパースーツを渡してしまう。意気揚々と左江内に代わって人助けを始める池杉だったが・・・。そんな中、いくつかの銀行から次々と大金が消える事件が起こる。【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</si>
  <si>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平和を守っているものの、海外のテロのニュースを見て無力感を覚えるヒーローブルーな左江内(堤真一)。彼は酔った勢いで池杉(賀来賢人)にスーパーヒーローを引き継ぐと言い出し、スーパースーツを渡してしまう。意気揚々と左江内に代わって人助けを始める池杉だったが・・・。そんな中、いくつかの銀行から次々と大金が消える事件が起こる。</t>
  </si>
  <si>
    <t>番組名スーパーサラリーマン左江内氏(8)【円子が良妻!?永野芽郁がスーパーウーマン!】</t>
  </si>
  <si>
    <t>堤真一、小泉今日子、ムロツヨシ、島崎遥香、賀来賢人、早見あかり、中村倫也、横山歩、富山えり子/平泉成、立石涼子、永野芽郁/佐藤二朗、笹野高史、高橋克実ほか左江内(堤真一)の父・茂雄(平泉成)の80歳のお祝いに、実家に帰ることになった左江内一家。義父母・茂雄と春子(立石涼子)の前では、完璧な良妻ぶりを発揮する円子(小泉今日子)に恐れおののく左江内。そんな中、SOSに呼び出された左江内は、発信地で一足先に犯人を捕まえる人物と遭遇。その人物は、左江内と同じくスーパースーツを着て人々の危機を救うスーパーウーマン桃子(永野芽郁)だった・・・!【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</si>
  <si>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左江内(堤真一)の父・茂雄(平泉成)の80歳のお祝いに、実家に帰ることになった左江内一家。義父母・茂雄と春子(立石涼子)の前では、完璧な良妻ぶりを発揮する円子(小泉今日子)に恐れおののく左江内。そんな中、SOSに呼び出された左江内は、発信地で一足先に犯人を捕まえる人物と遭遇。その人物は、左江内と同じくスーパースーツを着て人々の危機を救うスーパーウーマン桃子(永野芽郁)だった・・・!</t>
  </si>
  <si>
    <t>番組名スーパーサラリーマン左江内氏(9)【社長・風間杜夫登場で大波乱の予感?!】</t>
  </si>
  <si>
    <t>堤真一、小泉今日子、ムロツヨシ、島崎遥香、賀来賢人、早見あかり、中村倫也、横山歩、福島マリコ、富山えり子、金澤美穂、犬飼貴丈/風間杜夫、石野真子、宅麻伸、やべきょうすけ、高橋努/佐藤二朗、笹野高史、高橋克実ほか簑島課長(高橋克実)が部長に昇進することになった。左江内(堤真一)や営業3課はビックリ。簑島の代わりに左江内が新課長になるのではないかと池杉(賀来賢人)らが騒ぐ。家でも円子が大喜び。はね子(島崎遥香)も、もや夫(横山歩)と夢を膨らませる。そんな中、SOSを受信する左江内。とある豪邸で年配の男性と強盗(やべきょうすけ)が対峙していた。その男性は、なんと藤子建設の社長(風間杜夫)で…【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</si>
  <si>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簑島課長(高橋克実)が部長に昇進することになった。左江内(堤真一)や営業3課はビックリ。簑島の代わりに左江内が新課長になるのではないかと池杉(賀来賢人)らが騒ぐ。家でも円子が大喜び。はね子(島崎遥香)も、もや夫(横山歩)と夢を膨らませる。そんな中、SOSを受信する左江内。とある豪邸で年配の男性と強盗(やべきょうすけ)が対峙していた。その男性は、なんと藤子建設の社長(風間杜夫)で…</t>
  </si>
  <si>
    <t>番組名スーパーサラリーマン左江内氏【最終回】菅田将暉、参戦!ヒーロー放棄で絶体絶命</t>
  </si>
  <si>
    <t>堤真一、小泉今日子、ムロツヨシ、島崎遥香、賀来賢人、早見あかり、中村倫也、横山歩、福島マリコ、富山えり子、金澤美穂、犬飼貴丈/菅田将暉/佐藤二朗、笹野高史、高橋克実ほか最終回、左江内(堤真一)が出社すると、自分の席に見知らぬ男が座っている。それは、謎の男・米倉(佐藤二朗)。営業三課の全員が左江内に「どちらさまですか?」と言い始め…?  そんな中、妻・円子(小泉今日子)がバスジャック犯(菅田将暉)に拉致され!?この夫婦の在り方、愛の形が見える驚愕のラスト!全ての謎が解き明かされる!放送直後、スピンオフ「小池刑事の鬼の取調室」がHulu配信にて配信スタート!【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</si>
  <si>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最終回、左江内(堤真一)が出社すると、自分の席に見知らぬ男が座っている。それは、謎の男・米倉(佐藤二朗)。営業三課の全員が左江内に「どちらさまですか?」と言い始め…?  そんな中、妻・円子(小泉今日子)がバスジャック犯(菅田将暉)に拉致され!?この夫婦の在り方、愛の形が見える驚愕のラスト!全ての謎が解き明かされる!放送直後、スピンオフ「小池刑事の鬼の取調室」がHulu配信にて配信スタート!</t>
  </si>
  <si>
    <t>1701_NTV_日22</t>
  </si>
  <si>
    <t>視覚探偵　日暮旅人</t>
  </si>
  <si>
    <t>番組名日曜ドラマ「視覚探偵　日暮旅人」第1話</t>
  </si>
  <si>
    <t>松坂桃李、多部未華子、濱田岳、木南晴夏、住田萌乃、和田聰宏、ほのか　/　上田竜也、シシド・カフカ　/　木野花、北大路欣也　ほか    【ゲスト】桐山漣、菅原大吉、岡本あずさ　/　戸田恵子五感のうち聴覚・嗅覚・味覚・触覚の四つを失った日暮旅人(松坂桃李)は、匂いや感情を視ることができる視覚を駆使し、相棒の雪路(濱田岳)と探し物探偵を営む。ヤクザの金庫を破った犯人を探しあてた矢先、娘の灯衣(住田萌乃)と保育士の陽子(多部未華子)が、チンピラ・亀吉(上田竜也)の巻き添えで行方不明と連絡が入る。しかし、特殊な目の能力を使いすぎると、失明の危険が。果たして、旅人は二人を見つけ出せるのか!?【演出】堤幸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</si>
  <si>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五感のうち聴覚・嗅覚・味覚・触覚の四つを失った日暮旅人(松坂桃李)は、匂いや感情を視ることができる視覚を駆使し、相棒の雪路(濱田岳)と探し物探偵を営む。ヤクザの金庫を破った犯人を探しあてた矢先、娘の灯衣(住田萌乃)と保育士の陽子(多部未華子)が、チンピラ・亀吉(上田竜也)の巻き添えで行方不明と連絡が入る。しかし、特殊な目の能力を使いすぎると、失明の危険が。果たして、旅人は二人を見つけ出せるのか!?</t>
  </si>
  <si>
    <t>番組名視覚探偵　日暮旅人　#2</t>
  </si>
  <si>
    <t>松坂桃李、多部未華子、濱田岳、木南晴夏、住田萌乃、和田聰宏　/　上田竜也、シシド・カフカ　/　吹越満、北大路欣也　ほか　  　　　　　　　　　  【ゲスト】矢田亜希子、今野浩喜、入山法子、栗原類、ダチョウ倶楽部、萩原利久見えないモノが視える日暮旅人(松坂桃李)に、シングルマザーから行方不明の5歳の娘を探して欲しいという依頼が舞い込む。旅人と雪路(濱田岳)は、親子の住むアパートの住人達を調べ始める。一方、保育士の陽子(多部未華子)は、旅人の娘・灯衣(住田萌乃)が野良犬に給食のパンを与えていることに気付く。ある日その犬が、行方不明の少女の指輪を持って旅人達の前に現れ、事件は急展開!旅人は5歳の少女を救い出せるのか!?【演出】堤幸彦【原作】山口幸三郎『探偵・日暮旅人』シリーズ　  メディアワークス文庫(KADOKAWA刊)    【脚本】福原充則  【音楽】グランドファンク  【オープニングテーマ】『夢の中へ』井上陽水(ユニバーサル　ミュージック)  【エンディングテーマ】『この闇を照らす光のむこうに』Anly+スキマスイッチ=  (ソニー・ミュージックレコーズ)</t>
  </si>
  <si>
    <t>見えないモノが視える日暮旅人(松坂桃李)に、シングルマザーから行方不明の5歳の娘を探して欲しいという依頼が舞い込む。旅人と雪路(濱田岳)は、親子の住むアパートの住人達を調べ始める。一方、保育士の陽子(多部未華子)は、旅人の娘・灯衣(住田萌乃)が野良犬に給食のパンを与えていることに気付く。ある日その犬が、行方不明の少女の指輪を持って旅人達の前に現れ、事件は急展開!旅人は5歳の少女を救い出せるのか!?</t>
  </si>
  <si>
    <t>番組名視覚探偵　日暮旅人　#3</t>
  </si>
  <si>
    <t>松坂桃李、多部未華子、濱田岳、木南晴夏、住田萌乃、和田聰宏　/　上田竜也、シシド・カフカ　/　吹越満、伊武雅刀　ほか  【ゲスト】国仲涼子、眞島秀和、福田悠太(ふぉ～ゆ～)、蝶野正洋、渡辺哲、高田聖子探し物探偵事務所に、結婚式を目前に控えた新郎・川辺(福田悠太)が、新婦の愛歌(国仲涼子)が塞ぎ込んでいる原因を探して欲しいと依頼にやってくる。雪路は隠していたが、実は雪路の父・照之(伊武雅刀)は大物政治家で、愛歌は、雪路家に長年勤めている使用人だった。16年前に兄・勝彦(眞島秀和)が自殺した原因は父にあると考えている雪路は実家に関わる依頼を避けようとするが、なぜか旅人が強引に引き受けてしまう……。【演出】高橋洋人【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</si>
  <si>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探し物探偵事務所に、結婚式を目前に控えた新郎・川辺(福田悠太)が、新婦の愛歌(国仲涼子)が塞ぎ込んでいる原因を探して欲しいと依頼にやってくる。雪路は隠していたが、実は雪路の父・照之(伊武雅刀)は大物政治家で、愛歌は、雪路家に長年勤めている使用人だった。16年前に兄・勝彦(眞島秀和)が自殺した原因は父にあると考えている雪路は実家に関わる依頼を避けようとするが、なぜか旅人が強引に引き受けてしまう……。</t>
  </si>
  <si>
    <t>番組名視覚探偵　日暮旅人　#4</t>
  </si>
  <si>
    <t>松坂桃李、多部未華子、濱田岳、木南晴夏、住田萌乃、和田聰宏　/　上田竜也、シシド・カフカ　/　木野花、北村有起哉、吹越満、北大路欣也　ほか  【ゲスト】三浦貴大、池田鉄洋、前野朋哉、半海一晃、大島蓉子、ブリリアン婚活パーティーに参加した保育士の智子先生(木南晴夏)が行方不明に!心配した陽子(多部未華子)は日暮旅人(松坂桃李)に助けを求めるが、旅人は目の力を使いすぎて意識不明の状態だった。雪路(濱田岳)、亀吉(上田竜也)と共に智子を探す陽子だが、捜索は難航。そんな中、目を覚ました旅人は、榎木(北大路欣也)達の制止を振り切り、智子を探しに飛び出す。が、その行動の裏には、ブラック旅人のある企みが隠されていた……【演出】堤幸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</si>
  <si>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婚活パーティーに参加した保育士の智子先生(木南晴夏)が行方不明に!心配した陽子(多部未華子)は日暮旅人(松坂桃李)に助けを求めるが、旅人は目の力を使いすぎて意識不明の状態だった。雪路(濱田岳)、亀吉(上田竜也)と共に智子を探す陽子だが、捜索は難航。そんな中、目を覚ました旅人は、榎木(北大路欣也)達の制止を振り切り、智子を探しに飛び出す。が、その行動の裏には、ブラック旅人のある企みが隠されていた……</t>
  </si>
  <si>
    <t>番組名視覚探偵　日暮旅人　#5</t>
  </si>
  <si>
    <t>松坂桃李、多部未華子、濱田岳、住田萌乃、和田聰宏　/　上田竜也、シシド・カフカ　/　北村有起哉、吹越満、北大路欣也　ほか  【ゲスト】吉田栄作、三吉彩花、池田鉄洋、半海一晃、笠松将今回の依頼は、失踪したミュージシャン・犬飼啓(吉田栄作)を探せ!耳の聴こえない女性ファン・静香(三吉彩花)のため、いつも以上に熱心に探す旅人(松坂桃李)には、ある隠された狙いがあった!一方、20年前に自分が誘拐・監禁した子供が、旅人であることに気づいた刑事の白石(吹越満)は、過去の罪を揉み消すために動き出す……。いよいよ、旅人の過去と現在が繋がり始め、周囲の人間たちも、その渦に巻きこまれていく。【演出】菅原伸太郎【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</si>
  <si>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今回の依頼は、失踪したミュージシャン・犬飼啓(吉田栄作)を探せ!耳の聴こえない女性ファン・静香(三吉彩花)のため、いつも以上に熱心に探す旅人(松坂桃李)には、ある隠された狙いがあった!一方、20年前に自分が誘拐・監禁した子供が、旅人であることに気づいた刑事の白石(吹越満)は、過去の罪を揉み消すために動き出す……。いよいよ、旅人の過去と現在が繋がり始め、周囲の人間たちも、その渦に巻きこまれていく。</t>
  </si>
  <si>
    <t>番組名視覚探偵　日暮旅人　#6</t>
  </si>
  <si>
    <t>松坂桃李、多部未華子、濱田岳、住田萌乃、和田聰宏　/　上田竜也、シシド・カフカ　/　眞島秀和、北村有起哉、吹越満　ほか  【ゲスト】ともさかりえ、高橋メアリージュン、福士誠治、小林きな子、龍坐　/　西尾まり、池田鉄洋、永島敏行　ほか日暮旅人(松坂桃李)は、20年前に自分を誘拐・監禁した白石(吹越満)と遂に対峙する。帰途、探偵事務所の下の階にある飲み屋のホステス・ハルカ(ともさかりえ)を視た旅人は突然倒れてしまう。目を覚ました旅人は、ハルカと共に、鳥羽組の今林(池田鉄洋)と権藤会の権藤(永島敏行)の抗争に巻き込まれる。一方、雪路(濱田岳)は、旅人の秘密を知り激しく動揺する。謎の女性・ハルカの正体は!?旅人と雪路の絆の行方は!?稲留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</si>
  <si>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日暮旅人(松坂桃李)は、20年前に自分を誘拐・監禁した白石(吹越満)と遂に対峙する。帰途、探偵事務所の下の階にある飲み屋のホステス・ハルカ(ともさかりえ)を視た旅人は突然倒れてしまう。目を覚ました旅人は、ハルカと共に、鳥羽組の今林(池田鉄洋)と権藤会の権藤(永島敏行)の抗争に巻き込まれる。一方、雪路(濱田岳)は、旅人の秘密を知り激しく動揺する。謎の女性・ハルカの正体は!?旅人と雪路の絆の行方は!?稲留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</si>
  <si>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番組名視覚探偵　日暮旅人　#7</t>
  </si>
  <si>
    <t>松坂桃李、多部未華子、濱田岳、住田萌乃、和田聰宏　/　上田竜也、シシド・カフカ　/　伊武雅刀、北村有起哉、吹越満、北大路欣也　ほか  【ゲスト】ともさかりえ、池田鉄洋　ほか日暮旅人(松坂桃李)を訪ねるホステス・ハルカこと灯果(ともさかりえ)。旅人は自分を誘拐・監禁した灯果が灯衣(住田萌乃)の母親だと知る。最後に一度だけ娘と会わせてほしいという灯果の願いを旅人は受け入れ、旅人と陽子(多部未華子)が見守る中親子はデパートの屋上で会う。しかし、天才ドラッグデザイナーである灯果を追って鳥羽組のリッチー(北村有起哉)が登場。はたして旅人達は灯果と灯衣を守ることができるのか!?菅原伸太郎【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</si>
  <si>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旅人は自分を誘拐・監禁した灯果が灯衣(住田萌乃)の母親だと知る。最後に一度だけ娘と会わせてほしいという灯果の願いを旅人は受け入れ、旅人と陽子(多部未華子)が見守る中親子はデパートの屋上で会う。しかし、天才ドラッグデザイナーである灯果を追って鳥羽組のリッチー(北村有起哉)が登場。はたして旅人達は灯果と灯衣を守ることができるのか!?菅原伸太郎【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</si>
  <si>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番組名視覚探偵　日暮旅人　#8</t>
  </si>
  <si>
    <t>松坂桃李、多部未華子、濱田岳、住田萌乃、和田聰宏、三浦力、柳喬之　/　上田竜也、シシド・カフカ　/　伊武雅刀、北村有起哉、吹越満、北大路欣也　ほか  【ゲスト】ともさかりえ、今野浩喜、SEAMO、中川翼自分の過去、復讐計画を告白する日暮旅人(松坂桃李)に大きなショックを受ける陽子(多部未華子)、雪路(濱田岳)、亀吉(上田竜也)、灯衣(住田萌乃)。そんな中、陽子が、まずは白石刑事(吹越満)に、続いて鳥羽組で最も危険な男・リッチー(北村有起哉)に“二重誘拐”されてしまう。陽子はリッチーから、旅人の両親の死の真相を聞いてしまう……。旅人は、陽子を救い出すことができるのか!?そして旅人の復讐の行方は!?堤幸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</si>
  <si>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自分の過去、復讐計画を告白する日暮旅人(松坂桃李)に大きなショックを受ける陽子(多部未華子)、雪路(濱田岳)、亀吉(上田竜也)、灯衣(住田萌乃)。そんな中、陽子が、まずは白石刑事(吹越満)に、続いて鳥羽組で最も危険な男・リッチー(北村有起哉)に“二重誘拐”されてしまう。陽子はリッチーから、旅人の両親の死の真相を聞いてしまう……。旅人は、陽子を救い出すことができるのか!?そして旅人の復讐の行方は!?堤幸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</si>
  <si>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番組名視覚探偵　日暮旅人　#9</t>
  </si>
  <si>
    <t>松坂桃李、多部未華子、濱田岳、木南晴夏、住田萌乃、和田聰宏、三浦力　/　上田竜也、シシド・カフカ　/　伊武雅刀、北村有起哉、吹越満、北大路欣也　ほか  【ゲスト】ともさかりえ、SEAMO、中川翼復讐だけが生きる希望だった日暮旅人(松坂桃李)は、遂に両親を殺したリッチー(北村有起哉)と対峙する。その手には拳銃が……。一方、旅人の復讐を思い留まらせようとする陽子(多部未華子)、雪路(濱田岳)、亀吉(上田竜也)、灯衣(住田萌乃)、榎木(北大路欣也)だったが、強敵に阻まれ次々と傷つき倒れていく……。憎悪と愛情の狭間で揺れ動く旅人が下す決断は!?闇のむこうに光は視えるのか!?驚愕と感動の最終話!!堤幸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</si>
  <si>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復讐だけが生きる希望だった日暮旅人(松坂桃李)は、遂に両親を殺したリッチー(北村有起哉)と対峙する。その手には拳銃が……。一方、旅人の復讐を思い留まらせようとする陽子(多部未華子)、雪路(濱田岳)、亀吉(上田竜也)、灯衣(住田萌乃)、榎木(北大路欣也)だったが、強敵に阻まれ次々と傷つき倒れていく……。憎悪と愛情の狭間で揺れ動く旅人が下す決断は!?闇のむこうに光は視えるのか!?驚愕と感動の最終話!!堤幸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</si>
  <si>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1610_NTV_水22</t>
  </si>
  <si>
    <t>地味にスゴイ！</t>
  </si>
  <si>
    <t>番組名地味にスゴイ!校閲ガール・河野悦子　第1話【石原さとみ・菅田将暉】</t>
  </si>
  <si>
    <t>石原さとみ、菅田将暉、本田翼、和田正人、江口のりこ/田口浩正、足立梨花、伊勢佳世、曽田茉莉江、松川尚瑠輝、杉野遥亮/ミスターちん、長江英和、店長松本、麻生かほ里、高橋修/鹿賀丈史(特別出演)/芳本美代子、青木崇高、岸谷五朗オシャレ大好き河野悦子(石原さとみ)はファッション誌の編集者を夢見て出版社に入社。しかし配属されたのは「校閲部」。原稿の誤字脱字や内容に間違いがないかを確認する超地味な部署だった…。それでも、ポジティブな悦子は一生懸命!破天荒な校閲で大御所作家に呼び出された一方、偶然出会った大学生の作家・折原幸人(菅田将暉)に一目惚れ!?  ド派手なファッションの校閲ガール・河野悦子が仕事に恋に大暴れ!【演出】佐藤東弥【原作】宮木あや子「校閲ガール」シリーズ(KADOKAWA・角川文庫刊)  【脚本】中谷まゆみ【音楽】大間々昂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</si>
  <si>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オシャレ大好き河野悦子(石原さとみ)はファッション誌の編集者を夢見て出版社に入社。しかし配属されたのは「校閲部」。原稿の誤字脱字や内容に間違いがないかを確認する超地味な部署だった…。それでも、ポジティブな悦子は一生懸命!破天荒な校閲で大御所作家に呼び出された一方、偶然出会った大学生の作家・折原幸人(菅田将暉)に一目惚れ!?  ド派手なファッションの校閲ガール・河野悦子が仕事に恋に大暴れ!</t>
  </si>
  <si>
    <t>番組名地味にスゴイ!校閲ガール・河野悦子　第2話</t>
  </si>
  <si>
    <t>石原さとみ、菅田将暉、本田翼、和田正人、江口のりこ、田口浩正、青木崇高、岸谷五朗  【ゲスト】ともさかりえ悦子(石原さとみ)は、人気ブロガー・亜季(ともさかりえ)の節約術ブログをまとめた書籍の校閲を任される。亜季の節約アイデアに興味を持った悦子は、校閲の立場を越えて、次々とアイデアを出す。そんな中、亜季の本に関して大事件が起こり、校閲部が大ピンチに!一方、悦子は、幸人(菅田将暉)に一目ぼれして以来、彼のことが忘れられないでいた。そんな幸人は、森尾(本田翼)の家に住まわせてもらうことになり…。【演出】佐藤東弥【原作】宮木あや子「校閲ガール」シリーズ(KADOKAWA・角川文庫刊)  【脚本】中谷まゆみ【音楽】大間々昂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</si>
  <si>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悦子(石原さとみ)は、人気ブロガー・亜季(ともさかりえ)の節約術ブログをまとめた書籍の校閲を任される。亜季の節約アイデアに興味を持った悦子は、校閲の立場を越えて、次々とアイデアを出す。そんな中、亜季の本に関して大事件が起こり、校閲部が大ピンチに!一方、悦子は、幸人(菅田将暉)に一目ぼれして以来、彼のことが忘れられないでいた。そんな幸人は、森尾(本田翼)の家に住まわせてもらうことになり…。</t>
  </si>
  <si>
    <t>番組名地味にスゴイ!校閲ガール・河野悦子　第3話</t>
  </si>
  <si>
    <t>石原さとみ、菅田将暉、本田翼、和田正人、江口のりこ、田口浩正、青木崇高、岸谷五朗  【ゲスト】賀来千香子人気作家・四条真理恵(賀来千香子)の小説を校閲した悦子(石原さとみ)は、ある矛盾を指摘したことで四条から感謝される。しかし、その矛盾を指摘したのは悦子ではない。誰かがゲラに指摘の付箋を貼ったのだ。悦子は、四条のファンであるために担当を外された米岡(和田正人)の仕業だと考えるが、彼ではなかった。そんな中、米岡と一緒に四条のイベントに出席した悦子は、そこでなぜか藤岩(江口のりこ)の姿を目撃する…。【演出】小室直子【原作】宮木あや子「校閲ガール」シリーズ(KADOKAWA・角川文庫刊)  【脚本】中谷まゆみ【音楽】大間々昂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</si>
  <si>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人気作家・四条真理恵(賀来千香子)の小説を校閲した悦子(石原さとみ)は、ある矛盾を指摘したことで四条から感謝される。しかし、その矛盾を指摘したのは悦子ではない。誰かがゲラに指摘の付箋を貼ったのだ。悦子は、四条のファンであるために担当を外された米岡(和田正人)の仕業だと考えるが、彼ではなかった。そんな中、米岡と一緒に四条のイベントに出席した悦子は、そこでなぜか藤岩(江口のりこ)の姿を目撃する…。</t>
  </si>
  <si>
    <t>番組名地味にスゴイ!校閲ガール・河野悦子　第4話</t>
  </si>
  <si>
    <t>石原さとみ、菅田将暉、本田翼、和田正人、江口のりこ、田口浩正、青木崇高、岸谷五朗  【ゲスト】南沢奈央、山中聡悦子(石原さとみ)は、女優・杉本あすか(南沢奈央)の自叙伝の校閲を担当。内容確認のため、あすかの実家を訪れた悦子は、あすかを追うゴシップ記者・山ノ内(山中聡)と出くわす。数日後、あすかに隠し子がいるというスクープ記事が発表され、あすかの自叙伝は出版中止の危機に。あすかの釈明会見で、悦子は思いもよらない行動に出る…。一方、幸人(菅田将暉)は、森尾(本田翼)に作家であることを公表するよう説得され…。【演出】森雅弘【原作】宮木あや子「校閲ガール」シリーズ(KADOKAWA・角川文庫刊)  【脚本】川崎いづみ【音楽】大間々昂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</si>
  <si>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悦子(石原さとみ)は、女優・杉本あすか(南沢奈央)の自叙伝の校閲を担当。内容確認のため、あすかの実家を訪れた悦子は、あすかを追うゴシップ記者・山ノ内(山中聡)と出くわす。数日後、あすかに隠し子がいるというスクープ記事が発表され、あすかの自叙伝は出版中止の危機に。あすかの釈明会見で、悦子は思いもよらない行動に出る…。一方、幸人(菅田将暉)は、森尾(本田翼)に作家であることを公表するよう説得され…。</t>
  </si>
  <si>
    <t>番組名地味にスゴイ!校閲ガール・河野悦子　第5話</t>
  </si>
  <si>
    <t>石原さとみ、菅田将暉、本田翼、和田正人、江口のりこ、田口浩正、青木崇高、岸谷五朗  【ゲスト】川原亜矢子悦子(石原さとみ)は、大ファンだった伝説のスタイリスト・フロイライン登紀子(川原亜矢子)のエッセイの校閲を任され大張り切り。一方『Lassy』編集部では、幸人(菅田将暉)たち専属モデル候補のスタイリングを登紀子が担当することに。登紀子の指示で撮影用小道具を集めた森尾(本田翼)だったが、登紀子からセンスがないと一蹴される。森尾が苦労して集めたのを知っていた悦子は、登紀子の態度に黙っていられなくなり…【演出】佐藤東弥【原作】宮木あや子「校閲ガール」シリーズ(KADOKAWA・角川文庫刊)  【脚本】中谷まゆみ【音楽】大間々昂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</si>
  <si>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悦子(石原さとみ)は、大ファンだった伝説のスタイリスト・フロイライン登紀子(川原亜矢子)のエッセイの校閲を任され大張り切り。一方『Lassy』編集部では、幸人(菅田将暉)たち専属モデル候補のスタイリングを登紀子が担当することに。登紀子の指示で撮影用小道具を集めた森尾(本田翼)だったが、登紀子からセンスがないと一蹴される。森尾が苦労して集めたのを知っていた悦子は、登紀子の態度に黙っていられなくなり…</t>
  </si>
  <si>
    <t>番組名地味にスゴイ!校閲ガール・河野悦子　第6話</t>
  </si>
  <si>
    <t>石原さとみ、菅田将暉、本田翼、和田正人、江口のりこ、田口浩正、青木崇高、岸谷五朗  【ゲスト】安藤政信幸人(菅田将暉)が森尾(本田翼)と同居していると知った悦子(石原さとみ)は、幸人を尾行することに…。一方、仕事では子供向けの新雑誌に掲載される小説の校閲を任される。子供向けなのに難解なため、悦子は編集部の貝塚(青木崇高)に抗議。そんな二人の前に、かつて作家志望で貝塚が担当していた桐谷が現れる。桐谷は、貝塚を恨んでいた。そんな中、悦子が担当していた小説の作者が作品を新雑誌に掲載しないと言い出し…。【演出】小室直子【原作】宮木あや子「校閲ガール」シリーズ(KADOKAWA・角川文庫刊)  【脚本】川崎いづみ【音楽】大間々昂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</si>
  <si>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幸人(菅田将暉)が森尾(本田翼)と同居していると知った悦子(石原さとみ)は、幸人を尾行することに…。一方、仕事では子供向けの新雑誌に掲載される小説の校閲を任される。子供向けなのに難解なため、悦子は編集部の貝塚(青木崇高)に抗議。そんな二人の前に、かつて作家志望で貝塚が担当していた桐谷が現れる。桐谷は、貝塚を恨んでいた。そんな中、悦子が担当していた小説の作者が作品を新雑誌に掲載しないと言い出し…。</t>
  </si>
  <si>
    <t>番組名地味にスゴイ!校閲ガール・河野悦子　第7話</t>
  </si>
  <si>
    <t>石原さとみ、菅田将暉、本田翼、和田正人、江口のりこ、田口浩正、鹿賀丈史(特別出演)、青木崇高、岸谷五朗幸人(菅田将暉)が本郷先生(鹿賀丈史)の息子!?本郷のエッセイを校閲していた悦子(石原さとみ)はそんな疑問にたどり着いてしまった。担当編集者である貝塚(青木崇高)に聞くと、幸人と本郷の関係には深い闇があるらしい…。幸人に確かめるか悩む悦子だったが、リスクを恐れて指摘を無くしてしまっては作品のためにならないと、校閲者として幸人に問いかける…【演出】森雅弘【原作】宮木あや子「校閲ガール」シリーズ(KADOKAWA・角川文庫刊)  【脚本】川崎いづみ【音楽】大間々昂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</si>
  <si>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幸人(菅田将暉)が本郷先生(鹿賀丈史)の息子!?本郷のエッセイを校閲していた悦子(石原さとみ)はそんな疑問にたどり着いてしまった。担当編集者である貝塚(青木崇高)に聞くと、幸人と本郷の関係には深い闇があるらしい…。幸人に確かめるか悩む悦子だったが、リスクを恐れて指摘を無くしてしまっては作品のためにならないと、校閲者として幸人に問いかける…</t>
  </si>
  <si>
    <t>番組名地味にスゴイ!校閲ガール・河野悦子　第8話</t>
  </si>
  <si>
    <t>石原さとみ、菅田将暉、本田翼、和田正人、江口のりこ、田口浩正、青木崇高、岸谷五朗  【ゲスト】伊藤かずえ悦子(石原さとみ)が校閲を担当していた恋愛小説家・桜川葵(伊藤かずえ)が突然校閲部に現れ、いきなり部長の茸原(岸谷五朗)に抱きついた!茸原と葵には意外な過去があったのだ。仕事にも恋愛にも情熱的な葵に負けじと、悦子は全力で葵の小説を校閲する。一方、葵は悦子に指摘されたことを取り入れていく。お互いの立場で激論を交わしながら作品を作り上げていく悦子と葵。次第に、二人は意気投合するが…。【演出】佐藤東弥【原作】宮木あや子「校閲ガール」シリーズ(KADOKAWA・角川文庫刊)  【脚本】川崎いづみ【音楽】大間々昂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</si>
  <si>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悦子(石原さとみ)が校閲を担当していた恋愛小説家・桜川葵(伊藤かずえ)が突然校閲部に現れ、いきなり部長の茸原(岸谷五朗)に抱きついた!茸原と葵には意外な過去があったのだ。仕事にも恋愛にも情熱的な葵に負けじと、悦子は全力で葵の小説を校閲する。一方、葵は悦子に指摘されたことを取り入れていく。お互いの立場で激論を交わしながら作品を作り上げていく悦子と葵。次第に、二人は意気投合するが…。</t>
  </si>
  <si>
    <t>番組名地味にスゴイ!校閲ガール・河野悦子　第9話</t>
  </si>
  <si>
    <t>石原さとみ、菅田将暉、本田翼、和田正人、江口のりこ、田口浩正、鹿賀丈史(特別出演)、青木崇高、岸谷五朗憧れのファッション誌『Lassy』の校閲をすることになり、張り切る悦子(石原さとみ)。しかし、普段やっている書籍の校閲と勝手が違うため、苦戦する。一方、幸人(菅田将暉)との関係は相変わらず、あいまいなまま。そんな中、悦子は貝塚(青木崇高)から、森尾(本田翼)が幸人のことを想っていると聞かされ、ショックを受ける。仕事も恋愛もうまくいかない悦子は元気をなくし、驚くほど地味な服装で出社する…。【演出】小室直子【原作】宮木あや子「校閲ガール」シリーズ(KADOKAWA・角川文庫刊)  【脚本】中谷まゆみ【音楽】大間々昂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</si>
  <si>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憧れのファッション誌『Lassy』の校閲をすることになり、張り切る悦子(石原さとみ)。しかし、普段やっている書籍の校閲と勝手が違うため、苦戦する。一方、幸人(菅田将暉)との関係は相変わらず、あいまいなまま。そんな中、悦子は貝塚(青木崇高)から、森尾(本田翼)が幸人のことを想っていると聞かされ、ショックを受ける。仕事も恋愛もうまくいかない悦子は元気をなくし、驚くほど地味な服装で出社する…。</t>
  </si>
  <si>
    <t>番組名地味にスゴイ!校閲ガール・河野悦子　第10話</t>
  </si>
  <si>
    <t>石原さとみ、菅田将暉、本田翼、和田正人、江口のりこ/田口浩正、足立梨花、伊勢佳世、曽田茉莉江、松川尚瑠輝、杉野遥亮/ミスターちん、長江英和、店長松本、麻生かほ里、高橋修/鹿賀丈史(特別出演)/芳本美代子、青木崇高、岸谷五朗  【ゲスト】浅田美代子、本田博太郎夢だったファッション誌に異動できる大チャンスが悦子(石原さとみ)に訪れる!そんな中、貝塚(青木崇高)から、校閲を担当した本郷先生(鹿賀丈史)の新作が盗作の疑いで告発されたと知らされる。校閲部メンバーや幸人(菅田将暉)と盗作疑惑を晴らすために夢中になってしまった悦子は、何の準備もしないまま、ファッション誌の企画をプレゼンする日を迎えてしまう…。果たして悦子はファッション誌へ行けるのか…【演出】佐藤東弥【原作】宮木あや子「校閲ガール」シリーズ(KADOKAWA・角川文庫刊)  【脚本】中谷まゆみ【音楽】大間々昂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</si>
  <si>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夢だったファッション誌に異動できる大チャンスが悦子(石原さとみ)に訪れる!そんな中、貝塚(青木崇高)から、校閲を担当した本郷先生(鹿賀丈史)の新作が盗作の疑いで告発されたと知らされる。校閲部メンバーや幸人(菅田将暉)と盗作疑惑を晴らすために夢中になってしまった悦子は、何の準備もしないまま、ファッション誌の企画をプレゼンする日を迎えてしまう…。果たして悦子はファッション誌へ行けるのか…</t>
  </si>
  <si>
    <t>1610_NTV_木23</t>
  </si>
  <si>
    <t>黒い十人の女</t>
  </si>
  <si>
    <t>番組名バカリズム脚本『黒い十人の女』第2話「クズ女ども、嵐の一夜」</t>
  </si>
  <si>
    <t>船越英一郎、成海璃子、トリンドル玲奈、佐藤仁美  佐野ひなこ、MEGUMI、水上剣星、新田祐里子  水野美紀ドラマプロデューサーの風(船越英一郎)には妻のほかに、なんと9人の愛人がいた。  不倫から抜け出そうと新たな恋を見つけた久未(成海璃子)だったが、思いもよらぬ驚きの展開に…そして、志乃(トリンドル玲奈)もまた別の男性との間で揺れ動いていた。その裏で、風を他の愛人たちと別れさせようと動き出す美羽(佐藤仁美)…さらには、4人以外の新たな愛人が発覚!不倫女たちの愛憎劇が加速し始めるー【演出】  渡部亮平【原作】  和田夏十(映画『黒い十人の女』市川崑監督)  【脚本】  バカリズム兼松衆  【主題歌】  「愛/憎」CIVILIAN【番組公式サイト】  http://www.ytv.co.jp/kuro10/  【番組公式Twitter】  https://twitter.com/ytvdrama　#黒い十人の女  【番組公式LINE】  ID:@kuro10</t>
  </si>
  <si>
    <t>ドラマプロデューサーの風(船越英一郎)には妻のほかに、なんと9人の愛人がいた。  不倫から抜け出そうと新たな恋を見つけた久未(成海璃子)だったが、思いもよらぬ驚きの展開に…そして、志乃(トリンドル玲奈)もまた別の男性との間で揺れ動いていた。その裏で、風を他の愛人たちと別れさせようと動き出す美羽(佐藤仁美)…さらには、4人以外の新たな愛人が発覚!不倫女たちの愛憎劇が加速し始めるー</t>
  </si>
  <si>
    <t>番組名バカリズム脚本『黒い十人の女』「本妻VSクズ女～顔合わせは崩壊の始まり」</t>
  </si>
  <si>
    <t>船越英一郎、成海璃子、トリンドル玲奈、佐藤仁美  佐野ひなこ、MEGUMI、平山あや、水上剣星、ちすん、新田祐里子  若村麻由美(特別出演)  水野美紀「私と手を組まない?」久未(成海璃子)は美羽(佐藤仁美)から思いもよらぬ相談を持ちかけられる。そして、2人はついに風(船越英一郎)の奥さんのもとへ…乗り込んだ2人に待ち受けていたのは!?そして、またもや新たな愛人が発覚!志乃(トリンドル玲奈)は驚きの事実を知らされることに…今回もまた美羽の言動によってかき乱されていく愛人たち。女たちの不倫劇はどんどんエスカレートし、崩壊へと向かっていくー【演出】  瑠東東一郎【原作】  和田夏十(映画『黒い十人の女』市川崑監督)  【脚本】  バカリズム兼松衆  【主題歌】  「愛/憎」CIVILIAN【番組公式サイト】  http://www.ytv.co.jp/kuro10/  【番組公式Twitter】  https://twitter.com/ytvdrama　#黒い十人の女  【番組公式LINE】  ID:@kuro10</t>
  </si>
  <si>
    <t xml:space="preserve"> 水野美紀「私と手を組まない?」久未(成海璃子)は美羽(佐藤仁美)から思いもよらぬ相談を持ちかけられる。そして、2人はついに風(船越英一郎)の奥さんのもとへ…乗り込んだ2人に待ち受けていたのは!?そして、またもや新たな愛人が発覚!志乃(トリンドル玲奈)は驚きの事実を知らされることに…今回もまた美羽の言動によってかき乱されていく愛人たち。女たちの不倫劇はどんどんエスカレートし、崩壊へと向かっていくー</t>
  </si>
  <si>
    <t>番組名バカリズム脚本『黒い十人の女』「愛人たちの晩餐会」</t>
  </si>
  <si>
    <t>船越英一郎、成海璃子、トリンドル玲奈、佐藤仁美  佐野ひなこ、MEGUMI、平山あや、白羽ゆり、水上剣星、ちすん、新田祐里子  若村麻由美(特別出演)  水野美紀風(船越英一郎)には妻のほかに、なんと9人の愛人がいた。そんな9人の愛人のうち6人が、ついに集結!自分以外にも愛人がいる事、しかも9人いる事を知った愛人達の嫉妬と怒りが爆発する!互いを罵り合う女達がぶっかけ合うのは、とうとう水にとどまらず驚きの展開に…そんな愛人達の激しい争いを全く知らない風は、別の美女と会っていた。そう、またもや新たな愛人が発覚!そして、その愛人はなんと…衝撃の新事実も明らかに!【演出】  瑠東東一郎【原作】  和田夏十(映画『黒い十人の女』市川崑監督)  【脚本】  バカリズム兼松衆  【主題歌】  「愛/憎」CIVILIAN【番組公式Twitter】  https://twitter.com/ytvdrama　#黒い十人の女    【番組公式LINE】  ID:@kuro10【番組公式サイト】  http://www.ytv.co.jp/kuro10/</t>
  </si>
  <si>
    <t>風(船越英一郎)には妻のほかに、なんと9人の愛人がいた。そんな9人の愛人のうち6人が、ついに集結!自分以外にも愛人がいる事、しかも9人いる事を知った愛人達の嫉妬と怒りが爆発する!互いを罵り合う女達がぶっかけ合うのは、とうとう水にとどまらず驚きの展開に…そんな愛人達の激しい争いを全く知らない風は、別の美女と会っていた。そう、またもや新たな愛人が発覚!そして、その愛人はなんと…衝撃の新事実も明らかに!</t>
  </si>
  <si>
    <t>番組名バカリズム脚本『黒い十人の女』「十人の女、全員、現る」</t>
  </si>
  <si>
    <t>船越英一郎、成海璃子、トリンドル玲奈、佐藤仁美  佐野ひなこ、MEGUMI、平山あや、白羽ゆり、水上剣星、ちすん、新田祐里子  若村麻由美(特別出演)  水野美紀ドラマプロデューサーの風(船越英一郎)には妻のほかに、なんと9人の愛人がいた。  不倫関係に終止符を打とうとする女、2人の男の間で揺れ動く女、好きな女性に不倫をやめさせたい男、他の不倫女を蹴落としたい女…風をめぐって争う様々な人物たちの欲望・怒り・嫉妬が激しくぶつかり合う!さらに、新たな愛人たちが続々と発覚!そして、ついに9人の愛人全員が明らかに!【演出】山本大輔【原作】和田夏十(映画『黒い十人の女』市川崑監督)  【脚本】バカリズム兼松衆  【主題歌】「愛/憎」CIVILIAN【番組公式サイト】  http://www.ytv.co.jp/kuro10/  【番組公式Twitter】  https://twitter.com/ytvdrama　#黒い十人の女  【番組公式LINE】  ID:@kuro10</t>
  </si>
  <si>
    <t>ドラマプロデューサーの風(船越英一郎)には妻のほかに、なんと9人の愛人がいた。  不倫関係に終止符を打とうとする女、2人の男の間で揺れ動く女、好きな女性に不倫をやめさせたい男、他の不倫女を蹴落としたい女…風をめぐって争う様々な人物たちの欲望・怒り・嫉妬が激しくぶつかり合う!さらに、新たな愛人たちが続々と発覚!そして、ついに9人の愛人全員が明らかに!</t>
  </si>
  <si>
    <t>番組名バカリズム脚本『黒い十人の女』「おんなの肉弾戦」船越英一郎主演</t>
  </si>
  <si>
    <t>船越英一郎、成海璃子、トリンドル玲奈、佐藤仁美  佐野ひなこ、MEGUMI、平山あや、白羽ゆり、水上剣星、ちすん、新田祐里子  若村麻由美(特別出演)  水野美紀ドラマプロデューサーの風(船越英一郎)には妻のほかに、なんと9人の愛人がいた。  不倫の相談に乗ってもらっていた彩乃(佐野ひなこ)も愛人だと知り、怒り狂う久未(成海璃子)。親友2人が想像を絶するほどの激しい戦いを繰り広げる!“これは不倫ドラマなのか!?”と錯覚するほどアクションシーンが満載!!そして、【美羽VS志乃・夢・沙英】の女の戦争ーガチバトルーがついに幕を開ける!【演出】  豊島圭介【原作】  和田夏十(映画『黒い十人の女』市川崑監督)  【脚本】  バカリズム兼松衆  【主題歌】  「愛/憎」CIVILIAN【番組公式サイト】  http://www.ytv.co.jp/kuro10/  【番組公式Twitter】  https://twitter.com/ytvdrama　#黒い十人の女  【番組公式LINE】  ID:@kuro10</t>
  </si>
  <si>
    <t>ドラマプロデューサーの風(船越英一郎)には妻のほかに、なんと9人の愛人がいた。  不倫の相談に乗ってもらっていた彩乃(佐野ひなこ)も愛人だと知り、怒り狂う久未(成海璃子)。親友2人が想像を絶するほどの激しい戦いを繰り広げる!“これは不倫ドラマなのか!?”と錯覚するほどアクションシーンが満載!!そして、</t>
  </si>
  <si>
    <t>番組名バカリズム脚本『黒い十人の女』「不倫女が奇跡の集結!あと視聴率って何?」</t>
  </si>
  <si>
    <t>船越英一郎、成海璃子、トリンドル玲奈、佐藤仁美  佐野ひなこ、MEGUMI、平山あや、白羽ゆり、水上剣星、ちすん、新田祐里子  若村麻由美(特別出演)  水野美紀ドラマプロデューサーの風(船越英一郎)には妻のほかに、なんと9人の愛人がいた。多くの愛人たちが携わっているドラマ『淡い三人の男』の裏側では、女の熾烈な争いが繰り広げられていた!真空飛び膝蹴りを美羽(佐藤仁美)に喰らわせた真衣(白羽ゆり)が、その美羽と初対面し、一触即発に!そして、ついに風の妻と9人の愛人…10人の女が集結!初めて集まった不倫女たちにいったい、何が起こるのかー!?【演出】  瑠東東一郎【原作】  和田夏十(映画『黒い十人の女』市川崑監督)  【脚本】  バカリズム兼松衆  【主題歌】  「愛/憎」CIVILIAN【番組公式サイト】  http://www.ytv.co.jp/kuro10/    【番組公式Twitter】  https://twitter.com/ytvdrama　#黒い十人の女    【番組公式LINE】  ID:@kuro10</t>
  </si>
  <si>
    <t>ドラマプロデューサーの風(船越英一郎)には妻のほかに、なんと9人の愛人がいた。多くの愛人たちが携わっているドラマ『淡い三人の男』の裏側では、女の熾烈な争いが繰り広げられていた!真空飛び膝蹴りを美羽(佐藤仁美)に喰らわせた真衣(白羽ゆり)が、その美羽と初対面し、一触即発に!そして、ついに風の妻と9人の愛人…10人の女が集結!初めて集まった不倫女たちにいったい、何が起こるのかー!?</t>
  </si>
  <si>
    <t>番組名バカリズム脚本『黒い十人の女』「黒い十人のティーパーティ」</t>
  </si>
  <si>
    <t>船越英一郎、成海璃子、トリンドル玲奈、佐藤仁美  佐野ひなこ、MEGUMI、平山あや、白羽ゆり、水上剣星、ちすん、新田祐里子  若村麻由美(特別出演)  水野美紀身の回りにいる様々な女性を愛人にしていた風(船越英一郎)。最も古株の愛人である佳代(水野美紀)の呼びかけで、妻と愛人9人…10人の女がついに全員集結した!そこで、佳代は驚きの提案をする…その驚愕の内容とはー!?そして、10人の女たちのもとに突然現れた風。妻と愛人たちの前で、風がとんでもない発言を…その発言をきっかけに、10人の女たちがついに動き出す!!10股男・風松吉の運命はー!?【演出】  豊島圭介【原作】  和田夏十(映画『黒い十人の女』市川崑監督)  【脚本】  バカリズム兼松衆  【主題歌】  「愛/憎」CIVILIAN【番組公式サイト】  http://www.ytv.co.jp/kuro10/    【番組公式Twitter】  https://twitter.com/ytvdrama　#黒い十人の女    【番組公式LINE】  ID:@kuro10</t>
  </si>
  <si>
    <t>身の回りにいる様々な女性を愛人にしていた風(船越英一郎)。最も古株の愛人である佳代(水野美紀)の呼びかけで、妻と愛人9人…10人の女がついに全員集結した!そこで、佳代は驚きの提案をする…その驚愕の内容とはー!?そして、10人の女たちのもとに突然現れた風。妻と愛人たちの前で、風がとんでもない発言を…その発言をきっかけに、10人の女たちがついに動き出す!!10股男・風松吉の運命はー!?</t>
  </si>
  <si>
    <t>番組名バカリズム脚本『黒い十人の女』「さよなら風松吉」</t>
  </si>
  <si>
    <t>船越英一郎、成海璃子、トリンドル玲奈、佐藤仁美  佐野ひなこ、MEGUMI、平山あや、白羽ゆり、水上剣星、ちすん、新田祐里子  若村麻由美(特別出演)  水野美紀風(船越英一郎)の妻・睦(若村麻由美)と9人の愛人たちが計画したのは、“風松吉の殺害”。12時間以内に10錠飲めば死ぬという薬を1人1錠ずつ風に飲ませようとする10人の女たち。風を殺すことはできるのか…1人の男に人生を狂わされた女たちの復讐劇が今、幕を開ける!そして、ラストに待ち受ける驚きの展開とはー!?山本大輔【原作】  和田夏十(映画『黒い十人の女』市川崑監督)  【脚本】  バカリズム兼松衆  【主題歌】  「愛/憎」CIVILIAN【番組公式サイト】  http://www.ytv.co.jp/kuro10/    【番組公式Twitter】  https://twitter.com/ytvdrama　#黒い十人の女    【番組公式LINE】  ID:@kuro10</t>
  </si>
  <si>
    <t>風(船越英一郎)の妻・睦(若村麻由美)と9人の愛人たちが計画したのは、“風松吉の殺害”。12時間以内に10錠飲めば死ぬという薬を1人1錠ずつ風に飲ませようとする10人の女たち。風を殺すことはできるのか…1人の男に人生を狂わされた女たちの復讐劇が今、幕を開ける!そして、ラストに待ち受ける驚きの展開とはー!?</t>
  </si>
  <si>
    <t>1610_NTV_日22</t>
  </si>
  <si>
    <t>レンタル救世主</t>
  </si>
  <si>
    <t>番組名レンタル救世主　第1話　初回30分拡大スペシャル!</t>
  </si>
  <si>
    <t>沢村一樹、藤井流星、志田未来、福原遥、稲葉友、梶原善　・　勝地涼　・　中村アン、稲森いずみ、大杉漣、ほか日曜の夜を明るくする!どんな依頼も絶対解決、異常・異端なプロ集団がレンタル開始!大借金男明辺悠五(沢村一樹)の命懸けの物語!初回いきなり生放送も!?　　  超お人好し男明辺悠五(沢村一樹)は同僚に騙され100万ドルという嘘のような大借金を背負う。明辺は超高額給料の「レンタル救世主」という会社と出会い、採用されるが、そこは命懸けで「なんでもやる」謎のレンタル会社で…。【演出】菅原伸太郎【脚本】渡辺雄介【音楽】松本晃彦</t>
  </si>
  <si>
    <t>日曜の夜を明るくする!どんな依頼も絶対解決、異常・異端なプロ集団がレンタル開始!大借金男明辺悠五(沢村一樹)の命懸けの物語!初回いきなり生放送も!?　　  超お人好し男明辺悠五(沢村一樹)は同僚に騙され100万ドルという嘘のような大借金を背負う。明辺は超高額給料の「レンタル救世主」という会社と出会い、採用されるが、そこは命懸けで「なんでもやる」謎のレンタル会社で…。</t>
  </si>
  <si>
    <t>番組名レンタル救世主　#2</t>
  </si>
  <si>
    <t>沢村一樹、藤井流星、志田未来、福原遥、稲葉友、梶原善　・　勝地涼　・　中村アン、稲森いずみ、大杉漣、ほかヒロコ(森カンナ)というラジオDJがレンタル救世主の元に依頼に来る。その内容はプロデューサーの神保(遠藤章造)からのストーカー被害の解消であった。依頼解決に向かう明辺(沢村一樹)はストーカーの証拠を確保するも、警察から泥棒に間違われ留置所に入れられてしまう。遅い帰りに明辺の浮気を疑う妻の紫乃(稲森いずみ)。明辺家に危機が訪れる中、依頼人ヒロコの前には新たなストーカーが現れて…。【演出】菅原伸太郎【脚本】渡辺雄介【音楽】松本晃彦</t>
  </si>
  <si>
    <t>ヒロコ(森カンナ)というラジオDJがレンタル救世主の元に依頼に来る。その内容はプロデューサーの神保(遠藤章造)からのストーカー被害の解消であった。依頼解決に向かう明辺(沢村一樹)はストーカーの証拠を確保するも、警察から泥棒に間違われ留置所に入れられてしまう。遅い帰りに明辺の浮気を疑う妻の紫乃(稲森いずみ)。明辺家に危機が訪れる中、依頼人ヒロコの前には新たなストーカーが現れて…。</t>
  </si>
  <si>
    <t>番組名レンタル救世主　#3</t>
  </si>
  <si>
    <t>沢村一樹、藤井流星、志田未来、福原遥、・　勝地涼　・　中村アン、稲森いずみ、大杉漣　  【ゲスト】甲本雅裕、佐戸井けん太、田中奏生、ほかレンタル救世主に子供が現れる!その依頼内容はお父さんを助けて欲しいというモノ。温かな話かと思いきや、どうやらお父さんは危ない話に手を出し、夜逃げをしているようだ…。少年の依頼を助けたいと思う明辺(沢村一樹)。しかし社長の黒宇(大杉漣)はお金に見合わないと少年を帰してしまう。ヤキモキする明辺だったが、葵(藤井流星)や零子(志田未来)と共に別の依頼に駆り出され…。レンタル救世主版親子物語の開幕!【演出】狩山俊輔【脚本】渡辺雄介【音楽】松本晃彦</t>
  </si>
  <si>
    <t>レンタル救世主に子供が現れる!その依頼内容はお父さんを助けて欲しいというモノ。温かな話かと思いきや、どうやらお父さんは危ない話に手を出し、夜逃げをしているようだ…。少年の依頼を助けたいと思う明辺(沢村一樹)。しかし社長の黒宇(大杉漣)はお金に見合わないと少年を帰してしまう。ヤキモキする明辺だったが、葵(藤井流星)や零子(志田未来)と共に別の依頼に駆り出され…。レンタル救世主版親子物語の開幕!</t>
  </si>
  <si>
    <t>番組名レンタル救世主　#4</t>
  </si>
  <si>
    <t>沢村一樹、藤井流星、志田未来、福原遥、稲葉友、・　勝地涼　・　中村アン、稲森いずみ、大杉漣　ほか  【ゲスト】木下隆行(TKO)次の依頼者は明辺(沢村一樹)の隣人。レンタル救世主として働いている秘密がバレると焦る明辺。救世主メンバーは詐欺団体の一掃のために動きだす。主婦限定の怪しげなセミナーに23歳の母として零子(志田未来)が潜入。そこに現れたのは為替詐欺で、主婦たちから洗脳まがいでお金をとるミスワタナベ(千秋)と名乗る女性だった。一方明辺はついに家族との秘密と向き合い・・・。そしてレンタル救世主誕生の秘密も語られる!?【演出】鈴木勇馬【脚本】渡辺雄介【音楽】松本晃彦</t>
  </si>
  <si>
    <t>次の依頼者は明辺(沢村一樹)の隣人。レンタル救世主として働いている秘密がバレると焦る明辺。救世主メンバーは詐欺団体の一掃のために動きだす。主婦限定の怪しげなセミナーに23歳の母として零子(志田未来)が潜入。そこに現れたのは為替詐欺で、主婦たちから洗脳まがいでお金をとるミスワタナベ(千秋)と名乗る女性だった。一方明辺はついに家族との秘密と向き合い・・・。そしてレンタル救世主誕生の秘密も語られる!?</t>
  </si>
  <si>
    <t>番組名レンタル救世主　第5話　24時間一発勝負　小さな奇跡が起きた1日のお話</t>
  </si>
  <si>
    <t>沢村一樹、藤井流星、志田未来、福原遥、稲葉友、・　勝地涼　・　中村アン、稲森いずみ、大杉漣、ほか　【ゲスト】泉谷しげる、賀来賢人　依頼にやってきたのは不出来な芸人の弟子である近藤(賀来賢人)。彼は師匠レタス太郎(泉谷しげる)の引退公演で、15年の弟子生活を経て一夜限りの相方に任命される。これまでの感謝の想いを届けたいと願うが、彼には一つ問題が。それは師匠の十八番「おでん芸」を行うにあたり、全くの無能であること。開演まで24時間、小さな願いにレンタル救世主は、最後にどんな奇跡を起こす?【演出】菅原伸太郎【脚本】渡辺雄介【音楽】松本晃彦</t>
  </si>
  <si>
    <t>依頼にやってきたのは不出来な芸人の弟子である近藤(賀来賢人)。彼は師匠レタス太郎(泉谷しげる)の引退公演で、15年の弟子生活を経て一夜限りの相方に任命される。これまでの感謝の想いを届けたいと願うが、彼には一つ問題が。それは師匠の十八番「おでん芸」を行うにあたり、全くの無能であること。開演まで24時間、小さな願いにレンタル救世主は、最後にどんな奇跡を起こす?</t>
  </si>
  <si>
    <t>番組名レンタル救世主　#6</t>
  </si>
  <si>
    <t>沢村一樹、藤井流星、志田未来、福原遥、稲葉友、・　勝地涼　・　中村アン、稲森いずみ、大杉漣、ほか  【ゲスト】長谷川穂積、獣神サンダー・ライガーレンタル救世主に依頼に訪れた少女、ハイジ。彼女は突然ラップで依頼内容を語る。それはどうやら恋の病の解決であり、救世主メンバーに恋愛くっつけさせ屋を依頼するものだった。ハイジオリジナルプランに乗っ取り恋愛成就を果たそうとその相手を見に行くと、なんとその男は恋愛対象が男性の薫であった・・・。成功確率0%の恋。だが、彼女は最後の最後、薫に向けて走り出すこととなり・・・。【演出】狩山俊輔【脚本】渡辺雄介【音楽】松本晃彦</t>
  </si>
  <si>
    <t>レンタル救世主に依頼に訪れた少女、ハイジ。彼女は突然ラップで依頼内容を語る。それはどうやら恋の病の解決であり、救世主メンバーに恋愛くっつけさせ屋を依頼するものだった。ハイジオリジナルプランに乗っ取り恋愛成就を果たそうとその相手を見に行くと、なんとその男は恋愛対象が男性の薫であった・・・。成功確率0%の恋。だが、彼女は最後の最後、薫に向けて走り出すこととなり・・・。</t>
  </si>
  <si>
    <t>番組名レンタル救世主　#7　10年の時を超えた依頼。ラストコップからアノ依頼…。</t>
  </si>
  <si>
    <t>沢村一樹、藤井流星、志田未来、福原遥、稲葉友、・　勝地涼　・　中村アン、稲森いずみ、大杉漣　ほか  【ゲスト】村川絵梨、菊地亜美、藤井美菜  【スペシャルゲスト】唐沢寿明、窪田正孝秦野いろは(中村アン)に連れられホテルの一室へ向かうレンタル救世主。そこに居たのは収賄容疑で世を賑わす「疑惑のオンナ議員」清水星子(菊地亜美)だった。彼女といろはは高校時代の同級生で同じチアダンス部に居た。星子は10年の時を経て、レンタル救世主に高校時代に関わるある依頼をする…。そして、土曜ドラマ「ラストコップ」から京極浩介(唐沢寿明)望月亮太(窪田正孝)がオフィスに。その驚くべき依頼とは…。【演出】西岡健太郎【脚本】渡辺雄介【音楽】松本晃彦</t>
  </si>
  <si>
    <t>秦野いろは(中村アン)に連れられホテルの一室へ向かうレンタル救世主。そこに居たのは収賄容疑で世を賑わす「疑惑のオンナ議員」清水星子(菊地亜美)だった。彼女といろはは高校時代の同級生で同じチアダンス部に居た。星子は10年の時を経て、レンタル救世主に高校時代に関わるある依頼をする…。そして、土曜ドラマ「ラストコップ」から京極浩介(唐沢寿明)望月亮太(窪田正孝)がオフィスに。その驚くべき依頼とは…。</t>
  </si>
  <si>
    <t>番組名レンタル救世主　#8　誰も想像していなかった衝撃展開が動きだす夜!</t>
  </si>
  <si>
    <t>沢村一樹、藤井流星、志田未来、福原遥、稲葉友、・　勝地涼　・　中村アン、稲森いずみ、大杉漣　ほかついに離婚の話を切り出された明辺(沢村一樹)。空元気で自分を保つ父をヨソにコッソリとレンタル救世主に依頼に来たのは明辺の娘。娘は親に仲直りして欲しいと願う。レンタル救世主が考える仲直りの方法とは…。さらに、レンタル救世主には零子(志田未来)の兄、千太郎(小出恵介)が現れ、なんとレンタル救世主の買収計画を持ち出す。それを跳ね返す救世主たち。しかし、物語は衝撃展開をむかえ…。【演出】菅原伸太郎【脚本】渡辺雄介【音楽】松本晃彦</t>
  </si>
  <si>
    <t>ついに離婚の話を切り出された明辺(沢村一樹)。空元気で自分を保つ父をヨソにコッソリとレンタル救世主に依頼に来たのは明辺の娘。娘は親に仲直りして欲しいと願う。レンタル救世主が考える仲直りの方法とは…。さらに、レンタル救世主には零子(志田未来)の兄、千太郎(小出恵介)が現れ、なんとレンタル救世主の買収計画を持ち出す。それを跳ね返す救世主たち。しかし、物語は衝撃展開をむかえ…。</t>
  </si>
  <si>
    <t>番組名レンタル救世主　#9　最終章開幕!世の中が変わる、その瞬間…。</t>
  </si>
  <si>
    <t>沢村一樹、藤井流星、志田未来、福原遥、稲葉友、梶原善、・　勝地涼　・　中村アン、小出恵介、稲森いずみ、大杉漣　ほかまさかの逮捕劇で英雄から一転、人々から指をさされることになったレンタル救世主。彼らは千太郎(小出恵介)と黒宇(大杉漣)の計画に利用され、そして捨てられてしまったのだった…。零子(志田未来)は兄である千太郎に皆の釈放を懇願。自分が兄の代わりに会社を引き継ぐことを条件に、黒宇にも全員への説明を求める。そして相対するレンタル救世主と裏切りの黒宇。レンタル救世主の全てが明かされる夜…。【演出】鈴木勇馬【脚本】渡辺雄介【音楽】松本晃彦</t>
  </si>
  <si>
    <t>まさかの逮捕劇で英雄から一転、人々から指をさされることになったレンタル救世主。彼らは千太郎(小出恵介)と黒宇(大杉漣)の計画に利用され、そして捨てられてしまったのだった…。零子(志田未来)は兄である千太郎に皆の釈放を懇願。自分が兄の代わりに会社を引き継ぐことを条件に、黒宇にも全員への説明を求める。そして相対するレンタル救世主と裏切りの黒宇。レンタル救世主の全てが明かされる夜…。</t>
  </si>
  <si>
    <t>番組名レンタル救世主　#10　最終回!予想を超えた結末!レンタル救世主が残すモノ</t>
  </si>
  <si>
    <t>沢村一樹、藤井流星、志田未来、福原遥、稲葉友、・　勝地涼　・　中村アン、小出恵介、稲森いずみ、大杉漣　ほかついに最終回!予想を超えた結末が待つ!変わりつつあるこの街を救うのは誰!?余命を伝えられた明辺(沢村一樹)が最後に残すモノとは…。人々の心根、何気なく過ごす日々、全てに光を照らすべく、この物語の全てが分かる最終回!是非、お見逃しなく!【演出】菅原伸太郎【脚本】渡辺雄介【音楽】松本晃彦</t>
  </si>
  <si>
    <t>ついに最終回!予想を超えた結末が待つ!変わりつつあるこの街を救うのは誰!?余命を伝えられた明辺(沢村一樹)が最後に残すモノとは…。人々の心根、何気なく過ごす日々、全てに光を照らすべく、この物語の全てが分かる最終回!是非、お見逃しなく!</t>
  </si>
  <si>
    <t>1607_NTV_水22</t>
  </si>
  <si>
    <t>家売るオンナ</t>
  </si>
  <si>
    <t>番組名家売るオンナ　第1話【わたしに売れない家はない!天才的不動産屋現る!】</t>
  </si>
  <si>
    <t>【出演者】北川景子、工藤阿須加、千葉雄大、イモトアヤコ、  鈴木裕樹、新木優子、本多力、  臼田あさ美/梶原善、仲村トオル、  【ゲスト】りょう中堅不動産会社・テーコー不動産。売り上げの伸び悩む営業所に、天才的不動産屋・三軒家万智(北川景子)が異動してくる。着任早々、成績の悪い課員をしごきあげると客を横取り!なかなか買わなかった客に鮮やかなテクニックで家を売る。コンプライアンスを気にする課長の屋代(仲村トオル)と対立しながら、さらに若手の庭野(工藤阿須加)の客に目をつけた万智。希望の家を見つけられない一家に万智が提案する最高の家とは…!?【演出】猪股隆一【脚本】大石静【音楽】得田真裕  【主題歌】GReeeeN「beautiful　days」(ZEN　MUSIC)【チーフプロデューサー】伊藤響  【プロデューサー】小田玲奈、柳内久仁子(AX-ON)</t>
  </si>
  <si>
    <t>りょう中堅不動産会社・テーコー不動産。売り上げの伸び悩む営業所に、天才的不動産屋・三軒家万智(北川景子)が異動してくる。着任早々、成績の悪い課員をしごきあげると客を横取り!なかなか買わなかった客に鮮やかなテクニックで家を売る。コンプライアンスを気にする課長の屋代(仲村トオル)と対立しながら、さらに若手の庭野(工藤阿須加)の客に目をつけた万智。希望の家を見つけられない一家に万智が提案する最高の家とは…!?</t>
  </si>
  <si>
    <t>番組名家売るオンナ　#2【常識に囚われるな!天才的不動産屋VS最強ひきこもり!!】</t>
  </si>
  <si>
    <t>【出演者】北川景子、工藤阿須加、千葉雄大、イモトアヤコ、  鈴木裕樹、新木優子、本多力、  臼田あさ美/梶原善　、仲村トオル  【ゲスト】ビビる大木　木野花60代の城ヶ崎夫婦の住み替えを担当した庭野(工藤阿須加)。査定のため家を訪ねると、無人のはずの2階から物音がしたり、開かずの間があったりと不審な点が…。一方、万智(北川景子)はダメ社員・美加(イモトアヤコ)への接し方で屋代(仲村トオル)と対立。さらに城ヶ崎家を訪れた万智は、夫妻に本当に2人暮らしかと迫り、突然「火事だ!」と暴れる。騒ぎの中、2階から降りてきたのはなんと中年のひきこもり息子で…!!【演出】猪股隆一【脚本】大石静【音楽】得田真裕  【主題歌】GReeeeN「beautiful　days」(ZEN　MUSIC)【チーフプロデューサー】伊藤響  【プロデューサー】小田玲奈、柳内久仁子(AX-ON)</t>
  </si>
  <si>
    <t>木野花60代の城ヶ崎夫婦の住み替えを担当した庭野(工藤阿須加)。査定のため家を訪ねると、無人のはずの2階から物音がしたり、開かずの間があったりと不審な点が…。一方、万智(北川景子)はダメ社員・美加(イモトアヤコ)への接し方で屋代(仲村トオル)と対立。さらに城ヶ崎家を訪れた万智は、夫妻に本当に2人暮らしかと迫り、突然「火事だ!」と暴れる。騒ぎの中、2階から降りてきたのはなんと中年のひきこもり息子で…!!</t>
  </si>
  <si>
    <t>番組名家売るオンナ　第3話【真夏の現地販売会!ミニマリスト男とゴミ屋敷女の恋!?】</t>
  </si>
  <si>
    <t>【出演者】北川景子、工藤阿須加、千葉雄大、イモトアヤコ、  鈴木裕樹、新木優子、本多力、  臼田あさ美/梶原善　、仲村トオル  【ゲスト】中野裕太、はいだしょうこ万智(北川景子)は家を売りたい女性・夏木桜(はいだしょうこ)を担当。しかし物を捨てられない桜の部屋はゴミ屋敷のような状態。万智はある作戦のもと、実家を売って小さなマンションに住み替えたいと言う保坂(中野裕太)に桜の部屋を薦める。実は保坂は物を持つことを嫌う極度のミニマリスト。そして内見で顔を合わせた2人が元恋人だと発覚!万智は価値観が違い別れた2人が「再びくっついて自分から家を買う」と予言する…。【演出】佐久間紀佳【脚本】大石静【音楽】得田真裕  【主題歌】GReeeeN「beautiful　days」(ZEN　MUSIC)【チーフプロデューサー】伊藤響  【プロデューサー】小田玲奈、柳内久仁子(AX-ON)</t>
  </si>
  <si>
    <t>はいだしょうこ万智(北川景子)は家を売りたい女性・夏木桜(はいだしょうこ)を担当。しかし物を捨てられない桜の部屋はゴミ屋敷のような状態。万智はある作戦のもと、実家を売って小さなマンションに住み替えたいと言う保坂(中野裕太)に桜の部屋を薦める。実は保坂は物を持つことを嫌う極度のミニマリスト。そして内見で顔を合わせた2人が元恋人だと発覚!万智は価値観が違い別れた2人が「再びくっついて自分から家を買う」と予言する…。</t>
  </si>
  <si>
    <t>番組名家売るオンナ　#4</t>
  </si>
  <si>
    <t>【出演者】北川景子、工藤阿須加、千葉雄大、イモトアヤコ、  鈴木裕樹、新木優子、本多力、  臼田あさ美/梶原善　、仲村トオル  【ゲスト】かとうかず子　渡辺哲屋代(仲村トオル)はカリスマ料理研究家の峰乃(かとうかず子)に高級マンションへの住み替えを提案。代わりに婚活料理教室に参加してほしいと頼まれる。意外にも婚活に前向きな万智(北川景子)が同行するが、婚活は惨敗。一方、美加(イモトアヤコ)は想いを寄せる足立(千葉雄大)と酒を飲み泥酔。放置された公園でホームレス風の男・富田(渡辺哲)と意気投合する。そんな中、峰乃が莫大な借金を抱えていることが発覚し…。【演出】佐久間紀佳【脚本】大石静【音楽】得田真裕  【主題歌】GReeeeN「beautiful　days」(ZEN　MUSIC)【チーフプロデューサー】伊藤響  【プロデューサー】小田玲奈、柳内久仁子(AX-ON)</t>
  </si>
  <si>
    <t>渡辺哲屋代(仲村トオル)はカリスマ料理研究家の峰乃(かとうかず子)に高級マンションへの住み替えを提案。代わりに婚活料理教室に参加してほしいと頼まれる。意外にも婚活に前向きな万智(北川景子)が同行するが、婚活は惨敗。一方、美加(イモトアヤコ)は想いを寄せる足立(千葉雄大)と酒を飲み泥酔。放置された公園でホームレス風の男・富田(渡辺哲)と意気投合する。そんな中、峰乃が莫大な借金を抱えていることが発覚し…。</t>
  </si>
  <si>
    <t>番組名家売るオンナ　第5話【独身女の家探し!!庭野が万智の客を横取り!?】</t>
  </si>
  <si>
    <t>【出演者】北川景子、工藤阿須加、千葉雄大、イモトアヤコ、  鈴木裕樹、新木優子、本多力、  臼田あさ美/梶原善　、仲村トオル  【ゲスト】ともさかりえ、山田真歩庭野(工藤阿須加)は勝気な独身フリージャーナリスト日向詩文(ともさかりえ)を担当。万智(北川景子)は地味な独身OL草壁歩子(山田真歩)を担当する。庭野は万智そっくりの強気な詩文に振り回され家探しが難航。ようやく気に入った部屋は万智の客・歩子が契約しようとしていた部屋だった。しかも2人は同じ会社に勤めている犬猿の仲。タイプの違う独身女が同じ部屋を巡って対立する!さらに庭野が万智の客を横取りして…【演出】猪股隆一【脚本】大石静【音楽】得田真裕  【主題歌】GReeeeN「beautiful　days」(ZEN　MUSIC)【チーフプロデューサー】伊藤響  【プロデューサー】小田玲奈、柳内久仁子(AX-ON)</t>
  </si>
  <si>
    <t>庭野(工藤阿須加)は勝気な独身フリージャーナリスト日向詩文(ともさかりえ)を担当。万智(北川景子)は地味な独身OL草壁歩子(山田真歩)を担当する。庭野は万智そっくりの強気な詩文に振り回され家探しが難航。ようやく気に入った部屋は万智の客・歩子が契約しようとしていた部屋だった。しかも2人は同じ会社に勤めている犬猿の仲。タイプの違う独身女が同じ部屋を巡って対立する!さらに庭野が万智の客を横取りして…</t>
  </si>
  <si>
    <t>番組名家売るオンナ　第6話【王子が愛人に家を売る!?夏の夜の事故物件お泊まり会】</t>
  </si>
  <si>
    <t>【出演者】北川景子、工藤阿須加、千葉雄大、イモトアヤコ、  鈴木裕樹、新木優子、本多力、  臼田あさ美/梶原善　、仲村トオル  【ゲスト】東根作寿英、小野ゆり子、田中美奈子　ほかヘッドハンティングの話が舞い込み心が揺れる足立(千葉雄大)は、かつて家を売った客・宮澤(東根作寿英)から、愛人の礼央奈(小野ゆり子)のための家を探して欲しいと相談される。一方万智(北川景子)は買い手のつかない事故物件を担当。美加(イモトアヤコ)とともに泊まり込みで現地販売を企画する。気が引けながらも愛人の家探しをする足立のもとに宮澤の本妻・昌代(田中美奈子)が乗り込んできて、会社は修羅場に!【演出】山田信義【脚本】大石静【音楽】得田真裕  【主題歌】GReeeeN「beautiful　days」(ZEN　MUSIC)【チーフプロデューサー】伊藤響  【プロデューサー】小田玲奈、柳内久仁子(AX-ON)</t>
  </si>
  <si>
    <t>ヘッドハンティングの話が舞い込み心が揺れる足立(千葉雄大)は、かつて家を売った客・宮澤(東根作寿英)から、愛人の礼央奈(小野ゆり子)のための家を探して欲しいと相談される。一方万智(北川景子)は買い手のつかない事故物件を担当。美加(イモトアヤコ)とともに泊まり込みで現地販売を企画する。気が引けながらも愛人の家探しをする足立のもとに宮澤の本妻・昌代(田中美奈子)が乗り込んできて、会社は修羅場に!</t>
  </si>
  <si>
    <t>番組名家売るオンナ　第7話【最凶ダメ社員ついに覚醒!?庭野お見合いへGO!】</t>
  </si>
  <si>
    <t>【出演者】北川景子、工藤阿須加、千葉雄大、イモトアヤコ、  鈴木裕樹、新木優子、本多力、  臼田あさ美/梶原善　、仲村トオル  【ゲスト】原日出子　モロ師岡　櫻井淳子　ほか美加(イモトアヤコ)の母(原日出子)が職場に押しかけ、浮気した夫(モロ師岡)と離婚して家を売りたいと相談。両親の離婚を止めようとする美加だったが、万智(北川景子)が美加の実家を売ると宣言。老朽化の進んだ建物を壊し、更地にして売ると言う。美加は思い出の詰まった実家を取り壊しから守るため奔走する。一方、庭野(工藤阿須加)は屋代(仲村トオル)から持ちかけられた見合い話を受け、相手の女性と会うが…。【演出】猪股隆一【脚本】大石静【音楽】得田真裕  【主題歌】GReeeeN「beautiful　days」(ZEN　MUSIC)【チーフプロデューサー】伊藤響  【プロデューサー】小田玲奈、柳内久仁子(AX-ON)</t>
  </si>
  <si>
    <t>美加(イモトアヤコ)の母(原日出子)が職場に押しかけ、浮気した夫(モロ師岡)と離婚して家を売りたいと相談。両親の離婚を止めようとする加だったが、万智(北川景子)が美加の実家を売ると宣言。老朽化の進んだ建物を壊し、更地にして売ると言う。美加は思い出の詰まった実家を取り壊しから守るため奔走する。一方、庭野(工藤阿須加)は屋代(仲村トオル)から持ちかけられた見合い話を受け、相手の女性と会うが…。</t>
  </si>
  <si>
    <t>番組名家売るオンナ　第8話【芸能人の家探し!屋代と元嫁の復縁に万智は…!?】</t>
  </si>
  <si>
    <t>【出演者】北川景子、工藤阿須加、千葉雄大、イモトアヤコ、  鈴木裕樹、新木優子、本多力、  臼田あさ美/梶原善　、仲村トオル  【ゲスト】篠田麻里子、和田正人、櫻井淳子　ほか人気お天気お姉さん・前原あかね(篠田麻里子)の担当につき浮かれる足立(千葉雄大)だが、あかねはテレビとは別人。タバコは吸うわ、マネージャーの津田(和田正人)とは結婚しているわで玉砕した足立は、万智(北川景子)に担当を変えられてしまう。一方元妻の理恵(櫻井淳子)に家の売買を頼まれた屋代(仲村トオル)は復縁を迫られしどろもどろ。そんな中あかねに家を売るため快進撃に出た万智を思わぬ落とし穴が待っていた!【演出】佐久間紀佳【脚本】大石静【音楽】得田真裕  【主題歌】GReeeeN「beautiful　days」(ZEN　MUSIC)【チーフプロデューサー】伊藤響  【プロデューサー】小田玲奈、柳内久仁子(AX-ON)</t>
  </si>
  <si>
    <t>人気お天気お姉さん・前原あかね(篠田麻里子)の担当につき浮かれる足立(千葉雄大)だが、あかねはテレビとは別人。タバコは吸うわ、マネージャーの津田(和田正人)とは結婚しているわで玉砕した足立は、万智(北川景子)に担当を変えられてしまう。一方元妻の理恵(櫻井淳子)に家の売買を頼まれた屋代(仲村トオル)は復縁を迫られしどろもどろ。そんな中あかねに家を売るため快進撃に出た万智を思わぬ落とし穴が待っていた!</t>
  </si>
  <si>
    <t>番組名家売るオンナ　第9話【三軒家流・二世帯住宅爆売りプロジェクト始動!】</t>
  </si>
  <si>
    <t>【出演者】北川景子、工藤阿須加、千葉雄大、イモトアヤコ、  鈴木裕樹、新木優子、本多力、  臼田あさ美/梶原善　、仲村トオル  【ゲスト】鷲尾真知子、MEGUMI、星野ルネ、八木優子　ほか万智(北川景子)は二世帯住宅の売却を担当。一方、客に手を焼く庭野(工藤阿須加)と足立(千葉雄大)は、お互いの客「雨宮家」が実は親子だと気づく。さらに、万智は餃子屋のナイジェリア人アルバイト・ビクトルから恋人との家探しを依頼されるが、その恋人はなんと雨宮家の結婚出来ない娘・波留だと発覚。万智は雨宮家をまとめて二世帯住宅を売ると宣言するが嫁の礼(MEGUMI)と姑の昌代(鷲尾真知子)は犬猿の仲で…。【演出】山田信義【脚本】大石静【音楽】得田真裕  【主題歌】GReeeeN「beautiful　days」(ZEN　MUSIC)【チーフプロデューサー】伊藤響  【プロデューサー】小田玲奈、柳内久仁子(AX-ON)</t>
  </si>
  <si>
    <t>万智(北川景子)は二世帯住宅の売却を担当。一方、客に手を焼く庭野(工藤阿須加)と足立(千葉雄大)は、お互いの客「雨宮家」が実は親子だと気づく。さらに、万智は餃子屋のナイジェリア人アルバイト・ビクトルから恋人との家探しを依頼されるが、その恋人はなんと雨宮家の結婚出来ない娘・波留だと発覚。万智は雨宮家をまとめて二世帯住宅を売ると宣言するが嫁の礼(MEGUMI)と姑の昌代(鷲尾真知子)は犬猿の仲で…。</t>
  </si>
  <si>
    <t>番組名家売るオンナ　第10話【さらば三軒家万智!進退をかけた最後の家爆売り!】</t>
  </si>
  <si>
    <t>【出演者】北川景子、工藤阿須加、千葉雄大、イモトアヤコ、  鈴木裕樹、新木優子、本多力、  臼田あさ美/梶原善　、仲村トオル  【ゲスト】凰稀かなめ、堀田真由ビルの取り壊しが決まり店の立ち退きを迫られたと、営業課にこころ(臼田あさ美)が駆込む。屋代(仲村トオル)はビルの空きテナントを埋めて、価値を高めた上で高く売るとオーナーに提案。皆でテナント探しに奔走する。万智(北川景子)は元バレリーナの葵(凰稀かなめ)から足の不自由な娘のための家探しを頼まれる。そんな中ビルの建て替えが本社の極秘再開発案件と発覚。屋代は手を引くが、万智は自分がビルを売ると宣言し…。【演出】佐久間紀佳【脚本】大石静【音楽】得田真裕  【主題歌】GReeeeN「beautiful　days」(ZEN　MUSIC)【チーフプロデューサー】伊藤響  【プロデューサー】小田玲奈、柳内久仁子(AX-ON)</t>
  </si>
  <si>
    <t>ビルの取り壊しが決まり店の立ち退きを迫られたと、営業課にこころ(臼田あさ美)が駆込む。屋代(仲村トオル)はビルの空きテナントを埋めて、価値を高めた上で高く売るとオーナーに提案。皆でテナント探しに奔走する。万智(北川景子)は元バレリーナの葵(凰稀かなめ)から足の不自由な娘のための家探しを頼まれる。そんな中ビルの建て替えが本社の極秘再開発案件と発覚。屋代は手を引くが、万智は自分がビルを売ると宣言し…。</t>
  </si>
  <si>
    <t>1607_NTV_土21</t>
  </si>
  <si>
    <t>時をかける少女</t>
  </si>
  <si>
    <t>番組名時をかける少女　#1</t>
  </si>
  <si>
    <t>黒島結菜、菊池風磨(Sexy　Zone)、竹内涼真、  吉本実憂、高橋克実、加藤シゲアキ(NEWS)、高畑淳子　ほか未羽(黒島結菜)は放課後の理科実験室でラベンダーの香りをかいでからタイムリープの能力を身に付ける。幼なじみの翔平(菊池風磨)と吾朗(竹内涼真)と共にタイムリープの力を使って恋や友情、将来への悩みを乗り越えていく青春ラブストーリーです!さらに今まで描かれなかった未来人ケン・ソゴルの知られざる真実も解き明かされる!?ここでしか描かれない「時かけ」をこの夏、あなたにお届けします!【演出】岩本仁志【原作】筒井康隆「時をかける少女」(角川文庫)  【脚本】渡部亮平【音楽】池頼広【チーフプロデューサー】西憲彦  【プロデューサー】松本京子、難波利昭(AXON)  【制作協力】AXON</t>
  </si>
  <si>
    <t>未羽(黒島結菜)は放課後の理科実験室でラベンダーの香りをかいでからタイムリープの能力を身に付ける。幼なじみの翔平(菊池風磨)と吾朗(竹内涼真)と共にタイムリープの力を使って恋や友情、将来への悩みを乗り越えていく青春ラブストーリーです!さらに今まで描かれなかった未来人ケン・ソゴルの知られざる真実も解き明かされる!?ここでしか描かれない「時かけ」をこの夏、あなたにお届けします!</t>
  </si>
  <si>
    <t>番組名時をかける少女　#2</t>
  </si>
  <si>
    <t>黒島結菜、菊池風磨(Sexy　Zone)、竹内涼真、  吉本実憂、高橋克実、加藤シゲアキ(NEWS)、高畑淳子、  森永悠希、高月彩良　ほか  未羽(黒島結菜)、翔平(菊池風磨)、吾朗(竹内涼真)は屋上で飛び降りそうな西岡(森永悠希)を止める。彼は2年前、心臓の移植手術を受けて以来、毎日20時過ぎに胸がドキドキするようになった。その謎を解明すべく未羽はタイムリープで心臓提供者に会いに行くことに。その人物はミホ(高月彩良)という女子高生で彼女を調べるうち、担任の矢野(加藤シゲアキ)が関係していることを知る。矢野とミホとの隠された過去とは!?【演出】岩本仁志【原作】筒井康隆「時をかける少女」(角川文庫)  【脚本】渡部亮平【音楽】池頼広  【主題歌】AKB48(キングレコード)  【エンディングテーマ】NEWS「恋を知らない君へ」(ジャニーズ・エンタテイメント)【チーフプロデューサー】西憲彦  【プロデューサー】松本京子、難波利昭(AXON)  【制作協力】AXON</t>
  </si>
  <si>
    <t xml:space="preserve">  未羽(黒島結菜)、翔平(菊池風磨)、吾朗(竹内涼真)は屋上で飛び降りそうな西岡(森永悠希)を止める。彼は2年前、心臓の移植手術を受けて以来、毎日20時過ぎに胸がドキドキするようになった。その謎を解明すべく未羽はタイムリープで心臓提供者に会いに行くことに。その人物はミホ(高月彩良)という女子高生で彼女を調べるうち、担任の矢野(加藤シゲアキ)が関係していることを知る。矢野とミホとの隠された過去とは!?</t>
  </si>
  <si>
    <t>番組名時をかける少女　#3</t>
  </si>
  <si>
    <t>黒島結菜、菊池風磨(Sexy　Zone)、竹内涼真、吉本実憂、猫背椿、野波麻帆、安蘭けい、田口浩正、小松和重、ゆいP(おかずクラブ)、高橋克実、古畑星夏、三浦透子、八木莉可子、五十嵐陽向、石井萌々果、加藤シゲアキ(NEWS)、高畑淳子　ほか翔平(菊池風磨)にファーストキスを奪われ、動揺する未羽(黒島結菜)。そんな中、ゾーイ(吉本実憂)が3年6組のクラスメイトになりすまし、一緒に学校行事の雅涼祭で「ロミオとジュリエット」の劇をすることに。ロミオ役に吾朗(竹内涼真)が、そしてなんとジュリエット役にゾーイが抜擢される。クラスみんなで仲良く準備を進めてきたが本番が近付くにつれ、険悪な雰囲気に。そんな中、翔平は未羽への想いが強まりすぎて…!?【演出】　茂山佳則【原作】筒井康隆「時をかける少女」(角川文庫)  【脚本】渡部亮平【音楽】池頼広  【主題歌】AKB48(キングレコード)  【エンディングテーマ】NEWS「恋を知らない君へ」(ジャニーズ・エンタテイメント)【チーフプロデューサー】西憲彦  【プロデューサー】松本京子、難波利昭(AXON)  【制作協力】AXON</t>
  </si>
  <si>
    <t>翔平(菊池風磨)にファーストキスを奪われ、動揺する未羽(黒島結菜)。そんな中、ゾーイ(吉本実憂)が3年6組のクラスメイトになりすまし、一緒に学校行事の雅涼祭で「ロミオとジュリエット」の劇をすることに。ロミオ役に吾朗(竹内涼真)が、そしてなんとジュリエット役にゾーイが抜擢される。クラスみんなで仲良く準備を進めてきたが本番が近付くにつれ、険悪な雰囲気に。そんな中、翔平は未羽への想いが強まりすぎて…!?</t>
  </si>
  <si>
    <t>番組名時をかける少女　#4</t>
  </si>
  <si>
    <t>黒島結菜、菊池風磨(Sexy　Zone)、竹内涼真、吉本実憂、猫背椿、野波麻帆、安蘭けい、田口浩正、小松和重、ゆいP(おかずクラブ)、高橋克実、古畑星夏、三浦透子、八木莉可子、五十嵐陽向、石井萌々果、加藤シゲアキ(NEWS)、高畑淳子　ほか未羽(黒島結菜)と翔平(菊池風磨)はデートをして楽しい時を過ごしていた。その頃、吾朗(竹内涼真)は未羽への想いを抱えつつ、受験勉強に没頭。理髪店を営む父の努(田口浩正)は息子への期待を高めていた。そんな中、吾朗が努に大学受験をやめたいと言い、親子喧嘩に発展。そして吾朗は家を飛び出してしまう。吾朗の家出を知った未羽と翔平はタイムリープで吾朗の家出を阻止しようとするが傷ついた吾朗を見た二人は…。【演出】岩本仁志【原作】筒井康隆「時をかける少女」(角川文庫)  【脚本】渡部亮平音楽】池頼広  【主題歌】AKB48(キングレコード)  【エンディングテーマ】NEWS「恋を知らない君へ」(ジャニーズ・エンタテイメント)【チーフプロデューサー】西憲彦  【プロデューサー】松本京子、難波利昭(AXON)  【制作協力】AXON</t>
  </si>
  <si>
    <t>未羽(黒島結菜)と翔平(菊池風磨)はデートをして楽しい時を過ごしていた。その頃、吾朗(竹内涼真)は未羽への想いを抱えつつ、受験勉強に没頭。理髪店を営む父の努(田口浩正)は息子への期待を高めていた。そんな中、吾朗が努に大学受験をやめたいと言い、親子喧嘩に発展。そして吾朗は家を飛び出してしまう。吾朗の家出を知った未羽と翔平はタイムリープで吾朗の家出を阻止しようとするが傷ついた吾朗を見た二人は…。</t>
  </si>
  <si>
    <t>番組名時をかける少女　#5</t>
  </si>
  <si>
    <t>黒島結菜、菊池風磨(Sexy　Zone)、竹内涼真、吉本実憂、猫背椿、野波麻帆、安蘭けい、田口浩正、小松和重、ゆいP(おかずクラブ)、高橋克実、古畑星夏、三浦透子、八木莉可子、五十嵐陽向、石井萌々果、加藤シゲアキ(NEWS)、高畑淳子　ほか未羽(黒島結菜)は三浦(高橋克実)から、翔平(菊池風磨)が未来人だと聞かされるものの、幼なじみの翔平が未来人のはずがないと信じていた。しかし、翔平との思い出だと思っていた記憶が、実は吾朗(竹内涼真)との思い出だったと気付いてしまう。未羽は翔平に向かって「あなたは一体、何者なの?」と問い詰める。そして、追い詰められた翔平が出した答えとは…!?さらに2人の運命は!?涙と感動のクライマックスを迎える!!【演出】岩本仁志【原作】筒井康隆「時をかける少女」(角川文庫)  【脚本】渡部亮平【音楽】池頼広  【主題歌】AKB48「LOVE　TRIP」(キングレコード)  【エンディングテーマ】NEWS「恋を知らない君へ」(ジャニーズ・エンタテイメント)【チーフプロデューサー】西憲彦  【プロデューサー】松本京子、難波利昭(AXON)  【制作協力】AXON「時をかける少女」最終回でAKB48が一夜限りの生ライブ!AKB48がさいたまスーパーアリーナから主題歌「LOVE　TRIP」をオープニングで生披露!!</t>
  </si>
  <si>
    <t>未羽(黒島結菜)は三浦(高橋克実)から、翔平(菊池風磨)が未来人だと聞かされるものの、幼なじみの翔平が未来人のはずがないと信じていた。しかし、翔平との思い出だと思っていた記憶が、実は吾朗(竹内涼真)との思い出だったと気付いてしまう。未羽は翔平に向かって「あなたは一体、何者なの?」と問い詰める。そして、追い詰められた翔平が出した答えとは…!?さらに2人の運命は!?涙と感動のクライマックスを迎える!!</t>
  </si>
  <si>
    <t>1607_NTV_日22</t>
  </si>
  <si>
    <t>そして、誰もいなくなった</t>
  </si>
  <si>
    <t>番組名そして、誰もいなくなった　#1</t>
  </si>
  <si>
    <t>藤原竜也、玉山鉄二、二階堂ふみ、伊野尾慧  /志尊淳、今野浩喜、遠藤要、おのののか、桜井日奈子/  ミムラ/小市慢太郎、神保悟志、ヒロミ、鶴見辰吾/黒木瞳藤堂新一(藤原竜也)は優秀な研究者だ。早苗(二階堂ふみ)との結婚も決まり、母・万紀子(黒木瞳)への紹介も済ませ、順風満帆な人生を送っていた。しかしある日突然、同姓同名の男の逮捕によって、彼の人生の転落が始まった!総務省に務める友人・小山内(玉山鉄二)は、新一の個人情報が全てその男のものになり、新一の存在が消えたと告げる…。一体誰が、何のために?登場人物、全員、容疑者。エンタメサスペンスの登場!【演出】佐藤東弥【脚本】秦建日子【主題歌】「鬼」クリープハイプ(ユニバーサル　シグマ)【プロデューサー】  鈴木亜希乃  渡邉浩仁(日テレアックスオン)  鈴木香織(日テレアックスオン)  八木欣也(スーパービジョン)  【制作協力】　日テレアックスオン</t>
  </si>
  <si>
    <t>藤堂新一(藤原竜也)は優秀な研究者だ。早苗(二階堂ふみ)との結婚も決まり、母・万紀子(黒木瞳)への紹介も済ませ、順風満帆な人生を送っていた。しかしある日突然、同姓同名の男の逮捕によって、彼の人生の転落が始まった!総務省に務める友人・小山内(玉山鉄二)は、新一の個人情報が全てその男のものになり、新一の存在が消えたと告げる…。一体誰が、何のために?登場人物、全員、容疑者。エンタメサスペンスの登場!</t>
  </si>
  <si>
    <t>番組名そして、誰もいなくなった　#2</t>
  </si>
  <si>
    <t>藤原竜也、玉山鉄二、二階堂ふみ、伊野尾慧  /志尊淳、今野浩喜、遠藤要、おのののか、桜井日奈子/  ミムラ/小市慢太郎、神保悟志、ヒロミ、鶴見辰吾/黒木瞳優秀なソフトウェア開発者だった藤堂新一(藤原竜也)は、個人情報を集約した“パーソナル・ナンバー”を乗っ取られ、自分が何者かを証明できなくなってしまった。新一は自分を名乗る“ニセ新一”(遠藤要)の弁護士・西条(鶴見辰吾)を突き止め会いに行く。そして“ニセ”の背後に見え隠れする何者かによって全て仕組まれているのだと確信する。しかしそんな矢先、謎の男たちに捕まった新一は、そのまま銃を突き付けられ…!?【演出】佐藤東弥【脚本】秦建日子【主題歌】「鬼」クリープハイプ(ユニバーサル　シグマ)【チーフプロデューサー】伊藤響  【プロデューサー】鈴木亜希乃、渡邉浩仁(日テレアックスオン)、鈴木香織(日テレアックスオン)、八木欣也(スーパービジョン)  【制作協力】日テレアックスオン</t>
  </si>
  <si>
    <t>優秀なソフトウェア開発者だった藤堂新一(藤原竜也)は、個人情報を集約した“パーソナル・ナンバー”を乗っ取られ、自分が何者かを証明できなくなってしまった。新一は自分を名乗る“ニセ新一”(遠藤要)の弁護士・西条(鶴見辰吾)を突き止め会いに行く。そして“ニセ”の背後に見え隠れする何者かによって全て仕組まれているのだと確信する。しかしそんな矢先、謎の男たちに捕まった新一は、そのまま銃を突き付けられ…!?</t>
  </si>
  <si>
    <t>番組名そして、誰もいなくなった　#3</t>
  </si>
  <si>
    <t>藤原竜也、玉山鉄二、二階堂ふみ、伊野尾慧  /志尊淳、今野浩喜、遠藤要、おのののか、桜井日奈子/  ミムラ/小市慢太郎、神保悟志、ヒロミ、鶴見辰吾/黒木瞳公安の鬼塚(神保悟志)に捕まった新一(藤原竜也)は、弁護士の西条(鶴見辰吾)に依頼し監禁から脱出する。さらに新一は西条に「ある女性があなたの周辺で様子を伺っている」と言われる。新一が思い浮かべたのは、不自然な状況で再会したはるか(ミムラ)だった…。新一ははるかを待ち伏せ、真相を問いただす。するとはるかは「私と結婚してくれたら、全部教えてあげる」と言い、新一にある写真を見せる。その写真の中身は…!?【演出】佐藤東弥【脚本】秦建日子【主題歌】「鬼」クリープハイプ(ユニバーサル　シグマ)【チーフプロデューサー】伊藤響  【プロデューサー】鈴木亜希乃、渡邉浩仁(日テレアックスオン)、鈴木香織(日テレアックスオン)、八木欣也(スーパービジョン)  【制作協力】日テレアックスオン</t>
  </si>
  <si>
    <t>公安の鬼塚(神保悟志)に捕まった新一(藤原竜也)は、弁護士の西条(鶴見辰吾)に依頼し監禁から脱出する。さらに新一は西条に「ある女性があなたの周辺で様子を伺っている」と言われる。新一が思い浮かべたのは、不自然な状況で再会したはるか(ミムラ)だった…。新一ははるかを待ち伏せ、真相を問いただす。するとはるかは「私と結婚してくれたら、全部教えてあげる」と言い、新一にある写真を見せる。その写真の中身は…!?</t>
  </si>
  <si>
    <t>番組名そして、誰もいなくなった　#4</t>
  </si>
  <si>
    <t>藤原竜也、玉山鉄二、二階堂ふみ、伊野尾慧  /志尊淳、今野浩喜、遠藤要、おのののか、桜井日奈子/  小市慢太郎、神保悟志、ヒロミ、鶴見辰吾/黒木瞳新一(藤原竜也)は自分のニセモノを演じる川野瀬(遠藤要)に会い、「自分の人生を買い戻したい」と持ちかける。川野瀬は400万で新一に「業者」を紹介した。その業者は「ガキの使い」を名乗っていた馬場(小市慢太郎)だった。さらに馬場は新一を五木(志尊淳)の元に案内。「お前が全部仕組んでいたのか?!」と激高する新一だが、逆に五木から「先輩、早苗(二階堂ふみ)のこと、本当にわかっているんですか?」と問われ…【演出】佐藤東弥【脚本】秦建日子【主題歌】「鬼」クリープハイプ(ユニバーサル　シグマ)【チーフプロデューサー】伊藤響  【プロデューサー】鈴木亜希乃、渡邉浩仁(日テレアックスオン)、鈴木香織(日テレアックスオン)、八木欣也(スーパービジョン)  【制作協力】日テレアックスオン</t>
  </si>
  <si>
    <t>新一(藤原竜也)は自分のニセモノを演じる川野瀬(遠藤要)に会い、「自分の人生を買い戻したい」と持ちかける。川野瀬は400万で新一に「業者」を紹介した。その業者は「ガキの使い」を名乗っていた馬場(小市慢太郎)だった。さらに馬場は新一を五木(志尊淳)の元に案内。「お前が全部仕組んでいたのか?!」と激高する新一だが、逆に五木から「先輩、早苗(二階堂ふみ)のこと、本当にわかっているんですか?」と問われ…</t>
  </si>
  <si>
    <t>番組名そして、誰もいなくなった　#5</t>
  </si>
  <si>
    <t>藤原竜也、玉山鉄二、二階堂ふみ、伊野尾慧  /志尊淳、今野浩喜、遠藤要、おのののか、桜井日奈子/  小市慢太郎、神保悟志、ヒロミ、鶴見辰吾/黒木瞳新一(藤原竜也)の目の前で、斉藤(今野浩喜)が死んだ。親しい友人を2人亡くした新一はパニックに陥る。そんな新一をなぐさめたのは日下(伊野尾慧)だった。日下は新一に「自分もパーソナル・ナンバーを持っていない」と告白する。日下も新一と同じく「存在していない」人間だったのだ。そのとき、新一たちはガスを吸わされ意識を失ってしまう。新一は謎の真っ白い部屋で目覚め、見知らぬ少女・砂央里(桜井日奈子)に出会う。【演出】久保田充【脚本】秦建日子【主題歌】「鬼」クリープハイプ(ユニバーサル　シグマ)【チーフプロデューサー】伊藤響  【プロデューサー】鈴木亜希乃、渡邉浩仁(日テレアックスオン)、鈴木香織(日テレアックスオン)、八木欣也(スーパービジョン)  【制作協力】日テレアックスオン</t>
  </si>
  <si>
    <t>新一(藤原竜也)の目の前で、斉藤(今野浩喜)が死んだ。親しい友人を2人亡くした新一はパニックに陥る。そんな新一をなぐさめたのは日下(伊野尾慧)だった。日下は新一に「自分もパーソナル・ナンバーを持っていない」と告白する。日下も新一と同じく「存在していない」人間だったのだ。そのとき、新一たちはガスを吸わされ意識を失ってしまう。新一は謎の真っ白い部屋で目覚め、見知らぬ少女・砂央里(桜井日奈子)に出会う。</t>
  </si>
  <si>
    <t>番組名そして、誰もいなくなった　#6</t>
  </si>
  <si>
    <t>藤原竜也、玉山鉄二、二階堂ふみ、伊野尾慧  /志尊淳、今野浩喜、遠藤要、おのののか、桜井日奈子/  ミムラ/小市慢太郎、神保悟志、ヒロミ、鶴見辰吾/黒木瞳　新一(藤原竜也)は謎の声に「誰とも繋がり合えない、孤独な世界を作りたい」と要求され、日下(伊野尾慧)たちと共に謎の声の指令に従うことに。そして新一はそのまま姿を消し、1か月が経った…。小山内(玉山鉄二)は新一の行方を探すが、ある日「藤堂新一からのプレゼントだ」と謎の男に殴られ気絶する。気が付けば車のトランクの中で、車はそのまま海へと飛び込み…!?鬼と化した主人公の復讐が始まったのだ…【演出】久保田充【脚本】秦建日子【主題歌】「鬼」クリープハイプ(ユニバーサル　シグマ)【チーフプロデューサー】伊藤響  【プロデューサー】鈴木亜希乃、渡邉浩仁(日テレアックスオン)、鈴木香織(日テレアックスオン)、八木欣也(スーパービジョン)  【制作協力】日テレアックスオン</t>
  </si>
  <si>
    <t xml:space="preserve">　新一(藤原竜也)は謎の声に「誰とも繋がり合えない、孤独な世界を作りたい」と要求され、日下(伊野尾慧)たちと共に謎の声の指令に従うことに。そして新一はそのまま姿を消し、1か月が経った…。小山内(玉山鉄二)は新一の行方を探すが、ある日「藤堂新一からのプレゼントだ」と謎の男に殴られ気絶する。気が付けば車のトランクの中で、車はそのまま海へと飛び込み…!?鬼と化した主人公の復讐が始まったのだ…</t>
  </si>
  <si>
    <t>番組名そして、誰もいなくなった　#7</t>
  </si>
  <si>
    <t>藤原竜也、玉山鉄二、二階堂ふみ、伊野尾慧  /志尊淳、今野浩喜、遠藤要、おのののか、桜井日奈子/  小市慢太郎、神保悟志、ヒロミ、鶴見辰吾/黒木瞳新一(藤原竜也)は瑛治(伊野尾慧)たちと共に、複数のドローンを使ったある計画を進めていた。それは、日本国民全員を脅かすものだった。その実行が刻一刻と迫る中、車のトランクに閉じ込められたまま海に落ちた小山内(玉山鉄二)は奇跡的に命を取り留めていた。そして早苗(二階堂ふみ)と共に、新一の母・万紀子(黒木瞳)に呼び出された、とある山荘へ向かう。そこで彼らは、あってはならないものを発見してしまいーー。【演出】田中峰弥【脚本】秦建日子【主題歌】「鬼」クリープハイプ(ユニバーサル　シグマ)【チーフプロデューサー】伊藤響  【プロデューサー】鈴木亜希乃、渡邉浩仁(日テレアックスオン)、鈴木香織(日テレアックスオン)、八木欣也(スーパービジョン)  【制作協力】日テレアックスオン</t>
  </si>
  <si>
    <t>新一(藤原竜也)は瑛治(伊野尾慧)たちと共に、複数のドローンを使ったある計画を進めていた。それは、日本国民全員を脅かすものだった。その実行が刻一刻と迫る中、車のトランクに閉じ込められたまま海に落ちた小山内(玉山鉄二)は奇跡的に命を取り留めていた。そして早苗(二階堂ふみ)と共に、新一の母・万紀子(黒木瞳)に呼び出された、とある山荘へ向かう。そこで彼らは、あってはならないものを発見してしまいーー。</t>
  </si>
  <si>
    <t>番組名そして、誰もいなくなった　#8</t>
  </si>
  <si>
    <t>藤原竜也、玉山鉄二、二階堂ふみ、伊野尾慧  /桜井日奈子、小市慢太郎、神保悟志、ヒロミ/黒木瞳新一(藤原竜也)の計画通り、爆弾を搭載した複数のドローンが屋上から飛び立った。狙うは国のデータサーバー。新一は国民全員のパーソナル・ナンバーを消そうとしているのだ。国民全員が名前も身分も失い、社会的信用を失う。新一がそうだったように…。それを必死に止めようと、親友の小山内(玉山鉄二)は新一を追い続ける。「さあ、世界の終わりが始まるぞ」……新一がつぶやいたその時、ドローンが一斉にUターンを始めた!【演出】佐藤東弥【脚本】秦建日子【主題歌】「鬼」クリープハイプ(ユニバーサル　シグマ)【チーフプロデューサー】伊藤響  【プロデューサー】鈴木亜希乃、渡邉浩仁(日テレアックスオン)、鈴木香織(日テレアックスオン)、八木欣也(スーパービジョン)  【制作協力】日テレアックスオン</t>
  </si>
  <si>
    <t>新一(藤原竜也)の計画通り、爆弾を搭載した複数のドローンが屋上から飛び立った。狙うは国のデータサーバー。新一は国民全員のパーソナル・ナンバーを消そうとしているのだ。国民全員が名前も身分も失い、社会的信用を失う。新一がそうだったように…。それを必死に止めようと、親友の小山内(玉山鉄二)は新一を追い続ける。「さあ、世界の終わりが始まるぞ」……新一がつぶやいたその時、ドローンが一斉にUターンを始めた!</t>
  </si>
  <si>
    <t>番組名そして、誰もいなくなった　#9</t>
  </si>
  <si>
    <t>藤原竜也、玉山鉄二、二階堂ふみ、伊野尾慧  /志尊淳、遠藤要、おのののか、小市慢太郎、  神保悟志、ヒロミ、鶴見辰吾/黒木瞳新一(藤原竜也)の背後に、車いすから立ち上がり、ナイフを持った万紀子(黒木瞳)が迫った。新一が驚いて振り向くと、万紀子はその場に崩れ落ちる。そのとき万紀子に電話がかかってきた。電話口から聞こえたのは日下(伊野尾慧)の声。「どう?殺した?」ーー遂にすべての謎が解き明かされる。そして、日下から驚きの提案が…「俺が憎いでしょう?　いまから俺を殺してみませんか?」ーー果たして、新一の決断は?【演出】佐藤東弥【脚本】秦建日子【主題歌】「鬼」クリープハイプ(ユニバーサル　シグマ)【チーフプロデューサー】伊藤響  【プロデューサー】鈴木亜希乃、渡邉浩仁(日テレアックスオン)、鈴木香織(日テレアックスオン)、八木欣也(スーパービジョン)  【制作協力】日テレアックスオン</t>
  </si>
  <si>
    <t>新一(藤原竜也)の背後に、車いすから立ち上がり、ナイフを持った万紀子(黒木瞳)が迫った。新一が驚いて振り向くと、万紀子はその場に崩れ落ちる。そのとき万紀子に電話がかかってきた。電話口から聞こえたのは日下(伊野尾慧)の声。「どう?殺した?」ーー遂にすべての謎が解き明かされる。そして、日下から驚きの提案が…「俺が憎いでしょう?　いまから俺を殺してみませんか?」ーー果たして、新一の決断は?</t>
  </si>
  <si>
    <t>1604_NTV_水22</t>
  </si>
  <si>
    <t>世界一難しい恋</t>
  </si>
  <si>
    <t>番組名世界一難しい恋　第1話【大野智、波瑠】</t>
  </si>
  <si>
    <t>大野智、波瑠、小池栄子、小瀧望(ジャニーズWEST)、清水富美加、西堀亮(マシンガンズ)、若林誠、札内幸太/杉本哲太/丸山智己、三宅弘城/北村一輝  美保純、山野海、中村アン、鈴之助、ほか日本を代表する一流ホテルグループを経営する若き社長・鮫島零治(大野智)は、年収はピカイチでなかなかのイケメン。だが、女性を喜ばせることに掛けては1ミリも才能がない「性格難あり」男だった!そんな彼が、超マイペース女・柴山美咲(波瑠)に、まさかの初恋!恋愛経験ゼロの不器用すぎる恋のアプローチがはじまる!高スペックだけど性格ダメ男・鮫島零治の、世界一難しい恋はどうなるのか!?【演出】中島悟【脚本】金子茂樹【音楽】ワンミュージック  【主題歌】嵐「I　seek」(ジェイ・ストーム)【チーフプロデューサー】松岡至  【プロデューサー】櫨山裕子、秋元孝之</t>
  </si>
  <si>
    <t>日本を代表する一流ホテルグループを経営する若き社長・鮫島零治(大野智)は、年収はピカイチでなかなかのイケメン。だが、女性を喜ばせることに掛けては1ミリも才能がない「性格難あり」男だった!そんな彼が、超マイペース女・柴山美咲(波瑠)に、まさかの初恋!恋愛経験ゼロの不器用すぎる恋のアプローチがはじまる!高スペックだけど性格ダメ男・鮫島零治の、世界一難しい恋はどうなるのか!?</t>
  </si>
  <si>
    <t>番組名世界一難しい恋　第2話【大野智、波瑠】</t>
  </si>
  <si>
    <t>大野智、波瑠、小池栄子、小瀧望(ジャニーズWEST)、清水富美加、西堀亮(マシンガンズ)、若林誠、札内幸太/杉本哲太/丸山智己、三宅弘城/北村一輝美咲(波瑠)にベルギー人の恋人がいるらしいと知った零治(大野智)。彼は、社内イチのチャラ男・三浦(小瀧望)に調べさせ、美咲はベルギー人と付き合っていたがすでに別れたと知る。美咲の過去を気にして手を引こうとした零治だったが、あきらめきれず、彼女の心をつかむため一切変えたことのない自分の行いを改める。そして、美咲とデートするために行動に出るのだが…【演出】中島悟【脚本】金子茂樹【音楽】ワンミュージック  【主題歌】嵐「I　seek」(ジェイ・ストーム)【チーフプロデューサー】松岡至  【プロデューサー】櫨山裕子、秋元孝之</t>
  </si>
  <si>
    <t>美咲(波瑠)にベルギー人の恋人がいるらしいと知った零治(大野智)。彼は、社内イチのチャラ男・三浦(小瀧望)に調べさせ、美咲はベルギー人と付き合っていたがすでに別れたと知る。美咲の過去を気にして手を引こうとした零治だったが、あきらめきれず、彼女の心をつかむため一切変えたことのない自分の行いを改める。そして、美咲とデートするために行動に出るのだが…</t>
  </si>
  <si>
    <t>番組名世界一難しい恋　第3話</t>
  </si>
  <si>
    <t>大野智、波瑠、小池栄子、小瀧望(ジャニーズWEST)、清水富美加、西堀亮(マシンガンズ)、若林誠、札内幸太/杉本哲太/丸山智己、三宅弘城/北村一輝人生で初めての恋に落ちている一流ホテル社長・鮫島零治(大野智)は、その気持ちを相手の超マイペース女・美咲(波瑠)に伝えようと決意する。しかし、恋愛経験ゼロの零治が思いつく告白方法はまったくの的外れ…。そんな中、美咲がライバル社長・和田(北村一輝)と会っていたと知るや、二人の関係を疑い彼女をクビにすると宣言してしまう。果たして、零治はうまく気持ちを伝えることができるのか?【演出】中島悟【脚本】金子茂樹【音楽】ワンミュージック  【主題歌】嵐「I　seek」(ジェイ・ストーム)【チーフプロデューサー】松岡至  【プロデューサー】櫨山裕子、秋元孝之</t>
  </si>
  <si>
    <t>人生で初めての恋に落ちている一流ホテル社長・鮫島零治(大野智)は、その気持ちを相手の超マイペース女・美咲(波瑠)に伝えようと決意する。しかし、恋愛経験ゼロの零治が思いつく告白方法はまったくの的外れ…。そんな中、美咲がライバル社長・和田(北村一輝)と会っていたと知るや、二人の関係を疑い彼女をクビにすると宣言してしまう。果たして、零治はうまく気持ちを伝えることができるのか?</t>
  </si>
  <si>
    <t>番組名世界一難しい恋　第4話【大野智・波瑠】</t>
  </si>
  <si>
    <t>大野智、波瑠、小池栄子、小瀧望(ジャニーズWEST)、清水富美加、西堀亮(マシンガンズ)、若林誠、札内幸太/杉本哲太/丸山智己、三宅弘城/北村一輝　ほかライバル和田(北村一輝)に弟子入りし、社内恋愛のテクニックを教えてもらうことになった零治(大野智)。片想いの相手・美咲(波瑠)の気を引こうと次々にアプローチを開始したところ、美咲から“脈あり”の反応が!次に和田から零治に課されたミッションは、仕事にかこつけて美咲との一泊旅行に持ち込むというもの。零治は、新しいホテルのシェフ探しに美咲を同行させようとするのだが…【演出】菅原伸太郎【脚本】金子茂樹【音楽】ワンミュージック  【主題歌】嵐「I　seek」(ジェイ・ストーム)【チーフプロデューサー】松岡至  【プロデューサー】櫨山裕子、秋元孝之</t>
  </si>
  <si>
    <t>ライバル和田(北村一輝)に弟子入りし、社内恋愛のテクニックを教えてもらうことになった零治(大野智)。片想いの相手・美咲(波瑠)の気を引こうと次々にアプローチを開始したところ、美咲から“脈あり”の反応が!次に和田から零治に課されたミッションは、仕事にかこつけて美咲との一泊旅行に持ち込むというもの。零治は、新しいホテルのシェフ探しに美咲を同行させようとするのだが…</t>
  </si>
  <si>
    <t>番組名世界一難しい恋　第5話【大野智・波瑠】</t>
  </si>
  <si>
    <t>大野智、波瑠、小池栄子、小瀧望(ジャニーズWEST)、清水富美加、西堀亮(マシンガンズ)、若林誠、札内幸太/杉本哲太/丸山智己、三宅弘城/北村一輝　ほかついに、美咲(波瑠)に告白した零治(大野智)。美咲からの答えは「考えさせてください」だった。零治はその意味を図りかねる。告白から数日が過ぎても美咲は返事をくれないため、困惑した零治は再びライバル社長の和田(北村一輝)に相談することに。そんな中、零治は石神(杉本哲太)から結婚の報告を受ける。零治は今まで学んだ恋愛スキルを総動員し、美咲たち社員を招いて石神の結婚パーティーを開くが…。【演出】中島悟【脚本】金子茂樹【音楽】ワンミュージック  【主題歌】嵐「I　seek」(ジェイ・ストーム)【チーフプロデューサー】松岡至  【プロデューサー】櫨山裕子、秋元孝之</t>
  </si>
  <si>
    <t>ついに、美咲(波瑠)に告白した零治(大野智)。美咲からの答えは「考えさせてください」だった。零治はその意味を図りかねる。告白から数日が過ぎても美咲は返事をくれないため、困惑した零治は再びライバル社長の和田(北村一輝)に相談することに。そんな中、零治は石神(杉本哲太)から結婚の報告を受ける。零治は今まで学んだ恋愛スキルを総動員し、美咲たち社員を招いて石神の結婚パーティーを開くが…。</t>
  </si>
  <si>
    <t>番組名世界一難しい恋　第6話【大野智・波瑠】</t>
  </si>
  <si>
    <t>大野智、波瑠、小池栄子、小瀧望(ジャニーズWEST)、清水富美加、西堀亮(マシンガンズ)、若林誠、札内幸太/杉本哲太/丸山智己、三宅弘城/北村一輝　ほかついにヒネクレ社長・零治(大野智)とマイペース社員・美咲(波瑠)の交際が始まった。互いを「レイさん」「ミサさん」と呼び合うことになり、幸せをかみしめる零治。しかし、美咲を連れていくつもりだったホテル協会のパーティーの開催日が、社員数名での出張と重なってしまう。あの手この手で必死に難局を乗り越えた零治だったが、あることをきっかけに、いきなり破局のピンチに!?【演出】丸谷俊平【脚本】金子茂樹【音楽】ワンミュージック  【主題歌】嵐「I　seek」(ジェイ・ストーム)【チーフプロデューサー】松岡至  【プロデューサー】櫨山裕子、秋元孝之</t>
  </si>
  <si>
    <t>ついにヒネクレ社長・零治(大野智)とマイペース社員・美咲(波瑠)の交際が始まった。互いを「レイさん」「ミサさん」と呼び合うことになり、幸せをかみしめる零治。しかし、美咲を連れていくつもりだったホテル協会のパーティーの開催日が、社員数名での出張と重なってしまう。あの手この手で必死に難局を乗り越えた零治だったが、あることをきっかけに、いきなり破局のピンチに!?</t>
  </si>
  <si>
    <t>番組名世界一難しい恋　第7話【大野智・波瑠】</t>
  </si>
  <si>
    <t>大野智、波瑠、小池栄子、小瀧望(ジャニーズWEST)、清水富美加、西堀亮(マシンガンズ)、若林誠、札内幸太/杉本哲太/丸山智己、三宅弘城/北村一輝美咲(波瑠)が零治(大野智)のマンションに来た!さらに、零治が「泊まっていかないか」と誘うと、美咲はOK!零治はベッドで、美咲はその横に敷いたふとんで眠る。しかし、一夜をともにした二人の間には何も起こらなかった。舞子(小池栄子)から「キスの一つもすればよかった」と言われた零治は、美咲に最高のキスをプレゼントするために、夜景の見える観覧車に美咲を誘う…。【演出】中島悟【脚本】金子茂樹【音楽】ワンミュージック  【主題歌】嵐「I　seek」(ジェイ・ストーム)【チーフプロデューサー】松岡至  【プロデューサー】櫨山裕子、秋元孝之</t>
  </si>
  <si>
    <t>美咲(波瑠)が零治(大野智)のマンションに来た!さらに、零治が「泊まっていかないか」と誘うと、美咲はOK!零治はベッドで、美咲はその横に敷いたふとんで眠る。しかし、一夜をともにした二人の間には何も起こらなかった。舞子(小池栄子)から「キスの一つもすればよかった」と言われた零治は、美咲に最高のキスをプレゼントするために、夜景の見える観覧車に美咲を誘う…。</t>
  </si>
  <si>
    <t>番組名世界一難しい恋　第8話【大野智・波瑠】</t>
  </si>
  <si>
    <t>大野智、波瑠、小池栄子、小瀧望(ジャニーズWEST)、清水富美加、西堀亮(マシンガンズ)、若林誠、札内幸太/杉本哲太/丸山智己、三宅弘城/北村一輝美咲(波瑠)にクビを宣告してしまったヒネクレ者の社長・零治(大野智)は、送別会の席でクビを撤回する。しかし、美咲はすでにライバルホテルへの再就職を決めていた。  ライバルホテルの社長・和田(北村一輝)に抗議しに行った零治だったが、和田から意外なことを知らされる。それは、秘書の舞子(小池栄子)が零治を好きだということだった。舞子の気持ちを知ってしまった零治は、彼女を意識するようになる…。【演出】中島悟【脚本】金子茂樹【音楽】ワンミュージック  【主題歌】嵐「I　seek」(ジェイ・ストーム)【チーフプロデューサー】松岡至  【プロデューサー】櫨山裕子、秋元孝之</t>
  </si>
  <si>
    <t>美咲(波瑠)にクビを宣告してしまったヒネクレ者の社長・零治(大野智)は、送別会の席でクビを撤回する。しかし、美咲はすでにライバルホテルへの再就職を決めていた。  ライバルホテルの社長・和田(北村一輝)に抗議しに行った零治だったが、和田から意外なことを知らされる。それは、秘書の舞子(小池栄子)が零治を好きだということだった。舞子の気持ちを知ってしまった零治は、彼女を意識するようになる…。</t>
  </si>
  <si>
    <t>番組名世界一難しい恋　第9話【大野智・波瑠】</t>
  </si>
  <si>
    <t>大野智、波瑠、小池栄子、小瀧望(ジャニーズWEST)、清水富美加、西堀亮(マシンガンズ)、若林誠、札内幸太/杉本哲太/丸山智己、三宅弘城/北村一輝　ほか美咲(波瑠)ともう一度やり直したい零治(大野智)だったが、「しばらくお会いしたくありません」とメールで告げられ、距離を置くことに。約束を守りつつ美咲に会うにはどうしたらいいかと試行錯誤する零治は、風船を配っているゆるキャラを見かける。これなら美咲に気づかれずに会えると、零治はゆるキャラの中の男・藤田(上島竜兵)に頼み、着ぐるみを着て街に出る。彼が人々とふれあっているところに、美咲が現れるが…。【演出】菅原伸太郎【脚本】金子茂樹【音楽】ワンミュージック  【主題歌】嵐「I　seek」(ジェイ・ストーム)【チーフプロデューサー】松岡至  【プロデューサー】櫨山裕子、秋元孝之</t>
  </si>
  <si>
    <t>美咲(波瑠)ともう一度やり直したい零治(大野智)だったが、「しばらくお会いしたくありません」とメールで告げられ、距離を置くことに。約束を守りつつ美咲に会うにはどうしたらいいかと試行錯誤する零治は、風船を配っているゆるキャラを見かける。これなら美咲に気づかれずに会えると、零治はゆるキャラの中の男・藤田(上島竜兵)に頼み、着ぐるみを着て街に出る。彼が人々とふれあっているところに、美咲が現れるが…。</t>
  </si>
  <si>
    <t>番組名世界一難しい恋　最終回【大野智・波瑠】</t>
  </si>
  <si>
    <t>大野智、波瑠、小池栄子、小瀧望(ジャニーズWEST)、清水富美加、西堀亮(マシンガンズ)、若林誠、札内幸太/杉本哲太/丸山智己、三宅弘城/北村一輝  /小堺一機　山野海　中村アン/櫻井翔美咲(波瑠)を抱きしめ、大満足の零治(大野智)。とはいえ、キスも交わしていない零治に秘書・舞子(小池栄子)は「恋愛の頂上はもっと上にある」と釘をさす。そんな中、和田(北村一輝)が結婚すると聞き、対抗心を燃やす零治。舞子(小池栄子)から結婚を前提とした同棲を勧められた零治は、美咲に同棲を持ちかけるが、もっとゆっくり関係を深めたいと断られてしまう。美咲との結婚に向けて、零治はあることを思い立つ…。【演出】中島悟【脚本】金子茂樹【音楽】ワンミュージック  【主題歌】嵐「I　seek」(ジェイ・ストーム)【チーフプロデューサー】松岡至  【プロデューサー】櫨山裕子、秋元孝之</t>
  </si>
  <si>
    <t>美咲(波瑠)を抱きしめ、大満足の零治(大野智)。とはいえ、キスも交わしていない零治に秘書・舞子(小池栄子)は「恋愛の頂上はもっと上にある」と釘をさす。そんな中、和田(北村一輝)が結婚すると聞き、対抗心を燃やす零治。舞子(小池栄子)から結婚を前提とした同棲を勧められた零治は、美咲に同棲を持ちかけるが、もっとゆっくり関係を深めたいと断られてしまう。美咲との結婚に向けて、零治はあることを思い立つ…。</t>
  </si>
  <si>
    <t>1604_NTV_木23</t>
  </si>
  <si>
    <t>ドクターカー</t>
  </si>
  <si>
    <t>番組名ドラマ「ドクターカー」第1話</t>
  </si>
  <si>
    <t>剛力彩芽、中村俊介、笛木優子、木下ほうか、内藤理沙、久保田磨希、伊東孝明、遠藤雄弥、横山歩、東ちづる、かたせ梨乃(他)シングルマザーで新人医師の天童一花(剛力彩芽)は豊かな想像力から生まれる卓越した診断能力を武器にドクターカーに乗り込む。しかし初出動の日、絶体絶命の患者の元へ駆けつけた一花は凄惨な事故現場を前に立ちすくむ…さらに病院理事長(かたせ梨乃)の息子で医師の朝城勇介(中村俊介)は「ドクターカーもバカ女も必要ない」と徹底的に一花をイジメまくる。試練の連続の中、一花はドクターカーで瀕死の患者の命を救えるのか?【監督】  橋本一【脚本】  深沢正樹吉川清之  奈良悠樹  【主題歌】  「Front　Line」SKY-HI(avex　trax)【番組公式サイト】  http://www.ytv.co.jp/doctorcar/  【番組公式Twitter】  https://twitter.com/ytvdrama　#ドクターカー  【番組公式LINE】  ID:@doctorcar  【番組公式Instagram】  @doctorcar.ytv</t>
  </si>
  <si>
    <t>シングルマザーで新人医師の天童一花(剛力彩芽)は豊かな想像力から生まれる卓越した診断能力を武器にドクターカーに乗り込む。しかし初出動の日、絶体絶命の患者の元へ駆けつけた一花は凄惨な事故現場を前に立ちすくむ…さらに病院理事長(かたせ梨乃)の息子で医師の朝城勇介(中村俊介)は「ドクターカーもバカ女も必要ない」と徹底的に一花をイジメまくる。試練の連続の中、一花はドクターカーで瀕死の患者の命を救えるのか?</t>
  </si>
  <si>
    <t>番組名「ドクターカー」第2話</t>
  </si>
  <si>
    <t>剛力彩芽、中村俊介、笛木優子、木下ほうか、内藤理沙、久保田磨希、伊東孝明、遠藤雄弥、横山歩、東ちづる、かたせ梨乃  【第2話ゲスト】森岡豊、霧島れいか、小林颯、横山芽生シングルマザーで新人医師の天童一花(剛力彩芽)は、キャンプ場で容体が悪化した5歳の少女の救助に向かう。兄・健太(小林颯)のSOSを受け、ドクターヘリでは着陸不能な山奥へ進んで行くドクターカー。しかし、さらに少女の父・隆夫(森岡豊)が雨の中、崖崩れで大けがをしたことを知る。急ぎ救助に向かう一花たち。しかし駆けつけた時には、隆夫は心肺停止の状態に…。果たして一花は隆夫の命を蘇らせることができるのか!?【監督】  橋本一【脚本】  深沢正樹吉川清之  奈良悠樹  【主題歌】  「Front　Line」SKY-HI(avex　trax)【番組公式サイト】  http://www.ytv.co.jp/doctorcar/  【番組公式Twitter】  https://twitter.com/ytvdrama　#ドクターカー  【番組公式LINE】  ID:@doctorcar  【番組公式Instagram】  @doctorcar.ytv</t>
  </si>
  <si>
    <t>シングルマザーで新人医師の天童一花(剛力彩芽)は、キャンプ場で容体が悪化した5歳の少女の救助に向かう。兄・健太(小林颯)のSOSを受け、ドクターヘリでは着陸不能な山奥へ進んで行くドクターカー。しかし、さらに少女の父・隆夫(森岡豊)が雨の中、崖崩れで大けがをしたことを知る。急ぎ救助に向かう一花たち。しかし駆けつけた時には、隆夫は心肺停止の状態に…。果たして一花は隆夫の命を蘇らせることができるのか!?</t>
  </si>
  <si>
    <t>番組名「ドクターカー」第3話</t>
  </si>
  <si>
    <t>剛力彩芽、中村俊介、笛木優子、木下ほうか、内藤理沙、久保田磨希、伊東孝明、遠藤雄弥、横山歩、東ちづる、かたせ梨乃  【第3話ゲスト】小宮孝泰、朝倉伸二、原慎一、久保晶、木村翠勇介(中村俊介)は金儲けの為、地元の権力者達に寄付金を募る。寄付してくれたら優先的にドクターカーを使用できると言うのだ。そんな中、市議会議員の神蔵(小宮孝泰)が事故を起こす。出動する一花(剛力彩芽)たち。寄付金狙いの勇介は軽症の神蔵を手厚くドクターカーで搬送するのだが、一花は事故の様子から現場に残った運転手の方が命に係わる重症だと気づく。勇介に逆らい、たった一人で現場に戻る一花…絶体絶命を救えるか【監督】  村松弘之【脚本】  深沢正樹吉川清之  奈良悠樹  【主題歌】  「Front　Line」SKY-HI(avex　trax)【番組公式サイト】  http://www.ytv.co.jp/doctorcar/  【番組公式Twitter】  https://twitter.com/ytvdrama　#ドクターカー  【番組公式LINE】  ID:@doctorcar  【番組公式Instagram】  @doctorcar.ytv</t>
  </si>
  <si>
    <t>勇介(中村俊介)は金儲けの為、地元の権力者達に寄付金を募る。寄付してくれたら優先的にドクターカーを使用できると言うのだ。そんな中、市議会議員の神蔵(小宮孝泰)が事故を起こす。出動する一花(剛力彩芽)たち。寄付金狙いの勇介は軽症の神蔵を手厚くドクターカーで搬送するのだが、一花は事故の様子から現場に残った運転手の方が命に係わる重症だと気づく。勇介に逆らい、たった一人で現場に戻る一花…絶体絶命を救えるか</t>
  </si>
  <si>
    <t>番組名「ドクターカー」第4話</t>
  </si>
  <si>
    <t>剛力彩芽、中村俊介、笛木優子、木下ほうか、内藤理沙、久保田磨希、伊東孝明、遠藤雄弥、横山歩、東ちづる、かたせ梨乃  【第4話ゲスト】水沢エレナ、盛永晶月アレルギーの疑いがある5歳の男児のもとにドクターカーで駆けつけた天童一花(剛力彩芽)。しかしシングルマザーのレイナ(水沢エレナ)は生活が苦しく検査を拒む。心配する一花だが逆に「保育園の行事にも参加しないあんたより自分の方がちゃんと母親をやっている」となじられる。仕事か子供かそれは今の一花が抱える悩みだった。そんなある日、レイナの子供に重篤な発作が起きる…【監督】村松弘之【脚本】関えり香吉川清之、奈良悠樹  【主題歌】「Front　Line」SKY-HI(avex　trax)【番組公式サイト】  http://www.ytv.co.jp/doctorcar/  【番組公式Twitter】  https://twitter.com/ytvdrama　#ドクターカー  【番組公式LINE】  ID:@doctorcar  【番組公式Instagram】  @doctorcar.ytv</t>
  </si>
  <si>
    <t>アレルギーの疑いがある5歳の男児のもとにドクターカーで駆けつけた天童一花(剛力彩芽)。しかしシングルマザーのレイナ(水沢エレナ)は生活が苦しく検査を拒む。心配する一花だが逆に「保育園の行事にも参加しないあんたより自分の方がちゃんと母親をやっている」となじられる。仕事か子供かそれは今の一花が抱える悩みだった。そんなある日、レイナの子供に重篤な発作が起きる…</t>
  </si>
  <si>
    <t>番組名「ドクターカー」第5話</t>
  </si>
  <si>
    <t>剛力彩芽、中村俊介、笛木優子、木下ほうか、内藤理沙、久保田磨希、伊東孝明、遠藤雄弥、横山歩、東ちづる、かたせ梨乃  【第5話ゲスト】徳井優、山崎潤、長谷川真弓、内田愛ドクターカー導入を考える順徳医科大学・教授の小峰(徳井優)から「協力するなら准教授の椅子を用意する」と言われた勇介(中村俊介)はすっかりその気になる。そんな時、先日、小峰が内視鏡手術をした男性が倒れドクターカーに出動要請が入る。男性を診察した一花(剛力彩芽)は違和感を覚える。小峰が手術をしたのは“治験”のため!?そして数日後、再び男性が倒れる。一花は車内で男性の開胸手術をすることになるのだが…。【監督】  橋本一【脚本】  武井彩吉川清之  奈良悠樹  【主題歌】  「Front　Line」SKY-HI(avex　trax)【番組公式サイト】  http://www.ytv.co.jp/doctorcar/  【番組公式Twitter】  https://twitter.com/ytvdrama　#ドクターカー  【番組公式LINE】  ID:@doctorcar  【番組公式Instagram】  @doctorcar.ytv</t>
  </si>
  <si>
    <t>ドクターカー導入を考える順徳医科大学・教授の小峰(徳井優)から「協力するなら准教授の椅子を用意する」と言われた勇介(中村俊介)はすっかりその気になる。そんな時、先日、小峰が内視鏡手術をした男性が倒れドクターカーに出動要請が入る。男性を診察した一花(剛力彩芽)は違和感を覚える。小峰が手術をしたのは“治験”のため!?そして数日後、再び男性が倒れる。一花は車内で男性の開胸手術をすることになるのだが…。</t>
  </si>
  <si>
    <t>番組名「ドクターカー」第6話★銃で脅され極秘の出動</t>
  </si>
  <si>
    <t>剛力彩芽、中村俊介、笛木優子、木下ほうか、内藤理沙、久保田磨希、伊東孝明、遠藤雄弥、横山歩、東ちづる、かたせ梨乃  【第6話ゲスト】武田梨奈、成田瑛基、外海多伽子、クラドクターカーが乗っ取られる。犯人は仲間の金を盗んで逃走中の男女。男は腹部を刺されていた。車内で応急処置をする一花(剛力彩芽)。病院で治療するように言うが犯人(武田梨奈)は拳銃で勇介(中村俊介)を脅し厚木に向かうよう指示する。やむなく厚木へ向かうドクターカー。すると盗まれた金を取り戻そうと仲間の男達が追いかけて来て…。犯罪に巻き込まれたドクターカー。一花はこのピンチをどう切り抜けるのか?【監督】  橋本一【脚本】  深沢正樹吉川清之  奈良悠樹  【主題歌】  「Front　Line」SKY-HI(avex　trax)【番組公式サイト】  http://www.ytv.co.jp/doctorcar/  【番組公式Twitter】  https://twitter.com/ytvdrama　#ドクターカー  【番組公式LINE】  ID:@doctorcar  【番組公式Instagram】  @doctorcar.ytv</t>
  </si>
  <si>
    <t>クラドクターカーが乗っ取られる。犯人は仲間の金を盗んで逃走中の男女。男は腹部を刺されていた。車内で応急処置をする一花(剛力彩芽)。病院で治療するように言うが犯人(武田梨奈)は拳銃で勇介(中村俊介)を脅し厚木に向かうよう指示する。やむなく厚木へ向かうドクターカー。すると盗まれた金を取り戻そうと仲間の男達が追いかけて来て…。犯罪に巻き込まれたドクターカー。一花はこのピンチをどう切り抜けるのか?</t>
  </si>
  <si>
    <t>番組名「ドクターカー」第7話★二人の命…究極の選択!</t>
  </si>
  <si>
    <t>剛力彩芽、中村俊介、笛木優子、木下ほうか、内藤理沙、久保田磨希、伊東孝明、遠藤雄弥、横山歩、東ちづる、かたせ梨乃  【第7話ゲスト】平山祐介、佐藤旭ドクターカーに、同時に2つの出動要請が!1つは、男性がジョギング中に倒れ脳震盪の疑い。もう1つは、海で溺れた男性、呼吸なし。どちらに行けば…と一花(剛力彩芽)は悩むが勇介(中村俊介)の指示に従い海岸へ向かう。男性は仲間の人工呼吸で意識は回復。一方、脳震盪疑いの男性の容体が急変したと連絡が。勇介は、現場での選択ミスだと一花を責める。悩む一花に再び2箇所からの出動要請が!果たして…一花が出した答えは!?【監督】  橋本一【脚本】  関えり香吉川清之  奈良悠樹  【主題歌】「Front　Line」SKY-HI(avex　trax)【番組公式サイト】  http://www.ytv.co.jp/doctorcar/  【番組公式Twitter】  https://twitter.com/ytvdrama　#ドクターカー  【番組公式LINE】  ID:@doctorcar  【番組公式Instagram】  @doctorcar.ytv</t>
  </si>
  <si>
    <t>ドクターカーに、同時に2つの出動要請が!1つは、男性がジョギング中に倒れ脳震盪の疑い。もう1つは、海で溺れた男性、呼吸なし。どちらに行けば…と一花(剛力彩芽)は悩むが勇介(中村俊介)の指示に従い海岸へ向かう。男性は仲間の人工呼吸で意識は回復。一方、脳震盪疑いの男性の容体が急変したと連絡が。勇介は、現場での選択ミスだと一花を責める。悩む一花に再び2箇所からの出動要請が!果たして…一花が出した答えは!?</t>
  </si>
  <si>
    <t>番組名「ドクターカー」第8話</t>
  </si>
  <si>
    <t>剛力彩芽、中村俊介、笛木優子、木下ほうか、内藤理沙、久保田磨希、伊東孝明、遠藤雄弥、横山歩、東ちづる、かたせ梨乃  【第8話ゲスト】綾田俊樹、野村麻純一花(剛力彩芽)は石段から落ちて負傷した漁師・悠木(綾田俊樹)をドクターカーで搬送する。しかし悠木は病院での検査を頑に拒む。駆けつけた一人娘(野村麻純)と悠木が絶縁状態にあることを知った一花は2人の関係を修復しようとするが、親子のわだかまりは根深い…その後、悠木の右足が重度の動脈硬化を起こしていると判明。足を切断しなければ命が危ないと知った一花…父親の命を救い父娘の絆を再生させる事はできるのか!?【監督】  本田隆一【脚本】  武井彩  深沢正樹吉川清之  奈良悠樹  【主題歌】  「Front　Line」SKY-HI(avex　trax)【番組公式サイト】  http://www.ytv.co.jp/doctorcar/  【番組公式Twitter】  https://twitter.com/ytvdrama　#ドクターカー  【番組公式LINE】  ID:@doctorcar  【番組公式Instagram】  @doctorcar.ytv</t>
  </si>
  <si>
    <t>一花(剛力彩芽)は石段から落ちて負傷した漁師・悠木(綾田俊樹)をドクターカーで搬送する。しかし悠木は病院での検査を頑に拒む。駆けつけた一人娘(野村麻純)と悠木が絶縁状態にあることを知った一花は2人の関係を修復しようとするが、親子のわだかまりは根深い…その後、悠木の右足が重度の動脈硬化を起こしていると判明。足を切断しなければ命が危ないと知った一花…父親の命を救い父娘の絆を再生させる事はできるのか!?</t>
  </si>
  <si>
    <t>番組名「ドクターカー」第9話★美しき先輩女医の謎</t>
  </si>
  <si>
    <t>剛力彩芽、中村俊介、笛木優子、木下ほうか、内藤理沙、久保田磨希、伊東孝明、遠藤雄弥、横山歩、東ちづる、かたせ梨乃  【第9話ゲスト】宮川一朗太、高杉瑞穂、岩田和浩、中野魁星院長の涼子(かたせ梨乃)が不在の間に結果を残そうと、勇介(中村俊介)はドクターカーを僻地で出張医院に使用することに。そこで一花(剛力彩芽)は、かつて紗那(笛木優子)によって命を救われた海斗という身寄りのない少年に出会う。しかしなぜか紗那は海斗を避けている…。そんな中ドクターカーに出動要請が。一花が現場に駆けつけるとバイクにはねられ血まみれの海斗と一見外傷の少ない運転手の姿が!?【監督】村松弘之【脚本】関えり香吉川清之、奈良悠樹  【主題歌】「Front　Line」SKY-HI(avex　trax)【番組公式サイト】  http://www.ytv.co.jp/doctorcar/  【番組公式Twitter】  https://twitter.com/ytvdrama　#ドクターカー  【番組公式LINE】  ID:@doctorcar  【番組公式Instagram】  @doctorcar.ytv</t>
  </si>
  <si>
    <t>院長の涼子(かたせ梨乃)が不在の間に結果を残そうと、勇介(中村俊介)はドクターカーを僻地で出張医院に使用することに。そこで一花(剛力彩芽)は、かつて紗那(笛木優子)によって命を救われた海斗という身寄りのない少年に出会う。しかしなぜか紗那は海斗を避けている…。そんな中ドクターカーに出動要請が。一花が現場に駆けつけるとバイクにはねられ血まみれの海斗と一見外傷の少ない運転手の姿が!?</t>
  </si>
  <si>
    <t>番組名「ドクターカー」第10話★最愛の人と衝撃の再会</t>
  </si>
  <si>
    <t>剛力彩芽、中村俊介、笛木優子、木下ほうか、内藤理沙、久保田磨希、伊東孝明、遠藤雄弥、横山歩、東ちづる、かたせ梨乃  【第10話ゲスト】おかやまはじめ、佐野勇斗、宮田早苗海岸の崖から海に転落した中年男・板倉(おかやまはじめ)を救助した一花(剛力彩芽)。幸い板倉は足の骨折だけで済んだが、検査で重病が判明。しかし板倉は何故か病院から姿を消してしまう。一花はすぐに板倉を探しに行こうとするのだが、勇介(中村俊介)に遮られる…。一方、一花の息子・一太郎(横山歩)は、偶然ある写真を見てしまう。それは母・一花が、見たこともない男性と仲睦まじく写っている写真だった…。【監督】  船谷純矢【脚本】  深沢正樹吉川清之  奈良悠樹  【主題歌】「Front　Line」SKY-HI(avex　trax)【番組公式サイト】  http://www.ytv.co.jp/doctorcar/  【番組公式Twitter】  https://twitter.com/ytvdrama　#ドクターカー  【番組公式LINE】  ID:@doctorcar  【番組公式Instagram】  @doctorcar.ytv</t>
  </si>
  <si>
    <t>海岸の崖から海に転落した中年男・板倉(おかやまはじめ)を救助した一花(剛力彩芽)。幸い板倉は足の骨折だけで済んだが、検査で重病が判明。しかし板倉は何故か病院から姿を消してしまう。一花はすぐに板倉を探しに行こうとするのだが、勇介(中村俊介)に遮られる…。一方、一花の息子・一太郎(横山歩)は、偶然ある写真を見てしまう。それは母・一花が、見たこともない男性と仲睦まじく写っている写真だった…。</t>
  </si>
  <si>
    <t>番組名「ドクターカー」第11話★元恋人と捨て身の救命</t>
  </si>
  <si>
    <t>剛力彩芽、中村俊介、笛木優子、木下ほうか、内藤理沙、久保田磨希、伊東孝明、遠藤雄弥、横山歩、東ちづる、かたせ梨乃  【第11話ゲスト】細田善彦、寺田農、辻本祐樹、尾中琴美一花(剛力彩芽)の後任の医師として呼ばれて来たのは、一太郎の父親・矢崎直道(細田善彦)だった。6年ぶりの再会。しかし、かつての恋人・矢崎は様子が変わり、一花が思い描いていたような男ではなかった…。その頃、経営不振から朝城総合病院は存続の危機に陥っていた。焦る勇介(中村俊介)の元に、病院を支援する想善会グループ会長の息子からドクターカー出動の要請が入る。現場には階段から転落した女性がいて…。【監督】  村松弘之【脚本】  深沢正樹吉川清之  奈良悠樹  【主題歌】  「Front　Line」SKY-HI(avex　trax)【番組公式サイト】  http://www.ytv.co.jp/doctorcar/  【番組公式Twitter】  https://twitter.com/ytvdrama　#ドクターカー  【番組公式LINE】  ID:@doctorcar  【番組公式Instagram】  @doctorcar.ytv</t>
  </si>
  <si>
    <t>一花(剛力彩芽)の後任の医師として呼ばれて来たのは、一太郎の父親・矢崎直道(細田善彦)だった。6年ぶりの再会。しかし、かつての恋人・矢崎は様子が変わり、一花が思い描いていたような男ではなかった…。その頃、経営不振から朝城総合病院は存続の危機に陥っていた。焦る勇介(中村俊介)の元に、病院を支援する想善会グループ会長の息子からドクターカー出動の要請が入る。現場には階段から転落した女性がいて…。</t>
  </si>
  <si>
    <t>番組名「ドクターカー」最終話★バスジャック事件発生…最後の出動</t>
  </si>
  <si>
    <t>剛力彩芽、中村俊介、笛木優子、木下ほうか、内藤理沙、久保田磨希、伊東孝明、遠藤雄弥、横山歩、東ちづる、かたせ梨乃  【最終話ゲスト】寺田農、辻本祐樹勇介(中村俊介)からドクターカーの廃止と解雇を言い渡された一花(剛力彩芽)に他の病院への誘いが入る。ドクターカーのことが気になりながらも承諾する一花。一方、朝城総合病院は資金援助を打ち切られ存続の危機に立たされる。メンバー達もバラバラに…。そんな時、勇介が逃亡中の強盗犯にバスの中で刺されて瀕死の状態にあると連絡が入る!果たして一花たちの、そしてドクターカーの運命は!?【監督】  村松弘之【脚本】  深沢正樹吉川清之  奈良悠樹  【主題歌】  「Front　Line」SKY-HI(avex　trax)【番組公式サイト】  http://www.ytv.co.jp/doctorcar/  【番組公式Twitter】  https://twitter.com/ytvdrama　#ドクターカー  【番組公式LINE】  ID:@doctorcar  【番組公式Instagram】  @doctorcar.ytv</t>
  </si>
  <si>
    <t>勇介(中村俊介)からドクターカーの廃止と解雇を言い渡された一花(剛力彩芽)に他の病院への誘いが入る。ドクターカーのことが気になりながらも承諾する一花。一方、朝城総合病院は資金援助を打ち切られ存続の危機に立たされる。メンバー達もバラバラに…。そんな時、勇介が逃亡中の強盗犯にバスの中で刺されて瀕死の状態にあると連絡が入る!果たして一花たちの、そしてドクターカーの運命は!?</t>
  </si>
  <si>
    <t>1604_NTV_土21</t>
  </si>
  <si>
    <t>お迎えデス。</t>
  </si>
  <si>
    <t>番組名お迎えデス。(1)【福士蒼汰&amp;土屋太鳳、伊東四朗&amp;菅野美穂!】</t>
  </si>
  <si>
    <t>福士蒼汰、土屋太鳳、鈴木亮平、門脇麦、濱田ここね  /(1話ゲスト)伊東四朗、菅野美穂/  野間口徹、森永悠希、大友花恋、根岸拓哉、比留川游/石野真子、大杉漣　ほか理系大学生の堤円(福士蒼汰)は同じ大学に通う阿熊幸(土屋太鳳)と不思議な出会いをする。その日の夜、高校の同級生・千里(門脇麦)の訃報を聞き、通夜に行った帰り道でありえない光景を目にする円。ウサギの着ぐるみを着た男と、初老の男・陽造(伊東四朗)が取っ組み合いをしているのだ。ウサギの中身は、死神と名乗るナベシマ(鈴木亮平)。彼は、円に自分の仕事を手伝ってほしいと頼む。円は幻覚だと無視するが…。【演出】南雲聖一【脚本】尾崎将也【プロデューサー】高明希、大塚英治  【制作会社】ケイファクトリー</t>
  </si>
  <si>
    <t>理系大学生の堤円(福士蒼汰)は同じ大学に通う阿熊幸(土屋太鳳)と不思議な出会いをする。その日の夜、高校の同級生・千里(門脇麦)の訃報を聞き、通夜に行った帰り道でありえない光景を目にする円。ウサギの着ぐるみを着た男と、初老の男・陽造(伊東四朗)が取っ組み合いをしているのだ。ウサギの中身は、死神と名乗るナベシマ(鈴木亮平)。彼は、円に自分の仕事を手伝ってほしいと頼む。円は幻覚だと無視するが…。</t>
  </si>
  <si>
    <t>番組名お迎えデス。(2)【福士蒼汰&amp;土屋太鳳!少年の未練は看護師さんとの観覧車デート】</t>
  </si>
  <si>
    <t>福士蒼汰、土屋太鳳、鈴木亮平、門脇麦、濱田ここね/(2話ゲスト)比嘉愛未、加部亜門、笠原秀幸/野間口徹、森永悠希、大友花恋、根岸拓哉、比留川游/石野真子、大杉漣　ほか突然、幸(土屋太鳳)に告白した円(福士蒼汰)。一体何を考えているのか…。そんな中、円と幸にナベシマ(鈴木亮平)から、新しい仕事が。今回のターゲットは、14歳の少年・和弥(加部亜門)彼の心残りは、担当看護師・瑞江(比嘉愛未)と約束した観覧車デート。幸は、和弥が円に憑依して瑞江と観覧車に乗るという形で約束を果たすアイデアを提案。円は、自分なりに女心を研究し、あの手この手で瑞江に近付こうとするが…。【ドラマ・演出】南雲聖一【原作】田中メカ「お迎えです。」(白泉社刊・LaLa連載)  【脚本】尾崎将也【主題歌】「僕たちの未来」家入レオ(ビクターエンタテインメント)  【音楽】高見　優【プロデューサー】高　明希/大塚英治(ケイファクトリー)</t>
  </si>
  <si>
    <t>突然、幸(土屋太鳳)に告白した円(福士蒼汰)。一体何を考えているのか…。そんな中、円と幸にナベシマ(鈴木亮平)から、新しい仕事が。今回のターゲットは、14歳の少年・和弥(加部亜門)彼の心残りは、担当看護師・瑞江(比嘉愛未)と約束した観覧車デート。幸は、和弥が円に憑依して瑞江と観覧車に乗るという形で約束を果たすアイデアを提案。円は、自分なりに女心を研究し、あの手この手で瑞江に近付こうとするが…。</t>
  </si>
  <si>
    <t>番組名お迎えデス。(3)【福士蒼汰&amp;土屋太鳳!キス出来る!?堅物女教師ストーカー幽霊】</t>
  </si>
  <si>
    <t>福士蒼汰、土屋太鳳、鈴木亮平、門脇麦、濱田ここね/野間口徹、森永悠希、大友花恋、根岸拓哉、比留川游/石野真子、大杉漣　ほか円(福士蒼汰)と幸(土屋太鳳)は、高校教師だった美樹(野波麻帆)という幽霊に出会う。成仏できないのは、教え子の亮二(竜星涼)が、大学に行かずに遊び歩いているため。美樹は、原因を突き止めなければ成仏できないという。そんな中、幸は、保(今野浩喜)という幽霊をあの世に連れて行く途中のナベシマ(鈴木亮平)と遭遇。保は、四十九日まで恋人になってほしいと幸につきまとい始め…。【ドラマ・演出】南雲聖一【原作】田中メカ「お迎えです。」(白泉社刊・LaLa連載)  【脚本】尾崎将也・泉澤陽子【主題歌】「僕たちの未来」家入レオ(ビクターエンタテインメント)  【音楽】高見　優【プロデューサー】高　明希/大塚英治(ケイファクトリー)【限定!データ放送企画】  リアルタイム視聴するだけで、福士蒼汰と豪華共演者のデータ放送のみの激レア画像をGETできる!詳しくは番組HPまで!http://www.ntv.co.jp/omukaedesu/data/index.html</t>
  </si>
  <si>
    <t>円(福士蒼汰)と幸(土屋太鳳)は、高校教師だった美樹(野波麻帆)という幽霊に出会う。成仏できないのは、教え子の亮二(竜星涼)が、大学に行かずに遊び歩いているため。美樹は、原因を突き止めなければ成仏できないという。そんな中、幸は、保(今野浩喜)という幽霊をあの世に連れて行く途中のナベシマ(鈴木亮平)と遭遇。保は、四十九日まで恋人になってほしいと幸につきまとい始め…。</t>
  </si>
  <si>
    <t>番組名お迎えデス。(4)【福士蒼汰&amp;土屋太鳳!許されない恋だと知っていても…】</t>
  </si>
  <si>
    <t>福士蒼汰、土屋太鳳、鈴木亮平、門脇麦、濱田ここね/野間口徹、森永悠希、大友花恋、根岸拓哉、比留川游/石野真子、大杉漣　ほかストーカーとなった保(今野浩喜)が円(福士蒼汰)に憑依し、幸(土屋太鳳)に襲いかかる!円は自分の中の保と戦い、幸を守る。ナベシマ(鈴木亮平)とゆずこ(濱田ここね)は、保の行方を追う。円は、動揺する幸を家まで送る。親しげな二人を、千里(門脇麦)が複雑な思いで見ていた。そんな中、亮二(竜星涼)が大学にくる。亮二は高校時代、亡くなった美樹(野波麻帆)のためにも大学で古典を勉強したいと語るが…【演出】塚本連平【原作】田中メカ「お迎えです。」(白泉社刊・LaLa連載)  【脚本】尾崎将也【主題歌】「僕たちの未来」家入レオ(ビクターエンタテインメント)  【音楽】高見優【プロデューサー】高明希/大塚英治(ケイファクトリー)【限定!データ放送企画】  リアルタイム視聴するだけで、福士蒼汰と豪華共演者のデータ放送のみの激レア画像をGETできる!詳しくは番組HPまで!http://www.ntv.co.jp/omukaedesu/data/index.html</t>
  </si>
  <si>
    <t>ストーカーとなった保(今野浩喜)が円(福士蒼汰)に憑依し、幸(土屋太鳳)に襲いかかる!円は自分の中の保と戦い、幸を守る。ナベシマ(鈴木亮平)とゆずこ(濱田ここね)は、保の行方を追う。円は、動揺する幸を家まで送る。親しげな二人を、千里(門脇麦)が複雑な思いで見ていた。そんな中、亮二(竜星涼)が大学にくる。亮二は高校時代、亡くなった美樹(野波麻帆)のためにも大学で古典を勉強したいと語るが…</t>
  </si>
  <si>
    <t>番組名お迎えデス。(5)【セクハラ冤罪!?目撃者は幽霊ただ一人】</t>
  </si>
  <si>
    <t>福士蒼汰、土屋太鳳、鈴木亮平、門脇麦、濱田ここね/(5話ゲスト)藤田弓子、西岡徳馬、飯豊まりえ/野間口徹、森永悠希、大友花恋、根岸拓哉、比留川游/石野真子、大杉漣　ほか幸(土屋太鳳)の病室で、円(福士蒼汰)は、幽霊・千里(門脇麦)と再会。三角関係が動き出す。円は、加藤(森永悠希)の祖母・嘉子(藤田弓子)の幽霊と出会う。嘉子は大学の教授・前田(西岡徳馬)を気にかけていた。そんな中、前田がセクハラ事件を起こす。被害者は大学生・利恵(飯豊まりえ)。円は一部始終を見ていた嘉子から、濡れ衣だと聞かされる。円は幸に相談。動けない幸は、千里に円を手伝ってほしいと頼み…。【演出】南雲聖一【原作】田中メカ「お迎えです。」(白泉社刊・LaLa連載)  【脚本】尾崎将也【主題歌】「僕たちの未来」家入レオ(ビクターエンタテインメント)  【音楽】高見優【プロデューサー】高明希/大塚英治(ケイファクトリー)リアルタイム視聴するだけで、福士蒼汰と豪華共演者のデータ放送のみの激レア画像をGETできる!詳しくは番組HPまで!http://www.ntv.co.jp/omukaedesu/data/index.html</t>
  </si>
  <si>
    <t>幸(土屋太鳳)の病室で、円(福士蒼汰)は、幽霊・千里(門脇麦)と再会。三角関係が動き出す。円は、加藤(森永悠希)の祖母・嘉子(藤田弓子)の幽霊と出会う。嘉子は大学の教授・前田(西岡徳馬)を気にかけていた。そんな中、前田がセクハラ事件を起こす。被害者は大学生・利恵(飯豊まりえ)。円は一部始終を見ていた嘉子から、濡れ衣だと聞かされる。円は幸に相談。動けない幸は、千里に円を手伝ってほしいと頼み…。</t>
  </si>
  <si>
    <t>番組名お迎えデス。(6)【寺島進に笑点・好楽が参戦!野球を愛する熱血幽霊の願い】</t>
  </si>
  <si>
    <t>福士蒼汰、土屋太鳳、鈴木亮平、門脇麦、濱田ここね/(6話ゲスト)伊澤柾樹、森カンナ/野間口徹、森永悠希、大友花恋、根岸拓哉、比留川游/石野真子、大杉漣　ほか入院中の幸(土屋太鳳)は幽体離脱できるように!?一方、円(福士蒼汰)は幽霊・千里(門脇麦)を匿い続けながら、死神・ナベシマ(鈴木亮平)から、熱血幽霊・達夫(寺島進)の仕事を引き受ける。彼の心残りは、自分が死んだせいで発足した草野球チームの人数が足りなくなり、試合に出られなくなること。メンバーが解散を考えている中、円は達夫に頼まれ、ラビッツに加わりたいと申し出るが…【ドラマ・演出】小室直子【原作】田中メカ「お迎えです。」(白泉社刊・LaLa連載)  【脚本】尾崎将也【主題歌】「僕たちの未来」家入レオ(ビクターエンタテインメント)  【音楽】高見優【プロデューサー】高明希/大塚英治(ケイファクトリー)リアルタイム視聴するだけで、福士蒼汰と豪華共演者のデータ放送のみの激レア画像をGETできる!詳しくは番組HPまで!http://www.ntv.co.jp/omukaedesu/data/index.html</t>
  </si>
  <si>
    <t>入院中の幸(土屋太鳳)は幽体離脱できるように!?一方、円(福士蒼汰)は幽霊・千里(門脇麦)を匿い続けながら、死神・ナベシマ(鈴木亮平)から、熱血幽霊・達夫(寺島進)の仕事を引き受ける。彼の心残りは、自分が死んだせいで発足した草野球チームの人数が足りなくなり、試合に出られなくなること。メンバーが解散を考えている中、円は達夫に頼まれ、ラビッツに加わりたいと申し出るが…</t>
  </si>
  <si>
    <t>番組名お迎えデス。(7)【父、浮気発覚!?試される家族の絆!】</t>
  </si>
  <si>
    <t>福士蒼汰、土屋太鳳、鈴木亮平、門脇麦、濱田ここね/野間口徹、森永悠希、大友花恋、根岸拓哉、比留川游/石野真子、大杉漣　ほか幽体離脱ができるようになった幸(土屋太鳳)は、シノザキ(野間口徹)に仲間にならないかと誘われる。一方、堤家では、郁夫(大杉漣)の浮気疑惑が持ち上がる。由美子(石野真子)が郁夫を問い詰めたその時、郁夫が突然、倒れてしまう。郁夫は意識不明に。すると、心配する円(福士蒼汰)の前に、郁夫の霊体が現れる。郁夫は生死の境をさまよっている状態で、幽体離脱してしまったのだった…!一体どうなる堤家!【演出】塚本連平【原作】田中メカ「お迎えです。」(白泉社刊・LaLa連載)  【脚本】尾崎将也【主題歌】「僕たちの未来」家入レオ(ビクターエンタテインメント)  【音楽】高見　優【プロデューサー】高　明希/大塚英治(ケイファクトリー)リアルタイム視聴するだけで、福士蒼汰と豪華共演者のデータ放送のみの激レア画像をGETできる!詳しくは番組HPまで!http://www.ntv.co.jp/omukaedesu/data/index.html</t>
  </si>
  <si>
    <t>幽体離脱ができるようになった幸(土屋太鳳)は、シノザキ(野間口徹)に仲間にならないかと誘われる。一方、堤家では、郁夫(大杉漣)の浮気疑惑が持ち上がる。由美子(石野真子)が郁夫を問い詰めたその時、郁夫が突然、倒れてしまう。郁夫は意識不明に。すると、心配する円(福士蒼汰)の前に、郁夫の霊体が現れる。郁夫は生死の境をさまよっている状態で、幽体離脱してしまったのだった…!一体どうなる堤家!</t>
  </si>
  <si>
    <t>番組名お迎えデス。(8)【クライマックス!手を繋ぎたい…切ない最後のデート】</t>
  </si>
  <si>
    <t>福士蒼汰、土屋太鳳、鈴木亮平、門脇麦、濱田ここね/野間口徹、森永悠希、大友花恋、根岸拓哉、比留川游/石野真子、大杉漣　ほか円(福士蒼汰)との別れを決意した千里(門脇麦)。なんとか力になりたい幸(土屋太鳳)は、幽体離脱の力を使って、千里に最後に想い出のデートをさせようと画策する。円はそんなことを知る由もなく、ロケット大会に向け準備を進めていた…。【演出】小室直子【原作】田中メカ「お迎えです。」(白泉社刊・LaLa連載)  【脚本】尾崎将也【主題歌】「僕たちの未来」家入レオ(ビクターエンタテインメント)  【音楽】高見　優【プロデューサー】高　明希/大塚英治(ケイファクトリー)リアルタイム視聴するだけで、福士蒼汰と豪華共演者のデータ放送のみの激レア画像をGETできる!詳しくは番組HPまで!http://www.ntv.co.jp/omukaedesu/data/index.html</t>
  </si>
  <si>
    <t>円(福士蒼汰)との別れを決意した千里(門脇麦)。なんとか力になりたい幸(土屋太鳳)は、幽体離脱の力を使って、千里に最後に想い出のデートをさせようと画策する。円はそんなことを知る由もなく、ロケット大会に向け準備を進めていた…。</t>
  </si>
  <si>
    <t>番組名お迎えデス。(9)　2時間SP【私を殺した犯人は誰・解き明かされる真実】</t>
  </si>
  <si>
    <t>福士蒼汰、土屋太鳳、鈴木亮平、門脇麦、濱田ここね/(最終話ゲスト)観月ありさ、田中圭、小林涼子/(スペシャルサンクス)伊東四朗、加部亜門/野間口徹、森永悠希、大友花恋、根岸拓哉、比留川游/石野真子、大杉漣　ほか円(福士蒼汰)と幸(土屋太鳳)はナベシマ(鈴木亮平)から、次の仕事を頼まれる。仕事中の事故で亡くなった律子(観月ありさ)。律子の願いは、会社の後輩・あさみ(小林涼子)と弘(田中圭)が結婚することだという。そんな中、律子の死に他殺の可能性が浮上し、その容疑が弘にかかってしまう。  この事件をきっかけに、思いもよらない真実が明らかになってくる。だが、その真実に近付いていく円と幸を何者かが狙っていて…。【ドラマ・演出】南雲聖一【原作】田中メカ「お迎えです。」(白泉社刊・LaLa連載)  【脚本】尾崎将也【主題歌】「僕たちの未来」家入レオ(ビクターエンタテインメント)  【音楽】高見　優【プロデューサー】高　明希/大塚英治(ケイファクトリー)リアルタイム視聴するだけで、福士蒼汰と豪華共演者のデータ放送のみの激レア画像をGETできる!詳しくは番組HPまで!http://www.ntv.co.jp/omukaedesu/data/index.html</t>
  </si>
  <si>
    <t>円(福士蒼汰)と幸(土屋太鳳)はナベシマ(鈴木亮平)から、次の仕事を頼まれる。仕事中の事故で亡くなった律子(観月ありさ)。律子の願いは、会社の後輩・あさみ(小林涼子)と弘(田中圭)が結婚することだという。そんな中、律子の死に他殺の可能性が浮上し、その容疑が弘にかかってしまう。  この事件をきっかけに、思いもよらない真実が明らかになってくる。だが、その真実に近付いていく円と幸を何者かが狙っていて…。</t>
  </si>
  <si>
    <t>1604_NTV_日22</t>
  </si>
  <si>
    <t>ゆとりですがなにか</t>
  </si>
  <si>
    <t>番組名ゆとりですがなにか　#1</t>
  </si>
  <si>
    <t>【レギュラー】岡田将生、松坂桃李、柳楽優弥、安藤サクラ、太賀、島崎遥香(AKB48)、高橋洋、吉岡里帆、小松和重、少路勇介、矢本悠馬、加藤諒、原扶貴子、菊池美里、手塚とおる、青木さやか、中田喜子、吉田鋼太郎　ほか  【ゲスト】でんでん食品会社に勤める坂間正和(岡田将生)は、“ゆとり世代”の29歳。成績不振で居酒屋『鳥の民』へ出向を命じられ、さらに後輩・入社2年目の山岸ひろむ(太賀)のゆとりっぷりにモヤモヤし、レンタルおじさん・麻生厳(吉田鋼太郎)に相談する。そこで同い年の小学校教師・山路一豊(松坂桃李)と出会う。悩みを打ち明け合い意気投合する二人。そこに、「おっぱいいかがっすかー?」と客引き・道上まりぶ(柳楽優弥)が現れ…【演出】水田伸生【脚本】宮藤官九郎【主題歌】感覚ピエロ「拝啓、いつかの君へ」(JIJI　RECORDS)  【音楽】平野義久【プロデューサー】枝見洋子、茂山佳則(AX-ON)【データ放送OAクイズ】  豪華商品が当たる!リアルタイム視聴で実施!詳しくは番組HPまで  www.ntv.co.Jp/yutori    【公式Twitter】yutori_ntv</t>
  </si>
  <si>
    <t>でんでん食品会社に勤める坂間正和(岡田将生)は、“ゆとり世代”の29歳。成績不振で居酒屋『鳥の民』へ出向を命じられ、さらに後輩・入社2年目の山岸ひろむ(太賀)のゆとりっぷりにモヤモヤし、レンタルおじさん・麻生厳(吉田鋼太郎)に相談する。そこで同い年の小学校教師・山路一豊(松坂桃李)と出会う。悩みを打ち明け合い意気投合する二人。そこに、「おっぱいいかがっすかー?」と客引き・道上まりぶ(柳楽優弥)が現れ…</t>
  </si>
  <si>
    <t>番組名ゆとりですがなにか　#2</t>
  </si>
  <si>
    <t>【レギュラー】岡田将生、松坂桃李、柳楽優弥、安藤サクラ、太賀、島崎遥香(AKB48)、高橋洋、吉岡里帆、小松和重、少路勇介、矢本悠馬、加藤諒、原扶貴子、菊池美里、手塚とおる、青木さやか、中田喜子、吉田鋼太郎　ほか正和(岡田将生)は山岸(太賀)が自殺したのではないかと大混乱。やがてそれは人違いだと分かるが、山岸は正和のパワハラを理由に会社を辞めると宮下(安藤サクラ)たちに連絡をいれていた。一方、山路(松坂桃李)は、まりぶ(柳楽優弥)が麻生(吉田鋼太郎)となにやら話し込んでいるところを目撃。二人の関係を追及する。その後山岸が原因で謹慎処分になる正和だったが、彼をたずねてまりぶが『鳥の民』へやってきて……【演出】水田伸生【脚本】宮藤官九郎【主題歌】感覚ピエロ「拝啓、いつかの君へ」(JIJI　RECORDS)  【音楽】平野義久【プロデューサー】枝見洋子、茂山佳則(AX-ON)</t>
  </si>
  <si>
    <t>正和(岡田将生)は山岸(太賀)が自殺したのではないかと大混乱。やがてそれは人違いだと分かるが、山岸は正和のパワハラを理由に会社を辞めると宮下(安藤サクラ)たちに連絡をいれていた。一方、山路(松坂桃李)は、まりぶ(柳楽優弥)が麻生(吉田鋼太郎)となにやら話し込んでいるところを目撃。二人の関係を追及する。その後山岸が原因で謹慎処分になる正和だったが、彼をたずねてまりぶが『鳥の民』へやってきて……</t>
  </si>
  <si>
    <t>番組名ゆとりですがなにか　#3</t>
  </si>
  <si>
    <t>【レギュラー】岡田将生、松坂桃李、柳楽優弥、安藤サクラ、太賀、島崎遥香(AKB48)、高橋洋、吉岡里帆、小松和重、少路勇介、矢本悠馬、加藤諒、原扶貴子、菊池美里、瑛蓮、北村匠海(DISH//)、手塚とおる、青木さやか、でんでん、真野響子、中田喜子、吉田鋼太郎　ほか正和(岡田将生)は、山岸(太賀)にパワハラを認めないと訴訟を起こすと脅される。納得できない正和。一方、山路(松坂桃李)は佐倉(吉岡里帆)から、クラスでいじめがあると聞かされる。山路は決めつけないほうがいいと言うが佐倉は聞かない。「鳥の民」で早川(手塚とおる)と宮下(安藤サクラ)に始末書を提出する正和。その頃、店には山路、佐倉が同僚と訪れ、いじめ問題を話していた。そこにまりぶ(柳楽優弥)が現れ…。【演出】相沢淳【脚本】宮藤官九郎【主題歌】感覚ピエロ「拝啓、いつかの君へ」(JIJI　RECORDS)  【音楽】平野義久【プロデューサー】枝見洋子、茂山佳則(AX-ON)</t>
  </si>
  <si>
    <t>正和(岡田将生)は、山岸(太賀)にパワハラを認めないと訴訟を起こすと脅される。納得できない正和。一方、山路(松坂桃李)は佐倉(吉岡里帆)から、クラスでいじめがあると聞かされる。山路は決めつけないほうがいいと言うが佐倉は聞かない。「鳥の民」で早川(手塚とおる)と宮下(安藤サクラ)に始末書を提出する正和。その頃、店には山路、佐倉が同僚と訪れ、いじめ問題を話していた。そこにまりぶ(柳楽優弥)が現れ…。</t>
  </si>
  <si>
    <t>番組名ゆとりですがなにか　#4</t>
  </si>
  <si>
    <t>【レギュラー】岡田将生、松坂桃李、柳楽優弥、安藤サクラ、太賀、島崎遥香(AKB48)、高橋洋、吉岡里帆、小松和重、少路勇介、矢本悠馬、加藤諒、原扶貴子、菊池美里、瑛蓮、北村匠海(DISH//)、手塚とおる、青木さやか、でんでん、真野響子、中田喜子、吉田鋼太郎　ほか山路(松坂桃李)の学校に怒鳴り込んできた静磨(北村匠海)は、教育実習生・佐倉(吉岡里帆)の年下のカレシ。静磨から、童貞だと学校中に暴露され山路は絶句。正和(岡田将生)は宮下(安藤サクラ)との関係を山岸(太賀)に言いふらされ、それを全力で嫌がる宮下に違和感を覚える。まりぶ(柳楽優弥)はガールズバー店長となり忙しくなる。寂しい正和は山路に連絡をするが、その頃山路は宮下と一緒にボルダリングジムにいて…。【演出】相沢　淳【脚本】宮藤官九郎【主題歌】感覚ピエロ「拝啓、いつかの君へ」(JIJI　RECORDS)  【音楽】平野義久(ナチュラルナイン)【プロデューサー】枝見洋子、茂山佳則(AX-ON)【データ放送OAクイズ】  豪華商品が当たる!リアルタイム視聴で実施!詳しくは番組HPまで  www.ntv.co.Jp/yutori    【公式Twitter】yutori_ntv</t>
  </si>
  <si>
    <t>山路(松坂桃李)の学校に怒鳴り込んできた静磨(北村匠海)は、教育実習生・佐倉(吉岡里帆)の年下のカレシ。静磨から、童貞だと学校中に暴露され山路は絶句。正和(岡田将生)は宮下(安藤サクラ)との関係を山岸(太賀)に言いふらされ、それを全力で嫌がる宮下に違和感を覚える。まりぶ(柳楽優弥)はガールズバー店長となり忙しくなる。寂しい正和は山路に連絡をするが、その頃山路は宮下と一緒にボルダリングジムにいて…。</t>
  </si>
  <si>
    <t>番組名ゆとりですがなにか　#5</t>
  </si>
  <si>
    <t>【レギュラー】岡田将生、松坂桃李、柳楽優弥、安藤サクラ、太賀、島崎遥香(AKB48)、高橋洋、吉岡里帆、小松和重、少路勇介、矢本悠馬、加藤諒、原扶貴子、菊池美里、手塚とおる、青木さやか、中田喜子、吉田鋼太郎　ほか正和(岡田将生)は妹のゆとり(島崎遥香)が、まりぶ(柳楽優弥)のガールズバーでバイトしていると知り頭を抱える。麻生(吉田鋼太郎)に相談し店に偵察に行ってもらうことに。そんな中、正和は宮下に仙台支店長の話があると聞き、知らなかったことにショック!一方、山路(松坂桃李)と宮下は何でも相談できる友達に。ある日、二人がボルダリングジムに行くと正和が。無理に壁を登ろうとした正和は、落下し大ケガをして…。【演出】相沢淳【脚本】宮藤官九郎【主題歌】感覚ピエロ「拝啓、いつかの君へ」(JIJI　RECORDS)  【音楽】平野義久【プロデューサー】枝見洋子、茂山佳則(AX-ON)【データ放送OAクイズ】  豪華商品が当たる!リアルタイム視聴で実施!詳しくは番組HPまで  www.ntv.co.jp/yutori/    【公式Twitter】yutori_ntv  スペシャル企画　“おっぱい祭り”実施中!  詳しくは番組HPまで  www.ntv.co.jp/yutori/</t>
  </si>
  <si>
    <t>正和(岡田将生)は妹のゆとり(島崎遥香)が、まりぶ(柳楽優弥)のガールズバーでバイトしていると知り頭を抱える。麻生(吉田鋼太郎)に相談し店に偵察に行ってもらうことに。そんな中、正和は宮下に仙台支店長の話があると聞き、知らなかったことにショック!一方、山路(松坂桃李)と宮下は何でも相談できる友達に。ある日、二人がボルダリングジムに行くと正和が。無理に壁を登ろうとした正和は、落下し大ケガをして…。</t>
  </si>
  <si>
    <t>番組名ゆとりですがなにか　#6</t>
  </si>
  <si>
    <t>【レギュラー】岡田将生、松坂桃李、柳楽優弥、安藤サクラ、太賀、島崎遥香(AKB48)、高橋洋、吉岡里帆、小松和重、少路勇介、矢本悠馬、加藤諒、原扶貴子、菊池美里、手塚とおる、青木さやか、中田喜子、吉田鋼太郎　ほか正和(岡田将生)は、妻子持ちのまりぶ(柳楽優弥)と妹のゆとり(島崎遥香)の関係を知り、麻生(吉田鋼太郎)と共にまりぶのアパートへ。さらに、取引先の野上(でんでん)が他社に乗り換えようとしているという問題が正和を悩ませる。一方、山路(松坂桃李)は学習障害の大悟のために尽力し、母親の奈々江(石橋けい)から信頼されるように。お互いを意識しあう2人。さらに佐倉(吉岡里帆)から連絡が来てモテ期到来!?【演出】鈴木勇馬【脚本】宮藤官九郎【主題歌】感覚ピエロ「拝啓、いつかの君へ」(JIJI　RECORDS)  【音楽】平野義久【プロデューサー】枝見洋子、茂山佳則(AX-ON)【データ放送OAクイズ】  豪華商品が当たる!リアルタイム視聴で実施!詳しくは番組HPまで  www.ntv.co.jp/yutori/    【公式Twitter】yutori_ntv  スペシャル企画　“おっぱい祭り”実施中!  詳しくは番組HPまで  www.ntv.co.jp/yutori/</t>
  </si>
  <si>
    <t>正和(岡田将生)は、妻子持ちのまりぶ(柳楽優弥)と妹のゆとり(島崎遥香)の関係を知り、麻生(吉田鋼太郎)と共にまりぶのアパートへ。さらに、取引先の野上(でんでん)が他社に乗り換えようとしているという問題が正和を悩ませる。一方、山路(松坂桃李)は学習障害の大悟のために尽力し、母親の奈々江(石橋けい)から信頼されるように。お互いを意識しあう2人。さらに佐倉(吉岡里帆)から連絡が来てモテ期到来!?</t>
  </si>
  <si>
    <t>番組名ゆとりですがなにか　#7</t>
  </si>
  <si>
    <t>【レギュラー】岡田将生、松坂桃李、柳楽優弥、安藤サクラ、太賀、島崎遥香(AKB48)、高橋洋、吉岡里帆、小松和重、少路勇介、矢本悠馬、加藤諒、原扶貴子、菊池美里、瑛蓮、北村匠海(DISH//)、手塚とおる、青木さやか/中尾明慶、でんでん、辻萬長、真野響子/中田喜子、吉田鋼太郎　ほか正和(岡田将生)の会社の得意先で食中毒が発生。早川(手塚とおる)と会社を救おうと奔走する。  山路(松坂桃李)はクラスの児童・大悟の学習障害を理解しない父親が、授業参観に来ると聞き意気込むが…。  まりぶ(柳楽優弥)は、ゆとり(島崎遥香)と別れると約束したが別れられず…。  そんな中、茜(安藤サクラ)の父が上京。別れたと親に言えない正和と茜だが、重蔵が結納を交わそうと坂間家に乗り込み…。【演出】水田伸生【脚本】宮藤官九郎【主題歌】感覚ピエロ「拝啓、いつかの君へ」(JIJI　RECORDS)  【音楽】平野義久【プロデューサー】枝見洋子、茂山佳則(AX-ON)【データ放送OAクイズ】  豪華商品が当たる!リアルタイム視聴で実施!詳しくは番組HPまで  www.ntv.co.jp/yutori/    【公式Twitter】yutori_ntv  スペシャル企画　“おっぱい祭り”実施中!  詳しくは番組HPまで  www.ntv.co.jp/yutori/</t>
  </si>
  <si>
    <t>正和(岡田将生)の会社の得意先で食中毒が発生。早川(手塚とおる)と会社を救おうと奔走する。  山路(松坂桃李)はクラスの児童・大悟の学習障害を理解しない父親が、授業参観に来ると聞き意気込むが…。  まりぶ(柳楽優弥)は、ゆとり(島崎遥香)と別れると約束したが別れられず…。  そんな中、茜(安藤サクラ)の父が上京。別れたと親に言えない正和と茜だが、重蔵が結納を交わそうと坂間家に乗り込み…。</t>
  </si>
  <si>
    <t>番組名ゆとりですがなにか　#8</t>
  </si>
  <si>
    <t>【レギュラー】岡田将生、松坂桃李、柳楽優弥、安藤サクラ、太賀、島崎遥香(AKB48)、高橋洋、吉岡里帆、小松和重、少路勇介、矢本悠馬、加藤諒、原扶貴子、菊池美里、瑛蓮、北村匠海(DISH//)、手塚とおる、青木さやか、半海一晃、でんでん、中田喜子、吉田鋼太郎　ほか正和(岡田将生)は、会社を辞め、兄・宗貴と一緒に酒屋を継ぐと宣言するが、兄は北海道で農業をやると言い出す。勝手な息子たちに母は激怒し、坂間家は険悪に。童貞の山路(松坂桃李)は、性教育の授業をすることになり動揺を隠せない。一方、植木屋職人として働き始めたまりぶ(柳楽優弥)は、同僚から前に会ったことがあると言い出され…!?茜(安藤サクラ)の最後の出勤日。別れの挨拶をしていると、正和が突然号泣して……【演出】相沢淳【脚本】宮藤官九郎【主題歌】感覚ピエロ「拝啓、いつかの君へ」(JIJI　RECORDS)  【音楽】平野義久【プロデューサー】枝見洋子、茂山佳則(AX-ON)【データ放送OAクイズ】  豪華商品が当たる!リアルタイム視聴で実施!詳しくは番組HPまで  www.ntv.co.jp/yutori/    【公式Twitter】yutori_ntv  スペシャル企画　“おっぱい祭り”実施中!  詳しくは番組HPまで  www.ntv.co.jp/yutori/</t>
  </si>
  <si>
    <t>正和(岡田将生)は、会社を辞め、兄・宗貴と一緒に酒屋を継ぐと宣言するが、兄は北海道で農業をやると言い出す。勝手な息子たちに母は激怒し、坂間家は険悪に。童貞の山路(松坂桃李)は、性教育の授業をすることになり動揺を隠せない。一方、植木屋職人として働き始めたまりぶ(柳楽優弥)は、同僚から前に会ったことがあると言い出され…!?茜(安藤サクラ)の最後の出勤日。別れの挨拶をしていると、正和が突然号泣して……</t>
  </si>
  <si>
    <t>番組名ゆとりですがなにか　#9</t>
  </si>
  <si>
    <t>【レギュラー】岡田将生、松坂桃李、柳楽優弥、安藤サクラ、太賀、島崎遥香(AKB48)、高橋洋、吉岡里帆、小松和重、少路勇介、矢本悠馬、加藤諒、原扶貴子、菊池美里、手塚とおる、青木さやか、平山浩行、でんでん、古手川祐子/中田喜子、吉田鋼太郎　ほか正和(岡田将生)と山路(松坂桃李)は、店が警察のガサ入れ受け逮捕されたまりぶ(柳楽優弥)を救う為、彼の父・麻生(吉田鋼太郎)が呼んだ弁護士と会う。現れたのはまりぶの異母兄・政伸(平山浩行)。政伸は麻生ともまりぶとも険悪。面会ではまりぶとつかみ合いのケンカに。酒蔵を継いだ正和は営業に苦戦し、茜(安藤サクラ)に叱咤される。性教育の授業を控え緊張する童貞の山路のもとに、正和と茜の結婚式の招待状が届くが…【演出】水田伸生【脚本】宮藤官九郎【主題歌】感覚ピエロ「拝啓、いつかの君へ」(JIJI　RECORDS)  【音楽】平野義久【プロデューサー】枝見洋子、茂山佳則(AX-ON)【データ放送OAクイズ】  豪華商品が当たる!リアルタイム視聴で実施!詳しくは番組HPまで  www.ntv.co.jp/yutori/    【公式Twitter】yutori_ntv  スペシャル企画　“おっぱい祭り”実施中!  詳しくは番組HPまで  www.ntv.co.jp/yutori/</t>
  </si>
  <si>
    <t>正和(岡田将生)と山路(松坂桃李)は、店が警察のガサ入れ受け逮捕されたまりぶ(柳楽優弥)を救う為、彼の父・麻生(吉田鋼太郎)が呼んだ弁護士と会う。現れたのはまりぶの異母兄・政伸(平山浩行)。政伸は麻生ともまりぶとも険悪。面会ではまりぶとつかみ合いのケンカに。酒蔵を継いだ正和は営業に苦戦し、茜(安藤サクラ)に叱咤される。性教育の授業を控え緊張する童貞の山路のもとに、正和と茜の結婚式の招待状が届くが…</t>
  </si>
  <si>
    <t>番組名ゆとりですがなにか　#10</t>
  </si>
  <si>
    <t>【レギュラー】岡田将生、松坂桃李、柳楽優弥、安藤サクラ、太賀、島崎遥香(AKB48)、高橋洋、吉岡里帆、小松和重、少路勇介、矢本悠馬、加藤諒、原扶貴子、菊池美里、瑛蓮、北村匠海(DISH//)、半海一晃、手塚とおる、青木さやか、/でんでん、辻萬長、/中田喜子、吉田鋼太郎　ほか茜(安藤サクラ)は結婚式を前に正和(岡田将生)に不安を口にする。不審に思った正和は早川(手塚とおる)との関係を尋ねると、茜は一夜を共にしたと告白。激しく動揺する正和。山路(松坂桃李)は性教育の授業を間近に控え悩んでいた。気付くと奈々江(石橋けい)とラブホテルに。まりぶ(柳楽優弥)は再び植木職人として働き、妻子が戻るのを待っている。結婚式当日、神社へ向かう途中で突然正和が逃げ出し…【演出】水田伸生【脚本】宮藤官九郎【主題歌】感覚ピエロ「拝啓、いつかの君へ」(JIJI　RECORDS)  【音楽】平野義久【プロデューサー】枝見洋子、茂山佳則(AX-ON)【データ放送OAクイズ】  豪華商品が当たる!リアルタイム視聴で実施!詳しくは番組HPまで  www.ntv.co.jp/yutori/    【公式Twitter】yutori_ntv  スペシャル企画　“おっぱい祭り”実施中!  詳しくは番組HPまで  www.ntv.co.jp/yutori/</t>
  </si>
  <si>
    <t>茜(安藤サクラ)は結婚式を前に正和(岡田将生)に不安を口にする。不審に思った正和は早川(手塚とおる)との関係を尋ねると、茜は一夜を共にしたと告白。激しく動揺する正和。山路(松坂桃李)は性教育の授業を間近に控え悩んでいた。気付くと奈々江(石橋けい)とラブホテルに。まりぶ(柳楽優弥)は再び植木職人として働き、妻子が戻るのを待っている。結婚式当日、神社へ向かう途中で突然正和が逃げ出し…</t>
  </si>
  <si>
    <t>1601_NTV_水22</t>
  </si>
  <si>
    <t>ヒガンバナ</t>
  </si>
  <si>
    <t>番組名ヒガンバナ～警視庁捜査七課～第1話　殺害現場に残る真実の声</t>
  </si>
  <si>
    <t>堀北真希、檀れい、知英、高梨臨、YOU、DAIGO、市川知宏、木本武宏(TKO)、高橋惠子、平山浩行、佐野史郎、大地真央、ともさかりえ、関めぐみ、矢本悠馬、山中崇、小野ゆり子、山田明郷ほか海外からの要人を乗せた豪華客船に“爆破予告”が!さらに同じ日、女性雑誌編集者の遺体が発見される!殺害現場で、捜査一課の熱血刑事・雪乃(檀れい)は、口が悪く無愛想な刑事・渚(堀北真希)と出くわすが、渚は「うそつき」と呟いて気絶してしまい…。“事件現場に残された声”にシンクロ(同調)してしまう渚を中心とした、個性豊かな女刑事だけの捜査七課=通称ヒガンバナが、女性ならではの視点で2つの事件の真相に迫る!【演出】大谷太郎【脚本】徳永富彦【音楽】菅野祐悟【チーフプロデューサー】伊藤響　  【プロデューサー】鈴間広枝、尾上貴洋(AXON)、湯浅典子(AXON)</t>
  </si>
  <si>
    <t>海外からの要人を乗せた豪華客船に“爆破予告”が!さらに同じ日、女性雑誌編集者の遺体が発見される!殺害現場で、捜査一課の熱血刑事・雪乃(檀れい)は、口が悪く無愛想な刑事・渚(堀北真希)と出くわすが、渚は「うそつき」と呟いて気絶してしまい…。“事件現場に残された声”にシンクロ(同調)してしまう渚を中心とした、個性豊かな女刑事だけの捜査七課=通称ヒガンバナが、女性ならではの視点で2つの事件の真相に迫る!</t>
  </si>
  <si>
    <t>番組名ヒガンバナ～警視庁捜査七課～第2話　誘拐犯の謎の指令…!真の目的とは</t>
  </si>
  <si>
    <t>堀北真希、檀れい、知英、高梨臨、YOU、DAIGO、市川知宏、木本武宏(TKO)、高橋惠子、平山浩行、佐野史郎、大地真央  川栄李奈、山本未來、遠藤雄弥、桜井聖、片岡礼子ほか有名弁護士が誘拐され、犯人は身代金の受け渡しに被害者の娘で女子高生の可南(川栄李奈)を指名!渚(堀北真希)は代理で可南に扮し、身代金を運ぶことに!しかし犯人は次々と行先を変え、渚が街を右往左往する様子を女子高生向けの動画サイトで実況していて…!?何か隠しているような可南と、娘を捜査から遠ざけようとする母・由香里(山本未來)。2人を警備する雪乃(檀れい)も違和感を抱き…。はたして犯人の目的とは!?【演出】大谷太郎【脚本】池上純哉【音楽】菅野祐悟【チーフプロデューサー】伊藤響　  【プロデューサー】鈴間広枝、尾上貴洋(AXON)、湯浅典子(AXON)</t>
  </si>
  <si>
    <t>有名弁護士が誘拐され、犯人は身代金の受け渡しに被害者の娘で女子高生の可南(川栄李奈)を指名!渚(堀北真希)は代理で可南に扮し、身代金を運ぶことに!しかし犯人は次々と行先を変え、渚が街を右往左往する様子を女子高生向けの動画サイトで実況していて…!?何か隠しているような可南と、娘を捜査から遠ざけようとする母・由香里(山本未來)。2人を警備する雪乃(檀れい)も違和感を抱き…。はたして犯人の目的とは!?</t>
  </si>
  <si>
    <t>番組名ヒガンバナ～警視庁捜査七課～第3話</t>
  </si>
  <si>
    <t>堀北真希、檀れい、知英、高梨臨、YOU、DAIGO、市川知宏、木本武宏(TKO)、高橋惠子、平山浩行、佐野史郎、大地真央  紺野まひる　安藤玉恵　片桐仁　須田瑛斗　ほかカリスマ主婦ブロガー・早紀(紺野まひる)のサイン会で、彼女の本に殺害予告めいた脅迫文が見つかる。謙人(DAIGO)からの情報で、他にも5人のカリスマ主婦に同じ脅迫文が届いていることが判明。渚(堀北真希)たちが捜査を始めた矢先、その中の一人“いち葉”が遺体で発見される。しかし、彼女の正体は雅子(安藤玉恵)という質素な独身OLだった…!徐々に明らかになるカリスマ主婦たちの素顔とは…!?【演出】湯浅典子【脚本】松本美弥子【音楽】菅野祐悟【チーフプロデューサー】伊藤響　  【プロデューサー】鈴間広枝、尾上貴洋(AXON)、湯浅典子(AXON)</t>
  </si>
  <si>
    <t>カリスマ主婦ブロガー・早紀(紺野まひる)のサイン会で、彼女の本に殺害予告めいた脅迫文が見つかる。謙人(DAIGO)からの情報で、他にも5人のカリスマ主婦に同じ脅迫文が届いていることが判明。渚(堀北真希)たちが捜査を始めた矢先、その中の一人“いち葉”が遺体で発見される。しかし、彼女の正体は雅子(安藤玉恵)という質素な独身OLだった…!徐々に明らかになるカリスマ主婦たちの素顔とは…!?</t>
  </si>
  <si>
    <t>番組名ヒガンバナ～警視庁捜査七課～第4話　愛の悲劇…女性科学者が謎の爆死!</t>
  </si>
  <si>
    <t>堀北真希、檀れい、知英、高梨臨、YOU、DAIGO、市川知宏、木本武宏(TKO)、高橋惠子、平山浩行、佐野史郎、大地真央、  萩原聖人、中原丈雄、月船さらら、西山繭子、渋江譲二、ほかある公園の池で女性科学者・曜子(月船さらら)が爆死する。現場でシンクロした渚(堀北真希)は、異様にお金に執着する人物の声を聴く。渚と雪乃(檀れい)は、曜子の勤務先「先端科学研究所」に聞き込みに訪れる。そこで雪乃は研究員・三岡(萩原聖人)と出会い、恋してしまう。一方、曜子の派手な男性関係から教授(中原丈雄)や結婚詐欺師(渋江譲二)など次々と容疑者が浮上!果たして事件の真相と、雪乃の恋の行方は…!?【演出】松永洋一【脚本】荒井修子【音楽】菅野祐悟【チーフプロデューサー】伊藤響　  【プロデューサー】鈴間広枝、尾上貴洋(AXON)、湯浅典子(AXON)</t>
  </si>
  <si>
    <t>ある公園の池で女性科学者・曜子(月船さらら)が爆死する。現場でシンクロした渚(堀北真希)は、異様にお金に執着する人物の声を聴く。渚と雪乃(檀れい)は、曜子の勤務先「先端科学研究所」に聞き込みに訪れる。そこで雪乃は研究員・三岡(萩原聖人)と出会い、恋してしまう。一方、曜子の派手な男性関係から教授(中原丈雄)や結婚詐欺師(渋江譲二)など次々と容疑者が浮上!果たして事件の真相と、雪乃の恋の行方は…!?</t>
  </si>
  <si>
    <t>番組名ヒガンバナ～警視庁捜査七課～第5話　嫉妬と羨望…天才バレリーナの悲劇</t>
  </si>
  <si>
    <t>堀北真希、檀れい、知英、高梨臨、YOU、DAIGO、市川知宏、木本武宏(TKO)、高橋惠子、平山浩行、佐野史郎、大地真央、  マイコ　尾中琴美　秋月成美　田原可南子　小宮有紗　ミスターちん　酒井美紀　ほか薫子(知英)の妹・透子(尾中琴美)は名門バレエ団の附属高校に通う天才バレリーナ。教師の英里子(マイコ)に発表会の主役に抜擢され、親友の美月(田原可南子)やまどか(秋月成美)も大喜び。しかし発表会当日の朝、校内のレッスンスタジオで透子は意識不明の重体で発見される。しかもスタジオには外側からは鍵がかけられており…。捜査を始めた渚(堀北真希)は、嫉妬と羨望渦巻くバレエの世界の実情を目の当たりにしていく。【演出】石尾純【脚本】本田隆朗【音楽】菅野祐悟【チーフプロデューサー】伊藤響　  【プロデューサー】鈴間広枝、尾上貴洋(AXON)、湯浅典子(AXON)</t>
  </si>
  <si>
    <t>薫子(知英)の妹・透子(尾中琴美)は名門バレエ団の附属高校に通う天才バレリーナ。教師の英里子(マイコ)に発表会の主役に抜擢され、親友の美月(田原可南子)やまどか(秋月成美)も大喜び。しかし発表会当日の朝、校内のレッスンスタジオで透子は意識不明の重体で発見される。しかもスタジオには外側からは鍵がかけられており…。捜査を始めた渚(堀北真希)は、嫉妬と羨望渦巻くバレエの世界の実情を目の当たりにしていく。</t>
  </si>
  <si>
    <t>番組名ヒガンバナ～警視庁捜査七課～第6話　明かされる秘密!父を殺した男の謎</t>
  </si>
  <si>
    <t>堀北真希、檀れい、知英、高梨臨、YOU、DAIGO、市川知宏、木本武宏(TKO)、高橋惠子、平山浩行、佐野史郎、大地真央、浅野和之　酒井美紀　ほか火事の現場から発見された遺体は20年前、渚(堀北真希)の父を殺害した犯人・狩野(浅野和之)だった!火災で緊急搬送された家主の女性・夏子(酒井美紀)は意識不明の重体のまま、事件の謎が深まる中、事件当日、現場を訪れていた男を捉えた防犯カメラ映像が発見される。そこに映っていたのは謙人(DAIGO)だった…!謙人と渚の数奇な運命が明かされる!日ドラから火村と有栖が登場!クイズ正解で豪華プレゼントをGET!【演出】大谷太郎【脚本】池上純哉【音楽】菅野祐悟【チーフプロデューサー】伊藤響　  【プロデューサー】鈴間広枝、尾上貴洋(AXON)、湯浅典子(AXON)</t>
  </si>
  <si>
    <t>火事の現場から発見された遺体は20年前、渚(堀北真希)の父を殺害した犯人・狩野(浅野和之)だった!火災で緊急搬送された家主の女性・夏子(酒井美紀)は意識不明の重体のまま、事件の謎が深まる中、事件当日、現場を訪れていた男を捉えた防犯カメラ映像が発見される。そこに映っていたのは謙人(DAIGO)だった…!謙人と渚の数奇な運命が明かされる!日ドラから火村と有栖が登場!クイズ正解で豪華プレゼントをGET!</t>
  </si>
  <si>
    <t>番組名ヒガンバナ～警視庁捜査七課～第7話　宿命の2人…明かされる衝撃の真実</t>
  </si>
  <si>
    <t>堀北真希、檀れい、知英、高梨臨、YOU、DAIGO、市川知宏、木本武宏(TKO)、高橋惠子、平山浩行、佐野史郎、大地真央、浅野和之　酒井美紀　篠田光亮　江口のりこ　川島鈴遥　ほか腹を刺されたまま車を運転していた謙人(DAIGO)が事故を起こす。相手の車には中学教師・浜岡(篠田光亮)の遺体が…。しかし浜岡の死因は事故ではなく殺人で、運転手が逃走していたと判明!浜岡を殺し、遺体を運んでいたのは誰なのか?この事件の真相が渚(堀北真希)と謙人の数奇な運命を紐解くカギとなる!あの日、何が起こったのか…殺人犯の息子と被害者の娘…20年の時を越え、再び出会ってしまった2人の宿命とは!?【演出】松永洋一【脚本】池上純哉【音楽】菅野祐悟【チーフプロデューサー】伊藤響　  【プロデューサー】鈴間広枝、尾上貴洋(AXON)、湯浅典子(AXON)</t>
  </si>
  <si>
    <t>腹を刺されたまま車を運転していた謙人(DAIGO)が事故を起こす。相手の車には中学教師・浜岡(篠田光亮)の遺体が…。しかし浜岡の死因は事故ではなく殺人で、運転手が逃走していたと判明!浜岡を殺し、遺体を運んでいたのは誰なのか?この事件の真相が渚(堀北真希)と謙人の数奇な運命を紐解くカギとなる!あの日、何が起こったのか…殺人犯の息子と被害者の娘…20年の時を越え、再び出会ってしまった2人の宿命とは!?</t>
  </si>
  <si>
    <t>番組名ヒガンバナ～警視庁捜査七課～第8話　仲間が逮捕!?殺された暴行犯の謎</t>
  </si>
  <si>
    <t>堀北真希、檀れい、知英、高梨臨、YOU、DAIGO、市川知宏、木本武宏(TKO)、高橋惠子、平山浩行、佐野史郎、大地真央、堀部圭亮　小篠恵奈　淵上泰史　ラサール石井　ほか凛(高梨臨)が捜査一課に連行される。会社員・郷田(淵上泰史)が自宅で刺殺体となって見つかり、その殺人容疑がかかったのだ。取り調べを受ける凛は事件への関与を否定せず、疑いが深まるばかり。渚(堀北真希)たちは凛のために捜査に乗り出すが、すみれ(大地真央)から郷田は3年前に起きた婦女暴行未遂事件の犯人であり、凛はその被害者だと聞かされ…。復讐のためか、それとも!?何も語らない凛が胸に秘めた思いとは…!?【演出】大谷太郎【脚本】松本美弥子【音楽】菅野祐悟【チーフプロデューサー】伊藤響　  【プロデューサー】鈴間広枝、尾上貴洋(AXON)、湯浅典子(AXON)</t>
  </si>
  <si>
    <t>凛(高梨臨)が捜査一課に連行される。会社員・郷田(淵上泰史)が自宅で刺殺体となって見つかり、その殺人容疑がかかったのだ。取り調べを受ける凛は事件への関与を否定せず、疑いが深まるばかり。渚(堀北真希)たちは凛のために捜査に乗り出すが、すみれ(大地真央)から郷田は3年前に起きた婦女暴行未遂事件の犯人であり、凛はその被害者だと聞かされ…。復讐のためか、それとも!?何も語らない凛が胸に秘めた思いとは…!?</t>
  </si>
  <si>
    <t>番組名ヒガンバナ～警視庁捜査七課～第9話　資産家殺害!犯人は家政婦か娘か?</t>
  </si>
  <si>
    <t>堀北真希、檀れい、知英、高梨臨、YOU、DAIGO、市川知宏、木本武宏(TKO)、高橋惠子、平山浩行、佐野史郎、大地真央、斉藤由貴　ダンカン　新妻聖子　山中聡　ほか資産10億という老人宅に強盗が入り、老人は人工呼吸器が外されて死亡した。現場にいた家政婦の晴子(斉藤由貴)の証言から、老人の娘を名乗る優香(新妻聖子)と弁護士の道重(山中聡)への疑いが深まっていく。しかし、渚(堀北真希)は晴子が所属する人材派遣会社の社長・海原(ダンカン)に違和感を抱く。彼は警察OBで…。同じ頃、先輩刑事の不審死について調べていた雪乃(檀れい)は、その裏に女の影があると知って…!?【演出】松永洋一【脚本】池上純哉【音楽】菅野祐悟【チーフプロデューサー】伊藤響　  【プロデューサー】鈴間広枝、尾上貴洋(AXON)、湯浅典子(AXON)</t>
  </si>
  <si>
    <t>資産10億という老人宅に強盗が入り、老人は人工呼吸器が外されて死亡した。現場にいた家政婦の晴子(斉藤由貴)の証言から、老人の娘を名乗る優香(新妻聖子)と弁護士の道重(山中聡)への疑いが深まっていく。しかし、渚(堀北真希)は晴子が所属する人材派遣会社の社長・海原(ダンカン)に違和感を抱く。彼は警察OBで…。同じ頃、先輩刑事の不審死について調べていた雪乃(檀れい)は、その裏に女の影があると知って…!?</t>
  </si>
  <si>
    <t>番組名ヒガンバナ～警視庁捜査七課～　チーム解散!?最後の敵は最強の毒婦!第10話</t>
  </si>
  <si>
    <t>堀北真希、檀れい、知英、高梨臨、YOU、DAIGO、市川知宏、木本武宏(TKO)、高橋惠子、平山浩行、佐野史郎、大地真央、斉藤由貴　ダンカン　寺泉憲　飯田基祐　池津祥子　山中聡　新妻聖子ほか資産家殺しの捜査を進める渚(堀北真希)たちは、複数の孤独な男性がある家政婦と懇意になり、次々と不審死を遂げていることを突き止める。その家政婦・晴子(斉藤由貴)と彼女を男たちのもとへ派遣する会社社長(ダンカン)に迫るも、警視庁上層部からの圧力で捜査を妨害される七課。実はその裏には、課長のすみれ(大地真央)も関係する警察のある不祥事が…!果たして七課の面々は、すみれと組織の圧力にどう立ち向かうのか!?【演出】大谷太郎【脚本】池上純哉【音楽】菅野祐悟【チーフプロデューサー】伊藤響　  【プロデューサー】鈴間広枝、尾上貴洋(AXON)、湯浅典子(AXON)</t>
  </si>
  <si>
    <t>資産家殺しの捜査を進める渚(堀北真希)たちは、複数の孤独な男性がある家政婦と懇意になり、次々と不審死を遂げていることを突き止める。その家政婦・晴子(斉藤由貴)と彼女を男たちのもとへ派遣する会社社長(ダンカン)に迫るも、警視庁上層部からの圧力で捜査を妨害される七課。実はその裏には、課長のすみれ(大地真央)も関係する警察のある不祥事が…!果たして七課の面々は、すみれと組織の圧力にどう立ち向かうのか!?</t>
  </si>
  <si>
    <t>1601_NTV_木23</t>
  </si>
  <si>
    <t>マネーの天使</t>
  </si>
  <si>
    <t>番組名木曜ドラマ『マネーの天使～あなたのお金、取り戻します!～』第1話</t>
  </si>
  <si>
    <t>小籔千豊(吉本新喜劇)、片瀬那奈  葵わかな、矢倉楓子(NMB48)、藤田みりあ(フェアリーズ)  中野公美子、永瀬匡  竹中直人  【第1話ゲスト】緋田康人、梅沢富美男、中川パラダイス(ウーマンラッシュアワー)(他)【第1話】  ゼニのまち、大阪。無職の竹内茂(小籔千豊)は、偶然、宝田富一(緋田康人)に出くわす。宝田は、茂が働いていた工場の社長だった。茂は、当時の給料に未払い分があったことを思い出し、請求するが、シラを切られた上、相談した弁護士の殿村賢一郎(竹中直人)に見放されてしまう。打つ手のなくなった茂の前に、栗原理佐(片瀬那奈)というメキシコ料理店の店長だという女性が現れ……MONACA  【主題歌】  「Rockstar」原駅ステージA【脚本】  森ハヤシ  【演出】  長江俊和【番組公式サイト】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　(一部地域を除く)</t>
  </si>
  <si>
    <t>小籔千豊(吉本新喜劇)、片瀬那奈  葵わかな、矢倉楓子(NMB48)、藤田みりあ(フェアリーズ)  中野公美子、永瀬匡  竹中直人  【第1話ゲスト】緋田康人、梅沢富美男、中川パラダイス(ウーマンラッシュアワー)(他)【第1話】  ゼニのまち、大阪。無職の竹内茂(小籔千豊)は、偶然、宝田富一(緋田康人)に出くわす。宝田は、茂が働いていた工場の社長だった。茂は、当時の給料に未払い分があったことを思い出し、請求するが、シラを切られた上、相談した弁護士の殿村賢一郎(竹中直人)に見放されてしまう。打つ手のなくなった茂の前に、栗原理佐(片瀬那奈)というメキシコ料理店の店長だという女性が現れ……</t>
  </si>
  <si>
    <t>番組名木曜ドラマ『マネーの天使』第2話～最低!ヒモ男から貢いだ金を取り戻せ!!</t>
  </si>
  <si>
    <t>小籔千豊(吉本新喜劇)、片瀬那奈  葵わかな、矢倉楓子(NMB48)、藤田みりあ(フェアリーズ)  中野公美子、永瀬匡  竹中直人  【第2話ゲスト】星野真里、忍成修吾(他)【第2話】  山名美優(星野真里)は、同棲していた綱島龍治(忍成修吾)に浮気をされ、別れを決意。これまで貢いだお金を取り返したいと思うが、相手は、お金も仕事も持たないヒモ男。回収しようにも回収する手立てがない。その美優に、栗原理佐(片瀬那奈)と菅原円(葵わかな)がある方法を提案するが……MONACA  【主題歌】「Rockstar」原駅ステージA【脚本】森ハヤシ  【演出】長江俊和【番組公式サイト】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　(一部地域を除く)</t>
  </si>
  <si>
    <t>小籔千豊(吉本新喜劇)、片瀬那奈  葵わかな、矢倉楓子(NMB48)、藤田みりあ(フェアリーズ)  中野公美子、永瀬匡  竹中直人  【第2話ゲスト】星野真里、忍成修吾(他)【第2話】  山名美優(星野真里)は、同棲していた綱島龍治(忍成修吾)に浮気をされ、別れを決意。これまで貢いだお金を取り返したいと思うが、相手は、お金も仕事も持たないヒモ男。回収しようにも回収する手立てがない。その美優に、栗原理佐(片瀬那奈)と菅原円(葵わかな)がある方法を提案するが……</t>
  </si>
  <si>
    <t>番組名木曜ドラマ『マネーの天使』第3話～悪質!婚活マンション詐欺!!</t>
  </si>
  <si>
    <t>小籔千豊(吉本新喜劇)、片瀬那奈  葵わかな、矢倉楓子(NMB48)、藤田みりあ(フェアリーズ)  中野公美子、永瀬匡  竹中直人  【第3話ゲスト】黒川智花、牧田哲也、チングポカ、冨家規政(他)【第3話】  白井美佳(黒川智花)という女性と結婚を前提に付き合っていたが、マンションを購入した途端、別れを切り出され、音信不通になったという男性が現れた。彼は婚活詐欺にあったと気付くが、もはやマンションを解約することもできない。相談を受けた栗原理佐(片瀬那奈)は、竹内茂(小籔千豊)をおとりに、詐欺の実態を探り始めるが……MONACA  【主題歌】  「Rockstar」原駅ステージA【脚本】  川嶋澄乃  【演出】  川野浩司【番組公式サイト】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　(一部地域を除く)</t>
  </si>
  <si>
    <t>小籔千豊(吉本新喜劇)、片瀬那奈  葵わかな、矢倉楓子(NMB48)、藤田みりあ(フェアリーズ)  中野公美子、永瀬匡  竹中直人  【第3話ゲスト】黒川智花、牧田哲也、チングポカ、冨家規政(他)【第3話】  白井美佳(黒川智花)という女性と結婚を前提に付き合っていたが、マンションを購入した途端、別れを切り出され、音信不通になったという男性が現れた。彼は婚活詐欺にあったと気付くが、もはやマンションを解約することもできない。相談を受けた栗原理佐(片瀬那奈)は、竹内茂(小籔千豊)をおとりに、詐欺の実態を探り始めるが……</t>
  </si>
  <si>
    <t>番組名木曜ドラマ『マネーの天使』第4話～泥沼!借金を踏み倒すセレブなママ友</t>
  </si>
  <si>
    <t>小籔千豊(吉本新喜劇)、片瀬那奈  葵わかな、矢倉楓子(NMB48)、藤田みりあ(フェアリーズ)  中野公美子、永瀬匡  竹中直人  【第4話ゲスト】酒井美紀、佐藤仁美(他)【第4話】  足立由佳(酒井美紀)は、ママ友の高村法子(佐藤仁美)から、たびたびランチ代やイベント代の立て替えを頼まれ、気付けば貸したお金は20万円もの金額になっていた。由佳はお金を返してほしいと法子に言うが、法子は裕福な家庭であるにも関わらず、一向に返すそぶりを見せない。由佳に相談を受けた栗原理佐(片瀬那奈)らが仲裁に乗り出すが……MONACA  【主題歌】「Rockstar」原駅ステージA【脚本】大前智里  【演出】堀江慶【番組公式サイト】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t>
  </si>
  <si>
    <t>小籔千豊(吉本新喜劇)、片瀬那奈  葵わかな、矢倉楓子(NMB48)、藤田みりあ(フェアリーズ)  中野公美子、永瀬匡  竹中直人  【第4話ゲスト】酒井美紀、佐藤仁美(他)【第4話】  足立由佳(酒井美紀)は、ママ友の高村法子(佐藤仁美)から、たびたびランチ代やイベント代の立て替えを頼まれ、気付けば貸したお金は20万円もの金額になっていた。由佳はお金を返してほしいと法子に言うが、法子は裕福な家庭であるにも関わらず、一向に返すそぶりを見せない。由佳に相談を受けた栗原理佐(片瀬那奈)らが仲裁に乗り出すが……</t>
  </si>
  <si>
    <t>番組名木曜ドラマ『マネーの天使』第5話～衝撃の手口!高齢者ねらう悪質訪問販売</t>
  </si>
  <si>
    <t>小籔千豊(吉本新喜劇)、片瀬那奈  葵わかな、矢倉楓子(NMB48)、藤田みりあ(フェアリーズ)  中野公美子、永瀬匡  竹中直人  【第5話ゲスト】藤田弓子、大路恵美、村杉蝉之介、村松利史(他)【第5話】  一人暮らしのお年寄り、柿沼サダ(藤田弓子)は悪質な訪問販売に騙され、何度も不要な商品を買わされてしまう。サダの家政婦、真野杏奈(大路恵美)から相談を受けた栗原理佐(片瀬那奈)と菅原円(葵わかな)は、訪問販売員の正体をつかもうと、竹内茂(小籔千豊)をサダの家へ潜入させるが……MONACA  【主題歌】「Rockstar」原駅ステージA【脚本】森ハヤシ  【演出】島崎敏樹【番組公式サイト】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t>
  </si>
  <si>
    <t>小籔千豊(吉本新喜劇)、片瀬那奈  葵わかな、矢倉楓子(NMB48)、藤田みりあ(フェアリーズ)  中野公美子、永瀬匡  竹中直人  【第5話ゲスト】藤田弓子、大路恵美、村杉蝉之介、村松利史(他)【第5話】  一人暮らしのお年寄り、柿沼サダ(藤田弓子)は悪質な訪問販売に騙され、何度も不要な商品を買わされてしまう。サダの家政婦、真野杏奈(大路恵美)から相談を受けた栗原理佐(片瀬那奈)と菅原円(葵わかな)は、訪問販売員の正体をつかもうと、竹内茂(小籔千豊)をサダの家へ潜入させるが……</t>
  </si>
  <si>
    <t>番組名木曜ドラマ『マネーの天使』第6話～元夫はゲスの極み!養育費を回収せよ!!</t>
  </si>
  <si>
    <t>小籔千豊(吉本新喜劇)、片瀬那奈  葵わかな、矢倉楓子(NMB48)、藤田みりあ(フェアリーズ)  中野公美子、永瀬匡  竹中直人  【第6話ゲスト】馬渕英里何、松田洋昌(ハイキングウォーキング)、村松怜、遼河はるひ(他)【第6話】  シングルマザーの伊沢志織(馬渕英里何)は、息子の勇樹(村松怜)を抱え、パートをクビになり困っていた。別れた夫から約束していた養育費も振り込まれず、連絡も取れずにいた。だが栗原理佐(片瀬那奈)たちの調査で、その夫がフィットネススタジオの社長兼インストラクターとして成功していることがわかり……MONACA  【主題歌】  「Rockstar」原駅ステージA【脚本】  川嶋澄乃  【演出】  島崎敏樹【番組公式サイト】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t>
  </si>
  <si>
    <t>小籔千豊(吉本新喜劇)、片瀬那奈  葵わかな、矢倉楓子(NMB48)、藤田みりあ(フェアリーズ)  中野公美子、永瀬匡  竹中直人  【第6話ゲスト】馬渕英里何、松田洋昌(ハイキングウォーキング)、村松怜、遼河はるひ(他)【第6話】  シングルマザーの伊沢志織(馬渕英里何)は、息子の勇樹(村松怜)を抱え、パートをクビになり困っていた。別れた夫から約束していた養育費も振り込まれず、連絡も取れずにいた。だが栗原理佐(片瀬那奈)たちの調査で、その夫がフィットネススタジオの社長兼インストラクターとして成功していることがわかり……</t>
  </si>
  <si>
    <t>番組名木曜ドラマ『マネーの天使』第7話～ギャラ未払い…お笑い芸能事務所を救え!</t>
  </si>
  <si>
    <t>小籔千豊(吉本新喜劇)、片瀬那奈  葵わかな、矢倉楓子(NMB48)、藤田みりあ(フェアリーズ)  中野公美子、永瀬匡  竹中直人  【第7話ゲスト】角替和枝、岩尾望(フットボールアワー)、松尾諭、藤原光博(リットン調査団)、木村祐一、天龍源一郎、水橋研二、斎藤洋介(他)【第7話】  小さな芸能事務所の社長、近石みゆき(角替和枝)は、所属のお笑いコンビ、富田(岩尾望)と織田(松尾諭)に、あるパーティで漫才を披露させたが、主催者から「ネタが面白くないからギャラは払わない」と言われてしまう。一方、もう一人の所属芸人、マネー樋口(藤原光博)は、得体のしれない大金を手にしていて…。問題山積みの近石は、栗原理佐(片瀬那奈)らに解決を依頼するが……MONACA  【主題歌】「Rockstar」原駅ステージA【脚本】久馬歩  【演出】川野浩司【番組公式サイト】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@maneten.ytv★ドラマ放送中、特製グッズが当たる「マネーの天使」クイズ実施中!くわしくはリモコンのdボタンを押してね!!(一部地域を除く)</t>
  </si>
  <si>
    <t>小籔千豊(吉本新喜劇)、片瀬那奈  葵わかな、矢倉楓子(NMB48)、藤田みりあ(フェアリーズ)  中野公美子、永瀬匡  竹中直人  【第7話ゲスト】角替和枝、岩尾望(フットボールアワー)、松尾諭、藤原光博(リットン調査団)、木村祐一、天龍源一郎、水橋研二、斎藤洋介(他)【第7話】  小さな芸能事務所の社長、近石みゆき(角替和枝)は、所属のお笑いコンビ、富田(岩尾望)と織田(松尾諭)に、あるパーティで漫才を披露させたが、主催者から「ネタが面白くないからギャラは払わない」と言われてしまう。一方、もう一人の所属芸人、マネー樋口(藤原光博)は、得体のしれない大金を手にしていて…。問題山積みの近石は、栗原理佐(片瀬那奈)らに解決を依頼するが……</t>
  </si>
  <si>
    <t>番組名木曜ドラマ『マネーの天使』第8話～浪費妻の正体は…結婚してから詐欺!?</t>
  </si>
  <si>
    <t>小籔千豊(吉本新喜劇)、片瀬那奈  葵わかな、矢倉楓子(NMB48)、藤田みりあ(フェアリーズ)  中野公美子、永瀬匡  竹中直人  【第8話ゲスト】皆川猿時、原幹恵(他)【第8話】  魚住貞雄(皆川猿時)は妻・町子(原幹恵)の浪費癖に困っていた。結婚前から貯めていた1000万円もの貯金も、町子がすっかり使い果たしてしまい、困った貞雄は、竹内茂(小籔千豊)や栗原理佐(片瀬那奈)のもとへ駆け込む。だが解決を図るうちに、思わぬ事情が発覚し……MONACA  【主題歌】  「Rockstar」原駅ステージA【脚本】  森ハヤシ  【演出】  川野浩司【番組公式サイト】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t>
  </si>
  <si>
    <t>小籔千豊(吉本新喜劇)、片瀬那奈  葵わかな、矢倉楓子(NMB48)、藤田みりあ(フェアリーズ)  中野公美子、永瀬匡  竹中直人  【第8話ゲスト】皆川猿時、原幹恵(他)【第8話】  魚住貞雄(皆川猿時)は妻・町子(原幹恵)の浪費癖に困っていた。結婚前から貯めていた1000万円もの貯金も、町子がすっかり使い果たしてしまい、困った貞雄は、竹内茂(小籔千豊)や栗原理佐(片瀬那奈)のもとへ駆け込む。だが解決を図るうちに、思わぬ事情が発覚し……</t>
  </si>
  <si>
    <t>番組名木曜ドラマ『マネーの天使』第9話～修羅場!3姉妹のドロドロ遺産相続</t>
  </si>
  <si>
    <t>小籔千豊(吉本新喜劇)、片瀬那奈  葵わかな、矢倉楓子(NMB48)、藤田みりあ(フェアリーズ)  中野公美子、永瀬匡  竹中直人  【第9話ゲスト】芳本美代子、久世星佳、平田薫、今別府直之(吉本新喜劇)、太田芳伸(吉本新喜劇)(他)【第9話】  仲川百合(芳本美代子)の父が亡くなった。姉の茜(久世星佳)は早速、父のお好み焼き屋と家を売り払って、遺産を折半しようと言い出すが、店を守りたい百合は茜の提案が受け入れられない。しかも姉妹にはもう一人、行方不明の妹、えりか(平田薫)がおり、事態は骨肉の争いに発展する……MONACA  【主題歌】  「Rockstar」原駅ステージA【脚本】  川嶋澄乃  【演出】  亀谷英司【番組公式サイト】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@maneten.ytv★ドラマ放送中、特製グッズが当たる「マネーの天使」クイズ実施中!くわしくはリモコンのdボタンを押してね!!(一部地域を除く)</t>
  </si>
  <si>
    <t>小籔千豊(吉本新喜劇)、片瀬那奈  葵わかな、矢倉楓子(NMB48)、藤田みりあ(フェアリーズ)  中野公美子、永瀬匡  竹中直人  【第9話ゲスト】芳本美代子、久世星佳、平田薫、今別府直之(吉本新喜劇)、太田芳伸(吉本新喜劇)(他)【第9話】  仲川百合(芳本美代子)の父が亡くなった。姉の茜(久世星佳)は早速、父のお好み焼き屋と家を売り払って、遺産を折半しようと言い出すが、店を守りたい百合は茜の提案が受け入れられない。しかも姉妹にはもう一人、行方不明の妹、えりか(平田薫)がおり、事態は骨肉の争いに発展する……</t>
  </si>
  <si>
    <t>番組名木曜ドラマ『マネーの天使』第10話～悪質!ブラックエステと遺恨バトル!!</t>
  </si>
  <si>
    <t>小籔千豊(吉本新喜劇)、片瀬那奈  葵わかな、矢倉楓子(NMB48)、藤田みりあ(フェアリーズ)  中野公美子、永瀬匡  竹中直人  【第10話ゲスト】山崎静代(南海キャンディーズ)、滝沢沙織、池畑慎之介、石橋穂乃香、ちすん(他)【第10話】  本庄咲良(山崎静代)は、痩せたい一心でエステに通うが、行くたびに大量の化粧品などを買わされていた。栗原理佐(片瀬那奈)と菅原円(葵わかな)は、エステ側の説明に虚偽があったとして解約を促すが、そこに、エステティシャンという武蔵川華子(藤田みりあ)の姉が現れ……MONACA  【主題歌】「Rockstar」原駅ステージA【脚本】森ハヤシ  【演出】堀江慶【番組公式サイト】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t>
  </si>
  <si>
    <t>小籔千豊(吉本新喜劇)、片瀬那奈  葵わかな、矢倉楓子(NMB48)、藤田みりあ(フェアリーズ)  中野公美子、永瀬匡  竹中直人  【第10話ゲスト】山崎静代(南海キャンディーズ)、滝沢沙織、池畑慎之介、石橋穂乃香、ちすん(他)【第10話】  本庄咲良(山崎静代)は、痩せたい一心でエステに通うが、行くたびに大量の化粧品などを買わされていた。栗原理佐(片瀬那奈)と菅原円(葵わかな)は、エステ側の説明に虚偽があったとして解約を促すが、そこに、エステティシャンという武蔵川華子(藤田みりあ)の姉が現れ……</t>
  </si>
  <si>
    <t>番組名木曜ドラマ『マネーの天使』第11話～ブラック芸能事務所とギャラバトル!!</t>
  </si>
  <si>
    <t>小籔千豊(吉本新喜劇)、片瀬那奈  葵わかな、矢倉楓子(NMB48)、藤田みりあ(フェアリーズ)  中野公美子、永瀬匡  竹中直人  【第11話ゲスト】植野行雄(デニス)、佐戸井けん太、鈴木勝大、上遠野太洸、粟島瑞丸、我善導、徳井健太、川畑泰史(他)【第11話】  ピン芸人のガルシア(植野行雄)は、外国人であることを理由にギャラは後輩芸人の半分にされ、お笑いコンテストに優勝しても賞金ももらえずにいた。栗原理佐(片瀬那奈)らは、事務所の実態調査に竹内茂(小籔千豊)を派遣し、解決しようとするが……MONACA  【主題歌】「Rockstar」原駅ステージA【脚本】久馬歩  【演出】川野浩司【番組公式サイト】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t>
  </si>
  <si>
    <t>小籔千豊(吉本新喜劇)、片瀬那奈  葵わかな、矢倉楓子(NMB48)、藤田みりあ(フェアリーズ)  中野公美子、永瀬匡  竹中直人  【第11話ゲスト】植野行雄(デニス)、佐戸井けん太、鈴木勝大、上遠野太洸、粟島瑞丸、我善導、徳井健太、川畑泰史(他)【第11話】  ピン芸人のガルシア(植野行雄)は、外国人であることを理由にギャラは後輩芸人の半分にされ、お笑いコンテストに優勝しても賞金ももらえずにいた。栗原理佐(片瀬那奈)らは、事務所の実態調査に竹内茂(小籔千豊)を派遣し、解決しようとするが……</t>
  </si>
  <si>
    <t>番組名【最終話】木曜ドラマ『マネーの天使』～超ブラック企業を撃退せよ!</t>
  </si>
  <si>
    <t>小籔千豊(吉本新喜劇)、片瀬那奈  葵わかな、矢倉楓子(NMB48)、藤田みりあ(フェアリーズ)  中野公美子、永瀬匡  竹中直人  【最終話ゲスト】宮川一朗太、袴田吉彦、酒井敏也(他)【最終話】  大手企業に就職することになった茂(小籔千豊)。だがそこは、社長の息子、黒沼誠(宮川一朗太)のパワハラが横行するブラック企業だった。茂は、パワハラを指摘したため、解雇を言い渡され、会社から訴えられる羽目になる。一方、理佐(片瀬那奈)の金銭トラブル相談窓口には、閉鎖の危機が迫り……MONACA  【主題歌】  「Rockstar」原駅ステージA【脚本】  森ハヤシ  【演出】  長江俊和【番組公式サイト】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@maneten.ytv★ドラマ放送中、特製グッズが当たる「マネーの天使」クイズ実施中!くわしくはリモコンのdボタンを押してね!!(※一部地域を除く)</t>
  </si>
  <si>
    <t>小籔千豊(吉本新喜劇)、片瀬那奈  葵わかな、矢倉楓子(NMB48)、藤田みりあ(フェアリーズ)  中野公美子、永瀬匡  竹中直人  【最終話ゲスト】宮川一朗太、袴田吉彦、酒井敏也(他)【最終話】  大手企業に就職することになった茂(小籔千豊)。だがそこは、社長の息子、黒沼誠(宮川一朗太)のパワハラが横行するブラック企業だった。茂は、パワハラを指摘したため、解雇を言い渡され、会社から訴えられる羽目になる。一方、理佐(片瀬那奈)の金銭トラブル相談窓口には、閉鎖の危機が迫り……</t>
  </si>
  <si>
    <t>1601_NTV_日22</t>
  </si>
  <si>
    <t>火村英生の推理</t>
  </si>
  <si>
    <t>番組名臨床犯罪学者　火村英生の推理【斎藤工&amp;窪田正孝　奇跡のバディ誕生!】#1</t>
  </si>
  <si>
    <t>【レギュラー】  斎藤工、窪田正孝、優香、山本美月、マキタスポーツ、清水一希、堀口ひかる、松永渚、小野寺晃良、松澤一之、長谷川京子、生瀬勝久、夏木マリ  【第1話ゲスト】  戸次重幸、音尾琢真、入山法子、高杉真宙、松尾諭犯罪学者・火村英生(斎藤工)と推理作家・有栖川有栖(窪田正孝)は、警察に協力して数々の難事件を解決してきた。若い女性を狙った連続通り魔事件が発生し、手口が「絶叫城」という人気ゲームを模倣していた為、世間は震撼。捜査が混迷する中、遂に第4の犠牲者が。遺族との面会にも傍若無人な姿勢で臨む火村に、捜査一課の小野(優香)や鍋島(生瀬勝久)も驚きを隠せない。だが火村は衝撃的な事実を突き止め…。【演出】佐久間紀佳  【プロデューサー】戸田一也、小泉守、松山雅則【原作】有栖川有栖「火村英生」シリーズ  【脚本】マギー【主題歌】EDGE　of　LIFE「Selfy　Trick」  【音楽】井筒昭雄【撮影の裏側が見られる!?360度カメラクイズ】  【データ放送OAクイズ】  番組出演者サイン入りグッズなどレア商品が当たる!いずれも詳しくは番組HPへ。  www.ntv.co.jp/himura</t>
  </si>
  <si>
    <t>犯罪学者・火村英生(斎藤工)と推理作家・有栖川有栖(窪田正孝)は、警察に協力して数々の難事件を解決してきた。若い女性を狙った連続通り魔事件が発生し、手口が「絶叫城」という人気ゲームを模倣していた為、世間は震撼。捜査が混迷する中、遂に第4の犠牲者が。遺族との面会にも傍若無人な姿勢で臨む火村に、捜査一課の小野(優香)や鍋島(生瀬勝久)も驚きを隠せない。だが火村は衝撃的な事実を突き止め…。</t>
  </si>
  <si>
    <t>番組名臨床犯罪学者　火村英生の推理【斎藤工&amp;窪田正孝　怪奇!謎の透明人間?】♯02</t>
  </si>
  <si>
    <t>【レギュラー】斎藤工、窪田正孝、優香、山本美月、マキタスポーツ、清水一希、堀口ひかる、松永渚、小野寺晃良、松澤一之、長谷川京子、生瀬勝久、夏木マリ　ほか  【第二話ゲスト】吉沢亮、佐野岳山間の温泉旅館で執筆をすることになった有栖川有栖(窪田正孝)は、顔全体を包帯で巻いた不気味な宿泊客と遭遇。宿の面々が「透明人間?」と噂したその男の部屋で、翌朝、絞殺された男性遺体が発見される。包帯男逃走の目撃情報から有栖も容疑者として事情聴取される窮地に。そんな最中、颯爽と火村英生(斎藤工)が登場。捜査線上に相羽(佐野岳)と幡多(吉沢亮)という大学生が浮かび上がる。謎の包帯男、そして事件の真相は?【演出】佐久間紀佳  【プロデューサー】戸田一也、小泉守、松山雅則【脚本】マギー  【原作】有栖川有栖(KADOKAWA、講談社、光文社、新潮社、文藝春秋、徳間書店、幻冬舎)【主題歌】EDGE　of　LIFE「Selfy　Trick」(avex　trax)  【音楽】井筒昭雄【制作協力】トータルメディアコミュニケーション  【製作著作】日本テレビ【撮影の裏側が見られる!?360度カメラOAクイズ】  【データ放送OAクイズ】  サイン入りグッズなどレア賞品が当たる!いずれもリアルタイム視聴で実施!詳しくは番組HPまで  www.ntv.co.jp/himura</t>
  </si>
  <si>
    <t xml:space="preserve">  【第二話ゲスト】吉沢亮、佐野岳山間の温泉旅館で執筆をすることになった有栖川有栖(窪田正孝)は、顔全体を包帯で巻いた不気味な宿泊客と遭遇。宿の面々が「透明人間?」と噂したその男の部屋で、翌朝、絞殺された男性遺体が発見される。包帯男逃走の目撃情報から有栖も容疑者として事情聴取される窮地に。そんな最中、颯爽と火村英生(斎藤工)が登場。捜査線上に相羽(佐野岳)と幡多(吉沢亮)という大学生が浮かび上がる。謎の包帯男、そして事件の真相は?</t>
  </si>
  <si>
    <t>番組名臨床犯罪学者　火村英生の推理【死人が誘拐された?人気俳優の死の謎!】♯03</t>
  </si>
  <si>
    <t>【レギュラー】斎藤工、窪田正孝、優香、山本美月、マキタスポーツ、清水一希、堀口ひかる、松永渚、小野寺晃良、・長谷川京子・、松澤一之、生瀬勝久、夏木マリ、ほか  【第三話ゲスト】西田尚美、児嶋一哉、飯田基祐、猫背椿人気俳優の志摩(飯田基祐)が誘拐される。志摩の妻・恵里香(西田尚美)は、夫の安否を気遣い、警察の介入を拒むが、マネージャー・城戸(児嶋一哉)が通報。恵里香は、火村(斎藤工)とアリス(窪田正孝)に身代金受け渡しの同行を求める。だが、犯人との接触がないまま、志摩の遺体が発見される。恵里香は、脅迫電話で志摩本人の声を聴かされたと証言するが、鑑識の結果、その時点では既に死亡していたことが判明し・・・。【演出】明石広人  【プロデューサー】戸田一也、小泉守、松山雅則【脚本】マギー  【原作】有栖川有栖(KADOKAWA、講談社、光文社、新潮社、文藝春秋、徳間書店、幻冬舎)【主題歌】EDGE　of　LIFE「Selfy　Trick」(avex　trax)  【音楽】井筒昭雄【制作協力】トータルメディアコミュニケーション  【製作著作】日本テレビ【撮影の裏側が見られる!?360度カメラOAクイズ】  【データ放送OAクイズ】  サイン入りグッズなどレア賞品が当たる!いずれもリアルタイム視聴で実施!詳しくは番組HPまで  www.ntv.co.jp/himura</t>
  </si>
  <si>
    <t>人気俳優の志摩(飯田基祐)が誘拐される。志摩の妻・恵里香(西田尚美)は、夫の安否を気遣い、警察の介入を拒むが、マネージャー・城戸(児嶋一哉)が通報。恵里香は、火村(斎藤工)とアリス(窪田正孝)に身代金受け渡しの同行を求める。だが、犯人との接触がないまま、志摩の遺体が発見される。恵里香は、脅迫電話で志摩本人の声を聴かされたと証言するが、鑑識の結果、その時点では既に死亡していたことが判明し・・・。</t>
  </si>
  <si>
    <t>番組名臨床犯罪学者　火村英生の推理【容疑者に恋したアリス!青春の落し物!?】#04</t>
  </si>
  <si>
    <t>【レギュラー】斎藤工、窪田正孝、優香、山本美月、マキタスポーツ、清水一希、堀口ひかる、松永渚、小野寺晃良、松澤一之、長谷川京子、生瀬勝久、夏木マリ　ほか  【第四話ゲスト】岩城滉一、忍成修吾、内田理央、合田雅吏、渋谷謙人  火村(斎藤工)とアリス(窪田正孝)は、ダリに心酔する有名な宝石商・堂条秀一(岩城滉一)を見かける。その連れの女性・鷺尾優子(内田理央)を見た火村は、彼女がアリスの理想の女性に違いないと断言し、図星のアリスは困惑。数日後、秀一が殺害されるが、遺体の第一発見者は秘書の優子だった。事件を追う一方、優子のことが気にかかり、つい捜査に私情を挟んでしまうアリス。そんな中、決定的な証拠が見つかり…。【演出】浅見真史  【プロデューサー】戸田一也、小泉守、松山雅則【脚本】佐藤友治  【脚本監修】マギー  【原作】有栖川有栖(KADOKAWA、講談社、光文社、新潮社、文藝春秋、徳間書店、幻冬舎】【主題歌】EDGE　of　LIFE「Selfy　Trick」(avex　trax)  【音楽】井筒昭雄【制作協力】トータルメディアコミュニケーション  【製作著作】日本テレビ【データ放送OAクイズ】  サイン入りグッズなどレア賞品が当たる!いずれもリアルタイム視聴で実施!詳しくは番組HPまで  www.ntv.co.jp/himura</t>
  </si>
  <si>
    <t xml:space="preserve"> 火村(斎藤工)とアリス(窪田正孝)は、ダリに心酔する有名な宝石商・堂条秀一(岩城滉一)を見かける。その連れの女性・鷺尾優子(内田理央)を見た火村は、彼女がアリスの理想の女性に違いないと断言し、図星のアリスは困惑。数日後、秀一が殺害されるが、遺体の第一発見者は秘書の優子だった。事件を追う一方、優子のことが気にかかり、つい捜査に私情を挟んでしまうアリス。そんな中、決定的な証拠が見つかり…。</t>
  </si>
  <si>
    <t>番組名火村英生の推理【殺人鬼に罠を仕掛けろ!火村&amp;アリス華麗なコンビプレー】♯05</t>
  </si>
  <si>
    <t>【レギュラー】斎藤工、窪田正孝、優香、山本美月、マキタスポーツ、清水一希、堀口ひかる、松永渚、小野寺晃良、松澤一之、長谷川京子、生瀬勝久、夏木マリ　ほか  【第五話ゲスト】宅麻伸、小島梨里杏芸能プロダクション社長の夕狩正比古(宅麻伸)は、恋人の愉良(小島梨里杏)を殺害。完全犯罪を目論むが、見抜いた火村(斎藤工)は、アリス(窪田正孝)とのコンビプレーで、正比古に罠を仕掛け、じわじわと追い詰める!殺人鬼VS火村の緊迫感あふれる心理戦!そして、明らかになる恐るべき殺害動機とは!?今回は、古畑任三郎や刑事コロンボでお馴染み、“真犯人を追い込む名探偵”の白熱する倒叙式ミステリーです!【演出】佐久間紀佳  【プロデューサー】戸田一也、小泉守、松山雅則【脚本】マギー  【原作】有栖川有栖(KADOKAWA、講談社、光文社、新潮社、文藝春秋、徳間書店、幻冬舎)  【第5話原作】「ショーウィンドウを砕く」(KADOKAWA「怪しい店」所収)【主題歌】EDGE　of　LIFE「Selfy　Trick」(avex　trax)  【音楽】井筒昭雄【制作協力】トータルメディアコミュニケーション  【製作著作】日本テレビ【データ放送OAクイズ】  サイン入りグッズなどレア賞品が当たる!いずれもリアルタイム視聴で実施!詳しくは番組HPまで  www.ntv.co.jp/himura</t>
  </si>
  <si>
    <t>杏芸能プロダクション社長の夕狩正比古(宅麻伸)は、恋人の愉良(小島梨里杏)を殺害。完全犯罪を目論むが、見抜いた火村(斎藤工)は、アリス(窪田正孝)とのコンビプレーで、正比古に罠を仕掛け、じわじわと追い詰める!殺人鬼VS火村の緊迫感あふれる心理戦!そして、明らかになる恐るべき殺害動機とは!?今回は、古畑任三郎や刑事コロンボでお馴染み、“真犯人を追い込む名探偵”の白熱する倒叙式ミステリーです!</t>
  </si>
  <si>
    <t>番組名火村英生の推理【火村への謎の挑戦状!幽霊マンションで怪奇現象が!】#06</t>
  </si>
  <si>
    <t>【レギュラー】斎藤工、窪田正孝、優香、山本美月、マキタスポーツ、清水一希、堀口ひかる、松永渚、小野寺晃良、松澤一之、長谷川京子、生瀬勝久、夏木マリ　ほか  【第六話ゲスト】山本裕典、高橋ひとみ、鈴之助、上野なつひ、大高洋夫ほか深夜、火村(斎藤工)を挑発する謎の電話が!アリス(窪田正孝)と共に向かった先は、幽霊マンションと噂される不気味な場所。指定された806号室には、正体不明の謎の死体!このマンションには、朱美(山本美月)から依頼された事件の関係者・宗像正明(鈴之助)が住んでいた。そして、捜査線上に浮かぶ重要参考人・六人部(山本裕典)の存在。あらゆる疑惑が交差する中、幽霊マンションで起きた怪奇現象とは!?【演出】明石広人  【プロデューサー】戸田一也、小泉守、松山雅則【脚本】マギー　  【原作】有栖川有栖(KADOKAWA、講談社、光文社、新潮社、文藝春秋、徳間書店、幻冬舎】【主題歌】EDGE　of　LIFE「Selfy　Trick」(avex　trax)  【音楽】井筒昭雄【制作協力】トータルメディアコミュニケーション  【製作著作】日本テレビ【主題歌CDプレゼント】  EDGE　of　LIFEが歌うドラマ主題歌「Selfy　Trick」(avex　trax)を抽選で30名様にプレゼント!詳しくは番組をご覧ください</t>
  </si>
  <si>
    <t>深夜、火村(斎藤工)を挑発する謎の電話が!アリス(窪田正孝)と共に向かった先は、幽霊マンションと噂される不気味な場所。指定された806号室には、正体不明の謎の死体!このマンションには、朱美(山本美月)から依頼された事件の関係者・宗像正明(鈴之助)が住んでいた。そして、捜査線上に浮かぶ重要参考人・六人部(山本裕典)の存在。あらゆる疑惑が交差する中、幽霊マンションで起きた怪奇現象とは!?</t>
  </si>
  <si>
    <t>1510_NTV_水22</t>
  </si>
  <si>
    <t>偽装の夫婦</t>
  </si>
  <si>
    <t>番組名偽装の夫婦　#1【天海祐希主演「人嫌い女がゲイと結婚!?」】</t>
  </si>
  <si>
    <t>天海祐希、沢村一樹、内田有紀、工藤阿須加、坂井真紀、佐藤二朗、柴本幸、田中要次、キムラ緑子、富司純子　ほか世間に背を向け、本だけを愛する図書館司書・ヒロ(天海祐希)。孤独を貫く彼女は穏やかな笑みを浮かべ、心の中では悪態をつく人嫌い。ヒロはかつての恋人・超治(沢村一樹)と再会し、超治は幼稚園の園長代理を務めていた。25年前、超治は突然姿を消し二人の関係は終わった。ヒロは超治が自分を捨てた理由が気にかかっていた。ヒロが理由を尋ねると、超治は自分がゲイだと告白。さらに、ヒロに結婚してほしいと言い出し…【演出】深川栄洋【脚本】遊川和彦【プロデューサー】大平太、高明希、田上リサ  【制作会社】5年D組</t>
  </si>
  <si>
    <t>世間に背を向け、本だけを愛する図書館司書・ヒロ(天海祐希)。孤独を貫く彼女は穏やかな笑みを浮かべ、心の中では悪態をつく人嫌い。ヒロはかつての恋人・超治(沢村一樹)と再会し、超治は幼稚園の園長代理を務めていた。25年前、超治は突然姿を消し二人の関係は終わった。ヒロは超治が自分を捨てた理由が気にかかっていた。ヒロが理由を尋ねると、超治は自分がゲイだと告白。さらに、ヒロに結婚してほしいと言い出し…</t>
  </si>
  <si>
    <t>番組名偽装の夫婦　#2【天海祐希主演「花嫁になると決めた理由」】</t>
  </si>
  <si>
    <t>天海祐希、沢村一樹、内田有紀、工藤阿須加、坂井真紀、佐藤二朗、柴本幸、田中要次、キムラ緑子、富司純子　ほか超治(沢村一樹)の「偽装結婚してほしい」という頼みを断ったヒロ(天海祐希)。今度は、シングルマザーのしおり(内田有紀)がヒロにプロポーズ?!ヒロは、新しい住まいを見つけるまでは超治の家へ。そこへ華苗(富司純子)がやってくる。ヒロは華苗に、超治とは結婚できないと告げ家を出ていく。諦められない華苗は、ヒロの親戚に会いたいと言い、ヒロは申し出を断りきれず、超治と華苗を連れ叔母の照乃(キムラ緑子)を訪ね…【演出】深川栄洋【脚本】遊川和彦【プロデューサー】大平太、高明希、田上リサ  【制作会社】5年D組</t>
  </si>
  <si>
    <t>超治(沢村一樹)の「偽装結婚してほしい」という頼みを断ったヒロ(天海祐希)。今度は、シングルマザーのしおり(内田有紀)がヒロにプロポーズ?!ヒロは、新しい住まいを見つけるまでは超治の家へ。そこへ華苗(富司純子)がやってくる。ヒロは華苗に、超治とは結婚できないと告げ家を出ていく。諦められない華苗は、ヒロの親戚に会いたいと言い、ヒロは申し出を断りきれず、超治と華苗を連れ叔母の照乃(キムラ緑子)を訪ね…</t>
  </si>
  <si>
    <t>番組名偽装の夫婦　#3【天海祐希主演「ついて良い嘘と悪い嘘」】</t>
  </si>
  <si>
    <t>天海祐希、沢村一樹、内田有紀、工藤阿須加、坂井真紀、佐藤二朗、柴本幸、田中要次、キムラ緑子、富司純子　ほかヒロ(天海祐希)は、華苗(富司純子)から、超治(沢村一樹)と結婚式を挙げてほしいと婚姻届まで渡される。最初ははぐらかす2人だったが、超治がいくら言っても聞く耳を持たず、勝手に式場を決め、ついには激しい親子ゲンカに発展。見ていられなくなったヒロは、結婚式をすることを決意する。一方、招待状を届けに行った先で、超治は保が脅迫されている所に遭遇してしまい…。結婚式当日に明かされるもう一つの嘘とはー?【演出】石尾純【脚本】遊川和彦【プロデューサー】大平太、高明希、田上リサ  【制作会社】5年D組</t>
  </si>
  <si>
    <t>ヒロ(天海祐希)は、華苗(富司純子)から、超治(沢村一樹)と結婚式を挙げてほしいと婚姻届まで渡される。最初ははぐらかす2人だったが、超治がいくら言っても聞く耳を持たず、勝手に式場を決め、ついには激しい親子ゲンカに発展。見ていられなくなったヒロは、結婚式をすることを決意する。一方、招待状を届けに行った先で、超治は保が脅迫されている所に遭遇してしまい…。結婚式当日に明かされるもう一つの嘘とはー?</t>
  </si>
  <si>
    <t>番組名偽装の夫婦　#4【天海祐希主演「親友に怒りの鉄拳!】</t>
  </si>
  <si>
    <t>天海祐希、沢村一樹、内田有紀、工藤阿須加、坂井真紀、佐藤二朗、柴本幸、田中要次、キムラ緑子、富司純子　ほかヒロ(天海祐希)は華苗(富司純子)から、病気が嘘であったと明かされ、何のために偽装結婚したのか、自問自答する。そんなヒロの葛藤も知らず、保(工藤阿須加)へ急接近する超治(沢村一樹)。ヒロは思わずしおり(内田有紀)に「友達の話なんですが…」と悩みを打ち明ける。そんなある夜、保に「好きだ!」と打ち明けた超治が酔って帰宅。「ヒロ～、どうしよう!」いつものように頼って来る彼についにヒロの怒りが爆発する!【演出】日暮謙【脚本】遊川和彦【音楽】平井真美子  【主題歌】JUJU「What　You　Want」(ソニー・ミュージックレーベルズ)【プロデューサー】大平太、高明希、田上リサ  【制作会社】5年D組</t>
  </si>
  <si>
    <t>ヒロ(天海祐希)は華苗(富司純子)から、病気が嘘であったと明かされ、何のために偽装結婚したのか、自問自答する。そんなヒロの葛藤も知らず、保(工藤阿須加)へ急接近する超治(沢村一樹)。ヒロは思わずしおり(内田有紀)に「友達の話なんですが…」と悩みを打ち明ける。そんなある夜、保に「好きだ!」と打ち明けた超治が酔って帰宅。「ヒロ～、どうしよう!」いつものように頼って来る彼についにヒロの怒りが爆発する!</t>
  </si>
  <si>
    <t>番組名偽装の夫婦　#5【天海祐希主演「恐怖の四角関係パーティー」】</t>
  </si>
  <si>
    <t>天海祐希、沢村一樹、内田有紀、工藤阿須加、坂井真紀、佐藤二朗、柴本幸、田中要次、キムラ緑子、富司純子　ほか超治(沢村一樹)を好きになったのでは?と自覚するヒロ(天海祐希)。一方、超治は保(工藤阿須加)に夢中。超治の告白に戸惑う保(工藤阿須加)から相談されたヒロは、告白に深い意味はないと超治をフォローするハメに。超治はホームパーティーを開き、ヒロと超治は2人の出会いについて語る。そこへ八重子(坂井真紀)がやって来て、様子がおかしいと心配になるヒロ。そして、ヒロは天人(佐藤二朗)から意外な告白を聞かされ…【演出】深川栄洋【脚本】遊川和彦【音楽】平井真美子  【主題歌】JUJU「What　You　Want」(ソニー・ミュージックレーベルズ)【プロデューサー】大平太、高明希、田上リサ  【制作会社】5年D組</t>
  </si>
  <si>
    <t>超治(沢村一樹)を好きになったのでは?と自覚するヒロ(天海祐希)。一方、超治は保(工藤阿須加)に夢中。超治の告白に戸惑う保(工藤阿須加)から相談されたヒロは、告白に深い意味はないと超治をフォローするハメに。超治はホームパーティーを開き、ヒロと超治は2人の出会いについて語る。そこへ八重子(坂井真紀)がやって来て、様子がおかしいと心配になるヒロ。そして、ヒロは天人(佐藤二朗)から意外な告白を聞かされ…</t>
  </si>
  <si>
    <t>番組名偽装の夫婦　#6【天海祐希主演「今夜、私を抱いて…」】</t>
  </si>
  <si>
    <t>天海祐希、沢村一樹、内田有紀、工藤阿須加、坂井真紀、佐藤二朗、柴本幸、田中要次、キムラ緑子、富司純子　ほかヒロ(天海祐希)は、保(工藤阿須加)に告白すると帰ってこなかった超治(沢村一樹)のことが気がかり。また、超治から保との一夜に何があったかを聞き、複雑な心境になる中、超治に助けを求められる。しおり(内田有紀)がユウ(井上琳水)を前夫の皆川(神尾佑)に奪われ困っているらしい。しおりの前夫・弁護士の皆川は暴力と、離婚後もストーカー行為をする男だった。ヒロはユウを奪還するために、保の力を借り作戦を考え…【演出】石尾純【脚本】遊川和彦【音楽】平井真美子  【主題歌】JUJU「What　You　Want」(ソニー・ミュージックレーベルズ)【プロデューサー】大平太、高明希、田上リサ  【制作会社】5年D組</t>
  </si>
  <si>
    <t>ヒロ(天海祐希)は、保(工藤阿須加)に告白すると帰ってこなかった超治(沢村一樹)のことが気がかり。また、超治から保との一夜に何があったかを聞き、複雑な心境になる中、超治に助けを求められる。しおり(内田有紀)がユウ(井上琳水)を前夫の皆川(神尾佑)に奪われ困っているらしい。しおりの前夫・弁護士の皆川は暴力と、離婚後もストーカー行為をする男だった。ヒロはユウを奪還するために、保の力を借り作戦を考え…</t>
  </si>
  <si>
    <t>番組名偽装の夫婦　#7【天海祐希主演「夫を奪われた妻」】</t>
  </si>
  <si>
    <t>天海祐希、沢村一樹、内田有紀、工藤阿須加、坂井真紀、佐藤二朗、柴本幸、田中要次、キムラ緑子、富司純子　ほかヒロ(天海祐希)は超治(沢村一樹)に、ゲイであることを華苗(富司純子)にカミングアウトしてほしいと頼む。尻込みする超治に、ヒロは思わず「自分が本当に超治を好きになってしまったから一緒にいるのが辛い」と本音を言いそうになるのだった。そんな中、幼稚園のホームページに超治がゲイだという書き込みがされ、嫌がらせが始まる。超治が園児の保護者会で事情を説明することになり、不安を覚えるヒロだが・・・【演出】伊藤彰記【脚本】遊川和彦【音楽】平井真美子  【主題歌】JUJU「What　You　Want」(ソニー・ミュージックレーベルズ)【プロデューサー】大平太、高明希、田上リサ  【制作会社】5年D組</t>
  </si>
  <si>
    <t>ヒロ(天海祐希)は超治(沢村一樹)に、ゲイであることを華苗(富司純子)にカミングアウトしてほしいと頼む。尻込みする超治に、ヒロは思わず「自分が本当に超治を好きになってしまったから一緒にいるのが辛い」と本音を言いそうになるのだった。そんな中、幼稚園のホームページに超治がゲイだという書き込みがされ、嫌がらせが始まる。超治が園児の保護者会で事情を説明することになり、不安を覚えるヒロだが・・・</t>
  </si>
  <si>
    <t>番組名偽装の夫婦　#8【天海祐希主演「驚愕の再会!変わり果てた夫に妻は…」】</t>
  </si>
  <si>
    <t>天海祐希、沢村一樹、内田有紀、工藤阿須加、坂井真紀、佐藤二朗、柴本幸、田中要次、キムラ緑子、富司純子　ほかヒロ(天海祐希)は、超治(沢村一樹)に募る想いを告白し、離婚届を渡して家を飛び出した。そんな彼女に寄り添うしおり(内田有紀)の前で、ヒロは25年ぶりの涙を流した。ヒロは両親の墓参りに行き、待っていた天人(佐藤二朗)と一緒に郷田家へ行く。そこでヒロは天人と八重子(坂井真紀)から、両親の死の真相を告げられる。そんな中、ヒロは保(工藤阿須加)に、超治の様子がおかしいので会ってほしいと頼まれて…。【演出】深川栄洋【脚本】遊川和彦【音楽】平井真美子  【主題歌】JUJU「What　You　Want」(ソニー・ミュージックレーベルズ)【プロデューサー】大平太、高明希、田上リサ  【制作会社】5年D組</t>
  </si>
  <si>
    <t>ヒロ(天海祐希)は、超治(沢村一樹)に募る想いを告白し、離婚届を渡して家を飛び出した。そんな彼女に寄り添うしおり(内田有紀)の前で、ヒロは25年ぶりの涙を流した。ヒロは両親の墓参りに行き、待っていた天人(佐藤二朗)と一緒に郷田家へ行く。そこでヒロは天人と八重子(坂井真紀)から、両親の死の真相を告げられる。そんな中、ヒロは保(工藤阿須加)に、超治の様子がおかしいので会ってほしいと頼まれて…。</t>
  </si>
  <si>
    <t>番組名偽装の夫婦　#9【天海祐希主演「1年後の約束!新パートナーは誰?」】</t>
  </si>
  <si>
    <t>天海祐希、沢村一樹、内田有紀、工藤阿須加、坂井真紀、佐藤二朗、柴本幸、田中要次、キムラ緑子、富司純子　ほかヒロ(天海祐希)は、超治(沢村一樹)と正式に離婚し、偽装結婚を解消。「一年後にお互い付き合っている人がいたら同じ場所で同じ時間に再会して、その人を紹介し合おう」と約束し、二人は別れた。そして一年後。ヒロと超治は、約束の場所で再会する。心の中で悪態をつくことを止め、柔らかい雰囲気を漂わせるヒロと、ちょっとワイルドになった超治。二人は、一年をどのように過ごしてきたのかを語り合う。【演出】日暮謙【脚本】遊川和彦【音楽】平井真美子  【主題歌】JUJU「What　You　Want」(ソニー・ミュージックレーベルズ)【プロデューサー】大平太、高明希、田上リサ  【制作会社】5年D組</t>
  </si>
  <si>
    <t>ヒロ(天海祐希)は、超治(沢村一樹)と正式に離婚し、偽装結婚を解消。「一年後にお互い付き合っている人がいたら同じ場所で同じ時間に再会して、その人を紹介し合おう」と約束し、二人は別れた。そして一年後。ヒロと超治は、約束の場所で再会する。心の中で悪態をつくことを止め、柔らかい雰囲気を漂わせるヒロと、ちょっとワイルドになった超治。二人は、一年をどのように過ごしてきたのかを語り合う。</t>
  </si>
  <si>
    <t>番組名偽装の夫婦　#10【天海祐希主演「一生のパートナーと出逢えた奇跡」】</t>
  </si>
  <si>
    <t>天海祐希、沢村一樹、内田有紀、工藤阿須加、坂井真紀、佐藤二朗、柴本幸、田中要次、キムラ緑子、富司純子　ほかヒロ(天海祐希)は超治(沢村一樹)から「もう一度やり直したい」と告白される。心揺れるヒロだったが「やり直すなら、お互いのパートナーと別れるべき」と言い、「親友のままでいるのが一番いい」と超治に言い聞かせる。しかし、しおり(内田有紀)、ユウ(井上琳水)が待つ家に帰ってきたものの、自分の心の声をうまく抑えられなくなった彼女は、自分の思いを封じ込めるように、結婚式をしようとしおりに提案するが…【演出】深川栄洋【脚本】遊川和彦【音楽】平井真美子  【主題歌】JUJU「What　You　Want」(ソニー・ミュージックレーベルズ)【プロデューサー】大平太、高明希、田上リサ  【制作会社】5年D組</t>
  </si>
  <si>
    <t>ヒロ(天海祐希)は超治(沢村一樹)から「もう一度やり直したい」と告白される。心揺れるヒロだったが「やり直すなら、お互いのパートナーと別れるべき」と言い、「親友のままでいるのが一番いい」と超治に言い聞かせる。しかし、しおり(内田有紀)、ユウ(井上琳水)が待つ家に帰ってきたものの、自分の心の声をうまく抑えられなくなった彼女は、自分の思いを封じ込めるように、結婚式をしようとしおりに提案するが…</t>
  </si>
  <si>
    <t>1510_NTV_木23</t>
  </si>
  <si>
    <t>青春探偵ハルヤ</t>
  </si>
  <si>
    <t>番組名木曜ドラマ「青春探偵ハルヤ」第1話/ミスキャンパスを狙うストーカー</t>
  </si>
  <si>
    <t>玉森裕太(Kis-My-Ft2)、新川優愛、高田翔(ジャニーズJr.)  柳ゆり菜、阿見201、池田沙絵美、小槙まこ、伊倉愛美、篠川桃音  宇梶剛士、高島礼子  【ゲスト】陳内将、遠山俊也、武田航平、金井勇太、池田純矢、城咲仁(他)【第1話】貧乏学生の浅木晴也(玉森裕太)は、親友・窪寺和臣(高田翔)から、ミスキャンパスの能見美羽(新川優愛)を付け回すストーカーを捕まえてほしいとの依頼を受ける。報酬に目がくらみ、晴也は調査を始めるが、事件は思わぬ展開にーー?!井筒昭雄  【主題歌】  「AAO」Kis-My-Ft2  【挿入歌】  「リスタート」Honey　L　Days【原作】  「青春探偵ハルヤ」福田栄一(創元推理文庫)  【脚本】  田中眞一  【演出】  大塚徹【番組公式サイト】  http://www.ytv.co.jp/haruya/    【番組公式Twitter】  https://twitter.com/ytvdrama　#ハルヤ    【番組公式LINE】  ID:@seishuntanteiharuya★番組放送中、Twitterで『青春探偵ハルヤ』を応援して番組特製グッズが当たる「データ放送プレゼントキャンペーン」実施中!!(一部地域を除く)</t>
  </si>
  <si>
    <t xml:space="preserve">貧乏学生の浅木晴也(玉森裕太)は、親友・窪寺和臣(高田翔)から、ミスキャンパスの能見美羽(新川優愛)を付け回すストーカーを捕まえてほしいとの依頼を受ける。報酬に目がくらみ、晴也は調査を始めるが、事件は思わぬ展開にーー?!井筒昭雄  </t>
  </si>
  <si>
    <t>番組名木曜ドラマ「青春探偵ハルヤ」第2話/違法ドラッグ・監禁…事件は闇の中へ</t>
  </si>
  <si>
    <t>玉森裕太(Kis-My-Ft2)、新川優愛、高田翔(ジャニーズJr.)  柳ゆり菜、阿見201、池田沙絵美、小槙まこ、伊倉愛美、篠川桃音  宇梶剛士、高島礼子  【ゲスト】遠山俊也、武田航平、金井勇太、小島梨里杏(他)【第2話】  ストーカー事件が解決したはずの能見美羽(新川優愛)が謎の不審者に襲われた。浅木晴也(玉森裕太)はその正体を探るため奔走するが、事態はますます深刻になり、危険度を増していくーー井筒昭雄  【主題歌】  「AAO」Kis-My-Ft2  【挿入歌】  「リスタート」Honey　L　Days【原作】  「青春探偵ハルヤ」福田栄一(創元推理文庫)  【脚本】  田中眞一  【演出】  大塚徹【番組公式サイト】  http://www.ytv.co.jp/haruya/    【番組公式Twitter】  https://twitter.com/ytvdrama　#ハルヤ    【番組公式LINE】  ID:@seishuntanteiharuya★番組放送中、Twitterで『青春探偵ハルヤ』を応援して番組特製グッズが当たる「データ放送プレゼントキャンペーン」実施中!!</t>
  </si>
  <si>
    <t xml:space="preserve">  ストーカー事件が解決したはずの能見美羽(新川優愛)が謎の不審者に襲われた。浅木晴也(玉森裕太)はその正体を探るため奔走するが、事態はますます深刻になり、危険度を増していくーー井筒昭雄  </t>
  </si>
  <si>
    <t>番組名木曜ドラマ「青春探偵ハルヤ」第3話/浮気相手のキャバ嬢から突然の脅迫…</t>
  </si>
  <si>
    <t>玉森裕太(Kis-My-Ft2)、新川優愛、高田翔(ジャニーズJr.)  柳ゆり菜、阿見201、池田沙絵美、小槙まこ、伊倉愛美、篠川桃音  宇梶剛士、高島礼子  【ゲスト】矢柴俊博、田中美奈子、藤重政孝、丸高愛実(他)【第3話】  浅木晴也(玉森裕太)の探偵ぶりを能見美羽(新川優愛)から聞きつけ、小さなカメラ会社を営む馬場洋二(矢柴俊博)という男がやってきた。浮気相手のキャバ嬢(丸高愛実)から脅迫されているという馬場は、妻の千鶴子(田中美奈子)にばれないうちに事態を解決したいと晴也にあることを頼み込むがーー井筒昭雄  【主題歌】「AAO」Kis-My-Ft2  【挿入歌】「リスタート」Honey　L　Days【原作】「青春探偵ハルヤ」福田栄一(創元推理文庫)  【脚本】中村由加里  【演出】小松隆志【番組公式サイト】  http://www.ytv.co.jp/haruya/    【番組公式Twitter】  https://twitter.com/ytvdrama　#ハルヤ    【番組公式LINE】  ID:@seishuntanteiharuya★番組放送中、Twitterで『青春探偵ハルヤ』を応援して番組特製グッズが当たる「データ放送プレゼントキャンペーン」実施中!!(一部地域を除く)</t>
  </si>
  <si>
    <t xml:space="preserve">  浅木晴也(玉森裕太)の探偵ぶりを能見美羽(新川優愛)から聞きつけ、小さなカメラ会社を営む馬場洋二(矢柴俊博)という男がやってきた。浮気相手のキャバ嬢(丸高愛実)から脅迫されているという馬場は、妻の千鶴子(田中美奈子)にばれないうちに事態を解決したいと晴也にあることを頼み込むがーー井筒昭雄  </t>
  </si>
  <si>
    <t>番組名木曜ドラマ「青春探偵ハルヤ」第4話/女子寮のぞき騒動…盗撮犯を大追跡!</t>
  </si>
  <si>
    <t>玉森裕太(Kis-My-Ft2)、新川優愛、高田翔(ジャニーズJr.)  柳ゆり菜、阿見201、池田沙絵美、小槙まこ、伊倉愛美、篠川桃音  宇梶剛士、高島礼子  【ゲスト】伊藤かずえ、宮地雅子、富山えり子、佐野圭亮、長田成哉、中岡創一(ロッチ)(他)【第4話】  浅木晴也(玉森裕太)が、女子寮で“のぞき魔”と間違えられてしまう。その女子寮には、何者かにより風呂場に盗撮カメラが仕掛けられていた。汚名を晴らすため、晴也は盗撮犯を探ることになるがーー井筒昭雄  【主題歌】  「AAO」Kis-My-Ft2  【挿入歌】  「リスタート」Honey　L　Days【原作】  「青春探偵ハルヤ」福田栄一(創元推理文庫)  【脚本】  嶋田うれ葉  【演出】  小松隆志【番組公式サイト】  http://www.ytv.co.jp/haruya/    【番組公式Twitter】  https://twitter.com/ytvdrama　#ハルヤ    【番組公式LINE】  ID:@seishuntanteiharuya★番組放送中、Twitterで『青春探偵ハルヤ』を応援して番組特製グッズが当たる「データ放送プレゼントキャンペーン」実施中!!</t>
  </si>
  <si>
    <t xml:space="preserve">  浅木晴也(玉森裕太)が、女子寮で“のぞき魔”と間違えられてしまう。その女子寮には、何者かにより風呂場に盗撮カメラが仕掛けられていた。汚名を晴らすため、晴也は盗撮犯を探ることになるがーー井筒昭雄  </t>
  </si>
  <si>
    <t>番組名木曜ドラマ「青春探偵ハルヤ」第5話/留年危機…教授の浮気調査で追試ゲット</t>
  </si>
  <si>
    <t>玉森裕太(Kis-My-Ft2)、新川優愛、高田翔(ジャニーズJr.)  柳ゆり菜、阿見201、池田沙絵美、小槙まこ、伊倉愛美、篠川桃音  宇梶剛士、高島礼子  【ゲスト】神保悟志、中島ひろ子、神宮寺勇太(ジャニーズJr.)(他)【第5話】  教授の宮沢公平(神保悟志)から留年を言い渡された浅木晴也(玉森裕太)は、宮沢が妻の多香子(中島ひろ子)の浮気疑惑に悩んでいることを知る。晴也は留年を回避するため、問題解決に協力するが、その多香子は思わぬトラブルに巻き込まれていた…井筒昭雄  【主題歌】  「AAO」Kis-My-Ft2  【挿入歌】  「リスタート」Honey　L　Days【原作】  「青春探偵ハルヤ」福田栄一(創元推理文庫)  【脚本】  田中眞一  【演出】  小松隆志【番組公式サイト】  http://www.ytv.co.jp/haruya/    【番組公式Twitter】  https://twitter.com/ytvdrama　#ハルヤ    【番組公式LINE】  ID:@seishuntanteiharuya★番組放送中、Twitterで『青春探偵ハルヤ』を応援して番組特製グッズが当たる「データ放送プレゼントキャンペーン」実施中!!(一部地域をのぞく)</t>
  </si>
  <si>
    <t xml:space="preserve">  教授の宮沢公平(神保悟志)から留年を言い渡された浅木晴也(玉森裕太)は、宮沢が妻の多香子(中島ひろ子)の浮気疑惑に悩んでいることを知る。晴也は留年を回避するため、問題解決に協力するが、その多香子は思わぬトラブルに巻き込まれていた…</t>
  </si>
  <si>
    <t>番組名木曜ドラマ「青春探偵ハルヤ」第6話/就職戦線、超異状アリ…!?</t>
  </si>
  <si>
    <t>玉森裕太(Kis-My-Ft2)、新川優愛、高田翔(ジャニーズJr.)  柳ゆり菜、阿見201、池田沙絵美、小槙まこ、伊倉愛美、篠川桃音  宇梶剛士、高島礼子  【ゲスト】白洲迅、山中崇、木下隆行(TKO)(他)【第6話】  浅木晴也(玉森裕太)は、就職活動中の学生、岡島武(白洲迅)から何者かに就職活動を妨害されていると相談される。何者かがインターネットの就活掲示板で岡島に成りすまし、悪意ある書き込みを続けていたのだ。晴也たちはその犯人を探るが……【原作】  「青春探偵ハルヤ」福田栄一(創元推理文庫)  【脚本】  中村由加里  【演出】  大塚徹井筒昭雄  【主題歌】  「AAO」Kis-My-Ft2  【挿入歌】  「リスタート」Honey　L　Days【番組公式サイト】  http://www.ytv.co.jp/haruya/    【番組公式Twitter】  https://twitter.com/ytvdrama　#ハルヤ    【番組公式LINE】  ID:@seishuntanteiharuya★番組放送中、Twitterで『青春探偵ハルヤ』を応援して番組特製グッズが当たる「データ放送プレゼントキャンペーン」実施中!!</t>
  </si>
  <si>
    <t xml:space="preserve">  浅木晴也(玉森裕太)は、就職活動中の学生、岡島武(白洲迅)から何者かに就職活動を妨害されていると相談される。何者かがインターネットの就活掲示板で岡島に成りすまし、悪意ある書き込みを続けていたのだ。晴也たちはその犯人を探るが……</t>
  </si>
  <si>
    <t>番組名木曜ドラマ「青春探偵ハルヤ」第7話★子供達からSOS…消えた母親を探せ!</t>
  </si>
  <si>
    <t>玉森裕太(Kis-My-Ft2)、新川優愛、高田翔(ジャニーズJr.)  柳ゆり菜、阿見201、池田沙絵美、小槙まこ、伊倉愛美、篠川桃音  宇梶剛士、高島礼子  【ゲスト】宮地真緒、山口良一、八神蓮、須田琉雅、須田瑛斗、須田理央(他)【第7話】  浅木晴也(玉森裕太)の前に現れた、幼い蓮・亮・陽菜の三兄妹。子供たちの母親、早織(宮地真緒)は、一週間前から姿を消していた。晴也は子供たちのために、早織を探すが……【原作】  「青春探偵ハルヤ」福田栄一(創元推理文庫)  【脚本】  田中眞一  【演出】  小松隆志井筒昭雄  【主題歌】  「AAO」Kis-My-Ft2  【挿入歌】  「リスタート」Honey　L　Days【番組公式サイト】  http://www.ytv.co.jp/haruya/    【番組公式Twitter】  https://twitter.com/ytvdrama　#ハルヤ    【番組公式LINE】  ID:@seishuntanteiharuya★番組放送中、Twitterで『青春探偵ハルヤ』を応援して番組特製グッズが当たる「データ放送プレゼントキャンペーン」実施中!!</t>
  </si>
  <si>
    <t xml:space="preserve">  浅木晴也(玉森裕太)の前に現れた、幼い蓮・亮・陽菜の三兄妹。子供たちの母親、早織(宮地真緒)は、一週間前から姿を消していた。晴也は子供たちのために、早織を探すが……</t>
  </si>
  <si>
    <t>番組名木曜ドラマ「青春探偵ハルヤ」最終話★大人の悪を許さない!</t>
  </si>
  <si>
    <t>玉森裕太(Kis-My-Ft2)、新川優愛、高田翔(ジャニーズJr.)  柳ゆり菜、阿見201、池田沙絵美、小槙まこ、伊倉愛美、篠川桃音  宇梶剛士、高島礼子  【ゲスト】高嶋政宏、本宮泰風、川藤幸三(他)【最終話】  「喫茶&amp;スナック　アラバマ」のママ、石田静江(高島礼子)ら商店街の店主たちは、不審な傷害事件に巻き込まれていた。浅木晴也(玉森裕太)が調査に乗り出すと、静江の前に元夫の新田彬が現れ……井筒昭雄  【主題歌】「AAO」Kis-My-Ft2  【挿入歌】「リスタート」Honey　L　Days【原作】「青春探偵ハルヤ」福田栄一(創元推理文庫)  【脚本】田中眞一  【演出】大塚徹【番組公式サイト】  http://www.ytv.co.jp/haruya/    【番組公式Twitter】  https://twitter.com/ytvdrama　#ハルヤ    【番組公式LINE】  ID:@seishuntanteiharuya★番組放送中、Twitterで『青春探偵ハルヤ』を応援して番組特製グッズが当たる「データ放送プレゼントキャンペーン」実施中!!(一部地域を除く)</t>
  </si>
  <si>
    <t xml:space="preserve">  「喫茶&amp;スナック　アラバマ」のママ、石田静江(高島礼子)ら商店街の店主たちは、不審な傷害事件に巻き込まれていた。浅木晴也(玉森裕太)が調査に乗り出すと、静江の前に元夫の新田彬が現れ……</t>
  </si>
  <si>
    <t>1510_NTV_土21</t>
  </si>
  <si>
    <t>掟上今日子の備忘録</t>
  </si>
  <si>
    <t>番組名掟上今日子の備忘録　#1</t>
  </si>
  <si>
    <t>新垣結衣、岡田将生、及川光博、有岡大貴、内田理央　ほか掟上今日子(新垣結衣)は、寝るとその日の記憶がリセットされる忘却探偵。そのため秘密保持は確実で、事件は即日解決。ある日、彼女に隠館厄介(岡田将生)からの依頼が舞い込む。厄介は幼い頃から常に事件に巻き込まれる不運な男。勤務先の機密が入ったSDカードが盗まれ犯人だと疑われているのだ。今日子は「真犯人はわかった」と言い切り、安心する厄介。しかしその矢先、今日子は犯人に眠らされ推理の全てを忘れてしまう…。【演出】佐藤東弥【原作】西尾維新「忘却シリーズ」  『掟上今日子の備忘録』『掟上今日子の推薦文』『掟上今日子の挑戦状』  【脚本】野木亜紀子【音楽】笹野芽実、末廣健一郎【制作協力】アックスオン</t>
  </si>
  <si>
    <t>掟上今日子(新垣結衣)は、寝るとその日の記憶がリセットされる忘却探偵。そのため秘密保持は確実で、事件は即日解決。ある日、彼女に隠館厄介(岡田将生)からの依頼が舞い込む。厄介は幼い頃から常に事件に巻き込まれる不運な男。勤務先の機密が入ったSDカードが盗まれ犯人だと疑われているのだ。今日子は「真犯人はわかった」と言い切り、安心する厄介。しかしその矢先、今日子は犯人に眠らされ推理の全てを忘れてしまう…。</t>
  </si>
  <si>
    <t>番組名掟上今日子の備忘録　#2</t>
  </si>
  <si>
    <t>新垣結衣、岡田将生、及川光博、有岡大貴(Hey!Say!JUMP)、内田理央ほか今日子(新垣結衣)は数日前の殺人事件のアリバイ証言を頼まれる。容疑者の鯨井(堀井新太)は「犯行時間に今日子とお茶をしていた」というのだが、1日で記憶を無くす今日子は覚えていない。事件を仲良く調査する2人に嫉妬する厄介(岡田将生)は、不運なことに、鯨井の代わりに殺人事件の重要参考人として指名手配されることに!一方、今日子と鯨井は犯行現場のマンションにいた。そして今日子の首に静かに鯨井の手が伸び…!?【演出】佐藤東弥【原作】西尾維新「忘却探偵シリーズ」  『掟上今日子の備忘録』『掟上今日子の推薦文』『掟上今日子の挑戦状』『掟上今日子の遺言書』  【脚本】野木亜紀子【音楽】笹野芽実、末廣健一郎【プロデューサー】松本京子、森雅弘  【制作協力】日テレアックスオン</t>
  </si>
  <si>
    <t>今日子(新垣結衣)は数日前の殺人事件のアリバイ証言を頼まれる。容疑者の鯨井(堀井新太)は「犯行時間に今日子とお茶をしていた」というのだが、1日で記憶を無くす今日子は覚えていない。事件を仲良く調査する2人に嫉妬する厄介(岡田将生)は、不運なことに、鯨井の代わりに殺人事件の重要参考人として指名手配されることに!一方、今日子と鯨井は犯行現場のマンションにいた。そして今日子の首に静かに鯨井の手が伸び…!?</t>
  </si>
  <si>
    <t>番組名掟上今日子の備忘録　#3</t>
  </si>
  <si>
    <t>新垣結衣、岡田将生、及川光博、有岡大貴(Hey!Say!JUMP)、内田理央ほか警備員として厄介(岡田将生)が勤める美術館に、今日子(新垣結衣)が何度も訪れ、『母』という絵を熱心に鑑賞。「この絵には2億円の価値がある」と言う今日子だが、別日には「この絵の価値は200万円」と全く違うことを口にする。数日後、美術館で『母』の絵をみた老人が暴れ出し、絵を傷つける事件が発生。クビになった厄介は今日子に『母』に関する真相究明を依頼。今日子は黒髪姿に変装し内部調査を開始する。【演出】茂山佳則【原作】西尾維新「忘却探偵シリーズ」  『掟上今日子の備忘録』『掟上今日子の推薦文』『掟上今日子の挑戦状』『掟上今日子の遺言書』  【脚本】野木亜紀子【音楽】笹野芽実、末廣健一郎  【主題歌】西野カナ「No.1」(ソニー・ミュージックレーベルズ/SMEレコーズ)  【オープニングテーマ】Goodbye　holiday「溢れるもの」(avex　trax)【プロデューサー】松本京子、森雅弘  【制作協力】日テレアックスオン</t>
  </si>
  <si>
    <t>警備員として厄介(岡田将生)が勤める美術館に、今日子(新垣結衣)が何度も訪れ、『母』という絵を熱心に鑑賞。「この絵には2億円の価値がある」と言う今日子だが、別日には「この絵の価値は200万円」と全く違うことを口にする。数日後、美術館で『母』の絵をみた老人が暴れ出し、絵を傷つける事件が発生。クビになった厄介は今日子に『母』に関する真相究明を依頼。今日子は黒髪姿に変装し内部調査を開始する。</t>
  </si>
  <si>
    <t>番組名掟上今日子の備忘録　#4</t>
  </si>
  <si>
    <t>新垣結衣、岡田将生、及川光博、有岡大貴(Hey!Say!JUMP)、内田理央ほか今日子(新垣結衣)と厄介(岡田将生)は、有名な額縁匠・和久井(山田明郷)から、引退前の最後の仕事となる額縁の製作期間の警備を頼まれる。アトリエ荘と名付けたマンションに有望な画家の卵を集めて暮らしている和久井。2人がそこを訪ねると和久井は刺されて血まみれに・・・なんとか一命を取り留めるが和久井は犯人の名前を言おうとしない。今日子は、アトリエ荘の住人37人の誰かが犯人だと推理し、自首させると宣言する。【演出】茂山佳則【原作】西尾維新「忘却探偵シリーズ」  『掟上今日子の備忘録』『掟上今日子の推薦文』『掟上今日子の挑戦状』『掟上今日子の遺言書』  【脚本】野木亜紀子【音楽】笹野芽実、末廣健一郎  【主題歌】西野カナ「No.1」(ソニー・ミュージックレーベルズ/SMEレコーズ)  【オープニングテーマ】Goodbye　holiday「溢れるもの」(avex　trax)【プロデューサー】松本京子、森雅弘  【制作協力】日テレアックスオン</t>
  </si>
  <si>
    <t>今日子(新垣結衣)と厄介(岡田将生)は、有名な額縁匠・和久井(山田明郷)から、引退前の最後の仕事となる額縁の製作期間の警備を頼まれる。アトリエ荘と名付けたマンションに有望な画家の卵を集めて暮らしている和久井。2人がそこを訪ねると和久井は刺されて血まみれに・・・なんとか一命を取り留めるが和久井は犯人の名前を言おうとしない。今日子は、アトリエ荘の住人37人の誰かが犯人だと推理し、自首させると宣言する。</t>
  </si>
  <si>
    <t>番組名掟上今日子の備忘録　#5</t>
  </si>
  <si>
    <t>新垣結衣、岡田将生、及川光博、有岡大貴(Hey!Say!JUMP)、内田理央ほか今日子(新垣結衣)と厄介(岡田将生)は推理作家・須永昼兵衛が開催する“須永フェスタ”に招待される。須永フェスタとは、新作原稿を須永自らが隠し、ヒントを元に編集者達が探し出す恒例イベント。須永ファンである今日子は大喜び。今日子と厄介&amp;サンドグラス一行は会場である須永の別荘へ向かうが、開始直前に厄介だけ須永の急死を知らされる。今日子の喜びを奪いたくない厄介は、そのままイベントを続けようとするが…。【演出】佐藤東弥【原作】西尾維新「忘却探偵シリーズ」  『掟上今日子の備忘録』『掟上今日子の推薦文』『掟上今日子の挑戦状』『掟上今日子の遺言書』  【脚本】野木亜紀子【音楽】笹野芽実、末廣健一郎  【主題歌】西野カナ「No.1」(ソニー・ミュージックレーベルズ/SMEレコーズ)  【オープニングテーマ】Goodbye　holiday「溢れるもの」(avex　trax)【プロデューサー】松本京子、森雅弘  【制作協力】日テレアックスオン</t>
  </si>
  <si>
    <t>今日子(新垣結衣)と厄介(岡田将生)は推理作家・須永昼兵衛が開催する“須永フェスタ”に招待される。須永フェスタとは、新作原稿を須永自らが隠し、ヒントを元に編集者達が探し出す恒例イベント。須永ファンである今日子は大喜び。今日子と厄介&amp;サンドグラス一行は会場である須永の別荘へ向かうが、開始直前に厄介だけ須永の急死を知らされる。今日子の喜びを奪いたくない厄介は、そのままイベントを続けようとするが…。</t>
  </si>
  <si>
    <t>番組名掟上今日子の備忘録　#6</t>
  </si>
  <si>
    <t>新垣結衣、岡田将生、及川光博、有岡大貴(Hey!Say!JUMP)、内田理央ほか  【スペシャルゲスト】吉田沙保里女子校の管理作業員として働き始めた厄介(岡田将生)は、ガス自殺をはかろうとしている生徒を助け出すが、またもや殺人犯として疑いをかけられる。証言してもらいたくても少女は目覚めないまま。厄介は今日子(新垣結衣)に真相の究明を依頼し、2人は女子校に潜入。そんな中、厄介は事件当時に別の少女を現場で見かけた事を思い出す。果たして少女は自殺?それとも他の少女による殺人未遂?今日子は少女たちの心に迫っていく。【演出】小室直子【原作】西尾維新「忘却探偵シリーズ」  『掟上今日子の備忘録』『掟上今日子の推薦文』『掟上今日子の挑戦状』『掟上今日子の遺言書』  【脚本】野木亜紀子【音楽】笹野芽実、末廣健一郎  【主題歌】西野カナ「No.1」(ソニー・ミュージックレーベルズ/SMEレコーズ)  【オープニングテーマ】Goodbye　holiday「溢れるもの」(avex　trax)【プロデューサー】松本京子、森雅弘  【制作協力】日テレアックスオン</t>
  </si>
  <si>
    <t xml:space="preserve">  【スペシャルゲスト】吉田沙保里女子校の管理作業員として働き始めた厄介(岡田将生)は、ガス自殺をはかろうとしている生徒を助け出すが、またもや殺人犯として疑いをかけられる。証言してもらいたくても少女は目覚めないまま。厄介は今日子(新垣結衣)に真相の究明を依頼し、2人は女子校に潜入。そんな中、厄介は事件当時に別の少女を現場で見かけた事を思い出す。果たして少女は自殺?それとも他の少女による殺人未遂?今日子は少女たちの心に迫っていく。</t>
  </si>
  <si>
    <t>番組名掟上今日子の備忘録　#7</t>
  </si>
  <si>
    <t>新垣結衣、岡田将生、及川光博、有岡大貴(Hey!Say!JUMP)、内田理央ほか今日子(新垣結衣)と厄介(岡田将生)に、先日亡くなった推理作家・須永昼兵衛に自殺の可能性が出てきたため、真実を調べてほしいという依頼が来る。今日子は、調査のため須永の全著作99冊を読破すると言い出し、自分が眠らないよう厄介に見張ってくれと頼む。部屋に閉じこもり読書をするうちに、距離も縮まっていく2人・・・しかし、数日が過ぎるうちに心も体も限界をむかえ、遂に今日子はシャワー室で倒れてしまう…【演出】佐藤東弥【原作】西尾維新「忘却探偵シリーズ」  『掟上今日子の備忘録』『掟上今日子の推薦文』『掟上今日子の挑戦状』『掟上今日子の遺言書』  【脚本】野木亜紀子【音楽】笹野芽実、末廣健一郎  【主題歌】西野カナ「No.1」(ソニー・ミュージックレーベルズ/SMEレコーズ)  【オープニングテーマ】Goodbye　holiday「溢れるもの」(avex　trax)【プロデューサー】松本京子、森雅弘  【制作協力】日テレアックスオン</t>
  </si>
  <si>
    <t>今日子(新垣結衣)と厄介(岡田将生)に、先日亡くなった推理作家・須永昼兵衛に自殺の可能性が出てきたため、真実を調べてほしいという依頼が来る。今日子は、調査のため須永の全著作99冊を読破すると言い出し、自分が眠らないよう厄介に見張ってくれと頼む。部屋に閉じこもり読書をするうちに、距離も縮まっていく2人・・・しかし、数日が過ぎるうちに心も体も限界をむかえ、遂に今日子はシャワー室で倒れてしまう…</t>
  </si>
  <si>
    <t>番組名掟上今日子の備忘録　#8</t>
  </si>
  <si>
    <t>新垣結衣、岡田将生、及川光博、有岡大貴(Hey!Say!JUMP)、内田理央ほか厄介(岡田将生)への信頼を深めた今日子(新垣結衣)は体に「厄介さん信頼できる」と書いて眠るが、目を覚ますと“厄介さん”が誰か覚えていない。そんな中、今日子は捜査一課長の妻(石田ひかり)に頼まれ殺人事件の調査を行う。第一発見者はバイトとして働いていた厄介。厄介は無実を訴えるが、今日子はなぜ「昨日の自分」が厄介を信頼できると書いたのか分からない。今日子は殺人の謎を解きながら厄介とは何者かを探っていく。【演出】茂山佳則【原作】西尾維新「忘却探偵シリーズ」  『掟上今日子の備忘録』『掟上今日子の推薦文』『掟上今日子の挑戦状』『掟上今日子の遺言書』  【脚本】野木亜紀子【音楽】笹野芽実、末廣健一郎  【主題歌】西野カナ「No.1」(ソニー・ミュージックレーベルズ/SMEレコーズ)  【オープニングテーマ】Goodbye　holiday「溢れるもの」(avex　trax)【プロデューサー】松本京子、森雅弘  【制作協力】日テレアックスオン</t>
  </si>
  <si>
    <t>厄介(岡田将生)への信頼を深めた今日子(新垣結衣)は体に「厄介さん信頼できる」と書いて眠るが、目を覚ますと“厄介さん”が誰か覚えていない。そんな中、今日子は捜査一課長の妻(石田ひかり)に頼まれ殺人事件の調査を行う。第一発見者はバイトとして働いていた厄介。厄介は無実を訴えるが、今日子はなぜ「昨日の自分」が厄介を信頼できると書いたのか分からない。今日子は殺人の謎を解きながら厄介とは何者かを探っていく。</t>
  </si>
  <si>
    <t>番組名掟上今日子の備忘録　#9</t>
  </si>
  <si>
    <t>新垣結衣、岡田将生、及川光博、有岡大貴(Hey!Say!JUMP)、内田理央ほか今日子(新垣結衣)は誰かに利用されているのではないかと心配な厄介(岡田将生)は、法郎(及川光博)がカギを握る人物と考え調査を開始。一方、今日子は会社社長の結納坂(要潤)から、ある暗号を解き明かしてほしいと依頼をうける。謎を解きながら、結納坂という男とこの依頼には何か裏があると感じはじめる今日子…。その頃、厄介は初めてOKしてもらった今日子とのデートのため、映画館の前で待ち続けるが…。【演出】佐藤東弥、茂山佳則、小室直子【原作】西尾維新「忘却探偵シリーズ」  『掟上今日子の備忘録』『掟上今日子の推薦文』『掟上今日子の挑戦状』『掟上今日子の遺言書』  【脚本】野木亜紀子【音楽】笹野芽実、末廣健一郎【プロデューサー】松本京子、森雅弘  【制作協力】日テレアックスオン</t>
  </si>
  <si>
    <t>今日子(新垣結衣)は誰かに利用されているのではないかと心配な厄介(岡田将生)は、法郎(及川光博)がカギを握る人物と考え調査を開始。一方、今日子は会社社長の結納坂(要潤)から、ある暗号を解き明かしてほしいと依頼をうける。謎を解きながら、結納坂という男とこの依頼には何か裏があると感じはじめる今日子…。その頃、厄介は初めてOKしてもらった今日子とのデートのため、映画館の前で待ち続けるが…。</t>
  </si>
  <si>
    <t>番組名掟上今日子の備忘録　#10</t>
  </si>
  <si>
    <t>新垣結衣、岡田将生、及川光博、有岡大貴(Hey!Say!JUMP)、内田理央ほか今日子(新垣結衣)が消えて10日。厄介(岡田将生)は街で黒髪の今日子を見つける。しかし今日子は“掟上今日子”という名前も忘れていた。そんな厄介の前に澤野(要潤)が。澤野によると今日子は自分の妻であり、ある日突然いなくなったため何年も探しやっと見つけたのだという。厄介は今日子の幸せを壊したくないと彼女に別れを告げる。一方「サンドグラス」は閉鎖の危機に。今日子が探偵として生きた痕跡は次々と消えていく…【演出】佐藤東弥【原作】西尾維新「忘却探偵シリーズ」  『掟上今日子の備忘録』『掟上今日子の推薦文』『掟上今日子の挑戦状』『掟上今日子の遺言書』  【脚本】野木亜紀子【音楽】笹野芽実、末廣健一郎  【主題歌】西野カナ「No.1」(ソニー・ミュージックレーベルズ/SMEレコーズ)  【オープニングテーマ】Goodbye　holiday「溢れるもの」(avex　trax)【プロデューサー】松本京子、森雅弘  【制作協力】日テレアックスオン</t>
  </si>
  <si>
    <t>今日子(新垣結衣)が消えて10日。厄介(岡田将生)は街で黒髪の今日子を見つける。しかし今日子は“掟上今日子”という名前も忘れていた。そんな厄介の前に澤野(要潤)が。澤野によると今日子は自分の妻であり、ある日突然いなくなったため何年も探しやっと見つけたのだという。厄介は今日子の幸せを壊したくないと彼女に別れを告げる。一方「サンドグラス」は閉鎖の危機に。今日子が探偵として生きた痕跡は次々と消えていく…</t>
  </si>
  <si>
    <t>1510_NTV_日22</t>
  </si>
  <si>
    <t>エンジェル・ハート</t>
  </si>
  <si>
    <t>番組名エンジェル・ハート　#1</t>
  </si>
  <si>
    <t>上川隆也、三吉彩花、相武紗季、三浦翔平、ブラザートム、ミッキー・カーチス、和泉崇司、山寺宏一、ゴリ(ガレッジセール)、高橋努、齋藤めぐみ、戸塚純貴、高島礼子(特別出演)、竜雷太　ほかリョウ(上川)は一見お調子者の男。しかし彼の正体はシティハンターと呼ばれる凄腕のスイーパー≪始末屋≫。依頼を受け街の悪どもを懲らしめ始末するのが彼の稼業。相棒でフィアンセの香(相武)は彼を支える最大の理解者。しかし二人に絶体絶命のピンチが訪れる。香を襲う不慮の事故、そして死。一年後、リョウの前に現れる謎の美少女・グラスハート(三吉)。彼女は脳死状態の香の心臓が移植され蘇った秘密結社の暗殺者だった!【演出】狩山俊輔【原作】北条司『エンジェル・ハート』  【脚本】高橋悠也【主題歌】西内まりや『Save　me』(SONIC　GROOVE)  【劇伴】金子隆博【制作協力】ケイファクトリー</t>
  </si>
  <si>
    <t>リョウ(上川)は一見お調子者の男。しかし彼の正体はシティハンターと呼ばれる凄腕のスイーパー≪始末屋≫。依頼を受け街の悪どもを懲らしめ始末するのが彼の稼業。相棒でフィアンセの香(相武)は彼を支える最大の理解者。しかし二人に絶体絶命のピンチが訪れる。香を襲う不慮の事故、そして死。一年後、リョウの前に現れる謎の美少女・グラスハート(三吉)。彼女は脳死状態の香の心臓が移植され蘇った秘密結社の暗殺者だった!</t>
  </si>
  <si>
    <t>番組名エンジェル・ハート　#2</t>
  </si>
  <si>
    <t>上川隆也、三吉彩花、相武紗季、三浦翔平、ブラザートム、ミッキー・カーチス、和泉崇司、山寺宏一、ゴリ(ガレッジセール)、高橋努、齋藤めぐみ、戸塚純貴、葛山信吾、高島礼子(特別出演)、竜雷太　ほか香(相武)の心臓を受け継いだグラス・ハート(三吉)が、暗殺者ではなく普通の女性として生きるための手助けをしようとするリョウ(上川)。しかしそれは一筋縄にはいかなかった。そんなおり、ドク(ミッキー)はグラス・ハートにリョウがシティハンターを始めることになったいきさつを語り始める。それはリョウと香の兄・槇村(葛山信吾)との出会いから始まった。さらに、それはある悲しい物語の始まりでもあった。【演出】鈴木勇馬【原作】北条司『エンジェル・ハート』  【脚本】高橋悠也【主題歌】西内まりや『Save　me』(SONIC　GROOVE)  【劇伴】金子隆博【制作協力】ケイファクトリー</t>
  </si>
  <si>
    <t>香(相武)の心臓を受け継いだグラス・ハート(三吉)が、暗殺者ではなく普通の女性として生きるための手助けをしようとするリョウ(上川)。しかしそれは一筋縄にはいかなかった。そんなおり、ドク(ミッキー)はグラス・ハートにリョウがシティハンターを始めることになったいきさつを語り始める。それはリョウと香の兄・槇村(葛山信吾)との出会いから始まった。さらに、それはある悲しい物語の始まりでもあった。</t>
  </si>
  <si>
    <t>番組名エンジェル・ハート　#3</t>
  </si>
  <si>
    <t>上川隆也、三吉彩花、相武紗季、三浦翔平、ブラザートム、ミッキー・カーチス、和泉崇司、山寺宏一、ゴリ(ガレッジセール)、高橋努、齋藤めぐみ、戸塚純貴、渡邉このみ、高島礼子(特別出演)、竜雷太　ほか最近ファルコン(ブラザートム)の様子がおかしい。ボーッと上の空かと思えば、昼頃にいそいそと出かけていくのだ。聞けばファルコンは公園で少女ミキ(渡邉このみ)と会い絵本を読んでもらっているらしい。少女は学校にも行かず新宿界隈をフラフラしているのだ。あるときリョウ(上川)とシャンイン(三吉)はミキがテナントビルの一隅で一人で住んでいることを知る。さらに冴子(高島)の調査で少女の悲しい境遇が明らかになる。【演出】狩山俊輔【原作】北条司『エンジェル・ハート』  【脚本】高橋悠也【主題歌】西内まりや『Save　me』(SONIC　GROOVE)  【劇伴】金子隆博【制作協力】ケイファクトリー</t>
  </si>
  <si>
    <t>最近ファルコン(ブラザートム)の様子がおかしい。ボーッと上の空かと思えば、昼頃にいそいそと出かけていくのだ。聞けばファルコンは公園で少女ミキ(渡邉このみ)と会い絵本を読んでもらっているらしい。少女は学校にも行かず新宿界隈をフラフラしているのだ。あるときリョウ(上川)とシャンイン(三吉)はミキがテナントビルの一隅で一人で住んでいることを知る。さらに冴子(高島)の調査で少女の悲しい境遇が明らかになる。</t>
  </si>
  <si>
    <t>番組名エンジェル・ハート　#4</t>
  </si>
  <si>
    <t>上川隆也、三吉彩花、相武紗季、三浦翔平、ブラザートム、ミッキー・カーチス、和泉崇司、山寺宏一、ゴリ(ガレッジセール)、高橋努、齋藤めぐみ、戸塚純貴、高島礼子(特別出演)、竜雷太　ほかシティハンターを再開したリョウ(上川)のもとに依頼人の高畑(鳥羽潤)がやってくる。高畑は15年前に心臓移植手術を受けており、心臓を提供してくれたドナーの家族に礼をしたいので探したいと言う。さらに「先日、ある見知らぬ女性に出会ったとき、なぜか心臓がドクンと高鳴った」と話す高畑に、リョウとシャンイン(三吉)は他人事とは思えず依頼を引き受けることに。【演出】鈴木勇馬【原作】北条司『エンジェル・ハート』  【脚本】高橋悠也【主題歌】西内まりや『Save　me』(SONIC　GROOVE)  【劇伴】金子隆博【制作協力】ケイファクトリー</t>
  </si>
  <si>
    <t>シティハンターを再開したリョウ(上川)のもとに依頼人の高畑(鳥羽潤)がやってくる。高畑は15年前に心臓移植手術を受けており、心臓を提供してくれたドナーの家族に礼をしたいので探したいと言う。さらに「先日、ある見知らぬ女性に出会ったとき、なぜか心臓がドクンと高鳴った」と話す高畑に、リョウとシャンイン(三吉)は他人事とは思えず依頼を引き受けることに。</t>
  </si>
  <si>
    <t>番組名エンジェル・ハート　#5</t>
  </si>
  <si>
    <t>上川隆也、三吉彩花、相武紗季、三浦翔平、ブラザートム、ミッキー・カーチス、和泉崇司、山寺宏一、ゴリ(ガレッジセール)、高橋努、齋藤めぐみ、戸塚純貴、高島礼子(特別出演)、竜雷太　ほか喫茶キャッツアイにやってきた美女パイラン(前田亜季)。彼女はかつてシンホン(三浦)がいた組織レギオンの仲間で、街で偶然シンホンを見かけたのだと言う。リョウ(上川)はパイランがレギオンの敵対組織の会長・早川(岩城滉一)のもとに身を置いていることを突き止める。早川は2年前に実の娘を亡くしており、パイランを「娘に生き写しだ」と可愛がっていたのだ。果たしてパイランの目的とは…。【原作】北条司『エンジェル・ハート』  【脚本】高橋悠也【主題歌】西内まりや『Save　me』(SONIC　GROOVE)  【劇伴】金子隆博【制作協力】ケイファクトリー</t>
  </si>
  <si>
    <t>喫茶キャッツアイにやってきた美女パイラン(前田亜季)。彼女はかつてシンホン(三浦)がいた組織レギオンの仲間で、街で偶然シンホンを見かけたのだと言う。リョウ(上川)はパイランがレギオンの敵対組織の会長・早川(岩城滉一)のもとに身を置いていることを突き止める。早川は2年前に実の娘を亡くしており、パイランを「娘に生き写しだ」と可愛がっていたのだ。果たしてパイランの目的とは…。</t>
  </si>
  <si>
    <t>番組名エンジェル・ハート　#6</t>
  </si>
  <si>
    <t>上川隆也、三吉彩花、相武紗季、三浦翔平、ブラザートム、ミッキー・カーチス、和泉崇司、山寺宏一、ゴリ(ガレッジセール)、高橋努、齋藤めぐみ、戸塚純貴、高島礼子(特別出演)、竜雷太　ほかリョウの元パートナー香の兄である槇村の命日に彼の墓前を訪れたリョウとシャンイン。そこには槇村の元恋人・冴子の姿があった。冴子はある決意の表情でリョウにXYZを告げる。十年前に槇村を殺した犯人・遠山一真からメールで挑戦状が届いたというのだ。遠山の真の目的とは…。リョウにとってシティハンターの元相棒、また香の兄であり、そして冴子の恋人だった槇村を殺した男……。その再来にそれぞれの複雑な想いが交錯する。【演出】狩山俊輔【原作】北条司『エンジェル・ハート』  【脚本】高橋悠也【主題歌】西内まりや『Save　me』(SONIC　GROOVE)  【劇伴】金子隆博【制作協力】ケイファクトリー</t>
  </si>
  <si>
    <t>リョウの元パートナー香の兄である槇村の命日に彼の墓前を訪れたリョウとシャンイン。そこには槇村の元恋人・冴子の姿があった。冴子はある決意の表情でリョウにXYZを告げる。十年前に槇村を殺した犯人・遠山一真からメールで挑戦状が届いたというのだ。遠山の真の目的とは…。リョウにとってシティハンターの元相棒、また香の兄であり、そして冴子の恋人だった槇村を殺した男……。その再来にそれぞれの複雑な想いが交錯する。</t>
  </si>
  <si>
    <t>番組名エンジェル・ハート　#7</t>
  </si>
  <si>
    <t>上川隆也、三吉彩花、相武紗季、三浦翔平、ブラザートム、ミッキー・カーチス、和泉崇司、山寺宏一、ゴリ(ガレッジセール)、高橋努、齋藤めぐみ、戸塚純貴、高島礼子(特別出演)、竜雷太　ほか天才ピアニストと呼ばれる少女・夢がキャッツアイを訪ねてきた。夢は1年前殺された父親が何者だったのかを知りたいと言う。そして誰が父親を殺したのかも……。だがシャンインはその答えを知っていた。夢の父親を殺したのはグラス・ハート、すなわちレギオンの暗殺部隊の一員だった頃のシャンインだったのだ。シャンインは「私、逃げない」と依頼を引き受けることを決意するのだが…。【原作】北条司『エンジェル・ハート』  【脚本】高橋悠也【主題歌】西内まりや『Save　me』(SONIC　GROOVE)  【劇伴】金子隆博【制作協力】ケイファクトリー</t>
  </si>
  <si>
    <t>天才ピアニストと呼ばれる少女・夢がキャッツアイを訪ねてきた。夢は1年前殺された父親が何者だったのかを知りたいと言う。そして誰が父親を殺したのかも……。だがシャンインはその答えを知っていた。夢の父親を殺したのはグラス・ハート、すなわちレギオンの暗殺部隊の一員だった頃のシャンインだったのだ。シャンインは「私、逃げない」と依頼を引き受けることを決意するのだが…。</t>
  </si>
  <si>
    <t>番組名エンジェル・ハート　#8</t>
  </si>
  <si>
    <t>上川隆也、三吉彩花、相武紗季、三浦翔平、ブラザートム、ミッキー・カーチス、和泉崇司、山寺宏一、ゴリ(ガレッジセール)、高橋努、齋藤めぐみ、戸塚純貴、高島礼子(特別出演)、竜雷太　ほかレギオンのトップ李の指令により、ついにシャンインはカリートによって連れ去られてしまった。さらに街のいたるところにレギオンの暗殺部隊たちが不穏な動きを見せ始める。いったい、彼らは何をしようとしているのか…?このピンチにいっそう結束を強くするリョウとキャッツアイの仲間たち。巨大組織・レギオンに立ち向かうつもりなのか?果たしてシャンインを救い出すことはできるのか?物語はいよいよクライマックスへ突入!【原作】北条司『エンジェル・ハート』  【脚本】高橋悠也【主題歌】西内まりや『Save　me』(SONIC　GROOVE)  【劇伴】金子隆博【制作協力】ケイファクトリー</t>
  </si>
  <si>
    <t>レギオンのトップ李の指令により、ついにシャンインはカリートによって連れ去られてしまった。さらに街のいたるところにレギオンの暗殺部隊たちが不穏な動きを見せ始める。いったい、彼らは何をしようとしているのか…?このピンチにいっそう結束を強くするリョウとキャッツアイの仲間たち。巨大組織・レギオンに立ち向かうつもりなのか?果たしてシャンインを救い出すことはできるのか?物語はいよいよクライマックスへ突入!</t>
  </si>
  <si>
    <t>番組名エンジェル・ハート　#9</t>
  </si>
  <si>
    <t>上川隆也、三吉彩花、相武紗季、三浦翔平、ブラザートム、ミッキー・カーチス、和泉崇司、山寺宏一、ゴリ(ガレッジセール)、高橋努、齋藤めぐみ、戸塚純貴、高島礼子(特別出演)、竜雷太　ほか誘拐されたシャンインを救い出すためレギオン本部に乗り込んだリョウとシンホン、そしてファルコン。それぞれの場所で決死の覚悟で闘う仲間の想いを胸に、リョウはレギオンとの最後の闘いに挑む。そしてリョウの前に現れる一人の男、それはレギオン会長・李だった。李の口から語られたのは、信じがたいシャンインの出生の秘密だった。果たしてリョウたちはシャンインを救い出せるのか!物語は運命的な結末を迎える。【原作】北条司『エンジェル・ハート』  【脚本】高橋悠也【主題歌】西内まりや『Save　me』(SONIC　GROOVE)  【劇伴】金子隆博【制作協力】ケイファクトリー</t>
  </si>
  <si>
    <t>誘拐されたシャンインを救い出すためレギオン本部に乗り込んだリョウとシンホン、そしてファルコン。それぞれの場所で決死の覚悟で闘う仲間の想いを胸に、リョウはレギオンとの最後の闘いに挑む。そしてリョウの前に現れる一人の男、それはレギオン会長・李だった。李の口から語られたのは、信じがたいシャンインの出生の秘密だった。果たしてリョウたちはシャンインを救い出せるのか!物語は運命的な結末を迎える。</t>
  </si>
  <si>
    <t>1507_NTV_水22</t>
  </si>
  <si>
    <t>花咲舞が黙ってない</t>
  </si>
  <si>
    <t>番組名花咲舞が黙ってない　#1</t>
  </si>
  <si>
    <t>杏、上川隆也、塚地武雅(ドランクドラゴン)、榎木孝明、  石橋凌、甲本雅裕、大杉漣、生瀬勝久  寺脇康文、片瀬那奈、佐藤B作、小松和重、児嶋一哉(アンジャッシュ)舞(杏)と相馬(上川隆也)がコンビを組んで1年余りが過ぎた。ある日二人は、投資信託トラブルを起こした日本橋支店へ臨店する。顧客の諸角産業が、三千万円の投資信託を購入し半年後に解約したところ、三百万円の損失が出た。だが諸角社長が言うには、購入時に渉外課の北原有里(片瀬那奈)から「元本は保証する。損はしない」と説明されていたという。支店長の橋爪(寺脇康文)も、「そんなのは言いがかりだ」と取り合わず…。【演出】南雲聖一【脚本】松田裕子【音楽】菅野祐悟、得田真裕  【主題歌】福山雅治「I　am　a　HERO」(アミューズ/ユニバーサルJ)【チーフプロデューサー】伊藤響  【プロデューサー】加藤正俊　柳内久仁子  【制作協力】日テレアックスオン  【製作著作】日本テレビ</t>
  </si>
  <si>
    <t>舞(杏)と相馬(上川隆也)がコンビを組んで1年余りが過ぎた。ある日二人は、投資信託トラブルを起こした日本橋支店へ臨店する。顧客の諸角産業が、三千万円の投資信託を購入し半年後に解約したところ、三百万円の損失が出た。だが諸角社長が言うには、購入時に渉外課の北原有里(片瀬那奈)から「元本は保証する。損はしない」と説明されていたという。支店長の橋爪(寺脇康文)も、「そんなのは言いがかりだ」と取り合わず…。</t>
  </si>
  <si>
    <t>番組名花咲舞が黙ってない　#2</t>
  </si>
  <si>
    <t>杏、上川隆也、成宮寛貴、塚地武雅(ドランクドラゴン)、榎木孝明、石橋凌、甲本雅裕、大杉漣、生瀬勝久、金田明夫、おかやまはじめ、冨家規政　ほか舞(杏)と相馬(上川隆也)は、真藤(生瀬勝久)派閥の中北(金田明夫)が支店長を務める五反田支店へ臨店する。そこで二人は、相馬のかつての部下で融資課の松木(成宮寛貴)と出会う。松木は、担当するスーパー・あづみ屋ストアへの融資1億円を、中北から突然回収しろと指示され、悩んでいた。小さなスーパーを救おうとする松木の思いに動かされ、突然の融資回収の真相を調べ始める舞と相馬。そこには、不正が潜んでいた…。【演出】佐久間紀佳【原作】池井戸潤「不祥事」(実業之日本社・講談社文庫)  「銀行仕置人」(双葉文庫)【音楽】菅野祐悟、得田真裕  【主題歌】福山雅治「I　am　a　HERO」(アミューズ/ユニバーサルJ)【チーフプロデューサー】伊藤響  【プロデューサー】加藤正俊　柳内久仁子  【制作協力】日テレアックスオン  【製作著作】日本テレビ</t>
  </si>
  <si>
    <t>舞(杏)と相馬(上川隆也)は、真藤(生瀬勝久)派閥の中北(金田明夫)が支店長を務める五反田支店へ臨店する。そこで二人は、相馬のかつての部下で融資課の松木(成宮寛貴)と出会う。松木は、担当するスーパー・あづみ屋ストアへの融資1億円を、中北から突然回収しろと指示され、悩んでいた。小さなスーパーを救おうとする松木の思いに動かされ、突然の融資回収の真相を調べ始める舞と相馬。そこには、不正が潜んでいた…。</t>
  </si>
  <si>
    <t>番組名花咲舞が黙ってない　#3</t>
  </si>
  <si>
    <t>杏、上川隆也、塚地武雅(ドランクドラゴン)、  石橋凌、甲本雅裕、大杉漣、生瀬勝久、  内山理名、正名僕蔵、袴田吉彦、宮地雅子、遠山俊也六本木支店で300万円の現金が紛失する事件が発生し、舞(杏)と相馬(上川隆也)は緊急臨店を命じられる。営業課長・神田(正名僕蔵)によると、支店中をくまなく調べたが現金は見つからないという。やむを得ず行員たちの私物検査、ロッカーの検査までするが、それでも300万円は出てこない。舞と相馬は、もう一度防犯カメラの映像を調べることに。すると、テラーの恭子(内山理名)の動きに、不審な点がある事に気づく…。【演出】鈴木勇馬【原作】池井戸潤「不祥事」(実業之日本社・講談社文庫)  　　　　　　　　「銀行狐」(講談社文庫)  【脚本】松田裕子【音楽】菅野祐悟、得田真裕  【主題歌】福山雅治「I　am　a　HERO」(アミューズ/ユニバーサルJ)【チーフプロデューサー】伊藤響  【プロデューサー】加藤正俊　柳内久仁子  【制作協力】日テレアックスオン  【製作著作】日本テレビ</t>
  </si>
  <si>
    <t>六本木支店で300万円の現金が紛失する事件が発生し、舞(杏)と相馬(上川隆也)は緊急臨店を命じられる。営業課長・神田(正名僕蔵)によると、支店中をくまなく調べたが現金は見つからないという。やむを得ず行員たちの私物検査、ロッカーの検査までするが、それでも300万円は出てこない。舞と相馬は、もう一度防犯カメラの映像を調べることに。すると、テラーの恭子(内山理名)の動きに、不審な点がある事に気づく…。</t>
  </si>
  <si>
    <t>番組名花咲舞が黙ってない　#4</t>
  </si>
  <si>
    <t>杏、上川隆也、塚地武雅(ドランクドラゴン)、  甲本雅裕、大杉漣、生瀬勝久  渡辺いっけい、中越典子、山田純大、長田成哉  町田支店で女性行員・美樹(中越典子)がストーカー被害に遭うという事件が発生する。同僚の行員による犯行の可能性があり、舞(杏)と相馬(上川隆也)は内密に調査することに。だが怪しい人物は見つからず、支店長・春日(山田純大)と融資課長・小見山(渡辺いっけい)は「思い過ごしだ」と、事態を終息させようとする。ストーカー犯を捕まえるため、美樹の帰り道を張り込む舞と相馬。すると、不審な男の姿が現れる…。【演出】佐久間紀佳【原作】池井戸潤「不祥事」(実業之日本社・講談社文庫)  「銀行総務特命」(講談社文庫)  【脚本】横田理恵  【音楽】菅野祐悟、得田真裕  【主題歌】福山雅治「I　am　a　HERO」(アミューズ/ユニバーサルJ)【チーフプロデューサー】伊藤響  【プロデューサー】加藤正俊　柳内久仁子  【制作協力】日テレアックスオン  【製作著作】日本テレビ</t>
  </si>
  <si>
    <t>町田支店で女性行員・美樹(中越典子)がストーカー被害に遭うという事件が発生する。同僚の行員による犯行の可能性があり、舞(杏)と相馬(上川隆也)は内密に調査することに。だが怪しい人物は見つからず、支店長・春日(山田純大)と融資課長・小見山(渡辺いっけい)は「思い過ごしだ」と、事態を終息させようとする。ストーカー犯を捕まえるため、美樹の帰り道を張り込む舞と相馬。すると、不審な男の姿が現れる…。</t>
  </si>
  <si>
    <t>番組名花咲舞が黙ってない　#5</t>
  </si>
  <si>
    <t>杏、上川隆也、成宮寛貴、塚地武雅(ドランクドラゴン)、  甲本雅裕、大杉漣、生瀬勝久  石黒賢、財前直見相馬(上川隆也)は大学の同窓会で元妻の由美(財前直見)と、友人の青井(石黒賢)と再会する。IT企業を立ち上げていた青井は、再会を機に東京第一銀行に融資を依頼。相馬の紹介で五反田支店の松木(成宮寛貴)が担当になり、融資の話は順調に進む。だが、松木から融資の稟議書を見せられた相馬は青井の会社の業績の不審な点に気づき、舞(杏)と共に詳しく調査を始める。果たして、友人との再会が相馬にもたらした事件とは…。【演出】南雲聖一【原作】池井戸潤「不祥事」(実業之日本社・講談社文庫)「仇敵」(講談社文庫)  【脚本】梅田みか【音楽】菅野祐悟、得田真裕  【主題歌】福山雅治「I　am　a　HERO」(アミューズ/ユニバーサルJ)【チーフプロデューサー】伊藤響  【プロデューサー】加藤正俊　柳内久仁子  【制作協力】日テレアックスオン  【製作著作】日本テレビ</t>
  </si>
  <si>
    <t>相馬(上川隆也)は大学の同窓会で元妻の由美(財前直見)と、友人の青井(石黒賢)と再会する。IT企業を立ち上げていた青井は、再会を機に東京第一銀行に融資を依頼。相馬の紹介で五反田支店の松木(成宮寛貴)が担当になり、融資の話は順調に進む。だが、松木から融資の稟議書を見せられた相馬は青井の会社の業績の不審な点に気づき、舞(杏)と共に詳しく調査を始める。果たして、友人との再会が相馬にもたらした事件とは…。</t>
  </si>
  <si>
    <t>番組名花咲舞が黙ってない　#6</t>
  </si>
  <si>
    <t>杏、上川隆也、塚地武雅(ドランクドラゴン)、  榎木孝明、石橋凌、甲本雅裕、大杉漣、生瀬勝久  東幹久、石橋保、笠原秀幸、土屋裕一舞(杏)と相馬(上川隆也)は、支店の融資が正しく行われているかをチェックする「与信検査」への応援を命じられる。検査を指揮する氷室(東幹久)は“支店荒らし”と噂されるほど厳しく高圧的な人物で、舞はそんな氷室の態度に嫌悪感を覚える。一方、相馬は氷室の動向に目を光らせる。実は「氷室が支店の行員の弱みを握って脅し、金銭を要求している」という内部告発があり、それが事実かどうかを探るのが応援の目的だったのだ。【演出】佐久間紀佳【原作】池井戸潤「不祥事」(実業之日本社・講談社文庫)「かばん屋の相続」(文春文庫)  【脚本】松田裕子【音楽】菅野祐悟、得田真裕  【主題歌】福山雅治「I　am　a　HERO」(アミューズ/ユニバーサルJ)【チーフプロデューサー】伊藤響  【プロデューサー】加藤正俊　柳内久仁子  【制作協力】日テレアックスオン  【製作著作】日本テレビ</t>
  </si>
  <si>
    <t>舞(杏)と相馬(上川隆也)は、支店の融資が正しく行われているかをチェックする「与信検査」への応援を命じられる。検査を指揮する氷室(東幹久)は“支店荒らし”と噂されるほど厳しく高圧的な人物で、舞はそんな氷室の態度に嫌悪感を覚える。一方、相馬は氷室の動向に目を光らせる。実は「氷室が支店の行員の弱みを握って脅し、金銭を要求している」という内部告発があり、それが事実かどうかを探るのが応援の目的だったのだ。</t>
  </si>
  <si>
    <t>番組名花咲舞が黙ってない　#7</t>
  </si>
  <si>
    <t>杏、上川隆也、成宮寛貴、塚地武雅(ドランクドラゴン)、  甲本雅裕、大杉漣、生瀬勝久  戸次重幸、音尾琢真、まいど豊、小松彩夏、丸高愛実舞(杏)と相馬(上川隆也)は、取引先の財務情報が漏洩した五反田支店へ赴く。担当の松木(成宮寛貴)が、サワダ建業のクレジットファイルを支店の外に持ち出し、それをどこかで盗まれてしまった。そして、何者かから「ファイルを拾った」と電話が入り、100万円もの謝礼を要求されているという。銀行の内部資料が盗まれたとなると、東京第一銀行を揺るがす不祥事。舞たちは松木のためにも、事件解決の手がかりを探り始める…。【演出】南雲聖一【原作】池井戸潤「不祥事」(実業之日本社・講談社文庫)「仇敵」(講談社文庫)  【脚本】梅田みか【音楽】菅野祐悟、得田真裕  【主題歌】福山雅治「I　am　a　HERO」(アミューズ/ユニバーサルJ)  【チーフプロデューサー】伊藤響  【プロデューサー】加藤正俊　柳内久仁子  【制作協力】日テレアックスオン  【製作著作】日本テレビ</t>
  </si>
  <si>
    <t>舞(杏)と相馬(上川隆也)は、取引先の財務情報が漏洩した五反田支店へ赴く。担当の松木(成宮寛貴)が、サワダ建業のクレジットファイルを支店の外に持ち出し、それをどこかで盗まれてしまった。そして、何者かから「ファイルを拾った」と電話が入り、100万円もの謝礼を要求されているという。銀行の内部資料が盗まれたとなると、東京第一銀行を揺るがす不祥事。舞たちは松木のためにも、事件解決の手がかりを探り始める…。</t>
  </si>
  <si>
    <t>番組名花咲舞が黙ってない　#8</t>
  </si>
  <si>
    <t>杏、上川隆也、塚地武雅(ドランクドラゴン)、  甲本雅裕、大杉漣、生瀬勝久  半海一晃、小市慢太郎、高橋ひとみ、森岡豊、八十田勇一川崎支店の支店長・水原(半海一晃)、武蔵小杉支店の支店長・金田(森岡豊)が立て続けに何者かに襲われるという事件が発生する。仕事上の恨みによる犯行の可能性もあり、舞(杏)と相馬(上川隆也)は調査を命じられる。そして、水原と金田が7年前に一緒に働いていた虎ノ門支店で、一つの会社の倒産を巡り、暴力事件が起きていたことが発覚する。調べを進める舞と相馬。事件の裏には、悲しい真実が待ち受けていた……!【演出】佐久間紀佳【原作】池井戸潤「不祥事」(実業之日本社・講談社文庫)  「銀行総務特命」(講談社文庫)  【脚本】横田理恵【音楽】菅野祐悟、得田真裕  【主題歌】福山雅治「I　am　a　HERO」(アミューズ/ユニバーサルJ)  【チーフプロデューサー】伊藤響  【プロデューサー】加藤正俊　柳内久仁子  【制作協力】日テレアックスオン  【製作著作】日本テレビ</t>
  </si>
  <si>
    <t>川崎支店の支店長・水原(半海一晃)、武蔵小杉支店の支店長・金田(森岡豊)が立て続けに何者かに襲われるという事件が発生する。仕事上の恨みによる犯行の可能性もあり、舞(杏)と相馬(上川隆也)は調査を命じられる。そして、水原と金田が7年前に一緒に働いていた虎ノ門支店で、一つの会社の倒産を巡り、暴力事件が起きていたことが発覚する。調べを進める舞と相馬。事件の裏には、悲しい真実が待ち受けていた……!</t>
  </si>
  <si>
    <t>番組名花咲舞が黙ってない　#9</t>
  </si>
  <si>
    <t>杏、上川隆也、塚地武雅(ドランクドラゴン)、  甲本雅裕、大杉漣、生瀬勝久  中村ゆり、和田正人、佐戸井けん太三鷹支店で一千万円の手形が紛失する事件が発生する。舞(杏)と相馬(上川隆也)が駆けつけると、支店内では行員総出で手形を探していた。舞は、偶然再会した先輩行員・香澄(中村ゆり)らと共に手形の捜索を手伝うが、結局見つからない。そこで、手形をなくした融資課員・堀田(和田正人)の行動の足取りをたどることに。すると、堀田がカワバタ機械で手形を受け取ってから支店に戻る間に、空白の一時間があることが判明する…。【演出】鈴木勇馬【原作】池井戸潤「不祥事」(実業之日本社・講談社文庫)  「かばん屋の相続」(文春文庫)  【脚本】梅田みか【音楽】菅野祐悟、得田真裕  【主題歌】福山雅治「I　am　a　HERO」(アミューズ/ユニバーサルJ)  【チーフプロデューサー】伊藤響  【プロデューサー】加藤正俊　柳内久仁子  【制作協力】日テレアックスオン  【製作著作】日本テレビ</t>
  </si>
  <si>
    <t>けん太三鷹支店で一千万円の手形が紛失する事件が発生する。舞(杏)と相馬(上川隆也)が駆けつけると、支店内では行員総出で手形を探していた。舞は、偶然再会した先輩行員・香澄(中村ゆり)らと共に手形の捜索を手伝うが、結局見つからない。そこで、手形をなくした融資課員・堀田(和田正人)の行動の足取りをたどることに。すると、堀田がカワバタ機械で手形を受け取ってから支店に戻る間に、空白の一時間があることが判明する…。</t>
  </si>
  <si>
    <t>番組名花咲舞が黙ってない　#10</t>
  </si>
  <si>
    <t>杏、上川隆也、塚地武雅(ドランクドラゴン)、  甲本雅裕、榎木孝明、大杉漣、石橋凌、生瀬勝久  津田寛治、大和田獏、山崎銀之丞インターネットの掲示板サイトに“狐”と名乗る人物から「豊洲支店をぶっつぶす」という書き込みがあり、舞(杏)と相馬(上川隆也)は豊洲支店へ赴く。閉店後、突然ゴミ集積所から火災が発生。現場検証の結果、ATMコーナーから集めたゴミの中に、時限発火装置が入れられていたことが判明する。防犯カメラの映像をチェックすると、そこには帽子とマスクで顔を隠した若い男が、ゴミ箱に不審なものを入れている姿が映っていた。【演出】南雲聖一【原作】池井戸潤「不祥事」(実業之日本社・講談社文庫)  「銀行狐」(講談社文庫)  【脚本】松田裕子【音楽】菅野祐悟、得田真裕  【主題歌】福山雅治「I　am　a　HERO」(アミューズ/ユニバーサルJ)  【チーフプロデューサー】伊藤響  【プロデューサー】加藤正俊　柳内久仁子  【制作協力】日テレアックスオン  【製作著作】日本テレビ</t>
  </si>
  <si>
    <t>インターネットの掲示板サイトに“狐”と名乗る人物から「豊洲支店をぶっつぶす」という書き込みがあり、舞(杏)と相馬(上川隆也)は豊洲支店へ赴く。閉店後、突然ゴミ集積所から火災が発生。現場検証の結果、ATMコーナーから集めたゴミの中に、時限発火装置が入れられていたことが判明する。防犯カメラの映像をチェックすると、そこには帽子とマスクで顔を隠した若い男が、ゴミ箱に不審なものを入れている姿が映っていた。</t>
  </si>
  <si>
    <t>番組名花咲舞が黙ってない　♯11　最終回10分拡大スペシャル</t>
  </si>
  <si>
    <t>杏、上川隆也、塚地武雅(ドランクドラゴン)、  甲本雅裕、榎木孝明、大杉漣、石橋凌、生瀬勝久  村井國夫、大高洋夫、大島さと子大手建設会社・蔵中建設が倒産し、行内が騒然とする中、「裏金一億円が東京第一銀行に賄賂として流れている」という告発のメールが届く。堂島専務(石橋凌)の命を受けて舞(杏)と相馬(上川隆也)が調べると、なんと、賄賂を受け取っていたのは真藤常務(生瀬勝久)だということが発覚する。衝撃の事実に心が揺れる舞。果たして事件の真相は?　真藤はなぜ金をもらったのか?　東京第一銀行最大の危機に、舞と相馬が立ち向かう【演出】南雲聖一【原作】池井戸潤「不祥事」(実業之日本社・講談社文庫)  「銀行総務特命」(講談社文庫)  【脚本】松田裕子【音楽】菅野祐悟、得田真裕  【主題歌】福山雅治「I　am　a　HERO」(アミューズ/ユニバーサルJ)  【チーフプロデューサー】伊藤響  【プロデューサー】加藤正俊、柳内久仁子  【制作協力】日テレアックスオン  【製作著作】日本テレビ</t>
  </si>
  <si>
    <t>大手建設会社・蔵中建設が倒産し、行内が騒然とする中、「裏金一億円が東京第一銀行に賄賂として流れている」という告発のメールが届く。堂島専務(石橋凌)の命を受けて舞(杏)と相馬(上川隆也)が調べると、なんと、賄賂を受け取っていたのは真藤常務(生瀬勝久)だということが発覚する。衝撃の事実に心が揺れる舞。果たして事件の真相は?　真藤はなぜ金をもらったのか?　東京第一銀行最大の危機に、舞と相馬が立ち向かう</t>
  </si>
  <si>
    <t>1507_NTV_木23</t>
  </si>
  <si>
    <t>婚活刑事</t>
  </si>
  <si>
    <t>番組名新ドラマ「婚活刑事」第一話★同級生と偶然の再会って、、、結婚の予感!?</t>
  </si>
  <si>
    <t>伊藤歩、小池徹平  升毅  森カンナ、栗山航、吉満寛人、加藤諒、赤星昇一郎  川村エミコ(たんぽぽ)、片岡明日香  鈴木砂羽  大杉漣  【第1話ゲスト】和田正人仕事に打ち込んでいる内に気付いたら35歳。両国署・刑事課の花田米子(伊藤歩)は婚活に励んでいた。ある日、婚活会場で高校の同級生、福田潤平(和田正人)と再会。意気投合した2人の距離は一気に縮まっていく。そんな折、ヤミ金の社長が殺害される。米子は超エリート刑事の藤岡躑躅(小池徹平)とコンビを組むが、潤平が容疑者の1人として浮上。潤平を信じる米子だったが…実は米子が好きになった男は全員犯罪者なのだ!!!【原作】  『婚活刑事シリーズ』安道やすみち(TO文庫刊)【主題歌】  「傷口」斉藤和義★データ放送プレゼント★  番組特製グッズが当たるスペシャルゲームを実施中!詳しくはdボタンを!(※一部地域を除く)【番組公式サイト】  http://www.ytv.co.jp/konkatsu/  【番組公式facebook】  https://www.facebook.com/konkatsu/  【番組公式instagram】  http://instagram.com/ytv.drama  【番組公式Twitter】  https://twitter.com/ytvdrama　#婚活刑事</t>
  </si>
  <si>
    <t>番組名「婚活刑事」第二話★エリート医師とまさかのキス!?セレブ婚なるか!</t>
  </si>
  <si>
    <t>伊藤歩、小池徹平  升毅、森カンナ、栗山航、吉満寛人、加藤諒、赤星昇一郎、川村エミコ(たんぽぽ)  片岡明日香  鈴木砂羽  大杉漣  【第2話ゲスト】中村俊介米子(伊藤歩)はスポーツジムのプールで溺れそうになった時に助けてくれた男性に恋心を抱く。そんな折、財田病院外科医の三好(堤匡孝)がホテルの非常階段から転落死。警察は事件と自殺の可能性を考えて捜査を進める。病院に聞き込みに行った米子は、院長の財田(中村俊介)と運命的な再会をする。三好の事件は自殺と判断されたが、躑躅(小池徹平)だけは納得できずに捜査を続けていた。  米子は財田の人柄に惹かれていくが…。【原作】『婚活刑事シリーズ』安道やすみち(TO文庫刊)【主題歌】「傷口」斉藤和義★データ放送プレゼント★  番組特製グッズが当たるスペシャルゲームを実施中!詳しくはdボタンを!(※一部地域を除く)    ★7月9日(木)よる9時から放送される  「秘密のケンミンSHOW　SP」  に、小池徹平さん出演!!【番組公式サイト】  http://www.ytv.co.jp/konkatsu/  【番組公式facebook】  https://www.facebook.com/konkatsu/  【番組公式instagram】  http://instagram.com/ytv.drama  【番組公式Twitter】  https://twitter.com/ytvdrama　#婚活刑事</t>
  </si>
  <si>
    <t>番組名「婚活刑事」第三話★料理合コンに4人のイケメン!米子は誰を好きになる?</t>
  </si>
  <si>
    <t>伊藤歩、小池徹平  升毅、森カンナ、栗山航、吉満寛人、加藤諒、赤星昇一郎、川村エミコ(たんぽぽ)  片岡明日香  鈴木砂羽  【第3話ゲスト】徳山秀典、坪倉由幸(我が家)、杉山裕之(我が家)、谷田部俊(我が家)米子(伊藤歩)は料理合コンに参加し、商社マンの火野(徳山秀典)、研究者の木原(坪倉由幸)、漁師の水島(杉山裕之)、機械メーカーの土田(谷田部俊)の4人の男性と知り合う。ただ、躑躅(小池徹平)達がこの様子を別室で監視し、OL変死事件の重要参考人として火野を追っていた。何も知らない米子は火野に好意を抱くが、火野は泡を噴いて絶命。宮谷(升毅)は“米子レーダー”を頼りに火野を毒殺した犯人を探そうとするが…【原作】『婚活刑事シリーズ』安道やすみち(TO文庫刊)【主題歌】「傷口」斉藤和義★データ放送プレゼント★  番組特製グッズが当たるスペシャルゲームを実施中!詳しくはdボタンを!【番組公式サイト】  http://www.ytv.co.jp/konkatsu/  【番組公式facebook】  https://www.facebook.com/konkatsu/  【番組公式instagram】  http://instagram.com/ytv.drama  【番組公式Twitter】  https://twitter.com/ytvdrama　#婚活刑事</t>
  </si>
  <si>
    <t>番組名「婚活刑事」第4話★イケメン詐欺師と愛の逃避行!ついに犯罪者と結婚!?</t>
  </si>
  <si>
    <t>伊藤歩、小池徹平  升毅、森カンナ、栗山航、吉満寛人、赤星昇一郎、川村エミコ(たんぽぽ)、片岡明日香  鈴木砂羽  【第4話ゲスト】阿部力米子(伊藤歩)は婚活アプリに登録し、フリースクールで子供達と野菜を作る井上(阿部力)と知り合う。米子は井上の考えに共感し、30万円を支払い、野菜を年間契約する。そんな折、詐欺に騙され借金苦で自殺した女性の遺体が発見される。後日、詐欺を強要されていたと井上から打ち明けられた米子だが、詐欺集団から土地の権利書を守ろうとする井上の力になり、2人の距離は一気に縮まる。そして井上からプロポーズされて…。【原作】  『婚活刑事シリーズ』安道やすみち(TO文庫刊)【主題歌】  「傷口」斉藤和義★データ放送プレゼント★  番組特製グッズが当たるスペシャルゲームを実施中!詳しくはdボタンを!【番組公式サイト】  http://www.ytv.co.jp/konkatsu/  【番組公式facebook】  https://www.facebook.com/konkatsu/  【番組公式instagram】  http://instagram.com/ytv.drama  【番組公式Twitter】  https://twitter.com/ytvdrama　#婚活刑事</t>
  </si>
  <si>
    <t>番組名「婚活刑事」第5話★同僚のカレと一夜の過ち!泥沼三角関係に隠された罠</t>
  </si>
  <si>
    <t>伊藤歩  小池徹平    升毅  森カンナ  栗山航  吉満寛人  赤星昇一郎  川村エミコ(たんぽぽ)  片岡明日香    鈴木砂羽    【第5話ゲスト】  深水元基米子(伊藤歩)は弥生(森カンナ)の彼氏であるワインバーオーナー来栖(深水元基)から悩みを相談される。米子は弥生の彼氏と分かっていながら優しい来栖に心をときめかせる。両国署では女性3人の失踪事件が発生し直前に3人と会っていた平川(やべけんじ)が疑われる。後日、ひょんな事から平川と一緒に飲む事になった米子。翌朝、ベッドで目覚めた米子の前には平川ではなく来栖がいた!?米子は来栖が好きと弥生に打ち明けて…【原作】  『婚活刑事シリーズ』安道やすみち(TO文庫刊)【主題歌】  「傷口」斉藤和義★データ放送プレゼント★  番組特製グッズが当たるスペシャルゲームを実施中!詳しくはdボタンを!    7月29日(水)よる7時放送  「1億人の大質問!?笑ってコラえて3時間スペシャル!!」に、鈴木砂羽さん出演!!    7月30日(木)よる9時放送  「秘密のケンミンSHOW」に、大杉漣さん出演!!【番組公式サイト】  http://www.ytv.co.jp/konkatsu/  【番組公式LINE】  ID:konkatsudeka  【番組公式instagram】  http://instagram.com/ytv.drama  【番組公式Twitter】  https://twitter.com/ytvdrama　#婚活刑事</t>
  </si>
  <si>
    <t>番組名「婚活刑事」第6話★結婚サギ!純白ドレスで潜入捜査!指輪に仕組まれた罠</t>
  </si>
  <si>
    <t>伊藤歩、小池徹平  升毅、森カンナ、栗山航、吉満寛人、加藤諒、赤星昇一郎、川村エミコ(たんぽぽ)、片岡明日香  鈴木砂羽  大杉漣  【第6話ゲスト】赤座美代子突然、婚活を辞めると宣言した米子(伊藤歩)。そんな折、刑事課に躑躅(小池徹平)の祖母のイネ(赤座美代子)が現れ、結婚しろと躑躅をせっつくが、躑躅は結婚式場「オテゴロ・ウェディング」を調べていた。式場ではダイヤの結婚指輪が安く買えるキャンペーンを展開していたが、ダイヤがニセモノと判明する事件が発生。米子と躑躅は潜入捜査を命じられ、夫婦役を演じる事に!そして結婚式当日、二人は誓いのキスをする事になり…【原作】  『婚活刑事シリーズ』安道やすみち(TO文庫刊)【主題歌】  「傷口」斉藤和義★データ放送プレゼント★  番組特製グッズが当たるスペシャルゲームを実施中!詳しくはdボタンを!【番組公式サイト】  http://www.ytv.co.jp/konkatsu/  【番組公式LINE】  ID:konkatsudeka  【番組公式instagram】  http://instagram.com/ytv.drama  【番組公式Twitter】  https://twitter.com/ytvdrama　#婚活刑事</t>
  </si>
  <si>
    <t>番組名「婚活刑事」第7話★惚れた男はバツ1子持ち!心閉ざす子…私ママになる!</t>
  </si>
  <si>
    <t>伊藤歩、小池徹平  升毅、森カンナ、栗山航、吉満寛人、加藤諒、赤星昇一郎、川村エミコ(たんぽぽ)、片岡明日香  鈴木砂羽  【第7話ゲスト】鈴木福、川口覚、河井青葉婚活を再開した米子(伊藤歩)はボルダリングジムで啓介(川口覚)と知り合う。この出会いを運命と感じる米子だったが、啓介はバツイチの子持ちだった。そんな折、一軒家で父子が殺害される事件が発生。宮谷(升毅)は再婚相手の友理恵(河井青葉)が犯人と睨み、行方を追う。米子は啓介の代わりに息子の翔(鈴木福)の面倒を見る。そして、啓介と一緒に翔の誕生日をお祝いしようとするが…当日、啓介は友理恵と密会していた!?【原作】『婚活刑事シリーズ』安道やすみち(TO文庫刊)【主題歌】「傷口」斉藤和義★データ放送プレゼント★  番組特製グッズが当たるスペシャルゲームを実施中!詳しくはdボタンを!【番組公式サイト】  http://www.ytv.co.jp/konkatsu/  【番組公式LINE】  ID:konkatsudeka  【番組公式instagram】  http://instagram.com/ytv.drama  【番組公式Twitter】  https://twitter.com/ytvdrama　#婚活刑事</t>
  </si>
  <si>
    <t>番組名「婚活刑事」第8話★後輩刑事のお姫様抱っこに胸キュン!警察内部の裏切り</t>
  </si>
  <si>
    <t>伊藤歩、小池徹平  升毅、森カンナ、栗山航、吉満寛人、加藤諒、赤星昇一郎、川村エミコ(たんぽぽ)、片岡明日香  鈴木砂羽  【第8話ゲスト】阿部亮平、黄川田将也米子(伊藤歩)は組織犯罪対策課の権堂(阿部亮平)から交際を申し込まれる。米子達は危険ドラッグの売人グループの峰(大口兼悟)を追い取引現場に踏み込むが失敗。躑躅(小池徹平)は内通者がいるかもしれないと考える。権堂から改めて交際を申し込まれた米子。宮谷(升毅)はついに“米子レーダー”が発動したとショックを受ける。そんな折、売人グループのメンバーが銃殺される事件が発生。現場に権堂の警察手帳が落ちていて…【原作】『婚活刑事シリーズ』安道やすみち(TO文庫刊)【主題歌】「傷口」斉藤和義★データ放送プレゼント★  番組特製グッズが当たるスペシャルゲームを実施中!詳しくはdボタンを!【番組公式サイト】  http://www.ytv.co.jp/konkatsu/  【番組公式LINE】  ID:konkatsudeka  【番組公式instagram】  http://instagram.com/ytv.drama  【番組公式Twitter】  https://twitter.com/ytvdrama　#婚活刑事</t>
  </si>
  <si>
    <t>番組名「婚活刑事」第9話★さようなら東京…米子ファーストレディになる!?</t>
  </si>
  <si>
    <t>伊藤歩、小池徹平  升毅、森カンナ、栗山航、赤星昇一郎、川村エミコ(たんぽぽ)、片岡明日香  大杉漣  【第9話ゲスト】丸山智己、武田梨奈米子(伊藤歩)はキャバクラの従業員として潜入捜査している時に、国会議員の秘書・小山(丸山智己)と出会う。2人は同郷という事もあり意気投合。小山は米子に勇気をもらい、鳥取の選挙区から出馬する事を決意。そして、米子は小山から一緒に鳥取に帰って欲しいとプロポーズされる。が、実は躑躅(小池徹平)たちがキャバクラ嬢殺害事件でマークしていたのは小山だった。米子は政治家の妻になると退職願を提出するが…。【原作】  『婚活刑事シリーズ』安道やすみち(TO文庫刊)【主題歌】「傷口」斉藤和義★データ放送プレゼント★  番組特製グッズが当たるスペシャルゲームを実施中!詳しくはdボタンを!【番組公式サイト】  http://www.ytv.co.jp/konkatsu/  【番組公式LINE】  ID:konkatsudeka  【番組公式instagram】  http://instagram.com/ytv.drama  【番組公式Twitter】  https://twitter.com/ytvdrama　#婚活刑事</t>
  </si>
  <si>
    <t>米子(伊藤歩)はキャバクラの従業員として潜入捜査している時に、国会議員の秘書・小山(丸山智己)と出会う。2人は同郷という事もあり意気投合。小山は米子に勇気をもらい、鳥取の選挙区から出馬する事を決意。そして、米子は小山から一緒に鳥取に帰って欲しいとプロポーズされる。が、実は躑躅(小池徹平)たちがキャバクラ嬢殺害事件でマークしていたのは小山だった。米子は政治家の妻になると退職願を提出するが…。</t>
  </si>
  <si>
    <t>番組名「婚活刑事」第11話★好きな男の家に禁断の部屋!波乱の最終章スタート!</t>
  </si>
  <si>
    <t>伊藤歩、小池徹平  升毅、森カンナ、栗山航、加藤諒、赤星昇一郎、川村エミコ(たんぽぽ)、片岡明日香  鈴木砂羽  大杉漣  【第11話ゲスト】高部あい、中村繁之米子(伊藤歩)は躑躅(小池徹平)に好きと告白し、宮谷(升毅)は“米子レーダー”が発動したと頭を抱える。そんな中、躑躅がルミ殺害の容疑で緊急手配される。米子と宮谷は躑躅の自宅マンションを調べ、躑躅の恋人だった沙織(高部あい)の部屋から結婚日記と書かれたノートを発見する。その頃、躑躅は別府(中村繁之)を呼び出し、沙織が死んだ交通事故現場の画像を突き付ける。そこには、沙織が殺害された証拠が写っていた…。【原作】『婚活刑事シリーズ』安道やすみち(TO文庫刊)【主題歌】「傷口」斉藤和義★データ放送プレゼント★  番組特製グッズが当たるスペシャルゲームを実施中!詳しくはdボタンを!【番組公式サイト】  http://www.ytv.co.jp/konkatsu/  【番組公式LINE】  ID:konkatsudeka  【番組公式instagram】  http://instagram.com/ytv.drama  【番組公式Twitter】  https://twitter.com/ytvdrama　#婚活刑事</t>
  </si>
  <si>
    <t>米子(伊藤歩)は躑躅(小池徹平)に好きと告白し、宮谷(升毅)は“米子レーダー”が発動したと頭を抱える。そんな中、躑躅がルミ殺害の容疑で緊急手配される。米子と宮谷は躑躅の自宅マンションを調べ、躑躅の恋人だった沙織(高部あい)の部屋から結婚日記と書かれたノートを発見する。その頃、躑躅は別府(中村繁之)を呼び出し、沙織が死んだ交通事故現場の画像を突き付ける。そこには、沙織が殺害された証拠が写っていた…。</t>
  </si>
  <si>
    <t>番組名婚活刑事★最終回★米子レーダー暴発!結婚するのは最高の彼氏?最凶の犯罪者?</t>
  </si>
  <si>
    <t>伊藤歩、小池徹平  升毅、森カンナ、栗山航、吉満寛人、加藤諒、赤星昇一郎、川村エミコ(たんぽぽ)、片岡明日香  鈴木砂羽  大杉漣  【最終話ゲスト】高部あい米子(伊藤歩)は逮捕された躑躅(小池徹平)の代わりに沙織(高部あい)が追っていた事件を解決すると心に誓う。米子は生前の沙織と同じ行動をとれば何か掴めるかもしれないと考え、宮谷(升毅)たちと共に沙織の足跡を辿っていくが、銀竜会の構成員達にしつこく追われる。  サクラプロジェクト、黒幕の正体、消えた3億円の謎、それぞれの事件が予想だにしない結末を向かえる…そして、米子はついに躑躅と結ばれるのか!?【原作】『婚活刑事シリーズ』安道やすみち(TO文庫刊)【主題歌】「傷口」斉藤和義★データ放送プレゼント★  番組特製グッズが当たるスペシャルゲームを実施中!詳しくはdボタンを!【番組公式サイト】  http://www.ytv.co.jp/konkatsu/  【番組公式LINE】  ID:konkatsudeka  【番組公式instagram】  http://instagram.com/ytv.drama  【番組公式Twitter】  https://twitter.com/ytvdrama　#婚活刑事</t>
  </si>
  <si>
    <t>米子(伊藤歩)は逮捕された躑躅(小池徹平)の代わりに沙織(高部あい)が追っていた事件を解決すると心に誓う。米子は生前の沙織と同じ行動をとれば何か掴めるかもしれないと考え、宮谷(升毅)たちと共に沙織の足跡を辿っていくが、銀竜会の構成員達にしつこく追われる。  サクラプロジェクト、黒幕の正体、消えた3億円の謎、それぞれの事件が予想だにしない結末を向かえる…そして、米子はついに躑躅と結ばれるのか!?</t>
  </si>
  <si>
    <t>1507_NTV_土21</t>
  </si>
  <si>
    <t>ど根性ガエル</t>
  </si>
  <si>
    <t>番組名ど根性ガエル　#1</t>
  </si>
  <si>
    <t>松山ケンイチ、満島ひかり、前田敦子、勝地涼、光石研、でんでん、白羽ゆり、新井浩文、白石加代子、薬師丸ひろ子　ほかついに実写化!「ど根性ガエル」。松山ケンイチ、満島ひかり(声の出演)、前田敦子、勝地涼、光石研、でんでん、白羽ゆり、新井浩文、白石加代子、薬師丸ひろ子、という豪華キャストでおくる、笑いと涙とアクション満載の感動ドラマ。ダメ男と平面ガエルピョン吉が根性出してがんばります!なぜカエルがシャツにはりついたのか??そして、ピョン吉に異変が起きる!?</t>
  </si>
  <si>
    <t>ついに実写化!「ど根性ガエル」。松山ケンイチ、満島ひかり(声の出演)、前田敦子、勝地涼、光石研、でんでん、白羽ゆり、新井浩文、白石加代子、薬師丸ひろ子、という豪華キャストでおくる、笑いと涙とアクション満載の感動ドラマ。ダメ男と平面ガエルピョン吉が根性出してがんばります!なぜカエルがシャツにはりついたのか??そして、ピョン吉に異変が起きる!?</t>
  </si>
  <si>
    <t>番組名ど根性ガエル　#2</t>
  </si>
  <si>
    <t>松山ケンイチ、満島ひかり、前田敦子、勝地涼、光石研、でんでん、白羽ゆり、新井浩文、白石加代子、薬師丸ひろ子　ほか「ど根性で京子ちゃんと結婚する!」とみんなの前で宣言したが、結局何も変わらずダラダラと毎日を過ごすひろし。母ちゃんとピョン吉が説教しても、「ど根性は、いざという時に出す」と屁理屈をこねて耳を貸さない。母ちゃんとケンカになったひろしは、家を出ていくと言ってしまう。しかし、ひろしには金がなかった。ひろしは五郎に金を借りようとするが、相手にされない。ついにゴリライモのパンの移動販売車を奪って旅に出るが…【演出】菅原伸太郎【原作】吉沢やすみ『ど根性ガエル』(オフィス安井)  【脚本】岡田惠和【音楽】サキタハヂメ  【主題歌】「エルビス(仮)」ザ・クロマニヨンズ(HAPPYSONG　RECORDS　/　Ariola　Japan)</t>
  </si>
  <si>
    <t>「ど根性で京子ちゃんと結婚する!」とみんなの前で宣言したが、結局何も変わらずダラダラと毎日を過ごすひろし。母ちゃんとピョン吉が説教しても、「ど根性は、いざという時に出す」と屁理屈をこねて耳を貸さない。母ちゃんとケンカになったひろしは、家を出ていくと言ってしまう。しかし、ひろしには金がなかった。ひろしは五郎に金を借りようとするが、相手にされない。ついにゴリライモのパンの移動販売車を奪って旅に出るが…</t>
  </si>
  <si>
    <t>番組名ど根性ガエル　#3</t>
  </si>
  <si>
    <t>松山ケンイチ、満島ひかり、前田敦子、勝地涼、光石研、でんでん、白羽ゆり、新井浩文、白石加代子、薬師丸ひろ子　ほかゴリラパン工場で働き始めたひろし(松山ケンイチ)は仕事が上手くいかずクサリ気味。さらに深夜の工場に忍び込み警察に連行されてしまう。ピョン吉(満島ひかり)は仕事を手伝うと言うが、ひろしは助けてもらって仕事をするわけにはいかないと断る。一方ゴリライモは必死に働いて自分を育ててくれた両親への感謝に目覚め、まじめな人間が幸福になれる社会を作りたいと語る。ひろしは、自分が何のために働くのか分からなくなり…。【演出】狩山俊輔【原作】吉沢やすみ『ど根性ガエル』(オフィス安井)  【脚本】岡田惠和【音楽】サキタハヂメ  【主題歌】「エルビス(仮)」ザ・クロマニヨンズ(HAPPYSONG　RECORDS　/　Ariola　Japan)</t>
  </si>
  <si>
    <t>ゴリラパン工場で働き始めたひろし(松山ケンイチ)は仕事が上手くいかずクサリ気味。さらに深夜の工場に忍び込み警察に連行されてしまう。ピョン吉(満島ひかり)は仕事を手伝うと言うが、ひろしは助けてもらって仕事をするわけにはいかないと断る。一方ゴリライモは必死に働いて自分を育ててくれた両親への感謝に目覚め、まじめな人間が幸福になれる社会を作りたいと語る。ひろしは、自分が何のために働くのか分からなくなり…。</t>
  </si>
  <si>
    <t>番組名ど根性ガエル　#4</t>
  </si>
  <si>
    <t>松山ケンイチ、満島ひかり、前田敦子、勝地涼、光石研、でんでん、白羽ゆり、新井浩文、白石加代子、薬師丸ひろ子　ほか夏の花火大会が近付き、ひろし(松山ケンイチ)は京子ちゃん(前田敦子)と一緒に花火を見ようと気分揚々。ピョン吉(満島ひかり)もひろしに花火大会へ連れて行ってもらおうと楽しみにしていた。そんな中、ひろしは、サングラスをひったくりに奪われる。意気消沈なひろし。実はひろしのサングラスにはある秘密があった・・・。そんな中、中学時代、ゴリライモ(新井浩文)の子分だったモグラ(柄本時生)と再会するのだが・・・。【演出】狩山俊輔【原作】吉沢やすみ『ど根性ガエル』(オフィス安井)  【脚本】岡田惠和【音楽】サキタハヂメ  【主題歌】「エルビス(仮)」ザ・クロマニヨンズ(HAPPYSONG　RECORDS　/　Ariola　Japan)</t>
  </si>
  <si>
    <t>夏の花火大会が近付き、ひろし(松山ケンイチ)は京子ちゃん(前田敦子)と一緒に花火を見ようと気分揚々。ピョン吉(満島ひかり)もひろしに花火大会へ連れて行ってもらおうと楽しみにしていた。そんな中、ひろしは、サングラスをひったくりに奪われる。意気消沈なひろし。実はひろしのサングラスにはある秘密があった・・・。そんな中、中学時代、ゴリライモ(新井浩文)の子分だったモグラ(柄本時生)と再会するのだが・・・。</t>
  </si>
  <si>
    <t>番組名ど根性ガエル　#5</t>
  </si>
  <si>
    <t>松山ケンイチ、満島ひかり、前田敦子、勝地涼、光石研、でんでん、白羽ゆり、新井浩文、白石加代子、薬師丸ひろ子　ほかゴリラパンが創立記念日を迎え、ゴリライモ(新井浩文)は、社員の誰かを一日社長にするという毎年の恒例行事を行う。ひろし(松山ケンイチ)が、まさかの一日社長になる。その頃、五郎(勝地涼)が、ピョン吉のTシャツを着ていた。具合が悪いのを隠そうとするピョン吉だったが、五郎はピョン吉の異変に気付く。一方、ひろしは、5000個のゴリラパンの急発注を受け、張り切るが…。【演出】菅原伸太郎【原作】吉沢やすみ『ど根性ガエル』(オフィス安井)  【脚本】岡田惠和【音楽】サキタハヂメ  【主題歌】「エルビス(仮)」ザ・クロマニヨンズ(HAPPYSONG　RECORDS　/　Ariola　Japan)</t>
  </si>
  <si>
    <t>ゴリラパンが創立記念日を迎え、ゴリライモ(新井浩文)は、社員の誰かを一日社長にするという毎年の恒例行事を行う。ひろし(松山ケンイチ)が、まさかの一日社長になる。その頃、五郎(勝地涼)が、ピョン吉のTシャツを着ていた。具合が悪いのを隠そうとするピョン吉だったが、五郎はピョン吉の異変に気付く。一方、ひろしは、5000個のゴリラパンの急発注を受け、張り切るが…。</t>
  </si>
  <si>
    <t>番組名ど根性ガエル　#6</t>
  </si>
  <si>
    <t>松山ケンイチ、満島ひかり、前田敦子、勝地涼、光石研、でんでん、白羽ゆり、新井浩文、白石加代子、薬師丸ひろ子　ほか不発弾が発見され処理されることに。皆の家が避難区域に指定されたため、ひろし(松山ケンイチ)の家に大集合。そんな中、ピョン吉が不発弾を見たいと言い出して…。  一方、ひろしはゴリライモ(新井浩文)から、立候補を表明する選挙公示日に応援演説をしてくれと頼まれる。ゴリライモに「本当の俺を語ってほしい」と言われて引き受けたものの、何を語ればいいのか分からず悩むひろし。そして当日、ひろしに異変が起こる…。【演出】菅原伸太郎【原作】吉沢やすみ『ど根性ガエル』(オフィス安井)  【脚本】岡田惠和【音楽】サキタハヂメ  【主題歌】「エルビス(仮)」ザ・クロマニヨンズ(HAPPYSONG　RECORDS　/　Ariola　Japan)</t>
  </si>
  <si>
    <t>不発弾が発見され処理されることに。皆の家が避難区域に指定されたため、ひろし(松山ケンイチ)の家に大集合。そんな中、ピョン吉が不発弾を見たいと言い出して…。  一方、ひろしはゴリライモ(新井浩文)から、立候補を表明する選挙公示日に応援演説をしてくれと頼まれる。ゴリライモに「本当の俺を語ってほしい」と言われて引き受けたものの、何を語ればいいのか分からず悩むひろし。そして当日、ひろしに異変が起こる…。</t>
  </si>
  <si>
    <t>番組名ど根性ガエル　#7</t>
  </si>
  <si>
    <t>松山ケンイチ、満島ひかり、前田敦子、勝地涼、光石研、でんでん、白羽ゆり、新井浩文、白石加代子、薬師丸ひろ子　ほかピョン吉(満島ひかり)の寿命が近づいていることを知ったひろし(松山ケンイチ)。ひろしはピョン吉を助けるために奔走するが上手くいかない。さらにピョン吉とひろしを物陰から見つめる何者かが。それはカエルの仲間たちで…。そして遂にひろしとピョン吉にさよならの時がやってくる…。【演出】丸谷俊平【原作】吉沢やすみ『ど根性ガエル』(オフィス安井)  【脚本】岡田惠和【音楽】サキタハヂメ  【主題歌】「エルビス(仮)」ザ・クロマニヨンズ(HAPPYSONG　RECORDS　/　Ariola　Japan)</t>
  </si>
  <si>
    <t>ピョン吉(満島ひかり)の寿命が近づいていることを知ったひろし(松山ケンイチ)。ひろしはピョン吉を助けるために奔走するが上手くいかない。さらにピョン吉とひろしを物陰から見つめる何者かが。それはカエルの仲間たちで…。そして遂にひろしとピョン吉にさよならの時がやってくる…。</t>
  </si>
  <si>
    <t>番組名ど根性ガエル　#8</t>
  </si>
  <si>
    <t>松山ケンイチ、満島ひかり、前田敦子、勝地涼、光石研、でんでん、白羽ゆり、新井浩文、白石加代子、薬師丸ひろ子　ほかゴリライモ(新井浩文)が皆の前で京子ちゃん(前田敦子)に「当選したら結婚してほしい」と公開プロポーズ。焦るひろし(松山ケンイチ)。そして投票日がやってくる。16年間の三角関係に終止符が打たれるか!?一方、シャツから剥がれかかり、寿命が近づいているかのようなピョン吉(満島ひかり)。それがいよいよ酷くなってきてしまう…。【演出】菅原伸太郎【原作】吉沢やすみ『ど根性ガエル』(オフィス安井)  【脚本】岡田惠和【音楽】サキタハヂメ  【主題歌】「エルビス(仮)」ザ・クロマニヨンズ(HAPPYSONG　RECORDS　/　Ariola　Japan)</t>
  </si>
  <si>
    <t>ゴリライモ(新井浩文)が皆の前で京子ちゃん(前田敦子)に「当選したら結婚してほしい」と公開プロポーズ。焦るひろし(松山ケンイチ)。そして投票日がやってくる。16年間の三角関係に終止符が打たれるか!?一方、シャツから剥がれかかり、寿命が近づいているかのようなピョン吉(満島ひかり)。それがいよいよ酷くなってきてしまう…。</t>
  </si>
  <si>
    <t>番組名ど根性ガエル　#9</t>
  </si>
  <si>
    <t>松山ケンイチ、満島ひかり、前田敦子、勝地涼、光石研、でんでん、白羽ゆり、新井浩文、白石加代子、薬師丸ひろ子　ほか秋祭りの日に、今年の福男と福女を決めるレースが行われる。ひろし(松山ケンイチ)は練習に励む。そんな中、ゴリラパン工場では、ピョン吉の形をしたパンを新作商品として発売すると決定。それは、ひろしが出したアイデアだった。一方、ピョン吉はひろしを応援しようと、中学校のブラスバンド部に協力を頼む。お互いを大切に思うひろしとピョン吉。そんな中、ついにひろしとピョン吉に、お別れの時間がやってきてしまう…。【演出】鈴木勇馬【原作】吉沢やすみ『ど根性ガエル』(オフィス安井)  【脚本】岡田惠和【音楽】サキタハヂメ  【主題歌】「エルビス(仮)」ザ・クロマニヨンズ(HAPPYSONG　RECORDS　/　Ariola　Japan)</t>
  </si>
  <si>
    <t>秋祭りの日に、今年の福男と福女を決めるレースが行われる。ひろし(松山ケンイチ)は練習に励む。そんな中、ゴリラパン工場では、ピョン吉の形をしたパンを新作商品として発売すると決定。それは、ひろしが出したアイデアだった。一方、ピョン吉はひろしを応援しようと、中学校のブラスバンド部に協力を頼む。お互いを大切に思うひろしとピョン吉。そんな中、ついにひろしとピョン吉に、お別れの時間がやってきてしまう…。</t>
  </si>
  <si>
    <t>番組名ど根性ガエル　#10</t>
  </si>
  <si>
    <t>松山ケンイチ、満島ひかり、前田敦子、勝地涼、光石研、でんでん、白羽ゆり、新井浩文、白石加代子、薬師丸ひろ子　ほかピョン吉はいなくなった…。町では、いろんな家から少しだけ食べ物が盗まれるという不思議な事件が続発。もしかして犯人はピョン吉??どこかで生きている???一方、ひろし(松山ケンイチ)は、自分とそっくりな男と出会う…。さらにその男はなぜかピョン吉がいなくなったTシャツを着ていて???笑と涙と驚きの、感動の最終回!【演出】菅原伸太郎【原作】吉沢やすみ『ど根性ガエル』(オフィス安井)  【脚本】岡田惠和【音楽】サキタハヂメ  【主題歌】「エルビス(仮)」ザ・クロマニヨンズ(HAPPYSONG　RECORDS　/　Ariola　Japan)</t>
  </si>
  <si>
    <t>ピョン吉はいなくなった…。町では、いろんな家から少しだけ食べ物が盗まれるという不思議な事件が続発。もしかして犯人はピョン吉??どこかで生きている???一方、ひろし(松山ケンイチ)は、自分とそっくりな男と出会う…。さらにその男はなぜかピョン吉がいなくなったTシャツを着ていて???笑と涙と驚きの、感動の最終回!</t>
  </si>
  <si>
    <t>1507_NTV_日22</t>
  </si>
  <si>
    <t>デスノート</t>
  </si>
  <si>
    <t>番組名デスノート　#1</t>
  </si>
  <si>
    <t>窪田正孝、山崎賢人、優希美青  佐野ひなこ、藤原令子、関めぐみ、前田公輝、弓削智久、  忍成修吾、半海一晃、佐藤二朗、松重豊大学生の月(窪田正孝)は、ある日、名前を書かれた人間は死ぬという「デスノート」を手に入れた。ノートの力で警察に勤める父・総一郎(松重豊)の絶体絶命の危機を救った月は、その後、死神・リュークと共に凶悪犯を次々に殺害。すると、ネット上で“キラ”として賞賛されるようになる。しかしそんな時、キラに関する事件を捜査するために天才探偵のL(山崎賢人)が来日する。月とL、二人の熱き頭脳バトルが幕を開ける…【演出】猪股隆一【脚本】いずみ吉紘【チーフプロデューサー】神蔵克  【プロデューサー】鈴木亜希乃、茂山佳則(日テレアックスオン)、大森美孝(日テレアックスオン)  【制作協力】日テレアックスオン</t>
  </si>
  <si>
    <t>大学生の月(窪田正孝)は、ある日、名前を書かれた人間は死ぬという「デスノート」を手に入れた。ノートの力で警察に勤める父・総一郎(松重豊)の絶体絶命の危機を救った月は、その後、死神・リュークと共に凶悪犯を次々に殺害。すると、ネット上で“キラ”として賞賛されるようになる。しかしそんな時、キラに関する事件を捜査するために天才探偵のL(山崎賢人)が来日する。月とL、二人の熱き頭脳バトルが幕を開ける…</t>
  </si>
  <si>
    <t>番組名デスノート　#2</t>
  </si>
  <si>
    <t>窪田正孝、山崎賢人、優希美青  佐野ひなこ、藤原令子、関めぐみ、前田公輝、弓削智久、  忍成修吾、半海一晃、佐藤二朗、松重豊殺人鬼キラとして生きる月(窪田正孝)は、探偵L(山崎賢人)の命令を受けたFBI捜査官に尾行されていることを知り、彼と共にLを葬り去るための準備を開始。キラの動きから彼の正体が月であるという疑いを持ちつつあったLは、総一郎(松重豊)と行動を共にすることに。そんな中、死神リュークは海砂(佐野ひなこ)の余命が残り少ないことを月に告げる。デスノートでは人の命を救うことは出来ない…苦悩する月はある行動に出る【演出】猪股隆一【脚本】いずみ吉紘【チーフプロデューサー】神蔵克  【プロデューサー】鈴木亜希乃、茂山佳則(日テレアックスオン)、大森美孝(日テレアックスオン)  【制作協力】日テレアックスオン</t>
  </si>
  <si>
    <t>殺人鬼キラとして生きる月(窪田正孝)は、探偵L(山崎賢人)の命令を受けたFBI捜査官に尾行されていることを知り、彼と共にLを葬り去るための準備を開始。キラの動きから彼の正体が月であるという疑いを持ちつつあったLは、総一郎(松重豊)と行動を共にすることに。そんな中、死神リュークは海砂(佐野ひなこ)の余命が残り少ないことを月に告げる。デスノートでは人の命を救うことは出来ない…苦悩する月はある行動に出る</t>
  </si>
  <si>
    <t>番組名デスノート　#3</t>
  </si>
  <si>
    <t>窪田正孝、山崎賢人、優希美青  佐野ひなこ、藤原令子、関めぐみ、前田公輝、弓削智久  半海一晃、佐藤二朗、松重豊L(山崎賢人)からキラではないかと指摘されて動揺した月(窪田正孝)だったが、自分がまだ容疑者の一人でしかないと知り、自分を尾行中のFBI捜査官を全員殺そうと決意。そんな月に、リュークは人の名前と寿命を正確に知ることができる“死神の目”を寿命の半分と交換するという取り引きを持ちかけるが、月はそれに頼らず捜査官全員の名前を知ろうと画策する。一方、赤いデスノートを手にした海砂(佐野ひなこ)は…。【演出】西村了【脚本】いずみ吉紘【チーフプロデューサー】神蔵克  【プロデューサー】鈴木亜希乃、茂山佳則(日テレアックスオン)、大森美孝(日テレアックスオン)  【制作協力】日テレアックスオン</t>
  </si>
  <si>
    <t>松重豊L(山崎賢人)からキラではないかと指摘されて動揺した月(窪田正孝)だったが、自分がまだ容疑者の一人でしかないと知り、自分を尾行中のFBI捜査官を全員殺そうと決意。そんな月に、リュークは人の名前と寿命を正確に知ることができる“死神の目”を寿命の半分と交換するという取り引きを持ちかけるが、月はそれに頼らず捜査官全員の名前を知ろうと画策する。一方、赤いデスノートを手にした海砂(佐野ひなこ)は…。</t>
  </si>
  <si>
    <t>番組名デスノート　#4</t>
  </si>
  <si>
    <t>窪田正孝、山崎賢人、優希美青、  佐野ひなこ、藤原令子、関めぐみ、前田公輝、弓削智久  忍成修吾、半海一晃、佐藤二朗、松重豊FBI捜査官が全員殺害されたことで、ますます月(窪田正孝)への疑いを深めたL(山崎賢人)は、総一郎(松重豊)にも無断で月の部屋に監視カメラを設置。何者かが部屋に入ったことに気付いた月は、リュークに監視カメラが置かれた場所を調べさせ、その絶体絶命の状況を利用してLの疑いを晴らすための計画を練ることに。何とか危機を脱した月だったが、安心したのもつかの間、目の前にLと名乗る男が現れ…!?【演出】西村了【脚本】いずみ吉紘【チーフプロデューサー】神蔵克  【プロデューサー】鈴木亜希乃、茂山佳則(日テレアックスオン)、大森美孝(日テレアックスオン)  【制作協力】日テレアックスオン</t>
  </si>
  <si>
    <t>FBI捜査官が全員殺害されたことで、ますます月(窪田正孝)への疑いを深めたL(山崎賢人)は、総一郎(松重豊)にも無断で月の部屋に監視カメラを設置。何者かが部屋に入ったことに気付いた月は、リュークに監視カメラが置かれた場所を調べさせ、その絶体絶命の状況を利用してLの疑いを晴らすための計画を練ることに。何とか危機を脱した月だったが、安心したのもつかの間、目の前にLと名乗る男が現れ…!?</t>
  </si>
  <si>
    <t>番組名デスノート　#5</t>
  </si>
  <si>
    <t>窪田正孝、山崎賢人、優希美青  佐野ひなこ、藤原令子、関めぐみ、前田公輝、弓削智久  忍成修吾、半海一晃、佐藤二朗、松重豊海砂(佐野ひなこ)が突然月(窪田正孝)の家にやってきた。なんとか自宅の外に海砂を連れ出した月に、海砂は自分の“死神の目”を使ってL(山崎賢人)を殺すと言い出す。海砂を巻き込みたくない月は、その申し出に悩み…。一方、脅迫状から“第二のキラ”の出現を察知したLは、捜査対象をひとまず“第二のキラ”に絞ることを決意。月をキラ対策室に呼び出し、協力を求めることにする。しかしそれは月をキラだと疑うLの罠で…。【演出】猪股隆一【脚本】いずみ吉紘【チーフプロデューサー】神蔵克  【プロデューサー】鈴木亜希乃、茂山佳則(日テレアックスオン)、大森美孝(日テレアックスオン)  【制作協力】日テレアックスオン</t>
  </si>
  <si>
    <t>海砂(佐野ひなこ)が突然月(窪田正孝)の家にやってきた。なんとか自宅の外に海砂を連れ出した月に、海砂は自分の“死神の目”を使ってL(山崎賢人)を殺すと言い出す。海砂を巻き込みたくない月は、その申し出に悩み…。一方、脅迫状から“第二のキラ”の出現を察知したLは、捜査対象をひとまず“第二のキラ”に絞ることを決意。月をキラ対策室に呼び出し、協力を求めることにする。しかしそれは月をキラだと疑うLの罠で…。</t>
  </si>
  <si>
    <t>番組名デスノート　#6</t>
  </si>
  <si>
    <t>窪田正孝、山崎賢人、優希美青  佐野ひなこ、藤原令子、関めぐみ、前田公輝、弓削智久  忍成修吾、半海一晃、佐藤二朗、松重豊海砂(佐野ひなこ)が“第2のキラ”としてL(山崎賢人)に拘束された。海砂にデスノートを放棄させることで記憶の一部を消し、彼女を守ることにしたレムは、月(窪田正孝)からある作戦を託される。そして月は、何と自らがキラなのではないかと告白しキラ対策室に出頭。驚きに包まれる総一郎(松重豊)たちをよそに、月は24時間Lの監視下に置かれることで疑いを晴らそうとする。そしてLは、そんな月にきつい質問責めを行い…【演出】西村了【脚本】いずみ吉紘【チーフプロデューサー】神蔵克  【プロデューサー】鈴木亜希乃、茂山佳則(日テレアックスオン)、大森美孝(日テレアックスオン)  【制作協力】日テレアックスオン</t>
  </si>
  <si>
    <t>海砂(佐野ひなこ)が“第2のキラ”としてL(山崎賢人)に拘束された。海砂にデスノートを放棄させることで記憶の一部を消し、彼女を守ることにしたレムは、月(窪田正孝)からある作戦を託される。そして月は、何と自らがキラなのではないかと告白しキラ対策室に出頭。驚きに包まれる総一郎(松重豊)たちをよそに、月は24時間Lの監視下に置かれることで疑いを晴らそうとする。そしてLは、そんな月にきつい質問責めを行い…</t>
  </si>
  <si>
    <t>番組名デスノート　#7</t>
  </si>
  <si>
    <t>窪田正孝、山崎賢人、優希美青、  佐野ひなこ、関めぐみ、前田公輝、弓削智久、  忍成修吾、半海一晃、佐藤二朗、松重豊、L(山崎賢人)の疑いを晴らすために月(窪田正孝)がキラ逮捕に全力を賭ける決意を固める中、キラが大企業・ヨツバジャパングループの関係者である可能性が浮かび上がる。海砂(佐野ひなこ)、松田(前田公輝)、月は、CMオーディションに乗じてヨツバ本社に潜入。ヨツバ幹部の中にキラがいると確信したLは、次の罠を仕掛けることに。そしてクライマックスに待ち受ける、衝撃の展開とは…!?【演出】岩崎麻利江【脚本】いずみ吉紘【チーフプロデューサー】　神蔵克  【プロデューサー】　鈴木亜希乃、茂山佳則(日テレアックスオン)、大森美孝(日テレアックスオン)  【制作協力】　日テレアックスオン</t>
  </si>
  <si>
    <t>L(山崎賢人)の疑いを晴らすために月(窪田正孝)がキラ逮捕に全力を賭ける決意を固める中、キラが大企業・ヨツバジャパングループの関係者である可能性が浮かび上がる。海砂(佐野ひなこ)、松田(前田公輝)、月は、CMオーディションに乗じてヨツバ本社に潜入。ヨツバ幹部の中にキラがいると確信したLは、次の罠を仕掛けることに。そしてクライマックスに待ち受ける、衝撃の展開とは…!?</t>
  </si>
  <si>
    <t>番組名デスノート　#8</t>
  </si>
  <si>
    <t>窪田正孝、山崎賢人、優希美青  佐野ひなこ、関めぐみ、前田公輝、弓削智久  忍成修吾、半海一晃、佐藤二朗、松重豊、“第3のキラ”から押収したデスノートに書かれていたルールのお陰で、L(山崎賢人)の疑いを晴らすことができた月(窪田正孝)。今度こそLを葬り去るべく、月は森に埋めたデスノートを海砂(佐野ひなこ)に取りに行かせるが、海砂が襲われノートを何者かに奪われてしまう。一方Lは本格的にニア(優希美青)と一緒に捜査を開始するが、ニアはもう一つの凶暴人格・メロを抑えることが出来ずついに…!【演出】猪股隆一【脚本】いずみ吉紘【チーフプロデューサー】神蔵克  【プロデューサー】鈴木亜希乃、茂山佳則(日テレアックスオン)、大森美孝(日テレアックスオン)  【制作協力】日テレアックスオン</t>
  </si>
  <si>
    <t>“第3のキラ”から押収したデスノートに書かれていたルールのお陰で、L(山崎賢人)の疑いを晴らすことができた月(窪田正孝)。今度こそLを葬り去るべく、月は森に埋めたデスノートを海砂(佐野ひなこ)に取りに行かせるが、海砂が襲われノートを何者かに奪われてしまう。一方Lは本格的にニア(優希美青)と一緒に捜査を開始するが、ニアはもう一つの凶暴人格・メロを抑えることが出来ずついに…!</t>
  </si>
  <si>
    <t>番組名デスノート　#9</t>
  </si>
  <si>
    <t>窪田正孝、山崎賢人、優希美青、  佐野ひなこ、藤原令子、関めぐみ、前田公輝、弓削智久、  忍成修吾、半海一晃、佐藤二朗、松重豊L(山崎賢人)はデスノートに細工を施すことで月(窪田正孝)を追いつめ、キラだと認めさせた。しかしその直後、Lは死亡。ニア(優希美青)がキラ対策室に加わることとなる。月は総一郎(松重豊)が持つデスノートを手に入れようと行動を開始するが、彼の目の前に再びLの姿が…!?そんな中、粧裕(藤原令子)が誘拐されてしまう!救出の条件はデスノートとの交換!さらに、その犯人はどうやら対策室メンバーの中にいるようで…【演出】岩崎麻利江【脚本】いずみ吉紘【チーフプロデューサー】神蔵克  【プロデューサー】鈴木亜希乃、茂山佳則(日テレアックスオン)、大森美孝(日テレアックスオン)  【制作協力】日テレアックスオン</t>
  </si>
  <si>
    <t>L(山崎賢人)はデスノートに細工を施すことで月(窪田正孝)を追いつめ、キラだと認めさせた。しかしその直後、Lは死亡。ニア(優希美青)がキラ対策室に加わることとなる。月は総一郎(松重豊)が持つデスノートを手に入れようと行動を開始するが、彼の目の前に再びLの姿が…!?そんな中、粧裕(藤原令子)が誘拐されてしまう!救出の条件はデスノートとの交換!さらに、その犯人はどうやら対策室メンバーの中にいるようで…</t>
  </si>
  <si>
    <t>番組名デスノート　#10</t>
  </si>
  <si>
    <t>窪田正孝、山崎賢人、優希美青、  佐野ひなこ、藤原令子、関めぐみ、前田公輝、弓削智久、  忍成修吾、半海一晃、佐藤二朗、松重豊月(窪田正孝)と総一郎(松重豊)は、粧裕(藤原令子)を救うために日村(関めぐみ)から指定された場所へ。粧裕の救出には成功するが、日村にデスノートを奪われてしまう。時を同じくして、凶暴なメロに人格を乗っ取られたニア(優希美青)が失踪。月はメロの行方を突き止め、デスノートを再び手に入れるため暗躍し始める。そんな中、総一郎はLが残した最後のビデオを見て、キラが月だと確信し…。総一郎は、月に自首を迫る!【演出】西村了【脚本】いずみ吉紘【チーフプロデューサー】神蔵克  【プロデューサー】鈴木亜希乃、茂山佳則(日テレアックスオン)、大森美孝(日テレアックスオン)  【制作協力】日テレアックスオン</t>
  </si>
  <si>
    <t>月(窪田正孝)と総一郎(松重豊)は、粧裕(藤原令子)を救うために日村(関めぐみ)から指定された場所へ。粧裕の救出には成功するが、日村にデスノートを奪われてしまう。時を同じくして、凶暴なメロに人格を乗っ取られたニア(優希美青)が失踪。月はメロの行方を突き止め、デスノートを再び手に入れるため暗躍し始める。そんな中、総一郎はLが残した最後のビデオを見て、キラが月だと確信し…。総一郎は、月に自首を迫る!</t>
  </si>
  <si>
    <t>番組名デスノート　#11</t>
  </si>
  <si>
    <t>窪田正孝、山崎賢人、優希美青、  佐野ひなこ、藤原令子、関めぐみ、前田公輝、弓削智久、  忍成修吾、半海一晃、佐藤二朗、松重豊月(窪田正孝)の証言により、メロ(優希美青)は総一郎(松重豊)殺害の容疑者として警察から追われる身に。月は今度こそメロを抹殺しようと決意するが、メロも反撃を開始する。そしてメロの居場所が判明。死神の目を持つ魅上(忍成修吾)と共に現場に向かった月は、遂にメロ=ニアと対峙。2人の最後の勝負が幕を開ける!!そしてさらに、死んだはずのL(山崎賢人)が遺した最後のビデオメッセージが流れ始め…【演出】猪股隆一【脚本】いずみ吉紘【チーフプロデューサー】神蔵克  【プロデューサー】鈴木亜希乃、茂山佳則(日テレアックスオン)、大森美孝(日テレアックスオン)  【制作協力】日テレアックスオン</t>
  </si>
  <si>
    <t>月(窪田正孝)の証言により、メロ(優希美青)は総一郎(松重豊)殺害の容疑者として警察から追われる身に。月は今度こそメロを抹殺しようと決意するが、メロも反撃を開始する。そしてメロの居場所が判明。死神の目を持つ魅上(忍成修吾)と共に現場に向かった月は、遂にメロ=ニアと対峙。2人の最後の勝負が幕を開ける!!そしてさらに、死んだはずのL(山崎賢人)が遺した最後のビデオメッセージが流れ始め…</t>
  </si>
  <si>
    <t>1504_NTV_水22</t>
  </si>
  <si>
    <t>Dr.倫太郎</t>
  </si>
  <si>
    <t>番組名Dr.倫太郎　#1</t>
  </si>
  <si>
    <t>堺雅人、蒼井優、吉瀬美智子、内田有紀、高梨臨、高橋一生、真飛聖、中西美帆、余貴美子、遠藤憲一、酒井若菜、長塚圭史、松重豊、石橋蓮司、高畑淳子、小日向文世　ほか慧南大学病院の精神科医・倫太郎(堺雅人)は、多くの人の心を解きほぐしてきた評判の医師。彼は、同大学の理事長・円能寺(小日向文世)との会食で、芸者の夢乃(蒼井優)と出会う。これが、人生を一変させる出会いになるという事を、彼は知る由もなかった。  そんなある日、倫太郎はOLの繭子(近藤春菜)がビルの屋上から飛び降りようとしている騒ぎに遭遇する。彼女を止めるべく、倫太郎は繭子の心に寄り添おうとするが…?【演出】水田伸生【脚本】中園ミホ  【原案】清心海『セラピューティック・ラブ』(株式会社KADOKAWA)【音楽】三宅一徳【制作協力】ケイファクトリー</t>
  </si>
  <si>
    <t>慧南大学病院の精神科医・倫太郎(堺雅人)は、多くの人の心を解きほぐしてきた評判の医師。彼は、同大学の理事長・円能寺(小日向文世)との会食で、芸者の夢乃(蒼井優)と出会う。これが、人生を一変させる出会いになるという事を、彼は知る由もなかった。  そんなある日、倫太郎はOLの繭子(近藤春菜)がビルの屋上から飛び降りようとしている騒ぎに遭遇する。彼女を止めるべく、倫太郎は繭子の心に寄り添おうとするが…?</t>
  </si>
  <si>
    <t>番組名Dr.倫太郎　#2</t>
  </si>
  <si>
    <t>堺雅人、蒼井優、吉瀬美智子、内田有紀、高梨臨、高橋一生、真飛聖、中西美帆、余貴美子、遠藤憲一、酒井若菜、長塚圭史、松重豊、石橋蓮司、高畑淳子、小日向文世　ほか倫太郎(堺雅人)は円能寺(小日向文世)から、大物小説家の風間を紹介される。最新作を酷評され精神的に不安定になっていた彼は、突如、長年支え勤めてきた秘書に「そっくりな別人だ」と言って暴れ出す。頭部を負傷し、百合子(吉瀬美智子)の治療を受けた風間だが、彼に対して宮川(長塚圭史)が出した診断に、倫太郎は異論を唱える。さらに、夢乃(蒼井優)は、倫太郎をデートに誘い、「あるお願い」をする…。【演出】水田伸生【脚本】中園ミホ  【原案】清心海『セラピューティック・ラブ』(株式会社KADOKAWA)【音楽】三宅一徳【制作協力】ケイファクトリー</t>
  </si>
  <si>
    <t>倫太郎(堺雅人)は円能寺(小日向文世)から、大物小説家の風間を紹介される。最新作を酷評され精神的に不安定になっていた彼は、突如、長年支え勤めてきた秘書に「そっくりな別人だ」と言って暴れ出す。頭部を負傷し、百合子(吉瀬美智子)の治療を受けた風間だが、彼に対して宮川(長塚圭史)が出した診断に、倫太郎は異論を唱える。さらに、夢乃(蒼井優)は、倫太郎をデートに誘い、「あるお願い」をする…。</t>
  </si>
  <si>
    <t>番組名Dr.倫太郎　#3</t>
  </si>
  <si>
    <t>堺雅人、蒼井優、吉瀬美智子、内田有紀、高梨臨、高橋一生、真飛聖、中西美帆、余貴美子、遠藤憲一、酒井若菜、長塚圭史、松重豊、石橋蓮司、高畑淳子、小日向文世　ほか重傷を負った女性・弓子(宮本真希)が救急搬送され、手術を担当した百合子(吉瀬美智子)は、DVによるケガではないかと疑う。それを聞いた倫太郎(堺雅人)は、ケアが必要ではないかと考え、彼女とその夫・司(北村有起哉)に話を聞こうとする。しかし、弓子はDVの疑いを真っ向から否定するのだった。そんな中、夢乃(蒼井優)が倫太郎に、700万円を貸してほしいと懇願し、その代わりに身を捧げると言い出し…。【演出】相沢淳【脚本】中園ミホ  【原案】清心海『セラピューティック・ラブ』(株式会社KADOKAWA)【音楽】三宅一徳【制作協力】ケイファクトリー</t>
  </si>
  <si>
    <t>重傷を負った女性・弓子(宮本真希)が救急搬送され、手術を担当した百合子(吉瀬美智子)は、DVによるケガではないかと疑う。それを聞いた倫太郎(堺雅人)は、ケアが必要ではないかと考え、彼女とその夫・司(北村有起哉)に話を聞こうとする。しかし、弓子はDVの疑いを真っ向から否定するのだった。そんな中、夢乃(蒼井優)が倫太郎に、700万円を貸してほしいと懇願し、その代わりに身を捧げると言い出し…。</t>
  </si>
  <si>
    <t>番組名Dr.倫太郎　#4</t>
  </si>
  <si>
    <t>堺雅人、蒼井優、吉瀬美智子、内田有紀、高梨臨、高橋一生、真飛聖、中西美帆、余貴美子、マイコ、遠藤憲一、酒井若菜、長塚圭史、松重豊、石橋蓮司、高畑淳子、小日向文世　ほか患者の牧子(マイコ)が診察中宮川からセクハラをされたと訴え、騒ぎになる。しかし、宮川は転んだ彼女を助けただけだったと主張。そんな中、牧子の娘・千果(井上琳水)が姿を消す。千果は、病院で出会った夢乃(蒼井優)に連れられて遊園地で遊んでいた。倫太郎(堺雅人)が迎えに行くと、夢乃は怯えた少女のような態度。彼女の中の別人格が現れていたと判断した倫太郎は、彼女の精神疾患を確信する…。【演出】水田伸生【脚本】中園ミホ  【原案】清心海『セラピューティック・ラブ』(株式会社KADOKAWA)【音楽】三宅一徳【制作協力】ケイファクトリー</t>
  </si>
  <si>
    <t>患者の牧子(マイコ)が診察中宮川からセクハラをされたと訴え、騒ぎになる。しかし、宮川は転んだ彼女を助けただけだったと主張。そんな中、牧子の娘・千果(井上琳水)が姿を消す。千果は、病院で出会った夢乃(蒼井優)に連れられて遊園地で遊んでいた。倫太郎(堺雅人)が迎えに行くと、夢乃は怯えた少女のような態度。彼女の中の別人格が現れていたと判断した倫太郎は、彼女の精神疾患を確信する…。</t>
  </si>
  <si>
    <t>番組名Dr.倫太郎　#5</t>
  </si>
  <si>
    <t>堺雅人、蒼井優、吉瀬美智子、内田有紀、高梨臨、高橋一生、真飛聖、中西美帆、余貴美子、遠藤憲一、酒井若菜、長塚圭史、松重豊、石橋蓮司、高畑淳子、小日向文世　ほか倫太郎(堺雅人)のもとへ葉子(高梨臨)が友人のことで相談を持ちかける。彼女はもともと福原(高橋一生)の患者だったが、症状が再発した模様。しかし事情はそれだけではなさそうだ…。夢乃を解離性同一性障害であると診断した倫太郎は、彼女のことを強く心配する。百合子(吉瀬美智子)からは「医師としての境界を越えるな」と忠告される。そんな中、夢乃が海で失踪してしまう。倫太郎は、彼女を探しに向かったのだが…。【演出】水田伸生【脚本】中園ミホ  【原案】清心海『セラピューティック・ラブ』(株式会社KADOKAWA)【音楽】三宅一徳(フェイスミュージック)【制作協力】ケイファクトリー</t>
  </si>
  <si>
    <t>倫太郎(堺雅人)のもとへ葉子(高梨臨)が友人のことで相談を持ちかける。彼女はもともと福原(高橋一生)の患者だったが、症状が再発した模様。しかし事情はそれだけではなさそうだ…。夢乃を解離性同一性障害であると診断した倫太郎は、彼女のことを強く心配する。百合子(吉瀬美智子)からは「医師としての境界を越えるな」と忠告される。そんな中、夢乃が海で失踪してしまう。倫太郎は、彼女を探しに向かったのだが…。</t>
  </si>
  <si>
    <t>番組名Dr.倫太郎　#6</t>
  </si>
  <si>
    <t>堺雅人、蒼井優、吉瀬美智子、内田有紀、高梨臨、高橋一生、真飛聖、中西美帆、余貴美子、遠藤憲一、酒井若菜、長塚圭史、松重豊、石橋蓮司、高畑淳子、小日向文世　ほか倫太郎(堺雅人)と明良(蒼井優)が、交流を深めていく中、明良のもう一つの人格・夢乃は、明良に近付く倫太郎に激しい敵意を抱いていた。そんな中、ストーカー被害で精神的に不安定になっているという好美(山田真歩)が訪れ、倫太郎に助けを求める。葉子(高梨臨)は、倫太郎に近付く明良や好美に、つい冷たい目をむけてしまう。一方、倫太郎への嫌がらせはエスカレートし、愛犬の弥助が連れ去られてしまう・・・。【演出】相沢淳【脚本】相内美生  【原案】清心海『セラピューティック・ラブ』(株式会社KADOKAWA)【音楽】三宅一徳(フェイスミュージック)【制作協力】ケイファクトリー</t>
  </si>
  <si>
    <t>倫太郎(堺雅人)と明良(蒼井優)が、交流を深めていく中、明良のもう一つの人格・夢乃は、明良に近付く倫太郎に激しい敵意を抱いていた。そんな中、ストーカー被害で精神的に不安定になっているという好美(山田真歩)が訪れ、倫太郎に助けを求める。葉子(高梨臨)は、倫太郎に近付く明良や好美に、つい冷たい目をむけてしまう。一方、倫太郎への嫌がらせはエスカレートし、愛犬の弥助が連れ去られてしまう・・・。</t>
  </si>
  <si>
    <t>番組名Dr.倫太郎　#7</t>
  </si>
  <si>
    <t>堺雅人、蒼井優、吉瀬美智子、内田有紀、高梨臨、高橋一生、真飛聖、中西美帆、余貴美子、遠藤憲一、酒井若菜、長塚圭史、松重豊、石橋蓮司、高畑淳子、小日向文世　ほか倫太郎(堺雅人)は明良(蒼井優)の診察を本格的に開始。しかし、彼女の別人格・夢乃は診察室で暴れ、倫太郎に抵抗。そんな中、薫(内田有紀)の息子が美術展でグランプリを受賞。サヴァン症候群を伴う自閉症スペクトラムである彼に興味を持った宮川(長塚圭史)は、深也を研究対象にしたいと申し出る。激しく反対する倫太郎だが、円能寺(小日向文世)に担当を外れるよう命じられてしまう。落ち込む倫太郎の前に、明良が現れ…。【演出】水田伸生【脚本】中園ミホ  【原案】清心海『セラピューティック・ラブ』(株式会社KADOKAWA)【音楽】三宅一徳(フェイスミュージック)【制作協力】ケイファクトリー</t>
  </si>
  <si>
    <t>倫太郎(堺雅人)は明良(蒼井優)の診察を本格的に開始。しかし、彼女の別人格・夢乃は診察室で暴れ、倫太郎に抵抗。そんな中、薫(内田有紀)の息子が美術展でグランプリを受賞。サヴァン症候群を伴う自閉症スペクトラムである彼に興味を持った宮川(長塚圭史)は、深也を研究対象にしたいと申し出る。激しく反対する倫太郎だが、円能寺(小日向文世)に担当を外れるよう命じられてしまう。落ち込む倫太郎の前に、明良が現れ…。</t>
  </si>
  <si>
    <t>番組名Dr.倫太郎　#8</t>
  </si>
  <si>
    <t>堺雅人、蒼井優、吉瀬美智子、内田有紀、高梨臨、高橋一生、真飛聖、中西美帆、余貴美子、遠藤憲一、酒井若菜、長塚圭史、松重豊、石橋蓮司、高畑淳子、小日向文世　ほか倫太郎(堺雅人)は副院長で脳外科医の蓮見(松重豊)の視力が落ちていることに気付き、心因性の視力障害を疑う。蓮見は、理事長の円能寺(小日向文世)から政治的理由で強引に手術執刀を命じられていた。倫太郎は、蓮見の目が見えなくなった原因を探るため、蓮見の同期だった荒木(遠藤憲一)に相談。そして、過去に隠された「ある事件」が明らかになる。一方、るり子(高畑淳子)から呼び出された明良(蒼井優)に悲劇が…。【演出】相沢淳【脚本】相内美生  【原案】清心海『セラピューティック・ラブ』(株式会社KADOKAWA)【音楽】三宅一徳(フェイスミュージック)【制作協力】ケイファクトリー</t>
  </si>
  <si>
    <t>倫太郎(堺雅人)は副院長で脳外科医の蓮見(松重豊)の視力が落ちていることに気付き、心因性の視力障害を疑う。蓮見は、理事長の円能寺(小日向文世)から政治的理由で強引に手術執刀を命じられていた。倫太郎は、蓮見の目が見えなくなった原因を探るため、蓮見の同期だった荒木(遠藤憲一)に相談。そして、過去に隠された「ある事件」が明らかになる。一方、るり子(高畑淳子)から呼び出された明良(蒼井優)に悲劇が…。</t>
  </si>
  <si>
    <t>番組名Dr.倫太郎　#9</t>
  </si>
  <si>
    <t>堺雅人、蒼井優、吉瀬美智子、内田有紀、高梨臨、高橋一生、真飛聖、中西美帆、余貴美子、遠藤憲一、酒井若菜、長塚圭史、松重豊、石橋蓮司、高畑淳子、小日向文世　ほか倫太郎(堺雅人)と夢乃(蒼井優)の路上キス写真によって、倫太郎はスキャンダルの渦中に。彼の代わりに慧南大学病院に荒木(遠藤憲一)が復帰することになるが、その真意は不明。夢乃は倫太郎の心の傷をえぐって彼を挑発するが、それでも倫太郎は医師として夢乃を受け入れ、救おうとする。そんな倫太郎に戸惑い、逆上した夢乃は、るり子(高畑淳子)と組んで「ある策略」を仕掛け、倫太郎をますます窮地に追い込むのだった…【演出】水田伸生【脚本】中園ミホ  【原案】清心海『セラピューティック・ラブ』(株式会社KADOKAWA)【音楽】三宅一徳【制作協力】ケイファクトリー</t>
  </si>
  <si>
    <t>倫太郎(堺雅人)と夢乃(蒼井優)の路上キス写真によって、倫太郎はスキャンダルの渦中に。彼の代わりに慧南大学病院に荒木(遠藤憲一)が復帰することになるが、その真意は不明。夢乃は倫太郎の心の傷をえぐって彼を挑発するが、それでも倫太郎は医師として夢乃を受け入れ、救おうとする。そんな倫太郎に戸惑い、逆上した夢乃は、るり子(高畑淳子)と組んで「ある策略」を仕掛け、倫太郎をますます窮地に追い込むのだった…</t>
  </si>
  <si>
    <t>番組名Dr.倫太郎　#10</t>
  </si>
  <si>
    <t>堺雅人、蒼井優、吉瀬美智子、内田有紀、高梨臨、高橋一生、真飛聖、中西美帆、余貴美子、遠藤憲一、酒井若菜、長塚圭史、松重豊、石橋蓮司、高畑淳子、小日向文世　ほか自宅謹慎を命じられた倫太郎(堺雅人)は、明良(蒼井優)とともに穏やかな時間を過ごし、明良の解離されていた人格が統合されたのではないか思えるほど治療の効果を感じ始めていた。一方、新病院開業の野望が破れた円能寺(小日向文世)は、その失意から精神を病み、暴れ始める。明良の存在が自分自身にとって、無くてはならないものだと気づいた倫太郎は、母の命日、自分の気持ちを明良に告白する決意をする。【演出】水田伸生【脚本】中園ミホ  【原案】清心海『セラピューティック・ラブ』(株式会社KADOKAWA)【音楽】三宅一徳【制作協力】ケイファクトリー</t>
  </si>
  <si>
    <t>自宅謹慎を命じられた倫太郎(堺雅人)は、明良(蒼井優)とともに穏やかな時間を過ごし、明良の解離されていた人格が統合されたのではないか思えるほど治療の効果を感じ始めていた。一方、新病院開業の野望が破れた円能寺(小日向文世)は、その失意から精神を病み、暴れ始める。明良の存在が自分自身にとって、無くてはならないものだと気づいた倫太郎は、母の命日、自分の気持ちを明良に告白する決意をする。</t>
  </si>
  <si>
    <t>1504_NTV_木23</t>
  </si>
  <si>
    <t>恋愛時代</t>
  </si>
  <si>
    <t>番組名新ドラマ　恋愛時代【野沢尚原作】「運命の人と離婚…だけど好き」第1話</t>
  </si>
  <si>
    <t>比嘉愛未  満島真之介    佐津川愛美  淵上泰史  中尾明慶  江口のりこ  町田マリー  松川星  横山芽生(子役)  河合透真  川添野愛    大石吾朗    佐藤隆太「俺がお前に再婚相手を見つけてやるよ!」別れた夫の口から飛び出した突然の爆弾発言。離婚したあとも奇妙な交友関係を続ける、衛藤はる(比嘉愛未)と早勢理一郎(満島真之介)の元夫婦は、ひょんなことから互いの再婚相手を紹介しあうことに。最初は、ちょっとした意地の張り合いだった。なのに、2人が動けば動くほど、運命の糸はどんどん絡まりだして……。果たしてはると理一郎の恋の行く末は?【原作】  『恋愛時代』野沢尚(幻冬舎文庫)【主題歌】  「ありがとうForever...」西内まりや4月2日「す・またん!」(関西)「ZIP!」「スッキリ!!」「PON!」「ヒルナンデス!」「ミヤネ屋」電波ジャック決定!!  さらに、よる9時放送  「秘密のケンミンSHOWスペシャル」に比嘉愛未さん出演【番組公式サイト】  http://www.ytv.co.jp/renaijidai/  【番組公式facebook】  https://www.facebook.com/renaijidai  【番組公式instagram】  http://instagram.com/ytv.drama  【番組公式Twitter】  https://twitter.com/ytvdrama  #恋愛時代</t>
  </si>
  <si>
    <t>番組名恋愛時代「離婚後初キス&amp;ロールキャベツ女」比嘉愛未・満島真之介・佐藤隆太#2</t>
  </si>
  <si>
    <t>比嘉愛未、満島真之介  佐津川愛美、淵上泰史、中尾明慶、江口のりこ、町田マリー、松川星、横山芽生(子役)、河合透真、川添野愛  大石吾朗  佐藤隆太はる(比嘉愛未)と理一郎(満島真之介)の元夫婦は、再婚相手を紹介し合うことに。しかし、はるは理一郎から紹介された永冨(淵上泰史)のアプローチを心から受け入れられず、曖昧な気持ちのままデートの誘いに応じる。理一郎もはるに紹介された子持ちのバツイチ美女・かすみ(佐津川愛美)の強引さにただ押されるばかり。顔を合わせれば意地を張りあってしまう2人の脳裏に、離婚のきっかけとなった悲しい記憶が蘇る……。【原作】『恋愛時代』野沢尚(幻冬舎文庫)【主題歌】「ありがとうForever...」西内まりや4月9日(木)よる9時放送  「ダウンタウンDXDX」に比嘉愛未さん出演!【番組公式サイト】  http://www.ytv.co.jp/renaijidai/  【番組公式facebook】  https://www.facebook.com/renaijidai  【番組公式instagram】  http://instagram.com/ytv.drama  【番組公式Twitter】  https://twitter.com/ytvdrama　#恋愛時代</t>
  </si>
  <si>
    <t>番組名恋愛時代【野沢尚原作】「キス相手は大富豪?娘も私も抱きしめて」比嘉愛未　#3</t>
  </si>
  <si>
    <t>比嘉愛未、満島真之介  佐津川愛美、淵上泰史、中尾明慶、江口のりこ、町田マリー、松川星、横山芽生(子役)、河合透真、川添野愛  大石吾朗  佐藤隆太元夫である理一郎(満島真之介)に再婚相手として紹介された永冨(淵上泰史)との距離を縮めるはる(比嘉愛未)。あとは、はるの気持ち次第。だが、物分りのよすぎる永冨に、少し物足りなさも感じてしまう。理一郎は彩(横山芽生)の子守を引き受けながら、かすみ(佐津川愛美)と会っているうちに、少しづつ心が動き出していく。そんな折、永冨がホテル・グループの御曹司だと知ったはるは、予想外の事実に混乱してしまい……。【原作】  『恋愛時代』野沢尚(幻冬舎文庫)【主題歌】  「ありがとうForever...」西内まりや【番組公式サイト】  http://www.ytv.co.jp/renaijidai/  【番組公式facebook】  https://www.facebook.com/renaijidai  【番組公式instagram】  http://instagram.com/ytv.drama  【番組公式Twitter】  https://twitter.com/ytvdrama  #恋愛時代</t>
  </si>
  <si>
    <t>番組名恋愛時代【野沢尚原作】「バツイチ女は…再婚相手の親が衝撃の一言」比嘉愛未#4</t>
  </si>
  <si>
    <t>比嘉愛未、満島真之介  佐津川愛美、淵上泰史、中尾明慶、江口のりこ、町田マリー、松川星、横山芽生(子役)  大石吾朗  佐藤隆太永冨(淵上泰史)の両親と食事をしたはる(比嘉愛未)だが、息子の恋人がバツイチであることを会社のイメージ戦略に利用するような発言をされ違和感を感じる。そんなはるの様子を社会学者の喜多嶋(佐藤隆太)が興味深く眺めていた。理一郎(満島真之介)は、押しかけられる形でかすみ(佐津川愛美)とその娘・彩(横山芽生)と同居を始めていた。ある日「花籠」で鉢合わせたはると理一郎。そこで、意外な事実が明らかになって…。【原作】  『恋愛時代』野沢尚(幻冬舎文庫)【主題歌】  「ありがとうForever...」西内まりや【番組公式サイト】  http://www.ytv.co.jp/renaijidai/  【番組公式facebook】  https://www.facebook.com/renaijidai  【番組公式instagram】  http://instagram.com/ytv.drama  【番組公式Twitter】  https://twitter.com/ytvdrama　#恋愛時代</t>
  </si>
  <si>
    <t>番組名恋愛時代【野沢尚原作】「涙の別れでも楽しかった…元夫は特別キス」比嘉愛未</t>
  </si>
  <si>
    <t>比嘉愛未  満島真之介    佐津川愛美  淵上泰史  中尾明慶  江口のりこ  霧島れいか  町田マリー  松川星  横山芽生(子役)    大石吾朗    佐藤隆太はる(比嘉愛未)は小百合(江口のりこ)に永冨(淵上泰史)と結婚する事にしたと告げる。理一郎(満島真之介)は、かすみ(佐津川愛美)の以前の結婚生活が幸せなものでなかった事を知り、彼女のためにゆっくりと関係を深めていこうと決意する。お互い違う方向に歩き始めたように見えた2人。だが、過去にきっぱりとケリをつけるために、これまで言えなかった思いを理一郎にぶつけたはるは、自分の本当の気持ちに気づいてしまい…【原作】  『恋愛時代』野沢尚(幻冬舎文庫)【主題歌】  「ありがとうForever...」西内まりや【番組公式サイト】  http://www.ytv.co.jp/renaijidai/  【番組公式facebook】  https://www.facebook.com/renaijidai  【番組公式instagram】  http://instagram.com/ytv.drama  【番組公式Twitter】  https://twitter.com/ytvdrama  #恋愛時代</t>
  </si>
  <si>
    <t>番組名恋愛時代【野沢尚原作】「衝撃告白!渦巻く愛と決別…初恋の人登場」比嘉愛未</t>
  </si>
  <si>
    <t>比嘉愛未  満島真之介    佐津川愛美  淵上泰史  中尾明慶  江口のりこ  町田マリー  松川星  横山芽生(子役)  河合透真  川添野愛    大石吾朗    芦名星    佐藤隆太あわや婚約かと思われた永冨(淵上泰史)との関係に終止符を打ったはる(比嘉愛未)。だが、自分の存在が元夫の理一郎(満島真之介)の新しい人生の邪魔になってはいけないと、永冨と破局した事を周囲には伏せてしまう。そんな様子を見かねた小百合(江口のりこ)は海江田(中尾明慶)の誕生会を企画し皆を集める。その場で小百合が切り出した話を聞き、理一郎にアタック中のかすみ(佐津川愛美)はある決断をくだすのだった……。【原作】  『恋愛時代』野沢尚(幻冬舎文庫)【主題歌】  「ありがとうForever...」西内まりや5月2日(土)よる7時56分放送  「世界一受けたい授業」に佐藤隆太さん出演!    5月7日(木)よる10時放送  「ダウンタウンDX」に佐藤隆太さん出演!【番組公式サイト】  http://www.ytv.co.jp/renaijidai/  【番組公式facebook】  https://www.facebook.com/renaijidai  【番組公式instagram】  http://instagram.com/ytv.drama  【番組公式Twitter】  https://twitter.com/ytvdrama　#恋愛時代</t>
  </si>
  <si>
    <t>番組名恋愛時代【野沢尚原作】「別れて!土下座男が衝撃の発言…別居妻は」比嘉愛未</t>
  </si>
  <si>
    <t>比嘉愛未  満島真之介    芦名星  中尾明慶  江口のりこ  霧島れいか  町田マリー  松川星  川添野愛    大石吾朗    佐藤隆太喜多嶋(佐藤隆太)に心を開きかけていたはる(比嘉愛未)。だが、喜多嶋の妻(霧島れいか)が突然現れた。ショックを受けたはるは、再三の喜多嶋の呼び出しにも応じなくなる。  一方、はるの元夫、理一郎(満島真之介)は同窓会で再会した多実子(芦名星)の料理教室に通いだし、これまで離れていた時間を埋めていく。理一郎の中に再燃する恋心。だが同時にはるの幸せも願う理一郎は喜多嶋の話を聞き、ある行動に出るのだった…。【原作】  『恋愛時代』野沢尚(幻冬舎文庫)【主題歌】  「ありがとうForever...」西内まりや★データ放送プレゼント★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http://instagram.com/ytv.drama  【番組公式Twitter】  https://twitter.com/ytvdrama  #恋愛時代</t>
  </si>
  <si>
    <t>番組名恋愛時代【野沢尚原作】「託された離婚届…気まずすぎる全員集合!」比嘉愛未#9</t>
  </si>
  <si>
    <t>比嘉愛未、満島真之介  芦名星、中尾明慶、江口のりこ、霧島れいか、町田マリー、松川星  大石吾朗  佐藤隆太喜多嶋(佐藤隆太)の妻・貴子(霧島れいか)から離婚届を預かったはる(比嘉愛未)。だが、自分に喜多嶋の離婚を成立させる資格があるのかと悩み、提出することができない。一方、理一郎(満島真之介)は多実子(芦名星)と順調な交際を続けていた。しかし、海江田(中尾明慶)は多実子の策略家な一面に気付き、理一郎が利用されているのではと不安を募らせる。海江田は、多実子の誕生日にかこつけてパーティーを催すのだが…。【原作】  『恋愛時代』野沢尚(幻冬舎文庫)【主題歌】  「ありがとうForever...」西内まりや★データ放送プレゼント★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http://instagram.com/ytv.drama  【番組公式Twitter】  https://twitter.com/ytvdrama  #恋愛時代</t>
  </si>
  <si>
    <t>番組名恋愛時代「離婚届と嘘が導くプロポーズ…!父の深い愛」#10</t>
  </si>
  <si>
    <t>比嘉愛未、満島真之介  芦名星、中尾明慶、江口のりこ、霧島れいか、町田マリー、松川星、川添野愛、角替和枝  大石吾朗  佐藤隆太喜多嶋(佐藤隆太)と貴子(霧島れいか)の離婚届を提出する決心がつかないままのはる(比嘉愛未)。一方、理一郎(満島真之介)は多実子(芦名星)にプロポーズをしようと決心するが、海江田(中尾明慶)や小百合(江口のりこ)の反応は冷ややかだった。2人は理一郎の運命の相手ははるだと気付いているのだ。多実子ははるの職場へ赴き、背中を押してくれた礼を述べる。そして、はるにもう1つ、新たな頼み事をするのだった…。【原作】『恋愛時代』野沢尚(幻冬舎文庫)【主題歌】「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http://instagram.com/ytv.drama  【番組公式Twitter】  https://twitter.com/ytvdrama  #恋愛時代</t>
  </si>
  <si>
    <t>番組名恋愛時代「幸せ願う…嘘に込められた深い愛元夫結婚へ」#11</t>
  </si>
  <si>
    <t>比嘉愛未、満島真之介  芦名星、中尾明慶、江口のりこ、霧島れいか、町田マリー、松川星、河合透真、川添野愛、角替和枝  大石吾朗  佐藤隆太多実子(芦名星)から結婚式での牧師役を頼まれたはる(比嘉愛未)は、理一郎(満島真之介)と多実子を相手に「結婚講座」を行う。いよいよ後戻りできない一歩を踏み出そうとしているはると理一郎。2人は自分たちの「恋愛時代」が終わりを告げたのだと感慨に浸る。その一方で、理一郎とある「秘密」を共有していた海江田(中尾明慶)はその事実を自分だけの胸にしまっておくことができず、ついにはるに打ち明けてしまうのだが…。【原作】  『恋愛時代』野沢尚(幻冬舎文庫)【主題歌】  「ありがとうForever...」西内まりや★データ放送プレゼント★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http://instagram.com/ytv.drama  【番組公式Twitter】  https://twitter.com/ytvdrama　#恋愛時代</t>
  </si>
  <si>
    <t>番組名恋愛時代「婚姻届が宙を舞う…終わりと始まりの日」比嘉愛未・満島真之介#12</t>
  </si>
  <si>
    <t>比嘉愛未、満島真之介  芦名星、中尾明慶、江口のりこ、霧島れいか、町田マリー、松川星、河合透真、川添野愛、角替和枝  大石吾朗  佐藤隆太元夫の理一郎(満島真之介)と多実子(芦名星)の結婚式で無事、牧師役を務めあげたはる(比嘉愛未)。はるはこれを機に、新しい生活を始めようと勤め先のスポーツ・ジムをやめて沖縄に移住しようと決意する。一方、理一郎は多実子に持ち上がったレシピ本の出版話がきっかけで、お互いの心に決して共有できないものがあると気付き始める。それぞれがそれぞれの新しい道を歩み始める中、はると理一郎が最後に下した結論とは……。【原作】『恋愛時代』野沢尚(幻冬舎文庫)【主題歌】「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http://instagram.com/ytv.drama  【番組公式Twitter】  https://twitter.com/ytvdrama　#恋愛時代</t>
  </si>
  <si>
    <t>1504_NTV_土21</t>
  </si>
  <si>
    <t>ドS刑事</t>
  </si>
  <si>
    <t>番組名ドS刑事　#1</t>
  </si>
  <si>
    <t>多部未華子、大倉忠義、吉田羊、八乙女光、中村靖日、勝村政信、石井正則、ミッツ・マングローブ、瀬戸さおり、菅裕輔、伊武雅刀、岸本加世子　ほか川崎青空警察署刑事一課強行犯捜査係に、犯人をいたぶりたいがために刑事になった、“ドS刑事”の黒井マヤ(多部未華子)が着任する。ある日、廃工場で殺人事件が発生。遺体の第一発見者である巡査の代官山脩介(大倉忠義)を気に入ったマヤは、上司の白金不二子(吉田羊)の許可も得ずに彼を強行犯捜査係に異動させてしまう。こうして、ドSな女刑事とマジメでお人好しの相棒という最強!?バディが誕生する!【演出】中島悟【原作】七尾与史「ドS刑事」シリーズ(幻冬舎)  【脚本】川崎いづみ【音楽】Audio　Highs  【主題歌】関ジャニ∞【制作協力】光和インターナショナル</t>
  </si>
  <si>
    <t>番組名ドS刑事　#2</t>
  </si>
  <si>
    <t>多部未華子、大倉忠義、吉田羊、八乙女光、中村靖日、勝村政信、石井正則、ミッツ・マングローブ、瀬戸さおり、菅裕輔、伊武雅刀、岸本加世子　ほか  【2話ゲスト】小峠英二(バイきんぐ)、ダンカンアパートに火炎瓶が投げ込まれ、1組のカップルが焼死する事件が発生した。死亡した男が以前所属していた暴力団のメンバーとトラブルを抱えていたことから、怨恨の線で捜査が進む。しかし、死亡した女の遺体のある点に着目したマヤ(多部未華子)は、彼女が福本(ダンカン)という男が主催する婚活パーティーに参加していた情報を掴み、独自に捜査を開始する。ボーリング合コンに潜入したマヤと代官山が掴んだある情報とは?【演出】中島悟【原作】七尾与史「ドS刑事」シリーズ(幻冬舎)  【脚本】川崎いづみ【音楽】Audio　Highs  【主題歌】関ジャニ∞「強く　強く　強く」(インフィニティ・レコーズ)【制作協力】光和インターナショナル</t>
  </si>
  <si>
    <t>番組名ドS刑事　#3</t>
  </si>
  <si>
    <t>多部未華子、大倉忠義、吉田羊、八乙女光、中村靖日、勝村政信、石井正則、ミッツ・マングローブ、瀬戸さおり、菅裕輔、伊武雅刀、岸本加世子　ほかマヤ(多部未華子)と代官山(大倉忠義)は、放火事件で犠牲になったカップルが佐々木という男を恐喝していたことを突き止めるが、その佐々木も焼死してしまう。そんな中、マヤはこの連続放火殺人事件とは無関係のある女性の焼身自殺事件に着目。女性の母・時枝から娘が自殺した思いがけない“原因”を聞き、関係者を探り始める。しかし、その間にも放火殺人は続き…マヤの目的が読み切れず、代官山は思わずマヤを責めてしまう。【演出】中島悟【原作】七尾与史「ドS刑事」シリーズ(幻冬舎)  【脚本】川崎いづみ【音楽】Audio　Highs  【主題歌】関ジャニ∞「強く　強く　強く」(インフィニティ・レコーズ)【制作協力】光和インターナショナル</t>
  </si>
  <si>
    <t>番組名ドS刑事　#4</t>
  </si>
  <si>
    <t>多部未華子、大倉忠義、吉田羊、八乙女光、中村靖日、勝村政信、石井正則、ミッツ・マングローブ、瀬戸さおり、菅裕輔、伊武雅刀、岸本加世子　ほか  【4話ゲスト】鈴木梨央、近藤公園、岡山天音真島家で長女のマヤ(鈴木梨央)が誘拐される。犯人から提示された身代金は10万円。格安の金額に黒井マヤ(多部未華子)は違和感を覚える。代官山(大倉忠義)は真島家で飼っている犬の“マヤ”に誘拐された“マヤ”を探させようとするが…。少女・マヤのアルバムに不自然にはがされた写真の跡があったり、何者かに“しゃべらされている”ような犯人の脅迫電話の様子から、黒井マヤは両親が少女について何か隠していると見抜く…【演出】川村泰祐【原作】七尾与史「ドS刑事」シリーズ(幻冬舎)  【脚本】川崎いづみ【音楽】Audio　Highs  【主題歌】関ジャニ∞「強く　強く　強く」(インフィニティ・レコーズ)【制作協力】光和インターナショナル</t>
  </si>
  <si>
    <t>番組名ドS刑事　#5</t>
  </si>
  <si>
    <t>多部未華子、大倉忠義、吉田羊、八乙女光、中村靖日、勝村政信、石井正則、ミッツ・マングローブ、瀬戸さおり、菅裕輔、伊武雅刀、岸本加世子　ほか  【5話ゲスト】ダイアモンド☆ユカイ、入山法子、赤間麻里子、柏原収史40歳の誕生日を迎えた不二子(吉田羊)がイライラMAX状態の中、マヤ(多部未華子)と代官山(大倉忠義)はサプライズ祝いを企画。一方、IT企業のサプライズパーティで主賓の大隣(ダイアモンド☆ユカイ)がショック死した。死因がアレルギーだったため、彼の恋人で当日のシェフだった有美香(入山法子)への疑いが深まる中、死亡寸前の行動に疑問を抱いたマヤは、パーティを仕掛けた部下の脇本(柏原収史)に話を聞く。【演出】松永洋一【原作】七尾与史「ドS刑事」シリーズ(幻冬舎)  【脚本】山岡真介、川崎いづみ【音楽】Audio　Highs  【主題歌】関ジャニ∞「強く　強く　強く」(インフィニティ・レコーズ)【制作協力】光和インターナショナル</t>
  </si>
  <si>
    <t>番組名ドS刑事　#6</t>
  </si>
  <si>
    <t>多部未華子、大倉忠義、吉田羊、八乙女光、中村靖日、勝村政信、石井正則、ミッツ・マングローブ、瀬戸さおり、菅裕輔、伊武雅刀、岸本加世子　ほか  【6話ゲスト】森川葵、恒松祐里、おかやまはじめ名門女子校に通う学生・めぐみ(恒松祐里)の遺体が河川敷で発見される。不二子(吉田羊)に見た目がそっくりな女子校の担任に代官山(大倉忠義)はビックリ!めぐみは頻繁に痴漢にあっていたが、彼女には様々な裏の顔があることが判明。そんな中、最近学校を休んでいる友人・香奈(森川葵)に着目したマヤ(多部未華子)は浜田(八乙女光)を女装させて代官山とある実験をする。そして、マヤは痴漢裁判にドS弁護士として登場し…【演出】川村泰祐【原作】七尾与史「ドS刑事」シリーズ(幻冬舎)  【脚本】川崎いづみ【音楽】Audio　Highs  【主題歌】関ジャニ∞「強く　強く　強く」(インフィニティ・レコーズ)【制作協力】光和インターナショナル</t>
  </si>
  <si>
    <t>番組名ドS刑事　#7</t>
  </si>
  <si>
    <t>多部未華子、大倉忠義、吉田羊、八乙女光(Hey!Say!JUMP)、中村靖日、石井正則、ミッツ・マングローブ、瀬戸さおり、菅裕輔、勝村政信、松嶋亮太、やべけんじ、高橋修、伊武雅刀、岸本加世子　ほか  【7話ゲスト】手塚とおる連続連れ去り事件が発生し、現場にミステリーサークルが残っていたことから、被害者たちはUFOに連れ去られたのではと騒ぎに。マヤ(多部未華子)と代官山(大倉忠義)はUFO研究家の田宮ユウホウ(手塚とおる)の元へ。宇宙人の声を耳にした代官山はUFOを呼び出そうとするが、行方不明になってしまう…1人になったマヤに浜田(八乙女光)がコンビを組みたいと申し出る。マヤは代官山を救出できるのか?事件の真相とは?【演出】中島悟【原作】七尾与史「ドS刑事」シリーズ(幻冬舎)  【脚本】徳尾浩司　川崎いづみ【音楽】Audio　Highs  【主題歌】関ジャニ∞「強く　強く　強く」(インフィニティ・レコーズ)【制作協力】光和インターナショナル</t>
  </si>
  <si>
    <t>番組名ドS刑事　#8</t>
  </si>
  <si>
    <t>多部未華子、大倉忠義、吉田羊、八乙女光、中村靖日、石井正則、ミッツ・マングローブ、瀬戸さおり、菅裕輔、勝村政信、野崎萌香、中島亜梨沙、三沢幸育、岩倉健伸、萩原利映、伊武雅刀、岸本加世子　ほか  【8話ゲスト】遠山俊也、矢野聖人飲食店を狙った連続爆破事件が発生!評判のパンケーキ店まで被害に遭い、食べに行くつもりだった代官山(大倉忠義)は大ショック!そんな中、徳二(伊武雅刀)は犯行声明文に書かれた顔文字に注目、ある男のことを思い出す。一方、マヤ(多部未華子)は被害にあった店のある共通点に気付づき、犯人をおびき出すためとんでもない作戦を決行する。そして、マヤの父と代官山の母・啓子(岸本加世子)との関係がついに明らかに!【演出】松永洋一【原作】七尾与史「ドS刑事」シリーズ(幻冬舎)  【脚本】川崎いづみ【音楽】Audio　Highs  【主題歌】関ジャニ∞「強く　強く　強く」(インフィニティ・レコーズ)【制作協力】光和インターナショナル</t>
  </si>
  <si>
    <t>番組名ドS刑事　#9</t>
  </si>
  <si>
    <t>多部未華子、大倉忠義、吉田羊、八乙女光、中村靖日、勝村政信、石井正則、ミッツ・マングローブ、瀬戸さおり、菅裕輔、伊武雅刀、岸本加世子　ほか  【9話ゲスト】金児憲史、寉岡萌希、北浦愛、ざわちんコスプレ界では有名な女性が殺された。代官山(大倉忠義)はマヤ(多部未華子)から命じられたわけでもないのに率先してコスプレをしてイベントに潜入する一方、マヤは犯人が女性の部屋から何かを持ち去った可能性を直感する。そして、伝説のメイクアーティスト“ざわちん”の力を借り、ある作戦を思いつく。そんな中、不二子(吉田羊)と有栖川(勝村政信)が○○のコスプレで登場し…マヤと不二子のコラボドS攻撃が炸裂する!【演出】中島悟【原作】七尾与史「ドS刑事」シリーズ(幻冬舎)  【脚本】川崎いづみ【音楽】Audio　Highs  【主題歌】関ジャニ∞「強く　強く　強く」(インフィニティ・レコーズ)【制作協力】光和インターナショナル</t>
  </si>
  <si>
    <t>番組名ドS刑事　#10</t>
  </si>
  <si>
    <t>多部未華子、大倉忠義、吉田羊、八乙女光、中村靖日、勝村政信、石井正則、ミッツ・マングローブ、瀬戸さおり、菅裕輔、伊武雅刀、岸本加世子　ほか    【10話ゲスト】佐戸井けん太、小林且弥、久保田悠来、青山倫子マヤ(多部未華子)がお見合いすることに。代官山(大倉忠義)が見守る中、無銭飲食の客・富樫が店から飛び出す!すると突然現れた5人の好青年が富樫を捕まえ、その場を穏便に収めてしまう。彼らは「川崎デイジーフラッグス」という自警団だった。翌日、富樫が遺体で発見される。彼は過去に無差別傷害事件を起こし、最近出所したばかりだった。そんな中、出所したての男がもう一人犠牲になり…代官山が慕っていた警官が撲殺される【演出】山田信義　【原作】七尾与史「ドS刑事」シリーズ(幻冬舎)  【脚本】川崎いづみ【音楽】Audio　Highs  【主題歌】関ジャニ∞「強く　強く　強く」(インフィニティ・レコーズ)【制作協力】光和インターナショナル</t>
  </si>
  <si>
    <t>番組名ドS刑事　#11</t>
  </si>
  <si>
    <t>多部未華子、大倉忠義、吉田羊、八乙女光、中村靖日、勝村政信、石井正則、ミッツ・マングローブ、瀬戸さおり、菅裕輔、伊武雅刀、岸本加世子　ほか  【最終回ゲスト】石黒賢、小林且弥、青山倫子強行犯捜査係のメンバー浜田(八乙女光)と徳二(伊武雅刀)が次々と何者かに襲われる。危険を感じた不二子(吉田羊)は捜査係の単独行動を禁止する。そんな中、事件の黒幕にたどり着きかけたマヤ(多部未華子)だったが、突然姿を消してしまう…代官山(大倉忠義)は一人で回転遊具での臨時捜査会議に挑み、マヤの行方を懸命に捜す。絶体絶命のピンチに青空署メンバーが一丸となって立ち向かう!そして、最後のドS攻撃が炸裂!【演出】中島悟【原作】七尾与史「ドS刑事」シリーズ(幻冬舎)  【脚本】川崎いづみ【音楽】Audio　Highs  【主題歌】関ジャニ∞「強く　強く　強く」(インフィニティ・レコーズ)【制作協力】光和インターナショナル</t>
  </si>
  <si>
    <t>1504_NTV_日22</t>
  </si>
  <si>
    <t>ワイルド・ヒーローズ</t>
  </si>
  <si>
    <t>番組名ワイルド・ヒーローズ　#1</t>
  </si>
  <si>
    <t>TAKAHIRO  青柳翔、岩田剛典、野替愁平、八木将康、佐藤大樹、黒木啓司  桜田ひより、水沢エレナ  長谷川初範、朝加真由美、飛田光里、草村礼子、二宮愛、和希沙也、平田薫  塚本高史、内藤剛志転勤で十年ぶりに故郷へ戻った冴えない営業マン・希一(TAKAHIRO)。そんな彼が偶然、裏社会から命を狙われている謎の少女(桜田ひより)を助けて逃げる!いきなり追われる身となった希一が頼ったのは、かつての悪ガキ仲間たち。だが、希一と彼らの間には「裏切り」という過去の深い溝が横たわっていた…。果たして7人の元ヤンは絆を取り戻し、少女を守りぬけるのか!?スリルと感動のアクション・エンターテインメント!【演出】佐藤東弥【脚本】蛭田直美【チーフプロデューサー】伊藤響  【プロデューサー】松原浩、渡邉浩仁(日テレアックスオン)  【制作協力】日テレアックスオン</t>
  </si>
  <si>
    <t>番組名ワイルド・ヒーローズ　#2</t>
  </si>
  <si>
    <t>TAKAHIRO、青柳翔、岩田剛典、野替愁平、八木将康、佐藤大樹、黒木啓司、桜田ひより、水沢エレナ、長谷川初範、朝加真由美、飛田光里、草村礼子、酒井美紀、二宮愛、和希沙也、平田薫、前田公輝、塚本高史、内藤剛志　ほか希一(TAKAHIRO)がヤクザから救った少女・日花里(桜田ひより)は刑事・赤城(内藤剛志)と一緒に姿を消した。希一は赤城に不信を抱くが、かつて世話になった洸介(青柳翔)春太郎(岩田剛典)らは取り合わない。必死で行方を捜す希一、ついに日花里の居所を突き止めた時、赤城が銃を手に立ちはだかった!果たして希一は、恩人を敵に回して日花里を救出することができるのか?そこには思いがけない結末が待ち受けていた!【演出】佐藤東弥【脚本】蛭田直美【音楽】出羽良彰、大間々昴  【主題歌】『君がいたから』Crystal　Kay(ユニバーサルミュージック)【チーフプロデューサー】伊藤響  【プロデューサー】松原浩、渡邉浩仁(日テレアックスオン)  【制作協力】日テレアックスオン</t>
  </si>
  <si>
    <t>番組名ワイルド・ヒーローズ　#3</t>
  </si>
  <si>
    <t>TAKAHIRO、  青柳翔、岩田剛典、野替愁平、八木将康、佐藤大樹、黒木啓司、  桜田ひより、水沢エレナ、  草村礼子、酒井美紀、中村静香、二宮愛、和希沙也、平田薫、  音尾琢真、前田公輝、原日出子、  塚本高史、内藤剛志日花里(桜田ひより)を救った希一(TAKAHIRO)だが赤城(内藤剛志)殺害の疑いで警察に連行される。一方、日花里は洸介(青柳翔)と共に事件のあった山荘に戻った。そこで出会ったのが日花里の新任教師(原日出子)。洸介は日花里の安全のため先生に預ける事を決心。しかし赤城殺しの真犯人が密かに忍び寄る。さらに田川(塚本高史)は柳原(音尾琢真)の命令で再び動き出す。果たして希一は日花里を守る事は出来るのか?【演出】石尾純【脚本】蛭田直美【チーフプロデューサー】伊藤響  【プロデューサー】松原浩、渡邉浩仁(日テレアックスオン)  【制作協力】日テレアックスオン</t>
  </si>
  <si>
    <t>番組名ワイルド・ヒーローズ　#4</t>
  </si>
  <si>
    <t>TAKAHIRO、  青柳翔、岩田剛典、野替愁平、八木将康、佐藤大樹、黒木啓司、  桜田ひより、水沢エレナ、  朝加真由美、草村礼子、酒井美紀、中村静香、二宮愛、平田薫、  原日出子、前田公輝、音尾琢真、  村井國夫、塚本高史希一(TAKAHIRO)は洸介(青柳翔)春太郎(岩田剛典)らと小学校を訪ね、日花里(桜田ひより)を連れ去ったさわこ(原日出子)が偽教師だったと知る。その頃、日花里は暗殺者の青年(前田公輝)が見張る中、さわこに監禁されていた!日花里の決死のメッセージを受け取った希一らは救出に向かうが、すでに日花里は「誰か」の指示でかつてさ迷っていた山の高い崖上に連れていかれていた。そこに日花里の秘密があるらしい…!【演出】石尾純【脚本】蛭田直美【チーフプロデューサー】伊藤響  【プロデューサー】松原浩、渡邉浩仁(日テレアックスオン)  【制作協力】日テレアックスオン</t>
  </si>
  <si>
    <t>番組名ワイルド・ヒーローズ　#5</t>
  </si>
  <si>
    <t>TAKAHIRO  青柳翔、岩田剛典、野替愁平、八木将康、佐藤大樹、黒木啓司  桜田ひより、水沢エレナ  草村礼子、酒井美紀、中村静香、二宮愛、和希沙也、平田薫  村井國夫、塚本高史希一(TAKAHIRO)は日花里(桜田ひより)の父が新聞記者だったと突きとめ、東京の新聞社へ向かう。だが事態の異常さ深刻さに気づいた洸介(青柳翔)たちは一緒に行くことを拒んだ。皆それぞれ守るべき家族や生活があるのだ。東京で、希一と日花里は父の後輩だった男と出会い、父が追っていた事件を知る。それ以降、希一と日花里に次々と衝撃的な出来事が襲いかかる!仲間の助けがない東京で、孤立無援の二人は逃げ惑う…!【演出】佐藤東弥【脚本】蛭田直美【プロデューサー】松原浩、渡邉浩仁(日テレアックスオン)  【制作協力】日テレアックスオン</t>
  </si>
  <si>
    <t>番組名ワイルド・ヒーローズ　#6</t>
  </si>
  <si>
    <t>TAKAHIRO  青柳翔、岩田剛典、野替愁平、八木将康、佐藤大樹、黒木啓司  桜田ひより、水沢エレナ  草村礼子、酒井美紀、星智也、大浦龍宇一、姜暢雄、三波豊和  梅沢富美男、村井國夫、塚本高史日花里(桜田ひより)は銃撃を見てすべての記憶を取り戻す。美史(水沢エレナ)を疑った日花里は希一(TAKAHIRO)に「美史は怪しい」と告げ彼女の同席を拒むが、希一はまったく取り合わない。しかたなく日花里は美史を含めた全員に記憶を語り、希一たちは探していた携帯電話の行方に迫る。そこに春太郎(岩田剛典)を撃った女スナイパーが現れた!希一はついに美史の裏切りを知る。その時、希一は?そして驚愕の新事実!【演出】佐藤東弥【脚本】蛭田直美【チーフプロデューサー】伊藤響  【プロデューサー】松原浩、渡邉浩仁(日テレアックスオン)  【制作協力】日テレアックスオン</t>
  </si>
  <si>
    <t>番組名ワイルド・ヒーローズ　#7</t>
  </si>
  <si>
    <t>TAKAHIRO、  青柳翔、岩田剛典、野替愁平、八木将康、佐藤大樹、黒木啓司  桜田ひより、水沢エレナ  草村礼子、酒井美紀、中村静香、二宮愛、和希沙也、平田薫  梅沢富美男、村井國夫、塚本高史海に飛び込んで日花里(桜田ひより)のデータを守った希一(TAKAHIRO)は解析に訪れた科捜研で罠に落ち、助けた洸介(青柳翔)らと共に警察全体を敵に回す破目になる。命の危険を感じた洸介、典明(黒木啓司)らは束の間帰り、それぞれ愛する人と別れの時を過ごす。一方、入院中の春太郎(岩田剛典)の前に美史(水沢エレナ)が現れて…。ドンデン返しの連続で話題の本作、今回、史上最大の衝撃エンディングが待ち受ける!【演出】石尾純【脚本】蛭田直美【チーフプロデューサー】伊藤響  【プロデューサー】松原浩、渡邉浩仁(日テレアックスオン)  【制作協力】日テレアックスオン</t>
  </si>
  <si>
    <t>番組名ワイルド・ヒーローズ　#8</t>
  </si>
  <si>
    <t>TAKAHIRO、  青柳翔、岩田剛典、野替愁平、八木将康、佐藤大樹、黒木啓司  桜田ひより、水沢エレナ、  草村礼子、中村静香、二宮愛、和希沙也、平田薫  梅沢富美男、村井國夫、塚本高史日花里(桜田ひより)は偽者!?混乱する希一(TAKAHIRO)たちの前で、千駄木(梅沢富美男)は田川(塚本高史)に少女を殺せと命じる。だが田川が銃を向けた相手はーー!一方、美史(水沢エレナ)は姉・双葉(渡辺舞)を呼び出しデータと引き換えに『かがやきの方舟』を脱会してくれと願い出る。その説得に現れたのは、死んだと思われていた意外な人物だった…!今回、『風愛友(フーアーユー)』命名の秘話も明かされる!【演出】佐藤東弥【脚本】蛭田直美【チーフプロデューサー】伊藤響  【プロデューサー】松原浩、渡邉浩仁(日テレアックスオン)  【制作協力】日テレアックスオン</t>
  </si>
  <si>
    <t>番組名ワイルド・ヒーローズ　#9</t>
  </si>
  <si>
    <t>TAKAHIRO  青柳翔、岩田剛典、野替愁平、八木将康、佐藤大樹、黒木啓司、  桜田ひより、水沢エレナ、  星智也、大浦龍宇一、姜暢雄、横山めぐみ、  村井國夫、塚本高史日花里(桜田ひより)の死を受け止めきれない希一(TAKAHIRO)は心のバランスを崩す。美史(水沢エレナ)を頼り『かがやきの方舟』に身を投じた希一に、なぜか教主・榊(村井國夫)は入信を認め、あるテストを受けよと命じる。それは、戦闘員としての能力を試す勝ち抜き戦。勝ち続ける希一の前に、捕えられた仲間が連れてこられた!「この中から一人殺しなさい」。榊の指示に、希一は無表情に洸介(青柳翔)を指差す…!【演出】石尾純  【脚本】蛭田直美  【チーフプロデューサー】伊藤響  【プロデューサー】松原浩、渡邉浩仁(日テレアックスオン)  【制作協力】日テレアックスオン</t>
  </si>
  <si>
    <t>番組名ワイルド・ヒーローズ　#10</t>
  </si>
  <si>
    <t>TAKAHIRO  青柳翔、岩田剛典、野替愁平、八木将康、佐藤大樹、黒木啓司  桜田ひより、水沢エレナ  草村礼子、酒井美紀、中村静香、二宮愛、和希沙也、平田薫  星智也、大浦龍宇一、姜暢雄、横山めぐみ、村井國夫、塚本高史希一(TAKAHIRO)たちはデータを見て闇の存在レインマンの全容と異様な「儀式」の存在を知る。日花里(桜田ひより)はレインマンを継ぐべき存在だった…!儀式は明日の誕生日に執り行われる。あと1日、絶対に日花里を守りぬく!希一らの最後の戦いが始まる。それは、機動隊と暗殺集団に取り囲まれた廃墟での決死の「立てこもり戦」。圧倒的な戦力差、本当に少女を守ることなどできるのか!?ついに敵が総攻撃を開始した!【演出】佐藤東弥【脚本】蛭田直美【チーフプロデューサー】伊藤響  【プロデューサー】松原浩、渡邉浩仁(日テレアックスオン)  【制作協力】日テレアックスオン</t>
  </si>
  <si>
    <t>1501_NTV_水22</t>
  </si>
  <si>
    <t>○○妻</t>
  </si>
  <si>
    <t>番組名○○妻　#1</t>
  </si>
  <si>
    <t>柴咲コウ、  黒木瞳、城田優、蓮佛美沙子、奥貫薫、渡辺真起子、岩本多代、平泉成、  東山紀之誰もが認める理想の妻は、秘密を抱える「○○妻」でした…。  妻・ひかり(柴咲コウ)は、歯に衣着せぬ物言いと熱い報道魂で人気を誇る、ニュースキャスターの夫・久保田正純(東山紀之)を完璧な内助の功で支えている。正純の出演番組は隈なくチェックし、的確なアドバイスを手紙にして毎晩渡し、全てを夫に捧げる、正に「理想の妻」。だが、ひかりには大きな秘密が…。愛とは何か?夫婦とは何か?を問う究極のラブストーリー!【演出】猪股隆一【脚本】遊川和彦【音楽】池頼広【チーフプロデューサー】伊藤響  【プロデューサー】大平太、福井宏、太田雅晴  【制作協力】5年D組</t>
  </si>
  <si>
    <t>番組名○○妻　#2</t>
  </si>
  <si>
    <t>柴咲コウ、  黒木瞳、城田優、蓮佛美沙子、奥貫薫、渡辺真起子、岩本多代、平泉成、  東山紀之ひかり(柴咲コウ)と正純(東山紀之)は、籍を入れず、6年間「契約夫婦」として暮らしてきた。正純が契約更新を拒否してプロポーズすると、ひかりは家を出ていく。献身的な「妻」を失った正純の生活は荒れ、番組で問題発言をして大バッシングを受ける。そんな中、ひかりの過去を知る女性・千春(黒木瞳)が現れ、ひかりが「契約結婚」にこだわる秘密をほのめかす。どうしても知りたい正純に千春はある条件を持ちかける。【演出】猪股隆一【脚本】遊川和彦【音楽】池頼広【チーフプロデューサー】伊藤響  【プロデューサー】大平太、福井宏、太田雅晴  【制作協力】5年D組</t>
  </si>
  <si>
    <t>番組名○○妻　#3</t>
  </si>
  <si>
    <t>柴咲コウ、  黒木瞳、城田優、蓮佛美沙子、奥貫薫、渡辺真起子、岩本多代、平泉成、  東山紀之契約結婚を続けることになったひかり(柴咲コウ)と正純(東山紀之)。しかし、ひかりが契約にこだわる理由を知るため、正純は彼女の過去を探る。そんな中、こん睡状態だった作太郎(平泉成)が目を覚ますが、なぜか、ひかり以外の人間とは話したくないと主張。正純は激怒し作太郎への長年の恨みをぶつける。ひかりだけが、作太郎の真意を聞かされていたが、作太郎を思い口を閉ざす。行き場のない正純の怒りはひかりに向かい…。【演出】猪股隆一【脚本】遊川和彦【音楽】池頼広【チーフプロデューサー】伊藤響  【プロデューサー】大平太、福井宏、太田雅晴  【制作協力】5年D組</t>
  </si>
  <si>
    <t>番組名○○妻　#4</t>
  </si>
  <si>
    <t>柴咲コウ、  黒木瞳、城田優、蓮佛美沙子、奥貫薫、渡辺真起子、岩本多代、平泉成、  東山紀之酔った勢いでひかり(柴咲コウ)が契約妻であることをめぐみ(蓮佛美沙子)に話してしまった正純(東山紀之)。めぐみは契約結婚について興味深々。秘密を共有した二人の距離は縮まっていく。一方、契約結婚にこだわる理由を問いただしても、頑なに答えないひかりとの距離はどんどん広がってゆく。そして、正純とめぐみは再び二人きりで飲みに行き、その様子を写真週刊誌に撮られ、スキャンダルに発展。その時ひかりは…!?【演出】日暮謙【脚本】遊川和彦【音楽】池頼広【チーフプロデューサー】伊藤響  【プロデューサー】大平太、福井宏、太田雅晴  【制作協力】5年D組</t>
  </si>
  <si>
    <t>番組名○○妻　#5</t>
  </si>
  <si>
    <t>柴咲コウ、  黒木瞳、城田優、蓮佛美沙子、奥貫薫、渡辺真起子、岩本多代、平泉成、  東山紀之「私は、昔、人を殺しました」  ひかり(柴咲コウ)の告白に、驚きを隠せない作太郎(平泉成)だったが、ひかりの秘密は墓場まで持っていくと誓う。しかし、作太郎の容態が急変、危篤状態に陥る。朦朧とした意識の中、作太郎は正純(東山紀之)を呼び出し、久保田家の「秘密」を語り、息を引き取る。作太郎の葬儀の後、正純はひかりに「正式に結婚して子供を作りたい」と訴える。そして遂にひかりも自らの「秘密」を語り始める…!【演出】猪股隆一【脚本】遊川和彦【音楽】池頼広【チーフプロデューサー】伊藤響  【プロデューサー】大平太、福井宏、太田雅晴  【制作協力】5年D組</t>
  </si>
  <si>
    <t>番組名○○妻　#6</t>
  </si>
  <si>
    <t>柴咲コウ、  黒木瞳、城田優、蓮佛美沙子、奥貫薫、渡辺真起子、岩本多代、  東山紀之ひかり(柴咲コウ)は育児放棄で子供を死なせた過去を正純(東山紀之)に告白。一夜明け、正純はひかりに「正式に結婚しよう」と婚姻届を渡す。やっと幸せを手に入れたのに、戸惑いを覚えるひかり…。そして正純もまた、ひかりの過去の重さを受け止めきれていなかった。育児放棄のニュースを読むことが出来ず、板垣(城田優)と決裂し、「ニュースライフ」の降板を宣言してしまう…。正純の窮地を知ったひかりはある決断をする…。【演出】猪股隆一【脚本】遊川和彦【音楽】池頼広【チーフプロデューサー】伊藤響  【プロデューサー】大平太、福井宏、太田雅晴  【制作協力】5年D組</t>
  </si>
  <si>
    <t>番組名○○妻　#7</t>
  </si>
  <si>
    <t>柴咲コウ、  黒木瞳、城田優、蓮佛美沙子、奥貫薫、渡辺真起子、岩本多代、  東山紀之正純(東山紀之)を守るために姿を消したひかり(柴咲コウ)はきっぱり縁を切ろうと決めたはずなのに、条件反射で「ニュースライフ」を見てしまう。そして正純は、板垣(城田優)から「マスコミに離婚を発表してほしい」と頼まれ、断ることが出来ず、ひかりの想いとは裏腹に仕事でも精彩を欠く。  まるで、言葉を失くした人魚姫のように、街をさまようひかり。自分の無力さに絶望し、最後に魂の一言を叫び、自らの命を…。【演出】鈴木勇馬【脚本】遊川和彦【音楽】池頼広【チーフプロデューサー】伊藤響  【プロデューサー】大平太、福井宏、太田雅晴番組HPでは、ひかりと正純が交わした「契約書」と、ニュースライフの番組中に度々流れる鈴木福くん出演のお線香「潤清香」CMをフルバージョンで特別に公開中!!  詳しくは「○○妻」公式HPまで!</t>
  </si>
  <si>
    <t>番組名○○妻　#8</t>
  </si>
  <si>
    <t>柴咲コウ、  黒木瞳、城田優、蓮佛美沙子、奥貫薫、渡辺真起子、岩本多代、  東山紀之絶望したひかり(柴咲コウ)は正純(東山紀之)の名を叫びながらスクランブル交差点に足を踏み出すが、千春(黒木瞳)に助けられ奇跡的に一命をとりとめる。一方、正純は「ニュースライフ」で離婚を発表する。  ひかりは正純(東山)への思いを振り切るためナースとして働き出すが、いつも思い出すのは正純の言葉ばかりで…。そんな中、特別室に入院した患者の世話を頼まれたひかり。部屋に入るとそこには何故か正純が…!?【演出】日暮謙【脚本】遊川和彦【音楽】池頼広【チーフプロデューサー】伊藤響  【プロデューサー】大平太、福井宏、太田雅晴  【制作協力】5年D組</t>
  </si>
  <si>
    <t>番組名○○妻　#9</t>
  </si>
  <si>
    <t>柴咲コウ、  黒木瞳、城田優、蓮佛美沙子、奥貫薫、渡辺真起子、岩本多代、  東山紀之ひかり(柴咲コウ)は弱気になった正純(東山紀之)をめぐみ(蓮佛美沙子)に託し、正純への思いを吹っ切るように看護師の仕事に打ち込む。だが、思い出すのは正純の言葉ばかり…。そんな中、正純とめぐみの関係を番組スタッフに知られ、正純は板垣(城田優)から番組降板を迫られる。さらに、正純の私生活やひかりの過去がネット上で拡散され正純は、すべてを失ってしまう。一方、ひかりは、東京を離れようと決意して…!?【演出】猪股隆一【脚本】遊川和彦【音楽】池頼広【チーフプロデューサー】伊藤響  【プロデューサー】大平太、福井宏、太田雅晴  【制作協力】5年D組番組HPでは、ひかりと正純が交わした「契約書」と、ニュースライフの番組中に度々流れる鈴木福くん出演のお線香「潤清香」CMをフルバージョンで特別に公開中!!  詳しくは「○○妻」公式HPまで!</t>
  </si>
  <si>
    <t>番組名○○妻　#10</t>
  </si>
  <si>
    <t>柴咲コウ、  黒木瞳、城田優、蓮佛美沙子、奥貫薫、渡辺真起子、岩本多代、  東山紀之ひかり(柴咲コウ)と正純(東山紀之)は、過去を乗り越え、正式に結婚し、新生活を始める。結婚式も挙げることになり、ひかりの心からの笑顔を見た正純は幸せを噛みしめる。しかし結婚式前日、正純が高校生の集団に絡まれ、正純とひかりは階段から転落。ひかりは意識不明の重体に…。正純は「ニュースライフ」でひかりが教えてくれた大切なことを語りだす。そこに病院から連絡が入り…。今夜、衝撃と感動の最終回!!【演出】猪股隆一【脚本】遊川和彦【音楽】池頼広【チーフプロデューサー】伊藤響  【プロデューサー】大平太、福井宏、太田雅晴  【制作協力】5年D組</t>
  </si>
  <si>
    <t>1501_NTV_木23</t>
  </si>
  <si>
    <t>五つ星ツーリスト</t>
  </si>
  <si>
    <t>番組名【連ドラ初主演!渡辺直美】新・木曜ドラマ『五つ星ツーリスト』第1話</t>
  </si>
  <si>
    <t>渡辺直美、山本裕典、高月彩良、綾田俊樹、星田英利、ちすん、天翔りいら、ロバータ  ***  有森也実、寺島進  【ゲスト】西岡徳馬、入山法子、大塚良重、是近敦之(他)【第1話】  『“伝説のトラベルマスター”京香登場!』  旅行会社の新人社員・佐竹一郎(山本裕典)は、添乗員としての初仕事に意気揚々と向かうが、任されたのは強烈なクレーム客、松永和彦(西岡徳馬)の担当だった!対応に困り果てる佐竹だが、どんなお客も満足させるという“スゴ腕トラベルマスター”高瀬京香(渡辺直美)が現れ、究極のツアープランでおもてなしすることになる!【演出】  長江俊和【脚本】  森ハヤシ井筒昭雄  【主題歌】  「Stop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</si>
  <si>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番組名木曜ドラマ『五つ星ツーリスト・第2話』家族旅行に愛人が乗り込んできた!?</t>
  </si>
  <si>
    <t>渡辺直美、山本裕典、高月彩良、綾田俊樹、星田英利、ちすん、天翔りいら、ロバータ  ***  有森也実、寺島進  【ゲスト】東幹久、中島ひろ子、松本莉緒、遠藤瑠菜(他)【第2話】  妻(中島ひろ子)と幼い娘(遠藤瑠菜)と家族旅行を楽しんでいる大沢ミノル(東幹久)。そのミノルのもとに、不倫相手の女性(松本莉緒)が乗り込んできた!あわてたミノルは、添乗員の佐竹一郎(山本裕典)に、家族と不倫相手、双方に気付かれないよう、それぞれの旅行プランを成立させてほしいと頼み込むがーー。【演出】  長江俊和【脚本】  森ハヤシ井筒昭雄  【主題歌】  「Stop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</si>
  <si>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番組名木曜ドラマ『五つ星ツーリスト・第3話』縁切りツアーで夫婦愛が復活!?</t>
  </si>
  <si>
    <t>渡辺直美、山本裕典、高月彩良、綾田俊樹、星田英利、ちすん、天翔りいら、ロバータ  有森也実、寺島進  【ゲスト】  遠山景織子、窪塚俊介、内田春菊(他)【第3話】  サンセットツアーズでは、カリスマ占い師・天地魅和子(内田春菊)プロデュースの「縁切りバスツアー」が人気で、悪縁を断ち切りたい客たちが押し寄せていた。その中には、倉石亜紀(遠山景織子)もいて、夫・弘樹(窪塚俊介)との離縁を祈願していた。それを知った弘樹は、亜紀と別れたくないと慌てて追いかけてきてーー【演出】島崎敏樹【脚本】川嶋澄乃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</si>
  <si>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番組名木曜ドラマ『五つ星ツーリスト・第4話』スターぶち切れ!京都一の舞妓を!</t>
  </si>
  <si>
    <t>渡辺直美、山本裕典、高月彩良、綾田俊樹、星田英利、ちすん、天翔りいら、ロバータ  有森也実、寺島進  【ゲスト】桐山漣、岩田さゆり(他)【第4話】  京都の映画祭にやってきた人気イケメン俳優・春川優也(桐山漣)。お忍びで京都を満喫したいという優也のため、ツアーを企画しようとする佐竹一郎(山本裕典)。だが、無理難題を言いだすワガママな優也に、途方に暮れる。そこに優也の大ファンだという高瀬京香(渡辺直美)も加わって……【演出】島崎敏樹【脚本】森ハヤシ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</si>
  <si>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番組名木曜ドラマ『五つ星ツーリスト・第5話』前妻めぐる男のバトル!</t>
  </si>
  <si>
    <t>渡辺直美、山本裕典、高月彩良、綾田俊樹、星田英利、ちすん、天翔りいら、ロバータ  有森也実、寺島進  【ゲスト】伊藤かずえ、小久保結、中林大樹(他)【第5話】  契約タクシードライバーの川端哲男(寺島進)は、別れた妻の丸山美穂(伊藤かずえ)が再婚すると聞き、心穏やかでない。ある日、その美穂が、恋人の大倉孝彦(中林大樹)と京都旅行に来ることになり、川端は、高瀬京香(渡辺直美)らを巻き込み、そのツアーを担当しようとするがーー【演出】村松弘之【脚本】森ハヤシ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</si>
  <si>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番組名木曜ドラマ『五つ星ツーリスト・第6話』熟年婚活ツアーに隠された真実</t>
  </si>
  <si>
    <t>渡辺直美、山本裕典、高月彩良、綾田俊樹、星田英利、ちすん、天翔りいら、ロバータ  有森也実、寺島進  【ゲスト】村上ショージ、中村久美、山口美也子(他)【第6話】  熟年婚活ツアーに参加してはツアーをぶち壊す、“ツアークラッシャー”の迫田健三(村上ショージ)。その対応を任された高瀬京香(渡辺直美)と佐竹一郎(山本裕典)は、迫田に隠された意外な事実を知ることになる……【演出】村松弘之【脚本】森ハヤシ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</si>
  <si>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番組名木曜ドラマ『五つ星ツーリスト・第7話』お客様は視力を失ったカメラマン</t>
  </si>
  <si>
    <t>渡辺直美、山本裕典、高月彩良、綾田俊樹、星田英利、ちすん、天翔りいら、ロバータ  有森也実、寺島進  【ゲスト】大友康平、竹富聖花(他)【第7話】  佐竹一郎(山本裕典)は、ツアーの企画を初めて任され、目の見えない阿久津和也(大友康平)とその娘、葉月(竹富聖花)の父娘旅行を担当することになった。張り切る佐竹だが、カメラマンである阿久津の機嫌を損ねてしまい、親子仲も険悪になってしまう……。【演出】島崎敏樹【脚本】森山あけみ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</si>
  <si>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番組名木曜ドラマ『五つ星ツーリスト・第8話』町工場の“超激安”社員旅行の奇跡</t>
  </si>
  <si>
    <t>渡辺直美、山本裕典、高月彩良、綾田俊樹、星田英利、ちすん、天翔りいら、ロバータ  有森也実、寺島進  【ゲスト】ダンカン、榊原徹士、小林竜樹、福田転球、藤田宗久、チャド・マレーン(他)【第8話】  ある町工場の社員旅行を任されることになった佐竹一郎(山本裕典)。だが、その社長の小林恒雄(ダンカン)は、ツアー料金を不当に値切り、佐竹は“超激安”旅行を決行する羽目になり……。【演出】島崎敏樹【脚本】川嶋澄乃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</si>
  <si>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番組名木曜ドラマ『五つ星ツーリスト・第9話』セレブ女社長の京都おばんざいツアー</t>
  </si>
  <si>
    <t>渡辺直美、山本裕典、高月彩良、綾田俊樹、星田英利、ちすん、天翔りいら、ロバータ、有森也実、寺島進  【ゲスト】佐藤藍子、鈴之助、かとうかず子(他)【第9話】  佐竹一郎(山本裕典)は、大口顧客で大クレーマーの美人女社長、芹沢江利奈(佐藤藍子)のツアーを担当することになった。江利奈は「おばんざい食べ歩きツアー」で、様々な料亭をまわるが、どの料亭でも“かぶら蒸し”だけを口にし、すぐに立ち去ってしまう。その不可解な行動にはある深い事情があってーー【演出】村松弘之【脚本】伊藤崇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</si>
  <si>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番組名木曜ドラマ『五つ星ツーリスト・第10話』鬼母が婚前旅行に乗り込んできた!</t>
  </si>
  <si>
    <t>渡辺直美、山本裕典、高月彩良、綾田俊樹、星田英利、ちすん、天翔りいら、ロバータ、有森也実、寺島進  【ゲスト】杉田かおる、永田彬、黒川芽以(他)【第10話】  佐竹一郎(山本裕典)は、大学時代の先輩、新谷誠人(永田彬)が結婚を前提に付き合っている牧村留美(黒川芽以)との旅行の担当をしていた。だが、そこに新谷の母、旅館の女将である敦子(杉田かおる)が乗り込んできてーー【演出】亀谷英司【脚本】川嶋澄乃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</si>
  <si>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番組名【ファイナル直前!】木曜ドラマ『五つ星ツーリスト・第11話』</t>
  </si>
  <si>
    <t>渡辺直美、山本裕典、高月彩良、綾田俊樹、星田英利、ちすん、天翔りいら、ロバータ  有森也実、寺島進  【ゲスト】東ちづる、岡まゆみ、山野海、渡邉紘平、花井瑠美、長原成樹、サラ・マクドナルド(他)【第11話】  佐竹一郎(山本裕典)らのいる「サンセットツアーズ」京都観光課に、常務の真田涼子(東ちづる)が東京本社からリストラ対象を探すべくやってきた。そんな中、佐竹は、ある観光ツアーに潜伏している覆面ブロガーを探す、というミッションを受け、高瀬京香(渡辺直美)に相談するが……【演出】長江俊和【脚本】森ハヤシ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</si>
  <si>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番組名【最終回】木曜ドラマ『五つ星ツーリスト～最高の旅、ご案内します!!～』</t>
  </si>
  <si>
    <t>渡辺直美、山本裕典、高月彩良、綾田俊樹、星田英利、ちすん、天翔りいら、ロバータ、有森也実、寺島進  【ゲスト】篠田麻里子、佐藤祐基、東ちづる(他)【最終話】  常務の真田涼子(東ちづる)のひと声で、高瀬京香(渡辺直美)のいる中央管理センターが潰されることになった!その京香に、「サンセットツアーズ」の社長令嬢、日暮美園(篠田麻里子)からツアー添乗の指名が入る。その美園の婚約者、長友孝俊(佐藤祐基)は京香の元カレでーー【演出】長江俊和【脚本】森ハヤシ井筒昭雄  【主題歌】「Stop　the　time」MYNAME「恋愛時代」4月2日スタート!離婚してからも食事に行く、ちょっとおかしな元夫婦。関係を終わらせるため、互いの再婚相手を紹介しあうことになるが…比嘉愛未・満島真之介が元夫婦を演じる大人のラブストーリー。【番組公式サイト】  http://www.ytv.co.jp/fivestar/  【番組公式facebook】  https://www.facebook.com/fivestars.tourist  【番組公式instagram】  http://instagram.com/ytv.drama  【番組公式Twitter】  https://twitter.com/ytvdrama  #五つ星ツーリスト</t>
  </si>
  <si>
    <t>1501_NTV_土21</t>
  </si>
  <si>
    <t>学校のカイダン</t>
  </si>
  <si>
    <t>番組名学校のカイダン　#1</t>
  </si>
  <si>
    <t>広瀬すず、神木隆之介、石橋杏奈、杉咲花、須賀健太、間宮祥太朗、白洲迅、清水くるみ、吉倉あおい、飯豊まりえ、金子ノブアキ、野波麻帆、金山一彦、泉谷しげる、生瀬勝久、浅野温子　他「そのコトバで世界を変えろ!」ド底辺女子高生×天才スピーチライター!誰も見たことがない学園ドラマ、開幕!  名門・明蘭学園高校に特別採用枠で編入したツバメ(広瀬すず)。特別採用枠の生徒は“特サ枠”と呼ばれ、他の生徒達からバカにされる毎日…。  ある日突然、ツバメは生徒会長に選ばれる。生徒会長とは名ばかりで、誰もツバメの話を聞いてくれない…。途方に暮れるツバメの前に、謎の男(神木隆之介)が現れて…。【演出】南雲聖一【脚本】吉田智子【音楽】松本晃彦【チーフプロデューサー】伊藤響  【プロデューサー】福井雄太、難波利昭、八木欣也  【制作協力】日テレアックスオン</t>
  </si>
  <si>
    <t>番組名学校のカイダン　#2</t>
  </si>
  <si>
    <t>広瀬すず、神木隆之介、石橋杏奈、杉咲花、須賀健太、間宮祥太朗、白洲迅、清水くるみ、吉倉あおい、飯豊まりえ、金子ノブアキ、野波麻帆、金山一彦、泉谷しげる、生瀬勝久、浅野温子　他「この学校を変えたい!」全校生徒に向かって宣戦布告をしたツバメ(広瀬すず)。しかし、何をしたらよいかも分からず、ウジウジする中で彗(神木隆之介)からの次なる指令は、「自分たちの村を作れ」。ツバメはその指示に従い、生徒会の役員たちを味方にしようとするが、生徒会予算の紛失事件に巻き込まれ、「会長不信任」を突きつけられる。「村を作る」どころか、孤立無援となったツバメに、彗が授ける次なる秘策は…!?【演出】南雲聖一【脚本】吉田智子【音楽】松本晃彦【チーフプロデューサー】伊藤響  【プロデューサー】福井雄太、難波利昭、八木欣也  【制作協力】日テレアックスオン</t>
  </si>
  <si>
    <t>番組名学校のカイダン　#3</t>
  </si>
  <si>
    <t>広瀬すず、神木隆之介、石橋杏奈、杉咲花、須賀健太、間宮祥太朗、白洲迅、清水くるみ、吉倉あおい、飯豊まりえ、金子ノブアキ、野波麻帆、金山一彦、泉谷しげる、生瀬勝久、浅野温子　他生徒会室が乗っ取られた!?  生徒会というか弱き仲間を得たツバメ(広瀬すず)が次に彗(神木隆之介)に命じられた課題は、「自分たちの砦を守る」というもの。  ツバメ達は、生徒たちの悩みを知るために目安箱を設置する。そんな中、各運動部の予算配分などで生徒会に怒涛のクレームが!バスケ部の夏樹(間宮祥太朗)らの悪だくみで部室が割り当てられない「日陰クラブ」の部室として、生徒会室が占拠されてしまい…。【演出】鈴木勇馬【脚本】吉田智子【音楽】松本晃彦【チーフプロデューサー】伊藤響  【プロデューサー】福井雄太、難波利昭、八木欣也  【制作協力】日テレアックスオン</t>
  </si>
  <si>
    <t>番組名学校のカイダン　#4</t>
  </si>
  <si>
    <t>広瀬すず、神木隆之介、石橋杏奈、杉咲花、須賀健太、間宮祥太朗、白洲迅、清水くるみ、吉倉あおい、飯豊まりえ、金子ノブアキ、野波麻帆、金山一彦、泉谷しげる、生瀬勝久、浅野温子　他さあ、「腐った教師を、切り捨てろ!」  ある日、ツバメ(広瀬すず)達が生徒会室を訪れると室内がめちゃくちゃに荒らされていた。犯人はプラチナ8に違いないのに、それを見て見ぬフリをする教師達…。彗(神木隆之介)はそんな大人を懲らしめる唯一の方法は、「スキャンダルだ!」と高らかに宣言。  次の日、生徒会の壁新聞に、エミリー(吉倉あおい)と担任の壺井(金子ノブアキ)の熱愛スクープが貼り出されていて…。【演出】鈴木勇馬【脚本】吉田智子【音楽】松本晃彦【チーフプロデューサー】伊藤響  【プロデューサー】福井雄太、難波利昭、八木欣也  【制作協力】日テレアックスオン</t>
  </si>
  <si>
    <t>番組名学校のカイダン　#5</t>
  </si>
  <si>
    <t>広瀬すず、神木隆之介、石橋杏奈、杉咲花、須賀健太、間宮祥太朗、白洲迅、清水くるみ、吉倉あおい、飯豊まりえ、金子ノブアキ、野波麻帆、金山一彦、泉谷しげる、生瀬勝久、浅野温子　他「腑抜け共が蠢くクラスをヒックリ返せ!」  文化祭のシーズン。ツバメ(広瀬すず)は着実に生徒の支持を集めていた…かのように見えたが、文化祭の準備中に、突如全員からボイコットを食らってしまう。最初は協力的に見えたみもりん(杉咲花)らプラチナ8がまたも何かおかしな動きをしたようで…。慌てるツバメだが、彗(神木隆之介)が「ハブられたんじゃない。おまえがやつらをハブってるんだ!」と言われ、動き始める…。【演出】南雲聖一【脚本】吉田智子【音楽】松本晃彦【チーフプロデューサー】伊藤響  【プロデューサー】福井雄太、難波利昭、八木欣也  【制作協力】日テレアックスオン</t>
  </si>
  <si>
    <t>番組名学校のカイダン　#6</t>
  </si>
  <si>
    <t>広瀬すず、神木隆之介、石橋杏奈、杉咲花、須賀健太、間宮祥太朗、白洲迅、清水くるみ、吉倉あおい、飯豊まりえ、金子ノブアキ、野波麻帆、金山一彦、泉谷しげる、生瀬勝久、浅野温子　他ツバメ(広瀬すず)への次なる彗(神木隆之介)からの指令は、プラチナ軍団との直接対決!!ツバメ軍は次々に夏樹(間宮祥太朗)を中心としたプラチナ枠の不当な権利に対して戦いをしかける。そしてついに自由なる日々を取り返した…、と思ったのも束の間、そこに現れたのはプラチナ枠の生徒の親で結成された明蘭PTA。そのPTAの会合で特別採用枠の廃止が主張され、ツバメたちを学園から追い出そうという決議が促される…。【演出】鈴木勇馬【脚本】吉田智子【音楽】松本晃彦【チーフプロデューサー】伊藤響  【プロデューサー】福井雄太、難波利昭、八木欣也  【制作協力】日テレアックスオン</t>
  </si>
  <si>
    <t>番組名学校のカイダン　#7</t>
  </si>
  <si>
    <t>広瀬すず、神木隆之介、石橋杏奈、杉咲花、須賀健太、間宮祥太朗、白洲迅、清水くるみ、吉倉あおい、飯豊まりえ、金子ノブアキ、野波麻帆、金山一彦、泉谷しげる、生瀬勝久、浅野温子　他革命家の「バケの皮」剥がれる!?  ツバメ(広瀬すず)のスピーチを慧(神木隆之介)が書いていたことが南(石橋杏奈)によって暴かれた。ツバメの言葉に感動した生徒たちは怒り、ツバメを責める。南は、全校生徒でツバメを学校から追放しようと動き出す…。  慧の元へ駈けるツバメだが、彗はツバメを追い返す。さらに、南は、彗を大金で雇い、再び学校を支配しようと画策する…。  唯一の味方・慧を失ったツバメの運命は!?【演出】南雲聖【脚本】吉田智子【音楽】松本晃彦【チーフプロデューサー】伊藤響  【プロデューサー】福井雄太、難波利昭、八木欣也  【制作協力】日テレアックスオン</t>
  </si>
  <si>
    <t>番組名学校のカイダン　#8</t>
  </si>
  <si>
    <t>広瀬すず、神木隆之介、石橋杏奈、杉咲花、須賀健太、間宮祥太朗、白洲迅、清水くるみ、吉倉あおい、飯豊まりえ、金子ノブアキ、野波麻帆、金山一彦、泉谷しげる、生瀬勝久、浅野温子　他ついに生徒達全てを味方につけたツバメ(広瀬すず)。だが、カイダンは終わらない!!「信念なき教師どもを、打ちのめせ!」  生徒への徹底管理を強いる金時(生瀬勝久)。ツバメたちは一致団結して金時に反発。そんな中、陸(成田凌)が書いた小説が文学賞に入選。ツバメたちは作家になりたいという陸の夢を応援するが、金時はその夢を打ち砕く。金時への怒りに燃えるツバメに彗(神木隆之介)は、若い頃の金時の写真を見せ…。【演出】田部井稔【脚本】吉田智子【音楽】松本晃彦【チーフプロデューサー】伊藤響  【プロデューサー】福井雄太、難波利昭、八木欣也  【制作協力】日テレアックスオン</t>
  </si>
  <si>
    <t>番組名学校のカイダン　#9</t>
  </si>
  <si>
    <t>広瀬すず、神木隆之介、石橋杏奈、杉咲花、須賀健太、間宮祥太朗、白洲迅、清水くるみ、吉倉あおい、飯豊まりえ、金子ノブアキ、野波麻帆、金山一彦、泉谷しげる、生瀬勝久、浅野温子　他ついに、彗(神木隆之介)の過去があきらかに…!かつて明蘭学園の特サ枠第一期生で生徒会長を務めていた彗。だが、5年前に彗の体の自由と未来を奪ったある事件が発生。しかし、蜜子(浅野温子)は保身のために事件を隠ぺいしたのだった…。ツバメ(広瀬すず)は蜜子に怒りを覚え、生徒会役員やプラチナ8と結束し、蜜子追放のための行動を開始する。彗の苦しみを救おうと奔走するツバメに彗の「最後のレッスン」が始まる…。【演出】鈴木勇馬【脚本】吉田智子【音楽】松本晃彦【チーフプロデューサー】伊藤響  【プロデューサー】福井雄太、難波利昭、八木欣也  【制作協力】日テレアックスオン</t>
  </si>
  <si>
    <t>番組名学校のカイダン　#10</t>
  </si>
  <si>
    <t>広瀬すず、神木隆之介、石橋杏奈、杉咲花、須賀健太、間宮祥太朗、白洲迅、清水くるみ、吉倉あおい、飯豊まりえ、金子ノブアキ、野波麻帆、金山一彦、泉谷しげる、生瀬勝久、浅野温子　他「学校のカイダン」ついに最終回ーー。  これまで登ってきた全ての「カイダン」は蜜子(浅野温子)への復讐のためだったことを彗(神木隆之介)に告げられたツバメ(広瀬すず)。蜜子がイジメ事件の隠ぺいをしていたことが彗の手によって世の中に知れ渡り、明蘭学園の評価は地に落ちる。その風評を受け止めた蜜子が明蘭高校の廃校を発表。  彗を失ったツバメが、自分たちの学校を守るために選んだ最後の「カイダン」とは!?【演出】南雲聖一【脚本】吉田智子【音楽】松本晃彦【チーフプロデューサー】伊藤響  【プロデューサー】福井雄太、難波利昭、八木欣也  【制作協力】日テレアックスオン</t>
  </si>
  <si>
    <t>1410_NTV_水22</t>
  </si>
  <si>
    <t>きょうは会社休みます。</t>
  </si>
  <si>
    <t>番組名きょうは会社休みます。　#1</t>
  </si>
  <si>
    <t>綾瀬はるか、  福士蒼汰、仲里依紗、田口淳之介、  千葉雄大、平岩紙、浅野和之、  吹越満、高畑淳子、玉木宏彼氏いない歴30年、もちろん処女、の地味で残念なOL・花笑(綾瀬はるか)。  出会いもなく、ときめきもなく、同じことを繰り返す日々…。そんな花笑が、飲み会の流れで同じ部署の現役大学生アルバイト・田之倉(福士蒼汰)と2人きりに。誕生日をサプライズで祝われ、そのまま一夜を共にする…。嵐のようにやってきた処女卒業、初恋。さらにイケメンCEO朝尾(玉木宏)もいきなり大接近!?こじらせ女子の運命は如何に!?【演出】中島悟【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</si>
  <si>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#2</t>
  </si>
  <si>
    <t>綾瀬はるか、  福士蒼汰、仲里依紗、田口淳之介、  千葉雄大、平岩紙、田口浩正、浅野和之、  吹越満、高畑淳子、玉木宏田之倉(福士蒼汰)の想いが信じられない花笑(綾瀬はるか)は交際の返事を保留する。しかし連絡先を交換した事で始まったメールのやりとりにいちいちドギマギ。一方、会社の後輩・瞳(仲里依紗)はイケメンCEO朝尾(玉木宏)に猛烈アタックするが、「気になる女性がいる」とアッサリ玉砕。そんな折、花笑の前に田之倉と親しげに話す若い女が現れ…花笑のこじらせ度はさらに加速していく!【演出】中島悟【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</si>
  <si>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#3</t>
  </si>
  <si>
    <t>綾瀬はるか、  福士蒼汰、仲里依紗、田口淳之介、  千葉雄大、平岩紙、田口浩正、浅野和之、  吹越満、高畑淳子、玉木宏田之倉(福士蒼汰)と付き合いだした花笑(綾瀬はるか)。初めての彼氏に浮かれ気味だが、「重い女にならないように」という朝尾(玉木宏)の忠告を意識する余り、デート中も観たい映画や食べたい物が言い出せない。さらに、田之倉の部屋でいい雰囲気になるものの、ベッドの下にシュシュを見つけてしまい、「他にも付き合っている人がいるのかも」とパニックになり家を飛び出してしまう…!【演出】狩山俊輔【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</si>
  <si>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#4</t>
  </si>
  <si>
    <t>綾瀬はるか、  福士蒼汰、仲里依紗、田口淳之介、  千葉雄大、平岩紙、田口浩正、浅野和之、  吹越満、高畑淳子、玉木宏田之倉(福士蒼汰)の浮気疑惑も晴れ、無事に合鍵という恋人の証を手に入れた花笑(綾瀬はるか)。だが「親への紹介」という次なる難関が…!  彼氏が出来たと家族にバレたが、相手が大学生とは言い出せず悩む花笑。さらにひょんなことから父・巌(浅野和之)は朝尾(玉木宏)を花笑の彼氏だと勘違い。  田之倉(福士蒼汰)を家に連れてくるが、彼氏が大学生と知り青石家はパニックに!巌に結婚の意思を聞かれた田之倉の答えは!?【演出】中島悟【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</si>
  <si>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#5</t>
  </si>
  <si>
    <t>綾瀬はるか、  福士蒼汰、仲里依紗、田口淳之介、  千葉雄大、平岩紙、田口浩正、浅野和之、  吹越満、高畑淳子、玉木宏田之倉(福士蒼汰)との交際を両親にも認められ絶好調の花笑(綾瀬はるか)。田之倉の後輩・ひろ乃(古畑星夏)と再会し恋愛相談を受ける。すると彼女が好きなのは田之倉と判明!ひろ乃の真剣な気持ちを聞き、自分が田之倉の彼女だと言い出せない花笑はそのことで田之倉と喧嘩してしまう…。そんな時、CEOを解任になった朝尾(玉木宏)から助けてほしいと呼び出され…。【演出】狩山俊輔【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</si>
  <si>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#6</t>
  </si>
  <si>
    <t>綾瀬はるか、  福士蒼汰、仲里依紗、田口淳之介、  千葉雄大、平岩紙、田口浩正、浅野和之、  吹越満、高畑淳子、玉木宏ひろ乃(古畑星夏)の一件を巡り、田之倉(福士蒼汰)から距離を置かれた花笑(綾瀬はるか)。さらにひろ乃からの「田之倉と一緒にいる」という宣戦布告メール…。  一体、この状態はいつまで続くの!?電話やメールならOKなの!?思い悩む花笑は、田之倉の行動からサインを読み取ろうとするが、別れを切り出される恐怖から、田之倉を避けてしまう。  朝尾(玉木宏)の助言もあり、きちんと話そうと田之倉を呼び出す花笑だが…。【演出】中島悟【原作】藤村真理「きょうは会社休みます。」(「Cocohana」連載中・集英社マーガレットコミックス刊)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</si>
  <si>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#7</t>
  </si>
  <si>
    <t>綾瀬はるか、  福士蒼汰、仲里依紗、田口淳之介、  千葉雄大、平岩紙、田口浩正、浅野和之、  吹越満、高畑淳子、玉木宏こじらせ女、ネクストステージへ!?田之倉(福士蒼汰)から同棲を提案された花笑(綾瀬はるか)。はりきって部屋探しを始めるが、2泊以上の外泊すら殆ど経験がない花笑は、新居を探しながら、予行演習として田之倉のアパートに連泊することに!だが、慣れない共同生活の緊張感にリラックスできず、実家が恋しくなってしまう…。さらに、朝尾(玉木宏)から「同棲するカップルのほとんどは結婚前に別れる」と聞かされて…【演出】狩山俊輔【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</si>
  <si>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#8</t>
  </si>
  <si>
    <t>綾瀬はるか、  福士蒼汰、仲里依紗、田口淳之介、  千葉雄大、平岩紙、田口浩正、浅野和之、  吹越満、高畑淳子、玉木宏田之倉(福士蒼汰)とのデートを、会社で一番おしゃべりな同期の大城(田口淳之介)に見られてしまった花笑(綾瀬はるか)。2人の交際が会社中にバレる!とビビる花笑だが、大城は秘密を守り、大学院に進学するという田之倉と花笑の将来を心配する。  田之倉の将来の夢を聞いた花笑は、田之倉の未来に自分の姿がないことに、不安を覚える。そんな折、花笑は仕事で東京に来た田之倉の母と挨拶をすることに…!【演出】中島悟【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</si>
  <si>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#9</t>
  </si>
  <si>
    <t>綾瀬はるか、  福士蒼汰、仲里依紗、田口淳之介、  千葉雄大、平岩紙、田口浩正、浅野和之、  吹越満、高畑淳子、玉木宏突然の田之倉(福士蒼汰)からのプロポーズ!そして夢にまで見た彼氏との温泉旅行!人生最高の幸せに舞い上がる花笑(綾瀬はるか)だが、田之倉のゼミの先輩・戸崎(香椎由宇)に、優秀な田之倉が大学院を諦めるのは残念だと聞かされ、自分が田之倉の足を引っ張っていることに罪悪感を感じる。自分が田之倉のためにできることは何かと考え、花笑が出した答えは…!?さらに、朝尾(玉木宏)のレストランの開店日に呼び出され…?【演出】中島悟【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</si>
  <si>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#10</t>
  </si>
  <si>
    <t>綾瀬はるか、  福士蒼汰、仲里依紗、田口淳之介、  千葉雄大、平岩紙、田口浩正、浅野和之、  吹越満、高畑淳子、玉木宏「きょうは会社休みます。」今夜、笑いと涙の最終回!  田之倉(福士蒼汰)の将来を想って別れを告げた花笑(綾瀬はるか)に突然朝尾(玉木宏)がプロポーズ!朝尾と結婚なんて考えられない!と思う一方で、朝尾とは何でも話せる関係であることを自覚する。そして、田之倉と会わなくなれば、この恋を忘れて、次に踏み出せると思う花笑…。最後に花笑が出した答えは!?こじらせ女・青石花笑は幸せを掴むことができるのか!?【演出】中島悟【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</si>
  <si>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1410_NTV_木23</t>
  </si>
  <si>
    <t>ビンタ！</t>
  </si>
  <si>
    <t>番組名新ドラマ「ビンタ!」第1話　EXILE松本利夫　連ドラ初主演!</t>
  </si>
  <si>
    <t>松本利夫(EXILE)、山口紗弥加、石黒英雄、原菜乃華(子役)、西村雅彦  【第1話ゲスト】酒井美紀、袴田吉彦、児嶋一哉(アンジャッシュ)元暴走族総長ミノワ(松本利夫)は父の死を知り故郷月島へ。そこには9歳の妹カナがいた。カナの為、定職に就く事を迫られたミノワは奇跡的に弁護士・高田夏美(山口紗弥加)の事務員となる。しかし、採用した所長・工藤洋平(西村雅彦)には何か思惑が…。  そんな中、酒井健一(袴田吉彦)と遺産相続で揉めている戸上玲奈(酒井美紀)が依頼人としてやって来て…。  果たしてミノワは、絡み合った兄妹関係を修復できるのか!?【原作】『特攻事務員ミノワ』小川圭(講談社　ヤングマガジンKC所載)【主題歌】「秋風のアンサー」Flower10月2日(木)放送予定  ★スッキリ!!  ★PON!(一部地域を除く)  ★情報ライブ　ミヤネ屋  ★かんさい情報ネットten.(関西地方のみ)  松本利夫(EXILE)さん、山口紗弥加さん、西村雅彦さん出演!    さらに、  10月2日(木)よる9時から放送  「ダウンタウンDXDX」に松本利夫(EXILE)さん出演!!【番組公式サイト】  http://www.ytv.co.jp/binta/  【番組公式Twitter】  https://twitter.com/ytvdrama　#ビンタ  【番組公式facebook】  https://www.facebook.com/ytv.binta</t>
  </si>
  <si>
    <t>番組名ビンタ!　第2話「DNA鑑定が生む、涙の離婚トラブル」EXILE松本利夫</t>
  </si>
  <si>
    <t>松本利夫(EXILE)、山口紗弥加、石黒英雄、原菜乃華(子役)、西村雅彦  【第2話ゲスト】岡田義徳、紺野まひる、河相我聞、五十嵐陽向(子役)工藤(西村雅彦)に逆らいミノワ(松本利夫)と共に独立した夏美(山口紗弥加)。最初の依頼人は和菓子屋の主人・長澤(岡田義徳)。  DNA鑑定の結果、息子・裕希(五十嵐陽向)と血が繋がっていない事が判明したのだ。そして、離婚を拒む妻・絵里子(紺野まひる)の弁護についたのは、なんと工藤だった!師弟対決に燃える夏美だが次々と明らかになる意外な事実に翻弄される。本当の父親は誰なのか?ミノワが取った行動とは!?【原作】  『特攻事務員ミノワ』小川圭(講談社　ヤングマガジンKC所載)【主題歌】  「秋風のアンサー」Flower10月9日(木)放送  「す・またん!」(関西ローカル)  松本利夫さん、山口紗弥加さん、西村雅彦さん　VTR出演!!【番組公式サイト】  http://www.ytv.co.jp/binta/  【番組公式Twitter】  https://twitter.com/ytvdrama　#ビンタ  【番組公式facebook】  https://www.facebook.com/ytv.binta</t>
  </si>
  <si>
    <t>番組名ビンタ!　第3話「派遣OLが迷い込む、借金地獄」EXILE松本利夫</t>
  </si>
  <si>
    <t>松本利夫(EXILE)、山口紗弥加、石黒英雄、原菜乃華(子役)、西村雅彦  【第3話ゲスト】谷村美月、近江谷太朗、MAKIDAI(友情出演)、AKIRA(友情出演)ミノワ(松本利夫)は、闇金の取り立て屋に追われている派遣OL・野村未歩(谷村美月)と出会う。取り立てに困っている未歩に同情したミノワは、夏美(山口紗弥加)と共に闇金業者と対決する事に。一時は見事撃退するミノワ達だったが、闇金業者も反撃を開始。さらに、ミノワを利用して夏美を追い詰めようとする工藤(西村雅彦)の思惑も絡み、事態は意外な展開を見せる。果たしてミノワは未歩を救う事ができるのか…!?【原作】『特攻事務員ミノワ』小川圭(講談社　ヤングマガジンKC所載)【主題歌】「秋風のアンサー」Flower10月16日(木)よる9時から放送  「秘密のケンミンSHOW　ダウンタウンDX　合体SP」に西村雅彦さんさん出演!!【番組公式サイト】  http://www.ytv.co.jp/binta/  【番組公式Twitter】  https://twitter.com/ytvdrama　#ビンタ  【番組公式facebook】  https://www.facebook.com/ytv.binta</t>
  </si>
  <si>
    <t>番組名ビンタ!　第4話「最強モンペ母で学校崩壊」EXILE松本利夫</t>
  </si>
  <si>
    <t>松本利夫(EXILE)、山口紗弥加、石黒英雄、原菜乃華(子役)、西村雅彦  【第4話ゲスト】七瀬なつみ、菅谷哲也高田法律事務所にカナ(原菜乃華)の担任・増田亮太(菅谷哲也)がやって来る。PTA役員の桜井薫子(七瀬なつみ)に担任を替わるよう迫られているのだ。薫子はいわゆるモンスターペアレントで、言い分は理不尽なものばかりだった。また、厄介な事に、薫子の弁護士には工藤(西村雅彦)がついている。  夏美(山口紗弥加)は増田を救うべく、ミノワ(松本利夫)にPTAに潜入するよう命じるが、そこで大事件が起きてしまい…。【原作】  『特攻事務員ミノワ』小川圭(講談社　ヤングマガジンKC所載)【主題歌】  「秋風のアンサー」Flower【番組公式サイト】  http://www.ytv.co.jp/binta/  【番組公式Twitter】  https://twitter.com/ytvdrama　#ビンタ  【番組公式facebook】  https://www.facebook.com/ytv.binta</t>
  </si>
  <si>
    <t>番組名ビンタ!【不倫女に慰謝料請求!?浮気夫とセックスレス妻の決断】#5</t>
  </si>
  <si>
    <t>松本利夫(EXILE)、山口紗弥加、石黒英雄、原菜乃華(子役)、西村雅彦  【第5話ゲスト】櫻井淳子、黒坂真美、東根作寿英不倫関係にある永井絵美(黒坂真美)と秋野修治(東根作寿英)が夏美(山口紗弥加)の元に依頼にやって来る。修治の妻・多香子(櫻井淳子)に不倫がバレてしまい、絵美が慰謝料を請求されているというのだ。セックスレスで夫に愛もないが、子供のため離婚を拒む多香子。  秋野を愛しているから結婚したいという絵美。二人の間で揺れる秋野。三者の愛憎渦巻く中、ミノワ(松本利夫)の行動がとんでもない修羅場を招いてしまい…!?【原作】『特攻事務員ミノワ』小川圭(講談社　ヤングマガジンKC所載)【主題歌】「秋風のアンサー」Flower【番組公式サイト】  http://www.ytv.co.jp/binta/  【番組公式Twitter】  https://twitter.com/ytvdrama　#ビンタ  【番組公式facebook】  https://www.facebook.com/ytv.binta</t>
  </si>
  <si>
    <t>番組名ビンタ!【干渉し過ぎる毒母が引き起こす娘へのストーカー事件】#6</t>
  </si>
  <si>
    <t>松本利夫(EXILE)、山口紗弥加、石黒英雄、原菜乃華(子役)、西村雅彦  【第6話ゲスト】ちすん、根岸季衣、馬場徹夏美(山口紗弥加)の元に友人で女医の小田律子(ちすん)が訪れる。年下の研修医と婚約中の律子だが、結婚に反対する律子の母・早苗(根岸季衣)が執拗に干渉してくるらしい。早苗は娘を愛するあまり、束縛し、私物化しようとする“毒母”だったのだ。  一方、カナ(原菜乃華)が中学生に告白され気が気じゃないミノワ(松本利夫)は早苗の味方になってしまう。しかし、早苗の行動はエスカレートし、遂に決定的な事件が起こる…!【原作】  『特攻事務員ミノワ』小川圭(講談社　ヤングマガジンKC所載)【主題歌】  「秋風のアンサー」Flower【番組公式サイト】  http://www.ytv.co.jp/binta/  【番組公式Twitter】  https://twitter.com/ytvdrama　#ビンタ  【番組公式facebook】  https://www.facebook.com/ytv.binta</t>
  </si>
  <si>
    <t>番組名ビンタ!【隣人の嫌がらせ憎しみ合う主婦…法律を超えた仰天解決!】#7</t>
  </si>
  <si>
    <t>松本利夫(EXILE)、山口紗弥加、石黒英雄、原菜乃華(子役)、西村雅彦  【第7話ゲスト】三浦理恵子、音月桂、浅越ゴエ高田法律事務所に主婦・浅野真知子(三浦理恵子)がやって来る。引っ越したばかりの新居で隣の主婦・小森谷幸恵(音月桂)から嫌がらせを受けているというのだ。しかし、幸恵は「嫌がらせを受けているのはこっちだ」と主張。夏美(山口紗弥加)は証拠を押さえるべく、ミノワ(松本利夫)に近くのボロアパートで張り込みさせるが、そのアパートはいわくつきの物件で…。果たしてミノワは隣人トラブルを解決する事が出来るのか…!?【原作】  『特攻事務員ミノワ』小川圭(講談社　ヤングマガジンKC所載)【主題歌】  「秋風のアンサー」Flower☆11月13日(木)『かんさい情報ネットten.』(関西地方のみ)にて、『ビンタ!』と番組コーナーとのコラボレーション企画が放送されます!お楽しみに!【番組公式サイト】  http://www.ytv.co.jp/binta/  【番組公式Twitter】  https://twitter.com/ytvdrama　#ビンタ  【番組公式facebook】  https://www.facebook.com/ytv.binta</t>
  </si>
  <si>
    <t>番組名ビンタ!【婚約破棄で元彼から慰謝料500万!?愛憎修羅場で涙の奇跡】#8</t>
  </si>
  <si>
    <t>松本利夫(EXILE)、山口紗弥加、石黒英雄、原菜乃華(子役)、西村雅彦  【第8話ゲスト】村川絵梨高田法律事務所に若い女性・今野結衣(村川絵梨)がやって来る。なんと吾郎(石黒英雄)に不当に婚約を破棄されたというのだ。夏美(山口紗弥加)とミノワ(松本利夫)は「婚約などしてない」という吾郎を信じ、依頼を断る。だが、結衣は工藤(西村雅彦)を弁護士につけ、吾郎に慰謝料を要求。すると、「婚約などしてない」という吾郎の言葉を覆す新事実が次々と発覚!追い込まれた吾郎にミノワは驚きの解決方法を提案するが…!?【原作】『特攻事務員ミノワ』小川圭(講談社　ヤングマガジンKC所載)【主題歌】「秋風のアンサー」Flower【番組公式サイト】  http://www.ytv.co.jp/binta/  【番組公式Twitter】  https://twitter.com/ytvdrama　#ビンタ  【番組公式facebook】  https://www.facebook.com/ytv.binta</t>
  </si>
  <si>
    <t>番組名ビンタ!【万引き容疑で店頭に顔写真公開!絶体絶命からの逆転劇】#9</t>
  </si>
  <si>
    <t>松本利夫(EXILE)、山口紗弥加、石黒英雄、原菜乃華(子役)、西村雅彦  【第9話ゲスト】升毅最近、挙動不審のミノワ(松本利夫)。怪しむ夏美(山口紗弥加)の元に衝撃的な知らせが。ミノワが階段から転落し、救急車で運ばれたのだ。ミノワは書店の店長・酒井哲夫(升毅)と諍いになり、誤って転落したという。書店を訪れた夏美は、万引きの疑いをかけられたミノワの写真が店頭に貼られているのを発見する!疑いを晴らそうと奔走する夏美だが出て来るのは不利な材料ばかり。さらにミノワを犯人だと言う目撃者が現れて…!?【原作】  『特攻事務員ミノワ』小川圭(講談社　ヤングマガジンKC所載)【主題歌】  「秋風のアンサー」Flower【番組公式サイト】  http://www.ytv.co.jp/binta/  【番組公式Twitter】  https://twitter.com/ytvdrama　#ビンタ  【番組公式facebook】  https://www.facebook.com/ytv.binta</t>
  </si>
  <si>
    <t>番組名ビンタ!【姑を憎み離婚訴訟を起こす鬼嫁!家族崩壊危機に涙する】#10</t>
  </si>
  <si>
    <t>松本利夫(EXILE)、山口紗弥加、石黒英雄、原菜乃華(子役)、西村雅彦  【第10話ゲスト】朝加真由美、柴本幸子育てを巡って、嫁・新城沙織(柴本幸)と姑・礼子(朝加真由美)が激しく対立。家族と向き合おうとしない夫にも愛想を尽かした沙織は、離婚を決意。一人息子・歩の親権を勝ち取るべく夏美(山口紗弥加)に相談する。一方、歩の為にも離婚を止め、家族皆で幸せになって貰いたいミノワ(松本利夫)は、その為に奔走するが、火に油を注ぐ結果となってしまう。勇み足続きのミノワは、夏美に依頼人との接触を禁じられてしまい…!?【原作】『特攻事務員ミノワ』小川圭(講談社　ヤングマガジンKC所載)【主題歌】「秋風のアンサー」Flower【番組公式サイト】  http://www.ytv.co.jp/binta/  【番組公式Twitter】  https://twitter.com/ytvdrama　#ビンタ  【番組公式facebook】  https://www.facebook.com/ytv.binta</t>
  </si>
  <si>
    <t>1410_NTV_土21</t>
  </si>
  <si>
    <t>地獄先生ぬ～べ～</t>
  </si>
  <si>
    <t>番組名地獄先生ぬ～べ～　#1</t>
  </si>
  <si>
    <t>【レギュラー】丸山隆平(関ジャニ∞)、桐谷美玲、速水もこみち、知英、山本美月、知念侑李(Hey!Say!JUMP)、遠山俊也、山田親太朗、柴田美咲、マキタスポーツ、優香、坂上忍、高橋英樹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鵺野鳴介(通称ぬ～べ～:丸山隆平)は、熱意が空回りする残念なダメ教師。同僚のリツコ先生(桐谷美玲)には転任早々失望され、キザな家庭科教師の玉藻(速水もこみち)にも差をつけられる。そんな折、まこと(知念侑李)ら、ぬ～べ～クラスの生徒達が立て続けに不気味な怪物の幻覚を見る。ぬ～べ～は「それは妖怪のしわざだ!」と生徒たちに告げるが、バカにされてまるで相手にされない。だが、学校は鏡の妖怪に支配されて…。【演出】佐久間紀佳【脚本】マギー　  【原作】原作:真倉翔　漫画:岡野剛(集英社)【主題歌】関ジャニ∞「がむしゃら行進曲」  【音楽】横山克【プロデューサー】戸田一也、小泉守【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</si>
  <si>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#2</t>
  </si>
  <si>
    <t>【レギュラー】丸山隆平(関ジャニ∞)、桐谷美玲、速水もこみち、知英、山本美月、知念侑李(Hey!Say!JUMP)、遠山俊也、山田親太朗、柴田美咲、マキタスポーツ、優香、坂上忍、高橋英樹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【ゲスト】桝太一(日本テレビアナウンサー)着任早々、大人気教師となった玉藻(速水もこみち)。だが実はその正体は、齢400歳の妖怪・妖狐。鬼の手の秘密を探る玉藻はぬ～べ～(丸山隆平)に罠を仕掛ける。  そんな中、2年3組は文化祭でお化け屋敷を計画。お節介なぬ～べ～に生徒達はブーイング。日に日にぬ～べ～への「負の妖気」が高まる中、玉藻の策略で、ぬ～べ～は文化祭壊滅の犯人にされてしまい窮地に陥る。そしてついに2年3組の生徒達にも玉藻の魔の手が…!【演出】佐久間紀佳【脚本】マギー　  【原作】原作:真倉翔　漫画:岡野剛(集英社)【主題歌】関ジャニ∞「がむしゃら行進曲」  【音楽】横山克【プロデューサー】戸田一也、小泉守  【制作協力】トータルメディアコミュニケーション  【製作著作】日本テレビ【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</si>
  <si>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#3</t>
  </si>
  <si>
    <t>【レギュラー】丸山隆平(関ジャニ∞)、桐谷美玲、速水もこみち、知英、山本美月、知念侑李(Hey!Say!JUMP)、遠山俊也、山田親太朗、柴田美咲、マキタスポーツ、優香、坂上忍、高橋英樹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【ゲスト】高橋真麻美樹(佐野ひなこ)はネット上で注目を浴びるのが大好きな「SNS中毒」の生徒。何でもすぐにツイートする美樹に、ぬ～べ～(丸山隆平)は注意をするが、どこ吹く風で…。  ある日、美樹のSNSが寝ている間に勝手に更新され、生徒やぬ～べ～の恥ずかしい画像が流出。生徒達は激怒。身に覚えがない美樹は弁解するが、クラスで孤立してしまう。そんな美樹に、人間に憑りつき死に追いやる、恐ろしい妖怪・影愚痴が忍び寄る…。【演出】池田健司【脚本】佐藤友治　  【原作】原作:真倉翔　漫画:岡野剛(集英社)【主題歌】関ジャニ∞「がむしゃら行進曲」  【音楽】横山克【プロデューサー】戸田一也、小泉守  【制作協力】トータルメディアコミュニケーション  【製作著作】日本テレビ【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</si>
  <si>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#4</t>
  </si>
  <si>
    <t>【レギュラー】丸山隆平(関ジャニ∞)、桐谷美玲、速水もこみち、知英、山本美月、知念侑李(Hey!Say!JUMP)、遠山俊也、山田親太朗、柴田美咲、マキタスポーツ、優香、坂上忍、高橋英樹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【ゲスト】高橋真麻ぬ～べ～(丸山隆平)の正体を知った2年3組では妖怪が大ブーム!!生徒達の妖怪に対する危機感のなさに、ぬ～べ～は不安を抱くが、生徒の上手い叱り方がわからなくて…。  そんな中、生徒達の前で調子に乗ったいずな(山本美月)のせいで美樹(佐野ひなこ)がろくろっ首状態に!!事なきを得たが、未熟な霊能力で生徒を危険な目に遭わされたぬ～べ～は大激怒!ぬ～べ～を見返すために、いずなは危険な妖怪の召喚を試みる…。【演出】明石広人【脚本】マギー　  【原作】原作:真倉翔　漫画:岡野剛(集英社)【主題歌】関ジャニ∞「がむしゃら行進曲」  【音楽】横山克【プロデューサー】戸田一也、小泉守  【制作協力】トータルメディアコミュニケーション  【製作著作】日本テレビ【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</si>
  <si>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#5</t>
  </si>
  <si>
    <t>【レギュラー】丸山隆平(関ジャニ∞)、桐谷美玲、速水もこみち、知英、山本美月、知念侑李(Hey!Say!JUMP)、遠山俊也、山田親太朗、柴田美咲、マキタスポーツ、優香、坂上忍、高橋英樹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将来の夢も目標もないいわゆる「さとり系」の生徒・晶(清水一希)。そんな晶の身体が人間になりたいと願っていた人体模型に乗っ取られてしまった!ぬ～べ～(丸山隆平)は、人体模型の気持ちを汲み、1日だけ人間でいることを許す。憧れの学園生活を楽しむうちに、本当の人間になりたいと願うようになる人体模型の「ジンタ」。1日という限られた時間に満足できないジンタの欲望が暴走!その時ぬ～べ～は…!?【演出】佐久間紀佳【脚本】佐藤友治　  【原作】原作:真倉翔　漫画:岡野剛(集英社)【主題歌】関ジャニ∞「がむしゃら行進曲」  【音楽】横山克【プロデューサー】戸田一也、小泉守【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</si>
  <si>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#6【今夜、番組から重大発表が!/6話は切ない嘘と愛の涙】</t>
  </si>
  <si>
    <t>【レギュラー】丸山隆平(関ジャニ∞)、桐谷美玲、速水もこみち、知英、山本美月、知念侑李(Hey!Say!JUMP)、遠山俊也、山田親太朗、柴田美咲、マキタスポーツ、優香、坂上忍、高橋英樹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ぬ～べ～(丸山隆平)の事を意識し始めるリツコ(桐谷美玲)。そんな中、恋する女性に嫉妬する妖怪おはぐろベッタリがリツコに憑りついた!リツコはぬ～べ～にベッタリ。両想いと勘違いしたぬ～べ～はデレデレ。それを見たゆきめ(知英)はヤキモチ!生徒達も巻き込んで、恋の三角関係がヒートアップ!!果たして、ぬ～べ～はおはぐろベッタリからリツコを助け出す事ができるのか?そして悲しき妖怪おはぐろベッタリとの対決は!?【演出】松山雅則【脚本】マギー　  【原作】原作:真倉翔　漫画:岡野剛(集英社)【主題歌】関ジャニ∞「がむしゃら行進曲」  【音楽】横山克【プロデューサー】戸田一也、小泉守  【制作協力】トータルメディアコミュニケーション  【製作著作】日本テレビ【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</si>
  <si>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#7【明石家さんまがアノ伝説の妖怪に!】</t>
  </si>
  <si>
    <t>【レギュラー】丸山隆平(関ジャニ∞)、桐谷美玲、速水もこみち、知英、山本美月、知念侑李(Hey!Say!JUMP)、遠山俊也、山田親太朗、柴田美咲、マキタスポーツ、優香、坂上忍、高橋英樹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スペシャルゲスト】明石家さんまぬ～べ～(丸山隆平)に最大のピンチ!人の夢を支配する妖怪「怪人赤マント」に憑りつかれたぬ～べ～。怪人赤マントは、夢の中で審判を繰り返し、ぬ～べ～に襲い掛かる。鬼の手も、封印されてしまい、なされるがままのぬ～べ～…。苦しむぬ～べ～を救おうと、まこと(知念侑李)達は必死に声をかけるが、目を覚まさない。このままだと、ぬ～べ～が死んでしまう!ぬ～べ～を救おうと、まことはある男のもとへ走り出す…!【演出】佐久間紀佳【原作】原作:真倉翔　漫画:岡野剛(集英社)  【脚本】佐藤友治【主題歌】関ジャニ∞「がむしゃら行進曲」  【音楽】横山克【プロデューサー】戸田一也、小泉守【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</si>
  <si>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#8【モナリザが人を食うミステリー/最終章の鍵は山田涼介】</t>
  </si>
  <si>
    <t>【レギュラー】丸山隆平(関ジャニ∞)、桐谷美玲、速水もこみち、知英、山本美月、知念侑李(Hey!Say!JUMP)、遠山俊也、山田親太朗、柴田美咲、マキタスポーツ、優香、坂上忍、高橋英樹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スペシャルゲスト】山田涼介(Hey!Say!JUMP)童守高校、恐怖の3日間!ある朝、校庭に突如現れた巨大なモナリザの絵。克也(吉沢亮)は、これは妖怪「人食いモナリザ」の仕業だと宣言し、ぬ～べ～(丸山隆平)は苦笑い。そして、次の日、高校の屋上には高く積み上げられた机の柱…。克也は、人食いモナリザのカウントダウンが始まり、最後には生徒が皆残らず食われてしまうと予言…。最終章に突入!物語の鍵を握るのは、覇鬼(坂上忍)の弟・最恐鬼・絶鬼(山田涼介)!【演出】明石広人【脚本】マギー　  【原作】原作:真倉翔　漫画:岡野剛(集英社)【主題歌】関ジャニ∞「がむしゃら行進曲」  【音楽】横山克【プロデューサー】戸田一也、小泉守【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</si>
  <si>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#9【世にも美しい狂鬼・山田涼介VS丸山隆平!】</t>
  </si>
  <si>
    <t>【レギュラー】丸山隆平(関ジャニ∞)、桐谷美玲、速水もこみち、知英、山本美月、知念侑李(Hey!Say!JUMP)、遠山俊也、山田親太朗、柴田美咲、マキタスポーツ、優香、坂上忍、高橋英樹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スペシャルゲスト】山田涼介(Hey!Say!JUMP)2年3組にやってきた転入生。その正体は、妖気を消した覇鬼(坂上忍)の弟、絶鬼…(山田涼介)。ぬ～べ～(丸山隆平)の左手に封印された覇鬼を解放するため、絶鬼は生徒達に妖術をかける。さらに、絶鬼の凶悪なパワーを前に、玉藻(速水もこみち)も妖狐としての本性を取り戻し…。  そして魔の手は、ぬ～べ～の大切な人々にまで及びつつあった…。  最恐鬼・絶鬼を相手に、ぬ～べ～の最後の戦いが今、始まる…!【演出】池田健司【脚本】マギー　  【原作】原作:真倉翔　漫画:岡野剛(集英社)【主題歌】関ジャニ∞「がむしゃら行進曲」  【音楽】横山克【プロデューサー】戸田一也、小泉守【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</si>
  <si>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#10【感動の結末!この命と引き換えに俺は皆を守る!】</t>
  </si>
  <si>
    <t>【レギュラー】丸山隆平(関ジャニ∞)、桐谷美玲、速水もこみち、知英、山本美月、知念侑李(Hey!Say!JUMP)、遠山俊也、山田親太朗、柴田美咲、マキタスポーツ、優香、坂上忍、高橋英樹  【生徒役レギュラー】中川大志、吉沢亮、佐野岳、清水一希、松井愛莉、佐野ひなこ、水谷果穂、中村ゆりか、高月彩良遂にぬ～べ～(丸山隆平)と覇鬼(坂上忍)の最終決戦!  ぬ～べ～の左手の封印が解かれた覇鬼は暴れだす。ぬ～べ～や玉藻(速水もこみち)、ゆきめ(知英)は果敢に立ち向かうが、その凄まじい強さに、全く歯が立たないぬ～べ～達…。  さらに、ぬ～べ～に「本当の絶望の景色」を見せようとする覇鬼の次なる標的は、無限界時空(高橋英樹)…!!  果たして鬼の手を失ったぬ～べ～は、皆を守れるのか!?感動と興奮の最終回!【演出】佐久間紀佳【脚本】マギー　  【原作】原作:真倉翔　漫画:岡野剛(集英社)【主題歌】関ジャニ∞「がむしゃら行進曲」  【音楽】横山克【プロデューサー】戸田一也、小泉守  【制作協力】トータルメディアコミュニケーション  【製作著作】日本テレビ【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</si>
  <si>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1407_NTV_水22</t>
  </si>
  <si>
    <t>ST</t>
  </si>
  <si>
    <t>1404_NTV_水22</t>
  </si>
  <si>
    <t>杏、上川隆也、塚地武雅、榎木孝明  甲本雅裕、大杉漣、生瀬勝久  木村佳乃、羽場裕一東京第一銀行の窓口係だった花咲舞(杏)は、事件を起こした支店に赴き解決に導く「臨店」という部署へ異動を命じられる。コンビを組むことになったのは、ベテラン行員・相馬健(上川隆也)。二人は早速、事務ミスが起きた茅場町支店へ向かうが、そこで、窓口係の聡子(木村佳乃)が百万円を多く客に払ってしまう「過払い」という現金事故を起こしてしまう。責任の行方は?果たして、舞は百万円を取り戻すことができるのか…!?【演出】南雲聖一【原作】池井戸潤「不祥事」「銀行総務特命」(講談社文庫)  【脚本】松田裕子、江頭美智留【音楽】菅野祐悟、得田真裕  【主題歌】西野カナ「We　Don’t　Stop」(SMEレコーズ)【チーフプロデューサー】伊藤響  【プロデューサー】加藤正俊  【制作協力】日テレアックスオン  【製作著作】日本テレビ</t>
  </si>
  <si>
    <t>杏、上川隆也、塚地武雅、榎木孝明  甲本雅裕、大杉漣、生瀬勝久  田中圭、飯田基祐青山支店が融資する結婚相談所の女性会員たちから抗議文が送られてくる。入会以来、会員の誰一人、相手を紹介してもらっていないという。それが本当なら銀行が詐欺行為に加担したことになってしまう。調査を始めた舞(杏)と相馬(上川隆也)は、融資を担当した杉下(田中圭)と共に結婚相談所へ向かうが、会社はもぬけの殻。すでに詐欺容疑で刑事告訴された社長の宗方が、会員から集めた6億円を持って失踪してしまっていた……。【演出】南雲聖一【原作】池井戸潤「不祥事」「銀行総務特命」(講談社文庫)  【脚本】松田裕子、江頭美智留【音楽】菅野祐悟、得田真裕  【主題歌】西野カナ「We　Don’t　Stop」(SMEレコーズ)【チーフプロデューサー】伊藤響  【プロデューサー】加藤正俊　  【制作協力】日テレアックスオン  【製作著作】日本テレビ</t>
  </si>
  <si>
    <t>杏、上川隆也、塚地武雅  甲本雅裕、大杉漣、生瀬勝久  神保悟志、阿南健治、丸山智己舞(杏)と相馬(上川隆也)は蒲田支店へ事務応援に行くように命じられる。久々にテラーの仕事ができると張り切る舞。だが、蒲田支店の支店長・須賀(神保悟志)は「無能な奴はこの支店には必要ない!」と部下たちが委縮するほど高圧的な発言をする男で、舞と相馬にもあからさまに敵意をむき出しにしてきた。そして、須賀の策略にはめられた舞は大きなミスを犯してしまい……。【演出】佐久間紀佳【原作】池井戸潤「不祥事」「銀行総務特命」(講談社文庫)  【脚本】松田裕子【音楽】菅野祐悟、得田真裕  【主題歌】西野カナ「We　Don’t　Stop」(SMEレコーズ)【チーフプロデューサー】伊藤響  【プロデューサー】加藤正俊  【制作協力】日テレアックスオン  【製作著作】日本テレビ</t>
  </si>
  <si>
    <t>杏、上川隆也、塚地武雅、  甲本雅裕、大杉漣、生瀬勝久  戸田恵子、秋本奈緒美、吉村卓也光岡には一つ問題があった。母親の和代(秋本奈緒美)がモンスターペアレントで、日頃から何かと銀行に文句をつけているという。だが、光岡家は東京第一銀行に5億円の預金をしている得意先。支店長の中村(戸田恵子)たちは強く出ることができないでいた。息子がいなくなったのは銀行のせいだと乗り込んできた和代に、舞は「子供の職場に親が乗り込んでくるなんて非常識じゃないですか」と言い、さらに怒らせてしまい…。【演出】南雲聖一【原作】池井戸潤「不祥事」「銀行総務特命」(講談社文庫)  【脚本】梅田みか【音楽】菅野祐悟、得田真裕  【主題歌】西野カナ「We　Don’t　Stop」(SMEレコーズ)【チーフプロデューサー】伊藤響  【プロデューサー】加藤正俊  【制作協力】日テレアックスオン  【製作著作】日本テレビ</t>
  </si>
  <si>
    <t>杏、上川隆也、塚地武雅、  甲本雅裕、大杉漣、生瀬勝久  高杉亘、小木茂光、田中幸太朗舞(杏)と相馬(上川隆也)が以前働いていた中野支店に金融庁検査が入る。主任検査官の青田(高杉亘)の一声で、検査が始まった。厳しい検査が続く中、支店長の牧野(小木茂光)が、見られたくない資料を地下物品庫に隠してあるという。そこに、検査官たちが物品庫に向ったという知らせが入る。なぜ支店の行員しか知らない隠し場所を青田が知っていたのか?舞は、銀行に対して敵意をむき出しにする青田のやり方に怒りを覚え…。【演出】佐久間紀佳【原作】池井戸潤「不祥事」「銀行総務特命」(講談社文庫)  【脚本】梅田みか【音楽】菅野祐悟、得田真裕  【主題歌】西野カナ「We　Don’t　Stop」(SMEレコーズ)【チーフプロデューサー】伊藤響  【プロデューサー】加藤正俊  【制作協力】日テレアックスオン  【製作著作】日本テレビ</t>
  </si>
  <si>
    <t>杏、上川隆也、塚地武雅、  甲本雅裕、大杉漣、生瀬勝久  前田亜季、堀部圭亮週刊誌に大手銀行・支店長のセクハラ行為に対する告発記事がでた。その銀行は東京第一銀行であることは明らかで、舞(杏)と相馬(上川隆也)は告発した人物を探すよう命じられた。しかし、それらしき行員はなかなか見つからない。そんな中、頭取宛てに、告発した行員は京橋支店の川島奈津子(前田亜季)だというメールが届く。奈津子は告発記事を出したのは自分だと舞に告げ、さらにセクハラした人物に意外な相手の名前を挙げた。【演出】鈴木勇馬【原作】池井戸潤「不祥事」「銀行総務特命」(講談社文庫)  【脚本】松田裕子【音楽】菅野祐悟、得田真裕  【主題歌】西野カナ「We　Don’t　Stop」(SMEレコーズ)【チーフプロデューサー】伊藤響  【プロデューサー】加藤正俊  【制作協力】日テレアックスオン  【製作著作】日本テレビ</t>
  </si>
  <si>
    <t>杏、上川隆也、塚地武雅、  甲本雅裕、大杉漣、生瀬勝久  姜暢雄、夕輝壽太舞(杏)は、同期の彩奈(瀬戸早妃)からレストラン『東京ダラス』のオーナー・友田(姜暢雄)を紹介された。好青年の友田に、舞もすぐに気に入ってしまう。そんな中、舞は友田が融資を受けるために、東京第一銀行の行員に賄賂を渡しているという話を聞かされる。舞と相馬(上川隆也)は、賄賂を受け取った行員が誰なのかを調べることになった。しかし、東京ダラスは融資先として問題がなく、友田が賄賂を渡す理由は見当たらず…。【演出】佐久間紀佳【原作】池井戸潤「不祥事」「銀行総務特命」(講談社文庫)  【脚本】梅田みか【音楽】菅野祐悟、得田真裕  【主題歌】西野カナ「We　Don’t　Stop」(SMEレコーズ)【チーフプロデューサー】伊藤響  【プロデューサー】加藤正俊  【制作協力】日テレアックスオン  【製作著作】日本テレビ</t>
  </si>
  <si>
    <t>杏、上川隆也、塚地武雅、  甲本雅裕、大杉漣、生瀬勝久  桐山漣、茅島成美舞(杏)がお見合いをした秋本(桐山漣)の勤める、京浜銀行が経営破たんした。驚く舞のもとに、テラー時代の客・静枝(茅島成美)から相談が来る。静枝は、秋本に頼まれて京浜銀行に2千万円の定期預金をしていたらしい。銀行が破たんすれば、預金は1千万円までしか保護されない。舞は、秋本が破たんの危機を知りながら静枝に多額の預金をさせたのではないかと疑問を抱き、相馬(上川隆也)とともに秋本のことを調べ始めると…。【演出】南雲聖一【原作】池井戸潤「不祥事」「銀行総務特命」(講談社文庫)  【脚本】横田理恵【音楽】菅野祐悟、得田真裕  【主題歌】西野カナ「We　Don’t　Stop」(SMEレコーズ)【チーフプロデューサー】伊藤響  【プロデューサー】加藤正俊  【制作協力】日テレアックスオン  【製作著作】日本テレビ</t>
  </si>
  <si>
    <t>杏、上川隆也、塚地武雅、榎木孝明  甲本雅裕、大杉漣、生瀬勝久  平岡祐太、梨本謙次郎  入江雅人、山中崇  船越英一郎舞(杏)が事務応援のために行った新宿支店の融資課には、東京第一銀行の取引先、伊丹グループの御曹司・伊丹清一郎(平岡祐太)が働いていた。舞と離れて開放感を味わっていた相馬(上川隆也)も、監視のため新宿支店に行くよう命じられる。かつて新宿支店の融資課にいた相馬は、当時の担当客・幸田(梨本謙次郎)と再会する。幸田は、清一郎に融資を渋られていて、決済日当日に清一郎から一方的に融資を断られてしまう。【演出】佐久間紀佳【原作】池井戸潤「不祥事」「銀行総務特命」(講談社文庫)  【脚本】松田裕子【音楽】菅野祐悟、得田真裕  【主題歌】西野カナ「We　Don’t　Stop」(SMEレコーズ)【チーフプロデューサー】伊藤響  【プロデューサー】加藤正俊  【制作協力】日テレアックスオン  【製作著作】日本テレビ</t>
  </si>
  <si>
    <t>杏、上川隆也、塚地武雅、榎木孝明  甲本雅裕、大杉漣、生瀬勝久  平岡祐太、東根作寿英、船越英一郎東京第一銀行始まって以来の不祥事が発生!伊丹グループの従業員の給与データが紛失してしまったのだ。舞(杏)と相馬(上川隆也)は、事件解決のための調査委員に選ばれる。伊丹グループとの関係が悪化すれば大きな取引を失ってしまうため、真藤(生瀬勝久)は一刻も早いデータの発見と事態の収拾を命じる。そんな中、舞は、データは悪意のある者に盗まれたのではないかと調べ始める。一方、真藤は臨店班の解体を画策していて…。【演出】南雲聖一【原作】池井戸潤「不祥事」「銀行総務特命」(講談社文庫)  【脚本】松田裕子【音楽】菅野祐悟、得田真裕  【主題歌】西野カナ「We　Don’t　Stop」(SMEレコーズ)【チーフプロデューサー】伊藤響  【プロデューサー】加藤正俊  【制作協力】日テレアックスオン  【製作著作】日本テレビ最終回につき10分拡大放送</t>
  </si>
  <si>
    <t>1404_NTV_木23</t>
  </si>
  <si>
    <t>トクボウ</t>
  </si>
  <si>
    <t>番組名新ドラマ「トクボウ警察庁特殊防犯課」第一話★人気レストランが食品偽装!?</t>
  </si>
  <si>
    <t>伊原剛志    松下洸平  宅間孝行    名高達男  多岐川華子    安達祐実(他)【第1話】  警察庁生活安全局特殊防犯課の警視、朝倉草平(伊原剛志)。ドSな上司の叶美由紀(安達祐実)に命じられる朝倉の任務は、逮捕できない悪人を「矯正執行(きょうせいしっこう)」の名のもとに徹底的に改心させること。  今回のターゲットは、人気フレンチレストランのオーナー・峰岸(名高達男)。アレルギーを持つ男性の不審死で、食品偽装の疑いが浮上!所轄の刑事・辻恵一(松下洸平)とともに潜入調査を開始する。【主題歌】  『HANDs』AAA(avex　trax)4/16(水)着うた配信スタート!【原作】  『トクボウ　朝倉草平』高橋秀武(集英社　ジャンプコミックス　デラックス刊)【「トクボウ　警察庁特殊防犯課」公式サイト】http://www.ytv.co.jp/tokubou/    あなたのレシピで辻巡査を救え!「たまご料理」アイディアコンテスト実施中!詳しくは番組HPへ!伊原剛志さん　安達祐実さん出演!  4月3日(木)放送  『スッキリ!!』  『PON!』(一部地域を除く)  『ヒルナンデス!』　  『情報ライブ　ミヤネ屋』  『かんさい情報ネット　ten.』(関西ローカル)4月3日よる9時から放送される  『おカネさま!お金に好かれる秘密大公開SP』  に、安達祐実さんが出演!</t>
  </si>
  <si>
    <t>番組名「トクボウ警察庁特殊防犯課」第二話★JK(女子高生)ビジネスに潜む闇</t>
  </si>
  <si>
    <t>伊原剛志  松下洸平、宅間孝行  足立梨花、落合モトキ  安達祐実(他)【第2話】警視・朝倉草平(伊原剛志)は、ドSな上司・叶(安達祐実)の指示で、“JKお散歩”の横行する秋葉原へ…。JKお散歩とは、女子高生がお散歩と称して男性とデートし、お金を得るアルバイトの事。朝倉は、豊島署の辻(松下洸平)を囮捜査に巻き込み、女子高生・かおり(足立梨花)に接触。彼女たちを裏で操る男・須藤(落合モトキ)を突き止める。「俺たちを逮捕できる法律なんてない」と豪語するが…果たして【主題歌】  『HANDs』AAA(avex　trax)4/16(水)着うた配信スタート!【原作】  『トクボウ　朝倉草平』高橋秀武(集英社　ジャンプコミックス　デラックス刊)【「トクボウ　警察庁特殊防犯課」公式サイト】http://www.ytv.co.jp/tokubou/    あなたのレシピで辻巡査を救え!「たまご料理」アイディアコンテスト実施中!詳しくは番組HPへ!</t>
  </si>
  <si>
    <t>番組名「トクボウ警察庁特殊防犯課」第三話★美のカリスマに潜む悪</t>
  </si>
  <si>
    <t>伊原剛志  松下洸平、宅間孝行  南野陽子、冨樫真  安達祐実(他)【第3話】美のカリスマ・綾野百合子(冨樫真)が経営するユリズケアの女性会員が自殺を図った。警視・朝倉草平(伊原剛志)と豊島署の辻恵一(松下洸平)は、エイジレス講座に参加。百合子が発する言葉とその美しさを称賛する中年女性たちが次々と会員契約する様を目撃。そんな中、会員の塩田ヒトミ(南野陽子)に誘われた辻は人妻と知りながらデートを重ねる。若く綺麗でいたい女性達の切実な思いにつけ込む百合子の裏の顔とは…【主題歌】  『HANDs』AAA(avex　trax)4/16(水)着うた配信スタート!【原作】  『トクボウ　朝倉草平』高橋秀武(集英社　ジャンプコミックス　デラックス刊)http://www.ytv.co.jp/tokubou/    あなたのレシピで辻巡査を救え!「たまご料理」アイディアコンテスト実施中!詳しくは番組HPへ!</t>
  </si>
  <si>
    <t>番組名「トクボウ警察庁特殊防犯課」第四話★復讐サイトで殺人事件!?</t>
  </si>
  <si>
    <t>伊原剛志    松下洸平  宅間孝行    渡邊紘平  奥田達士  阪田マサノブ  棚橋ナッツ    川平慈英  安達祐実(他)【第4話】若いOLがロープで縛られ、吊るされた遺体となって発見された。  FBIでの研修から帰国した警視庁の警視・伊達鉄人(川平慈英)は、この犯行は秩序型の快楽殺人とプロファイリングする。「犯人はもっとゲス野郎だ」トクボウ課警視・朝倉草平(伊原剛志)は伊達の意見に聞く耳を持たない。幼馴染みでもある二人は真っ向から対立する…。やがて、ある男が運営する『呪いのハローワーク』というサイトの存在が発覚して…【主題歌】  『HANDs』AAA(avex　trax)着うた配信中!【原作】  『トクボウ　朝倉草平』高橋秀武(集英社　ジャンプコミックス　デラックス刊)【「トクボウ　警察庁特殊防犯課」公式サイト】  http://www.ytv.co.jp/tokubou/</t>
  </si>
  <si>
    <t>番組名「トクボウ警察庁特殊防犯課」第五話★ブラック企業の洗脳セミナー</t>
  </si>
  <si>
    <t>伊原剛志  松下洸平、宅間孝行  国広富之、升毅、矢島健一  川平慈英、安達祐実(他)【第5話】辻(松下洸平)の中学時代の友人が派遣社員として働く工場内で自殺。彼の死を不審に思った辻は、この会社に疑念を抱くが従業員は仕事に満足し社長(国広富之)を尊敬していた。優良企業だと断言する朝倉(伊原剛志)と決別した辻は単独で潜入捜査を行うが会社の考えに取り込まれていく。朝倉は裏に潜む人材派遣会社の労災隠しを追及。一方、叶(安達祐実)はそれらの裏に暗躍する存在に気付くが警察庁監査に連行されて…【主題歌】  『HANDs』AAA(avex　trax)着うた配信中!【原作】  『トクボウ　朝倉草平』高橋秀武(集英社　ジャンプコミックス　デラックス刊)【「トクボウ　警察庁特殊防犯課」公式サイト】  http://www.ytv.co.jp/tokubou/</t>
  </si>
  <si>
    <t>番組名「トクボウ警察庁特殊防犯課」第六話★警察の闇が動き出す!?</t>
  </si>
  <si>
    <t>伊原剛志  松下洸平、宅間孝行  川野直輝、升毅、吉田鋼太郎、矢島健一  川平慈英、安達祐実(他)【第6話】労災隠し疑いで人材派遣会社アオスブレインを内偵中のトクボウ課に最大の危機!叶(安達祐実)が警察庁監査に軟禁される。事態収拾のため朝倉(伊原剛志)は伊達(川平慈英)と辻(松下洸平)の協力のもと、アオスブレインに潜入、社長(升毅)の矯正執行に向かうが軍隊さながらのツルイ警備に阻まれる。創業者鶴井(吉田鋼太郎)は元警視総監。警視庁に多大な影響力を持つカリスマ的存在…果たして朝倉は叶を救えるか。【主題歌】  『HANDs』AAA(avex　trax)着うた配信中!【原作】  『トクボウ　朝倉草平』高橋秀武(集英社　ジャンプコミックス　デラックス刊)【「トクボウ　警察庁特殊防犯課」公式サイト】  http://www.ytv.co.jp/tokubou/</t>
  </si>
  <si>
    <t>番組名「トクボウ警察庁特殊防犯課」第七話★悪徳「派遣ボーイフレンド」</t>
  </si>
  <si>
    <t>伊原剛志  松下洸平、宅間孝行  川野直輝、岡本玲、姜暢雄、吉田鋼太郎、品川徹  川平慈英、安達祐実(他)【第7話】女性がお金を払った分だけデートが出来る「派遣ボーイフレンド」事務所の内偵を進める朝倉(伊原剛志)と辻(松下洸平)。  そこでは客である女性と肉体関係を持ち、結婚をエサに車やマンションを買わせて転売するという詐欺行為が行われていた。辻の捜査に進展がないのを見兼ねた叶(安達祐実)は自らおとり捜査に赴き彼らの悪質な詐欺行為の証拠をつかむが…  一方、野望を持つ鶴井(吉田鋼太郎)と朝倉が接近…。【主題歌】  『HANDs』AAA(avex　trax)着うた配信中!【原作】  『トクボウ　朝倉草平』高橋秀武(集英社　ジャンプコミックス　デラックス刊)http://www.ytv.co.jp/tokubou/</t>
  </si>
  <si>
    <t>番組名「トクボウ警察庁特殊防犯課」第八話★危険なキャンプに潜入!</t>
  </si>
  <si>
    <t>伊原剛志  松下洸平、宅間孝行  川野直輝、芳賀優里亜、吉田鋼太郎、品川徹  川平慈英、安達祐実(他)【第8話】元民自党副総裁の大藪(品川徹)とツルイ警備の鶴井(吉田鋼太郎)。この二人と闘うことを決意した朝倉(伊原剛志)は、辻(松下洸平)と共に山奥の施設で行われるツルイ警備の訓練キャンプに潜入!そこではまるで軍事演習が…。そんな中、キャンプ内の食堂で働く篠崎(芳賀優里亜)が辻に接近。朝倉は里奈の思惑を見抜くが…。ある日の昼食後、隊員達が激しい腹痛を起こし事態は急展開する。【主題歌】  『HANDs』AAA(avex　trax)着うた配信中!【原作】  『トクボウ　朝倉草平』高橋秀武(集英社　ジャンプコミックス　デラックス刊)http://www.ytv.co.jp/tokubou/</t>
  </si>
  <si>
    <t>番組名「トクボウ警察庁特殊防犯課」第九話★黒幕が動き出す!</t>
  </si>
  <si>
    <t>伊原剛志  松下洸平、宅間孝行  川野直輝、芳賀優里亜、吉田鋼太郎  川平慈英、安達祐実(他)【第9話】朝倉(伊原剛志)と辻(松下洸平)は軍事演習さながらのツルイ警備訓練キャンプに潜入捜査。施設長森田(川野直輝)の補佐を命じられた朝倉は、鶴井(吉田鋼太郎)の計画には別の問題が隠されていると睨み、森田を言葉巧みに誘導し緊縛催眠を施す。一方、辻は単独で脱走を試みるが…。森田は全隊員に、スパイとして捕まった女性と辻の処刑を命じ、二人は実弾訓練の餌食となり、朝倉に追われることになる。【主題歌】  『HANDs』AAA(avex　trax)着うた配信中!【原作】  『トクボウ　朝倉草平』高橋秀武(集英社　ジャンプコミックス　デラックス刊)http://www.ytv.co.jp/tokubou/</t>
  </si>
  <si>
    <t>番組名「トクボウ警察庁特殊防犯課」第十話★命を弄ぶ悪徳弁護士</t>
  </si>
  <si>
    <t>伊原剛志  松下洸平、宅間孝行  川野直輝、大浦龍宇一、大和田健介、吉田鋼太郎  川平慈英、安達祐実(他)【第10話】下町にあるスナックの女性経営者が自殺。遺体の傍に亀の置物が残されているだけで遺書はなく動機は不明であった。  女性は悪質業者からの借金があり、多重債務の返済で有名な瀬野弁護士(大浦龍宇一)に相談。一度は返済したもののオレオレ詐欺の被害に遭い再び闇金業者に。朝倉(伊原剛志)は詐欺グループと瀬野弁護士の関係に疑惑を持つ。叶(安達祐実)と伊達(川平慈英)がおとりとなり弁護士の裏の顔を暴く!【主題歌】  『HANDs』AAA(avex　trax)着うた配信中!【原作】  『トクボウ　朝倉草平』高橋秀武(集英社　ジャンプコミックス　デラックス刊)「たまご料理」アイデアコンテスト、グランプリ作品登場します!!http://www.ytv.co.jp/tokubou/</t>
  </si>
  <si>
    <t>番組名「トクボウ警察庁特殊防犯課」最終話★最後の矯正執行、入ります!!</t>
  </si>
  <si>
    <t>伊原剛志  松下洸平、宅間孝行、川野直輝  岡本玲  吉田鋼太郎  川平慈英、安達祐実(他)【最終話】遊園地で武装集団が銃を乱射。ツルイ警備代表鶴井(吉田鋼太郎)による自作自演のテロであった。犯人に仕立てられた柏木警視長(宅間孝行)から次の犯行予告メールが…。テロを未然に防ぐためアジトに潜入する朝倉(伊原剛志)、叶(安達祐実)、伊達(川平慈英)、辻(松下洸平)。遂に朝倉と鶴井が対決。果たして最後の強制執行は行われるのか。【主題歌】  『HANDs』AAA(avex　trax)着うた配信中!【原作】  『トクボウ　朝倉草平』高橋秀武(集英社　ジャンプコミックス　デラックス刊)新ドラマ「獣医さん、事件ですよ」7月3日木曜よる11時59分!  出演:陣内孝則、吉本実憂、野際陽子  第1話ゲスト釈由美子、本田望結  陣内孝則が獣医に!なぜか人助けに奮闘!?美女に惚れて…問題解決!?http://www.ytv.co.jp/tokubou/</t>
  </si>
  <si>
    <t>1404_NTV_土21</t>
  </si>
  <si>
    <t>弱くても勝てます</t>
  </si>
  <si>
    <t>番組名弱くても勝てます　～青志先生とへっぽこ高校球児の野望～　#1</t>
  </si>
  <si>
    <t>二宮和也、麻生久美子、福士蒼汰、有村架純、中島裕翔、山崎賢人、本郷奏多、間宮祥太朗、桜田通、鈴木勝大、柳俊太郎、平岡拓真、阿久津愼太郎、市川海老蔵、光石研、川原和久、荒川良々、笹野高史、薬師丸ひろ子　ほか日本有数の進学校にやってきた新人教師・田茂青志(二宮和也)。  そこで出会ったのは、部員5人、エラーは伝統、かけ声の出し方すら知らない、救いようのない超へっぽこ野球部!!そんな弱小野球部の監督を引き受けることになった青志は決意する。  「弱くても勝てるということを証明してやる!」  へんてこ教師とへっぽこ野球部が「勝利」を目指す!  笑いと涙の青春学園ドラマが幕を開ける!【演出】菅原伸太郎【原作】高橋秀実『「弱くても勝てます」開成高校野球部のセオリー』(新潮文庫刊)  【脚本】倉持裕【音楽】井上鑑【チーフプロデューサー】伊藤響  【プロデューサー】河野英裕、大倉寛子(日テレアックスオン)  【制作協力】日テレアックスオン</t>
  </si>
  <si>
    <t>番組名弱くても勝てます　～青志先生とへっぽこ高校球児の野望～　#2</t>
  </si>
  <si>
    <t>二宮和也、麻生久美子、福士蒼汰、有村架純、中島裕翔、山崎賢人、本郷奏多、間宮祥太朗、桜田通、鈴木勝大、柳俊太郎、平岡拓真、阿久津愼太郎、市川海老蔵、光石研、川原和久、荒川良々、笹野高史、薬師丸ひろ子　ほか城徳高校野球部の監督となった青志(二宮和也)。  しかし、青志の指導は野球のセオリーを全く無視。それに対して城徳唯一の天才球児・白尾(中島裕翔)は猛反発!「普通の野球部に近づきたい」白尾と「普通になる必要はない」と言う青志は対立、白尾は野球部を去ってしまう…。そこにはある恋心が…。  一方、青志の因縁の相手である谷内田(市川海老蔵)がライバル校・堂東野球部コーチに就任。2人は再会を果たすが…【演出】菅原伸太郎【原作】高橋秀実『「弱くても勝てます」開成高校野球部のセオリー』(新潮文庫刊)  【脚本】倉持裕【音楽】井上鑑【チーフプロデューサー】伊藤響  【プロデューサー】河野英裕、大倉寛子(日テレアックスオン)  【制作協力】日テレアックスオン</t>
  </si>
  <si>
    <t>番組名弱くても勝てます　～青志先生とへっぽこ高校球児の野望～　#3</t>
  </si>
  <si>
    <t>二宮和也、麻生久美子、福士蒼汰、有村架純、中島裕翔、山崎賢人、本郷奏多、間宮祥太朗、桜田通、鈴木勝大、柳俊太郎、平岡拓真、阿久津愼太郎、市川海老蔵、光石研、川原和久、荒川良々、笹野高史、薬師丸ひろ子　ほか何故か柚子(有村架純)が選手に!?  突然、マネージャーを辞めて選手になると宣言した柚子。毎年、父の命日が近づくと決まってそう言い出す理由は父と最後に見た高校時代の青志(二宮和也)の試合にあった…。  一方、赤岩(福士蒼汰)は亀沢(本郷奏多)が一人暮らしで、学費を稼ぐためのバイトと勉強と野球部の練習で睡眠時間すら十分に取れていないことを知る。心配した赤岩は、亀沢のために何かしたい!と張り切るが…。【演出】池田健司【原作】高橋秀実『「弱くても勝てます」開成高校野球部のセオリー』(新潮文庫刊)  【脚本】倉持裕【音楽】井上鑑【チーフプロデューサー】伊藤響  【プロデューサー】河野英裕、大倉寛子(日テレアックスオン)  【制作協力】日テレアックスオン</t>
  </si>
  <si>
    <t>番組名弱くても勝てます　～青志先生とへっぽこ高校球児の野望～　#4</t>
  </si>
  <si>
    <t>二宮和也、麻生久美子、福士蒼汰、有村架純、中島裕翔、山崎賢人、本郷奏多、間宮祥太朗、桜田通、鈴木勝大、柳俊太郎、平岡拓真、阿久津愼太郎、市川海老蔵、光石研、川原和久、荒川良々、笹野高史、薬師丸ひろ子　ほか試験期間に入り、部活動が禁止に。  野球部員達も勉強、勉強、また勉強…。青志(二宮和也)が野球と勉強を両立させろと言うと、部員達は「無理!」と猛反発!  そんな中、赤岩(福士蒼汰)の様子がどこかおかしい。必死に勉強しなくても成績は学年トップ、モテる上に、実家はお金持ちの赤岩は「このままでは俺は堕落してしまう」と何とも贅沢な悩みをこじらせた結果、璃子(麻生久美子)に自分の密着取材をしてくれ、と頼むが…【演出】菅原伸太郎【原作】高橋秀実『「弱くても勝てます」開成高校野球部のセオリー』(新潮文庫刊)  【脚本】倉持裕【音楽】井上鑑【チーフプロデューサー】伊藤響  【プロデューサー】河野英裕、大倉寛子(日テレアックスオン)  【制作協力】日テレアックスオン</t>
  </si>
  <si>
    <t>番組名弱くても勝てます　～青志先生とへっぽこ高校球児の野望～　#5</t>
  </si>
  <si>
    <t>二宮和也、麻生久美子、福士蒼汰、有村架純、中島裕翔、山崎賢人、本郷奏多、間宮祥太朗、桜田通、鈴木勝大、柳俊太郎、平岡拓真、阿久津愼太郎、市川海老蔵、光石研、川原和久、荒川良々、笹野高史、薬師丸ひろ子　ほか「守備は捨て打ちまくり、コールド勝ちで逃げ切る!」というトンデモ戦法で練習試合に挑む城徳野球部!  だが実はこの試合は、勘違いから城徳野球部に恨みを抱いた赤岩(福士蒼汰)の父・晴敏(光石研)が、城徳野球部に恥をかかせるために仕組んだものだった…。  一方、白尾(中島裕翔)が柚子(有村架純)との距離を縮めていくのが、何故か気になってしまう赤岩。さらに白尾は練習試合に負けたら柚子に告白する、と宣言して…。【演出】池田健司【原作】高橋秀実『「弱くても勝てます」開成高校野球部のセオリー』(新潮文庫刊)  【脚本】倉持裕【音楽】井上鑑【チーフプロデューサー】伊藤響  【プロデューサー】河野英裕、大倉寛子(日テレアックスオン)  【制作協力】日テレアックスオン</t>
  </si>
  <si>
    <t>番組名弱くても勝てます　～青志先生とへっぽこ高校球児の野望～　#6</t>
  </si>
  <si>
    <t>二宮和也、麻生久美子、福士蒼汰、有村架純、中島裕翔、山崎賢人、本郷奏多、間宮祥太朗、桜田通、鈴木勝大、柳俊太郎、平岡拓真、阿久津愼太郎、市川海老蔵、光石研、川原和久、荒川良々、笹野高史、薬師丸ひろ子　ほか家計のことを考え、退学を決意した苦学生・亀沢(本郷奏多)。  部員にも告げず学校を去ろうとする亀沢を、青志(二宮和也)は引き止めようとするが、亀沢の決意は固い。そして2人の話を偶然聞いてしまった柚子(有村架純)…。  そんな中、文化祭が近づき野球部は亀沢主演の劇をすることになる。  それぞれの思いを乗せて、亀沢にとって最後の文化祭の準備は進んでいき…。【演出】菅原伸太郎【原作】高橋秀実『「弱くても勝てます」開成高校野球部のセオリー』(新潮文庫刊)  【脚本】倉持裕【音楽】井上鑑【チーフプロデューサー】伊藤響  【プロデューサー】河野英裕、大倉寛子(日テレアックスオン)  【制作協力】日テレアックスオン</t>
  </si>
  <si>
    <t>番組名弱くても勝てます　～青志先生とへっぽこ高校球児の野望～　#7</t>
  </si>
  <si>
    <t>二宮和也、麻生久美子、福士蒼汰、有村架純、中島裕翔、山崎賢人、本郷奏多、間宮祥太朗、桜田通、鈴木勝大、柳俊太郎、平岡拓真、阿久津愼太郎、市川海老蔵、光石研、川原和久、荒川良々、笹野高史、薬師丸ひろ子　ほか城徳野球部、初の強化合宿!  堂学の合宿所を間借りして行うことになり「打倒堂学!」と部員達が盛り上がる中、光安(平岡拓真)は複雑な表情を浮かべていた。実は光安は堂学野球部とある「繋がり」があることを隠していた…  闘志を燃やして挑んだ合宿だったが、堂学の練習をすぐ横で目の当りにし、その気持ちは萎んでいく。朝から晩まで野球に全てを捧げる堂学野球部を見て、自分達の挑戦は無謀だと不安になる城徳野球部だが…【原作】高橋秀実『「弱くても勝てます」開成高校野球部のセオリー』(新潮文庫刊)  【脚本】倉持裕【音楽】井上鑑【演出】池田健司  【チーフプロデューサー】伊藤響  【プロデューサー】河野英裕、大倉寛子(日テレアックスオン)  【制作協力】日テレアックスオン</t>
  </si>
  <si>
    <t>番組名弱くても勝てます　～青志先生とへっぽこ高校球児の野望～　#8</t>
  </si>
  <si>
    <t>二宮和也、麻生久美子、福士蒼汰、有村架純、中島裕翔、山崎賢人、本郷奏多、間宮祥太朗、桜田通、鈴木勝大、柳俊太郎、平岡拓真、阿久津愼太郎、市川海老蔵、光石研、川原和久、荒川良々、笹野高史、薬師丸ひろ子　ほかいよいよ夏の県大会!城徳高校の一回戦の対戦相手は武宮高校…。因縁の戦いを前に士気を高めるが、来年の春に青志(二宮和也)が研究室に戻ることが決まったことを知り、不安を隠せない城徳野球部の面々…。  一方、武宮高校のスポンサーで、赤岩(福士蒼汰)の父・晴敏(光石研)は城徳を完膚なきまでに叩き潰すため、ある策を講じていた…。  それぞれの思惑を乗せて青志先生と野球部の最初で最後の夏が始まる!【演出】明石広人【原作】高橋秀実『「弱くても勝てます」開成高校野球部のセオリー』(新潮文庫刊)  【脚本】根本ノンジ【音楽】井上鑑【チーフプロデューサー】伊藤響  【プロデューサー】河野英裕、大倉寛子(日テレアックスオン)  【制作協力】日テレアックスオン</t>
  </si>
  <si>
    <t>番組名弱くても勝てます　～青志先生とへっぽこ高校球児の野望～　#9</t>
  </si>
  <si>
    <t>二宮和也、麻生久美子、福士蒼汰、有村架純、中島裕翔、山崎賢人、本郷奏多、間宮祥太朗、桜田通、鈴木勝大、柳俊太郎、平岡拓真、阿久津愼太郎、市川海老蔵、光石研、川原和久、荒川良々、笹野高史、薬師丸ひろ子　ほか武宮戦を目前にメキメキと成長を遂げていく城徳野球部のメンバー。そんな中、柚子(有村架純)の母・楓(薬師丸ひろ子)が敵の武宮高校の特別コーチに!?いつも城徳の味方だった「小田原の母」が一体なぜ!?  一方、楓同様に城徳野球部を見守り続けた璃子(麻生久美子)だが、武宮戦に負ければ連載が打ち切られ、異動することが告げられる…。  「弱くても勝てる」ことを証明するため、絶対に負けられない戦いが今始まる!【演出】菅原伸太郎【原作】高橋秀実『「弱くても勝てます」開成高校野球部のセオリー』(新潮文庫刊)  【脚本】根本ノンジ【音楽】井上鑑【チーフプロデューサー】伊藤響  【プロデューサー】河野英裕、大倉寛子(日テレアックスオン)  【制作協力】日テレアックスオン</t>
  </si>
  <si>
    <t>番組名弱くても勝てます　～青志先生とへっぽこ高校球児の野望～　#10</t>
  </si>
  <si>
    <t>二宮和也、麻生久美子、福士蒼汰、有村架純、中島裕翔、山崎賢人、本郷奏多、間宮祥太朗、桜田通、鈴木勝大、柳俊太郎、平岡拓真、阿久津愼太郎、市川海老蔵、光石研、川原和久、荒川良々、笹野高史、薬師丸ひろ子　ほかへっぽこ野球部、悲願の初勝利!一回戦の武宮高校を制す。だが、次の相手は宿敵・堂学…。強豪校・堂学に勝つには、城徳野球部の「異常な野球」に引きずり込むしかない…!堂学のイメージを超えた何かを仕掛けるために、それぞれが練習に励む。青志先生(二宮和也)が教えてくれたこと、「弱者のプライド」を胸に「異常なセオリー」で「弱いまま」「俺達『が』勝つ」!誓いを胸に、因縁の対決が遂に幕をあける…!【演出】池田健司【原作】高橋秀実『「弱くても勝てます」開成高校野球部のセオリー』(新潮文庫刊)  【脚本】倉持裕【音楽】井上鑑【チーフプロデューサー】伊藤響  【プロデューサー】河野英裕、大倉寛子(日テレアックスオン)  【制作協力】日テレアックスオン</t>
  </si>
  <si>
    <t>番組名弱くても勝てます　～青志先生とへっぽこ高校球児の野望～　#11</t>
  </si>
  <si>
    <t>二宮和也、麻生久美子、福士蒼汰、有村架純、中島裕翔、山崎賢人、本郷奏多、間宮祥太朗、桜田通、鈴木勝大、柳俊太郎、平岡拓真、阿久津愼太郎、市川海老蔵、光石研、川原和久、荒川良々、笹野高史、薬師丸ひろ子　ほか堂学相手に善戦し、惜敗した城徳野球部。赤岩(福士蒼汰)ら3年生は引退、大学受験へまっしぐら!…のはずが勉強に集中できない。  璃子(麻生久美子)の連載も最終回を迎えるが、青志(二宮和也)の言葉に新天地でも勝負を賭けることを誓う。  そして、赤岩と柚子(有村架純)の素直になれない幼馴染2人も変化が?  かけがえのない日々の中で別れの時は刻一刻と近づいてゆき…  青志先生とへっぽこ野球部、涙と笑いの卒業式!【演出】菅原伸太郎【原作】高橋秀実『「弱くても勝てます」開成高校野球部のセオリー』(新潮文庫刊)  【脚本】倉持裕【音楽】井上鑑【チーフプロデューサー】伊藤響  【プロデューサー】河野英裕、大倉寛子(日テレアックスオン)  【制作協力】日テレアックスオン</t>
  </si>
  <si>
    <t>1401_NTV_水22</t>
  </si>
  <si>
    <t>明日、ママがいない</t>
  </si>
  <si>
    <t>番組名明日、ママがいない　#1</t>
  </si>
  <si>
    <t>芦田愛菜、鈴木梨央、  三浦翔平、木村文乃、大後寿々花、渡邉このみ、桜田ひより・城田優・鈴木砂羽、  三上博史　ほか「私たち、誰も知らなかった。明日、ママがいないなんて…」    母親が逮捕され、児童養護施設「コガモの家」に預けられることになった少女・真希(鈴木梨央)。そこで真希は施設の子ども達のリーダー的存在のポストと呼ばれる少女(芦田愛菜)と出会う。「良いお家」にもらわれていくことが夢、という施設の子ども達の考えに真希は違和感を覚え、自分の母親は迎えに来てくれるはずと信じていたが…。【演出】猪股隆一【脚本】松田沙也【劇伴】羽毛田丈史  【主題歌】「誰か私を」コトリンゴ(commmons)【チーフプロデューサー】伊藤響  【プロデューサー】福井雄太、難波利昭(AXON)【制作協力】AXON</t>
  </si>
  <si>
    <t>番組名明日、ママがいない　#2</t>
  </si>
  <si>
    <t>芦田愛菜、鈴木梨央、  三浦翔平、木村文乃、大後寿々花、渡邉このみ、桜田ひより・城田優・鈴木砂羽、  三上博史　ほか子供たちの視点から「愛」とは何かを描く新ドラマ「明日、ママがいない」  ドンキ(鈴木梨央)とパチ(五十嵐陽向)は、里親候補と会うこととなった。初めての「お試し」に不安そうなパチの様子を見て、母親代わりのポスト(芦田愛菜)は「私が守ってやる」と約束する。  里親候補の美智子(江口のりこ)はパチを可愛がるが、パチが母の匂いが染み込んだシャンプーボトルを常に持ち歩いていることが気にかかっていて…【演出】猪股隆一【脚本】松田沙也【劇伴】羽毛田丈史  【主題歌】「誰か私を」コトリンゴ(commmons)【チーフプロデューサー】伊藤響  【プロデューサー】福井雄太、難波利昭(AXON)  【制作協力】AXON</t>
  </si>
  <si>
    <t>番組名明日、ママがいない　#3</t>
  </si>
  <si>
    <t>芦田愛菜、鈴木梨央、  三浦翔平、木村文乃、大後寿々花、渡邉このみ、桜田ひより・城田優・鈴木砂羽、  三上博史　ほか「コガモの家」に、子供が射手座である事のみを条件とする里親候補が現れる。射手座のポスト(芦田愛菜)とオツボネ(大後寿々花)が「お試し」に行く事になったが、  17歳のオツボネは「これが、お家にもらわれるラストチャンスかもしれない」と、不安と期待でガチガチに緊張してしまう。  そんな中、2人は里親候補と対面するが、案内された部屋には2台のノートPCがあるだけ。奇妙な状況に訝しむ2人だが…。【演出】長沼誠【脚本】松田沙也【劇伴】羽毛田丈史  【主題歌】「誰か私を」コトリンゴ(commmons)【チーフプロデューサー】伊藤響  【プロデューサー】福井雄太、難波利昭(AXON)  【制作協力】AXON</t>
  </si>
  <si>
    <t>番組名明日、ママがいない　#4</t>
  </si>
  <si>
    <t>芦田愛菜、鈴木梨央、  三浦翔平、木村文乃、大後寿々花、渡邉このみ、桜田ひより・城田優・鈴木砂羽、  三上博史　ほか  ボンビ(渡邉このみ)に初めての「お試し」の機会がやってくる。しかし、「お金が貯まったら、本当の両親が迎えに来てくれるはずだ」と「お試し」を頑なに拒否する。そんなボンビを見て、佐々木(三上博史)は「現実を見ろ」と一蹴する。佐々木の言葉もあり、ボンビは「お試し」に挑む。  一方、ポスト(芦田愛菜)とレン(藤本哉汰)が良い雰囲気なのを目撃したピア美(桜田ひより)はポストに嫉妬してしまい…。【演出】猪股隆一【脚本】松田沙也【劇伴】羽毛田丈史  【主題歌】「誰か私を」コトリンゴ(commmons)【チーフプロデューサー】伊藤響  【プロデューサー】福井雄太、難波利昭(AXON)  【制作協力】AXON</t>
  </si>
  <si>
    <t>番組名明日、ママがいない　#5</t>
  </si>
  <si>
    <t>芦田愛菜、鈴木梨央、  三浦翔平、木村文乃、大後寿々花、渡邉このみ、桜田ひより・城田優・鈴木砂羽、  三上博史　ほか有名なピアノコンクールの予選に出場することになったピア美(桜田ひより)。ポスト(芦田愛菜)を巻き込み、毎晩学校の音楽室に忍び込み、猛練習を開始する。そこには「コンクールに出場すれば、実の父親が気付いて見に来てくれるかもしれない」という期待があった。ポストに父親の写真を渡し、コンクール会場で見かけたら引き留めて欲しい、と頼むピア美。一方パチ(五十嵐陽向)は温かな里親と出会い…【演出】鈴木勇馬【脚本】松田沙也【劇伴】羽毛田丈史  【主題歌】「誰か私を」コトリンゴ(commmons)【チーフプロデューサー】伊藤響  【プロデューサー】福井雄太、難波利昭(AXON)  【制作協力】AXON</t>
  </si>
  <si>
    <t>番組名明日、ママがいない　#6</t>
  </si>
  <si>
    <t>芦田愛菜、鈴木梨央、  三浦翔平、木村文乃、大後寿々花、渡邉このみ、桜田ひより・城田優・鈴木砂羽、  三上博史　ほか  「コガモの家」に新しい子供がやってきた。自ら「二代目パチ」としてニッパチと名乗るその子は、パチと同様にポスト(芦田愛菜)に懐く。  そんな賑やかな「コガモの家」に衝撃が。ロッカー(三浦翔平)が事件を起こし、逮捕されたのだ。心優しきロッカーの逮捕に子供達は動揺し、ロッカーに反発するようにーー。  そんな中でもロッカーを信じ、一人寄り添い続けるポスト。物言わぬ青年の過去が今、ついに明らかになる…。【演出】長沼誠【脚本】松田沙也【劇伴】羽毛田丈史  【主題歌】「誰か私を」コトリンゴ(commmons)【チーフプロデューサー】伊藤響  【プロデューサー】福井雄太、難波利昭(AXON)  【制作協力】AXON</t>
  </si>
  <si>
    <t>番組名明日、ママがいない　#7</t>
  </si>
  <si>
    <t>芦田愛菜、鈴木梨央、  三浦翔平、木村文乃、大後寿々花、渡邉このみ、桜田ひより・城田優・鈴木砂羽、  三上博史　ほかついにジョリピがコガモの家にやって来た。子供達は大興奮だが、ジョリピ夫妻が望むのは男の子…。そこでボンビ(渡邉このみ)はハサミを髪に当て……。  一方、ポストは産休の先生に代わり担任となった朝倉(吉沢悠)の家にピア美(桜田ひより)と共に遊びに行くこととなる。そこには病に伏した妻:朝倉瞳(安達祐実)が居た。偶然に瞳と顔を合わせることになったポストはーー。【演出】猪股隆一【脚本】松田沙也【劇伴】羽毛田丈史  【主題歌】「誰か私を」コトリンゴ(commmons)【チーフプロデューサー】伊藤響  【プロデューサー】福井雄太、難波利昭(AXON)  【制作協力】AXON</t>
  </si>
  <si>
    <t>番組名明日、ママがいない　#8</t>
  </si>
  <si>
    <t>芦田愛菜、鈴木梨央、  三浦翔平、木村文乃、大後寿々花、渡邉このみ、桜田ひより・城田優・鈴木砂羽、  三上博史　ほか娘の死を受け入れられない瞳(安達祐実)の為に亡くなった娘・愛となり朝倉夫妻との交流を深めるポスト(芦田愛菜)。実の母親ではない瞳のことを、心から素直に「ママ」と呼べることに、ポスト自身も不思議に感じていた。  ドンキ(鈴木梨央)も優しい川島夫妻の下で順調に「お試し」を続けていた。一見、温かな本当の家族のようだが、ドンキの内心の不安は広がり続け、ある日ついにドンキは倒れてしまう…。【演出】長沼誠【脚本】松田沙也【劇伴】羽毛田丈史  【主題歌】「誰か私を」コトリンゴ(commmons)【チーフプロデューサー】伊藤響  【プロデューサー】福井雄太、難波利昭(AXON)  【制作協力】AXON</t>
  </si>
  <si>
    <t>番組名明日、ママがいない　#9</t>
  </si>
  <si>
    <t>芦田愛菜、鈴木梨央、  三浦翔平、木村文乃、大後寿々花、渡邉このみ、桜田ひより・城田優・鈴木砂羽、  三上博史　ほかピア美(桜田ひより)は実の父親の元へ、ドンキ(鈴木梨央)は川島夫妻の元へと引き取られた。1人1人とコガモの家から去って行く子供達。その中でポスト(芦田愛菜)は瞳(安達祐実)の亡くなった娘・愛として交流を深めていく。人を愛することを知る少女。  しかしその目に浮かぶものは、涙ーー。彼女が辿り着く「愛情」の形とは……。  幸せとは何か、真実の愛とは何か。問いかける感動の最終回。【演出】猪股隆一【脚本】松田沙也【劇伴】羽毛田丈史  【主題歌】「誰か私を」コトリンゴ(commmons)【チーフプロデューサー】伊藤響  【プロデューサー】福井雄太、難波利昭(AXON)  【制作協力】AXON</t>
  </si>
  <si>
    <t>1401_NTV_木23</t>
  </si>
  <si>
    <t>慰謝料弁護士</t>
  </si>
  <si>
    <t>番組名木曜ドラマ『慰謝料弁護士』第1話～バカ女を演じて1000万ゲット!?</t>
  </si>
  <si>
    <t>◇袴田幸男:田中直樹(ココリコ)  ◇野々村(倉沢)香苗:矢田亜希子  ◇梅本くるみ:渡辺直美    ◇水谷沙羅:山田菜々(NMB48)  ◇田畑美里:高嶋香帆  ◇篠塚里奈:岩崎名美    ◇倉沢義人:永井大  ◇相川詩織:野村麻純  ◇カフェの店長:モト冬樹    ◇遠山芳江:美保純(他)【第1話】「あなたの涙、お金に変えましょう。」必ず“慰謝料”を勝ち取って、人生の再出発を後押してくれる腕利き弁護士がいた。その名も袴田幸男(田中直樹)。普段はパン作りにハマって世情には疎い男だが、慰謝料の請求だけはどん欲。毎回、男女のトラブルを小気味良く解決していく。今回の依頼人は、夫のモラル・ハラスメントに耐えながら漫画家を目指す主婦・倉沢香苗(矢田亜希子)。そんな矢先、夫の浮気が発覚した…。【★主題歌】  「泣きたい僕ら」fumika&lt;1月29日リリース!&gt;【原案】  『慰謝料上手にとれるかな?』(うえみあゆみ著/KADOKAWAエンターブレイン刊)  【脚本】  森ハヤシ  【音楽】  井筒昭雄  【演出】  長江俊和★山田菜々(NMB48)が謎のカフェ店員・水谷沙羅役としてドラマ初出演!まずは初回を要チェック!    【データ放送】  【注目!】ドラマ放送中、データ放送画面に表示される暗号をメモしてください!くるみが入手した“極秘情報”をOA翌朝10時まで番組ホームページで限定公開!【「慰謝料弁護士」公式サイト】  http://www.ytv.co.jp/hakamada/  ★Twitter#慰謝料弁護士  みんなでつぶやきましょう!</t>
  </si>
  <si>
    <t>番組名木曜ドラマ『慰謝料弁護士』第2話～浮気主婦の逆襲…W不倫でドロドロ裁判!</t>
  </si>
  <si>
    <t>◇袴田幸男:田中直樹(ココリコ)  ◇野々村香苗:矢田亜希子  ◇梅本くるみ:渡辺直美    ◇水谷沙羅:山田菜々(NMB48)  ◇田畑美里:高嶋香帆  ◇篠塚里奈:岩崎名美    ◇小寺清美:雛形あきこ  ◇小寺文也:村杉蝉之介  ◇戸川裕子:ちすん    ◇遠山芳江:美保純(他)【第2話】“慰謝料”を勝ち取って、人生の再出発を後押してくれる弁護士・袴田幸男(田中直樹)。今回の依頼人は、夫のダブル不倫に憤る主婦・小寺清美(雛形あきこ)。しかも、浮気相手の女は不貞行為さえ認めず、その態度はふてぶてしいそのもの。袴田と清美はついに裁判に踏み切ることに。実はそう、浮気相手からも慰謝料は取れるんです…。一方、駆け出し漫画家・野々村香苗(矢田亜希子)は袴田法律事務所で働き始めるが…。【主題歌】  「泣きたい僕ら」fumika&lt;1月29日リリース!&gt;【原案】  『慰謝料上手にとれるかな?』(うえみあゆみ著/KADOKAWAエンターブレイン刊)  【脚本】  森ハヤシ  【音楽】  井筒昭雄  【演出】  長江俊和【注目!】ドラマ放送中、データ放送画面に表示される暗号をメモしてください!くるみが入手した“極秘情報”をOA翌朝10時まで番組ホームページで限定公開!【「慰謝料弁護士」公式サイト】  http://www.ytv.co.jp/hakamada/  ★Twitter#慰謝料弁護士  みんなでつぶやきましょう!</t>
  </si>
  <si>
    <t>番組名木曜ドラマ『慰謝料弁護士』第3話～主婦の悲痛な叫び…積年の恨みで熟年離婚</t>
  </si>
  <si>
    <t>◇袴田幸男:田中直樹(ココリコ)  ◇野々村香苗:矢田亜希子  ◇梅本くるみ:渡辺直美    ◇水谷沙羅:山田菜々(NMB48)  ◇田畑美里:高嶋香帆  ◇篠塚里奈:岩崎名美    ◇西園寺文子:沢田亜矢子  ◇西園寺正:小野武彦  ◇中谷卓也:大門正明    ◇遠山芳江:美保純(他)【第3話】“慰謝料”を勝ち取って、人生の再出発を後押してくれる弁護士・袴田幸男(田中直樹)。今回の依頼人は、一人娘の結婚を機に離婚を決意した専業主婦・西園寺文子(沢田亜矢子)。文子は袴田の指導でこの1年、離婚に向けて準備をしてきたが、完璧な“熟年離婚”まであと一息というところで、横暴な夫の仕打ちに耐えられず、ついに家を出てしまう。一方、夫・正(小野武彦)は頑なに離婚を拒否するが…。【主題歌】  「泣きたい僕ら」fumika&lt;1月29日リリース&gt;【原案】  『慰謝料上手にとれるかな?』(うえみあゆみ著/KADOKAWAエンターブレイン刊)  【脚本】  高橋美幸  【音楽】  井筒昭雄  【演出】  茂山佳則【注目!】ドラマ放送中、データ放送画面に表示される暗号をメモしてください!くるみが入手した“極秘情報”をOA翌朝10時まで番組ホームページで限定公開!【「慰謝料弁護士」公式サイト】  http://www.ytv.co.jp/hakamada/  ★Twitter#慰謝料弁護士  みんなでつぶやきましょう!</t>
  </si>
  <si>
    <t>番組名木曜ドラマ『慰謝料弁護士』第4話～モンスター妻の恐怖…気弱な夫が猛反撃!</t>
  </si>
  <si>
    <t>◇袴田幸男:田中直樹(ココリコ)  ◇野々村香苗:矢田亜希子  ◇梅本くるみ:渡辺直美    ◇水谷沙羅:山田菜々(NMB48)  ◇田畑美里:高嶋香帆  ◇篠塚里奈:岩崎名美    ◇市川美咲:遊井亮子  ◇市川友宏:東根作寿英    ◇遠山芳江:美保純(他)【第4話】“慰謝料”を勝ち取って、人生の再出発を後押してくれる弁護士・袴田幸男(田中直樹)。今回の依頼人は、妻のDV、モラルハラスメント、家事放棄、そして浪費に思い悩む、気弱な夫・市川友宏(東根作寿英)。しかし、袴田の指示で離婚を宣言しても“夫は金づる”、絶対に離婚はしないと、妻・美咲(遊井亮子)のモンスターぶりはエスカレートするばかり。しかし、袴田には思惑があった…。【主題歌】  「泣きたい僕ら」fumika&lt;USENリクエストチャート5位獲得!大好評発売中!&gt;【原案】  『慰謝料上手にとれるかな?』(うえみあゆみ著/KADOKAWAエンターブレイン刊)  【脚本】  小峯裕之  【音楽】  井筒昭雄  【演出】  島崎俊樹【注目!】ドラマ放送中、データ放送画面に表示される暗号をメモしてください!くるみが入手した“極秘情報”をOA翌朝10時まで番組ホームページで限定公開!【「慰謝料弁護士」公式サイト】  http://www.ytv.co.jp/hakamada/  ★Twitter#慰謝料弁護士  みんなでつぶやきましょう!</t>
  </si>
  <si>
    <t>番組名木曜ドラマ『慰謝料弁護士』第8話～親権めぐるドロドロ調停…子供の未来は?</t>
  </si>
  <si>
    <t>◇袴田幸男:田中直樹(ココリコ)  ◇野々村香苗:矢田亜希子  ◇梅本くるみ:渡辺直美    ◇水谷沙羅:山田菜々(NMB48)  ◇田畑美里:高嶋香帆  ◇篠塚里奈:岩崎名美    ◇坂上剛士:河相我聞  ◇坂上いずみ:宮地真緒    ◇東海林弁護士:エド・はるみ    ◇遠山芳江:美保純(他)【第8話】慰謝料弁護士・袴田幸男(田中直樹)に、小さな子供たちの友達ができた…!?ところが、今回のクライアントは事もあろうか、その子供たちの父親・坂上剛士(河相我聞)。彼は1年前、会社をリストラされて専業主夫をしていたが、この度、キャリアウーマンの妻・いずみ(宮地真緒)から三行半を突きつけられてしまった。しかも、大切な子供たちの親権も奪われそうで…。果たして、坂上家の子供たちの未来は…!?【主題歌】  「泣きたい僕ら」fumika【原案】  『慰謝料上手にとれるかな?』(うえみあゆみ著/KADOKAWAエンターブレイン刊)  【脚本】  千葉美鈴  【音楽】  井筒昭雄  【演出】  茂山佳則【注目!】ドラマ放送中、データ放送画面に表示される暗号をメモしてください!くるみが入手した“極秘情報”をOA翌朝10時まで番組ホームページで限定公開!【「慰謝料弁護士」公式サイト】  http://www.ytv.co.jp/hakamada/  ★Twitter#慰謝料弁護士  みんなでつぶやきましょう!</t>
  </si>
  <si>
    <t>番組名木曜ドラマ『慰謝料弁護士』第9話～事実婚vs法律婚“2人の妻”壮絶バトル</t>
  </si>
  <si>
    <t>◇袴田幸男:田中直樹(ココリコ)  ◇野々村香苗:矢田亜希子  ◇梅本くるみ:渡辺直美    ◇水谷沙羅:山田菜々(NMB48)  ◇田畑美里:高嶋香帆  ◇篠塚里奈:岩崎名美    ◇西嶋葵:MEGUMI  ◇平野知美:嘉門洋子  ◇平野康平:山田将之  ◇藤岡茂:浅見小四郎    ◇遠山芳江:美保純(他)【第9話】今回の依頼人は、事実婚の関係にある“夫”から、突然別れを告げられた美容師の西嶋葵(MEGUMI)。慰謝料弁護士・袴田幸男(田中直樹)は事実婚でもその関係を証明できれば、慰謝料は取れると胸を張るが、その証拠を夫・平野康平(山田将之)に消され…。実は康平、重役の娘・知美(嘉門洋子)と法律上の結婚をしていた。しかも、知美は葵を康平の愛人と勘違いし、彼女から慰謝料を取ろうと袴田を訪ねてきた…!【主題歌】  「泣きたい僕ら」fumika【原案】  『慰謝料上手にとれるかな?』(うえみあゆみ著/KADOKAWAエンターブレイン刊)  【脚本】  千葉美鈴  【音楽】  井筒昭雄  【演出】  島崎敏樹【注目!】ドラマ放送中、データ放送画面に表示される暗号をメモしてください!くるみが入手した“極秘情報”をOA翌朝10時まで番組ホームページで限定公開!【「慰謝料弁護士」公式サイト】  http://www.ytv.co.jp/hakamada/  ★Twitter#慰謝料弁護士  みんなでつぶやきましょう!</t>
  </si>
  <si>
    <t>番組名木曜ドラマ『慰謝料弁護士』第10話～嫁vs姑…仁義なき戦いに終止符を!</t>
  </si>
  <si>
    <t>◇袴田幸男:田中直樹(ココリコ)  ◇野々村香苗:矢田亜希子  ◇梅本くるみ:渡辺直美    ◇水谷沙羅:山田菜々(NMB48)  ◇田畑美里:高嶋香帆  ◇篠塚里奈:岩崎名美    ◇吉岡美紀:遠山景織子  ◇吉岡智枝:東てる美  ◇吉岡俊介:日栄洋祐  ◇久保ゆり子:倉田あみ    ◇遠山芳江:美保純(他)【第10話】今回の依頼人は、姑・智枝(東てる美)にいびられ、朝から晩まで自営の居酒屋でブラック企業並みに働かされている吉岡美紀(遠山景織子)。ついには夫の元カノまで家に招き入れ、比較される始末。夫・俊介(日栄洋祐)にも庇ってもらえず、美紀は離婚を決意したが…。果たして、嫁は姑から慰謝料を取れるのか!?一方、慰謝料弁護士・袴田幸男(田中直樹)は気づいていた。この“嫁いびり”には裏があることを…。【主題歌】  「泣きたい僕ら」fumika【原案】  『慰謝料上手にとれるかな?』(うえみあゆみ著/KADOKAWAエンターブレイン刊)  【脚本】  高橋美幸  【音楽】  井筒昭雄  【演出】  茂山佳則【注目!】ドラマ放送中、データ放送画面に表示される暗号をメモしてください!くるみが入手した“極秘情報”をOA翌朝10時まで番組ホームページで限定公開!【「慰謝料弁護士」公式サイト】  http://www.ytv.co.jp/hakamada/  ★Twitter#慰謝料弁護士  みんなでつぶやきましょう!</t>
  </si>
  <si>
    <t>番組名木曜ドラマ『慰謝料弁護士』第11話～絶体絶命!因縁のスゴ腕女性弁護士現る</t>
  </si>
  <si>
    <t>◇袴田幸男:田中直樹(ココリコ)  ◇野々村香苗:矢田亜希子  ◇梅本くるみ:渡辺直美    ◇水谷沙羅:山田菜々(NMB48)  ◇田畑美里:高嶋香帆  ◇篠塚里奈:岩崎名美    ◇倉沢義人:永井大  ◇倉沢詩織:野村麻純    ◇本条隆司:渡辺裕之  ◇本条やよい:大路恵美    ◇袴田の元上司:北村晴男    ◇烏丸恵子:とよた真帆  ◇遠山芳江:美保純(他)【第11話】今回の依頼人は、倉沢義人(永井大)。事もあろうか、助手の野々村香苗(矢田亜希子)の元夫だ。またも浮気したのかと思いきや、再婚した元愛人・詩織(野村麻純)がダブル不倫をして、浮気相手の妻から慰謝料を請求されたという。複雑な香苗…。しかも袴田幸男(田中直樹)と相手方の弁護士・烏丸恵子(とよた真帆)は何やら訳アリのよう…。この恵子の登場で、袴田はやる気を失ってしまうが、果たして…。【主題歌】  「泣きたい僕ら」fumika【原案】  『慰謝料上手にとれるかな?』(うえみあゆみ著/KADOKAWAエンターブレイン刊)  【脚本】  森ハヤシ  【音楽】  井筒昭雄  【演出】  長江俊和【注目!】放送中、データ放送画面に表示される暗号をメモしてください!くるみが入手した“極秘情報”をOA翌朝10時まで番組HPで限定公開!  【ドラマ初出演!】「行列」でおなじみ!北村晴男弁護士が登場!【「慰謝料弁護士」公式サイト】  http://www.ytv.co.jp/hakamada/  ★Twitter#慰謝料弁護士  みんなでつぶやきましょう!</t>
  </si>
  <si>
    <t>番組名木曜ドラマ『慰謝料弁護士』最終話～因縁の女弁護士と決着…最後の裁判へ!</t>
  </si>
  <si>
    <t>◇袴田幸男:田中直樹(ココリコ)  ◇野々村香苗:矢田亜希子  ◇梅本くるみ:渡辺直美    ◇水谷沙羅:山田菜々(NMB48)  ◇田畑美里:高嶋香帆  ◇篠塚里奈:岩崎名美    ◇倉沢義人:永井大  ◇倉沢詩織:野村麻純    ◇本条隆司:渡辺裕之  ◇本条やよい:大路恵美    ◇バーテンダー:大沢樹生    ◇烏丸恵子:とよた真帆  ◇遠山芳江:美保純(他)【最終話】元カノのスゴ腕弁護士・烏丸恵子(とよた真帆)に宣戦布告した袴田(田中直樹)。助手の野々村香苗(矢田亜希子)たちとともに、本条隆司(渡辺裕之)が浮気に積極的だった証拠集めに奔走するものの、恵子はかなりの強者…。調査は困難を極めるが、そんな中、有力な証人となるバーテンダー(大沢樹生)が見つかった!果たして…!?【主題歌】  「泣きたい僕ら」fumika【原案】  『慰謝料上手にとれるかな?』(うえみあゆみ著/KADOKAWAエンターブレイン刊)  【脚本】  森ハヤシ  【音楽】  井筒昭雄  【演出】  長江俊和【注目!】放送中、データ放送画面に表示される暗号をメモしてください!くるみが入手した“極秘情報”をOA翌朝10時まで番組HPで限定公開!今回は貴重なクランクアップ映像をご覧ください!【「慰謝料弁護士」公式サイト】  http://www.ytv.co.jp/hakamada/  ★Twitter#慰謝料弁護士  みんなでつぶやきましょう!</t>
  </si>
  <si>
    <t>1401_NTV_土21</t>
  </si>
  <si>
    <t>戦力外捜査官</t>
  </si>
  <si>
    <t>番組名戦力外捜査官　#1</t>
  </si>
  <si>
    <t>武井咲、TAKAHIRO(EXILE)・八嶋智人、徳重聡、濱田マリ、木下隆行、水沢エレナ・北川弘美、伊吹吾郎、YOU・佐野史郎、関根勤、柄本明　ほか  海月千波(武井咲)はキャリアでありながら「現場に出たい」と希望し、捜査一課18係に配属される。だが刑事達にとっては大迷惑!「キャリアの小娘など戦力外!」と、若手巡査・設楽恭介(TAKAHIRO)に千波のお守りを押し付け、捜査に参加させないよう仕向ける。  そんな折に中学生が殺される事件が発生。「戦力外」の千波も独自で捜査を開始。千波の情熱と意外な推理力に、設楽は心を動かされ捜査を手伝うことに…【演出】中島悟【原作】似鳥鶏「戦力外捜査官　姫デカ・海月千波」(河出文庫)「神様の値段　戦力外捜査官2」(河出書房新社・刊)  【脚本】鴻上尚史【劇伴】小西康陽  【主題歌】「Love　Story」EXILE　TAKAHIRO(rhythm　zone)【プロデューサー】次屋尚、大塚英治  【制作協力】ケイファクトリー</t>
  </si>
  <si>
    <t>番組名戦力外捜査官　#2</t>
  </si>
  <si>
    <t>武井咲、TAKAHIRO(EXILE)・八嶋智人、徳重聡、濱田マリ、野間口徹、木下隆行、水沢エレナ・伊吹吾郎、北川弘美、小籔千豊、YOU・佐野史郎、関根勤、柄本明　ほか早くも話題騒然!新感覚「非正統派」刑事ドラマ第2話!  警視庁キャリア組で推理オタクの千波(武井咲)と、おもり役の巡査・設楽(TAKAHIRO)の迷コンビに新たな事件が!  アパートで若い女性看護師の変死体が発見される。18係の刑事たちは自殺を装った他殺を疑う。現場には不自然に残された2つのケーキが…。  捜査に参加させてもらえない「戦力外」の千波は、看護師の勤務先の病院へ仮病を使って潜入するが…。【演出】中島悟【原作】似鳥鶏「戦力外捜査官　姫デカ・海月千波」(河出文庫)「神様の値段　戦力外捜査官2」(河出書房新社・刊)  【脚本】鴻上尚史【劇伴】小西康陽  【主題歌】「Love　Story」EXILE　TAKAHIRO(rhythm　zone)【プロデューサー】次屋尚、大塚英治  【制作協力】ケイファクトリー</t>
  </si>
  <si>
    <t>番組名戦力外捜査官　#3</t>
  </si>
  <si>
    <t>武井咲、TAKAHIRO(EXILE)・八嶋智人、徳重聡、濱田マリ、野間口徹、木下隆行、水沢エレナ・伊吹吾郎、北川弘美、小籔千豊、YOU・佐野史郎、関根勤、柄本明　ほか「パトロールをしたい」という千波(武井咲)に付き合った設楽(TAKAHIRO)は、その帰り道に繁華街で何者かに突然殴られ、怪我を負い入院する。  そしてその映像がネットで公開され、18係は騒然となる。設楽は、他人を突然殴り倒して逃げ、その映像をネットに上げて楽しむ悪質な犯罪「ノックアウト・ゲーム」の標的となったのだった。  責任を感じた千波は、この手で犯人を捕まえると意気込むが…。【演出】初山恭洋【原作】似鳥鶏「戦力外捜査官　姫デカ・海月千波」(河出文庫)「神様の値段　戦力外捜査官2」(河出書房新社・刊)  【脚本】鴻上尚史【劇伴】小西康陽  【主題歌】「Love　Story」EXILE　TAKAHIRO(rhythm　zone)【プロデューサー】次屋尚、大塚英治  【制作協力】ケイファクトリー</t>
  </si>
  <si>
    <t>番組名戦力外捜査官　#4</t>
  </si>
  <si>
    <t>武井咲、TAKAHIRO・八嶋智人、徳重聡、濱田マリ、野間口徹、木下隆行、手塚とおる、渋谷謙人、水沢エレナ・伊吹吾郎、北川弘美、小籔千豊、YOU・佐野史郎、関根勤、柄本明　ほかある商店街の商店会事務所にあった金庫から、950万円のうち300万円だけが盗まれるという奇妙な事件が起こる。  18係では戦力外扱いで捜査に参加させてもらえなかった千波(武井咲)と設楽(TAKAHIRO)だったが、一転して捜査現場に参加するよう指令を受ける。  待ちに待った現場の仕事に、瞳を輝かせて張り切る千波だが、千波を快く思わない井上管理官(小籔千豊)には別の思惑があった…。【演出】初山恭洋【原作】似鳥鶏「戦力外捜査官　姫デカ・海月千波」(河出文庫)「神様の値段　戦力外捜査官2」(河出書房新社・刊)  【脚本】鴻上尚史【劇伴】小西康陽  【主題歌】「Love　Story」EXILE　TAKAHIRO(rhythm　zone)【プロデューサー】次屋尚、大塚英治  【制作協力】ケイファクトリー</t>
  </si>
  <si>
    <t>番組名戦力外捜査官　#5</t>
  </si>
  <si>
    <t>武井咲、TAKAHIRO・八嶋智人、徳重聡、濱田マリ、野間口徹、木下隆行、手塚とおる、渋谷謙人、水沢エレナ・伊吹吾郎、北川弘美、小籔千豊、YOU・佐野史郎、関根勤、柄本明　ほか千波(武井咲)&amp;設楽(TAKAHIRO)コンビに新たな試練が!  独自の捜査で事件を解決してきた千波&amp;設楽だが、その警察官らしからぬ手法が原因でついに二人に謹慎処分が下る!　  謹慎中、ひょんなことから千波と設楽は空手道場の子供たちを連れて、TVで人気の戦隊番組「デカシューター」のヒーローショーを観に遊園地に行くことになるのだが、ショーに出演予定のスーツアクターが殺されるという事件に出くわすことに。【演出】中島悟【原作】似鳥鶏「戦力外捜査官　姫デカ・海月千波」(河出文庫)「神様の値段　戦力外捜査官2」(河出書房新社・刊)  【脚本】関えり香【劇伴】小西康陽  【主題歌】「Love　Story」EXILE　TAKAHIRO(rhythm　zone)【プロデューサー】次屋尚、大塚英治  【制作協力】ケイファクトリー</t>
  </si>
  <si>
    <t>番組名戦力外捜査官　#6</t>
  </si>
  <si>
    <t>武井咲、TAKAHIRO・八嶋智人、徳重聡、濱田マリ、野間口徹、木下隆行、手塚とおる、渋谷謙人、水沢エレナ・伊吹吾郎、北川弘美、小籔千豊、YOU・佐野史郎、関根勤、柄本明　ほか推理オタク千波(武井咲)に強力なライバル登場!?  人気恋愛小説家が変死体で発見され、18係が捜査を開始する。千波達は第一発見者である家政婦の三田山に話を聞く。  初めは大人しく見えた三田山だが、実はその本性は千波顔負けの推理オタクだった!!三田山の独自の推理に18係は思わずタジタジ…。  そんな中、小説家のマネージャーが突如会見を行い、「自分はゴーストライターをしていた」と告白する。【演出】初山恭洋【原作】似鳥鶏「戦力外捜査官　姫デカ・海月千波」(河出文庫)「神様の値段　戦力外捜査官2」(河出書房新社・刊)  【脚本】鴻上尚史【劇伴】小西康陽  【主題歌】「Love　Story」EXILE　TAKAHIRO(rhythm　zone)【プロデューサー】次屋尚、大塚英治  【制作協力】ケイファクトリー</t>
  </si>
  <si>
    <t>番組名戦力外捜査官　#7</t>
  </si>
  <si>
    <t>武井咲、TAKAHIRO・八嶋智人、徳重聡、濱田マリ、野間口徹、木下隆行、手塚とおる、渋谷謙人、水沢エレナ・伊吹吾郎、北川弘美、小籔千豊、YOU・佐野史郎、関根勤、柄本明　ほか千波(武井咲)の父親・健夫(伊吹吾郎)が千波を装った振り込め詐欺の被害に。父親失格だ、と落ち込む健夫。それを見て設楽(TAKAHIRO)は憤り、犯人をこの手で捕まえようと意気込む。そこには、設楽の語らざる過去と「家族」というものに対する特別な思いがあった。だが、健夫の気持ちを知らない千波は、健夫に冷たく当たってしまい…  親子が互いに思う気持ちを利用した悪質な「振り込め詐欺」に千波と設楽が挑む!【演出】中島悟【原作】似鳥鶏「戦力外捜査官　姫デカ・海月千波」(河出文庫)「神様の値段　戦力外捜査官2」(河出書房新社・刊)  【脚本】関えり香【劇伴】小西康陽  【主題歌】「Love　Story」EXILE　TAKAHIRO(rhythm　zone)【プロデューサー】次屋尚、大塚英治  【制作協力】ケイファクトリー</t>
  </si>
  <si>
    <t>番組名戦力外捜査官　#8</t>
  </si>
  <si>
    <t>武井咲、TAKAHIRO・八嶋智人、徳重聡、濱田マリ、野間口徹、木下隆行、手塚とおる、渋谷謙人、水沢エレナ・伊吹吾郎、北川弘美、小籔千豊、YOU・佐野史郎、関根勤、柄本明　ほか謎の男が18係の部屋に侵入、川萩係長(八嶋智人)を人質に立てこもる。  千波(武井咲)達は川萩係長の身の安全と18係の面子をかけて、この事件を誰にもバレないよう自分達で解決すると決意!…するがこんな緊急事態でもノンキな18係に犯人も川萩係長も怒りでワナワナ。  怨恨?復讐?それともただの愉快犯?わざわざ18係で立てこもる犯人の要求は?  いびつな交渉の果てに見えた犯人の目的は予想だにしないものだった…【演出】西野真貴【原作】似鳥鶏「戦力外捜査官　姫デカ・海月千波」(河出文庫)「神様の値段　戦力外捜査官2」(河出書房新社・刊)  【脚本】鴻上尚史【劇伴】小西康陽  【主題歌】「Love　Story」EXILE　TAKAHIRO(rhythm　zone)【プロデューサー】次屋尚、大塚英治  【制作協力】ケイファクトリー</t>
  </si>
  <si>
    <t>番組名戦力外捜査官　#9</t>
  </si>
  <si>
    <t>武井咲、TAKAHIRO・八嶋智人、徳重聡、濱田マリ、野間口徹、木下隆行、手塚とおる、渋谷謙人、水沢エレナ・伊吹吾郎、北川弘美、小籔千豊、YOU・佐野史郎、関根勤、柄本明　ほかテレビ局のスタジオで殺人事件と通報を受けた18係。  だが現場には事件の形跡は一切ない。と、突如、クイズ番組に出演しろ、と伝えられる。  「出演は広報活動の一環」と説明され、半信半疑ながらも参加し、結局はしゃぎだすノンキな18係。この番組が警視庁をも巻き込む壮大な罠とも知らず…。  一体、誰が、何の為に、こんなことを!?  推理オタク千波(武井咲)の本領発揮!?予測不可能なクイズバトルが今始まる!【演出】初山恭洋【原作】似鳥鶏「戦力外捜査官　姫デカ・海月千波」(河出文庫)「神様の値段　戦力外捜査官2」(河出書房新社・刊)  【脚本】関えり香【劇伴】小西康陽  【主題歌】「Love　Story」EXILE　TAKAHIRO(rhythm　zone)【プロデューサー】次屋尚、大塚英治  【制作協力】ケイファクトリー</t>
  </si>
  <si>
    <t>番組名戦力外捜査官　#10</t>
  </si>
  <si>
    <t>武井咲、TAKAHIRO・八嶋智人、徳重聡、濱田マリ、野間口徹、木下隆行、手塚とおる、渋谷謙人、水沢エレナ・伊吹吾郎、北川弘美、小籔千豊、YOU・佐野史郎、関根勤、柄本明　ほか人気アイドルが「一日警視総監」として警視庁のパレードに参加!だが警視庁に「パレードの日に警視総監を殺す」と殺害予告が。そして予告を出した犯人は遺体で発見された…。  事件を追う千波(武井咲)に、越前総監(柄本明)はある人物を紹介する。複雑に絡んだ事件を紐解くカギは越前の過去にあった…。  笑いあり、涙あり、恋あり、銃撃戦までありの盛り沢山な最終回!戦力外捜査官・千波が最後に手錠をかける相手は一体!?【演出】中島悟【原作】似鳥鶏「戦力外捜査官　姫デカ・海月千波」(河出文庫)「神様の値段　戦力外捜査官2」(河出書房新社・刊)  【脚本】鴻上尚史【劇伴】小西康陽  【主題歌】「Love　Story」EXILE　TAKAHIRO(rhythm　zone)【プロデューサー】次屋尚、大塚英治  【制作協力】ケイファクトリー</t>
  </si>
  <si>
    <t>1310_NTV_水22</t>
  </si>
  <si>
    <t>ダンダリン</t>
  </si>
  <si>
    <t>番組名ダンダリン　労働基準監督官　#1</t>
  </si>
  <si>
    <t>竹内結子、松坂桃李、風間俊介、水橋研二、トリンドル玲奈、大島蓉子、渡辺いっけい、でんでん、西田尚美、石野真子、大倉孝二、佐野史郎、北村一輝「はたらく人を守るために、はたらく人がいます」  働く人を守るルールを遵守するためには曲がらない、融通の利かない女、労働基準監督官の段田凛(=竹内結子)が、西東京労働基準監督署に配属された。  署内のお役所的ルールもなんのその、まっすぐで止まらない凛に若い監督官(=松坂桃李)や監督課長(=北村一輝)らは振り回されていく。  「お仕事エンタテインメント」ドラマ。1話は「サービス残業」が問題に…。【演出】佐藤東弥【原作】「ダンダリン一〇一」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</si>
  <si>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#2</t>
  </si>
  <si>
    <t>竹内結子、松坂桃李、風間俊介、水橋研二、トリンドル玲奈、大島蓉子、賀来千香子、平山あや、篠井英介、石野真子、大倉孝二、佐野史郎、北村一輝働く人を守るルールを遵守するためには曲がらない、融通の利かない女、労働基準監督官のダンダリン(竹内結子)の元に、ある飲食店の店長・花枝がセクハラを訴えてきた。しかしセクハラは労働局の管轄。彼女を救いたいと、凛は南三条(松坂桃李)と共に内偵調査を開始。  すると、花枝が無報酬で超過勤務を課せられる“名ばかり管理職”である可能性が浮上した。果たして凛は…!?【演出】佐藤東弥【原作】「ダンダリン一〇一」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</si>
  <si>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#3</t>
  </si>
  <si>
    <t>竹内結子、松坂桃李、風間俊介、水橋研二、トリンドル玲奈、大島蓉子、マギー、おかやまはじめ、賀来千香子、西田尚美、大倉孝二、佐野史郎、北村一輝労働基準監督官のダンダリン(竹内結子)は、工事現場の墜落事故現場で法律違反の疑い  を持つ。しかし、その現場の作業を請け負う工務店の社長は、上司である土手山(北村  一輝)の学生時代からの親友・相島(マギー)だった。単なる不運な事故として土手山は処理しようとするが、凛は納得せず土手山と険悪なムードに。  法律と親友、そして命。守るべきものの間で揺れる土手山と凛が出す結論は?【演出】佐藤東弥【原作】「ダンダリン一〇一」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</si>
  <si>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#4</t>
  </si>
  <si>
    <t>竹内結子、松坂桃李、風間俊介、水橋研二、トリンドル玲奈、大島蓉子、賀来千香子、西田尚美、石野真子、大倉孝二、佐野史郎、北村一輝、志田未来、金田明夫、阿南健治  竹内結子が「変カワイイ」ニューヒロインを演じる「お仕事エンタテインメント」ドラマ。  ある企業で業績不振のために“内定切り”が行われていることを察知した労働基準監督官の凛(竹内結子)は、内定を受けた佑美(志田未来)の協力を得て調査に乗り出した。一方、その企業を担当する社会保険労務士の胡桃沢(風間俊介)も反撃を開始。正義感に満ちた凛の行動は、佑美と企業そのものを追いつめる結果に!?【演出】佐藤東弥【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</si>
  <si>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#5</t>
  </si>
  <si>
    <t>竹内結子、松坂桃李、風間俊介、水橋研二、トリンドル玲奈、大島蓉子、賀来千香子、西田尚美、石野真子、大倉孝二、佐野史郎、北村一輝、賀来賢人、東根作寿英　ほか「働く人を守るために働く」ニューヒロイン・労働基準監督官ダンダリンの第五ラウンド!  「辞めたい」のに「辞めさせてもらえない」!  人気パティシエが、自分の味を守るために利益優先の店を辞めようと決意。しかし「誰が一人前にしてやったんだ!」と怒る社長から、逆に損害賠償で訴えられるハメに。相談を受けた労働基準監督官の凛(竹内結子)は「働く人の環境」を守るためにどう動く!?【演出】佐藤東弥【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</si>
  <si>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#6</t>
  </si>
  <si>
    <t>竹内結子、松坂桃李、風間俊介、水橋研二、トリンドル玲奈、大島蓉子、賀来千香子、西田尚美、石野真子、大倉孝二、佐野史郎、北村一輝、嶋田久作、濱田マリ、前田健、脇知弘　ほか働く人を守るために働く、労働基準監督官のダンダリン(竹内結子)。不当な労働条件を強いられている外国人労働者を救う!  「日本で働く外国人も助けるべき労働者」であると、調査に乗り出す凛たち西東京労働基準監督署の面々。しかし、外国人たちは凛たちを「自分たちの仕事を奪う悪のお役所」と、必死で抵抗し、ブラック企業を守る側に回っていた。凛は仲間たちと、監督官らしからぬ「奇策」で切り込む!!【演出】中島悟【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</si>
  <si>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#7</t>
  </si>
  <si>
    <t>竹内結子、松坂桃李、風間俊介、水橋研二、トリンドル玲奈、大島蓉子、賀来千香子、西田尚美、石野真子、大倉孝二、佐野史郎、北村一輝　ほか働く人を守るために働く、労働基準監督官のダンダリン(竹内結子)の指導係・南三条(松坂桃李)が「ダンダ化」してきた!?  亡くなった父親の労災保険申請をしたいという男性の相談に南三条は張り切り「労災はおりる」と断言するが、結果、労災保険は認められなかった。しかし、その父親が勤務していた「竹光製作所」の劣悪な労働状況に気付いた凛は「労働災害」の可能性があると指摘する。南三条はいつになく奔走するのだが…【演出】松永洋一【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</si>
  <si>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#8</t>
  </si>
  <si>
    <t>竹内結子、松坂桃李、風間俊介、水橋研二、トリンドル玲奈、大島蓉子、賀来千香子、西田尚美、石野真子、大倉孝二、佐野史郎、北村一輝、石田卓也、かとうかず子、升毅　ほか働く人を守るために働く、労働基準監督官・凛(竹内結子)に「失望した」と言われた南三条(松坂桃李)は監督官としての自信を失い出勤しなくなってしまった。そんな中、署に南三条の同級生の母親(かとうかず子)が相談に訪れる。息子の航(石田卓也)がブラック企業に洗脳されているというのだ。凛は社長の七富(升毅)の元へ向かう一方、過労で倒れた航に南三条は「そんな会社辞めればいい」と言い放つ。【演出】中島悟【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</si>
  <si>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#9</t>
  </si>
  <si>
    <t>竹内結子、松坂桃李、風間俊介、水橋研二、トリンドル玲奈、大島蓉子、賀来千香子、西田尚美、石野真子、大倉孝二、佐野史郎、北村一輝、松田悟志、渡辺哲史ほか働く人を守るために働く、労働基準監督官のダンダリンの今回のターゲットは「偽装請負」!?  土手山(北村一輝)の息子が労基署にやってきた。母のみどり(西田尚美)が、勤務先の社長に騙されて給与を大幅に減らされてしまったのだ。みどりが勤めるホテルに向かった凛(竹内結子)は、彼女の契約が派遣社員ではなく個人事業主に変わったことに着目。法の裏をかこうとするやり口に、またまた奇策をもって挑むことに!!【演出】佐藤東弥【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</si>
  <si>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#10</t>
  </si>
  <si>
    <t>竹内結子、松坂桃李、風間俊介、水橋研二、トリンドル玲奈、大島蓉子、賀来千香子、西田尚美、石野真子、大倉孝二、佐野史郎、北村一輝ほか「働く人を守るため」と労働基準監督官・ダンダリンがなぜルールにこだわり働き続けるのか…。  凛の過去、そして凛を狙う者の正体が明らかになっていく最終章に突入。  凛(竹内結子)の元に送られてくる不穏な手紙に南三条(松坂桃李)を狙うかのような内容が。  そんなある日、労働相談を受けていた美月(石橋杏奈)のために内偵をしていた南三条が、彼女への暴行未遂容疑で逮捕されてしまった。【演出】松永洋一【原作】「ダンダリン一〇一」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</si>
  <si>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#11</t>
  </si>
  <si>
    <t>竹内結子、松坂桃李、風間俊介、水橋研二、トリンドル玲奈、大島蓉子、賀来千香子、西田尚美、石野真子、大倉孝二、佐野史郎、北村一輝、柄本明、布施博、石橋杏奈、金井勇太、岡本光太郎、工藤里紗、ほか「監督官としての段田凛を殺してやりたい」と宣言した飯野社長(柄本明)の策略で逮捕された南三条(松坂桃李)。凛の退職が、南三条を救うことだと条件を出された凛(竹内結子)は監督官を辞めようと決意する。  一方、西東京労働基準監督署のメンバーは、土手山を中心に、南三条の無実を晴らすために被害届を出した小西美月(石橋杏奈)を探そうと奔走。「働くこととは」「幸せとは」ダンダリンからのメッセージ満載の最終回!!【演出】佐藤東弥【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</si>
  <si>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1310_NTV_木23</t>
  </si>
  <si>
    <t>ハクバノ王子サマ</t>
  </si>
  <si>
    <t>番組名「ハクバノ王子サマ純愛適齢期」第2話★優香★三浦貴大★中村俊介</t>
  </si>
  <si>
    <t>原多香子(32):優香  小津晃太郎(25):三浦貴大  黒沢明夫(42):中村俊介  ・  有馬ユウコ(32):市川実和子  森秀美(34):山田真歩  今村高志(25):柳下大  高峰邦広(34):山本浩司  東山カオリ(24):河北麻友子  市川琴美(16):優希美青  佐野英二郎(52):きたろう  ・  江川伸生(30):新井浩文【第2話】  7歳年下の新任教師・小津晃太郎に惹かれ始めた、32歳の高校教師、原多香子。しかし彼には婚約者がいた。多香子はショックから、元不倫相手の黒沢明夫を家に招き入れてしまう。  「どうして愛されたいと思ってしまうんだろう」  思い悩む多香子と、先輩同士の不倫を知って動揺する晃太郎。晃太郎は不倫は許せないと思いつつ、多香子の危うさが気になって仕方がない。そんなある日、3人で食事をする機会が訪れて…【主題歌】  『恋の矢』かりゆし58【原作】  『ハクバノ王子サマ』朔ユキ蔵(小学館刊)10月10日(木)よる9時から放送される『ダウンタウンDXDX　放送開始20年!秋の2時間スペシャル』に中村俊介さんが出演!http://www.ytv.co.jp/hakuba/</t>
  </si>
  <si>
    <t>番組名「ハクバノ王子サマ純愛適齢期」第3話★優香★三浦貴大★中村俊介</t>
  </si>
  <si>
    <t>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江川伸生(30):新井浩文【第3話】  「放っておけなかった」  そう言って多香子を元不倫相手の黒沢から引き離した晃太郎。多香子にとって晃太郎は7歳年下。しかも婚約者がいる…わかっていても胸が高鳴る多香子。  しかし一転、晃太郎から「余計なことをしてすみません」と謝られ「しばらく仕事以外で話すのは止めましょう」と拒絶される多香子。さらに、晃太郎が生物準備室に婚約者の写真を飾っているという噂が。男心がわからず混乱する多香子は…【原作】  『ハクバノ王子サマ』朔ユキ蔵(小学館刊)【主題歌】  『恋の矢』かりゆし58http://www.ytv.co.jp/hakuba/</t>
  </si>
  <si>
    <t>番組名「ハクバノ王子サマ純愛適齢期」#4</t>
  </si>
  <si>
    <t>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江川伸生(30):新井浩文【第4話】  「意識してしまっています」  7歳年下の晃太郎に、ついに気持ちを伝えた32歳の多香子。しかし彼には婚約者が…。「惨めになるからもう優しくしないでほしい」多香子はそう告げて晃太郎への思いを封じるのだった。  そんな折、晃太郎の妹・琴美に7歳年上の恋人がいることが発覚。諌める晃太郎に、琴美は「タカコサマだって」と反論。30歳を越えているのに年下に恋するなんて気持ち悪い、そう非難された多香子は…【原作】  『ハクバノ王子サマ』朔ユキ蔵(小学館刊)【主題歌】  『恋の矢』かりゆし581～3話までのストーリーを編集した超プレミアム動画『3分でわかる!ハクバノ王子サマ　純愛適齢期』を、読売テレビYouTubeチャンネルで絶賛配信中!    【#ハクバノ王子サマ】で、つぶやこう!http://www.ytv.co.jp/hakuba/</t>
  </si>
  <si>
    <t>番組名「ハクバノ王子サマ純愛適齢期」#5</t>
  </si>
  <si>
    <t>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江川伸生(30):新井浩文【第5話】  酔い潰れた勢いで多香子を抱きしめながら、婚約者の名前を呼んでしまった7歳年下の晃太郎。それでも、  「一緒にいて楽しかった時間だけが、私のもの」  と自分に言い聞かせる多香子に、見合い話が持ち上がる。それは32歳で未婚の娘を心配した母が仕組んだ見合い。そして、その噂はたちまち学校職員の間に広まることになる。多香子に複雑な感情を抱く晃太郎と、元不倫相手で今だ未練を残す黒沢は心中穏やかでなく…【原作】  『ハクバノ王子サマ』朔ユキ蔵(小学館刊)【主題歌】  『恋の矢』かりゆし58【#ハクバノ王子サマ】で、つぶやこう!http://www.ytv.co.jp/hakuba/</t>
  </si>
  <si>
    <t>番組名「ハクバノ王子サマ純愛適齢期」触りたい…合コンで募る想い爆発</t>
  </si>
  <si>
    <t>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江川伸生(30):新井浩文【第6話】  「家族を捨てるって言ったら、またあの頃に戻れる?」  見合い話を断った帰り道、元不倫相手の黒沢からプロポーズされた多香子。しかし、どうしても一歩踏み込むことができない。一方、晃太郎は多香子の見合いがどうなったのか、気になって仕方がない。そんな折、独身教師から合コンのセッティングを迫られ、多香子もその合コンに参加することになる。  そして、ついに、あの男と運命的な出来事が…!?【原作】  『ハクバノ王子サマ』朔ユキ蔵(小学館刊)【主題歌】  『恋の矢』かりゆし58【#ハクバノ王子サマ】で、つぶやこう!http://www.ytv.co.jp/hakuba/</t>
  </si>
  <si>
    <t>番組名「ハクバノ王子サマ純愛適齢期」#7</t>
  </si>
  <si>
    <t>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江川伸生(30):新井浩文【第7話】  職場を巻き込んだ合コンの帰り道、衝動的に晃太郎の鼻に思わず触れてしまう32歳の多香子。元不倫相手の黒沢には衝動で動くことなどできなかったのに、晃太郎にはそれができる自分に驚く。一方、合コンを婚約者のカオリに咎められた晃太郎は、多香子と江川をくっつける作戦に協力することになる。胸中複雑な晃太郎。そんな折、2人きりで行った校外学習の下見先の洞窟で、突然多香子は晃太郎に抱きしめられて…!?【原作】  『ハクバノ王子サマ』朔ユキ蔵(小学館刊)【主題歌】  『恋の矢』かりゆし5811月14日(木)よる7時から放送される『ぐるぐるナインティナイン』に中村俊介さんが出演。是非、ご覧ください!    【#ハクバノ王子サマ】で、つぶやこう!    11月9日(土)10日(日)の2日間、ニコニコ生放送で1話から6話を一挙配信。    11月14日から5週にわたって、データ放送でマイレージプレゼント企画を実施!詳しくは、番組ホームページをご覧ください。http://www.ytv.co.jp/hakuba/</t>
  </si>
  <si>
    <t>番組名ハクバノ王子サマ純愛適齢期「熱いキス…しかし婚約者が突然の帰国!」</t>
  </si>
  <si>
    <t>原多香子(32):優香  小津晃太郎(25):三浦貴大  黒沢明夫(42):中村俊介    有馬ユウコ(32):市川実和子  森秀美(34):山田真歩  今村高志(25):柳下大  高峰邦広(34):山本浩司  東山カオリ(24):河北麻友子  市川琴美(16):優希美青  佐野英二郎(52):きたろう    洋食店のシェフ:林裕人    江川伸生(30):新井浩文【第8話】  ついに心を通わせキスをした、32歳の多香子と7歳年下の晃太郎。幸せな気分もつかの間、一緒にいる間に担任の生徒が大怪我をし大問題になる。担任と副担任でありながら音信不通だったことを生徒の母親に責められ、特に新任の晃太郎の立場は危うくなる。晃太郎のために関係を終わらせようとする多香子と、諦められない晃太郎。江川と多香子が急接近したことを知った晃太郎は、いてもたってもいられなくなり…!?【原作】  『ハクバノ王子サマ』朔ユキ蔵(小学館刊)【主題歌】  『恋の矢』かりゆし58http://www.ytv.co.jp/hakuba/11月20日(水)放送『情報ライブ　ミヤネ屋』の人気コーナー「愛のスパルタ料理塾」に山田真歩さんが出演。そして21日(木)にもお楽しみ企画が!  是非ご覧ください!  【#ハクバノ王子サマ】でつぶやこう!データ放送でマイレージプレゼント企画を実施中!詳しくは、番組ホームページをご覧ください。</t>
  </si>
  <si>
    <t>番組名「ハクバノ王子サマ純愛適齢期」#9</t>
  </si>
  <si>
    <t>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江川伸生(30):新井浩文【第9話】  晃太郎の婚約者・カオリが突然帰国した。多香子と晃太郎が気持ちを確かめ合った直後の出来事。手作り弁当を持って堂々と職場にやってくるカオリに動揺する多香子は別れを覚悟するが、晃太郎は意外にも  「カオリとの婚約を解消しようと思います」  と告げる。  しかしカオリの帰国には、晃太郎の決心を揺さぶる大きな理由があった。さらに一方では、元不倫相手・黒沢の妻が多香子の実家に乗り込んできて…!?【原作】  『ハクバノ王子サマ』朔ユキ蔵(小学館刊)【主題歌】  『恋の矢』かりゆし58【#ハクバノ王子サマ】で、つぶやこう!    データ放送でマイレージプレゼント企画を実施!詳しくは、番組ホームページをご覧ください。http://www.ytv.co.jp/hakuba/</t>
  </si>
  <si>
    <t>番組名「ハクバノ王子サマ純愛適齢期」#10</t>
  </si>
  <si>
    <t>原多香子(32):優香  小津晃太郎(25):三浦貴大  黒沢明夫(42):中村俊介    有馬ユウコ(32):市川実和子  森秀美(35):山田真歩  今村高志(25):柳下大  高峰邦広(34):山本浩司  東山カオリ(24):河北麻友子  市川琴美(16):優希美青  佐野英二郎(52):きたろう    江川伸生(30):新井浩文【第10話】  晃太郎の婚約者・カオリの突然の帰国。  「コウくんに手を出すの、やめてもらえますか?」  真っ向からカオリにそう告げられた多香子は、改めて7歳の年の差を痛感。カオリと別れると言った晃太郎の言葉を信じられず、晃太郎と距離を置くことを決意する。  すれ違ったまま迎えた終業式。クリスマスーー居心地の悪い実家で過ごす多香子に、「会って下さい」と晃太郎から誘いのメールが届くが…!?【原作】  『ハクバノ王子サマ』朔ユキ蔵(小学館刊)【主題歌】  『恋の矢』かりゆし58【#ハクバノ王子サマ】で、つぶやこう!    データ放送でマイレージプレゼント企画を実施!詳しくは、番組ホームページをご覧ください。http://www.ytv.co.jp/hakuba/</t>
  </si>
  <si>
    <t>1310_NTV_土21</t>
  </si>
  <si>
    <t>東京バンドワゴン</t>
  </si>
  <si>
    <t>番組名東京バンドワゴン～下町大家族物語　#1</t>
  </si>
  <si>
    <t>亀梨和也、多部未華子、ミムラ、金子ノブアキ、平愛梨、尾澤ルナ(子役)、君野夢真(子役)、ジョナサン・シェア、井ノ原快彦(友情出演)、片桐はいり、ベンガル、光石研、平泉成、玉置浩二　ほか  【語り】加賀まりこ映像化したい小説第1位、遂にドラマ化!(ダ・ヴィンチ2009年12号)  古書店「東京バンドワゴン」を営む4世代8人家族の堀田家は、いつも賑やか。  次男の青(亀梨和也)は、伝説のロッカーの父・我南人(玉置浩二)と喧嘩ばかり。  ある日、悪酔いした青は女子大生のすずみ(多部未華子)と最悪な出会いを果たす。  一方「東京バンドワゴン」の店の本棚で、百科事典が消えたり現れたりする!青たちは、その謎を探り始め…狩山俊輔【原作】「東京バンドワゴン」シリーズ　小路幸也(集英社刊)  【脚本】大森美香金子隆博【チーフプロデューサー】伊藤響  【プロデューサー】池田健司、原藤一輝(ジェイ・ストーム)、秋元孝之  【制作会社】オフィスクレッシェンド</t>
  </si>
  <si>
    <t>番組名東京バンドワゴン～下町大家族物語　#2</t>
  </si>
  <si>
    <t>亀梨和也、多部未華子、ミムラ、金子ノブアキ、平愛梨、尾澤ルナ(子役)、君野夢真(子役)、ジョナサン・シェア、中島裕翔、井ノ原快彦(友情出演)、片桐はいり、ベンガル、光石研、平泉成、玉置浩二　ほか  【語り】加賀まりこ東京バンドワゴンですずみ(多部未華子)と再会し喜ぶ青(亀梨和也)だったが、ちょっとした誤解からすずみは怒り、帰ってしまう。近所に住む裕太(中島裕翔)が祖父の遺品である古書を売りに来る。裕太の母親が詐欺の被害に遭い、お金の工面をしなければならないと言う。その古書には長方形にくり抜かれた謎の穴が!一方、カフェには大金と一緒に赤ちゃんが置き去りに!我南人(玉置浩二)は母親を知っていると言い出し…。狩山俊輔【原作】「東京バンドワゴン」シリーズ　小路幸也(集英社刊)  【脚本】大森美香金子隆博【チーフプロデューサー】伊藤響  【プロデューサー】池田健司、原藤一輝(ジェイ・ストーム)、秋元孝之  【制作会社】オフィスクレッシェンド</t>
  </si>
  <si>
    <t>番組名東京バンドワゴン～下町大家族物語　#3</t>
  </si>
  <si>
    <t>亀梨和也、多部未華子、ミムラ、金子ノブアキ、平愛梨、尾澤ルナ(子役)、君野夢真(子役)、ジョナサン・シェア、井ノ原快彦(友情出演)、片桐はいり、ベンガル、光石研、平泉成、玉置浩二　ほか  【語り】加賀まりこ　【ゲスト】佐戸井けん太、上遠野太洸すずみ(多部未華子)に約束をすっぽかされた青(亀梨和也)。名前すら知らない青は連絡もできず落ち込む。堀田家ではいつも元気な亜美(平愛梨)の様子がおかしい。実は、亜美の母が入院したが、親の反対を押し切って結婚したため、実家に帰れない。そして家の近くには怪しいストーカーの影が…。ある日、すずみが店にやってきて青の押しかけ女房になると宣言!戸惑う青にすずみは「お嫁さんにしてください」とプロポーズする!【演出】狩山俊輔【原作】「東京バンドワゴン」シリーズ　小路幸也(集英社刊)  【脚本】大森美香【音楽】金子隆博【チーフプロデューサー】伊藤響  【プロデューサー】池田健司、原藤一輝(ジェイ・ストーム)、秋元孝之  【制作会社】オフィスクレッシェンド</t>
  </si>
  <si>
    <t>番組名東京バンドワゴン～下町大家族物語　#4</t>
  </si>
  <si>
    <t>亀梨和也、多部未華子、ミムラ、金子ノブアキ、平愛梨、尾澤ルナ(子役)、君野夢真(子役)、ジョナサン・シェア、井ノ原快彦(友情出演)、片桐はいり、ベンガル、光石研、平泉成、玉置浩二　ほか  【語り】加賀まりこ  【ゲスト】入山法子みすずと名乗り、青(亀梨和也)の押しかけ女房として堀田家で暮らし始めたすずみ(多部未華子)。偽名と知る青は、すずみに理由を尋ねるが話そうとしない。花陽(尾澤ルナ)は皆に「青は騙されている」と話す。母親の藍子(ミムラ)はすずみに謝り、花陽は父親を知らず育ったと打ち明ける。  そんな中、書庫荒らし事件が起きる!紺(金子ノブアキ)もすずみを疑い、青とケンカしてしまう。ある日、藍子の絵が誰かに切り裂かれ…【演出】菅原伸太郎【原作】「東京バンドワゴン」シリーズ　小路幸也(集英社文庫刊)  【脚本】大森美香【音楽】金子隆博【チーフプロデューサー】伊藤響  【プロデューサー】池田健司、原藤一輝(ジェイ・ストーム)、秋元孝之  【制作会社】オフィスクレッシェンド</t>
  </si>
  <si>
    <t>番組名東京バンドワゴン～下町大家族物語　#5</t>
  </si>
  <si>
    <t>亀梨和也、多部未華子、ミムラ、金子ノブアキ、平愛梨、尾澤ルナ(子役)、君野夢真(子役)、ジョナサン・シェア、井ノ原快彦(友情出演)、片桐はいり、ベンガル、光石研、平泉成、玉置浩二　ほか  【語り】加賀まりこ  【ゲスト】入山法子すずみ(多部未華子)が引っ越してきて、一層賑やかになった堀田家。そんな中、真奈美(片桐はいり)が、青(亀梨和也)と見知らぬ美女が一緒にいたと話す。それを聞いて動揺するすずみ。花陽(尾澤ルナ)は、藤島(井ノ原快彦)に家庭教師をしてほしいと家族に話す。藤島の名前を聞き、複雑な思いの青。青が会っていたのは、藤島の秘書・永坂(入山法子)。青は、「藤島が人を殺そうとしている」という相談を受けていたのだった。【演出】狩山俊輔【原作】「東京バンドワゴン」シリーズ　小路幸也(集英社文庫刊)  【脚本】大森美香【音楽】金子隆博【チーフプロデューサー】伊藤響  【プロデューサー】池田健司、原藤一輝(ジェイ・ストーム)、秋元孝之  【制作会社】オフィスクレッシェンド</t>
  </si>
  <si>
    <t>番組名東京バンドワゴン～下町大家族物語　#6</t>
  </si>
  <si>
    <t>亀梨和也、多部未華子、ミムラ、金子ノブアキ、平愛梨、尾澤ルナ(子役)、君野夢真(子役)、ジョナサン・シェア、井ノ原快彦(友情出演)、片桐はいり、ベンガル、光石研、平泉成、玉置浩二　ほか  【語り】加賀まりこ  【ゲスト】篠井英介、田中要次、田中幸太朗、ちすん青(亀梨和也)とすずみ(多部未華子)は勘一に頼まれ京都の古書店懇親会に行くことに。実は結婚へ向け進展させようとする家族の作戦だった。  京都に着いた青とすずみは、懇親会の相談役・重松(篠井英介)から、江戸時代の貴重な図鑑にどちらが正しい値をつけるか、阿曾(田中幸太朗)と勝負をするよう言われる。すずみは重松の挑発に乗り、その申し出を受けることに。東京バンドワゴンの誇りをかけた対決に、すずみが挑む!【演出】菅原伸太郎【原作】「東京バンドワゴン」シリーズ　小路幸也(集英社文庫刊)  【脚本】大森美香【音楽】金子隆博【チーフプロデューサー】伊藤響  【プロデューサー】池田健司、原藤一輝(ジェイ・ストーム)、秋元孝之  【制作会社】オフィスクレッシェンド</t>
  </si>
  <si>
    <t>番組名東京バンドワゴン～下町大家族物語　#7</t>
  </si>
  <si>
    <t>亀梨和也、多部未華子、ミムラ、金子ノブアキ、平愛梨、尾澤ルナ(子役)、君野夢真(子役)、ジョナサン・シェア、井ノ原快彦(友情出演)、片桐はいり、ベンガル、光石研、平泉成、玉置浩二　ほか  【語り】加賀まりこ  【ゲスト】大地真央、山下容莉枝、堀部圭亮、筒井真理子、坂本真、田中要次、升毅、落合モトキついに結婚を決意した青(亀梨和也)とすずみ(多部未華子)に、堀田家は大喜び。藍子(ミムラ)は、結婚式に青の実母も呼ぼうと提案するが、会いたくないと言う青を、我南人(玉置浩二)が殴る。我南人は藍子に大女優の池沢百合枝(大地真央)が青の実母だと打ち明ける。  そんな中、堀田家にすずみの叔母・聡子(山下容莉枝)がやってきて、結婚に大反対!  その上、「冬に結婚するべからず」という家訓まで見つかり…。菅原伸太郎【原作】「東京バンドワゴン」シリーズ　小路幸也(集英社文庫刊)  【脚本】大森美香金子隆博【チーフプロデューサー】伊藤響  【プロデューサー】池田健司、原藤一輝(ジェイ・ストーム)、秋元孝之  【制作会社】オフィスクレッシェンド</t>
  </si>
  <si>
    <t>番組名東京バンドワゴン～下町大家族物語　#8</t>
  </si>
  <si>
    <t>亀梨和也、多部未華子、ミムラ、金子ノブアキ、平愛梨、尾澤ルナ(子役)、君野夢真(子役)、ジョナサン・シェア、井ノ原快彦(友情出演)、片桐はいり、ベンガル、光石研、平泉成、玉置浩二　ほか  【語り】加賀まりこ  【ゲスト】大地真央、山下容莉枝、堀部圭亮、筒井真理子、坂本真、西山繭子、平沼紀久、中島裕翔(Hey!Say!JUMP)、小島藤子、落合モトキ、佐戸井けん太、上遠野太洸、入山法子我南人(玉置浩二)は、青(亀梨和也)の実母である女優・池沢百合枝(大地真央)と11年ぶりに再会し青の結婚式に誘うが、百合枝は26年放っておいて今さら出席できないと断る。  雑誌記者の木島(堀部圭亮)は、青が百合枝の隠し子だと分かりスキャンダルを狙う。木島が青にこの秘密を伝えると、青は動揺して木島を殴ってしまう。木島は訴えない代わりに独占取材を要求するが…。堀田家を守るため、青のとった行動とは!?狩山俊輔【原作】「東京バンドワゴン」シリーズ　小路幸也(集英社刊)  【脚本】大森美香金子隆博【チーフプロデューサー】伊藤響  【プロデューサー】池田健司、原藤一輝(ジェイ・ストーム)、秋元孝之  【制作会社】オフィスクレッシェンド</t>
  </si>
  <si>
    <t>番組名東京バンドワゴン～下町大家族物語　#9</t>
  </si>
  <si>
    <t>亀梨和也、多部未華子、ミムラ、金子ノブアキ、平愛梨、尾澤ルナ(子役)、君野夢真(子役)、ジョナサン・シェア、井ノ原快彦(友情出演)、片桐はいり、ベンガル、光石研、平泉成、玉置浩二　ほか  【語り】加賀まりこ  【ゲスト】山崎一、杉野真実、西山繭子、平沼紀久クリスマスムードに包まれる東京バンドワゴンに真奈美(片桐はいり)が訪れ、板前のコウ(田中要次)に恋をしたと言う。辛い過去を背負うコウは、好意に応えられない。青(亀梨和也)は二人を結びつける方法はないかと考える。  一方、研人(君野夢真)の友達が「羊に後をつけられている」と奇妙なことを言い出し、母親を困惑させていた。研人と花陽(尾澤ルナ)が証拠に写真を撮ると、二本足で歩く大きな羊が写っていた…。西岡健太郎【原作】「東京バンドワゴン」シリーズ　小路幸也(集英社刊)  【脚本】大森美香金子隆博【チーフプロデューサー】伊藤響  【プロデューサー】池田健司、原藤一輝(ジェイ・ストーム)、秋元孝之  【制作会社】オフィスクレッシェンド</t>
  </si>
  <si>
    <t>番組名東京バンドワゴン～下町大家族物語　#10</t>
  </si>
  <si>
    <t>亀梨和也、多部未華子、ミムラ、金子ノブアキ、平愛梨、尾澤ルナ(子役)、君野夢真(子役)、ジョナサン・シェア、井ノ原快彦(友情出演)、片桐はいり、ベンガル、光石研、平泉成、玉置浩二　ほか  【語り】加賀まりこ  【ゲスト】篠井英介喉頭がんが発覚した我南人(玉置浩二)は、手術で声を失うより、命が短くなっても歌っていたいと話す。青(亀梨和也)たち家族は、手術を受けて生きてほしいと願うものの、歌への情熱を知っているだけに何も言えない。我南人の病状は次第に悪化し、声が出なくなり始める。死を覚悟した我南人に何かしてあげられないかと悩む青。堀田家は、また家族を失ってしまうかもしれない。そんな中、青は、我南人にある頼みごとをする・・狩山俊輔【原作】「東京バンドワゴン」シリーズ　小路幸也(集英社文庫刊)  【脚本】大森美香金子隆博【チーフプロデューサー】伊藤響  【プロデューサー】池田健司、原藤一輝(ジェイ・ストーム)、秋元孝之  【制作会社】オフィスクレッシェンド</t>
  </si>
  <si>
    <t>1307_NTV_水22</t>
  </si>
  <si>
    <t>Woman</t>
  </si>
  <si>
    <t>番組名Woman　#1</t>
  </si>
  <si>
    <t>満島ひかり、田中裕子、小栗旬、谷村美月、二階堂ふみ、鈴木梨央、小林薫　(他)小春(満島)は、夫の信(小栗)を事故で亡くし、二人の子供を抱えるシングルマザー。必死に働くも家計は苦しく、生活は困窮する。福祉事務所には親族からの援助について聞かれるが、父は亡くなり、母の紗千(田中)とは絶縁状態だった。しかし、福祉事務所が紗千に問い合わせると、紗千は小春への援助の意志を示したという。母がそんなことをいうとは信じられない小春。そして、小春は20年ぶりに紗千と会う決心をする…。【演出】水田伸生【脚本】坂元裕二【音楽】三宅一徳  【主題歌】「Voice」androp  (WARNER　MUSIC　JAPAN/unBORDE)【制作】ケイファクトリー</t>
  </si>
  <si>
    <t>番組名Woman　#2</t>
  </si>
  <si>
    <t>満島ひかり、田中裕子、小栗旬、谷村美月、二階堂ふみ、三浦貴大、臼田あさ美、高橋一生、鈴木梨央(子役)、小林薫　(他)ある日、仕事を終えた小春(満島ひかり)が帰宅すると、アパートに児童相談所の職員が来ていた。近所の女性が、毎晩子供たちだけで過ごしている望海(鈴木梨央)と陸(高橋来)を見つけ、児童相談所に通報したのだった。児童相談所の職員は虐待を疑い、小春に子供たちを誰かに預けることを勧める。小春は、再婚し地方のログハウスで暮らす由季(臼田あさ美)のもとへ、しばらく望海と陸を預けることにするのだが…。【演出】水田伸生【脚本】坂元裕二【制作協力】ケイファクトリー</t>
  </si>
  <si>
    <t>番組名Woman　#3</t>
  </si>
  <si>
    <t>満島ひかり、田中裕子、小栗旬、谷村美月、二階堂ふみ、三浦貴大、臼田あさ美、高橋一生、鈴木梨央、小林薫　他なんとか小春(満島ひかり)と紗千(田中裕子)の間を取り持とうと、小春のアパートを訪れる健太郎(小林薫)。とりあえず小春が働く昼間、夏休み中の望海(鈴木梨央)と陸(高橋來)を植杉家で預かりたいと言い出す。困惑する小春だったが健太郎の申し出を受け入れることに。後日、健太郎が望海と陸を預かって家で遊んでいるところに、紗千が仕事先から突然帰ってきた。【演出】相沢淳【脚本】坂元裕二【制作協力】ケイファクトリー</t>
  </si>
  <si>
    <t>番組名Woman　#4</t>
  </si>
  <si>
    <t>満島ひかり、田中裕子、小栗旬、谷村美月、二階堂ふみ、三浦貴大、高橋一生、鈴木梨央(子役)、高橋來(子役)、小林薫　ほか陸(高橋来)に言葉の遅れがあるのではないかと、託児所の職員に指摘される小春(満島ひかり)。あまり気に留めていなかったが、ある晩、布団の中で泣いている陸に気づく。  一方、栞(二階堂ふみ)は紗千(田中裕子)が小春たち家族のことを気にかけていることを察し複雑な感情を募らせる。栞は小春に対する嫌悪感を紗千にぶつけ、さらに信(小栗旬)の死に関わる重大な秘密を語りはじめる。【演出】水田伸生【脚本】坂元裕二【制作協力】ケイファクトリー</t>
  </si>
  <si>
    <t>番組名Woman　#5</t>
  </si>
  <si>
    <t>満島ひかり、田中裕子、小栗旬、谷村美月、二階堂ふみ、三浦貴大、臼田あさ美、高橋一生、鈴木梨央(子役)、高橋來(子役)、小林薫　ほか精密検査の結果、再生不良性貧血と診断された小春(満島ひかり)。命にかかわる病気だけに治療について真剣に考えるよう勧められる。しかし小春は仕事を休むわけにもいかず、誰にも病気のことを打ち明けられないでいた。せめて子供たちには悟られまいと努めて明るく振舞う小春だったが、そのうち自覚症状が出始める。ある決意をした小春は、望海(鈴木梨央)と陸(高橋來)を連れて植杉家へ向かうのだが…。【演出】相沢　淳【脚本】坂元裕二【制作協力】ケイファクトリー</t>
  </si>
  <si>
    <t>番組名Woman　#6</t>
  </si>
  <si>
    <t>満島ひかり、田中裕子、小栗旬、谷村美月、二階堂ふみ、三浦貴大、臼田あさ美、高橋一生、鈴木梨央(子役)、高橋來(子役)、小林薫　ほか自身の病状の悪化を自覚した小春(満島ひかり)は、望海(鈴木梨央)と陸(高橋來)を連れて植杉家を訪れ、紗千(田中裕子)に一緒に住まわせて欲しいと頼み込む。そんな折、健太郎(小林薫)から紙袋に入ったオレンジ色のマフラーを渡される。4年前の夏、信(小栗旬)がひとり植杉家を訪ねて来た際に忘れていったものだと言う。しかし小春にはまったく見覚えのないものだった…。【演出】水田伸生【脚本】坂元裕二【制作協力】ケイファクトリー</t>
  </si>
  <si>
    <t>番組名Woman　#7</t>
  </si>
  <si>
    <t>満島ひかり、田中裕子、小栗旬、二階堂ふみ、鈴木梨央(子役)、高橋來(子役)、小林薫　ほか小春(満島ひかり)は、望海(鈴木梨央)と陸(高橋來)を連れて、信(小栗旬)の生まれ故郷へ向かった。そこは山に囲まれた小さな村だった。小春は土産物屋の店主を訪ね、4年前の夏に信が置いていったという手紙を受け取る。信は事故に遭ったその日、この村を訪れていた。手紙は小春の知ることのなかった彼の幼少期のことや母親との思い出に触れられていた。そして4年前の夏、信が植杉家を訪れた本当の理由が綴られていた…。【演出】水田伸生【脚本】坂元裕二【制作協力】ケイファクトリー</t>
  </si>
  <si>
    <t>番組名Woman　#8</t>
  </si>
  <si>
    <t>満島ひかり、田中裕子、小栗旬、谷村美月、二階堂ふみ、三浦貴大、臼田あさ美、高橋一生、鈴木梨央(子役)、高橋來(子役)、小林薫　ほか信(小栗旬)に痴漢の罪を着せようとした張本人が栞(二階堂ふみ)であることを知った小春(満島ひかり)は、それら全てのことを知っていたのではないかと紗千(田中裕子)を問い詰める。栞をかばいながらも、二人の娘の間で苦悩する紗千。一方植杉家での生活に慣れてきていた望海(鈴木梨央)と陸(高橋來)は、まもなく催される町内会の夏祭りを心待ちにしていた。もう植杉家には居られないと決意していた小春だったが…。【演出】相沢淳【脚本】坂元裕二【制作協力】ケイファクトリー</t>
  </si>
  <si>
    <t>番組名★日テレ開局60年キャンペーン★　Woman　#9</t>
  </si>
  <si>
    <t>満島ひかり、田中裕子、谷村美月、二階堂ふみ、三浦貴大、臼田あさ美、高橋一生、鈴木梨央(子役)、高橋來(子役)、小林薫　ほか小春(満島ひかり)は数日間入院することに。紗千(田中裕子)はその間、望海(鈴木梨央)と陸(高橋來)の世話をすることに。紗千は、子供たちと過ごすうち、望海の姿に子供の頃の小春を重ね見るのだった。彼女は小春の骨髄との適合検査を受けるため病院へ行く決心をする。一方、栞(二階堂ふみ)が信(小栗旬)の死と深く関わっていることを聞かされた健太郎(小林薫)は、家を出て行った栞のもとを訪ね…。【演出】水田伸生【脚本】坂元裕二【制作協力】ケイファクトリー</t>
  </si>
  <si>
    <t>番組名Woman　#10</t>
  </si>
  <si>
    <t>満島ひかり、田中裕子、谷村美月、二階堂ふみ、三浦貴大、臼田あさ美、高橋一生、鈴木梨央(子役)、高橋來(子役)、小林薫　ほか望海(鈴木梨央)は、小春(満島ひかり)の身体に異変が起こっていることを敏感に察する。小春は、今は自分の病気のことを子供たちに知られるわけには絶対いかなかった。しかし望海は、小春を探し病院まで来てしまうのだった。一方、紗千(田中裕子)は、行方が分からなくなった栞(二階堂ふみ)を捜し歩いていた。そのころ栞は、転落死した信(小栗旬)の背中を押した男を街で見かけ…。【演出】相沢淳【脚本】坂元裕二【制作協力】ケイファクトリー</t>
  </si>
  <si>
    <t>番組名Woman　#11</t>
  </si>
  <si>
    <t>満島ひかり、田中裕子、小栗旬、谷村美月、二階堂ふみ、三浦貴大、臼田あさ美、高橋一生、鈴木梨央(子役)、高橋來(子役)、小林薫　ほかその日、小春(満島ひかり)、望海(鈴木梨央)、陸(高橋來)、そして紗千(田中裕子)、健太郎(小林薫)は、いつものように明るく穏やかな朝食の時間を過ごす。しかし紗千と健太郎は内心、気が気ではなかった。栞(二階堂ふみ)が受けた骨髄適合検査の結果が出る日だったからだ。祈るような思いの紗千と健太郎。しかし小春は、もし栞の骨髄が適合したとしても提供を受けることはできない、と紗千にきっぱり告げるのだった。【演出】水田伸生【脚本】坂元裕二【制作協力】ケイファクトリー</t>
  </si>
  <si>
    <t>1307_NTV_土21</t>
  </si>
  <si>
    <t>斉藤さん2</t>
  </si>
  <si>
    <t>番組名斉藤さん2　#1</t>
  </si>
  <si>
    <t>観月ありさ、桐谷美玲、田辺誠一、瀬戸康史、猫背椿、音尾琢真、橋本涼(ジャニーズJr.)、玉元風海人(ジャニーズJr.)、谷端奏人、きたろう、酒井若菜、松岡茉優、岡山智樹、早見あかり、勝村政信、南果歩　ほか大鷹市に越してきた斉藤さん(観月ありさ)と息子の潤一(谷端奏人)。しかし一足先に潤一が転校するクラスの母親たちの間で、斉藤は相当な変わり者だと噂になっていた。新学期早々、あだ名が原因で不登校の児童がいるということで、潤一のクラスでは緊急保護者会が開かれ、あだ名を禁止しようという話が持ち上がる。全員が賛成する中、斉藤さんは一人納得できず、反対の声を上げる。斉藤さんの新たな戦いの幕が開いた!【演出】久保田充【脚本】土田英生【音楽】池頼広</t>
  </si>
  <si>
    <t>番組名斉藤さん2　#2</t>
  </si>
  <si>
    <t>観月ありさ、桐谷美玲、田辺誠一、瀬戸康史、猫背椿、音尾琢真、橋本涼(ジャニーズJr.)、玉元風海人(ジャニーズJr.)、谷端奏人、きたろう、酒井若菜、松岡茉優、岡山智樹、早見あかり、勝村政信、南果歩　ほか拓海(橋本涼)と潤一(谷端奏人)は、上級生にからまれているところを磨沙夜(前田航基)という6年生に助けられる。すっかり磨沙夜になつく二人だが、磨沙夜は親子揃って他の保護者たちの評判が悪く、摩耶(桐谷美玲)も拓海を磨沙夜から遠ざけようとする。しかし、斉藤さん(観月ありさ)だけは、磨沙夜の悪いところはしっかり注意し、家に遊びに来ることも歓迎する。そんな斉藤さんに、摩耶はあれこれ忠告するのだが…。【演出】久保田充【脚本】土田英生【音楽】池頼広  【主題歌】浦江アキコ「季節の風に」(SONIC　GROOVE)</t>
  </si>
  <si>
    <t>番組名斉藤さん2　#3</t>
  </si>
  <si>
    <t>観月ありさ、桐谷美玲、田辺誠一、瀬戸康史、猫背椿、音尾琢真、橋本涼(ジャニーズJr.)、玉元風海人(ジャニーズJr.)、谷端奏人、きたろう、酒井若菜、松岡茉優、岡山智樹、早見あかり、勝村政信、南果歩　ほか何者かが放ったロケット花火で子供たちが怪我をしそうになり、玉井(南果歩)たちは大騒ぎ。不良高校生の仕業に違いないと、匿名で高校に抗議を入れる。椎原(岡山智樹)たちは、抗議したのが斉藤(観月ありさ)だと誤解し、仕返しを考える。斉藤は自分のせいで子供たちが危険な目に遭うとみんなに責められる。摩耶(桐谷美玲)はそんな斉藤を助けるために、自分も斉藤のように強くなろうと行動を開始するのだが…。【演出】吉野洋【脚本】土田英生【音楽】池頼広  【主題歌】浦江アキコ「季節の風に」(SONIC　GROOVE)</t>
  </si>
  <si>
    <t>番組名斉藤さん2　#4</t>
  </si>
  <si>
    <t>観月ありさ、桐谷美玲、田辺誠一、瀬戸康史、猫背椿、音尾琢真、橋本涼(ジャニーズJr.)、玉元風海人(ジャニーズJr.)、谷端奏人、きたろう、酒井若菜、松岡茉優、岡山智樹、早見あかり、勝村政信、南果歩　ほか斉藤(観月ありさ)は、立花(酒井若菜)の娘・知花(大野百花)がピアノの稽古と聞いた途端お腹を壊すのを見て、知花が無理をしているのではと心配する。そんな中、公園のプール掃除のイベントが突然中止に。子供たちは、掃除の前にヤゴを捕って育てるのを毎年楽しみにしていた。中でも一番落胆したのは、意外にも知花だった。そんな子供たちのために、斉藤と摩耶(桐谷美玲)はプール掃除のボランティアを募集するのだが…。【演出】久保田充【脚本】相内美生【音楽】池頼広  【主題歌】浦江アキコ「季節の風に」(SONIC　GROOVE)</t>
  </si>
  <si>
    <t>番組名斉藤さん2　#5</t>
  </si>
  <si>
    <t>観月ありさ、桐谷美玲、田辺誠一、瀬戸康史、猫背椿、音尾琢真、橋本涼(ジャニーズJr.)、玉元風海人(ジャニーズJr.)、谷端奏人、きたろう、酒井若菜、松岡茉優、岡山智樹、早見あかり、勝村政信、南果歩　ほか玉井(南果歩)の息子・大和(玉元風海人)が知花(大野百花)に怪我をさせる。誰もが黙っている中、潤一(谷端奏人)は大和が原因だと小杉(瀬戸康史)に告げる。それをきっかけに潤一はクラスで孤立し、大和たちからイジメを受けるようになる。仲の良かった拓海(橋本涼)までもが、大和の味方に付く。しかし潤一は斉藤(観月ありさ)に何も言おうとしない。偶然イジメを目撃した磨沙夜(前田航基)が斉藤に事実を告げるが…。【演出】岩本仁志【原作】小田ゆうあ  【脚本】土田英生【音楽】池頼広  【主題歌】浦江アキコ「季節の風に」(SONIC　GROOVE)</t>
  </si>
  <si>
    <t>番組名斉藤さん2　#6</t>
  </si>
  <si>
    <t>観月ありさ、桐谷美玲、田辺誠一、瀬戸康史、猫背椿、音尾琢真、橋本涼(ジャニーズJr.)、玉元風海人(ジャニーズJr.)、谷端奏人、きたろう、酒井若菜、松岡茉優、岡山智樹、早見あかり、勝村政信、南果歩　ほか潤一(谷端奏人)がクラスでいじめに遭っていることに悩む斉藤(観月ありさ)。だが、誰にも相談できない彼女は摩耶(桐谷美玲)にも誤解され、彼女自身も孤立してしまう。潤一は大和(玉元風海人)と話し合おうとするが、取っ組み合いの喧嘩になってしまう。そして大和が自分で転んでケガをしたのに、それを潤一のせいだと思った玉井(南果歩)は斉藤を呼び出す。ついに直接対決する二人だが…。【演出】岩本仁志【原作】小田ゆうあ  【脚本】土屋英生【音楽】池頼広  【主題歌】</t>
  </si>
  <si>
    <t>番組名★日テレ開局60年キャンペーン★　斉藤さん2　#7</t>
  </si>
  <si>
    <t>観月ありさ、桐谷美玲、田辺誠一、瀬戸康史、猫背椿、音尾琢真、橋本涼(ジャニーズJr.)、玉元風海人(ジャニーズJr.)、谷端奏人、きたろう、酒井若菜、松岡茉優、岡山智樹、早見あかり、勝村政信、南果歩　ほか玉井(南果歩)は、取り巻きだった主婦たちから避けられるようになる。大庭(猫背椿)たちは斉藤(観月ありさ)を自分たちのリーダーにしようと企む。一方、男児を出産した冴(松岡茉優)は、一人で育児に追われ、思い通りにならない息子をどう扱っていいか分からず伯母の玉井を頼るが、玉井は取り合わない。子育てに疲れ、孤独を感じる冴は次第に追い詰められていく。冴が悩んでいると知った斉藤は、彼女を救おうとするが…。【演出】久保田充【原作】小田ゆうあ  【脚本】土屋英生【音楽】池頼広  【主題歌】浦江アキコ「季節の風に」(SONIC　GROOVE)</t>
  </si>
  <si>
    <t>番組名斉藤さん2　#8</t>
  </si>
  <si>
    <t>観月ありさ、桐谷美玲、田辺誠一、瀬戸康史、猫背椿、音尾琢真、橋本涼(ジャニーズJr.)、玉元風海人(ジャニーズJr.)、谷端奏人、きたろう、酒井若菜、松岡茉優、岡山智樹、早見あかり、勝村政信、南果歩　ほか斉藤(観月ありさ)は、玉井(南果歩)の取り巻きだった主婦たちからちやほやされて、戸惑う。一方、潤一(谷端奏人)ら4年3組の児童たちは、1組の雄司(佐藤詩音)が地方の有名中学への進学を強要されて悩んでいることを知る。そして、大和(玉元風海人)を中心に4年3組の児童と雄司は、親への反抗からある計画を立てる。そんな中街には、何者かによって斉藤を中傷するビラがあちこちに貼られるように…。【演出】吉野洋【原作】小田ゆうあ  【脚本】土屋英生【音楽】池頼広  【主題歌】浦江アキコ「季節の風に」(SONIC　GROOVE)</t>
  </si>
  <si>
    <t>番組名斉藤さん2　#9</t>
  </si>
  <si>
    <t>観月ありさ、桐谷美玲、田辺誠一、瀬戸康史、猫背椿、音尾琢真、橋本涼(ジャニーズJr.)、玉元風海人(ジャニーズJr.)、谷端奏人、きたろう、酒井若菜、松岡茉優、岡山智樹、早見あかり、勝村政信、南果歩　ほか斉藤(観月ありさ)を中傷するビラをまいたのは玉井(南果歩)ではなかったと分かり、摩耶(桐谷美玲)は玉井にきちんと謝りたいと考える。一方、玉井は安西(池田成志)から、弟が作った借金の肩代わりに家の権利書を渡せと脅されていた。大和(玉元風海人)にも危険が及ぶのを恐れた玉井は、家の権利書を渡す覚悟をする。摩耶から玉井が引っ越すことを聞かされ、心配になる斉藤は玉井のもとへ向かうのだが…。【演出】岩本仁志【脚本】土屋英生【音楽】池頼広  【主題歌】浦江アキコ「季節の風に」(SONIC　GROOVE)</t>
  </si>
  <si>
    <t>番組名斉藤さん2　#10</t>
  </si>
  <si>
    <t>観月ありさ、桐谷美玲、田辺誠一、瀬戸康史、猫背椿、音尾琢真、橋本涼(ジャニーズJr.)、玉元風海人(ジャニーズJr.)、谷端奏人、きたろう、酒井若菜、松岡茉優、岡山智樹、早見あかり、勝村政信、南果歩　ほか大鷹小学校で10歳になる4年生を祝う式典“二分の一成人式”が行われることに。そこで児童が読むはずだった親への感謝の手紙が担任教師によって添削され、書き直すように命じられる。それに対して「自分の正直な気持ちを伝えたい」と反発する4年3組の児童たちは、当日、式をボイコットすると宣言し教室に立てこもる。斉藤(観月ありさ)は児童たちを叱るために、ハシゴを使って教室の窓までよじ登ろうとするが…。【演出】久保田みつる【脚本】土田英生【音楽】池頼広  【主題歌】浦江アキコ「季節の風に」(SONIC　GROOVE)</t>
  </si>
  <si>
    <t>1304_NTV_水22</t>
  </si>
  <si>
    <t>雲の階段</t>
  </si>
  <si>
    <t>番組名雲の階段　#1</t>
  </si>
  <si>
    <t>長谷川博己、稲森いずみ、木村文乃、萩原聖人、青柳翔、優希美青・  キムラ緑子、半海一晃・  大友康平、内藤剛志　(他)医師不足に悩む島の診療所の事務員・三郎(長谷川博己)は、所長(大友康平)の命令で手術の助手をする。  医師免許のない三郎の医療行為に診療所員は反発するが、看護師の明子(稲森いずみ)だけは温かく見守る。  暴風雨の夜、東京の女子大生・亜希子(木村文乃)が運び込まれる。しかし、所長は留守で、強風のためドクターヘリも島に来られない。  このままでは亜希子の命はないという状況で、三郎が手術をすることになるが…。【演出】猪股隆一【原作】渡辺淳一「雲の階段」(講談社文庫)  【脚本】寺田敏雄【音楽】coba  【主題歌】B’z「核心」(VERMILLION　RECORDS)【制作協力】5年D組</t>
  </si>
  <si>
    <t>番組名雲の階段　#2</t>
  </si>
  <si>
    <t>長谷川博己、稲森いずみ、木村文乃、  萩原聖人、青柳翔、優希美青  キムラ緑子、半海一晃・ラサール石井、河西健司、  加賀まりこ、多岐川裕美、大友康平、内藤剛志　(他)原作は、「失楽園」などで知られる渡辺淳一のミリオンセラー。一人の“無資格医”と、彼を愛し抜く二人のアキコの運命とは!?  三郎(長谷川博己)が執刀した亜希子(木村文乃)の手術は成功。翌日、亜希子の父・田坂(内藤剛志)らが美琴島を訪れる。田坂は東京の有名な大病院の院長。本物の医者を前に三郎は気が気ではない。一方、明子(稲森いずみ)は三郎と島で生きる将来を思い描くが、亜希子が積極的に三郎に言い寄り…。【演出】猪股隆一【原作】渡辺淳一「雲の階段」(講談社文庫)  【脚本】寺田敏雄【音楽】coba  【主題歌】B’z「核心」(VERMILLION　RECORDS)【制作協力】5年D組</t>
  </si>
  <si>
    <t>番組名雲の階段　#3</t>
  </si>
  <si>
    <t>長谷川博己、稲森いずみ、木村文乃、  萩原聖人、青柳翔、優希美青  キムラ緑子、半海一晃・田中哲司、市川実和子、ラサール石井  加賀まりこ、多岐川裕美、大友康平、内藤剛志　(他)原作は、「失楽園」などで知られる渡辺淳一のミリオンセラー。一人の“無資格医”と、彼を愛し抜く二人のアキコの運命は!?  診療所に村長らの手配で本物の医師・山中(田中哲司)が着任。医師免許のない三郎は元の事務職に戻され、明子(稲森いずみ)は懸命に支えるが…。そこへ、帰京したはずの亜希子(木村文乃)が三郎に手術痕を縫合し直して欲しいと現れる。三郎と2人のアキコの運命は急展開、それぞれが変貌を遂げ始める!【演出】岩本仁志【原作】渡辺淳一「雲の階段」(講談社文庫)  【脚本】寺田敏雄【音楽】coba  【主題歌】B’z「核心」(VERMILLION　RECORDS)【制作協力】5年D組</t>
  </si>
  <si>
    <t>番組名雲の階段　#4</t>
  </si>
  <si>
    <t>長谷川博己、稲森いずみ、木村文乃  萩原聖人、青柳翔、優希美青  キムラ緑子、半海一晃・田中哲司、市川実和子、秋山菜津子、デビット伊東、佐野圭亮  加賀まりこ、金田明夫、多岐川裕美、大友康平、内藤剛志　(他)原作は、「失楽園」などで知られる渡辺淳一のミリオンセラー。  一人の“無資格医”と、彼を愛し抜く二人のアキコの運命は!?  美琴島を離れ、東京に出て来た三郎(長谷川博己)。亜希子(木村文乃)は、大喜びで迎える。田坂(内藤剛志)は三郎に、病院で働く破格の好条件と共に、娘・亜希子との結婚、病院の跡継ぎ、を提示。一方、妊娠した明子(稲森いずみ)の身体に異変が……三郎と二人のアキコ、運命の第二章が今始まる!【演出】吉野洋【原作】渡辺淳一「雲の階段」(講談社文庫)  【脚本】寺田敏雄【音楽】coba  【主題歌】B’z「核心」(VERMILLION　RECORDS)【制作協力】5年D組</t>
  </si>
  <si>
    <t>番組名雲の階段　#5</t>
  </si>
  <si>
    <t>長谷川博己、稲森いずみ、木村文乃  萩原聖人、青柳翔、優希美青  市川実和子、秋山菜津子、デビット伊東、佐野圭亮  根岸季衣、深水三章、武田航平  加賀まりこ、金田明夫、多岐川裕美、内藤剛志　(他)原作は、「失楽園」などで知られる渡辺淳一のミリオンセラー。  一人の“無資格医”と、彼を愛した二人のアキコの運命の第2章とは!?  三郎(長谷川博己)は、明子(稲森いずみ)が流産し、消息もわからないと高岡(萩原聖人)から聞くが、亜希子(木村文乃)との結婚を申し出て、田坂(内藤剛志)から許される。  儚いと知りつつ、新しい人生の階段を昇り始めた三郎の前に、背筋も凍る意外な出来事が待ち受けていた……!!  【演出】猪股隆一【原作】渡辺淳一「雲の階段」(講談社文庫)  【脚本】寺田敏雄【音楽】coba  【主題歌】B’z「核心」(VERMILLION　RECORDS)【制作協力】5年D組</t>
  </si>
  <si>
    <t>番組名雲の階段　#6</t>
  </si>
  <si>
    <t>長谷川博己、稲森いずみ、木村文乃  萩原聖人、青柳翔、優希美青  市川実和子、秋山菜津子、デビット伊東、佐野圭亮、やべきょうすけ  金田明夫、多岐川裕美、内藤剛志原作は「失楽園」などで知られる渡辺淳一のミリオンセラー。  一人の“無資格医”と、彼を愛した二人のアキコ。運命の第2章が幕を開ける!  亜希子(木村文乃)と結婚した三郎(長谷川博己)の前に、明子(稲森いずみ)が現れた。副院長の座を与えられ着実に“階段”を昇る三郎。しかし明子の存在に戦々恐々となる三郎は、確実に追い詰められてゆき……二人のアキコの予見できぬ行動、さらに各々の思惑が交錯するその先には!【演出】岩本仁志【原作】渡辺淳一「雲の階段」(講談社文庫)  【脚本】寺田敏雄【音楽】coba  【主題歌】B’z「核心」(VERMILLION　RECORDS)【制作協力】5年D組</t>
  </si>
  <si>
    <t>番組名雲の階段　#7</t>
  </si>
  <si>
    <t>長谷川博己、稲森いずみ、木村文乃  萩原聖人、青柳翔、優希美青  市川実和子、秋山菜津子、デビット伊東、やべきょうすけ  金田明夫、多岐川裕美、内藤剛志　(他)原作は、「失楽園」などで知られる渡辺淳一のミリオンセラー。  一人の“無資格医”と、彼を愛した二人のアキコ。運命の第2章!  三郎(長谷川博己)は田坂(内藤剛志)にニセ医者だとバレていた!  明子(稲森いずみ)を疑った三郎は家を訪ね詰問する。  一方、亜希子(木村文乃)は妊娠が判明。  更に高岡(萩原聖人)の策略で三郎の過去を知る男が出現し、金を要求する……。  三郎は医者として“階段”を昇り続けられるか?!【演出】日暮謙【原作】渡辺淳一「雲の階段」(講談社文庫)  【脚本】寺田敏雄【音楽】coba  【主題歌】B’z「核心」(VERMILLION　RECORDS)【制作協力】5年D組</t>
  </si>
  <si>
    <t>番組名雲の階段　#8</t>
  </si>
  <si>
    <t>長谷川博己、稲森いずみ、木村文乃、  萩原聖人、青柳翔、優希美青・キムラ緑子、半海一晃  市川実和子、秋山菜津子  金田明夫、大友康平、内藤剛志　(他)原作は「失楽園」などで知られる渡辺淳一のミリオンセラー。  一人の“無資格医”と彼を愛した二人のアキコ。運命の第2章、終焉!  無謀な手術で失態を演じた三郎(長谷川博己)は田坂(内藤剛志)から一切の医療行為を禁じられる。音信不通となる三郎。不安を募らせた亜希子(木村文乃)は明子(稲森いずみ)の元を訪ねる。一方、三郎は独り美琴島を訪れていた。  生きる意味を見出せなくなった三郎は、死の扉に手をかけた……!【演出】猪股隆一【原作】渡辺淳一「雲の階段」(講談社文庫)  【脚本】寺田敏雄【音楽】coba  【主題歌】B’z「核心」(VERMILLION　RECORDS)【制作協力】5年D組</t>
  </si>
  <si>
    <t>番組名雲の階段　#9</t>
  </si>
  <si>
    <t>長谷川博己、稲森いずみ、木村文乃  萩原聖人、青柳翔、優希美青  市川実和子、秋山菜津子、デビット伊東  金田明夫、多岐川裕美、内藤剛志　(他)原作は、「失楽園」などで知られる渡辺淳一のミリオンセラー。  一人の“無資格医”と、彼を愛した二人のアキコ。ついに運命の最終章!!  副院長・三郎(長谷川博己)は、医師として残された短い時間の中で、救命救急センターの設立を目指す。  一方、三郎を無資格医と知った亜希子(木村文乃)と、側で見守る明子(稲森いずみ)は……!  夢が軌道に乗りかけたその時、三郎の正体が世間に知れ渡ってしまう……。【演出】岩本仁志【原作】渡辺淳一「雲の階段」(講談社文庫)  【脚本】寺田敏雄【音楽】coba  【主題歌】B’z「核心」(VERMILLION　RECORDS)【制作協力】5年D組</t>
  </si>
  <si>
    <t>番組名雲の階段　#10</t>
  </si>
  <si>
    <t>長谷川博己、稲森いずみ、木村文乃  萩原聖人、青柳翔、優希美青  加賀まりこ、多岐川裕美、大友康平、内藤剛志　(他)原作は、「失楽園」などで知られる渡辺淳一のミリオンセラー。  一人の“無資格医”と彼を愛した二人のアキコ。ついに運命の最終回!!    亜希子(木村文乃)の手術を終えた無資格医の三郎(長谷川博己)が、ついに逮捕される。  母・喜美枝(加賀まりこ)や明子(稲森いずみ)たちが見つめる裁判で、自分はどういう人間なのか、訥々と語る三郎。    二人のアキコの間で揺れ動いた三郎が、最後に選んだ帰るべき場所とは……!?【演出】猪股隆一【原作】渡辺淳一「雲の階段」(講談社文庫)  【脚本】寺田敏雄【音楽】coba  【主題歌】B’z「核心」(VERMILLION　RECORDS)【制作協力】5年D組</t>
  </si>
  <si>
    <t>1304_NTV_木23</t>
  </si>
  <si>
    <t>でたらめヒーロー</t>
  </si>
  <si>
    <t>番組名でたらめヒーロー★出演:佐藤隆太、塚本高史、本仮屋ユイカ、小日向文世★</t>
  </si>
  <si>
    <t>久住健太:佐藤隆太  丹波修司:塚本高史  倉田夏輝:本仮屋ユイカ  久住大地:秋元黎(子役)  白井麻里:原幹恵  黒木慶:小日向文世仕事なし、彼女なし、借金ありの久住健太(佐藤隆太)は、正義感の強いコンビニ店員・夏輝(本仮屋ユイカ)と口論したり、合コン好きな幼馴染の警官・修司(塚本高史)にも金をせびるクズ男。そんな健太の元に、姉の息子を名乗る久住大地(秋元黎)が現れる。ある日、借金が原因でヤクザに殺されそうになった時、大地から奪ったドロップを口にすると、突然超人的なパワーを発揮する!クズ男の健太は、「ヒーロー」になれるのか?【主題歌】  「HEROES」GReeeeN(UNIVERSAL　MUSIC)4月4日(木)「スッキリ!!」に佐藤隆太さん・塚本高史さん、「PON!」佐藤隆太さん、「ヒルナンデス!」塚本高史さん・本仮屋ユイカさん、「情報ライブミヤネ屋」に佐藤隆太さんが生出演します!4月4日(木)夜9時からの「芸能界!1万人のイメージVS身内の真実」に佐藤隆太さん・塚本高史さんが出演します!  (一部地域を除きます)http://www.ytv.co.jp/hero/</t>
  </si>
  <si>
    <t>番組名でたらめヒーロー#3『合コンの罠』★佐藤隆太×塚本高史×本仮屋ユイカ★</t>
  </si>
  <si>
    <t>久住健太:佐藤隆太  丹波修司:塚本高史  倉田夏輝:本仮屋ユイカ  久住大地:秋元黎(子役)  白井麻里:原幹恵  丹波早苗:小野真弓  　　彩子:上野なつひ  黒木慶:小日向文世主人公の久住健太は、正真正銘のクズ男。  「仕事嫌だ。彼女欲しい。気付けば賭博で借金苦…。おまけに姉さんの甥っ子まで面倒みる事になっちまった。人生ってめんどくせぇ!」  そんなクズ男が、謎のドロップを舐めると、10分間だけ超人パワーを発揮!その力を知った、親友の警察官・丹波修司から言葉巧みに事件解決を強要されることに…  果たして、クズ男・健太はヒーローになる事ができるのか?  クズ男の活躍、乞うご期待!【主題歌】  「HEROES」GReeeeN(UNIVERSAL　MUSIC)オフショット満載の『facebook』はこちら  http://ja-jp.facebook.com/ytv.hero  ★いいね!おして下さい!★    『LINE』はこちら  友だち検索→でたらめヒーローhttp://www.ytv.co.jp/hero/</t>
  </si>
  <si>
    <t>番組名でたらめヒーロー#5『許せない因縁の男』佐藤隆太×塚本高史×小日向文世</t>
  </si>
  <si>
    <t>久住健太:佐藤隆太  丹波修司:塚本高史  倉田夏輝:本仮屋ユイカ  久住大地:秋元黎(子役)  白井麻里:原幹恵  丹波早苗:小野真弓  吉岡孝則:近江谷太朗  黒木慶:小日向文世返済を迫られた健太は、再会した以前の上司・吉岡(近江谷太朗)の「金に困ったら連絡しろ」という言葉を思い出し、吉岡と接触する。ところが、その吉岡と健太に危機が襲いかかる…。    吉岡との再会を機に、健太の過去も徐々に明らかに…!健太がクズになった理由とは…?そして、健太の事が気になりかけている夏輝(本仮屋ユイカ)。大ゲンカの末家出してしまう大地(秋元黎)。健太を中心とした人間関係が動きはじめる…!【主題歌】  「HEROES」GReeeeN(UNIVERSAL　MUSIC)オフショット満載の『facebook』はこちら  http://ja-jp.facebook.com/ytv.hero  ★いいね!おして下さい!★  『LINE』はこちら  友だち検索→でたらめヒーローhttp://www.ytv.co.jp/hero/主人公の久住健太は、正真正銘のクズ男。そんなクズ男が、謎のドロップを舐めると、10分間だけ超人パワーを発揮!果たして、クズ男・健太はヒーローになる事ができるのか?</t>
  </si>
  <si>
    <t>番組名でたらめヒーロー#6『人気アイドルに殺人予告』佐藤隆太×宮澤佐江★★</t>
  </si>
  <si>
    <t>久住健太:佐藤隆太  丹波修司:塚本高史  倉田夏輝:本仮屋ユイカ  久住大地:秋元黎(子役)  白井麻里:原幹恵  丹波早苗:小野真弓  星野萌絵:宮澤佐江(SNH48/AKB48)  黒木慶:小日向文世ボディーガードになった健太だったが、萌絵のワガママに嫌気がさし、ついに辞めてしまう。  一方、公園で似顔絵を描く夏輝(本仮屋ユイカ)に接近する黒木(小日向文世)。  そして黒木は健太に、「いくらでも払う」とドロップの取引を持ちかける。  迷う健太に、修司から萌絵が何者かに拉致されたという連絡が。    「ドロップの力で助けてくれ!」    金をとるかヒーローをとるか…迷った末に健太が出した答えとは…?【主題歌】  「HEROES」GReeeeN(UNIVERSAL　MUSIC)オフショット満載の『facebook』はこちら  http://ja-jp.facebook.com/ytv.hero  ★いいね!おして下さい!★  『LINE』はこちら  友だち検索→でたらめヒーローhttp://www.ytv.co.jp/hero/主人公の久住健太は、正真正銘のクズ男。そんなクズ男が、謎のドロップを舐めると、10分間だけ超人パワーを発揮!果たして、クズ男・健太はヒーローになる事ができるのか?</t>
  </si>
  <si>
    <t>番組名でたらめヒーロー#7「連続通り魔の正体!?」佐藤隆太×塚本高史×秋元黎</t>
  </si>
  <si>
    <t>久住健太:佐藤隆太  丹波修司:塚本高史  倉田夏輝:本仮屋ユイカ  久住大地:秋元黎  白井麻里:原幹恵  黒木慶:小日向文世    ☆今回のゲスト☆  小林光男:尾上寛之  ☆初登場☆  芹沢春樹:西村和彦健太の前に現れた襲撃犯。それは…ゴーグルZ!?なんと闇討ち犯の正体は、健太と同じゴーグルZの衣装を着た偽者、偽ゴーグルZ2号だったのだ!本物vs偽者の対決!その戦いに夏輝(本仮屋ユイカ)も巻き込まれ、身に危険が迫る…。    果たして健太は、本物vs偽者の対決に勝つことができるのか!?偽ゴーグルZ2号との戦いの中で健太が思い出したのは、大地(秋元黎)に言われた「真のヒーロー」になるための極意だった…!【主題歌】  「HEROES」GReeeeN(UNIVERSAL　MUSIC)オフショット満載の『facebook』はこちら  http://ja-jp.facebook.com/ytv.hero  ★いいね!おして下さい!★  『LINE』はこちら  友だち検索→でたらめヒーローhttp://www.ytv.co.jp/hero/主人公の健太は最低最悪なクズ男。その正義の味方とは真逆の男が、謎のドロップを舐めると10分間だけ超人パワーを発揮してヒーローに…。そんな、映画やアニメにおける&lt;ヒーローもの&gt;の常識を覆す新感覚ドラマ</t>
  </si>
  <si>
    <t>番組名でたらめヒーロー#8『かつてのライバルとの対決の行方は…!?』佐藤隆太</t>
  </si>
  <si>
    <t>久住健太:佐藤隆太  丹波修司:塚本高史  倉田夏輝:本仮屋ユイカ  久住大地:秋元黎  白井麻里:原幹恵  芹沢春樹:西村和彦  黒木慶:小日向文世    ☆今回のゲスト☆  青木昇:川村陽介青木との再会で、ふと、高校時代の喫煙騒ぎを思い出す。健太は煙草など吸っていなかった。でも、唯一の味方だと思っていた姉・恭子さえも信じてくれなかった…。それから俺の転落人生が始まったんだ…。しかし、そこに意外な人物が現れ恭子の真実を告げる。それを知った健太は、立て籠もり事件を起こす青木のもとに向かうが…!?    共にやさぐれてしまったかつてのライバルとの対決。そして、二人が対決の先に見えたものとは…?【主題歌】  「HEROES」GReeeeN(UNIVERSAL　MUSIC)オフショット満載の『facebook』はこちら  http://ja-jp.facebook.com/ytv.hero  ★いいね!おして下さい!★    『LINE』はこちら  友だち検索→でたらめヒーローhttp://www.ytv.co.jp/hero/主人公の健太は最低最悪なクズ男。その正義の味方とは真逆の男が、謎のドロップを舐めると10分間だけ超人パワーを発揮してヒーローに…。そんな、映画やアニメにおける&lt;ヒーローもの&gt;の常識を覆す新感覚ドラマ!</t>
  </si>
  <si>
    <t>番組名でたらめヒーロー#11≪商品券10万円分GETクイズ!詳細は番組HPで≫</t>
  </si>
  <si>
    <t>久住健太:佐藤隆太  丹波修司:塚本高史  倉田夏輝:本仮屋ユイカ  久住大地:秋元黎  白井麻里:原幹恵  丹波早苗:小野真弓  芹沢春樹:西村和彦  黒木慶:小日向文世麻里と夏輝との間で心揺れる健太。一方、かつて健太に捕まったコンビニ強盗犯・桜木が、ゴーグルZ2号に復讐するため、拘置所から逃亡。会社員を脅迫し、2号にやられたという偽の被害届を出させる。2号の存在を危険視した警察上層部の思惑も重なり、指名手配されてしまう健太。大地が残していったドロップを使って難を逃れるが、その時、健太の逮捕を命じられた修司(塚本高史)が現れ、健太に銃口を向ける…!【主題歌】  「HEROES」GReeeeN(UNIVERSAL　MUSIC)http://www.ytv.co.jp/hero/オフショット満載の『facebook』はこちら  http://ja-jp.facebook.com/ytv.hero  ★いいね!おして下さい!★  『LINE』はこちら  友だち検索→でたらめヒーロー【視聴者クイズ】  でたらめヒーローを見て商品券10万円をGETしよう!「今回の放送で健太が食べたドロップの色は何色?」番組放送中に応募が可能です。詳しくは番組HPまで!!</t>
  </si>
  <si>
    <t>1304_NTV_土21</t>
  </si>
  <si>
    <t>35歳の高校生</t>
  </si>
  <si>
    <t>番組名35歳の高校生　#1</t>
  </si>
  <si>
    <t>米倉涼子、溝端淳平、片瀬那奈、升毅、横山めぐみ、榎木孝明、渡哲也　ほか新学期。高校3年生になった少年少女たちのもとに1人の編入生がやってきた。彼女の名前は、馬場亜矢子(米倉涼子)35歳の高校生だ!彼女の素性は名前と年齢以外すべて謎。教師も生徒も亜矢子を好奇のまなざしで見つめ、クラスメートたちは「ババア」と呼んでからかうが、亜矢子は「友達100人作りたいと思ってるんで、よろしくお願いします」と言い放つ。【演出】佐久間紀佳【音楽】横山克  【主題歌】EXILEデータ放送にて「35歳の高校生」のスペシャルプレゼント企画を実施します。  お楽しみに!!</t>
  </si>
  <si>
    <t>番組名35歳の高校生　#2</t>
  </si>
  <si>
    <t>米倉涼子、溝端淳平、片瀬那奈、升毅、横山めぐみ、榎木孝明、渡哲也　ほかある日、生徒たちから悩みを訴えてもらうために目安箱が設置される。その中に無記名で“たすけて”と書かれた投書が見つかる。馬場亜矢子(米倉涼子)は、クラスメイトの山下愛(水野絵梨奈)が、仲間に買い物を押し付けられているところを見かけ、愛に「いじめられてるの」と尋ねるが、愛は“いじめられている”のではなく“いじられてあげている”だけだと笑い飛ばす。そんな矢先、愛が階段の上から転げ落ち大けがを負ってしまう【演出】佐久間紀佳【脚本】山浦雅大【音楽】横山克  【主題歌】EXILE</t>
  </si>
  <si>
    <t>番組名35歳の高校生　#3</t>
  </si>
  <si>
    <t>米倉涼子、溝端淳平、片瀬那奈、升毅、横山めぐみ、榎木孝明、渡哲也　ほか亜矢子(米倉涼子)は、学校全体がスクールカーストと言う階級制度に支配されている事を知る。生徒たちは、1軍、2軍、3軍にランク付けされ、ランキングは生徒たちの間に流れる微妙な空気で入れ替わる為、生徒たちお互いの順位を常に気にしていた。ある日、親友だった2軍の三枝と大竹は1軍の正光の「その髪型なんとかしたら?」の一言で大竹は空気を読み、クラス全員の前で三枝の髪を切ってしまう。【演出】佐久間紀佳【脚本】高橋悠也【音楽】横山克  【主題歌】EXILE</t>
  </si>
  <si>
    <t>番組名35歳の高校生　#4</t>
  </si>
  <si>
    <t>米倉涼子、溝端淳平、片瀬那奈、升毅、横山めぐみ、榎木孝明、渡哲也　ほか亜矢子(米倉涼子)が編入して1ヶ月。亜矢子には4人の友達が出来た。クラスの空気も1軍の事なども気にせず教室で楽しそうに過ごす亜矢子が気に入らない1軍の正光(菅田将暉)たちは、亜矢子を敵視する。そんな中、社会科教師の猿渡(東根作寿英)が通勤中のバスの中で痴漢の容疑をかけられるという事件が起こる。猿渡は否定するが誰にも聞き入れてもらえず、追い詰められた猿渡は突然、教室の窓から飛び降りてしまった!【演出】南雲聖一【脚本】高橋悠也【音楽】横山克  【主題歌】EXILE</t>
  </si>
  <si>
    <t>番組名35歳の高校生　#5</t>
  </si>
  <si>
    <t>米倉涼子、溝端淳平、片瀬那奈、升毅、横山めぐみ、榎木孝明、渡哲也　ほか文化祭が近づき3Aの出し物はおばけ屋敷になった。しかし、作業をまったくしない梨花子(宮崎香蓮)や1軍生徒に対して2軍3軍の不満は高まる。そしてついに亜矢子(米倉涼子)が、不満をぶつけると、梨花子は激怒し机の上にあったカッターを握り自分の制服を切り刻んだ!そして「もうどうでもいい」と教室を出て行ってしまう。その翌日、小泉(溝端淳平)に驚くべき情報が入る。梨花子がキャバクラで働いているというのだ!【演出】南雲聖一【脚本】山浦雅大【音楽】横山克  【主題歌】EXILE</t>
  </si>
  <si>
    <t>番組名35歳の高校生　#6</t>
  </si>
  <si>
    <t>米倉涼子、溝端淳平、片瀬那奈、升毅、横山めぐみ、榎木孝明、渡哲也　ほか　美月(新川優愛)と、萌(小島藤子)は駅伝部のエースとして、全国大会出場が期待されていた。しかし、予選当日、萌がケガをしてしまい、代わりに出場した2軍の衛藤(森川葵)は途中でリタイアしてしまう。その夜、駅伝部の部室で事件は起こった!悲鳴を聞いた萌が部室へ行くと、ロッカーの下敷きになった衛藤を発見する。しかし、亜矢子(米倉涼子)と北島(相葉裕樹)が駆け付けた時、萌の姿はなかったーーー【演出】佐久間紀佳【脚本】高橋悠也【音楽】横山克  【主題歌】EXILE「Flower　Song」(rhythm　zone)</t>
  </si>
  <si>
    <t>番組名35歳の高校生　#7</t>
  </si>
  <si>
    <t>米倉涼子、溝端淳平、片瀬那奈、升毅、横山めぐみ、榎木孝明、渡哲也　ほかある朝、亜矢子(米倉涼子)は、美月(新川優愛)の様子がいつもと違うのに気付く。すると、美月が突然クラス全員の前で「私…盗撮されてるんです」と言い出した。翌日、3Aでティーンコートが開かれる事に。亜矢子は盗撮問題を議題にすべきだと提案。すると美月は「犯人はわかってる。優奈(北山詩織)だ」と告発。それに対して、優奈は完全否定するが、美月を盗撮したカメラの映像から、優奈が飼っている猫の映像が出てきてーー【演出】西野真貴【脚本】山浦雅大【音楽】横山克  【主題歌】EXILE「Flower　Song」(rhythm　zone)</t>
  </si>
  <si>
    <t>番組名35歳の高校生　#8</t>
  </si>
  <si>
    <t>米倉涼子、溝端淳平、片瀬那奈、升毅、横山めぐみ、榎木孝明、渡哲也　ほか小泉(溝端淳平)は、衛藤(森川葵)から、ストーカーに付きまとわれて困っているので恋人のふりをしてほしい「好きです」と告白される。学校帰り、仕方なく小泉が衛藤を送って行くと、そんな2人を物陰から盗撮する人影が…。数日後、小泉と衛藤が抱き合っている動画が、“禁断の恋”として裏サイトに公開され、学校中に知れ渡ってしまう。さらに、小泉が前任校の女子生徒と抱き合う様子を映した動画も一緒に公開されてーーー。【演出】南雲聖一【脚本】高橋悠也【音楽】横山克  【主題歌】EXILE「Flower　Song」(rhythm　zone)</t>
  </si>
  <si>
    <t>番組名35歳の高校生　#9</t>
  </si>
  <si>
    <t>米倉涼子、溝端淳平、片瀬那奈、升毅、横山めぐみ、榎木孝明、渡哲也　ほか亜矢子(米倉涼子)たち3Aはキャンプを行うことになった。しかし、食事はすべて自給自足の上、生徒同士の投票で不要な人間を追放していくと言う“サバイバルキャンプ”1回目の投票で追放となったのは亜矢子。亜矢子の事が気に入らない正光が、2軍3軍の生徒を脅して亜矢子を追放させたのだ!亜矢子がいなくなったキャンプは、すっかり元の空気に戻り正光たち1軍が支配。そんな中、次に追放が決まったのは、なんと正光だった!【演出】佐久間紀佳【脚本】山浦雅大【音楽】横山克  【主題歌】EXILE</t>
  </si>
  <si>
    <t>番組名35歳の高校生　#10</t>
  </si>
  <si>
    <t>米倉涼子、溝端淳平、片瀬那奈、升毅、横山めぐみ、榎木孝明、渡哲也　ほか裏サイトで行われていた3Aのランキングが全員同じ点数になり、スクールカーストはなくなったかのように思われた。生徒たちは亜矢子(米倉涼子)のお蔭だと感謝する。そんな中、亜矢子が阿佐田(渡哲也)の指令を受けてスパイとして編入し、高校生を使った人体実験を行っていると告発する文書が生徒の間に広まる。動揺する生徒たち。正光は本当のことをはっきりさせるために、“魔女裁判”をやろうと亜矢子を挑発する。【演出】南雲聖一【脚本】高橋悠也【音楽】横山克  【主題歌】EXILE</t>
  </si>
  <si>
    <t>番組名35歳の高校生　#11</t>
  </si>
  <si>
    <t>米倉涼子、溝端淳平、片瀬那奈、升毅、横山めぐみ、榎木孝明、渡哲也　ほか亜矢子(米倉涼子)に対する3Aでの“魔女裁判”が続いていた。裁判の途中、正光は、亜矢子を屋上へ呼び出した。そこへ突然、阿久津(山崎賢人)が現れ「全部、僕のしたことだ、君は調子に乗り過ぎたよ」と、正光にナイフを突き付けて教室へ向う。そして、胸の内をすべて語った阿久津は手に持ったナイフに力を入れ正光を追い詰める。しかし、阿久津のナイフは、正光を庇うように立ちはだかった亜矢子に突き刺さったーーー【演出】南雲聖一【脚本】山浦雅大【音楽】横山克  【主題歌】EXILE</t>
  </si>
  <si>
    <t>1301_NTV_水22</t>
  </si>
  <si>
    <t>シェアハウスの恋人</t>
  </si>
  <si>
    <t>番組名シェアハウスの恋人　#1</t>
  </si>
  <si>
    <t>水川あさみ、大泉洋、中島裕翔(Hey!Say!JUMP)、川口春奈、君野夢真、  木南晴夏、半海一晃、須藤理彩、もたいまさこ、谷原章介恋人なし、友人なし、友は深夜のコンビニというOL・汐(水川あさみ)は孤独に押しつぶされそうになったある夜、コンビニで新人店員らしい男・雪哉(谷原章介)と出会い、小さなトキメキを覚える。そんな中、自分を変えられたらとシェアハウスに引越し、きさくな辰平(大泉洋)と出会う。「宇宙から来た」という告白に汐は冗談と相手にしない。一方「こんな所に住んだらますます結婚が遠のく」と弟の凪(中島裕翔)は心配する。【演出】南雲聖一【脚本】水橋文美江ほか【音楽】菅野祐悟  【主題歌】「beautiful」絢香【制作協力】オフィスクレッシェンド</t>
  </si>
  <si>
    <t>番組名シェアハウスの恋人　#2</t>
  </si>
  <si>
    <t>水川あさみ、大泉洋、中島裕翔(Hey!Say!JUMP)、川口春奈、君野夢真、  木南晴夏、半海一晃、須藤理彩、もたいまさこ、谷原章介OLの汐(水川あさみ)と宇宙人という辰平(大泉洋)、過去に傷を持つ雪哉(谷原章介)のシェアハウスでの生活が始まった。雪哉は汐や辰平に心を開くどころか、シェアハウスのルールを守る気すらなく、汐と辰平は振り回されるばかりだった。そんな中、汐のもとに雪哉の妻(須藤理彩)が書いた離婚届が届く。一方、汐を心配した弟の凪(中島裕翔)と恋人のカオル(川口春奈)は雪哉を追い出そうと様々な罠を仕掛けるのだが・・・【演出】南雲聖一【脚本】水橋文美江、山岡真介【音楽】菅野祐悟  【主題歌】「beautiful」　絢香【制作協力】オフィスクレッシェンド</t>
  </si>
  <si>
    <t>番組名シェアハウスの恋人　#3</t>
  </si>
  <si>
    <t>水川あさみ、大泉洋、中島裕翔(Hey!Say!JUMP)、川口春奈、君野夢真、  木南晴夏、半海一晃、須藤理彩、もたいまさこ、谷原章介雪哉(谷原章介)が辰平(大泉洋)に愛を告白。ショックを受ける汐(水川あさみ)と戸惑う辰平だったが、まずは雪哉に就職してもらおうと、2人は雪哉の履歴書を作ったり、スーツを買ったりと大忙し。汐の同僚のメグ(木南晴夏)が父親のコネで就職先を紹介してくれることになり、何とか面接まで漕ぎつけるが・・・とんでもない結果になる。そして、雪哉はなぜ仕事と家庭を捨てたのか、その理由を語り始める。【演出】吉野洋【脚本】山岡真介、水橋文美江【音楽】菅野祐悟  【主題歌】「beautiful」絢香【制作協力】オフィスクレッシェンド</t>
  </si>
  <si>
    <t>番組名シェアハウスの恋人　#4</t>
  </si>
  <si>
    <t>水川あさみ、大泉洋、中島裕翔(Hey!Say!JUMP)、川口春奈、君野夢真、木南晴夏、半海一晃、須藤理彩、もたいまさこ、谷原章介【ゲスト】鈴木福 雪哉(谷原章介)からハンカチを渡されるという思いがけない優しさにときめく汐(水川あさみ)を見て複雑な思いの辰平(大泉洋)。そんな中、辰平は同僚の香苗(もたいまさこ)の孫・大(鈴木福)を預かることに。大は日曜日の学芸会で主人公の桃太郎を演じるという。練習に励む大の姿に、雪哉は父としての心を刺激される。しかし、学芸会当日、応援に行こうとする汐たちに大は「来なくていい」と言って学校へ行ってしまう・・・ 【演出】中島悟 【脚本】山岡真介、水橋文美江 【音楽】菅野祐悟【主題歌】「beautiful」絢香 【制作協力】オフィスクレッシェンド</t>
  </si>
  <si>
    <t>番組名シェアハウスの恋人　#5</t>
  </si>
  <si>
    <t>水川あさみ、大泉洋、中島裕翔(Hey!Say!JUMP)、川口春奈、木南晴夏、半海一晃、須藤理彩、もたいまさこ、谷原章介 雪哉(谷原章介)の妻・真希(須藤理彩)に背中を押され、雪哉に告白することを決意した汐(水川あさみ)。辰平(大泉洋)の協力を得て告白しようと試みるが、うまく話ができず失敗に終わる。そこで汐はバレンタインにラブレターを渡すことに。辰平が雪哉の気持ちを探ると、バレンタインを毛嫌いしていること、「もし汐に告白されたらシェアハウスを出て行く」と知り、大慌て。辰平は、汐の告白を阻止しようと奔走することに・・・ 【演出】南雲聖一 【脚本】山岡真介、水橋文美江 【音楽】菅野祐悟【主題歌】「beautiful」絢香 【制作協力】オフィスクレッシェンド</t>
  </si>
  <si>
    <t>番組名シェアハウスの恋人　#6</t>
  </si>
  <si>
    <t>水川あさみ、大泉洋、中島裕翔(Hey!Say!JUMP)、木南晴夏、半海一晃、林泰文、工藤里紗、もたいまさこ、谷原章介 辰平(大泉洋)から告白を受けたショックで汐(水川あさみ)は声が出なくなる。心配した辰平と雪哉(谷原章介)、弟の凪(中島裕翔)らは、大きな声を出す状況を作れば元に戻るかもと汐をスキー場に連れて行く。作戦は失敗するが、偶然汐はある男性と再会し、思わず声を出す。そして声を出した理由を知った雪哉は意外な行動に出る。その夜、汐は高熱で倒れ、辰平は看病に右往左往する。そんな中、汐は辰平の深い愛情を知り・・・ 【演出】中島悟 【脚本】山岡真介、水橋文美江 【音楽】菅野祐悟【主題歌】「beautiful」絢香 【制作協力】オフィスクレッシェンド</t>
  </si>
  <si>
    <t>番組名シェアハウスの恋人　#7</t>
  </si>
  <si>
    <t>水川あさみ、大泉洋、中島裕翔(Hey!Say!JUMP)、川口春奈、君野夢真、もたいまさこ、谷原章介【ゲスト】黒沢かずこ(森三中) 「汐ちゃんに幸せになって欲しくて、俺はこの星に来たんだよ」という辰平(大泉洋)の告白を聞いて以来、汐(水川あさみ)は辰平が気になり始める。そんな中、汐は元同僚の結婚式で明海(黒沢かずこ)と出会う。明海は雪哉(谷原章介)のアルバイト先の同僚で、雪哉に告白をしようと突然シェアハウスにやってくる。明海の想いに心を大きく動かされた汐は、悩んだ末ある決断をする。そして、それを知った辰平の体に異変が起きる!? 【演出】南雲聖一 【脚本】山岡真介、水橋文美江 【音楽】菅野祐悟【主題歌】「beautiful」絢香 【制作協力】オフィスクレッシェンド</t>
  </si>
  <si>
    <t>番組名シェアハウスの恋人　#8</t>
  </si>
  <si>
    <t>水川あさみ、大泉洋、中島裕翔(Hey!Say!JUMP)、川口春奈、木南晴夏、半海一晃、もたいまさこ、谷原章介 辰平(大泉洋)の体が突然光り、雪哉(谷原章介)は汐(水川あさみ)に知らせるが、汐は素直になれず2人に暴言を吐いてしまう。そして、再び辰平の体が光る。光は星の仲間からの交信によるもので、地球に迎えに来るという。そんな中、凪(中島裕翔)とカオル(川口春奈)は辰平が口ずさんだ故郷の星の歌の歌詞を解読。その意味を聞いた汐は、自分の本当の気持ちに気付き、辰平に告白をする。そして、2人は両想いになるが・・・ 【演出】中島悟 【脚本】山岡真介、水橋文美江 【音楽】菅野祐悟【主題歌】「beautiful」絢香 【制作協力】オフィスクレッシェンド</t>
  </si>
  <si>
    <t>番組名シェアハウスの恋人　#9</t>
  </si>
  <si>
    <t>水川あさみ、大泉洋、中島裕翔(Hey!Say!JUMP)、川口春奈、木南晴夏、  君野夢真、半海一晃、須藤理彩、もたいまさこ、谷原章介ついに両想いになった汐(水川あさみ)と辰平(大泉洋)だが久々の恋に戸惑うばかり。  そんな中、雪哉(谷原章介)の妻・真希(須藤理彩)が上京し、2人は汐と辰平のデートに付き合うことに。そして真希は雪哉に本音をぶちまけ、雪哉は空知(君野夢真)のためにある決断をする。一方、辰平は悩んだ末、星の仲間が迎えに来る日が2日後に迫っていることを汐に告白する。そして、辰平が旅立つ満月の夜が・・・この恋の結末は?【演出】南雲聖一【脚本】山岡真介、水橋文美江【音楽】菅野祐悟  【主題歌】「beautiful」絢香【制作協力】オフィスクレッシェンド</t>
  </si>
  <si>
    <t>1301_NTV_土21</t>
  </si>
  <si>
    <t>泣くな、はらちゃん</t>
  </si>
  <si>
    <t>番組名泣くな、はらちゃん　#1</t>
  </si>
  <si>
    <t>長瀬智也、麻生久美子、丸山隆平、忽那汐里、賀来賢人、菅田将暉、清水優、稲川実代子、小松和重、甲本雅裕、光石研、奥貫薫、白石加代子、薬師丸ひろ子　ほか漫画の世界から飛び出した“はらちゃん”が、人間の女性に恋をした。    はらちゃん(長瀬智也)が住んでいるのは紙の中。彼は、漫画の主人公なのである。  そんなある日奇跡が起き、はらちゃんは現実の世界に飛び出した。    初めて見る現実の世界に一つ一つ感動しながら、はらちゃんは1人の女性に恋をする。  それはなんと、自分たちを描いている“神様”とも呼ぶべき人物・越前さん(麻生久美子)だった!!【演出】菅原伸太郎【脚本】岡田惠和【音楽】井上鑑  【主題歌】TOKIO【制作協力】トータルメディアコミュニケーション</t>
  </si>
  <si>
    <t>番組名泣くな、はらちゃん　#2</t>
  </si>
  <si>
    <t>長瀬智也、麻生久美子、丸山隆平、忽那汐里、賀来賢人、菅田将暉、清水優、稲川実代子、小松和重、甲本雅裕、光石研、奥貫薫、白石加代子、薬師丸ひろ子　ほか漫画の世界に戻ったはらちゃん(長瀬智也)は、越前さんの事ばかり考えていた。一方、越前さん(麻生久美子)は、工場で命じられた新作かまぼこ募集のポスターを渋々描いていたが、「やるならちゃんとやれ!!」と清美(忽那汐里)に罵倒されてしまう。そこへ現れたはらちゃんは、「あなたの事が気になって気になって仕方がないんです」と、まるで愛の告白のような言葉を口にする。その気持ちが「恋」だと知ったはらちゃんは・・・【演出】菅原伸太郎【脚本】岡田惠和【音楽】井上鑑  【主題歌】TOKIO【制作協力】トータルメディアコミュニケーション</t>
  </si>
  <si>
    <t>番組名泣くな、はらちゃん　#3</t>
  </si>
  <si>
    <t>長瀬智也、麻生久美子、丸山隆平、忽那汐里、賀来賢人、菅田将暉、清水優、稲川実代子、小松和重、甲本雅裕、光石研、奥貫薫、白石加代子、薬師丸ひろ子　ほか 「越前さんと両思いになります!!」そう宣言するはらちゃん(長瀬智也)だが、越前さん(麻生久美子)は「恋はしない」とノートに書き綴る。それでも諦めないはらちゃんは、越前さんと両思いになるべく奔走する。「自分をもう少し好きになれないと越前さんは恋に進めない。すぐに諦めちゃうし・・・」と、百合子から聞いたはらちゃんは・・・。 【演出】狩山俊輔 【脚本】岡田惠和 【音楽】井上鑑【主題歌】TOKIO 【制作協力】トータルメディアコミュニケーション</t>
  </si>
  <si>
    <t>番組名泣くな、はらちゃん　#4</t>
  </si>
  <si>
    <t>長瀬智也、麻生久美子、丸山隆平、忽那汐里、賀来賢人、菅田将暉、清水優、稲川実代子、小松和重、甲本雅裕、光石研、奥貫薫、白石加代子、薬師丸ひろ子　ほか 自分の住む世界が漫画の中だと考えたはらちゃん(長瀬智也)は、越前さん(麻生久美子)に確認してみようと決意する。一方、現実の世界はもうすぐバレンタイン。そわそわしている田中くん(丸山隆平)や清美(忽那汐里)の中、越前さんも、はらちゃんの事が気になっていた。しかし、なかなか素直になれず、再び現れたはらちゃんをついつい突き放してしまう。そんな中、越前さんが風邪で仕事を早退したと聞いたはらちゃんは・・・ 【演出】狩山俊輔 【脚本】岡田惠和 【音楽】井上鑑【主題歌】TOKIO 【制作協力】トータルメディアコミュニケーション</t>
  </si>
  <si>
    <t>番組名泣くな、はらちゃん　#5</t>
  </si>
  <si>
    <t>長瀬智也、麻生久美子、丸山隆平、忽那汐里、賀来賢人、菅田将暉、清水優、稲川実代子、小松和重、甲本雅裕、光石研、奥貫薫、白石加代子、薬師丸ひろ子　ほか ついに、はらちゃん(長瀬智也)が漫画の中の人物だという事を知る越前さん(麻生久美子)。目の前でノートから飛び出したり消えたりするはらちゃんの姿に、戸惑いを隠せない。そんな中、はらちゃんと共に現実世界に飛び出していたマキヒロ(賀来賢人)は、偶然出会った清美(忽那汐里)に一目惚れしてしまう。一方、玉田(光石研)から「キス」というものを教えられたはらちゃんは・・・。 【演出】菅原伸太郎、狩山俊輔 【脚本】岡田惠和 【音楽】井上鑑【主題歌】TOKIO 【制作協力】トータルメディアコミュニケーション</t>
  </si>
  <si>
    <t>番組名泣くな、はらちゃん　#6</t>
  </si>
  <si>
    <t>長瀬智也、麻生久美子、丸山隆平、忽那汐里、賀来賢人、菅田将暉、清水優、稲川実代子、小松和重、甲本雅裕、光石研、奥貫薫、白石加代子、薬師丸ひろ子　ほか ついに、はらちゃん(長瀬智也)の事が好きだと告白した越前さん(麻生久美子)。そんな中、清美(忽那汐里)が越前さんのもとへ、「マキヒロ(賀来賢人)に会わせて」と頼みにくる。夜のかまぼこ工場ではらちゃんとマキヒロを呼び出すと、清美はマキヒロと、越前さんははらちゃんと、それぞれにデートへ向かう。そしてそのデート中、はらちゃんは突然、「結婚しましょう、越前さん」と切り出すが・・・。 【演出】松山雅則 【脚本】岡田惠和 【音楽】井上鑑【主題歌】TOKIO『リリック』(ジェイ・ストーム) 【制作協力】トータルメディアコミュニケーション</t>
  </si>
  <si>
    <t>番組名★4番組連動　春のひな祭りプレゼント!　その(3)★　泣くな、はらちゃん　#7</t>
  </si>
  <si>
    <t>長瀬智也、麻生久美子、丸山隆平、忽那汐里、賀来賢人、菅田将暉、清水優、稲川実代子、小松和重、甲本雅裕、光石研、奥貫薫、白石加代子、薬師丸ひろ子　ほか 「私は、越前さんを苦しめたくありません」そう言い残し、自らノートを開いて消えて行ったはらちゃん(長瀬智也)。そんな中、越前さん(麻生久美子)が机にしまった漫画ノートは、間違えて古紙回収のトラックに積み込まれ、遥か遠くの古紙回収工場へ・・・。遠く知らない場所で、現実の世界に飛び出した、はらちゃんと漫画世界の仲間たち。越前さんのもとへ帰る道中、一人のお父さん(安田顕)と出会ったはらちゃん達は・・・ 【演出】菅原伸太郎、狩山俊輔 【脚本】岡田惠和 【音楽】井上鑑【主題歌】TOKIO 【制作協力】トータルメディアコミュニケーション</t>
  </si>
  <si>
    <t>番組名泣くな、はらちゃん　#8</t>
  </si>
  <si>
    <t>長瀬智也、麻生久美子、丸山隆平、忽那汐里、賀来賢人、菅田将暉、清水優、稲川実代子、小松和重、甲本雅裕、光石研、奥貫薫、白石加代子、薬師丸ひろ子　ほか「神様を助けにいきますよ!!」現実の世界に留まったはらちゃん(長瀬智也)たちが、突然パートさん達に休まれて困っている越前さん(麻生久美子)を救うため、かまぼこ工場でお手伝い。そしてその帰り、越前さんの家の前には百合子(薬師丸ひろ子)の姿が。  百合子を見たユキ姉(奥貫薫)が呟く。「私は、私たちは、あいつに殺されたんだ・・・」百合子とユキ姉の過去を知ったはらちゃんと越前さんは・・・。【演出】菅原伸太郎【脚本】岡田惠和【音楽】井上鑑  【主題歌】TOKIO【制作協力】トータルメディアコミュニケーション</t>
  </si>
  <si>
    <t>番組名泣くな、はらちゃん　#9</t>
  </si>
  <si>
    <t>長瀬智也、麻生久美子、丸山隆平、忽那汐里、賀来賢人、菅田将暉、清水優、稲川実代子、小松和重、甲本雅裕、光石研、奥貫薫、白石加代子、薬師丸ひろ子　ほか現実の世界には、暗く、恐ろしく、悲しい一面もあると知ってしまったはらちゃん(長瀬智也)たち。それでもはらちゃんは、「私はこの世界の人間になりたいです」と主張する。一方、百合子(薬師丸ひろ子)が町を出ようとしていると知った越前さん(麻生久美子)は、百合子を止めようと走り出す。そしてある日、サッカーボールで遊んでいたはらちゃん達は、ボールを悪い人にぶつけてしまい・・・。【演出】狩山俊輔【脚本】岡田惠和【音楽】井上鑑  【主題歌】TOKIO【制作協力】トータルメディアコミュニケーション</t>
  </si>
  <si>
    <t>番組名泣くな、はらちゃん　#10</t>
  </si>
  <si>
    <t>長瀬智也、麻生久美子、丸山隆平、忽那汐里、賀来賢人、菅田将暉、清水優、稲川実代子、小松和重、甲本雅裕、光石研、奥貫薫、白石加代子、薬師丸ひろ子　ほかはらちゃん(長瀬智也)たちを漫画の世界へ帰し、自分自身も漫画の世界へ行ってしまった越前さん(麻生久美子)。心配する漫画世界の面々に、越前さんは「私なんかいなくても、あの世界は何も変わらないんです」と、悲しげに微笑む。はらちゃんは、「そんな越前さんは好きではありません」と、自分の世界と自分自身を好きになろうとしない越前さんを現実の世界に連れ帰そうとする。果たして、二人の恋の行方は・・・?【演出】菅原伸太郎【脚本】岡田惠和【音楽】井上鑑  【主題歌】TOKIO【制作協力】トータルメディアコミュニケーション</t>
  </si>
  <si>
    <t>1210_NTV_水22</t>
  </si>
  <si>
    <t>東京全力少女</t>
  </si>
  <si>
    <t>番組名東京全力少女　#1</t>
  </si>
  <si>
    <t>武井咲、三浦翔平、比嘉愛未、市川由衣、森カンナ、青木隆治、渋谷飛鳥、渡辺邦斗、内藤理沙、ローランス由美、志村玲那、ジョン・ムウェルテ・ムルアカ、酒井彩音、堀内敬子、温水洋一、塚本高史、渡部篤郎香川県の琴平から父親を探して単身、上京してきたポジティブ&amp;KY娘の佐伯麗(うらら)(武井咲)。上京して早々、バックに入れていた全財産を盗まれてしまう。上京する深夜バスで出会った玉川大輔(三浦翔平)を疑うも、彼の目的は単なるナンパで疑いの余地はなかった。途方にくれる麗は下北沢で知り合った綺麗な女性(比嘉愛未)にあやしい男(渡部篤郎)を紹介される。その男こそが15年振りに再会した麗の父親であった。【演出】久保田充【脚本】伴一彦【主題歌】中島みゆき「恩知らず」  【音楽】小西康陽AXON</t>
  </si>
  <si>
    <t>番組名東京全力少女　#2</t>
  </si>
  <si>
    <t>武井咲、三浦翔平、比嘉愛未、市川由衣、森カンナ、青木隆治、渋谷飛鳥、渡辺邦斗、内藤理沙、ローランス由美、志村玲那、酒井彩音、堀内敬子、温水洋一、塚本高史、渡部篤郎四国から上京してきたポジティブ&amp;KY娘の麗(うらら、武井咲)だが、15年振りに再会した父・卓也(渡部篤郎)には複数の女の影があった。それにどの女もまともな交際相手とは思えない間柄。苛立つばかりの麗。そんな折、卓也のマンションに気安く出入りするファッションモデルの華子(比嘉愛未)が、仕事で箱根一泊旅行をすることを聞きつける。麗はなんとしても華子の素性と本性を暴いてやろうと尾行を始めるのだがーー。【演出】久保田充【脚本】伴一彦【主題歌】中島みゆき「恩知らず」  【音楽】小西康陽AXON</t>
  </si>
  <si>
    <t>番組名東京全力少女　#3</t>
  </si>
  <si>
    <t>武井咲、三浦翔平、比嘉愛未、市川由衣、森カンナ、青木隆治、渋谷飛鳥、渡辺邦斗、内藤理沙、ローランス由美、志村玲那、酒井彩音、堀内敬子、温水洋一、塚本高史、渡部篤郎麗(うらら、武井咲)は父・卓也(渡部篤郎)の第二の恋人・冬(市川由衣)を調べ、冬の息子・涼太が卓也の子ではないかとの推理に行き着く。さらに麗は卓也が公園でブランコに乗った涼太の背中を押してやる場面を目撃する。それは幼い自分が父・卓也にしてもらった記憶と同じ光景だった。マンションに戻った麗は卓也に「涼太くんと冬さんと、親子三人で仲良く暮らしてください」と言い残して出て行く。麗の空回り?それともーー?【演出】長沼誠【脚本】伴一彦【主題歌】中島みゆき「恩知らず」  【音楽】小西康陽AXON主題歌レコードプレゼントあり:50名様  葉書に、住所・氏名・番組の感想を書いて、  〒103-8654　日本テレビ　「東京全力少女」主題歌CDプレゼント係  11月7日(水)消印有効</t>
  </si>
  <si>
    <t>番組名東京全力少女　#4</t>
  </si>
  <si>
    <t>武井咲、三浦翔平、比嘉愛未、市川由衣、森カンナ、青木隆治、渋谷飛鳥、渡辺邦斗、内藤理沙、ローランス由美、志村玲那、酒井彩音、堀内敬子、温水洋一、塚本高史、渡部篤郎卓也(渡部篤郎)との父娘生活を決め込んだ麗(うらら、武井咲)は、卓也の浪費生活を矯正しようと企み、さっそく家政婦をクビにし、節約生活を開始する。さらに卓也が超高級クラブシャコンヌに通うのは、ママ・はるか(森カンナ)に騙され貢がされているに違いないと踏んだ麗は、再びシャコンヌにバイトとして潜り込む。そこで麗が目撃したのは、300万円の入った封筒をはるかに手渡す卓也の姿だった……。【演出】久保田充【脚本】伴一彦【主題歌】中島みゆき「恩知らず」  【音楽】小西康陽【制作協力】AXON</t>
  </si>
  <si>
    <t>番組名東京全力少女　#5</t>
  </si>
  <si>
    <t>武井咲、三浦翔平、比嘉愛未、市川由衣、森カンナ、青木隆治、渋谷飛鳥、渡辺邦斗、内藤理沙、ローランス由美、志村玲那、酒井彩音、堀内敬子、温水洋一、塚本高史、渡部篤郎麗(武井咲)の卓也(渡部篤郎)の改造計画は仕上げの段階に。卓也の恋人である3人・華子(比嘉愛未)冬(市川由衣)はるか(森カンナ)をマンションに呼び出した上で、卓也には「本命を決めろ」と迫る。今の生活を続けたい卓也は大慌て。なんとか追い返す事に成功するが、華子からは「しばらく会わない」と宣言されてしまう。「これ以上余計なことをするな」と卓也は激怒。麗も自分の気持ちを理解しない父が許せない。そこでー【演出】柿沼竹生【脚本】伴一彦【主題歌】中島みゆき「恩知らず」  【音楽】小西康陽【制作協力】AXON</t>
  </si>
  <si>
    <t>番組名★4番組連動　秋の味覚プレゼント!★　東京全力少女　#6</t>
  </si>
  <si>
    <t>武井咲、三浦翔平、比嘉愛未、市川由衣、森カンナ、青木隆治、渋谷飛鳥、渡辺邦斗、内藤理沙、ローランス由美、志村玲那、酒井彩音、平愛梨、堀内敬子、温水洋一、塚本高史、渡部篤郎、ほか恋愛にフラフラしていた大輔(三浦翔平)が、一人の女性に決めた。その姿を見た麗(うらら、武井咲)は「やっぱりお父さんも一人に決めるべき!」と卓也(渡部篤郎)に決心を迫る。だが卓也は相変わらず煮え切らない。麗は唯一、合い鍵を持っている華子(比嘉愛未)に卓也が特別な感情を持っているのではないか?と考える。「よし、華子さんとの仲を取り持つぞ!」と、突っ走り出す麗だったが華子は田舎に帰る決心をしていてーー。【演出】久保田充【脚本】伴一彦【主題歌】中島みゆき「恩知らず」  【音楽】小西康陽【制作協力】AXON</t>
  </si>
  <si>
    <t>番組名東京全力少女　#7</t>
  </si>
  <si>
    <t>武井咲、三浦翔平、比嘉愛未、市川由衣、森カンナ、青木隆治、渋谷飛鳥、渡辺邦斗、内藤理沙、ローランス由美、志村玲那、酒井彩音、堀内敬子、平愛梨、温水洋一、塚本高史、渡部篤郎麗(武井咲)の母・さゆり(堀内敬子)がいきなり上京し、卓也(渡部篤郎)のマンションにやってきた!二人が同居している事など知らないさゆりを前に父娘は大慌て。誤魔化さねば!とクローゼットに隠れる卓也だが、さゆりは、靴下の匂いを嗅いで、卓也を見つけてしまう。15年ぶりに対面した元夫婦。だが、さゆりは卓也を完全無視。麗を琴平に連れ帰ろうとする。そのころ大輔(三浦翔平)は亜紀に衝撃の告白を受けていたーー。【演出】長沼誠【脚本】伴一彦【主題歌】中島みゆき「恩知らず」  【音楽】小西康陽【制作協力】AXON</t>
  </si>
  <si>
    <t>番組名東京全力少女　#8</t>
  </si>
  <si>
    <t>武井咲、三浦翔平、比嘉愛未、市川由衣、森カンナ、青木隆治、渋谷飛鳥、渡辺邦斗、内藤理沙、ローランス由美、志村玲那、酒井彩音、堀内敬子、温水洋一、塚本高史、渡部篤郎麗(武井咲)は父・卓也(渡部篤郎)に弘一(塚本高史)の娘・ひとみを2人が出張の間面倒を見るように依頼され、大ハリキリ。大輔(三浦翔平)を誘って3人で動物園に出かける。一方、卓也は出張先で弘一に突然、激怒。直ぐに帰宅するように命じる。さらに翌日、卓也は弘一にクビを言い渡す。話を聞いた麗は、家に帰って卓也に食って掛かるが、卓也は必要だからこそクビにしたという。麗はある決意を秘めて、弘一の元へ向かいー。【演出】久保田充【脚本】伴一彦【主題歌】中島みゆき「恩知らず」  【音楽】小西康陽【制作協力】AXON「東京全力少女」サントラプレゼントあり(抽選で50名様)</t>
  </si>
  <si>
    <t>番組名東京全力少女　#9</t>
  </si>
  <si>
    <t>武井咲、三浦翔平、比嘉愛未、市川由衣、森カンナ、青木隆治、渋谷飛鳥、渡辺邦斗、内藤理沙、ローランス由美、志村玲那、酒井彩音、堀内敬子、温水洋一、塚本高史、渡部篤郎自分は父親に必要とされていないと思い、琴平に帰った麗(武井咲)だが、ご飯を食べていても幼馴染と遊びに行っても、気になるのは父・卓也(渡部篤郎)の事。一方卓也は、麗の突然の家出の理由がわからない。心配するものの居場所も見当つかない。そんなとき、卓也は、弘一(塚本高史)から「父を支えるのはあなたしかいない」と、麗に頭を下げられたと聞かされる。更に大輔(三浦翔平)に呼び出された卓也は、ある物を渡されてー【演出】長沼誠【脚本】伴一彦【主題歌】中島みゆき「恩知らず」  【音楽】小西康陽【制作協力】AXON</t>
  </si>
  <si>
    <t>番組名東京全力少女　#10</t>
  </si>
  <si>
    <t>武井咲、三浦翔平、比嘉愛未、市川由衣、森カンナ、青木隆治、渋谷飛鳥、渡辺邦斗、内藤理沙、ローランス由美、志村玲那、酒井彩音、堀内敬子、温水洋一、塚本高史、渡部篤郎麗(武井咲)と卓也(渡部篤郎)の同居生活再開も束の間、卓也が麗に内緒で怪しげな行動を始める。麗が行き先を聞いても、卓也は何も語らない。そんな折、麗は大輔(三浦翔平)から母さゆり(堀内敬子)を近所で見かけたと聞かされる。大輔に聞いた喫茶店に慌ててかけつけた麗が見たのは、卓也とさゆりの姿!更に、さゆりは驚くべき事を告げる。二人は再婚するというのだ!なんだか釈然としない麗は、翌日から思わぬ行動に出てー。【演出】久保田　充【脚本】伴一彦【主題歌】中島みゆき「恩知らず」  【音楽】小西康陽【制作協力】AXON</t>
  </si>
  <si>
    <t>番組名東京全力少女　#11</t>
  </si>
  <si>
    <t>武井咲、三浦翔平、比嘉愛未、市川由衣、森カンナ、青木隆治、渋谷飛鳥、渡辺邦斗、内藤理沙、ローランス由美、志村玲那、酒井彩音、堀内敬子、温水洋一、塚本高史、渡部篤郎、他麗(武井咲)は弁護士になる為の勉強を始め、卓也(渡部篤郎)は女性関係を整理した。麗、卓也、さゆり(堀内敬子)親子三人の新生活に向けて、着々と準備が始まっていた…はずだった。しかし、問題勃発!どこに住むかは決めていなかったのだ。東京だ!琴平だ!とお互い譲らないまま、さゆりは仕事があるからと琴平へ帰ってしまう。父と母に幸せになってもらいたい麗は自分の夢を諦め、琴平に戻って母の美容院を継ぐと宣言するがー【演出】久保田充【脚本】伴一彦【主題歌】中島みゆき「恩知らず」  【音楽】小西康陽【制作協力】AXONDVDプレゼント情報が番組ラストであります。</t>
  </si>
  <si>
    <t>1210_NTV_土21</t>
  </si>
  <si>
    <t>悪夢ちゃん</t>
  </si>
  <si>
    <t>番組名悪夢ちゃん　#1</t>
  </si>
  <si>
    <t>北川景子、GACKT、優香、木村真那月、濱田マリ、岡田圭右、川村陽介、和田正人、相田翔子、阿南健治、キムラ緑子、小日向文世　ほか腹黒女教師・武戸井彩未(北川景子)のクラスに、予知夢を見る能力を持つ少女・古藤結衣子(木村真那月)が転入してくる。その結衣子の家には、彩未が自分の夢の中で創り上げた理想の「夢王子」にソックリな志岐貴(GACKT)がいた。結衣子の祖父・古藤万之介(小日向文世)から結衣子の見る悪夢が現実にならないよう止めてくれと頼まれ、とまどう彩未だったが…。【演出】佐久間紀佳【原案】恩田陸「夢違」(角川書店)  【脚本】大森寿美男【音楽】横山克【制作協力】ケイファクトリー「夢獣クイズ」に答えて“ももクロ”グッズをゲットしよう!  悪夢ちゃんに登場するキャラクター「夢獣」の声優を当てるクイズをホームページで実施します。応募期間は第1話放送の10月13日土曜よる9時～23時。正解者の中から抽選で豪華“ももクロ”グッズが当たります。</t>
  </si>
  <si>
    <t>番組名悪夢ちゃん　#2</t>
  </si>
  <si>
    <t>北川景子、GACKT、優香、木村真那月、濱田マリ、岡田圭右、川村陽介、和田正人、阿南健治、キムラ緑子、小日向文世　ほか腹黒教師・武戸井彩未(北川景子)の下に古藤万之介(小日向文世)から、孫の結衣子(木村真那月)がまた悪夢を見たとの連絡が。“同級生の冬馬(原田一輝)が巨大ヘビと格闘する”という恐ろしい夢から、“父子不和”の謎を感じ取った彩未は、琴葉(優香)を巧みに操り、中学生の義姉・輝美(日向ななみ)の存在を知る。そんな時、彩未の前に志岐貴(GACKT)が現れ「あなたの事が…好きになったようだ…」と告白され…。【演出】佐久間紀佳【原案】恩田陸「夢違」(角川書店)  【脚本】大森寿美男【音楽】横山克  【主題歌】「サラバ、愛しき悲しみたちよ」ももいろクローバーZ【制作協力】ケイファクトリー</t>
  </si>
  <si>
    <t>番組名悪夢ちゃん　#3</t>
  </si>
  <si>
    <t>北川景子、GACKT、優香、木村真那月、濱田マリ、岡田圭右、川村陽介、和田正人、阿南健治、キムラ緑子、小日向文世　ほか武戸井彩未(北川景子)のクラスに一冊のノートが置いてあった。ノートには“透明人間”がイジメっ子を懲らしめる内容の漫画が書かれていた。翌日、漫画通りの出来事が起き、「あれは予言書だ!」とクラスは大騒ぎに。怪奇現象は次々に起こり、見えない“透明人間”に振り回され、混乱する5年2組の生徒達。得体の知れない不安を感じた彩未は、生徒達を激しく恫喝、衝撃の告白を始める。【演出】猪股隆一【原案】恩田陸「夢違」(角川書店)  【脚本】大森寿美男【音楽】横山克  【主題歌】「サラバ、愛しき悲しみたちよ」ももいろクローバーZ【制作協力】ケイファクトリー</t>
  </si>
  <si>
    <t>番組名悪夢ちゃん　#4</t>
  </si>
  <si>
    <t>北川景子、GACKT、優香、木村真那月、濱田マリ、岡田圭右、川村陽介、和田正人、阿南健治、キムラ緑子、小日向文世　ほか彩未(北川景子)から笑顔が消えた。突然の変貌に戸惑う児童や教師たち。彩未の素性を探る為、女子児童数名は、結衣子(木村真那月)と共に彩未のマンションに向かう。しかし、そこにいたのは志岐貴(GACKT)。なぜか彩未を憎んでいる綾乃(白本彩奈)は、2人の関係を引き裂こうと企てる。また、彩未を怖れた5年2組の児童は、授業ボイコットを決行。そんな折り、遂に彩未を誹謗中傷するブログの犯人までが明らかになり…。【演出】猪股隆一【原案】恩田陸「夢違」(角川書店)  【脚本】大森寿美男【音楽】横山克  【主題歌】「サラバ、愛しき悲しみたちよ」ももいろクローバーZ【制作協力】ケイファクトリー</t>
  </si>
  <si>
    <t>番組名悪夢ちゃん　#5</t>
  </si>
  <si>
    <t>北川景子、GACKT、優香、木村真那月、濱田マリ、岡田圭右、川村陽介、和田正人、鈴木福、阿南健治、キムラ緑子、小日向文世　ほか彩未(北川景子)は、中傷するブログを書いていたのが夢遊病状態の自分だった事を知りショックを受ける。そんな時でも容赦なく結衣子(木村真那月)は予知夢を見る。内容はクラスメイトの上原翔の弟・隆(鈴木福)がゾンビとなり、翔を深く大きな穴に突き落とすという悪夢。隆は将来、目が見えなくなる難病に冒されていた。弟の為に、翔は隆を冒険に誘い出し、秘密の場所に向かう。だが、そこには大きな穴が…。【演出】佐久間紀佳【原案】恩田陸「夢違」(角川書店)  【脚本】大森寿美男【音楽】横山克  【主題歌】「サラバ、愛しき悲しみたちよ」ももいろクローバーZ【制作協力】ケイファクトリー</t>
  </si>
  <si>
    <t>番組名悪夢ちゃん　#6</t>
  </si>
  <si>
    <t>北川景子、GACKT、優香、木村真那月、濱田マリ、岡田圭右、川村陽介、和田正人、阿南健治、キムラ緑子、小日向文世　ほか彩未(北川景子)の生徒、莉音と未来は同じバレエ教室に通うライバル。結衣子(木村真那月)は、「悪魔となった莉音の母が、鎌で未来を切りつけ、カッパが襲う」という悪夢を見る。嫉妬に燃えブラックスワン化していく莉音。一方、万之介(小日向文世)の元を去った志岐貴(GACKT)は、新型“獏”の開発を急ぐ。そこに現れた琴葉(優香)の手にはある人物の夢札が。そして、彩未の衝撃の過去が甦る。「私は・・・人殺しだ!」【演出】菅原伸太郎【原案】恩田陸「夢違」(角川書店)  【脚本】大森寿美男【音楽】横山克  【主題歌】「サラバ、愛しき悲しみたちよ」ももいろクローバーZ【制作協力】ケイファクトリー</t>
  </si>
  <si>
    <t>番組名悪夢ちゃん　#7</t>
  </si>
  <si>
    <t>北川景子、GACKT、優香、木村真那月、濱田マリ、岡田圭右、川村陽介、和田正人、阿南健治、キムラ緑子、小日向文世　ほか予知夢を見る事の出来る人間が存在する事をマスコミに公表した志岐貴(GACKT)は結衣子を世間にバラされたくなければ結衣子を自分の研究所に連れて来るように彩未(北川景子)を脅した。要求に応じない彩未に痺れを切らした志岐は、助手の山里(和田正人)を使って下校中の結衣子をさらった。志岐は結衣子を巧みに説得。結衣子は自分の存在が彩未を苦しめていると思い込む。そして彩未は自らの忌まわしい過去に苦しみ…【演出】猪股隆一【原案】恩田陸「夢違」(角川書店)  【脚本】大森寿美男【音楽】横山克  【主題歌】「サラバ、愛しき悲しみたちよ」ももいろクローバーZ【制作協力】ケイファクトリー</t>
  </si>
  <si>
    <t>番組名悪夢ちゃん　#8</t>
  </si>
  <si>
    <t>北川景子、GACKT、優香、木村真那月、濱田マリ、岡田圭右、川村陽介、和田正人、阿南健治、キムラ緑子、小日向文世　ほか樋口杏奈(春名風花)の異変に気付いた琴葉(優香)は、彼女を志岐(GACKT)の研究所へ連れて行く。一方、5年2組の教室では、ネットに流出した「予知夢」を見ている人間の写真が話題に。そこにはモザイクで顔を隠された結子(木村真那月)が写っていた。そして、教師を辞める決意の彩未(北川景子)に対して、万之介(小日向文世)は、本人も知らない彩未の過去を語り始める。それは、信じられないような内容だった…【演出】佐久間紀佳【原案】恩田陸「夢違」(角川書店)  【脚本】大森寿美男【音楽】横山克  【主題歌】「サラバ、愛しき悲しみたちよ」ももいろクローバーZ【制作協力】ケイファクトリー</t>
  </si>
  <si>
    <t>番組名悪夢ちゃん　#9</t>
  </si>
  <si>
    <t>北川景子、GACKT、優香、木村真那月、濱田マリ、岡田圭右、川村陽介、和田正人、阿南健治、キムラ緑子、小日向文世　ほか彩未(北川景子)は、自分の過去の真実と向き合い、前向きな性格を取り戻す。そんな折、結衣子(木村真那月)が授業中に描いた「白いブランコ」が、なぜか自分が育った養護施設と関係していることに気付く。そして、子供たちが次々と姿を消す謎の現象が起こるが、その鍵が施設にあることも。実験道具である結衣子を失った志岐(GACKT)は、またも不穏な行動に走る。謎の集団神隠しの黒幕は志岐なのか?【演出】猪股隆一【原案】恩田陸「夢違」(角川書店)  【脚本】大森寿美男【音楽】横山克  【主題歌】「サラバ、愛しき悲しみたちよ」ももいろクローバーZ【制作協力】ケイファクトリー</t>
  </si>
  <si>
    <t>番組名悪夢ちゃん　#10</t>
  </si>
  <si>
    <t>北川景子、GACKT、優香、木村真那月、濱田マリ、岡田圭右、川村陽介、和田正人、阿南健治、キムラ緑子、小日向文世　ほか児童達が次々に失踪し、明恵小学校にマスコミが押し寄せてきた。彩未は消えた子供たちの行方を探る為、保健室で眠る。夢の中で夢獣の力を借りて、消えた5年2組の生徒、近藤七海(大友花恋)の無意識と繋がった彩未。そこで彩未は七海がアザラシに連れていかれるという悪夢を見る。同時刻、古藤結衣子(木村真那月)も予知夢を見る、その内容は、彩未と志岐貴(GACKT)に関する、結衣子にとって絶望的な内容だった…。【演出】佐久間紀佳【原案】恩田陸「夢違」(角川書店)  【脚本】大森寿美男【音楽】横山克  【主題歌】「サラバ、愛しき悲しみたちよ」ももいろクローバーZ【制作協力】ケイファクトリー</t>
  </si>
  <si>
    <t>番組名悪夢ちゃん　#11</t>
  </si>
  <si>
    <t>北川景子、GACKT、優香、木村真那月、濱田マリ、岡田圭右、川村陽介、和田正人、阿南健治、キムラ緑子、小日向文世　ほか彩未(北川景子)が志岐貴(GACKT)を殺してしまったと思い込んだ結衣子(木村真那月)は意識を失い、昏睡状態に陥ってしまった。万之介(小日向文世)が言うには「無意識の世界に行ってしまった」という。このままでは結衣子の身体は滅びてしまう。彩未は結衣子の無意識にアクセスすることを試みる。果たして彩未は結衣子を救うことが出来るのか!?彩未の過去・夢獣の正体・結衣子の父親…全ての謎が今、明らかになる!【演出】佐久間紀佳【原案】恩田陸「夢違」(角川書店)  【脚本】大森寿美男【音楽】横山克  【主題歌】「サラバ、愛しき悲しみたちよ」ももいろクローバーZ【制作協力】ケイファクトリー</t>
  </si>
  <si>
    <t>1207_NTV_水22</t>
  </si>
  <si>
    <t>トッカン</t>
  </si>
  <si>
    <t>番組名トッカン　特別国税徴収官　#1</t>
  </si>
  <si>
    <t>井上真央、北村有起哉  鈴木砂羽、木南晴夏、美波  池田鉄洋、おかやまはじめ、笠原秀幸  佐藤仁美、池田政典、りりィ、泉谷しげる  塩見三省、岩松了、若村麻由美主演の井上真央が演じるのは税務署の新米徴収官・鈴宮深樹(25)  税金の滞納者から滞納税を徴収するのが仕事。  滞納者から「人でなし!税金泥棒!」と罵詈雑言を浴びることもしばしば。  特に悪質な案件を扱う特別国税徴収官(トッカン)の補佐となり、払えるのに払えない、払いたくても払えない、様々な事情で滞納する人々と向き合っていく。【演出】水田伸生【原作】高殿円「トッカン　特別国税徴収官」(早川書房)  【脚本】いずみ吉紘【音楽】佐藤史朗  【主題歌】Mr.Children　(TOY’S　FACTORY)【制作協力】日活</t>
  </si>
  <si>
    <t>番組名トッカン　特別国税徴収官　#2</t>
  </si>
  <si>
    <t>井上真央、北村有起哉  鈴木砂羽、木南晴夏、美波  池田鉄洋、おかやまはじめ、笠原秀幸  塩見三省、岩松了、若村麻由美  【ゲスト】西岡徳馬鈴宮(井上真央)は健康食品会社社長で税金滞納者の堂柿(西岡徳馬)の自宅へS(差押え)に向かう。しかし会社は休業状態で金目のものは何もない。そんな堂柿が4年前に死んだ妻のために新しく墓を建て、足繁く墓参りをしていることを知った鈴宮は同情する。鏡(北村有起哉)は「ぬるい!もっとよく調べろ」と鈴宮を一喝する。しかし、鈴宮はあと一歩の所で真相をつかめない。すると鏡は堂柿と鈴宮を伴ってある場所へ向かう…【演出】長沼誠【原作】高殿円「トッカン　特別国税徴収官」(早川書房)  【脚本】いずみ吉紘【音楽】佐藤史朗  【主題歌】「hypnosis」Mr.Children　(TOY’S　FACTORY)【制作協力】日活</t>
  </si>
  <si>
    <t>番組名トッカン　特別国税徴収官　#3</t>
  </si>
  <si>
    <t>井上真央、北村有起哉  鈴木砂羽、池田鉄洋  木南晴夏、美波  岩松了、若村麻由美  【ゲスト】城島茂(TOKIO)鈴宮(井上真央)は脱税の疑いがあるカフェについて、本来は徴収の仕事ではない潜入調査を自ら志願する。店に張り込んだ鈴宮は、経営者の三井(城島茂)に愛人がいることを突き止める。一方、クラブ澪の白川(若村麻由美)が「滞納していた税金分のお金が用意できた」と連絡をしてきた。そして、脱税の証拠を掴もうと必死でカフェの店内を見回した鈴宮は、あることに気づくーー。【演出】水田伸生【原作】高殿円「トッカン　特別国税徴収官」(早川書房)  【脚本】いずみ吉紘【音楽】佐藤史朗  【主題歌】「hypnosis」Mr.Children　(TOY’S　FACTORY)【制作協力】日活</t>
  </si>
  <si>
    <t>番組名トッカン　特別国税徴収官　#4</t>
  </si>
  <si>
    <t>井上真央、北村有起哉  鈴木砂羽、池田鉄洋  木南晴夏、美波  笠原秀幸、おかやまはじめ  塩見三省、岩松了、若村麻由美　他鈴宮(井上真央)は故郷の大阪に戻ったものの父(塩見三省)との間には溝があり、実家にも居場所がない。そんなとき鏡(北村有起哉)から電話がかかってくる。鏡は白川(若村麻由美)がインサイダー取引で3億の大金を手にしたことを伝える。鍵となるのは鈴宮が探っていた「澪」という人物だった。そして鈴宮は東京に戻る決心をする。「私には、まだやることがある」……鈴宮は白川の秘密に迫ることができるのかーー?【演出】水田伸生　【原作】高殿円「トッカン　特別国税徴収官」(早川書房)  【脚本】いずみ吉紘【音楽】佐藤史朗  【主題歌】「hypnosis」Mr.Children　(TOY’S　FACTORY)【制作協力】日活</t>
  </si>
  <si>
    <t>番組名トッカン　特別国税徴収官　#5</t>
  </si>
  <si>
    <t>井上真央、北村有起哉、鈴木砂羽、池田鉄洋  木南晴夏、美波、笠原秀幸、おかやまはじめ、岩松了  星野真里、鈴木一真、小島聖夏の人事異動で宝町税務署に新しい徴収官・錨(星野真里)が赴任してきた。32歳の彼女は商社マンの夫を持ち、仕事もできる柔和な女性。彼女より4歳年上で、いまだ婚活中の木綿子(鈴木砂羽)は面白くない。そんな中、鈴宮(井上真央)は女子高の音楽教師・桑原(小島聖)の徴収に向かうことに。父親から相続したマンションを売却した際の税金を滞納している彼女は、木綿子の高校時代の同級生だった・・・【演出】長沼誠【原作】高殿円「トッカン　特別国税徴収官」(早川書房)  【脚本】いずみ吉紘【音楽】佐藤史朗  【主題歌】「hypnosis」Mr.Children　(TOY’S　FACTORY)【制作協力】日活</t>
  </si>
  <si>
    <t>番組名トッカン　特別国税徴収官　#6</t>
  </si>
  <si>
    <t>井上真央、北村有起哉、鈴木砂羽、池田鉄洋  木南晴夏、美波、笠原秀幸、おかやまはじめ、岩松了  堀部圭亮、嶋田久作、手塚理美宝町税務署に計画倒産のタレコミが届く。約400万円を滞納している株式会社ホツミがネットショップを開くための初期費用60万円を契約者から集め、それを踏み倒したまま巧妙な手口で倒産しようとしているという。裁判所が倒産を認めてしまうと税務署は手出しができなくなってしまう。鈴宮(井上真央)は裁判所にホツミについての情報提供を求めるが、「個人情報は教えられない」と門前払いされてしまう・・・【演出】相沢淳【原作】高殿円「トッカン　特別国税徴収官」(早川書房)  【脚本】いずみ吉紘【音楽】佐藤史朗  【主題歌】「hypnosis」Mr.Children　(TOY’S　FACTORY)【制作協力】日活</t>
  </si>
  <si>
    <t>番組名トッカン　特別国税徴収官　#7</t>
  </si>
  <si>
    <t>井上真央、北村有起哉、鈴木砂羽、池田鉄洋  木南晴夏、笠原秀幸、おかやまはじめ、岩松了  関戸将志、松田沙紀、星野真里鈴宮(井上真央)は2千万円の税金を滞納しているガールズバーオーナー・豊成の身辺を洗うことに。一方、木綿子(鈴木砂羽)は、国立税務署から赴任してきた錨(星野真里)の言動に違和感を持ち、探りを入れ始める。鈴宮は豊成の金の隠し場所を探るため、南部(木南晴夏)を巻き込み、精一杯のセクシー衣裳?でガールズバーの面接に挑む。その頃、木綿子は錨のある事実を探り当てていたーーー【演出】水田伸生【原作】高殿円「トッカン　特別国税徴収官」(早川書房)  【脚本】いずみ吉紘【音楽】佐藤史朗  【主題歌】「hypnosis」Mr.Children　(TOY’S　FACTORY)【制作協力】日活</t>
  </si>
  <si>
    <t>番組名トッカン　特別国税徴収官　#8</t>
  </si>
  <si>
    <t>井上真央、北村有起哉、鈴木砂羽、池田鉄洋  美波、笠原秀幸、おかやまはじめ、岩松了  高林由紀子、濱田マリ、高橋かおり、入山法子  及川光博錨の夫に刺された鏡(北村有起哉)は入院し、鈴宮(井上真央)はひとりで案件に取り組むことに。3姉妹の長女・百合子(濱田マリ)と二女・桃花(高橋かおり)は父からの相続税を滞納しており、このままでは「連帯納付義務」により、三女(入山法子)から徴収しなければならなくなってしまう。法律の矛盾を感じる鈴宮の前に「お手伝いしましょうか?」と吹雪(及川光博)と名乗る弁護士が現れる。吹雪は味方なのか?それとも・・・【演出】長沼誠【原作】高殿円「トッカン　特別国税徴収官」(早川書房)  【脚本】いずみ吉紘【音楽】佐藤史朗  【主題歌】「hypnosis」Mr.Children　(TOY’S　FACTORY)【制作協力】日活</t>
  </si>
  <si>
    <t>番組名トッカン　特別国税徴収官　#9</t>
  </si>
  <si>
    <t>井上真央、北村有起哉、鈴木砂羽、池田鉄洋  美波、木南晴夏、笠原秀幸、おかやまはじめ、岩松了  野間口徹、堀内敬子、及川光博弁護士の吹雪(及川光博)に食事に誘われ、どこか浮き立つ鈴宮(井上真央)。鏡(北村有起哉)は大衆食堂「唐川」の案件を持ち込む。鏡は店の土地を売るべきだと主人の唐川(野間口徹)と妻・詠子(堀内敬子)に主張するが、詠子は「店は主人の生きがい」と断る。鈴宮(井上真央)は何とか二人を助ける策を練るが上手くいかない。そんな中、詠子が妊娠していることを知る。しかし、夫の唐川はどこか思いつめた表情だった・・・【演出】相沢淳【原作】高殿円「トッカン　特別国税徴収官」(早川書房)  【脚本】いずみ吉紘【音楽】佐藤史朗  【主題歌】「hypnosis」Mr.Children　(TOY’S　FACTORY)</t>
  </si>
  <si>
    <t>番組名トッカン　特別国税徴収官　#10</t>
  </si>
  <si>
    <t>井上真央、北村有起哉、鈴木砂羽、池田鉄洋  木南晴夏、美波、笠原秀幸、おかやまはじめ、岩松了  野間口徹、堀内敬子、若村麻由美、及川光博大衆食堂の店主・唐川(野間口徹)が妻(堀内敬子)を残し自殺を図ったのは鏡(北村有起哉)が「店を差し押さえるぞ」と恫喝したためだとして、弁護士の吹雪(及川光博)は損害賠償を求める裁判を起こした。一方、鈴宮(井上真央)は南部(木南晴夏)や木綿子(鈴木砂羽)の協力で、唐川夫妻の家庭の事情を明らかにしていく。鏡は責任を取り、宝町税務署を追われてしまうのか?鏡とぐ～子のトッカンコンビは解散してしまうのか?【演出】水田伸生【原作】高殿円「トッカン　特別国税徴収官」(早川書房)  【脚本】いずみ吉紘【音楽】佐藤史朗  【主題歌】「hypnosis」Mr.Children　(TOY’S　FACTORY)【制作協力】日活</t>
  </si>
  <si>
    <t>1207_NTV_木23</t>
  </si>
  <si>
    <t>VISION</t>
  </si>
  <si>
    <t>番組名木曜ミステリーシアター「VISION　殺しが見える女」♯1</t>
  </si>
  <si>
    <t>山田優、金子ノブアキ、矢柴俊博、鈴木浩介、勝村政信(他)休職中の刑事、和馬(金子ノブアキ)は詐欺グループの北川(鈴木浩介)と取引をしていた。その時、清末(勝村政信)と同じ店にいたモデルの玲奈(山田優)は北川に聞き覚えのない「クリスティーナ」と声をかけられ、抱きつかれる。北川は引き離そうとした和馬を殴って逃走。玲奈は北川を全く知らなかった。しかし翌日、玲奈のVISIONに北川が現れた。何故か彼の額には銃弾の跡があり、自分の遺体を探して欲しいと玲奈に訴える原作・脚本は、「NIGHT　HEAD」  「沙粧妙子　最後の事件」「ギフト」など、ミステリーの第一人者・飯田譲治が担当。  最後まで展開の読めない本格サスペンスをお楽しみ下さい。</t>
  </si>
  <si>
    <t>番組名木曜ミステリーシアター「VISION殺しが見える女」♯2</t>
  </si>
  <si>
    <t>山田優、金子ノブアキ、矢柴俊博、中村倫也、勝村政信(他)会社員の吉村が刺殺される事件が発生。容疑者の立原(中村倫也)は吉村の後輩でいじめを受けていた。立原は「クリスティーナへ」というメッセージを現場に残していて、和馬(金子ノブアキ)は玲奈(山田優)に話を聞きに行く。自宅にいた玲奈のVISIONに現われた立原は「クリスティーナ」と呼びかけ、君の願い通り、殺すのは3人だと告げる。そして立原は額から血を流しており、その血は立っているのに何故か横に流れていた…原作・脚本は、「NIGHT　HEAD」  「沙粧妙子　最後の事件」「ギフト」など、  ミステリーの第一人者・飯田譲治が担当。  最後まで展開の読めない本格サスペンスをお楽しみ下さい。</t>
  </si>
  <si>
    <t>番組名木曜ミステリーシアター「VISION　殺しが見える女」#3</t>
  </si>
  <si>
    <t>山田優、金子ノブアキ、矢柴俊博、佐藤寛子、野間口徹、勝村政信(他)第3の殺人者は悪意に満ちた女。  玲奈(山田優)のVISIONにボンデージ姿の貞子(佐藤寛子)が現れ、その直後に和馬(金子ノブアキ)は殺人事件が起きたという連絡を受ける。現場には「クリスティーナに愛の手を」というメッセージが残されていた。この後、和馬は第2の犠牲者が出たという連絡を受け現場へ向かうと、玲奈の前に貞子が現れる。貞子は玲奈に対し「クリスティーナはあなたのダークサイド」と言い放つ。原作・脚本は、「NIGHT　HEAD」  「沙粧妙子　最後の事件」「ギフト」など、  ミステリーの第一人者・飯田譲治が担当。  最後まで展開の読めない本格サスペンスをお楽しみ下さい。主題歌はCREAMが歌う「RUNAWAY」</t>
  </si>
  <si>
    <t>番組名木曜ミステリーシアター「VISION　殺しが見える女」#4</t>
  </si>
  <si>
    <t>山田優、金子ノブアキ、矢柴俊博、朝加真由美、勝村政信(他)株の不正取引を暴こうとした記者を殺した容疑者、池田が殺害される。そんな中、玲奈(山田優)のVISIONにマスクで顔を隠した男が現れる。男はミスターXと名乗り、池田以外にあと2人を葬ると玲奈に伝える。そして、ミスターXは池田の手下、猿谷を刺殺。その頃、和馬(金子ノブアキ)は玲奈と絶縁状態の母親、玲子(朝加真由美)を訪ねていた。玲奈の履歴を調べた和馬は彼女の高校時代、空白の1年があったことを知るが…原作・脚本は、「NIGHT　HEAD」「沙粧妙子　最後の事件」「ギフト」など、ミステリーの第一人者・飯田譲治が担当。  最後まで展開の読めない本格サスペンスをお楽しみ下さい。主題歌はCREAMが歌う「RUNAWAY」</t>
  </si>
  <si>
    <t>番組名木曜ミステリーシアター「VISION　殺しが見える女」#5</t>
  </si>
  <si>
    <t>山田優、金子ノブアキ、矢柴俊博、桐山漣、勝村政信(他)アイドルの追っかけだった男が殺害され、玲奈(山田優)の画像が入った携帯が落ちていたという。崎阪(矢柴俊博)の命令で和馬(金子ノブアキ)はCM撮影中の玲奈に会いに行く。その頃、撮影現場ではカメラマンの到着が遅れるという問題が発生。カメラマンを待つ玲奈は現場にいた田中(桐山漣)に写真を撮りたいと声をかけられる。が、そこに遅れてカメラマン近藤(松尾敏伸)が現れ、玲奈は2人カメラマンがいることを疑問に思う原作・脚本は、「NIGHT　HEAD」「沙粧妙子　最後の事件」「ギフト」など、ミステリーの第一人者・飯田譲治が担当。  最後まで展開の読めない本格サスペンスをお楽しみ下さい。主題歌はCREAMが歌う「RUNAWAY」</t>
  </si>
  <si>
    <t>番組名木曜ミステリーシアター「VISION　殺しが見える女」#6</t>
  </si>
  <si>
    <t>山田優、金子ノブアキ、矢柴俊博、酒井敏也、野間口徹、勝村政信(他)心理学の権威、田口(酒井敏也)が殺害される。田口の胸にはChristinaと書かれたメモが残されていた。和馬(金子ノブアキ)は玲奈(山田優)に田口が殺された事を伝える。その頃、准教授の長岡(野間口徹)は清末(勝村政信)を訪ね、クリスティーナから届いたゲームの状況を確認。長岡が帰った後もゲームをプレイし続ける清末。すると突然、ディスプレイから強い光が放たれ、清末は遂にクリスティーナの姿を見てしまう。原作・脚本は、「NIGHT　HEAD」「沙粧妙子　最後の事件」「ギフト」など、ミステリーの第一人者・飯田譲治が担当。  最後まで展開の読めない本格サスペンスをお楽しみ下さい。主題歌はCREAMが歌う「RUNAWAY」</t>
  </si>
  <si>
    <t>番組名木曜ミステリーシアター「VISION　殺しが見える女」#7</t>
  </si>
  <si>
    <t>山田優、金子ノブアキ、矢柴俊博、押切もえ、西山茉希、升毅(他)玲奈(山田優)をカウンセリングしていた藤堂(村岡希美)が絞殺される。別室に控えていた秋山(吉家章人)は玲奈を現行犯逮捕する。一方、和馬(金子信昭)は玲奈の中学時代の同級生に話を聞きに行くが玲奈の評判は最悪で、萌子(押切もえ)、マキ(西山茉希)からも酷評される。そして、留置室に入れられた玲奈のVISIONにインテリ風の男(升毅)が現れ、玲奈を救うために自分が藤堂を殺害したと打ち明けるが…原作・脚本は、「NIGHT　HEAD」「沙粧妙子　最後の事件」「ギフト」など、ミステリーの第一人者・飯田譲治が担当。  最後まで展開の読めない本格サスペンスをお楽しみ下さい。主題歌はCREAMが歌う「RUNAWAY」</t>
  </si>
  <si>
    <t>番組名木曜ミステリーシアター「VISION　殺しが見える女」#8</t>
  </si>
  <si>
    <t>山田優、金子ノブアキ、矢柴俊博、升毅(他)玲奈(山田優)をカウンセリングしていた藤堂(村岡希美)が絞殺され、玲奈が現行犯逮捕される。調査を続ける崎阪(矢柴俊博)は防犯カメラに映っていた、番組ADの岡田に監視を付けるも、逃走されてしまう。一方、岡田の行方を追う和馬(金子ノブアキ)は何者かに車を細工され事故を起こす。藤堂殺しの疑いが晴れた玲奈だったが、彼女のVISIONに現れた弁護士の川辺(升毅)によって、研究施設へ連れ去られてしまう。原作・脚本は、「NIGHT　HEAD」「沙粧妙子　最後の事件」「ギフト」など、ミステリーの第一人者・飯田譲治が担当。  最後まで展開の読めない本格サスペンスをお楽しみ下さい。主題歌はCREAMが歌う「RUNAWAY」</t>
  </si>
  <si>
    <t>番組名木曜ミステリーシアター「VISION　殺しが見える女」#10</t>
  </si>
  <si>
    <t>山田優、金子ノブアキ、矢柴俊博、細田よしひこ、丸山智己、升毅(他)和馬(金子ノブアキ)は田所医師(神尾佑)から玲奈(山田優)の頭の中にあった物質は、ある波動を読み取る送受信のチップなのかもしれないという見解を聞く。玲奈のVISIONに男を刺殺した馬淵(細田よしひこ)が現れる。玲奈は以前よりも犯人と通信できる力が強くなっていた。警察は誰が犯人か掴めずに2人目の被害者が出る。そんな中、玲奈はVISIONから馬淵の居場所を特定、連絡を受けた和馬が馬淵を捕まえるが…原作・脚本は、「NIGHT　HEAD」「沙粧妙子　最後の事件」「ギフト」など、ミステリーの第一人者・飯田譲治が担当。  最後まで展開の読めない本格サスペンスをお楽しみ下さい。主題歌はCREAMが歌う「RUNAWAY」</t>
  </si>
  <si>
    <t>1207_NTV_土21</t>
  </si>
  <si>
    <t>ゴーストママ捜査線</t>
  </si>
  <si>
    <t>番組名ゴーストママ捜査線～僕とママの不思議な100日　#1</t>
  </si>
  <si>
    <t>仲間由紀恵、沢村一樹、志田未来、君野夢真(子役)  芹那、真田佑馬(ジャニーズJr.)、賀来賢人  塚地武雅(ドランクドラゴン)、生瀬勝久警察官の上原蝶子(仲間由紀恵)は、夫の航平(沢村一樹)、娘の葵(志田未来)、息子のとんぼ(君野夢真)と幸せに暮らしていたが、ある日、職務中に命を落としてしまう。  それから3か月……。とんぼが蝶子の形見のメガネをかけると、目の前に蝶子が現れる!とんぼの事が心配だった蝶子は、天国には行かず、ユウレイになってしまったのだった。  ユウレイの母・蝶子と弱虫な息子・とんぼの不思議な生活が始まった!【演出】佐藤東弥【脚本】梅田みか  【原作】「ゴーストママ捜査線」佐藤智一(小学館ビッグコミックス)【音楽】菅野祐悟  【主題歌】「つぼみ」Aqua　Timez(EPICレコード)【制作協力】AXON  【製作著作】日本テレビ</t>
  </si>
  <si>
    <t>番組名ゴーストママ捜査線～僕とママの不思議な100日　#2</t>
  </si>
  <si>
    <t>仲間由紀恵、沢村一樹、志田未来、君野夢真(子役)  芹那、真田佑馬(ジャニーズJr.)、賀来賢人  塚地武雅(ドランクドラゴン)、生瀬勝久蝶子(仲間由紀恵)は、以前出会った“ユウレイの先輩”タケル(賀来賢人)と再会する。タケルは、半年前に花帆(山下リオ)という女性と初デートの待ち合わせの場所に行く直前、事故で命を落としたのだった。彼女に約束を守れなかったことを謝りたいというタケル。「もう一度、彼女に会わせてあげたい!」困った人を放っておけない蝶子は、とんぼ(君野夢真)とともに花帆の行方を探す捜査を開始する。佐藤東弥、大谷太郎、西野真貴梅田みか、横田理恵【音楽】菅野祐悟  【主題歌】「つぼみ」Aqua　Timez(EPICレコード)【制作協力】AXON  【製作著作】日本テレビ</t>
  </si>
  <si>
    <t>番組名ゴーストママ捜査線～僕とママの不思議な100日　#3</t>
  </si>
  <si>
    <t>仲間由紀恵、沢村一樹、志田未来、君野夢真(子役)  芹那、真田佑馬(ジャニーズJr.)  塚地武雅(ドランクドラゴン)、生瀬勝久ある日、ひったくり事件に遭遇した蝶子(仲間由紀恵)だが、ユウレイなので捕まえることができず、犯人に逃げられ、その時偶然通りかかった葵(志田未来)の同級生・淳也(真田佑馬)に容疑がかかってしまう。淳也を犯人だと決め付けてしまった三船は、ある朝、早朝ランニング中に心筋梗塞を起こして急死し、ユウレイになってしまう!こうして、ユウレイの蝶子と三船はひったくりの真犯人を捕まえるべく、捜査を開始する!【演出】大谷太郎【脚本】梅田みか  【原作】「ゴーストママ捜査線」佐藤智一(小学館ビッグコミックス)【音楽】菅野祐悟  【主題歌】「つぼみ」Aqua　Timez(EPICレコード)【制作協力】AXON  【製作著作】日本テレビ</t>
  </si>
  <si>
    <t>番組名ゴーストママ捜査線～僕とママの不思議な100日　#4</t>
  </si>
  <si>
    <t>仲間由紀恵、沢村一樹、志田未来、君野夢真(子役)  芹那、真田佑馬(ジャニーズJr.)、戸塚祥太  塚地武雅(ドランクドラゴン)、生瀬勝久ある日、蝶子(仲間由紀恵)の娘・葵(志田未来)は、密かに思い続けてきたファミレス店員の良太(戸塚祥太)を友人にけしかけられて映画に誘い、快くOKをもらう。家に帰ってきた葵は、いつもとは違って家事を手伝ったりとんぼ(君野夢真)に優しくしたり、ニコニコと上機嫌。そんな葵を見て蝶子は「怪しい…これは恋だ!」と気付く。そして、どんな相手なのか心配でたまらない蝶子は、葵の初デートに潜入捜査を開始する!【演出】大谷太郎【脚本】梅田みか  【原作】「ゴーストママ捜査線」佐藤智一(小学館ビッグコミックス)【音楽】菅野祐悟  【主題歌】「つぼみ」Aqua　Timez(EPICレコード)【制作協力】AXON  【製作著作】日本テレビ</t>
  </si>
  <si>
    <t>番組名ゴーストママ捜査線～僕とママの不思議な100日　#5</t>
  </si>
  <si>
    <t>仲間由紀恵、沢村一樹、志田未来、君野夢真(子役)  芹那、真田佑馬(ジャニーズJr.)  内藤剛志、朝加真由美  塚地武雅(ドランクドラゴン)、生瀬勝久ユウレイの蝶子(仲間由紀恵)は航平(沢村一樹)と、とんぼ(君野夢真)とともに、栃木の実家へ里帰り。蝶子と父親の省三(内藤剛志)は、顔を合わせればケンカばかりの父娘だった。とんぼから「お母さんはどうしておじいちゃんのことが嫌いなの?」と聞かれた蝶子は思わず、「とんぼにはお母さんの気持ちは分からないよ!」と、言い放ってしまう。そして、その日の夕方、ふと気づくととんぼがいなくなっていて・・・【演出】佐藤東弥【脚本】横田理恵  【原作】「ゴーストママ捜査線」佐藤智一(小学館ビッグコミックス)【音楽】菅野祐悟  【主題歌】「つぼみ」Aqua　Timez(EPICレコード)【制作協力】AXON  【製作著作】日本テレビ</t>
  </si>
  <si>
    <t>番組名ゴーストママ捜査線～僕とママの不思議な100日　#6</t>
  </si>
  <si>
    <t>仲間由紀恵、沢村一樹、志田未来、君野夢真(子役)  芹那、真田佑馬(ジャニーズJr.)  塚地武雅(ドランクドラゴン)、生瀬勝久蝶子(仲間由紀恵)の息子・とんぼ(君野夢真)は、ある日航平(沢村一樹)から“はじめてのおつかい”を頼まれる。そのおつかいの帰り道、一匹の捨て猫・ミーコと、その名付け親の少女・マイと出会う。その翌日、とんぼの様子がおかしいと気づいた蝶子は、とんぼを尾行し、マイと会っている姿を目撃する。どうやらとんぼはマイに恋をしているらしいのだが、なんとマイはユウレイだった!とんぼの初恋は、いったいどうなる!?【演出】西野真貴【脚本】梅田みか  【原作】「ゴーストママ捜査線」佐藤智一(小学館ビッグコミックス)【音楽】菅野祐悟  【主題歌】「つぼみ」Aqua　Timez(EPICレコード)【制作協力】AXON  【製作著作】日本テレビ</t>
  </si>
  <si>
    <t>番組名ゴーストママ捜査線～僕とママの不思議な100日　#7</t>
  </si>
  <si>
    <t>仲間由紀恵、沢村一樹、志田未来、君野夢真(子役)  芹那、真田佑馬(ジャニーズJr.)  塚地武雅(ドランクドラゴン)、生瀬勝久とんぼ(君野夢真)が通う桜田小学校でユウレイ騒動が勃発!!蝶子(仲間由紀恵)は「ユウレイ騒動と聞いて放ってはおけませんよ!」と三船(生瀬勝久)と共に現場の張り込みを開始する。そこで二人が出会ったのは、航平(沢村一樹)が6年生の時の担任で、航平達と埋めたタイムカプセルが心残りでこの世に残ったユウレイ・由佳(高梨臨)だった。彼女の想いに応えたい蝶子たちだが、埋めた場所が分からなくなっていて・・・。【演出】大谷太郎【脚本】梅田みか  【原作】「ゴーストママ捜査線」佐藤智一(小学館ビッグコミックス)【音楽】菅野祐悟  【主題歌】「つぼみ」Aqua　Timez(EPICレコード)【制作協力】AXON  【製作著作】日本テレビ</t>
  </si>
  <si>
    <t>番組名ゴーストママ捜査線～僕とママの不思議な100日　#8</t>
  </si>
  <si>
    <t>仲間由紀恵、沢村一樹、志田未来、君野夢真(子役)  芹那、真田佑馬(ジャニーズJr.)  塚地武雅(ドランクドラゴン)、生瀬勝久ある日、蝶子(仲間由紀恵)の住む上原写真館に空き巣が侵入する。蝶子と三船(生瀬勝久)がそっと写真館の中を覗くと、若い男が「わーっ」と大声をあげる。なんとその男・亮(森崎ウィン)には蝶子と三船の姿が見えていた。翌日、車道に飛び出してしまったとんぼ(君野夢真)は、なんと亮に助けられる。亮が根っからの悪人だとは思えない蝶子は、亮のことをもっと知るために、とんぼと一緒に彼が生まれた町へ向かうーーー。【演出】森雅弘【脚本】松田裕子【音楽】菅野祐悟  【主題歌】「つぼみ」Aqua　Timez(EPICレコード)【制作協力】AXON  【製作著作】日本テレビ</t>
  </si>
  <si>
    <t>番組名ゴーストママ捜査線～僕とママの不思議な100日最終回2時間スペシャル</t>
  </si>
  <si>
    <t>仲間由紀恵、沢村一樹、志田未来、君野夢真(子役)  芹那、真田佑馬(ジャニーズJr.)  塚地武雅(ドランクドラゴン)、生瀬勝久蝶子(仲間由紀恵)がユウレイになって3ヵ月。蝶子は、とんぼ(君野夢真)の成長がうれしい反面、別れが近づいている予感を感じていた。一方、三船(生瀬勝久)は、3年前に家を出ていって以来、音信不通の息子・浩志(塚本高史)のことが気にかかっていた。  なんとかしてあげたい蝶子だったが・・・。果たして蝶子は、三船と浩志を再会させることができるのか!?そして、家族との別れが近づく蝶子が最後に起こす奇跡とは!?【演出】佐藤東弥【脚本】梅田みか【音楽】菅野祐悟  【主題歌】「つぼみ」Aqua　Timez(EPICレコード)【制作協力】AXON  【製作著作】日本テレビ</t>
  </si>
  <si>
    <t>1204_NTV_水22</t>
  </si>
  <si>
    <t>クレオパトラな女たち</t>
  </si>
  <si>
    <t>番組名クレオパトラな女たち　#1</t>
  </si>
  <si>
    <t>佐藤隆太、稲森いずみ、北乃きい、綾野剛、三浦翔平、芦名星、宮地雅子、いせゆみこ、奥田恵梨華、杉本有美、小篠恵奈/山崎一、宇納佑、神尾佑、佐藤瑠生亮/岩本多代、  余貴美子「女は美を追いもとめ、男は美に翻弄されるーー」美容外科クリニックを舞台に男一人飛び込んだ女嫌いのエリート医師を目線を通して描く、すべてのコンプレックスを抱える人々に捧げるヒューマンコメディ。【演出】岩本仁志【脚本】大石静【音楽】池頼広【制作著作】日本テレビ</t>
  </si>
  <si>
    <t>番組名クレオパトラな女たち　#2</t>
  </si>
  <si>
    <t>佐藤隆太、稲森いずみ、北乃きい、綾野剛、三浦翔平、芦名星、宮地雅子、いせゆみこ、奥田恵梨華、杉本有美、小篠恵奈/銀粉蝶/神尾佑、佐藤瑠生亮/岩本多代、余貴美子接着剤で瞼をくっつけてしまった8歳の少女を抱えた母親と遭遇した峯太郎(佐藤隆太)は、クリニックへ親子を案内しすばやく処置。幼い少女が二重手術を願っている現実に驚く。そんな中、マリの乳房再建手術に立会い技術に感銘を受ける峯太郎。裕にいい仕事をしたとメールで報告。しかし、手術を受けた景子(銀粉蝶)の話し相手をしているうち、峯太郎は哀しい過去を思い起し、それが原因で看護師の葵と激しく衝突してしまう。【演出】岩本仁志【脚本】大石静【音楽】池頼広【制作著作】日本テレビ</t>
  </si>
  <si>
    <t>番組名クレオパトラな女たち　#3</t>
  </si>
  <si>
    <t>佐藤隆太、稲森いずみ、北乃きい、綾野剛、三浦翔平、芦名星、宮地雅子、宇納佑、いせゆみこ、奥田恵梨華、杉本有美、小篠恵奈、久松信美、梅舟惟永、西田健、余貴美子初めて峯太郎(佐藤隆太)を指名する患者がやってきた。峯太郎がよく行くコーヒーショップの女性店員・寺崎ふゆ(梅舟惟永)だった。彼女は同じ店で働く双子の姉と別人の顔に、さらには峯太郎好みの顔にして欲しいという。無茶な要望なため睦にフォローしてもらいながらも何とか対応していくが・・・。同じ頃、峯太郎が頼る睦にも難題が押し寄せる。クールな睦の異変に驚くスタッフたち。【演出】猪股隆一【脚本】大石静【音楽】池頼広【製作著作】日本テレビ  【制作協力】トータルメディアコミュニケーション</t>
  </si>
  <si>
    <t>番組名クレオパトラな女たち　#4</t>
  </si>
  <si>
    <t>佐藤隆太、稲森いずみ、北乃きい、綾野剛、三浦翔平、芦名星、宮地雅子、宇納佑、いせゆみこ、奥田恵梨華、杉本有美、小篠恵奈、西田健、岩本多代、余貴美子　他今回のメイン手術は植毛手術。患者は睦(稲森いずみ)の夫(宇納佑)の上司。  順調に段取りを進めていた睦。しかし植毛手術の当日、行けないと言っていたはずの夫が手術室に現れると同時に混乱し始め、一時手術は中断してしまう。【演出】猪股隆一【脚本】大石静【音楽】池頼広【製作著作】日本テレビ  【制作協力】トータルメディアコミュニケーション</t>
  </si>
  <si>
    <t>番組名クレオパトラな女たち　#5</t>
  </si>
  <si>
    <t>佐藤隆太、稲森いずみ、北乃きい、綾野剛、三浦翔平、芦名星、宮地雅子、宇納佑、いせゆみこ、奥田恵梨華、杉本有美、小篠恵奈、西田健、岩本多代、余貴美子　他昨夜の出来事は無かったかのようにキリッとしている睦。しかし峯太郎の脳裏から弱く儚い睦の姿が離れない。そして、女嫌いだが誠実で確かな技術を持つ峯太郎にクリニックのスタッフは自然と信頼をおいていく。そんな中、モデル並の美しさでプライドも高い星田が、峯太郎を攻撃し始め、終には峯太郎に求婚を迫る?【演出】岩本仁志【脚本】大石静【音楽】池頼広【製作著作】日本テレビ  【制作協力】トータルメディアコミュニケーション</t>
  </si>
  <si>
    <t>番組名クレオパトラな女たち　#6</t>
  </si>
  <si>
    <t>佐藤隆太、稲森いずみ、北乃きい、綾野剛、三浦翔平、芦名星、宮地雅子、宇納佑、いせゆみこ、奥田恵梨華、杉本有美、小篠恵奈、岩本多代、余貴美子　他結婚間近で幸せオーラを振りまく葵(北乃きい)。対して家庭の中で孤立感を深めていく睦(稲森いずみ)は、葵の結婚話で盛り上がる周囲の雰囲気から取り残されてしまう。峯太郎(佐藤隆太)はそんな睦を目で追ってしまう。睦に心を奪われていく峯太郎が気がかりでならない裕(綾野剛)。ある日、葵が始業時間になっても出勤してこない。心配するマリに促され峯太郎が葵のマンションを訪ねると、手首を切って倒れていた・・・。【演出】山下　司【脚本】大石　静【音楽】池　頼広【製作著作】日本テレビ  【制作協力】トータルメディアコミュニケーション</t>
  </si>
  <si>
    <t>番組名クレオパトラな女たち　#7</t>
  </si>
  <si>
    <t>佐藤隆太、稲森いずみ、北乃きい、綾野剛、三浦翔平、芦名星、宮地雅子、宇納佑、神尾佑、山崎一、明星真由美、いせゆみこ、奥田恵梨華、杉本有美、小篠恵奈、岩本多代、余貴美子院長マリ(余貴美子)が乳がん手術のためにしばらく休養を取ることに。マリ不在のクリニックに突然、峯太郎の父・慎太郎(山崎一)と恋人のさなみ(明星真由美)がやってくる。小顔の手術を希望するさなみは費用が高いと騒ぎ、さらに峯太郎は睦に惚れている!と言い出す始末。イラつく峯太郎に対し慎太郎は、父として男として思いを伝える。一方、峯太郎と睦が徐々に惹かれあうのを察知した裕が不安を募らせていく。【演出】猪股隆一【脚本】大石静【音楽】池頼広【製作著作】日本テレビ  【制作協力】トータルメディアコミュニケーション</t>
  </si>
  <si>
    <t>番組名クレオパトラな女たち　#8</t>
  </si>
  <si>
    <t>佐藤隆太、稲森いずみ、北乃きい、綾野剛、三浦翔平、芦名星、宮地雅子、宇納佑、神尾佑、山崎一、明星真由美、いせゆみこ、奥田恵梨華、杉本有美、小篠恵奈、佐藤瑠生亮、岩本多代、余貴美子女嫌いな峯太郎(佐藤隆太)がついに、睦(稲森いずみ)に好きだという気持ちを伝えた。その日二人は一夜を共にする。帰宅しない峯太郎を思い眠れない裕・・・。二人の様子を敏感に察知したBSCスタッフたちは不倫は不謹慎だと二人に対し冷たい態度を取りはじめる。そんな中、睦は離婚し息子の達也(佐藤瑠生亮)を連れて家を出たいと家族に申し出る。しかし市井家の反応は・・・。【演出】岩本仁志【脚本】大石静【音楽】池頼広【製作著作】日本テレビ  【制作協力】トータルメディアコミュニケーション</t>
  </si>
  <si>
    <t>1204_NTV_木23</t>
  </si>
  <si>
    <t>たぶらかし</t>
  </si>
  <si>
    <t>番組名木曜ミステリーシアター「たぶらかし～代行女優業・マキ～」#1</t>
  </si>
  <si>
    <t>谷村美月、山本耕史、宮崎美子、忍成修吾、内田慈、白羽ゆり、段田安則所属劇団が解散し、借金を背負った冬堂マキ(谷村美月)は女優オーディションの記事を読み、ORコーポレーションを訪ねる。社長の松平トキタダ(段田安則)に認められ、すぐに働く事に。ORコーポレーションの仕事とは“代行女優業”だった。  マキが演じるのは、自殺した女流画家、白鳥ゆりえの代役=葬儀の死体役だった。継母の白鳥桜子(宮崎美子)が殺したと信じるゆりえの夫、白鳥博人(忍成修吾)からの依頼だったが・・・http://www.ytv.co.jp/taburakashi/</t>
  </si>
  <si>
    <t>番組名木曜ミステリーシアター「たぶらかし　～代行女優業・マキ～」#2</t>
  </si>
  <si>
    <t>谷村美月、山本耕史、三浦理恵子、内田朝陽、白羽ゆり、段田安則マキ(谷村美月)は、女社長・竹内奈々(三浦理恵子)から自分の代わりに社長を演じて欲しいと依頼される。代役としてデートに行く事も依頼される。  デートの相手は、奈々がブログで知り合い好意を寄せるIT系会社経営者平野(内田朝陽)だった。デートの翌日、突然平野が会社に現れ、営業部門をサポートしたいと言い出す。タイミングが良すぎると心配するマキを余所に、平野は約束通り目覚しい業績を上げていくのだが・・・・http://www.ytv.co.jp/taburakashi/</t>
  </si>
  <si>
    <t>番組名木曜ミステリーシアター「たぶらかし　～代行女優業・マキ～」#3</t>
  </si>
  <si>
    <t>谷村美月、山本耕史、高岡早紀、朝倉えりか、米村亮太朗、白羽ゆり、段田安則マキ(谷村美月)は依頼人の斉藤あやめ(高岡早紀)から指名され、新しく出来た稲荷社の御言葉のお告げ役を演じる事に。だが、あやめは詐欺まがいの商売をしていた。マキは詐欺の片棒を担ぐ事は出来ないと訴えるが、あやめは飽くまでもヒーリングビジネスだと主張する。その後、あやめがある不条理な理由から500万円の借金を抱えており、借金取りから追われていることを知る。マキはあやめを助けるために芝居を始めるが…http://www.ytv.co.jp/taburakashi/</t>
  </si>
  <si>
    <t>番組名木曜ミステリーシアター「たぶらかし～代行女優業・マキ～」#4</t>
  </si>
  <si>
    <t>谷村美月、山本耕史、酒井美紀、野間口徹、近江谷太朗、向井理、白羽ゆり、段田安則マキ(谷村美月)は石川吾朗(野間口徹)から、妻の石川エリ(酒井美紀)とエリの勤める会社の上司、菅原部長(近江谷太朗)との不倫関係を終わらせて欲しいと依頼される。マキはエリの勤める会社で働き始め、菅原を誘惑するが中々思い通りにいかない。同じ代行俳優の白田(向井理)の協力で菅原の誘惑に成功した直後、菅原が立場を利用して、エリにセクハラを強要している事実を知る。マキはエリを救うため芝居を始める…http://www.ytv.co.jp/taburakashi/</t>
  </si>
  <si>
    <t>番組名木曜ミステリーシアター「たぶらかし　～代行女優業・マキ～」#5</t>
  </si>
  <si>
    <t>谷村美月、山本耕史、白羽ゆり、安藤聖、少路勇介、並樹史朗、根岸季衣、段田安則マキ(谷村美月)は久保まり子(安藤聖)から恋人の浅井康平(少路勇介)の両親、富子(根岸季衣)と昭夫(並樹史朗)の前で婚約者を演じて欲しいと依頼される。姑の富子を毛嫌いし、富子に会いたくないという理由からだった。そんな折、突然訪ねてきた昭夫に、まり子は恐怖を感じて逃げ出してしまう。マキは、まり子が以前キャバ嬢として働いていた時、昭夫がその店の客だったことを知る…http://www.ytv.co.jp/taburakashi/</t>
  </si>
  <si>
    <t>番組名木曜ミステリーシアター「たぶらかし　～代行女優業・マキ～」#6</t>
  </si>
  <si>
    <t>谷村美月、山本耕史、白羽ゆり、松山愛里、緒川たまき、浅野和之、段田安則マキはピアニストの桐嶋美響(松山愛里)から、離婚した父親・神崎隆一(浅野和之)に娘として会って欲しいと依頼される。神崎は視力を失っており、マキが娘として会ってもバレないと言う。マキが訪れると、神崎は家政婦・佐藤伸子(緒川たまき)と暮らしていた。美響がピアノを弾けない事を知ったマキは、その原因を探る為、美響を友人として神崎に紹介する。美響は、神崎の過去の不倫が原因でピアノが弾けなくなったと告白するがhttp://www.ytv.co.jp/taburakashi/</t>
  </si>
  <si>
    <t>1204_NTV_土21</t>
  </si>
  <si>
    <t>三毛猫ホームズの推理</t>
  </si>
  <si>
    <t>番組名三毛猫ホームズの推理　#1</t>
  </si>
  <si>
    <t>相葉雅紀、藤木直人、大倉忠義、大政絢、ベッキー、大浦龍宇一、大鶴義丹、小須田康人、島津健太郎、斉藤暁、マツコ・デラックス、尾美としのり、石坂浩二　ほか警視庁捜査一課の片山義太郎(相葉雅紀)は、女性恐怖症に高所恐怖症、血も苦手なダメ刑事。兄ヒロシ(藤木直人)と妹晴美(大政絢)の兄妹に叱咤激励されながらも、何度も辞表を出すような日々を過ごしていた。そんなある日、栗原一課長(石坂浩二)の頼みで後輩の石津刑事(大倉忠義)と女子大学へ詐欺事件の捜査に向かうことに。そこで義太郎は校内に居ついていた一匹の不思議な三毛猫と出会うーーー中島悟　【原作】赤川次郎『三毛猫ホームズ』シリーズ(光文社刊/角川文庫刊)  【脚本】大宮エリー金子隆博</t>
  </si>
  <si>
    <t>番組名三毛猫ホームズの推理　#2</t>
  </si>
  <si>
    <t>相葉雅紀、藤木直人、大倉忠義、大政絢、瀧本美織、半海一晃、平沼紀久、龍坐、阪田マサノブ、うえむらちか、星浩貴、花野りさ、小日向雪、石井香帆、マツコ・デラックス、尾美としのり、石坂浩二　ほか女性恐怖症克服のためなぜか恋愛セミナーを受講することになった義太郎(相葉雅紀)は、セミナー中に突然悲鳴を聞き、駆けつけると刺殺体があった。石津刑事(大倉忠義)と共に受講者名簿と教室に居た人間を照合するが、ただ一人“金崎沢子”という名前の受講者が見つからない。調べると金崎沢子という名の女性は、2年前に自殺をしていたことが判明する。幽霊恐怖症の義太郎は死んだはずの沢子の亡霊が現れたと震え・・・・中島悟大宮エリー金子隆博</t>
  </si>
  <si>
    <t>番組名三毛猫ホームズの推理　#3</t>
  </si>
  <si>
    <t>相葉雅紀、藤木直人、大倉忠義、大政絢、植木夏十、君沢ユウキ、シュシュ、加藤あい、榎木孝明、山口馬木也、北川弘美、細田よしひこ、春日井静奈、小松和重、長江英和、高橋真夏、小林遥香、マツコ・デラックス、尾美としのり、石坂浩二　ほかホームズの力で指名手配犯を逮捕し警察から表彰された義太郎(相葉雅紀)は、栗原(石坂浩二)からのご褒美と称して中世ヨーロッパ風の古城へ招待される。ウキウキと旅の支度をしていると、ヒロシ(藤木直人)と晴美(大政絢)からその古城への招待は栗原の知人であり財閥の社長・永江和哉(山口馬木也)とその一家の警護をすることが目的だと告げられる。驚く義太郎。しかも二人の兄妹と石津刑事(大倉忠義)も同行することに…南雲聖一高橋悠也金子隆博</t>
  </si>
  <si>
    <t>番組名三毛猫ホームズの推理　#4</t>
  </si>
  <si>
    <t>相葉雅紀、藤木直人、大倉忠義、大政絢、植木夏十、君沢ユウキ、シュシュ、加藤あい、榎木孝明、山口馬木也、北川弘美、細田よしひこ、春日井静奈、小松和重、長江英和、マツコ・デラックス、尾美としのり、石坂浩二　ほか古城に閉じ込められ、連続殺人事件に巻き込まれた義太郎(相葉雅紀)たち。「これ以上、犠牲者は出さない」と決意するものの、ホームズには愛想を尽かされ、ヒロシ(藤木直人)・晴海(大政絢)の兄妹には不甲斐なさを呆れられ、石津刑事(大倉忠義)も病に倒れ、完全に孤立してしまう。なんとか犯人を捕まえようと推理をしていく中で、容疑をかけたのは・・・南雲聖一【脚本】高橋悠也  【脚本協力】大宮エリー【音楽】金子隆博  【主題歌】「Your　Eyes」嵐(ジェイ・ストーム)</t>
  </si>
  <si>
    <t>番組名三毛猫ホームズの推理　#5</t>
  </si>
  <si>
    <t>相葉雅紀、藤木直人、大倉忠義、大政絢、植木夏十、君沢ユウキ、シュシュ、吉瀬美智子、長谷川朝晴、赤木伸輔、肘井美佳、マツコ・デラックス、尾美としのり、石坂浩二　ほか栗原一課長(石坂浩二)と共に食事をしていた義太郎(相葉雅紀)・ヒロシ(藤木直人)・晴美(大政絢)。そこで栗原から衝撃の一言が告げられる。なんと、以前提出していた辞表が受理され、義太郎は刑事を辞めることに。驚く片山一家。と、そこに一発の弾丸が飛び込んでくる。ガラスが割れ、大騒ぎの店内で神田勇一(隈部洋平)が倒れる。巻き起こる片山義太郎最後の事件。捜査を進めると、神田の死には不可解なことがあった。中島悟【原作】赤川次郎『三毛猫ホームズの推理』シリーズ(光文社刊/角川文庫刊)  【脚本】大宮エリー  【脚本協力】高橋悠也【音楽】金子隆博  【主題歌】「Your　Eyes」嵐(ジェイ・ストーム)</t>
  </si>
  <si>
    <t>番組名三毛猫ホームズの推理　#6</t>
  </si>
  <si>
    <t>相葉雅紀、藤木直人、大倉忠義、大政絢、植木夏十、君沢ユウキ、シュシュ、吉瀬美智子、長谷川朝晴、赤木伸輔、肘井美佳、円城寺あや、マツコ・デラックス、尾美としのり、石坂浩二　ほかある日、義太郎(相葉雅紀)が食事をしていたレストランに突然、弾丸が飛び込んできたことで始まった今回の事件。被害者の出身地や犯行の凶器と、奇妙に連鎖する殺人事件を刑事生活最後の事件として追っていた義太郎であったが、辞職の日が迫り、ついに捜査から外されることに…。そして、共に捜査をしていた津川旬子(吉瀬美智子)に対しては、結婚を決意したその瞬間に姿を消されてしまい、絶望の淵に立たされてしまう義太郎。中島悟【原作】赤川次郎『三毛猫ホームズの推理』シリーズ(光文社刊/角川文庫刊)  【脚本】大宮エリー  【脚本協力】高橋悠也【音楽】金子隆博  【主題歌】「Your　Eyes」嵐(ジェイ・ストーム)</t>
  </si>
  <si>
    <t>番組名三毛猫ホームズの推理　#7</t>
  </si>
  <si>
    <t>相葉雅紀、藤木直人、大倉忠義、大政絢、植木夏十、君沢ユウキ、シュシュ、紺野まひる、織本順吉、森康子、飯田基祐、平賀雅臣、八代真吾、神農直隆、佐々木俊彦、竹林真美、マツコ・デラックス、尾美としのり、石坂浩二　ほか「おまえはどんな刑事になりたいんだ!」兄・ヒロシ(藤木直人)に酔っ払いながらも突きつけられた疑問に答えを見出せない義太郎(相葉雅紀)であったが、アパート火災に遭遇し、石津刑事(大倉忠義)と共に現場へ駆けつける。そこで老夫婦と1羽のインコを救い出した二人であったがこの火災は老朽化した住宅を狙った連続放火事件と関連しているとみられ、栗原一課長(石坂浩二)率いる捜査一課が出動することに。菅原伸太郎【原作】赤川次郎『三毛猫ホームズの推理』シリーズ(光文社刊/角川文庫刊)  【脚本】高橋悠也【音楽】金子隆博  【主題歌】「Your　Eyes」嵐(ジェイ・ストーム)</t>
  </si>
  <si>
    <t>番組名三毛猫ホームズの推理　#8</t>
  </si>
  <si>
    <t>相葉雅紀、藤木直人、大倉忠義、大政絢、植木夏十、君沢ユウキ、シュシュ、岡本玲、有村架純、松澤一之、東根作寿英、西山繭子、児玉貴志、梶原ひかり、須永慶、恒吉梨絵、本田緑、谷一歩、清水芹夏、西條澪、マツコ・デラックス、尾美としのり、石坂浩二　ほか栗原一課長(石坂浩二)に言われ、女性恐怖症にもかかわらず、女子大で講義をすることになった義太郎(相葉雅紀)。しかし、それは大学に蔓延る薬物売買の特命捜査でもあった。薬物売買の第一容疑者:宮越友美(岡本玲)やその友人の村瀬明日香(有村架純)を始め、見渡す限り女子ばかりの光景に戸惑いながらも授業を始める義太郎。と、頭上から鎖に吊るされた女子大生の遺体が降りてきて、その光景に義太郎は失神してしまう。南雲聖一【原作】赤川次郎『三毛猫ホームズの推理』シリーズ(光文社刊/角川文庫刊)  【脚本】大宮エリー  【脚本協力】宮本武史【音楽】金子隆博  【主題歌】「Your　Eyes」嵐(ジェイ・ストーム)</t>
  </si>
  <si>
    <t>番組名三毛猫ホームズの推理　#9</t>
  </si>
  <si>
    <t>相葉雅紀、藤木直人、大倉忠義、大政絢、植木夏十、君沢ユウキ、シュシュ、岡本玲、有村架純、松澤一之、東根作寿英、西山繭子、児玉貴志、梶原ひかり、須永慶、神崎孝一郎、恒吉梨絵、本田緑、谷一歩、清水芹夏、マツコ・デラックス、尾美としのり、石坂浩二　ほかホームズに別れを告げて自分の力で事件を解決すると決意した義太郎(相葉雅紀)は、麻薬が横行しているという女子大で発生した連続殺人を追う。しかしドラッグパーティと疑われた会場付近の一室で奈良教授(松澤一之)が遺体で発見され、その傍で凶器を手にして立っていたのは、義太郎が「信じる」と約束をした相手、宮越友美(岡本玲)であった。取調べを受ける友美は容疑を否認し、義太郎は何とか友美の無実を証明しようと…南雲聖一【原作】赤川次郎『三毛猫ホームズの推理』シリーズ(光文社刊/角川文庫刊)  【脚本】大宮エリー  【脚本協力】宮本武史【音楽】金子隆博  【主題歌】「Your　Eyes」嵐(ジェイ・ストーム)</t>
  </si>
  <si>
    <t>番組名三毛猫ホームズの推理　#10</t>
  </si>
  <si>
    <t>相葉雅紀、藤木直人、大倉忠義、大政絢、植木夏十、君沢ユウキ、シュシュ、陣内孝則、神尾佑、赤屋板明、光宣、黒澤宏貴、マイク・ハン、升毅、マツコ・デラックス、尾美としのり、石坂浩二　ほかホームズと決定的な別れをし、落ち込む義太郎(相葉雅紀)。その時、23年前に銀行強盗を起こし警察官を射殺し服役していた一人の男、金田広造(陣内孝則)が脱獄した。金田が寝ぐらにしていた廃工場を突き止め、踏み込む捜査一課。と、拳銃を所持していた金田を栗原一課長(石坂浩二)が発見し銃撃戦となる。鳴り響く4発の銃声。それを聞きつけた義太郎らが駆けつけると、そこには栗原と村田刑事(君沢ユウキ)が倒れていて…松永洋一【原作】赤川次郎『三毛猫ホームズの推理』シリーズ(光文社刊/角川文庫刊)  【脚本】山浦雅大【音楽】金子隆博  【主題歌】「Your　Eyes」嵐(ジェイ・ストーム)</t>
  </si>
  <si>
    <t>番組名三毛猫ホームズの推理　#11</t>
  </si>
  <si>
    <t>相葉雅紀、藤木直人、大倉忠義、大政絢、植木夏十、君沢ユウキ、シュシュ、陣内孝則、神尾佑、麿赤兒、升毅、平岳大、マツコ・デラックス、尾美としのり、石坂浩二　ほかヒロシ(藤木直人)と晴美(大政絢)の兄妹から、父・正太郎(平岳大)を殺した犯人が金田広造(陣内孝則)であると聞かされた義太郎(相葉雅紀)。困惑する片山一家の元に、チャイムが鳴り響く。すると渦中の指名手配犯である金田がいて・・・?!正太郎の死の真相ーーー。過去と現代が絡まり、謎が連鎖する事件。全ての黒幕は一体誰なのか?義太郎は真実を突き止められるのか?いよいよ全ての謎を解く最終回が始まるーーー中島悟【原作】赤川次郎『三毛猫ホームズの推理』シリーズ(光文社刊/角川文庫刊)  【脚本】大宮エリー、高橋悠也【音楽】金子隆博  【主題歌】「Your　Eyes」嵐(ジェイ・ストーム)</t>
  </si>
  <si>
    <t>1201_NTV_水22</t>
  </si>
  <si>
    <t>ダーティ・ママ！</t>
  </si>
  <si>
    <t>番組名ダーティ・ママ!　#1&lt;15分拡大&gt;</t>
  </si>
  <si>
    <t>永作博美、香里奈、上地雄輔、佐藤二朗、野間口徹、林泰文、加藤虎ノ介、安田顕、八嶋智人1歳の息子を連れ、颯爽と現場に現れる敏腕シングルマザー刑事・丸岡高子(永作博美)。突然刑事課に仮採用となった長嶋葵(香里奈)は、そんなルールも常識もお構いなしの高子とバディを組み、壮絶な日々を送ることに…。高子から無理難題を押し付けられ、無茶な捜査の片棒を担がされ、高子の息子・橋蔵の世話に悪戦苦闘。恋人の卓也(上地雄輔)との関係にも暗雲が。それでも必死に喰らいつく葵だったが、ついに我慢の限界が…。【演出】南雲聖一【原作】秦建日子  【脚本】白木朋子【音楽】菅野祐悟【制作協力】オフィスクレッシェンド</t>
  </si>
  <si>
    <t>番組名ダーティ・ママ!　#2</t>
  </si>
  <si>
    <t>永作博美、香里奈、上地雄輔、佐藤二朗、野間口徹、林泰文、加藤虎ノ介、安田顕、八嶋智人　ほかワールドマネージャパン社長の三宅の転落を目の当たりにした高子(永作博美)と葵(香里奈)。関係者の幸代を保護しようと考えた高子だが、地域課の卓也(上地雄輔)と警備をしているところを謎の二人組みに襲われる。刑事の仕事の危険さを思い知った卓也は、葵との結婚を真剣に考えることに。そんな中、事件は思わぬ展開を見せ、高子の破天荒な捜査がまた始まった・・・!【演出】南雲聖一【原作】秦建日子  【脚本】白木朋子【音楽】菅野祐悟【制作協力】オフィスクレッシェンド</t>
  </si>
  <si>
    <t>番組名ダーティ・ママ!　#3</t>
  </si>
  <si>
    <t>永作博美、香里奈、上地雄輔、佐藤二朗、野間口徹、林泰文、加藤虎ノ介、安田顕、八嶋智人　ほか高子(永作博美)のベビーシッターである葵(香里奈)の後任として、なんと卓也(上地雄輔)が刑事課にやってくる。葵に辞めてもらおうとする深沢(八嶋智人)だが、高子の提案により葵と卓也は刑事課残留をかけて対決することになってしまう。  そんな中、卓也の幼馴染が「上司に襲われた」と刑事課にやってくる。こうして、敏腕シングルマザー刑事とベビーシッター刑事二人の、破天荒捜査がまた始まった・・・!【演出】茂山佳則【制作協力】オフィスクレッシェンド</t>
  </si>
  <si>
    <t>番組名ダーティ・ママ!　#4</t>
  </si>
  <si>
    <t>永作博美、香里奈、上地雄輔、佐藤二朗、野間口徹、林泰文、かたせ梨乃、加藤虎ノ介、安田顕、八嶋智人　ほか公園で女性の絞殺体が発見され、現場に急行する高子(永作博美)たち。仕事に燃えて現場にやってきた葵(香里奈)であったが、一方で「妊娠したかもしれない」という思いに悩まされていた……!事件の被疑者となったのは被害者の元恋人と、その妻である小谷一途・夕実夫妻。徐々に二人の犯行を裏付けるような情報が上がって来る中、高子だけは、まったく違うところに目をつけ、またムチャクチャな捜査を始めるのだった……!!【演出】南雲聖一【原作】秦建日子  【脚本】小林昌【音楽】菅野祐悟【制作協力】オフィスクレッシェンド</t>
  </si>
  <si>
    <t>番組名ダーティ・ママ!　#5</t>
  </si>
  <si>
    <t>永作博美、香里奈、上地雄輔、佐藤二朗、野間口徹、林泰文、かたせ梨乃、加藤虎ノ介、安田顕、八嶋智人　ほか強盗未遂犯による立てこもり事件発生!!午後から橋蔵の認知調停を控えている高子(永作博美)は、「3時間で解決する」と深沢(八嶋智人)に言い放ち、葵(香里奈)が人質となっているレディースクリニックへと向かった!  「要求は無い」と言う不可解な立てこもり犯に、おなじみの強引な手法で高子が挑む!【演出】茂山佳則【原作】秦建日子  【脚本】白木朋子　小林昌  【脚本監修】秦建日子【音楽】菅野祐悟【制作協力】オフィスクレッシェンド</t>
  </si>
  <si>
    <t>番組名ダーティ・ママ!　#6</t>
  </si>
  <si>
    <t>永作博美、香里奈、上地雄輔、板谷由夏、佐藤二朗、野間口徹、林泰文、加藤虎ノ介、安田顕、八嶋智人　ほか高子(永作博美)のベビーシッター就任期間最長記録を更新中の葵(香里奈)だが、なかなか高子からは認めてもらえない。  そんな中、出張コスプレ耳かき店『ハリウッド』の女性が殺害される事件が発生し、なんと高子と葵は『ハリウッド』に潜入捜査をすることに!!  耳かきガールになりきって奮闘する葵だが、事件が新たな展開を見せ・・・!?【演出】狩山俊輔【原作】秦建日子  【脚本】小林昌【音楽】菅野祐悟【制作協力】オフィスクレッシェンド</t>
  </si>
  <si>
    <t>番組名ダーティ・ママ!　#7</t>
  </si>
  <si>
    <t>永作博美、香里奈、上地雄輔、板谷由夏、佐藤二朗、野間口徹、林泰文、かたせ梨乃、加藤虎ノ介、安田顕、八嶋智人　ほか病院に救急搬送された葵(香里奈)の元に駆け付ける高子(永作博美)と卓也(上地雄輔)だが、葵は依然として意識不明。  深夜の捜査会議では、『ハリウッド』連続殺人事件にもう一人の犯人がいることが発覚する。人を掻きわけ、ゴミを掻きわけ、走り回る高子の捜査によって、全ての事件の裏に隠された、悲しい真相が明らかになる……!!【演出】南雲聖一【原作】秦建日子  【脚本】小林昌  【脚本協力】白木朋子【音楽】菅野祐悟【制作協力】オフィスクレッシェンド</t>
  </si>
  <si>
    <t>番組名ダーティ・ママ!　#8</t>
  </si>
  <si>
    <t>永作博美、香里奈、上地雄輔、板谷由夏、佐藤二朗、野間口徹、林泰文、かたせ梨乃、加藤虎ノ介、安田顕、八嶋智人　ほか高子(永作博美)と葵(香里奈)の所属する麻布南署をはじめ、警視庁管轄の警察署では、合成麻薬の流通と、それに関連した未成年による事件の取り締まりが強化されていた。そんな中、深沢(八嶋智人)のひとり息子・太郎(須賀健太)が補導されたと、隣の署から連絡が入る・・・!!未成年をも闇に突き落とす麻薬密売組織と、未成年をも利用する高子の戦いが、今始まる。【演出】狩山俊輔【原作】秦建日子  【脚本】秦建日子  【脚本協力】遠山絵梨香【音楽】菅野祐悟【制作協力】オフィスクレッシェンド</t>
  </si>
  <si>
    <t>番組名ダーティ・ママ!　#9</t>
  </si>
  <si>
    <t>永作博美、香里奈、上地雄輔、板谷由夏、佐藤二朗、野間口徹、林泰文、かたせ梨乃、加藤虎ノ介、安田顕、八嶋智人　ほか高子(永作博美)の違法捜査が週刊誌にスクープされた!次に記事が出たら免職だと告げられる高子に対し、葵(香里奈)や深沢(八嶋智人)たち刑事課の一同は「プランB」を発動して高子を縛り上げる。一方、記事を書いた玲子(板谷由夏)は高子の過去の違法捜査を追い、事件に巻き込まれていた・・・!!  プロの刑事VSプロの記者!女の戦いが、今、始まる!!【演出】茂山佳則【原作】秦建日子  【脚本】小林昌【音楽】菅野祐悟【制作協力】オフィスクレッシェンド</t>
  </si>
  <si>
    <t>番組名ダーティ・ママ!　#10</t>
  </si>
  <si>
    <t>永作博美、香里奈、上地雄輔、佐藤二朗、野間口徹、林泰文、かたせ梨乃、加藤虎ノ介、安田顕、八嶋智人　ほか橋蔵が誘拐された!!!　裁判所の仮処分決定によって引き離された橋蔵の奪還を企てる高子(永作博美)の元に、「橋蔵が連れ去られた」と靖子(かたせ梨乃)が殴りこんでくる。高子が誘拐したに違いないと言い張る靖子に激怒する葵(香里奈)だが、依然として真犯人は不明。いったい橋蔵はどこへ行ったのか・・・?全ての真相が明らかになったとき、高子は、刑事として、母として、究極の選択を迫られることになる・・・!!【演出】南雲聖一【原作】秦建日子  【脚本】小林昌、白木朋子【音楽】菅野祐悟【制作協力】オフィスクレッシェンド</t>
  </si>
  <si>
    <t>1201_NTV_土21</t>
  </si>
  <si>
    <t>理想の息子</t>
  </si>
  <si>
    <t>番組名理想の息子　#1</t>
  </si>
  <si>
    <t>山田涼介、沢村一樹、藤ヶ谷太輔、中島裕翔、武田航平、梅沢昌代、宮地雅子、萩原利映、松金よね子、伊藤正之、久保酎吉、弘中麻紀、村上剛基、吉田祐健、穴原辰宣、竹内晶子、高橋陽子、折山みゆ、後藤郁、竹内太郎、ケンドーコバヤシ、須藤理彩、金子ノブアキ、鈴木杏樹、鈴木京香安アパートで仲睦まじく暮らす母子、鈴木大地と鈴木海。息子の大地は世界で一番母ちゃんが好きというNEOマザコン高校生で、母・海はその息子を思うままに操り、自分に家を買わせることを目標に必死に理想の息子を育ててきた。そんなある日、工業高校(極悪)の学食で働くこととなった海。大地は「母ちゃんは俺が守る!」と勝手に転校。そこで一人怯える小林浩司(中島裕翔)や高校のカリスマ三船憲吾(藤ヶ谷太輔)と出会う…佐久間紀佳、中島悟、森雅弘野島伸司【音楽】横山克  【主題歌】「SUPER　DELICATE」Hey!Say!JUMP(ジェイ・ストーム)</t>
  </si>
  <si>
    <t>番組名理想の息子　#2</t>
  </si>
  <si>
    <t>山田涼介、沢村一樹、藤ヶ谷太輔、中島裕翔、入江甚儀、武田航平、脇知弘、梅沢昌代、宮地雅子、萩原利映、渡辺大貴、央川奈知、飯田のえる、樽見貞幸、辺土名龍介、岸田タツヤ、ケンドーコバヤシ、須藤理彩、金子ノブアキ、鈴木杏樹、鈴木京香　ほか　悪名名高い海王工業への転校間もなく、悪の巣窟と呼ばれるボクシング部にマザコンコアラパンチを放った大地(山田涼介)。その後学校へ行くと、なぜか大地は「つきあってくれ」と校内の男子たちに次々と迫られ始める。学食で働く海(鈴木京香)はそんな大地を目撃して、まさか自分の息子がゲイなのでは!?と思いこみ、一人苦悩する。佐久間紀佳野島伸司【音楽】横山克  【主題歌】「SUPER　DELICATE」Hey!Say!JUMP(ジェイ・ストーム)</t>
  </si>
  <si>
    <t>番組名理想の息子　#3</t>
  </si>
  <si>
    <t>山田涼介、沢村一樹、藤ヶ谷太輔、中島裕翔、入江甚儀、柄本時生、武田航平、脇知弘、三吉彩花、梅沢昌代、宮地雅子、萩原利映、ケンドーコバヤシ、須藤理彩、金子ノブアキ、鈴木杏樹、鈴木京香　ほか「私、息子に殺されるかもしれない…」。これまで全く自分に反抗せず、純粋無垢に反抗期らしい反抗期を迎えず育ってきた大地(山田涼介)が、ストレスを溜め込み、やがて激しい家庭内暴力に走るのではないか!と想像を膨らます海(鈴木京香)。家に帰るやいなや、隣人の実(沢村一樹)の手を借りて、家中のナイフやフォークなど、あらゆる危険物を隠し、息子の爆発に備え始める。そして、海のとった作戦とは……森雅弘野島伸司【音楽】横山克  【主題歌】「SUPER　DELICATE」Hey!Say!JUMP(ジェイ・ストーム)</t>
  </si>
  <si>
    <t>番組名理想の息子　#4</t>
  </si>
  <si>
    <t>山田涼介、沢村一樹、藤ヶ谷太輔、中島裕翔、入江甚儀、柄本時生、武田航平、脇知弘、三吉彩花、諸見里大介、梅沢昌代、宮地雅子、萩原利映、ケンドーコバヤシ、須藤理彩、金子ノブアキ、鈴木杏樹、鈴木京香　ほかある日海王工業高校に現れた、象のように大きな謎の男。ある理由で怒った謎の男は、浩司(中島裕翔)やその他海王工業の生徒たち相手に暴れまくり、学内は騒然!その男を止めるべく大地(山田涼介)が一人向かうと、その道中で海王工業最強の男・三船憲吾(藤ヶ谷太輔)と合流することに。共に歩き始める二人、まさかのタッグ結成か!?一方海はパート仲間との会話からあることに怯えることに…佐久間紀佳野島伸司【音楽】横山克  【主題歌】「SUPER　DELICATE」Hey!Say!JUMP(ジェイ・ストーム)</t>
  </si>
  <si>
    <t>番組名理想の息子　#5</t>
  </si>
  <si>
    <t>山田涼介、沢村一樹、藤ヶ谷太輔、中島裕翔、入江甚儀、柄本時生、武田航平、脇知弘、三吉彩花、諸見里大介、吉永淳、梅沢昌代、宮地雅子、萩原利映、ケンドーコバヤシ、須藤理彩、金子ノブアキ、鈴木杏樹、鈴木京香　ほか親父狩りにあっていた実(沢村一樹)を、救った謎の少年・豹塚(吉永淳)が大地(山田涼介)のクラスに転校してきた。豹塚の家は太極拳道場をやっており、腕には自信があるという。自分の強さを示そうと、海王最強の憲吾(藤ヶ谷太輔)、そして猛者どもに戦いを挑むが、それにはある理由と秘密があった。一方、海(鈴木京香)は海王に通う大地が悪に染まっていくのではと心配し、「友達にふさわしいか面談」を決行する。中島悟野島伸司【音楽】横山克  【主題歌】「SUPER　DELICATE」Hey!Say!JUMP(ジェイ・ストーム)</t>
  </si>
  <si>
    <t>番組名理想の息子　#6</t>
  </si>
  <si>
    <t>山田涼介、沢村一樹、藤ヶ谷太輔、中島裕翔、入江甚儀、柄本時生、武田航平、脇知弘、三吉彩花、諸見里大介、吉永淳、林遣都、梅沢昌代、宮地雅子、萩原利映、千代将太、安藤龍、吉田大、吉田拓、ケンドーコバヤシ、須藤理彩、金子ノブアキ、鈴木杏樹、鈴木京香　ほか海が突然ドレスアップ!動揺する大地に「モデルを頼まれた」と海。美術教師の池田(金子ノブアキ)にモデルを頼まれ、ドレスをプレゼントされたと言う。さらに海は池田が大地の父親にソックリで、ときめいてしまったのだと大地に告げる。大地がショックを受ける一方で、海王工業に、金狼(林遣都)率いる最凶の不良軍団・城国商業の魔の手が忍び寄っていた。金狼の狙いは…?佐久間紀佳野島伸司【音楽】横山克  【主題歌】「SUPER　DELICATE」Hey!Say!JUMP(ジェイ・ストーム)</t>
  </si>
  <si>
    <t>番組名理想の息子　#7</t>
  </si>
  <si>
    <t>山田涼介、沢村一樹、藤ヶ谷太輔、中島裕翔、、入江甚儀、柄本時生、武田航平、脇知弘、三吉彩花、諸見里大介、吉永淳、林遣都、梅沢昌代、宮地雅子、萩原利映、REDRICE、千代将太、安藤龍、吉本大、吉本拓、相沢直美、ケンドーコバヤシ、須藤理彩、金子ノブアキ、鈴木杏樹、鈴木京香　ほか大地(山田涼介)の目の前に突然現れたのは、海(鈴木京香)に死んだと言い聞かされていたはずの父・雄吾(金子ノブアキ)だった。「迎えにきたんだ」という雄吾の言葉に混乱する大地は「どうして死んだなんてウソをついていたんだ」と海を責める。海も、16年ぶりの元夫の登場に動揺しつつも「やはり大地に父親は必要なのかもしれない」と思い始めていた。一方、海王工業へ乗り込んできたのは・・・中島悟野島伸司【音楽】横山克  【主題歌】「SUPER　DELICATE」Hey!Say!JUMP(ジェイ・ストーム)</t>
  </si>
  <si>
    <t>番組名理想の息子　#8</t>
  </si>
  <si>
    <t>山田涼介、沢村一樹、藤ヶ谷太輔、中島裕翔、入江甚儀、柄本時生、武田航平、脇知弘、三吉彩花、諸見里大介、吉永淳、風間俊介、梅沢昌代、宮地雅子、萩原利映、ケンドーコバヤシ、須藤理彩、金子ノブアキ、鈴木杏樹、鈴木京香　ほか大地(山田涼介)の実の母は光子(鈴木杏樹)で、海(鈴木京香)の実の息子は浩司(中島裕翔)?!生まれてすぐふたりが病院で取り違えられていたと衝撃の過去を告げられる大地と海。戸惑いながらも大地は光子と、海は浩司と暮らし始めることに。そんな中、国家プロジェクトに関わる事業をめぐって社長の息子7人が集められて戦い、勝者の会社が事業を請け負うという。浩司に替わってマルコバの跡継ぎとなった大地は…?!佐久間紀佳野島伸司【音楽】横山克  【主題歌】「SUPER　DELICATE」Hey!Say!JUMP(ジェイ・ストーム)</t>
  </si>
  <si>
    <t>番組名理想の息子　#9</t>
  </si>
  <si>
    <t>山田涼介、沢村一樹、藤ヶ谷太輔、中島裕翔、入江甚儀、柄本時生、武田航平、脇知弘、三吉彩花、諸見里大介、吉永淳、梅沢昌代、宮地雅子、萩原利映、石橋杏奈、ケンドーコバヤシ、須藤理彩、金子ノブアキ、鈴木杏樹、鈴木京香　ほか浩司(中島裕翔)の替え玉としてG7の戦いを終えた大地(山田涼介)のもとに、ソラ(石橋杏奈)という少女が訪ねてくる。ソラは篠田大臣(金子ノブアキ)の娘で、G7の勝者と結婚することになっていたという。マルコバの息子ではないと逃げる大地だったが、替え玉だとわかった上で「大地の妻になることを決めた」と引かないソラは結局大地と海の家に転がり込み、ソラに対して海(鈴木京香)は、初めて姑の気分を味わうことに。森雅弘野島伸司【音楽】横山克  【主題歌】「SUPER　DELICATE」Hey!Say!JUMP(ジェイ・ストーム)</t>
  </si>
  <si>
    <t>番組名理想の息子　#10</t>
  </si>
  <si>
    <t>山田涼介、沢村一樹、藤ヶ谷太輔、中島裕翔、入江甚儀、柄本時生、武田航平、脇知弘、三吉彩花、諸見里大介、吉永淳、梅沢昌代、宮地雅子、萩原利映、石橋杏奈、五十嵐空、ケンドーコバヤシ、須藤理彩、金子ノブアキ、鈴木杏樹、鈴木京香　ほか「結婚することにした」と大地(山田涼介)に爆弾発言の海(鈴木京香)。大地は冗談じゃない!と聞く耳を持たないが、実(沢村一樹)に「いい加減、親離れしないと」と諭される。一方、ニセ大地を使い、大地の評判が落ちるよう陥れていた浩司は母・光子(鈴木杏樹)との溝を埋められないまま、また憲吾(藤ヶ谷太輔)は、念願の母親との再会を果たすがその結果はあまりにも辛いものだった。佐久間紀佳野島伸司【音楽】横山克  【主題歌】「SUPER　DELICATE」Hey!Say!JUMP(ジェイ・ストーム)</t>
  </si>
  <si>
    <t>1110_NTV_水22</t>
  </si>
  <si>
    <t>家政婦のミタ</t>
  </si>
  <si>
    <t>番組名家政婦のミタ　#1</t>
  </si>
  <si>
    <t>松嶋菜々子、長谷川博己、相武紗季、忽那汐里、野波麻帆、佐藤仁美、中川大志、綾部守人、本田望結、平泉成、白川由美家政婦の三田灯(松嶋菜々子)は、頼まれた仕事は何でも完璧にするが、常に無表情で感情が読み取れない。三田が派遣された阿須田家の家長の恵一(長谷川博己)と子供・結(忽那汐里)、翔、海斗、希衣は、数ヶ月前に母を事故で亡くし大きなショックを受けていた。三田が来て家は見違えるようにきれいになる。しかし叔母・結城うらら(相武紗季)が希衣のパーティーを提案。希衣はプレゼントに「お母さんに会いたい」と言い出す。猪股隆一遊川和彦池頼広5年D組</t>
  </si>
  <si>
    <t>番組名家政婦のミタ　#2</t>
  </si>
  <si>
    <t>松嶋菜々子、長谷川博己、相武紗季、忽那汐里、  中川大志、綾部守人、本田望結、平泉成、白川由美妻が自分のせいで自殺したことを三田(松嶋菜々子)に吐露した恵一(長谷川博己)だが、子どもたちには秘密にして欲しいと頼む。そんな中、小6の二男・海斗から、カンニングや万引きを強要するいじめっ子の古田に“お灸をすえて欲しい”と頼まれた三田は、古田に殴りかかり大問題に。怒った古田から酷いいじめを受けるようになった海斗は三田に「古田を殺してくれないか」と頼む。「承知しました。」古田の元へ向かう三田は・・・【演出】猪股隆一【脚本】遊川和彦池頼広【制作協力】5年D組</t>
  </si>
  <si>
    <t>番組名家政婦のミタ　#3</t>
  </si>
  <si>
    <t>松嶋菜々子、長谷川博己、相武紗季、忽那汐里、  中川大志、綾部守人、本田望結、平泉成、白川由美　母の死の真相を知った結は、父に激しく怒りをぶつける。そして、精神的に不安定になり、学校で男子にからかわれてケンカ騒ぎを起こしてしまう。一方、翔、海斗、希衣は、謎めいた三田の正体が気になり、休日の三田を尾行することに。すると、三田が向かったのは意外な場所だった。怒りがおさまらない結は、父が不倫していたことを会社にばらすように三田に頼む。すると、三田は恵一の会社に出向き、すべての真相を記したビラを配る【演出】佐藤東弥【脚本】遊川和彦池頼広【制作協力】5年D組</t>
  </si>
  <si>
    <t>番組名家政婦のミタ　#4</t>
  </si>
  <si>
    <t>松嶋菜々子、長谷川博己、相武紗季、忽那汐里、  中川大志、綾部守人、本田望結、平泉成、白川由美母の死の真相を知った子供たちは家を出ていったものの、これからどう生きていけばよいか悩んでいた。一人取り残された恵一(長谷川博己)は、三田(松嶋菜々子)に苦しい胸の内を語る。しかし三田は、何の感情も見せない。恵一はそんな三田に「もう来なくていい」とクビにする。すると、三田から恵一に電話が・・・「希衣さんを誘拐しました。要求が飲めなければ命の保証はありません。」三田の狙いとは?【演出】石尾純【脚本】遊川和彦池頼広【制作協力】5年D組</t>
  </si>
  <si>
    <t>番組名家政婦のミタ　#5</t>
  </si>
  <si>
    <t>松嶋菜々子、長谷川博己、相武紗季、忽那汐里、  中川大志、綾部守人、本田望結、平泉成、白川由美父・恵一(長谷川博己)が出ていき、子供4人で暮らし始めた阿須田家。長男の翔は、自分が父親代わりとして家族の中心になろうとするが、誰にも相手にされない。いら立つ翔は、学校で周囲に当たり散らし、街では暴力事件を起こす。さらには、三田(松嶋菜々子)に無茶な命令を。三田「キスをすればよろしいですか?それとも脱ぎましょうか?」そして、翔「隣の家をメチャクチャにして」三田は隣家の前に立ちはだかり・・・【演出】猪股隆一【脚本】遊川和彦池頼広【制作協力】5年D組</t>
  </si>
  <si>
    <t>番組名家政婦のミタ　#6</t>
  </si>
  <si>
    <t>松嶋菜々子、長谷川博己、相武紗季、忽那汐里、  中川大志、綾部守人、本田望結、平泉成、白川由美　祖父・義之(平泉成)から養子になれと言われ困惑する弟たちから、これからどうするのかと迫られた結(忽那汐里)は「勝手にすればいい」と言い放つ。三田(松嶋菜々子)は「家族の問題に意見を言うつもりはない」と冷たく突き放す。重くのしかかる家族の問題から逃れたい結だったが、恋人の拓也にも裏切られる。絶望した結は三田に、「私を殺してほしい」と頼む。三田「承知しました」三田は、結に向かって刃物を振り上げ…【演出】日暮謙【脚本】遊川和彦池頼広【制作協力】5年D組</t>
  </si>
  <si>
    <t>番組名家政婦のミタ　#7</t>
  </si>
  <si>
    <t>松嶋菜々子、長谷川博己、相武紗季、忽那汐里、  中川大志、綾部守人、本田望結、平泉成、白川由美「夫と子供を殺した」と告白した三田(松嶋菜々子)は阿須田家の子供たちから事情を聞かれるが、固く口を閉ざす。希衣が幼稚園のお遊戯会で主役を演じることに。  結は「希衣のお遊戯会に来て自分たちを愛していることを証明して」と恵一(長谷川博己)に伝えるよう、三田に頼む。しかし、自信がない恵一は「お遊戯会を中止にしてほしい」と三田に頼む。お遊戯会当日。三田は手に金属バットを持って舞台に上がり…。【演出】石尾純【脚本】遊川和彦池頼広【制作協力】5年D組</t>
  </si>
  <si>
    <t>番組名家政婦のミタ　#8</t>
  </si>
  <si>
    <t>松嶋菜々子、長谷川博己、相武紗季、忽那汐里、  中川大志、綾部守人、本田望結、平泉成、白川由美子供たちは、三田(松嶋菜々子)の心を開こうと必死に訴えかける。希衣は三田にモナカを差し出す。それを三田は噛みしめるように食べた。そして、ついに自分の過去を語り始めるのだった…。三田「こうして、わたくしの人生から未来が消えました。」まるで、ダムが決壊したようにあふれる想いを吐露する三田。夫と息子はなぜ死んだのか?三田が感情を失い、笑わなくなった背景には、壮絶な過去があった・・・【演出】猪股隆一【脚本】遊川和彦池頼広【制作協力】5年D組</t>
  </si>
  <si>
    <t>番組名家政婦のミタ　#9　&lt;15分拡大&gt;</t>
  </si>
  <si>
    <t>松嶋菜々子、長谷川博己、相武紗季、忽那汐里、  中川大志、綾部守人、本田望結、平泉成、白川由美　壮絶な過去を告白して、阿須田家から去っていった三田(松嶋菜々子)は、なんと隣の皆川家で働き始める。真利子は三田に夫を尾行するよう指示し、不倫の事実を知る。やけになった真利子は「一家心中するから家ごと燃やして」と三田に命じる。三田はリビングに灯油をまき、火をつけようとする。パニックに陥った真利子は三田に「あなたが死ねばいい」と口走る。その言葉を聞いた三田は、自ら灯油をかぶり…。【演出】佐藤東弥【脚本】遊川和彦池頼広【制作協力】5年D組放送枠を15分拡大して放送します</t>
  </si>
  <si>
    <t>番組名家政婦のミタ　#10</t>
  </si>
  <si>
    <t>松嶋菜々子、長谷川博己、相武紗季、忽那汐里、  中川大志、綾部守人、本田望結、勝地涼(友情出演)、平泉成、白川由美再び阿須田家に戻った三田(松嶋菜々子)は、亡くなった夫と息子の幻覚を見るようになる。海斗は授業参観で母への感謝状を読むことになった。悩む海斗に三田は声をかけそうになるが・・・そんな中、夕食の準備をする三田を手伝おうとした希衣が火傷を負ってしまう。「自分が周りの人間を不幸にしてしまう呪縛からは逃れられない」そう痛感した三田は遊園地へ赴く。死んだ夫と息子の幻覚と向き合うために…【演出】石尾純【脚本】遊川和彦池頼広【制作協力】5年D組放送は10時35分から放送枠を15分拡大してお送りします。ただし、サッカー中継の延長により、放送時間の変更の可能性がありますのでご注意ください。</t>
  </si>
  <si>
    <t>番組名家政婦のミタ　#11　*よる9時からの『特別版』もお見逃しなく!</t>
  </si>
  <si>
    <t>松嶋菜々子、長谷川博己、相武紗季、忽那汐里、  中川大志、綾部守人、本田望結、勝地涼(友情出演)、平泉成、白川由美三田(松嶋菜々子)は阿須田家の“母親”になった。喜ぶ子供たちだったが、三田は意外な行動を取り始め、恵一(長谷川博己)が食事中に倒れて入院するなど、阿須田家に不穏な空気が漂う。子供たちは三田が家を乗っ取るつもりではないかと疑い始める。一方、うららは見合い相手との結婚を決意する。三田の真意は一体何なのか?そして、三田は笑顔を見せるのだろうか?【演出】猪股隆一遊川和彦池頼広【制作協力】5年D組よる9時からは『さよなら「家政婦のミタ」特別版』を放送します。  新たに撮影した、最終回につながる重要なシーンを含むスペシャル番組です。  最終回は、よる10時から15分拡大でお送りします。</t>
  </si>
  <si>
    <t>1110_NTV_土21</t>
  </si>
  <si>
    <t>妖怪人間ベム</t>
  </si>
  <si>
    <t>番組名妖怪人間ベム　#1</t>
  </si>
  <si>
    <t>亀梨和也、杏、鈴木福、柄本明(特別出演)、堀ちえみ、石橋杏奈、杉咲花、永岡佑、広田レオナ、あがた森魚、北村一輝ベム(亀梨和也)、ベラ(杏)、ベロ(鈴木福)は妖怪人間。普段は人間の姿に化け、家族として生活しているが、怒りや悲しみなど気持ちが高まると醜い妖怪の姿に戻ってしまう。彼らは正義感から人間を助けては、恐れ嫌われる暮らしを長い間続け、「はやく人間になりたい」と願っていた。ある日、ベムは男を助け、刑事・夏目(北村一輝)と知り合うがーー。狩山俊輔【原作】アサツー　ディー・ケイ  【脚本】西田征史サキタハジメ</t>
  </si>
  <si>
    <t>番組名妖怪人間ベム　#2</t>
  </si>
  <si>
    <t>亀梨和也、杏、鈴木福、柄本明(特別出演)、堀ちえみ、石橋杏奈、杉咲花、永岡佑、広田レオナ、あがた森魚、北村一輝妖怪の姿を夏目刑事(北村一輝)に見られたベム(亀梨和也)、ベラ(杏)ベロ(鈴木福)は街を出ようとする。人の涙で人間になれるというベロの言葉も気になるベム。そんな時、バケモノが人間を襲うという事件が勃発。人間がバケモノの格好をして事件を犯しているに違いないと思ったベムたちは、街を出るのを一旦やめ、犯人を突き止めようとする。狩山俊輔【原作】アサツー　ディ・ケイ  【脚本】西田征史【音楽】サキタハジメ  【主題歌】『BIRTH』KATーTUN</t>
  </si>
  <si>
    <t>番組名妖怪人間ベム　#3</t>
  </si>
  <si>
    <t>亀梨和也、杏、鈴木福、柄本明(特別出演)、堀ちえみ、石橋杏奈、杉咲花、永岡佑、広田レオナ、あがた森魚、北村一輝　ほか涙で人間になれると思ったベム(亀梨和也)、ベラ(杏)、ベロ(鈴木福)は人間の涙集めに奔走する。そんな中、公園で老人・和久井忠雄(平田満)と出会う。3人は50年ほど前、首を吊ろうとした和久井を助けた過去があった。そして、3人の前で死のうとする和久井。ベムたちは再び和久井を助けるが、和久井は50年前の姿のままの彼らが同じ人物とは気付かない。そんな和久井にベムたちは・・・佐久間紀佳【原作】アサツー　ディ・ケイ  【脚本】西田征史【音楽】サキタハジメ  【主題歌】「BIRTH」KATーTUN</t>
  </si>
  <si>
    <t>番組名妖怪人間ベム　#4</t>
  </si>
  <si>
    <t>亀梨和也、杏、鈴木福、柄本明(特別出演)、堀ちえみ、石橋杏奈、杉咲花、永岡佑、広田レオナ、あがた森魚、北村一輝　ほかバケモノを目撃した夏目(北村一輝)は、ベム(亀梨和也)たちに絵を描いて見せる。そこには妖怪姿のベム、ベラ(杏)、ベロ(鈴木福)が描かれていた。夏目はそれがベムたちであるとは気づいていないが、正体がバレてしまう、と思ったベラは二度と夏目家に近づかないようベロに言う。しかし反抗したベロは家を飛び出し、一人の女性・朝比奈光(紺野まひる)と出会う。佐久間紀佳【原作】アサツー　ディ・ケイ  【脚本】西田征史【音楽】サキタハジメ  【主題歌】『BIRTH』KATーTUN(ジェイ・ストーム)</t>
  </si>
  <si>
    <t>番組名妖怪人間ベム　#5</t>
  </si>
  <si>
    <t>亀梨和也、杏、鈴木福、柄本明(特別出演)、堀ちえみ、石橋杏奈、杉咲花、永岡佑、広田レオナ、あがた森魚、北村一輝ベム(亀梨和也)・ベラ(杏)・ベロ(鈴木福)は緒方家でベムが持っている新聞記事の写真と同じ男が写った写真を緒方教授(あがた森男)にみせられる。一方、街では篠山豊(斎藤工)が警察官を次々と襲っていた。夏目刑事(北村一輝)はその連続警察官暴行事件の捜査をしながらも、一度見てしまったベムたちの妖怪姿が脳裏から焼きついて離れなかった。そんな中、ベムたちは緒方家から出てきた古びた手紙によって…狩山俊輔【原作】アサツー　ディ・ケイ  【脚本】西田征史【音楽】サキタハジメ  【主題歌】『BIRTH』KATーTUN(ジェイ・ストーム)</t>
  </si>
  <si>
    <t>番組名妖怪人間ベム　#6</t>
  </si>
  <si>
    <t>亀梨和也、杏、鈴木福、柄本明(特別出演)、堀ちえみ、石橋杏奈、杉咲花、永岡佑、広田レオナ、あがた森魚、北村一輝ほかベム(亀梨和也)、ベラ(杏)、ベロ(鈴木福)の本当の姿を知った上で夏目刑事(北村一輝)はベムたちの棲家を訪れていた。その時、夏目刑事に暴行事件が起きたと連絡が入る。夏目刑事はその暴行事件の聞き込みの際に大久保という火傷の跡が残る男(田中哲史)に会う。大久保は5年前に起きた夏目の息子が死亡した爆破事件に巻き込まれた一人だった。一方ベラは街で出会った心優しい男性のことが気になりはじめる。浅見真史【原作】アサツー　ディ・ケイ  【脚本】西田征史【音楽】サキタハジメ  【主題歌】『BIRTH』KATーTUN(ジェイ・ストーム)</t>
  </si>
  <si>
    <t>番組名妖怪人間ベム　#7</t>
  </si>
  <si>
    <t>亀梨和也、杏、鈴木福、柄本明(特別出演)、石橋杏奈、永岡佑、杉咲花、綾野剛、佐戸井けん太、田中哲司、古舘寛治、堀ちえみ、広田レオナ、あがた森魚、北村一輝ベム(亀梨和也)、ベラ(杏)、ベロ(鈴木福)は鷹山と名乗る若者(綾野剛)と知り合う。ベムは鷹山が父親(佐戸井けん太)を殺そうとしていることがわかり、説得する。一方、5年前の息子の事故死について名前のない男(柄本明)から「誰かに仕組まれたこと」と告げられた夏目(北村一輝)。夏目はその真相を調べていると、新たな事実が発覚し・・・狩山俊輔【原作】アサツー　ディ・ケイ  【脚本】西田征史【音楽】サキタハジメ  【主題歌】『BIRTH』KATーTUN(ジェイ・ストーム)</t>
  </si>
  <si>
    <t>番組名妖怪人間ベム　#8</t>
  </si>
  <si>
    <t>亀梨和也、杏、鈴木福、柄本明(特別出演)、石橋杏奈、永岡佑、杉咲花、古舘寛治、林遼威、小西舞優、堀ちえみ、広田レオナ、あがた森魚、北村一輝名前のない男(柄本明)に「もうすぐ人間になれる」と言われたベム(亀梨和也)、ベラ(杏)、ベロ(鈴木福)。名前の無い男が自分たちを作った博士であるかもしれないと同時に、その男が今までの事件に関わっていると分かり困惑する。  一方、夏目(北村一輝)は東郷(古舘寛治)に襲われ入院していた。そんな中、夏目の妻・菜穂子(堀ちえみ)に脅迫電話がかかってきて・・・浅見真史【原作】アサツー　ディ・ケイ  【脚本】西田征史【音楽】サキタハジメ  【主題歌】『BIRTH』KATーTUN(ジェイ・ストーム)</t>
  </si>
  <si>
    <t>番組名妖怪人間ベム　#9</t>
  </si>
  <si>
    <t>亀梨和也、杏、鈴木福、柄本明(特別出演)、石橋杏奈、杉咲花、永岡佑、林遼威、小西舞優、堀ちえみ、広田レオナ、あがた森魚、北村一輝　ほか名前の無い男(柄本明)に「私はあなた方と同じ兄弟です」と言われたベム(亀梨和也)、ベラ(杏)、ベロ(鈴木福)。ベムは名前の無い男に緑色のアメーバ状のものをかけられた瞬間、過去の記憶が断片的に蘇ってきた。そして、その記憶の中にはベム・ベラ・ベロに優しく話しかける緒方晋作博士(柄本明)の姿もあった。ベム・ベラ・ベロは失われていた記憶、誕生から今まで歩んできた道を辿っていくことになる。狩山俊輔【原作】アサツー　ディ・ケイ  【脚本】西田征史【音楽】サキタハジメ  【主題歌】『BIRTH』KATーTUN(ジェイ・ストーム)</t>
  </si>
  <si>
    <t>番組名妖怪人間ベム　#10</t>
  </si>
  <si>
    <t>亀梨和也、杏、鈴木福、柄本明(特別出演)、石橋杏奈、永岡佑、杉咲花、堀ちえみ、広田レオナ、あがた森魚、北村一輝　ほか名前の無い男(柄本明)と合体し、「悪の心」を取り込むことが人間になる方法だと知ったベム(亀梨和也)、ベラ(杏)、ベロ(鈴木福)果たして、彼らは人間になることを選択するのか?人間を助けるための最後の戦いが今、始まる・・・。狩山俊輔【原作】アサツー　ディ・ケイ  【脚本】西田征史【音楽】サキタハジメ  【主題歌】『BIRTH』KATーTUN(ジェイ・ストーム)</t>
  </si>
  <si>
    <t>1107_NTV_水22</t>
  </si>
  <si>
    <t>ブルドクター</t>
  </si>
  <si>
    <t>番組名ブルドクター　#1</t>
  </si>
  <si>
    <t>江角マキコ、石原さとみ、稲垣吾郎、志田未来、ブラザートム、さくら、大野拓朗、青木綾平(子役)、池田成志、阿南健治、マギー、市川亀治郎、市毛良枝、小日向文世法医学者の大達珠実(江角)は、アメリカ留学から帰国し、上都大学法医学教室の准教授に着任。初出勤途中、ジョギング中の男性・赤井が突然倒れる現場に遭遇。検視にやってきた刑事・釜津田知佳(石原)、同僚となる名倉潤之助(稲垣)は事件性無しと判断するが、珠実は猛反発。そんな中、新たな男性の変死体が発見されたと通報が入る。事件性アリと睨む釜津田は遺体を司法解剖へ。しかしここでまた珠実と激しく衝突…【演出】久保田充【脚本】橋部敦子  【医事監修】岩瀬博太郎(千葉大学大学院法医学教室教授)【主題歌】CHARICE「Far　As　The　Sky」  (ワーナーミュージック・ジャパン)【製作著作】日本テレビ  【制作協力】ケイファクトリー  【チーフプロデューサー】田中芳樹  【プロデューサー】戸田一也、国本雅広(ケイファクトリー)、大塚英治(ケイファクトリー)</t>
  </si>
  <si>
    <t>番組名ブルドクター　#2</t>
  </si>
  <si>
    <t>江角マキコ、石原さとみ、稲垣吾郎、志田未来、ブラザートム、さくら、大野拓朗、青木綾平(子役)、池田成志、阿南健治、マギー、市川亀治郎、市毛良枝、小日向文世  【ゲスト】朝加真由美、市川由衣　他マンションからの転落による女性(市川)の変死体が発見された。釜津田は女性の足取りを捜査中、彼女が死亡直前まで連絡を取ろうとしていた相手が名倉(稲垣)であったことを知る。一方、自殺という判断に納得できない女性の母・雅子(朝加)からの依頼により珠実が解剖を行うことに。そこから意外な事実が判明し、自殺から他殺へと状況が一変。釜津田は容疑者として名倉を連行することに。【演出】久保田充【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</si>
  <si>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番組名ブルドクター　#3</t>
  </si>
  <si>
    <t>江角マキコ、石原さとみ、稲垣吾郎、志田未来、ブラザートム、さくら、大野拓朗、青木綾平(子役)、池田成志、阿南健治、マギー、市川亀治郎、市毛良枝、小日向文世  【ゲスト】塩見三省、渡部豪太、山崎真実、他公園で美しい女性の死体が発見された。珠実(江角)が司法解剖した結果、その女性は全身整形をしており、しかも公園の芝に囲まれた樹の下で発見されたにも関わらず、死因は溺死だという。さらに、その女性は知佳の中学時代の親友・千秋だったことが発覚。親友・千秋の切ない思いが、皮肉にも千秋自身の死によって知佳に届くと共に、公園で溺死という不可思議な謎が解かれてゆく。【演出】久保田充【脚本】橋部敦子  【医事監修】岩瀬博太郎(千葉大学大学院法医学教室教授)【主題歌】CHARICE「Far　As　The　Sky」  (ワーナーミュージック・ジャパン)</t>
  </si>
  <si>
    <t>番組名ブルドクター　#4</t>
  </si>
  <si>
    <t>江角マキコ、石原さとみ、稲垣吾郎、志田未来、ブラザートム、さくら、大野拓朗、青木綾平(子役)、池田成志、阿南健治、マギー、市川亀治郎、市毛良枝、小日向文世20歳の女性がクモ膜下出血で緊急搬送された。その後、脳死判定を受け臓器移植をすることに。同じ頃、バイクに乗った男がすれ違う女性にラリアットを食らわせ気絶させるという危険な事件が連続発生。実は、臓器移植を予定している女性も、この事件の被害者かもしれないという。【演出】長沼誠【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</si>
  <si>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番組名ブルドクター　#5</t>
  </si>
  <si>
    <t>江角マキコ、石原さとみ、稲垣吾郎、志田未来、ブラザートム、さくら、大野拓朗、青木綾平(子役)、池田成志、阿南健治、マギー、市川亀治郎、市毛良枝、小日向文世成海(ブラザートム)、藤村(大野拓朗)、八代(マギー)が男性の変死体を発見した。解剖は珠実が担当することに。しかし、男性が新型感染症に感染していた疑いがあると判明。珠実や知佳、法医学教室の面々は隔離されてしまう。全員、予防注射を打つ中、知佳が体調不良を訴える。その様子から知佳に感染の疑いが強くなる。ついに意識を失う知佳を前に名倉は。【演出】本間美由紀【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</si>
  <si>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番組名ブルドクター　#6</t>
  </si>
  <si>
    <t>江角マキコ、石原さとみ、稲垣吾郎、志田未来、ブラザートム、さくら、大野拓朗、青木綾平(子役)、池田成志、阿南健治、マギー、市川亀治郎、市毛良枝、小日向文世  【ゲスト】入江甚儀、藤本七海　他珠実(江角マキコ)の息子・康介(青木綾平)が誘拐された。犯人は珠実が解剖した遺体の死体検案書に対し、クレームの手紙を送りつけた男・晃彦(入江甚儀)。晃彦は父親が自殺で死亡したのではなく何者かに殺されたと信じていた。が、しかし死体検案書には「自殺」と記されていたのだった。犯人を追跡する知佳(石原さとみ)は、晃彦の父の死因が自殺で間違いなかったのかと珠実に問う。すると珠実から意外な発言が・・・。【演出】久保田充【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</si>
  <si>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番組名ブルドクター　#7</t>
  </si>
  <si>
    <t>江角マキコ、石原さとみ、稲垣吾郎、志田未来、ブラザートム、さくら、大野拓朗、青木綾平(子役)、池田成志、阿南健治、マギー、市川亀治郎、市毛良枝、小日向文世  【ゲスト】長野里美、吉満涼太、中島広稀脳外科医の高広(市川亀治郎)は、36時間の勤務明け直後に救急で搬送されてきた意識不明の患者・梶田弘樹(中島広稀)という少年の緊急オペを行う。手術は成功し、その後、珠実と康介がいるキャンプ地へ向かった。ところが一週間後、弘樹は突然倒れて亡くなる。病理解剖を勧めるも拒否する遺族。そこへ珠実が説得に乗り出し、司法解剖へ。しかし、司法解剖が認められた時点で、高広は被疑者となってしまう…。【演出】長沼誠【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</si>
  <si>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番組名ブルドクター　#8</t>
  </si>
  <si>
    <t>江角マキコ、石原さとみ、稲垣吾郎、志田未来、ブラザートム、さくら、大野拓朗、青木綾平(子役)、池田成志、阿南健治、マギー、市川亀治郎、市毛良枝、小日向文世  【ゲスト】山本龍二、窪塚俊介武田(小日向文世)は「珠実を法医学教室から外せ」という脅迫で追い詰められていた。そんな中、プロボクサーの大山修治がジムで倒れているところを発見されるも、心肺停止状態でまもなく死亡。知佳は捜査を開始するが、上司から捜査中止を命じられる。修治の兄・克治は、病死という説明に納得できず、遺体を解剖してほしいと上都大学法医学教室を訪れる。引き受けようとした珠実に対し、武田は頑なに解剖を許可しない。【演出】久保田充【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</si>
  <si>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番組名ブルドクター　#9</t>
  </si>
  <si>
    <t>江角マキコ、石原さとみ、稲垣吾郎、志田未来、ブラザートム、さくら、大野拓朗、青木綾平(子役)、池田成志、阿南健治、マギー、市川亀治郎、市毛良枝、小日向文世死体検案書に虚偽の死因を書いたのは、武田(小日向)だった。その事実にショックを受ける珠実(江角)と知佳(石原)。その頃、意識不明となった武田が関東医療センターに運ばれ、高広(市川)が緊急手術を行う。意識は戻らず危険な状態が続く中、付き添う美亜(志田)に代議士秘書の奥山(羽場裕一)が近づく。そんな中、武田に脅迫メールを送っていた人物が明らかに。法医学教室のメンバーに衝撃の事実が突きつけられる。【演出】長沼誠【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</si>
  <si>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番組名ブルドクター　#10</t>
  </si>
  <si>
    <t>江角マキコ、石原さとみ、稲垣吾郎、志田未来、ブラザートム、さくら、大野拓朗、青木綾平(子役)、池田成志、阿南健治、マギー、市川亀治郎、市毛良枝、小日向文世  【ゲスト】羽場裕一、鹿賀丈史(特別出演)武田が代議士秘書の奥山(羽場裕一)にインスリンを打たれ不整脈を引き起こし、またも命を狙われた。危険を察した珠実(江角)の連絡により高広(市川)が一命を取り留める。知佳(石原)は、武田の一件を事件として捜査を認めてほしいと上司に訴えるが、こちらもまた警察上層部の判断で却下されてしまう。一方名倉(稲垣)は、奥山が秘書として仕えていた代議士・縄文寺(鹿賀丈史)と密会を繰り返す。【演出】久保田充【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</si>
  <si>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番組名ブルドクター　#11</t>
  </si>
  <si>
    <t>江角マキコ、石原さとみ、稲垣吾郎、志田未来、ブラザートム、さくら、大野拓朗、青木綾平(子役)、池田成志、阿南健治、マギー、羽場裕一、鹿賀丈史(特別出演)、市川亀治郎、市毛良枝、小日向文世代議士・縄文寺(鹿賀)は記者会見で、死因の隠ぺいねつ造は秘書・奥山(羽場)と武田(小日向)が自分と関係なく行っていたと主張。直後、奥山が遺体で発見。奥山が亡くなったことで、珠実(江角)と知佳(石原)は縄文寺の罪を証明できなくなる。名倉(稲垣)は、縄文寺から奥山の死体検案を任され、死因を自殺にするよう指示される。珠実は奥山の妻・美里に、奥山の死には不審な点があると訴えるが…。【演出】久保田充【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</si>
  <si>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1107_NTV_木23</t>
  </si>
  <si>
    <t>名探偵コナン</t>
  </si>
  <si>
    <t>番組名木曜ミステリーシアター「名探偵コナン　工藤新一への挑戦状」♯1</t>
  </si>
  <si>
    <t>溝端淳平、忽那汐里、AKIRA、陣内孝則(他)工藤新一と毛利蘭はマンションで、男性の叫び声を聞く。新一たちが現場に駆け付けると、額から血を流したカメラマンの坪内と助手の岸が倒れていた。新一が部屋に入ると、この部屋に住むモデルの桃子が絶命していた。捜査が行われ、岸は部屋から飛び出してきた男に鉄の棒のような物で殴られたと証言。同じ犯人なら桃子の事もその棒で襲うはずだが、桃子は絞殺されていた。その事に引っ掛かった新一は坪内たちに疑いの眼差しを向けるEXILEのAKIRAが初めての容疑者役。AKIRAのキスシーンにもご注目。「名探偵コナン　工藤新一への挑戦状」  HPは、http://www.ytv.co.jp/conan-drama/</t>
  </si>
  <si>
    <t>番組名木曜ミステリーシアター「名探偵コナン　工藤新一への挑戦状」♯2</t>
  </si>
  <si>
    <t>溝端淳平、忽那汐里、塚地武雅(ドランクドラゴン)、陣内孝則(他)新一(溝端淳平)は超能力者の鷲見(塚地武雅)と対決する番組に出演。鷲見は念力でスプーンを曲げるが、新一も簡単にスプーン曲げをやってのける。すると、司会の原田はインチキだと言って鷲見を侮辱し、超能力を使って俺を殺害してみろと挑発。怒った鷲見は、原田に向かって念を送る。すると原田はもがき苦しみ、遂には絶命。鷲見は超能力で原田を殺したと発言。だが、新一は殺人事件と判断し、原田殺害のトリックを見破るが・・ドランクドラゴンの塚地が超能力者役で出演。シリアスな演技にもご注目下さい。「名探偵コナン　工藤新一への挑戦状」  HPは、http://www.ytv.co.jp/conan-drama/</t>
  </si>
  <si>
    <t>番組名木曜ミステリーシアター「名探偵コナン　工藤新一への挑戦状」♯3</t>
  </si>
  <si>
    <t>溝端淳平、忽那汐里、大塚寧々、陣内孝則(他)新一(溝端淳平)は、小五郎(陣内孝則)、蘭(忽那汐里)と共に傍聴席から裁判を見守っている。その裁判は、ホステスの麗香が勤務先の金庫から1千万を盗んだ事件。麗香は、犯行時刻にラブホテルで蘭の母親である弁護士、妃英理(大塚寧々)を目撃したと主張し容疑を否認。証人として英理は犯行時刻にラブホテルにいた事を認め、麗香は英理が男性とホテルに入った事を強調する。しかし、その答弁中麗香は頭を撃たれ死んでしまう。原作キャラクターにもある蘭の母親・妃英理(大塚寧々)が登場。今回は弁護士役ではなく、証言者の役で登場。原作では見られない  妃容疑者と新一との対立もお見逃しなく!「名探偵コナン　工藤新一への挑戦状」  HPは、http://www.ytv.co.jp/conan-drama/</t>
  </si>
  <si>
    <t>番組名木曜ミステリーシアター「名探偵コナン　工藤新一への挑戦状」♯4</t>
  </si>
  <si>
    <t>溝端淳平、忽那汐里、秋元才加(AKB48)、佐藤めぐみ、陣内孝則(他)新一(溝端淳平)は小五郎(陣内孝則)から、結婚パーティーがあるから来てくれと頼まれる。新郎の健介はレストランのオーナーで、新婦のかのんは店の常連客。パーティー前、かのんの親友・ナナが、健介の子供を身籠もったと健介に報告。新一は2人の会話を偶然聞いてしまう。この後、健介は出席者たちにカクテルを振る舞い、ナナは客の彩夏が飲もうとしたカクテルを奪い飲み干してしまう。その直後、ナナは呼吸困難に陥り絶命する人気キャラ、蘭の親友・園子(秋元才加・AKB48)が初登場です、お楽しみに。「名探偵コナン　工藤新一への挑戦状」  HPは、http://www.ytv.co.jp/conan-drama/</t>
  </si>
  <si>
    <t>番組名木曜ミステリーシアター「名探偵コナン　工藤新一への挑戦状」♯5</t>
  </si>
  <si>
    <t>溝端淳平、忽那汐里、秋元才加(AKB48)、田中美里、陣内孝則(他)新一は蘭、園子と共に映画監督、永田の別荘に招かれる。永田はそこで女優の沙織と濃厚なキスをする。そこに永田の妻で女優の知里が来て、沙織が夫をたぶらかし役を獲ったと激怒する。重苦しい雰囲気を察した永田は紅茶を用意し、食器棚に並ぶ紅茶カップから好きなカップを皆に選ばせ、自分も好きなカップを手に取る。すると永田は紅茶を飲んだ途端絶命、そのカップを適当に選んだにも関わらず、そこには青酸カリが塗られていた。「名探偵コナン　工藤新一への挑戦状」  HPは、http://www.ytv.co.jp/conan-drama/</t>
  </si>
  <si>
    <t>番組名木曜ミステリーシアター「名探偵コナン　工藤新一への挑戦状」♯6</t>
  </si>
  <si>
    <t>溝端淳平、忽那汐里、松山愛里、田中要次、陣内孝則(他)変装した新一と蘭は、高木刑事に付き添ってもらい、小五郎の浮気調査のため、キャバクラに潜入。そこでは、No.1ホステスの久美が数学教授の峰を接客していた。この後、久美とのキスを賭けた数学を応用したゲームの時間になり、挑戦者として峰と小五郎が選ばれる。ゲームに勝ったのは峰で、久美は峰に勝利のキスをしようとするが、その途端、苦しみだして絶命する。そして久美が飲んだワインからトリカブトの成分が検出される。今回は算数ゲームが出てきます。皆さんも一緒に考えてみて、話のネタに使ってください。「名探偵コナン　工藤新一への挑戦状」  HPは、http://www.ytv.co.jp/conan-drama/</t>
  </si>
  <si>
    <t>番組名木曜ミステリーシアター「名探偵コナン　工藤新一への挑戦状」♯7</t>
  </si>
  <si>
    <t>溝端淳平、忽那汐里、秋元才加(AKB48)、宮地真緒(他)園子(秋元才加)は、巨万の富を築いたラーメン王、兵五郎の告別式に参列する。そこでは、兵五郎の娘で姉の由利(宮地真緒)と妹の美紀(林丹丹)が遺産を巡って大喧嘩を繰り広げていた。その現場をテレビ中継で偶然見ていた新一(溝端淳平)と蘭(忽那汐里)。すると蘭の携帯に、園子と由利が誘拐されたと連絡が入る。誘拐犯は身代金として10億円分のダイヤを要求してきたが、その混乱のさなか妹の美紀が何者かに殺されてしまう「名探偵コナン　工藤新一への挑戦状」  HPは、http://www.ytv.co.jp/conan-drama/</t>
  </si>
  <si>
    <t>番組名木曜ミステリーシアター「名探偵コナン　工藤新一への挑戦状」♯8</t>
  </si>
  <si>
    <t>溝端淳平、忽那汐里、佐藤仁美、浅利陽介(他)蘭(忽那汐里)はバスで沢田(少路勇介)に痴漢され新一(溝端淳平)と共に、逃げた沢田をマンションのベランダで捕まえる。丁度そこでは、救急隊員が老婆を救急車に乗せていた。佐藤刑事(上野なつひ)によれば、ヘルパー、山下(浅利陽介)の買い物中に老婆の人工呼吸器が止まり、心肺停止になったという。佐藤刑事は誠が老婆の殺害を企てたと疑うが、その事件には痴漢犯・沢田と老婆の娘・ゆかり(佐藤仁美)の思惑が潜んでいた新一検定もいよいよ最後。番組ラストで出てくるヒントもお見逃しなく!「名探偵コナン　工藤新一への挑戦状」  HPは、http://www.ytv.co.jp/conan-drama/</t>
  </si>
  <si>
    <t>番組名木曜ミステリーシアター「名探偵コナン　工藤新一への挑戦状」♯9</t>
  </si>
  <si>
    <t>溝端淳平、忽那汐里、松坂桃李、岡本玲、岩崎ひろみ(他)大阪からやってきた平次(松坂桃李)と和葉(岡本玲)はひったくり犯に遭遇。下校中の新一(溝端淳平)と蘭(忽那汐里)もその騒動に気付き、新一は犯人目がけてサッカーボールを蹴り上げ直撃させる。しかし跳ね返ったボールは家の中へ飛んでいき、窓ガラスが割れる音と女性の悲鳴が聞こえてくる。二人が中に入ると、女の人にガラス片が刺さり絶命していた。新一と平次は事故に見せかけた殺人事件と推理。二人の推理対決が始まる。原作の人気キャラ、服部平次(松坂桃李)と遠山和葉(岡本玲)が初登場!新一と平次の推理対決もお見逃しなく!「名探偵コナン　工藤新一への挑戦状」  HPは、http://www.ytv.co.jp/conan-drama/</t>
  </si>
  <si>
    <t>番組名木曜ミステリーシアター「名探偵コナン　工藤新一への挑戦状」♯10</t>
  </si>
  <si>
    <t>溝端淳平、忽那汐里、川村陽介、西田奈津美(他)チャットで雪乃(西田奈津美)の相談に乗る蘭(忽那汐里)。雪乃は恋人の久保(川村陽介)からDVを受けているという。突然、チャット中に何者かに襲われる雪乃。カメラの死角だったが、蘭は雪乃の助けを求める声から久保が犯人と判断。蘭は新一(溝端淳平)に助けを求め、雪乃がいるマンションへ向かう。15分後、到着した蘭はそこで血痕を発見、しかし雪乃の姿はなく、そこから120kmも離れた場所で遺体として発見される。「名探偵コナン　工藤新一への挑戦状」  HPは、http://www.ytv.co.jp/conan-drama/</t>
  </si>
  <si>
    <t>番組名木曜ミステリーシアター「名探偵コナン　工藤新一への挑戦状」♯11</t>
  </si>
  <si>
    <t>溝端淳平、忽那汐里、竹財輝之助、青谷優衣(他)ビルのエレベーターで社長の辰巳(春海四方)の遺体が発見される。同じビルで蘭(忽那汐里)と食事をしていた新一(溝端淳平)は現場に駆け付ける。既に佐藤刑事(上野なつひ)が、エレベーターホールにいた娘の辰巳桜子(青谷優衣)、部長の大場(竹財輝之助)から事情を聞いていた。新一は大場の言動から大場に疑念を抱くが、二人は恋人で大場は犯行時、桜子にキスしてプレゼントを渡していたので、辰巳の殺害は不可能だと言うが今回は、原作に基づいたお話です。連続ドラマでは初めてのケース。「名探偵コナン」コミックスの26巻に掲載されているエピソードです、お楽しみに!「名探偵コナン　工藤新一への挑戦状」  HPは、http://www.ytv.co.jp/conan-drama/</t>
  </si>
  <si>
    <t>番組名木曜ミステリーシアター「名探偵コナン　工藤新一への挑戦状」♯12</t>
  </si>
  <si>
    <t>溝端淳平、忽那汐里、柏原収史、陣内孝則(他)銀行の貸し金庫室で、行員の真知子(原田佳奈)が倒れていた。この日、真知子から相談があると銀行に呼ばれた小五郎(陣内孝則)は「警察に通報した時点で、この銀行を爆破する」という警告文が貼られている事に気付く。小五郎は銀行内部の犯行と推理。建物には仁村(合田雅吏)、境(吉田羊)、長谷川(柏原収史)が残っていた。小五郎が3人の行員に疑念を持つと、3人ともそれぞれ自分が真知子を殺害した犯人だと打ち明ける・・「名探偵コナン　工藤新一への挑戦状」  HPは、http://www.ytv.co.jp/conan-drama/</t>
  </si>
  <si>
    <t>番組名木曜ミステリーシアター「名探偵コナン　工藤新一への挑戦状」♯13</t>
  </si>
  <si>
    <t>溝端淳平、忽那汐里、秋元才加(AKB48)、野村宏伸、陣内孝則(他)白い部屋に拉致された新一(溝端淳平)は、過去の事件を思い出させる仕掛けに挑んできた。新一が蘭(忽那汐里)を犯人と推理すると、部屋に白いガスが注入され2人の意識は遠のいていく。新一が目覚めると、監察医の平田(野村宏伸)は蘭が絶命しており、解剖して死因を特定すると告げる。が、新一は蘭が急速冷凍され、仮死状態になっていると推測。果たして新一は、白い部屋に拉致した真犯人を突き止め、蘭を救う事が出来るのか!いよいよ最終回。ついに白い部屋から、新一と蘭は脱出し真犯人と対決!真犯人は余りにも意外な人物だった・・・その驚愕のクライマックス、是非お見逃しなく!「名探偵コナン　工藤新一への挑戦状」  HPは、http://www.ytv.co.jp/conan-drama/</t>
  </si>
  <si>
    <t>1107_NTV_土21</t>
  </si>
  <si>
    <t>ドン★キホーテ</t>
  </si>
  <si>
    <t>番組名ドン★キホーテ　#1</t>
  </si>
  <si>
    <t>松田翔太、高橋克実、成海璃子、松重豊、小林聡美ほか児童相談所に勤める城田正孝(松田翔太)は、日々使命感に燃えて仕事をこなしていた。毎日やることは尽きず、忙しい毎日。一方、泣く子も黙る鯖島組・組長の鯖島仁(高橋克実)は、ライバルの鯵沢卓巳(小木茂光)に勝つため、日々のシノギに励む毎日。そんなある日、虐待の通報を受けた城田と、借金の取立てに向かった鯖島は偶然にも同じ団地に向かう。そのとき一筋の光が団地を包み、なぜか城田と鯖島の体が入れ替わってしまう。中島悟金子隆博番組公式サイトは、HPおよび携帯サイトで展開中です。http://www.ntv.co.jp/dq</t>
  </si>
  <si>
    <t>番組名ドン★キホーテ　#2</t>
  </si>
  <si>
    <t>松田翔太、高橋克実、成海璃子、三宅弘城、市川実和子、紺野まひる、渡辺憲吉、田村愛、松重豊、小木茂光、山根和馬、青木健、河北麻友子、上田眞央、松永博史、黒澤宏貴、内田有紀、小林聡美ほか中身が入れ替わったままの城田(松田翔太)と鯖島(高橋克実)は、しかたなくお互いのふりを続けることに。しぶしぶ児童相談所に出社した城田にミネコ(小林聡美)がひきこもり少年の案件を持ってくる。一方の鯖島はピンチに陥っていた。組の若い衆が鰺沢組に因縁をつけられ、成り行きで相手の組に殴りこみに行くことになってしまう。  そのころ城田の態度に我慢ならなくなった少年が、ついにキレてーーー中島悟大石哲也金子隆博</t>
  </si>
  <si>
    <t>番組名ドン★キホーテ　#3</t>
  </si>
  <si>
    <t>松田翔太、高橋克実、成海璃子、三宅弘城、市川実和子、紺野まひる、渡辺憲吉、田村愛、松重豊、小木茂光、山根和馬、青木健、河北麻友子、上田眞央、田中碧海、黒澤宏貴、内田有紀、小林聡美　ほか児童相談所に13歳の文也が、ゲームソフトの海賊版を運んだ疑いで補導されてくる。文也を連れてきた刑事・神山はなんと城田(松田翔太)の因縁の相手だった。神山に手柄を立てさせるわけにはいかねえ!と、城田は文也を助けるために児童相談所を飛び出した。城田から連絡を受けた鯖島(高橋克実)は、組のネットワークを使って文也の裏にいるブローカーを割り出す。そこに神山が乗り込んできて・・・大谷太郎大石哲也【音楽】金子隆博  【主題歌】『BEAUTIFUL　DAYS』SPYAIR(ソニー・ミュージックアソシエイテッドレコーズ)</t>
  </si>
  <si>
    <t>番組名ドン★キホーテ　#4</t>
  </si>
  <si>
    <t>松田翔太、高橋克実、成海璃子、三宅弘城、市川実和子、紺野まひる、渡辺憲吉、田村愛、松重豊、小木茂光、山根和馬、青木健、河北麻友子、上田眞央、柏原収史、栗本有規、黒澤宏貴、信川清順、黒澤佐知子、青山玲子、古川真奈美、はやしだみき、安部賢一、西本竜樹、戸村美智子、真木恵未、岩澤晶範、居垣寿典、伊藤芳則、杉本有美、中村アン、内田有紀、小林聡美　ほか4歳の唯が児童相談所に保護された。シングルファザーの真一(柏原収史)は懸命に唯を育てていたが、仕事で帰りも遅く、心配する近所の人からたびたび通報をされていた。亜希(市川実和子)は真一に「唯を一時的に児童養護施設に預けてはどうか」と提案するが、真一は猛反発する。ミネコ(小林聡美)は城田をこの件の担当にし、二人をフォローするように言い渡す。城田はいやいやながらもまとわりつく唯の面倒を見ることになる。大谷太郎根本ノンジ【音楽】金子隆博  【主題歌】『BEAUTIFUL　DAYS』SPYAIR(ソニー・ミュージックアソシエイテッドレコーズ)</t>
  </si>
  <si>
    <t>番組名ドン★キホーテ　#5</t>
  </si>
  <si>
    <t>松田翔太、高橋克実、成海璃子、三宅弘城、市川実和子、紺野まひる、渡辺憲吉、田村愛、松重豊、小木茂光、山根和馬、青木健、河北麻友子、上田眞央、内田有紀、小林聡美　ほか鯖島(高橋克実)と妻のあゆみ(内田有紀)は、あゆみの店で働いていたシングルマザーの麻紀(末永遥)が、一歳の息子をネグレクト(育児放棄)していると突き止める。鯖島の通報で城田(松田翔太)たちは修平を保護することになるが、麻紀は息子を取り戻そうと、児童相談所にやってくる。突然修平を連れて現れたあゆみに城田はどぎまぎしてしまう。城田はあゆみの手前、なんとか修平を救おうと決意するーー。中島悟大石哲也【音楽】金子隆博  【主題歌】『BEAUTIFUL　DAYS』SPYAIR(ソニー・ミュージックアソシエイテッドレコーズ)</t>
  </si>
  <si>
    <t>番組名ドン★キホーテ　#6</t>
  </si>
  <si>
    <t>松田翔太、高橋克実、成海璃子、三宅弘城、市川実和子、紺野まひる、渡辺憲吉、田村愛、松重豊、小木茂光、山根和馬、青木健、河北麻友子、上田眞央、鈴々舎馬風、西尾まり、岩佐真悠子、菅田将暉、黒澤宏貴、デビッド・キンテーロ、内田有紀、小林聡美　ほか鯖島(高橋克実)の妻あゆみ(内田有紀)は極道雑誌にライバルの鰺沢(小木茂光)がカラーグラビアで特集されているのを見て激怒する。それを知った城田(松田翔太)は自分も特集記事を作ると言い出し、最高級のカメラ器材を買い込む。城田は幸子(成海璃子)を撮影のアシスタントとして雇うことにし、鯖島をモデルに撮影を決行する。そんなとき幸子の母親・玲子(西尾まり)が児童相談所を訪ねてきてーー中島悟大石哲也【音楽】金子隆博  【主題歌】『BEAUTIFUL　DAYS』SPYAIR(ソニー・ミュージックアソシエイテッドレコーズ)</t>
  </si>
  <si>
    <t>番組名ドン★キホーテ　#7</t>
  </si>
  <si>
    <t>松田翔太、高橋克実、成海璃子、三宅弘城、市川実和子、紺野まひる、渡辺憲吉、田村愛、松重豊、小木茂光、山根和馬、青木健、鈴々舎馬風、杉咲花、菅田将暉、谷川昭一朗、築山万有美、田中悠太、久ヶ沢徹、鈴木ちなみ、田口主将、槙岡瞭介、デビッド・キンテーロ、内田有紀、小林聡美　ほか総長の鰯原(鈴々舎馬風)が病に倒れた。鯖島(高橋克実)は「もってあと3日」という医師と看護師の会話を聞いてしまう。それを聞いた城田(松田翔太)は冷静に「絶対に総長に知られるな」といい、最後まで総長を見守ろうと決意を固める。そして平静を装い、鰯原の「孫のヨーコに会いたい」という願いを叶えようと奔走する。そのころ児相に14歳の里奈(杉咲花)が補導されてきてーー。松永洋一根本ノンジ【音楽】金子隆博  【主題歌】『BEAUTIFUL　DAYS』SPYAIR(ソニー・ミュージックアソシエイテッドレコーズ)</t>
  </si>
  <si>
    <t>番組名ドン★キホーテ　#8</t>
  </si>
  <si>
    <t>松田翔太、高橋克実、成海璃子、三宅弘城、市川実和子、紺野まひる、渡辺憲吉、田村愛、松重豊、小木茂光、山根和馬、青木健、河北麻友子、上田眞央、宮田早苗、平田薫、伊藤凌、菅田将暉、安澤千草、西野実見、槙岡瞭介、夏居瑠奈、森富士夫、窪園純一、山田伊久磨、小松利昌、白倉裕二、中村桜、橋本麻理乃、内田有紀、小林聡美　ほか中学校で講演をした城田は、2年の担任・貴子から不登校をしている生徒・圭太の相談を受ける。偶然にも彼女は小学校の同級生であった。貴子に昔の借りがある城田は、圭太の不登校を自分が解決しようと奮起する。翌日、圭太が母親に伴われて児童相談所にやってきた。幸子は圭太には好きな子がいるであろうことをすぐに探り当てる。しかし、彼女はもうすぐ外国に転校してしまうらしい。それを知った城田と鯖島がとった行動とはーー。大谷太郎大石哲也【音楽】金子隆博  【主題歌】『BEAUTIFUL　DAYS』SPYAIR(ソニー・ミュージックアソシエイテッドレコーズ)</t>
  </si>
  <si>
    <t>番組名ドン★キホーテ　#9</t>
  </si>
  <si>
    <t>松田翔太、高橋克実、成海璃子、三宅弘城、市川実和子、紺野まひる、渡辺憲吉、田村愛、松重豊、小木茂光、山根和馬、青木健、河北麻友子、上田眞央、大橋のぞみ、宮崎吐夢、松永博史、菅田将暉、内田有紀、小林聡美　ほか城田は父子家庭の父親・清志の家を訪ねる。失業した清志は家でゴロゴロし、12歳の娘・千佳が幼い弟たちの面倒を見ていた。そのころ鯖島は鰺沢組があくどい方法で、金貸しをしていることを知り、リストのなかに清志の名を発見する。いっぽうの城田は児童相談所で開催する「お楽しみ会」の演劇「ドン・キホーテ」を手伝うことに。城田は、監督・主役・脚本をやると言い出す。そこに千佳と弟たちも劇に参加することになってーーー松原浩根本ノンジ【音楽】金子隆博  【主題歌】『BEAUTIFUL　DAYS』SPYAIR(ソニー・ミュージックアソシエイテッドレコーズ)</t>
  </si>
  <si>
    <t>番組名ドン★キホーテ　#10</t>
  </si>
  <si>
    <t>松田翔太、高橋克実、成海璃子、三宅弘城、市川実和子、紺野まひる、渡辺憲吉、田村愛、松重豊、小木茂光、山根和馬、青木健、河北麻友子、上田眞央、菅田将暉、松永博史、松田知己、信川清順、内田有紀、小林聡美　ほか鯖島は次期総長候補として鰺沢と討論会に挑む。だが鯖島は強面な親分衆の集まる場の空気にすっかり気後れしてしまう。次回のマニフェスト発表会で失敗したら、間違いなく総長の芽はなくなるーー。城田は「今度こそバッチリ決めろ!」と鯖島に念を押すが、なんと翌日鯖島は家出をしてしまう。怒った城田は自分も児童相談所を辞めると宣言する。驚くミネコだが、最後に西岡佑麿の里親だけは決めるようにと城田に言い渡してーー大谷太郎大石哲也【音楽】金子隆博  【主題歌】『BEAUTIFUL　DAYS』SPYAIR(ソニー・ミュージックアソシエイテッドレコーズ)</t>
  </si>
  <si>
    <t>番組名ドン★キホーテ　#11</t>
  </si>
  <si>
    <t>松田翔太、高橋克実、成海璃子、三宅弘城、市川実和子、紺野まひる、渡辺憲吉、田村愛、松重豊、小木茂光、山根和馬、青木健、河北麻友子、上田眞央、鈴々舎馬風、白竜、松永博史、宮本裕子、遠藤璃菜、俵木藤汰、テイ龍進、伊藤大輔、Hou　Wei、関口あきら、あべまみ、内田有紀、小林聡美　ほか次期総長選出まであと3日。城田は気をもみつつも、ミネコの指示で新たな児童相談所の案件に取りかかる。今回のケースは極度の潔癖症の母親が、娘を一切外に出さず、学校に通わせていないというものだった。ミネコは娘の香を一時的に強制保護しようと考える。  いっぽう鯖島は「極道かるた」で、総長戦の決着をつけることになった。鯖島はかるたの特訓をし、決戦に望む。果たして、城田と鯖島は入れ替わったまま終わるのかーー?中島悟大石哲也【音楽】金子隆博  【主題歌】『BEAUTIFUL　DAYS』SPYAIR(ソニー・ミュージックアソシエイテッドレコーズ)</t>
  </si>
  <si>
    <t>1104_NTV_水22</t>
  </si>
  <si>
    <t>リバウンド</t>
  </si>
  <si>
    <t>番組名リバウンド　#1</t>
  </si>
  <si>
    <t>相武紗季、速水もこみち、栗山千明、勝地涼、西山茉希  半海一晃、伊藤かずえ、石塚英彦、若村麻由美デブ人生を歩み続けていた大場信子(相武紗季)は22歳で体重は78キロ!しかし恋人・風見研作(勝地涼)にフラレた事をきっかけに33キロのダイエットに成功。憧れのファッション誌に就職も果たしたのだが・・・。ある日、鬼編集長・蘭(若村麻由美)から人気ケーキ店の取材を命じられ、信子は親友・瞳(栗山千明)とケーキ屋に向かう。そこでパティシエ・今井太一(速水もこみち)に恋をしてしまう。そして信子の体は!南雲聖一遊川和彦池頼広5年D組</t>
  </si>
  <si>
    <t>番組名リバウンド　#2</t>
  </si>
  <si>
    <t>相武紗季、速水もこみち、栗山千明、勝地涼、西山茉希  半海一晃、伊藤かずえ、石塚英彦、若村麻由美　ほか太一(速水もこみち)のケーキ作りを手伝い、78キロにリバウンドしてしまった信子(相武紗季)。2人で作った「愛のショートケーキ」の完成で帰京するが、「デブは絶対無理」と言われ、さらに太った信子の姿を見た太一は信子だときづかずにバイトの子と勘違いする。本当の事を言えない信子は、咄嗟に考えた偽名の佐藤チヨコとして太一の店で働く事になる。果たして信子はもう一度スリムな体を手に入れることができるのか。南雲聖一、石尾純遊川和彦池頼広</t>
  </si>
  <si>
    <t>番組名リバウンド　#3</t>
  </si>
  <si>
    <t>相武紗季、速水もこみち、栗山千明、勝地涼、西山茉希  半海一晃、伊藤かずえ、石塚英彦、若村麻由美　ほか必死の努力と食欲を抑える薬の力でリバウンドから復活し、再びやせた信子(相武紗季)は、太一(速水もこみち)に会いに行く。2人の間に障害はない。と、思いきや、今度はケーキの食べすぎで太一が太ってしまったのだ。すっかりやる気を無くして、店を閉めると言い出す太一に、&lt;&lt;愛の重さは体重とは関係ない&gt;&gt;と、これからもケーキ作りの手伝いをすることを約束する。石尾純遊川和彦池頼広5年D組</t>
  </si>
  <si>
    <t>番組名リバウンド　#4</t>
  </si>
  <si>
    <t>相武紗季、速水もこみち、栗山千明、勝地涼、西山茉希  半海一晃、伊藤かずえ、石塚英彦、若村麻由美　ほか信子(相武紗季)は、元のスリムな姿に戻った太一(速水もこみち)とめでたく結ばれ、幸せモード全開。しかし蘭に「どうせ長続きしない」と警告される。実際、初デートで無理に太一に合わせようとしてグッタリ疲れ、さらに翌日、太一にいきなりプロポーズされる。結婚!?、一人突っ走る太一に信子は頭を抱える。そんな中、信子は蘭にパリコレ取材に同行するよう命じられる。しかし太一は信子に結婚したら仕事を辞めろと言い出した。石尾純遊川和彦池頼広5年D組</t>
  </si>
  <si>
    <t>番組名リバウンド　#5</t>
  </si>
  <si>
    <t>相武紗季、速水もこみち、栗山千明、勝地涼、西山茉希  半海一晃、伊藤かずえ、石塚英彦、若村麻由美　ほか信子(相武紗季)は、太一(速水もこみち)に、仕事を辞めた事を言い出せず、パリコレに行ったフリをし、元カレ・研作(勝地涼)に誘われホテルに行く羽目に。一方、太一も有希(西山茉希)に「ヨリを戻したい」と迫られる。そんな中、エデンへの復職を頼みにいった信子は蘭を助ける為に、太一との「太ったら別れる!」という約束を忘れ、200個のケーキを食べてしまう。信子はリバウンドしてしまうのか!?南雲聖一遊川和彦池頼広5年D組</t>
  </si>
  <si>
    <t>番組名リバウンド　#6</t>
  </si>
  <si>
    <t>相武紗季、速水もこみち、栗山千明、勝地涼、西山茉希  半海一晃、伊藤かずえ、石塚英彦、若村麻由美　ほか再びリバウンドしたことで、信子(相武紗季)は、太一(速水もこみち)とケンカ別れしてしまう。一方、研作(勝地涼)から「今のお前のままでいい」と言われ心揺れる。『やっぱり女は愛する人より、愛してくれる人と結ばれる方が幸せ!?』悩む信子を見て、瞳(栗山千明)は2人の仲を取り持とうとアンジュを訪れるが、反対に太一に自分の絵を褒められドキドキしてしまう。太一と信子、研作に瞳まで加えた四角関係は予想外の展開に!?日暮謙遊川和彦池頼広</t>
  </si>
  <si>
    <t>番組名リバウンド　#7</t>
  </si>
  <si>
    <t>相武紗季、速水もこみち、栗山千明、勝地涼、西山茉希  半海一晃、伊藤かずえ、石塚英彦、若村麻由美　ほか親友・瞳(栗山千明)が太一(速水もこみち)にすがって泣く姿を目撃してしまった信子(相武紗季)。何事もなかったように振る舞い、「太一を信じてる!!」と言うが、内心穏やかではない。そんな中、信子は再び瞳と太一が会っている事を知り、瞳の太一への想いを感じ取ってしまう。友情を取るか、恋を取るか・・・!?信子はある決意を行動に移そうとするがーー!!石尾純遊川和彦池頼広5年D組</t>
  </si>
  <si>
    <t>番組名リバウンド　#8</t>
  </si>
  <si>
    <t>相武紗季、速水もこみち、栗山千明、勝地涼、西山茉希  半海一晃、伊藤かずえ、石塚英彦、若村麻由美　ほか太一(速水もこみち)と瞳(栗山千明)、大切な人をいっぺんに失った信子(相武紗季)。全方位外交をやめて自分を変えようと決意する信子だったが、無理をする事で余計に自分を失っていく。その頃、エデンでは蘭(若村麻由美)が上司と衝突し辞表を出そうとしていた。蘭を止める為に太一の力を借りようとする信子だったが、一方アンジュでは瞳が太一に自分の素直な気持ちを伝えようとしていた・・・。南雲聖一、石尾純遊川和彦池頼広</t>
  </si>
  <si>
    <t>番組名リバウンド　#9</t>
  </si>
  <si>
    <t>相武紗季、速水もこみち、栗山千明、勝地涼、西山茉希  半海一晃、伊藤かずえ、石塚英彦、若村麻由美　ほか信子(相武紗季)の父・睦己(石塚英彦)が倒れた。父親とトントン亭の大切さを改めて感じた信子はエデンを辞めてトンカツ屋を継ごうかと真剣に考え始める。そんな中、研作は「自分がトンカツ屋を継ぐから」と信子にプロポーズ。一方、太一(速水もこみち)と瞳(栗山千明)の仲も次第に深まっていく。果たして信子は、「エデン」と「トントン亭」どちらを選ぶのか!?そして、本当に信子と太一は別れてしまうのか!?石尾純遊川和彦池頼広5年D組</t>
  </si>
  <si>
    <t>番組名リバウンド　#10</t>
  </si>
  <si>
    <t>相武紗季、速水もこみち、栗山千明、勝地涼、西山茉希  半海一晃、伊藤かずえ、石塚英彦、若村麻由美　ほか「トントン亭」を継ぐ為に帰った信子(相武紗季)を追って、なんと研作(勝地涼)がやって来る。父の厳しいトンカツ修行に苦しむ信子だったが、研作が支えとなり、次第に信子は研作との結婚を考え始める。ある日、信子の新連載を望む蘭が信子を無理矢理アンジュに取材に連れて行く。太一(速水もこみち)との再会に強い想いを再確認したが、お互いの運命を変える事はできない。そして信子は研作にある想いを伝える事を決心する。南雲聖一遊川和彦池頼広5年D組</t>
  </si>
  <si>
    <t>1104_NTV_土21</t>
  </si>
  <si>
    <t>高校生レストラン</t>
  </si>
  <si>
    <t>番組名高校生レストラン　#1</t>
  </si>
  <si>
    <t>松岡昌宏、吹石一恵、神木隆之介、川島海荷、  平田満、金田明夫、柴本幸、河西健司、  板谷由夏、原田芳雄(特別出演)、伊藤英明　ほか元板前・村木新吾(松岡昌宏)は幼馴染の町役場職員・岸野宏(伊藤英明)に頼まれ母校の臨時教師として“高校生レストラン”の開店を手掛けることに。しかし文化祭ノリの部員たちを叱りつけ半分に減らしてしまう。そんな中、坂本陽介(神木隆之介)は新吾についてくことを決め、陽介の幼馴染・米本真衣(川島海荷)を含め残った部員らも徐々に新吾を信頼し始める。しかし、新吾と部員たちの間に亀裂が入る出来事が起きてしまい…吉野洋【原案】「高校生レストラン、本日も満席。」「高校生レストラン、行列の理由。」  村林新吾　著　　伊勢新聞社　刊  【脚本】吉本昌弘【音楽】服部隆之  【主題歌】「見上げた流星」TOKIO(ジェイ・ストーム)【シニアチーフクリエイター】櫨山裕子  【プロデューサー】荻野哲弘、内山雅博</t>
  </si>
  <si>
    <t>番組名高校生レストラン　#2</t>
  </si>
  <si>
    <t>松岡昌宏、吹石一恵、神木隆之介、川島海荷  平田満、金田明夫、柴本幸、河西健司、高橋克実、  板谷由夏、原田芳雄(特別出演)、伊藤英明　ほか新吾(松岡昌宏)の指導に不満を抱く生徒がまた2人部を去り、部員が16人になってしまう。さらに新吾は町役場・戸倉(金田明夫)から「高校生御膳」二百食をレストランで出すよう言われる。不可能だと怒る新吾だがレストランは税金でまかなわれ、赤字は許されない。しかも開店まで2週間…絶望的な状況の中、新吾が働いていた料亭のオーナー・風間(高橋克実)が姿を見せ、新吾に「戻ってこい」と言う。吉野洋【原案】「高校生レストラン、本日も満席。」「高校生レストラン、行列の理由。」  村林新吾　著　　伊勢新聞社　刊  【脚本】吉本昌弘【音楽】服部隆之  【主題歌】「見上げた流星」TOKIO(ジェイ・ストーム)【シニアチーフクリエイター】櫨山裕子  【プロデューサー】荻野哲弘、内山雅博</t>
  </si>
  <si>
    <t>番組名高校生レストラン　#3</t>
  </si>
  <si>
    <t>松岡昌宏、吹石一恵、神木隆之介、川島海荷  平田満、金田明夫、柴本幸、河西健司、  板谷由夏、原田芳雄(特別出演)、伊藤英明　ほかレストランの開店が1週間後に迫り、新聞やテレビに取り上げられるようになった。しかし新吾(松岡昌宏)は取材に浮かれる生徒たちに檄を飛ばし、開店に間に合わせようと必死に指導を続ける。遂に開店当日、大挙して入ってくる客に緊張する部員たちは失敗を重ねていき・・・猪股隆一【原案】「高校生レストラン、本日も満席。」「高校生レストラン、行列の理由。」  村林新吾　著　　伊勢新聞社　刊  【脚本】山崎淳也【音楽】服部隆之  【主題歌】「見上げた流星」TOKIO(ジェイ・ストーム)【シニアチーフクリエイター】櫨山裕子  【プロデューサー】荻野哲弘、内山雅博</t>
  </si>
  <si>
    <t>番組名高校生レストラン　#4</t>
  </si>
  <si>
    <t>松岡昌宏、吹石一恵、神木隆之介、川島海荷、  平田満、金田明夫、柴本幸、河西健司、織本順吉、  板谷由夏、原田芳雄(特別出演)、伊藤英明　ほか  ようやく開店し、軌道に乗りかけたと思ったとき「花御膳を食べて食中毒になった」と一人の老人(織本順吉)が訴える。ーー新吾(松岡昌宏)をはじめ一同、騒然とする。あんなに衛生管理をしたのに…。そこには岸野(伊藤英明)が描く「町おこし」の理念が生んだ矛盾がひそんでいたーー。佐久間紀佳【原案】「高校生レストラン、本日も満席。」「高校生レストラン、行列の理由。」  村林新吾　著　　伊勢新聞社　刊  【脚本】吉本昌宏【音楽】服部隆之  【主題歌】「見上げた流星」TOKIO(ジェイ・ストーム)【シニアチーフクリエイター】櫨山裕子  【プロデューサー】荻野哲弘、内山雅博</t>
  </si>
  <si>
    <t>番組名高校生レストラン　#5</t>
  </si>
  <si>
    <t>松岡昌宏、吹石一恵、神木隆之介、川島海荷  平田満、金田明夫、柴本幸、河西健司  板谷由夏、伊藤英明　ほか評判を聞き視察団がくることに。だが視察前日は学校遠足、当日はレストラン休日で、生徒はいない。そんな中、新吾(松岡昌宏)は一人で20人前の料理を作ると言い出す。しかも和食のコース料理を…。新吾の熱意に岸野(伊藤英明)と遥(吹石一恵)も手伝いを申し出る。さらに遠足に行ったはずの陽介(神木隆之介)がレストランに現れ?!吉野洋【原案】「高校生レストラン、本日も満席。」「高校生レストラン、行列の理由。」  村林新吾　著　　伊勢新聞社　刊  【脚本】吉本昌宏【音楽】服部隆之  【主題歌】「見上げた流星」TOKIO(ジェイ・ストーム)【シニアチーフクリエイター】櫨山裕子  【プロデューサー】荻野哲弘、内山雅博</t>
  </si>
  <si>
    <t>番組名高校生レストラン　#6</t>
  </si>
  <si>
    <t>松岡昌宏、吹石一恵、神木隆之介、川島海荷  金田明夫、柴本幸、西村雅彦  板谷由夏、伊藤英明　ほか  新吾(松岡昌宏)は陽介(神木隆之介)、真衣(川島海荷)をホール担当に変更し、さらに他生徒にも配置換えを指示。それは生徒全員に平等のチャンスを与える為だったのだが、一同戸惑いを隠せない。そんな中、真衣がレストランを無断欠席!?そしてレストラン営業日、配置換えの試みは成功するのか?さらに生徒へ、真衣へ、新吾の想いは通じるのか…猪股隆一【原案】「高校生レストラン、本日も満席。」「高校生レストラン、行列の理由。」  村林新吾　著　　伊勢新聞社　刊  【脚本】根本ノンジ【音楽】服部隆之  【主題歌】「見上げた流星」TOKIO(ジェイ・ストーム)【シニアチーフクリエイター】櫨山裕子  【プロデューサー】荻野哲弘、内山雅博</t>
  </si>
  <si>
    <t>番組名高校生レストラン　#7</t>
  </si>
  <si>
    <t>松岡昌宏、吹石一恵、神木隆之介、川島海荷、  平田満、金田明夫、柴本幸、河西健司、  板谷由夏、原田芳雄(特別出演)、伊藤英明　ほかコンクール出場をかけて調理クラブ内で選考会が開催される!しかし、就活が迫っている3年生はそれぞれ様々な悩みを抱えているーー。そんな中、定俊(原田芳雄)が置手紙だけ残し……。さらに文香(板谷由夏)の過去がついに明かされ……。選考会当日、15名の部員がコンクール出場をかけ、真剣勝負を繰り広げる。そして、アッと驚くようなアイデア料理が次々登場!果たして、誰の料理が選ばれるのか!?吉野洋【原案】「高校生レストラン、本日も満席。」「高校生レストラン、行列の理由。」  村林新吾　著　　伊勢新聞社　刊  【脚本】吉本昌宏【音楽】服部隆之  【主題歌】「見上げた流星」TOKIO(ジェイ・ストーム)【シニアチーフクリエイター】櫨山裕子  【プロデューサー】荻野哲弘、内山雅博</t>
  </si>
  <si>
    <t>番組名高校生レストラン　#8</t>
  </si>
  <si>
    <t>松岡昌宏、吹石一恵、神木隆之介、川島海荷、  平田満、金田明夫、柴本幸、河西健司、  板谷由夏、伊藤英明　ほか就活の季節を迎え、新吾(松岡昌宏)は生徒たちの進路希望に目を通す。すると「鉄工所」「事務職」などの調理師以外の仕事を希望する生徒が数人いた。全員が調理師希望だと思っていた新吾は、生徒たちが現実と真剣に向き合い、将来を考えていることに驚く。そんな中、新吾(松岡昌宏)は高熱を出して倒れてしまう。果たして陽介(神木隆之介)たちは新吾不在で無事にレストランを開店させられるのか!?猪股隆一【原案】「高校生レストラン、本日も満席。」「高校生レストラン、行列の理由。」  村林新吾　著　　伊勢新聞社　刊  【脚本】吉本昌宏【音楽】服部隆之  【主題歌】「見上げた流星」TOKIO(ジェイ・ストーム)【シニアチーフクリエイター】櫨山裕子  【プロデューサー】荻野哲弘、内山雅博</t>
  </si>
  <si>
    <t>1101_NTV_木23</t>
  </si>
  <si>
    <t>示談交渉人　ゴタ消し</t>
  </si>
  <si>
    <t>番組名木曜ナイトドラマ「示談交渉人　ゴタ消し」♯1</t>
  </si>
  <si>
    <t>西野亮廣(キングコング)、忽那汐里、ゴリ(ガレッジセール)、倉科カナ、藤森慎吾(オリエンタルラジオ)、古手川祐子ストーカーやクレーマー、セクハラなど身近に起こるトラブルを解決する示談交渉人・白井虎次郎、通称「白虎」は、相手の深層心理を読み取り事件を解決する交渉のプロフェッショナル。フリーターの桜彩乃が持ち込んだ事件は、OLの里見愛子が何者からかのクレーム電話に悩まされているというもの。さっそくクレーマーからの電話を聞くが、相手はボイスチェンジャーを使っており、素性がばれないように巧妙に細工していたー。</t>
  </si>
  <si>
    <t>番組名木曜ナイトドラマ「示談交渉人　ゴタ消し」♯2</t>
  </si>
  <si>
    <t>西野亮廣(キングコング)、忽那汐里、ゴリ(ガレッジセール)  磯山さやか、ほっしゃん。ストーカーやセクハラなど身近に起こるトラブルを解決する示談交渉人の第2話。今回の依頼人は小さな会社に勤務するOLかおり(磯山さやか)。彼女は取引先の大手企業の社員桜田(ほっしゃん。)にコストダウンを迫られ、強烈なイジメに苦しんでいる。桜田はかおりをイジメることで性的興奮を覚え、それを楽しんでさえいるほど。かおりは彩乃を通じて白虎に交渉を依頼する。そんな折かおりをつけ狙う怪しいストーカーの影が迫る。</t>
  </si>
  <si>
    <t>番組名木曜ナイトドラマ「示談交渉人　ゴタ消し」♯3</t>
  </si>
  <si>
    <t>西野亮廣(キングコング)、忽那汐里、ゴリ(ガレッジセール)  吉田羊、松田洋昌(ハイキングウォーキング)ストーカーやセクハラなど身近に起こるトラブルを解決する示談交渉人の第3話。  今回の依頼人は証券会社に勤める営業マンの鈴木浩司(松田洋昌)。彼は、部長の山崎美波(吉田羊)に理不尽な残業をさせられたり、スープカレーを頭からかけたりと、陰湿なイジメにあっている。さっそく、彩乃(忽那汐里)が会社に潜入して調べるが、美波は優しい上司でパワハラが行われているようには見えない。白虎はまずは正攻法で迫るが…。</t>
  </si>
  <si>
    <t>番組名木曜ナイトドラマ「示談交渉人　ゴタ消し」♯4</t>
  </si>
  <si>
    <t>西野亮廣(キングコング)、忽那汐里、ゴリ(ガレッジセール)  品川祐、馬渕英俚可ストーカーやセクハラなど身近に起こるトラブルを解決する示談交渉人の第4話。  今回の依頼人は、病弱な母親と二人暮らしのOL和美(馬渕英俚可)。彼女は、当たると評判の占い師(品川祐)の元へ行き、仕事や私生活の内容を言い当てられる。そして、このままでは災いが訪れると言われ、100万円の石を購入してしまう。しかし、その石は雑貨屋で売ってる100円の石だった!和美はお金を取り戻してもらうべく白虎に依頼する。</t>
  </si>
  <si>
    <t>番組名木曜ナイトドラマ「示談交渉人　ゴタ消し」♯5</t>
  </si>
  <si>
    <t>西野亮廣(キングコング)、忽那汐里、ゴリ(ガレッジセール)  上原美佐、木村祐一身近に起こるトラブルを解決する示談交渉人=ゴタ消しの第5話。  今回の依頼は、ナンバーワンキャバクラ嬢の実花(上原美佐)が、病弱の息子のためにお店をやめようとして、店長から辞めるなら客とキスしている写真をばら撒くぞ、と脅される事件。依頼を受けた白虎は、彩乃をキャバクラ嬢としてお店に潜入させる。そして彩乃は、実花を指名する客に、怪しげな男がいることを突き止めるのだが…。</t>
  </si>
  <si>
    <t>1101_NTV_土21</t>
  </si>
  <si>
    <t>デカワンコ</t>
  </si>
  <si>
    <t>番組名デカワンコ　#1</t>
  </si>
  <si>
    <t>多部未華子、沢村一樹、手越祐也、升毅、大倉孝二、水上剣星、渡辺直美、石塚英彦、田口トモロヲ、吹越満、佐野史郎、伊東四朗　ほか都心のビルとビルの狭間に、転落死体が発見された。警視庁捜査一課13係が現場に急行。頼もしい刑事たちに混じって一人フリフリ衣裳を身にまとった女の子が!?彼女こそ、13係のお荷物・花村一子刑事(多部)だった。現場で誰にも相手にされない一子、しかし彼女には特殊な能力があった。それは犬並みの嗅覚だった!!中島悟伴一彦【音楽】小西康陽  【主題歌】『愛と星』まきちゃんぐ(VAP)</t>
  </si>
  <si>
    <t>番組名デカワンコ　#2</t>
  </si>
  <si>
    <t>多部未華子、沢村一樹、手越祐也、升毅、田口トモロヲ、大倉孝二、水上剣星、今井和子、上田耕一、渡辺直美、水橋研二、フィートス・オブ・セイントフジJr.、竹重とろ、篠塚勝、原史奈、岸博之、石塚英彦、吹越満、酒元信行、青木勁都、春日香音、佐野史郎、伊東四朗　ほか河川敷の藪の中で刺殺体が発見された。第一発見者はなんと一子(多部未華子)だった。警察犬・ミハイル号が犯人の足取りを追う一方、一子は被害者の血の匂いを辿り、見事凶器のナイフを発見する。被害者は小学校教諭の杉田一郎。小松原(吹越満)は強引な捜査で容疑者を取り調べ、同期の重村(沢村一樹)と衝突する。そんな二人を横目に、一子は容疑者の匂いから犯人ではないと一人確信するが、誰も聞く耳を持たないが・・・中島悟【原作】森本梢子「デカワンコ」(集英社　クイーンズコミックス刊)  【脚本】伴一彦【音楽】小西康陽  【主題歌】『愛と星』まきちゃんぐ(VAP)</t>
  </si>
  <si>
    <t>番組名デカワンコ　#3</t>
  </si>
  <si>
    <t>多部未華子、沢村一樹、手越祐也、升毅、田口トモロヲ、大倉孝二、水上剣星、今井和子、上田耕一、渡辺直美、志村玲那、フィトス・オブ・セイントフジJr、竹重とろ、佐野圭亮、大森絢音、片桐仁、石塚英彦、吹越満、森谷ふみ、堀ひろこ、藤崎卓也、佐野史郎、伊東四朗　ほか飲食店に2人組の強盗が押し入り、店員を刺殺する事件が発生した。即日逮捕された犯人  の一人・岡田(片桐仁)は「店員を刺したのは共犯者の中村(佐野圭亮)だ」と自供する。一子(多部未華子)と桐島(手越祐也)は新婚夫婦を装い、向かいのアパートから、中村の別れた妻と一人娘・涼子(大森絢音)のアパートを張り込む。自分の手でホシを挙げたい桐島を横目に、一子は涼子と仲良くなってしまい・・・国本雅広【原作】森本梢子「デカワンコ」(集英社「YOU」連載中)  【脚本】伴一彦【音楽】小西康陽  【主題歌】『愛と星』まきちゃんぐ(VAP)</t>
  </si>
  <si>
    <t>番組名デカワンコ　#4</t>
  </si>
  <si>
    <t>多部未華子、沢村一樹、手越祐也、升毅、田口トモロヲ、大倉孝二、水上剣星、今井和子、上田耕一、渡辺直美、志村玲那、藍川千佳、フィトス・オブ・セイントフジJr.、竹重とろ、神谷功、田中実、石塚英彦、吹越満、小林きな子、立原麻衣、長谷川公彦、佐野史郎、伊東四朗　ほか輸入業者の男・河辺が殺された。目撃証言などから逮捕された容疑者・鈴木(田中実)は容疑を否認。重村(沢村一樹)に取り調べを任された一子(多部未華子)は遺留品のマフラーと鈴木の匂いが一致していると確認するが鈴木は黙秘を続ける。一子に代わって重村が取り調べを始めようとしたそのとき、鈴木は唐突に「俺が殺った」と自白した。だが、重村は簡単に自白した鈴木に疑問を感じ、一子もまた異変に気づいていたのだ・・・国本雅広【原作】森本梢子「デカワンコ」(集英社「YOU」連載中)  【脚本】伴一彦【音楽】小西康陽  【主題歌】『愛と星』まきちゃんぐ(VAP)</t>
  </si>
  <si>
    <t>番組名デカワンコ　#5</t>
  </si>
  <si>
    <t>多部未華子、沢村一樹、手越祐也、升毅、田口トモロヲ、大倉孝二、水上剣星、今井和子、上田耕一、渡辺直美、フィトス・オブ・セイントフジJr.、竹重とろ、阿見201、瀬川亮、柳家花緑、石塚英彦、吹越満、川嶋秀明、佐野史郎、伊東四朗　ほか和田(石塚英彦)の行動がおかしい。捜査を欠勤して落語家・北風亭太陽(柳家花緑)の高座に通っているのだ。一子(多部未華子)は和田が五年前、横浜で起きた強盗殺人事件に偶然居合わせ、犯人に自分の車を盗まれた上に逃走につかわれるという事実を知る。いまだ手配中の犯人は北風亭太陽の弟だったのだ。責任を感じた和田は管轄外にもかかわらず犯人を追っているのか。そして、一子の鼻はもうひとつの事実を知らせていたーー久保田充【原作】森本梢子「デカワンコ」(集英社「YOU」連載中)  【脚本】伴一彦【音楽】小西康陽  【主題歌】『愛と星』まきちゃんぐ(VAP)</t>
  </si>
  <si>
    <t>番組名デカワンコ　#6</t>
  </si>
  <si>
    <t>多部未華子、沢村一樹、手越祐也、升毅、田口トモロヲ、大倉孝二、水上剣星、今井和子、上田耕一、渡辺直美、フィトス・オブ・セイントフジJr.、竹重とろ、能見達也、斉藤祥太、八木優希、石塚英彦、吹越満、大河内浩、犬飼淳治、青木美沙子、鹿内大嗣、佐野史郎、伊東四朗　ほか一子(多部未華子)は門馬(升毅)からまともな服を着るまで捜査への参加をストップさせられる。しぶしぶ行き着けの店に服を買いに行った一子は、フリフリ服が好きな門馬の娘・ちえみ(八木優希)と知り合う。そのころ、新たに発生した事件の現場からフリフリ服の女が走り去ったという目撃情報が入る。一子は現場に落ちていた携帯ストラップを見て驚く。それはちえみのものだったのだーー中島悟【原作】森本梢子「デカワンコ」(集英社「YOU」連載中)  【脚本】伴一彦【音楽】小西康陽  【主題歌】『愛と星』まきちゃんぐ(VAP)</t>
  </si>
  <si>
    <t>番組名デカワンコ　#7</t>
  </si>
  <si>
    <t>多部未華子、沢村一樹、手越祐也、升毅、田口トモロヲ、大倉孝二、水上剣星、渡辺直美、フィトス・オブ・セイントフジJr、竹重とろ、石塚英彦、吹越満、佐野史郎、伊東四朗　ほか警視庁の取調室に画家殺害事件の被疑者・山村なぎさが連行されてきた。なぎさは「自分には動機がない」「アリバイがある」の一点張りで、様々な手を使う重村(沢村一樹)の取調べにもまったく動じない。そんななぎさに一子(多部未華子)たちは興味津々。そんななか、警視庁に社会科見学に来ていた柳(大倉孝二)の息子が行方不明になったとの報せが入る。一子は警察犬ミハイルとともに捜査を開始するー。国本雅広【原作】森本梢子「デカワンコ」(集英社「YOU」連載中)  【脚本】伴一彦【音楽】小西康陽  【主題歌】『愛と星』まきちゃんぐ(VAP)</t>
  </si>
  <si>
    <t>番組名デカワンコ　#8</t>
  </si>
  <si>
    <t>多部未華子、沢村一樹、手越祐也、升毅、田口トモロヲ、大倉孝二、水上剣星、今井和子、上田耕一、渡辺直美、志村玲那、フィトス・オブ・セイントフジJr.、竹重とろ、石塚英彦、吹越満、佐野史郎、伊東四朗　ほか五十嵐(佐野史郎)は殺人を犯していないのではないかー。そう考え始めた一子(多部未華子)に新たな事件の一報が入る。男が銃で撃たれ死亡。被害者は暴力団構成員で、犯人は構成員のリュウと判明した。一子たちはリュウを逮捕するが、組織犯罪対策部の朝倉(小沢仁志)が覚醒剤取引を潰すためにリュウを泳がせていたのにと怒鳴り込んで来る。重村(沢村一樹)は取調べで殺しの動機と翌日の覚醒剤取引の情報を聞き出すが・・・中島悟【原作】森本梢子「デカワンコ」(集英社「YOU」連載中)  【脚本】伴一彦【音楽】小西康陽  【主題歌】『愛と星』まきちゃんぐ(VAP)</t>
  </si>
  <si>
    <t>番組名デカワンコ　#9</t>
  </si>
  <si>
    <t>多部未華子、沢村一樹、手越祐也、升毅、田口トモロヲ、大倉孝二、水上剣星、今井和子、上田耕一、渡辺直美、志村玲那、フィトス・オブ・セイントフジJr.、竹重とろ、石塚英彦、吹越満、佐野史郎、伊東四朗　ほか洋品店を営む男が刺殺された。現場に残された足跡から犯人の匂いを追った一子(多部未華子)と警察犬ミハイルはそれぞれ別の場所にたどり着く。一子の鼻を信頼する小松原(吹越満)は一子が嗅ぎ当てた男・樋口啓一を犯人だと断定し、逮捕する。ミハイルはそれ以来出動拒否をするようになり、その様子から田村(田口トモロヲ)はミハイルの引退を考え始める。だが取り調べをする重村(沢村一樹)は樋口は犯人ではないと感じ・・・松永洋一【原作】森本梢子「デカワンコ」(集英社「YOU」連載中)  【脚本】伴一彦【音楽】小西康陽  【主題歌】『愛と星』まきちゃんぐ(VAP)</t>
  </si>
  <si>
    <t>番組名デカワンコ　#10</t>
  </si>
  <si>
    <t>多部未華子、沢村一樹、手越祐也、升毅、田口トモロヲ、大倉孝二、水上剣星、今井和子、上田耕一、渡辺直美、フィトス・オブ・セイントフジJr.、竹重とろ、石塚英彦、吹越満、佐野史郎、伊東四朗　ほか温泉に慰安旅行にきた一子(多部未華子)と13係の面々。みんなで楽しく飲みながら、一子は仲間の大切さをしみじみ感じていた。しかし翌日。一子は偶然みんなの会話を耳にしてしまう。「やめさせたほうがいいかな、ワンコ」自分は嫌われていた?!ショックを受けた一子は宿を飛び出す。一方みんなは一子と連絡が取れず、行方を捜す。そして、道の駅の店員から一子が男と口論した挙句、その男の車に乗り込んだという証言を聞く。中島悟【原作】森本梢子「デカワンコ」(集英社「YOU」連載中)  【脚本】伴一彦【音楽】小西康陽  【主題歌】『愛と星』まきちゃんぐ(VAP)</t>
  </si>
  <si>
    <t>1010_NTV_水22</t>
  </si>
  <si>
    <t>黄金の豚</t>
  </si>
  <si>
    <t>番組名黄金の豚　-会計検査庁　特別調査課-#1</t>
  </si>
  <si>
    <t>篠原涼子、岡田将生、大泉洋  桐谷健太、山口紗弥加、近藤芳正  矢沢心、能世あんな、山崎大輔  もたいまさこ/生瀬勝久/宇津井健元詐欺師で仮釈放中の芯子は、街で金持ちそうな男・久留米に出会う。いいカモだと思った瞬間、久留米はあっさり芯子の正体を見破った。久留米は国家予算の使い道を調査し追求する国の機関、会計検査庁の検査官だったのだ。彼は芯子の勘と慧眼を買い、調査官にスカウトする。  いやいやながら調査官を務めることになった芯子に久留米が与えた最初の指令、それは介護付老人ホームの不正を見抜くことだったー。【演出】佐藤東弥【脚本】吉田智子【音楽】菅野祐悟  【主題歌】「守ってあげたい」伊藤由奈(Sony　Records)【制作協力】オフィスクレッシェンド  【製作著作】日本テレビ</t>
  </si>
  <si>
    <t>番組名黄金の豚　-会計検査庁　特別調査課-　#2</t>
  </si>
  <si>
    <t>篠原涼子、岡田将生、大泉洋  桐谷健太、山口紗弥加、近藤芳正  矢沢心、能世あんな、山崎大輔  もたいまさこ/生瀬勝久/宇津井健芯子たちは東京警察署の機密費流用疑惑を調査することに。警察幹部の威圧的な監視の中調査を進めていると、優が怪しい領収書を見つけた。調べると領収書は偽造で、4年前に機密費12万円を宴会に使った疑いが浮上する。  芯子らは他にも機密費が幹部のゴルフ代や海外旅行代に消えていると警察官から聞き出し憤慨するが、警察相手では追及するのが難しい。  そんな中、4年前のある新聞記事を目にした芯子の鼻が何かを嗅ぎ付けたー【演出】佐藤東弥【脚本】吉田智子【音楽】菅野祐悟  【主題歌】「守ってあげたい」伊藤由奈(Sony　Records)【制作協力】オフィスクレッシェンド  【製作著作】日本テレビ</t>
  </si>
  <si>
    <t>番組名黄金の豚　-会計検査庁　特別調査課-　#3</t>
  </si>
  <si>
    <t>篠原涼子、岡田将生、大泉洋  桐谷健太、山口紗弥加、近藤芳正  矢沢心、能世あんな、山崎大輔  もたいまさこ/生瀬勝久/宇津井健最先端の国立病院を調査中の芯子は、事務局長の国枝が病院長よりも権力を持っている様子を目にし不信を募らせる。  病院長に事情を聞くと国枝は財政省からの天下りで、国の補助金をもらうため、何より病院で仕事を続けるためには国枝に逆らえない状況だという。  さらに病院ではレジデントが不当に安い給料で24時間フル稼働していたが、クビを恐れて誰も不正を証言しない。さすがの芯子も手を引かざるを得ないと判断するが…【演出】南雲聖一【脚本】吉田智子【音楽】菅野祐悟  【主題歌】「守ってあげたい」伊藤由奈(Sony　Records)【制作協力】オフィスクレッシェンド  【製作著作】日本テレビ</t>
  </si>
  <si>
    <t>番組名黄金の豚　-会計検査庁　特別調査課-　#4</t>
  </si>
  <si>
    <t>篠原涼子、岡田将生、大泉洋  桐谷健太、山口紗弥加、近藤芳正  矢沢心、能世あんな、山崎大輔  もたいまさこ/生瀬勝久/宇津井健芯子らは、ある地方の河川の護岸工事が手抜き工事ではないかとの陳情書を受け、調査に向かう。しかし村長による熱烈な接待に時間を取られ、調査の時間はごくわずか。国の交付金に頼る地方の調査では、多少のことは目をつぶって欲しいと接待漬けにする慣習なのだ。ようやく調査がスタートするが問題は見つからない。だがその夜、芯子は村の飲み屋で村人から、手抜き工事のせいで川が氾濫し畑が荒れてしまったとの証言を聞きだす。【演出】佐藤東弥【脚本】吉田智子【音楽】菅野祐悟  【主題歌】「守ってあげたい」伊藤由奈(Sony　Records)【制作協力】オフィスクレッシェンド  【製作著作】日本テレビ</t>
  </si>
  <si>
    <t>番組名黄金の豚　-会計検査庁　特別調査課-　#5</t>
  </si>
  <si>
    <t>篠原涼子、岡田将生、大泉洋  桐谷健太、山口紗弥加、近藤芳正  矢沢心、能世あんな、山崎大輔  もたいまさこ/生瀬勝久/宇津井健特別調査課の面々が国会への報告書作成でドタバタの日々を送る中、資料確認をしていた芯子と優は、ある小学校の耐震工事費に目をとめる。子どもが60人しかいない小学校が6億円もかけて800人分の教室を改修していたのだ。校長は改修は教育管理委員会の会長・錦が決定したことだと話す。二人は錦に面会するが「工事は子どもの安全のため」と言われ納得せざるを得ない。が、芯子の鼻は別のものをかぎ当てていた…【演出】南雲聖一【脚本】吉田智子【音楽】菅野祐悟  【主題歌】「守ってあげたい」伊藤由奈(Sony　Records)【制作協力】オフィスクレッシェンド  【製作著作】日本テレビ</t>
  </si>
  <si>
    <t>番組名黄金の豚　-会計検査庁　特別調査課-　#6</t>
  </si>
  <si>
    <t>篠原涼子、岡田将生、大泉洋  桐谷健太、山口紗弥加、近藤芳正  矢沢心、能世あんな、山崎大輔  もたいまさこ/生瀬勝久/宇津井健東京国立大学の遺伝子工学のスター教授・響ゆかりの科学研究費を調査する事になった芯子たち。当の響は人当たりのいい女性だが、研究室で出会った彼女の親衛隊のような学生軍団「響ファイブ」は、相当響に心酔しており、芯子たちに不遜な態度をとる。怪しいとされた領収書は研究のために響ファイブにバイト代として支払ったもので、この世界ではよくあることだという。しかし響の同僚の教授が芯子たちの前に現れある密告をする…【演出】山田信義【脚本】山崎淳也、吉田智子【音楽】菅野祐悟  【主題歌】「守ってあげたい」伊藤由奈(Sony　Records)【制作協力】オフィスクレッシェンド  【製作著作】日本テレビ</t>
  </si>
  <si>
    <t>番組名黄金の豚　-会計検査庁　特別調査課-　#7</t>
  </si>
  <si>
    <t>篠原涼子、岡田将生、大泉洋  桐谷健太、山口紗弥加、近藤芳正  矢沢心、能世あんな、山崎大輔  もたいまさこ/生瀬勝久/宇津井健今回の調査は前アブラビ大使の絵画横領疑惑。大使館で所蔵されているはずの日本画が銀座の高級クラブに飾られており、他の絵画も行方不明になっていた。さっそく調査を始めた芯子たちは大使に絵画の行方を聞くが「現地で盗まれた」とかわされてしまう。  しかし怪しんだ角松らが調査を進めると大使の在任中の無駄遣いと贅沢三昧の記録がぞろぞろと出てきた。さらに調査のため現地アブラビに飛んだ優から驚くべき事実が告げられる…【演出】佐藤東弥【脚本】吉田智子【音楽】菅野祐悟  【主題歌】「守ってあげたい」伊藤由奈(Sony　Records)【制作協力】オフィスクレッシェンド  【製作著作】日本テレビ</t>
  </si>
  <si>
    <t>番組名黄金の豚　-会計検査庁　特別調査課-　#8</t>
  </si>
  <si>
    <t>篠原涼子、岡田将生、大泉洋  桐谷健太、山口紗弥加、近藤芳正  矢沢心、能世あんな、山崎大輔  もたいまさこ/生瀬勝久/宇津井健久留米の推薦で優が総理・樫永の秘書官に抜擢され、ともに戦ってきた会計検査庁のメンバーは複雑な思いで見守る。そんな中芯子たちが今回調査するのは総理が力を入れて取り組んでいるタマリアへのODA。貧しいタマリアへ20年間にわたり毎年3億ドルの援助がなされていた。調査に向かった芯子達に応対するのは今やすっかり総理からの信頼も厚い優だった。数々の疑問点を見事にかわしてくる優を見て、角松や金田は感心するが…【演出】南雲聖一【脚本】吉田智子【音楽】菅野祐悟  【主題歌】「守ってあげたい」伊藤由奈(Sony　Records)【制作協力】オフィスクレッシェンド  【製作著作】日本テレビ</t>
  </si>
  <si>
    <t>番組名黄金の豚　-会計検査庁　特別調査課-　#9</t>
  </si>
  <si>
    <t>篠原涼子、岡田将生、大泉洋  桐谷健太、山口紗弥加、近藤芳正  矢沢心、能世あんな、山崎大輔  もたいまさこ/生瀬勝久/宇津井健樫永総理の疑惑に肉薄した芯子、角松、金田は謹慎を言い渡される。「ホントにこれでいいの?」とイラつく芯子だが、いまはカイケンを去るしかなかった。樫永総理から責任を取るよう言われた優は、遺書をしたため街をさまよう。そして、樫永総理の元に久留米検査官が現れーー。  優は、芯子は、権力に負けて正義をあきらめてしまうのか?そして、この国の行方はー?【演出】佐藤東弥【脚本】吉田智子【音楽】菅野祐悟  【主題歌】「守ってあげたい」伊藤由奈(Sony　Records)【制作協力】オフィスクレッシェンド  【製作著作】日本テレビ</t>
  </si>
  <si>
    <t>1010_NTV_土21</t>
  </si>
  <si>
    <t>Q10</t>
  </si>
  <si>
    <t>番組名Q10　#1</t>
  </si>
  <si>
    <t>佐藤健、前田敦子、連佛美沙子、賀来賢人、柄本時生、高畑充希、細田よしひこ、  光石研、西田尚美、松岡璃奈子、池松壮亮、白石加代子、  田中裕二(爆笑問題)、小野武彦、薬師丸ひろ子僕が恋した転校生はロボットだったーー。その名前はQ10(キュート)。しかし、どこからどうみてもその姿は人間そのもの?こんな人間そっくりのロボットがあったなんて!いつ、だれが、何のためにつくったのだろう?そんな謎を抱えながらも、ひょんなことから、転校生のQ10のお世話係になってしまう平太。Q10との関わりの中、平太の中で何かが変わっていく。ばかばかしくて、でも切なくて・・。涙と笑いの学園ドラマです。狩山俊輔木皿泉金子隆博  小山絵里奈トータルメディアコミュニケーション</t>
  </si>
  <si>
    <t>番組名Q10　#2</t>
  </si>
  <si>
    <t>佐藤健、前田敦子、蓮佛美沙子、賀来賢人、柄本時生、高畑充希、細田よしひこ、  福田麻由子、光石研、西田尚美、松岡璃奈子、池松壮亮、白石加代子、  田中裕二(爆笑問題)、小野武彦、薬師丸ひろ子「恋は革命ですよ。自分の中の常識が全部ひっくり返ってしまうようなものなの」  Q10が教室にやってきて数日。担任の小川は平太のクラスメイト中尾がQ10をつけ回していることに気づく。中尾はQ10に恋心を抱いていたのだった。Q10がロボットであることがばれてしまうのを恐れた小川は、平太に「中尾にあきらめさせろ」と告げる。仕方なく平太は中尾の恋を終わらせようとするのだが…。狩山俊輔木皿泉【音楽】金子隆博、小山絵里奈  【主題歌】高橋優「ほんとのきもち」(ワーナーミュージック・ジャパン)【制作協力】トータルメディアコミュニケーション</t>
  </si>
  <si>
    <t>番組名Q10　#3</t>
  </si>
  <si>
    <t>佐藤健、前田敦子、蓮佛美沙子、賀来賢人、柄本時生、高畑充希、細田よしひこ、  福田麻由子、光石研、西田尚美、松岡璃奈子、池松壮亮、白石加代子、  田中裕二(爆笑問題)、小野武彦、薬師丸ひろ子文化祭を前に平太は憂うつな気分だった。受験祈願の踊りも憂うつだし、一年のとき互いに意識しあっていた女の子との苦い思い出がよみがえるのだ。  そんな中クラスの河合がミスコン代表に選ばれた。河合に想いをよせる影山は河合を応援しようとするがーー。  その頃Q10は藤丘が先輩から「ヤバイ仕事」に誘われるのを目撃し、Q10は藤丘のために動き始める。  一方、文化祭から逃げようとする平太の前には月子が現れーー。佐久間紀佳木皿泉【音楽】金子隆博、小山絵里奈  【主題歌】高橋優「ほんとのきもち」(ワーナーミュージック・ジャパン)【制作協力】トータルメディアコミュニケーション</t>
  </si>
  <si>
    <t>番組名Q10　#4</t>
  </si>
  <si>
    <t>佐藤健、前田敦子、蓮佛美沙子、賀来賢人、柄本時生、高畑充希、細田よしひこ、  福田麻由子、光石研、西田尚美、松岡璃奈子、池松壮亮、白石加代子、  田中裕二(爆笑問題)、小野武彦、薬師丸ひろ子高校3年の平太に進路の提出期限が迫っていた。自分の未来が見えずに悩む平太。  そんな中クラスメイトの中尾に、Q10は人間じゃないか?としつこく追求され平太は困惑する。  平太のクラスメイトたちも進路が決まらず悩んでいた。  一方、進路など必要ないQ10はQ10なりに「努力」を始める。そんなQ10を見てますます焦り始める平太。Q10のこと、家族のこと、そして自分のこと。悩みを抱える平太の前に月子が現れーー狩山俊輔    木皿泉【音楽】金子隆博、小山絵里奈  【主題歌】高橋優「ほんとのきもち」(ワーナーミュージック・ジャパン)【制作協力】トータルメディアコミュニケーション</t>
  </si>
  <si>
    <t>番組名Q10　#5</t>
  </si>
  <si>
    <t>佐藤健、前田敦子、蓮佛美沙子、賀来賢人、柄本時生、高畑充希、細田よしひこ、  福田麻由子、光石研、西田尚美、松岡璃奈子、池松壮亮、白石加代子、  田中裕二(爆笑問題)、小野武彦、薬師丸ひろ子ついに中尾にQ10の正体がロボットだとバレてしまった。中尾は、秘密を守る代わりにQ10をくれない?と言い出す。  平太は柳たちに相談すると「全てが丸く収まるならQ10をリセットして中尾に渡すか」と言い出す。  そんなことをしたら今まで平太がQ10と二人で過ごした時間も全て消えてしまう。何より平太にとってQ10はかけがえのないものになっていた。  しかしどうしようもない平太はQ10を中尾に渡してしまうー。【演出】佐久間紀佳【脚本】木皿泉【音楽】金子隆博、小山絵里奈  【主題歌】高橋優「ほんとのきもち」(ワーナーミュージック・ジャパン)【制作】トータルメディアコミュニケーション</t>
  </si>
  <si>
    <t>番組名Q10　#6</t>
  </si>
  <si>
    <t>佐藤健、前田敦子、蓮佛美沙子、賀来賢人、柄本時生、高畑充希、細田よしひこ、  福田麻由子、光石研、西田尚美、松岡璃奈子、池松壮亮、白石加代子、  田中裕二(爆笑問題)、小野武彦、薬師丸ひろ子「人間の命よりQ10が大事だ」  Q10への想いをはっきりと自覚した平太。  いっぽう入院中の久保は、病院に顔を出すようになった民子を意識し始める。  久保は平太に初めて「死ぬのが怖い」と言い出す。  もし大切な人が急にいなくなってしまったら。  久保と同様に大切な人が出来たからこその痛みを理解する平太は久保のためにある行動にでる。  その頃藤丘が家庭の事情で学校をやめようとしていた。  それを知ったQ10はー【演出】狩山俊輔【脚本】木皿泉【音楽】金子隆博、小山絵里奈  【主題歌】「ほんとのきもち」高橋優(ワーナーミュージック・ジャパン)【制作】トータルメディアコミュニケーション</t>
  </si>
  <si>
    <t>番組名Q10　#7</t>
  </si>
  <si>
    <t>佐藤健、前田敦子、蓮佛美沙子、賀来賢人、柄本時生、高畑充希、細田よしひこ、  福田麻由子、光石研、西田尚美、松岡璃奈子、池松壮亮、白石加代子、  田中裕二(爆笑問題)、小野武彦、薬師丸ひろ子平太のクラスに月子が登校してくるようになった。  「Q10は私たちのもの」とQ10の秘密を握っている月子。  Q10を撤収されることを恐れた平太は、Q10を連れて逃げることを決意する。  東京を離れ、知らない街にたどり着いた平太とQ10。  平太はQ10をどこかに隠そうとする。  そんなふたりを月子が追ってきてーー。【演出】狩山俊輔【脚本】木皿泉【音楽】金子隆博、小山絵里奈  【主題歌】高橋優「ほんとのきもち」(ワーナーミュージック・ジャパン)【制作】トータルメディアコミュニケーション</t>
  </si>
  <si>
    <t>番組名Q10　#8</t>
  </si>
  <si>
    <t>佐藤健、前田敦子、蓮佛美沙子、賀来賢人、柄本時生、高畑充希、細田よしひこ、  福田麻由子、光石研、西田尚美、松岡璃奈子、池松壮亮、白石加代子、  田中裕二(爆笑問題)、小野武彦、薬師丸ひろ子「Q10、回収することに決まったから」  そう告げる月子に平太は動揺する。Q10は何の為にここに来たのか、月子に聞く平太。  「全部話したら私のお願い聞いてくれる?」  Q10の秘密を知る為に平太はQ10を連れて月子に会いに行くがー。  そのころ中尾は月子からもらったカプセルの中身をあけてしまう。そこには見たこともない機械が入っていた。中尾は柳に相談しに理科準備室へと向かう。謎のカプセルは一体何なのかー?【演出】狩山俊輔【脚本】木皿泉【音楽】金子隆博、小山絵里奈  【主題歌】「ほんとのきもち」高橋優(ワーナーミュージック・ジャパン)【制作】トータルメディアコミュニケーション</t>
  </si>
  <si>
    <t>番組名Q10　#9</t>
  </si>
  <si>
    <t>佐藤健、前田敦子、蓮佛美沙子、賀来賢人、柄本時生、高畑充希、細田よしひこ、  福田麻由子、光石研、西田尚美、松岡璃奈子、池松壮亮、白石加代子、  田中裕二(爆笑問題)、小野武彦、薬師丸ひろ子Q10のリセットボタンを押してしまったあの日以来、平太は何かが止まってしまったようにぼんやりと過ごしていた。Q10は70年後の未来から来たロボットだったこと。平太は未だに全てを受け入れられないでいた。  月子は2080年に戻るため理科準備室である探し物をしていた。そこで偶然柳と出くわした月子はQ10に関するある意外な事実を告げる。  「もう一度、Q10に会いたいーー」  平太の願いは届くのかーー?【演出】狩山俊輔【脚本】木皿泉【音楽】金子隆博、小山絵里奈【制作】トータルメディアコミュニケーション</t>
  </si>
  <si>
    <t>1007_NTV_水22</t>
  </si>
  <si>
    <t>ホタルノヒカリ2</t>
  </si>
  <si>
    <t>番組名ホタルノヒカリ2　#1</t>
  </si>
  <si>
    <t>綾瀬はるか、向井理、板谷由夏、臼田あさ美、安田顕、木村多江、藤木直人　(他)「干物女」ことOLのホタル(綾瀬はるか)が3年ぶりに日本に帰って来た。部長(藤木直人)のいる第一企画部に配属になるが、契約社員の瀬乃(向井理)、美香(臼田あさ美)などメンバーは様変わりしている。淡々と働くホタルと部長を見て、成り行きを知る二ツ木(安田顕)と山田姐さん(板谷由夏)は「男女が3年も離れていれば以前のようにはいかない」と囁きあう。部長は小夏という女性(木村多江)と毎晩のように会っていた…【演出】吉野洋【脚本】　水橋文美江  【原作】「ホタルノヒカリ」ひうらさとる　(講談社・KC　Kiss)【主題歌】「キミがいる」いきものがかり　(Epic　Records)【制作協力】オフィスクレッシェンド  【製作著作】日本テレビ</t>
  </si>
  <si>
    <t>番組名ホタルノヒカリ2　#2</t>
  </si>
  <si>
    <t>綾瀬はるか、向井理、板谷由夏、臼田あさ美、安田顕、木村多江、藤木直人　(他)高野部長(藤木直人)に「結婚しよう」と言われてウキウキ気分のホタル(綾瀬はるか)。しかし、余計なものを買いまくるなど部長に頼まれたお使いもできないホタルに部長は「節約できない女とは結婚できない」と言い渡す。  ホタルは「結婚」のためにも「節約美女になる」と宣言!  しかし仕事でプライベートの「節約」どころではなくなってしまい・・・【演出】吉野洋【脚本】　水橋文美江  【原作】「ホタルノヒカリ」ひうらさとる　(講談社・KC　Kiss)【主題歌】「キミがいる」いきものがかり　(Epic　Records)【制作協力】オフィスクレッシェンド  【製作著作】日本テレビ</t>
  </si>
  <si>
    <t>番組名ホタルノヒカリ2　#3</t>
  </si>
  <si>
    <t>綾瀬はるか、向井理、板谷由夏、臼田あさ美、安田顕、木村多江、藤木直人　(他)ホタルは、テレビで落語家の話を聞き「結婚するためには、我慢が必要」と新たな目標を掲げる。  そんな折、ホタルの顔に大量のじんましんができてしまった。病院では「心因性じんましん」かもと診断される。二ツ木と山田姐さんは「ホタルのストレスはチューもしてないことに違いない!」と部長をたきつける。悩みながらもホタルのためにチューを決意し、家路につく部長。  ところが当のホタルは…【演出】南雲聖一【脚本】水橋文美江  【原作】「ホタルノヒカリ」ひうらさとる　(講談社・KC　Kiss)【主題歌】「キミがいる」いきものがかり　(Epic　Records)  【音楽】菅野祐悟【制作協力】オフィスクレッシェンド  【製作著作】日本テレビ</t>
  </si>
  <si>
    <t>番組名ホタルノヒカリ2　#4</t>
  </si>
  <si>
    <t>綾瀬はるか、向井理、板谷由夏、臼田あさ美、安田顕、木村多江、藤木直人　(他)高野部長とホタルの家に瀬乃と美香が訪ねてきた。大慌ての2人はとりあえず「結婚を前提に同居をしている」と説明する。驚く2人だったが、「ぜんぜんラブラブな感じがないけど本当に好きなのか?」とホタルにつっこむ。  ホタルは“ラブラブ”を目指して頑張ることに決め、メールでラブラブしているつもりになっていたが、部長が小夏と一緒に旅行に行っていることがわかり…【演出】南雲聖一【脚本】水橋文美江  【原作】「ホタルノヒカリ」ひうらさとる　(講談社・KC　Kiss)【主題歌】「キミがいる」いきものがかり　(Epic　Records)  【音楽】菅野祐悟【制作協力】オフィスクレッシェンド  【製作著作】日本テレビ</t>
  </si>
  <si>
    <t>番組名ホタルノヒカリ2　#5</t>
  </si>
  <si>
    <t>綾瀬はるか、向井理、板谷由夏、臼田あさ美、安田顕、木村多江、藤木直人　(他)瀬乃からホタルへの想いを打ち明けられた部長は、相変わらず家でゴロゴロするホタルを前に「こんな女に惚れる男がいるなんて…」と複雑な気分。一方「雨宮も部長と結婚して専業主婦になれば、働かなくてもビールが飲める」と瀬乃に言われたホタルは「私は専業主婦に向いていると思う!」と部長に告げる。専業主婦を目指すことに決めたホタルに部長は朝食作りを命じるが、朝早い部長の朝食作りはホタルにとって高いハードルとなり…【演出】吉野洋【脚本】　水橋文美江  【原作】「ホタルノヒカリ」ひうらさとる　(講談社・KC　Kiss)【主題歌】「キミがいる」いきものがかり　(Epic　Records)  【音楽】菅野祐悟【制作協力】オフィスクレッシェンド  【製作著作】日本テレビ</t>
  </si>
  <si>
    <t>番組名ホタルノヒカリ2　#6</t>
  </si>
  <si>
    <t>綾瀬はるか、向井理、板谷由夏、臼田あさ美、安田顕、木村多江、藤木直人　(他)「結婚はやめよう」と部長に言われてしまったホタル。同居は変わらず…の関係に「ま、いっか」なホタルだったが、山田姐さんに「結婚をやめるってことは他の男のモノになってもかまわないってことなんだから」と言われてしまう。「部長をハラハラさせて、もう一回プロポーズさせろ」と高度な恋愛技術を吹き込む山田姐さんに、ホタルは「ぶちょおをほっておく」と決意。一方瀬乃は、そんなホタルの変化を感じ取っていたーー。【演出】石尾純【脚本】　水橋文美江  【原作】「ホタルノヒカリ」ひうらさとる　(講談社・KC　Kiss)【主題歌】「キミがいる」いきものがかり　(Epic　Records)  【音楽】菅野祐悟【制作協力】オフィスクレッシェンド  【製作著作】日本テレビ</t>
  </si>
  <si>
    <t>番組名ホタルノヒカリ2　#7</t>
  </si>
  <si>
    <t>綾瀬はるか、向井理、板谷由夏、臼田あさ美、安田顕、木村多江、藤木直人　(他)高野部長(藤木直人)に自分からプロポーズしたホタル(綾瀬はるか)だったが、瀬乃(向井理)に告白され、話しかけられるだけでドキドキしてしまう。  ある日、美香(臼田あさ美)たちがパワースポットに行くという話で盛り上がっていた。ホタルは「ぶちょおとの結婚に向けて、頑張り続けるパワーをつけるため」と一緒に行くことにしたのだが…。【演出】南雲聖一【脚本】水橋文美江  【原作】「ホタルノヒカリ」ひうらさとる　(講談社・KC　Kiss)【主題歌】「キミがいる」いきものがかり(Epic　Records)  【音楽】菅野祐悟【制作協力】オフィスクレッシェンド  【製作著作】日本テレビ</t>
  </si>
  <si>
    <t>番組名ホタルノヒカリ2　#8</t>
  </si>
  <si>
    <t>綾瀬はるか、向井理、板谷由夏、臼田あさ美、安田顕、木村多江、藤木直人　(他)部長(藤木直人)から「君のご両親に結婚の挨拶をしたい」と言われたホタル(綾瀬はるか)は、まず姉のアゲハ(堀内敬子)に結婚することを報告。具体的に「結婚」が進むことで、小夏(木村多江)からは「面倒なことが増える」、山田姐さん(板谷由夏)には「部長のために最低限のことはやったほうがいいんじゃない?」と言われてしまう。「部長のために!」とまるで仕事をしている時のようにテキパキと進めていたホタルだったが…【演出】吉野洋【脚本】水橋文美江  【原作】「ホタルノヒカリ」ひうらさとる　(講談社・KC　Kiss)【主題歌】「キミがいる」いきものがかり(Epic　Records)  【音楽】菅野祐悟【制作協力】オフィスクレッシェンド  【製作著作】日本テレビ</t>
  </si>
  <si>
    <t>番組名ホタルノヒカリ2　#9</t>
  </si>
  <si>
    <t>綾瀬はるか、向井理、板谷由夏、臼田あさ美、安田顕、木村多江、藤木直人　(他)「少し距離をおきたい」と高野が縁側のある家を出て行ってしまい、しょんぼりしている蛍。そんなある日、美香が小夏の店の試食会を開くと言い出す。山田姐さんに「後輩の仕事を見守るのも仕事」とアドバイスされた蛍は、黙って見守ることにしたが、いっぱいいっぱいの美香を気分転換させてあげようと川釣りに誘う。釣りの最中、瀬乃と二人きりになった蛍は、瀬乃から「部長のいない隙にキスしたらどうする?」と急接近されーー!?【演出】石尾純【脚本】水橋文美江  【原作】「ホタルノヒカリ」ひうらさとる　(講談社・KC　Kiss)【主題歌】「キミがいる」いきものがかり(Epic　Records)  【音楽】菅野祐悟【制作協力】オフィスクレッシェンド  【製作著作】日本テレビ</t>
  </si>
  <si>
    <t>番組名ホタルノヒカリ2　#10</t>
  </si>
  <si>
    <t>綾瀬はるか、向井理、板谷由夏、臼田あさ美、安田顕、木村多江、藤木直人　(他)部長の父・盆太郎が突然高野家に帰って来た。部長がホタルと結婚するにあたり「両家の顔合わせに出席してほしい」と連絡をしたので帰って来たのだという。しかし部長は母親が亡くなる時もフラフラと旅に出ていた盆太郎を「父親だと思ったことはない」と語り、ホタルは複雑な心境。  そんな中、高野に子会社への異動話が持ち上がる。  一方、美香の瀬乃への思いを知ったホタルは、瀬乃を避けるようになり…。【演出】南雲聖一【脚本】水橋文美江  【原作】「ホタルノヒカリ」ひうらさとる　(講談社・KC　Kiss)【主題歌】「キミがいる」いきものがかり(Epic　Records)  【音楽】菅野祐悟【制作協力】オフィスクレッシェンド  【製作著作】日本テレビ</t>
  </si>
  <si>
    <t>番組名ホタルノヒカリ2　#11</t>
  </si>
  <si>
    <t>綾瀬はるか、向井理、板谷由夏、臼田あさ美、安田顕、木村多江、藤木直人　(他)部長が会社を辞め、転職すると宣言。長いこと考えた末の決断だということを知ったホタルは自分のふがいなさにショックを受ける。  山田姐さんにも「これから先の二人の幸せをどう思い描いているのか」と訊かれ、考え込むホタル。  一方、瀬乃も小夏の店のオープン前にはSWを辞めニューヨークに行くと会社に報告。瀬乃は「一緒に来てほしい」とホタルに告げるのだが…。【演出】吉野洋【脚本】水橋文美江  【原作】「ホタルノヒカリ」ひうらさとる　(講談社・KC　Kiss)【主題歌】「キミがいる」いきものがかり(Epic　Records)  【音楽】菅野祐悟【制作協力】オフィスクレッシェンド  【製作著作】日本テレビ</t>
  </si>
  <si>
    <t>1007_NTV_木23</t>
  </si>
  <si>
    <t>日本人の知らない日本語</t>
  </si>
  <si>
    <t>番組名木曜ナイトドラマ「日本人の知らない日本語」#1</t>
  </si>
  <si>
    <t>仲里依紗、青木崇高、原田夏希、池田成志(他)「超ウケるんですけど～」昨日まで渋谷でカリスマ店員をしていた嘉納ハルコ(23)の目の前には、外国人たちが座っていた。高校教師になることが夢だったのに、まさか日本語教師とは。  しかし、引き下がれない理由がハルコにはあった。今日教えるページを開く。「小学生レベルじゃない。日本語教えるなんて簡単よ」と教壇に立つハルコ。  しかし…外国人生徒たちの素朴な質問は超難問ばかり。予測不能なバトルの幕開けだった!http://www.ytv.co.jp/nihongo/</t>
  </si>
  <si>
    <t>番組名木曜ナイトドラマ「日本人の知らない日本語」#2</t>
  </si>
  <si>
    <t>仲里依紗、青木崇高、原田夏希、池田成志(他)ファミレスなどで良く聞く次の言葉、どこか変ではありませんか?「こちらが麻婆豆腐になります」「お飲み物は大丈夫ですか」「ご注文のほうは以上でよろしかったでしょうか」元カリスマ店員の新人教師VSいつもフリーダムな外国人生徒たちの『なるほど』×『爆笑』日本語バトル!今回はファミレスでバイト敬語に素朴な疑問を突っ込みながら、ギャル先生ハルコが満載トラブルをワールドワイドな起死回生アイデアで解決!http://www.ytv.co.jp/nihongo/</t>
  </si>
  <si>
    <t>番組名木曜ナイトドラマ「日本人の知らない日本語」#3</t>
  </si>
  <si>
    <t>仲里依紗、青木崇高、原田夏希、池田成志(他)任侠大好きフランスマダム・マリーが、憧れのヤクザと出会ったばかりに花札勝負に巻き込まれるハルコ!しかもマリーが持ち出したのは小遣い感覚の1000万円。賭博は強制送還にもなりかねない危機的状況に、ハルコは教師として大切なことを思い出す…  その他、インターナショナル爆笑自己紹介も飛び出す「ニホシラ」第3話!初めての方も今夜から楽々合流できますよ～http://www.ytv.co.jp/nihongo/</t>
  </si>
  <si>
    <t>番組名木曜ナイトドラマ「日本人の知らない日本語」#4</t>
  </si>
  <si>
    <t>仲里依紗、青木崇高、原田夏希、池田成志(他)http://www.ytv.co.jp/nihongo/</t>
  </si>
  <si>
    <t>番組名木曜ナイトドラマ「日本人の知らない日本語」#5</t>
  </si>
  <si>
    <t>仲里依紗、青木崇高、原田夏希、池田成志(他)今夜はインターナショナル爆笑怪談!  フリーダムな外国人生徒たちのコワイ話に学校に怪奇現象が…信じられない展開に隠された“死人の愛”とは?  実際は恐ろしい「漢字」の話も披露するニホシラ第5話!  暑い夜に是非涼んでいってください……http://www.ytv.co.jp/nihongo/</t>
  </si>
  <si>
    <t>番組名木曜ナイトドラマ「日本人の知らない日本語」#6</t>
  </si>
  <si>
    <t>仲里依紗、青木崇高、原田夏希、石黒英雄、池田成志(他)日本語教師の嘉納ハルコ(仲里依紗)は、大学時代につき合っていた元カレ・向井文也(石黒英雄)と再会。彼が勤める高校の採用面接を受けてみないかと誘われる。  一方、忍者大好きスウェーデン人生徒・エレーン(カミラ)が雑木林の茂みで全身黒ずくめの男を発見。忍者と思い込んだエレーンがその男と接触すると…  怪しいワナで暴かれる生徒の秘密と裏切り。夢か現実か、人生の選択をハルコは迫られる。http://www.ytv.co.jp/nihongo/</t>
  </si>
  <si>
    <t>番組名木曜ナイトドラマ「日本人の知らない日本語」#7</t>
  </si>
  <si>
    <t>仲里依紗、青木崇高、原田夏希、池田成志(他)日本語教師の嘉納ハルコ(仲里依紗)は、クラスのお調子者イギリス人生徒・ポールが、最近学校をサボりがちになっていることを心配する。日本人の恋人ができ、どうやら恋に舞い上がっているらしい。そんなある日、ハルコはポールの恋人が別の外国人とキスをしているところを目撃。ポールが二股をかけられていると知ったハルコは、ポールの目を覚ますべく“世界ラブアタック作戦”を決行!  ポールの前で恋人の本性を暴く!http://www.ytv.co.jp/nihongo/</t>
  </si>
  <si>
    <t>番組名木曜ナイトドラマ「日本人の知らない日本語」#8</t>
  </si>
  <si>
    <t>仲里依紗、青木崇高、原田夏希、池田成志(他)元カリスマ店員の熱血ギャル教師VS超フリーダムな外国人生徒たちの、天然日本語バトル!笑いと涙の3ヶ月で、全員卒業させることができるのか!?http://www.ytv.co.jp/nihongo/</t>
  </si>
  <si>
    <t>番組名木曜ナイトドラマ「日本人の知らない日本語」#9</t>
  </si>
  <si>
    <t>仲里依紗、青木崇高、原田夏希、小島藤子、つみきみほ、池田成志(他)元カリスマ店員の熱血ギャル教師VS超フリーダムな外国人生徒たちの、天然日本語バトル!  笑いと涙の3ヶ月で、全員卒業させることができるのか!?http://www.ytv.co.jp/nihongo/</t>
  </si>
  <si>
    <t>番組名木曜ナイトドラマ「日本人の知らない日本語」#10</t>
  </si>
  <si>
    <t>仲里依紗、青木崇高、原田夏希、池田成志(他)元カリスマ店員の熱血ギャル教師VS超フリーダムな外国人生徒たちの、天然日本語バトル!  笑いと涙の3ヶ月で、全員卒業させることができるのか!?http://www.ytv.co.jp/nihongo/</t>
  </si>
  <si>
    <t>番組名木曜ナイトドラマ「日本人の知らない日本語」#11</t>
  </si>
  <si>
    <t>仲里依紗、青木崇高、原田夏希、池田成志(他)卒業試験まであと1週間!  元カリスマ店員の熱血ギャル教師VS超フリーダムな外国人生徒たちの、笑いと涙の3ヶ月!  超天然バトルも、いよいよ大詰め!  ハルコは全員卒業させることができるのか!?http://www.ytv.co.jp/nihongo/</t>
  </si>
  <si>
    <t>番組名木曜ナイトドラマ「日本人の知らない日本語」#12</t>
  </si>
  <si>
    <t>仲里依紗、青木崇高、原田夏希、朝加真由美、池田成志(他)ついに最終回。  元カリスマ店員の熱血ギャル教師VS超フリーダムな外国人生徒たちの、笑いと涙の3ヶ月。  最後にハルコを待っていたのは…http://www.ytv.co.jp/nihongo/</t>
  </si>
  <si>
    <t>1007_NTV_土21</t>
  </si>
  <si>
    <t>美丘</t>
  </si>
  <si>
    <t>番組名美丘-君がいた日々-　#1</t>
  </si>
  <si>
    <t>吉高由里子、林遣都、勝地涼、水沢エレナ、夕輝壽太、中村静香  金田明夫、美保純、寺脇康文、谷原章介、真矢みき　ほか平凡な大学生だった太一は、ある日、嵐のような女の子・美丘(みおか)に出会う。自由奔放に自分の思うままに生きる美丘に振り回されながらも、次第に惹かれていく太一。しかし、美丘には秘密があった。不治の病を脳に抱えていたのだ。残された時間を、力いっぱい生きる美丘と彼女を全力で愛する太一。二人を支える家族、医師、友人たち。その姿を通して「人を愛するということは」「生きるとは」「命とは」を問う物語。猪股隆一【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</si>
  <si>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番組名美丘-君がいた日々-　#2</t>
  </si>
  <si>
    <t>吉高由里子、林遣都、勝地涼、水沢エレナ、  夕輝壽太、中村静香、寺脇康文、谷原章介、真矢みき「もう本気の恋はしない」そう決めていた美丘(吉高由里子)の心は、太一(林遣都)との出会いで静かに動き始めていた。そして、太一もまた気がつくといつも楽しそうに笑う美丘の姿を目で追っていた。しかし、そんな二人を見ていた麻理(水沢エレナ)は、美丘に「私、太一くんが好きなの」と突然告白する。一瞬戸惑う美丘だったが、太一への想いを隠し、二人を応援すると約束するのだった。猪股隆一【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</si>
  <si>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番組名美丘-君がいた日々-　#3</t>
  </si>
  <si>
    <t>吉高由里子、林遣都、勝地涼、水沢エレナ、  夕輝壽太、中村静香、寺脇康文、谷原章介、真矢みき「あたし、死んじゃうんだ。もう長く生きられないの」美丘(吉高由里子)の突然の告白に太一(林遣都)は戸惑い、美丘とどう接していいかわからずにいた。ある日、何も知らない邦彦(勝地涼)は美丘を映画に誘う。だがそれは主人公が病気で死んでしまう映画だった。美丘は差し出されたチケットを乱暴に振り払い、飛び出していってしまう。美丘の態度に邦彦、麻理(水沢エレナ)、洋次(夕輝壽太)、直美(中村静香)は唖然とする山下学美【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</si>
  <si>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番組名美丘-君がいた日々-　#4</t>
  </si>
  <si>
    <t>吉高由里子、林遣都、勝地涼、水沢エレナ、夕輝壽太、中村静香  金田明夫、美保純、寺脇康文、谷原章介、真矢みき美丘と太一が一緒にいると決めた日からひと月が過ぎ、二人は美丘の病気を忘れたかのように、いつも笑って過ごしていた。ある日、太一を校門に待たせて忘れ物を取りに行った美丘は、不意にめまいを感じる。やり過ごして歩き出そうとしたそのとき、異変は起こった。「…あれ?学校どっちだっけ?…」通いなれた道がわからなくなる美丘。ついに恐れていたことが起こり始めたのだーー。佐久間紀佳【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</si>
  <si>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番組名美丘-君がいた日々-　#5</t>
  </si>
  <si>
    <t>吉高由里子、林遣都、勝地涼、水沢エレナ、夕輝壽太、中村静香  金田明夫、美保純、寺脇康文、谷原章介、真矢みき美丘(吉高由里子)は、太一(林遣都)との同棲資金のために、アルバイトを探し始めた。あらためて美丘の想いの強さを感じた太一もまた、美丘の想いを受け入れる。ある日、美丘は邦彦(勝地涼)や、麻理(水沢エレナ)の前で気を失って倒れてしまう。仲間たちは美丘の体を心配するが、太一も美丘も病気の事は打ち明けられないでいた。猪股隆一【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</si>
  <si>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番組名美丘-君がいた日々-　#7</t>
  </si>
  <si>
    <t>吉高由里子、林遣都、勝地涼、水沢エレナ、夕輝壽太、中村静香  寺脇康文、升毅、谷原章介、真矢みき美丘(吉高由里子)が太一(林遣都)と暮らしはじめて一ヶ月が経った。美丘と太一は夏の思い出にロックフェスティバルに行く。出発当日、美丘は今までとは違う大きな異変を体に感じる。左手が突然痙攣し始め、足を前に出そうとするが出ず、そのままガクガクと崩れ落ちるように倒れてしまう。美丘の異変に気づき、慌てて駆け寄り抱きしめる太一。そんな太一に、美丘は悲しい目をして告げる。「太一くん…はじまっちゃったよ…」ーー佐久間紀佳【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</si>
  <si>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番組名美丘-君がいた日々-　#8</t>
  </si>
  <si>
    <t>吉高由里子、林遣都、勝地涼、水沢エレナ、夕輝壽太、中村静香  金田明夫、美保純、寺脇康文、谷原章介、真矢みき美丘(吉高由里子)の病状は徐々に進行していた。だが美丘は明るく振舞い続け、自分の体が動くうちにと、佳織(真矢みき)に「家族で旅行に行こう」と提案する。だが旅行中、美丘が今まで動いていた右手を動かしにくそうにしていることに、太一(林遣都)だけが気づいた。そして太一の頭に高梨の言葉が蘇る。「覚悟しておいてほしい。もうすぐ彼女は自分の足で歩くことも、自分の手で食事をすることもできなくなる」ーー。猪股隆一【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</si>
  <si>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番組名美丘-君がいた日々-　#9</t>
  </si>
  <si>
    <t>吉高由里子、林遣都、勝地涼、水沢エレナ、夕輝壽太、中村静香  金田明夫、美保純、寺脇康文、谷原章介、真矢みきついに美丘(吉高由里子)は入院することになった。ある日、太一(林遣都)が病室に入ると、美丘は突然怯えた顔で「……誰?……」と太一に問いかけた。自分のことがわからなくなってしまった美丘の言葉にショックを受け、病室を飛び出してしまう太一。ようやく記憶を取り戻した美丘は、慌てて太一を追いかけようとして、ベッドから落ちてしまう。病室の異様な音に太一がドアを開けると、美丘は錯乱した様子で泣きじゃくっていた。佐久間紀佳【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</si>
  <si>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番組名美丘-君がいた日々-　#10</t>
  </si>
  <si>
    <t>吉高由里子、林遣都、勝地涼、水沢エレナ、夕輝壽太、中村静香  金田明夫、美保純、寺脇康文、谷原章介、真矢みき急変した美丘(吉高由里子)は予断を許さない日々が続いた。太一(林遣都)は、病院に泊まり込み、美丘に付き添っていた。ある日、太一は美丘からiPodを渡される。帰り道に再生すると、そこには美丘から太一への最後のメッセージが入っていた。「太一くんに伝えたい事がいっぱいあるのに、あたしには時間がないみたい……だから、ここに吹き込むね」。愕然とする太一は、涙を流しながら美丘の最後の言葉に耳をすませたーー。猪股隆一【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</si>
  <si>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1004_NTV_水22</t>
  </si>
  <si>
    <t>Mother</t>
  </si>
  <si>
    <t>番組名Mother</t>
  </si>
  <si>
    <t>松雪泰子/山本耕史、酒井若菜、倉科カナ、芦田愛菜(子役)/尾野真千子、川村陽介、市川実和子、音尾琢真、田中実、綾野剛/高畑淳子/田中裕子奈緒は大学で渡り鳥の研究に励んでいたが、研究室が閉鎖され仕方なく小学校で教師をしていた。そこで出会った生徒の怜南は無愛想な奈緒の事をなぜか慕っていた。怜南と接するうちに、奈緒は気づく。彼女の身体にいくつか痣があることを。それが何を意味するかは直感でわかった。周囲の大人は見て見ぬフリをしていた。初めは傍観していた奈緒だったが、ある事件をきっかけに重大な決意をする。怜南を誘拐し彼女の母親になることを…【演出】水田伸生【脚本】坂元裕二</t>
  </si>
  <si>
    <t>松雪泰子/山本耕史、酒井若菜、倉科カナ、芦田愛菜(子役)/尾野真千子、川村陽介、市川実和子、綾野剛/高畑淳子/田中裕子奈緒は怜南に継美という名前を付け、夜行列車で東京に向かっていた。しかし人目を避けて途中下車した駅で財布を盗られてしまう。途方に暮れる奈緒は捨てられた自分が一時的に預けられていた児童養護施設を訪ねることに。一方奈緒を探しに室蘭を訪ねた果歩と耕平は、怜南の海難事故を取材中の雑誌記者の駿輔と出会い、行動を共にする。  計らずも忘れたい過去と向き合うことになった奈緒は…  そして奈緒の行動に疑念を抱く駿輔は…【演出】水田伸生【脚本】坂元裕二</t>
  </si>
  <si>
    <t>松雪泰子/山本耕史、酒井若菜、倉科カナ、芦田愛菜(子役)/尾野真千子、川村陽介、市川実和子、綾野剛/高畑淳子/田中裕子無一文になってしまった奈緒は母からお金を借り、仕事探しに奔走する。継美は葉菜という女性と出会い、奈緒の留守中に彼女と度々一緒に過ごし親しくなっていた。  一方室蘭で怜南の取材を続ける駿輔は、怜南と同時に姿を消した奈緒が事件の鍵を握っていると考える。  そんな中、奈緒はようやく清掃員として働き始めるが、一人で帰りを待つ継美が熱をだしてしまう。不自由な生活で継美に無理をさせている事を不甲斐なく思う奈緒は…【演出】水田伸生【脚本】坂元裕二【音楽】REMEDIOS  【主題歌】hinaco【制作協力】ケイファクトリー  【製作著作】日本テレビ</t>
  </si>
  <si>
    <t>松雪泰子/山本耕史、酒井若菜、倉科カナ、芦田愛菜(子役)/尾野真千子、川村陽介、音尾琢真/高畑淳子/田中裕子奈緒は継美を娘だと紹介し、実家に身を寄せる。困惑しつつも籐子は孫として継美を歓迎する。束の間の安らぎの中、奈緒は継美を学校に通わせようとするが、転入手続きは困難だと知り思い悩む。  一方雑誌記者の駿輔は、ついに怜南が継美として鈴原家で暮らしている事をつかむ。  そして何かと親切にしてくれた葉菜が2人の事情に気づいた事を知った奈緒は、再び継美と逃げようと考えるが、葉菜は全てを知った上で2人の味方となり…【演出】長沼誠【脚本】坂元裕二【音楽】REMEDIOS  【主題歌】hinaco【制作協力】ケイファクトリー  【製作著作】日本テレビ</t>
  </si>
  <si>
    <t>松雪泰子/山本耕史、酒井若菜、倉科カナ、芦田愛菜(子役)/尾野真千子、川村陽介、音尾琢真/高畑淳子/田中裕子奈緒は葉菜が自分を捨てた実の母だと気づき、彼女を拒絶する。奈緒と継美の真相に気づ  いた駿輔はその事を黙っている代わりにと金を要求し、2人に付きまとい嫌がらせを始める。奈緒がお金に困っていると継美に聞いた葉菜は、奈緒に印鑑と通帳を渡しに来るが、これ以上自分とは関わるなと拒否され、通帳をその場に捨てて立ち去ってしまう。  一方北海道では怜南の葬儀を終えた母の仁美が虐待がばれる事を恐れて行動を起こし始め…【演出】水田伸生【脚本】坂元裕二【音楽】REMEDIOS  【主題歌】hinaco【制作協力】ケイファクトリー  【製作著作】日本テレビ</t>
  </si>
  <si>
    <t>松雪泰子/山本耕史、酒井若菜、倉科カナ、芦田愛菜(子役)/尾野真千子、市川実和子、音尾琢真/高畑淳子/田中裕子実の母からの電話に思わず「ママ…」と言ってしまった継美。それを見た籐子に問いただされ、奈緒はついに打ち明けた。「継美は私が誘拐してきた教え子です」と。籐子は継美を元の家に帰すように諭すが、「自分を戸籍から外し、継美を連れて鈴原家を出る」と言う奈緒。そんな中、継美が置手紙を残して家を出て行ってしまう。  一方、刑事から虐待を疑われた仁美は独り不安をつのらせていた。そして主治医の説得で入院した葉菜は…【演出】水田伸生【脚本】坂元裕二【音楽】REMEDIOS  【主題歌】hinaco【制作協力】ケイファクトリー  【製作著作】日本テレビ</t>
  </si>
  <si>
    <t>松雪泰子/山本耕史、酒井若菜、倉科カナ、芦田愛菜(子役)/尾野真千子、川村陽介、市川実和子/高畑淳子/田中裕子室蘭から東京にやってきた仁美から奈緒と継美を守るため葉菜は2人を自宅でかくまうことに。2人を探そうとする仁美に駿輔は「今更会ってもあなたが困るのでは」と話す。  一方、葉菜との暮らしから子どもを守ることの本当の意味に気づいた奈緒は、葉菜に歩み寄りたいと気持ちを伝える。「ただ自分を捨てた理由だけは聞かせて欲しい」と。すると葉菜は衝撃的な告白をするー。  そんな中、仁美がついに怜南の居場所をつきとめーー。【演出】長沼誠【脚本】坂元裕二【音楽】REMEDIOS  【主題歌】hinaco【制作協力】ケイファクトリー  【製作著作】日本テレビ</t>
  </si>
  <si>
    <t>松雪泰子/山本耕史、酒井若菜、倉科カナ、芦田愛菜(子役)/尾野真千子、川村陽介、綾野剛、市川実和子/高畑淳子/田中裕子怜南(継美)に会いに葉菜の家に来た仁美。襖の向こうにいる怜南に優しく声をかける仁美は虐待していた彼女とは別人のようだった。そのころ駿輔は昔の仁美と怜南を知る克子から「あんないい母親はなかなかいない」と聞かされ驚く。仁美と怜南に何があったのか…?仁美の優しい言葉に襖を開けて姿を現した怜南は仁美に抱きしめられると「ママ」と言って仁美の体に腕を回した。その様子をただ悲しく成す術もなく見守る葉菜と奈緒は…【演出】長沼誠【脚本】坂元裕二【音楽】REMEDIOS  【主題歌】hinaco【制作協力】ケイファクトリー  【製作著作】日本テレビ</t>
  </si>
  <si>
    <t>松雪泰子/山本耕史、酒井若菜、倉科カナ、芦田愛菜(子役)/尾野真千子、川村陽介、音尾琢真、市川実和子/高畑淳子/田中裕子奈緒達は戸籍を手に入れるため伊豆に行く準備をしていた。ある日、葉菜の主治医が奈緒を訪ね葉菜の病状を告げるが、葉菜は病状を隠し続ける。一方室蘭では仁美から誘拐の話を聞いた警察が動き出していた。鈴原家にも刑事が来て、相談を受けた駿輔は仁美に告訴状を出さないよう説得するため室蘭へ発つ。葉菜、継美と共に伊豆で束の間の安らかな時を過ごしていた奈緒も警察の動きを知り、戸籍を手に入れてから逃げようと考えるが…【演出】長沼誠【脚本】坂元裕二【音楽】REMEDIOS  【主題歌】hinaco【制作協力】ケイファクトリー  【製作著作】日本テレビ</t>
  </si>
  <si>
    <t>松雪泰子/山本耕史、酒井若菜、倉科カナ、芦田愛菜(子役)/尾野真千子、川村陽介、市川実和子/高畑淳子/田中裕子継美(怜南)を誘拐した事を認め、逮捕された奈緒。葉菜は全て自分が指示した事だと警察に訴えるが助ける事は出来ず、奈緒は起訴され裁判が始まる。いっぽう継美は室蘭の児童養護施設に送られた。鈴原家にはマスコミが押しかけ、籐子は社長を辞任、果歩は就職内定が取り消されるが、それでも家族として奈緒を支えていく決意をする。そんな中、怜南を虐待していた事で仁美が逮捕された。そしていよいよ奈緒に裁判の判決が下される…【演出】水田伸生【脚本】坂元裕二【音楽】REMEDIOS  【主題歌】hinaco【制作協力】ケイファクトリー  【製作著作】日本テレビ</t>
  </si>
  <si>
    <t>松雪泰子/山本耕史、酒井若菜、倉科カナ、芦田愛菜(子役)/音尾琢真、川村陽介、市川実和子/高畑淳子/田中裕子奈緒のもとに室蘭の児童養護施設にいる継美(怜南)から電話がかかってきた。そして継美は奈緒に言った。「お母さん、もう1回誘拐して」と。奈緒は継美に会いたい気持ちと葛藤するが、電話はすぐに切れてしまった。  その後、葉菜の命が残りわずかだと知った奈緒は、葉菜を理髪店に連れて帰ることを決意する。そして葉菜と暮らす奈緒の元に室蘭の児童養護施設にいるはずの継美がーー【演出】水田伸生【脚本】坂元裕二【音楽】REMEDIOS  【主題歌】hinaco【制作協力】ケイファクトリー  【製作著作】日本テレビ</t>
  </si>
  <si>
    <t>1004_NTV_木23</t>
  </si>
  <si>
    <t>プロゴルファー花</t>
  </si>
  <si>
    <t>番組名木曜ナイトドラマ「プロゴルファー花」#1</t>
  </si>
  <si>
    <t>加藤ローサ、片瀬那奈、井上正大、石黒賢(他)派遣社員の野宮花は上司の命令で、取引先との接待ゴルフにイヤイヤ参加するが、接待にもかかわらずスーパーショットを披露、ラッキーなカップインも出して優勝してしまう。結果、取引先は商談を白紙にし、激怒した社長は花にクビを言い渡す。1億円もの借金を抱える野宮家にとって花の給料は頼みの綱。そんな花の前に謎のゴルフコーチ・醍醐が現れる。醍醐は花の才能を見抜き、プロゴルファーを目指すよう説得するのだが・・・</t>
  </si>
  <si>
    <t>番組名木曜ナイトドラマ「プロゴルファー花」#2</t>
  </si>
  <si>
    <t>加藤ローサ、片瀬那奈、井上正大、石黒賢(他)謎のゴルフコーチ・醍醐一馬のもとを訪れた花は、プロトーナメントのアマチュア出場枠ひとつをゴルフ研修生の中から選出すると伝え聞く。花と同じ研修生でお嬢様の高瀬リコは、表向きは花を応援するが、裏では貧乏人の花が同じ研修生であることに怒りを露にし、花を潰すことを誓う。翌日、花はロッカーからクラブがなくなっている事に気付く。残っているのは7番アイアンのみ。果たして花は、この状況でライバル達と戦えるのか!</t>
  </si>
  <si>
    <t>番組名木曜ナイトドラマ「プロゴルファー花」#3</t>
  </si>
  <si>
    <t>加藤ローサ、片瀬那奈、井上正大、石黒賢(他)7番アイアン1本でテストラウンドに臨む事になった野宮花。そしてリコたちの執拗ないやがらせが始まる。花がティーショットを打つ瞬間に百合子はクシャミをして手元を狂わせ、リコは林の中に消えた花の球を踏みつけ、地面にめり込ませる。ペースを崩した花は、結局ハーフを終えて50。そして後半追い討ちをかけるように、醍醐が合計スコア90以上だったらその場で失格というルールを突然加える。花は絶体絶命のピンチを迎える。</t>
  </si>
  <si>
    <t>番組名木曜ナイトドラマ「プロゴルファー花」#4</t>
  </si>
  <si>
    <t>加藤ローサ、片瀬那奈、井上正大、石黒賢(他)今出川からゴルフウエアをプレゼントされた野宮花。リコはこの事実を知り、激しく嫉妬する。テストラウンドでは、百合子とあゆみが妨害するが、花は驚異の集中力とイメージ力で、スコアを1アンダーでまとめリコとの差を縮める。しかしテスト後、花はボールを捜している最中に、スイングに重要な左足首をくじいてしまう。今出川は花のケガを心配し介抱、花はそんな今出川に心を奪われる。そんな2人に胸中穏やかでないリコは…。</t>
  </si>
  <si>
    <t>番組名木曜ナイトドラマ「プロゴルファー花」#5</t>
  </si>
  <si>
    <t>加藤ローサ、片瀬那奈、井上正大、石黒賢(他)足首を捻挫した上、リコと今出川のキスを目撃した野宮花は、大きくスコアを崩してしまう。2週間経っても、足の痛みが消えない花。しかし、醍醐はケガは完治していると言い放つ。そんな花に今出川は、リコとのキスは誤解だと必死に弁解し、花のゴルフに対するひたむきな姿が好きだと告白する。今出川の告白を聞いた途端、足の痛みが消えていることに気づく花。そして花は、完全復活を遂げ、リコへの追撃を開始するのだが・・・</t>
  </si>
  <si>
    <t>番組名木曜ナイトドラマ「プロゴルファー花」#6</t>
  </si>
  <si>
    <t>加藤ローサ、片瀬那奈、井上正大、石黒賢(他)今出川とリコのデートにショックを受けた花に、醍醐は恋愛にうつつを抜かしているヒマはないと言い放つ。花は家族のために頑張ると気持ちを切り替え、気迫溢れるプレイを披露する。さらに、花は海が貧乏を理由に学校でイジめられている事を知り、プロゴルファーになる決意を強くする。そして花はラストラウンドを残し、ついに合計スコアがリコと並ぶ。果たして花はリコに逆転勝ちし、プロトーナメントに出場する事が出来るのか?</t>
  </si>
  <si>
    <t>番組名木曜ナイトドラマ「プロゴルファー花」#7</t>
  </si>
  <si>
    <t>加藤ローサ、片瀬那奈、井上正大、石黒賢(他)テストラウンド最終日、花とリコは同スコアで最終ホールを迎える。だが、花のパットはカップに届かず、リコに敗れてしまう。醍醐は敗戦を引きずる花に対し、あの場面でカップにショートさせるのはアマチュアだと厳しく言い放つ。そんな折、花はライバルの芝山に敗れた今出川がパットを打ち込む姿を目撃。今出川と話して元気になった花はプロテストの想定ラウンドで、前にも増して力強いショットを放ち完全復活したかに見えたが・・</t>
  </si>
  <si>
    <t>番組名木曜ナイトドラマ「プロゴルファー花」#8</t>
  </si>
  <si>
    <t>加藤ローサ、片瀬那奈、井上正大、石黒賢(他)突然、カップが見えなくなる病・イップスになった花。花は今出川に相談しようとするが、時間が合わず話ができない。そんな折、野木は今すぐ借金を返せと花を恫喝。期限を延ばしたいなら今出川と接触するなと不可解な交換条件を花に突きつける。そして、醍醐は何の説明もないまま、謎の男2人と一緒にラウンドしろと花に命じる。しかも、そのラウンドは100万もの大金がかかった賭けゴルフだった・・・。</t>
  </si>
  <si>
    <t>番組名木曜ナイトドラマ「プロゴルファー花」#10</t>
  </si>
  <si>
    <t>加藤ローサ、片瀬那奈、井上正大、石黒賢(他)プロテストに合格しプロとして歩み始めた花。賞金を稼ぐと意気込む花だったが、トーナメントの本選に出場するための予選すら通過できず、試合に必要な資金を稼ぐため夜遅くまでバイトに明け暮れる。そんな折、醍醐はトーナメントの主催者推薦をもらってきたと花に伝える。本選から出場できると知って喜ぶ花だったが、九州の熊本で開催される大会に、参加するお金もなく断念しようとするが…。</t>
  </si>
  <si>
    <t>番組名木曜ナイトドラマ「プロゴルファー花」#11</t>
  </si>
  <si>
    <t>加藤ローサ、片瀬那奈、井上正大、石黒賢(他)キャディを買って出たミチルと共にトーナメントに出場する花。だが、花は同じ組の大原道子による新人潰しの策略にハマって予選落ちしてしまう。プロの壁にぶち当たった花に醍醐は、ある人物のもとでの修行を命じる。その人物とは、ゴルフ仙人と自称する怪しさ満載の人物だった。仙人からゴルフに勝つには自然を知らなければいけないと諭された花だったが、ふと気になって日付を確認すると、なんと全日本女子オープン当日だった・・</t>
  </si>
  <si>
    <t>番組名木曜ナイトドラマ「プロゴルファー花」#12</t>
  </si>
  <si>
    <t>加藤ローサ、片瀬那奈、井上正大、石黒賢(他)全日本女子オープンで、リコ、大原と同じ組でまわる事になった花。ゴルフ仙人の修行で成長した花は大原の策略にも動じず初日トップに立ち、動揺した大原は大きく出遅れる。予選2日目の朝、花は大原から何十億円も借金がある事を打ち明けられ、しかも取立て屋に怪我をさせられた大原を見た花は同情して大きくスコアを崩してしまう。そして花は残り4ホール、全てバーディーを取らないと予選落ちという絶体絶命のピンチを迎える…。</t>
  </si>
  <si>
    <t>1004_NTV_土21</t>
  </si>
  <si>
    <t>怪物くん</t>
  </si>
  <si>
    <t>番組名土曜の嵐第一夜　怪物くん開幕SP　「怪物くん」</t>
  </si>
  <si>
    <t>大野智、松岡昌宏、八嶋智人、川島海荷、上島竜兵、チェ・ホンマン、濱田龍臣、三宅弘城、津田寛治、半海一晃、稲森いずみ、鹿賀丈史　ほか怪物大王(鹿賀丈史)によって「怪物ランド」から人間界へと、お供のドラキュラ(八嶋智人)、オオカミ男(上島竜兵)、フランケン(チェ・ホンマン)と一緒に真っ逆さまに突き落とされる怪物くん(大野智)。そこに、ボールを探しにやってきた少年、市川ヒロシ(濱田龍臣)が現れた。人間の役に立てば、怪物界に戻れると思った怪物くんはヒロシに「何でも願い事を叶えてやるぞ」と言う。その言葉に、いじめられっ子のヒロシは…中島悟【原作】「怪物くん」藤子不二雄A  【脚本】西田征史井筒昭雄</t>
  </si>
  <si>
    <t>番組名土曜の嵐第二夜　嵐にしやがれ開幕SP　「怪物くん」</t>
  </si>
  <si>
    <t>大野智、松岡昌宏、八嶋智人、川島海荷、上島竜兵、チェ・ホンマン、濱田龍臣、三宅弘城、津田寛治、半海一晃、稲森いずみ、鹿賀丈史　ほか“お金”を知らない怪物くんは、ウタコの生活費を勝手に使い大激怒させてしまう。責任を感じてお金を稼ごうとするが失敗の連続。お金が無いので何も買えず、大好物のカレーも作ってもらえず、怪物くんは空腹地獄に!生活費に困ったウタコは、タダでお金が貰えるという怪しい建物に吸い込まれていく。お金を手にしたウタコは何故か徐々に年老いていった…一方、怪物くんは空腹に対抗する為、何もしない作戦を実行するのだが!?中島悟【原作】「怪物くん」藤子不二雄A  【脚本】西田征史【音楽】井筒昭雄</t>
  </si>
  <si>
    <t>番組名怪物くん</t>
  </si>
  <si>
    <t>大野智、松岡昌宏、八嶋智人、川島海荷、上島竜兵、チェ・ホンマン、濱田龍臣、三宅弘城、津田寛治、半海一晃、稲森いずみ、鹿賀丈史　ほか町内運動会で大活躍する怪物くん。ヒロシといると、封印されている念力が使える!ヒロシは友達だ!と勘違いするが、そんなヒロシに忍び寄る悪魔族の黒い影!一方、魔王石を爺やが怪物くんに渡していた事が大王にばれてしまい、魔王石の返却を迫られるお供3人組だったが、肝心の魔王石が見つからない。石を持っているはずのヒロシも失踪していた。やがて怪物屋敷に届く脅迫文!そして、さらに怪物くんがもう1人現われる!?狩山俊輔【原作】「怪物くん」藤子不二雄A  【脚本】西田征史【音楽】井筒昭雄  【主題歌】「Monster」(ジェイ・ストーム)  【挿入歌】「ユカイツーカイ怪物くん」</t>
  </si>
  <si>
    <t>大野智、松岡昌宏、八嶋智人、川島海荷、上島竜兵、チェ・ホンマン、濱田龍臣、三宅弘城、飯田基祐、福井裕子、佐々木すみ江、半海一晃、稲森いずみ、鹿賀丈史　ほかお墓参りに行く怪物くん。しかし、退屈すぎる怪物くんは念力を使って手を伸ばし、お供え物を食べてしまう!それを、お年寄りのフミに見られてしまい、今見た事を黙っている代わりに、私の孫になれ!と脅迫される怪物くん。怪物であることがバレると怪物ランドに戻れない怪物くんは、しかたなくフミの孫になることに…　遂に悪魔族デモリーナと直接対決!オトシヨリのお節介に大苦戦する怪物くんが、初めて流す涙とは!?中島悟【原作】「怪物くん」藤子不二雄A  【脚本】西田征史【音楽】井筒昭雄  【主題歌】「Monster」(ジェイ・ストーム)  【挿入歌】「ユカイツーカイ怪物くん」</t>
  </si>
  <si>
    <t>大野智、松岡昌宏、八嶋智人、川島海荷、上島竜兵、チェ・ホンマン、濱田龍臣、三宅弘城、飯田基祐、入山法子、半海一晃、稲森いずみ、鹿賀丈史　ほか怪物ランドに戻るには大人になれ!と爺やに言われた怪物くん。恋をすれば大人になれると聞き「教えてくれ!俺に恋を!」と恋のレッスンを申し込む。一方、ドラキュラは病気で視力を失った人間の女性に恋をし、彼女の手術代の為、アルバイトに明け暮れる日々。そんなドラキュラに忍び寄る悪魔族!人間に恋してしまったドラキュラの運命は?遂にデモリーナの過去が明らかに!そして、怪物くんが初めて経験する恋とは!?石尾純【原作】「怪物くん」藤子不二雄A  【脚本】西田征史【音楽】井筒昭雄  【主題歌】「Monster」(ジェイ・ストーム)  【挿入歌】「ユカイツーカイ怪物くん」</t>
  </si>
  <si>
    <t>大野智、松岡昌宏、八嶋智人、川島海荷、上島竜兵、チェ・ホンマン、濱田龍臣、三宅弘城、飯田基祐、田川涼、上田瑠星、阿部圭吾、吉田真澄、岡田達也、津乃村真子、半海一晃、稲森いずみ、鹿賀丈史　ほか「情けない!」人間界でちっとも成長しない怪物くんに苛立つ怪物大王。そんなある日、ウタコが自分の代わりにヒロシの授業参観に出て欲しいと頼んできた。「ヤダよ面倒くさい!」断る怪物くんだったが、坊ちゃんの成長に最適!と考えたお供に説得され「やってやるよ…ヒロシの親!」。怪物くんがヒロシのパパになって大奮闘!心配性の大王が人間界へ?そして、デモリーナがヒロシに迫る!壮絶な親子喧嘩の結末は!?中島悟【原作】「怪物くん」藤子不二雄A  【脚本】西田征史【音楽】井筒昭雄  【主題歌】「Monster」(ジェイ・ストーム)  【挿入歌】「ユカイツーカイ怪物くん」</t>
  </si>
  <si>
    <t>大野智、松岡昌宏、八嶋智人、川島海荷、上島竜兵、チェ・ホンマン、濱田龍臣、三宅弘城、津田寛治、半海一晃、稲森いずみ、鹿賀丈史　ほかお姉ちゃんはケンさんの事が好き!ヒロシの言葉を信じてウタコに告白するフランケンだったが、あっさり振られてしまう。フランケンを傷つけたウタコとヒロシに絶交宣言する怪物くん。自暴自棄になり街で乱闘騒ぎを起こすフランケンを助けたのは、復活したものの記憶を失った悪魔王子デモキンだった!恩を感じた怪物くんはデモキンとの間に友情を育んでいく!?そして遂に、怪物大王から厳しい最終試練が言い渡される!狩山俊輔【原作】「怪物くん」藤子不二雄A  【脚本】西田征史【音楽】井筒昭雄  【主題歌】「Monster」(ジェイ・ストーム)  【挿入歌】「ユカイツーカイ怪物くん」</t>
  </si>
  <si>
    <t>大野智、松岡昌宏、八嶋智人、川島海荷、上島竜兵、チェ・ホンマン、濱田龍臣、飯田基祐、吉田真澄、半海一晃、稲森いずみ、鹿賀丈史　ほか記憶を取り戻したデモキンは百年前に自分を封印した怪物大王へ復讐を果すため、魔王石の奪還を決意する。魔王石がある怪物界への入口を聞こうと、怪物くんをキャンプに誘い出す!策略とは知らずキャンプを楽しむ怪物くんだったが、悪魔族が現れ誘拐されてしまう!計算外の事態に驚くデモキンだったが、この期に乗じて怪物くんとの距離を更に縮めようと、自らも悪魔族の手に!デモキンの復讐劇は成功するのか?怪物くんの運命は?!石尾純【原作】「怪物くん」藤子不二雄A  【脚本】西田征史【音楽】井筒昭雄  【主題歌】「Monster」(ジェイ・ストーム)  【挿入歌】「ユカイツーカイ怪物くん」</t>
  </si>
  <si>
    <t>番組名復活!土曜の嵐　「怪物くん」</t>
  </si>
  <si>
    <t>大野智、松岡昌宏、八嶋智人、川島海荷、上島竜兵、チェ・ホンマン、濱田龍臣、三宅弘城、田川涼、上田瑠星、阿部圭吾、吉田真澄、ヨシダ朝、累央、半海一晃、稲森いずみ、鹿賀丈史　ほか怪物大王から魔王石を奪還したデモキンは、世界征服という壮大な野望を達成しようとしていた!「降参する!」デモキンと争う事に恐怖を感じた怪物くんは、仲良くしよう!と懇願する。しかし、そんな怪物くんにデモキンは「人間界と怪物界、救いたい方を選べ!」と究極の選択を迫る!果たして怪物くんはどちらの世界を選ぶのか?怒涛の最終回!世界の運命は怪物くんにゆだねられた!そして、最後に永遠の別れがまっている!?中島悟【原作】「怪物くん」藤子不二雄A  【脚本】西田征史【音楽】井筒昭雄  【主題歌】「Monster」(ジェイ・ストーム)  【挿入歌】「ユカイツーカイ怪物くん」</t>
  </si>
  <si>
    <t>番組名今夜も!土曜の嵐　「もう帰って来たよ!!怪物くん　全て新作SP!」</t>
  </si>
  <si>
    <t>大野智、八嶋智人、川島海荷、上島竜兵、チェ・ホンマン、濱田龍臣、三宅弘城、半海一晃、石井萌々果、藤子不二雄A、ベッキーヒロシやウタコと別れ、怪物ランドに戻ってしまった怪物くん。しかし!みんなのヒーロー怪物くんが、もう帰ってきました!しかも!よくある総集編ではなく、全てが新作!  オリジナルショートドラマが3本!待ちに待ったあのゲストが登場!「カイカイ体操」をみんなでダンス!怪物くんの魅力がぎっしり詰まった90分!ご家族皆さんで、是非ご覧下さい!!見のがしたら・・・これはマズイね!!石尾純、狩山俊輔、松岡昌宏西田征史【音楽】井筒昭雄  【主題歌】嵐【制作協力】オフィスクレッシェンド、AXON  【制作著作】日本テレビ</t>
  </si>
  <si>
    <t>1001_NTV_水22</t>
  </si>
  <si>
    <t>曲げられない女</t>
  </si>
  <si>
    <t>番組名曲げられない女</t>
  </si>
  <si>
    <t>菅野美穂、谷原章介、塚本高史、朝加真由美、西岡徳馬、永作博美　(他)荻原早紀、32歳、独身。法律事務所でバイトをしながら司法試験を目指しているが9年も惨敗中。周りは「あきらめて結婚しろ」と勧めるが、彼女は信念を持ち、物事すべてをきちんとしないと気が済まない“曲げられない女”だった。  そんな早紀だが、高校の同級生でセレブな主婦の璃子との再会、恋人の弁護士・正登からのプロポーズ、「結婚に夢を持つな」という光輝との出会いで、曲げられなかった自分の道に迷いを持ち始め…</t>
  </si>
  <si>
    <t>菅野美穂、谷原章介、塚本高史、朝加真由美、西岡徳馬、永作博美　(他)プロポーズを断っても仕事仲間としての関係は変わらないという正登にほっとする早紀。一緒に出勤すると、正登の元同級生が相談に来て、会社を不当解雇されたと話す。そんなとき、早紀は財布をなくしてしまい、貯金残高もなく、ギリギリの生活を送る羽目になる。空腹を抑えつつ、正登とともに彼の同級生を救おうとする早紀だが、上司からなぜかこの客は断るように言われる。逆らって会社をクビになれば、更に生活は苦しくなるが…【演出】南雲聖一【脚本】遊川和彦【音楽】池頼広  【主題歌】aiko【制作協力】5年D組  【製作著作】日本テレビ</t>
  </si>
  <si>
    <t>菅野美穂、谷原章介、塚本高史、朝加真由美、永作博美　(他)母が再び倒れ、帰郷した早紀。教師をする母は、生徒たちに会いたいと学校に行こうとする。絶対安静と医師から言われた早紀は母を止めようとするが、母は考えを曲げない。死を覚悟した母は「我死すとも、いいとも」という辞世の句を詠むが、早紀はその意味を理解できず、母の覚悟も受け入れられず悩む。そんな折、早紀のもとに璃子と光輝が訪れ、娘として母にどうしてやりたいのかと問う。自分の本心は何かと考えた早紀は…【演出】吉野洋【脚本】遊川和彦【音楽】池頼広  【主題歌】aiko【制作協力】5年D組  【製作著作】日本テレビ</t>
  </si>
  <si>
    <t>菅野美穂、谷原章介、塚本高史、永作博美　(他)母を亡くし、司法試験に合格しても喜んでくれる人がいなくなったことから、早紀は生きる気力を失って家にこもり、塞ぎこむ。それを見つけた璃子は光輝とともにあの手この手で早紀を元気付けようとするが、早紀はなかなか元に戻らない。璃子は正登にも早紀の窮状を伝えてしまい、早紀の家を訪れた正登は光輝と喧嘩になってしまう。さらに正登は早紀を、二人の卒業した大学の思い出の場所に誘い出す。そこで早紀の見たものは…【演出】【脚本】遊川和彦【音楽】池頼広  【主題歌】  『戻れない明日』  aiko(ポニーキャニオン)【制作協力】5年D組  【製作著作】日本テレビ</t>
  </si>
  <si>
    <t>菅野美穂、谷原章介、塚本高史、平泉成、永作博美　(他)早紀の家に璃子が転がり込んでくる。その理由を言わない璃子に、何かあると気づいた早紀は璃子の家を訪れる。璃子の姑と子供に会った早紀は彼女の本当の姿を知る。帰宅した早紀は璃子にどうするのかと詰め寄り、怒らせてしまう。一方、光輝からは頻繁にアプローチを受け、どうすることもできない早紀。ある日、璃子はうそをついて子供たちを早紀の家に連れてきてしまう。何も知らない子供たちと子供の相手をできない璃子に早紀は…【演出】南雲聖一【脚本】遊川和彦【音楽】池頼広  【主題歌】  『戻れない明日』  aiko(ポニーキャニオン)【制作協力】5年D組  【製作著作】日本テレビ</t>
  </si>
  <si>
    <t>菅野美穂、谷原章介、塚本高史、平泉成、永作博美　(他)病院に運ばれた早紀だが、大の医者嫌いのため検査を断り帰宅してしまう。一方、早紀の家の近所で女性が襲われる事件が多発。事件があっても蚊帳の外だという光輝に早紀は警察官になった理由を聞くが、はぐらかす光輝。上の階の大学生、今田に苦情を言ったときも、光輝が警察と聞いてひるむ学生たちになぜか光輝は浮かない顔。正登と鉢合わせても元気なく立ち去ってしまい、気になった早紀は二人で食事し、光輝の意外な過去を知る…【演出】吉野洋【脚本】遊川和彦【音楽】池頼広  【主題歌】  『戻れない明日』  aiko(ポニーキャニオン)【制作協力】5年D組  【製作著作】日本テレビ</t>
  </si>
  <si>
    <t>菅野美穂、谷原章介、塚本高史、平泉成、永作博美　(他)妊娠が発覚し、産むか産まないか悩む早紀。お腹の子の父である正登には、産んでくれと言われるのが分かっているので話せない。一方、璃子も妊娠が発覚し、一人での子育ては無理だと家に戻るつもりの璃子。早紀にも正登に話すよう言うが、光輝は司法試験のために子どもをあきらめてもいいと言い意見が対立。考え抜いて一人、結論に達した早紀は光輝にある相談をするが、それを璃子が聞きつけ、三人の関係にひびが入ってしまう…【演出】木内健人【脚本】遊川和彦【音楽】池頼広  【主題歌】  『戻れない明日』  aiko(ポニーキャニオン)【制作協力】5年D組  【製作著作】日本テレビ</t>
  </si>
  <si>
    <t>菅野美穂、谷原章介、塚本高史、平泉成、永作博美　(他)璃子と光輝に会いたい気持ちを隠し、独り勉強に金策に無理をする早紀は、生活費もないまま体調を崩し初めて真の孤独に苦しむ。お金に困り、早紀は手持ちのものを売り始め、悩んだ末に母のネックレスを売ってしまう。そんなとき、上の階に住む学生が暴れているのに出くわし、母親に助けてと頼まれる。そして朦朧とする早紀の前に誕生日を祝おうと正登が現れる。一方璃子と光輝は各々の環境になじめずに苦しみ、早紀のことを思うが…【演出】南雲聖一【脚本】遊川和彦【音楽】池頼広  【主題歌】  『戻れない明日』  aiko(ポニーキャニオン)【制作協力】5年D組  【製作著作】日本テレビ</t>
  </si>
  <si>
    <t>菅野美穂、谷原章介、塚本高史、平泉成、永作博美　(他)出産と司法試験を目前に控えた早紀の前に、結婚式から逃げてきた正登が現れる。言い訳ばかりの正登につきそって式場に行くと、お腹に激痛が走り、早紀は入院。璃子と光輝は心配する。言い訳ばかりの正登についに早紀は怒ってしまう。そんな折、病気を苦にして璃子の義母が家出する。懸命に探す三人だが、義母は正登のもとに助けを求めてやってくる。璃子の義母をなだめる正登に早紀は自分が怒った理由を明かそうとする。【演出】木内健人【脚本】遊川和彦【音楽】池頼広  【主題歌】  『戻れない明日』  aiko(ポニーキャニオン)【制作協力】5年D組  【製作著作】日本テレビ</t>
  </si>
  <si>
    <t>菅野美穂、谷原章介、塚本高史、平泉成、永作博美　(他)司法試験の最終日、突然の陣痛に襲われた早紀は、試験を受けさせない子なんていらないと子どもへの怒りを爆発させる。だが、そのことで自分の間違いに気付き、子どものかけがえなさに気づく。なんとか受験し、無事女の子を出産。璃子、光輝、正登、中島らは心配しつつも合格祝いの準備をして待つなか、10年かけた夢であった合格発表の日を迎え…。予定日過ぎても子どもが生まれない璃子、早紀への思いを言えない光輝は…【演出】南雲聖一【脚本】遊川和彦【音楽】池頼広  【主題歌】  『戻れない明日』  aiko(ポニーキャニオン)【制作協力】5年D組  【製作著作】日本テレビ</t>
  </si>
  <si>
    <t>1001_NTV_木23</t>
  </si>
  <si>
    <t>木下部長とボク</t>
  </si>
  <si>
    <t>番組名木曜ナイトドラマ『連続ドラマ小説　木下部長とボク』#2</t>
  </si>
  <si>
    <t>板尾創路、津田寛治、田中直樹(ココリコ)、池田一真(しずる)、遠山景織子、山田麻衣子、笑福亭仁鶴(特別出演)、高知東生、大澄賢也、村上純(しずる)、高橋ひとみ、宅麻伸  【第二話ゲスト】松本人志(友情出演)http://www.ytv.co.jp/kinoboku/</t>
  </si>
  <si>
    <t>番組名木曜ナイトドラマ『連続ドラマ小説　木下部長とボク』#3</t>
  </si>
  <si>
    <t>板尾創路、津田寛治、田中直樹(ココリコ)、池田一真(しずる)、遠山景織子、山田麻衣子、笑福亭仁鶴(特別出演)、高知東生、大澄賢也、村上純(しずる)、高橋ひとみ、宅麻伸  【第三話ゲスト】桂文珍木下部長の強烈なディープキス姿が頭から離れない僕元は、屋上オフィスでプレゼン対策会議に参加するが、騒音で声が聞こえない。叫びながらの打合せも限界。空いている部屋を縫うように会議を行う中、その時木下部長は…会議に参加せず、ひとり屋上に、門番のように座っていた。皆のカバンや貴重品を守るのだ、という。  プレゼン当日、集合時間ギリギリで現れた木下部長は、「スナック愛」と書かれた大量のおしぼりを持っていた…http://www.ytv.co.jp/kinoboku/</t>
  </si>
  <si>
    <t>番組名木曜ナイトドラマ『連続ドラマ小説　木下部長とボク』#5</t>
  </si>
  <si>
    <t>板尾創路、津田寛治、田中直樹(ココリコ)、池田一真(しずる)、遠山景織子、山田麻衣子、笑福亭仁鶴(特別出演)、高知東生、大澄賢也、村上純(しずる)、高橋ひとみ、宅麻伸  【第五話ゲスト】木村祐一突然面談をすると木下部長が言い出した。何のためか明かさない上、ファミレス、釣り堀、銭湯と、自分の行きたい場所で面談を行う木下部長。実はリストラ候補を決めるための面談ということが発覚、仲間割れ状態になる木下部。僕元はまとまりつつあった木下部が、再びギクシャクしてきた事を心配する。誰をリストラしていいかわからない木下部長は本部長に「面談したい」と電話。この“気分”の面談希望が大騒動の引き金をひいた…!http://www.ytv.co.jp/kinoboku/</t>
  </si>
  <si>
    <t>番組名木曜ナイトドラマ『連続ドラマ小説　木下部長とボク』#8</t>
  </si>
  <si>
    <t>板尾創路、津田寛治、田中直樹(ココリコ)、池田一真(しずる)、遠山景織子、山田麻衣子、笑福亭仁鶴(特別出演)、高知東生、大澄賢也、村上純(しずる)、高橋ひとみ、宅麻伸「好きっていうか…気になる人は、います」お清の爆弾発言に、なぜか胸の鼓動が高鳴る僕元。木下部長が良く行く銭湯をお清に尋ねられると、咄嗟に嘘をついてしまった。果たしてお清が好きなのは木下部長なのか?でも、なぜ?どこが?  その頃木下部長は割烹かれんで、めずらしくママと二人きり。意識しすぎのギクシャク恋愛モードに突入。すると神奈川、めるたん、石川までもが…片想いスパイラルに!どうなる木下部の複雑恋愛!?http://www.ytv.co.jp/kinoboku/</t>
  </si>
  <si>
    <t>番組名木曜ナイトドラマ『連続ドラマ小説　木下部長とボク』#9</t>
  </si>
  <si>
    <t>板尾創路、津田寛治、田中直樹(ココリコ)、池田一真(しずる)、遠山景織子、山田麻衣子、笑福亭仁鶴(特別出演)、高知東生、大澄賢也、村上純(しずる)、高橋ひとみ、宅麻伸  【第九話ゲスト】ほんこん由美子と一夜を共にしてしまった木下部長。目覚めて朦朧としていると玄関のチャイムがなる。別れた旦那が来たらしい。  「怖いひとやったらどうしよ」  と、木下部長が服を着ているところへ石川が到着。その時、木下部長は…  「うわ!石川!なんや、お前もか」  元の旦那を目の前にして、全く状況を理解せぬ天然っぷり。  どうなる!部下の元妻とお泊り疑惑!?  しかしこの事件は、木下部長のさらなる混乱の序章でしかなかった…http://www.ytv.co.jp/kinoboku/</t>
  </si>
  <si>
    <t>番組名木曜ナイトドラマ『連続ドラマ小説　木下部長とボク』#10</t>
  </si>
  <si>
    <t>板尾創路、津田寛治、田中直樹(ココリコ)、池田一真(しずる)、遠山景織子、山田麻衣子、笑福亭仁鶴(特別出演)、高知東生、大澄賢也、村上純(しずる)、高橋ひとみ、宅麻伸  【第十話ゲスト】月亭八方、桂きん枝、中田ボタン仁義なき暴力部長、誕生。  仁義なきディープキスも帰ってくる!  バイオレンスとキスに隠された  “木下部長の意外な素顔”とは!?  それは、木下部がプレゼン10連敗を喫し泥沼状態の時だった。明らかに自信喪失する木下部。専務・本部長・人事部長の三人は木下部全員を辞めさせようと企んでいた。  木下部の負けられない次のプレゼンは、苦労して何ヶ月も準備を重ねてきた仕事だった。しかしプレゼンを前に非情な裁定が…http://www.ytv.co.jp/kinoboku/</t>
  </si>
  <si>
    <t>番組名木曜ナイトドラマ『連続ドラマ小説　木下部長とボク』#12</t>
  </si>
  <si>
    <t>板尾創路、津田寛治、田中直樹(ココリコ)、池田一真(しずる)、遠山景織子、山田麻衣子、笑福亭仁鶴(特別出演)、高知東生、大澄賢也、村上純(しずる)、高橋ひとみ、宅麻伸  【第十二話ゲスト】藤井隆、千原ジュニア、なだぎ武「もう、帰ってもええかな?」ではなく  「もう、辞めてもええかな?」  スケールアップしてしまった奇跡を起こす無責任男。  その理由とは  「店長になりたい」  …もはや理解不能な“最後の木下伝説”が丸々通信をビッグバンに導く!  残された木下部は?  かれんのママとの関係は?  その時、君島部長は…?  最後の最後までありえない展開!  皆さまを決して裏切りません!  そして、消えてしまった木下部長は何処へ…?http://www.ytv.co.jp/kinoboku/</t>
  </si>
  <si>
    <t>1001_NTV_土21</t>
  </si>
  <si>
    <t>左目探偵EYE</t>
  </si>
  <si>
    <t>番組名左目探偵EYE</t>
  </si>
  <si>
    <t>山田涼介(Hey!Say!JUMP)、横山裕、石原さとみ、  岡田義徳、はるな愛、クリスタル　ケイ、古田新太、  渡辺いっけい、佐野史郎、片平なぎさ　他左目に特殊能力を持つ愛之助(山田涼介)は、天才犯罪プランナーである兄・夢人(横山裕)の犯罪計画が再び動き出したことを知る。それは、驚くべき誘拐事件だった。愛之助は、養護教諭・瞳(石原さとみ)と共に捜査を始めるが、偶然出会った少女・舞に魔の手が迫る。果たして愛之助は、左目を駆使し、舞を守ることができるのか?夢人が仕掛ける誘拐事件の真の目的とは?衝撃のラスト!愛之助の目前に、夢人は驚くべき姿で現れる…大塚恭司秦建日子【音楽】林ゆうき  【主題歌】『瞳のスクリーン』(Hey!Say!JUMP)</t>
  </si>
  <si>
    <t>山田涼介(Hey!Say!JUMP)、横山裕、石原さとみ、  岡田義徳、クリスタル　ケイ、はるな愛、古田新太、  渡辺いっけい、佐野史郎、片平なぎさ  【第2話ゲスト】中山優馬、渡辺典子下校中の愛之助の目の前で、同級生の正樹が拉致される。犯人の要求する身代金額は900万円。正樹の母・早苗(渡辺典子)の勤務先の社長・神谷に福地(佐野史郎)が交渉し、身代金の肩代わりを承諾させる。そこに、犯人から運搬役に愛之助が指名される。正樹の命を救うため、必死に走る愛之助。心配し、後をつける瞳(石原さとみ)を撒き、最後の指定場所に辿り着いた愛之助の前に現れたのは…。夢人(横山裕)本当の狙いとは?大塚恭司秦建日子【音楽】林ゆうき  【主題歌】「瞳のスクリーン」Hey!Say!JUMP(ジェイ・ストーム)</t>
  </si>
  <si>
    <t>山田涼介(Hey!Say!JUMP)、横山裕、石原さとみ、  岡田義徳、クリスタル　ケイ、はるな愛、古田新太、  渡辺いっけい、佐野史郎、片平なぎさ　  【第3話ゲスト】魔裟斗、深水三章、升毅　ほか瞳が出席する結婚式で事件が起こることを左目で見た愛之助は、犯罪を食い止めるため会場に向かう。現職の大臣・鷲尾(升毅)も式に出席するため、加藤(岡田義徳)ら刑事が厳重に警備しており、その中に夢人(横山裕)の姿を発見。瞳に危険が迫っていることを感じた愛之助は、荒井の運転するトラックに隠れて潜入する。パーティーの最中、新郎が刺されるが、凶器が見つからない。容疑者が特定できないまま、第二の事件が発生する。佐久間紀佳秦建日子【音楽】林ゆうき  【主題歌】『瞳のスクリーン』Hey!Say!JUMP(ジェイ・ストーム)</t>
  </si>
  <si>
    <t>山田涼介(Hey!Say!JUMP)、横山裕、石原さとみ、  岡田義徳、クリスタル　ケイ、はるな愛、古田新太、  渡辺いっけい、佐野史郎、片平なぎさ、  【第四話ゲスト】森本慎太郎、逢沢りな、LIGHT　BRINGER、デーモン閣下愛之助の左目に『ロックバンド』『皆殺しの文字』が映る。後輩・島田は事件を予言した歌で人気上昇中の「ブルーヘブン」だという。新たな事件を察知した愛之助はライブに潜入する。同じ頃、福地(佐野史郎)は夢人(横山裕)と加藤(岡田義徳)に愛之助を監視するよう命じる。ライブ当日、瞳(石原さとみ)は、愛之助たちと合流。ボーカルのタク(デーモン閣下)に扇動された観客は暴徒と化し、愛之助たちは窮地に・・・岩本仁志秦建日子【音楽】林ゆうき  【主題歌】『瞳のスクリーン』(Hey!Say!JUMP)(ジェイ・ストーム)</t>
  </si>
  <si>
    <t>山田涼介(Hey!Say!JUMP)、横山裕、石原さとみ、  岡田義徳、クリスタル・ケイ、はるな愛、古田新太、  渡辺いっけい、佐野史郎、片平なぎさ  【第5話ゲスト】インリン・オブ・ジョイトイ、Mr.マリック取立て屋の谷田部殺害の容疑者として瞳が警察に連行された。その直後、谷田部の死体が消え、大騒ぎに…。瞳の無実を信じる愛之助は、左目に見えた『谷田部の生命保険証書』を手掛りに、加藤(岡田義徳)と共に捜査を始める。だが、妻・佳子には鉄壁のアリバイがあった。愛之助たちは、足取りを追ってレディX(インリン・オブ・ジョイトイ)のマジックショーへ潜入する。その頃、瞳は黒晶の特別房に入れられ、ある事を依頼される…大塚恭司秦建日子【音楽】林ゆうき  【主題歌】『瞳のスクリーン』(Hey!Say!JUMP)</t>
  </si>
  <si>
    <t>山田涼介(Hey!Say!JUMP)、横山裕、石原さとみ、  岡田義徳、クリスタル・ケイ、はるな愛、小木茂光、  渡辺いっけい、佐野史郎、片平なぎさ福地に、夢人の秘密を告白した愛之助。福地は典子(片平なぎさ)に呼び出され、連続爆破事件に巻き込まれる。責任を感じ、動揺する愛之助は犯罪を止める意志を失う。瞳(石原さとみ)に励まされ、再起する愛之助。左目映像をヒントに爆弾が仕掛けられた場所は特定するが、爆発物が見つからない。爆破予告時間まであと5分。ついに、爆弾を発見する愛之助と瞳。五千人の命を救う為、愛之助は爆弾を抱え、階段を駆け上がる!佐久間紀佳秦建日子【音楽】林ゆうき  【主題歌】『瞳のスクリーン』(Hey!Say!JUMP)</t>
  </si>
  <si>
    <t>山田涼介(Hey!Say!JUMP)、横山裕、石原さとみ、  岡田義徳、クリスタル　ケイ、はるな愛、  小木茂光、渡辺いっけい、片平なぎさ　他みるくが何者かに襲われた。愛之助は連続爆破事件から兄・夢人との思い出に解決のヒントがあると推理し、瞳と共に向かう。一方、夢人は刑事としての身分を捨て、最後の犯罪計画を進めようとしていた。思い出の場所に辿り着いた二人は愛之助の過去に深い関わりがあるものを発見する。愛之助の脳裏に幼い頃の映像が断片的に蘇る。そこへ夢人から連絡が入り、今回の犯人は自分たち兄弟に復讐するために現れたことを告げる。佐久間紀佳秦建日子【音楽】林ゆうき  【主題歌】『瞳のスクリーン』Hey!Say!JUMP(ジェイ・ストーム)</t>
  </si>
  <si>
    <t>山田涼介(Hey!Say!JUMP)、横山裕、石原さとみ、  岡田義徳、クリスタル　ケイ、はるな愛、  小木茂光、渡辺いっけい、片平なぎさ　他バスジャックと対峙して、完全に記憶を取り戻した愛之助。宮元(小木茂光)の策略で特別房に収監されてしまう。自分の犯した過ちに苦悩する愛之助の前に夢人が現れ、『犯罪計画は最終段階に入った』と告げて、姿を消す。瞳(石原さとみ)と加藤(岡田義徳)の協力により脱出を果たした愛之助は、左目の映像を頼りに夢人の居場所を探し、向かう。左目探偵VS天才犯罪プランナー。最後の兄弟対決の幕が開く!そして、衝撃の結末が…大塚恭司秦建日子【音楽】林ゆうき  【主題歌】『瞳のスクリーン』(Hey!Say!JUMP)</t>
  </si>
  <si>
    <t>0910_NTV_水22</t>
  </si>
  <si>
    <t>ギネ</t>
  </si>
  <si>
    <t>番組名ギネ　産婦人科の女たち</t>
  </si>
  <si>
    <t>藤原紀香　　上地雄輔　板谷由夏　/　内田有紀　/　西田尚美　八嶋智人　松下由樹  中村橋之助(特別出演)/本仮屋ユイカ　近藤芳正　吉田里琴　/國村隼(スペシャルゲスト)聖修大学医学部附属病院。帝王切開の手術を執刀する産科医・柊奈智(藤原紀香)と産科医長の君島紀子(松下由樹)。そこに事故で負傷し、陣痛が始まった妊婦の搬送要請が来る。他のオペやハイリスク分娩の進行から君島は受け入れ不可能と判断。しかし、奈智は独断で引き受けてしまう。そのせいで産科は大混乱。在宅の産科医達が、緊急に召集され、産科医達は不眠不休で赤ちゃんを取り上げる事に・・・岩本仁志、久保田充ほか【脚本】大石静  【原作】「ノーフォールト」岡井崇(早川書房刊)池頼広</t>
  </si>
  <si>
    <t>藤原紀香　上地雄輔　板谷由夏　/内田有紀/　西田尚美　八嶋智人　松下由樹  中村橋之助(特別出演)　/本仮屋ユイカ　近藤芳正　吉田里琴　/國村隼(スペシャルゲスト)ほか双子の妊婦の陣痛が始まる中、前期破水の妊婦・徳本美和子(西田尚美)が入院してくる。間もなく、患者の筒池かおり(西牟田恵)の胎児が口唇口蓋裂と判明。奈智(藤原紀香)のストレートな説明にショックを受けた筒池は中絶を口にし病院を出て行ってしまう。  そんな折、急患の妊婦が搬送されてくる。奈智は手術室が満杯にも関わらず、受け入れを決める。その事が、別の患者の手術に影響を与えてしまい・・・。久保田充脚本　大石静  原作　「ノーフォールト」岡井崇(早川書房　刊)池頼広</t>
  </si>
  <si>
    <t>藤原紀香　上地雄輔　板谷由夏　/　内田有紀　/西田尚美　八嶋智人　松下由樹  本仮屋ユイカ　近藤芳正　吉田里琴　/國村隼(スペシャルゲスト)須佐見教授(國村隼)の誕生日が翌日と気付いた君島(松下由樹)と藤木(近藤芳正)は大慌てで誕生パーティーを企画し、玉木(上地雄輔)に会費の徴収を頼む。しかし、翌日の夜、近所の産院の火事、そしてマタニティースイミングスクールの事故で、たくさんの妊婦が搬送されてくる。休みをとっていた奈智(藤原紀香)も呼び出され、寝ずのお産が繰り広げられる中、美和子(西田尚美)が腹の激痛を訴え、緊急手術が行われることに…岩本仁志原作:「ノーフォールト」岡井崇　(早川書房刊)  脚本:大石　静池　頼広</t>
  </si>
  <si>
    <t>藤原紀香　上地雄輔　板谷由夏　/内田有紀/　西田尚美　八嶋智人　松下由樹  中村橋之助(特別出演)　/本仮屋ユイカ　近藤芳正　吉田里琴　/國村隼(スペシャルゲスト)美和子(西田尚美)の死で精神的に不安定になった奈智(藤原紀香)は、産科から離れる事を抵抗するが、榎原(中村橋之助)が医長を務める婦人科に勤務する事になる。一方、  玉木(上地雄輔)は君島(松下由樹)の下で勉強する事に…。美和子の葬儀の2日後、慎一(八嶋智人)の元を弁護士の岸本(半海一晃)が訪れ、美和子の死に病院に落ち度があるような発言をし、日本の医療裁判の現状を説いて、帰っていく。岩本仁志原作:「ノーフォールト」岡井崇(早川書房　刊)  脚本:大石静池頼広</t>
  </si>
  <si>
    <t>藤原紀香　上地雄輔　板谷由夏　/　内田有紀　/西田尚美　八嶋智人　松下由樹  中村橋之助(特別出演)　/本仮屋ユイカ　近藤芳正　吉田里琴　/國村隼(スペシャルゲスト)榎原(中村橋之助)が、末期の卵巣癌で入院中の三井さやか(永井杏)にがん告知を行い、奈智(藤原紀香)がさやかの経過を見守る中、病院をゆるがす事件が起こる。  慎一(八嶋智人)が美和子(西田尚美)の死に病院側の責任があったとして病院や医師らを訴えたのだ。自分が訴えられたことを知った奈智は大きなショックを受ける。久保田充原作:『ノーフォールト』岡井崇　(早川書房　刊)  脚本:大石静池頼広</t>
  </si>
  <si>
    <t>藤原紀香　上地雄輔　板谷由夏　/　内田有紀　/　西田尚美　八嶋智人　松下由樹  中村橋之助(特別出演)　/本仮屋ユイカ　近藤芳正　吉田里琴　/國村隼(スペシャルゲスト)母体死亡事故の医療訴訟裁判が始まり、君島(松下由樹)は慎一(八嶋智人)の弁護士・岸本(半海一晃)から病院の体制不備を指摘される。その頃、学校で怪我をした優美(吉田里琴)は、病院で処置を受けるが傷口を縫合しても出血が止まらない。血液内科の隆弘(長谷川博己)は優美が死亡した美和子(西田尚美)の娘と知り、ある可能性を考え、美和子の血液検査を開始する。そして、ついに奈智が法廷に立つ日がやってきた。本間美由紀原作:「ノーフォールト」岡井崇(早川書房)  脚本:大石静池頼広</t>
  </si>
  <si>
    <t>藤原紀香　上地雄輔　板谷由夏　/　内田有紀　/西田尚美　八嶋智人　松下由樹  中村橋之助(特別出演)　/本仮屋ユイカ　近藤芳正　吉田里琴　/國村隼(スペシャルゲスト)妊娠20週に入った一代(内田有紀)が入院し、検査の結果、進行した卵巣癌を患っている事がわかる。須佐見(國村隼)は一代の命を優先する為、赤ちゃんを諦め、癌治療を始めるよう促す。一方、君島(松下由樹)は嶋病院長(津嘉山正種)に呼ばれ、須佐見の後任の教授になる事を提案されるが、「総合周産期母子医療センター」を返上し、人員整理の手始めに奈智を辞めさせる事という厳しい条件を突きつけられ、君島は悩む。岩本仁志脚本:大石静  原作:「ノーフォールト」岡井崇　(早川書房)</t>
  </si>
  <si>
    <t>藤原紀香　上地雄輔　板谷由夏　/内田有紀　/西田尚美　八嶋智人　松下由樹  中村橋之助(特別出演)　/本仮屋ユイカ　近藤芳正　吉田里琴　/國村隼(スペシャルゲスト)君島が教授になるための条件を聞いた奈智は病院を辞めると宣言。驚いた君島や藤木に「行きたいところがある」と伝える。間もなく、一代の手術の時がやってくるが、急患の連絡が入る。奈智は一代より先に急患を受け入れたいと須佐見に頼む。須佐見は急患の手術を決断。一方、鳥海が診ていた妊婦の胎児心拍数が落ち、帝王切開を要請。しかし、手術室に空きがなく皆に緊張が走る。そんな中、一代の容態が急変。大出血を起こして・・・岩本仁志脚本:大石静  原作:「ノーフォールト」岡井崇(早川書房)</t>
  </si>
  <si>
    <t>0910_NTV_木23</t>
  </si>
  <si>
    <t>傍聴マニア09</t>
  </si>
  <si>
    <t>番組名木曜ナイトドラマ「傍聴マニア09」#2</t>
  </si>
  <si>
    <t>向井理、南明奈、六角精児、森下千里、小林隆、穂花、左右田一平傍聴にハマった北は、山さんと一緒に「女被告祭」と称して女性被告の裁判を集中的に傍聴する。その中で、男子高校生を誘惑した女教師の裁判に遭遇、その内容に大興奮する二人。  そして美和と合流して、不倫OLがかつての不倫相手を恐喝した事件を傍聴する。最初、OLの犯罪に北は同情の余地なしと思うが、やがて…。http://www.ytv.co.jp/bouchou/</t>
  </si>
  <si>
    <t>番組名木曜ナイトドラマ「傍聴マニア09」#4</t>
  </si>
  <si>
    <t>向井理、南明奈、六角精児、吉田羊、滝藤賢一、伊嵜充則北は山野にすすめられ、覚せい剤の裁判を傍聴。それはやくざの組長が被告人の裁判で、傍聴席は全員やくざの若い衆だったため、北は傍聴席でビビリまくる。  その後、同じく覚せい剤の裁判を傍聴するが、それはかつて北がファンだったロックバンドのボーカルが起こした事件だった。有名人の裁判に興奮する北だったが、被告と親友だと思っていたバンド仲間のギタリストが被告をバカにする証言をしたことで、ショックを受ける。http://www.ytv.co.jp/bouchou/</t>
  </si>
  <si>
    <t>番組名木曜ナイトドラマ「傍聴マニア09」#5</t>
  </si>
  <si>
    <t>向井理、南明奈、六角精児、吉田羊、前田亜季、浅野和之北は、美人エリート医大生が交際相手の新恋人をハンマーで殴るという衝撃的な事件の裁判を傍聴。被告人の「私は間違っていません」という言葉に北は不気味さを感じるが、一緒に傍聴した山野は、ふらふらしている北よりも被告人の気持ちの方が理解できると言い、北と大喧嘩になる。北は、被告人に同情的な山野が、実はかつて犯罪をおかした前科者ではないかと疑う。http://www.ytv.co.jp/bouchou/</t>
  </si>
  <si>
    <t>番組名木曜ナイトドラマ「傍聴マニア09」#6</t>
  </si>
  <si>
    <t>向井理、南明奈、六角精児、宮地真緒、永岡佑、岡まゆみ北は、ある殺人未遂事件を傍聴しようと法廷に入り、被告人を見て驚く。そこには高校時代の同級生で女友達の玲がいた。玲は行為は認めるが、動機については黙秘を貫いていた。女優を目指し上京してきた彼女に一体なにがあったのか?接見室へと足を運んだ北は玲から「こうなったのも、森夫のせいなんだから」と意味深なことを言われ動揺する。北は、彼女の身辺を探るべく動きだす!http://www.ytv.co.jp/bouchou/</t>
  </si>
  <si>
    <t>番組名木曜ナイトドラマ「傍聴マニア09」#7</t>
  </si>
  <si>
    <t>向井理、南明奈、六角精児、吉田羊、きたろう北は「殺人未遂」裁判を傍聴する。恋人を包丁で刺し重傷を負わせた被告人は殺意を否定。しかし検察官のビューティー星川は被害者の携帯電話に残された動かぬ証拠を被告人に突きつける。その鮮やかな責めに、北も山野も惚れ惚れする。裁判の後、北は美和に「金曜日、ちょっとつきあって」と誘われウキウキ。北は美和に恋をしている自分に気がつく。そして初めて二人で出かけた際、美和の隠された過去の事件を知り、愕然とするーー。http://www.ytv.co.jp/bouchou/</t>
  </si>
  <si>
    <t>0910_NTV_土21</t>
  </si>
  <si>
    <t>サムライ・ハイスクール</t>
  </si>
  <si>
    <t>番組名サムライ・ハイスクール</t>
  </si>
  <si>
    <t>三浦春馬、城田優、杏、大後寿々花、小林涼子、桜田通、柳下大、市川実日子、金子ノブアキ、金田明夫、キムラ緑子、小林正寛、ムロツヨシ、松田沙紀、ミムラ、室井滋、岸谷五朗私立高校に通う小太郎(三浦春馬)はヘタレな“草食系男子”高3の秋になっても志望校すら決まらず幼なじみはあきれ顔。ある日、偶然訪ねた図書館で司書に差し出された古文書を読む。それは今から400年前・真田幸村の家臣として戦ったある勇敢な武将について書かれた本だった。小太郎はその武将が自分と同姓同名で、同じ17歳であると気づく。と同時に小太郎の脳裏に太刀を手に敵陣へと走る自分の姿がフラッシュバックし…佐藤東弥井上由美子【音楽】菅野祐悟  【主題歌】monobright(DefSTER　RECORDS)</t>
  </si>
  <si>
    <t>三浦春馬、城田優、杏、大後寿々花、小林涼子、桜田通、柳下大、市川実日子、金子ノブアキ、金田明夫、キムラ緑子、小林正寛、ムロツヨシ、松田沙紀、ミムラ、室井滋、岸谷五朗“サムライ小太郎”が小太郎(三浦)に乗り移るようになって数日。小太郎は路上ライブをしているあい(杏)を目撃する。あいの夢はミュージシャンになることだったのだ。あいの歌う姿が動画サイトにアップされ応援メッセージが書き込まれる。悪口の書き込みもあり、コメントに小太郎の怒りが沸騰した瞬間、小太郎はまたもや“サムライ小太郎”に変身する。サムライ小太郎はあいを中傷した相手をさがそうとするが・・・佐藤東弥　井上由美子【音楽】菅野祐悟  【主題歌】「孤独の太陽」monobright(DefSTER　RECORDS)【制作著作】日本テレビ  【制作協力】オフィスクレッシェンド</t>
  </si>
  <si>
    <t>三浦春馬、城田優、杏、大後寿々花、小林涼子、桜田通、柳下大、市川実日子、金子ノブアキ、金田明夫、キムラ緑子、小林正寛、ムロツヨシ、松田沙紀、濱田岳、日野陽仁、宮地雅子、ミムラ、室井滋、岸谷五朗“サムライ小太郎”が体に乗り移るようになってしまった小太郎。突然、乗り移ってはいなくなる“サムライ小太郎”に翻弄されほとほと困り果てているが、ひみこ(ミムラ)は強いサムライが“ヘタレ小太郎”を乗っ取るのではと縁起でもないことを告げる。そんな中、エリートのクラスから落ちて小太郎のクラスに編入した和也(濱田)がショックから不登校になり卒業が危ういことから登校するよう説得する役を買ってでるが・・・猪股隆一井上由美子【音楽】菅野祐悟  【主題歌】「孤独の太陽」monobright(DefSTER　RECORDS)【制作著作】日本テレビ  【制作協力】オフィスクレッシェンド</t>
  </si>
  <si>
    <t>三浦春馬、城田優、杏、大後寿々花、小林涼子、桜田通、柳下大、市川実日子、金子ノブアキ、金田明夫、キムラ緑子、小林正寛、ムロツヨシ、松田沙紀、賀来賢人、鈴之助、小柳心、山下容莉枝、モロ師岡、市川勇、野仲イサオ、奥田達士、ミムラ、室井滋、岸谷五朗小太郎の体に“サムライ小太郎”が乗り移るようになって一ヶ月。近所でホームレスが襲われ、目撃者の証言から小太郎と剛に容疑がかけられてしまった。疑いは晴れないまま、刑事に深く傷つけられた剛は一人悩んでいた。そんな剛を見た小太郎は真犯人を見つけ出そうと、被害者・山本に事情を聞く。真犯人を見つける鍵を得た小太郎はサッカー部に乗り込んで行くが、今日に限って“サムライ小太郎”が現れない!さてどうする小太郎?!狩山俊輔井上由美子【音楽】菅野祐悟  【主題歌】「孤独の太陽」monobright(DefSTER　RECORDS)【制作著作】日本テレビ  【制作協力】オフィスクレッシェンド</t>
  </si>
  <si>
    <t>三浦春馬、城田優、杏、大後寿々花、小林涼子、桜田通、柳下大、市川実日子、金子ノブアキ、金田明夫、キムラ緑子、小林正寛、ムロツヨシ、松田沙紀、近江谷太朗、松澤仁晶、大前喬一、中島まりな、室井滋、岸谷五朗小太郎に“サムライ小太郎”が乗り移るようになって1ヶ月。小太郎の父が会社からリストラされる一大事件が起きる。小太郎は大学進学をあきらめ、就職することを決意し、剛にバイト先を紹介してもらう。が、バイト中にゴミのポイ捨てをするヤンキー高校生に遭遇したとたん、小太郎は“サムライ小太郎”に変身してしまい、バイトをクビになってしまう。そして、父のリストラの原因を知ったサムライ小太郎は・・・?!佐藤東弥　井上由美子【音楽】菅野祐悟  【主題歌】「孤独の太陽」monobright(DefSTER　RECORDS)【制作著作】日本テレビ  【制作協力】オフィスクレッシェンド</t>
  </si>
  <si>
    <t>三浦春馬、城田優、杏、大後寿々花、小林涼子、桜田通、柳下大、市川実日子、金子ノブアキ、金田明夫、キムラ緑子、小林正寛、ムロツヨシ、松田沙紀、ミムラ、室井滋、岸谷五朗週刊誌に小太郎の高校の校長の恭子が寄付金の横領をしていると記事が載る。校長は記事はでたらめだと言うが、学校には問い合わせが殺到する。そんな中、小太郎は学校を退学になった岩永と偶然出会う。何か怪しいと感じた小太郎は彼の家を訪ねるがそれは罠だった!小太郎は岩永に監禁され、剛と愛までつかまってしまう。愛は小太郎に「サムライになって!」と助けを求めるがサムライは現れない。小太郎はピンチをどう切り抜ける?!猪股隆一井上由美子【音楽】菅野祐悟  【主題歌】「孤独の太陽」monobright(DefSTER　RECORDS)【制作著作】日本テレビ  【制作協力】オフィスクレッシェンド</t>
  </si>
  <si>
    <t>三浦春馬、城田優、杏、大後寿々花、小林涼子、桜田通、柳下大、市川実日子、金子ノブアキ、金田明夫、キムラ緑子、小林正寛、ムロツヨシ、松田沙紀、石黒賢、賀来賢人、市川勇、加藤雅也、ミムラ、室井滋、岸谷五朗小太郎に“サムライ小太郎”が乗り移るようになって2ヶ月。小太郎のせいで退学になったと恨みを持つ岩永に、家の前に日本刀を置かれてしまう。刀を盗んだと疑いをかけようとしたのだ。それを知った岩永の父は千石学院に出向き、校長に小太郎が家宝の刀を盗んだと訴える。校長もサヤカも小太郎の無実を信じるが、小太郎が刀を返そうとした矢先に銃刀法違反で逮捕されそうになる。と、サムライ小太郎が乗り移り刀を持ち逃げし・・狩山俊輔井上由美子【音楽】菅野祐悟  【主題歌】「孤独の太陽」monobright(DefSTER　RECORDS)【制作著作】日本テレビ  【制作協力】オフィスクレッシェンド</t>
  </si>
  <si>
    <t>三浦春馬、城田優、杏、大後寿々花、小林涼子、桜田通、柳下大、市川実日子、金子ノブアキ、金田明夫、キムラ緑子、小林正寛、ムロツヨシ、松田沙紀、石黒賢、賀来賢人、市川勇、阪田サマノブ、岡本光太郎、谷村美月、加藤雅也、ミムラ、室井滋、岸谷五朗小太郎にサムライ小太郎が乗り移るようになって3ヶ月。小太郎を恨む岩永親子の企みで名刀の盗難容疑をかけられた小太郎は、サムライ小太郎に乗り移られ刀を持ったまま逃走されてしまう。小太郎と話をするために逃げたサムライ小太郎だがついに2人が話しをする時が訪れ、サムライ小太郎は過去の事情から失った誇りを取り戻すために小太郎に乗り移ったと語る。「義を通せば誇りは取り戻せる」とサムライは学校に立てこもるが・・・佐藤東弥　井上由美子【音楽】菅野祐悟  【主題歌】「孤独の太陽」monobright(DefSTER　RECORDS)【制作著作】日本テレビ  【制作協力】オフィスクレッシェンド</t>
  </si>
  <si>
    <t>0907_NTV_水22</t>
  </si>
  <si>
    <t>赤鼻のセンセイ</t>
  </si>
  <si>
    <t>番組名赤鼻のセンセイ</t>
  </si>
  <si>
    <t>大泉洋　香椎由宇　神木隆之介　須賀健太　尾美としのり　光石研　まえだまえだ　/　上川隆也　小林聡美　(他)赤い鼻姿で口達者に笑いをとっていた家電販売員の石原参太朗はある日突然クビになってしまい、かつての恩師の紹介で桜山総合病院を訪れる。長期入院により学校に通えない子供達の為の院内学級で中学生の担任をしてほしいと言われた石原は、戸惑いながらも「力を貸してください」という院長の桜山真の言葉でとたんにヤル気に。そんな石原に院内学級責任者の太川絹は不信感を抱き、小児科医の七瀬遥華も調子のいい石原をたしなめる。【演出】佐久間紀佳【脚本】土田英生【主題歌】「夢をアリガトウ」原　由子(タイシタレーベル/ビクターエンタテインメント)  【音楽】中塚武【制作協力】オフィスクレッシェンド  【製作著作】日本テレビ</t>
  </si>
  <si>
    <t>大泉洋　香椎由宇　神木隆之介　須賀健太　尾美としのり　光石研　まえだまえだ　/　上川隆也　小林聡美　(他)ある日、院内学級の和田雅樹が、週一回の大事な検診をすっぽかしてしまう。和田は外科に入院中の少女に恋心を抱き、外科病棟まで彼女を見に行っていたのだった。その事を知った石原は和田の恋を成就させようと大はりきりで、少女を強引に院内学級へ通わせる。そんな石原の行動を心配して太川は忠告するが、石原はやけに強気。実は太川が浅草の劇場の娘だと桜山から聞いた石原はその劇場を訪れ、彼女のある弱みをにぎっていた…。【演出】佐久間紀佳【脚本】土田英生【主題歌】「夢をアリガトウ」原由子(タイシタレーベル/ビクターエンタテインメント)　  【音楽】中塚武【制作協力】オフィスクレッシェンド　  【製作著作】日本テレビ</t>
  </si>
  <si>
    <t>大泉洋　香椎由宇　神木隆之介　須賀健太　尾美としのり　光石研　まえだまえだ　/　上川隆也　小林聡美　(他)　太川のクラスに入った小児糖尿病を患う森村千佳は、小学生ながら自分で食事の管理や注射もでき、家の手伝いまでするしっかり者。仕事が忙しい母親の佳美は、一緒に過ごす時間がないのに文句も言わない千佳にいつも助けられていると話す。  ある日石原はお母さんにあげる物だと思い込み、千佳にお菓子を買い与えて、七瀬にきつく叱られる。さらに桜山から千佳と同じ針で注射を打たれ、彼女の食事量の少なさを知った石原は…。【演出】吉野洋　【脚本】根本ノンジ　【主題歌】「夢をアリガトウ」原由子(タイシタレーベル/ビクターエンタテインメント)　  【音楽】中塚武　【制作協力】オフィスクレッシェンド　  【製作著作】日本テレビ</t>
  </si>
  <si>
    <t>大泉洋　香椎由宇　神木隆之介　須賀健太　尾美としのり　光石研　まえだまえだ　/　上川隆也　小林聡美　(他)小学校教室でゴキブリ退治をしようとした石原は誤ってクーラーを壊してしまい、修理の間、中学校教室で小学生との合同授業が行なわれることに。太川の授業は笑いがたえず、中学生の八重樫と和田も太川の授業に引き込まれる。悔しい石原は、一人に漫画を読む田中を見方に引き込もうと執拗に話しかけるが、田中は突然漫画を窓から放り投げてしまう。田中の行動が理解出来ない石原は、彼女の複雑な気持ちを知ろうと張り切りだし…。【演出】佐久間紀佳【脚本】佐藤久美子【主題歌】「夢をアリガトウ」原由子(タイシタレーベル/ビクターエンタテインメント)　  【音楽】中塚武【制作協力】オフィスクレッシェンド　  【製作著作】日本テレビ</t>
  </si>
  <si>
    <t>大泉洋　香椎由宇　神木隆之介　須賀健太　尾美としのり　光石研　まえだまえだ　/　上川隆也　小林聡美　(他)夏休み、症状の軽い生徒は一時帰宅するが、帰宅しない八重樫と和田は些細な事で喧嘩を始める。石原は窮屈な病院でストレスが溜まっているのだと心配し、夏恒例の課外授業で2人のわだかまりをとろうと張り切る。その頃七瀬は和田の父を病院に呼び、病状が芳しくない事を話していた。それを知った石原は和田を元気づけたいと、課外授業の行き先を和田が昔遊んでいた思い出のひまわり畑に決めるが、一方で和田の容態に変化が現れ…。【演出】吉野洋【脚本】高梨一起【主題歌】「夢をアリガトウ」原由子(タイシタレーベル/ビクターエンタテインメント)　  【音楽】中塚武【制作協力】オフィスクレッシェンド　  【製作著作】日本テレビ</t>
  </si>
  <si>
    <t>大泉洋　香椎由宇　神木隆之介　須賀健太　尾美としのり　光石研　まえだまえだ　/　上川隆也　小林聡美　(他)院内学級を休んでいた和田は授業に出席できる事を心待ちにしていた。しかし七瀬は和田の気持ちを冷たく制し、千佳が母親から貰った大切なヌイグルミもとりあげる。中身がソバガラでソバアレルギーの子供を心配しての事だったが、千佳は傷つき、子供達は千佳に同情して七瀬の悪口で盛り上がる。そんな中、七瀬に最新設備のマンモス病院から引き抜きの話がきているとの噂が。最近の七瀬の冷たい態度はそういう訳か、と石原は憤り…。【演出】茂山佳則【脚本】土田英生【主題歌】「夢をアリガトウ」原由子(タイシタレーベル/ビクターエンタテインメント)　  【音楽】中塚武【制作協力】オフィスクレッシェンド　  【製作著作】日本テレビ</t>
  </si>
  <si>
    <t>大泉洋　香椎由宇　神木隆之介　須賀健太　尾美としのり　光石研　まえだまえだ　/　上川隆也　小林聡美　(他)石原が授業中に倒れ、急性虫垂炎で緊急手術を受けることに。  八重樫と田中はどんどん悪くなっていく和田の病状を心配し、七瀬も太川に和田の厳しい現状を話し、自分の思いを伝えるのだった。  その頃入院中の石原の部屋に怖面の男・漆原が引っ越してくる。桜山から石原のことを相当面白いと聞いたという漆原は「面白い事言ってよ」と石原を困らせる。そして入院生活に退屈してきた石原は、授業に出るために病室を抜け出すが…。【演出】佐久間紀佳【脚本】山岡真介【主題歌】「夢をアリガトウ」原由子(タイシタレーベル/ビクターエンタテインメント)　  【音楽】中塚武【制作協力】オフィスクレッシェンド　  【製作著作】日本テレビ</t>
  </si>
  <si>
    <t>大泉洋　香椎由宇　神木隆之介　須賀健太　尾美としのり　光石研　まえだまえだ　/　上川隆也　小林聡美　(他)石原が授業をしていると、教室に知らない男が入ってきた。石原は男を外へと連れ出すが、男はアメリカから帰国した院長の兄、幸一だった。幸一は近々この病院に戻り、院内改革を行なうと断言。まずは最新の医療設備を設置するために、院内学級を閉鎖するという。桜山はその事を教師たちに言えずにいたが、幸一から院内学級の閉鎖が告げられる。怒りをぶつける石原だが、幸一から「君は明日から来なくていい」とクビにされてしまい…【演出】吉野洋【脚本】根本ノンジ【主題歌】「夢をアリガトウ」原由子(タイシタレーベル/ビクターエンタテインメント)　  【音楽】中塚武【制作協力】オフィスクレッシェンド　  【製作著作】日本テレビ</t>
  </si>
  <si>
    <t>大泉洋　香椎由宇　神木隆之介　須賀健太　尾美としのり　光石研　まえだまえだ　/　上川隆也　小林聡美　(他)和田の病状は依然深刻なままだった。それを聞いた幸一は緩和治療も視野に入れるようにと七瀬に忠告するが、七瀬は「私はあきらめません」と強く言い返す。そんな中、和田の病室に石原と八重樫がやって来て話していると突然和田の気分が悪くなる。「明日また来るから」と言う石原に「明日なんて言わないでよ」と怒る和田。「だって明日もう授業受けられないかもしれないんだから」  その言葉にショックを受けた石原と八重樫は…【演出】佐久間紀佳【脚本】高梨一起【主題歌】「夢をアリガトウ」原由子(タイシタレーベル/ビクターエンタテインメント)　  【音楽】中塚武【制作協力】オフィスクレッシェンド　  【製作著作】日本テレビ</t>
  </si>
  <si>
    <t>大泉洋　香椎由宇　神木隆之介　須賀健太　尾美としのり　光石研　まえだまえだ　/　上川隆也　小林聡美　(他)クリーンルームで意識の回復しない和田に、必死で授業を続ける石原。  一方、八重樫は退院が決まった。太川によれば、退院する生徒には、いつも院内学級の卒業証書をおくっているのだという。教師達が、八重樫に渡す卒業証書を作っているのを見た石原は、院内学級閉鎖を目前にした生徒全員のために何かできないかと考える…。【演出】佐久間紀佳【脚本】【主題歌】「夢をアリガトウ」原由子(タイシタレーベル/ビクターエンタテインメント)　  【音楽】中塚武【制作協力】オフィスクレッシェンド　  【製作著作】日本テレビ</t>
  </si>
  <si>
    <t>0907_NTV_木23</t>
  </si>
  <si>
    <t>猿ロック</t>
  </si>
  <si>
    <t>番組名木曜ナイトドラマ「猿ロック」#1</t>
  </si>
  <si>
    <t>市原隼人　高岡蒼甫　芦名星　渡部豪太　中村ゆり　(他)天才鍵師サル(市原)と警官の山田(高岡)、リツコ(芦名)、悪友の山本(渡部)は下町の幼馴染み。そんなサルたちの商店街にデートクラブが出来るという。そのデートクラブにはリツコの親友・エリ(中村)が働いており、エリから辞めたいと相談を受けたリツコは、サルにエリの写真データを悪徳デートクラブから奪還して欲しいと頼む。サルは鍵屋が盗みのために鍵を開けられないと断るが、エリのルックスを見て即、前言撤回する。</t>
  </si>
  <si>
    <t>番組名木曜ナイトドラマ「猿ロック」#2</t>
  </si>
  <si>
    <t>市原隼人　  高岡蒼甫　  芦名星　  渡部豪太　  中村ゆり(他)　天才鍵師サル(市原)は、リツコ(芦名)の親友エリ(中村)がデートクラブに単身潜入し拉致されたことを知り、再度デートクラブへ向かう。悪友の山本(渡部)、リツコと共に秘策を練り、金庫に隠されたエリのデータ写真を奪い返すべくサルが取った行動とは・・・何とサルは女装しデートクラブに潜入しようとしたのだった。しかも、その女装は見破られることなく金庫を何とか開けたのだが、金庫の中にはまだ難関が待っていた</t>
  </si>
  <si>
    <t>番組名木曜ナイトドラマ「猿ロック」#3</t>
  </si>
  <si>
    <t>市原隼人　  高岡蒼甫　  芦名星　  渡部豪太　  黒川智花　(他)　ひと夏のアバンチュールを楽しもうと海にやってきたサル、山本、山田。サルは2組のかわいいギャル3人組に逆ナンされ、人生初のモテ期を味わう。サルらは同じ宿に泊まる片方のギャルたちと仲良くなり、一緒に花火の約束を交わす。リツコはサルらを追って海に来るがサルに冷たくされて帰る事に。そんなリツコはナンパしてきた2人の男と一緒に飲みに行く。その頃、サルは一緒に花火を楽しむミキ(黒川)とイイ雰囲気になるが…。</t>
  </si>
  <si>
    <t>番組名木曜ナイトドラマ「猿ロック」#4</t>
  </si>
  <si>
    <t>市原隼人　  高岡蒼甫　  芦名星　  渡部豪太　  黒川智花　(他)リツコは三田が睡眠薬を入れたシャンパンを飲んでしまう。そしてリツコは三田に強引に誘われ、三田の自宅に泊まる事に。民宿ではサルが眠れないというミキと共に布団部屋に行き、2人はいい雰囲気になる。薬の影響で力が入らないリツコは三田にベッドまで運ばれ、SOSメールをサルに送信。念願の童貞喪失が目前のサルの携帯にリツコから「助けて!やられる」というメールが届く。絶好のチャンスを前に悩むサルは迷った末に…。</t>
  </si>
  <si>
    <t>番組名木曜ナイトドラマ「猿ロック」#5</t>
  </si>
  <si>
    <t>市原隼人　  高岡蒼甫　  芦名星　  渡部豪太　  黒川智花　(他)リツコは車の中で熱射病になった子供を発見。サルがヘアピンで鍵を開けて子供を救出する。リツコは驚くミキにサルが鍵屋だという事を教える。この後、リツコは物陰でミキとカオリが高瀬、上原と話す姿を見かける。ミキはサルたちを騙そうとしていたのだ。リツコは真実を伝えるが、ミキにぞっこんのサルは話を信じようとしない。そして夜中にミキが何者かに車で連れ去られるトラブルが発生。サルたちはミキの救出に向かうが…</t>
  </si>
  <si>
    <t>番組名木曜ナイトドラマ「猿ロック」#6</t>
  </si>
  <si>
    <t>市原隼人　  高岡蒼甫　  芦名星　  渡部豪太　  石橋杏奈　(他)女教師・松永と女子高生・あやに錠前交換を依頼され、興奮が抑えられないサル。悪友の山本と共に、女子高を訪ねたサルはあやが所属する部室の鍵を確認。鍵を何度交換してもあやばかり盗難に遭うという。サルは鍵穴を見てピッキングではなく、合鍵で開けられている事に気付く。だが、鍵を所有するあやと松永は誰にも鍵を貸していないと困惑。後日、サルはバスケ部の部室の錠前を交換するが、またしてもあやの下着が盗まれてしまう。</t>
  </si>
  <si>
    <t>番組名木曜ナイトドラマ「猿ロック」#7</t>
  </si>
  <si>
    <t>市原隼人　  高岡蒼甫　  芦名星　  渡部豪太　  石橋杏奈(他)　あやが女子寮に侵入した何者かに襲われる。サルはあやを助けるが犯人は逃走した後。その頃、合鍵を保管する松永先生の机を探る男が職員室に出現。山田が捕まえた男は美術教師の木村だった。木村は好意を抱く松永の私物を触って喜んでいたらしく、あやの私物を盗んだ犯人ではなかった。それから3日後、あやの私物が再び盗まれてしまう。不審に思ったサルは松永から、かつて学校で起きた忌まわしき事件を聞き、解明に乗り出すが…</t>
  </si>
  <si>
    <t>番組名木曜ナイトドラマ「猿ロック」#8</t>
  </si>
  <si>
    <t>市原隼人　  高岡蒼甫　  芦名星　  渡部豪太　  石橋杏奈(他)　煉炭を焚いた体育館の地下倉庫に閉じ込められたサルとあや。サルは片隅に落ちていた針金を使って手錠を解錠した後、南京錠をかけた10本の鎖で閉められた扉も開け、あやを連れて脱出する。サルはこれまでの状況から学校の事を熟知した内部の人間の犯行と推理。この後、犯人が合鍵を作った手口に気付いたサルは犯人を現行犯逮捕するため、もう一度バスケ部部室の錠前を替えるが、真犯人は意外な人物だった・・・</t>
  </si>
  <si>
    <t>番組名木曜ナイトドラマ「猿ロック」#9</t>
  </si>
  <si>
    <t>市原隼人　  高岡蒼甫　  芦名星　  渡部豪太　  みさきゆう(他)サルは豪邸に住む合田に頼まれ、鍵が見当たらないという蔵の南京錠を解錠。蔵からは絵画や陶器、アンティーク品などが盗まれていた。この後、商店街に連続して泥棒が入り、サルはプロの鍵師の犯行と睨む。そんな中、サルと山本、山田はフルーツ屋でバイトを始めたアラサーのみなみらと合コンを計画。だが、その真っ直中に再び商店街に泥棒が入る。後日、刑事が現れ、商店街の連続窃盗の容疑者として逮捕するとサルに告げる…。</t>
  </si>
  <si>
    <t>番組名木曜ナイトドラマ「猿ロック」#10</t>
  </si>
  <si>
    <t>市原隼人、高岡蒼甫、芦名星、渡部豪太、みさきゆう(他)　刑事から商店街の連続窃盗の容疑で逮捕すると告げられたサル。サルは共犯と思われているみなみと隙を突いて逃走し、自分たちを犯人に仕立て上げた真犯人を捕まえる事を誓う。そして夜、サルはトラップを仕掛けて商店街に誘い出した犯人を捕まえようとするが逃げられてしまう。この後、サルは闇ルートに詳しい三島に美術品を派手に売りさばいた人物を捜してもらい、事件の真相へと近づいていくが、みなみの事を疑いだして・・・</t>
  </si>
  <si>
    <t>0907_NTV_土21</t>
  </si>
  <si>
    <t>華麗なるスパイ</t>
  </si>
  <si>
    <t>番組名華麗なるスパイ</t>
  </si>
  <si>
    <t>長瀬智也　深田恭子　杏　渡辺あつむ(ジャリズム)　藤原一裕(ライセンス)　KIKI　平手舞　友近　金児憲次　明樂哲典　杉崎真宏　手塚とおる　島田忍　山田明郷　峯村リエ　浜近高徳　高田純次　伊藤かずえ　井上真央　柄本明　寺島進　渡哲也日本初のスパイコメディ!?天才詐欺師が秘密諜報部員に!平和ボケした日本狙われていた!総理大臣の毒をもって毒を制すという考えのもと、自由と引き換えにスパイになった元詐欺師の京介。どんな人物にもなりきるカメレオンのような男がその能力でテロから人を救う。初ミッションは爆弾テロのターゲットとなった総理の孫娘を、とんでもない仲間ととんでもない方法で守ること!テロ以外にも問題を抱える彼女を京介は守れるのか?大谷太郎君塚良一ザ・サーフコースターズ【プロデューサー】佐藤敦　下山潤　【協力プロデューサー】小泉守</t>
  </si>
  <si>
    <t>長瀬智也　深田恭子　杏　渡辺あつむ(ジャリズム)　藤原一裕(ライセンス)　KIKI　平手舞　友近　金児憲史　明樂哲典　杉浦真宏　峯村リエ　小林海人　土師野隆之介　高田純次　伊藤かずえ　柄本明　寺島進　渡哲也証券会社のコンピューターがハッキングされる事件があり、経済テロを疑った吉澤総理と秘密諜報部の霧山は調査に乗り出した。犯人とみられる紅井令子という元トレーダーの周辺を探っていたところ、もっと大規模な経済テロの計画が暴かれた。ダラーという偽札作りのプロがその中心で、京介とドロシーはダラーMに接触すべく、セレブなパーティー会場に潜入調査に行く。実はゲイのダラーMは京介を一目見た瞬間、気に入ってしまい…大谷太郎君塚良一</t>
  </si>
  <si>
    <t>長瀬智也　深田恭子　杏　渡辺あつむ(ジャリズム)　藤原一裕(ライセンス)　KIKI　平手舞　友近　金児憲史　明樂哲典　杉浦真宏　峯村リエ　小林海人　土師野隆之介　高田純次　伊藤かずえ　柄本明　寺島進　渡哲也　高林由起子ミスター匠のスパイが日韓合作ドラマの脚本を盗んだと秘密諜報部に情報が入った。テロリストの狙いはドラマの撮影現場に訪問予定の吉澤総理の夫人らしい。京介たちは現場に潜入すべく出演者のオーディションに挑み、詐欺師の演技力で見事役を勝ち取る。ミスター匠の暗号を解読したオサムは韓国から入国した女優・付き人・ボディガードのうち誰かがテロリストであることをつきとめる。マネージャーに扮した来栖と撮影に参加するが…岩本仁志君塚良一</t>
  </si>
  <si>
    <t>長瀬智也　深田恭子　杏　渡辺あつむ(ジャリズム)　藤原一裕(ライセンス)　KIKI　平手舞　友近　金児憲次　明樂哲典　杉崎真宏　峯村リエ　TERU　高田純次　伊藤かずえ　柄本明　寺島進　渡哲也名門男子高の教師が女子高生に襲われ、重傷を負う事件が起きた。吉澤総理は直々に秘密諜報部へこの事件を調べるよう指令を出した。次のねらいは水泳部の生徒らしい。京介とドロシーはイケメンだらけの水泳部へ熱血コーチに扮して潜入する。すると、徹という他の生徒になじまない部のエースがいることに気づく。京介は彼のことを調べようとするが霧山の反対にあう。そんなとき、三九から総理の隠し子がその学校にいると聞き…岩本仁志　君塚良一【音楽】ザ・サーフコースターズ　【主題歌】『太陽と砂漠のバラ』TOKIO(ジェイ・ストーム)【プロデューサー】佐藤敦　下山潤　【協力プロデューサー】小泉守　【制作協力】トータルメディアコミュニケーション</t>
  </si>
  <si>
    <t>長瀬智也　深田恭子　杏　渡辺あつむ(ジャリズム)　藤原一裕(ライセンス)　KIKI　平手舞　友近　金児憲次　明樂哲典　杉崎真宏　峯村リエ　TERU　高田純次　伊藤かずえ　柄本明　寺島進　渡哲也ニューヨークで駐米イタリア大使が料理に混入された爆弾で暗殺される事件が起きた。ミスター匠の仕業らしい。吉澤総理もレストランでのイタリア大使との会食を控えており、テロが危ぶまれる。秘密諜報部のメンバーはレストランに潜入することになり、京介は料理人として、ドロシーはホール係に扮して潜入に成功。ドロシーから武器を預かり調査を開始するが・・・石尾純　君塚良一【音楽】ザ・サーフコースターズ　【主題歌】『太陽と砂漠のバラ』TOKIO(ジェイ・ストーム)【プロデューサー】佐藤敦　下山潤　【協力プロデューサー】小泉守　【制作協力】トータルメディアコミュニケーション</t>
  </si>
  <si>
    <t>長瀬智也　深田恭子　杏　渡辺あつむ(ジャリズム)　藤原一裕(ライセンス)　KIKI　平手舞　友近　金児憲次　明樂哲典　杉崎真宏　峯村リエ　TERU　高田純次　伊藤かずえ　柄本明　寺島進　渡哲也秘密諜報部に中国の情報局からナオミ・リーという美人女性エージェントがやってきた。中国で起きたテロの実行犯が日本に潜伏しているらしい。京介とドロシーはナオミとともに、テロリストが潜入していると言われる教会に修道女と神父に扮装して潜入するが、手がかりはつかめない。そんな中、京介は潜入した教会で、子供のころに面倒をみてくれた神父に再会する。一方、犯人が見つからない諜報部はナオミの真意を探ろうとするが…大谷太郎　君塚良一　金澤達也【音楽】ザ・サーフコースターズ　【主題歌】『太陽と砂漠のバラ』TOKIO(ジェイ・ストーム)【プロデューサー】佐藤敦　下山潤　【協力プロデューサー】小泉守　【制作協力】トータルメディアコミュニケーション</t>
  </si>
  <si>
    <t>長瀬智也　深田恭子　杏　渡辺あつむ(ジャリズム)　藤原一裕(ライセンス)　KIKI　友近　金児憲次　明樂哲典　TERU　候偉　黄実　宮下裕治　高田純次　伊藤かずえ　柄本明　寺島進　渡哲也三九が帰ってこないことと、京介が出て行ったことを不審に思った源一と泉は秘密諜報部を訪れ、霧山からミスター匠に連れ去られたかも知れないと聞く。霧山は三九を救い出すことを二人に約束し、ミスター匠のアジトを探し始める。霧山は京介を呼び出すためのミッションを開始し、そのかいあって再び秘密諜報部にやってくる。一方、ミスター匠のアジトでは三九の前にミスター匠が現れ、三九は京介を誘き出すことが狙いだと気づくが…岩本仁志　君塚良一【音楽】ザ・サーフコースターズ　【主題歌】『太陽と砂漠のバラ』TOKIO(ジェイ・ストーム)【プロデューサー】佐藤敦　下山潤　【協力プロデューサー】小泉守　【制作協力】トータルメディアコミュニケーション</t>
  </si>
  <si>
    <t>長瀬智也　深田恭子　杏　渡辺あつむ(ジャリズム)　藤原一裕(ライセンス)　KIKI　友近　金児憲次　明樂哲典　TERU　土師野隆之介　栗原みいか　宮下祐治　山田明郷　高田純次　伊藤かずえ　柄本明　寺島進　渡哲也捕らえられた京介とドロシーと霧山以外が待つ秘密諜報部に最近テロが計画されているとの情報が入る。一方首相官邸では吉澤総理が幹事長から秘密諜報部の存在が野党に漏れたと聞かされる。牢獄でミスター匠の前に突き出された京介は、匠に自分に協力し、吉澤総理を暗殺するよう再度言われる。従うそぶりを見せない京介にロシアンルーレットをしようと銃を出す。匠の味方になるよりましだとゲームを受けた京介は・・・狩山俊輔　君塚良一　金澤達也【音楽】ザ・サーフコースターズ　【主題歌】『太陽と砂漠のバラ』TOKIO(ジェイ・ストーム)【プロデューサー】佐藤敦　下山潤　【協力プロデューサー】小泉守　【制作協力】トータルメディアコミュニケーション</t>
  </si>
  <si>
    <t>長瀬智也　深田恭子　杏　渡辺あつむ(ジャリズム)　藤原一裕(ライセンス)　KIKI　友近　金児憲次　明樂哲典　杉崎真宏　峯村リエ　ガンビーノ小林　武重勉　川口節子　高田純次　伊藤かずえ　柄本明　寺島進　渡哲也ミスター匠からの電話をオサムが受けた翌日、霧島と吉澤総理が会談する予定だった場所に爆弾が仕掛けられる事件が起きた。SPと秘密諜報部員しか知らない会談の時間と場所が漏れていたことから、テロリストと繋がっているものが諜報部内にいるのではと互いに探りあうことになってしまう。一方、吉澤総理は秘密諜報部の存在が明るみになった事で、その進退が問題となっていた。そんな時、吉澤総理は執務室である人物に出会い・・石尾純　君塚良一【音楽】ザ・サーフコースターズ　【主題歌】『太陽と砂漠のバラ』TOKIO(ジェイ・ストーム)【プロデューサー】佐藤敦　下山潤　【協力プロデューサー】小泉守　【制作協力】トータルメディアコミュニケーション</t>
  </si>
  <si>
    <t>長瀬智也　深田恭子　杏　渡辺あつむ(ジャリズム)　藤原一裕(ライセンス)　KIKI　平手舞　友近　金児憲次　明樂哲典　杉崎真宏　峯村リエ　TERU　高田純次　伊藤かずえ　柄本明　寺島進　渡哲也銃で撃たれた吉澤総理が、危険な状態に陥った。さらに、ミスター匠は世界規模のテロ計画を実行すると宣戦布告する。そのころ、異常な気温上昇が都心の人々を襲う。これはミスター匠による世界規模のテロの前触れで、屈しなければ世界を灼熱の地獄と化すミサイルをG8各国の首都上空に発射するというのだが・・・大谷太郎　君塚良一　金澤達也【音楽】ザ・サーフコースターズ　【主題歌】『太陽と砂漠のバラ』TOKIO(ジェイ・ストーム)【プロデューサー】佐藤敦　下山潤　【協力プロデューサー】小泉守　【制作協力】トータルメディアコミュニケーション</t>
  </si>
  <si>
    <t>0904_NTV_水22</t>
  </si>
  <si>
    <t>アイシテル</t>
  </si>
  <si>
    <t>番組名アイシテル～海容～</t>
  </si>
  <si>
    <t>【キャスト】稲森いずみ　板谷由夏　山本太郎　川島海荷　嘉数一星(子役)　佐藤詩音(子役)　田畑智子　佐野史郎　田中美佐子　(他)　野口さつきは小学5年生の息子・智也と夫・和彦のごく普通の3人家族。智也は最近ロクに口もきかないが、反抗期だろうと諦め気味だ。一方の小沢聖子もまた普通の主婦。ある日、聖子が家を空けたすきに帰宅した小学2年生の息子・清貴がいなくなってしまい、遺体となって発見される。自分さえ家にいれば…と、後悔の念にさいなまれる聖子。そんな中、清貴ちゃん殺しの容疑者として保護されたのは智也だった。耳を疑うさつきだが…。【演出】吉野洋　【原作】伊藤実「アイシテル～海容～」(講談社　BE-LOVE　KCDX刊)　  【脚本】高橋麻紀　【音　楽】S.E.N.S.　  【主題歌】「アイシテル」MONKEY　MAJIK(binyl　records)　  【挿入歌】「うつし絵」新垣結衣(ワーナーミュージック・ジャパン)　【製作協力】ケイファクトリー　  【製作著作】日本テレビ</t>
  </si>
  <si>
    <t>番組名アイシテル-海容-</t>
  </si>
  <si>
    <t>稲森いずみ　板谷由夏　山本太郎  川島海荷　嘉数一星(子役)　佐藤詩音(子役)  田畑智子　佐野史郎　田中美佐子　(他)　さつきは淡々と殺人を認める智也に「なぜうちの子がこんな事を…」と悩み苦しむ。  そして聖子もまた「私が家を空けなければキヨタンは居なくならなかった」という母親と  しての責任と後悔の念に苦しみ、見えないキヨタンに謝り、話しかけ続けていた。  そんな中、清貴の告別式が行なわれる事を知ったさつきは告別式へ向かうが、最愛の息子を奪われた小沢家の悲しみに触れ、いたたまれなさにその場を立ち去ってしまう。【演出】  国本雅広【原作】  伊藤実「アイシテル～海容～」(講談社　BE-LOVE　KCDX刊)　  【脚本】  高橋麻紀【音　楽】  S.E.N.S.　  【主題歌】  「アイシテル」MONKEY　MAJIK(binyl　records)　  【挿入歌】  「うつし絵」新垣結衣(ワーナーミュージック・ジャパン)　【製作協力】  ケイファクトリー　  【製作著作】  日本テレビ</t>
  </si>
  <si>
    <t>稲森いずみ　板谷由夏　山本太郎  川島海荷　嘉数一星(子役)　佐藤詩音(子役)  田畑智子　佐野史郎　田中美佐子　(他)　さつきは智也と面会に行くが、何も話せないまま智也はその場を立ち去ってしまう。いっぽう小沢家では、自分を責め続ける聖子を娘の美帆子と夫の秀明が必死に支えながら少しずつ事件前の生活を取り戻そうとしていた。ある日、さつきは智也の同級生から自分の知らない智也の話を聞き、気付かなかった息子の想いを知る。同じ頃、調査官の富田に次第に心を開き始めた智也は、富田に事件の日のことを語り始めていた…。【演出】吉野洋【原作】伊藤実「アイシテル～海容～」(講談社　BE-LOVE　KCDX刊)　【音　楽】S.E.N.S.　  【主題歌】「アイシテル」MONKEY　MAJIK(binyl　records)　  【挿入歌】「うつし絵」新垣結衣(ワーナーミュージック・ジャパン)　【製作協力】ケイファクトリー　  【製作著作】日本テレビ</t>
  </si>
  <si>
    <t>稲森いずみ　板谷由夏　山本太郎  川島海荷　嘉数一星(子役)　佐藤詩音(子役)  田畑智子　佐野史郎　田中美佐子　(他)　智也は事件の日、清貴に「お兄ちゃんの家、ヘン」といわれてムカついたと話すが、調査官の富田は智也が何か重要なことを隠していると感じていた。  清貴の姉の美帆子は清貴の事で頭がいっぱいの両親に不満を持ち、自分はこの家に必要ないのでは…と傷ついていた。  そんな中、小沢家にさつきから手紙が届く。「なぜ自分の子どもが人の命を奪ったかわからない」という内容に父の秀昭は激昂するが…。【演出】国本雅広【原作】伊藤実「アイシテル～海容～」(講談社　BE-LOVE　KCDX刊)　  【脚本】高橋麻紀【音　楽】S.E.N.S.　  【主題歌】「アイシテル」MONKEY　MAJIK(binyl　records)　  【挿入歌】「うつし絵」新垣結衣(ワーナーミュージック・ジャパン)　【製作協力】ケイファクトリー　  【製作著作】日本テレビ</t>
  </si>
  <si>
    <t>稲森いずみ　板谷由夏　山本太郎  川島海荷　嘉数一星(子役)　佐藤詩音(子役)  田畑智子　佐野史郎　田中美佐子　(他)　事件現場に花を供えるさつきの姿を見てしまった美帆子は、毎日のようにそこを訪れるさつきが許せず、事件現場を元に戻して欲しいと秀昭に話す。  一方さつきは、ある晴れた日に智也がびしょぬ濡れで帰って来た事を思い出す。その時から智也は様子が変わり「ただいま」も言わなくなっていた。  そしてその頃に智也が奇妙な行動をとっていた事を知った富田は、半年前に起こったある事件と智也に意外な結びつきがある事に気づく…。【演出】久保田充【原作】伊藤実「アイシテル～海容～」(講談社　BE-LOVE　KCDX刊)　  【脚本】吉本昌弘【音　楽】S.E.N.S.　  【主題歌】「アイシテル」MONKEY　MAJIK(binyl　records)　  【挿入歌】「うつし絵」新垣結衣(ワーナーミュージック・ジャパン)　【製作協力】ケイファクトリー　  【製作著作】日本テレビ</t>
  </si>
  <si>
    <t>稲森いずみ　板谷由夏　山本太郎　  川島海荷　嘉数一星(子役)　佐藤詩音(子役)　  田畑智子　佐野史郎　田中美佐子　(他)　さつきに「死んで償え」と言ってしまった美帆子は、やりきれない思いと後悔の念で押し潰されそうになっていた。  一方、事件の真相を話し始めた智也だったが、急に富田との面談を拒絶し始める。  その頃、智也の事件が原因で婚約が破談になってしまった彩乃はショックと悔しさのあまりさつきのことを責め立ててしまう。さらに和彦が暴れて騒ぎを起こしたと警察からの連絡を受けたさつきは、憔悴しきって雨の中を一人さまよい…。【演出】吉野洋【原作】伊藤実「アイシテル～海容～」(講談社　BE-LOVE　KCDX刊)　  【脚本】吉本昌弘【音　楽】S.E.N.S.　  【主題歌】「アイシテル」MONKEY　MAJIK(binyl　records)　  【挿入歌】「うつし絵」新垣結衣(ワーナーミュージック・ジャパン)　【製作協力】ケイファクトリー　  【製作著作】日本テレビ</t>
  </si>
  <si>
    <t>稲森いずみ　板谷由夏　山本太郎　  川島海荷　嘉数一星(子役)　佐藤詩音(子役)　  田畑智子　佐野史郎　田中美佐子　(他)　さつきは、遺族の苦しみを思い続けることだけが唯一の償いであるという想いを込めた小  沢家への二度目の手紙を富田に託す。  一方、聖子は犯人の母親の気持ちを知りたいという想いを持ちつつも、事件を思い出す辛さから「手紙はこれで最後にしてほしい」と富田に伝える。その事を知った秀昭は「手紙を受け取る事は、犯人を許す事になる」と手紙を取り上げ、翌朝、犯人の親に直接手紙を返してくると言って家を出て行くのだが…。【演出】久保田充【原作】伊藤実「アイシテル～海容～」(講談社　BE-LOVE　KCDX刊)　  【脚本】高橋麻紀【音　楽】S.E.N.S.　  【主題歌】「アイシテル」MONKEY　MAJIK(binyl　records)　  【挿入歌】「うつし絵」新垣結衣(ワーナーミュージック・ジャパン)　【製作協力】ケイファクトリー　  【製作著作】日本テレビ</t>
  </si>
  <si>
    <t>稲森いずみ　板谷由夏　山本太郎　  川島海荷　嘉数一星(子役)　佐藤詩音(子役)　  田畑智子　佐野史郎　田中美佐子　(他)　智也が犯した罪をともに背負い生きる為、懸命に智也と向き合おうとするさつきの思いは少しずつ智也にも届き、智也はついに富田に事件当日の全てを話し始める。しかし肝心のところで体が震えて話せなくなってしまった智也は、その後の事は日誌に書きたいと富田に話し、富田も智也を信じてそれを認める。  その頃、さつきから2度目の手紙を受け取った小沢家ではそれぞれが複雑な想いを抱え、バラバラになりかけていた。【演出】吉野洋【原作】伊藤実「アイシテル～海容～」(講談社　BE-LOVE　KCDX刊)　  【脚本】吉本昌弘【音　楽】S.E.N.S.　  【主題歌】「アイシテル」MONKEY　MAJIK(binyl　records)　  【挿入歌】「うつし絵」新垣結衣(ワーナーミュージック・ジャパン)　【製作協力】ケイファクトリー　  【製作著作】日本テレビ</t>
  </si>
  <si>
    <t>稲森いずみ　板谷由夏　山本太郎　  川島海荷　嘉数一星(子役)　佐藤詩音(子役)　  田畑智子　佐野史郎　田中美佐子　(他)　審判で読み上げられた聖子から智也への手紙に胸を打たれたさつきは、親として一生をか  けて智也を更正させる決意をし、智也は自立支援センターへ送られることが決まる。  一方小沢家では、聖子が加害者少年に手紙を書いたことを秀昭と美帆子に打ちあけ、秀昭はその行動に憤りを感じていた。そんな秀昭と会った富田は、聖子は聖子なりにこの悲しい事件を乗り越えようとこの手紙を書いたのではないか…と秀昭に話すのだった。    【演出】国本雅広【原作】伊藤実「アイシテル～海容～」(講談社　BE-LOVE　KCDX刊)　  【脚本】吉本昌弘【音　楽】S.E.N.S.　  【主題歌】「アイシテル」MONKEY　MAJIK(binyl　records)　  【挿入歌】「うつし絵」新垣結衣(ワーナーミュージック・ジャパン)　【製作協力】ケイファクトリー　  【製作著作】日本テレビ</t>
  </si>
  <si>
    <t>稲森いずみ　板谷由夏　山本太郎　  川島海荷　嘉数一星(子役)　佐藤詩音(子役)　  田畑智子　佐野史郎　田中美佐子　(他)　【演出】吉野洋【原作】伊藤実「アイシテル～海容～」(講談社　BE-LOVE　KCDX刊)　  【脚本】吉本昌弘　高橋麻紀【音　楽】S.E.N.S.　  【主題歌】「アイシテル」MONKEY　MAJIK(binyl　records)　  【挿入歌】「うつし絵」新垣結衣(ワーナーミュージック・ジャパン)　【製作協力】ケイファクトリー　  【製作著作】日本テレビ</t>
  </si>
  <si>
    <t>0904_NTV_土21</t>
  </si>
  <si>
    <t>ザ・クイズショウ</t>
  </si>
  <si>
    <t>番組名ザ・クイズショウ</t>
  </si>
  <si>
    <t>櫻井翔　横山裕　松浦亜弥　篠井英介　田中哲司　和田正人　森脇英理子　今井隆文　白石みき　松尾英太郎　和田成正　飯田隆裕　水沢エレナ　泉谷しげる　榎木孝明　真矢みき　生放送番組「ザ・クイズショウ」。クイズを全てクリアすれば、文字通りどんな夢でも叶えてくれるという。MCの神山(櫻井翔)が今回迎えた解答者はミュージシャンの安藤康介(哀川翔)。彼の夢は自身の「世界ツアー」。しかし番組ディレクターの本間俊雄(横山裕)は自信ありげに微笑む。「安藤はクイズをクリアできません」。神山が出すクイズ。それは安藤が絶対知られてはならないある「過去」に関する出題だったのだ。南雲聖一　【原案】「THE　QUIZ　SHOW」森谷雄(アットムービー)/D.N.ドリームパートナーズ・VAP　【音楽】NARASAKI　  【主題歌】「明日の記憶」嵐(ジェイ・ストーム)　【プロデューサー】池田健司(日本テレビ)　森谷雄(アットムービー)　  【制作協力】アットムービー　  【協力】オフィスクレッシェンド</t>
  </si>
  <si>
    <t>櫻井翔　横山裕　松浦亜弥　篠井英介　田中哲司　和田正人　森脇英理子　今井隆文　白石みき　松尾英太郎　和田成正　飯田隆裕　大橋のぞみ　水沢エレナ　泉谷しげる　榎木孝明　真矢みき　【ゲスト】美波　神保悟志　白い壁に囲まれた部屋でフラッシュバックする記憶の断片に激しい頭痛を覚えるMCの神山(櫻井翔)に、本間(横山裕)は次のゲスト解答者をケータイ小説家・ミカ(美波)と決めた。ミカが提示した夢は「新作小説をドラマ化、1年放送」。しかし、本間は「ドラマ部に確認はいらない」とプロデューサーの冴島(真矢みき)に言う。本間が獲得している高視聴率の数字に冴島は反論出来ない。神山の出題にはミカの母親に関する問題が…。南雲聖一【原案】「THE　QUIZ　SHOW」森谷雄(アットムービー)/D.N.ドリームパートナーズ・VAP　  【脚本】及川拓郎　【音楽】NARASAKI　  【主題歌】「明日の記憶」嵐(ジェイ・ストーム)【プロデューサー】池田健司(日本テレビ)　森谷雄(アットムービー)　  【制作協力】アットムービー　  【協力】オフィスクレッシェンド</t>
  </si>
  <si>
    <t>櫻井翔　横山裕　松浦亜弥　篠井英介　田中哲司　和田正人　森脇英理子　今井隆文　白石みき　松尾英太郎　和田成正　飯田隆裕　水沢エレナ　泉谷しげる　榎木孝明　真矢みき　【ゲスト】成宮寛貴　金井勇太　今回は、フリースクール代表・宮本健治(成宮寛貴)がゲスト解答者として登場する。全国からの迷える若者たちを集め、自己啓発を目的で創られた宮本のスクール。宮本は今後の活動資金のためにと「1億円の賞金」をドリームチャンスに揚げた。ところが、高杉(松浦亜弥)の現場リポートで、スクールの宿舎の様子が伝えられると、宮本の表情が変わる。そして、クイズが進むうちに、フリースクールの実態が次第に明らかになるーー。佐久間紀佳　【原案】「THE　QUIZ　SHOW」森谷雄(アットムービー)/D.N.ドリームパートナーズ・VAP　  【脚本】及川拓郎　【音楽】NARASAKI　  【主題歌】「明日の記憶」嵐(ジェイ・ストーム)　【プロデューサー】池田健司(日本テレビ)森谷雄(アットムービー)　  【制作協力】アットムービー　  【協力】オフィスクレッシェンド</t>
  </si>
  <si>
    <t>櫻井翔　横山裕　松浦亜弥　篠井英介　田中哲司　和田正人　森脇英理子　今井隆文　白石みき　松尾英太郎　和田成正　飯田隆裕　水沢エレナ　泉谷しげる　榎木孝明　真矢みき　【ゲスト】浅野ゆう子　伊佐山ひろ子失われた記憶の糸をたどるため、激しい頭痛に襲われながらも、番組の司会者を続ける神山(櫻井翔)が今回対決するのは、“十二支のパワー”で人気のカリスマ占い師・祐天寺ノッコ(浅野ゆう子)。絶対に機嫌をそこねないように、との田所(榎木孝明)の厳命にも拘らず、神山は本間(横山裕)の指示で台本とは全く別の内容を出題。そこから次第にカリスマ占い師・祐天寺ノッコの隠された素顔が明らかになってゆくーー。南雲聖一　佐久間紀佳　狩山俊輔【原案】「THE　QUIZ　SHOW」森谷雄(アットムービー)/D.N.ドリームパートナーズ・VAP  【脚本】及川拓郎NARASAKI  【主題歌】「明日の記憶」嵐(ジェイ・ストーム)【プロデューサー】池田健司(日本テレビ)森谷雄(アットムービー)  【制作協力】アットムービー  【協力】オフィスクレッシェンド</t>
  </si>
  <si>
    <t>櫻井翔　横山裕　松浦亜弥　篠井英介　田中哲司　和田正人　森脇英理子　今井隆文　白石みき　松尾英太郎　和田成正　飯田隆裕　水沢エレナ　泉谷しげる　榎木孝明　真矢みき　【ゲスト】石黒賢　品川徹　須永慶　阿部六郎神山(櫻井翔)の脳裏に、美咲(水沢エレナ)の記憶がフラッシュバックする。「俺が彼女を殺してしまったのか!?」おびえる神山に、記憶を取り戻すため、なおも『ザ・クイズショウ』の司会を続けるよう指示する本間。5人目のゲスト解答者には、友部公一郎(石黒賢)という大学病院の教授が登場する。2年前、遊説中に倒れた財務大臣の手術を成功させて名を売った友部は、卓越した技術から、“ゴッドハンド”と呼ばれていた…。南雲聖一【原案】「THE　QUIZ　SHOW」森谷雄(アットムービー)/D.N.ドリームパートナーズ・VAP  【脚本】及川拓郎NARASAKI  【主題歌】「明日の記憶」嵐(ジェイ・ストーム)【プロデューサー】池田健司(日本テレビ)森谷雄(アットムービー)  【制作協力】アットムービー  【協力】オフィスクレッシェンド</t>
  </si>
  <si>
    <t>櫻井翔　横山裕　松浦亜弥　篠井英介　田中哲司　和田正人　森脇英理子　今井隆文　白石みき　松尾英太郎　和田成正　飯田隆裕　水沢エレナ　泉谷しげる　榎木孝明　真矢みき　【ゲスト】堀内健　立石涼子今回の解答者は、母親に働かせている無職の桂木(堀内健)。だが生放送中、冴島(真矢みき)の娘・美野里(大橋のぞみ)を桂木が誘拐したことが明らかになる。番組終了までに、警察に通報せずに美野里を捜すよう要求する桂木。従わなければ美野里の命はないという桂木の言葉に、冴島は番組の続行を指示。本間(横山裕)は神山(櫻井翔)の出題後に桂木が逆出題するクイズに、美野里の監禁場所のヒントが隠されていると推理するがー狩山俊輔【原案】「THE　QUIZ　SHOW」森谷雄(アットムービー)/D.N.ドリームパートナーズ・VAP  【脚本】及川拓郎NARASAKI  【主題歌】「明日の記憶」嵐(ジェイ・ストーム)【プロデューサー】池田健司(日本テレビ)森谷雄(アットムービー)  【制作協力】アットムービー  【協力】オフィスクレッシェンド</t>
  </si>
  <si>
    <t>櫻井翔　横山裕　松浦亜弥　篠井英介　田中哲司　和田正人　森脇英理子　今井隆文　白石みき　松尾英太郎　和田成正　飯田隆裕　水沢エレナ　泉谷しげる　榎木孝明　真矢みき　【ゲスト】杉本哲太　記憶がよみがえることへの恐怖に怯えながら、始まった今回の放送のゲスト解答者は、元パイロットの柴田勇樹(杉本哲太)。クイズを出題するごとに、洪水のように過去の記憶がフラッシュバックし、激しい頭痛に襲われる神山。衝撃的事実を思い出した神山は、遂に、ステージ上で倒れてしまい、番組続行が不可能になってしまうー。  これまでの『ザ・クイズショウ』の解答者たちを結ぶ、一本の糸が、明らかに!?南雲聖一【原案】「THE　QUIZ　SHOW」森谷雄(アットムービー)/D.N.ドリームパートナーズ・VAP  【脚本】及川拓郎NARASAKI  【主題歌】「明日の記憶」嵐(ジェイ・ストーム)【プロデューサー】池田健司(日本テレビ)森谷雄(アットムービー)  【制作協力】アットムービー  【協力】オフィスクレッシェンド</t>
  </si>
  <si>
    <t>櫻井翔　横山裕　松浦亜弥　篠井英介　田中哲司　和田正人　森脇英理子　今井隆文　白石みき　松尾英太郎　和田成正　飯田隆裕　水沢エレナ　泉谷しげる　榎木孝明　真矢みき　本間(横山裕)、美咲(水沢エレナ)との高校時代の記憶が甦る神山(櫻井翔)。一方、放送事故の責任を取らされ銀河テレビをクビになった冴島(真矢みき)は、『ザ・クイズショウ』の解答席に招待される。冴島の夢は銀河テレビへの復帰。出題されるのは、8年前の“シナイ湖小型飛行機墜落事故”と冴島との関わりを明らかにするものだった。神山の記憶がさらに甦る中、冴島の秘密に触れる、厳しいドリームチャンスが待っていた。南雲聖一【原案】「THE　QUIZ　SHOW」森谷雄(アットムービー)/D.N.ドリームパートナーズ・VAP　  【脚本】及川拓郎　NARASAKI　  【主題歌】「明日の記憶」嵐(ジェイ・ストーム)　【プロデューサー】池田健司(日本テレビ)　森谷雄(アットムービー)　  【制作協力】アットムービー　  【協力】オフィスクレッシェンド</t>
  </si>
  <si>
    <t>櫻井翔　横山裕　松浦亜弥　篠井英介　田中哲司　和田正人　森脇英理子　今井隆文　白石みき　松尾英太郎　和田成正　飯田隆裕　水沢エレナ　泉谷しげる　榎木孝明　真矢みき　『クイズショウ』で冴島(真矢)がプロデューサーに復帰したが、番組が始まると本間(横山)が解答者の扉から登場、今回の解答者が神山(櫻井)だと宣言。神山は全ての真実を知ることを夢とし、クイズに挑むことに。やがて、本間の出題から神山が6年間も眠り続けた原因、美咲の思わぬ死因などが明らかになってゆく。そして、「全部を思い出させてやる」と告げた本間は、最後、神山に衝撃の事実を突きつけることになる…。南雲聖一　【原案】「THE　QUIZ　SHOW」森谷雄(アットムービー)/D.N.ドリームパートナーズ・VAP　  【脚本】及川拓郎　NARASAKI　  【主題歌】「明日の記憶」嵐(ジェイ・ストーム)　【プロデューサー】池田健司(日本テレビ)森谷雄(アットムービー)　  【制作協力】アットムービー　  【協力】オフィスクレッシェンド</t>
  </si>
  <si>
    <t>櫻井翔　横山裕　松浦亜弥　篠井英介　田中哲司　和田正人　森脇英理子　今井隆文　白石みき　松尾英太郎　和田成正　飯田隆裕　水沢エレナ　泉谷しげる　榎木孝明　真矢みき　「ザ・クイズショウ」それは謎の司会者とディレクターに支配されたクイズ番組。彼らは番組を使って社会と悪と人間の罪を暴いてゆく…このクイズ番組に挑戦するのは「ワケあり」の解答者。過去の過ち、秘密、罪…それをひた隠しにしようとする解答者に対する、司会者の存在。それは単なるクイズではない。出場者の人生模様をより劇的に演出する舞台なのだ。南雲聖一　佐久間紀佳　狩山俊輔【原案】「THE　QUIZ　SHOW」森谷雄(アットムービー)/D.N.ドリームパートナーズ・VAP　  【脚本】及川拓郎　NARASAKI　  【主題歌】「明日の記憶」嵐(ジェイ・ストーム)　【プロデューサー】池田健司(日本テレビ)森谷雄(アットムービー)　  【制作協力】アットムービー　  【協力】オフィスクレッシェンド</t>
  </si>
  <si>
    <t>0901_NTV_火22</t>
  </si>
  <si>
    <t>神の雫</t>
  </si>
  <si>
    <t>番組名神の雫</t>
  </si>
  <si>
    <t>亀梨和也　田辺誠一　仲里依紗　内田有紀  戸田菜穂　升毅　田口浩正　佐々木希　辰巳琢郎　竹中直人　古谷一行　(他)神咲雫のもとに、突然、世界的ワイン評論家である父の訃報が届く。雫が父に反発し、何年も帰っていなかった家に帰ると、「幻のワイン“神の雫”を探し出した兄弟の内1人に20億円を越えるワインコレクションを譲る」という遺言と共に、死ぬ直前に養子縁組をしたという、ワイン評論家・遠峰一青が現れる。思いとは裏腹に20億円を賭けた戦いの渦に巻き込まれていく雫。男と男の華麗なる戦いが幕を開ける!【演出】中島悟【原作】モーニングKC「神の雫」　作:亜樹　直　　漫画:オキモト・シュウ  【脚本】渡辺雄介【音楽】　福島祐子　中島靖雄  【主題歌】KAT-TUN「ONE　DROP」(ジェイ・ワン　レコーズ)【制作協力】アベクカンパニー　  【製作著作】日本テレビ</t>
  </si>
  <si>
    <t>亀梨和也　田辺誠一　仲里依紗　内田有紀　  戸田菜穂　升毅　田口浩正　佐々木希　辰巳琢郎　竹中直人　古谷一行　(他)亡き父が残した、20億円相当するワインコレクションの遺産をめぐる遠峰一青との戦いを決意した神咲雫。ついに、本格的な対決の幕が開けられた。  ストイックなまでに人生を賭けて戦いに挑む一青と、この対決を父からの挑戦状だと思って立ち向かおうとする雫。  最後まで一時も目が離せない、最初の遺言状「第一の使徒」の対決はいかに!?【監督】中島悟【原作】モーニングKC「神の雫」　作:亜樹　直　漫画:オキモト・シュウ　  【脚本】渡辺雄介　【音楽】　福島祐子　中島靖雄　  【主題歌】KAT-TUN「ONE　DROP」(ジェイ・ワン　レコーズ)　【制作協力】アベクカンパニー　  【製作著作】日本テレビ</t>
  </si>
  <si>
    <t>亀梨和也　田辺誠一　仲里依紗　内田有紀　  戸田菜穂　升毅　田口浩正　佐々木希　辰巳琢郎　竹中直人　古谷一行　(他)　亡き父が残した、20億円相当するワインコレクションをめぐる神咲雫と遠峰一青の戦いの一戦目は、神咲雫の勝利で幕を閉じた。そして、「第二の使徒」をめぐる対決が始まる。遺言状には“団欒”など温かみのある、昔を懐かしむような言葉でワインのイメージが書かれていた。雫は亡き父には似つかわしくない言葉に戸惑う。一方、前回の敗北により、焦りをみせる一青。最後まで一時も目が離せない、「第二の使徒」の対決はいかに!?【演出】石尾純【原作】モーニングKC「神の雫」　作:亜樹直　漫画:オキモト・シュウ　  【脚本】渡辺雄介　【音楽】福島祐子　中島靖雄　  【主題歌】KAT-TUN「ONE　DROP」(ジェイ・ワン　レコーズ)　【制作協力】アベクカンパニー　  【製作著作】日本テレビ</t>
  </si>
  <si>
    <t>亀梨和也　田辺誠一　仲里依紗　内田有紀　  戸田菜穂　升毅　田口浩正　佐々木希　辰巳琢郎　竹中直人　古谷一行　(他)　「第三の使徒」をめぐる対決が始まる。遺言状には「このワインはモナリザである。私は『愛しき人』だとたとえた」と書かれていた。雫は、父の愛しき人とは誰なのか?母か、それとも母が倒れたときに父と一緒にいた「ほのか」という女性なのかと悩む。一方、愛しき人が分からない一青は、一心不乱にモナリザを描いたダヴィンチになりきろうとする。一勝一敗で臨む今回の対決の結末とは!?【演出】中島悟　【原作】モーニングKC「神の雫」　作:亜樹直　漫画:オキモト・シュウ　  【脚本】渡辺雄介　【音楽】福島祐子　中島靖雄　  【主題歌】KAT-TUN「ONE　DROP」(ジェイ・ワン　レコーズ)　【制作協力】アベクカンパニー　  【製作著作】日本テレビ</t>
  </si>
  <si>
    <t>亀梨和也　田辺誠一　仲里依紗　内田有紀　  戸田菜穂　升毅　田口浩正　佐々木希　辰巳琢郎　竹中直人　古谷一行　(他)遂に雫と一青の出生の秘密が明らかに!!  前回「第三の使徒」のワインを当てる対決は両者不正解により延期されていた。  再び、最も愛に溢れたモナリザのイメージのワイン探しにとりかかる雫。  一方、一青は「愛」を知らないことで、悩み、壁にぶつかっていた。  「第三の使徒」とは?そして、今まで隠されていた雫と一青の関係とは!?【演出】石尾純【原作】モーニングKC「神の雫」　作:亜樹直　漫画:オキモト・シュウ　  【脚本】渡辺雄介　【音楽】福島祐子　中島靖雄　  【主題歌】KAT-TUN「ONE　DROP」(ジェイ・ワン　レコーズ)　【制作協力】アベクカンパニー　  【製作著作】日本テレビ</t>
  </si>
  <si>
    <t>亀梨和也　田辺誠一　仲里依紗　内田有紀　  戸田菜穂　升毅　田口浩正　佐々木希　辰巳琢郎　竹中直人　古谷一行　(他)　雫と一青は血のつながった兄弟だった!!  衝撃の事実を知った雫は遺産争いを放棄し、一人旅立つ。  同じく何も知らなかった一青は、変わらず使徒(ワイン)探しをしていたが、ある日突然倒れる!  20億の遺産をめぐる戦いは、このまま終わってしまうのか?　  真実を知った2人の、相手への思いとは?憎しみかそれとも・・・  2人が選ぶ道をご期待下さい!!【演出】中島悟【原作】モーニングKC「神の雫」　作:亜樹直　漫画:オキモト・シュウ　  【脚本】渡辺雄介　【音楽】福島祐子　中島靖雄　  【主題歌】KAT-TUN「ONE　DROP」(ジェイ・ワン　レコーズ)　【制作協力】アベクカンパニー　  【製作著作】日本テレビ</t>
  </si>
  <si>
    <t>亀梨和也　田辺誠一　仲里依紗　内田有紀　  戸田菜穂　升毅　田口浩正　佐々木希　辰巳琢郎　竹中直人　古谷一行　(他)父親の遺言状をもとに遺産を賭けた闘いを実の兄・一青と続けている雫。  “第五の使徒”を探す中で雫は今回、亡き父親にとってかけがえのない存在であることを知る・・・。雫が気づいた父親の意外な姿とは?  そんな中、一青の身には病が襲いかかっていた・・・。失明の危険をかけてまで、闘い続けることを決意した一青。果たして、雫と一青の対決の行方は?  そして遂に、美しき女達の思惑が動きはじめる!【演出】石尾純【原作】モーニングKC「神の雫」　作:亜樹直　漫画:オキモト・シュウ　  【脚本】渡辺雄介　【音楽】福島祐子　中島靖雄　  【主題歌】KAT-TUN「ONE　DROP」(ジェイ・ワン　レコーズ)　【制作協力】アベクカンパニー　  【製作著作】日本テレビ</t>
  </si>
  <si>
    <t>亀梨和也　田辺誠一　仲里依紗　内田有紀　  戸田菜穂　升毅　田口浩正　佐々木希　辰巳琢郎　竹中直人　古谷一行　(他)父親の遺言状をもとに、遺産(20億円のワインコレクション)を巡る戦いを続けている異母兄弟の雫と一青。残された戦いはあと2回!  4勝の一青と3勝の雫。  今回負けたら最後の雫は、絶対に勝たなければならない戦いに勝利できるのか?  そして、極度のストレスで視力を失いながらも、一人勝利への執念を燃やす一青は?  男同士の壮絶な戦いが最終局面をむかえる!【演出】中島悟【原作】モーニングKC「神の雫」　作:亜樹直　漫画:オキモト・シュウ　  【脚本】渡辺雄介　【音楽】福島祐子　中島靖雄　  【主題歌】KAT-TUN「ONE　DROP」(ジェイ・ワン　レコーズ)　【制作協力】アベクカンパニー　  【製作著作】日本テレビ</t>
  </si>
  <si>
    <t>亀梨和也　田辺誠一　仲里依紗　内田有紀　  戸田菜穂　升毅　田口浩正　佐々木希　辰巳琢郎　竹中直人　古谷一行　(他)最終回!  ついに、すべての頂上に立つ究極のワイン「神の雫」が明らかに!?  はたして、雫はそのワインにたどり着くことが出来るのか?  そして、いまだに眠り続ける一青の容態は?  父が2人の息子に伝えたかった想いとは一体なんだったのか?  今夜決着の時を迎える!【演出】中島悟【原作】モーニングKC「神の雫」　作:亜樹直　漫画:オキモト・シュウ　  【脚本】渡辺雄介　【音楽】福島祐子　中島靖雄　  【主題歌】KAT-TUN「ONE　DROP」(ジェイ・ワン　レコーズ)　【制作協力】アベクカンパニー　  【製作著作】日本テレビ</t>
  </si>
  <si>
    <t>0901_NTV_水22</t>
  </si>
  <si>
    <t>キイナ</t>
  </si>
  <si>
    <t>番組名キイナ～不可能犯罪捜査官～</t>
  </si>
  <si>
    <t>菅野美穂　平岡祐太　塚地武雅(ドランクドラゴン)　  小池栄子　東根作寿英　さくら　高橋良輔　薗田杏奈　  金田明夫　草刈正雄　沢村一樹　  白石美帆　勝村政信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演出】猪股隆一【脚本】吉田智子【音楽】菅野祐悟　  【主題歌】  「ChaNge　the　WoRLd」　MiChi  　(ソニー・ミュージック　アソシエイテッド　レコーズ)【プロデューサー】加藤正俊　小泉守　  【制作協力】トータルメディアコミュニケーション　  【製作著作】日本テレビ</t>
  </si>
  <si>
    <t>菅野美穂　平岡祐太　塚地武雅(ドランクドラゴン)　  小池栄子　東根作寿英　さくら　高橋良輔　薗田杏奈　  金田明夫　草刈正雄　沢村一樹　  川島海荷　かとうかずこ　大高洋夫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演出】猪股隆一　【脚本】吉田智子　【音楽】菅野祐悟　  【主題歌】  「ChaNge　the　WoRLd」　MiChi　  　(ソニー・ミュージック　アソシエイテッド　レコーズ)【プロデューサー】加藤正俊　小泉守　  【制作協力】トータルメディアコミュニケーション　  【製作著作】日本テレビ</t>
  </si>
  <si>
    <t>菅野美穂　平岡祐太　塚地武雅(ドランクドラゴン)　  小池栄子　東根作寿英　さくら　高橋良輔　薗田杏奈　  金田明夫　草刈正雄　沢村一樹　  紺野まひる　山崎樹範　松尾敏伸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演出】山下学美　【脚本】吉田智子　【音楽】菅野祐悟　  【主題歌】「ChaNge　the　WoRLd」　MiChi  　(ソニー・ミュージック　アソシエイテッド　レコーズ)【プロデューサー】加藤正俊　小泉守　  【制作協力】トータルメディアコミュニケーション　  【製作著作】日本テレビ</t>
  </si>
  <si>
    <t>【出演】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演出】猪股隆一【脚本】松田裕子【音楽】菅野祐悟　  【主題歌】  「ChaNge　the　WoRLd」　MiChi  　(ソニー・ミュージック　アソシエイテッド　レコーズ)【制作協力】トータルメディアコミュニケーション　  【製作著作】日本テレビ</t>
  </si>
  <si>
    <t>【出演】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演出】山下学美【脚本】山崎淳也【音楽】菅野祐悟　  【主題歌】  「ChaNge　the　WoRLd」　MiChi  　(ソニー・ミュージック　アソシエイテッド　レコーズ)【制作協力】トータルメディアコミュニケーション　  【製作著作】日本テレビ</t>
  </si>
  <si>
    <t>【出演】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演出】田中峰弥【脚本】山崎淳也【音楽】菅野祐悟　  【主題歌】  「ChaNge　the　WoRLd」　MiChi  　(ソニー・ミュージック　アソシエイテッド　レコーズ)【制作協力】トータルメディアコミュニケーション　  【製作著作】日本テレビ</t>
  </si>
  <si>
    <t>【出演】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演出】山下学美【脚本】田中一彦【音楽】菅野祐悟　  【主題歌】  「ChaNge　the　WoRLd」　MiChi  　(ソニー・ミュージック　アソシエイテッド　レコーズ)【制作協力】トータルメディアコミュニケーション　  【製作著作】日本テレビ</t>
  </si>
  <si>
    <t>番組名キイナ～不可能犯罪捜査官～最終回15分拡大スペシャル</t>
  </si>
  <si>
    <t>【出演】  菅野美穂　平岡祐太　塚地武雅(ドランクドラゴン)　  小池栄子　東根作寿英　さくら　高橋良輔　薗田杏奈　  金田明夫　草刈正雄　沢村一樹　  加藤雅也“このドラマは、事実から生まれた”。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演出】猪股隆一【脚本】松田裕子【音楽】菅野祐悟　  【主題歌】  「ChaNge　the　WoRLd」　MiChi  　(ソニー・ミュージック　アソシエイテッド　レコーズ)【制作協力】トータルメディアコミュニケーション　  【製作著作】日本テレビ</t>
  </si>
  <si>
    <t>0901_NTV_土21</t>
  </si>
  <si>
    <t>銭ゲバ</t>
  </si>
  <si>
    <t>番組名銭ゲバ</t>
  </si>
  <si>
    <t>松山ケンイチ　ミムラ　宮川大輔　木南晴夏　光石研　りょう　椎名桔平　ほか緑の運転する車の前に飛び出した風太郎。病院の一室で目覚めた風太郎を心配する緑。何か出来ることはないかと申し出る。「・・・友達になれたらうれしいです」風太郎はある目的のために緑に近づく。緑の妹・茜にも近づき、ある計画をたてていくのだった。そんな折、風太郎は父親・健蔵と偶然に再会。この13年ぶりの父と子の出会いが風太郎の運命を大きく変えていくーーー。大谷太郎岡田惠和金子隆博日テレ　アックスオン</t>
  </si>
  <si>
    <t>松山ケンイチ　ミムラ　宮川大輔　木南晴夏　光石研　りょう　椎名桔平　ほか三國家の一室に寄宿することになった風太郎。そしてまるで、新妻のように振舞う茜。姉の緑はそんな妹を見て、複雑な想いに駆られていた。風太郎が金目当てで三國家に入り込んだに違いないと白川から断言されていたのだ。「ーーー彼は、そんなに美しい人間じゃない」と。一方、相変わらず風太郎の動向を探っていた荻野は、金の無心にきていた健蔵と風太郎との父子の会話を目撃し、風太郎の生い立ちを調べ始めるーーー。狩山俊輔岡田惠和金子隆博日テレ　アックスオン</t>
  </si>
  <si>
    <t>松山ケンイチ　ミムラ　宮川大輔　木南晴夏　光石研　りょう　椎名桔平　ほか結婚をせがむ茜に「それは無理だ」と風太郎は自から三國家を去る。そこにはある思惑があったーー。そんな中、風太郎は伊豆屋で自分と瓜二つという由香の兄・真一が騒ぎを起こしているのを知る。バカな真一を優しく見守る伊豆屋の面々に対し、複雑な心境が湧き上がる風太郎は、彼らに罠を仕掛けようとするがーー。一方、風太郎を追って三國家に乗り込んでくる健蔵。同じ頃、一本の通報を受けた荻野らも三國家に姿を見せるーー。大谷太郎岡田惠和金子隆博日テレ　アックスオン</t>
  </si>
  <si>
    <t>松山ケンイチ　ミムラ　宮川大輔　木南晴夏　光石研　りょう　椎名桔平　ほか何者かの通報から警察によって行われた三國邸の庭の発掘作業。だが出てきたのはいたずら描きの絵。その時の風太郎の追い詰められた表情を見た緑は風太郎への疑念に駆られ、風太郎の動向を探り始める。一方の風太郎は懸命に勉強し、着々と譲次らの信頼を得ていた。丁度その頃風太郎はかつての派遣仲間・枝野と再会。枝野と自分の境遇を重ね、友情にも似た感情を覚えるが、風太郎は枝野にある恐ろしい計画の実行を提案してーー。狩山俊輔原作/ジョージ秋山　　脚本/岡田惠和金子隆博日テレ　アックスオン</t>
  </si>
  <si>
    <t>松山ケンイチ　ミムラ　宮川大輔　木南晴夏　光石研　りょう　椎名桔平　(他)三國造船の社長の座についた風太郎。そんな折、桃子と瓜二つのホームレス・寛子と出会う。風太郎は母親孝行が出来なかった埋め合わせをするように大金を渡すがーー。一方、風太郎に揺さぶりをかける荻野。風太郎は荻野の追及をかわそうとある作戦をたてる。そして、もう一人の敵・健蔵を呼び出しーー。三國家にも変化が訪れていた・・。譲次の急死で精神状態がおかしくなった緑。風太郎は三國家をも乗っ取ったつもりだったがーー。大谷太郎【原作】ジョージ秋山　  【脚本】岡田惠和　金子隆博日テレ　アックスオン</t>
  </si>
  <si>
    <t>松山ケンイチ　ミムラ　宮川大輔　木南晴夏　光石研　りょう　椎名桔平　ほか加奈江に対する傷害容疑で逮捕された風太郎。荻野は風太郎を厳しく追及する。取調室では一言も発せず、茫然自失の風太郎は牢獄に倒れこむ。その時、ある記憶が甦る。それは初めて殺人を犯した幼いころの記憶。一人の老人との出会いであったーー。一方、緑は風太郎の生まれ故郷を訪ねていた。そこで緑は健蔵と偶然出会いーー。その頃、三國家で一人、風太郎を待つ茜…。茜は茜なりに風太郎を救おうと、ある覚悟を固めるーーー。狩山俊輔　【原作】ジョージ秋山　  【脚本】岡田惠和　金子隆博　日テレ　アックスオン</t>
  </si>
  <si>
    <t>松山ケンイチ　ミムラ　宮川大輔　木南晴夏　光石研　りょう　椎名桔平　ほか風太郎を愛しぬいた末に自殺した茜。哀れな茜の胸のうちを告げて風太郎を責める緑。風太郎にある想いが去来するーー。「ドライブしませんか?」と誘う風太郎に緑は困惑する。むかった先は風太郎が子供の頃の桃子との想い出の場所であった。その頃、伊豆屋の面々は驚愕の事実を突きつけられ、複雑な想いに駆られていた。追い詰められた保彦たちは、ある行動にでる・・・。一方、健蔵はある決意を胸に、三國家に向かっていたーー。大谷太郎【原作】ジョージ秋山  【脚本】岡田惠和金子隆博日テレ　アックスオン</t>
  </si>
  <si>
    <t>松山ケンイチ　ミムラ　宮川大輔　木南晴夏　光石研　りょう　椎名桔平　ほか死を決意し、ダイナマイトの導火線に火をつけた風太郎。なぜ彼は、自らの命を消そうとしているのか?チリチリと燃えていく導火線の炎を見ながら、風太郎はある夢を描き始めるーーー。大谷太郎【原作】ジョージ秋山　  【脚本】岡田惠和金子隆博　日テレ　アックスオン</t>
  </si>
  <si>
    <t>0810_NTV_水22</t>
  </si>
  <si>
    <t>OLにっぽん</t>
  </si>
  <si>
    <t>番組名OLにっぽん</t>
  </si>
  <si>
    <t>観月ありさ　阿部サダヲ　美波　井上芳雄　タン・ジャースー　ローラ・チャン　前田知恵　宮地真緒　稲葉さゆり　秋田真琴　小堀慎平　福井仁美　佐々木麻美　奥田崇　藤原寿之　猪岐英人　フービン　皆川猿時　モロ師岡　東幹久　浅野ゆう子神崎島子(観月ありさ)は、東慶商事の総務課に勤務する平穏無事な生活を送る普通のОL。しかし、「総務の仕事」を海外にアウトソーシングするという会社の急な経営方針の変更により、正社員の立場を脅かす危機に直面。中国からは仕事を学ぶ為に研修生が送りこまれるが、総務課員は研修生たちに冷たい対応。やがて、ある言葉がきっかけで、島子と琳(タン・ジャースー)がタイピングの勝負をすることになる。【演出】岩本仁志　大谷太郎　本間美由紀【脚本】中園ミホ【音楽】池頼広  【主題歌】SPEED『あしたの空』(SONIC　GROOVE)【プロデューサー】西憲彦　渡邉浩仁  【制作著作】日本テレビ  【制作協力】AXON</t>
  </si>
  <si>
    <t>観月ありさ　阿部サダヲ　美波　井上芳雄　タン・ジャースー　ローラ・チャン　  フービン(友情出演)前田知恵　皆川猿時　モロ師岡　　　東幹久　　浅野ゆう子他マニュアル作りが一向に進まない状況を見兼ねた弥生は、島子を琳と洋の教育係に任命し、業務の1つを1週間以内にマニュアル化できない場合、2人を中国に帰すと告げる。業務内容は総務課で最も面倒な「営業車の登録」。日本車の知識が全くない2人は、たった1日で車種や性能を暗記。そのスキルの高さとハングリー精神に周囲は驚いた。しかし、ある日、琳のバイトが会社にばれて、琳は弥生に首を言い渡される。【演出】岩本仁志　大谷太郎　本間美由紀【脚本】中園ミホ【音楽】池頼広  【主題歌】SPEED『あしたの空』(SONIC　GROOVE)【プロデューサー】西憲彦　渡邉浩仁  【制作著作】日本テレビ  【制作協力】AXON</t>
  </si>
  <si>
    <t>観月ありさ　阿部サダヲ　美波　井上芳雄　タン・ジャースー　ローラ・チャン　  フービン(友情出演)前田知恵　皆川猿時　モロ師岡　　　東幹久　　浅野ゆう子他【演出】岩本仁志　大谷太郎　本間美由紀【脚本】中園ミホ【音楽】池頼広  【主題歌】SPEED『あしたの空』(SONIC　GROOVE)【プロデューサー】西憲彦　渡邉浩仁  【制作著作】日本テレビ  【制作協力】AXON</t>
  </si>
  <si>
    <t>番組名OLにっぽん#4</t>
  </si>
  <si>
    <t>観月ありさ　阿部サダヲ　美波　井上芳雄　タン・ジャースー　ローラ・チャン　  フービン(友情出演)　前田知恵　皆川猿時　モロ師岡　東幹久　浅野ゆう子他総務課が島子(観月ありさ)と朝比奈(東幹久)の婚約話で盛り上がる中、琳と洋が作ったマニュアルにミスが見つかったと緊急連絡が入る。弥生(浅野ゆう子)は、中国アウトソーシングの阻止を狙う者がマニュアルを改竄したと考え、島子に犯人探しをするよう指示。しかし、島子はそれを拒否。代わりに小旗(阿部サダヲ)が犯人捜しをすることになるが、総務課の意外な人間が怪しいとマークされることになる。【演出】岩本仁志　大谷太郎　本間美由紀【脚本】中園ミホ【音楽】池頼広　  【主題歌】SPEED『あしたの空』(SONIC　GROOVE)【プロデューサー】西憲彦　渡邉浩仁　  【制作著作】日本テレビ　  【制作協力】AXON</t>
  </si>
  <si>
    <t>番組名OLにっぽん#5</t>
  </si>
  <si>
    <t>観月ありさ　阿部サダヲ　美波　井上芳雄　タン・ジャースー　ローラ・チャン　  フービン(友情出演)　前田知恵　皆川猿時　モロ師岡　東幹久　浅野ゆう子他島子(観月ありさ)は、弥生(浅野ゆう子)に社員の山村(鈴木浩介)を呼ぶよう指示される。山村は繁華街のクラブで泥酔し中国人ホステスに暴力を振るったとして店のオーナーが東慶商事に300万円の慰謝料を求めてきたのだ。弥生は問題が解決するまで山村を別室に隔離する事を決め、総務課員が順番で見張りをする事に・・・。山村は島子の同期でアウトソーシングの煽りをもろに受けた被害者だった。事態は意外な方向に・・・。【演出】岩本仁志　大谷太郎　本間美由紀【脚本】中園ミホ【音楽】池頼広　  【主題歌】SPEED『あしたの空』(SONIC　GROOVE)【プロデューサー】西憲彦　渡邉浩仁　  【制作著作】日本テレビ　  【制作協力】AXON</t>
  </si>
  <si>
    <t>観月ありさ　阿部サダヲ　美波　井上芳雄　タン・ジャースー　ローラ・チャン　  フービン(友情出演)前田知恵　皆川猿時　モロ師岡　　　東幹久　　浅野ゆう子他無茶ばかり押し付ける事で有名な食品二部の石松部長から総務部に、「肉の試食会」をやってくれという依頼が舞い込む。取引先のご機嫌取りという名目らしい…。島子(観月ありさ)はその依頼を断るが、朝比奈(東幹久)が石松部長に押され、総務部が引き受ける事に…。そんな朝比奈の情けない姿に部下は不平不満の声をぶつける。島子の計らいで試食会にこぎつけるのだが…。そこにはある事件が待っていた。【演出】岩本仁志　大谷太郎　本間美由紀【脚本】中園ミホ【音楽】池頼広  【主題歌】SPEED『あしたの空』(SONIC　GROOVE)【プロデューサー】西憲彦　渡邉浩仁  【制作著作】日本テレビ  【制作協力】AXON</t>
  </si>
  <si>
    <t>番組名OLにっぽん　7話</t>
  </si>
  <si>
    <t>観月ありさ　阿部サダヲ　美波　井上芳雄　タン・ジャースー　ローラ・チャン　  フービン(友情出演)前田知恵　皆川猿時　モロ師岡　　　東幹久　　浅野ゆう子他島子(観月ありさ)と朝比奈(東幹久)の婚約解消が皆に知れわたる中、弥生が総務課5名に各地方支社への異動の内示が出たと言い渡す。抗議する朝比奈を弥生は冷たく突き放す。翌日、朝比奈以外の4人が仕事をボイコット。島子は目の前の仕事をこなすべく、ひたすら働き続けた。まもなく、島子は弥生の指示で取り壊し間近の旧社屋に行く事に…。そこには島子の心の師であり、かつての上司・生田(小野武彦)がいて。【演出】岩本仁志　大谷太郎　本間美由紀【脚本】中園ミホ【音楽】池頼広  【主題歌】SPEED『あしたの空』(SONIC　GROOVE)【プロデューサー】西憲彦　渡邉浩仁  【制作著作】日本テレビ  【制作協力】AXON</t>
  </si>
  <si>
    <t>番組名OLにっぽん　8話</t>
  </si>
  <si>
    <t>観月ありさ　阿部サダヲ　美波　井上芳雄　タン・ジャースー　ローラ・チャン　  フービン(友情出演)　前田知恵　皆川猿時　モロ師岡　東幹久　浅野ゆう子　ほか地方支社への異動が迫る中、島子ら総務課員達はいきいきと仕事をしている。そんな中、エネルギー部が使用する予定のグラウンドがキャンセルになる。営業部と経理部の仲の悪さを目の当たりにした島子はキャンセルになったグラウンドを有効活用し社内運動会を提案する。小旗は島子に運動会など無駄でバカバカしいと一言。しかし、総務課員達は島子に賛同する。一方、弥生は突然、吐血し、入院することに…。【演出】岩本仁志　大谷太郎　本間美由紀【脚本】中園ミホ【音楽】池頼広　  【主題歌】SPEED『あしたの空』(SONIC　GROOVE)【プロデューサー】西憲彦　渡邉浩仁　  【制作著作】日本テレビ　  【制作協力】AXON</t>
  </si>
  <si>
    <t>観月ありさ　阿部サダヲ　美波　井上芳雄　タン・ジャースー　ローラ・チャン　  フービン(友情出演)前田知恵　皆川猿時　モロ師岡　　　東幹久　　浅野ゆう子他小旗は会社の金を横領して中国に逃亡した犯罪者だという怪文書が送りつけられ、騒然となる総務部。しかし、島子は皆の前でそれを否定する。一方、朝比奈の頑張りも報われず、総務課員達の地方支社異動が進む中、島子は野呂主任が書き溜めた野呂ノートを見て、  ある有料セミナーを開催する事を提案。結果は見事、成功。利益を生む「新総務課」を立ち上げる等と冗談で盛り上がる。その事が原因で、島子は更に窮地に追い込まれる。【演出】岩本仁志　大谷太郎　本間美由紀【脚本】中園ミホ【音楽】池頼広  【主題歌】SPEED『あしたの空』(SONIC　GROOVE)【プロデューサー】西憲彦　渡邉浩仁  【制作著作】日本テレビ  【制作協力】AXON</t>
  </si>
  <si>
    <t>番組名OLにっぽん最終回</t>
  </si>
  <si>
    <t>観月ありさ　阿部サダヲ　美波　井上芳雄　タン・ジャースー　ローラ・チャン　  フービン(友情出演)前田知恵　皆川猿時　モロ師岡　　　東幹久　　浅野ゆう子他島子は小旗がクビになった理由を本人に確かめる。しかし、小旗は本当の理由を告げずにごまかす。後日、島子と都留は弥生に退職願を提出。他の総務課員は、それぞれの地方支社行きを受け入れるのだった。そして、ついにマニュアル完成、中国人研修生達も帰国が決まると、総務課の解散式を行うことになるが、小旗が突然、皆の前から姿を消すのだった。【演出】岩本仁志　大谷太郎　本間美由紀【脚本】中園ミホ【音楽】池頼広  【主題歌】SPEED『あしたの空』(SONIC　GROOVE)【プロデューサー】西憲彦　渡邉浩仁  【制作著作】日本テレビ  【制作協力】AXON</t>
  </si>
  <si>
    <t>0810_NTV_木23</t>
  </si>
  <si>
    <t>夢をかなえるゾウ</t>
  </si>
  <si>
    <t>番組名スペシャルドラマ「夢をかなえるゾウ」</t>
  </si>
  <si>
    <t>['20', '22']</t>
  </si>
  <si>
    <t>小栗旬  古田新太  瀬戸朝香  阿部力  金田明夫  長谷川初範  田中要次  宇梶剛士  水川あさみ成功を夢見て自分を変えるため何かを始めても、三日坊主で終ってしまうダメサラリーマン野上耕平(小栗旬)の前に、ある朝突然現れた関西弁の奇妙な神様・ガネーシャ(古田新太)。  「世界中の偉人を育てたん、基本的にはワシやで」。言われるがままに契約を交わしたものの、この神様は耕平のアパートでたらふく食べて寝るだけ。史上最悪の師匠の雰囲気の中ようやく聞いた成功の課題は「靴を磨く」という意味不明な教えだった…。http://www.ytv.co.jp/yumezou/</t>
  </si>
  <si>
    <t>番組名木曜ナイトドラマ「夢をかなえるゾウ」</t>
  </si>
  <si>
    <t>水川あさみ  古田新太  小栗旬  佐戸井けん太  長谷川朝晴  大久保麻理子広告代理店の派遣社員・星野あすか(水川さみ)の前に、突然現れた関西弁の奇妙な神様・ガネーシャ(古田新太)。あすかは昨日25歳の誕生日だったにもかかわらず、勤め先社員の彼にフラれ、自宅のマンションが火災にあい、とりあえず入居したボロアパートで涙ながらに自らの幸せを願っていたのだ。世界の有名玉の輿婚をまとめたと言うガネーシャが最初に出した幸せの課題とは…?  スペシャル版とリンクして連ドラ版がスタート!http://www.ytv.co.jp/yumezou/</t>
  </si>
  <si>
    <t>水川あさみ  古田新太  橋本さとし  堀内敬子  柏原収史  佐戸井けん太「合コンで黙る」との意味不明課題をガネーシャ(古田新太)から課せられたあすか(水川あさみ)。あすかが席上で見事に不審人物と化している間、狙いを定めていた城嶋(弓削智久)にライバルのマヤ(矢吹春奈)が猛攻勢をかける。壊滅的な合コン状況の中、ようやく次の課題「合コンで全員を好きになる」を出すガネーシャ。よほど即効性のあるものとは思えない2つの課題だったが、その後の合コン展開に思いもよらぬ影響を及ぼし…http://www.ytv.co.jp/yumezou/</t>
  </si>
  <si>
    <t>水川あさみ　  古田新太　  柏原収史　  佐戸井けん太　  弓削智久　  阿南健治　http://www.ytv.co.jp/yumezou/</t>
  </si>
  <si>
    <t>水川あさみ  古田新太  柏原収史  佐戸井けん太  丸山智己  大久保麻理子今週の課題は、いい女になるための究極の教え「悪女になる」!  アタマでわかっていてもそうそうできない“悪い女”になるコツ教えます!  奔放であれば魅力的に見える、というわけではない“悪女”の真髄が明らかに!?  明日から使えるモテる極意が満載です!http://www.ytv.co.jp/yumezou/</t>
  </si>
  <si>
    <t>水川あさみ  古田新太  柏原収史  佐戸井けん太  丸山智己  阿南健治会社を事実上“クビ”になる危機に直面したあすか(水川あさみ)にガネーシャが出した課題は「人を笑わせる」。  深刻な時にナント能天気な…。しかし!この課題、恋に悩むアナタや最悪な人間関係に悩むアナタにとっても、スゴく重要な教えが詰まった課題なんです。とはいえ、「人を笑わせる」なんてそう簡単にはできない…とお考えの皆さんは、今回是非!自称“笑いの神さん”ガネーシャから、笑いの極意を盗んでいって下さい!http://www.ytv.co.jp/yumezou/</t>
  </si>
  <si>
    <t>水川あさみ  古田新太  生瀬勝久  柏原収史  佐戸井けん太  丸山智己今週のモテ課題は「持っている服を全部捨てる」。  今までの中で最強にムリめな課題…アナタもきっとそう思われたことでしょう。  そこで!今回ガネーシャ(古田新太)はスペシャル偉人を過去から召喚します。切り捨て名人・織田信長(生瀬勝久)。彼はあすか(水川あさみ)にこう言います。  「何かを選ぶためには、何かを捨てねばならんのじゃ」  恋愛で“選択する”難しさをどう乗り越えれば良いのか?が、今回のテーマです。http://www.ytv.co.jp/yumezou/</t>
  </si>
  <si>
    <t>水川あさみ  古田新太  生瀬勝久  佐戸井けん太  丸山智己  大久保麻理子先週あすか(水川あさみ)が決断したひとつの選択…高級物件・近藤(柏原収史)のプロポーズを断り猛烈に後悔の波が押し寄せる中、最後にガネーシャ(古田新太)が言い残した言葉「ボディガードせえや」。  本当にボディガードするわけでなく、コレは信長くん(生瀬勝久)に不意打ちにあったガネーシャの切羽詰った言い回し。どうやら次の課題に深く関係しているようですが…?  今週は、“人を好きになる”秘密に通じる課題です!http://www.ytv.co.jp/yumezou/</t>
  </si>
  <si>
    <t>水川あさみ  古田新太  佐戸井けん太  丸山智己  大久保麻理子25日クリスマスの夜に、ついにガネーシャ最後の課題が出される!    あすか(水川あさみ)の前から消えていなくなる時が近づいてきたガネーシャ(古田新太)に、掟破りの“課題返し”に出たあすか。それは、ガネーシャが課題をこなすまでは消えていなくならないようにとの理由からだった。  そんなあすかに、人に頼ってばかりいては幸せになれないと伝えるガネーシャ。残された時間でちゃんと成長したいと覚悟を決めたあすかは…http://www.ytv.co.jp/yumezou/</t>
  </si>
  <si>
    <t>0810_NTV_土21</t>
  </si>
  <si>
    <t>スクラップ・ティーチャー</t>
  </si>
  <si>
    <t>番組名スクラップ・ティーチャー～教師再生～</t>
  </si>
  <si>
    <t>中島裕翔　山田涼介　知念侑李　有岡大貴　(Hey!Say!JUMP)  加藤あい　上地雄輔　向井理  六角精児　升毅　内田紳一郎　藤本静　かねちくけんじ　  増田修一朗　ハンサム判治　平方元基　住谷念美  高畑岬　菊池風磨　中島健人　(ジャニーズJr.)  南野陽子　仲本工事　八嶋智人2年B組担任の杉虎之助は、赴任当初は情熱あふれる新人教師だった。しかし現状に飲み込まれ、今ではすっかりダメ教師の仲間入り。ただ一人学校に期待を持つ生徒・久坂は杉を信じ、希望を失わなかった。そんな時、突然謎の転校生、高杉・吉田・入江の3人が現れた!3人は「この学校のダメ教師をぶった切りにきた」と教師達に宣言する。果たして3人の転校生と久坂はダメ教師を変身させる事が出来るのか!?演出:南雲聖一水橋文美江　及川拓郎音楽:吉川慶  主題歌:「真夜中のシャドーボーイ」Hey!Say!JUMP  　　　　　(ジェイ・ストーム)製作著作:日本テレビ  制作協力:オフィスクレッシェンド</t>
  </si>
  <si>
    <t>中島裕翔　山田涼介　知念侑李　有岡大貴　(Hey!Say!JUMP)  加藤あい　上地雄輔　向井理  六角精児　升毅　内田紳一郎　藤本静　かねちくけんじ　  増田修一朗　ハンサム判治　平方元基　住谷念美  高畑岬　菊池風磨　中島健人　(ジャニーズJr.)  南野陽子　仲本工事　八嶋智人杉のクラスの大崎が万引きしたとの連絡が職員室に入る。職員会議で処分は高杉に一任され、「処分なし」との結果に杉は納得がいかない。以前にも万引きした事を聞き、杉は大崎を心配する。そして授業中に「万引きしよう」と書かれたメモが回されている事に気付いた杉。大崎の処分に生徒から疑問の声があがると、大崎は教室を飛び出してしまう。久坂と杉が後を追うが・・・。</t>
  </si>
  <si>
    <t>中島裕翔　山田涼介　知念侑李　有岡大貴　(Hey!Say!JUMP)  加藤あい　上地雄輔　向井理  六角精児　升毅　内田紳一郎　藤本静　かねちくけんじ　  増田修一朗　ハンサム判治　平方元基　住谷念美  高畑岬　菊池風磨　中島健人　(ジャニーズJr.)  南野陽子　仲本工事　八嶋智人学校の裏サイトに『A組の大魔王』というハンドルネームで生徒や教師を中傷する内容の書き込みが続出。生徒たちは裏サイトに振り回され、みな疑心暗鬼に。久坂に相談を受けた杉は犯人を捜し出そうと調査を始める。そんな中、高杉は犯人は教師の中にいると指摘。書き込みが職員室にいた人物しか知り得ない内容だった事から、滝も教師の中に犯人がいると確信し、高杉・吉田・入江に協力を依頼し、本格的に調べはじめる。演出:茂山佳則脚本:佐藤久美子音楽:吉川慶  主題歌:「真夜中のシャドーボーイ」Hey!Say!JUMP  　　　　　(ジェイ・ストーム)製作著作:日本テレビ  制作協力:オフィスクレッシェンド</t>
  </si>
  <si>
    <t>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毎年恒例の区立中学対抗マラソン大会が近づいた。生徒の選出に消極的な教師達とは対照的に杉は自分のクラスから選手を出す事を約束する。しかし生徒からはブーイングが起こる。そんな中、木丿内が自ら大会に出ると言い出し、早速練習を開始。久坂は走る事が苦手な木丿内を心配する。翌日、木丿内の母親から苦情の電話が入った為、練習をやめさせるようにと教頭からの指示が。生徒の気持ちを大切にしたいと杉は反論するが・・・。監督:佐久間紀佳脚本:江頭美智留　水橋文美江音楽:吉川慶　  主題歌:「真夜中のシャドーボーイ」Hey!Say!JUMP(ジェイ・ストーム)製作著作:日本テレビ　  制作協力:オフィスクレッシェンド</t>
  </si>
  <si>
    <t>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部員が2人だけのマンガ研究会が週末に開かれるマンガフェスタに参加したいと、顧問の豪徳寺に願い出る。2人では無理だと言われ、急きょ吉田が加わることになる。しかし豪徳寺は部活動には全く無関心。それどころかスポーツクラブやエステに時間を費やし非協力的。品川たちの熱意を知った高杉・入江・久坂そして杉や滝も手伝い始める。そんな中、豪徳寺に預けたはずのマンガの原稿が紛失してしまい・・・。演出:南雲聖一脚本:江頭美智留　水橋文美江音楽:吉川慶　  主題歌:「真夜中のシャドーボーイ」Hey!Say!JUMP  　(ジェイ・ストーム)製作著作:日本テレビ　  制作協力:オフィスクレッシェンド</t>
  </si>
  <si>
    <t>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毎年立候補者が出ない生徒会長選挙に、学校を良くしたいと久坂が立候補。また生徒会長をやるとは思えない金沢瑞貴も立候補し、選挙戦が始まった。杉は2人の立候補者を温かく見守る。しかし元気の無い金沢の様子に気付いた高杉は何かウラにあると推理。さらに、いつもはやる気の無い生徒会顧問のジョン崎田が意気揚々と選挙の準備をしている姿を不審に思う。そんな中、選挙準備の手伝いに来た杉が見たものとは!?演出:佐久間紀佳脚本:佐藤久美子  　　　水橋文美江音楽:吉川慶　  主題歌:「真夜中のシャドーボーイ」Hey!Say!JUMP  　(ジェイ・ストーム)製作著作:日本テレビ　  制作協力:オフィスクレッシェンド</t>
  </si>
  <si>
    <t>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久坂、高杉、吉田、入江そして滝は下校途中に偶然、沢渡と上野に会い、二人が付き合っている事を知る。そんな中、2-Bでは総合学習で一泊キャンプに行く事に決定。皆が準備をする中、沢渡が顔にアザを付け登校。理由を聞こうとした杉の手を払った勢いで、沢渡の拳が杉の顔にあたってしまい、暴力事件と誤解されてしまう。進路指導室で気さくに話す滝に沢渡は次第に心を開き、滝は2人の交際を応援すると約束するが・・・演出:南雲聖一脚本:江頭美智留音楽:吉川慶　  主題歌:「真夜中のシャドーボーイ」Hey!Say!JUMP  　(ジェイ・ストーム)製作著作:日本テレビ　  制作協力:オフィスクレッシェンド</t>
  </si>
  <si>
    <t>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八中の統廃合が区議会で話題となり、期末テストの成績が平均60点以上となれば、再検討される可能性があると榎戸校長が発言。2-Bでは諦めムードだったが、久坂達の呼びかけにより、皆で努力してみようという事に。早速、補習授業を受けられるように校長に訴え、更には自分たちで勉強会を開き、クラス一丸となって成績アップの為に努力し、期末テストに臨む。そして、テストの結果が発表されるが・・・。演出:佐久間紀佳脚本:佐藤久美子音楽:吉川慶　  主題歌:「真夜中のシャドーボーイ」Hey!Say!JUMP  　(ジェイ・ストーム)製作著作:日本テレビ　  制作協力:オフィスクレッシェンド</t>
  </si>
  <si>
    <t>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八嶋智人榎戸校長を殴ってしまった杉の処分の行方は・・・?  そして、統廃合を中止させるために、自分たちに何が出来るのかと考える久坂やクラスメイトの思いは教師たちに届くのか・・・?  そして、高杉、吉田、入江、吉田の3人は杉と、八中を救う事ができるのか?  演出:南雲聖一脚本:江頭美智留音楽:吉川慶　  主題歌:「真夜中のシャドーボーイ」Hey!Say!JUMP  　(ジェイ・ストーム)製作著作:日本テレビ　  制作協力:オフィスクレッシェンド</t>
  </si>
  <si>
    <t>0807_NTV_火22</t>
  </si>
  <si>
    <t>学校じゃ教えられない！</t>
  </si>
  <si>
    <t>番組名学校じゃ教えられない!</t>
  </si>
  <si>
    <t>深田恭子　谷原章介  仲里依紗　中村蒼　前田公輝　朝倉あき　法月康平　加藤みづき　柳沢太介  夏目鈴　森崎ウィン　柳生みゆ  伊藤蘭50年の伝統がある私立名門女子高に、5人の男子生徒が入学してきた!教師・舞の甘～い誘いに乗って社交ダンス部に入部すると、そこには学校で居場所をなくした5人の女子が。ダメダメ男子5人とハミダシ女子5人は無理やりながらも、舞の勢いに押されて、社交ダンスを始める。順調に見えた社交ダンス部だったが、ある出来事をきっかけに男子5人が、学校中を敵に回してしまう・・・【演出】　猪股隆一【脚本】　遊川和彦【音楽】　福島祐子　高見優【プロデューサー】　大平太　桑原丈弥　井上竜太　太田雅晴  【制作協力】　ホリプロ　5年D組  【製作著作】　日本テレビ</t>
  </si>
  <si>
    <t>深田恭子　谷原章介  仲里依紗　中村蒼　前田公輝　朝倉あき　法月康平　加藤みづき　柳沢太介  夏目鈴　森崎ウィン　柳生みゆ  伊藤蘭カップルになった女子からケチつけられ、文句たらたらの男子達。相手の永璃が恋人のマー君に首ったけで困っていた叶夢はカップルを変えようと提案する。そんな折、永璃はマー君が女のコにキスをしアパートに連れ込もうとするのを見てしまい、さらに「仕方なく付き合ってやった」と言われ大泣き。男子5人は永璃のリベンジのため、ある行動に出るが、そのイタズラがバレた5人はシャワー中に服を隠され裸で校内を走り回ることに・・【演出】猪股隆一【脚本】　遊川和彦【音楽】　福島祐子　高見優【プロデューサー】　大平太　桑原丈弥　井上竜太　太田雅晴  【制作協力】　ホリプロ　5年D組  【製作著作】　日本テレビ</t>
  </si>
  <si>
    <t>深田恭子　谷原章介  仲里依紗　中村蒼　前田公輝　朝倉あき　法月康平　加藤みづき　柳沢太介  夏目鈴　森崎ウィン　柳生みゆ  伊藤蘭レイ(加藤みづき)の妊娠を知り、秘密を共有することになった静也(前田公輝)は、レイに堅く口止めされたこともあり、困り果てる。誰にも相談できずに苦悩するレイと、困惑する静也のギクシャクした雰囲気に、他の部員たちは、ワケが分からないまま心配を募らせる。まもなく、2人の話を立ち聞きした叶夢(森崎ウィン)と永璃(仲里依紗)が、レイの妊娠を知り、他の部員たちにも伝わってしまい・・・。【演出】　木内健人【脚本】　遊川和彦【音楽】　福島祐子　高見優【プロデューサー】　大平太　桑原丈弥　井上竜太　太田雅晴  【制作協力】　ホリプロ　5年D組  【製作著作】　日本テレビ</t>
  </si>
  <si>
    <t>深田恭子　谷原章介  仲里依紗　中村蒼　前田公輝　朝倉あき　法月康平　加藤みづき　柳沢太介  夏目鈴　森崎ウィン　柳生みゆ  伊藤蘭家庭内暴力を繰り返す姉・聖子(高瀬友規奈)に信太郎(法月康平)は殺意を抱き始めていた。そんな折、校舎の屋上で『死にたい、誰か殺して』との落書きを見つけ、つい『殺してあげる』と書いてしまう。そのことが頭から離れなくなった信太郎は、他の部員からパートナーチェンジを申し込まれ簡単にOKを出す。この様子を見ていた真帆(夏目鈴)は突如退部を宣言し、信太郎もつられるように辞めると言ってしまう・・・。【演出】　石尾純　【脚本】　遊川和彦【音楽】　福島祐子　高見優【プロデューサー】　大平太　桑原丈弥　井上竜太　太田雅晴  【制作協力】　ホリプロ　5年D組  【製作著作】　日本テレビ</t>
  </si>
  <si>
    <t>深田恭子　谷原章介  仲里依紗　中村蒼　前田公輝　朝倉あき　法月康平　加藤みづき　柳沢太介  夏目鈴　森崎ウィン　柳生みゆ  伊藤蘭影山(伊藤蘭)が男女交際を禁止する新しい校則が出来たと発表。  舞(深田恭子)は氷室(谷原章介)と交渉し、今回のダンス大会で一組でも入賞者が出れば社交ダンス部を正式な部と認め、新しい校則も廃止するとの約束を取り付ける。そんな中、真面目に練習しない部員たちを見た瞳(朝倉あき)がイライラを募らせる。クビをひねった一樹(中村蒼)は放課後に瞳を尾行し、瞳の秘密を知ってしまう・・・。【演出】　猪股隆一【脚本】　遊川和彦【音楽】　福島祐子　高見優【プロデューサー】　大平太　桑原丈弥　井上竜太　太田雅晴  【制作協力】　ホリプロ　5年D組  【製作著作】　日本テレビ</t>
  </si>
  <si>
    <t>深田恭子　谷原章介  仲里依紗　中村蒼　前田公輝　朝倉あき　法月康平　加藤みづき　柳沢太介  夏目鈴　森崎ウィン　柳生みゆ  伊藤蘭舞(深田恭子)が正式に部として認可された社交ダンス部初の発表会を9月の文化祭でやると宣言。それが創作ダンスだと聞いた部員達は文句を言いながらも練習を始める。そんな中、一樹(中村蒼)と瞳(朝倉あき)は、よそよそしい雰囲気の叶夢(森崎ウィン)と永璃(仲里依紗)に気付いた。叶夢は永璃とラブホテルに入ったものの「好きなのか、やりたいだけなのか」と聞かれてフリーズし、キスさえせずに出てしまったのだった。【演出】　木内健人【脚本】　遊川和彦【音楽】　福島祐子　高見優【プロデューサー】　大平太　桑原丈弥　井上竜太　太田雅晴  【制作協力】　ホリプロ　5年D組  【製作著作】　日本テレビ</t>
  </si>
  <si>
    <t>深田恭子　谷原章介  仲里依紗　中村蒼　前田公輝　朝倉あき　法月康平　加藤みづき　柳沢太介  夏目鈴　森崎ウィン　柳生みゆ  伊藤蘭叶夢(森崎ウィン)に未練を残したまま、一樹(中村蒼)は瞳(朝倉あき)に交際を申し込んだ。叶夢を諦めるという言葉を信じた瞳はOKの返事をするが、一樹は永璃(仲里依紗)とラブラブな叶夢の事が気になって仕方がない。瞳はそんな一樹を複雑な表情で眺めていた。一方、舞(深田恭子)の提案で社交ダンス部は夏合宿をする事に。だが、一樹は練習そっちのけで恋の相談を持ちかけてくるメンバーにイライラを募らせ、ついに!?【演出】　石尾純【脚本】　遊川和彦【音楽】　福島祐子　高見優【プロデューサー】　大平太　桑原丈弥　井上竜太　太田雅晴  【制作協力】　ホリプロ　5年D組  【製作著作】　日本テレビ</t>
  </si>
  <si>
    <t>深田恭子　谷原章介  仲里依紗　中村蒼　前田公輝　朝倉あき　法月康平　加藤みづき　柳沢太介  夏目鈴　森崎ウィン　柳生みゆ  伊藤蘭叶夢(森崎ウィン)の持っていたTバックが見つかったことから、舞(深田恭子)と社交ダンス部が窮地に。さらにヤケ酒をあおって、氷室(谷原章介)にお姫さまダッコされている写真が校内に掲示されたため、舞は保護者や卒業生からの突き上げで懲戒解雇の瀬戸際に立たされる。舞のピンチを知った一樹(中村蒼)と瞳(朝倉あき)は、影山(伊藤蘭)に直接謝ろうと決意し、チャンスをうかがうが・・・。【演出】　日暮　謙【脚本】　遊川和彦【音楽】　福島祐子　高見優【プロデューサー】　大平太　桑原丈弥　井上竜太　太田雅晴  【制作協力】　ホリプロ　5年D組  【製作著作】　日本テレビ</t>
  </si>
  <si>
    <t>深田恭子　谷原章介  仲里依紗　中村蒼　前田公輝　朝倉あき　法月康平　加藤みづき　柳沢太介  夏目鈴　森崎ウィン　柳生みゆ  伊藤蘭文化祭が間近に迫ったある日、社交ダンス部の衣装などが何者かにメチャクチャにされていた。犯人は生徒会の夏芽(三浦葵)達らしいのだが、これを見た瞳(朝倉あき)は、かつて夏芽にキスを迫られて断わった事が原因ではないかと明かす。舞(深田恭子)や部員は発表会が出来るよう活動するが、影山(伊藤蘭)や生徒達の反応は冷たい。瞳は社交ダンス部を救うためには自分が犠牲になるしかないと決意し、生徒会室に向かうが・・・。【演出】　木内健人【脚本】　遊川和彦【音楽】　福島祐子　高見優【プロデューサー】　大平太　桑原丈弥　井上竜太　太田雅晴  【制作協力】　ホリプロ　5年D組  【製作著作】　日本テレビ</t>
  </si>
  <si>
    <t>深田恭子　谷原章介  仲里依紗　中村蒼　前田公輝　朝倉あき　法月康平　加藤みづき　柳沢太介  夏目鈴　森崎ウィン　柳生みゆ  伊藤蘭一樹(中村蒼)の「学校を辞めたい」という言葉に、社交ダンス部の部員たちはア然となる。一樹は、「来年、第一志望の高校にチャレンジしたい」と本気。翌日、舞(深田恭子)に退学届を提出した一樹は「周りの人を幸せにしたいから、まず自分が幸せになる」と言い切る。だが、報告を受けた影山(伊藤蘭)は、何としても一樹を説得して引き止めるよう、舞に指示するが・・・。【演出】　猪股隆一【脚本】　遊川和彦【音楽】　福島祐子　高見優【プロデューサー】　大平太　桑原丈弥　井上竜太　太田雅晴  【制作協力】　ホリプロ　5年D組  【製作著作】　日本テレビ</t>
  </si>
  <si>
    <t>0807_NTV_水22</t>
  </si>
  <si>
    <t>正義の味方</t>
  </si>
  <si>
    <t>番組名正義の味方</t>
  </si>
  <si>
    <t>志田未来　山田優　向井理　本郷奏多　滝沢沙織　徳井優　石井美絵子　西内まりや　入江甚儀　佐野史郎　田中好子「姉は悪魔だ!」中田容子は一見幸せそうに青春を謳歌する高校1年生。しかし容子には「やられたらやり返す、やられなくてもやり返す」をモットーとする恐ろしい姉・槇子がいた。槇子は政務省に勤め、そのオーラを放つ美貌から職場では高嶺の花であり、容子の同級生からは憧れの的なのだ。幼い頃からパシリや鬱憤晴らしの道具として扱われてきた容子は、今日も姉の指令に振り回され、危険な目に・・・。【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</si>
  <si>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志田未来　山田優　向井理　本郷奏多　滝沢沙織　徳井優　石井美絵子　西内まりや　入江甚儀　佐野史郎　田中好子「世界を回しているのは、自分の姉に違いない」妹・容子はそう思っていた。相手はエリート官僚の良川直紀。そして容子に新たな指令が!良川を徹底調査しろというのだ。良川を尾行し始めた容子は、周囲に怪しまれながらも、調査開始!同じ職場なんだから自分でしらべれば?と反論するも「あたしを誰だと思ってんの?中田槇子よ!」と一蹴。しかし、そんな容子もある事に気が付いてしまったのだ!!【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</si>
  <si>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志田未来　山田優　向井理　本郷奏多　滝沢沙織　徳井優　石井美絵子　西内まりや　入江甚儀　佐野史郎　田中好子容子の努力の甲斐あって、槇子と直紀の交際が順調に進む中、ちょっと変った趣味のある槇子は長州小力の大ファンに。ファンクラブ会員限定のDVDをゲットするように厳令された容子は500枚もの葉書を書くが外れてしまう。だが陸の父親がTV局に勤めており、マネージャーを紹介してもらう事に。やっと手配してもらったDVDを槇子の勤務先に送ってしまったとわかり、職場でバレないように郵便を食い止める様にとの指令が・・・【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</si>
  <si>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志田未来　山田優　向井理　本郷奏多　滝沢沙織　徳井優　石井美絵子　西内まりや　入江甚儀　佐野史郎　田中好子五郎が若い女性と会っている所を目撃してしまった容子。一方、槇子の職場では良川が海外転勤と噂が流れる。海外赴任をきっかけに結婚する男が多いと知った槇子はプロポーズされる為のレストラン探しを容子に命じる。家庭崩壊を心配する容子は槇子に相談するが、逆にプロポーズしたくなる弁当作りまで命じられる。さらに容子は五郎の会社を訪ねると一週間の有給を取っていた事を知る。【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</si>
  <si>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志田未来　山田優　向井理　本郷奏多　滝沢沙織　徳井優　石井美絵子　西内まりや　入江甚儀　佐野史郎　田中好子槇子と直紀の結婚が決まり、直紀の両親が中田家を訪れるなど、順調に結婚準備が進んでいると思われたが、デートから帰ってきた槇子は突然結婚をやめると言い出した。容子は槇子の本性がバレたのではないかと心配していると、偶然直紀と図書館で出会う。直紀は破談の原因は自分にあり槇子は悪くないと言う。容子は理解出来ず、槇子に原因が無いなら、自分に原因があるのではーと悩む事に・・・。【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</si>
  <si>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志田未来　山田優　向井理　本郷奏多　滝沢沙織　徳井優　石井美絵子　西内まりや　入江甚儀　佐野史郎　田中好子直紀と一緒にドンボへ行かず、実家に残った槇子は良川家から昼食に呼ばれた。槇子の命令で容子も一緒に行く羽目になるが、嫁と姑の応酬の気が気でない。まもなく、直紀が国際会議に出席する為、急遽一時帰国する事に。容子はやっと自由になれると思ったところに、槇子から電話で直紀の好きなチキンカレーを作っておくようにとの指令から、大変なことに・・・。【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</si>
  <si>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志田未来　山田優　向井理　本郷奏多　滝沢沙織　徳井優　石井美絵子　西内まりや　入江甚儀　佐野史郎　田中好子槇子が結婚し、容子は自由になれたのも束の間、食料品の買い出しなどを命じられる、姑の里美は留守中のマンションに合鍵を使って入ると、溜まったゴミ、中身が入っていない冷蔵庫や店屋物の食器などに愕然とする。里美が居ない間にやって来た容子が食料品を仕舞い、部屋を片付けたお陰で、帰宅した槇子は待っていた里美と克夫の前で命拾いする。槇子は里美に良川家の嫁として仕込むと宣言されて、イライラを募らせる・・・。【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</si>
  <si>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志田未来　山田優　向井理　本郷奏多　滝沢沙織　徳井優　石井美絵子　西内まりや　入江甚儀　佐野史郎　田中好子槇子は里美に呼び出され、良川家の法事の準備を言い付けられる。槇子はいつもの様に容子に全てをやっておくように命令。更に親戚のリサーチまで命じる。また良川家・中田家の両親と二世帯住宅の話も両家の思い違いであることが発覚!容子はここでも両家の間に挟まれてしまう。そしていよいよ法事当日、気難しい叔母の美恵子も現れるなか、槇子は容子のアシストもあり滞りなく嫁としての務めを果たそうとするのだが・・・。【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</si>
  <si>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志田未来　山田優　向井理　本郷奏多　滝沢沙織　徳井優　石井美絵子　西内まりや　入江甚儀　佐野史郎　田中好子結婚25周年記念に五郎が春子に温泉旅行をプレゼント。容子も一緒に3人で行く事に。パリへ新婚旅行に行く予定だった槇子は、直紀の仕事の都合でキャンセルになり、槇子も五郎達と一緒に温泉に行く事にする。直紀も当日都合をつけて合流。容子はここでも二人がゴルフに行く時にはキャディーをさせられる。夜は楽しみにしていたスッポン料理だったが、直紀の上司に遭遇し食事をする事に。槇子はスッポンを食べそこね大激怒し・・・【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</si>
  <si>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志田未来　山田優　向井理　本郷奏多　滝沢沙織　徳井優　石井美絵子　西内まりや　入江甚儀　佐野史郎　田中好子槇子が実家に戻ってきてしまい、直紀は冷却期間が必要だと、二人の溝は深まるばかり。そして容子は引っ越してしまう陸になかなか思いを伝えられないままでいた。仕事を休んでいる槇子に着替えを取って来るように命じられた容子はマンションで直紀に会ってしまう。直紀は体調が悪い為、仕事を休んでいると思い槇子を心配している様子。しかし中田家と良川家が別居をめぐり更に険悪に。容子は2人の仲を修復しようと作戦を練る。【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</si>
  <si>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0807_NTV_土21</t>
  </si>
  <si>
    <t>ヤスコとケンジ</t>
  </si>
  <si>
    <t>番組名ヤスコとケンジ</t>
  </si>
  <si>
    <t>松岡昌宏、広末涼子、多部未華子、大倉忠義(関ジャニ∞)  山口紗弥加、内山信二、渡部豪太、東亜優、小嶋陽菜、RIKIYA、HIRO(安田大サーカス)、嶋大輔、櫻井淳子　ほか高校に通う沖ヤスコ(多部未華子)の最大の悩みは12歳年上の兄・ケンジ(松岡昌宏)の事。10年前に両親は他界しケンジとヤスコは、兄妹二人暮らし。親代わりのケンジはヤスコに関する事すべてに口やかましく干渉する。ある日ヤスコは登校中に偶然ぶつかった超イケメンの椿純(大倉忠義)に一目ぼれ。純の姉のエリカ(広末涼子)にお茶とケーキをご馳走になり、純からひまわりの花をプレゼントされたヤスコは、舞い上がるが・・大谷太郎原作:「ヤスコとケンジ」アルコ(集英社「別冊マーガレット」)  脚本:山浦雅大大島ミチル</t>
  </si>
  <si>
    <t>松岡昌宏、広末涼子、多部未華子、大倉忠義(関ジャニ∞)  山口紗弥加、内山信二、渡部豪太、東亜優、小嶋陽菜、RIKIYA、HIRO(安田大サーカス)、嶋大輔、櫻井淳子　ほかエリカ(広末涼子)がケンジ(松岡昌宏)を思い続けてきたと知ったヤスコ(多部未華子)は、ある作戦を立てる。それはケンジとエリカを相思相愛にする事。そうすれば、ヤスコも晴れて純(大倉忠義)と付き合える、と考えたのだ。ヤスコは、エリカにケンジと付き合って欲しい、と頼み込むが、ケンジと電話で話したとたん、エリカは豹変してしまい、失敗。そこでヤスコはエリカを家政婦に変装させケンジに接近させる方法を思いつく―演出:大谷太郎原作:「ヤスコとケンジ」アルコ(集英社「別冊マーガレット」)  脚本:渡辺雄介大島ミチル</t>
  </si>
  <si>
    <t>松岡昌宏、広末涼子、多部未華子、大倉忠義(関ジャニ∞)  山口紗弥加、内山信二、渡部豪太、東亜優、小嶋陽菜、大浦龍宇一、佐藤江梨子、高橋惠子、嶋大輔、櫻井淳子　ほか　ケンジが叔母の文江の紹介で、なんとお見合いをすることに。お見合い相手の愛は、ケンジのことを気に入り、家に出入りするようになる。美人でスタイル抜群、おまけに料理上手の愛の出現に、エリカはもちろん、ヤスコも心穏やかではない。まもなく、エリカは、ケンジを賭けて愛と料理対決をするが、あっさり敗北。エリカがケンジから身を引くと宣言する中、ヤスコもケンジの幸せを考え、ある計画を実行する――演出:長沼誠原作:「ヤスコとケンジ」アルコ(集英社「別冊マーガレット」)  脚本:大石哲也大島ミチル</t>
  </si>
  <si>
    <t>松岡昌宏、広末涼子、多部未華子、大倉忠義(関ジャニ∞)  山口紗弥加、内山信二、渡部豪太、東亜優、小嶋陽菜、RIKIYA、HIRO(安田大サーカス)、嶋大輔、櫻井淳子　ほかヤスコは、純の誕生日が自分の両親の命日と同じ日だと知る。その日はケンジと墓参りに行く予定で、せめてプレゼントだけでもと思ったヤスコは、内緒でエリカの店でバイトを始める。そんな中、バイトのことを知って怒鳴り込んできたケンジの話から、ヤスコの誕生日も純と同じだったということが明らかに。自分の誕生日のことを何も言わなかったヤスコが気にかかり、エリカは渋谷を訪ねて事情を聞くが・・・演出:長沼誠原作:「ヤスコとケンジ」アルコ(集英社「別冊マーガレット」)  脚本:山浦雅大大島ミチル</t>
  </si>
  <si>
    <t>松岡昌宏、広末涼子、多部未華子、大倉忠義(関ジャニ∞)  山口紗弥加、内山信二、渡部豪太、東亜優、小嶋陽菜、  安田章大(関ジャニ∞)嶋大輔、櫻井淳子　ほか大学の推薦試験が近付いた純は、勉強の日々。純が予備校の夏期講習に行っていると知ったヤスコは、告白するチャンスとばかり同じ予備校に通い始める。ケンジはヤスコがようやく勉強をする気になった、と大喜び。そんな中、ヤスコは純から、同級生の山田幹夫を紹介される。幹夫は、何をやらせても自分より上にいく純がねたましくてたまらない。ヤスコと純が一緒にいるのを見かけた幹夫は、ヤスコを自分のものにしようと動き始め――演出:大谷太郎原作:「ヤスコとケンジ」アルコ(集英社「別冊マーガレット」)  脚本:渡辺雄介大島ミチル</t>
  </si>
  <si>
    <t>松岡昌宏、広末涼子、多部未華子、大倉忠義(関ジャニ∞)  山口紗弥加、内山信二、渡部豪太、東亜優、小嶋陽菜、RIKIYA、HIRO(安田大サーカス)、嶋大輔、櫻井淳子　ほかケンジの生き方を学びたいと、純が見習い志願でやってくる。大喜びのヤスコだが、その一方でアジダスは、純に仕事を取られるのではないかと気が気ではない。まもなく、かおりが、男とデートを重ねていることが分かる。かおりとは幼なじみで、密かに恋していたアジダスは、自棄になり暴力沙汰を起こす。ケンジは、アジダスが大事な利き腕を怪我したことを叱責する。そんな中、かおりの相手の男の悪辣な正体を知ったアジダスは――。演出:本間美由紀原作:「ヤスコとケンジ」アルコ(集英社「別冊マーガレット」)  脚本:山浦雅大大島ミチル</t>
  </si>
  <si>
    <t>松岡昌宏、広末涼子、多部未華子、大倉忠義(関ジャニ∞)  山口紗弥加、内山信二、渡部豪太、東亜優、小嶋陽菜、RIKIYA、ザ・たっち  小木茂光、嶋大輔、櫻井淳子　ほか『桜葉れいかの正体は、元暴走族総長だ』との情報がネット上に流れる。優紀子は、ゴシップ紙の記者にその証拠写真を突き付けられ、真相を明かすよう迫られる。ヤスコは、純から、エリカを“桜葉れいか”に仕立てて危機を乗り切ろうというアイデアをもらい、ケンジを説得。エリカは記者の目前で、見事に“桜葉れいか”を演じきる。ところが、突然、青田に呼び出されたエリカは、ケンジを盗撮したビデオを見せられ――。演出:長沼誠原作:「ヤスコとケンジ」アルコ(集英社「別冊マーガレット」)  脚本:渡辺雄介大島ミチル</t>
  </si>
  <si>
    <t>松岡昌宏、広末涼子、多部未華子、大倉忠義(関ジャニ∞)  山口紗弥加、内山信二、渡部豪太、東亜優、小嶋陽菜、嶋大輔、櫻井淳子、夏八木勲　他漫画家を辞めた後、ケンジはアルバイトをしてみるものの、失敗続きで上手くいかない。そんな中、渋谷の計らいで、屋台のラーメン屋を始めることに。エリカやかおりのフォローもあって順調にまわり始める。そんな矢先、ケンジは、モスとアジダスが遊びで書いたマンガ原稿を発見。二人の未練を断ち切る為に、あえて仕事道具を全て燃やしてしまう。だが、元気のないケンジを気遣い、ヤスコは桜葉れいか復活に向けて動き始める。演出:大谷太郎原作:「ヤスコとケンジ」アルコ(集英社「別冊マーガレット」)  脚本:山浦雅大大島ミチル</t>
  </si>
  <si>
    <t>松岡昌宏、広末涼子、多部未華子、大倉忠義(関ジャニ∞)  山口紗弥加、内山信二、渡部豪太、東亜優、小嶋陽菜、嶋大輔、櫻井淳子  長野博　夏八木勲　ほかエリカと純の父親・享が現れる。享は、エリカに縁談を薦め、純には海外で留学するよう指示する。だが、ケンジたちと過ごす時間の楽しさを知った純は、なかなか留学に踏み切れない。これに気付いた享は、ヤスコに、純とヤスコとは住む世界が違うと告げ、さらに、ケンジの力になるとの交換条件を付けて、純の背中を押して欲しい、と頼み込む。純の将来を思って下したヤスコの決断はーーー演出:本間美由紀原作:「ヤスコとケンジ」アルコ(集英社「別冊マーガレット」)  脚本:大石哲也大島ミチル</t>
  </si>
  <si>
    <t>松岡昌宏、広末涼子、多部未華子、大倉忠義(関ジャニ∞)  山口紗弥加、内山信二、渡部豪太、東亜優、小嶋陽菜、RIKIYA、嶋大輔、櫻井淳子長野博、夏八木勲　ほかエリカの告白を聞いたケンジだが、答えを言う前に、急病で卒倒してしまう。返事は先延ばしになるが、周囲の人間は楽観的。エリカもデートの妄想など始めるが、渋谷はどこかいぶかしげな様子。一方、カップルになったヤスコと純は、ケンジに恋愛十カ条を押し付けられる。それは、同じ夕日を見るな!、目を合わすのは3秒までなど、非常に厳しいもので、ヤスコは猛反発。兄弟喧嘩が勃発する。そんななか告白の返答日がやってきて・・演出:大谷太郎原作:「ヤスコとケンジ」アルコ(集英社「別冊マーガレット」)  脚本:山浦雅大大島ミチル</t>
  </si>
  <si>
    <t>0804_NTV_火22</t>
  </si>
  <si>
    <t>おせん</t>
  </si>
  <si>
    <t>番組名おせん</t>
  </si>
  <si>
    <t>蒼井優  内博貴  杉本哲太・向井理・鈴木蘭々・工藤里紗  森田彩華・奥村知史・宅間孝行・渡辺いっけい  余貴美子・由紀さおり  松方弘樹東京・下町にある老舗料亭「一升庵」。一流の味ともてなしと名高い料亭で、時代に流されない料理を学ぶのだ!と意気込む若き料理人・江崎ヨシ夫(内博貴)だったが、そこの女将・おせん(蒼井優)は大酒飲みの天然ボケ。しかも一升庵の板場のセオリーは、手間のかかる非効率なことばかり。ある日、常連客からカリスマ料理研究家との料理対決を持ちかけられたおせん。「まかない料理」を作ってくれればいいと言われるが・・・。【演出】南雲聖一【脚本】大石静【音楽】菅野祐悟  【主題歌】「踊れ」Micro(ユニバーサルミュージック株式会社)【製作著作】日本テレビ  【制作協力】オフィスクレッシェンド</t>
  </si>
  <si>
    <t>蒼井優  内博貴・杉本哲太  向井理・鈴木蘭々・工藤里紗・森田彩華・奥村知史  宅間孝行・渡辺いっけい・余貴美子  由紀さおり一升庵に戻ってきた江崎は、給料5万でこきつかわれる日々。そんな中おせんの母・千代が一升庵に帰ってきた。毎年恒例の味噌作りをやろうというのだ。一年分の味噌仕込みという大量の大豆の選別係に、おせんは江崎を任命する。大変な作業にうんざり気味の江崎は、高校の先輩・岡本にその話をする。岡本は実家の祖父母が毎年仲良く作る手作り味噌を送ってもらっていたものの、妻と食事を一緒にすることもない生活を送っていた・・・演出:南雲聖一原作:「おせん」きくち正太(講談社・イブニングKC)  脚本:神ひとえ音楽:菅野祐悟  主題歌:「踊れ」Micro(ユニバーサルミュージック株式会社)  エンディングテーマ:「恋詩ーコイウター」タッキー&amp;翼(avex　trax製作著作:日本テレビ  制作協力:オフィスクレッシェンド</t>
  </si>
  <si>
    <t>蒼井優  内博貴　  杉本哲太　向井理　鈴木蘭々  工藤里紗　森田彩華　奥村知史  渡辺いっけい　余貴美子　  由紀さおり一升庵にかかる「とろろ飯」ののぼり。おせんをはじめ誰もそののぼりを立てる理由を知らない。ある日、江崎は飲み屋で「タコ引きの竜」と名乗る男に出会う。その男はもともと一升庵に勤めていたが、おせんの母・千代のせいで一升庵を追い出されたのだという。おせんは、一枚の古い写真に千代と竜が写っていることから、自分の父親かも知れないと思い、江崎に相談して竜を探しに行くが・・・。【演出】久保田充【原作】「おせん」きくち正太(講談社・イブニングKC)  【脚本】神ひとえ【音楽】菅野祐悟  【主題歌】「踊れ」Micro(ユニバーサルミュージック株式会社)  【エンディングテーマ】「恋詩ーコイウター」タッキー&amp;翼(avex　trax)【製作著作】日本テレビ  【制作協力】オフィスクレッシェンド</t>
  </si>
  <si>
    <t>蒼井優　  内博貴　  杉本哲太　向井理　鈴木蘭々  森田彩華　奥村知史　宅間孝行  渡辺いっけい　余貴美子すき焼きを楽しむ一升庵のメンバーの前に現れ「すき焼きは不細工な料理」と言い切る男・台場建二。彼は商業ビルのプランナーで、一升庵に2号店を出さないかとおせんに提案する。その話を聞き2号店が出来ればオレも包丁くらい握れるようなるかも・・・と淡い期待を抱く江崎だったが、おせんと共に話を聞いた清二はピシャリとその話を断るのだった。諦め切れない台場は江崎を使っておせんに2号店の話を受け入れるよう企む・・・。【演出】茂山佳則【脚本】高橋麻紀  【原作】「おせん」きくち正太(講談社・イブニングKC)【音楽】菅野祐悟  【主題歌】「踊れ」Micro(ユニバーサルミュージック株式会社)  【エンディングテーマ】「恋詩ーコイウター」タッキー&amp;翼(avex　trax)【製作著作】日本テレビ  【制作協力】オフィスクレッシェンド</t>
  </si>
  <si>
    <t>蒼井優　内博貴　  杉本哲太　向井理　鈴木蘭々　  工藤里紗　森田彩華　奥村知史  宅間孝行　渡辺いっけい　余貴美子  松方弘樹木下が娘一家と一緒に暮らす事になったのだが、古い日本家屋を取り壊し新築の家を建てると娘が主張しているという。女大工の丁子は、ひいじいさんが建てた木下の家を「仕立て直し」する事を夢見ていたので、その話に激怒。さらに、娘・カンナに新築を持ちかけた住宅メーカーは悪徳業者というウワサもあり、一升庵のメンバーは木下を案じおせんに訴える。住宅メーカーに時代後れだとののしられる丁子をみておせんは立ち上がる・・・【演出】南雲聖一【脚本】白金カナ  【原作】「おせん」きくち正太(講談社・イブニングKC)【音楽】菅野祐悟  【主題歌】「踊れ」Micro(ユニバーサルミュージック株式会社)  【エンディングテーマ】「恋詩ーコイウター」タッキー&amp;翼(avex　trax)【製作著作】日本テレビ  【制作協力】オフィスクレッシェンド</t>
  </si>
  <si>
    <t>蒼井優  内博貴　  杉本哲太　向井理　鈴木蘭々  工藤里紗　森田彩華　奥村知史  渡辺いっけい  余貴美子おせんにお見合いの話が!相手は、大学の准教授・千堂保。文武両道、容姿端麗の好青年だ。「自分は一升庵の女将だから」と躊躇するおせんだったが、普通の女の子として楽しんだらいいとシズに背中を押され、結局千堂と会うことに。留吉は、おせんの結婚なんて絶対ダメ!と江崎を連れて千堂のアラ探しを試みる。そんな周りの心配をよそにデートを重ねる2人。そんな中、千堂がおせんの女将姿を見たいと一升庵にやってくる・・・。【演出】久保田充【脚本】高橋麻紀  【原作】「おせん」きくち正太(講談社・イブニングKC)【音楽】菅野祐悟  【主題歌】「踊れ」Micro(ユニバーサルミュージック株式会社)  【エンディングテーマ】「恋詩ーコイウター」タッキー&amp;翼(avex　trax)【製作著作】日本テレビ  【制作協力】オフィスクレッシェンド</t>
  </si>
  <si>
    <t>蒼井優  内博貴  杉本哲太　向井理　鈴木蘭々  工藤里紗　森田彩華　奥村知史  渡辺いっけい　余貴美子ある日、江崎が味噌蔵で謎の甕を発見。それは「塩麹」。江崎はおせんにこれを使って一升庵の看板料理を開発しようと提案。日々料理人として無邪気に成長するかのように見える江崎に、留吉はあせっていた。留吉は一人酒を呑みに出かけた店で一升庵の板前ともてはやされ、仕舞いには客に料理を振舞ってしまう。それを知った清二は激怒し、留吉はけじめをつけると一升庵を辞めてしまう。おせんは止めもせず塩麹に夢中になるが・・・。【演出】南雲聖一  【脚本】高橋麻紀  【原作】「おせん」きくち正太(講談社・イブニングKC)【音楽】菅野祐悟  【主題歌】「踊れ」Micro(ユニバーサルミュージック)  【エンディングテーマ】「恋詩ーコイウター」タッキー&amp;翼(avex　trax)【製作著作】日本テレビ  【制作協力】オフィスクレッシェンド</t>
  </si>
  <si>
    <t>蒼井優  内博貴　  杉本哲太　向井理　鈴木蘭々　  工藤里紗　森田彩華　奥村知史  渡辺いっけい　余貴美子祭りで200人分の料理を振舞う一升庵の大イベント。メインはテル子のワラ炊き「お結び」。ある日、テル子の同級生でグルメ雑誌記者の藤木が訪れる。ワラ炊きご飯を食べたいというのだ。雑誌には載せないと約束したが、その日以来ご飯だけを求める客が殺到。ワラが足りなくなり、一升庵は営業できなくなるばかりかお祭りの仕出しも難しくなった。おせんはテル子にまでワラにこだわるのは「時代遅れ」だと言われ姿を消す・・・。【演出】茂山佳則【脚本】高橋麻紀  【原作】「おせん」きくち正太(講談社・イブニングKC)【音楽】菅野祐悟  【主題歌】「踊れ」Micro(ユニバーサルミュージック)  【エンディングテーマ】「恋詩ーコイウター」タッキー&amp;翼(avex　trax)【製作著作】日本テレビ  【製作協力】オフィスクレッシェンド</t>
  </si>
  <si>
    <t>蒼井優  内博貴  杉本哲太　向井理　鈴木蘭々  工藤里紗　森田彩華　奥村知史  宅間孝行　渡辺いっけい　余貴美子  由紀さおりおせんが殴打事件を起こした!馴じみの乾物屋の息子が作る手間が全く違う「本枯節」と「荒節」の区別は客には分からないと言い切り、思わず手が出てしまったのだ。その店の仕入れ先「ヤマジョウ」が本枯節の製造中止を決めたと聞かされ、おせんは江崎と共に焼津に向かう。時代の流れで本枯節が売れない今、従業員たちの生活を守る為に削りパックの下請け工場に転換するしかないという。おせんはなんとか本枯節を守りたいが・・・。【演出】南雲聖一【脚本】神ひとえ  【原作】「おせん」きくち正太(講談社・イブニングKC)【音楽】菅野祐悟  【主題歌】「踊れ」MIcro(ユニバーサルミュージック)  【エンディングテーマ】「恋詩ーコイウター」タッキー&amp;翼(avex　trax)【製作著作】日本テレビ  【制作協力】オフィスクレッシェンド</t>
  </si>
  <si>
    <t>蒼井優  内博貴  杉本哲太　向井理　鈴木蘭々  工藤里紗　森田彩華　奥村知史  宅間孝行　半海一晃　渡辺いっけい　余貴美子  由紀さおりおせんは子供の頃から舌に味を刻んできた「山上の本枯節」を守る為、山上を買収しようとするエンプールの担当者・矢田を一升庵に呼んだ。彼が天才鰹節職人と言われた男の息子だと知るおせんは「彼の舌の記憶に訴えたい」のだ。社長の金池と共に一升庵にやってきた矢田はある鰹料理を振舞われるが・・・そして今度は銀行が一升庵の借金8000万の一括返済を求めてきた。一升庵の危機の中、江崎が突然店を辞めたいと申し出て・・・【演出】南雲聖一【脚本】神ひとえ　高橋麻紀  【原作】「おせん」きくち正太(講談社・イブニングKC)【音楽】菅野祐悟  【主題歌】「踊れ」Micro(ユニバーサルミュージック)  【エンディングテーマ】「恋詩ーコイウター」タッキー&amp;翼(avex　trax)【製作著作】日本テレビ  【制作協力】オフィスクレッシェンド</t>
  </si>
  <si>
    <t>0804_NTV_水22</t>
  </si>
  <si>
    <t>ホカベン</t>
  </si>
  <si>
    <t>番組名ホカベン</t>
  </si>
  <si>
    <t>上戸彩　北村一輝　加藤成亮　戸田菜穂　篠井英介　中山恵　りょう　かとうかず子　大杉漣【演出】佐久間紀佳　池田健司【脚本】阿相クミコ　浜田秀哉　丸茂周  【脚本監修】秦建日子  【原作】イブニングKC『ホカベン』(講談社刊)作/中嶋博行　画/カワラニサイ【音楽】金子隆博  【主題歌】「涙をとどけて」トータス松本(ワーナーミュージックジャパン)【プロデューサー】山本由緒　小泉守  【制作協力】トータルメディアコミュニケーション</t>
  </si>
  <si>
    <t>上戸彩　北村一輝　加藤成亮　戸田菜穂　篠井英介　中山恵　りょう　かとうかず子　大杉漣初めての離婚訴訟に張り切っていた灯だが、妻・享子に刺された夫・和彦が全治2ヶ月の重傷と判明。和彦側の弁護士・浜田から、示談と1000万円の損害補償を提示された灯は、どのように対処していいのか分からない。そんな折、灯は、一時的に預かった娘・真希の行為から、和彦が真希に性的虐待をしていたことに気づく。【演出】佐久間紀佳　池田健司【脚本】阿相クミコ　浜田秀哉　丸茂周  【脚本監修】秦建日子  【原作】イブニングKC『ホカベン』(講談社刊)作/中嶋博行　画/カワラニサイ【音楽】金子隆博  【主題歌】「涙をとどけて」トータス松本(ワーナーミュージックジャパン)【プロデューサー】山本由緒　小泉守  【制作協力】トータルメディアコミュニケーション</t>
  </si>
  <si>
    <t>0804_NTV_土21</t>
  </si>
  <si>
    <t>ごくせん</t>
  </si>
  <si>
    <t>番組名ごくせん</t>
  </si>
  <si>
    <t>【出演】仲間由紀恵　生瀬勝久　高木雄也　三浦春馬　石黒英雄　中間淳太  　　　　桐山照史　三浦翔平　小泉孝太郎　平山あや　星野亜希　金子賢  　　　　佐藤二朗　魁三太郎　石井康太　脇知弘　阿南健治　内山信二　  　　　　東幹久　江波杏子　宇津井健私立赤銅学院高校では、手のつけられないワルばかりを集めた3年D組に手を焼いていた。教頭を勤める猿渡五郎は、理事長の赤城遼子から3Dをうまくまとめるよう命ぜられるが、まったく歯が立たない。そこで自分の立場が危ういと感じた猿渡は「不良たちを黙らすことのできる教師を連れてくる」と宣言し、南の島へ向かった。かつて同じ高校で教師をしていた熱血教師、ヤンクミこと山口久美子を探すために・・・。【演出】佐藤東弥【原作】「ごくせん」森本梢子(集英社YOUコミックス)  【脚本】江頭美智留【音楽】大島ミチル  【主題歌】『虹』Aqua　Timez(エピックレコード)【プロデューサー】加藤正俊</t>
  </si>
  <si>
    <t>番組名開局55年記念番組　ごくせん</t>
  </si>
  <si>
    <t>【出演】仲間由紀恵　生瀬勝久　高木雄也　三浦春馬　石黒英雄　中間淳太  　　　　桐山照史　三浦翔平　小泉孝太郎　平山あや　星野亜希　金子賢  　　　　佐藤二朗　魁三太郎　石井康太　脇知弘　阿南健治　内山信二　  　　　　東幹久　江波杏子　宇津井健相変わらず3Dは、ケンカや衝突が絶えず、バラバラだった。久美子は「このクラスに必要なのは親睦と連帯感だ」と、生徒たちに“缶蹴り”をしようと持ちかけるが、もちろん、誰一人参加するものはいなかった。そんなある日、ついに、3D全員が見守る中、大和と廉がタイマンを張ることになった。その場に駆けつけた久美子はタイマンを止めるどころか、「素手の喧嘩なら、止める必要ない」と、声援を送り・・・。【演出】佐藤東弥【原作】「ごくせん」森本梢子(集英社YOUコミックス)  【脚本】江頭美智留【音楽】大島ミチル  【主題歌】『虹』Aqua　Timez(エピックレコード)【プロデューサー】加藤正俊</t>
  </si>
  <si>
    <t>【出演】仲間由紀恵　生瀬勝久　高木雄也　三浦春馬　石黒英雄　中間淳太  　　　　桐山照史　三浦翔平　小泉孝太郎　平山あや　星野亜希　金子賢  　　　　佐藤二朗　魁三太郎　石井康太　脇知弘　阿南健治　内山信二　  　　　　東幹久　江波杏子　宇津井健赤銅学院周辺で集団暴行事件が多発する中、ある放課後、倉木と一緒にいた市村が、進学校・青芝高校の生徒を殴るという騒ぎを起こす。実は市村も中学は青芝中学に通っていたが、途中で落ちこぼれてしまい高校には上がれなかったのだ。久美子は市村に理由を聞くが何も語らない。そんな中、3Dの吉田たち4人がバンダナで顔を隠した7人組に突然襲われて・・・。【演出】大谷太郎【原作】「ごくせん」森本梢子(集英社YOUコミックス)  【脚本】江頭美智留【音楽】大島ミチル  【主題歌】『虹』Aqua　Timez(エピックレコード)  【挿入歌】『俺たちの青春』高木雄也(ジェイ・ストーム)【プロデューサー】加藤正俊  【制作協力】AXON  【製作著作】日本テレビ</t>
  </si>
  <si>
    <t>【出演】仲間由紀恵　生瀬勝久　高木雄也　三浦春馬　石黒英雄　中間淳太  　　　　桐山照史　三浦翔平　小泉孝太郎　平山あや　星野亜希　金子賢  　　　　佐藤二朗　魁三太郎　石井康太　脇知弘　阿南健治　内山信二　  　　　　東幹久　江波杏子　宇津井健ある日、突然、廉の姉・薫子が学校にやって来る。薫子の話から、廉が学校で禁止されているアルバイトをしていることが発覚する。すぐに止めさせるという薫子に対し、廉は「家を出てひとり暮らしをする。もうアネキの世話にはならない」と言い放つ。ちゃんと話をしようとする薫子だったが、廉にその想いは届かなかった。その夜、てつから、廉がホストクラブに入っていくのを見たと聞いた久美子は・・・。【演出】山下学美【原作】「ごくせん」森本梢子(集英社YOUコミックス)  【脚本】松田裕子【音楽】大島ミチル  【主題歌】『虹』Aqua　Timez(エピックレコード)  【挿入歌】『俺たちの青春』高木雄也(ジェイ・ストーム)【プロデューサー】加藤正俊  【制作協力】AXON  【製作著作】日本テレビ</t>
  </si>
  <si>
    <t>【出演】仲間由紀恵　生瀬勝久　高木雄也　三浦春馬　石黒英雄　中間淳太  　　　　桐山照史　三浦翔平　小泉孝太郎　平山あや　星野亜希　金子賢  　　　　佐藤二朗　魁三太郎　石井康太　脇知弘　阿南健治　内山信二　  　　　　東幹久　江波杏子　宇津井健本城の父・保が倒れて病院に運び込まれ、久美子と本城は慌てて駆けつけた。保は入院することになり、本城は家の戸棚にある金を銀行に入金するよう頼まれるが、実は、その中の一部をこっそり使い込んでしまっていて金が足りない。困った本城は、バイトを探し始めるが、安い時給では働く気にならず、見つけられずにいた。その時、中学時代の先輩・成田と偶然会い、金を貸してもいいと言う成田から、軽い気持ちで金を借りるが・・・。【演出】佐藤東弥【原作】「ごくせん」森本梢子(集英社YOUコミックス)  【脚本】江頭美智留【音楽】大島ミチル  【主題歌】『虹』Aqua　Timez(エピックレコード)  【挿入歌】『俺たちの青春』高木雄也(ジェイ・ストーム)【プロデューサー】加藤正俊  【制作協力】AXON  【製作著作】日本テレビ</t>
  </si>
  <si>
    <t>【出演】仲間由紀恵　生瀬勝久　高木雄也　三浦春馬　石黒英雄　中間淳太  　　　　桐山照史　三浦翔平　小泉孝太郎　平山あや　星野亜希　金子賢  　　　　佐藤二朗　魁三太郎　石井康太　脇知弘　阿南健治　内山信二　  　　　　東幹久　江波杏子　宇津井健3年D組は神谷がセッティングした合コン話で大盛り上がり。しかし、倉木はうわの空で全くのってこない。放課後、気になって尾行した大和や廉らは、夏目総合病院で女の子と笑顔で話しているのを見つける。「誰か好きになると、何があっても相手のこと守ったる、いう気持ちになる」という倉木に、久美子は「いい恋してるじゃないか。お互いがんばろう!」と励ます。【演出】大谷太郎【原作】「ごくせん」森本梢子(集英社YOUコミックス)  【脚本】横田理恵【音楽】大島ミチル  【主題歌】『虹』Aqua　Timez(エピックレコード)  【挿入歌】『俺たちの青春』高木雄也(ジェイ・ストーム)【プロデューサー】加藤正俊  【制作協力】AXON  【製作著作】日本テレビ</t>
  </si>
  <si>
    <t>【出演】仲間由紀恵　生瀬勝久　高木雄也　三浦春馬　石黒英雄　中間淳太  　　　　桐山照史　三浦翔平　小泉孝太郎　平山あや　星野亜希　金子賢  　　　　佐藤二朗　魁三太郎　石井康太　脇知弘　阿南健治　内山信二　  　　　　東幹久　江波杏子　宇津井健大和らは、男たちがカツアゲしているところを目撃する。大和たちの制服を見た、その中の一人、郷田は赤銅学院をけなし、それに反論した6人を取り囲んだ。大和らは隙を突いて逃げ出したが、次の日郷田が実は赤銅学院を卒業した『伝説の番長』と呼ばれている男だと知り、大和たちは不安を隠せずにいた。そして、その不安は的中し、3Dの松方たちが郷田にボコボコにされ・・・。【演出】佐藤東弥【原作】「ごくせん」森本梢子(集英社YOUコミックス)  【脚本】松田裕子【音楽】大島ミチル  【主題歌】『虹』Aqua　Timez(エピックレコード)  【挿入歌】『俺たちの青春』高木雄也(ジェイ・ストーム)【プロデューサー】加藤正俊  【制作協力】AXON  【製作著作】日本テレビ</t>
  </si>
  <si>
    <t>【出演】仲間由紀恵　生瀬勝久　高木雄也　三浦春馬　石黒英雄　中間淳太  　　　　桐山照史　三浦翔平　小泉孝太郎　平山あや　星野亜希　金子賢  　　　　佐藤二朗　魁三太郎　石井康太　脇知弘　阿南健治　内山信二　  　　　　東幹久　江波杏子　宇津井健神谷がデートの最中に、荒高の生徒たちに絡まれる。仲間がいないと何もできないとからかわれた神谷は、殴りかかっていくが、逆に一方的に殴られてしまった。警察から学校に連絡が入り、母親の美沙子も駆けつけた。美沙子は必死で頭を下げるが、神谷は「頭なんか下げてんじゃねぇ」と辛く当たり、心配してやってきた大和らにも「余計なお世話だ!どうせ俺は、情けない男だよ!」とはき捨て、飛び出していき・・・。【演出】山下学美【原作】「ごくせん」森本梢子(集英社YOUコミックス)  【脚本】江頭美智留【音楽】大島ミチル  【主題歌】『虹』Aqua　Timez(エピックレコード)  【挿入歌】『俺たちの青春』高木雄也(ジェイ・ストーム)【プロデューサー】加藤正俊  【制作協力】AXON  【製作著作】日本テレビ</t>
  </si>
  <si>
    <t>【出演】仲間由紀恵　生瀬勝久　高木雄也　三浦春馬　石黒英雄　中間淳太  　　　　桐山照史　三浦翔平　小泉孝太郎　平山あや　星野亜希　金子賢  　　　　佐藤二朗　魁三太郎　石井康太　脇知弘　阿南健治　内山信二　  　　　　東幹久　江波杏子　宇津井健『赤銅学院の怪伝説』を確かめに夜の学校へ忍びこんだ3D生徒は、名うての『学校荒し』を捕まえた。警察から表彰され、大喜びする久美子と3D生徒たち。そこへ最近、学校をサボっていた村山たちが入ってきて「そんなのどうだっていい。ガキじゃねえんだから」と、険悪なムードに。そして、たちまち乱闘が始まった。必死に止める久美子に「どうせ卒業までのつきあいじゃねえか」仲間はほかにもいると出て行ってしまい・・。【演出】佐藤東弥【原作】「ごくせん」森本梢子(集英社YOUコミックス)  【脚本】横田理恵【音楽】大島ミチル  【主題歌】『虹』Aqua　Timez(エピックレコード)  【挿入歌】『俺たちの青春』高木雄也(ジェイ・ストーム)【プロデューサー】加藤正俊  【制作協力】AXON  【製作著作】日本テレビ</t>
  </si>
  <si>
    <t>【出演】仲間由紀恵　生瀬勝久　高木雄也　三浦春馬　石黒英雄　中間淳太  　　　　桐山照史　三浦翔平　小泉孝太郎　平山あや　星野亜希　金子賢  　　　　佐藤二朗　魁三太郎　石井康太　脇知弘　阿南健治　内山信二　  　　　　東幹久　江波杏子　宇津井健大和は父・達彦と仲が悪く、優秀な兄貴と比べられ続け劣等感を抱いていた。大和と廉が達彦と街ででくわした際、達彦が大和どころか、廉のことまでバカにしたため、怒った大和は思わず達彦を殴ってしまう。苛立つ大和が足早に歩いていると、不良たちが中学生をカツアゲしようとしていた。見かねた大和は止めに入り乱闘になってしまう。そして、そのひとりが振り下ろした棒が仲間の頭を直撃し、大和は駆けつけた警察官に連行され・・【演出】山下学美【原作】「ごくせん」森本梢子(集英社YOUコミックス)  【脚本】松田裕子【音楽】大島ミチル  【主題歌】『虹』Aqua　Timez(エピックレコード)  【挿入歌】『俺たちの青春』高木雄也(ジェイ・ストーム)【プロデューサー】加藤正俊  【制作協力】AXON  【製作著作】日本テレビ</t>
  </si>
  <si>
    <t>【出演】仲間由紀恵　生瀬勝久　高木雄也　三浦春馬　石黒英雄　中間淳太  　　　　桐山照史　三浦翔平　小泉孝太郎　平山あや　星野亜希　金子賢  　　　　佐藤二朗　魁三太郎　石井康太　脇知弘　阿南健治　内山信二　  　　　　山田優　東幹久　江波杏子　宇津井健最終回90分スペシャル【演出】佐藤東弥【原作】「ごくせん」森本梢子(集英社YOUコミックス)  【脚本】江頭美智留【音楽】大島ミチル  【主題歌】『虹』Aqua　Timez(エピックレコード)  【挿入歌】『俺たちの青春』高木雄也(ジェイ・ストーム)【プロデューサー】加藤正俊  【制作協力】AXON  【製作著作】日本テレビ</t>
  </si>
  <si>
    <t>0801_NTV_火22</t>
  </si>
  <si>
    <t>貧乏男子</t>
  </si>
  <si>
    <t>番組名貧乏男子　ボンビーメン「ノーと言えない男ボンビーメン誕生！」</t>
  </si>
  <si>
    <t>多額の借金を抱えながらも前向きに生きる大学生と、周囲の人々との交流を描く。脚本・山岡真介、演出・猪股隆一ほか。　仲間とのつながりを第一に考える一美(小栗旬)は、頼まれれば断れない性格が災いし、消費者金融で借金を重ねていた。ある日、詐欺に引っ掛かった一美は、弁護士を名乗る二人組に二十万円を渡してしまう。間もなく、一美はそれぞれの理由で借金を抱える警察官の引田(八嶋智人)、消費者金融のＯＬ・未海(山田優)と出会う。彼らの話によると二人組の正体は、ホストクラブを経営するオムオム(ユースケサンタマリア)という大金持ちの手下らしい。一美は二十万円を取り返すため、引田と未海とともに問題のホストクラブに向かう。</t>
  </si>
  <si>
    <t>番組名貧乏男子(ボンビーメン)「ボンビーｖｓ買い過ぎ女」</t>
  </si>
  <si>
    <t>悪夢にうなされた一美(小栗旬)は、早期の借金返済を考える。引田(八嶋智人)と未海(山田優)に利息について聞くが、二人は自分の利息をよく理解していないらしい。一美は二人に借金の恐ろしさを説明し、もう二度と借金はしないと誓い合う。だが、未海が買い物依存症だと判明。放っておけない一美は、未海の借金を止めると宣言する。そんな中、一美はオムオム(ユースケサンタマリア)から妙な賭けに誘われる。</t>
  </si>
  <si>
    <t>番組名貧乏男子(ボンビーメン)「ボンビーメンｖｓ結婚できない男」</t>
  </si>
  <si>
    <t>オムオム(ユースケサンタマリア)の命令で、一美(小栗旬)の借金は十日で一割の超高金利に。昼間のファミリーレストランのアルバイトに加え、工事現場でも働くことになる。そんな中、一美と未海(山田優)は美しい女性(入山法子)と歩く引田(八嶋智人)の姿を目撃。女性は引田の見合い相手で、近々結婚するという。引田が抱えている借金の原因が、過去に結婚詐欺に遭ったためだと知った一美は、彼の幸せを心から願う。</t>
  </si>
  <si>
    <t>番組名貧乏男子(ボンビーメン)「ボンビーひと目惚れ！」</t>
  </si>
  <si>
    <t>一美(小栗旬)はオムオム(ユースケサンタマリア)から、一週間後に借金百六万円を返済するよう迫られる。困り果てた一美は、引田(八嶋智人)に勧められるまま競馬に挑戦。ビギナーズラックで連戦連勝し、瞬く間に百五十万円を手に入れる。その金を持ってオムオムの元へ向かうが、オムオムは受け取らず、投資で増やすよう命令。一美は早速、株を買ってみるが、失敗してしまい、引田の勧めで再び競馬に賭ける決意をする。</t>
  </si>
  <si>
    <t>番組名貧乏男子(ボンビーメン)「ボンビーどん底！最強母の告白」</t>
  </si>
  <si>
    <t>オムオム(ユースケサンタマリア)から、どん底にいる自覚がないと批判された一美(小栗旬)は、アパートを出て家賃分も借金返済に充てると宣言。だが、引っ越しの準備をする一美の元に、母・静枝(市毛良枝)が突然上京してくる。借金のことを明かせない一美は、大慌てで白石(三浦春馬)らに協力を求め、静枝が泊まる用意をする。そんな折、静枝と出会ったオムオムは、自分には理解できない一美の行動について疑問をぶつける。</t>
  </si>
  <si>
    <t>番組名貧乏男子</t>
  </si>
  <si>
    <t>貧乏男子◇オムオム（ユースケサンタマリア）の指示でアパートを出た一美（小栗旬）は、野宿する場所を探して粗大ごみ置き場などを回るうち、物々交換の仲介をして金を稼ごうと思い付く。早速、引田（八嶋智人）と未海（山田優）の協力を得て、インターネットに物々交換の掲示板を立ち上げる。そんな中、一美はしばらく部屋に泊まってほしいという白石（三浦春馬）の申し出を素直に受け、物々交換の収益で順調に借金を返済。また白石の父、祐（山崎一）を見つけた一美は、息子と会うよう説得する。一方、オムオムは全くへこたれない一美を窮地に追い込もうと、借金の肩代わりを一美にさせたらどうかと白石にささやく。</t>
  </si>
  <si>
    <t>貧乏男子◇一美（小栗旬）に就職が内定した会社から懇親会の知らせが届く。未海（山田優）に説得されて出席した一美は、そこで特別ゲストのオムオム（ユースケサンタマリア）と遭遇。オムオムが会社の人事担当者に一美の借金のことを話したため、一美は窮地に陥る。それを知った未海はオムオムに猛抗議するが、一方的に一美に絶交を告げていた引田（八嶋智人）は冷たい反応しか示さない。やがて引田はオムオムから思わぬ頼み事をされる。それは一美の就職内定先の人事担当者に、一美の人となりを話してほしいというものだった。</t>
  </si>
  <si>
    <t>番組名貧乏男子(ボンビーメン)</t>
  </si>
  <si>
    <t>小栗旬  八嶋智人　山田優　  三浦春馬　仲里依紗　上地雄輔　音尾琢真  ユースケ・サンタマリアオムオムに呼び出された未美海はかつて愛した女性が重い病気になり手術代や入院の金を払えず亡くなってしまった事を聞かされる。一美と引田に報告すると引田は否定するが、一美は真剣に聞く。オムオムはホストクラブで騒ぎを起こしたテルテルとそれをかばったチャぎーを辞めさせる。考えあぐねた二人は一美の物々交換の仕事を手伝いたいとやってくるが、失敗やイタズラを仕掛けてくる。一美には真意がわからず・・・吉野洋山浦雅大【音楽】澤野弘之  【主題歌】BENNIE　K　「モノクローム」  　　　　　(フォーライフ　ミュージック　エンタテインメント)  【挿入歌】鈴木雅之「上を向いて歩こう」(Epic　Records)【製作著作】日本テレビ  【制作協力】オフィスクレッシェンド</t>
  </si>
  <si>
    <t>小栗旬  八嶋智人　山田優  三浦春馬　仲里依紗　上地雄輔　音尾琢真  ユースケ・サンタマリアオムオムとの最後の勝負は222万枚の封筒を明朝6時までに全て貼り終えること。かつての同じ勝負では友人たちにバイト代を払う羽目になってしまった一美に、お金抜きでどれだけの人間と繋がっているか見せてくれというオムオム。引田と未海は無茶だと言うが、一美は前の勝負のとき人との繋がりを信じていたのにお金に頼ってしまったので、今回は皆を信じたいと言う。一美は友人を集めるためにメールを送る。猪股隆一山岡真介  山浦雅大【音楽】澤野弘之  【主題歌】BENNIE　K「モノクローム」  　　　　　(フォーライフ　ミュージック　エンタテインメント)  【挿入歌】鈴木雅之「上を向いて歩こう」(Epic　Records)【製作著作】日本テレビ  【制作協力】オフィスクレッシェンド</t>
  </si>
  <si>
    <t>0801_NTV_水22</t>
  </si>
  <si>
    <t>斉藤さん</t>
  </si>
  <si>
    <t>番組名斉藤さん「正義のため戦う迷惑ヒロイン登場！」</t>
  </si>
  <si>
    <t>世の中の悪に敢然と立ち向かう女性・斉藤全子(観月ありさ)の生き方を描く。原作・小田ゆうあ、脚本・土田英生ほか、演出・久保田充ほか。　東京郊外の住宅地に夫・透(佐々木蔵之介)と五歳の息子・尊(平野心暖)とともに引っ越してきた真野(ミムラ)は、ごみ出しのルールに厳しい主婦・斉藤(観月)に出会う。相手が誰であろうと悪いことは悪いと注意する斉藤は、周囲から敬遠されていた。尊が通う幼稚園には、斉藤の息子・潤一(谷端奏人)も通っているらしい。三上(高島礼子)らの保護者グループに加わった真野は、斉藤の悪いうわさを聞かされる。</t>
  </si>
  <si>
    <t>番組名斉藤さん「友達はいらない！踏みだす勇気…壮絶バトル開始」</t>
  </si>
  <si>
    <t>幼稚園のバザーが近づき、真野(ミムラ)ら保護者は大忙し。リーダーの三上(高島礼子)は、昨年のバザーが隣接する高校の生徒たちに台無しにされたことから、警備を強化するなど、万全の対策を立てていた。さらに、斉藤(観月ありさ)がいない場で、バザーの開催中に高校生によるトラブルが発生しても一切刺激しないよう保護者たちに指示。だが、この話を真野から聞いた斉藤は、自分が正しいと思ったら一人でも行動すると宣言する。</t>
  </si>
  <si>
    <t>番組名斉藤さん「空気なんか読むな！真の友情がくれた小さな勝利」</t>
  </si>
  <si>
    <t>斉藤(観月ありさ)は幼稚園の庭にごみをまかれた問題で、阿久津高校に相談に行く。だが、証拠がないからと取り合ってもらえない。そんな中、園児が高校生らしい男にラッカースプレーを掛けられるという事件が発生。斉藤の単独行動が事態を悪化させると判断した三上(高島礼子)は、真野(ミムラ)に斉藤の行動を監視するよう指示する。困り果てた真野は、阿久津高校に通う女子生徒に思わず今回の件を相談してしまう。</t>
  </si>
  <si>
    <t>番組名斉藤さん「子供にこびるな！聖夜に舞い降りた奇跡の贈り物」</t>
  </si>
  <si>
    <t>子供たちの間でポータブルゲーム機が大流行。子供を自然の中で遊ばせたい斉藤(観月ありさ)は、ゲームは買わない主義で、真野(ミムラ)もその意見に賛同する。ゲーム機が欲しい潤一(谷端奏人)と尊(平野心暖)は、クリスマスにサンタクロースに頼むと言いだす。そんな中、ある園児が園内でゲーム機を紛失するという騒ぎが発生。ゲーム機を持っていない園児の仕業ではないかとのうわさが流れる。</t>
  </si>
  <si>
    <t>番組名斉藤さん「友達だって本気で叱る！君に届け愛のどつき漫才」</t>
  </si>
  <si>
    <t>真野(ミムラ)は三上(高島礼子)から、幼稚園児を対象とした塾の体験授業を勧められる。塾に感化された真野は早速、尊(平野心暖)を通わせることに。間もなく、尊が礼儀正しくなったと周囲から褒められた真野は鼻が高い。一方、斉藤(観月ありさ)は小倉(北川弘美)の息子・佳也(坂井和久)の首に痛々しいあざがあることに気付く。事情を聴くと、尊との漫才ごっこが原因だという。斉藤は、真野との関係を壊したくない小倉が止めるのも聞かず、真野に抗議に行く。</t>
  </si>
  <si>
    <t>番組名斉藤さん「汚い権力者は絶対許さない！反乱の緊急連絡網！！」</t>
  </si>
  <si>
    <t>アルバイトを始めた真野(ミムラ)は、幼稚園で行われるキルト講習会の役員も任され大忙し。さらに、講師の柳川夫人(高橋ひとみ)から十五人以上の生徒を集めるよう指示される。そのころ幼稚園周辺では、不審者が子供を連れ回す事件が多発していた。アルバイトと役員を両立させようとする真野は、家を留守がちにしてしまう。斉藤(観月ありさ)から、尊(平野心暖)のことを第一に考えるべきだと説得された真野は、柳川夫人に役員の辞退を申し出る。</t>
  </si>
  <si>
    <t>番組名斉藤さん</t>
  </si>
  <si>
    <t>斉藤さん◇斉藤（観月ありさ）がスポーツジムで骨折して入院。その間、潤一（谷端奏人）の世話をすることになった真野（ミムラ）は、ようやく斉藤を助ける側になれたと張り切る。一方、斉藤は病室内の患者同士のトラブルに気付く。せきや歯ぎしりで迷惑を掛けていた患者が個室に移ることになったが、ある理由で中止になる。その理由とは、市議会議員の柳川（加藤雅也）が検査入院し、人目を避けた打ち合わせのために個室を使うことだった。斉藤は個室へ向かい、柳川との面会を求める。そのころ、幼稚園では市民ホールで展示されることになった野村（鈴木美恵）の娘、幸恵（坂本璃桜）の絵が急きょ三上（高島礼子）の娘、かおり（飯野芹菜）のものに変更され、子供の心を傷つけてしまう。</t>
  </si>
  <si>
    <t>斉藤さん◇卒園が近づき、保護者たちによる卒園アルバムの制作が始まった。そんな中、園児がジャングルジムから落下。大きなけがにはならなかったが、山本（浜田マリ）らはその場に居合わせた佐原（須藤理彩）らに抗議する。後日、佐原は同僚の前で保護者の実名を挙げ、大げさで過保護で過剰に反応し過ぎると愚痴をこぼす。それを偶然耳にして怒った山本らは、保護者たちの前で佐原を責める。まるでいじめのようなやり方に、斉藤（観月ありさ）は山本らを非難して佐原をかばう。だが、ショックから立ち直れない佐原は帰宅途中、山本から預かった卒園アルバム制作の資料一式を紛失してしまう。</t>
  </si>
  <si>
    <t>観月ありさ・ミムラ・佐々木蔵之介・北川弘美・濱田マリ・矢沢心・石橋杏奈・山田親太朗・弓削智久・山口佳奈子・須藤理彩・古田新太・高島礼子贈収賄の容疑で柳川議員(加藤雅也)と三上(高島礼子)の夫が逮捕された事から、こばと幼稚園の保護者間で思いもよらぬ動きが出る。三上グループの山本(濱田マリ)、中村(矢沢心)らが『斉藤組』に入りたいと斉藤さんを取り巻くようになったのだ。一方、小学校の統廃合を知らなかったと主張する三上は、誰にも認めて貰えない。そんな中、三上は柳川夫人(高橋ひとみ)に、息子の正義がいなくなったと助けを求められ…。【演出】久保田充　岩本仁志　本間美由紀【原作】小田ゆうあ「斉藤さん」(創美社発行　集英社発売中)  【脚本】土田英生　相内美生　福間正浩【主題歌】観月ありさ『ENGAGED』(avex　tune)  【音楽】池頼広【プロデューサー】西憲彦　渡邉浩仁　佐藤毅(東宝)</t>
  </si>
  <si>
    <t>観月ありさ・ミムラ・佐々木蔵之介・北川弘美・濱田マリ・矢沢心・石橋杏奈・山田親太朗・弓削智久・山口佳奈子・須藤理彩・古田新太・高島礼子斉藤さん(観月ありさ)は、夫の赴任先・南アフリカに引っ越す事を、真野(ミムラ)に伝えられずにいた。そんな中、三上(高島礼子)から贈収賄は柳川議員より市長と一部の議員が深く関わっている事を聞かされる。一方、真野は自分を避け、三上と一緒に何かを隠している様子の斉藤さんに気が気ではない。更に、この件を調べていた記者の坂本が何者かに襲撃される。絶対に許せないと斉藤さんは、市議会に乗り込むと宣言して…。【演出】久保田充　岩本仁志　本間美由紀【原作】小田ゆうあ「斉藤さん」(創美社発行　集英社発売中)  【脚本】土田英生(他)【主題歌】観月ありさ『ENGAGED』(avex　tune)  【音楽】池頼広【プロデューサー】西憲彦　渡邉浩仁　佐藤毅(東宝)</t>
  </si>
  <si>
    <t>観月ありさ・ミムラ・佐々木蔵之介・北川弘美・濱田マリ・矢沢心・石橋杏奈・山田親太朗・弓削智久・山口佳奈子・須藤理彩・古田新太・高島礼子斉藤さん(観月ありさ)との仲直りが出来ない真野(ミムラ)は、卒園式終了後に行われる謝恩会で、保護者代表として挨拶をすることになる。しかし、真野は事情を知った桜井(石橋杏奈)と新見(高橋みなみ)から斉藤さんの優しさが分かっていないと鈍感ぶりを指摘される。更に透からも仲直りを勧められる真野だったが、自分から仲直りを言い出せず、焦りは募るばかり。そして、卒園式当日、斉藤さんの出発の日がやってきて…。【演出】久保田充　岩本仁志　本間美由紀【原作】小田ゆうあ「斉藤さん」(創美社発行　集英社発売中)  【脚本】土田英生(他)【主題歌】観月ありさ『ENGAGED』(avex　tune)  【音楽】池頼広【プロデューサー】西憲彦　渡邉浩仁　佐藤毅(東宝)</t>
  </si>
  <si>
    <t>0801_NTV_土21</t>
  </si>
  <si>
    <t>1ポンドの福音</t>
  </si>
  <si>
    <t>番組名1ポンドの福音「好きだ！シスター」</t>
  </si>
  <si>
    <t>根性なしのプロボクサーが、一目ぼれをした修道院のシスターを振り向かせるために奮闘する姿を描く。高橋留美子のコミックをドラマ化。脚本・福田雄一、演出・佐藤東弥ほか。　耕作(亀梨和也)は「向田ジム」に所属するプロボクサー。才能がありながらも食欲に負けて減量に失敗し、連敗が続いていた。そんな中、耕作はジムの会長・聖子(小林聡美)から次の試合相手を告げられる。今度減量に失敗したらボクシングをやめるよう宣告された耕作は早速、減量を開始。だが、ロードワーク中に空腹で倒れてしまい、修道院の見習シスター、アンジェラ(黒木メイサ)に助けられる。彼女に一目ぼれをした耕作は、彼女との恋を実らせるため、過酷なトレーニングに励む。</t>
  </si>
  <si>
    <t>番組名1ポンドの福音「ＶＳ弱虫男！勝ってデートだ大食いだ！」</t>
  </si>
  <si>
    <t>耕作(亀梨和也)は、試合に勝ったらアンジェラ(黒木メイサ)が交際してくれるとの交換条件を勝手に考え、彼女に一方的に条件を伝える。アンジェラが承諾してくれたと思い込んだ耕作は、猛烈なトレーニングを開始。だが、優勝者に「クルージング夜景ディナー」がプレゼントされるという商店街の大食い大会があることを知り、減量中にもかかわらず出場してしまう。</t>
  </si>
  <si>
    <t>番組名1ポンドの福音「母の仕事って？ウルトラマンになる方法」</t>
  </si>
  <si>
    <t>二週間後に試合を控えた耕作(亀梨和也)が減量に励む中、けんか自慢の中学生・善彦(知念侑李)がジムにやって来る。聖子(小林聡美)の許可を得た善彦は練習を始めるが、なぜか耕作を狙ってパンチを繰り出す。教会から出入り禁止を通告されていた耕作は、アンジェラ(黒木メイサ)のことが頭をよぎり、善彦が自分を狙う理由など知ろうともしない。そんな中、腰を痛めて入院することになった聖子に代わり、アンジェラが耕作の減量を監視する。</t>
  </si>
  <si>
    <t>番組名1ポンドの福音「恋敵は天才シェフ！世界一のラブレター」</t>
  </si>
  <si>
    <t>耕作(亀梨和也)は次の対戦に向けて練習を開始。一方、アンジェラ(黒木メイサ)は信徒の守下(中丸新将)から、大手レストランチェーン社長の御曹司・若王子(黄川田将也)を見合い相手として紹介される。アンジェラは拒否するが、若王子は彼女に一目ぼれ。恋のライバル出現に心中穏やかではない耕作は、練習にも身が入らない。間もなく、若王子がアンジェラと結婚して一緒に店を経営する計画を立てていると知った耕作は、彼に負けまいと、自身も調理師免許を取得して店を持とうと決意。ボクシングをやめると宣言し、調理師学校に通い始める。</t>
  </si>
  <si>
    <t>番組名1ポンドの福音「苦しいときは、過去ではなく未来を思え」</t>
  </si>
  <si>
    <t>耕作(亀梨和也)からバレンタインデーのチョコレートをねだられたアンジェラ(黒木メイサ)は、彼の気持ちに負けてこっそり渡すことに。だが当日、アンジェラは、紀子(南沢奈央)が耕作にチョコレートを渡すのを目撃、嫉妬(しっと)した自分に怒ってしまう。一方、怒りの原因が自分のしつこさにあると考えた耕作は、アンジェラの誕生日にプレゼントを贈ろうとする。だが、彼女は誕生日は分からないと答え、紀子と付き合うよう告げる。</t>
  </si>
  <si>
    <t>番組名1ポンドの福音「強くなれ！イジメられっこと女ボクサー」</t>
  </si>
  <si>
    <t>耕作(亀梨和也)のことが頭から離れなくなってしまったアンジェラ(黒木メイサ)は、自らを戒めるため、修道院からの外出禁止を決意する。だが間もなく、修道院内でシスターとしての未熟さを痛感したアンジェラは、精神を強くするためジムで修業することに。聖子(小林聡美)は院長(もたいまさこ)の許可を得ていないことを心配しながらも、修業を許可する。そんな中、聖子は勝己(山田涼介)が学校でいじめに遭っていることに気付く。</t>
  </si>
  <si>
    <t>番組名1ポンドの福音</t>
  </si>
  <si>
    <t>【出演者】  亀梨和也、黒木メイサ、岡田義徳、山田涼介、高橋一生、石黒英雄、波岡一喜、江口のりこ、南沢奈央、中村果生莉、光石研、もたいまさこ、小林聡美  アンジェラ(黒木メイサ)の借金をチャラにするため、紅流星(桐谷健太)に試合を申し込んだ耕作(亀梨和也)だったが負ければ倍の100万を支払う約束をしてしまう。アンジェラには言わず黙々と練習に励んでいたが、ある日耕作が闘う理由を知ってしまう。撤回するよう耕作に詰め寄るアンジェラ。そしてまた、アンジェラもある決断をすることに…。耕作はチャンピオンになれるのか?耕作の思いに対して出したアンジェラの答えは?【演出】  狩山俊輔  【原作】  「1ポンドの福音」高橋留美子(小学館ヤングサンデーコミックス)  【脚本】  福田雄一【音楽】  井筒昭雄、川嶋可能【製作著作】  日本テレビ  【制作協力】  トータルメディアコミュニケーション</t>
  </si>
  <si>
    <t>【出演者】  亀梨和也、黒木メイサ、岡田義徳、山田涼介、高橋一生、石黒英雄、波岡一喜、江口のりこ、南沢奈央、中村果生莉、光石研、もたいまさこ、小林聡美  アンジェラが別の教会に移ったことを知らされ意気消沈する耕作。そんな中、出発しようとバスを待つアンジェラとジムを辞めて田舎に帰ろうとしている上田(岡田義徳)が同じバス停で鉢合わせ。上田はアンジェラが耕作のもとを去ろうとしていることを知る。どうにかアンジェラを引き止めようと上田はある作戦にでるのだが…。すれ違う耕作とアンジェラ。二人の恋の行方は…?そして向田ジムのメンバーにもそれぞれの結末が訪れる…。【演出】  佐藤東弥【原作】  「1ポンドの福音」高橋留美子(小学館ヤングサンデーコミックス)  【脚本】  福田雄一【音楽】  井筒昭雄、川嶋可能【製作著作】  日本テレビ  【制作協力】  トータルメディアコミュニケーション</t>
  </si>
  <si>
    <t>0710_NTV_火22</t>
  </si>
  <si>
    <t>有閑倶楽部</t>
  </si>
  <si>
    <t>番組名有閑倶楽部「いよいよ参上！ダンス(秘)大作戦」</t>
  </si>
  <si>
    <t>名門高校を舞台に、個性豊かな六人の高校生がそれぞれの才能を発揮して難事件を解決する。一条ゆかり原作の同名コミックをドラマ化。脚本・江頭美智留、演出・大谷太郎ほか。　良家の子息や令嬢が通う聖プレジデント学園の生徒会副会長・魅録(赤西仁)は、生徒会メンバーの清四郎(横山裕)、美童(田口淳之介)、野梨子(香椎由宇)、可憐(鈴木えみ)、悠理(美波)らとともに”有閑倶楽部”を結成し、暇を持て余していた。そんな中、私立高校が集まる社交ダンス全国大会の優勝候補が、次々と何者かに襲われる事件が発生。大会の運営委員長を務める建設会社社長・高清水(萩原流行)に疑いの目を向けた魅録たちは、高清水の会社のパーティーに潜入する。</t>
  </si>
  <si>
    <t>番組名有閑倶楽部「ＶＳ警察！誘拐作戦」</t>
  </si>
  <si>
    <t>散歩中に覆面の二人組に襲われた悠理(美波)は、逆に相手をたたきのめす。彼らの正体は太助(布施博)と亮太(知念侑李)という親子。自分を狙った営利誘拐だと知った悠理は、暇つぶしに彼らに協力することに。早速、悠理は犯人に成り済まし、自宅に脅迫電話をかける。間もなく、魅録(赤西仁)を仲間に引き込んだ悠理は、太助らが用意した隠れ家に向かう。そこで、彼らが病気の妻の手術代をだまし取られたために誘拐を計画したのだと知る。</t>
  </si>
  <si>
    <t>番組名有閑倶楽部「花嫁救出(秘)女装作戦！」</t>
  </si>
  <si>
    <t>学園の卒業生・あゆみ(入山法子)が会社社長の神亀(正名僕蔵)と結婚することに。有閑倶楽部のメンバーも結婚式に誘われるが、魅録(赤西仁)は、あゆみの元恋人で自分も親しいすし職人・聖二(忍成修吾)のことが気になっていた。結婚式当日、式場に到着したメンバーは、ウエディングドレス姿のあゆみが式場から逃げ出そうとするのを目撃。聖二が交通事故に遭ったことを知ったあゆみが、彼の元に行こうとしていたのだ。メンバーは、あゆみに協力する。</t>
  </si>
  <si>
    <t>番組名有閑倶楽部「出た！幽霊」</t>
  </si>
  <si>
    <t>有閑倶楽部のメンバーとともにあるパーティーに出席した美童(田口淳之介)は、金持ちの老婦人・きぬ(吉行和子)と出会う。間もなく美童は、彼に一目ぼれしたきぬからデートを申し込まれる。美童は困惑するが、メンバーの強い勧めで渋々デートをすることに。そんな中、きぬがベランダから転落死。全財産を美童に譲るとの遺書が見つかったことから、きぬの親類たちは怒りの表情を見せる。程なく、美童は死の恐怖を味わうような事件に遭遇する。</t>
  </si>
  <si>
    <t>番組名有閑倶楽部「崩壊の危機」</t>
  </si>
  <si>
    <t>悠理(美波)は孫の顔が見たい母・百合子(かとうかず子)から、結婚して子供を産むよう命じられる。必死の抵抗もむなしく、花婿探しが行われるが、悠理が提案した「自分より強いこと」という条件に合う男性は現れない。そんな中、清四郎(横山裕)が候補に浮上。最初は乗り気ではなかった清四郎だが、世界に広がる財閥を継ぐことに魅力を感じていく。一方、どうしても結婚したくない悠理は、清四郎に果たし状を突き付ける。</t>
  </si>
  <si>
    <t>番組名有閑倶楽部「男嫌いの恋」</t>
  </si>
  <si>
    <t>不良グループに絡まれた野梨子(香椎由宇)は裕也(小山慶一郎)という青年に助けられる。裕也は魅録(赤西仁)の友人だったが、野梨子と裕也では住む世界が全く違う。反対する清四郎(横山裕)の忠告も聞かず、野梨子は裕也に恋心を抱く。そんな中、母親が倒れて金が必要になった裕也は、やくざの強盗計画に加担してしまう。しかし、奪った掛け軸が野梨子の父親の作品だと知り、がくぜんとする。</t>
  </si>
  <si>
    <t>番組名有閑倶楽部「極上玉の輿」</t>
  </si>
  <si>
    <t>クーデターの動きがある王国の王子・カサル(賀軍翔)が「聖プレジデント学園」に留学してきた。カサルに一目ぼれした可憐(鈴木えみ)は、玉のこしに乗ろうと張り切る。警察が厳重な警備体制を敷く中、カサルに普通の高校生活を送らせてあげたいと考えた魅録(赤西仁)らは、警察の目をごまかしてカサルを解放。カサルは可憐と二人だけのデートを楽しむ。そんな折、王国のクーデター計画が失敗し、反乱軍の指揮官が逮捕されたとのニュースが入る。</t>
  </si>
  <si>
    <t>番組名有閑倶楽部「花束爆弾！？」</t>
  </si>
  <si>
    <t>魅録(赤西仁)の母・千秋(秋吉久美子)が海外視察から帰国した。その日は千秋の誕生日で、時宗(鹿賀丈史)から大きな花束を贈られるのが毎年恒例のイベントとなっている。そのころ、注文していた花束を手にした時宗は、その中に爆弾が仕込まれていることに気付く。千秋との約束の時間が近づく中、時宗は犯行予告文の中にあった「Ｋ」のイニシャルから、犯人の目星を付ける。</t>
  </si>
  <si>
    <t>番組名有閑倶楽部「ＶＳ裏口入学」</t>
  </si>
  <si>
    <t>冬休みに旅行計画を立てていた悠理(美波)だが、期末テストで落第点を取った場合は、休み返上の補習があると知る。その補習を考案した主任の緑川(山崎一)は、学園の陰の権力者ともいわれる人物。どうしても補習を受けたくない悠理は、試験用紙を盗むため、学校に侵入することに。そこで飛良泉(細山貴嶺)という少年の幽霊と遭遇する。間もなく、悠理に取りついた飛良泉は、緑川に復讐(ふくしゅう)してほしいと魅録(赤西仁)たちに訴える。</t>
  </si>
  <si>
    <t>番組名有閑倶楽部「魅録の涙…生きるも死ぬも一緒」</t>
  </si>
  <si>
    <t>有閑倶楽部の部室に、差出人不明の拳銃が届く。魅録(赤西仁)がモデルガンと間違えて発射したことから大騒ぎになる。独自の情報網を使って調査を始めた魅録は、ある組織が拳銃の密売をしているらしいと知る。さらに、部室内で隠しカメラを発見。学園に敵が潜んでいると確信した魅録だが、誰が何の目的で拳銃を送ったのかまでは分からない。一方、学園では経営不振のうわさが流れていた。</t>
  </si>
  <si>
    <t>0710_NTV_水22</t>
  </si>
  <si>
    <t>働きマン</t>
  </si>
  <si>
    <t>番組名働きマン「恋愛より仕事…なんてカッコイイ話じゃない！！」</t>
  </si>
  <si>
    <t>仕事に情熱を注ぐ女性編集者・松方弘子(菅野美穂)の奮闘を描く。原作・安野モヨコ、脚本・吉田智子、演出・南雲聖一ほか。　週刊誌の編集者として働く弘子(菅野)は、寝食を忘れて強気な姿勢で仕事をこなすため、後輩のマユ(平山あや)たちからは”働きマン”と呼ばれている。そのせいか恋人の新二(吉沢悠)とは、なかなか会えずにいた。そんな中、弘子は生意気な新人編集者・田中(速水もこみち)の教育係を任される。田中とともに外務大臣・星川(勝部演之)の取材に行くが、軽くあしらわれてしまう。後日、久しぶりに新二とデートの約束をした弘子の元に、大臣秘書の歌子(夏木マリ)から連絡が入る。</t>
  </si>
  <si>
    <t>番組名働きマン「女の敵はオンナ！？」</t>
  </si>
  <si>
    <t>弘子(菅野美穂)が働く編集部に、野球雑誌の編集者・由実(釈由美子)が寿退社のあいさつにやって来る。笑顔を振りまく彼女の周りには自然と男性陣が集まっていた。そんな中、自分の企画が通った弘子は、米大リーグ球団も注目するプロ野球選手・志村(上地雄輔)への取材を考える。田中(速水もこみち)とともに交渉を開始するが、全く受けてもらえない。そんな折、由実が男性記者たちに交じり、笑顔で志村と話しているのを見た弘子は、由実に取材の仲介を頼み込む。</t>
  </si>
  <si>
    <t>番組名働きマン「いつか勝負をかけるぞマン」</t>
  </si>
  <si>
    <t>弘子(菅野美穂)は田中(速水もこみち)の指導係として仕事を教えるが、生意気な彼の態度に困惑していた。週刊誌ではなくファッション誌を希望する田中は、今の仕事で努力する気がないと言う。そんな中、弘子と田中は急病でダウンした小林(荒川良々)の代わりに、グラビアアイドル・めぐみ(小松彩夏)の取材に出掛けることに。なかなかやる気を見せない田中だが、その夜、一人で編集部にいた田中は、めぐみの出生に関する秘密を売るという内容の電話を受ける。</t>
  </si>
  <si>
    <t>番組名働きマン「憧れと涙…振り向きマン！！」</t>
  </si>
  <si>
    <t>自分の企画が通ったマユ(平山あや)が、あこがれの先輩として慕う弘子(菅野美穂)の元に報告に来る。それは作家・夏目美芳(小西美帆)の小説を連載するというもので、彼女のファンであるマユが一年以上かけてようやく実現したという。だが、梅宮(伊武雅刀)らは経験不足を理由に、夏目の担当を弘子に命じる。マユはショックからミスを連発。一方、弘子はスランプに陥る夏目に、サラリーマンや中年男性も共感できる新しい作品を生み出すよう提案する。</t>
  </si>
  <si>
    <t>番組名働きマン「仕事に誇りを持てますか？」</t>
  </si>
  <si>
    <t>恋人の新二(吉沢悠)からデートをキャンセルされた弘子(菅野美穂)は、張り込み班の菅原(津田寛治)と芸能人の不倫スクープを追うことに。張り込み現場の車中で菅原と二人きりになった弘子は、いろいろ彼に話し掛けるが全く返答がない。間もなく、弘子が車中で一人になった時に目当ての芸能人が現れる。弘子は不倫カップルを激写することに成功し、編集部は喜びに沸く。だが、写真を見た菅原は、そんな写真はスクープではないと言い切る。</t>
  </si>
  <si>
    <t>番組名働きマン「ついに…恋と仕事の危機！！」</t>
  </si>
  <si>
    <t>占い師から「近々人生の転機を迎える」と予言された弘子(菅野美穂)だが、思い当たる節はない。恋人の新二(吉沢悠)とも最近はあまり会えずにいた。そんな中、マンションに関する企画が通った弘子は、担当の田中(速水もこみち)とともに新二が現場監督を務めるマンションへ取材に向かう。そこで、新二から希望するプロジェクトに参加できる可能性を告げられる。喜ぶ弘子は、翌日が忙しい入稿日でありながらも、手料理でお祝いすると宣言する。</t>
  </si>
  <si>
    <t>番組名働きマン「別れ…それでも仕事はある　」</t>
  </si>
  <si>
    <t>新企画の取材を進める弘子(菅野美穂)だが、二週間以上も話をしていない新二(吉沢悠)のことが気になっていた。一方、新二は新しく配属された営業部での仕事に一生懸命。そんな中、弘子の自宅に泥棒が入り、弘子は恐怖心から新二に助けを求める。新二は大切な接待の最中だったが、席を抜け出してマンションに駆け付ける。だが、大事なデータが入ったパソコンを盗まれた弘子は大慌て。その様子を見た新二は、仕事を優先させる弘子に不満を抱く。</t>
  </si>
  <si>
    <t>番組名働きマン「どん底…失恋って大変だ！！」</t>
  </si>
  <si>
    <t>新二(吉沢悠)と別れた弘子(菅野美穂)は、仕事こそ失恋の一番の治療薬だと考え懸命に働く。退社後は編集部のメンバーと酒を飲んで悲しみを忘れようとするが、どん底の状態から脱出できずにいた。間もなく、提出した企画が全滅だった弘子は「東京景色・冬の樹木」という地味な企画を任される。しかし、失恋のショックを引きずるあまりミスを連発し、取材を田中(速水もこみち)に交代して休むよう命じられてしまう。</t>
  </si>
  <si>
    <t>番組名働きマン「仕事に愛情を持てますか？」</t>
  </si>
  <si>
    <t>弘子(菅野美穂)が担当した連載小説「54」の単行本化が決定。喜ぶ弘子だが、書籍部から少ない初版部数を提示され落胆する。同期の営業担当・千葉(渡部建)に反論するが、あっさりかわされてしまう。そんな折、「54」の作者・夏目(小西美帆)から、最終回が書けないとの連絡を受けた弘子は、徹夜で彼女に協力。ようやく完成した作品に手応えを感じた弘子は、部数が最終決定する販売戦略会議の前に、再び千葉の説得に向かう。</t>
  </si>
  <si>
    <t>番組名働きマン「父の思い…私はきっと頑張れる！！」</t>
  </si>
  <si>
    <t>創刊二十周年記念号のチーフを任された弘子(菅野美穂)は大忙し。そんな中、父・征治(小野武彦)が突然、上京してくる。公務員の征治はきまじめな性格で、週刊誌を手掛ける弘子の仕事には全く理解を示さない。妹の結婚が決まったこともあり、弘子が説教される可能性は大いにあった。征治から結婚の予定を聞かれた弘子は、たまたま姿を見せた田中(速水もこみち)が恋人だと、うそをついてしまう。</t>
  </si>
  <si>
    <t>番組名働きマン「29歳の誕生日…恋か仕事か決断の時！！」</t>
  </si>
  <si>
    <t>誕生日を迎えた弘子(菅野美穂)は、痴漢容疑で取り調べを受けている小学校教諭・竹田(甲本雅裕)の取材を命じられ、渋々警察署へ。そこで、大手出版社のデスク・佐川(羽場裕一)からヘッドハンティングの打診をされる。創刊される女性向け社会派雑誌のデスクとして迎えてくれるらしく、弘子は心を動かされる。そんな中、新二(吉沢悠)から突然、会いたいとの連絡が入る。復縁を期待する弘子は、緊張しながら待ち合わせ場所に向かう。</t>
  </si>
  <si>
    <t>0710_NTV_土21</t>
  </si>
  <si>
    <t>ドリーム☆アゲイン</t>
  </si>
  <si>
    <t>番組名ドリーム☆アゲイン「神様がくれたチャンス！？夢のために生き返る男」</t>
  </si>
  <si>
    <t>夢半ばで急死した元プロ野球選手が、他人の体を借りて果たせなかった夢に再び挑戦する。脚本・渡辺睦月、演出・中島悟ほか。　プロ野球・巨人軍選手の小木駿介(反町隆史)は、肩のけがが原因で球団を解雇され、会社員に転身。しかし、野球への未練を断ち切れず、結婚直前の恋人・颯乙(加藤あい)との婚約も破棄し、あらためて巨人軍のプロテストを受ける決意を固める。その直後、落雷によって他界。それが”天国省”の人選ミスだったため、天国の案内人・田中(児玉清)の特別な計らいで、他人の体に魂を戻すことを許される。独身の会社社長・朝日奈の体を借りて球界復帰を目指す駿介の前に、朝日奈の娘を名乗る雛(志田未来)が現れる。</t>
  </si>
  <si>
    <t>番組名ドリーム☆アゲイン「恋人よ！俺はここにいる！！」</t>
  </si>
  <si>
    <t>駿介の魂が入った朝日奈(反町隆史)の会社に、彼を敵視する弁護士として颯乙(加藤あい)が現れる。仕事の内容が理解できない上に、颯乙の敵であることに嫌気が差した朝日奈は、田中(児玉清)に別の体に替えてほしいと頼み込む。しかし、あっさり却下される。朝日奈は、颯乙に対する自分の印象をこれ以上悪くしないために、抱えているトラブルをすべて引き受けて解決しようと決意する。</t>
  </si>
  <si>
    <t>番組名ドリーム☆アゲイン「娘の復讐！！全財産が人質！？」</t>
  </si>
  <si>
    <t>雛(志田未来)からＤＮＡ鑑定の承諾書を突き付けられた朝日奈(反町隆史)は、渋々同意。さらに、授業参観への出席を求められるが、まだ父親と決まったわけではないからと拒否してしまう。一方、雛に会った颯乙(加藤あい)は、朝日奈が首から下げている指輪の裏側を調べてほしいと頼む。そんな中、朝日奈の元に健造(渡辺哲)が姿を見せる。コーチを引き受けるというが、三千万円という高額な料金を提示され、朝日奈は困惑してしまう。</t>
  </si>
  <si>
    <t>番組名ドリーム☆アゲイン「どうする！？夢と野球と三千万」</t>
  </si>
  <si>
    <t>朝日奈(反町隆史)の素振りを見た健造(渡辺哲)は、その筋のいいスイングから駿介のことを思い出す。健造から三カ月後に迫ったプロテストを受けるなら、二足のわらじは無理だと告げられた朝日奈は、野球か仕事の二者択一を迫られる。野球を選ぶつもりだったが、百子(青田典子)と熊田(三宅弘城)に社長の引退は会社の破たんにつながると言われ、困り果ててしまう。そんな中、朝日奈は颯乙(加藤あい)に駿介の指輪の返却を求められる。</t>
  </si>
  <si>
    <t>番組名ドリーム☆アゲイン「陰謀と罠！？引き裂かれた2人」</t>
  </si>
  <si>
    <t>朝日奈(反町隆史)は全社員を集め、これまでの金もうけ主義から脱却し、チームプレーを大事にする経営を目指すと宣言。社員たちが突然の経営方針の転換に動揺する中、熊田(三宅弘城)は出資者の藤堂(中原丈雄)と手を組み、朝日奈の失脚を画策していた。一方、朝日奈と食事をした颯乙(加藤あい)は、彼の誠実な対応に触れ、その変身ぶりに感心。駿介の夢を引き継ごうと努力する彼を、心からうらやましく思う。</t>
  </si>
  <si>
    <t>番組名ドリーム☆アゲイン「正義とは？ルールとは？　」</t>
  </si>
  <si>
    <t>朝日奈(反町隆史)が脱税容疑で拘置所に収容される。罪が確定すれば最長五年の実刑になると知り、年齢的にプロ野球への夢が消えることを覚悟する。間もなく、朝日奈の元に面会にやって来た颯乙(加藤あい)が弁護を申し出るが、朝日奈は迷惑が掛かるからと断る。そんな中、健造(渡辺哲)が拘置所内での練習メニューのメモを持って朝日奈邸を訪れる。「朝日奈は無罪だ」と言う健造の言葉に勇気づけられた颯乙は、あらためて力になろうと決意する。</t>
  </si>
  <si>
    <t>番組名ドリーム☆アゲイン「お願い！もう嘘つかないで！！」</t>
  </si>
  <si>
    <t>朝日奈(反町隆史)は時々、自分の左手が薄くなることに気付く。田中(児玉清)によると、自分から小木駿介だと明かさなくても、誰かに正体を悟られれば体が消えていくのだという。一方、駿介を思い出させる朝日奈に会うのがつらくなった颯乙(加藤あい)は、四国の実家に帰る決意を固めていた。颯乙の胸の内を知った朝日奈は二度と会わないと決めるが、雛(志田未来)たちから颯乙を引き留めるよう頼まれ、慌てて空港に駆け付ける。</t>
  </si>
  <si>
    <t>番組名ドリーム☆アゲイン「運命なんて変えてみせる！！」</t>
  </si>
  <si>
    <t>雛(志田未来)の余命が一カ月だと知った朝日奈(反町隆史)は、心臓移植しか助かる道がないと聞き、仕事をすべて部下に任せて情報を集め始める。だが、一カ月という時間がネックとなり、移植ができる可能性は極めて低い。そんな中、雛に好きな男子がいることが発覚。颯乙(加藤あい)に励まされた雛だが、片思いの相手の好きなタイプが”明るくて元気な子”だと知り、ショックのあまり遺書を残して家出をしてしまう。</t>
  </si>
  <si>
    <t>番組名ドリーム☆アゲイン「知られてしまった俺の正体」</t>
  </si>
  <si>
    <t>治療で渡米する雛(志田未来)のことを、朝日奈(反町隆史)は本当の父親のように心配していた。そんな中、第一次プロテストが三日後に迫る。朝日奈は駿介への思いを引きずる颯乙(加藤あい)のためにも、必ず合格しようと心に誓う。間もなく、雛に田中(児玉清)の姿が見えてしまう事態が発生。死期が迫った人間には”天国への案内人”の姿が見えることがまれにあるという。田中の冷たい言い方に、朝日奈は”雛は死なせない”と反発する。</t>
  </si>
  <si>
    <t>番組名ドリーム☆アゲイン「夢は、終わりじゃない！」</t>
  </si>
  <si>
    <t>朝日奈(反町隆史)の中に駿介が宿っていると気付いた颯乙(加藤あい)は、二次テストで着けてほしいと駿介の指輪を差し出す。”左手の薬指に”という指定に一瞬ためらう朝日奈だが、颯乙の強い表情を見て指輪を受け取る。だがテスト当日、朝日奈が球場に行こうとした直後に雛(志田未来)が昏倒(こんとう)。病院に運び込まれた雛に付き添う朝日奈だったが、意識を取り戻した雛から、テストを受けるよう頼まれる。</t>
  </si>
  <si>
    <t>1910_TBS_火22</t>
  </si>
  <si>
    <t>G線上のあなたと私</t>
  </si>
  <si>
    <t>番組名火曜ドラマ「G線上のあなたと私」第1話【三人の男女が友情と恋を育む!】</t>
  </si>
  <si>
    <r>
      <rPr>
        <rFont val="ＭＳ Ｐゴシック"/>
        <sz val="10.0"/>
      </rPr>
      <t>「ごめん、今になって」「好きな子がいる」と、小暮也映子</t>
    </r>
    <r>
      <rPr>
        <rFont val="Arial"/>
        <sz val="10.0"/>
      </rPr>
      <t>(</t>
    </r>
    <r>
      <rPr>
        <rFont val="ＭＳ Ｐゴシック"/>
        <sz val="10.0"/>
      </rPr>
      <t>波瑠</t>
    </r>
    <r>
      <rPr>
        <rFont val="Arial"/>
        <sz val="10.0"/>
      </rPr>
      <t>)</t>
    </r>
    <r>
      <rPr>
        <rFont val="ＭＳ Ｐゴシック"/>
        <sz val="10.0"/>
      </rPr>
      <t>は寿退社間近に婚約者から婚約破棄を告げられる。放心状態でフラフラと立ち寄ったショッピングモールで「</t>
    </r>
    <r>
      <rPr>
        <rFont val="Arial"/>
        <sz val="10.0"/>
      </rPr>
      <t>G</t>
    </r>
    <r>
      <rPr>
        <rFont val="ＭＳ Ｐゴシック"/>
        <sz val="10.0"/>
      </rPr>
      <t>線上のアリア」の生演奏を耳にしたのをきっかけに、大人のバイオリン教室に通い始める。教室で同じクラスになったのはイマドキの大学生・加瀬理人</t>
    </r>
    <r>
      <rPr>
        <rFont val="Arial"/>
        <sz val="10.0"/>
      </rPr>
      <t>(</t>
    </r>
    <r>
      <rPr>
        <rFont val="ＭＳ Ｐゴシック"/>
        <sz val="10.0"/>
      </rPr>
      <t>中川大志</t>
    </r>
    <r>
      <rPr>
        <rFont val="Arial"/>
        <sz val="10.0"/>
      </rPr>
      <t>)</t>
    </r>
    <r>
      <rPr>
        <rFont val="ＭＳ Ｐゴシック"/>
        <sz val="10.0"/>
      </rPr>
      <t>と主婦の北河幸恵</t>
    </r>
    <r>
      <rPr>
        <rFont val="Arial"/>
        <sz val="10.0"/>
      </rPr>
      <t>(</t>
    </r>
    <r>
      <rPr>
        <rFont val="ＭＳ Ｐゴシック"/>
        <sz val="10.0"/>
      </rPr>
      <t>松下由樹</t>
    </r>
    <r>
      <rPr>
        <rFont val="Arial"/>
        <sz val="10.0"/>
      </rPr>
      <t>)</t>
    </r>
    <r>
      <rPr>
        <rFont val="ＭＳ Ｐゴシック"/>
        <sz val="10.0"/>
      </rPr>
      <t>。人間関係もバイオリンも一筋縄ではいかない</t>
    </r>
    <r>
      <rPr>
        <rFont val="Arial"/>
        <sz val="10.0"/>
      </rPr>
      <t>3</t>
    </r>
    <r>
      <rPr>
        <rFont val="ＭＳ Ｐゴシック"/>
        <sz val="10.0"/>
      </rPr>
      <t>人を取り巻く人間模様と、それぞれの想いが交錯していく</t>
    </r>
    <r>
      <rPr>
        <rFont val="Arial"/>
        <sz val="10.0"/>
      </rPr>
      <t>…</t>
    </r>
    <r>
      <rPr>
        <rFont val="ＭＳ Ｐゴシック"/>
        <sz val="10.0"/>
      </rPr>
      <t>。</t>
    </r>
  </si>
  <si>
    <t>番組名火曜ドラマ「G線上のあなたと私」第2話【好きってなに】</t>
  </si>
  <si>
    <r>
      <rPr>
        <rFont val="ＭＳ Ｐゴシック"/>
        <sz val="10.0"/>
      </rPr>
      <t>初めての発表会を前に、練習に熱が入る也映子</t>
    </r>
    <r>
      <rPr>
        <rFont val="Arial"/>
        <sz val="10.0"/>
      </rPr>
      <t>(</t>
    </r>
    <r>
      <rPr>
        <rFont val="ＭＳ Ｐゴシック"/>
        <sz val="10.0"/>
      </rPr>
      <t>波瑠</t>
    </r>
    <r>
      <rPr>
        <rFont val="Arial"/>
        <sz val="10.0"/>
      </rPr>
      <t>)</t>
    </r>
    <r>
      <rPr>
        <rFont val="ＭＳ Ｐゴシック"/>
        <sz val="10.0"/>
      </rPr>
      <t>、理人</t>
    </r>
    <r>
      <rPr>
        <rFont val="Arial"/>
        <sz val="10.0"/>
      </rPr>
      <t>(</t>
    </r>
    <r>
      <rPr>
        <rFont val="ＭＳ Ｐゴシック"/>
        <sz val="10.0"/>
      </rPr>
      <t>中川大志</t>
    </r>
    <r>
      <rPr>
        <rFont val="Arial"/>
        <sz val="10.0"/>
      </rPr>
      <t>)</t>
    </r>
    <r>
      <rPr>
        <rFont val="ＭＳ Ｐゴシック"/>
        <sz val="10.0"/>
      </rPr>
      <t>、幸恵</t>
    </r>
    <r>
      <rPr>
        <rFont val="Arial"/>
        <sz val="10.0"/>
      </rPr>
      <t>(</t>
    </r>
    <r>
      <rPr>
        <rFont val="ＭＳ Ｐゴシック"/>
        <sz val="10.0"/>
      </rPr>
      <t>松下由樹</t>
    </r>
    <r>
      <rPr>
        <rFont val="Arial"/>
        <sz val="10.0"/>
      </rPr>
      <t>)</t>
    </r>
    <r>
      <rPr>
        <rFont val="ＭＳ Ｐゴシック"/>
        <sz val="10.0"/>
      </rPr>
      <t>。発表会当日、婚約者への未練を断ち切るため、結婚式の二次会で着る予定だったワンピースで現れた也映子。也映子の普段とのギャップに照れる理人と、そんな理人の反応を楽しむ幸恵だったが、いつにも増して</t>
    </r>
    <r>
      <rPr>
        <rFont val="Arial"/>
        <sz val="10.0"/>
      </rPr>
      <t>3</t>
    </r>
    <r>
      <rPr>
        <rFont val="ＭＳ Ｐゴシック"/>
        <sz val="10.0"/>
      </rPr>
      <t>人の間には緊張感が漂っていた。発表会後に幸恵は、夫の弘章</t>
    </r>
    <r>
      <rPr>
        <rFont val="Arial"/>
        <sz val="10.0"/>
      </rPr>
      <t>(</t>
    </r>
    <r>
      <rPr>
        <rFont val="ＭＳ Ｐゴシック"/>
        <sz val="10.0"/>
      </rPr>
      <t>小木博明</t>
    </r>
    <r>
      <rPr>
        <rFont val="Arial"/>
        <sz val="10.0"/>
      </rPr>
      <t>)</t>
    </r>
    <r>
      <rPr>
        <rFont val="ＭＳ Ｐゴシック"/>
        <sz val="10.0"/>
      </rPr>
      <t>と姑の由実子</t>
    </r>
    <r>
      <rPr>
        <rFont val="Arial"/>
        <sz val="10.0"/>
      </rPr>
      <t>(</t>
    </r>
    <r>
      <rPr>
        <rFont val="ＭＳ Ｐゴシック"/>
        <sz val="10.0"/>
      </rPr>
      <t>夏樹陽子</t>
    </r>
    <r>
      <rPr>
        <rFont val="Arial"/>
        <sz val="10.0"/>
      </rPr>
      <t>)</t>
    </r>
    <r>
      <rPr>
        <rFont val="ＭＳ Ｐゴシック"/>
        <sz val="10.0"/>
      </rPr>
      <t>が不在の週末に、自宅で練習会を行わないかと提案。娘・多実</t>
    </r>
    <r>
      <rPr>
        <rFont val="Arial"/>
        <sz val="10.0"/>
      </rPr>
      <t>(</t>
    </r>
    <r>
      <rPr>
        <rFont val="ＭＳ Ｐゴシック"/>
        <sz val="10.0"/>
      </rPr>
      <t>矢崎由紗</t>
    </r>
    <r>
      <rPr>
        <rFont val="Arial"/>
        <sz val="10.0"/>
      </rPr>
      <t>)</t>
    </r>
    <r>
      <rPr>
        <rFont val="ＭＳ Ｐゴシック"/>
        <sz val="10.0"/>
      </rPr>
      <t>のピアノ伴奏に合わせ練習しているところに由実子が突然帰宅。ショックを受ける幸恵だが、理人が思いがけない言葉を掛ける。</t>
    </r>
    <r>
      <rPr>
        <rFont val="Arial"/>
        <sz val="10.0"/>
      </rPr>
      <t>2</t>
    </r>
    <r>
      <rPr>
        <rFont val="ＭＳ Ｐゴシック"/>
        <sz val="10.0"/>
      </rPr>
      <t>人の姿を見て、何だかもやもやする也映子</t>
    </r>
    <r>
      <rPr>
        <rFont val="Arial"/>
        <sz val="10.0"/>
      </rPr>
      <t>…</t>
    </r>
  </si>
  <si>
    <t>番組名火曜ドラマ「G線上のあなたと私」第3話【時間を無駄にします】</t>
  </si>
  <si>
    <r>
      <rPr>
        <rFont val="ＭＳ Ｐゴシック"/>
        <sz val="10.0"/>
      </rPr>
      <t>秋の発表会で「</t>
    </r>
    <r>
      <rPr>
        <rFont val="Arial"/>
        <sz val="10.0"/>
      </rPr>
      <t>G</t>
    </r>
    <r>
      <rPr>
        <rFont val="ＭＳ Ｐゴシック"/>
        <sz val="10.0"/>
      </rPr>
      <t>線上のアリア」を披露することを決めた也映子</t>
    </r>
    <r>
      <rPr>
        <rFont val="Arial"/>
        <sz val="10.0"/>
      </rPr>
      <t>(</t>
    </r>
    <r>
      <rPr>
        <rFont val="ＭＳ Ｐゴシック"/>
        <sz val="10.0"/>
      </rPr>
      <t>波瑠</t>
    </r>
    <r>
      <rPr>
        <rFont val="Arial"/>
        <sz val="10.0"/>
      </rPr>
      <t>)</t>
    </r>
    <r>
      <rPr>
        <rFont val="ＭＳ Ｐゴシック"/>
        <sz val="10.0"/>
      </rPr>
      <t>。理人</t>
    </r>
    <r>
      <rPr>
        <rFont val="Arial"/>
        <sz val="10.0"/>
      </rPr>
      <t>(</t>
    </r>
    <r>
      <rPr>
        <rFont val="ＭＳ Ｐゴシック"/>
        <sz val="10.0"/>
      </rPr>
      <t>中川大志</t>
    </r>
    <r>
      <rPr>
        <rFont val="Arial"/>
        <sz val="10.0"/>
      </rPr>
      <t>)</t>
    </r>
    <r>
      <rPr>
        <rFont val="ＭＳ Ｐゴシック"/>
        <sz val="10.0"/>
      </rPr>
      <t>のスパルタ指導のかいもあって、也映子と幸恵</t>
    </r>
    <r>
      <rPr>
        <rFont val="Arial"/>
        <sz val="10.0"/>
      </rPr>
      <t>(</t>
    </r>
    <r>
      <rPr>
        <rFont val="ＭＳ Ｐゴシック"/>
        <sz val="10.0"/>
      </rPr>
      <t>松下由樹</t>
    </r>
    <r>
      <rPr>
        <rFont val="Arial"/>
        <sz val="10.0"/>
      </rPr>
      <t>)</t>
    </r>
    <r>
      <rPr>
        <rFont val="ＭＳ Ｐゴシック"/>
        <sz val="10.0"/>
      </rPr>
      <t>ら</t>
    </r>
    <r>
      <rPr>
        <rFont val="Arial"/>
        <sz val="10.0"/>
      </rPr>
      <t>3</t>
    </r>
    <r>
      <rPr>
        <rFont val="ＭＳ Ｐゴシック"/>
        <sz val="10.0"/>
      </rPr>
      <t>人の仲も深まってきた。そんな折、眞於</t>
    </r>
    <r>
      <rPr>
        <rFont val="Arial"/>
        <sz val="10.0"/>
      </rPr>
      <t>(</t>
    </r>
    <r>
      <rPr>
        <rFont val="ＭＳ Ｐゴシック"/>
        <sz val="10.0"/>
      </rPr>
      <t>桜井ユキ</t>
    </r>
    <r>
      <rPr>
        <rFont val="Arial"/>
        <sz val="10.0"/>
      </rPr>
      <t>)</t>
    </r>
    <r>
      <rPr>
        <rFont val="ＭＳ Ｐゴシック"/>
        <sz val="10.0"/>
      </rPr>
      <t>の個人レッスンを受けている金髪のバンドマンが眞於をデートに誘う姿を見て嫉妬する理人</t>
    </r>
    <r>
      <rPr>
        <rFont val="Arial"/>
        <sz val="10.0"/>
      </rPr>
      <t>…</t>
    </r>
    <r>
      <rPr>
        <rFont val="ＭＳ Ｐゴシック"/>
        <sz val="10.0"/>
      </rPr>
      <t>。一方、理人の眞於への真っすぐな恋心を知った也映子は、ふざけてからかってしまったことを後悔していた。発表会が近づき練習に余念のない也映子だったが、家庭や学校と</t>
    </r>
    <r>
      <rPr>
        <rFont val="Arial"/>
        <sz val="10.0"/>
      </rPr>
      <t>3</t>
    </r>
    <r>
      <rPr>
        <rFont val="ＭＳ Ｐゴシック"/>
        <sz val="10.0"/>
      </rPr>
      <t>人の予定が合わない日々に淋しい気持ちになる。ついに訪れた発表会当日、緊張と期待に胸を膨らませる也映子の元に幸恵から一本の電話がかかってくる</t>
    </r>
    <r>
      <rPr>
        <rFont val="Arial"/>
        <sz val="10.0"/>
      </rPr>
      <t>…</t>
    </r>
  </si>
  <si>
    <t>番組名火曜ドラマ「G線上のあなたと私」第4話【ラブソングじゃない】</t>
  </si>
  <si>
    <r>
      <rPr>
        <rFont val="ＭＳ Ｐゴシック"/>
        <sz val="10.0"/>
      </rPr>
      <t>秋の発表会を終え、心機一転、就職活動を始めた也映子</t>
    </r>
    <r>
      <rPr>
        <rFont val="Arial"/>
        <sz val="10.0"/>
      </rPr>
      <t>(</t>
    </r>
    <r>
      <rPr>
        <rFont val="ＭＳ Ｐゴシック"/>
        <sz val="10.0"/>
      </rPr>
      <t>波瑠</t>
    </r>
    <r>
      <rPr>
        <rFont val="Arial"/>
        <sz val="10.0"/>
      </rPr>
      <t>)</t>
    </r>
    <r>
      <rPr>
        <rFont val="ＭＳ Ｐゴシック"/>
        <sz val="10.0"/>
      </rPr>
      <t>。しかし、これまでに経験のない音楽関係を希望するがゆえに難航。さらに、打ち上げで酔っぱらった理人</t>
    </r>
    <r>
      <rPr>
        <rFont val="Arial"/>
        <sz val="10.0"/>
      </rPr>
      <t>(</t>
    </r>
    <r>
      <rPr>
        <rFont val="ＭＳ Ｐゴシック"/>
        <sz val="10.0"/>
      </rPr>
      <t>中川大志</t>
    </r>
    <r>
      <rPr>
        <rFont val="Arial"/>
        <sz val="10.0"/>
      </rPr>
      <t>)</t>
    </r>
    <r>
      <rPr>
        <rFont val="ＭＳ Ｐゴシック"/>
        <sz val="10.0"/>
      </rPr>
      <t>の予想外の一言に心は混乱しているが、理人は覚えていないよう</t>
    </r>
    <r>
      <rPr>
        <rFont val="Arial"/>
        <sz val="10.0"/>
      </rPr>
      <t>…</t>
    </r>
    <r>
      <rPr>
        <rFont val="ＭＳ Ｐゴシック"/>
        <sz val="10.0"/>
      </rPr>
      <t>そんな中、也映子は姑・由実子</t>
    </r>
    <r>
      <rPr>
        <rFont val="Arial"/>
        <sz val="10.0"/>
      </rPr>
      <t>(</t>
    </r>
    <r>
      <rPr>
        <rFont val="ＭＳ Ｐゴシック"/>
        <sz val="10.0"/>
      </rPr>
      <t>夏樹陽子</t>
    </r>
    <r>
      <rPr>
        <rFont val="Arial"/>
        <sz val="10.0"/>
      </rPr>
      <t>)</t>
    </r>
    <r>
      <rPr>
        <rFont val="ＭＳ Ｐゴシック"/>
        <sz val="10.0"/>
      </rPr>
      <t>のリハビリに付き添う幸恵</t>
    </r>
    <r>
      <rPr>
        <rFont val="Arial"/>
        <sz val="10.0"/>
      </rPr>
      <t>(</t>
    </r>
    <r>
      <rPr>
        <rFont val="ＭＳ Ｐゴシック"/>
        <sz val="10.0"/>
      </rPr>
      <t>松下由樹</t>
    </r>
    <r>
      <rPr>
        <rFont val="Arial"/>
        <sz val="10.0"/>
      </rPr>
      <t>)</t>
    </r>
    <r>
      <rPr>
        <rFont val="ＭＳ Ｐゴシック"/>
        <sz val="10.0"/>
      </rPr>
      <t>に、</t>
    </r>
    <r>
      <rPr>
        <rFont val="Arial"/>
        <sz val="10.0"/>
      </rPr>
      <t>3</t>
    </r>
    <r>
      <rPr>
        <rFont val="ＭＳ Ｐゴシック"/>
        <sz val="10.0"/>
      </rPr>
      <t>人でミニコンサートを開かないかと提案する。前向きな返事をした幸恵だったが後日、何も告げずにバイオリン教室を退会してしまう。幸恵と理人との最後のレッスンの日、也映子は二人に教室に顔を出して欲しいと連絡するが、二人とも来ないと連絡が入る。也映子は納得がいかず、理人のところに説得に向かい</t>
    </r>
    <r>
      <rPr>
        <rFont val="Arial"/>
        <sz val="10.0"/>
      </rPr>
      <t>…</t>
    </r>
  </si>
  <si>
    <t>番組名火曜ドラマ「G線上のあなたと私」第5話【なんで結婚するの?】</t>
  </si>
  <si>
    <r>
      <rPr>
        <rFont val="ＭＳ Ｐゴシック"/>
        <sz val="10.0"/>
      </rPr>
      <t>就活に加え、婚活をはじめた矢先、元婚約者の智史</t>
    </r>
    <r>
      <rPr>
        <rFont val="Arial"/>
        <sz val="10.0"/>
      </rPr>
      <t>(</t>
    </r>
    <r>
      <rPr>
        <rFont val="ＭＳ Ｐゴシック"/>
        <sz val="10.0"/>
      </rPr>
      <t>森岡龍</t>
    </r>
    <r>
      <rPr>
        <rFont val="Arial"/>
        <sz val="10.0"/>
      </rPr>
      <t>)</t>
    </r>
    <r>
      <rPr>
        <rFont val="ＭＳ Ｐゴシック"/>
        <sz val="10.0"/>
      </rPr>
      <t>と偶然再会した也映子</t>
    </r>
    <r>
      <rPr>
        <rFont val="Arial"/>
        <sz val="10.0"/>
      </rPr>
      <t>(</t>
    </r>
    <r>
      <rPr>
        <rFont val="ＭＳ Ｐゴシック"/>
        <sz val="10.0"/>
      </rPr>
      <t>波瑠</t>
    </r>
    <r>
      <rPr>
        <rFont val="Arial"/>
        <sz val="10.0"/>
      </rPr>
      <t>)</t>
    </r>
    <r>
      <rPr>
        <rFont val="ＭＳ Ｐゴシック"/>
        <sz val="10.0"/>
      </rPr>
      <t>。智史の近況を聞き、懐かしい気持ちになるが、なぜか頭には理人</t>
    </r>
    <r>
      <rPr>
        <rFont val="Arial"/>
        <sz val="10.0"/>
      </rPr>
      <t>(</t>
    </r>
    <r>
      <rPr>
        <rFont val="ＭＳ Ｐゴシック"/>
        <sz val="10.0"/>
      </rPr>
      <t>中川大志</t>
    </r>
    <r>
      <rPr>
        <rFont val="Arial"/>
        <sz val="10.0"/>
      </rPr>
      <t>)</t>
    </r>
    <r>
      <rPr>
        <rFont val="ＭＳ Ｐゴシック"/>
        <sz val="10.0"/>
      </rPr>
      <t>の姿がチラつく。そんな中也映子は、婚活パーティーで地味だが誠実そうな白鳥</t>
    </r>
    <r>
      <rPr>
        <rFont val="Arial"/>
        <sz val="10.0"/>
      </rPr>
      <t>(</t>
    </r>
    <r>
      <rPr>
        <rFont val="ＭＳ Ｐゴシック"/>
        <sz val="10.0"/>
      </rPr>
      <t>えなりかずき</t>
    </r>
    <r>
      <rPr>
        <rFont val="Arial"/>
        <sz val="10.0"/>
      </rPr>
      <t>)</t>
    </r>
    <r>
      <rPr>
        <rFont val="ＭＳ Ｐゴシック"/>
        <sz val="10.0"/>
      </rPr>
      <t>とカップル成立。白鳥の人柄に好感を持つが、どこか腑に落ちないものを感じていた</t>
    </r>
    <r>
      <rPr>
        <rFont val="Arial"/>
        <sz val="10.0"/>
      </rPr>
      <t>…</t>
    </r>
    <r>
      <rPr>
        <rFont val="ＭＳ Ｐゴシック"/>
        <sz val="10.0"/>
      </rPr>
      <t>一方、バイオリン教室を退会していた幸恵</t>
    </r>
    <r>
      <rPr>
        <rFont val="Arial"/>
        <sz val="10.0"/>
      </rPr>
      <t>(</t>
    </r>
    <r>
      <rPr>
        <rFont val="ＭＳ Ｐゴシック"/>
        <sz val="10.0"/>
      </rPr>
      <t>松下由樹</t>
    </r>
    <r>
      <rPr>
        <rFont val="Arial"/>
        <sz val="10.0"/>
      </rPr>
      <t>)</t>
    </r>
    <r>
      <rPr>
        <rFont val="ＭＳ Ｐゴシック"/>
        <sz val="10.0"/>
      </rPr>
      <t>から練習会に誘われた也映子と理人。しかし、久しぶりに</t>
    </r>
    <r>
      <rPr>
        <rFont val="Arial"/>
        <sz val="10.0"/>
      </rPr>
      <t>3</t>
    </r>
    <r>
      <rPr>
        <rFont val="ＭＳ Ｐゴシック"/>
        <sz val="10.0"/>
      </rPr>
      <t>人で集まれると大喜びの也映子の元に、突然白鳥からデートの誘いが。幸恵の後押しもありデートに向かった也映子だが、理人はそんな也映子の行動が気に入らない様子で</t>
    </r>
    <r>
      <rPr>
        <rFont val="Arial"/>
        <sz val="10.0"/>
      </rPr>
      <t>…</t>
    </r>
  </si>
  <si>
    <t>番組名火曜ドラマ「G線上のあなたと私」第6話【ほっとけないって愛ですか】</t>
  </si>
  <si>
    <r>
      <rPr>
        <rFont val="ＭＳ Ｐゴシック"/>
        <sz val="10.0"/>
      </rPr>
      <t>婚活パーティーで白鳥</t>
    </r>
    <r>
      <rPr>
        <rFont val="Arial"/>
        <sz val="10.0"/>
      </rPr>
      <t>(</t>
    </r>
    <r>
      <rPr>
        <rFont val="ＭＳ Ｐゴシック"/>
        <sz val="10.0"/>
      </rPr>
      <t>えなりかずき</t>
    </r>
    <r>
      <rPr>
        <rFont val="Arial"/>
        <sz val="10.0"/>
      </rPr>
      <t>)</t>
    </r>
    <r>
      <rPr>
        <rFont val="ＭＳ Ｐゴシック"/>
        <sz val="10.0"/>
      </rPr>
      <t>とカップルになったものの、也映子</t>
    </r>
    <r>
      <rPr>
        <rFont val="Arial"/>
        <sz val="10.0"/>
      </rPr>
      <t>(</t>
    </r>
    <r>
      <rPr>
        <rFont val="ＭＳ Ｐゴシック"/>
        <sz val="10.0"/>
      </rPr>
      <t>波瑠</t>
    </r>
    <r>
      <rPr>
        <rFont val="Arial"/>
        <sz val="10.0"/>
      </rPr>
      <t>)</t>
    </r>
    <r>
      <rPr>
        <rFont val="ＭＳ Ｐゴシック"/>
        <sz val="10.0"/>
      </rPr>
      <t>は交際を断り、婚活サイトも退会する。気分を新たに、理人</t>
    </r>
    <r>
      <rPr>
        <rFont val="Arial"/>
        <sz val="10.0"/>
      </rPr>
      <t>(</t>
    </r>
    <r>
      <rPr>
        <rFont val="ＭＳ Ｐゴシック"/>
        <sz val="10.0"/>
      </rPr>
      <t>中川大志</t>
    </r>
    <r>
      <rPr>
        <rFont val="Arial"/>
        <sz val="10.0"/>
      </rPr>
      <t>)</t>
    </r>
    <r>
      <rPr>
        <rFont val="ＭＳ Ｐゴシック"/>
        <sz val="10.0"/>
      </rPr>
      <t>とコンサートの計画を立てていると、理人に好意を寄せる結愛</t>
    </r>
    <r>
      <rPr>
        <rFont val="Arial"/>
        <sz val="10.0"/>
      </rPr>
      <t>(</t>
    </r>
    <r>
      <rPr>
        <rFont val="ＭＳ Ｐゴシック"/>
        <sz val="10.0"/>
      </rPr>
      <t>小西はる</t>
    </r>
    <r>
      <rPr>
        <rFont val="Arial"/>
        <sz val="10.0"/>
      </rPr>
      <t>)</t>
    </r>
    <r>
      <rPr>
        <rFont val="ＭＳ Ｐゴシック"/>
        <sz val="10.0"/>
      </rPr>
      <t>が現れる。理人にバイオリンを教わり、嬉しそうな笑顔を見せる結愛。居心地の悪さを感じた也映子はカラオケを飛び出す。理人は、兄・侑人</t>
    </r>
    <r>
      <rPr>
        <rFont val="Arial"/>
        <sz val="10.0"/>
      </rPr>
      <t>(</t>
    </r>
    <r>
      <rPr>
        <rFont val="ＭＳ Ｐゴシック"/>
        <sz val="10.0"/>
      </rPr>
      <t>鈴木伸之</t>
    </r>
    <r>
      <rPr>
        <rFont val="Arial"/>
        <sz val="10.0"/>
      </rPr>
      <t>)</t>
    </r>
    <r>
      <rPr>
        <rFont val="ＭＳ Ｐゴシック"/>
        <sz val="10.0"/>
      </rPr>
      <t>が眞於</t>
    </r>
    <r>
      <rPr>
        <rFont val="Arial"/>
        <sz val="10.0"/>
      </rPr>
      <t>(</t>
    </r>
    <r>
      <rPr>
        <rFont val="ＭＳ Ｐゴシック"/>
        <sz val="10.0"/>
      </rPr>
      <t>桜井ユキ</t>
    </r>
    <r>
      <rPr>
        <rFont val="Arial"/>
        <sz val="10.0"/>
      </rPr>
      <t>)</t>
    </r>
    <r>
      <rPr>
        <rFont val="ＭＳ Ｐゴシック"/>
        <sz val="10.0"/>
      </rPr>
      <t>と密会していたことを知り、激怒する。そして、也映子、理人、幸恵が久しぶりに揃っての合同練習の日。久しぶりの集合に喜ぶ也映子だったが、理人のある一言で傷つき、気まずくなってしまう。そんななか、ある日並木楽器店で也映子と理人は偶然</t>
    </r>
    <r>
      <rPr>
        <rFont val="Arial"/>
        <sz val="10.0"/>
      </rPr>
      <t>…!</t>
    </r>
  </si>
  <si>
    <t>番組名火曜ドラマ「G線上のあなたと私」第7話【大人になるとき】</t>
  </si>
  <si>
    <r>
      <rPr>
        <rFont val="ＭＳ Ｐゴシック"/>
        <sz val="10.0"/>
      </rPr>
      <t>大学の臨床実習で忙しい理人</t>
    </r>
    <r>
      <rPr>
        <rFont val="Arial"/>
        <sz val="10.0"/>
      </rPr>
      <t>(</t>
    </r>
    <r>
      <rPr>
        <rFont val="ＭＳ Ｐゴシック"/>
        <sz val="10.0"/>
      </rPr>
      <t>中川大志</t>
    </r>
    <r>
      <rPr>
        <rFont val="Arial"/>
        <sz val="10.0"/>
      </rPr>
      <t>)</t>
    </r>
    <r>
      <rPr>
        <rFont val="ＭＳ Ｐゴシック"/>
        <sz val="10.0"/>
      </rPr>
      <t>や、娘の受験を控える幸恵</t>
    </r>
    <r>
      <rPr>
        <rFont val="Arial"/>
        <sz val="10.0"/>
      </rPr>
      <t>(</t>
    </r>
    <r>
      <rPr>
        <rFont val="ＭＳ Ｐゴシック"/>
        <sz val="10.0"/>
      </rPr>
      <t>松下由樹</t>
    </r>
    <r>
      <rPr>
        <rFont val="Arial"/>
        <sz val="10.0"/>
      </rPr>
      <t>)</t>
    </r>
    <r>
      <rPr>
        <rFont val="ＭＳ Ｐゴシック"/>
        <sz val="10.0"/>
      </rPr>
      <t>を慮る也映子</t>
    </r>
    <r>
      <rPr>
        <rFont val="Arial"/>
        <sz val="10.0"/>
      </rPr>
      <t>(</t>
    </r>
    <r>
      <rPr>
        <rFont val="ＭＳ Ｐゴシック"/>
        <sz val="10.0"/>
      </rPr>
      <t>波瑠</t>
    </r>
    <r>
      <rPr>
        <rFont val="Arial"/>
        <sz val="10.0"/>
      </rPr>
      <t>)</t>
    </r>
    <r>
      <rPr>
        <rFont val="ＭＳ Ｐゴシック"/>
        <sz val="10.0"/>
      </rPr>
      <t>は、</t>
    </r>
    <r>
      <rPr>
        <rFont val="Arial"/>
        <sz val="10.0"/>
      </rPr>
      <t>3</t>
    </r>
    <r>
      <rPr>
        <rFont val="ＭＳ Ｐゴシック"/>
        <sz val="10.0"/>
      </rPr>
      <t>人でのコンサートの延期を提案する。明るく振る舞う也映子にほっとしつつも、理人はどこか寂しさを感じていた。そんな中、也映子の再就職が決まる。忙しさのあまりバイオリンの練習時間を捻出できず、理人や幸恵ともすれ違う。一方、治療の効果を感じた眞於</t>
    </r>
    <r>
      <rPr>
        <rFont val="Arial"/>
        <sz val="10.0"/>
      </rPr>
      <t>(</t>
    </r>
    <r>
      <rPr>
        <rFont val="ＭＳ Ｐゴシック"/>
        <sz val="10.0"/>
      </rPr>
      <t>桜井ユキ</t>
    </r>
    <r>
      <rPr>
        <rFont val="Arial"/>
        <sz val="10.0"/>
      </rPr>
      <t>)</t>
    </r>
    <r>
      <rPr>
        <rFont val="ＭＳ Ｐゴシック"/>
        <sz val="10.0"/>
      </rPr>
      <t>は演奏会に出ることを決意する。バイオリンと再び向き合い始めたが演奏会直後、突然音楽教室に辞めたいと伝え連絡も取れなくなる</t>
    </r>
    <r>
      <rPr>
        <rFont val="Arial"/>
        <sz val="10.0"/>
      </rPr>
      <t>…</t>
    </r>
    <r>
      <rPr>
        <rFont val="ＭＳ Ｐゴシック"/>
        <sz val="10.0"/>
      </rPr>
      <t>心配する</t>
    </r>
    <r>
      <rPr>
        <rFont val="Arial"/>
        <sz val="10.0"/>
      </rPr>
      <t>3</t>
    </r>
    <r>
      <rPr>
        <rFont val="ＭＳ Ｐゴシック"/>
        <sz val="10.0"/>
      </rPr>
      <t>人だったが、也映子は理人に眞於のところに行くように言う。しかし、行かせてから自分の気持ちに気づき</t>
    </r>
    <r>
      <rPr>
        <rFont val="Arial"/>
        <sz val="10.0"/>
      </rPr>
      <t>…</t>
    </r>
  </si>
  <si>
    <t>番組名火曜ドラマ「G線上のあなたと私」第8話【親愛なる人々へ】</t>
  </si>
  <si>
    <r>
      <rPr>
        <rFont val="ＭＳ Ｐゴシック"/>
        <sz val="10.0"/>
      </rPr>
      <t>理人</t>
    </r>
    <r>
      <rPr>
        <rFont val="Arial"/>
        <sz val="10.0"/>
      </rPr>
      <t>(</t>
    </r>
    <r>
      <rPr>
        <rFont val="ＭＳ Ｐゴシック"/>
        <sz val="10.0"/>
      </rPr>
      <t>中川大志</t>
    </r>
    <r>
      <rPr>
        <rFont val="Arial"/>
        <sz val="10.0"/>
      </rPr>
      <t>)</t>
    </r>
    <r>
      <rPr>
        <rFont val="ＭＳ Ｐゴシック"/>
        <sz val="10.0"/>
      </rPr>
      <t>に傷心している眞於</t>
    </r>
    <r>
      <rPr>
        <rFont val="Arial"/>
        <sz val="10.0"/>
      </rPr>
      <t>(</t>
    </r>
    <r>
      <rPr>
        <rFont val="ＭＳ Ｐゴシック"/>
        <sz val="10.0"/>
      </rPr>
      <t>桜井ユキ</t>
    </r>
    <r>
      <rPr>
        <rFont val="Arial"/>
        <sz val="10.0"/>
      </rPr>
      <t>)</t>
    </r>
    <r>
      <rPr>
        <rFont val="ＭＳ Ｐゴシック"/>
        <sz val="10.0"/>
      </rPr>
      <t>の元を訪ねるように自ら後押しした也映子</t>
    </r>
    <r>
      <rPr>
        <rFont val="Arial"/>
        <sz val="10.0"/>
      </rPr>
      <t>(</t>
    </r>
    <r>
      <rPr>
        <rFont val="ＭＳ Ｐゴシック"/>
        <sz val="10.0"/>
      </rPr>
      <t>波瑠</t>
    </r>
    <r>
      <rPr>
        <rFont val="Arial"/>
        <sz val="10.0"/>
      </rPr>
      <t>)</t>
    </r>
    <r>
      <rPr>
        <rFont val="ＭＳ Ｐゴシック"/>
        <sz val="10.0"/>
      </rPr>
      <t>。しかし、その後自分の気持ちに気づき、思わず幸恵</t>
    </r>
    <r>
      <rPr>
        <rFont val="Arial"/>
        <sz val="10.0"/>
      </rPr>
      <t>(</t>
    </r>
    <r>
      <rPr>
        <rFont val="ＭＳ Ｐゴシック"/>
        <sz val="10.0"/>
      </rPr>
      <t>松下由樹</t>
    </r>
    <r>
      <rPr>
        <rFont val="Arial"/>
        <sz val="10.0"/>
      </rPr>
      <t>)</t>
    </r>
    <r>
      <rPr>
        <rFont val="ＭＳ Ｐゴシック"/>
        <sz val="10.0"/>
      </rPr>
      <t>に本音を吐露し、泣き出してしまう。一方で、理人は眞於の元に行ったことで、自分の也映子へ対する恋心を自覚しはじめる。その後、</t>
    </r>
    <r>
      <rPr>
        <rFont val="Arial"/>
        <sz val="10.0"/>
      </rPr>
      <t>“</t>
    </r>
    <r>
      <rPr>
        <rFont val="ＭＳ Ｐゴシック"/>
        <sz val="10.0"/>
      </rPr>
      <t>三コン</t>
    </r>
    <r>
      <rPr>
        <rFont val="Arial"/>
        <sz val="10.0"/>
      </rPr>
      <t>"</t>
    </r>
    <r>
      <rPr>
        <rFont val="ＭＳ Ｐゴシック"/>
        <sz val="10.0"/>
      </rPr>
      <t>の開催が迫り、練習にも真剣さが増す</t>
    </r>
    <r>
      <rPr>
        <rFont val="Arial"/>
        <sz val="10.0"/>
      </rPr>
      <t>3</t>
    </r>
    <r>
      <rPr>
        <rFont val="ＭＳ Ｐゴシック"/>
        <sz val="10.0"/>
      </rPr>
      <t>人。これまで以上に、理人のスパルタ教官ぶりに拍車がかかっていた。ミニコンサート当日、家族ら大勢が集まる中、幸恵は家族への気持ちを語り始め、也映子はバイオリン教室での思い出や眞於とのことを語り始める。そんな也映子のスピーチを、横で聞いていた理人は内緒で録音していて</t>
    </r>
    <r>
      <rPr>
        <rFont val="Arial"/>
        <sz val="10.0"/>
      </rPr>
      <t>…</t>
    </r>
  </si>
  <si>
    <t>番組名火曜ドラマ「G線上のあなたと私」第9話【女子力なめんな】</t>
  </si>
  <si>
    <r>
      <rPr>
        <rFont val="ＭＳ Ｐゴシック"/>
        <sz val="10.0"/>
      </rPr>
      <t>理人</t>
    </r>
    <r>
      <rPr>
        <rFont val="Arial"/>
        <sz val="10.0"/>
      </rPr>
      <t>(</t>
    </r>
    <r>
      <rPr>
        <rFont val="ＭＳ Ｐゴシック"/>
        <sz val="10.0"/>
      </rPr>
      <t>中川大志</t>
    </r>
    <r>
      <rPr>
        <rFont val="Arial"/>
        <sz val="10.0"/>
      </rPr>
      <t>)</t>
    </r>
    <r>
      <rPr>
        <rFont val="ＭＳ Ｐゴシック"/>
        <sz val="10.0"/>
      </rPr>
      <t>とのデート当日、緊張のあまり体調を崩してしまった也映子</t>
    </r>
    <r>
      <rPr>
        <rFont val="Arial"/>
        <sz val="10.0"/>
      </rPr>
      <t>(</t>
    </r>
    <r>
      <rPr>
        <rFont val="ＭＳ Ｐゴシック"/>
        <sz val="10.0"/>
      </rPr>
      <t>波瑠</t>
    </r>
    <r>
      <rPr>
        <rFont val="Arial"/>
        <sz val="10.0"/>
      </rPr>
      <t>)</t>
    </r>
    <r>
      <rPr>
        <rFont val="ＭＳ Ｐゴシック"/>
        <sz val="10.0"/>
      </rPr>
      <t>。一方、理人は会いたくないから断られたのではないかと疑心暗鬼になり、也映子の自宅を訪ね、困らせてしまう。也映子の部屋で</t>
    </r>
    <r>
      <rPr>
        <rFont val="Arial"/>
        <sz val="10.0"/>
      </rPr>
      <t>2</t>
    </r>
    <r>
      <rPr>
        <rFont val="ＭＳ Ｐゴシック"/>
        <sz val="10.0"/>
      </rPr>
      <t>人になり、ようやくお互いの気持ちを確かめ、ついに付き合うことに。両想いである嬉しさを噛み締める也映子だが、</t>
    </r>
    <r>
      <rPr>
        <rFont val="Arial"/>
        <sz val="10.0"/>
      </rPr>
      <t>8</t>
    </r>
    <r>
      <rPr>
        <rFont val="ＭＳ Ｐゴシック"/>
        <sz val="10.0"/>
      </rPr>
      <t>歳も年下の理人との交際に戸惑いを隠しきれず、空回り</t>
    </r>
    <r>
      <rPr>
        <rFont val="Arial"/>
        <sz val="10.0"/>
      </rPr>
      <t>…</t>
    </r>
    <r>
      <rPr>
        <rFont val="ＭＳ Ｐゴシック"/>
        <sz val="10.0"/>
      </rPr>
      <t>そんな中、</t>
    </r>
    <r>
      <rPr>
        <rFont val="Arial"/>
        <sz val="10.0"/>
      </rPr>
      <t>2</t>
    </r>
    <r>
      <rPr>
        <rFont val="ＭＳ Ｐゴシック"/>
        <sz val="10.0"/>
      </rPr>
      <t>人がデートをしているところに、家事に協力的ではない夫・弘章</t>
    </r>
    <r>
      <rPr>
        <rFont val="Arial"/>
        <sz val="10.0"/>
      </rPr>
      <t>(</t>
    </r>
    <r>
      <rPr>
        <rFont val="ＭＳ Ｐゴシック"/>
        <sz val="10.0"/>
      </rPr>
      <t>小木博明</t>
    </r>
    <r>
      <rPr>
        <rFont val="Arial"/>
        <sz val="10.0"/>
      </rPr>
      <t>)</t>
    </r>
    <r>
      <rPr>
        <rFont val="ＭＳ Ｐゴシック"/>
        <sz val="10.0"/>
      </rPr>
      <t>の態度にイライラを募らせていた幸恵</t>
    </r>
    <r>
      <rPr>
        <rFont val="Arial"/>
        <sz val="10.0"/>
      </rPr>
      <t>(</t>
    </r>
    <r>
      <rPr>
        <rFont val="ＭＳ Ｐゴシック"/>
        <sz val="10.0"/>
      </rPr>
      <t>松下由樹</t>
    </r>
    <r>
      <rPr>
        <rFont val="Arial"/>
        <sz val="10.0"/>
      </rPr>
      <t>)</t>
    </r>
    <r>
      <rPr>
        <rFont val="ＭＳ Ｐゴシック"/>
        <sz val="10.0"/>
      </rPr>
      <t>が家出をしたという連絡が入る。</t>
    </r>
  </si>
  <si>
    <t>番組名火曜ドラマ「G線上のあなたと私」最終話【私たちが二度と会わなくなっても】</t>
  </si>
  <si>
    <r>
      <rPr>
        <rFont val="ＭＳ Ｐゴシック"/>
        <sz val="10.0"/>
      </rPr>
      <t>家出した幸恵</t>
    </r>
    <r>
      <rPr>
        <rFont val="Arial"/>
        <sz val="10.0"/>
      </rPr>
      <t>(</t>
    </r>
    <r>
      <rPr>
        <rFont val="ＭＳ Ｐゴシック"/>
        <sz val="10.0"/>
      </rPr>
      <t>松下由樹</t>
    </r>
    <r>
      <rPr>
        <rFont val="Arial"/>
        <sz val="10.0"/>
      </rPr>
      <t>)</t>
    </r>
    <r>
      <rPr>
        <rFont val="ＭＳ Ｐゴシック"/>
        <sz val="10.0"/>
      </rPr>
      <t>の気持ちを察した也映子</t>
    </r>
    <r>
      <rPr>
        <rFont val="Arial"/>
        <sz val="10.0"/>
      </rPr>
      <t>(</t>
    </r>
    <r>
      <rPr>
        <rFont val="ＭＳ Ｐゴシック"/>
        <sz val="10.0"/>
      </rPr>
      <t>波瑠</t>
    </r>
    <r>
      <rPr>
        <rFont val="Arial"/>
        <sz val="10.0"/>
      </rPr>
      <t>)</t>
    </r>
    <r>
      <rPr>
        <rFont val="ＭＳ Ｐゴシック"/>
        <sz val="10.0"/>
      </rPr>
      <t>は、理人</t>
    </r>
    <r>
      <rPr>
        <rFont val="Arial"/>
        <sz val="10.0"/>
      </rPr>
      <t>(</t>
    </r>
    <r>
      <rPr>
        <rFont val="ＭＳ Ｐゴシック"/>
        <sz val="10.0"/>
      </rPr>
      <t>中川大志</t>
    </r>
    <r>
      <rPr>
        <rFont val="Arial"/>
        <sz val="10.0"/>
      </rPr>
      <t>)</t>
    </r>
    <r>
      <rPr>
        <rFont val="ＭＳ Ｐゴシック"/>
        <sz val="10.0"/>
      </rPr>
      <t>と共に北河家に向かうことに。北河家では、姑の由実子</t>
    </r>
    <r>
      <rPr>
        <rFont val="Arial"/>
        <sz val="10.0"/>
      </rPr>
      <t>(</t>
    </r>
    <r>
      <rPr>
        <rFont val="ＭＳ Ｐゴシック"/>
        <sz val="10.0"/>
      </rPr>
      <t>夏樹陽子</t>
    </r>
    <r>
      <rPr>
        <rFont val="Arial"/>
        <sz val="10.0"/>
      </rPr>
      <t>)</t>
    </r>
    <r>
      <rPr>
        <rFont val="ＭＳ Ｐゴシック"/>
        <sz val="10.0"/>
      </rPr>
      <t>が弘章</t>
    </r>
    <r>
      <rPr>
        <rFont val="Arial"/>
        <sz val="10.0"/>
      </rPr>
      <t>(</t>
    </r>
    <r>
      <rPr>
        <rFont val="ＭＳ Ｐゴシック"/>
        <sz val="10.0"/>
      </rPr>
      <t>小木博明</t>
    </r>
    <r>
      <rPr>
        <rFont val="Arial"/>
        <sz val="10.0"/>
      </rPr>
      <t>)</t>
    </r>
    <r>
      <rPr>
        <rFont val="ＭＳ Ｐゴシック"/>
        <sz val="10.0"/>
      </rPr>
      <t>に幸恵の元に向かうよう促していた。ひょんなことから也映子と理人は弘章らと共に幸恵を一緒に迎えに行くことに。予想外な弘章の行動にほだされ、幸恵は家族の元に帰る。そんな中、也映子は理人に対してすぐに「好き」の先を求めてしまう自分に不安を感じていた。理人は年の差に不安を抱いている也映子を安心させられない自分に不甲斐なさを感じていた。そんなおり、バイオリン三銃士の</t>
    </r>
    <r>
      <rPr>
        <rFont val="Arial"/>
        <sz val="10.0"/>
      </rPr>
      <t>3</t>
    </r>
    <r>
      <rPr>
        <rFont val="ＭＳ Ｐゴシック"/>
        <sz val="10.0"/>
      </rPr>
      <t>人はとあるパーティーでバイオリンを弾くことになる。</t>
    </r>
  </si>
  <si>
    <t>1910_TBS_金22</t>
  </si>
  <si>
    <t>4分間のマリーゴールド</t>
  </si>
  <si>
    <t>番組名金曜ドラマ「4分間のマリーゴールド」♯1【血の繋がらない姉への秘めた想い】</t>
  </si>
  <si>
    <t>['#302']</t>
  </si>
  <si>
    <r>
      <rPr>
        <rFont val="ＭＳ Ｐゴシック"/>
        <sz val="10.0"/>
      </rPr>
      <t>手を重ねた人の「死の運命」が視える能力をもつ救急救命士の花巻みこと</t>
    </r>
    <r>
      <rPr>
        <rFont val="Arial"/>
        <sz val="10.0"/>
      </rPr>
      <t>(</t>
    </r>
    <r>
      <rPr>
        <rFont val="ＭＳ Ｐゴシック"/>
        <sz val="10.0"/>
      </rPr>
      <t>福士蒼汰</t>
    </r>
    <r>
      <rPr>
        <rFont val="Arial"/>
        <sz val="10.0"/>
      </rPr>
      <t>)</t>
    </r>
    <r>
      <rPr>
        <rFont val="ＭＳ Ｐゴシック"/>
        <sz val="10.0"/>
      </rPr>
      <t>。一度視た運命は必ず現実となり、救いたいのに救えないジレンマを抱えながら、それでも日々救急隊として全力を尽くしていた。みことにはある秘密があった。それはひとつ屋根に暮らす血の繋がらない姉・沙羅</t>
    </r>
    <r>
      <rPr>
        <rFont val="Arial"/>
        <sz val="10.0"/>
      </rPr>
      <t>(</t>
    </r>
    <r>
      <rPr>
        <rFont val="ＭＳ Ｐゴシック"/>
        <sz val="10.0"/>
      </rPr>
      <t>菜々緒</t>
    </r>
    <r>
      <rPr>
        <rFont val="Arial"/>
        <sz val="10.0"/>
      </rPr>
      <t>)</t>
    </r>
    <r>
      <rPr>
        <rFont val="ＭＳ Ｐゴシック"/>
        <sz val="10.0"/>
      </rPr>
      <t>を愛してしまったこと。その想いは日に日に募るばかりで</t>
    </r>
    <r>
      <rPr>
        <rFont val="Arial"/>
        <sz val="10.0"/>
      </rPr>
      <t>…</t>
    </r>
    <r>
      <rPr>
        <rFont val="ＭＳ Ｐゴシック"/>
        <sz val="10.0"/>
      </rPr>
      <t>。そしてみことはある日、沙羅の悲しい運命を知ってしまい</t>
    </r>
    <r>
      <rPr>
        <rFont val="Arial"/>
        <sz val="10.0"/>
      </rPr>
      <t>…</t>
    </r>
    <r>
      <rPr>
        <rFont val="ＭＳ Ｐゴシック"/>
        <sz val="10.0"/>
      </rPr>
      <t>。</t>
    </r>
  </si>
  <si>
    <t>番組名金曜ドラマ「4分間のマリーゴールド」♯2【料理担当の末っ子・藍の抱える秘密】</t>
  </si>
  <si>
    <r>
      <rPr>
        <rFont val="ＭＳ Ｐゴシック"/>
        <sz val="10.0"/>
      </rPr>
      <t>「死の運命」が視える能力をもつ救命士みこと</t>
    </r>
    <r>
      <rPr>
        <rFont val="Arial"/>
        <sz val="10.0"/>
      </rPr>
      <t>(</t>
    </r>
    <r>
      <rPr>
        <rFont val="ＭＳ Ｐゴシック"/>
        <sz val="10.0"/>
      </rPr>
      <t>福士蒼汰</t>
    </r>
    <r>
      <rPr>
        <rFont val="Arial"/>
        <sz val="10.0"/>
      </rPr>
      <t>)</t>
    </r>
    <r>
      <rPr>
        <rFont val="ＭＳ Ｐゴシック"/>
        <sz val="10.0"/>
      </rPr>
      <t>は、愛する義姉・沙羅</t>
    </r>
    <r>
      <rPr>
        <rFont val="Arial"/>
        <sz val="10.0"/>
      </rPr>
      <t>(</t>
    </r>
    <r>
      <rPr>
        <rFont val="ＭＳ Ｐゴシック"/>
        <sz val="10.0"/>
      </rPr>
      <t>菜々緒</t>
    </r>
    <r>
      <rPr>
        <rFont val="Arial"/>
        <sz val="10.0"/>
      </rPr>
      <t>)</t>
    </r>
    <r>
      <rPr>
        <rFont val="ＭＳ Ｐゴシック"/>
        <sz val="10.0"/>
      </rPr>
      <t>が余命</t>
    </r>
    <r>
      <rPr>
        <rFont val="Arial"/>
        <sz val="10.0"/>
      </rPr>
      <t>1</t>
    </r>
    <r>
      <rPr>
        <rFont val="ＭＳ Ｐゴシック"/>
        <sz val="10.0"/>
      </rPr>
      <t>年という運命を知り、絶対に沙羅を守ると心に誓う。まずは沙羅の健康に問題がないか探るみこと。その様子にいち早く気づく義弟・藍</t>
    </r>
    <r>
      <rPr>
        <rFont val="Arial"/>
        <sz val="10.0"/>
      </rPr>
      <t>(</t>
    </r>
    <r>
      <rPr>
        <rFont val="ＭＳ Ｐゴシック"/>
        <sz val="10.0"/>
      </rPr>
      <t>横浜流星</t>
    </r>
    <r>
      <rPr>
        <rFont val="Arial"/>
        <sz val="10.0"/>
      </rPr>
      <t>)</t>
    </r>
    <r>
      <rPr>
        <rFont val="ＭＳ Ｐゴシック"/>
        <sz val="10.0"/>
      </rPr>
      <t>だったが、実は藍にも抱えている秘密があった。そんな中、みことは救命の現場で和江</t>
    </r>
    <r>
      <rPr>
        <rFont val="Arial"/>
        <sz val="10.0"/>
      </rPr>
      <t>(</t>
    </r>
    <r>
      <rPr>
        <rFont val="ＭＳ Ｐゴシック"/>
        <sz val="10.0"/>
      </rPr>
      <t>松金よね子</t>
    </r>
    <r>
      <rPr>
        <rFont val="Arial"/>
        <sz val="10.0"/>
      </rPr>
      <t>)</t>
    </r>
    <r>
      <rPr>
        <rFont val="ＭＳ Ｐゴシック"/>
        <sz val="10.0"/>
      </rPr>
      <t>という高齢女性に出会う。みことは、和江が藍に料理を教えてくれた師匠という事を知り</t>
    </r>
    <r>
      <rPr>
        <rFont val="Arial"/>
        <sz val="10.0"/>
      </rPr>
      <t>…</t>
    </r>
  </si>
  <si>
    <t>番組名金曜ドラマ「4分間のマリーゴールド」♯3【突然の告白!沙羅の秘めた想い…】</t>
  </si>
  <si>
    <r>
      <rPr>
        <rFont val="ＭＳ Ｐゴシック"/>
        <sz val="10.0"/>
      </rPr>
      <t>みこと</t>
    </r>
    <r>
      <rPr>
        <rFont val="Arial"/>
        <sz val="10.0"/>
      </rPr>
      <t>(</t>
    </r>
    <r>
      <rPr>
        <rFont val="ＭＳ Ｐゴシック"/>
        <sz val="10.0"/>
      </rPr>
      <t>福士蒼汰</t>
    </r>
    <r>
      <rPr>
        <rFont val="Arial"/>
        <sz val="10.0"/>
      </rPr>
      <t>)</t>
    </r>
    <r>
      <rPr>
        <rFont val="ＭＳ Ｐゴシック"/>
        <sz val="10.0"/>
      </rPr>
      <t>は緊急出動した事故現場で、幼馴染で海外で活躍する写真家の青葉広洋</t>
    </r>
    <r>
      <rPr>
        <rFont val="Arial"/>
        <sz val="10.0"/>
      </rPr>
      <t>(</t>
    </r>
    <r>
      <rPr>
        <rFont val="ＭＳ Ｐゴシック"/>
        <sz val="10.0"/>
      </rPr>
      <t>佐藤隆太</t>
    </r>
    <r>
      <rPr>
        <rFont val="Arial"/>
        <sz val="10.0"/>
      </rPr>
      <t>)</t>
    </r>
    <r>
      <rPr>
        <rFont val="ＭＳ Ｐゴシック"/>
        <sz val="10.0"/>
      </rPr>
      <t>と再会し、広洋はしばらく花巻家で暮らすことに。広洋は絵を描くために世界を見たい沙羅</t>
    </r>
    <r>
      <rPr>
        <rFont val="Arial"/>
        <sz val="10.0"/>
      </rPr>
      <t>(</t>
    </r>
    <r>
      <rPr>
        <rFont val="ＭＳ Ｐゴシック"/>
        <sz val="10.0"/>
      </rPr>
      <t>菜々緒</t>
    </r>
    <r>
      <rPr>
        <rFont val="Arial"/>
        <sz val="10.0"/>
      </rPr>
      <t>)</t>
    </r>
    <r>
      <rPr>
        <rFont val="ＭＳ Ｐゴシック"/>
        <sz val="10.0"/>
      </rPr>
      <t>の夢を聞き、一緒に海外へ行かないか誘う。乗り気の沙羅を見て複雑なみこと。ある雨の日、沙羅を駅まで迎えに行ったみことが、海外に行ってほしくないと思い切って伝えようとすると、突然沙羅が今まで秘めていた想いを告白し</t>
    </r>
    <r>
      <rPr>
        <rFont val="Arial"/>
        <sz val="10.0"/>
      </rPr>
      <t>…!?</t>
    </r>
  </si>
  <si>
    <t>番組名金曜ドラマ「4分間のマリーゴールド」♯4【義兄VSみこと!秘密の恋がばれた日】</t>
  </si>
  <si>
    <r>
      <rPr>
        <rFont val="ＭＳ Ｐゴシック"/>
        <sz val="10.0"/>
      </rPr>
      <t>「ずっと好きだった」お互いの気持ちを確かめ合ったみこと</t>
    </r>
    <r>
      <rPr>
        <rFont val="Arial"/>
        <sz val="10.0"/>
      </rPr>
      <t>(</t>
    </r>
    <r>
      <rPr>
        <rFont val="ＭＳ Ｐゴシック"/>
        <sz val="10.0"/>
      </rPr>
      <t>福士蒼汰</t>
    </r>
    <r>
      <rPr>
        <rFont val="Arial"/>
        <sz val="10.0"/>
      </rPr>
      <t>)</t>
    </r>
    <r>
      <rPr>
        <rFont val="ＭＳ Ｐゴシック"/>
        <sz val="10.0"/>
      </rPr>
      <t>と沙羅</t>
    </r>
    <r>
      <rPr>
        <rFont val="Arial"/>
        <sz val="10.0"/>
      </rPr>
      <t>(</t>
    </r>
    <r>
      <rPr>
        <rFont val="ＭＳ Ｐゴシック"/>
        <sz val="10.0"/>
      </rPr>
      <t>菜々緒</t>
    </r>
    <r>
      <rPr>
        <rFont val="Arial"/>
        <sz val="10.0"/>
      </rPr>
      <t>)</t>
    </r>
    <r>
      <rPr>
        <rFont val="ＭＳ Ｐゴシック"/>
        <sz val="10.0"/>
      </rPr>
      <t>。廉</t>
    </r>
    <r>
      <rPr>
        <rFont val="Arial"/>
        <sz val="10.0"/>
      </rPr>
      <t>(</t>
    </r>
    <r>
      <rPr>
        <rFont val="ＭＳ Ｐゴシック"/>
        <sz val="10.0"/>
      </rPr>
      <t>桐谷健太</t>
    </r>
    <r>
      <rPr>
        <rFont val="Arial"/>
        <sz val="10.0"/>
      </rPr>
      <t>)</t>
    </r>
    <r>
      <rPr>
        <rFont val="ＭＳ Ｐゴシック"/>
        <sz val="10.0"/>
      </rPr>
      <t>や藍</t>
    </r>
    <r>
      <rPr>
        <rFont val="Arial"/>
        <sz val="10.0"/>
      </rPr>
      <t>(</t>
    </r>
    <r>
      <rPr>
        <rFont val="ＭＳ Ｐゴシック"/>
        <sz val="10.0"/>
      </rPr>
      <t>横浜流星</t>
    </r>
    <r>
      <rPr>
        <rFont val="Arial"/>
        <sz val="10.0"/>
      </rPr>
      <t>)</t>
    </r>
    <r>
      <rPr>
        <rFont val="ＭＳ Ｐゴシック"/>
        <sz val="10.0"/>
      </rPr>
      <t>には気づかれないように秘密の恋を育む。ある夜、広洋</t>
    </r>
    <r>
      <rPr>
        <rFont val="Arial"/>
        <sz val="10.0"/>
      </rPr>
      <t>(</t>
    </r>
    <r>
      <rPr>
        <rFont val="ＭＳ Ｐゴシック"/>
        <sz val="10.0"/>
      </rPr>
      <t>佐藤隆太</t>
    </r>
    <r>
      <rPr>
        <rFont val="Arial"/>
        <sz val="10.0"/>
      </rPr>
      <t>)</t>
    </r>
    <r>
      <rPr>
        <rFont val="ＭＳ Ｐゴシック"/>
        <sz val="10.0"/>
      </rPr>
      <t>の誘いで廉を除く花巻家の面々は神社の秋祭りへ向かう。その最中、愛犬シロとはぐれてしまい、みんなで探すうちにみことと沙羅は</t>
    </r>
    <r>
      <rPr>
        <rFont val="Arial"/>
        <sz val="10.0"/>
      </rPr>
      <t>2</t>
    </r>
    <r>
      <rPr>
        <rFont val="ＭＳ Ｐゴシック"/>
        <sz val="10.0"/>
      </rPr>
      <t>人きりに。</t>
    </r>
    <r>
      <rPr>
        <rFont val="Arial"/>
        <sz val="10.0"/>
      </rPr>
      <t>2</t>
    </r>
    <r>
      <rPr>
        <rFont val="ＭＳ Ｐゴシック"/>
        <sz val="10.0"/>
      </rPr>
      <t>人だけの時間を楽しむ</t>
    </r>
    <r>
      <rPr>
        <rFont val="Arial"/>
        <sz val="10.0"/>
      </rPr>
      <t>2</t>
    </r>
    <r>
      <rPr>
        <rFont val="ＭＳ Ｐゴシック"/>
        <sz val="10.0"/>
      </rPr>
      <t>人は、初めてのキスを交わす。それをシロを探しに来ていた廉に目撃され</t>
    </r>
    <r>
      <rPr>
        <rFont val="Arial"/>
        <sz val="10.0"/>
      </rPr>
      <t>…</t>
    </r>
  </si>
  <si>
    <t>番組名金曜ドラマ「4分間のマリーゴールド」♯5【ついに運命の告知ー私、死ぬの…?】</t>
  </si>
  <si>
    <r>
      <rPr>
        <rFont val="ＭＳ Ｐゴシック"/>
        <sz val="10.0"/>
      </rPr>
      <t>みこと</t>
    </r>
    <r>
      <rPr>
        <rFont val="Arial"/>
        <sz val="10.0"/>
      </rPr>
      <t>(</t>
    </r>
    <r>
      <rPr>
        <rFont val="ＭＳ Ｐゴシック"/>
        <sz val="10.0"/>
      </rPr>
      <t>福士蒼汰</t>
    </r>
    <r>
      <rPr>
        <rFont val="Arial"/>
        <sz val="10.0"/>
      </rPr>
      <t>)</t>
    </r>
    <r>
      <rPr>
        <rFont val="ＭＳ Ｐゴシック"/>
        <sz val="10.0"/>
      </rPr>
      <t>が伝えた沙羅</t>
    </r>
    <r>
      <rPr>
        <rFont val="Arial"/>
        <sz val="10.0"/>
      </rPr>
      <t>(</t>
    </r>
    <r>
      <rPr>
        <rFont val="ＭＳ Ｐゴシック"/>
        <sz val="10.0"/>
      </rPr>
      <t>菜々緒</t>
    </r>
    <r>
      <rPr>
        <rFont val="Arial"/>
        <sz val="10.0"/>
      </rPr>
      <t>)</t>
    </r>
    <r>
      <rPr>
        <rFont val="ＭＳ Ｐゴシック"/>
        <sz val="10.0"/>
      </rPr>
      <t>の余命を全く信じない廉</t>
    </r>
    <r>
      <rPr>
        <rFont val="Arial"/>
        <sz val="10.0"/>
      </rPr>
      <t>(</t>
    </r>
    <r>
      <rPr>
        <rFont val="ＭＳ Ｐゴシック"/>
        <sz val="10.0"/>
      </rPr>
      <t>桐谷健太</t>
    </r>
    <r>
      <rPr>
        <rFont val="Arial"/>
        <sz val="10.0"/>
      </rPr>
      <t>)</t>
    </r>
    <r>
      <rPr>
        <rFont val="ＭＳ Ｐゴシック"/>
        <sz val="10.0"/>
      </rPr>
      <t>。ある日救急に出たみことは傷病者が膵臓がんで亡くなる運命を視る。それは廉の先輩・原田</t>
    </r>
    <r>
      <rPr>
        <rFont val="Arial"/>
        <sz val="10.0"/>
      </rPr>
      <t>(</t>
    </r>
    <r>
      <rPr>
        <rFont val="ＭＳ Ｐゴシック"/>
        <sz val="10.0"/>
      </rPr>
      <t>橋本じゅん</t>
    </r>
    <r>
      <rPr>
        <rFont val="Arial"/>
        <sz val="10.0"/>
      </rPr>
      <t>)</t>
    </r>
    <r>
      <rPr>
        <rFont val="ＭＳ Ｐゴシック"/>
        <sz val="10.0"/>
      </rPr>
      <t>の妻・理沙だった。みことは救いたい一心で廉にも理沙の死の運命を伝える。数日後、理沙が本当に亡くなり愕然とする廉。沙羅の余命が本当だと悟った廉は、沙羅の幸せのためにみこととの関係を認める。そして、みことがとった行動とは</t>
    </r>
    <r>
      <rPr>
        <rFont val="Arial"/>
        <sz val="10.0"/>
      </rPr>
      <t>…!?</t>
    </r>
  </si>
  <si>
    <t>番組名金曜ドラマ「4分間のマリーゴールド」♯6【第二章の始まりーついに結婚を決意!】</t>
  </si>
  <si>
    <r>
      <rPr>
        <rFont val="ＭＳ Ｐゴシック"/>
        <sz val="10.0"/>
      </rPr>
      <t>年が明けて、みこと</t>
    </r>
    <r>
      <rPr>
        <rFont val="Arial"/>
        <sz val="10.0"/>
      </rPr>
      <t>(</t>
    </r>
    <r>
      <rPr>
        <rFont val="ＭＳ Ｐゴシック"/>
        <sz val="10.0"/>
      </rPr>
      <t>福士蒼汰</t>
    </r>
    <r>
      <rPr>
        <rFont val="Arial"/>
        <sz val="10.0"/>
      </rPr>
      <t>)</t>
    </r>
    <r>
      <rPr>
        <rFont val="ＭＳ Ｐゴシック"/>
        <sz val="10.0"/>
      </rPr>
      <t>が視た沙羅</t>
    </r>
    <r>
      <rPr>
        <rFont val="Arial"/>
        <sz val="10.0"/>
      </rPr>
      <t>(</t>
    </r>
    <r>
      <rPr>
        <rFont val="ＭＳ Ｐゴシック"/>
        <sz val="10.0"/>
      </rPr>
      <t>菜々緒</t>
    </r>
    <r>
      <rPr>
        <rFont val="Arial"/>
        <sz val="10.0"/>
      </rPr>
      <t>)</t>
    </r>
    <r>
      <rPr>
        <rFont val="ＭＳ Ｐゴシック"/>
        <sz val="10.0"/>
      </rPr>
      <t>の死の運命の日までついに</t>
    </r>
    <r>
      <rPr>
        <rFont val="Arial"/>
        <sz val="10.0"/>
      </rPr>
      <t>9</t>
    </r>
    <r>
      <rPr>
        <rFont val="ＭＳ Ｐゴシック"/>
        <sz val="10.0"/>
      </rPr>
      <t>か月を切り、みことと同様に廉</t>
    </r>
    <r>
      <rPr>
        <rFont val="Arial"/>
        <sz val="10.0"/>
      </rPr>
      <t>(</t>
    </r>
    <r>
      <rPr>
        <rFont val="ＭＳ Ｐゴシック"/>
        <sz val="10.0"/>
      </rPr>
      <t>桐谷健太</t>
    </r>
    <r>
      <rPr>
        <rFont val="Arial"/>
        <sz val="10.0"/>
      </rPr>
      <t>)</t>
    </r>
    <r>
      <rPr>
        <rFont val="ＭＳ Ｐゴシック"/>
        <sz val="10.0"/>
      </rPr>
      <t>と藍</t>
    </r>
    <r>
      <rPr>
        <rFont val="Arial"/>
        <sz val="10.0"/>
      </rPr>
      <t>(</t>
    </r>
    <r>
      <rPr>
        <rFont val="ＭＳ Ｐゴシック"/>
        <sz val="10.0"/>
      </rPr>
      <t>横浜流星</t>
    </r>
    <r>
      <rPr>
        <rFont val="Arial"/>
        <sz val="10.0"/>
      </rPr>
      <t>)</t>
    </r>
    <r>
      <rPr>
        <rFont val="ＭＳ Ｐゴシック"/>
        <sz val="10.0"/>
      </rPr>
      <t>も沙羅の運命を変えるために試行錯誤するが、何が起きるかわからないまま時間だけが過ぎていった。ある朝、みことは沙羅と洗濯物を取り込んでいて、不意に「結婚しよう」と沙羅に言い出す。快く受け入れる沙羅。しかし、沙羅は結婚を具体的に考えれば考えるほど不安ばかり募ってしまい</t>
    </r>
    <r>
      <rPr>
        <rFont val="Arial"/>
        <sz val="10.0"/>
      </rPr>
      <t>…</t>
    </r>
  </si>
  <si>
    <t>番組名金曜ドラマ「4分間のマリーゴールド」♯7【兄弟喧嘩勃発!そして沙羅に異変が!?】</t>
  </si>
  <si>
    <r>
      <rPr>
        <rFont val="ＭＳ Ｐゴシック"/>
        <sz val="10.0"/>
      </rPr>
      <t>みこと</t>
    </r>
    <r>
      <rPr>
        <rFont val="Arial"/>
        <sz val="10.0"/>
      </rPr>
      <t>(</t>
    </r>
    <r>
      <rPr>
        <rFont val="ＭＳ Ｐゴシック"/>
        <sz val="10.0"/>
      </rPr>
      <t>福士蒼汰</t>
    </r>
    <r>
      <rPr>
        <rFont val="Arial"/>
        <sz val="10.0"/>
      </rPr>
      <t>)</t>
    </r>
    <r>
      <rPr>
        <rFont val="ＭＳ Ｐゴシック"/>
        <sz val="10.0"/>
      </rPr>
      <t>と沙羅</t>
    </r>
    <r>
      <rPr>
        <rFont val="Arial"/>
        <sz val="10.0"/>
      </rPr>
      <t>(</t>
    </r>
    <r>
      <rPr>
        <rFont val="ＭＳ Ｐゴシック"/>
        <sz val="10.0"/>
      </rPr>
      <t>菜々緒</t>
    </r>
    <r>
      <rPr>
        <rFont val="Arial"/>
        <sz val="10.0"/>
      </rPr>
      <t>)</t>
    </r>
    <r>
      <rPr>
        <rFont val="ＭＳ Ｐゴシック"/>
        <sz val="10.0"/>
      </rPr>
      <t>の婚約パーティーが開かれ皆に祝福される</t>
    </r>
    <r>
      <rPr>
        <rFont val="Arial"/>
        <sz val="10.0"/>
      </rPr>
      <t>2</t>
    </r>
    <r>
      <rPr>
        <rFont val="ＭＳ Ｐゴシック"/>
        <sz val="10.0"/>
      </rPr>
      <t>人。一方藍</t>
    </r>
    <r>
      <rPr>
        <rFont val="Arial"/>
        <sz val="10.0"/>
      </rPr>
      <t>(</t>
    </r>
    <r>
      <rPr>
        <rFont val="ＭＳ Ｐゴシック"/>
        <sz val="10.0"/>
      </rPr>
      <t>横浜流星</t>
    </r>
    <r>
      <rPr>
        <rFont val="Arial"/>
        <sz val="10.0"/>
      </rPr>
      <t>)</t>
    </r>
    <r>
      <rPr>
        <rFont val="ＭＳ Ｐゴシック"/>
        <sz val="10.0"/>
      </rPr>
      <t>は、廉</t>
    </r>
    <r>
      <rPr>
        <rFont val="Arial"/>
        <sz val="10.0"/>
      </rPr>
      <t>(</t>
    </r>
    <r>
      <rPr>
        <rFont val="ＭＳ Ｐゴシック"/>
        <sz val="10.0"/>
      </rPr>
      <t>桐谷健太</t>
    </r>
    <r>
      <rPr>
        <rFont val="Arial"/>
        <sz val="10.0"/>
      </rPr>
      <t>)</t>
    </r>
    <r>
      <rPr>
        <rFont val="ＭＳ Ｐゴシック"/>
        <sz val="10.0"/>
      </rPr>
      <t>の言う通りに大学進学の準備を進めていたが、本当は料理の道に進みたかった。みことと沙羅は藍の夢を応援するが、高校中退で苦労した廉は学歴が大事と考え猛反対していた。大学受験当日、会場に向かった藍は思わぬ行動に出る。それが発端で激しい兄弟げんかに</t>
    </r>
    <r>
      <rPr>
        <rFont val="Arial"/>
        <sz val="10.0"/>
      </rPr>
      <t>…</t>
    </r>
    <r>
      <rPr>
        <rFont val="ＭＳ Ｐゴシック"/>
        <sz val="10.0"/>
      </rPr>
      <t>。そしてついに、沙羅の身体に異変が起き</t>
    </r>
    <r>
      <rPr>
        <rFont val="Arial"/>
        <sz val="10.0"/>
      </rPr>
      <t>…</t>
    </r>
    <r>
      <rPr>
        <rFont val="ＭＳ Ｐゴシック"/>
        <sz val="10.0"/>
      </rPr>
      <t>。</t>
    </r>
  </si>
  <si>
    <t>番組名金曜ドラマ「4分間のマリーゴールド」♯8【母帰国で新たな波乱!?…迫る運命の日】</t>
  </si>
  <si>
    <r>
      <rPr>
        <rFont val="ＭＳ Ｐゴシック"/>
        <sz val="10.0"/>
      </rPr>
      <t>過労と貧血で倒れた沙羅</t>
    </r>
    <r>
      <rPr>
        <rFont val="Arial"/>
        <sz val="10.0"/>
      </rPr>
      <t>(</t>
    </r>
    <r>
      <rPr>
        <rFont val="ＭＳ Ｐゴシック"/>
        <sz val="10.0"/>
      </rPr>
      <t>菜々緒</t>
    </r>
    <r>
      <rPr>
        <rFont val="Arial"/>
        <sz val="10.0"/>
      </rPr>
      <t>)</t>
    </r>
    <r>
      <rPr>
        <rFont val="ＭＳ Ｐゴシック"/>
        <sz val="10.0"/>
      </rPr>
      <t>。命に別状はなかったが改めて気を引き締めるみこと</t>
    </r>
    <r>
      <rPr>
        <rFont val="Arial"/>
        <sz val="10.0"/>
      </rPr>
      <t>(</t>
    </r>
    <r>
      <rPr>
        <rFont val="ＭＳ Ｐゴシック"/>
        <sz val="10.0"/>
      </rPr>
      <t>福士蒼汰</t>
    </r>
    <r>
      <rPr>
        <rFont val="Arial"/>
        <sz val="10.0"/>
      </rPr>
      <t>)</t>
    </r>
    <r>
      <rPr>
        <rFont val="ＭＳ Ｐゴシック"/>
        <sz val="10.0"/>
      </rPr>
      <t>、廉</t>
    </r>
    <r>
      <rPr>
        <rFont val="Arial"/>
        <sz val="10.0"/>
      </rPr>
      <t>(</t>
    </r>
    <r>
      <rPr>
        <rFont val="ＭＳ Ｐゴシック"/>
        <sz val="10.0"/>
      </rPr>
      <t>桐谷健太</t>
    </r>
    <r>
      <rPr>
        <rFont val="Arial"/>
        <sz val="10.0"/>
      </rPr>
      <t>)</t>
    </r>
    <r>
      <rPr>
        <rFont val="ＭＳ Ｐゴシック"/>
        <sz val="10.0"/>
      </rPr>
      <t>、藍</t>
    </r>
    <r>
      <rPr>
        <rFont val="Arial"/>
        <sz val="10.0"/>
      </rPr>
      <t>(</t>
    </r>
    <r>
      <rPr>
        <rFont val="ＭＳ Ｐゴシック"/>
        <sz val="10.0"/>
      </rPr>
      <t>横浜流星</t>
    </r>
    <r>
      <rPr>
        <rFont val="Arial"/>
        <sz val="10.0"/>
      </rPr>
      <t>)</t>
    </r>
    <r>
      <rPr>
        <rFont val="ＭＳ Ｐゴシック"/>
        <sz val="10.0"/>
      </rPr>
      <t>。そんな中、久々に母・理津</t>
    </r>
    <r>
      <rPr>
        <rFont val="Arial"/>
        <sz val="10.0"/>
      </rPr>
      <t>(</t>
    </r>
    <r>
      <rPr>
        <rFont val="ＭＳ Ｐゴシック"/>
        <sz val="10.0"/>
      </rPr>
      <t>麻生祐未</t>
    </r>
    <r>
      <rPr>
        <rFont val="Arial"/>
        <sz val="10.0"/>
      </rPr>
      <t>)</t>
    </r>
    <r>
      <rPr>
        <rFont val="ＭＳ Ｐゴシック"/>
        <sz val="10.0"/>
      </rPr>
      <t>が帰国する。みことが沙羅との結婚を理津に伝えると、理津は驚きつつ祝福してくれた。しかし沙羅の余命のことをなかなか言い出せず</t>
    </r>
    <r>
      <rPr>
        <rFont val="Arial"/>
        <sz val="10.0"/>
      </rPr>
      <t>…</t>
    </r>
    <r>
      <rPr>
        <rFont val="ＭＳ Ｐゴシック"/>
        <sz val="10.0"/>
      </rPr>
      <t>。ある日みことは臨月の妊婦の救急に駆け付ける。「絶対にこの子を産む」という彼女に手を重ねると亡くなる運命が視え</t>
    </r>
    <r>
      <rPr>
        <rFont val="Arial"/>
        <sz val="10.0"/>
      </rPr>
      <t>…</t>
    </r>
    <r>
      <rPr>
        <rFont val="ＭＳ Ｐゴシック"/>
        <sz val="10.0"/>
      </rPr>
      <t>。</t>
    </r>
  </si>
  <si>
    <t>番組名金曜ドラマ「4分間のマリーゴールド」♯9【奇跡の予兆!?…運命が視えない!】</t>
  </si>
  <si>
    <r>
      <rPr>
        <rFont val="ＭＳ Ｐゴシック"/>
        <sz val="10.0"/>
      </rPr>
      <t>藍</t>
    </r>
    <r>
      <rPr>
        <rFont val="Arial"/>
        <sz val="10.0"/>
      </rPr>
      <t>(</t>
    </r>
    <r>
      <rPr>
        <rFont val="ＭＳ Ｐゴシック"/>
        <sz val="10.0"/>
      </rPr>
      <t>横浜流星</t>
    </r>
    <r>
      <rPr>
        <rFont val="Arial"/>
        <sz val="10.0"/>
      </rPr>
      <t>)</t>
    </r>
    <r>
      <rPr>
        <rFont val="ＭＳ Ｐゴシック"/>
        <sz val="10.0"/>
      </rPr>
      <t>は無事に調理師学校の面接を終え、廉</t>
    </r>
    <r>
      <rPr>
        <rFont val="Arial"/>
        <sz val="10.0"/>
      </rPr>
      <t>(</t>
    </r>
    <r>
      <rPr>
        <rFont val="ＭＳ Ｐゴシック"/>
        <sz val="10.0"/>
      </rPr>
      <t>桐谷健太</t>
    </r>
    <r>
      <rPr>
        <rFont val="Arial"/>
        <sz val="10.0"/>
      </rPr>
      <t>)</t>
    </r>
    <r>
      <rPr>
        <rFont val="ＭＳ Ｐゴシック"/>
        <sz val="10.0"/>
      </rPr>
      <t>は千冬</t>
    </r>
    <r>
      <rPr>
        <rFont val="Arial"/>
        <sz val="10.0"/>
      </rPr>
      <t>(</t>
    </r>
    <r>
      <rPr>
        <rFont val="ＭＳ Ｐゴシック"/>
        <sz val="10.0"/>
      </rPr>
      <t>磯山さやか</t>
    </r>
    <r>
      <rPr>
        <rFont val="Arial"/>
        <sz val="10.0"/>
      </rPr>
      <t>)</t>
    </r>
    <r>
      <rPr>
        <rFont val="ＭＳ Ｐゴシック"/>
        <sz val="10.0"/>
      </rPr>
      <t>に改めて会いに行くと宣言。みこと</t>
    </r>
    <r>
      <rPr>
        <rFont val="Arial"/>
        <sz val="10.0"/>
      </rPr>
      <t>(</t>
    </r>
    <r>
      <rPr>
        <rFont val="ＭＳ Ｐゴシック"/>
        <sz val="10.0"/>
      </rPr>
      <t>福士蒼汰</t>
    </r>
    <r>
      <rPr>
        <rFont val="Arial"/>
        <sz val="10.0"/>
      </rPr>
      <t>)</t>
    </r>
    <r>
      <rPr>
        <rFont val="ＭＳ Ｐゴシック"/>
        <sz val="10.0"/>
      </rPr>
      <t>は、沙羅</t>
    </r>
    <r>
      <rPr>
        <rFont val="Arial"/>
        <sz val="10.0"/>
      </rPr>
      <t>(</t>
    </r>
    <r>
      <rPr>
        <rFont val="ＭＳ Ｐゴシック"/>
        <sz val="10.0"/>
      </rPr>
      <t>菜々緒</t>
    </r>
    <r>
      <rPr>
        <rFont val="Arial"/>
        <sz val="10.0"/>
      </rPr>
      <t>)</t>
    </r>
    <r>
      <rPr>
        <rFont val="ＭＳ Ｐゴシック"/>
        <sz val="10.0"/>
      </rPr>
      <t>に婚約指輪を渡し、花巻家がいい方へ向かっている幸せを実感し喜ぶ。そんな中、みことは沙羅の同級生で小学校教師の滝沢</t>
    </r>
    <r>
      <rPr>
        <rFont val="Arial"/>
        <sz val="10.0"/>
      </rPr>
      <t>(</t>
    </r>
    <r>
      <rPr>
        <rFont val="ＭＳ Ｐゴシック"/>
        <sz val="10.0"/>
      </rPr>
      <t>市川知宏</t>
    </r>
    <r>
      <rPr>
        <rFont val="Arial"/>
        <sz val="10.0"/>
      </rPr>
      <t>)</t>
    </r>
    <r>
      <rPr>
        <rFont val="ＭＳ Ｐゴシック"/>
        <sz val="10.0"/>
      </rPr>
      <t>とその生徒を搬送する。生徒をかばって頭を打ち、意識を失う滝沢。みことは思わず手を重ねるが、突然何のビジョンも視えなくなっていて</t>
    </r>
    <r>
      <rPr>
        <rFont val="Arial"/>
        <sz val="10.0"/>
      </rPr>
      <t>…</t>
    </r>
    <r>
      <rPr>
        <rFont val="ＭＳ Ｐゴシック"/>
        <sz val="10.0"/>
      </rPr>
      <t>。</t>
    </r>
  </si>
  <si>
    <t>番組名金曜ドラマ「4分間のマリーゴールド」♯10【奇跡は起きるか!?ついに運命の日!】</t>
  </si>
  <si>
    <r>
      <rPr>
        <rFont val="ＭＳ Ｐゴシック"/>
        <sz val="10.0"/>
      </rPr>
      <t>衝突事故に遭い、みこと</t>
    </r>
    <r>
      <rPr>
        <rFont val="Arial"/>
        <sz val="10.0"/>
      </rPr>
      <t>(</t>
    </r>
    <r>
      <rPr>
        <rFont val="ＭＳ Ｐゴシック"/>
        <sz val="10.0"/>
      </rPr>
      <t>福士蒼汰</t>
    </r>
    <r>
      <rPr>
        <rFont val="Arial"/>
        <sz val="10.0"/>
      </rPr>
      <t>)</t>
    </r>
    <r>
      <rPr>
        <rFont val="ＭＳ Ｐゴシック"/>
        <sz val="10.0"/>
      </rPr>
      <t>の必死の救命措置にも関わらず昏睡状態に陥った沙羅</t>
    </r>
    <r>
      <rPr>
        <rFont val="Arial"/>
        <sz val="10.0"/>
      </rPr>
      <t>(</t>
    </r>
    <r>
      <rPr>
        <rFont val="ＭＳ Ｐゴシック"/>
        <sz val="10.0"/>
      </rPr>
      <t>菜々緒</t>
    </r>
    <r>
      <rPr>
        <rFont val="Arial"/>
        <sz val="10.0"/>
      </rPr>
      <t>)</t>
    </r>
    <r>
      <rPr>
        <rFont val="ＭＳ Ｐゴシック"/>
        <sz val="10.0"/>
      </rPr>
      <t>。みことは廉</t>
    </r>
    <r>
      <rPr>
        <rFont val="Arial"/>
        <sz val="10.0"/>
      </rPr>
      <t>(</t>
    </r>
    <r>
      <rPr>
        <rFont val="ＭＳ Ｐゴシック"/>
        <sz val="10.0"/>
      </rPr>
      <t>桐谷健太</t>
    </r>
    <r>
      <rPr>
        <rFont val="Arial"/>
        <sz val="10.0"/>
      </rPr>
      <t>)</t>
    </r>
    <r>
      <rPr>
        <rFont val="ＭＳ Ｐゴシック"/>
        <sz val="10.0"/>
      </rPr>
      <t>、藍</t>
    </r>
    <r>
      <rPr>
        <rFont val="Arial"/>
        <sz val="10.0"/>
      </rPr>
      <t>(</t>
    </r>
    <r>
      <rPr>
        <rFont val="ＭＳ Ｐゴシック"/>
        <sz val="10.0"/>
      </rPr>
      <t>横浜流星</t>
    </r>
    <r>
      <rPr>
        <rFont val="Arial"/>
        <sz val="10.0"/>
      </rPr>
      <t>)</t>
    </r>
    <r>
      <rPr>
        <rFont val="ＭＳ Ｐゴシック"/>
        <sz val="10.0"/>
      </rPr>
      <t>そして帰国した母・理津</t>
    </r>
    <r>
      <rPr>
        <rFont val="Arial"/>
        <sz val="10.0"/>
      </rPr>
      <t>(</t>
    </r>
    <r>
      <rPr>
        <rFont val="ＭＳ Ｐゴシック"/>
        <sz val="10.0"/>
      </rPr>
      <t>麻生祐未</t>
    </r>
    <r>
      <rPr>
        <rFont val="Arial"/>
        <sz val="10.0"/>
      </rPr>
      <t>)</t>
    </r>
    <r>
      <rPr>
        <rFont val="ＭＳ Ｐゴシック"/>
        <sz val="10.0"/>
      </rPr>
      <t>と沙羅が目を覚ますことを信じ待つが運命の日は刻々と近づいていく。そんな中、みことは沙羅が事故の前に広洋</t>
    </r>
    <r>
      <rPr>
        <rFont val="Arial"/>
        <sz val="10.0"/>
      </rPr>
      <t>(</t>
    </r>
    <r>
      <rPr>
        <rFont val="ＭＳ Ｐゴシック"/>
        <sz val="10.0"/>
      </rPr>
      <t>佐藤隆太</t>
    </r>
    <r>
      <rPr>
        <rFont val="Arial"/>
        <sz val="10.0"/>
      </rPr>
      <t>)</t>
    </r>
    <r>
      <rPr>
        <rFont val="ＭＳ Ｐゴシック"/>
        <sz val="10.0"/>
      </rPr>
      <t>にあるものを託していたことを知り</t>
    </r>
    <r>
      <rPr>
        <rFont val="Arial"/>
        <sz val="10.0"/>
      </rPr>
      <t>…</t>
    </r>
    <r>
      <rPr>
        <rFont val="ＭＳ Ｐゴシック"/>
        <sz val="10.0"/>
      </rPr>
      <t>。沙羅の命はどうなるのか</t>
    </r>
    <r>
      <rPr>
        <rFont val="Arial"/>
        <sz val="10.0"/>
      </rPr>
      <t>!?</t>
    </r>
    <r>
      <rPr>
        <rFont val="ＭＳ Ｐゴシック"/>
        <sz val="10.0"/>
      </rPr>
      <t>みことは奇跡を起こせるか</t>
    </r>
    <r>
      <rPr>
        <rFont val="Arial"/>
        <sz val="10.0"/>
      </rPr>
      <t>!?</t>
    </r>
    <r>
      <rPr>
        <rFont val="ＭＳ Ｐゴシック"/>
        <sz val="10.0"/>
      </rPr>
      <t>ついに運命の日が訪れる</t>
    </r>
    <r>
      <rPr>
        <rFont val="Arial"/>
        <sz val="10.0"/>
      </rPr>
      <t>!!</t>
    </r>
  </si>
  <si>
    <t>1910_TBS_日21</t>
  </si>
  <si>
    <t>グランメゾン東京</t>
  </si>
  <si>
    <t>番組名日曜劇場「グランメゾン東京」　第1話「手長エビのエチュベ」</t>
  </si>
  <si>
    <r>
      <rPr>
        <rFont val="ＭＳ Ｐゴシック"/>
        <sz val="10.0"/>
      </rPr>
      <t>舞台はパリ。フランスの三つ星「ランブロワジー」で料理人人生をかけて、面接を受けていた早見倫子</t>
    </r>
    <r>
      <rPr>
        <rFont val="Arial"/>
        <sz val="10.0"/>
      </rPr>
      <t>(</t>
    </r>
    <r>
      <rPr>
        <rFont val="ＭＳ Ｐゴシック"/>
        <sz val="10.0"/>
      </rPr>
      <t>鈴木京香</t>
    </r>
    <r>
      <rPr>
        <rFont val="Arial"/>
        <sz val="10.0"/>
      </rPr>
      <t>)</t>
    </r>
    <r>
      <rPr>
        <rFont val="ＭＳ Ｐゴシック"/>
        <sz val="10.0"/>
      </rPr>
      <t>。そんな中、ある一人の男と出会う。その男は突然かけこんできて、一方的にアイディアを出してから、借金取りに追われて去っていく。</t>
    </r>
    <r>
      <rPr>
        <rFont val="Arial"/>
        <sz val="10.0"/>
      </rPr>
      <t xml:space="preserve">  </t>
    </r>
    <r>
      <rPr>
        <rFont val="ＭＳ Ｐゴシック"/>
        <sz val="10.0"/>
      </rPr>
      <t>その男は、パリで二つ星を獲得し、三つ星にもっとも近いとされたフレンチ料理人。しかし、</t>
    </r>
    <r>
      <rPr>
        <rFont val="Arial"/>
        <sz val="10.0"/>
      </rPr>
      <t>3</t>
    </r>
    <r>
      <rPr>
        <rFont val="ＭＳ Ｐゴシック"/>
        <sz val="10.0"/>
      </rPr>
      <t>年前のある事件がきっかけて表舞台から姿を消した尾花夏樹</t>
    </r>
    <r>
      <rPr>
        <rFont val="Arial"/>
        <sz val="10.0"/>
      </rPr>
      <t>(</t>
    </r>
    <r>
      <rPr>
        <rFont val="ＭＳ Ｐゴシック"/>
        <sz val="10.0"/>
      </rPr>
      <t>木村拓哉</t>
    </r>
    <r>
      <rPr>
        <rFont val="Arial"/>
        <sz val="10.0"/>
      </rPr>
      <t>)</t>
    </r>
    <r>
      <rPr>
        <rFont val="ＭＳ Ｐゴシック"/>
        <sz val="10.0"/>
      </rPr>
      <t>だった。面接に落ちた倫子は、落ち込んでいる中、再び尾花に出会う。</t>
    </r>
    <r>
      <rPr>
        <rFont val="Arial"/>
        <sz val="10.0"/>
      </rPr>
      <t xml:space="preserve">  </t>
    </r>
    <r>
      <rPr>
        <rFont val="ＭＳ Ｐゴシック"/>
        <sz val="10.0"/>
      </rPr>
      <t>そこで、尾花が作った料理のあまりのおいしさと、自分の才能のなさに思わず涙をこぼす。</t>
    </r>
    <r>
      <rPr>
        <rFont val="Arial"/>
        <sz val="10.0"/>
      </rPr>
      <t xml:space="preserve">  </t>
    </r>
    <r>
      <rPr>
        <rFont val="ＭＳ Ｐゴシック"/>
        <sz val="10.0"/>
      </rPr>
      <t>その時、尾花は倫子に突然、一緒に店を作らないかと提案する。</t>
    </r>
  </si>
  <si>
    <t>番組名日曜劇場「グランメゾン東京」　第2話「ナスのプレッセ」</t>
  </si>
  <si>
    <r>
      <rPr>
        <rFont val="ＭＳ Ｐゴシック"/>
        <sz val="10.0"/>
      </rPr>
      <t>オープンに向けて準備する「グランメゾン東京」。しかし大きな壁にぶちあたっていた。それは開店資金</t>
    </r>
    <r>
      <rPr>
        <rFont val="Arial"/>
        <sz val="10.0"/>
      </rPr>
      <t>5000</t>
    </r>
    <r>
      <rPr>
        <rFont val="ＭＳ Ｐゴシック"/>
        <sz val="10.0"/>
      </rPr>
      <t>万。倫子</t>
    </r>
    <r>
      <rPr>
        <rFont val="Arial"/>
        <sz val="10.0"/>
      </rPr>
      <t>(</t>
    </r>
    <r>
      <rPr>
        <rFont val="ＭＳ Ｐゴシック"/>
        <sz val="10.0"/>
      </rPr>
      <t>鈴木京香</t>
    </r>
    <r>
      <rPr>
        <rFont val="Arial"/>
        <sz val="10.0"/>
      </rPr>
      <t>)</t>
    </r>
    <r>
      <rPr>
        <rFont val="ＭＳ Ｐゴシック"/>
        <sz val="10.0"/>
      </rPr>
      <t>と京野</t>
    </r>
    <r>
      <rPr>
        <rFont val="Arial"/>
        <sz val="10.0"/>
      </rPr>
      <t>(</t>
    </r>
    <r>
      <rPr>
        <rFont val="ＭＳ Ｐゴシック"/>
        <sz val="10.0"/>
      </rPr>
      <t>沢村一樹</t>
    </r>
    <r>
      <rPr>
        <rFont val="Arial"/>
        <sz val="10.0"/>
      </rPr>
      <t>)</t>
    </r>
    <r>
      <rPr>
        <rFont val="ＭＳ Ｐゴシック"/>
        <sz val="10.0"/>
      </rPr>
      <t>は銀行の融資をことごとく断られる。名声のある相沢</t>
    </r>
    <r>
      <rPr>
        <rFont val="Arial"/>
        <sz val="10.0"/>
      </rPr>
      <t>(</t>
    </r>
    <r>
      <rPr>
        <rFont val="ＭＳ Ｐゴシック"/>
        <sz val="10.0"/>
      </rPr>
      <t>及川光博</t>
    </r>
    <r>
      <rPr>
        <rFont val="Arial"/>
        <sz val="10.0"/>
      </rPr>
      <t>)</t>
    </r>
    <r>
      <rPr>
        <rFont val="ＭＳ Ｐゴシック"/>
        <sz val="10.0"/>
      </rPr>
      <t>に手を貸してほしいと頼むが、それも断られる。</t>
    </r>
    <r>
      <rPr>
        <rFont val="Arial"/>
        <sz val="10.0"/>
      </rPr>
      <t xml:space="preserve">  </t>
    </r>
    <r>
      <rPr>
        <rFont val="ＭＳ Ｐゴシック"/>
        <sz val="10.0"/>
      </rPr>
      <t>尾花</t>
    </r>
    <r>
      <rPr>
        <rFont val="Arial"/>
        <sz val="10.0"/>
      </rPr>
      <t>(</t>
    </r>
    <r>
      <rPr>
        <rFont val="ＭＳ Ｐゴシック"/>
        <sz val="10.0"/>
      </rPr>
      <t>木村拓哉</t>
    </r>
    <r>
      <rPr>
        <rFont val="Arial"/>
        <sz val="10.0"/>
      </rPr>
      <t>)</t>
    </r>
    <r>
      <rPr>
        <rFont val="ＭＳ Ｐゴシック"/>
        <sz val="10.0"/>
      </rPr>
      <t>はそんな状況にも意を介さずメニュー開発を続けていた。</t>
    </r>
    <r>
      <rPr>
        <rFont val="Arial"/>
        <sz val="10.0"/>
      </rPr>
      <t xml:space="preserve">  </t>
    </r>
    <r>
      <rPr>
        <rFont val="ＭＳ Ｐゴシック"/>
        <sz val="10.0"/>
      </rPr>
      <t>そんな中、京野はある秘策を思いつく。「</t>
    </r>
    <r>
      <rPr>
        <rFont val="Arial"/>
        <sz val="10.0"/>
      </rPr>
      <t>gaku</t>
    </r>
    <r>
      <rPr>
        <rFont val="ＭＳ Ｐゴシック"/>
        <sz val="10.0"/>
      </rPr>
      <t>」時代に懇意にしていた城西信用金庫の汐瀬</t>
    </r>
    <r>
      <rPr>
        <rFont val="Arial"/>
        <sz val="10.0"/>
      </rPr>
      <t>(</t>
    </r>
    <r>
      <rPr>
        <rFont val="ＭＳ Ｐゴシック"/>
        <sz val="10.0"/>
      </rPr>
      <t>春風亭昇太</t>
    </r>
    <r>
      <rPr>
        <rFont val="Arial"/>
        <sz val="10.0"/>
      </rPr>
      <t>)</t>
    </r>
    <r>
      <rPr>
        <rFont val="ＭＳ Ｐゴシック"/>
        <sz val="10.0"/>
      </rPr>
      <t>に相談することだ。</t>
    </r>
    <r>
      <rPr>
        <rFont val="Arial"/>
        <sz val="10.0"/>
      </rPr>
      <t xml:space="preserve">  </t>
    </r>
    <r>
      <rPr>
        <rFont val="ＭＳ Ｐゴシック"/>
        <sz val="10.0"/>
      </rPr>
      <t>汐瀬は、事業計画を見て、原価率の改善を要求する。それは、つまり今まで尾花が使ってきた食材を使わないで料理を作るということ。</t>
    </r>
    <r>
      <rPr>
        <rFont val="Arial"/>
        <sz val="10.0"/>
      </rPr>
      <t xml:space="preserve">  </t>
    </r>
    <r>
      <rPr>
        <rFont val="ＭＳ Ｐゴシック"/>
        <sz val="10.0"/>
      </rPr>
      <t>そんな中、尾花は汐瀬に、最高の一品を作るから食べてくれと直談判する。</t>
    </r>
    <r>
      <rPr>
        <rFont val="Arial"/>
        <sz val="10.0"/>
      </rPr>
      <t xml:space="preserve">  </t>
    </r>
    <r>
      <rPr>
        <rFont val="ＭＳ Ｐゴシック"/>
        <sz val="10.0"/>
      </rPr>
      <t>はたして、汐瀬を納得させることができるのか</t>
    </r>
    <r>
      <rPr>
        <rFont val="Arial"/>
        <sz val="10.0"/>
      </rPr>
      <t>!?</t>
    </r>
  </si>
  <si>
    <t>番組名日曜劇場「グランメゾン東京」　第3話「鹿肉のロティとコンソメ」</t>
  </si>
  <si>
    <r>
      <rPr>
        <rFont val="ＭＳ Ｐゴシック"/>
        <sz val="10.0"/>
      </rPr>
      <t>尾花</t>
    </r>
    <r>
      <rPr>
        <rFont val="Arial"/>
        <sz val="10.0"/>
      </rPr>
      <t>(</t>
    </r>
    <r>
      <rPr>
        <rFont val="ＭＳ Ｐゴシック"/>
        <sz val="10.0"/>
      </rPr>
      <t>木村拓哉</t>
    </r>
    <r>
      <rPr>
        <rFont val="Arial"/>
        <sz val="10.0"/>
      </rPr>
      <t>)</t>
    </r>
    <r>
      <rPr>
        <rFont val="ＭＳ Ｐゴシック"/>
        <sz val="10.0"/>
      </rPr>
      <t>と倫子</t>
    </r>
    <r>
      <rPr>
        <rFont val="Arial"/>
        <sz val="10.0"/>
      </rPr>
      <t>(</t>
    </r>
    <r>
      <rPr>
        <rFont val="ＭＳ Ｐゴシック"/>
        <sz val="10.0"/>
      </rPr>
      <t>鈴木京香</t>
    </r>
    <r>
      <rPr>
        <rFont val="Arial"/>
        <sz val="10.0"/>
      </rPr>
      <t>)</t>
    </r>
    <r>
      <rPr>
        <rFont val="ＭＳ Ｐゴシック"/>
        <sz val="10.0"/>
      </rPr>
      <t>はコースのメインである肉料理開発に挑んでいた。</t>
    </r>
    <r>
      <rPr>
        <rFont val="Arial"/>
        <sz val="10.0"/>
      </rPr>
      <t xml:space="preserve">  </t>
    </r>
    <r>
      <rPr>
        <rFont val="ＭＳ Ｐゴシック"/>
        <sz val="10.0"/>
      </rPr>
      <t>そんな折、京野</t>
    </r>
    <r>
      <rPr>
        <rFont val="Arial"/>
        <sz val="10.0"/>
      </rPr>
      <t>(</t>
    </r>
    <r>
      <rPr>
        <rFont val="ＭＳ Ｐゴシック"/>
        <sz val="10.0"/>
      </rPr>
      <t>沢村一樹</t>
    </r>
    <r>
      <rPr>
        <rFont val="Arial"/>
        <sz val="10.0"/>
      </rPr>
      <t>)</t>
    </r>
    <r>
      <rPr>
        <rFont val="ＭＳ Ｐゴシック"/>
        <sz val="10.0"/>
      </rPr>
      <t>はフリーライター栞奈</t>
    </r>
    <r>
      <rPr>
        <rFont val="Arial"/>
        <sz val="10.0"/>
      </rPr>
      <t>(</t>
    </r>
    <r>
      <rPr>
        <rFont val="ＭＳ Ｐゴシック"/>
        <sz val="10.0"/>
      </rPr>
      <t>中村アン</t>
    </r>
    <r>
      <rPr>
        <rFont val="Arial"/>
        <sz val="10.0"/>
      </rPr>
      <t>)</t>
    </r>
    <r>
      <rPr>
        <rFont val="ＭＳ Ｐゴシック"/>
        <sz val="10.0"/>
      </rPr>
      <t>の紹介で鹿肉のジビエ料理コンクールのエントリーを提案する。そこには丹後</t>
    </r>
    <r>
      <rPr>
        <rFont val="Arial"/>
        <sz val="10.0"/>
      </rPr>
      <t>(</t>
    </r>
    <r>
      <rPr>
        <rFont val="ＭＳ Ｐゴシック"/>
        <sz val="10.0"/>
      </rPr>
      <t>尾上菊之助</t>
    </r>
    <r>
      <rPr>
        <rFont val="Arial"/>
        <sz val="10.0"/>
      </rPr>
      <t>)</t>
    </r>
    <r>
      <rPr>
        <rFont val="ＭＳ Ｐゴシック"/>
        <sz val="10.0"/>
      </rPr>
      <t>も出場することがわかり、尾花は俄然やる気になる。</t>
    </r>
    <r>
      <rPr>
        <rFont val="Arial"/>
        <sz val="10.0"/>
      </rPr>
      <t xml:space="preserve">  </t>
    </r>
    <r>
      <rPr>
        <rFont val="ＭＳ Ｐゴシック"/>
        <sz val="10.0"/>
      </rPr>
      <t>しかし、江藤</t>
    </r>
    <r>
      <rPr>
        <rFont val="Arial"/>
        <sz val="10.0"/>
      </rPr>
      <t>(</t>
    </r>
    <r>
      <rPr>
        <rFont val="ＭＳ Ｐゴシック"/>
        <sz val="10.0"/>
      </rPr>
      <t>手塚とおる</t>
    </r>
    <r>
      <rPr>
        <rFont val="Arial"/>
        <sz val="10.0"/>
      </rPr>
      <t>)</t>
    </r>
    <r>
      <rPr>
        <rFont val="ＭＳ Ｐゴシック"/>
        <sz val="10.0"/>
      </rPr>
      <t>により、上質な鹿肉はすべて買い占められていた。</t>
    </r>
    <r>
      <rPr>
        <rFont val="Arial"/>
        <sz val="10.0"/>
      </rPr>
      <t xml:space="preserve">  </t>
    </r>
    <r>
      <rPr>
        <rFont val="ＭＳ Ｐゴシック"/>
        <sz val="10.0"/>
      </rPr>
      <t>絶対不利な状況の中、尾花は相沢</t>
    </r>
    <r>
      <rPr>
        <rFont val="Arial"/>
        <sz val="10.0"/>
      </rPr>
      <t>(</t>
    </r>
    <r>
      <rPr>
        <rFont val="ＭＳ Ｐゴシック"/>
        <sz val="10.0"/>
      </rPr>
      <t>及川光博</t>
    </r>
    <r>
      <rPr>
        <rFont val="Arial"/>
        <sz val="10.0"/>
      </rPr>
      <t>)</t>
    </r>
    <r>
      <rPr>
        <rFont val="ＭＳ Ｐゴシック"/>
        <sz val="10.0"/>
      </rPr>
      <t>の情報を頼りに伝説のジビエ猟師・峰岸</t>
    </r>
    <r>
      <rPr>
        <rFont val="Arial"/>
        <sz val="10.0"/>
      </rPr>
      <t>(</t>
    </r>
    <r>
      <rPr>
        <rFont val="ＭＳ Ｐゴシック"/>
        <sz val="10.0"/>
      </rPr>
      <t>石丸幹二</t>
    </r>
    <r>
      <rPr>
        <rFont val="Arial"/>
        <sz val="10.0"/>
      </rPr>
      <t>)</t>
    </r>
    <r>
      <rPr>
        <rFont val="ＭＳ Ｐゴシック"/>
        <sz val="10.0"/>
      </rPr>
      <t>に会いに行く。しかし、頑固な職人の峰岸に門前払いされてしまう。</t>
    </r>
    <r>
      <rPr>
        <rFont val="Arial"/>
        <sz val="10.0"/>
      </rPr>
      <t xml:space="preserve">  </t>
    </r>
    <r>
      <rPr>
        <rFont val="ＭＳ Ｐゴシック"/>
        <sz val="10.0"/>
      </rPr>
      <t>そんな中、時間は迫ってしまい、コンクールの日を迎える。はたして勝敗はどうなるのか</t>
    </r>
    <r>
      <rPr>
        <rFont val="Arial"/>
        <sz val="10.0"/>
      </rPr>
      <t xml:space="preserve">!?  </t>
    </r>
  </si>
  <si>
    <t>番組名日曜劇場「グランメゾン東京」　第4話「モンブランアマファソン」</t>
  </si>
  <si>
    <r>
      <rPr>
        <rFont val="ＭＳ Ｐゴシック"/>
        <sz val="10.0"/>
      </rPr>
      <t>いよいよプレオープンが決まる。だが、そこにはグルメ雑誌編集長・リンダ</t>
    </r>
    <r>
      <rPr>
        <rFont val="Arial"/>
        <sz val="10.0"/>
      </rPr>
      <t>(</t>
    </r>
    <r>
      <rPr>
        <rFont val="ＭＳ Ｐゴシック"/>
        <sz val="10.0"/>
      </rPr>
      <t>冨永愛</t>
    </r>
    <r>
      <rPr>
        <rFont val="Arial"/>
        <sz val="10.0"/>
      </rPr>
      <t>)</t>
    </r>
    <r>
      <rPr>
        <rFont val="ＭＳ Ｐゴシック"/>
        <sz val="10.0"/>
      </rPr>
      <t>が食べに来ることになった。世界的に名声のある彼女は、「彼女の評価一つで店の今後が変わる」といわれるほど、影響力が強かった。やる気を燃やす尾花</t>
    </r>
    <r>
      <rPr>
        <rFont val="Arial"/>
        <sz val="10.0"/>
      </rPr>
      <t>(</t>
    </r>
    <r>
      <rPr>
        <rFont val="ＭＳ Ｐゴシック"/>
        <sz val="10.0"/>
      </rPr>
      <t>木村拓哉</t>
    </r>
    <r>
      <rPr>
        <rFont val="Arial"/>
        <sz val="10.0"/>
      </rPr>
      <t>)</t>
    </r>
    <r>
      <rPr>
        <rFont val="ＭＳ Ｐゴシック"/>
        <sz val="10.0"/>
      </rPr>
      <t>に対して、緊張と不安が高まる倫子</t>
    </r>
    <r>
      <rPr>
        <rFont val="Arial"/>
        <sz val="10.0"/>
      </rPr>
      <t>(</t>
    </r>
    <r>
      <rPr>
        <rFont val="ＭＳ Ｐゴシック"/>
        <sz val="10.0"/>
      </rPr>
      <t>鈴木京香</t>
    </r>
    <r>
      <rPr>
        <rFont val="Arial"/>
        <sz val="10.0"/>
      </rPr>
      <t>)</t>
    </r>
    <r>
      <rPr>
        <rFont val="ＭＳ Ｐゴシック"/>
        <sz val="10.0"/>
      </rPr>
      <t>。</t>
    </r>
    <r>
      <rPr>
        <rFont val="Arial"/>
        <sz val="10.0"/>
      </rPr>
      <t xml:space="preserve">  </t>
    </r>
    <r>
      <rPr>
        <rFont val="ＭＳ Ｐゴシック"/>
        <sz val="10.0"/>
      </rPr>
      <t>そんな中、尾花は突然デザートを作り直すという。コースの最後を締めるデザートはとても重要で今のままではリンダを納得させられないと感じたのだ。</t>
    </r>
    <r>
      <rPr>
        <rFont val="Arial"/>
        <sz val="10.0"/>
      </rPr>
      <t xml:space="preserve">  </t>
    </r>
    <r>
      <rPr>
        <rFont val="ＭＳ Ｐゴシック"/>
        <sz val="10.0"/>
      </rPr>
      <t>そして、尾花は萌絵</t>
    </r>
    <r>
      <rPr>
        <rFont val="Arial"/>
        <sz val="10.0"/>
      </rPr>
      <t>(</t>
    </r>
    <r>
      <rPr>
        <rFont val="ＭＳ Ｐゴシック"/>
        <sz val="10.0"/>
      </rPr>
      <t>吉谷彩子</t>
    </r>
    <r>
      <rPr>
        <rFont val="Arial"/>
        <sz val="10.0"/>
      </rPr>
      <t>)</t>
    </r>
    <r>
      <rPr>
        <rFont val="ＭＳ Ｐゴシック"/>
        <sz val="10.0"/>
      </rPr>
      <t>をスカウトしに行く。</t>
    </r>
    <r>
      <rPr>
        <rFont val="Arial"/>
        <sz val="10.0"/>
      </rPr>
      <t xml:space="preserve">  </t>
    </r>
    <r>
      <rPr>
        <rFont val="ＭＳ Ｐゴシック"/>
        <sz val="10.0"/>
      </rPr>
      <t>しかし、萌絵が作った試作品に納得がいかなかった尾花は、自ら作ることに。</t>
    </r>
    <r>
      <rPr>
        <rFont val="Arial"/>
        <sz val="10.0"/>
      </rPr>
      <t xml:space="preserve">  </t>
    </r>
    <r>
      <rPr>
        <rFont val="ＭＳ Ｐゴシック"/>
        <sz val="10.0"/>
      </rPr>
      <t>結局、萌絵と尾花は、それぞれ栗を使ったデザートを作りあい、勝負することになる。</t>
    </r>
    <r>
      <rPr>
        <rFont val="Arial"/>
        <sz val="10.0"/>
      </rPr>
      <t xml:space="preserve">  </t>
    </r>
    <r>
      <rPr>
        <rFont val="ＭＳ Ｐゴシック"/>
        <sz val="10.0"/>
      </rPr>
      <t>刻々と近づくプレオープンの日。はたして、リンダの前に出されたデザートは</t>
    </r>
    <r>
      <rPr>
        <rFont val="Arial"/>
        <sz val="10.0"/>
      </rPr>
      <t>?</t>
    </r>
    <r>
      <rPr>
        <rFont val="ＭＳ Ｐゴシック"/>
        <sz val="10.0"/>
      </rPr>
      <t>そして、リンダをうならせることはできるのか</t>
    </r>
    <r>
      <rPr>
        <rFont val="Arial"/>
        <sz val="10.0"/>
      </rPr>
      <t>!?</t>
    </r>
  </si>
  <si>
    <t>番組名日曜劇場「グランメゾン東京」　第5話「アッシパルマンティエ」</t>
  </si>
  <si>
    <r>
      <t>3</t>
    </r>
    <r>
      <rPr>
        <rFont val="ＭＳ Ｐゴシック"/>
        <sz val="10.0"/>
      </rPr>
      <t>年前の事件がリンダ</t>
    </r>
    <r>
      <rPr>
        <rFont val="Arial"/>
        <sz val="10.0"/>
      </rPr>
      <t>(</t>
    </r>
    <r>
      <rPr>
        <rFont val="ＭＳ Ｐゴシック"/>
        <sz val="10.0"/>
      </rPr>
      <t>冨永愛</t>
    </r>
    <r>
      <rPr>
        <rFont val="Arial"/>
        <sz val="10.0"/>
      </rPr>
      <t>)</t>
    </r>
    <r>
      <rPr>
        <rFont val="ＭＳ Ｐゴシック"/>
        <sz val="10.0"/>
      </rPr>
      <t>の記事により、再燃。尾花</t>
    </r>
    <r>
      <rPr>
        <rFont val="Arial"/>
        <sz val="10.0"/>
      </rPr>
      <t>(</t>
    </r>
    <r>
      <rPr>
        <rFont val="ＭＳ Ｐゴシック"/>
        <sz val="10.0"/>
      </rPr>
      <t>木村拓哉</t>
    </r>
    <r>
      <rPr>
        <rFont val="Arial"/>
        <sz val="10.0"/>
      </rPr>
      <t>)</t>
    </r>
    <r>
      <rPr>
        <rFont val="ＭＳ Ｐゴシック"/>
        <sz val="10.0"/>
      </rPr>
      <t>と倫子</t>
    </r>
    <r>
      <rPr>
        <rFont val="Arial"/>
        <sz val="10.0"/>
      </rPr>
      <t>(</t>
    </r>
    <r>
      <rPr>
        <rFont val="ＭＳ Ｐゴシック"/>
        <sz val="10.0"/>
      </rPr>
      <t>鈴木京香</t>
    </r>
    <r>
      <rPr>
        <rFont val="Arial"/>
        <sz val="10.0"/>
      </rPr>
      <t>)</t>
    </r>
    <r>
      <rPr>
        <rFont val="ＭＳ Ｐゴシック"/>
        <sz val="10.0"/>
      </rPr>
      <t>は、記者から直撃を受けて、グランメゾン東京は、最悪のオープン初日を迎える。</t>
    </r>
    <r>
      <rPr>
        <rFont val="Arial"/>
        <sz val="10.0"/>
      </rPr>
      <t xml:space="preserve">  </t>
    </r>
    <r>
      <rPr>
        <rFont val="ＭＳ Ｐゴシック"/>
        <sz val="10.0"/>
      </rPr>
      <t>予約キャンセルが相次ぐ中、尾花は店の窮地を救うべく、フードフェスへの出店を提案する。</t>
    </r>
    <r>
      <rPr>
        <rFont val="Arial"/>
        <sz val="10.0"/>
      </rPr>
      <t xml:space="preserve">  </t>
    </r>
    <r>
      <rPr>
        <rFont val="ＭＳ Ｐゴシック"/>
        <sz val="10.0"/>
      </rPr>
      <t>余った食材を使った絶品料理を作ることで、店へのお客さん誘導に繋げたいと考えたのだ。</t>
    </r>
    <r>
      <rPr>
        <rFont val="Arial"/>
        <sz val="10.0"/>
      </rPr>
      <t xml:space="preserve">  </t>
    </r>
    <r>
      <rPr>
        <rFont val="ＭＳ Ｐゴシック"/>
        <sz val="10.0"/>
      </rPr>
      <t>そして、そこに強力な助っ人が加わった。</t>
    </r>
    <r>
      <rPr>
        <rFont val="Arial"/>
        <sz val="10.0"/>
      </rPr>
      <t xml:space="preserve">  </t>
    </r>
    <r>
      <rPr>
        <rFont val="ＭＳ Ｐゴシック"/>
        <sz val="10.0"/>
      </rPr>
      <t>祥平だ。全員で力を合わせて、挑む。</t>
    </r>
    <r>
      <rPr>
        <rFont val="Arial"/>
        <sz val="10.0"/>
      </rPr>
      <t xml:space="preserve">  </t>
    </r>
    <r>
      <rPr>
        <rFont val="ＭＳ Ｐゴシック"/>
        <sz val="10.0"/>
      </rPr>
      <t>はたして、尾花は失った信用を取り戻すことはできるのか</t>
    </r>
    <r>
      <rPr>
        <rFont val="Arial"/>
        <sz val="10.0"/>
      </rPr>
      <t>!?</t>
    </r>
  </si>
  <si>
    <t>番組名日曜劇場「グランメゾン東京」　第6話「鰆のロースト　水晶文旦のソース」</t>
  </si>
  <si>
    <r>
      <rPr>
        <rFont val="ＭＳ Ｐゴシック"/>
        <sz val="10.0"/>
      </rPr>
      <t>祥平</t>
    </r>
    <r>
      <rPr>
        <rFont val="Arial"/>
        <sz val="10.0"/>
      </rPr>
      <t>(</t>
    </r>
    <r>
      <rPr>
        <rFont val="ＭＳ Ｐゴシック"/>
        <sz val="10.0"/>
      </rPr>
      <t>玉森裕太</t>
    </r>
    <r>
      <rPr>
        <rFont val="Arial"/>
        <sz val="10.0"/>
      </rPr>
      <t>)</t>
    </r>
    <r>
      <rPr>
        <rFont val="ＭＳ Ｐゴシック"/>
        <sz val="10.0"/>
      </rPr>
      <t>が丹後</t>
    </r>
    <r>
      <rPr>
        <rFont val="Arial"/>
        <sz val="10.0"/>
      </rPr>
      <t>(</t>
    </r>
    <r>
      <rPr>
        <rFont val="ＭＳ Ｐゴシック"/>
        <sz val="10.0"/>
      </rPr>
      <t>尾上菊之助</t>
    </r>
    <r>
      <rPr>
        <rFont val="Arial"/>
        <sz val="10.0"/>
      </rPr>
      <t>)</t>
    </r>
    <r>
      <rPr>
        <rFont val="ＭＳ Ｐゴシック"/>
        <sz val="10.0"/>
      </rPr>
      <t>のいる</t>
    </r>
    <r>
      <rPr>
        <rFont val="Arial"/>
        <sz val="10.0"/>
      </rPr>
      <t>gaku</t>
    </r>
    <r>
      <rPr>
        <rFont val="ＭＳ Ｐゴシック"/>
        <sz val="10.0"/>
      </rPr>
      <t>に入ったことを知り、戸惑う京野</t>
    </r>
    <r>
      <rPr>
        <rFont val="Arial"/>
        <sz val="10.0"/>
      </rPr>
      <t>(</t>
    </r>
    <r>
      <rPr>
        <rFont val="ＭＳ Ｐゴシック"/>
        <sz val="10.0"/>
      </rPr>
      <t>沢村一樹</t>
    </r>
    <r>
      <rPr>
        <rFont val="Arial"/>
        <sz val="10.0"/>
      </rPr>
      <t>)</t>
    </r>
    <r>
      <rPr>
        <rFont val="ＭＳ Ｐゴシック"/>
        <sz val="10.0"/>
      </rPr>
      <t>と相沢</t>
    </r>
    <r>
      <rPr>
        <rFont val="Arial"/>
        <sz val="10.0"/>
      </rPr>
      <t>(</t>
    </r>
    <r>
      <rPr>
        <rFont val="ＭＳ Ｐゴシック"/>
        <sz val="10.0"/>
      </rPr>
      <t>及川光博</t>
    </r>
    <r>
      <rPr>
        <rFont val="Arial"/>
        <sz val="10.0"/>
      </rPr>
      <t>)</t>
    </r>
    <r>
      <rPr>
        <rFont val="ＭＳ Ｐゴシック"/>
        <sz val="10.0"/>
      </rPr>
      <t>。しかし、尾花</t>
    </r>
    <r>
      <rPr>
        <rFont val="Arial"/>
        <sz val="10.0"/>
      </rPr>
      <t>(</t>
    </r>
    <r>
      <rPr>
        <rFont val="ＭＳ Ｐゴシック"/>
        <sz val="10.0"/>
      </rPr>
      <t>木村拓哉</t>
    </r>
    <r>
      <rPr>
        <rFont val="Arial"/>
        <sz val="10.0"/>
      </rPr>
      <t>)</t>
    </r>
    <r>
      <rPr>
        <rFont val="ＭＳ Ｐゴシック"/>
        <sz val="10.0"/>
      </rPr>
      <t>は、強力なライバルの出現を楽しんでいた。</t>
    </r>
    <r>
      <rPr>
        <rFont val="Arial"/>
        <sz val="10.0"/>
      </rPr>
      <t xml:space="preserve">  </t>
    </r>
    <r>
      <rPr>
        <rFont val="ＭＳ Ｐゴシック"/>
        <sz val="10.0"/>
      </rPr>
      <t>そんな中、今年度のトップレストラン</t>
    </r>
    <r>
      <rPr>
        <rFont val="Arial"/>
        <sz val="10.0"/>
      </rPr>
      <t>50</t>
    </r>
    <r>
      <rPr>
        <rFont val="ＭＳ Ｐゴシック"/>
        <sz val="10.0"/>
      </rPr>
      <t>の表彰式が東京で行われることが決定。尾花は、日本が誇る食材</t>
    </r>
    <r>
      <rPr>
        <rFont val="Arial"/>
        <sz val="10.0"/>
      </rPr>
      <t>“</t>
    </r>
    <r>
      <rPr>
        <rFont val="ＭＳ Ｐゴシック"/>
        <sz val="10.0"/>
      </rPr>
      <t>鮮魚</t>
    </r>
    <r>
      <rPr>
        <rFont val="Arial"/>
        <sz val="10.0"/>
      </rPr>
      <t>"</t>
    </r>
    <r>
      <rPr>
        <rFont val="ＭＳ Ｐゴシック"/>
        <sz val="10.0"/>
      </rPr>
      <t>を使った料理を開発しなおすことを決めた。その頃、丹後と祥平も魚料理の新メニューに取り組んでいた。一方、グランメゾン東京のスタッフに栞奈</t>
    </r>
    <r>
      <rPr>
        <rFont val="Arial"/>
        <sz val="10.0"/>
      </rPr>
      <t>(</t>
    </r>
    <r>
      <rPr>
        <rFont val="ＭＳ Ｐゴシック"/>
        <sz val="10.0"/>
      </rPr>
      <t>中村アン</t>
    </r>
    <r>
      <rPr>
        <rFont val="Arial"/>
        <sz val="10.0"/>
      </rPr>
      <t>)</t>
    </r>
    <r>
      <rPr>
        <rFont val="ＭＳ Ｐゴシック"/>
        <sz val="10.0"/>
      </rPr>
      <t>が志願し、加わることに。着々とチームが出来上がる中、江藤</t>
    </r>
    <r>
      <rPr>
        <rFont val="Arial"/>
        <sz val="10.0"/>
      </rPr>
      <t>(</t>
    </r>
    <r>
      <rPr>
        <rFont val="ＭＳ Ｐゴシック"/>
        <sz val="10.0"/>
      </rPr>
      <t>手塚とおる</t>
    </r>
    <r>
      <rPr>
        <rFont val="Arial"/>
        <sz val="10.0"/>
      </rPr>
      <t>)</t>
    </r>
    <r>
      <rPr>
        <rFont val="ＭＳ Ｐゴシック"/>
        <sz val="10.0"/>
      </rPr>
      <t>から金を受け取って内部情報を流していた芹田</t>
    </r>
    <r>
      <rPr>
        <rFont val="Arial"/>
        <sz val="10.0"/>
      </rPr>
      <t>(</t>
    </r>
    <r>
      <rPr>
        <rFont val="ＭＳ Ｐゴシック"/>
        <sz val="10.0"/>
      </rPr>
      <t>寛</t>
    </r>
    <r>
      <rPr>
        <rFont val="Arial"/>
        <sz val="10.0"/>
      </rPr>
      <t xml:space="preserve"> </t>
    </r>
    <r>
      <rPr>
        <rFont val="ＭＳ Ｐゴシック"/>
        <sz val="10.0"/>
      </rPr>
      <t>一</t>
    </r>
    <r>
      <rPr>
        <rFont val="Arial"/>
        <sz val="10.0"/>
      </rPr>
      <t xml:space="preserve"> </t>
    </r>
    <r>
      <rPr>
        <rFont val="ＭＳ Ｐゴシック"/>
        <sz val="10.0"/>
      </rPr>
      <t>郎</t>
    </r>
    <r>
      <rPr>
        <rFont val="Arial"/>
        <sz val="10.0"/>
      </rPr>
      <t>)</t>
    </r>
    <r>
      <rPr>
        <rFont val="ＭＳ Ｐゴシック"/>
        <sz val="10.0"/>
      </rPr>
      <t>は一人取り残されていた。そして、その怒りから、店を辞めると告げる。</t>
    </r>
    <r>
      <rPr>
        <rFont val="Arial"/>
        <sz val="10.0"/>
      </rPr>
      <t xml:space="preserve">  </t>
    </r>
    <r>
      <rPr>
        <rFont val="ＭＳ Ｐゴシック"/>
        <sz val="10.0"/>
      </rPr>
      <t>暗雲漂う中、グランメゾン東京は、はたして新メニューを完成させることができるのか</t>
    </r>
    <r>
      <rPr>
        <rFont val="Arial"/>
        <sz val="10.0"/>
      </rPr>
      <t xml:space="preserve">!?  </t>
    </r>
  </si>
  <si>
    <t>番組名日曜劇場「グランメゾン東京」　第7話「ガレットシャンピニオン」</t>
  </si>
  <si>
    <r>
      <rPr>
        <rFont val="ＭＳ Ｐゴシック"/>
        <sz val="10.0"/>
      </rPr>
      <t>遂に幕を開けたトップレストラン</t>
    </r>
    <r>
      <rPr>
        <rFont val="Arial"/>
        <sz val="10.0"/>
      </rPr>
      <t>50</t>
    </r>
    <r>
      <rPr>
        <rFont val="ＭＳ Ｐゴシック"/>
        <sz val="10.0"/>
      </rPr>
      <t>の発表セレモニー。相沢</t>
    </r>
    <r>
      <rPr>
        <rFont val="Arial"/>
        <sz val="10.0"/>
      </rPr>
      <t>(</t>
    </r>
    <r>
      <rPr>
        <rFont val="ＭＳ Ｐゴシック"/>
        <sz val="10.0"/>
      </rPr>
      <t>及川光博</t>
    </r>
    <r>
      <rPr>
        <rFont val="Arial"/>
        <sz val="10.0"/>
      </rPr>
      <t>)</t>
    </r>
    <r>
      <rPr>
        <rFont val="ＭＳ Ｐゴシック"/>
        <sz val="10.0"/>
      </rPr>
      <t>は並々ならぬ覚悟で迎えていた。というのも、発表の一週間前に突然現れた失踪妻エリーゼ</t>
    </r>
    <r>
      <rPr>
        <rFont val="Arial"/>
        <sz val="10.0"/>
      </rPr>
      <t>(</t>
    </r>
    <r>
      <rPr>
        <rFont val="ＭＳ Ｐゴシック"/>
        <sz val="10.0"/>
      </rPr>
      <t>太田緑ロランス</t>
    </r>
    <r>
      <rPr>
        <rFont val="Arial"/>
        <sz val="10.0"/>
      </rPr>
      <t>)</t>
    </r>
    <r>
      <rPr>
        <rFont val="ＭＳ Ｐゴシック"/>
        <sz val="10.0"/>
      </rPr>
      <t>が、グランメゾン東京がトップ</t>
    </r>
    <r>
      <rPr>
        <rFont val="Arial"/>
        <sz val="10.0"/>
      </rPr>
      <t>10</t>
    </r>
    <r>
      <rPr>
        <rFont val="ＭＳ Ｐゴシック"/>
        <sz val="10.0"/>
      </rPr>
      <t>を超えないと娘を連れて帰るといったからだ。</t>
    </r>
    <r>
      <rPr>
        <rFont val="Arial"/>
        <sz val="10.0"/>
      </rPr>
      <t xml:space="preserve">  </t>
    </r>
    <r>
      <rPr>
        <rFont val="ＭＳ Ｐゴシック"/>
        <sz val="10.0"/>
      </rPr>
      <t>尾花</t>
    </r>
    <r>
      <rPr>
        <rFont val="Arial"/>
        <sz val="10.0"/>
      </rPr>
      <t>(</t>
    </r>
    <r>
      <rPr>
        <rFont val="ＭＳ Ｐゴシック"/>
        <sz val="10.0"/>
      </rPr>
      <t>木村拓哉</t>
    </r>
    <r>
      <rPr>
        <rFont val="Arial"/>
        <sz val="10.0"/>
      </rPr>
      <t>)</t>
    </r>
    <r>
      <rPr>
        <rFont val="ＭＳ Ｐゴシック"/>
        <sz val="10.0"/>
      </rPr>
      <t>もエスコフィユ時代の最高順位である</t>
    </r>
    <r>
      <rPr>
        <rFont val="Arial"/>
        <sz val="10.0"/>
      </rPr>
      <t>10</t>
    </r>
    <r>
      <rPr>
        <rFont val="ＭＳ Ｐゴシック"/>
        <sz val="10.0"/>
      </rPr>
      <t>位を超えるために気合いを入れていた。そんな中、尾花は相沢のためにあることを思いつく。一方、丹後</t>
    </r>
    <r>
      <rPr>
        <rFont val="Arial"/>
        <sz val="10.0"/>
      </rPr>
      <t>(</t>
    </r>
    <r>
      <rPr>
        <rFont val="ＭＳ Ｐゴシック"/>
        <sz val="10.0"/>
      </rPr>
      <t>尾上菊之助</t>
    </r>
    <r>
      <rPr>
        <rFont val="Arial"/>
        <sz val="10.0"/>
      </rPr>
      <t>)</t>
    </r>
    <r>
      <rPr>
        <rFont val="ＭＳ Ｐゴシック"/>
        <sz val="10.0"/>
      </rPr>
      <t>と祥平</t>
    </r>
    <r>
      <rPr>
        <rFont val="Arial"/>
        <sz val="10.0"/>
      </rPr>
      <t>(</t>
    </r>
    <r>
      <rPr>
        <rFont val="ＭＳ Ｐゴシック"/>
        <sz val="10.0"/>
      </rPr>
      <t>玉森裕太</t>
    </r>
    <r>
      <rPr>
        <rFont val="Arial"/>
        <sz val="10.0"/>
      </rPr>
      <t>)</t>
    </r>
    <r>
      <rPr>
        <rFont val="ＭＳ Ｐゴシック"/>
        <sz val="10.0"/>
      </rPr>
      <t>も発表に向けて、期待を膨らませていた。</t>
    </r>
    <r>
      <rPr>
        <rFont val="Arial"/>
        <sz val="10.0"/>
      </rPr>
      <t xml:space="preserve">  </t>
    </r>
    <r>
      <rPr>
        <rFont val="ＭＳ Ｐゴシック"/>
        <sz val="10.0"/>
      </rPr>
      <t>そして、いよいよ発表のとき。</t>
    </r>
    <r>
      <rPr>
        <rFont val="Arial"/>
        <sz val="10.0"/>
      </rPr>
      <t xml:space="preserve">  </t>
    </r>
    <r>
      <rPr>
        <rFont val="ＭＳ Ｐゴシック"/>
        <sz val="10.0"/>
      </rPr>
      <t>はたしてグランメゾン東京の順位は</t>
    </r>
    <r>
      <rPr>
        <rFont val="Arial"/>
        <sz val="10.0"/>
      </rPr>
      <t xml:space="preserve">!?  </t>
    </r>
  </si>
  <si>
    <t>番組名日曜劇場「グランメゾン東京」　第8話「ビーフシチュー」</t>
  </si>
  <si>
    <r>
      <rPr>
        <rFont val="ＭＳ Ｐゴシック"/>
        <sz val="10.0"/>
      </rPr>
      <t>京野</t>
    </r>
    <r>
      <rPr>
        <rFont val="Arial"/>
        <sz val="10.0"/>
      </rPr>
      <t>(</t>
    </r>
    <r>
      <rPr>
        <rFont val="ＭＳ Ｐゴシック"/>
        <sz val="10.0"/>
      </rPr>
      <t>沢村一樹</t>
    </r>
    <r>
      <rPr>
        <rFont val="Arial"/>
        <sz val="10.0"/>
      </rPr>
      <t>)</t>
    </r>
    <r>
      <rPr>
        <rFont val="ＭＳ Ｐゴシック"/>
        <sz val="10.0"/>
      </rPr>
      <t>が、倫子</t>
    </r>
    <r>
      <rPr>
        <rFont val="Arial"/>
        <sz val="10.0"/>
      </rPr>
      <t>(</t>
    </r>
    <r>
      <rPr>
        <rFont val="ＭＳ Ｐゴシック"/>
        <sz val="10.0"/>
      </rPr>
      <t>鈴木京香</t>
    </r>
    <r>
      <rPr>
        <rFont val="Arial"/>
        <sz val="10.0"/>
      </rPr>
      <t>)</t>
    </r>
    <r>
      <rPr>
        <rFont val="ＭＳ Ｐゴシック"/>
        <sz val="10.0"/>
      </rPr>
      <t>に告白した翌日、尾花</t>
    </r>
    <r>
      <rPr>
        <rFont val="Arial"/>
        <sz val="10.0"/>
      </rPr>
      <t>(</t>
    </r>
    <r>
      <rPr>
        <rFont val="ＭＳ Ｐゴシック"/>
        <sz val="10.0"/>
      </rPr>
      <t>木村拓哉</t>
    </r>
    <r>
      <rPr>
        <rFont val="Arial"/>
        <sz val="10.0"/>
      </rPr>
      <t>)</t>
    </r>
    <r>
      <rPr>
        <rFont val="ＭＳ Ｐゴシック"/>
        <sz val="10.0"/>
      </rPr>
      <t>が音信不通になってしまう。周りの心配をよそに、夕方に戻ってきた尾花が連れてきたのは、彼の料理の師匠・潮卓</t>
    </r>
    <r>
      <rPr>
        <rFont val="Arial"/>
        <sz val="10.0"/>
      </rPr>
      <t>(</t>
    </r>
    <r>
      <rPr>
        <rFont val="ＭＳ Ｐゴシック"/>
        <sz val="10.0"/>
      </rPr>
      <t>木場勝己</t>
    </r>
    <r>
      <rPr>
        <rFont val="Arial"/>
        <sz val="10.0"/>
      </rPr>
      <t>)</t>
    </r>
    <r>
      <rPr>
        <rFont val="ＭＳ Ｐゴシック"/>
        <sz val="10.0"/>
      </rPr>
      <t>だった。彼の娘の凪子</t>
    </r>
    <r>
      <rPr>
        <rFont val="Arial"/>
        <sz val="10.0"/>
      </rPr>
      <t>(</t>
    </r>
    <r>
      <rPr>
        <rFont val="ＭＳ Ｐゴシック"/>
        <sz val="10.0"/>
      </rPr>
      <t>伊藤歩</t>
    </r>
    <r>
      <rPr>
        <rFont val="Arial"/>
        <sz val="10.0"/>
      </rPr>
      <t>)</t>
    </r>
    <r>
      <rPr>
        <rFont val="ＭＳ Ｐゴシック"/>
        <sz val="10.0"/>
      </rPr>
      <t>に頼まれて、退院する潮を迎えに行っていたのだという。</t>
    </r>
    <r>
      <rPr>
        <rFont val="Arial"/>
        <sz val="10.0"/>
      </rPr>
      <t xml:space="preserve">  </t>
    </r>
    <r>
      <rPr>
        <rFont val="ＭＳ Ｐゴシック"/>
        <sz val="10.0"/>
      </rPr>
      <t>尾花は、潮に店の料理を食べてもらおうとするが、ほとんど手をつけず、途中で怒って帰ってしまう。帰り際に、一番の問題は京野にある、とだけ言い残していく。</t>
    </r>
    <r>
      <rPr>
        <rFont val="Arial"/>
        <sz val="10.0"/>
      </rPr>
      <t xml:space="preserve">  </t>
    </r>
    <r>
      <rPr>
        <rFont val="ＭＳ Ｐゴシック"/>
        <sz val="10.0"/>
      </rPr>
      <t>原因を探るべく、潮の店に行った倫子たちは、そこで出された定番のビーフシチューのおいしさに衝撃を受ける。そんな中、尾花は、潮の様子に異変を感じて・・・</t>
    </r>
  </si>
  <si>
    <t>番組名日曜劇場「グランメゾン東京」　第9話「白子のポッシェ」</t>
  </si>
  <si>
    <r>
      <rPr>
        <rFont val="ＭＳ Ｐゴシック"/>
        <sz val="10.0"/>
      </rPr>
      <t>栞奈</t>
    </r>
    <r>
      <rPr>
        <rFont val="Arial"/>
        <sz val="10.0"/>
      </rPr>
      <t>(</t>
    </r>
    <r>
      <rPr>
        <rFont val="ＭＳ Ｐゴシック"/>
        <sz val="10.0"/>
      </rPr>
      <t>中村アン</t>
    </r>
    <r>
      <rPr>
        <rFont val="Arial"/>
        <sz val="10.0"/>
      </rPr>
      <t>)</t>
    </r>
    <r>
      <rPr>
        <rFont val="ＭＳ Ｐゴシック"/>
        <sz val="10.0"/>
      </rPr>
      <t>は店を急きょやめることになった。再びフードライターに戻るという。</t>
    </r>
    <r>
      <rPr>
        <rFont val="Arial"/>
        <sz val="10.0"/>
      </rPr>
      <t xml:space="preserve">  </t>
    </r>
    <r>
      <rPr>
        <rFont val="ＭＳ Ｐゴシック"/>
        <sz val="10.0"/>
      </rPr>
      <t>そんな中、尾花</t>
    </r>
    <r>
      <rPr>
        <rFont val="Arial"/>
        <sz val="10.0"/>
      </rPr>
      <t>(</t>
    </r>
    <r>
      <rPr>
        <rFont val="ＭＳ Ｐゴシック"/>
        <sz val="10.0"/>
      </rPr>
      <t>木村拓哉</t>
    </r>
    <r>
      <rPr>
        <rFont val="Arial"/>
        <sz val="10.0"/>
      </rPr>
      <t>)</t>
    </r>
    <r>
      <rPr>
        <rFont val="ＭＳ Ｐゴシック"/>
        <sz val="10.0"/>
      </rPr>
      <t>は彼女の履歴書にある違和感を抱く。</t>
    </r>
    <r>
      <rPr>
        <rFont val="Arial"/>
        <sz val="10.0"/>
      </rPr>
      <t xml:space="preserve">  </t>
    </r>
    <r>
      <rPr>
        <rFont val="ＭＳ Ｐゴシック"/>
        <sz val="10.0"/>
      </rPr>
      <t>一方、ミシュランの審査開始時期まであと一か月。倫子</t>
    </r>
    <r>
      <rPr>
        <rFont val="Arial"/>
        <sz val="10.0"/>
      </rPr>
      <t>(</t>
    </r>
    <r>
      <rPr>
        <rFont val="ＭＳ Ｐゴシック"/>
        <sz val="10.0"/>
      </rPr>
      <t>鈴木京香</t>
    </r>
    <r>
      <rPr>
        <rFont val="Arial"/>
        <sz val="10.0"/>
      </rPr>
      <t>)</t>
    </r>
    <r>
      <rPr>
        <rFont val="ＭＳ Ｐゴシック"/>
        <sz val="10.0"/>
      </rPr>
      <t>は、コース料理をリニューアルすることを決める。同時に、尾花は前菜に合うワインも変えることを提案し、栞奈に最後の仕事として、試飲会を開くことを依頼する。一方、</t>
    </r>
    <r>
      <rPr>
        <rFont val="Arial"/>
        <sz val="10.0"/>
      </rPr>
      <t>gaku</t>
    </r>
    <r>
      <rPr>
        <rFont val="ＭＳ Ｐゴシック"/>
        <sz val="10.0"/>
      </rPr>
      <t>で働く祥平</t>
    </r>
    <r>
      <rPr>
        <rFont val="Arial"/>
        <sz val="10.0"/>
      </rPr>
      <t>(</t>
    </r>
    <r>
      <rPr>
        <rFont val="ＭＳ Ｐゴシック"/>
        <sz val="10.0"/>
      </rPr>
      <t>玉森裕太</t>
    </r>
    <r>
      <rPr>
        <rFont val="Arial"/>
        <sz val="10.0"/>
      </rPr>
      <t>)</t>
    </r>
    <r>
      <rPr>
        <rFont val="ＭＳ Ｐゴシック"/>
        <sz val="10.0"/>
      </rPr>
      <t>のもとに、フランス大使館の文則</t>
    </r>
    <r>
      <rPr>
        <rFont val="Arial"/>
        <sz val="10.0"/>
      </rPr>
      <t>(</t>
    </r>
    <r>
      <rPr>
        <rFont val="ＭＳ Ｐゴシック"/>
        <sz val="10.0"/>
      </rPr>
      <t>マイケル富岡</t>
    </r>
    <r>
      <rPr>
        <rFont val="Arial"/>
        <sz val="10.0"/>
      </rPr>
      <t>)</t>
    </r>
    <r>
      <rPr>
        <rFont val="ＭＳ Ｐゴシック"/>
        <sz val="10.0"/>
      </rPr>
      <t>が訪ねてくる。</t>
    </r>
    <r>
      <rPr>
        <rFont val="Arial"/>
        <sz val="10.0"/>
      </rPr>
      <t>3</t>
    </r>
    <r>
      <rPr>
        <rFont val="ＭＳ Ｐゴシック"/>
        <sz val="10.0"/>
      </rPr>
      <t>年前のアレルギー事件について、真犯人を見つけたという。そんな中、グランメゾン東京で開かれたワインの試飲会で、萌絵</t>
    </r>
    <r>
      <rPr>
        <rFont val="Arial"/>
        <sz val="10.0"/>
      </rPr>
      <t>(</t>
    </r>
    <r>
      <rPr>
        <rFont val="ＭＳ Ｐゴシック"/>
        <sz val="10.0"/>
      </rPr>
      <t>吉谷彩子</t>
    </r>
    <r>
      <rPr>
        <rFont val="Arial"/>
        <sz val="10.0"/>
      </rPr>
      <t>)</t>
    </r>
    <r>
      <rPr>
        <rFont val="ＭＳ Ｐゴシック"/>
        <sz val="10.0"/>
      </rPr>
      <t>が突然倒れて、病院に運ばれてしまう・・・。</t>
    </r>
  </si>
  <si>
    <t>番組名日曜劇場「グランメゾン東京」　第10話「キジバトのドゥミ・アンクルート」</t>
  </si>
  <si>
    <r>
      <rPr>
        <rFont val="ＭＳ Ｐゴシック"/>
        <sz val="10.0"/>
      </rPr>
      <t>尾花</t>
    </r>
    <r>
      <rPr>
        <rFont val="Arial"/>
        <sz val="10.0"/>
      </rPr>
      <t>(</t>
    </r>
    <r>
      <rPr>
        <rFont val="ＭＳ Ｐゴシック"/>
        <sz val="10.0"/>
      </rPr>
      <t>木村拓哉</t>
    </r>
    <r>
      <rPr>
        <rFont val="Arial"/>
        <sz val="10.0"/>
      </rPr>
      <t>)</t>
    </r>
    <r>
      <rPr>
        <rFont val="ＭＳ Ｐゴシック"/>
        <sz val="10.0"/>
      </rPr>
      <t>はリンダ</t>
    </r>
    <r>
      <rPr>
        <rFont val="Arial"/>
        <sz val="10.0"/>
      </rPr>
      <t>(</t>
    </r>
    <r>
      <rPr>
        <rFont val="ＭＳ Ｐゴシック"/>
        <sz val="10.0"/>
      </rPr>
      <t>冨永愛</t>
    </r>
    <r>
      <rPr>
        <rFont val="Arial"/>
        <sz val="10.0"/>
      </rPr>
      <t>)</t>
    </r>
    <r>
      <rPr>
        <rFont val="ＭＳ Ｐゴシック"/>
        <sz val="10.0"/>
      </rPr>
      <t>の告発により、「</t>
    </r>
    <r>
      <rPr>
        <rFont val="Arial"/>
        <sz val="10.0"/>
      </rPr>
      <t>gaku</t>
    </r>
    <r>
      <rPr>
        <rFont val="ＭＳ Ｐゴシック"/>
        <sz val="10.0"/>
      </rPr>
      <t>」を去ることになった祥平</t>
    </r>
    <r>
      <rPr>
        <rFont val="Arial"/>
        <sz val="10.0"/>
      </rPr>
      <t>(</t>
    </r>
    <r>
      <rPr>
        <rFont val="ＭＳ Ｐゴシック"/>
        <sz val="10.0"/>
      </rPr>
      <t>玉森裕太</t>
    </r>
    <r>
      <rPr>
        <rFont val="Arial"/>
        <sz val="10.0"/>
      </rPr>
      <t>)</t>
    </r>
    <r>
      <rPr>
        <rFont val="ＭＳ Ｐゴシック"/>
        <sz val="10.0"/>
      </rPr>
      <t>を店に誘う。しかし、断る祥平に、京野をはじめとしたメンバーは、ある方法を思いつく。一方、丹後</t>
    </r>
    <r>
      <rPr>
        <rFont val="Arial"/>
        <sz val="10.0"/>
      </rPr>
      <t>(</t>
    </r>
    <r>
      <rPr>
        <rFont val="ＭＳ Ｐゴシック"/>
        <sz val="10.0"/>
      </rPr>
      <t>尾上菊之助</t>
    </r>
    <r>
      <rPr>
        <rFont val="Arial"/>
        <sz val="10.0"/>
      </rPr>
      <t>)</t>
    </r>
    <r>
      <rPr>
        <rFont val="ＭＳ Ｐゴシック"/>
        <sz val="10.0"/>
      </rPr>
      <t>はミシュラン調査のプレッシャーから追い込まれていた。</t>
    </r>
    <r>
      <rPr>
        <rFont val="Arial"/>
        <sz val="10.0"/>
      </rPr>
      <t xml:space="preserve">  </t>
    </r>
    <r>
      <rPr>
        <rFont val="ＭＳ Ｐゴシック"/>
        <sz val="10.0"/>
      </rPr>
      <t>そんな丹後に江藤</t>
    </r>
    <r>
      <rPr>
        <rFont val="Arial"/>
        <sz val="10.0"/>
      </rPr>
      <t>(</t>
    </r>
    <r>
      <rPr>
        <rFont val="ＭＳ Ｐゴシック"/>
        <sz val="10.0"/>
      </rPr>
      <t>手塚とおる</t>
    </r>
    <r>
      <rPr>
        <rFont val="Arial"/>
        <sz val="10.0"/>
      </rPr>
      <t>)</t>
    </r>
    <r>
      <rPr>
        <rFont val="ＭＳ Ｐゴシック"/>
        <sz val="10.0"/>
      </rPr>
      <t>はあることを仕掛ける。</t>
    </r>
    <r>
      <rPr>
        <rFont val="Arial"/>
        <sz val="10.0"/>
      </rPr>
      <t xml:space="preserve">  </t>
    </r>
    <r>
      <rPr>
        <rFont val="ＭＳ Ｐゴシック"/>
        <sz val="10.0"/>
      </rPr>
      <t>そして、尾花はミシュランに向けて、ある大きな決断を下す</t>
    </r>
  </si>
  <si>
    <t>番組名日曜劇場「グランメゾン東京」　最終回「マグロ」</t>
  </si>
  <si>
    <r>
      <rPr>
        <rFont val="ＭＳ Ｐゴシック"/>
        <sz val="10.0"/>
      </rPr>
      <t>ミシュランの審査が近づき、グランメゾン東京の新メニュー開発は大詰めを迎えていた。そんな中、フレンチにとって禁断の食材であるマグロ料理に挑んでいる尾花</t>
    </r>
    <r>
      <rPr>
        <rFont val="Arial"/>
        <sz val="10.0"/>
      </rPr>
      <t>(</t>
    </r>
    <r>
      <rPr>
        <rFont val="ＭＳ Ｐゴシック"/>
        <sz val="10.0"/>
      </rPr>
      <t>木村拓哉</t>
    </r>
    <r>
      <rPr>
        <rFont val="Arial"/>
        <sz val="10.0"/>
      </rPr>
      <t>)</t>
    </r>
    <r>
      <rPr>
        <rFont val="ＭＳ Ｐゴシック"/>
        <sz val="10.0"/>
      </rPr>
      <t>を見て、倫子</t>
    </r>
    <r>
      <rPr>
        <rFont val="Arial"/>
        <sz val="10.0"/>
      </rPr>
      <t>(</t>
    </r>
    <r>
      <rPr>
        <rFont val="ＭＳ Ｐゴシック"/>
        <sz val="10.0"/>
      </rPr>
      <t>鈴木京香</t>
    </r>
    <r>
      <rPr>
        <rFont val="Arial"/>
        <sz val="10.0"/>
      </rPr>
      <t>)</t>
    </r>
    <r>
      <rPr>
        <rFont val="ＭＳ Ｐゴシック"/>
        <sz val="10.0"/>
      </rPr>
      <t>は不安になる。そして、二人は口論の末、尾花はスーシェフを辞めると告げる。そして、倫子も魚料理を作り、おいしいほうをメニューとして採用するように提案する。　一方、丹後</t>
    </r>
    <r>
      <rPr>
        <rFont val="Arial"/>
        <sz val="10.0"/>
      </rPr>
      <t>(</t>
    </r>
    <r>
      <rPr>
        <rFont val="ＭＳ Ｐゴシック"/>
        <sz val="10.0"/>
      </rPr>
      <t>尾上菊之助</t>
    </r>
    <r>
      <rPr>
        <rFont val="Arial"/>
        <sz val="10.0"/>
      </rPr>
      <t>)</t>
    </r>
    <r>
      <rPr>
        <rFont val="ＭＳ Ｐゴシック"/>
        <sz val="10.0"/>
      </rPr>
      <t>がいなくなった「</t>
    </r>
    <r>
      <rPr>
        <rFont val="Arial"/>
        <sz val="10.0"/>
      </rPr>
      <t>gaku</t>
    </r>
    <r>
      <rPr>
        <rFont val="ＭＳ Ｐゴシック"/>
        <sz val="10.0"/>
      </rPr>
      <t>」では、新しいシェフ・結月</t>
    </r>
    <r>
      <rPr>
        <rFont val="Arial"/>
        <sz val="10.0"/>
      </rPr>
      <t>(</t>
    </r>
    <r>
      <rPr>
        <rFont val="ＭＳ Ｐゴシック"/>
        <sz val="10.0"/>
      </rPr>
      <t>馬場徹</t>
    </r>
    <r>
      <rPr>
        <rFont val="Arial"/>
        <sz val="10.0"/>
      </rPr>
      <t>)</t>
    </r>
    <r>
      <rPr>
        <rFont val="ＭＳ Ｐゴシック"/>
        <sz val="10.0"/>
      </rPr>
      <t>の傍若無人な振る舞いで店はボロボロになっていた。そして、ある事件が起きる。</t>
    </r>
    <r>
      <rPr>
        <rFont val="Arial"/>
        <sz val="10.0"/>
      </rPr>
      <t xml:space="preserve">  </t>
    </r>
    <r>
      <rPr>
        <rFont val="ＭＳ Ｐゴシック"/>
        <sz val="10.0"/>
      </rPr>
      <t>そんな中迎えた、ミシュランの審査。</t>
    </r>
    <r>
      <rPr>
        <rFont val="Arial"/>
        <sz val="10.0"/>
      </rPr>
      <t xml:space="preserve">  </t>
    </r>
    <r>
      <rPr>
        <rFont val="ＭＳ Ｐゴシック"/>
        <sz val="10.0"/>
      </rPr>
      <t>はたして、グランメゾン東京は三つ星を獲得することができるのか</t>
    </r>
    <r>
      <rPr>
        <rFont val="Arial"/>
        <sz val="10.0"/>
      </rPr>
      <t xml:space="preserve">!?  </t>
    </r>
  </si>
  <si>
    <t>1907_TBS_火22</t>
  </si>
  <si>
    <t>Heaven？</t>
  </si>
  <si>
    <t>番組名火曜ドラマ「Heaven?～ご苦楽レストラン～」第1話</t>
  </si>
  <si>
    <r>
      <rPr>
        <rFont val="ＭＳ Ｐゴシック"/>
        <sz val="10.0"/>
      </rPr>
      <t>フレンチレストランで働いていた伊賀観</t>
    </r>
    <r>
      <rPr>
        <rFont val="Arial"/>
        <sz val="10.0"/>
      </rPr>
      <t>(</t>
    </r>
    <r>
      <rPr>
        <rFont val="ＭＳ Ｐゴシック"/>
        <sz val="10.0"/>
      </rPr>
      <t>福士蒼汰</t>
    </r>
    <r>
      <rPr>
        <rFont val="Arial"/>
        <sz val="10.0"/>
      </rPr>
      <t>)</t>
    </r>
    <r>
      <rPr>
        <rFont val="ＭＳ Ｐゴシック"/>
        <sz val="10.0"/>
      </rPr>
      <t>は周りからまったく評価されていなかったが、ある時来客した謎の女・黒須仮名子</t>
    </r>
    <r>
      <rPr>
        <rFont val="Arial"/>
        <sz val="10.0"/>
      </rPr>
      <t>(</t>
    </r>
    <r>
      <rPr>
        <rFont val="ＭＳ Ｐゴシック"/>
        <sz val="10.0"/>
      </rPr>
      <t>石原さとみ</t>
    </r>
    <r>
      <rPr>
        <rFont val="Arial"/>
        <sz val="10.0"/>
      </rPr>
      <t>)</t>
    </r>
    <r>
      <rPr>
        <rFont val="ＭＳ Ｐゴシック"/>
        <sz val="10.0"/>
      </rPr>
      <t>にはなぜか高評価。近日オープンの彼女の店「ロワン・ディシー」で働くことを決意する。早速、ミーティングのため彼女の店に訪れた伊賀を待っていたのは川合太一</t>
    </r>
    <r>
      <rPr>
        <rFont val="Arial"/>
        <sz val="10.0"/>
      </rPr>
      <t>(</t>
    </r>
    <r>
      <rPr>
        <rFont val="ＭＳ Ｐゴシック"/>
        <sz val="10.0"/>
      </rPr>
      <t>志尊淳</t>
    </r>
    <r>
      <rPr>
        <rFont val="Arial"/>
        <sz val="10.0"/>
      </rPr>
      <t>)</t>
    </r>
    <r>
      <rPr>
        <rFont val="ＭＳ Ｐゴシック"/>
        <sz val="10.0"/>
      </rPr>
      <t>、堤計太郎</t>
    </r>
    <r>
      <rPr>
        <rFont val="Arial"/>
        <sz val="10.0"/>
      </rPr>
      <t>(</t>
    </r>
    <r>
      <rPr>
        <rFont val="ＭＳ Ｐゴシック"/>
        <sz val="10.0"/>
      </rPr>
      <t>勝村政信</t>
    </r>
    <r>
      <rPr>
        <rFont val="Arial"/>
        <sz val="10.0"/>
      </rPr>
      <t>)</t>
    </r>
    <r>
      <rPr>
        <rFont val="ＭＳ Ｐゴシック"/>
        <sz val="10.0"/>
      </rPr>
      <t>、小澤幸應</t>
    </r>
    <r>
      <rPr>
        <rFont val="Arial"/>
        <sz val="10.0"/>
      </rPr>
      <t>(</t>
    </r>
    <r>
      <rPr>
        <rFont val="ＭＳ Ｐゴシック"/>
        <sz val="10.0"/>
      </rPr>
      <t>段田安則</t>
    </r>
    <r>
      <rPr>
        <rFont val="Arial"/>
        <sz val="10.0"/>
      </rPr>
      <t>)</t>
    </r>
    <r>
      <rPr>
        <rFont val="ＭＳ Ｐゴシック"/>
        <sz val="10.0"/>
      </rPr>
      <t>、山縣重臣</t>
    </r>
    <r>
      <rPr>
        <rFont val="Arial"/>
        <sz val="10.0"/>
      </rPr>
      <t>(</t>
    </r>
    <r>
      <rPr>
        <rFont val="ＭＳ Ｐゴシック"/>
        <sz val="10.0"/>
      </rPr>
      <t>岸部一徳</t>
    </r>
    <r>
      <rPr>
        <rFont val="Arial"/>
        <sz val="10.0"/>
      </rPr>
      <t>)</t>
    </r>
    <r>
      <rPr>
        <rFont val="ＭＳ Ｐゴシック"/>
        <sz val="10.0"/>
      </rPr>
      <t>。</t>
    </r>
    <r>
      <rPr>
        <rFont val="Arial"/>
        <sz val="10.0"/>
      </rPr>
      <t>6</t>
    </r>
    <r>
      <rPr>
        <rFont val="ＭＳ Ｐゴシック"/>
        <sz val="10.0"/>
      </rPr>
      <t>人による究極の喜劇が今幕を開ける</t>
    </r>
    <r>
      <rPr>
        <rFont val="Arial"/>
        <sz val="10.0"/>
      </rPr>
      <t>!</t>
    </r>
    <r>
      <rPr>
        <rFont val="ＭＳ Ｐゴシック"/>
        <sz val="10.0"/>
      </rPr>
      <t>石原さとみ</t>
    </r>
    <r>
      <rPr>
        <rFont val="Arial"/>
        <sz val="10.0"/>
      </rPr>
      <t>(</t>
    </r>
    <r>
      <rPr>
        <rFont val="ＭＳ Ｐゴシック"/>
        <sz val="10.0"/>
      </rPr>
      <t>黒須仮名子</t>
    </r>
    <r>
      <rPr>
        <rFont val="Arial"/>
        <sz val="10.0"/>
      </rPr>
      <t>)…</t>
    </r>
    <r>
      <rPr>
        <rFont val="ＭＳ Ｐゴシック"/>
        <sz val="10.0"/>
      </rPr>
      <t>みんなを振り回す風変わりなオーナー</t>
    </r>
    <r>
      <rPr>
        <rFont val="Arial"/>
        <sz val="10.0"/>
      </rPr>
      <t xml:space="preserve">  </t>
    </r>
    <r>
      <rPr>
        <rFont val="ＭＳ Ｐゴシック"/>
        <sz val="10.0"/>
      </rPr>
      <t>福士蒼汰</t>
    </r>
    <r>
      <rPr>
        <rFont val="Arial"/>
        <sz val="10.0"/>
      </rPr>
      <t>(</t>
    </r>
    <r>
      <rPr>
        <rFont val="ＭＳ Ｐゴシック"/>
        <sz val="10.0"/>
      </rPr>
      <t>伊賀観</t>
    </r>
    <r>
      <rPr>
        <rFont val="Arial"/>
        <sz val="10.0"/>
      </rPr>
      <t>)…</t>
    </r>
    <r>
      <rPr>
        <rFont val="ＭＳ Ｐゴシック"/>
        <sz val="10.0"/>
      </rPr>
      <t>笑顔が苦手な真面目な青年</t>
    </r>
    <r>
      <rPr>
        <rFont val="Arial"/>
        <sz val="10.0"/>
      </rPr>
      <t xml:space="preserve">  </t>
    </r>
    <r>
      <rPr>
        <rFont val="ＭＳ Ｐゴシック"/>
        <sz val="10.0"/>
      </rPr>
      <t>志尊淳</t>
    </r>
    <r>
      <rPr>
        <rFont val="Arial"/>
        <sz val="10.0"/>
      </rPr>
      <t>(</t>
    </r>
    <r>
      <rPr>
        <rFont val="ＭＳ Ｐゴシック"/>
        <sz val="10.0"/>
      </rPr>
      <t>川合太一</t>
    </r>
    <r>
      <rPr>
        <rFont val="Arial"/>
        <sz val="10.0"/>
      </rPr>
      <t>)…</t>
    </r>
    <r>
      <rPr>
        <rFont val="ＭＳ Ｐゴシック"/>
        <sz val="10.0"/>
      </rPr>
      <t>戦力にならない天然愛されキャラ</t>
    </r>
    <r>
      <rPr>
        <rFont val="Arial"/>
        <sz val="10.0"/>
      </rPr>
      <t xml:space="preserve">  </t>
    </r>
    <r>
      <rPr>
        <rFont val="ＭＳ Ｐゴシック"/>
        <sz val="10.0"/>
      </rPr>
      <t>勝村政信</t>
    </r>
    <r>
      <rPr>
        <rFont val="Arial"/>
        <sz val="10.0"/>
      </rPr>
      <t>(</t>
    </r>
    <r>
      <rPr>
        <rFont val="ＭＳ Ｐゴシック"/>
        <sz val="10.0"/>
      </rPr>
      <t>堤計太郎</t>
    </r>
    <r>
      <rPr>
        <rFont val="Arial"/>
        <sz val="10.0"/>
      </rPr>
      <t>)…</t>
    </r>
    <r>
      <rPr>
        <rFont val="ＭＳ Ｐゴシック"/>
        <sz val="10.0"/>
      </rPr>
      <t>経営に悪戦苦闘する元牛丼屋店長</t>
    </r>
    <r>
      <rPr>
        <rFont val="Arial"/>
        <sz val="10.0"/>
      </rPr>
      <t xml:space="preserve">  </t>
    </r>
    <r>
      <rPr>
        <rFont val="ＭＳ Ｐゴシック"/>
        <sz val="10.0"/>
      </rPr>
      <t>段田安則</t>
    </r>
    <r>
      <rPr>
        <rFont val="Arial"/>
        <sz val="10.0"/>
      </rPr>
      <t>(</t>
    </r>
    <r>
      <rPr>
        <rFont val="ＭＳ Ｐゴシック"/>
        <sz val="10.0"/>
      </rPr>
      <t>小澤幸應</t>
    </r>
    <r>
      <rPr>
        <rFont val="Arial"/>
        <sz val="10.0"/>
      </rPr>
      <t>)…</t>
    </r>
    <r>
      <rPr>
        <rFont val="ＭＳ Ｐゴシック"/>
        <sz val="10.0"/>
      </rPr>
      <t>秘密を抱える元三ツ星天才シェフ</t>
    </r>
    <r>
      <rPr>
        <rFont val="Arial"/>
        <sz val="10.0"/>
      </rPr>
      <t xml:space="preserve">  </t>
    </r>
    <r>
      <rPr>
        <rFont val="ＭＳ Ｐゴシック"/>
        <sz val="10.0"/>
      </rPr>
      <t>岸部一徳</t>
    </r>
    <r>
      <rPr>
        <rFont val="Arial"/>
        <sz val="10.0"/>
      </rPr>
      <t>(</t>
    </r>
    <r>
      <rPr>
        <rFont val="ＭＳ Ｐゴシック"/>
        <sz val="10.0"/>
      </rPr>
      <t>山縣重臣</t>
    </r>
    <r>
      <rPr>
        <rFont val="Arial"/>
        <sz val="10.0"/>
      </rPr>
      <t>)…</t>
    </r>
    <r>
      <rPr>
        <rFont val="ＭＳ Ｐゴシック"/>
        <sz val="10.0"/>
      </rPr>
      <t>資格取得が趣味のお茶目な元銀行員佐々木倫子</t>
    </r>
  </si>
  <si>
    <t>番組名火曜ドラマ「Heaven?～ご苦楽レストラン～」シェフの秘密が明らかに!第2話</t>
  </si>
  <si>
    <r>
      <rPr>
        <rFont val="ＭＳ Ｐゴシック"/>
        <sz val="10.0"/>
      </rPr>
      <t>仮名子</t>
    </r>
    <r>
      <rPr>
        <rFont val="Arial"/>
        <sz val="10.0"/>
      </rPr>
      <t>(</t>
    </r>
    <r>
      <rPr>
        <rFont val="ＭＳ Ｐゴシック"/>
        <sz val="10.0"/>
      </rPr>
      <t>石原さとみ</t>
    </r>
    <r>
      <rPr>
        <rFont val="Arial"/>
        <sz val="10.0"/>
      </rPr>
      <t>)</t>
    </r>
    <r>
      <rPr>
        <rFont val="ＭＳ Ｐゴシック"/>
        <sz val="10.0"/>
      </rPr>
      <t>は、店がはやらないのはシェフの小澤の料理に問題があると主張する。実は小澤は誰にも言えない秘密を抱えているのだった。小澤に自信をつけさせようと、仮名子は従業員を連れライバル店の偵察に行く。仮名子の秘策は果たして成功するのか</t>
    </r>
    <r>
      <rPr>
        <rFont val="Arial"/>
        <sz val="10.0"/>
      </rPr>
      <t xml:space="preserve">!?  </t>
    </r>
    <r>
      <rPr>
        <rFont val="ＭＳ Ｐゴシック"/>
        <sz val="10.0"/>
      </rPr>
      <t>そんな中、謎の刺客</t>
    </r>
    <r>
      <rPr>
        <rFont val="Arial"/>
        <sz val="10.0"/>
      </rPr>
      <t>(</t>
    </r>
    <r>
      <rPr>
        <rFont val="ＭＳ Ｐゴシック"/>
        <sz val="10.0"/>
      </rPr>
      <t>石橋凌</t>
    </r>
    <r>
      <rPr>
        <rFont val="Arial"/>
        <sz val="10.0"/>
      </rPr>
      <t>)</t>
    </r>
    <r>
      <rPr>
        <rFont val="ＭＳ Ｐゴシック"/>
        <sz val="10.0"/>
      </rPr>
      <t>も現れ、ロワンディシーは窮地に陥る。石原さとみ</t>
    </r>
    <r>
      <rPr>
        <rFont val="Arial"/>
        <sz val="10.0"/>
      </rPr>
      <t>(</t>
    </r>
    <r>
      <rPr>
        <rFont val="ＭＳ Ｐゴシック"/>
        <sz val="10.0"/>
      </rPr>
      <t>黒須仮名子</t>
    </r>
    <r>
      <rPr>
        <rFont val="Arial"/>
        <sz val="10.0"/>
      </rPr>
      <t>)…</t>
    </r>
    <r>
      <rPr>
        <rFont val="ＭＳ Ｐゴシック"/>
        <sz val="10.0"/>
      </rPr>
      <t>みんなを振り回す風変わりなオーナー</t>
    </r>
    <r>
      <rPr>
        <rFont val="Arial"/>
        <sz val="10.0"/>
      </rPr>
      <t xml:space="preserve">  </t>
    </r>
    <r>
      <rPr>
        <rFont val="ＭＳ Ｐゴシック"/>
        <sz val="10.0"/>
      </rPr>
      <t>福士蒼汰</t>
    </r>
    <r>
      <rPr>
        <rFont val="Arial"/>
        <sz val="10.0"/>
      </rPr>
      <t>(</t>
    </r>
    <r>
      <rPr>
        <rFont val="ＭＳ Ｐゴシック"/>
        <sz val="10.0"/>
      </rPr>
      <t>伊賀観</t>
    </r>
    <r>
      <rPr>
        <rFont val="Arial"/>
        <sz val="10.0"/>
      </rPr>
      <t>)…</t>
    </r>
    <r>
      <rPr>
        <rFont val="ＭＳ Ｐゴシック"/>
        <sz val="10.0"/>
      </rPr>
      <t>笑顔が苦手な真面目な青年</t>
    </r>
    <r>
      <rPr>
        <rFont val="Arial"/>
        <sz val="10.0"/>
      </rPr>
      <t xml:space="preserve">  </t>
    </r>
    <r>
      <rPr>
        <rFont val="ＭＳ Ｐゴシック"/>
        <sz val="10.0"/>
      </rPr>
      <t>志尊淳</t>
    </r>
    <r>
      <rPr>
        <rFont val="Arial"/>
        <sz val="10.0"/>
      </rPr>
      <t>(</t>
    </r>
    <r>
      <rPr>
        <rFont val="ＭＳ Ｐゴシック"/>
        <sz val="10.0"/>
      </rPr>
      <t>川合太一</t>
    </r>
    <r>
      <rPr>
        <rFont val="Arial"/>
        <sz val="10.0"/>
      </rPr>
      <t>)…</t>
    </r>
    <r>
      <rPr>
        <rFont val="ＭＳ Ｐゴシック"/>
        <sz val="10.0"/>
      </rPr>
      <t>戦力にならない天然愛されキャラ</t>
    </r>
    <r>
      <rPr>
        <rFont val="Arial"/>
        <sz val="10.0"/>
      </rPr>
      <t xml:space="preserve">  </t>
    </r>
    <r>
      <rPr>
        <rFont val="ＭＳ Ｐゴシック"/>
        <sz val="10.0"/>
      </rPr>
      <t>勝村政信</t>
    </r>
    <r>
      <rPr>
        <rFont val="Arial"/>
        <sz val="10.0"/>
      </rPr>
      <t>(</t>
    </r>
    <r>
      <rPr>
        <rFont val="ＭＳ Ｐゴシック"/>
        <sz val="10.0"/>
      </rPr>
      <t>堤計太郎</t>
    </r>
    <r>
      <rPr>
        <rFont val="Arial"/>
        <sz val="10.0"/>
      </rPr>
      <t>)…</t>
    </r>
    <r>
      <rPr>
        <rFont val="ＭＳ Ｐゴシック"/>
        <sz val="10.0"/>
      </rPr>
      <t>経営に悪戦苦闘する元牛丼屋店長</t>
    </r>
    <r>
      <rPr>
        <rFont val="Arial"/>
        <sz val="10.0"/>
      </rPr>
      <t xml:space="preserve">  </t>
    </r>
    <r>
      <rPr>
        <rFont val="ＭＳ Ｐゴシック"/>
        <sz val="10.0"/>
      </rPr>
      <t>段田安則</t>
    </r>
    <r>
      <rPr>
        <rFont val="Arial"/>
        <sz val="10.0"/>
      </rPr>
      <t>(</t>
    </r>
    <r>
      <rPr>
        <rFont val="ＭＳ Ｐゴシック"/>
        <sz val="10.0"/>
      </rPr>
      <t>小澤幸應</t>
    </r>
    <r>
      <rPr>
        <rFont val="Arial"/>
        <sz val="10.0"/>
      </rPr>
      <t>)…</t>
    </r>
    <r>
      <rPr>
        <rFont val="ＭＳ Ｐゴシック"/>
        <sz val="10.0"/>
      </rPr>
      <t>秘密を抱える元三ツ星天才シェフ</t>
    </r>
    <r>
      <rPr>
        <rFont val="Arial"/>
        <sz val="10.0"/>
      </rPr>
      <t xml:space="preserve">  </t>
    </r>
    <r>
      <rPr>
        <rFont val="ＭＳ Ｐゴシック"/>
        <sz val="10.0"/>
      </rPr>
      <t>岸部一徳</t>
    </r>
    <r>
      <rPr>
        <rFont val="Arial"/>
        <sz val="10.0"/>
      </rPr>
      <t>(</t>
    </r>
    <r>
      <rPr>
        <rFont val="ＭＳ Ｐゴシック"/>
        <sz val="10.0"/>
      </rPr>
      <t>山縣重臣</t>
    </r>
    <r>
      <rPr>
        <rFont val="Arial"/>
        <sz val="10.0"/>
      </rPr>
      <t>)…</t>
    </r>
    <r>
      <rPr>
        <rFont val="ＭＳ Ｐゴシック"/>
        <sz val="10.0"/>
      </rPr>
      <t>資格取得が趣味のお茶目な元銀行員佐々木倫子</t>
    </r>
  </si>
  <si>
    <t>番組名火曜ドラマ「Heaven?～ご苦楽レストラン～」第3話　伊賀の強烈母登場!</t>
  </si>
  <si>
    <r>
      <rPr>
        <rFont val="ＭＳ Ｐゴシック"/>
        <sz val="10.0"/>
      </rPr>
      <t>川合</t>
    </r>
    <r>
      <rPr>
        <rFont val="Arial"/>
        <sz val="10.0"/>
      </rPr>
      <t>(</t>
    </r>
    <r>
      <rPr>
        <rFont val="ＭＳ Ｐゴシック"/>
        <sz val="10.0"/>
      </rPr>
      <t>志尊淳</t>
    </r>
    <r>
      <rPr>
        <rFont val="Arial"/>
        <sz val="10.0"/>
      </rPr>
      <t>)</t>
    </r>
    <r>
      <rPr>
        <rFont val="ＭＳ Ｐゴシック"/>
        <sz val="10.0"/>
      </rPr>
      <t>がとんでもないミスをおかし、その夜お店は大混乱。仮名子</t>
    </r>
    <r>
      <rPr>
        <rFont val="Arial"/>
        <sz val="10.0"/>
      </rPr>
      <t>(</t>
    </r>
    <r>
      <rPr>
        <rFont val="ＭＳ Ｐゴシック"/>
        <sz val="10.0"/>
      </rPr>
      <t>石原さとみ</t>
    </r>
    <r>
      <rPr>
        <rFont val="Arial"/>
        <sz val="10.0"/>
      </rPr>
      <t>)</t>
    </r>
    <r>
      <rPr>
        <rFont val="ＭＳ Ｐゴシック"/>
        <sz val="10.0"/>
      </rPr>
      <t>はまさかの事態に巻き込まれ、とんでもない姿になってしまう</t>
    </r>
    <r>
      <rPr>
        <rFont val="Arial"/>
        <sz val="10.0"/>
      </rPr>
      <t>!</t>
    </r>
    <r>
      <rPr>
        <rFont val="ＭＳ Ｐゴシック"/>
        <sz val="10.0"/>
      </rPr>
      <t>そんな中、伊賀</t>
    </r>
    <r>
      <rPr>
        <rFont val="Arial"/>
        <sz val="10.0"/>
      </rPr>
      <t>(</t>
    </r>
    <r>
      <rPr>
        <rFont val="ＭＳ Ｐゴシック"/>
        <sz val="10.0"/>
      </rPr>
      <t>福士蒼汰</t>
    </r>
    <r>
      <rPr>
        <rFont val="Arial"/>
        <sz val="10.0"/>
      </rPr>
      <t>)</t>
    </r>
    <r>
      <rPr>
        <rFont val="ＭＳ Ｐゴシック"/>
        <sz val="10.0"/>
      </rPr>
      <t>の母・勝代</t>
    </r>
    <r>
      <rPr>
        <rFont val="Arial"/>
        <sz val="10.0"/>
      </rPr>
      <t>(</t>
    </r>
    <r>
      <rPr>
        <rFont val="ＭＳ Ｐゴシック"/>
        <sz val="10.0"/>
      </rPr>
      <t>財前直見</t>
    </r>
    <r>
      <rPr>
        <rFont val="Arial"/>
        <sz val="10.0"/>
      </rPr>
      <t>)</t>
    </r>
    <r>
      <rPr>
        <rFont val="ＭＳ Ｐゴシック"/>
        <sz val="10.0"/>
      </rPr>
      <t>が突然店に訪れる。伊賀を実家の長崎に連れて帰りたいと主張する勝代の強烈ぶりは、仮名子にそっくり</t>
    </r>
    <r>
      <rPr>
        <rFont val="Arial"/>
        <sz val="10.0"/>
      </rPr>
      <t>!</t>
    </r>
    <r>
      <rPr>
        <rFont val="ＭＳ Ｐゴシック"/>
        <sz val="10.0"/>
      </rPr>
      <t>従業員も巻き込んだ仮名子と勝代の熱いバトルが今、幕を開ける</t>
    </r>
    <r>
      <rPr>
        <rFont val="Arial"/>
        <sz val="10.0"/>
      </rPr>
      <t>!</t>
    </r>
    <r>
      <rPr>
        <rFont val="ＭＳ Ｐゴシック"/>
        <sz val="10.0"/>
      </rPr>
      <t>石原さとみ</t>
    </r>
    <r>
      <rPr>
        <rFont val="Arial"/>
        <sz val="10.0"/>
      </rPr>
      <t>(</t>
    </r>
    <r>
      <rPr>
        <rFont val="ＭＳ Ｐゴシック"/>
        <sz val="10.0"/>
      </rPr>
      <t>黒須仮名子</t>
    </r>
    <r>
      <rPr>
        <rFont val="Arial"/>
        <sz val="10.0"/>
      </rPr>
      <t>)…</t>
    </r>
    <r>
      <rPr>
        <rFont val="ＭＳ Ｐゴシック"/>
        <sz val="10.0"/>
      </rPr>
      <t>みんなを振り回す風変わりなオーナー</t>
    </r>
    <r>
      <rPr>
        <rFont val="Arial"/>
        <sz val="10.0"/>
      </rPr>
      <t xml:space="preserve">  </t>
    </r>
    <r>
      <rPr>
        <rFont val="ＭＳ Ｐゴシック"/>
        <sz val="10.0"/>
      </rPr>
      <t>福士蒼汰</t>
    </r>
    <r>
      <rPr>
        <rFont val="Arial"/>
        <sz val="10.0"/>
      </rPr>
      <t>(</t>
    </r>
    <r>
      <rPr>
        <rFont val="ＭＳ Ｐゴシック"/>
        <sz val="10.0"/>
      </rPr>
      <t>伊賀観</t>
    </r>
    <r>
      <rPr>
        <rFont val="Arial"/>
        <sz val="10.0"/>
      </rPr>
      <t>)…</t>
    </r>
    <r>
      <rPr>
        <rFont val="ＭＳ Ｐゴシック"/>
        <sz val="10.0"/>
      </rPr>
      <t>笑顔が苦手な真面目な青年</t>
    </r>
    <r>
      <rPr>
        <rFont val="Arial"/>
        <sz val="10.0"/>
      </rPr>
      <t xml:space="preserve">  </t>
    </r>
    <r>
      <rPr>
        <rFont val="ＭＳ Ｐゴシック"/>
        <sz val="10.0"/>
      </rPr>
      <t>志尊淳</t>
    </r>
    <r>
      <rPr>
        <rFont val="Arial"/>
        <sz val="10.0"/>
      </rPr>
      <t>(</t>
    </r>
    <r>
      <rPr>
        <rFont val="ＭＳ Ｐゴシック"/>
        <sz val="10.0"/>
      </rPr>
      <t>川合太一</t>
    </r>
    <r>
      <rPr>
        <rFont val="Arial"/>
        <sz val="10.0"/>
      </rPr>
      <t>)…</t>
    </r>
    <r>
      <rPr>
        <rFont val="ＭＳ Ｐゴシック"/>
        <sz val="10.0"/>
      </rPr>
      <t>戦力にならない天然愛されキャラ</t>
    </r>
    <r>
      <rPr>
        <rFont val="Arial"/>
        <sz val="10.0"/>
      </rPr>
      <t xml:space="preserve">  </t>
    </r>
    <r>
      <rPr>
        <rFont val="ＭＳ Ｐゴシック"/>
        <sz val="10.0"/>
      </rPr>
      <t>勝村政信</t>
    </r>
    <r>
      <rPr>
        <rFont val="Arial"/>
        <sz val="10.0"/>
      </rPr>
      <t>(</t>
    </r>
    <r>
      <rPr>
        <rFont val="ＭＳ Ｐゴシック"/>
        <sz val="10.0"/>
      </rPr>
      <t>堤計太郎</t>
    </r>
    <r>
      <rPr>
        <rFont val="Arial"/>
        <sz val="10.0"/>
      </rPr>
      <t>)…</t>
    </r>
    <r>
      <rPr>
        <rFont val="ＭＳ Ｐゴシック"/>
        <sz val="10.0"/>
      </rPr>
      <t>経営に悪戦苦闘する元牛丼屋店長</t>
    </r>
    <r>
      <rPr>
        <rFont val="Arial"/>
        <sz val="10.0"/>
      </rPr>
      <t xml:space="preserve">  </t>
    </r>
    <r>
      <rPr>
        <rFont val="ＭＳ Ｐゴシック"/>
        <sz val="10.0"/>
      </rPr>
      <t>段田安則</t>
    </r>
    <r>
      <rPr>
        <rFont val="Arial"/>
        <sz val="10.0"/>
      </rPr>
      <t>(</t>
    </r>
    <r>
      <rPr>
        <rFont val="ＭＳ Ｐゴシック"/>
        <sz val="10.0"/>
      </rPr>
      <t>小澤幸應</t>
    </r>
    <r>
      <rPr>
        <rFont val="Arial"/>
        <sz val="10.0"/>
      </rPr>
      <t>)…</t>
    </r>
    <r>
      <rPr>
        <rFont val="ＭＳ Ｐゴシック"/>
        <sz val="10.0"/>
      </rPr>
      <t>秘密を抱える元三ツ星天才シェフ</t>
    </r>
    <r>
      <rPr>
        <rFont val="Arial"/>
        <sz val="10.0"/>
      </rPr>
      <t xml:space="preserve">  </t>
    </r>
    <r>
      <rPr>
        <rFont val="ＭＳ Ｐゴシック"/>
        <sz val="10.0"/>
      </rPr>
      <t>岸部一徳</t>
    </r>
    <r>
      <rPr>
        <rFont val="Arial"/>
        <sz val="10.0"/>
      </rPr>
      <t>(</t>
    </r>
    <r>
      <rPr>
        <rFont val="ＭＳ Ｐゴシック"/>
        <sz val="10.0"/>
      </rPr>
      <t>山縣重臣</t>
    </r>
    <r>
      <rPr>
        <rFont val="Arial"/>
        <sz val="10.0"/>
      </rPr>
      <t>)…</t>
    </r>
    <r>
      <rPr>
        <rFont val="ＭＳ Ｐゴシック"/>
        <sz val="10.0"/>
      </rPr>
      <t>資格取得が趣味のお茶目な元銀行員</t>
    </r>
    <r>
      <rPr>
        <rFont val="Arial"/>
        <sz val="10.0"/>
      </rPr>
      <t xml:space="preserve">    </t>
    </r>
    <r>
      <rPr>
        <rFont val="ＭＳ Ｐゴシック"/>
        <sz val="10.0"/>
      </rPr>
      <t>財前直見</t>
    </r>
    <r>
      <rPr>
        <rFont val="Arial"/>
        <sz val="10.0"/>
      </rPr>
      <t>(</t>
    </r>
    <r>
      <rPr>
        <rFont val="ＭＳ Ｐゴシック"/>
        <sz val="10.0"/>
      </rPr>
      <t>伊賀勝代</t>
    </r>
    <r>
      <rPr>
        <rFont val="Arial"/>
        <sz val="10.0"/>
      </rPr>
      <t>)…</t>
    </r>
    <r>
      <rPr>
        <rFont val="ＭＳ Ｐゴシック"/>
        <sz val="10.0"/>
      </rPr>
      <t xml:space="preserve">伊賀の母　</t>
    </r>
    <r>
      <rPr>
        <rFont val="Arial"/>
        <sz val="10.0"/>
      </rPr>
      <t xml:space="preserve">  </t>
    </r>
    <r>
      <rPr>
        <rFont val="ＭＳ Ｐゴシック"/>
        <sz val="10.0"/>
      </rPr>
      <t>鶴見辰吾、六平直政　鳥居みゆき佐々木倫子</t>
    </r>
  </si>
  <si>
    <t>番組名火曜ドラマ「Heaven?～ご苦楽レストラン～」#4　オーナーの正体が明らかに!</t>
  </si>
  <si>
    <r>
      <rPr>
        <rFont val="ＭＳ Ｐゴシック"/>
        <sz val="10.0"/>
      </rPr>
      <t>ある日、仮名子</t>
    </r>
    <r>
      <rPr>
        <rFont val="Arial"/>
        <sz val="10.0"/>
      </rPr>
      <t>(</t>
    </r>
    <r>
      <rPr>
        <rFont val="ＭＳ Ｐゴシック"/>
        <sz val="10.0"/>
      </rPr>
      <t>石原さとみ</t>
    </r>
    <r>
      <rPr>
        <rFont val="Arial"/>
        <sz val="10.0"/>
      </rPr>
      <t>)</t>
    </r>
    <r>
      <rPr>
        <rFont val="ＭＳ Ｐゴシック"/>
        <sz val="10.0"/>
      </rPr>
      <t>の元に強面の借金取りが現れる。川合</t>
    </r>
    <r>
      <rPr>
        <rFont val="Arial"/>
        <sz val="10.0"/>
      </rPr>
      <t>(</t>
    </r>
    <r>
      <rPr>
        <rFont val="ＭＳ Ｐゴシック"/>
        <sz val="10.0"/>
      </rPr>
      <t>志尊淳</t>
    </r>
    <r>
      <rPr>
        <rFont val="Arial"/>
        <sz val="10.0"/>
      </rPr>
      <t>)</t>
    </r>
    <r>
      <rPr>
        <rFont val="ＭＳ Ｐゴシック"/>
        <sz val="10.0"/>
      </rPr>
      <t>らが調べると、思いつめた仮名子が従業員全員をクビにしようと計画していることが判明</t>
    </r>
    <r>
      <rPr>
        <rFont val="Arial"/>
        <sz val="10.0"/>
      </rPr>
      <t>!</t>
    </r>
    <r>
      <rPr>
        <rFont val="ＭＳ Ｐゴシック"/>
        <sz val="10.0"/>
      </rPr>
      <t>一同が騒然とする中、仮名子の過去を知る山縣</t>
    </r>
    <r>
      <rPr>
        <rFont val="Arial"/>
        <sz val="10.0"/>
      </rPr>
      <t>(</t>
    </r>
    <r>
      <rPr>
        <rFont val="ＭＳ Ｐゴシック"/>
        <sz val="10.0"/>
      </rPr>
      <t>岸部一徳</t>
    </r>
    <r>
      <rPr>
        <rFont val="Arial"/>
        <sz val="10.0"/>
      </rPr>
      <t>)</t>
    </r>
    <r>
      <rPr>
        <rFont val="ＭＳ Ｐゴシック"/>
        <sz val="10.0"/>
      </rPr>
      <t>は一人不審な行動を取るのだった</t>
    </r>
    <r>
      <rPr>
        <rFont val="Arial"/>
        <sz val="10.0"/>
      </rPr>
      <t>…</t>
    </r>
    <r>
      <rPr>
        <rFont val="ＭＳ Ｐゴシック"/>
        <sz val="10.0"/>
      </rPr>
      <t>。山縣の不審な行動の真相を知った伊賀</t>
    </r>
    <r>
      <rPr>
        <rFont val="Arial"/>
        <sz val="10.0"/>
      </rPr>
      <t>(</t>
    </r>
    <r>
      <rPr>
        <rFont val="ＭＳ Ｐゴシック"/>
        <sz val="10.0"/>
      </rPr>
      <t>福士蒼汰</t>
    </r>
    <r>
      <rPr>
        <rFont val="Arial"/>
        <sz val="10.0"/>
      </rPr>
      <t>)</t>
    </r>
    <r>
      <rPr>
        <rFont val="ＭＳ Ｐゴシック"/>
        <sz val="10.0"/>
      </rPr>
      <t>の決断とは</t>
    </r>
    <r>
      <rPr>
        <rFont val="Arial"/>
        <sz val="10.0"/>
      </rPr>
      <t>!?</t>
    </r>
    <r>
      <rPr>
        <rFont val="ＭＳ Ｐゴシック"/>
        <sz val="10.0"/>
      </rPr>
      <t>どうなるロワン・ディシー</t>
    </r>
    <r>
      <rPr>
        <rFont val="Arial"/>
        <sz val="10.0"/>
      </rPr>
      <t xml:space="preserve">!!  </t>
    </r>
    <r>
      <rPr>
        <rFont val="ＭＳ Ｐゴシック"/>
        <sz val="10.0"/>
      </rPr>
      <t>石原さとみ</t>
    </r>
    <r>
      <rPr>
        <rFont val="Arial"/>
        <sz val="10.0"/>
      </rPr>
      <t>(</t>
    </r>
    <r>
      <rPr>
        <rFont val="ＭＳ Ｐゴシック"/>
        <sz val="10.0"/>
      </rPr>
      <t>黒須仮名子</t>
    </r>
    <r>
      <rPr>
        <rFont val="Arial"/>
        <sz val="10.0"/>
      </rPr>
      <t>)…</t>
    </r>
    <r>
      <rPr>
        <rFont val="ＭＳ Ｐゴシック"/>
        <sz val="10.0"/>
      </rPr>
      <t>みんなを振り回す風変わりなオーナー</t>
    </r>
    <r>
      <rPr>
        <rFont val="Arial"/>
        <sz val="10.0"/>
      </rPr>
      <t xml:space="preserve">  </t>
    </r>
    <r>
      <rPr>
        <rFont val="ＭＳ Ｐゴシック"/>
        <sz val="10.0"/>
      </rPr>
      <t>福士蒼汰</t>
    </r>
    <r>
      <rPr>
        <rFont val="Arial"/>
        <sz val="10.0"/>
      </rPr>
      <t>(</t>
    </r>
    <r>
      <rPr>
        <rFont val="ＭＳ Ｐゴシック"/>
        <sz val="10.0"/>
      </rPr>
      <t>伊賀観</t>
    </r>
    <r>
      <rPr>
        <rFont val="Arial"/>
        <sz val="10.0"/>
      </rPr>
      <t>)…</t>
    </r>
    <r>
      <rPr>
        <rFont val="ＭＳ Ｐゴシック"/>
        <sz val="10.0"/>
      </rPr>
      <t>笑顔が苦手な真面目な青年</t>
    </r>
    <r>
      <rPr>
        <rFont val="Arial"/>
        <sz val="10.0"/>
      </rPr>
      <t xml:space="preserve">  </t>
    </r>
    <r>
      <rPr>
        <rFont val="ＭＳ Ｐゴシック"/>
        <sz val="10.0"/>
      </rPr>
      <t>志尊淳</t>
    </r>
    <r>
      <rPr>
        <rFont val="Arial"/>
        <sz val="10.0"/>
      </rPr>
      <t>(</t>
    </r>
    <r>
      <rPr>
        <rFont val="ＭＳ Ｐゴシック"/>
        <sz val="10.0"/>
      </rPr>
      <t>川合太一</t>
    </r>
    <r>
      <rPr>
        <rFont val="Arial"/>
        <sz val="10.0"/>
      </rPr>
      <t>)…</t>
    </r>
    <r>
      <rPr>
        <rFont val="ＭＳ Ｐゴシック"/>
        <sz val="10.0"/>
      </rPr>
      <t>戦力にならない天然愛されキャラ</t>
    </r>
    <r>
      <rPr>
        <rFont val="Arial"/>
        <sz val="10.0"/>
      </rPr>
      <t xml:space="preserve">  </t>
    </r>
    <r>
      <rPr>
        <rFont val="ＭＳ Ｐゴシック"/>
        <sz val="10.0"/>
      </rPr>
      <t>勝村政信</t>
    </r>
    <r>
      <rPr>
        <rFont val="Arial"/>
        <sz val="10.0"/>
      </rPr>
      <t>(</t>
    </r>
    <r>
      <rPr>
        <rFont val="ＭＳ Ｐゴシック"/>
        <sz val="10.0"/>
      </rPr>
      <t>堤計太郎</t>
    </r>
    <r>
      <rPr>
        <rFont val="Arial"/>
        <sz val="10.0"/>
      </rPr>
      <t>)…</t>
    </r>
    <r>
      <rPr>
        <rFont val="ＭＳ Ｐゴシック"/>
        <sz val="10.0"/>
      </rPr>
      <t>経営に悪戦苦闘する元牛丼屋店長</t>
    </r>
    <r>
      <rPr>
        <rFont val="Arial"/>
        <sz val="10.0"/>
      </rPr>
      <t xml:space="preserve">  </t>
    </r>
    <r>
      <rPr>
        <rFont val="ＭＳ Ｐゴシック"/>
        <sz val="10.0"/>
      </rPr>
      <t>段田安則</t>
    </r>
    <r>
      <rPr>
        <rFont val="Arial"/>
        <sz val="10.0"/>
      </rPr>
      <t>(</t>
    </r>
    <r>
      <rPr>
        <rFont val="ＭＳ Ｐゴシック"/>
        <sz val="10.0"/>
      </rPr>
      <t>小澤幸應</t>
    </r>
    <r>
      <rPr>
        <rFont val="Arial"/>
        <sz val="10.0"/>
      </rPr>
      <t>)…</t>
    </r>
    <r>
      <rPr>
        <rFont val="ＭＳ Ｐゴシック"/>
        <sz val="10.0"/>
      </rPr>
      <t>秘密を抱える元三ツ星天才シェフ</t>
    </r>
    <r>
      <rPr>
        <rFont val="Arial"/>
        <sz val="10.0"/>
      </rPr>
      <t xml:space="preserve">  </t>
    </r>
    <r>
      <rPr>
        <rFont val="ＭＳ Ｐゴシック"/>
        <sz val="10.0"/>
      </rPr>
      <t>岸部一徳</t>
    </r>
    <r>
      <rPr>
        <rFont val="Arial"/>
        <sz val="10.0"/>
      </rPr>
      <t>(</t>
    </r>
    <r>
      <rPr>
        <rFont val="ＭＳ Ｐゴシック"/>
        <sz val="10.0"/>
      </rPr>
      <t>山縣重臣</t>
    </r>
    <r>
      <rPr>
        <rFont val="Arial"/>
        <sz val="10.0"/>
      </rPr>
      <t>)…</t>
    </r>
    <r>
      <rPr>
        <rFont val="ＭＳ Ｐゴシック"/>
        <sz val="10.0"/>
      </rPr>
      <t>資格取得が趣味のお茶目な元銀行員</t>
    </r>
    <r>
      <rPr>
        <rFont val="Arial"/>
        <sz val="10.0"/>
      </rPr>
      <t xml:space="preserve">  &lt;</t>
    </r>
    <r>
      <rPr>
        <rFont val="ＭＳ Ｐゴシック"/>
        <sz val="10.0"/>
      </rPr>
      <t>第</t>
    </r>
    <r>
      <rPr>
        <rFont val="Arial"/>
        <sz val="10.0"/>
      </rPr>
      <t>4</t>
    </r>
    <r>
      <rPr>
        <rFont val="ＭＳ Ｐゴシック"/>
        <sz val="10.0"/>
      </rPr>
      <t>話ゲスト</t>
    </r>
    <r>
      <rPr>
        <rFont val="Arial"/>
        <sz val="10.0"/>
      </rPr>
      <t xml:space="preserve">&gt;  </t>
    </r>
    <r>
      <rPr>
        <rFont val="ＭＳ Ｐゴシック"/>
        <sz val="10.0"/>
      </rPr>
      <t>山内圭哉　小柳友　竹中直人佐々木倫子</t>
    </r>
  </si>
  <si>
    <t>番組名火曜ドラマ「Heaven?～ご苦楽レストラン～」#5川合くんにライバル登場!</t>
  </si>
  <si>
    <r>
      <rPr>
        <rFont val="ＭＳ Ｐゴシック"/>
        <sz val="10.0"/>
      </rPr>
      <t>有名グルメ雑誌の覆面記者と思われる男が来店するも、ミスを連発してしまったロワン・ディシーメンバー。このままではまずいと、特に、いつまでも成長しない川合</t>
    </r>
    <r>
      <rPr>
        <rFont val="Arial"/>
        <sz val="10.0"/>
      </rPr>
      <t>(</t>
    </r>
    <r>
      <rPr>
        <rFont val="ＭＳ Ｐゴシック"/>
        <sz val="10.0"/>
      </rPr>
      <t>志尊淳</t>
    </r>
    <r>
      <rPr>
        <rFont val="Arial"/>
        <sz val="10.0"/>
      </rPr>
      <t>)</t>
    </r>
    <r>
      <rPr>
        <rFont val="ＭＳ Ｐゴシック"/>
        <sz val="10.0"/>
      </rPr>
      <t>に伊賀</t>
    </r>
    <r>
      <rPr>
        <rFont val="Arial"/>
        <sz val="10.0"/>
      </rPr>
      <t>(</t>
    </r>
    <r>
      <rPr>
        <rFont val="ＭＳ Ｐゴシック"/>
        <sz val="10.0"/>
      </rPr>
      <t>福士蒼汰</t>
    </r>
    <r>
      <rPr>
        <rFont val="Arial"/>
        <sz val="10.0"/>
      </rPr>
      <t>)</t>
    </r>
    <r>
      <rPr>
        <rFont val="ＭＳ Ｐゴシック"/>
        <sz val="10.0"/>
      </rPr>
      <t>はサービスの特訓を行うが、兆しが見えない。そんなとき、アルバイト志望の少年、峰</t>
    </r>
    <r>
      <rPr>
        <rFont val="Arial"/>
        <sz val="10.0"/>
      </rPr>
      <t>(</t>
    </r>
    <r>
      <rPr>
        <rFont val="ＭＳ Ｐゴシック"/>
        <sz val="10.0"/>
      </rPr>
      <t>小関裕太</t>
    </r>
    <r>
      <rPr>
        <rFont val="Arial"/>
        <sz val="10.0"/>
      </rPr>
      <t>)</t>
    </r>
    <r>
      <rPr>
        <rFont val="ＭＳ Ｐゴシック"/>
        <sz val="10.0"/>
      </rPr>
      <t>が店を訪れ、試しに働くことに。川合よりも遥かに仕事ができる峰の登場で、メンバーが川合に下した決断とは</t>
    </r>
    <r>
      <rPr>
        <rFont val="Arial"/>
        <sz val="10.0"/>
      </rPr>
      <t xml:space="preserve">…?  </t>
    </r>
    <r>
      <rPr>
        <rFont val="ＭＳ Ｐゴシック"/>
        <sz val="10.0"/>
      </rPr>
      <t>石原さとみ</t>
    </r>
    <r>
      <rPr>
        <rFont val="Arial"/>
        <sz val="10.0"/>
      </rPr>
      <t>(</t>
    </r>
    <r>
      <rPr>
        <rFont val="ＭＳ Ｐゴシック"/>
        <sz val="10.0"/>
      </rPr>
      <t>黒須仮名子</t>
    </r>
    <r>
      <rPr>
        <rFont val="Arial"/>
        <sz val="10.0"/>
      </rPr>
      <t>)…</t>
    </r>
    <r>
      <rPr>
        <rFont val="ＭＳ Ｐゴシック"/>
        <sz val="10.0"/>
      </rPr>
      <t>みんなを振り回す風変わりなオーナー</t>
    </r>
    <r>
      <rPr>
        <rFont val="Arial"/>
        <sz val="10.0"/>
      </rPr>
      <t xml:space="preserve">  </t>
    </r>
    <r>
      <rPr>
        <rFont val="ＭＳ Ｐゴシック"/>
        <sz val="10.0"/>
      </rPr>
      <t>福士蒼汰</t>
    </r>
    <r>
      <rPr>
        <rFont val="Arial"/>
        <sz val="10.0"/>
      </rPr>
      <t>(</t>
    </r>
    <r>
      <rPr>
        <rFont val="ＭＳ Ｐゴシック"/>
        <sz val="10.0"/>
      </rPr>
      <t>伊賀観</t>
    </r>
    <r>
      <rPr>
        <rFont val="Arial"/>
        <sz val="10.0"/>
      </rPr>
      <t>)…</t>
    </r>
    <r>
      <rPr>
        <rFont val="ＭＳ Ｐゴシック"/>
        <sz val="10.0"/>
      </rPr>
      <t>笑顔が苦手な真面目な青年</t>
    </r>
    <r>
      <rPr>
        <rFont val="Arial"/>
        <sz val="10.0"/>
      </rPr>
      <t xml:space="preserve">  </t>
    </r>
    <r>
      <rPr>
        <rFont val="ＭＳ Ｐゴシック"/>
        <sz val="10.0"/>
      </rPr>
      <t>志尊淳</t>
    </r>
    <r>
      <rPr>
        <rFont val="Arial"/>
        <sz val="10.0"/>
      </rPr>
      <t>(</t>
    </r>
    <r>
      <rPr>
        <rFont val="ＭＳ Ｐゴシック"/>
        <sz val="10.0"/>
      </rPr>
      <t>川合太一</t>
    </r>
    <r>
      <rPr>
        <rFont val="Arial"/>
        <sz val="10.0"/>
      </rPr>
      <t>)…</t>
    </r>
    <r>
      <rPr>
        <rFont val="ＭＳ Ｐゴシック"/>
        <sz val="10.0"/>
      </rPr>
      <t>戦力にならない天然愛されキャラ</t>
    </r>
    <r>
      <rPr>
        <rFont val="Arial"/>
        <sz val="10.0"/>
      </rPr>
      <t xml:space="preserve">  </t>
    </r>
    <r>
      <rPr>
        <rFont val="ＭＳ Ｐゴシック"/>
        <sz val="10.0"/>
      </rPr>
      <t>勝村政信</t>
    </r>
    <r>
      <rPr>
        <rFont val="Arial"/>
        <sz val="10.0"/>
      </rPr>
      <t>(</t>
    </r>
    <r>
      <rPr>
        <rFont val="ＭＳ Ｐゴシック"/>
        <sz val="10.0"/>
      </rPr>
      <t>堤計太郎</t>
    </r>
    <r>
      <rPr>
        <rFont val="Arial"/>
        <sz val="10.0"/>
      </rPr>
      <t>)…</t>
    </r>
    <r>
      <rPr>
        <rFont val="ＭＳ Ｐゴシック"/>
        <sz val="10.0"/>
      </rPr>
      <t>経営に悪戦苦闘する元牛丼屋店長</t>
    </r>
    <r>
      <rPr>
        <rFont val="Arial"/>
        <sz val="10.0"/>
      </rPr>
      <t xml:space="preserve">  </t>
    </r>
    <r>
      <rPr>
        <rFont val="ＭＳ Ｐゴシック"/>
        <sz val="10.0"/>
      </rPr>
      <t>段田安則</t>
    </r>
    <r>
      <rPr>
        <rFont val="Arial"/>
        <sz val="10.0"/>
      </rPr>
      <t>(</t>
    </r>
    <r>
      <rPr>
        <rFont val="ＭＳ Ｐゴシック"/>
        <sz val="10.0"/>
      </rPr>
      <t>小澤幸應</t>
    </r>
    <r>
      <rPr>
        <rFont val="Arial"/>
        <sz val="10.0"/>
      </rPr>
      <t>)…</t>
    </r>
    <r>
      <rPr>
        <rFont val="ＭＳ Ｐゴシック"/>
        <sz val="10.0"/>
      </rPr>
      <t>秘密を抱える元三ツ星天才シェフ</t>
    </r>
    <r>
      <rPr>
        <rFont val="Arial"/>
        <sz val="10.0"/>
      </rPr>
      <t xml:space="preserve">  </t>
    </r>
    <r>
      <rPr>
        <rFont val="ＭＳ Ｐゴシック"/>
        <sz val="10.0"/>
      </rPr>
      <t>岸部一徳</t>
    </r>
    <r>
      <rPr>
        <rFont val="Arial"/>
        <sz val="10.0"/>
      </rPr>
      <t>(</t>
    </r>
    <r>
      <rPr>
        <rFont val="ＭＳ Ｐゴシック"/>
        <sz val="10.0"/>
      </rPr>
      <t>山縣重臣</t>
    </r>
    <r>
      <rPr>
        <rFont val="Arial"/>
        <sz val="10.0"/>
      </rPr>
      <t>)…</t>
    </r>
    <r>
      <rPr>
        <rFont val="ＭＳ Ｐゴシック"/>
        <sz val="10.0"/>
      </rPr>
      <t>資格取得が趣味のお茶目な元銀行員</t>
    </r>
    <r>
      <rPr>
        <rFont val="Arial"/>
        <sz val="10.0"/>
      </rPr>
      <t xml:space="preserve">  </t>
    </r>
  </si>
  <si>
    <t>番組名火曜ドラマ「Heaven?～ご苦楽レストラン～」♯6　店長、人生を賭けた大勝負!</t>
  </si>
  <si>
    <r>
      <rPr>
        <rFont val="ＭＳ Ｐゴシック"/>
        <sz val="10.0"/>
      </rPr>
      <t>以前働いていた牛丼屋の仲間が来店し「戻って来ないか」と誘われた堤</t>
    </r>
    <r>
      <rPr>
        <rFont val="Arial"/>
        <sz val="10.0"/>
      </rPr>
      <t>(</t>
    </r>
    <r>
      <rPr>
        <rFont val="ＭＳ Ｐゴシック"/>
        <sz val="10.0"/>
      </rPr>
      <t>勝村政信</t>
    </r>
    <r>
      <rPr>
        <rFont val="Arial"/>
        <sz val="10.0"/>
      </rPr>
      <t>)</t>
    </r>
    <r>
      <rPr>
        <rFont val="ＭＳ Ｐゴシック"/>
        <sz val="10.0"/>
      </rPr>
      <t>は、自分の気持ちをハッキリさせるためロワン・ディシーの立て直しに挑む。しかし、意見の食い違いで仮名子</t>
    </r>
    <r>
      <rPr>
        <rFont val="Arial"/>
        <sz val="10.0"/>
      </rPr>
      <t>(</t>
    </r>
    <r>
      <rPr>
        <rFont val="ＭＳ Ｐゴシック"/>
        <sz val="10.0"/>
      </rPr>
      <t>石原さとみ</t>
    </r>
    <r>
      <rPr>
        <rFont val="Arial"/>
        <sz val="10.0"/>
      </rPr>
      <t>)</t>
    </r>
    <r>
      <rPr>
        <rFont val="ＭＳ Ｐゴシック"/>
        <sz val="10.0"/>
      </rPr>
      <t>と対立、結果が出なければ辞めると言い出す堤に与えられた時間は</t>
    </r>
    <r>
      <rPr>
        <rFont val="Arial"/>
        <sz val="10.0"/>
      </rPr>
      <t>1</t>
    </r>
    <r>
      <rPr>
        <rFont val="ＭＳ Ｐゴシック"/>
        <sz val="10.0"/>
      </rPr>
      <t>週間。堤の指示で、ホスピタリティー重視で接客に臨む伊賀</t>
    </r>
    <r>
      <rPr>
        <rFont val="Arial"/>
        <sz val="10.0"/>
      </rPr>
      <t>(</t>
    </r>
    <r>
      <rPr>
        <rFont val="ＭＳ Ｐゴシック"/>
        <sz val="10.0"/>
      </rPr>
      <t>福士蒼汰</t>
    </r>
    <r>
      <rPr>
        <rFont val="Arial"/>
        <sz val="10.0"/>
      </rPr>
      <t>)</t>
    </r>
    <r>
      <rPr>
        <rFont val="ＭＳ Ｐゴシック"/>
        <sz val="10.0"/>
      </rPr>
      <t>ら従業員達の前に現れたのはワケありの客</t>
    </r>
    <r>
      <rPr>
        <rFont val="Arial"/>
        <sz val="10.0"/>
      </rPr>
      <t>(</t>
    </r>
    <r>
      <rPr>
        <rFont val="ＭＳ Ｐゴシック"/>
        <sz val="10.0"/>
      </rPr>
      <t>黒川智花</t>
    </r>
    <r>
      <rPr>
        <rFont val="Arial"/>
        <sz val="10.0"/>
      </rPr>
      <t>)</t>
    </r>
    <r>
      <rPr>
        <rFont val="ＭＳ Ｐゴシック"/>
        <sz val="10.0"/>
      </rPr>
      <t>で</t>
    </r>
    <r>
      <rPr>
        <rFont val="Arial"/>
        <sz val="10.0"/>
      </rPr>
      <t>…</t>
    </r>
    <r>
      <rPr>
        <rFont val="ＭＳ Ｐゴシック"/>
        <sz val="10.0"/>
      </rPr>
      <t>。最後に堤が下す決断とは</t>
    </r>
    <r>
      <rPr>
        <rFont val="Arial"/>
        <sz val="10.0"/>
      </rPr>
      <t>!?</t>
    </r>
    <r>
      <rPr>
        <rFont val="ＭＳ Ｐゴシック"/>
        <sz val="10.0"/>
      </rPr>
      <t>石原さとみ</t>
    </r>
    <r>
      <rPr>
        <rFont val="Arial"/>
        <sz val="10.0"/>
      </rPr>
      <t>(</t>
    </r>
    <r>
      <rPr>
        <rFont val="ＭＳ Ｐゴシック"/>
        <sz val="10.0"/>
      </rPr>
      <t>黒須仮名子</t>
    </r>
    <r>
      <rPr>
        <rFont val="Arial"/>
        <sz val="10.0"/>
      </rPr>
      <t>)…</t>
    </r>
    <r>
      <rPr>
        <rFont val="ＭＳ Ｐゴシック"/>
        <sz val="10.0"/>
      </rPr>
      <t>みんなを振り回す風変わりなオーナー</t>
    </r>
    <r>
      <rPr>
        <rFont val="Arial"/>
        <sz val="10.0"/>
      </rPr>
      <t xml:space="preserve">  </t>
    </r>
    <r>
      <rPr>
        <rFont val="ＭＳ Ｐゴシック"/>
        <sz val="10.0"/>
      </rPr>
      <t>福士蒼汰</t>
    </r>
    <r>
      <rPr>
        <rFont val="Arial"/>
        <sz val="10.0"/>
      </rPr>
      <t>(</t>
    </r>
    <r>
      <rPr>
        <rFont val="ＭＳ Ｐゴシック"/>
        <sz val="10.0"/>
      </rPr>
      <t>伊賀　観</t>
    </r>
    <r>
      <rPr>
        <rFont val="Arial"/>
        <sz val="10.0"/>
      </rPr>
      <t>)…</t>
    </r>
    <r>
      <rPr>
        <rFont val="ＭＳ Ｐゴシック"/>
        <sz val="10.0"/>
      </rPr>
      <t>笑顔が苦手な真面目な青年</t>
    </r>
    <r>
      <rPr>
        <rFont val="Arial"/>
        <sz val="10.0"/>
      </rPr>
      <t xml:space="preserve">  </t>
    </r>
    <r>
      <rPr>
        <rFont val="ＭＳ Ｐゴシック"/>
        <sz val="10.0"/>
      </rPr>
      <t>志尊　淳</t>
    </r>
    <r>
      <rPr>
        <rFont val="Arial"/>
        <sz val="10.0"/>
      </rPr>
      <t>(</t>
    </r>
    <r>
      <rPr>
        <rFont val="ＭＳ Ｐゴシック"/>
        <sz val="10.0"/>
      </rPr>
      <t>川合太一</t>
    </r>
    <r>
      <rPr>
        <rFont val="Arial"/>
        <sz val="10.0"/>
      </rPr>
      <t>)…</t>
    </r>
    <r>
      <rPr>
        <rFont val="ＭＳ Ｐゴシック"/>
        <sz val="10.0"/>
      </rPr>
      <t>戦力にならない天然愛されキャラ</t>
    </r>
    <r>
      <rPr>
        <rFont val="Arial"/>
        <sz val="10.0"/>
      </rPr>
      <t xml:space="preserve">  </t>
    </r>
    <r>
      <rPr>
        <rFont val="ＭＳ Ｐゴシック"/>
        <sz val="10.0"/>
      </rPr>
      <t>勝村政信</t>
    </r>
    <r>
      <rPr>
        <rFont val="Arial"/>
        <sz val="10.0"/>
      </rPr>
      <t>(</t>
    </r>
    <r>
      <rPr>
        <rFont val="ＭＳ Ｐゴシック"/>
        <sz val="10.0"/>
      </rPr>
      <t>堤計太郎</t>
    </r>
    <r>
      <rPr>
        <rFont val="Arial"/>
        <sz val="10.0"/>
      </rPr>
      <t>)…</t>
    </r>
    <r>
      <rPr>
        <rFont val="ＭＳ Ｐゴシック"/>
        <sz val="10.0"/>
      </rPr>
      <t>経営に悪戦苦闘する元牛丼屋店長</t>
    </r>
    <r>
      <rPr>
        <rFont val="Arial"/>
        <sz val="10.0"/>
      </rPr>
      <t xml:space="preserve">  </t>
    </r>
    <r>
      <rPr>
        <rFont val="ＭＳ Ｐゴシック"/>
        <sz val="10.0"/>
      </rPr>
      <t>段田安則</t>
    </r>
    <r>
      <rPr>
        <rFont val="Arial"/>
        <sz val="10.0"/>
      </rPr>
      <t>(</t>
    </r>
    <r>
      <rPr>
        <rFont val="ＭＳ Ｐゴシック"/>
        <sz val="10.0"/>
      </rPr>
      <t>小澤幸應</t>
    </r>
    <r>
      <rPr>
        <rFont val="Arial"/>
        <sz val="10.0"/>
      </rPr>
      <t>)…</t>
    </r>
    <r>
      <rPr>
        <rFont val="ＭＳ Ｐゴシック"/>
        <sz val="10.0"/>
      </rPr>
      <t>秘密を抱える元三ツ星天才シェフ</t>
    </r>
    <r>
      <rPr>
        <rFont val="Arial"/>
        <sz val="10.0"/>
      </rPr>
      <t xml:space="preserve">  </t>
    </r>
    <r>
      <rPr>
        <rFont val="ＭＳ Ｐゴシック"/>
        <sz val="10.0"/>
      </rPr>
      <t>岸部一徳</t>
    </r>
    <r>
      <rPr>
        <rFont val="Arial"/>
        <sz val="10.0"/>
      </rPr>
      <t>(</t>
    </r>
    <r>
      <rPr>
        <rFont val="ＭＳ Ｐゴシック"/>
        <sz val="10.0"/>
      </rPr>
      <t>山縣重臣</t>
    </r>
    <r>
      <rPr>
        <rFont val="Arial"/>
        <sz val="10.0"/>
      </rPr>
      <t>)…</t>
    </r>
    <r>
      <rPr>
        <rFont val="ＭＳ Ｐゴシック"/>
        <sz val="10.0"/>
      </rPr>
      <t>資格取得が趣味のお茶目な元銀行員</t>
    </r>
    <r>
      <rPr>
        <rFont val="Arial"/>
        <sz val="10.0"/>
      </rPr>
      <t xml:space="preserve"> </t>
    </r>
  </si>
  <si>
    <t>番組名火曜ドラマ「Heaven?～ご苦楽レストラン～」♯7　常連客の知られざる秘密</t>
  </si>
  <si>
    <r>
      <rPr>
        <rFont val="ＭＳ Ｐゴシック"/>
        <sz val="10.0"/>
      </rPr>
      <t>いつもと様子が違うシェフ</t>
    </r>
    <r>
      <rPr>
        <rFont val="Arial"/>
        <sz val="10.0"/>
      </rPr>
      <t>(</t>
    </r>
    <r>
      <rPr>
        <rFont val="ＭＳ Ｐゴシック"/>
        <sz val="10.0"/>
      </rPr>
      <t>段田安則</t>
    </r>
    <r>
      <rPr>
        <rFont val="Arial"/>
        <sz val="10.0"/>
      </rPr>
      <t>)</t>
    </r>
    <r>
      <rPr>
        <rFont val="ＭＳ Ｐゴシック"/>
        <sz val="10.0"/>
      </rPr>
      <t>。今日は憧れの香宮</t>
    </r>
    <r>
      <rPr>
        <rFont val="Arial"/>
        <sz val="10.0"/>
      </rPr>
      <t>(</t>
    </r>
    <r>
      <rPr>
        <rFont val="ＭＳ Ｐゴシック"/>
        <sz val="10.0"/>
      </rPr>
      <t>相武紗季</t>
    </r>
    <r>
      <rPr>
        <rFont val="Arial"/>
        <sz val="10.0"/>
      </rPr>
      <t>)</t>
    </r>
    <r>
      <rPr>
        <rFont val="ＭＳ Ｐゴシック"/>
        <sz val="10.0"/>
      </rPr>
      <t>が来店する日だからだ。ある日、シェフを除いたロワン・ディシーメンバーは、普段からは想像できない香宮の姿を目撃してしまい</t>
    </r>
    <r>
      <rPr>
        <rFont val="Arial"/>
        <sz val="10.0"/>
      </rPr>
      <t>…</t>
    </r>
    <r>
      <rPr>
        <rFont val="ＭＳ Ｐゴシック"/>
        <sz val="10.0"/>
      </rPr>
      <t>一方、お店には常連客の古瀬</t>
    </r>
    <r>
      <rPr>
        <rFont val="Arial"/>
        <sz val="10.0"/>
      </rPr>
      <t>(</t>
    </r>
    <r>
      <rPr>
        <rFont val="ＭＳ Ｐゴシック"/>
        <sz val="10.0"/>
      </rPr>
      <t>加賀まりこ</t>
    </r>
    <r>
      <rPr>
        <rFont val="Arial"/>
        <sz val="10.0"/>
      </rPr>
      <t>)</t>
    </r>
    <r>
      <rPr>
        <rFont val="ＭＳ Ｐゴシック"/>
        <sz val="10.0"/>
      </rPr>
      <t>が来店。かつての大女優と思いこんだ湯浅</t>
    </r>
    <r>
      <rPr>
        <rFont val="Arial"/>
        <sz val="10.0"/>
      </rPr>
      <t>(</t>
    </r>
    <r>
      <rPr>
        <rFont val="ＭＳ Ｐゴシック"/>
        <sz val="10.0"/>
      </rPr>
      <t>丸山智己</t>
    </r>
    <r>
      <rPr>
        <rFont val="Arial"/>
        <sz val="10.0"/>
      </rPr>
      <t>)</t>
    </r>
    <r>
      <rPr>
        <rFont val="ＭＳ Ｐゴシック"/>
        <sz val="10.0"/>
      </rPr>
      <t>は偵察をはじめ</t>
    </r>
    <r>
      <rPr>
        <rFont val="Arial"/>
        <sz val="10.0"/>
      </rPr>
      <t>…</t>
    </r>
    <r>
      <rPr>
        <rFont val="ＭＳ Ｐゴシック"/>
        <sz val="10.0"/>
      </rPr>
      <t>絶妙なコンビネーションで一致団結したロワン・ディシーメンバーは、お客様を守れるか</t>
    </r>
    <r>
      <rPr>
        <rFont val="Arial"/>
        <sz val="10.0"/>
      </rPr>
      <t>!?</t>
    </r>
    <r>
      <rPr>
        <rFont val="ＭＳ Ｐゴシック"/>
        <sz val="10.0"/>
      </rPr>
      <t>石原さとみ</t>
    </r>
    <r>
      <rPr>
        <rFont val="Arial"/>
        <sz val="10.0"/>
      </rPr>
      <t>(</t>
    </r>
    <r>
      <rPr>
        <rFont val="ＭＳ Ｐゴシック"/>
        <sz val="10.0"/>
      </rPr>
      <t>黒須仮名子</t>
    </r>
    <r>
      <rPr>
        <rFont val="Arial"/>
        <sz val="10.0"/>
      </rPr>
      <t>)…</t>
    </r>
    <r>
      <rPr>
        <rFont val="ＭＳ Ｐゴシック"/>
        <sz val="10.0"/>
      </rPr>
      <t>みんなを振り回す風変わりなオーナー</t>
    </r>
    <r>
      <rPr>
        <rFont val="Arial"/>
        <sz val="10.0"/>
      </rPr>
      <t xml:space="preserve"> </t>
    </r>
    <r>
      <rPr>
        <rFont val="ＭＳ Ｐゴシック"/>
        <sz val="10.0"/>
      </rPr>
      <t>福士蒼汰</t>
    </r>
    <r>
      <rPr>
        <rFont val="Arial"/>
        <sz val="10.0"/>
      </rPr>
      <t>(</t>
    </r>
    <r>
      <rPr>
        <rFont val="ＭＳ Ｐゴシック"/>
        <sz val="10.0"/>
      </rPr>
      <t>伊賀　観</t>
    </r>
    <r>
      <rPr>
        <rFont val="Arial"/>
        <sz val="10.0"/>
      </rPr>
      <t>)…</t>
    </r>
    <r>
      <rPr>
        <rFont val="ＭＳ Ｐゴシック"/>
        <sz val="10.0"/>
      </rPr>
      <t>笑顔が苦手な真面目な青年</t>
    </r>
    <r>
      <rPr>
        <rFont val="Arial"/>
        <sz val="10.0"/>
      </rPr>
      <t xml:space="preserve"> </t>
    </r>
    <r>
      <rPr>
        <rFont val="ＭＳ Ｐゴシック"/>
        <sz val="10.0"/>
      </rPr>
      <t>志尊　淳</t>
    </r>
    <r>
      <rPr>
        <rFont val="Arial"/>
        <sz val="10.0"/>
      </rPr>
      <t>(</t>
    </r>
    <r>
      <rPr>
        <rFont val="ＭＳ Ｐゴシック"/>
        <sz val="10.0"/>
      </rPr>
      <t>川合太一</t>
    </r>
    <r>
      <rPr>
        <rFont val="Arial"/>
        <sz val="10.0"/>
      </rPr>
      <t>)…</t>
    </r>
    <r>
      <rPr>
        <rFont val="ＭＳ Ｐゴシック"/>
        <sz val="10.0"/>
      </rPr>
      <t>戦力にならない天然愛されキャラ</t>
    </r>
    <r>
      <rPr>
        <rFont val="Arial"/>
        <sz val="10.0"/>
      </rPr>
      <t xml:space="preserve"> </t>
    </r>
    <r>
      <rPr>
        <rFont val="ＭＳ Ｐゴシック"/>
        <sz val="10.0"/>
      </rPr>
      <t>勝村政信</t>
    </r>
    <r>
      <rPr>
        <rFont val="Arial"/>
        <sz val="10.0"/>
      </rPr>
      <t>(</t>
    </r>
    <r>
      <rPr>
        <rFont val="ＭＳ Ｐゴシック"/>
        <sz val="10.0"/>
      </rPr>
      <t>堤計太郎</t>
    </r>
    <r>
      <rPr>
        <rFont val="Arial"/>
        <sz val="10.0"/>
      </rPr>
      <t>)…</t>
    </r>
    <r>
      <rPr>
        <rFont val="ＭＳ Ｐゴシック"/>
        <sz val="10.0"/>
      </rPr>
      <t>経営に悪戦苦闘する元牛丼屋店長</t>
    </r>
    <r>
      <rPr>
        <rFont val="Arial"/>
        <sz val="10.0"/>
      </rPr>
      <t xml:space="preserve"> </t>
    </r>
    <r>
      <rPr>
        <rFont val="ＭＳ Ｐゴシック"/>
        <sz val="10.0"/>
      </rPr>
      <t>段田安則</t>
    </r>
    <r>
      <rPr>
        <rFont val="Arial"/>
        <sz val="10.0"/>
      </rPr>
      <t>(</t>
    </r>
    <r>
      <rPr>
        <rFont val="ＭＳ Ｐゴシック"/>
        <sz val="10.0"/>
      </rPr>
      <t>小澤幸應</t>
    </r>
    <r>
      <rPr>
        <rFont val="Arial"/>
        <sz val="10.0"/>
      </rPr>
      <t>)…</t>
    </r>
    <r>
      <rPr>
        <rFont val="ＭＳ Ｐゴシック"/>
        <sz val="10.0"/>
      </rPr>
      <t>秘密を抱える元三ツ星天才シェフ</t>
    </r>
    <r>
      <rPr>
        <rFont val="Arial"/>
        <sz val="10.0"/>
      </rPr>
      <t xml:space="preserve"> </t>
    </r>
    <r>
      <rPr>
        <rFont val="ＭＳ Ｐゴシック"/>
        <sz val="10.0"/>
      </rPr>
      <t>岸部一徳</t>
    </r>
    <r>
      <rPr>
        <rFont val="Arial"/>
        <sz val="10.0"/>
      </rPr>
      <t>(</t>
    </r>
    <r>
      <rPr>
        <rFont val="ＭＳ Ｐゴシック"/>
        <sz val="10.0"/>
      </rPr>
      <t>山縣重臣</t>
    </r>
    <r>
      <rPr>
        <rFont val="Arial"/>
        <sz val="10.0"/>
      </rPr>
      <t>)…</t>
    </r>
    <r>
      <rPr>
        <rFont val="ＭＳ Ｐゴシック"/>
        <sz val="10.0"/>
      </rPr>
      <t>資格取得が趣味のお茶目な元銀行員</t>
    </r>
    <r>
      <rPr>
        <rFont val="Arial"/>
        <sz val="10.0"/>
      </rPr>
      <t xml:space="preserve"> </t>
    </r>
  </si>
  <si>
    <t>番組名火曜ドラマ「Heaven?～ご苦楽レストラン～」♯8　双子!?宿命のライバル来店</t>
  </si>
  <si>
    <r>
      <rPr>
        <rFont val="ＭＳ Ｐゴシック"/>
        <sz val="10.0"/>
      </rPr>
      <t>ある夜、山縣</t>
    </r>
    <r>
      <rPr>
        <rFont val="Arial"/>
        <sz val="10.0"/>
      </rPr>
      <t>(</t>
    </r>
    <r>
      <rPr>
        <rFont val="ＭＳ Ｐゴシック"/>
        <sz val="10.0"/>
      </rPr>
      <t>岸部一徳</t>
    </r>
    <r>
      <rPr>
        <rFont val="Arial"/>
        <sz val="10.0"/>
      </rPr>
      <t>)</t>
    </r>
    <r>
      <rPr>
        <rFont val="ＭＳ Ｐゴシック"/>
        <sz val="10.0"/>
      </rPr>
      <t>が険しい表情で一人の客の来店を待っていた。</t>
    </r>
    <r>
      <rPr>
        <rFont val="Arial"/>
        <sz val="10.0"/>
      </rPr>
      <t>“</t>
    </r>
    <r>
      <rPr>
        <rFont val="ＭＳ Ｐゴシック"/>
        <sz val="10.0"/>
      </rPr>
      <t>宿命のライバルだ</t>
    </r>
    <r>
      <rPr>
        <rFont val="Arial"/>
        <sz val="10.0"/>
      </rPr>
      <t>"</t>
    </r>
    <r>
      <rPr>
        <rFont val="ＭＳ Ｐゴシック"/>
        <sz val="10.0"/>
      </rPr>
      <t>というその客を見て、ロワン・ディシーメンバーは唖然。その男は山縣にそっくりだったのだ</t>
    </r>
    <r>
      <rPr>
        <rFont val="Arial"/>
        <sz val="10.0"/>
      </rPr>
      <t>…</t>
    </r>
    <r>
      <rPr>
        <rFont val="ＭＳ Ｐゴシック"/>
        <sz val="10.0"/>
      </rPr>
      <t>。その客の来店をきっかけに山縣は伊賀</t>
    </r>
    <r>
      <rPr>
        <rFont val="Arial"/>
        <sz val="10.0"/>
      </rPr>
      <t>(</t>
    </r>
    <r>
      <rPr>
        <rFont val="ＭＳ Ｐゴシック"/>
        <sz val="10.0"/>
      </rPr>
      <t>福士蒼汰</t>
    </r>
    <r>
      <rPr>
        <rFont val="Arial"/>
        <sz val="10.0"/>
      </rPr>
      <t>)</t>
    </r>
    <r>
      <rPr>
        <rFont val="ＭＳ Ｐゴシック"/>
        <sz val="10.0"/>
      </rPr>
      <t>も巻き込み、お互いのトラウマ克服に挑戦しようと決意。そこで出逢った彦坂</t>
    </r>
    <r>
      <rPr>
        <rFont val="Arial"/>
        <sz val="10.0"/>
      </rPr>
      <t>(</t>
    </r>
    <r>
      <rPr>
        <rFont val="ＭＳ Ｐゴシック"/>
        <sz val="10.0"/>
      </rPr>
      <t>平泉成</t>
    </r>
    <r>
      <rPr>
        <rFont val="Arial"/>
        <sz val="10.0"/>
      </rPr>
      <t>)</t>
    </r>
    <r>
      <rPr>
        <rFont val="ＭＳ Ｐゴシック"/>
        <sz val="10.0"/>
      </rPr>
      <t>も色々ワケありで</t>
    </r>
    <r>
      <rPr>
        <rFont val="Arial"/>
        <sz val="10.0"/>
      </rPr>
      <t>…</t>
    </r>
    <r>
      <rPr>
        <rFont val="ＭＳ Ｐゴシック"/>
        <sz val="10.0"/>
      </rPr>
      <t>。そんな伊賀らにオーナー</t>
    </r>
    <r>
      <rPr>
        <rFont val="Arial"/>
        <sz val="10.0"/>
      </rPr>
      <t>(</t>
    </r>
    <r>
      <rPr>
        <rFont val="ＭＳ Ｐゴシック"/>
        <sz val="10.0"/>
      </rPr>
      <t>石原さとみ</t>
    </r>
    <r>
      <rPr>
        <rFont val="Arial"/>
        <sz val="10.0"/>
      </rPr>
      <t>)</t>
    </r>
    <r>
      <rPr>
        <rFont val="ＭＳ Ｐゴシック"/>
        <sz val="10.0"/>
      </rPr>
      <t>が授けた究極の秘策とは</t>
    </r>
    <r>
      <rPr>
        <rFont val="Arial"/>
        <sz val="10.0"/>
      </rPr>
      <t>?</t>
    </r>
    <r>
      <rPr>
        <rFont val="ＭＳ Ｐゴシック"/>
        <sz val="10.0"/>
      </rPr>
      <t>石原さとみ</t>
    </r>
    <r>
      <rPr>
        <rFont val="Arial"/>
        <sz val="10.0"/>
      </rPr>
      <t>(</t>
    </r>
    <r>
      <rPr>
        <rFont val="ＭＳ Ｐゴシック"/>
        <sz val="10.0"/>
      </rPr>
      <t>黒須仮名子</t>
    </r>
    <r>
      <rPr>
        <rFont val="Arial"/>
        <sz val="10.0"/>
      </rPr>
      <t>)…</t>
    </r>
    <r>
      <rPr>
        <rFont val="ＭＳ Ｐゴシック"/>
        <sz val="10.0"/>
      </rPr>
      <t>みんなを振り回す風変わりなオーナー</t>
    </r>
    <r>
      <rPr>
        <rFont val="Arial"/>
        <sz val="10.0"/>
      </rPr>
      <t xml:space="preserve">  </t>
    </r>
    <r>
      <rPr>
        <rFont val="ＭＳ Ｐゴシック"/>
        <sz val="10.0"/>
      </rPr>
      <t>福士蒼汰</t>
    </r>
    <r>
      <rPr>
        <rFont val="Arial"/>
        <sz val="10.0"/>
      </rPr>
      <t>(</t>
    </r>
    <r>
      <rPr>
        <rFont val="ＭＳ Ｐゴシック"/>
        <sz val="10.0"/>
      </rPr>
      <t>伊賀　観</t>
    </r>
    <r>
      <rPr>
        <rFont val="Arial"/>
        <sz val="10.0"/>
      </rPr>
      <t>)…</t>
    </r>
    <r>
      <rPr>
        <rFont val="ＭＳ Ｐゴシック"/>
        <sz val="10.0"/>
      </rPr>
      <t>笑顔が苦手な真面目な青年</t>
    </r>
    <r>
      <rPr>
        <rFont val="Arial"/>
        <sz val="10.0"/>
      </rPr>
      <t xml:space="preserve">  </t>
    </r>
    <r>
      <rPr>
        <rFont val="ＭＳ Ｐゴシック"/>
        <sz val="10.0"/>
      </rPr>
      <t>志尊　淳</t>
    </r>
    <r>
      <rPr>
        <rFont val="Arial"/>
        <sz val="10.0"/>
      </rPr>
      <t>(</t>
    </r>
    <r>
      <rPr>
        <rFont val="ＭＳ Ｐゴシック"/>
        <sz val="10.0"/>
      </rPr>
      <t>川合太一</t>
    </r>
    <r>
      <rPr>
        <rFont val="Arial"/>
        <sz val="10.0"/>
      </rPr>
      <t>)…</t>
    </r>
    <r>
      <rPr>
        <rFont val="ＭＳ Ｐゴシック"/>
        <sz val="10.0"/>
      </rPr>
      <t>戦力にならない天然愛されキャラ</t>
    </r>
    <r>
      <rPr>
        <rFont val="Arial"/>
        <sz val="10.0"/>
      </rPr>
      <t xml:space="preserve">  </t>
    </r>
    <r>
      <rPr>
        <rFont val="ＭＳ Ｐゴシック"/>
        <sz val="10.0"/>
      </rPr>
      <t>勝村政信</t>
    </r>
    <r>
      <rPr>
        <rFont val="Arial"/>
        <sz val="10.0"/>
      </rPr>
      <t>(</t>
    </r>
    <r>
      <rPr>
        <rFont val="ＭＳ Ｐゴシック"/>
        <sz val="10.0"/>
      </rPr>
      <t>堤計太郎</t>
    </r>
    <r>
      <rPr>
        <rFont val="Arial"/>
        <sz val="10.0"/>
      </rPr>
      <t>)…</t>
    </r>
    <r>
      <rPr>
        <rFont val="ＭＳ Ｐゴシック"/>
        <sz val="10.0"/>
      </rPr>
      <t>経営に悪戦苦闘する元牛丼屋店長</t>
    </r>
    <r>
      <rPr>
        <rFont val="Arial"/>
        <sz val="10.0"/>
      </rPr>
      <t xml:space="preserve">  </t>
    </r>
    <r>
      <rPr>
        <rFont val="ＭＳ Ｐゴシック"/>
        <sz val="10.0"/>
      </rPr>
      <t>段田安則</t>
    </r>
    <r>
      <rPr>
        <rFont val="Arial"/>
        <sz val="10.0"/>
      </rPr>
      <t>(</t>
    </r>
    <r>
      <rPr>
        <rFont val="ＭＳ Ｐゴシック"/>
        <sz val="10.0"/>
      </rPr>
      <t>小澤幸應</t>
    </r>
    <r>
      <rPr>
        <rFont val="Arial"/>
        <sz val="10.0"/>
      </rPr>
      <t>)…</t>
    </r>
    <r>
      <rPr>
        <rFont val="ＭＳ Ｐゴシック"/>
        <sz val="10.0"/>
      </rPr>
      <t>秘密を抱える元三ツ星天才シェフ</t>
    </r>
    <r>
      <rPr>
        <rFont val="Arial"/>
        <sz val="10.0"/>
      </rPr>
      <t xml:space="preserve">  </t>
    </r>
    <r>
      <rPr>
        <rFont val="ＭＳ Ｐゴシック"/>
        <sz val="10.0"/>
      </rPr>
      <t>岸部一徳</t>
    </r>
    <r>
      <rPr>
        <rFont val="Arial"/>
        <sz val="10.0"/>
      </rPr>
      <t>(</t>
    </r>
    <r>
      <rPr>
        <rFont val="ＭＳ Ｐゴシック"/>
        <sz val="10.0"/>
      </rPr>
      <t>山縣重臣</t>
    </r>
    <r>
      <rPr>
        <rFont val="Arial"/>
        <sz val="10.0"/>
      </rPr>
      <t>)…</t>
    </r>
    <r>
      <rPr>
        <rFont val="ＭＳ Ｐゴシック"/>
        <sz val="10.0"/>
      </rPr>
      <t>資格取得が趣味のお茶目な元銀行員</t>
    </r>
    <r>
      <rPr>
        <rFont val="Arial"/>
        <sz val="10.0"/>
      </rPr>
      <t xml:space="preserve">  </t>
    </r>
  </si>
  <si>
    <t>番組名火曜ドラマ「Heaven?～ご苦楽レストラン～」♯9　最終決戦の幕開け!</t>
  </si>
  <si>
    <r>
      <rPr>
        <rFont val="ＭＳ Ｐゴシック"/>
        <sz val="10.0"/>
      </rPr>
      <t>オーナー</t>
    </r>
    <r>
      <rPr>
        <rFont val="Arial"/>
        <sz val="10.0"/>
      </rPr>
      <t>(</t>
    </r>
    <r>
      <rPr>
        <rFont val="ＭＳ Ｐゴシック"/>
        <sz val="10.0"/>
      </rPr>
      <t>石原さとみ</t>
    </r>
    <r>
      <rPr>
        <rFont val="Arial"/>
        <sz val="10.0"/>
      </rPr>
      <t>)</t>
    </r>
    <r>
      <rPr>
        <rFont val="ＭＳ Ｐゴシック"/>
        <sz val="10.0"/>
      </rPr>
      <t>不在の</t>
    </r>
    <r>
      <rPr>
        <rFont val="Arial"/>
        <sz val="10.0"/>
      </rPr>
      <t>1</t>
    </r>
    <r>
      <rPr>
        <rFont val="ＭＳ Ｐゴシック"/>
        <sz val="10.0"/>
      </rPr>
      <t>日。振り回されることなく仕事に集中出来るロワン・ディシーメンバーには、立て続けにラッキーな出来事が起こり、幸せを噛みしめていた。その頃、オーナーには不運な出来事ばかりが起こり不機嫌指数が</t>
    </r>
    <r>
      <rPr>
        <rFont val="Arial"/>
        <sz val="10.0"/>
      </rPr>
      <t>MAX</t>
    </r>
    <r>
      <rPr>
        <rFont val="ＭＳ Ｐゴシック"/>
        <sz val="10.0"/>
      </rPr>
      <t>に</t>
    </r>
    <r>
      <rPr>
        <rFont val="Arial"/>
        <sz val="10.0"/>
      </rPr>
      <t>…</t>
    </r>
    <r>
      <rPr>
        <rFont val="ＭＳ Ｐゴシック"/>
        <sz val="10.0"/>
      </rPr>
      <t>。そんな矢先、ある謎の男</t>
    </r>
    <r>
      <rPr>
        <rFont val="Arial"/>
        <sz val="10.0"/>
      </rPr>
      <t>(</t>
    </r>
    <r>
      <rPr>
        <rFont val="ＭＳ Ｐゴシック"/>
        <sz val="10.0"/>
      </rPr>
      <t>白井晃</t>
    </r>
    <r>
      <rPr>
        <rFont val="Arial"/>
        <sz val="10.0"/>
      </rPr>
      <t>)</t>
    </r>
    <r>
      <rPr>
        <rFont val="ＭＳ Ｐゴシック"/>
        <sz val="10.0"/>
      </rPr>
      <t>が来店。難敵に追い詰められたオーナーは人生初のピンチに追い込まれる。さらに、伊賀にも予期せぬ事態が忍び寄り</t>
    </r>
    <r>
      <rPr>
        <rFont val="Arial"/>
        <sz val="10.0"/>
      </rPr>
      <t>…</t>
    </r>
    <r>
      <rPr>
        <rFont val="ＭＳ Ｐゴシック"/>
        <sz val="10.0"/>
      </rPr>
      <t>。石原さとみ</t>
    </r>
    <r>
      <rPr>
        <rFont val="Arial"/>
        <sz val="10.0"/>
      </rPr>
      <t>(</t>
    </r>
    <r>
      <rPr>
        <rFont val="ＭＳ Ｐゴシック"/>
        <sz val="10.0"/>
      </rPr>
      <t>黒須仮名子</t>
    </r>
    <r>
      <rPr>
        <rFont val="Arial"/>
        <sz val="10.0"/>
      </rPr>
      <t>)…</t>
    </r>
    <r>
      <rPr>
        <rFont val="ＭＳ Ｐゴシック"/>
        <sz val="10.0"/>
      </rPr>
      <t>みんなを振り回す風変わりなオーナー</t>
    </r>
    <r>
      <rPr>
        <rFont val="Arial"/>
        <sz val="10.0"/>
      </rPr>
      <t xml:space="preserve"> </t>
    </r>
    <r>
      <rPr>
        <rFont val="ＭＳ Ｐゴシック"/>
        <sz val="10.0"/>
      </rPr>
      <t>福士蒼汰</t>
    </r>
    <r>
      <rPr>
        <rFont val="Arial"/>
        <sz val="10.0"/>
      </rPr>
      <t>(</t>
    </r>
    <r>
      <rPr>
        <rFont val="ＭＳ Ｐゴシック"/>
        <sz val="10.0"/>
      </rPr>
      <t>伊賀　観</t>
    </r>
    <r>
      <rPr>
        <rFont val="Arial"/>
        <sz val="10.0"/>
      </rPr>
      <t>)…</t>
    </r>
    <r>
      <rPr>
        <rFont val="ＭＳ Ｐゴシック"/>
        <sz val="10.0"/>
      </rPr>
      <t>笑顔が苦手な真面目な青年</t>
    </r>
    <r>
      <rPr>
        <rFont val="Arial"/>
        <sz val="10.0"/>
      </rPr>
      <t xml:space="preserve"> </t>
    </r>
    <r>
      <rPr>
        <rFont val="ＭＳ Ｐゴシック"/>
        <sz val="10.0"/>
      </rPr>
      <t>志尊　淳</t>
    </r>
    <r>
      <rPr>
        <rFont val="Arial"/>
        <sz val="10.0"/>
      </rPr>
      <t>(</t>
    </r>
    <r>
      <rPr>
        <rFont val="ＭＳ Ｐゴシック"/>
        <sz val="10.0"/>
      </rPr>
      <t>川合太一</t>
    </r>
    <r>
      <rPr>
        <rFont val="Arial"/>
        <sz val="10.0"/>
      </rPr>
      <t>)…</t>
    </r>
    <r>
      <rPr>
        <rFont val="ＭＳ Ｐゴシック"/>
        <sz val="10.0"/>
      </rPr>
      <t>戦力にならない天然愛されキャラ</t>
    </r>
    <r>
      <rPr>
        <rFont val="Arial"/>
        <sz val="10.0"/>
      </rPr>
      <t xml:space="preserve"> </t>
    </r>
    <r>
      <rPr>
        <rFont val="ＭＳ Ｐゴシック"/>
        <sz val="10.0"/>
      </rPr>
      <t>勝村政信</t>
    </r>
    <r>
      <rPr>
        <rFont val="Arial"/>
        <sz val="10.0"/>
      </rPr>
      <t>(</t>
    </r>
    <r>
      <rPr>
        <rFont val="ＭＳ Ｐゴシック"/>
        <sz val="10.0"/>
      </rPr>
      <t>堤計太郎</t>
    </r>
    <r>
      <rPr>
        <rFont val="Arial"/>
        <sz val="10.0"/>
      </rPr>
      <t>)…</t>
    </r>
    <r>
      <rPr>
        <rFont val="ＭＳ Ｐゴシック"/>
        <sz val="10.0"/>
      </rPr>
      <t>経営に悪戦苦闘する元牛丼屋店長</t>
    </r>
    <r>
      <rPr>
        <rFont val="Arial"/>
        <sz val="10.0"/>
      </rPr>
      <t xml:space="preserve"> </t>
    </r>
    <r>
      <rPr>
        <rFont val="ＭＳ Ｐゴシック"/>
        <sz val="10.0"/>
      </rPr>
      <t>段田安則</t>
    </r>
    <r>
      <rPr>
        <rFont val="Arial"/>
        <sz val="10.0"/>
      </rPr>
      <t>(</t>
    </r>
    <r>
      <rPr>
        <rFont val="ＭＳ Ｐゴシック"/>
        <sz val="10.0"/>
      </rPr>
      <t>小澤幸應</t>
    </r>
    <r>
      <rPr>
        <rFont val="Arial"/>
        <sz val="10.0"/>
      </rPr>
      <t>)…</t>
    </r>
    <r>
      <rPr>
        <rFont val="ＭＳ Ｐゴシック"/>
        <sz val="10.0"/>
      </rPr>
      <t>秘密を抱える元三ツ星天才シェフ</t>
    </r>
    <r>
      <rPr>
        <rFont val="Arial"/>
        <sz val="10.0"/>
      </rPr>
      <t xml:space="preserve"> </t>
    </r>
    <r>
      <rPr>
        <rFont val="ＭＳ Ｐゴシック"/>
        <sz val="10.0"/>
      </rPr>
      <t>岸部一徳</t>
    </r>
    <r>
      <rPr>
        <rFont val="Arial"/>
        <sz val="10.0"/>
      </rPr>
      <t>(</t>
    </r>
    <r>
      <rPr>
        <rFont val="ＭＳ Ｐゴシック"/>
        <sz val="10.0"/>
      </rPr>
      <t>山縣重臣</t>
    </r>
    <r>
      <rPr>
        <rFont val="Arial"/>
        <sz val="10.0"/>
      </rPr>
      <t>)…</t>
    </r>
    <r>
      <rPr>
        <rFont val="ＭＳ Ｐゴシック"/>
        <sz val="10.0"/>
      </rPr>
      <t>資格取得が趣味のお茶目な元銀行員</t>
    </r>
    <r>
      <rPr>
        <rFont val="Arial"/>
        <sz val="10.0"/>
      </rPr>
      <t xml:space="preserve">  </t>
    </r>
  </si>
  <si>
    <t>番組名火曜ドラマ「Heaven?～ご苦楽レストラン～」さよならロワン・ディシー!</t>
  </si>
  <si>
    <r>
      <rPr>
        <rFont val="ＭＳ Ｐゴシック"/>
        <sz val="10.0"/>
      </rPr>
      <t>日比野</t>
    </r>
    <r>
      <rPr>
        <rFont val="Arial"/>
        <sz val="10.0"/>
      </rPr>
      <t>(</t>
    </r>
    <r>
      <rPr>
        <rFont val="ＭＳ Ｐゴシック"/>
        <sz val="10.0"/>
      </rPr>
      <t>井上順</t>
    </r>
    <r>
      <rPr>
        <rFont val="Arial"/>
        <sz val="10.0"/>
      </rPr>
      <t>)</t>
    </r>
    <r>
      <rPr>
        <rFont val="ＭＳ Ｐゴシック"/>
        <sz val="10.0"/>
      </rPr>
      <t>と親しくなった伊賀</t>
    </r>
    <r>
      <rPr>
        <rFont val="Arial"/>
        <sz val="10.0"/>
      </rPr>
      <t>(</t>
    </r>
    <r>
      <rPr>
        <rFont val="ＭＳ Ｐゴシック"/>
        <sz val="10.0"/>
      </rPr>
      <t>福士蒼汰</t>
    </r>
    <r>
      <rPr>
        <rFont val="Arial"/>
        <sz val="10.0"/>
      </rPr>
      <t>)</t>
    </r>
    <r>
      <rPr>
        <rFont val="ＭＳ Ｐゴシック"/>
        <sz val="10.0"/>
      </rPr>
      <t>はコンサートのチケットをもらい足を運ぶも、客との距離感をオーナー</t>
    </r>
    <r>
      <rPr>
        <rFont val="Arial"/>
        <sz val="10.0"/>
      </rPr>
      <t>(</t>
    </r>
    <r>
      <rPr>
        <rFont val="ＭＳ Ｐゴシック"/>
        <sz val="10.0"/>
      </rPr>
      <t>石原さとみ</t>
    </r>
    <r>
      <rPr>
        <rFont val="Arial"/>
        <sz val="10.0"/>
      </rPr>
      <t>)</t>
    </r>
    <r>
      <rPr>
        <rFont val="ＭＳ Ｐゴシック"/>
        <sz val="10.0"/>
      </rPr>
      <t>に注意されてしまう。伊賀はオーナーの一言で、自分が成長できていないことに気付き、家族の転勤先のジンバブエに行くことを決意。そんな最中、謎の</t>
    </r>
    <r>
      <rPr>
        <rFont val="Arial"/>
        <sz val="10.0"/>
      </rPr>
      <t>3</t>
    </r>
    <r>
      <rPr>
        <rFont val="ＭＳ Ｐゴシック"/>
        <sz val="10.0"/>
      </rPr>
      <t>人組が来店。仮名子たちに持ちかけてきたとんでもない話とは</t>
    </r>
    <r>
      <rPr>
        <rFont val="Arial"/>
        <sz val="10.0"/>
      </rPr>
      <t>!?</t>
    </r>
    <r>
      <rPr>
        <rFont val="ＭＳ Ｐゴシック"/>
        <sz val="10.0"/>
      </rPr>
      <t>ロワン・ディシーの運命の歯車が狂い始める</t>
    </r>
    <r>
      <rPr>
        <rFont val="Arial"/>
        <sz val="10.0"/>
      </rPr>
      <t xml:space="preserve">…!!  </t>
    </r>
    <r>
      <rPr>
        <rFont val="ＭＳ Ｐゴシック"/>
        <sz val="10.0"/>
      </rPr>
      <t>石原さとみ</t>
    </r>
    <r>
      <rPr>
        <rFont val="Arial"/>
        <sz val="10.0"/>
      </rPr>
      <t>(</t>
    </r>
    <r>
      <rPr>
        <rFont val="ＭＳ Ｐゴシック"/>
        <sz val="10.0"/>
      </rPr>
      <t>黒須仮名子</t>
    </r>
    <r>
      <rPr>
        <rFont val="Arial"/>
        <sz val="10.0"/>
      </rPr>
      <t>)…</t>
    </r>
    <r>
      <rPr>
        <rFont val="ＭＳ Ｐゴシック"/>
        <sz val="10.0"/>
      </rPr>
      <t>みんなを振り回す風変わりなオーナー</t>
    </r>
    <r>
      <rPr>
        <rFont val="Arial"/>
        <sz val="10.0"/>
      </rPr>
      <t xml:space="preserve">  </t>
    </r>
    <r>
      <rPr>
        <rFont val="ＭＳ Ｐゴシック"/>
        <sz val="10.0"/>
      </rPr>
      <t>福士蒼汰</t>
    </r>
    <r>
      <rPr>
        <rFont val="Arial"/>
        <sz val="10.0"/>
      </rPr>
      <t>(</t>
    </r>
    <r>
      <rPr>
        <rFont val="ＭＳ Ｐゴシック"/>
        <sz val="10.0"/>
      </rPr>
      <t>伊賀　観</t>
    </r>
    <r>
      <rPr>
        <rFont val="Arial"/>
        <sz val="10.0"/>
      </rPr>
      <t>)…</t>
    </r>
    <r>
      <rPr>
        <rFont val="ＭＳ Ｐゴシック"/>
        <sz val="10.0"/>
      </rPr>
      <t>笑顔が苦手な真面目な青年</t>
    </r>
    <r>
      <rPr>
        <rFont val="Arial"/>
        <sz val="10.0"/>
      </rPr>
      <t xml:space="preserve">  </t>
    </r>
    <r>
      <rPr>
        <rFont val="ＭＳ Ｐゴシック"/>
        <sz val="10.0"/>
      </rPr>
      <t>志尊　淳</t>
    </r>
    <r>
      <rPr>
        <rFont val="Arial"/>
        <sz val="10.0"/>
      </rPr>
      <t>(</t>
    </r>
    <r>
      <rPr>
        <rFont val="ＭＳ Ｐゴシック"/>
        <sz val="10.0"/>
      </rPr>
      <t>川合太一</t>
    </r>
    <r>
      <rPr>
        <rFont val="Arial"/>
        <sz val="10.0"/>
      </rPr>
      <t>)…</t>
    </r>
    <r>
      <rPr>
        <rFont val="ＭＳ Ｐゴシック"/>
        <sz val="10.0"/>
      </rPr>
      <t>天然愛されキャラ</t>
    </r>
    <r>
      <rPr>
        <rFont val="Arial"/>
        <sz val="10.0"/>
      </rPr>
      <t xml:space="preserve">  </t>
    </r>
    <r>
      <rPr>
        <rFont val="ＭＳ Ｐゴシック"/>
        <sz val="10.0"/>
      </rPr>
      <t>勝村政信</t>
    </r>
    <r>
      <rPr>
        <rFont val="Arial"/>
        <sz val="10.0"/>
      </rPr>
      <t>(</t>
    </r>
    <r>
      <rPr>
        <rFont val="ＭＳ Ｐゴシック"/>
        <sz val="10.0"/>
      </rPr>
      <t>堤計太郎</t>
    </r>
    <r>
      <rPr>
        <rFont val="Arial"/>
        <sz val="10.0"/>
      </rPr>
      <t>)…</t>
    </r>
    <r>
      <rPr>
        <rFont val="ＭＳ Ｐゴシック"/>
        <sz val="10.0"/>
      </rPr>
      <t>元牛丼屋店長</t>
    </r>
    <r>
      <rPr>
        <rFont val="Arial"/>
        <sz val="10.0"/>
      </rPr>
      <t xml:space="preserve">  </t>
    </r>
    <r>
      <rPr>
        <rFont val="ＭＳ Ｐゴシック"/>
        <sz val="10.0"/>
      </rPr>
      <t>段田安則</t>
    </r>
    <r>
      <rPr>
        <rFont val="Arial"/>
        <sz val="10.0"/>
      </rPr>
      <t>(</t>
    </r>
    <r>
      <rPr>
        <rFont val="ＭＳ Ｐゴシック"/>
        <sz val="10.0"/>
      </rPr>
      <t>小澤幸應</t>
    </r>
    <r>
      <rPr>
        <rFont val="Arial"/>
        <sz val="10.0"/>
      </rPr>
      <t>)…</t>
    </r>
    <r>
      <rPr>
        <rFont val="ＭＳ Ｐゴシック"/>
        <sz val="10.0"/>
      </rPr>
      <t>元三ツ星天才シェフ</t>
    </r>
    <r>
      <rPr>
        <rFont val="Arial"/>
        <sz val="10.0"/>
      </rPr>
      <t xml:space="preserve">  </t>
    </r>
    <r>
      <rPr>
        <rFont val="ＭＳ Ｐゴシック"/>
        <sz val="10.0"/>
      </rPr>
      <t>岸部一徳</t>
    </r>
    <r>
      <rPr>
        <rFont val="Arial"/>
        <sz val="10.0"/>
      </rPr>
      <t>(</t>
    </r>
    <r>
      <rPr>
        <rFont val="ＭＳ Ｐゴシック"/>
        <sz val="10.0"/>
      </rPr>
      <t>山縣重臣</t>
    </r>
    <r>
      <rPr>
        <rFont val="Arial"/>
        <sz val="10.0"/>
      </rPr>
      <t>)…</t>
    </r>
    <r>
      <rPr>
        <rFont val="ＭＳ Ｐゴシック"/>
        <sz val="10.0"/>
      </rPr>
      <t>資格取得が趣味のお茶目な元銀行員</t>
    </r>
  </si>
  <si>
    <t>1907_TBS_金22</t>
  </si>
  <si>
    <t>凪のお暇</t>
  </si>
  <si>
    <t>番組名金曜ドラマ「凪のお暇」(なぎのおいとま)　第01話</t>
  </si>
  <si>
    <r>
      <rPr>
        <rFont val="ＭＳ Ｐゴシック"/>
        <sz val="10.0"/>
      </rPr>
      <t>家電メーカーの営業事務として働く大島凪</t>
    </r>
    <r>
      <rPr>
        <rFont val="Arial"/>
        <sz val="10.0"/>
      </rPr>
      <t>(</t>
    </r>
    <r>
      <rPr>
        <rFont val="ＭＳ Ｐゴシック"/>
        <sz val="10.0"/>
      </rPr>
      <t>なぎ</t>
    </r>
    <r>
      <rPr>
        <rFont val="Arial"/>
        <sz val="10.0"/>
      </rPr>
      <t>)</t>
    </r>
    <r>
      <rPr>
        <rFont val="ＭＳ Ｐゴシック"/>
        <sz val="10.0"/>
      </rPr>
      <t>はいわゆる「空気を読みすぎる」アラサー女子。上司や同僚、</t>
    </r>
    <r>
      <rPr>
        <rFont val="Arial"/>
        <sz val="10.0"/>
      </rPr>
      <t>SNS</t>
    </r>
    <r>
      <rPr>
        <rFont val="ＭＳ Ｐゴシック"/>
        <sz val="10.0"/>
      </rPr>
      <t>、友達、そして、彼氏・・・ありとあらゆる空気を読みまくっていた。本人ですら「なんだかなぁ」と思ってしまう毎日だったが、あることを機に、仕事も辞めスマホも解約、彼氏と連絡を絶ち、毎朝</t>
    </r>
    <r>
      <rPr>
        <rFont val="Arial"/>
        <sz val="10.0"/>
      </rPr>
      <t>1</t>
    </r>
    <r>
      <rPr>
        <rFont val="ＭＳ Ｐゴシック"/>
        <sz val="10.0"/>
      </rPr>
      <t>時間も費やしたヘアセットもやめ、ひどいくせ毛の天然パーマもそのままに「人生リセット」を図るー。「人生リセット」して引っ越した先は、</t>
    </r>
    <r>
      <rPr>
        <rFont val="Arial"/>
        <sz val="10.0"/>
      </rPr>
      <t>6</t>
    </r>
    <r>
      <rPr>
        <rFont val="ＭＳ Ｐゴシック"/>
        <sz val="10.0"/>
      </rPr>
      <t>畳一間のクーラーなしのボロアパート。危険な匂いのする隣人・ゴンをはじめとする個性豊かな住人たちとの出会い。そこに別れたはずの彼氏、慎二がやってきて・・・。</t>
    </r>
  </si>
  <si>
    <t>番組名金曜ドラマ「凪のお暇」(なぎのおいとま)　第02話</t>
  </si>
  <si>
    <r>
      <rPr>
        <rFont val="ＭＳ Ｐゴシック"/>
        <sz val="10.0"/>
      </rPr>
      <t>人生リセットするために全てを捨てて東京郊外のアパートに引っ越した「空気を読みすぎる」アラサー女子・大島凪</t>
    </r>
    <r>
      <rPr>
        <rFont val="Arial"/>
        <sz val="10.0"/>
      </rPr>
      <t>(</t>
    </r>
    <r>
      <rPr>
        <rFont val="ＭＳ Ｐゴシック"/>
        <sz val="10.0"/>
      </rPr>
      <t>黒木華</t>
    </r>
    <r>
      <rPr>
        <rFont val="Arial"/>
        <sz val="10.0"/>
      </rPr>
      <t>)</t>
    </r>
    <r>
      <rPr>
        <rFont val="ＭＳ Ｐゴシック"/>
        <sz val="10.0"/>
      </rPr>
      <t>は、隣に住むイベントオーガナイザーの安楽城ゴン</t>
    </r>
    <r>
      <rPr>
        <rFont val="Arial"/>
        <sz val="10.0"/>
      </rPr>
      <t>(</t>
    </r>
    <r>
      <rPr>
        <rFont val="ＭＳ Ｐゴシック"/>
        <sz val="10.0"/>
      </rPr>
      <t>中村倫也</t>
    </r>
    <r>
      <rPr>
        <rFont val="Arial"/>
        <sz val="10.0"/>
      </rPr>
      <t>)</t>
    </r>
    <r>
      <rPr>
        <rFont val="ＭＳ Ｐゴシック"/>
        <sz val="10.0"/>
      </rPr>
      <t>、ハローワークでは同世代の女性・坂本龍子</t>
    </r>
    <r>
      <rPr>
        <rFont val="Arial"/>
        <sz val="10.0"/>
      </rPr>
      <t>(</t>
    </r>
    <r>
      <rPr>
        <rFont val="ＭＳ Ｐゴシック"/>
        <sz val="10.0"/>
      </rPr>
      <t>市川実日子</t>
    </r>
    <r>
      <rPr>
        <rFont val="Arial"/>
        <sz val="10.0"/>
      </rPr>
      <t>)</t>
    </r>
    <r>
      <rPr>
        <rFont val="ＭＳ Ｐゴシック"/>
        <sz val="10.0"/>
      </rPr>
      <t>に、隣に住む小学生のうららとの心の交流で人生豊かな生活を取り戻していくのだが、ある日、彼氏だった慎二</t>
    </r>
    <r>
      <rPr>
        <rFont val="Arial"/>
        <sz val="10.0"/>
      </rPr>
      <t>(</t>
    </r>
    <r>
      <rPr>
        <rFont val="ＭＳ Ｐゴシック"/>
        <sz val="10.0"/>
      </rPr>
      <t>高橋一生</t>
    </r>
    <r>
      <rPr>
        <rFont val="Arial"/>
        <sz val="10.0"/>
      </rPr>
      <t>)</t>
    </r>
    <r>
      <rPr>
        <rFont val="ＭＳ Ｐゴシック"/>
        <sz val="10.0"/>
      </rPr>
      <t>が再び凪の元を訪れる。</t>
    </r>
  </si>
  <si>
    <t>番組名金曜ドラマ「凪のお暇」(なぎのおいとま)　第03話「私、そのキスで確信しました」</t>
  </si>
  <si>
    <r>
      <rPr>
        <rFont val="ＭＳ Ｐゴシック"/>
        <sz val="10.0"/>
      </rPr>
      <t>人生リセットするために全てを捨てて東京郊外のアパートに引っ越した「空気を読みすぎる」アラサー女子・大島凪</t>
    </r>
    <r>
      <rPr>
        <rFont val="Arial"/>
        <sz val="10.0"/>
      </rPr>
      <t>(</t>
    </r>
    <r>
      <rPr>
        <rFont val="ＭＳ Ｐゴシック"/>
        <sz val="10.0"/>
      </rPr>
      <t>黒木華</t>
    </r>
    <r>
      <rPr>
        <rFont val="Arial"/>
        <sz val="10.0"/>
      </rPr>
      <t>)</t>
    </r>
    <r>
      <rPr>
        <rFont val="ＭＳ Ｐゴシック"/>
        <sz val="10.0"/>
      </rPr>
      <t>は、ハローワークで知り合った坂本龍子</t>
    </r>
    <r>
      <rPr>
        <rFont val="Arial"/>
        <sz val="10.0"/>
      </rPr>
      <t>(</t>
    </r>
    <r>
      <rPr>
        <rFont val="ＭＳ Ｐゴシック"/>
        <sz val="10.0"/>
      </rPr>
      <t>市川実日子</t>
    </r>
    <r>
      <rPr>
        <rFont val="Arial"/>
        <sz val="10.0"/>
      </rPr>
      <t>)</t>
    </r>
    <r>
      <rPr>
        <rFont val="ＭＳ Ｐゴシック"/>
        <sz val="10.0"/>
      </rPr>
      <t>に婚活パーティーに誘われる。そこで偶然にも、会社員時代の同僚だった足立</t>
    </r>
    <r>
      <rPr>
        <rFont val="Arial"/>
        <sz val="10.0"/>
      </rPr>
      <t>(</t>
    </r>
    <r>
      <rPr>
        <rFont val="ＭＳ Ｐゴシック"/>
        <sz val="10.0"/>
      </rPr>
      <t>瀧内公美</t>
    </r>
    <r>
      <rPr>
        <rFont val="Arial"/>
        <sz val="10.0"/>
      </rPr>
      <t>)</t>
    </r>
    <r>
      <rPr>
        <rFont val="ＭＳ Ｐゴシック"/>
        <sz val="10.0"/>
      </rPr>
      <t>と再会してしまう。</t>
    </r>
  </si>
  <si>
    <t>番組名金曜ドラマ「凪のお暇」(なぎのおいとま)　第04話「今カレvs元カレ」</t>
  </si>
  <si>
    <r>
      <rPr>
        <rFont val="ＭＳ Ｐゴシック"/>
        <sz val="10.0"/>
      </rPr>
      <t>人生リセットするために全てを捨てて東京郊外のアパートに引っ越した「空気を読みすぎる」アラサー女子・大島凪</t>
    </r>
    <r>
      <rPr>
        <rFont val="Arial"/>
        <sz val="10.0"/>
      </rPr>
      <t>(</t>
    </r>
    <r>
      <rPr>
        <rFont val="ＭＳ Ｐゴシック"/>
        <sz val="10.0"/>
      </rPr>
      <t>黒木華</t>
    </r>
    <r>
      <rPr>
        <rFont val="Arial"/>
        <sz val="10.0"/>
      </rPr>
      <t>)</t>
    </r>
    <r>
      <rPr>
        <rFont val="ＭＳ Ｐゴシック"/>
        <sz val="10.0"/>
      </rPr>
      <t>は、付き合っていた慎二</t>
    </r>
    <r>
      <rPr>
        <rFont val="Arial"/>
        <sz val="10.0"/>
      </rPr>
      <t>(</t>
    </r>
    <r>
      <rPr>
        <rFont val="ＭＳ Ｐゴシック"/>
        <sz val="10.0"/>
      </rPr>
      <t>高橋一生</t>
    </r>
    <r>
      <rPr>
        <rFont val="Arial"/>
        <sz val="10.0"/>
      </rPr>
      <t>)</t>
    </r>
    <r>
      <rPr>
        <rFont val="ＭＳ Ｐゴシック"/>
        <sz val="10.0"/>
      </rPr>
      <t>との関係を清算し、アパートの隣の住人・ゴン</t>
    </r>
    <r>
      <rPr>
        <rFont val="Arial"/>
        <sz val="10.0"/>
      </rPr>
      <t>(</t>
    </r>
    <r>
      <rPr>
        <rFont val="ＭＳ Ｐゴシック"/>
        <sz val="10.0"/>
      </rPr>
      <t>中村倫也</t>
    </r>
    <r>
      <rPr>
        <rFont val="Arial"/>
        <sz val="10.0"/>
      </rPr>
      <t>)</t>
    </r>
    <r>
      <rPr>
        <rFont val="ＭＳ Ｐゴシック"/>
        <sz val="10.0"/>
      </rPr>
      <t>と一夜を過ごしてしまう。その幸せな関係がやがて崩れることを恐れてしまう凪は、「私たちって、付き合っているんですよね」と聞きたい気持ちを抑えてしまっていて</t>
    </r>
    <r>
      <rPr>
        <rFont val="Arial"/>
        <sz val="10.0"/>
      </rPr>
      <t>…</t>
    </r>
    <r>
      <rPr>
        <rFont val="ＭＳ Ｐゴシック"/>
        <sz val="10.0"/>
      </rPr>
      <t>。</t>
    </r>
  </si>
  <si>
    <t>番組名金曜ドラマ「凪のお暇」(なぎのおいとま)第05話「号泣する男が救いたかったもの」</t>
  </si>
  <si>
    <r>
      <rPr>
        <rFont val="ＭＳ Ｐゴシック"/>
        <sz val="10.0"/>
      </rPr>
      <t>人生リセットするために六畳一間に引っ越した「空気を読みすぎる」アラサー女子・大島凪</t>
    </r>
    <r>
      <rPr>
        <rFont val="Arial"/>
        <sz val="10.0"/>
      </rPr>
      <t>(</t>
    </r>
    <r>
      <rPr>
        <rFont val="ＭＳ Ｐゴシック"/>
        <sz val="10.0"/>
      </rPr>
      <t>黒木華</t>
    </r>
    <r>
      <rPr>
        <rFont val="Arial"/>
        <sz val="10.0"/>
      </rPr>
      <t>)</t>
    </r>
    <r>
      <rPr>
        <rFont val="ＭＳ Ｐゴシック"/>
        <sz val="10.0"/>
      </rPr>
      <t>は、アパートの隣人・ゴン</t>
    </r>
    <r>
      <rPr>
        <rFont val="Arial"/>
        <sz val="10.0"/>
      </rPr>
      <t>(</t>
    </r>
    <r>
      <rPr>
        <rFont val="ＭＳ Ｐゴシック"/>
        <sz val="10.0"/>
      </rPr>
      <t>中村倫也</t>
    </r>
    <r>
      <rPr>
        <rFont val="Arial"/>
        <sz val="10.0"/>
      </rPr>
      <t>)</t>
    </r>
    <r>
      <rPr>
        <rFont val="ＭＳ Ｐゴシック"/>
        <sz val="10.0"/>
      </rPr>
      <t>と関係を持つことで、自堕落な生活へ闇落ちしていることを元カレの慎二</t>
    </r>
    <r>
      <rPr>
        <rFont val="Arial"/>
        <sz val="10.0"/>
      </rPr>
      <t>(</t>
    </r>
    <r>
      <rPr>
        <rFont val="ＭＳ Ｐゴシック"/>
        <sz val="10.0"/>
      </rPr>
      <t>高橋一生</t>
    </r>
    <r>
      <rPr>
        <rFont val="Arial"/>
        <sz val="10.0"/>
      </rPr>
      <t>)</t>
    </r>
    <r>
      <rPr>
        <rFont val="ＭＳ Ｐゴシック"/>
        <sz val="10.0"/>
      </rPr>
      <t>に指摘される。一方で慎二は大阪支社から転勤してきた市川円</t>
    </r>
    <r>
      <rPr>
        <rFont val="Arial"/>
        <sz val="10.0"/>
      </rPr>
      <t>(</t>
    </r>
    <r>
      <rPr>
        <rFont val="ＭＳ Ｐゴシック"/>
        <sz val="10.0"/>
      </rPr>
      <t>唐田えりか</t>
    </r>
    <r>
      <rPr>
        <rFont val="Arial"/>
        <sz val="10.0"/>
      </rPr>
      <t>)</t>
    </r>
    <r>
      <rPr>
        <rFont val="ＭＳ Ｐゴシック"/>
        <sz val="10.0"/>
      </rPr>
      <t>とタクシーの中で手が触れて</t>
    </r>
    <r>
      <rPr>
        <rFont val="Arial"/>
        <sz val="10.0"/>
      </rPr>
      <t>……</t>
    </r>
  </si>
  <si>
    <t>番組名金曜ドラマ「凪のお暇」(なぎのおいとま)第06話「オフィスらぶでこわれそう」</t>
  </si>
  <si>
    <r>
      <rPr>
        <rFont val="ＭＳ Ｐゴシック"/>
        <sz val="10.0"/>
      </rPr>
      <t>六畳一間に引っ越した「空気を読みすぎる」アラサー女子・大島凪</t>
    </r>
    <r>
      <rPr>
        <rFont val="Arial"/>
        <sz val="10.0"/>
      </rPr>
      <t>(</t>
    </r>
    <r>
      <rPr>
        <rFont val="ＭＳ Ｐゴシック"/>
        <sz val="10.0"/>
      </rPr>
      <t>黒木華</t>
    </r>
    <r>
      <rPr>
        <rFont val="Arial"/>
        <sz val="10.0"/>
      </rPr>
      <t>)</t>
    </r>
    <r>
      <rPr>
        <rFont val="ＭＳ Ｐゴシック"/>
        <sz val="10.0"/>
      </rPr>
      <t>は、アパート隣人のゴン</t>
    </r>
    <r>
      <rPr>
        <rFont val="Arial"/>
        <sz val="10.0"/>
      </rPr>
      <t>(</t>
    </r>
    <r>
      <rPr>
        <rFont val="ＭＳ Ｐゴシック"/>
        <sz val="10.0"/>
      </rPr>
      <t>中村倫也</t>
    </r>
    <r>
      <rPr>
        <rFont val="Arial"/>
        <sz val="10.0"/>
      </rPr>
      <t>)</t>
    </r>
    <r>
      <rPr>
        <rFont val="ＭＳ Ｐゴシック"/>
        <sz val="10.0"/>
      </rPr>
      <t>との関係をリセットしスナックで働き始め新たな日々を送る。一方、目の前に越してきた友人・龍子</t>
    </r>
    <r>
      <rPr>
        <rFont val="Arial"/>
        <sz val="10.0"/>
      </rPr>
      <t>(</t>
    </r>
    <r>
      <rPr>
        <rFont val="ＭＳ Ｐゴシック"/>
        <sz val="10.0"/>
      </rPr>
      <t>市川実日子</t>
    </r>
    <r>
      <rPr>
        <rFont val="Arial"/>
        <sz val="10.0"/>
      </rPr>
      <t>)</t>
    </r>
    <r>
      <rPr>
        <rFont val="ＭＳ Ｐゴシック"/>
        <sz val="10.0"/>
      </rPr>
      <t>が働き始めたのはブラック企業だった。そしてある夜、元カレの慎二</t>
    </r>
    <r>
      <rPr>
        <rFont val="Arial"/>
        <sz val="10.0"/>
      </rPr>
      <t>(</t>
    </r>
    <r>
      <rPr>
        <rFont val="ＭＳ Ｐゴシック"/>
        <sz val="10.0"/>
      </rPr>
      <t>高橋一生</t>
    </r>
    <r>
      <rPr>
        <rFont val="Arial"/>
        <sz val="10.0"/>
      </rPr>
      <t>)</t>
    </r>
    <r>
      <rPr>
        <rFont val="ＭＳ Ｐゴシック"/>
        <sz val="10.0"/>
      </rPr>
      <t>は会社の後輩・円</t>
    </r>
    <r>
      <rPr>
        <rFont val="Arial"/>
        <sz val="10.0"/>
      </rPr>
      <t>(</t>
    </r>
    <r>
      <rPr>
        <rFont val="ＭＳ Ｐゴシック"/>
        <sz val="10.0"/>
      </rPr>
      <t>唐田えりか</t>
    </r>
    <r>
      <rPr>
        <rFont val="Arial"/>
        <sz val="10.0"/>
      </rPr>
      <t>)</t>
    </r>
    <r>
      <rPr>
        <rFont val="ＭＳ Ｐゴシック"/>
        <sz val="10.0"/>
      </rPr>
      <t>を凪に何と紹介するか迷った挙句・・・</t>
    </r>
  </si>
  <si>
    <t>番組名金曜ドラマ「凪のお暇」(なぎのおいとま)　第07話</t>
  </si>
  <si>
    <r>
      <rPr>
        <rFont val="ＭＳ Ｐゴシック"/>
        <sz val="10.0"/>
      </rPr>
      <t>六畳一間に引っ越した「空気を読みすぎる」アラサー女子・大島凪</t>
    </r>
    <r>
      <rPr>
        <rFont val="Arial"/>
        <sz val="10.0"/>
      </rPr>
      <t>(</t>
    </r>
    <r>
      <rPr>
        <rFont val="ＭＳ Ｐゴシック"/>
        <sz val="10.0"/>
      </rPr>
      <t>黒木華</t>
    </r>
    <r>
      <rPr>
        <rFont val="Arial"/>
        <sz val="10.0"/>
      </rPr>
      <t>)</t>
    </r>
    <r>
      <rPr>
        <rFont val="ＭＳ Ｐゴシック"/>
        <sz val="10.0"/>
      </rPr>
      <t>は、ブラック企業を辞め再び無職になった友人・龍子</t>
    </r>
    <r>
      <rPr>
        <rFont val="Arial"/>
        <sz val="10.0"/>
      </rPr>
      <t>(</t>
    </r>
    <r>
      <rPr>
        <rFont val="ＭＳ Ｐゴシック"/>
        <sz val="10.0"/>
      </rPr>
      <t>市川実日子</t>
    </r>
    <r>
      <rPr>
        <rFont val="Arial"/>
        <sz val="10.0"/>
      </rPr>
      <t>)</t>
    </r>
    <r>
      <rPr>
        <rFont val="ＭＳ Ｐゴシック"/>
        <sz val="10.0"/>
      </rPr>
      <t>とコインランドリー経営という新たな夢を描いていた。一方、アパート隣人のゴン</t>
    </r>
    <r>
      <rPr>
        <rFont val="Arial"/>
        <sz val="10.0"/>
      </rPr>
      <t>(</t>
    </r>
    <r>
      <rPr>
        <rFont val="ＭＳ Ｐゴシック"/>
        <sz val="10.0"/>
      </rPr>
      <t>中村倫也</t>
    </r>
    <r>
      <rPr>
        <rFont val="Arial"/>
        <sz val="10.0"/>
      </rPr>
      <t>)</t>
    </r>
    <r>
      <rPr>
        <rFont val="ＭＳ Ｐゴシック"/>
        <sz val="10.0"/>
      </rPr>
      <t>は凪に対する自分の気持ちが恋だということに気づきはじめる。そしてある夜、</t>
    </r>
    <r>
      <rPr>
        <rFont val="Arial"/>
        <sz val="10.0"/>
      </rPr>
      <t>100</t>
    </r>
    <r>
      <rPr>
        <rFont val="ＭＳ Ｐゴシック"/>
        <sz val="10.0"/>
      </rPr>
      <t>年もののぬか床を探して元カレの慎二</t>
    </r>
    <r>
      <rPr>
        <rFont val="Arial"/>
        <sz val="10.0"/>
      </rPr>
      <t>(</t>
    </r>
    <r>
      <rPr>
        <rFont val="ＭＳ Ｐゴシック"/>
        <sz val="10.0"/>
      </rPr>
      <t>高橋一生</t>
    </r>
    <r>
      <rPr>
        <rFont val="Arial"/>
        <sz val="10.0"/>
      </rPr>
      <t>)</t>
    </r>
    <r>
      <rPr>
        <rFont val="ＭＳ Ｐゴシック"/>
        <sz val="10.0"/>
      </rPr>
      <t>の家を訪れた凪は慎二の本心を知ることに</t>
    </r>
    <r>
      <rPr>
        <rFont val="Arial"/>
        <sz val="10.0"/>
      </rPr>
      <t>…</t>
    </r>
  </si>
  <si>
    <t>番組名金曜ドラマ「凪のお暇」第08話「ずっとあなたが好きだった」</t>
  </si>
  <si>
    <r>
      <rPr>
        <rFont val="ＭＳ Ｐゴシック"/>
        <sz val="10.0"/>
      </rPr>
      <t>六畳一間に引っ越した「空気を読みすぎる」アラサー女子・大島凪</t>
    </r>
    <r>
      <rPr>
        <rFont val="Arial"/>
        <sz val="10.0"/>
      </rPr>
      <t>(</t>
    </r>
    <r>
      <rPr>
        <rFont val="ＭＳ Ｐゴシック"/>
        <sz val="10.0"/>
      </rPr>
      <t>黒木華</t>
    </r>
    <r>
      <rPr>
        <rFont val="Arial"/>
        <sz val="10.0"/>
      </rPr>
      <t>)</t>
    </r>
    <r>
      <rPr>
        <rFont val="ＭＳ Ｐゴシック"/>
        <sz val="10.0"/>
      </rPr>
      <t>は、コインランドリー経営の夢を友人・龍子</t>
    </r>
    <r>
      <rPr>
        <rFont val="Arial"/>
        <sz val="10.0"/>
      </rPr>
      <t>(</t>
    </r>
    <r>
      <rPr>
        <rFont val="ＭＳ Ｐゴシック"/>
        <sz val="10.0"/>
      </rPr>
      <t>市川実日子</t>
    </r>
    <r>
      <rPr>
        <rFont val="Arial"/>
        <sz val="10.0"/>
      </rPr>
      <t>)</t>
    </r>
    <r>
      <rPr>
        <rFont val="ＭＳ Ｐゴシック"/>
        <sz val="10.0"/>
      </rPr>
      <t>実現すべく動くが、契約目前で実家の母・夕</t>
    </r>
    <r>
      <rPr>
        <rFont val="Arial"/>
        <sz val="10.0"/>
      </rPr>
      <t>(</t>
    </r>
    <r>
      <rPr>
        <rFont val="ＭＳ Ｐゴシック"/>
        <sz val="10.0"/>
      </rPr>
      <t>片平なぎさ</t>
    </r>
    <r>
      <rPr>
        <rFont val="Arial"/>
        <sz val="10.0"/>
      </rPr>
      <t>)</t>
    </r>
    <r>
      <rPr>
        <rFont val="ＭＳ Ｐゴシック"/>
        <sz val="10.0"/>
      </rPr>
      <t>から北海道の実家に呼び戻されることに。一方元カレの慎二</t>
    </r>
    <r>
      <rPr>
        <rFont val="Arial"/>
        <sz val="10.0"/>
      </rPr>
      <t>(</t>
    </r>
    <r>
      <rPr>
        <rFont val="ＭＳ Ｐゴシック"/>
        <sz val="10.0"/>
      </rPr>
      <t>高橋一生</t>
    </r>
    <r>
      <rPr>
        <rFont val="Arial"/>
        <sz val="10.0"/>
      </rPr>
      <t>)</t>
    </r>
    <r>
      <rPr>
        <rFont val="ＭＳ Ｐゴシック"/>
        <sz val="10.0"/>
      </rPr>
      <t>はしばしのお暇をなぜかゴン</t>
    </r>
    <r>
      <rPr>
        <rFont val="Arial"/>
        <sz val="10.0"/>
      </rPr>
      <t>(</t>
    </r>
    <r>
      <rPr>
        <rFont val="ＭＳ Ｐゴシック"/>
        <sz val="10.0"/>
      </rPr>
      <t>中村倫也</t>
    </r>
    <r>
      <rPr>
        <rFont val="Arial"/>
        <sz val="10.0"/>
      </rPr>
      <t>)</t>
    </r>
    <r>
      <rPr>
        <rFont val="ＭＳ Ｐゴシック"/>
        <sz val="10.0"/>
      </rPr>
      <t>のいるアパートで過ごしていた。実家でピンチを迎えた凪の目の前に現れたのは、北海道にいるはずのないあの人で・・・</t>
    </r>
  </si>
  <si>
    <t>番組名金曜ドラマ「凪のお暇」　第09話「最終章～前編・凪、ついに結婚へ!!」</t>
  </si>
  <si>
    <r>
      <rPr>
        <rFont val="ＭＳ Ｐゴシック"/>
        <sz val="10.0"/>
      </rPr>
      <t>「最終章～前編・凪、ついに結婚へ</t>
    </r>
    <r>
      <rPr>
        <rFont val="Arial"/>
        <sz val="10.0"/>
      </rPr>
      <t>!!</t>
    </r>
    <r>
      <rPr>
        <rFont val="ＭＳ Ｐゴシック"/>
        <sz val="10.0"/>
      </rPr>
      <t>」六畳一間に引っ越した「空気を読みすぎる」アラサー女子・大島凪</t>
    </r>
    <r>
      <rPr>
        <rFont val="Arial"/>
        <sz val="10.0"/>
      </rPr>
      <t>(</t>
    </r>
    <r>
      <rPr>
        <rFont val="ＭＳ Ｐゴシック"/>
        <sz val="10.0"/>
      </rPr>
      <t>黒木華</t>
    </r>
    <r>
      <rPr>
        <rFont val="Arial"/>
        <sz val="10.0"/>
      </rPr>
      <t>)</t>
    </r>
    <r>
      <rPr>
        <rFont val="ＭＳ Ｐゴシック"/>
        <sz val="10.0"/>
      </rPr>
      <t>は、急遽アパートに姿を現した実家の母・夕</t>
    </r>
    <r>
      <rPr>
        <rFont val="Arial"/>
        <sz val="10.0"/>
      </rPr>
      <t>(</t>
    </r>
    <r>
      <rPr>
        <rFont val="ＭＳ Ｐゴシック"/>
        <sz val="10.0"/>
      </rPr>
      <t>片平なぎさ</t>
    </r>
    <r>
      <rPr>
        <rFont val="Arial"/>
        <sz val="10.0"/>
      </rPr>
      <t>)</t>
    </r>
    <r>
      <rPr>
        <rFont val="ＭＳ Ｐゴシック"/>
        <sz val="10.0"/>
      </rPr>
      <t>に動揺を隠せない。すると元カレの慎二</t>
    </r>
    <r>
      <rPr>
        <rFont val="Arial"/>
        <sz val="10.0"/>
      </rPr>
      <t>(</t>
    </r>
    <r>
      <rPr>
        <rFont val="ＭＳ Ｐゴシック"/>
        <sz val="10.0"/>
      </rPr>
      <t>高橋一生</t>
    </r>
    <r>
      <rPr>
        <rFont val="Arial"/>
        <sz val="10.0"/>
      </rPr>
      <t>)</t>
    </r>
    <r>
      <rPr>
        <rFont val="ＭＳ Ｐゴシック"/>
        <sz val="10.0"/>
      </rPr>
      <t>が凪と結婚前提に付き合っていると嘘をつきさらに動揺。それを聞いていた、ゴン</t>
    </r>
    <r>
      <rPr>
        <rFont val="Arial"/>
        <sz val="10.0"/>
      </rPr>
      <t>(</t>
    </r>
    <r>
      <rPr>
        <rFont val="ＭＳ Ｐゴシック"/>
        <sz val="10.0"/>
      </rPr>
      <t>中村倫也</t>
    </r>
    <r>
      <rPr>
        <rFont val="Arial"/>
        <sz val="10.0"/>
      </rPr>
      <t>)</t>
    </r>
    <r>
      <rPr>
        <rFont val="ＭＳ Ｐゴシック"/>
        <sz val="10.0"/>
      </rPr>
      <t>の心中も全く穏やかではなく</t>
    </r>
    <r>
      <rPr>
        <rFont val="Arial"/>
        <sz val="10.0"/>
      </rPr>
      <t>…</t>
    </r>
    <r>
      <rPr>
        <rFont val="ＭＳ Ｐゴシック"/>
        <sz val="10.0"/>
      </rPr>
      <t>。大島家、我聞家の嘘にまみれた両家顔合わせは一体どうなる</t>
    </r>
    <r>
      <rPr>
        <rFont val="Arial"/>
        <sz val="10.0"/>
      </rPr>
      <t>!?</t>
    </r>
  </si>
  <si>
    <t>番組名金曜ドラマ「凪のお暇」(なぎのおいとま)最終話「君のことは忘れないよ」</t>
  </si>
  <si>
    <r>
      <rPr>
        <rFont val="ＭＳ Ｐゴシック"/>
        <sz val="10.0"/>
      </rPr>
      <t>今夜</t>
    </r>
    <r>
      <rPr>
        <rFont val="Arial"/>
        <sz val="10.0"/>
      </rPr>
      <t>…</t>
    </r>
    <r>
      <rPr>
        <rFont val="ＭＳ Ｐゴシック"/>
        <sz val="10.0"/>
      </rPr>
      <t>ついに最終回</t>
    </r>
    <r>
      <rPr>
        <rFont val="Arial"/>
        <sz val="10.0"/>
      </rPr>
      <t>!</t>
    </r>
    <r>
      <rPr>
        <rFont val="ＭＳ Ｐゴシック"/>
        <sz val="10.0"/>
      </rPr>
      <t>六畳一間に引っ越した「空気を読みすぎる」アラサー女子・大島凪</t>
    </r>
    <r>
      <rPr>
        <rFont val="Arial"/>
        <sz val="10.0"/>
      </rPr>
      <t>(</t>
    </r>
    <r>
      <rPr>
        <rFont val="ＭＳ Ｐゴシック"/>
        <sz val="10.0"/>
      </rPr>
      <t>黒木華</t>
    </r>
    <r>
      <rPr>
        <rFont val="Arial"/>
        <sz val="10.0"/>
      </rPr>
      <t>)</t>
    </r>
    <r>
      <rPr>
        <rFont val="ＭＳ Ｐゴシック"/>
        <sz val="10.0"/>
      </rPr>
      <t>は、アパートの隣の住人・ゴン</t>
    </r>
    <r>
      <rPr>
        <rFont val="Arial"/>
        <sz val="10.0"/>
      </rPr>
      <t>(</t>
    </r>
    <r>
      <rPr>
        <rFont val="ＭＳ Ｐゴシック"/>
        <sz val="10.0"/>
      </rPr>
      <t>中村倫也</t>
    </r>
    <r>
      <rPr>
        <rFont val="Arial"/>
        <sz val="10.0"/>
      </rPr>
      <t>)</t>
    </r>
    <r>
      <rPr>
        <rFont val="ＭＳ Ｐゴシック"/>
        <sz val="10.0"/>
      </rPr>
      <t>から受けた初恋の告白と、ウソの両家顔合わせを経て絆が深まった元カレの慎二</t>
    </r>
    <r>
      <rPr>
        <rFont val="Arial"/>
        <sz val="10.0"/>
      </rPr>
      <t>(</t>
    </r>
    <r>
      <rPr>
        <rFont val="ＭＳ Ｐゴシック"/>
        <sz val="10.0"/>
      </rPr>
      <t>高橋一生</t>
    </r>
    <r>
      <rPr>
        <rFont val="Arial"/>
        <sz val="10.0"/>
      </rPr>
      <t>)</t>
    </r>
    <r>
      <rPr>
        <rFont val="ＭＳ Ｐゴシック"/>
        <sz val="10.0"/>
      </rPr>
      <t>に挟まれ動揺を隠せない。そんな凪はお暇の出口を見出そうとして</t>
    </r>
    <r>
      <rPr>
        <rFont val="Arial"/>
        <sz val="10.0"/>
      </rPr>
      <t>…?</t>
    </r>
    <r>
      <rPr>
        <rFont val="ＭＳ Ｐゴシック"/>
        <sz val="10.0"/>
      </rPr>
      <t>恋の三角関係と凪のお暇生活はどのような結末を迎えるのか、凪の出す答えとは</t>
    </r>
    <r>
      <rPr>
        <rFont val="Arial"/>
        <sz val="10.0"/>
      </rPr>
      <t xml:space="preserve">?  </t>
    </r>
  </si>
  <si>
    <t>1907_TBS_日21</t>
  </si>
  <si>
    <t>ノーサイド・ゲーム</t>
  </si>
  <si>
    <t>番組名日曜劇場「ノーサイド・ゲーム」初回!大泉洋主演、新たな企業ドラマが幕開ける</t>
  </si>
  <si>
    <r>
      <rPr>
        <rFont val="ＭＳ Ｐゴシック"/>
        <sz val="10.0"/>
      </rPr>
      <t>トキワ自動車経営戦略室次長・君嶋隼人</t>
    </r>
    <r>
      <rPr>
        <rFont val="Arial"/>
        <sz val="10.0"/>
      </rPr>
      <t>(</t>
    </r>
    <r>
      <rPr>
        <rFont val="ＭＳ Ｐゴシック"/>
        <sz val="10.0"/>
      </rPr>
      <t>大泉洋</t>
    </r>
    <r>
      <rPr>
        <rFont val="Arial"/>
        <sz val="10.0"/>
      </rPr>
      <t>)</t>
    </r>
    <r>
      <rPr>
        <rFont val="ＭＳ Ｐゴシック"/>
        <sz val="10.0"/>
      </rPr>
      <t>は天敵である常務・滝川桂一郎</t>
    </r>
    <r>
      <rPr>
        <rFont val="Arial"/>
        <sz val="10.0"/>
      </rPr>
      <t>(</t>
    </r>
    <r>
      <rPr>
        <rFont val="ＭＳ Ｐゴシック"/>
        <sz val="10.0"/>
      </rPr>
      <t>上川隆也</t>
    </r>
    <r>
      <rPr>
        <rFont val="Arial"/>
        <sz val="10.0"/>
      </rPr>
      <t>)</t>
    </r>
    <r>
      <rPr>
        <rFont val="ＭＳ Ｐゴシック"/>
        <sz val="10.0"/>
      </rPr>
      <t>と対立し、府中工場へと飛ばされてしまう。出世の道を絶たれてしまった君嶋の新たな肩書は府中工場総務部長、そして</t>
    </r>
    <r>
      <rPr>
        <rFont val="Arial"/>
        <sz val="10.0"/>
      </rPr>
      <t>-</t>
    </r>
    <r>
      <rPr>
        <rFont val="ＭＳ Ｐゴシック"/>
        <sz val="10.0"/>
      </rPr>
      <t>大赤字の弱小ラグビー部のゼネラルマネージャーだった</t>
    </r>
    <r>
      <rPr>
        <rFont val="Arial"/>
        <sz val="10.0"/>
      </rPr>
      <t>!</t>
    </r>
    <r>
      <rPr>
        <rFont val="ＭＳ Ｐゴシック"/>
        <sz val="10.0"/>
      </rPr>
      <t>妻・真希</t>
    </r>
    <r>
      <rPr>
        <rFont val="Arial"/>
        <sz val="10.0"/>
      </rPr>
      <t>(</t>
    </r>
    <r>
      <rPr>
        <rFont val="ＭＳ Ｐゴシック"/>
        <sz val="10.0"/>
      </rPr>
      <t>松たか子</t>
    </r>
    <r>
      <rPr>
        <rFont val="Arial"/>
        <sz val="10.0"/>
      </rPr>
      <t>)</t>
    </r>
    <r>
      <rPr>
        <rFont val="ＭＳ Ｐゴシック"/>
        <sz val="10.0"/>
      </rPr>
      <t>や息子達に支えられながら、君嶋は再起をかけた大一番の勝負に打って出るが、君嶋の前には大企業の陰謀渦巻く様々な敵が立ちはだかり</t>
    </r>
    <r>
      <rPr>
        <rFont val="Arial"/>
        <sz val="10.0"/>
      </rPr>
      <t>…</t>
    </r>
  </si>
  <si>
    <t>番組名日曜劇場「ノーサイド・ゲーム」#2　崖っぷちから這い上がれ!勝利の鍵は人事?</t>
  </si>
  <si>
    <r>
      <rPr>
        <rFont val="ＭＳ Ｐゴシック"/>
        <sz val="10.0"/>
      </rPr>
      <t>府中工場で戦うことを決意した君嶋</t>
    </r>
    <r>
      <rPr>
        <rFont val="Arial"/>
        <sz val="10.0"/>
      </rPr>
      <t>(</t>
    </r>
    <r>
      <rPr>
        <rFont val="ＭＳ Ｐゴシック"/>
        <sz val="10.0"/>
      </rPr>
      <t>大泉洋</t>
    </r>
    <r>
      <rPr>
        <rFont val="Arial"/>
        <sz val="10.0"/>
      </rPr>
      <t>)</t>
    </r>
    <r>
      <rPr>
        <rFont val="ＭＳ Ｐゴシック"/>
        <sz val="10.0"/>
      </rPr>
      <t>は、新監督候補を探す中で、因縁の同級生</t>
    </r>
    <r>
      <rPr>
        <rFont val="Arial"/>
        <sz val="10.0"/>
      </rPr>
      <t>(</t>
    </r>
    <r>
      <rPr>
        <rFont val="ＭＳ Ｐゴシック"/>
        <sz val="10.0"/>
      </rPr>
      <t>大谷亮平</t>
    </r>
    <r>
      <rPr>
        <rFont val="Arial"/>
        <sz val="10.0"/>
      </rPr>
      <t>)</t>
    </r>
    <r>
      <rPr>
        <rFont val="ＭＳ Ｐゴシック"/>
        <sz val="10.0"/>
      </rPr>
      <t>と再会を果たす。しかし、そこにまたもや天敵・滝川</t>
    </r>
    <r>
      <rPr>
        <rFont val="Arial"/>
        <sz val="10.0"/>
      </rPr>
      <t>(</t>
    </r>
    <r>
      <rPr>
        <rFont val="ＭＳ Ｐゴシック"/>
        <sz val="10.0"/>
      </rPr>
      <t>上川隆也</t>
    </r>
    <r>
      <rPr>
        <rFont val="Arial"/>
        <sz val="10.0"/>
      </rPr>
      <t>)</t>
    </r>
    <r>
      <rPr>
        <rFont val="ＭＳ Ｐゴシック"/>
        <sz val="10.0"/>
      </rPr>
      <t>が立ちはだかり</t>
    </r>
    <r>
      <rPr>
        <rFont val="Arial"/>
        <sz val="10.0"/>
      </rPr>
      <t>…</t>
    </r>
    <r>
      <rPr>
        <rFont val="ＭＳ Ｐゴシック"/>
        <sz val="10.0"/>
      </rPr>
      <t>家でもため息ばかりで妻</t>
    </r>
    <r>
      <rPr>
        <rFont val="Arial"/>
        <sz val="10.0"/>
      </rPr>
      <t>(</t>
    </r>
    <r>
      <rPr>
        <rFont val="ＭＳ Ｐゴシック"/>
        <sz val="10.0"/>
      </rPr>
      <t>松たか子</t>
    </r>
    <r>
      <rPr>
        <rFont val="Arial"/>
        <sz val="10.0"/>
      </rPr>
      <t>)</t>
    </r>
    <r>
      <rPr>
        <rFont val="ＭＳ Ｐゴシック"/>
        <sz val="10.0"/>
      </rPr>
      <t>にも怒られる始末。「チームを強くしながら経費を削る」無理難題に直面する君嶋は、チーム人事を見て、ある秘策を思いつくが</t>
    </r>
    <r>
      <rPr>
        <rFont val="Arial"/>
        <sz val="10.0"/>
      </rPr>
      <t>…</t>
    </r>
    <r>
      <rPr>
        <rFont val="ＭＳ Ｐゴシック"/>
        <sz val="10.0"/>
      </rPr>
      <t>君嶋の運命を左右する役員会議、君嶋を待っているのは公開処刑か、大逆転劇か</t>
    </r>
    <r>
      <rPr>
        <rFont val="Arial"/>
        <sz val="10.0"/>
      </rPr>
      <t>?</t>
    </r>
  </si>
  <si>
    <t>番組名日曜劇場「ノーサイド・ゲーム」♯3　仲間を信じて戦え!涙の大逆転なるか?</t>
  </si>
  <si>
    <r>
      <rPr>
        <rFont val="ＭＳ Ｐゴシック"/>
        <sz val="10.0"/>
      </rPr>
      <t>初公式戦を控えた新生アストロズは相撲部屋での稽古など練習に余念がない。そんな中チームの赤字脱却を目指す君嶋</t>
    </r>
    <r>
      <rPr>
        <rFont val="Arial"/>
        <sz val="10.0"/>
      </rPr>
      <t>(</t>
    </r>
    <r>
      <rPr>
        <rFont val="ＭＳ Ｐゴシック"/>
        <sz val="10.0"/>
      </rPr>
      <t>大泉洋</t>
    </r>
    <r>
      <rPr>
        <rFont val="Arial"/>
        <sz val="10.0"/>
      </rPr>
      <t>)</t>
    </r>
    <r>
      <rPr>
        <rFont val="ＭＳ Ｐゴシック"/>
        <sz val="10.0"/>
      </rPr>
      <t>が提案したのは「チームの知名度を上げ、客席を満員にする」ためのボランティア活動だった。しかし一向に増えないファンに、選手からは批判の声が上がり、ボイコットする者まで現れる。大一番を前にバラバラになるチームにさらなる悲劇が起き</t>
    </r>
    <r>
      <rPr>
        <rFont val="Arial"/>
        <sz val="10.0"/>
      </rPr>
      <t>…</t>
    </r>
    <r>
      <rPr>
        <rFont val="ＭＳ Ｐゴシック"/>
        <sz val="10.0"/>
      </rPr>
      <t>勝利とは程遠い中、迎えた試合当日、涙の大逆転なるか</t>
    </r>
    <r>
      <rPr>
        <rFont val="Arial"/>
        <sz val="10.0"/>
      </rPr>
      <t xml:space="preserve">!?  </t>
    </r>
  </si>
  <si>
    <t>番組名日曜劇場「ノーサイド・ゲーム」♯4　リストラの危機!?必要ない仲間なんていない!</t>
  </si>
  <si>
    <r>
      <rPr>
        <rFont val="ＭＳ Ｐゴシック"/>
        <sz val="10.0"/>
      </rPr>
      <t>君嶋</t>
    </r>
    <r>
      <rPr>
        <rFont val="Arial"/>
        <sz val="10.0"/>
      </rPr>
      <t>(</t>
    </r>
    <r>
      <rPr>
        <rFont val="ＭＳ Ｐゴシック"/>
        <sz val="10.0"/>
      </rPr>
      <t>大泉洋</t>
    </r>
    <r>
      <rPr>
        <rFont val="Arial"/>
        <sz val="10.0"/>
      </rPr>
      <t>)</t>
    </r>
    <r>
      <rPr>
        <rFont val="ＭＳ Ｐゴシック"/>
        <sz val="10.0"/>
      </rPr>
      <t>は戦力不足を補うため、救世主となる選手をリクルートするも中々上手くいかない。一方本社では、買収成立により滝川</t>
    </r>
    <r>
      <rPr>
        <rFont val="Arial"/>
        <sz val="10.0"/>
      </rPr>
      <t>(</t>
    </r>
    <r>
      <rPr>
        <rFont val="ＭＳ Ｐゴシック"/>
        <sz val="10.0"/>
      </rPr>
      <t>上川隆也</t>
    </r>
    <r>
      <rPr>
        <rFont val="Arial"/>
        <sz val="10.0"/>
      </rPr>
      <t>)</t>
    </r>
    <r>
      <rPr>
        <rFont val="ＭＳ Ｐゴシック"/>
        <sz val="10.0"/>
      </rPr>
      <t>の勢力が増し、アストロズへの風当たりが強まる。そんな中、ある選手のミスにより、大型の商談がキャンセルに</t>
    </r>
    <r>
      <rPr>
        <rFont val="Arial"/>
        <sz val="10.0"/>
      </rPr>
      <t>…</t>
    </r>
    <r>
      <rPr>
        <rFont val="ＭＳ Ｐゴシック"/>
        <sz val="10.0"/>
      </rPr>
      <t>チーム内にはリストラの噂が持ち上がり、選手たちは集中力を欠いていく。チームの真価が問われるピンチの時ー果たして最後まで、仲間を信じ抜くことができるのか</t>
    </r>
    <r>
      <rPr>
        <rFont val="Arial"/>
        <sz val="10.0"/>
      </rPr>
      <t>!?</t>
    </r>
  </si>
  <si>
    <t>番組名日曜劇場「ノーサイド・ゲーム」♯5運命の決勝戦へ!奇跡を起こせるか?</t>
  </si>
  <si>
    <r>
      <rPr>
        <rFont val="ＭＳ Ｐゴシック"/>
        <sz val="10.0"/>
      </rPr>
      <t>優勝まであと一歩のアストロズであったが、宿敵・サイクロンズとの力の差を突きつけられる。柴門</t>
    </r>
    <r>
      <rPr>
        <rFont val="Arial"/>
        <sz val="10.0"/>
      </rPr>
      <t>(</t>
    </r>
    <r>
      <rPr>
        <rFont val="ＭＳ Ｐゴシック"/>
        <sz val="10.0"/>
      </rPr>
      <t>大谷亮平</t>
    </r>
    <r>
      <rPr>
        <rFont val="Arial"/>
        <sz val="10.0"/>
      </rPr>
      <t>)</t>
    </r>
    <r>
      <rPr>
        <rFont val="ＭＳ Ｐゴシック"/>
        <sz val="10.0"/>
      </rPr>
      <t>はある突破口に気づき選手たちは最後の望みをかけて特訓に励む。一方、君嶋はカザマ商事社長・風間有也</t>
    </r>
    <r>
      <rPr>
        <rFont val="Arial"/>
        <sz val="10.0"/>
      </rPr>
      <t>(</t>
    </r>
    <r>
      <rPr>
        <rFont val="ＭＳ Ｐゴシック"/>
        <sz val="10.0"/>
      </rPr>
      <t>中村芝翫</t>
    </r>
    <r>
      <rPr>
        <rFont val="Arial"/>
        <sz val="10.0"/>
      </rPr>
      <t>)</t>
    </r>
    <r>
      <rPr>
        <rFont val="ＭＳ Ｐゴシック"/>
        <sz val="10.0"/>
      </rPr>
      <t>と滝川</t>
    </r>
    <r>
      <rPr>
        <rFont val="Arial"/>
        <sz val="10.0"/>
      </rPr>
      <t>(</t>
    </r>
    <r>
      <rPr>
        <rFont val="ＭＳ Ｐゴシック"/>
        <sz val="10.0"/>
      </rPr>
      <t>上川隆也</t>
    </r>
    <r>
      <rPr>
        <rFont val="Arial"/>
        <sz val="10.0"/>
      </rPr>
      <t>)</t>
    </r>
    <r>
      <rPr>
        <rFont val="ＭＳ Ｐゴシック"/>
        <sz val="10.0"/>
      </rPr>
      <t>とのある秘密に気がつき、買収の裏に隠された真実を探り始める。そしてー運命の決戦前、君嶋</t>
    </r>
    <r>
      <rPr>
        <rFont val="Arial"/>
        <sz val="10.0"/>
      </rPr>
      <t>(</t>
    </r>
    <r>
      <rPr>
        <rFont val="ＭＳ Ｐゴシック"/>
        <sz val="10.0"/>
      </rPr>
      <t>大泉洋</t>
    </r>
    <r>
      <rPr>
        <rFont val="Arial"/>
        <sz val="10.0"/>
      </rPr>
      <t>)</t>
    </r>
    <r>
      <rPr>
        <rFont val="ＭＳ Ｐゴシック"/>
        <sz val="10.0"/>
      </rPr>
      <t>は選手たちにあるサプライズを用意する。全てが決まる日</t>
    </r>
    <r>
      <rPr>
        <rFont val="Arial"/>
        <sz val="10.0"/>
      </rPr>
      <t>…</t>
    </r>
    <r>
      <rPr>
        <rFont val="ＭＳ Ｐゴシック"/>
        <sz val="10.0"/>
      </rPr>
      <t>運命の行方は</t>
    </r>
    <r>
      <rPr>
        <rFont val="Arial"/>
        <sz val="10.0"/>
      </rPr>
      <t>!?</t>
    </r>
  </si>
  <si>
    <t>番組名日曜劇場「ノーサイド・ゲーム」♯6　今夜、涙の別れ!さらば、アストロズ!</t>
  </si>
  <si>
    <r>
      <rPr>
        <rFont val="ＭＳ Ｐゴシック"/>
        <sz val="10.0"/>
      </rPr>
      <t>宿敵サイクロンズに惜しくも負け、優勝を逃したアストロズに本社からは厳しい声が。「今年がラストチャンスだ」と悟った君嶋</t>
    </r>
    <r>
      <rPr>
        <rFont val="Arial"/>
        <sz val="10.0"/>
      </rPr>
      <t>(</t>
    </r>
    <r>
      <rPr>
        <rFont val="ＭＳ Ｐゴシック"/>
        <sz val="10.0"/>
      </rPr>
      <t>大泉洋</t>
    </r>
    <r>
      <rPr>
        <rFont val="Arial"/>
        <sz val="10.0"/>
      </rPr>
      <t>)</t>
    </r>
    <r>
      <rPr>
        <rFont val="ＭＳ Ｐゴシック"/>
        <sz val="10.0"/>
      </rPr>
      <t>は、赤字改善のため日本蹴球協会に改革案を提出するが、門前払いされてしまう。一方柴門</t>
    </r>
    <r>
      <rPr>
        <rFont val="Arial"/>
        <sz val="10.0"/>
      </rPr>
      <t>(</t>
    </r>
    <r>
      <rPr>
        <rFont val="ＭＳ Ｐゴシック"/>
        <sz val="10.0"/>
      </rPr>
      <t>大谷亮平</t>
    </r>
    <r>
      <rPr>
        <rFont val="Arial"/>
        <sz val="10.0"/>
      </rPr>
      <t>)</t>
    </r>
    <r>
      <rPr>
        <rFont val="ＭＳ Ｐゴシック"/>
        <sz val="10.0"/>
      </rPr>
      <t>も再挑戦へ向けある男と対面する。そんな中、君嶋に悲願の本社復帰のチャンスが</t>
    </r>
    <r>
      <rPr>
        <rFont val="Arial"/>
        <sz val="10.0"/>
      </rPr>
      <t>…</t>
    </r>
    <r>
      <rPr>
        <rFont val="ＭＳ Ｐゴシック"/>
        <sz val="10.0"/>
      </rPr>
      <t>腹をくくった君嶋は「</t>
    </r>
    <r>
      <rPr>
        <rFont val="Arial"/>
        <sz val="10.0"/>
      </rPr>
      <t>GM</t>
    </r>
    <r>
      <rPr>
        <rFont val="ＭＳ Ｐゴシック"/>
        <sz val="10.0"/>
      </rPr>
      <t>としての最後の仕事」に乗り出す。アストロズを待っている涙の別れとは</t>
    </r>
    <r>
      <rPr>
        <rFont val="Arial"/>
        <sz val="10.0"/>
      </rPr>
      <t>…!?</t>
    </r>
  </si>
  <si>
    <t>番組名日曜劇場「ノーサイド・ゲーム」♯7　裏切り者、現る!?仲間のための涙の決断!</t>
  </si>
  <si>
    <r>
      <rPr>
        <rFont val="ＭＳ Ｐゴシック"/>
        <sz val="10.0"/>
      </rPr>
      <t>本社では天敵・滝川</t>
    </r>
    <r>
      <rPr>
        <rFont val="Arial"/>
        <sz val="10.0"/>
      </rPr>
      <t>(</t>
    </r>
    <r>
      <rPr>
        <rFont val="ＭＳ Ｐゴシック"/>
        <sz val="10.0"/>
      </rPr>
      <t>上川隆也</t>
    </r>
    <r>
      <rPr>
        <rFont val="Arial"/>
        <sz val="10.0"/>
      </rPr>
      <t>)</t>
    </r>
    <r>
      <rPr>
        <rFont val="ＭＳ Ｐゴシック"/>
        <sz val="10.0"/>
      </rPr>
      <t>の社長交代が現実味を帯び、君嶋</t>
    </r>
    <r>
      <rPr>
        <rFont val="Arial"/>
        <sz val="10.0"/>
      </rPr>
      <t>(</t>
    </r>
    <r>
      <rPr>
        <rFont val="ＭＳ Ｐゴシック"/>
        <sz val="10.0"/>
      </rPr>
      <t>大泉洋</t>
    </r>
    <r>
      <rPr>
        <rFont val="Arial"/>
        <sz val="10.0"/>
      </rPr>
      <t>)</t>
    </r>
    <r>
      <rPr>
        <rFont val="ＭＳ Ｐゴシック"/>
        <sz val="10.0"/>
      </rPr>
      <t>率いるアストロズは存続の危機に。何としても今年は優勝を果たしたいアストロズだったが、宿敵・サイクロンズから引き抜きの魔の手が</t>
    </r>
    <r>
      <rPr>
        <rFont val="Arial"/>
        <sz val="10.0"/>
      </rPr>
      <t>…</t>
    </r>
    <r>
      <rPr>
        <rFont val="ＭＳ Ｐゴシック"/>
        <sz val="10.0"/>
      </rPr>
      <t>エース浜畑</t>
    </r>
    <r>
      <rPr>
        <rFont val="Arial"/>
        <sz val="10.0"/>
      </rPr>
      <t>(</t>
    </r>
    <r>
      <rPr>
        <rFont val="ＭＳ Ｐゴシック"/>
        <sz val="10.0"/>
      </rPr>
      <t>廣瀬俊朗</t>
    </r>
    <r>
      <rPr>
        <rFont val="Arial"/>
        <sz val="10.0"/>
      </rPr>
      <t>)</t>
    </r>
    <r>
      <rPr>
        <rFont val="ＭＳ Ｐゴシック"/>
        <sz val="10.0"/>
      </rPr>
      <t>がチームを裏切るという噂が広まり、選手たちの心はざわめき立つ。目指すのはチームとしての優勝か</t>
    </r>
    <r>
      <rPr>
        <rFont val="Arial"/>
        <sz val="10.0"/>
      </rPr>
      <t>?</t>
    </r>
    <r>
      <rPr>
        <rFont val="ＭＳ Ｐゴシック"/>
        <sz val="10.0"/>
      </rPr>
      <t>ラグビー選手としての自身の夢か</t>
    </r>
    <r>
      <rPr>
        <rFont val="Arial"/>
        <sz val="10.0"/>
      </rPr>
      <t>?</t>
    </r>
    <r>
      <rPr>
        <rFont val="ＭＳ Ｐゴシック"/>
        <sz val="10.0"/>
      </rPr>
      <t>仲間のため選んだ、アストロズとしての戦い方とは</t>
    </r>
    <r>
      <rPr>
        <rFont val="Arial"/>
        <sz val="10.0"/>
      </rPr>
      <t>!?</t>
    </r>
  </si>
  <si>
    <t>番組名日曜劇場「ノーサイド・ゲーム」♯8　社長交代で廃部寸前!チームを守る最後の切り札</t>
  </si>
  <si>
    <r>
      <rPr>
        <rFont val="ＭＳ Ｐゴシック"/>
        <sz val="10.0"/>
      </rPr>
      <t>カザマ商事買収成立を目前に、滝川</t>
    </r>
    <r>
      <rPr>
        <rFont val="Arial"/>
        <sz val="10.0"/>
      </rPr>
      <t>(</t>
    </r>
    <r>
      <rPr>
        <rFont val="ＭＳ Ｐゴシック"/>
        <sz val="10.0"/>
      </rPr>
      <t>上川隆也</t>
    </r>
    <r>
      <rPr>
        <rFont val="Arial"/>
        <sz val="10.0"/>
      </rPr>
      <t>)</t>
    </r>
    <r>
      <rPr>
        <rFont val="ＭＳ Ｐゴシック"/>
        <sz val="10.0"/>
      </rPr>
      <t>社長誕生へのカウントダウンが始まる。現社長・島本</t>
    </r>
    <r>
      <rPr>
        <rFont val="Arial"/>
        <sz val="10.0"/>
      </rPr>
      <t>(</t>
    </r>
    <r>
      <rPr>
        <rFont val="ＭＳ Ｐゴシック"/>
        <sz val="10.0"/>
      </rPr>
      <t>西郷輝彦</t>
    </r>
    <r>
      <rPr>
        <rFont val="Arial"/>
        <sz val="10.0"/>
      </rPr>
      <t>)</t>
    </r>
    <r>
      <rPr>
        <rFont val="ＭＳ Ｐゴシック"/>
        <sz val="10.0"/>
      </rPr>
      <t>という後ろ盾を失えば、アストロズの廃部は決定的。絶体絶命の中、君嶋</t>
    </r>
    <r>
      <rPr>
        <rFont val="Arial"/>
        <sz val="10.0"/>
      </rPr>
      <t>(</t>
    </r>
    <r>
      <rPr>
        <rFont val="ＭＳ Ｐゴシック"/>
        <sz val="10.0"/>
      </rPr>
      <t>大泉洋</t>
    </r>
    <r>
      <rPr>
        <rFont val="Arial"/>
        <sz val="10.0"/>
      </rPr>
      <t>)</t>
    </r>
    <r>
      <rPr>
        <rFont val="ＭＳ Ｐゴシック"/>
        <sz val="10.0"/>
      </rPr>
      <t>は、カザマ商事の抱えるある重大な秘密に気がつく。そんな中、アストロズは開幕戦レギュラー決定のための部内マッチの日を迎える。正々堂々と戦う選手の姿を目の当たりにした君嶋は、自身も最後の大勝負に打って出るが</t>
    </r>
    <r>
      <rPr>
        <rFont val="Arial"/>
        <sz val="10.0"/>
      </rPr>
      <t>…</t>
    </r>
  </si>
  <si>
    <t>番組名日曜劇場「ノーサイド・ゲーム」♯9　セミファイナル!雪辱戦へ～黒幕登場で絶体絶命</t>
  </si>
  <si>
    <r>
      <rPr>
        <rFont val="ＭＳ Ｐゴシック"/>
        <sz val="10.0"/>
      </rPr>
      <t>去年宿敵・サイクロンズに惜敗したアストロズにとって、雪辱戦となる</t>
    </r>
    <r>
      <rPr>
        <rFont val="Arial"/>
        <sz val="10.0"/>
      </rPr>
      <t>2</t>
    </r>
    <r>
      <rPr>
        <rFont val="ＭＳ Ｐゴシック"/>
        <sz val="10.0"/>
      </rPr>
      <t>年目のシーズンが幕開ける。ルーキーである七尾</t>
    </r>
    <r>
      <rPr>
        <rFont val="Arial"/>
        <sz val="10.0"/>
      </rPr>
      <t>(</t>
    </r>
    <r>
      <rPr>
        <rFont val="ＭＳ Ｐゴシック"/>
        <sz val="10.0"/>
      </rPr>
      <t>眞栄田郷敦</t>
    </r>
    <r>
      <rPr>
        <rFont val="Arial"/>
        <sz val="10.0"/>
      </rPr>
      <t>)</t>
    </r>
    <r>
      <rPr>
        <rFont val="ＭＳ Ｐゴシック"/>
        <sz val="10.0"/>
      </rPr>
      <t>の加入で順調な滑り出しをみせるも、監督・柴門</t>
    </r>
    <r>
      <rPr>
        <rFont val="Arial"/>
        <sz val="10.0"/>
      </rPr>
      <t>(</t>
    </r>
    <r>
      <rPr>
        <rFont val="ＭＳ Ｐゴシック"/>
        <sz val="10.0"/>
      </rPr>
      <t>大谷亮平</t>
    </r>
    <r>
      <rPr>
        <rFont val="Arial"/>
        <sz val="10.0"/>
      </rPr>
      <t>)</t>
    </r>
    <r>
      <rPr>
        <rFont val="ＭＳ Ｐゴシック"/>
        <sz val="10.0"/>
      </rPr>
      <t>にはある懸念があり</t>
    </r>
    <r>
      <rPr>
        <rFont val="Arial"/>
        <sz val="10.0"/>
      </rPr>
      <t>…</t>
    </r>
    <r>
      <rPr>
        <rFont val="ＭＳ Ｐゴシック"/>
        <sz val="10.0"/>
      </rPr>
      <t>一方で、カザマ商事買収の裏に隠された秘密を暴いた君嶋</t>
    </r>
    <r>
      <rPr>
        <rFont val="Arial"/>
        <sz val="10.0"/>
      </rPr>
      <t>(</t>
    </r>
    <r>
      <rPr>
        <rFont val="ＭＳ Ｐゴシック"/>
        <sz val="10.0"/>
      </rPr>
      <t>大泉洋</t>
    </r>
    <r>
      <rPr>
        <rFont val="Arial"/>
        <sz val="10.0"/>
      </rPr>
      <t>)</t>
    </r>
    <r>
      <rPr>
        <rFont val="ＭＳ Ｐゴシック"/>
        <sz val="10.0"/>
      </rPr>
      <t>に真の敵が立ちはだかる。そして天敵である滝川</t>
    </r>
    <r>
      <rPr>
        <rFont val="Arial"/>
        <sz val="10.0"/>
      </rPr>
      <t>(</t>
    </r>
    <r>
      <rPr>
        <rFont val="ＭＳ Ｐゴシック"/>
        <sz val="10.0"/>
      </rPr>
      <t>上川隆也</t>
    </r>
    <r>
      <rPr>
        <rFont val="Arial"/>
        <sz val="10.0"/>
      </rPr>
      <t>)</t>
    </r>
    <r>
      <rPr>
        <rFont val="ＭＳ Ｐゴシック"/>
        <sz val="10.0"/>
      </rPr>
      <t>の意外な一面を知った君嶋は</t>
    </r>
    <r>
      <rPr>
        <rFont val="Arial"/>
        <sz val="10.0"/>
      </rPr>
      <t>…</t>
    </r>
    <r>
      <rPr>
        <rFont val="ＭＳ Ｐゴシック"/>
        <sz val="10.0"/>
      </rPr>
      <t>チームを守るための最後の闘いが幕を開ける</t>
    </r>
    <r>
      <rPr>
        <rFont val="Arial"/>
        <sz val="10.0"/>
      </rPr>
      <t>!</t>
    </r>
  </si>
  <si>
    <t>番組名日曜劇場「ノーサイド・ゲーム」最終回　守り抜きたいもの～涙のラストマッチへ!</t>
  </si>
  <si>
    <r>
      <rPr>
        <rFont val="ＭＳ Ｐゴシック"/>
        <sz val="10.0"/>
      </rPr>
      <t>自分を府中工場へと飛ばしたのは滝川</t>
    </r>
    <r>
      <rPr>
        <rFont val="Arial"/>
        <sz val="10.0"/>
      </rPr>
      <t>(</t>
    </r>
    <r>
      <rPr>
        <rFont val="ＭＳ Ｐゴシック"/>
        <sz val="10.0"/>
      </rPr>
      <t>上川隆也</t>
    </r>
    <r>
      <rPr>
        <rFont val="Arial"/>
        <sz val="10.0"/>
      </rPr>
      <t>)</t>
    </r>
    <r>
      <rPr>
        <rFont val="ＭＳ Ｐゴシック"/>
        <sz val="10.0"/>
      </rPr>
      <t>ではなく、最も信頼していた上司・脇坂</t>
    </r>
    <r>
      <rPr>
        <rFont val="Arial"/>
        <sz val="10.0"/>
      </rPr>
      <t>(</t>
    </r>
    <r>
      <rPr>
        <rFont val="ＭＳ Ｐゴシック"/>
        <sz val="10.0"/>
      </rPr>
      <t>石川禅</t>
    </r>
    <r>
      <rPr>
        <rFont val="Arial"/>
        <sz val="10.0"/>
      </rPr>
      <t>)</t>
    </r>
    <r>
      <rPr>
        <rFont val="ＭＳ Ｐゴシック"/>
        <sz val="10.0"/>
      </rPr>
      <t>だったとついに気がついた君嶋</t>
    </r>
    <r>
      <rPr>
        <rFont val="Arial"/>
        <sz val="10.0"/>
      </rPr>
      <t>(</t>
    </r>
    <r>
      <rPr>
        <rFont val="ＭＳ Ｐゴシック"/>
        <sz val="10.0"/>
      </rPr>
      <t>大泉洋</t>
    </r>
    <r>
      <rPr>
        <rFont val="Arial"/>
        <sz val="10.0"/>
      </rPr>
      <t>)</t>
    </r>
    <r>
      <rPr>
        <rFont val="ＭＳ Ｐゴシック"/>
        <sz val="10.0"/>
      </rPr>
      <t>。予算削減に向けて微塵の容赦もない脇坂により、廃部の危機が迫る。アストロズを守るため、運命の取締役会で最後の大勝負に出るが</t>
    </r>
    <r>
      <rPr>
        <rFont val="Arial"/>
        <sz val="10.0"/>
      </rPr>
      <t>…</t>
    </r>
    <r>
      <rPr>
        <rFont val="ＭＳ Ｐゴシック"/>
        <sz val="10.0"/>
      </rPr>
      <t>一方選手たちも頂上決戦の日を迎える。一年越しの雪辱を晴らすことはできるのか</t>
    </r>
    <r>
      <rPr>
        <rFont val="Arial"/>
        <sz val="10.0"/>
      </rPr>
      <t>?</t>
    </r>
    <r>
      <rPr>
        <rFont val="ＭＳ Ｐゴシック"/>
        <sz val="10.0"/>
      </rPr>
      <t>崖っぷちの男たちの最後の戦いが始まろうとしていた</t>
    </r>
    <r>
      <rPr>
        <rFont val="Arial"/>
        <sz val="10.0"/>
      </rPr>
      <t xml:space="preserve">…!  </t>
    </r>
  </si>
  <si>
    <t>1904_TBS_火22</t>
  </si>
  <si>
    <t>わたし、定時で帰ります。</t>
  </si>
  <si>
    <t>番組名火曜ドラマ「わたし、定時で帰ります。」　第1話</t>
  </si>
  <si>
    <r>
      <rPr>
        <rFont val="ＭＳ Ｐゴシック"/>
        <sz val="10.0"/>
      </rPr>
      <t>東山結衣</t>
    </r>
    <r>
      <rPr>
        <rFont val="Arial"/>
        <sz val="10.0"/>
      </rPr>
      <t>(</t>
    </r>
    <r>
      <rPr>
        <rFont val="ＭＳ Ｐゴシック"/>
        <sz val="10.0"/>
      </rPr>
      <t>吉高由里子</t>
    </r>
    <r>
      <rPr>
        <rFont val="Arial"/>
        <sz val="10.0"/>
      </rPr>
      <t>)</t>
    </r>
    <r>
      <rPr>
        <rFont val="ＭＳ Ｐゴシック"/>
        <sz val="10.0"/>
      </rPr>
      <t>は</t>
    </r>
    <r>
      <rPr>
        <rFont val="Arial"/>
        <sz val="10.0"/>
      </rPr>
      <t>WEB</t>
    </r>
    <r>
      <rPr>
        <rFont val="ＭＳ Ｐゴシック"/>
        <sz val="10.0"/>
      </rPr>
      <t>制作会社で働くディレクター。過去のトラウマから入社以来、残業ゼロ生活を貫いてきた。仕事より恋人・諏訪巧</t>
    </r>
    <r>
      <rPr>
        <rFont val="Arial"/>
        <sz val="10.0"/>
      </rPr>
      <t>(</t>
    </r>
    <r>
      <rPr>
        <rFont val="ＭＳ Ｐゴシック"/>
        <sz val="10.0"/>
      </rPr>
      <t>中丸雄一</t>
    </r>
    <r>
      <rPr>
        <rFont val="Arial"/>
        <sz val="10.0"/>
      </rPr>
      <t>)</t>
    </r>
    <r>
      <rPr>
        <rFont val="ＭＳ Ｐゴシック"/>
        <sz val="10.0"/>
      </rPr>
      <t>との時間を大切にしている。そんな彼女の前に、ワーカホリックの結衣の元婚約者・種田</t>
    </r>
    <r>
      <rPr>
        <rFont val="Arial"/>
        <sz val="10.0"/>
      </rPr>
      <t>(</t>
    </r>
    <r>
      <rPr>
        <rFont val="ＭＳ Ｐゴシック"/>
        <sz val="10.0"/>
      </rPr>
      <t>向井理</t>
    </r>
    <r>
      <rPr>
        <rFont val="Arial"/>
        <sz val="10.0"/>
      </rPr>
      <t>)</t>
    </r>
    <r>
      <rPr>
        <rFont val="ＭＳ Ｐゴシック"/>
        <sz val="10.0"/>
      </rPr>
      <t>、ワーキングマザー・賤ヶ岳</t>
    </r>
    <r>
      <rPr>
        <rFont val="Arial"/>
        <sz val="10.0"/>
      </rPr>
      <t>(</t>
    </r>
    <r>
      <rPr>
        <rFont val="ＭＳ Ｐゴシック"/>
        <sz val="10.0"/>
      </rPr>
      <t>内田有紀</t>
    </r>
    <r>
      <rPr>
        <rFont val="Arial"/>
        <sz val="10.0"/>
      </rPr>
      <t>)</t>
    </r>
    <r>
      <rPr>
        <rFont val="ＭＳ Ｐゴシック"/>
        <sz val="10.0"/>
      </rPr>
      <t>、ブラック上司・福永</t>
    </r>
    <r>
      <rPr>
        <rFont val="Arial"/>
        <sz val="10.0"/>
      </rPr>
      <t>(</t>
    </r>
    <r>
      <rPr>
        <rFont val="ＭＳ Ｐゴシック"/>
        <sz val="10.0"/>
      </rPr>
      <t>ユースケ・サンタマリア</t>
    </r>
    <r>
      <rPr>
        <rFont val="Arial"/>
        <sz val="10.0"/>
      </rPr>
      <t>)</t>
    </r>
    <r>
      <rPr>
        <rFont val="ＭＳ Ｐゴシック"/>
        <sz val="10.0"/>
      </rPr>
      <t>らモンスター社員が立ちはだかる。彼らが抱える様々な問題に結衣はどう立ち向かうのか</t>
    </r>
    <r>
      <rPr>
        <rFont val="Arial"/>
        <sz val="10.0"/>
      </rPr>
      <t>?</t>
    </r>
  </si>
  <si>
    <t>番組名火曜ドラマ「わたし、定時で帰ります。」　第2話</t>
  </si>
  <si>
    <r>
      <rPr>
        <rFont val="ＭＳ Ｐゴシック"/>
        <sz val="10.0"/>
      </rPr>
      <t>結衣</t>
    </r>
    <r>
      <rPr>
        <rFont val="Arial"/>
        <sz val="10.0"/>
      </rPr>
      <t>(</t>
    </r>
    <r>
      <rPr>
        <rFont val="ＭＳ Ｐゴシック"/>
        <sz val="10.0"/>
      </rPr>
      <t>吉高由里子</t>
    </r>
    <r>
      <rPr>
        <rFont val="Arial"/>
        <sz val="10.0"/>
      </rPr>
      <t>)</t>
    </r>
    <r>
      <rPr>
        <rFont val="ＭＳ Ｐゴシック"/>
        <sz val="10.0"/>
      </rPr>
      <t>の先輩、賤ヶ岳</t>
    </r>
    <r>
      <rPr>
        <rFont val="Arial"/>
        <sz val="10.0"/>
      </rPr>
      <t>(</t>
    </r>
    <r>
      <rPr>
        <rFont val="ＭＳ Ｐゴシック"/>
        <sz val="10.0"/>
      </rPr>
      <t>内田有紀</t>
    </r>
    <r>
      <rPr>
        <rFont val="Arial"/>
        <sz val="10.0"/>
      </rPr>
      <t>)</t>
    </r>
    <r>
      <rPr>
        <rFont val="ＭＳ Ｐゴシック"/>
        <sz val="10.0"/>
      </rPr>
      <t>は育休明けで仕事に復帰し、早速チーフディレクターを任される事になる。遅れを取り戻そうと必死な賤ヶ岳は、自分の意見を押し通し三谷</t>
    </r>
    <r>
      <rPr>
        <rFont val="Arial"/>
        <sz val="10.0"/>
      </rPr>
      <t>(</t>
    </r>
    <r>
      <rPr>
        <rFont val="ＭＳ Ｐゴシック"/>
        <sz val="10.0"/>
      </rPr>
      <t>シシド・カフカ</t>
    </r>
    <r>
      <rPr>
        <rFont val="Arial"/>
        <sz val="10.0"/>
      </rPr>
      <t>)</t>
    </r>
    <r>
      <rPr>
        <rFont val="ＭＳ Ｐゴシック"/>
        <sz val="10.0"/>
      </rPr>
      <t>ともぶつかってしまう。賤ヶ岳の仕事のやり方に、結衣やネットヒーローズの仲間は次第に不信感を抱いていく</t>
    </r>
    <r>
      <rPr>
        <rFont val="Arial"/>
        <sz val="10.0"/>
      </rPr>
      <t>…</t>
    </r>
    <r>
      <rPr>
        <rFont val="ＭＳ Ｐゴシック"/>
        <sz val="10.0"/>
      </rPr>
      <t>。そんな中、担当している仕事で大きなトラブルが発生</t>
    </r>
    <r>
      <rPr>
        <rFont val="Arial"/>
        <sz val="10.0"/>
      </rPr>
      <t>!</t>
    </r>
    <r>
      <rPr>
        <rFont val="ＭＳ Ｐゴシック"/>
        <sz val="10.0"/>
      </rPr>
      <t>子育てと仕事を両立させようと葛藤している賤ヶ岳に結衣は</t>
    </r>
    <r>
      <rPr>
        <rFont val="Arial"/>
        <sz val="10.0"/>
      </rPr>
      <t>…</t>
    </r>
    <r>
      <rPr>
        <rFont val="ＭＳ Ｐゴシック"/>
        <sz val="10.0"/>
      </rPr>
      <t>。</t>
    </r>
  </si>
  <si>
    <t>番組名火曜ドラマ「わたし、定時で帰ります。」　第3話</t>
  </si>
  <si>
    <r>
      <rPr>
        <rFont val="ＭＳ Ｐゴシック"/>
        <sz val="10.0"/>
      </rPr>
      <t>結衣</t>
    </r>
    <r>
      <rPr>
        <rFont val="Arial"/>
        <sz val="10.0"/>
      </rPr>
      <t>(</t>
    </r>
    <r>
      <rPr>
        <rFont val="ＭＳ Ｐゴシック"/>
        <sz val="10.0"/>
      </rPr>
      <t>吉高由里子</t>
    </r>
    <r>
      <rPr>
        <rFont val="Arial"/>
        <sz val="10.0"/>
      </rPr>
      <t>)</t>
    </r>
    <r>
      <rPr>
        <rFont val="ＭＳ Ｐゴシック"/>
        <sz val="10.0"/>
      </rPr>
      <t>のクライアント「ファイアーストロング」の</t>
    </r>
    <r>
      <rPr>
        <rFont val="Arial"/>
        <sz val="10.0"/>
      </rPr>
      <t>CM</t>
    </r>
    <r>
      <rPr>
        <rFont val="ＭＳ Ｐゴシック"/>
        <sz val="10.0"/>
      </rPr>
      <t>撮影で盗み撮りされた動画が拡散され、</t>
    </r>
    <r>
      <rPr>
        <rFont val="Arial"/>
        <sz val="10.0"/>
      </rPr>
      <t>SNS</t>
    </r>
    <r>
      <rPr>
        <rFont val="ＭＳ Ｐゴシック"/>
        <sz val="10.0"/>
      </rPr>
      <t>で大炎上。結衣は巧</t>
    </r>
    <r>
      <rPr>
        <rFont val="Arial"/>
        <sz val="10.0"/>
      </rPr>
      <t>(</t>
    </r>
    <r>
      <rPr>
        <rFont val="ＭＳ Ｐゴシック"/>
        <sz val="10.0"/>
      </rPr>
      <t>中丸雄一</t>
    </r>
    <r>
      <rPr>
        <rFont val="Arial"/>
        <sz val="10.0"/>
      </rPr>
      <t>)</t>
    </r>
    <r>
      <rPr>
        <rFont val="ＭＳ Ｐゴシック"/>
        <sz val="10.0"/>
      </rPr>
      <t>の実家挨拶をドタキャンし謝罪に向かう。</t>
    </r>
    <r>
      <rPr>
        <rFont val="Arial"/>
        <sz val="10.0"/>
      </rPr>
      <t>CM</t>
    </r>
    <r>
      <rPr>
        <rFont val="ＭＳ Ｐゴシック"/>
        <sz val="10.0"/>
      </rPr>
      <t>現場で来栖</t>
    </r>
    <r>
      <rPr>
        <rFont val="Arial"/>
        <sz val="10.0"/>
      </rPr>
      <t>(</t>
    </r>
    <r>
      <rPr>
        <rFont val="ＭＳ Ｐゴシック"/>
        <sz val="10.0"/>
      </rPr>
      <t>泉澤祐希</t>
    </r>
    <r>
      <rPr>
        <rFont val="Arial"/>
        <sz val="10.0"/>
      </rPr>
      <t>)</t>
    </r>
    <r>
      <rPr>
        <rFont val="ＭＳ Ｐゴシック"/>
        <sz val="10.0"/>
      </rPr>
      <t>が撮影していたことを思い出した結衣は、来栖に連絡を取るが繋がらない。翌日、晃太郎</t>
    </r>
    <r>
      <rPr>
        <rFont val="Arial"/>
        <sz val="10.0"/>
      </rPr>
      <t>(</t>
    </r>
    <r>
      <rPr>
        <rFont val="ＭＳ Ｐゴシック"/>
        <sz val="10.0"/>
      </rPr>
      <t>向井理</t>
    </r>
    <r>
      <rPr>
        <rFont val="Arial"/>
        <sz val="10.0"/>
      </rPr>
      <t>)</t>
    </r>
    <r>
      <rPr>
        <rFont val="ＭＳ Ｐゴシック"/>
        <sz val="10.0"/>
      </rPr>
      <t>から責任を問われた来栖は「じゃあ辞めます」と会社を出て行ってしまう。来栖の教育係の結衣は必死に説得するが・・・。</t>
    </r>
  </si>
  <si>
    <t>番組名火曜ドラマ「わたし、定時で帰ります。」　第4話</t>
  </si>
  <si>
    <r>
      <rPr>
        <rFont val="ＭＳ Ｐゴシック"/>
        <sz val="10.0"/>
      </rPr>
      <t>結衣</t>
    </r>
    <r>
      <rPr>
        <rFont val="Arial"/>
        <sz val="10.0"/>
      </rPr>
      <t>(</t>
    </r>
    <r>
      <rPr>
        <rFont val="ＭＳ Ｐゴシック"/>
        <sz val="10.0"/>
      </rPr>
      <t>吉高由里子</t>
    </r>
    <r>
      <rPr>
        <rFont val="Arial"/>
        <sz val="10.0"/>
      </rPr>
      <t>)</t>
    </r>
    <r>
      <rPr>
        <rFont val="ＭＳ Ｐゴシック"/>
        <sz val="10.0"/>
      </rPr>
      <t>は吾妻</t>
    </r>
    <r>
      <rPr>
        <rFont val="Arial"/>
        <sz val="10.0"/>
      </rPr>
      <t>(</t>
    </r>
    <r>
      <rPr>
        <rFont val="ＭＳ Ｐゴシック"/>
        <sz val="10.0"/>
      </rPr>
      <t>柄本時生</t>
    </r>
    <r>
      <rPr>
        <rFont val="Arial"/>
        <sz val="10.0"/>
      </rPr>
      <t>)</t>
    </r>
    <r>
      <rPr>
        <rFont val="ＭＳ Ｐゴシック"/>
        <sz val="10.0"/>
      </rPr>
      <t>がサービス残業をしていると晃太郎</t>
    </r>
    <r>
      <rPr>
        <rFont val="Arial"/>
        <sz val="10.0"/>
      </rPr>
      <t>(</t>
    </r>
    <r>
      <rPr>
        <rFont val="ＭＳ Ｐゴシック"/>
        <sz val="10.0"/>
      </rPr>
      <t>向井理</t>
    </r>
    <r>
      <rPr>
        <rFont val="Arial"/>
        <sz val="10.0"/>
      </rPr>
      <t>)</t>
    </r>
    <r>
      <rPr>
        <rFont val="ＭＳ Ｐゴシック"/>
        <sz val="10.0"/>
      </rPr>
      <t>から聞かされる。晃太郎と福永</t>
    </r>
    <r>
      <rPr>
        <rFont val="Arial"/>
        <sz val="10.0"/>
      </rPr>
      <t>(</t>
    </r>
    <r>
      <rPr>
        <rFont val="ＭＳ Ｐゴシック"/>
        <sz val="10.0"/>
      </rPr>
      <t>ユースケ・サンタマリア</t>
    </r>
    <r>
      <rPr>
        <rFont val="Arial"/>
        <sz val="10.0"/>
      </rPr>
      <t>)</t>
    </r>
    <r>
      <rPr>
        <rFont val="ＭＳ Ｐゴシック"/>
        <sz val="10.0"/>
      </rPr>
      <t>に呼び出された吾妻は「誰にも迷惑かけてません」と聞く耳を持たない。そんな中、派遣デザイナーの桜宮彩奈</t>
    </r>
    <r>
      <rPr>
        <rFont val="Arial"/>
        <sz val="10.0"/>
      </rPr>
      <t>(</t>
    </r>
    <r>
      <rPr>
        <rFont val="ＭＳ Ｐゴシック"/>
        <sz val="10.0"/>
      </rPr>
      <t>清水くるみ</t>
    </r>
    <r>
      <rPr>
        <rFont val="Arial"/>
        <sz val="10.0"/>
      </rPr>
      <t>)</t>
    </r>
    <r>
      <rPr>
        <rFont val="ＭＳ Ｐゴシック"/>
        <sz val="10.0"/>
      </rPr>
      <t>がネットヒーローズにやってくる。桜宮に好意を持った吾妻は結衣に仕事効率アップの方法を相談し改善しようとするが、そんな時にトラブルが発生するーー。</t>
    </r>
  </si>
  <si>
    <t>番組名火曜ドラマ「わたし、定時で帰ります。」　第5話</t>
  </si>
  <si>
    <r>
      <rPr>
        <rFont val="ＭＳ Ｐゴシック"/>
        <sz val="10.0"/>
      </rPr>
      <t>「ランダースポーツ」の中西</t>
    </r>
    <r>
      <rPr>
        <rFont val="Arial"/>
        <sz val="10.0"/>
      </rPr>
      <t>(</t>
    </r>
    <r>
      <rPr>
        <rFont val="ＭＳ Ｐゴシック"/>
        <sz val="10.0"/>
      </rPr>
      <t>大澄賢也</t>
    </r>
    <r>
      <rPr>
        <rFont val="Arial"/>
        <sz val="10.0"/>
      </rPr>
      <t>)</t>
    </r>
    <r>
      <rPr>
        <rFont val="ＭＳ Ｐゴシック"/>
        <sz val="10.0"/>
      </rPr>
      <t>から、何度もデザインのやり直しを要求され苦戦する結衣</t>
    </r>
    <r>
      <rPr>
        <rFont val="Arial"/>
        <sz val="10.0"/>
      </rPr>
      <t>(</t>
    </r>
    <r>
      <rPr>
        <rFont val="ＭＳ Ｐゴシック"/>
        <sz val="10.0"/>
      </rPr>
      <t>吉高由里子</t>
    </r>
    <r>
      <rPr>
        <rFont val="Arial"/>
        <sz val="10.0"/>
      </rPr>
      <t>)</t>
    </r>
    <r>
      <rPr>
        <rFont val="ＭＳ Ｐゴシック"/>
        <sz val="10.0"/>
      </rPr>
      <t>。そんな中、ネットヒーローズにセクハラを訴える匿名の連絡が入る。中西たちと親密に話し込む桜宮</t>
    </r>
    <r>
      <rPr>
        <rFont val="Arial"/>
        <sz val="10.0"/>
      </rPr>
      <t>(</t>
    </r>
    <r>
      <rPr>
        <rFont val="ＭＳ Ｐゴシック"/>
        <sz val="10.0"/>
      </rPr>
      <t>清水くるみ</t>
    </r>
    <r>
      <rPr>
        <rFont val="Arial"/>
        <sz val="10.0"/>
      </rPr>
      <t>)</t>
    </r>
    <r>
      <rPr>
        <rFont val="ＭＳ Ｐゴシック"/>
        <sz val="10.0"/>
      </rPr>
      <t>の姿を見た結衣は、中西にセクハラを問うものの相手にされない。数日後、吾妻</t>
    </r>
    <r>
      <rPr>
        <rFont val="Arial"/>
        <sz val="10.0"/>
      </rPr>
      <t>(</t>
    </r>
    <r>
      <rPr>
        <rFont val="ＭＳ Ｐゴシック"/>
        <sz val="10.0"/>
      </rPr>
      <t>柄本時生</t>
    </r>
    <r>
      <rPr>
        <rFont val="Arial"/>
        <sz val="10.0"/>
      </rPr>
      <t>)</t>
    </r>
    <r>
      <rPr>
        <rFont val="ＭＳ Ｐゴシック"/>
        <sz val="10.0"/>
      </rPr>
      <t>に呼び出され、結衣はある動画を見せられる。その動画を見て憤慨する結衣は「ランダースポーツ」へ向かうがー</t>
    </r>
    <r>
      <rPr>
        <rFont val="Arial"/>
        <sz val="10.0"/>
      </rPr>
      <t>!?</t>
    </r>
  </si>
  <si>
    <t>番組名火曜ドラマ「わたし、定時で帰ります。」　第6話</t>
  </si>
  <si>
    <r>
      <rPr>
        <rFont val="ＭＳ Ｐゴシック"/>
        <sz val="10.0"/>
      </rPr>
      <t>晃太郎</t>
    </r>
    <r>
      <rPr>
        <rFont val="Arial"/>
        <sz val="10.0"/>
      </rPr>
      <t>(</t>
    </r>
    <r>
      <rPr>
        <rFont val="ＭＳ Ｐゴシック"/>
        <sz val="10.0"/>
      </rPr>
      <t>向井理</t>
    </r>
    <r>
      <rPr>
        <rFont val="Arial"/>
        <sz val="10.0"/>
      </rPr>
      <t>)</t>
    </r>
    <r>
      <rPr>
        <rFont val="ＭＳ Ｐゴシック"/>
        <sz val="10.0"/>
      </rPr>
      <t>が独立するという噂が浮上し、複雑な心境の結衣</t>
    </r>
    <r>
      <rPr>
        <rFont val="Arial"/>
        <sz val="10.0"/>
      </rPr>
      <t>(</t>
    </r>
    <r>
      <rPr>
        <rFont val="ＭＳ Ｐゴシック"/>
        <sz val="10.0"/>
      </rPr>
      <t>吉高由里子</t>
    </r>
    <r>
      <rPr>
        <rFont val="Arial"/>
        <sz val="10.0"/>
      </rPr>
      <t>)</t>
    </r>
    <r>
      <rPr>
        <rFont val="ＭＳ Ｐゴシック"/>
        <sz val="10.0"/>
      </rPr>
      <t>。そんな中、来栖</t>
    </r>
    <r>
      <rPr>
        <rFont val="Arial"/>
        <sz val="10.0"/>
      </rPr>
      <t>(</t>
    </r>
    <r>
      <rPr>
        <rFont val="ＭＳ Ｐゴシック"/>
        <sz val="10.0"/>
      </rPr>
      <t>泉澤祐希</t>
    </r>
    <r>
      <rPr>
        <rFont val="Arial"/>
        <sz val="10.0"/>
      </rPr>
      <t>)</t>
    </r>
    <r>
      <rPr>
        <rFont val="ＭＳ Ｐゴシック"/>
        <sz val="10.0"/>
      </rPr>
      <t>がディレクターデビューする事になる。来栖は張り切って仕事に取り組むものの、思うように進めることができず苛立ちを募らせる。結衣は教育係として来栖をフォローするが、とあることがきっかけで晃太郎と来栖がぶつかってしまう。いつもと様子が違う晃太郎を心配する結衣。晃太郎には誰にも言っていない秘密があったーー</t>
    </r>
  </si>
  <si>
    <t>番組名火曜ドラマ「わたし、定時で帰ります。」　第7話</t>
  </si>
  <si>
    <r>
      <rPr>
        <rFont val="ＭＳ Ｐゴシック"/>
        <sz val="10.0"/>
      </rPr>
      <t>「今でも結衣のことが好き」と言う晃太郎</t>
    </r>
    <r>
      <rPr>
        <rFont val="Arial"/>
        <sz val="10.0"/>
      </rPr>
      <t>(</t>
    </r>
    <r>
      <rPr>
        <rFont val="ＭＳ Ｐゴシック"/>
        <sz val="10.0"/>
      </rPr>
      <t>向井理</t>
    </r>
    <r>
      <rPr>
        <rFont val="Arial"/>
        <sz val="10.0"/>
      </rPr>
      <t>)</t>
    </r>
    <r>
      <rPr>
        <rFont val="ＭＳ Ｐゴシック"/>
        <sz val="10.0"/>
      </rPr>
      <t>の言葉に、戸惑いを隠せない結衣</t>
    </r>
    <r>
      <rPr>
        <rFont val="Arial"/>
        <sz val="10.0"/>
      </rPr>
      <t>(</t>
    </r>
    <r>
      <rPr>
        <rFont val="ＭＳ Ｐゴシック"/>
        <sz val="10.0"/>
      </rPr>
      <t>吉高由里子</t>
    </r>
    <r>
      <rPr>
        <rFont val="Arial"/>
        <sz val="10.0"/>
      </rPr>
      <t>)</t>
    </r>
    <r>
      <rPr>
        <rFont val="ＭＳ Ｐゴシック"/>
        <sz val="10.0"/>
      </rPr>
      <t>と巧</t>
    </r>
    <r>
      <rPr>
        <rFont val="Arial"/>
        <sz val="10.0"/>
      </rPr>
      <t>(</t>
    </r>
    <r>
      <rPr>
        <rFont val="ＭＳ Ｐゴシック"/>
        <sz val="10.0"/>
      </rPr>
      <t>中丸雄一</t>
    </r>
    <r>
      <rPr>
        <rFont val="Arial"/>
        <sz val="10.0"/>
      </rPr>
      <t>)</t>
    </r>
    <r>
      <rPr>
        <rFont val="ＭＳ Ｐゴシック"/>
        <sz val="10.0"/>
      </rPr>
      <t>。そんな時、父・宗典</t>
    </r>
    <r>
      <rPr>
        <rFont val="Arial"/>
        <sz val="10.0"/>
      </rPr>
      <t>(</t>
    </r>
    <r>
      <rPr>
        <rFont val="ＭＳ Ｐゴシック"/>
        <sz val="10.0"/>
      </rPr>
      <t>小林隆</t>
    </r>
    <r>
      <rPr>
        <rFont val="Arial"/>
        <sz val="10.0"/>
      </rPr>
      <t>)</t>
    </r>
    <r>
      <rPr>
        <rFont val="ＭＳ Ｐゴシック"/>
        <sz val="10.0"/>
      </rPr>
      <t>から「お母さんが家出した」と連絡が入る。新規サイトを任された結衣だったが、一人で何も出来ない父に振り回され、思うように仕事が進まずひどい言葉をぶつけてしまう。いつもと様子が違う結衣を心配する、賤ヶ岳</t>
    </r>
    <r>
      <rPr>
        <rFont val="Arial"/>
        <sz val="10.0"/>
      </rPr>
      <t>(</t>
    </r>
    <r>
      <rPr>
        <rFont val="ＭＳ Ｐゴシック"/>
        <sz val="10.0"/>
      </rPr>
      <t>内田有紀</t>
    </r>
    <r>
      <rPr>
        <rFont val="Arial"/>
        <sz val="10.0"/>
      </rPr>
      <t>)</t>
    </r>
    <r>
      <rPr>
        <rFont val="ＭＳ Ｐゴシック"/>
        <sz val="10.0"/>
      </rPr>
      <t>と三谷</t>
    </r>
    <r>
      <rPr>
        <rFont val="Arial"/>
        <sz val="10.0"/>
      </rPr>
      <t>(</t>
    </r>
    <r>
      <rPr>
        <rFont val="ＭＳ Ｐゴシック"/>
        <sz val="10.0"/>
      </rPr>
      <t>シシド・カフカ</t>
    </r>
    <r>
      <rPr>
        <rFont val="Arial"/>
        <sz val="10.0"/>
      </rPr>
      <t>)</t>
    </r>
    <r>
      <rPr>
        <rFont val="ＭＳ Ｐゴシック"/>
        <sz val="10.0"/>
      </rPr>
      <t>はある作戦を実行することに</t>
    </r>
    <r>
      <rPr>
        <rFont val="Arial"/>
        <sz val="10.0"/>
      </rPr>
      <t>!</t>
    </r>
  </si>
  <si>
    <t>番組名火曜ドラマ「わたし、定時で帰ります。」　第8話</t>
  </si>
  <si>
    <r>
      <rPr>
        <rFont val="ＭＳ Ｐゴシック"/>
        <sz val="10.0"/>
      </rPr>
      <t>「星印工場」の赤字案件が社内審査に通り、そのチーフを任された賤ヶ岳</t>
    </r>
    <r>
      <rPr>
        <rFont val="Arial"/>
        <sz val="10.0"/>
      </rPr>
      <t>(</t>
    </r>
    <r>
      <rPr>
        <rFont val="ＭＳ Ｐゴシック"/>
        <sz val="10.0"/>
      </rPr>
      <t>内田有紀</t>
    </r>
    <r>
      <rPr>
        <rFont val="Arial"/>
        <sz val="10.0"/>
      </rPr>
      <t>)</t>
    </r>
    <r>
      <rPr>
        <rFont val="ＭＳ Ｐゴシック"/>
        <sz val="10.0"/>
      </rPr>
      <t>。そこへ夫の陽介</t>
    </r>
    <r>
      <rPr>
        <rFont val="Arial"/>
        <sz val="10.0"/>
      </rPr>
      <t>(</t>
    </r>
    <r>
      <rPr>
        <rFont val="ＭＳ Ｐゴシック"/>
        <sz val="10.0"/>
      </rPr>
      <t>坪倉由幸</t>
    </r>
    <r>
      <rPr>
        <rFont val="Arial"/>
        <sz val="10.0"/>
      </rPr>
      <t>)</t>
    </r>
    <r>
      <rPr>
        <rFont val="ＭＳ Ｐゴシック"/>
        <sz val="10.0"/>
      </rPr>
      <t>から「母親が倒れた」と連絡が入る。仕事に追われながら子育てに奮闘する賤ヶ岳だったが</t>
    </r>
    <r>
      <rPr>
        <rFont val="Arial"/>
        <sz val="10.0"/>
      </rPr>
      <t>...</t>
    </r>
    <r>
      <rPr>
        <rFont val="ＭＳ Ｐゴシック"/>
        <sz val="10.0"/>
      </rPr>
      <t>。一方、結衣</t>
    </r>
    <r>
      <rPr>
        <rFont val="Arial"/>
        <sz val="10.0"/>
      </rPr>
      <t>(</t>
    </r>
    <r>
      <rPr>
        <rFont val="ＭＳ Ｐゴシック"/>
        <sz val="10.0"/>
      </rPr>
      <t>吉高由里子</t>
    </r>
    <r>
      <rPr>
        <rFont val="Arial"/>
        <sz val="10.0"/>
      </rPr>
      <t>)</t>
    </r>
    <r>
      <rPr>
        <rFont val="ＭＳ Ｐゴシック"/>
        <sz val="10.0"/>
      </rPr>
      <t>は巧</t>
    </r>
    <r>
      <rPr>
        <rFont val="Arial"/>
        <sz val="10.0"/>
      </rPr>
      <t>(</t>
    </r>
    <r>
      <rPr>
        <rFont val="ＭＳ Ｐゴシック"/>
        <sz val="10.0"/>
      </rPr>
      <t>中丸雄一</t>
    </r>
    <r>
      <rPr>
        <rFont val="Arial"/>
        <sz val="10.0"/>
      </rPr>
      <t>)</t>
    </r>
    <r>
      <rPr>
        <rFont val="ＭＳ Ｐゴシック"/>
        <sz val="10.0"/>
      </rPr>
      <t>と、とある事がきっかけでぶつかってしまい、家を飛び出す。行くあてのない結衣は上海飯店に向かい、酔いつぶれてしまう。そこへ晃太郎がやってきて</t>
    </r>
    <r>
      <rPr>
        <rFont val="Arial"/>
        <sz val="10.0"/>
      </rPr>
      <t xml:space="preserve">…!?  </t>
    </r>
  </si>
  <si>
    <t>番組名火曜ドラマ「わたし、定時で帰ります。」　第9話</t>
  </si>
  <si>
    <r>
      <rPr>
        <rFont val="ＭＳ Ｐゴシック"/>
        <sz val="10.0"/>
      </rPr>
      <t>福永</t>
    </r>
    <r>
      <rPr>
        <rFont val="Arial"/>
        <sz val="10.0"/>
      </rPr>
      <t>(</t>
    </r>
    <r>
      <rPr>
        <rFont val="ＭＳ Ｐゴシック"/>
        <sz val="10.0"/>
      </rPr>
      <t>ユースケ・サンタマリア</t>
    </r>
    <r>
      <rPr>
        <rFont val="Arial"/>
        <sz val="10.0"/>
      </rPr>
      <t>)</t>
    </r>
    <r>
      <rPr>
        <rFont val="ＭＳ Ｐゴシック"/>
        <sz val="10.0"/>
      </rPr>
      <t>から突然呼び出された結衣</t>
    </r>
    <r>
      <rPr>
        <rFont val="Arial"/>
        <sz val="10.0"/>
      </rPr>
      <t>(</t>
    </r>
    <r>
      <rPr>
        <rFont val="ＭＳ Ｐゴシック"/>
        <sz val="10.0"/>
      </rPr>
      <t>吉高由里子</t>
    </r>
    <r>
      <rPr>
        <rFont val="Arial"/>
        <sz val="10.0"/>
      </rPr>
      <t>)</t>
    </r>
    <r>
      <rPr>
        <rFont val="ＭＳ Ｐゴシック"/>
        <sz val="10.0"/>
      </rPr>
      <t>は、晃太郎</t>
    </r>
    <r>
      <rPr>
        <rFont val="Arial"/>
        <sz val="10.0"/>
      </rPr>
      <t>(</t>
    </r>
    <r>
      <rPr>
        <rFont val="ＭＳ Ｐゴシック"/>
        <sz val="10.0"/>
      </rPr>
      <t>向井理</t>
    </r>
    <r>
      <rPr>
        <rFont val="Arial"/>
        <sz val="10.0"/>
      </rPr>
      <t>)</t>
    </r>
    <r>
      <rPr>
        <rFont val="ＭＳ Ｐゴシック"/>
        <sz val="10.0"/>
      </rPr>
      <t>が前の会社を辞めた本当の理由を聞かされ、思わぬ真実に戸惑いを隠せない。そんな中、福永は制作</t>
    </r>
    <r>
      <rPr>
        <rFont val="Arial"/>
        <sz val="10.0"/>
      </rPr>
      <t>4</t>
    </r>
    <r>
      <rPr>
        <rFont val="ＭＳ Ｐゴシック"/>
        <sz val="10.0"/>
      </rPr>
      <t>部のメンバーにサービス残業をさせようと甘い言葉を囁く。それを知った結衣は、チームを守る為ついに「私も残業します」と宣言してしまう。そのせいで巧</t>
    </r>
    <r>
      <rPr>
        <rFont val="Arial"/>
        <sz val="10.0"/>
      </rPr>
      <t>(</t>
    </r>
    <r>
      <rPr>
        <rFont val="ＭＳ Ｐゴシック"/>
        <sz val="10.0"/>
      </rPr>
      <t>中丸雄一</t>
    </r>
    <r>
      <rPr>
        <rFont val="Arial"/>
        <sz val="10.0"/>
      </rPr>
      <t>)</t>
    </r>
    <r>
      <rPr>
        <rFont val="ＭＳ Ｐゴシック"/>
        <sz val="10.0"/>
      </rPr>
      <t>との時間が取れなくなる。そして巧から衝撃の一言を聞いた結衣は</t>
    </r>
    <r>
      <rPr>
        <rFont val="Arial"/>
        <sz val="10.0"/>
      </rPr>
      <t>…?!</t>
    </r>
  </si>
  <si>
    <t>番組名火曜ドラマ「わたし、定時で帰ります。」最終話</t>
  </si>
  <si>
    <r>
      <rPr>
        <rFont val="ＭＳ Ｐゴシック"/>
        <sz val="10.0"/>
      </rPr>
      <t>巧</t>
    </r>
    <r>
      <rPr>
        <rFont val="Arial"/>
        <sz val="10.0"/>
      </rPr>
      <t>(</t>
    </r>
    <r>
      <rPr>
        <rFont val="ＭＳ Ｐゴシック"/>
        <sz val="10.0"/>
      </rPr>
      <t>中丸雄一</t>
    </r>
    <r>
      <rPr>
        <rFont val="Arial"/>
        <sz val="10.0"/>
      </rPr>
      <t>)</t>
    </r>
    <r>
      <rPr>
        <rFont val="ＭＳ Ｐゴシック"/>
        <sz val="10.0"/>
      </rPr>
      <t>に「結婚できない」と告げられ、途方に暮れる結衣</t>
    </r>
    <r>
      <rPr>
        <rFont val="Arial"/>
        <sz val="10.0"/>
      </rPr>
      <t>(</t>
    </r>
    <r>
      <rPr>
        <rFont val="ＭＳ Ｐゴシック"/>
        <sz val="10.0"/>
      </rPr>
      <t>吉高由里子</t>
    </r>
    <r>
      <rPr>
        <rFont val="Arial"/>
        <sz val="10.0"/>
      </rPr>
      <t>)</t>
    </r>
    <r>
      <rPr>
        <rFont val="ＭＳ Ｐゴシック"/>
        <sz val="10.0"/>
      </rPr>
      <t>。そんな中、外注先が倒産し制作</t>
    </r>
    <r>
      <rPr>
        <rFont val="Arial"/>
        <sz val="10.0"/>
      </rPr>
      <t>4</t>
    </r>
    <r>
      <rPr>
        <rFont val="ＭＳ Ｐゴシック"/>
        <sz val="10.0"/>
      </rPr>
      <t>部のメンバーは窮地に陥る。さらに「星印工場」から呼び出された晃太郎</t>
    </r>
    <r>
      <rPr>
        <rFont val="Arial"/>
        <sz val="10.0"/>
      </rPr>
      <t>(</t>
    </r>
    <r>
      <rPr>
        <rFont val="ＭＳ Ｐゴシック"/>
        <sz val="10.0"/>
      </rPr>
      <t>向井理</t>
    </r>
    <r>
      <rPr>
        <rFont val="Arial"/>
        <sz val="10.0"/>
      </rPr>
      <t>)</t>
    </r>
    <r>
      <rPr>
        <rFont val="ＭＳ Ｐゴシック"/>
        <sz val="10.0"/>
      </rPr>
      <t>は契約を進める条件として福永</t>
    </r>
    <r>
      <rPr>
        <rFont val="Arial"/>
        <sz val="10.0"/>
      </rPr>
      <t>(</t>
    </r>
    <r>
      <rPr>
        <rFont val="ＭＳ Ｐゴシック"/>
        <sz val="10.0"/>
      </rPr>
      <t>ユースケ・サンタマリア</t>
    </r>
    <r>
      <rPr>
        <rFont val="Arial"/>
        <sz val="10.0"/>
      </rPr>
      <t>)</t>
    </r>
    <r>
      <rPr>
        <rFont val="ＭＳ Ｐゴシック"/>
        <sz val="10.0"/>
      </rPr>
      <t>を案件から外すことを要求される。その事を聞いた結衣は、ついに福永と対決するが</t>
    </r>
    <r>
      <rPr>
        <rFont val="Arial"/>
        <sz val="10.0"/>
      </rPr>
      <t>…</t>
    </r>
    <r>
      <rPr>
        <rFont val="ＭＳ Ｐゴシック"/>
        <sz val="10.0"/>
      </rPr>
      <t>果たして結衣は仕事に命を懸ける人たちを止められるのか</t>
    </r>
    <r>
      <rPr>
        <rFont val="Arial"/>
        <sz val="10.0"/>
      </rPr>
      <t>?</t>
    </r>
    <r>
      <rPr>
        <rFont val="ＭＳ Ｐゴシック"/>
        <sz val="10.0"/>
      </rPr>
      <t>そして巧、晃太郎との恋の行方は</t>
    </r>
    <r>
      <rPr>
        <rFont val="Arial"/>
        <sz val="10.0"/>
      </rPr>
      <t>?</t>
    </r>
  </si>
  <si>
    <r>
      <rPr>
        <rFont val="ＭＳ Ｐゴシック"/>
        <sz val="10.0"/>
      </rPr>
      <t>巧</t>
    </r>
    <r>
      <rPr>
        <rFont val="Arial"/>
        <sz val="10.0"/>
      </rPr>
      <t>(</t>
    </r>
    <r>
      <rPr>
        <rFont val="ＭＳ Ｐゴシック"/>
        <sz val="10.0"/>
      </rPr>
      <t>中丸雄一</t>
    </r>
    <r>
      <rPr>
        <rFont val="Arial"/>
        <sz val="10.0"/>
      </rPr>
      <t>)</t>
    </r>
    <r>
      <rPr>
        <rFont val="ＭＳ Ｐゴシック"/>
        <sz val="10.0"/>
      </rPr>
      <t>に「結婚できない」と告げられ、途方に暮れる結衣</t>
    </r>
    <r>
      <rPr>
        <rFont val="Arial"/>
        <sz val="10.0"/>
      </rPr>
      <t>(</t>
    </r>
    <r>
      <rPr>
        <rFont val="ＭＳ Ｐゴシック"/>
        <sz val="10.0"/>
      </rPr>
      <t>吉高由里子</t>
    </r>
    <r>
      <rPr>
        <rFont val="Arial"/>
        <sz val="10.0"/>
      </rPr>
      <t>)</t>
    </r>
    <r>
      <rPr>
        <rFont val="ＭＳ Ｐゴシック"/>
        <sz val="10.0"/>
      </rPr>
      <t>。そんな中、外注先が倒産し制作</t>
    </r>
    <r>
      <rPr>
        <rFont val="Arial"/>
        <sz val="10.0"/>
      </rPr>
      <t>4</t>
    </r>
    <r>
      <rPr>
        <rFont val="ＭＳ Ｐゴシック"/>
        <sz val="10.0"/>
      </rPr>
      <t>部のメンバーは窮地に陥る。さらに「星印工場」から呼び出された晃太郎</t>
    </r>
    <r>
      <rPr>
        <rFont val="Arial"/>
        <sz val="10.0"/>
      </rPr>
      <t>(</t>
    </r>
    <r>
      <rPr>
        <rFont val="ＭＳ Ｐゴシック"/>
        <sz val="10.0"/>
      </rPr>
      <t>向井理</t>
    </r>
    <r>
      <rPr>
        <rFont val="Arial"/>
        <sz val="10.0"/>
      </rPr>
      <t>)</t>
    </r>
    <r>
      <rPr>
        <rFont val="ＭＳ Ｐゴシック"/>
        <sz val="10.0"/>
      </rPr>
      <t>は契約を進める条件として福永</t>
    </r>
    <r>
      <rPr>
        <rFont val="Arial"/>
        <sz val="10.0"/>
      </rPr>
      <t>(</t>
    </r>
    <r>
      <rPr>
        <rFont val="ＭＳ Ｐゴシック"/>
        <sz val="10.0"/>
      </rPr>
      <t>ユースケ・サンタマリア</t>
    </r>
    <r>
      <rPr>
        <rFont val="Arial"/>
        <sz val="10.0"/>
      </rPr>
      <t>)</t>
    </r>
    <r>
      <rPr>
        <rFont val="ＭＳ Ｐゴシック"/>
        <sz val="10.0"/>
      </rPr>
      <t>を案件から外すことを要求される。その事を聞いた結衣は、ついに福永と対決するが</t>
    </r>
    <r>
      <rPr>
        <rFont val="Arial"/>
        <sz val="10.0"/>
      </rPr>
      <t>…</t>
    </r>
    <r>
      <rPr>
        <rFont val="ＭＳ Ｐゴシック"/>
        <sz val="10.0"/>
      </rPr>
      <t>果たして結衣は仕事に命を懸ける人たちを止められるのか</t>
    </r>
    <r>
      <rPr>
        <rFont val="Arial"/>
        <sz val="10.0"/>
      </rPr>
      <t>?</t>
    </r>
    <r>
      <rPr>
        <rFont val="ＭＳ Ｐゴシック"/>
        <sz val="10.0"/>
      </rPr>
      <t>そして巧、晃太郎との恋の行方は</t>
    </r>
    <r>
      <rPr>
        <rFont val="Arial"/>
        <sz val="10.0"/>
      </rPr>
      <t>?</t>
    </r>
  </si>
  <si>
    <t>1904_TBS_金22</t>
  </si>
  <si>
    <t>インハンド</t>
  </si>
  <si>
    <t>番組名金曜ドラマ「インハンド」　第1話(初回15分拡大スペシャル)</t>
  </si>
  <si>
    <r>
      <rPr>
        <rFont val="ＭＳ Ｐゴシック"/>
        <sz val="10.0"/>
      </rPr>
      <t>寄生虫学者・紐倉</t>
    </r>
    <r>
      <rPr>
        <rFont val="Arial"/>
        <sz val="10.0"/>
      </rPr>
      <t xml:space="preserve"> </t>
    </r>
    <r>
      <rPr>
        <rFont val="ＭＳ Ｐゴシック"/>
        <sz val="10.0"/>
      </rPr>
      <t>哲</t>
    </r>
    <r>
      <rPr>
        <rFont val="Arial"/>
        <sz val="10.0"/>
      </rPr>
      <t>(</t>
    </r>
    <r>
      <rPr>
        <rFont val="ＭＳ Ｐゴシック"/>
        <sz val="10.0"/>
      </rPr>
      <t>山下智久</t>
    </r>
    <r>
      <rPr>
        <rFont val="Arial"/>
        <sz val="10.0"/>
      </rPr>
      <t>)</t>
    </r>
    <r>
      <rPr>
        <rFont val="ＭＳ Ｐゴシック"/>
        <sz val="10.0"/>
      </rPr>
      <t>は、人嫌いで変わり者だが、天才的な頭脳を持つ。そんな紐倉のもとに、内閣官房サイエンス・メディカル対策室から牧野巴</t>
    </r>
    <r>
      <rPr>
        <rFont val="Arial"/>
        <sz val="10.0"/>
      </rPr>
      <t xml:space="preserve"> (</t>
    </r>
    <r>
      <rPr>
        <rFont val="ＭＳ Ｐゴシック"/>
        <sz val="10.0"/>
      </rPr>
      <t>菜々緒</t>
    </r>
    <r>
      <rPr>
        <rFont val="Arial"/>
        <sz val="10.0"/>
      </rPr>
      <t>)</t>
    </r>
    <r>
      <rPr>
        <rFont val="ＭＳ Ｐゴシック"/>
        <sz val="10.0"/>
      </rPr>
      <t>という美人官僚が訪れる。科学機関や医療機関で起きるあらゆる問題に対処する対策室に、匿名の告発状が届いた。その内容は、ある病院で心筋梗塞により亡くなった複数の患者が、日本では滅多に見られないシャーガス病という感染症にかかっている可能性があるという感染者がもし本当にいたら大変なことになる。早速、感染が疑われる患者の処置をした医師・高家春馬</t>
    </r>
    <r>
      <rPr>
        <rFont val="Arial"/>
        <sz val="10.0"/>
      </rPr>
      <t>(</t>
    </r>
    <r>
      <rPr>
        <rFont val="ＭＳ Ｐゴシック"/>
        <sz val="10.0"/>
      </rPr>
      <t>濱田</t>
    </r>
    <r>
      <rPr>
        <rFont val="Arial"/>
        <sz val="10.0"/>
      </rPr>
      <t xml:space="preserve"> </t>
    </r>
    <r>
      <rPr>
        <rFont val="ＭＳ Ｐゴシック"/>
        <sz val="10.0"/>
      </rPr>
      <t>岳</t>
    </r>
    <r>
      <rPr>
        <rFont val="Arial"/>
        <sz val="10.0"/>
      </rPr>
      <t>)</t>
    </r>
    <r>
      <rPr>
        <rFont val="ＭＳ Ｐゴシック"/>
        <sz val="10.0"/>
      </rPr>
      <t>に会いに行く。高家の協力も得て調べを重ねていくと、</t>
    </r>
    <r>
      <rPr>
        <rFont val="Arial"/>
        <sz val="10.0"/>
      </rPr>
      <t>10</t>
    </r>
    <r>
      <rPr>
        <rFont val="ＭＳ Ｐゴシック"/>
        <sz val="10.0"/>
      </rPr>
      <t>年前に起きたある事件が浮かび上がってきて</t>
    </r>
  </si>
  <si>
    <t>番組名金曜ドラマ「インハンド」第2話【日本未上陸のウイルスが驚異的なスピードで感染!】</t>
  </si>
  <si>
    <r>
      <rPr>
        <rFont val="ＭＳ Ｐゴシック"/>
        <sz val="10.0"/>
      </rPr>
      <t>紐倉</t>
    </r>
    <r>
      <rPr>
        <rFont val="Arial"/>
        <sz val="10.0"/>
      </rPr>
      <t>(</t>
    </r>
    <r>
      <rPr>
        <rFont val="ＭＳ Ｐゴシック"/>
        <sz val="10.0"/>
      </rPr>
      <t>山下智久</t>
    </r>
    <r>
      <rPr>
        <rFont val="Arial"/>
        <sz val="10.0"/>
      </rPr>
      <t>)</t>
    </r>
    <r>
      <rPr>
        <rFont val="ＭＳ Ｐゴシック"/>
        <sz val="10.0"/>
      </rPr>
      <t>は、気のむくままに好きな寄生虫の研究をしている。一方、紐倉の助手になった高家</t>
    </r>
    <r>
      <rPr>
        <rFont val="Arial"/>
        <sz val="10.0"/>
      </rPr>
      <t>(</t>
    </r>
    <r>
      <rPr>
        <rFont val="ＭＳ Ｐゴシック"/>
        <sz val="10.0"/>
      </rPr>
      <t>濱田岳</t>
    </r>
    <r>
      <rPr>
        <rFont val="Arial"/>
        <sz val="10.0"/>
      </rPr>
      <t>)</t>
    </r>
    <r>
      <rPr>
        <rFont val="ＭＳ Ｐゴシック"/>
        <sz val="10.0"/>
      </rPr>
      <t>は、早速ド</t>
    </r>
    <r>
      <rPr>
        <rFont val="Arial"/>
        <sz val="10.0"/>
      </rPr>
      <t>S</t>
    </r>
    <r>
      <rPr>
        <rFont val="ＭＳ Ｐゴシック"/>
        <sz val="10.0"/>
      </rPr>
      <t>な紐倉からいいように使われていた。ある日、感染症の疑いがある意識不明の女性について、調べてほしいと依頼が来る。その女性の血液を調べてみると、</t>
    </r>
    <r>
      <rPr>
        <rFont val="Arial"/>
        <sz val="10.0"/>
      </rPr>
      <t>“</t>
    </r>
    <r>
      <rPr>
        <rFont val="ＭＳ Ｐゴシック"/>
        <sz val="10.0"/>
      </rPr>
      <t>ハートランドウイルス</t>
    </r>
    <r>
      <rPr>
        <rFont val="Arial"/>
        <sz val="10.0"/>
      </rPr>
      <t>"</t>
    </r>
    <r>
      <rPr>
        <rFont val="ＭＳ Ｐゴシック"/>
        <sz val="10.0"/>
      </rPr>
      <t>という日本ではまだ発見例のないウイルスが検出。感染ルートを調べることに。感染女性の自宅を訪ねてみると、出てきたのは</t>
    </r>
    <r>
      <rPr>
        <rFont val="Arial"/>
        <sz val="10.0"/>
      </rPr>
      <t>9</t>
    </r>
    <r>
      <rPr>
        <rFont val="ＭＳ Ｐゴシック"/>
        <sz val="10.0"/>
      </rPr>
      <t>歳の息子・渉</t>
    </r>
    <r>
      <rPr>
        <rFont val="Arial"/>
        <sz val="10.0"/>
      </rPr>
      <t>(</t>
    </r>
    <r>
      <rPr>
        <rFont val="ＭＳ Ｐゴシック"/>
        <sz val="10.0"/>
      </rPr>
      <t>込江大牙</t>
    </r>
    <r>
      <rPr>
        <rFont val="Arial"/>
        <sz val="10.0"/>
      </rPr>
      <t>)</t>
    </r>
    <r>
      <rPr>
        <rFont val="ＭＳ Ｐゴシック"/>
        <sz val="10.0"/>
      </rPr>
      <t>だった。母親について話を聞くが、渉には心当たりはないようで。そんな中、新たな感染者が</t>
    </r>
    <r>
      <rPr>
        <rFont val="Arial"/>
        <sz val="10.0"/>
      </rPr>
      <t>!</t>
    </r>
    <r>
      <rPr>
        <rFont val="ＭＳ Ｐゴシック"/>
        <sz val="10.0"/>
      </rPr>
      <t>情報を聞きつけた牧野巴</t>
    </r>
    <r>
      <rPr>
        <rFont val="Arial"/>
        <sz val="10.0"/>
      </rPr>
      <t>(</t>
    </r>
    <r>
      <rPr>
        <rFont val="ＭＳ Ｐゴシック"/>
        <sz val="10.0"/>
      </rPr>
      <t>菜々緒</t>
    </r>
    <r>
      <rPr>
        <rFont val="Arial"/>
        <sz val="10.0"/>
      </rPr>
      <t>)</t>
    </r>
    <r>
      <rPr>
        <rFont val="ＭＳ Ｐゴシック"/>
        <sz val="10.0"/>
      </rPr>
      <t>が、紐倉たちの元へ。再び</t>
    </r>
    <r>
      <rPr>
        <rFont val="Arial"/>
        <sz val="10.0"/>
      </rPr>
      <t>3</t>
    </r>
    <r>
      <rPr>
        <rFont val="ＭＳ Ｐゴシック"/>
        <sz val="10.0"/>
      </rPr>
      <t>人で力を合わせて問題解決に挑んでいく中で、予想外の事実が明らかになり。</t>
    </r>
    <r>
      <rPr>
        <rFont val="ＭＳ Ｐゴシック"/>
        <sz val="10.0"/>
      </rPr>
      <t>。</t>
    </r>
  </si>
  <si>
    <t>番組名金曜ドラマ「インハンド」　第3話【謎の美容団体で起きた連続不審死!】</t>
  </si>
  <si>
    <r>
      <rPr>
        <rFont val="ＭＳ Ｐゴシック"/>
        <sz val="10.0"/>
      </rPr>
      <t>寄生虫学者・紐倉哲</t>
    </r>
    <r>
      <rPr>
        <rFont val="Arial"/>
        <sz val="10.0"/>
      </rPr>
      <t>(</t>
    </r>
    <r>
      <rPr>
        <rFont val="ＭＳ Ｐゴシック"/>
        <sz val="10.0"/>
      </rPr>
      <t>山下智久</t>
    </r>
    <r>
      <rPr>
        <rFont val="Arial"/>
        <sz val="10.0"/>
      </rPr>
      <t>)</t>
    </r>
    <r>
      <rPr>
        <rFont val="ＭＳ Ｐゴシック"/>
        <sz val="10.0"/>
      </rPr>
      <t>は、巨大な植物園を改造した自宅兼研究室で、気のむくままに好きな寄生虫の研究をしている。ある日、助手の高家</t>
    </r>
    <r>
      <rPr>
        <rFont val="Arial"/>
        <sz val="10.0"/>
      </rPr>
      <t>(</t>
    </r>
    <r>
      <rPr>
        <rFont val="ＭＳ Ｐゴシック"/>
        <sz val="10.0"/>
      </rPr>
      <t>濱田岳</t>
    </r>
    <r>
      <rPr>
        <rFont val="Arial"/>
        <sz val="10.0"/>
      </rPr>
      <t>)</t>
    </r>
    <r>
      <rPr>
        <rFont val="ＭＳ Ｐゴシック"/>
        <sz val="10.0"/>
      </rPr>
      <t>を連れて、パナシアンビューティーという美容団体の</t>
    </r>
    <r>
      <rPr>
        <rFont val="Arial"/>
        <sz val="10.0"/>
      </rPr>
      <t>CEO</t>
    </r>
    <r>
      <rPr>
        <rFont val="ＭＳ Ｐゴシック"/>
        <sz val="10.0"/>
      </rPr>
      <t>を務める瀬見まき子</t>
    </r>
    <r>
      <rPr>
        <rFont val="Arial"/>
        <sz val="10.0"/>
      </rPr>
      <t>(</t>
    </r>
    <r>
      <rPr>
        <rFont val="ＭＳ Ｐゴシック"/>
        <sz val="10.0"/>
      </rPr>
      <t>観月ありさ</t>
    </r>
    <r>
      <rPr>
        <rFont val="Arial"/>
        <sz val="10.0"/>
      </rPr>
      <t>)</t>
    </r>
    <r>
      <rPr>
        <rFont val="ＭＳ Ｐゴシック"/>
        <sz val="10.0"/>
      </rPr>
      <t>の講演を聞きに行く。パナシアンビューティーでは、会員向けに「不老不死」を謳い文句にしたアンチエイジング治療が試験的に行われていた。だがその治療を受けた会員に、認知症に似た症状が現れていることが発覚。治療による副作用なのか</t>
    </r>
    <r>
      <rPr>
        <rFont val="Arial"/>
        <sz val="10.0"/>
      </rPr>
      <t>?</t>
    </r>
    <r>
      <rPr>
        <rFont val="ＭＳ Ｐゴシック"/>
        <sz val="10.0"/>
      </rPr>
      <t>疑いを持った紐倉は、高家と官僚の牧野</t>
    </r>
    <r>
      <rPr>
        <rFont val="Arial"/>
        <sz val="10.0"/>
      </rPr>
      <t>(</t>
    </r>
    <r>
      <rPr>
        <rFont val="ＭＳ Ｐゴシック"/>
        <sz val="10.0"/>
      </rPr>
      <t>菜々緒</t>
    </r>
    <r>
      <rPr>
        <rFont val="Arial"/>
        <sz val="10.0"/>
      </rPr>
      <t>)</t>
    </r>
    <r>
      <rPr>
        <rFont val="ＭＳ Ｐゴシック"/>
        <sz val="10.0"/>
      </rPr>
      <t>らと内情を調べ始める。瀬見が異常なまでに</t>
    </r>
    <r>
      <rPr>
        <rFont val="Arial"/>
        <sz val="10.0"/>
      </rPr>
      <t>“</t>
    </r>
    <r>
      <rPr>
        <rFont val="ＭＳ Ｐゴシック"/>
        <sz val="10.0"/>
      </rPr>
      <t>若さ</t>
    </r>
    <r>
      <rPr>
        <rFont val="Arial"/>
        <sz val="10.0"/>
      </rPr>
      <t>"</t>
    </r>
    <r>
      <rPr>
        <rFont val="ＭＳ Ｐゴシック"/>
        <sz val="10.0"/>
      </rPr>
      <t>に対して執着を持つのには、過去のある出来事が関係していた</t>
    </r>
    <r>
      <rPr>
        <rFont val="Arial"/>
        <sz val="10.0"/>
      </rPr>
      <t>…</t>
    </r>
    <r>
      <rPr>
        <rFont val="ＭＳ Ｐゴシック"/>
        <sz val="10.0"/>
      </rPr>
      <t>そんな中、高家に死の危機が迫る</t>
    </r>
    <r>
      <rPr>
        <rFont val="Arial"/>
        <sz val="10.0"/>
      </rPr>
      <t>…!</t>
    </r>
  </si>
  <si>
    <t>番組名金曜ドラマ「インハンド」第4話【死を予告する脅迫状!?極秘潜入捜査に乗り出す!】</t>
  </si>
  <si>
    <r>
      <rPr>
        <rFont val="ＭＳ Ｐゴシック"/>
        <sz val="10.0"/>
      </rPr>
      <t>外務事務次官・源田</t>
    </r>
    <r>
      <rPr>
        <rFont val="Arial"/>
        <sz val="10.0"/>
      </rPr>
      <t>(</t>
    </r>
    <r>
      <rPr>
        <rFont val="ＭＳ Ｐゴシック"/>
        <sz val="10.0"/>
      </rPr>
      <t>紫吹淳</t>
    </r>
    <r>
      <rPr>
        <rFont val="Arial"/>
        <sz val="10.0"/>
      </rPr>
      <t>)</t>
    </r>
    <r>
      <rPr>
        <rFont val="ＭＳ Ｐゴシック"/>
        <sz val="10.0"/>
      </rPr>
      <t>宛に「</t>
    </r>
    <r>
      <rPr>
        <rFont val="Arial"/>
        <sz val="10.0"/>
      </rPr>
      <t>“</t>
    </r>
    <r>
      <rPr>
        <rFont val="ＭＳ Ｐゴシック"/>
        <sz val="10.0"/>
      </rPr>
      <t>人を自殺させる病原体</t>
    </r>
    <r>
      <rPr>
        <rFont val="Arial"/>
        <sz val="10.0"/>
      </rPr>
      <t>"</t>
    </r>
    <r>
      <rPr>
        <rFont val="ＭＳ Ｐゴシック"/>
        <sz val="10.0"/>
      </rPr>
      <t>をバラまく」という脅迫状が届いた。脅迫状に記載のある</t>
    </r>
    <r>
      <rPr>
        <rFont val="Arial"/>
        <sz val="10.0"/>
      </rPr>
      <t>3</t>
    </r>
    <r>
      <rPr>
        <rFont val="ＭＳ Ｐゴシック"/>
        <sz val="10.0"/>
      </rPr>
      <t>人は実際に自殺や自殺未遂、行方不明になっていた。そして次のターゲットは源田の娘・恵奈</t>
    </r>
    <r>
      <rPr>
        <rFont val="Arial"/>
        <sz val="10.0"/>
      </rPr>
      <t>(</t>
    </r>
    <r>
      <rPr>
        <rFont val="ＭＳ Ｐゴシック"/>
        <sz val="10.0"/>
      </rPr>
      <t>吉川愛</t>
    </r>
    <r>
      <rPr>
        <rFont val="Arial"/>
        <sz val="10.0"/>
      </rPr>
      <t>)</t>
    </r>
    <r>
      <rPr>
        <rFont val="ＭＳ Ｐゴシック"/>
        <sz val="10.0"/>
      </rPr>
      <t>だという。</t>
    </r>
    <r>
      <rPr>
        <rFont val="Arial"/>
        <sz val="10.0"/>
      </rPr>
      <t>“</t>
    </r>
    <r>
      <rPr>
        <rFont val="ＭＳ Ｐゴシック"/>
        <sz val="10.0"/>
      </rPr>
      <t>人を自殺させる病原体</t>
    </r>
    <r>
      <rPr>
        <rFont val="Arial"/>
        <sz val="10.0"/>
      </rPr>
      <t>"</t>
    </r>
    <r>
      <rPr>
        <rFont val="ＭＳ Ｐゴシック"/>
        <sz val="10.0"/>
      </rPr>
      <t>は実在するのか、紐倉</t>
    </r>
    <r>
      <rPr>
        <rFont val="Arial"/>
        <sz val="10.0"/>
      </rPr>
      <t>(</t>
    </r>
    <r>
      <rPr>
        <rFont val="ＭＳ Ｐゴシック"/>
        <sz val="10.0"/>
      </rPr>
      <t>山下智久</t>
    </r>
    <r>
      <rPr>
        <rFont val="Arial"/>
        <sz val="10.0"/>
      </rPr>
      <t>)</t>
    </r>
    <r>
      <rPr>
        <rFont val="ＭＳ Ｐゴシック"/>
        <sz val="10.0"/>
      </rPr>
      <t>、高家</t>
    </r>
    <r>
      <rPr>
        <rFont val="Arial"/>
        <sz val="10.0"/>
      </rPr>
      <t>(</t>
    </r>
    <r>
      <rPr>
        <rFont val="ＭＳ Ｐゴシック"/>
        <sz val="10.0"/>
      </rPr>
      <t>濱田岳</t>
    </r>
    <r>
      <rPr>
        <rFont val="Arial"/>
        <sz val="10.0"/>
      </rPr>
      <t>)</t>
    </r>
    <r>
      <rPr>
        <rFont val="ＭＳ Ｐゴシック"/>
        <sz val="10.0"/>
      </rPr>
      <t>、牧野</t>
    </r>
    <r>
      <rPr>
        <rFont val="Arial"/>
        <sz val="10.0"/>
      </rPr>
      <t>(</t>
    </r>
    <r>
      <rPr>
        <rFont val="ＭＳ Ｐゴシック"/>
        <sz val="10.0"/>
      </rPr>
      <t>菜々緒</t>
    </r>
    <r>
      <rPr>
        <rFont val="Arial"/>
        <sz val="10.0"/>
      </rPr>
      <t>)</t>
    </r>
    <r>
      <rPr>
        <rFont val="ＭＳ Ｐゴシック"/>
        <sz val="10.0"/>
      </rPr>
      <t>は調査に出る。すると、</t>
    </r>
    <r>
      <rPr>
        <rFont val="Arial"/>
        <sz val="10.0"/>
      </rPr>
      <t>3</t>
    </r>
    <r>
      <rPr>
        <rFont val="ＭＳ Ｐゴシック"/>
        <sz val="10.0"/>
      </rPr>
      <t>人は恵奈の幼馴染であることが分かる。しかも、</t>
    </r>
    <r>
      <rPr>
        <rFont val="Arial"/>
        <sz val="10.0"/>
      </rPr>
      <t>4</t>
    </r>
    <r>
      <rPr>
        <rFont val="ＭＳ Ｐゴシック"/>
        <sz val="10.0"/>
      </rPr>
      <t>人は同じ治験のアルバイトをしていたことも判明。一方で、少しずつ明かされる紐倉の過去。御子柴</t>
    </r>
    <r>
      <rPr>
        <rFont val="Arial"/>
        <sz val="10.0"/>
      </rPr>
      <t>(</t>
    </r>
    <r>
      <rPr>
        <rFont val="ＭＳ Ｐゴシック"/>
        <sz val="10.0"/>
      </rPr>
      <t>藤森慎吾</t>
    </r>
    <r>
      <rPr>
        <rFont val="Arial"/>
        <sz val="10.0"/>
      </rPr>
      <t>)</t>
    </r>
    <r>
      <rPr>
        <rFont val="ＭＳ Ｐゴシック"/>
        <sz val="10.0"/>
      </rPr>
      <t>によると、</t>
    </r>
    <r>
      <rPr>
        <rFont val="Arial"/>
        <sz val="10.0"/>
      </rPr>
      <t>5</t>
    </r>
    <r>
      <rPr>
        <rFont val="ＭＳ Ｐゴシック"/>
        <sz val="10.0"/>
      </rPr>
      <t>年前まで海外の研究所で働いていたが、ある事件が原因でクビになったという。紐倉に一体何が</t>
    </r>
    <r>
      <rPr>
        <rFont val="Arial"/>
        <sz val="10.0"/>
      </rPr>
      <t>?</t>
    </r>
    <r>
      <rPr>
        <rFont val="ＭＳ Ｐゴシック"/>
        <sz val="10.0"/>
      </rPr>
      <t>そして、脳裏にフラッシュバックする過去の辛い記憶とは。</t>
    </r>
  </si>
  <si>
    <t>番組名金曜ドラマ「インハンド」　第5話【5年前に村を襲ったエボラウイルスとは?】</t>
  </si>
  <si>
    <r>
      <rPr>
        <rFont val="ＭＳ Ｐゴシック"/>
        <sz val="10.0"/>
      </rPr>
      <t>紐倉</t>
    </r>
    <r>
      <rPr>
        <rFont val="Arial"/>
        <sz val="10.0"/>
      </rPr>
      <t>(</t>
    </r>
    <r>
      <rPr>
        <rFont val="ＭＳ Ｐゴシック"/>
        <sz val="10.0"/>
      </rPr>
      <t>山下智久</t>
    </r>
    <r>
      <rPr>
        <rFont val="Arial"/>
        <sz val="10.0"/>
      </rPr>
      <t>)</t>
    </r>
    <r>
      <rPr>
        <rFont val="ＭＳ Ｐゴシック"/>
        <sz val="10.0"/>
      </rPr>
      <t>は、元助手・入谷</t>
    </r>
    <r>
      <rPr>
        <rFont val="Arial"/>
        <sz val="10.0"/>
      </rPr>
      <t>(</t>
    </r>
    <r>
      <rPr>
        <rFont val="ＭＳ Ｐゴシック"/>
        <sz val="10.0"/>
      </rPr>
      <t>松下優也</t>
    </r>
    <r>
      <rPr>
        <rFont val="Arial"/>
        <sz val="10.0"/>
      </rPr>
      <t>)</t>
    </r>
    <r>
      <rPr>
        <rFont val="ＭＳ Ｐゴシック"/>
        <sz val="10.0"/>
      </rPr>
      <t>との辛い記憶がフラッシュバックするたびに、ないはずの右手が痛む幻肢痛に苦しんでいた。一方、牧野</t>
    </r>
    <r>
      <rPr>
        <rFont val="Arial"/>
        <sz val="10.0"/>
      </rPr>
      <t>(</t>
    </r>
    <r>
      <rPr>
        <rFont val="ＭＳ Ｐゴシック"/>
        <sz val="10.0"/>
      </rPr>
      <t>菜々緒</t>
    </r>
    <r>
      <rPr>
        <rFont val="Arial"/>
        <sz val="10.0"/>
      </rPr>
      <t>)</t>
    </r>
    <r>
      <rPr>
        <rFont val="ＭＳ Ｐゴシック"/>
        <sz val="10.0"/>
      </rPr>
      <t>は高家</t>
    </r>
    <r>
      <rPr>
        <rFont val="Arial"/>
        <sz val="10.0"/>
      </rPr>
      <t>(</t>
    </r>
    <r>
      <rPr>
        <rFont val="ＭＳ Ｐゴシック"/>
        <sz val="10.0"/>
      </rPr>
      <t>濱田岳</t>
    </r>
    <r>
      <rPr>
        <rFont val="Arial"/>
        <sz val="10.0"/>
      </rPr>
      <t>)</t>
    </r>
    <r>
      <rPr>
        <rFont val="ＭＳ Ｐゴシック"/>
        <sz val="10.0"/>
      </rPr>
      <t>に、紐倉について書かれた海外の記事を見せる。『危険な実験をしていた日本人科学者</t>
    </r>
    <r>
      <rPr>
        <rFont val="Arial"/>
        <sz val="10.0"/>
      </rPr>
      <t>H</t>
    </r>
    <r>
      <rPr>
        <rFont val="ＭＳ Ｐゴシック"/>
        <sz val="10.0"/>
      </rPr>
      <t>とは</t>
    </r>
    <r>
      <rPr>
        <rFont val="Arial"/>
        <sz val="10.0"/>
      </rPr>
      <t>?</t>
    </r>
    <r>
      <rPr>
        <rFont val="ＭＳ Ｐゴシック"/>
        <sz val="10.0"/>
      </rPr>
      <t>』気になる記述が。紐倉の疑わしい過去について調べる必要があると思った牧野は、ある会社の情報を手に入れる。それはフューチャージーンという会社。</t>
    </r>
    <r>
      <rPr>
        <rFont val="Arial"/>
        <sz val="10.0"/>
      </rPr>
      <t>CEO</t>
    </r>
    <r>
      <rPr>
        <rFont val="ＭＳ Ｐゴシック"/>
        <sz val="10.0"/>
      </rPr>
      <t>は紐倉のアメリカ疫病予防管理センター時代の元上司・福山</t>
    </r>
    <r>
      <rPr>
        <rFont val="Arial"/>
        <sz val="10.0"/>
      </rPr>
      <t>(</t>
    </r>
    <r>
      <rPr>
        <rFont val="ＭＳ Ｐゴシック"/>
        <sz val="10.0"/>
      </rPr>
      <t>時任三郎</t>
    </r>
    <r>
      <rPr>
        <rFont val="Arial"/>
        <sz val="10.0"/>
      </rPr>
      <t>)</t>
    </r>
    <r>
      <rPr>
        <rFont val="ＭＳ Ｐゴシック"/>
        <sz val="10.0"/>
      </rPr>
      <t>だった。福山なら紐倉の過去を知っていると考えた牧野。福山の口から語られた紐倉の辛い過去とは。そして、ついに紐倉の義手の秘密が明らかになる</t>
    </r>
    <r>
      <rPr>
        <rFont val="Arial"/>
        <sz val="10.0"/>
      </rPr>
      <t xml:space="preserve">!  </t>
    </r>
  </si>
  <si>
    <t>番組名金曜ドラマ「インハンド」　第6話【日本陸上界のエースにドーピング疑惑!!】</t>
  </si>
  <si>
    <r>
      <rPr>
        <rFont val="ＭＳ Ｐゴシック"/>
        <sz val="10.0"/>
      </rPr>
      <t>牧野</t>
    </r>
    <r>
      <rPr>
        <rFont val="Arial"/>
        <sz val="10.0"/>
      </rPr>
      <t>(</t>
    </r>
    <r>
      <rPr>
        <rFont val="ＭＳ Ｐゴシック"/>
        <sz val="10.0"/>
      </rPr>
      <t>菜々緒</t>
    </r>
    <r>
      <rPr>
        <rFont val="Arial"/>
        <sz val="10.0"/>
      </rPr>
      <t>)</t>
    </r>
    <r>
      <rPr>
        <rFont val="ＭＳ Ｐゴシック"/>
        <sz val="10.0"/>
      </rPr>
      <t>は正式に</t>
    </r>
    <r>
      <rPr>
        <rFont val="Arial"/>
        <sz val="10.0"/>
      </rPr>
      <t>SM</t>
    </r>
    <r>
      <rPr>
        <rFont val="ＭＳ Ｐゴシック"/>
        <sz val="10.0"/>
      </rPr>
      <t>対策室のアドバイザーとなった紐倉</t>
    </r>
    <r>
      <rPr>
        <rFont val="Arial"/>
        <sz val="10.0"/>
      </rPr>
      <t>(</t>
    </r>
    <r>
      <rPr>
        <rFont val="ＭＳ Ｐゴシック"/>
        <sz val="10.0"/>
      </rPr>
      <t>山下智久</t>
    </r>
    <r>
      <rPr>
        <rFont val="Arial"/>
        <sz val="10.0"/>
      </rPr>
      <t>)</t>
    </r>
    <r>
      <rPr>
        <rFont val="ＭＳ Ｐゴシック"/>
        <sz val="10.0"/>
      </rPr>
      <t>と助手の高家</t>
    </r>
    <r>
      <rPr>
        <rFont val="Arial"/>
        <sz val="10.0"/>
      </rPr>
      <t>(</t>
    </r>
    <r>
      <rPr>
        <rFont val="ＭＳ Ｐゴシック"/>
        <sz val="10.0"/>
      </rPr>
      <t>濱田岳</t>
    </r>
    <r>
      <rPr>
        <rFont val="Arial"/>
        <sz val="10.0"/>
      </rPr>
      <t>)</t>
    </r>
    <r>
      <rPr>
        <rFont val="ＭＳ Ｐゴシック"/>
        <sz val="10.0"/>
      </rPr>
      <t>を対策室のメンバーに紹介する。網野</t>
    </r>
    <r>
      <rPr>
        <rFont val="Arial"/>
        <sz val="10.0"/>
      </rPr>
      <t>(</t>
    </r>
    <r>
      <rPr>
        <rFont val="ＭＳ Ｐゴシック"/>
        <sz val="10.0"/>
      </rPr>
      <t>光石研</t>
    </r>
    <r>
      <rPr>
        <rFont val="Arial"/>
        <sz val="10.0"/>
      </rPr>
      <t>)</t>
    </r>
    <r>
      <rPr>
        <rFont val="ＭＳ Ｐゴシック"/>
        <sz val="10.0"/>
      </rPr>
      <t>は早速、紐倉に国民栄誉賞が検討されている日本陸上界のエース・野桐</t>
    </r>
    <r>
      <rPr>
        <rFont val="Arial"/>
        <sz val="10.0"/>
      </rPr>
      <t>(</t>
    </r>
    <r>
      <rPr>
        <rFont val="ＭＳ Ｐゴシック"/>
        <sz val="10.0"/>
      </rPr>
      <t>清原翔</t>
    </r>
    <r>
      <rPr>
        <rFont val="Arial"/>
        <sz val="10.0"/>
      </rPr>
      <t>)</t>
    </r>
    <r>
      <rPr>
        <rFont val="ＭＳ Ｐゴシック"/>
        <sz val="10.0"/>
      </rPr>
      <t>のドーピング疑惑について調べてほしいという。疑惑の真相を探るため、練習中の野桐に会いに行く。陸上界の異端児と言われるだけあって、レース前後に野獣のような雄叫びをあげたり、謎のダンスを踊るなど、謎めいた行動が多い。変人な上に傲慢な性格で、紐倉にも執拗に突っかかる。そんな中、紐倉は野桐の</t>
    </r>
    <r>
      <rPr>
        <rFont val="Arial"/>
        <sz val="10.0"/>
      </rPr>
      <t>“</t>
    </r>
    <r>
      <rPr>
        <rFont val="ＭＳ Ｐゴシック"/>
        <sz val="10.0"/>
      </rPr>
      <t>ルーティン</t>
    </r>
    <r>
      <rPr>
        <rFont val="Arial"/>
        <sz val="10.0"/>
      </rPr>
      <t>"</t>
    </r>
    <r>
      <rPr>
        <rFont val="ＭＳ Ｐゴシック"/>
        <sz val="10.0"/>
      </rPr>
      <t>に目を付ける。紐倉は、さらに詳しく調べるため、野桐の高地トレーニングを観察する。</t>
    </r>
  </si>
  <si>
    <t>番組名金曜ドラマ「インハンド」　第7話【難病に苦しむ牧野の娘…母の苦悩と選択】</t>
  </si>
  <si>
    <r>
      <rPr>
        <rFont val="ＭＳ Ｐゴシック"/>
        <sz val="10.0"/>
      </rPr>
      <t>牧野</t>
    </r>
    <r>
      <rPr>
        <rFont val="Arial"/>
        <sz val="10.0"/>
      </rPr>
      <t>(</t>
    </r>
    <r>
      <rPr>
        <rFont val="ＭＳ Ｐゴシック"/>
        <sz val="10.0"/>
      </rPr>
      <t>菜々緒</t>
    </r>
    <r>
      <rPr>
        <rFont val="Arial"/>
        <sz val="10.0"/>
      </rPr>
      <t>)</t>
    </r>
    <r>
      <rPr>
        <rFont val="ＭＳ Ｐゴシック"/>
        <sz val="10.0"/>
      </rPr>
      <t>に娘がいることを知った紐倉</t>
    </r>
    <r>
      <rPr>
        <rFont val="Arial"/>
        <sz val="10.0"/>
      </rPr>
      <t>(</t>
    </r>
    <r>
      <rPr>
        <rFont val="ＭＳ Ｐゴシック"/>
        <sz val="10.0"/>
      </rPr>
      <t>山下智久</t>
    </r>
    <r>
      <rPr>
        <rFont val="Arial"/>
        <sz val="10.0"/>
      </rPr>
      <t>)</t>
    </r>
    <r>
      <rPr>
        <rFont val="ＭＳ Ｐゴシック"/>
        <sz val="10.0"/>
      </rPr>
      <t>と高家</t>
    </r>
    <r>
      <rPr>
        <rFont val="Arial"/>
        <sz val="10.0"/>
      </rPr>
      <t>(</t>
    </r>
    <r>
      <rPr>
        <rFont val="ＭＳ Ｐゴシック"/>
        <sz val="10.0"/>
      </rPr>
      <t>濱田岳</t>
    </r>
    <r>
      <rPr>
        <rFont val="Arial"/>
        <sz val="10.0"/>
      </rPr>
      <t>)</t>
    </r>
    <r>
      <rPr>
        <rFont val="ＭＳ Ｐゴシック"/>
        <sz val="10.0"/>
      </rPr>
      <t>は、入院している牧野の娘・美香</t>
    </r>
    <r>
      <rPr>
        <rFont val="Arial"/>
        <sz val="10.0"/>
      </rPr>
      <t>(</t>
    </r>
    <r>
      <rPr>
        <rFont val="ＭＳ Ｐゴシック"/>
        <sz val="10.0"/>
      </rPr>
      <t>吉澤梨里花</t>
    </r>
    <r>
      <rPr>
        <rFont val="Arial"/>
        <sz val="10.0"/>
      </rPr>
      <t>)</t>
    </r>
    <r>
      <rPr>
        <rFont val="ＭＳ Ｐゴシック"/>
        <sz val="10.0"/>
      </rPr>
      <t>のお見舞いに来ていた。生まれつき免疫に欠陥がある</t>
    </r>
    <r>
      <rPr>
        <rFont val="Arial"/>
        <sz val="10.0"/>
      </rPr>
      <t>PID(</t>
    </r>
    <r>
      <rPr>
        <rFont val="ＭＳ Ｐゴシック"/>
        <sz val="10.0"/>
      </rPr>
      <t>原発性免疫不全症候群</t>
    </r>
    <r>
      <rPr>
        <rFont val="Arial"/>
        <sz val="10.0"/>
      </rPr>
      <t>)</t>
    </r>
    <r>
      <rPr>
        <rFont val="ＭＳ Ｐゴシック"/>
        <sz val="10.0"/>
      </rPr>
      <t>で入院している美香。</t>
    </r>
    <r>
      <rPr>
        <rFont val="Arial"/>
        <sz val="10.0"/>
      </rPr>
      <t>PID</t>
    </r>
    <r>
      <rPr>
        <rFont val="ＭＳ Ｐゴシック"/>
        <sz val="10.0"/>
      </rPr>
      <t>の有効な治療法は骨髄移植しかないが、ドナー提供者も見つかっておらず、母親の牧野とも一致しなかったという。そして、美香の父親で牧野の夫・賢一</t>
    </r>
    <r>
      <rPr>
        <rFont val="Arial"/>
        <sz val="10.0"/>
      </rPr>
      <t>(</t>
    </r>
    <r>
      <rPr>
        <rFont val="ＭＳ Ｐゴシック"/>
        <sz val="10.0"/>
      </rPr>
      <t>永岡卓也</t>
    </r>
    <r>
      <rPr>
        <rFont val="Arial"/>
        <sz val="10.0"/>
      </rPr>
      <t>)</t>
    </r>
    <r>
      <rPr>
        <rFont val="ＭＳ Ｐゴシック"/>
        <sz val="10.0"/>
      </rPr>
      <t>はすでに他界していた</t>
    </r>
    <r>
      <rPr>
        <rFont val="Arial"/>
        <sz val="10.0"/>
      </rPr>
      <t>…</t>
    </r>
    <r>
      <rPr>
        <rFont val="ＭＳ Ｐゴシック"/>
        <sz val="10.0"/>
      </rPr>
      <t>。牧野は紐倉に美香のために</t>
    </r>
    <r>
      <rPr>
        <rFont val="Arial"/>
        <sz val="10.0"/>
      </rPr>
      <t>PID</t>
    </r>
    <r>
      <rPr>
        <rFont val="ＭＳ Ｐゴシック"/>
        <sz val="10.0"/>
      </rPr>
      <t>の治療法を見つけてほしいとお願いする。やがて紐倉は牧野がやろうとしている</t>
    </r>
    <r>
      <rPr>
        <rFont val="Arial"/>
        <sz val="10.0"/>
      </rPr>
      <t>“</t>
    </r>
    <r>
      <rPr>
        <rFont val="ＭＳ Ｐゴシック"/>
        <sz val="10.0"/>
      </rPr>
      <t>あること</t>
    </r>
    <r>
      <rPr>
        <rFont val="Arial"/>
        <sz val="10.0"/>
      </rPr>
      <t>"</t>
    </r>
    <r>
      <rPr>
        <rFont val="ＭＳ Ｐゴシック"/>
        <sz val="10.0"/>
      </rPr>
      <t>に気づく。紐倉は</t>
    </r>
    <r>
      <rPr>
        <rFont val="Arial"/>
        <sz val="10.0"/>
      </rPr>
      <t>PID</t>
    </r>
    <r>
      <rPr>
        <rFont val="ＭＳ Ｐゴシック"/>
        <sz val="10.0"/>
      </rPr>
      <t>の研究を始めるため、元上司の福山</t>
    </r>
    <r>
      <rPr>
        <rFont val="Arial"/>
        <sz val="10.0"/>
      </rPr>
      <t>(</t>
    </r>
    <r>
      <rPr>
        <rFont val="ＭＳ Ｐゴシック"/>
        <sz val="10.0"/>
      </rPr>
      <t>時任三郎</t>
    </r>
    <r>
      <rPr>
        <rFont val="Arial"/>
        <sz val="10.0"/>
      </rPr>
      <t>)</t>
    </r>
    <r>
      <rPr>
        <rFont val="ＭＳ Ｐゴシック"/>
        <sz val="10.0"/>
      </rPr>
      <t>に協力を仰ぐが</t>
    </r>
    <r>
      <rPr>
        <rFont val="Arial"/>
        <sz val="10.0"/>
      </rPr>
      <t>…</t>
    </r>
    <r>
      <rPr>
        <rFont val="ＭＳ Ｐゴシック"/>
        <sz val="10.0"/>
      </rPr>
      <t>。</t>
    </r>
  </si>
  <si>
    <t>番組名金曜ドラマ「インハンド」第8話【死を招く呪いのポスター自殺の原因は“鬼の血"?】</t>
  </si>
  <si>
    <r>
      <rPr>
        <rFont val="ＭＳ Ｐゴシック"/>
        <sz val="10.0"/>
      </rPr>
      <t>紐倉</t>
    </r>
    <r>
      <rPr>
        <rFont val="Arial"/>
        <sz val="10.0"/>
      </rPr>
      <t>(</t>
    </r>
    <r>
      <rPr>
        <rFont val="ＭＳ Ｐゴシック"/>
        <sz val="10.0"/>
      </rPr>
      <t>山下智久</t>
    </r>
    <r>
      <rPr>
        <rFont val="Arial"/>
        <sz val="10.0"/>
      </rPr>
      <t>)</t>
    </r>
    <r>
      <rPr>
        <rFont val="ＭＳ Ｐゴシック"/>
        <sz val="10.0"/>
      </rPr>
      <t>は、最近</t>
    </r>
    <r>
      <rPr>
        <rFont val="Arial"/>
        <sz val="10.0"/>
      </rPr>
      <t>SNS</t>
    </r>
    <r>
      <rPr>
        <rFont val="ＭＳ Ｐゴシック"/>
        <sz val="10.0"/>
      </rPr>
      <t>で話題の</t>
    </r>
    <r>
      <rPr>
        <rFont val="Arial"/>
        <sz val="10.0"/>
      </rPr>
      <t>“</t>
    </r>
    <r>
      <rPr>
        <rFont val="ＭＳ Ｐゴシック"/>
        <sz val="10.0"/>
      </rPr>
      <t>呪いの血のポスター</t>
    </r>
    <r>
      <rPr>
        <rFont val="Arial"/>
        <sz val="10.0"/>
      </rPr>
      <t>"</t>
    </r>
    <r>
      <rPr>
        <rFont val="ＭＳ Ｐゴシック"/>
        <sz val="10.0"/>
      </rPr>
      <t>に興味を持つ。それは園川務</t>
    </r>
    <r>
      <rPr>
        <rFont val="Arial"/>
        <sz val="10.0"/>
      </rPr>
      <t>(</t>
    </r>
    <r>
      <rPr>
        <rFont val="ＭＳ Ｐゴシック"/>
        <sz val="10.0"/>
      </rPr>
      <t>柄本明</t>
    </r>
    <r>
      <rPr>
        <rFont val="Arial"/>
        <sz val="10.0"/>
      </rPr>
      <t>)</t>
    </r>
    <r>
      <rPr>
        <rFont val="ＭＳ Ｐゴシック"/>
        <sz val="10.0"/>
      </rPr>
      <t>が会長を務める巨大企業キガシマのポスターで、息子であり後継者候補の直継</t>
    </r>
    <r>
      <rPr>
        <rFont val="Arial"/>
        <sz val="10.0"/>
      </rPr>
      <t>(</t>
    </r>
    <r>
      <rPr>
        <rFont val="ＭＳ Ｐゴシック"/>
        <sz val="10.0"/>
      </rPr>
      <t>夙川アトム</t>
    </r>
    <r>
      <rPr>
        <rFont val="Arial"/>
        <sz val="10.0"/>
      </rPr>
      <t>)</t>
    </r>
    <r>
      <rPr>
        <rFont val="ＭＳ Ｐゴシック"/>
        <sz val="10.0"/>
      </rPr>
      <t>が飛び降り自殺をしたことが発端だった。モデルの頭部が血のように赤く染められた</t>
    </r>
    <r>
      <rPr>
        <rFont val="Arial"/>
        <sz val="10.0"/>
      </rPr>
      <t>“</t>
    </r>
    <r>
      <rPr>
        <rFont val="ＭＳ Ｐゴシック"/>
        <sz val="10.0"/>
      </rPr>
      <t>呪いの血のポスター</t>
    </r>
    <r>
      <rPr>
        <rFont val="Arial"/>
        <sz val="10.0"/>
      </rPr>
      <t>"</t>
    </r>
    <r>
      <rPr>
        <rFont val="ＭＳ Ｐゴシック"/>
        <sz val="10.0"/>
      </rPr>
      <t>は、直継の自殺と関係しているのか</t>
    </r>
    <r>
      <rPr>
        <rFont val="Arial"/>
        <sz val="10.0"/>
      </rPr>
      <t>?</t>
    </r>
    <r>
      <rPr>
        <rFont val="ＭＳ Ｐゴシック"/>
        <sz val="10.0"/>
      </rPr>
      <t xml:space="preserve">　紐倉は、高家</t>
    </r>
    <r>
      <rPr>
        <rFont val="Arial"/>
        <sz val="10.0"/>
      </rPr>
      <t>(</t>
    </r>
    <r>
      <rPr>
        <rFont val="ＭＳ Ｐゴシック"/>
        <sz val="10.0"/>
      </rPr>
      <t>濱田岳</t>
    </r>
    <r>
      <rPr>
        <rFont val="Arial"/>
        <sz val="10.0"/>
      </rPr>
      <t>)</t>
    </r>
    <r>
      <rPr>
        <rFont val="ＭＳ Ｐゴシック"/>
        <sz val="10.0"/>
      </rPr>
      <t>、牧野</t>
    </r>
    <r>
      <rPr>
        <rFont val="Arial"/>
        <sz val="10.0"/>
      </rPr>
      <t>(</t>
    </r>
    <r>
      <rPr>
        <rFont val="ＭＳ Ｐゴシック"/>
        <sz val="10.0"/>
      </rPr>
      <t>菜々緒</t>
    </r>
    <r>
      <rPr>
        <rFont val="Arial"/>
        <sz val="10.0"/>
      </rPr>
      <t>)</t>
    </r>
    <r>
      <rPr>
        <rFont val="ＭＳ Ｐゴシック"/>
        <sz val="10.0"/>
      </rPr>
      <t>と共に自殺の真相を調べる。そんな中、三人の前に、経産省のアドバイザー遠藤匡晃</t>
    </r>
    <r>
      <rPr>
        <rFont val="Arial"/>
        <sz val="10.0"/>
      </rPr>
      <t>(</t>
    </r>
    <r>
      <rPr>
        <rFont val="ＭＳ Ｐゴシック"/>
        <sz val="10.0"/>
      </rPr>
      <t>要潤</t>
    </r>
    <r>
      <rPr>
        <rFont val="Arial"/>
        <sz val="10.0"/>
      </rPr>
      <t>)</t>
    </r>
    <r>
      <rPr>
        <rFont val="ＭＳ Ｐゴシック"/>
        <sz val="10.0"/>
      </rPr>
      <t>が現れる。遠藤は紐倉の大学の同期で、偶然にも同じ事件を調べていた。紐倉たちは、園川家に伝わる</t>
    </r>
    <r>
      <rPr>
        <rFont val="Arial"/>
        <sz val="10.0"/>
      </rPr>
      <t>“</t>
    </r>
    <r>
      <rPr>
        <rFont val="ＭＳ Ｐゴシック"/>
        <sz val="10.0"/>
      </rPr>
      <t>鬼の血</t>
    </r>
    <r>
      <rPr>
        <rFont val="Arial"/>
        <sz val="10.0"/>
      </rPr>
      <t>"</t>
    </r>
    <r>
      <rPr>
        <rFont val="ＭＳ Ｐゴシック"/>
        <sz val="10.0"/>
      </rPr>
      <t>伝説に辿り着く。鬼の血の伝説とは一体</t>
    </r>
    <r>
      <rPr>
        <rFont val="Arial"/>
        <sz val="10.0"/>
      </rPr>
      <t>?</t>
    </r>
    <r>
      <rPr>
        <rFont val="ＭＳ Ｐゴシック"/>
        <sz val="10.0"/>
      </rPr>
      <t xml:space="preserve">　驚きの事実が明らかに。</t>
    </r>
  </si>
  <si>
    <t>番組名金曜ドラマ「インハンド」第9話【故郷の恩師に命の危機が!病院の黒い陰謀を暴け】</t>
  </si>
  <si>
    <r>
      <rPr>
        <rFont val="ＭＳ Ｐゴシック"/>
        <sz val="10.0"/>
      </rPr>
      <t>紐倉</t>
    </r>
    <r>
      <rPr>
        <rFont val="Arial"/>
        <sz val="10.0"/>
      </rPr>
      <t>(</t>
    </r>
    <r>
      <rPr>
        <rFont val="ＭＳ Ｐゴシック"/>
        <sz val="10.0"/>
      </rPr>
      <t>山下智久</t>
    </r>
    <r>
      <rPr>
        <rFont val="Arial"/>
        <sz val="10.0"/>
      </rPr>
      <t>)</t>
    </r>
    <r>
      <rPr>
        <rFont val="ＭＳ Ｐゴシック"/>
        <sz val="10.0"/>
      </rPr>
      <t>の研究所に、高家</t>
    </r>
    <r>
      <rPr>
        <rFont val="Arial"/>
        <sz val="10.0"/>
      </rPr>
      <t>(</t>
    </r>
    <r>
      <rPr>
        <rFont val="ＭＳ Ｐゴシック"/>
        <sz val="10.0"/>
      </rPr>
      <t>濱田岳</t>
    </r>
    <r>
      <rPr>
        <rFont val="Arial"/>
        <sz val="10.0"/>
      </rPr>
      <t>)</t>
    </r>
    <r>
      <rPr>
        <rFont val="ＭＳ Ｐゴシック"/>
        <sz val="10.0"/>
      </rPr>
      <t>の母・良子</t>
    </r>
    <r>
      <rPr>
        <rFont val="Arial"/>
        <sz val="10.0"/>
      </rPr>
      <t>(</t>
    </r>
    <r>
      <rPr>
        <rFont val="ＭＳ Ｐゴシック"/>
        <sz val="10.0"/>
      </rPr>
      <t>宮崎美子</t>
    </r>
    <r>
      <rPr>
        <rFont val="Arial"/>
        <sz val="10.0"/>
      </rPr>
      <t>)</t>
    </r>
    <r>
      <rPr>
        <rFont val="ＭＳ Ｐゴシック"/>
        <sz val="10.0"/>
      </rPr>
      <t>がやって来る。高家は昔から恩師として尊敬している医師・陽子</t>
    </r>
    <r>
      <rPr>
        <rFont val="Arial"/>
        <sz val="10.0"/>
      </rPr>
      <t>(</t>
    </r>
    <r>
      <rPr>
        <rFont val="ＭＳ Ｐゴシック"/>
        <sz val="10.0"/>
      </rPr>
      <t>市毛良枝</t>
    </r>
    <r>
      <rPr>
        <rFont val="Arial"/>
        <sz val="10.0"/>
      </rPr>
      <t>)</t>
    </r>
    <r>
      <rPr>
        <rFont val="ＭＳ Ｐゴシック"/>
        <sz val="10.0"/>
      </rPr>
      <t>が入院していることを知る。入院先は高家が懲戒解雇された台田病院だった。意識も不明瞭な状態が続いているが、きちんとした治療が施されていない。しかも担当医は高家に懲戒解雇を言い渡した黒野院長</t>
    </r>
    <r>
      <rPr>
        <rFont val="Arial"/>
        <sz val="10.0"/>
      </rPr>
      <t>(</t>
    </r>
    <r>
      <rPr>
        <rFont val="ＭＳ Ｐゴシック"/>
        <sz val="10.0"/>
      </rPr>
      <t>正名僕蔵</t>
    </r>
    <r>
      <rPr>
        <rFont val="Arial"/>
        <sz val="10.0"/>
      </rPr>
      <t>)</t>
    </r>
    <r>
      <rPr>
        <rFont val="ＭＳ Ｐゴシック"/>
        <sz val="10.0"/>
      </rPr>
      <t>。黒野が何か隠していると確信した高家は、紐倉と共に調査に乗り出す。一方で、牧野</t>
    </r>
    <r>
      <rPr>
        <rFont val="Arial"/>
        <sz val="10.0"/>
      </rPr>
      <t>(</t>
    </r>
    <r>
      <rPr>
        <rFont val="ＭＳ Ｐゴシック"/>
        <sz val="10.0"/>
      </rPr>
      <t>菜々緒</t>
    </r>
    <r>
      <rPr>
        <rFont val="Arial"/>
        <sz val="10.0"/>
      </rPr>
      <t>)</t>
    </r>
    <r>
      <rPr>
        <rFont val="ＭＳ Ｐゴシック"/>
        <sz val="10.0"/>
      </rPr>
      <t>が働く</t>
    </r>
    <r>
      <rPr>
        <rFont val="Arial"/>
        <sz val="10.0"/>
      </rPr>
      <t>SM</t>
    </r>
    <r>
      <rPr>
        <rFont val="ＭＳ Ｐゴシック"/>
        <sz val="10.0"/>
      </rPr>
      <t>対策室では、福山</t>
    </r>
    <r>
      <rPr>
        <rFont val="Arial"/>
        <sz val="10.0"/>
      </rPr>
      <t>(</t>
    </r>
    <r>
      <rPr>
        <rFont val="ＭＳ Ｐゴシック"/>
        <sz val="10.0"/>
      </rPr>
      <t>時任三郎</t>
    </r>
    <r>
      <rPr>
        <rFont val="Arial"/>
        <sz val="10.0"/>
      </rPr>
      <t>)</t>
    </r>
    <r>
      <rPr>
        <rFont val="ＭＳ Ｐゴシック"/>
        <sz val="10.0"/>
      </rPr>
      <t>が</t>
    </r>
    <r>
      <rPr>
        <rFont val="Arial"/>
        <sz val="10.0"/>
      </rPr>
      <t>CEO</t>
    </r>
    <r>
      <rPr>
        <rFont val="ＭＳ Ｐゴシック"/>
        <sz val="10.0"/>
      </rPr>
      <t>を務めるフューチャージーンが進めている</t>
    </r>
    <r>
      <rPr>
        <rFont val="Arial"/>
        <sz val="10.0"/>
      </rPr>
      <t>“</t>
    </r>
    <r>
      <rPr>
        <rFont val="ＭＳ Ｐゴシック"/>
        <sz val="10.0"/>
      </rPr>
      <t>ある計画</t>
    </r>
    <r>
      <rPr>
        <rFont val="Arial"/>
        <sz val="10.0"/>
      </rPr>
      <t>"</t>
    </r>
    <r>
      <rPr>
        <rFont val="ＭＳ Ｐゴシック"/>
        <sz val="10.0"/>
      </rPr>
      <t>の情報を掴んでいた。調べを進めると、福山は意外な人物と密会していることが判明し</t>
    </r>
    <r>
      <rPr>
        <rFont val="Arial"/>
        <sz val="10.0"/>
      </rPr>
      <t>…</t>
    </r>
    <r>
      <rPr>
        <rFont val="ＭＳ Ｐゴシック"/>
        <sz val="10.0"/>
      </rPr>
      <t>。</t>
    </r>
  </si>
  <si>
    <t>番組名金曜ドラマ「インハンド」第10話【最終章、突入!!相羽村で謎の感染症発生!】</t>
  </si>
  <si>
    <r>
      <rPr>
        <rFont val="ＭＳ Ｐゴシック"/>
        <sz val="10.0"/>
      </rPr>
      <t>紐倉</t>
    </r>
    <r>
      <rPr>
        <rFont val="Arial"/>
        <sz val="10.0"/>
      </rPr>
      <t>(</t>
    </r>
    <r>
      <rPr>
        <rFont val="ＭＳ Ｐゴシック"/>
        <sz val="10.0"/>
      </rPr>
      <t>山下智久</t>
    </r>
    <r>
      <rPr>
        <rFont val="Arial"/>
        <sz val="10.0"/>
      </rPr>
      <t>)</t>
    </r>
    <r>
      <rPr>
        <rFont val="ＭＳ Ｐゴシック"/>
        <sz val="10.0"/>
      </rPr>
      <t>は高家</t>
    </r>
    <r>
      <rPr>
        <rFont val="Arial"/>
        <sz val="10.0"/>
      </rPr>
      <t>(</t>
    </r>
    <r>
      <rPr>
        <rFont val="ＭＳ Ｐゴシック"/>
        <sz val="10.0"/>
      </rPr>
      <t>濱田岳</t>
    </r>
    <r>
      <rPr>
        <rFont val="Arial"/>
        <sz val="10.0"/>
      </rPr>
      <t>)</t>
    </r>
    <r>
      <rPr>
        <rFont val="ＭＳ Ｐゴシック"/>
        <sz val="10.0"/>
      </rPr>
      <t>と共に、高家の故郷・相羽村を訪れる。村では、福山</t>
    </r>
    <r>
      <rPr>
        <rFont val="Arial"/>
        <sz val="10.0"/>
      </rPr>
      <t>(</t>
    </r>
    <r>
      <rPr>
        <rFont val="ＭＳ Ｐゴシック"/>
        <sz val="10.0"/>
      </rPr>
      <t>時任三郎</t>
    </r>
    <r>
      <rPr>
        <rFont val="Arial"/>
        <sz val="10.0"/>
      </rPr>
      <t>)</t>
    </r>
    <r>
      <rPr>
        <rFont val="ＭＳ Ｐゴシック"/>
        <sz val="10.0"/>
      </rPr>
      <t>が計画する危険な病原体を取り扱う科学研究室・</t>
    </r>
    <r>
      <rPr>
        <rFont val="Arial"/>
        <sz val="10.0"/>
      </rPr>
      <t>BSL4</t>
    </r>
    <r>
      <rPr>
        <rFont val="ＭＳ Ｐゴシック"/>
        <sz val="10.0"/>
      </rPr>
      <t>施設の誘致をめぐって反対運動が行われていた。自然豊かな相羽村を堪能する紐倉だったが、ある日、福山と話をするために施設の拠点となる予定地を訪れる。施設の建設をやたらと急ごうとする福山に、紐倉は疑念を抱く。そんな中、高家の幼馴染・美園</t>
    </r>
    <r>
      <rPr>
        <rFont val="Arial"/>
        <sz val="10.0"/>
      </rPr>
      <t>(</t>
    </r>
    <r>
      <rPr>
        <rFont val="ＭＳ Ｐゴシック"/>
        <sz val="10.0"/>
      </rPr>
      <t>石橋杏奈</t>
    </r>
    <r>
      <rPr>
        <rFont val="Arial"/>
        <sz val="10.0"/>
      </rPr>
      <t>)</t>
    </r>
    <r>
      <rPr>
        <rFont val="ＭＳ Ｐゴシック"/>
        <sz val="10.0"/>
      </rPr>
      <t>の父・実喜男</t>
    </r>
    <r>
      <rPr>
        <rFont val="Arial"/>
        <sz val="10.0"/>
      </rPr>
      <t>(</t>
    </r>
    <r>
      <rPr>
        <rFont val="ＭＳ Ｐゴシック"/>
        <sz val="10.0"/>
      </rPr>
      <t>中本賢</t>
    </r>
    <r>
      <rPr>
        <rFont val="Arial"/>
        <sz val="10.0"/>
      </rPr>
      <t>)</t>
    </r>
    <r>
      <rPr>
        <rFont val="ＭＳ Ｐゴシック"/>
        <sz val="10.0"/>
      </rPr>
      <t>が吐血をして倒れ、病院へ搬送される。その症状を聞いた紐倉は、エボラ出血熱の可能性を指摘。村は封鎖され、日本中を巻き込む事態へと発展する</t>
    </r>
    <r>
      <rPr>
        <rFont val="Arial"/>
        <sz val="10.0"/>
      </rPr>
      <t xml:space="preserve">!  </t>
    </r>
  </si>
  <si>
    <t>番組名金曜ドラマ「インハンド」最終話【日本中を震撼させる新型エボラ!】</t>
  </si>
  <si>
    <r>
      <rPr>
        <rFont val="ＭＳ Ｐゴシック"/>
        <sz val="10.0"/>
      </rPr>
      <t>高家</t>
    </r>
    <r>
      <rPr>
        <rFont val="Arial"/>
        <sz val="10.0"/>
      </rPr>
      <t>(</t>
    </r>
    <r>
      <rPr>
        <rFont val="ＭＳ Ｐゴシック"/>
        <sz val="10.0"/>
      </rPr>
      <t>濱田岳</t>
    </r>
    <r>
      <rPr>
        <rFont val="Arial"/>
        <sz val="10.0"/>
      </rPr>
      <t>)</t>
    </r>
    <r>
      <rPr>
        <rFont val="ＭＳ Ｐゴシック"/>
        <sz val="10.0"/>
      </rPr>
      <t>の故郷・相羽村で新型エボラウイルスが発生し、日本中を震撼させる大パニックに。高家と共に封鎖された相羽村に残った紐倉</t>
    </r>
    <r>
      <rPr>
        <rFont val="Arial"/>
        <sz val="10.0"/>
      </rPr>
      <t>(</t>
    </r>
    <r>
      <rPr>
        <rFont val="ＭＳ Ｐゴシック"/>
        <sz val="10.0"/>
      </rPr>
      <t>山下智久</t>
    </r>
    <r>
      <rPr>
        <rFont val="Arial"/>
        <sz val="10.0"/>
      </rPr>
      <t>)</t>
    </r>
    <r>
      <rPr>
        <rFont val="ＭＳ Ｐゴシック"/>
        <sz val="10.0"/>
      </rPr>
      <t>は、牧野</t>
    </r>
    <r>
      <rPr>
        <rFont val="Arial"/>
        <sz val="10.0"/>
      </rPr>
      <t>(</t>
    </r>
    <r>
      <rPr>
        <rFont val="ＭＳ Ｐゴシック"/>
        <sz val="10.0"/>
      </rPr>
      <t>菜々緒</t>
    </r>
    <r>
      <rPr>
        <rFont val="Arial"/>
        <sz val="10.0"/>
      </rPr>
      <t>)</t>
    </r>
    <r>
      <rPr>
        <rFont val="ＭＳ Ｐゴシック"/>
        <sz val="10.0"/>
      </rPr>
      <t>らと情報共有をしながら現地対策室で調査を始める。だが感染は日に日に拡大し、死者も増えていく一方だった。絶望的な状況の中、紐倉はワクチンの開発に取り掛かることに。必死に開発を進める紐倉だったが、ワクチンは完成しないままついに高家も感染してしまい</t>
    </r>
    <r>
      <rPr>
        <rFont val="Arial"/>
        <sz val="10.0"/>
      </rPr>
      <t>…</t>
    </r>
    <r>
      <rPr>
        <rFont val="ＭＳ Ｐゴシック"/>
        <sz val="10.0"/>
      </rPr>
      <t>。</t>
    </r>
  </si>
  <si>
    <t>1904_TBS_日21</t>
  </si>
  <si>
    <t>集団左遷!!</t>
  </si>
  <si>
    <t>番組名日曜劇場「集団左遷!!」初回85分拡大SP　平成最後、令和最初の下克上!</t>
  </si>
  <si>
    <r>
      <t>50</t>
    </r>
    <r>
      <rPr>
        <rFont val="ＭＳ Ｐゴシック"/>
        <sz val="10.0"/>
      </rPr>
      <t>歳目前、出向覚悟の片岡洋</t>
    </r>
    <r>
      <rPr>
        <rFont val="Arial"/>
        <sz val="10.0"/>
      </rPr>
      <t>(</t>
    </r>
    <r>
      <rPr>
        <rFont val="ＭＳ Ｐゴシック"/>
        <sz val="10.0"/>
      </rPr>
      <t>福山雅治</t>
    </r>
    <r>
      <rPr>
        <rFont val="Arial"/>
        <sz val="10.0"/>
      </rPr>
      <t>)</t>
    </r>
    <r>
      <rPr>
        <rFont val="ＭＳ Ｐゴシック"/>
        <sz val="10.0"/>
      </rPr>
      <t>にまさかの支店長人事が</t>
    </r>
    <r>
      <rPr>
        <rFont val="Arial"/>
        <sz val="10.0"/>
      </rPr>
      <t>!</t>
    </r>
    <r>
      <rPr>
        <rFont val="ＭＳ Ｐゴシック"/>
        <sz val="10.0"/>
      </rPr>
      <t>しかし、赴任先は廃店候補の蒲田支店。横山</t>
    </r>
    <r>
      <rPr>
        <rFont val="Arial"/>
        <sz val="10.0"/>
      </rPr>
      <t>(</t>
    </r>
    <r>
      <rPr>
        <rFont val="ＭＳ Ｐゴシック"/>
        <sz val="10.0"/>
      </rPr>
      <t>三上博史</t>
    </r>
    <r>
      <rPr>
        <rFont val="Arial"/>
        <sz val="10.0"/>
      </rPr>
      <t>)</t>
    </r>
    <r>
      <rPr>
        <rFont val="ＭＳ Ｐゴシック"/>
        <sz val="10.0"/>
      </rPr>
      <t>から「頑張らなくて良い。無事廃店を見届けてほしい」と言われ、困惑する片岡。サラリーマンとして初めて受けた「頑張らなくて良い」という指示、何も知らない蒲田支店の行員たちを前に片岡は葛藤する・・・。敵か味方かわからない副支店長の真山</t>
    </r>
    <r>
      <rPr>
        <rFont val="Arial"/>
        <sz val="10.0"/>
      </rPr>
      <t>(</t>
    </r>
    <r>
      <rPr>
        <rFont val="ＭＳ Ｐゴシック"/>
        <sz val="10.0"/>
      </rPr>
      <t>香川照之</t>
    </r>
    <r>
      <rPr>
        <rFont val="Arial"/>
        <sz val="10.0"/>
      </rPr>
      <t>)</t>
    </r>
    <r>
      <rPr>
        <rFont val="ＭＳ Ｐゴシック"/>
        <sz val="10.0"/>
      </rPr>
      <t>ら行員たちと、新支店長片岡の戦いが始まる</t>
    </r>
    <r>
      <rPr>
        <rFont val="Arial"/>
        <sz val="10.0"/>
      </rPr>
      <t>!</t>
    </r>
  </si>
  <si>
    <t>番組名日曜劇場「集団左遷!!」第2話　逆転不可能に挑め!ダメ社員たちの奇策</t>
  </si>
  <si>
    <r>
      <rPr>
        <rFont val="ＭＳ Ｐゴシック"/>
        <sz val="10.0"/>
      </rPr>
      <t>横山常務</t>
    </r>
    <r>
      <rPr>
        <rFont val="Arial"/>
        <sz val="10.0"/>
      </rPr>
      <t>(</t>
    </r>
    <r>
      <rPr>
        <rFont val="ＭＳ Ｐゴシック"/>
        <sz val="10.0"/>
      </rPr>
      <t>三上博史</t>
    </r>
    <r>
      <rPr>
        <rFont val="Arial"/>
        <sz val="10.0"/>
      </rPr>
      <t>)</t>
    </r>
    <r>
      <rPr>
        <rFont val="ＭＳ Ｐゴシック"/>
        <sz val="10.0"/>
      </rPr>
      <t>に頑張るなと言われた片岡</t>
    </r>
    <r>
      <rPr>
        <rFont val="Arial"/>
        <sz val="10.0"/>
      </rPr>
      <t>(</t>
    </r>
    <r>
      <rPr>
        <rFont val="ＭＳ Ｐゴシック"/>
        <sz val="10.0"/>
      </rPr>
      <t>福山雅治</t>
    </r>
    <r>
      <rPr>
        <rFont val="Arial"/>
        <sz val="10.0"/>
      </rPr>
      <t>)</t>
    </r>
    <r>
      <rPr>
        <rFont val="ＭＳ Ｐゴシック"/>
        <sz val="10.0"/>
      </rPr>
      <t>だったが、部下の頑張る姿を見て黙ってはいられなかった。しかし、片岡のその行動が、巨大組織の逆鱗に触れることになる。片岡に対して敵意むき出しの蒲田支店メンバーは、一向にまとまる気配を見せず・・・そして、ノルマ達成の為にやっとの想いで勝ち取った融資さえも、本部の邪魔がはいる</t>
    </r>
    <r>
      <rPr>
        <rFont val="Arial"/>
        <sz val="10.0"/>
      </rPr>
      <t>!?</t>
    </r>
    <r>
      <rPr>
        <rFont val="ＭＳ Ｐゴシック"/>
        <sz val="10.0"/>
      </rPr>
      <t>早くも絶体絶命の蒲田支店は廃店を免れるのか</t>
    </r>
    <r>
      <rPr>
        <rFont val="Arial"/>
        <sz val="10.0"/>
      </rPr>
      <t>!?</t>
    </r>
  </si>
  <si>
    <t>番組名日曜劇場「集団左遷!!」第3話　絶体絶命大ピンチ!裏切り者は誰だ!?</t>
  </si>
  <si>
    <t>['#1', '#2']</t>
  </si>
  <si>
    <r>
      <rPr>
        <rFont val="ＭＳ Ｐゴシック"/>
        <sz val="10.0"/>
      </rPr>
      <t>支店に現れた横山</t>
    </r>
    <r>
      <rPr>
        <rFont val="Arial"/>
        <sz val="10.0"/>
      </rPr>
      <t>(</t>
    </r>
    <r>
      <rPr>
        <rFont val="ＭＳ Ｐゴシック"/>
        <sz val="10.0"/>
      </rPr>
      <t>三上博史</t>
    </r>
    <r>
      <rPr>
        <rFont val="Arial"/>
        <sz val="10.0"/>
      </rPr>
      <t>)</t>
    </r>
    <r>
      <rPr>
        <rFont val="ＭＳ Ｐゴシック"/>
        <sz val="10.0"/>
      </rPr>
      <t>は、支店を見まわし片岡を見据える。突然の来訪に戸惑う片岡たちだが、帰り際に初対面のはずの真山</t>
    </r>
    <r>
      <rPr>
        <rFont val="Arial"/>
        <sz val="10.0"/>
      </rPr>
      <t>(</t>
    </r>
    <r>
      <rPr>
        <rFont val="ＭＳ Ｐゴシック"/>
        <sz val="10.0"/>
      </rPr>
      <t>香川照之</t>
    </r>
    <r>
      <rPr>
        <rFont val="Arial"/>
        <sz val="10.0"/>
      </rPr>
      <t>)</t>
    </r>
    <r>
      <rPr>
        <rFont val="ＭＳ Ｐゴシック"/>
        <sz val="10.0"/>
      </rPr>
      <t>が横山と親しげに話しているのを目撃する。支店の情報が洩れていると感じていた滝川</t>
    </r>
    <r>
      <rPr>
        <rFont val="Arial"/>
        <sz val="10.0"/>
      </rPr>
      <t>(</t>
    </r>
    <r>
      <rPr>
        <rFont val="ＭＳ Ｐゴシック"/>
        <sz val="10.0"/>
      </rPr>
      <t>神木隆之介</t>
    </r>
    <r>
      <rPr>
        <rFont val="Arial"/>
        <sz val="10.0"/>
      </rPr>
      <t>)</t>
    </r>
    <r>
      <rPr>
        <rFont val="ＭＳ Ｐゴシック"/>
        <sz val="10.0"/>
      </rPr>
      <t>は真山がスパイではないかと問い詰める。そんな中、真山の担当企業から融資の依頼が舞い込んでくる。蒲田存続に一気に近づくかに思われたが・・・</t>
    </r>
  </si>
  <si>
    <t>番組名日曜劇場「集団左遷!!」第4話　遂にリストラ決定!?土壇場支店の結末!!</t>
  </si>
  <si>
    <r>
      <rPr>
        <rFont val="ＭＳ Ｐゴシック"/>
        <sz val="10.0"/>
      </rPr>
      <t>度重なる銀行本部の嫌がらせにも屈することなく快進撃を続ける蒲田支店に新たな融資の相談が舞い込んでくる。慎重に進める片岡たちだが・・・そして、新たに本部の総攻撃が始まる</t>
    </r>
    <r>
      <rPr>
        <rFont val="Arial"/>
        <sz val="10.0"/>
      </rPr>
      <t>!?</t>
    </r>
    <r>
      <rPr>
        <rFont val="ＭＳ Ｐゴシック"/>
        <sz val="10.0"/>
      </rPr>
      <t>崩壊寸前の蒲田支店、果たして支店長は仲間を守れるのか</t>
    </r>
    <r>
      <rPr>
        <rFont val="Arial"/>
        <sz val="10.0"/>
      </rPr>
      <t>!?</t>
    </r>
    <r>
      <rPr>
        <rFont val="ＭＳ Ｐゴシック"/>
        <sz val="10.0"/>
      </rPr>
      <t>支店</t>
    </r>
    <r>
      <rPr>
        <rFont val="Arial"/>
        <sz val="10.0"/>
      </rPr>
      <t>VS</t>
    </r>
    <r>
      <rPr>
        <rFont val="ＭＳ Ｐゴシック"/>
        <sz val="10.0"/>
      </rPr>
      <t>銀行本部、支店長</t>
    </r>
    <r>
      <rPr>
        <rFont val="Arial"/>
        <sz val="10.0"/>
      </rPr>
      <t>VS</t>
    </r>
    <r>
      <rPr>
        <rFont val="ＭＳ Ｐゴシック"/>
        <sz val="10.0"/>
      </rPr>
      <t>横山常務、戦いは終盤戦へと進んでいく</t>
    </r>
    <r>
      <rPr>
        <rFont val="Arial"/>
        <sz val="10.0"/>
      </rPr>
      <t>!?</t>
    </r>
    <r>
      <rPr>
        <rFont val="ＭＳ Ｐゴシック"/>
        <sz val="10.0"/>
      </rPr>
      <t>仲間との絆、銀行員としてのプライド、想いを胸に、ノルマ達成に向けて突き進んでいく</t>
    </r>
    <r>
      <rPr>
        <rFont val="Arial"/>
        <sz val="10.0"/>
      </rPr>
      <t>!</t>
    </r>
    <r>
      <rPr>
        <rFont val="ＭＳ Ｐゴシック"/>
        <sz val="10.0"/>
      </rPr>
      <t>果たして結果は・・・</t>
    </r>
  </si>
  <si>
    <t>番組名日曜劇場「集団左遷!!」第5話　さらば、愛しの男!?前代未聞の大失敗!!</t>
  </si>
  <si>
    <r>
      <rPr>
        <rFont val="ＭＳ Ｐゴシック"/>
        <sz val="10.0"/>
      </rPr>
      <t>廃店決定まであと二か月。三嶋から自社ビルの相談を受けて一気にノルマ達成が見えてきた蒲田支店。しかし、本部はまたしても攻撃を仕掛けてくる。蒲田支店</t>
    </r>
    <r>
      <rPr>
        <rFont val="Arial"/>
        <sz val="10.0"/>
      </rPr>
      <t>VS</t>
    </r>
    <r>
      <rPr>
        <rFont val="ＭＳ Ｐゴシック"/>
        <sz val="10.0"/>
      </rPr>
      <t>銀行本部、支店を守る為、仲間を守る為戦う片岡、銀行の大義の為リストラを続ける本部。いよいよ最終決戦に突入する</t>
    </r>
    <r>
      <rPr>
        <rFont val="Arial"/>
        <sz val="10.0"/>
      </rPr>
      <t xml:space="preserve">!  </t>
    </r>
  </si>
  <si>
    <t>番組名日曜劇場「集団左遷!!」第6話　全員リストラ決定!?支店長最後の大選択!</t>
  </si>
  <si>
    <r>
      <rPr>
        <rFont val="ＭＳ Ｐゴシック"/>
        <sz val="10.0"/>
      </rPr>
      <t>蒲田支店廃店決定まで残り一か月を切った。最後まで死力を尽くす蒲田支店の行員たち。果たして奇跡は起きるのか</t>
    </r>
    <r>
      <rPr>
        <rFont val="Arial"/>
        <sz val="10.0"/>
      </rPr>
      <t>!?</t>
    </r>
    <r>
      <rPr>
        <rFont val="ＭＳ Ｐゴシック"/>
        <sz val="10.0"/>
      </rPr>
      <t>働くことの尊さ、会社員としてのプライド、仲間との絆、守らなければならない信念、それぞれの想いを胸に蒲田支店メンバーは未来を信じ続ける。そして、運命の結末を迎える・・・</t>
    </r>
  </si>
  <si>
    <t>番組名日曜劇場「集団左遷!!」第7話　本部編始動!巨大な上層部の悪事を暴け</t>
  </si>
  <si>
    <r>
      <rPr>
        <rFont val="ＭＳ Ｐゴシック"/>
        <sz val="10.0"/>
      </rPr>
      <t>三友銀行融資部に異動になった片岡</t>
    </r>
    <r>
      <rPr>
        <rFont val="Arial"/>
        <sz val="10.0"/>
      </rPr>
      <t>(</t>
    </r>
    <r>
      <rPr>
        <rFont val="ＭＳ Ｐゴシック"/>
        <sz val="10.0"/>
      </rPr>
      <t>福山雅治</t>
    </r>
    <r>
      <rPr>
        <rFont val="Arial"/>
        <sz val="10.0"/>
      </rPr>
      <t>)</t>
    </r>
    <r>
      <rPr>
        <rFont val="ＭＳ Ｐゴシック"/>
        <sz val="10.0"/>
      </rPr>
      <t>。横山のさらなるリストラ計画を目の当たりにする。そんな中、融資先の</t>
    </r>
    <r>
      <rPr>
        <rFont val="Arial"/>
        <sz val="10.0"/>
      </rPr>
      <t>CEO</t>
    </r>
    <r>
      <rPr>
        <rFont val="ＭＳ Ｐゴシック"/>
        <sz val="10.0"/>
      </rPr>
      <t>が逮捕され、三友の経営が揺るがされる事態に。そこへ提案される副社長</t>
    </r>
    <r>
      <rPr>
        <rFont val="Arial"/>
        <sz val="10.0"/>
      </rPr>
      <t>(</t>
    </r>
    <r>
      <rPr>
        <rFont val="ＭＳ Ｐゴシック"/>
        <sz val="10.0"/>
      </rPr>
      <t>筒井道隆</t>
    </r>
    <r>
      <rPr>
        <rFont val="Arial"/>
        <sz val="10.0"/>
      </rPr>
      <t>)</t>
    </r>
    <r>
      <rPr>
        <rFont val="ＭＳ Ｐゴシック"/>
        <sz val="10.0"/>
      </rPr>
      <t>を解任し、父親である会長</t>
    </r>
    <r>
      <rPr>
        <rFont val="Arial"/>
        <sz val="10.0"/>
      </rPr>
      <t>(</t>
    </r>
    <r>
      <rPr>
        <rFont val="ＭＳ Ｐゴシック"/>
        <sz val="10.0"/>
      </rPr>
      <t>本田博太郎</t>
    </r>
    <r>
      <rPr>
        <rFont val="Arial"/>
        <sz val="10.0"/>
      </rPr>
      <t>)</t>
    </r>
    <r>
      <rPr>
        <rFont val="ＭＳ Ｐゴシック"/>
        <sz val="10.0"/>
      </rPr>
      <t>が返り咲くという横山のからの秘策</t>
    </r>
    <r>
      <rPr>
        <rFont val="Arial"/>
        <sz val="10.0"/>
      </rPr>
      <t>!?</t>
    </r>
    <r>
      <rPr>
        <rFont val="ＭＳ Ｐゴシック"/>
        <sz val="10.0"/>
      </rPr>
      <t>しかしその秘策に懐疑的な片岡・・・銀行員としてのプライド</t>
    </r>
    <r>
      <rPr>
        <rFont val="Arial"/>
        <sz val="10.0"/>
      </rPr>
      <t>VS</t>
    </r>
    <r>
      <rPr>
        <rFont val="ＭＳ Ｐゴシック"/>
        <sz val="10.0"/>
      </rPr>
      <t>巨大組織の大義</t>
    </r>
    <r>
      <rPr>
        <rFont val="Arial"/>
        <sz val="10.0"/>
      </rPr>
      <t>!!!</t>
    </r>
  </si>
  <si>
    <t>番組名日曜劇場「集団左遷!!」第8話　遂に上層部が退陣!そして負ければ出向!?</t>
  </si>
  <si>
    <t>横山専務が守っているものが、日本橋支店だとにらんだ片岡と真山。その日本橋の融資案件である不動産会社の不正が発覚する。その不正に隠された上層部の裏金疑惑が持ち上がる。確たる証拠をつかむため、突き進む片岡達。しかし、その結末は予想だにしない最後となる・・・</t>
  </si>
  <si>
    <t>番組名日曜劇場「集団左遷!!」第9話　託された不正の証拠!最後の大逆転目前!</t>
  </si>
  <si>
    <r>
      <rPr>
        <rFont val="ＭＳ Ｐゴシック"/>
        <sz val="10.0"/>
      </rPr>
      <t>横山専務の不正をかばったのは藤田頭取だった。目的は一体何</t>
    </r>
    <r>
      <rPr>
        <rFont val="Arial"/>
        <sz val="10.0"/>
      </rPr>
      <t>?</t>
    </r>
    <r>
      <rPr>
        <rFont val="ＭＳ Ｐゴシック"/>
        <sz val="10.0"/>
      </rPr>
      <t>そして、さらに加速するリストラ計画。巨大組織の歪んだ正義に翻弄される片岡と真山は、別の証拠を探し始める。そんな中、「不正をした人間に決められる運命」に憤りを感じる滝川ら元蒲田支店のメンバーが立ち上がる。協力して不正の証拠を探す片岡たちは、横山の金の流れをつかむ。今度こそ横山を追い詰められるのか</t>
    </r>
    <r>
      <rPr>
        <rFont val="Arial"/>
        <sz val="10.0"/>
      </rPr>
      <t xml:space="preserve">!?  </t>
    </r>
  </si>
  <si>
    <t>番組名日曜劇場「集団左遷!!」最終回～下克上の行方、熱き男が起こす奇跡!</t>
  </si>
  <si>
    <t>遂に副頭取にまで上り詰めた横山に最後の勝負を挑む片岡。同期の梅原の想いを胸に、横山を追い詰める。しかし、仲間たちが次々と出向に・・・自分がやっていることは本当に正しいことなのか、葛藤する片岡。そして、運命の結末を迎える・・・</t>
  </si>
  <si>
    <t>1901_TBS_火22</t>
  </si>
  <si>
    <t>初めて恋をした日に読む話</t>
  </si>
  <si>
    <t>番組名火曜ドラマ「初めて恋をした日に読む話」第1話【東大受験×恋の四角関係!?】</t>
  </si>
  <si>
    <r>
      <rPr>
        <rFont val="ＭＳ Ｐゴシック"/>
        <sz val="10.0"/>
      </rPr>
      <t>恋も受験も就職も失敗した</t>
    </r>
    <r>
      <rPr>
        <rFont val="Arial"/>
        <sz val="10.0"/>
      </rPr>
      <t>32</t>
    </r>
    <r>
      <rPr>
        <rFont val="ＭＳ Ｐゴシック"/>
        <sz val="10.0"/>
      </rPr>
      <t>歳のアラサー女子・春見順子</t>
    </r>
    <r>
      <rPr>
        <rFont val="Arial"/>
        <sz val="10.0"/>
      </rPr>
      <t>(</t>
    </r>
    <r>
      <rPr>
        <rFont val="ＭＳ Ｐゴシック"/>
        <sz val="10.0"/>
      </rPr>
      <t>深田恭子</t>
    </r>
    <r>
      <rPr>
        <rFont val="Arial"/>
        <sz val="10.0"/>
      </rPr>
      <t>)</t>
    </r>
    <r>
      <rPr>
        <rFont val="ＭＳ Ｐゴシック"/>
        <sz val="10.0"/>
      </rPr>
      <t>は、やる気も希望も何もなく三流予備校「山王ゼミナール」の塾講師。そんな無為な日々を送っている順子の元に、ひょんなことから知り合ったピンク髪のイケメン不良高校生・由利匡平</t>
    </r>
    <r>
      <rPr>
        <rFont val="Arial"/>
        <sz val="10.0"/>
      </rPr>
      <t>(</t>
    </r>
    <r>
      <rPr>
        <rFont val="ＭＳ Ｐゴシック"/>
        <sz val="10.0"/>
      </rPr>
      <t>横浜流星</t>
    </r>
    <r>
      <rPr>
        <rFont val="Arial"/>
        <sz val="10.0"/>
      </rPr>
      <t>)</t>
    </r>
    <r>
      <rPr>
        <rFont val="ＭＳ Ｐゴシック"/>
        <sz val="10.0"/>
      </rPr>
      <t>が「俺を東大にいれてくんない</t>
    </r>
    <r>
      <rPr>
        <rFont val="Arial"/>
        <sz val="10.0"/>
      </rPr>
      <t>?</t>
    </r>
    <r>
      <rPr>
        <rFont val="ＭＳ Ｐゴシック"/>
        <sz val="10.0"/>
      </rPr>
      <t>」と山王ゼミナールにやってきてーー</t>
    </r>
    <r>
      <rPr>
        <rFont val="Arial"/>
        <sz val="10.0"/>
      </rPr>
      <t xml:space="preserve">?!  </t>
    </r>
  </si>
  <si>
    <t>番組名火曜ドラマ「初めて恋をした日に読む話」　第2話【元ヤン同級生との運命の再会】</t>
  </si>
  <si>
    <r>
      <rPr>
        <rFont val="ＭＳ Ｐゴシック"/>
        <sz val="10.0"/>
      </rPr>
      <t>偶然出会ったピンク髪の不良高校生・由利匡平</t>
    </r>
    <r>
      <rPr>
        <rFont val="Arial"/>
        <sz val="10.0"/>
      </rPr>
      <t>(</t>
    </r>
    <r>
      <rPr>
        <rFont val="ＭＳ Ｐゴシック"/>
        <sz val="10.0"/>
      </rPr>
      <t>横浜流星</t>
    </r>
    <r>
      <rPr>
        <rFont val="Arial"/>
        <sz val="10.0"/>
      </rPr>
      <t>)</t>
    </r>
    <r>
      <rPr>
        <rFont val="ＭＳ Ｐゴシック"/>
        <sz val="10.0"/>
      </rPr>
      <t>と最底辺からの東大受験を目指すこととなった春見順子</t>
    </r>
    <r>
      <rPr>
        <rFont val="Arial"/>
        <sz val="10.0"/>
      </rPr>
      <t>(</t>
    </r>
    <r>
      <rPr>
        <rFont val="ＭＳ Ｐゴシック"/>
        <sz val="10.0"/>
      </rPr>
      <t>深田恭子</t>
    </r>
    <r>
      <rPr>
        <rFont val="Arial"/>
        <sz val="10.0"/>
      </rPr>
      <t>)</t>
    </r>
    <r>
      <rPr>
        <rFont val="ＭＳ Ｐゴシック"/>
        <sz val="10.0"/>
      </rPr>
      <t>は三流予備校・山王ゼミナールに勤務するダメ塾講師。ある日、順子が山王ゼミナールが生徒獲得の目的で行っている出張授業に向かった匡平の通うおバカ高校・南高校で出会った匡平の担任は、かつて順子に唯一告白をした男性・山下一真</t>
    </r>
    <r>
      <rPr>
        <rFont val="Arial"/>
        <sz val="10.0"/>
      </rPr>
      <t>(</t>
    </r>
    <r>
      <rPr>
        <rFont val="ＭＳ Ｐゴシック"/>
        <sz val="10.0"/>
      </rPr>
      <t>中村倫也</t>
    </r>
    <r>
      <rPr>
        <rFont val="Arial"/>
        <sz val="10.0"/>
      </rPr>
      <t>)</t>
    </r>
    <r>
      <rPr>
        <rFont val="ＭＳ Ｐゴシック"/>
        <sz val="10.0"/>
      </rPr>
      <t>だった。運命とも言える再会がさらに波乱を呼ぶ展開に</t>
    </r>
    <r>
      <rPr>
        <rFont val="Arial"/>
        <sz val="10.0"/>
      </rPr>
      <t>…</t>
    </r>
  </si>
  <si>
    <t>番組名火曜ドラマ「初めて恋をした日に読む話」　第3話【不良高校生の告白とバックハグ!】</t>
  </si>
  <si>
    <r>
      <rPr>
        <rFont val="ＭＳ Ｐゴシック"/>
        <sz val="10.0"/>
      </rPr>
      <t>ピンク髪の不良高校生・由利匡平</t>
    </r>
    <r>
      <rPr>
        <rFont val="Arial"/>
        <sz val="10.0"/>
      </rPr>
      <t>(</t>
    </r>
    <r>
      <rPr>
        <rFont val="ＭＳ Ｐゴシック"/>
        <sz val="10.0"/>
      </rPr>
      <t>横浜流星</t>
    </r>
    <r>
      <rPr>
        <rFont val="Arial"/>
        <sz val="10.0"/>
      </rPr>
      <t>)</t>
    </r>
    <r>
      <rPr>
        <rFont val="ＭＳ Ｐゴシック"/>
        <sz val="10.0"/>
      </rPr>
      <t>と東大受験を目指すこととなった春見順子</t>
    </r>
    <r>
      <rPr>
        <rFont val="Arial"/>
        <sz val="10.0"/>
      </rPr>
      <t>(</t>
    </r>
    <r>
      <rPr>
        <rFont val="ＭＳ Ｐゴシック"/>
        <sz val="10.0"/>
      </rPr>
      <t>深田恭子</t>
    </r>
    <r>
      <rPr>
        <rFont val="Arial"/>
        <sz val="10.0"/>
      </rPr>
      <t>)</t>
    </r>
    <r>
      <rPr>
        <rFont val="ＭＳ Ｐゴシック"/>
        <sz val="10.0"/>
      </rPr>
      <t>は三流予備校に勤務するダメ塾講師。東大受験への勉強も本格的に始まった。順子に対して恋心が芽生えた匡平は順子が子供相手してくることにいら立ちを隠せない。一方、長年順子に片想いをしているエリート商社マンの八雲雅志</t>
    </r>
    <r>
      <rPr>
        <rFont val="Arial"/>
        <sz val="10.0"/>
      </rPr>
      <t>(</t>
    </r>
    <r>
      <rPr>
        <rFont val="ＭＳ Ｐゴシック"/>
        <sz val="10.0"/>
      </rPr>
      <t>永山絢斗</t>
    </r>
    <r>
      <rPr>
        <rFont val="Arial"/>
        <sz val="10.0"/>
      </rPr>
      <t>)</t>
    </r>
    <r>
      <rPr>
        <rFont val="ＭＳ Ｐゴシック"/>
        <sz val="10.0"/>
      </rPr>
      <t>はやっとの思いで順子とデートの約束を取り付けたが、仕事上に大きなトラブルが起きてしまう</t>
    </r>
    <r>
      <rPr>
        <rFont val="Arial"/>
        <sz val="10.0"/>
      </rPr>
      <t>…</t>
    </r>
  </si>
  <si>
    <t>番組名火曜ドラマ「初めて恋をした日に読む話」　第4話【先生、ご褒美ください…】</t>
  </si>
  <si>
    <r>
      <rPr>
        <rFont val="ＭＳ Ｐゴシック"/>
        <sz val="10.0"/>
      </rPr>
      <t>ピンク髪の不良高校生・由利匡平</t>
    </r>
    <r>
      <rPr>
        <rFont val="Arial"/>
        <sz val="10.0"/>
      </rPr>
      <t>(</t>
    </r>
    <r>
      <rPr>
        <rFont val="ＭＳ Ｐゴシック"/>
        <sz val="10.0"/>
      </rPr>
      <t>横浜流星</t>
    </r>
    <r>
      <rPr>
        <rFont val="Arial"/>
        <sz val="10.0"/>
      </rPr>
      <t>)</t>
    </r>
    <r>
      <rPr>
        <rFont val="ＭＳ Ｐゴシック"/>
        <sz val="10.0"/>
      </rPr>
      <t>と東大受験を目指すこととなった春見順子</t>
    </r>
    <r>
      <rPr>
        <rFont val="Arial"/>
        <sz val="10.0"/>
      </rPr>
      <t>(</t>
    </r>
    <r>
      <rPr>
        <rFont val="ＭＳ Ｐゴシック"/>
        <sz val="10.0"/>
      </rPr>
      <t>深田恭子</t>
    </r>
    <r>
      <rPr>
        <rFont val="Arial"/>
        <sz val="10.0"/>
      </rPr>
      <t>)</t>
    </r>
    <r>
      <rPr>
        <rFont val="ＭＳ Ｐゴシック"/>
        <sz val="10.0"/>
      </rPr>
      <t>は三流予備校・山王ゼミナールに勤務するダメ塾講師。</t>
    </r>
    <r>
      <rPr>
        <rFont val="Arial"/>
        <sz val="10.0"/>
      </rPr>
      <t>GW</t>
    </r>
    <r>
      <rPr>
        <rFont val="ＭＳ Ｐゴシック"/>
        <sz val="10.0"/>
      </rPr>
      <t>となり東大合格へ向けた強化合宿が始まる。合宿先の山小屋で順子と二人きりになった匡平は思い切った行動を取るのだが</t>
    </r>
    <r>
      <rPr>
        <rFont val="Arial"/>
        <sz val="10.0"/>
      </rPr>
      <t>…</t>
    </r>
    <r>
      <rPr>
        <rFont val="ＭＳ Ｐゴシック"/>
        <sz val="10.0"/>
      </rPr>
      <t>。泊りがけの合宿の様子が気になって仕方がない順子のいとこの八雲雅志</t>
    </r>
    <r>
      <rPr>
        <rFont val="Arial"/>
        <sz val="10.0"/>
      </rPr>
      <t>(</t>
    </r>
    <r>
      <rPr>
        <rFont val="ＭＳ Ｐゴシック"/>
        <sz val="10.0"/>
      </rPr>
      <t>永山絢斗</t>
    </r>
    <r>
      <rPr>
        <rFont val="Arial"/>
        <sz val="10.0"/>
      </rPr>
      <t>)</t>
    </r>
    <r>
      <rPr>
        <rFont val="ＭＳ Ｐゴシック"/>
        <sz val="10.0"/>
      </rPr>
      <t>も合宿先に合流して</t>
    </r>
    <r>
      <rPr>
        <rFont val="Arial"/>
        <sz val="10.0"/>
      </rPr>
      <t>…</t>
    </r>
    <r>
      <rPr>
        <rFont val="ＭＳ Ｐゴシック"/>
        <sz val="10.0"/>
      </rPr>
      <t>。</t>
    </r>
  </si>
  <si>
    <t>番組名火曜ドラマ「初めて恋をした日に読む話」　第5話【そこにパイがあったから】</t>
  </si>
  <si>
    <r>
      <rPr>
        <rFont val="ＭＳ Ｐゴシック"/>
        <sz val="10.0"/>
      </rPr>
      <t>ピンク髪の不良高校生・由利匡平</t>
    </r>
    <r>
      <rPr>
        <rFont val="Arial"/>
        <sz val="10.0"/>
      </rPr>
      <t>(</t>
    </r>
    <r>
      <rPr>
        <rFont val="ＭＳ Ｐゴシック"/>
        <sz val="10.0"/>
      </rPr>
      <t>横浜流星</t>
    </r>
    <r>
      <rPr>
        <rFont val="Arial"/>
        <sz val="10.0"/>
      </rPr>
      <t>)</t>
    </r>
    <r>
      <rPr>
        <rFont val="ＭＳ Ｐゴシック"/>
        <sz val="10.0"/>
      </rPr>
      <t>と東大受験を目指すこととなった春見順子</t>
    </r>
    <r>
      <rPr>
        <rFont val="Arial"/>
        <sz val="10.0"/>
      </rPr>
      <t>(</t>
    </r>
    <r>
      <rPr>
        <rFont val="ＭＳ Ｐゴシック"/>
        <sz val="10.0"/>
      </rPr>
      <t>深田恭子</t>
    </r>
    <r>
      <rPr>
        <rFont val="Arial"/>
        <sz val="10.0"/>
      </rPr>
      <t>)</t>
    </r>
    <r>
      <rPr>
        <rFont val="ＭＳ Ｐゴシック"/>
        <sz val="10.0"/>
      </rPr>
      <t>は三流予備校・山王ゼミナールに勤務するダメ塾講師。インフルエンザから回復し、順子と共に模擬試験に臨む匡平。順子は自らの限界を感じ、理数教科底上げにいとこの雅志</t>
    </r>
    <r>
      <rPr>
        <rFont val="Arial"/>
        <sz val="10.0"/>
      </rPr>
      <t>(</t>
    </r>
    <r>
      <rPr>
        <rFont val="ＭＳ Ｐゴシック"/>
        <sz val="10.0"/>
      </rPr>
      <t>永山絢斗</t>
    </r>
    <r>
      <rPr>
        <rFont val="Arial"/>
        <sz val="10.0"/>
      </rPr>
      <t>)</t>
    </r>
    <r>
      <rPr>
        <rFont val="ＭＳ Ｐゴシック"/>
        <sz val="10.0"/>
      </rPr>
      <t>の手を借りることを思いつく。一方、匡平の担任教師・山下一真</t>
    </r>
    <r>
      <rPr>
        <rFont val="Arial"/>
        <sz val="10.0"/>
      </rPr>
      <t>(</t>
    </r>
    <r>
      <rPr>
        <rFont val="ＭＳ Ｐゴシック"/>
        <sz val="10.0"/>
      </rPr>
      <t>中村倫也</t>
    </r>
    <r>
      <rPr>
        <rFont val="Arial"/>
        <sz val="10.0"/>
      </rPr>
      <t>)</t>
    </r>
    <r>
      <rPr>
        <rFont val="ＭＳ Ｐゴシック"/>
        <sz val="10.0"/>
      </rPr>
      <t>は妻から預かった離婚届を提出するか悩やんでいた。</t>
    </r>
  </si>
  <si>
    <t>番組名火曜ドラマ「初めて恋をした日に読む話」　第6話【ぶつかり合う熱い男たち】</t>
  </si>
  <si>
    <r>
      <rPr>
        <rFont val="ＭＳ Ｐゴシック"/>
        <sz val="10.0"/>
      </rPr>
      <t>ピンク髪の不良高校生・由利匡平</t>
    </r>
    <r>
      <rPr>
        <rFont val="Arial"/>
        <sz val="10.0"/>
      </rPr>
      <t>(</t>
    </r>
    <r>
      <rPr>
        <rFont val="ＭＳ Ｐゴシック"/>
        <sz val="10.0"/>
      </rPr>
      <t>横浜流星</t>
    </r>
    <r>
      <rPr>
        <rFont val="Arial"/>
        <sz val="10.0"/>
      </rPr>
      <t>)</t>
    </r>
    <r>
      <rPr>
        <rFont val="ＭＳ Ｐゴシック"/>
        <sz val="10.0"/>
      </rPr>
      <t>と東大受験を目指すこととなった春見順子</t>
    </r>
    <r>
      <rPr>
        <rFont val="Arial"/>
        <sz val="10.0"/>
      </rPr>
      <t>(</t>
    </r>
    <r>
      <rPr>
        <rFont val="ＭＳ Ｐゴシック"/>
        <sz val="10.0"/>
      </rPr>
      <t>深田恭子</t>
    </r>
    <r>
      <rPr>
        <rFont val="Arial"/>
        <sz val="10.0"/>
      </rPr>
      <t>)</t>
    </r>
    <r>
      <rPr>
        <rFont val="ＭＳ Ｐゴシック"/>
        <sz val="10.0"/>
      </rPr>
      <t>は三流予備校・山王ゼミナールに勤務するダメ塾講師。秋になり受験勉強も大詰め。順子は匡平の学力向上に自らの限界を感じ始める。一方、順子のいとこ・八雲雅志</t>
    </r>
    <r>
      <rPr>
        <rFont val="Arial"/>
        <sz val="10.0"/>
      </rPr>
      <t>(</t>
    </r>
    <r>
      <rPr>
        <rFont val="ＭＳ Ｐゴシック"/>
        <sz val="10.0"/>
      </rPr>
      <t>永山絢斗</t>
    </r>
    <r>
      <rPr>
        <rFont val="Arial"/>
        <sz val="10.0"/>
      </rPr>
      <t>)</t>
    </r>
    <r>
      <rPr>
        <rFont val="ＭＳ Ｐゴシック"/>
        <sz val="10.0"/>
      </rPr>
      <t>は自分の魅力を順子にアピールするために同窓会を企画する。そこに山下一真</t>
    </r>
    <r>
      <rPr>
        <rFont val="Arial"/>
        <sz val="10.0"/>
      </rPr>
      <t>(</t>
    </r>
    <r>
      <rPr>
        <rFont val="ＭＳ Ｐゴシック"/>
        <sz val="10.0"/>
      </rPr>
      <t>中村倫也</t>
    </r>
    <r>
      <rPr>
        <rFont val="Arial"/>
        <sz val="10.0"/>
      </rPr>
      <t>)</t>
    </r>
    <r>
      <rPr>
        <rFont val="ＭＳ Ｐゴシック"/>
        <sz val="10.0"/>
      </rPr>
      <t>や松岡美和</t>
    </r>
    <r>
      <rPr>
        <rFont val="Arial"/>
        <sz val="10.0"/>
      </rPr>
      <t>(</t>
    </r>
    <r>
      <rPr>
        <rFont val="ＭＳ Ｐゴシック"/>
        <sz val="10.0"/>
      </rPr>
      <t>安達祐実</t>
    </r>
    <r>
      <rPr>
        <rFont val="Arial"/>
        <sz val="10.0"/>
      </rPr>
      <t>)</t>
    </r>
    <r>
      <rPr>
        <rFont val="ＭＳ Ｐゴシック"/>
        <sz val="10.0"/>
      </rPr>
      <t>も合流し波乱含みの展開に</t>
    </r>
    <r>
      <rPr>
        <rFont val="Arial"/>
        <sz val="10.0"/>
      </rPr>
      <t>…</t>
    </r>
    <r>
      <rPr>
        <rFont val="ＭＳ Ｐゴシック"/>
        <sz val="10.0"/>
      </rPr>
      <t>。</t>
    </r>
  </si>
  <si>
    <t>番組名火曜ドラマ「初めて恋をした日に読む話」　第7話【初めて抱きしめた日に読む話】</t>
  </si>
  <si>
    <r>
      <rPr>
        <rFont val="ＭＳ Ｐゴシック"/>
        <sz val="10.0"/>
      </rPr>
      <t>ピンク髪の不良高校生・由利匡平</t>
    </r>
    <r>
      <rPr>
        <rFont val="Arial"/>
        <sz val="10.0"/>
      </rPr>
      <t>(</t>
    </r>
    <r>
      <rPr>
        <rFont val="ＭＳ Ｐゴシック"/>
        <sz val="10.0"/>
      </rPr>
      <t>横浜流星</t>
    </r>
    <r>
      <rPr>
        <rFont val="Arial"/>
        <sz val="10.0"/>
      </rPr>
      <t>)</t>
    </r>
    <r>
      <rPr>
        <rFont val="ＭＳ Ｐゴシック"/>
        <sz val="10.0"/>
      </rPr>
      <t>と東大受験を目指す春見順子</t>
    </r>
    <r>
      <rPr>
        <rFont val="Arial"/>
        <sz val="10.0"/>
      </rPr>
      <t>(</t>
    </r>
    <r>
      <rPr>
        <rFont val="ＭＳ Ｐゴシック"/>
        <sz val="10.0"/>
      </rPr>
      <t>深田恭子</t>
    </r>
    <r>
      <rPr>
        <rFont val="Arial"/>
        <sz val="10.0"/>
      </rPr>
      <t>)</t>
    </r>
    <r>
      <rPr>
        <rFont val="ＭＳ Ｐゴシック"/>
        <sz val="10.0"/>
      </rPr>
      <t>は三流予備校のダメ塾講師。順子は自らの講師としての限界を感じ、匡平を東大専門塾・花恵会に掛け持ち入塾させる。花恵会は設備も講師陣も素晴らしいが、担当となった美人講師・百田朋奈</t>
    </r>
    <r>
      <rPr>
        <rFont val="Arial"/>
        <sz val="10.0"/>
      </rPr>
      <t>(</t>
    </r>
    <r>
      <rPr>
        <rFont val="ＭＳ Ｐゴシック"/>
        <sz val="10.0"/>
      </rPr>
      <t>高梨臨</t>
    </r>
    <r>
      <rPr>
        <rFont val="Arial"/>
        <sz val="10.0"/>
      </rPr>
      <t>)</t>
    </r>
    <r>
      <rPr>
        <rFont val="ＭＳ Ｐゴシック"/>
        <sz val="10.0"/>
      </rPr>
      <t>の馴れ馴れしい振る舞いに匡平は疑問を抱く。一方、順子のいとこ・八雲雅志</t>
    </r>
    <r>
      <rPr>
        <rFont val="Arial"/>
        <sz val="10.0"/>
      </rPr>
      <t>(</t>
    </r>
    <r>
      <rPr>
        <rFont val="ＭＳ Ｐゴシック"/>
        <sz val="10.0"/>
      </rPr>
      <t>永山絢斗</t>
    </r>
    <r>
      <rPr>
        <rFont val="Arial"/>
        <sz val="10.0"/>
      </rPr>
      <t>)</t>
    </r>
    <r>
      <rPr>
        <rFont val="ＭＳ Ｐゴシック"/>
        <sz val="10.0"/>
      </rPr>
      <t>は百田の秘密を知り、順子に知らせようとするが</t>
    </r>
    <r>
      <rPr>
        <rFont val="Arial"/>
        <sz val="10.0"/>
      </rPr>
      <t>…</t>
    </r>
  </si>
  <si>
    <t>番組名火曜ドラマ「初めて恋をした日に読む話」　第8話【元ヤン教師の決断】</t>
  </si>
  <si>
    <r>
      <rPr>
        <rFont val="ＭＳ Ｐゴシック"/>
        <sz val="10.0"/>
      </rPr>
      <t>匡平</t>
    </r>
    <r>
      <rPr>
        <rFont val="Arial"/>
        <sz val="10.0"/>
      </rPr>
      <t>(</t>
    </r>
    <r>
      <rPr>
        <rFont val="ＭＳ Ｐゴシック"/>
        <sz val="10.0"/>
      </rPr>
      <t>横浜流星</t>
    </r>
    <r>
      <rPr>
        <rFont val="Arial"/>
        <sz val="10.0"/>
      </rPr>
      <t>)</t>
    </r>
    <r>
      <rPr>
        <rFont val="ＭＳ Ｐゴシック"/>
        <sz val="10.0"/>
      </rPr>
      <t>の模試の日に山下</t>
    </r>
    <r>
      <rPr>
        <rFont val="Arial"/>
        <sz val="10.0"/>
      </rPr>
      <t>(</t>
    </r>
    <r>
      <rPr>
        <rFont val="ＭＳ Ｐゴシック"/>
        <sz val="10.0"/>
      </rPr>
      <t>中村倫也</t>
    </r>
    <r>
      <rPr>
        <rFont val="Arial"/>
        <sz val="10.0"/>
      </rPr>
      <t>)</t>
    </r>
    <r>
      <rPr>
        <rFont val="ＭＳ Ｐゴシック"/>
        <sz val="10.0"/>
      </rPr>
      <t>とデートをすることになった順子</t>
    </r>
    <r>
      <rPr>
        <rFont val="Arial"/>
        <sz val="10.0"/>
      </rPr>
      <t>(</t>
    </r>
    <r>
      <rPr>
        <rFont val="ＭＳ Ｐゴシック"/>
        <sz val="10.0"/>
      </rPr>
      <t>深田恭子</t>
    </r>
    <r>
      <rPr>
        <rFont val="Arial"/>
        <sz val="10.0"/>
      </rPr>
      <t>)</t>
    </r>
    <r>
      <rPr>
        <rFont val="ＭＳ Ｐゴシック"/>
        <sz val="10.0"/>
      </rPr>
      <t>。匡平はデート帰りの二人を目撃し嫉妬する。さらに模試の結果も振るわず、追い討ちをかけるように父親の汚職疑惑も発覚し自暴自棄になってしまい、その姿を見た順子は落ち込んでしまう。山下は順子に笑顔を取り戻すためにある決断をする</t>
    </r>
    <r>
      <rPr>
        <rFont val="Arial"/>
        <sz val="10.0"/>
      </rPr>
      <t>…</t>
    </r>
    <r>
      <rPr>
        <rFont val="ＭＳ Ｐゴシック"/>
        <sz val="10.0"/>
      </rPr>
      <t>。</t>
    </r>
  </si>
  <si>
    <t>番組名火曜ドラマ「初めて恋をした日に読む話」第9話【HAPPY　BIRTHDAY】</t>
  </si>
  <si>
    <r>
      <rPr>
        <rFont val="ＭＳ Ｐゴシック"/>
        <sz val="10.0"/>
      </rPr>
      <t>ピンク髪の不良高校生・由利匡平</t>
    </r>
    <r>
      <rPr>
        <rFont val="Arial"/>
        <sz val="10.0"/>
      </rPr>
      <t>(</t>
    </r>
    <r>
      <rPr>
        <rFont val="ＭＳ Ｐゴシック"/>
        <sz val="10.0"/>
      </rPr>
      <t>横浜流星</t>
    </r>
    <r>
      <rPr>
        <rFont val="Arial"/>
        <sz val="10.0"/>
      </rPr>
      <t>)</t>
    </r>
    <r>
      <rPr>
        <rFont val="ＭＳ Ｐゴシック"/>
        <sz val="10.0"/>
      </rPr>
      <t>と東大受験を目指す春見順子</t>
    </r>
    <r>
      <rPr>
        <rFont val="Arial"/>
        <sz val="10.0"/>
      </rPr>
      <t>(</t>
    </r>
    <r>
      <rPr>
        <rFont val="ＭＳ Ｐゴシック"/>
        <sz val="10.0"/>
      </rPr>
      <t>深田恭子</t>
    </r>
    <r>
      <rPr>
        <rFont val="Arial"/>
        <sz val="10.0"/>
      </rPr>
      <t>)</t>
    </r>
    <r>
      <rPr>
        <rFont val="ＭＳ Ｐゴシック"/>
        <sz val="10.0"/>
      </rPr>
      <t>は三流予備校のダメ塾講師。センター試験も目前となり受験勉強は牧瀬</t>
    </r>
    <r>
      <rPr>
        <rFont val="Arial"/>
        <sz val="10.0"/>
      </rPr>
      <t>(</t>
    </r>
    <r>
      <rPr>
        <rFont val="ＭＳ Ｐゴシック"/>
        <sz val="10.0"/>
      </rPr>
      <t>高梨臨</t>
    </r>
    <r>
      <rPr>
        <rFont val="Arial"/>
        <sz val="10.0"/>
      </rPr>
      <t>)</t>
    </r>
    <r>
      <rPr>
        <rFont val="ＭＳ Ｐゴシック"/>
        <sz val="10.0"/>
      </rPr>
      <t>の手も借りて大詰めに。一方、ロシアへの長期赴任を指示された雅志</t>
    </r>
    <r>
      <rPr>
        <rFont val="Arial"/>
        <sz val="10.0"/>
      </rPr>
      <t>(</t>
    </r>
    <r>
      <rPr>
        <rFont val="ＭＳ Ｐゴシック"/>
        <sz val="10.0"/>
      </rPr>
      <t>永山絢斗</t>
    </r>
    <r>
      <rPr>
        <rFont val="Arial"/>
        <sz val="10.0"/>
      </rPr>
      <t>)</t>
    </r>
    <r>
      <rPr>
        <rFont val="ＭＳ Ｐゴシック"/>
        <sz val="10.0"/>
      </rPr>
      <t>は、ある決意を胸に順子のもとへ訪れ、思い切った行動に出る。</t>
    </r>
  </si>
  <si>
    <t>番組名火曜ドラマ「初めて恋をした日に読む話」最終話【大いなる決断】</t>
  </si>
  <si>
    <r>
      <rPr>
        <rFont val="ＭＳ Ｐゴシック"/>
        <sz val="10.0"/>
      </rPr>
      <t>ピンク髪の不良高校生・由利匡平</t>
    </r>
    <r>
      <rPr>
        <rFont val="Arial"/>
        <sz val="10.0"/>
      </rPr>
      <t>(</t>
    </r>
    <r>
      <rPr>
        <rFont val="ＭＳ Ｐゴシック"/>
        <sz val="10.0"/>
      </rPr>
      <t>横浜流星</t>
    </r>
    <r>
      <rPr>
        <rFont val="Arial"/>
        <sz val="10.0"/>
      </rPr>
      <t>)</t>
    </r>
    <r>
      <rPr>
        <rFont val="ＭＳ Ｐゴシック"/>
        <sz val="10.0"/>
      </rPr>
      <t>と東大受験を目指す春見順子</t>
    </r>
    <r>
      <rPr>
        <rFont val="Arial"/>
        <sz val="10.0"/>
      </rPr>
      <t>(</t>
    </r>
    <r>
      <rPr>
        <rFont val="ＭＳ Ｐゴシック"/>
        <sz val="10.0"/>
      </rPr>
      <t>深田恭子</t>
    </r>
    <r>
      <rPr>
        <rFont val="Arial"/>
        <sz val="10.0"/>
      </rPr>
      <t>)</t>
    </r>
    <r>
      <rPr>
        <rFont val="ＭＳ Ｐゴシック"/>
        <sz val="10.0"/>
      </rPr>
      <t>は三流予備校のダメ塾講師。なんとか東大</t>
    </r>
    <r>
      <rPr>
        <rFont val="Arial"/>
        <sz val="10.0"/>
      </rPr>
      <t>2</t>
    </r>
    <r>
      <rPr>
        <rFont val="ＭＳ Ｐゴシック"/>
        <sz val="10.0"/>
      </rPr>
      <t>次試験まで進んだ匡平。試験当日の朝、順子が事故に遭い救急搬送されたことを美和</t>
    </r>
    <r>
      <rPr>
        <rFont val="Arial"/>
        <sz val="10.0"/>
      </rPr>
      <t>(</t>
    </r>
    <r>
      <rPr>
        <rFont val="ＭＳ Ｐゴシック"/>
        <sz val="10.0"/>
      </rPr>
      <t>安達祐実</t>
    </r>
    <r>
      <rPr>
        <rFont val="Arial"/>
        <sz val="10.0"/>
      </rPr>
      <t>)</t>
    </r>
    <r>
      <rPr>
        <rFont val="ＭＳ Ｐゴシック"/>
        <sz val="10.0"/>
      </rPr>
      <t>から知らされ激しく動揺する。雅志</t>
    </r>
    <r>
      <rPr>
        <rFont val="Arial"/>
        <sz val="10.0"/>
      </rPr>
      <t>(</t>
    </r>
    <r>
      <rPr>
        <rFont val="ＭＳ Ｐゴシック"/>
        <sz val="10.0"/>
      </rPr>
      <t>永山絢斗</t>
    </r>
    <r>
      <rPr>
        <rFont val="Arial"/>
        <sz val="10.0"/>
      </rPr>
      <t>)</t>
    </r>
    <r>
      <rPr>
        <rFont val="ＭＳ Ｐゴシック"/>
        <sz val="10.0"/>
      </rPr>
      <t>、山下</t>
    </r>
    <r>
      <rPr>
        <rFont val="Arial"/>
        <sz val="10.0"/>
      </rPr>
      <t>(</t>
    </r>
    <r>
      <rPr>
        <rFont val="ＭＳ Ｐゴシック"/>
        <sz val="10.0"/>
      </rPr>
      <t>中村倫也</t>
    </r>
    <r>
      <rPr>
        <rFont val="Arial"/>
        <sz val="10.0"/>
      </rPr>
      <t>)</t>
    </r>
    <r>
      <rPr>
        <rFont val="ＭＳ Ｐゴシック"/>
        <sz val="10.0"/>
      </rPr>
      <t>らが見守る中、順子と匡平の下す決断とは</t>
    </r>
    <r>
      <rPr>
        <rFont val="Arial"/>
        <sz val="10.0"/>
      </rPr>
      <t>?!</t>
    </r>
  </si>
  <si>
    <t>1901_TBS_金22</t>
  </si>
  <si>
    <t>メゾン・ド・ポリス</t>
  </si>
  <si>
    <t>番組名金曜ドラマ「メゾン・ド・ポリス」　第1話【新米刑事の相棒はクセ者おじさん】</t>
  </si>
  <si>
    <r>
      <rPr>
        <rFont val="ＭＳ Ｐゴシック"/>
        <sz val="10.0"/>
      </rPr>
      <t>新人刑事のひより</t>
    </r>
    <r>
      <rPr>
        <rFont val="Arial"/>
        <sz val="10.0"/>
      </rPr>
      <t>(</t>
    </r>
    <r>
      <rPr>
        <rFont val="ＭＳ Ｐゴシック"/>
        <sz val="10.0"/>
      </rPr>
      <t>高畑充希</t>
    </r>
    <r>
      <rPr>
        <rFont val="Arial"/>
        <sz val="10.0"/>
      </rPr>
      <t>)</t>
    </r>
    <r>
      <rPr>
        <rFont val="ＭＳ Ｐゴシック"/>
        <sz val="10.0"/>
      </rPr>
      <t>は、焼死体が発見された事件の捜査のため、元警視庁捜査一課の夏目</t>
    </r>
    <r>
      <rPr>
        <rFont val="Arial"/>
        <sz val="10.0"/>
      </rPr>
      <t>(</t>
    </r>
    <r>
      <rPr>
        <rFont val="ＭＳ Ｐゴシック"/>
        <sz val="10.0"/>
      </rPr>
      <t>西島秀俊</t>
    </r>
    <r>
      <rPr>
        <rFont val="Arial"/>
        <sz val="10.0"/>
      </rPr>
      <t>)</t>
    </r>
    <r>
      <rPr>
        <rFont val="ＭＳ Ｐゴシック"/>
        <sz val="10.0"/>
      </rPr>
      <t>のもとを訪れる。なんとそこは、元警察官のおじさんばかりが暮らすシェアハウス</t>
    </r>
    <r>
      <rPr>
        <rFont val="Arial"/>
        <sz val="10.0"/>
      </rPr>
      <t>!</t>
    </r>
    <r>
      <rPr>
        <rFont val="ＭＳ Ｐゴシック"/>
        <sz val="10.0"/>
      </rPr>
      <t>オーナーで元警察庁キャリア・伊達</t>
    </r>
    <r>
      <rPr>
        <rFont val="Arial"/>
        <sz val="10.0"/>
      </rPr>
      <t>(</t>
    </r>
    <r>
      <rPr>
        <rFont val="ＭＳ Ｐゴシック"/>
        <sz val="10.0"/>
      </rPr>
      <t>近藤正臣</t>
    </r>
    <r>
      <rPr>
        <rFont val="Arial"/>
        <sz val="10.0"/>
      </rPr>
      <t>)</t>
    </r>
    <r>
      <rPr>
        <rFont val="ＭＳ Ｐゴシック"/>
        <sz val="10.0"/>
      </rPr>
      <t>、元たたき上げ刑事・迫田</t>
    </r>
    <r>
      <rPr>
        <rFont val="Arial"/>
        <sz val="10.0"/>
      </rPr>
      <t>(</t>
    </r>
    <r>
      <rPr>
        <rFont val="ＭＳ Ｐゴシック"/>
        <sz val="10.0"/>
      </rPr>
      <t>角野卓造</t>
    </r>
    <r>
      <rPr>
        <rFont val="Arial"/>
        <sz val="10.0"/>
      </rPr>
      <t>)</t>
    </r>
    <r>
      <rPr>
        <rFont val="ＭＳ Ｐゴシック"/>
        <sz val="10.0"/>
      </rPr>
      <t>、元科捜研・藤堂</t>
    </r>
    <r>
      <rPr>
        <rFont val="Arial"/>
        <sz val="10.0"/>
      </rPr>
      <t>(</t>
    </r>
    <r>
      <rPr>
        <rFont val="ＭＳ Ｐゴシック"/>
        <sz val="10.0"/>
      </rPr>
      <t>野口五郎</t>
    </r>
    <r>
      <rPr>
        <rFont val="Arial"/>
        <sz val="10.0"/>
      </rPr>
      <t>)</t>
    </r>
    <r>
      <rPr>
        <rFont val="ＭＳ Ｐゴシック"/>
        <sz val="10.0"/>
      </rPr>
      <t>、元警務課の高平</t>
    </r>
    <r>
      <rPr>
        <rFont val="Arial"/>
        <sz val="10.0"/>
      </rPr>
      <t>(</t>
    </r>
    <r>
      <rPr>
        <rFont val="ＭＳ Ｐゴシック"/>
        <sz val="10.0"/>
      </rPr>
      <t>小日向文世</t>
    </r>
    <r>
      <rPr>
        <rFont val="Arial"/>
        <sz val="10.0"/>
      </rPr>
      <t>)</t>
    </r>
    <r>
      <rPr>
        <rFont val="ＭＳ Ｐゴシック"/>
        <sz val="10.0"/>
      </rPr>
      <t>、そして元捜一の夏目。ひよりは、クセ者揃いの彼らと一緒に事件を追うことになって・・・</t>
    </r>
  </si>
  <si>
    <t>番組名金曜ドラマ「メゾン・ド・ポリス」第2話【藤堂元妻登場!?PTA二重密室の謎】</t>
  </si>
  <si>
    <r>
      <rPr>
        <rFont val="ＭＳ Ｐゴシック"/>
        <sz val="10.0"/>
      </rPr>
      <t>元警察官のおじさんばかりが暮らすシェアハウス「メゾン・ド・ポリス」の面々と共に捜査をすることになった新人刑事のひより</t>
    </r>
    <r>
      <rPr>
        <rFont val="Arial"/>
        <sz val="10.0"/>
      </rPr>
      <t>(</t>
    </r>
    <r>
      <rPr>
        <rFont val="ＭＳ Ｐゴシック"/>
        <sz val="10.0"/>
      </rPr>
      <t>高畑充希</t>
    </r>
    <r>
      <rPr>
        <rFont val="Arial"/>
        <sz val="10.0"/>
      </rPr>
      <t>)</t>
    </r>
    <r>
      <rPr>
        <rFont val="ＭＳ Ｐゴシック"/>
        <sz val="10.0"/>
      </rPr>
      <t>。オーナーで元警察庁キャリア・伊達</t>
    </r>
    <r>
      <rPr>
        <rFont val="Arial"/>
        <sz val="10.0"/>
      </rPr>
      <t>(</t>
    </r>
    <r>
      <rPr>
        <rFont val="ＭＳ Ｐゴシック"/>
        <sz val="10.0"/>
      </rPr>
      <t>近藤正臣</t>
    </r>
    <r>
      <rPr>
        <rFont val="Arial"/>
        <sz val="10.0"/>
      </rPr>
      <t>)</t>
    </r>
    <r>
      <rPr>
        <rFont val="ＭＳ Ｐゴシック"/>
        <sz val="10.0"/>
      </rPr>
      <t>、元たたき上げ刑事・迫田</t>
    </r>
    <r>
      <rPr>
        <rFont val="Arial"/>
        <sz val="10.0"/>
      </rPr>
      <t>(</t>
    </r>
    <r>
      <rPr>
        <rFont val="ＭＳ Ｐゴシック"/>
        <sz val="10.0"/>
      </rPr>
      <t>角野卓造</t>
    </r>
    <r>
      <rPr>
        <rFont val="Arial"/>
        <sz val="10.0"/>
      </rPr>
      <t>)</t>
    </r>
    <r>
      <rPr>
        <rFont val="ＭＳ Ｐゴシック"/>
        <sz val="10.0"/>
      </rPr>
      <t>、元科捜研・藤堂</t>
    </r>
    <r>
      <rPr>
        <rFont val="Arial"/>
        <sz val="10.0"/>
      </rPr>
      <t>(</t>
    </r>
    <r>
      <rPr>
        <rFont val="ＭＳ Ｐゴシック"/>
        <sz val="10.0"/>
      </rPr>
      <t>野口五郎</t>
    </r>
    <r>
      <rPr>
        <rFont val="Arial"/>
        <sz val="10.0"/>
      </rPr>
      <t>)</t>
    </r>
    <r>
      <rPr>
        <rFont val="ＭＳ Ｐゴシック"/>
        <sz val="10.0"/>
      </rPr>
      <t>、元警務課の高平</t>
    </r>
    <r>
      <rPr>
        <rFont val="Arial"/>
        <sz val="10.0"/>
      </rPr>
      <t>(</t>
    </r>
    <r>
      <rPr>
        <rFont val="ＭＳ Ｐゴシック"/>
        <sz val="10.0"/>
      </rPr>
      <t>小日向文世</t>
    </r>
    <r>
      <rPr>
        <rFont val="Arial"/>
        <sz val="10.0"/>
      </rPr>
      <t>)</t>
    </r>
    <r>
      <rPr>
        <rFont val="ＭＳ Ｐゴシック"/>
        <sz val="10.0"/>
      </rPr>
      <t>、そして元警視庁捜査一課の夏目</t>
    </r>
    <r>
      <rPr>
        <rFont val="Arial"/>
        <sz val="10.0"/>
      </rPr>
      <t>(</t>
    </r>
    <r>
      <rPr>
        <rFont val="ＭＳ Ｐゴシック"/>
        <sz val="10.0"/>
      </rPr>
      <t>西島秀俊</t>
    </r>
    <r>
      <rPr>
        <rFont val="Arial"/>
        <sz val="10.0"/>
      </rPr>
      <t>)</t>
    </r>
    <r>
      <rPr>
        <rFont val="ＭＳ Ｐゴシック"/>
        <sz val="10.0"/>
      </rPr>
      <t>など、クセ者揃いの彼らに振り回されるひよりは、警察が自殺と断定した事件に疑問を持って・・</t>
    </r>
  </si>
  <si>
    <t>番組名金曜ドラマ「メゾン・ド・ポリス」　第3話【謎の美女登場!青い猫と死体の秘密】</t>
  </si>
  <si>
    <r>
      <rPr>
        <rFont val="ＭＳ Ｐゴシック"/>
        <sz val="10.0"/>
      </rPr>
      <t>元警察官のおじさんばかりが暮らすシェアハウス「メゾン・ド・ポリス」の面々と共に捜査をすることになった新人刑事のひより</t>
    </r>
    <r>
      <rPr>
        <rFont val="Arial"/>
        <sz val="10.0"/>
      </rPr>
      <t>(</t>
    </r>
    <r>
      <rPr>
        <rFont val="ＭＳ Ｐゴシック"/>
        <sz val="10.0"/>
      </rPr>
      <t>高畑充希</t>
    </r>
    <r>
      <rPr>
        <rFont val="Arial"/>
        <sz val="10.0"/>
      </rPr>
      <t>)</t>
    </r>
    <r>
      <rPr>
        <rFont val="ＭＳ Ｐゴシック"/>
        <sz val="10.0"/>
      </rPr>
      <t>。オーナーで元副総監の伊達</t>
    </r>
    <r>
      <rPr>
        <rFont val="Arial"/>
        <sz val="10.0"/>
      </rPr>
      <t>(</t>
    </r>
    <r>
      <rPr>
        <rFont val="ＭＳ Ｐゴシック"/>
        <sz val="10.0"/>
      </rPr>
      <t>近藤正臣</t>
    </r>
    <r>
      <rPr>
        <rFont val="Arial"/>
        <sz val="10.0"/>
      </rPr>
      <t>)</t>
    </r>
    <r>
      <rPr>
        <rFont val="ＭＳ Ｐゴシック"/>
        <sz val="10.0"/>
      </rPr>
      <t>、元たたき上げ刑事・迫田</t>
    </r>
    <r>
      <rPr>
        <rFont val="Arial"/>
        <sz val="10.0"/>
      </rPr>
      <t>(</t>
    </r>
    <r>
      <rPr>
        <rFont val="ＭＳ Ｐゴシック"/>
        <sz val="10.0"/>
      </rPr>
      <t>角野卓造</t>
    </r>
    <r>
      <rPr>
        <rFont val="Arial"/>
        <sz val="10.0"/>
      </rPr>
      <t>)</t>
    </r>
    <r>
      <rPr>
        <rFont val="ＭＳ Ｐゴシック"/>
        <sz val="10.0"/>
      </rPr>
      <t>、元科捜研・藤堂</t>
    </r>
    <r>
      <rPr>
        <rFont val="Arial"/>
        <sz val="10.0"/>
      </rPr>
      <t>(</t>
    </r>
    <r>
      <rPr>
        <rFont val="ＭＳ Ｐゴシック"/>
        <sz val="10.0"/>
      </rPr>
      <t>野口五郎</t>
    </r>
    <r>
      <rPr>
        <rFont val="Arial"/>
        <sz val="10.0"/>
      </rPr>
      <t>)</t>
    </r>
    <r>
      <rPr>
        <rFont val="ＭＳ Ｐゴシック"/>
        <sz val="10.0"/>
      </rPr>
      <t>、元警務課の高平</t>
    </r>
    <r>
      <rPr>
        <rFont val="Arial"/>
        <sz val="10.0"/>
      </rPr>
      <t>(</t>
    </r>
    <r>
      <rPr>
        <rFont val="ＭＳ Ｐゴシック"/>
        <sz val="10.0"/>
      </rPr>
      <t>小日向文世</t>
    </r>
    <r>
      <rPr>
        <rFont val="Arial"/>
        <sz val="10.0"/>
      </rPr>
      <t>)</t>
    </r>
    <r>
      <rPr>
        <rFont val="ＭＳ Ｐゴシック"/>
        <sz val="10.0"/>
      </rPr>
      <t>、そして元捜査一課エースの夏目</t>
    </r>
    <r>
      <rPr>
        <rFont val="Arial"/>
        <sz val="10.0"/>
      </rPr>
      <t>(</t>
    </r>
    <r>
      <rPr>
        <rFont val="ＭＳ Ｐゴシック"/>
        <sz val="10.0"/>
      </rPr>
      <t>西島秀俊</t>
    </r>
    <r>
      <rPr>
        <rFont val="Arial"/>
        <sz val="10.0"/>
      </rPr>
      <t>)</t>
    </r>
    <r>
      <rPr>
        <rFont val="ＭＳ Ｐゴシック"/>
        <sz val="10.0"/>
      </rPr>
      <t>など、クセ者揃いの彼ら。謎の美女</t>
    </r>
    <r>
      <rPr>
        <rFont val="Arial"/>
        <sz val="10.0"/>
      </rPr>
      <t>(</t>
    </r>
    <r>
      <rPr>
        <rFont val="ＭＳ Ｐゴシック"/>
        <sz val="10.0"/>
      </rPr>
      <t>橋本マナミ</t>
    </r>
    <r>
      <rPr>
        <rFont val="Arial"/>
        <sz val="10.0"/>
      </rPr>
      <t>)</t>
    </r>
    <r>
      <rPr>
        <rFont val="ＭＳ Ｐゴシック"/>
        <sz val="10.0"/>
      </rPr>
      <t>に依頼された事件の捜査中に、ひよりは死体を発見して</t>
    </r>
    <r>
      <rPr>
        <rFont val="Arial"/>
        <sz val="10.0"/>
      </rPr>
      <t>…</t>
    </r>
  </si>
  <si>
    <t>番組名金曜ドラマ「メゾン・ド・ポリス」第4話【迫田VS殺人予告!親父の熱き想い】</t>
  </si>
  <si>
    <r>
      <rPr>
        <rFont val="ＭＳ Ｐゴシック"/>
        <sz val="10.0"/>
      </rPr>
      <t>元警察官のおじさんばかりが暮らすシェアハウス「メゾン・ド・ポリス」の面々と共に捜査をすることになった新人刑事のひより</t>
    </r>
    <r>
      <rPr>
        <rFont val="Arial"/>
        <sz val="10.0"/>
      </rPr>
      <t>(</t>
    </r>
    <r>
      <rPr>
        <rFont val="ＭＳ Ｐゴシック"/>
        <sz val="10.0"/>
      </rPr>
      <t>高畑充希</t>
    </r>
    <r>
      <rPr>
        <rFont val="Arial"/>
        <sz val="10.0"/>
      </rPr>
      <t>)</t>
    </r>
    <r>
      <rPr>
        <rFont val="ＭＳ Ｐゴシック"/>
        <sz val="10.0"/>
      </rPr>
      <t>。オーナーで元副総監の伊達</t>
    </r>
    <r>
      <rPr>
        <rFont val="Arial"/>
        <sz val="10.0"/>
      </rPr>
      <t>(</t>
    </r>
    <r>
      <rPr>
        <rFont val="ＭＳ Ｐゴシック"/>
        <sz val="10.0"/>
      </rPr>
      <t>近藤正臣</t>
    </r>
    <r>
      <rPr>
        <rFont val="Arial"/>
        <sz val="10.0"/>
      </rPr>
      <t>)</t>
    </r>
    <r>
      <rPr>
        <rFont val="ＭＳ Ｐゴシック"/>
        <sz val="10.0"/>
      </rPr>
      <t>、元たたき上げ刑事・迫田</t>
    </r>
    <r>
      <rPr>
        <rFont val="Arial"/>
        <sz val="10.0"/>
      </rPr>
      <t>(</t>
    </r>
    <r>
      <rPr>
        <rFont val="ＭＳ Ｐゴシック"/>
        <sz val="10.0"/>
      </rPr>
      <t>角野卓造</t>
    </r>
    <r>
      <rPr>
        <rFont val="Arial"/>
        <sz val="10.0"/>
      </rPr>
      <t>)</t>
    </r>
    <r>
      <rPr>
        <rFont val="ＭＳ Ｐゴシック"/>
        <sz val="10.0"/>
      </rPr>
      <t>、元科捜研・藤堂</t>
    </r>
    <r>
      <rPr>
        <rFont val="Arial"/>
        <sz val="10.0"/>
      </rPr>
      <t>(</t>
    </r>
    <r>
      <rPr>
        <rFont val="ＭＳ Ｐゴシック"/>
        <sz val="10.0"/>
      </rPr>
      <t>野口五郎</t>
    </r>
    <r>
      <rPr>
        <rFont val="Arial"/>
        <sz val="10.0"/>
      </rPr>
      <t>)</t>
    </r>
    <r>
      <rPr>
        <rFont val="ＭＳ Ｐゴシック"/>
        <sz val="10.0"/>
      </rPr>
      <t>、元警務課の高平</t>
    </r>
    <r>
      <rPr>
        <rFont val="Arial"/>
        <sz val="10.0"/>
      </rPr>
      <t>(</t>
    </r>
    <r>
      <rPr>
        <rFont val="ＭＳ Ｐゴシック"/>
        <sz val="10.0"/>
      </rPr>
      <t>小日向文世</t>
    </r>
    <r>
      <rPr>
        <rFont val="Arial"/>
        <sz val="10.0"/>
      </rPr>
      <t>)</t>
    </r>
    <r>
      <rPr>
        <rFont val="ＭＳ Ｐゴシック"/>
        <sz val="10.0"/>
      </rPr>
      <t>、そして元捜査一課エースの夏目</t>
    </r>
    <r>
      <rPr>
        <rFont val="Arial"/>
        <sz val="10.0"/>
      </rPr>
      <t>(</t>
    </r>
    <r>
      <rPr>
        <rFont val="ＭＳ Ｐゴシック"/>
        <sz val="10.0"/>
      </rPr>
      <t>西島秀俊</t>
    </r>
    <r>
      <rPr>
        <rFont val="Arial"/>
        <sz val="10.0"/>
      </rPr>
      <t>)</t>
    </r>
    <r>
      <rPr>
        <rFont val="ＭＳ Ｐゴシック"/>
        <sz val="10.0"/>
      </rPr>
      <t>など、クセ者揃いの彼ら。ある暴行事件の捜査に妙に積極的な迫田。ゲームの掲示板にヒントを見つけるが</t>
    </r>
    <r>
      <rPr>
        <rFont val="Arial"/>
        <sz val="10.0"/>
      </rPr>
      <t>…</t>
    </r>
  </si>
  <si>
    <t>番組名金曜ドラマ「メゾン・ド・ポリス」　第5話【過去の秘密!家族の絆と哀しき記憶】</t>
  </si>
  <si>
    <r>
      <rPr>
        <rFont val="ＭＳ Ｐゴシック"/>
        <sz val="10.0"/>
      </rPr>
      <t>元警察官のおじさんばかりが暮らすシェアハウス「メゾン・ド・ポリス」の面々と共に捜査をすることになった新人刑事のひより</t>
    </r>
    <r>
      <rPr>
        <rFont val="Arial"/>
        <sz val="10.0"/>
      </rPr>
      <t>(</t>
    </r>
    <r>
      <rPr>
        <rFont val="ＭＳ Ｐゴシック"/>
        <sz val="10.0"/>
      </rPr>
      <t>高畑充希</t>
    </r>
    <r>
      <rPr>
        <rFont val="Arial"/>
        <sz val="10.0"/>
      </rPr>
      <t>)</t>
    </r>
    <r>
      <rPr>
        <rFont val="ＭＳ Ｐゴシック"/>
        <sz val="10.0"/>
      </rPr>
      <t>。オーナーで元副総監の伊達</t>
    </r>
    <r>
      <rPr>
        <rFont val="Arial"/>
        <sz val="10.0"/>
      </rPr>
      <t>(</t>
    </r>
    <r>
      <rPr>
        <rFont val="ＭＳ Ｐゴシック"/>
        <sz val="10.0"/>
      </rPr>
      <t>近藤正臣</t>
    </r>
    <r>
      <rPr>
        <rFont val="Arial"/>
        <sz val="10.0"/>
      </rPr>
      <t>)</t>
    </r>
    <r>
      <rPr>
        <rFont val="ＭＳ Ｐゴシック"/>
        <sz val="10.0"/>
      </rPr>
      <t>、元たたき上げ刑事・迫田</t>
    </r>
    <r>
      <rPr>
        <rFont val="Arial"/>
        <sz val="10.0"/>
      </rPr>
      <t>(</t>
    </r>
    <r>
      <rPr>
        <rFont val="ＭＳ Ｐゴシック"/>
        <sz val="10.0"/>
      </rPr>
      <t>角野卓造</t>
    </r>
    <r>
      <rPr>
        <rFont val="Arial"/>
        <sz val="10.0"/>
      </rPr>
      <t>)</t>
    </r>
    <r>
      <rPr>
        <rFont val="ＭＳ Ｐゴシック"/>
        <sz val="10.0"/>
      </rPr>
      <t>、元科捜研・藤堂</t>
    </r>
    <r>
      <rPr>
        <rFont val="Arial"/>
        <sz val="10.0"/>
      </rPr>
      <t>(</t>
    </r>
    <r>
      <rPr>
        <rFont val="ＭＳ Ｐゴシック"/>
        <sz val="10.0"/>
      </rPr>
      <t>野口五郎</t>
    </r>
    <r>
      <rPr>
        <rFont val="Arial"/>
        <sz val="10.0"/>
      </rPr>
      <t>)</t>
    </r>
    <r>
      <rPr>
        <rFont val="ＭＳ Ｐゴシック"/>
        <sz val="10.0"/>
      </rPr>
      <t>、元警務課の高平</t>
    </r>
    <r>
      <rPr>
        <rFont val="Arial"/>
        <sz val="10.0"/>
      </rPr>
      <t>(</t>
    </r>
    <r>
      <rPr>
        <rFont val="ＭＳ Ｐゴシック"/>
        <sz val="10.0"/>
      </rPr>
      <t>小日向文世</t>
    </r>
    <r>
      <rPr>
        <rFont val="Arial"/>
        <sz val="10.0"/>
      </rPr>
      <t>)</t>
    </r>
    <r>
      <rPr>
        <rFont val="ＭＳ Ｐゴシック"/>
        <sz val="10.0"/>
      </rPr>
      <t>、そして元捜査一課エースの夏目</t>
    </r>
    <r>
      <rPr>
        <rFont val="Arial"/>
        <sz val="10.0"/>
      </rPr>
      <t>(</t>
    </r>
    <r>
      <rPr>
        <rFont val="ＭＳ Ｐゴシック"/>
        <sz val="10.0"/>
      </rPr>
      <t>西島秀俊</t>
    </r>
    <r>
      <rPr>
        <rFont val="Arial"/>
        <sz val="10.0"/>
      </rPr>
      <t>)</t>
    </r>
    <r>
      <rPr>
        <rFont val="ＭＳ Ｐゴシック"/>
        <sz val="10.0"/>
      </rPr>
      <t>など、クセ者揃いの彼ら。ひよりと伊達はバロンの散歩中に「人を殺した」と告白する老女と出会う</t>
    </r>
    <r>
      <rPr>
        <rFont val="Arial"/>
        <sz val="10.0"/>
      </rPr>
      <t>…</t>
    </r>
  </si>
  <si>
    <t>番組名金曜ドラマ「メゾン・ド・ポリス」第6話【極秘ミッション!?パパは伝説の刑事】</t>
  </si>
  <si>
    <r>
      <rPr>
        <rFont val="ＭＳ Ｐゴシック"/>
        <sz val="10.0"/>
      </rPr>
      <t>元警察官のおじさんばかりが暮らすシェアハウス「メゾン・ド・ポリス」の面々と共に捜査をすることになった新人刑事のひより</t>
    </r>
    <r>
      <rPr>
        <rFont val="Arial"/>
        <sz val="10.0"/>
      </rPr>
      <t>(</t>
    </r>
    <r>
      <rPr>
        <rFont val="ＭＳ Ｐゴシック"/>
        <sz val="10.0"/>
      </rPr>
      <t>高畑充希</t>
    </r>
    <r>
      <rPr>
        <rFont val="Arial"/>
        <sz val="10.0"/>
      </rPr>
      <t>)</t>
    </r>
    <r>
      <rPr>
        <rFont val="ＭＳ Ｐゴシック"/>
        <sz val="10.0"/>
      </rPr>
      <t>。オーナーで元副総監の伊達</t>
    </r>
    <r>
      <rPr>
        <rFont val="Arial"/>
        <sz val="10.0"/>
      </rPr>
      <t>(</t>
    </r>
    <r>
      <rPr>
        <rFont val="ＭＳ Ｐゴシック"/>
        <sz val="10.0"/>
      </rPr>
      <t>近藤正臣</t>
    </r>
    <r>
      <rPr>
        <rFont val="Arial"/>
        <sz val="10.0"/>
      </rPr>
      <t>)</t>
    </r>
    <r>
      <rPr>
        <rFont val="ＭＳ Ｐゴシック"/>
        <sz val="10.0"/>
      </rPr>
      <t>、元たたき上げ刑事・迫田</t>
    </r>
    <r>
      <rPr>
        <rFont val="Arial"/>
        <sz val="10.0"/>
      </rPr>
      <t>(</t>
    </r>
    <r>
      <rPr>
        <rFont val="ＭＳ Ｐゴシック"/>
        <sz val="10.0"/>
      </rPr>
      <t>角野卓造</t>
    </r>
    <r>
      <rPr>
        <rFont val="Arial"/>
        <sz val="10.0"/>
      </rPr>
      <t>)</t>
    </r>
    <r>
      <rPr>
        <rFont val="ＭＳ Ｐゴシック"/>
        <sz val="10.0"/>
      </rPr>
      <t>、元科捜研・藤堂</t>
    </r>
    <r>
      <rPr>
        <rFont val="Arial"/>
        <sz val="10.0"/>
      </rPr>
      <t>(</t>
    </r>
    <r>
      <rPr>
        <rFont val="ＭＳ Ｐゴシック"/>
        <sz val="10.0"/>
      </rPr>
      <t>野口五郎</t>
    </r>
    <r>
      <rPr>
        <rFont val="Arial"/>
        <sz val="10.0"/>
      </rPr>
      <t>)</t>
    </r>
    <r>
      <rPr>
        <rFont val="ＭＳ Ｐゴシック"/>
        <sz val="10.0"/>
      </rPr>
      <t>、元警務課の高平</t>
    </r>
    <r>
      <rPr>
        <rFont val="Arial"/>
        <sz val="10.0"/>
      </rPr>
      <t>(</t>
    </r>
    <r>
      <rPr>
        <rFont val="ＭＳ Ｐゴシック"/>
        <sz val="10.0"/>
      </rPr>
      <t>小日向文世</t>
    </r>
    <r>
      <rPr>
        <rFont val="Arial"/>
        <sz val="10.0"/>
      </rPr>
      <t>)</t>
    </r>
    <r>
      <rPr>
        <rFont val="ＭＳ Ｐゴシック"/>
        <sz val="10.0"/>
      </rPr>
      <t>、そして元捜査一課エースの夏目</t>
    </r>
    <r>
      <rPr>
        <rFont val="Arial"/>
        <sz val="10.0"/>
      </rPr>
      <t>(</t>
    </r>
    <r>
      <rPr>
        <rFont val="ＭＳ Ｐゴシック"/>
        <sz val="10.0"/>
      </rPr>
      <t>西島秀俊</t>
    </r>
    <r>
      <rPr>
        <rFont val="Arial"/>
        <sz val="10.0"/>
      </rPr>
      <t>)</t>
    </r>
    <r>
      <rPr>
        <rFont val="ＭＳ Ｐゴシック"/>
        <sz val="10.0"/>
      </rPr>
      <t>など、クセ者揃いの彼ら。捜査の依頼にやってきた高平の娘</t>
    </r>
    <r>
      <rPr>
        <rFont val="Arial"/>
        <sz val="10.0"/>
      </rPr>
      <t>(</t>
    </r>
    <r>
      <rPr>
        <rFont val="ＭＳ Ｐゴシック"/>
        <sz val="10.0"/>
      </rPr>
      <t>水谷果穂</t>
    </r>
    <r>
      <rPr>
        <rFont val="Arial"/>
        <sz val="10.0"/>
      </rPr>
      <t>)</t>
    </r>
    <r>
      <rPr>
        <rFont val="ＭＳ Ｐゴシック"/>
        <sz val="10.0"/>
      </rPr>
      <t>は父を伝説の刑事だと信じていて</t>
    </r>
    <r>
      <rPr>
        <rFont val="Arial"/>
        <sz val="10.0"/>
      </rPr>
      <t>…</t>
    </r>
  </si>
  <si>
    <t>番組名金曜ドラマ「メゾン・ド・ポリス」第7話【裏社会の黒幕登場!!幻のホシを追え】</t>
  </si>
  <si>
    <r>
      <rPr>
        <rFont val="ＭＳ Ｐゴシック"/>
        <sz val="10.0"/>
      </rPr>
      <t>元警察官のおじさんばかりが暮らすシェアハウス「メゾン・ド・ポリス」の面々と共に捜査をすることになった新人刑事のひより</t>
    </r>
    <r>
      <rPr>
        <rFont val="Arial"/>
        <sz val="10.0"/>
      </rPr>
      <t>(</t>
    </r>
    <r>
      <rPr>
        <rFont val="ＭＳ Ｐゴシック"/>
        <sz val="10.0"/>
      </rPr>
      <t>高畑充希</t>
    </r>
    <r>
      <rPr>
        <rFont val="Arial"/>
        <sz val="10.0"/>
      </rPr>
      <t>)</t>
    </r>
    <r>
      <rPr>
        <rFont val="ＭＳ Ｐゴシック"/>
        <sz val="10.0"/>
      </rPr>
      <t>。オーナーで元副総監の伊達</t>
    </r>
    <r>
      <rPr>
        <rFont val="Arial"/>
        <sz val="10.0"/>
      </rPr>
      <t>(</t>
    </r>
    <r>
      <rPr>
        <rFont val="ＭＳ Ｐゴシック"/>
        <sz val="10.0"/>
      </rPr>
      <t>近藤正臣</t>
    </r>
    <r>
      <rPr>
        <rFont val="Arial"/>
        <sz val="10.0"/>
      </rPr>
      <t>)</t>
    </r>
    <r>
      <rPr>
        <rFont val="ＭＳ Ｐゴシック"/>
        <sz val="10.0"/>
      </rPr>
      <t>、元たたき上げ刑事・迫田</t>
    </r>
    <r>
      <rPr>
        <rFont val="Arial"/>
        <sz val="10.0"/>
      </rPr>
      <t>(</t>
    </r>
    <r>
      <rPr>
        <rFont val="ＭＳ Ｐゴシック"/>
        <sz val="10.0"/>
      </rPr>
      <t>角野卓造</t>
    </r>
    <r>
      <rPr>
        <rFont val="Arial"/>
        <sz val="10.0"/>
      </rPr>
      <t>)</t>
    </r>
    <r>
      <rPr>
        <rFont val="ＭＳ Ｐゴシック"/>
        <sz val="10.0"/>
      </rPr>
      <t>、元科捜研・藤堂</t>
    </r>
    <r>
      <rPr>
        <rFont val="Arial"/>
        <sz val="10.0"/>
      </rPr>
      <t>(</t>
    </r>
    <r>
      <rPr>
        <rFont val="ＭＳ Ｐゴシック"/>
        <sz val="10.0"/>
      </rPr>
      <t>野口五郎</t>
    </r>
    <r>
      <rPr>
        <rFont val="Arial"/>
        <sz val="10.0"/>
      </rPr>
      <t>)</t>
    </r>
    <r>
      <rPr>
        <rFont val="ＭＳ Ｐゴシック"/>
        <sz val="10.0"/>
      </rPr>
      <t>、元警務課の高平</t>
    </r>
    <r>
      <rPr>
        <rFont val="Arial"/>
        <sz val="10.0"/>
      </rPr>
      <t>(</t>
    </r>
    <r>
      <rPr>
        <rFont val="ＭＳ Ｐゴシック"/>
        <sz val="10.0"/>
      </rPr>
      <t>小日向文世</t>
    </r>
    <r>
      <rPr>
        <rFont val="Arial"/>
        <sz val="10.0"/>
      </rPr>
      <t>)</t>
    </r>
    <r>
      <rPr>
        <rFont val="ＭＳ Ｐゴシック"/>
        <sz val="10.0"/>
      </rPr>
      <t>、そして元捜査一課エースの夏目</t>
    </r>
    <r>
      <rPr>
        <rFont val="Arial"/>
        <sz val="10.0"/>
      </rPr>
      <t>(</t>
    </r>
    <r>
      <rPr>
        <rFont val="ＭＳ Ｐゴシック"/>
        <sz val="10.0"/>
      </rPr>
      <t>西島秀俊</t>
    </r>
    <r>
      <rPr>
        <rFont val="Arial"/>
        <sz val="10.0"/>
      </rPr>
      <t>)</t>
    </r>
    <r>
      <rPr>
        <rFont val="ＭＳ Ｐゴシック"/>
        <sz val="10.0"/>
      </rPr>
      <t>など、クセ者揃いの彼ら。伊達の幼馴染・本郷</t>
    </r>
    <r>
      <rPr>
        <rFont val="Arial"/>
        <sz val="10.0"/>
      </rPr>
      <t>(</t>
    </r>
    <r>
      <rPr>
        <rFont val="ＭＳ Ｐゴシック"/>
        <sz val="10.0"/>
      </rPr>
      <t>井上順</t>
    </r>
    <r>
      <rPr>
        <rFont val="Arial"/>
        <sz val="10.0"/>
      </rPr>
      <t>)</t>
    </r>
    <r>
      <rPr>
        <rFont val="ＭＳ Ｐゴシック"/>
        <sz val="10.0"/>
      </rPr>
      <t>が金庫破りに遭い、その捜査をすることになって</t>
    </r>
    <r>
      <rPr>
        <rFont val="Arial"/>
        <sz val="10.0"/>
      </rPr>
      <t>…</t>
    </r>
  </si>
  <si>
    <t>番組名金曜ドラマ「メゾン・ド・ポリス」　第8話【最終章へ!藤堂誘拐に隠された真実】</t>
  </si>
  <si>
    <r>
      <rPr>
        <rFont val="ＭＳ Ｐゴシック"/>
        <sz val="10.0"/>
      </rPr>
      <t>元警察官のおじさんばかりが暮らすシェアハウス「メゾン・ド・ポリス」の面々と共に捜査をすることになった新人刑事のひより</t>
    </r>
    <r>
      <rPr>
        <rFont val="Arial"/>
        <sz val="10.0"/>
      </rPr>
      <t>(</t>
    </r>
    <r>
      <rPr>
        <rFont val="ＭＳ Ｐゴシック"/>
        <sz val="10.0"/>
      </rPr>
      <t>高畑充希</t>
    </r>
    <r>
      <rPr>
        <rFont val="Arial"/>
        <sz val="10.0"/>
      </rPr>
      <t>)</t>
    </r>
    <r>
      <rPr>
        <rFont val="ＭＳ Ｐゴシック"/>
        <sz val="10.0"/>
      </rPr>
      <t>。オーナーで元副総監の伊達</t>
    </r>
    <r>
      <rPr>
        <rFont val="Arial"/>
        <sz val="10.0"/>
      </rPr>
      <t>(</t>
    </r>
    <r>
      <rPr>
        <rFont val="ＭＳ Ｐゴシック"/>
        <sz val="10.0"/>
      </rPr>
      <t>近藤正臣</t>
    </r>
    <r>
      <rPr>
        <rFont val="Arial"/>
        <sz val="10.0"/>
      </rPr>
      <t>)</t>
    </r>
    <r>
      <rPr>
        <rFont val="ＭＳ Ｐゴシック"/>
        <sz val="10.0"/>
      </rPr>
      <t>、元たたき上げ刑事・迫田</t>
    </r>
    <r>
      <rPr>
        <rFont val="Arial"/>
        <sz val="10.0"/>
      </rPr>
      <t>(</t>
    </r>
    <r>
      <rPr>
        <rFont val="ＭＳ Ｐゴシック"/>
        <sz val="10.0"/>
      </rPr>
      <t>角野卓造</t>
    </r>
    <r>
      <rPr>
        <rFont val="Arial"/>
        <sz val="10.0"/>
      </rPr>
      <t>)</t>
    </r>
    <r>
      <rPr>
        <rFont val="ＭＳ Ｐゴシック"/>
        <sz val="10.0"/>
      </rPr>
      <t>、元科捜研・藤堂</t>
    </r>
    <r>
      <rPr>
        <rFont val="Arial"/>
        <sz val="10.0"/>
      </rPr>
      <t>(</t>
    </r>
    <r>
      <rPr>
        <rFont val="ＭＳ Ｐゴシック"/>
        <sz val="10.0"/>
      </rPr>
      <t>野口五郎</t>
    </r>
    <r>
      <rPr>
        <rFont val="Arial"/>
        <sz val="10.0"/>
      </rPr>
      <t>)</t>
    </r>
    <r>
      <rPr>
        <rFont val="ＭＳ Ｐゴシック"/>
        <sz val="10.0"/>
      </rPr>
      <t>、元警務課の高平</t>
    </r>
    <r>
      <rPr>
        <rFont val="Arial"/>
        <sz val="10.0"/>
      </rPr>
      <t>(</t>
    </r>
    <r>
      <rPr>
        <rFont val="ＭＳ Ｐゴシック"/>
        <sz val="10.0"/>
      </rPr>
      <t>小日向文世</t>
    </r>
    <r>
      <rPr>
        <rFont val="Arial"/>
        <sz val="10.0"/>
      </rPr>
      <t>)</t>
    </r>
    <r>
      <rPr>
        <rFont val="ＭＳ Ｐゴシック"/>
        <sz val="10.0"/>
      </rPr>
      <t>、そして元捜査一課エースの夏目</t>
    </r>
    <r>
      <rPr>
        <rFont val="Arial"/>
        <sz val="10.0"/>
      </rPr>
      <t>(</t>
    </r>
    <r>
      <rPr>
        <rFont val="ＭＳ Ｐゴシック"/>
        <sz val="10.0"/>
      </rPr>
      <t>西島秀俊</t>
    </r>
    <r>
      <rPr>
        <rFont val="Arial"/>
        <sz val="10.0"/>
      </rPr>
      <t>)</t>
    </r>
    <r>
      <rPr>
        <rFont val="ＭＳ Ｐゴシック"/>
        <sz val="10.0"/>
      </rPr>
      <t>など、クセ者揃いの彼ら。ある日、シェアハウスに藤堂が誘拐されたという報せが入る。誘拐犯の要求とは</t>
    </r>
    <r>
      <rPr>
        <rFont val="Arial"/>
        <sz val="10.0"/>
      </rPr>
      <t>!?</t>
    </r>
  </si>
  <si>
    <t>番組名金曜ドラマ「メゾン・ド・ポリス」第9話【無敵の黒幕登場!チームの大ピンチ!?】</t>
  </si>
  <si>
    <r>
      <rPr>
        <rFont val="ＭＳ Ｐゴシック"/>
        <sz val="10.0"/>
      </rPr>
      <t>元警察官のおじさんばかりが暮らすシェアハウス「メゾン・ド・ポリス」の面々と共に捜査をすることになった新人刑事のひより</t>
    </r>
    <r>
      <rPr>
        <rFont val="Arial"/>
        <sz val="10.0"/>
      </rPr>
      <t>(</t>
    </r>
    <r>
      <rPr>
        <rFont val="ＭＳ Ｐゴシック"/>
        <sz val="10.0"/>
      </rPr>
      <t>高畑充希</t>
    </r>
    <r>
      <rPr>
        <rFont val="Arial"/>
        <sz val="10.0"/>
      </rPr>
      <t>)</t>
    </r>
    <r>
      <rPr>
        <rFont val="ＭＳ Ｐゴシック"/>
        <sz val="10.0"/>
      </rPr>
      <t>。オーナーで元副総監の伊達</t>
    </r>
    <r>
      <rPr>
        <rFont val="Arial"/>
        <sz val="10.0"/>
      </rPr>
      <t>(</t>
    </r>
    <r>
      <rPr>
        <rFont val="ＭＳ Ｐゴシック"/>
        <sz val="10.0"/>
      </rPr>
      <t>近藤正臣</t>
    </r>
    <r>
      <rPr>
        <rFont val="Arial"/>
        <sz val="10.0"/>
      </rPr>
      <t>)</t>
    </r>
    <r>
      <rPr>
        <rFont val="ＭＳ Ｐゴシック"/>
        <sz val="10.0"/>
      </rPr>
      <t>、元たたき上げ刑事・迫田</t>
    </r>
    <r>
      <rPr>
        <rFont val="Arial"/>
        <sz val="10.0"/>
      </rPr>
      <t>(</t>
    </r>
    <r>
      <rPr>
        <rFont val="ＭＳ Ｐゴシック"/>
        <sz val="10.0"/>
      </rPr>
      <t>角野卓造</t>
    </r>
    <r>
      <rPr>
        <rFont val="Arial"/>
        <sz val="10.0"/>
      </rPr>
      <t>)</t>
    </r>
    <r>
      <rPr>
        <rFont val="ＭＳ Ｐゴシック"/>
        <sz val="10.0"/>
      </rPr>
      <t>、元科捜研・藤堂</t>
    </r>
    <r>
      <rPr>
        <rFont val="Arial"/>
        <sz val="10.0"/>
      </rPr>
      <t>(</t>
    </r>
    <r>
      <rPr>
        <rFont val="ＭＳ Ｐゴシック"/>
        <sz val="10.0"/>
      </rPr>
      <t>野口五郎</t>
    </r>
    <r>
      <rPr>
        <rFont val="Arial"/>
        <sz val="10.0"/>
      </rPr>
      <t>)</t>
    </r>
    <r>
      <rPr>
        <rFont val="ＭＳ Ｐゴシック"/>
        <sz val="10.0"/>
      </rPr>
      <t>、元警務課の高平</t>
    </r>
    <r>
      <rPr>
        <rFont val="Arial"/>
        <sz val="10.0"/>
      </rPr>
      <t>(</t>
    </r>
    <r>
      <rPr>
        <rFont val="ＭＳ Ｐゴシック"/>
        <sz val="10.0"/>
      </rPr>
      <t>小日向文世</t>
    </r>
    <r>
      <rPr>
        <rFont val="Arial"/>
        <sz val="10.0"/>
      </rPr>
      <t>)</t>
    </r>
    <r>
      <rPr>
        <rFont val="ＭＳ Ｐゴシック"/>
        <sz val="10.0"/>
      </rPr>
      <t>、そして元捜査一課エースの夏目</t>
    </r>
    <r>
      <rPr>
        <rFont val="Arial"/>
        <sz val="10.0"/>
      </rPr>
      <t>(</t>
    </r>
    <r>
      <rPr>
        <rFont val="ＭＳ Ｐゴシック"/>
        <sz val="10.0"/>
      </rPr>
      <t>西島秀俊</t>
    </r>
    <r>
      <rPr>
        <rFont val="Arial"/>
        <sz val="10.0"/>
      </rPr>
      <t>)</t>
    </r>
    <r>
      <rPr>
        <rFont val="ＭＳ Ｐゴシック"/>
        <sz val="10.0"/>
      </rPr>
      <t>など、クセ者揃いの彼らは、全ての事件の黒幕</t>
    </r>
    <r>
      <rPr>
        <rFont val="Arial"/>
        <sz val="10.0"/>
      </rPr>
      <t>(</t>
    </r>
    <r>
      <rPr>
        <rFont val="ＭＳ Ｐゴシック"/>
        <sz val="10.0"/>
      </rPr>
      <t>佐野史郎</t>
    </r>
    <r>
      <rPr>
        <rFont val="Arial"/>
        <sz val="10.0"/>
      </rPr>
      <t>)</t>
    </r>
    <r>
      <rPr>
        <rFont val="ＭＳ Ｐゴシック"/>
        <sz val="10.0"/>
      </rPr>
      <t>に辿り着く。ところが各々の身に危険が迫って</t>
    </r>
    <r>
      <rPr>
        <rFont val="Arial"/>
        <sz val="10.0"/>
      </rPr>
      <t>…</t>
    </r>
  </si>
  <si>
    <t>番組名金曜ドラマ「メゾン・ド・ポリス」最終回【決死の作戦!おじさん軍団よ永遠に】</t>
  </si>
  <si>
    <r>
      <rPr>
        <rFont val="ＭＳ Ｐゴシック"/>
        <sz val="10.0"/>
      </rPr>
      <t>元警察官のおじさんばかりが暮らすシェアハウス「メゾン・ド・ポリス」の面々と共に捜査をすることになった新人刑事のひより</t>
    </r>
    <r>
      <rPr>
        <rFont val="Arial"/>
        <sz val="10.0"/>
      </rPr>
      <t>(</t>
    </r>
    <r>
      <rPr>
        <rFont val="ＭＳ Ｐゴシック"/>
        <sz val="10.0"/>
      </rPr>
      <t>高畑充希</t>
    </r>
    <r>
      <rPr>
        <rFont val="Arial"/>
        <sz val="10.0"/>
      </rPr>
      <t>)</t>
    </r>
    <r>
      <rPr>
        <rFont val="ＭＳ Ｐゴシック"/>
        <sz val="10.0"/>
      </rPr>
      <t>。オーナーで元副総監の伊達</t>
    </r>
    <r>
      <rPr>
        <rFont val="Arial"/>
        <sz val="10.0"/>
      </rPr>
      <t>(</t>
    </r>
    <r>
      <rPr>
        <rFont val="ＭＳ Ｐゴシック"/>
        <sz val="10.0"/>
      </rPr>
      <t>近藤正臣</t>
    </r>
    <r>
      <rPr>
        <rFont val="Arial"/>
        <sz val="10.0"/>
      </rPr>
      <t>)</t>
    </r>
    <r>
      <rPr>
        <rFont val="ＭＳ Ｐゴシック"/>
        <sz val="10.0"/>
      </rPr>
      <t>、元たたき上げ刑事・迫田</t>
    </r>
    <r>
      <rPr>
        <rFont val="Arial"/>
        <sz val="10.0"/>
      </rPr>
      <t>(</t>
    </r>
    <r>
      <rPr>
        <rFont val="ＭＳ Ｐゴシック"/>
        <sz val="10.0"/>
      </rPr>
      <t>角野卓造</t>
    </r>
    <r>
      <rPr>
        <rFont val="Arial"/>
        <sz val="10.0"/>
      </rPr>
      <t>)</t>
    </r>
    <r>
      <rPr>
        <rFont val="ＭＳ Ｐゴシック"/>
        <sz val="10.0"/>
      </rPr>
      <t>、元科捜研・藤堂</t>
    </r>
    <r>
      <rPr>
        <rFont val="Arial"/>
        <sz val="10.0"/>
      </rPr>
      <t>(</t>
    </r>
    <r>
      <rPr>
        <rFont val="ＭＳ Ｐゴシック"/>
        <sz val="10.0"/>
      </rPr>
      <t>野口五郎</t>
    </r>
    <r>
      <rPr>
        <rFont val="Arial"/>
        <sz val="10.0"/>
      </rPr>
      <t>)</t>
    </r>
    <r>
      <rPr>
        <rFont val="ＭＳ Ｐゴシック"/>
        <sz val="10.0"/>
      </rPr>
      <t>、元警務課の高平</t>
    </r>
    <r>
      <rPr>
        <rFont val="Arial"/>
        <sz val="10.0"/>
      </rPr>
      <t>(</t>
    </r>
    <r>
      <rPr>
        <rFont val="ＭＳ Ｐゴシック"/>
        <sz val="10.0"/>
      </rPr>
      <t>小日向文世</t>
    </r>
    <r>
      <rPr>
        <rFont val="Arial"/>
        <sz val="10.0"/>
      </rPr>
      <t>)</t>
    </r>
    <r>
      <rPr>
        <rFont val="ＭＳ Ｐゴシック"/>
        <sz val="10.0"/>
      </rPr>
      <t>、そして元捜査一課エースの夏目</t>
    </r>
    <r>
      <rPr>
        <rFont val="Arial"/>
        <sz val="10.0"/>
      </rPr>
      <t>(</t>
    </r>
    <r>
      <rPr>
        <rFont val="ＭＳ Ｐゴシック"/>
        <sz val="10.0"/>
      </rPr>
      <t>西島秀俊</t>
    </r>
    <r>
      <rPr>
        <rFont val="Arial"/>
        <sz val="10.0"/>
      </rPr>
      <t>)</t>
    </r>
    <r>
      <rPr>
        <rFont val="ＭＳ Ｐゴシック"/>
        <sz val="10.0"/>
      </rPr>
      <t>などクセ者揃いの彼らは、野間</t>
    </r>
    <r>
      <rPr>
        <rFont val="Arial"/>
        <sz val="10.0"/>
      </rPr>
      <t>(</t>
    </r>
    <r>
      <rPr>
        <rFont val="ＭＳ Ｐゴシック"/>
        <sz val="10.0"/>
      </rPr>
      <t>佐野史郎</t>
    </r>
    <r>
      <rPr>
        <rFont val="Arial"/>
        <sz val="10.0"/>
      </rPr>
      <t>)</t>
    </r>
    <r>
      <rPr>
        <rFont val="ＭＳ Ｐゴシック"/>
        <sz val="10.0"/>
      </rPr>
      <t>によって窮地に陥る。ひよりは最後の希望を求めて奔走するが</t>
    </r>
    <r>
      <rPr>
        <rFont val="Arial"/>
        <sz val="10.0"/>
      </rPr>
      <t>…</t>
    </r>
  </si>
  <si>
    <t>1901_TBS_日21</t>
  </si>
  <si>
    <t>グッドワイフ</t>
  </si>
  <si>
    <t>番組名日曜劇場「グッドワイフ」　#1【家族の裏切り】</t>
  </si>
  <si>
    <r>
      <rPr>
        <rFont val="ＭＳ Ｐゴシック"/>
        <sz val="10.0"/>
      </rPr>
      <t>蓮見杏子</t>
    </r>
    <r>
      <rPr>
        <rFont val="Arial"/>
        <sz val="10.0"/>
      </rPr>
      <t>(</t>
    </r>
    <r>
      <rPr>
        <rFont val="ＭＳ Ｐゴシック"/>
        <sz val="10.0"/>
      </rPr>
      <t>常盤貴子</t>
    </r>
    <r>
      <rPr>
        <rFont val="Arial"/>
        <sz val="10.0"/>
      </rPr>
      <t>)</t>
    </r>
    <r>
      <rPr>
        <rFont val="ＭＳ Ｐゴシック"/>
        <sz val="10.0"/>
      </rPr>
      <t>は優秀な若手弁護士だったが、出産を機に引退。専業主婦として、二人の子供と夫である東京地検・特捜部長の壮一郎</t>
    </r>
    <r>
      <rPr>
        <rFont val="Arial"/>
        <sz val="10.0"/>
      </rPr>
      <t>(</t>
    </r>
    <r>
      <rPr>
        <rFont val="ＭＳ Ｐゴシック"/>
        <sz val="10.0"/>
      </rPr>
      <t>唐沢寿明</t>
    </r>
    <r>
      <rPr>
        <rFont val="Arial"/>
        <sz val="10.0"/>
      </rPr>
      <t>)</t>
    </r>
    <r>
      <rPr>
        <rFont val="ＭＳ Ｐゴシック"/>
        <sz val="10.0"/>
      </rPr>
      <t>と共に、幸せな日々を送っていた。</t>
    </r>
    <r>
      <rPr>
        <rFont val="Arial"/>
        <sz val="10.0"/>
      </rPr>
      <t xml:space="preserve">  </t>
    </r>
    <r>
      <rPr>
        <rFont val="ＭＳ Ｐゴシック"/>
        <sz val="10.0"/>
      </rPr>
      <t>しかし、その生活は一瞬にして崩れる。壮一郎の汚職疑惑、さらに女性スキャンダルまで発覚。汚職は否定したものの、女性との関係は認めた。ほどなくして壮一郎は逮捕。</t>
    </r>
    <r>
      <rPr>
        <rFont val="Arial"/>
        <sz val="10.0"/>
      </rPr>
      <t xml:space="preserve">  </t>
    </r>
    <r>
      <rPr>
        <rFont val="ＭＳ Ｐゴシック"/>
        <sz val="10.0"/>
      </rPr>
      <t>杏子は、家族のために</t>
    </r>
    <r>
      <rPr>
        <rFont val="Arial"/>
        <sz val="10.0"/>
      </rPr>
      <t>16</t>
    </r>
    <r>
      <rPr>
        <rFont val="ＭＳ Ｐゴシック"/>
        <sz val="10.0"/>
      </rPr>
      <t>年ぶりの弁護士復帰を決意する。杏子に手を差し伸べたのは神山多田法律事務所の代表・多田征大</t>
    </r>
    <r>
      <rPr>
        <rFont val="Arial"/>
        <sz val="10.0"/>
      </rPr>
      <t>(</t>
    </r>
    <r>
      <rPr>
        <rFont val="ＭＳ Ｐゴシック"/>
        <sz val="10.0"/>
      </rPr>
      <t>小泉孝太郎</t>
    </r>
    <r>
      <rPr>
        <rFont val="Arial"/>
        <sz val="10.0"/>
      </rPr>
      <t>)</t>
    </r>
    <r>
      <rPr>
        <rFont val="ＭＳ Ｐゴシック"/>
        <sz val="10.0"/>
      </rPr>
      <t>だった。二人は司法修習生時代の同期で、かつて多田は杏子に好意を持っていた。ただ、それとは別に杏子の弁護士としての力も高く評価し、反対する共同代表・神山佳恵</t>
    </r>
    <r>
      <rPr>
        <rFont val="Arial"/>
        <sz val="10.0"/>
      </rPr>
      <t>(</t>
    </r>
    <r>
      <rPr>
        <rFont val="ＭＳ Ｐゴシック"/>
        <sz val="10.0"/>
      </rPr>
      <t>賀来千香子</t>
    </r>
    <r>
      <rPr>
        <rFont val="Arial"/>
        <sz val="10.0"/>
      </rPr>
      <t>)</t>
    </r>
    <r>
      <rPr>
        <rFont val="ＭＳ Ｐゴシック"/>
        <sz val="10.0"/>
      </rPr>
      <t>を説き伏せて決めた。</t>
    </r>
    <r>
      <rPr>
        <rFont val="Arial"/>
        <sz val="10.0"/>
      </rPr>
      <t xml:space="preserve">  </t>
    </r>
    <r>
      <rPr>
        <rFont val="ＭＳ Ｐゴシック"/>
        <sz val="10.0"/>
      </rPr>
      <t>しかし、あくまで仮採用で半年後の本採用をかけて若手弁護士の朝飛光太郎</t>
    </r>
    <r>
      <rPr>
        <rFont val="Arial"/>
        <sz val="10.0"/>
      </rPr>
      <t>(</t>
    </r>
    <r>
      <rPr>
        <rFont val="ＭＳ Ｐゴシック"/>
        <sz val="10.0"/>
      </rPr>
      <t>北村匠海</t>
    </r>
    <r>
      <rPr>
        <rFont val="Arial"/>
        <sz val="10.0"/>
      </rPr>
      <t>)</t>
    </r>
    <r>
      <rPr>
        <rFont val="ＭＳ Ｐゴシック"/>
        <sz val="10.0"/>
      </rPr>
      <t>と競うことになる。最初の相手は人気キャスター日下部</t>
    </r>
    <r>
      <rPr>
        <rFont val="Arial"/>
        <sz val="10.0"/>
      </rPr>
      <t>(</t>
    </r>
    <r>
      <rPr>
        <rFont val="ＭＳ Ｐゴシック"/>
        <sz val="10.0"/>
      </rPr>
      <t>武田鉄矢</t>
    </r>
    <r>
      <rPr>
        <rFont val="Arial"/>
        <sz val="10.0"/>
      </rPr>
      <t>)</t>
    </r>
    <r>
      <rPr>
        <rFont val="ＭＳ Ｐゴシック"/>
        <sz val="10.0"/>
      </rPr>
      <t>。表現の自由を巡り、争っていくことになる。</t>
    </r>
  </si>
  <si>
    <t>番組名日曜劇場「グッドワイフ」　#2【その男、黒か白か】</t>
  </si>
  <si>
    <r>
      <rPr>
        <rFont val="ＭＳ Ｐゴシック"/>
        <sz val="10.0"/>
      </rPr>
      <t>事務所の名誉顧問であり神山佳恵</t>
    </r>
    <r>
      <rPr>
        <rFont val="Arial"/>
        <sz val="10.0"/>
      </rPr>
      <t>(</t>
    </r>
    <r>
      <rPr>
        <rFont val="ＭＳ Ｐゴシック"/>
        <sz val="10.0"/>
      </rPr>
      <t>賀来千香子</t>
    </r>
    <r>
      <rPr>
        <rFont val="Arial"/>
        <sz val="10.0"/>
      </rPr>
      <t>)</t>
    </r>
    <r>
      <rPr>
        <rFont val="ＭＳ Ｐゴシック"/>
        <sz val="10.0"/>
      </rPr>
      <t>の父、神山大輔</t>
    </r>
    <r>
      <rPr>
        <rFont val="Arial"/>
        <sz val="10.0"/>
      </rPr>
      <t>(</t>
    </r>
    <r>
      <rPr>
        <rFont val="ＭＳ Ｐゴシック"/>
        <sz val="10.0"/>
      </rPr>
      <t>橋爪功</t>
    </r>
    <r>
      <rPr>
        <rFont val="Arial"/>
        <sz val="10.0"/>
      </rPr>
      <t>)</t>
    </r>
    <r>
      <rPr>
        <rFont val="ＭＳ Ｐゴシック"/>
        <sz val="10.0"/>
      </rPr>
      <t>が事務所を尋ねてくる。大輔は、酒酔い運転を起こし、さらに警官に抵抗し公務執行妨害を起こした罪で起訴されたのだ。</t>
    </r>
    <r>
      <rPr>
        <rFont val="Arial"/>
        <sz val="10.0"/>
      </rPr>
      <t xml:space="preserve">  </t>
    </r>
    <r>
      <rPr>
        <rFont val="ＭＳ Ｐゴシック"/>
        <sz val="10.0"/>
      </rPr>
      <t>大輔は無罪を主張するが、状況証拠からは、どうみてもクロ</t>
    </r>
    <r>
      <rPr>
        <rFont val="Arial"/>
        <sz val="10.0"/>
      </rPr>
      <t>(</t>
    </r>
    <r>
      <rPr>
        <rFont val="ＭＳ Ｐゴシック"/>
        <sz val="10.0"/>
      </rPr>
      <t>有罪</t>
    </r>
    <r>
      <rPr>
        <rFont val="Arial"/>
        <sz val="10.0"/>
      </rPr>
      <t>)</t>
    </r>
    <r>
      <rPr>
        <rFont val="ＭＳ Ｐゴシック"/>
        <sz val="10.0"/>
      </rPr>
      <t>。</t>
    </r>
    <r>
      <rPr>
        <rFont val="Arial"/>
        <sz val="10.0"/>
      </rPr>
      <t xml:space="preserve">  </t>
    </r>
    <r>
      <rPr>
        <rFont val="ＭＳ Ｐゴシック"/>
        <sz val="10.0"/>
      </rPr>
      <t>その弁護を杏子</t>
    </r>
    <r>
      <rPr>
        <rFont val="Arial"/>
        <sz val="10.0"/>
      </rPr>
      <t>(</t>
    </r>
    <r>
      <rPr>
        <rFont val="ＭＳ Ｐゴシック"/>
        <sz val="10.0"/>
      </rPr>
      <t>常盤貴子</t>
    </r>
    <r>
      <rPr>
        <rFont val="Arial"/>
        <sz val="10.0"/>
      </rPr>
      <t>)</t>
    </r>
    <r>
      <rPr>
        <rFont val="ＭＳ Ｐゴシック"/>
        <sz val="10.0"/>
      </rPr>
      <t>は大輔から依頼される。多田</t>
    </r>
    <r>
      <rPr>
        <rFont val="Arial"/>
        <sz val="10.0"/>
      </rPr>
      <t>(</t>
    </r>
    <r>
      <rPr>
        <rFont val="ＭＳ Ｐゴシック"/>
        <sz val="10.0"/>
      </rPr>
      <t>小泉孝太郎</t>
    </r>
    <r>
      <rPr>
        <rFont val="Arial"/>
        <sz val="10.0"/>
      </rPr>
      <t>)</t>
    </r>
    <r>
      <rPr>
        <rFont val="ＭＳ Ｐゴシック"/>
        <sz val="10.0"/>
      </rPr>
      <t>は、新人には無理だと反対するが、杏子は自ら担当することを決意する。しかし、大輔から、新人で自分の言うとおりになるから指名されたと聞かされて愕然とする杏子。自由奔放な大輔に翻弄される。しかも、神山から大輔が妻を殺したという衝撃の告白を聞かされる。そんな中、特捜部長の脇坂</t>
    </r>
    <r>
      <rPr>
        <rFont val="Arial"/>
        <sz val="10.0"/>
      </rPr>
      <t>(</t>
    </r>
    <r>
      <rPr>
        <rFont val="ＭＳ Ｐゴシック"/>
        <sz val="10.0"/>
      </rPr>
      <t>吉田鋼太郎</t>
    </r>
    <r>
      <rPr>
        <rFont val="Arial"/>
        <sz val="10.0"/>
      </rPr>
      <t>)</t>
    </r>
    <r>
      <rPr>
        <rFont val="ＭＳ Ｐゴシック"/>
        <sz val="10.0"/>
      </rPr>
      <t>が杏子に接触。壮一郎の疑惑が深まる中、壮一郎と接見して核心を問う。そこで衝撃の告白をされる。杏子は壮一郎とのことも、そして担当する大輔の弁護でも窮地に立たされる。</t>
    </r>
  </si>
  <si>
    <t>番組名日曜劇場「グッドワイフ」　#3「隠された罠」</t>
  </si>
  <si>
    <r>
      <rPr>
        <rFont val="ＭＳ Ｐゴシック"/>
        <sz val="10.0"/>
      </rPr>
      <t>回送列車の脱線事故が発生し、運転手が死亡。杏子</t>
    </r>
    <r>
      <rPr>
        <rFont val="Arial"/>
        <sz val="10.0"/>
      </rPr>
      <t>(</t>
    </r>
    <r>
      <rPr>
        <rFont val="ＭＳ Ｐゴシック"/>
        <sz val="10.0"/>
      </rPr>
      <t>常盤貴子</t>
    </r>
    <r>
      <rPr>
        <rFont val="Arial"/>
        <sz val="10.0"/>
      </rPr>
      <t>)</t>
    </r>
    <r>
      <rPr>
        <rFont val="ＭＳ Ｐゴシック"/>
        <sz val="10.0"/>
      </rPr>
      <t>、多田</t>
    </r>
    <r>
      <rPr>
        <rFont val="Arial"/>
        <sz val="10.0"/>
      </rPr>
      <t>(</t>
    </r>
    <r>
      <rPr>
        <rFont val="ＭＳ Ｐゴシック"/>
        <sz val="10.0"/>
      </rPr>
      <t>小泉孝太郎</t>
    </r>
    <r>
      <rPr>
        <rFont val="Arial"/>
        <sz val="10.0"/>
      </rPr>
      <t>)</t>
    </r>
    <r>
      <rPr>
        <rFont val="ＭＳ Ｐゴシック"/>
        <sz val="10.0"/>
      </rPr>
      <t>、朝飛</t>
    </r>
    <r>
      <rPr>
        <rFont val="Arial"/>
        <sz val="10.0"/>
      </rPr>
      <t>(</t>
    </r>
    <r>
      <rPr>
        <rFont val="ＭＳ Ｐゴシック"/>
        <sz val="10.0"/>
      </rPr>
      <t>北村匠海</t>
    </r>
    <r>
      <rPr>
        <rFont val="Arial"/>
        <sz val="10.0"/>
      </rPr>
      <t>)</t>
    </r>
    <r>
      <rPr>
        <rFont val="ＭＳ Ｐゴシック"/>
        <sz val="10.0"/>
      </rPr>
      <t>が担当することになった。相手の代理人は河合映美</t>
    </r>
    <r>
      <rPr>
        <rFont val="Arial"/>
        <sz val="10.0"/>
      </rPr>
      <t>(</t>
    </r>
    <r>
      <rPr>
        <rFont val="ＭＳ Ｐゴシック"/>
        <sz val="10.0"/>
      </rPr>
      <t>江口のりこ</t>
    </r>
    <r>
      <rPr>
        <rFont val="Arial"/>
        <sz val="10.0"/>
      </rPr>
      <t>)</t>
    </r>
    <r>
      <rPr>
        <rFont val="ＭＳ Ｐゴシック"/>
        <sz val="10.0"/>
      </rPr>
      <t>。杏子たちは過重労働による事故で</t>
    </r>
    <r>
      <rPr>
        <rFont val="Arial"/>
        <sz val="10.0"/>
      </rPr>
      <t>1</t>
    </r>
    <r>
      <rPr>
        <rFont val="ＭＳ Ｐゴシック"/>
        <sz val="10.0"/>
      </rPr>
      <t>億円の賠償金を請求するが、映美たちは運転士の居眠りだとして</t>
    </r>
    <r>
      <rPr>
        <rFont val="Arial"/>
        <sz val="10.0"/>
      </rPr>
      <t>50</t>
    </r>
    <r>
      <rPr>
        <rFont val="ＭＳ Ｐゴシック"/>
        <sz val="10.0"/>
      </rPr>
      <t>万の見舞金を提案。真っ向から主張が対立する。しかも、妊婦である映美は、形勢が悪くなるお体調不良を理由に一方的に交渉を打ち切る始末。一方、杏子は拘置所にいる壮一郎</t>
    </r>
    <r>
      <rPr>
        <rFont val="Arial"/>
        <sz val="10.0"/>
      </rPr>
      <t>(</t>
    </r>
    <r>
      <rPr>
        <rFont val="ＭＳ Ｐゴシック"/>
        <sz val="10.0"/>
      </rPr>
      <t>唐沢寿明</t>
    </r>
    <r>
      <rPr>
        <rFont val="Arial"/>
        <sz val="10.0"/>
      </rPr>
      <t>)</t>
    </r>
    <r>
      <rPr>
        <rFont val="ＭＳ Ｐゴシック"/>
        <sz val="10.0"/>
      </rPr>
      <t>と面会し、過去の話をする中で、前向きな気持ちになる。そんな杏子に歯がゆい気持ちの多田。そんな中、過重労働の案件で、杏子はある違和感に気づき・・・</t>
    </r>
  </si>
  <si>
    <t>番組名日曜劇場「グッドワイフ」　#4「過去との決別」</t>
  </si>
  <si>
    <r>
      <rPr>
        <rFont val="ＭＳ Ｐゴシック"/>
        <sz val="10.0"/>
      </rPr>
      <t>杏子</t>
    </r>
    <r>
      <rPr>
        <rFont val="Arial"/>
        <sz val="10.0"/>
      </rPr>
      <t>(</t>
    </r>
    <r>
      <rPr>
        <rFont val="ＭＳ Ｐゴシック"/>
        <sz val="10.0"/>
      </rPr>
      <t>常盤貴子</t>
    </r>
    <r>
      <rPr>
        <rFont val="Arial"/>
        <sz val="10.0"/>
      </rPr>
      <t>)</t>
    </r>
    <r>
      <rPr>
        <rFont val="ＭＳ Ｐゴシック"/>
        <sz val="10.0"/>
      </rPr>
      <t>が以前すんでいた家の近所の男子高校生・萩原翔平</t>
    </r>
    <r>
      <rPr>
        <rFont val="Arial"/>
        <sz val="10.0"/>
      </rPr>
      <t>(</t>
    </r>
    <r>
      <rPr>
        <rFont val="ＭＳ Ｐゴシック"/>
        <sz val="10.0"/>
      </rPr>
      <t>佐藤緋美</t>
    </r>
    <r>
      <rPr>
        <rFont val="Arial"/>
        <sz val="10.0"/>
      </rPr>
      <t>)</t>
    </r>
    <r>
      <rPr>
        <rFont val="ＭＳ Ｐゴシック"/>
        <sz val="10.0"/>
      </rPr>
      <t>が傷害致死容疑で逮捕された。翔平の母・奈津子</t>
    </r>
    <r>
      <rPr>
        <rFont val="Arial"/>
        <sz val="10.0"/>
      </rPr>
      <t>(</t>
    </r>
    <r>
      <rPr>
        <rFont val="ＭＳ Ｐゴシック"/>
        <sz val="10.0"/>
      </rPr>
      <t>須藤理彩</t>
    </r>
    <r>
      <rPr>
        <rFont val="Arial"/>
        <sz val="10.0"/>
      </rPr>
      <t>)</t>
    </r>
    <r>
      <rPr>
        <rFont val="ＭＳ Ｐゴシック"/>
        <sz val="10.0"/>
      </rPr>
      <t>は、かつて杏子の親友だったが、壮一郎</t>
    </r>
    <r>
      <rPr>
        <rFont val="Arial"/>
        <sz val="10.0"/>
      </rPr>
      <t>(</t>
    </r>
    <r>
      <rPr>
        <rFont val="ＭＳ Ｐゴシック"/>
        <sz val="10.0"/>
      </rPr>
      <t>唐沢寿明</t>
    </r>
    <r>
      <rPr>
        <rFont val="Arial"/>
        <sz val="10.0"/>
      </rPr>
      <t>)</t>
    </r>
    <r>
      <rPr>
        <rFont val="ＭＳ Ｐゴシック"/>
        <sz val="10.0"/>
      </rPr>
      <t>の逮捕後、真っ先に杏子との連絡を絶った人だった。</t>
    </r>
    <r>
      <rPr>
        <rFont val="Arial"/>
        <sz val="10.0"/>
      </rPr>
      <t xml:space="preserve">  </t>
    </r>
    <r>
      <rPr>
        <rFont val="ＭＳ Ｐゴシック"/>
        <sz val="10.0"/>
      </rPr>
      <t>杏子は、奈津子との関係を考えて、朝飛</t>
    </r>
    <r>
      <rPr>
        <rFont val="Arial"/>
        <sz val="10.0"/>
      </rPr>
      <t>(</t>
    </r>
    <r>
      <rPr>
        <rFont val="ＭＳ Ｐゴシック"/>
        <sz val="10.0"/>
      </rPr>
      <t>北村匠海</t>
    </r>
    <r>
      <rPr>
        <rFont val="Arial"/>
        <sz val="10.0"/>
      </rPr>
      <t>)</t>
    </r>
    <r>
      <rPr>
        <rFont val="ＭＳ Ｐゴシック"/>
        <sz val="10.0"/>
      </rPr>
      <t>にメインで弁護をお願いする。</t>
    </r>
    <r>
      <rPr>
        <rFont val="Arial"/>
        <sz val="10.0"/>
      </rPr>
      <t xml:space="preserve">  </t>
    </r>
    <r>
      <rPr>
        <rFont val="ＭＳ Ｐゴシック"/>
        <sz val="10.0"/>
      </rPr>
      <t>翔平は容疑を否認するが、状況証拠はそろっていて、無実の立証は不可能に近い。そこで、朝飛は罪を認めて情状酌量すべきだと主張。本人が否認している限り、裁判で争うべきだという杏子と対立する。そんな中、朝飛が隠していたある事実が発覚し・・・</t>
    </r>
    <r>
      <rPr>
        <rFont val="Arial"/>
        <sz val="10.0"/>
      </rPr>
      <t xml:space="preserve">  </t>
    </r>
    <r>
      <rPr>
        <rFont val="ＭＳ Ｐゴシック"/>
        <sz val="10.0"/>
      </rPr>
      <t>一方、勾留中の壮一郎の起訴が決まる。脇坂</t>
    </r>
    <r>
      <rPr>
        <rFont val="Arial"/>
        <sz val="10.0"/>
      </rPr>
      <t>(</t>
    </r>
    <r>
      <rPr>
        <rFont val="ＭＳ Ｐゴシック"/>
        <sz val="10.0"/>
      </rPr>
      <t>吉田鋼太郎</t>
    </r>
    <r>
      <rPr>
        <rFont val="Arial"/>
        <sz val="10.0"/>
      </rPr>
      <t>)</t>
    </r>
    <r>
      <rPr>
        <rFont val="ＭＳ Ｐゴシック"/>
        <sz val="10.0"/>
      </rPr>
      <t>の追い込みを受けて、形勢は不利になる。そんなとき、壮一郎のもとをある男が訪ねてくる。それは杏子を思う多田</t>
    </r>
    <r>
      <rPr>
        <rFont val="Arial"/>
        <sz val="10.0"/>
      </rPr>
      <t>(</t>
    </r>
    <r>
      <rPr>
        <rFont val="ＭＳ Ｐゴシック"/>
        <sz val="10.0"/>
      </rPr>
      <t>小泉孝太郎</t>
    </r>
    <r>
      <rPr>
        <rFont val="Arial"/>
        <sz val="10.0"/>
      </rPr>
      <t>)</t>
    </r>
    <r>
      <rPr>
        <rFont val="ＭＳ Ｐゴシック"/>
        <sz val="10.0"/>
      </rPr>
      <t>だった・・・</t>
    </r>
    <r>
      <rPr>
        <rFont val="Arial"/>
        <sz val="10.0"/>
      </rPr>
      <t xml:space="preserve"> </t>
    </r>
  </si>
  <si>
    <t>番組名日曜劇場「グッドワイフ」　#5「夫婦の条件」</t>
  </si>
  <si>
    <r>
      <rPr>
        <rFont val="ＭＳ Ｐゴシック"/>
        <sz val="10.0"/>
      </rPr>
      <t>資産</t>
    </r>
    <r>
      <rPr>
        <rFont val="Arial"/>
        <sz val="10.0"/>
      </rPr>
      <t>20</t>
    </r>
    <r>
      <rPr>
        <rFont val="ＭＳ Ｐゴシック"/>
        <sz val="10.0"/>
      </rPr>
      <t>億のロックスター東城数矢</t>
    </r>
    <r>
      <rPr>
        <rFont val="Arial"/>
        <sz val="10.0"/>
      </rPr>
      <t>(</t>
    </r>
    <r>
      <rPr>
        <rFont val="ＭＳ Ｐゴシック"/>
        <sz val="10.0"/>
      </rPr>
      <t>宇崎竜童</t>
    </r>
    <r>
      <rPr>
        <rFont val="Arial"/>
        <sz val="10.0"/>
      </rPr>
      <t>)</t>
    </r>
    <r>
      <rPr>
        <rFont val="ＭＳ Ｐゴシック"/>
        <sz val="10.0"/>
      </rPr>
      <t>の離婚訴訟を巡り、妻のちなみ</t>
    </r>
    <r>
      <rPr>
        <rFont val="Arial"/>
        <sz val="10.0"/>
      </rPr>
      <t>(</t>
    </r>
    <r>
      <rPr>
        <rFont val="ＭＳ Ｐゴシック"/>
        <sz val="10.0"/>
      </rPr>
      <t>銀粉蝶</t>
    </r>
    <r>
      <rPr>
        <rFont val="Arial"/>
        <sz val="10.0"/>
      </rPr>
      <t>)</t>
    </r>
    <r>
      <rPr>
        <rFont val="ＭＳ Ｐゴシック"/>
        <sz val="10.0"/>
      </rPr>
      <t>の代理人になった杏子</t>
    </r>
    <r>
      <rPr>
        <rFont val="Arial"/>
        <sz val="10.0"/>
      </rPr>
      <t>(</t>
    </r>
    <r>
      <rPr>
        <rFont val="ＭＳ Ｐゴシック"/>
        <sz val="10.0"/>
      </rPr>
      <t>常盤貴子</t>
    </r>
    <r>
      <rPr>
        <rFont val="Arial"/>
        <sz val="10.0"/>
      </rPr>
      <t>)</t>
    </r>
    <r>
      <rPr>
        <rFont val="ＭＳ Ｐゴシック"/>
        <sz val="10.0"/>
      </rPr>
      <t>。数矢は恋人の唯奈</t>
    </r>
    <r>
      <rPr>
        <rFont val="Arial"/>
        <sz val="10.0"/>
      </rPr>
      <t>(</t>
    </r>
    <r>
      <rPr>
        <rFont val="ＭＳ Ｐゴシック"/>
        <sz val="10.0"/>
      </rPr>
      <t>松本まりか</t>
    </r>
    <r>
      <rPr>
        <rFont val="Arial"/>
        <sz val="10.0"/>
      </rPr>
      <t>)</t>
    </r>
    <r>
      <rPr>
        <rFont val="ＭＳ Ｐゴシック"/>
        <sz val="10.0"/>
      </rPr>
      <t>と結婚するつもりだという。</t>
    </r>
    <r>
      <rPr>
        <rFont val="Arial"/>
        <sz val="10.0"/>
      </rPr>
      <t xml:space="preserve">  </t>
    </r>
    <r>
      <rPr>
        <rFont val="ＭＳ Ｐゴシック"/>
        <sz val="10.0"/>
      </rPr>
      <t>杏子は、財産分与などで</t>
    </r>
    <r>
      <rPr>
        <rFont val="Arial"/>
        <sz val="10.0"/>
      </rPr>
      <t>11</t>
    </r>
    <r>
      <rPr>
        <rFont val="ＭＳ Ｐゴシック"/>
        <sz val="10.0"/>
      </rPr>
      <t>億を請求するが、数矢の代理人弁護士・栗山美咲</t>
    </r>
    <r>
      <rPr>
        <rFont val="Arial"/>
        <sz val="10.0"/>
      </rPr>
      <t>(</t>
    </r>
    <r>
      <rPr>
        <rFont val="ＭＳ Ｐゴシック"/>
        <sz val="10.0"/>
      </rPr>
      <t>芦名星</t>
    </r>
    <r>
      <rPr>
        <rFont val="Arial"/>
        <sz val="10.0"/>
      </rPr>
      <t>)</t>
    </r>
    <r>
      <rPr>
        <rFont val="ＭＳ Ｐゴシック"/>
        <sz val="10.0"/>
      </rPr>
      <t>は、</t>
    </r>
    <r>
      <rPr>
        <rFont val="Arial"/>
        <sz val="10.0"/>
      </rPr>
      <t>6</t>
    </r>
    <r>
      <rPr>
        <rFont val="ＭＳ Ｐゴシック"/>
        <sz val="10.0"/>
      </rPr>
      <t>千万が妥当だと主張。法律的根拠も相手側にあり窮地に</t>
    </r>
    <r>
      <rPr>
        <rFont val="Arial"/>
        <sz val="10.0"/>
      </rPr>
      <t>…</t>
    </r>
    <r>
      <rPr>
        <rFont val="ＭＳ Ｐゴシック"/>
        <sz val="10.0"/>
      </rPr>
      <t>しかも美咲は多田</t>
    </r>
    <r>
      <rPr>
        <rFont val="Arial"/>
        <sz val="10.0"/>
      </rPr>
      <t>(</t>
    </r>
    <r>
      <rPr>
        <rFont val="ＭＳ Ｐゴシック"/>
        <sz val="10.0"/>
      </rPr>
      <t>小泉孝太郎</t>
    </r>
    <r>
      <rPr>
        <rFont val="Arial"/>
        <sz val="10.0"/>
      </rPr>
      <t>)</t>
    </r>
    <r>
      <rPr>
        <rFont val="ＭＳ Ｐゴシック"/>
        <sz val="10.0"/>
      </rPr>
      <t>の元彼女。多田のことも知り尽くす。</t>
    </r>
    <r>
      <rPr>
        <rFont val="Arial"/>
        <sz val="10.0"/>
      </rPr>
      <t xml:space="preserve">  </t>
    </r>
    <r>
      <rPr>
        <rFont val="ＭＳ Ｐゴシック"/>
        <sz val="10.0"/>
      </rPr>
      <t>そんな中、突然の事故で数矢は意識不明の重体に陥ってしまう。妻と愛人は、数矢の命と財産を巡り争い始める。一方、杏子</t>
    </r>
    <r>
      <rPr>
        <rFont val="Arial"/>
        <sz val="10.0"/>
      </rPr>
      <t>(</t>
    </r>
    <r>
      <rPr>
        <rFont val="ＭＳ Ｐゴシック"/>
        <sz val="10.0"/>
      </rPr>
      <t>常盤貴子</t>
    </r>
    <r>
      <rPr>
        <rFont val="Arial"/>
        <sz val="10.0"/>
      </rPr>
      <t>)</t>
    </r>
    <r>
      <rPr>
        <rFont val="ＭＳ Ｐゴシック"/>
        <sz val="10.0"/>
      </rPr>
      <t>の元に東京地検特捜部長の脇坂</t>
    </r>
    <r>
      <rPr>
        <rFont val="Arial"/>
        <sz val="10.0"/>
      </rPr>
      <t>(</t>
    </r>
    <r>
      <rPr>
        <rFont val="ＭＳ Ｐゴシック"/>
        <sz val="10.0"/>
      </rPr>
      <t>吉田鋼太郎</t>
    </r>
    <r>
      <rPr>
        <rFont val="Arial"/>
        <sz val="10.0"/>
      </rPr>
      <t>)</t>
    </r>
    <r>
      <rPr>
        <rFont val="ＭＳ Ｐゴシック"/>
        <sz val="10.0"/>
      </rPr>
      <t>の妻・玲子</t>
    </r>
    <r>
      <rPr>
        <rFont val="Arial"/>
        <sz val="10.0"/>
      </rPr>
      <t>(</t>
    </r>
    <r>
      <rPr>
        <rFont val="ＭＳ Ｐゴシック"/>
        <sz val="10.0"/>
      </rPr>
      <t>峯村リエ</t>
    </r>
    <r>
      <rPr>
        <rFont val="Arial"/>
        <sz val="10.0"/>
      </rPr>
      <t>)</t>
    </r>
    <r>
      <rPr>
        <rFont val="ＭＳ Ｐゴシック"/>
        <sz val="10.0"/>
      </rPr>
      <t>が現れる。脇坂との離婚協議で杏子に代理人をお願いしにきたのだ。しかも玲子は、壮一郎に関しての脇坂の弱みを握っているようで</t>
    </r>
    <r>
      <rPr>
        <rFont val="Arial"/>
        <sz val="10.0"/>
      </rPr>
      <t>…</t>
    </r>
    <r>
      <rPr>
        <rFont val="ＭＳ Ｐゴシック"/>
        <sz val="10.0"/>
      </rPr>
      <t>二つの離婚協議ははたしてどうなるのか。</t>
    </r>
    <r>
      <rPr>
        <rFont val="Arial"/>
        <sz val="10.0"/>
      </rPr>
      <t xml:space="preserve">  </t>
    </r>
    <r>
      <rPr>
        <rFont val="ＭＳ Ｐゴシック"/>
        <sz val="10.0"/>
      </rPr>
      <t>そして、壮一郎</t>
    </r>
    <r>
      <rPr>
        <rFont val="Arial"/>
        <sz val="10.0"/>
      </rPr>
      <t>(</t>
    </r>
    <r>
      <rPr>
        <rFont val="ＭＳ Ｐゴシック"/>
        <sz val="10.0"/>
      </rPr>
      <t>唐沢寿明</t>
    </r>
    <r>
      <rPr>
        <rFont val="Arial"/>
        <sz val="10.0"/>
      </rPr>
      <t>)</t>
    </r>
    <r>
      <rPr>
        <rFont val="ＭＳ Ｐゴシック"/>
        <sz val="10.0"/>
      </rPr>
      <t>も、事件の真相にたどり着きつつあった。遂に自分の事件を画策した人物の正体を突き止めたのだ。その男とは一体だれなのか。</t>
    </r>
  </si>
  <si>
    <t>番組名日曜劇場「グッドワイフ」　#6「崖っぷちの選択」</t>
  </si>
  <si>
    <r>
      <rPr>
        <rFont val="ＭＳ Ｐゴシック"/>
        <sz val="10.0"/>
      </rPr>
      <t>多田</t>
    </r>
    <r>
      <rPr>
        <rFont val="Arial"/>
        <sz val="10.0"/>
      </rPr>
      <t>(</t>
    </r>
    <r>
      <rPr>
        <rFont val="ＭＳ Ｐゴシック"/>
        <sz val="10.0"/>
      </rPr>
      <t>小泉孝太郎</t>
    </r>
    <r>
      <rPr>
        <rFont val="Arial"/>
        <sz val="10.0"/>
      </rPr>
      <t>)</t>
    </r>
    <r>
      <rPr>
        <rFont val="ＭＳ Ｐゴシック"/>
        <sz val="10.0"/>
      </rPr>
      <t>が賠償金</t>
    </r>
    <r>
      <rPr>
        <rFont val="Arial"/>
        <sz val="10.0"/>
      </rPr>
      <t>15</t>
    </r>
    <r>
      <rPr>
        <rFont val="ＭＳ Ｐゴシック"/>
        <sz val="10.0"/>
      </rPr>
      <t>億円を見込める健康被害に対する集団訴訟の代理人をすることになる。多田が</t>
    </r>
    <r>
      <rPr>
        <rFont val="Arial"/>
        <sz val="10.0"/>
      </rPr>
      <t>3</t>
    </r>
    <r>
      <rPr>
        <rFont val="ＭＳ Ｐゴシック"/>
        <sz val="10.0"/>
      </rPr>
      <t>年かけて無料相談にのった案件。杏子</t>
    </r>
    <r>
      <rPr>
        <rFont val="Arial"/>
        <sz val="10.0"/>
      </rPr>
      <t>(</t>
    </r>
    <r>
      <rPr>
        <rFont val="ＭＳ Ｐゴシック"/>
        <sz val="10.0"/>
      </rPr>
      <t>常盤貴子</t>
    </r>
    <r>
      <rPr>
        <rFont val="Arial"/>
        <sz val="10.0"/>
      </rPr>
      <t>)</t>
    </r>
    <r>
      <rPr>
        <rFont val="ＭＳ Ｐゴシック"/>
        <sz val="10.0"/>
      </rPr>
      <t>と共に正式契約を結びに行く日、もう一人の弁護士が呼ばれていた。車椅子に乗った弁護士・三栗谷剛</t>
    </r>
    <r>
      <rPr>
        <rFont val="Arial"/>
        <sz val="10.0"/>
      </rPr>
      <t>(</t>
    </r>
    <r>
      <rPr>
        <rFont val="ＭＳ Ｐゴシック"/>
        <sz val="10.0"/>
      </rPr>
      <t>春風亭昇太</t>
    </r>
    <r>
      <rPr>
        <rFont val="Arial"/>
        <sz val="10.0"/>
      </rPr>
      <t>)</t>
    </r>
    <r>
      <rPr>
        <rFont val="ＭＳ Ｐゴシック"/>
        <sz val="10.0"/>
      </rPr>
      <t>だ。人づてに聞きつけて、首を突っ込んできたのだ。</t>
    </r>
    <r>
      <rPr>
        <rFont val="Arial"/>
        <sz val="10.0"/>
      </rPr>
      <t xml:space="preserve">  </t>
    </r>
    <r>
      <rPr>
        <rFont val="ＭＳ Ｐゴシック"/>
        <sz val="10.0"/>
      </rPr>
      <t>病気により車椅子生活を送っている立場を巧みに利用して被害者に取り入る。さらに次々と用意周到な手を打ち、杏子と多田のペースを乱していく。結局どちらが代理人をやるか、多数決で決めることに・・・</t>
    </r>
    <r>
      <rPr>
        <rFont val="Arial"/>
        <sz val="10.0"/>
      </rPr>
      <t xml:space="preserve">  </t>
    </r>
    <r>
      <rPr>
        <rFont val="ＭＳ Ｐゴシック"/>
        <sz val="10.0"/>
      </rPr>
      <t>一方、ついに保釈され、帰宅が決まった壮一郎</t>
    </r>
    <r>
      <rPr>
        <rFont val="Arial"/>
        <sz val="10.0"/>
      </rPr>
      <t>(</t>
    </r>
    <r>
      <rPr>
        <rFont val="ＭＳ Ｐゴシック"/>
        <sz val="10.0"/>
      </rPr>
      <t>唐沢寿明</t>
    </r>
    <r>
      <rPr>
        <rFont val="Arial"/>
        <sz val="10.0"/>
      </rPr>
      <t>)</t>
    </r>
    <r>
      <rPr>
        <rFont val="ＭＳ Ｐゴシック"/>
        <sz val="10.0"/>
      </rPr>
      <t>。佐々木</t>
    </r>
    <r>
      <rPr>
        <rFont val="Arial"/>
        <sz val="10.0"/>
      </rPr>
      <t>(</t>
    </r>
    <r>
      <rPr>
        <rFont val="ＭＳ Ｐゴシック"/>
        <sz val="10.0"/>
      </rPr>
      <t>滝藤賢一</t>
    </r>
    <r>
      <rPr>
        <rFont val="Arial"/>
        <sz val="10.0"/>
      </rPr>
      <t>)</t>
    </r>
    <r>
      <rPr>
        <rFont val="ＭＳ Ｐゴシック"/>
        <sz val="10.0"/>
      </rPr>
      <t>と共に南原</t>
    </r>
    <r>
      <rPr>
        <rFont val="Arial"/>
        <sz val="10.0"/>
      </rPr>
      <t>(</t>
    </r>
    <r>
      <rPr>
        <rFont val="ＭＳ Ｐゴシック"/>
        <sz val="10.0"/>
      </rPr>
      <t>三遊亭円楽</t>
    </r>
    <r>
      <rPr>
        <rFont val="Arial"/>
        <sz val="10.0"/>
      </rPr>
      <t>)</t>
    </r>
    <r>
      <rPr>
        <rFont val="ＭＳ Ｐゴシック"/>
        <sz val="10.0"/>
      </rPr>
      <t>を決定的に追い詰める証拠を探していた。そんな中、南原と脇坂</t>
    </r>
    <r>
      <rPr>
        <rFont val="Arial"/>
        <sz val="10.0"/>
      </rPr>
      <t>(</t>
    </r>
    <r>
      <rPr>
        <rFont val="ＭＳ Ｐゴシック"/>
        <sz val="10.0"/>
      </rPr>
      <t>吉田鋼太郎</t>
    </r>
    <r>
      <rPr>
        <rFont val="Arial"/>
        <sz val="10.0"/>
      </rPr>
      <t>)</t>
    </r>
    <r>
      <rPr>
        <rFont val="ＭＳ Ｐゴシック"/>
        <sz val="10.0"/>
      </rPr>
      <t>が接触するところを目撃。南原に接触をはかる</t>
    </r>
  </si>
  <si>
    <t>番組名日曜劇場「グッドワイフ」　#7「消された真実」</t>
  </si>
  <si>
    <r>
      <rPr>
        <rFont val="ＭＳ Ｐゴシック"/>
        <sz val="10.0"/>
      </rPr>
      <t>多田</t>
    </r>
    <r>
      <rPr>
        <rFont val="Arial"/>
        <sz val="10.0"/>
      </rPr>
      <t>(</t>
    </r>
    <r>
      <rPr>
        <rFont val="ＭＳ Ｐゴシック"/>
        <sz val="10.0"/>
      </rPr>
      <t>小泉孝太郎</t>
    </r>
    <r>
      <rPr>
        <rFont val="Arial"/>
        <sz val="10.0"/>
      </rPr>
      <t>)</t>
    </r>
    <r>
      <rPr>
        <rFont val="ＭＳ Ｐゴシック"/>
        <sz val="10.0"/>
      </rPr>
      <t>の告白を聞いてしまった壮一郎</t>
    </r>
    <r>
      <rPr>
        <rFont val="Arial"/>
        <sz val="10.0"/>
      </rPr>
      <t>(</t>
    </r>
    <r>
      <rPr>
        <rFont val="ＭＳ Ｐゴシック"/>
        <sz val="10.0"/>
      </rPr>
      <t>唐沢寿明</t>
    </r>
    <r>
      <rPr>
        <rFont val="Arial"/>
        <sz val="10.0"/>
      </rPr>
      <t>)</t>
    </r>
    <r>
      <rPr>
        <rFont val="ＭＳ Ｐゴシック"/>
        <sz val="10.0"/>
      </rPr>
      <t>は怒りに満ちていた。しかし、そのことを知らない杏子</t>
    </r>
    <r>
      <rPr>
        <rFont val="Arial"/>
        <sz val="10.0"/>
      </rPr>
      <t>(</t>
    </r>
    <r>
      <rPr>
        <rFont val="ＭＳ Ｐゴシック"/>
        <sz val="10.0"/>
      </rPr>
      <t>常盤貴子</t>
    </r>
    <r>
      <rPr>
        <rFont val="Arial"/>
        <sz val="10.0"/>
      </rPr>
      <t>)</t>
    </r>
    <r>
      <rPr>
        <rFont val="ＭＳ Ｐゴシック"/>
        <sz val="10.0"/>
      </rPr>
      <t>は夫の弁護人として、事件の全容を聞く。</t>
    </r>
    <r>
      <rPr>
        <rFont val="Arial"/>
        <sz val="10.0"/>
      </rPr>
      <t xml:space="preserve">  </t>
    </r>
    <r>
      <rPr>
        <rFont val="ＭＳ Ｐゴシック"/>
        <sz val="10.0"/>
      </rPr>
      <t>それは現職の政治家・南原</t>
    </r>
    <r>
      <rPr>
        <rFont val="Arial"/>
        <sz val="10.0"/>
      </rPr>
      <t>(</t>
    </r>
    <r>
      <rPr>
        <rFont val="ＭＳ Ｐゴシック"/>
        <sz val="10.0"/>
      </rPr>
      <t>三遊亭円楽</t>
    </r>
    <r>
      <rPr>
        <rFont val="Arial"/>
        <sz val="10.0"/>
      </rPr>
      <t>)</t>
    </r>
    <r>
      <rPr>
        <rFont val="ＭＳ Ｐゴシック"/>
        <sz val="10.0"/>
      </rPr>
      <t>の汚職</t>
    </r>
    <r>
      <rPr>
        <rFont val="Arial"/>
        <sz val="10.0"/>
      </rPr>
      <t>…</t>
    </r>
    <r>
      <rPr>
        <rFont val="ＭＳ Ｐゴシック"/>
        <sz val="10.0"/>
      </rPr>
      <t>壮一郎が特捜部長時代に、佐々木</t>
    </r>
    <r>
      <rPr>
        <rFont val="Arial"/>
        <sz val="10.0"/>
      </rPr>
      <t>(</t>
    </r>
    <r>
      <rPr>
        <rFont val="ＭＳ Ｐゴシック"/>
        <sz val="10.0"/>
      </rPr>
      <t>滝藤賢一</t>
    </r>
    <r>
      <rPr>
        <rFont val="Arial"/>
        <sz val="10.0"/>
      </rPr>
      <t>)</t>
    </r>
    <r>
      <rPr>
        <rFont val="ＭＳ Ｐゴシック"/>
        <sz val="10.0"/>
      </rPr>
      <t>と共に極秘捜査していた案件だった。そして、匿名の情報提供者からある文書をもらう直前に逮捕された。情報提供者を見つけ出せば、罪がはらせる。一方、事務所にはカリスマ</t>
    </r>
    <r>
      <rPr>
        <rFont val="Arial"/>
        <sz val="10.0"/>
      </rPr>
      <t>IT</t>
    </r>
    <r>
      <rPr>
        <rFont val="ＭＳ Ｐゴシック"/>
        <sz val="10.0"/>
      </rPr>
      <t>社長・剣持</t>
    </r>
    <r>
      <rPr>
        <rFont val="Arial"/>
        <sz val="10.0"/>
      </rPr>
      <t>(</t>
    </r>
    <r>
      <rPr>
        <rFont val="ＭＳ Ｐゴシック"/>
        <sz val="10.0"/>
      </rPr>
      <t>浜野謙太</t>
    </r>
    <r>
      <rPr>
        <rFont val="Arial"/>
        <sz val="10.0"/>
      </rPr>
      <t>)</t>
    </r>
    <r>
      <rPr>
        <rFont val="ＭＳ Ｐゴシック"/>
        <sz val="10.0"/>
      </rPr>
      <t>が訪ねてきていた。剣持をモデルにした映画が無断で作成されて、著しく名誉を棄損されたというのだ。映画会社を相手取り訴訟を起こすことになるのだが、盗作を証明するのはなかなか難しく窮地に追い込まれていた。</t>
    </r>
    <r>
      <rPr>
        <rFont val="Arial"/>
        <sz val="10.0"/>
      </rPr>
      <t xml:space="preserve">  </t>
    </r>
    <r>
      <rPr>
        <rFont val="ＭＳ Ｐゴシック"/>
        <sz val="10.0"/>
      </rPr>
      <t>そんな時、壮一郎が多田と鉢合わせる。</t>
    </r>
    <r>
      <rPr>
        <rFont val="Arial"/>
        <sz val="10.0"/>
      </rPr>
      <t xml:space="preserve">  </t>
    </r>
    <r>
      <rPr>
        <rFont val="ＭＳ Ｐゴシック"/>
        <sz val="10.0"/>
      </rPr>
      <t>直接対面した二人が何を話すのか。</t>
    </r>
  </si>
  <si>
    <t>番組名日曜劇場「グッドワイフ」　#8「裏切り者」</t>
  </si>
  <si>
    <r>
      <rPr>
        <rFont val="ＭＳ Ｐゴシック"/>
        <sz val="10.0"/>
      </rPr>
      <t>杏子</t>
    </r>
    <r>
      <rPr>
        <rFont val="Arial"/>
        <sz val="10.0"/>
      </rPr>
      <t>(</t>
    </r>
    <r>
      <rPr>
        <rFont val="ＭＳ Ｐゴシック"/>
        <sz val="10.0"/>
      </rPr>
      <t>常盤貴子</t>
    </r>
    <r>
      <rPr>
        <rFont val="Arial"/>
        <sz val="10.0"/>
      </rPr>
      <t>)</t>
    </r>
    <r>
      <rPr>
        <rFont val="ＭＳ Ｐゴシック"/>
        <sz val="10.0"/>
      </rPr>
      <t>は壮一郎</t>
    </r>
    <r>
      <rPr>
        <rFont val="Arial"/>
        <sz val="10.0"/>
      </rPr>
      <t>(</t>
    </r>
    <r>
      <rPr>
        <rFont val="ＭＳ Ｐゴシック"/>
        <sz val="10.0"/>
      </rPr>
      <t>唐沢寿明</t>
    </r>
    <r>
      <rPr>
        <rFont val="Arial"/>
        <sz val="10.0"/>
      </rPr>
      <t>)</t>
    </r>
    <r>
      <rPr>
        <rFont val="ＭＳ Ｐゴシック"/>
        <sz val="10.0"/>
      </rPr>
      <t>のスキャンダル相手である遠山亜紀</t>
    </r>
    <r>
      <rPr>
        <rFont val="Arial"/>
        <sz val="10.0"/>
      </rPr>
      <t>(</t>
    </r>
    <r>
      <rPr>
        <rFont val="ＭＳ Ｐゴシック"/>
        <sz val="10.0"/>
      </rPr>
      <t>相武紗季</t>
    </r>
    <r>
      <rPr>
        <rFont val="Arial"/>
        <sz val="10.0"/>
      </rPr>
      <t>)</t>
    </r>
    <r>
      <rPr>
        <rFont val="ＭＳ Ｐゴシック"/>
        <sz val="10.0"/>
      </rPr>
      <t>に会いに行く。しかし何も話さない。</t>
    </r>
    <r>
      <rPr>
        <rFont val="Arial"/>
        <sz val="10.0"/>
      </rPr>
      <t xml:space="preserve">  </t>
    </r>
    <r>
      <rPr>
        <rFont val="ＭＳ Ｐゴシック"/>
        <sz val="10.0"/>
      </rPr>
      <t>そこに壮一郎の裁判が始まる。検察側は賄賂の証拠を固めてきていた。絶対的不利な状況で裁判が進む中、壮一郎は</t>
    </r>
    <r>
      <rPr>
        <rFont val="Arial"/>
        <sz val="10.0"/>
      </rPr>
      <t>“</t>
    </r>
    <r>
      <rPr>
        <rFont val="ＭＳ Ｐゴシック"/>
        <sz val="10.0"/>
      </rPr>
      <t>本当の情報提供者</t>
    </r>
    <r>
      <rPr>
        <rFont val="Arial"/>
        <sz val="10.0"/>
      </rPr>
      <t>"</t>
    </r>
    <r>
      <rPr>
        <rFont val="ＭＳ Ｐゴシック"/>
        <sz val="10.0"/>
      </rPr>
      <t>をみつけることが、事件解決に繋がると杏子たちに説明する。</t>
    </r>
    <r>
      <rPr>
        <rFont val="Arial"/>
        <sz val="10.0"/>
      </rPr>
      <t xml:space="preserve">  </t>
    </r>
    <r>
      <rPr>
        <rFont val="ＭＳ Ｐゴシック"/>
        <sz val="10.0"/>
      </rPr>
      <t>一方で脇坂</t>
    </r>
    <r>
      <rPr>
        <rFont val="Arial"/>
        <sz val="10.0"/>
      </rPr>
      <t>(</t>
    </r>
    <r>
      <rPr>
        <rFont val="ＭＳ Ｐゴシック"/>
        <sz val="10.0"/>
      </rPr>
      <t>吉田鋼太郎</t>
    </r>
    <r>
      <rPr>
        <rFont val="Arial"/>
        <sz val="10.0"/>
      </rPr>
      <t>)</t>
    </r>
    <r>
      <rPr>
        <rFont val="ＭＳ Ｐゴシック"/>
        <sz val="10.0"/>
      </rPr>
      <t>は円香</t>
    </r>
    <r>
      <rPr>
        <rFont val="Arial"/>
        <sz val="10.0"/>
      </rPr>
      <t>(</t>
    </r>
    <r>
      <rPr>
        <rFont val="ＭＳ Ｐゴシック"/>
        <sz val="10.0"/>
      </rPr>
      <t>水原希子</t>
    </r>
    <r>
      <rPr>
        <rFont val="Arial"/>
        <sz val="10.0"/>
      </rPr>
      <t>)</t>
    </r>
    <r>
      <rPr>
        <rFont val="ＭＳ Ｐゴシック"/>
        <sz val="10.0"/>
      </rPr>
      <t>に接触して円香の秘密をだしに、利用しようとする。そんなとき、多田</t>
    </r>
    <r>
      <rPr>
        <rFont val="Arial"/>
        <sz val="10.0"/>
      </rPr>
      <t>(</t>
    </r>
    <r>
      <rPr>
        <rFont val="ＭＳ Ｐゴシック"/>
        <sz val="10.0"/>
      </rPr>
      <t>小泉孝太郎</t>
    </r>
    <r>
      <rPr>
        <rFont val="Arial"/>
        <sz val="10.0"/>
      </rPr>
      <t>)</t>
    </r>
    <r>
      <rPr>
        <rFont val="ＭＳ Ｐゴシック"/>
        <sz val="10.0"/>
      </rPr>
      <t>が壮一郎を訪ねて、蓮見家に来る。杏子がこのままでは朝飛</t>
    </r>
    <r>
      <rPr>
        <rFont val="Arial"/>
        <sz val="10.0"/>
      </rPr>
      <t>(</t>
    </r>
    <r>
      <rPr>
        <rFont val="ＭＳ Ｐゴシック"/>
        <sz val="10.0"/>
      </rPr>
      <t>北村匠海</t>
    </r>
    <r>
      <rPr>
        <rFont val="Arial"/>
        <sz val="10.0"/>
      </rPr>
      <t>)</t>
    </r>
    <r>
      <rPr>
        <rFont val="ＭＳ Ｐゴシック"/>
        <sz val="10.0"/>
      </rPr>
      <t>との正式採用に負けることを伝えに来た。そして、そこで衝撃的な発言をする。</t>
    </r>
    <r>
      <rPr>
        <rFont val="Arial"/>
        <sz val="10.0"/>
      </rPr>
      <t xml:space="preserve">  </t>
    </r>
    <r>
      <rPr>
        <rFont val="ＭＳ Ｐゴシック"/>
        <sz val="10.0"/>
      </rPr>
      <t>そんな中、杏子は亜紀を調べていくうちに、亜紀のある秘密を知る。再び亜紀に会いに行く決意をするが・・・</t>
    </r>
    <r>
      <rPr>
        <rFont val="Arial"/>
        <sz val="10.0"/>
      </rPr>
      <t xml:space="preserve">  </t>
    </r>
    <r>
      <rPr>
        <rFont val="ＭＳ Ｐゴシック"/>
        <sz val="10.0"/>
      </rPr>
      <t>追い込まれながら、少しずつ真実に近づいている杏子たち。そして、ついに</t>
    </r>
    <r>
      <rPr>
        <rFont val="Arial"/>
        <sz val="10.0"/>
      </rPr>
      <t>“</t>
    </r>
    <r>
      <rPr>
        <rFont val="ＭＳ Ｐゴシック"/>
        <sz val="10.0"/>
      </rPr>
      <t>本当の情報提供者</t>
    </r>
    <r>
      <rPr>
        <rFont val="Arial"/>
        <sz val="10.0"/>
      </rPr>
      <t>"</t>
    </r>
    <r>
      <rPr>
        <rFont val="ＭＳ Ｐゴシック"/>
        <sz val="10.0"/>
      </rPr>
      <t>にたどり着く。その正体は</t>
    </r>
    <r>
      <rPr>
        <rFont val="Arial"/>
        <sz val="10.0"/>
      </rPr>
      <t xml:space="preserve">!?  </t>
    </r>
  </si>
  <si>
    <t>番組名日曜劇場「グッドワイフ」#9「堕ちた正義」</t>
  </si>
  <si>
    <r>
      <rPr>
        <rFont val="ＭＳ Ｐゴシック"/>
        <sz val="10.0"/>
      </rPr>
      <t>壮一郎</t>
    </r>
    <r>
      <rPr>
        <rFont val="Arial"/>
        <sz val="10.0"/>
      </rPr>
      <t>(</t>
    </r>
    <r>
      <rPr>
        <rFont val="ＭＳ Ｐゴシック"/>
        <sz val="10.0"/>
      </rPr>
      <t>唐沢寿明</t>
    </r>
    <r>
      <rPr>
        <rFont val="Arial"/>
        <sz val="10.0"/>
      </rPr>
      <t>)</t>
    </r>
    <r>
      <rPr>
        <rFont val="ＭＳ Ｐゴシック"/>
        <sz val="10.0"/>
      </rPr>
      <t>の一連の事件を計画した</t>
    </r>
    <r>
      <rPr>
        <rFont val="Arial"/>
        <sz val="10.0"/>
      </rPr>
      <t>“</t>
    </r>
    <r>
      <rPr>
        <rFont val="ＭＳ Ｐゴシック"/>
        <sz val="10.0"/>
      </rPr>
      <t>裏切り者</t>
    </r>
    <r>
      <rPr>
        <rFont val="Arial"/>
        <sz val="10.0"/>
      </rPr>
      <t>"</t>
    </r>
    <r>
      <rPr>
        <rFont val="ＭＳ Ｐゴシック"/>
        <sz val="10.0"/>
      </rPr>
      <t>の正体が遂にわかった。そして、衝撃の理由を語る。</t>
    </r>
    <r>
      <rPr>
        <rFont val="Arial"/>
        <sz val="10.0"/>
      </rPr>
      <t xml:space="preserve">  </t>
    </r>
    <r>
      <rPr>
        <rFont val="ＭＳ Ｐゴシック"/>
        <sz val="10.0"/>
      </rPr>
      <t>そんな中、事務所では、円香</t>
    </r>
    <r>
      <rPr>
        <rFont val="Arial"/>
        <sz val="10.0"/>
      </rPr>
      <t>(</t>
    </r>
    <r>
      <rPr>
        <rFont val="ＭＳ Ｐゴシック"/>
        <sz val="10.0"/>
      </rPr>
      <t>水原希子</t>
    </r>
    <r>
      <rPr>
        <rFont val="Arial"/>
        <sz val="10.0"/>
      </rPr>
      <t>)</t>
    </r>
    <r>
      <rPr>
        <rFont val="ＭＳ Ｐゴシック"/>
        <sz val="10.0"/>
      </rPr>
      <t>のある秘密が波紋を呼び、円香は事務所を辞めることを決意した。また、杏子</t>
    </r>
    <r>
      <rPr>
        <rFont val="Arial"/>
        <sz val="10.0"/>
      </rPr>
      <t>(</t>
    </r>
    <r>
      <rPr>
        <rFont val="ＭＳ Ｐゴシック"/>
        <sz val="10.0"/>
      </rPr>
      <t>常盤貴子</t>
    </r>
    <r>
      <rPr>
        <rFont val="Arial"/>
        <sz val="10.0"/>
      </rPr>
      <t>)</t>
    </r>
    <r>
      <rPr>
        <rFont val="ＭＳ Ｐゴシック"/>
        <sz val="10.0"/>
      </rPr>
      <t>と、朝飛</t>
    </r>
    <r>
      <rPr>
        <rFont val="Arial"/>
        <sz val="10.0"/>
      </rPr>
      <t>(</t>
    </r>
    <r>
      <rPr>
        <rFont val="ＭＳ Ｐゴシック"/>
        <sz val="10.0"/>
      </rPr>
      <t>北村匠海</t>
    </r>
    <r>
      <rPr>
        <rFont val="Arial"/>
        <sz val="10.0"/>
      </rPr>
      <t>)</t>
    </r>
    <r>
      <rPr>
        <rFont val="ＭＳ Ｐゴシック"/>
        <sz val="10.0"/>
      </rPr>
      <t>の本採用をかける争いも、ついに決着がつく。はたしてどちらが採用されるのか</t>
    </r>
    <r>
      <rPr>
        <rFont val="Arial"/>
        <sz val="10.0"/>
      </rPr>
      <t xml:space="preserve">!?  </t>
    </r>
    <r>
      <rPr>
        <rFont val="ＭＳ Ｐゴシック"/>
        <sz val="10.0"/>
      </rPr>
      <t>一方、壮一郎はあることがきっかけで多田</t>
    </r>
    <r>
      <rPr>
        <rFont val="Arial"/>
        <sz val="10.0"/>
      </rPr>
      <t>(</t>
    </r>
    <r>
      <rPr>
        <rFont val="ＭＳ Ｐゴシック"/>
        <sz val="10.0"/>
      </rPr>
      <t>小泉孝太郎</t>
    </r>
    <r>
      <rPr>
        <rFont val="Arial"/>
        <sz val="10.0"/>
      </rPr>
      <t>)</t>
    </r>
    <r>
      <rPr>
        <rFont val="ＭＳ Ｐゴシック"/>
        <sz val="10.0"/>
      </rPr>
      <t>からの留守電を消したことがばれてしまう。そのことで言い合いになり、夫婦に決定的な亀裂を生む。</t>
    </r>
    <r>
      <rPr>
        <rFont val="Arial"/>
        <sz val="10.0"/>
      </rPr>
      <t xml:space="preserve">  </t>
    </r>
    <r>
      <rPr>
        <rFont val="ＭＳ Ｐゴシック"/>
        <sz val="10.0"/>
      </rPr>
      <t>さらに、壮一郎は多田に関してあることを仕掛けようと画策していた。</t>
    </r>
    <r>
      <rPr>
        <rFont val="Arial"/>
        <sz val="10.0"/>
      </rPr>
      <t xml:space="preserve">  </t>
    </r>
    <r>
      <rPr>
        <rFont val="ＭＳ Ｐゴシック"/>
        <sz val="10.0"/>
      </rPr>
      <t>そんなある日、多田の想いを改めて聞いた杏子は多田と二人きりになり、急接近する</t>
    </r>
    <r>
      <rPr>
        <rFont val="Arial"/>
        <sz val="10.0"/>
      </rPr>
      <t>…</t>
    </r>
  </si>
  <si>
    <t>番組名日曜劇場「グッドワイフ」　#10「最後の審判」</t>
  </si>
  <si>
    <r>
      <rPr>
        <rFont val="ＭＳ Ｐゴシック"/>
        <sz val="10.0"/>
      </rPr>
      <t>壮一郎</t>
    </r>
    <r>
      <rPr>
        <rFont val="Arial"/>
        <sz val="10.0"/>
      </rPr>
      <t>(</t>
    </r>
    <r>
      <rPr>
        <rFont val="ＭＳ Ｐゴシック"/>
        <sz val="10.0"/>
      </rPr>
      <t>唐沢寿明</t>
    </r>
    <r>
      <rPr>
        <rFont val="Arial"/>
        <sz val="10.0"/>
      </rPr>
      <t>)</t>
    </r>
    <r>
      <rPr>
        <rFont val="ＭＳ Ｐゴシック"/>
        <sz val="10.0"/>
      </rPr>
      <t>の指揮により、神山多田法律事務所に現れた脇坂</t>
    </r>
    <r>
      <rPr>
        <rFont val="Arial"/>
        <sz val="10.0"/>
      </rPr>
      <t>(</t>
    </r>
    <r>
      <rPr>
        <rFont val="ＭＳ Ｐゴシック"/>
        <sz val="10.0"/>
      </rPr>
      <t>吉田鋼太郎</t>
    </r>
    <r>
      <rPr>
        <rFont val="Arial"/>
        <sz val="10.0"/>
      </rPr>
      <t>)</t>
    </r>
    <r>
      <rPr>
        <rFont val="ＭＳ Ｐゴシック"/>
        <sz val="10.0"/>
      </rPr>
      <t>は、多田</t>
    </r>
    <r>
      <rPr>
        <rFont val="Arial"/>
        <sz val="10.0"/>
      </rPr>
      <t>(</t>
    </r>
    <r>
      <rPr>
        <rFont val="ＭＳ Ｐゴシック"/>
        <sz val="10.0"/>
      </rPr>
      <t>小泉孝太郎</t>
    </r>
    <r>
      <rPr>
        <rFont val="Arial"/>
        <sz val="10.0"/>
      </rPr>
      <t>)</t>
    </r>
    <r>
      <rPr>
        <rFont val="ＭＳ Ｐゴシック"/>
        <sz val="10.0"/>
      </rPr>
      <t>を贈賄容疑で逮捕する。</t>
    </r>
    <r>
      <rPr>
        <rFont val="Arial"/>
        <sz val="10.0"/>
      </rPr>
      <t xml:space="preserve">  </t>
    </r>
    <r>
      <rPr>
        <rFont val="ＭＳ Ｐゴシック"/>
        <sz val="10.0"/>
      </rPr>
      <t>壮一郎の私情が絡んでいるのではないかと、神山</t>
    </r>
    <r>
      <rPr>
        <rFont val="Arial"/>
        <sz val="10.0"/>
      </rPr>
      <t>(</t>
    </r>
    <r>
      <rPr>
        <rFont val="ＭＳ Ｐゴシック"/>
        <sz val="10.0"/>
      </rPr>
      <t>賀来千香子</t>
    </r>
    <r>
      <rPr>
        <rFont val="Arial"/>
        <sz val="10.0"/>
      </rPr>
      <t>)</t>
    </r>
    <r>
      <rPr>
        <rFont val="ＭＳ Ｐゴシック"/>
        <sz val="10.0"/>
      </rPr>
      <t>に指摘される杏子</t>
    </r>
    <r>
      <rPr>
        <rFont val="Arial"/>
        <sz val="10.0"/>
      </rPr>
      <t>(</t>
    </r>
    <r>
      <rPr>
        <rFont val="ＭＳ Ｐゴシック"/>
        <sz val="10.0"/>
      </rPr>
      <t>常盤貴子</t>
    </r>
    <r>
      <rPr>
        <rFont val="Arial"/>
        <sz val="10.0"/>
      </rPr>
      <t>)</t>
    </r>
    <r>
      <rPr>
        <rFont val="ＭＳ Ｐゴシック"/>
        <sz val="10.0"/>
      </rPr>
      <t>だが、多田は過去に担当した案件の判決から、小宮裁判官</t>
    </r>
    <r>
      <rPr>
        <rFont val="Arial"/>
        <sz val="10.0"/>
      </rPr>
      <t>(</t>
    </r>
    <r>
      <rPr>
        <rFont val="ＭＳ Ｐゴシック"/>
        <sz val="10.0"/>
      </rPr>
      <t>野間口徹</t>
    </r>
    <r>
      <rPr>
        <rFont val="Arial"/>
        <sz val="10.0"/>
      </rPr>
      <t>)</t>
    </r>
    <r>
      <rPr>
        <rFont val="ＭＳ Ｐゴシック"/>
        <sz val="10.0"/>
      </rPr>
      <t>との関係を怪しまれていたのだ。</t>
    </r>
    <r>
      <rPr>
        <rFont val="Arial"/>
        <sz val="10.0"/>
      </rPr>
      <t xml:space="preserve">  </t>
    </r>
    <r>
      <rPr>
        <rFont val="ＭＳ Ｐゴシック"/>
        <sz val="10.0"/>
      </rPr>
      <t>負ければ、法律事務所が潰れてしまいかねないと、神山と杏子を中心に事務所一丸となり、検察を相手に裁判で戦うことに。一方、朝飛</t>
    </r>
    <r>
      <rPr>
        <rFont val="Arial"/>
        <sz val="10.0"/>
      </rPr>
      <t>(</t>
    </r>
    <r>
      <rPr>
        <rFont val="ＭＳ Ｐゴシック"/>
        <sz val="10.0"/>
      </rPr>
      <t>北村匠海</t>
    </r>
    <r>
      <rPr>
        <rFont val="Arial"/>
        <sz val="10.0"/>
      </rPr>
      <t>)</t>
    </r>
    <r>
      <rPr>
        <rFont val="ＭＳ Ｐゴシック"/>
        <sz val="10.0"/>
      </rPr>
      <t>は不穏な動きを見せる。</t>
    </r>
    <r>
      <rPr>
        <rFont val="Arial"/>
        <sz val="10.0"/>
      </rPr>
      <t xml:space="preserve">  </t>
    </r>
    <r>
      <rPr>
        <rFont val="ＭＳ Ｐゴシック"/>
        <sz val="10.0"/>
      </rPr>
      <t>そんな中、裁判では多田に不利な証拠が次々と出てくる。しかも、検察側はさらなる隠し玉を控えていて</t>
    </r>
    <r>
      <rPr>
        <rFont val="Arial"/>
        <sz val="10.0"/>
      </rPr>
      <t xml:space="preserve">…  </t>
    </r>
    <r>
      <rPr>
        <rFont val="ＭＳ Ｐゴシック"/>
        <sz val="10.0"/>
      </rPr>
      <t>さらに円香</t>
    </r>
    <r>
      <rPr>
        <rFont val="Arial"/>
        <sz val="10.0"/>
      </rPr>
      <t>(</t>
    </r>
    <r>
      <rPr>
        <rFont val="ＭＳ Ｐゴシック"/>
        <sz val="10.0"/>
      </rPr>
      <t>水原希子</t>
    </r>
    <r>
      <rPr>
        <rFont val="Arial"/>
        <sz val="10.0"/>
      </rPr>
      <t>)</t>
    </r>
    <r>
      <rPr>
        <rFont val="ＭＳ Ｐゴシック"/>
        <sz val="10.0"/>
      </rPr>
      <t>は脇坂と会い、思わぬ行動に出る。</t>
    </r>
    <r>
      <rPr>
        <rFont val="Arial"/>
        <sz val="10.0"/>
      </rPr>
      <t xml:space="preserve">  </t>
    </r>
    <r>
      <rPr>
        <rFont val="ＭＳ Ｐゴシック"/>
        <sz val="10.0"/>
      </rPr>
      <t>次々と追い込まれる中、どん底だった自分を救ってくれた多田のピンチを救えるのか</t>
    </r>
    <r>
      <rPr>
        <rFont val="Arial"/>
        <sz val="10.0"/>
      </rPr>
      <t xml:space="preserve">!?  </t>
    </r>
    <r>
      <rPr>
        <rFont val="ＭＳ Ｐゴシック"/>
        <sz val="10.0"/>
      </rPr>
      <t>そして、亀裂が入った壮一郎との夫婦関係はどうなるのか</t>
    </r>
  </si>
  <si>
    <t>1810_TBS_火22</t>
  </si>
  <si>
    <t>中学聖日記</t>
  </si>
  <si>
    <t>番組名火曜ドラマ「中学聖日記」　第1話</t>
  </si>
  <si>
    <r>
      <rPr>
        <rFont val="ＭＳ Ｐゴシック"/>
        <sz val="10.0"/>
      </rPr>
      <t>子どもの頃から夢だった教師になった聖</t>
    </r>
    <r>
      <rPr>
        <rFont val="Arial"/>
        <sz val="10.0"/>
      </rPr>
      <t>(</t>
    </r>
    <r>
      <rPr>
        <rFont val="ＭＳ Ｐゴシック"/>
        <sz val="10.0"/>
      </rPr>
      <t>有村架純</t>
    </r>
    <r>
      <rPr>
        <rFont val="Arial"/>
        <sz val="10.0"/>
      </rPr>
      <t>)</t>
    </r>
    <r>
      <rPr>
        <rFont val="ＭＳ Ｐゴシック"/>
        <sz val="10.0"/>
      </rPr>
      <t>は子星中学校に赴任。</t>
    </r>
    <r>
      <rPr>
        <rFont val="Arial"/>
        <sz val="10.0"/>
      </rPr>
      <t>3</t>
    </r>
    <r>
      <rPr>
        <rFont val="ＭＳ Ｐゴシック"/>
        <sz val="10.0"/>
      </rPr>
      <t>年</t>
    </r>
    <r>
      <rPr>
        <rFont val="Arial"/>
        <sz val="10.0"/>
      </rPr>
      <t>1</t>
    </r>
    <r>
      <rPr>
        <rFont val="ＭＳ Ｐゴシック"/>
        <sz val="10.0"/>
      </rPr>
      <t>組の担任を受け持つこと</t>
    </r>
    <r>
      <rPr>
        <rFont val="Arial"/>
        <sz val="10.0"/>
      </rPr>
      <t xml:space="preserve"> </t>
    </r>
    <r>
      <rPr>
        <rFont val="ＭＳ Ｐゴシック"/>
        <sz val="10.0"/>
      </rPr>
      <t>になり、不思議な魅力をもつ男子生徒の晶</t>
    </r>
    <r>
      <rPr>
        <rFont val="Arial"/>
        <sz val="10.0"/>
      </rPr>
      <t>(</t>
    </r>
    <r>
      <rPr>
        <rFont val="ＭＳ Ｐゴシック"/>
        <sz val="10.0"/>
      </rPr>
      <t>岡田健史</t>
    </r>
    <r>
      <rPr>
        <rFont val="Arial"/>
        <sz val="10.0"/>
      </rPr>
      <t>)</t>
    </r>
    <r>
      <rPr>
        <rFont val="ＭＳ Ｐゴシック"/>
        <sz val="10.0"/>
      </rPr>
      <t>と出会う。しかし晶は聖に対して反抗的な態度を見せる。遠距離恋愛中の婚約者、勝太郎</t>
    </r>
    <r>
      <rPr>
        <rFont val="Arial"/>
        <sz val="10.0"/>
      </rPr>
      <t>(</t>
    </r>
    <r>
      <rPr>
        <rFont val="ＭＳ Ｐゴシック"/>
        <sz val="10.0"/>
      </rPr>
      <t>町田啓太</t>
    </r>
    <r>
      <rPr>
        <rFont val="Arial"/>
        <sz val="10.0"/>
      </rPr>
      <t>)</t>
    </r>
    <r>
      <rPr>
        <rFont val="ＭＳ Ｐゴシック"/>
        <sz val="10.0"/>
      </rPr>
      <t>ともすれ違うが続く中、教師としての自信を失っていく聖。ある夜、晶が問題を起こしたと連絡が入る。現場に駆け付けた聖だったが、晶に思わぬ言葉を投げつけられて・・・。</t>
    </r>
  </si>
  <si>
    <t>番組名火曜ドラマ「中学聖日記」　第2話</t>
  </si>
  <si>
    <r>
      <rPr>
        <rFont val="ＭＳ Ｐゴシック"/>
        <sz val="10.0"/>
      </rPr>
      <t>聖</t>
    </r>
    <r>
      <rPr>
        <rFont val="Arial"/>
        <sz val="10.0"/>
      </rPr>
      <t>(</t>
    </r>
    <r>
      <rPr>
        <rFont val="ＭＳ Ｐゴシック"/>
        <sz val="10.0"/>
      </rPr>
      <t>有村架純</t>
    </r>
    <r>
      <rPr>
        <rFont val="Arial"/>
        <sz val="10.0"/>
      </rPr>
      <t>)</t>
    </r>
    <r>
      <rPr>
        <rFont val="ＭＳ Ｐゴシック"/>
        <sz val="10.0"/>
      </rPr>
      <t>は生徒・晶</t>
    </r>
    <r>
      <rPr>
        <rFont val="Arial"/>
        <sz val="10.0"/>
      </rPr>
      <t>(</t>
    </r>
    <r>
      <rPr>
        <rFont val="ＭＳ Ｐゴシック"/>
        <sz val="10.0"/>
      </rPr>
      <t>岡田健史</t>
    </r>
    <r>
      <rPr>
        <rFont val="Arial"/>
        <sz val="10.0"/>
      </rPr>
      <t>)</t>
    </r>
    <r>
      <rPr>
        <rFont val="ＭＳ Ｐゴシック"/>
        <sz val="10.0"/>
      </rPr>
      <t>から突然告白される。相手にしない聖だが、晶の真っ直ぐな言葉に本気だと知り、晶と距離を取るようになる。一方、婚約者・勝太郎</t>
    </r>
    <r>
      <rPr>
        <rFont val="Arial"/>
        <sz val="10.0"/>
      </rPr>
      <t>(</t>
    </r>
    <r>
      <rPr>
        <rFont val="ＭＳ Ｐゴシック"/>
        <sz val="10.0"/>
      </rPr>
      <t>町田啓太</t>
    </r>
    <r>
      <rPr>
        <rFont val="Arial"/>
        <sz val="10.0"/>
      </rPr>
      <t>)</t>
    </r>
    <r>
      <rPr>
        <rFont val="ＭＳ Ｐゴシック"/>
        <sz val="10.0"/>
      </rPr>
      <t>の両親と食事することになった聖は、仕事を辞めるように言われて、結婚と仕事の選択に悩む・・・。そんな中、子星中学校の体育祭が開催される。晶と目を合わせない聖に、晶は大胆な行動に出る。さらに、体育祭を抜け出した晶にアクシデントが</t>
    </r>
    <r>
      <rPr>
        <rFont val="Arial"/>
        <sz val="10.0"/>
      </rPr>
      <t>!</t>
    </r>
  </si>
  <si>
    <t>番組名火曜ドラマ「中学聖日記」　第3話</t>
  </si>
  <si>
    <r>
      <rPr>
        <rFont val="ＭＳ Ｐゴシック"/>
        <sz val="10.0"/>
      </rPr>
      <t>自転車で転倒し、怪我をした晶</t>
    </r>
    <r>
      <rPr>
        <rFont val="Arial"/>
        <sz val="10.0"/>
      </rPr>
      <t>(</t>
    </r>
    <r>
      <rPr>
        <rFont val="ＭＳ Ｐゴシック"/>
        <sz val="10.0"/>
      </rPr>
      <t>岡田健史</t>
    </r>
    <r>
      <rPr>
        <rFont val="Arial"/>
        <sz val="10.0"/>
      </rPr>
      <t>)</t>
    </r>
    <r>
      <rPr>
        <rFont val="ＭＳ Ｐゴシック"/>
        <sz val="10.0"/>
      </rPr>
      <t>を聖</t>
    </r>
    <r>
      <rPr>
        <rFont val="Arial"/>
        <sz val="10.0"/>
      </rPr>
      <t>(</t>
    </r>
    <r>
      <rPr>
        <rFont val="ＭＳ Ｐゴシック"/>
        <sz val="10.0"/>
      </rPr>
      <t>有村架純</t>
    </r>
    <r>
      <rPr>
        <rFont val="Arial"/>
        <sz val="10.0"/>
      </rPr>
      <t>)</t>
    </r>
    <r>
      <rPr>
        <rFont val="ＭＳ Ｐゴシック"/>
        <sz val="10.0"/>
      </rPr>
      <t>は、手当てするために自分の部屋に上げる。そこへ勝太郎</t>
    </r>
    <r>
      <rPr>
        <rFont val="Arial"/>
        <sz val="10.0"/>
      </rPr>
      <t>(</t>
    </r>
    <r>
      <rPr>
        <rFont val="ＭＳ Ｐゴシック"/>
        <sz val="10.0"/>
      </rPr>
      <t>町田啓太</t>
    </r>
    <r>
      <rPr>
        <rFont val="Arial"/>
        <sz val="10.0"/>
      </rPr>
      <t>)</t>
    </r>
    <r>
      <rPr>
        <rFont val="ＭＳ Ｐゴシック"/>
        <sz val="10.0"/>
      </rPr>
      <t>が訪問し、聖は動揺する。翌日、聖は晶に普通に接しようとするが、晶から無視されてしまう。さらに晶に彼女ができたと聞き、ほっとする反面、複雑な気持ちに・・・。そんな中、</t>
    </r>
    <r>
      <rPr>
        <rFont val="Arial"/>
        <sz val="10.0"/>
      </rPr>
      <t>3</t>
    </r>
    <r>
      <rPr>
        <rFont val="ＭＳ Ｐゴシック"/>
        <sz val="10.0"/>
      </rPr>
      <t>泊</t>
    </r>
    <r>
      <rPr>
        <rFont val="Arial"/>
        <sz val="10.0"/>
      </rPr>
      <t>4</t>
    </r>
    <r>
      <rPr>
        <rFont val="ＭＳ Ｐゴシック"/>
        <sz val="10.0"/>
      </rPr>
      <t>日の勉強合宿が始まり、合宿中に晶が事件を起こす。そんな中、晶の母・愛子</t>
    </r>
    <r>
      <rPr>
        <rFont val="Arial"/>
        <sz val="10.0"/>
      </rPr>
      <t>(</t>
    </r>
    <r>
      <rPr>
        <rFont val="ＭＳ Ｐゴシック"/>
        <sz val="10.0"/>
      </rPr>
      <t>夏川結衣</t>
    </r>
    <r>
      <rPr>
        <rFont val="Arial"/>
        <sz val="10.0"/>
      </rPr>
      <t>)</t>
    </r>
    <r>
      <rPr>
        <rFont val="ＭＳ Ｐゴシック"/>
        <sz val="10.0"/>
      </rPr>
      <t>が倒れたと連絡が入り・・・</t>
    </r>
  </si>
  <si>
    <t>番組名火曜ドラマ「中学聖日記」　第4話</t>
  </si>
  <si>
    <r>
      <rPr>
        <rFont val="ＭＳ Ｐゴシック"/>
        <sz val="10.0"/>
      </rPr>
      <t>晶</t>
    </r>
    <r>
      <rPr>
        <rFont val="Arial"/>
        <sz val="10.0"/>
      </rPr>
      <t>(</t>
    </r>
    <r>
      <rPr>
        <rFont val="ＭＳ Ｐゴシック"/>
        <sz val="10.0"/>
      </rPr>
      <t>岡田健史</t>
    </r>
    <r>
      <rPr>
        <rFont val="Arial"/>
        <sz val="10.0"/>
      </rPr>
      <t>)</t>
    </r>
    <r>
      <rPr>
        <rFont val="ＭＳ Ｐゴシック"/>
        <sz val="10.0"/>
      </rPr>
      <t>への特別な感情に気付いた聖</t>
    </r>
    <r>
      <rPr>
        <rFont val="Arial"/>
        <sz val="10.0"/>
      </rPr>
      <t>(</t>
    </r>
    <r>
      <rPr>
        <rFont val="ＭＳ Ｐゴシック"/>
        <sz val="10.0"/>
      </rPr>
      <t>有村架純</t>
    </r>
    <r>
      <rPr>
        <rFont val="Arial"/>
        <sz val="10.0"/>
      </rPr>
      <t>)</t>
    </r>
    <r>
      <rPr>
        <rFont val="ＭＳ Ｐゴシック"/>
        <sz val="10.0"/>
      </rPr>
      <t>。しかし自分の気持ちは一時のものだと、聖は教師として晶に接する。それでも諦めきれない晶は、「花火大会のあとに会いたい」と聖にメールをする。そんな</t>
    </r>
    <r>
      <rPr>
        <rFont val="Arial"/>
        <sz val="10.0"/>
      </rPr>
      <t>2</t>
    </r>
    <r>
      <rPr>
        <rFont val="ＭＳ Ｐゴシック"/>
        <sz val="10.0"/>
      </rPr>
      <t>人の関係を愛子</t>
    </r>
    <r>
      <rPr>
        <rFont val="Arial"/>
        <sz val="10.0"/>
      </rPr>
      <t>(</t>
    </r>
    <r>
      <rPr>
        <rFont val="ＭＳ Ｐゴシック"/>
        <sz val="10.0"/>
      </rPr>
      <t>夏川結衣</t>
    </r>
    <r>
      <rPr>
        <rFont val="Arial"/>
        <sz val="10.0"/>
      </rPr>
      <t>)</t>
    </r>
    <r>
      <rPr>
        <rFont val="ＭＳ Ｐゴシック"/>
        <sz val="10.0"/>
      </rPr>
      <t>が疑い始め・・・。そして花火大会の夜、見回りで会場へ来た聖は、晶の意外な姿を目撃する。さらに、勝太郎</t>
    </r>
    <r>
      <rPr>
        <rFont val="Arial"/>
        <sz val="10.0"/>
      </rPr>
      <t>(</t>
    </r>
    <r>
      <rPr>
        <rFont val="ＭＳ Ｐゴシック"/>
        <sz val="10.0"/>
      </rPr>
      <t>町田啓太</t>
    </r>
    <r>
      <rPr>
        <rFont val="Arial"/>
        <sz val="10.0"/>
      </rPr>
      <t>)</t>
    </r>
    <r>
      <rPr>
        <rFont val="ＭＳ Ｐゴシック"/>
        <sz val="10.0"/>
      </rPr>
      <t>と原口</t>
    </r>
    <r>
      <rPr>
        <rFont val="Arial"/>
        <sz val="10.0"/>
      </rPr>
      <t>(</t>
    </r>
    <r>
      <rPr>
        <rFont val="ＭＳ Ｐゴシック"/>
        <sz val="10.0"/>
      </rPr>
      <t>吉田羊</t>
    </r>
    <r>
      <rPr>
        <rFont val="Arial"/>
        <sz val="10.0"/>
      </rPr>
      <t>)</t>
    </r>
    <r>
      <rPr>
        <rFont val="ＭＳ Ｐゴシック"/>
        <sz val="10.0"/>
      </rPr>
      <t>も会場に訪れ、波乱の夜が幕をあける・・・。</t>
    </r>
  </si>
  <si>
    <t>番組名火曜ドラマ「中学聖日記」　第5話</t>
  </si>
  <si>
    <r>
      <rPr>
        <rFont val="ＭＳ Ｐゴシック"/>
        <sz val="10.0"/>
      </rPr>
      <t>夜の砂浜で、キスをしてしまった聖</t>
    </r>
    <r>
      <rPr>
        <rFont val="Arial"/>
        <sz val="10.0"/>
      </rPr>
      <t>(</t>
    </r>
    <r>
      <rPr>
        <rFont val="ＭＳ Ｐゴシック"/>
        <sz val="10.0"/>
      </rPr>
      <t>有村架純</t>
    </r>
    <r>
      <rPr>
        <rFont val="Arial"/>
        <sz val="10.0"/>
      </rPr>
      <t>)</t>
    </r>
    <r>
      <rPr>
        <rFont val="ＭＳ Ｐゴシック"/>
        <sz val="10.0"/>
      </rPr>
      <t>と晶</t>
    </r>
    <r>
      <rPr>
        <rFont val="Arial"/>
        <sz val="10.0"/>
      </rPr>
      <t>(</t>
    </r>
    <r>
      <rPr>
        <rFont val="ＭＳ Ｐゴシック"/>
        <sz val="10.0"/>
      </rPr>
      <t>岡田健史</t>
    </r>
    <r>
      <rPr>
        <rFont val="Arial"/>
        <sz val="10.0"/>
      </rPr>
      <t>)</t>
    </r>
    <r>
      <rPr>
        <rFont val="ＭＳ Ｐゴシック"/>
        <sz val="10.0"/>
      </rPr>
      <t>は聖のマンション前で勝太郎</t>
    </r>
    <r>
      <rPr>
        <rFont val="Arial"/>
        <sz val="10.0"/>
      </rPr>
      <t>(</t>
    </r>
    <r>
      <rPr>
        <rFont val="ＭＳ Ｐゴシック"/>
        <sz val="10.0"/>
      </rPr>
      <t>町田啓太</t>
    </r>
    <r>
      <rPr>
        <rFont val="Arial"/>
        <sz val="10.0"/>
      </rPr>
      <t>)</t>
    </r>
    <r>
      <rPr>
        <rFont val="ＭＳ Ｐゴシック"/>
        <sz val="10.0"/>
      </rPr>
      <t>と愛子</t>
    </r>
    <r>
      <rPr>
        <rFont val="Arial"/>
        <sz val="10.0"/>
      </rPr>
      <t>(</t>
    </r>
    <r>
      <rPr>
        <rFont val="ＭＳ Ｐゴシック"/>
        <sz val="10.0"/>
      </rPr>
      <t>夏川結衣</t>
    </r>
    <r>
      <rPr>
        <rFont val="Arial"/>
        <sz val="10.0"/>
      </rPr>
      <t>)</t>
    </r>
    <r>
      <rPr>
        <rFont val="ＭＳ Ｐゴシック"/>
        <sz val="10.0"/>
      </rPr>
      <t>と鉢合わせてしまう。話をしようとする聖に勝太郎は「信じてる」と言うばかり。翌日、塩谷</t>
    </r>
    <r>
      <rPr>
        <rFont val="Arial"/>
        <sz val="10.0"/>
      </rPr>
      <t>(</t>
    </r>
    <r>
      <rPr>
        <rFont val="ＭＳ Ｐゴシック"/>
        <sz val="10.0"/>
      </rPr>
      <t>夏木マリ</t>
    </r>
    <r>
      <rPr>
        <rFont val="Arial"/>
        <sz val="10.0"/>
      </rPr>
      <t>)</t>
    </r>
    <r>
      <rPr>
        <rFont val="ＭＳ Ｐゴシック"/>
        <sz val="10.0"/>
      </rPr>
      <t>から学校へ呼び出された聖は、同席した愛子の前でこれまでの経緯を説明するが・・・。一方、愛子が学校に行ったと知った晶は学校に向かう。そこで、自宅謹慎を命じられた聖と会ってしまい・・・。</t>
    </r>
  </si>
  <si>
    <t>番組名火曜ドラマ「中学聖日記」　第6話</t>
  </si>
  <si>
    <r>
      <rPr>
        <rFont val="ＭＳ Ｐゴシック"/>
        <sz val="10.0"/>
      </rPr>
      <t>晶</t>
    </r>
    <r>
      <rPr>
        <rFont val="Arial"/>
        <sz val="10.0"/>
      </rPr>
      <t>(</t>
    </r>
    <r>
      <rPr>
        <rFont val="ＭＳ Ｐゴシック"/>
        <sz val="10.0"/>
      </rPr>
      <t>岡田健史</t>
    </r>
    <r>
      <rPr>
        <rFont val="Arial"/>
        <sz val="10.0"/>
      </rPr>
      <t>)</t>
    </r>
    <r>
      <rPr>
        <rFont val="ＭＳ Ｐゴシック"/>
        <sz val="10.0"/>
      </rPr>
      <t>の前から姿を消した聖</t>
    </r>
    <r>
      <rPr>
        <rFont val="Arial"/>
        <sz val="10.0"/>
      </rPr>
      <t>(</t>
    </r>
    <r>
      <rPr>
        <rFont val="ＭＳ Ｐゴシック"/>
        <sz val="10.0"/>
      </rPr>
      <t>有村架純</t>
    </r>
    <r>
      <rPr>
        <rFont val="Arial"/>
        <sz val="10.0"/>
      </rPr>
      <t>)</t>
    </r>
    <r>
      <rPr>
        <rFont val="ＭＳ Ｐゴシック"/>
        <sz val="10.0"/>
      </rPr>
      <t>は、勝太郎</t>
    </r>
    <r>
      <rPr>
        <rFont val="Arial"/>
        <sz val="10.0"/>
      </rPr>
      <t>(</t>
    </r>
    <r>
      <rPr>
        <rFont val="ＭＳ Ｐゴシック"/>
        <sz val="10.0"/>
      </rPr>
      <t>町田啓太</t>
    </r>
    <r>
      <rPr>
        <rFont val="Arial"/>
        <sz val="10.0"/>
      </rPr>
      <t>)</t>
    </r>
    <r>
      <rPr>
        <rFont val="ＭＳ Ｐゴシック"/>
        <sz val="10.0"/>
      </rPr>
      <t>と別れ、小学校で教師を続けていた。平穏な日々を過ごす聖だったが、同僚の野上</t>
    </r>
    <r>
      <rPr>
        <rFont val="Arial"/>
        <sz val="10.0"/>
      </rPr>
      <t>(</t>
    </r>
    <r>
      <rPr>
        <rFont val="ＭＳ Ｐゴシック"/>
        <sz val="10.0"/>
      </rPr>
      <t>渡辺大</t>
    </r>
    <r>
      <rPr>
        <rFont val="Arial"/>
        <sz val="10.0"/>
      </rPr>
      <t>)</t>
    </r>
    <r>
      <rPr>
        <rFont val="ＭＳ Ｐゴシック"/>
        <sz val="10.0"/>
      </rPr>
      <t>と訪れた雑貨市で晶の姿を見かけ、動揺する。一方、勝太郎は東京本社で働いていたが、そこへ原口</t>
    </r>
    <r>
      <rPr>
        <rFont val="Arial"/>
        <sz val="10.0"/>
      </rPr>
      <t>(</t>
    </r>
    <r>
      <rPr>
        <rFont val="ＭＳ Ｐゴシック"/>
        <sz val="10.0"/>
      </rPr>
      <t>吉田羊</t>
    </r>
    <r>
      <rPr>
        <rFont val="Arial"/>
        <sz val="10.0"/>
      </rPr>
      <t>)</t>
    </r>
    <r>
      <rPr>
        <rFont val="ＭＳ Ｐゴシック"/>
        <sz val="10.0"/>
      </rPr>
      <t>が新部長として戻ってきて</t>
    </r>
    <r>
      <rPr>
        <rFont val="Arial"/>
        <sz val="10.0"/>
      </rPr>
      <t>…!</t>
    </r>
    <r>
      <rPr>
        <rFont val="ＭＳ Ｐゴシック"/>
        <sz val="10.0"/>
      </rPr>
      <t>そんな中、生徒・彩乃</t>
    </r>
    <r>
      <rPr>
        <rFont val="Arial"/>
        <sz val="10.0"/>
      </rPr>
      <t>(</t>
    </r>
    <r>
      <rPr>
        <rFont val="ＭＳ Ｐゴシック"/>
        <sz val="10.0"/>
      </rPr>
      <t>石田凛音</t>
    </r>
    <r>
      <rPr>
        <rFont val="Arial"/>
        <sz val="10.0"/>
      </rPr>
      <t>)</t>
    </r>
    <r>
      <rPr>
        <rFont val="ＭＳ Ｐゴシック"/>
        <sz val="10.0"/>
      </rPr>
      <t>の遠足費の支払いが滞っていることを知った聖は、母親・美和</t>
    </r>
    <r>
      <rPr>
        <rFont val="Arial"/>
        <sz val="10.0"/>
      </rPr>
      <t>(</t>
    </r>
    <r>
      <rPr>
        <rFont val="ＭＳ Ｐゴシック"/>
        <sz val="10.0"/>
      </rPr>
      <t>村川絵梨</t>
    </r>
    <r>
      <rPr>
        <rFont val="Arial"/>
        <sz val="10.0"/>
      </rPr>
      <t>)</t>
    </r>
    <r>
      <rPr>
        <rFont val="ＭＳ Ｐゴシック"/>
        <sz val="10.0"/>
      </rPr>
      <t>を訪ねるが</t>
    </r>
    <r>
      <rPr>
        <rFont val="Arial"/>
        <sz val="10.0"/>
      </rPr>
      <t>…</t>
    </r>
  </si>
  <si>
    <t>番組名火曜ドラマ「中学聖日記」　第7話</t>
  </si>
  <si>
    <r>
      <rPr>
        <rFont val="ＭＳ Ｐゴシック"/>
        <sz val="10.0"/>
      </rPr>
      <t>野上</t>
    </r>
    <r>
      <rPr>
        <rFont val="Arial"/>
        <sz val="10.0"/>
      </rPr>
      <t>(</t>
    </r>
    <r>
      <rPr>
        <rFont val="ＭＳ Ｐゴシック"/>
        <sz val="10.0"/>
      </rPr>
      <t>渡辺大</t>
    </r>
    <r>
      <rPr>
        <rFont val="Arial"/>
        <sz val="10.0"/>
      </rPr>
      <t>)</t>
    </r>
    <r>
      <rPr>
        <rFont val="ＭＳ Ｐゴシック"/>
        <sz val="10.0"/>
      </rPr>
      <t>の優しさに触れ、ようやく前に進めそうな聖</t>
    </r>
    <r>
      <rPr>
        <rFont val="Arial"/>
        <sz val="10.0"/>
      </rPr>
      <t>(</t>
    </r>
    <r>
      <rPr>
        <rFont val="ＭＳ Ｐゴシック"/>
        <sz val="10.0"/>
      </rPr>
      <t>有村架純</t>
    </r>
    <r>
      <rPr>
        <rFont val="Arial"/>
        <sz val="10.0"/>
      </rPr>
      <t>)</t>
    </r>
    <r>
      <rPr>
        <rFont val="ＭＳ Ｐゴシック"/>
        <sz val="10.0"/>
      </rPr>
      <t>。ある日、クラスの児童の一人である彩乃</t>
    </r>
    <r>
      <rPr>
        <rFont val="Arial"/>
        <sz val="10.0"/>
      </rPr>
      <t>(</t>
    </r>
    <r>
      <rPr>
        <rFont val="ＭＳ Ｐゴシック"/>
        <sz val="10.0"/>
      </rPr>
      <t>石田凛音</t>
    </r>
    <r>
      <rPr>
        <rFont val="Arial"/>
        <sz val="10.0"/>
      </rPr>
      <t>)</t>
    </r>
    <r>
      <rPr>
        <rFont val="ＭＳ Ｐゴシック"/>
        <sz val="10.0"/>
      </rPr>
      <t>が、登校中に栄養失調からくる貧血で倒れてしまう。聖は彩乃の母・美和</t>
    </r>
    <r>
      <rPr>
        <rFont val="Arial"/>
        <sz val="10.0"/>
      </rPr>
      <t>(</t>
    </r>
    <r>
      <rPr>
        <rFont val="ＭＳ Ｐゴシック"/>
        <sz val="10.0"/>
      </rPr>
      <t>村川絵梨</t>
    </r>
    <r>
      <rPr>
        <rFont val="Arial"/>
        <sz val="10.0"/>
      </rPr>
      <t>)</t>
    </r>
    <r>
      <rPr>
        <rFont val="ＭＳ Ｐゴシック"/>
        <sz val="10.0"/>
      </rPr>
      <t>を学校に呼び出して注意しようとするが、美和はこれ以上踏み込んできたら秘密をバラすと聖を脅す。一方、晶</t>
    </r>
    <r>
      <rPr>
        <rFont val="Arial"/>
        <sz val="10.0"/>
      </rPr>
      <t>(</t>
    </r>
    <r>
      <rPr>
        <rFont val="ＭＳ Ｐゴシック"/>
        <sz val="10.0"/>
      </rPr>
      <t>岡田健史</t>
    </r>
    <r>
      <rPr>
        <rFont val="Arial"/>
        <sz val="10.0"/>
      </rPr>
      <t>)</t>
    </r>
    <r>
      <rPr>
        <rFont val="ＭＳ Ｐゴシック"/>
        <sz val="10.0"/>
      </rPr>
      <t>はるな</t>
    </r>
    <r>
      <rPr>
        <rFont val="Arial"/>
        <sz val="10.0"/>
      </rPr>
      <t>(</t>
    </r>
    <r>
      <rPr>
        <rFont val="ＭＳ Ｐゴシック"/>
        <sz val="10.0"/>
      </rPr>
      <t>小野莉奈</t>
    </r>
    <r>
      <rPr>
        <rFont val="Arial"/>
        <sz val="10.0"/>
      </rPr>
      <t>)</t>
    </r>
    <r>
      <rPr>
        <rFont val="ＭＳ Ｐゴシック"/>
        <sz val="10.0"/>
      </rPr>
      <t>と付き合うことになったが、ひょんなことから聖の居場所を知ってしまい・・・</t>
    </r>
    <r>
      <rPr>
        <rFont val="Arial"/>
        <sz val="10.0"/>
      </rPr>
      <t>?</t>
    </r>
  </si>
  <si>
    <t>番組名火曜ドラマ「中学聖日記」　第8話</t>
  </si>
  <si>
    <r>
      <rPr>
        <rFont val="ＭＳ Ｐゴシック"/>
        <sz val="10.0"/>
      </rPr>
      <t>野上</t>
    </r>
    <r>
      <rPr>
        <rFont val="Arial"/>
        <sz val="10.0"/>
      </rPr>
      <t>(</t>
    </r>
    <r>
      <rPr>
        <rFont val="ＭＳ Ｐゴシック"/>
        <sz val="10.0"/>
      </rPr>
      <t>渡辺大</t>
    </r>
    <r>
      <rPr>
        <rFont val="Arial"/>
        <sz val="10.0"/>
      </rPr>
      <t>)</t>
    </r>
    <r>
      <rPr>
        <rFont val="ＭＳ Ｐゴシック"/>
        <sz val="10.0"/>
      </rPr>
      <t>との交際を決めた聖</t>
    </r>
    <r>
      <rPr>
        <rFont val="Arial"/>
        <sz val="10.0"/>
      </rPr>
      <t>(</t>
    </r>
    <r>
      <rPr>
        <rFont val="ＭＳ Ｐゴシック"/>
        <sz val="10.0"/>
      </rPr>
      <t>有村架純</t>
    </r>
    <r>
      <rPr>
        <rFont val="Arial"/>
        <sz val="10.0"/>
      </rPr>
      <t>)</t>
    </r>
    <r>
      <rPr>
        <rFont val="ＭＳ Ｐゴシック"/>
        <sz val="10.0"/>
      </rPr>
      <t>。そこへ突然晶の母・愛子</t>
    </r>
    <r>
      <rPr>
        <rFont val="Arial"/>
        <sz val="10.0"/>
      </rPr>
      <t>(</t>
    </r>
    <r>
      <rPr>
        <rFont val="ＭＳ Ｐゴシック"/>
        <sz val="10.0"/>
      </rPr>
      <t>夏川結衣</t>
    </r>
    <r>
      <rPr>
        <rFont val="Arial"/>
        <sz val="10.0"/>
      </rPr>
      <t>)</t>
    </r>
    <r>
      <rPr>
        <rFont val="ＭＳ Ｐゴシック"/>
        <sz val="10.0"/>
      </rPr>
      <t>が現れるが、動揺しながらも聖は真摯に向き合おうとする。学習発表会の準備に追われるある朝、聖が学校へ行くと生徒が誰も登校しておらず、聖と晶の</t>
    </r>
    <r>
      <rPr>
        <rFont val="Arial"/>
        <sz val="10.0"/>
      </rPr>
      <t>3</t>
    </r>
    <r>
      <rPr>
        <rFont val="ＭＳ Ｐゴシック"/>
        <sz val="10.0"/>
      </rPr>
      <t>年前の出来事が保護者たちに知れ渡っていた。さらには母親たちが学校に乗り込んできて、聖は過去について糾弾されてしまい・・・</t>
    </r>
    <r>
      <rPr>
        <rFont val="Arial"/>
        <sz val="10.0"/>
      </rPr>
      <t>!?</t>
    </r>
    <r>
      <rPr>
        <rFont val="ＭＳ Ｐゴシック"/>
        <sz val="10.0"/>
      </rPr>
      <t>そして、涙の発表会で事件は起こる・・・</t>
    </r>
    <r>
      <rPr>
        <rFont val="Arial"/>
        <sz val="10.0"/>
      </rPr>
      <t xml:space="preserve">! </t>
    </r>
  </si>
  <si>
    <t>番組名火曜ドラマ「中学聖日記」　第9話</t>
  </si>
  <si>
    <r>
      <rPr>
        <rFont val="ＭＳ Ｐゴシック"/>
        <sz val="10.0"/>
      </rPr>
      <t>晶</t>
    </r>
    <r>
      <rPr>
        <rFont val="Arial"/>
        <sz val="10.0"/>
      </rPr>
      <t>(</t>
    </r>
    <r>
      <rPr>
        <rFont val="ＭＳ Ｐゴシック"/>
        <sz val="10.0"/>
      </rPr>
      <t>岡田健史</t>
    </r>
    <r>
      <rPr>
        <rFont val="Arial"/>
        <sz val="10.0"/>
      </rPr>
      <t>)</t>
    </r>
    <r>
      <rPr>
        <rFont val="ＭＳ Ｐゴシック"/>
        <sz val="10.0"/>
      </rPr>
      <t>を心配して、船に飛び乗ってしまった聖</t>
    </r>
    <r>
      <rPr>
        <rFont val="Arial"/>
        <sz val="10.0"/>
      </rPr>
      <t>(</t>
    </r>
    <r>
      <rPr>
        <rFont val="ＭＳ Ｐゴシック"/>
        <sz val="10.0"/>
      </rPr>
      <t>有村架純</t>
    </r>
    <r>
      <rPr>
        <rFont val="Arial"/>
        <sz val="10.0"/>
      </rPr>
      <t>)</t>
    </r>
    <r>
      <rPr>
        <rFont val="ＭＳ Ｐゴシック"/>
        <sz val="10.0"/>
      </rPr>
      <t>。やがて二人は山江島へ辿り着く。この島に晶の父親がいると知り、聖は晶をほおっておけず一緒に父親を探すことになる。そして、晶は材木店で働く父親と再会する。安心した聖は帰ろうとするが、明日まで船が出ず、聖も晶の父親の家へ泊まることに</t>
    </r>
    <r>
      <rPr>
        <rFont val="Arial"/>
        <sz val="10.0"/>
      </rPr>
      <t>…</t>
    </r>
    <r>
      <rPr>
        <rFont val="ＭＳ Ｐゴシック"/>
        <sz val="10.0"/>
      </rPr>
      <t>。一方、晶の行方を心配する愛子</t>
    </r>
    <r>
      <rPr>
        <rFont val="Arial"/>
        <sz val="10.0"/>
      </rPr>
      <t>(</t>
    </r>
    <r>
      <rPr>
        <rFont val="ＭＳ Ｐゴシック"/>
        <sz val="10.0"/>
      </rPr>
      <t>夏川結衣</t>
    </r>
    <r>
      <rPr>
        <rFont val="Arial"/>
        <sz val="10.0"/>
      </rPr>
      <t>)</t>
    </r>
    <r>
      <rPr>
        <rFont val="ＭＳ Ｐゴシック"/>
        <sz val="10.0"/>
      </rPr>
      <t>は、聖と一緒ではないかと疑い勝太郎</t>
    </r>
    <r>
      <rPr>
        <rFont val="Arial"/>
        <sz val="10.0"/>
      </rPr>
      <t>(</t>
    </r>
    <r>
      <rPr>
        <rFont val="ＭＳ Ｐゴシック"/>
        <sz val="10.0"/>
      </rPr>
      <t>町田啓太</t>
    </r>
    <r>
      <rPr>
        <rFont val="Arial"/>
        <sz val="10.0"/>
      </rPr>
      <t>)</t>
    </r>
    <r>
      <rPr>
        <rFont val="ＭＳ Ｐゴシック"/>
        <sz val="10.0"/>
      </rPr>
      <t>の元を訪問し</t>
    </r>
    <r>
      <rPr>
        <rFont val="Arial"/>
        <sz val="10.0"/>
      </rPr>
      <t>…</t>
    </r>
  </si>
  <si>
    <t>番組名火曜ドラマ「中学聖日記」　第10話</t>
  </si>
  <si>
    <r>
      <rPr>
        <rFont val="ＭＳ Ｐゴシック"/>
        <sz val="10.0"/>
      </rPr>
      <t>ついに想いが通じ合った聖</t>
    </r>
    <r>
      <rPr>
        <rFont val="Arial"/>
        <sz val="10.0"/>
      </rPr>
      <t>(</t>
    </r>
    <r>
      <rPr>
        <rFont val="ＭＳ Ｐゴシック"/>
        <sz val="10.0"/>
      </rPr>
      <t>有村架純</t>
    </r>
    <r>
      <rPr>
        <rFont val="Arial"/>
        <sz val="10.0"/>
      </rPr>
      <t>)</t>
    </r>
    <r>
      <rPr>
        <rFont val="ＭＳ Ｐゴシック"/>
        <sz val="10.0"/>
      </rPr>
      <t>と晶</t>
    </r>
    <r>
      <rPr>
        <rFont val="Arial"/>
        <sz val="10.0"/>
      </rPr>
      <t>(</t>
    </r>
    <r>
      <rPr>
        <rFont val="ＭＳ Ｐゴシック"/>
        <sz val="10.0"/>
      </rPr>
      <t>岡田健史</t>
    </r>
    <r>
      <rPr>
        <rFont val="Arial"/>
        <sz val="10.0"/>
      </rPr>
      <t>)</t>
    </r>
    <r>
      <rPr>
        <rFont val="ＭＳ Ｐゴシック"/>
        <sz val="10.0"/>
      </rPr>
      <t>。しかし東京の港へ戻ると聖の母親・里美</t>
    </r>
    <r>
      <rPr>
        <rFont val="Arial"/>
        <sz val="10.0"/>
      </rPr>
      <t>(</t>
    </r>
    <r>
      <rPr>
        <rFont val="ＭＳ Ｐゴシック"/>
        <sz val="10.0"/>
      </rPr>
      <t>中嶋朋子</t>
    </r>
    <r>
      <rPr>
        <rFont val="Arial"/>
        <sz val="10.0"/>
      </rPr>
      <t>)</t>
    </r>
    <r>
      <rPr>
        <rFont val="ＭＳ Ｐゴシック"/>
        <sz val="10.0"/>
      </rPr>
      <t>が待ち構えていた</t>
    </r>
    <r>
      <rPr>
        <rFont val="Arial"/>
        <sz val="10.0"/>
      </rPr>
      <t>!</t>
    </r>
    <r>
      <rPr>
        <rFont val="ＭＳ Ｐゴシック"/>
        <sz val="10.0"/>
      </rPr>
      <t>里美が聖の言葉に耳を傾けることなく、聖と晶は引き離されてしまう。翌日、里美と一緒に愛子</t>
    </r>
    <r>
      <rPr>
        <rFont val="Arial"/>
        <sz val="10.0"/>
      </rPr>
      <t>(</t>
    </r>
    <r>
      <rPr>
        <rFont val="ＭＳ Ｐゴシック"/>
        <sz val="10.0"/>
      </rPr>
      <t>夏川結衣</t>
    </r>
    <r>
      <rPr>
        <rFont val="Arial"/>
        <sz val="10.0"/>
      </rPr>
      <t>)</t>
    </r>
    <r>
      <rPr>
        <rFont val="ＭＳ Ｐゴシック"/>
        <sz val="10.0"/>
      </rPr>
      <t>の元へ訪れた聖は、</t>
    </r>
    <r>
      <rPr>
        <rFont val="Arial"/>
        <sz val="10.0"/>
      </rPr>
      <t>2</t>
    </r>
    <r>
      <rPr>
        <rFont val="ＭＳ Ｐゴシック"/>
        <sz val="10.0"/>
      </rPr>
      <t>人の前で本当の気持ちを打ち明けるが</t>
    </r>
    <r>
      <rPr>
        <rFont val="Arial"/>
        <sz val="10.0"/>
      </rPr>
      <t>…</t>
    </r>
    <r>
      <rPr>
        <rFont val="ＭＳ Ｐゴシック"/>
        <sz val="10.0"/>
      </rPr>
      <t>。一方、晶は聖とのことを認めてもらうために進学を決意する。そんな中、晶の元にある人物が訪ねてきて</t>
    </r>
    <r>
      <rPr>
        <rFont val="Arial"/>
        <sz val="10.0"/>
      </rPr>
      <t>…</t>
    </r>
    <r>
      <rPr>
        <rFont val="ＭＳ Ｐゴシック"/>
        <sz val="10.0"/>
      </rPr>
      <t>晶は聖にとある決断を下す。</t>
    </r>
  </si>
  <si>
    <t>番組名火曜ドラマ「中学聖日記」　第11話</t>
  </si>
  <si>
    <r>
      <rPr>
        <rFont val="ＭＳ Ｐゴシック"/>
        <sz val="10.0"/>
      </rPr>
      <t>警察署へ連れていかれた聖</t>
    </r>
    <r>
      <rPr>
        <rFont val="Arial"/>
        <sz val="10.0"/>
      </rPr>
      <t>(</t>
    </r>
    <r>
      <rPr>
        <rFont val="ＭＳ Ｐゴシック"/>
        <sz val="10.0"/>
      </rPr>
      <t>有村架純</t>
    </r>
    <r>
      <rPr>
        <rFont val="Arial"/>
        <sz val="10.0"/>
      </rPr>
      <t>)</t>
    </r>
    <r>
      <rPr>
        <rFont val="ＭＳ Ｐゴシック"/>
        <sz val="10.0"/>
      </rPr>
      <t>と晶</t>
    </r>
    <r>
      <rPr>
        <rFont val="Arial"/>
        <sz val="10.0"/>
      </rPr>
      <t>(</t>
    </r>
    <r>
      <rPr>
        <rFont val="ＭＳ Ｐゴシック"/>
        <sz val="10.0"/>
      </rPr>
      <t>岡田健史</t>
    </r>
    <r>
      <rPr>
        <rFont val="Arial"/>
        <sz val="10.0"/>
      </rPr>
      <t>)</t>
    </r>
    <r>
      <rPr>
        <rFont val="ＭＳ Ｐゴシック"/>
        <sz val="10.0"/>
      </rPr>
      <t>。二人は別々の部屋でそれぞれ話を聞かれ、同意の上でも誘拐罪になると言われ動揺する。愛子から会って話がしたいと告げられた聖は、待ち合わせ場所の喫茶店に向かうがそこには思わぬ人物が聖を待ち受けていた。全てを失い、厳しい現実を突きつけられた聖。募る晶への想いを胸に秘め、彼女が最後に出した答えとは。そして、それぞれが選ぶ道、</t>
    </r>
    <r>
      <rPr>
        <rFont val="Arial"/>
        <sz val="10.0"/>
      </rPr>
      <t>“</t>
    </r>
    <r>
      <rPr>
        <rFont val="ＭＳ Ｐゴシック"/>
        <sz val="10.0"/>
      </rPr>
      <t>禁断の恋</t>
    </r>
    <r>
      <rPr>
        <rFont val="Arial"/>
        <sz val="10.0"/>
      </rPr>
      <t>"</t>
    </r>
    <r>
      <rPr>
        <rFont val="ＭＳ Ｐゴシック"/>
        <sz val="10.0"/>
      </rPr>
      <t>の結末はー</t>
    </r>
    <r>
      <rPr>
        <rFont val="Arial"/>
        <sz val="10.0"/>
      </rPr>
      <t>?</t>
    </r>
  </si>
  <si>
    <t>1810_TBS_金22</t>
  </si>
  <si>
    <t>大恋愛</t>
  </si>
  <si>
    <t>番組名金曜ドラマ「大恋愛～僕を忘れる君と」第1話【これは、神様がくれた最後の恋】</t>
  </si>
  <si>
    <r>
      <rPr>
        <rFont val="ＭＳ Ｐゴシック"/>
        <sz val="10.0"/>
      </rPr>
      <t>北澤尚</t>
    </r>
    <r>
      <rPr>
        <rFont val="Arial"/>
        <sz val="10.0"/>
      </rPr>
      <t>(</t>
    </r>
    <r>
      <rPr>
        <rFont val="ＭＳ Ｐゴシック"/>
        <sz val="10.0"/>
      </rPr>
      <t>戸田恵梨香</t>
    </r>
    <r>
      <rPr>
        <rFont val="Arial"/>
        <sz val="10.0"/>
      </rPr>
      <t>)</t>
    </r>
    <r>
      <rPr>
        <rFont val="ＭＳ Ｐゴシック"/>
        <sz val="10.0"/>
      </rPr>
      <t>、</t>
    </r>
    <r>
      <rPr>
        <rFont val="Arial"/>
        <sz val="10.0"/>
      </rPr>
      <t>34</t>
    </r>
    <r>
      <rPr>
        <rFont val="ＭＳ Ｐゴシック"/>
        <sz val="10.0"/>
      </rPr>
      <t>歳。レディースクリニックの女医。エリート医師・侑市</t>
    </r>
    <r>
      <rPr>
        <rFont val="Arial"/>
        <sz val="10.0"/>
      </rPr>
      <t>(</t>
    </r>
    <r>
      <rPr>
        <rFont val="ＭＳ Ｐゴシック"/>
        <sz val="10.0"/>
      </rPr>
      <t>松岡昌宏</t>
    </r>
    <r>
      <rPr>
        <rFont val="Arial"/>
        <sz val="10.0"/>
      </rPr>
      <t>)</t>
    </r>
    <r>
      <rPr>
        <rFont val="ＭＳ Ｐゴシック"/>
        <sz val="10.0"/>
      </rPr>
      <t>との婚約もきまって、順風満帆の人生を歩んでいた。しかし、新居への引越しの日、無愛想な引っ越し屋アルバイト・真司</t>
    </r>
    <r>
      <rPr>
        <rFont val="Arial"/>
        <sz val="10.0"/>
      </rPr>
      <t>(</t>
    </r>
    <r>
      <rPr>
        <rFont val="ＭＳ Ｐゴシック"/>
        <sz val="10.0"/>
      </rPr>
      <t>ムロツヨシ</t>
    </r>
    <r>
      <rPr>
        <rFont val="Arial"/>
        <sz val="10.0"/>
      </rPr>
      <t>)</t>
    </r>
    <r>
      <rPr>
        <rFont val="ＭＳ Ｐゴシック"/>
        <sz val="10.0"/>
      </rPr>
      <t>と出会う。全然タイプではないはずなのに、真司といると心から笑えて、一緒にいて楽しい。侑市のひきとめも聞かず、尚は真司との恋に突き進んでいく。そんな矢先、尚の体にある異変がおき始める</t>
    </r>
    <r>
      <rPr>
        <rFont val="Arial"/>
        <sz val="10.0"/>
      </rPr>
      <t>…</t>
    </r>
    <r>
      <rPr>
        <rFont val="ＭＳ Ｐゴシック"/>
        <sz val="10.0"/>
      </rPr>
      <t>。</t>
    </r>
  </si>
  <si>
    <t>番組名金曜ドラマ「大恋愛～僕を忘れる君と」　#2【どんな君でも一緒にいたい!】</t>
  </si>
  <si>
    <r>
      <rPr>
        <rFont val="ＭＳ Ｐゴシック"/>
        <sz val="10.0"/>
      </rPr>
      <t>北澤尚</t>
    </r>
    <r>
      <rPr>
        <rFont val="Arial"/>
        <sz val="10.0"/>
      </rPr>
      <t>(</t>
    </r>
    <r>
      <rPr>
        <rFont val="ＭＳ Ｐゴシック"/>
        <sz val="10.0"/>
      </rPr>
      <t>戸田恵梨香</t>
    </r>
    <r>
      <rPr>
        <rFont val="Arial"/>
        <sz val="10.0"/>
      </rPr>
      <t>)</t>
    </r>
    <r>
      <rPr>
        <rFont val="ＭＳ Ｐゴシック"/>
        <sz val="10.0"/>
      </rPr>
      <t>は、間宮真司</t>
    </r>
    <r>
      <rPr>
        <rFont val="Arial"/>
        <sz val="10.0"/>
      </rPr>
      <t>(</t>
    </r>
    <r>
      <rPr>
        <rFont val="ＭＳ Ｐゴシック"/>
        <sz val="10.0"/>
      </rPr>
      <t>ムロツヨシ</t>
    </r>
    <r>
      <rPr>
        <rFont val="Arial"/>
        <sz val="10.0"/>
      </rPr>
      <t>)</t>
    </r>
    <r>
      <rPr>
        <rFont val="ＭＳ Ｐゴシック"/>
        <sz val="10.0"/>
      </rPr>
      <t>と恋に落ち、幸せな時間を過ごしていた。しかし、尚の婚約者の井原侑市</t>
    </r>
    <r>
      <rPr>
        <rFont val="Arial"/>
        <sz val="10.0"/>
      </rPr>
      <t>(</t>
    </r>
    <r>
      <rPr>
        <rFont val="ＭＳ Ｐゴシック"/>
        <sz val="10.0"/>
      </rPr>
      <t>松岡昌宏</t>
    </r>
    <r>
      <rPr>
        <rFont val="Arial"/>
        <sz val="10.0"/>
      </rPr>
      <t>)</t>
    </r>
    <r>
      <rPr>
        <rFont val="ＭＳ Ｐゴシック"/>
        <sz val="10.0"/>
      </rPr>
      <t>は尚の脳の</t>
    </r>
    <r>
      <rPr>
        <rFont val="Arial"/>
        <sz val="10.0"/>
      </rPr>
      <t>MRI</t>
    </r>
    <r>
      <rPr>
        <rFont val="ＭＳ Ｐゴシック"/>
        <sz val="10.0"/>
      </rPr>
      <t>画像から異変を見つけてしまっていた。翌日、尚と対面した侑市は物忘れ検査を受けてほしいと尚に宣告する。自分の異変を自覚していた尚は気丈にふるまうが、ショックを隠せない。自分の病いを知った尚は、真司との別れも決意する</t>
    </r>
    <r>
      <rPr>
        <rFont val="Arial"/>
        <sz val="10.0"/>
      </rPr>
      <t>…</t>
    </r>
    <r>
      <rPr>
        <rFont val="ＭＳ Ｐゴシック"/>
        <sz val="10.0"/>
      </rPr>
      <t>。</t>
    </r>
  </si>
  <si>
    <t>番組名金曜ドラマ「大恋愛～僕を忘れる君と」　♯3【ひどい女でも好きなんだ!】</t>
  </si>
  <si>
    <r>
      <rPr>
        <rFont val="ＭＳ Ｐゴシック"/>
        <sz val="10.0"/>
      </rPr>
      <t>尚</t>
    </r>
    <r>
      <rPr>
        <rFont val="Arial"/>
        <sz val="10.0"/>
      </rPr>
      <t>(</t>
    </r>
    <r>
      <rPr>
        <rFont val="ＭＳ Ｐゴシック"/>
        <sz val="10.0"/>
      </rPr>
      <t>戸田恵梨香</t>
    </r>
    <r>
      <rPr>
        <rFont val="Arial"/>
        <sz val="10.0"/>
      </rPr>
      <t>)</t>
    </r>
    <r>
      <rPr>
        <rFont val="ＭＳ Ｐゴシック"/>
        <sz val="10.0"/>
      </rPr>
      <t>がアルツハイマー病の前段階の</t>
    </r>
    <r>
      <rPr>
        <rFont val="Arial"/>
        <sz val="10.0"/>
      </rPr>
      <t>MCI</t>
    </r>
    <r>
      <rPr>
        <rFont val="ＭＳ Ｐゴシック"/>
        <sz val="10.0"/>
      </rPr>
      <t>だと告白を受けた真司</t>
    </r>
    <r>
      <rPr>
        <rFont val="Arial"/>
        <sz val="10.0"/>
      </rPr>
      <t>(</t>
    </r>
    <r>
      <rPr>
        <rFont val="ＭＳ Ｐゴシック"/>
        <sz val="10.0"/>
      </rPr>
      <t>ムロツヨシ</t>
    </r>
    <r>
      <rPr>
        <rFont val="Arial"/>
        <sz val="10.0"/>
      </rPr>
      <t>)</t>
    </r>
    <r>
      <rPr>
        <rFont val="ＭＳ Ｐゴシック"/>
        <sz val="10.0"/>
      </rPr>
      <t>は、「それでも尚と一緒にいる」と話、二人は一緒に暮らしていくことにする。しかし、根っからのお嬢様である尚は、今の真司のアパートは汚くて狭くて嫌だ、早急に引っ越したいと言う。貯金が</t>
    </r>
    <r>
      <rPr>
        <rFont val="Arial"/>
        <sz val="10.0"/>
      </rPr>
      <t>12</t>
    </r>
    <r>
      <rPr>
        <rFont val="ＭＳ Ｐゴシック"/>
        <sz val="10.0"/>
      </rPr>
      <t>万しかない真司は、小説を書いていると嘘をついて、引っ越し屋のアルバイトに明け暮れるが</t>
    </r>
    <r>
      <rPr>
        <rFont val="Arial"/>
        <sz val="10.0"/>
      </rPr>
      <t>…</t>
    </r>
    <r>
      <rPr>
        <rFont val="ＭＳ Ｐゴシック"/>
        <sz val="10.0"/>
      </rPr>
      <t>。一方、侑市</t>
    </r>
    <r>
      <rPr>
        <rFont val="Arial"/>
        <sz val="10.0"/>
      </rPr>
      <t>(</t>
    </r>
    <r>
      <rPr>
        <rFont val="ＭＳ Ｐゴシック"/>
        <sz val="10.0"/>
      </rPr>
      <t>松岡昌宏</t>
    </r>
    <r>
      <rPr>
        <rFont val="Arial"/>
        <sz val="10.0"/>
      </rPr>
      <t>)</t>
    </r>
    <r>
      <rPr>
        <rFont val="ＭＳ Ｐゴシック"/>
        <sz val="10.0"/>
      </rPr>
      <t>は別のお見合いを進める。</t>
    </r>
  </si>
  <si>
    <t>番組名金曜ドラマ「大恋愛～僕を忘れる君と」　♯4【運命の相手】</t>
  </si>
  <si>
    <r>
      <rPr>
        <rFont val="ＭＳ Ｐゴシック"/>
        <sz val="10.0"/>
      </rPr>
      <t>尚</t>
    </r>
    <r>
      <rPr>
        <rFont val="Arial"/>
        <sz val="10.0"/>
      </rPr>
      <t>(</t>
    </r>
    <r>
      <rPr>
        <rFont val="ＭＳ Ｐゴシック"/>
        <sz val="10.0"/>
      </rPr>
      <t>戸田恵梨香</t>
    </r>
    <r>
      <rPr>
        <rFont val="Arial"/>
        <sz val="10.0"/>
      </rPr>
      <t>)</t>
    </r>
    <r>
      <rPr>
        <rFont val="ＭＳ Ｐゴシック"/>
        <sz val="10.0"/>
      </rPr>
      <t>が名前を間違えたことを言えない真司</t>
    </r>
    <r>
      <rPr>
        <rFont val="Arial"/>
        <sz val="10.0"/>
      </rPr>
      <t>(</t>
    </r>
    <r>
      <rPr>
        <rFont val="ＭＳ Ｐゴシック"/>
        <sz val="10.0"/>
      </rPr>
      <t>ムロツヨシ</t>
    </r>
    <r>
      <rPr>
        <rFont val="Arial"/>
        <sz val="10.0"/>
      </rPr>
      <t>)</t>
    </r>
    <r>
      <rPr>
        <rFont val="ＭＳ Ｐゴシック"/>
        <sz val="10.0"/>
      </rPr>
      <t>。これも病気の症状の一つだと自分に言い聞かせる。翌日、退院した真司の元を木村</t>
    </r>
    <r>
      <rPr>
        <rFont val="Arial"/>
        <sz val="10.0"/>
      </rPr>
      <t>(</t>
    </r>
    <r>
      <rPr>
        <rFont val="ＭＳ Ｐゴシック"/>
        <sz val="10.0"/>
      </rPr>
      <t>富澤たけし</t>
    </r>
    <r>
      <rPr>
        <rFont val="Arial"/>
        <sz val="10.0"/>
      </rPr>
      <t>)</t>
    </r>
    <r>
      <rPr>
        <rFont val="ＭＳ Ｐゴシック"/>
        <sz val="10.0"/>
      </rPr>
      <t>が訪れる。一方、侑市</t>
    </r>
    <r>
      <rPr>
        <rFont val="Arial"/>
        <sz val="10.0"/>
      </rPr>
      <t>(</t>
    </r>
    <r>
      <rPr>
        <rFont val="ＭＳ Ｐゴシック"/>
        <sz val="10.0"/>
      </rPr>
      <t>松岡昌宏</t>
    </r>
    <r>
      <rPr>
        <rFont val="Arial"/>
        <sz val="10.0"/>
      </rPr>
      <t>)</t>
    </r>
    <r>
      <rPr>
        <rFont val="ＭＳ Ｐゴシック"/>
        <sz val="10.0"/>
      </rPr>
      <t>はまた別のお見合い相手とデートを重ねていた。そんなある日、尚たちのクリニックの口コミサイトに尚がアルツハイマー病であるのに診察をしていたとクレームが書き込まれ、尚が窮地に立たされる。それを知った真司は</t>
    </r>
    <r>
      <rPr>
        <rFont val="Arial"/>
        <sz val="10.0"/>
      </rPr>
      <t>…</t>
    </r>
    <r>
      <rPr>
        <rFont val="ＭＳ Ｐゴシック"/>
        <sz val="10.0"/>
      </rPr>
      <t>侑市は</t>
    </r>
    <r>
      <rPr>
        <rFont val="Arial"/>
        <sz val="10.0"/>
      </rPr>
      <t>…</t>
    </r>
    <r>
      <rPr>
        <rFont val="ＭＳ Ｐゴシック"/>
        <sz val="10.0"/>
      </rPr>
      <t>。</t>
    </r>
  </si>
  <si>
    <t>番組名金曜ドラマ「大恋愛～僕を忘れる君と」♯5【永遠の愛を誓う日…私、幸せです】</t>
  </si>
  <si>
    <r>
      <rPr>
        <rFont val="ＭＳ Ｐゴシック"/>
        <sz val="10.0"/>
      </rPr>
      <t>尚</t>
    </r>
    <r>
      <rPr>
        <rFont val="Arial"/>
        <sz val="10.0"/>
      </rPr>
      <t>(</t>
    </r>
    <r>
      <rPr>
        <rFont val="ＭＳ Ｐゴシック"/>
        <sz val="10.0"/>
      </rPr>
      <t>戸田恵梨香</t>
    </r>
    <r>
      <rPr>
        <rFont val="Arial"/>
        <sz val="10.0"/>
      </rPr>
      <t>)</t>
    </r>
    <r>
      <rPr>
        <rFont val="ＭＳ Ｐゴシック"/>
        <sz val="10.0"/>
      </rPr>
      <t>に別れを告げた真司</t>
    </r>
    <r>
      <rPr>
        <rFont val="Arial"/>
        <sz val="10.0"/>
      </rPr>
      <t>(</t>
    </r>
    <r>
      <rPr>
        <rFont val="ＭＳ Ｐゴシック"/>
        <sz val="10.0"/>
      </rPr>
      <t>ムロツヨシ</t>
    </r>
    <r>
      <rPr>
        <rFont val="Arial"/>
        <sz val="10.0"/>
      </rPr>
      <t>)</t>
    </r>
    <r>
      <rPr>
        <rFont val="ＭＳ Ｐゴシック"/>
        <sz val="10.0"/>
      </rPr>
      <t>は、尚によって呼び起こされた思いを小説へ向けて、書き続ける。一方、尚はなぜ真司に別れようと言われたのか分からず、アルバイト先の引越し屋を訪ねるが、木村</t>
    </r>
    <r>
      <rPr>
        <rFont val="Arial"/>
        <sz val="10.0"/>
      </rPr>
      <t>(</t>
    </r>
    <r>
      <rPr>
        <rFont val="ＭＳ Ｐゴシック"/>
        <sz val="10.0"/>
      </rPr>
      <t>富澤たけし</t>
    </r>
    <r>
      <rPr>
        <rFont val="Arial"/>
        <sz val="10.0"/>
      </rPr>
      <t>)</t>
    </r>
    <r>
      <rPr>
        <rFont val="ＭＳ Ｐゴシック"/>
        <sz val="10.0"/>
      </rPr>
      <t>に今はそっとしておくように諭される。しかし諦めきれない尚は、真司をあの居酒屋に誘うが、真司の姿は現れない</t>
    </r>
    <r>
      <rPr>
        <rFont val="Arial"/>
        <sz val="10.0"/>
      </rPr>
      <t>…</t>
    </r>
    <r>
      <rPr>
        <rFont val="ＭＳ Ｐゴシック"/>
        <sz val="10.0"/>
      </rPr>
      <t>。そして</t>
    </r>
    <r>
      <rPr>
        <rFont val="Arial"/>
        <sz val="10.0"/>
      </rPr>
      <t>9</t>
    </r>
    <r>
      <rPr>
        <rFont val="ＭＳ Ｐゴシック"/>
        <sz val="10.0"/>
      </rPr>
      <t>ヶ月の月日が経ち</t>
    </r>
    <r>
      <rPr>
        <rFont val="Arial"/>
        <sz val="10.0"/>
      </rPr>
      <t>…</t>
    </r>
    <r>
      <rPr>
        <rFont val="ＭＳ Ｐゴシック"/>
        <sz val="10.0"/>
      </rPr>
      <t>。ついに第一章完結</t>
    </r>
    <r>
      <rPr>
        <rFont val="Arial"/>
        <sz val="10.0"/>
      </rPr>
      <t xml:space="preserve">!!  </t>
    </r>
  </si>
  <si>
    <t>番組名金曜ドラマ「大恋愛～僕を忘れる君と」♯6【新婚生活スタート!2人に忍び寄る影…】</t>
  </si>
  <si>
    <r>
      <rPr>
        <rFont val="ＭＳ Ｐゴシック"/>
        <sz val="10.0"/>
      </rPr>
      <t>ついに結婚した尚</t>
    </r>
    <r>
      <rPr>
        <rFont val="Arial"/>
        <sz val="10.0"/>
      </rPr>
      <t>(</t>
    </r>
    <r>
      <rPr>
        <rFont val="ＭＳ Ｐゴシック"/>
        <sz val="10.0"/>
      </rPr>
      <t>戸田恵梨香</t>
    </r>
    <r>
      <rPr>
        <rFont val="Arial"/>
        <sz val="10.0"/>
      </rPr>
      <t>)</t>
    </r>
    <r>
      <rPr>
        <rFont val="ＭＳ Ｐゴシック"/>
        <sz val="10.0"/>
      </rPr>
      <t>と真司</t>
    </r>
    <r>
      <rPr>
        <rFont val="Arial"/>
        <sz val="10.0"/>
      </rPr>
      <t>(</t>
    </r>
    <r>
      <rPr>
        <rFont val="ＭＳ Ｐゴシック"/>
        <sz val="10.0"/>
      </rPr>
      <t>ムロツヨシ</t>
    </r>
    <r>
      <rPr>
        <rFont val="Arial"/>
        <sz val="10.0"/>
      </rPr>
      <t>)</t>
    </r>
    <r>
      <rPr>
        <rFont val="ＭＳ Ｐゴシック"/>
        <sz val="10.0"/>
      </rPr>
      <t>。新しいマンションに引っ越し、幸せな新婚生活をスタートさせる。そんな時、尚は病院で松尾公平</t>
    </r>
    <r>
      <rPr>
        <rFont val="Arial"/>
        <sz val="10.0"/>
      </rPr>
      <t>(</t>
    </r>
    <r>
      <rPr>
        <rFont val="ＭＳ Ｐゴシック"/>
        <sz val="10.0"/>
      </rPr>
      <t>小池徹平</t>
    </r>
    <r>
      <rPr>
        <rFont val="Arial"/>
        <sz val="10.0"/>
      </rPr>
      <t>)</t>
    </r>
    <r>
      <rPr>
        <rFont val="ＭＳ Ｐゴシック"/>
        <sz val="10.0"/>
      </rPr>
      <t>という同じ病気の男性と知り合いになる。公平は保育士として働きながら、</t>
    </r>
    <r>
      <rPr>
        <rFont val="Arial"/>
        <sz val="10.0"/>
      </rPr>
      <t>MCI</t>
    </r>
    <r>
      <rPr>
        <rFont val="ＭＳ Ｐゴシック"/>
        <sz val="10.0"/>
      </rPr>
      <t>を患っていた。そんな時、尚は侑市</t>
    </r>
    <r>
      <rPr>
        <rFont val="Arial"/>
        <sz val="10.0"/>
      </rPr>
      <t>(</t>
    </r>
    <r>
      <rPr>
        <rFont val="ＭＳ Ｐゴシック"/>
        <sz val="10.0"/>
      </rPr>
      <t>松岡昌宏</t>
    </r>
    <r>
      <rPr>
        <rFont val="Arial"/>
        <sz val="10.0"/>
      </rPr>
      <t>)</t>
    </r>
    <r>
      <rPr>
        <rFont val="ＭＳ Ｐゴシック"/>
        <sz val="10.0"/>
      </rPr>
      <t>の勧めで医学生向けの講演会をすることになる。久しぶりの表舞台に緊張しながらも、心を弾ませる尚だったが、思いもよらないことが起きる。</t>
    </r>
  </si>
  <si>
    <t>番組名金曜ドラマ「大恋愛～僕を忘れる君と」♯7【あなたの子どもを生みたい!】</t>
  </si>
  <si>
    <r>
      <rPr>
        <rFont val="ＭＳ Ｐゴシック"/>
        <sz val="10.0"/>
      </rPr>
      <t>尚</t>
    </r>
    <r>
      <rPr>
        <rFont val="Arial"/>
        <sz val="10.0"/>
      </rPr>
      <t>(</t>
    </r>
    <r>
      <rPr>
        <rFont val="ＭＳ Ｐゴシック"/>
        <sz val="10.0"/>
      </rPr>
      <t>戸田恵梨香</t>
    </r>
    <r>
      <rPr>
        <rFont val="Arial"/>
        <sz val="10.0"/>
      </rPr>
      <t>)</t>
    </r>
    <r>
      <rPr>
        <rFont val="ＭＳ Ｐゴシック"/>
        <sz val="10.0"/>
      </rPr>
      <t>が倒れてしまった理由を侑市</t>
    </r>
    <r>
      <rPr>
        <rFont val="Arial"/>
        <sz val="10.0"/>
      </rPr>
      <t>(</t>
    </r>
    <r>
      <rPr>
        <rFont val="ＭＳ Ｐゴシック"/>
        <sz val="10.0"/>
      </rPr>
      <t>松岡昌宏</t>
    </r>
    <r>
      <rPr>
        <rFont val="Arial"/>
        <sz val="10.0"/>
      </rPr>
      <t>)</t>
    </r>
    <r>
      <rPr>
        <rFont val="ＭＳ Ｐゴシック"/>
        <sz val="10.0"/>
      </rPr>
      <t>に問いただす真司</t>
    </r>
    <r>
      <rPr>
        <rFont val="Arial"/>
        <sz val="10.0"/>
      </rPr>
      <t>(</t>
    </r>
    <r>
      <rPr>
        <rFont val="ＭＳ Ｐゴシック"/>
        <sz val="10.0"/>
      </rPr>
      <t>ムロツヨシ</t>
    </r>
    <r>
      <rPr>
        <rFont val="Arial"/>
        <sz val="10.0"/>
      </rPr>
      <t>)</t>
    </r>
    <r>
      <rPr>
        <rFont val="ＭＳ Ｐゴシック"/>
        <sz val="10.0"/>
      </rPr>
      <t>だが、理由は分からないまま。未知なる病気の前では、いくら医者でも無力だと薫</t>
    </r>
    <r>
      <rPr>
        <rFont val="Arial"/>
        <sz val="10.0"/>
      </rPr>
      <t>(</t>
    </r>
    <r>
      <rPr>
        <rFont val="ＭＳ Ｐゴシック"/>
        <sz val="10.0"/>
      </rPr>
      <t>草刈民代</t>
    </r>
    <r>
      <rPr>
        <rFont val="Arial"/>
        <sz val="10.0"/>
      </rPr>
      <t>)</t>
    </r>
    <r>
      <rPr>
        <rFont val="ＭＳ Ｐゴシック"/>
        <sz val="10.0"/>
      </rPr>
      <t>に諭される。一方、尚にキスをしていた公平</t>
    </r>
    <r>
      <rPr>
        <rFont val="Arial"/>
        <sz val="10.0"/>
      </rPr>
      <t>(</t>
    </r>
    <r>
      <rPr>
        <rFont val="ＭＳ Ｐゴシック"/>
        <sz val="10.0"/>
      </rPr>
      <t>小池徹平</t>
    </r>
    <r>
      <rPr>
        <rFont val="Arial"/>
        <sz val="10.0"/>
      </rPr>
      <t>)</t>
    </r>
    <r>
      <rPr>
        <rFont val="ＭＳ Ｐゴシック"/>
        <sz val="10.0"/>
      </rPr>
      <t>は、翌朝も尚の病室にやってきて、真司と対峙する。「尚さんがほしい、例え真司を殺しても」と言い放つ。彼の狙いは何なのか</t>
    </r>
    <r>
      <rPr>
        <rFont val="Arial"/>
        <sz val="10.0"/>
      </rPr>
      <t>…</t>
    </r>
    <r>
      <rPr>
        <rFont val="ＭＳ Ｐゴシック"/>
        <sz val="10.0"/>
      </rPr>
      <t>。さらに、尚の症状にもある変化がやってきて</t>
    </r>
    <r>
      <rPr>
        <rFont val="Arial"/>
        <sz val="10.0"/>
      </rPr>
      <t>…</t>
    </r>
    <r>
      <rPr>
        <rFont val="ＭＳ Ｐゴシック"/>
        <sz val="10.0"/>
      </rPr>
      <t>。</t>
    </r>
  </si>
  <si>
    <t>番組名金曜ドラマ「大恋愛～僕を忘れる君と」♯8【私たちだけの夫婦のかたち】</t>
  </si>
  <si>
    <r>
      <rPr>
        <rFont val="ＭＳ Ｐゴシック"/>
        <sz val="10.0"/>
      </rPr>
      <t>尚</t>
    </r>
    <r>
      <rPr>
        <rFont val="Arial"/>
        <sz val="10.0"/>
      </rPr>
      <t>(</t>
    </r>
    <r>
      <rPr>
        <rFont val="ＭＳ Ｐゴシック"/>
        <sz val="10.0"/>
      </rPr>
      <t>戸田恵梨香</t>
    </r>
    <r>
      <rPr>
        <rFont val="Arial"/>
        <sz val="10.0"/>
      </rPr>
      <t>)</t>
    </r>
    <r>
      <rPr>
        <rFont val="ＭＳ Ｐゴシック"/>
        <sz val="10.0"/>
      </rPr>
      <t>の失神のきっかけを作ったのが、公平</t>
    </r>
    <r>
      <rPr>
        <rFont val="Arial"/>
        <sz val="10.0"/>
      </rPr>
      <t>(</t>
    </r>
    <r>
      <rPr>
        <rFont val="ＭＳ Ｐゴシック"/>
        <sz val="10.0"/>
      </rPr>
      <t>小池徹平</t>
    </r>
    <r>
      <rPr>
        <rFont val="Arial"/>
        <sz val="10.0"/>
      </rPr>
      <t>)</t>
    </r>
    <r>
      <rPr>
        <rFont val="ＭＳ Ｐゴシック"/>
        <sz val="10.0"/>
      </rPr>
      <t>だと気づいた侑市</t>
    </r>
    <r>
      <rPr>
        <rFont val="Arial"/>
        <sz val="10.0"/>
      </rPr>
      <t>(</t>
    </r>
    <r>
      <rPr>
        <rFont val="ＭＳ Ｐゴシック"/>
        <sz val="10.0"/>
      </rPr>
      <t>松岡昌宏</t>
    </r>
    <r>
      <rPr>
        <rFont val="Arial"/>
        <sz val="10.0"/>
      </rPr>
      <t>)</t>
    </r>
    <r>
      <rPr>
        <rFont val="ＭＳ Ｐゴシック"/>
        <sz val="10.0"/>
      </rPr>
      <t>は、公平を問い詰め、転院して尚夫婦には関わらないように諭すが、聞き入れられない。その頃、公平は尚を尾行し、自然な流れを装って尚に近づいていた。真司</t>
    </r>
    <r>
      <rPr>
        <rFont val="Arial"/>
        <sz val="10.0"/>
      </rPr>
      <t>(</t>
    </r>
    <r>
      <rPr>
        <rFont val="ＭＳ Ｐゴシック"/>
        <sz val="10.0"/>
      </rPr>
      <t>ムロツヨシ</t>
    </r>
    <r>
      <rPr>
        <rFont val="Arial"/>
        <sz val="10.0"/>
      </rPr>
      <t>)</t>
    </r>
    <r>
      <rPr>
        <rFont val="ＭＳ Ｐゴシック"/>
        <sz val="10.0"/>
      </rPr>
      <t>は小説家としての仕事が忙しく、それに気づいていない。そんな時、スマホを忘れてきてしまった真司は、水野</t>
    </r>
    <r>
      <rPr>
        <rFont val="Arial"/>
        <sz val="10.0"/>
      </rPr>
      <t>(</t>
    </r>
    <r>
      <rPr>
        <rFont val="ＭＳ Ｐゴシック"/>
        <sz val="10.0"/>
      </rPr>
      <t>木南晴夏</t>
    </r>
    <r>
      <rPr>
        <rFont val="Arial"/>
        <sz val="10.0"/>
      </rPr>
      <t>)</t>
    </r>
    <r>
      <rPr>
        <rFont val="ＭＳ Ｐゴシック"/>
        <sz val="10.0"/>
      </rPr>
      <t>に取りに行ってもらうが</t>
    </r>
    <r>
      <rPr>
        <rFont val="Arial"/>
        <sz val="10.0"/>
      </rPr>
      <t>…</t>
    </r>
    <r>
      <rPr>
        <rFont val="ＭＳ Ｐゴシック"/>
        <sz val="10.0"/>
      </rPr>
      <t>。</t>
    </r>
  </si>
  <si>
    <t>番組名金曜ドラマ「大恋愛～僕を忘れる君と」♯9【君でなきゃダメなんだ…感動の最終章へ】</t>
  </si>
  <si>
    <r>
      <rPr>
        <rFont val="ＭＳ Ｐゴシック"/>
        <sz val="10.0"/>
      </rPr>
      <t>尚</t>
    </r>
    <r>
      <rPr>
        <rFont val="Arial"/>
        <sz val="10.0"/>
      </rPr>
      <t>(</t>
    </r>
    <r>
      <rPr>
        <rFont val="ＭＳ Ｐゴシック"/>
        <sz val="10.0"/>
      </rPr>
      <t>戸田恵梨香</t>
    </r>
    <r>
      <rPr>
        <rFont val="Arial"/>
        <sz val="10.0"/>
      </rPr>
      <t>)</t>
    </r>
    <r>
      <rPr>
        <rFont val="ＭＳ Ｐゴシック"/>
        <sz val="10.0"/>
      </rPr>
      <t>は、病院でめでたく妊娠を告げられる。真司</t>
    </r>
    <r>
      <rPr>
        <rFont val="Arial"/>
        <sz val="10.0"/>
      </rPr>
      <t>(</t>
    </r>
    <r>
      <rPr>
        <rFont val="ＭＳ Ｐゴシック"/>
        <sz val="10.0"/>
      </rPr>
      <t>ムロツヨシ</t>
    </r>
    <r>
      <rPr>
        <rFont val="Arial"/>
        <sz val="10.0"/>
      </rPr>
      <t>)</t>
    </r>
    <r>
      <rPr>
        <rFont val="ＭＳ Ｐゴシック"/>
        <sz val="10.0"/>
      </rPr>
      <t>に報告すると、大喜び。二人は出産に向けて準備を始める。一方、侑市</t>
    </r>
    <r>
      <rPr>
        <rFont val="Arial"/>
        <sz val="10.0"/>
      </rPr>
      <t>(</t>
    </r>
    <r>
      <rPr>
        <rFont val="ＭＳ Ｐゴシック"/>
        <sz val="10.0"/>
      </rPr>
      <t>松岡昌宏</t>
    </r>
    <r>
      <rPr>
        <rFont val="Arial"/>
        <sz val="10.0"/>
      </rPr>
      <t>)</t>
    </r>
    <r>
      <rPr>
        <rFont val="ＭＳ Ｐゴシック"/>
        <sz val="10.0"/>
      </rPr>
      <t>と薫</t>
    </r>
    <r>
      <rPr>
        <rFont val="Arial"/>
        <sz val="10.0"/>
      </rPr>
      <t>(</t>
    </r>
    <r>
      <rPr>
        <rFont val="ＭＳ Ｐゴシック"/>
        <sz val="10.0"/>
      </rPr>
      <t>草刈民代</t>
    </r>
    <r>
      <rPr>
        <rFont val="Arial"/>
        <sz val="10.0"/>
      </rPr>
      <t>)</t>
    </r>
    <r>
      <rPr>
        <rFont val="ＭＳ Ｐゴシック"/>
        <sz val="10.0"/>
      </rPr>
      <t>にも関係の変化が訪れていた。それを知った母・千賀子は激怒し</t>
    </r>
    <r>
      <rPr>
        <rFont val="Arial"/>
        <sz val="10.0"/>
      </rPr>
      <t>…</t>
    </r>
    <r>
      <rPr>
        <rFont val="ＭＳ Ｐゴシック"/>
        <sz val="10.0"/>
      </rPr>
      <t>。時は流れ、尚と真司の間に待望の男の子が生まれる。一番恵まれるように、と恵一という名前をつける。家族</t>
    </r>
    <r>
      <rPr>
        <rFont val="Arial"/>
        <sz val="10.0"/>
      </rPr>
      <t>3</t>
    </r>
    <r>
      <rPr>
        <rFont val="ＭＳ Ｐゴシック"/>
        <sz val="10.0"/>
      </rPr>
      <t>人の幸せな時間を過ごす。しかし時は残酷なまでに急ぎ足なのだった。</t>
    </r>
  </si>
  <si>
    <t>番組名金曜ドラマ「大恋愛～僕を忘れる君と」最終回【これは神様がくれた最後の奇跡】</t>
  </si>
  <si>
    <r>
      <rPr>
        <rFont val="ＭＳ Ｐゴシック"/>
        <sz val="10.0"/>
      </rPr>
      <t>尚</t>
    </r>
    <r>
      <rPr>
        <rFont val="Arial"/>
        <sz val="10.0"/>
      </rPr>
      <t>(</t>
    </r>
    <r>
      <rPr>
        <rFont val="ＭＳ Ｐゴシック"/>
        <sz val="10.0"/>
      </rPr>
      <t>戸田恵梨香</t>
    </r>
    <r>
      <rPr>
        <rFont val="Arial"/>
        <sz val="10.0"/>
      </rPr>
      <t>)</t>
    </r>
    <r>
      <rPr>
        <rFont val="ＭＳ Ｐゴシック"/>
        <sz val="10.0"/>
      </rPr>
      <t>がいなくなってから</t>
    </r>
    <r>
      <rPr>
        <rFont val="Arial"/>
        <sz val="10.0"/>
      </rPr>
      <t>8</t>
    </r>
    <r>
      <rPr>
        <rFont val="ＭＳ Ｐゴシック"/>
        <sz val="10.0"/>
      </rPr>
      <t>ヶ月が経った。真司</t>
    </r>
    <r>
      <rPr>
        <rFont val="Arial"/>
        <sz val="10.0"/>
      </rPr>
      <t>(</t>
    </r>
    <r>
      <rPr>
        <rFont val="ＭＳ Ｐゴシック"/>
        <sz val="10.0"/>
      </rPr>
      <t>ムロツヨシ</t>
    </r>
    <r>
      <rPr>
        <rFont val="Arial"/>
        <sz val="10.0"/>
      </rPr>
      <t>)</t>
    </r>
    <r>
      <rPr>
        <rFont val="ＭＳ Ｐゴシック"/>
        <sz val="10.0"/>
      </rPr>
      <t>は病院や施設を探し回るが一向に見つからない。息子の恵一には作り話をして、母がいない寂しさを紛らわす毎日だ。そんな時に、尚の新たな情報が入る。真司がその情報の場所に向かうと</t>
    </r>
    <r>
      <rPr>
        <rFont val="Arial"/>
        <sz val="10.0"/>
      </rPr>
      <t>…</t>
    </r>
    <r>
      <rPr>
        <rFont val="ＭＳ Ｐゴシック"/>
        <sz val="10.0"/>
      </rPr>
      <t>。これは神様がくれた最後の奇跡。尚と真司の</t>
    </r>
    <r>
      <rPr>
        <rFont val="Arial"/>
        <sz val="10.0"/>
      </rPr>
      <t>10</t>
    </r>
    <r>
      <rPr>
        <rFont val="ＭＳ Ｐゴシック"/>
        <sz val="10.0"/>
      </rPr>
      <t>年間の愛の物語がついに完結</t>
    </r>
    <r>
      <rPr>
        <rFont val="Arial"/>
        <sz val="10.0"/>
      </rPr>
      <t xml:space="preserve">!  </t>
    </r>
  </si>
  <si>
    <t>1810_TBS_日21</t>
  </si>
  <si>
    <t>下町ロケット</t>
  </si>
  <si>
    <t>番組名日曜劇場「下町ロケット」第1話　ロケット事業から撤退…!?佃製作所最大の危機</t>
  </si>
  <si>
    <r>
      <rPr>
        <rFont val="ＭＳ Ｐゴシック"/>
        <sz val="10.0"/>
      </rPr>
      <t>ある日、佃航平</t>
    </r>
    <r>
      <rPr>
        <rFont val="Arial"/>
        <sz val="10.0"/>
      </rPr>
      <t>(</t>
    </r>
    <r>
      <rPr>
        <rFont val="ＭＳ Ｐゴシック"/>
        <sz val="10.0"/>
      </rPr>
      <t>阿部寛</t>
    </r>
    <r>
      <rPr>
        <rFont val="Arial"/>
        <sz val="10.0"/>
      </rPr>
      <t>)</t>
    </r>
    <r>
      <rPr>
        <rFont val="ＭＳ Ｐゴシック"/>
        <sz val="10.0"/>
      </rPr>
      <t>は、帝国重工がロケット事業から撤退するかもしれないと</t>
    </r>
    <r>
      <rPr>
        <rFont val="Arial"/>
        <sz val="10.0"/>
      </rPr>
      <t xml:space="preserve"> </t>
    </r>
    <r>
      <rPr>
        <rFont val="ＭＳ Ｐゴシック"/>
        <sz val="10.0"/>
      </rPr>
      <t>財前</t>
    </r>
    <r>
      <rPr>
        <rFont val="Arial"/>
        <sz val="10.0"/>
      </rPr>
      <t>(</t>
    </r>
    <r>
      <rPr>
        <rFont val="ＭＳ Ｐゴシック"/>
        <sz val="10.0"/>
      </rPr>
      <t>吉川晃司</t>
    </r>
    <r>
      <rPr>
        <rFont val="Arial"/>
        <sz val="10.0"/>
      </rPr>
      <t xml:space="preserve">) </t>
    </r>
    <r>
      <rPr>
        <rFont val="ＭＳ Ｐゴシック"/>
        <sz val="10.0"/>
      </rPr>
      <t>から告げられる。「ロケット品質」が精神的支柱だった佃製作所社員たちは大きなショックを受ける。追いうちをかけるように、大口取引先から告げられた取引削減</t>
    </r>
    <r>
      <rPr>
        <rFont val="Arial"/>
        <sz val="10.0"/>
      </rPr>
      <t>…</t>
    </r>
    <r>
      <rPr>
        <rFont val="ＭＳ Ｐゴシック"/>
        <sz val="10.0"/>
      </rPr>
      <t>そんな中、佃製作所の経理部長殿村</t>
    </r>
    <r>
      <rPr>
        <rFont val="Arial"/>
        <sz val="10.0"/>
      </rPr>
      <t>(</t>
    </r>
    <r>
      <rPr>
        <rFont val="ＭＳ Ｐゴシック"/>
        <sz val="10.0"/>
      </rPr>
      <t>立川談春</t>
    </r>
    <r>
      <rPr>
        <rFont val="Arial"/>
        <sz val="10.0"/>
      </rPr>
      <t>)</t>
    </r>
    <r>
      <rPr>
        <rFont val="ＭＳ Ｐゴシック"/>
        <sz val="10.0"/>
      </rPr>
      <t>の父親が倒れる。殿村の実家は三百年続く農家。トラクターを運転する殿村をじっと見つめ、佃の中に新たな夢が生まれる</t>
    </r>
  </si>
  <si>
    <t>番組名日曜劇場「下町ロケット」第2話　特許侵害で15億!?佃製作所、絶対絶命のピンチ</t>
  </si>
  <si>
    <r>
      <rPr>
        <rFont val="ＭＳ Ｐゴシック"/>
        <sz val="10.0"/>
      </rPr>
      <t>『トラクターのトランスミッション開発』という新たな夢を持った佃</t>
    </r>
    <r>
      <rPr>
        <rFont val="Arial"/>
        <sz val="10.0"/>
      </rPr>
      <t>(</t>
    </r>
    <r>
      <rPr>
        <rFont val="ＭＳ Ｐゴシック"/>
        <sz val="10.0"/>
      </rPr>
      <t>阿部寛</t>
    </r>
    <r>
      <rPr>
        <rFont val="Arial"/>
        <sz val="10.0"/>
      </rPr>
      <t>)</t>
    </r>
    <r>
      <rPr>
        <rFont val="ＭＳ Ｐゴシック"/>
        <sz val="10.0"/>
      </rPr>
      <t>。ギアゴーストのコンペではトランスミッションのバルブの採用を勝ち取ったものの</t>
    </r>
    <r>
      <rPr>
        <rFont val="Arial"/>
        <sz val="10.0"/>
      </rPr>
      <t>…</t>
    </r>
    <r>
      <rPr>
        <rFont val="ＭＳ Ｐゴシック"/>
        <sz val="10.0"/>
      </rPr>
      <t>そのギアゴーストが特許侵害の指摘を受け、コンペが白紙になろうとしていた。実はその特許侵害を仕組んだのは、佃と因縁の弁護士・中川京一</t>
    </r>
    <r>
      <rPr>
        <rFont val="Arial"/>
        <sz val="10.0"/>
      </rPr>
      <t>(</t>
    </r>
    <r>
      <rPr>
        <rFont val="ＭＳ Ｐゴシック"/>
        <sz val="10.0"/>
      </rPr>
      <t>池畑慎之介</t>
    </r>
    <r>
      <rPr>
        <rFont val="Arial"/>
        <sz val="10.0"/>
      </rPr>
      <t>)…!</t>
    </r>
    <r>
      <rPr>
        <rFont val="ＭＳ Ｐゴシック"/>
        <sz val="10.0"/>
      </rPr>
      <t>さらにロケットでは、帝国重工の反対派の陰謀で、佃製のバルブが使用不可に</t>
    </r>
    <r>
      <rPr>
        <rFont val="Arial"/>
        <sz val="10.0"/>
      </rPr>
      <t>…!?</t>
    </r>
    <r>
      <rPr>
        <rFont val="ＭＳ Ｐゴシック"/>
        <sz val="10.0"/>
      </rPr>
      <t>宇宙も大地も大ピンチ</t>
    </r>
    <r>
      <rPr>
        <rFont val="Arial"/>
        <sz val="10.0"/>
      </rPr>
      <t>!</t>
    </r>
  </si>
  <si>
    <t>番組名日曜劇場「下町ロケット」第3話新たな挑戦　大地へ本格始動　帝国重工が牙をむく</t>
  </si>
  <si>
    <r>
      <rPr>
        <rFont val="ＭＳ Ｐゴシック"/>
        <sz val="10.0"/>
      </rPr>
      <t>帝国重工の水原</t>
    </r>
    <r>
      <rPr>
        <rFont val="Arial"/>
        <sz val="10.0"/>
      </rPr>
      <t>(</t>
    </r>
    <r>
      <rPr>
        <rFont val="ＭＳ Ｐゴシック"/>
        <sz val="10.0"/>
      </rPr>
      <t>木下ほうか</t>
    </r>
    <r>
      <rPr>
        <rFont val="Arial"/>
        <sz val="10.0"/>
      </rPr>
      <t>)</t>
    </r>
    <r>
      <rPr>
        <rFont val="ＭＳ Ｐゴシック"/>
        <sz val="10.0"/>
      </rPr>
      <t>に佃</t>
    </r>
    <r>
      <rPr>
        <rFont val="Arial"/>
        <sz val="10.0"/>
      </rPr>
      <t>(</t>
    </r>
    <r>
      <rPr>
        <rFont val="ＭＳ Ｐゴシック"/>
        <sz val="10.0"/>
      </rPr>
      <t>阿部寛</t>
    </r>
    <r>
      <rPr>
        <rFont val="Arial"/>
        <sz val="10.0"/>
      </rPr>
      <t>)</t>
    </r>
    <r>
      <rPr>
        <rFont val="ＭＳ Ｐゴシック"/>
        <sz val="10.0"/>
      </rPr>
      <t>は、信用調査を受け入れなければならないと告げられる</t>
    </r>
    <r>
      <rPr>
        <rFont val="Arial"/>
        <sz val="10.0"/>
      </rPr>
      <t>…</t>
    </r>
    <r>
      <rPr>
        <rFont val="ＭＳ Ｐゴシック"/>
        <sz val="10.0"/>
      </rPr>
      <t>。その原因はギアゴーストの買収。なぜ帝国重工がその情報を知っているのかー。身近にスパイがいることがわかる。帝国重工の安本</t>
    </r>
    <r>
      <rPr>
        <rFont val="Arial"/>
        <sz val="10.0"/>
      </rPr>
      <t>(</t>
    </r>
    <r>
      <rPr>
        <rFont val="ＭＳ Ｐゴシック"/>
        <sz val="10.0"/>
      </rPr>
      <t>古坂大魔王</t>
    </r>
    <r>
      <rPr>
        <rFont val="Arial"/>
        <sz val="10.0"/>
      </rPr>
      <t>)</t>
    </r>
    <r>
      <rPr>
        <rFont val="ＭＳ Ｐゴシック"/>
        <sz val="10.0"/>
      </rPr>
      <t>に詰められる佃製作所メンバーは、指示された覚えのない書類の不備で窮地にたたされるー。さらに大地</t>
    </r>
    <r>
      <rPr>
        <rFont val="Arial"/>
        <sz val="10.0"/>
      </rPr>
      <t>=</t>
    </r>
    <r>
      <rPr>
        <rFont val="ＭＳ Ｐゴシック"/>
        <sz val="10.0"/>
      </rPr>
      <t>農業への挑戦も本格始動。佃とギアゴーストのメンバーは田植えである発見をする</t>
    </r>
    <r>
      <rPr>
        <rFont val="Arial"/>
        <sz val="10.0"/>
      </rPr>
      <t>!</t>
    </r>
  </si>
  <si>
    <t>番組名日曜劇場「下町ロケット」第4話　まさかの辞職…?!戦友と涙の別れ</t>
  </si>
  <si>
    <r>
      <rPr>
        <rFont val="ＭＳ Ｐゴシック"/>
        <sz val="10.0"/>
      </rPr>
      <t>涙</t>
    </r>
    <r>
      <rPr>
        <rFont val="Arial"/>
        <sz val="10.0"/>
      </rPr>
      <t>…</t>
    </r>
    <r>
      <rPr>
        <rFont val="ＭＳ Ｐゴシック"/>
        <sz val="10.0"/>
      </rPr>
      <t>涙</t>
    </r>
    <r>
      <rPr>
        <rFont val="Arial"/>
        <sz val="10.0"/>
      </rPr>
      <t>…</t>
    </r>
    <r>
      <rPr>
        <rFont val="ＭＳ Ｐゴシック"/>
        <sz val="10.0"/>
      </rPr>
      <t>涙</t>
    </r>
    <r>
      <rPr>
        <rFont val="Arial"/>
        <sz val="10.0"/>
      </rPr>
      <t>…</t>
    </r>
    <r>
      <rPr>
        <rFont val="ＭＳ Ｐゴシック"/>
        <sz val="10.0"/>
      </rPr>
      <t>の</t>
    </r>
    <r>
      <rPr>
        <rFont val="Arial"/>
        <sz val="10.0"/>
      </rPr>
      <t>4</t>
    </r>
    <r>
      <rPr>
        <rFont val="ＭＳ Ｐゴシック"/>
        <sz val="10.0"/>
      </rPr>
      <t>話。「一番大切なことは社長に教えてもらった」、殿村</t>
    </r>
    <r>
      <rPr>
        <rFont val="Arial"/>
        <sz val="10.0"/>
      </rPr>
      <t>(</t>
    </r>
    <r>
      <rPr>
        <rFont val="ＭＳ Ｐゴシック"/>
        <sz val="10.0"/>
      </rPr>
      <t>立川談春</t>
    </r>
    <r>
      <rPr>
        <rFont val="Arial"/>
        <sz val="10.0"/>
      </rPr>
      <t>)</t>
    </r>
    <r>
      <rPr>
        <rFont val="ＭＳ Ｐゴシック"/>
        <sz val="10.0"/>
      </rPr>
      <t>が佃製作所を辞める</t>
    </r>
    <r>
      <rPr>
        <rFont val="Arial"/>
        <sz val="10.0"/>
      </rPr>
      <t>?!</t>
    </r>
    <r>
      <rPr>
        <rFont val="ＭＳ Ｐゴシック"/>
        <sz val="10.0"/>
      </rPr>
      <t>佃社長</t>
    </r>
    <r>
      <rPr>
        <rFont val="Arial"/>
        <sz val="10.0"/>
      </rPr>
      <t>(</t>
    </r>
    <r>
      <rPr>
        <rFont val="ＭＳ Ｐゴシック"/>
        <sz val="10.0"/>
      </rPr>
      <t>阿部寛</t>
    </r>
    <r>
      <rPr>
        <rFont val="Arial"/>
        <sz val="10.0"/>
      </rPr>
      <t>)</t>
    </r>
    <r>
      <rPr>
        <rFont val="ＭＳ Ｐゴシック"/>
        <sz val="10.0"/>
      </rPr>
      <t>が送った心を揺さぶる言葉とはー。そして、戦友たちと最後の戦いへ。絶対に勝てない裁判ー、まさかの裏切り者の存在に窮地に追い込まれる。伊丹</t>
    </r>
    <r>
      <rPr>
        <rFont val="Arial"/>
        <sz val="10.0"/>
      </rPr>
      <t>(</t>
    </r>
    <r>
      <rPr>
        <rFont val="ＭＳ Ｐゴシック"/>
        <sz val="10.0"/>
      </rPr>
      <t>尾上菊之助</t>
    </r>
    <r>
      <rPr>
        <rFont val="Arial"/>
        <sz val="10.0"/>
      </rPr>
      <t>)</t>
    </r>
    <r>
      <rPr>
        <rFont val="ＭＳ Ｐゴシック"/>
        <sz val="10.0"/>
      </rPr>
      <t>に急接近する重田</t>
    </r>
    <r>
      <rPr>
        <rFont val="Arial"/>
        <sz val="10.0"/>
      </rPr>
      <t>(</t>
    </r>
    <r>
      <rPr>
        <rFont val="ＭＳ Ｐゴシック"/>
        <sz val="10.0"/>
      </rPr>
      <t>古舘伊知郎</t>
    </r>
    <r>
      <rPr>
        <rFont val="Arial"/>
        <sz val="10.0"/>
      </rPr>
      <t>)</t>
    </r>
    <r>
      <rPr>
        <rFont val="ＭＳ Ｐゴシック"/>
        <sz val="10.0"/>
      </rPr>
      <t>、島津</t>
    </r>
    <r>
      <rPr>
        <rFont val="Arial"/>
        <sz val="10.0"/>
      </rPr>
      <t>(</t>
    </r>
    <r>
      <rPr>
        <rFont val="ＭＳ Ｐゴシック"/>
        <sz val="10.0"/>
      </rPr>
      <t>イモトアヤコ</t>
    </r>
    <r>
      <rPr>
        <rFont val="Arial"/>
        <sz val="10.0"/>
      </rPr>
      <t>)</t>
    </r>
    <r>
      <rPr>
        <rFont val="ＭＳ Ｐゴシック"/>
        <sz val="10.0"/>
      </rPr>
      <t>とのギアゴーストに暗雲か。一方、何かを必死に探す佃。その起死回生の一手とはー。</t>
    </r>
  </si>
  <si>
    <t>番組名日曜劇場「下町ロケット」第5話　ゴースト編ついに完結!</t>
  </si>
  <si>
    <r>
      <t>15</t>
    </r>
    <r>
      <rPr>
        <rFont val="ＭＳ Ｐゴシック"/>
        <sz val="10.0"/>
      </rPr>
      <t>億円の特許侵害は本当にあったのかー</t>
    </r>
    <r>
      <rPr>
        <rFont val="Arial"/>
        <sz val="10.0"/>
      </rPr>
      <t>?</t>
    </r>
    <r>
      <rPr>
        <rFont val="ＭＳ Ｐゴシック"/>
        <sz val="10.0"/>
      </rPr>
      <t>技術者の魂は守られるのかー</t>
    </r>
    <r>
      <rPr>
        <rFont val="Arial"/>
        <sz val="10.0"/>
      </rPr>
      <t>?</t>
    </r>
    <r>
      <rPr>
        <rFont val="ＭＳ Ｐゴシック"/>
        <sz val="10.0"/>
      </rPr>
      <t>ゴースト編がついに完結</t>
    </r>
    <r>
      <rPr>
        <rFont val="Arial"/>
        <sz val="10.0"/>
      </rPr>
      <t>!!</t>
    </r>
    <r>
      <rPr>
        <rFont val="ＭＳ Ｐゴシック"/>
        <sz val="10.0"/>
      </rPr>
      <t>絶体絶命の裁判が始まる</t>
    </r>
    <r>
      <rPr>
        <rFont val="Arial"/>
        <sz val="10.0"/>
      </rPr>
      <t>!</t>
    </r>
    <r>
      <rPr>
        <rFont val="ＭＳ Ｐゴシック"/>
        <sz val="10.0"/>
      </rPr>
      <t>常勝弁護士・神谷</t>
    </r>
    <r>
      <rPr>
        <rFont val="Arial"/>
        <sz val="10.0"/>
      </rPr>
      <t>(</t>
    </r>
    <r>
      <rPr>
        <rFont val="ＭＳ Ｐゴシック"/>
        <sz val="10.0"/>
      </rPr>
      <t>恵俊彰</t>
    </r>
    <r>
      <rPr>
        <rFont val="Arial"/>
        <sz val="10.0"/>
      </rPr>
      <t>)</t>
    </r>
    <r>
      <rPr>
        <rFont val="ＭＳ Ｐゴシック"/>
        <sz val="10.0"/>
      </rPr>
      <t>が裁判で出す秘策とは</t>
    </r>
    <r>
      <rPr>
        <rFont val="Arial"/>
        <sz val="10.0"/>
      </rPr>
      <t>?</t>
    </r>
    <r>
      <rPr>
        <rFont val="ＭＳ Ｐゴシック"/>
        <sz val="10.0"/>
      </rPr>
      <t>さらに佃社長</t>
    </r>
    <r>
      <rPr>
        <rFont val="Arial"/>
        <sz val="10.0"/>
      </rPr>
      <t>(</t>
    </r>
    <r>
      <rPr>
        <rFont val="ＭＳ Ｐゴシック"/>
        <sz val="10.0"/>
      </rPr>
      <t>阿部寛</t>
    </r>
    <r>
      <rPr>
        <rFont val="Arial"/>
        <sz val="10.0"/>
      </rPr>
      <t>)</t>
    </r>
    <r>
      <rPr>
        <rFont val="ＭＳ Ｐゴシック"/>
        <sz val="10.0"/>
      </rPr>
      <t>が探し求める最後の証拠とは</t>
    </r>
    <r>
      <rPr>
        <rFont val="Arial"/>
        <sz val="10.0"/>
      </rPr>
      <t>?</t>
    </r>
    <r>
      <rPr>
        <rFont val="ＭＳ Ｐゴシック"/>
        <sz val="10.0"/>
      </rPr>
      <t>そんな中、ギアゴーストの伊丹</t>
    </r>
    <r>
      <rPr>
        <rFont val="Arial"/>
        <sz val="10.0"/>
      </rPr>
      <t>(</t>
    </r>
    <r>
      <rPr>
        <rFont val="ＭＳ Ｐゴシック"/>
        <sz val="10.0"/>
      </rPr>
      <t>尾上菊之助</t>
    </r>
    <r>
      <rPr>
        <rFont val="Arial"/>
        <sz val="10.0"/>
      </rPr>
      <t>)</t>
    </r>
    <r>
      <rPr>
        <rFont val="ＭＳ Ｐゴシック"/>
        <sz val="10.0"/>
      </rPr>
      <t>と島津</t>
    </r>
    <r>
      <rPr>
        <rFont val="Arial"/>
        <sz val="10.0"/>
      </rPr>
      <t>(</t>
    </r>
    <r>
      <rPr>
        <rFont val="ＭＳ Ｐゴシック"/>
        <sz val="10.0"/>
      </rPr>
      <t>イモトアヤコ</t>
    </r>
    <r>
      <rPr>
        <rFont val="Arial"/>
        <sz val="10.0"/>
      </rPr>
      <t>)</t>
    </r>
    <r>
      <rPr>
        <rFont val="ＭＳ Ｐゴシック"/>
        <sz val="10.0"/>
      </rPr>
      <t>に亀裂が</t>
    </r>
    <r>
      <rPr>
        <rFont val="Arial"/>
        <sz val="10.0"/>
      </rPr>
      <t>?</t>
    </r>
    <r>
      <rPr>
        <rFont val="ＭＳ Ｐゴシック"/>
        <sz val="10.0"/>
      </rPr>
      <t>財前</t>
    </r>
    <r>
      <rPr>
        <rFont val="Arial"/>
        <sz val="10.0"/>
      </rPr>
      <t>(</t>
    </r>
    <r>
      <rPr>
        <rFont val="ＭＳ Ｐゴシック"/>
        <sz val="10.0"/>
      </rPr>
      <t>吉川晃司</t>
    </r>
    <r>
      <rPr>
        <rFont val="Arial"/>
        <sz val="10.0"/>
      </rPr>
      <t>)</t>
    </r>
    <r>
      <rPr>
        <rFont val="ＭＳ Ｐゴシック"/>
        <sz val="10.0"/>
      </rPr>
      <t>も驚きの新たな一歩を踏み出す</t>
    </r>
    <r>
      <rPr>
        <rFont val="Arial"/>
        <sz val="10.0"/>
      </rPr>
      <t>!</t>
    </r>
    <r>
      <rPr>
        <rFont val="ＭＳ Ｐゴシック"/>
        <sz val="10.0"/>
      </rPr>
      <t>裏切り</t>
    </r>
    <r>
      <rPr>
        <rFont val="Arial"/>
        <sz val="10.0"/>
      </rPr>
      <t>…</t>
    </r>
    <r>
      <rPr>
        <rFont val="ＭＳ Ｐゴシック"/>
        <sz val="10.0"/>
      </rPr>
      <t>さらに裏切り</t>
    </r>
    <r>
      <rPr>
        <rFont val="Arial"/>
        <sz val="10.0"/>
      </rPr>
      <t>…</t>
    </r>
    <r>
      <rPr>
        <rFont val="ＭＳ Ｐゴシック"/>
        <sz val="10.0"/>
      </rPr>
      <t>、その衝撃の結末に佃製作所が揺れる</t>
    </r>
    <r>
      <rPr>
        <rFont val="Arial"/>
        <sz val="10.0"/>
      </rPr>
      <t>!!</t>
    </r>
  </si>
  <si>
    <t>番組名日曜劇場「下町ロケット」第6話　衝撃の新シリーズ!ヤタガラス編突入!</t>
  </si>
  <si>
    <r>
      <rPr>
        <rFont val="ＭＳ Ｐゴシック"/>
        <sz val="10.0"/>
      </rPr>
      <t>衝撃の新シリーズ・ヤタガラス編に突入</t>
    </r>
    <r>
      <rPr>
        <rFont val="Arial"/>
        <sz val="10.0"/>
      </rPr>
      <t>!</t>
    </r>
    <r>
      <rPr>
        <rFont val="ＭＳ Ｐゴシック"/>
        <sz val="10.0"/>
      </rPr>
      <t>重田</t>
    </r>
    <r>
      <rPr>
        <rFont val="Arial"/>
        <sz val="10.0"/>
      </rPr>
      <t>(</t>
    </r>
    <r>
      <rPr>
        <rFont val="ＭＳ Ｐゴシック"/>
        <sz val="10.0"/>
      </rPr>
      <t>古舘伊知郎</t>
    </r>
    <r>
      <rPr>
        <rFont val="Arial"/>
        <sz val="10.0"/>
      </rPr>
      <t>)</t>
    </r>
    <r>
      <rPr>
        <rFont val="ＭＳ Ｐゴシック"/>
        <sz val="10.0"/>
      </rPr>
      <t>の策略による伊丹</t>
    </r>
    <r>
      <rPr>
        <rFont val="Arial"/>
        <sz val="10.0"/>
      </rPr>
      <t>(</t>
    </r>
    <r>
      <rPr>
        <rFont val="ＭＳ Ｐゴシック"/>
        <sz val="10.0"/>
      </rPr>
      <t>尾上菊之助</t>
    </r>
    <r>
      <rPr>
        <rFont val="Arial"/>
        <sz val="10.0"/>
      </rPr>
      <t>)</t>
    </r>
    <r>
      <rPr>
        <rFont val="ＭＳ Ｐゴシック"/>
        <sz val="10.0"/>
      </rPr>
      <t>の裏切りに我を失う佃航平</t>
    </r>
    <r>
      <rPr>
        <rFont val="Arial"/>
        <sz val="10.0"/>
      </rPr>
      <t>(</t>
    </r>
    <r>
      <rPr>
        <rFont val="ＭＳ Ｐゴシック"/>
        <sz val="10.0"/>
      </rPr>
      <t>阿部寛</t>
    </r>
    <r>
      <rPr>
        <rFont val="Arial"/>
        <sz val="10.0"/>
      </rPr>
      <t>)</t>
    </r>
    <r>
      <rPr>
        <rFont val="ＭＳ Ｐゴシック"/>
        <sz val="10.0"/>
      </rPr>
      <t>。財前</t>
    </r>
    <r>
      <rPr>
        <rFont val="Arial"/>
        <sz val="10.0"/>
      </rPr>
      <t>(</t>
    </r>
    <r>
      <rPr>
        <rFont val="ＭＳ Ｐゴシック"/>
        <sz val="10.0"/>
      </rPr>
      <t>吉川晃司</t>
    </r>
    <r>
      <rPr>
        <rFont val="Arial"/>
        <sz val="10.0"/>
      </rPr>
      <t>)</t>
    </r>
    <r>
      <rPr>
        <rFont val="ＭＳ Ｐゴシック"/>
        <sz val="10.0"/>
      </rPr>
      <t>と共に無人農業トラクターという新たな夢を目指すが、帝国重工の的場</t>
    </r>
    <r>
      <rPr>
        <rFont val="Arial"/>
        <sz val="10.0"/>
      </rPr>
      <t>(</t>
    </r>
    <r>
      <rPr>
        <rFont val="ＭＳ Ｐゴシック"/>
        <sz val="10.0"/>
      </rPr>
      <t>神田正輝</t>
    </r>
    <r>
      <rPr>
        <rFont val="Arial"/>
        <sz val="10.0"/>
      </rPr>
      <t>)</t>
    </r>
    <r>
      <rPr>
        <rFont val="ＭＳ Ｐゴシック"/>
        <sz val="10.0"/>
      </rPr>
      <t>がついに直接動き出し、佃の前に立ちはだかる</t>
    </r>
    <r>
      <rPr>
        <rFont val="Arial"/>
        <sz val="10.0"/>
      </rPr>
      <t>!</t>
    </r>
    <r>
      <rPr>
        <rFont val="ＭＳ Ｐゴシック"/>
        <sz val="10.0"/>
      </rPr>
      <t>佃の同級生、野木教授</t>
    </r>
    <r>
      <rPr>
        <rFont val="Arial"/>
        <sz val="10.0"/>
      </rPr>
      <t>(</t>
    </r>
    <r>
      <rPr>
        <rFont val="ＭＳ Ｐゴシック"/>
        <sz val="10.0"/>
      </rPr>
      <t>森崎博之</t>
    </r>
    <r>
      <rPr>
        <rFont val="Arial"/>
        <sz val="10.0"/>
      </rPr>
      <t>)</t>
    </r>
    <r>
      <rPr>
        <rFont val="ＭＳ Ｐゴシック"/>
        <sz val="10.0"/>
      </rPr>
      <t>の力を借りようとするが、野木には絶対に企業とは組まない理由があった。佃は夢を実現出来るのか</t>
    </r>
    <r>
      <rPr>
        <rFont val="Arial"/>
        <sz val="10.0"/>
      </rPr>
      <t>?</t>
    </r>
  </si>
  <si>
    <t>番組名日曜劇場「下町ロケット」第7話　親友が敵に!?娘も…</t>
  </si>
  <si>
    <r>
      <rPr>
        <rFont val="ＭＳ Ｐゴシック"/>
        <sz val="10.0"/>
      </rPr>
      <t>佃</t>
    </r>
    <r>
      <rPr>
        <rFont val="Arial"/>
        <sz val="10.0"/>
      </rPr>
      <t>(</t>
    </r>
    <r>
      <rPr>
        <rFont val="ＭＳ Ｐゴシック"/>
        <sz val="10.0"/>
      </rPr>
      <t>阿部寛</t>
    </r>
    <r>
      <rPr>
        <rFont val="Arial"/>
        <sz val="10.0"/>
      </rPr>
      <t>)</t>
    </r>
    <r>
      <rPr>
        <rFont val="ＭＳ Ｐゴシック"/>
        <sz val="10.0"/>
      </rPr>
      <t>は、財前</t>
    </r>
    <r>
      <rPr>
        <rFont val="Arial"/>
        <sz val="10.0"/>
      </rPr>
      <t>(</t>
    </r>
    <r>
      <rPr>
        <rFont val="ＭＳ Ｐゴシック"/>
        <sz val="10.0"/>
      </rPr>
      <t>吉川晃司</t>
    </r>
    <r>
      <rPr>
        <rFont val="Arial"/>
        <sz val="10.0"/>
      </rPr>
      <t>)</t>
    </r>
    <r>
      <rPr>
        <rFont val="ＭＳ Ｐゴシック"/>
        <sz val="10.0"/>
      </rPr>
      <t>が企画した無人農業トラクター事業に参入を決めたが、完全内製化を重んじる的場</t>
    </r>
    <r>
      <rPr>
        <rFont val="Arial"/>
        <sz val="10.0"/>
      </rPr>
      <t>(</t>
    </r>
    <r>
      <rPr>
        <rFont val="ＭＳ Ｐゴシック"/>
        <sz val="10.0"/>
      </rPr>
      <t>神田正輝</t>
    </r>
    <r>
      <rPr>
        <rFont val="Arial"/>
        <sz val="10.0"/>
      </rPr>
      <t>)</t>
    </r>
    <r>
      <rPr>
        <rFont val="ＭＳ Ｐゴシック"/>
        <sz val="10.0"/>
      </rPr>
      <t>によって突然切り捨てられてしまう</t>
    </r>
    <r>
      <rPr>
        <rFont val="Arial"/>
        <sz val="10.0"/>
      </rPr>
      <t>…</t>
    </r>
    <r>
      <rPr>
        <rFont val="ＭＳ Ｐゴシック"/>
        <sz val="10.0"/>
      </rPr>
      <t>佃の親友である野木</t>
    </r>
    <r>
      <rPr>
        <rFont val="Arial"/>
        <sz val="10.0"/>
      </rPr>
      <t>(</t>
    </r>
    <r>
      <rPr>
        <rFont val="ＭＳ Ｐゴシック"/>
        <sz val="10.0"/>
      </rPr>
      <t>森崎博之</t>
    </r>
    <r>
      <rPr>
        <rFont val="Arial"/>
        <sz val="10.0"/>
      </rPr>
      <t>)</t>
    </r>
    <r>
      <rPr>
        <rFont val="ＭＳ Ｐゴシック"/>
        <sz val="10.0"/>
      </rPr>
      <t>にも接近</t>
    </r>
    <r>
      <rPr>
        <rFont val="Arial"/>
        <sz val="10.0"/>
      </rPr>
      <t>…</t>
    </r>
    <r>
      <rPr>
        <rFont val="ＭＳ Ｐゴシック"/>
        <sz val="10.0"/>
      </rPr>
      <t>さらに佃製作所は、エンジンとトランスミッションの受注もダイダロスとギアゴーストに奪われる</t>
    </r>
    <r>
      <rPr>
        <rFont val="Arial"/>
        <sz val="10.0"/>
      </rPr>
      <t>…</t>
    </r>
    <r>
      <rPr>
        <rFont val="ＭＳ Ｐゴシック"/>
        <sz val="10.0"/>
      </rPr>
      <t>さらに娘の利菜</t>
    </r>
    <r>
      <rPr>
        <rFont val="Arial"/>
        <sz val="10.0"/>
      </rPr>
      <t>(</t>
    </r>
    <r>
      <rPr>
        <rFont val="ＭＳ Ｐゴシック"/>
        <sz val="10.0"/>
      </rPr>
      <t>土屋太鳳</t>
    </r>
    <r>
      <rPr>
        <rFont val="Arial"/>
        <sz val="10.0"/>
      </rPr>
      <t>)</t>
    </r>
    <r>
      <rPr>
        <rFont val="ＭＳ Ｐゴシック"/>
        <sz val="10.0"/>
      </rPr>
      <t>もプロジェクトに参加、佃のライバルとなる。容赦ない帝国重工の攻勢に佃は</t>
    </r>
    <r>
      <rPr>
        <rFont val="Arial"/>
        <sz val="10.0"/>
      </rPr>
      <t>…</t>
    </r>
  </si>
  <si>
    <t>番組名日曜劇場「下町ロケット」第8話　食うか食われるかの復讐合戦!崖っぷちの佃どうする</t>
  </si>
  <si>
    <r>
      <rPr>
        <rFont val="ＭＳ Ｐゴシック"/>
        <sz val="10.0"/>
      </rPr>
      <t>無人トラクターを目指す佃</t>
    </r>
    <r>
      <rPr>
        <rFont val="Arial"/>
        <sz val="10.0"/>
      </rPr>
      <t>(</t>
    </r>
    <r>
      <rPr>
        <rFont val="ＭＳ Ｐゴシック"/>
        <sz val="10.0"/>
      </rPr>
      <t>阿部寛</t>
    </r>
    <r>
      <rPr>
        <rFont val="Arial"/>
        <sz val="10.0"/>
      </rPr>
      <t>)</t>
    </r>
    <r>
      <rPr>
        <rFont val="ＭＳ Ｐゴシック"/>
        <sz val="10.0"/>
      </rPr>
      <t>に立ちはだかるのはその名も下町トラクター・ダーウィン</t>
    </r>
    <r>
      <rPr>
        <rFont val="Arial"/>
        <sz val="10.0"/>
      </rPr>
      <t>!</t>
    </r>
    <r>
      <rPr>
        <rFont val="ＭＳ Ｐゴシック"/>
        <sz val="10.0"/>
      </rPr>
      <t>佃製作所や帝国重工を出し抜き、大々的なプロモーションを開始</t>
    </r>
    <r>
      <rPr>
        <rFont val="Arial"/>
        <sz val="10.0"/>
      </rPr>
      <t>!</t>
    </r>
    <r>
      <rPr>
        <rFont val="ＭＳ Ｐゴシック"/>
        <sz val="10.0"/>
      </rPr>
      <t>さらに帝国重工の過去の下請けイジメを週刊誌が暴露</t>
    </r>
    <r>
      <rPr>
        <rFont val="Arial"/>
        <sz val="10.0"/>
      </rPr>
      <t>!</t>
    </r>
    <r>
      <rPr>
        <rFont val="ＭＳ Ｐゴシック"/>
        <sz val="10.0"/>
      </rPr>
      <t>下町トラクターは世論を味方につけ、帝国重工を脅かしていく</t>
    </r>
    <r>
      <rPr>
        <rFont val="Arial"/>
        <sz val="10.0"/>
      </rPr>
      <t>!</t>
    </r>
    <r>
      <rPr>
        <rFont val="ＭＳ Ｐゴシック"/>
        <sz val="10.0"/>
      </rPr>
      <t>下町トラクターと帝国重工は「アグリジャパン」という農業イベントに招かれ、両者は無人トラクターで決戦の時を迎え、帝国重工に大ピンチが</t>
    </r>
    <r>
      <rPr>
        <rFont val="Arial"/>
        <sz val="10.0"/>
      </rPr>
      <t>!</t>
    </r>
    <r>
      <rPr>
        <rFont val="ＭＳ Ｐゴシック"/>
        <sz val="10.0"/>
      </rPr>
      <t>その時佃は</t>
    </r>
    <r>
      <rPr>
        <rFont val="Arial"/>
        <sz val="10.0"/>
      </rPr>
      <t>…</t>
    </r>
  </si>
  <si>
    <t>番組名日曜劇場「下町ロケット」第9話 暴走事故の責任はどっちだ…一触即発の走行テスト!</t>
  </si>
  <si>
    <r>
      <rPr>
        <rFont val="ＭＳ Ｐゴシック"/>
        <sz val="10.0"/>
      </rPr>
      <t>農業イベント・アグリジャパンで暴走、転倒した帝国重工の大型トラクター。的場</t>
    </r>
    <r>
      <rPr>
        <rFont val="Arial"/>
        <sz val="10.0"/>
      </rPr>
      <t>(</t>
    </r>
    <r>
      <rPr>
        <rFont val="ＭＳ Ｐゴシック"/>
        <sz val="10.0"/>
      </rPr>
      <t>神田正輝</t>
    </r>
    <r>
      <rPr>
        <rFont val="Arial"/>
        <sz val="10.0"/>
      </rPr>
      <t>)</t>
    </r>
    <r>
      <rPr>
        <rFont val="ＭＳ Ｐゴシック"/>
        <sz val="10.0"/>
      </rPr>
      <t>たちはその原因を野木教授</t>
    </r>
    <r>
      <rPr>
        <rFont val="Arial"/>
        <sz val="10.0"/>
      </rPr>
      <t>(</t>
    </r>
    <r>
      <rPr>
        <rFont val="ＭＳ Ｐゴシック"/>
        <sz val="10.0"/>
      </rPr>
      <t>森崎博之</t>
    </r>
    <r>
      <rPr>
        <rFont val="Arial"/>
        <sz val="10.0"/>
      </rPr>
      <t>)</t>
    </r>
    <r>
      <rPr>
        <rFont val="ＭＳ Ｐゴシック"/>
        <sz val="10.0"/>
      </rPr>
      <t>の自動走行制御システムのせいだと主張する</t>
    </r>
    <r>
      <rPr>
        <rFont val="Arial"/>
        <sz val="10.0"/>
      </rPr>
      <t>…</t>
    </r>
    <r>
      <rPr>
        <rFont val="ＭＳ Ｐゴシック"/>
        <sz val="10.0"/>
      </rPr>
      <t>佃製作所も疑心暗鬼に。そんな中、佃</t>
    </r>
    <r>
      <rPr>
        <rFont val="Arial"/>
        <sz val="10.0"/>
      </rPr>
      <t>(</t>
    </r>
    <r>
      <rPr>
        <rFont val="ＭＳ Ｐゴシック"/>
        <sz val="10.0"/>
      </rPr>
      <t>阿部寛</t>
    </r>
    <r>
      <rPr>
        <rFont val="Arial"/>
        <sz val="10.0"/>
      </rPr>
      <t>)</t>
    </r>
    <r>
      <rPr>
        <rFont val="ＭＳ Ｐゴシック"/>
        <sz val="10.0"/>
      </rPr>
      <t>と財前</t>
    </r>
    <r>
      <rPr>
        <rFont val="Arial"/>
        <sz val="10.0"/>
      </rPr>
      <t>(</t>
    </r>
    <r>
      <rPr>
        <rFont val="ＭＳ Ｐゴシック"/>
        <sz val="10.0"/>
      </rPr>
      <t>吉川晃司</t>
    </r>
    <r>
      <rPr>
        <rFont val="Arial"/>
        <sz val="10.0"/>
      </rPr>
      <t>)</t>
    </r>
    <r>
      <rPr>
        <rFont val="ＭＳ Ｐゴシック"/>
        <sz val="10.0"/>
      </rPr>
      <t>は、走行テストを提案。果たして原因は帝国重工にあるのか</t>
    </r>
    <r>
      <rPr>
        <rFont val="Arial"/>
        <sz val="10.0"/>
      </rPr>
      <t>?</t>
    </r>
    <r>
      <rPr>
        <rFont val="ＭＳ Ｐゴシック"/>
        <sz val="10.0"/>
      </rPr>
      <t>野木にあるのか</t>
    </r>
    <r>
      <rPr>
        <rFont val="Arial"/>
        <sz val="10.0"/>
      </rPr>
      <t>?</t>
    </r>
    <r>
      <rPr>
        <rFont val="ＭＳ Ｐゴシック"/>
        <sz val="10.0"/>
      </rPr>
      <t>さらに、佃と利菜</t>
    </r>
    <r>
      <rPr>
        <rFont val="Arial"/>
        <sz val="10.0"/>
      </rPr>
      <t>(</t>
    </r>
    <r>
      <rPr>
        <rFont val="ＭＳ Ｐゴシック"/>
        <sz val="10.0"/>
      </rPr>
      <t>土屋太鳳</t>
    </r>
    <r>
      <rPr>
        <rFont val="Arial"/>
        <sz val="10.0"/>
      </rPr>
      <t>)</t>
    </r>
    <r>
      <rPr>
        <rFont val="ＭＳ Ｐゴシック"/>
        <sz val="10.0"/>
      </rPr>
      <t>は新型エンジンのバルブ採用をかけて親子対決</t>
    </r>
    <r>
      <rPr>
        <rFont val="Arial"/>
        <sz val="10.0"/>
      </rPr>
      <t>!</t>
    </r>
    <r>
      <rPr>
        <rFont val="ＭＳ Ｐゴシック"/>
        <sz val="10.0"/>
      </rPr>
      <t>夢を叶えるのはだれだ</t>
    </r>
    <r>
      <rPr>
        <rFont val="Arial"/>
        <sz val="10.0"/>
      </rPr>
      <t>!</t>
    </r>
  </si>
  <si>
    <t>番組名日曜劇場「下町ロケット」第10話　最終回前SP!自然の猛威が米を襲う!</t>
  </si>
  <si>
    <r>
      <rPr>
        <rFont val="ＭＳ Ｐゴシック"/>
        <sz val="10.0"/>
      </rPr>
      <t>見事帝国重工のテストをクリアし、無人トラクターのエンジンとトランスミッションの納品を再び依頼された佃</t>
    </r>
    <r>
      <rPr>
        <rFont val="Arial"/>
        <sz val="10.0"/>
      </rPr>
      <t>(</t>
    </r>
    <r>
      <rPr>
        <rFont val="ＭＳ Ｐゴシック"/>
        <sz val="10.0"/>
      </rPr>
      <t>阿部寛</t>
    </r>
    <r>
      <rPr>
        <rFont val="Arial"/>
        <sz val="10.0"/>
      </rPr>
      <t>)</t>
    </r>
    <r>
      <rPr>
        <rFont val="ＭＳ Ｐゴシック"/>
        <sz val="10.0"/>
      </rPr>
      <t>。下町トラクターのライバルとして、市民の目の敵となった帝国重工に、佃は協力すべきか悩む</t>
    </r>
    <r>
      <rPr>
        <rFont val="Arial"/>
        <sz val="10.0"/>
      </rPr>
      <t>…</t>
    </r>
    <r>
      <rPr>
        <rFont val="ＭＳ Ｐゴシック"/>
        <sz val="10.0"/>
      </rPr>
      <t>。佃はトランスミッションの完成を目指し、島津</t>
    </r>
    <r>
      <rPr>
        <rFont val="Arial"/>
        <sz val="10.0"/>
      </rPr>
      <t>(</t>
    </r>
    <r>
      <rPr>
        <rFont val="ＭＳ Ｐゴシック"/>
        <sz val="10.0"/>
      </rPr>
      <t>イモトアヤコ</t>
    </r>
    <r>
      <rPr>
        <rFont val="Arial"/>
        <sz val="10.0"/>
      </rPr>
      <t>)</t>
    </r>
    <r>
      <rPr>
        <rFont val="ＭＳ Ｐゴシック"/>
        <sz val="10.0"/>
      </rPr>
      <t>を引き入れようとスカウトしようとするが苦戦</t>
    </r>
    <r>
      <rPr>
        <rFont val="Arial"/>
        <sz val="10.0"/>
      </rPr>
      <t>…</t>
    </r>
    <r>
      <rPr>
        <rFont val="ＭＳ Ｐゴシック"/>
        <sz val="10.0"/>
      </rPr>
      <t>。そのころ殿村</t>
    </r>
    <r>
      <rPr>
        <rFont val="Arial"/>
        <sz val="10.0"/>
      </rPr>
      <t>(</t>
    </r>
    <r>
      <rPr>
        <rFont val="ＭＳ Ｐゴシック"/>
        <sz val="10.0"/>
      </rPr>
      <t>立川談春</t>
    </r>
    <r>
      <rPr>
        <rFont val="Arial"/>
        <sz val="10.0"/>
      </rPr>
      <t>)</t>
    </r>
    <r>
      <rPr>
        <rFont val="ＭＳ Ｐゴシック"/>
        <sz val="10.0"/>
      </rPr>
      <t>の実家には嵐が訪れようとしていた</t>
    </r>
    <r>
      <rPr>
        <rFont val="Arial"/>
        <sz val="10.0"/>
      </rPr>
      <t>…</t>
    </r>
    <r>
      <rPr>
        <rFont val="ＭＳ Ｐゴシック"/>
        <sz val="10.0"/>
      </rPr>
      <t>。緊急事態にチーム佃は総力戦で挑む</t>
    </r>
    <r>
      <rPr>
        <rFont val="Arial"/>
        <sz val="10.0"/>
      </rPr>
      <t>!</t>
    </r>
  </si>
  <si>
    <t>番組名日曜劇場「下町ロケット」最終回!佃VS帝国重工全面対決…下町プライド最後の大逆転</t>
  </si>
  <si>
    <r>
      <rPr>
        <rFont val="ＭＳ Ｐゴシック"/>
        <sz val="10.0"/>
      </rPr>
      <t>懸命にモノづくりに挑む佃</t>
    </r>
    <r>
      <rPr>
        <rFont val="Arial"/>
        <sz val="10.0"/>
      </rPr>
      <t>(</t>
    </r>
    <r>
      <rPr>
        <rFont val="ＭＳ Ｐゴシック"/>
        <sz val="10.0"/>
      </rPr>
      <t>阿部寛</t>
    </r>
    <r>
      <rPr>
        <rFont val="Arial"/>
        <sz val="10.0"/>
      </rPr>
      <t>)</t>
    </r>
    <r>
      <rPr>
        <rFont val="ＭＳ Ｐゴシック"/>
        <sz val="10.0"/>
      </rPr>
      <t>率いる佃製作所。彼らの想いに共鳴した島津</t>
    </r>
    <r>
      <rPr>
        <rFont val="Arial"/>
        <sz val="10.0"/>
      </rPr>
      <t>(</t>
    </r>
    <r>
      <rPr>
        <rFont val="ＭＳ Ｐゴシック"/>
        <sz val="10.0"/>
      </rPr>
      <t>イモトアヤコ</t>
    </r>
    <r>
      <rPr>
        <rFont val="Arial"/>
        <sz val="10.0"/>
      </rPr>
      <t>)</t>
    </r>
    <r>
      <rPr>
        <rFont val="ＭＳ Ｐゴシック"/>
        <sz val="10.0"/>
      </rPr>
      <t>も佃製作所に加わったのだった。そして迎えた首相視察。観客からも首相からも全く相手にされず、トラブルで立ち往生してしまうアルファ</t>
    </r>
    <r>
      <rPr>
        <rFont val="Arial"/>
        <sz val="10.0"/>
      </rPr>
      <t>1</t>
    </r>
    <r>
      <rPr>
        <rFont val="ＭＳ Ｐゴシック"/>
        <sz val="10.0"/>
      </rPr>
      <t>。さらには帝国重工から湧き上がる内製化の声に佃達は頭を悩ませる。そしてついに佃製作所と帝国重工の最後の戦いが始まる。日本の農業を救うために前に進み続ける男たちの姿を見逃すな</t>
    </r>
    <r>
      <rPr>
        <rFont val="Arial"/>
        <sz val="10.0"/>
      </rPr>
      <t>!!</t>
    </r>
  </si>
  <si>
    <t>1807_TBS_火22</t>
  </si>
  <si>
    <t>義母と娘のブルース</t>
  </si>
  <si>
    <t>番組名義母と娘のブルース(1)33才独身部長女子が突然の義母宣言!私は貴女に就職します!</t>
  </si>
  <si>
    <r>
      <t>33</t>
    </r>
    <r>
      <rPr>
        <rFont val="ＭＳ Ｐゴシック"/>
        <sz val="10.0"/>
      </rPr>
      <t>歳の若さで大手金属メーカーの営業部長にまで上り詰めた最強のキャリアウーマン岩木亜希子。彼女は子持ちの</t>
    </r>
    <r>
      <rPr>
        <rFont val="Arial"/>
        <sz val="10.0"/>
      </rPr>
      <t>45</t>
    </r>
    <r>
      <rPr>
        <rFont val="ＭＳ Ｐゴシック"/>
        <sz val="10.0"/>
      </rPr>
      <t>歳、宮本良一と結婚することを決意。</t>
    </r>
    <r>
      <rPr>
        <rFont val="Arial"/>
        <sz val="10.0"/>
      </rPr>
      <t>3</t>
    </r>
    <r>
      <rPr>
        <rFont val="ＭＳ Ｐゴシック"/>
        <sz val="10.0"/>
      </rPr>
      <t>年前に亡くした母への想いが消えない</t>
    </r>
    <r>
      <rPr>
        <rFont val="Arial"/>
        <sz val="10.0"/>
      </rPr>
      <t>8</t>
    </r>
    <r>
      <rPr>
        <rFont val="ＭＳ Ｐゴシック"/>
        <sz val="10.0"/>
      </rPr>
      <t>歳の娘みゆきとの初対面の日、「この人嫌い」と拒絶されてしまう。あらゆるビジネススキルを駆使してみゆきに受け入れてもらおうと奮闘する亜希子、なぜ彼女は義母になろうと思ったのか</t>
    </r>
    <r>
      <rPr>
        <rFont val="Arial"/>
        <sz val="10.0"/>
      </rPr>
      <t>?</t>
    </r>
    <r>
      <rPr>
        <rFont val="ＭＳ Ｐゴシック"/>
        <sz val="10.0"/>
      </rPr>
      <t>色々な一生懸命の愛が詰まった</t>
    </r>
    <r>
      <rPr>
        <rFont val="Arial"/>
        <sz val="10.0"/>
      </rPr>
      <t>10</t>
    </r>
    <r>
      <rPr>
        <rFont val="ＭＳ Ｐゴシック"/>
        <sz val="10.0"/>
      </rPr>
      <t>年の物語。</t>
    </r>
  </si>
  <si>
    <t>番組名義母と娘のブルース(2)最愛の娘の家出!?そして私は制服を脱ぐ!</t>
  </si>
  <si>
    <r>
      <rPr>
        <rFont val="ＭＳ Ｐゴシック"/>
        <sz val="10.0"/>
      </rPr>
      <t>宮本家に義母として採用され同居することになった亜希子。どうしても自分の本当の母親と比べてしまうみゆき。</t>
    </r>
    <r>
      <rPr>
        <rFont val="Arial"/>
        <sz val="10.0"/>
      </rPr>
      <t>TV</t>
    </r>
    <r>
      <rPr>
        <rFont val="ＭＳ Ｐゴシック"/>
        <sz val="10.0"/>
      </rPr>
      <t>のチャンネルを争って早くもバトルが勃発。我慢ならないみゆきは遂に家出を決意。なんとかして認められようと、あらゆるアプローチを試みる亜希子が見つけた突破口は</t>
    </r>
    <r>
      <rPr>
        <rFont val="Arial"/>
        <sz val="10.0"/>
      </rPr>
      <t xml:space="preserve">!?  </t>
    </r>
  </si>
  <si>
    <t>番組名義母と娘のブルース(3)夫が私に解雇通告!?これが私の生きる道。PTAを全面廃止</t>
  </si>
  <si>
    <r>
      <rPr>
        <rFont val="ＭＳ Ｐゴシック"/>
        <sz val="10.0"/>
      </rPr>
      <t>光友金属を退社した亜希子は育児に奔走する。スーパーでは値切り交渉に成功し、みゆきの学校の</t>
    </r>
    <r>
      <rPr>
        <rFont val="Arial"/>
        <sz val="10.0"/>
      </rPr>
      <t>PTA</t>
    </r>
    <r>
      <rPr>
        <rFont val="ＭＳ Ｐゴシック"/>
        <sz val="10.0"/>
      </rPr>
      <t>にも参加することに。しかし、非効率な慣例にまみれた</t>
    </r>
    <r>
      <rPr>
        <rFont val="Arial"/>
        <sz val="10.0"/>
      </rPr>
      <t>PTA</t>
    </r>
    <r>
      <rPr>
        <rFont val="ＭＳ Ｐゴシック"/>
        <sz val="10.0"/>
      </rPr>
      <t>を亜希子は放っておけない。そんな亜希子を快く思わない親たちは、子供をも巻き込んだ「大人げない」行動に出る。クラスメイトから仲間外れにされるみゆきに亜希子は・・・そして、家族の力が奇跡を起こす</t>
    </r>
    <r>
      <rPr>
        <rFont val="Arial"/>
        <sz val="10.0"/>
      </rPr>
      <t xml:space="preserve">!  </t>
    </r>
  </si>
  <si>
    <t>番組名義母と娘のブルース(4)私達は契約結婚か!?最愛の娘と夏の奇跡…夫が決めた愛のカタチ</t>
  </si>
  <si>
    <r>
      <rPr>
        <rFont val="ＭＳ Ｐゴシック"/>
        <sz val="10.0"/>
      </rPr>
      <t>娘に偽装結婚を疑われる義母と夫の良一。二人は娘の疑惑を晴らすために、馴れ初めを整理することになる。そして遂に、結婚の本当の理由が明かされる。二人の結婚には、思いもよらない理由があった。そして、二人の出会いには、愛おしい奇跡が散りばめられていた。ドラマ最大の謎が、今日明かされる</t>
    </r>
    <r>
      <rPr>
        <rFont val="Arial"/>
        <sz val="10.0"/>
      </rPr>
      <t xml:space="preserve">! </t>
    </r>
  </si>
  <si>
    <t>番組名義母と娘のブルース(5)絶体絶命!夫が入院、夫婦で戦う大修羅場!私、再就職します!?</t>
  </si>
  <si>
    <r>
      <rPr>
        <rFont val="ＭＳ Ｐゴシック"/>
        <sz val="10.0"/>
      </rPr>
      <t>入院することになった良一の看病に訪れる亜希子。しかし、普通の妻が行っている事を何一つ出来ない自分に幻滅する。出来る範囲で構わないという良一の言葉で、職場にお詫びに訪れる亜希子だが、急遽良一の代りにプレゼンを任されることに。相手は古巣の光友金属。果たして結果は・・・良一は奇跡を信じ必死に治療に励み、みゆきはヒロキと共に奇跡を集める</t>
    </r>
    <r>
      <rPr>
        <rFont val="Arial"/>
        <sz val="10.0"/>
      </rPr>
      <t>!?</t>
    </r>
    <r>
      <rPr>
        <rFont val="ＭＳ Ｐゴシック"/>
        <sz val="10.0"/>
      </rPr>
      <t>果たして奇跡は起こるのか</t>
    </r>
    <r>
      <rPr>
        <rFont val="Arial"/>
        <sz val="10.0"/>
      </rPr>
      <t xml:space="preserve">!?  </t>
    </r>
  </si>
  <si>
    <t>番組名義母と娘のブルース(6)さらば愛しき人よ!最後に届く奇跡とは!?私、背中で魅せます</t>
  </si>
  <si>
    <r>
      <rPr>
        <rFont val="ＭＳ Ｐゴシック"/>
        <sz val="10.0"/>
      </rPr>
      <t>娘のみゆきは高校</t>
    </r>
    <r>
      <rPr>
        <rFont val="Arial"/>
        <sz val="10.0"/>
      </rPr>
      <t>3</t>
    </r>
    <r>
      <rPr>
        <rFont val="ＭＳ Ｐゴシック"/>
        <sz val="10.0"/>
      </rPr>
      <t>年生になっていた。元バリバリのキャリアウーマンである義母に育てられた女の子はどんな女子高生になっているのだろうか</t>
    </r>
    <r>
      <rPr>
        <rFont val="Arial"/>
        <sz val="10.0"/>
      </rPr>
      <t>?</t>
    </r>
    <r>
      <rPr>
        <rFont val="ＭＳ Ｐゴシック"/>
        <sz val="10.0"/>
      </rPr>
      <t>そして、みゆきにも、義母にも奇跡のような出会いが待っている。果たして、どんな日々が彼らを待ち受けているのだろうか</t>
    </r>
    <r>
      <rPr>
        <rFont val="Arial"/>
        <sz val="10.0"/>
      </rPr>
      <t>?</t>
    </r>
  </si>
  <si>
    <t>番組名義母と娘のブルース(7)絶体絶命大ピンチ!!娘の反抗と私の解雇!?再就職先は倒産寸前</t>
  </si>
  <si>
    <r>
      <rPr>
        <rFont val="ＭＳ Ｐゴシック"/>
        <sz val="10.0"/>
      </rPr>
      <t>麦田章が店長を務めるベーカリー麦田に再就職した亜希子は店の立て直しを計画する。しかしその経営状況はひどいもので、根本からの改革が必要なことがわかる。果たして亜希子は店を再生できるのか</t>
    </r>
    <r>
      <rPr>
        <rFont val="Arial"/>
        <sz val="10.0"/>
      </rPr>
      <t>?</t>
    </r>
    <r>
      <rPr>
        <rFont val="ＭＳ Ｐゴシック"/>
        <sz val="10.0"/>
      </rPr>
      <t>一方みゆきは、亜希子の愛情にこたえられない自分に落胆し、思い悩んでいた。義母との差を痛感する度に悲観するみゆきはついに・・・義母と娘の</t>
    </r>
    <r>
      <rPr>
        <rFont val="Arial"/>
        <sz val="10.0"/>
      </rPr>
      <t>10</t>
    </r>
    <r>
      <rPr>
        <rFont val="ＭＳ Ｐゴシック"/>
        <sz val="10.0"/>
      </rPr>
      <t>年間の行方は</t>
    </r>
    <r>
      <rPr>
        <rFont val="Arial"/>
        <sz val="10.0"/>
      </rPr>
      <t xml:space="preserve">!?  </t>
    </r>
    <r>
      <rPr>
        <rFont val="ＭＳ Ｐゴシック"/>
        <sz val="10.0"/>
      </rPr>
      <t>綾瀬はるか、佐藤</t>
    </r>
    <r>
      <rPr>
        <rFont val="Arial"/>
        <sz val="10.0"/>
      </rPr>
      <t xml:space="preserve"> </t>
    </r>
    <r>
      <rPr>
        <rFont val="ＭＳ Ｐゴシック"/>
        <sz val="10.0"/>
      </rPr>
      <t>健、上白石萌歌、井之脇海、川村陽介、水谷果穂、麻生祐未</t>
    </r>
    <r>
      <rPr>
        <rFont val="Arial"/>
        <sz val="10.0"/>
      </rPr>
      <t>sansan</t>
    </r>
    <r>
      <rPr>
        <rFont val="ＭＳ Ｐゴシック"/>
        <sz val="10.0"/>
      </rPr>
      <t>株式会社が運営するアプリ</t>
    </r>
    <r>
      <rPr>
        <rFont val="Arial"/>
        <sz val="10.0"/>
      </rPr>
      <t>eight</t>
    </r>
    <r>
      <rPr>
        <rFont val="ＭＳ Ｐゴシック"/>
        <sz val="10.0"/>
      </rPr>
      <t>で行っている名刺交換キャンペーンが話題。物語の進行とともに変化する名刺にご注目を</t>
    </r>
    <r>
      <rPr>
        <rFont val="Arial"/>
        <sz val="10.0"/>
      </rPr>
      <t>!</t>
    </r>
    <r>
      <rPr>
        <rFont val="ＭＳ Ｐゴシック"/>
        <sz val="10.0"/>
      </rPr>
      <t>そして、電話番号に電話をするとあの人物が返答を</t>
    </r>
    <r>
      <rPr>
        <rFont val="Arial"/>
        <sz val="10.0"/>
      </rPr>
      <t xml:space="preserve">!!!  </t>
    </r>
  </si>
  <si>
    <t>番組名義母と娘のブルース(8)就職先の最終決戦!完全復活の味は親の味!?娘の意見承ります</t>
  </si>
  <si>
    <t>経営が立ち行かなくなったベーカリーを再建させようと、義母は閉店を決意する。そして、新たなるベーカリー麦田としてリニューアルオープンを目指すことになる。新生麦田が目指す理想とは・・・?そして、店長麦田に恋の予感?みゆきはある疑いをかける「もしかして店長、お母さんのこと・・・」物語は最終章に突入し、家族の10年間の完結へと突き進んでゆく。</t>
  </si>
  <si>
    <t>番組名義母と娘のブルース(9)大決断な愛の告白!私の愛の最終選択か!?二人で歩んだ9年間</t>
  </si>
  <si>
    <t>遂にベーカリー麦田はリニューアルオープンを迎える。攻め時と見た亜希子は秘策に出る!果たして結果は?そして、ついに9年間の運命の糸が交わり始める。良一の愛に見守られ過ごしてきた義母と娘の年月が奇跡を起こす。そして、義母は・・・</t>
  </si>
  <si>
    <t>番組名義母と娘のブルース(10)完結～さらば義母!愛が起こす奇跡の果て、私は娘を愛してます</t>
  </si>
  <si>
    <t xml:space="preserve">亜希子に想いを伝えた麦田、その結末とは?そして、義母が義母になったルーツが遂に明かされる。義母、娘、ともに歩んだ10年間の思いが交わり奇跡を起こす! </t>
  </si>
  <si>
    <t>1807_TBS_金22</t>
  </si>
  <si>
    <t>チア☆ダン</t>
  </si>
  <si>
    <t>番組名金曜ドラマ「チア☆ダン」第1話【全米制覇!夢を諦めた生徒と教師の奇跡の物語】</t>
  </si>
  <si>
    <t>福井中央高校チアダンス部「JETS」が初めて全米制覇したその姿に憧れた藤谷わかば(土屋太鳳)は将来JETSに入って全米制覇する夢を持つが、受験に失敗し、いつしか自分の夢に蓋をしてしまっていた。しかし、強引な転校生・桐生汐里(石井杏奈)にチアダンス部を作ろう!と誘われ、くすぶっていた思いに再び火がつく!一方、漆戸太郎(オダギリジョー)は過去の挫折で教師を休職していたが復帰早々にチアダンス部の顧問に…土屋太鳳、石井杏奈、佐久間由衣、山本舞香、朝比奈彩、大友花恋、箭内夢菜、志田彩良、清水尋也、八木莉可子、伊原六花、足立佳奈、堀田真由、福地桃子、小倉優香、石崎なつみ、坂ノ上茜、溝口恵、守屋ことり、佐生雪、高橋里恩、新木優子、広瀬すず(特別出演)、岐洲匠、本多力、森矢カンナ、木原勝利、高村佳偉人、高橋和也、紺野まひる、松本若菜、阿川佐和子、木下ほうか、オダギリジョー原作　映画『チア☆ダン』製作委員会脚本　後藤法子主題歌　『輝きだして走ってく』　サンボマスター(Getting Better/Victor Entertainment)  イメージソング　『できっこないを やらなくちゃ』　サンボマスター演出:福田亮介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</si>
  <si>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福井中央高校チアダンス部「JETS」が初めて全米制覇したその姿に憧れた藤谷わかば(土屋太鳳)は将来JETSに入って全米制覇する夢を持つが、受験に失敗し、いつしか自分の夢に蓋をしてしまっていた。しかし、強引な転校生・桐生汐里(石井杏奈)にチアダンス部を作ろう!と誘われ、くすぶっていた思いに再び火がつく!一方、漆戸太郎(オダギリジョー)は過去の挫折で教師を休職していたが復帰早々にチアダンス部の顧問に…</t>
  </si>
  <si>
    <t>番組名金曜ドラマ「チア☆ダン」第2話【部員が集まらない!チアダンス部結成の危機!!】</t>
  </si>
  <si>
    <t>チアダンス部結成に向け走り出したわかば(土屋太鳳)と汐里(石井杏奈)。太郎(オダギリジョー)が顧問を引き受けてくれる事になり喜んだのも束の間!終業式までの残り1週間で生徒会規約の部員8人を揃えられなければ、活動禁止に!わかばらの勧誘にも取り合わない不登校のダンサー・茉希(山本舞香)や部の結成を快く思わない学級委員長の麻子(佐久間由衣)そして麻子の親で教頭の桜沢(木下ほうか)など難題が降りかかる!!土屋太鳳、石井杏奈、佐久間由衣、山本舞香、朝比奈彩、大友花恋、箭内夢菜、志田彩良、清水尋也、八木莉可子、伊原六花、足立佳奈、堀田真由、福地桃子、石崎なつみ、坂ノ上茜、溝口恵、守屋ことり、佐生雪、岐洲匠、本多力、森矢カンナ、木原勝利、高村佳偉人、高橋和也、紺野まひる、松本若菜、阿川佐和子、木下ほうか、オダギリジョー原作　映画『チア☆ダン』製作委員会脚本　後藤法子主題歌　『輝きだして走ってく』　サンボマスター(Getting Better/Victor Entertainment)  演出:福田亮介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</si>
  <si>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チアダンス部結成に向け走り出したわかば(土屋太鳳)と汐里(石井杏奈)。太郎(オダギリジョー)が顧問を引き受けてくれる事になり喜んだのも束の間!終業式までの残り1週間で生徒会規約の部員8人を揃えられなければ、活動禁止に!わかばらの勧誘にも取り合わない不登校のダンサー・茉希(山本舞香)や部の結成を快く思わない学級委員長の麻子(佐久間由衣)そして麻子の親で教頭の桜沢(木下ほうか)など難題が降りかかる!!</t>
  </si>
  <si>
    <t>番組名金曜ドラマ「チア☆ダン」第3話【JETSとの直接対決!初めての大会に挑戦!】</t>
  </si>
  <si>
    <t>チアダンス部ROCKETS結成後初めて挑む大会で、憧れのJETSと対決する事になったわかば(土屋太鳳)たち。大会まで残された時間は、夏休み最終日までの約一ヶ月。JETSの本当の強さを知る汐里(石井杏奈)は焦りから、塾やそれぞれの用事で練習初日に遅刻してくる麻子(佐久間由衣)、渚(朝比奈彩)、妙子(大友花恋)らに怒りをぶつける。険悪な雰囲気を打破すべく、顧問の太郎(オダギリジョー)に助けを求めるが…土屋太鳳、石井杏奈、佐久間由衣、山本舞香、朝比奈彩、大友花恋、箭内夢菜、志田彩良、清水尋也、八木莉可子、伊原六花、足立佳奈、堀田真由、福地桃子、小倉優香、石崎なつみ、坂ノ上茜、溝口恵、守屋ことり、佐生雪、高橋里恩、岐洲匠、本多力、森矢カンナ、星田英利、まりゑ、高村佳偉人、高橋和也、紺野まひる、松本若菜、阿川佐和子、木下ほうか、オダギリジョー原作　映画『チア☆ダン』製作委員会脚本　徳尾浩司  脚本監修　後藤法子  脚本協力　木村涼子　田中徳恵主題歌　『輝きだして走ってく』　サンボマスター(Getting Better/Victor Entertainment)  イメージソング　『できっこないを やらなくちゃ』　サンボマスター演出:金子文紀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JETS番組の内容と放送時間は変更になる場合があります。</t>
  </si>
  <si>
    <t>チアダンス部ROCKETS結成後初めて挑む大会で、憧れのJETSと対決する事になったわかば(土屋太鳳)たち。大会まで残された時間は、夏休み最終日までの約一ヶ月。JETSの本当の強さを知る汐里(石井杏奈)は焦りから、塾やそれぞれの用事で練習初日に遅刻してくる麻子(佐久間由衣)、渚(朝比奈彩)、妙子(大友花恋)らに怒りをぶつける。険悪な雰囲気を打破すべく、顧問の太郎(オダギリジョー)に助けを求めるが…</t>
  </si>
  <si>
    <t>番組名金曜ドラマ「チア☆ダン」第4話【ダサくてもいいでの!信じる仲間のために踊る!】</t>
  </si>
  <si>
    <t>大会での惨敗でJETSとの力の差を痛感したわかば(土屋太鳳)らROCKETS。そんな時、駒子(阿川佐和子)校長からJETS見学の話が舞い込む。見学で刺激を受け盛り上がる一同だが、一人そのノリについていけない茉希(山本舞香)は練習から飛び出す…。チアリーダー部で仲間外れにされた芙美(伊原六花)を応援するためにわかばらは太郎(オダギリジョー)のとある提案を引き受けるが、茉希は果たして戻ってくるのか!?土屋太鳳、石井杏奈、佐久間由衣、山本舞香、朝比奈彩、大友花恋、箭内夢菜、志田彩良、清水尋也、八木莉可子、伊原六花、足立佳奈、堀田真由、福地桃子、小倉優香、石崎なつみ、坂ノ上茜、溝口恵、守屋ことり、佐生雪、高橋里恩、本多力、森矢カンナ、木原勝利、高村佳偉人、小手伸也、大和田南那、松本若菜、新木優子、高橋和也、阿川佐和子、木下ほうか、オダギリジョー原作　映画『チア☆ダン』製作委員会脚本　徳尾浩司  脚本監修　後藤法子  脚本協力　木村涼子　田中徳恵主題歌　『輝きだして走ってく』　サンボマスター(Getting Better/Victor Entertainment)  演出:金子文紀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</si>
  <si>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大会での惨敗でJETSとの力の差を痛感したわかば(土屋太鳳)らROCKETS。そんな時、駒子(阿川佐和子)校長からJETS見学の話が舞い込む。見学で刺激を受け盛り上がる一同だが、一人そのノリについていけない茉希(山本舞香)は練習から飛び出す…。チアリーダー部で仲間外れにされた芙美(伊原六花)を応援するためにわかばらは太郎(オダギリジョー)のとある提案を引き受けるが、茉希は果たして戻ってくるのか!?</t>
  </si>
  <si>
    <t>番組名金曜ドラマ「チア☆ダン」第5話【仲間を傷つけるのは許さん!】今夜は副音声祭り!</t>
  </si>
  <si>
    <t>わかば(土屋太鳳)がチアリーダー部を辞めて以来、敵対したままのROCKETSと望(堀田真由)たち。エスカレートしていく望らの嫌がらせに汐里(石井杏奈)や茉希(山本舞香)だけでなく、チアリーダー部内でも疑問の声が上がっていく。険悪な空気のまま、学園祭のメインイベントであるチアリーダー部のショーとROCKETSの演技が全く同じ時間帯にぶつかることに。その時、太郎(オダギリジョー)もわかばらに内緒で…土屋太鳳、石井杏奈、佐久間由衣、山本舞香、朝比奈彩、大友花恋、箭内夢菜、志田彩良、清水尋也、八木莉可子、伊原六花、足立佳奈、堀田真由、福地桃子、石崎なつみ、坂ノ上茜、溝口恵、守屋ことり、佐生雪、高橋里恩、岐洲匠、本多力、森矢カンナ、木原勝利、河野洋一郎、星田英利、陽月華、高村佳偉人、松本若菜、新木優子、高橋和也、紺野まひる、阿川佐和子、木下ほうか、オダギリジョー★3週連続、夏は『チア☆ダン』副音声祭り開催!★  ROCKETSメンバーが第5話の裏側をトーク!  出演:伊原六花、足立佳奈、堀田真由、福地桃子    夏は『チア☆ダン』副音声祭り　来週以降のゲスト(変更の可能性あり)  8/17(金)土屋太鳳、石井杏奈、佐久間由衣、山本舞香、朝比奈彩  8/24(金)大友花恋、箭内夢菜、志田彩良、清水尋也、八木莉可子原作　映画『チア☆ダン』製作委員会脚本　徳尾浩司  脚本監修　後藤法子  脚本協力　木村涼子主題歌　『輝きだして走ってく』　サンボマスター(Getting Better/Victor Entertainment)  演出:金子文紀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</si>
  <si>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わかば(土屋太鳳)がチアリーダー部を辞めて以来、敵対したままのROCKETSと望(堀田真由)たち。エスカレートしていく望らの嫌がらせに汐里(石井杏奈)や茉希(山本舞香)だけでなく、チアリーダー部内でも疑問の声が上がっていく。険悪な空気のまま、学園祭のメインイベントであるチアリーダー部のショーとROCKETSの演技が全く同じ時間帯にぶつかることに。その時、太郎(オダギリジョー)もわかばらに内緒で…</t>
  </si>
  <si>
    <t>番組名金曜ドラマ「チア☆ダン」第6話【顧問不在で廃部の危機…】★今夜も副音声祭り!</t>
  </si>
  <si>
    <t>顧問の太郎(オダギリジョー)が不在の中、生徒たちだけで練習も部の運営も行おうとするわかば(土屋太鳳)らROCKETS。そんな中、練習中に穂香(箭内夢菜)が怪我をしてしまう。娘の怪我に激怒した穂香の父親(宍戸開)は父母会を結成し、校長室に乗り込み“チアダンス部の廃部"を校長の駒子(阿川佐和子)らに突きつける。「チアは泣いてはダメ…」と必死に笑顔を絶やさないようにピンチに立ち向かう!★夏は副音声祭り★土屋太鳳、石井杏奈、佐久間由衣、山本舞香、朝比奈彩、大友花恋、箭内夢菜、志田彩良、清水尋也、八木莉可子、伊原六花、足立佳奈、堀田真由、福地桃子、石崎なつみ、坂ノ上茜、溝口恵、守屋ことり、佐生雪、本多力、森矢カンナ、木原勝利、高村佳偉人、夙川アトム、星田英利、宍戸開、押田恵、松本若菜、新木優子、高橋和也、紺野まひる、阿川佐和子、木下ほうか、オダギリジョー★3週連続、夏は『チア☆ダン』副音声祭り開催!★  ROCKETSメンバーが第6話の裏側をトーク!  出演:土屋太鳳、石井杏奈、佐久間由衣、山本舞香、朝比奈彩    夏は『チア☆ダン』副音声祭り　来週のゲスト(変更の可能性あり)  8/24(金)大友花恋、箭内夢菜、志田彩良、清水尋也、八木莉可子原作　映画『チア☆ダン』製作委員会脚本　木村涼子  脚本監修　後藤法子主題歌　『輝きだして走ってく』　サンボマスター(Getting Better/Victor Entertainment)  演出:岡本伸吾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</si>
  <si>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顧問の太郎(オダギリジョー)が不在の中、生徒たちだけで練習も部の運営も行おうとするわかば(土屋太鳳)らROCKETS。そんな中、練習中に穂香(箭内夢菜)が怪我をしてしまう。娘の怪我に激怒した穂香の父親(宍戸開)は父母会を結成し、校長室に乗り込み“チアダンス部の廃部"を校長の駒子(阿川佐和子)らに突きつける。「チアは泣いてはダメ…」と必死に笑顔を絶やさないようにピンチに立ち向かう!</t>
  </si>
  <si>
    <t>番組名金曜ドラマ「チア☆ダン」第7話【捨てるのは恋?夢?】★今夜も副音声祭り!</t>
  </si>
  <si>
    <t>3年生になったわかば(土屋太鳳)たち。大事な大会を前に緊張感のある練習に励む汐里(石井杏奈)、茉希(山本舞香)らロケッツの面々。そんな中、練習帰りに麻子(佐久間由衣)は後輩の男子学生からラブレターを突然渡され大きく動揺する。妙子も家の事情で練習になかなか参加できなくなり、チームは次第にバラバラになっていく…。夢を手に入れるために、捨てないといけないのは恋か?それとも家族か?★夏は副音声祭り開催!★土屋太鳳、石井杏奈、佐久間由衣、山本舞香、朝比奈彩、大友花恋、箭内夢菜、志田彩良、清水尋也、八木莉可子、伊原六花、足立佳奈、堀田真由、福地桃子、小倉優香、石崎なつみ、坂ノ上茜、溝口恵、守屋ことり、佐生雪、高橋里恩、高村佳偉人、菊池明明、星田英利、夙川アトム、松本若菜、新木優子、高橋和也、紺野まひる、阿川佐和子、木下ほうか、オダギリジョー★3週連続、夏は『チア☆ダン』副音声祭り開催!★  チア☆ダンキャストが第7話の裏側をトーク!  出演:大友花恋、箭内夢菜、志田彩良、清水尋也、八木莉可子原作　映画『チア☆ダン』製作委員会脚本　渡邉真子  脚本監修　後藤法子主題歌　『輝きだして走ってく』　サンボマスター(Getting Better/Victor Entertainment)  演出:渡部篤史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</si>
  <si>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3年生になったわかば(土屋太鳳)たち。大事な大会を前に緊張感のある練習に励む汐里(石井杏奈)、茉希(山本舞香)らロケッツの面々。そんな中、練習帰りに麻子(佐久間由衣)は後輩の男子学生からラブレターを突然渡され大きく動揺する。妙子も家の事情で練習になかなか参加できなくなり、チームは次第にバラバラになっていく…。夢を手に入れるために、捨てないといけないのは恋か?それとも家族か?</t>
  </si>
  <si>
    <t>番組名金曜ドラマ「チア☆ダン」第8話【仲間と踊るため…あたしは信じる】</t>
  </si>
  <si>
    <t>全米制覇に向けて頑張るわかば(土屋太鳳)らだが、高校三年生になり受験や進路の事にも頭を悩ます日々。自分の将来の進路と真剣に向き合っているものもいれば、目の前のチアダンスにただただ必死に向き合っているものもいる。そんな中、汐里(石井杏奈)は、アメリカへの転勤が決まった父親から一緒に来ないかと誘われる…。土屋太鳳、石井杏奈、佐久間由衣、山本舞香、朝比奈彩、大友花恋、箭内夢菜、志田彩良、清水尋也、八木莉可子、伊原六花、足立佳奈、堀田真由、福地桃子、小倉優香、石崎なつみ、坂ノ上茜、溝口恵、守屋ことり、佐生雪、本多力、森矢カンナ、木原勝利、西ノ園達大、脇あかり、工藤宏二郎、津田寛治、新木優子、高橋和也、紺野まひる、阿川佐和子、木下ほうか原作　映画『チア☆ダン』製作委員会脚本　徳尾浩司  脚本協力　小田康平  脚本監修　後藤法子主題歌　『輝きだして走ってく』　サンボマスター(Getting Better/Victor Entertainment)  演出:福田亮介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</si>
  <si>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全米制覇に向けて頑張るわかば(土屋太鳳)らだが、高校三年生になり受験や進路の事にも頭を悩ます日々。自分の将来の進路と真剣に向き合っているものもいれば、目の前のチアダンスにただただ必死に向き合っているものもいる。そんな中、汐里(石井杏奈)は、アメリカへの転勤が決まった父親から一緒に来ないかと誘われる…。</t>
  </si>
  <si>
    <t>番組名金曜ドラマ「チア☆ダン」第9話【大会直前にまさかのケガ?ロケッツ空中分解!?】</t>
  </si>
  <si>
    <t>全国大会まで残り一ヶ月。わかば(土屋太鳳)は大きなケガを負ってしまう。打倒JETSというロケッツの夢を叶えるために、自分は大会に出場せずにチームのサポートにまわろうとするわかば。そんな時、汐里(石井杏奈)や麻子(佐久間由衣)、茉希(山本舞香)らはわかばに、もう練習に来ないで欲しいと突然言い渡す。居場所を失ってしまったわかばは、まもなく退院を迎える太郎先生(オダギリジョー)に助けを求めにいく。土屋太鳳、石井杏奈、佐久間由衣、山本舞香、朝比奈彩、大友花恋、箭内夢菜、志田彩良、清水尋也、八木莉可子、伊原六花、足立佳奈、堀田真由、福地桃子、小倉優香、石崎なつみ、坂ノ上茜、溝口恵、守屋ことり、佐生雪、本多力、森矢カンナ、木原勝利、高村佳偉人、野澤剣人、大須賀隼人、黒沢リコ、夙川アトム、松本若菜、新木優子、高橋和也、紺野まひる、阿川佐和子、木下ほうか、オダギリジョー原作　映画『チア☆ダン』製作委員会脚本　木村涼子  脚本監修　後藤法子主題歌　『輝きだして走ってく』　サンボマスター(Getting Better/Victor Entertainment)  演出:岡本伸吾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</si>
  <si>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全国大会まで残り一ヶ月。わかば(土屋太鳳)は大きなケガを負ってしまう。打倒JETSというロケッツの夢を叶えるために、自分は大会に出場せずにチームのサポートにまわろうとするわかば。そんな時、汐里(石井杏奈)や麻子(佐久間由衣)、茉希(山本舞香)らはわかばに、もう練習に来ないで欲しいと突然言い渡す。居場所を失ってしまったわかばは、まもなく退院を迎える太郎先生(オダギリジョー)に助けを求めにいく。</t>
  </si>
  <si>
    <t>番組名金曜ドラマ「チア☆ダン」最終回【全米制覇へ…夢を叶える最後のダンス】</t>
  </si>
  <si>
    <t>夢の全米制覇へ…これが最後のダンス!!全国大会出場のため東京に降り立つわかば(土屋太鳳)らROCKETSと顧問の太郎(オダギリジョー)、あおい(新木優子)。初めての東京に浮き足立つメンバーたちは、明日に迫った全国大会に向けて、最後の練習に打ち込む。打倒JETS、全米制覇というできっこない夢に向かって走り続けてきた20人が、夢の舞台で見た奇跡の景色とは!?夢を追い続ける全ての人に捧げる涙のダンス!!土屋太鳳、石井杏奈、佐久間由衣、山本舞香、朝比奈彩、大友花恋、箭内夢菜、志田彩良、清水尋也、八木莉可子、伊原六花、足立佳奈、堀田真由、福地桃子、小倉優香、石崎なつみ、坂ノ上茜、溝口恵、守屋ことり、佐生雪、高橋里恩、本多力、森矢カンナ、木原勝利、高村佳偉人、遠藤健慎、宮崎京、高畠麻奈、松本若菜、新木優子、高橋和也、紺野まひる、阿川佐和子、木下ほうか、オダギリジョー原作　映画『チア☆ダン』製作委員会脚本　木村涼子  脚本監修　後藤法子主題歌　『輝きだして走ってく』　サンボマスター(Getting Better/Victor Entertainment)  演出:福田亮介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</si>
  <si>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夢の全米制覇へ…これが最後のダンス!!全国大会出場のため東京に降り立つわかば(土屋太鳳)らROCKETSと顧問の太郎(オダギリジョー)、あおい(新木優子)。初めての東京に浮き足立つメンバーたちは、明日に迫った全国大会に向けて、最後の練習に打ち込む。打倒JETS、全米制覇というできっこない夢に向かって走り続けてきた20人が、夢の舞台で見た奇跡の景色とは!?夢を追い続ける全ての人に捧げる涙のダンス!!</t>
  </si>
  <si>
    <t>1807_TBS_日21</t>
  </si>
  <si>
    <t>この世界の片隅に</t>
  </si>
  <si>
    <t>番組名日曜劇場「この世界の片隅に」第1話　松本穂香×松坂桃李で贈る家族の愛の物語</t>
  </si>
  <si>
    <t>祖母・森田イト(宮本信子)の家で手伝いをしていたすず(松本穂香)のもとにすずを嫁に欲しいという人が実家に来ていると連絡がくる。実家へと急ぐ途中、すずは幼なじみの水原哲(村上虹郎)と出会う。その頃、北條周作(松坂桃李)とその父・円太郎(田口トモロヲ)、すずの父母(ドロンズ石本・仙道敦子)はすずの帰宅を待っていた。周作は以前にすずを見初めたというが、こっそり家の様子を覗いたすずには見覚えが全くなく…。松本穂香　松坂桃李  村上虹郎　伊藤沙莉　土村 芳　ドロンズ石本　久保田紗友　新井美羽　二階堂ふみ  &lt;現代篇&gt;  榮倉奈々　古舘佑太郎  尾野真千子　木野 花　塩見三省　田口トモロヲ　仙道敦子　伊藤 蘭　宮本信子こうの史代『この世界の片隅に』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t>
  </si>
  <si>
    <t>祖母・森田イト(宮本信子)の家で手伝いをしていたすず(松本穂香)のもとにすずを嫁に欲しいという人が実家に来ていると連絡がくる。実家へと急ぐ途中、すずは幼なじみの水原哲(村上虹郎)と出会う。その頃、北條周作(松坂桃李)とその父・円太郎(田口トモロヲ)、すずの父母(ドロンズ石本・仙道敦子)はすずの帰宅を待っていた。周作は以前にすずを見初めたというが、こっそり家の様子を覗いたすずには見覚えが全くなく…。</t>
  </si>
  <si>
    <t>番組名日曜劇場「この世界の片隅に」(2)15分拡大SP【小姑襲来!波乱の新婚生活の幕開け】</t>
  </si>
  <si>
    <t>結婚式から一夜明け、目覚めたすず(松本穂香)は周作(松坂桃李)の寝顔を見つめながら、結婚したことを実感する。母・キセノ(仙道敦子)に教わったように、朝食の支度をしようとするすずだが、勝手がわからず戸惑う。  そして結婚して一ヶ月が経った頃、周作の姉・径子(尾野真千子)が娘の晴美(稲垣来泉)を連れて北條家にやってくる。どうやらそれはただの里帰りではないようで・・・松本穂香　松坂桃李  村上虹郎　　伊藤沙莉　土村 芳　ドロンズ石本　久保田紗友　稲垣来泉　　二階堂ふみ  &lt;現代篇&gt;  榮倉奈々　　古舘佑太郎  尾野真千子　　木野 花　塩見三省　田口トモロヲ　仙道敦子　　伊藤 蘭　　宮本信子こうの史代『この世界の片隅に』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t>
  </si>
  <si>
    <t>結婚式から一夜明け、目覚めたすず(松本穂香)は周作(松坂桃李)の寝顔を見つめながら、結婚したことを実感する。母・キセノ(仙道敦子)に教わったように、朝食の支度をしようとするすずだが、勝手がわからず戸惑う。  そして結婚して一ヶ月が経った頃、周作の姉・径子(尾野真千子)が娘の晴美(稲垣来泉)を連れて北條家にやってくる。どうやらそれはただの里帰りではないようで・・・</t>
  </si>
  <si>
    <t>番組名日曜劇場「この世界の片隅に」(3)【忍び寄る戦争ー夫の過去と切ない三角関係】</t>
  </si>
  <si>
    <t>嫁いで3か月が過ぎ、すず(松本穂香)は周作(松坂桃李)にどんどん恋をしてしまっている自分に気づく。そんな折、小姑の径子(尾野真千子)から、周作の過去の女性に関してほのめかされ、すずの心は揺れる。  そしてある日、誤って今や貴重品である砂糖を水甕の中へ落としてしまったすず。姑のサン(伊藤蘭)からもらったへそくりを持ってヤミ市へ出掛けた帰り道、道に迷ったすずは、遊郭の遊女・リン(二階堂ふみ)と出会うー松本穂香　松坂桃李  村上虹郎　　伊藤沙莉　土村 芳　宮地雅子　竹内都子　篠原篤　稲垣来泉　　二階堂ふみ    榮倉奈々&lt;現代篇&gt;　古舘佑太郎&lt;現代篇&gt;    尾野真千子　　木野 花　塩見三省　田口トモロヲ　　伊藤 蘭こうの史代『この世界の片隅に』  (双葉社刊「漫画アクション」連載)岡田惠和久石 譲演出:土井裕泰　吉田健  プロデュース:佐野亜裕美◇番組HP http://www.tbs.co.jp/konoseka_tbs/    ◇番組公式Twitter  @konoseka_tbs  https://twitter.com/konoseka_tbs/    ◇番組公式Instagram  @konoseka_tbs  https://www.instagram.com/konoseka_tbs/番組の内容と放送時間は変更になる場合があります。</t>
  </si>
  <si>
    <t>嫁いで3か月が過ぎ、すず(松本穂香)は周作(松坂桃李)にどんどん恋をしてしまっている自分に気づく。そんな折、小姑の径子(尾野真千子)から、周作の過去の女性に関してほのめかされ、すずの心は揺れる。  そしてある日、誤って今や貴重品である砂糖を水甕の中へ落としてしまったすず。姑のサン(伊藤蘭)からもらったへそくりを持ってヤミ市へ出掛けた帰り道、道に迷ったすずは、遊郭の遊女・リン(二階堂ふみ)と出会うー</t>
  </si>
  <si>
    <t>番組名日曜劇場「この世界の片隅に」(4)りんどうの秘密ー動き出した運命</t>
  </si>
  <si>
    <t>体調を崩し、寝込んでしまったすず(松本穂香)。円太郎(田口トモロヲ)から、子供が出来たのではないかと言われ、喜びを隠せない周作(松坂桃李)。すずも笑顔になる。  病院へ行った帰り道、すずは再びリン(二階堂ふみ)を訪ねる。次第に友情を育んでいく二人。  そんな折、離れて暮らしている径子の息子・久夫(大山蓮斗)が北條家にやってくる。久々の再会を喜ぶ径子。久夫が訪ねて来たのにはある理由があって・・・松本穂香　松坂桃李  村上虹郎　　伊藤沙莉　土村 芳　稲垣来泉　　二階堂ふみ    榮倉奈々&lt;現代篇&gt;　　古舘佑太郎&lt;現代篇&gt;    尾野真千子　　田口トモロヲ　　伊藤 蘭こうの史代『この世界の片隅に』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t>
  </si>
  <si>
    <t>体調を崩し、寝込んでしまったすず(松本穂香)。円太郎(田口トモロヲ)から、子供が出来たのではないかと言われ、喜びを隠せない周作(松坂桃李)。すずも笑顔になる。  病院へ行った帰り道、すずは再びリン(二階堂ふみ)を訪ねる。次第に友情を育んでいく二人。  そんな折、離れて暮らしている径子の息子・久夫(大山蓮斗)が北條家にやってくる。久々の再会を喜ぶ径子。久夫が訪ねて来たのにはある理由があって・・・</t>
  </si>
  <si>
    <t>番組名日曜劇場「この世界の片隅に」(5)【迫り来る空襲!さよなら初恋の人】</t>
  </si>
  <si>
    <t>昭和19年冬、すず(松本穂香)のもとに、突然幼馴染の水原哲(村上虹郎)が現れる。青葉という重巡洋艦に乗っている哲は、入湯上陸で呉に着き、すずに会いに来たのだった。一晩泊めて欲しいと言う哲に面食らう径子(尾野真千子)とサン(伊藤蘭)だったが、結局哲を一晩泊めることに。幼馴染である哲と仲の良さそうなすずを見て、心中穏やかではない周作(松坂桃李)。ふいに哲と二人きりになってしまった周作は・・・松本穂香　松坂桃李  村上虹郎　　伊藤沙莉　土村 芳　ドロンズ石本　久保田紗友　稲垣来泉　　二階堂ふみ    榮倉奈々&lt;現代篇&gt;　古舘佑太郎&lt;現代篇&gt;    尾野真千子　　木野 花　塩見三省　田口トモロヲ　仙道敦子　　伊藤 蘭　　宮本信子こうの史代『この世界の片隅に』  (双葉社刊「漫画アクション」連載)岡田惠和久石 譲演出:土井裕泰　吉田健  プロデュース:佐野亜裕美◇番組HP http://www.tbs.co.jp/konoseka_tbs/    ◇番組公式Twitter  @konoseka_tbs  https://twitter.com/konoseka_tbs/    ◇番組公式Instagram  @konoseka_tbs  https://www.instagram.com/konoseka_tbs/番組の内容と放送時間は変更になる場合があります。</t>
  </si>
  <si>
    <t>昭和19年冬、すず(松本穂香)のもとに、突然幼馴染の水原哲(村上虹郎)が現れる。青葉という重巡洋艦に乗っている哲は、入湯上陸で呉に着き、すずに会いに来たのだった。一晩泊めて欲しいと言う哲に面食らう径子(尾野真千子)とサン(伊藤蘭)だったが、結局哲を一晩泊めることに。幼馴染である哲と仲の良さそうなすずを見て、心中穏やかではない周作(松坂桃李)。ふいに哲と二人きりになってしまった周作は・・・</t>
  </si>
  <si>
    <t>番組名日曜劇場「この世界の片隅に」(6)【激動の昭和20年ー最愛の人との別離】</t>
  </si>
  <si>
    <t>昭和20年4月、すず(松本穂香)と周作(松坂桃李)ら北條家一行は、お花見に出かけることに。一同とはぐれてしまったすずは、同じく花見に来ていたリン(二階堂ふみ)と出会う。桜の木に登り満開の桜を見上げる2人ー  昭和20年5月、円太郎(田口トモロヲ)の勤める広の工場が空襲にあったことが知らされる。円太郎の安否を心配するすず、周作、径子(尾野真千子)、サン(伊藤蘭)。そんな折周作にある辞令が下りていてー松本穂香　松坂桃李  伊藤沙莉　土村 芳　稲垣来泉　　二階堂ふみ    榮倉奈々&lt;現代篇&gt;　　古舘佑太郎&lt;現代篇&gt;    尾野真千子　　木野 花　塩見三省　田口トモロヲ　　伊藤 蘭こうの史代『この世界の片隅に』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t>
  </si>
  <si>
    <t>昭和20年4月、すず(松本穂香)と周作(松坂桃李)ら北條家一行は、お花見に出かけることに。一同とはぐれてしまったすずは、同じく花見に来ていたリン(二階堂ふみ)と出会う。桜の木に登り満開の桜を見上げる2人ー  昭和20年5月、円太郎(田口トモロヲ)の勤める広の工場が空襲にあったことが知らされる。円太郎の安否を心配するすず、周作、径子(尾野真千子)、サン(伊藤蘭)。そんな折周作にある辞令が下りていてー</t>
  </si>
  <si>
    <t>番組名日曜劇場「この世界の片隅に」(7)【昭和20年8月、広島-悲しみの先に】</t>
  </si>
  <si>
    <t>目を覚ましたすず(松本穂香)。そこは北條家で・・・  すず、周作(松坂桃李)、径子(尾野真千子)ら家族に、昭和20年の夏がやってくる。松本穂香　松坂桃李  伊藤沙莉　土村 芳　ドロンズ石本　久保田紗友　稲垣来泉    榮倉奈々&lt;現代篇&gt;　古舘佑太郎&lt;現代篇&gt;　香川京子&lt;現代篇&gt;    尾野真千子　　木野 花　塩見三省　田口トモロヲ　仙道敦子　　伊藤 蘭こうの史代『この世界の片隅に』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t>
  </si>
  <si>
    <t>目を覚ましたすず(松本穂香)。そこは北條家で・・・  すず、周作(松坂桃李)、径子(尾野真千子)ら家族に、昭和20年の夏がやってくる。</t>
  </si>
  <si>
    <t>番組名日曜劇場「この世界の片隅に」(8)【戦争が終わるー始まっていく日々、新たな決意】</t>
  </si>
  <si>
    <t>家族の安否を知るために、広島へ行きたい一心で髪を切ったすず(松本穂香)。いつもとは違うすずの姿に驚く径子(尾野真千子)たち。髪を切ったすずの姿に、周作(松坂桃李)も驚きを隠せない。  そんな中、昭和20年8月15日、すず、径子、サン(伊藤蘭)、そして隣組の皆も集まる中、「正午より重大放送あり」と告知されていた、ラジオの放送が始まる。松本穂香　松坂桃李  伊藤沙莉　土村 芳　宮地雅子　竹内都子　篠原篤    榮倉奈々&lt;現代篇&gt;　　古舘佑太郎&lt;現代篇&gt;  香川京子&lt;現代篇&gt;    尾野真千子　　木野 花　塩見三省　田口トモロヲ　　伊藤 蘭こうの史代『この世界の片隅に』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t>
  </si>
  <si>
    <t>家族の安否を知るために、広島へ行きたい一心で髪を切ったすず(松本穂香)。いつもとは違うすずの姿に驚く径子(尾野真千子)たち。髪を切ったすずの姿に、周作(松坂桃李)も驚きを隠せない。  そんな中、昭和20年8月15日、すず、径子、サン(伊藤蘭)、そして隣組の皆も集まる中、「正午より重大放送あり」と告知されていた、ラジオの放送が始まる。</t>
  </si>
  <si>
    <t>番組名日曜劇場「この世界の片隅に」(9)【希望と再生-繋がっていく過去と現在】</t>
  </si>
  <si>
    <t>昭和20年秋。径子(尾野真千子)ら家族の計らいもあり、すず(松本穂香)は妹・すみ(久保田紗友)のいる草津へと向かう。そこで祖母・イト(宮本信子)と再会するすず。  一方、任務を終えて久しぶりに北條家に帰ってきた周作(松坂桃李)は、すずを追いかけて草津へと向かうことに。松本穂香　松坂桃李  村上虹郎　伊藤沙莉　土村 芳　久保田紗友　宮地雅子　竹内都子    榮倉奈々&lt;現代篇&gt;　　古舘佑太郎&lt;現代篇&gt;  　　香川京子&lt;現代篇&gt;  尾野真千子　　木野 花　塩見三省　田口トモロヲ　　伊藤 蘭　　宮本信子こうの史代『この世界の片隅に』  (双葉社刊「漫画アクション」連載)岡田惠和久石 譲演出:土井裕泰　吉田健  プロデュース:佐野亜裕美◇番組HP http://www.tbs.co.jp/konoseka_tbs/    ◇番組公式Twitter  @konoseka_tbs  https://twitter.com/konoseka_tbs/    ◇番組公式Instagram  @konoseka_tbs  https://www.instagram.com/konoseka_tbs/番組の内容と放送時間は変更になる場合があります。</t>
  </si>
  <si>
    <t>昭和20年秋。径子(尾野真千子)ら家族の計らいもあり、すず(松本穂香)は妹・すみ(久保田紗友)のいる草津へと向かう。そこで祖母・イト(宮本信子)と再会するすず。  一方、任務を終えて久しぶりに北條家に帰ってきた周作(松坂桃李)は、すずを追いかけて草津へと向かうことに。</t>
  </si>
  <si>
    <t>1804_TBS_火22</t>
  </si>
  <si>
    <t>花のち晴れ</t>
  </si>
  <si>
    <t>番組名火曜ドラマ「花のち晴れ～花男　Next　Season～」(1)★花男新章開幕!</t>
  </si>
  <si>
    <t>伝説の4人組“F4"が卒業して10年、名門・英徳学園はかつての輝きを失いかけていた。高等部2年生・江戸川音(杉咲花)は、父の会社が倒産したため、母・由紀恵(菊池桃子)と二人で貧乏生活を送りながら、“隠れ庶民"として学園に通っていた。そこでカリスマとして崇められているのが、神楽木晴(平野紫耀)。父・巌(滝藤賢一)は、道明寺財閥と肩を並べる日本三大財閥の1つである神楽木ホールディングスの若き会長だ。道明寺に憧れる晴は学園に栄光を取り戻すため、正しき5人“C5(シーファイブ)"を結成。高等部に入ってからは、寄付金未納・学費滞納の生徒を退学させる“庶民狩り"を行っていた。その庶民狩りにおびえる音。実は彼女には、馳天馬(中川大志)という婚約者がおり、18歳まで学園にいる事が結婚の条件だった…。隠れ庶民の音と庶民狩りをしているC5の晴が最悪の出会いを果たし、物語は衝撃の展開を迎える…!杉咲花  平野紫耀(King &amp; Prince)  中川大志  濱田龍臣  飯豊まりえ  今田美桜  鈴木仁  中田圭祐    翔　  ○  反町隆史    松本潤(友情出演)  ○  木南晴夏  堀内敬子  テット・ワダ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大間々昂【プロデューサー】  瀬戸口克陽  (花男シリーズ、99.9ほか)    【協力プロデューサー】  齊藤彩奈    【演出】  石井康晴  (花男シリーズ、ウロボロスほか)◇番組HP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</si>
  <si>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伝説の4人組“F4"が卒業して10年、名門・英徳学園はかつての輝きを失いかけていた。高等部2年生・江戸川音(杉咲花)は、父の会社が倒産したため、母・由紀恵(菊池桃子)と二人で貧乏生活を送りながら、“隠れ庶民"として学園に通っていた。そこでカリスマとして崇められているのが、神楽木晴(平野紫耀)。父・巌(滝藤賢一)は、道明寺財閥と肩を並べる日本三大財閥の1つである神楽木ホールディングスの若き会長だ。道明寺に憧れる晴は学園に栄光を取り戻すため、正しき5人“C5(シーファイブ)"を結成。高等部に入ってからは、寄付金未納・学費滞納の生徒を退学させる“庶民狩り"を行っていた。その庶民狩りにおびえる音。実は彼女には、馳天馬(中川大志)という婚約者がおり、18歳まで学園にいる事が結婚の条件だった…。隠れ庶民の音と庶民狩りをしているC5の晴が最悪の出会いを果たし、物語は衝撃の展開を迎える…!</t>
  </si>
  <si>
    <t>番組名火曜ドラマ「花のち晴れ」(2)ライバル校に潜入!?激突!!ヘタレ男子VS運命の婚約者</t>
  </si>
  <si>
    <t>音(杉咲花)は、C5のリーダーである晴(ハルト・平野紫耀)に助けられ、そのお礼としてパンケーキデートに誘われる。そのまま道明寺邸に連れていかれてしまい、メイド頭のタマ(佐々木すみ江)と出会うことに。  一方、ライバル校である桃乃園学院の躍進は止まらず、躍進の理由を探るためC5は桃乃園に潜入する。あまりの豪華さに衝撃を受けるものの、途中で桃乃園の生徒たちにC5だとバレてしまい、ついに音の婚約者・馳天馬(中川大志)と晴が直接対決することになってしまう!けんか腰の晴に対し、親交を深めようとする天馬・・・。完全に天馬との格の違いを見せつけられしてしまった晴は・・・。杉咲花  平野紫耀(King &amp; Prince)  中川大志  濱田龍臣  飯豊まりえ  今田美桜  鈴木仁  中田圭祐    嘉島　陸  翔　  ○    佐々木すみ江  デビット伊東    ○  木南晴夏  堀内敬子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  石井康晴  (花男シリーズ、ウロボロスほか)◇番組HP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</si>
  <si>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音(杉咲花)は、C5のリーダーである晴(ハルト・平野紫耀)に助けられ、そのお礼としてパンケーキデートに誘われる。そのまま道明寺邸に連れていかれてしまい、メイド頭のタマ(佐々木すみ江)と出会うことに。  一方、ライバル校である桃乃園学院の躍進は止まらず、躍進の理由を探るためC5は桃乃園に潜入する。あまりの豪華さに衝撃を受けるものの、途中で桃乃園の生徒たちにC5だとバレてしまい、ついに音の婚約者・馳天馬(中川大志)と晴が直接対決することになってしまう!けんか腰の晴に対し、親交を深めようとする天馬・・・。完全に天馬との格の違いを見せつけられしてしまった晴は・・・。</t>
  </si>
  <si>
    <t>番組名火曜ドラマ「花のち晴れ」(3)【庶民バレ絶体絶命!救世主はヘタレ男子!?婚約者!?】</t>
  </si>
  <si>
    <t>英徳の生徒たちに音(杉咲花)が隠れ庶民であることがバレてしまう。音は晴(ハルト・平野紫耀)がバラしたと勘違いし思わず罵ってしまう。嫌がらせは本人だけでなく、母・由紀恵(菊池桃子)にまで及んでしまう。天馬(中川大志)の婚約者である事も知れ渡り迷惑をかけてしまうと思った音は、英徳を辞めるから、婚約の約束から自由になって欲しいと天馬に伝える。英徳を辞める日、生徒達に取り囲まれ、嘘をついていた事への謝罪を要求される音。それを見ていたC5だが、愛莉に焚き付けられるものの、どうしても庶民狩りをすることができない晴。エスカレートした生徒達はついに音に手をあげ、万事休す!の音の前に現れたのは…!杉咲花  平野紫耀(King &amp; Prince)  中川大志  濱田龍臣  飯豊まりえ  今田美桜  鈴木仁  中田圭祐  翔    木南晴夏  堀内敬子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【演出】石井康晴  (花男シリーズ、ウロボロスほか)  ◇番組HP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</si>
  <si>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英徳の生徒たちに音(杉咲花)が隠れ庶民であることがバレてしまう。音は晴(ハルト・平野紫耀)がバラしたと勘違いし思わず罵ってしまう。嫌がらせは本人だけでなく、母・由紀恵(菊池桃子)にまで及んでしまう。天馬(中川大志)の婚約者である事も知れ渡り迷惑をかけてしまうと思った音は、英徳を辞めるから、婚約の約束から自由になって欲しいと天馬に伝える。英徳を辞める日、生徒達に取り囲まれ、嘘をついていた事への謝罪を要求される音。それを見ていたC5だが、愛莉に焚き付けられるものの、どうしても庶民狩りをすることができない晴。エスカレートした生徒達はついに音に手をあげ、万事休す!の音の前に現れたのは…!</t>
  </si>
  <si>
    <t>番組名火曜ドラマ「花のち晴れ」(4)【ドS小悪魔の逆襲、涙の別れ…新ライバル登場!】</t>
  </si>
  <si>
    <t>紺野さん(木南晴夏)とのWデートに愛莉(今田美桜)が突然やってきて今までの行動を詫び、音(杉咲花)と友達になりたいと宣言。晴(平野紫耀)はやめておけと言うが音はそれを受け入れる。初めての友達候補と言われ、徐々に距離が近づく音と愛莉。なぜか音と晴をくっつけようとしているように見えた愛莉だが、それは実は彼女の策略で、音は出かけ先の冷蔵庫に閉じ込められてしまう。その冷蔵庫の中には天馬もいて…。閉じ込められ、寒さをしのぐ為に抱き合う二人。その様子を愛莉にプロジェクターで見させられた晴は…。杉咲花  平野紫耀(King &amp; Prince)  中川大志  濱田龍臣  飯豊まりえ  今田美桜  鈴木仁  中田圭祐    嘉島陸  翔  ○  反町隆史  木南晴夏  浜野謙太  堀内敬子  テット・ワダ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【演出】坪井敏雄  (花男シリーズ、家族狩りほか)  ◇番組HP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</si>
  <si>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紺野さん(木南晴夏)とのWデートに愛莉(今田美桜)が突然やってきて今までの行動を詫び、音(杉咲花)と友達になりたいと宣言。晴(平野紫耀)はやめておけと言うが音はそれを受け入れる。初めての友達候補と言われ、徐々に距離が近づく音と愛莉。なぜか音と晴をくっつけようとしているように見えた愛莉だが、それは実は彼女の策略で、音は出かけ先の冷蔵庫に閉じ込められてしまう。その冷蔵庫の中には天馬もいて…。閉じ込められ、寒さをしのぐ為に抱き合う二人。その様子を愛莉にプロジェクターで見させられた晴は…。</t>
  </si>
  <si>
    <t>番組名火曜ドラマ「花のち晴れ」(5)【恋敵現る!四角関係スタート!?人生初の愛の告白!?】</t>
  </si>
  <si>
    <t>音(杉咲花)はパーティーで人気モデル・メグリン(飯豊まりえ)が晴(平野紫耀)に迫っているところを見てしまい、好きではないと言いながらも嫉妬する。一方、晴は偶然メグリンの裸を見てしまい、その事が音にバレないか気が気ではない。翌日晴は音へ告白する事を決意。道明寺邸へのデートに誘うものの、突如メグリンが現れ、積極的にアプローチする姿を見て、音は追いかけてきた晴を拒絶。さらに天馬の継母・利恵(高岡早紀)から晴との仲むつまじい写真が送られてきて、今度は由紀恵(菊池桃子)に八つ当たりしてしまう音。写真の件を知り、なぐさめにきた天馬(中川大志)にも「ほっておいて!」と感情をぶつけてしまい・・・。杉咲花  平野紫耀(King &amp; Prince)  中川大志  濱田龍臣  飯豊まりえ  今田美桜  鈴木仁  中田圭祐    嘉島陸  翔  ○  反町隆史  木南晴夏  堀内敬子  テット・ワダ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  岡本伸吾  (99.9ほか)  ◇番組HP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</si>
  <si>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音(杉咲花)はパーティーで人気モデル・メグリン(飯豊まりえ)が晴(平野紫耀)に迫っているところを見てしまい、好きではないと言いながらも嫉妬する。一方、晴は偶然メグリンの裸を見てしまい、その事が音にバレないか気が気ではない。翌日晴は音へ告白する事を決意。道明寺邸へのデートに誘うものの、突如メグリンが現れ、積極的にアプローチする姿を見て、音は追いかけてきた晴を拒絶。さらに天馬の継母・利恵(高岡早紀)から晴との仲むつまじい写真が送られてきて、今度は由紀恵(菊池桃子)に八つ当たりしてしまう音。写真の件を知り、なぐさめにきた天馬(中川大志)にも「ほっておいて!」と感情をぶつけてしまい・・・。</t>
  </si>
  <si>
    <t>番組名火曜ドラマ「花のち晴れ」(6)【運命のWデート!!涙の告白、そして初めてのキス!】</t>
  </si>
  <si>
    <t>音(杉咲花)が天馬(中川大志)に婚約者にも関わらず「告白」している現場に居合わせてしまった晴(平野紫耀)。その様子を見ていたメグリン(飯豊まりえ)は翌日英徳学園に転校してくる。ひょんなことから音&amp;天馬、晴&amp;メグリンのWデートになり、観覧車で二人きりとなってしまった音と晴。そこでイラついていた晴は音に「俺のことをもてあそぶな!」と怒鳴ってしまう。晴の気持ちにようやく気づいた音はデート後、晴の元へ…。一方転校してきたメグリンを見た海斗は晴に「英徳の為にメグリンと向き合え」と強要する。父・巌からは「音は神楽木家にふさわしくない」と叱責されてしまい、恋愛は努力だけではどうにもならないことを悟る。杉咲花  平野紫耀(King &amp; Prince)  中川大志  濱田龍臣  飯豊まりえ  今田美桜  鈴木仁  中田圭祐    嘉島陸  翔　  ○  反町隆史  木南晴夏  堀内敬子  テット・ワダ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  石井康晴  (花男シリーズ、ウロボロスほか)  ◇番組HP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</si>
  <si>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音(杉咲花)が天馬(中川大志)に婚約者にも関わらず「告白」している現場に居合わせてしまった晴(平野紫耀)。その様子を見ていたメグリン(飯豊まりえ)は翌日英徳学園に転校してくる。ひょんなことから音&amp;天馬、晴&amp;メグリンのWデートになり、観覧車で二人きりとなってしまった音と晴。そこでイラついていた晴は音に「俺のことをもてあそぶな!」と怒鳴ってしまう。晴の気持ちにようやく気づいた音はデート後、晴の元へ…。一方転校してきたメグリンを見た海斗は晴に「英徳の為にメグリンと向き合え」と強要する。父・巌からは「音は神楽木家にふさわしくない」と叱責されてしまい、恋愛は努力だけではどうにもならないことを悟る。</t>
  </si>
  <si>
    <t>番組名火曜ドラマ「花のち晴れ」(7)【道明寺邸再び!バイバイ、ヘタレ男子…運命が動き出す】</t>
  </si>
  <si>
    <t>天馬(中川大志)に勧められ桃乃園転入を決めた音(杉咲花)。一方完全に振られた晴(平野紫耀)は落ち込むものの、久しぶりに父・巌(滝藤賢一)と食事に出かけ、ようやく認められたと嬉しくなる。しかしそれはホテルチェーンの娘であるメグリン(飯豊まりえ)との婚約話を進めるためだった。晴が行方不明になったと聞いた音は道明寺邸に行くと、案の定晴がおり、二人はお茶に誘われタマと西田から道明寺の過去を聞くことになる。後日、一茶(鈴木仁)と杉丸(中田圭祐)からC5結成秘話を聞き、音は晴の別の一面を知るのだが…。杉咲花  平野紫耀(King &amp; Prince)  中川大志  濱田龍臣  飯豊まりえ  今田美桜  鈴木仁  中田圭祐    嘉島陸  翔  吉村界人  ○    佐々木すみ江  デビット伊東    ○  木南晴夏  堀内敬子  テット・ワダ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  松木彩◇番組HP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</si>
  <si>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天馬(中川大志)に勧められ桃乃園転入を決めた音(杉咲花)。一方完全に振られた晴(平野紫耀)は落ち込むものの、久しぶりに父・巌(滝藤賢一)と食事に出かけ、ようやく認められたと嬉しくなる。しかしそれはホテルチェーンの娘であるメグリン(飯豊まりえ)との婚約話を進めるためだった。晴が行方不明になったと聞いた音は道明寺邸に行くと、案の定晴がおり、二人はお茶に誘われタマと西田から道明寺の過去を聞くことになる。後日、一茶(鈴木仁)と杉丸(中田圭祐)からC5結成秘話を聞き、音は晴の別の一面を知るのだが…。</t>
  </si>
  <si>
    <t>番組名火曜ドラマ「花のち晴れ」(8)【愛と友情の誕生パーティー!婚約を賭けた食事会】</t>
  </si>
  <si>
    <t>音(杉咲花)と晴(平野紫耀)は友達として向き合って行く事に。晴はメグリン(飯豊まりえ)を「彼女(仮)」とし、音と晴はお互い素敵なカップルになろうと誓う。ある日音と天馬(中川大志)の映画デートに合流する事になった晴とメグリン。そこで音と晴の仲の良さを見て、不安になってしまうメグリンだが、晴の為に英徳を盛り上げようと自分の誕生パーティーを企画する。しかし、同日に馳&amp;江戸川両家で食事会が開かれる事に…。その食事会は桃乃園への転入を延期した音が、果たして天馬の婚約者として相応しいのかどうかを見極める場だった。音はメグリンの招待を断り、食事会に向かおうとするが…。杉咲花  平野紫耀(King &amp; Prince)  中川大志  濱田龍臣  飯豊まりえ  今田美桜  鈴木仁  中田圭祐    嘉島陸  翔  ○  木南晴夏  堀内敬子  テット・ワダ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  岡本伸吾  (99.9ほか)  ◇番組HP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</si>
  <si>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音(杉咲花)と晴(平野紫耀)は友達として向き合って行く事に。晴はメグリン(飯豊まりえ)を「彼女(仮)」とし、音と晴はお互い素敵なカップルになろうと誓う。ある日音と天馬(中川大志)の映画デートに合流する事になった晴とメグリン。そこで音と晴の仲の良さを見て、不安になってしまうメグリンだが、晴の為に英徳を盛り上げようと自分の誕生パーティーを企画する。しかし、同日に馳&amp;江戸川両家で食事会が開かれる事に…。その食事会は桃乃園への転入を延期した音が、果たして天馬の婚約者として相応しいのかどうかを見極める場だった。音はメグリンの招待を断り、食事会に向かおうとするが…。</t>
  </si>
  <si>
    <t>番組名火曜ドラマ「花のち晴れ」(9)【運命の恋と奇跡の恋、本当に好きな人は!?】</t>
  </si>
  <si>
    <t>音(杉咲花)が何者かに襲われ、天馬(中川大志)は心配し、晴(平野紫耀)にも報告すべきと助言。しかし音はメグリン(飯豊まりえ)との初デート計画をしている晴には伝えずにいた。そして偶然にも事件を裏で操っていた犯人を知ってしまう音。天馬に事実を伝えるが、信じてもらえずにショックを受ける。だが晴は音の前で「そんなの一択だろ!好きな女の言うことを信じなくてどうする!」と天馬に掴みかかり…。その夜家を訪ねてきた天馬に音を諦めないと伝える晴。そこに父・巌が現れ、二人にある提案を持ちかける。歯車が狂い始め追い詰められた天馬は、その提案に乗る決意を固める。一方、晴の決断は…。杉咲花  平野紫耀(King &amp; Prince)  中川大志  濱田龍臣  飯豊まりえ  今田美桜  鈴木仁  中田圭祐    嘉島陸  翔　  ○  佐々木すみ江  デビット伊東  ○  木南晴夏  堀内敬子  テット・ワダ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  石井康晴  (花男シリーズ、ウロボロスほか)  ◇番組HP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</si>
  <si>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音(杉咲花)が何者かに襲われ、天馬(中川大志)は心配し、晴(平野紫耀)にも報告すべきと助言。しかし音はメグリン(飯豊まりえ)との初デート計画をしている晴には伝えずにいた。そして偶然にも事件を裏で操っていた犯人を知ってしまう音。天馬に事実を伝えるが、信じてもらえずにショックを受ける。だが晴は音の前で「そんなの一択だろ!好きな女の言うことを信じなくてどうする!」と天馬に掴みかかり…。その夜家を訪ねてきた天馬に音を諦めないと伝える晴。そこに父・巌が現れ、二人にある提案を持ちかける。歯車が狂い始め追い詰められた天馬は、その提案に乗る決意を固める。一方、晴の決断は…。</t>
  </si>
  <si>
    <t>番組名火曜ドラマ「花のち晴れ」(10)【愛とプライドを賭けた最終決戦!勝つのはどっちだ!?】</t>
  </si>
  <si>
    <t>天馬(中川大志)から晴(平野紫耀)と武道三種で対決する事になったと聞いた音(杉咲花)は、晴を問い質すと男のロマンだと切り返される。晴は実は音を賭けての対決だとメグリン(飯豊まりえ)に伝えるものの、彼女は自分にもチャンスはあると別れようとしない。武道未経験の晴に一茶は西門総二郎(松田翔太)を呼び、弓道の極意を習う。そして迎えた大会初日。音が本当に好きなのは天馬なのか?晴なのか?勝負の行方はいかに!?天馬の父の事業拡大に伴い、音の父・誠(反町隆史)を化粧部門に迎える事になり、喜ぶ由紀恵(菊池桃子)。利恵(高岡早紀)は3人で暮らす家を手配。さらには音と天馬の結婚式を音の誕生日にあげようと言い出す。杉咲花  平野紫耀(King &amp; Prince)  中川大志  濱田龍臣  飯豊まりえ  今田美桜  鈴木仁  中田圭祐    嘉島陸  翔  ○  松田翔太  ○  木南晴夏  堀内敬子  テット・ワダ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  坪井敏雄  (花男シリーズ、家族狩りほか)◇番組HP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</si>
  <si>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天馬(中川大志)から晴(平野紫耀)と武道三種で対決する事になったと聞いた音(杉咲花)は、晴を問い質すと男のロマンだと切り返される。晴は実は音を賭けての対決だとメグリン(飯豊まりえ)に伝えるものの、彼女は自分にもチャンスはあると別れようとしない。武道未経験の晴に一茶は西門総二郎(松田翔太)を呼び、弓道の極意を習う。そして迎えた大会初日。音が本当に好きなのは天馬なのか?晴なのか?勝負の行方はいかに!?天馬の父の事業拡大に伴い、音の父・誠(反町隆史)を化粧部門に迎える事になり、喜ぶ由紀恵(菊池桃子)。利恵(高岡早紀)は3人で暮らす家を手配。さらには音と天馬の結婚式を音の誕生日にあげようと言い出す。</t>
  </si>
  <si>
    <t>番組名火曜ドラマ「花のち晴れ」【最強ラブコメついに完結!自分らしくいられる好きな人】</t>
  </si>
  <si>
    <t>初日の柔道で右手首を痛めてしまう晴(平野紫耀)。心配するC5メンバーだが、晴は落ち込んでいる暇はないと血気盛んだ。二日目の試合の朝、試合会場へ向かった音(杉咲花)は、晴と共に近衛が絡まれている現場に遭遇。その人物は自分を襲った犯人だった。さらに天馬(中川大志)も襲撃の黒幕が近衛だった事を知り、衝撃を受ける…。果たして音を巡る晴と天馬の“恋の決闘"の行方は!?それぞれが下した最後の決断とは--。杉咲花  平野紫耀(King &amp; Prince)  中川大志  濱田龍臣  飯豊まりえ  今田美桜  鈴木仁  中田圭祐    嘉島陸  翔  ○  松田翔太    反町隆史  ○  木南晴夏  浜野謙太  堀内敬子  テット・ワダ  志賀廣太郎  高岡早紀  滝藤賢一  菊池桃子神尾葉子  「花のち晴れ～花男 Next Season～」  (集英社「少年ジャンプ+」連載)  吉田恵里香  (「センセイ君主」「ヒロイン失格」「レオン」ほか)【主題歌】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  石井康晴  (花男シリーズ、ウロボロスほか)◇番組HP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</si>
  <si>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初日の柔道で右手首を痛めてしまう晴(平野紫耀)。心配するC5メンバーだが、晴は落ち込んでいる暇はないと血気盛んだ。二日目の試合の朝、試合会場へ向かった音(杉咲花)は、晴と共に近衛が絡まれている現場に遭遇。その人物は自分を襲った犯人だった。さらに天馬(中川大志)も襲撃の黒幕が近衛だった事を知り、衝撃を受ける…。果たして音を巡る晴と天馬の“恋の決闘"の行方は!?それぞれが下した最後の決断とは--。</t>
  </si>
  <si>
    <t>1804_TBS_金22</t>
  </si>
  <si>
    <t>あなたには帰る家がある</t>
  </si>
  <si>
    <t>番組名金曜ドラマ「あなたには帰る家がある」頑張る女性達へ!笑って泣ける妻のホンネ物語</t>
  </si>
  <si>
    <t>「夫婦は家族だけど、他人」…100人以上の女性に取材した、リアルなエピソードが満載!コミカルな夫婦の『あるある』と、ケンカしつつもどこかで繋がっている『夫婦の絆』ー笑って泣けて、最後はホッコリ!家事に仕事に大忙しの主人公・真弓(中谷美紀)の奮闘ぶりが勇気をくれる物語。しかしその時…夫が抱えた「秘密」によって、夫婦に最大の危機が!1番近くにいるからこそ謎だらけの夫の素顔…その時、妻はどうするのか!?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</si>
  <si>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夫婦は家族だけど、他人」…100人以上の女性に取材した、リアルなエピソードが満載!コミカルな夫婦の『あるある』と、ケンカしつつもどこかで繋がっている『夫婦の絆』ー笑って泣けて、最後はホッコリ!家事に仕事に大忙しの主人公・真弓(中谷美紀)の奮闘ぶりが勇気をくれる物語。しかしその時…夫が抱えた「秘密」によって、夫婦に最大の危機が!1番近くにいるからこそ謎だらけの夫の素顔…その時、妻はどうするのか!?</t>
  </si>
  <si>
    <t>番組名金曜ドラマ「あなたには帰る家がある」(2)夫の怪しい行動…そして妻は、全てを知った!</t>
  </si>
  <si>
    <t>人妻である綾子と関係を持った秀明は、急に家事を手伝ったり、料理を誉めたり、かと思うと、ホテルで支払ったカード明細をコソコソ探したりと、真弓がネットで調べた『夫の浮気の兆候』そのものの挙動不審ぶり。まさかと思う真弓と隠したい秀明のコミカルな駆け引きも見所。そんな時、綾子の夫・茄子田太郎(ユースケ・サンタマリア)が真弓の前に…しかも真弓の自宅には、綾子が現れたー!?早くも全てを知る妻…一体どうなる!?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</si>
  <si>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人妻である綾子と関係を持った秀明は、急に家事を手伝ったり、料理を誉めたり、かと思うと、ホテルで支払ったカード明細をコソコソ探したりと、真弓がネットで調べた『夫の浮気の兆候』そのものの挙動不審ぶり。まさかと思う真弓と隠したい秀明のコミカルな駆け引きも見所。そんな時、綾子の夫・茄子田太郎(ユースケ・サンタマリア)が真弓の前に…しかも真弓の自宅には、綾子が現れたー!?早くも全てを知る妻…一体どうなる!?</t>
  </si>
  <si>
    <t>番組名金曜ドラマ「あなたには帰る家がある」(3)遂に地獄が始まる…浮気相手と悪夢のBBQ!</t>
  </si>
  <si>
    <t>夫・秀明(玉木宏)のカード明細から『ホテル代』を発見した真弓。浮気の証拠をつかむため行動を起こす!そうとは知らず、秀明と綾子(木村多江)は思いを募らせ、密会を計画…その現場に真弓が踏み込む!とんでもない結末が!?一方、綾子の夫・太郎はなぜか両夫婦そろってのBBQを提案…秀明に秘かな視線を送る綾子、いぶかしむ真弓…遂に女たちの直接対決!更に太郎の目に浮かぶ企みの色…2組の夫婦の心理戦クライマックス!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@anaie_tbs  https://twitter.com/anaie_tbs  ◇instagram  https://www.instagram.com/anaie_tbs/  番組の内容と放送時間は変更になる可能性があります。</t>
  </si>
  <si>
    <t>夫・秀明(玉木宏)のカード明細から『ホテル代』を発見した真弓。浮気の証拠をつかむため行動を起こす!そうとは知らず、秀明と綾子(木村多江)は思いを募らせ、密会を計画…その現場に真弓が踏み込む!とんでもない結末が!?一方、綾子の夫・太郎はなぜか両夫婦そろってのBBQを提案…秀明に秘かな視線を送る綾子、いぶかしむ真弓…遂に女たちの直接対決!更に太郎の目に浮かぶ企みの色…2組の夫婦の心理戦クライマックス!</t>
  </si>
  <si>
    <t>番組名金曜ドラマ「あなたには帰る家がある」(4)夫のオンナは年上!?プライドかけた直接対決</t>
  </si>
  <si>
    <t>夫・秀明(玉木宏)の浮気相手は年上の人妻・綾子(木村多江)だった…激怒しつつも傷ついた真弓(中谷美紀)。秀明は今更ながら家族の大切さを思い知り、綾子に別れを告げるが…不気味な笑みを浮かべた綾子は、まさかの行動に出る!なんと真弓の職場に現れた綾子が手にしていたのは…!?まさに狂気の大暴走!守る女と奪う女…ついに直接対決を迎えた二人の女!常軌を逸した綾子の攻撃に、真弓は家族を守ることができるのかー!?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</si>
  <si>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夫・秀明(玉木宏)の浮気相手は年上の人妻・綾子(木村多江)だった…激怒しつつも傷ついた真弓(中谷美紀)。秀明は今更ながら家族の大切さを思い知り、綾子に別れを告げるが…不気味な笑みを浮かべた綾子は、まさかの行動に出る!なんと真弓の職場に現れた綾子が手にしていたのは…!?まさに狂気の大暴走!守る女と奪う女…ついに直接対決を迎えた二人の女!常軌を逸した綾子の攻撃に、真弓は家族を守ることができるのかー!?</t>
  </si>
  <si>
    <t>番組名金曜ドラマ「あなたには帰る家がある」(5)激怒のモンスター夫が暴走ー愛娘の危機!</t>
  </si>
  <si>
    <t>浮気がバレた秀明(玉木宏)は、妻・真弓(中谷美紀)への罪滅ぼしとして、家族旅行を計画。しかし、旅先に太郎(ユースケ・サンタマリア)と綾子(木村多江)が姿を表す!綾子の浮気相手が秀明だと気づいた太郎は暴走…狂気の行動に出る!その狙いは娘の麗奈!?一方、秀明への想いを断ち切れない綾子は、一人になった真弓の前に現れとんでもない行動に…迫り来る狂気のモンスター夫婦に、立ち向かうことが出来るのか!?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</si>
  <si>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浮気がバレた秀明(玉木宏)は、妻・真弓(中谷美紀)への罪滅ぼしとして、家族旅行を計画。しかし、旅先に太郎(ユースケ・サンタマリア)と綾子(木村多江)が姿を表す!綾子の浮気相手が秀明だと気づいた太郎は暴走…狂気の行動に出る!その狙いは娘の麗奈!?一方、秀明への想いを断ち切れない綾子は、一人になった真弓の前に現れとんでもない行動に…迫り来る狂気のモンスター夫婦に、立ち向かうことが出来るのか!?</t>
  </si>
  <si>
    <t>番組名金曜ドラマ「あなたには帰る家がある」今夜全て終わる…真のモンスターが自宅を襲撃!?</t>
  </si>
  <si>
    <t>夫婦の絆、終焉ー綾子の相手が秀明だと知ったのに、何もせず姿を消した太郎(ユースケ・サンタマリア)。その狙いとは!?一方、綾子が娘・麗奈(桜田ひより)に接近したことを知り真弓は怒り爆発!徹底抗戦を決意するも、綾子の暴走はもう止まらない!秀明への歪んだ愛情を募らせ、なんと自宅に乗り込むという恐怖の事態に…狂気の大乱闘!そして太郎までも!?極限状態の中、真弓は決断を下す!物語は完結へー衝撃の結末とは!?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</si>
  <si>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夫婦の絆、終焉ー綾子の相手が秀明だと知ったのに、何もせず姿を消した太郎(ユースケ・サンタマリア)。その狙いとは!?一方、綾子が娘・麗奈(桜田ひより)に接近したことを知り真弓は怒り爆発!徹底抗戦を決意するも、綾子の暴走はもう止まらない!秀明への歪んだ愛情を募らせ、なんと自宅に乗り込むという恐怖の事態に…狂気の大乱闘!そして太郎までも!?極限状態の中、真弓は決断を下す!物語は完結へー衝撃の結末とは!?</t>
  </si>
  <si>
    <t>番組名金曜ドラマ「あなたには帰る家がある」新章!別居したリスタート夫婦に魔女の波状攻撃</t>
  </si>
  <si>
    <t>離婚を決断し、晴れ晴れした気持ちで手続きを進めていく真弓。一方の秀明は未練タラタラのまま、家を追い出され狭いアパートでの一人暮らしに…茄子田家では太郎(ユースケ・サンタマリア)に離婚を拒まれた綾子がついに家出を強行。秀明のアパートに忍び込み「私に帰る家がなくなったのは誰のせい?」と問い詰める!新たな道を歩み始めた真弓と秀明に早くも降りかかる試練ー「終わりかけの夫婦」に起こるドンデン返しとは!!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</si>
  <si>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離婚を決断し、晴れ晴れした気持ちで手続きを進めていく真弓。一方の秀明は未練タラタラのまま、家を追い出され狭いアパートでの一人暮らしに…茄子田家では太郎(ユースケ・サンタマリア)に離婚を拒まれた綾子がついに家出を強行。秀明のアパートに忍び込み「私に帰る家がなくなったのは誰のせい?」と問い詰める!新たな道を歩み始めた真弓と秀明に早くも降りかかる試練ー「終わりかけの夫婦」に起こるドンデン返しとは!!</t>
  </si>
  <si>
    <t>番組名金曜ドラマ「あなたには帰る家がある」(8)娘の危機に元夫婦急接近…まさかの復縁?</t>
  </si>
  <si>
    <t>独身ライフを楽しむ真弓(中谷美紀)。新たな恋の気配も…しかし麗奈(桜田ひより)の様子がなんだかおかしい。娘の本音が分からず右往左往する真弓。それでも秀明(玉木宏)の力は借りるまい!と一人で解決を試みる。一方娘の危機に責任を感じた秀明は、覚悟を決め娘に向き合おうとする。太郎(ユースケ・サンタマリア)が真弓に、綾子(木村多江)が秀明に最接近!綾子がまさかの結婚宣言で事態は大混乱…中谷美紀　玉木宏　駿河太郎　高橋メアリージュン　桜田ひより　萩原利久　梅沢昌代　田村泰二郎　福地桃子　三木理紗子　鎌田将司　本田剛文(BOYS　AND　MEN)　小林豊(BOYS　AND　MEN)　八鍬有紗　望月京奈　辻本達規(BOYS　AND　MEN)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</si>
  <si>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独身ライフを楽しむ真弓(中谷美紀)。新たな恋の気配も…しかし麗奈(桜田ひより)の様子がなんだかおかしい。娘の本音が分からず右往左往する真弓。それでも秀明(玉木宏)の力は借りるまい!と一人で解決を試みる。一方娘の危機に責任を感じた秀明は、覚悟を決め娘に向き合おうとする。太郎(ユースケ・サンタマリア)が真弓に、綾子(木村多江)が秀明に最接近!綾子がまさかの結婚宣言で事態は大混乱…</t>
  </si>
  <si>
    <t>番組名金曜ドラマ「あなたには帰る家がある」(9)離婚したら恋が始まる…その時元夫は!?</t>
  </si>
  <si>
    <t>秀明と綾子がヨリを戻したと思い込み、どうにも苛立ちが収まらない真弓。一方、太郎(ユースケ・サンタマリア)と真弓が一緒にいるところを目撃した秀明は、二人が付き合い始めたのではと勘違いし大慌て!二人の仲を探ろうと真弓に接近することに。しかし折しも開催された圭介(駿河太郎)の店のカレーパーティーに、秀明を追ってきた綾子が乱入で、四つ巴の大騒動が勃発!?そしてそれを機に、真弓と太郎がまさかの急接近で…!?中谷美紀　玉木宏　駿河太郎　高橋メアリージュン　桜田ひより　萩原利久　梅沢昌代　田村泰二郎　福地桃子　三木理紗子　森口瑤子　鎌田将司　本田剛文(BOYS　AND　MEN)　小林豊(BOYS　AND　MEN)　八鍬有紗　望月京奈　辻本達規(BOYS　AND　MEN)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</si>
  <si>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秀明と綾子がヨリを戻したと思い込み、どうにも苛立ちが収まらない真弓。一方、太郎(ユースケ・サンタマリア)と真弓が一緒にいるところを目撃した秀明は、二人が付き合い始めたのではと勘違いし大慌て!二人の仲を探ろうと真弓に接近することに。しかし折しも開催された圭介(駿河太郎)の店のカレーパーティーに、秀明を追ってきた綾子が乱入で、四つ巴の大騒動が勃発!?そしてそれを機に、真弓と太郎がまさかの急接近で…!?</t>
  </si>
  <si>
    <t>番組名金曜ドラマ「あなたには帰る家がある」(10)宿敵の女の過去と秘密</t>
  </si>
  <si>
    <t>娘の麗奈と、茄子田家の息子・慎吾が行方不明に!綾子の仕業ではと焦る真弓だったが、子供達は2人だけで綾子の実家がある栃木に向かっていることが判明。真弓は犬猿の仲である綾子と子供達を追うため栃木に向かう。秀明(玉木宏)と太郎(ユースケ・サンタマリア)も合流し、2組の珍道中が繰り広げられる!旅の先に待ち受けていたのは、茄子田家の重大な秘密、そして太郎の涙だった。それを見た真弓がした衝撃の提案とは…!?中谷美紀　玉木宏　駿河太郎　高橋メアリージュン　桜田ひより　萩原利久　梅沢昌代　田村泰二郎　福地桃子　三木理紗子　本田剛文(BOYS　AND　MEN)　小林豊(BOYS　AND　MEN)　辻本達規(BOYS　AND　MEN)　　森口瑤子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</si>
  <si>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娘の麗奈と、茄子田家の息子・慎吾が行方不明に!綾子の仕業ではと焦る真弓だったが、子供達は2人だけで綾子の実家がある栃木に向かっていることが判明。真弓は犬猿の仲である綾子と子供達を追うため栃木に向かう。秀明(玉木宏)と太郎(ユースケ・サンタマリア)も合流し、2組の珍道中が繰り広げられる!旅の先に待ち受けていたのは、茄子田家の重大な秘密、そして太郎の涙だった。それを見た真弓がした衝撃の提案とは…!?</t>
  </si>
  <si>
    <t>番組名金曜ドラマ「あなたには帰る家がある」(11)帰る家はどこ?密室の激闘・本音爆発!</t>
  </si>
  <si>
    <t>真弓の「太郎と家族になる」という宣言に動揺を隠しきれない秀明と太郎。それは真弓が綾子の本心を引き出すために仕掛けた挑発だった。対する綾子も一歩も引かず、奇妙な夫婦交換が始まることに…そんな最中、4人がエレベーターに閉じ込められる。極限状態の中でそれぞれが本音を大暴露!女たちの最終決戦の火蓋が切って落とされた!果たして彼女たちの帰る家はどこなのか?家族の行方は?怒涛の最終回!!  中谷美紀　玉木宏　駿河太郎　高橋メアリージュン　桜田ひより　萩原利久　梅沢昌代　田村泰二郎　福地桃子　三木理紗子　辻本達規(BOYS　AND　MEN)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</si>
  <si>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 xml:space="preserve">真弓の「太郎と家族になる」という宣言に動揺を隠しきれない秀明と太郎。それは真弓が綾子の本心を引き出すために仕掛けた挑発だった。対する綾子も一歩も引かず、奇妙な夫婦交換が始まることに…そんな最中、4人がエレベーターに閉じ込められる。極限状態の中でそれぞれが本音を大暴露!女たちの最終決戦の火蓋が切って落とされた!果たして彼女たちの帰る家はどこなのか?家族の行方は?怒涛の最終回!!  </t>
  </si>
  <si>
    <t>1804_TBS_日21</t>
  </si>
  <si>
    <t>ブラックペアン</t>
  </si>
  <si>
    <t>番組名日曜劇場「ブラックペアン」#1　二宮和也日曜劇場初主演!!初回25分拡大SP!</t>
  </si>
  <si>
    <t>“神の手"を持つと称される外科医・佐伯清剛(内野聖陽)によって、難しい心臓手術が行われようとしていた。半年後に日本外科学会理事長選を控え、医療関係者が注目する重要な手術。しかし手術の最中、佐伯が受け持つ別の患者の容態が急変。医師たちが対応にあたるが状態は悪化する。そんなとき、手術室に一人の男が現れる。“オペ室の悪魔"と呼ばれる外科医・渡海征司郎(二宮和也)は、鮮やかなオペをしてみせるが…渡海征司郎・・・二宮和也、世良雅志・・・竹内涼真、花房美和・・・葵わかな  黒崎誠一郎・・・橋本さとし、藤原真琴・・・神野三鈴、猫田麻里・・・趣里  皆川妙子・・・山村紅葉、渡海春江・・・倍賞美津子、木下香織・・・加藤綾子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音楽・・・木村秀彬演出・・・福澤克雄  プロデューサー・・・伊與田英徳、川嶋龍太郎、峠田浩◇番組HP  http://www.tbs.co.jp/blackpean_tbs/  ◇twitter  https://twitter.com/blackpean_tbs  ◇instagram  https://www.instagram.com/blackpean_tbs/  番組の内容と放送時間は変更になる可能性があります。</t>
  </si>
  <si>
    <t>“神の手"を持つと称される外科医・佐伯清剛(内野聖陽)によって、難しい心臓手術が行われようとしていた。半年後に日本外科学会理事長選を控え、医療関係者が注目する重要な手術。しかし手術の最中、佐伯が受け持つ別の患者の容態が急変。医師たちが対応にあたるが状態は悪化する。そんなとき、手術室に一人の男が現れる。“オペ室の悪魔"と呼ばれる外科医・渡海征司郎(二宮和也)は、鮮やかなオペをしてみせるが…</t>
  </si>
  <si>
    <t>番組名日曜劇場「ブラックペアン」#2　手術はバクチ!?悪魔の手に身を委ねた夫婦の行方!</t>
  </si>
  <si>
    <t>“スナイプ"を持ち込んだ高階(小泉孝太郎)だが、術後トラブルで手術を行えずにいた。研修医の世良(竹内涼真)も、思い描いていた姿と現実のギャップに落ち込む。ある日救急できた患者小山は渡海(二宮和也)により一命を取り留めたが、更なる手術に難色を示す。渡海は痛烈な一言を投げかける。順番待ちの佐伯教授(内野聖陽)の手術を希望した矢先、高階が小山のスナイプ手術を提案。佐伯は了承するが、驚くべき条件を出す…。渡海征司郎・・・二宮和也、世良雅志・・・竹内涼真、花房美和・・・葵わかな  黒崎誠一郎・・・橋本さとし、藤原真琴・・・神野三鈴、猫田麻里・・・趣里  小山兼人・・・島田洋七、小山好恵・・・沢松奈生子、木下香織・・・加藤綾子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音楽・・・木村秀彬演出・・・田中健太  プロデューサー・・・伊與田英徳、川嶋龍太郎、峠田浩◇番組HP  http://www.tbs.co.jp/blackpean_tbs/  ◇twitter  https://twitter.com/blackpean_tbs  ◇instagram  https://www.instagram.com/blackpean_tbs/  番組の内容と放送時間は変更になる可能性があります。</t>
  </si>
  <si>
    <t>“スナイプ"を持ち込んだ高階(小泉孝太郎)だが、術後トラブルで手術を行えずにいた。研修医の世良(竹内涼真)も、思い描いていた姿と現実のギャップに落ち込む。ある日救急できた患者小山は渡海(二宮和也)により一命を取り留めたが、更なる手術に難色を示す。渡海は痛烈な一言を投げかける。順番待ちの佐伯教授(内野聖陽)の手術を希望した矢先、高階が小山のスナイプ手術を提案。佐伯は了承するが、驚くべき条件を出す…。</t>
  </si>
  <si>
    <t>番組名日曜劇場「ブラックペアン」#3　緊急同時手術!渡海が下した決断とは!</t>
  </si>
  <si>
    <t>結果が出せない高階(小泉孝太郎)は後がなくなっていた。そんなとき厚生労働省の次期事務次官候補である田村浩司(依田司)の息子・田村隼人(高地優吾)が東城大にやってくる。隼人はピアノコンクールを間近に控え、短期間での回復が見込めるスナイプ手術を希望するが術前検査で心臓に問題があることが発覚。高階は断腸の思いでスナイプ手術をあきらめる、と佐伯教授に告げるが、佐伯は渡海にスナイプ手術を行うよう命令し・・・渡海征司郎・・・二宮和也、世良雅志・・・竹内涼真、花房美和・・・葵わかな  黒崎誠一郎・・・橋本さとし、藤原真琴・・・神野三鈴、猫田麻里・・・趣里  田村隼人・・・高地優吾、田村浩司・・・依田司、渡海春江・・・倍賞美津子、木下香織・・・加藤綾子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音楽・・・木村秀彬演出・・・渡瀬暁彦  プロデューサー・・・伊與田英徳、川嶋龍太郎、峠田浩◇番組HP  http://www.tbs.co.jp/blackpean_tbs/  ◇twitter  https://twitter.com/blackpean_tbs  ◇instagram  https://www.instagram.com/blackpean_tbs/  番組の内容と放送時間は変更になる可能性があります。</t>
  </si>
  <si>
    <t>結果が出せない高階(小泉孝太郎)は後がなくなっていた。そんなとき厚生労働省の次期事務次官候補である田村浩司(依田司)の息子・田村隼人(高地優吾)が東城大にやってくる。隼人はピアノコンクールを間近に控え、短期間での回復が見込めるスナイプ手術を希望するが術前検査で心臓に問題があることが発覚。高階は断腸の思いでスナイプ手術をあきらめる、と佐伯教授に告げるが、佐伯は渡海にスナイプ手術を行うよう命令し・・・</t>
  </si>
  <si>
    <t>番組名日曜劇場「ブラックペアン」#4手術禁止の渡海!?手術成功率5%の小さな命を救うには</t>
  </si>
  <si>
    <t>スナイプ手術が成功し、東城大ではスナイプを大量に導入する方針を固めていた。そんな時、高階は帝華大時代に担当していた僧帽弁閉鎖不全の子供の患者を東城大に転院させる。血液が固まりにくい症状で出血を伴う手術は不可能ということもあり、高階は佐伯教授にスナイプ手術の実施を頼み込む。佐伯教授は渡海(二宮和也)を執刀医に指名。ところが、あろうことか渡海は指名を断ってしまい・・・渡海征司郎・・・二宮和也、世良雅志・・・竹内涼真、花房美和・・・葵わかな  黒崎誠一郎・・・橋本さとし、藤原真琴・・・神野三鈴、猫田麻里・・・趣里  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音楽・・・木村秀彬演出・・・田中健太  プロデューサー・・・伊與田英徳、川嶋龍太郎、峠田浩◇番組HP  http://www.tbs.co.jp/blackpean_tbs/  ◇twitter  https://twitter.com/blackpean_tbs  ◇instagram  https://www.instagram.com/blackpean_tbs/  番組の内容と放送時間は変更になる可能性があります。</t>
  </si>
  <si>
    <t>スナイプ手術が成功し、東城大ではスナイプを大量に導入する方針を固めていた。そんな時、高階は帝華大時代に担当していた僧帽弁閉鎖不全の子供の患者を東城大に転院させる。血液が固まりにくい症状で出血を伴う手術は不可能ということもあり、高階は佐伯教授にスナイプ手術の実施を頼み込む。佐伯教授は渡海(二宮和也)を執刀医に指名。ところが、あろうことか渡海は指名を断ってしまい・・・</t>
  </si>
  <si>
    <t>番組名日曜劇場「ブラックペアン」#5　手術ロボット「ダーウィン」VS渡海</t>
  </si>
  <si>
    <t>スナイプの論文を完成させた高階権太(小泉孝太郎)だったが、小春の術後の血液検査で心臓の中隔に感染が見つかる。西崎教授(市川猿之助)からは無理にでも退院させるよう言われるが、高階は再びオペを行うことに。だが小春の血液は固まりにくく手術は不可能な状態。渡海征司郎(二宮和也)は薬物治療への切り替えを進める。そこで高階は手術用ロボット「ダーウィン」での手術を提案し…渡海征司郎・・・二宮和也、世良雅志・・・竹内涼真、花房美和・・・葵わかな  黒崎誠一郎・・・橋本さとし、藤原真琴・・・神野三鈴、猫田麻里・・・趣里  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音楽・・・木村秀彬演出・・・渡瀬暁彦  プロデューサー・・・伊與田英徳、川嶋龍太郎、峠田浩◇番組HP  http://www.tbs.co.jp/blackpean_tbs/  ◇twitter  https://twitter.com/blackpean_tbs  ◇instagram  https://www.instagram.com/blackpean_tbs/  番組の内容と放送時間は変更になる可能性があります。</t>
  </si>
  <si>
    <t>スナイプの論文を完成させた高階権太(小泉孝太郎)だったが、小春の術後の血液検査で心臓の中隔に感染が見つかる。西崎教授(市川猿之助)からは無理にでも退院させるよう言われるが、高階は再びオペを行うことに。だが小春の血液は固まりにくく手術は不可能な状態。渡海征司郎(二宮和也)は薬物治療への切り替えを進める。そこで高階は手術用ロボット「ダーウィン」での手術を提案し…</t>
  </si>
  <si>
    <t>番組名日曜劇場「ブラックペアン」#6渡海の母が緊急搬送!母の手術に渡海が下した決断とは</t>
  </si>
  <si>
    <t>ある日、東城大に渡海(二宮和也)の母・春江(倍賞美津子)が搬送される。黒崎(橋本さとし)の緊急手術で腫瘍は取り除かれ危機を脱するが、術後の検査で一部見落としがあり腫瘍がまだ残っていたことが発覚。  渡海はそのことを医療過誤と責め立て、佐伯教授(内野聖陽)が再度執刀するという案をはねつけ、さらには東城大に和解金を要求する。果たして、春江の手術はどうなるのか・・・。渡海征司郎・・・二宮和也、世良雅志・・・竹内涼真、花房美和・・・葵わかな  黒崎誠一郎・・・橋本さとし、藤原真琴・・・神野三鈴、猫田麻里・・・趣里  富沢雅之・・・福澤朗、渡海春江・・・倍賞美津子、木下香織・・・加藤綾子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音楽・・・木村秀彬演出・・・福澤克雄  プロデューサー・・・伊與田英徳、川嶋龍太郎、峠田浩◇番組HP  http://www.tbs.co.jp/blackpean_tbs/  ◇twitter  https://twitter.com/blackpean_tbs  ◇instagram  https://www.instagram.com/blackpean_tbs/  番組の内容と放送時間は変更になる可能性があります。</t>
  </si>
  <si>
    <t>ある日、東城大に渡海(二宮和也)の母・春江(倍賞美津子)が搬送される。黒崎(橋本さとし)の緊急手術で腫瘍は取り除かれ危機を脱するが、術後の検査で一部見落としがあり腫瘍がまだ残っていたことが発覚。  渡海はそのことを医療過誤と責め立て、佐伯教授(内野聖陽)が再度執刀するという案をはねつけ、さらには東城大に和解金を要求する。果たして、春江の手術はどうなるのか・・・。</t>
  </si>
  <si>
    <t>番組名日曜劇場「ブラックペアン」#7　渡海がついにライバル病院へ!!</t>
  </si>
  <si>
    <t>渡海征司郎(二宮和也)が帝華大へと引き抜かれ東城大を去った。一方、カエサルを推進する厚労省の富沢(福澤朗)が二度目の治験を行うよう佐伯教授(内野聖陽)の元を訪ね、一人の患者の治験を持ちかける。東城大は患者の山本祥子(相武紗季)を治験者にする為、治験コーディネーターの香織(加藤綾子)は祥子へ説明しに行く。ところが・・・渡海征司郎・・・二宮和也、世良雅志・・・竹内涼真、花房美和・・・葵わかな、  黒崎誠一郎・・・橋本さとし、藤原真琴・・・神野三鈴、猫田麻里・・・趣里  山本祥子・・・相武紗季、渡海春江・・・倍賞美津子、木下香織・・・加藤綾子  池永秀人・・・加藤浩次、西崎啓介・・・市川猿之助、  高階権太・・・小泉孝太郎、佐伯清剛・・・内野聖陽海堂尊「新装版ブラックペアン1988」(講談社文庫)  丑尾健太郎主題歌・・・小田和正「この道を」(アリオラジャパン)  音楽・・・木村秀彬演出・・・福澤克雄  プロデューサー・・・伊與田英徳、川嶋龍太郎、峠田浩◇番組HP  http://www.tbs.co.jp/blackpean_tbs/  ◇twitter  https://twitter.com/blackpean_tbs  ◇instagram  https://www.instagram.com/blackpean_tbs/  番組の内容と放送時間は変更になる可能性があります。</t>
  </si>
  <si>
    <t>渡海征司郎(二宮和也)が帝華大へと引き抜かれ東城大を去った。一方、カエサルを推進する厚労省の富沢(福澤朗)が二度目の治験を行うよう佐伯教授(内野聖陽)の元を訪ね、一人の患者の治験を持ちかける。東城大は患者の山本祥子(相武紗季)を治験者にする為、治験コーディネーターの香織(加藤綾子)は祥子へ説明しに行く。ところが・・・</t>
  </si>
  <si>
    <t>番組名日曜劇場「ブラックペアン」#8　最終章・ペアンの謎に迫る!佐伯教授と患者の秘密!</t>
  </si>
  <si>
    <t>国産の手術支援ロボット・カエサルの治験も最終段階に入り、治験でケースを重ねてきた東城大を差し置いて、帝華大主導でお披露目の手術をしたいという西崎教授。そこで、佐伯は西崎が執刀医となる事を提案、東城大と帝華大の合同チームが誕生する。帝華大のスタッフは、手術のシミュレーションを仕切る渡海の姿に圧倒される。一方、佐伯が大学を不在にすることが増えた事を不審に思い、渡海は世良に、後をつけるようけしかける。渡海征司郎・・・二宮和也、世良雅志・・・竹内涼真、花房美和・・・葵わかな  黒崎誠一郎・・・橋本さとし、藤原真琴・・・神野三鈴、猫田麻里・・・趣里  富沢雅之・・・福澤朗、坂口克也・・・高橋洋、小林院長・・・上杉祥三、  小林隆一・・・はやしん、木下香織・・・加藤綾子  池永英人・・・加藤浩次、西崎啓介・・・市川猿之助  高階権太・・・小泉孝太郎、佐伯清剛・・・内野聖陽  海堂尊「新装版ブラックペアン1988」(講談社文庫)  丑尾健太郎主題歌・・・小田和正「この道を」(アリオラジャパン)  音楽・・・木村秀彬演出・・・福澤克雄  プロデューサー・・・伊與田英徳、川嶋龍太郎、峠田浩◇番組HP  http://www.tbs.co.jp/blackpean_tbs/  ◇twitter  https://twitter.com/blackpean_tbs  ◇instagram  https://www.instagram.com/blackpean_tbs/  番組の内容と放送時間は変更になる可能性があります。</t>
  </si>
  <si>
    <t>国産の手術支援ロボット・カエサルの治験も最終段階に入り、治験でケースを重ねてきた東城大を差し置いて、帝華大主導でお披露目の手術をしたいという西崎教授。そこで、佐伯は西崎が執刀医となる事を提案、東城大と帝華大の合同チームが誕生する。帝華大のスタッフは、手術のシミュレーションを仕切る渡海の姿に圧倒される。一方、佐伯が大学を不在にすることが増えた事を不審に思い、渡海は世良に、後をつけるようけしかける。</t>
  </si>
  <si>
    <t>番組名日曜劇場「ブラックペアン」#9　20分拡大!渡海が秘密に迫る!</t>
  </si>
  <si>
    <t>佐伯教授(内野聖陽)が倒れた。検査の結果、心臓部に疾患が見つかる。早急に対応が必要だが、この難しいオペができるのは東城大では渡海(二宮和也)しかいない。そのころ、渡海はある患者を探して、さくら病院に乗り込むが、目当ての患者はおらず、そのカギを握るのは佐伯のみ。渡海は佐伯を助けたあとに真の目的を達成する、と世良(竹内涼真)に宣言する。ところが、佐伯は渡海の執刀を拒み・・・渡海征司郎・・・二宮和也、世良雅志・・・竹内涼真、花房美和・・・葵わかな  黒崎誠一郎・・・橋本さとし、藤原真琴・・・神野三鈴、猫田麻里・・・趣里  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音楽・・・木村秀彬演出・・・渡瀬暁彦  プロデューサー・・・伊與田英徳、川嶋龍太郎、峠田浩◇番組HP  http://www.tbs.co.jp/blackpean_tbs/  ◇twitter  https://twitter.com/blackpean_tbs  ◇instagram  https://www.instagram.com/blackpean_tbs/  番組の内容と放送時間は変更になる可能性があります。</t>
  </si>
  <si>
    <t>佐伯教授(内野聖陽)が倒れた。検査の結果、心臓部に疾患が見つかる。早急に対応が必要だが、この難しいオペができるのは東城大では渡海(二宮和也)しかいない。そのころ、渡海はある患者を探して、さくら病院に乗り込むが、目当ての患者はおらず、そのカギを握るのは佐伯のみ。渡海は佐伯を助けたあとに真の目的を達成する、と世良(竹内涼真)に宣言する。ところが、佐伯は渡海の執刀を拒み・・・</t>
  </si>
  <si>
    <t>番組名日曜劇場「ブラックペアン」最終回　さらば渡海!二人の天才の宿命とは・・・</t>
  </si>
  <si>
    <t>倒れた佐伯教授の緊急手術を行った渡海だが、あくまでも応急処置であり、完治させるための再手術を行う条件として、自分が探している“飯沼達次"の居場所を明らかにする事を佐伯に求める。しかし佐伯は「命よりも大事な物がある」とそれを拒み、外科学会に出席する為に無理を押して東京に向かう。  一方東城大では、美和が藤原師長の命令で秘密裏に担当していた患者の容体が急変する。それは高階や香織の知る所となり・・・渡海征司郎・・・二宮和也、世良雅志・・・竹内涼真、花房美和・・・葵わかな  黒崎誠一郎・・・橋本さとし、藤原真琴・・・神野三鈴、猫田麻里・・・趣里  守屋信明・・・志垣太郎、坂口克也・・・高橋洋、大林孝道・・・三遊亭白鳥  渡海一郎・・・辻萬長、飯沼達次・・・山本亨、渡海春江・・・倍賞美津子木下香織・・・加藤綾子、池永英人・・・加藤浩次、西崎啓介・・・市川猿之助  高階権太・・・小泉孝太郎、佐伯清剛・・・内野聖陽海堂尊「新装版ブラックペアン1988」(講談社文庫)  丑尾健太郎主題歌・・・小田和正「この道を」(アリオラジャパン)  音楽・・・木村秀彬演出・・・福澤克雄  プロデューサー・・・伊與田英徳、川嶋龍太郎、峠田浩◇番組HP  http://www.tbs.co.jp/blackpean_tbs/  ◇twitter  https://twitter.com/blackpean_tbs  ◇instagram  https://www.instagram.com/blackpean_tbs/  番組の内容と放送時間は変更になる可能性があります。</t>
  </si>
  <si>
    <t>倒れた佐伯教授の緊急手術を行った渡海だが、あくまでも応急処置であり、完治させるための再手術を行う条件として、自分が探している“飯沼達次"の居場所を明らかにする事を佐伯に求める。しかし佐伯は「命よりも大事な物がある」とそれを拒み、外科学会に出席する為に無理を押して東京に向かう。  一方東城大では、美和が藤原師長の命令で秘密裏に担当していた患者の容体が急変する。それは高階や香織の知る所となり・・・</t>
  </si>
  <si>
    <t>1801_TBS_火22</t>
  </si>
  <si>
    <t>きみが心に棲みついた</t>
  </si>
  <si>
    <t>番組名火曜ドラマ「きみが心に棲みついた」　第1話</t>
  </si>
  <si>
    <t>今日子(吉岡里帆)は、人生初の合コンに参加した。すぐに挙動不審になってしまう今日子は、合コンでも焦って口走り、周りをドン引きさせてしまう。漫画編集者の吉崎(桐谷健太)との出会いで、自分を変えるために動き出そうとしたその時、大学時代に強く惹かれ、その感情を利用して今日子をひどく傷つけた星名(向井理)に呼び止められた。一番会いたくて、一番会いたくなかった星名との再会に今日子の心は大きく揺れる…。小川今日子・・・吉岡里帆  吉崎幸次郎・・・桐谷健太    飯田彩香・・・石橋杏奈  白崎達夫・・・長谷川朝晴  為末れいか・・・田中真琴    スズキ次郎・・・ムロツヨシ  八木泉・・・鈴木紗理奈  堀田麻衣子・・・瀬戸朝香  星名漣・・・向井理天堂きりん「きみが心に棲みついた」「きみが心に棲みついたS」(祥伝社フィールコミックス)  吉澤智子主題歌:E-girls「Pain, pain」  挿入歌:MONDO GROSSO 「偽りのシンパシー」演出:福田亮介  プロデューサー:佐藤敦司◇番組HP  http://www.tbs.co.jp/kimisumi/  ◇twitter  @kimisumi_tbs  https://twitter.com/kimisumi_tbs  ◇instagram  https://www.instagram.com/kimisumi_tbs/  番組の内容と放送時間は変更になる場合があります。</t>
  </si>
  <si>
    <t>今日子(吉岡里帆)は、人生初の合コンに参加した。すぐに挙動不審になってしまう今日子は、合コンでも焦って口走り、周りをドン引きさせてしまう。漫画編集者の吉崎(桐谷健太)との出会いで、自分を変えるために動き出そうとしたその時、大学時代に強く惹かれ、その感情を利用して今日子をひどく傷つけた星名(向井理)に呼び止められた。一番会いたくて、一番会いたくなかった星名との再会に今日子の心は大きく揺れる…。</t>
  </si>
  <si>
    <t>番組名火曜ドラマ「きみが心に棲みついた」　第2話</t>
  </si>
  <si>
    <t>今日子(吉岡里帆)は星名(向井理)が率いるプロジェクトチームに参加することに。星名が何か仕掛けてくるのではないかと今日子は不安でいっぱいになってしまう。そんな時、堀田から吉崎(桐谷健太)が会社を訪れると聞き、喜び勇んだ今日子はハイヒールにミニスカートという格好で出社。そしてその勢いのまま、仕事以外で関わるつもりはないと星名の誘いを断ることに成功するが吉崎とはすれ違い続けてしまい・・・小川今日子・・・吉岡里帆  吉崎幸次郎・・・桐谷健太    飯田彩香・・・石橋杏奈  白崎達夫・・・長谷川朝晴  為末れいか・・・田中真琴    スズキ次郎・・・ムロツヨシ  八木泉・・・鈴木紗理奈  堀田麻衣子・・・瀬戸朝香  星名漣・・・向井理天堂きりん「きみが心に棲みついた」「きみが心に棲みついたS」(祥伝社フィールコミックス)  吉澤智子主題歌:E-girls「Pain, pain」  挿入歌:MONDO GROSSO 「偽りのシンパシー」演出:福田亮介  プロデューサー:佐藤敦司◇番組HP  http://www.tbs.co.jp/kimisumi/  ◇twitter  @kimisumi_tbs  https://twitter.com/kimisumi_tbs  ◇instagram  https://www.instagram.com/kimisumi_tbs/  番組の内容と放送時間は変更になる場合があります。</t>
  </si>
  <si>
    <t>今日子(吉岡里帆)は星名(向井理)が率いるプロジェクトチームに参加することに。星名が何か仕掛けてくるのではないかと今日子は不安でいっぱいになってしまう。そんな時、堀田から吉崎(桐谷健太)が会社を訪れると聞き、喜び勇んだ今日子はハイヒールにミニスカートという格好で出社。そしてその勢いのまま、仕事以外で関わるつもりはないと星名の誘いを断ることに成功するが吉崎とはすれ違い続けてしまい・・・</t>
  </si>
  <si>
    <t>番組名火曜ドラマ「きみが心に棲みついた」　第3話</t>
  </si>
  <si>
    <t>小川今日子・・・吉岡里帆  吉崎幸次郎・・・桐谷健太    飯田彩香・・・石橋杏奈  白崎達夫・・・長谷川朝晴  為末れいか・・・田中真琴    スズキ次郎・・・ムロツヨシ  八木泉・・・鈴木紗理奈  堀田麻衣子・・・瀬戸朝香  星名漣・・・向井理天堂きりん「きみが心に棲みついた」「きみが心に棲みついたS」(祥伝社フィールコミックス)  吉澤智子主題歌:E-girls「Pain, pain」  挿入歌:MONDO GROSSO 「偽りのシンパシー」演出:福田亮介  プロデューサー:佐藤敦司◇番組HP  http://www.tbs.co.jp/kimisumi/  ◇twitter  @kimisumi_tbs  https://twitter.com/kimisumi_tbs  ◇instagram  https://www.instagram.com/kimisumi_tbs/  番組の内容と放送時間は変更になる場合があります。</t>
  </si>
  <si>
    <t>番組名火曜ドラマ「きみが心に棲みついた」第4話“最低男が大パニック、誠実男の宣戦布告"</t>
  </si>
  <si>
    <t>星名(向井理)に命じられ下着姿でランウェイを歩いた今日子(吉岡里帆)は、星名に優しい言葉をかけられ舞い上がる。その勢いで生地探しに励むが、八木(鈴木紗理奈)の納得する生地を見つけられず、星名が今日子を担当から外そうとする。星名に詰め寄る今日子だったが、反対に威圧的な言葉を受ける。今日子に元恋人・映美(中村アン)とのキスを見られた吉崎(桐谷健太)は、仕事に集中できない。今日子が気になる存在であることを自覚し始める。今日子は仕事の不調からか、吉崎に心無いメールを送ったことを後悔する。しかし、吉崎の言葉に勇気づけられ、再度プロジェクトに取り組む。そして、完成した試作品を発表することになるが…。小川今日子・・・吉岡里帆  吉崎幸次郎・・・桐谷健太    飯田彩香・・・石橋杏奈  成川映美・・・中村アン  白崎達夫・・・長谷川朝晴  為末れいか・・・田中真琴  牧村英二・・・山岸門人  稲垣栞里・・・周本絵梨香  池脇久美子・・・杉本彩    スズキ次郎・・・ムロツヨシ    八木泉・・・鈴木紗理奈  堀田麻衣子・・・瀬戸朝香    星名漣・・・向井理天堂きりん「きみが心に棲みついた」「きみが心に棲みついたS」(祥伝社フィールコミックス)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演出:水田成英◇番組HP  http://www.tbs.co.jp/kimisumi/  ◇twitter  @kimisumi_tbs  https://twitter.com/kimisumi_tbs  ◇instagram  https://www.instagram.com/kimisumi_tbs/  番組の内容と放送時間は変更になる場合があります。</t>
  </si>
  <si>
    <t>星名(向井理)に命じられ下着姿でランウェイを歩いた今日子(吉岡里帆)は、星名に優しい言葉をかけられ舞い上がる。その勢いで生地探しに励むが、八木(鈴木紗理奈)の納得する生地を見つけられず、星名が今日子を担当から外そうとする。星名に詰め寄る今日子だったが、反対に威圧的な言葉を受ける。今日子に元恋人・映美(中村アン)とのキスを見られた吉崎(桐谷健太)は、仕事に集中できない。今日子が気になる存在であることを自覚し始める。今日子は仕事の不調からか、吉崎に心無いメールを送ったことを後悔する。しかし、吉崎の言葉に勇気づけられ、再度プロジェクトに取り組む。そして、完成した試作品を発表することになるが…。</t>
  </si>
  <si>
    <t>番組名火曜ドラマ「きみが心に棲みついた」　第5話　大好きです!BBQでキス&amp;ガチバトル</t>
  </si>
  <si>
    <t>今日子(吉岡里帆)への攻撃を吉崎(桐谷健太)に邪魔され、不愉快な星名(向井理)。「吉崎の化けの皮を剥がしてやる」という星名の言葉に今日子は青ざめる。吉崎に迷惑がかかることを恐れる今日子は、吉崎からのメールに驚愕。吉崎が星名とバーで一緒にいる写真が添付されていた。しかも、一緒にバーベキューに行くという。慌てた今日子は吉崎を星名から守るため、堀田(瀬戸朝香)たちを誘って参加を決める。今日子の様子に違和感を抱く堀田と八木(鈴木紗理奈)は、今日子のトラウマの元凶である大学時代の先輩が星名であることを突き止める。  ついにバーベキューが始まる。今日子にとっては嬉しくない大学時代の知り合いが次々と現れ…。小川今日子・・・吉岡里帆  吉崎幸次郎・・・桐谷健太    飯田彩香・・・石橋杏奈  成川映美・・・中村アン  為末れいか・・・田中真琴  牧村英二・・・山岸門人  稲垣栞里・・・周本絵梨香  市ノ瀬高文・・・西村元貴  小野寺レイコ…小林恵美  谷山祥子…星野園美    スズキ次郎・・・ムロツヨシ    八木泉・・・鈴木紗理奈  堀田麻衣子・・・瀬戸朝香    星名漣・・・向井理天堂きりん「きみが心に棲みついた」「きみが心に棲みついたS」(祥伝社フィールコミックス)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演出:水田成英◇番組HP  http://www.tbs.co.jp/kimisumi/  ◇twitter  @kimisumi_tbs  https://twitter.com/kimisumi_tbs  ◇instagram  https://www.instagram.com/kimisumi_tbs/  番組の内容と放送時間は変更になる場合があります。</t>
  </si>
  <si>
    <t>今日子(吉岡里帆)への攻撃を吉崎(桐谷健太)に邪魔され、不愉快な星名(向井理)。「吉崎の化けの皮を剥がしてやる」という星名の言葉に今日子は青ざめる。吉崎に迷惑がかかることを恐れる今日子は、吉崎からのメールに驚愕。吉崎が星名とバーで一緒にいる写真が添付されていた。しかも、一緒にバーベキューに行くという。慌てた今日子は吉崎を星名から守るため、堀田(瀬戸朝香)たちを誘って参加を決める。今日子の様子に違和感を抱く堀田と八木(鈴木紗理奈)は、今日子のトラウマの元凶である大学時代の先輩が星名であることを突き止める。  ついにバーベキューが始まる。今日子にとっては嬉しくない大学時代の知り合いが次々と現れ…。</t>
  </si>
  <si>
    <t>番組名火曜ドラマ「きみが心に棲みついた」　第6話　吉岡里帆×桐谷健太×向井理</t>
  </si>
  <si>
    <t>バーベキューがきっかけで今日子(吉岡里帆)は吉崎(桐谷健太)と付き合うことになった。仕事中もついつい浮かれてしまう今日子は、星名(向井理)にだけは知られてはいけないと気を引き締める。ラプワールでは新ブランドのデザイン選定が佳境を迎えていた。だが最終プレゼン前にもかかわらず池脇部長(杉本彩)は堀田(瀬戸朝香)をデザイナーに指名。実は池脇と八木(鈴木紗理奈)には浅からぬ因縁があり、権力を盾にした意趣返しに八木はやる気をなくしてしまう。そんな八木に堀田は負け犬呼ばわりし…。一方、今日子は星名に最終プレゼンを予定通り行うよう頼みこむ。しぶしぶ承諾した星名は、衝撃のひとことを口にする。小川今日子・・・吉岡里帆  吉崎幸次郎・・・桐谷健太    飯田彩香・・・石橋杏奈  成川映美・・・中村アン  白崎達夫・・・長谷川朝晴  為末れいか・・・田中真琴  牧村英二・・・山岸門人  稲垣栞里・・・周本絵梨香  八幡俊輔・・・永岡佑  池脇久美子・・・杉本彩    スズキ次郎・・・ムロツヨシ    八木泉・・・鈴木紗理奈  堀田麻衣子・・・瀬戸朝香    星名漣・・・向井理天堂きりん「きみが心に棲みついた」「きみが心に棲みついたS」(祥伝社フィールコミックス)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演出:福田亮介◇番組HP  http://www.tbs.co.jp/kimisumi/  ◇twitter  @kimisumi_tbs  https://twitter.com/kimisumi_tbs  ◇instagram  https://www.instagram.com/kimisumi_tbs/  番組の内容と放送時間は変更になる場合があります。</t>
  </si>
  <si>
    <t>バーベキューがきっかけで今日子(吉岡里帆)は吉崎(桐谷健太)と付き合うことになった。仕事中もついつい浮かれてしまう今日子は、星名(向井理)にだけは知られてはいけないと気を引き締める。ラプワールでは新ブランドのデザイン選定が佳境を迎えていた。だが最終プレゼン前にもかかわらず池脇部長(杉本彩)は堀田(瀬戸朝香)をデザイナーに指名。実は池脇と八木(鈴木紗理奈)には浅からぬ因縁があり、権力を盾にした意趣返しに八木はやる気をなくしてしまう。そんな八木に堀田は負け犬呼ばわりし…。一方、今日子は星名に最終プレゼンを予定通り行うよう頼みこむ。しぶしぶ承諾した星名は、衝撃のひとことを口にする。</t>
  </si>
  <si>
    <t>番組名火曜ドラマ「きみが心に棲みついた」第7話　下劣男に神の制裁!?ついに結ばれる2人</t>
  </si>
  <si>
    <t>吉崎(桐谷健太)と付き合い始めた今日子(吉岡里帆)だが、吉崎の前に度々現れる映美(中村アン)に気を揉んでいた。ちゃんと聞こうと思っても言葉に出せないまま悶々と日々が過ぎていく。一方、ラプワールでは堀田(瀬戸朝香)と八木(鈴木紗理奈)の2名体制での新ブランド立ち上げが正式決定。しかしそこに飯田(石橋杏奈)の名前はない。何とか星名(向井理)とつながっていたい飯田はマンションを訪れるが冷たい言葉を投げかけられてしまう。ある日、今日子は吉崎があのストリップ動画を見てしまったことを知る。一番知られたくない過去を一番知られたくない人に知られてしまった。それを知った星名は会社でも覇気のない今日子に迫る。小川今日子・・・吉岡里帆  吉崎幸次郎・・・桐谷健太    飯田彩香・・・石橋杏奈  成川映美・・・中村アン  白崎達夫・・・長谷川朝晴  為末れいか・・・田中真琴  牧村英二・・・山岸門人  稲垣栞里・・・周本絵梨香  八幡俊輔・・・永岡佑  北園郁美・・・岡江久美子    スズキ次郎・・・ムロツヨシ    八木泉・・・鈴木紗理奈  堀田麻衣子・・・瀬戸朝香    星名漣・・・向井理天堂きりん「きみが心に棲みついた」「きみが心に棲みついたS」(祥伝社フィールコミックス)  脚本:吉澤智子音楽:出羽良影  主題歌:E-girls「Pain, pain」  挿入歌:MONDO GROSSO 「偽りのシンパシー」編成:磯山晶　池田尚弘　中島啓介  プロデューサー:佐藤敦司  演出:金子文紀◇番組HP  http://www.tbs.co.jp/kimisumi/  ◇twitter  @kimisumi_tbs  https://twitter.com/kimisumi_tbs  ◇instagram  https://www.instagram.com/kimisumi_tbs/  番組の内容と放送時間は変更になる場合があります。</t>
  </si>
  <si>
    <t>吉崎(桐谷健太)と付き合い始めた今日子(吉岡里帆)だが、吉崎の前に度々現れる映美(中村アン)に気を揉んでいた。ちゃんと聞こうと思っても言葉に出せないまま悶々と日々が過ぎていく。一方、ラプワールでは堀田(瀬戸朝香)と八木(鈴木紗理奈)の2名体制での新ブランド立ち上げが正式決定。しかしそこに飯田(石橋杏奈)の名前はない。何とか星名(向井理)とつながっていたい飯田はマンションを訪れるが冷たい言葉を投げかけられてしまう。ある日、今日子は吉崎があのストリップ動画を見てしまったことを知る。一番知られたくない過去を一番知られたくない人に知られてしまった。それを知った星名は会社でも覇気のない今日子に迫る。</t>
  </si>
  <si>
    <t>番組名火曜ドラマ「きみが心に棲みついた」第8話　最後のデート…悪魔の告白と涙のキス!</t>
  </si>
  <si>
    <t>ラプワールでは新ブランドの展示会が行われていた。そこにタレントの山藤アイカ(石田ニコル)が現れた。彼女とのコラボ企画が立ち上がるのだ。今日子(吉岡里帆)は新ブランドを離れてコラボ企画を担当するよう命じられる。これも星名(向井理)が糸を引いていると気づいた今日子は意を決して「今後一切かかわらないで欲しい」と星名に詰め寄る。すると、明日自分と付き合ったら関係を終わらせると星名は約束。新たな一歩を踏み出すため、今日子は吉崎(桐谷健太)に嘘をついてこのデートに臨む。翌日、何事にも動じないと心に決めた今日子だが、星名はあまりにも優しい。そして星名は「本気で逃げたいなら俺を殺せ」とつぶやく。小川今日子　・・・吉岡里帆  吉崎幸次郎　・・・桐谷健太    飯田彩香　　・・・石橋杏奈  成川映美　　・・・中村アン  白崎達夫　　・・・長谷川朝晴  為末れいか　・・・田中真琴  牧村英二　　・・・山岸門人  稲垣栞里　　・・・周本絵梨香  北園郁美　　・・・岡江久美子  山藤アイカ　・・・石田ニコルスズキ次郎　・・・ムロツヨシ    八木泉　　　・・・鈴木紗理奈  堀田麻衣子・・・瀬戸朝香    星名漣　　　・・・向井理天堂きりん「きみが心に棲みついた」「きみが心に棲みついたS」(祥伝社フィールコミックス)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演出:棚澤孝義◇番組HP  http://www.tbs.co.jp/kimisumi/  ◇twitter  @kimisumi_tbs  https://twitter.com/kimisumi_tbs  ◇instagram  https://www.instagram.com/kimisumi_tbs/  番組の内容と放送時間は変更になる場合があります。</t>
  </si>
  <si>
    <t>ラプワールでは新ブランドの展示会が行われていた。そこにタレントの山藤アイカ(石田ニコル)が現れた。彼女とのコラボ企画が立ち上がるのだ。今日子(吉岡里帆)は新ブランドを離れてコラボ企画を担当するよう命じられる。これも星名(向井理)が糸を引いていると気づいた今日子は意を決して「今後一切かかわらないで欲しい」と星名に詰め寄る。すると、明日自分と付き合ったら関係を終わらせると星名は約束。新たな一歩を踏み出すため、今日子は吉崎(桐谷健太)に嘘をついてこのデートに臨む。翌日、何事にも動じないと心に決めた今日子だが、星名はあまりにも優しい。そして星名は「本気で逃げたいなら俺を殺せ」とつぶやく。</t>
  </si>
  <si>
    <t>番組名火曜ドラマ「きみが心に棲みついた」第9話　復讐のパワハラ裁判、彼と決別する誕生日</t>
  </si>
  <si>
    <t>星名(向井理)との関係に終止符を打ち、今日子(吉岡里帆)は晴れやかな気分でいた。しかしその頃、吉崎(桐谷健太)は何者かから送られてきた動画データを見て驚く。今日子が星名とともに彼のマンションに入っていた…。翌日、吉崎は今日子の家を訪れ、星名との関係を問いただす。「過去に何があったか話したくなったら話してくれればいい」とは言ったが、実は嫉妬に狂いそうだったと本音をこぼす吉崎に今日子は母親との不仲や星名との過去を打ち明ける。吉崎から母親との関係を乗り越えるよう背中を押された今日子は数年ぶりに実家を訪れる決心をする。そんな時、ラプワール従業員全員に星名のパワハラ・セクハラを告発するメールが届き…小川今日子　・・・吉岡里帆  吉崎幸次郎　・・・桐谷健太    飯田彩香　　・・・石橋杏奈  成川映美　　・・・中村アン  白崎達夫　　・・・長谷川朝晴  為末れいか　・・・田中真琴  牧村英二　　・・・山岸門人  稲垣栞里　　・・・周本絵梨香  北園郁美　　・・・岡江久美子    スズキ次郎　・・・ムロツヨシ    八木泉　　　・・・鈴木紗理奈  堀田麻衣子・・・瀬戸朝香    星名漣　　　・・・向井理天堂きりん「きみが心に棲みついた」「きみが心に棲みついたS」(祥伝社フィールコミックス)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演出:水田成英◇番組HP  http://www.tbs.co.jp/kimisumi/  ◇twitter  @kimisumi_tbs  https://twitter.com/kimisumi_tbs  ◇instagram  https://www.instagram.com/kimisumi_tbs/  番組の内容と放送時間は変更になる場合があります。</t>
  </si>
  <si>
    <t>星名(向井理)との関係に終止符を打ち、今日子(吉岡里帆)は晴れやかな気分でいた。しかしその頃、吉崎(桐谷健太)は何者かから送られてきた動画データを見て驚く。今日子が星名とともに彼のマンションに入っていた…。翌日、吉崎は今日子の家を訪れ、星名との関係を問いただす。「過去に何があったか話したくなったら話してくれればいい」とは言ったが、実は嫉妬に狂いそうだったと本音をこぼす吉崎に今日子は母親との不仲や星名との過去を打ち明ける。吉崎から母親との関係を乗り越えるよう背中を押された今日子は数年ぶりに実家を訪れる決心をする。そんな時、ラプワール従業員全員に星名のパワハラ・セクハラを告発するメールが届き…</t>
  </si>
  <si>
    <t>番組名火曜ドラマ「きみが心に棲みついた」最終話“最後の決断…貴方に恋をして良かった"</t>
  </si>
  <si>
    <t>星名(向井理)への依存を理由に吉崎(桐谷健太)にフラれた今日子(吉岡里帆)だが、落ち込むことなく仕事に奮闘する。星名は帝光商事に戻され謹慎処分に。それ以降、今日子の元に連絡はなかった。そんなラプワールに星名の母・郁美(岡江久美子)が倒れたという連絡が入る。姉・祥子(星野園美)によると星名とは連絡がつかず帝光商事にもつながる人間がいないという。不安を感じた今日子は、郁美が入院する病院を訪れ、郁美から星名の生い立ちを聞かされる。一方、今日子と別れた吉崎は何故か星名のマンションを訪れていた。吉崎は星名が今日子に依存していることを指摘し、解放して欲しいと頭を下げる。そして…。小川今日子　・・・吉岡里帆  吉崎幸次郎　・・・桐谷健太    飯田彩香　・・・石橋杏奈  成川映美　・・・中村アン  白崎達夫　・・・長谷川朝晴  為末れいか・・・田中真琴  牧村英二　・・・山岸門人  稲垣栞里　・・・周本絵梨香  谷山祥子　・・・星野園美  北園郁美　・・・岡江久美子    スズキ次郎　・・・ムロツヨシ  八木泉　・・・鈴木紗理奈  堀田麻衣子　・・・瀬戸朝香    星名漣　・・・向井理天堂きりん「きみが心に棲みついた」「きみが心に棲みついたS」(祥伝社フィールコミックス)  脚本:吉澤智子音楽:出羽良影  主題歌:E-girls「Pain, pain」  挿入歌:MONDO GROSSO 「偽りのシンパシー」編成:磯山晶　池田尚弘　中島啓介  プロデューサー:佐藤敦司  演出:福田亮介◇番組HP  http://www.tbs.co.jp/kimisumi/  ◇twitter  @kimisumi_tbs  https://twitter.com/kimisumi_tbs  ◇instagram  https://www.instagram.com/kimisumi_tbs/  番組の内容と放送時間は変更になる場合があります。</t>
  </si>
  <si>
    <t>星名(向井理)への依存を理由に吉崎(桐谷健太)にフラれた今日子(吉岡里帆)だが、落ち込むことなく仕事に奮闘する。星名は帝光商事に戻され謹慎処分に。それ以降、今日子の元に連絡はなかった。そんなラプワールに星名の母・郁美(岡江久美子)が倒れたという連絡が入る。姉・祥子(星野園美)によると星名とは連絡がつかず帝光商事にもつながる人間がいないという。不安を感じた今日子は、郁美が入院する病院を訪れ、郁美から星名の生い立ちを聞かされる。一方、今日子と別れた吉崎は何故か星名のマンションを訪れていた。吉崎は星名が今日子に依存していることを指摘し、解放して欲しいと頭を下げる。そして…。</t>
  </si>
  <si>
    <t>1801_TBS_金22</t>
  </si>
  <si>
    <t>アンナチュラル</t>
  </si>
  <si>
    <t>番組名金曜ドラマ「アンナチュラル」第1話　&lt;名前のない毒&gt;</t>
  </si>
  <si>
    <t>解剖医の三澄ミコト(石原さとみ)が働く不自然死究明研究所(UDIラボ)は、異状死体や犯罪死体を引き受け解剖している。ある日、「心不全」で突然死した息子の死因に疑問をもった老夫婦がUDIを訪ねてくる。さっそくミコトたちが解剖に取り掛かると、薬毒物死の可能性が浮上。しかし、死因となった毒物が何かがどうしても特定できない。そんな折、突然死した男性の同僚も原因不明の突然死を遂げていたことが判明する・・・。死因を究明すべく、死亡した男性のアパートで調査を行うミコト。すると、遺体の第一発見者でもある婚約者・馬場路子(山口紗弥加)が現れる。 さらに馬場の仕事が劇薬毒物製品の開発だとが分かって…。石原さとみ　井浦新　窪田正孝　市川実日子　池田鉄洋　竜星涼　小笠原海(超特急)　飯尾和樹(ずん)　/　　北村有起哉　大倉孝二　/　薬師丸ひろ子(特別出演)　松重豊&lt;ゲスト&gt;山口紗弥加　福士誠治　村井國夫音楽:得田真裕　  主題歌:米津玄師「Lemon」(ソニー・ミュージックレコーズ)  野木亜紀子(「逃げるは恥だが役にたつ」「空飛ぶ広報室」「重版出来!」「図書館戦争シリーズ」)  プロデュース:新井順子　植田博樹(TBSテレビ)　  演出:塚原あゆ子◇番組HP　  http://www.tbs.co.jp/unnatural2018/    ◇番組Twitter　  @unnatural_tbs　  https://twitter.com/unnatural_tbs/  番組の内容と放送時間は変更になる場合があります。</t>
  </si>
  <si>
    <t>解剖医の三澄ミコト(石原さとみ)が働く不自然死究明研究所(UDIラボ)は、異状死体や犯罪死体を引き受け解剖している。ある日、「心不全」で突然死した息子の死因に疑問をもった老夫婦がUDIを訪ねてくる。さっそくミコトたちが解剖に取り掛かると、薬毒物死の可能性が浮上。しかし、死因となった毒物が何かがどうしても特定できない。そんな折、突然死した男性の同僚も原因不明の突然死を遂げていたことが判明する・・・。死因を究明すべく、死亡した男性のアパートで調査を行うミコト。すると、遺体の第一発見者でもある婚約者・馬場路子(山口紗弥加)が現れる。 さらに馬場の仕事が劇薬毒物製品の開発だとが分かって…。</t>
  </si>
  <si>
    <t>番組名金曜ドラマ「アンナチュラル」　第2話&lt;死にたがりの手紙&gt;</t>
  </si>
  <si>
    <t>ミコト(石原さとみ)たちは警察の依頼により、集団練炭自殺の現場に出向く。そこには4人の遺体があり、刑事の毛利(大倉孝二)は事件性がないと主張するが、ミコトは解剖をすると決める。解剖の結果、3人は一酸化炭素中毒で自殺と断定されたが、ひとりの少女は“凍死"だと判明する。さらに少女の胃の中からダイイングメッセージが発見されて…。事件は思わぬ方向へ進み、ミコトたちUDIメンバーが絶体絶命のピンチに!石原さとみ　井浦新　窪田正孝　市川実日子　池田鉄洋　竜星涼　小笠原海(超特急)　飯尾和樹(ずん)　/　　北村有起哉　大倉孝二　/　薬師丸ひろ子(特別出演)　松重豊    &lt;ゲスト&gt;松村沙友理(乃木坂46)  音楽:得田真裕　  主題歌:米津玄師「Lemon」(ソニー・ミュージックレコーズ)  野木亜紀子(「逃げるは恥だが役にたつ」「空飛ぶ広報室」「重版出来!」「図書館戦争シリーズ」)  プロデュース:新井順子　植田博樹(TBSテレビ)　  演出:塚原あゆ子◇番組HP　  http://www.tbs.co.jp/unnatural2018/    ◇番組Twitter　  @unnatural_tbs　  https://twitter.com/unnatural_tbs/  番組の内容と放送時間は変更になる場合があります。</t>
  </si>
  <si>
    <t>ミコト(石原さとみ)たちは警察の依頼により、集団練炭自殺の現場に出向く。そこには4人の遺体があり、刑事の毛利(大倉孝二)は事件性がないと主張するが、ミコトは解剖をすると決める。解剖の結果、3人は一酸化炭素中毒で自殺と断定されたが、ひとりの少女は“凍死"だと判明する。さらに少女の胃の中からダイイングメッセージが発見されて…。事件は思わぬ方向へ進み、ミコトたちUDIメンバーが絶体絶命のピンチに!</t>
  </si>
  <si>
    <t>番組名金曜ドラマ「アンナチュラル」　第3話　&lt;予定外の証人&gt;</t>
  </si>
  <si>
    <t>ミコト(石原さとみ)は“主婦ブロガー殺人事件"の裁判に代理証人として出廷することになる。被告は被害者の夫の要一(温水洋一)。殺害の動機は妻からの精神的DVによるものだと罪を認めていた。しかし裁判で証拠として提出された包丁が、本当の凶器ではないことに気づいたミコトは凶器の矛盾を指摘。さらに被告の要一も無実を訴え、裁判は大混乱に…!有罪率99.9%の検事の烏田(吹越満)とミコトの法廷バトルが始まる!石原さとみ　井浦新　窪田正孝　市川実日子　池田鉄洋　竜星涼　小笠原海(超特急)　飯尾和樹(ずん)　/　　北村有起哉　大倉孝二　/　薬師丸ひろ子(特別出演)　松重豊    &lt;ゲスト&gt;吹越満　温水洋一　大谷亮介音楽:得田真裕　  主題歌:米津玄師「Lemon」(ソニー・ミュージックレコーズ)  野木亜紀子(「逃げるは恥だが役にたつ」「空飛ぶ広報室」「重版出来!」「図書館戦争シリーズ」)  プロデュース:新井順子　植田博樹(TBSテレビ)  演出:竹村謙太郎◇番組HP　  http://www.tbs.co.jp/unnatural2018/    ◇番組Twitter　  @unnatural_tbs　  https://twitter.com/unnatural_tbs/  番組の内容と放送時間は変更になる場合があります。</t>
  </si>
  <si>
    <t>ミコト(石原さとみ)は“主婦ブロガー殺人事件"の裁判に代理証人として出廷することになる。被告は被害者の夫の要一(温水洋一)。殺害の動機は妻からの精神的DVによるものだと罪を認めていた。しかし裁判で証拠として提出された包丁が、本当の凶器ではないことに気づいたミコトは凶器の矛盾を指摘。さらに被告の要一も無実を訴え、裁判は大混乱に…!有罪率99.9%の検事の烏田(吹越満)とミコトの法廷バトルが始まる!</t>
  </si>
  <si>
    <t>番組名金曜ドラマ「アンナチュラル」　第4話&lt;誰がために働く&gt;</t>
  </si>
  <si>
    <t>ある日、ミコト(石原さとみ)の母:夏代(薬師丸ひろ子)が、バイクで交通事故死した佐野(坪倉由幸)の解剖をUDIに依頼する。不可解な死を遂げた佐野は妻と子供二人がいたが、バイクの任意保険が切れていたうえに生命保険にも入っていなかった。夏代は死因を究明し、子供たちのために賠償責任を問うことを妻の可奈子(戸田菜穂)に提案する。一方、佐野を解剖したミコトたちは、佐野の意外な死因を発見することに・・・。さらに、UDIに『お前のしたことは消えない、裁きを受けろ』と書かれた脅迫状が届く。中堂(井浦新)は自分に宛てられたものだと言うが…。裁きを受けるのは一体だれなのか!?  石原さとみ　井浦新　窪田正孝　市川実日子　池田鉄洋　竜星涼　小笠原海(超特急)　飯尾和樹(ずん)　/　　北村有起哉　大倉孝二　/　薬師丸ひろ子(特別出演)　松重豊    &lt;ゲスト&gt;戸田菜穂　坪倉由幸　春海四方音楽:得田真裕　  主題歌:米津玄師「Lemon」(ソニー・ミュージックレコーズ)  野木亜紀子(「逃げるは恥だが役にたつ」「空飛ぶ広報室」「重版出来!」「図書館戦争シリーズ」)  プロデュース:新井順子　植田博樹(TBSテレビ)  演出:塚原あゆ子◇番組HP  http://www.tbs.co.jp/unnatural2018/    ◇番組Twitter  @unnatural_tbs  https://twitter.com/unnatural_tbs/  番組の内容と放送時間は変更になる場合があります。</t>
  </si>
  <si>
    <t xml:space="preserve">ある日、ミコト(石原さとみ)の母:夏代(薬師丸ひろ子)が、バイクで交通事故死した佐野(坪倉由幸)の解剖をUDIに依頼する。不可解な死を遂げた佐野は妻と子供二人がいたが、バイクの任意保険が切れていたうえに生命保険にも入っていなかった。夏代は死因を究明し、子供たちのために賠償責任を問うことを妻の可奈子(戸田菜穂)に提案する。一方、佐野を解剖したミコトたちは、佐野の意外な死因を発見することに・・・。さらに、UDIに『お前のしたことは消えない、裁きを受けろ』と書かれた脅迫状が届く。中堂(井浦新)は自分に宛てられたものだと言うが…。裁きを受けるのは一体だれなのか!?  </t>
  </si>
  <si>
    <t>番組名金曜ドラマ「アンナチュラル」　第5話&lt;死の報復&gt;</t>
  </si>
  <si>
    <t>ある日、鈴木(泉澤祐希)と名乗る男が、溺死した妻の解剖依頼にやってくる。警察は海へ飛び込む瞬間を見た目撃者がいたため自殺と断定。しかし妻が自殺をするはずがないと主張する鈴木は、真実を突き止めるため青森からはるばるUDIを訪ねて来たのだった。解剖に取り掛かるミコト(石原さとみ)たちだったが、鈴木が持ち込んだ遺体は葬儀場から盗まれた遺体だと判明!ミコトは死体損壊罪に問われ、鈴木は夫ではないと発覚する…石原さとみ　井浦新　窪田正孝　市川実日子　池田鉄洋　竜星涼　小笠原海(超特急)　飯尾和樹(ずん)　/　　北村有起哉　大倉孝二　/　薬師丸ひろ子(特別出演)　松重豊    &lt;ゲスト&gt;泉澤祐希音楽:得田真裕　  主題歌:米津玄師「Lemon」(ソニー・ミュージックレコーズ)  野木亜紀子(「逃げるは恥だが役にたつ」「空飛ぶ広報室」「重版出来!」「図書館戦争シリーズ」)プロデュース:新井順子　植田博樹(TBSテレビ)　  演出:塚原あゆ子◇番組HP　  http://www.tbs.co.jp/unnatural2018/    ◇番組Twitter　  @unnatural_tbs　  https://twitter.com/unnatural_tbs/  番組の内容と放送時間は変更になる場合があります。</t>
  </si>
  <si>
    <t>ある日、鈴木(泉澤祐希)と名乗る男が、溺死した妻の解剖依頼にやってくる。警察は海へ飛び込む瞬間を見た目撃者がいたため自殺と断定。しかし妻が自殺をするはずがないと主張する鈴木は、真実を突き止めるため青森からはるばるUDIを訪ねて来たのだった。解剖に取り掛かるミコト(石原さとみ)たちだったが、鈴木が持ち込んだ遺体は葬儀場から盗まれた遺体だと判明!ミコトは死体損壊罪に問われ、鈴木は夫ではないと発覚する…</t>
  </si>
  <si>
    <t>番組名金曜ドラマ「アンナチュラル」　第6話&lt;友達じゃない&gt;</t>
  </si>
  <si>
    <t>高級ジム主催の合コンパーティーに参加した東海林(市川実日子)。翌朝ホテルのベッドで目を覚ますと、昨夜のパーティーに参加していた権田原(岩永洋昭)が隣で死んでいた!ホテルに駆けつけたミコト(石原さとみ)が詳しい状況を聞くが、東海林は店を出た後の記憶がまったくないという。さらに権田原の友人も突然死したことが発覚し、警察は連続殺人事件とみて捜査を始めるが、容疑者として疑われているのは東海林だった…!ミコトたちは東海林の容疑を晴らすため、死因究明に奔走する。一方、中堂は『警察の任意同行に応じると殺人犯にされる』と東海林に逃げるように促す。石原さとみ　井浦新　窪田正孝　市川実日子　池田鉄洋　竜星涼　飯尾和樹(ずん)　/　　北村有起哉　大倉孝二　/　松重豊    &lt;ゲスト&gt;竹財輝之助　鈴木裕樹音楽:得田真裕　  主題歌:米津玄師「Lemon」(ソニー・ミュージックレコーズ)野木亜紀子(「逃げるは恥だが役にたつ」「空飛ぶ広報室」「重版出来!」「図書館戦争シリーズ」)プロデュース:新井順子　植田博樹(TBSテレビ)  演出:竹村謙太郎◇番組HP　  http://www.tbs.co.jp/unnatural2018/    ◇番組Twitter　  @unnatural_tbs　  https://twitter.com/unnatural_tbs/  番組の内容と放送時間は変更になる場合があります。</t>
  </si>
  <si>
    <t>高級ジム主催の合コンパーティーに参加した東海林(市川実日子)。翌朝ホテルのベッドで目を覚ますと、昨夜のパーティーに参加していた権田原(岩永洋昭)が隣で死んでいた!ホテルに駆けつけたミコト(石原さとみ)が詳しい状況を聞くが、東海林は店を出た後の記憶がまったくないという。さらに権田原の友人も突然死したことが発覚し、警察は連続殺人事件とみて捜査を始めるが、容疑者として疑われているのは東海林だった…!ミコトたちは東海林の容疑を晴らすため、死因究明に奔走する。一方、中堂は『警察の任意同行に応じると殺人犯にされる』と東海林に逃げるように促す。</t>
  </si>
  <si>
    <t>番組名金曜ドラマ「アンナチュラル」　第7話&lt;殺人遊戯&gt;</t>
  </si>
  <si>
    <t>ある日、ミコト(石原さとみ)に謎のアドレスが貼られたメールが届く。アドレスをクリックすると、「殺人者S」を名乗る学生が自分が殺したというYの遺体を「殺人実況生中継」としてライブ配信していた!殺人者Sは「Yの死因は何でしょう?」と挑戦状を叩きつける。答えを間違えると人質になっているXも殺されるという中、ライブ配信映像から死因を探り始めるミコト。果たして、法医学者VS殺人者Sの勝負の結末は!?  石原さとみ　井浦新　窪田正孝　市川実日子　小笠原海(超特急)　飯尾和樹(ずん)　/　　北村有起哉　　/　松重豊    &lt;ゲスト&gt;望月歩　神尾楓珠　螢雪次朗　ふせえり　谷田歩　桜井聖音楽:得田真裕　  主題歌:米津玄師「Lemon」(ソニー・ミュージックレコーズ)  野木亜紀子(「逃げるは恥だが役にたつ」「空飛ぶ広報室」「重版出来!」「図書館戦争シリーズ」)  プロデュース:新井順子　植田博樹(TBSテレビ)　  演出:村尾嘉昭◇番組HP　  http://www.tbs.co.jp/unnatural2018/    ◇番組Twitter　  @unnatural_tbs　  https://twitter.com/unnatural_tbs/  番組の内容と放送時間は変更になる場合があります。</t>
  </si>
  <si>
    <t xml:space="preserve">ある日、ミコト(石原さとみ)に謎のアドレスが貼られたメールが届く。アドレスをクリックすると、「殺人者S」を名乗る学生が自分が殺したというYの遺体を「殺人実況生中継」としてライブ配信していた!殺人者Sは「Yの死因は何でしょう?」と挑戦状を叩きつける。答えを間違えると人質になっているXも殺されるという中、ライブ配信映像から死因を探り始めるミコト。果たして、法医学者VS殺人者Sの勝負の結末は!?  </t>
  </si>
  <si>
    <t>番組名金曜ドラマ「アンナチュラル」　第8話&lt;遥かなる我が家&gt;</t>
  </si>
  <si>
    <t>雑居ビルで火災が発生し、UDIに10体もの焼死体が運ばれてくる。遺体は損傷が激しく、身元はおろか性別も判別できない。ミコト(石原さとみ)たちはUDIを辞めた坂本(飯尾和樹)の手も借りて次々と解剖を進め、9番目の遺体が焼死する前に後頭部を殴られていた可能性があると指摘。さらには腰にロープで縛られたような皮下出血も発見され、単なる火災ではなく殺人を隠すための放火殺人ではないか?と警察は疑念を抱く…。そんな中、火災で唯一助かった男がいることが判明。男が入院していたのは六郎(窪田正孝)の父:俊哉(伊武雅刀)が勤める病院だった。UDIを訪ねた俊哉は、息子を解雇して欲しいと申し出る…!  石原さとみ　井浦新　窪田正孝　市川実日子　小笠原海(超特急)　飯尾和樹(ずん)　/　　北村有起哉　　/　松重豊    &lt;ゲスト&gt;伊武雅刀　ミッキー・カーチス音楽:得田真裕　  主題歌:米津玄師「Lemon」(ソニー・ミュージックレコーズ)  野木亜紀子(「逃げるは恥だが役にたつ」「空飛ぶ広報室」「重版出来!」「図書館戦争シリーズ」)  プロデュース:新井順子　植田博樹(TBSテレビ)  演出:塚原あゆ子◇番組HP　  http://www.tbs.co.jp/unnatural2018/    ◇番組Twitter　  @unnatural_tbs　  https://twitter.com/unnatural_tbs/  番組の内容と放送時間は変更になる場合があります。</t>
  </si>
  <si>
    <t xml:space="preserve">雑居ビルで火災が発生し、UDIに10体もの焼死体が運ばれてくる。遺体は損傷が激しく、身元はおろか性別も判別できない。ミコト(石原さとみ)たちはUDIを辞めた坂本(飯尾和樹)の手も借りて次々と解剖を進め、9番目の遺体が焼死する前に後頭部を殴られていた可能性があると指摘。さらには腰にロープで縛られたような皮下出血も発見され、単なる火災ではなく殺人を隠すための放火殺人ではないか?と警察は疑念を抱く…。そんな中、火災で唯一助かった男がいることが判明。男が入院していたのは六郎(窪田正孝)の父:俊哉(伊武雅刀)が勤める病院だった。UDIを訪ねた俊哉は、息子を解雇して欲しいと申し出る…!  </t>
  </si>
  <si>
    <t>番組名金曜ドラマ「アンナチュラル」　第9話&lt;敵の姿&gt;</t>
  </si>
  <si>
    <t>スーツケースの中から若い女性の遺体が発見された。 ミコト(石原さとみ)が遺体を確認すると、中堂(井浦新)の死んだ恋人・夕希子(橋本真実)と同じ“赤い金魚"の印が口内から見つかる。 夕希子を殺した犯人と同一犯だと感じたメンバーは、犯人に繋がるヒントを見つけるため女性を解剖。その中でミコトは、胃の内容物が強烈な腐敗臭を放っていることに違和感を覚える。果たして女性の死因とは!?　そして物語は急展開へ!!その一方で、神倉(松重豊)は過去に週刊ジャーナルに掲載されたUDI関連の記事を見て、ある疑念を抱く…。   さらに警察庁を訪れた神倉は、驚くべき記事を目にすることに…!  石原さとみ　井浦新　窪田正孝　市川実日子　池田鉄洋　竜星涼　小笠原海(超特急)　/　　北村有起哉　大倉孝二　/　薬師丸ひろ子(特別出演)　松重豊音楽:得田真裕　  主題歌:米津玄師「Lemon」(ソニー・ミュージックレコーズ)  野木亜紀子(「逃げるは恥だが役にたつ」「空飛ぶ広報室」「重版出来!」「図書館戦争シリーズ」)プロデュース:新井順子　植田博樹(TBSテレビ)　  演出:竹村謙太郎主題歌CD100名様プレゼント◇番組HP　  http://www.tbs.co.jp/unnatural2018/    ◇番組Twitter　  @unnatural_tbs　  https://twitter.com/unnatural_tbs/  番組の内容と放送時間は変更になる場合があります。</t>
  </si>
  <si>
    <t xml:space="preserve">スーツケースの中から若い女性の遺体が発見された。 ミコト(石原さとみ)が遺体を確認すると、中堂(井浦新)の死んだ恋人・夕希子(橋本真実)と同じ“赤い金魚"の印が口内から見つかる。 夕希子を殺した犯人と同一犯だと感じたメンバーは、犯人に繋がるヒントを見つけるため女性を解剖。その中でミコトは、胃の内容物が強烈な腐敗臭を放っていることに違和感を覚える。果たして女性の死因とは!?　そして物語は急展開へ!!その一方で、神倉(松重豊)は過去に週刊ジャーナルに掲載されたUDI関連の記事を見て、ある疑念を抱く…。   さらに警察庁を訪れた神倉は、驚くべき記事を目にすることに…!  </t>
  </si>
  <si>
    <t>番組名金曜ドラマ「アンナチュラル」　最終話&lt;旅の終わり&gt;</t>
  </si>
  <si>
    <t>中堂(井浦新)の恋人・夕希子(橋本真実)をはじめ、複数の女性を殺害した疑いのある高瀬(尾上寛之)が警察に出頭。しかし、遺体損壊は認めたものの肝心の殺害については否定する。殺人を立証できる証拠もなく、ミコト(石原さとみ)たちは歯がゆさを感じながらも、高瀬を殺人罪で裁くため検証を続ける。そんな中、六郎(窪田正孝)がUDIの情報を週刊誌にうっていたことがメンバーに知られ、UDIに崩壊の危機が訪れる…!赤い金魚殺人事件の全容がついに明かされる最終話!10分枠大スペシャル!石原さとみ　井浦新　窪田正孝　市川実日子　池田鉄洋　竜星涼　小笠原海(超特急)　飯尾和樹(ずん)　/　　北村有起哉　大倉孝二　/　薬師丸ひろ子(特別出演)　松重豊    &lt;ゲスト&gt;吹越満　国広富之音楽:得田真裕　  主題歌:米津玄師「Lemon」(ソニー・ミュージックレコーズ)野木亜紀子(「逃げるは恥だが役にたつ」「空飛ぶ広報室」「重版出来!」「図書館戦争シリーズ」)プロデュース:新井順子　植田博樹(TBSテレビ)  演出:塚原あゆ子◇番組HP　  http://www.tbs.co.jp/unnatural2018/    ◇番組Twitter　  @unnatural_tbs　  https://twitter.com/unnatural_tbs/  番組の内容と放送時間は変更になる場合があります。</t>
  </si>
  <si>
    <t>中堂(井浦新)の恋人・夕希子(橋本真実)をはじめ、複数の女性を殺害した疑いのある高瀬(尾上寛之)が警察に出頭。しかし、遺体損壊は認めたものの肝心の殺害については否定する。殺人を立証できる証拠もなく、ミコト(石原さとみ)たちは歯がゆさを感じながらも、高瀬を殺人罪で裁くため検証を続ける。そんな中、六郎(窪田正孝)がUDIの情報を週刊誌にうっていたことがメンバーに知られ、UDIに崩壊の危機が訪れる…!赤い金魚殺人事件の全容がついに明かされる最終話!10分枠大スペシャル!</t>
  </si>
  <si>
    <t>1801_TBS_日21</t>
  </si>
  <si>
    <t>番組名日曜劇場「99.9-刑事専門弁護士-SEASONII」♯1「元裁判官の依頼」</t>
  </si>
  <si>
    <t>刑事事件専門ルームでは室長が定着せず、佐田(香川照之)は斑目(岸部一徳)から、民事の兼務と見つかったらマネージングパートナーを譲るという条件のもと渋々承諾。深山(松本潤)と佐田の名コンビが復活する。  そんな中、とある殺人事件の弁護依頼が舞い込む。依頼人は、鈴木二郎の娘・加代。  鈴木が借金をしていた沢村ファイナンスの社長  が殺害され、鈴木はその容疑者として逮捕・起訴された。そして、加代の付き添いで来ていたのが、尾崎舞子(木村文乃)だった。  舞子はエリート裁判官だったが、あることが理由で退官していた。  鈴木の無実を証明しようとする深山たちに対して、舞子は調書を見る限り鈴木の犯行で間違いないから、罪を認めて情状酌量を求めるべきだと主張。  深山と対立する。一方、佐田はその様子を見てあることを画策する。深山大翔・・・松本潤  佐田篤弘・・・香川照之  尾崎舞子・・・木村文乃  明石達也・・・片桐仁  藤野宏樹・・・マギー  中塚美麗・・・馬場園梓  落合陽平・・・馬場徹  佐田由紀子・・・映美くらら坂東健太・・・池田貴史  加奈子・・・岸井ゆきの    川上憲一郎・・・笑福亭鶴瓶  斑目春彦・・・岸部一徳(1話出演)  志賀誠・・・藤本隆宏  戸川奈津子・・・渡辺真起子  阿部充・・・長塚圭史  鈴木加代・・・谷村美月  鈴木二郎・・・半海一晃  伊藤亜紀・・・新妻聖子脚本・・・宇田学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t>
  </si>
  <si>
    <t>刑事事件専門ルームでは室長が定着せず、佐田(香川照之)は斑目(岸部一徳)から、民事の兼務と見つかったらマネージングパートナーを譲るという条件のもと渋々承諾。深山(松本潤)と佐田の名コンビが復活する。  そんな中、とある殺人事件の弁護依頼が舞い込む。依頼人は、鈴木二郎の娘・加代。  鈴木が借金をしていた沢村ファイナンスの社長  が殺害され、鈴木はその容疑者として逮捕・起訴された。そして、加代の付き添いで来ていたのが、尾崎舞子(木村文乃)だった。  舞子はエリート裁判官だったが、あることが理由で退官していた。  鈴木の無実を証明しようとする深山たちに対して、舞子は調書を見る限り鈴木の犯行で間違いないから、罪を認めて情状酌量を求めるべきだと主張。  深山と対立する。一方、佐田はその様子を見てあることを画策する。</t>
  </si>
  <si>
    <t>番組名日曜劇場「99.9-刑事専門弁護士-SEASONII」♯2「26年越しの事実」</t>
  </si>
  <si>
    <t>深山(松本潤)は、美由紀(野々すみ花)から連絡を受けて、故郷の金沢を訪れていた。  美由紀は、26年前、深山の父親・大介(首藤康之)が逮捕された殺人事件の被害者・美里(織田梨沙)の妹だった。  美由紀が深山に渡したのは見覚えのない水晶の遺留品。それは当時事件現場で発見されていたものだった。しかし、それは美里のものでも、大介のものでもなかった。そうだとすると、現場に第三者がいたという新たな証拠なのか。遺留品をもとに、深山はもう一度26年前の事実を追い求める。そして、それは、大介の事件の担当検事だった宿敵・大友検事正(奥田瑛二)との対決も意味していた。    そんな中、人事異動で金沢に赴任した丸川(青木崇高)に協力を仰ぐが・・・  一方、舞子(木村文乃)と、休暇中だった佐田(香川照之)は斑目の策略で、事件の調査に加わることになり金沢に向かう。  はたして、26年前の父親の無実は証明できるのか!?  深山大翔・・・松本潤  佐田篤弘・・・香川照之  尾崎舞子・・・木村文乃  丸川貴久・・・青木崇高  明石達也・・・片桐仁  藤野宏樹・・・マギー  中塚美麗・・・馬場園梓  落合陽平・・・馬場徹佐田由紀子・・・映美くらら  坂東健太・・・池田貴史  加奈子・・・岸井ゆきの  謎の男・・・佐藤勝利    大友修一・・・奥田瑛二  斑目春彦・・・岸部一徳(2話ゲスト)  深山大介・・・首藤康之  鏑木美里・・・織田梨沙  三宅宏之・・・小倉一郎  藤原・・・不破万作  鏑木美由紀・・・野々すみ花  内田・・・奥田達士  小倉・・・薬丸翔脚本・・・宇田学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t>
  </si>
  <si>
    <t xml:space="preserve">深山(松本潤)は、美由紀(野々すみ花)から連絡を受けて、故郷の金沢を訪れていた。  美由紀は、26年前、深山の父親・大介(首藤康之)が逮捕された殺人事件の被害者・美里(織田梨沙)の妹だった。  美由紀が深山に渡したのは見覚えのない水晶の遺留品。それは当時事件現場で発見されていたものだった。しかし、それは美里のものでも、大介のものでもなかった。そうだとすると、現場に第三者がいたという新たな証拠なのか。遺留品をもとに、深山はもう一度26年前の事実を追い求める。そして、それは、大介の事件の担当検事だった宿敵・大友検事正(奥田瑛二)との対決も意味していた。    そんな中、人事異動で金沢に赴任した丸川(青木崇高)に協力を仰ぐが・・・  一方、舞子(木村文乃)と、休暇中だった佐田(香川照之)は斑目の策略で、事件の調査に加わることになり金沢に向かう。  はたして、26年前の父親の無実は証明できるのか!?  </t>
  </si>
  <si>
    <t>番組名日曜劇場「99.9-刑事専門弁護士-SEASONII」♯3「前代未聞の出張法廷」</t>
  </si>
  <si>
    <t>人気ロック歌手ジョーカー茅ヶ崎(宇崎竜童)がジャーナリスト安田の殺人容疑およびその事件の目撃者・石川(安達祐実)の殺人未遂容疑で逮捕された。  茅ヶ崎の顧問弁護士を務める佐田(香川照之)は、焦った様子で何かを隠してる模様。  接見に向かおうとする深山(松本潤)を必死で止めて、正式に一員になった舞子(木村文乃)を担当に任命。事件を追う中で、佐田のある指示のせいで、依頼人がピンチに立たされてしまったことを知る深山たち。  しかも殺人事件では目撃証言、殺人未遂事件では、凶器に茅ヶ崎の指紋があるという絶体絶命の状況!そして、担当する裁判官は舞子の先輩だった山内(松尾諭)。舞子の立場が変わり、今までの態度から豹変する山内に、舞子は裁判官と弁護士の間にある分厚い壁を感じる。舞子の元上司で、山内の上長である東京地裁・所長代行の川上(笑福亭鶴瓶)は、『お互いの立場でガンガンやりあえばいい』と激励するが…  崖っぷちに立たされた中で、深山と舞子は茅ヶ崎の無実を見つけ、佐田の窮地を救えるのか?  深山大翔・・・松本潤  佐田篤弘・・・香川照之  尾崎舞子・・・木村文乃  明石達也・・・片桐仁  藤野宏樹・・・マギー  中塚美麗・・・馬場園梓  落合陽平・・・馬場徹  謎の男・・・佐藤勝利坂東健太・・・池田貴史  加奈子・・・岸井ゆきの    遠藤啓介・・・甲本雅裕  川上憲一郎・・・笑福亭鶴瓶(3話出演)  ジョーカー茅ヶ崎・・・宇崎竜童  石川敦子・・・安達祐実  山内徹・・・松尾諭  村野正義・・・永岡卓也  うどん居酒屋店主・・・高木渉  清水かずき・・・吹原幸太  元木・・・保坂知寿脚本・・・宇田学  トリック監修・・・蒔田光治  主題歌・・・「Find The Answer」嵐(ジェイ・ストーム)  音楽・・・井筒昭雄  プロデュース・・・瀬戸口克陽  　　　　　　　　　東仲恵吾  演出・・・木村ひさし◇番組HP  http://www.tbs.co.jp/999tbs/  ◇twitter  @999_2018tbs  https://twitter.com/999_2018tbs  ◇instagram  https://www.instagram.com/999_tbs/  番組の内容と放送時間は変更になる可能性があります。</t>
  </si>
  <si>
    <t xml:space="preserve">人気ロック歌手ジョーカー茅ヶ崎(宇崎竜童)がジャーナリスト安田の殺人容疑およびその事件の目撃者・石川(安達祐実)の殺人未遂容疑で逮捕された。  茅ヶ崎の顧問弁護士を務める佐田(香川照之)は、焦った様子で何かを隠してる模様。  接見に向かおうとする深山(松本潤)を必死で止めて、正式に一員になった舞子(木村文乃)を担当に任命。事件を追う中で、佐田のある指示のせいで、依頼人がピンチに立たされてしまったことを知る深山たち。  しかも殺人事件では目撃証言、殺人未遂事件では、凶器に茅ヶ崎の指紋があるという絶体絶命の状況!そして、担当する裁判官は舞子の先輩だった山内(松尾諭)。舞子の立場が変わり、今までの態度から豹変する山内に、舞子は裁判官と弁護士の間にある分厚い壁を感じる。舞子の元上司で、山内の上長である東京地裁・所長代行の川上(笑福亭鶴瓶)は、『お互いの立場でガンガンやりあえばいい』と激励するが…  崖っぷちに立たされた中で、深山と舞子は茅ヶ崎の無実を見つけ、佐田の窮地を救えるのか?  </t>
  </si>
  <si>
    <t>番組名日曜劇場「99.9-刑事専門弁護士-SEASONII」♯4「民事裁判で晴らす冤罪」</t>
  </si>
  <si>
    <t>斑目法律事務所に岩村梢(有森也実)が刑事事件の弁護でやってきた。被疑者は、梢の夫で工場の社長・岩村直樹。直樹が、取引先のタナハシ機械製作所専務・棚橋幸次郎を殺害後、自殺したのだ。事件は被疑者死亡のため書類送検されて、不起訴処分になった。  さらに、梢は幸次郎の兄で社長・政一郎(迫田孝也)から3億円の損害賠償請求をされていた。  しかし梢はあることから直樹の無実を確信していた。佐田(香川照之)は、被疑者死亡の場合、裁判が開かれないから、これ以上の弁護は無理だと説明して、依頼を断る。しかし、深山(松本潤)はすでに事件現場に向かっていた。  また、連れ戻すよう佐田に指示を受けていた舞子(木村文乃)も、結局深山のペースに巻き込まれる。しかし、細かく調べていく中で、刑事記録に矛盾があることが判明する・・・一方、佐田は直樹がある特許を個人で持っていて、莫大な価値があることに気付く。政一郎は、梢に相続を放棄させることで莫大な価値があるこの特許を手に入れようとしていたのだ。  佐田は、梢の依頼を正式に受けて、政一郎の弁護士・森本貴(近藤芳正)に会いに行く。森本は、民事でやり手の弁護士で、佐田とは面識こそないもののお互い名前を知るライバル関係だった。すると、佐田がある奇策を思いつく。深山大翔・・・松本潤  佐田篤弘・・・香川照之  尾崎舞子・・・木村文乃  明石達也・・・片桐仁  藤野宏樹・・・マギー  中塚美麗・・・馬場園梓  落合陽平・・・馬場徹坂東健太・・・池田貴史  加奈子・・・岸井ゆきの    斑目春彦・・・岸部一徳(4話出演)  森本貢・・・近藤芳正  岩村梢・・・有森也実  足立靖男・・・塚地武雅  棚橋政一郎・・・迫田孝也  田中・・・小須田康人  中西学  北村克哉脚本・・・宇田学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t>
  </si>
  <si>
    <t>斑目法律事務所に岩村梢(有森也実)が刑事事件の弁護でやってきた。被疑者は、梢の夫で工場の社長・岩村直樹。直樹が、取引先のタナハシ機械製作所専務・棚橋幸次郎を殺害後、自殺したのだ。事件は被疑者死亡のため書類送検されて、不起訴処分になった。  さらに、梢は幸次郎の兄で社長・政一郎(迫田孝也)から3億円の損害賠償請求をされていた。  しかし梢はあることから直樹の無実を確信していた。佐田(香川照之)は、被疑者死亡の場合、裁判が開かれないから、これ以上の弁護は無理だと説明して、依頼を断る。しかし、深山(松本潤)はすでに事件現場に向かっていた。  また、連れ戻すよう佐田に指示を受けていた舞子(木村文乃)も、結局深山のペースに巻き込まれる。しかし、細かく調べていく中で、刑事記録に矛盾があることが判明する・・・一方、佐田は直樹がある特許を個人で持っていて、莫大な価値があることに気付く。政一郎は、梢に相続を放棄させることで莫大な価値があるこの特許を手に入れようとしていたのだ。  佐田は、梢の依頼を正式に受けて、政一郎の弁護士・森本貴(近藤芳正)に会いに行く。森本は、民事でやり手の弁護士で、佐田とは面識こそないもののお互い名前を知るライバル関係だった。すると、佐田がある奇策を思いつく。</t>
  </si>
  <si>
    <t>番組名日曜劇場「99.9-刑事専門弁護士-SEASONII」♯5「歪められた少年裁判」</t>
  </si>
  <si>
    <t>大怪我をした志賀(藤本隆宏)と奈津子(渡辺真起子)が相談にやってきた。志賀が怪我して動けないので、請け負った刑事裁判の弁護を協力してほしいという。  その刑事事件とは、女子高生・工藤久美子(清原果耶)に対する強制わいせつ事件。17歳の山崎大輝とその友人・大江徳弘が、久美子の証言により、容疑者として起訴されていた。さらに調書によると、山崎は一度自白をしてしまっていた。  さっそく山崎の元へ接見にいった深山(松本潤)と舞子(木村文乃)は、警察に脅されて自白したということを知る。  さらに山崎は、事件当日は、焼肉屋にいたと証言する。  しかし焼肉屋の店員(アキラ100%)はお客を一人一人覚えていなくてアリバイが取れない。しかし、深山は山崎から聞き出したある情報をもとに刑事事件ルームの面々と再び焼肉屋に向かった。公判では、裁判官の遠藤(甲本雅裕)は弁護側に一貫して頑なな姿勢で弁護側の主張を採用しようとしない。  この事件、裁判所と検察のある思惑が一致して、両者が半ば結託するような形で進められていたのだ。さらにある奇策により、深山達が見つけたアリバイさえも跳ね除けられる。  絶体絶命な状況の中で、すべてを覆す事実を見つけることができるのか!?  深山大翔・・・松本潤  佐田篤弘・・・香川照之  尾崎舞子・・・木村文乃  明石達也・・・片桐仁  藤野宏樹・・・マギー  中塚美麗・・・馬場園梓  落合陽平・・・馬場徹  謎の男・・・佐藤勝利坂東健太・・・池田貴史  加奈子・・・岸井ゆきの    遠藤啓介・・・甲本雅裕  川上憲一郎・・・笑福亭鶴瓶  斑目春彦・・・岸部一徳(5話出演)  志賀誠・・・藤本隆宏  戸川奈津子・・・渡辺真起子  工藤久美子・・・清原果耶  山崎大輝・・・市川理矩  大江徳弘・・・福山翔大  焼肉屋店長・・・アキラ100%    喜多方修造・・・矢柴俊博  岡田孝範・・・榎木孝明脚本・・・宇田学  トリック監修・・・蒔田光治  音楽・・・井筒昭雄  主題歌・・・「Find The Answer」嵐  　　　　　　(ジェイ・ストーム)  プロデュース・・・瀬戸口克陽  　　　　　　　　　東仲恵吾  演出・・・岡本伸吾◇番組HP  http://www.tbs.co.jp/999tbs/  ◇twitter  @999_2018tbs  https://twitter.com/999_2018tbs  ◇instagram  https://www.instagram.com/999_tbs/  番組の内容と放送時間は変更になる可能性があります。</t>
  </si>
  <si>
    <t xml:space="preserve">大怪我をした志賀(藤本隆宏)と奈津子(渡辺真起子)が相談にやってきた。志賀が怪我して動けないので、請け負った刑事裁判の弁護を協力してほしいという。  その刑事事件とは、女子高生・工藤久美子(清原果耶)に対する強制わいせつ事件。17歳の山崎大輝とその友人・大江徳弘が、久美子の証言により、容疑者として起訴されていた。さらに調書によると、山崎は一度自白をしてしまっていた。  さっそく山崎の元へ接見にいった深山(松本潤)と舞子(木村文乃)は、警察に脅されて自白したということを知る。  さらに山崎は、事件当日は、焼肉屋にいたと証言する。  しかし焼肉屋の店員(アキラ100%)はお客を一人一人覚えていなくてアリバイが取れない。しかし、深山は山崎から聞き出したある情報をもとに刑事事件ルームの面々と再び焼肉屋に向かった。公判では、裁判官の遠藤(甲本雅裕)は弁護側に一貫して頑なな姿勢で弁護側の主張を採用しようとしない。  この事件、裁判所と検察のある思惑が一致して、両者が半ば結託するような形で進められていたのだ。さらにある奇策により、深山達が見つけたアリバイさえも跳ね除けられる。  絶体絶命な状況の中で、すべてを覆す事実を見つけることができるのか!?  </t>
  </si>
  <si>
    <t>番組名日曜劇場「99.9-刑事専門弁護士-SEASONII」♯6「姉弟の絆を壊した過去」</t>
  </si>
  <si>
    <t>舞子(木村文乃)の元に、大酉寿司店主・新井英之(竜雷太)が弁護依頼にやってきた。不動産屋・平田(三又又三)の殺害容疑で警察から事情聴取を受けていたのだ。事件当日、新井が事件現場に出入りしていたことが容疑をかけられた理由だったが、新井は否認していた。  さっそく事件現場にやってきた深山(松本潤)と舞子は、煙草屋店主・飯田(ダンカン)から、事件当日、別に出入りした人物がいたことを聞く。そんな中、深山たちが事務所に戻ると、平田殺害の容疑者逮捕のニュースを目にする。  テレビに映された尾崎雄太(佐藤勝利)は、舞子の弟だった。そして、雄太が2年前に窃盗事件で有罪判決を受けていたことが判明する。  舞子は雄太と接見して、弁護を請け負おうとするが、雄太に頑なに拒否される。  　舞子と雄太の間には、あることがきっかけで大きな溝ができていたのだ・・・。雄太は深山に自分は今の事件も、2年前の事件もやっていないと否認する。  一方、斑目所長(岸部一徳)は、雄太が本当に犯人であれば顧客からの信用に関わるため、舞子には辞めてもらうと佐田(香川照之)に言い放つ・・・。  殺人容疑と2年前に判決を受けた窃盗事件が深く入り乱れた難事件。果たして深山たちは事実を見つけ出し、雄太、そして舞子を救うことはできるのか!?  深山大翔・・・松本潤  佐田篤弘・・・香川照之  尾崎舞子・・・木村文乃  明石達也・・・片桐仁  藤野宏樹・・・マギー  中塚美麗・・・馬場園梓  落合陽平・・・馬場徹坂東健太・・・池田貴史  加奈子・・・岸井ゆきの  尾崎雄太・・・佐藤勝利    斑目春彦・・・岸部一徳新井英之・・・竜雷太  糸村信彦・・・横田栄司  飯田誠一・・・ダンカン  坂本卓・・・古舘佑太郎  大西達也・・・金子大地  パクチー店主・・・IZAM  柴田・・・渡辺早織脚本・・・宇田学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t>
  </si>
  <si>
    <t xml:space="preserve">舞子(木村文乃)の元に、大酉寿司店主・新井英之(竜雷太)が弁護依頼にやってきた。不動産屋・平田(三又又三)の殺害容疑で警察から事情聴取を受けていたのだ。事件当日、新井が事件現場に出入りしていたことが容疑をかけられた理由だったが、新井は否認していた。  さっそく事件現場にやってきた深山(松本潤)と舞子は、煙草屋店主・飯田(ダンカン)から、事件当日、別に出入りした人物がいたことを聞く。そんな中、深山たちが事務所に戻ると、平田殺害の容疑者逮捕のニュースを目にする。  テレビに映された尾崎雄太(佐藤勝利)は、舞子の弟だった。そして、雄太が2年前に窃盗事件で有罪判決を受けていたことが判明する。  舞子は雄太と接見して、弁護を請け負おうとするが、雄太に頑なに拒否される。  　舞子と雄太の間には、あることがきっかけで大きな溝ができていたのだ・・・。雄太は深山に自分は今の事件も、2年前の事件もやっていないと否認する。  一方、斑目所長(岸部一徳)は、雄太が本当に犯人であれば顧客からの信用に関わるため、舞子には辞めてもらうと佐田(香川照之)に言い放つ・・・。  殺人容疑と2年前に判決を受けた窃盗事件が深く入り乱れた難事件。果たして深山たちは事実を見つけ出し、雄太、そして舞子を救うことはできるのか!?  </t>
  </si>
  <si>
    <t>番組名日曜劇場「99.9-刑事専門弁護士-SEASONII」♯7「被告人・佐田篤弘」</t>
  </si>
  <si>
    <t>佐田が顧問弁護を務めるオガタテクノロジーの社長・緒方(ヒャダイン)が失踪した。検察庁に呼び出された佐田は検事から、緒方が1週間前に会社の資金3000万を引き出した後、姿をくらまして業務上横領の罪がかけられてることを聞かされる。さらに、失踪当日に佐田の個人口座へ300万円の振り込みがあったことも分かり、佐田は逮捕される。弁護を請け負った深山(松本潤)と舞子(木村文乃)はオガタテクノロジーを訪れ、専務の大河原孝正(佐戸井けん太)と経理担当の中村麻美(田中美奈子)から話を聞く。さらに、従業員の笹野桜(比嘉愛未)立ち会いの元、緒方の自宅を見せてもらうことに。そこで深山はある矛盾に気付くーー。そんな中、佐田の担当裁判官に意味深な笑顔で近づく川上(笑福亭鶴瓶)。川上の真意とはいったい!?  そして、佐田の公判が始まる。果たして、深山と舞子は佐田を救うことができるのか!?  深山大翔・・・松本潤  佐田篤弘・・・香川照之  尾崎舞子・・・木村文乃  明石達也・・・片桐仁  藤野宏樹・・・マギー  中塚美麗・・・馬場園梓  落合陽平・・・馬場徹  佐田由紀子・・・映美くらら坂東健太・・・池田貴史  加奈子・・・岸井ゆきの  遠藤啓介・・・甲本雅裕    川上憲一郎・・・笑福亭鶴瓶  斑目春彦・・・岸部一徳笹野桜・・・比嘉愛未  中村麻美・・・田中美奈子  大河原孝正・・・佐戸井けん太  緒方・・・ヒャダイン  検事・・・飯田基祐  小島・・・小松利昌  キャスター・・・枡田絵理奈脚本・・・宇田学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t>
  </si>
  <si>
    <t xml:space="preserve">佐田が顧問弁護を務めるオガタテクノロジーの社長・緒方(ヒャダイン)が失踪した。検察庁に呼び出された佐田は検事から、緒方が1週間前に会社の資金3000万を引き出した後、姿をくらまして業務上横領の罪がかけられてることを聞かされる。さらに、失踪当日に佐田の個人口座へ300万円の振り込みがあったことも分かり、佐田は逮捕される。弁護を請け負った深山(松本潤)と舞子(木村文乃)はオガタテクノロジーを訪れ、専務の大河原孝正(佐戸井けん太)と経理担当の中村麻美(田中美奈子)から話を聞く。さらに、従業員の笹野桜(比嘉愛未)立ち会いの元、緒方の自宅を見せてもらうことに。そこで深山はある矛盾に気付くーー。そんな中、佐田の担当裁判官に意味深な笑顔で近づく川上(笑福亭鶴瓶)。川上の真意とはいったい!?  そして、佐田の公判が始まる。果たして、深山と舞子は佐田を救うことができるのか!?  </t>
  </si>
  <si>
    <t>番組名日曜劇場「99.9-刑事専門弁護士-SEASONII」♯8「深山、初めての敗訴」</t>
  </si>
  <si>
    <t>選挙を目前に控えた大物政治家・藤堂正彦(佐野史郎)の事務所で毒物による殺人事件が起きた。事務所に送られてきた羊羹を食べた藤堂議員と妻の京子(森口瑤子)、後援会長、第一秘書の上杉の4人のうち、上杉が死亡し、京子は意識不明の重体になった。事件後、羊羹の送り主であるニシカワメッキ社長・西川五郎(おかやまはじめ)は逮捕・起訴されていた。鑑定の結果、羊羹の毒物は、西川の会社が保有するものと一致していた。しかも、西川は新規事業で陳情に行き、断られたという動機まで発覚した。  絶対的に不利な状況の中、別人のように乗り気な佐田(香川照之)。一方、深山(松本潤)はある矛盾に気付き、斑目(岸部一徳)の紹介で毒物鑑定人・沢渡(白井晃)に依頼する。  そんな中、裁判を担当するのが川上(笑福亭鶴瓶)に決まる。そして川上は深山たちの予期せぬ判決を下す深山大翔・・・松本潤  佐田篤弘・・・香川照之  尾崎舞子・・・木村文乃  明石達也・・・片桐仁  藤野宏樹・・・マギー  中塚美麗・・・馬場園梓  落合陽平・・・馬場徹坂東健太・・・池田貴史  加奈子・・・岸井ゆきの    川上憲一郎・・・笑福亭鶴瓶  斑目春彦・・・岸部一徳(8話ゲスト)  藤堂正彦・・・佐野史郎  藤堂京子・・・森口瑤子  氷室兼次・・・篠井英介  沢渡清志郎・・・白井晃  西川五郎・・・おかやまはじめ  金子源助・・・原金太郎  ゆう実・・・緒方かな子脚本・・・宇田学  トリック監修・・・蒔田光治  音楽・・・井筒昭雄  主題歌・・・「Find The Answer」嵐  　　　　　　(ジェイ・ストーム)  プロデュース・・・瀬戸口克陽  　　　　　　　　　東仲恵吾  演出・・・岡本伸吾◇番組HP  http://www.tbs.co.jp/999tbs/  ◇twitter  @999_2018tbs  https://twitter.com/999_2018tbs  ◇instagram  https://www.instagram.com/999_tbs/  番組の内容と放送時間は変更になる可能性があります。</t>
  </si>
  <si>
    <t>選挙を目前に控えた大物政治家・藤堂正彦(佐野史郎)の事務所で毒物による殺人事件が起きた。事務所に送られてきた羊羹を食べた藤堂議員と妻の京子(森口瑤子)、後援会長、第一秘書の上杉の4人のうち、上杉が死亡し、京子は意識不明の重体になった。事件後、羊羹の送り主であるニシカワメッキ社長・西川五郎(おかやまはじめ)は逮捕・起訴されていた。鑑定の結果、羊羹の毒物は、西川の会社が保有するものと一致していた。しかも、西川は新規事業で陳情に行き、断られたという動機まで発覚した。  絶対的に不利な状況の中、別人のように乗り気な佐田(香川照之)。一方、深山(松本潤)はある矛盾に気付き、斑目(岸部一徳)の紹介で毒物鑑定人・沢渡(白井晃)に依頼する。  そんな中、裁判を担当するのが川上(笑福亭鶴瓶)に決まる。そして川上は深山たちの予期せぬ判決を下す</t>
  </si>
  <si>
    <t>番組名日曜劇場「99.9　SEASONII」最終回SP「深山、最後の闘いー再審請求」</t>
  </si>
  <si>
    <t>深山(松本潤)たちの元に、死刑囚・久世貴弘(小林隆)の再審請求の依頼が来た。  依頼人は、久世の息子・亮平(中島裕翔)。久世は8年前に妻を殺害後、放火したとして死刑判決を受けていた。  亮平は、両親は仲が良く、父が母を殺すわけないと言い切る。深山と舞子(木村文乃)は、かつての自分自身の経験もあり、久世の無実を立証するために調査乗り出す。  しかし、再審請求は「開かずの扉」と呼ばれるだけあり、一度最高裁で結審した判決を覆すことはほぼ不可能に近く、苦戦を強いられる。  しかも、再審請求を審理する裁判官を川上(笑福亭鶴瓶)が担当することが決まる。深山達に辛酸をなめさせられ、後がない川上は、建前では公平に審議すると言いつつ、深山たちに無理難題を押し付ける。  佐田(香川照之)はマスコミで世論にアピールすることで、審議を有利に進めようとするが、週刊誌に都合が悪いことを書かれ、亮平たちを激怒させる0.1%の可能性さえも潰されつつある中、深山たちは事実にたどり着き、「開かずの扉」をこじ開けることができるのか!?深山大翔・・・松本潤  佐田篤弘・・・香川照之  尾崎舞子・・・木村文乃  明石達也・・・片桐仁  藤野宏樹・・・マギー  中塚美麗・・・馬場園梓  落合陽平・・・馬場徹  佐田由紀子・・・映美くらら坂東健太・・・池田貴史  加奈子・・・岸井ゆきの    遠藤啓介・・・甲本雅裕  岡田孝範・・・榎木孝明  川上憲一郎・・・笑福亭鶴瓶  斑目春彦・・・岸部一徳(9話ゲスト)  久世亮平・・・中島裕翔  久世貴博・・・小林隆  島津ヤエ・・・根岸季衣  海老沢晋・・・成河  中原銀次・・・山本浩司  久世トキ子・・・茅島成美  久世直美・・・竹内都子内川・・・片桐はいり  稲本・・・須永慶  うどん屋店主・・・高木渉  検事・・・佐伯新  弁護士・・・山口良一脚本・・・宇田学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t>
  </si>
  <si>
    <t>深山(松本潤)たちの元に、死刑囚・久世貴弘(小林隆)の再審請求の依頼が来た。  依頼人は、久世の息子・亮平(中島裕翔)。久世は8年前に妻を殺害後、放火したとして死刑判決を受けていた。  亮平は、両親は仲が良く、父が母を殺すわけないと言い切る。深山と舞子(木村文乃)は、かつての自分自身の経験もあり、久世の無実を立証するために調査乗り出す。  しかし、再審請求は「開かずの扉」と呼ばれるだけあり、一度最高裁で結審した判決を覆すことはほぼ不可能に近く、苦戦を強いられる。  しかも、再審請求を審理する裁判官を川上(笑福亭鶴瓶)が担当することが決まる。深山達に辛酸をなめさせられ、後がない川上は、建前では公平に審議すると言いつつ、深山たちに無理難題を押し付ける。  佐田(香川照之)はマスコミで世論にアピールすることで、審議を有利に進めようとするが、週刊誌に都合が悪いことを書かれ、亮平たちを激怒させる0.1%の可能性さえも潰されつつある中、深山たちは事実にたどり着き、「開かずの扉」をこじ開けることができるのか!?</t>
  </si>
  <si>
    <t>1710_TBS_火22</t>
  </si>
  <si>
    <t>監獄のお姫さま</t>
  </si>
  <si>
    <t>番組名監獄のお姫さま　#1【最強美女軍団VSイケメン社長!?因縁の対決が今夜始まる】</t>
  </si>
  <si>
    <t>物語はある大企業のイケメン社長の息子を誘拐するところから始まる。誘拐犯は4人のおばさんたち。このおばさんたちは何者なのか、なぜ息子を誘拐したのか、分からないまま。しかし、次第に見え隠れする女たちの目的。実はこのおばさんたちは、前科アリ。そして未だ刑務所で服役している「監獄のお姫さま」の冤罪を晴らすために、このイケメン社長に一世一代の復讐劇を仕掛けたのだった!果たして女たちの計画はうまくいくのか!?小泉今日子、満島ひかり、伊勢谷友介、夏帆、塚本高史、乙葉/池田成志/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</si>
  <si>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物語はある大企業のイケメン社長の息子を誘拐するところから始まる。誘拐犯は4人のおばさんたち。このおばさんたちは何者なのか、なぜ息子を誘拐したのか、分からないまま。しかし、次第に見え隠れする女たちの目的。実はこのおばさんたちは、前科アリ。そして未だ刑務所で服役している「監獄のお姫さま」の冤罪を晴らすために、このイケメン社長に一世一代の復讐劇を仕掛けたのだった!果たして女たちの計画はうまくいくのか!?</t>
  </si>
  <si>
    <t>番組名監獄のお姫さま　#2【新入り女囚VSカリスマ女囚!イケメン社長誘拐の真相】</t>
  </si>
  <si>
    <t>女たちはなぜイケメン社長を誘拐したのか…。舞台は6年前の女子刑務所に舞い戻る。不倫した夫を激高して刺してしまった馬場カヨ(小泉今日子)は「自立と再生の女子刑務所」に収監された。カヨを担当する若井刑務官(満島ひかり)は、「今日からお前の名前は69番!」と言い放つ。同房の女囚たちも訳アリばかり…。さらに、カヨが崇拝していた経済アナリスト・勝田千夏も同じ刑務所だと分かり、彼女に話しかけるが…。小泉今日子、満島ひかり、伊勢谷友介、夏帆、塚本高史、乙葉、雛形あきこ/池田成志/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</si>
  <si>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女たちはなぜイケメン社長を誘拐したのか…。舞台は6年前の女子刑務所に舞い戻る。不倫した夫を激高して刺してしまった馬場カヨ(小泉今日子)は「自立と再生の女子刑務所」に収監された。カヨを担当する若井刑務官(満島ひかり)は、「今日からお前の名前は69番!」と言い放つ。同房の女囚たちも訳アリばかり…。さらに、カヨが崇拝していた経済アナリスト・勝田千夏も同じ刑務所だと分かり、彼女に話しかけるが…。</t>
  </si>
  <si>
    <t>番組名監獄のお姫さま　#3【爆笑ヨーグルト姫の秘密…涙の天城越え】</t>
  </si>
  <si>
    <t>ついに監獄にやってきた爆笑ヨーグルト姫・しのぶ(夏帆)。カヨ(小泉今日子)は、若井(満島ひかり)からしのぶの教育係を言い渡される。他の女囚たちは、しのぶが犯した罪に興味津々。しかし、しのぶは皆に心を開こうとはしない。そんな時、千夏(菅野美穂)がしのぶに近づく。何かを悟ったしのぶは、突如、居室からいなくなる。所内は、しのぶが失踪したと大事件に。やっと見つかったしのぶは、何か秘密を抱えているようで…。小泉今日子、満島ひかり、伊勢谷友介、夏帆、塚本高史、乙葉/池田成志/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SMBC日本シリーズ2017　第3戦　DeNA×ソフトバンクの試合状況により、放送時間が変更になる可能性がございます。</t>
  </si>
  <si>
    <t>ついに監獄にやってきた爆笑ヨーグルト姫・しのぶ(夏帆)。カヨ(小泉今日子)は、若井(満島ひかり)からしのぶの教育係を言い渡される。他の女囚たちは、しのぶが犯した罪に興味津々。しかし、しのぶは皆に心を開こうとはしない。そんな時、千夏(菅野美穂)がしのぶに近づく。何かを悟ったしのぶは、突如、居室からいなくなる。所内は、しのぶが失踪したと大事件に。やっと見つかったしのぶは、何か秘密を抱えているようで…。</t>
  </si>
  <si>
    <t>番組名監獄のお姫さま　#4【彼女たちの事情…裏切り男の面会室】</t>
  </si>
  <si>
    <t>しのぶ(夏帆)の妊娠を知ったカヨ(小泉今日子)は、どうしようかと思い悩み、若井(満島ひかり)に伝えようとするが、何度も機会を逃す。そんな時、千夏(菅野美穂)から「あの子は、冤罪だ」と聞く。姫の抱える二つの秘密を知ってしまったカヨは、若井と話すために、懲罰を願い出るが…。そんな時、千夏の父が面会にやって来る。千夏、明美、しのぶ、カヨ…次々と女囚たちの哀しい過去が明らかになっていく…。小泉今日子、満島ひかり、伊勢谷友介、夏帆、塚本高史、乙葉/池田成志/高田純次/ベンガル/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</si>
  <si>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しのぶ(夏帆)の妊娠を知ったカヨ(小泉今日子)は、どうしようかと思い悩み、若井(満島ひかり)に伝えようとするが、何度も機会を逃す。そんな時、千夏(菅野美穂)から「あの子は、冤罪だ」と聞く。姫の抱える二つの秘密を知ってしまったカヨは、若井と話すために、懲罰を願い出るが…。そんな時、千夏の父が面会にやって来る。千夏、明美、しのぶ、カヨ…次々と女囚たちの哀しい過去が明らかになっていく…。</t>
  </si>
  <si>
    <t>番組名監獄のお姫さま　#5【この子を守りたい!女囚たちの育児日記】</t>
  </si>
  <si>
    <t>ついにしのぶの赤ちゃんが無事に産まれる。元気な男の子は、「勇介」と名づけられ、刑務所で育てられる最長の期間、1歳半までここで育てることになる。カヨたちの獄中での育児が始まった。しのぶは、1歳半を過ぎたら勇介を施設に預けることを薦められるが、母親に真実を全て話し、自分が出所するまで預かってもらうことを決心する。そして、お迎えの日がやってくる…。爆笑ヨーグルト姫事件の真実が次第に明らかになっていく。小泉今日子、満島ひかり、伊勢谷友介、夏帆、塚本高史、乙葉/池田成志/高田純次/ベンガル/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</si>
  <si>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ついにしのぶの赤ちゃんが無事に産まれる。元気な男の子は、「勇介」と名づけられ、刑務所で育てられる最長の期間、1歳半までここで育てることになる。カヨたちの獄中での育児が始まった。しのぶは、1歳半を過ぎたら勇介を施設に預けることを薦められるが、母親に真実を全て話し、自分が出所するまで預かってもらうことを決心する。そして、お迎えの日がやってくる…。爆笑ヨーグルト姫事件の真実が次第に明らかになっていく。</t>
  </si>
  <si>
    <t>番組名監獄のお姫さま　#6【決意と結束】</t>
  </si>
  <si>
    <t>勇介を吾郎に連れて行かれてから、カヨ(小泉今日子)たち6号室の面々は勇介ロスに陥る。若井(満島ひかり)でさえも、勇介ロス。そして、勇介を失ってからすっかり元気を無くしたしのぶ(夏帆)を元気付けようとカヨたちは奮闘するが、空回り。そんな時、千夏(菅野美穂)は、勇介が吾郎の新しい恋人の晴海(乙葉)のもとで育てられていることを知る。怒りを覚える女囚たち。そんなとき、刑務所内で慰問コンサートが開かれる。小泉今日子、満島ひかり、伊勢谷友介、夏帆、塚本高史、乙葉、あびる優/池田成志/前川清/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</si>
  <si>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勇介を吾郎に連れて行かれてから、カヨ(小泉今日子)たち6号室の面々は勇介ロスに陥る。若井(満島ひかり)でさえも、勇介ロス。そして、勇介を失ってからすっかり元気を無くしたしのぶ(夏帆)を元気付けようとカヨたちは奮闘するが、空回り。そんな時、千夏(菅野美穂)は、勇介が吾郎の新しい恋人の晴海(乙葉)のもとで育てられていることを知る。怒りを覚える女囚たち。そんなとき、刑務所内で慰問コンサートが開かれる。</t>
  </si>
  <si>
    <t>番組名監獄のお姫さま　#7【ハニートラップ!?】</t>
  </si>
  <si>
    <t>板橋吾郎(伊勢谷)への復讐を誓い合ったカヨ(小泉今日子)たちは、所内生活でも時間を見つければ、どうやって復讐をするかの話し合いをする。しかし、その内容は落とし穴を掘るなど、とんちんかんな計画ばかり。そんな女囚たちの動きを不審に思った若井(満島)は、カヨが書き溜めている「復讐ノート」を発見してしまう。果たして、カヨたちの計画の行方は…。そして現在のガレージでも、千夏が吾郎のハニートラップに…!?  小泉今日子、満島ひかり、伊勢谷友介、夏帆、塚本高史、乙葉、あびる優/池田成志/坂井真紀、森下愛子、菅野美穂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</si>
  <si>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 xml:space="preserve">板橋吾郎(伊勢谷)への復讐を誓い合ったカヨ(小泉今日子)たちは、所内生活でも時間を見つければ、どうやって復讐をするかの話し合いをする。しかし、その内容は落とし穴を掘るなど、とんちんかんな計画ばかり。そんな女囚たちの動きを不審に思った若井(満島)は、カヨが書き溜めている「復讐ノート」を発見してしまう。果たして、カヨたちの計画の行方は…。そして現在のガレージでも、千夏が吾郎のハニートラップに…!?  </t>
  </si>
  <si>
    <t>番組名監獄のお姫さま　#8【大好きだから、もう会いたくないの…】</t>
  </si>
  <si>
    <t>美容師国家試験に合格し、長谷川(塚本高史)との獄中交際も順調なカヨ(小泉今日子)だったが、復讐ノートが若井(満島ひかり)に見つかってしまい、懲罰房に入れられてしまう。「雑魚にだっておばさんにだって正義はある」と主張するカヨだったが、外に出たらそんなもの忘れてしまうと諭される。一方、現代のガレージでは千夏(菅野美穂)が吾郎(伊勢谷)にハニートラップをしかけ、。さらに若井も晴海(乙葉)を連れていて…。小泉今日子、満島ひかり、伊勢谷友介、夏帆、塚本高史、乙葉、あびる優/池田成志/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</si>
  <si>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美容師国家試験に合格し、長谷川(塚本高史)との獄中交際も順調なカヨ(小泉今日子)だったが、復讐ノートが若井(満島ひかり)に見つかってしまい、懲罰房に入れられてしまう。「雑魚にだっておばさんにだって正義はある」と主張するカヨだったが、外に出たらそんなもの忘れてしまうと諭される。一方、現代のガレージでは千夏(菅野美穂)が吾郎(伊勢谷)にハニートラップをしかけ、。さらに若井も晴海(乙葉)を連れていて…。</t>
  </si>
  <si>
    <t>番組名監獄のお姫さま　#9【やっぱり私が、犯人です…衝撃の最終章開幕!!】</t>
  </si>
  <si>
    <t>カヨ(小泉今日子)が出所して、一人監獄に残された姫(夏帆)。寂しさを隠し、けなげにふるまう姫を見て、若井(満島ひかり)は、姫に勇介を会わせてあげようと尽力する。しかし、その行動が裏目に出てしまい…。一方、現代のガレージでは、晴海(乙葉)も加わって、吾郎に罪を認めさせるプレ裁判を行っていた。千夏の名演技で吾郎がついに陥落か…!?と思ったその時、思いよらない人物が登場する!衝撃の最終章開幕!!  小泉今日子、満島ひかり、伊勢谷友介、夏帆、塚本高史、乙葉、あびる優/池田成志/高田純次/尾美としのり/満島真之介/坂井真紀、森下愛子、菅野美穂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</si>
  <si>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 xml:space="preserve">カヨ(小泉今日子)が出所して、一人監獄に残された姫(夏帆)。寂しさを隠し、けなげにふるまう姫を見て、若井(満島ひかり)は、姫に勇介を会わせてあげようと尽力する。しかし、その行動が裏目に出てしまい…。一方、現代のガレージでは、晴海(乙葉)も加わって、吾郎に罪を認めさせるプレ裁判を行っていた。千夏の名演技で吾郎がついに陥落か…!?と思ったその時、思いよらない人物が登場する!衝撃の最終章開幕!!  </t>
  </si>
  <si>
    <t>番組名監獄のお姫さま　#10【おばさん達の最後の勇気とお節介でっせ!衝撃の最終回!】</t>
  </si>
  <si>
    <t>実行犯とされるタイ人プリンスの証言を取ろうとするカヨ(小泉)たち。一方、長谷川(塚本)は事件のあった沖縄で新たな真実を発見する!事態は急展開するかと思いきや、カヨたちは警察に拘束されてしまう。果たして、おばさんたちの正義の行き着く先は…。姫の運命は?おばさんたちの復讐劇ついに閉幕!!衝撃の最終回を見逃さないでください!!  小泉今日子、満島ひかり、伊勢谷友介、夏帆、塚本高史、乙葉/池田成志/尾美としのり/坂井真紀、森下愛子、菅野美穂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</si>
  <si>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 xml:space="preserve">実行犯とされるタイ人プリンスの証言を取ろうとするカヨ(小泉)たち。一方、長谷川(塚本)は事件のあった沖縄で新たな真実を発見する!事態は急展開するかと思いきや、カヨたちは警察に拘束されてしまう。果たして、おばさんたちの正義の行き着く先は…。姫の運命は?おばさんたちの復讐劇ついに閉幕!!衝撃の最終回を見逃さないでください!!  </t>
  </si>
  <si>
    <t>1710_TBS_金22</t>
  </si>
  <si>
    <t>コウノドリ</t>
  </si>
  <si>
    <t>番組名金曜ドラマ「コウノドリ」第1話　初回15分拡大SP【命についてのすべてのこと】</t>
  </si>
  <si>
    <t>あれから時が経ち、産科医・鴻鳥サクラ(綾野剛)はかつての恩師・荻島(佐々木蔵之介)がいる離島にいた。小学校を訪れていたサクラの前で、妊婦が突然倒れる。サクラと荻島はドクターヘリを呼び、対応するが・・・。一方、ペルソナ病院にも、急患の妊婦が救急搬送されてくる。産科医・四宮(星野源)と下屋(松岡茉優)を中心に、緊急手術に臨む。そんな中、サクラの前に耳が聞こえない妊婦の早見マナ(志田未来)が現れる。綾野剛、松岡茉優、吉田羊、坂口健太郎、星野源、大森南朋  佐々木蔵之介、志田未来、高橋メアリージュン、ナオト・インティライミ、泉澤祐希、松本穂香、菅原大吉、安藤輪子、毎熊克哉主題歌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</si>
  <si>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あれから時が経ち、産科医・鴻鳥サクラ(綾野剛)はかつての恩師・荻島(佐々木蔵之介)がいる離島にいた。小学校を訪れていたサクラの前で、妊婦が突然倒れる。サクラと荻島はドクターヘリを呼び、対応するが・・・。一方、ペルソナ病院にも、急患の妊婦が救急搬送されてくる。産科医・四宮(星野源)と下屋(松岡茉優)を中心に、緊急手術に臨む。そんな中、サクラの前に耳が聞こえない妊婦の早見マナ(志田未来)が現れる。</t>
  </si>
  <si>
    <t>番組名金曜ドラマ「コウノドリ」第2話【答えのない選択　二つの大切な命を守るために】</t>
  </si>
  <si>
    <t>妊娠19週の妊婦・久保佐和子(土村芳)は、サクラ(綾野剛)に子宮頸部腺がんと診断される。がんが進行する中、まだ完全に育っていない赤ちゃんをいつまでお腹の中で成長させるのか、佐和子のがん治療をどこまで遅らせるのか、非常にシビアな選択が久保夫婦、そして医師たちに迫る。二つの大切な命を守るために、産科医、新生児科医それぞれの意見は対立し、緊張が走る。 果たして久保夫婦2人が出す決断とはー。綾野剛、松岡茉優、吉田羊、坂口健太郎、星野源、大森南朋  土村芳、福士誠治、高橋メアリージュン、松本穂香    浅野和之、江口のりこ、宮沢氷魚、松本若菜 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</si>
  <si>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妊娠19週の妊婦・久保佐和子(土村芳)は、サクラ(綾野剛)に子宮頸部腺がんと診断される。がんが進行する中、まだ完全に育っていない赤ちゃんをいつまでお腹の中で成長させるのか、佐和子のがん治療をどこまで遅らせるのか、非常にシビアな選択が久保夫婦、そして医師たちに迫る。二つの大切な命を守るために、産科医、新生児科医それぞれの意見は対立し、緊張が走る。 果たして久保夫婦2人が出す決断とはー。</t>
  </si>
  <si>
    <t>番組名金曜ドラマ「コウノドリ」　第3話【私はダメなお母さん・・・?】</t>
  </si>
  <si>
    <t>妊娠36週の山崎麗子(川栄李奈)。素直な麗子は、迷信をすぐに聞き入れて、いつもサクラ(綾野剛)を困らせていた。心臓病を抱える麗子に負担を考え、サクラは無痛分娩を提案するが、周りの意見に左右されてしまい…。一方、キャリアウーマンの佐野彩加(高橋メアリージュン)は、診察中も赤ちゃんの顔を見ない。その姿に、サクラはある妊婦の姿を重ね合わせる。 そんな中、思いつめた彩加は赤ちゃんを残したまま姿を消すー。綾野剛、松岡茉優、吉田羊、坂口健太郎、星野源、大森南朋  高橋メアリージュン、ナオト・インティライミ、松本穂香、川栄李奈、喜矢武 豊(ゴールデンボンバー)  浅野和之、江口のりこ、宮沢氷魚、松本若菜 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</si>
  <si>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妊娠36週の山崎麗子(川栄李奈)。素直な麗子は、迷信をすぐに聞き入れて、いつもサクラ(綾野剛)を困らせていた。心臓病を抱える麗子に負担を考え、サクラは無痛分娩を提案するが、周りの意見に左右されてしまい…。一方、キャリアウーマンの佐野彩加(高橋メアリージュン)は、診察中も赤ちゃんの顔を見ない。その姿に、サクラはある妊婦の姿を重ね合わせる。 そんな中、思いつめた彩加は赤ちゃんを残したまま姿を消すー。</t>
  </si>
  <si>
    <t>番組名金曜ドラマ「コウノドリ」　第4話【自然分娩　良い母になるリスク】</t>
  </si>
  <si>
    <t>トーラック(帝王切開後の自然分娩)を希望する妊婦の蓮(安めぐみ)。我が子を愛せていないのではないかと不安になる蓮は、その理由の一つが帝王切開で生んだことにあると考え、次はどうしても自然分娩で生みたいと強く思っている。 蓮の希望を優先してあげたいサクラ(綾野剛)と、人員不足の中、子宮破裂で緊急事態を巻き起こしかねないトーラックはリスクが高すぎると考える四宮(星野源)は激しく意見が対立する。綾野剛、松岡茉優、吉田羊、坂口健太郎、星野源、大森南朋  安めぐみ、前野朋哉、木下優樹菜、パーマ大佐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  番組の内容と放送時間は変更になる可能性があります。</t>
  </si>
  <si>
    <t>トーラック(帝王切開後の自然分娩)を希望する妊婦の蓮(安めぐみ)。我が子を愛せていないのではないかと不安になる蓮は、その理由の一つが帝王切開で生んだことにあると考え、次はどうしても自然分娩で生みたいと強く思っている。 蓮の希望を優先してあげたいサクラ(綾野剛)と、人員不足の中、子宮破裂で緊急事態を巻き起こしかねないトーラックはリスクが高すぎると考える四宮(星野源)は激しく意見が対立する。</t>
  </si>
  <si>
    <t>番組名金曜ドラマ「コウノドリ」　第5話【二人の母の友情と涙-】</t>
  </si>
  <si>
    <t>サクラ(綾野剛)の元に訪れた妊娠27週の妊婦、西山瑞希(篠原 ゆき子)。診断の結果、切迫早産の可能性があり急遽入院することに。同じ病室で同じく切迫早産で入院している妊婦、七村ひかるとすぐに意気投合し2人の母は仲良くなるが、そんな中、瑞希の赤ちゃんに予測できなかった事態が…。下屋(松岡茉優)が緊急帝王切開した超低出生体重児の翔太くん。早期手術の必要があるが、両親は手術をしないと告げる。綾野剛、松岡茉優、吉田羊、坂口健太郎、星野源、大森南朋  篠原ゆき子、深水元基、矢沢心、平原テツ、井上依吏子、矢島弘一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</si>
  <si>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サクラ(綾野剛)の元に訪れた妊娠27週の妊婦、西山瑞希(篠原 ゆき子)。診断の結果、切迫早産の可能性があり急遽入院することに。同じ病室で同じく切迫早産で入院している妊婦、七村ひかるとすぐに意気投合し2人の母は仲良くなるが、そんな中、瑞希の赤ちゃんに予測できなかった事態が…。下屋(松岡茉優)が緊急帝王切開した超低出生体重児の翔太くん。早期手術の必要があるが、両親は手術をしないと告げる。</t>
  </si>
  <si>
    <t>番組名金曜ドラマ「コウノドリ」　第6話【突然の命の危機　母子の救急救命】</t>
  </si>
  <si>
    <t>下屋(松岡茉優)はヘルプで行った病院で、切迫早産で入院している神谷カエと出会う。カエは、突然の入院に不安が募っていた。名前も年齢も同じ2人、下屋はカエの相談に乗る中で、次第に医師と患者の関係を越え、仲良くなっていく。ある日、下屋はカエの様子に違和感を覚え、院長に告げるが「週明けに検査する」と返され、帰路につく。ペルソナに戻った下屋のもとに緊急搬送が。なんと心肺停止で運ばれて来たカエだったーー。綾野剛、松岡茉優、吉田羊、坂口健太郎、星野源、大森南朋  篠原ゆき子、深水元基、矢沢心、平原テツ、井上依吏子、矢島弘一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</si>
  <si>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下屋(松岡茉優)はヘルプで行った病院で、切迫早産で入院している神谷カエと出会う。カエは、突然の入院に不安が募っていた。名前も年齢も同じ2人、下屋はカエの相談に乗る中で、次第に医師と患者の関係を越え、仲良くなっていく。ある日、下屋はカエの様子に違和感を覚え、院長に告げるが「週明けに検査する」と返され、帰路につく。ペルソナに戻った下屋のもとに緊急搬送が。なんと心肺停止で運ばれて来たカエだったーー。</t>
  </si>
  <si>
    <t>番組名金曜ドラマ「コウノドリ」　第7話【母になる人生 母にならない人生】</t>
  </si>
  <si>
    <t>突然、倒れた小松(吉田羊)、心配するサクラ(綾野剛)と四宮(星野源)に、心配かけまいと努めて明るく振舞う。しかし、詳しい検査を行うと、子宮線筋症ということが判明。すでに症状が悪く、ガンになる可能性もあるため、子宮の全摘を薦めるのが本人の為だとサクラたちは考え、本人に伝える。小松自身は全摘した方が良いとは分かっているが、踏み切れずにいた。 そんな小松を支えるペルソナの仲間たち。小松が出した結論はー綾野剛、松岡茉優、吉田羊、坂口健太郎、星野源、大森南朋  須藤理彩、古舘寛治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</si>
  <si>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突然、倒れた小松(吉田羊)、心配するサクラ(綾野剛)と四宮(星野源)に、心配かけまいと努めて明るく振舞う。しかし、詳しい検査を行うと、子宮線筋症ということが判明。すでに症状が悪く、ガンになる可能性もあるため、子宮の全摘を薦めるのが本人の為だとサクラたちは考え、本人に伝える。小松自身は全摘した方が良いとは分かっているが、踏み切れずにいた。 そんな小松を支えるペルソナの仲間たち。小松が出した結論はー</t>
  </si>
  <si>
    <t>番組名金曜ドラマ「コウノドリ」　第8話【医師の決意　選ぶべき道】</t>
  </si>
  <si>
    <t>風間真帆(芦名 星)の赤ちゃんが仮死状態で生まれるが、新生児科医・白川(坂口健太郎)の素早い処置で一命をとりとめる。さらに白川の診断により、病気も見つかる。医者としてもっと上を目指すべきだと強い向上心を見せる白川。その様子を見て今橋(大森南朋)は、周りが見えなくなっていないかと心配をしていた。そんな矢先に、風間さんの赤ちゃんの肺が真っ白になっていることがわかり、白川の診断ミスの疑いが発覚するー綾野剛、松岡茉優、吉田羊、坂口健太郎、星野源、大森南朋　　  芦名星、高橋努、相楽樹　○　山口紗弥加　○　塩見三省、　  浅野和之、江口のりこ、宮沢氷魚、松本若菜 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</si>
  <si>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風間真帆(芦名 星)の赤ちゃんが仮死状態で生まれるが、新生児科医・白川(坂口健太郎)の素早い処置で一命をとりとめる。さらに白川の診断により、病気も見つかる。医者としてもっと上を目指すべきだと強い向上心を見せる白川。その様子を見て今橋(大森南朋)は、周りが見えなくなっていないかと心配をしていた。そんな矢先に、風間さんの赤ちゃんの肺が真っ白になっていることがわかり、白川の診断ミスの疑いが発覚するー</t>
  </si>
  <si>
    <t>番組名金曜ドラマ「コウノドリ」　第9話【不育症　世界一の味方は誰?】</t>
  </si>
  <si>
    <t>過去2回流産をしている妊婦の篠原沙月(野波麻帆)が、不安そうに診察を受ける。診断の結果、今回も胎児に心拍はなかった…。3回目となった流産に不育症を自ら疑う。現代医学でもわからないことが多いこの病にサクラ(綾野剛)はどう向き合うのか。 一方、父・晃志郎(塩見三省)が再び倒れたと聞いた四宮(星野 源)。石川県能登に帰省すると、晃志郎の担当する妊婦に早剥の疑いが。一刻を争う事態の中、四宮の判断はー綾野剛、松岡茉優、吉田羊、坂口健太郎、星野源、大森南朋　  野波麻帆、高橋光臣、相楽 樹、高橋 洋、古舘寛治　〇　塩見三省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</si>
  <si>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過去2回流産をしている妊婦の篠原沙月(野波麻帆)が、不安そうに診察を受ける。診断の結果、今回も胎児に心拍はなかった…。3回目となった流産に不育症を自ら疑う。現代医学でもわからないことが多いこの病にサクラ(綾野剛)はどう向き合うのか。 一方、父・晃志郎(塩見三省)が再び倒れたと聞いた四宮(星野 源)。石川県能登に帰省すると、晃志郎の担当する妊婦に早剥の疑いが。一刻を争う事態の中、四宮の判断はー</t>
  </si>
  <si>
    <t>番組名金曜ドラマ「コウノドリ」　第10話【出生前診断　命についてのすべてのこと】</t>
  </si>
  <si>
    <t>別のクリニックでの出生前診断で21トリソミー陽性と検査結果が出た妊婦の高山透子(初音映莉子)がサクラ(綾野 剛)の元に。サクラは、「二人で向き合い、決めていくことになる」と告げる。一方、羊水検査でダウン症候群との診断を受けていた明代(りょう)。サクラと今橋(大森南朋)を前に明代は“ある決意"を告げる。 2組の夫婦の選択に、思い悩むペルソナメンバーたちに、サクラは自らの“ある想い"を告げるー。綾野剛、松岡茉優、吉田羊、坂口健太郎、星野源、大森南朋  りょう、初音映莉子、近藤公園、石田卓也、相楽樹、奥山佳恵、須藤理彩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</si>
  <si>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別のクリニックでの出生前診断で21トリソミー陽性と検査結果が出た妊婦の高山透子(初音映莉子)がサクラ(綾野 剛)の元に。サクラは、「二人で向き合い、決めていくことになる」と告げる。一方、羊水検査でダウン症候群との診断を受けていた明代(りょう)。サクラと今橋(大森南朋)を前に明代は“ある決意"を告げる。 2組の夫婦の選択に、思い悩むペルソナメンバーたちに、サクラは自らの“ある想い"を告げるー。</t>
  </si>
  <si>
    <t>番組名金曜ドラマ「コウノドリ」最終回【チームが起こす最後の奇跡】</t>
  </si>
  <si>
    <t>サクラ(綾野 剛)は、出生前診断でダウン症と診断を受けるも、出産を決意した透子(初音映莉子)と向き合う。まだ不安が拭えない透子に今橋(大森南朋)はある詩を教える。父が亡くなり、地元に帰った四宮(星野 源)の今後はー?学生時代から共に過ごしてきた下屋(松岡茉優)と白川(坂口健太郎)の別れの結末はー?小松(吉田羊)が語った決意とはー?そんな時、小松の同期の武田(須藤理彩)の出産にまさかの出来事が…綾野剛、松岡茉優、吉田羊、坂口健太郎、星野源、大森南朋  佐々木蔵之介、山口紗弥加、清野菜名、古舘寛治、初音映莉子、石田卓也、奥山佳恵、須藤理彩、奥貫 薫、戸田昌宏、高橋メアリージュン、ナオト・インティライミ　○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  番組の内容と放送時間は変更になる可能性があります。</t>
  </si>
  <si>
    <t>サクラ(綾野 剛)は、出生前診断でダウン症と診断を受けるも、出産を決意した透子(初音映莉子)と向き合う。まだ不安が拭えない透子に今橋(大森南朋)はある詩を教える。父が亡くなり、地元に帰った四宮(星野 源)の今後はー?学生時代から共に過ごしてきた下屋(松岡茉優)と白川(坂口健太郎)の別れの結末はー?小松(吉田羊)が語った決意とはー?そんな時、小松の同期の武田(須藤理彩)の出産にまさかの出来事が…</t>
  </si>
  <si>
    <t>1710_TBS_日21</t>
  </si>
  <si>
    <t>陸王</t>
  </si>
  <si>
    <t>番組名日曜劇場「陸王」　第1話【倒産寸前の足袋屋の挑戦がはじまる!】</t>
  </si>
  <si>
    <t>いよいよ始まる日曜劇場「陸王」!倒産寸前の足袋屋が再起をかけて立ち上がり、畑違いのランニングシューズ作りに挑む!そんな無謀とも思える挑戦にかける熱き人物たちの感動の物語!老舗足袋屋の四代目社長　宮沢紘一(役所広司)。就活がうまくいかない息子の大地(山崎賢人)ともぶつかる日々の中、会社を立て直すべく、新規事業に乗り出す。シューズ作りを始めた宮沢たちは、茂木(竹内涼真)という1人のランナーに出会う。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  家長亨・・・桂雀々富島玄三・・・志賀廣太郎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t>
  </si>
  <si>
    <t>いよいよ始まる日曜劇場「陸王」!倒産寸前の足袋屋が再起をかけて立ち上がり、畑違いのランニングシューズ作りに挑む!そんな無謀とも思える挑戦にかける熱き人物たちの感動の物語!老舗足袋屋の四代目社長　宮沢紘一(役所広司)。就活がうまくいかない息子の大地(山崎賢人)ともぶつかる日々の中、会社を立て直すべく、新規事業に乗り出す。シューズ作りを始めた宮沢たちは、茂木(竹内涼真)という1人のランナーに出会う。</t>
  </si>
  <si>
    <t>番組名日曜劇場「陸王」　第2話【1億円の特許を手に入れろ!】</t>
  </si>
  <si>
    <t>マラソンシューズ「陸王」の開発が本格始動したこはぜ屋。次なる試練は、シューズの耐久性を高める素材探し!理想的な素材に辿りついた宮沢(役所広司)は、その素材の特許の持ち主・飯山(寺尾聰)に会うことに。しかし、飯山はとんだ金の亡者で高額な特許使用料を求めてきた!一方、レース中に負傷したランナーの茂木(竹内涼真)は、怪我を克服する為に必死に練習に打ち込むが思うようにいかず、焦りを募らせており…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佐山淳司・・・小籔千豊家長亨・・・桂雀々  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  番組の内容と放送時間は変更になる可能性があります。</t>
  </si>
  <si>
    <t>マラソンシューズ「陸王」の開発が本格始動したこはぜ屋。次なる試練は、シューズの耐久性を高める素材探し!理想的な素材に辿りついた宮沢(役所広司)は、その素材の特許の持ち主・飯山(寺尾聰)に会うことに。しかし、飯山はとんだ金の亡者で高額な特許使用料を求めてきた!一方、レース中に負傷したランナーの茂木(竹内涼真)は、怪我を克服する為に必死に練習に打ち込むが思うようにいかず、焦りを募らせており…</t>
  </si>
  <si>
    <t>番組名日曜劇場「陸王」　第3話【シューズ業界に殴り込みをかける!】</t>
  </si>
  <si>
    <t>シューズの命とも言えるソールにうってつけの素材「シルクレイ」の開発者・飯山(寺尾聰)を仲間に迎えた「陸王」計画。大手メーカーに負けないシューズ作りに意気込むものの、そう簡単にはいかず…　宮沢(役所広司)は陸王の売り上げ実績を少しでも作るべく奔走する日々。そんな中、初めて陸王に足を通した茂木(竹内涼真)はこれまでにない履き心地のシューズに、走る喜びを感じていたが、ライバルたちはどんどん先を行き…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  家長亨・・・桂雀々富島玄三・・・志賀廣太郎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t>
  </si>
  <si>
    <t>シューズの命とも言えるソールにうってつけの素材「シルクレイ」の開発者・飯山(寺尾聰)を仲間に迎えた「陸王」計画。大手メーカーに負けないシューズ作りに意気込むものの、そう簡単にはいかず…　宮沢(役所広司)は陸王の売り上げ実績を少しでも作るべく奔走する日々。そんな中、初めて陸王に足を通した茂木(竹内涼真)はこれまでにない履き心地のシューズに、走る喜びを感じていたが、ライバルたちはどんどん先を行き…</t>
  </si>
  <si>
    <t>番組名日曜劇場「陸王」　第4話【茂木、崖っぷちからの復活!!】</t>
  </si>
  <si>
    <t>ソール(靴底)用のシルクレイが遂に完成!「ニュー陸王」が誕生する!自信をもって茂木(竹内涼真)に届けようとする宮沢(役所広司)だったが、怪我が回復したらまたアトランティスからのサポートを受けることになっていると城戸(音尾琢真)からまたも門前払いされる。しかし、アトランティスは回復の兆しがみえない茂木のスポンサードを再開する気はさらさらなく…　それでも這い上がろうとする茂木。最後に陸王を選ぶのか!?宮沢紘一・・・役所広司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佐山淳司・・・小籔千豊家長亨・・・桂雀々  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t>
  </si>
  <si>
    <t>ソール(靴底)用のシルクレイが遂に完成!「ニュー陸王」が誕生する!自信をもって茂木(竹内涼真)に届けようとする宮沢(役所広司)だったが、怪我が回復したらまたアトランティスからのサポートを受けることになっていると城戸(音尾琢真)からまたも門前払いされる。しかし、アトランティスは回復の兆しがみえない茂木のスポンサードを再開する気はさらさらなく…　それでも這い上がろうとする茂木。最後に陸王を選ぶのか!?</t>
  </si>
  <si>
    <t>番組名日曜劇場「陸王」　第5話【ライバル会社と真っ向勝負!!】</t>
  </si>
  <si>
    <t>宮沢(役所広司)たちが心を込めて完成させた「陸王」を履いた茂木(竹内涼真)は、完全復活を遂げる!走り心地の良さに感動した茂木は、こはぜ屋のサポートを是非にと受け入れる。宮沢の念願が叶った瞬間だったが、茂木の快走を目の当たりにしたアトランィスの小原(ピエール瀧)は、まだ金になる選手だと考え、サポート再開を画策する。そんな中、飯山(寺尾聰)が何者かに襲われ、シルクレイ製造の危機に見舞われる!  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佐山淳司・・・小籔千豊家長亨・・・桂雀々  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t>
  </si>
  <si>
    <t xml:space="preserve">宮沢(役所広司)たちが心を込めて完成させた「陸王」を履いた茂木(竹内涼真)は、完全復活を遂げる!走り心地の良さに感動した茂木は、こはぜ屋のサポートを是非にと受け入れる。宮沢の念願が叶った瞬間だったが、茂木の快走を目の当たりにしたアトランィスの小原(ピエール瀧)は、まだ金になる選手だと考え、サポート再開を画策する。そんな中、飯山(寺尾聰)が何者かに襲われ、シルクレイ製造の危機に見舞われる!  </t>
  </si>
  <si>
    <t>番組名日曜劇場「陸王」　第6話【ついに「陸王」デビュー戦!】</t>
  </si>
  <si>
    <t>茂木(竹内涼真)は、最後まで悩んだ挙句「陸王」を選び、ついに「陸王」がレースで走る日が訪れる!怪我をして挫折した豊橋国際マラソン以来の、宿命のライバル・毛塚(佐野岳)との対戦。こはぜ屋のみんなの想いを抱えて茂木は力走する!宮沢(役所広司)は「陸王」のデビュー戦を目の当たりにし、ひとつの夢が叶ったと感慨深いものを感じるが…。一方、アトランティスのこはぜ屋潰しの動きが本格化し、窮地に追い込まれる!?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佐山淳司・・・小籔千豊家長亨・・・桂雀々  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  番組の内容と放送時間は変更になる可能性があります。</t>
  </si>
  <si>
    <t>茂木(竹内涼真)は、最後まで悩んだ挙句「陸王」を選び、ついに「陸王」がレースで走る日が訪れる!怪我をして挫折した豊橋国際マラソン以来の、宿命のライバル・毛塚(佐野岳)との対戦。こはぜ屋のみんなの想いを抱えて茂木は力走する!宮沢(役所広司)は「陸王」のデビュー戦を目の当たりにし、ひとつの夢が叶ったと感慨深いものを感じるが…。一方、アトランティスのこはぜ屋潰しの動きが本格化し、窮地に追い込まれる!?</t>
  </si>
  <si>
    <t>番組名日曜劇場「陸王」　第7話【「陸王」生産の危機!!救世主現る!?】</t>
  </si>
  <si>
    <t>アトランティスのこはぜ屋潰しが本格的に始まる!やっとの思いで手に入れたタチバナラッセル製のアッパー素材の取引を、アトランティスに横取りされる!更に、シルクレイの製造機にとうとう寿命が訪れ…「陸王」開発メンバーの間にも軋轢が生じ、空前の危機を迎えるこはぜ屋!そんな窮地で救世主が現れる!?宮沢(役所広司)は社長として覚悟を決められるのか?「陸王」を待つ茂木(竹内涼真)の運命はどうなるのか!?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佐山淳司・・・小籔千豊御園丈治・・・松岡修造  家長亨・・・桂雀々  富島玄三・・・志賀廣太郎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t>
  </si>
  <si>
    <t>アトランティスのこはぜ屋潰しが本格的に始まる!やっとの思いで手に入れたタチバナラッセル製のアッパー素材の取引を、アトランティスに横取りされる!更に、シルクレイの製造機にとうとう寿命が訪れ…「陸王」開発メンバーの間にも軋轢が生じ、空前の危機を迎えるこはぜ屋!そんな窮地で救世主が現れる!?宮沢(役所広司)は社長として覚悟を決められるのか?「陸王」を待つ茂木(竹内涼真)の運命はどうなるのか!?</t>
  </si>
  <si>
    <t>番組名日曜劇場「陸王」　第8話【チーム「陸王」、解散!?山崎賢人も遂に爆走!?】</t>
  </si>
  <si>
    <t>「陸王」の為に必要なシルクレイ製造機の修理費・1億円を工面する手段として、坂本(風間俊介)から、こはぜ屋を売らないかという仰天の提案が出る!老舗ののれんを売るわけにはいかないと一蹴する宮沢(役所広司)。しかし、解決策が見つからないまま「陸王」製造は中止に追い込まれ…最後にこはぜ屋全員で臨むのは市民駅伝だった!?一方、頼るシューズが無くなった茂木(竹内涼真)はアトランティスから再びアプローチされる!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佐山淳司・・・小籔千豊御園丈治・・・松岡修造  家長亨・・・桂雀々  富島玄三・・・志賀廣太郎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t>
  </si>
  <si>
    <t>「陸王」の為に必要なシルクレイ製造機の修理費・1億円を工面する手段として、坂本(風間俊介)から、こはぜ屋を売らないかという仰天の提案が出る!老舗ののれんを売るわけにはいかないと一蹴する宮沢(役所広司)。しかし、解決策が見つからないまま「陸王」製造は中止に追い込まれ…最後にこはぜ屋全員で臨むのは市民駅伝だった!?一方、頼るシューズが無くなった茂木(竹内涼真)はアトランティスから再びアプローチされる!</t>
  </si>
  <si>
    <t>番組名日曜劇場「陸王」第9話【さよなら、こはぜ屋ーー社長は買収に応じる!?】</t>
  </si>
  <si>
    <t>窮地に陥るこはぜ屋の起死回生の手段として、宮沢(役所広司)はフェリックスの御園(松岡修造)からの買収話に応じようとする。その条件は、こはぜ屋にとって決して悪いものではなかった。だが、聞きつけたあけみ(阿川佐和子)らこはぜ屋の社員は猛反発し、社内は決裂。頭を抱える宮沢に飯山(寺尾聰)は、買収話には更なる裏が何かあるのではないかと話す。一方、「陸王」無き今、茂木(竹内涼真)はRIIに再び足をいれ…!  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佐山淳司・・・小籔千豊御園丈治・・・松岡修造  家長亨・・・桂雀々  富島玄三・・・志賀廣太郎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t>
  </si>
  <si>
    <t xml:space="preserve">窮地に陥るこはぜ屋の起死回生の手段として、宮沢(役所広司)はフェリックスの御園(松岡修造)からの買収話に応じようとする。その条件は、こはぜ屋にとって決して悪いものではなかった。だが、聞きつけたあけみ(阿川佐和子)らこはぜ屋の社員は猛反発し、社内は決裂。頭を抱える宮沢に飯山(寺尾聰)は、買収話には更なる裏が何かあるのではないかと話す。一方、「陸王」無き今、茂木(竹内涼真)はRIIに再び足をいれ…!  </t>
  </si>
  <si>
    <t>番組名日曜劇場「陸王」最終回【「陸王」がこはぜ屋、茂木、皆の未来を救う!走れ!陸王!】</t>
  </si>
  <si>
    <t>買収の危機からこはぜ屋の暖簾と社員が守った宮沢(役所広司)!フェリックスの御園(松岡修造)は宮沢との交渉は決裂したものの、「陸王」というシューズ自体には新たな可能性を感じ、ある意外な提案を宮沢に持ちかける。そんな中、RIIで豊橋国際マラソンのリベンジマッチに挑む茂木(竹内涼真)。全身全霊の想いを込めて、チーム「陸王」は茂木への最後の「陸王」を贈ろうとし…今夜、大感動の最終回を迎える!!  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佐山淳司・・・小籔千豊御園丈治・・・松岡修造  家長亨・・・桂雀々  富島玄三・・・志賀廣太郎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  番組の内容と放送時間は変更になる可能性があります。</t>
  </si>
  <si>
    <t xml:space="preserve">買収の危機からこはぜ屋の暖簾と社員が守った宮沢(役所広司)!フェリックスの御園(松岡修造)は宮沢との交渉は決裂したものの、「陸王」というシューズ自体には新たな可能性を感じ、ある意外な提案を宮沢に持ちかける。そんな中、RIIで豊橋国際マラソンのリベンジマッチに挑む茂木(竹内涼真)。全身全霊の想いを込めて、チーム「陸王」は茂木への最後の「陸王」を贈ろうとし…今夜、大感動の最終回を迎える!!  </t>
  </si>
  <si>
    <t>1707_TBS_火22</t>
  </si>
  <si>
    <t>カンナさーん！</t>
  </si>
  <si>
    <t>番組名火曜ドラマ「カンナさーん！」(1)♪( ´θ｀)ノ渡辺直美がドラマ主演にマジ挑戦！</t>
  </si>
  <si>
    <t>家事に仕事に子育て…愛する家族のため、忙しい毎日を過ごすパワフルママ・鈴木カンナ（渡辺直美）。しかし幼い息子・麗音の誕生日に人生最悪の事件が！なぜか深夜に帰宅した夫・礼（要潤）のスマホには、見知らぬ女の姿がー？突然の夫婦の危機！更に天然ボケか毒舌か…「自信を持って完璧な妻だって言える？」という姑の厳しい一言！次々起こるピンチにも、顔で笑って心で泣いて…見ればきっと元気になる、肝っ玉母ちゃん奮闘記！渡辺直美、要潤、山口紗弥加、工藤阿須加、トリンドル玲奈、じろう（シソンヌ）、川原瑛都（子役）、遠山俊也、朝加真由美、佐藤隆太、斉藤由貴主題歌「キラキラ　feat.　カンナ」/AI　（EMI　Records）  作詞　AI　作曲　AI , UTA  脚本:　マギー　演出:　平野俊一、国本雅広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t>
  </si>
  <si>
    <t>番組名火曜ドラマ「カンナさーん！」(2)渡辺直美主演！頑張るパワフルママに絶体絶命ピンチ！</t>
  </si>
  <si>
    <t>シングルマザーになった河東カンナ（渡辺直美）。キュートな息子・麗音と楽しい二人暮らし…かと思いきや！後輩・翔子（トリンドル玲奈）のミスで社内はとんでもない騒ぎに！姑・柳子（斉藤由貴）はカンナの多忙につけこんで麗音を独り占め！さらに…離婚した夫・礼（要潤）の恋人・真理（シシド・カフカ）とまさかの遭遇…まさに一触即発！人生最大のピンチが束になって到来！どうするカンナ！？渡辺直美、要潤、山口紗弥加、工藤阿須加、トリンドル玲奈、じろう（シソンヌ）、川原瑛都（子役）、遠山俊也、朝加真由美、シシド・カフカ、斉藤由貴主題歌「キラキラ　feat.　カンナ」/AI　（EMI　Records）  作詞　AI　作曲　AI , UTA  脚本:マギー　演出:　平野俊一、国本雅広　　プロデューサー:千葉行利、有賀聡　音楽: 得田真裕「カンナさーん」深谷かほる（集英社「クイーンズコミックス」刊）◇番組HP  http://www.tbs.co.jp/kannasaaan/  ◇instagram  https://www.instagram.com/kannasaaan_tbs/◇twitter  @kannasaaan_tbs   https://twitter.com/kannasaaan_tbs番組の内容と放送時間は変更になる場合があります。</t>
  </si>
  <si>
    <t>番組名火曜ドラマ「カンナさーん！」(3)渡辺直美主演！夫の恋人と対決…女同志の火花が散る！</t>
  </si>
  <si>
    <t>真夏の海！楽しい家族旅行のはずが…なぜか、小うるさい姑（斉藤由貴）と離婚した夫・礼（要潤）の恋人・真理（シシド・カフカ）までも参加！？困惑するカンナ（渡辺直美）だったが、はしゃいでいる幼い息子・麗音のためやむなく決行！しかし、美しい容姿だけでなく意外にも女らしい気遣いで、麗音までが真理の虜に！？絶体絶命のカンナ…そんな苦境の中で、ふとカンナに訪れる「出会いの予感」！果たして人生の大逆転なるか！？渡辺直美、要潤、山口紗弥加、工藤阿須加、トリンドル玲奈、じろう（シソンヌ）、川原瑛都（子役）、シシド・カフカ、加藤雅也、遠山俊也、朝加真由美、斉藤由貴主題歌「キラキラ　feat.　カンナ」/AI　（EMI　Records）  作詞　AI　作曲　AI , UTA  脚本:　マギー　　演出:　平野俊一、国本雅広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t>
  </si>
  <si>
    <t>番組名火曜ドラマ「カンナさーん！」(4)年上イケメンと運命の出会い！元夫との三角関係ぼっ発</t>
  </si>
  <si>
    <t>ファッション界のカリスマ・ニック難波（加藤雅也）に見初められた河東カンナ（渡辺直美）。元夫の礼（要潤）と正反対に、お金も誠実さも全てを兼ね備えているニック。遂に訪れた恋のチャンスに、ときめくカンナ！そんな時に限って「もう一度やり直そう」と礼からまさかの再告白！仕事と家事の掛け持ちで忙しいカンナに、実家での同居を勧める礼だったが…そこには姑・柳子（斉藤由貴）の策謀が…女同士の白熱の同居バトルぼっ発！渡辺直美、要潤、山口紗弥加、工藤阿須加、トリンドル玲奈、じろう（シソンヌ）、川原瑛都（子役）、加藤雅也、遠山俊也、朝加真由美、斉藤由貴主題歌「キラキラ　feat.　カンナ」/AI　（EMI　Records）  作詞　AI　作曲　AI , UTA  脚本:　マギー　　演出:　平野俊一、国本雅広　　プロデューサー:　千葉行利、有賀聡　　音楽: 得田真裕　「カンナさーん」深谷かほる（集英社「クイーンズコミックス」刊）◇番組HP  http://www.tbs.co.jp/kannasaaan/  ◇instagram  https://www.instagram.com/kannasaaan_tbs/  ◇twitter  @kannasaaan_tbs   https://twitter.com/kannasaaan_tbs  番組の内容と放送時間は変更になる場合があります。</t>
  </si>
  <si>
    <t>番組名火曜ドラマ「カンナさーん！」(5)パワフルママに恋の急展開！年上紳士の猛アプローチ！</t>
  </si>
  <si>
    <t>カンナ（渡辺直美）に訪れた恋の大波乱！カリスマ上司・ニック難波（加藤雅也）の突然の告白に慎重になりつつも、意識してしまう…青田（工藤阿須加）から、翔子（トリンドル玲奈）を誘いたいと頼まれセッティングした遊園地デートの場に、サプライズで現れるニック！「麗音君の為に徹夜でバルーンアートを練習した」という優しさに、ドキドキMAX！一方、元夫の礼（要潤）は最大のピンチに…その裏には彼の意外に熱い決意が！？渡辺直美、要潤、山口紗弥加、工藤阿須加、トリンドル玲奈、じろう（シソンヌ）、川原瑛都（子役）、加藤雅也、遠山俊也、朝加真由美、斉藤由貴主題歌「キラキラ　feat.　カンナ」/AI　（EMI　Records）  作詞　AI　作曲　AI , UTA　脚本:　マギー　　演出:　平野俊一、国本雅広　　プロデューサー:　千葉行利、有賀聡　　音楽: 得田真裕「カンナさーん」深谷かほる（集英社「クイーンズコミックス」刊）◇番組HP  http://www.tbs.co.jp/kannasaaan/  ◇instagram  https://www.instagram.com/kannasaaan_tbs/  ◇twitter  @kannasaaan_tbs   https://twitter.com/kannasaaan_tbs番組の内容と放送時間は変更になる場合があります。</t>
  </si>
  <si>
    <t>番組名火曜ドラマ「カンナさーん！」(6)新たな恋実る…と思いきやダメ夫の反撃！謎の女も登場</t>
  </si>
  <si>
    <t>ファッション界のカリスマ・ニック難波（加藤雅也）の猛アプローチを受け、愛を告白したカンナ（渡辺直美）。仕事に恋にアクセル全開…と思いきや！そこに元夫の礼（要潤）が現れて、立ち退きを迫られているカンナのためマンションを買ったと、とんでもない宣言！勝手すぎると怒りつつ、幼い息子・麗音の気持ちを察し、また礼のかつてない強い覚悟に揺れるカンナ…そんな時、突如謎の美女が現れた！その正体と、まさかの企みとは？渡辺直美、要潤、山口紗弥加、工藤阿須加、トリンドル玲奈、じろう（シソンヌ）、川原瑛都（子役）、加藤雅也、泉里香、遠山俊也、朝加真由美、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https://www.instagram.com/kannasaaan_tbs/◇twitter  @kannasaaan_tbs   https://twitter.com/kannasaaan_tbs  番組の内容と放送時間は変更になる場合があります。</t>
  </si>
  <si>
    <t>番組名火曜ドラマ「カンナさーん！」(7)愛する息子が奪われる？母の座を懸け完璧美女と対決！</t>
  </si>
  <si>
    <t>カンナ（渡辺直美）は幼い息子・麗音と新居に引越したが、夫の礼（要潤）は家に寄り付かない。仕事が忙しいとはいえ何だよ！と怒るカンナはつい麗音に当たってしまい、母子の間にスキマ風がーしかしその頃、礼は謎の美女と密会！？しかもその美女はなぜか保育園にも現れ、麗音に急接近！それを見てニンマリの姑・柳子（斉藤由貴）…一体どんな狙いが！？一方カンナの会社では、冷徹な人事部長によるリストラが発表され…大ピンチ！渡辺直美、要潤、山口紗弥加、工藤阿須加、トリンドル玲奈、じろう（シソンヌ）、川原瑛都（子役）、泉里香、　遠山俊也、朝加真由美、斉藤由貴主題歌「キラキラ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t>
  </si>
  <si>
    <t>番組名火曜ドラマ「カンナさーん！」(8)仕事も母としてもクビ！？パワフルママにリストラ宣告</t>
  </si>
  <si>
    <t>夫の胸で泣いていた美女・俊子（泉里香）は、怪我のため保育園を休むカンナの息子・麗音の世話を申し出る。上司から「デザイナーとして君の席はない」と厳しい宣告を受けたカンナ…出張が多い部署へ異動を迫られ、幼い息子を抱えて最大のピンチ！しかし当の麗音は愛情あふれる看病でメロメロ…俊子に「1番好き！」と言うのを聞いてしまい…仕事でも、母としても、リストラの危機！ラストでカンナが見せた「涙の笑顔」の訳とは！？渡辺直美、要潤、山口紗弥加、工藤阿須加、トリンドル玲奈、じろう（シソンヌ）、川原瑛都（子役）、泉里香、渡辺邦斗、遠山俊也、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t>
  </si>
  <si>
    <t>番組名火曜ドラマ「カンナさーん！」(9)夫の再プロポーズで幸せ！のはずが突然のド貧乏転落？</t>
  </si>
  <si>
    <t>麗音（川原瑛都）と一緒にいるため、前向きに退社を決めたカンナ（渡辺直美）。少しでも在庫を売り切ろう！と店舗に立っている時、自分の初めて採用されたデザインの服を、大事に着てくれていたお客さんに出会う。デザイナーとしての喜びを実感するカンナ。そんな時、奇しくもデザイナー復活のチャンスが訪れて・・・だが、その頃礼（要潤）は、信じられない借金を抱えることに！絶体絶命のカンナが、最後の対決に挑む！渡辺直美、要潤、山口紗弥加、工藤阿須加、トリンドル玲奈、じろう（シソンヌ）、川原瑛都（子役）、泉里香、　平山あや、高橋かおり、遠山俊也、朝加真由美、斉藤由貴主題歌「キラキラ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t>
  </si>
  <si>
    <t>番組名火曜ドラマ「カンナさーん！」最終話！涙のプロポーズにアノ年上イケメン登場で波乱！</t>
  </si>
  <si>
    <t>元夫の礼（要潤）が背負った大借金…突然のピンチにも「ほっとける訳ないでしょ！」と前向きに奮闘するカンナ（渡辺直美）。しかし再就職はままならず…そんな時カンナは工事現場でオッサンに混じって働く、とある女性を見かける。輝くようなカッコよさに、悩んでるより「今」前に踏み出す決意をしたカンナは…！？一方、礼は再プロポーズを決意するが…その前に、ニック難波（加藤雅也）が立ちはだかる！ドキドキと号泣のラスト！渡辺直美、要潤、山口紗弥加、工藤阿須加、トリンドル玲奈、じろう（シソンヌ）、川原瑛都（子役）、加藤雅也、泉里香、高橋メアリージュン、阿南健治、佐野勇斗、遠山俊也、朝加真由美、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t>
  </si>
  <si>
    <t>1707_TBS_金22</t>
  </si>
  <si>
    <t>ハロー張りネズミ</t>
  </si>
  <si>
    <t>番組名金曜ドラマ「ハロー張りネズミ」～FILE　No.1「代理娘」</t>
  </si>
  <si>
    <t>2017年・東京都板橋区下赤塚ー。五郎（瑛太）とグレ（森田剛）は、所長の風かほる（山口智子）が営む「あかつか探偵事務所」のお気楽所員。ある日事務所を訪れてきた川田（伊藤淳史）からの依頼は、なんと、一ヶ月前に亡くした娘を探してほしいというものだった－。「そんなの探偵の仕事じゃない」と反対されながら、人情をモットーとする五郎とグレは、川田からの依頼を叶えるため、亡くなった「娘」を探すのだが・・・。瑛太  深田恭子  森田剛    山口智子    （1話ゲスト）  伊藤淳史原作：弘兼憲史「ハロー張りネズミ」（講談社「ヤングマガジンKC」所載）  脚本／演出：大根仁  音楽　SOIL&amp;" PIMP"SESSIONSプロデュース：韓　哲、市山竜次（オフィスクレッシェンド）  製作：オフィスクレッシェンド／TBSSOIL&amp;"PIMP"SESSIONS feat. Yojiro Noda 「ユメマカセ」◇番組HP  http://www.tbs.co.jp/hello-harinezumi/  番組の内容と放送時間は変更になる場合があります。</t>
  </si>
  <si>
    <t>番組名金曜ドラマ「ハロー張りネズミ」～FILE　No.2「蘭子という女」</t>
  </si>
  <si>
    <t>美しき謎の依頼人（深田恭子）は、「自殺したとされる父親の事件の真相を明らかにすること」であった。その内容を聞いて、あかつか探偵事務所は依頼を受けるのか！？瑛太、深田恭子、森田剛、中岡創一（ロッチ）、片山萌美、矢島健一、リリー・フランキー、吹越満、平田満、中原丈雄、山口智子原作：弘兼憲史「ハロー張りネズミ」（講談社「ヤングマガジンKC」所載）  脚本／演出：大根仁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t>
  </si>
  <si>
    <t>番組名金曜ドラマ「ハロー張りネズミ」第3話「蘭子という女　後編」</t>
  </si>
  <si>
    <t>「父親の死の真相を知りたい」。謎の美女・蘭子（深田恭子）の依頼を追うゴロー（瑛太）は、その死が自殺ではなく、殺人であった事実をつかむ。さらに決定的な資料を持つ男・南（リリー・フランキー）にまで行き着いたが、その直後、南の事務所が謎の大爆発を受けてしまう！事件の真相を隠蔽しようとする巨悪の影がゴローの行く手を阻もうとしている。その巨悪とは一体誰なのか？瑛太、深田恭子、森田剛、中岡創一（ロッチ）、片山萌美、矢島健一、リリー・フランキー、山口智子  （FILE　No.3「蘭子という女」ゲスト）  吹越満、平田満、中原丈雄原作：弘兼憲史「ハロー張りネズミ」（講談社「ヤングマガジンKC」所載）  脚本／演出：大根仁  音楽　SOIL&amp;" PIMP"SESSIONSプロデュース：韓　哲、市山竜次（オフィスクレッシェンド）  製作：オフィスクレッシェンド／TBSSOIL&amp;"PIMP"SESSIONS feat. Yojiro Noda 「ユメマカセ」◇番組HP  http://www.tbs.co.jp/hello-harinezumi/    ◇instagram  https://www.instagram.com/hello_harinezumi/◇twitter  @hello_hrnzm  https://twitter.com/hello_hrnzm番組の内容と放送時間は変更になる場合があります。</t>
  </si>
  <si>
    <t>番組名金曜ドラマ「ハロー張りネズミ」第4話</t>
  </si>
  <si>
    <t>今夜から新事件スタート！  FILE No.3「ママ、淋しかったの」    「家の中に、家族以外の、誰かがいるんです」。    驚愕の依頼を受けたゴロー（瑛太）は早速依頼者の自宅を訪問する。防犯カメラをつけて遠隔から留守中の自宅を覗くゴローと依頼者だったが、数時間後、留守番をしていた5歳のひとり娘の姿とともに衝撃の映像を見てしまう！    そこでゴローは謎の女・河合（蒼井優）に協力を仰ぐことになる。瑛太、深田恭子、森田剛、蒼井優、リリー・フランキー、山口智子  （ゲスト）  内田　滋、後藤由依良、古舘寛治、上田遥原作：弘兼憲史「ハロー張りネズミ」（講談社「ヤングマガジンKC」所載）  脚本／演出：大根仁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t>
  </si>
  <si>
    <t>番組名金曜ドラマ「ハロー張りネズミ」第5話「ママ、淋しかったの」後編</t>
  </si>
  <si>
    <t>「家の中に、家族以外の誰かがいる」という依頼者の家を調べることになったゴロー（瑛太）は、その家で起こる怪奇現象を見てしまう。霊媒師・河合（蒼井優）の力を借りて、原因が和室にある「床柱」だと判明したゴローたちは、その床柱が家に建てられた経緯を探ることに。すると東京都の奥深い山奥の家から持ち込まれたものだということを知る。瑛太、深田恭子、森田剛、蒼井優／内田慈、後藤由依良、古舘寛治、上田遥、清水伸／山口智子原作：弘兼憲史「ハロー張りネズミ」（講談社「ヤングマガジンKC」所載）  脚本／演出：大根仁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t>
  </si>
  <si>
    <t>番組名金曜ドラマ「ハロー張りネズミ」第6話</t>
  </si>
  <si>
    <t>あかつか探偵事務所の探偵・ゴロー（瑛太）宛てに一通の手紙が届く。差出人の名は、身に覚えのない見知らぬ女性。  「この手紙が届くころ、私は殺されているはずです。どうかその犯人を捕まえてください」。驚愕の依頼に戸惑うゴローは、早速差出人の住所に向かうと、室内に差出人らしき女性の遺体を発見する。ゴローはその犯人を探し出すことを決意し、ある一人の県議会候補者（ムロツヨシ）の元へ向かう。瑛太、深田恭子、森田剛、山口智子  （第6話ゲスト）  ムロツヨシ、玄理、前野朋哉、岩谷健司原作：弘兼憲史「ハロー張りネズミ」（講談社「ヤングマガジンKC」所載）  脚本：大根仁、二宮孝平  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t>
  </si>
  <si>
    <t>番組名金曜ドラマ「ハロー張りネズミ」　第7話</t>
  </si>
  <si>
    <t>ゴロー（瑛太）の探偵事務所の近くにある「八百龍」。ここで働くさえない純朴な男からの依頼内容は「いつも夜にネギを買いに来る名前も知らない美女について知りたい」というものだった。  早速ゴローと蘭子（深田恭子）は謎の女性・外資系OL七菜子（橋本マナミ）を探し出すことに成功する。しかし、ゴローたちは七菜子が毎夜違う男と一夜をともにしている事実を知ってしまう。しかし彼女はある複雑な事情を抱えていて・・・。瑛太  深田恭子  森田剛  リリー・フランキー  山口智子    （7話ゲスト）  橋本マナミ  宇野祥平原作：弘兼憲史「ハロー張りネズミ」（講談社「ヤングマガジンKC」所載）  脚本：大根仁、関えり香  脚本協力：黒住光    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https://twitter.com/hello_hrnzm番組の内容と放送時間は変更になる場合があります。</t>
  </si>
  <si>
    <t>番組名金曜ドラマ「ハロー張りネズミ」　第8話</t>
  </si>
  <si>
    <t>FILE.6「残された時間」  今回の依頼主は「25年前に生き別れた息子と娘を探してほしい」という、中華料理店の雇われ店長・栗田（國村隼）。息子と娘の居場所を探すため、グレ（森田剛）と栗田の二人旅が始まる。    唯一の手がかりになっているのは、10年前、横浜市に住む娘からの手紙。当時、手紙を受け取った栗田には、娘の元に行けなかったある事情があった。瑛太  深田恭子  森田剛    山口智子    （第8話「残された時間」ゲスト）  國村隼    松本若菜  山中崇  根岸季衣    上村依子  井上肇  高崎佳代  田窪一世  長田奈麻  松下結衣子原作：弘兼憲史「ハロー張りネズミ」（講談社「ヤングマガジンKC」所載）  脚本：大根仁、黒住光  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t>
  </si>
  <si>
    <t>番組名金曜ドラマ「ハロー張りネズミ」　第9話</t>
  </si>
  <si>
    <t>FILE 7「下赤塚戦士レッドマン」    金にならない依頼ばかりの赤塚探偵事務所もそろそろやばい！ゴロー（瑛太）とグレ（森田剛）、蘭子（深田恭子）は所長のかほる（山口智子）から「何でもやります」というチラシを配ることを命じられる。そんな中、持ち込まれた依頼は幼稚園の先生だった。  「夏休みにどこにも連れてってもらえない子どもたちのためにヒーローショーのヒーローを演じてほしい」というものだったが・・・。瑛太  深田恭子  森田剛    蒼井優    中岡創一（ロッチ）  片山萌美  矢島健一    山口智子    （第9話ゲスト）  樋井明日香  後藤洋央紀    柄本時生原作：弘兼憲史「ハロー張りネズミ」（講談社「ヤングマガジンKC」所載）  脚本：大根仁、オークラ  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t>
  </si>
  <si>
    <t>番組名金曜ドラマ「ハロー張りネズミ」最終回</t>
  </si>
  <si>
    <t>FILE.8「眠る埋蔵金」  ゴロー（瑛太）が所属する赤塚探偵事務所は5ヶ月の家賃滞納のため、立ち退きを迫られる。ついに所長・かほる（山口智子）は事務所を畳む覚悟を決めた。  その時、群馬からある男・権藤（柄本時生）がやって来る。「自宅にあるはずの徳川埋蔵金を探し出してほしい」という驚愕の依頼だった！探し出せば巨額の報酬が貰えるはず・・・事務所存続をかけて、イチかバチか・・・最後の大勝負に出る！FILE.8「眠る埋蔵金」  瑛太  深田恭子  森田剛    山口智子    （最終回ゲスト）  柄本時生    不破万作  原金太郎  村松利史原作：弘兼憲史「ハロー張りネズミ」（講談社「ヤングマガジンKC」所載）  脚本：大根仁、黒住光  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#ハロー張りネズミ  #ハロネズ  番組の最後には素敵なプレゼントのお知らせがあります！ふるってご応募お願いします。番組の内容と放送時間は変更になる場合があります。</t>
  </si>
  <si>
    <t>1707_TBS_日21</t>
  </si>
  <si>
    <t>ごめん、愛してる</t>
  </si>
  <si>
    <t>番組名日曜劇場「ごめん、愛してる」　第1話 命をかけた片想い</t>
  </si>
  <si>
    <t>幼い頃、母親に捨てられ不遇な環境で生きてきた律（長瀬智也）は、ひょんなことから凛華（吉岡里帆）を助ける。後にこれが二人にとって運命を変える出会いとなる。ある日、律が事件に巻き込まれ、命に関わる致命的な怪我を負う。最期に親孝行がしたいと母親・麗子（大竹しのぶ）を探し当てるが…そこには息子サトル（坂口健太郎）に溢れんばかりの愛情を注ぐ母親の姿が。母への恩慕と憎しみに葛藤する中、律は再び凛華と再会して…長瀬智也、吉岡里帆、坂口健太郎、大西礼芳、大智、イ・スヒョク、六角精児、草村礼子、山路和弘、キム・ギョンギュン、ヨシムラケンイチ、光山文章、斎藤志郎、速水今日子、飯田まさと、崔晢浩、池脇千鶴、中村梅雀、大竹しのぶ副音声（日本語吹き替え版）  律・・・長瀬智也  ぺクラン・・・神谷浩史  ヨシムラケンイチ、光山文章、崔晢浩  いずみ尚、洪英姫、高岡香、西田雅一音楽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@gomen_aishiteru    https://twitter.com/gomen_aishiteru番組の内容と放送時間は変更になる場合があります。</t>
  </si>
  <si>
    <t>番組名日曜劇場「ごめん、愛してる」　第2話 母への愛と憎しみ</t>
  </si>
  <si>
    <t>母親・麗子（大竹しのぶ）が、自分ではない息子・サトル（坂口健太郎）を溺愛し、裕福な暮らしをしている姿を目の当たりにした律（長瀬智也）。「復讐したいと思わないか？」ジャーナリストの加賀美（六角精児）は、律にそう言って復讐を促す。そんな折、律は凛華（吉岡里帆）からサトルの運転手の仕事を紹介される。引き受ける律だったが、訪れた仕事先でサトルが命の危機にさらされてしまう。そのとき麗子がとった行動に、律は…長瀬智也、吉岡里帆、坂口健太郎、大西礼芳、大智、合田雅吏、やべきょうすけ、六角精児、徳橋みのり、山中良弘、仲俣雅章、岩本淳、野口桜太郎、池脇千鶴、中村梅雀、大竹しのぶ音楽　吉俣良　主題歌「Forevermore」宇多田ヒカル（EPICレコードジャパン）脚本：浅野妙子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@gomen_aishiteru    https://twitter.com/gomen_aishiteru番組の内容と放送時間は変更になる場合があります。</t>
  </si>
  <si>
    <t>番組名日曜劇場「ごめん、愛してる」　第3話　俺に子守唄を歌ってくれないか</t>
  </si>
  <si>
    <t>かつて母に捨てられた律（長瀬智也）は、子守歌というものに触れたことがなかった。  正体を隠して、その母親・麗子（大竹しのぶ）の元で働くことになった律。  酷い仕打ちを受けても、律は麗子を想い続ける。  一方、凛華（吉岡里帆）も、幼なじみのサトル（坂口健太郎）を一途に想い続け、報われぬ愛に葛藤する。  徐々に近づいてゆく、同じ孤独を抱えた2つの心。そして律が求めたものとは…。長瀬智也、吉岡里帆、坂口健太郎、大西礼芳、大智、六角精児、西野大作、酒井靖史、新居祐一、帆苅翔馬、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https://twitter.com/gomen_aishiteru  番組の内容と放送時間は変更になる場合があります。</t>
  </si>
  <si>
    <t>番組名日曜劇場「ごめん、愛してる」　第4話</t>
  </si>
  <si>
    <t>母親に受け入れてもらえず、寂しさを抱えた男・律（長瀬智也）。凛華（吉岡里帆）と関わるうちに、自分の求めていた“愛”に触れ、思わずキスをしてしまう。だが凛華は、幼なじみのサトル（坂口健太郎）への報われぬ恋に葛藤していた。アメリカへ留学し、苦悩から逃れようとする凛華。「お前がいなくなると、俺は寂しい」…凛華への本当の想いに気付き始めた律は、引き留めようとする。しかし律の身体に、病による異変が出始めて…長瀬智也、吉岡里帆、坂口健太郎、大西礼芳、大智、やべきょうすけ、六角精児、崔哲浩、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https://twitter.com/gomen_aishiteru  番組の内容と放送時間は変更になる場合があります。</t>
  </si>
  <si>
    <t>番組名日曜劇場「ごめん、愛してる」　第5話　運命の第2章！</t>
  </si>
  <si>
    <t>実の母親・麗子（大竹しのぶ）に受け入れてもらえず、寂しさを抱えた男・律（長瀬智也）。  凛華（吉岡里帆）と一緒に暮らすことになり、束の間の幸せを得たかに見えた。  しかし、同居人の若菜（池脇千鶴）が仕事を失う事態に。若菜は麗子のもとで働きはじめるが、ある事件が起こり窮地に立たされてしまう。  一方で、律の出生の秘密を調べる恒夫（中村梅雀）は、ついにその真相を突き止め、衝撃に打ちのめされる。そんな折、サトル（坂口健太郎）が塔子（大西礼芳）と婚約。彼を思い続けてきた凛華と麗子は傷つく。  なんとか2人の支えになりたいと願う律。しかしその想いは、すれ違い…長瀬智也、吉岡里帆、坂口健太郎、大西礼芳、大智、草村礼子、やべきょうすけ、六角精児、有馬自由、奥田ワレタ、粕谷奈美、呉城久美、河原康二、玉城勢圭司、工藤宏二郎、鴨川明日香、高田莉沙、竹中義能、保東洸太、大石翔大、南澤賢、三木くるみ、松永優香、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https://twitter.com/gomen_aishiteru番組の内容と放送時間は変更になる場合があります。</t>
  </si>
  <si>
    <t>番組名日曜劇場「ごめん、愛してる」　第6話</t>
  </si>
  <si>
    <t>麗子（大竹しのぶ）の隠し子疑惑が報道され、日向家にマスコミが殺到する。  困惑する麗子を守るため、律（長瀬智也）は報道陣を相手に暴れる。  やがて、記者会見で全てを語ることに決めた麗子。その告白の内容に、律は強いショックを受ける。  傷ついた律の心を感じ、寄り添う凛華（吉岡里帆）。逃避行の末に、2人は…  一方サトル（坂口健太郎）の前から、婚約者の塔子が突然姿を消す。必死に塔子を探すサトルだが…長瀬智也、吉岡里帆、坂口健太郎、大西礼芳、六角精児、有馬自由、奥田ワレタ、新貝文規、中家伊章、鈴木アメリ、萩原達郎、河原康二、長島夕貴、藤本涼、澤山薫、田中清貴、鶏冠井孝介、藤尾勘太郎、瀬沼唯、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@gomen_aishiteru    https://twitter.com/gomen_aishiteru番組の内容と放送時間は変更になる場合があります。</t>
  </si>
  <si>
    <t>番組名日曜劇場「ごめん、愛してる」　第7話</t>
  </si>
  <si>
    <t>交通事故により、生死の境を彷徨ったサトル（坂口健太郎）。意識を取り戻したサトルは、凛華（吉岡里帆）への想いに気づく。凛華は律（長瀬智也）の優しさに触れ、彼への想いを募らせてゆく。それでも、サトルのSOSに気づけなかった自責と贖罪の念から、サトルの気持ちを受け入れようとする。  一方、病魔に身体を蝕まれつつある律は、残りの人生の過ごし方に葛藤する。すれ違う3人の気持ち。律が凜華に対して出した答えは…    本日の放送で、宇多田ヒカルの主題歌「Forevermore」のロングバージョンを披露！長瀬智也、吉岡里帆、坂口健太郎、大西礼芳、六角精児、久松信美、弘中麻紀、福田ゆみ、加藤理恵、三木美加子、寺田ムロラン、三田村信江、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https://twitter.com/gomen_aishiteru  番組の内容と放送時間は変更になる場合があります。</t>
  </si>
  <si>
    <t>番組名日曜劇場「ごめん、愛してる」　第8話</t>
  </si>
  <si>
    <t>「生きられるのか、俺は…」死期が迫った律（長瀬智也）に希望が見えてきた。韓国で律のことを慕っていた若頭の狼（イ・スヒョク）が、脳外科の名医を見つけたのだ。しかも狼は、敵対勢力に撃たれたという。  報復のため、危険を感じながらも韓国へ行こうとする律。  一方、サトル（坂口健太郎）は凛華（吉岡里帆）の抱える律への想いに気づいてしまう。  芽生えてゆく嫉妬心。サトルが凛華の心を掴むため、取った行動は…長瀬智也、吉岡里帆、坂口健太郎、大西礼芳、成河、大内厚雄、久松信美、菅野里咲、岩本淳、あこ、澤山薫、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@gomen_aishiteru    https://twitter.com/gomen_aishiteru番組の内容と放送時間は変更になる場合があります。</t>
  </si>
  <si>
    <t>番組名日曜劇場「ごめん、愛してる」　第9話</t>
  </si>
  <si>
    <t>サトル（坂口健太郎）を救うため、自らの心臓を渡す決意をした律（長瀬智也）。「お前は、俺の弟だ」律はサトルに告白する。加賀美（六角精児）はそんな律に詰め寄り、麗子（大竹しのぶ）への復讐心をぶつける。明らかになった加賀美の心の内とは…  一方、凛華（吉岡里帆）は、律が余命幾ばくもないことを知ってしまう。  激しく掻き乱されるそれぞれの感情。凛華はたまらず、律のもとへ走り出すが…。物語は、激動の最終章へ。長瀬智也、吉岡里帆、坂口健太郎、大西礼芳、六角精児、大内厚雄、弘中麻紀、吉田千秋、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@gomen_aishiteru    https://twitter.com/gomen_aishiteru番組の内容と放送時間は変更になる場合があります。</t>
  </si>
  <si>
    <t>番組名日曜劇場「ごめん、愛してる」　最終話</t>
  </si>
  <si>
    <t>姿を消した律（長瀬智也）の身を案じ、なりふり構わず必死に探し求める凛華（吉岡里帆）。サトル（坂口健太郎）も病院を抜け出し、秘めた真実を伝えようとする。一方律は、恒夫（中村梅雀）から出生の秘密を明かされ、強いショックを受ける。  今にも尽きようとしている律の命。最後に律が母・麗子（大竹しのぶ）に求めたものとは・・・。  彼らが最後に手にする愛の形とは？衝撃と感涙の最終話！長瀬智也、吉岡里帆、坂口健太郎、大西礼芳、大内厚雄、弘中麻紀、池脇千鶴、中村梅雀、大竹しのぶ音楽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https://twitter.com/gomen_aishiteru  番組の内容と放送時間は変更になる場合があります。</t>
  </si>
  <si>
    <t>1704_TBS_火22</t>
  </si>
  <si>
    <t>あなたのことはそれほど</t>
  </si>
  <si>
    <t>番組名火曜ドラマ「あなたのことはそれほど」♯2【暴走する春の恋！背徳の温泉旅行】</t>
  </si>
  <si>
    <t>渡辺美都（波瑠）は中学時代の初恋相手・有島光軌（鈴木伸之）と奇跡的に再会し、人妻でありながらも恋に落ちてしまう。一方、美都の寝言で有島の名前を聞いてしまった夫の涼太（東出昌大）は妻の浮気を疑って、その日から美都の携帯電話をチェックするようになる。日に日に恋愛モードになる妻を静かに見守る涼太。そんなある日、美都は有島との“温泉旅行”を計画し、親友の飯田香子（大政絢）に協力を頼むのだが・・・。渡辺美都・・・波瑠  渡辺涼太・・・東出昌大  有島麗華・・・仲里依紗  有島光軌・・・鈴木伸之    飯田香子・・・大政絢  横山皆美・・・中川翔子  森瑠美・・・黒川智花  榎本祐樹・・・成田偉心  横山良明・・・山岸門人    小田原真吾・・・山崎育三郎  花山司・・・橋本じゅん  三好悦子・・・麻生祐未主題歌：神様、僕は気づいてしまった「CQCQ」（ワーナーミュージック・ジャパン）原作：いくえみ綾「あなたのことは それほど」（祥伝社フィールコミックス）  脚本：吉澤智子  音楽：兼松衆  音楽プロデューサー：志田博英  演出：金子文紀  プロデューサー：佐藤敦司毎週、番組放送終了後にプレゼントクイズを実施中！  詳しくは番組ホームページをご覧ください。◇番組HP  http://www.tbs.co.jp/anasore/  ◇twitter  @anasore_tbs  https://twitter.com/anasore_tbs  ◇インスタグラム  https://www.instagram.com/anasore_tbs/  番組の内容と放送時間は変更になる可能性があります。</t>
  </si>
  <si>
    <t>番組名火曜ドラマ「あなたのことはそれほど」♯3【ヤバい夫の哀しみ　全てがバレる夜】</t>
  </si>
  <si>
    <t>渡辺美都（波瑠）は運命の相手・有島光軌（鈴木伸之）との温泉旅行でお互いが既婚者であることを知る。その帰り、美都の母・悦子（麻生祐未）が倒れ、渡辺家で暮らすことに。その頃、有島は妻・麗華（仲里依紗）と娘の誕生を喜んでいた。連絡が取れなくなった有島を忘れようとした美都は、夫・涼太（東出昌大）への罪滅ぼしとしてホームパーティーを開く約束をする。ところがその当日、有島から連絡が来てしまうのだった・・・。渡辺美都・・・波瑠  渡辺涼太・・・東出昌大  有島麗華・・・仲里依紗  有島光軌・・・鈴木伸之    飯田香子・・・大政絢  森瑠美・・・黒川智花  千葉翔太・・・平間壮一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t>
  </si>
  <si>
    <t>番組名火曜ドラマ「あなたのことはそれほど」♯4</t>
  </si>
  <si>
    <t>渡辺美都（波瑠）は運命の相手だと信じていた有島光軌（鈴木伸之）と不倫関係を続けていたが、夫・涼太(東出昌大)に決定的なメールを見られてしまう。その日から必要に美都の行動が気になる涼太。一方の美都は有島との恋に夢中になるあまり「趣味でもみつけたら」と有島に言われ、同僚の森(黒川智花)の薦めで陶芸教室に通うことに。そこで美都は思いがけず有島の娘をつれた妻・麗華(仲里依紗)に遭遇するのだった・・・渡辺美都・・・波瑠  渡辺涼太・・・東出昌大  有島麗華・・・仲里依紗  有島光軌・・・鈴木伸之    飯田香子・・・大政絢  横山皆美・・・中川翔子  森瑠美・・・黒川智花  榎本祐樹・・・成田偉心  千葉翔太・・・平間壮一  佐藤美由紀・・・山田真歩  和田悟・・・長野克弘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t>
  </si>
  <si>
    <t>番組名火曜ドラマ「あなたのことはそれほど」♯5</t>
  </si>
  <si>
    <t>渡辺美都（波瑠）は夫・涼太(東出昌大)から結婚記念日当日に有島光軌（鈴木伸之）との関係を全て知っていたことを告げられる。しかしそれでもなお永遠に愛することを誓うという涼太。その後今までと変わらない涼太に戸惑う美都は家に帰りづらくなり、久しぶりに陶芸教室に寄ることに。そこで有島の妻・麗華(仲里依紗)から借りていた本を返し忘れていたという佐藤（山田真歩）の話を聞き、自分が届けることを申し出る・・・渡辺美都・・・波瑠  渡辺涼太・・・東出昌大  有島麗華・・・仲里依紗  有島光軌・・・鈴木伸之    飯田香子・・・大政絢  横山皆美・・・中川翔子  森瑠美・・・黒川智花  榎本祐樹・・・成田偉心  千葉翔太・・・平間壮一  佐藤美由紀・・・山田真歩  和田悟・・・長野克弘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t>
  </si>
  <si>
    <t>番組名火曜ドラマ「あなたのことはそれほど」♯6</t>
  </si>
  <si>
    <t>渡辺美都（波瑠）の不安が的中し、有島麗華（仲里依紗）と有島光軌（鈴木伸之）に接触していた夫・涼太（東出昌大）は、何食わぬ顔で家に帰ってきた。  まるで有島を意識したような服や小物に身を包み、明るく笑いかける様子に呆然とする美都。不自然な夫婦関係に疑問を呈してみるが、まるで話が通じない。  美都はそんな現状から逃げるように有島を呼び出し、夫の了承があるからと別れないことを告げるが・・・渡辺美都・・・波瑠  渡辺涼太・・・東出昌大  有島麗華・・・仲里依紗  有島光軌・・・鈴木伸之    飯田香子・・・大政絢  横山皆美・・・中川翔子  森瑠美・・・黒川智花  佐藤美由紀・・・山田真歩  戸川多恵・・・清水ミチコ    小田原真吾・・・山崎育三郎  花山司・・・橋本じゅん  三好悦子・・・麻生祐未主題歌：神様、僕は気づいてしまった「CQCQ」（ワーナーミュージック・ジャパン）原作：いくえみ綾「あなたのことは それほど」（祥伝社フィールコミックス）  脚本：吉澤智子  音楽：兼松衆  音楽プロデューサー：志田博英  演出：金子文紀  プロデューサー：佐藤敦司毎週、番組放送終了後にプレゼントクイズを実施中！  詳しくは番組ホームページをご覧ください。◇番組HP  http://www.tbs.co.jp/anasore/  ◇twitter  @anasore_tbs  https://twitter.com/anasore_tbs  ◇インスタグラム  https://www.instagram.com/anasore_tbs/  番組の内容と放送時間は変更になる可能性があります。</t>
  </si>
  <si>
    <t>番組名火曜ドラマ「あなたのことはそれほど」♯7ついに覚醒！誰よりも恐いうちの妻</t>
  </si>
  <si>
    <t>家出した渡辺美都（波瑠）にすがられる有島光軌（鈴木伸之）は、友達に戻ろうと提案するが、首を縦に振らない美都。踏ん切りがつかない有島だったが、妻・麗華（仲里依紗）の言葉が脳内にリフレインし、意を決する。  その後、夫・涼太（東出昌大）が待つ家に帰りたくない美都は、悦子（麻生祐未）に泊めてもらおうと、スナックを手伝い始める。しかし、美都を連れ戻そうとする涼太にあっけなく見つかってしまうのだった。渡辺美都・・・波瑠  渡辺涼太・・・東出昌大  有島麗華・・・仲里依紗  有島光軌・・・鈴木伸之    飯田香子・・・大政絢  横山皆美・・・中川翔子  森瑠美・・・黒川智花  有島陽子・・・唐木ちえみ  有島佳菜・・・大友花恋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t>
  </si>
  <si>
    <t>番組名火曜ドラマ「あなたのことはそれほど」♯8　私、妊娠しました…炎上するW不倫</t>
  </si>
  <si>
    <t>渡辺美都（波瑠）はついに決心をし、夫・涼太（東出昌大）に離婚届を渡すも涼太はわざと名前を書き間違えたり話をはぐらかすなどして一向に離婚できる気配がない。一方、有島光軌（鈴木伸之）はレストランでの一件以来、妻・麗華（仲里依紗）と気まずい雰囲気の状態が続いていたが休日に家族で出かけることに。出かけようと外に出ると横山皆美（中川翔子）と偶然会い、流れで一緒に出掛けることになるが・・・渡辺美都・・・波瑠  渡辺涼太・・・東出昌大  有島麗華・・・仲里依紗  有島光軌・・・鈴木伸之    飯田香子・・・大政絢  横山皆美・・・中川翔子  森瑠美・・・黒川智花  千葉翔太・・・平間壮一  横山良明・・・山岸門人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演出：福田亮介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t>
  </si>
  <si>
    <t>番組名火曜ドラマ「あなたのことはそれほど」♯9</t>
  </si>
  <si>
    <t>渡辺美都（波瑠）を中傷するビラがマンション中にばら撒かれる。さらには勤め先のネットにも拡散されるが、誰の仕業かは分からないまま・・・好奇の目に晒される美都を守ろうとする夫・涼太（東出昌大）に感謝の気持ちがこみ上げる美都。しかしその気持ちを振り払いマンションを出ていく準備を進める。準備の手伝いをしてくれる小田原（山崎育三郎）の親切心に感謝する美都だったが、小田原の一言で言葉を失うのだった・・・渡辺美都・・・波瑠  渡辺涼太・・・東出昌大  有島麗華・・・仲里依紗  有島光軌・・・鈴木伸之    飯田香子・・・大政絢  横山皆美・・・中川翔子  森瑠美・・・黒川智花  横山良明・・・山岸門人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t>
  </si>
  <si>
    <t>番組名火曜ドラマ「あなたのことはそれほど」最終話</t>
  </si>
  <si>
    <t>渡辺美都（波瑠）は、涼太（東出昌大）に妊娠していなかったことを報告するが、涼太からはあっさりとした返事を返され拍子抜けしていた。一方、麗華（仲里依紗）が子どもと実家へ戻り、狼狽する有島（鈴木伸之）は、麗華を追って電話をかけるものの、冷たく突き放され一方的に切られてしまう。離婚届を役所に送るという涼太からのメッセージを受け取った美都。「最後に一度だけ」と、久しぶりに涼太と夫婦最後の晩餐を楽しむが…渡辺美都・・・波瑠  渡辺涼太・・・東出昌大  有島麗華・・・仲里依紗  有島光軌・・・鈴木伸之    飯田香子・・・大政絢  横山皆美・・・中川翔子  森瑠美・・・黒川智花      小田原真吾・・・山崎育三郎  花山司・・・橋本じゅん  三好悦子・・・麻生祐未毎週、番組放送終了後にプレゼントクイズを実施中！  詳しくは番組ホームページをご覧ください。神様、僕は気づいてしまった「CQCQ」（ワーナーミュージック・ジャパン）原作：いくえみ綾「あなたのことは それほど」（祥伝社フィールコミックス）  脚本：吉澤智子  音楽：兼松衆  音楽プロデューサー：志田博英  演出：金子文紀  プロデューサー：佐藤敦司◇番組HP  http://www.tbs.co.jp/anasore/  ◇twitter  @anasore_tbs  https://twitter.com/anasore_tbs  ◇インスタグラム  https://www.instagram.com/anasore_tbs/  番組の内容と放送時間は変更になる可能性があります。</t>
  </si>
  <si>
    <t>1704_TBS_金22</t>
  </si>
  <si>
    <t>リバース</t>
  </si>
  <si>
    <t>番組名金曜ドラマ「リバース」　第1話</t>
  </si>
  <si>
    <t>深瀬和久（藤原竜也）は地味で冴えないサラリーマン。そんな彼に、パン屋で働く美穂子（戸田恵梨香）との運命的な出会いが訪れる。しかし、美穂子の元に「深瀬和久は人殺し」という告発文が届いたことにより、事態は急転する。 十年前、大学のゼミ仲間の浅見（玉森裕太）、谷原（市原隼人）、村井（三浦貴大）との旅行中に、親友・広沢（小池徹平）が不審な事故死を遂げたのだった。この事故には『秘密』が隠されていてー。十年の時を経て、それぞれの生活を送る深瀬、浅見、谷原、村井。そんな彼らのもとにジャーナリストの小笠原（武田鉄矢）が現れる。小笠原は、何故か十年前の広沢の事故死について、嗅ぎまわっており・・・。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小笠原俊雄・・・武田鉄矢湊かなえ「リバース」（講談社文庫刊）主題歌：シェネル「Desteny」（ユニバーサルミュージック）  音楽：横山克奥寺佐渡子演出：塚原あゆ子  プロデュース：新井順子◇番組HP  http://www.tbs.co.jp/reverse_tbs/    ◇公式twitter  @reverse_tbs    https://twitter.com/reverse_tbs  ◇公式Instagram  https://www.instagram.com/reverse_tbs/  番組の内容と放送時間は変更になる場合があります。</t>
  </si>
  <si>
    <t>番組名金曜ドラマ「リバース」　第2話</t>
  </si>
  <si>
    <t>深瀬和久（藤原竜也）は十年前、大学のゼミ仲間の浅見（玉森裕太）、広沢（小池徹平）、村井（三浦貴大）、谷原（市原隼人）との卒業旅行で起きた悲劇を、美穂子（戸田恵梨香）に打ち明ける。そこには深瀬たちが長年隠し続けてきた「罪」があった。ショックを受ける美穂子は、深瀬と距離を取るように。一方、浅見の元にも告発文が届き、谷原や村井の周辺にも怪しい影が。十年の時を経て始まった復讐は、ついに美穂子にも迫りー。広沢の死に関わった人間の周辺で、不審なことが立て続けに起こり、復讐の影に怯える深瀬。そんな深瀬のもとに、小笠原（武田鉄矢）が現れる。小笠原は、十年前の事件に関して、真実を話すように深瀬を諭す。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小笠原俊雄・・・武田鉄矢湊かなえ「リバース」（講談社文庫刊）主題歌：シェネル「Desteny」（ユニバーサルミュージック）  音楽：横山克奥寺佐渡子演出：塚原あゆ子  プロデュース：新井順子◇番組HP  http://www.tbs.co.jp/reverse_tbs/    ◇公式twitter  @reverse_tbs    https://twitter.com/reverse_tbs  ◇公式Instagram  https://www.instagram.com/reverse_tbs/  番組の内容と放送時間は変更になる場合があります。</t>
  </si>
  <si>
    <t>番組名金曜ドラマ「リバース」　第3話</t>
  </si>
  <si>
    <t>小笠原（武田鉄矢）に10年前の事故を語り出す深瀬（藤原竜也）。その話を聞き、小笠原は広沢（小池徹平）の死には、事件性があり、殺人の可能性もあると示唆する。一番怪しいのは、あの時、第一発見者だった谷原（市原隼人）。深瀬同様、告発文が届いた旅行メンバーの谷原、浅見（玉森裕太）、村井（三浦貴大）と集まった深瀬は、谷原に対し疑惑を深めつつ、それぞれが事件に関して隠し事をしているように感じ－。告発文によって、それぞれの生活を脅かされる深瀬、浅見、村井。特に深瀬は恋人・美穂子（戸田恵梨香）との関係を修復できないでいた。しかし、谷原だけは告発文を逆手にとり、チャンスを掴もうとしており－。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小笠原俊雄・・・武田鉄矢湊かなえ「リバース」（講談社文庫刊）主題歌：シェネル「Desteny」（ユニバーサルミュージック）  音楽：横山克奥寺佐渡子演出：塚原あゆ子  プロデュース：新井順子◇番組HP  http://www.tbs.co.jp/reverse_tbs/    ◇公式twitter  @reverse_tbs    https://twitter.com/reverse_tbs  ◇公式Instagram  https://www.instagram.com/reverse_tbs/  番組の最後に、原作本のプレゼント告知があります。詳しくは放送終了後、公式HPまで。番組の内容と放送時間は変更になる場合があります。</t>
  </si>
  <si>
    <t>番組名金曜ドラマ「リバース」　第4話</t>
  </si>
  <si>
    <t>谷原（市原隼人）が駅のホームから転落したという話を聞き、病院に駆け付けた深瀬（藤原竜也）。そこには、すでに浅見（玉森裕太）と明日香（門脇麦）の姿もあった。重篤な谷原の様子を見て落ち込む深瀬。谷原を突き落としたのは、告発文を送りつけている人間だと、危機感を覚えた深瀬と浅見は、村井を呼んで対策を練ることに。そこで三人は、谷原の野球試合の写真に、広沢の母・昌子（片平なぎさ）の姿を見つけ、疑いを持つ。自分たちを恨んでいる人物である広沢の母が、自分たちを追い詰めているのかもしれない、そう思った深瀬は、谷原の病院に現れた小笠原（武田鉄矢）に疑問をぶつけるが・・・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音楽：横山克奥寺佐渡子演出：山本剛義  プロデュース：新井順子◇番組HP  http://www.tbs.co.jp/reverse_tbs/    ◇公式twitter  @reverse_tbs    https://twitter.com/reverse_tbs  ◇公式Instagram  https://www.instagram.com/reverse_tbs/  番組の内容と放送時間は変更になる場合があります。</t>
  </si>
  <si>
    <t>番組名金曜ドラマ「リバース」　第5話</t>
  </si>
  <si>
    <t>広沢（小池鉄平）と村井（三浦貴大）間に、かつて諍いがあったことを浅見（玉森裕太）から聞いた深瀬（藤原竜也）は、村井に対して疑心暗鬼になる。そんな中、村井とことは（篠原ゆき子）の不倫が暴露され、一大スキャンダルに。村井は、マスコミから逃げるように、深瀬のアパートに身を寄せる。スキャンダルを暴露したのは告発犯かもしれないと深瀬たち。一方、美穂子（戸田恵梨香）は何者かに執拗につけ狙われており・・・。谷原（市原隼人）を電車のホームから突き落とした犯人が、広沢の母（片平なぎさ）だと疑う深瀬と浅見は、小笠原（武田鉄矢）に会いに行く。「犯人は複数犯かもしれない」小笠原はそう言い・・・。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音楽：横山克清水友佳子演出：村尾嘉昭  プロデュース：新井順子番組終了後にプレゼント告知あり◇番組HP  http://www.tbs.co.jp/reverse_tbs/    ◇公式twitter  @reverse_tbs    https://twitter.com/reverse_tbs  ◇公式Instagram  https://www.instagram.com/reverse_tbs/  番組の内容と放送時間は変更になる場合があります。</t>
  </si>
  <si>
    <t>番組名金曜ドラマ「リバース」　第6話</t>
  </si>
  <si>
    <t>村井（三浦貴大）が失踪し数日、未だ連絡が付かない中、深瀬（藤原竜也）は村井の妹・明日香（門脇麦）から、10年前の事件現場で、村井が何かを隠しているようだったと聞かされる。行き詰まった深瀬は、事件の手がかりを求め、浅見（玉森裕太）とともに、事件現場の長野、そして広沢（小池徹平）の故郷・愛媛へ向かう。そこで広沢の話を聞くうちに、深瀬は告発犯が、広沢の家族ではなく、友人や恋人の可能性を抱き始め・・・。広沢の恋人のカワちゃん（夏菜）と親友の古川（尾上寛之）。彼らの行方を追うべきか。悩む深瀬に、浅見は衝撃的な告白をするー。それは今まで、浅見、谷原（市原隼人）、村井が抱えてきた秘密だった。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音楽：横山克奥寺佐渡子演出：山本剛義  プロデュース：新井順子◇番組HP  http://www.tbs.co.jp/reverse_tbs/    ◇公式twitter  @reverse_tbs    https://twitter.com/reverse_tbs  ◇公式Instagram  https://www.instagram.com/reverse_tbs/  番組の内容と放送時間は変更になる場合があります。</t>
  </si>
  <si>
    <t>番組名金曜ドラマ「リバース」　第7話</t>
  </si>
  <si>
    <t>深瀬（藤原竜也）は、高校時代の広沢（小池徹平）の親友・古川（尾上寛之）に会う。広沢の学生時代の彼女・カワちゃん（夏菜）について、話を聞いた深瀬は、自分たちに告発文を送ってきていた人物が、カワちゃんではないかと確信を持ち、行方を探すことに。一方、転落事故により意識不明だった谷原（市原隼人）が目を覚ます。駆けつけた深瀬や浅見（玉森裕太）に対し、隠し事をしているような谷原を見て、深瀬は不審に思い・・・。カワちゃんの行方を探す深瀬と浅見。そんな中、村井（三浦貴大）は未だ何者かに監禁されていた。とうとうカワちゃんの居場所を突き止めた深瀬は、彼女から衝撃の告白を聞き・・・。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音楽：横山克清水友佳子演出：村尾嘉昭  プロデュース：新井順子◇番組HP  http://www.tbs.co.jp/reverse_tbs/    ◇公式twitter  @reverse_tbs    https://twitter.com/reverse_tbs  ◇公式Instagram  https://www.instagram.com/reverse_tbs/  番組の内容と放送時間は変更になる場合があります。</t>
  </si>
  <si>
    <t>番組名金曜ドラマ「リバース」　第8話</t>
  </si>
  <si>
    <t>深瀬（藤原竜也）たちに告発文を送り、谷原（市原隼人）の転落事故にも関わっていた、広沢（小池徹平）の恋人は、美穂子（戸田恵梨香）だった。これまでの美穂子の行動はすべて広沢の復讐のためだったのかー俄かには信じられない深瀬は、美穂子を探すが、その姿は見つからない。一方、浅見（玉森裕太）、谷原は、それぞれが抱える問題に決着をつけようとしていた。しかし、村井（三浦貴大）にはまだ誰にも話せていない秘密がありー美穂子から本当のことを聞き出すためにも、10年前の真実が知りたい深瀬は、小笠原（武田鉄矢）と連絡を取る。事件の核心に迫りつつある小笠原は、あと少しで真相がわかるというが、そんな小笠原を狙う影が・・・。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音楽：横山克奥寺佐渡子演出：塚原あゆ子  プロデュース：新井順子◇番組HP  http://www.tbs.co.jp/reverse_tbs/    ◇公式twitter  @reverse_tbs    https://twitter.com/reverse_tbs  ◇公式Instagram  https://www.instagram.com/reverse_tbs/  番組の内容と放送時間は変更になる場合があります。</t>
  </si>
  <si>
    <t>番組名金曜ドラマ「リバース」　第9話</t>
  </si>
  <si>
    <t>小笠原（武田鉄矢）が何者かに刺された。さらには、深瀬（藤原竜也）に、『10年前の事件を探るな』という脅迫メールが届く。告発犯・美穂子（戸田恵梨香）以外に、10年前の事件に関わる人物が、動いている？深瀬たちは、集まって話し合うが、目ぼしい情報は出ない。そんな中、村井（三浦貴大）だけが、浮かない顔をしていた。後日、深瀬は村井と二人きりで会う。すると村井は脅迫犯に心当たりがあるといい・・。美穂子が出頭したと聞き、焦る深瀬は警察に行く。美穂子と会って話し合おうとするが、取り合ってもらえない深瀬。その様子を浅見（玉森裕太）が見ていた。浅見はそのことを谷原（市原隼人）に打ち明け・・。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音楽：横山克清水友佳子演出：山本剛義  プロデュース：新井順子◇番組HP  http://www.tbs.co.jp/reverse_tbs/    ◇公式twitter  @reverse_tbs    https://twitter.com/reverse_tbs  ◇公式Instagram  https://www.instagram.com/reverse_tbs/  番組の内容と放送時間は変更になる場合があります。</t>
  </si>
  <si>
    <t>番組名金曜ドラマ「リバース」　最終話</t>
  </si>
  <si>
    <t>10年前、広沢（小池徹平）が死んだのは、飲酒運転の事故ではなく、深瀬がコーヒーに入れた蕎麦はちみつのアレルギー症状だった・・・。そのことに気が付いた深瀬（藤原竜也）は強いショックを受ける。数日後、深瀬を按じた美穂子（戸田恵梨香）は深瀬のアパートを訪ねるが、そこで会ったのは谷原（市原隼人）だった。美穂子は、告発文を送った浅見康介（玉森裕太）、谷原、村井（三浦貴大）と集まり、改めて謝罪をするが…。広沢の死に疑問を持っていた小笠原（武田鉄矢）は、蕎麦アレルギーとは別の要因で広沢が死んだ手がかりを掴む。そのことを伝えるために、深瀬のアパートに向かった小笠原が見たのは、あまりにも凄惨な状況でー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小笠原俊雄・・・武田鉄矢湊かなえ「リバース」（講談社文庫刊）番組終了後にプレゼント告知あり主題歌：シェネル「Destiny」（ユニバーサルミュージック）  音楽：横山克奥寺佐渡子演出：塚原あゆ子  プロデュース：新井順子◇番組HP  http://www.tbs.co.jp/reverse_tbs/    ◇公式twitter  @reverse_tbs    https://twitter.com/reverse_tbs  ◇公式Instagram  https://www.instagram.com/reverse_tbs/  番組の内容と放送時間は変更になる場合があります。</t>
  </si>
  <si>
    <t>1704_TBS_日21</t>
  </si>
  <si>
    <t>小さな巨人</t>
  </si>
  <si>
    <t>番組名日曜劇場「小さな巨人」第1話敵は味方のフリをする。裏切り上司をひっくり返す</t>
  </si>
  <si>
    <t>捜査一課の刑事・香坂真一郎（長谷川博己）は、数々の事件を解決に導き、辣腕をふるうエリート刑事。その実力は“未来の捜査一課長間違いなし”と周囲も認めるほどで、出世街道まっしぐらだった。しかし、ある取り調べでの些細なミスをきっかけに香坂の警察人生は一変。信頼していた上司の証言により、左遷されてしまう！香坂はどん底の所轄刑事へと成り下がる。信じられるのは己だけ－－香坂の戦いの火蓋が今、切られる！香坂 真一郎 … 長谷川 博己  山田 春彦 … 岡田 将生  三島 祐里 … 芳根 京子  渡部 久志 … 安田 顕  藤倉 良一 … 駿河 太郎  柳沢 肇 … 手塚 とおる  片山 昭三 … 神尾 佑  中村 俊哉 … 竜星 涼  ・  三笠 洋平 … 春風亭 昇太小野田 義信 … 香川 照之    杉本 学 … 池田 鉄洋  中田 隆一 … 加藤 晴彦  謎の女 … 佐々木 希  中田 和正 … 桂 文枝香坂 美沙 … 市川実日子  香坂 敦史 … 木場 勝己  東山 智之 … 加治 将樹  石倉 慎之介 … 丸 一太  神尾 梢 … 夏緒風見 康夫 … 長江 英和  風見 京子 … 富永 沙織  佐川 勇人 … 好井 まさお『ノンフィクション』平井堅  （アリオラジャパン）脚本：丑尾健太郎  脚本協力：八津弘幸  音楽：木村秀彬◇番組HP http://www.tbs.co.jp/chiisanakyojin_tbs/  ◇twitter  @chiikyo_tbs  https://twitter.com/chiikyo_tbs◇facebook  https://www.facebook.com/chiisanakyojin.tbs番組の内容と放送時間は変更になる場合があります。</t>
  </si>
  <si>
    <t>番組名日曜劇場「小さな巨人」第2話【所轄刑事としての覚悟！隠ぺいされた真実を暴く！】</t>
  </si>
  <si>
    <t>香坂（長谷川博己）は、捜査一課長・小野田（香川照之）を相手に、所轄刑事として戦うと宣戦布告。諦めずに誘拐事件の裏に隠された事実に迫ろうとする。すると、ナカタエレクトロニクスの社員・池沢（吉田羊）の存在に辿りつく。身構える池沢に対し、粘り強く話しを聞きだすが、事件は思わぬ人物のつながりへと発展し…。更に、ある切り札を使わせるべく、お目付け役で一課の山田（岡田将生）にも頭を下げる香坂だったが…。香坂 真一郎 … 長谷川 博己  山田 春彦 … 岡田 将生  三島 祐里 … 芳根 京子  渡部 久志 … 安田 顕  藤倉 良一 … 駿河 太郎  柳沢 肇 … 手塚 とおる  中村 俊哉 … 竜星 涼  ・  三笠 洋平 … 春風亭 昇太  小野田 義信 … 香川 照之  池沢　菜穂 … 吉田羊  五十嵐　仁 … 堀尾正明  杉本 学 … 池田 鉄洋  中田 隆一 … 加藤 晴彦  謎の女 … 佐々木 希中田 和正 … 桂 文枝  香坂 美沙  … 市川実日子  香坂 敦史 … 木場 勝己  東山 智之 … 加治 将樹  石倉 慎之介 … 丸 一太神尾 梢 … 夏緒『ノンフィクション』平井堅  （アリオラジャパン）脚本：丑尾健太郎  脚本協力：八津弘幸  音楽：木村秀彬◇番組HP http://www.tbs.co.jp/chiisanakyojin_tbs/  ◇twitter  @chiikyo_tbs  https://twitter.com/chiikyo_tbs◇facebook  https://www.facebook.com/chiisanakyojin.tbsボクシングW世界タイトルマッチ　井岡一翔×ノクノイ・タパレス×大森将平の試合状況により、放送時間が変更になる可能性がございます。</t>
  </si>
  <si>
    <t>番組名日曜劇場「小さな巨人」第3話【所轄に裏切り者が？！】</t>
  </si>
  <si>
    <t>池沢（吉田羊）に飛び降り事件の供述を覆され、真相究明に奔走する警察。小野田（香川照之）の号令の元、所轄と捜査一課の合同捜査本部が立ち上がるが、それは名ばかりのもので…。容疑者として最有力の中田隆一（加藤晴彦）のアリバイを崩すべく、とある女（佐々木希）の元を訪ねる香坂（長谷川博己）と山田（岡田将生）。だが、一歩遅く…！情報が錯綜する中、香坂はある疑念を抱く。裏切り者が所轄内部にいるのではないか？香坂 真一郎 … 長谷川 博己　  山田 春彦 … 岡田 将生　  三島 祐里 … 芳根 京子　  渡部 久志 … 安田 顕　  藤倉 良一 … 駿河 太郎　  柳沢 肇 … 手塚 とおる　  片山 昭三 … 神尾 佑　  中村 俊哉 … 竜星 涼　  ・　  三笠 洋平 … 春風亭 昇太　小野田 義信 … 香川 照之　    杉本 学 … 池田 鉄洋　  中田 隆一 … 加藤 晴彦　  謎の女 … 佐々木 希　  中田 和正 … 桂 文枝香坂 美沙 … 市川実日子　  東山 智之 … 加治 将樹　  石倉 慎之介 … 丸 一太　  神尾 梢 … 夏緒　『ノンフィクション』平井堅  （アリオラジャパン）脚本：丑尾健太郎  脚本協力：八津弘幸  音楽：木村秀彬◇番組HP http://www.tbs.co.jp/chiisanakyojin_tbs/  ◇twitter  @chiikyo_tbs  https://twitter.com/chiikyo_tbs◇facebook  https://www.facebook.com/chiisanakyojin.tbs番組の内容と放送時間は変更になる場合があります。</t>
  </si>
  <si>
    <t>番組名日曜劇場「小さな巨人」第4話【遂に裏切り上司との直接対決？！】</t>
  </si>
  <si>
    <t>犯人側に捜査情報が漏れており、隆一（加藤晴彦）のアリバイの証人・アリサ（佐々木希）は姿を消していた。警察内部に隆一とつながっている内通者がいるのではないかと疑う香坂（長谷川博己）と山田（岡田将生）。その裏切り者は、あの捜査一課長・小野田？！以前から交流のあった隆一の父・中田和正（桂文枝）が小野田との接触を図るはずだと踏んだ香坂は、二人が密会する決定的な場に乗り込み、遂に直接対決することに…？！香坂 真一郎 … 長谷川 博己  山田 春彦 … 岡田 将生  三島 祐里 … 芳根 京子  渡部 久志 … 安田 顕  藤倉 良一 … 駿河 太郎  柳沢 肇 … 手塚 とおる  片山 昭三 … 神尾 佑  中村 俊哉 … 竜星 涼  ・  三笠 洋平 … 春風亭 昇太小野田 義信 … 香川 照之    中田 隆一 … 加藤 晴彦  謎の女 … 佐々木 希  中田 和正 … 桂 文枝香坂 美沙 … 市川実日子  東山 智之 … 加治 将樹  石倉 慎之介 … 丸 一太  神尾 梢 … 夏緒風見 康夫 … 長江 英和  風見 京子 … 富永 沙織  佐川 勇人 … 好井 まさお『ノンフィクション』平井堅  （アリオラジャパン）脚本：丑尾健太郎、成瀬活雄  脚本協力：八津弘幸  音楽：木村秀彬◇番組HP http://www.tbs.co.jp/chiisanakyojin_tbs/  ◇twitter  @chiikyo_tbs  https://twitter.com/chiikyo_tbs◇facebook  https://www.facebook.com/chiisanakyojin.tbs番組の内容と放送時間は変更になる場合があります。</t>
  </si>
  <si>
    <t>番組名日曜劇場「小さな巨人」第5話【裏切り上司を100％、クロにする！芝署編、完結！】</t>
  </si>
  <si>
    <t>裏切り上司はなんと香坂（長谷川博己）の恩師・三笠署長（春風亭昇太）だった！真犯人をかばい、犯罪に加担しながらも三笠が100％クロだと言える、あと一歩の証拠を押さえらない所轄刑事ら。そこで、100％の証拠を見つけるべく、三笠が不在の隙を狙って「奇襲」をかけることに！だが、元捜査一課長の三笠のガードは堅く、目的の証拠に辿り着けない香坂たち。一方、三笠は自分が捕まらない為のある手を打っており…香坂 真一郎 … 長谷川 博己  山田 春彦 … 岡田 将生  三島 祐里 … 芳根 京子  渡部 久志 … 安田 顕  藤倉 良一 … 駿河 太郎  柳沢 肇 … 手塚 とおる  片山 昭三 … 神尾 佑  中村 俊哉 … 竜星 涼  ・  三笠 洋平 … 春風亭 昇太小野田 義信 … 香川 照之    池沢菜穂 … 吉田羊  中田 隆一 … 加藤 晴彦  謎の女  … 佐々木 希  警務係 … 児嶋一哉（アンジャッシュ）五十嵐仁 … 堀尾正明  中田 和正 … 桂 文枝    香坂 美沙 … 市川実日子  東山 智之 … 加治 将樹  石倉 慎之介 … 丸 一太神尾 梢 … 夏緒『ノンフィクション』平井堅  （アリオラジャパン）脚本：丑尾健太郎  脚本協力：八津弘幸、成瀬活雄  音楽：木村秀彬◇番組HP http://www.tbs.co.jp/chiisanakyojin_tbs/  ◇twitter  @chiikyo_tbs  https://twitter.com/chiikyo_tbs◇facebook  https://www.facebook.com/chiisanakyojin.tbs番組の内容と放送時間は変更になる場合があります。</t>
  </si>
  <si>
    <t>番組名日曜劇場「小さな巨人」第6話【豊洲署編突入！悪徳理事長率いる学園の闇に迫る！】</t>
  </si>
  <si>
    <t>さらなる左遷で豊洲署へ配属となった香坂（長谷川博己）。山田（岡田将生）もまさかの所轄へ異動に！ある日、早明学園に勤めていた横沢（井上芳雄）の捜索願が出される。香坂は理事長の金崎（和田アキ子）と専務の富永（梅沢富美男）の元を訪ね、横沢が金を横領したとの話を聞くが、二人は示談で片づけると主張。元捜査一課長の富永は、警察の力も不要だと突っぱねる。香坂が捜査に乗り出すと、学園の抱える闇が浮き彫りとなり…香坂 真一郎 ・・・ 長谷川 博己  山田 春彦 ・・・ 岡田 将生  三島 祐里 ・・・ 芳根 京子  藤倉 良一 ・・・ 駿河 太郎  柳沢 肇 ・・・ 手塚 とおる  ・   矢部貴志・・・ ユースケ・サンタマリア  富永拓三・・・梅沢富美男  金崎玲子・・・和田アキ子  小野田義信・・・香川照之香坂真由美・・・三田佳子  香坂 美沙 ・・・ 市川実日子  香坂敦史・・・木場勝己関口一也・・・石黒英雄  篠原良平・・・望月章男  寺井友宏・・・大熊ひろたか『ノンフィクション』平井堅  （アリオラジャパン）脚本：丑尾健太郎、成瀬活雄  脚本協力：八津弘幸  音楽：木村秀彬◇番組HP http://www.tbs.co.jp/chiisanakyojin_tbs/  ◇twitter  @chiikyo_tbs  https://twitter.com/chiikyo_tbs◇facebook  https://www.facebook.com/chiisanakyojin.tbs番組の内容と放送時間は変更になる場合があります。</t>
  </si>
  <si>
    <t>番組名日曜劇場「小さな巨人」第7話【学園最大の闇は天下り！？不正に警察が関与？】</t>
  </si>
  <si>
    <t>殺害容疑で捕まった山田（岡田将生）！山田の潔白を信じる香坂（長谷川博己）ら所轄メンバー。山田から聞き出した情報と、小野田一課長（香川照之）が取り仕切る捜査会議で共有された情報が180度異なることに気付いた香坂たちは、独自の視点で捜査を進める。また、小野田は何かを隠しているのか？殺害された江口（ユースケ・サンタマリア）は何故学園で内偵を進めていたのか？学園に送り込んだのは一体誰なのか！？香坂 真一郎 ・・・ 長谷川 博己  山田 春彦 ・・・ 岡田 将生  三島 祐里 ・・・ 芳根 京子  渡部 久志 ・・・ 安田 顕  藤倉 良一 ・・・ 駿河 太郎  柳沢 肇 ・・・ 手塚 とおる  ・   矢部貴志・・・ ユースケ・サンタマリア  富永拓三・・・梅沢富美男  金崎玲子・・・和田アキ子  小野田義信・・・香川照之香坂真由美・・・三田佳子  香坂 美沙 ・・・ 市川実日子  香坂敦史・・・木場勝己  須藤文香・・・神野三鈴  横沢裕一・・・井上芳雄  横沢亜美・・・中村アン関口一也・・・石黒英雄  篠原良平・・・望月章男  寺井友宏・・・大熊ひろたか『ノンフィクション』平井堅  （アリオラジャパン）脚本：丑尾健太郎、成瀬活雄  脚本協力：八津弘幸  音楽：木村秀彬◇番組HP http://www.tbs.co.jp/chiisanakyojin_tbs/  ◇twitter  @chiikyo_tbs  https://twitter.com/chiikyo_tbs◇facebook  https://www.facebook.com/chiisanakyojin.tbs番組の内容と放送時間は変更になる場合があります。</t>
  </si>
  <si>
    <t>番組名日曜劇場「小さな巨人」第8話【学園問題！警察の不正！政治家の癒着！？】</t>
  </si>
  <si>
    <t>絶対的な覚悟で挑んだ元捜査一課長・富永（梅沢富美男）への任意同行。香坂（長谷川博己）らは、江口警部（ユースケ・サンタマリア）殺害の犯行が明かされると期待したが、小野田（香川照之）ら率いる一課による取り調べの結果、富永は釈放。またしても小野田にしてやられた香坂。一課が目をつけた容疑者・横沢（井上芳雄）確保に向け動きだす捜査本部。香坂たちは一課よりも先に横沢を確保し、真実を聞き出すことができるのか！？香坂 真一郎 … 長谷川 博己  山田 春彦 … 岡田 将生  三島 祐里 … 芳根 京子  渡部 久志 … 安田 顕  藤倉 良一 … 駿河 太郎  柳沢 肇 … 手塚 とおる  ・   矢部貴志 … ユースケ・サンタマリア  富永拓三 … 梅沢富美男  金崎玲子 … 和田アキ子  小野田義信 … 香川照之香坂真由美 … 三田佳子  香坂 美沙 … 市川実日子  香坂敦史 … 木場勝己  須藤文香 … 神野三鈴  横沢裕一 … 井上芳雄  横沢亜美 … 中村アン関口一也 … 石黒英雄  篠原良平 … 望月章男  寺井友宏 … 大熊ひろたか『ノンフィクション』平井堅  （アリオラジャパン）脚本：丑尾健太郎、成瀬活雄  脚本協力：八津弘幸  音楽：木村秀彬◇番組HP http://www.tbs.co.jp/chiisanakyojin_tbs/  ◇twitter  @chiikyo_tbs  https://twitter.com/chiikyo_tbs◇facebook  https://www.facebook.com/chiisanakyojin.tbs番組の内容と放送時間は変更になる場合があります。</t>
  </si>
  <si>
    <t>番組名日曜劇場「小さな巨人」第9話【最終回前！過去の因縁とは？本当の裏切り者は！？】</t>
  </si>
  <si>
    <t>容疑者・横沢（井上芳雄）を逃した内通者は、山田（岡田将生）だった！？信頼していた山田に裏切られたと思った香坂（長谷川博己）だったが…。横沢が隠し持つ、学園の裏帳簿が明るみに出ることを恐れる富永（梅沢富美男）は、元部下の小野田（香川照之）に益々圧力をかける！香坂は執念を燃やして、裏帳簿と17年前のある出来事との関連を調べ、遂に本当の裏切り者の正体が明らかになり、とんでもない展開が待ち受ける！香坂 真一郎 ・・・ 長谷川 博己  山田 春彦 ・・・ 岡田 将生  三島 祐里 ・・・ 芳根 京子  渡部 久志 ・・・ 安田 顕  藤倉 良一 ・・・ 駿河 太郎  柳沢 肇 ・・・ 手塚 とおる  ・   矢部貴志・・・ ユースケ・サンタマリア  富永拓三・・・梅沢富美男  金崎玲子・・・和田アキ子  小野田義信・・・香川照之香坂真由美・・・三田佳子  香坂 美沙 ・・・ 市川実日子  香坂敦史・・・木場勝己  須藤文香・・・神野三鈴  横沢裕一・・・井上芳雄  横沢亜美・・・中村アン関口一也・・・石黒英雄  篠原良平・・・望月章男  寺井友宏・・・大熊ひろたか『ノンフィクション』平井堅  （アリオラジャパン）脚本：丑尾健太郎、成瀬活雄  脚本協力：八津弘幸  音楽：木村秀彬◇番組HP http://www.tbs.co.jp/chiisanakyojin_tbs/  ◇twitter  @chiikyo_tbs  https://twitter.com/chiikyo_tbs◇facebook  https://www.facebook.com/chiisanakyojin.tbs  番組の内容と放送時間は変更になる場合があります。</t>
  </si>
  <si>
    <t>番組名日曜劇場「小さな巨人」第10話【最終回！香坂VS小野田、宿命の対決が遂に決着！】</t>
  </si>
  <si>
    <t>警察と学園の不正の証となる裏帳簿に、香坂（長谷川博己）の父の名前が載っていた！父も17年前の不正に加担していたのか？衝撃を隠せない香坂は、本当に父が賄賂を受け取っていたのか、もう一度過去の事件と向き合う。更に、江口（ユースケ・サンタマリア）警部殺害の真犯人像として、新たに小野田（香川照之）一課長が浮かび…！？過去と現在の2つの事件は繋がっていた！遂に、香坂と小野田の宿命の対決が決着を迎える！！香坂 真一郎 ・・・ 長谷川 博己  山田 春彦 ・・・ 岡田 将生  三島 祐里 ・・・ 芳根 京子  渡部 久志 ・・・ 安田 顕  藤倉 良一 ・・・ 駿河 太郎  柳沢 肇 ・・・ 手塚 とおる  ・   矢部貴志・・・ ユースケ・サンタマリア  富永拓三・・・梅沢富美男  金崎玲子・・・和田アキ子  小野田義信・・・香川照之香坂真由美・・・三田佳子  香坂 美沙 ・・・ 市川実日子  香坂敦史・・・木場勝己  須藤文香・・・神野三鈴  横沢裕一・・・井上芳雄  横沢亜美・・・中村アン関口一也・・・石黒英雄  篠原良平・・・望月章男  寺井友宏・・・大熊ひろたか『ノンフィクション』平井堅  （アリオラジャパン）脚本：丑尾健太郎、成瀬活雄  脚本協力：八津弘幸  音楽：木村秀彬◇番組HP http://www.tbs.co.jp/chiisanakyojin_tbs/  ◇twitter  @chiikyo_tbs  https://twitter.com/chiikyo_tbs◇facebook  https://www.facebook.com/chiisanakyojin.tbs番組の内容と放送時間は変更になる場合があります。</t>
  </si>
  <si>
    <t>1701_TBS_火22</t>
  </si>
  <si>
    <t>カルテット</t>
  </si>
  <si>
    <t>番組名火曜ドラマ「カルテット」　第1話</t>
  </si>
  <si>
    <t>ある日、“偶然”出会った男女4人。  夢が叶わないまま、人生のピークにたどり着くことなく緩やかな下り坂の前で立ち止まっている者たちだ。そんな4人がカルテットを組み、軽井沢で共同生活を送ることになる。しかしその“偶然”には、大きな秘密が隠されていた…。巻真紀（松たか子）は別府司（松田龍平）の運転で軽井沢の別荘へとやって来た。待っていたのは世吹すずめ（満島ひかり）と家森諭高（高橋一生）。東京のカラオケボックスで出会った4人は奏者で、弦楽四重奏をやることになった。ライブレストランで演奏しようという話になるが、その店では“余命9ヶ月”のピアニスト ベンジャミン瀧田（イッセー尾形）がレギュラー演奏していた。  そこで真紀は、突拍子もないことを言い出す。松たか子  満島ひかり  高橋一生  松田龍平    吉岡里帆  富澤たけし（サンドウィッチマン）  八木亜希子  Mummy－D  もたいまさこ    ＜ゲスト＞  イッセー尾形  菊池亜希子脚本：坂元裕二  演出：土井裕泰  プロデュース：佐野亜裕美    音楽：fox capture plan  ◇番組HP  http://www.tbs.co.jp/quartet2017/  ◇twitter  @quartet_tbs  https://twitter.com/quartet_tbs  番組の内容と放送時間は変更になる場合があります。</t>
  </si>
  <si>
    <t>番組名火曜ドラマ「カルテット」第2話「大人の恋はやっかいだ」</t>
  </si>
  <si>
    <t>真紀（松たか子）を監視するために、カルテットに加わったことが判明したすずめ（満島ひかり）。依頼主である鏡子（もたいまさこ）に経過を報告に行くと、そもそもカラオケボックスに他二人がいたのにも、なにか理由があったのではないかと疑問を持ちはじめる。ある日、いつものように同僚の結衣（菊池亜希子）とカラオケに行った司（松田龍平）は、「私たぶん結婚する」と聞かされ…松たか子  満島ひかり  高橋一生  松田龍平    吉岡里帆  富澤たけし（サンドウィッチマン）  八木亜希子  Mummy－D  もたいまさこ    ＜ゲスト＞  菊池亜希子脚本：坂元裕二  演出：土井裕泰  プロデュース：佐野亜裕美    音楽：fox capture plan  ◇番組HP  http://www.tbs.co.jp/quartet2017/  ◇twitter  @quartet_tbs  https://twitter.com/quartet_tbs  番組の内容と放送時間は変更になる場合があります。</t>
  </si>
  <si>
    <t>番組名火曜ドラマ「カルテット」　第3話「嘘の絆」</t>
  </si>
  <si>
    <t>すずめ（満島ひかり）が別荘でダラダラしていると、有朱（吉岡里帆）がやってきたる。「なぜ彼氏を作らないのか」とたずねる有朱にすずめは「告白が苦手だ」と答える。すると有朱は「大人は誘惑するものだ」と語り、その方法をレクチャーする。  4人がノクターンに到着すると、そこには見知らぬ少年（前田旺志郎）が。その少年から「あなたのお父さん、もうすぐ亡くなります」と突然告げられ、動揺するすずめだったが…。松たか子  満島ひかり  高橋一生  松田龍平    吉岡里帆  富澤たけし（サンドウィッチマン）  八木亜希子  Mummy－D  もたいまさこ  脚本：坂元裕二  演出：金子文紀  チーフプロデュース：土井裕泰  プロデュース：佐野亜裕美    音楽：fox capture plan  ◇番組HP  http://www.tbs.co.jp/quartet2017/  ◇twitter  @quartet_tbs  https://twitter.com/quartet_tbs  番組の内容と放送時間は変更になる場合があります。</t>
  </si>
  <si>
    <t>番組名火曜ドラマ「カルテット」　第4話「婚姻届はデスノート」</t>
  </si>
  <si>
    <t>ある日、諭高を追っていた半田（Mummy－D）と墨田（藤原季節）が別荘をたずねてきた。半田はある写真を見せ、「この女の行方を話せ」と問い詰めるが、諭高は知らないの一点張り。諦めた半田は、人質とばかりに諭高のヴィオラを持ち去ってしまう。  その後、写真に写っていた女性（高橋メアリージュン）との関係を聞かれた諭高は、驚きの過去を話し出し…松たか子  満島ひかり  高橋一生  松田龍平    吉岡里帆  富澤たけし（サンドウィッチマン）  八木亜希子  Mummy－D  もたいまさこ    ＜ゲスト＞  高橋メアリージュン脚本：坂元裕二  演出：金子文紀  プロデュース：佐野亜裕美    音楽：fox capture plan  ◇番組HP  http://www.tbs.co.jp/quartet2017/  ◇twitter  @quartet_tbs  https://twitter.com/quartet_tbs  番組の内容と放送時間は変更になる場合があります。</t>
  </si>
  <si>
    <t>番組名火曜ドラマ「カルテット」　第5話第一章終幕、急展開の二章へ…！</t>
  </si>
  <si>
    <t>東京のマンションで再会した真紀（松たか子）と鏡子（もたいまさこ）。「息子は死んだ気がする」という鏡子に、真紀は予想外の言葉を……。  そんな中、真紀らカルテットのもとに音楽プロデューサーの朝木（浅野和之）が現れ、クラシック音楽のフェスティバルに参加しないかと誘う。真紀は、そんな舞台には立てないと拒否するが、すずめ（満島ひかり）と諭高（高橋一生）に諭され、恐々としながらも承諾し…松たか子  満島ひかり  高橋一生  松田龍平    吉岡里帆  富澤たけし（サンドウィッチマン）  八木亜希子  Mummy－D  もたいまさこ    ＜ゲスト＞  浅野和之  平原テツ  安藤輪子  森岡龍脚本：坂元裕二  演出：坪井敏雄  プロデュース：佐野亜裕美    音楽：fox capture plan  ◇番組HP  http://www.tbs.co.jp/quartet2017/  ◇twitter  @quartet_tbs  https://twitter.com/quartet_tbs  番組の内容と放送時間は変更になる場合があります。</t>
  </si>
  <si>
    <t>番組名火曜ドラマ「カルテット」　第6話　何が夫婦を壊したのか？</t>
  </si>
  <si>
    <t>ひょんなことから、すずめ（満島ひかり）は幹生（宮藤官九郎）という男性と知り合う。実は幹生は真紀（松たか子）の失踪した夫なのだが、幹生はなぜか諭高（高橋一生）の先輩だと身分を偽る。ある思いから幹生を別荘に招いたすずめは、幹生の靴に防犯用のカラーボールの痕がついていることに気付き…。  一方、真紀は鏡子（もたいまさこ）と再会する。「幹生を殺したのか」と問い詰められた真紀は、夫婦の過去を告白して─。松たか子  満島ひかり  高橋一生  松田龍平    吉岡里帆  富澤たけし（サンドウィッチマン）  八木亜希子  Mummy－D  もたいまさこ  脚本：坂元裕二  演出：坪井敏雄  プロデュース：佐野亜裕美主題歌：おとなの掟／Doughnuts Hole（作詞作曲：椎名林檎）  音楽：fox capture plan  ◇番組HP  http://www.tbs.co.jp/quartet2017/  ◇twitter  @quartet_tbs  https://twitter.com/quartet_tbs  番組の内容と放送時間は変更になる場合があります。</t>
  </si>
  <si>
    <t>番組名火曜ドラマ「カルテット」　第7話</t>
  </si>
  <si>
    <t>なぜすずめは縛られていたのか…  なぜ有朱は別荘にやってきたのか…  幹生は何をしてしまったのか…    そして、真紀、幹生夫妻の選んだ結末とは…！？松たか子  満島ひかり  高橋一生  松田龍平    吉岡里帆  富澤たけし（サンドウィッチマン）  八木亜希子  Mummy－D    宮藤官九郎  もたいまさこ主題歌：おとなの掟／Doughnuts Hole（作詞作曲：椎名林檎）  音楽：fox capture plan  脚本：坂元裕二  演出：坪井敏雄  プロデュース：佐野亜裕美    音楽：fox capture plan  ◇番組HP  http://www.tbs.co.jp/quartet2017/  ◇twitter  @quartet_tbs  https://twitter.com/quartet_tbs  番組の内容と放送時間は変更になる場合があります。</t>
  </si>
  <si>
    <t>番組名火曜ドラマ「カルテット」第8話『最終章、開幕』</t>
  </si>
  <si>
    <t>真紀が離婚したことで、より一層4人での生活は和気藹々としたものに。そんなある日、すずめの司への想いを知る諭高は「真紀さんが離婚してピンチじゃない？」とふっかける。しかしすずめは「真紀と司をくっつけるために協力して欲しい」と諭高に頼み、真紀と司をデートさせようと試行錯誤して…。  全員、片思い完結！？  四角関係の行方は？  そんな中、“最後の嘘”が明らかに…。松たか子  満島ひかり  高橋一生  松田龍平    吉岡里帆  富澤たけし（サンドウィッチマン）  八木亜希子  もたいまさこ    ＜ゲスト＞  大倉孝二  木下政治  森岡龍  ミッキー・カーチス主題歌：おとなの掟／Doughnuts Hole（作詞作曲：椎名林檎）  音楽：fox capture plan  脚本：坂元裕二  演出：土井裕泰  プロデュース：佐野亜裕美    音楽：fox capture plan  ◇番組HP  http://www.tbs.co.jp/quartet2017/  ◇twitter  @quartet_tbs  https://twitter.com/quartet_tbs  2017WBC　1次ラウンド　日本×キューバの試合状況により、放送時間が変更になる可能性がございます。</t>
  </si>
  <si>
    <t>番組名火曜ドラマ「カルテット」　第9話『最終章・前編』</t>
  </si>
  <si>
    <t>大菅（大倉孝二）から真紀（松たか子）が全くの別人だったと告げられた鏡子（もたいまさこ）。警察が真紀を捜査していると知り、激しく動揺する。  一方、真紀らの元に、別荘の査定見積書を持った不動産鑑定士が現れる。売却話が出ていたにも関わらず、真紀、すずめ（満島ひかり）、諭高（高橋一生）に黙っていたことを謝罪する司（松田龍平）。不安に思う3人に対し、司は自分がなんとかするので少し時間をくれと申し出る。松たか子  満島ひかり  高橋一生  松田龍平    吉岡里帆  富澤たけし（サンドウィッチマン）  八木亜希子  Mummy－D  もたいまさこ    ＜ゲスト＞  大倉孝二  篠原ゆき子  木下政治    坂本美雨主題歌：おとなの掟／Doughnuts Hole（作詞作曲：椎名林檎）  音楽：fox capture plan  脚本：坂元裕二  演出：坪井敏雄  プロデュース：佐野亜裕美    音楽：fox capture plan  ◇番組HP  http://www.tbs.co.jp/quartet2017/  ◇twitter  @quartet_tbs  https://twitter.com/quartet_tbs  2017WBC　2次ラウンド　第2戦の試合状況により、放送時間が変更になる可能性がございます。</t>
  </si>
  <si>
    <t>番組名火曜ドラマ「カルテット」最終回</t>
  </si>
  <si>
    <t>放送をお楽しみに！松たか子  満島ひかり  高橋一生  松田龍平    吉岡里帆  富澤たけし（サンドウィッチマン）  八木亜希子  Mummy－D  もたいまさこ  主題歌：おとなの掟／Doughnuts Hole（作詞作曲：椎名林檎）  音楽：fox capture plan  脚本：坂元裕二  演出：土井裕泰  プロデュース：佐野亜裕美    音楽：fox capture plan  ◇番組HP  http://www.tbs.co.jp/quartet2017/  ◇twitter  @quartet_tbs  https://twitter.com/quartet_tbs  番組の内容と放送時間は変更になる場合があります。</t>
  </si>
  <si>
    <t>1701_TBS_金22</t>
  </si>
  <si>
    <t>下剋上受験</t>
  </si>
  <si>
    <t>番組名金曜ドラマ「下剋上受験」第1話【中卒家族が最難関中学に挑む！】</t>
  </si>
  <si>
    <t>親子の愛が生んだ奇跡の実話をドラマ化！！中卒の父・桜井信一（阿部サダヲ）は落ちこぼれの娘の将来に不安を募らせ、妻・香夏子（深田恭子）に娘・佳織（山田美紅羽）を進学塾に入塾させようと提案する。しかし、香夏子は猛反対。しかも、塾では衝撃の発言をされ、大激怒する。愛する娘の幸せをひたすら願う信一は、大きな決意をする。しかし、その無謀すぎる決断には多くの試練が待ち受けていた……！阿部サダヲ　深田恭子　山田美紅羽／若旦那　皆川猿時　岡田浩暉　川村陽介　小芝風花／要潤　風間俊介　小林薫桜井信一「下剋上受験」（産経新聞出版）両沢和幸主題歌：斉藤和義「遺伝」（スピードスターレコーズ）　音楽：出羽良彰演出：福田亮介　プロデューサー：渡辺良介・八木亜未◇番組HP  http://www.tbs.co.jp/gekokujo_juken/  ◇twitter  @gekokujo_tbs  https://twitter.com/gekokujo_tbs番組の内容と放送時間は変更になる場合があります。</t>
  </si>
  <si>
    <t>番組名金曜ドラマ「下剋上受験」第2話【奇跡の人生大逆転へ！父と娘の勉強開始！】</t>
  </si>
  <si>
    <t>中学受験を宣言した信一（阿部サダヲ）は佳織（山田美紅羽）と問題集を買い、受験勉強をスタートする。しかし中卒の信一には全く解くことができず、妻・香夏子（深田恭子）も呆れ顔。最難関中学合格という目標を掲げるも、勉強の方法すらも分からず焦る信一。そんな時、後輩の楢崎（風間俊介）の勧めで、塾の体験授業に参加することに。しかし、そこである事件が起こる…。父は娘の幸せを思って、さらに無謀な決断をする。阿部サダヲ　深田恭子　山田美紅羽／若旦那　皆川猿時　岡田浩暉　川村陽介　小芝風花／要潤　津田寛治　風間俊介　小林薫桜井信一「下剋上受験」（産経新聞出版）両沢和幸主題歌：斉藤和義「遺伝」（スピードスターレコーズ）　音楽：出羽良彰演出：福田亮介　プロデューサー：渡辺良介、八木亜未◇番組HP  http://www.tbs.co.jp/gekokujo_juken/  ◇twitter  @gekokujo_tbs  https://twitter.com/gekokujo_tbs  ◇番組インスタ  https://www.instagram.com/gekokujo_tbs/  番組の内容と放送時間は変更になる場合があります。</t>
  </si>
  <si>
    <t>番組名金曜ドラマ「下剋上受験」第3話【家庭訪問で大バトル！親の見栄と娘の願い！】</t>
  </si>
  <si>
    <t>人生大逆転を賭けて猛勉強中の中卒親子（阿部サダヲ・深田恭子・山田美紅羽）。しかし、睡眠時間を削っての勉強がトラブルを巻き起こす。遂に受験反対の担任教師（小芝風花）が突然の家庭訪問！信一と佳織の中学受験を全面否定！その時、佳織の本音が爆発する！！娘の思いに信一と香夏子はある決断をする・・・。そして、信一の職場の後輩・楢崎（風間俊介）も信一に不満をぶつけるのだった。大波乱の親子の受験の行方は!?阿部サダヲ　深田恭子　山田美紅羽／若旦那　皆川猿時　岡田浩暉　川村陽介　小芝風花／要潤　風間俊介　小林薫原作：「下剋上受験」桜井信一（産經新聞出版）両沢和幸主題歌：「遺伝」斉藤和義（スピードスターレコーズ）  音楽：出羽良彰演出：吉田秋生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t>
  </si>
  <si>
    <t>番組名金曜ドラマ「下剋上受験」第4話【愛する娘のため。父の苦渋の決断！】</t>
  </si>
  <si>
    <t>無謀な中学受験に挑戦中の信一（阿部サダヲ）と佳織（山田美紅羽）は、旅人算に頭を悩ませる。そんな時、楢崎（風間俊介）に反抗されて上司に叱られたのを機に、信一は、突然、会社を辞めて無職になる。楢崎から信一が会社を辞めたと知らされた香夏子（深田恭子）だったが、信一は言い出せず、夫婦に溝が生まれていく・・・。そして、遂に激怒した香夏子は、予想外の決断をするのだった。爆発する妻の本音とは！？阿部サダヲ　深田恭子　山田美紅羽／若旦那　皆川猿時　岡田浩暉　川村陽介　小芝風花／要潤　風間俊介　小林薫「下剋上受験」桜井信一（産經新聞出版）両沢和幸主題歌：「遺伝」斉藤和義（スピードスターレコーズ）  音楽：出羽良彰演出：吉田秋生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t>
  </si>
  <si>
    <t>番組名金曜ドラマ「下剋上受験」第5話【妻は就職！夫は主夫！娘は勝負の全国模試！】</t>
  </si>
  <si>
    <t>受験勉強に専念したいと会社を辞めて主夫になった信一（阿部サダヲ）と代わって信一の元会社で働き出した香夏子（深田恭子）の逆転の夫婦生活がスタート！しかし、佳織（山田美紅羽）はライバルに実力が及ばないと自信を喪失。慣れない生活に夫婦関係も崩れ始め・・・無謀な中学受験挑戦が桜井家の絆を揺るがしていく。そして、信一は模試の結果次第で受験を断念すると宣言する。そんな時、ある事件が発生！受験の行方は！？阿部サダヲ　深田恭子　山田美紅羽／若旦那　皆川猿時　岡田浩暉　川村陽介　小芝風花／要潤　風間俊介　小林薫「下剋上受験」桜井信一（産經新聞出版）両沢和幸主題歌：「遺伝」斉藤和義（スピードスターレコーズ）  音楽：出羽良彰演出：福田亮介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t>
  </si>
  <si>
    <t>番組名金曜ドラマ「下剋上受験」第6話【俺の娘を泣かせるな！父親同士の代理戦争】</t>
  </si>
  <si>
    <t>父・信一（阿部サダヲ）は勉強してもすぐに忘れてしまう娘・佳織（山田美紅羽）に苛ついていた。桜葉学園合格は危ういと焦る信一に、母・香夏子（深田恭子）は不安を感じる。そんな時、信一は同級生の父・徳川（要潤）から勉強に集中させたいと佳織に娘・麻里亜（篠川桃音）との友達付き合いをやめさせて欲しいと頼まれる。麻里亜と遊ぶのを禁じた信一に佳織は初めて反抗し、大喧嘩になってしまう。信一が思いついた秘策とは！？阿部サダヲ　深田恭子　山田美紅羽／若旦那　皆川猿時　岡田浩暉　川村陽介　小芝風花／要潤　風間俊介　小林薫「下剋上受験」桜井信一（産經新聞出版）両沢和幸主題歌：「遺伝」斉藤和義（スピードスターレコーズ）  音楽：出羽良彰演出：福田亮介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t>
  </si>
  <si>
    <t>番組名金曜ドラマ「下剋上受験」第7話【遺伝するのは魂だ！娘の反抗期対処法！】</t>
  </si>
  <si>
    <t>勉強漬けの日々と成績が上がらないストレスで信一（阿部サダヲ）は心身共に異変が発生。香夏子（深田恭子）や佳織（山田美紅羽）にも当たり散らし、家族は崩壊寸前に…。信一は病院に救いを求める。そんな時、佳織が体育の授業には参加しないという約束を破り、信一は大激怒。受験はもう限界だと家を飛び出る。一夫（小林薫）は苦労する息子家族を見兼ねてある大きな決断をする。娘の幸せを思う父と母、祖父の思いが交錯する・・・阿部サダヲ　深田恭子　山田美紅羽／若旦那　皆川猿時　岡田浩暉　川村陽介　小芝風花／佐野史郎　要潤　風間俊介　小林薫「下剋上受験」桜井信一（産經新聞出版）両沢和幸主題歌：「遺伝」斉藤和義（スピードスターレコーズ）  音楽：出羽良彰演出：吉田秋生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t>
  </si>
  <si>
    <t>番組名金曜ドラマ「下剋上受験」第8話【娘のためなら死んでもいい】</t>
  </si>
  <si>
    <t>入院した信一（阿部サダヲ）は病室でも勉強を教えようとするが、香夏子（深田恭子）は反対。佳織（山田美紅羽）のためなら死んでもいいという信一。しかも、家賃滞納で住む部屋を失うトラブルが発生！家を売ることを決断した一夫（小林薫）に楢崎（風間俊介）から衝撃の事実が告げられる・・・。相次ぐ桜井家の大ピンチに佳織の自分のせいでみんなが不幸になると自分を責める。香夏子も遂に受験をやめようと言い出すのだった・・・阿部サダヲ　深田恭子　山田美紅羽／若旦那　皆川猿時　岡田浩暉　川村陽介　小芝風花／要潤　風間俊介　小林薫「下剋上受験」桜井信一（産經新聞出版）両沢和幸主題歌：「遺伝」斉藤和義（スピードスターレコーズ）  音楽：出羽良彰演出：吉田秋生　　プロデューサー：渡辺良介、八木亜未◇番組HP  http://www.tbs.co.jp/gekokujo_juken/  ◇twitter  @gekokujo_tbs  https://twitter.com/gekokujo_tbs◇番組インスタ  https://www.instagram.com/gekokujo_tbs/  ◇LINEスタンプ好評配信中  http://line.me/S/sticker/1374376  WBC強化試合　日本代表vs阪神の試合状況により、放送時間が変更になる可能性がございます。</t>
  </si>
  <si>
    <t>番組名金曜ドラマ「下剋上受験」第9話【運命の受験本番】</t>
  </si>
  <si>
    <t>受験直前、信一（阿部サダヲ）は突然、自信を失った佳織（山田美紅羽）に頭を悩ませる。香夏子（深田恭子）は落ち込む佳織を励まそうと学校に連れて行く。そこでは、友達からの思わぬサプライズが！そして、信一は父・一夫（小林薫）からのアドバイスで佳織のやる気を取り戻そうとある嘘をつく。そして、遂に迎えた受験本番。信一は佳織に最後のメッセージを伝える。運命の合格結果発表。果たして、家族の挑戦の結末は！？阿部サダヲ　深田恭子　山田美紅羽／若旦那　皆川猿時　岡田浩暉　川村陽介　小芝風花／要潤　風間俊介　小林薫「下剋上受験」桜井信一（産經新聞出版）両沢和幸主題歌：「遺伝」斉藤和義（スピードスターレコーズ）  音楽：出羽良彰演出：福田亮介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t>
  </si>
  <si>
    <t>番組名金曜ドラマ「下剋上受験」最終回【勉強で人生が変わる！奇跡の合格発表！】</t>
  </si>
  <si>
    <t>信一（阿部サダヲ）と佳織（山田美紅羽）が運命の合格発表を迎える！香夏子（深田恭子）と一夫（小林薫）の祈りは届くのか？桜井家の人生逆転という夢の行方は・・・？そして、香夏子がふと思いついたサプライズが桜井家の未来を左右することに・・・。また、楢崎（風間俊介）の提案により、信一の人生は大きく動いていく・・・。果たして、桜井家の未来の姿とは！？驚きと感動のラストシーンが待ち受ける！阿部サダヲ　深田恭子　山田美紅羽／若旦那　皆川猿時　岡田浩暉　川村陽介　小芝風花／要潤　風間俊介　小林薫「下剋上受験」桜井信一（産經新聞出版）両沢和幸主題歌：「遺伝」斉藤和義（スピードスターレコーズ）  音楽：出羽良彰演出：福田亮介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t>
  </si>
  <si>
    <t>1610_TBS_火22</t>
  </si>
  <si>
    <t>逃げるは恥だが役に立つ</t>
  </si>
  <si>
    <t>番組名火曜ドラマ「逃げるは恥だが役に立つ」第1話【プロの独身男と秘密の契約結婚】</t>
  </si>
  <si>
    <t>主人公森山みくり（新垣結衣）は、院卒だけど内定ゼロ、派遣社員になるも派遣切り。誰にも必要とされない辛さを日々感じていた。そんな時、ひょんなことから、恋愛経験ゼロ、超真面目な独身サラリーマン津崎（星野源）の家事代行の仕事を始める。かゆいところに手が届く働きぶりで、津崎の信頼を勝ち取ったみくりはつい嬉しくなって、津崎に仕事として結婚して欲しいという突拍子もない提案を投げかける。そこで津崎が考えたのは？新垣結衣、星野源、大谷亮平、藤井隆、真野恵里菜、成田凌、山賀琴子、古畑星夏、高橋洋、葉山奨之、古舘寛治、オクイシュージ、新井郁、富田靖子、宇梶剛士／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音楽：末廣健一郎/MAYUKO演出：金子文紀、土井裕泰、石井康晴　　　　プロデューサー：那須田淳、峠田浩、宮崎真佐子◇番組HP  http://www.tbs.co.jp/NIGEHAJI_tbs/  ◇instagram  https://www.instagram.com/nigehajigram/  ◇番組Twitter  @nigehaji_tbs   https://twitter.com/nigehaji_tbs  ◇番組LINE  http://line.naver.jp/ti/p/%40nigehaji_tbs  ◇番組Facebook  https://www.facebook.com/nigehaji.tbs/番組の内容と放送時間は変更になる場合があります。</t>
  </si>
  <si>
    <t>番組名火曜ドラマ「逃げるは恥だが役に立つ」第2話【秘密の契約結婚！波乱の両家顔合わせ】</t>
  </si>
  <si>
    <t>みくり（新垣結衣）と津崎（星野源）は、雇用主と従業員として、周囲には秘密で「仕事としての契約結婚」をスタートさせる。待ち受けるのは、両家顔合わせ。二人はバレずに夫婦を演じられるのか？！さらに津崎の結婚を怪しんでいる同僚の沼田（古田新太）と風見（大谷亮平）が津崎の家に押しかけてきて、泊まらせて！と言い出し、二人は雇用関係なのに、同じ部屋で一緒に眠るのか？！次々と迫るピンチに二人は？！波乱の第二話新垣結衣、星野源、大谷亮平、藤井隆、真野恵里菜、成田凌、山賀琴子、細田善彦、高山侑子、古舘寛治、モロ師岡、高橋ひとみ、富田靖子、宇梶剛士／古田新太／石田ゆり子海野つなみ「逃げるは恥だが役に立つ」（講談社「kiss])  野木亜紀子（「空飛ぶ広報室」「重版出来！」「図書館戦争シリーズ」）主題歌：星野源「恋」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◇番組LINE  http://line.naver.jp/ti/p/%40nigehaji_tbs  ◇番組Facebook  https://www.facebook.com/nigehaji.tbs/番組の内容と放送時間は変更になる場合があります。</t>
  </si>
  <si>
    <t>番組名火曜ドラマ「逃げるは恥だが役に立つ」第3話【一番好きです！契約妻の突然の告白】</t>
  </si>
  <si>
    <t>前夜にみくり（新垣結衣）のにおいをふとんから感じた津崎（星野源）は眠れない一夜を過ごし、その日からみくりを意識してしまう。プロの独身であるがゆえに、どう対応したらいいにか分からない津崎は、みくりと距離を置こうと思い、2LDKの部屋に引っ越そうと言い出す。その提案を受けたみくりは、、、？さらに、二人を偽装結婚だと怪しむ沼田と風見、、百合とともに二人はブドウ狩りに出かける。そこで、みくりが津崎に…？！新垣結衣、星野源、大谷亮平、藤井隆、真野恵里菜、成田凌、山賀琴子、葉山奨之／岡田浩暉／古舘寛治／高橋ひとみ／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  番組の内容と放送時間は変更になる場合があります。</t>
  </si>
  <si>
    <t>番組名火曜ドラマ「逃げるは恥だが役に立つ」第4話【私、恋人を作ろうと思います！】</t>
  </si>
  <si>
    <t>津崎（星野源）は、風見（大谷亮平）からのみくり（新垣結衣）をシェアしたいという提案を、みくりに言い出せないまま。シェアの話を偶然風見から聞いたみくりは、津崎にシェアとは何かと問いただす。観念した津崎は、風見もみくりを家事代行として雇いだがっているのだと話す。ちょうどお金が必要だったみくりは、シェアを受け入れ、風見の家でも働き出す。しかし、これが二人の不穏な関係の幕開けとなり、契約結婚終了の危機？！新垣結衣、星野源、大谷亮平、藤井隆、真野恵里菜、成田凌、山賀琴子、葉山奨之／岡田浩暉／古舘寛治／古田新太／石田ゆり子海野つなみ「逃げるは恥だが役に立つ」（講談社「kiss])  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t>
  </si>
  <si>
    <t>番組名火曜ドラマ「逃げるは恥だが役に立つ」第5話【ハグの日、始めました！】</t>
  </si>
  <si>
    <t>みくり（新垣結衣）から「恋人になってほしい」と言われた津崎（星野源）は、みくりの考えが理解できず、まだ事を飲み込めずにいた。そんな時、風見の家に家事代行をしていることが、ひょんなことから百合（石田ゆり子）にバレてしまう。百合は、どうして風見のところにみくりを行かせるのかと、怒りの矛先は津崎へ。そこで2人は、百合の心配を和らげるために、本当の夫婦のふりをしようと思いつく。怒涛の展開の第5話！！新垣結衣、星野源、大谷亮平、藤井隆、真野恵里菜、成田凌、山賀琴子／古舘寛治／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t>
  </si>
  <si>
    <t>番組名火曜ドラマ「逃げるは恥だが役に立つ」第6話【温泉一泊旅行にまつわるエトセトラ】</t>
  </si>
  <si>
    <t>叔母の百合（石田ゆり子）、みくりと津崎の関係を心配するあまり、2人のためにペアの宿泊旅行券を手に入れたという。“旅行”という言葉に当初戸惑っていた2人だったが、姪っ子想いの百合の優しさを無駄に出来ず、“新婚旅行”と言う名の“社員旅行”へ出かけることに。しかし、待ち受けていたのは、ダブルベッドと露天風呂。戸惑う二人。そして、さらにみくりの元カレ・カヲルも登場。果たして、二人の新婚旅行の行方は…？？新垣結衣、星野源、大谷亮平、藤井隆、真野恵里菜、成田凌、山賀琴子、小柳友、古舘寛治／古田新太／石田ゆり子海野つなみ「逃げるは恥だが役に立つ」（講談社「kiss])  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t>
  </si>
  <si>
    <t>番組名火曜ドラマ「逃げるは恥だが役に立つ」第7話【あのキスのあとさき】</t>
  </si>
  <si>
    <t>列車の中で、突然キスをしてきた津崎（星野源）だが、その後は何事もなかったようにふるまっていた。みくり（新垣結衣）はどうしてキスをしたのか理由を聞きたいが、聞けずにいた。そんな時、津崎はみくりの誕生日が一ヶ月も過ぎていたことに気づく。津崎は女性へのプレゼントというミッションに立ち向かうことに…！そんな時、ライバル？である風見（大谷亮平）は、新たな一手に出ていた…？！ムズムズの第7話！新垣結衣、星野源、大谷亮平、藤井隆、真野恵里菜、成田凌、山賀琴子、小柳友、古舘寛治／古田新太／石田ゆり子海野つなみ「逃げるは恥だが役に立つ」（講談社「kiss])  野木亜紀子（「空飛ぶ広報室」「重版出来！」「図書館戦争シリーズ」）主題歌：星野源「恋」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  番組の内容と放送時間は変更になる場合があります。</t>
  </si>
  <si>
    <t>番組名火曜ドラマ「逃げるは恥だが役に立つ」第8話　夜10時20分スタート</t>
  </si>
  <si>
    <t>みくり（新垣結衣）が突然、家からいなくなった。津崎（星野源）は、みくりを拒絶をするような自らの態度が原因だと考え、悩む。会社では、沼田（古田新太）に2人の関係について核心をつかれそうになる。百合（石田ゆり子）もみくりの様子に困惑していた。ある日津崎は、日野（藤井隆）に飲み会に誘われ、風見（大谷亮平）とみくりについて言い合いになり、珍しく感情的に…。距離の中にある鼓動・・・、切なさたっぷりの第8話！新垣結衣、星野源、大谷亮平、藤井隆、真野恵里菜、成田凌、山賀琴子、細田善彦、高山侑子、高橋洋、横田栄司、葉山奨之、古舘寛治、高橋ひとみ、富田靖子、宇梶剛士／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t>
  </si>
  <si>
    <t>番組名火曜ドラマ「逃げるは恥だが役に立つ」第9話【あの人に好きだよと言われる3日前】</t>
  </si>
  <si>
    <t>すれ違ってしまったみくり（新垣結衣）と津崎（星野源）だったが、ようやく再会のハグをできる。そこで、津崎は、今後の二人の関係を考えるにあたり、システムの再構築が必要だと提案する。みくりは津崎が、自分を本当に好きなのか分からず戸惑う。そんな時、津崎が若い女性と一緒にいるところを目撃してしまったみくり。津崎にモテキ到来？！波乱の第9話！！新垣結衣、星野源、大谷亮平、藤井隆、真野恵里菜、成田凌、山賀琴子、葉山奨之、内田理央／岡田浩暉、横田栄司／古舘寛治／　古田新太／石田ゆり子海野つなみ「逃げるは恥だが役に立つ」（講談社「kiss])  野木亜紀子（「空飛ぶ広報室」「重版出来！」「図書館戦争シリーズ」）主題歌：星野源「恋」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t>
  </si>
  <si>
    <t>番組名火曜ドラマ「逃げるは恥だが役に立つ」第10話【恋愛レボリューション2016】</t>
  </si>
  <si>
    <t>お互いの思いを通じ合えたみくり（新垣結衣）と津崎（星野源）は、朝まで一緒にいようと二人でベッドに入る。しかし、津崎はまたも仰天の行動に…。一方、津崎の会社では津崎のリストラを沼田（古田新太）が決めていた。突然のリストラを言い渡された津崎は、職を探し始める。さらに、百合（石田ゆり子）と風見（大谷亮平）も新たな局面を迎えていた…。あと2回の逃げ恥、二人が決める夫婦の形とは…？！新垣結衣、星野源、大谷亮平、藤井隆、真野恵里菜、成田凌、山賀琴子、古舘寛治／古田新太／石田ゆり子海野つなみ「逃げるは恥だが役に立つ」（講談社「kiss])  野木亜紀子（「空飛ぶ広報室」「重版出来！」「図書館戦争シリーズ」）主題歌：星野源「恋」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t>
  </si>
  <si>
    <t>番組名火曜ドラマ「逃げるは恥だが役に立つ」最終回SP「夫婦を超えてゆけ」</t>
  </si>
  <si>
    <t>津崎（星野源）からのプロポーズを、愛情の搾取だと断わってしまったみくり（新垣結衣）。二人の生活には暗い雰囲気が流れていた。一方、百合（石田ゆり子）と風見（大谷亮平）も、風見からの告白により、新たな展開を迎えようとしていた。さらにみくりは、商店街の青空市に向けて、自分の仕事に対する思いを再確認し、津崎にその考えを話し始め…。とうとう最終回！最後の最後まで、どうぞ逃げ恥ワールドをお楽しみください！！新垣結衣、星野源、大谷亮平、藤井隆、真野恵里菜、成田凌、山賀琴子、古畑星夏、高橋洋、葉山奨之、古舘寛治、オクイシュージ、新井郁、富田靖子、宇梶剛士／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t>
  </si>
  <si>
    <t>1610_TBS_金22</t>
  </si>
  <si>
    <t>砂の塔</t>
  </si>
  <si>
    <t>番組名金曜ドラマ「砂の塔～知りすぎた隣人」(1)菅野＆岩田＆松嶋＝新ドラマ遂にスタート！</t>
  </si>
  <si>
    <t>「地獄のランチ」「強制ハロウィン」「フロア差別」…リアルな住民への取材によって明かされた、美しきタワーマンションの裏にある“奇妙なルール”！プライドと虚栄心に支配されたセレブ主婦たちの実態とは!?　一方、世の母親を震撼させる幼児連続失踪事件で現場に残された一輪の花は、美しい隣人の女と不気味にリンクしていく…絡み合う数々の謎がハイスピードで展開する本格オリジナルサスペンス！「母は家族を、守れるか」菅野美穂  岩田剛典(EXILE / 三代目J Soul Brothers)  横山めぐみ  堀内敬子  ホラン千秋  上杉柊平  音月 桂  木村祐一  佐野勇斗  川津明日香  稲垣来泉  光石研  烏丸せつこ  津田寛治  田中直樹(ココリコ）  松嶋菜々子THE　YELLOW　MONKEY　『砂の塔』  YAHOO！検索で『砂の塔』と検索すると、今ならドラマ限定動画とともに主題歌も聴ける！塚原あゆ子「夜行観覧車」「Nのために」「アリスの棘」「私結婚できないんじゃなくて、しないんです」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</si>
  <si>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番組名金曜ドラマ「砂の塔～知りすぎた隣人」(2)狙われた家族！監視する女の本当の目的とはー</t>
  </si>
  <si>
    <t>華やかなタワーマンション妻たちの“愛”と“裏切り”…見栄とプライドにまみれたセレブ主婦たちの闇を巧みに操り、主人公・亜紀（菅野美穂）を追い詰めていく隣人・弓子…女優・松嶋菜々子史上もっとも怖い！と評判の謎の女の真の目的とは！？一方、亜紀に優しい生方（岩田剛典）に対し、嫉妬に狂う寛子（横山めぐみ）は、まさかの行動に！連続幼児失踪事件＝ハーメルン事件にも急展開！「犯人は女…？」ますます急展開の第2話！菅野美穂  岩田剛典(EXILE / 三代目J Soul Brothers)  横山めぐみ  堀内敬子  ホラン千秋  上杉柊平  音月 桂  木村祐一  佐野勇斗  川津明日香  稲垣来泉  光石研  烏丸せつこ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</si>
  <si>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番組名金曜ドラマ「砂の塔～知りすぎた隣人」(3)ハロウィンの悲劇…仮面の男が我が子を奪う！</t>
  </si>
  <si>
    <t>街を埋めつくすハロウィンパレードの中、不審な男の目撃情報が…亜紀（菅野美穂）が目を離した隙に不気味な“仮面の男”が幼い娘・そらを連れ去る！必死に探す亜紀だが、仮装した大群衆にまぎれ全く手がかりは無く…一方、そらを連れさった男が向かった先には、やはり弓子（松嶋菜々子）の姿が！誘拐犯の黒い牙…明かされる謎の真相！さらに…失意の亜紀は生方（岩田剛典）に抱きしめられてー怒涛の第3話…第一章クライマックス！菅野美穂  岩田剛典(EXILE / 三代目J Soul Brothers)  横山めぐみ  堀内敬子  ホラン千秋  上杉柊平  音月 桂  木村祐一  佐野勇斗  川津明日香  稲垣来泉  光石研  烏丸せつこ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</si>
  <si>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番組名金曜ドラマ「砂の塔～知りすぎた隣人」(4)遂に菅野×松嶋ガチ対決！謎の隣人へ母の逆襲</t>
  </si>
  <si>
    <t>連続する幼児失踪事件、通称ハーメルン事件…新たな被害者は亜紀（菅野美穂）の娘・そら！？隣人の女・弓子（松嶋菜々子）の『禁断の監視部屋』に閉じこめられたそら！「ここは入ってはいけない部屋なのよ…」と不気味にそらの頬に添えた弓子の手が、少しずつそらの首に降りていく…！？一方、亜紀は弓子が張り巡らせたワナに気づき、禁断の部屋に飛び込むが…そこで見た驚きの光景とは！？新たなるタワマンサスペンスの幕があく！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</si>
  <si>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番組名金曜ドラマ「砂の塔～知りすぎた隣人」(5)隣人は殺人犯！母との直接対決で全てを暴く！</t>
  </si>
  <si>
    <t>亜紀（菅野美穂）は、息子・和樹（佐野勇斗）に生方（岩田剛典）との不倫を疑われ動揺する。一方、落ち込む和樹に声をかけたのは隣人・弓子（松嶋菜々子）。弓子のたくらみにより、和樹の『裏の顔』が明るみに…彼が撮った大量の“母親たちの写真”が見つかり、ダメな母親に罰を与える連続誘拐＝ハーメルン事件の犯人かと刑事が動きだす！家族を襲うかつてない危機！息子の無実を晴らすため奔走する亜紀。ついに弓子との直接対決…捜査線上に浮かびあがった女・佐々木弓子に、荒又（光石研）は驚きを隠せない。佐々木弓子は、なんと荒又がかつて担当した殺人事件の犯人だったーー。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</si>
  <si>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番組名金曜ドラマ「砂の塔～知りすぎた隣人」(6)隣人は夫の元恋人！夫婦の信頼を崩す完璧計画</t>
  </si>
  <si>
    <t>亜紀（菅野美穂）は息子・和樹（佐野勇斗）との関係を修復しようと必死。一方、夫・健一（田中直樹）は、これまで亜紀を監視してきた隣人・弓子（松嶋菜々子）と密会していた！そうとも知らず弓子に夕食に招待される亜紀。ただならぬ雰囲気…さらに弓子はその場に生方（岩田剛典）も呼び、亜紀夫婦に大きな亀裂を入れる！家族崩壊の、最大の危機。そんな中、亜紀は弓子の花に仕掛けられた盗聴器に気付き…ついに怒りを爆発させる！刑事・荒又（光石研）は、捜査線上に上がってきた弓子に会いに行く。13年ぶりの再会を喜ぶ弓子。そんな弓子に荒又は疑い眼差しを向ける。「本当の目的は何？」荒又の追及に、笑顔を浮かべた弓子。その答えは…。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</si>
  <si>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番組名金曜ドラマ「砂の塔」(7)隣人の真相！本当の目的と壮絶な過去…すべての謎が明らかに！</t>
  </si>
  <si>
    <t>亜紀（菅野美穂）は、弓子（松嶋菜々子）と密会していた夫・健一（田中直樹）の裏切りを目の当たりにし、離婚を考える。一方、生方（岩田剛典）は弓子に渡された「夫婦の秘密」が入った封筒を開けたーそこにあったのは、高野家に隠された驚愕の真実！亜紀は、これまで積み上げてきた全てを完全に覆すほどの衝撃を受ける。ハーメルン犯の新たな誘拐事件か…という通報により荒又（光石研）は被害者宅に急行する。しかし、子育てをおろそかにする母親の子供だけが狙われるというこれまでの事件とは、明らかに違う痕跡が…警察に動揺が走る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</si>
  <si>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番組名金曜ドラマ「砂の塔」(8)『二人の母親』が激突！家族崩壊計画…最後にして最大の秘策！</t>
  </si>
  <si>
    <t>弓子（松嶋菜々子）に「本当の母親について知りたくないか」と問われた和樹（佐野勇斗）は激しく動揺する…そんな中、生方（岩田剛典）に抱き寄せられた瞬間を目撃された亜紀（菅野美穂）は、寛子（横山めぐみ）に絡まれ転倒！入院のため亜紀が不在の間に弓子は高野家に入り込む。まるで母親のような面持ちで…退院した亜紀が見たのは、和樹とそらの笑顔だった。「あなたの居場所はもうない」…母VS母の戦い、クライマックスへ！荒又（光石研）が捜査している失踪者宅でも、黄色いカーネーションが見つかり、警察は第5のハーメルン事件として捜査を続ける。荒又はイジメ被害者だった失踪者の両親を前に、ある秘密を語り始める…。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</si>
  <si>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番組名金曜ドラマ「砂の塔」(9)ついに犯人現る！連続誘拐の真相…そして隣人が犯した罪の全貌</t>
  </si>
  <si>
    <t>健一（田中直樹）が逮捕！？和樹（佐野勇斗）も弓子（松嶋菜々子）にさらわれ、残された亜紀（菅野美穂）に追い討ちをかけるように、衝撃の電話が…和樹は家を捨て、自分が産まれたという街で実の母と一緒に暮らすという。息子の行方を探るため、亜紀は刑事・荒又（光石研）を訪ねるが…語られたのは、想像もしなかった弓子（松嶋菜々子）の悲しき罪の全貌ーそんな中マンションに怪しい影が！ハーメルン事件の犯人が遂に姿を現す！救出された被害者・千晶（保榮茂愛）の証言から、警察はハーメルン事件の真相に近づく…が、そこに新たな謎がぼっ発！スカイグランドタワーに現れた怪しい影の正体とは…！？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</si>
  <si>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番組名金曜ドラマ「砂の塔」最終話！誰も予想できなかった結末…謎の誘拐事件、衝撃の真相！</t>
  </si>
  <si>
    <t>「ハーメルンの犯人を見た」と亜紀（菅野美穂）に言い残し、突如姿を消した息子・和樹（佐野勇斗）。夫・健一（田中直樹）は和樹の産みの母である隣人・弓子（松嶋菜々子）が強硬手段に出て、連れ去ったのではと焦る。そんな矢先、遂に彼らが住むマンションで黄色いカーネーションが発見された！さらわれたのは和樹かー？住民に緊張が走る中、生方（岩田剛典）は犯人らしき人物と遭遇！誰も予想できなかった連続誘拐の真相とは…？犯人の手掛かりを掴んだ刑事荒又（光石研）と津久井（上杉柊平）は山梨県へ急行！しかし辿りついたのは誰も住んでいない廃村…あらたなる謎に振り回される刑事達はそこで、悲劇と愛に満ちた衝撃の事実を目撃する！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DVD・ノベライズプレゼントあり。詳しくは番組HPへ。◇番組HP  http://www.tbs.co.jp/sunanotou/  ◇公式ツイッター  @sunanotou_tbs  オフショットやドラマ情報を更新中！！番組の内容と放送時間は変更になる場合があります。</t>
  </si>
  <si>
    <t>1610_TBS_日21</t>
  </si>
  <si>
    <t>IQ246</t>
  </si>
  <si>
    <t>番組名日曜劇場「IQ246～華麗なる事件簿～」　第1話</t>
  </si>
  <si>
    <t>織田裕二　土屋太鳳　ディーン・フジオカ　石黒賢　加藤貴子　星田英利  宮尾俊太郎　真飛聖　新川優愛　矢野聖人  寺島進　篠井英介　  中谷美紀脚本　泉澤陽子演出　木村ひさしTBSテレビ  ◇番組HP http://www.tbs.co.jp/IQ246/  番組の内容と放送時間は変更になる可能性があります。</t>
  </si>
  <si>
    <t>番組名日曜劇場「IQ246～華麗なる事件簿～」　第2話</t>
  </si>
  <si>
    <t>不可解な連続自殺が発生。人気漫画に登場する“名前を書くと、悪魔がその人間を自殺に追い込む”という「キルリスト」が実在するのではないかと世間を騒がせる。暇を持て余した天才貴族・法門寺沙羅駆（織田裕二）はその奇妙な出来事に興味を持ち、護衛係の和藤奏子（土屋太鳳）、執事の賢正（ディーン・フジオカ）とともに、現場へと出かけていく。事件を追っていく中で、生徒から慕われる塾講師の前川（佐藤隆太）に辿り着き…織田裕二　土屋太鳳　ディーン・フジオカ  宮尾俊太郎　真飛聖　新川優愛　矢野聖人  寺島進　篠井英介　  中谷美紀  ＜2話ゲスト＞佐藤隆太脚本　泉澤陽子演出　木村ひさしTBSテレビ  ◇番組HP http://www.tbs.co.jp/IQ246/  番組の内容と放送時間は変更になる可能性があります。</t>
  </si>
  <si>
    <t>番組名日曜劇場「IQ246～華麗なる事件簿～」　第3話　ゲスト◇観月ありさ</t>
  </si>
  <si>
    <t>天才貴族・沙羅駆（織田裕二）に仕える執事賢正（ディーン・フジオカ）がかつて恋心を抱いた高校の同級生美晴（観月ありさ）と久しぶりの再会を果たした。数日後の夜、美晴から“夫が強盗に殺された”との連絡を受けた賢正は沙羅駆、奏子（土屋太鳳）と共に、事件現場に繰り出す。美晴が犯人であると疑う沙羅駆に、賢正は執事としての立場で葛藤しながらも、次第に反発を強めていく。果たして沙羅駆と賢正は決別してしまうのか！？織田裕二　土屋太鳳　ディーン・フジオカ　宮尾俊太郎　真飛 聖　新川優愛　矢野聖人　篠井英介　寺島 進　中谷美紀  ＜3話ゲスト＞観月ありさ  岡田浩暉  占部房子  高木渉脚本　泉澤陽子演出　坪井敏雄TBSテレビ  ◇番組HP http://www.tbs.co.jp/IQ246/  番組の内容と放送時間は変更になる可能性があります。</t>
  </si>
  <si>
    <t>番組名日曜劇場「IQ246～華麗なる事件簿～」　第4話　ゲスト■国仲涼子</t>
  </si>
  <si>
    <t>タワーマンションの最上階、地上50階の“天空の密室”で外科医が刺殺された。部屋には荒らされた跡があるが、ドアも暗証コード付きのエレベーターも侵入された形跡がない。捜査が行き詰るなか、沙羅駆（織田裕二）は外科医の患者であり、ピアニストの由里（国仲涼子）に辿り着く。奏子（土屋太鳳）、賢正（ディーン・フジオカ）とともに由里を次第に追い詰めていくが、犯行時刻よりも後に外科医の生存を証言する人物が出てきて…織田裕二　土屋太鳳　ディーン・フジオカ  宮尾俊太郎　真飛聖　新川優愛　矢野聖人  寺島進　篠井英介　  中谷美紀  ＜4話ゲスト＞  国仲涼子  金田明夫脚本　栗本志津香演出　坪井敏雄放送終了後、番組ホームページでプレゼントクイズを出題します！  正解者の中から抽選で、番組オリジナルトートバッグもしくは、クリアファイルをプレゼント！応募は番組の放送終了後、2460秒間！TBSテレビ◇番組HP http://www.tbs.co.jp/IQ246/  番組の内容と放送時間は変更になる可能性があります。</t>
  </si>
  <si>
    <t>番組名日曜劇場「IQ246～華麗なる事件簿～」　第5話　ゲスト■成宮寛貴</t>
  </si>
  <si>
    <t>ギャラリーのオープニングパーティで人気アーティスト『バナナ＆チョコ』の新作が発表される。アーティストの千代能（成宮寛貴）とともに沙羅駆（織田裕二）、奏子（土屋太鳳）、賢正（ディーン・フジオカ）らが見守るなか、千代能の相方・番田（矢本悠馬）が上空から映像作品の中に落下して、死亡する。高校時代からの親友である千代能と番田は、その頃の夢を叶えて売れっ子アーティストとなっていたが、友情はいつしかスレ違い…織田裕二　土屋太鳳　ディーン・フジオカ  宮尾俊太郎　真飛聖　新川優愛　矢野聖人  寺島進  中谷美紀  ＜5話ゲスト＞  成宮寛貴  矢本悠馬脚本　木村涼子演出　韓哲放送終了後、番組ホームページでプレゼントクイズを出題します！  正解者の中から抽選で、番組オリジナルトートバッグもしくは、クリアファイルをプレゼント！応募は番組の放送終了後、2460秒間！◇番組HP http://www.tbs.co.jp/IQ246/  TBSテレビ  番組の内容と放送時間は変更になる可能性があります。</t>
  </si>
  <si>
    <t>番組名日曜劇場「IQ246～華麗なる事件簿～」　第6話　ゲスト■平岳大</t>
  </si>
  <si>
    <t>お金も、恨まれる事も無い“殺す価値の無い遺体”が発見され、それに興味を持った沙羅駆（織田裕二）は護衛係の奏子（土屋太鳳）、執事の賢正（ディーン・フジオカ）とともに出かけていく。調べを進める中で、世に才能を認められない画家の壮一（平岳大）に辿り着く。しかし、沙羅駆の不穏な予言どおり、壮一の周りで次々と殺人事件が連鎖して起こっていく…。自分の才能と葛藤し、終いにはお金に転んでしまう画家の悲しい結末とは織田裕二　土屋太鳳　ディーン・フジオカ  宮尾俊太郎　真飛聖　新川優愛　矢野聖人  中谷美紀  ＜6話ゲスト＞  平岳大脚本　栗本志津香演出　木村ひさしTBSテレビ  ◇番組HP http://www.tbs.co.jp/IQ246/  放送終了後、番組ホームページでプレゼントクイズを出題します！  正解者の中から抽選で、番組オリジナルトートバッグもしくは、クリアファイルをプレゼント！応募は番組の放送終了後、2460秒間！番組の内容と放送時間は変更になる可能性があります。</t>
  </si>
  <si>
    <t>番組名日曜劇場「IQ246～華麗なる事件簿～」　第7話　ゲスト■山口紗弥加</t>
  </si>
  <si>
    <t>かつての人気女優・麗子（山口紗弥加）と見間違え、若手人気女優(佐野ひなこ)が殺された。クロスボウで射抜かれた若手女優は何故か麗子の服を着ていた。天才貴族の沙羅駆（織田裕二）、護衛係の奏子（土屋太鳳）、執事の賢正（ディーン・フジオカ）らが調べを進めていく中で、麗子のファンであった沙羅駆は、自分を頼ってくる麗子と深い関係に落ちていき…。恋に落ちた天才貴族は、果たしてこの難事件を解決できるか!?  織田裕二　土屋太鳳　ディーン・フジオカ  宮尾俊太郎　真飛聖　新川優愛　矢野聖人  寺島進  中谷美紀  ＜7話ゲスト＞  山口紗弥加  佐野ひなこ脚本　泉澤陽子演出　坪井敏雄プロデュース　植田博樹  協力プロデュース　韓哲　高山暢比古◇番組HP  http://www.tbs.co.jp/IQ246/  ◇twitter  @IQ246_TBS  https://twitter.com/IQ246_TBS/  放送終了後、番組ホームページでプレゼントクイズを出題します！  正解者の中から抽選で、番組オリジナルトートバッグもしくは、クリアファイルをプレゼント！応募は番組の放送終了後、2460秒間！TBSテレビ  番組の内容と放送時間は変更になる可能性があります。</t>
  </si>
  <si>
    <t>番組名日曜劇場「IQ246～華麗なる事件簿～」　第8話　ゲスト■稲垣吾郎</t>
  </si>
  <si>
    <t>真犯人は法門寺沙羅駆（織田裕二）ー。殺人現場から発見される証拠はすべて、沙羅駆が犯人である事を物語る。8年前の事件で顔に泥を塗られた敏腕管理官の牛田（稲垣吾郎）は、その因縁を晴らすため沙羅駆を追い詰めていく。沙羅駆不在の中、奏子（土屋太鳳）は真相を究明しようとするが、執事の賢正（ディーン・フジオカ）も何故か非協力的、沙羅駆の味方と見なされる奏子は捜査本部からも排除され、孤独な捜査を一人強いられる…織田裕二　土屋太鳳　ディーン・フジオカ  宮尾俊太郎　真飛聖　新川優愛　矢野聖人  篠井英介　寺島進  中谷美紀  ＜8話ゲスト＞  稲垣吾郎  河相我聞脚本　木村涼子演出　韓哲プロデュース　植田博樹  協力プロデュース　韓哲　高山暢比古放送終了後、番組ホームページでプレゼントクイズを出題します！  正解者の中から抽選で、番組オリジナルトートバッグもしくは、クリアファイルをプレゼント！応募は番組の放送終了後、2460秒間！◇番組HP  http://www.tbs.co.jp/IQ246/  ◇twitter  @IQ246_TBS  https://twitter.com/IQ246_TBS/  TBSテレビ  番組の内容と放送時間は変更になる可能性があります。</t>
  </si>
  <si>
    <t>番組名日曜劇場「IQ246～華麗なる事件簿～」　第9話　■マリア・T死す・・・</t>
  </si>
  <si>
    <t>マリア・T（中谷美紀）が拘置所内で毒を飲んで死亡した…。あまりのあっけない幕切れに、耳を疑う沙羅駆（織田裕二）、護衛係の奏子（土屋太鳳）、執事の賢正（ディーン・フジオカ）らは、真相を探るために北鎌倉を後にする。マリア・Tが死んだにも関わらず、大型病院のハッキング事件などマリア・Tの手口と酷似するような奇妙な事件がその後も連続して発生していき…。すべての真相が解明される怒涛の最終章、ついに始まるー。織田裕二　土屋太鳳　ディーン・フジオカ  宮尾俊太郎　真飛聖　矢野聖人  篠井英介　寺島進  中谷美紀脚本　泉澤陽子演出　坪井敏雄プロデュース　植田博樹  協力プロデュース　韓哲　高山暢比古◇番組HP  http://www.tbs.co.jp/IQ246/  ◇twitter  @IQ246_TBS  https://twitter.com/IQ246_TBS/  放送終了後、番組ホームページでプレゼントクイズを出題します！  正解者の中から抽選で、番組オリジナルトートバッグもしくは、クリアファイルをプレゼント！応募は番組の放送終了後、2460秒間！TBSテレビ  番組の内容と放送時間は変更になる可能性があります。</t>
  </si>
  <si>
    <t>番組名日曜劇場「IQ246～華麗なる事件簿～」　第10話　■最期の知恵くらべ</t>
  </si>
  <si>
    <t>機動隊に囲まれた法門寺沙羅駆（織田裕二）、奏子（土屋太鳳）、執事の賢正（ディーン・フジオカ）。巧妙に仕組まれたマリアTの罠により、沙羅駆に射殺命令が下るー。IQ246の沙羅駆とIQ300のマリアT。究極の頭脳を持つ二人の最終決戦がいよいよ始まる！世界に絶望し、すべてを破壊しようとするマリアT。諦めずに考え続ける沙羅駆の二人がたどり着いた、人類にとっての最後の答えとは？衝撃のラストをお見逃しなく！！織田裕二　土屋太鳳　ディーン・フジオカ  宮尾俊太郎　真飛聖　新川優愛　矢野聖人  篠井英介　寺島進  中谷美紀脚本　泉澤陽子演出　木村ひさしTBSテレビ  ◇番組HP  http://www.tbs.co.jp/IQ246/  ◇twitter  @IQ246_TBS  https://twitter.com/IQ246_TBS/  放送終了後、番組ホームページでプレゼントクイズを出題します！  正解者の中から抽選で、番組オリジナルトートバッグもしくは、クリアファイルをプレゼント！応募は番組の放送終了後、2460秒間！「IQ246～華麗なる事件簿～」小説本発売記念！上下巻セットで20名様にプレゼント！  ハガキでのご応募（12月18日（日）消印有効）  番組ホームページからのご応募（12月18日（日）深夜24時まで）最終回放送後に、「IQ246～華麗なる事件簿～」  サウンドトラック＆DVDプレゼントのお知らせがあります！お楽しみに！番組の内容と放送時間は変更になる可能性があります。</t>
  </si>
  <si>
    <t>1607_TBS_火22</t>
  </si>
  <si>
    <t>せいせいするほど、愛してる</t>
  </si>
  <si>
    <t>番組名火曜ドラマ「せいせいするほど、愛してる」(1)武井咲×滝沢秀明×松田聖子競演！</t>
  </si>
  <si>
    <t>武井咲×滝沢秀明初共演！恋したのはドSな副社長！でも彼には妻がいた…これを不倫だと思いますか、それとも純愛だと思いますか？ティファニー&amp;ジミーチュウ全面協力で贈る禁断でオトナのジェットコースターラブストーリー！中村蒼・水沢エレナ・トリンドル玲奈・中村隼人・横澤夏子・GENKING・橋本マナミ・松平健＊連ドラ初！世界的に有名なジュエリーブランド、ティファニーとのコラボが実現！ジュエリー総額46億円！原作は、小学館「プチコミック」連載の北川みゆきの同名マンガ。ティファニー広報部で働く主人公・栗原未亜（武井咲）が恋に落ちたのは、自社の副社長・三好海里（滝沢秀明）。しかし彼には妻がいた…ジミーチュウの敏腕広報で、海里の恋敵となる宮沢綾(中村蒼)、未亜のルームシェア仲間の真咲あかり(水沢エレナ)、美山千明(トリンドル玲奈)、新進気鋭のイケメン小説家、久野淳志（中村隼人）も登場！“せいせいするほど”ひたむきで、限りなく純粋な、この夏いちばんの、ジェットコースターみたいに急展開するオトナのラブストーリーがいま始まる！！！【出演】　武井咲 　滝沢秀明 　中村蒼 　水沢エレナ 　トリンドル玲奈 　中村隼人　・　横澤夏子 　和田安佳莉　GENKING　・　橋本マナミ 　高橋光臣 　神野三鈴 　松平健フィギュア界のヒロイン、ティファニーの本場アメリカから全米王者が参戦！超キュートなグレイシー・ゴールドが生涯初の演技に挑戦！フィギュアファンはもちろん必見！そうでない方もファンになること間違いなし！主題歌：松田聖子「薔薇のように咲いて　桜のように散って」　作詞作曲編曲：YOSHIKI（X JAPAN）夢の最強コラボレーション！美しい歌声と、日本の歌をイメージした切ないラブバラード！必聴！！！演出：石井康晴「花より男子」シリーズ（松本潤、井上真央他）、「ウロボロス」（小栗旬、生田斗真他）　プロデューサー：伊與田英徳「下町ロケット」（阿部寛、土屋太鳳他）、「半沢直樹」（堺雅人、上戸彩他）◇番組HP http://www.tbs.co.jp/seiseisuruhodo_love/  ◇twitter  @seisei_tbs  https://twitter.com/seisei_tbs?ref_src=twsrc%5Etfw  番組の内容と放送時間は変更になる可能性があります。</t>
  </si>
  <si>
    <t>番組名火曜ドラマ「せいせいするほど、愛してる」(2)武井咲×滝沢秀明×松田聖子競演！</t>
  </si>
  <si>
    <t>武井咲×滝沢秀明初共演！ティファニー&amp;ジミーチュウ全面協力で贈る禁断でオトナの胸キュンジェットコースターラブストーリー！禁断のキスのあと、2人は急接近！「風邪なんて俺にうつせよ…」止められない恋の行方は…！？中村蒼・水沢エレナ・トリンドル玲奈・中村隼人・横澤夏子・GENKING・橋本マナミ・松平健＊連ドラ初！世界的に有名なジュエリーブランド、ティファニーとのコラボが実現！ジュエリー総額46億円！原作は、小学館「プチコミック」連載の北川みゆきの同名マンガ。ティファニー広報部で働く主人公・栗原未亜（武井咲）が恋に落ちたのは、自社の副社長・三好海里（滝沢秀明）。しかし彼には妻がいた...  未亜最大のピンチに海里が駆けつけ、二人は急接近！ジミーチュウの敏腕広報・宮沢綾(中村蒼)も本格参戦！恋の三角関係が動き出す！！  未亜のルームシェア仲間の真咲あかり(水沢エレナ)、美山千明(トリンドル玲奈)、新進気鋭のイケメン小説家、久野淳志（中村隼人）の三角関係からも目が離せない！  “せいせいするほど”ひたむきで、限りなく純粋な、この夏いちばんの、オトナのジェットコースター・ラブストーリー、急展開！！武井咲 　滝沢秀明 　中村蒼 　水沢エレナ 　トリンドル玲奈 　中村隼人　・　横澤夏子 　和田安佳莉　GENKING　・　橋本マナミ 　高橋光臣 　神野三鈴 　松平健  【ゲスト】　駿河太郎主題歌：松田聖子「薔薇のように咲いて　桜のように散って」　作詞作曲編曲：YOSHIKI（X JAPAN）夢の最強コラボレーション！美しい歌声と、日本の歌をイメージした切ないラブバラード！必聴！！！演出：石井康晴「花より男子」シリーズ（松本潤、井上真央他）、「ウロボロス」（小栗旬、生田斗真他）　プロデューサー：伊與田英徳「下町ロケット」（阿部寛、土屋太鳳他）、「半沢直樹」（堺雅人、上戸彩他）◇番組HP http://www.tbs.co.jp/seiseisuruhodo_love/  ◇twitter  @seisei_tbs  https://twitter.com/seisei_tbs?ref_src=twsrc%5Etfw  番組の内容と放送時間は変更になる可能性があります。</t>
  </si>
  <si>
    <t>番組名火曜ドラマ「せいせいするほど、愛してる」(3)2人の夜…副社長の秘密が明らかに！</t>
  </si>
  <si>
    <t>武井咲×滝沢秀明初共演！ティファニー&amp;ジミーチュウ全面協力で贈る禁断でオトナの胸キュンジェットコースターラブストーリー！三遊亭円楽が2人の恋のキーパーソンとして出演！「愛人にしてください…」涙の告白の行方は！？2人きりの夜、ついに2人は…！？今夜、副社長の禁断の秘密が明らかになる！！中村蒼・水沢エレナ・トリンドル玲奈・中村隼人・横澤夏子・GENKING・橋本マナミ・松平健／木下ほうか・吉沢亮原作は、小学館「プチコミック」連載の北川みゆきの同名マンガ。ティファニー広報部で働く主人公・栗原未亜（武井咲）が恋に落ちたのは、自社の副社長・三好海里（滝沢秀明）。しかし彼には妻がいた...  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今夜も急展開！！【出演】　武井咲 　滝沢秀明 　中村蒼 　水沢エレナ 　トリンドル玲奈 　中村隼人　・　横澤夏子 　和田安佳莉　GENKING　・　橋本マナミ 　高橋光臣 　神野三鈴 　松平健  【ゲスト】　三遊亭円楽　木下ほうか　吉沢亮主題歌：松田聖子「薔薇のように咲いて　桜のように散って」　作詞作曲編曲：YOSHIKI（X JAPAN）夢の最強コラボレーション！美しい歌声と、日本の歌をイメージした切ないラブバラード！必聴！！！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https://twitter.com/seisei_tbs?ref_src=twsrc%5Etfw  番組公式LINEにてリアルタイム連動企画！登場人物から放送時間限定のメッセージがもらえる！インスタでは、ドラマに登場するインスタの投稿画面が放送時間と同時に到着！是非是非ご登録の上お楽しみ下さい！！！番組の内容と放送時間は変更になる可能性があります。</t>
  </si>
  <si>
    <t>番組名火曜ドラマ「せいせいするほど、愛してる」(4)第二幕スタート！副社長の妻覚醒！</t>
  </si>
  <si>
    <t>武井咲×滝沢秀明初共演！ティファニー&amp;ジミーチュウ全面協力で贈る禁断でオトナの胸キュンジェットコースターラブストーリー！「恋人の心配くらいさせろ！」「あんな人やめとき…」夏祭りの夜に燃え上がる三角関係！！ついに副社長の妻が登場！ヒロインの身に一体何が！？2人の恋は終わってしまうのか…衝撃のラスト！中村蒼・水沢エレナ・トリンドル玲奈・中村隼人・横澤夏子・GENKING・橋本マナミ・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副社長の妻が登場で、今夜も急展開！！武井咲 　滝沢秀明 　中村蒼 　水沢エレナ 　トリンドル玲奈 　中村隼人　・　横澤夏子 　和田安佳莉　GENKING　・　橋本マナミ 　高橋光臣 　神野三鈴 　木南晴夏　松平健主題歌：松田聖子「薔薇のように咲いて　桜のように散って」　作詞作曲編曲：YOSHIKI（X JAPAN）夢の最強コラボレーション！美しい歌声と、日本の歌をイメージした切ないラブバラード！必聴！！！登録者数10万人に迫る番組公式LINEでのリアルタイム連動企画実施中！副社長達からメッセージが送られてくるLINE企画は大好評！！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https://twitter.com/seisei_tbs?ref_src=twsrc%5Etfw  番組公式ツイッター、インスタグラムも大好評！！後ほど登場する未亜のお母さん役、超大物のヒントが隠されてるよ！！！番組の内容と放送時間は変更になる可能性があります。</t>
  </si>
  <si>
    <t>番組名火曜ドラマ「せいせいするほど、愛してる」(5)妻、覚醒！！不倫の恋がバレるとき…</t>
  </si>
  <si>
    <t>武井咲×滝沢秀明初共演！ティファニー&amp;ジミーチュウ全面協力で贈る禁断でオトナの胸キュンジェットコースターラブストーリー！「ただ、俺に掴まってればいい…」二人きりの誕生日に深まる愛！そして、妻がついに覚醒！！不倫の恋がバレる…！？さらに、ジミーチュウイケメン広報から突然のプロポーズ…三角関係が急展開！！中村蒼・水沢エレナ・トリンドル玲奈・中村隼人・横澤夏子・GENKING・橋本マナミ・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副社長の妻がついに覚醒して、今夜も急展開！！【出演】武井咲 　滝沢秀明 　中村蒼 　水沢エレナ 　トリンドル玲奈 　中村隼人　・　横澤夏子 　和田安佳莉　GENKING　・　橋本マナミ 　高橋光臣 　神野三鈴 　木南晴夏　松平健  【ゲスト】LiLiCo　渡辺江里子（阿佐ヶ谷姉妹）主題歌：松田聖子「薔薇のように咲いて　桜のように散って」　作詞作曲編曲：YOSHIKI（X JAPAN）夢の最強コラボレーション！美しい歌声と、日本の歌をイメージした切ないラブバラード！必聴！！！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https://twitter.com/seisei_tbs?ref_src=twsrc%5Etfw  番組の内容と放送時間は変更になる可能性があります。</t>
  </si>
  <si>
    <t>番組名火曜ドラマ「せいせいするほど、愛してる」(6)絶体絶命…妻が反撃開始！！</t>
  </si>
  <si>
    <t>武井咲×滝沢秀明初共演！ティファニー&amp;ジミーチュウ全面協力で贈る禁断でオトナの胸キュンジェットコースターラブストーリー！不倫がバレた！？絶体絶命のピンチを乗り越えられるのか！？ヒロインの母・小林幸子登場で不倫の恋に暗雲が・・・！！ついに妻が反撃開始！！最大の修羅場が待っている…！？中村蒼・水沢エレナ・トリンドル玲奈・中村隼人・横澤夏子・GENKING・橋本マナミ・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副社長の妻がついに反撃開始！さらに母上京で今夜も急展開！！【出演】武井咲 　滝沢秀明 　中村蒼 　水沢エレナ 　トリンドル玲奈 　中村隼人　・　横澤夏子 　和田安佳莉　GENKING　・　橋本マナミ 　高橋光臣 　神野三鈴 　木南晴夏　松平健  【ゲスト】小林幸子主題歌：松田聖子「薔薇のように咲いて　桜のように散って」　作詞作曲編曲：YOSHIKI（X JAPAN）夢の最強コラボレーション！美しい歌声と、日本の歌をイメージした切ないラブバラード！必聴！！！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https://twitter.com/seisei_tbs?ref_src=twsrc%5Etfw  番組の内容と放送時間は変更になる可能性があります。</t>
  </si>
  <si>
    <t>番組名火曜ドラマ「せいせいするほど、愛してる」(7)妻と地獄の晩餐会！副社長と涙の決別！？</t>
  </si>
  <si>
    <t>武井咲×滝沢秀明初共演！禁断でオトナの胸キュンジェットコースターラブストーリー！不倫発覚で妻と地獄の晩餐会！「このアバズレ！」地獄の結婚式に宮沢の元カノ役で朝ドラヒロイン・村川絵梨参戦！大阪を舞台にさらなる修羅場が…！副社長とついに涙の決別！？ティファニーvsジミーチュウ！未亜はどちらを選ぶのか！？中村蒼・水沢エレナ・トリンドル玲奈・中村隼人・横澤夏子・GENKING・橋本マナミ・木南晴夏・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不倫発覚で妻との地獄の晩餐会…！！さらに宮沢の元カノ登場でさらなる修羅場が…！！【出演】　武井咲 　滝沢秀明 　中村蒼 　水沢エレナ 　トリンドル玲奈 　中村隼人　・　横澤夏子 　和田安佳莉　GENKING　・　橋本マナミ 　高橋光臣 　神野三鈴 　木南晴夏　松平健  【ゲスト】村川絵梨・好井まさお（井下好井）主題歌：松田聖子「薔薇のように咲いて　桜のように散って」　作詞作曲編曲：YOSHIKI（X JAPAN）夢の最強コラボレーション！美しい歌声と、日本の歌をイメージした切ないラブバラード！必聴！！！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https://twitter.com/seisei_tbs?ref_src=twsrc%5Etfw  番組の内容と放送時間は変更になる可能性があります。</t>
  </si>
  <si>
    <t>番組名火曜ドラマ「せいせいするほど、愛してる」(8)宮沢、決意のプロポーズ…妻が不倫暴露！</t>
  </si>
  <si>
    <t>武井咲×滝沢秀明初共演！禁断でオトナの胸キュンジェットコースターラブストーリー！宮沢、決意のプロポーズ！！ティファニーvsジミーチュウ…未亜はどちらを選ぶのか…！？さらに、妻が不倫を暴露！！「このメス豚！！」モンスター化する妻と恐怖の追いかけっこ…2人は逃げ切れるのか！？三角関係、ついに決着…！？中村蒼・水沢エレナ・トリンドル玲奈・中村隼人・横澤夏子・GENKING・橋本マナミ・木南晴夏・松平健原作は、小学館「プチコミック」連載の北川みゆきの同名マンガ。ティファニー広報部で働く主人公・栗原未亜（武井咲）が恋に落ちたのは、自社の副社長・三好海里（滝沢秀明）。しかし彼には妻がいた...  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宮沢がついにプロポーズ！！未亜はどちらを選ぶのか…！？【出演】武井咲 　滝沢秀明 　中村蒼 　水沢エレナ 　トリンドル玲奈 　中村隼人　・　横澤夏子 　和田安佳莉　GENKING　・　橋本マナミ 　高橋光臣 　神野三鈴 　木南晴夏　松平健主題歌：松田聖子「薔薇のように咲いて　桜のように散って」　作詞作曲編曲：YOSHIKI（X JAPAN）夢の最強コラボレーション！美しい歌声と、日本の歌をイメージした切ないラブバラード！必聴！！！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https://twitter.com/seisei_tbs?ref_src=twsrc%5Etfw  番組の内容と放送時間は変更になる可能性があります。</t>
  </si>
  <si>
    <t>番組名火曜ドラマ「せいせいするほど、愛してる」(9)2人で逃げよう…衝撃のセミファイナル！</t>
  </si>
  <si>
    <t>武井咲×滝沢秀明初共演！禁断でオトナの胸キュンジェットコースターラブストーリー！愛と衝撃のセミファイナル！!「2人で逃げよう…」すべてを捨てた2人・・・「このメス豚！」どこまでも追いかけてくる妻に、2人が選んだ究極の選択とは…？「彼女を死んでも幸せにする！」副社長vs宮沢、未亜をめぐる最後の対決！！中村蒼・水沢エレナ・トリンドル玲奈・中村隼人・横澤夏子・GENKING・橋本マナミ・木南晴夏・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すべてを捨てた2人の逃避行の行方は・・・？愛と衝撃のセミファイナル！！武井咲　滝沢秀明　中村蒼　水沢エレナ　トリンドル玲奈　中村隼人　・　横澤夏子　和田安佳莉　GENKING　・　橋本マナミ　高橋光臣　神野三鈴　木南晴夏　松平健【ゲスト】　小林幸子主題歌：松田聖子「薔薇のように咲いて　桜のように散って」　作詞作曲編曲：YOSHIKI（X JAPAN）夢の最強コラボレーション！美しい歌声と、日本の歌をイメージした切ないラブバラード！必聴！！！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https://twitter.com/seisei_tbs?ref_src=twsrc%5Etfw  番組の内容と放送時間は変更になる可能性があります。</t>
  </si>
  <si>
    <t>番組名火曜ドラマ「せいせいするほど、愛してる」(10)衝撃の最終回！！涙の結婚式</t>
  </si>
  <si>
    <t>武井咲×滝沢秀明初共演！禁断でオトナの胸キュンジェットコースターラブストーリー、ついに完結！妻からの恐怖の招待状！「見たくないよ…」涙の結婚式で訪れる衝撃の結末とは！？「逃げたらあかんで！！」三角関係がついに決着！未亜は誰と結ばれるのか…予測不能の衝撃のラストを見逃すな！！中村蒼・水沢エレナ・トリンドル玲奈・中村隼人・横澤夏子・GENKING・橋本マナミ・木南晴夏・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ついに完結！！未亜は誰と結ばれる！？衝撃のラストを見逃すな！！武井咲　滝沢秀明　中村蒼　水沢エレナ　トリンドル玲奈　中村隼人　・　横澤夏子　和田安佳莉　GENKING　・　橋本マナミ　高橋光臣　神野三鈴　木南晴夏　松平健【ゲスト】小林幸子主題歌：松田聖子「薔薇のように咲いて　桜のように散って」　作詞作曲編曲：YOSHIKI（X JAPAN）夢の最強コラボレーション！美しい歌声と、日本の歌をイメージした切ないラブバラード！必聴！！！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https://twitter.com/seisei_tbs?ref_src=twsrc%5Etfw  番組の内容と放送時間は変更になる可能性があります。</t>
  </si>
  <si>
    <t>1607_TBS_金22</t>
  </si>
  <si>
    <t>神の舌を持つ男</t>
  </si>
  <si>
    <t>番組名金曜ドラマ「神の舌を持つ男」　第1話</t>
  </si>
  <si>
    <t>堤幸彦　が構想20年を費やした湯煙り人情コミカルロードムービー的のサスペンスドラマ。向井理演じる朝永蘭丸が、各地の温泉で、絶対舌感を使って様々な事件を痛快に解決していく。第一話は「殺しは蛍が見ていた」向井理　木村文乃　佐藤二朗　片平なぎさ脚本　櫻井武晴堤幸彦主題歌　坂本冬美◇番組HP  http://www.tbs.co.jp/ranmaru_tbs/  ◇ツイッター  @tomonagaranmaru  https://twitter.com/tomonagaranmaru番組の内容と放送時間は変更になる場合があります。</t>
  </si>
  <si>
    <t>番組名金曜ドラマ「神の舌を持つ男」第2話「間欠泉は見た！親子の愛は語らず語り」</t>
  </si>
  <si>
    <t>向井理演じる絶対舌感を持つ男、朝永蘭丸が  甕棺墓光（木村文乃）、宮沢寛治（佐藤二朗）と一台のワゴンに乗り、運命の女性ミヤビを追い求め、各地の温泉を巡りながら、様々な殺人事件をベロンチョと舌で解決していくコミカルミステリー  第二話は、希少な間欠泉を舞台に、温泉マニアが殺される。蘭丸たちが世話になった宿の主人が疑われるが・・・・向井　理  木村　文乃  佐藤　二朗  山村　紅葉主題歌　坂本　冬美櫻井武晴堤　幸彦  伊藤　雄介  加藤　新植田博樹  楠ちあき◇番組HP  http://www.tbs.co.jp/ranmaru_tbs/  番組の内容と放送時間は変更になる可能性があります。</t>
  </si>
  <si>
    <t>番組名金曜ドラマ「神の舌を持つ男」　第3話「天空の密室温泉殺人事件」</t>
  </si>
  <si>
    <t>向井理演じる絶対舌感を持つ男、朝永蘭丸が  甕棺墓光（木村文乃）、宮沢寛治（佐藤二朗）と一台のワゴンに乗り、運命の女性ミヤビを追い求め、各地の温泉を巡りながら、様々な殺人事件をベロンチョと舌で解決していくコミカルミステリー  第三話は「天空の密室温泉」向井　理  木村　文乃  佐藤　二朗  森脇　英理子主題歌　坂本　冬美櫻井武晴堤　幸彦  伊藤　雄介  加藤　新植田博樹  楠ちあき◇番組HP  http://www.tbs.co.jp/ranmaru_tbs/  番組の内容と放送時間は変更になる場合があります。</t>
  </si>
  <si>
    <t>番組名金曜ドラマ「神の舌を持つ男」　第4話「刃無しの村呪い伝説」</t>
  </si>
  <si>
    <t>この村は、この時期、刃無しの季節。村に刃物を持ち込むことが一切禁じられている。しかし、その掟を知らなかった三人（向井理　木村文乃　佐藤二朗）が骨董品の日本刀を持ち込んでしまったために、その日本刀を使っての殺人が起こってしまう。村に残る「殺しの猥歌」は、その昔、実際に起きた大量殺人事件を歌った数え歌であり、刃無しの掟も、その事件に起因するというが・・・  呪いを呼び起こした蘭丸たちに危機が迫る向井　理  木村　文乃  佐藤　二朗主題歌　坂本　冬美櫻井武晴堤　幸彦  伊藤　雄介  加藤　新植田博樹  楠ちあき◇番組HP  http://www.tbs.co.jp/ranmaru_tbs/  番組の内容と放送時間は変更になる場合があります。</t>
  </si>
  <si>
    <t>番組名金曜ドラマ「神の舌を持つ男」第5話「刃無し伝説殺人事件」後編</t>
  </si>
  <si>
    <t>ミヤビを追ってやってきた毛増村は、刃物の使用を一切禁じる「刃無しの季節」  数十年前のとある大事件以来、その因習が続いているこの村に、事情を知らない光が骨董品の刀を持ち込んでしまったことから、呪いが発動したのか、連続殺人事件が起こる。今週は、その解決編向井　理  木村　文乃  佐藤　二朗  広末　涼子主題歌　坂本　冬美櫻井武晴堤　幸彦  伊藤　雄介  加藤　新植田博樹  楠ちあき◇番組HP  http://www.tbs.co.jp/ranmaru_tbs/  番組の内容と放送時間は変更になる場合があります。</t>
  </si>
  <si>
    <t>番組名金曜ドラマ「神の舌を持つ男」　第6話「ミヤビを探せ。運命共同風呂事件」</t>
  </si>
  <si>
    <t>ミヤビの連絡先を知る重要人物が殺人事件の犯人と疑われる。被害者とのトラブルや、目撃者、鍵の管理人など、すべての証拠が、その重要人物の犯行を示唆しているが、蘭丸は、彼の無実を証明すべく奮闘するが・・・・向井　理  木村　文乃  佐藤　二朗  広末　涼子主題歌　坂本　冬美櫻井　武晴堤　幸彦  伊藤　雄介  加藤　新植田　博樹  楠　ちあき◇番組HP  http://www.tbs.co.jp/ranmaru_tbs/  番組の内容と放送時間は変更になる場合があります。</t>
  </si>
  <si>
    <t>番組名金曜ドラマ「神の舌を持つ男」第7話「みんな大好きバスツアー連続殺人事件」</t>
  </si>
  <si>
    <t>蘭丸たちのワゴンが故障し、たまたま通りかかったバスツアーの一行に助けてもらうが、そのバスツアーで、連続殺人が起こる。本来はツアー中止のはずだが、探偵気取りのバスガイドのせいで、ツアーは続き、甕棺墓光とバスガイドとの推理合戦が始まるが、なんと犯人は、あの女性だった。向井　理  木村　文乃  佐藤　二朗    広末　涼子主題歌　坂本　冬美櫻井武晴堤　幸彦  伊藤　雄介  加藤　新植田博樹  楠ちあき◇番組HP  http://www.tbs.co.jp/ranmaru_tbs/  番組の内容と放送時間は変更になる場合があります。</t>
  </si>
  <si>
    <t>番組名金曜ドラマ「神の舌を持つ男」第8話「みんな大好き湯煙バスツアー殺人事件　解決編」</t>
  </si>
  <si>
    <t>2サス界、最大の謎、殺人が続いても中止されず旅が続いていく湯煙バスツアーを舞台に、蘭丸たちが事件を解決する「後編」    犯行を検証している間、なんと蘭丸の憧れの人、ミヤビが「私が犯人です」と供述する。  事件に裏があるとにらんだ蘭丸は、ミヤビの無実のために真相に挑む向井　理  木村　文乃  佐藤　二朗    広末涼子主題歌　坂本　冬美櫻井武晴堤　幸彦  伊藤　雄介  加藤　新植田博樹  楠ちあき◇番組HP  http://www.tbs.co.jp/ranmaru_tbs/  番組の内容と放送時間は変更になる場合があります。</t>
  </si>
  <si>
    <t>番組名金曜ドラマ「神の舌を持つ男」　第9話「ミヤビの危機。天城越え殺人事件」</t>
  </si>
  <si>
    <t>蘭丸の憧れの人、ミヤビが、殺人事件の犯人として逮捕される。証言者は、この町の温泉旅館の中学生の息子。そして、被害者の爪にはミヤビしか使っていない白粉が残されていて、アリバイのないのもミヤビ一人。絶体絶命のピンチに、蘭丸だけはミヤビを信じて事件を解決しようとするが、神の舌の能力がなぜか失われてしまう。向井　理  木村　文乃  佐藤　二朗  広末　涼子主題歌　坂本　冬美櫻井武晴堤　幸彦  伊藤　雄介  加藤　新植田博樹  楠ちあき◇番組HP  http://www.tbs.co.jp/ranmaru_tbs/  番組の内容と放送時間は変更になる場合があります。</t>
  </si>
  <si>
    <t>番組名金曜ドラマ「神の舌を持つ男」　最終回　ミヤビの正体。初恋の結末は</t>
  </si>
  <si>
    <t>運命の人、ミヤビの本当の正体は？蘭丸の神の舌の能力は、二度と戻らないのか？光の恋の行方は？感動の最終回向井　理  木村　文乃  佐藤　二朗  広末　涼子    坂本　冬美主題歌　坂本　冬美櫻井武晴堤　幸彦  伊藤　雄介  加藤　新植田博樹  楠ちあき◇番組HP  http://www.tbs.co.jp/ranmaru_tbs/  番組の内容と放送時間は変更になる場合があります。</t>
  </si>
  <si>
    <t>1607_TBS_日21</t>
  </si>
  <si>
    <t>仰げば尊し</t>
  </si>
  <si>
    <t>番組名仰げば尊し　第1話【60歳新任教師の挑戦が始まる　実在した奇跡の物語】</t>
  </si>
  <si>
    <t>奇跡の実話を脚色しドラマ化。ある理由から現役を退いた元プロサックス奏者の・樋熊迎一（寺尾聰）は、偶然出会った県立高校校長・小田桐寛治（石坂浩二）から荒廃した高校を立て直してほしいと頼まれる。娘の奈津紀（多部未華子）からは反対されるが、見学のために美崎高校を訪れる樋熊。そこで、樋熊は青島裕人(村上虹郎)、木藤良蓮(真剣佑)をはじめとした学校一の不良グループと出会う…。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陣内 剛史…高畑 裕太  神田 善宏…国広 富之脚本：いずみ吉紘  音楽：高見優  監督：平川雄一朗  原案： 『ブラバンキッズ ラプソディー』『ブラバンキッズ オデッセイ』(石川高子 著/三五館 刊)  ◇番組HP http://www.tbs.co.jp/aogeba-toutoshi/  ◇twitter  @aogeba_tbs  https://twitter.com/aogeba_tbs  番組の内容と放送時間は変更になる場合があります。</t>
  </si>
  <si>
    <t>番組名仰げば尊し　第2音【夢なんてダッセェ！落ちこぼれの逆襲！！】</t>
  </si>
  <si>
    <t>青島裕人（村上虹郎）ら不良グループを吹奏楽部に入部させようと奮闘する樋熊迎一（寺尾聰）は、目標として「吹奏楽部の甲子園」と呼ばれる“全国吹奏楽部コンクール”を目指そうと部員に提案する。一方、樋熊の熱い言葉は不良グループの一人・安保圭太（北村匠海）の心を激しく揺さぶっていた。そんな折に青島たちは、乱闘の末に青島に深い傷を負わせバンドを解散へ追いやった卒業生・陣内剛史（高畑裕太）と偶然再会してしまう。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陣内 剛史…高畑 裕太脚本：いずみ吉紘  音楽：高見優  監督：平川雄一朗  原案： 『ブラバンキッズ ラプソディー』『ブラバンキッズ オデッセイ』(石川高子 著/三五館 刊)◇番組HP http://www.tbs.co.jp/aogeba-toutoshi/  ◇twitter  @aogeba_tbs  https://twitter.com/aogeba_tbs  番組の内容と放送時間は変更になる場合があります。</t>
  </si>
  <si>
    <t>番組名仰げば尊し　第3音【退学になんてさせない！樋熊VS不良生徒の最終決戦】</t>
  </si>
  <si>
    <t>安保圭太（北村匠海）、高杢金也（太賀）、桑田勇治（佐野岳）の三人が吹奏楽部に入部したことで、他の部員とのトラブルが続出する吹奏楽部。一方で、陣内剛史（高畑裕太）との乱闘騒ぎが原因で青島裕人(村上虹郎)と木藤良蓮(真剣佑)が退学危機に。樋熊迎一（寺尾聰）は、孤立していく青島と木藤良の退学を阻止しようと奮闘するが、再び陣内剛史（高畑裕太）が現れ…。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陣内 剛史…高畑 裕太脚本：いずみ吉紘  音楽：高見優  演出：吉田健  原案： 『ブラバンキッズ ラプソディー』『ブラバンキッズ オデッセイ』(石川高子 著/三五館 刊)◇番組HP http://www.tbs.co.jp/aogeba-toutoshi/  ◇twitter  @aogeba_tbs  https://twitter.com/aogeba_tbs  番組の内容と放送時間は変更になる場合があります。</t>
  </si>
  <si>
    <t>番組名仰げば尊し　第4音【先生の命の炎】</t>
  </si>
  <si>
    <t>樋熊（寺尾聰）の娘・奈津紀（多部未華子）が、美崎高校での教育実習が決まり、吹奏楽部にもコーチとして参加することに。青島（村上虹郎）らの入部で活気こそ出てきたが、合奏の息が合わない吹奏楽部。そこで、樋熊は強化合宿を提案し、あえて合宿先に名門・明宝高校と同じ場所を選ぶ。2年生の井川（健太郎）は、中学の同級生・小池（泉澤祐希）と再会。一方、明宝の演奏を聞いて圧倒されてしまった部員に樋熊は…。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樽谷哲郎…東根作寿英  小池克之…泉澤祐希脚本：いずみ吉紘  音楽：高見優  監督：福田亮介  原案： 『ブラバンキッズ ラプソディー』『ブラバンキッズ オデッセイ』(石川高子 著/三五館 刊)◇番組HP http://www.tbs.co.jp/aogeba-toutoshi/  ◇twitter  @aogeba_tbs  https://twitter.com/aogeba_tbs  番組の内容と放送時間は変更になる場合があります。</t>
  </si>
  <si>
    <t>番組名仰げば尊し　第5音【余命宣告への挑戦】</t>
  </si>
  <si>
    <t>合宿中の喫煙問題により鮫島教頭（升毅）からはコンクールへの出場辞退を強く要求される樋熊（寺尾聰）。何とか説得し出場辞退は回避したが、ペナルティーとして10日間の部活動禁止を言い渡される美崎高校吹奏楽部。地区大会まであと1ヶ月、学校での部活動ができなくなり動揺する部員たちに対して、樋熊は学校外での練習を提案する。そんな中、樋熊の体調に異変が起こり…。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香代子…中島ひろ子    有馬 浩一…飯田基祐  美穂子…黒坂真美    木藤良 綾乃…生田智子樽谷 哲郎…東根作寿英  小池 克之…泉澤祐希    御堂 鏡子…霧島れいか      木藤良 蓮(幼少期)…中川翼  青島 裕人(幼少期)…高木星来  有馬 渚(幼少期)…濱田ここね  主題歌：『アリア』  BUMP OF CHICKEN（TOY'S FACTORY）脚本：いずみ吉紘  音楽：高見優  演出：福田亮介  原案： 『ブラバンキッズ ラプソディー』『ブラバンキッズ オデッセイ』(石川高子 著/三五館 刊)  ◇番組HP http://www.tbs.co.jp/aogeba-toutoshi/  ◇twitter  @aogeba_tbs  https://twitter.com/aogeba_tbs  番組の内容と放送時間は変更になる場合があります。</t>
  </si>
  <si>
    <t>番組名仰げば尊し　第6音【最後の戦いの始まり】</t>
  </si>
  <si>
    <t>すい臓がんと診断された樋熊（寺尾聰）が自宅で倒れた。搬送された病院で、すぐに手術をしてほしいと切望する奈津紀（多部未華子）だが、樋熊は地区大会を前に手術をしない治療法を選択、生徒たちには病気のことは伏せておくよう奈津紀に頼む。一方、全国大会と留学受験が重なる木藤良は、みんなと一緒に全国大会を目指したいと言う。木藤良の留学話を知った青島（村上虹郎）は…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寛治…石坂浩二香代子…中島ひろ子    有馬 浩一…飯田基祐  美穂子…黒坂真美    木藤良 綾乃…生田智子    樽谷 哲郎…東根作寿英  小池 克之…泉澤祐希    御堂 鏡子…霧島れいか主題歌：『アリア』  BUMP OF CHICKEN（TOY'S FACTORY）脚本：いずみ吉紘  音楽：高見優  監督：吉田健  原案： 『ブラバンキッズ ラプソディー』『ブラバンキッズ オデッセイ』(石川高子 著/三五館 刊)  ◇番組HP http://www.tbs.co.jp/aogeba-toutoshi/  ◇twitter  @aogeba_tbs  https://twitter.com/aogeba_tbs  番組の内容と放送時間は変更になる場合があります。</t>
  </si>
  <si>
    <t>番組名仰げば尊し　第7音【最終章開幕！奇跡の勝利へ】</t>
  </si>
  <si>
    <t>全国大会を目指し、猛練習に明け暮れる美崎高校吹奏楽部。一方で樋熊は治療のため、練習すら参加できなくなってしまう。樋熊がいないことで、不安が募っていく吹奏楽部員たち。そんな状況に青島、そして木藤良は…。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香代子…中島ひろ子  有馬 浩一…飯田基祐  美穂子…黒坂真美  木藤良 綾乃…生田智子  樽谷 哲郎…東根作寿英  御堂 鏡子…霧島れいか主題歌：『アリア』  BUMP OF CHICKEN（TOY'S FACTORY）脚本：いずみ吉紘  音楽：高見優  演出：福田亮介  原案： 『ブラバンキッズ ラプソディー』『ブラバンキッズ オデッセイ』(石川高子 著/三五館 刊)◇番組HP http://www.tbs.co.jp/aogeba-toutoshi/  ◇twitter  @aogeba_tbs  https://twitter.com/aogeba_tbs  番組の内容と放送時間は変更になる場合があります。</t>
  </si>
  <si>
    <t>番組名仰げば尊し　最終回【別れと奇跡】</t>
  </si>
  <si>
    <t>奈津紀が指揮をした県大会で見事金賞を受賞した美崎高校は、手術が終わった樋熊に報告をする。  次の関東大会で選ばれれば、夢の全国大会が決定する。夢にまで見た晴れの舞台へ「あと一歩」だったが、樋熊の手術の結果は芳しくなかった。体のほかの部位に手の施しようがないほどに腫瘍が転移していた。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香代子…中島ひろ子  有馬 浩一…飯田基祐  美穂子…黒坂真美  木藤良 綾乃…生田智子  樽谷 哲郎…東根作寿英  御堂 鏡子…霧島れいか主題歌：『アリア』  BUMP OF CHICKEN（TOY'S FACTORY）脚本：いずみ吉紘  音楽：高見優  演出：平川雄一郎  原案： 『ブラバンキッズ ラプソディー』『ブラバンキッズ オデッセイ』(石川高子 著/三五館 刊)  ◇番組HP http://www.tbs.co.jp/aogeba-toutoshi/  ◇twitter  @aogeba_tbs  https://twitter.com/aogeba_tbs  番組の内容と放送時間は変更になる場合があります。</t>
  </si>
  <si>
    <t>1604_TBS_火22</t>
  </si>
  <si>
    <t>重版出来！</t>
  </si>
  <si>
    <t>番組名火曜ドラマ「重版出来！」　第1話</t>
  </si>
  <si>
    <t>黒木華  オダギリジョー  坂口健太郎  荒川良々  濱田マリ  野々すみ花  永岡佑  最上もが  ・  小日向文世  ・  滝藤賢一  ・  ムロツヨシ  高田純次  安田顕  松重豊◇原作  「重版出来！」  松田奈緒子  （小学館　月刊！スピリッツ連載）  ◇脚本  野木亜紀子    ◇演出  土井裕泰    ◇プロデューサー  那須田淳  東仲恵吾  八尾香澄◇番組HP  http://www.tbs.co.jp/juhan-shuttai/  番組の内容と放送時間は変更になる場合があります。</t>
  </si>
  <si>
    <t>番組名火曜ドラマ「重版出来！」　第2話</t>
  </si>
  <si>
    <t>望まない部署に配属された営業マン・小泉。仕事のやる気もなく書店員たちからは陰でユーレイと呼ばれていた。  営業部長の岡からも叱られる日々。  あるとき、小泉が担当するタンポポ鉄道の3巻の発売が決まり、営業一丸となって集中的に売り込むことが決まる。  心も、助っ人で手伝いにくる。ポジティブに突き進む心を見た小泉の心境に変化が！？黒木華  オダギリジョー  坂口健太郎  荒川良々  野々すみ花  永岡佑  最上もが  ・  生瀬勝久  ・  滝藤賢一  要潤  ・  安田顕  松重豊◇原作  「重版出来！」  松田奈緒子  （小学館　月刊！スピリッツ連載）  ◇脚本  野木亜紀子    ◇演出  土井裕泰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  番組の内容と放送時間は変更になる場合があります。</t>
  </si>
  <si>
    <t>番組名火曜ドラマ「重版出来！」　第3話</t>
  </si>
  <si>
    <t>黒木華  オダギリジョー  坂口健太郎  荒川良々  濱田マリ  野々すみ花  永岡佑  最上もが  ・  小日向文世  ・  滝藤賢一  ・  ムロツヨシ  高田純次  安田顕  松重豊◇原作  「重版出来！」  松田奈緒子  （小学館　月刊！スピリッツ連載）  ◇脚本  野木亜紀子    ◇演出  土井裕泰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t>
  </si>
  <si>
    <t>番組名火曜ドラマ「重版出来！」　第4話</t>
  </si>
  <si>
    <t>同人誌即売会で出張編集部に向かう心。そこではデビューを目指す新人たちが原稿の持ち込みにくる。金の卵を見つけようと気合いをいれる心のもとに二人の新人が現れる。  二人とデビューを目指す心だったが、その前にたちはだかったのは新人ツブシという異名を持つ編集者・安井だった。  安井に言い返す心だったが・・・黒木華  オダギリジョー  坂口健太郎  荒川良々  野々すみ花  中川大志  高月彩良  最上もが  斎藤司（トレンディエンジェル）  ・  小日向文世  ・  滝藤賢一  ・  ムロツヨシ  安田顕  松重豊◇原作  「重版出来！」  松田奈緒子  （小学館　月刊！スピリッツ連載）  ◇脚本  野木亜紀子    ◇演出  福田亮介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t>
  </si>
  <si>
    <t>番組名火曜ドラマ「重版出来！」　第5話</t>
  </si>
  <si>
    <t>番組名火曜ドラマ「重版出来！」　第6話</t>
  </si>
  <si>
    <t>番組名火曜ドラマ「重版出来！」　第7話</t>
  </si>
  <si>
    <t>三蔵山のもとで20年アシスタントをしている沼田（ムロツヨシ）。中田（永山絢斗）の面倒を見ていく中で、次第に中田の才能に嫉妬を覚えるようになっていく。  一方、心（黒木華）は和田（松重豊）に連れられて伝説の漫画家のもとに向かっていた。  そこには変わり果てた姿の漫画家がいて・・・黒木華  オダギリジョー  坂口健太郎  荒川良々  野々すみ花  康すおん  ・  小日向文世  ・  永山絢斗  ・  ムロツヨシ  安田顕  松重豊◇原作  「重版出来！」  松田奈緒子  （小学館　月刊！スピリッツ連載）  ◇脚本  野木亜紀子    ◇演出  塚原あゆ子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t>
  </si>
  <si>
    <t>番組名火曜ドラマ「重版出来！」　第8話</t>
  </si>
  <si>
    <t>電子書籍化交渉の為、かつての天才漫画家・牛露田の元に通う和田と心。しかし別人のような姿になった牛露田と、いじめに合っている娘・アユもすさんでいた。アユの心を開くべく接する心だが…。  一方、中田が原因不明のスランプに陥り大ピンチの心。中田の弱点は「他人を理解する力の欠如」だというが…。黒木華  オダギリジョー  坂口健太郎  荒川良々  野々すみ花  康すおん  赤江珠緒  蒔田彩珠  ・  小日向文世  ・  滝藤賢一  永山絢斗  ・  安田顕  松重豊◇原作  「重版出来！」  松田奈緒子  （小学館　月刊！スピリッツ連載）  ◇脚本  野木亜紀子    ◇演出  土井裕泰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  リオ五輪バレーボール世界最終予選　男子3戦　日本×ポーランドの試合状況により、放送時間が変更になる可能性がございます。</t>
  </si>
  <si>
    <t>番組名火曜ドラマ「重版出来！」　第9話</t>
  </si>
  <si>
    <t>エンペラーの引き抜きに合う高畑。  初代担当者の五百頭旗は、そのことを高畑の恋人・梨音から聞いてしまう。しかし、作家のことを一番に考えるあまり聞けずにいた。  がらにもなく高畑の後をつけたりしながら、五百頭旗は、あたふたする。一方、心は中田との連載に向けて進んでいた。  連載の決め手に欠ける中田の作品に足りないものとは何か。黒木華  オダギリジョー  坂口健太郎  荒川良々  野々すみ花  最上もが  明和電機  ・  小日向文世  ・  滝藤賢一  永岡絢斗  ・  安田顕  松重豊◇原作  「重版出来！」  松田奈緒子  （小学館　月刊！スピリッツ連載）  ◇脚本  野木亜紀子    ◇演出  福田亮介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t>
  </si>
  <si>
    <t>番組名火曜ドラマ「重版出来！」　第10話</t>
  </si>
  <si>
    <t>1604_TBS_日21</t>
  </si>
  <si>
    <t>番組名日曜劇場「99．9－刑事専門弁護士－」　第1話</t>
  </si>
  <si>
    <t>深山(松本潤) はお金にならない刑事事件ばかりを引き受ける貧乏弁護士。ある日、巨大法律事務所の斑目 (岸部一徳) からヘッドハンティングされる。移籍した深山であったが、バディを組むはずの佐田 (香川照之) は、大企業の顧問弁護士を務める民事のトッププレーヤーで金にならない刑事事件には全く興味がない様子だ。さらにチームのもう一人の弁護士である 立花(榮倉奈々) も渋々移籍してきた様子で…松本潤  香川照之  榮倉奈々    青木崇高  片桐仁  マギー  渡辺真起子  馬場徹  映美くらら  池田貴史  岸井ゆきの  藤本隆宏    奥田瑛二  岸部一徳    ゲスト  赤井英和  堀内敬子ほかクイズに答えて番組特製マグカップを当てよう！抽せんで3名様にプレゼント！クイズはこちら！4/17夜9時〆切⇒ http://www.tbs.co.jp/999tbs/present/  主題歌：嵐「Daylight」  音楽：井筒昭雄脚本：宇田学  トリック監修：蒔田光治  演出：木村ひさし◇番組HP  http://www.tbs.co.jp/999tbs/  ◇twitter  @999_tbs  https://twitter.com/999_tbs?ref_src=twsrc%5Etfw番組の内容と放送時間は変更になる場合があります。※報道特番に変更の可能性があります。</t>
  </si>
  <si>
    <t>番組名日曜劇場「99．9－刑事専門弁護士－」　第2話</t>
  </si>
  <si>
    <t>深山は、口論となった男をもみ合いの末にナイフで殺害してしまった山下 (風間俊介) の弁護を担当することになる。  山下は、たまたま立ち寄った居酒屋で、大騒ぎをする男を注意すると、外に連れ出される。そこで、逆上してナイフを出してきた木内を、もみ合った末に奪ったナイフで殺害してしまったのだ。  当然、山下は正当防衛を主張している。  だが、深山は山下の証言に違和感を覚え、彼ならではの捜査を始める。松本潤  香川照之  榮倉奈々  青木崇高  片桐仁  マギー  渡辺真起子  馬場徹  映美くらら  池田貴史  岸井ゆきの  藤本隆宏    奥田瑛二  岸部一徳    ＜第2話ゲスト＞  風間俊介  大和田健介日曜劇場『99.9－刑事専門弁護士－』の放送終了後に、番組内容に関するクイズを出題。  正解者の中から抽選で、番組オリジナル・クリアファイル (松本さん、香川さん、榮倉さんのポスター3ショットのデザイン！) をプレゼントいたします。たくさんのご応募、お待ちしています。  http://www.tbs.co.jp/999tbs/present/  主題歌：嵐「Daylight」  音楽：井筒昭雄脚本：宇田学  トリック監修：蒔田光治  演出：木村ひさし◇番組HP  http://www.tbs.co.jp/999tbs/  ◇twitter  @999_tbs  https://twitter.com/999_tbs?ref_src=twsrc%5Etfw番組の内容と放送時間は変更になる場合があります。</t>
  </si>
  <si>
    <t>番組名日曜劇場「99．9－刑事専門弁護士－」　第3話</t>
  </si>
  <si>
    <t>刑事専門ルームに新たな案件が舞い込んでくる。その案件とは、川口建設の金庫に常備していた1,000万円が盗まれた事件。経理を担当していた 果歩 (山下リオ) が逮捕され、娘を助けて欲しいと母・冴子 (麻生祐未) から依頼があったのだ。  被告人が女性であることもあり、自分の実力を見せたい彩乃が担当したいと申し出て、佐田に了承される。  果歩に接見に行く彩乃だが、「私には母はいない」と拒否されてしまい…松本潤  香川照之  榮倉奈々    青木崇高  片桐仁  マギー  渡辺真起子  馬場徹  映美くらら  池田貴史  岸井ゆきの  藤本隆宏    奥田瑛二  岸部一徳    ＜ゲスト＞  山下リオ  麻生祐未  鶴見辰吾主題歌：嵐「Daylight」  音楽：井筒昭雄脚本：宇田学  トリック監修：蒔田光治  演出：木村ひさし◇番組HP  http://www.tbs.co.jp/999tbs/  ◇twitter  @999_tbs  https://twitter.com/999_tbs?ref_src=twsrc%5Etfw番組の内容と放送時間は変更になる場合があります。</t>
  </si>
  <si>
    <t>番組名日曜劇場「99．9－刑事専門弁護士－」　第4話</t>
  </si>
  <si>
    <t>太陽光発電に関する世界的発明者である 菊池 (板尾創路) が、仕事の元同僚である井原宏子 (ハマカワフミエ) への強制わいせつの罪で告訴され、弁護を依頼してくる。  菊池は強く無罪を主張するが、この手の事件は当事者の証言以外に証拠が乏しいため、潔白を証明するのは難しい。  そんな中、菊池の勤めるウドウ光学研究所の社長・鵜堂 (升毅) が、会社で示談金を準備させて欲しいと提案する。松本潤  香川照之  榮倉奈々    青木崇高  片桐仁  マギー  渡辺真起子  馬場徹  映美くらら  池田貴史  岸井ゆきの  藤本隆宏    奥田瑛二  岸部一徳    第4話ゲスト  板尾創路  淵上泰史  ハマカワフミエ  升毅主題歌：嵐「Daylight」  音楽：井筒昭雄脚本：宇田学  トリック監修：蒔田光治  演出：木村ひさし◇番組HP  http://www.tbs.co.jp/999tbs/  ◇twitter  @999_tbs  https://twitter.com/999_tbs?ref_src=twsrc%5Etfw番組の内容と放送時間は変更になる場合があります。</t>
  </si>
  <si>
    <t>番組名日曜劇場「99．9－刑事専門弁護士－」　第5話</t>
  </si>
  <si>
    <t>深山は、三枝 (平田満) を暴行したとして逮捕された 谷繁 (千葉雄大) の弁護を担当することになる。事件当時のことを聞くため、彩乃 (榮倉奈々) と共に接見するが、その最中に谷繁は 「あいつが殺したんだ…」 と呟きながら倒れ、意識不明の重体となってしまう。一方、不起訴の決裁が増えている検察官の 丸川は、検事正・大友 (奥田瑛二) から忠告をうける。松本潤  香川照之  榮倉奈々    青木崇高  片桐仁  マギー  渡辺真起子  馬場徹  映美くらら  池田貴史  岸井ゆきの  藤本隆宏    奥田瑛二  岸部一徳    ＜5話ゲスト＞  平田満  千葉雄大主題歌：嵐「Daylight」  音楽：井筒昭雄脚本：宇田学  トリック監修：蒔田光治  演出：木村ひさし◇番組HP  http://www.tbs.co.jp/999tbs/  ◇twitter  @999_tbs  https://twitter.com/999_tbs?ref_src=twsrc%5Etfwバレーボール女子リオオリンピック世界最終予選　日本×カザフスタンの試合状況により、放送時間が変更になる可能性がございます。</t>
  </si>
  <si>
    <t>番組名日曜劇場「99．9－刑事専門弁護士－」　第6話</t>
  </si>
  <si>
    <t>深山は、18年前に自殺した谷繁（千葉雄大）の父親が、実は自殺ではなく、三枝（平田満）に殺害された可能性が高いと考える。  しかし三枝は、同じく18年前に起きた「杉並区資産家令嬢殺人事件」で「逃走する犯人を目撃した」と証言していた。  つまり三枝は、谷繁の父が殺害された時刻には、もうひとつの事件が起きた付近におり、谷繁の父を殺害するのは不可能である、というアリバイがあったのだった…松本潤  香川照之  榮倉奈々    青木崇高  片桐仁  マギー  渡辺真起子  馬場徹  映美くらら  池田貴史  岸井ゆきの  藤本隆宏    奥田瑛二  岸部一徳    ＜第6話ゲスト＞  平田満  吉沢悠  千葉雄大  菅谷哲也主題歌：嵐「Daylight」  音楽：井筒昭雄脚本：宇田学  トリック監修：蒔田光治  演出：岡本伸吾◇番組HP  http://www.tbs.co.jp/999tbs/  ◇twitter  @999_tbs  https://twitter.com/999_tbs?ref_src=twsrc%5Etfw番組の内容と放送時間は変更になる場合があります。</t>
  </si>
  <si>
    <t>番組名日曜劇場「99．9－刑事専門弁護士－」　第7話</t>
  </si>
  <si>
    <t>大手玩具メーカーの社長が副社長である息子の河村英樹（高嶋政伸）に殺害されてしまう。しかし逮捕されたのは、同社専務取締役・西岡（嶋田久作）だった。  深山、佐田、志賀らは被疑者である西岡の弁護人となり、当時の状況を聞くが、西岡は「まったく身に覚えがない」と語る。  しかし、決定的な証拠である“凶器の花瓶から検出された西岡の指紋”が、西岡を有罪へと追い詰めてゆき…松本潤  香川照之  榮倉奈々    青木崇高  片桐仁  マギー  渡辺真起子  馬場徹  映美くらら  池田貴史  岸井ゆきの  藤本隆宏    奥田瑛二  岸部一徳    ＜ゲスト＞  高嶋政伸  嶋田久作主題歌：嵐「Daylight」  音楽：井筒昭雄脚本：宇田学  トリック監修：蒔田光治  演出：木村ひさし◇番組HP  http://www.tbs.co.jp/999tbs/  ◇twitter  @999_tbs  https://twitter.com/999_tbs?ref_src=twsrc%5Etfw番組の内容と放送時間は変更になる場合があります。</t>
  </si>
  <si>
    <t>番組名日曜劇場「99．9－刑事専門弁護士－」　第8話</t>
  </si>
  <si>
    <t>突然、斑目法律事務所に刑事たちがやってきて、深山は殺人の容疑で逮捕されてしまう。佐田や彩乃は驚きを隠せないまま、すぐさま留置所に足を運び、深山と接見を行うが、深山はまともに話をしようともしない。  警察の調べによると、深山は鈴木という男とレストランで会っていた。鈴木は、深山が作った調味料を料理にかけて口にしたとたん、苦しみ倒れ、病院搬送後まもなく死亡したという…松本潤  香川照之  榮倉奈々    青木崇高  片桐仁  マギー  渡辺真起子  馬場徹  映美くらら  池田貴史  岸井ゆきの  藤本隆宏    奥田瑛二  岸部一徳    ＜ゲスト＞  夏菜  綾部祐二（ピース）  林泰文主題歌：嵐「Daylight」  音楽：井筒昭雄脚本：宇田学  トリック監修：蒔田光治  演出：岡本伸吾◇番組HP  http://www.tbs.co.jp/999tbs/  ◇twitter  @999_tbs  https://twitter.com/999_tbs?ref_src=twsrc%5Etfwリオ五輪バレーボール世界最終予選　男子最終戦　日本×フランスの試合状況により、放送時間が変更になる可能性がございます。</t>
  </si>
  <si>
    <t>番組名日曜劇場「99．9－刑事専門弁護士－」　第9話</t>
  </si>
  <si>
    <t>深山は佐田から指示を受け、山城鉄道の会長の自宅を訪ねる。  そこには殺害された会長の遺体と、それを取り囲む家族らが。  状況を聞くと、三男の嫁である皐月（国仲涼子）が犯行を自供。  脳梗塞を患った義父を懸命に介護したが、罵倒される日々が重なり、耐えられなくなっての犯行だという。  しかし深山はある違和感を嗅ぎ取る。  皆の証言を深く掘り下げてゆくと、無理につじつまを合わせたかのように一致しており…。松本潤  香川照之  榮倉奈々    青木崇高  片桐仁  マギー  渡辺真起子  馬場徹  映美くらら  池田貴史  岸井ゆきの  藤本隆宏    奥田瑛二  岸部一徳  ＜ゲスト＞　  国仲涼子　  平岳大　  中山忍ほか主題歌：嵐「Daylight」  音楽：井筒昭雄脚本：宇田学  トリック監修：蒔田光治  演出：木村ひさし◇番組HP  http://www.tbs.co.jp/999tbs/  ◇twitter  @999_tbs  https://twitter.com/999_tbs?ref_src=twsrc%5Etfw番組の内容と放送時間は変更になる場合があります。</t>
  </si>
  <si>
    <t>番組名日曜劇場「99．9－刑事専門弁護士－」　第10話</t>
  </si>
  <si>
    <t>深山は、連続殺人事件の容疑者として逮捕された石川の弁護を担当することになる。  石川は、殺害現場に毛髪と血痕が残されていたことで逮捕され、取り調べで犯行事実を認めていた。  だが、検察の丸川から毎日取り調べられ、意識が朦朧としている中で調書にサインをしてしまったと明かす。  そんな状況の中、深山は佐田や彩乃らと捜査を始めるが、週刊誌のある記事を目にして、再び、皆の前から消えてしまい…。松本潤  香川照之  榮倉奈々    青木崇高  片桐仁  マギー  渡辺真起子  馬場徹  映美くらら  池田貴史  岸井ゆきの  藤本隆宏    奥田瑛二  岸部一徳    &lt;ゲスト&gt;  中丸雄一  神保悟志  平泉成主題歌：嵐「Daylight」  音楽：井筒昭雄脚本：宇田学  トリック監修：蒔田光治  演出：木村ひさし◇番組HP  http://www.tbs.co.jp/999tbs/  ◇twitter  @999_tbs  https://twitter.com/999_tbs?ref_src=twsrc%5Etfw番組の内容と放送時間は変更になる場合があります。</t>
  </si>
  <si>
    <t>1601_TBS_火22</t>
  </si>
  <si>
    <t>ダメな私に恋してください</t>
  </si>
  <si>
    <t>番組名火曜ドラマ「ダメな私に恋してください」第1話【ダメ女、ドS上司と再会】</t>
  </si>
  <si>
    <t>柴田ミチコ（深田恭子）は30歳。勤めていた会社は突如倒産、就活も連敗中。なのにイケメン大学生に貢ぎまくって貯金もゼロに。そんな折、以前の職場のドS上司・黒沢歩（DEAN FUJIOKA）と偶然の再会。彼は憩い系喫茶店「ひまわり」のマスターになっていた。彼のナサケでその店のアルバイトとして働き始めるミチコ。以前と同様こき使われる毎日、でも、ことあるごとに手を差し伸べてくれる黒沢に新たな一面を発見し…柴田 ミチコ…深田 恭子    黒沢 歩…DEAN　FUJIOKA  最上 大地…三浦 翔平    生嶋 晶…野波 麻帆    テリー（照井 学）…鈴木 貴之  タマ（玉井 剛）…石黒 英雄  ポチ（星 武）…クロちゃん    中島 美咲…内藤理沙  藤本 エリカ…藤本 泉  米田 亜希…小林 きな子  　  鯉田 和夫…小野 武彦    春子…ミムラ佐野 純太…吉沢 亮  オタク客…イジリー岡田主題歌  「もっと」aiko  (ポニーキャニオン)    音楽：出羽良彰　羽深由理原作：「ダメな私に恋してください」 中原 アヤ　（集英社マーガレットコミックス刊／「YOU」連載中）  脚本：吉澤 智子  監督：河合 勇人◇番組HP http://www.tbs.co.jp/damekoi/  ◇facebook https://www.facebook.com/damekoitbs/  ◇twitter  https://twitter.com/damekoi_TBS  @damekoi_TBS  ◇instagram  damekoi_tbs  番組の内容と放送時間は変更になる場合があります。</t>
  </si>
  <si>
    <t>番組名火曜ドラマ「ダメな私に恋してください」　第2話【ドS上司とのキスの行方は!?】</t>
  </si>
  <si>
    <t>ドS上司黒沢歩（ディーン・フジオカ）が寝ぼけて人違いでしてきたキスに動揺する柴田ミチコ（深田恭子）。しかし、再就職をきっかけにそんな彼女の前に新たなイケメン・最上大地（三浦翔平）が現れる。そして明らかになる黒沢の思い人とは？！柴田 ミチコ…深田 恭子    黒沢 歩…DEAN　FUJIOKA  最上 大地…三浦 翔平    生嶋 晶…野波 麻帆    テリー（照井 学）…鈴木 貴之  タマ（玉井 剛）…石黒 英雄  ポチ（星 武）…クロちゃん    門真　由希…佐野　ひなこ    中島 美咲…内藤理沙  藤本 エリカ…藤本 泉  米田 亜希…小林 きな子    森　努…小松　和重　  鯉田 和夫…小野 武彦    春子…ミムラ主題歌  「もっと」aiko  (ポニーキャニオン)    音楽：出羽 良彰　羽深由理原作：「ダメな私に恋してください」 中原 アヤ　（集英社マーガレットコミックス刊／「YOU」連載中）  脚本：吉澤 智子  監督：河合 勇人◇番組HP http://www.tbs.co.jp/damekoi/  ◇facebook https://www.facebook.com/damekoitbs/  ◇twitter  https://twitter.com/damekoi_TBS  @damekoi_TBS  ◇instagram  damekoi_tbs  番組の内容と放送時間は変更になる場合があります。</t>
  </si>
  <si>
    <t>番組名火曜ドラマ「ダメな私に恋してください」　第3話【イケメンからのマジ告白!?】</t>
  </si>
  <si>
    <t>再就職先の年下イケメン最上（三浦翔平）と人生初のデートを果たすミチコ（深田恭子）。黒沢（ディーン・フジオカ）には「お前のつかまえる男はたいがいアホだ」と用心を促されるのだが…柴田 ミチコ…深田 恭子    黒沢 歩…DEAN　FUJIOKA  最上 大地…三浦 翔平    生嶋 晶…野波 麻帆    テリー（照井 学）…鈴木 貴之  タマ（玉井 剛）…石黒 英雄  ポチ（星 武）…クロちゃん    門真　由希…佐野　ひなこ    中島 美咲…内藤 理沙  江藤　瞳…内田 理央  加藤…山本 圭祐    黒沢 一…竹財 輝之助  森　努…小松　和重  鯉田 和夫…小野 武彦    春子…ミムラ主題歌  「もっと」aiko  (ポニーキャニオン)    音楽：出羽良彰　羽深由理原作：「ダメな私に恋してください」 中原 アヤ　（集英社マーガレットコミックス刊／「YOU」連載中）  脚本：吉澤　智子  監督：福田　亮介◇番組HP http://www.tbs.co.jp/damekoi/  ◇facebook https://www.facebook.com/damekoitbs/  ◇twitter  https://twitter.com/damekoi_TBS  @damekoi_TBS  ◇instagram  damekoi_tbs  番組の内容と放送時間は変更になる場合があります。</t>
  </si>
  <si>
    <t>番組名火曜ドラマ「ダメな私に恋してください」第4話【信じていいの？年下男のプロポーズ】</t>
  </si>
  <si>
    <t>人生初カレから、はからずも「結婚」の2文字を引き出すことになったミチコ。しかし、黒沢からはそんなカレが結婚詐欺ではないか、と言われてしまう。一方、ミチコもまた黒沢の恋の相手が人妻ではないかという境遇に直面し…柴田 ミチコ…深田 恭子    黒沢 歩…DEAN　FUJIOKA  最上 大地…三浦 翔平    生嶋 晶…野波 麻帆  テリー（照井 学）…鈴木 貴之  タマ（玉井 剛）…石黒 英雄  ポチ（星 武）…クロちゃん    門真　由希…佐野　ひなこ  中島 美咲…内藤理沙  江藤　瞳…内田 理央  　  黒沢 一…竹財 輝之助  森　努…小松　和重  鯉田 和夫…小野 武彦    春子…ミムラ丹野 綾…大野 いと主題歌  「もっと」aiko  (ポニーキャニオン)    音楽：出羽良彰　羽深由理原作：「ダメな私に恋してください」 中原 アヤ　（集英社マーガレットコミックス刊／「YOU」連載中）  脚本：吉澤 智子  監督：福田 亮介◇番組HP http://www.tbs.co.jp/damekoi/  ◇facebook https://www.facebook.com/damekoitbs/  ◇twitter  https://twitter.com/damekoi_TBS  @damekoi_TBS  ◇instagram  damekoi_tbs  番組の内容と放送時間は変更になる場合があります。</t>
  </si>
  <si>
    <t>番組名火曜ドラマ「ダメな私に恋してください」第5話【大人のお宅訪問！ついに試合開始？】</t>
  </si>
  <si>
    <t>最上（三浦翔平）との仲を察知され、女子社員から人生初の嫉妬を受けるミチコ（深田恭子）。そんなミチコは黒沢（ディーン・フジオカ）と春子（ミムラ）との親密な関係を目撃し、意外にも複雑な思いになる。そしてついに最上との自宅デートの日を迎え気合いを入れるのだったが…柴田 ミチコ…深田 恭子    黒沢 歩…DEAN　FUJIOKA（ディーン・フジオカ）  最上 大地…三浦 翔平    生嶋 晶…野波 麻帆  テリー（照井 学）…鈴木 貴之  タマ（玉井 剛）…石黒 英雄  ポチ（星 武）…クロちゃん    門真　由希…佐野　ひなこ  中島 美咲…内藤 理沙  江藤　瞳…内田 理央    黒沢 一…竹財 輝之助  森　努…小松　和重  鯉田 和夫…小野 武彦    春子…ミムラ主題歌  「もっと」aiko  (ポニーキャニオン)    音楽：出羽 良彰　羽深由理原作：「ダメな私に恋してください」 中原 アヤ　（集英社マーガレットコミックス刊／「YOU」連載中）  脚本：吉澤 智子  監督：月川 翔◇番組HP http://www.tbs.co.jp/damekoi/  ◇facebook https://www.facebook.com/damekoitbs/  ◇twitter  https://twitter.com/damekoi_TBS  @damekoi_TBS  ◇instagram  damekoi_tbs  番組の内容と放送時間は変更になる場合があります。</t>
  </si>
  <si>
    <t>番組名火曜ドラマ「ダメな私に恋してください」第6話【彼氏がサギ師！？蘇る過去！】</t>
  </si>
  <si>
    <t>黒沢（ディーン・フジオカ）の家を出て、最上（三浦翔平）との同棲にそなえるミチコ（深田恭子）。だが、しだいに最上の言動に疑問を抱くようになる。ついには、かつてミチコを騙した純太（吉沢亮）と同じようなことを言ってきて‥‥。  しかしそこで発覚する最上の大ピンチ!? 会社でミスを犯した最上を救おうと、ミチコは走り出す！柴田 ミチコ…深田 恭子    黒沢 歩…DEAN　FUJIOKA（ディーン・フジオカ）  最上 大地…三浦 翔平    生嶋 晶…野波 麻帆  テリー（照井 学）…鈴木 貴之  タマ（玉井 剛）…石黒 英雄  ポチ（星 武）…クロちゃん    門真　由希…佐野　ひなこ  中島 美咲…内藤理沙    森　努…小松　和重  鯉田 和夫…小野 武彦    春子…ミムラ南 環…山村美智主題歌  「もっと」aiko  (ポニーキャニオン)    音楽：出羽良彰　羽深由理原作：「ダメな私に恋してください」 中原 アヤ　（集英社マーガレットコミックス刊／「YOU」連載中）  脚本：吉澤 智子  監督：月川 翔◇番組HP http://www.tbs.co.jp/damekoi/  ◇facebook https://www.facebook.com/damekoitbs/  ◇twitter  https://twitter.com/damekoi_TBS  @damekoi_TBS  ◇instagram  damekoi_tbs  番組の内容と放送時間は変更になる場合があります。</t>
  </si>
  <si>
    <t>番組名火曜ドラマ「ダメな私に恋してください」第7話【私が本当に好きなのは？！】</t>
  </si>
  <si>
    <t>最上（三浦翔平）に突然プロポーズされ、浮かれつつもイマイチ状況についていけないミチコ（深田恭子）。だが、当の最上は式場の下見やドレスの試着など結婚への準備をハイペースに進めていく。  一方、黒沢（DEAN FUJIOKA）はミチコの婚約を素直に祝福するものの、ミチコはそんな黒沢の存在が気になり始めるのだった。柴田 ミチコ…深田 恭子    黒沢 歩…DEAN　FUJIOKA（ディーン・フジオカ）  最上 大地…三浦 翔平    生嶋 晶…野波 麻帆    テリー（照井 学）…鈴木 貴之  タマ（玉井 剛）…石黒 英雄  ポチ（星 武）…クロちゃん    門真　由希…佐野　ひなこ  中島 美咲…内藤　理沙  森　努…小松　和重    鯉田 和夫…小野 武彦    春子…ミムラ主題歌  「もっと」aiko  (ポニーキャニオン)    音楽：出羽良彰　羽深由理原作：「ダメな私に恋してください」 中原 アヤ　（集英社マーガレットコミックス刊／「YOU」連載中）  脚本：吉澤 智子  監督：月川 翔◇番組HP http://www.tbs.co.jp/damekoi/  ◇facebook https://www.facebook.com/damekoitbs/  ◇twitter  https://twitter.com/damekoi_TBS  @damekoi_TBS  ◇instagram  damekoi_tbs  番組の内容と放送時間は変更になる場合があります。</t>
  </si>
  <si>
    <t>番組名火曜ドラマ「ダメな私に恋してください」第8話【今度は私から！？主任とキス】</t>
  </si>
  <si>
    <t>最上（三浦翔平）に貰った婚約指輪を返したミチコ（深田恭子）は、再び黒沢（DEAN FUJIOKA）と「ひまわり」で同居することになる。  そんな中、実家の母・奈津江（山下容莉枝）から帰省を促され、婚約者も連れてくるようにと言われてしまう。別れた事実を言い出せず、居もしない婚約者を連れて帰ると答えてしまったミチコだったが…柴田 ミチコ…深田 恭子    黒沢 歩…DEAN　FUJIOKA  最上 大地…三浦 翔平    生嶋 晶…野波 麻帆    テリー（照井 学）…鈴木 貴之  タマ（玉井 剛）…石黒 英雄  ポチ（星 武）…クロちゃん    門真　由希…佐野　ひなこ  中島 美咲…内藤 理沙  森　努…小松　和重  黒沢　一…竹財　輝之助    鯉田 和夫…小野 武彦    春子…ミムラ柴田 秀輔…佐戸井 けん太  柴田 奈津江…山下 容莉枝  柴田 明日香…小島 藤子  柴田 智文…不破 万作主題歌  「もっと」aiko  (ポニーキャニオン)  原作：「ダメな私に恋してください」 中原 アヤ　（集英社マーガレットコミックス刊／「YOU」連載中）  脚本：吉澤 智子  監督：月川 翔◇番組HP http://www.tbs.co.jp/damekoi/  ◇facebook https://www.facebook.com/damekoitbs/  ◇twitter  https://twitter.com/damekoi_TBS  @damekoi_TBS  ◇instagram  damekoi_tbs  番組の内容と放送時間は変更になる場合があります。</t>
  </si>
  <si>
    <t>番組名火曜ドラマ「ダメな私に恋してください」第9話【主任の大決心！彼女か私か】</t>
  </si>
  <si>
    <t>実家からの帰り道、ミチコ（深田恭子）は勢いあまって黒沢（DEAN FUJIOKA）にプロポーズするが、あっさり断られてしまう。晶（野波麻帆）から色々とアドバイスを貰うも、しかしミチコが実践するとどうしてもダメダメに。  「せめて交際を」と気持ちを切りかえるミチコ。しかしその時、黒沢の携帯に春子（ミムラ）からの着信が‥‥。  電話にでるやいなや、黒沢はすぐさま春子のもとへ向かってしまうのだった。柴田 ミチコ…深田 恭子    黒沢 歩…DEAN　FUJIOKA（ディーン・フジオカ）  最上 大地…三浦 翔平    生嶋 晶…野波 麻帆    テリー（照井 学）…鈴木 貴之  タマ（玉井 剛）…石黒 英雄  ポチ（星 武）…クロちゃん    門真　由希…佐野 ひなこ  中島 美咲…内藤 理沙  森　努…小松 和重    黒沢 一…竹財 輝之助    春子…ミムラ主題歌  「もっと」aiko  (ポニーキャニオン)    音楽：出羽 良彰　羽深由理原作：「ダメな私に恋してください」 中原 アヤ　（集英社マーガレットコミックス刊／「YOU」連載中）  脚本：吉澤 智子  監督：福田 亮介◇番組HP http://www.tbs.co.jp/damekoi/  ◇facebook https://www.facebook.com/damekoitbs/  ◇twitter  https://twitter.com/damekoi_TBS  @damekoi_TBS  ◇instagram  damekoi_tbs  番組の内容と放送時間は変更になる場合があります。</t>
  </si>
  <si>
    <t>番組名火曜ドラマ「ダメな私に恋してください」第10話【全ダメ女に捧ぐ恋の奇跡】</t>
  </si>
  <si>
    <t>再び黒沢（DEAN FUJIOKA）の元を離れたもののイケメンアイドルの追っかけを始め、ダメ女が再発するミチコ（深田恭子）。  かたやひまわりでは、黒沢と春子（ミムラ）の関係にもこれまでとは違った変化が生じ始めていた。そんな矢先、ミチコが怪しい男に付け狙われるという事件が起こり…柴田 ミチコ…深田 恭子    黒沢 歩…DEAN　FUJIOKA（ディーン・フジオカ）  最上 大地…三浦 翔平    生嶋 晶…野波 麻帆    テリー（照井 学）…鈴木 貴之  タマ（玉井 剛）…石黒 英雄  ポチ（星 武）…クロちゃん    門真　由希…佐野　ひなこ  中島 美咲…内藤 理沙  森　努…小松　和重    黒沢 一…竹財 輝之助    春子…ミムラ主題歌  「もっと」aiko  (ポニーキャニオン)    音楽：出羽 良彰　羽深由理原作：「ダメな私に恋してください」 中原 アヤ　（集英社マーガレットコミックス刊／「YOU」連載中）  脚本：吉澤 智子  監督：河合 勇人◇番組HP http://www.tbs.co.jp/damekoi/  ◇facebook https://www.facebook.com/damekoitbs/  ◇twitter  https://twitter.com/damekoi_TBS  @damekoi_TBS  ◇instagram  damekoi_tbs  番組の内容と放送時間は変更になる場合があります。</t>
  </si>
  <si>
    <t>1601_TBS_金22</t>
  </si>
  <si>
    <t>わたしを離さないで</t>
  </si>
  <si>
    <t>番組名金曜ドラマ「わたしを離さないで」(1)綾瀬はるか×英国100万部世界初ドラマ化</t>
  </si>
  <si>
    <t>保科恭子（綾瀬はるか）はとある仕事についていた。病院の手術室の前で手術を見守る恭子の目から、輝きを感じることはできない。見つめる先に横たわるのは土井友彦（三浦春馬）。一体彼らの身に何が起きているのだろうか。時は変わり20年前、隔離された施設「陽光学苑」で生活する恭子、友彦、美和（水川あさみ）の姿がある。キラキラと輝く幼少時代を過ごす彼らに、切なくも悲しい運命の知らせが訪れようとしている。綾瀬はるか　三浦春馬　水川あさみ　／鈴木梨央（幼少期）　中川翼（幼少期）　瑞城さくら（幼少期）　濱田ここね（幼少期）　エマ・バーンズ（幼少期）　本間日陽和（幼少期）　小林喜日（幼少期）　石川樹（幼少期）　／真飛聖　山野海　／伊藤歩　甲本雅裕／麻生祐未音楽：やまだ豊「天皇の料理番」ほか脚本：森下佳子「天皇の料理番」、「JIN」シリーズ、「白夜行」、「世界の中心で愛をさけぶ」、NHK「ごちそうさん」ほか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</si>
  <si>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番組名金曜ドラマ「わたしを離さないで」(2)綾瀬はるか×三浦春馬×水川あさみ　運命に挑む！</t>
  </si>
  <si>
    <t>◆「わたしを離さないで」の特別美術展を開催します◆  それに伴い、視聴者のみなさんから作品を募集中！！応募についての詳細は公式HP（http://www.tbs.co.jp/never-let-me-go/exhibition/）をご覧ください。自分たちは「臓器提供」の為に作り出された「天使」だと知った恭子（綾瀬はるか）達は、それぞれが運命を受け入れ、未来を変えようともがき始める。そんな中、2人の生徒が行方不明になる。その事件が彼女らの運命を徐々に狂わせていく。そして大人になった恭子たちに訪れる不協和音。幼少期に隠された秘密、物語は思いもよらない方向に進み始める。綾瀬はるか　三浦春馬　水川あさみ　／鈴木梨央（幼少期）　中川翼（幼少期）　瑞城さくら（幼少期）　濱田ここね（幼少期）　エマ・バーンズ（幼少期）　本間日陽和（幼少期）　小林喜日（幼少期）　石川樹（幼少期）　／真飛聖　山野海　／伊藤歩　甲本雅裕／麻生祐未音楽：やまだ豊「天皇の料理番」ほか脚本：森下佳子「天皇の料理番」、「JIN」シリーズ、「白夜行」、「世界の中心で愛をさけぶ」、NHK「ごちそうさん」ほか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</si>
  <si>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番組名金曜ドラマ「わたしを離さないで」(3)第1章完結　永遠の別れ…哀しいキスの行方</t>
  </si>
  <si>
    <t>◆「わたしを離さないで」の特別美術展を開催します◆  それに伴い、視聴者のみなさんから作品を募集中！！応募についての詳細は公式HP（http://www.tbs.co.jp/never-let-me-go/exhibition/）をご覧ください。卒業を間近に迎えた恭子（綾瀬はるか）、友彦（三浦春馬）、美和（水川あさみ）は新たに住む先の選択に迫られていた。「恭子と一緒のところでいい」という友彦に、感情の動きを感じる恭子。一方、サッカー選手の夢を持ち続ける友彦の前に変わり果てた龍子（伊藤歩）が現れる。彼女の口から発せられたのは信じがたい事実だった。そして、恭子と友彦の姿を常に見ていた美和は驚くべき行動に出る。それは・・・綾瀬はるか　三浦春馬　水川あさみ　／中井ノエミ　馬場園梓（アジアン）　大西礼芳　河原健二　山野海／伊藤歩　甲本雅裕／麻生祐未音楽：やまだ豊「天皇の料理番」ほか脚本：森下佳子「天皇の料理番」、「JIN」シリーズ、「白夜行」、「世界の中心で愛をさけぶ」、NHK「ごちそうさん」ほか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</si>
  <si>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番組名金曜ドラマ「わたしを離さないで」(4)第二章！限られた運命に「愛」で挑む！</t>
  </si>
  <si>
    <t>提供者になる前の最後の猶予期間を過ごす為、コテージへとやってきた恭子、友彦、美和。しかしながら、そこは愛や嫉妬が渦巻く共同生活の場だった。環境に馴染めない恭子はどんどん孤立していく。そんな中、恭子の元に陽光学苑で心を許した親友・真実から手紙が届く。その内容とは驚くべきものだった。心揺さぶられた恭子は意を決して、真実の元へと向かう。そして・・・綾瀬はるか　三浦春馬　水川あさみ　／　白羽ゆり　阿部進之介　川村陽介　松岡恵望子　／　井上芳雄　梶原善　／　中井ノエミ　馬場園梓（アジアン）／伊藤歩　真飛聖　／　麻生祐未音楽：やまだ豊「天皇の料理番」ほか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</si>
  <si>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番組名金曜ドラマ「わたしを離さないで」(5)命を延ばす愛・・・「トモ、あなたが好き」</t>
  </si>
  <si>
    <t>ポルノ雑誌を見ていた恭子（綾瀬はるか）を目撃した美和（水川あさみ）。恭子は実はその中に自分のルーツがいるのではと考えていた。浩介（井上芳雄）のおかげで周りに馴染んでいた恭子だが実は・・・そんな中、美和のルーツを見たという話が舞い込んでくる。果たして真相は・・・そして、ルーツを探す旅に出る、恭子、友彦（三浦春馬）、美和。彼らが見たものは！？そして、複雑な愛が、さらに加速していく・・・綾瀬はるか　三浦春馬　水川あさみ　／　白羽ゆり　阿部進之介　川村陽介　松岡恵望子　／　井上芳雄　梶原善　／　中井ノエミ　馬場園梓（アジアン）／伊藤歩　真飛聖　／　大友康平　／　麻生祐未音楽：やまだ豊「天皇の料理番」ほか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</si>
  <si>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番組名金曜ドラマ「わたしを離さないで」(6)第二章完結！崩れゆく絆、運命との決別</t>
  </si>
  <si>
    <t>のぞみが崎からの帰りの車、触れ合う恭子（綾瀬はるか）と友彦（三浦春馬）の手。バックミラーに映るその光景を目撃するあぐり（白羽ゆり）、寝ている美和（水川あさみ）・・・「愛し合っている二人には3年間の提供猶予が与えられる」という噂が、とんでもない事態を巻き起こす。そして、運命に逆らう友に襲いかかる非情な終末「恭子、幸せになってね・・・」物語はいよいよ最終章に突入する。綾瀬はるか　三浦春馬　水川あさみ　／　白羽ゆり　阿部進之介　川村陽介　松岡恵望子　大村学　／　　梶原善　／　中井ノエミ　馬場園梓（アジアン）音楽：やまだ豊「天皇の料理番」ほか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プロデュース：渡瀬暁彦、飯田和孝放送後30分間限定クイズ 第2弾開催決定！    今回のプレゼントは…    iTunesサウンドトラック部門1位獲得！！  『わたしを離さないで』劇中曲 Never Let Me Go 収録アルバム『Songs after Dark』のレプリカに、歌っているジュリア・ショートリードさんのサインを添えてプレゼントいたします！  お渡しするアルバムには Never Let Me Goのみ一曲が収録されています。クイズの問題は6話放送後に公式サイト（http://www.tbs.co.jp/never-let-me-go/）で公開されますので、ぜひご参加ください！◇番組HP  http://www.tbs.co.jp/never-let-me-go/  ◇facebook  https://www.facebook.com/NLMG.tbs/  ◇twitter  @NLMG_tbs  https://twitter.com/NLMG_tbs  番組の内容と放送時間は変更になる可能性があります。</t>
  </si>
  <si>
    <t>番組名金曜ドラマ「わたしを離さないで」(7)最終章・・・迫る終末、希望の果てに</t>
  </si>
  <si>
    <t>物語は最終章に突入。提供が始まっている美和、友彦、そして介護人である恭子の現在を追う。終末の時を感じ、友彦も含めた3人で陽光学苑に行きたいと願う美和。悲しい別れ方をした恭子だが、美和の最後の希望を叶えようと奔走する。一方友彦はすでに2回の提供を終えていた。不自由な体で将来の夢を力強く語る友彦だが・・・残酷な運命の中に見た微かな希望は再び3人を結びつけるのか？綾瀬はるか　三浦春馬　水川あさみ　／　水崎綾女　馬場園梓（アジアン）　／　柄本佑音楽：やまだ豊「天皇の料理番」ほか脚本：森下佳子「天皇の料理番」、「JIN」シリーズ、「白夜行」、「世界の中心で愛をさけぶ」、NHK「ごちそうさん」ほか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</si>
  <si>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番組名金曜ドラマ「わたしを離さないで」(8)最期の時・・・20年の時を超えた愛</t>
  </si>
  <si>
    <t>再会した3人が訪れた陽光学苑は、当時とはまるで違っていた。そこで、子供の頃の恭子に出会うのである。そして、最期の時を間近に控える美和は、素直な想いを打ち明ける。20年の時を超え、結ばれる愛の結末は、美しく、そして哀しいものであった。美和が最期に託す、微かな希望に恭子と友彦は・・・綾瀬はるか　三浦春馬　水川あさみ　／　水崎綾女　鈴木梨央　／　柄本佑　／　麻生祐未音楽：やまだ豊「天皇の料理番」ほか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</si>
  <si>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番組名金曜ドラマ「わたしを離さないで」(9)託された希望、提供猶予を掴む愛・・・</t>
  </si>
  <si>
    <t>美和の遺志を受け継ぎ、提供猶予のわずかな希望に夢を託す恭子と友彦。やっとの事で校長をつとめていた恵美子の居場所を突き止める。訪れた二人に、訥々と語り始める恵美子。彼女の口から驚愕の真実が知らされる。二人の運命を揺るがす衝撃の真実とは・・・綾瀬はるか　三浦春馬　／　真飛聖　柄本佑　／　麻生祐未音楽：やまだ豊「天皇の料理番」ほか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</si>
  <si>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番組名金曜ドラマ「わたしを離さないで」(10)未来への希望・・・生まれてきた意味</t>
  </si>
  <si>
    <t>「愛する二人には提供の猶予が与えられる」そのわずかな希望さえも打ち砕かれた友彦は、打ちひしがれていた。生きる気力さえ失い、恭子に介護人を代わるように訴える友彦。そんな時、龍子に再会した恭子。龍子の提案により、友彦とともにサッカーの試合を観に行くことになる恭子。そこで目にした光景は、希望に満ちていた。生まれてきた意味、すべてのものへの感謝、「先生、世界はやぱり広かったんですよ」綾瀬はるか　三浦春馬　／　黒木辰哉　内村遥　片山享　三鴨絵里子　／　柄本佑　／伊藤歩　甲本雅裕／麻生祐未音楽：やまだ豊「天皇の料理番」ほか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</si>
  <si>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1601_TBS_日21</t>
  </si>
  <si>
    <t>家族ノカタチ</t>
  </si>
  <si>
    <t>番組名日曜劇場「家族ノカタチ」　第1話</t>
  </si>
  <si>
    <t>39歳独身・永里大介（香取慎吾）は念願のマンションを購入。引越し中、空から女性用のガードルが降ってくる。見上げると、ベランダから覗き込む女性が。部屋まで届けに行くが、乱暴にガードルをひったくられ、ドアが閉ざされる。これが大介と32歳独身・熊谷葉菜子（上野樹里）との出会いであった。翌日、事件が発生。マンションに帰ると周囲は消防車で封鎖、野次馬の人だかりが。その中に葉菜子の姿を発見。「私の部屋かも」と心配する葉菜子に、大介は説教めいた対応をするが、実は出火原因は大介の住む407号室だった。そして消防士に囲まれて出てきた犯人は、大介の父親・永里陽三（西田敏行）だった。部屋に入りこみベランダで燻製作りを楽しんでいた。しかも陽三は大介の知らぬ間に再婚した挙句、その相手に逃げられ、新しく出来た13歳の義理の息子まで連れてきていた。こうして突然、大介の平穏は崩れ去り、男3人マンション共同生活が始まった！永里大介…香取慎吾  熊谷葉菜子…上野樹里  田中莉奈…水原希子  佐々木彰一…荒川良々  入江春人…千葉雄大  山根さとり…柳原可奈子  永里浩太…高田彪我  梢あや…中村アン  ○  大野美佳…観月ありさ（友情出演）  シゲサン…森本レオ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t>
  </si>
  <si>
    <t>番組名日曜劇場「家族ノカタチ」　第2話</t>
  </si>
  <si>
    <t>39歳独身・永里大介（香取慎吾）。念願のマンションを購入し、悠々自適な生活に期待を膨らませていたが、父親の陽三（西田敏行）と、陽三の再婚相手の連れ子・浩太（高田彪我）が、転がり込んできた。家を飛び出した再婚相手・恵（水野美紀）が東京にいるらしく、探すため上京。仕方なしに、恵が見つかるまで同居を認める。一方、上の階に住む葉菜子（上野樹里）も、父親との別居を決めた母親の律子（風吹ジュン）が頻繁にやってくる。ある日、恵の兄・岩淵（戸田昌宏）から、浩太を引き取りたいと言ってきた。陽三は浩太を手放さないと息巻くが、大介は「変な家族ごっこはおしまいだ」と言い放つ。その数日後、大介の会社の同僚・佐々木（荒川良々）が、引越しパーティをしようと大介に提案するが、大介はまったく聞く耳を持たない。すると佐々木は、大介が留守の間に部屋へと上がり込み、陽三とパーティの話を進めてしまう。呆れた大介は……。永里大介…香取慎吾  熊谷葉菜子…上野樹里  田中莉奈…水原希子  佐々木彰一…荒川良々  入江春人…千葉雄大  山根さとり…柳原可奈子  永里浩太…高田彪我  梢あや…中村アン  ○  高瀬和弥…田中圭  岩淵恭一…戸田昌宏  シゲサン…森本レオ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t>
  </si>
  <si>
    <t>番組名日曜劇場「家族ノカタチ」　第3話</t>
  </si>
  <si>
    <t>大介（香取慎吾）は浩太（高田彪我）を学校に通わせるために、同僚の佐々木（荒川良々）に頼んで、転校手続きの書類を取り揃えてもらう。しかし、その見返りとして葉菜子（上野樹里）を交えての合コンを頼まれてしまった。佐々木は葉菜子が“クレーマーハナコ”と同一人物という事実を知らず、先日のパーティで一目惚れしてしまったのだ。一方、葉菜子が勤め先の帝光商事で仕事をしていると、突然の来訪者が。その相手はなんと、葉菜子の元夫である和弥（田中圭）だった。一方的に和弥を避けている葉菜子は、部下の莉奈（水原希子）に頼んで居留守を使ってもらい、その場を凌ぐが、そのお礼として合コンのセッティングを迫られる。後日、合コンをセッティングしてほしいと、佐々木に頼まれたことを、大介が葉菜子に伝えた。果たして葉菜子の返事は？とそのとき、二人の前に和弥が現れた。葉菜子は大介とここで暮らしていると嘘をつく。そのとき大介は！？永里大介…香取慎吾  熊谷葉菜子…上野樹里  田中莉奈…水原希子  佐々木彰一…荒川良々  入江春人…千葉雄大  山根さとり…柳原可奈子  永里浩太…高田彪我  梢あや…中村アン  小山有香…永尾まりや  福田亜由美…小西キス  ○  高瀬和弥…田中圭  永里美佐代…浅茅陽子  シゲサン…森本レオ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t>
  </si>
  <si>
    <t>番組名日曜劇場「家族ノカタチ」　第4話</t>
  </si>
  <si>
    <t>葉菜子（上野樹里）の携帯へ、元夫の和弥（田中圭）から電話がかかってきた。直接話がしたくてマンションの下まで来ているという和弥、葉菜子がベランダへ出て階下を見ると和弥が立っていた。律子（風吹ジュン）と、階下のベランダで二人のやり取りを見ていた大介（香取慎吾）と陽三（西田敏行）らに臆せず「もう一度やり直したい」と訴える和弥。しかし葉菜子は聞く耳を持たない。一体、二人の結婚生活に何があったのか？その夜、葉菜子の部下の莉奈（水原希子）が、大介の部屋を突然訪れた。大介は留守にしていたが、それをいいことに陽三は莉奈を招き入れる。大介のことが気になっているという莉奈は、大介の好きなものや趣味など陽三に聞きまくる。翌日、大介が出社すると、佐々木（荒川良々）が婚活パーティーに申し込んでおいたからみんなで行こうと、大介と入江（千葉雄大）に告げる。一緒に行ってやれと、大介が入江に促すのだが……。永里大介…香取慎吾  熊谷葉菜子…上野樹里  田中莉奈…水原希子  佐々木彰一…荒川良々  入江春人…千葉雄大  山根さとり…柳原可奈子  永里浩太…高田彪我  梢あや…中村アン  小山有香…永尾まりや  福田亜由美…小西キス  ○  高瀬和弥…田中圭  入江茜…川口春奈  店長…谷田歩  警官…山崎樹範  永里恵…水野美紀  熊谷律子…風吹ジュン  永里陽三…西田敏行脚本：後藤法子  音楽：大間々昂　兼松衆  音楽プロデューサー：志田博英  編成・プロデューサー：韓哲  プロデューサー：佐藤敦司  演出：松田礼人■番組公式HP  http://www.tbs.co.jp/kazokuno_katachi/  ■番組公式Twitter  @kazoku_katachi  https://twitter.com/kazoku_katachi  ■番組公式インスタグラム  ＠kazokunokatachi  番組の内容と放送時間は変更になる場合があります。</t>
  </si>
  <si>
    <t>番組名日曜劇場「家族ノカタチ」　第5話</t>
  </si>
  <si>
    <t>大介（香取慎吾）の会社の後輩・入江（千葉雄大）がすでに結婚していたということ、それと事情により式を挙げていないことを知った陽三（西田敏行）や律子（風吹ジュン）らは、みんなの力で結婚式を挙げようと盛り上がりをみせる。  大介の勤め先「ペンナ」の社員も巻き込み張り切る陽三や佐々木（荒川良々）だが、当の入江は記念写真を撮れればいいと、やや消極的だ。また、そんな入江を気遣って、妻の茜（川口春奈）も控えめでいいと言う。そんな二人だったが、あることがきっかけで離婚をすると言い出した。一体、二人の間に何が起こったのか！？そんな周りをよそに、他人の結婚式などには関わるまいと、見て見ぬふりをしていた大介だったが、ある晩、日課であるジムでのトレーニングから帰ってくると、なんと葉菜子（上野樹里）の元夫・和弥（田中圭）が陽三と食事をしていた。果たして、和弥は何をしに大介の部屋を訪ねたのか？永里大介…香取慎吾  熊谷葉菜子…上野樹里  田中莉奈…水原希子  佐々木彰一…荒川良々  入江春人…千葉雄大  山根さとり…柳原可奈子  永里浩太…高田彪我  梢あや…中村アン  小山有香…永尾まりや  福田亜由美…小西キス  ○  高瀬和弥…田中圭  入江茜…川口春奈  高倉静子…朝加真由美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t>
  </si>
  <si>
    <t>番組名日曜劇場「家族ノカタチ」　第6話</t>
  </si>
  <si>
    <t>大介（香取慎吾）は、葉菜子（上野樹里）と和弥（田中圭）が離婚した原因を、葉菜子から打ち明けられる。突然の衝撃的な告白に動揺を隠せない大介は、葉菜子をどう接すれば良いのかわからず、ついよそよそしく距離を取ってしまう。そんな大介を見た葉菜子は、大介を呼び止めた。果たして、葉菜子は大介に何を話すのか？ そんな大介と葉菜子の空気感をよそに、莉奈（水原希子）は大介への積極的なアプローチを増すばかりだ…。ある日、とあるお見合いパーティーへ参加した佐々木（荒川良々）は、見事にカップル成立！ そのカップルとなった相手・久美（小松彩夏）とどんなデートをすればよいか大介へ相談するが、大介の態度はつれない。しかし、陽三（西田敏行）のアドバイスもあってか、デートも無事に上手くいく。入江（千葉雄大）は、相手が美人で若すぎるし話がうますぎると心配をする。それは、単なる入江の思い過ごしだろうか……？永里大介…香取慎吾  熊谷葉菜子…上野樹里  田中莉奈…水原希子  佐々木彰一…荒川良々  入江春人…千葉雄大  山根さとり…柳原可奈子  永里浩太…高田彪我  梢あや…中村アン  小山有香…永尾まりや  福田亜由美…小西キス  ○  大野美佳…観月ありさ  高瀬和弥…田中圭  丸山久美…小松彩夏  シゲさん…森本レオ  永里恵…水野美紀  熊谷律子…風吹ジュン  永里陽三…西田敏行脚本：後藤法子  音楽：大間々昂　兼松衆  音楽プロデューサー：志田博英  編成・プロデューサー：韓哲  プロデューサー：佐藤敦司  演出：酒井聖博■番組公式HP  http://www.tbs.co.jp/kazokuno_katachi/  ■番組公式Twitter  @kazoku_katachi  https://twitter.com/kazoku_katachi  ■番組公式インスタグラム  ＠kazokunokatachi  番組の内容と放送時間は変更になる場合があります。</t>
  </si>
  <si>
    <t>番組名日曜劇場「家族ノカタチ」　第7話</t>
  </si>
  <si>
    <t>大介（香取慎吾）と葉菜子（上野樹里）の前に突然現れた恵（水野美紀）は、息子の浩太（高田彪我）をタクシーに乗せて走り去ってしまう。大介は慌ててすぐさま陽三（西田敏行）に報告するが、陽三は特に動揺したそぶりも見せない。そんな陽三の様子から、恵と連絡を取っていたことを悟る大介が問い詰めるが、さっさと仕事に行ってこいと陽三は聞く耳を持たない。大介はますます、陽三が結婚詐欺に遭っているのではと心配するが…。一方、葉菜子の会社では、注文していたコーヒー豆と別のものが取引先に届くというトラブルが発生。国内の倉庫の問題か？はたまた荷を送った現地の問題か？ 取引先への謝罪ほか、原因究明のために場合によっては、葉菜子がインドネシアへ向かわなければならないというが、翌日には大事なプレゼンが控えていた。永里大介…香取慎吾  熊谷葉菜子…上野樹里  田中莉奈…水原希子  佐々木彰一…荒川良々  入江春人…千葉雄大  山根さとり…柳原可奈子  永里浩太…高田彪我  梢あや…中村アン  小山有香…永尾まりや  福田亜由美…小西キス  ○  高瀬和弥…田中圭  シゲさん…森本レオ  永里恵…水野美紀  熊谷律子…風吹ジュン  永里陽三…西田敏行脚本：後藤法子  音楽：大間々昂　兼松衆  音楽プロデューサー：志田博英  編成・プロデューサー：韓哲  プロデューサー：佐藤敦司  演出：松田礼人■番組公式HP  http://www.tbs.co.jp/kazokuno_katachi/  ■番組公式Twitter  @kazoku_katachi  https://twitter.com/kazoku_katachi  ■番組公式インスタグラム  ＠kazokunokatachi  番組の内容と放送時間は変更になる場合があります。</t>
  </si>
  <si>
    <t>番組名日曜劇場「家族ノカタチ」　第8話</t>
  </si>
  <si>
    <t>大介（香取慎吾）は、ようやく陽三（西田敏行）が探していた再婚相手の恵（水野美紀）と会うことができた。陽三は結婚詐欺に遭っているかもしれない、という大介の心配も晴れて、恵は今年最後の看護学校試験に臨む。これで陽三と浩太（高田彪我）と居候する理由もなくなったと、大介が佐々木（荒川良々）らに話をすると、ペンナの面々から送別会を開こうとの声が上がる。一方、律子（風吹ジュン）も、そろそろ夫の待つ川上村へ戻ると葉菜子（上野樹里）に伝えていた…そんなある日、大介に想いを寄せる莉奈（水原希子）が葉菜子と和弥（田中圭）と一緒に、大介の行きつけのビアバーへと現れた。いつものように一人でビールを楽しむ大介は、突然の来訪者にビックリ！ 果たして、3人は何のために大介を訪ねてきたのか！？永里大介…香取慎吾  熊谷葉菜子…上野樹里  田中莉奈…水原希子  佐々木彰一…荒川良々  入江春人…千葉雄大  山根さとり…柳原可奈子  永里浩太…高田彪我（さくらしめじ）  梢あや…中村アン  小山有香…永尾まりや  福田亜由美…小西キス  ○  高瀬和弥…田中圭  シゲさん…森本レオ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t>
  </si>
  <si>
    <t>番組名日曜劇場「家族ノカタチ」　第9話</t>
  </si>
  <si>
    <t>恵（水野美紀）の看護学校合格祝いをかねた陽三（西田敏行）と浩太（高田彪我）らの送別会パーティーも一段落、大介（香取慎吾）が、いつ焼津へ帰るのか聞いたところ、突然、陽三は死期が近づいていることを告白。シゲ（森本レオ）によると、進行性の肺がんで、あちこちに転移しているという。夏まで生きられるかわからないという言葉に、葉菜子（上野樹里）や律子（風吹ジュン）らは絶句。一方、大介は至って平静を装うのだが…。そんなある日、大介らが開発に関わった商品がベストデザイン賞に選出された。社内報で取り上げたいと、広報部の取材を受ける企画開発部の面々。そのとき、取材に来ていた広報部の女性社員・加絵（我妻三輪子）が「私のことを覚えていますか？」と佐々木（荒川良々）に声をかけてきた。加絵に覚えのない佐々木だったが、実は、先日のお見合いパーティーに、加絵も参加していたという。永里大介…香取慎吾  熊谷葉菜子…上野樹里  田中莉奈…水原希子  佐々木彰一…荒川良々  入江春人…千葉雄大  山根さとり…柳原可奈子  永里浩太…高田彪我（さくらしめじ）  梢あや…中村アン  小山有香…永尾まりや  福田亜由美…小西キス  ○  高瀬和弥…田中圭  有吉加絵…我妻三輪子  シゲさん…森本レオ  永里恵…水野美紀  熊谷律子…風吹ジュン  永里陽三…西田敏行脚本：後藤法子  音楽：大間々昂　兼松衆  音楽プロデューサー：志田博英  編成・プロデューサー：韓哲  プロデューサー：佐藤敦司  演出：酒井聖博■番組公式HP  http://www.tbs.co.jp/kazokuno_katachi/  ■番組公式Twitter  @kazoku_katachi  https://twitter.com/kazoku_katachi  ■番組公式インスタグラム  ＠kazokunokatachi  番組の内容と放送時間は変更になる場合があります。</t>
  </si>
  <si>
    <t>番組名日曜劇場「家族ノカタチ」　最終話</t>
  </si>
  <si>
    <t>末期ガンを告白した陽三（西田敏行）のために、何をしてやればよいのか？ 大介（香取慎吾）は迷っていた。そんなある日、大介は葉菜子（上野樹里）に相談を持ちかける。常日頃から「今まで通り普通がいちばん」という陽三の言葉を思い返す大介に対し、「それでいいのでは？」と葉菜子。そして、陽三のために2人が考えたのは、今までどおりに皆で“普通”の生活を送ることだった。その数日後、大介はホームパーティーを企画する。葉菜子や律子（風吹ジュン）、恵（水野美紀）、浩太（高田彪我）はもちろん、大介の同僚の佐々木（荒川良々）や入江（千葉雄大）、そして葉菜子を通じて知り合った莉奈（水原希子）や和弥（田中圭）などなど、陽三が居候を始めたことがきっかけで知り合い、より深い関係を築く事ができた、そんな人たちを招いて行われる飾り気のないホームパーティー。大介の部屋にたくさんの笑顔が集まり、穏やかな時間が流れていく……。永里大介…香取慎吾  熊谷葉菜子…上野樹里  田中莉奈…水原希子  佐々木彰一…荒川良々  入江春人…千葉雄大  山根さとり…柳原可奈子  永里浩太…高田彪我（さくらしめじ）  梢あや…中村アン  小山有香…永尾まりや  福田亜由美…小西キス  ○  大野美佳…観月ありさ（友情出演）  高瀬和弥…田中圭  ○  入江茜…川口春奈  川澄匠…田中雅功（さくらしめじ）  有吉加絵…我妻三輪子シゲさん…森本レオ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t>
  </si>
  <si>
    <t>1510_TBS_火22</t>
  </si>
  <si>
    <t>結婚式の前日に</t>
  </si>
  <si>
    <t>番組名火曜ドラマ「結婚式の前日に」　第1話「娘と母の奇跡の100日間」</t>
  </si>
  <si>
    <t>結婚式を100日後に控え、仕事もプライベートも順風満帆だった主人公・芹沢ひとみはある日突然、自分が“脳腫瘍”であることを告げられる。絶望の淵に立たされたひとみのもとに、死んだと思っていた母親・柏田可奈子が28年ぶりに現れる。母の目的は一体何なのか！？結婚を諦めようとする娘を見て、母は思わぬ行動に出る・・・！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脚本：山室有紀子  音楽：横山克  プロデューサー：新井順子、橘康仁  演出：塚原あゆ子■番組HP  http://www.tbs.co.jp/kekkonshiki2015/    ■番組ツイッター  https://twitter.com/kekkonshiki_tbs  ■番組フェイスブック  https://www.facebook.com/kekkonshiki.tbs  番組の内容と放送時間は変更になる場合があります。</t>
  </si>
  <si>
    <t>番組名火曜ドラマ「結婚式の前日に」　第2話「婚約解消！？5年生存率には負けない！」</t>
  </si>
  <si>
    <t>死んだと聞かされていた母・可奈子（原田美枝子）が突然現れ、動揺する芹沢ひとみ（香里奈）。婚約者の園田悠一（鈴木亮平）の薦めでセカンドオピニオンをうけるが、やはり悪性の脳腫瘍という診断に変わりはない。落ち込むひとみは、悠一との結婚を諦めようとするが、そこに可奈子が現れ、思いもよらぬところへ連れて行く・・・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脚本：高橋麻紀  音楽：横山克  プロデューサー：新井順子、橘康仁  演出：塚原あゆ子■番組HP  http://www.tbs.co.jp/kekkonshiki2015/    ■番組ツイッター  https://twitter.com/kekkonshiki_tbs  ■番組フェイスブック  https://www.facebook.com/kekkonshiki.tbs  ◇TBS公式 YouTuboo  https://www.youtube.com/playlist?list=PLCUNF--_h4OydnKTPNBO8EX_6iaBwk-LY  番組の内容と放送時間は変更になる場合があります。</t>
  </si>
  <si>
    <t>番組名火曜ドラマ「結婚式の前日に」第3話「俺より長く生きろ！父が娘に出来る事…」</t>
  </si>
  <si>
    <t>芹沢ひとみ（香里奈）は、28年ぶりに現れた母・可奈子(原田美枝子)に振り回されながらも、婚約者の園田悠一（鈴木亮平）と一緒に病気と向き合う決意をしたが、父・健介(遠藤憲一)にだけは病気のことを話せないでいた・・・。ところが悠一の母・響子(江波杏子)が突然祝鮨にやってきて、ひとみの病気のことを話してしまう。娘が脳腫瘍だと知った健介は店を売ると言いだして・・・！？芹沢ひとみ・・・香里奈  柏田可奈子・・・原田美枝子    園田悠一・・・鈴木亮平  前原翔太・・・山本裕典  広瀬真菜・・・真野恵里菜    芹沢早紀・・・美保純  寺本真理子・・・戸田菜穂    園田響子・・・江波杏子  芹沢健介・・・遠藤憲一安田レイ  「あしたいろ」  (SME　Records)脚本：嶋田うれ葉  音楽：横山克  プロデューサー：新井順子、橘康仁  演出：竹村謙太郎■番組HP  http://www.tbs.co.jp/kekkonshiki2015/    ■番組ツイッター  https://twitter.com/kekkonshiki_tbs  ■番組フェイスブック  https://www.facebook.com/kekkonshiki.tbs  番組の内容と放送時間は変更になる場合があります。</t>
  </si>
  <si>
    <t>番組名火曜ドラマ「結婚式の前日に」第4話「不器用すぎる母の愛、結婚を諦めないで！」</t>
  </si>
  <si>
    <t>['#3', '#4']</t>
  </si>
  <si>
    <t>2週間後に入院をひかえた芹沢ひとみ（香里奈）は園田悠一（鈴木亮平）との結婚を認めてもらうため、悠一の母・響子(江波杏子)の元を訪ねるが、全く取り合ってもらえない。そんなひとみを見かねた母・可奈子(原田美枝子)は響子を説得するため、園田家で開かれるガーデンパーティーへ乗り込んでいく。一方、ひとみは夢だったマンション建設の着工式に出席するが思わぬハプニングが起こり・・・!?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脚本：山室有紀子  音楽：横山克  プロデューサー：新井順子、橘康仁  演出：堀英樹■番組HP  http://www.tbs.co.jp/kekkonshiki2015/    ■番組ツイッター  https://twitter.com/kekkonshiki_tbs■番組フェイスブック  https://www.facebook.com/kekkonshiki.tbs  娘の想い、父の願い…『結婚式の前日に』 #3ダイジェスト＆#4予告 動画公開しました！  https://youtu.be/7DeAFPL7VO4  番組の内容と放送時間は変更になる場合があります。</t>
  </si>
  <si>
    <t>番組名火曜ドラマ「結婚式の前日に」　第5話「折れそうな心…彼の夢を奪いたくない！」</t>
  </si>
  <si>
    <t>芹沢ひとみ(香里奈)は婚約者の園田悠一(鈴木亮平)がボストン留学の夢を隠していたことにショックを受ける。モデルルームのオープンを2週間後に控えたひとみの病状も少しずつ悪化し、焦りから仕事でミスをしてしまう。仕事をやめようとするひとみに母・可奈子(原田美枝子)はひだまり園に呼び出して…。一方、悠一の母、響子(江波杏子)が突然倒れてしまう。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脚本：高橋麻紀  音楽：横山克  プロデューサー：新井順子、橘康仁  演出：竹村謙太郎■番組HP  http://www.tbs.co.jp/kekkonshiki2015/    ■番組ツイッター  https://twitter.com/kekkonshiki_tbs■番組フェイスブック  https://www.facebook.com/kekkonshiki.tbs  ◇TBS公式 YouTuboo  https://www.youtube.com/playlist?list=PLCUNF--_h4OydnKTPNBO8EX_6iaBwk-LY  番組の内容と放送時間は変更になる場合があります。</t>
  </si>
  <si>
    <t>番組名火曜ドラマ「結婚式の前日に」第6話「衝撃の告白!!28年間隠された父母の秘密」</t>
  </si>
  <si>
    <t>夢だったモデルルームのオープンに向けて頑張っていた芹沢ひとみ(香里奈)は、激しい眩暈に襲われ病院に運ばれる。一方、福岡の学会に向かった悠一(鈴木亮平)は、突然現れた真菜(真野恵里菜)に思いがけず告白され動揺する。意識を取り戻したひとみは、病室で言い合う父・健介(遠藤憲一)と母・可奈子(原田美枝子)の話を聞いてしまい、自分に隠された秘密を知ってしまう・・・。果たして、ひとみに隠された秘密とは…！？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脚本：嶋田うれ葉  音楽：横山克  プロデューサー：新井順子、橘康仁  演出：竹村謙太郎■番組HP  http://www.tbs.co.jp/kekkonshiki2015/    ■番組ツイッター  https://twitter.com/kekkonshiki_tbs  ■番組フェイスブック  https://www.facebook.com/kekkonshiki.tbs  ◇TBS公式 YouTuboo  https://www.youtube.com/playlist?list=PLCUNF--_h4OydnKTPNBO8EX_6iaBwk-LY  番組の内容と放送時間は変更になる場合があります。</t>
  </si>
  <si>
    <t>番組名火曜ドラマ「結婚式の前日に」第7話「人生で絶対に手放せないもの見つけた！」</t>
  </si>
  <si>
    <t>緊急入院していた芹沢ひとみ(香里奈)は無事退院し、寺本先生(戸田菜穂)の薦めで院内学級のボランティアを始める。そこで同じ脳腫瘍の患者・徹(柳下大)に出会い、良き相談相手となる。一方、悠一(鈴木亮平)を無理やり留学させようとしていた悠一の母・響子(江波杏子)は、ひとみを呼び出し結婚を辞めるよう迫るのだが、それを目撃してしまった悠一は・・・！？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脚本：高橋麻紀  音楽：横山克  プロデューサー：新井順子、橘康仁  演出：堀英樹■番組HP  http://www.tbs.co.jp/kekkonshiki2015/    ■番組ツイッター  https://twitter.com/kekkonshiki_tbs■番組フェイスブック  https://www.facebook.com/kekkonshiki.tbs◇TBS公式 YouTuboo  https://www.youtube.com/playlist?list=PLCUNF--_h4OydnKTPNBO8EX_6iaBwk-LY  番組の内容と放送時間は変更になる場合があります。</t>
  </si>
  <si>
    <t>番組名火曜ドラマ「結婚式の前日に」　第8話やっと辿り着いた・・・幸せに忍びよる狂気</t>
  </si>
  <si>
    <t>ひとみ（香里奈）は悠一（鈴木亮平）と新生活を始めるが、健介（遠藤憲一）から病気を根治する治療法がないと聞かされ、ショックを受ける。気持ちの整理をつけられないひとみに、可奈子（原田美枝子）は本当の父親の最期を聞かせ、明日を信じて生きてほしいと伝える。一方、悠一に片想いする真菜（真野恵里菜）は、ひとみと悠一を別れさせようと画策するが・・・。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脚本：嶋田うれ葉  音楽：横山克  プロデューサー：新井順子、橘康仁  演出：村尾嘉昭■番組HP  http://www.tbs.co.jp/kekkonshiki2015/    ■番組ツイッター  https://twitter.com/kekkonshiki_tbs  ■番組フェイスブック  https://www.facebook.com/kekkonshiki.tbs  ◇TBS公式 YouTuboo  https://www.youtube.com/playlist?list=PLCUNF--_h4OydnKTPNBO8EX_6iaBwk-LY  番組の内容と放送時間は変更になる場合があります。</t>
  </si>
  <si>
    <t>番組名火曜ドラマ「結婚式の前日に」　第9話「最後の旅行…本当の家族になりたいのに」</t>
  </si>
  <si>
    <t>徹（柳下大）の急逝を知ったひとみ（香里奈）は、死に恐怖を感じるが、徹のエンディンノートを見て、生きる力を取り戻す。そしてひとみは今やりたいことを考え、家族旅行を計画。健介（遠藤憲一）らと悠一（鈴木亮平）の両親に加え、可奈子（原田美枝子）も誘うが、返事を保留にされてしまい、埋められない溝を感じる。関係修復に悩みながら旅行当日を迎えたひとみは、旅行に参加することになった可奈子と旅先で決裂し・・・。芹沢ひとみ・・・香里奈  柏田可奈子・・・原田美枝子    園田悠一・・・鈴木亮平  前原翔太・・・山本裕典  広瀬真菜・・・真野恵里菜    芹沢早紀・・・美保純  寺本真理子・・・戸田菜穂    園田響子・・・江波杏子  芹沢健介・・・遠藤憲一安田レイ  「あしたいろ」  (SME　Records)脚本：山室有紀子  音楽：横山克  プロデューサー：新井順子、橘康仁  演出：竹村謙太郎■番組HP  http://www.tbs.co.jp/kekkonshiki2015/    ■番組ツイッター  https://twitter.com/kekkonshiki_tbs■番組フェイスブック  https://www.facebook.com/kekkonshiki.tbs  ◇TBS公式 YouTuboo  https://www.youtube.com/playlist?list=PLCUNF--_h4OydnKTPNBO8EX_6iaBwk-LY  番組の内容と放送時間は変更になる場合があります。</t>
  </si>
  <si>
    <t>番組名火曜ドラマ「結婚式の前日に」　最終話</t>
  </si>
  <si>
    <t>旅行中に倒れたひとみ(香里奈)は、血腫を取り除く緊急手術を受け、一命を取り留めるが意識が戻らない。悠一(鈴木亮平)ら家族は、医師の寺本(戸田菜穂)に、手術は成功したが一時的な延命でしかなく、意識が戻るかどうかもこの一週間が山場だと告げられ、悲しみに暮れる。意識が戻ることを信じて、ひとみに付き添う可奈子(原田美枝子)、悠一、健介(遠藤憲一)。しかし結婚式の前日になっても、ひとみの意識は戻らず・・・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脚本：高橋麻紀  音楽：横山克  プロデューサー：新井順子、橘康仁  演出：竹村謙太郎■番組HP  http://www.tbs.co.jp/kekkonshiki2015/    ■番組ツイッター  https://twitter.com/kekkonshiki_tbs  ■番組フェイスブック  https://www.facebook.com/kekkonshiki.tbs  ◇TBS公式 YouTuboo  https://www.youtube.com/playlist?list=PLCUNF--_h4OydnKTPNBO8EX_6iaBwk-LY  番組の内容と放送時間は変更になる場合があります。</t>
  </si>
  <si>
    <t>1510_TBS_金22</t>
  </si>
  <si>
    <t>番組名金曜ドラマ「コウノドリ」(1)綾野剛が心優しき産科医に！命にまつわる愛と感動の物語</t>
  </si>
  <si>
    <t>都内のとあるライブハウスでは、謎の天才ピアニストBABYがライブ演奏中。客席は一杯なのに、開演10分でライブは終了してしまう。実はBABYの正体は、ペルソナ総合医療センターの産科医・鴻鳥サクラ（綾野剛）。そんなサクラを、救急車から妊婦の受け入れ要請の連絡が入ってとまどう新米産科医の下屋加江（松岡茉優）が電話で呼び出していたのだ。受け入れ要請の妊婦は、産科検診を受けず、妊娠週数も不明の「未受診妊婦」未受診妊婦はリスクが高すぎる。 万一、感染症などがあれば、医療スタッフにとっても他の患者にとっても、極めて危険な患者となる。しかし「未受診なのは母親のせいで、お腹の赤ちゃんに罪はない」と、サクラは新生児科にも受け入れ体制を組むように要請。新生児科のリーダー・今橋貴之（大森南朋）が、躊躇する白川領（坂口健太郎）らを抑え、受け入れを決める。さらに、サクラは、未受診妊婦のフォローのために、メディカルソーシャルワーカーの向井祥子（江口のりこ）にも来てもらうように指示。そこへ、ベテラン助産師の小松留美子（吉田羊）も駆けつける。 ──果たして緊急搬送されて来た未受診妊婦・夏希は無事に出産できるのか？鴻鳥サクラ … 綾野　剛（あやのごう）   下屋加江 … 松岡茉優（まつおかまゆ）   小松留美子 … 吉田　羊（よしだよう）   白川　領 … 坂口健太郎（さかぐちけんたろう）角田真弓 … 清野菜名（せいのなな）   加瀬　宏 … 平山祐介（ひらやまゆうすけ）  船越拓也 … 豊本明長（とよもとあきなが）／東京03   大澤政信 … 浅野和之（あさのかずゆき）小野田景子 … 綾戸智恵（あやどちえ）   向井祥子 … 江口のりこ（えぐちのりこ）   新井恵美 … 山口紗弥加（やまぐちさやか）  四宮春樹 … 星野　源（ほしのげん）今橋貴之 … 大森南朋（おおもりなお）     ～ 第1話ゲスト ～  小早川俊也 … 要潤（かなめじゅん）   小早川頼子 … 臼田あさ美（うすだあさみ）矢野夏希 … 清水富美加（しみずふみか）  ●  永井浩之…　小栗旬（おぐりしゅん）主題歌：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ビリギャル』など）、金子文紀（『金曜ドラマ 木更津キャッツアイ』『タイガー＆ドラゴン』など）　ほか◇公式番組HP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t>
  </si>
  <si>
    <t>番組名金曜ドラマ「コウノドリ」(2)綾野剛が産科医に！妻か子か？“正解なき選択”の先にはー</t>
  </si>
  <si>
    <t>産婦人科医の鴻鳥（こうのとり）サクラ（綾野剛）、四宮春樹（星野源）、新米産婦人科医の下屋加江（松岡茉優）をはじめ、新生児科医の今橋貴之（大森南朋）、白川領（坂口健太郎）、助産師長の小松留美子（吉田羊）らが参加する周産期母子医療センターの合同カンファレンス中に、救命救急医の加瀬宏（平山祐介）が飛び込んできた。交通事故にあった臨月を間近に控える妊婦が5分後に運ばれてくるという。運ばれてきた妊婦・永井晴美は、頭部の外傷がひどく意識不明の状態だが、胎児の心音に異常はない。サクラは赤ちゃんが元気なうちに帝王切開に持ち込むことを提案するが、救命救急の加瀬にとって一番に優先すべきことは患者の命を救うこと。出産させることで母体の容態が急変するかもしれないと懸念しサクラの提案を跳ね除ける。そこへ職場から駆けつけた晴美の夫・浩之（小栗旬）は、加瀬から晴美の容態の説明を受けるが、あまりに突然のことで事態が飲みこめない。ICUにいる晴美の姿を見て呆然と立ち尽くす浩之。サクラは晴美とお腹の赤ちゃんの状況を冷静に説明し、浩之にある過酷な選択を迫る。ーー晴美とお腹の赤ちゃんの命は助かるのか？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大澤政信…浅野和之（あさのかずゆき）小野田景子…綾戸智恵（あやどちえ）  向井祥子…江口のりこ（えぐちのりこ）  新井恵美…山口紗弥加（やまぐちさやか）  四宮春樹…星野　源（ほしのげん）今橋貴之…大森南朋（おおもりなお）    ～ 第2話ゲスト ～  永井浩之…小栗旬（おぐりしゅん）  永井晴美…川村ゆきえ（かわむらゆきえ）  木村法子…山田真歩（やまだまほ）村川郁恵…虻川美穂子（あぶかわみほこ）  木原雄弥…前田公輝（まえだごうき）主題歌：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ビリギャル』など）、金子文紀（『金曜ドラマ 木更津キャッツアイ』『タイガー＆ドラゴン』など）　ほか◇公式番組HP　http://www.tbs.co.jp/kounodori/   ◇公式ツイッターアカウント：https://twitter.com/kounodori_tbs◇公式フェイスブックアカウント：https://www.facebook.com/kounodori.tbs/　  ◇公式インスタグラム：kounodori_tbs番組の内容と放送時間は変更になる可能性があります。</t>
  </si>
  <si>
    <t>番組名金曜ドラマ「コウノドリ」(3)綾野剛が産科医に！娘よ、生まれてきてくれてありがとう…</t>
  </si>
  <si>
    <t>鴻鳥サクラ（綾野剛）は、10年前出産に立ち会った瀬戸加奈子（石田ひかり）と、そのとき生まれた娘・遙香（山田望叶）に再会する。遙香は、ピアノを弾くのが大好きな笑顔の可愛い少女に成長しているが、加奈子が妊娠中にかかった風疹の影響で白内障を患い目が不自由。心臓疾患もあるため、この日も心臓の検査を受けに来ていた。遙香には、風疹の予防接種を啓蒙するためのテレビ出演依頼が来ているが、加奈子は出演するかどうか新生児の頃の担当医・今橋貴之（大森南朋）に相談。テレビに出ることで遥香が好奇の目にさらされるのではと懸念しているという。一方、ペルソナ総合医療センター近くでは、妊婦の木村法子（山田真歩）が喫煙中、激痛に襲われる。通りかかった四宮春樹（星野源）によって救急搬送されるが、子宮から胎盤が剥がれてしまう“胎盤早期剥離”で、母子ともに危険な状態だ。実は、法子は今まで四宮から喫煙が赤ちゃんに悪影響を与えるからと、幾度も禁煙するよう注意されてきた妊婦。緊急の帝王切開が余儀なくされる中、四宮には、ある妊婦の手術の記憶が蘇る。四宮の過去とは…？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大澤政信…浅野和之（あさのかずゆき）小野田景子…綾戸智恵（あやどちえ）  向井祥子…江口のりこ（えぐちのりこ）  新井恵美…山口紗弥加（やまぐちさやか）  四宮春樹…星野　源（ほしのげん）今橋貴之 … 大森南朋（おおもりなお）     ～ 第3話ゲスト ～  瀬戸加奈子…石田ひかり  瀬戸遙香…山田望叶  根岸若菜…佐藤栞里主題歌：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鈴木早苗プロデューサー：峠田　浩   企画：那須田淳　／　鈴木早苗   演出：土井裕泰（『日曜劇場 空飛ぶ広報室』『映画 ビリギャル』など）、金子文紀（『金曜ドラマ 木更津キャッツアイ』『タイガー＆ドラゴン』など）　ほか◇公式番組HP　http://www.tbs.co.jp/kounodori/   ◇公式ツイッターアカウント：https://twitter.com/kounodori_tbs  ◇公式フェイスブックアカウント：https://www.facebook.com/kounodori.tbs/　  ◇公式インスタグラム：kounodori_tbs</t>
  </si>
  <si>
    <t>番組名金曜ドラマ「コウノドリ」(4)あまりにも小さいその命…救うのは私　下屋の決断は</t>
  </si>
  <si>
    <t>妊娠21週1日の妊婦・田中陽子（河井青葉）が、夫の淳（和田正人）に抱きかかえられるようにしてやってきた。異変を感じて病院へ来る途中に破水してしまい、流産しかかっている危険な状態だ。前日の健診でお腹の張りを訴える陽子に、担当医の下屋加江（松岡茉優）は問題ないと帰したばかり。どういうことかと詰め寄る陽子に、下屋は言葉が出ない。鴻鳥サクラ（綾野剛）が切迫流産は予測が難しいこと、そして赤ちゃんがとても危険な状態なことを説明すると、そのあまりの厳しい状況に夫婦は呆然とする。そんなふたりに、サクラはある過酷な選択を委ねる。一方、患者への説明ができなかった下屋は、苦しい判断を迫る役までサクラにさせてしまったと、医師としての自分の不甲斐なさに落ち込んでいた。さらに、新任の新生児科医・新井恵美（山口沙弥加）からは、産科と新生児科の合同カンファレンス中に激しく反論され、下屋は産婦人科医として壁にぶつかってしまう。過酷な選択を迫られた田中夫妻が出した決断とは？そして、産婦人科医としての在り方を問われた下屋は壁を越えられるのか？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第4話ゲスト ～  田中　淳…和田　正人  田中陽子…河井青葉  吉沢玲奈…山口まゆ主題歌：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ビリギャル』など）、金子文紀（『金曜ドラマ 木更津キャッツアイ』『タイガー＆ドラゴン』など）　ほか◇公式番組HP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t>
  </si>
  <si>
    <t>番組名金曜ドラマ「コウノドリ」(5)赤ちゃんは「CGアニメ」…少女が母になるとき</t>
  </si>
  <si>
    <t>産科と新生児科をまとめる周産期母子医療センターのセンター長を務める今橋貴之（大森南朋）のもとへ、“NPO法人ツグミの会”の代表者が訪れた。ツグミの会は、親の養育が受けられない子供と、子供が欲しくても授からない夫婦をつなぐ、特別養子縁組をサポートする会。中絶や虐待、産み捨てから、より多くの赤ちゃんを守るため、ペルソナ総合医療センターの協力を得たいという。そんな折、院長・大澤政信（浅野和之）の紹介で、中学2年生の少女・吉沢玲奈（山口まゆ）が、母親の昌美（中島ひろ子）に連れられて鴻鳥サクラ（綾野剛）の診察を受けにきた。玲奈は妊娠8ヶ月。すでに堕胎できない状況の玲奈にサクラは、若い年齢での出産について丁寧に説明しようとするが、本人はまるで他人事。自分が母親になるという覚悟もなければ、新しい命が宿っている自覚すらない様子。お腹の子の父親・元倉亮（望月歩）も同級生で、当事者二人がまだ中学生のため、今後のことを両家の親が話し合ったというが、亮の父親の一方的な発言で話は平行線。一方、サクラは懐かしい人と偶然の再会を果たす。幼い2人の赤ちゃんは、どんな運命をたどるのか…。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第5話ゲスト ～  吉沢玲奈…山口まゆ  元倉 亮…望月 歩  吉沢昌美…中島ひろ子    元倉和雄…螢 雪次朗  笠原節子…烏丸せつこ  加賀美 美智子…浅茅陽子主題歌：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ビリギャル』など）、金子文紀（『金曜ドラマ 木更津キャッツアイ』『タイガー＆ドラゴン』など）　ほか◇公式番組HP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t>
  </si>
  <si>
    <t>番組名金曜ドラマ「コウノドリ」(6)小栗旬登場！“タイムリミット”最後のチャンス</t>
  </si>
  <si>
    <t>ペルソナ総合医療センターへ腹痛と出血を訴えた妊娠31週の妊婦が運ばれてきた。  すぐに緊急開腹手術を行うが、子宮破裂を起こしていたため子宮は全摘、赤ちゃんも助からなかった。妊婦は43歳。2年前に子宮筋腫を切除する手術を受け、不妊治療の上の妊娠だったのだが…。鴻鳥サクラ（綾野剛）が診察する妊婦・竹下敦子（森口瑤子）も43歳。5年間の不妊治療の末、無事に妊娠し臨月を迎えたが、妊娠高血圧症候群が懸念され、大事をみて入院することに。そんなある夜、鴻鳥サクラのもとへ娘の芽依を抱えた永井浩之（小栗旬）が飛び込んでくる。芽依は、健康に生まれ現在6ヶ月になるが、この日、浩之が保育園から芽依を連れて職場に戻って仕事しているうちに様子がおかしくなったと言う…。芽依の母親は臨月で交通事故に合い、サクラが帝王切開手術で芽依を取り上げたのちに亡くなった。浩之は男手一つで芽依を抱え、仕事と子育てに手一杯になりながら懸命に父親になろうと奮闘していた─。そして、管理入院中の敦子の出産の日、手術中の母体に予期せぬ事態が起こり…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第6話ゲスト ～   永井浩之…小栗　旬  相沢美雪…西田尚美  竹下敦子…森口瑤子  永井晴美…川村ゆきえ  岸田秀典…高橋　洋主題歌：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鈴木早苗演出：加藤　尚樹◇公式番組HP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t>
  </si>
  <si>
    <t>番組名金曜ドラマ「コウノドリ」(7)綾野剛主演！母との約束…理想の出産ってなに？</t>
  </si>
  <si>
    <t>助産院での自然分娩こそが赤ちゃんにとって一番の幸せだと信じて疑わない妊婦・森亜沙子（南沢奈央）は、バランスの取れた食生活を送り適度な運動を欠かさない、出産への意識がとても高い妊婦。しかし、助産院での出産への思いが強すぎるのか病院の産科を毛嫌いする一面も。通院する助産院のベテラン助産師・野々村秀子（冨士眞奈美）には、理想の出産を満足げに語るが、義務づけられている病院での検診では、担当医の鴻鳥サクラ（綾野剛）と一度も目も合わせないほど、病院での出産を嫌悪している。 一方、陣痛の痛みに耐えられない妊婦・山田郁美（足立梨花）は、助産師が主導で進められる正常なお産にも関わらず、サクラに対して、産科医なのに何で何もしてくれないのかと叫ぶ。そんな言いたい放題の郁美に対しても、助産師の小松留美子（吉田羊）は力強く手を握って励まし続ける。初産で不安がいっぱいな妊婦にはもっと寄り添う時間を増やしてあげたいが、病院ではそれが叶わない。実は助産院を開業した同期から引き抜きを受けていると、サクラと下屋加江（松岡茉優）に告げる。 そんな折、小松と四宮春樹（星野源）が言い争う事態に。鴻鳥サクラ…綾野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第7話ゲスト ～  野々村秀子…冨士眞奈美  森亜沙子… 南沢奈央  山田郁美…足立梨花  大森太助…角田晃広（東京03）主題歌：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鈴木早苗演出：金子　文紀◇公式番組HP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t>
  </si>
  <si>
    <t>番組名金曜ドラマ「コウノドリ」(8)綾野剛主演！僕にはどうしても忘れられない出産がある…</t>
  </si>
  <si>
    <t>鴻鳥サクラ（綾野剛）が診察する妊婦・川村実咲（中村ゆり）は、順調に37週を迎えているにもかかわらず、お腹の赤ちゃんが動くたびに苦しいと吐露する。実は、実咲は2年前サクラにとって忘れることのできない悲しい出産を迎えた妊婦だった。今度の妊娠は嬉しいけれど、まだ最初の赤ちゃんのことを乗り越えられないと言う実咲にサクラは…。一方、初めての妊娠で幸せいっぱいの妊婦・土屋マキ（谷村美月）は、四宮春樹（星野源）の診察でお腹の赤ちゃんが口唇口蓋裂であることを告げられる。四宮は手術をすれば治る疾患だと淡々と説明しマキを帰すが、あまりのショックに受け入れられずにいた。夫の昌和（森岡龍）に付き添われて再院したマキに担当を引き継いだサクラが丁寧に説明するが、やはり受け入れられないマキ…。そんな夫婦に新生児科の白川領（坂口健太郎）は「大袈裟に騒ぎすぎでは？」と言い放つのだった。白川の発言に四宮をはじめサクラと下屋加江（松岡茉優）も白川をたしなめるが、今橋貴之（大森南朋）は黙って白川にある1通の手紙を渡した…。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第8話ゲスト～   川村実咲…中村ゆり　土屋マキ…谷村美月　土屋昌和…森岡 龍　川村忠志…永岡 佑　相沢美雪…西田尚美　森口亮子…奥貫 薫　岸田秀典…高橋 洋主題歌：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　裕泰◇公式番組HP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t>
  </si>
  <si>
    <t>番組名金曜ドラマ「コウノドリ」(9)綾野剛主演！「私たちは無力」…命の重さと向き合うとき</t>
  </si>
  <si>
    <t>6年前、四宮春樹（星野源）の患者が出産時に亡くなった。母親を助けられず家族を不幸にしてしまった自分を責め続けていた四宮は、そのとき生まれたつぼみちゃんの病室を毎日訪れ見守ってきた。そんな中、四宮がカイザーの手術中に、つぼみちゃんの容体が急変したという報せが入る…。鴻鳥サクラ（綾野剛）をはじめ同僚たちもつぼみの病室に急いで向かう…。ある日、23週で切迫早産になった妊婦・小泉明子（酒井美紀）が救急搬送されて来る。一方、不妊治療の甲斐あって妊娠した相沢美雪（西田尚美）は出生前診断をするか迷っていることをサクラに打ち明ける。妊娠できたことは嬉しいが、38歳という年齢での出産に、生まれてくる赤ちゃんに異常がないか気になっているという…。 突然訪れた厳しい現実に打ちのめされる家族。 そして、その姿を前に苦悩する医師たちは、試練を乗り越えることができるのか─？鴻鳥サクラ…綾野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第9話ゲスト～   永井浩之…小栗　旬 ・相沢美雪…西田尚美 小泉大介…吉沢 悠 小泉明子…酒井美紀 ・ 西山亜希菜…岡本 玲主題歌：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 演出：金子　文紀◇公式番組HP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t>
  </si>
  <si>
    <t>番組名金曜ドラマ「コウノドリ」(10)</t>
  </si>
  <si>
    <t>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ビリギャル』など）、金子文紀（『金曜ドラマ 木更津キャッツアイ』『タイガー＆ドラゴン』など）　ほか◇公式番組HP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t>
  </si>
  <si>
    <t>1510_TBS_日21</t>
  </si>
  <si>
    <t>番組名日曜劇場「下町ロケット」第一話　2時間SP　池井戸潤原作　阿部寛主演</t>
  </si>
  <si>
    <t>池井戸潤原作・直木賞受賞作で、累計130万部を超える大ベストセラーを阿部寛主演でドラマ化！  元宇宙科学開発機構の研究員で、今は佃製作所の社長を営む、佃航平（阿部寛）。あらゆる困難に立ち向かい、中小企業が大企業に戦いを挑む！夢を持って働く全ての人に贈る感動のエンターテインメント巨編！これを観れば月曜日からも頑張れる、毎日働くあなたに贈る人生、夢と感動のドラマです。  阿部 寛　土屋太鳳　立川談春　安田顕　和田聰宏　今野浩喜　山崎育三郎　中本賢　谷田歩　中村倫也　阿部進之介　竹内涼真　佐野岳　阿藤快　・　真矢ミキ　・　新井浩文　木下ほうか　橋本さとし　春風亭昇太　東国原英夫　池畑慎之介　・　恵 俊彰　倍賞美津子　吉川晃司　杉良太郎脚本：八津弘幸  プロデューサー：伊與田英徳　川嶋龍太郎  演出：福澤克雄・棚澤孝義・田中健太◇番組HP http://www.tbs.co.jp/shitamachi_rocket/  ◇twitter  @rocket_tbs  https://twitter.com/rocket_tbs  ◇facebook  https://www.facebook.com/shitamachi.rocket  阿部寛ら豪華キャストで制作発表! 10/18（日）スタート『下町ロケット』池井戸潤 直木賞受賞作　動画公開しました！  https://youtu.be/tTgOoEmky7w  番組の内容と放送時間は変更になる可能性があります。</t>
  </si>
  <si>
    <t>番組名日曜劇場「下町ロケット」第二話　池井戸潤原作　阿部寛主演</t>
  </si>
  <si>
    <t>池井戸潤原作・直木賞受賞作で、累計130万部を超える大ベストセラーを阿部寛主演でドラマ化！ヒロインは朝ドラ後初連ドラ出演となる土屋太鳳。44年ぶりにTBS連ドラ出演の杉良太郎ほか、豪華キャストで贈る感動のエンターテインメント巨編！今夜、佃（阿部寛）と財前（吉川晃司）が直接対決！特許を守り抜くことができるのか！？大企業相手の訴訟対決では佃製作所が反撃を開始！！法廷の中で描かれる父娘の親子愛とは・・・阿部 寛　土屋太鳳　立川談春　安田顕　和田聰宏　今野浩喜　山崎育三郎　中本賢　谷田歩　中村倫也　阿部進之介　竹内涼真　佐野岳　阿藤快　・　真矢ミキ　・　新井浩文　木下ほうか　橋本さとし　春風亭昇太　東国原英夫　池畑慎之介　・　恵 俊彰　倍賞美津子　吉川晃司　杉良太郎脚本：八津弘幸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  番組の内容と放送時間は変更になる可能性があります。</t>
  </si>
  <si>
    <t>番組名日曜劇場「下町ロケット」第三話　池井戸潤原作　阿部寛主演</t>
  </si>
  <si>
    <t>今度の敵は帝国重工！ついに大企業のエリートが牙をむく！！／佃のあきらめきれない夢が動き出すーーしかし、佃製作所社内では、夢を優先する佃に反対する若手社員のクーデターが勃発！どうなる、佃製作所！？／帝国重工・財前の過去があきらかに・・・財前が中小企業を嫌う本当の理由とは／娘・利菜が佃に本音を打ち明ける・・・利菜の秘めた思いとは／これを観れば明日からまた頑張れる、痛快エンターテインメント巨編！阿部 寛　土屋太鳳　立川談春　安田顕　和田聰宏　今野浩喜　山崎育三郎　中本賢　谷田歩　阿部進之介　竹内涼真　佐野岳　・　真矢ミキ　・　新井浩文　木下ほうか　吉川晃司　杉良太郎脚本：八津弘幸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t>
  </si>
  <si>
    <t>番組名日曜劇場「下町ロケット」第四話　池井戸潤原作・阿部寛主演　『反撃開始！！』</t>
  </si>
  <si>
    <t>大逆転の第4話！今夜ついに反撃開始で、スカッとさせます！！／佃製作所vs帝国重工全面戦争勃発！！ロケットエンジンの部品供給を賭けた戦いが始まる！／佃製作所一致団結でついに反撃開始！下請けの屈辱を晴らせ！！／帝国重工からエリート刺客現るー下請け企業と罵られ、奈落の底に突き落とされる佃製作所／ふいに見せた娘の涙・・・その理由とは！？／これを観れば明日からまた頑張れる、痛快エンターテインメント巨編！阿部 寛　土屋太鳳　立川談春　安田顕　和田聰宏　今野浩喜　山崎育三郎　中本賢　谷田歩　中村倫也　阿部進之介　竹内涼真　佐野岳　・　真矢ミキ　・　新井浩文　木下ほうか　吉川晃司　杉良太郎  ゲスト：戸次重幸（TEAM　NACS）・六角慎司・近藤公園（大人計画）脚本：八津弘幸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t>
  </si>
  <si>
    <t>番組名日曜劇場「下町ロケット」第五話　池井戸潤原作　阿部寛主演『ロケット編・完結』</t>
  </si>
  <si>
    <t>今夜、ロケット編完結！！涙と波乱のクライマックスを見逃すな！！／佃製作所の前に立ちはだかる最後の関門・・・それは帝国重工社長！！最後の戦いが始まる／最終燃焼試験失敗！！佃製のバルブに欠陥が・・・！？／佃製作所は最大の危機を乗り越えてロケットを打ち上げることができるのか！？／今夜涙と波乱のクライマックス！！これを観なければ明日が始まらない！！明日からまた頑張る人のための痛快エンターテインメント巨編！阿部 寛　土屋太鳳　立川談春　安田顕　和田聰宏　今野浩喜　山崎育三郎　中本賢　谷田歩　中村倫也　阿部進之介　竹内涼真　佐野岳　・　真矢ミキ　・　新井浩文　木下ほうか　吉川晃司　杉良太郎  ゲスト：近藤公園（大人計画）脚本：八津弘幸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https://www.youtube.com/playlist?list=PLCUNF--_h4Oz7WU9IdjBG0tkgrrEYrsps世界野球プレミア12　「日本×ベネズエラ」の試合状況により、放送時間が変更になる可能性がございます。</t>
  </si>
  <si>
    <t>番組名日曜劇場「下町ロケット」第六話　池井戸潤原作　阿部寛主演　『NASAからの刺客』</t>
  </si>
  <si>
    <t>ロケットから人体へ・・・小泉孝太郎・世良公則・今田耕司ら新キャスト加入でパワーアップしてお贈りする医療編！／新たなライバル・NASA出身のエリート社長登場！／今度の敵は医者の権威！！陰謀渦巻く医学界の争いに佃製作所が巻き込まれる！！／ロケットの打ち上げに成功した佃製作所が新たに挑むのは、心臓の人工弁！！／これを観なければ明日が始まらない！！明日からまた頑張る人のための痛快エンターテインメント巨編！阿部 寛　土屋太鳳　立川談春　安田顕　和田聰宏　今野浩喜　山崎育三郎　中本賢　谷田歩　阿部進之介　竹内涼真　佐野岳　・　真矢ミキ　・　吉川晃司  ガウディ編　：　小泉孝太郎　石倉三郎　高橋光臣　平岳大　石井一孝　福田転球　堀井新太　瀧川英次　世良公則　今田耕司脚本：八津弘幸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t>
  </si>
  <si>
    <t>番組名日曜劇場「下町ロケット」(7)池井戸潤原作阿部寛主演～反撃開始！町工場VS医療の野望</t>
  </si>
  <si>
    <t>チーム「ガウディ」ついに始動！！佃製作所が医学界に参入／新たな敵・PMEA登場！！中小企業と罵られ、窮地に陥る佃／子供達を救え！ゴッドハンドの手術が始まる／心臓の病と闘う小さな命・・・チーム「ガウディ」の新たな決意／資金不足・・・タイムリミットは半年！そして結託する敵たち！「ガウディ」に早くも最大の危機／これを観なければ明日が始まらない！！明日からまた頑張る人のための痛快エンターテインメント巨編！阿部 寛　土屋太鳳　立川談春　安田顕　和田聰宏　今野浩喜　山崎育三郎　中本賢　谷田歩　阿部進之介　竹内涼真　佐野岳　ぼくもとさきこ　・　真矢ミキ　・　新井浩文　倍賞美津子　吉川晃司  ガウディ編　：　小泉孝太郎　石倉三郎　高橋光臣　バカリズム　篠井英介　平岳大　石井一孝　福田転球　朝倉あき　堀井新太　瀧川英次　世良公則　今田耕司脚本：八津弘幸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  番組の内容と放送時間は変更になる可能性があります。</t>
  </si>
  <si>
    <t>番組名日曜劇場「下町ロケット」(8)池井戸潤原作・阿部寛主演～佃＆財前敗北!?涙の結末…</t>
  </si>
  <si>
    <t>佃vsサヤマついに決着！！ロケットエンジンを制するのは？／ライバルが牙をむく！財前に最大の危機／敵の策略・・・情報漏えい発覚！！犯人は誰だ？／佃＆財前まさかの敗北！？最後に交わす涙の約束／人工心臓コアハート、次なるステージへ・・・予期せぬ事件が勃発／新型バルブで勝負を挑む！ロケットは再び打ちあがるのか／これを観なければ明日が始まらない！！明日からまた頑張る人のための痛快エンターテインメント巨編！阿部 寛　土屋太鳳　立川談春　安田顕　和田聰宏　今野浩喜　山崎育三郎　中本賢　谷田歩　阿部進之介　竹内涼真　佐野岳　ぼくもとさきこ　新井浩文　木下ほうか　吉川晃司  ガウディ編　：　小泉孝太郎　石倉三郎　高橋光臣　バカリズム　篠井英介　平岳大　石井一孝　福田転球　朝倉あき　堀井新太　瀧川英次　世良公則　今田耕司脚本：八津弘幸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t>
  </si>
  <si>
    <t>番組名日曜劇場「下町ロケット」最終回前15分拡大！池井戸潤原作・阿部寛主演～最終決戦！</t>
  </si>
  <si>
    <t>最終回目前！衝撃展開の15分拡大SP！！○佃vsPMEA決着！立ち上がれチームガウディ・・・スカッと反撃！○敵か味方か・・・佃製作所に現れた謎の女性記者の正体とは！？○佃vs椎名直接対決！椎名の本性がついに姿を現す○医療ミス・内部告発・データ偽装・・・最終回目前にまさかの急展開！○これを観なければ明日が始まらない！！明日からまた頑張る人のための痛快エンターテインメント巨編！！阿部 寛　土屋太鳳　立川談春　安田顕　和田聰宏　今野浩喜　山崎育三郎　中本賢　谷田歩　阿部進之介　竹内涼真　佐野岳　ぼくもとさきこ　木下ほうか　倍賞美津子　吉川晃司  ガウディ編　：　小泉孝太郎　石倉三郎　高橋光臣　バカリズム　篠井英介　平岳大　石井一孝　福田転球　朝倉あき　堀井新太　瀧川英次　横田栄司　大鷹明良　中村歌昇　高島彩　世良公則　今田耕司脚本：八津弘幸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t>
  </si>
  <si>
    <t>番組名日曜劇場「下町ロケット」最終回25分拡大SP池井戸潤原作・阿部寛主演～最終決戦</t>
  </si>
  <si>
    <t>最終回25分拡大SP！！▼佃vs椎名ついに決着！俺はあんたを許さない！▼財前、辞表をかけた大勝負！！佃と財前の熱い友情が再びロケットを打ち上げる・・・！？▼ガウディは子供たちの命を救えるのか！？最終決戦▼神谷弁護士再登場！スカッとさせます！▼佃たちの夢は叶うのか？医療ミス・データ偽装・・・不正はきっと暴かれる！大団円のラスト！▼明日からまた頑張る人のための痛快エンターテインメント巨編ついに完結！！阿部 寛　土屋太鳳　立川談春　安田顕　和田聰宏　今野浩喜　山崎育三郎　中本賢　谷田歩　阿部進之介　竹内涼真　佐野岳　ぼくもとさきこ　・　真矢ミキ　・　新井浩文　木下ほうか　恵俊彰　倍賞美津子　吉川晃司　ガウディ編　：　小泉孝太郎　石倉三郎　高橋光臣　バカリズム　平岳大　石井一孝　福田転球　朝倉あき　堀井新太　瀧川英次　高島彩　世良公則　今田耕司脚本：八津弘幸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t>
  </si>
  <si>
    <t>1507_TBS_火22</t>
  </si>
  <si>
    <t>ホテルコンシェルジュ</t>
  </si>
  <si>
    <t>番組名火曜ドラマ「ホテルコンシェルジュ」　第1話【誕生日の奇跡】</t>
  </si>
  <si>
    <t>一流ホテル「ホテルフォルモント」でお客様を迎えるのは、新人コンシェルジュ・天野塔子（西内まりや）。その他プロ意識の高い先輩コンシェルジュ・本城（三浦翔平）、部下思いの総支配人・鷲尾（高橋克典）、一流がモットーの片桐（若村麻由美）、社長の成沢（伊武雅刀）などの個性的な面々。ある日、誕生日パーティーを開くために来たVIP客・沙知（鈴木保奈美）は、華やかな笑顔の裏で、ある問題を抱えていた。仕事もプライベートも完璧で、理想的なセレブに見える沙知だが、実は夫・悟（矢柴俊博）のモラハラに悩んでいた。ママのことを守りたいという息子・翼（寺田心）の想いを知った塔子のとった行動とは…？一方、生花市場に勤める渡辺祐二（尾上寛之）は、遠距離恋愛中の田中まどか（浅見れいな）の誕生日にサプライズプロポーズを計画するのだが、急な仕事が入ってしまった。果たしてプロポーズは成功するのか？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海宝沙知…鈴木保奈美  海宝悟…矢柴俊博  海宝翼…寺田心    三上圭一…スギちゃん    渡辺祐二…尾上寛之  田中まどか…浅見れいな脚本：松田裕子　監督：今井和久(MMJ)　プロデューサー： 木村元子(MMJ)・本郷達也(MMJ)  ◇番組HP http://www.tbs.co.jp/hotel_2015/  ◇Twitter  https://twitter.com/conciergetbs  @conciergetbs  2分まとめ! 西内まりや「絶対にNOとは言わない」新人コンシェルジュに！7/7（火）22時『ホテルコンシェルジュ』スタート!動画公開しました！  https://youtu.be/-6fHaCSfKgM西内まりや 三浦翔平 高橋克典…豪華出演者の制作発表 7/7（火）『ホテルコン   シェルジュ』スタート動画公開しました！  https://youtu.be/aOsVNzRlVJYMMJ・TBS  番組の内容と放送時間は変更になる可能性があります。</t>
  </si>
  <si>
    <t>番組名火曜ドラマ「ホテルコンシェルジュ」第2話【愛すべき客、招かれざる客】</t>
  </si>
  <si>
    <t>長期滞在客の菅野友美（市毛良枝）は、明るく気さくな性格で、ホテリエたちの人気者だ。毎晩のように、大好きなオムレツを嬉しそうに食べる姿に、塔子（西内まりや）たちホテリエも癒されている。一方、ホテル代を踏み倒す“スキッパー”の被害が、都内のホテルで頻発しているとの情報が入り、総支配人の鷲尾（高橋克典）や美穂子（若村麻由美）らがスタッフたちに注意喚起する。そんな折、怪しい行動を取る客がやってきて…！？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鷲尾陵介…高橋克典菅野友美…市毛良枝    井坂正己…中村靖日    鈴木亮治…六角慎司テーマソング　「デスペラード」 Honey L Days（avex trax）  エンディング・テーマ　「Stars」 ERIHIRO (SONIC GROOVE)脚本：松田裕子・中川千英子　監督：植田尚(MMJ)　プロデューサー： 木村元子(MMJ)・本郷達也(MMJ)◇番組HP http://www.tbs.co.jp/hotel_2015/  ◇Twitter  https://twitter.com/conciergetbs  @conciergetbs  MMJ・TBS  スキッパー（無銭宿泊者）が出現!? #2『ホテルコンシェルジュ』7/14（火）動画公開しました！  https://youtu.be/P6hc6FOohaU  番組の内容と放送時間は変更になる可能性があります。</t>
  </si>
  <si>
    <t>番組名火曜ドラマ「ホテルコンシェルジュ」　第3話【貯金箱に願いをこめて】</t>
  </si>
  <si>
    <t>若手人気歌舞伎俳優・松山惣太郎（大東駿介）は、女たらしでワガママなVIP客。その対応に追われる中、鷲尾総支配人（高橋克典）は、塔子（西内まりや）、本城（三浦翔平）らコンシェルジュから相談を受け、フォルモントに思い出があるという澄江（草村礼子）とその孫・繭（田牧そら）を「親子宿泊モニター」として無料招待する。ところがそれは、澄江にとって“思い出したくない記憶”で…。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鷲尾陵介…高橋克典森村澄江…草村礼子    森村繭役…田牧そら    松山惣太郎…大東駿介脚本：李正姫　監督：今井和久(MMJ)　プロデューサー： 木村元子(MMJ)・本郷達也(MMJ)◇番組HP http://www.tbs.co.jp/hotel_2015/  ◇Twitter  https://twitter.com/conciergetbs  @conciergetbs  テーマソング　「デスペラード」 Honey L Days（avex trax）  エンディング・テーマ　「Stars」 ERIHIRO (SONIC GROOVE)MMJ・TBS  祖母の笑顔を見たいという孫娘の願いにコンシェルジュたちは…#3『ホテルコンシェルジュ』7/21（火）動画公開しました！  https://youtu.be/0Yhfo_eXjOk  番組の内容と放送時間は変更になる可能性があります。</t>
  </si>
  <si>
    <t>番組名火曜ドラマ「ホテルコンシェルジュ」　第4話【暴走する想い】</t>
  </si>
  <si>
    <t>完璧なサービスとイケメンぶりで、多くの女性客ファンを持つコンシェルジュ・本城（三浦翔平）。その本城の誕生日を祝う為に現れた常連客のみゆき（映美くらら）。仕事もプライベートも充実していそうに見えるみゆきだが、本城に対し、誰もが想像し得ない強い想いを抱いていた。そして同じころ、塔子（西内まりや）のサポートで、婚活パーティーで知り合った沢村（石井正則）からプロポーズを受けた愛理（佐津川愛美）は…。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徳永みゆき…映美くらら    後藤愛理…佐津川愛美    沢村遥人…石井正則テーマソング　「デスペラード」 Honey L Days（avex trax）  エンディング・テーマ　「Stars」 ERIHIRO (SONIC GROOVE)  脚本：松田裕子　監督：星野和成(MMJ)　プロデューサー： 木村元子(MMJ)・本郷達也(MMJ)  ◇番組HP http://www.tbs.co.jp/hotel_2015/  ◇Twitter  https://twitter.com/conciergetbs  @conciergetbs  MMJ・TBS  コンシェルジュはマダムキラー!? 火曜ドラマ #4『ホテルコンシェルジュ』7/28（火）動画公開しました！  https://youtu.be/nXQg2mVr1PE  番組の内容と放送時間は変更になる可能性があります。</t>
  </si>
  <si>
    <t>番組名火曜ドラマ「ホテルコンシェルジュ」　第5話【立てこもった花嫁】</t>
  </si>
  <si>
    <t>新郎・公彦（松下洸平）や本城（三浦翔平）らが懸命に説得を試みるが、客室に立てこもった花嫁・栞（黒川智花）は姿を現さない。実は栞は、あることが原因で、精神的に追いつめられていた。そのころ、施設係の西崎（浅利陽介）のおじで、定食屋を営む古市（徳重聡）がホテルにやってくる。しかし古市は、なぜかフォルモントのコック服を着ていた。首を傾げる塔子（西内まりや）だが、それには深い事情があって…。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古市良輔…徳重聡  宮間栞…黒川智花  朝比奈公彦…松下洸平  朝比奈律子…鷲尾真知子テーマソング　「デスペラード」 Honey L Days（avex trax）  エンディング・テーマ　「Stars」 ERIHIRO (SONIC GROOVE)  脚本：李正姫　監督：植田尚(MMJ)　プロデューサー： 木村元子(MMJ)・本郷達也(MMJ)  ◇番組HP http://www.tbs.co.jp/hotel_2015/  ◇Twitter  https://twitter.com/conciergetbs  @conciergetbs  MMJ・TBS  番組の内容と放送時間は変更になる可能性があります。</t>
  </si>
  <si>
    <t>番組名火曜ドラマ「ホテルコンシェルジュ」　第6話【笑顔を失くした理由】</t>
  </si>
  <si>
    <t>季世子（三浦理恵子）は、亜里砂（夏菜）が以前働いていたホテルを辞めた事情を、鷲尾（高橋克典）に打ち明ける。一方の亜里砂は、季世子が問題を抱えていることに気づき、自分にできることはないか思い悩む。その頃、塔子（西内まりや）らは、女性客・鈴香（黒田福美）の指輪が客室からなくなったという知らせを受け、懸命に探していた。ところが、その客室に一人で入って行く亜里砂の姿が、防犯カメラの映像に映っていて…！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天堂季世子…三浦理恵子  今泉鈴香…黒田福美  藤井典枝…山野海  中原暁美…舟木幸テーマソング　「デスペラード」 Honey L Days（avex trax）  エンディング・テーマ　「Stars」 ERIHIRO (SONIC GROOVE)  脚本：松田裕子　監督：今井和久(MMJ)　プロデューサー： 木村元子(MMJ)・本郷達也(MMJ)  ◇番組HP http://www.tbs.co.jp/hotel_2015/  ◇Twitter  https://twitter.com/conciergetbs  @conciergetbs  MMJ・TBS  22日(土）あさ7時～男子マラソンで開幕！  初日の夜から、100m“世界最速の超人”ウサイン・ボルトが登場  8月22日～30日(日）までの9日間の真夏の北京から熱戦をお送りします。番組の内容と放送時間は変更になる可能性があります。</t>
  </si>
  <si>
    <t>番組名火曜ドラマ「ホテルコンシェルジュ」　第7話【家族の絆と涙の結婚式】</t>
  </si>
  <si>
    <t>ベルボーイ・牧原（小関裕太）は、名門旅館の一人息子。その母で女将の葉子（前田美波里）は、牧原にある決意を語る。寝耳に水の話に、驚く牧原。そのころ塔子（西内まりや）は、美香（藤澤恵麻）の結婚式の打ち合わせに同席していた。しかし、美香の父親（小林隆）のガンが再発してしまい、結婚式への参加が難しいことを知った塔子は彼女のためにできることはないか、と懸命に考える。やがて、とある計画を思いついて…！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鷲尾陵介…高橋克典牧原葉子…前田美波里  小野寺美香…藤澤恵麻  原口俊介…須田邦裕  小野寺幸一…小林隆テーマソング　「デスペラード」 Honey L Days（avex trax）  エンディング・テーマ　「Stars」 ERIHIRO (SONIC GROOVE)脚本：中川千英子　監督：星野和成　プロデューサー： 木村元子(MMJ)・本郷達也(MMJ)◇番組HP http://www.tbs.co.jp/hotel_2015/  ◇Twitter  https://twitter.com/conciergetbs  @conciergetbs  MMJ・TBS  22日(土）あさ7時～男子マラソンで開幕！  初日の夜から、100m“世界最速の超人”ウサイン・ボルトが登場  8月22日～30日(日）までの9日間の真夏の北京から熱戦をお送りします。番組の内容と放送時間は変更になる可能性があります。</t>
  </si>
  <si>
    <t>番組名火曜ドラマ「ホテルコンシェルジュ」　第8話【未来のホテリエたち】</t>
  </si>
  <si>
    <t>研修生の保科（間宮祥太朗）は、生意気な態度で、現場の仕事を見下すような言動を繰り返す。指導にあたる塔子（西内まりや）は、そんな保科に、ホテリエとしてのプライドを伝えようとするが…。また、他の学生たちから「まじめちゃん」とからかわれている咲希（小島藤子）。その母親・藍子（朝加真由美）が、娘を心配するあまり、フォルモントに泊まりに来る。そんな時、咲希が過呼吸の発作を起こしてしまって…！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真島咲希…小島藤子  保科誠也…間宮祥太朗  真島藍子…朝加真由美テーマソング　「デスペラード」 Honey L Days（avex trax）  エンディング・テーマ　「Stars」 ERIHIRO (SONIC GROOVE)  脚本：李正姫　監督：植田尚(MMJ)　プロデューサー： 木村元子(MMJ)・本郷達也(MMJ)  ◇番組HP http://www.tbs.co.jp/hotel_2015/  ◇Twitter  https://twitter.com/conciergetbs  @conciergetbs  MMJ・TBS  番組の内容と放送時間は変更になる可能性があります。</t>
  </si>
  <si>
    <t>番組名火曜ドラマ「ホテルコンシェルジュ」第9話【フォルモント最大の危機】</t>
  </si>
  <si>
    <t>カリスマ経営者の母・映里子（泉ピン子）と広報担当の娘・美麗（内山理名）。二人の間には大きな溝が…。また、母親の光子（洞口依子）の訪問に、なぜか表情が冴えないメグ（大野いと）や、両親を亡くし弟妹たちのためにミスコンに全てを賭けているさゆり（西川カナコ）など、ファイナリストも様々な事情を抱えている。懸命に彼女たちをサポートする塔子（西内まりや）だったが、ある行動が映里子の逆鱗に触れてしまい…！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鷲尾陵介…高橋克典椿美麗…内山理名  メグ（小早川愛）…大野いと  小早川光子…洞口依子  高岡悦司…乃木涼介  椿映里子…泉ピン子（特別出演）テーマソング　「デスペラード」 Honey L Days（avex trax）  エンディング・テーマ　「Stars」 ERIHIRO (SONIC GROOVE)脚本：松田裕子　監督：今井和久(MMJ)　プロデューサー： 木村元子(MMJ)・本郷達也(MMJ)◇番組HP http://www.tbs.co.jp/hotel_2015/  ◇Twitter  https://twitter.com/conciergetbs  @conciergetbs  MMJ・TBS  ★「ホテルコンシェルジュ」終盤に向け、1分の限定動画公開！動画公開しました！  https://youtu.be/8C_1TajbsaI番組の内容と放送時間は変更になる可能性があります。</t>
  </si>
  <si>
    <t>番組名火曜ドラマ「ホテルコンシェルジュ」　最終話【母と娘の真実】</t>
  </si>
  <si>
    <t>カリスマ社長である母・映里子（泉ピン子）との間に、大きな亀裂が入ってしまった美麗（内山理名）は、フォルモントを飛び出し、姿を消してしまう。映里子は、塔子（西内まりや）の言動に腹を立て、すべてのイベントを中止すると宣言。かつてない非常事態を受け、鷲尾（高橋克典）ら幹部たちは、対策を協議する。そんな中、本城（三浦翔平）は、映里子から預かった極秘文書に解決の糸口を見出し、映里子の説得を試みるが…！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椿美麗…内山理名  メグ（小早川愛）…大野いと  小早川光子…洞口依子  高岡悦司…乃木涼介  椿映里子…泉ピン子（特別出演）テーマソング　「デスペラード」 Honey L Days（avex trax）  エンディング・テーマ　「Stars」 ERIHIRO (SONIC GROOVE)  脚本：松田裕子　監督：今井和久(MMJ)　プロデューサー： 木村元子(MMJ)・本郷達也(MMJ)  ◇番組HP http://www.tbs.co.jp/hotel_2015/  ◇Twitter  https://twitter.com/conciergetbs  @conciergetbs  MMJ・TBS  番組の内容と放送時間は変更になる可能性があります。</t>
  </si>
  <si>
    <t>1507_TBS_木21</t>
  </si>
  <si>
    <t>37.5℃の涙</t>
  </si>
  <si>
    <t>番組名木曜ドラマ劇場「37．5℃の涙」＃1【病気の子を置いて仕事に行くのは罪？】</t>
  </si>
  <si>
    <t>強張った笑顔が原因で保育園をクビになってしまった杉崎桃子（蓮佛美沙子）は、熱が出て保育園に行けない子供を訪問し親の留守中に世話をする「病児保育士」として再出発をする。暖かい上司の朝比奈（成宮寛貴）とマニュアル重視の鉄仮面の社長・柳（藤木直人）、　厳しい教育係のめぐみ（水野美紀）による研修期間を終え、初めて一人でお客さんの元を訪ねる桃子だったが...。訪問先の聡美（中越典子）の家のドアを開けると、そこは所狭しと物が散乱するゴミ屋敷…。聡美と対照的に息子の海翔（林田悠作）はヨレヨレの服を着て、昼食にはアンパンが1つしか用意されていない...。  一方、桃子の幼少期に暗い影を落とす毒母・富美子（浅野温子）は、桃子の行方を捜していた。桃子の強張った笑顔の裏に隠された過去とは...。  蓮佛美沙子、成宮寛貴、速水もこみち、トリンドル玲奈、鈴木梨央、中越典子（第1話ゲスト）、藤木直人（特別出演）、水野美紀、浅野温子水上剣星、西村和彦、久保田磨希、松島花、趣里、永池南津子、木戸邑弥、谷川りさこ、石田登星、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http://www.tbs.co.jp/375namida/  ■番組Twitter  @375namida  https://twitter.com/375namida  @375namida■番組Facebook  https://www.facebook.com/375namida  ［新ドラマ］1分まとめ! 蓮佛美沙子 病児保育士役で初主演! 7/9（木）スタート『37.5℃の涙』動画公開しました！  https://youtu.be/AY9hdmvxFy4  ［新ドラマ］新着映像! 1分でわかる! 蓮佛美沙子主演 7/9（木）『37.5℃の涙』スタート動画公開しました！  https://youtu.be/rDoTVHiO854  番組の内容と放送時間は変更になる場合があります。</t>
  </si>
  <si>
    <t>番組名木曜ドラマ劇場「37．5℃の涙」＃2</t>
  </si>
  <si>
    <t>['#375', '#1', '#2']</t>
  </si>
  <si>
    <t>病児保育士として再出発をした桃子（蓮佛美沙子）が訪問した先は月に何度も病児保育を利用する佐々木家。娘の結衣（須田理央）は母・真理恵（安達祐実）の前ではおとなしいが、真理恵が仕事に出たとたん態度が一変。元気にゲームをしたり、アイスを食べたり...仮病の疑いを持った桃子だったが、社長の柳（藤木直人）から「本当の腹痛でも仮病でも病児保育士のやるべきことに変わりない」と釘を刺されてしまう。そんな中朝比奈（成宮寛貴）の娘・小春（鈴木梨央）の病児保育をすることになった桃子。大人びた小春に緊張するが、朝比奈の思わぬ気遣いに心を打たれ...。イクメン篠原（速水もこみち）とも思わぬ所で遭遇し…。その頃、桃子の実家では、介護が必要になった父の世話を押し付けようと毒母・富美子（浅野温子）が桃子の行方を捜していた。強張った笑顔に隠された桃子の悲しい過去が徐々に明らかになる！蓮佛美沙子、成宮寛貴、速水もこみち、トリンドル玲奈、鈴木梨央、安達祐実（第2話ゲスト）、藤木直人（特別出演）、水野美紀、浅野温子　水上剣星、西村和彦、久保田磨希、松島花、趣里、永池南津子、木戸邑弥、谷川りさこ、石田登星、田上唯、横山歩、美保純　ほか音楽：得田真裕  主題歌：「大丈夫」wacci（EPICレコードジャパン）  挿入歌：「EGG」木村カエラ（ELA/ビクターエンタテインメント）  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演出：藤尾隆■番組HP  http://www.tbs.co.jp/375namida/  ■番組Twitter  @375namida  https://twitter.com/375namida  #375の涙■番組Facebook  https://www.facebook.com/375namida  笑顔が苦手な病児保育士を蓮佛美沙子が熱演! #1『37.5℃の涙』7/9（木）ダイジェスト動画公開しました！  https://youtu.be/HehptSGntrk  蓮佛美沙子が病児保育士熱演! #2動画公開しました！  https://youtu.be/M0Q6KLFr9ls  制作発表を公開! 蓮佛美沙子主演『37.5℃の涙』木曜21時　動画公開しました！  https://youtu.be/a0Y4-j0GFe8  番組の内容と放送時間は変更になる場合があります。</t>
  </si>
  <si>
    <t>番組名木曜ドラマ劇場「37．5℃の涙」＃3</t>
  </si>
  <si>
    <t>['#375']</t>
  </si>
  <si>
    <t>新米病児保育士の桃子（蓮佛美沙子）がついにもらった初指名の相手はなんと篠原（速水もこみち）。息子の健太（横山歩）に好かれたことが嬉しい桃子だったが、保育中に篠原の離婚協議中の妻（滝沢沙織）が現れて…。  一方、桃子に厳しい評価をしている社長の柳（藤木直人）は、重要な顧客であるカリスマ・ママタレントの大橋華絵（矢田亜希子）からの依頼に敢えて桃子を送り出す。失敗の許されない桃子をクレームの嵐が襲う!?  大事な客の元に桃子を送り出した柳の鉄の仮面の下に隠された真意とは。  そして、朝比奈（成宮寛貴）と娘の小春（鈴木梨央）の間に深い溝を作った3年前の“ある出来事”とは...。  さらに桃子の毒母・富美子（浅野温子）がついに桃子の居場所を突き止める...。  蓮佛美沙子、成宮寛貴、速水もこみち、トリンドル玲奈、鈴木梨央、矢田亜希子（第3話ゲスト）、藤木直人（特別出演）、水野美紀、浅野温子　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演出：村上牧人■番組HP  http://www.tbs.co.jp/375namida/  ■番組Twitter  @375namida  https://twitter.com/375namida  #375の涙■番組Facebook  https://www.facebook.com/375namida  番組の内容と放送時間は変更になる場合があります。</t>
  </si>
  <si>
    <t>番組名木曜ドラマ劇場「37．5℃の涙」＃4</t>
  </si>
  <si>
    <t>桃子（蓮佛美沙子）が訪問した北原家は、子供がいる親同士で再婚し、血の繋がらない兄弟のいる『ステップファミリー』。兄弟でプール熱に感染したため、先輩のめぐみ（水野美紀）と一緒に病児保育に行くことに。しかし、母親の真依子（佐藤仁美）は再婚相手に遠慮するあまり、血の繋がらない次男ばかり甘やかし、長男の翔馬には冷たく接していた。翔馬に同情し、距離を縮める桃子...しかしその様子を見ためぐみは声を荒らげて…朝比奈（成宮寛貴）は3年前の妻の死を巡って娘の小春（鈴木梨央）との間にできてしまった亀裂に頭を悩ませていた。イクメンとして息子を育てる篠原（速水もこみち）は浮気した妻から離婚届を突きつけられて...  そしてついに、桃子の過去に暗い影を落とす実家から、兄が桃子の居場所を突き止めて...！？毒母・富美子（浅野温子）の包囲網が桃子に迫る...。蓮佛美沙子、成宮寛貴、速水もこみち、トリンドル玲奈、鈴木梨央、佐藤仁美（第4話ゲスト）、藤木直人（特別出演）、水野美紀、浅野温子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http://www.tbs.co.jp/375namida/  ■番組Twitter  @375namida  https://twitter.com/375namida  #375の涙■番組Facebook  https://www.facebook.com/375namida  番組の内容と放送時間は変更になる場合があります。</t>
  </si>
  <si>
    <t>番組名木曜ドラマ劇場「37．5℃の涙」＃5</t>
  </si>
  <si>
    <t>ついに桃子（蓮佛美沙子）の家を突き止めた兄・優樹（水上剣星）がアパートに現れる。桃子の中で過去の恐怖と共に、家族に対する罪悪感が膨らむ...そんな中、桃子が病児保育に訪れたのは妻が入院中の伊藤家。夫の敬二（綾部祐二）は家の中のことが全くわからず、引き継ぎは大混乱。桃子と朝比奈は大切な人が突然いなくなる心細さに思いを馳せる。そして朝比奈は父親が倒れたのに実家に帰ろうとしない桃子に違和感を覚えていた。翌日、小春（鈴木梨央）の病児保育に訪れた桃子は、朝比奈と小春の間にできてしまった深い溝の訳を知る。そして、離婚が成立した篠原（速水もこみち）はイクメンとして息子・健太（横山歩）と新しい一歩を踏み出す。小春の病児保育中に桃子が見つけてしまったビデオレターにはなんと小春の亡き母・小雪（松島花）からの衝撃のメッセージが残っていて...。親子の絆を前にした桃子は自分の母親への期待を膨らませる...。  蓮佛美沙子、成宮寛貴、速水もこみち、トリンドル玲奈、鈴木梨央、綾部祐二（第5話ゲスト）、藤木直人（特別出演）、水野美紀、浅野温子　水上剣星、西村和彦、久保田磨希、松島花、趣里、永池南津子、木戸邑弥、谷川りさこ、石田登星、田上唯、横山歩、美保純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演出：藤尾隆■番組HP  http://www.tbs.co.jp/375namida/  ■番組Twitter  @375namida  https://twitter.com/375namida  #375の涙■番組Facebook  https://www.facebook.com/375namida  番組の内容と放送時間は変更になる場合があります。</t>
  </si>
  <si>
    <t>番組名木曜ドラマ劇場「37．5℃の涙」＃6</t>
  </si>
  <si>
    <t>暗い過去がありながらも、家族との絆の修復に期待して鎌倉の実家に帰ってしまった桃子（蓮佛美沙子）。だが、実家では毒母・富美子（浅野温子）のペースに巻き込まれ、監禁状態で父の介護を押し付けられる。富美子はなんと勝手に会社に退職の連絡まで…。一方的に富美子から、桃子の退職の知らせを聞いた朝比奈（成宮寛貴）は、桃子を心配すると同時に違和感を募らせて鎌倉の実家を訪ねる。そこで、富美子の説得に乗り出すが…。実家から戻り、篠原（速水もこみち）の息子・健太（横山歩）の病児保育に訪れる桃子。豪雨の影響で停電が起こった矢先、健太が喘息の発作を起こしてしまう…。篠原の帰りも遅れている中、桃子は健太を救えるのか…？一方、リトルスノーにはワケありの看護師・七海（おのののか）が突然訪ねてきて…。夜間保育をすることになった桃子は朝比奈と一緒に一晩を過ごすことに…。蓮佛美沙子、成宮寛貴、速水もこみち、トリンドル玲奈、鈴木梨央、おのののか（第6話ゲスト）、藤木直人（特別出演）、水野美紀、浅野温子、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演出：村上牧人■番組HP  http://www.tbs.co.jp/375namida/  ■番組Twitter  @375namida  https://twitter.com/375namida  #375の涙■番組Facebook  https://www.facebook.com/375namida  22日(土）あさ7時～男子マラソンで開幕！  初日の夜から、100m“世界最速の超人”ウサイン・ボルトが登場  8月22日～30日(日）までの9日間の真夏の北京から熱戦をお送りします。番組の内容と放送時間は変更になる場合があります。</t>
  </si>
  <si>
    <t>番組名木曜ドラマ劇場「37．5℃の涙」＃7</t>
  </si>
  <si>
    <t>実家で毒母・富美子（浅野温子）によって囚われていたところを、朝比奈（成宮寛貴）によって救い出された桃子（蓮佛美沙子）。再び病児保育士としてのやりがいを見つけた頃、篠原（速水もこみち）からの誘いで、息子・健太（横山歩）と一緒に遊園地デートに行くことに。そこで、篠原から「付き合ってほしい」と突然の告白が！！それを偶然、遊園地に遊びに来ていた朝比奈（成宮寛貴）と娘・小春（鈴木梨央）に聞かれてしまい…。雑誌の編集者・沙紀（MEGUMI）の家に病児保育に行った桃子。朝はクタクタだった沙紀が夕方戻ってくると、おしゃれに変身して帰ってきた。そんな沙紀に、桃子はとある疑惑を抱く…。  遊園地での楽しい思い出に浸る桃子を現実に引き戻す母からの電話…。桃子の中で母への罪悪感が高まる中、兄・優樹の思惑が動き出す。そして、時を同じくしてリトルスノーにはある人物が訪れていた…。蓮佛美沙子、成宮寛貴、速水もこみち、トリンドル玲奈、鈴木梨央、MEGUMI（第7話ゲスト）、佐津川愛美（第7話ゲスト）、おのののか（第7話ゲスト）、藤木直人（特別出演）、水野美紀、浅野温子、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http://www.tbs.co.jp/375namida/  ■番組Twitter  @375namida  https://twitter.com/375namida  #375の涙■番組Facebook  https://www.facebook.com/375namida  22日(土）あさ7時～男子マラソンで開幕！  初日の夜から、100m“世界最速の超人”ウサイン・ボルトが登場  8月22日～30日(日）までの9日間の真夏の北京から熱戦をお送りします。番組の内容と放送時間は変更になる場合があります。</t>
  </si>
  <si>
    <t>番組名木曜ドラマ劇場「37．5℃の涙」＃8</t>
  </si>
  <si>
    <t>病児保育に訪れた杉崎家で、桃子（蓮佛美沙子）を待ち構えていたのはなんと、兄・優樹（水上剣星）。会社の規則で家族の病児保育はできない、と断ろうとする桃子の髪を掴み、「余計なことは言うな」と昔のように恐怖で支配しようとする。一方、リトルスノーには、母・富美子（浅野温子）が現れ、勝手に桃子の退職願を提出しようとしていた。朝比奈（成宮寛貴）が抵抗するも「これが桃子のためですから…」と富美子は譲らない…。篠原（速水もこみち）と健太（横山歩）から花火に誘われた桃子。そこで、なんと篠原からのプロポーズのキスが!!一方、家族の事情を知る朝比奈は桃子を守ろうと決意を固める。病児保育先の喜美江（青木さやか）はアイスを使い一時的に娘・レイナ（矢崎由紗）の熱を37.5℃より下げ、保育園に行かせていた。これが子供のためだと信じて疑わない喜美江の姿が引っかかる桃子…蓮佛美沙子、成宮寛貴、速水もこみち、トリンドル玲奈、鈴木梨央、黒川智花（第8話ゲスト）、青木さやか（第8話ゲスト）、山下リオ（第8話ゲスト）、藤木直人（特別出演）、水野美紀、浅野温子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演出：藤尾隆■番組HP  http://www.tbs.co.jp/375namida/  ■番組Twitter  @375namida  https://twitter.com/375namida  #375の涙■番組Facebook  https://www.facebook.com/375namida  ★好評！→蓮佛美沙子の撮影秘話からプライベートまで質問に即回答! 9/3（木）21時『37.5℃の涙』  https://youtu.be/JQYLW94vyn0  https://youtu.be/0qB2itldefw  番組の内容と放送時間は変更になる場合があります。</t>
  </si>
  <si>
    <t>番組名木曜ドラマ劇場「37．5℃の涙」＃9</t>
  </si>
  <si>
    <t>鎌倉の実家で、意識不明の状態だった桃子（蓮佛美沙子）の父・誠一郎（石田登星）が「…桃子」と声を発した。母・富美子（浅野温子）はそれを聞き、愕然として桃子への忌々しい思いを募らせる。その頃、桃子は高校の同級生・翔子の息子・遼（高橋來）の病児保育に行くことに。仕事も失い生活苦で、育児放棄気味の翔子に、桃子はかつて遼を愛していた翔子の気持ちを取り戻してもらおうと説得するが、それが大事件を引き起こす…！桃子の、どんな時でも前向きな気持ちに触れた朝比奈（成宮寛貴）は、娘・小春（鈴木梨央）に「桃ちゃんのことが好きなんだ」と正直な思いを告白する。真正面からの父の告白に動揺し、心細い思いに駆られる小春…。元妻・久美子（滝沢沙織）に健太（横山歩）を連れ出された篠原（速水もこみち）。桃子と一緒に花火をした思い出の公園で、自分もつらい状態なのに、元気がない桃子に冗談を言って元気づける。そこに、健太が現れ…？蓮佛美沙子、成宮寛貴、速水もこみち、トリンドル玲奈、鈴木梨央、山下リオ（第9話ゲスト）、藤木直人（特別出演）、水野美紀、浅野温子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http://www.tbs.co.jp/375namida/  ■番組Twitter  @375namida  https://twitter.com/375namida  #375の涙■番組Facebook  https://www.facebook.com/375namida  番組の内容と放送時間は変更になる場合があります。</t>
  </si>
  <si>
    <t>番組名木曜ドラマ劇場「37．5℃の涙」＃10</t>
  </si>
  <si>
    <t>ついに、母・富美子（浅野温子）から、兄弟の中で自分だけが憎まれてきた理由を聞いた桃子（蓮佛美沙子）。真実を知った桃子は、償いのために母の側で生きる覚悟をする。そこへ、桃子を救い出すために、朝比奈（成宮寛貴）と篠原（速水もこみち）が実家にやってくる。頑なに自分の気持ちを変えようとしない桃子に対し、朝比奈は最後の病児保育に行くように命令する。その仕事により、病児保育士への思いを再確認する桃子だが…初めて一人で病児保育を担当した聡美（中越典子）の息子・海翔（林田悠作）の家に、病児保育に向かった桃子。シングルマザーで働きながら子供を育てる苦労から弱気になっている聡美に桃子は違和感を感じ…。亡き父・誠一郎（石田登星）のメッセージを聞いた桃子は、母に別れを告げようとする…。しかし、母はそれを許そうとしない。そこへ、桃子を大切に想う朝比奈と篠原が助けに…。桃子はどちらのナイトを選ぶのか…？蓮佛美沙子、成宮寛貴、速水もこみち、トリンドル玲奈、鈴木梨央、中越典子（第10話ゲスト）、山下リオ（第10話ゲスト）、藤木直人（特別出演）、水野美紀、浅野温子　水上剣星、西村和彦、久保田磨希、松島花、趣里、永池南津子、木戸邑弥、谷川りさこ、石田登星、田上唯、横山歩、美保純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http://www.tbs.co.jp/375namida/  ■番組Twitter  @375namida  https://twitter.com/375namida  #375の涙■番組Facebook  https://www.facebook.com/375namida  番組の内容と放送時間は変更になる場合があります。</t>
  </si>
  <si>
    <t>1507_TBS_金22</t>
  </si>
  <si>
    <t>表参道高校合唱部！</t>
  </si>
  <si>
    <t>番組名金曜ドラマ「表参道高校合唱部！」第1話【歌の力で奇跡を起こす！！】</t>
  </si>
  <si>
    <t>香川県から東京の表参道高校へと転校してきた香川真琴（芳根京子）。香川で合唱に打ち込んでいた真琴は合唱の名門校である表参道高校でもやる気満々。しかもかつて真琴に合唱の楽しさを教えてくれた教師・鈴木有明（城田優）が顧問ということで期待は膨らむばかりであったが・・・。  家族の絆を取り戻すため、大好きな合唱を続けるために『絶対に歌う！』と心に誓う真琴。しかしその矢先、ある衝撃的な事件が起こる・・・芳根京子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　西川史子    佐藤玲  千葉一磨  山田望叶  馬場柚那  　◯  彦摩呂  森田正光主題歌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https://www.facebook.com/gassyoubu2015［新ドラマ］夏は「合唱」! “うたの力”でミラクルを起こす青春ストーリー! 7/17（金）スタート『表参道高校合唱部！』動画公開しました！  https://youtu.be/WD0pz6hOh2Q  ［新ドラマ］新着映像! 話題の「10秒ジャンプ」とは？7/17（金）『表参道高校合唱部！』スタート　動画公開しました！  https://youtu.be/wqYrIZ2riHE  新着映像! “歌の力”でミラクルを起こす! 痛快青春ホームコメディ 7/17（金）『表参道高校合唱部！』スタート　動画公開しました　  https://youtu.be/WTuft4xpjQ0  特別先行公開!3分でわかる夏の金ドラ!動画公開しました！  https://youtu.be/LYyeQ26P7A8  城田優 神田沙也加も…制作発表で初の「合唱」披露!　7/17（金）『表参道参道   高校合唱部！』動画公開中しました！  https://youtu.be/bBjVnQsem-M  特別企画「オモコー合唱部通信♪」メンバーからフレッシュなメッセージ! 動画公開しました！  https://youtu.be/tGQjdHhkwKI  番組の内容と放送時間は変更になる場合があります。</t>
  </si>
  <si>
    <t>番組名金曜ドラマ「表参道高校合唱部！」第2話【誰にだって必ず居場所はある！】</t>
  </si>
  <si>
    <t>かつての名門・表参道高校合唱部を廃部寸前の危機から救うため、より一層部員集めに励む真琴。そんな折、引きこもりの幽霊部員・宮崎祐の存在を知るが…なんと彼は半年前に起きた窃盗事件の犯人であった!?  事件の真相を探るため、快人とともに奔走する真琴はある事実を掴む。しかし、合唱部を守るために「祐のことは諦める」という廉太郎と「仲間を裏切ったままで、いい合唱になんてなるはずない」という真琴は反発し合うが…。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城田優原沙知絵  　○  山田純大  濱田龍臣  阿部朋子  　○  加藤虎之助    中河内雅貴  宮尾俊太郎主題歌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芳根京子・森川葵 撮影秘話！特別企画「オモコー合唱部通信♪」金曜22時『表参道高校合唱部！』動画公開しました！  https://youtu.be/ifnpz2Or9H4誰にだって必ず居場所はある! #2『表参道高校合唱部！』7/24（金）予告動画公開しました！  https://youtu.be/51VGV7P-zjA  番組の内容と放送時間は変更になる場合があります。</t>
  </si>
  <si>
    <t>番組名金曜ドラマ「表参道高校合唱部！」第3話【夢をかけた…最後の1打席！】</t>
  </si>
  <si>
    <t>野球推薦で入部するも怪我によりレギュラーの座を奪われ、いまや雑用要員の大輔（堀井新太）。次の試合で「ヒットが一本も出なかったら、野球部から消える」と背水の陣で挑むがー。  その頃、とある玄関先で「人殺し！」と罵られる有明（城田優）を見た瀬山（神田沙也加）はその真相を問う。一方、万歳庵にやってきた大曽根（高畑淳子）は離婚調停中の美奈代（堀内敬子）に当時の雄司（川平慈英）の美奈代への思いを語りだすー。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城田優西川史子    小市慢太郎  古村比呂  じろう（シソンヌ）    千葉一磨  佐藤玲  舟津大地  山田健太  永野芽郁    中河内雅貴主題歌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合唱フルバージョン公開!「Over Drive」#1の話題曲　動画公開しました！  https://youtu.be/bNM2dgTag1E  番組の内容と放送時間は変更になる場合があります。</t>
  </si>
  <si>
    <t>番組名金曜ドラマ「表参道高校合唱部！」第4話【過去の償い…暴かれる真実】</t>
  </si>
  <si>
    <t>5年前のある事件で小山田周二（中河内雅貴）から訴訟を起こされた鈴木有明（城田優）は「償いたい」と受け入れる。「なぜ今更？」と疑問に思う真琴（芳根京子）は訴えを取り下げてもらおうと周二に会う。彼の苦悩を知った真琴はある行動に出るが…。一方、新生合唱部は原宿祭りでの合唱の発表を依頼され、気合十分！[女々しくて→サボテンの花→夏の思い出→学園天国]のスペシャルメドレーを成功させようと練習に励むが…。芳根京子  志尊淳  吉本実憂  森川葵  堀井新太  高杉真宙  萩原みのり  泉澤祐希    柴田杏花  小島梨里杏  長谷川ニイナ  瑛  松本来夢    川平慈英  堀内敬子  　  神田沙也加  デビット伊東  立石涼子    平泉成    高畑淳子  城田優原沙知絵    加藤虎ノ介  古村比呂  中河内雅貴  宮尾俊太郎  2年C組  赤楚衛二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22日(土）あさ7時～男子マラソンで開幕！  初日の夜から、100m“世界最速の超人”ウサイン・ボルトが登場  8月22日～30日(日）までの9日間の真夏の北京から熱戦をお送りします。番組の内容と放送時間は変更になる場合があります。</t>
  </si>
  <si>
    <t>番組名金曜ドラマ「表参道高校合唱部！」第5話【私には支えてくれる仲間がいる】</t>
  </si>
  <si>
    <t>指導者として有明（城田優）が加わり本格始動！さっそく、奇抜なアイデア“合唱路上ライブ”で部員たちの能力アップを図る。意気込む真琴（芳根京子）たちであったが…現実を突きつけられー。なにものかに秘密をばらされ一軍トップから急転直下「もうここには居場所ないから」と学校を去る優里亞に、真琴がとった行動とはー！？一方、母・美奈代（堀内敬子）の前にかつての同級生・内田（石丸幹二）が現れて…。芳根京子  志尊淳  吉本実憂  森川葵  堀井新太  高杉真宙  萩原みのり  泉澤祐希    柴田杏花  小島梨里杏  長谷川ニイナ  瑛  松本来夢    川平慈英  堀内敬子  　  神田沙也加  デビット伊東  立石涼子    平泉成    高畑淳子  城田優原沙知絵    山田純大  加藤虎ノ介  シソンヌ　じろう    楡木直也  武田玲奈  千葉一磨  佐藤玲    石丸幹二主題歌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22日(土）あさ7時～男子マラソンで開幕！  初日の夜から、100m“世界最速の超人”ウサイン・ボルトが登場  8月22日～30日(日）までの9日間の真夏の北京から熱戦をお送りします。番組の内容と放送時間は変更になる場合があります。</t>
  </si>
  <si>
    <t>番組名金曜ドラマ「表参道高校合唱部！」第6話【ドキドキ夏合宿で恋の予感！？】</t>
  </si>
  <si>
    <t>正式な部として認められた合唱部は大曽根校長（高畑淳子）の別荘を借りて夏合宿をすることにー。女子部員は準備のためにと買い物に出かけるも…優里亞（吉本実憂）の手ほどきで圏外女子の美子（萩原みのり）が大変身！？そんな美子に驚きを隠せない男子部員…恋の予感！？「合宿だー！」と意気込む部員をよそに、「ここ…誰かいる。私、霊感あるの」と言う成美（柴田杏花）。実はこの屋敷は校長と亡くなった夫の思い出の場所で…。芳根京子  志尊淳  吉本実憂  森川葵  堀井新太  高杉真宙  萩原みのり  泉澤祐希    柴田杏花  小島梨里杏  長谷川ニイナ  瑛  松本来夢    川平慈英  堀内敬子  　  神田沙也加  デビット伊東  立石涼子    平泉成    高畑淳子  城田優　国広富之    赤楚衛二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第7話の放送は9/4（金）です。  来週は「世界陸上」のため休止です。22日(土）あさ7時～男子マラソンで開幕！  初日の夜から、100m“世界最速の超人”ウサイン・ボルトが登場  8月22日～30日(日）までの9日間の真夏の北京から熱戦をお送りします。https://youtu.be/SA41muq61lM  https://youtu.be/S5Su1on6kiM  https://youtu.be/IJVmgfqo8cg  ・これまでの合唱リストはコチラから  https://www.youtube.com/playlist?list=PLCUNF--_h4OwCq4R53dapBZj7I5-3gfY1番組の内容と放送時間は変更になる場合があります。</t>
  </si>
  <si>
    <t>番組名金曜ドラマ「表参道高校合唱部！」第7話【君と好きな人が百年続きますように】</t>
  </si>
  <si>
    <t>['#6', '#7']</t>
  </si>
  <si>
    <t>合宿の帰り道、心臓の病気が急変し緊急搬送される快人（志尊淳）。手術は成功するも意識が戻らないー。都大会で入賞を逃すと同好会に格下げされてしまう合唱部は本気で勝負をするために難しい合唱曲で大会に臨むことにー。心配のあまり歌えなくなった真琴（芳根京子）だが、快人の好きな曲が「ハナミズキ」だと知り、都大会で不利な選曲を承知で「ハナミズキ」を歌おうと部員たちを説得するが…。快人の目は覚めるのかー！？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　石丸幹二    宮尾俊太郎      2年C組  赤楚衛二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合唱「心の瞳」フルバージョン#6名場面動画公開しました！  https://youtu.be/IDUANcPT-a4  仲間との約束を果たすため! 合唱曲「ハナミズキ」一青窈 #7予告動画公開しました！  https://youtu.be/_RW4i7VbBFA  番組の内容と放送時間は変更になる場合があります。</t>
  </si>
  <si>
    <t>番組名金曜ドラマ「表参道高校合唱部！」第8話【大切なことは自分に正直でいること】</t>
  </si>
  <si>
    <t>['#7', '#8']</t>
  </si>
  <si>
    <t>大曽根（高畑淳子）の教え子でプロのカリスマアーティスト・神島カナ（中島美嘉）のライブのオープニングアクトを任されることになった合唱部。新たな目標ができ、気合十分の真琴（芳根京子）たちはさっそく、カナに会いに行き合唱を披露するがー「いい子ぶってて気持ち悪い。出直してきて」と一蹴されてしまい…。  快人（志尊淳）への気持ちを抑えられない優里亞（吉本実憂）からデートに誘う報告を受けた真琴は…。芳根京子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　中島美嘉    石丸幹二    彩輝なお    西川史子　2年C組  赤楚衛二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合唱「ハナミズキ」フルバージョン#7名場面動画公開しました！  https://youtu.be/vAjSR5EBY9M  中島美嘉と奇跡のコラボ!! 合唱曲「恋しくて」BEGIN #8予告動画公開しました！  https://youtu.be/k2xkzihnP24  中島美嘉5年ぶりのドラマ出演でインタビュー! 歌声は9/11（金）『表参道高校合唱部！』で披露!動画公開しました！  https://youtu.be/f1vvbpVbK8M番組の内容と放送時間は変更になる場合があります。</t>
  </si>
  <si>
    <t>番組名金曜ドラマ「表参道高校合唱部！」第9話【表高祭で合唱パフォーマンス♪】</t>
  </si>
  <si>
    <t>クラスの出し物で合唱をしたい真琴（芳根京子）たち合唱部…だが、「1軍」の風香＆ほのかが仕切るホームルームで「1軍」に対して物言わず従う「2軍」「圏外」の生徒たちの多数決によりあっけなく『メイドカフェ』に決定してしまう。しかし「10人」の合唱部に対し『合唱』に「11票」の得票をしたことに疑問を持った真琴（芳根京子）はー。「愛の歌」をやっと手に入れ、復縁を期待して両親を文化祭に呼ぶ、真琴と快人だが…。芳根京子  志尊淳  吉本実憂  森川葵  堀井新太  高杉真宙  萩原みのり  泉澤祐希    柴田杏花  小島梨里杏  長谷川ニイナ  瑛  松本来夢    川平慈英  堀内敬子  　  神田沙也加  デビット伊東  立石涼子  　○  平泉成  　○  高畑淳子  城田優彩輝なお    田中敬三    千葉一磨    佐藤玲　  2年C組  赤楚衛二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番組の内容と放送時間は変更になる場合があります。</t>
  </si>
  <si>
    <t>番組名金曜ドラマ「表参道高校合唱部！」第10話【愛の歌で家族再生の奇跡！】</t>
  </si>
  <si>
    <t>雄司（川平慈英）と美奈代（堀内敬子）の離婚が決定的となり、修復不可能となった香川家。さらに追い打ちをかけるように、廃校が決定する表参道高校。歌の力を信じられなくなった真琴（芳根京子）は雄司と香川県に戻る決意をするが…。真琴に今までの恩返しをしたい合唱部と有明（城田優）と瀬山（神田沙也加）は真琴の両親を復縁させようと、一発逆転の作戦を立てるー！！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　千葉一磨  佐藤玲    2年C組  佐藤玲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★「表参道高校合唱部！」合唱シーン「愛の歌」「何度でも」公開!!  https://youtu.be/CCgxFaNgV1k  https://youtu.be/qhdTUxvoYOE☆合唱シーンの中で「Over Drive」」の再生回数が110万回突破で大ブレイク中  https://youtu.be/bNM2dgTag1E  番組の内容と放送時間は変更になる場合があります。</t>
  </si>
  <si>
    <t>1507_TBS_日21</t>
  </si>
  <si>
    <t>ナポレオンの村</t>
  </si>
  <si>
    <t>番組名日曜劇場「ナポレオンの村」(1)ディズニー映画の様に夢のある奇跡の村おこし</t>
  </si>
  <si>
    <t>東京の西の果て。星河市・神楽村は、高齢者ばかりの過疎の村＝限界集落。市長の計画により、もはや廃村寸前の村に突如現れたのは、都庁のスーパーエリート・浅井！田舎には、その土地にしかない宝物があると言う彼は、村の老婆が作る美しい和紙に着目。村の祭でスカイランタンを打上げるという奇抜な策で、客を集めようと奔走する。「何の取り得もない」と、故郷に誇りを失っていた村人達も心を動かされ、遂に祭の当日を迎えるが…浅井 栄治：唐沢寿明    岬 由香里：麻生久美子  戸川 真人：山本耕史  山田 大地：ムロツヨシ  喜多 文夫：岩松　了  源治郎：星田英利  牛山 紋二：永瀬　匡  岬 直人：山下健二郎（三代目J Soul Brothers）  馬渕 健介：浜野謙太  甲田 千秋：橋本マナミ  鈴木 甘菜：水谷果穂  井川登美子：大谷直子  タミ：茅島成美  洋吉：谷　隼人  菰田 孝三郎：イッセー尾形    福本 純也：沢村一樹安藤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（講談社刊、講談社「＋α新書」版を6月22日刊行予定）  著/高野誠鮮◇番組HP　http://www.tbs.co.jp/Napoleon_no_mura/◇twitter  @napoleonnomura  https://twitter.com/napoleonnomura唐沢寿明 最強のスーパー公務員が奇跡を起こす! 動画公開しました！  https://youtu.be/CRSkaTDjoUA  3分まとめ! 唐沢寿明 最強のスーパー公務員が奇跡を起こす! 動画公開しました！  https://youtu.be/NP2zzUSpE5M  番組の内容と放送時間は変更になる場合があります。</t>
  </si>
  <si>
    <t>番組名日曜劇場「ナポレオンの村」(2)菅野美穂が熱演！母のために…娘が起こす奇跡</t>
  </si>
  <si>
    <t>スカイランタンが大成功した神楽村に、移住家族がやってきた。住民が増えたと喜んだのはつかの間、無愛想な長女ヒロミは村人たちを怒らせてしまう。しかし、浅井はヒロミが寂しさゆえに素直になれないのだと見抜き、母親（菅野美穂）のため「土鍋やカマドまでを母の為だけに作り、究極のお粥を作ろう」と提案。やがてヒロミは村人たちと心を通わせていく…しかし母の容体が急変！娘から母に贈る“真夏の夜の奇跡”は届くのかー！？浅井 栄治：唐沢寿明    岬 由香里：麻生久美子  戸川 真人：山本耕史  山田 大地：ムロツヨシ  喜多 文夫：岩松　了  源治郎：星田英利  牛山 紋二：永瀬　匡  岬 直人：山下健二郎（三代目J Soul Brothers）  馬渕 健介：浜野謙太  甲田 千秋：橋本マナミ  鈴木 甘菜：水谷果穂    橋尾千恵：菅野美穂    タミ：茅島成美  洋吉：谷　隼人  菰田 孝三郎：イッセー尾形    福本 純也：沢村一樹安藤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名産品監修：うどんが主食原案：  「ローマ法王に米を食べさせた男　過疎の村を救ったスーパー公務員は何をしたか？」  （講談社刊、講談社「＋α新書」版を6月22日刊行予定）  著/高野誠鮮◇番組HP　http://www.tbs.co.jp/Napoleon_no_mura/  ◇twitter  @napoleonnomura  https://twitter.com/napoleonnomura  番組の内容と放送時間は変更になる場合があります。</t>
  </si>
  <si>
    <t>番組名日曜劇場「ナポレオンの村」(3)夢の絶景…滝壺レストラン！大自然の究極レシピ！</t>
  </si>
  <si>
    <t>ランタンや神楽米で一躍有名になった神楽村に取材に来た美人グルメ記者。彼女が目をつけたのは、絶品の料理を出すさびれた食堂だった。浅井は店主の亡き妻との約束を果たすために滝壺にレストランを作ることを思いつく。村のおばあちゃん扮する山菜ソムリエ、滝壺からくみ上げる天然水、浅井のアイディア満載のレストランを大絶賛する美人記者ら。滝壺レストラン目当てに都心から続々と人がやってくるが、最大の敵が邪魔を…!？浅井 栄治：唐沢寿明    岬 由香里：麻生久美子  戸川 真人：山本耕史  山田 大地：ムロツヨシ  喜多 文夫：岩松　了  源治郎：星田英利  牛山 紋二：永瀬　匡  岬 直人：山下健二郎（三代目J Soul Brothers）  馬渕 健介：浜野謙太    東山勝己：梅沢富美男    坪内夏美：ホラン千秋    タミ：茅島成美  洋吉：谷　隼人  菰田 孝三郎：イッセー尾形    福本 純也：沢村一樹　女性客1：水木彩也子  女性客2：板野成美    甲田 千秋：橋本マナミ  鈴木 甘菜：水谷果穂  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名産品監修：うどんが主食原案：  「ローマ法王に米を食べさせた男　過疎の村を救ったスーパー公務員は何をしたか？」  （講談社刊、講談社「＋α新書」版を6月22日刊行予定）  著/高野誠鮮◇番組HP　http://www.tbs.co.jp/Napoleon_no_mura/  ◇twitter  @napoleonnomura  https://twitter.com/napoleonnomura  22日(土）あさ7時～男子マラソンで開幕！  初日の夜から、100m“世界最速の超人”ウサイン・ボルトが登場  8月22日～30日(日）までの9日間の真夏の北京から熱戦をお送りします。番組の内容と放送時間は変更になる場合があります。</t>
  </si>
  <si>
    <t>番組名日曜劇場「ナポレオンの村」(4)男女12人夏物語!?嫁とりお見合い大作戦！</t>
  </si>
  <si>
    <t>村の男に素敵な出会いを！浅井は都会から女性を招待し婚活パーティーを開催。村の大自然や滝壺レストラン等を誇らしげに女性たちに紹介するが…彼らのガサツでマナーのない態度に、女性たちはブチ切れ！嫁取りなんて夢のまた夢…結局、田舎者は認めてもらえないと落ち込む男達…そんな中、参加者の女性が川に流されてしまう！それを見た村人は…！？浅井 栄治：唐沢寿明    岬 由香里：麻生久美子  戸川 真人：山本耕史  山田 大地：ムロツヨシ  喜多 文夫：岩松　了  源治郎：星田英利  牛山 紋二：永瀬　匡  岬 直人：山下健二郎（三代目J Soul Brothers）  馬渕 健介：浜野謙太    小塚楓：青山倫子    タミ：茅島成美  洋吉：谷　隼人  菰田 孝三郎：イッセー尾形    福本 純也：沢村一樹　甲田 千秋：橋本マナミ  鈴木 甘菜：水谷果穂  安藤 黎：千賀由紀子  猿山 園冶：吉田祐希  鷹山 空：梶原拓人  森山 緑：浦島こうじ　有森有紀：小池由  武藤歩：寒川綾奈  木下つぐみ：一双麻希  三輪絵里子：高嶋香帆  辻里美：指出瑞貴　平井堅「君の鼓動は君にしか鳴らせない」（Ariola Japan）脚本：仁志光佑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（講談社「＋α新書」刊）  著/高野誠鮮◇番組HP　http://www.tbs.co.jp/Napoleon_no_mura/  ◇twitter  @napoleonnomura  https://twitter.com/napoleonnomura  22日(土）あさ7時～男子マラソンで開幕！  初日の夜から、100m“世界最速の超人”ウサイン・ボルトが登場  8月22日～30日(日）までの9日間の真夏の北京から熱戦をお送りします。番組の内容と放送時間は変更になる場合があります。</t>
  </si>
  <si>
    <t>番組名日曜劇場「ナポレオンの村」(5)最後の村おこし！究極のテーマパークの全貌とは…</t>
  </si>
  <si>
    <t>“村おこし”を勉強するために他県からお堅い市役所員がやってきた。浅井は、村の負の遺産を生かした最強のテーマパーク作りに男を巻き込む。浅井は手作りアスレチック、地底湖ラフティングツアーなど見たこともない町おこしを男や村人とお供に次々と作り上げていく。。一方、支援者にプレッシャーをかけられている福本は、ついに神楽村の廃村計画を実現させるために浅井と全面対決に。激動の最終章が幕を開ける！！浅井 栄治：唐沢寿明    岬 由香里：麻生久美子  戸川 真人：山本耕史  山田 大地：ムロツヨシ  喜多 文夫：岩松　了  源治郎：星田英利  牛山 紋二：永瀬　匡  岬 直人：山下健二郎（三代目J Soul Brothers）  馬渕 健介：浜野謙太    岩田正樹：筧利夫    森田悟郎：毒蝮三太夫    國枝雄一：大和田獏    タミ：茅島成美  洋吉：谷　隼人  菰田 孝三郎：イッセー尾形    福本 純也：沢村一樹甲田 千秋：橋本マナミ  鈴木 甘菜：水谷果穂  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（講談社「＋α新書」刊）  著/高野誠鮮◇番組HP　http://www.tbs.co.jp/Napoleon_no_mura/  ◇twitter  @napoleonnomura  https://twitter.com/napoleonnomura  番組の内容と放送時間は変更になる場合があります。</t>
  </si>
  <si>
    <t>番組名日曜劇場「ナポレオンの村」(6)ドラマ史上最大の危機！ついに廃村が決定!？</t>
  </si>
  <si>
    <t>神楽村は移住者や観光客も増えて輝きを取り戻していた。福本は、限界集落を復活させた市長としてもてはやされ、廃村計画は滞りつつあったが、議員の國枝はそれを許さず福本を追い詰める。そんなとき、何者かが神楽村の悪評を流し、再び村から人がいなくなる。誰もが市長の仕業だと疑うが、腰巾着の山田だけは否定する。浅井は被害を食い止めるために会見を開いて欲しいと市長に頭を下げるが相手にされず、村は最大の危機を迎える！浅井 栄治：唐沢寿明    岬 由香里：麻生久美子  戸川 真人：山本耕史  山田 大地：ムロツヨシ  喜多 文夫：岩松　了  源治郎：星田英利  牛山 紋二：永瀬　匡  岬 直人：山下健二郎（三代目J Soul Brothers）  馬渕 健介：浜野謙太    桜庭剛志：西村雅彦    東山勝己：梅沢富美男    國枝雄一：大和田獏    タミ：茅島成美  洋吉：谷　隼人  菰田 孝三郎：イッセー尾形    福本 純也：沢村一樹甲田 千秋：橋本マナミ  鈴木 甘菜：水谷果穂  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（講談社「＋α新書」刊）  著/高野誠鮮◇番組HP　http://www.tbs.co.jp/Napoleon_no_mura/  ◇twitter  @napoleonnomura  https://twitter.com/napoleonnomura  番組の内容と放送時間は変更になる場合があります。</t>
  </si>
  <si>
    <t>番組名日曜劇場「ナポレオンの村」(7)最終話！村を乗っ取る国家権力…守れるか!?最後の対決</t>
  </si>
  <si>
    <t>市長を味方となり、いよいよ役人たちと村人たちが一致団結した神楽村。しかし…最大のピンチが！これまで浅井を支えてきた戸川が突然の裏切り！限界集落を立て直した成功例として、神楽村をモデルケースに国家的プロジェクトを起こすと国の官僚である桜庭を連れて現れる。「国がバックについてくれる」と沸き立つ村人達とは反対に、浅井は不安…しかし、大規模な金と思惑がうごめく大プロジェクトが、ついに始まってしまったー！浅井 栄治：唐沢寿明    岬 由香里：麻生久美子  戸川 真人：山本耕史  山田 大地：ムロツヨシ  喜多 文夫：岩松　了  源治郎：星田英利  牛山 紋二：永瀬　匡  岬 直人：山下健二郎（三代目J Soul Brothers）  馬渕 健介：浜野謙太      桜庭剛志：西村雅彦      東山勝己：梅沢富美男    タミ：茅島成美  洋吉：谷　隼人  菰田 孝三郎：イッセー尾形    福本 純也：沢村一樹　甲田 千秋：橋本マナミ  鈴木 甘菜：水谷果穂  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（講談社「＋α新書」刊）  著/高野誠鮮◇番組HP　http://www.tbs.co.jp/Napoleon_no_mura/  ◇twitter  @napoleonnomura  https://twitter.com/napoleonnomura  番組の内容と放送時間は変更になる場合があります。</t>
  </si>
  <si>
    <t>1504_TBS_火22</t>
  </si>
  <si>
    <t>マザー・ゲーム</t>
  </si>
  <si>
    <t>番組名火曜ドラマ「マザー・ゲーム～彼女たちの階級～」　第1話</t>
  </si>
  <si>
    <t>バツイチ・シングルマザーの蒲原希子（木村文乃）は、ひょんなことから幼稚園に入園が決まる。しかし、それは・・・富裕層が集まる名門幼稚園だった！、開業医の妻・矢野聡子（長谷川京子）、官僚の夫を持つ同級生・神谷由紀（貫地谷しほり）、元キャリアウーマンの後藤みどり（安達祐実）、そして園ママの絶対的トップ・小田寺毬絵（檀れい）。波乱万丈な幼稚園生活が始まった！蒲原希子 - 木村文乃  矢野聡子 - 長谷川京子  神谷由紀 - 貫地谷しほり  奈良岡信之助 - 瀬戸康史  樫山秀徳 - 岡田義徳  ○  後藤みどり - 安達祐実  磯山琢己 - 上地雄輔  ・  謎の男 - 豊原功補  ○  奈良岡フミ／奈良岡フネ - 室井滋（二役）  蒲原徹治 - 竜雷太  小田寺毬絵 - 檀れい遠藤浩二脚本　荒井修子　　　監督　塚原あゆ子　　　プロデューサー　新井順子番組HP  http://www.tbs.co.jp/mothergame/  ［新番組］2分でわかる! 木村文乃 シングルマザー役で初主演!動画公開しました！  https://youtu.be/ADczyMNn9XM  番組の内容と放送時間は変更になる場合があります。</t>
  </si>
  <si>
    <t>番組名火曜ドラマ「マザー・ゲーム～彼女たちの階級～」　第2話</t>
  </si>
  <si>
    <t>しずく幼稚園では希子（木村文乃）親子の退園を求める嘆願書が提出される。園長のフミ（室井滋）は自分が責任を取ると聡子（長谷川京子）に宣言する…。そんな中、幼稚園初のイベント「遠足」に行くことに。希子が到着するとリゾートのような格好をしたお母様達や豪華なお弁当の数々に驚かされる。また希子は、名門幼稚園の格差を魅せつけられ・・蒲原希子 - 木村文乃  矢野聡子 - 長谷川京子  神谷由紀 - 貫地谷しほり  奈良岡信之助 - 瀬戸康史  樫山秀徳 - 岡田義徳  ○  後藤みどり - 安達祐実  磯山琢己 - 上地雄輔  ・  謎の男 - 豊原功補  ○  奈良岡フミ・室井滋  蒲原徹治 - 竜雷太  小田寺毬絵 - 檀れい『Beautiful』Superfly  （ワーナーミュージック・ジャパン）脚本：武田有起　演出：竹村謙太郎　プロデュース：新井順子番組HP  http://www.tbs.co.jp/mothergame/  番組の内容と放送時間は変更になる場合があります。</t>
  </si>
  <si>
    <t>番組名火曜ドラマ「マザー・ゲーム～彼女たちの階級～」　第3話</t>
  </si>
  <si>
    <t>['#3', '#2']</t>
  </si>
  <si>
    <t>ある日、希子（木村文乃）は毬絵（檀れい）から息子の陽斗（横山歩）とお受験塾の体験学習に来ないかと誘われる。お受験をするつもりのない希子はすぐに断るが、毬絵に1度だけと懇願され、仕方なく行くことに。一方、由紀（貫地谷しほり）は有名幼稚園の中で他のセレブママ達についていく為に必死でお金のやりくりをするが少しづつ歯車が狂い始める。そして、ついにギャンブルに手を出してしまい…蒲原希子 - 木村文乃  矢野聡子 - 長谷川京子  神谷由紀 - 貫地谷しほり  奈良岡信之助 - 瀬戸康史  樫山秀徳 - 岡田義徳  ○  後藤みどり - 安達祐実  磯山琢己 - 上地雄輔  ・  謎の男 - 豊原功補  ○  奈良岡フミ・室井滋   蒲原徹治 - 竜雷太  小田寺毬絵 - 檀れい『Beautiful』Superfly  （ワーナーミュージック・ジャパン）脚本：荒井修子　演出：塚原あゆ子　プロデュース：新井順子◇番組HP  http://www.tbs.co.jp/mothergame/  ◇twitter  https://twitter.com/mothergame_tbs  @mothergame_tbs  偽りと自分と本当の自分 #3『マザー・ゲーム～彼女たちの階級～』動画公開しました！  https://youtu.be/Nk0NnT6MJ9g  希子最大のピンチ! 退園を求める嘆願書が提出され… #2『マザー・ゲーム～彼女たちの階級～』4/21ダイジェスト　動画公開しました！  https://youtu.be/TGTS7L_TYgk  番組の内容と放送時間は変更になる場合があります。</t>
  </si>
  <si>
    <t>番組名火曜ドラマ「マザー・ゲーム～彼女たちの階級～」　第4話</t>
  </si>
  <si>
    <t>幼稚園では園の3大イベントの1つ、「親子フェスタ」が来週に迫っていた。希子（木村文乃）は急遽、バザーで販売する入園グッズの商品を作ることに・・・。希子が聡子（長谷川京子）に裁縫を教えてもらいに家に行くと、そこで聡子の姑、静子（長谷川稀世）が聡子の作った商品をハサミでビリビリに破いているのを目撃してしまう・・・。完璧主義者の聡子は明日のバザーまでに商品を完成されることが出来るのか？！蒲原希子 - 木村文乃  矢野聡子 - 長谷川京子  神谷由紀 - 貫地谷しほり  奈良岡信之助 - 瀬戸康史  樫山秀徳 - 岡田義徳  ○  後藤みどり - 安達祐実  磯山琢己 - 上地雄輔  ・  謎の男 - 豊原功補  ○  奈良岡フミ・フネ-室井滋   蒲原徹治 - 竜雷太  小田寺毬絵 - 檀れい『Beautiful』Superfly  （ワーナーミュージック・ジャパン）脚本：荒井修子　演出：福田亮介　プロデュース：新井順子番組HP  http://www.tbs.co.jp/mothergame/  ◇twitter  https://twitter.com/mothergame_tbs  @mothergame_tbs  お受験塾の体験学習に参加した希子と陽斗だが… #3『マザー・ゲーム～彼女たちの階級～』4/28ダイジェスト【TBS】  https://youtu.be/Y1aT9k22KZs  番組の内容と放送時間は変更になる場合があります。</t>
  </si>
  <si>
    <t>番組名火曜ドラマ「マザー・ゲーム～彼女たちの階級～」　第5話</t>
  </si>
  <si>
    <t>死んだと聞かされていた父が突然現れ、混乱する陽斗（横山歩）に希子（木村文乃）はとっさに叔父さんだと嘘をついてしまう。一方、幼稚園は夏休みになり希子達はひょんな事から奈良岡塾が推薦するサマースクールに参加することになった。更にその後、毬絵（檀れい）の別荘に、幼稚園の母親達と一泊することに。しかも今まで優しかった毬絵の態度もどこかよそよそしく・・・。そんな時サマースクールでトラブルが起こる！？蒲原希子 - 木村文乃  矢野聡子 - 長谷川京子  神谷由紀 - 貫地谷しほり  奈良岡信之助 - 瀬戸康史  樫山秀徳 - 岡田義徳  ○  後藤みどり - 安達祐実  磯山琢己 - 上地雄輔  ・  謎の男 - 豊原功補  ○  奈良岡フミ・フネ-室井滋  蒲原徹治 - 竜雷太  小田寺毬絵 - 檀れい『Beautiful』Superfly  （ワーナーミュージック・ジャパン）脚本：武田有起　演出：竹村謙太郎　プロデュース：新井順子番組HP  http://www.tbs.co.jp/mothergame/  ◇twitter  https://twitter.com/mothergame_tbs  @mothergame_tbs  運命のお受験サマーキャンプ!? とんでもない事件が… #5『マザー・ゲーム～彼女たちの階級～』5/12（火）予告動画公開しました！  https://youtu.be/QLLRO3_VsEM  番組の内容と放送時間は変更になる場合があります。</t>
  </si>
  <si>
    <t>番組名火曜ドラマ「マザー・ゲーム～彼女たちの階級～」　第6話</t>
  </si>
  <si>
    <t>サマースクールから自宅に戻ると旦那と浮気相手が一緒にいるところを見てしまうみどり（安達祐実）。思わず娘を連れて自宅を飛び出し、サッカーコーチの琢己（上地雄輔）の元へ。そしていよいよ二学期がスタート。しかし制服を持たずに家を飛び出したみどり達は幼稚園に現れず、更に園ママ達の中ではすでに不倫の噂が広まっていて・・・。一方、希子（木村文乃）も毬絵（檀れい）の自宅で会った謎の少年の事を聞けずにいた・・・。蒲原希子 - 木村文乃  矢野聡子 - 長谷川京子  神谷由紀 - 貫地谷しほり  奈良岡信之助 - 瀬戸康史  樫山秀徳 - 岡田義徳  ○  後藤みどり - 安達祐実  磯山琢己 - 上地雄輔  ・  謎の男 - 豊原功補  ○  奈良岡フミ・フネ-室井滋  蒲原徹治 - 竜雷太  小田寺毬絵 - 檀れい『Beautiful』Superfly  （ワーナーミュージック・ジャパン）脚本　荒井修子　監督　塚原あゆ子　プロデューサー　新井順子番組HP  http://www.tbs.co.jp/mothergame/  ◇twitter  https://twitter.com/mothergame_tbs  @mothergame_tbs  合唱発表会をめぐる嫉妬の渦　#6『マザー・ゲーム～彼女たちの階級～』5/19（火）予告動画公開しました！  https://youtu.be/7-QCsxqw5vo  番組の内容と放送時間は変更になる場合があります。</t>
  </si>
  <si>
    <t>番組名火曜ドラマ「マザー・ゲーム～彼女たちの階級～」　第7話</t>
  </si>
  <si>
    <t>いよいよ、幼稚園の合唱発表会が2週間後に迫っていた。聡子（長谷川京子）の息子、優輝（大江優成）がバイオリンを担当することになり、祖母の静子（長谷川稀世）からの厳しい猛特訓が行われる。一方、希子（木村文乃）は陽斗（横山歩）が名門小学校の清応大学付属小学校に行きたいと突然言い出し、お受験をするべきかどうか悩んでいた。そして迎えた本番当日、発表会中に思わぬトラブルが巻き起こる…？！蒲原希子 - 木村文乃  矢野聡子 - 長谷川京子  神谷由紀 - 貫地谷しほり  奈良岡信之助 - 瀬戸康史  樫山秀徳 - 岡田義徳  ○  後藤みどり - 安達祐実  磯山琢己 - 上地雄輔  ・  謎の男 - 豊原功補  ○  奈良岡フミ・フネ-室井滋  蒲原徹治 - 竜雷太  小田寺毬絵 - 檀れい『Beautiful』Superfly  （ワーナーミュージック・ジャパン）脚本　荒井修子　監督　村尾嘉昭　プロデューサー　新井順子番組HP  http://www.tbs.co.jp/mothergame/  ◇twitter  https://twitter.com/mothergame_tbs  @mothergame_tbs  大切なものを見失った大人たち #7『マザー・ゲーム～彼女たちの階級～』5/26（火）予告動画公開しました！【TBS】  https://youtu.be/45mwyCV7mRo  番組の内容と放送時間は変更になる場合があります。</t>
  </si>
  <si>
    <t>番組名火曜ドラマ「マザー・ゲーム～彼女たちの階級～」　第8話</t>
  </si>
  <si>
    <t>希子（木村文乃）は陽斗（横山歩）が突然、受験したいと言い出した事でお弁当屋以外にも深夜のアルバイトを始める。それにより希子と一緒に過ごす時間が少なくなった陽斗の様子に変化が・・・。一方、由紀（貫地谷しほり）は借金が膨れ上がり、取り立て屋からの執拗な催促に苦しんでいた。そして遂に老紳士からの愛人契約を結ぶ事を決める。更に、迎えた小学校お受験本番当日。そこでも新たな事件が巻き起こる！？蒲原希子 - 木村文乃  矢野聡子 - 長谷川京子  神谷由紀 - 貫地谷しほり  奈良岡信之助 - 瀬戸康史  樫山秀徳 - 岡田義徳  ○  後藤みどり - 安達祐実  磯山琢己 - 上地雄輔  区役所職員 - 田中直樹  ・  謎の男 - 豊原功補  ○  奈良岡フミ・フネ - 室井滋  蒲原徹治 - 竜雷太  小田寺毬絵 - 檀れい『Beautiful』Superfly  （ワーナーミュージック・ジャパン）脚本：武田有起　演出：福田亮介　プロデュース：新井順子番組HP  http://www.tbs.co.jp/mothergame/  ◇twitter  https://twitter.com/mothergame_tbs  @mothergame_tbs  受験で波乱が巻き起こる…#8『マザー・ゲーム～彼女たちの階級～』6/2（火）予告動画公開しました！【TBS】  https://youtu.be/i669XKZVuQY  番組の内容と放送時間は変更になる場合があります。</t>
  </si>
  <si>
    <t>番組名火曜ドラマ「マザー・ゲーム～彼女たちの階級～」　第9話</t>
  </si>
  <si>
    <t>お受験会場から突然居なくなった信（五十嵐陽向）の事が、既に幼稚園で噂になっていた。希子（木村文乃）は幼稚園にも来なくなってしまった毬絵(檀れい)を心配し、必死に連絡を取ろうするが距離を置かれ会うこともできない。さらに小田寺グループの買収騒動も過熱し、夫の隆吾（豊原功補）も家を不在にすることも多く、毬絵は誰にも助けを求められず苦しむ。そして、毬絵の自宅で希子は驚くべき光景を目にする...。  蒲原希子 - 木村文乃  矢野聡子 - 長谷川京子  神谷由紀 - 貫地谷しほり  奈良岡信之助 - 瀬戸康史  樫山秀徳 - 岡田義徳  ○  後藤みどり - 安達祐実  磯山琢己 - 上地雄輔  区役所職員 - 田中直樹  ・  謎の男 - 豊原功補  ○  奈良岡フミ・フネ - 室井滋  蒲原徹治 - 竜雷太  小田寺毬絵 - 檀れい『Beautiful』Superfly  （ワーナーミュージック・ジャパン）脚本：武田有起　演出：竹村謙太郎　プロデュース：新井順子番組HP  http://www.tbs.co.jp/mothergame/  ◇twitter  https://twitter.com/mothergame_tbs  @mothergame_tbs  踏み込めない家族の闇 愛する人は取り戻せるのか…#9『マザー・ゲーム～彼女たちの階級～』6/9（火）予告動画公開しました！【TBS】  https://youtu.be/xeMG-GtILuA  番組の内容と放送時間は変更になる場合があります。</t>
  </si>
  <si>
    <t>番組名火曜ドラマ「マザー・ゲーム～彼女たちの階級～」　第10話</t>
  </si>
  <si>
    <t>いよいよ最終回！息子、彬(望月歩)を心身ともに傷つけてしまい、自分を責め続ける毬絵（檀れい）。希子(木村文乃)は毬絵に何もできずにいる一方、息子の陽斗（横山歩）の急な反抗期に戸惑いを隠せないでいた。そして、希子たちは卒園式を迎えるが、そこに毬絵の姿はなく一同は戸惑いを隠せない…。それぞれの家族が選んだ、未来とは？！ついに感動のクライマックスへ！！蒲原希子 - 木村文乃  矢野聡子 - 長谷川京子  神谷由紀 - 貫地谷しほり  奈良岡信之助 - 瀬戸康史  樫山秀徳 - 岡田義徳  ○  後藤みどり - 安達祐実  磯山琢己 - 上地雄輔  区役所職員 - 田中直樹  ・  小田寺隆吾 - 豊原功補  ○  奈良岡フミ・フネ-室井滋   蒲原徹治 - 竜雷太  小田寺毬絵 - 檀れい『Beautiful』Superfly  （ワーナーミュージック・ジャパン）脚本：荒井修子　　演出：塚原あゆ子　　　プロデュース：新井順子番組HP  http://www.tbs.co.jp/mothergame/  ◇twitter  https://twitter.com/mothergame_tbs  @mothergame_tbs  感動のクライマックス! 卒園式 彼女たちの旅立ちの時 最終話『マザー・ゲーム～彼女たちの階級～』6/16（火）予告動画公開！【TBS】  https://youtu.be/-G-_T1bu7jk  番組の内容と放送時間は変更になる場合があります。</t>
  </si>
  <si>
    <t>1504_TBS_木21</t>
  </si>
  <si>
    <t>ヤメゴク</t>
  </si>
  <si>
    <t>番組名木曜ドラマ劇場「ヤメゴク～ヤクザやめて頂きます～」　第1話</t>
  </si>
  <si>
    <t>大島優子、北村一輝、勝地涼、本田翼、名取裕子、遠藤憲一脚本　櫻井武晴堤幸彦　  加藤新  坪井敏雄  白石達也◇番組HP http://www.tbs.co.jp/yamegoku/  ［新番組］ 主演 大島優子 × 演出 堤 幸彦 × 脚本 櫻井武晴 「シーン映像」公開! 動画公開しました！  https://youtu.be/Xj1OcE1LnG4  番組の内容と放送時間は変更になる可能性があります。</t>
  </si>
  <si>
    <t>番組名木曜ドラマ劇場「ヤメゴク～ヤクザやめて頂きます～」　第2話</t>
  </si>
  <si>
    <t>大島優子、北村一輝、勝地涼、本田翼、名取裕子、遠藤憲一脚本　櫻井武晴堤幸彦　  加藤新  坪井敏雄  白石達也◇番組HP http://www.tbs.co.jp/yamegoku/  主題歌　Thinking Dogs  「世界は終わらない」    音楽  fox capture plan  竹内亨ヤクザをやめさせる道を極めた麦秋　倉持を追い込む狙いは? 4/23（木）『ヤメゴク～ヤクザやめて頂きます～』動画公開しました！【TBS】  https://youtu.be/E51LK97-Sw0  ［新番組］4/16（木）スタート『ヤメゴク』を楽しむための「極意」を紹介しま  す! 【TBS】  https://youtu.be/bZZieumkl_Y  ヤクザをやめさせる道を極めた麦秋　倉持を追い込む狙いは? 動画公開しました！  https://youtu.be/E51LK97-Sw0  番組の内容と放送時間は変更になる可能性があります。</t>
  </si>
  <si>
    <t>番組名木曜ドラマ劇場「ヤメゴク～ヤクザやめて頂きます～」第3話「警視庁内の依頼人」</t>
  </si>
  <si>
    <t>警視庁の内線電話からの足抜けの依頼。  一見奇妙な、この電話には、とんでもない裏があり・・。醜聞を逆手に取ろうとするヤクザたちとの攻防に麦秋の冷たい怒りが炸裂する。大島優子、北村一輝、勝地涼、本田翼、名取裕子、遠藤憲一脚本　櫻井武晴堤幸彦　  加藤新  坪井敏雄  白石達也主題歌　Thinking Dogs  「世界は終わらない」    音楽  ◇fox capture plan  ◇武内亨◇番組HP http://www.tbs.co.jp/yamegoku/  足抜けを邪魔するヤクザたちに麦秋の怒りがさく烈 #3『ヤメゴク～ヤクザやめて頂きます～』4/30（木）予告動画公開しました！  https://youtu.be/vgk0oA_N_iQ  番組の内容と放送時間は変更になる可能性があります。</t>
  </si>
  <si>
    <t>番組名木曜ドラマ劇場「ヤメゴク～ヤクザやめて頂きます～」第4話</t>
  </si>
  <si>
    <t>極道の妻からの足抜け依頼。娘の将来のためという理由だが、ヤクザの夫は勿論、大反対。離婚するぐらいなら殺すとまで息巻かれるが、それは愛情ではなく、とんでもない理由があった。大好評シリーズ第四話。傑作です大島優子、北村一輝、勝地涼、本田翼、名取裕子、遠藤憲一脚本　櫻井武晴堤幸彦　  加藤新  坪井敏雄  白石達也◇番組HP http://www.tbs.co.jp/yamegoku/  主題歌　Thinking Dogs  「世界は終わらない」    音楽  ◇fox capture plan  ◇武内亨組長・橘と母・由美子そして麦秋には知られざる関係が!? #4『ヤメゴク～ヤクザやめて頂きます～』5/7（木）予告動画公開しました！【TBS】https://youtu.be/PUCvsp1PvHQ  番組の内容と放送時間は変更になる可能性があります。</t>
  </si>
  <si>
    <t>番組名木曜ドラマ劇場「ヤメゴク～ヤクザやめて頂きます～」　第5話「親の愛、友の情」</t>
  </si>
  <si>
    <t>大島優子、北村一輝、勝地涼、本田翼、手塚とおる、名取裕子、遠藤憲一脚本　櫻井武晴堤幸彦　  加藤新  坪井敏雄  白石達也主題歌　Thinking Dogs  「世界は終わらない」    音楽  ◇fox capture plan  ◇武内亨来週、六話から最終回まで全部ご覧になった方の中から、抽選でホンダ「グレイス」を一名さまにプレゼント。応募方法など詳細は番組ホームページで五話終了後に発表いたします◇番組HP http://www.tbs.co.jp/yamegoku/  半グレとヤクザの足抜けに麦秋が下した手段とは #5『ヤメゴク～ヤクザやめて頂きます～』5/14（木）予告動画公開しました！  https://youtu.be/-FMQYEZpbFU  番組の内容と放送時間は変更になる可能性があります。</t>
  </si>
  <si>
    <t>番組名木曜ドラマ劇場「ヤメゴク～ヤクザやめて頂きます～」第6話「麦秋の過去を知る男」</t>
  </si>
  <si>
    <t>大島優子、北村一輝、勝地涼、本田翼、金田明夫　名取裕子、遠藤憲一脚本　櫻井武晴堤幸彦　  加藤新  坪井敏雄  白石達也ホンダ「グレイス」を抽選で一名さまにプレゼント。六話から最終回まで全部見ないと応募できません。詳細は番組ホームページへ。◇番組HP http://www.tbs.co.jp/yamegoku/  主題歌　Thinking Dogs  「世界は終わらない」    音楽  ◇fox capture plan  ◇武内亨麦秋の抱える闇…麦秋と組長の関係とは一体!? #6『ヤメゴク～ヤクザやめて頂きます～』5/21（木）予告動画公開しました！  https://youtu.be/dkA02kmpTB4  番組の内容と放送時間は変更になる可能性があります。</t>
  </si>
  <si>
    <t>番組名木曜ドラマ劇場「ヤメゴク～ヤクザやめて頂きます～」第7話「狙われた家族」</t>
  </si>
  <si>
    <t>大島優子、北村一輝、勝地涼、本田翼、名取裕子、遠藤憲一脚本　櫻井武晴堤幸彦　  加藤新  坪井敏雄  白石達也第六話放送から最終話まで全部ご覧いただいた方の中から一名さまにホンダの「グレイス」をプレゼント。詳細は番組ホームページにて◇番組HP http://www.tbs.co.jp/yamegoku/  主題歌　Thinking Dogs  「世界は終わらない」    音楽  ◇fox capture plan  ◇武内亨麦秋の家族がヤクザに狙われる #7『ヤメゴク～ヤクザやめて頂きます～』5/28（木）予告動画公開しました！【TBS】https://youtu.be/NYSghpAGb6Y  番組の内容と放送時間は変更になる可能性があります。</t>
  </si>
  <si>
    <t>番組名木曜ドラマ劇場「ヤメゴク～ヤクザやめて頂きます～」　第8話</t>
  </si>
  <si>
    <t>大島優子、北村一輝、勝地涼、本田翼、名取裕子、遠藤憲一脚本　櫻井武晴堤幸彦　  加藤新  坪井敏雄  白石達也◇番組HP http://www.tbs.co.jp/yamegoku/  主題歌　Thinking Dogs  「世界は終わらない」    音楽  ◇fox capture plan  ◇武内亨足抜けに潜む罠 麦秋が暴く #8『ヤメゴク～ヤクザやめて頂きます～』6/4（木）予告動画公開しました！【TBS】  https://youtu.be/MyJq1n41SZE  番組の内容と放送時間は変更になる可能性があります。</t>
  </si>
  <si>
    <t>番組名木曜ドラマ劇場「ヤメゴク～ヤクザやめて頂きます～」　第9話「残酷な真実」</t>
  </si>
  <si>
    <t>ついに貴船組筆頭若頭　水田千一率いる水千組ごとの足抜けが始まった。もちろん、それは組織の勢力図の書き換えを意味する。文字通り命がけの死闘の中で、麦秋の真実が明かされるが、時遅く・・大島優子、北村一輝、勝地涼、本田翼、名取裕子、遠藤憲一  片岡鶴太郎　平岡祐太　藤井尚之脚本　櫻井武晴堤幸彦　「やめーたん」ぬいぐるみプレゼント  ビジュアルブックプレゼント  主題歌CDプレゼント告知あります◇番組HP http://www.tbs.co.jp/yamegoku/  親と子の絆 その結末…#9『ヤメゴク～ヤクザやめて頂きます～』6/11（木）予告動画公開しました！  https://youtu.be/3Cv2Jqt7uBQ  主題歌　Thinking Dogs  「世界は終わらない」    音楽  ◇fox capture plan  ◇武内亨番組の内容と放送時間は変更になる可能性があります。</t>
  </si>
  <si>
    <t>番組名木曜ドラマ劇場「ヤメゴク～ヤクザやめて頂きます～」最終話「命が示す人生道」</t>
  </si>
  <si>
    <t>ついに麦秋の出自が明らかになった。とはいえ、一度歩み始めた修羅の道「ヤメゴク」からいまさら生き方を変えられない。逡巡する麦秋に、最後の試練が課せられる。どんな人生でも生き直すことができるか。感動の結末大島優子、北村一輝、勝地涼、本田翼、名取裕子、遠藤憲一脚本　櫻井武晴堤幸彦　DVDブルレイ発売告知。  ホンダ「グレース」プレゼント告知があります◇番組HP http://www.tbs.co.jp/yamegoku/  主題歌　Thinking Dogs  「世界は終わらない」    音楽  ◇fox capture plan  ◇武内亨衝撃の最終回! 麦秋 憎しみからの足抜け『ヤメゴク～ヤクザやめて頂きます～』6/18（木）予告動画公開しました！  https://youtu.be/Whp0c4-zqpo  番組の内容と放送時間は変更になる可能性があります。</t>
  </si>
  <si>
    <t>1504_TBS_金22</t>
  </si>
  <si>
    <t>アルジャーノンに花束を</t>
  </si>
  <si>
    <t>番組名金曜ドラマ「アルジャーノンに花束を」　第1話</t>
  </si>
  <si>
    <t>花の配送センターで働く白鳥咲人（山下智久）は知的障がいがあり、知能は幼児並。同僚の柳川（窪田正孝）と一緒に遥香（栗山千明）のマンションに花束を届けに行くが、些細なトラブルを起こす。届け物も満足にできないが、純粋で心優しい咲人の夢は、母（草刈民代）から好かれるために“お利口”になることだった。一方、遥香が勤める脳科学生理研究センターでは、人間の知的能力を向上させる蜂須賀（石丸幹二）の研究が進み、白ネズミのアルジャーノンへの動物実験に成功。時期尚早との声も上がる中、臨床試験の準備に入っていた。そんな中、アルジャーノンが檻から逃げ出し行方不明になってしまう…白鳥咲人…山下智久  望月遥香…栗山千明  柳川隆一…窪田正孝  檜山康介…工藤阿須加  小久保一茂…菊池風磨（Sexy Zone）  河口梨央…谷村美月  小出舞…大政絢  杉野史郎…河相我聞  鹿内大…勝矢  神田勇樹…前田公輝  波多光佑…斎藤嘉樹  檜山涼子…朝加真由美  ○  白鳥久人…いしだ壱成  白鳥窓花…草刈民代  ○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窪田正孝＆工藤阿須加がメッセージ! 「青春の1ページを…」 4/10（金）スタート!動画公開しました！  https://youtu.be/L4-xeIy0F6s  番組の内容と放送時間は変更になる可能性があります。</t>
  </si>
  <si>
    <t>番組名金曜ドラマ「アルジャーノンに花束を」　第2話</t>
  </si>
  <si>
    <t>今日は、咲人（山下智久）が勤める花の配送センターの給料日。社長の竹部（萩原聖人）の方針により、柳川（窪田正孝）や檜山（工藤阿須加）ら従業員は、毎月、現金で給料を支給される。そこに柳川の母親・京子（田中美奈子）が訪ねてきた。竹部に挨拶に来たというが、もらったばかりの給料を京子に渡す柳川。一方、蜂須賀（石丸幹二）ら研究チームはアルジャーノンを使った実験成果に自信を持つが、次のステップとなる、人体への臨床試験へ協力してくれる被験者が見つかっていなかった。そんなある日、梨央（谷村美月）と舞（大政絢）から連絡をもらった咲人と柳川、檜山は、ひょんなことから遊園地でデートをすることに…。白鳥咲人…山下智久  望月遥香…栗山千明  柳川隆一…窪田正孝  檜山康介…工藤阿須加  小久保一茂…菊池風磨（Sexy Zone）  河口梨央…谷村美月  小出舞…大政絢  杉野史郎…河相我聞  鹿内大…勝矢  神田勇樹…前田公輝  波多光佑…斎藤嘉樹  柳川京子…田中美奈子  ○  白鳥久人…いしだ壱成  白鳥窓花…草刈民代  ○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窪田正孝＆工藤阿須加「殴ってスミマセン!」喧嘩シーンの裏話 限定企画 金曜  22時『アルジャーノンに花束を』動画公開しました！【TBS】  https://youtu.be/L_B5Vd-pybg  番組の内容と放送時間は変更になる可能性があります。</t>
  </si>
  <si>
    <t>番組名金曜ドラマ「アルジャーノンに花束を」　第3話</t>
  </si>
  <si>
    <t>咲人（山下智久）の適正テストが始まったが芳しい結果が得られず、蜂須賀（石丸幹二）ら研究員は表情を曇らせる。しかし遥香（栗山千明）は、咲人のテストに対する熱意や向上心には特筆すべきものがあると主張。一方、咲人が知能向上の手術を受けると聞いた柳川（窪田正孝）と檜山（工藤阿須加）は、母親に金で売られて騙されているんだと、心配し手術を受けることを反対。しかし、手術を受けるのは咲人自身の願いだと知る。ある日咲人を気に入った梨央（谷村美月）は、舞（大政絢）が反対するのを聞かず咲人と柳川、檜山を自分の別荘へ誘う。果たして、咲人にアプローチする梨央の真意は？ そこには、梨央が抱える大きな秘密が背景にあった…白鳥咲人…山下智久  望月遥香…栗山千明  柳川隆一…窪田正孝  檜山康介…工藤阿須加  小久保一茂…菊池風磨（Sexy Zone）  河口梨央…谷村美月  小出舞…大政絢  杉野史郎…河相我聞  鹿内大…勝矢  神田勇樹…前田公輝  波多光佑…斉藤嘉樹  ○  白鳥久人…いしだ壱成  白鳥窓花…草刈民代  ○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プロデューサー：佐藤敦司演出：酒井聖博◇番組公式Twitter  @algernon2015  https://twitter.com/algernon2015  ◇番組HP http://www.tbs.co.jp/algernon2015/  窪田正孝＆工藤阿須加「遊園地で怖かった乗り物」裏話 限定企画 動画公開しました！  https://youtu.be/sUyZ4Cr--M0  番組の内容と放送時間は変更になる可能性があります。</t>
  </si>
  <si>
    <t>番組名金曜ドラマ「アルジャーノンに花束を」　第4話</t>
  </si>
  <si>
    <t>ついに、知能を飛躍的に向上させる手術を受けた咲人（山下智久）。蜂須賀（石丸幹二）は、術後に経過を検証するが、大きな変化はない。「おりこう、なりましたか？」と尋ねる咲人に対し、「信じて待ってみよう」と遥香（栗山千明）。一方、柳川（窪田正孝）と檜山（工藤阿須加）は、梨央（谷村美月）と舞（大政絢）を誘って咲人の快気祝いを開くと、数日後に予定されている草野球の試合へ応援に来てほしいと声をかける。咲人も遥香を誘う。そんな咲人に蜂須賀は、“禁断の果実”を食べたというアダムとイブの神話の話をし始める。がしかし、咲人にはその意味は理解できない。なぜ、蜂須賀はアダムとイブの話をするのか？ その意図とは！？白鳥咲人…山下智久  望月遥香…栗山千明  柳川隆一…窪田正孝  檜山康介…工藤阿須加  小久保一茂…菊池風磨（Sexy Zone）  河口梨央…谷村美月  小出舞…大政絢  杉野史郎…河相我聞  鹿内大…勝矢  神田勇樹…前田公輝  波多光佑…斎藤嘉樹  絵里奈…柳ゆり菜  瑞希…永尾まりや  凛…西平風香  志乃…中島愛里  ○  白鳥久人…いしだ壱成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演出：松田礼人◇番組公式Twitter  @algernon2015  https://twitter.com/algernon2015  ◇番組HP http://www.tbs.co.jp/algernon2015/  窪田正孝＆工藤阿須加＋谷村美月＆大政絢「ゆるいですねぇ…」裏話 限定企画 動画公開しました！  https://youtu.be/WmwDgbdspo0  番組の内容と放送時間は変更になる可能性があります。</t>
  </si>
  <si>
    <t>番組名金曜ドラマ「アルジャーノンに花束を」　第5話</t>
  </si>
  <si>
    <t>ホームランを放ち大活躍の咲人（山下智久）は、蜂須賀（石丸幹二）ら研究チームのテストでも成績が飛躍的に伸びていた。ついに手術の効果が表れてきた。お利口になった咲人は、今まで見たことがない世界が見えるようになった。また、遥香（栗山千明）に対して特別な感情を覚え始めていたが、咲人自身はその感情をどう理解していいのかわからない。ある日、蜂須賀が、咲人に赤いスポーツカーをプレゼントする。運転免許を取ったら遥香とドライブがしたいという咲人に、遥香は笑顔で承諾。一方、「免許を取ってどうしたいの？」と梨央（谷村美月）と舞（大政絢）が尋ねると、遥香とドライブに行く約束をしたと答える。それを聞いた梨央たちは…。白鳥咲人…山下智久  望月遥香…栗山千明  柳川隆一…窪田正孝  檜山康介…工藤阿須加  小久保一茂…菊池風磨（Sexy Zone）  河口梨央…谷村美月  小出舞…大政絢  杉野史郎…河相我聞  鹿内大…勝矢  神田勇樹…前田公輝  波多光佑…斎藤嘉樹  白鳥咲人（回想）…竜跳  ○  白鳥久人…いしだ壱成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勝矢×前田公輝×斎藤嘉樹 ドリームフラワーの3人が解説「ここがキモ!?」 動画公開しました！  https://youtu.be/dHErXkI994k  番組の内容と放送時間は変更になる可能性があります。</t>
  </si>
  <si>
    <t>番組名金曜ドラマ「アルジャーノンに花束を」　第6話</t>
  </si>
  <si>
    <t>遥香（栗山千明）と蜂須賀（石丸幹二）の、キスを目撃した咲人（山下智久）は、梨央（谷村美月）を呼び出し一夜を共にする。翌日、咲人は、母親・窓花（草刈民代）に会いたいと申し出る。遥香は一緒に案内するというが、一人で大丈夫だと咲人。  一方、咲人と梨央が一夜を共にしたことを聞き、驚く柳川（窪田正孝）と檜山（工藤阿須加）。そんな梨央に舞（大政絢）は、梨央の父・河口（中原丈雄）から病気のことを聞かされたと打ち明ける。そんなとき、遥香から竹部（萩原聖人）は今日、咲人が一人で窓花に会いに行っていると聞かされ、竹部の顔色が一変。竹部は何を心配しているのか？その時、咲人は窓花の家のインターホンを鳴らしていた。白鳥咲人…山下智久  望月遥香…栗山千明  柳川隆一…窪田正孝  檜山康介…工藤阿須加  小久保一茂…菊池風磨（Sexy Zone）  河口梨央…谷村美月  小出舞…大政絢  杉野史郎…河相我聞  鹿内大…勝矢  神田勇樹…前田公輝  波多光佑…斉藤嘉樹  白鳥花蓮…飯豊まりえ  ○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プロデューサー：佐藤敦司演出：酒井聖博◇番組公式Twitter  @algernon2015  https://twitter.com/algernon2015  ◇番組HP http://www.tbs.co.jp/algernon2015/  窪田正孝×工藤阿須加の秘話! 「不器用な告白」が大流行!? 限定企画 金曜22時『アルジャーノンに花束を』動画公開しました！【TBS】https://youtu.be/qi-x5gFVH0E  番組の内容と放送時間は変更になる可能性があります。</t>
  </si>
  <si>
    <t>番組名金曜ドラマ「アルジャーノンに花束を」　第7話</t>
  </si>
  <si>
    <t>学会で発表することになった咲人（山下智久）は、自分の知能を向上させた薬“ALG”を一般の人にも適用すれば、差別や戦争はなくなり平和な社会になると語りかける。拍手が湧き起こる中、咲人は客席に亡くなった父・久人（いしだ壱成）の姿を見つけ呆然とする。なぜそこにいたのか？  控室に戻ると、長年会っていなかった咲人の妹・花蓮（飯豊まりえ）の姿があった。しかし咲人は出て行けと言い放つ。一方、ALGを使えば梨央（谷村美月）の病気を治せると喜ぶ柳川（窪田正孝）と檜山（工藤阿須加）は、梨央と咲人の出会いは運命だったと盛り上がる。一方、河口（中原丈雄）の元を訪れた蜂須賀は、梨央の治療についてある事を伝えた…白鳥咲人…山下智久  望月遥香…栗山千明  柳川隆一…窪田正孝  檜山康介…工藤阿須加  小久保一茂…菊池風磨（Sexy Zone）  河口梨央…谷村美月  小出舞…大政絢  杉野史郎…河相我聞  鹿内大…勝矢  神田勇樹…前田公輝  波多光佑…斎藤嘉樹  白鳥花蓮…飯豊まりえ  ○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「全体的に上がってる!」勝矢×前田公輝×斎藤嘉樹 裏話 金曜22時『アルジャー   ノンに花束を』動画公開しました！  https://youtu.be/fW6SlmnK1Xc  番組の内容と放送時間は変更になる可能性があります。</t>
  </si>
  <si>
    <t>番組名金曜ドラマ「アルジャーノンに花束を」　第8話</t>
  </si>
  <si>
    <t>研究センターを解雇された遥香（栗山千明）を追うように、蜂須賀（石丸幹二）の元から出て行った咲人（山下智久）。身寄りのない咲人は、「たくさん心配させてしまった」と言い、遥香も自身の気持ちを素直に伝え、お互いの心を通わせる。  その頃、ALGでは梨央（谷村美月）の病気が治せないことを知り、ショックを受けている河口（中原丈雄）の元へ杉野（河相我聞）が現れる。研究チームが長い歳月をかけて開発したALGの最終生成方法を、たった2週間で突き詰めた咲人に、梨央の治療法を見つけてもらうという杉野。一方、研究センターで小久保（菊池風磨）が、アルジャーノンの異変に気付く。アルジャーノンの身に何が起こっているのか…白鳥咲人…山下智久  望月遥香…栗山千明  柳川隆一…窪田正孝  檜山康介…工藤阿須加  小久保一茂…菊池風磨（Sexy Zone）  河口梨央…谷村美月  小出舞…大政絢  杉野史郎…河相我聞  鹿内大…勝矢  神田勇樹…前田公輝  波多光佑…斎藤嘉樹  白鳥花蓮…飯豊まりえ  ○  白鳥久人…いしだ壱成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工藤阿須加×谷村美月「ちょっと待ってお兄さん!?」番外編 動画公開しました！  https://youtu.be/hQ1oCAwfw54  番組の内容と放送時間は変更になる可能性があります。</t>
  </si>
  <si>
    <t>番組名金曜ドラマ「アルジャーノンに花束を」　第9話</t>
  </si>
  <si>
    <t>アルジャーノンにALGの副作用が認められることを蜂須賀（石丸幹二）から聞かされた咲人（山下智久）は、研究所へと戻っていた。ある部屋で、学会のときに映写した手術前の自分の姿を観ていた咲人…と、そこへ遥香（栗山千明）が咲人を探してやってきた。  研究室へ向かうと、蜂須賀から今後の対策が説明される。それは、咲人と蜂須賀で議論を重ねた結果、ある仮説を立て、それに基づき退行作用を防ぐために、ALGを強化改良する事だった。その仮説を聞いた小久保（菊池風磨）と遥香は咲人の事を心配するが、「私に残された時間がわからない」という咲人の言葉を受け、蜂須賀は早速作業に取りかかるよう指示した。一体、その仮説とは！？白鳥咲人…山下智久  望月遥香…栗山千明  柳川隆一…窪田正孝  檜山康介…工藤阿須加  小久保一茂…菊池風磨（Sexy Zone）  河口梨央…谷村美月  小出舞…大政絢  杉野史郎…河相我聞  鹿内大…勝矢  神田勇樹…前田公輝  波多光佑…斉藤嘉樹  白鳥花蓮…飯豊まりえ  ○  白鳥久人…いしだ壱成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プロデューサー：佐藤敦司演出：酒井聖博◇番組公式Twitter  @algernon2015  https://twitter.com/algernon2015  ◇番組HP http://www.tbs.co.jp/algernon2015/  工藤阿須加 先輩・萩原聖人のツッコミにタジタジ…番外編 金曜22時『アルジャーノンに花束を』動画公開しました！【TBS】  https://youtu.be/MTpcR9IgbOs  番組の内容と放送時間は変更になる可能性があります。</t>
  </si>
  <si>
    <t>番組名金曜ドラマ「アルジャーノンに花束を」　最終話</t>
  </si>
  <si>
    <t>咲人（山下智久）は、梨央（谷村美月）を助けるために、杉野（河相我聞）らとチームを結成。それを知った柳川（窪田正孝）と檜山（工藤阿須加）は希望を持つ。しかし、咲人を助けたい一心の遥香（栗山千明）は、一刻も早く対処法を見つけてほしいと蜂須賀（石丸幹二）に懇願する。その後日、河口（中原丈雄）が、蜂須賀の事を刑事告訴すると伝える。梨央の病気の特効薬を開発するという名目で、効果を望めない研究のために莫大な資金を流用したとして、詐欺罪が成立するという。しかし、咲人が梨央の事を救えた時は、研究チームが開発したALGが梨央を救ったと考え、告訴を取り下げてもいいと告げる。そんな時、咲人は竹部の元を訪れていた…白鳥咲人…山下智久  望月遥香…栗山千明  柳川隆一…窪田正孝  檜山康介…工藤阿須加  小久保一茂…菊池風磨（Sexy Zone）  河口梨央…谷村美月  小出舞…大政絢  杉野史郎…河相我聞  鹿内大…勝矢  神田勇樹…前田公輝  波多光佑…斎藤嘉樹  白鳥花蓮…飯豊まりえ  ○  白鳥久人…いしだ壱成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プロデューサー：佐藤敦司演出：吉田健◇番組公式Twitter  @algernon2015  https://twitter.com/algernon2015  ◇番組HP http://www.tbs.co.jp/algernon2015/  遂に最終話! 「間違いなく泣きます」窪田正孝×工藤阿須加×栗山千明「裏話」6/12（ 金）最終話『アルジャーノンに花束を』  https://youtu.be/f4oKKeq1_w4  番組の内容と放送時間は変更になる可能性があります。</t>
  </si>
  <si>
    <t>1504_TBS_日21</t>
  </si>
  <si>
    <t>天皇の料理番</t>
  </si>
  <si>
    <t>番組名「TBSテレビ60周年特別企画　日曜劇場　天皇の料理番」　第1話</t>
  </si>
  <si>
    <t>時は1904年（明治37年）、福井県武生、一人の男が戸板に乗せられて運ばれてくる。男の名前は秋山篤蔵（佐藤健）。法学部に通う兄・周太郎（鈴木亮平）とは違い、何をやっても長続きしない性格。そんな篤蔵の運命を変えたのは、軍隊のコック田辺祐吉（伊藤英明）に食べさせてもらった一枚のカツレツだった。料理に夢を見て、周りの人間たちに支えられ続けた男の愛の物語が今始まろうとしている。郷ひろみさん24年ぶりに連続ドラマに出演！！佐藤健　黒木華　桐谷健太　柄本佑　石橋杏奈　森岡龍　／鈴木亮平　武田鉄矢　伊藤英明／郷ひろみ（特別出演）／大島さと子　日野陽仁　麻生祐未　美保純　杉本哲太　小林薫主題歌　「夢見る人」さだまさし（ユーキャン）  音楽　羽毛田丈史　やまだ豊脚本：森下佳子　プロデュース：石丸彰彦　演出：平川雄一朗番組HP日々更新中    佐藤健人生初のツイッター！期間限定で番組ツイッターをジャック中！！◇番組HP  http://www.tbs.co.jp/tenno_no_ryoriban/  ◇facebook  https://www.facebook.com/ryoribantbs◇twitter  @ryoriban_tbs   https://twitter.com/ryoriban_tbs◇YouTube公式チャンネル  https://www.youtube.com/channel/UC0kuMBAHW-xDQ9pS3DVhnNg番組の内容と放送時間は変更になる可能性があります。</t>
  </si>
  <si>
    <t>番組名「TBSテレビ60周年特別企画　日曜劇場　天皇の料理番」　第2話</t>
  </si>
  <si>
    <t>料理人になるべく全てを捨て上京した篤蔵は、華族会館の門を叩いた。料理長である宇佐美鎌市（小林薫）の元で修行を始める篤蔵であるが、厨房の厳しさを目の当たりにする。そんな中、住み込みで働く松井新太郎（桐谷健太）、山上辰吉（柄本佑）に出会う。少しでも早く一人前の料理人になると誓う篤蔵であるが、鍋の洗い直しを怠った事が宇佐美に見つかってしまい・・・佐藤健　黒木華　桐谷健太　柄本佑　芦名星　森岡龍　／鈴木亮平　武田鉄矢　／坪倉由幸（我が家）　西沢仁太　黒田大輔　大西武志　渡邊衛　大熊ひろたか　城戸裕次　大内田悠平　大島さと子　日野陽仁　美保純　杉本哲太　小林薫主題歌　「夢見る人」さだまさし（ユーキャン）  音楽　羽毛田丈史　やまだ豊脚本：森下佳子　プロデュース：石丸彰彦　演出：平川雄一朗番組HP日々更新中◇番組HP  http://www.tbs.co.jp/tenno_no_ryoriban/  ◇facebook  https://www.facebook.com/ryoribantbs◇twitter  @ryoriban_tbs   https://twitter.com/ryoriban_tbs  ◇YouTube公式チャンネル  https://www.youtube.com/channel/UC0kuMBAHW-xDQ9pS3DVhnNg  番組の内容と放送時間は変更になる可能性があります。</t>
  </si>
  <si>
    <t>番組名「TBSテレビ60周年特別企画　日曜劇場　天皇の料理番」　第3話</t>
  </si>
  <si>
    <t>時は1904年（明治37年）、福井県武生、一人の男が戸板に乗せられて運ばれてくる。男の名前は秋山篤蔵（佐藤健）。法学部に通う兄・周太郎（鈴木亮平）とは違い、何をやっても長続きしない性格。そんな篤蔵の運命を変えたのは、軍隊のコック田辺祐吉（伊藤英明）に食べさせてもらった一枚のカツレツだった。料理に夢を見て、周りの人間たちに支えられ続けた男の愛の物語が今始まろうとしている。佐藤健　黒木華　桐谷健太　柄本佑　森岡龍　／鈴木亮平　武田鉄矢　／坪倉由幸（我が家）　西沢仁太　黒田大輔　大西武志　渡邊衛　大熊ひろたか　城戸裕次　　加藤雅也　大島さと子　日野陽仁　美保純　杉本哲太　小林薫主題歌　「夢見る人」さだまさし（ユーキャン）  音楽　羽毛田丈史　やまだ豊脚本：森下佳子　プロデュース：石丸彰彦　演出：平川雄一朗番組HP日々更新中    佐藤健人生初のツイッター！期間限定で番組ツイッターをジャック中！！◇番組HP  http://www.tbs.co.jp/tenno_no_ryoriban/  ◇facebook  https://www.facebook.com/ryoribantbs◇twitter  @ryoriban_tbs   https://twitter.com/ryoriban_tbs◇YouTube公式チャンネル  https://www.youtube.com/channel/UC0kuMBAHW-xDQ9pS3DVhnNg番組の内容と放送時間は変更になる可能性があります。</t>
  </si>
  <si>
    <t>番組名「TBSテレビ60周年特別企画　日曜劇場　天皇の料理番」　第4話</t>
  </si>
  <si>
    <t>篤蔵（佐藤健）は妻・俊子（黒木華）と産まれて来る子供を養うため、多くの料理を覚えようと、華族会館だけでなく、英国公使館の厨房を行き来する日々。そんな中、同僚の辰吉（柄本佑）は、先輩の荒木（黒田大輔）から、「病気の兄のお見舞いに行く」と度々厨房を抜け出す篤蔵を尾行するよう命じられる。英国公使館に入る篤蔵を目撃し、荒木に報告するべきか悩み…。一方、周太郎（鈴木亮平）の身体にも異変が・・・佐藤健　黒木華　桐谷健太　柄本佑　佐藤蛾次郎／鈴木亮平　武田鉄矢　／坪倉由幸（我が家）　西沢仁太　黒田大輔　大西武志　渡邊衛　大熊ひろたか　城戸裕次　白井晃　加藤雅也　大島さと子　日野陽仁　美保純　杉本哲太　小林薫主題歌　「夢見る人」さだまさし（ユーキャン）  音楽　羽毛田丈史　やまだ豊脚本：森下佳子　プロデュース：石丸彰彦　演出：平川雄一朗番組HP日々更新中◇番組HP  http://www.tbs.co.jp/tenno_no_ryoriban/  ◇facebook  https://www.facebook.com/ryoribantbs  ◇twitter  @ryoriban_tbs   https://twitter.com/ryoriban_tbs◇YouTube公式チャンネル  https://www.youtube.com/channel/UC0kuMBAHW-xDQ9pS3DVhnNg番組の内容と放送時間は変更になる可能性があります。</t>
  </si>
  <si>
    <t>番組名「TBSテレビ60周年特別企画　日曜劇場　天皇の料理番」　第5話</t>
  </si>
  <si>
    <t>篤蔵（佐藤健）はひょんなことから、店主・仙之介（佐藤蛾次郎）と妻・梅（高岡早紀）が切り盛りする神田の人気食堂・バンザイ軒で働き始める。篤蔵が来たことで店はますます繁盛する。そんな中、福井で出産間近な俊子（黒木華）のことを思い出していたが、ある日欲求不満気な梅から誘惑される。すると、そこに新太郎（桐谷健太）が現れ、篤蔵に周蔵（杉本哲太）からの手紙を渡す。手紙を読んだ篤蔵は、とある事実を知る。佐藤健　黒木華　桐谷健太　柄本佑　佐藤蛾次郎／鈴木亮平　／坪倉由幸（我が家）　西沢仁太　白井晃　大島さと子　日野陽仁　美保純　杉本哲太　小林薫主題歌　「夢見る人」さだまさし（ユーキャン）  音楽　羽毛田丈史　やまだ豊脚本：森下佳子　プロデュース：石丸彰彦　演出：平川雄一朗番組HP日々更新中    佐藤健人生初のツイッター！期間限定で番組ツイッターをジャック中！！◇番組HP  http://www.tbs.co.jp/tenno_no_ryoriban/  ◇facebook  https://www.facebook.com/ryoribantbs◇twitter  @ryoriban_tbs   https://twitter.com/ryoriban_tbs◇YouTube公式チャンネル  https://www.youtube.com/channel/UC0kuMBAHW-xDQ9pS3DVhnNg番組の内容と放送時間は変更になる可能性があります。</t>
  </si>
  <si>
    <t>番組名「TBSテレビ60周年特別企画　日曜劇場　天皇の料理番」　第6話</t>
  </si>
  <si>
    <t>バンザイ軒に戻った篤蔵（佐藤健）は、パリを夢見ながらも地道に励んでいた。そんな中、篤蔵の新メニューが評判を呼び、バンザイ軒には長蛇の列が出来ていた。その噂は華族会館の宇佐美（小林薫）のもとへも届き、振舞う事になるのだが・・・一方福井では、兄・周太郎の病状が悪くなる一方だった。自身の行く末を想う周太郎の篤蔵に対する想いとは・・・そして妻・俊子も運命の決断に迫られていた。俊子の選んだ未来とは・・・佐藤健　黒木華　桐谷健太　柄本佑　芦名星　佐藤蛾次郎／鈴木亮平　武田鉄矢／坪倉由幸（我が家）　大熊ひろたか　加藤雅也　大島さと子　日野陽仁　美保純　杉本哲太　小林薫主題歌　「夢見る人」さだまさし（ユーキャン）  音楽　羽毛田丈史　やまだ豊脚本：森下佳子　プロデュース：石丸彰彦　演出：平川雄一朗番組HP日々更新中◇番組HP  http://www.tbs.co.jp/tenno_no_ryoriban/  ◇facebook  https://www.facebook.com/ryoribantbs  ◇twitter  @ryoriban_tbs   https://twitter.com/ryoriban_tbs  ◇YouTube公式チャンネル  https://www.youtube.com/channel/UC0kuMBAHW-xDQ9pS3DVhnNg  番組の内容と放送時間は変更になる可能性があります。</t>
  </si>
  <si>
    <t>番組名「TBSテレビ60周年特別企画　日曜劇場　天皇の料理番」　第7話</t>
  </si>
  <si>
    <t>パリの地に立った篤蔵は、大使館の粟野のもとを訪れる。篤蔵に働き口として紹介されたのは、一流ホテルの厨房だった。そこで篤蔵を待っていたのは、「人種」という壁であった。そして篤蔵は大切なモノを失うことになる。激しい怒りの中、篤蔵のとった行動とは・・・そんな中、篤蔵の前に意外な人物が姿を現す。その人物とは・・・  一方、日本では俊子が新たな生活を始めていた。そして兄・周太郎は・・・郷ひろみ24年ぶりの民放連ドラ出演！役作りでヒゲを蓄え、撮影一ヶ月前からフランス語を猛特訓！  そしてANA全面タイアップのもと、長期に渡るフランスロケを敢行！！1900年代初頭のパリを映像で再現！！佐藤健　黒木華　桐谷健太　芦名星　サフィラ・ヴァン・ドーン　ノエミ・ナカイ　グレッグ デール　ロイック ガルニエ　鈴木亮平　郷ひろみ（特別出演）主題歌　「夢見る人」さだまさし（ユーキャン）  音楽　羽毛田丈史　やまだ豊脚本：森下佳子　プロデュース：石丸彰彦　演出：中前勇児番組HP日々更新中◇番組HP  http://www.tbs.co.jp/tenno_no_ryoriban/  ◇facebook  https://www.facebook.com/ryoribantbs◇twitter  @ryoriban_tbs   https://twitter.com/ryoriban_tbs◇YouTube公式チャンネル  https://www.youtube.com/channel/UC0kuMBAHW-xDQ9pS3DVhnNg第7話 6/7『日曜劇場 天皇の料理番』第7話 予告動画公開しました！  https://youtu.be/M66PAeq2tjI  番組の内容と放送時間は変更になる可能性があります。</t>
  </si>
  <si>
    <t>番組名「TBSテレビ60周年特別企画　日曜劇場　天皇の料理番」　第8話</t>
  </si>
  <si>
    <t>パリで3年が経過した頃、篤蔵はフランス料理の最高峰、オテル・リッツで働いていた。そんな中、明治天皇崩御の知らせが舞い込む。そして『天皇陛下の料理番』の要請が来ていることを告げる粟野。兄・周太郎との約束を想いながら葛藤する篤蔵であるが…一方日本では、周太郎の容態がますます悪化していた。死期を悟ったかのような周太郎は…  そして俊子もまた別の道を歩んでいた。吉原の門の奥に消えていく俊子は…郷ひろみ24年ぶりの民放連ドラ出演！役作りでヒゲを蓄え、撮影一ヶ月前からフランス語を猛特訓！  そしてANA全面タイアップのもと、長期に渡るフランスロケを敢行！！1900年代初頭のパリを映像で再現！！佐藤健　黒木華　桐谷健太　芦名星　森岡龍　サフィラ・ヴァン・ドーン　ノエミ・ナカイ　鈴木亮平　郷ひろみ（特別出演）　美保純　杉本哲太　小林薫主題歌　「夢見る人」さだまさし（ユーキャン）  音楽　羽毛田丈史　やまだ豊脚本：森下佳子　プロデュース：石丸彰彦　演出：中前勇児番組HP日々更新中◇番組HP  http://www.tbs.co.jp/tenno_no_ryoriban/  ◇facebook  https://www.facebook.com/ryoribantbs◇twitter  @ryoriban_tbs   https://twitter.com/ryoriban_tbs◇YouTube公式チャンネル  https://www.youtube.com/channel/UC0kuMBAHW-xDQ9pS3DVhnNg番組の内容と放送時間は変更になる可能性があります。</t>
  </si>
  <si>
    <t>番組名「TBSテレビ60周年特別企画　日曜劇場　天皇の料理番」　第9話</t>
  </si>
  <si>
    <t>帰国した篤蔵（佐藤健）は皇居・大膳寮を訪れる。大膳の長である大膳頭・福羽（浅野和之）に案内され厨房に赴く篤蔵を待っていたのは篤蔵よりも年上の大膳のシェフ達であった。そして、福羽から聞かされたあまりにも驚愕なご大礼の内容にいきなり窮地を迎える篤蔵だった・・・  そして、天皇の料理番になる事を誰よりも喜んだ兄・周太郎（鈴木亮平）は以前よりも明らかに痩せ衰えていた。一方、俊子が向かった先は・・・佐藤健　黒木華　柄本佑　高岡早紀　坪倉由幸　西沢仁太　森岡龍　瀬戸利樹　片山享　鈴木亮平　浅野和之　木場勝己　天野義久　林泰文　森田哲矢　東口宜隆　大鷹明良　真木恵未　美保純　杉本哲太　小林薫主題歌　「夢見る人」さだまさし（ユーキャン）  音楽　羽毛田丈史　やまだ豊脚本：森下佳子　プロデュース：石丸彰彦　演出：平川雄一朗  時代考証：山田順子　料理監修：脇雅世　料理指導：佐藤月彦　医療指導：池添祐大　大膳監修：高橋恒雄（元宮内庁大膳課主厨長）番組HP日々更新中◇番組HP  http://www.tbs.co.jp/tenno_no_ryoriban/  ◇facebook  https://www.facebook.com/ryoribantbs◇twitter  @ryoriban_tbs   https://twitter.com/ryoriban_tbs◇YouTube公式チャンネル  https://www.youtube.com/channel/UC0kuMBAHW-xDQ9pS3DVhnNg番組の内容と放送時間は変更になる可能性があります。</t>
  </si>
  <si>
    <t>番組名「TBSテレビ60周年特別企画　日曜劇場　天皇の料理番」　第10話</t>
  </si>
  <si>
    <t>厨司長として大膳で働き始めて10年、篤蔵（佐藤健）は俊子（黒木華）と共に家庭を築いていた。そんな中、東京地方を大震災が襲う。調理場にやってきた篤蔵は、天皇の料理番として、被災した人々の為に何が出来るかを模索する。一方、篤蔵の自宅も火事に見舞われていた。逃げ遅れた俊子に火の手が迫る。そして・・・佐藤健　黒木華　柄本佑　高岡早紀　森岡龍　瀬戸利樹　石橋杏奈　片山享　木場勝己　天野義久　林泰文　森田哲矢　東口宜隆　日野陽仁　大島さと子　美保純　杉本哲太　小林薫主題歌　「夢見る人」さだまさし（ユーキャン）  音楽　羽毛田丈史　やまだ豊脚本：森下佳子　プロデュース：石丸彰彦　演出：山室大輔  時代考証：山田順子　料理監修：脇雅世　料理指導：佐藤月彦　医療指導：池添祐大　大膳監修：高橋恒雄（元宮内庁大膳課主厨長）番組HP日々更新中◇番組HP  http://www.tbs.co.jp/tenno_no_ryoriban/  ◇facebook  https://www.facebook.com/ryoribantbs  ◇twitter  @ryoriban_tbs   https://twitter.com/ryoriban_tbs  ◇YouTube公式チャンネル  https://www.youtube.com/channel/UC0kuMBAHW-xDQ9pS3DVhnNg  第10話 6/28『日曜劇場 天皇の料理番』第10話 予告動画公開しました！  https://youtu.be/zBucBJQ8B04  番組の内容と放送時間は変更になる可能性があります。</t>
  </si>
  <si>
    <t>1501_TBS_月20</t>
  </si>
  <si>
    <t>警部補・杉山真太郎</t>
  </si>
  <si>
    <t>番組名月曜ミステリーシアター「警部補・杉山真太郎～吉祥寺署事件ファイル」　第1話</t>
  </si>
  <si>
    <t>警視庁吉祥寺署の刑事・杉山真太郎（谷原章介）。かつて敏腕刑事だった男。しかし、妻の看病と3人の子供の世話のため、刑事としての一線は後輩の永峰（要潤）らに譲りつつあった。新任の署長は、そんな吉祥寺署の捜査体制強化のため、警視庁からエリート捜査官を招く。その矢先、捜査中の殺人犯を杉山と永峰が捕り逃がしてしまう。大騒動の中、杉山の携帯電話には、長女・美晴（本田望結）から妻の急変を告げる着信が…。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青柳芳江…高橋惠子【ゲスト】  苫米地拓…袴田吉彦  沼田孝太郎…梨本謙次郎  谷崎文二…矢柴俊博  江田幸司…佐伯新  中島美佐子…宮崎香蓮  杉山香織…酒井美紀【主題歌】  『Sing it Loud』  GENERATIONS from EXILE TRIBE  脚本：もろさわ和幸  音楽：沢田完  監督：伊藤寿浩  編成：橋本孝・永山由紀子  プロデューサー：河瀬光製作：東映・TBSテレビ  【警部補・杉山真太郎　公式ホームページはコチラ】  ◇番組HP http://www.tbs.co.jp/keibuho2015/  ☆スペシャル動画・インタビュー公開中！☆【警部補・杉山真太郎　公式Twitterアカウントはコチラ】  @keibuhoshintaro  https://twitter.com/keibuhoshintaro  ☆撮影現場から最新情報を発信中☆敏腕刑事は3児の父!! 『警部補・杉山真太郎～吉祥寺署事件ファイル』1/12（月・祝）スタート　動画公開しました！  http://youtu.be/6KAiwdbzneA  2分でわかる! 『警部補・杉山真太郎～吉祥寺署事件ファイル』敏腕刑事は3児の父!! 動画公開しました！  http://youtu.be/R1Uz8REdCJ8  番組の内容と放送時間は変更になる場合があります。</t>
  </si>
  <si>
    <t>番組名月曜ミステリーシアター「警部補・杉山真太郎～吉祥寺署事件ファイル」　第2話</t>
  </si>
  <si>
    <t>妻を失い、刑事退職を決意した杉山真太郎（谷原章介）。しかし、子供のために並んで手に入れた大人気オモチャを盗まれ、しかも犯人の少年が死体で見つかったことから、図らずも捜査に巻き込まれる。杉山の“復帰”を歓迎する相棒の永峰（要潤）ら。一方、美晴（本田望結）や芳江（高橋惠子）ら家族は、杉山の転職活動が疎かになっていることをたしなめる。そんな矢先、盗まれたオモチャがネット上で転売されていることが判明し…。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青柳芳江…高橋惠子【ゲスト】  長山直樹…高杉真宙  山野辺健太…平岡拓真  駒木根隆介  仁科貴  吉沢梨絵  エド・はるみ【主題歌】  『Sing it Loud』  GENERATIONS from EXILE TRIBE  脚本：もろさわ和幸  音楽：沢田完  監督：竹園元  編成：橋本孝・永山由紀子  プロデューサー：河瀬光製作：東映・TBSテレビ【警部補・杉山真太郎　公式ホームページはコチラ】  ◇番組HP http://www.tbs.co.jp/keibuho2015/  ☆スペシャル動画・インタビュー公開中！☆【警部補・杉山真太郎　公式Twitterアカウントはコチラ】  @keibuhoshintaro  https://twitter.com/keibuhoshintaro  ☆撮影現場から最新情報を発信中☆息子に買ったおもちゃを発端に事件の捜査に加わるが…#2『警部補・杉山真太郎～吉祥寺署事件ファイル』動画公開しました！  http://youtu.be/jLQkInUrwr0  番組の内容と放送時間は変更になる場合があります。</t>
  </si>
  <si>
    <t>番組名月曜ミステリーシアター「警部補・杉山真太郎～吉祥寺署事件ファイル」　第3話</t>
  </si>
  <si>
    <t>職場復帰を考え始めた杉山（谷原章介）は家政婦を雇う。晴子（青山倫子）というその家政婦は、料理が上手く保育士の資格も持ち、しかも料金はお手頃とうってつけだった。同じ頃、杉山が十年前に逮捕した連続放火犯・矢吹（平岳大）が出所し、杉山の前に現れる。以後、杉山の身辺で放火事件が続発、その手口は十年前の事件と酷似していた…。ようやく軌道に乗り出した杉山家を、再び激震が襲う！杉山は刑事に復帰できるのか！？杉山真太郎…谷原章介  永峰有…要潤  杉山美晴…本田望結  村田健一…石黒英雄  新垣進也…久保田悠来  澤みどり…永池南津子  　○  鎌本義夫…榎木孝明  　○  真由美…小松春佳  杉山海人…須田瑛斗  杉山岳…松浦理仁  香川桜子…片瀬那奈  岡崎克彦…佐野史郎  青柳芳江…高橋惠子    【ゲスト】  中島晴子…青山倫子  矢吹武雄…平岳大【主題歌】  『Sing it Loud』  GENERATIONS from EXILE TRIBE  脚本：もろさわ和幸  音楽：沢田完  監督：竹園元  編成：橋本孝・永山由紀子  プロデューサー：河瀬光製作：東映・TBSテレビ  【警部補・杉山真太郎　公式ホームページはコチラ】  http://www.tbs.co.jp/keibuho2015/  ☆要潤さんインタビュー更新！スペシャル動画も公開中☆【警部補・杉山真太郎　公式Twitterアカウントはコチラ】  @keibuhoshintaro  ☆撮影現場から最新情報を発信中☆【巡査長・新垣進也　鑑識係新垣の公式Twitterアカウントはコチラ】  @AragakiKanshiki  ■黒縁メガネのあの男も発信中！枝豆並べます■※今週は視聴者プレゼント告知があります。元放火犯の復讐劇!? #3『警部補・杉山真太郎～吉祥寺署事件ファイル』 1/26（月）予告動画公開しました！【TBS】http://youtu.be/CqepJRj2q7Y「子どもの成長は素晴らしい!」谷原章介胸打たれる! 限定企画#2『警部補・杉 山真太郎～吉祥寺署事件ファイル』動画公開しました！【TBS】http://youtu.be/tOZVGJ3PY-I番組の内容と放送時間は変更になる場合があります。</t>
  </si>
  <si>
    <t>番組名月曜ミステリーシアター「警部補・杉山真太郎～吉祥寺署事件ファイル」　第4話</t>
  </si>
  <si>
    <t>介護施設で老人が転落死した。事件の可能性を捜査しに来る杉山（谷原章介）。その施設には、亡き妻にそっくりなまひる（酒井美紀）という職員がいた！思わずまひるに懐いてしまう長男の海人と、海人の無邪気さが許せない姉の美晴。杉山は板挟みになる。同じ頃、5年前に吉祥寺で起きた時効寸前の誘拐事件が、本庁の注目を集める。その事件は被害者の少年の狂言と思われていたが、転落死した老人が誘拐犯だった可能性が浮上する…。杉山真太郎…谷原章介  永峰有…要潤  杉山美晴…本田望結  村田健一…石黒英雄  新垣進也…久保田悠来  澤みどり…永池南津子  　○  鎌本義夫…榎木孝明  　○  真由美…小松春佳  杉山海人…須田瑛斗  杉山岳…松浦理仁  香川桜子…片瀬那奈  岡崎克彦…佐野史郎  青柳芳江…高橋惠子    【ゲスト】  酒井美紀  はしのえみ  竜跳  久保酎吉  水木薫【主題歌】  『Sing it Loud』  GENERATIONS from EXILE TRIBE脚本：桑村さや香  音楽：沢田完  監督：伊藤寿浩  編成：橋本孝・永山由紀子  プロデューサー：河瀬光【警部補・杉山真太郎　公式ホームページはコチラ】  ◇番組HP http://www.tbs.co.jp/keibuho2015/  ☆スペシャル動画・インタビュー公開中！☆【警部補・杉山真太郎　公式Twitterアカウントはコチラ】  @keibuhoshintaro  https://twitter.com/keibuhoshintaro  ☆撮影現場から最新情報を発信中☆【巡査長・新垣進也　鑑識係新垣の公式Twitterアカウントはコチラ】  @AragakiKanshiki  https://twitter.com/aragakikanshiki  ■黒縁メガネのあの男も発信中！枝豆並べます■乗り越えたはずの悲しみが再び杉山家を襲う #4『警部補・杉山真太郎～吉祥寺署事件ファイル』2/2（月）予告動画公開しました！  http://youtu.be/rAwK0DM8OtA  製作：東映・TBSテレビ  番組の内容と放送時間は変更になる場合があります。</t>
  </si>
  <si>
    <t>番組名月曜ミステリーシアター「警部補・杉山真太郎～吉祥寺署事件ファイル」　第5話</t>
  </si>
  <si>
    <t>['#5', '#5']</t>
  </si>
  <si>
    <t>現金輸送車を襲撃し、警官を暴行した男が指名手配された。彼との間に一子を儲けた女・エリカ（福田沙紀）が吉祥寺に住んでいることが判明し、杉山（谷原章介）達はエリカの張込み捜査に当たる。しかし、尾行中の永峰（要潤）の目の前でエリカの赤ん坊に危機が…！とっさに思いがけない行動に出てしまう永峰に、深入りしすぎと頭を抱える杉山。さらにエリカのパトロンである社長が現れて…。どうなる永峰、そして手配犯の行方は！？杉山真太郎…谷原章介  永峰有…要潤  杉山美晴…本田望結  村田健一…石黒英雄  新垣進也…久保田悠来  澤みどり…永池南津子  　○  鎌本義夫…榎木孝明  　○  真由美…小松春佳  杉山海人…須田瑛斗  杉山岳…松浦理仁  香川桜子…片瀬那奈  岡崎克彦…佐野史郎  青柳芳江…高橋惠子    【ゲスト】  福田沙紀  比留間由哲  米村亮太朗【主題歌】  『Sing it Loud』  GENERATIONS from EXILE TRIBE脚本：もろさわ和幸  音楽：沢田完  監督：伊藤寿浩  編成：橋本孝・永山由紀子  プロデューサー：河瀬光【警部補・杉山真太郎　公式ホームページはコチラ】  ◇番組HP http://www.tbs.co.jp/keibuho2015/  ☆スペシャル動画・インタビュー公開中！☆【警部補・杉山真太郎　公式Twitterアカウントはコチラ】  @keibuhoshintaro  https://twitter.com/keibuhoshintaro  ☆撮影現場から最新情報を発信中☆【巡査長・新垣進也　鑑識係新垣の公式Twitterアカウントはコチラ】  @AragakiKanshiki  https://twitter.com/aragakikanshiki  ■黒縁メガネのあの男も発信中！今週は飲み会♪■強盗犯の恋人の家を張り込みを始めるが・・・ #5『警部補・杉山真太郎～吉祥 寺署事件ファイル』2/9（月）予告動画公開しました！【TBS】http://youtu.be/fX2-xVSuo20要潤登場! 名コンビでみどころトーク! 限定企画#5 『警部補・杉山真太郎～吉 祥寺署事件ファイル』動画公開しました！　月曜20時【TBS】http://youtu.be/2m4FVwXwlRs製作：東映・TBSテレビ番組の内容と放送時間は変更になる場合があります。</t>
  </si>
  <si>
    <t>番組名月曜ミステリーシアター「警部補・杉山真太郎～吉祥寺署事件ファイル」　第6話</t>
  </si>
  <si>
    <t>['#6', '#6']</t>
  </si>
  <si>
    <t>一か月前、吉祥寺で代議士・江本が刺殺された。杉山（谷原章介）らの懸命の捜査も空しく、いまだ犯人は不明。そんなある朝、杉山の子供達と仲の良い老人・健造が、美晴（本田望結）の前でひき逃げに遭ってしまう。美晴は絶対に犯人を捕まえてと父に訴える。その結果、永峰（要潤）がひき逃げ事件を担当することになり、美晴は放課後、休日と永峰の捜査について回る。大人達は美晴を止めようとするが、美晴は新たな証拠を見つける。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    【ゲスト】  冨士眞奈美  中山仁  中村靖日  茅島成美【主題歌】  『Sing it Loud』  GENERATIONS from EXILE TRIBE  脚本：もろさわ和幸  音楽：沢田完  監督：竹園元  編成：橋本孝・永山由紀子  プロデューサー：河瀬光製作：東映・TBSテレビ【警部補・杉山真太郎　公式ホームページはコチラ】  ◇番組HP http://www.tbs.co.jp/keibuho2015/  ☆スペシャル動画・インタビュー公開中！☆【警部補・杉山真太郎　公式Twitterアカウントはコチラ】  @keibuhoshintaro  https://twitter.com/keibuhoshintaro  ☆撮影現場から最新情報を発信中☆【巡査長・新垣進也　鑑識係新垣の公式Twitterアカウントはコチラ】  @AragakiKanshiki  https://twitter.com/aragakikanshiki  ■黒縁メガネのあの男も発信中！枝豆並べます■二つの事件を親子で捜査!?… #6『警部補・杉山真太郎～吉祥寺署事件ファイル』 2/16（月）予告動画公開しました！【TBS】http://youtu.be/3TPxtUjqu5U本田望結登場! 親子で語る来週みどころは!? 限定企画#6 『警部補・杉山真太 郎～吉祥寺署事件ファイル』月曜20時【TBS】http://youtu.be/Cz1EMQW6KV0番組の内容と放送時間は変更になる場合があります。</t>
  </si>
  <si>
    <t>番組名月曜ミステリーシアター「警部補・杉山真太郎～吉祥寺署事件ファイル」　第7話</t>
  </si>
  <si>
    <t>['#7', '#7']</t>
  </si>
  <si>
    <t>吉祥寺署管内で若い男が銃殺される事件が発生。犯人の目撃者は杉山（谷原章介）の末っ子の同級生・うららだった。杉山はうららから何とか証言を取ろうとするが、うららの母親は何かを隠している様子。そんな折、杉山の旧知の看護師から、病院内で血の付いた札束が見つかったと連絡が入る。札束は、意識不明で入院した女性・紗枝の枕元に置かれていた。杉山は紗枝の病室で、意外にもうららのマフラーを見つける。両者の接点とは！？杉山真太郎…谷原章介  永峰有…要潤  杉山美晴…本田望結  村田健一…石黒英雄  新垣進也…久保田悠来  澤みどり…永池南津子  　○  鎌本義夫…榎木孝明  　○  真由美…小松春佳  杉山海人…須田瑛斗  杉山岳…松浦理仁  香川桜子…片瀬那奈  岡崎克彦…佐野史郎  青柳芳江…高橋惠子    【ゲスト】  大和田健介  古村比呂  小林涼子  長田成哉  丸高愛実  山本龍二【主題歌】  『Sing it Loud』  GENERATIONS from EXILE TRIBE  脚本：桑村さや香  音楽：沢田完  監督：竹園元  編成：橋本孝・永山由紀子  プロデューサー：河瀬光製作：東映・TBSテレビ  【警部補・杉山真太郎　公式ホームページはコチラ】  ◇番組HP http://www.tbs.co.jp/keibuho2015/  ☆スペシャル動画・インタビュー公開中！☆【警部補・杉山真太郎　公式Twitterアカウントはコチラ】  @keibuhoshintaro  https://twitter.com/keibuhoshintaro  ☆撮影現場から最新情報を発信中☆【巡査長・新垣進也　鑑識係新垣の公式Twitterアカウントはコチラ】  @AragakiKanshiki  https://twitter.com/aragakikanshiki  ■黒縁メガネのあの男も発信中！枝豆並べます■子どもの捜索を手伝う杉山 銃殺死体に遭遇し… #7『警部補・杉山真太郎～吉祥 寺署事件ファイル』2/23（月）【TBS】http://youtu.be/tJtUfbIzVa8  撮影合間にチュッチュ!? 家族勢揃いで爆笑裏話!! 限定企画#7 『警部補・杉山 真太郎～吉祥寺署事件ファイル』月曜20時【TBS】http://youtu.be/Tn3ehxm92qA  番組の内容と放送時間は変更になる場合があります。</t>
  </si>
  <si>
    <t>番組名月曜ミステリーシアター「警部補・杉山真太郎～吉祥寺署事件ファイル」　第8話</t>
  </si>
  <si>
    <t>['#8', '#8']</t>
  </si>
  <si>
    <t>爆弾を持った女（あめくみちこ）が吉祥寺署に立てこもった！刑事達と事情聴取中の男女が人質に。立てこもり犯の要求は、風俗嬢殺しの犯人・早乙女耕介（忍成修吾）の釈放。そして、耕介を逮捕した杉山（谷原章介）を出せと要求するが、折しも杉山は、自殺を図った耕介の元を訪れていて不在。永峰（要潤）の決死の脱出で情報が外部に伝わり、吉祥寺署はSITが取り囲む厳戒態勢に。刑事達の命運は…そして犯人の隠された動機とは？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    【ゲスト】  あめくみちこ  忍成修吾  入来茉里  夙川アトム  伊礼彼方  小宮有紗【主題歌】  『Sing it Loud』  GENERATIONS from EXILE TRIBE  脚本：もろさわ和幸  音楽：沢田完  監督：伊藤寿浩  編成：橋本孝・永山由紀子  プロデューサー：河瀬光製作：東映・TBSテレビ【警部補・杉山真太郎　公式ホームページはコチラ】  ◇番組HP http://www.tbs.co.jp/keibuho2015/  ☆スペシャル動画・インタビュー公開中！☆【警部補・杉山真太郎　公式Twitterアカウントはコチラ】  @keibuhoshintaro  https://twitter.com/keibuhoshintaro  ☆撮影現場から最新情報を発信中☆【巡査長・新垣進也　鑑識係新垣の公式Twitterアカウントはコチラ】  @AragakiKanshiki  https://twitter.com/aragakikanshiki  ■黒縁メガネのあの男も発信中！声、小さいですか？■息子の釈放求めた母親が立てこもる…#8『警部補・杉山真太郎～吉祥寺署事件 ファイル』3/2（月）予告動画公開しました！【TBS】http://youtu.be/uR0aBE3NjUg久保田悠来登場! 「新垣」役の秘話! 限定企画#8 『警部補・杉山真太郎～吉祥 寺署事件ファイル』月曜20時　動画公開しました！【TBS】http://youtu.be/VjuOeZ4ApfM  番組の内容と放送時間は変更になる場合があります。</t>
  </si>
  <si>
    <t>番組名月曜ミステリーシアター「警部補・杉山真太郎～吉祥寺署事件ファイル」　第9話</t>
  </si>
  <si>
    <t>吉祥寺署の精算日。皆が経費を入力していると…突如パソコンがシャットダウン！警察がサイバー攻撃されたのだ！同日、管内で殺人事件が発生。杉山はこの日が娘の誕生日、「残業しない」宣言をしていたが、課長の懇願でやむなく現場に…。家では父親不在の誕生日パーティーとなり、当然美晴はおかんむり。そんな美晴の誕生日を、学校で祝ってくれた同級生・遥香。彼女の家庭には複雑な事情があった…少女が2つの事件の鍵を握る！？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    【ゲスト】  窪塚俊介  渋谷飛鳥  舞優  荻野友里【主題歌】  『Sing it Loud』  GENERATIONS from EXILE TRIBE  脚本：徳永友一  音楽：沢田完  監督：伊藤寿浩  編成：橋本孝・永山由紀子  プロデューサー：河瀬光製作：東映・TBSテレビ  【警部補・杉山真太郎　公式ホームページはコチラ】  ◇番組HP http://www.tbs.co.jp/keibuho2015/  ☆今週の新着SP動画は杉山警部補＆村田巡査☆【警部補・杉山真太郎　公式Twitterアカウントはコチラ】  @keibuhoshintaro  https://twitter.com/keibuhoshintaro  ☆撮影現場から最新情報を発信中☆【巡査長・新垣進也　鑑識係新垣の公式Twitterアカウントはコチラ】  @AragakiKanshiki  https://twitter.com/aragakikanshiki  ■黒縁メガネのあの男も発信中！ますます枝豆並べます■石黒英雄登場! 8話ラストでまさかのハプニング!? 限定企画#9 動画公開しました！  http://youtu.be/W7cS8RnyuZw  愛娘の誕生日に次々と事件が巻き起こる! 動画公開しました！  http://youtu.be/A2J67Cnyv3Y  番組の内容と放送時間は変更になる場合があります。</t>
  </si>
  <si>
    <t>番組名月曜ミステリーシアター「警部補・杉山真太郎～吉祥寺署事件ファイル」　第10話</t>
  </si>
  <si>
    <t>['#10', '#10']</t>
  </si>
  <si>
    <t>吉祥寺署管内でホステス殺人事件が発生。杉山が現場に急行すると、なぜか女刑事・桜子の姿がない。実は署長の強い希望で、本庁のエリートと見合い中だったのだ。その見合いの席で、桜子は、警官になる前にヤンチャしていた頃の先輩・古賀とばったり再会してしまう。劇的な再会に距離を縮めていく二人。しかし、殺人事件と、ホステスを狙った連続窃盗事件のつながりが判明し、捜査線上に古賀が浮上する。苦悩する桜子の決断とは！？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    【ゲスト】  前川泰之  野間口徹【主題歌】  『Sing it Loud』  GENERATIONS from EXILE TRIBE  脚本：児玉頼子  脚本協力：もろさわ和幸  音楽：沢田完  監督：竹園元  編成：橋本孝・永山由紀子  プロデューサー：河瀬光製作：東映・TBSテレビ  【警部補・杉山真太郎　公式ホームページはコチラ】  ◇番組HP http://www.tbs.co.jp/keibuho2015/  ☆新着SP動画は杉山警部補＆今回の主役・桜子巡査部長☆【警部補・杉山真太郎　公式Twitterアカウントはコチラ】  @keibuhoshintaro  https://twitter.com/keibuhoshintaro  ☆撮影のエピソードなど、最新情報を発信中☆【巡査長・新垣進也　鑑識係新垣の公式Twitterアカウントはコチラ】  @AragakiKanshiki  https://twitter.com/aragakikanshiki  ■黒縁メガネのあの男も発信中！枝豆新境地！！■※今回は視聴者プレゼント告知があります。お見逃しなく！武闘派女刑事の恋人は容疑者!? #10『警部補・杉山真太郎～吉祥寺署事件ファイル』3/16（月）予告動画公開しました！【TBS】  http://youtu.be/_lLWFsGVbCA  片瀬那奈登場!「すっごい頑張ったんです!」 限定企画#10 『警部補・杉山真太郎～吉祥寺署事件ファイル』動画公開しました！月曜20時  http://youtu.be/YdaOK6tdChY  番組の内容と放送時間は変更になる場合があります。</t>
  </si>
  <si>
    <t>番組名月曜ミステリーシアター「警部補・杉山真太郎～吉祥寺署事件ファイル」最終話</t>
  </si>
  <si>
    <t>村田刑事（石黒英雄）の先輩警官が、黒ずくめの男に撲殺され、拳銃を奪われた。体調に不安を感じながらも、捜査に全力を注ぎたい杉山（谷原章介）。しかし義母・芳江（高橋惠子）の強い説得により、杉山は篠原医師（山本圭）の病院で検診を受けることに。杉山不在の中、先走って単独捜査に及んでしまう村田ーー彼もまた黒ずくめの男に銃撃され、意識不明となってしまう。再び杉山家に大波乱が巻き起こる…警部補杉山、最後の事件！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    【ゲスト】  山本圭  清水紘治  矢柴俊博  土屋裕一  今野浩喜（キングオブコメディ）  吉永秀平  月船さらら【主題歌】  『Sing it Loud』  GENERATIONS from EXILE TRIBE脚本：もろさわ和幸  音楽：沢田完  監督：竹園元  編成：橋本孝・永山由紀子  プロデューサー：河瀬光製作：東映・TBSテレビ【警部補・杉山真太郎　公式ホームページはコチラ】  ◇番組HP http://www.tbs.co.jp/keibuho2015/  ☆最終回のキーパーソン・高橋惠子さんがSP動画に登場！☆【警部補・杉山真太郎　公式Twitterアカウントはコチラ】  @keibuhoshintaro  ☆撮影のエピソードなど、最新情報を発信中☆【巡査長・新垣進也　鑑識係新垣の公式Twitterアカウントはコチラ】  @AragakiKanshiki  ■黒縁メガネのあの男も発信中！最後の飲み会…■警察官襲撃事件発生! 刑事・杉山 最後の事件へ…最終話『警部補・杉山真太郎～吉祥寺署事件ファイル』3/23（月）予告　動画公開しました！  https://youtu.be/CRVLPpE0bEk  高橋惠子登場!「やっぱりステキ!」 限定企画　#11 『警部補・杉山真太郎～吉祥寺署事件ファイル』月曜20時　動画公開しました！  https://youtu.be/lM94J4XPiZg  番組の内容と放送時間は変更になる場合があります。</t>
  </si>
  <si>
    <t>1501_TBS_火22</t>
  </si>
  <si>
    <t>まっしろ</t>
  </si>
  <si>
    <t>番組名火曜ドラマ「まっしろ」第1話</t>
  </si>
  <si>
    <t>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  【ゲスト】  北松敬三…鹿賀丈史(特別出演)  　○　  北松亮太…渡辺　大  野々村ひろみ…福田彩乃  春日誠吾…細田善彦脚本　井上由美子  演出　今井夏木　坪井敏雄　伊藤雄介  　　　　加藤新  プロデュース　植田博樹　東仲恵吾◇番組HP  http://www.tbs.co.jp/masshiro2015/  ◇ツイッター  @masshiro_tbs  http://www.tbs.co.jp/masshiro2015/  番組の内容と放送時間は変更になる可能性があります。</t>
  </si>
  <si>
    <t>番組名火曜ドラマ「まっしろ」第2話　前代未聞の入院患者</t>
  </si>
  <si>
    <t>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東仲恵吾◇番組HP  http://www.tbs.co.jp/masshiro2015/  ◇ツイッター  @masshiro_tbs  http://www.tbs.co.jp/masshiro2015/  飢えた女たちから妬みの連鎖 #2『まっしろ』1/20（火）予告動画公開しました！  http://youtu.be/G8iviZY2j0M  番組の内容と放送時間は変更になる可能性があります。</t>
  </si>
  <si>
    <t>番組名火曜ドラマ「まっしろ」第3話　反乱の行方</t>
  </si>
  <si>
    <t>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東仲恵吾◇番組HP  http://www.tbs.co.jp/masshiro2015/  ◇ツイッター  @masshiro_tbs  http://www.tbs.co.jp/masshiro2015/  番組の内容と放送時間は変更になる可能性があります。</t>
  </si>
  <si>
    <t>番組名火曜ドラマ「まっしろ」第4話</t>
  </si>
  <si>
    <t>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東仲恵吾主題歌　miwa 「fighting-Φ-girls」◇番組HP  http://www.tbs.co.jp/masshiro2015/  ◇ツイッター  @masshiro_tbs  http://www.tbs.co.jp/masshiro2015/  非モテ女・朱里 サッカー選手との玉の輿婚!? 動画公開しました！  http://youtu.be/a6TljjZIn4c  番組の内容と放送時間は変更になる可能性があります。</t>
  </si>
  <si>
    <t>番組名火曜ドラマ「まっしろ」第5話</t>
  </si>
  <si>
    <t>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東仲恵吾主題歌　miwa 「fighting-Φ-girls」  ◇番組HP  http://www.tbs.co.jp/masshiro2015/  ◇ツイッター  @masshiro_tbs  http://www.tbs.co.jp/masshiro2015/  朱里が「後妻」に!? 75歳との結婚に揺れる想い #5 『まっしろ』2/10（火）予告動画公開しました！  http://youtu.be/rxc2J2Evhr0  番組の内容と放送時間は変更になる可能性があります。</t>
  </si>
  <si>
    <t>番組名火曜ドラマ「まっしろ」第6話　過去からの復讐</t>
  </si>
  <si>
    <t>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東仲恵吾主題歌　miwa 「fighting-Φ-girls」◇番組HP  http://www.tbs.co.jp/masshiro2015/  ◇ツイッター  @masshiro_tbs  http://www.tbs.co.jp/masshiro2015/  元カレの妻を看護!? 天使のプライド #6 『まっしろ』2/17（火）予告　動画公開しました！  http://youtu.be/vWGFMjwIvc8  番組の内容と放送時間は変更になる可能性があります。</t>
  </si>
  <si>
    <t>番組名火曜ドラマ「まっしろ」第7話　生と死の選択</t>
  </si>
  <si>
    <t>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プロデュース　植田博樹　東仲恵吾主題歌　miwa 「fighting-Φ-girls」◇番組HP  http://www.tbs.co.jp/masshiro2015/  ◇ツイッター  @masshiro_tbs  http://www.tbs.co.jp/masshiro2015/  師長が交代! 心が最後に語る想いとは・・・!?　#7 『まっしろ』2/24（火）予告動画公開しました！  http://youtu.be/MaHo7cBgq-4  番組の内容と放送時間は変更になる可能性があります。</t>
  </si>
  <si>
    <t>番組名火曜ドラマ「まっしろ」第8話　ナースの価値とは？</t>
  </si>
  <si>
    <t>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加藤新  プロデュース　植田博樹　東仲恵吾主題歌　miwa 「fighting-Φ-girls」◇番組HP  http://www.tbs.co.jp/masshiro2015/  ◇ツイッター  @masshiro_tbs  http://www.tbs.co.jp/masshiro2015/  番組の内容と放送時間は変更になる可能性があります。</t>
  </si>
  <si>
    <t>番組名火曜ドラマ「まっしろ」第9話　安楽死のリクエスト</t>
  </si>
  <si>
    <t>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坪井敏雄　  プロデュース　植田博樹　東仲恵吾主題歌　miwa 「fighting-Φ-girls」◇番組HP  http://www.tbs.co.jp/masshiro2015/  ◇ツイッター  @masshiro_tbs  http://www.tbs.co.jp/masshiro2015/  去りゆく患者に看護師ができること #9 『まっしろ』3/10（火）予告動画公開しました！　主演 堀北真希【TBS】  http://youtu.be/GIDHm5q6KnM番組の内容と放送時間は変更になる可能性があります。</t>
  </si>
  <si>
    <t>番組名火曜ドラマ「まっしろ」第10話</t>
  </si>
  <si>
    <t>僅かな可能性にかけて手術を受けた末期がん患者・大江。しかし、仲野教授は、ガンの予想以上の進行に手術を断念。余命僅かな大江が希望したこと。それは、東王病院にもう一度入院したいということだった。しかし、佐藤センター長は、勝手に転院した大江の受け入れを拒否。だが、朱里ら看護師たちの説得によって翻意。大江は再び東王病院に入院してきた。限られた時間を大江の為に尽くす看護師に、ある日、大江が無謀なお願いをする有村朱里…堀北真希  　 ○  仲野孝太郎…柳楽優弥  　 ○  松岡菜々…志田未来  和田木綿子…高梨　臨  　○　  羽野明日香…菜々緒  木元さくら…MEGUMI  川本慶子…竹内都子  保坂とし恵…西尾まり  　○　　  大江淳平…眞島秀和  　○　  仲野幸助…宅麻伸  　○  佐藤正隆…石黒賢  岩渕　恵…水野美紀  　○  田野島心…木村多江脚本　井上由美子  演出　今井夏木　  プロデュース　植田博樹　東仲恵吾主題歌　miwa 「fighting-Φ-girls」DVD　ブルレイBOXのプレゼント告知があります◇番組HP  http://www.tbs.co.jp/masshiro2015/  ◇ツイッター  @masshiro_tbs  http://www.tbs.co.jp/masshiro2015/  生きたい! 心の叫びに看護師・医師ができることは #10 『まっしろ』3/17（火）予告動画公開しました！　主演 堀北真希【TBS】  http://youtu.be/_i7k8I3317o  番組の内容と放送時間は変更になる可能性があります。</t>
  </si>
  <si>
    <t>1501_TBS_木21</t>
  </si>
  <si>
    <t>美しき罠</t>
  </si>
  <si>
    <t>番組名木曜ドラマ劇場「美しき罠～残花繚乱～」第1話【魅惑のラブサスペンス】</t>
  </si>
  <si>
    <t>主人公りかは34歳のOL。会社の常務・荘太と恋愛関係にあるが、実らぬ恋にピリオドを打たなければ幸せにはなれないと感じ始めていた。そんな中、雨の日に偶然出会った男性・圭一に微かな好意を抱く。その矢先、荘太の妻の美津子から自宅に招かれる。荘太から「断ったら疑われる」と説得され渋々訪れると、なんとそこには圭一の姿が。実は巧みに仕組まれた罠だったのだ。りかは美津子の敵意を察知するが、時すでに遅しだった…。全ての始まりは、一年前のパーティーだった。りかが勤める会社の社長令嬢であり荘太の妻である美津子は、一年前の会社のパーティーで、夫とりかの関係に気づいていたのだ…。西田りか…田中麗奈（独身OL）  柏木美津子…若村麻由美（セレブ主婦）  落合圭一…青柳翔＝劇団EXILE（独身会社経営者）  桐谷麻紀…三浦理恵子（りかの友人）  滝本泉…高橋かおり（りかの友人）  江崎龍子…池畑慎之介（書道家）  柏木荘太…村上弘明（大手企業常務）柏木美羽…吉田里琴（美津子の娘）  寺内昭彦…清水紘治（美津子の父）  寺内巧巳…丸山智己（美津子の弟）  田代江美…三倉佳奈（美容クリニック医師）『恋詩』安田レイ（SMEレコーズ）  いきものがかり『恋詩』のカバー曲脚本…浅野妙子  演出…光野道夫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共同テレビ・TBS  ［新番組速報］1/8（木）スタート『美しき罠～残花繚乱～』初スポット! 演技派達が演じる大人のキケンな恋愛劇　動画公開しました！  http://youtu.be/v7tza8v6ubM  1/8（木）スタート『美しき罠～残花繚乱～』「初映像」公開! 大人のキケンな恋愛劇  http://youtu.be/czgjD5LRyaE  ［新番組］2分でわかる『美しき罠～残花繚乱～』1/8（木）スタート! 大人のキ ケンな恋愛劇【TBS】http://youtu.be/cMtM5pRAMZg  番組の内容と放送時間は変更になる場合があります。</t>
  </si>
  <si>
    <t>番組名木曜ドラマ劇場「美しき罠～残花繚乱～」第2話【妻への逆襲】</t>
  </si>
  <si>
    <t>りかは圭一と運命の出逢いをしたと思っていたが、実は美津子によって巧みに仕組まれた罠だった。しかも、圭一と美津子は恋人関係にあると察知したりかは、思わず挑発に乗ってしまい、圭一と結婚を前提に付き合うことを宣言する。悪女へと変身し圭一を誘惑しようと試みるが、美津子はさらなる罠をりかに仕掛けてくるのだった。しかも、圭一は心優しい男性だと知り、りかの心は揺れていく…。りかが圭一と付き合うことは、美津子の想定外だった。りかの反撃に怒りを覚えた美津子は、決定打を食らわそうと次の手を考え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  柏木美羽…吉田里琴（美津子の娘）  田代江美…三倉佳奈（美容クリニック医師）  西田良介…犬飼貴丈『恋詩』安田レイ（SMEレコーズ）  いきものがかり『恋詩』のカバー曲脚本…浅野妙子  演出…光野道夫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共同テレビ・TBS妻が仕掛けた罠…愛を巡って女たちの闘いが始まる #1ダイジェスト『美しき罠～ 残花繚乱～』木曜21時【TBS】動画公開しました！  http://youtu.be/tjD_yfHMx3U  番組の内容と放送時間は変更になる場合があります。</t>
  </si>
  <si>
    <t>番組名木曜ドラマ劇場「美しき罠～残花繚乱～」第3話【第三の女】</t>
  </si>
  <si>
    <t>妻の逆襲に打ちひしがれたりかは、この闘いから撤退することを決意する。ところが圭一が積極的にアプローチしてきて、強引な誘いを断れない。二人が順調なことを知った美津子は怒りが再燃し、クリスマスパーティでりかをチクチクと苛める。そんな中、徐々に圭一に心が傾いていくりかだが、圭一は一方でりかの友人の麻紀と繋がっていくのだった…。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    柏木美羽…吉田里琴（美津子の娘）  寺内巧巳…丸山智己（美津子の弟）田代江美…三倉佳奈（美容クリニック医師）  吉岡…飯田基祐（荘太の部下）  神埼…山田明郷（荘太のビジネス相手）  西田良介…犬飼貴丈『恋詩』安田レイ（SMEレコーズ）  いきものがかり『恋詩』のカバー曲脚本…浅野妙子  演出…岩田和行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共同テレビ・TBS戦う女に変わろうとするりかに、妻の次なる罠が…#2 ダイジェスト『美しき罠～ 残花繚乱～』木曜21時【TBS】http://youtu.be/9za2SKg3bes番組の内容と放送時間は変更になる場合があります。</t>
  </si>
  <si>
    <t>番組名木曜ドラマ劇場「美しき罠～残花繚乱～」第4話【婚約が招く嵐】</t>
  </si>
  <si>
    <t>りかに圭一は正式にプロポーズをする。りかは周囲から背中を押され、結婚を決意する。ところが婚約後に圭一は、柏木夫妻に仲人を依頼すると言い出した。頑なに断ると、荘太との関係を疑われると思ったりかは、渋々承諾。二人で柏木家を訪れると、美津子の敵意溢れる視線が待ち受けていた。緊迫した空気が4人に漂い始め…。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演出…岩田和行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罠から始まった恋…妻の心に再び怒りの炎と「第三の女」… #3『美しき罠～残花繚乱～』1/22（木）ダイジェスト動画公開しました！  http://youtu.be/UWqNG42fa_I  共同テレビ・TBS  番組の内容と放送時間は変更になる場合があります。</t>
  </si>
  <si>
    <t>番組名木曜ドラマ劇場「美しき罠～残花繚乱～」第5話【呪われた結婚式】</t>
  </si>
  <si>
    <t>りかと圭一は身体が結ばれないまま結婚式へと進んでいく。美津子への未練を捨てきれない圭一は、結婚式前日に美津子を訪れ、思いの丈をぶつける。結婚式当日、美津子は新婦控室を訪れ、ウエディングドレス姿のりかに向かって、恐ろしい呪いの言葉を投げつける。麻紀もまた、圭一との関係を式の真っ只中でバラそうと企んでいた…。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演出…光野道夫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共同テレビ・TBS  婚約が招く嵐…仲人を受けた妻の怒り #4『美しき罠～残花繚乱～』1/29（木）ダ イジェスト動画公開しました！  【TBS】http://youtu.be/RnbSGUdwehw  番組の内容と放送時間は変更になる場合があります。</t>
  </si>
  <si>
    <t>番組名木曜ドラマ劇場「美しき罠～残花繚乱～」第6話【第二幕開始・浮気発覚！】</t>
  </si>
  <si>
    <t>新婚直後に夫・圭一の浮気が発覚。相手は友人の麻紀だと知り、りかは傷つく。麻紀は美津子とも繋がり、二人が上手くいっていないことを伝えけしかける。美津子の闘志が再燃し、次なる罠を仕掛けようと企む。一方で、りかのもう一人の友人・泉は、野心のために柏木荘太に近づいていく…。第四の女が絡んできて、さらに複雑化する第二幕が始ま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いきものがかり『恋詩』のカバー曲脚本…泉澤陽子  演出…村上正典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今からでも絶対わかる! 木曜21時『美しき罠～残花繚乱～』「前半」まとめ #1～#5ダイジェスト動画公開しました！  http://youtu.be/4JReRNIAGO4  嫉妬妻の「怪演」が話題! 若村麻由美 名場面28選 動画公開しました！  http://youtu.be/OrWgYi2fP9k  共同テレビ・TBS  番組の内容と放送時間は変更になる場合があります。</t>
  </si>
  <si>
    <t>番組名木曜ドラマ劇場「美しき罠～残花繚乱～」第7話【遂に一騎打ち！】</t>
  </si>
  <si>
    <t>美津子の夫の新たな浮気が発覚。しかもその相手は、りかの友人の泉だと知り、美津子のりかへの怒りが頂点に達する。同時に、美津子の高校生の娘は、父親とりかが不倫関係にあった事実を知る。りかはようやく圭一と幸せな家庭を作り始めていたところ、美津子から家に呼び出される。美津子は本音を全てさらけ出し、壮絶なバトルが繰り広げられ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演出…岩田和行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共同テレビ・TBS  「結婚は地獄」欲張り妻の報復再開・第二章 2/12（木） 『美しき罠～残花繚 乱～』#6ダイジェスト動画公開しました！【TBS】http://youtu.be/ScO_JvZVIUY  番組の内容と放送時間は変更になる場合があります。</t>
  </si>
  <si>
    <t>番組名木曜ドラマ劇場「美しき罠～残花繚乱～」第8話【夫の突然の裏切り】</t>
  </si>
  <si>
    <t>りかと荘太の過去の不倫関係を知った圭一は家を出て、二人は別居する。一方、荘太は遂に会社乗っ取りに動き出す。寝耳に水だった美津子は、まさかの夫の裏切りに驚愕動転する。さらには、圭一の知られざる過去が徐々に明らかになってく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演出…光野道夫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怒りと涙の一騎打ち 全てが暴かれる・・・#7 『美しき罠～残花繚乱～』 2/19（木）ダイジェスト動画公開しました！  http://youtu.be/FZW8_s0zRDw  共同テレビ・TBS  番組の内容と放送時間は変更になる場合があります。</t>
  </si>
  <si>
    <t>番組名木曜ドラマ劇場「美しき罠～残花繚乱～」第9話【最後の秘密が発覚！】</t>
  </si>
  <si>
    <t>りかと圭一の離婚危機に追い打ちをかけるように、美津子はりかに「自分と圭一は深い仲だった」と告白する。激しく動揺したりかは家を出て実家へ帰る。傷心のりかを、更なる衝撃的な新事実が襲う。・・・それを知ったりかは、美津子と荘太への反撃を決意す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演出…村上正典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共同テレビ・TBS帰らない夫…愛を失った女は鬼になる! #8 『美しき罠～残花繚乱～』 2/26（木）ダイジェスト動画公開しました！【TBS】  http://youtu.be/ZoYUuIguFZ8  番組の内容と放送時間は変更になる場合があります。</t>
  </si>
  <si>
    <t>番組名木曜ドラマ劇場「美しき罠～残花繚乱～」最終話【本音バトル】</t>
  </si>
  <si>
    <t>美津子の荘太への不満はピークに達していた。りかと圭一もまた、荘太への怒りが頂点に達している。そこで、りか・美津子・荘太・圭一の4人は、柏木家に集い、それぞれの心の中に溜まった膿を全て出そうと、隠し持っていた本音をぶつけ合う。圭一と荘太の確執・美津子と圭一の関係・りかと荘太の関係、など隠されていた謎が全て明らかにな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  柏木美羽…吉田里琴（美津子の娘）  寺内巧巳…丸山智己（美津子の弟）田代江美…三倉佳奈（美容クリニック医師）  吉岡…飯田基祐（荘太の部下）  神埼…山田明郷（荘太のビジネス相手）  西田良介…犬飼貴丈『恋詩』安田レイ（SMEレコーズ）  いきものがかり『恋詩』のカバー曲脚本…浅野妙子  演出…光野道夫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共同テレビ・TBS  「最終回」の”怪演”公開! 妊娠発覚、妻の逃亡最後の逆襲! 悪女へ #9 『美しき 罠～残花繚乱～』 3/5（木）ダイジェスト【TBS】  http://youtu.be/nCJFmrc1FIw  番組の内容と放送時間は変更になる場合があります。</t>
  </si>
  <si>
    <t>1501_TBS_金22</t>
  </si>
  <si>
    <t>ウロボロス</t>
  </si>
  <si>
    <t>番組名金曜ドラマ「ウロボロス～この愛こそ、正義。」第1話　法の番人×闇の住人</t>
  </si>
  <si>
    <t>児童養護施設・まほろばで育った龍崎イクオ（生田斗真）と段野竜哉（小栗旬）。2人が小学生のとき、母親のように面倒を見てくれていた施設職員の「結子先生」が何者かに殺されるのを目撃する。犯人について2人は警察に証言するが、その言葉は“金時計”をした警察関係者に握りつぶされ、なぜか事件はもみ消された…。生田斗真  小栗旬  上野樹里    吉田羊  ムロツヨシ  清野菜名  武田久美子  光石研    滝藤賢一  吉田鋼太郎  中村橋之助  広末涼子    ＜1話ゲスト＞  嶋田久作  中村蒼  吉田メタル主題歌：「Sakura」嵐（ジェイ・ストーム）脚本：古家和尚  音楽：木村秀彬    企画：那須田淳  演出：石井康晴  プロデュース：佐野亜裕美◇番組HP  http://www.tbs.co.jp/OUROBOROS/  ◇ツイッター  @ouroboros2015  https://twitter.com/ouroboros2015  ◇フェイスブック  https://www.facebook.com/pages/ウロボロス-TBSテレビ/1512759832333119  番組の内容と放送時間は変更になる可能性があります。</t>
  </si>
  <si>
    <t>番組名金曜ドラマ「ウロボロス～この愛こそ、正義。」第2話　オムライスの秘密</t>
  </si>
  <si>
    <t>イクオ（生田斗真）と美月（上野樹里）は3年前に起こったキャバクラ嬢殺人事件の内偵へ。そこでキャバクラ嬢の葵（岡本玲）と店長・神谷（尾上松也）と知り合う。ところが後日、葵が3年前の事件と同じ手口で殺された…。葵が働いていたキャバクラは竜哉（小栗旬）が所有しており、イクオと竜哉はそれぞれに犯人を捜し始める。生田斗真  小栗旬  上野樹里    吉田羊  ムロツヨシ  清野菜名  武田久美子  光石研    滝藤賢一  吉田鋼太郎  中村橋之助  広末涼子    ＜2話ゲスト＞  尾上松也  岡本玲主題歌：「Sakura」嵐（ジェイ・ストーム）◇番組HP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t>
  </si>
  <si>
    <t>番組名金曜ドラマ「ウロボロス～この愛こそ、正義」第3話　約束だよ、イクオ…</t>
  </si>
  <si>
    <t>新宿でホームレスが殺害される事件が相次いで起こり、イクオ（生田斗真）たち新宿第二署は雑用担当に。我慢できなくなった美月（上野樹里）はイクオに提案し、独自で捜査を開始する。そんな中、二人は男がホームレスを襲撃している現場に遭遇。犯人を取り押さえ被害者に事情を聞こうとするが、すでに姿はなく…。  　一方、“金時計の男”の手がかりを探す竜哉（小栗旬）は、闇医者の劉宗鉉（山本學）から新情報を入手する。生田斗真  小栗旬  上野樹里    吉田羊  ムロツヨシ  清野菜名  武田久美子  光石研    山本学  モロ師岡  康すおん    滝藤賢一  吉田鋼太郎  中村橋之助  広末涼子    ＜第三話ゲスト＞  北村有起哉主題歌：「Sakura」嵐（ジェイ・ストーム）◇番組HP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t>
  </si>
  <si>
    <t>番組名金曜ドラマ「ウロボロス～この愛こそ、正義。」第4話　暴かれる秘密</t>
  </si>
  <si>
    <t>警視庁捜査一課に配属されたイクオ（生田斗真）は、警察官連続殺人事件の捜査を命じられる。相棒は坂東（大地康雄）という一匹狼の刑事。坂東を相手に四苦八苦するイクオは、境川署の刑事・中嶋（笠原秀幸）とダンボールに詰められた警察官の死体を発見する。警察官連続殺人、3人目の被害者だった…。  一方、竜哉（小栗旬）は我孫子桐乃（武田久美子）から、我孫子会の直参に引き上げる、という出世話を持ちかけられていた。生田斗真  小栗旬  上野樹里    吉田羊  ムロツヨシ  清野菜名  武田久美子  光石研    滝藤賢一  吉田鋼太郎  広末涼子    ＜4話ゲスト＞  大地康雄  笠原秀幸主題歌：「Sakura」嵐（ジェイ・ストーム）◇番組HP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t>
  </si>
  <si>
    <t>番組名金曜ドラマ「ウロボロス～この愛こそ、正義。」第5話　二つの金時計</t>
  </si>
  <si>
    <t>美月（上野樹里）から竜哉（小栗旬）との関係を問いただされたイクオ（生田斗真）は、果たしてどこまで隠し通せるのか不安を覚えていた。そんな折、北川警視総監（中村橋之助）が何者かに狙撃され、イクオたちは特別捜査本部に招集される。  一方、ハイジマコーポレーション社長の桂田（デビット伊東）の遺体と結子先生（広末涼子）の警官姿の写真を見つけた竜哉は、その場で二人の男に襲撃される…。生田斗真  小栗旬  上野樹里    吉田羊  ムロツヨシ  清野菜名  武田久美子  光石研    滝藤賢一  吉田鋼太郎  中村橋之助  広末涼子    ＜第五話ゲスト＞  高橋恵子主題歌：「Sakura」嵐（ジェイ・ストーム）◇番組HP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t>
  </si>
  <si>
    <t>番組名金曜ドラマ「ウロボロス～この愛こそ、正義。」第6話　こいつを死なせたくないんだ</t>
  </si>
  <si>
    <t>死亡した山城会会長から「まほろばの資料は息子に渡した」と聞いたイクオ（生田斗真）と竜哉（小栗旬）は、息子である山城隼人（中野裕太）を捜す。公安の“ゼロ”と呼ばれる2人の男たちも隼人を捜しており、タイムリミットは迫っていた。  一方イクオと竜哉の関係を疑っているのは美月（上野樹里）だけではなかった。新宿第一署の蝶野（滝藤賢一）は、あることからイクオと竜哉への疑いを深め、独自に調べていた…。生田斗真  小栗旬  上野樹里    吉田羊  ムロツヨシ  清野菜名  武田久美子  光石研    モロ師岡  山口祥行    滝藤賢一  吉田鋼太郎  中村橋之助  広末涼子    ＜6話ゲスト＞  中野裕太主題歌：「Sakura」嵐（ジェイ・ストーム）◇番組HP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t>
  </si>
  <si>
    <t>番組名金曜ドラマ「ウロボロス～この愛こそ、正義。」第7話　ごめんね、イクオ</t>
  </si>
  <si>
    <t>公安「ゼロ」に撃たれたイクオ（生田斗真）だったが、止める美月（上野樹里）を振り切り、隼人（中野裕太）を連れて逃げている竜哉（小栗旬）を捜すため再び現場に戻る。その頃、彼らの目的が結子先生（広末涼子）の形見であるウロボロスのペンダントだと知った竜哉は、「ゼロ」の二人と死闘を繰り広げていた。  一方、事態を知った聖副総監（野村将希）も自ら現場に駆けつけ指揮を執っていた。生田斗真  小栗旬  上野樹里    吉田羊  ムロツヨシ  清野菜名  武田久美子  光石研    綾野剛    滝藤賢一  吉田鋼太郎  中村橋之助  広末涼子主題歌：「Sakura」嵐（ジェイ・ストーム）◇番組HP  http://www.tbs.co.jp/OUROBOROS/  ◇ツイッター  @ouroboros2015  https://twitter.com/ouroboros2015  ◇フェイスブック  https://www.facebook.com/pages/ウロボロス-TBSテレビ/1512759832333119  綾野剛 原作そっくりの「長髪」ビジュアルで挑む! 動画公開しました！  http://youtu.be/4pdv8r9_nmQ  番組の内容と放送時間は変更になる可能性があります。</t>
  </si>
  <si>
    <t>番組名金曜ドラマ「ウロボロス～この愛こそ、正義。」第8話　まほろばの秘密</t>
  </si>
  <si>
    <t>突然現れた那智聡介（綾野剛）に拉致された美月（上野樹里）は、イクオ（生田斗真）と竜哉（小栗旬）の関係と児童養護施設「まほろば」の秘密を知り、衝撃を受ける。そして美月はある人物に新たな疑いの目を向ける。  　一方、連絡が取れない美月を心配したイクオは彼女の自宅を訪れ、荒らされた様子を目にする。そこに美月の父・日比野（光石研）と小夏（清野菜名）もやってきて…。生田斗真  小栗旬  上野樹里    吉田羊  ムロツヨシ  清野菜名  武田久美子  光石研    綾野剛    滝藤賢一  吉田鋼太郎  中村橋之助  広末涼子★好評を博した副音声企画「ウラバラス」再び！★  “ウラバラスメンバー”となった生田、小栗、ムロのほか、スペシャルゲストとして橘都美子役・吉田羊も登場! なお、主音声では通常通りドラマが楽しめる！！★10万円分商品券が当たる！★  番組を見てクイズに答えると正解者の中から抽選で3名様に「10万円分の全国百貨店共通商品券」が当たります。クイズと応募方法は放送内で発表します！お見逃し無く！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t>
  </si>
  <si>
    <t>番組名金曜ドラマ「ウロボロス～この愛こそ、正義。」第9話　さよならだ、イクオ…</t>
  </si>
  <si>
    <t>児童養護施設・まほろばで育った龍崎イクオ（生田斗真）と段野竜哉（小栗旬）。2人が小学生のとき、母親のように面倒を見てくれていた施設職員の「結子先生」が何者かに殺されるのを目撃する。犯人について2人は警察に証言するが、その言葉は“金時計”をした警察関係者に握りつぶされ、なぜか事件はもみ消された…。生田斗真  小栗旬  上野樹里    吉田羊  ムロツヨシ  清野菜名  武田久美子  光石研    滝藤賢一  吉田鋼太郎  中村橋之助  広末涼子主題歌：「Sakura」嵐（ジェイ・ストーム）◇番組HP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t>
  </si>
  <si>
    <t>番組名金曜ドラマ「ウロボロス～この愛こそ、正義。」第10話　涙の最終回</t>
  </si>
  <si>
    <t>いよいよ最終回！  20年をかけたイクオと竜哉の仇討ちの行方は？生田斗真  小栗旬  上野樹里    吉田羊  ムロツヨシ  光石研    滝藤賢一  吉田鋼太郎  中村橋之助  広末涼子主題歌：「Sakura」嵐（ジェイ・ストーム）◇番組HP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t>
  </si>
  <si>
    <t>1501_TBS_日21</t>
  </si>
  <si>
    <t>流星ワゴン</t>
  </si>
  <si>
    <t>番組名日曜劇場「流星ワゴン」第1話　西島秀俊出演　重松清原作110万部話題作</t>
  </si>
  <si>
    <t>['#2', '#3']</t>
  </si>
  <si>
    <t>自分が父親だったら、この苦境をどう乗り越えるだろうか？父親が自分の年齢の時、子供の私とどう接していたのだろうか？  不思議なワゴンが、大嫌いだった父親を連れてきた！自分と同じ歳の…？  父親と言うより、変な友情が芽生えた・父と子は、妻や息子の問題を解決していく・現代版バック・トゥ・ザ・フューチャー！  あなたは、流星が願を叶えてくれると言ったら何を願いますか？  日曜9時、家族版サクセスストーリー！永田一雄…西島秀俊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入江甚儀＆町田啓太の初「壁ドン」にメロメロ!?　動画公開しました！  http://youtu.be/zrEPZbdCmII  主題歌サザンオールスターズ! 2分でわかる 『流星ワゴン』1/18スタート! 重松清の大ベストセラー初映像化【TBS】動画公開しました！  http://youtu.be/CYxW_VRAqxk  西島秀俊、香川照之イベント続々登場!広島県鞆の浦＆リズムダンスふれあいコンクール 動画公開しました！  http://youtu.be/_cE3jx7AbGk  「壁ドン」で「日曜の夜は空けとけよ…」入江甚儀 番外編#2 　動画公開しました！  http://youtu.be/vby8atWNovs  「壁ドン」で「絶対見ろよ!」町田啓太 番外編#3  動画公開しました！  http://youtu.be/4IOUK8uSZ98  スタート直前!1/18 『流星ワゴン』最新映像公開! 重松清の大ベストセラー初映像化　動画公開しました！  http://youtu.be/Yi1LL4d1qkE  西島秀俊 思わず涙・・・1/18（日）スタート 『流星ワゴン』試写会＆公開収録 重松清の大ベストセラー初映像化　動画公開しました！  http://youtu.be/C5aYVnuIWDw  番組の内容と放送時間は変更になる可能性があります。</t>
  </si>
  <si>
    <t>番組名日曜劇場「流星ワゴン」第2話　西島秀俊出演　重松清原作110万部話題作</t>
  </si>
  <si>
    <t>['#1', '#2', '#4']</t>
  </si>
  <si>
    <t>笑えて泣ける、現代版バック・トゥ・ザ・フューチャー！不思議なワゴンが、大嫌いだった父親を連れてきた！しかも自分と同じ歳の…？　父親と言うより、変な友情が芽生えた・父と子は、妻や息子の問題を解決していく！  妻と息子の異変をまのあたりにした主人公の一雄(西島)は、何とかして過去の歯車を変えようとして必死！  今回は、リストラになる前に、嫌な上司に頭を下げることに。しかし、忠さん(香川)は大反対する！永田一雄…西島秀俊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同じ年の父と「やり直し」の旅が始まった…#1『流星ワゴン』ダイジェスト・#2予告動画公開しました！  http://youtu.be/T0-Sg54Jxwg  「壁ドン」#4 入江甚儀&amp;町田啓太 繁華街ロケ現場で語るお互いの印象 動画公開しました！  http://youtu.be/kZfv3Y6WGwA  番組の内容と放送時間は変更になる可能性があります。</t>
  </si>
  <si>
    <t>番組名日曜劇場「流星ワゴン」第3話・10分拡大スペシャル！サクセス感動物語!!</t>
  </si>
  <si>
    <t>不思議なワゴンが大嫌いだった父を連れてきて、妻や息子の問題を解決していく・現代版バック・トゥ・ザ・フューチャー！  橋本親子（吉岡秀隆）の息子・健太が、一雄（西島秀俊）とチュウさん（香川照之）の旅についてきてしまった。健太は、死ぬ前にできなかった逆上がりがしたいとせがむ。しかし、死んだ時にできなかったことは出来ない決まりになっている。運命に逆らって頑張る健太を見て一雄が立ちがる。息子の苦悩とは何？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リストラを回避するため上司に近づく一雄と忠雄 しかし…#1#2『流星ワゴン』ダイジェスト動画公開しました！  http://youtu.be/kPqw5EAWki4  番組の内容と放送時間は変更になる可能性があります。</t>
  </si>
  <si>
    <t>番組名日曜劇場「流星ワゴン」第4話　西島秀俊出演　重松清原作130万部話題作</t>
  </si>
  <si>
    <t>不思議なワゴンが、自分と同じ歳の父親を連れてきた！　  一雄（西島秀俊）は大嫌いだった父親（香川照之）と、妻や息子の問題を解決していく・現代版バック・トゥ・ザ・フューチャー！  今夜、妻の秘密が明らかに！  妻（井川遥）を尾行した一雄は、妻が若男と密会しているところを目撃する。しかも、大金を貢いでいた。  一雄は自分の力で美代子を救うことが出来るのか？笑って泣ける、新しい形の家族のサクセスストーリー！永田一雄…西島秀俊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初めて知る息子の真実…#3『流星ワゴン』2/1ダイジェスト #4予告動画公開しました！【TBS】http://youtu.be/xvv8H9e-yuc  番組の内容と放送時間は変更になる可能性があります。</t>
  </si>
  <si>
    <t>番組名日曜劇場「流星ワゴン」第5話　ママを探しに大奮闘！健太の願いを叶えろ！</t>
  </si>
  <si>
    <t>['#4', '#5', '#5', '#6']</t>
  </si>
  <si>
    <t>急展開～橋本（吉岡秀隆）に連れられて、2人が亡くなった事故現場へ。そこで橋本親子のとんでもない秘密を聞くことになる。一方、健太は生きているママに会いに行く決意をして逃げ出した。健太の覚悟に共感したチュウさん（香川照之）は、健太の手助けをし、一雄（西島秀俊）も付き合うことに。そして妻・美代子（井川遥）はまたあの男に会う。健太はママに会うことができたのか？ドタバタ珍道中の末に驚異の結末が待っていた　原作・重松清　130万部突破！　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  ゲスト  マイコ、中島ひろ子、須田邦裕、氏家恵、新妻聖子、野間口徹脚本・八津弘幸、演出・福澤克雄など、半沢直樹を手がけたスタッフが送る最新作！  乞うご期待！◇番組HP  http://www.tbs.co.jp/ryusei_wagon/  ◇ツイッター  https://twitter.com/ryuseiwagon_tbs  @ryuseiwagon_tbs◇フェイスブック  https://www.facebook.com/ryuseiwagon.tbs  ギャンブル中毒の妻を救うため奮闘する一雄 #4『流星ワゴン』2/8ダイジェスト #5予告動画公開しました！  http://youtu.be/IjL4v-vmco0  セルフカメラで「壁ドン」#5 入江甚儀&amp;町田啓太 動画公開しました！  http://youtu.be/VJ-ni479Bcw  「壁ドン」俺のこと好きになってくれよ・・・by千賀 #6 入江甚儀&amp;町田啓太 「番外編」 2/15（日） 『流星ワゴン』【TBS】http://youtu.be/uEw1JZF2e8o主題歌・サザンオールスターズ「イヤな事だかけの世の中で」番組の内容と放送時間は変更になる可能性があります。</t>
  </si>
  <si>
    <t>番組名日曜劇場「流星ワゴン」第6話　チュウさんVS忠さん！頑固オヤジを倒せ！</t>
  </si>
  <si>
    <t>['#5', '#7']</t>
  </si>
  <si>
    <t>チュウさんは現在の忠さん(忠雄・73歳)の死期が近いことを知らされ、早く病院に行って早く治療すれば、もっと長く生きられることを伝えに行く！しかし、自分どうしが会ってしまうと「やり直しの旅」は消滅する！  一雄はチュウさんの代わりに6年ぶりに現在の忠雄に会って、大嫌いだった父に病院に行ってほしいと伝えるが・・・。運命を変えようとする朋輩からの想いはどうなるのか？一方、健太は、母の愛を知り決意した！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健太の願いを叶えろ! ママを探しに大奮闘する一雄と忠雄 #5『流星ワゴン』2/15ダイジェスト 次回予告動画公開しました！  http://youtu.be/wWWc731Lbls  千賀 永田家のマンション侵入して「壁ドン」! #7 入江甚儀&amp;町田啓太 「番外 編」2/22（日） 『流星ワゴン』動画公開しました！【TBS】http://youtu.be/WfoqsPtIMQk番組の内容と放送時間は変更になる可能性があります。</t>
  </si>
  <si>
    <t>番組名日曜劇場「流星ワゴン」第7話　橋本の本当の想い～健太との愛の別れ</t>
  </si>
  <si>
    <t>健太（高木）は再びママに会いに行くことに。それを応援する一雄（西島）とチュウさん（香川）は健太とママの出会いを見守る。橋本（吉岡）には大きな秘密があり、そのことをチュウさんに話してしまう。ママの愛に包まれてこの世に未練がなくなった健太を橋本は成仏させることに。それは橋本親子の永遠の別れを意味する出来事だった。一雄とチュウさんは橋本の本当の想いを知って・・・。現代版バック・トゥ・ザ・フューチャー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    ゲスト  橋本花織…中島ひろ子脚本・八津弘幸、演出・福澤克雄など、半沢直樹を手がけたスタッフが送る最新作！  乞うご期待！◇番組HP  http://www.tbs.co.jp/ryusei_wagon/  ◇ツイッター  https://twitter.com/ryuseiwagon_tbs  @ryuseiwagon_tbs◇フェイスブック  https://www.facebook.com/ryuseiwagon.tbs  72歳の忠雄と対峙する一雄　検査するよう説得するが… #6『流星ワゴン』2/22ダイジェスト・予告動画公開しました！【TBS】http://youtu.be/RBpobv2mnu4  番組の内容と放送時間は変更になる可能性があります。</t>
  </si>
  <si>
    <t>番組名日曜劇場「流星ワゴン」8話　最終章！一雄チュウさんになる！人生をかけたレース</t>
  </si>
  <si>
    <t>最後のやり直しの場所に向かった一雄（西島）は、今までのやり方を改め、チュウさん流のやり方で家族を救う決意をする。美代子（井川）を連れてを競馬場に向かい、借金返済のために退職金をかけた大きな賭けにでた。果たしてメインレースの結果は！また広樹が翼たちに再びいじめられているのを知り、一雄は周囲を驚かせる行動に出る。そんな一雄の姿を頼もしくありつつも、寂しい気持ちで見守るチュウさん（香川）だったが。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再び母親に会う決心をした健太は・・・ #7『流星ワゴン』3/1ダイジェスト・予   告動画公開しました！【TBS】  http://youtu.be/W8LN9ajcggE  番組の内容と放送時間は変更になる可能性があります。</t>
  </si>
  <si>
    <t>番組名日曜劇場「流星ワゴン」第9話　セミファイナル！妻と夫の本音。君を愛してる！</t>
  </si>
  <si>
    <t>一雄（西島）は橋本（吉岡）に頼み、最後に美代子（井川）に会いに行く。二人は思い出の神社に向かい、気持ちをぶつけあう。美代子から初めて本音を聞いた一雄も“一緒に生きたかった”と本心を伝え心が通じ合う。幸せな二人を見ていたチュウさん（香川）は自分の残り少ない命を懸けてでも一雄を生かして欲しいと橋本に懇願するが。一雄がワゴンに戻ってくると健太は号泣していた。既にチュウさんは消えてしまっていた・・・。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橋本義明…吉岡秀隆主題歌・サザンオールスターズ脚本・八津弘幸、演出・福澤克雄など、半沢直樹を手がけたスタッフが送る最新作！  乞うご期待！◇番組HP  http://www.tbs.co.jp/ryusei_wagon/  ◇ツイッター  https://twitter.com/ryuseiwagon_tbs  @ryuseiwagon_tbs◇フェイスブック  https://www.facebook.com/ryuseiwagon.tbs  最後の分岐点に降り立つ一雄 チューさん流で家族を救おうと… #8『流星ワゴ ン』3/8ダイジェスト・予告動画公開しました！  http://youtu.be/YJiSQM5QKwo  番組の内容と放送時間は変更になる可能性があります。</t>
  </si>
  <si>
    <t>番組名日曜劇場「流星ワゴン」第10話　最終回～俺は生きる！永遠に朋輩じゃ</t>
  </si>
  <si>
    <t>一雄（西島）は消えたチュウさん（香川）を探しに橋本達（吉岡）と一緒に現在の福山へ。チュウさんは実家におり、チュウさん流のお好み焼き教わることに。そして体が弱ってきたチュウさんと最後の散歩に出かけるのであった。そこでチュウさんと「永遠の朋輩」の約束し、生きて行く決意をする。美代子（井川）とは運命を変えてでも再びやり直すことが出来るのか？現実の忠雄の運命は？そして一雄は生きているのか？涙のフィナーレ！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橋本義明…吉岡秀隆主題歌・サザンオールスターズ脚本・八津弘幸、演出・福澤克雄など、半沢直樹を手がけたスタッフが送る最新作！  乞うご期待！◇番組HP  http://www.tbs.co.jp/ryusei_wagon/  ◇ツイッター  https://twitter.com/ryuseiwagon_tbs  @ryuseiwagon_tbs◇フェイスブック  https://www.facebook.com/ryuseiwagon.tbs  ワゴンの旅、完結へ…妻が初めて本音をぶつける…#9『流星ワゴ ン』3/15(日）ダ   イジェスト・最終話予告動画公開しました！【TBS】  https://youtu.be/kimvNGe-R8A  番組の内容と放送時間は変更になる可能性があります。</t>
  </si>
  <si>
    <t>1410_TBS_月20</t>
  </si>
  <si>
    <t>SAKURA</t>
  </si>
  <si>
    <t>番組名月曜ミステリーシアター「SAKURA～事件を聞く女～」　第1話</t>
  </si>
  <si>
    <t>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上司の命令で婚活パーティーに参加する事になった桜。その途中参加者の男性が突然変死してしまう。一緒にいた詩織(賀来千香子)が真っ先に疑われるが、直前に気になる詩織の声を聞いた桜には疑問が残る…水沢　桜：仲間　由紀恵    竹内　正人：佐藤　隆太  　　　　　　○  桐谷　祐：相島　一之  矢吹　薫：木野　花  遠藤　圭太：大野　拓朗  本島　利行：森岡　豊  梶原　三郎：駿河　太郎  水沢　楓：文音  　　　　　　○  水沢　ウメ：草笛　光子  五十嵐　恭子：高島　礼子      【1話ゲスト】  染谷　詩織：賀来　千香子    和久井　蓮：升　毅  藤本　佳奈：三倉　茉奈主題歌：Aqua Timez  「生きて」  （エピックレコードジャパン）脚本：松本　美弥子    音楽：末廣　健一郎    監督：鈴木　浩介    プロデューサー：志村　彰  　　　　　　　　関川友理    製作：The icon  　　　TBS  ◇番組HP  http://www.tbs.co.jp/sakura2014/    ◇twitter  @sakura2014_tbs  https://twitter.com/sakura2014_tbs  （新番組）2分でわかる！主演・仲間由紀恵　動画公開しました！  http://youtu.be/lprWrZiBKw8  番組の内容と放送時間は変更になる可能性があります。</t>
  </si>
  <si>
    <t>番組名月曜ミステリーシアター「SAKURA～事件を聞く女～」　第2話</t>
  </si>
  <si>
    <t>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元に近所のゴミ屋敷に関するトラブルの相談が舞い込んでくる。薫(木野花)は気にも留めない様子だが、気になる桜は、ゴミ屋敷を訪問。そこに住む祥子(田中美里)の様子を見て、桜は疑問を持つがー水沢　桜：仲間　由紀恵    竹内　正人：佐藤　隆太  　　　　　　○  桐谷　祐：相島　一之  矢吹　薫：木野　花  遠藤　圭太：大野　拓朗  本島　利行：森岡　豊  梶原　三郎：駿河　太郎  水沢　楓：文音  　　　　　　○  水沢　ウメ：草笛　光子  五十嵐　恭子：高島　礼子　【2話ゲスト】  時田　祥子：田中　美里    木原　雄一郎：羽場　裕一    木原　光輝：若葉　竜也  宮原　恵美：川村　ゆきえ主題歌：Aqua Timez  「生きて」  （エピックレコードジャパン）脚本：山岡　潤平    音楽：末廣　健一郎    監督：水村　秀雄    プロデューサー：志村　彰  　　　　　　　　関川友理    製作：The icon        TBS  ◇番組HP  http://www.tbs.co.jp/sakura2014/    ◇twitter  @sakura2014_tbs  https://twitter.com/sakura2014_tbs  月曜20時 『SAKURA～事件を聞く女～』第2話予告　偽り言葉と真言葉・・・桜が聞いた言葉とは？ 動画公開しました！  http://youtu.be/VzddljrXynM  番組の内容と放送時間は変更になる可能性があります。</t>
  </si>
  <si>
    <t>番組名月曜ミステリーシアター「SAKURA～事件を聞く女～」　第3話</t>
  </si>
  <si>
    <t>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もとに夫が事件か事故に巻き込まれているのでは、と松永文代（かとうかず子）からの相談が舞い込む。桜は文代の夫の再就職先へと訪問し、そこで気になる声を聞く。そんな時、文代の夫が遺体で見つかり…水沢　桜：仲間　由紀恵    竹内　正人：佐藤　隆太  　　　　　　○  桐谷　祐：相島　一之  矢吹　薫：木野　花  遠藤　圭太：大野　拓朗  本島　利行：森岡　豊  梶原　三郎：駿河　太郎  水沢　楓：文音  　　　　　　○  水沢　ウメ：草笛　光子  五十嵐　恭子：高島　礼子    【3話ゲスト】  松永　文代：かとう　かず子    吉岡　周作：大谷　亮介  柏田　真希：安藤　玉恵  風間　孝次：平沼　紀久主題歌：Aqua Timez  「生きて」  （エピックレコードジャパン）脚本：猪原　健太    音楽：末廣　健一郎    監督：水村　秀雄    プロデューサー：志村　彰  　　　　　　　　関川友理    製作：The icon        TBS  ◇番組HP  http://www.tbs.co.jp/sakura2014/    ◇twitter  @sakura2014_tbs  https://twitter.com/sakura2014_tbs  月曜20時 『SAKURA～事件を聞く女～』第3話（11/3）「高齢者に巣くう悪を絶て！真実の声を聞き分ける事ができるのか？」動画公開しました！  http://youtu.be/DzGyyGkrMo0番組の内容と放送時間は変更になる可能性があります。</t>
  </si>
  <si>
    <t>番組名月曜ミステリーシアター「SAKURA～事件を聞く女～」　第4話</t>
  </si>
  <si>
    <t>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正人の恩人が遺体で発見される。正人の只ならぬ様子に桜は心配になる。実は、22年前、正人は両親を殺害されたという悲しい過去を持っていた。桜は事件の真相を探るべく、温泉旅館に潜入を開始するがー水沢　桜：仲間　由紀恵    竹内　正人：佐藤　隆太  　　　　　　○  桐谷　祐：相島　一之  矢吹　薫：木野　花  遠藤　圭太：大野　拓朗  本島　利行：森岡　豊  梶原　三郎：駿河　太郎  水沢　楓：文音  　　　　　　○  水沢　ウメ：草笛　光子  五十嵐　恭子：高島　礼子    【4話ゲスト】  祖父江　駿：大和田　獏  大木　芳江：左　時枝  金森　幸生：大河内　浩  皆川　由香里：菜葉菜主題歌：Aqua Timez  「生きて」  （エピックレコードジャパン）脚本：松本　美弥子    音楽：末廣　健一郎    監督：鈴木　浩介    プロデューサー：志村　彰  　　　　　　　　　関川友理    製作：The icon          TBS◇番組HP  http://www.tbs.co.jp/sakura2014/    ◇twitter  @sakura2014_tbs  https://twitter.com/sakura2014_tbs  予告・月曜20時 『SAKURA～事件を聞く女～』#4（11/10）「22年前の謎を解き明かす！」動画公開しました！  http://youtu.be/no2P8fe1WQY  番組の内容と放送時間は変更になる可能性があります。</t>
  </si>
  <si>
    <t>番組名月曜ミステリーシアター「SAKURA～事件を聞く女～」　第5話</t>
  </si>
  <si>
    <t>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元に「喧嘩の声がうるさい」という苦情が入る。気になった桜はトラブル元の老舗和菓子屋を訪問し、義弟と息子の喧嘩に困惑しているトミ（松原智恵子）に出会う。数日後、トミの義弟が遺体で発見され…水沢　桜：仲間　由紀恵    竹内　正人：佐藤　隆太  　　　　　　○  桐谷　祐：相島　一之  矢吹　薫：木野　花  遠藤　圭太：大野　拓朗  本島　利行：森岡　豊  梶原　三郎：駿河　太郎  水沢　楓：文音  　　　　　　○  水沢　ウメ：草笛　光子  五十嵐　恭子：高島　礼子【5話ゲスト】  市丸　トミ：松原　智恵子    市丸　光代：映美　くらら  城戸　眞一：ミスターちん  市丸　誠司：斉藤　陽一郎主題歌：Aqua Timez  「生きて」  （エピックレコードジャパン）脚本：来島　麦    音楽：末廣　健一郎    監督：加藤　新    プロデューサー：志村　彰  　　　　　　　　関川友理    製作：The icon        TBS  ◇番組HP  http://www.tbs.co.jp/sakura2014/    ◇twitter  @sakura2014_tbs  https://twitter.com/sakura2014_tbs  予告・月曜20時 『SAKURA～事件を聞く女～』#5（11/17）「老舗和菓子屋に潜入！」動画公開しました！  http://youtu.be/TiNLNVg2UnU  番組の内容と放送時間は変更になる可能性があります。</t>
  </si>
  <si>
    <t>番組名月曜ミステリーシアター「SAKURA～事件を聞く女～」　第6話</t>
  </si>
  <si>
    <t>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元に久美子（多岐川裕美）から夫・泰明が失踪したという相談が入る。最近、悪質な不動産詐欺にあった泰明は何か思いつめている様子だったという。気になった桜は泰明が通っていた囲碁サロンに潜入し…水沢　桜：仲間　由紀恵    竹内　正人：佐藤　隆太  　　　　　　○  桐谷　祐：相島　一之  矢吹　薫：木野　花  遠藤　圭太：大野　拓朗  本島　利行：森岡　豊  梶原　三郎：駿河　太郎  水沢　楓：文音  　　　　　　○  水沢　ウメ：草笛　光子  五十嵐　恭子：高島　礼子    【6話ゲスト】  鍋島　久美子：多岐川　裕美    相良　周二：小沢　和義  岩淵　克己：田中　隆三  鍋島　泰明：河原崎　建三主題歌：Aqua Timez  「生きて」  （エピックレコードジャパン）脚本：児玉　頼子    音楽：末廣　健一郎    監督：鈴木　浩介    プロデューサー：志村　彰  　　　　　　　　関川友理    製作：The icon        TBS  ◇番組HP  http://www.tbs.co.jp/sakura2014/    ◇twitter  @sakura2014_tbs  https://twitter.com/sakura2014_tbs  仲間由紀恵が叫ぶ！？オフショットスポット5秒　月曜20時『SAKURA～事件を聞く女～』動画公開しました！  http://youtu.be/G4YvS1vjCmg番組の内容と放送時間は変更になる可能性があります。</t>
  </si>
  <si>
    <t>番組名月曜ミステリーシアター「SAKURA～事件を聞く女～」　第7話</t>
  </si>
  <si>
    <t>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元にストーカーの相談が舞い込む。怯える相談者・真由（中村映里子）に付き添い自宅まで送る桜。そこで彼女を匿う女性・茜（三浦理恵子）に出会う。そしてストーカーの魔の手が再び真由に襲いかかり…水沢　桜：仲間　由紀恵    竹内　正人：佐藤　隆太  　　　　　　○  桐谷　祐：相島　一之  矢吹　薫：木野　花  遠藤　圭太：大野　拓朗  本島　利行：森岡　豊  梶原　三郎：駿河　太郎  水沢　楓：文音  　　　　　　○  水沢　ウメ：草笛　光子  五十嵐　恭子：高島　礼子  【7話ゲスト】  宮下　茜：三浦　理恵子    宇佐美　景子：中島　ひろ子  矢島　智宏：窪塚　俊介  寺本　真由：中村　映里子主題歌：Aqua Timez  「生きて」  （エピックレコードジャパン）脚本：松本　美弥子    音楽：末廣　健一郎    監督：水村　秀雄    プロデューサー：志村　彰  　　　　　　　　　関川友理    製作：The icon          TBS◇番組HP  http://www.tbs.co.jp/sakura2014/    ◇twitter  @sakura2014_tbs  https://twitter.com/sakura2014_tbs  予告・月曜20時 『SAKURA～事件を聞く女～』#7（12/1）「ストーカーから女性を守れ！！手がかりはカン・アール」動画公開しました！  http://youtu.be/dFsGXkBGIX8仲間由紀恵がぐ～ぱ～！オフショット5秒スポット　月曜20時『SAKURA～事件を聞く女～』動画公開しました！  http://youtu.be/P0V1URaNjP0番組の内容と放送時間は変更になる可能性があります。</t>
  </si>
  <si>
    <t>番組名月曜ミステリーシアター「SAKURA～事件を聞く女～」　第8話</t>
  </si>
  <si>
    <t>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食肉会社に勤務する女性が遺体で発見される。その女性は10年前に起こった放火殺人事件の容疑者の娘だった。今回の事件と10年前の事件が関係していると感じた桜は食肉会社に極秘潜入する！水沢　桜：仲間　由紀恵    竹内　正人：佐藤　隆太  　　　　　　○  桐谷　祐：相島　一之  矢吹　薫：木野　花  遠藤　圭太：大野　拓朗  本島　利行：森岡　豊  梶原　三郎：駿河　太郎  水沢　楓：文音  　　　　　　○  水沢　ウメ：草笛　光子  五十嵐　恭子：高島　礼子【8話ゲスト】  真鍋　正隆：近藤　芳正    大山　達夫：中丸　新将  久米　和彦：螢　雪次朗    【スペシャルゲスト】  坂本警視総監：吉　幾三主題歌：Aqua Timez  「生きて」  （エピックレコードジャパン）脚本：山岡　潤平    音楽：末廣　健一郎    監督：鈴木　浩介    プロデューサー：志村　彰  　　　　　　　　関川友理    製作：The icon        TBS◇番組HP  http://www.tbs.co.jp/sakura2014/    ◇twitter  @sakura2014_tbs  https://twitter.com/sakura2014_tbs  疑惑の食肉会社に極秘潜入! 月曜20時 『SAKURA～事件を聞く女～』#8（12/8）予告動画公開しました！  http://youtu.be/DaekmOvLrmM  ウソでしょ!?番外編オフショット5秒スポット　月曜20時 『SAKURA～事件を聞く女～』【TBS】動画公開しました！  http://youtu.be/x7ntGS_xHJQ  番組の内容と放送時間は変更になる可能性があります。</t>
  </si>
  <si>
    <t>番組名月曜ミステリーシアター「SAKURA～事件を聞く女～」　第9話</t>
  </si>
  <si>
    <t>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知り合いの建設会社社長が殺される。容疑者として任意同行されたのは出所したばかりの男・工藤（高岡奏輔）だった。工藤が殺人なんてするはずがないと言う妻の声が気になる桜は工務店に潜入する。水沢　桜：仲間　由紀恵    竹内　正人：佐藤　隆太  　　　　　　○  桐谷　祐：相島　一之  矢吹　薫：木野　花  遠藤　圭太：大野　拓朗  本島　利行：森岡　豊  梶原　三郎：駿河　太郎  水沢　楓：文音  　　　　　　○  水沢　ウメ：草笛　光子  五十嵐　恭子：高島　礼子    【9話ゲスト】  工藤　寛之：高岡　奏輔  足立　利和：遠山　俊也    高瀬　久美子：筒井　真理子  南里　祐介：佐藤　二朗主題歌：Aqua Timez  「生きて」  （エピックレコードジャパン）脚本：山岡　潤平    音楽：末廣　健一郎    監督：水村　秀雄    プロデューサー：志村　彰  　　　　　　　　関川友理    製作：The icon        TBS  ◇番組HP  http://www.tbs.co.jp/sakura2014/    ◇twitter  @sakura2014_tbs  https://twitter.com/sakura2014_tbs  番組の内容と放送時間は変更になる可能性があります。</t>
  </si>
  <si>
    <t>番組名月曜ミステリーシアター「SAKURA～事件を聞く女～」最終回</t>
  </si>
  <si>
    <t>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工藤（高岡奏輔）が何者かに殺害された。工藤の死に高瀬久美子（筒井真理子）が関わっているのではないかと疑う桜は久美子がオーナーを務める銀座クラブに潜入開始する。そこで桜は気になる声を聞くー。水沢　桜：仲間　由紀恵    竹内　正人：佐藤　隆太  　　　　　　○  桐谷　祐：相島　一之  矢吹　薫：木野　花  遠藤　圭太：大野　拓朗  本島　利行：森岡　豊  梶原　三郎：駿河　太郎  水沢　楓：文音  　　　　　　○  水沢　ウメ：草笛　光子  五十嵐　恭子：高島　礼子    【最終回ゲスト】  南里　祐介：佐藤　二朗  高瀬　久美子：筒井　真理子    工藤　寛之：高岡　奏輔  足立　利和：遠山　俊也主題歌：Aqua Timez  「生きて」  （エピックレコードジャパン）脚本：松本　美弥子    音楽：末廣　健一郎    監督：鈴木　浩介    プロデューサー：志村　彰  　　　　　　　　関川友理    製作：The icon        TBS  ◇番組HP  http://www.tbs.co.jp/sakura2014/    ◇twitter  @sakura2014_tbs  https://twitter.com/sakura2014_tbs  年またぎはTBSのスポーツ祭りで！大晦日よる6時からはメッシが参戦するKYOKUGEN！元日あさ8時半からは駅伝日本一決定戦・ニューイヤー駅伝！よる6時からはプルシェンコが舞う！炎の体育会TV！最終回映像!さようなら桜!?正人が凶弾に… 月曜20時 『SAKURA～事件を聞く女～』最終回（12/22）予告動画公開しました！http://youtu.be/KbT4Tyq_SPE  番組の内容と放送時間は変更になる可能性があります。</t>
  </si>
  <si>
    <t>1410_TBS_火22</t>
  </si>
  <si>
    <t>女はそれを許さない</t>
  </si>
  <si>
    <t>番組名火曜ドラマ「女はそれを許さない」第1話　弁護士失格の二人が最強バディに！</t>
  </si>
  <si>
    <t>岩崎麗（深田恭子）は初の裁判で失敗してしまい、弁護士を辞めてしまう。一方、大手の事務所に所属するエリート弁護士・海老沢凛香（寺島しのぶ）は、グレーな手段を使ったことが問題となり、弁護士会を追われてしまう。そんな二人はマチベンの忠守藤次郎（上川隆也）の気まぐれな提案から、バディを組むことになる。初めての依頼人は、マタニティハラスメントを受けた女性。果たして彼女たちは救世主になるのか！？岩崎麗：深田恭子  海老沢凛香：寺島しのぶ  滝口泰輔：溝端淳平  工藤誠司：吉沢悠  葛城雄二：加藤雅也  児玉義勝：竹中直人  蝶野薫：松重豊  忠守藤次郎：上川隆也    野田さやか：中越典子  三枝百合子：清水美沙  篠田秀雄：三浦浩一主題歌：いきものがかり『GOLDEN GIRL』（エピックレコードジャパン）監督：滝本健吾　脚本：高橋泉、清水友佳子◇番組HP http://www.tbs.co.jp/yurusanai2014/  2分まとめ！深田恭子・寺島しのぶ最強弁護士タッグ！10月21日（火）スタート『女はそれを許さない』動画公開しました！  http://youtu.be/Qe8L7exeSvQ  番組の内容と放送時間は変更になる可能性があります。</t>
  </si>
  <si>
    <t>番組名火曜ドラマ「女はそれを許さない」第2話　婚活に悩める女性と親を救う！！</t>
  </si>
  <si>
    <t>代理婚活で詐欺にあったと息巻く母娘が忠守法律事務所へ訪ねてきた。興味を抱かない海老沢凛香（寺島しのぶ）は、岩崎麗（深田恭子）と滝口泰輔（溝端淳平）に調査をするように命じる。そんな時、事務所に凛香が購入した高級デスクが届く。担当のインテリアコーディネーター・池田志帆（滝沢沙織）は、最近購入した投資をしたマンションについて二人に相談することに…。そこには、思わぬ展開が待っていた!?結婚に揺れる女心とは岩崎麗：深田恭子  海老沢凛香：寺島しのぶ  滝口泰輔：溝端淳平  工藤誠司：吉沢悠  葛城雄二：加藤雅也  児玉義勝：竹中直人  蝶野薫：松重豊  忠守藤次郎：上川隆也    池田志帆：滝沢沙織　　　　　　　　　　　根岸清美：茅島成美  篠田秀雄：三浦誠己主題歌：いきものがかり『GOLDEN GIRL』（エピックレコードジャパン）監督：竹村謙太郎　脚本：高橋泉、千葉美鈴　　◇番組HP http://www.tbs.co.jp/yurusanai2014/  婚活詐欺から女性を救え!? 火曜22時 『女はそれを許さない』第2話(10/28）予告　動画公開しました！  http://youtu.be/4sypDWXndnI  番組の内容と放送時間は変更になる可能性があります。</t>
  </si>
  <si>
    <t>番組名火曜ドラマ「女はそれを許さない」第3話　痴漢は冤罪か？隠された真実とは…。</t>
  </si>
  <si>
    <t>痴漢の被害者であるはずの女性・水野早苗（小林涼子）が、加害者から名誉棄損で訴えられた。痴漢は冤罪なのか？麗は（深田恭子）は、凛香（寺島しのぶ）に相談するが乗り気ではない。そんな凛香だったが、相手の代理人が自分を解雇したセイント法律事務所だと知って、徹底的に戦うと宣言！！痴漢裁判の裏には、ある真相が隠されていた。一方、麗は泰輔（溝端淳平）と自転車事故について調査を始める。依頼人を本当に信じるとは？岩崎麗：深田恭子  海老沢凛香：寺島しのぶ  滝口泰輔：溝端淳平  工藤誠司：吉沢悠  葛城雄二：加藤雅也  児玉義勝：竹中直人  蝶野薫：松重豊  忠守藤次郎：上川隆也    水野早苗：小林涼子  佐々木利行：岡部たかし  桑田トオル：小林ユウキチ主題歌：いきものがかり『GOLDEN GIRL』（エピックレコードジャパン）監督：酒井聖博　脚本：渡辺啓◇番組HP http://www.tbs.co.jp/yurusanai2014/  火曜22時 『女はそれを許さない』#3（11/4）予告「女性の痴漢被害救済のために、麗と凛香が立ち上がる！しかし…」  http://youtu.be/J1lKKa-7sG8番組の内容と放送時間は変更になる可能性があります。</t>
  </si>
  <si>
    <t>番組名火曜ドラマ「女はそれを許さない」第4話　離婚したい妻VS離婚したくない夫</t>
  </si>
  <si>
    <t>モラルハラスメント夫と離婚したい妻・横森紗英（酒井若菜）が忠守法律事務所をやって来た。麗（深田恭子）は、そんな夫・横森茂（山中崇）を訪ねてみると、そこには新たな真実が待っていた！！夫婦の思いが交差する人間臭い離婚裁判に、凛香（寺島しのぶ）は戸惑いを隠せない。そんな中、麗は過去に逃げ出したトラウマ裁判に決着をつけることを誓う。過去の依頼人・岡島健吾（鈴木勝大）に会いに行くが・・・。岩崎麗：深田恭子  海老沢凛香：寺島しのぶ  滝口泰輔：溝端淳平  工藤誠司：吉沢悠  蝶野薫：松重豊  忠守藤次郎：上川隆也    横森紗英：酒井若菜  横森茂：山中崇  岡島健吾：鈴木勝大主題歌：いきものがかり『GOLDEN GIRL』（エピックレコードジャパン）監督：滝本憲吾　脚本：高橋泉◇番組HP http://www.tbs.co.jp/yurusanai2014/  火曜22時 『女はそれを許さない』#4（11/11）予告「別れたい妻vs別れたくない夫」 動画公開しました！  http://youtu.be/fKsPM93cpSo  ■CDプレゼント　主題歌：いきものかがり『GOLDEN　GIRL』（エピックレコードジャパン）■ノベライズ本プレゼント　『女はそれを許さない』（幻冬舎）番組の内容と放送時間は変更になる可能性があります。</t>
  </si>
  <si>
    <t>番組名火曜ドラマ「女はそれを許さない」第5話　娘が母親を訴える！？感動の結末とは</t>
  </si>
  <si>
    <t>ある日、忠守法律事務所に10歳の女の子・山中知佳（久家心）が母親・山下浩子（紺野まひる）を訴えたいと麗（深田恭子）に会いにやって来た。浩子は、知佳に対して虐待をしていたため、刑務所に入っていた。出所した母親が娘を迎えにやって来たのだった！麗は知佳を、凛香（寺島しのぶ）は母親とそれぞれ向き合う。そこには驚愕の事実が待っていた！？岩崎麗：深田恭子  海老沢凛香：寺島しのぶ  滝口泰輔：溝端淳平  工藤誠司：吉沢悠  葛城雄二：加藤雅也  児玉義勝：竹中直人  蝶野薫：松重豊  忠守藤次郎：上川隆也    山中浩子：紺野まひる  山中知香：久家心主題歌：いきものがかり『GOLDEN GIRL』（エピックレコードジャパン）監督：竹村謙太郎　脚本：清水友佳子◇番組HP http://www.tbs.co.jp/yurusanai2014/  予告・火曜22時 『女はそれを許さない』#5（11/18）「子どもが親を訴える!？」動画公開しました！  http://youtu.be/wzJeFXLlbPU  19：00～放送の 2014SUZUKI日米野球　第5戦　侍ジャパンvsMLBオールスターの試合状況により、放送時間が変更になる可能性がございます。</t>
  </si>
  <si>
    <t>番組名火曜ドラマ「女はそれを許さない」第6話　ストーカー裁判！？驚愕の真実とは</t>
  </si>
  <si>
    <t>司法修習生である滝口泰輔（溝端淳平）は、修習仲間である理恵子（中別府葵）と雄太（石井智也）と模擬裁判をすることに。憧れの裁判官役に喜ぶ中、元彼女・高橋真奈美（佐津川真奈美）からストーカー被害に遭っていると相談される。麗（深田恭子）と凛香（寺島しのぶ）に助けを求めるが・・・。そんな時、真奈美がストーカーを暴行したと逮捕された！ストーカー裁判に立ち上がる麗と凛香。驚愕の真実が隠されていた！？岩崎麗：深田恭子  海老沢凛香：寺島しのぶ  滝口泰輔：溝端淳平  工藤誠司：吉沢悠  葛城雄二：加藤雅也  児玉義勝：竹中直人  蝶野薫：松重豊  忠守藤次郎：上川隆也    高橋真奈美：佐津川愛美  小沢理恵子：中別府葵　　　  秋山雄太：石井智也主題歌：いきものがかり『GOLDEN GIRL』（エピックレコードジャパン）監督：酒井聖博  脚本：渡辺啓◇番組HP http://www.tbs.co.jp/yurusanai2014/  予告・火曜22時 『女はそれを許さない』#6（11/25）「元カノがストーカー被害!？」動画公開しました！  http://youtu.be/Yqu7QF_EuMk  番組の内容と放送時間は変更になる可能性があります。</t>
  </si>
  <si>
    <t>番組名火曜ドラマ「女はそれを許さない」第7話　　ママ友に隠された因縁の対決！</t>
  </si>
  <si>
    <t>ある日、忠守法律事務所に有名女子学園に通っている三沢麻子（伊藤裕子）が娘が所属するチアリーディング部でママ友いじめに遭っていると相談にやってきた。藤次郎（上川隆也）は、女子校という案件のため麗（深田恭子）手伝うよう頼む。一方、凜香は大学時代の天敵であり、ライバルの神谷菜津子（高岡早紀）が現れる。名門和菓子塚田屋の相続争いの相手弁護士!!麗をそっちのけで、凜香は菜津子と因縁の対決に挑むが…。岩崎麗：深田恭子  海老沢凛香：寺島しのぶ  滝口泰輔：溝端淳平  工藤誠司：吉沢悠  葛城雄二：加藤雅也  児玉義勝：竹中直人  蝶野薫：松重豊  忠守藤次郎：上川隆也    神谷菜津子：高岡早紀  三沢麻子：伊藤裕子　　主題歌：いきものがかり『GOLDEN GIRL』（エピックレコードジャパン）監督：滝本憲吾　  脚本：清水友佳子　　高橋泉　　◇番組HP http://www.tbs.co.jp/yurusanai2014/  予告・火曜22時 『女はそれを許さない』#7（12/2）「ママ友いじめで学校退学!？」動画公開しました！  http://youtu.be/WGuUFD_ypz8番組の内容と放送時間は変更になる可能性があります。</t>
  </si>
  <si>
    <t>番組名火曜ドラマ「女はそれを許さない」ゲイカップルの結婚式？切ない愛の結末　第8話</t>
  </si>
  <si>
    <t>ある日、蝶野（松重豊）の友人が忠守法律事務所へ訪ねてきた！依頼人・小坂貴宏（高橋洋）は、結婚式場に関するトラブルを相談しにきたのだ。調査をするために、貴宏の恋人を訪ねる麗（深田恭子）たちは、そこで衝撃的な事実を知る!恋人として紹介されたのは、小坂俊彦（KABA．ちゃん）だった。ゲイカップルという理由で式場からは断られたのだ！そんな中、凛香（寺島しのぶ）は工藤（吉沢悠）から驚愕な過去を明かされる…。岩崎麗：深田恭子  海老沢凛香：寺島しのぶ  滝口泰輔：溝端淳平  工藤誠司：吉沢悠  葛城雄二：加藤雅也  児玉義勝：竹中直人  蝶野薫：松重豊  忠守藤次郎：上川隆也    小坂貴宏：高橋洋  小坂俊彦：KABA．ちゃん  野村涼子：安達裕美主題歌：いきものがかり『GOLDEN GIRL』（エピックレコードジャパン）監督：青山貴洋　脚本：千葉美鈴◇番組HP http://www.tbs.co.jp/yurusanai2014/  男性同士の結婚? 遺産目当ての養子縁組? 火曜22時 『女はそれを許さない』#8（12/9）予告動画公開しました！  http://youtu.be/fmkCcsSr5p0番組の内容と放送時間は変更になる可能性があります。</t>
  </si>
  <si>
    <t>番組名火曜ドラマ「女はそれを許さない」第9話　児童5人らトラック事故！遺族会の叫び</t>
  </si>
  <si>
    <t>ある日、忠守法律事務所に野村（安達祐実）率いる遺族会が訪れる。忠守（上川隆也）は、多忙なために麗が担当することになる！5人の子供を亡くした遺族たちは、子供一人対して一億円、計五億の賠償金を請求するという…。相手弁護士は、勝ためにはどんな手段も選ばないセイント法律事務所の葛城（加藤雅也）だ。凛香（寺島しのぶ）がいない今、麗はどうやって敵に立ち回るのか！？最大のピンチが訪れる！！岩崎麗：深田恭子  海老沢凛香：寺島しのぶ  滝口泰輔：溝端淳平  工藤誠司：吉沢悠  葛城雄二：加藤雅也  児玉義勝：竹中直人  蝶野薫：松重豊  忠守藤次郎：上川隆也    野村涼子：安達祐実  岡部哲平：三又又三  小橋アキラ：川野直輝主題歌：いきものがかり『GOLDEN GIRL』（エピックレコードジャパン）監督：酒井聖博　脚本：渡辺啓◇番組HP http://www.tbs.co.jp/yurusanai2014/  迷いと苦悩…女の選択とは？最強の二人が挑む最後の戦い　動画公開しました！  http://youtu.be/upZ6zSblfnE  番組の内容と放送時間は変更になる可能性があります。</t>
  </si>
  <si>
    <t>番組名火曜ドラマ「女はそれを許さない」第10話</t>
  </si>
  <si>
    <t>忠守法律事務所に戻ってきた凛香（寺島しのぶ）と再び最強タッグを組むことになった麗（深田恭子）！そんな時、忠守（上川隆也）が過去の案件で運転手である平田（和泉崇司）の弁護をしていたことが報道される！不信感を抱いた野村（安達祐実）率いる遺族会のメンバーは、忠守法律事務所に対して解任要求を宣告する。次々に明かされる事実に困惑する面々。最大のピンチに麗たちはどう立ち向かうのか！？岩崎麗：深田恭子  海老沢凛香：寺島しのぶ  滝口泰輔：溝端淳平  工藤誠司：吉沢悠  葛城雄二：加藤雅也  児玉義勝：竹中直人  蝶野薫：松重豊  忠守藤次郎：上川隆也    野村涼子：安達祐実　　  岡部哲平：三又又三　　  小橋アキラ：川野直輝　　　　　　主題歌：いきものがかり『GOLDEN GIRL』（エピックレコードジャパン）監督：滝本憲吾　　　　  脚本：高橋泉◇番組HP http://www.tbs.co.jp/yurusanai2014/  最終回映像！最強の二人 最後の戦い! 動画公開しました！  http://youtu.be/JQF7cwPwl7g  年またぎはTBSのスポーツ祭りで！大晦日よる6時からはメッシが参戦するKYOKUGEN！元日あさ8時半からは駅伝日本一決定戦・ニューイヤー駅伝！よる6時からはプルシェンコが舞う！炎の体育会TV！番組の内容と放送時間は変更になる可能性があります。</t>
  </si>
  <si>
    <t>1410_TBS_木21</t>
  </si>
  <si>
    <t>MOZU2</t>
  </si>
  <si>
    <t>番組名木曜ドラマ劇場「MOZU　Season2～幻の翼～」　第1話</t>
  </si>
  <si>
    <t>Season1のラストから半年後。公安の「グラークα」作戦の空白の72時間に妻・千尋（石田ゆり子）に何が起きたのか。情報を得るべくフリーライター・汐里（蒼井優）に接触する。その頃、北海道のエネルギー施設が爆破され、美希（真木よう子）が捜査を担う。そして大杉（香川照之）は死んだはずの「百舌」と同じ手口で殺された死体を見つけ…三人の再会が、国家を揺るがす新たな事件の幕開けを告げる！映像化不可能と言われ続けてきた日本を代表する伝説のハードボイルド小説「百舌」シリーズの映像化をTBSとWOWOWが挑んだ『MOZU』。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https://www.facebook.com/MOZU.TBS.WOWOW  ◇ツイッター  @MOZU2014  https://twitter.com/MOZU2014  ◇YouTube「MOZU.TV」  https://www.youtube.com/user/mozutv監督  羽住英一郎    原作  逢坂剛「百舌の叫ぶ夜」（集英社文庫刊）    脚本  仁志光佑    音楽  菅野祐悟制作協力　ROBOT  製作　TBS・WOWOW  番組の内容と放送時間は変更になる場合があります。</t>
  </si>
  <si>
    <t>番組名木曜ドラマ劇場「MOZU　Season2～幻の翼～」　第2話</t>
  </si>
  <si>
    <t>汐里（蒼井優）が「百舌」らしき男（池松壮亮）と一緒にいることを掴んだ倉木と大杉だったが、その巧みな弁舌に翻弄されてしまう。苛立ちを募らせていたところに突然現れた東（長谷川博己）に挑発され、ついに倉木は森原官房長官との直接対決へ。議員会館前で二人が向かい合った時、倉木に最大の危機が訪れる。映像化不可能と言われ続けてきた日本を代表する伝説のハードボイルド小説「百舌」シリーズの映像化をTBSとWOWOWが挑んだ『MOZU』。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https://www.facebook.com/MOZU.TBS.WOWOW◇ツイッター  @MOZU2014  https://twitter.com/MOZU2014  ◇YouTube「MOZU.TV」  https://www.youtube.com/user/mozutv監督  羽住英一郎    原作  逢坂剛「百舌の叫ぶ夜」（集英社文庫刊）    脚本  仁志光佑    音楽  菅野祐悟制作協力　ROBOT  製作　TBS・WOWOW  番組の内容と放送時間は変更になる場合があります。</t>
  </si>
  <si>
    <t>番組名木曜ドラマ劇場「MOZU　Season2～幻の翼～」　第3話</t>
  </si>
  <si>
    <t>官房長官殺害の嫌疑をかけられた倉木は姿をくらました。同じ頃、車にはねられた美希は、運転手が誰かを察し、傷ついていた。そして、特別な絆で結ばれていた汐里と新谷和彦は、公安部長の池沢（佐野史郎）が開いた衝撃的な記者会見を知り怒りに体を震わせる。事件の裏には大国ロシアの影が…。それぞれの思いが沸騰して行く中、グラークα作戦の核心に迫りつつある倉木の暴走を止めるべく銃を向けたのは…映像化不可能と言われ続けてきた日本を代表する伝説のハードボイルド小説「百舌」シリーズの映像化をTBSとWOWOWが挑んだ『MOZU』。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https://www.facebook.com/MOZU.TBS.WOWOW◇ツイッター  @MOZU2014  https://twitter.com/MOZU2014  ◇YouTube「MOZU.TV」  https://www.youtube.com/user/mozutv監督  羽住英一郎    原作  逢坂剛「百舌の叫ぶ夜」（集英社文庫刊）    脚本  仁志光佑    音楽  菅野祐悟制作協力　ROBOT  製作　TBS・WOWOW18時より放送のSMBC日本シリーズ2014　第5戦　ソフトバンク×阪神の試合状況により、放送時間が変更になる可能性がございます。</t>
  </si>
  <si>
    <t>番組名木曜ドラマ劇場「MOZU　Season2～幻の翼～」　第4話</t>
  </si>
  <si>
    <t>池沢は今や和彦と汐里、共通のターゲットとなった。大杉は、鳴宮（伊藤淳史）の力で倉木の無実の証拠をみつけるが、池沢は相手にしない。倉木のためにも、自分のためにもグラークα作戦のヒントを掴もうと身を捨ててロシア人工作員に接触した美希の前に、倉木が現れた。そして警察上層部に不審を抱いた大杉も合流、3人はロシア人たちが集まるパーティーに潜入する。そこに現れたのは、東、そして、美希の最愛の…映像化不可能と言われ続けてきた日本を代表する伝説のハードボイルド小説「百舌」シリーズの映像化をTBSとWOWOWが挑んだ『MOZU』。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https://www.facebook.com/MOZU.TBS.WOWOW  ◇ツイッター  @MOZU2014  https://twitter.com/MOZU2014  ◇YouTube「MOZU.TV」  https://www.youtube.com/user/mozutv  激しさを増す倉木の暴走…「Season2 ～幻の翼～」第3話（10/30）ダイジェスト＆次回（11/6）予告動画公開しました！  http://youtu.be/qDS3P3FM7p0  監督  羽住英一郎    原作  逢坂剛「百舌の叫ぶ夜」（集英社文庫刊）    脚本  仁志光佑    音楽  菅野祐悟制作協力　ROBOT  製作　TBS・WOWOW  番組の内容と放送時間は変更になる場合があります。</t>
  </si>
  <si>
    <t>番組名木曜ドラマ劇場「MOZU　Season2～幻の翼～」　最終話</t>
  </si>
  <si>
    <t>グラークα作戦が展開されたのは北海道の孤島であることを知った倉木と美希は雪原へと旅立つ。大杉は池沢との対決に臨むが、池沢を狙う百舌、そして汐里と津城（小日向文世）もその場に姿を現す。それは百舌にとっても予想外のできごとであった。やがて想像を遥かに越えたある施設の中で、倉木は千尋の残した痕跡をみつける…過去が甦り、記憶が幻のごとく羽ばたく。倉木が最後にたどりついた「本当の真実」とは？映像化不可能と言われ続けてきた日本を代表する伝説のハードボイルド小説「百舌」シリーズの映像化をTBSとWOWOWが挑んだ『MOZU』。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https://www.facebook.com/MOZU.TBS.WOWOW◇ツイッター  @MOZU2014  https://twitter.com/MOZU2014  ◇YouTube「MOZU.TV」  https://www.youtube.com/user/mozutvクライマックスへ！「Season2 ～幻の翼～」第4話（11/6）ダイジェスト＆最終回（11/13）予告 動画公開しました！  http://youtu.be/RBHeDTmMfiE  監督  羽住英一郎    原作  逢坂剛「百舌の叫ぶ夜」（集英社文庫刊）    脚本  仁志光佑    音楽  菅野祐悟制作協力　ROBOT  製作　TBS・WOWOW  番組の内容と放送時間は変更になる場合があります。</t>
  </si>
  <si>
    <t>1410_TBS_金22</t>
  </si>
  <si>
    <t>Nのために</t>
  </si>
  <si>
    <t>番組名金曜ドラマ「Nのために」　第1話</t>
  </si>
  <si>
    <t>高層マンションに住む、野口貴弘（徳井義実）・奈央子（小西真奈美）夫妻が殺害された。“ある計画”を立てた、大学生の希美（榮倉奈々）、成瀬（窪田正孝）、安藤（賀来賢人）、西崎（小出恵介）は、その殺人現場に居合わせてしまい、西崎が逮捕される。10年後、この事件に疑いを抱く元警察官・高野（三浦友和）は、殺人事件の真相を追い始める。この事件は15年前の夏、希美と成瀬が起こした“ある事件”から始まっていた。15年前、瀬戸内海に浮かぶ青景島。高校生の希美は、ある日、東京から愛人の宮下由妃（柴本幸）を連れて帰ってきた父・晋（光石研）に、母・早苗（山本未來）ともども家を追い出されてしまい・・・。杉下希美・・・榮倉奈々  成瀬慎司・・・窪田正孝  安藤望・・・賀来賢人  　　　　　・  西崎真人・・・小出恵介    杉下晋・・・光石研  杉下早苗・・・山本未來    野口貴弘・・・徳井義実  野口奈央子・・・小西真奈美  　　　　・　　　　　　　　　　　　　　　高野茂・・・三浦友和高野夏恵・・・原日出子  宮下由妃・・・柴本幸  成瀬周平・・・モロ師岡  成瀬瑞穂・・・美保純  杉下洋介・・・葉山奨之音楽　横山克  主題歌『Silly』家入レオ（ビクターエンターテインメント）脚本：奥寺佐渡子  演出：塚原あゆ子  プロデュース・新井順子▽番組HP  http://www.tbs.co.jp/Nnotameni/  ▽twitter  @n_notameni_tbs  https://twitter.com/n_notameni_tbs  金曜ドラマ『Nのために』「最新映像」をスペシャル公開！90秒プロモーション動画公開しました！  http://youtu.be/etkr88WS15Q  熱いカメラ目線で・・・賀来賢人の「M（みなさん）のために」番外編スタート！  http://youtu.be/S0o1BUG3s94  窪田正孝＆賀来賢人ツーショットで試写会突撃リポ！「M（みなさん）のために」番外編＃3  http://youtu.be/3o2bLq6oVhE  番組の内容と放送時間は変更になる場合があります。</t>
  </si>
  <si>
    <t>番組名金曜ドラマ「Nのために」　第2話</t>
  </si>
  <si>
    <t>東京の大学に進学したい希美（榮倉奈々）は、バイトに励みながら、奨学金を受けることが出来ないかと動き始めるが、母・早苗（山本未來）によって、貯めたバイト代を失ってしまう。精神的に追い詰められた希美は、父・晋（光石研）が愛人と暮らす家を燃やそうと思い詰め・・・。一方、成瀬（窪田正孝）は両親が経営する料亭・さざなみが閉店すると聞き、進路変更を余儀なくされる。そんな中、島を揺るがす大事件が起こり・・・。事件の真相を探る高野（三浦友和）は、犯人・西崎（小出恵介）、そして関係者の安藤（賀来賢人）を訪ね、希美と成瀬の居場所を探していた。キーワードとなった言葉は「Nのために」Nとは一体何を意味するのか。杉下希美・・・榮倉奈々  成瀬慎司・・・窪田正孝  安藤望・・・賀来賢人  　　　　　・  西崎真人・・・小出恵介    杉下晋・・・光石研  杉下早苗・・・山本未來    野口貴弘・・・徳井義実  野口奈央子・・・小西真奈美  　　　　・  高野茂・・・三浦友和高野夏恵・・・原日出子  宮下由妃・・・柴本幸  成瀬周平・・・モロ師岡  成瀬瑞穂・・・美保純  桐野繭子・・・伊藤裕子音楽　横山克  主題歌『Silly』家入レオ（ビクターエンターテインメント）脚本：奥寺佐渡子  演出：塚原あゆ子  プロデュース・新井順子▽番組HP  http://www.tbs.co.jp/Nnotameni/  ▽twitter  @n_notameni_tbs  https://twitter.com/n_notameni_tbs  金曜ドラマ『Nのために』#1ダイジェスト＆次回予告「その人の為なら人殺しにもなれる…」 動画公開しました！  http://youtu.be/Cr5hKGlLnvI  番組の内容と放送時間は変更になる場合があります。</t>
  </si>
  <si>
    <t>番組名金曜ドラマ「Nのために」　第3話</t>
  </si>
  <si>
    <t>料亭放火事件以降、希美（榮倉奈々）と成瀬（窪田正孝）に疑いの目を向ける、高野（三浦友和）。そんな高野の目を気にして、希美は成瀬を突き放すようになる。奨学金を成瀬に譲ったものの、進学をあきらめられない希美は、父親（光石研）に直談判することに。また母親（山本未來）も希美を部屋に閉じ込め、進学を阻止しようとする。そして春、東京への大学の進学を決めた希美には、Nたちとの運命の出会いが待っていた。2014年、東京で希美と成瀬の行方を探す高野は、野バラ荘を訪れていた。一方、希美は会社を辞め、10年ぶりに帰国した安藤（賀来賢人）と再会する。また、成瀬にも、西崎（小出恵介）から接触があり・・・。杉下希美・・・榮倉奈々  成瀬慎司・・・窪田正孝  安藤望・・・賀来賢人  　　　　　・  西崎真人・・・小出恵介    杉下晋・・・光石研  杉下早苗・・・山本未來  野原兼文・・・織本順吉    野口貴弘・・・徳井義実  野口奈央子・・・小西真奈美  　　　　・　　　　　　　　　　　　　　　高野茂・・・三浦友和高野夏恵・・・原日出子  宮下由妃・・・柴本幸  成瀬周平・・・モロ師岡  桐野繭子・・・伊藤裕子  池園和幸・・・山中崇音楽　横山克  主題歌『Silly』家入レオ（ビクターエンターテインメント）脚本：奥寺佐渡子  演出：塚原あゆ子  プロデュース・新井順子▽番組HP  http://www.tbs.co.jp/Nnotameni/  ▽twitter  @n_notameni_tbs  https://twitter.com/n_notameni_tbs  金曜22時『Nのために』#2（10/24）ショートダイジェスト「純愛が招いた悲劇」動画公開しました！  http://youtu.be/R-Fa64xNrGc  1分予告！金曜22時『Nのために』#3（10/31）「動き出すN作戦・・・」動画公開しました!  http://youtu.be/Ob8Dqu9Lyfk  窪田正孝、青景島の 駐在所からリポート！「M（みなさん）のために」番外編＃5 金曜22時『Nのために』動画公開しました!  http://youtu.be/QkQFklmy9sI  番組の内容と放送時間は変更になる場合があります。</t>
  </si>
  <si>
    <t>番組名金曜ドラマ「Nのために」　第4話</t>
  </si>
  <si>
    <t>同窓会で青景島に帰ることになった希美（榮倉奈々）は、成瀬（窪田正孝）と再会するも、言葉を交わすことができずに別れる。そんな中、希美たちが住んでいる「野ばら荘」を都市開発から守るために、西崎（小出恵介）は資産家の野口貴弘（徳井義実）に近づく計画を立てる。西崎と安藤（賀来賢人）とともに野口のパーティーに潜入した希美は、オーラを放つ野口と妻の奈央子（小西真奈美）に目を奪われる。2014年、10年前の野口夫妻事件を調べる高野（三浦友和）は、西崎の弁護を務めた弁護士を尋ねる。一方、再開した希美と安藤は、昔話に花を咲かせるが、話が事件に及ぶと希美は避けるように席を立ち・・・。杉下希美・・・榮倉奈々  成瀬慎司・・・窪田正孝  安藤望・・・賀来賢人  　　　　　・  西崎真人・・・小出恵介    杉下早苗・・・山本未來  野原兼文・・・織本順吉    野口貴弘・・・徳井義実  野口奈央子・・・小西真奈美  　　　　・　　　　　　　　　　　　　　　高野茂・・・三浦友和高野夏恵・・・原日出子  成瀬周平・・・モロ師岡  池園和幸・・・山中崇音楽　横山克  主題歌『Silly』家入レオ（ビクターエンターテインメント）脚本：奥寺佐渡子  演出：山本剛義  プロデュース・新井順子▽番組HP  http://www.tbs.co.jp/Nnotameni/  ▽twitter  @n_notameni_tbs  https://twitter.com/n_notameni_tbs  金曜22時『Nのために』#3（10/31）ショートダイジェスト「下は見ない・・・上を見る」動画公開しました！  http://youtu.be/Aw9I4xJ-w10  予告・金曜22時『Nのために』#4（11/7）「Nに隠された過去」動画公開しました！  http://youtu.be/3hjUlamrIO0  番組の内容と放送時間は変更になる場合があります。</t>
  </si>
  <si>
    <t>番組名金曜ドラマ「Nのために」　第5話</t>
  </si>
  <si>
    <t>['#4', '#5']</t>
  </si>
  <si>
    <t>野バラ荘を守るために西崎（小出恵介）がたてたN作戦を決行すべく、希美（榮倉奈々）と安藤（賀来賢人）は沖縄へ向かい、野口（徳井義実）と奈央子（小西真奈美）に近づく。希美の機転により、野口夫妻と親交を深めることに成功した希美たちは東京に戻った後も連絡を取り合うことを約束する。その夜、希美は安藤に突然キスをされる！一方、成瀬（窪田正孝）は、大学の同級生に、怪しいバイトを紹介されるが・・・。10年前の野口夫妻殺人事件に疑念を抱いていた安藤は、高野（三浦友和）の元を訪れ、当時の出来事を語る。安藤の話を聞き、ますます疑惑を強めた高野は、ついに希美の居場所を突き止め・・・。杉下希美・・・榮倉奈々  成瀬慎司・・・窪田正孝  安藤望・・・賀来賢人  　　　　　・  西崎真人・・・小出恵介    杉下早苗・・・山本未來  野原兼文・・・織本順吉    野口貴弘・・・徳井義実  野口奈央子・・・小西真奈美  　　　　・　　　　　　　　　　　　　　　高野茂・・・三浦友和高野夏恵・・・原日出子  杉下洋介・・・葉山奨之音楽　横山克  主題歌『Silly』家入レオ（ビクターエンターテインメント）脚本：奥寺佐渡子  演出：：山本剛義  プロデュース・新井順子▽番組HP  http://www.tbs.co.jp/Nnotameni/  ▽twitter  @n_notameni_tbs  https://twitter.com/n_notameni_tbs  金曜22時『Nのために』#4（11/7）ショートダイジェスト「N作戦へ…」動画公開しました！  http://youtu.be/n37JYt_cN50  予告・金曜22時『Nのために』#5（11/14）「N作戦、遂に決行」動画公開しました！  http://youtu.be/abZKebGIRZU  番組の内容と放送時間は変更になる場合があります。</t>
  </si>
  <si>
    <t>番組名金曜ドラマ「Nのために」　第6話</t>
  </si>
  <si>
    <t>['#5', '#6']</t>
  </si>
  <si>
    <t>高野（三浦友和）の突然の来訪に驚く希美（榮倉奈々）は、10年前のセレブ夫婦殺人事件について語りだす。10年前、野バラ荘を守るために、野口（徳井義実）と奈央子（小西真奈美）に近づいた希美は、野口から奈央子の秘密を打ち明けられる。一方、希美の留守中に野バラ荘を訪れた奈央子は、西崎（小出恵介）と運命的な出会いを果たす。同じ秘密を抱える二人は恋におち、急速に接近していく。青景島では駐在を続ける高野のもとに、成瀬（窪田正孝）が詐欺容疑で警察に逮捕されたという連絡が入る。そんな中、野口が仕事で大失敗をし、希美と安藤（賀来賢人）は野口の身を案じるが・・・。杉下希美・・・榮倉奈々  成瀬慎司・・・窪田正孝  安藤望・・・賀来賢人  　　　　　・  西崎真人・・・小出恵介    野原兼文・・・織本順吉  美雪・・・中越典子    野口貴弘・・・徳井義実  野口奈央子・・・小西真奈美  　　　　・　　　　　　　　　　　　　　　高野茂・・・三浦友和高野夏恵・・・原日出子  桐野繭子・・・伊藤裕子音楽　横山克  主題歌『Silly』家入レオ（ビクターエンターテインメント）脚本：奥寺佐渡子  演出：塚原あゆ子  プロデュース・新井順子▽番組HP  http://www.tbs.co.jp/Nnotameni/  ▽twitter  @n_notameni_tbs  https://twitter.com/n_notameni_tbs  ショートダイジェスト 金曜22時『Nのために』#5（11/14）「沖縄の夜　新たな恋から歯車が狂い出す」動画公開しました！  http://youtu.be/OAsK8Y4Px4E  予告 金曜22時『Nのために』#6（11/21）「動き出す、新たな野望」動画公開しました！  http://youtu.be/5Fs5x-8YWKQ  家入レオが窪田正孝・賀来賢人に質問したプライベートとは！？「M（みなさん）のために」番外編＃8動画公開しました！  　http://youtu.be/dby0Z7QgLiQ番組の内容と放送時間は変更になる場合があります。</t>
  </si>
  <si>
    <t>番組名金曜ドラマ「Nのために」　第7話</t>
  </si>
  <si>
    <t>青景島に帰った希美（榮倉奈々）は、成瀬（窪田正孝）と再会。すぐに昔の関係に戻った二人は、東京でも会う約束をする。一方、奈央子（小西真奈美）との密会を重ねる西崎（小出恵介）は、夫・野口（徳井義実）にDVを受ける奈央子を救いだそうと画策し、希美に想いを打ち明けるが、不倫関係を続ける西崎に希美は猛反対する。しかし、野口夫妻の秘密を知った希美は、西崎の恋を成就させるために、成瀬に相談し・・・。2014年、希美から事件の真相を語られた高野（三浦友和）は、末期の癌だと打ち明ける希美の身を感じる。一方、希美の病気を知らない安藤（賀来賢人）は、希美に指輪をわたし、想いを打ち明けるが・・・。杉下希美・・・榮倉奈々  成瀬慎司・・・窪田正孝  安藤望・・・賀来賢人  　　　　　・  西崎真人・・・小出恵介    野原兼文・・・織本順吉    野口貴弘・・・徳井義実  野口奈央子・・・小西真奈美  　　　　・　　　　　　　　　　　　　　　高野茂・・・三浦友和　高野夏恵・・・原日出子  広田公之・・・福田転球音楽　横山克  主題歌『Silly』家入レオ（ビクターエンターテインメント）脚本：奥寺佐渡子  演出：山本剛義  プロデュース・新井順子▽番組HP  http://www.tbs.co.jp/Nnotameni/  ▽twitter  @n_notameni_tbs  https://twitter.com/n_notameni_tbs  ショートダイジェスト 金曜22時『Nのために』#6（11/21）「語られる、事件当日の悲劇」動画公開しました！  http://youtu.be/WN27pqCr92s予告 金曜22時『Nのために』#7（11/28）「運命の再開ーよみがえる想い」動画公開しました！  http://youtu.be/tMLuRLBHzV0窪田正孝、「慎司の部屋」からリポート！ 「M（みなさん）のために」番外編＃9　金曜22時『Nのために』動画公開しました！  http://youtu.be/PSzLN7pb3z4番組の内容と放送時間は変更になる場合があります。</t>
  </si>
  <si>
    <t>番組名金曜ドラマ「Nのために」　第8話</t>
  </si>
  <si>
    <t>10年ぶりに再会した成瀬（窪田正孝）と高野（三浦友和）。高野は成瀬に、希美（榮倉奈々）と連絡を取るように促す。一方、希美は10年ぶりに野バラ荘を訪れ、西崎（小出恵介）と会っていた。遡ること10年前、奈央子（小西真奈美）と親密な関係になった西崎は、奈央子を夫のDVから助けだすために作戦を立て、希美と成瀬に協力を要請する。西崎の情熱に動かされた希美たちは、奈央子奪還をイブと決め、準備を始めるが・・・。高野から希美の連絡先を聞いた成瀬は、希美に連絡をする。一方、癌のため余命一年と宣告された希美は、自分のこれからを見つめなおす。しかし、突然の病魔が希美を襲い・・・。杉下希美・・・榮倉奈々  成瀬慎司・・・窪田正孝  安藤望・・・賀来賢人  　　　　　・  西崎真人・・・小出恵介    野原兼文・・・織本順吉  西崎美雪・・・中越典子    野口貴弘・・・徳井義実  野口奈央子・・・小西真奈美  　　　　・　　　　　　　　　　　　　　　高野茂・・・三浦友和高野夏恵・・・原日出子  広田公之・・・福田転球音楽　横山克  主題歌『Silly』家入レオ（ビクターエンターテインメント）脚本：奥寺佐渡子  演出：阿南昭宏  プロデュース・新井順子▽番組HP  http://www.tbs.co.jp/Nnotameni/  ▽twitter  @n_notameni_tbs  https://twitter.com/n_notameni_tbs  ショートダイジェスト 金曜22時『Nのために』#7（11/28）「事件へのカウントダウンーN作戦再び」動画公開しました！  http://youtu.be/wW_0EaEli9s  予告 金曜22時『Nのために』#8（12/5）「略奪愛の行方ーエスカレートする狂気」動画公開しました！  http://youtu.be/gjPmG1Vruto原作小説本を30名様にプレゼント！番組の内容と放送時間は変更になる場合があります。</t>
  </si>
  <si>
    <t>番組名金曜ドラマ「Nのために」　第9話</t>
  </si>
  <si>
    <t>高野（三浦友和）と再会した成瀬（窪田正孝）は、15年前のさざなみ放火事件の真実を知ることに。一方、病院に運ばれた希美（榮倉奈々）は、主治医の多田（財前直見）に、ある決意を打ち明ける。そんな希美の前に、成瀬が現れ・・・。遡ること10年前、希美、成瀬、西崎（小出恵介）は、クリスマスイヴに奈央子（小西真奈美）をDV夫から救う作戦を立てる。そして当日、野口宅へ訪れた希美は、思いがけない窮地に立たされる。希美が窮地に立たされていた時、成瀬、安藤（賀来賢人）、西崎もそれぞれスカイローズガーデンを目指していた。まもなく彼らが野口宅へ到着する。希美は考え抜いた結果、ある選択をする。それが悲劇の始まりだった。杉下希美・・・榮倉奈々  成瀬慎司・・・窪田正孝  安藤望・・・賀来賢人  　　　　　・  西崎真人・・・小出恵介      多田医師・・・財前直見（特別出演）      野口貴弘・・・徳井義実  野口奈央子・・・小西真奈美  　　　　・　　　　　　　　　　　　　　　高野茂・・・三浦友和高野夏恵・・・原日出子  成瀬周平・・・モロ師岡音楽　横山克  主題歌『Silly』家入レオ（ビクターエンターテインメント）脚本：奥寺佐渡子  演出：山本剛義  プロデュース・新井順子▽番組HP  http://www.tbs.co.jp/Nnotameni/  ▽twitter  @n_notameni_tbs  https://twitter.com/n_notameni_tbs  余命1年ー迫るタイムリミット　ダイジェスト動画公開しました！  http://youtu.be/0xI2N9umLSk  ついに事件当日が幕を開ける…動画公開しました！  http://youtu.be/3MWFmNOpV4s  番組の内容と放送時間は変更になる場合があります。</t>
  </si>
  <si>
    <t>番組名金曜ドラマ「Nのために」　最終話</t>
  </si>
  <si>
    <t>10年前のイヴ、野口（徳井義実）から安藤（賀来賢人）が僻地に飛ばされると聞いた希美（榮倉奈々）は、安藤を守るため、N作戦を明かしてしまう。一方、奈央子（小西真奈美）を連れ出そうとしていた西崎（小出恵介）は、思わぬトラブルに見舞われる。そこに野口が現れ、西崎と鉢合わせ。西崎は野口に激しい暴行にあうが、外からドアチェーンがかかっていたため逃げられない。N作戦は予想外の展開を迎え、最悪の事態へ・・・。2014年、余命1年の希美は、成瀬（窪田正孝）や安藤に、それぞれからプロポーズされるが、一人で生きていく決意を固めていた。そんなある日、希美は高野（三浦友和）から、母親の連絡先を渡され・・・。杉下希美・・・榮倉奈々  成瀬慎司・・・窪田正孝  安藤望・・・賀来賢人  　　　　　・  西崎真人・・・小出恵介    杉下早苗・・・山本未來  野原兼文・・・織本順吉      野口貴弘・・・徳井義実  野口奈央子・・・小西真奈美  　　　　・　　　　　　　　　　　　　　　高野茂・・・三浦友和多田医師・・・財前直見（特別出演）    高野夏恵・・・原日出子  池園和幸・・・山中崇音楽　横山克  主題歌『Silly』家入レオ（ビクターエンターテインメント）脚本：奥寺佐渡子  演出：塚原あゆ子  プロデュース・新井順子DVD－BOX　プレゼントあり  抽選で20名様▽番組HP  http://www.tbs.co.jp/Nnotameni/  ▽twitter  @n_notameni_tbs  https://twitter.com/n_notameni_tbs  ［ラスト直前ダイジェスト］明かされる放火事件の犯人 金曜22時『Nのために』#9（12/12）ダイジェスト動画公開しました！  http://youtu.be/kFLj1NfFLnk  年またぎはTBSのスポーツ祭りで！大晦日よる6時からはメッシが参戦するKYOKUGEN！元日あさ8時半からは駅伝日本一決定戦・ニューイヤー駅伝！よる6時からはプルシェンコが舞う！炎の体育会TV！番組の内容と放送時間は変更になる場合があります。</t>
  </si>
  <si>
    <t>1410_TBS_日21</t>
  </si>
  <si>
    <t>ごめんね青春！</t>
  </si>
  <si>
    <t>番組名日曜劇場「ごめんね青春！」　第1話</t>
  </si>
  <si>
    <t>あまちゃん後初連ドラ！  宮藤官九郎脚本最新作！  静岡県三島市を舞台に仏教系男子校とカトリック系女子校にまさかの合併話が！主人公・原平助（錦戸亮）を中心に巻き起こる抱腹絶倒のエピソード達。この秋、最注目の極上青春エンターテインメントです。14年前に起こったある事件のために地元から離れられなくなった主人公平助は、母校である三島高校（とんこー）の国語の教師をしている。とんこーは隣の聖三島女学院（三女）との合併、男女共学化を予定していたが、両校は経営方針や宗教観、そして14年前の事件のせいで関係性が非常に悪かった。そんななか、生徒間のトラブル解決のために三女に出向いた平助は、めちゃくちゃ高圧的な女性教師・蜂矢りさ（満島ひかり）と出会う。卒業までの半年間、お試しでクラスの男女を半分ずつシャッフルすることになった二人は、ぶつかり合いながらも嫌々協力することに…。宮藤官九郎  （オリジナルドラマ）山室大輔真島昌利（ザ・クロマニヨンズ）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淡島舞…坂井真紀  三宮大三郎…生瀬勝久  原平太…風間杜夫「言ったじゃないか」　関ジャニ∞  作詞：宮藤官九郎　作曲：峯田和伸  インフィニティ・レコーズ◇番組HP http://www.tbs.co.jp/gomenne_tbs/  TBSテレビ  番組の内容と放送時間は変更になる可能性があります。</t>
  </si>
  <si>
    <t>番組名日曜劇場「ごめんね青春！」第2話</t>
  </si>
  <si>
    <t>男女共学化のお試し期間の一環で、平助（錦戸亮）の三女での教師生活が始まる。しかし最初の授業で女生徒の信頼を勝ち取ることが出来なかったため、完全に舐められてしまう。そんななか、クラス内でこっそり付き合っていた海老沢（重岡大毅）と阿部（森川葵）は、切羽詰ったあまり、大胆な行動に出てしまう。二人の勝手な行動が原因で、共学化も白紙に戻されそうになる。りさ（満島ひかり）にも吉井校長（斉藤由貴）にも詰められた平助は、生徒からの信頼を取り戻すため、自分の過去の出来事から学んだ授業をする。それは、初恋の相手・祐子（波瑠）の思い出につながるものだった…宮藤官九郎  （オリジナルドラマ）　真島昌利（ザ・クロマニヨンズ）  羽毛田丈史言ったじゃないか  関ジャニ∞  作詞：宮藤官九郎　作曲：峯田和伸  インフィニティ・レコーズ原平助・・・錦戸亮  蜂矢りさ・・・満島ひかり  蔦谷サトシ・・・永山絢斗  海老沢ゆずる・・・重岡大毅（ジャニーズWEST）  蜂矢祐子・・・波瑠  山田ビルケンシュトック京子・・・トリンドル玲奈  神保愛・・・川栄李奈  昭島司・・・白洲迅  中井貴子・・・黒島結菜  阿部あまり・・・森川葵  村井守・・・小関裕太  半田豪・・・鈴木貴之  古井豊・・・矢本悠馬  遠藤いずみ・・・富山えり子佐久間りえ・・・久松郁実  成田淳・・・船崎良  大木隆・・・竜星涼    吉井良江・・・斉藤由貴  原みゆき・・・森下愛子  原一平・・・えなりかずき  原江レナ・・・中村静香豪徳寺教頭・・・緋田康人  浜口教頭・・・宍戸美和公  ガールズバーママ・・・植木夏十    淡島舞・・・坂井真紀  三宮大三郎・・・生瀬勝久  原平太・・・風間杜夫山室大輔磯山晶◇番組HP　  http://www.tbs.co.jp/gomenne_tbs/    ◇twitter  @gomenne_tbs 　  https://twitter.com/gomenne_tbs  ◇facebook  https://www.facebook.com/gomennetbs  TBSテレビ  番組の終わりに主題歌CDプレゼントがあります。</t>
  </si>
  <si>
    <t>番組名日曜劇場「ごめんね青春！」　第3話</t>
  </si>
  <si>
    <t>失踪していたサトシ（永山絢斗）と衝撃の再会をする平助（錦戸亮）。祐子（波瑠）とのいきさつや、火事の夜について今まで知らなかった事実を知る。一方、男女共学の続行がかかった学力テストが行われることになり、平助は決死の勉強合宿を寺で敢行する。あまりにも勉強の出来ない男子のために、平助は頭を下げて、成績の良い女子たちの力を借りることにする。初めて、男子と女子の共同作業が行われ、お互いの距離は縮まるが…。宮藤官九郎  （オリジナルドラマ）福田亮介真島昌利（ザ・クロマニヨンズ）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蜂矢善人…平田満  原エレナ…中村静香  豪徳寺教頭…緋田康人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  TBSテレビ  18時より放送のSMBC日本シリーズ2014　第2戦　阪神×ソフトバンクの試合状況により、放送時間が変更になる可能性がございます。</t>
  </si>
  <si>
    <t>番組名日曜劇場「ごめんね青春！」　第4話</t>
  </si>
  <si>
    <t>突然、ガールズバーでサトシ（永山絢斗）に襲い掛かった初老の男・善人（平田満）は、りさ（満島ひかり）と祐子（波瑠）の父親だった。14年前の火事のあと、蜂矢家がたどった数奇な運命を聞かされる平助（錦戸亮）と平太（風間杜夫）。  一方、文化祭実行委員会の活動で、伊豆三津シーパラダイスに出かけた生徒と平助とりさ。そこで、さまざまな恋の駆け引きが行われる。平助とりさの距離が急速に縮まる、ある出来事が…  さらに三女と東高の教師同士の親睦も深まる。東高主催の説法の会に平太の代理で登壇した一平（えなりかずき）は、思いがけない出会いを体験する。道ならぬ恋に発展するのか…。宮藤官九郎  （オリジナルドラマ）金子文紀真島昌利（ザ・クロマニヨンズ）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蜂矢善人…平田満  原エレナ…中村静香  豪徳寺教頭…緋田康人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https://www.facebook.com/gomennetbsTBSテレビ  番組の内容と放送時間は変更になる可能性があります。</t>
  </si>
  <si>
    <t>番組名日曜劇場「ごめんね青春！」　第5話</t>
  </si>
  <si>
    <t>古井（矢本悠馬）が傷だらけで登校してきた。西高生にやられたらしい。古井の仇を討つ為に、生徒達は団結して高校生駅伝に出場することを決める。自主的に絆を深めている生徒達の気持ちに平助（錦戸亮）は感動し、皆のサポート役を引き受ける。  一方、りさ（満島ひかり）は勝手に平助と結ばれると決めたはいいが、「好きなところが見つからない」とシスター吉井（斉藤由貴）、どんまい先生（坂井真紀）らに相談しまくる。そしてラジオ番組「ごめんね青春！」にも…。  駅伝出場にあたり、新しい学校の名前を決める教師達。生徒のトレーニングも進み、準備は整いつつあったが、肝心の古井には実は秘密があった。人知れず悩んだあげく、平助にだけ真実を打ち明ける古井。そして、ついに思い切った行動に出てしまう…宮藤官九郎  （オリジナルドラマ）福田亮介真島昌利（ザ・クロマニヨンズ）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  吉井良江…斉藤由貴原みゆき…森下愛子  原一平…えなりかずき  蜂矢善人…平田満  原エレナ…中村静香  豪徳寺教頭…緋田康人  富永…富澤たけし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  TBSテレビ  15分枠大で放送します。    番組の内容と放送時間は変更になる可能性があります。</t>
  </si>
  <si>
    <t>番組名日曜劇場「ごめんね青春！」　第6話</t>
  </si>
  <si>
    <t>ついに始まった高校生「箱根まで駅伝」。生徒たちはそれぞれの事情から（主に恋愛事情から）走りに集中出来ない。特に中井（黒島結菜）は家の事情を担任の平助（錦戸亮）に相談出来ずにいた。りさ（満島ひかり）も生徒たちの応援をしながら、平助の良いところを相変わらず探しあぐねている。さらに一平（えなりかずき）とドンマイ先生（坂井真紀）の関係も膠着していた。そんな皆の思惑とは別に、レースは意外な展開を見せ…そして教師も生徒も駅伝の思わぬ試合結果に、自分たちも意外な感動を覚える…  そして合同文化祭の準備はいよいよ佳境に入ってきた。受験が重なる生徒たちは自分の役割を減らそうとするなか、秘密を抱えたまま、中井は一人仕事を抱え込んでいた。さらに、一平の不審な行動に気づいた平太（風間杜夫）、平助に探りを入れて来い、と促すが…宮藤官九郎  （オリジナルドラマ）福田亮介真島昌利（ザ・クロマニヨンズ）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体育教師富永…富澤たけし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  TBSテレビ  番組の内容と放送時間は変更になる可能性があります。</t>
  </si>
  <si>
    <t>番組名日曜劇場「ごめんね青春！」　第7話</t>
  </si>
  <si>
    <t>来週、東京の学校に転校してしまうことを周りに隠している生徒会長の中井（黒島結菜）。そんな彼女の気持ちに気づいたりさ（満島ひかり）は、平助（錦戸亮）に中井と二人で新しい校歌を作るように強引に指示する。転校の事実を知らない平助は、なかなか校歌作りを始めないが、そんな姿にいらついたりさは平助と喧嘩してしまう。ようやく事情を知った平助は、1週間でかかって聖駿高校の校歌を作り上げる。一方、ドンマイ先生（坂井真紀）と別れろと平助に言われた一平（えなりかずき）が、なんとか別れ話を切り出そうとするなか、ドンマイ先生は意外な行動に…。  そして中井が転校する日、皆からのサプライズが…。    劇中で発表される、新しい聖駿高校の校歌は、宮藤官九郎作詞、真島昌利作曲の、書き下ろしです！必聴！宮藤官九郎  （オリジナルドラマ）山室大輔真島昌利（ザ・クロマニヨンズ）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  TBSテレビ  番組の内容と放送時間は変更になる可能性があります。</t>
  </si>
  <si>
    <t>番組名日曜劇場「ごめんね青春！」　第8話</t>
  </si>
  <si>
    <t>村井（小関裕太）が三女の制服を着て登校していることが、東高の理事長ある父親（津田寛治）にバレてしまい、合併も合同文化祭も中止だと告げられる。村井は「体は男だけど、心は女」という性的な違和感に悩む性同一性障害だった…。今まで一緒に学生生活を送ってきたクラスメイトたちはまったく動じることなく、そのままの村井を受け入れているが、父親はどうしてもその事実を受け入れられない。平助（錦戸亮）は、なんとか合同文化祭の開催だけでも認めてもらおうと、理事長の家に通いつめるが会ってももらえない。いよいよタイムリミットが近づき、最後のお願いでりさ（満島ひかり）とともに理事長の家に出かけた平助は意外な光景を目にすることに…。  また、平助への気持ちに確信を深めたりさも思い切った行動に…。  さらにさらに、物語のカギを握る人物がついに…。宮藤官九郎  （オリジナルドラマ）金子文紀真島昌利（ザ・クロマニヨンズ）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村井晋太郎…津田寛治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  TBSテレビ  番組の内容と放送時間は変更になる可能性があります。</t>
  </si>
  <si>
    <t>番組名日曜劇場「ごめんね青春！」　第9話</t>
  </si>
  <si>
    <t>雑誌の記者となった祐子（波瑠）が14年ぶりに現れ、青春祭を取材するという。再会を喜び、かつての冷たい態度を謝罪する善人（平田満）。姉の出現に動揺するりさ（満島ひかり）は、平助（錦戸亮）の家に押しかけて寝泊りすることに…。不器用な二人の距離は縮まるが。  一方、合同文化祭の準備は着々と進む。取材を続ける祐子は、平助が生徒たちから絶大な信頼を得ていることを知る。文化祭の開催自体が平助の熱意だという事も。さらに、平太（風間杜夫）は再婚相手としてせつ子（麻生祐未）を家に連れて来ていた。  一平（えなりかずき）も平助も、「お母さん力高め」のせつ子に何も言えない。  あるきっかけで、平助は14年前の火事について、新たな事実を知りショックを受ける。そして、ついに本当のことを告白しなければならない時が来て…。宮藤官九郎  （オリジナルドラマ）福田亮介真島昌利（ザ・クロマニヨンズ）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淡島舞…坂井真紀  三宮大三郎…生瀬勝久  原平太…風間杜夫番組の終わりに、視聴者プレゼントがあります。「言ったじゃないか」　関ジャニ∞  作詞：宮藤官九郎　作曲：峯田和伸  インフィニティ・レコーズ◇番組HP　  http://www.tbs.co.jp/gomenne_tbs/    ◇twitter  @gomenne_tbs 　  https://twitter.com/gomenne_tbs  ◇facebook  https://www.facebook.com/gomennetbs  TBSテレビ  番組の内容と放送時間は変更になる可能性があります。</t>
  </si>
  <si>
    <t>番組名日曜劇場「ごめんね青春！」　第10話</t>
  </si>
  <si>
    <t>ついに始まった合同文化祭、男女で協力して準備してきたイベントを生徒たちは楽しげにこなしていく。自分も夢中になって参加する平助（錦戸亮）。前の晩の告白のショックから立ち直れていないりさ（満島ひかり）はそんな平助を複雑な思いで見ていた。1日目の夜、平助は祐子を呼び出して14年前の火事の真相を話す。平太（風間杜夫）もまた善人（平田満）に本当のことを話していた。そして最終日の後夜祭、あるきっかけで全校生徒の前に立つことになった平助は、ついに今まで黙ってきたことをすべてぶちまけることに…そして迎える思いがけない結末！  もう二度と取り戻せない、あの瞬間！あのかけがえのない時間！自分の青春時代と重ね合わせて、切なくなってください！  笑いと感動の最終回！お見逃しなく！宮藤官九郎  （オリジナルドラマ）山室大輔真島昌利（ザ・クロマニヨンズ）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蜂矢善人…平田満  原エレナ…中村静香  豪徳寺教頭…緋田康人  淡島舞…坂井真紀  三宮大三郎…生瀬勝久  原平太…風間杜夫「言ったじゃないか」　関ジャニ∞  作詞：宮藤官九郎　作曲：峯田和伸  インフィニティ・レコーズ番組の終わりに視聴者プレゼントがあります！◇番組HP　  http://www.tbs.co.jp/gomenne_tbs/    ◇twitter  @gomenne_tbs 　  https://twitter.com/gomenne_tbs  ◇facebook  https://www.facebook.com/gomennetbs  年またぎはTBSのスポーツ祭りで！大晦日よる6時からはメッシが参戦するKYOKUGEN！元日あさ8時半からは駅伝日本一決定戦・ニューイヤー駅伝！よる6時からはプルシェンコが舞う！炎の体育会TV！番組の内容と放送時間は変更になる可能性があります。    【制作】  TBSテレビ</t>
  </si>
  <si>
    <t>1407_TBS_月20</t>
  </si>
  <si>
    <t>ペテロの葬列</t>
  </si>
  <si>
    <t>番組名月曜ミステリーシアター「ペテロの葬列」第1話　初回2時間スペシャル</t>
  </si>
  <si>
    <t>主人公・杉村三郎（小泉孝太郎）はある取材の帰りにバスジャック事件に遭遇してしまう。事件を起こしたのは一人の老人だった。老人は警察を呼び、三人の名前を挙げ、ここに連れて来いと言う。また人質全員には「後で賠償金をお支払いします」と謎の提案をし、杉村たちは人質は老人の奇妙な提案に翻弄されていく・・・。はたして犯人の目的は一体何なのか？杉村三郎…小泉孝太郎  間野京子…長谷川京子  杉村菜穂子…国仲涼子  手島雄一郎…ムロツヨシ  橋本真佐彦…高橋一生  柴野和子…青山倫子  坂本啓…細田善彦    迫田とよ子…島かおり  森信宏…柴俊夫    今多嘉親（回想）…平幹二朗    水田大造…本田博太郎  園田瑛子…室井滋  田中雄一郎…峰竜太  佐藤一郎…長塚京三宮部みゆき　「ペテロの葬列」（集英社）主題歌　『心情呼吸』 近藤晃央(アリオラジャパン)  プロデューサー：鈴木早苗　橘康仁  脚本：神山由美子  音楽：横山  克  演出：金子文紀■番組HP  http://www.tbs.co.jp/petero2014/  ■ツイッター  @petero_tbs   https://twitter.com/petero_tbs  小泉孝太郎「奮い立たせてくれる！」と絶賛！新ドラマ主題歌「心情呼吸」近藤晃央と現場対談  http://youtu.be/bhA0NchrkZo  最新30秒スポット公開！7/7『ペテロの葬列』小泉孝太郎・宮部みゆき  http://youtu.be/uaMIQQkDroU  ネット限定！小泉孝太郎がみどころをフリートーク番外編「杉村三郎の今週の事件メモ」スタート！  http://youtu.be/guCnAEdKBzg2分まとめ！7/7スタート『ペテロの葬列』小泉孝太郎・宮部みゆき  http://youtu.be/SRiBytlTMkI  制作協力 ： ドリマックス  製作著作 ： TBS  番組の内容と放送時間は、変更になる場合があります。</t>
  </si>
  <si>
    <t>番組名月曜ミステリーシアター「ペテロの葬列」　第2話</t>
  </si>
  <si>
    <t>奇妙なバスジャック事件に巻き込まれた主人公・杉村三郎（小泉孝太郎）は自殺してしまった犯人(長塚京三)が一体何者だったのか気にしていた・・・。事件の影響で会社を休んでいる園田編集長、他の被害者たちも少なからず影響を受けていた。一方「あおぞら」編集部には菜穂子の紹介で間野京子(長谷川京子)が働き始める。そんなある日、バスジャック被害者たちの元に犯人が約束した“慰謝料”が届くのだった・・・。杉村三郎…小泉孝太郎  間野京子…長谷川京子  杉村菜穂子…国仲涼子  手島雄一郎…ムロツヨシ  橋本真佐彦…高橋一生  柴野和子…青山倫子  坂本啓…細田善彦    迫田とよ子…島かおり  森信宏…柴俊夫    水田大造…本田博太郎  田中雄一郎…峰竜太宮部みゆき　「ペテロの葬列」　（集英社）主題歌　『心情呼吸』 近藤晃央(アリオラジャパン)  プロデューサー：鈴木早苗　橘康仁  脚本：神山由美子  音楽：横山  克  演出：岡本伸吾■番組HP  http://www.tbs.co.jp/petero2014/  ■ツイッター  @petero_tbs   https://twitter.com/petero_tbs奇妙なバスジャック犯人の正体とは・・・7/14『ペテロの葬列』小泉孝太郎・宮部みゆき 動画公開しました！  http://youtu.be/GsLbnEYYnwo  WEB限定！小泉孝太郎、バスジャック事件のみどころは!？「杉村三郎の今週の事件メモ」2 バスジャック事件のみどころは！？動画公開しました！  http://youtu.be/ifygElCq0sA  制作協力 ： ドリマックス   製作著作 ： TBS  番組の内容と放送時間は、変更になる場合があります。</t>
  </si>
  <si>
    <t>番組名月曜ミステリーシアター「ペテロの葬列」　第3話</t>
  </si>
  <si>
    <t>奇妙なバスジャック事件に巻き込まれた主人公・杉村三郎（小泉孝太郎）たちの元に自殺してしまった犯人(長塚京三)から約束の“慰謝料”が届くが、突然手にした大金にバスジャック被害者たちは困悪していた・・・。犯人に共犯者がいるのだろうか？そして犯人が捜していた“三悪人”とは何者なのか・・・。杉村たちは事件の真相を求めて捜査を始めるのだった・・・。杉村三郎…小泉孝太郎  間野京子…長谷川京子  杉村菜穂子…国仲涼子  手島雄一郎…ムロツヨシ  橋本真佐彦…高橋一生  柴野和子…青山倫子  坂本啓…細田善彦    老婦人…中尾ミエ    水田大造…本田博太郎  田中雄一郎…峰竜太宮部みゆき　「ペテロの葬列」　（集英社）主題歌　『心情呼吸』 近藤晃央(アリオラジャパン)プロデューサー：鈴木早苗　橘康仁  脚本：神山由美子  音楽：横山  克  演出：岡本伸吾▽番組HP  http://www.tbs.co.jp/petero2014/  ▽ツイッター  @petero_tbs   https://twitter.com/petero_tbs  バスジャックの犯人から届いた慰謝料の謎...7/21　『ペテロの葬列』小泉孝太郎・宮部みゆき　動画公開しました！  http://youtu.be/RNIWm5s6zak  WEB限定！小泉孝太郎が「照れ」ながら語った次回みどころ！「杉村三郎の今週の事件メモ」3動画公開しました！  http://youtu.be/5Xm1ExedKsw  制作発表・前編を公開！月曜ミステリーシアター『ペテ ロの葬列』動画公開しました！  http://youtu.be/XiqlczjiQu8  既婚者の気持ちが分かった」三角関係に悩む？小泉の 本音炸裂！『ペテロの葬列』制作発表・後編動画公開しました！  http://youtu.be/lOrhBAz7y9Q  制作協力 ： ドリマックス   製作著作 ： TBS  番組の内容と放送時間は、変更になる場合があります。</t>
  </si>
  <si>
    <t>番組名月曜ミステリーシアター「ペテロの葬列」　第4話</t>
  </si>
  <si>
    <t>奇妙なバスジャック事件に巻き込まれた主人公・杉村三郎（小泉孝太郎）は自殺してしまった犯人(長塚京三)から届いた“慰謝料”の真相を探るため、バスジャック被害者たちと捜査を続けていた。一方、事件以来ずっと休職中の園田編集長(室井滋)が、異様なほど犯人に嫌悪感を抱いていた本当の理由が明らかに・・・。はたして編集長の過去とバスジャック犯にはどんな接点が？そして杉村は新たな事件に巻き込まれていく・・・。杉村三郎…小泉孝太郎  間野京子…長谷川京子  杉村菜穂子…国仲涼子  手島雄一郎…ムロツヨシ  橋本真佐彦…高橋一生  柴野和子…青山倫子  坂本啓…細田善彦    森信宏…柴俊夫  森弥生…山口果林    水田大造…本田博太郎  田中雄一郎…峰竜太  園田瑛子…室井滋  今多嘉親…平幹二朗宮部みゆき　「ペテロの葬列」（集英社）主題歌　『心情呼吸』 近藤晃央(アリオラジャパン)  プロデューサー：鈴木早苗　橘康仁  脚本：神山由美子  音楽：横山  克  演出：竹村謙太郎▽番組HP  http://www.tbs.co.jp/petero2014/  ▽ツイッター  @petero_tbs   https://twitter.com/petero_tbs  バスジャック犯の謎を調べ始める..7/28　『ペテロの葬列』小泉孝太郎・宮部みゆき動画公開しました！  http://youtu.be/VXprgWNtFFg  ムロツヨシ登場！小泉孝太郎とみどころ激トーク！「杉村三郎の今週の事件メモ」4　動画公開しました！http://youtu.be/TsrmUrmZ7Ko  制作協力 ： ドリマックス   製作著作 ： TBS  番組の内容と放送時間は、変更になる場合があります。</t>
  </si>
  <si>
    <t>番組名月曜ミステリーシアター「ペテロの葬列」　第5話</t>
  </si>
  <si>
    <t>奇妙なバスジャック事件に巻き込まれた主人公・杉村三郎（小泉孝太郎）たちバスジャック被害者たちは自殺してしまった犯人(長塚京三)から届いた“慰謝料”の真相と“三悪人”の正体を探っていた。そんなある日、杉村は間野京子(長谷川京子)から突然相談を持ちかけられる・・・。そして北見一郎(大杉漣)の墓で遭遇した足立則生(渋川清彦)の事件にも巻き込まれていくのだった・・・。杉村三郎…小泉孝太郎  間野京子…長谷川京子  杉村菜穂子…国仲涼子  手島雄一郎…ムロツヨシ  橋本真佐彦…高橋一生    北見一郎…大杉漣  北見容子…かとうかず子  猿田…桜木健一    水田大造…本田博太郎  田中雄一郎…峰竜太  園田瑛子…室井滋宮部みゆき　「ペテロの葬列」（集英社）主題歌　『心情呼吸』 近藤晃央(アリオラジャパン)プロデューサー：鈴木早苗　橘康仁  脚本：神山由美子  音楽：横山  克  演出：金子文紀▽番組HP  http://www.tbs.co.jp/petero2014/  ▽ツイッター  @petero_tbs   https://twitter.com/petero_tbs  制作協力 ： ドリマックス   製作著作 ： TBS  事件に没頭する杉村の周辺に変化が…8/4　『ペテロ の葬列』小泉孝太郎・宮部みゆき動画公開しました！  http://youtu.be/d_rorSKF2UY  室井滋登場！小泉の「過去」話に行け行けドンドン！「杉村三郎の今週の事件メモ」5　動画公開しました！  http://youtu.be/tpoWXhIc8rY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</si>
  <si>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番組名月曜ミステリーシアター「ペテロの葬列」　第6話</t>
  </si>
  <si>
    <t>奇妙なバスジャック事件に巻き込まれた主人公・杉村三郎（小泉孝太郎）たちバスジャック被害者たちは自殺してしまった犯人(長塚京三)から届いた“慰謝料”の送り主を探していた。一方、杉村が巻き込まれた殺人事件は意外な結末を迎えるのだった。そんなある日、頑なに杉村たちとの接触を避けていた被害者のひとり、迫田とよ子(島かおり)の娘・美和子(安藤玉恵)からある秘密を聞かされる・・・。杉村三郎…小泉孝太郎  間野京子…長谷川京子  杉村菜穂子…国仲涼子  手島雄一郎…ムロツヨシ  橋本真佐彦…高橋一生    迫田とよ子…島かおり  北見容子…かとうかず子    水田大造…本田博太郎  田中雄一郎…峰竜太  園田瑛子…室井滋宮部みゆき　「ペテロの葬列」（集英社）主題歌　『心情呼吸』 近藤晃央(アリオラジャパン)  プロデューサー：鈴木早苗　橘康仁  脚本：神山由美子  音楽：横山  克  演出：山崎統司▽番組HP  http://www.tbs.co.jp/petero2014/  ▽ツイッター  @petero_tbs   https://twitter.com/petero_tbs  制作協力 ： ドリマックス   製作著作 ： TBS  家族に悪が伝染する…『ペテロの葬列』第6話 （8/11）小泉孝太郎・宮部みゆき　動画公開しました！  http://youtu.be/DCwQmcqGFy4  峰竜太登場！八百屋のおばちゃんも気になる「お金の行方」は？「杉村三郎の今週の事件メモ」6動画公開しました！  http://youtu.be/KjQyiTvmWTY  番組の内容と放送時間は、変更になる場合があります。</t>
  </si>
  <si>
    <t>番組名月曜ミステリーシアター「ペテロの葬列」　第7話</t>
  </si>
  <si>
    <t>奇妙なバスジャック事件に巻き込まれた主人公・杉村三郎（小泉孝太郎）たちバスジャック被害者たちは犯人(長塚京三)から届いた“慰謝料”の送り主を探していた。そんな中、迫田とよ子(島かおり)の娘・美和子(安藤玉恵)から衝撃の事実を聞かされ、ついに“慰謝料”を受け取る決意をする。一方、菜穂子(国仲涼子)とパーティーに出席した杉村は偶然合った間野(長谷川京子)に相談を持ちかけられるのだった・・・。杉村三郎…小泉孝太郎  間野京子…長谷川京子  杉村菜穂子…国仲涼子  手島雄一郎…ムロツヨシ  橋本真佐彦…高橋一生  柴野和子…青山倫子  坂本啓…細田善彦    水田大造…本田博太郎  迫田とよ子…島かおり  田中雄一郎…峰竜太  園田瑛子…室井滋  暮木一光…長塚京三宮部みゆき　「ペテロの葬列」（集英社）主題歌　『心情呼吸』 近藤晃央(アリオラジャパン)プロデューサー：鈴木早苗　橘康仁  脚本：神山由美子  音楽：横山  克  演出：竹村謙太郎▽番組HP  http://www.tbs.co.jp/petero2014/  ▽ツイッター  @petero_tbs   https://twitter.com/petero_tbs  バスジャック犯の本当の目的とは…『ペテロの葬列』第7話（8/18）小泉孝太郎・宮部みゆき  http://youtu.be/zTe32OcUO94  岡本玲が激怒でダメ出しまくり！？「杉村三郎の今週の事件メモ」7  http://youtu.be/SWl8_KDGAjw  制作協力 ： ドリマックス・テレビジョン  製作著作 ： TBS  番組の内容と放送時間は、変更になる場合があります。</t>
  </si>
  <si>
    <t>番組名月曜ミステリーシアター「ペテロの葬列」　第8話</t>
  </si>
  <si>
    <t>奇妙なバスジャック事件に巻き込まれた主人公・杉村三郎（小泉孝太郎）らバスジャック被害者たちは犯人(長塚京三)から届いた“慰謝料”を受け取ることに決めた。それによって今多コンツェルンを辞めることになる杉村はパーティー会場から突然いなくなった妻・菜穂子(国仲涼子)の想いに衝撃を受ける。一方、慰謝料を送った人物(冨士眞奈美)を特定した杉村たちは事件の真相を確かめるため群馬に向かうのだった…。杉村三郎…小泉孝太郎  間野京子…長谷川京子  杉村菜穂子…国仲涼子  手島雄一郎…ムロツヨシ  橋本真佐彦…高橋一生  坂本啓…細田善彦    森信宏…柴俊夫  森弥生…山口果林  水田大造…本田博太郎    早川多恵…冨士眞奈美  園田瑛子…室井滋  今多嘉親…平幹二朗宮部みゆき　「ペテロの葬列」（集英社）主題歌　『心情呼吸』 近藤晃央(アリオラジャパン)プロデューサー：鈴木早苗　橘康仁  脚本：神山由美子  音楽：横山  克  演出：金子文紀▽番組HP  http://www.tbs.co.jp/petero2014/  ▽ツイッター  @petero_tbs   https://twitter.com/petero_tbs  制作協力 ： ドリマックス・テレビジョン  製作著作 ： TBS  遂に犯人の正体が明かされる…！『ペテロの葬列』第8話（8/25）小泉孝太郎・宮部みゆき動画公開しました！  http://youtu.be/OKpC23Ulml4  ムロツヨシ再登場！小泉に詰め寄る！？「杉村三郎の今週の事件メモ」8動画公開しました！  http://youtu.be/DStvpfu44IM  番組の内容と放送時間は、変更になる場合があります。</t>
  </si>
  <si>
    <t>番組名月曜ミステリーシアター「ペテロの葬列」　第9話</t>
  </si>
  <si>
    <t>奇妙なバスジャック事件に巻き込まれた主人公・杉村三郎（小泉孝太郎）らバスジャック被害者たちは犯人(長塚京三)の“慰謝料”を送った人物(冨士眞奈美)から、犯人・羽田光昭の過去、そして事件の真相を聞かされる。一方、間野(長谷川京子)は杉村の自分への態度が突然変わったことにショックを受ける。そんなある日、間野が森常務(柴俊夫)の家を訪ねた帰り、再びバスジャックが起きるのだった…。杉村三郎…小泉孝太郎  間野京子… 長谷川京子  杉村菜穂子…国仲涼子  手島雄一郎…ムロツヨシ  橋本真佐彦…高橋一生  坂本啓…細田善彦    老婦人…中尾ミエ  水田大造…本田博太郎    早川多恵…冨士眞奈美  園田瑛子…室井滋  暮木一光…長塚京三宮部みゆき　「ペテロの葬列」（集英社）主題歌　『心情呼吸』 近藤晃央(アリオラジャパン)プロデューサー：鈴木早苗　橘康仁  脚本：神山由美子  音楽：横山  克  演出：山崎統司▽番組HP  http://www.tbs.co.jp/petero2014/  ▽ツイッター  @petero_tbs   https://twitter.com/petero_tbs  再び「バスジャック」が起こる…『ペテロの葬列』第9話（9/1）小泉孝太郎・宮部みゆき　動画公開しました！  http://youtu.be/aqS3RAnZuYU清水富美加・細田善 彦と「フレッシュな感じで！」 「杉村三郎の今週の事件メモ」 9動画公開しました！  http://youtu.be/roN2SGh3O8Q制作協力 ： ドリマックス・テレビジョン  製作著作 ： TBS  番組の内容と放送時間は、変更になる場合があります。</t>
  </si>
  <si>
    <t>番組名月曜ミステリーシアター「ペテロの葬列」　第10話</t>
  </si>
  <si>
    <t>奇妙なバスジャック事件に巻き込まれた主人公・杉村三郎（小泉孝太郎）らバスジャック被害者たちは犯人(長塚京三)の“慰謝料”を送った人物(冨士眞奈美)から、犯人・羽田光昭の過去、そして事件の真相を聞かされた。その翌日、間野(長谷川京子)を乗せたバスがバスジャック被害者だった坂本(細田善彦)によってバスジャックされる。一方、広報室には間野に騙されたという男(野間口徹)が訪ねてくるのだった。杉村三郎…小泉孝太郎  間野京子…長谷川京子  杉村菜穂子…国仲涼子  手島雄一郎…ムロツヨシ  橋本真佐彦…高橋一生  坂本啓…細田善彦    水田大造…本田博太郎  早川多恵…冨士眞奈美  園田瑛子…室井滋  暮木一光…長塚京三宮部みゆき　「ペテロの葬列」（集英社）主題歌　『心情呼吸』 近藤晃央(アリオラジャパン)  プロデューサー：鈴木早苗　橘康仁  脚本：神山由美子  音楽：横山  克  演出：竹村謙太郎▽番組HP  http://www.tbs.co.jp/petero2014/  ▽ツイッター  @petero_tbs   https://twitter.com/petero_tbs  彼女は何かを知っている…『ペテロの葬列』第10話（9/8）小泉孝太郎・宮部みゆき　動画公開しました！  http://youtu.be/3DeQMekZkjQ  制作協力 ： ドリマックス・テレビジョン  製作著作 ： TBS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</si>
  <si>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番組名月曜ミステリーシアター「ペテロの葬列」最終回！よる10時10分より放送！</t>
  </si>
  <si>
    <t>奇妙なバスジャック事件に巻き込まれた主人公・杉村三郎（小泉孝太郎）らバスジャック被害者たちはようやく事件の真相を知ることが出来たのだが、バスジャック被害者であった坂本(細田善彦)が再びバスジャック事件を起こしてしまったことで杉村たちは警察に呼ばれることに。一方、菜穂子(国仲涼子)と橋本(高橋一生)の関係をあやしく思った井手(千葉哲也)はある行動にでるのだった。はたして杉村の決断は・・・。杉村三郎…小泉孝太郎  間野京子…長谷川京子  杉村菜穂子…国仲涼子  手島雄一郎…ムロツヨシ  橋本真佐彦…高橋一生  坂本啓…細田善彦    迫田とよ子…島かおり  森信宏…柴俊夫  森弥生…山口果林    水田大造…本田博太郎  田中雄一郎…峰竜太  園田瑛子…室井滋  今多嘉親…平幹二朗　山藤警部…金山一彦  今内警部補…西村元貴  野本敦弘…犬飼貴丈宮部みゆき　「ペテロの葬列」（集英社）主題歌　『心情呼吸』 近藤晃央(アリオラジャパン)  プロデューサー：鈴木早苗　橘康仁  脚本：神山由美子  音楽：横山  克  演出：金子文紀▽番組HP  http://www.tbs.co.jp/petero2014/  ▽ツイッター  @petero_tbs   https://twitter.com/petero_tbs  最後に…誰が罪を犯すのか！？予想外の「真実」… 『ペテロの葬列』最終話 （9/15）小泉孝太郎・宮部 みゆき  http://youtu.be/Cem1iubsLok最終回は…「夫婦」で出演！国仲涼子登場！「杉村三郎の今週の事件メモ」動画公開しました！  http://youtu.be/Iw1g4Dse73Q  制作協力 ： ドリマックス・テレビジョン  製作著作 ： TBS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</si>
  <si>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1407_TBS_火22</t>
  </si>
  <si>
    <t>東京スカーレット</t>
  </si>
  <si>
    <t>番組名火曜ドラマ「東京スカーレット～警視庁NS係」第1話◆東京は彼女達が守る</t>
  </si>
  <si>
    <t>2020年に向けて世界の注目を集めるTOKYO。その治安を守る警視庁捜査一課長・岩井十三（中村雅俊）は、女性トップの新しい捜査係“NS係”を開設する。所轄署の刑事・鳴滝杏（水川あさみ）は、ひょんなことからNS係を手伝うことに。しかし、恋人の求婚で生き方に迷いがーー。同時に、不正疑惑のある刑事・阿藤宗介（生瀬勝久）もNS係に配属され、チグハグな部下達に、係長・出町いずみ（キムラ緑子）は手を焼く。都内湾岸で起きたホステス殺人事件。犯人の逃走経路には、超高級マンションがそびえ立っていたーー。門で閉ざされた安全な空間が、逆に密室となる！？　個性派刑事達が東京を駆ける、ヒューマン・ミステリー誕生！鳴滝　杏……水川あさみ  阿藤宗介……生瀬勝久  堀　徳美……菅原大吉  荒木田　満……近藤公園  芝浜勘太郎……ラサール石井  出町いずみ……キムラ緑子  岩井十三……中村雅俊赤松公彦……青山　勝  和久井弘志……松澤一之  森島裕也……内倉憲二  木村芽衣……奥村佳恵  坂本健太……内野謙太  三沢百合子……岩田さゆり  遠山佳織……東風万智子  小林トオル……黄川田将也【主題歌】  「I'm Scarlet」moumoon(avex trax)    【オープニングテーマ】  「リスタート」　wacci(EPICレコードジャパン)  脚本：岩下悠子  音楽：池　頼広  監督：近藤俊明  編成：橋本　孝・高山暢比古  プロデューサー：須藤泰司◇番組HP  http://www.tbs.co.jp/to-sca/    ◇twitter  https://twitter.com/tokyosca_tbs  @TokyoSca_TBS  【東京スカーレット　30秒CMはコチラ】  http://www.youtube.com/watch?v=I-LPe5uFrmM  2分でわかる！7/15スタート『東京スカーレット』東京を「彼女たち」が守る！動画公開しました！  http://youtu.be/TQAlZiif6m8  東映・TBSテレビ  番組の内容と放送時間は、変更になる場合があります。</t>
  </si>
  <si>
    <t>番組名火曜ドラマ「東京スカーレット～警視庁NS係」第2話◆最高に幸福な殺人事件</t>
  </si>
  <si>
    <t>2020年に向けて、警視庁捜査一課長・岩井十三（中村雅俊）が新設した、女性トップの捜査係“NS係”。人手不足に手を焼く係長・出町いずみ（キムラ緑子）の下に、新人刑事の鳴滝杏（水川あさみ）が加入。謎の過去を持つ元敏腕刑事・阿藤宗介（生瀬勝久）、いずみの義弟の生き字引・堀徳美（菅原大吉）、元鑑識のイクメン・荒木田満（近藤公園）ら、個性派メンバーが活躍！NS係が挑む初の事件はバラバラ殺人！4年前の死体遺棄を自白した男・小田。さっそく杏が都内の山林で白骨を発見。いずみの捜査では、人気漫画家・夢野の関連性が浮上する。個性派刑事達が東京を駆けるヒューマン・ミステリー、第2話衝撃のラスト！　鳴滝　杏……水川あさみ  阿藤宗介……生瀬勝久  堀　徳美……菅原大吉  荒木田　満……近藤公園  芝浜勘太郎……ラサール石井  出町いずみ……キムラ緑子  岩井十三……中村雅俊【ゲスト】  小田光彦……梶原善  夢野圭一郎……高橋洋  　　　□  赤松公彦……青山　勝  和久井弘志……松澤一之  森島裕也……内倉憲二  木村芽衣……奥村佳恵【主題歌】  「I'm Scarlet」moumoon(avex trax)    【オープニングテーマ】  「リスタート」　wacci(EPICレコードジャパン)  脚本：岩下悠子  音楽：池　頼広  監督：近藤俊明  編成：橋本　孝・高山暢比古  プロデューサー：須藤泰司◇番組HP  http://www.tbs.co.jp/to-sca/    ◇twitter  https://twitter.com/tokyosca_tbs  @TokyoSca_TBS  NS係　初めての事件！『東京スカーレット』第2話（7/22）予告公開！動画公開しました！  http://youtu.be/nbXewnze498  東映・TBSテレビ  番組の内容と放送時間は、変更になる場合があります。</t>
  </si>
  <si>
    <t>番組名火曜ドラマ「東京スカーレット～警視庁NS係」第3話◆ブラック企業の殺意</t>
  </si>
  <si>
    <t>警視庁捜査一課長・岩井十三（中村雅俊）が新設した、女性トップの捜査係“NS係”。係長・出町いずみ（キムラ緑子）の下に、新人刑事の鳴滝杏（水川あさみ）、謎の過去を持つ元敏腕刑事・阿藤宗介（生瀬勝久）、いずみの義弟の生き字引・堀徳美（菅原大吉）、元鑑識のイクメン・荒木田満（近藤公園）ら、個性派メンバーが集結！[第3話]ブラック企業とされる居酒屋で殺人事件が発生！誰が悲劇を招いたのか！？衝撃の真相！！深夜の居酒屋チェーン店でアルバイトが殺害された。コスト削減によるお粗末なセキュリティが悲劇を招いた！？杏は社長を直撃する！個性派刑事達が東京を駆けるヒューマン・ミステリー第3話！衝撃の真相とは！？　鳴滝　杏……水川あさみ  阿藤宗介……生瀬勝久  堀　徳美……菅原大吉  荒木田　満……近藤公園  出町いずみ……キムラ緑子  岩井十三……中村雅俊【ゲスト】  原田志保……小林涼子  三浦万里江……玄里  榊　清文……山崎大輔  白川三千雄……奥田達士  福室征治……津村知与支  財前茂光……柳　憂怜　○  赤松公彦……青山　勝  和久井弘志……松澤一之  森島裕也……内倉憲二  木村芽衣……奥村佳恵【主題歌】  「I'm Scarlet」moumoon(avex trax)    【オープニングテーマ】  「リスタート」　wacci(EPICレコードジャパン)  脚本：入江信吾  音楽：池　頼広  監督：森本浩史  編成：橋本　孝・高山暢比古  プロデューサー：須藤泰司◇番組HP  http://www.tbs.co.jp/to-sca/    ◇twitter  https://twitter.com/tokyosca_tbs  @TokyoSca_TBS  解決の決め手は「勇気」！『東京スカーレット』第3話 （7/29）予告動画公開しました！  http://youtu.be/92SQwkgwMYQ  東映・TBSテレビ  番組の内容と放送時間は、変更になる場合があります。</t>
  </si>
  <si>
    <t>番組名火曜ドラマ「東京スカーレット～警視庁NS係」　第4話◆増殖する嘘</t>
  </si>
  <si>
    <t>警視庁捜査一課長・岩井十三（中村雅俊）が新設した、女性トップの“NS係”。出町いずみ係長（キムラ緑子）の下に、新人刑事の鳴滝杏（水川あさみ）、謎の過去を持つ阿藤宗介（生瀬勝久）、事情通の堀徳美（菅原大吉）、元鑑識の荒木田満（近藤公園）が集結！[第4話]2020年に向けて視察団が来日。警護する杏と宗介に、殺人ウイルス盗難の知らせが入る！テロリストが近づく時、2人は視察団を、そして東京を守れるか！？都内研究所で発見された「ダイエットウイルス」。しかしウイルスには猛毒が……そして盗難事件発生。極秘捜査するNS係が犯人の足取りを追う！個性派刑事達はテロを防げるか！？ヒューマン・ミステリー第4話！鳴滝　杏……水川あさみ  阿藤宗介……生瀬勝久  堀　徳美……菅原大吉  荒木田　満……近藤公園  出町いずみ……キムラ緑子  岩井十三……中村雅俊  【ゲスト】  桂井麻夫……川岡大次郎  加賀　彬……中村育二  　　　□赤松公彦……青山　勝  和久井弘志……松澤一之  森島裕也……内倉憲二  木村芽衣……奥村佳恵【主題歌】  「I'm Scarlet」moumoon(avex trax)    【オープニングテーマ】  「リスタート」　wacci(EPICレコードジャパン)  脚本：櫻井武晴  音楽：池　頼広  監督：森本浩史  編成：橋本　孝・高山暢比古  プロデューサー：須藤泰司◇番組HP  http://www.tbs.co.jp/to-sca/    ◇twitter  https://twitter.com/tokyosca_tbs  @TokyoSca_TBS  東映・TBSテレビ  殺人ウィルステロが発生？杏に感染？『東京スカーレッ ト』第4話（8/5）予告動画公開しました  http://youtu.be/nO1kwXfRwF4番組の内容と放送時間は、変更になる場合があります。</t>
  </si>
  <si>
    <t>番組名火曜ドラマ「東京スカーレット～警視庁NS係」　第5話◆死刑囚と結婚した女</t>
  </si>
  <si>
    <t>NS係は死刑囚の妻・真由子（中村ゆり）の警護を命じられる。真由子には嫌がらせが相次いでいた。ところが、真由子の一生の恩人が、死んだ岡林刑事（村田雄浩）だったため、阿藤は真由子から警護を拒否される。5年前、阿藤と岡林に何があったのか？過去と現在が結びつく時、謎がついに明かされる！？一方、警護を続ける鳴滝杏は、大きな失態を犯してしまう。刑事の執念が悲劇に救いをもたらす…。ヒューマン・ミステリー第5話！捜査一課長・岩井（中村雅俊）が創設した女性トップの“NS係”。出町係長（キムラ緑子）の下に、“ダルタニアン”こと鳴滝杏（水川あさみ）と、阿藤宗介（生瀬勝久）、堀（菅原大吉）、荒木田（近藤公園）が集結！鳴滝　杏……水川あさみ  阿藤宗介……生瀬勝久  堀　徳美……菅原大吉  荒木田　満……近藤公園  出町いずみ……キムラ緑子  岩井十三……中村雅俊【ゲスト】  横井真由子……中村ゆり  黒川秀輝……窪塚俊介  横井剛史……弓削智久  岡林春菜……小野花梨  岡林信之……村田雄浩  　　□  赤松公彦……青山　勝  和久井弘志……松澤一之  森島裕也……内倉憲二  木村芽衣……奥村佳恵【主題歌】  「I'm Scarlet」moumoon(avex trax)    【オープニングテーマ】  「リスタート」　wacci(EPICレコードジャパン)  脚本：岩下悠子  音楽：池　頼広  監督：近藤俊明  編成：橋本　孝・高山暢比古  プロデューサー：須藤泰司◇番組HP  http://www.tbs.co.jp/to-sca/    ◇twitter  https://twitter.com/tokyosca_tbs  @TokyoSca_TBS  死刑囚の妻に殺害予告…阿蘇の黒い過去が明らかに『東京スカーレット』第5話（8/12）予告動画公開しました！  http://youtu.be/yKqUu0qNViI  wacci（ワッチ）の橋口洋平・横山祐介、『東京スカーレット』エキストラに挑戦！現場で生歌披露も！動画公開しました！  http://youtu.be/OULCpO903AQ  東映・TBSテレビ  番組の内容と放送時間は、変更になる場合があります。</t>
  </si>
  <si>
    <t>番組名火曜ドラマ「東京スカーレット～警視庁NS係」第6話◆都知事暗殺！？</t>
  </si>
  <si>
    <t>芝浜都知事が自宅前で狙撃された。芝浜が提唱する、ある条例案が原因らしい。が、犯人不明のまま、捜査は行き詰まる。ところが当の芝浜はのんきそのもの。NS係に、これから映画で女性刑事役を演じる若手女優・鈴木鈴（森カンナ）の指導を命じる。頭を抱える鳴滝杏と阿藤だが、鈴が詐欺犯逮捕に協力してしまったため、都知事はわざわざスタジオに来て鈴を表彰するという…。エンタメ度がパワーアップする第6話、お楽しみに！捜査一課長・岩井（中村雅俊）が創設した女性トップの“NS係”。出町係長（キムラ緑子）の下に、“ダルタニアン”こと鳴滝杏（水川あさみ）と、阿藤宗介（生瀬勝久）、堀（菅原大吉）、荒木田（近藤公園）が集結！鳴滝　杏……水川あさみ  阿藤宗介……生瀬勝久  堀　徳美……菅原大吉  荒木田満……近藤公園  芝浜勘太郎……ラサール石井  出町いずみ……キムラ緑子  岩井十三……中村雅俊【ゲスト】  鈴木　鈴……森カンナ  森田直継……東根作寿英  井岡泰輔……手塚とおる  広本修吾……夙川アトム  　　　□  和久井弘志……松澤一之  森島裕也……内倉憲二  木村芽衣……奥村佳恵【主題歌】  「I'm Scarlet」moumoon(avex trax)    【オープニングテーマ】  「リスタート」　wacci(EPICレコードジャパン)  脚本：岩下悠子  音楽：池　頼広  監督：近藤俊明  編成：橋本　孝・高山暢比古  プロデューサー：須藤泰司◇番組HP  http://www.tbs.co.jp/to-sca/    ◇twitter  https://twitter.com/tokyosca_tbs  @TokyoSca_TBS  東京都知事の暗殺計画！？『東京スカーレット』第6話（8/19）予告動画公開しました！  http://youtu.be/bHBFAgY5Me0  東映・TBSテレビ  番組の内容と放送時間は、変更になる場合があります。</t>
  </si>
  <si>
    <t>番組名火曜ドラマ「東京スカーレット～警視庁NS係」　第7話◆見果てぬ夢の殺人</t>
  </si>
  <si>
    <t>不動産会社社長の井上が殺された。井上は捜査一課長・岩井の旧友だった。岩井の無念を晴らすため、鳴滝杏と阿藤、そしてNS係の面々は独自の捜査を始める。杏が行き着いた容疑者は、ミュージシャンの若林（モト冬樹）。ところが彼も岩井の旧友だった。若林は昔出したレコードの再発売を巡り、権利を持つ井上と争っていたらしい。決め手は1枚のレコード？杏が気付き、阿藤が暴き出すトリックとは！？ヒューマンミステリー第7話！捜査一課長・岩井（中村雅俊）が創設した女性トップの“NS係”。出町係長（キムラ緑子）の下に、“ダルタニアン”こと鳴滝杏（水川あさみ）と、阿藤宗介（生瀬勝久）、堀（菅原大吉）、荒木田（近藤公園）が集結！鳴滝　杏……水川あさみ  阿藤宗介……生瀬勝久  堀　徳美……菅原大吉  荒木田　満……近藤公園  芝浜勘太郎……ラサール石井  出町いずみ……キムラ緑子  岩井十三……中村雅俊  【ゲスト】  若林　玄……モト冬樹  井上晃司……中島久之  井上君子……結城しのぶ  伊藤エリ……末永　遥  崎田逸郎……坂西良太　　□  赤松公彦……青山　勝  和久井弘志……松澤一之  森島裕也……内倉憲二  木村芽衣……奥村佳恵【主題歌】  「I'm Scarlet」moumoon(avex trax)    【オープニングテーマ】  「リスタート」　wacci(EPICレコードジャパン)  脚本：櫻井武晴  音楽：池　頼広  監督：森本浩史  編成：橋本　孝・高山暢比古  プロデューサー：須藤泰司◇番組HP  http://www.tbs.co.jp/to-sca/    ◇twitter  https://twitter.com/tokyosca_tbs  @TokyoSca_TBS  捜査一課長のためにNS係が立ち上がる！『東京スカーレット』第7話（8/26）予告動画公開しました！  http://youtu.be/-DJ4YUSvN2Y  東映・TBSテレビ  番組の内容と放送時間は、変更になる場合があります。</t>
  </si>
  <si>
    <t>番組名火曜ドラマ「東京スカーレット～警視庁NS係」第8話◆人生をすりかえた男</t>
  </si>
  <si>
    <t>都内カレー店で強盗事件が発生。またもブラック企業・榊社長の店が狙われた。以前同社での事件を解決した実績から、NS係が捜査することに。しかし杏の姿はない。久々の休日に父が上京し、出町に親孝行を命じられたのだった…が、目ざとく強盗犯を発見、休日返上で追跡開始！犯人は川岸で生活するホームレスらしい。一方、川岸に来た阿藤は、なぜか住人達とカレーを作り始めた！？東京ヒューマンミステリー、個性際立つ第8話！捜査一課長・岩井（中村雅俊）が創設した女性トップの“NS係”。出町係長（キムラ緑子）の下に、“ダルタニアン”こと鳴滝杏（水川あさみ）と、阿藤宗介（生瀬勝久）、堀（菅原大吉）、荒木田（近藤公園）が集結！鳴滝　杏……水川あさみ  阿藤宗介……生瀬勝久  堀　徳美……菅原大吉  荒木田満……近藤公園  出町いずみ……キムラ緑子  岩井十三……中村雅俊  【ゲスト】  村山耕三……金田明夫  榊　清文……山崎大輔  松永優太……清水　優  田代澄江……田根楽子  鈴木貴之……岩瀬　亮  カズ……山崎画大  藤井尚子……高橋麻理  　○  鳴滝敏郎……前田　吟赤松公彦……青山　勝  和久井弘志……松澤一之  森島裕也……内倉憲二  木村芽衣……奥村佳恵【主題歌】  「I'm Scarlet」moumoon(avex trax)    【オープニングテーマ】  「リスタート」　wacci(EPICレコードジャパン)  脚本：岩下悠子  音楽：池　頼広  監督：森本浩史  編成：橋本　孝・高山暢比古  プロデューサー：須藤泰司◇番組HP  http://www.tbs.co.jp/to-sca/    ◇twitter  https://twitter.com/tokyosca_tbs  @TokyoSca_TBS  女刑事の父、上京！火曜22時『東京スカーレット』第8話（9/2）予告動画公開しました！  http://youtu.be/VeW0TC4Mcmc  東映・TBSテレビ  番組の内容と放送時間は、変更になる場合があります。</t>
  </si>
  <si>
    <t>番組名火曜ドラマ「東京スカーレット～警視庁NS係」第9話◆神様の川</t>
  </si>
  <si>
    <t>ゲリラ豪雨の翌日、杏と阿藤は隅田川に浮かんだ死体を発見する。女性差別発言をした都議の刺殺体だった。都議のバッジが川から離れた場所で見つかり、NS係は、下水に捨てられた死体が川まで流されたと推測する。一方、杏が差別を肯定しているという中傷記事がネット上に出回る。書いたのは記者の由利恵。杏が訂正を求めると、由利恵は代わりに特ダネを漏らす。それは、下水の再開発を巡る、都議と開発業者との癒着の疑惑だった。捜査一課長・岩井（中村雅俊）が創設した女性トップの“NS係”。出町係長（キムラ緑子）の下に、“ダルタニアン”こと鳴滝杏（水川あさみ）と、阿藤宗介（生瀬勝久）、堀（菅原大吉）、荒木田（近藤公園）が集結！鳴滝　杏……水川あさみ  阿藤宗介……生瀬勝久  堀　徳美……菅原大吉  荒木田　満……近藤公園  出町いずみ……キムラ緑子  岩井十三……中村雅俊  【ゲスト】  坂口由利恵……星野真里  三原貴子……遊井亮子  柳原仙太郎……佐藤蛾次郎  江藤康史……近江谷太朗  新山友宏……阿部進之介  小笠原秀雄……浜田　晃　○  赤松公彦……青山　勝  和久井弘志……松澤一之  森島裕也……内倉憲二  木村芽衣……奥村佳恵  　○  占い師……新橋耐子【主題歌】  「I'm Scarlet」moumoon(avex trax)    【オープニングテーマ】  「リスタート」　wacci(EPICレコードジャパン)  脚本：岩下悠子  音楽：池　頼広  監督：近藤俊明  編成：橋本　孝・高山暢比古  プロデューサー：須藤泰司◇番組HP  http://www.tbs.co.jp/to-sca/    ◇twitter  https://twitter.com/tokyosca_tbs  @TokyoSca_TBS  謎が謎を呼ぶ「最終回」！動画公開しました！  http://youtu.be/ckN6jYUXL1c  東映・TBSテレビ  番組の内容と放送時間は、変更になる場合があります。</t>
  </si>
  <si>
    <t>1407_TBS_木21</t>
  </si>
  <si>
    <t>同窓生</t>
  </si>
  <si>
    <t>番組名木曜ドラマ劇場「同窓生　人は三度恋をする」♯1　君はあれから幸せになれましたか</t>
  </si>
  <si>
    <t>柳健太（井浦新）、40歳。離婚し、一流企業を辞め、今は生まれ育った中野に戻り、実家のクリーニング店を継いでいた。そんな健太の日常はある日を堺に変わっていく。同窓会で再会した元恋人あけひ（稲森いずみ）、そして友人の遼介（松岡昌宏）と薫子（板谷由夏）。冷凍保存されていたそれぞれの想いが25年ぶりに動き出す。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　稲森いずみ　板谷由夏　市川実和子　三浦理恵子　蛯原友里　丸山敦史　川俣しのぶ　茅島成美　柄本明（特別出演）　鶴田忍　高林由紀子　岡本麗　市毛良枝　松本利夫（EXILE）　松岡昌宏長年勤めた大手化学メーカーを辞め、妻と離婚。現在、実家のクリーニング屋を継いでいる。純粋で不器用。あけひに心惹かれるも、不倫はダメだときっぱり言い切る。3人の子供を持つ美容師。底抜けに明るい性格だが、夫との関係には亀裂が…。初恋の相手、健太との再会に心が揺れる一級建築士の資格を持ち、大手ゼネコンに勤めるエリートで、根っからのプレイボーイ。本当の恋を薫子と始めようとしている。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プロデューサー：矢口久雄（テレパック）貴島誠一郎（TBSテレビ）◇番組HP http://www.tbs.co.jp/dousousei2014/  ◇公式Facebook:https://www.facebook.com/dousousei.tbs  ◇公式Twitter  https://twitter.com/dousousei_tbs  @dousousei_tbs  （7月ドラマ）豪華キャストクランクイン！板谷由夏サプライズバースデー！7/10スタート木曜21時『同窓生』動画公開しました！  http://youtu.be/bnRJf3iVLVw  （新ドラマ）2分まとめ！「私にキスして・・・」7/10スタート木曜21時『同窓生』柴門ふみ原作・待望のドラマ化！動画公開しました！  http://youtu.be/TAMBKBu8_sY  番組の内容と放送時間は変更になる場合があります。</t>
  </si>
  <si>
    <t>番組名木曜ドラマ劇場「同窓生　人は、三度、恋をする」♯2　2cmのキョリ</t>
  </si>
  <si>
    <t>健太（井浦新）は、あけひ（稲森いずみ）の過去を知り、かつての自分を責める。今の自分にいったい何ができるのか。あけひと向き合うため美容院を訪れるが…　一方、遼介（松岡昌宏）は、薫子（板谷由夏）へ猛アタックを開始！？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　稲森いずみ　板谷由夏　市川実和子　三浦理恵子　高知東生　丸山敦史　清水由紀柄本明（特別出演）　鶴田忍　高林由紀子　岡本麗　市毛良枝　松本利夫（EXILE）　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@dousousei_tbs  https://twitter.com/dousousei_tbs  全ての始まりは同窓会だった…ダイジェスト&amp;次回予告  http://youtu.be/PRYXesL0XzM  NG＆未公開映像！  http://youtu.be/2-vAolsbMGg  番組の内容と放送時間は変更になる場合があります。</t>
  </si>
  <si>
    <t>番組名木曜ドラマ劇場「同窓生　人は、三度、恋をする」♯3　消せない過去…</t>
  </si>
  <si>
    <t>あけひの夫と初対面した健太は、一気に現実に引き戻される。そして、あけひとの気まずい雰囲気を残したまま、4人で行ったカラオケで、元妻の冴子と偶然再会！冴子との過去を思い返し、改めて不倫はダメだと心に誓うのだが、あけひの涙に心が揺れる。一方、遼介はあることをきっかけに薫子への想いを募らせ、「薫子と人生をリセットしたい」と告げるのだが…、遼介を悲劇が襲う…。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田渕久美子井浦新、稲森いずみ、板谷由夏、市川実和子、三浦理恵子、高知東生、丸山敦史、清水由紀　柄本明（特別出演）、戸次重幸、清水紘治、岡本麗、松本利夫（EXILE）、松岡昌宏[井浦新]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プロデューサー：矢口久雄（テレパック）貴島誠一郎（TBSテレビ）◇番組HP http://www.tbs.co.jp/dousousei2014/  ◇公式Facebook https://www.facebook.com/dousousei.tbs  ◇公式Twitter  https://twitter.com/dousousei_tbs  @dousousei_tbs  ◇『同窓生』第2話ダイジェスト&amp;次回 予告  http://youtu.be/aJelIMuGJTU  ◇名場面の「NGシーン」  http://youtu.be/wernrPQMJdQ  あけひの美容院を訪れた健太。あけひの 好きな女のイニシャルはA？ の質問に、ふいに イエス と答えた健太。そんな二人を睨む人影…それは、あけひの旦那・太郎だった。</t>
  </si>
  <si>
    <t>番組名木曜ドラマ劇場「同窓生　人は、三度、恋をする」♯4幸せの裏の顔…今の僕に出来る事</t>
  </si>
  <si>
    <t>あけひの夫・太郎の暴力がエスカレート。あけひの苦しみに気づいた健太は、何とか救い出そうとするが…一方、遼介を突き飛ばし、怪我をさせてしまったことに引け目を感じる薫子。何度かお見舞いに行くうちに遼介に心を許しかける。が、そこへ薫子の元彼が出現。薫子は、一途な遼介と元彼に揺れる！？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　稲森いずみ　板谷由夏　市川実和子　三浦理恵子　高知東生　丸山敦史　清水由紀　戸次重幸　岡本麗　松本利夫（EXILE）　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あけひの夫と初対面した健太。それに追い打ちをかけるように元妻にも再会。現実に引き戻され、あけひへの想い封印しようと心に決めるのだが、心は走り出していて…。◇ダイジェスト＆次回予告  http://youtu.be/gPMkNoeJG24  ◇板谷、爆笑カラオケ！井浦も・・・！名場面の「NGシーン」  http://youtu.be/HYVSrhzA8xk  番組の内容と放送時間は変更になる場合があります。</t>
  </si>
  <si>
    <t>番組名木曜ドラマ劇場「同窓生　人は、三度、恋をする」♯5　許されぬ夜…崩れゆく世界</t>
  </si>
  <si>
    <t>元妻冴子が突然、健太の元を訪れる。4年ぶりの息子との再会に戸惑う健太。何とか打ち解けようとするが…そんな中、健太は高熱を出し倒れてしまう。心配でいてもたっても居られなくなったあけひは店を飛び出し走り出すー　一方薫子は元彼・青木と遼介の間で揺れていた。ストレートに好きだ！と想いを告げる遼介。薫子が出した答えは！？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田渕久美子井浦新、稲森いずみ、板谷由夏、市川実和子、三浦理恵子、高知東生、丸山敦史、清水由紀　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あけひの夫・太郎の暴力はエスカレート。あけひの苦しみに気づいた健太は、何かと救い出そうとする。しかし、あけひは今幸せだと健太を見放す。一方、薫子は元彼と再会。遼介のライバル出現。◇ダイジェスト&amp;次回予告  http://youtu.be/V36iWaEAbsw  ◇セリフ飛ばしちゃった…名場面の「NGシーン」  http://youtu.be/THKdIH2f7mA</t>
  </si>
  <si>
    <t>番組名木曜ドラマ劇場「同窓生　人は、三度、恋をする」♯6　非情な現実　別れ覚悟</t>
  </si>
  <si>
    <t>健太の看病のため、朝帰りしたあけひ。待っていたのは、鬼のような顔をした太郎だったー　そんな中、遼介はみんなでペンションに行こうと提案する。しかし、子供たちのため、健太への気持ちを押し殺し、会わないことを決意したあけひだったが…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田渕久美子井浦新、稲森いずみ、板谷由夏、市川実和子、三浦理恵子、高知東生、眞島秀和、丸山敦史、清水由紀  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◇第5話（8/7）ダイジェスト&amp;次回予告  http://youtu.be/xGO_ZcG_aDA  ◇「NGシーン」  http://youtu.be/aiMb5wVQF8Y  4年ぶりに息子と再会した健太は、高熱を出し倒れてしまう。心配でいてもたって居られなくなったあけひは家を飛び出し走り出すーそこで、あけひは健太の元妻と鉢合わせ・・・番組の内容と放送時間は変更になる場合があります。</t>
  </si>
  <si>
    <t>番組名木曜ドラマ劇場「同窓生　人は、三度、恋をする」♯7　人生のリセットとその代償</t>
  </si>
  <si>
    <t>とうとうお互いの気持ちを確かめ合った健太とあけひ。そして、健太はあけひを迎えにいくと約束する。一方遼介と薫子もどんどん深みにはまっていく。そして、そんな遼介に仕事上のトラブルが・・・。そんな中、太郎の決定的な浮気の証拠を見つけたあけひは、太郎を問い詰める。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田渕久美子井浦新、稲森いずみ、板谷由夏、市川実和子、三浦理恵子、眞島秀和、堀内正美、丸山敦史、清水由紀  戸次重幸、岡本麗、松本利夫（EXILE）、松岡昌宏[井浦新]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主題歌：「楽園」メレンゲ（キューンミュージック）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子供たちのため健太への気持ちを押し殺し、会わないことを決意したあけひ。一方、健太は自分の本当の気持ちに気付き、あけひの元へと走る。お互いの気持ちを確かめ合う2人。◇ダイジェスト&amp;次回予告  http://youtu.be/Sm2RmM2IY4o    ◇「NGシーン」  http://youtu.be/8blfiIzbF_w  番組の内容と放送時間は変更になる場合があります。</t>
  </si>
  <si>
    <t>番組名木曜ドラマ劇場「同窓生　人は、三度、恋をする」♯8　引き裂かれた離婚届…</t>
  </si>
  <si>
    <t>あけひは、健太と気持ちを確かめ合い、とうとう離婚届を手にする。　一方、遼介と薫子は二人で住める部屋を探し始めるが…　  そんな中、隠し持っていた離婚届を発見されてしまい、太郎の怒りは頂点に！？あけひのピンチに走り出す健太。ついに太郎との直接対決が！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田渕久美子井浦新、稲森いずみ、板谷由夏、市川実和子、三浦理恵子、高知東生、丸山敦史、清水由紀  市毛良枝、岡本麗、松本利夫（EXILE）、松岡昌宏[井浦新]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◇ダイジェスト&amp;次回予告動画  http://youtu.be/NJV2dbnGQ4E  ◇「みそきん」の説明は難しい！？名場面の「NGシーン」  http://youtu.be/pQDCH7RdK7s  とうとうお互いの気持ちを確かめ合った健太とあけひ。一方遼介と薫子もどんどん深みにはまっていく。そんな中、太郎の決定的な浮気の証拠を見つけたあけひは、太郎と距離を置くことに。番組の内容と放送時間は変更になる場合があります。</t>
  </si>
  <si>
    <t>番組名木曜ドラマ劇場「同窓生　人は、三度、恋をする」♯9　彼女はオレが守る！</t>
  </si>
  <si>
    <t>あけひは決意を固める。そんな時、健太にアメリカ行きの話が…健太は、あけひを連れ出すため太郎と決着をつけに行く。一方、薫子のもとにある人物が突然訪ねてきて…揺れ動く4人の恋が加速していくー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田渕久美子井浦新、稲森いずみ、板谷由夏、市川実和子、三浦理恵子、丸山敦史、清水由紀  市毛良枝、戸次重幸、岡本麗、松本利夫（EXILE）、松岡昌宏[井浦新]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離婚届を手にしたあけひ。それを知った太郎の怒りは頂点に！家を追い出されたあけひのもとに走り出そうとした健太だったが、そこに太郎が現れた！ついに直接対決か！？ダイジェスト&amp;次回予告動画  http://youtu.be/V6hVlzEgniA  「NGシーン」  http://youtu.be/km-k7uRp93Y  番組の内容と放送時間は変更になる場合があります。</t>
  </si>
  <si>
    <t>番組名木曜ドラマ劇場「同窓生　人は、三度、恋をする」♯10三度目の恋を、信じますか？</t>
  </si>
  <si>
    <t>店をたたむ決意をした健太は、あけひと子供たちをアメリカに連れていきたいと太郎に頼み込む。しかし…　一方、遼介は加奈子に離婚を切り出す。そして、薫子が妊娠！？　4人が下す決断とは！？　三度目の恋を、信じますか？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田渕久美子井浦新、稲森いずみ、板谷由夏、市川実和子、三浦理恵子、丸山敦史、清水由紀  柄本明（特別出演）、岡本麗、松本利夫（EXILE）、松岡昌宏[井浦新]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◇ダイジェスト&amp;次回予告  http://youtu.be/mi7ZeVXKoEQ  ◇颯爽と登場する「あけひ」に…！？名場面の「NGシーン」  http://youtu.be/rVW-JH9SIXI  あけひは太郎と離婚する決意を固める。そんな時、健太にアメリカ行きの話が…健太は、あけひを連れ出すため太郎と決着をつけに行く。一方、薫子のもとに遼介の妻・加奈子が突然訪ねてきて…番組の内容と放送時間は変更になる場合があります。</t>
  </si>
  <si>
    <t>1407_TBS_金22</t>
  </si>
  <si>
    <t>家族狩り</t>
  </si>
  <si>
    <t>番組名金曜ドラマ「家族狩り」　第1話</t>
  </si>
  <si>
    <t>都内で一家心中事件が頻発しているのを不審に思った刑事　馬見原（遠藤憲一）は現場に不思議な共通点に気づく。児童心理司の氷崎ゆう子（松雪泰子）進学校の美術教師　巣藤（伊藤淳史）三人の直面する家族の物語松雪泰子　伊藤淳史　北山宏光　水野美紀　篠田麻里子　山口紗弥加　平岡祐太　秋山菜津子　財前直見　遠藤憲一天童荒太（新潮文庫　刊）  脚本　大石静主題歌　androp「Shout」  ◇番組HP http://www.tbs.co.jp/kazokugari/  ◇ツイッター  @Kazokugari_tbs  https://twitter.com/Kazokugari_tbs  7/4スタート金曜ドラマ『家族狩り』最新15秒スポット公開！天童荒太代表作　松雪泰子主演！  http://youtu.be/k02DkmqcvBE  金曜ドラマ『家族狩り』放送直前！1話 （7/4）予告公開！　松雪泰子主演・天童荒太ミステリーを映像化　動画公開しました！  http://youtu.be/kKQE-_DwUhs  「問題作」の全貌に迫る！7/4『家族狩り』放送直前スペシャルナビ公開！天童荒太代表作　松雪泰子主演！動画公開しました！http://youtu.be/7CHItlTrPk4  番組の内容と放送時間は、変更になる場合があります。</t>
  </si>
  <si>
    <t>番組名金曜ドラマ「家族狩り」　第2話</t>
  </si>
  <si>
    <t>第二話　シュン介（伊藤淳史）の隣の一軒家で起こった一家心中事件。しかし刑事の馬見原（遠藤憲一）らは、これは殺人事件だという勘で独自に捜査に乗り出す。シュン介には馬見原に「怪しい女を見ませんでしたか」と事情聴取を受ける。「女？」シュン介は事件直後にみた氷崎ユウ子（松雪泰子）の顔を思い浮かべてしまう。一家心中事件は本当に殺人なのか？物語は加速する！！松雪泰子　伊藤淳史　北山宏光　水野美紀　篠田麻里子　山口紗弥加　平岡祐太　秋山菜津子　財前直見　遠藤憲一天童荒太（新潮文庫　刊）  脚本　大石静主題歌　androp「Shout」  ◇番組HP http://www.tbs.co.jp/kazokugari/  ◇ツイッター  @Kazokugari_tbs  https://twitter.com/Kazokugari_tbs  衝撃の「問題作」第2話は・・・！金曜22時『家族狩り』7/11松雪泰子主演・天童荒太ミステリー 動画公開しました！  http://youtu.be/PxJL5a0vzV4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</si>
  <si>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番組名金曜ドラマ「家族狩り」　第3話</t>
  </si>
  <si>
    <t>ゆう子（松雪泰子）の父、清太郎が「わしを捨てて自由に生きろ」と宣言したため母の民子（浅田美代子）は自宅を売却し、清太郎を要介護者用の施設に入れることを決断するが・・  しゅん介（伊藤淳史）は結婚を迫られている美保（山口紗弥加）の両親が突然自宅に押しかけてきて美保と大喧嘩になり家出するが・・  馬見原（遠藤憲一）の妻佐和子（秋山菜津子）は油井のわなにかかり綾女（水野美紀）の元をたずねる。怒涛の三話放送松雪泰子　伊藤淳史　北山宏光　水野美紀　篠田麻里子　山口紗弥加　平岡祐太　秋山菜津子　財前直見　遠藤憲一天童荒太（新潮文庫　刊）  脚本　大石静  演出　山本剛義主題歌　androp「Shout」  ◇番組HP http://www.tbs.co.jp/kazokugari/  ◇ツイッター  @Kazokugari_tbs  https://twitter.com/Kazokugari_tbs  「家族ごとピリオドを打った方がいい」金曜22時『家族狩り』第3話（7/18）予告動画公開しました！  http://youtu.be/MxDtlGTn-6k  異色のコラボ？問題作『家族狩り』「MOWOW版」スポットその1  http://youtu.be/vQKlZVzkwKU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</si>
  <si>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番組名金曜ドラマ「家族狩り」　第4話</t>
  </si>
  <si>
    <t>ホームレス狩りにあった人を助けたばかりに巻き添えをくらい自らも放火されたシュン介は記憶を失う。失った記憶の中で求めていた人は婚約者の美歩ではなかったことで、逆に美歩と婚約することに。しかし美歩の担任する生徒の実森が家庭内暴力を激化させたことですべての事象が一転していく。激変する第四話松雪泰子　伊藤淳史　北山宏光　水野美紀　篠田麻里子　山口紗弥加　平岡祐太　秋山菜津子　財前直見　遠藤憲一天童荒太（新潮文庫　刊）  脚本　大石静  演出　山本剛義主題歌　androp「Shout」  ◇番組HP http://www.tbs.co.jp/kazokugari/  ◇ツイッター  @Kazokugari_tbs  https://twitter.com/Kazokugari_tbs  「私はもう人を殺してますから」金曜22時『家族狩 り』第4話（7/25）動画公開しました！  http://youtu.be/osv1McqCDy4  問題作『家族狩り』「MOWOW版」スポットその2動画公開しました！  http://youtu.be/EBt2L4OfZ0c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</si>
  <si>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番組名金曜ドラマ「家族狩り」　第5話</t>
  </si>
  <si>
    <t>婚約者の美歩山口紗弥加）の代わりに引きこもりの生徒、実森君とかかわりを持ってしまったために、しゅん介（伊藤淳史）とゆうこ（松雪泰子）は思わぬ事態に巻き込まれていく。そして馬見原（遠藤憲一）に向けられた疑惑。そして馬見原の家族にも獣のような悪意が向けられる。感動巨編の第五話松雪泰子　伊藤淳史　北山宏光　水野美紀　篠田麻里子　山口紗弥加　平岡祐太　秋山菜津子　財前直見　遠藤憲一天童荒太（新潮文庫　刊）  脚本　大石静  演出　伊藤雄介主題歌　androp「Shout」  ◇番組HP http://www.tbs.co.jp/kazokugari/  ◇ツイッター  @Kazokugari_tbs  https://twitter.com/Kazokugari_tbs  「私はこの世界に求められてないのかも…」金曜22時 『家族狩り』第5話（8/1）予告動画公開しました！  http://youtu.be/EJariZKvxNo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</si>
  <si>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番組名金曜ドラマ「家族狩り」　第6話</t>
  </si>
  <si>
    <t>心を開いてくれたはずの実森君が再び引きこもる。家族の助けを借りてなんとかもう一度、立ち直らせようと努力するゆう子としゅんすけだが、実森の父は「家族を続けていく気力がないと長年悩んでいた」と告白し家族が末期的な状態であることがわかる。あきらめきれないしゅんすけの携帯に実森君から謎のメッセージが残されていた。ついに事件は再び動き出す松雪泰子　伊藤淳史　北山宏光　水野美紀　篠田麻里子　山口紗弥加　平岡祐太　秋山菜津子　財前直見　遠藤憲一天童荒太（新潮文庫　刊）  脚本　大石静  演出　坪井敏雄　主題歌　androp「Shout」  ◇番組HP http://www.tbs.co.jp/kazokugari/  ◇ツイッター  @Kazokugari_tbs  https://twitter.com/Kazokugari_tbs  「子どもを愛してる・・・？」金曜22時『家族狩り』第6話（8/8）予告　動画公開しました！  http://youtu.be/TK1QkCHctbw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</si>
  <si>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番組名金曜ドラマ「家族狩り」　第7話</t>
  </si>
  <si>
    <t>実森家の家族がなくなった現場にたたずんでいたゆう子（松雪泰子）を見たしゅん介（伊藤淳史）。実森君が自殺したと思えないしゅん介に馬見原（遠藤憲一）は、ゆう子の血塗られた過去を告げる。一方、馬見原のライターが事件現場から発見される。いよいよ事件の全貌が見えてくる。松雪泰子　伊藤淳史　北山宏光　水野美紀　篠田麻里子　山口紗弥加　平岡祐太　秋山菜津子　財前直見　遠藤憲一天童荒太（新潮文庫　刊）  脚本　大石静  演出　山本剛義主題歌　androp「Shout」  ◇番組HP http://www.tbs.co.jp/kazokugari/  ◇ツイッター  @Kazokugari_tbs  https://twitter.com/Kazokugari_tbs  「犯人は氷崎游子だ」金曜22時『家族狩り』第7話（8/15）予告動画公開しました！  http://youtu.be/Xq_5k9LgMBE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</si>
  <si>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番組名金曜ドラマ「家族狩り」　第8話</t>
  </si>
  <si>
    <t>駒田がゆう子（松雪泰子）の家族を殺そうと忍び込んできたが、どうしても駒田の進入経路がわからず「密室事件かも」と警察も首をひねる。ゆう子は保護している駒田の娘の玲子のことが気になり、大事にしないでくれと警察に頼むが、とき遅くテレビのニュースになってしまう。駒田を自首させなんとか玲子のために事件を収拾しようとするゆう子だが・・・。そして事件は思わぬ方向へと進んでいく。いよいよ黒幕が動き出す松雪泰子　伊藤淳史　北山宏光　水野美紀　篠田麻里子　山口紗弥加　平岡祐太　秋山菜津子　財前直見　遠藤憲一天童荒太（新潮文庫　刊）  脚本　大石静  演出　山本剛義主題歌　androp「Shout」  ◇番組HP http://www.tbs.co.jp/kazokugari/  ◇ツイッター  @Kazokugari_tbs  https://twitter.com/Kazokugari_tbs  家族は再生できるのか…金曜22時『家族狩り』第8話（8/22）予告動画公開しました！  http://youtu.be/XtsjtI-bPpM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</si>
  <si>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番組名金曜ドラマ「家族狩り」　第9話</t>
  </si>
  <si>
    <t>二軒の家の謎に気づいてしまったゆう子は、犯人に捕らえられる。馬見原を罠にはめた油井はとある告白を始める。芳沢家では亜衣の暴走がついに限界を超えた。すべてが破滅に向かうのか。それとも？松雪泰子　伊藤淳史　北山宏光　水野美紀　篠田麻里子　山口紗弥加　平岡祐太　秋山菜津子　財前直見　遠藤憲一天童荒太（新潮文庫　刊）  脚本　大石静  演出　坪井敏雄主題歌　androp「Shout」  ◇番組HP http://www.tbs.co.jp/kazokugari/  ◇ツイッター  @Kazokugari_tbs  https://twitter.com/Kazokugari_tbs  明らかになる「家族狩り」の真実…！金曜22時『家族狩り』第9話（8/29）予告動画公開しました！  http://youtu.be/Ke2Sae1kqDY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</si>
  <si>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番組名金曜ドラマ「家族狩り」　第10話</t>
  </si>
  <si>
    <t>最終回　天童荒太が、このドラマのために書き下ろしたラストシーンの台詞は必見。誰もが持つ心の欠損に、初めて光を当てたこの物語のラストは出演者も嗚咽がとまらなかった。松雪泰子　伊藤淳史　北山宏光　水野美紀　篠田麻里子　山口紗弥加　平岡祐太　秋山菜津子　財前直見　遠藤憲一天童荒太（新潮文庫　刊）  脚本　大石静  演出　坪井敏雄主題歌　androp「Shout」  ◇番組HP http://www.tbs.co.jp/kazokugari/  ◇ツイッター  @Kazokugari_tbs  https://twitter.com/Kazokugari_tbs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</si>
  <si>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1407_TBS_日21</t>
  </si>
  <si>
    <t>おやじの背中</t>
  </si>
  <si>
    <t>番組名日曜劇場シリーズ「おやじの背中」　第一話『圭さんと瞳子さん』作・岡田惠和</t>
  </si>
  <si>
    <t>父・圭太郎(田村正和)と娘・瞳子（松たか子）は、二人で寄り添うように生きてきた。圭太郎は自分以外の人間と生きていこうとしない瞳子を心配していた。ある日、瞳子は同僚の奥住（バカリズム）に突然プロポーズされるが、「今が幸せだから」と断わる。その夜圭太郎が食中毒で病院に運ばれると、独りきりになった瞳子に恐怖が襲い、発作を起こしてしまう。目が覚めた圭太郎は瞳子を救う為、病院を抜け家へと急ぐ…。樋口圭太郎…田村正和  樋口瞳子…松　たか子  奥住…バカリズム  川崎悦子…キムラ緑子  茂原吾一…角野卓造  重松一臣…渡辺　大  塩田…鈴之助  樋口紫子…水谷理砂  幼い瞳子…内田　愛  中学生の瞳子…田中　明  向かいの家の人…夏川加奈子  女教師…鯉沼トキ  医師…岩本　淳  古本屋店主…矢崎　まなぶ  医師（情報番組内）　洲矢新吾  ミツコ（情報番組内）　松長ゆり子10人の脚本家と10組の名優で10の物語を紡ぐ『おやじの背中』第一話。脚本…岡田惠和　演出…山室大輔　プロデュース…八木康夫◇番組HP  http://www.tbs.co.jp/oyajinosenaka/    ◇Twitter  @oyaji_tbs  https://twitter.com/oyaji_tbs  （新ドラマ）田村正和と松たか子16年ぶり共演！脚本・岡田恵和　7/13日曜劇場『おやじの背中』予告動画公開しました！  http://youtu.be/xiy5m24BppM  あのノックアウトはお父さんの宝物だ・・・7/20日曜劇場『おやじの背中』2話　脚本・坂元裕二　動画公開しました！  http://youtu.be/NEaJIybYZKE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</si>
  <si>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番組名日曜劇場「おやじの背中」第二話『ウエディング・マッチ』　作・坂元裕二</t>
  </si>
  <si>
    <t>元ボクサーの父・草輔（役所広司）と娘の誠（満島ひかり）は、トレーナーと選手としてボクシングの五輪出場を目指し、トレーニングを重ねてきた。誠は彼氏が出来ても草輔に別れさせられ、生まれて初めて買ったブラジャーも川に投げ捨てられた。厳しい減量やロードワークをこなし、恋愛も青春も全て父との夢に捧げ、遂に五輪選考会に挑戦するが…。　青木草輔…役所広司  青木誠…満島ひかり  高城亜利沙…山本美月  青木佐知子…浅田美代子  雄介…小関裕太  小口…蕨野友也  村越…井上肇  溝口…岩田丸  商店街のおばさん…藤本洋子  パチンコ屋の店員…鬼頭真也  三歳の誠…矢崎由紗　10人の脚本家と10組の名優で10の物語を紡ぐ『おやじの背中』第二話。　脚本…坂元裕二　監督…鶴橋康夫　プロデュース…八木康夫　◇番組HP  http://www.tbs.co.jp/oyajinosenaka/    ◇Twitter  @oyaji_tbs  https://twitter.com/oyaji_tbs  あのノックアウトはお父さんの宝物だ・・・7/20日曜劇場『おやじの背中』2話　脚本・坂元裕二　動画公開しました！  http://youtu.be/NEaJIybYZKE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</si>
  <si>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番組名日曜劇場シリーズ「おやじの背中」　第三話『なごり雪』　作・倉本聰</t>
  </si>
  <si>
    <t>小泉金次郎（西田敏行）は金属加工会社を一代で築き上げたワンマン社長である。金次郎は、受勲者が周囲に配る記念メダルを長年懸命に作り続けていた。しかし今や会社の会議でも自分の案は全く通らない、工場の騒音のせいで耳が遠くなる、部下や家族にも蔑ろにされる…金次郎は不満がたまっていた…。そしてある夜、金次郎は新橋で旧友と飲んだ後、家に帰らず姿を消してしまう。すると小泉家に家族や幼馴染が大集合して…。小泉金次郎…西田敏行  小泉秋子…由紀さおり  大塚喜平…小林稔侍  小泉金一…光石　研  小泉歌子…中島ひろ子  小泉しのぶ…広瀬すず  武田一平…梨本謙次郎  武田エリ…木村多江  小泉夕子…MEGUMI  竹中玲子…市川実日子  加納茂吉…織本順吉  南　寛…大杉漣  向田春彦…田山涼成  村田　修…中西良太  社員…井川哲也  工員1…平尾　仁  工員2…寺井文孝  病院呼び出し…柳下季里ナレーター…徳光和夫  ほか10人の脚本家と10組の名優で10の物語を紡ぐ『おやじの背中』第三話。脚本…倉本聰　演出…石橋冠　プロデュース…八木康夫◇番組HP  http://www.tbs.co.jp/oyajinosenaka/    ◇Twitter  @oyaji_tbs  https://twitter.com/oyaji_tbs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</si>
  <si>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番組名日曜劇場シリーズ「おやじの背中」　第四話『母の秘密』　作・鎌田敏夫</t>
  </si>
  <si>
    <t>慎介 (中村勘九郎) は父・賢三 (渡瀬恒彦)を心から認める事が出来なかった 。母・幸恵（神野三鈴）が亡くなってからは一度も会ってなかったが、ある日賢三は慎介を秩父札所参りに誘う。妻・加奈子 (ともさかりえ) の勧めもあって出かける慎介だったが、父の思惑が分からないまま山道を歩いていく…。今さら思い出話ばかりする賢三に慎介は憤りを感じるが、やがて幸恵の「あの日のこと」に話が及んで…。  麻倉賢三…渡瀬恒彦  麻倉慎介…中村勘九郎  麻倉加奈子…ともさかりえ  麻倉幸恵…神野三鈴  熟年女性1…山口みよ子  熟年女性2…酒井麻吏男1…伊住聰志  男2…日下部千太郎  男3…師岡広明  仲居…島邑みか  慎介の息子…岩田遥  幼稚園児の慎介…杉園啓仁  小学生の慎介…三谷翔太  中学生の慎介…黒濱優至脚本…鎌田敏夫　演出…山室大輔　プロデュース…八木康夫10人の脚本家と10組の名優で10の物語を紡ぐ『おやじの背中』第四話。次週以降の脚本家と出演者は次週予告で発表します。お見逃しなく！◇番組HP  http://www.tbs.co.jp/oyajinosenaka/    ◇Twitter  @oyaji_tbs  https://twitter.com/oyaji_tbs  亡き母の想いを胸に旅に出た父子は…脚本・鎌田敏夫「母の秘密」　8/3日曜劇場『おやじの背中』動画公開しました！  http://youtu.be/ksF8IBweZic  西田敏行・渡瀬恒彦・中村勘九郎・遠藤憲一・・・名優 たちが語る「おやじの背中」スペシャルインタビュー動画公開しました！  http://youtu.be/QIhj7KPekUw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</si>
  <si>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番組名日曜劇場シリーズ「おやじの背中」　第五話『ドブコ』　作・木皿泉</t>
  </si>
  <si>
    <t>警察官・三冬（堀北真希）の父・正（遠藤憲一）は悪役専門の役者。テレビの中で斬られて死ぬ正の姿を、三冬は幼い頃から見てきた。ある日、同僚で幼馴染のマサル（溝端淳平）から結婚式に出席しないでくれと言われる三冬。それを見かねて職場に乗り込んできた正に三冬は激怒する。その時、通りすがりの子供が正にヒーローごっこを仕掛けてきた。いつもの様に応えてやられて死んでみせる正。だが何故か倒れた正が立ち上がらない…。丸井 三冬…堀北 真希  佐々木 勝（マサル）…溝端 淳平  静香…谷村 美月  ヒーロー役…小柳 友  三冬の同僚…安藤 玉恵  丸井 弓子…薬師丸 ひろ子（特別出演）  丸井 正…遠藤 憲一  三冬の上司…河野 洋一郎  監督1…宮崎 吐夢  監督2…安井 順平  ヤクザ風の男…赤星 昇一郎  時代劇・斬り役…関根 大学  殺し屋…矢部 太郎  小三の三冬…須田 琥珀  ホナミ…内田未来子供1…神保 龍之介  子供2…阿由葉 朱凌  看護師1…白土 直子  看護師2…勝平 ともこ  花嫁…井端 珠里  子供の母親…羽鳥 名美子  AD1…龍輝  医者…重村 佳伸10人の脚本家と10組の名優で10の物語を紡ぐ『おやじの背中』第五話。脚本…木皿泉　演出…北川雅一　プロデュース…八木康夫◇番組HP  http://www.tbs.co.jp/oyajinosenaka/    ◇Twitter  @oyaji_tbs  https://twitter.com/oyaji_tbs  次週以降の脚本家と出演者は次週予告で発表します。お見逃しなく！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</si>
  <si>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番組名日曜劇場シリーズ「おやじの背中」　第六話『父の再婚、娘の離婚』　作・橋部敦子</t>
  </si>
  <si>
    <t>妻を亡くした父・典久 (國村隼)は 定年退職で第一線からは退いていた。一方、典久の娘・七海 (尾野真千子) は夫（桐谷健太）との間に溝が生まれ、結婚生活に行き詰まっていた。孤独な父を心配する七海、旦那の稼ぎが少ないことを心配する典久。お互いを心配するあまり二人は激しく言い争う…。そんな中、典久が突然思いつきで「婚活」を宣言。意地でも娘に心配されたくない典久は生まれて初めて婚活パーティーに向かう。杉本七海…尾野真千子  吉崎典久…國村隼  杉本大悟…桐谷健太  岡宮芳子…中田喜子  青木久志…本田博太郎  伊達孝弘…伊藤正之  高山亮輔…管勇毅脚本…橋部敦子　演出…竹園元　プロデュース…八木康夫10人の脚本家と10組の名優で10の物語を紡ぐ『おやじの背中』第六話。次週以降の脚本家と出演者は次週予告で発表します。お見逃しなく！◇番組HP  http://www.tbs.co.jp/oyajinosenaka/    ◇Twitter  @oyaji_tbs  https://twitter.com/oyaji_tbs  父が娘の「婚活」！？國村隼・尾野真千子、脚本・橋部敦子8/17「父の再婚、娘の離婚」動画公開しました！  http://youtu.be/zv6hA_UdVoE  渡辺謙と東出昌大が初共演！脚本・山田太一8/24「よろしくな。息子」動画公開しました！  http://youtu.be/-_JlSMeFFxU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</si>
  <si>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番組名日曜劇場シリーズ「おやじの背中」　第七話『よろしくな。息子』　作・山田太一</t>
  </si>
  <si>
    <t>孤独な靴職人の高村（渡辺謙）は深夜のコンビニで強盗（柴田理恵）に遭遇し、警察を呼ぼうとした。だが、若い店員の祐介（東出昌大）は「警察は要らない」と言い、強盗を説得し退散させた。その見事な解決に惚れ込んでしまった高村は後日彼を呼び出した。そこで高村は告白する…。自分は祐介の母親（余貴美子）と見合いをして振られた男だと。だが、高村は彼女以上に祐介に惚れ込んでしまったと言い出して…。渡辺謙、東出昌大、笹野高史、柴田理恵、田島ゆみか、大方斐紗子、椎名泰三、平田薫、余貴美子脚本…山田太一　演出…清弘誠　プロデュース…八木康夫10人の脚本家と10組の名優で10の物語を紡ぐ『おやじの背中』第七話。次週以降の脚本家と出演者は次週予告で発表します。お見逃しなく！◇番組HP  http://www.tbs.co.jp/oyajinosenaka/    ◇Twitter  @oyaji_tbs  https://twitter.com/oyaji_tbs  渡辺謙と東出昌大が初共演！脚本・山田太一8/24「よろしくな。息子」動画公開しました！  http://youtu.be/-_JlSMeFFxU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</si>
  <si>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番組名日曜劇場シリーズ「おやじの背中」　第八話『駄菓子』</t>
  </si>
  <si>
    <t>駄菓子を愛してやまない春部真（大泉洋）は、駄菓子へのこだわりが原因で会社を転々とし、妻にも逃げられた半人前の父親だった。だが真が作った駄菓子は、息子の湊（田中奏生）の友達にはいつも好評で「お前の父さんは天才だ」と褒められる…。息子にとっては自慢の父親だった。ある日新しい就職先を探す真は、食べ比べをして一番美味しいと感じた駄菓子の会社を訪ねる事にした。そこで社長の羽柴浩太郎（塚本高史）と出会って…。大泉洋、田中哲司、塚本高史、田中奏生、高橋克実　日野陽仁、岩本多代、荻野友里、松尾諭、田中啓三、川島潤哉、我善導、岩澤晶範　五十嵐陽向、内川蓮生、山田日向、高橋琉晟、知念輝、阿部大輝、池端昂暉、藤本哉汰、佐藤詩音、黒澤宏貴、鏑木海智、増田怜雄脚本…池端俊策　演出…坪井敏雄　プロデュース…八木康夫10人の脚本家と10組の名優で10の物語を紡ぐ『おやじの背中』第八話。◇番組HP  http://www.tbs.co.jp/oyajinosenaka/    ◇Twitter  @oyaji_tbs  https://twitter.com/oyaji_tbs  息子に励まされながらロマンを貫く男のほろ苦い物語…脚本・池端俊策8/31「駄菓子」日曜劇場『おやじの背中』動画公開しました！http://youtu.be/7Rqj0iapzBw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</si>
  <si>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番組名日曜劇場「おやじの背中」第九話『父さん、母になる!?』　作・井上由美子</t>
  </si>
  <si>
    <t>大企業に勤める仕事一筋の父(内野聖陽) が突然会社を辞め 「主夫になる」と宣言した。父のコネが頼みだった就活中の息子(神木隆之介) も、家の為に仕事の昇進を断った母(夏川結衣) もこの主夫宣言に呆然となった。楽ができると思い主夫になった父だったが、初めての料理洗濯や近所付き合いは全く上手くいかず悪戦苦闘の日々が始まった。一方、息子も就活に難航していたが、父の退職に理由があると気付き始めて…。内野聖陽、神木隆之介、久本雅美、岡本あずさ、飯田基祐、相島一之、蟹江一平、菜葉菜、高木星来、夏川結衣、西慶子、萩原利映、久ヶ沢徹、麻生淳子、於保佐代子、北見誠、中村有沙、松永渚、岡崎宏、西崎あや、しのへけい子、河合透真10人の脚本家と10組の名優で10の物語を紡ぐ『おやじの背中』第九話。脚本…井上由美子　演出…清弘誠　プロデュース…八木康夫◇番組HP  http://www.tbs.co.jp/oyajinosenaka/    ◇Twitter  @oyaji_tbs  https://twitter.com/oyaji_tbs  9月開幕、アジア40億人の頂点をかけたアジア最大スポーツの祭典。競技数はオリンピックを超える36。かつて高橋尚子がアジア新、競泳・北島が世界新を樹立。柔道・田村亮子、競泳・鈴木大地らが伝説を築いた。「父さん、母になる!?」脚本・井上由美子　9/7日曜劇場『おやじの背中』動画公開しました！  http://youtu.be/y8kOw88vl14  番組の内容と放送時間は、変更になる場合があります。</t>
  </si>
  <si>
    <t>番組名日曜劇場「おやじの背中」　第十話『北別府さん、どうぞ』　作・三谷幸喜</t>
  </si>
  <si>
    <t>売れない役者の男（小林隆）は主治医（小日向文世）に自身の病状が良くない事を告げられる。その日の治療を終えた男は病院の廊下で偶然、息子（須田琉雅）を見つけると、見栄を張って自分の仕事は医者だとウソをついてしまう。息子から尊敬のまなざしを受けた男は調子に乗り、医者になりすまして息子と病院内を歩き回る。医者やナース（酒井若菜・木南晴夏）も巻き込んで大騒動となるが、そこに元妻（吉田羊）が現れて・・・。小林隆、吉田羊、堀内敬子、酒井若菜、木南晴夏、秋元才加、瀬戸カトリーヌ、須田琉雅、氏家恵、伊藤修子、坂田聡、黒田大輔、望月章男、前野朋哉、原慎一、森岡龍、野中隆光、八嶋智人、小日向文世10人の脚本家と10組の名優で10の物語を紡ぐ『おやじの背中』第十話。脚本…三谷幸喜　演出…土井裕泰　プロデュース…八木康夫◇番組HP  http://www.tbs.co.jp/oyajinosenaka/    ◇Twitter  @oyaji_tbs  https://twitter.com/oyaji_tbs  9月開幕、アジア40億人の頂点をかけたアジア最大スポーツの祭典。競技数はオリンピックを超える36。かつて高橋尚子がアジア新、競泳・北島が世界新を樹立。柔道・田村亮子、競泳・鈴木大地らが伝説を築いた。市村正親が熱烈応援メッセージ！日曜劇場『おやじの背中』動画公開しました！  http://youtu.be/Rd4MNF4FDUc  初の三谷幸喜ドラマ！売れない役者の父が息子に遺す大芝居…9/14日曜劇場 『おやじの背中』「北別府さん、どうぞ」動画公開しました！  http://youtu.be/q2FlAhw12FI  番組の内容と放送時間は、変更になる場合があります。</t>
  </si>
  <si>
    <t>1404_TBS_月20</t>
  </si>
  <si>
    <t>ホワイト・ラボ</t>
  </si>
  <si>
    <t>番組名月曜ミステリーシアター「ホワイト・ラボ～警視庁特別科学捜査班～」　第1話</t>
  </si>
  <si>
    <t>大学教授の 小早川が研究室の窓から落下し死亡。窓枠には小早川の指紋が付着、しかも研究室の防犯カメラには彼女以外映っていない。カメラに映らずに研究室に入るのは不可能。捜査一課は自殺と判断。しかし、検視を終えた奥貫は他殺の可能性を指摘。自殺の場合、多くは足を負傷、しかし遺体は頭部を激しく損傷。誰かに突き落とされたと考える。カメラの監視をかいくぐり、殺した者がいる。小早川は“あるものをないように見せる”「メタスケルトン」という新素材を開発、話題を集めていた人物だった。小早川を殺す動機のある人物をそれぞれの方法で探す面々。一ノ瀬は小早川を殺すために研究室に入った者など存在しないと言い出す！一ノ瀬聡士…北村一輝  奥貫徹…宮迫博之  山根武彦…薮宏太  岸部永一…デビット伊東  淡島勝…森岡豊  黒田敬…大杉漣  本田真幸…谷原章介  神山恵子…和久井映見羽柴圭介…小市慢太郎  小早川明美…小島慶子  桃井遥…南明奈  金城博之…鈴木一真  石沢剛志…ケンドーコバヤシ『Destiny』エレファントカシマシ脚本：ますもとたくや  演出：石井康晴  チーフプロデューサー：片山剛  プロデューサー：武藤淳　ほか◇番組HP  http://www.tbs.co.jp/white-lab/  ◇フェイスブック  https://www.facebook.com/whitelab.tbs  ◇ツイッター  @whitelab_tbs  https://twitter.com/whitelab_tbs  1分プロモーション予告動画を公開しました！こちらからどうぞ！  http://youtu.be/4CMByIluc1c  2分でわかる！北村一輝が挑む"日本版CSI"予告動画を公開しました！こちらからどうぞ！  http://youtu.be/3weDjOSA5GQ  番組の内容と放送時間は変更になる場合があります。</t>
  </si>
  <si>
    <t>番組名月曜ミステリーシアター「ホワイト・ラボ～警視庁特別科学捜査班～」　第2話</t>
  </si>
  <si>
    <t>工場敷地内でバラバラの白骨が見つかる。人間が白骨になるには月日がかかるが、一ノ瀬はなんと「1週間で可能」と言う。奥貫は骨の欠片を集め「何かおかしい」とつぶやく。本田は工場長に聞き込み、追及すると、従業員の相沢が1週間前から行方不明になっており、彼と揉めていたことを認める。しかし、殺していないと主張。一方、1週間で遺体を白骨化させることが可能と実証した一ノ瀬は、骨の一部を相沢の写真と照合するが一致しない。相沢の骨ではないのか？白骨の身元はわからないまま。ホワイト・ラボではDNAの抽出にとりかかる…一ノ瀬聡士…北村一輝  奥貫徹…宮迫博之  山根武彦…薮宏太  岸部永一…デビット伊東  淡島勝…森岡豊  神山邦夫…山中聡  神山真美…谷花音  神山健太…高橋來  本田真幸…谷原章介  神山恵子…和久井映見石田隆弘…吹越満　  相沢実…阿部力  島村理恵子…宝積有香  島村宏輝…君野夢真  井上雅代…高林由紀子  小坂源造…諏訪太朗『Destiny』エレファントカシマシ  (ユニバーサル　シグマ）脚本：嶋田うれ葉  演出：石井康晴  チーフプロデューサー：片山剛  プロデューサー：武藤淳　ほか◇番組HP  http://www.tbs.co.jp/white-lab/  ◇フェイスブック  https://www.facebook.com/whitelab.tbs  ◇ツイッター  @whitelab_tbs  https://twitter.com/whitelab_tbs  カッコいい科学オタクたちが遂に始動！動画公開しました！  http://youtu.be/Bo-kg7d803U  番組の内容と放送時間は変更になる場合があります。</t>
  </si>
  <si>
    <t>番組名月曜ミステリーシアター「ホワイト・ラボ～警視庁特別科学捜査班～」　第3話</t>
  </si>
  <si>
    <t>公園で変死体が発見された。殺されたのは、ホームレスを支援する「にこやか村」の職員、曽根崎。現場には一万円札がちらばり、曽根崎自身の口の中にも一万円札が押し込まれていた。死因は窒息死と見られたが、奥貫が現場で拳銃が使用された痕を発見、事件は謎を深める。一ノ瀬は現場にあった一万円札が気になり、調べを進める。一方、本田は「にこやか村」の実体が闇金業者であることを突き止める。代表の灰原は暴力団の元組員で、今回の事件で使用された拳銃と同じものを組員時代に取引していたことがあるという。神山と本田は灰原の事務所に乗り込み、話を聞く。その頃、一ノ瀬はホームレスたちの炊き出しを眺めていた  一ノ瀬聡士…北村一輝  奥貫徹…宮迫博之  山根武彦…薮宏太  岸部永一…デビット伊東  淡島勝…森岡豊  黒田敬…大杉漣  本田真幸…谷原章介  神山恵子…和久井映見真木繁雄…斉藤歩　  磯部…石垣佑磨  灰原雅也…梨本謙次郎  重田富雄…飯田孝男  甲本喜一…ドロンズ石本  曽根崎将司…篠原さとし『Destiny』エレファントカシマシ  (ユニバーサル　シグマ）脚本：ますもとたくや  演出：竹村謙太郎  チーフプロデューサー：片山剛  プロデューサー：武藤淳　ほか◇番組HP  http://www.tbs.co.jp/white-lab/  ◇フェイスブック  https://www.facebook.com/whitelab.tbs  ◇ツイッター  @whitelab_tbs  https://twitter.com/whitelab_tbs  1週間で人間が白骨化!？月曜20時『ホワイト・ラボ』第2話（4/21）ダイジェスト＆次回予告動画公開しました！  http://youtu.be/nSPKhRbg0Zs  番組の内容と放送時間は変更になる場合があります。</t>
  </si>
  <si>
    <t>番組名月曜ミステリーシアター「ホワイト・ラボ～警視庁特別科学捜査班～」　第4話</t>
  </si>
  <si>
    <t>繁華街で代議士・川田が遺体で発見。殺人か？といきり立つ捜査員たちに、現場を見た奥貫は心臓発作だと告げる。しかし心臓発作に到るまでになにかあったのかも知れず、本田は川田の担当医・華村に話を聞きに行く。そのとき、華村の携帯電話が鳴った。娘の美雪が何者かに襲われどこかに連れて行かれている、と助けを求めてきたのだ。GPSから美雪の居場所を特定する一方、姿をみせない一ノ瀬の居場所も追跡する山根。すると、一ノ瀬と美雪の居場所がぴったり重なった！一ノ瀬は連れ去り事件に関係しているのか、と絶句する神山。なんと一ノ瀬は美雪とともに何者かに連れ去られていた・・・。一ノ瀬聡士…北村一輝  奥貫徹…宮迫博之  山根武彦…薮宏太  岸部永一…デビット伊東  淡島勝…森岡豊  一ノ瀬晃…益岡徹  黒田敬…大杉漣  本田真幸…谷原章介  神山恵子…和久井映見牧野ゆい…吉田里琴  牧野健一…林泰文  野島賢治…山崎銀之丞  佐々木豊…尾崎右宗  近藤勇弥…恩田括『Destiny』エレファントカシマシ  (ユニバーサル　シグマ）脚本：中澤圭規  演出：酒井聖博  チーフプロデューサー：片山剛  プロデューサー：武藤淳　ほか◇番組HP  http://www.tbs.co.jp/white-lab/  ◇フェイスブック  https://www.facebook.com/whitelab.tbs  ◇ツイッター  @whitelab_tbs  https://twitter.com/whitelab_tbs  一万円札で窒息死！？月曜20時『ホワイト・ラボ』第3話（4/28）ダイジェスト＆次回（5/5）予告動画公開しました！  http://youtu.be/TG2q_Sf-JVA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</si>
  <si>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番組名月曜ミステリーシアター「ホワイト・ラボ～警視庁特別科学捜査班～」　第5話</t>
  </si>
  <si>
    <t>繁華街で代議士・川田が遺体で発見された。殺人か？といきり立つ捜査員たちに、現場を見た奥貫は心臓発作だと告げる。しかし心臓発作に到るまでになにかあったのかも知れず、本田は川田の担当医・華村に話を聞きに行く。そのとき、華村の携帯電話が鳴った。娘の美雪が何者かに襲われどこかに連れて行かれている、と助けを求めてきたのだ。GPSから美雪の居場所を特定する一方、姿を見せない一ノ瀬と美雪の居場所がぴったり重なった！一ノ瀬は連れ去り事件に関係しているのか、と絶句する神山。なんと一ノ瀬は美雪とともに何者かに連れ去られていた…。一ノ瀬聡士…北村一輝  奥貫徹…宮迫博之  山根武彦…薮宏太  淡島勝…森岡豊  一ノ瀬晃…益岡徹  朝比奈沙羅…矢田亜希子  本田真幸…谷原章介  神山恵子…和久井映見華村由紀子…吉田羊  華村美雪…鈴木梨央  朝岡隆之…大川ヒロキ  田端勇作…遠山俊也『Destiny』エレファントカシマシ  (ユニバーサル　シグマ）脚本：正岡謙一郎　丸茂周  演出：相沢淳  チーフプロデューサー：片山剛  プロデューサー：武藤淳　ほか◇番組HP  http://www.tbs.co.jp/white-lab/  ◇フェイスブック  https://www.facebook.com/whitelab.tbs  ◇ツイッター  @whitelab_tbs  https://twitter.com/whitelab_tbs  最新科学で意識不明の女性から証言を引き出す!？月曜20時『ホワイト・ラボ』第4話（5/5）ダイジェスト動画公開しました！  http://youtu.be/xgy8xjNIVDU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</si>
  <si>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番組名月曜ミステリーシアター「ホワイト・ラボ～警視庁特別科学捜査班～」　第6話</t>
  </si>
  <si>
    <t>アパレル会社社長・佐伯晴彦が殺害された。現場に残されていた指紋はすべて妻・恵津子や息子・良樹、社員たちのもの。ところが、奥貫が現場に残されていた血痕のDNA鑑定を進めたところ、自称・霊能師の神宮司澪のものと判明する。しかし彼女は現在南関東刑務所で服役中だった。まさか刑務所を抜け出して殺害に及んだのか？一ノ瀬はテレポーテーション説を持ち出すが、神山らが刑務所の映像を確認したところ意外な事実が判明する。受刑者に接見する人々のなかに、澪がいたのだ…。一ノ瀬聡士…北村一輝  奥貫徹…宮迫博之  山根武彦…薮宏太  岸部永一…デビット伊東  淡島勝…森岡豊  平野俊二…水野直  一ノ瀬晃…益岡徹  朝比奈沙羅…矢田亜希子  本田真幸…谷原章介  神山恵子…和久井映見神宮寺澪・長澤美紗…市川実和子  佐伯良樹…加藤清史郎  佐伯恵津子…宮澤美保  佐伯晴彦…長谷川公彦  奥貫遥…熊田聖亜  島崎尚美…猫田直  高梨健吾…若杉宏二『Destiny』エレファントカシマシ  (ユニバーサル　シグマ）脚本：田中孝治　正岡謙一郎  演出：竹村謙太郎  チーフプロデューサー：片山剛  プロデューサー：武藤淳　ほか◇番組HP  http://www.tbs.co.jp/white-lab/  ◇フェイスブック  https://www.facebook.com/whitelab.tbs  ◇ツイッター  @whitelab_tbs  https://twitter.com/whitelab_tbs  捜査官・一ノ瀬が誘拐される!？月曜20時『ホワイト・ラボ』第5話（5/12）ダイジェスト動画公開しました！  http://youtu.be/lGFzIoWgJr4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</si>
  <si>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番組名月曜ミステリーシアター「ホワイト・ラボ～警視庁特別科学捜査班～」　第7話</t>
  </si>
  <si>
    <t>ホワイト・ラボのシステムが、ハッカーから攻撃を受けた。ノーネームという名の天才ハッカーで、これまでにも政治家の汚職や大企業の不祥事を数々ネット上で暴いていた。山根がどうにか撃退するが、なぜホワイト・ラボが突然攻撃を受けたのか、神山は疑問を持つ。一方、一ノ瀬がホワイト・ラボにおばあさんを連れてきた。突然家に訪ねてきたが一ノ瀬は面識がなく、おばあさんも自分の名前はおろかどこから来たのかもわからないようだ、と言うのだ。そんな折、男性の変死体が発見された。一ノ瀬と奥貫は、変死体の傷口に溶けた樹脂が付着していることに気が付く・・・。一ノ瀬聡士…北村一輝  奥貫徹…宮迫博之  山根武彦…薮宏太  淡島勝…森岡豊  山口雅年…阪田マサノブ  黒田敬…大杉漣  本田真幸…谷原章介  神山恵子…和久井映見長束八重子…草村礼子  長束直也…郭智博  椎名卓馬…矢野聖人  佐々木智美…藤本泉  堤誠治…山口祥行  梶川秀雄…前野朋哉  若林栄子…ちすん  若林栄子…おのののか『Destiny』エレファントカシマシ  (ユニバーサル　シグマ）脚本：ますもとたくや　ブラジリィー・アン・山田  演出：韓哲  チーフプロデューサー：片山剛  プロデューサー：武藤淳　ほか◇番組HP  http://www.tbs.co.jp/white-lab/  ◇フェイスブック  https://www.facebook.com/whitelab.tbs  ◇ツイッター  @whitelab_tbs  https://twitter.com/whitelab_tbs  おのののか コスプレでドラマ初挑戦！「メイキング」スペシャル公開!！5/26『ホワイト・ラボ』 動画公開しました！  http://youtu.be/VFCx3zEjZzE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</si>
  <si>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番組名月曜ミステリーシアター「ホワイト・ラボ～警視庁特別科学捜査班～」　第8話</t>
  </si>
  <si>
    <t>雑木林で女性の遺体が発見。胸を刺され、遺体の傍には「天罰」と書かれた紙切れが。凶器は見つからず、傷口から検出された物質が通常の刃物には用いられない物質であったことから、一ノ瀬は凶器の特定が出来ずにいた。岸部は、被害者と付き合いのあった永倉卓司という19歳の少年の存在を聞き込んでくる。永倉の部屋へ踏み込むと、胸を刺され殺されていた。傍には「天罰」の紙切れが。永倉は未成年ながらこれまでに薬物売買や美人局など犯罪を重ねており、週刊誌が書き立てる。現場に残されていた紙切れから微量の薬品が検出され、戸川敬三という大学教授が容疑者として浮上。戸川の娘は一年前に永倉に捨てられ、自殺していた。一ノ瀬聡士…北村一輝  奥貫徹…宮迫博之  山根武彦…薮宏太  岸部永一…デビット伊東  淡島勝…森岡豊  平野俊二…水野直  黒田敬…大杉漣  本田真幸…谷原章介  神山恵子…和久井映見戸川敬三…山崎一  長倉卓司…前田公輝  戸川麗子…緑友利恵  下山雄二…陣内将  小沢…尾関伸嗣  係員…山崎画大  好子…亜里沙  小坂美里…白石ゆきの『Destiny』エレファントカシマシ  (ユニバーサル　シグマ）脚本：蒔田光治  演出：酒井聖博  チーフプロデューサー：片山剛  プロデューサー：武藤淳　ほか◇番組HP  http://www.tbs.co.jp/white-lab/  ◇フェイスブック  https://www.facebook.com/whitelab.tbs  ◇ツイッター  @whitelab_tbs  https://twitter.com/whitelab_tbs  天才システムハッカーが侵入！月曜20時『ホワイト・ラボ』第7話（5/26）ダイジェスト動画公開しました！  http://youtu.be/UOvK4gIkArw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</si>
  <si>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番組名月曜ミステリーシアター「ホワイト・ラボ～警視庁特別科学捜査班～」　第9話</t>
  </si>
  <si>
    <t>ホワイト・ラボに荷物が送られてきた。その時、箱が破裂し粉状のものが舞い上がる！生物兵器の可能性があるため、粉をまともに浴びた神山は病院に隔離され、一ノ瀬、奥貫、山根は検査結果が出るまでラボ内に留まるよう指示される。一ノ瀬らは自分たちの手で粉を分析、それが新種のペスト菌であることを突き止める。箱には「発病すると1時間以内に死亡する」との手紙が添えられていた。検査の結果、神山は感染が確認。ラボのメンバーで唯一無事だったのは、外出していた本田だけ。荷物を届けたバイク便を当たる本田に、犯人から接触が！新種のペスト菌用の抗生物質を持っているというのだ。犯人が本田に出した条件とは？一ノ瀬聡士…北村一輝  奥貫徹…宮迫博之  山根武彦…薮宏太  岸部永一…デビット伊東  淡島勝…森岡豊  神山邦夫…山中聡  神山真実…谷花音  神山健太…高橋來  黒田敬…大杉漣  本田真幸…谷原章介  神山恵子…和久井映見西野利治…小柳友  浦賀…中野剛  社長…田口主将  美村珠美…星名美津紀  南沢明人…神田直樹  医師…北見誠『Destiny』エレファントカシマシ  (ユニバーサル　シグマ）脚本：ますもとたくや  演出：加藤尚樹  チーフプロデューサー：片山剛  プロデューサー：武藤淳　ほか◇番組HP  http://www.tbs.co.jp/white-lab/  ◇フェイスブック  https://www.facebook.com/whitelab.tbs  ◇ツイッター  @whitelab_tbs  https://twitter.com/whitelab_tbs  凶器が消えた！？月曜20時『ホワイト・ラボ』第8話（6/2）ダイジェスト動画公開しました！  http://youtu.be/Vmf4HRMsdfk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</si>
  <si>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番組名月曜ミステリーシアター「ホワイト・ラボ～警視庁特別科学捜査班～」　第10話</t>
  </si>
  <si>
    <t>科学者の変死体が発見された。死亡したのは笠原という研究員で、突然苦しみだして死亡したという。奥貫の分析により、笠原はアコニチンによる中毒死と判明する。アコニチンはトリカブトに含まれる猛毒で、即効性がある。しかし本田が他の研究員に聞き込みをしても、笠原が亡くなる直前に何かを口にした形跡はなかった。一方、笠原の自宅を訪れた一ノ瀬はあるモノを発見する。また、防犯カメラの映像を分析していた山根が、記録された映像が何者かによって書き換えられた形跡があることに気が付いた。そして第2の殺人が起こる・・・。一ノ瀬聡士…北村一輝  奥貫徹…宮迫博之  山根武彦…薮宏太  岸部永一…デビット伊東  淡島勝…森岡豊  一ノ瀬晃…益岡徹  朝比奈沙羅…矢田亜希子  黒田敬…大杉漣  本田真幸…谷原章介  神山恵子…和久井映見泉田美知恵…かとうかず子　  高村サダオ…阿部進之介  織田慎一郎…大石吾朗  立花研究員…小松利昌  三鷹研究員…原勇弥  社員(1)…宮澤翔  社員(2)…野村修一『Destiny』エレファントカシマシ  (ユニバーサル　シグマ）脚本：正岡謙一郎  演出：竹村謙太郎  チーフプロデューサー：片山剛  プロデューサー：武藤淳　ほか◇番組HP  http://www.tbs.co.jp/white-lab/  ◇フェイスブック  https://www.facebook.com/whitelab.tbs  ◇ツイッター  @whitelab_tbs  https://twitter.com/whitelab_tbs  神山が発病！迫り来る生物テロ！月曜よる8時『ホワイト・ラボ』第9話（6/9）ダイジェスト動画公開しました！  http://youtu.be/-iouPXvuiGA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</si>
  <si>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番組名月曜ミステリーシアター「ホワイト・ラボ～警視庁特別科学捜査班～」　第11話</t>
  </si>
  <si>
    <t>二人の科学者が殺害された事件をめぐり、ホワイトラボのメンバーたちは朝比奈沙羅という科学者に注目する。彼女は一ノ瀬のアメリカ留学時代の知り合いであったが、14年前に日本で起こった一ノ瀬の父・晃に纏わる殺人事件以後、姿を消していた。その沙羅が二人の科学者の殺害に関与しているのではないかと、神山らはみていた。しかも、沙羅は長年かけてガンの特効薬「T5」を開発しており、すでに完成に向けて最終段階に入っていた。T5の存在と14年前の事件、そして今度の殺人事件・・・すべては関係があるのか？その鍵は朝比奈沙羅に！？一ノ瀬聡士…北村一輝  奥貫徹…宮迫博之  山根武彦…薮宏太  岸部永一…デビット伊東  淡島勝…森岡豊  一ノ瀬晃…益岡徹  朝比奈沙羅…矢田亜希子  黒田敬…大杉漣  本田真幸…谷原章介  神山恵子…和久井映見  泉田美知恵…かとうかず子　  高村サダオ…阿部進之介  織田慎一郎…大石吾朗  朝比奈裕子…笹山ゆき乃  平田敦也…猪又太一  中尾…久松信美『Destiny』エレファントカシマシ  (ユニバーサル　シグマ）脚本：正岡謙一郎  演出：酒井聖博  チーフプロデューサー：片山剛  プロデューサー：武藤淳　ほか◇番組HP  http://www.tbs.co.jp/white-lab/  ◇フェイスブック  https://www.facebook.com/whitelab.tbs  ◇ツイッター  @whitelab_tbs  https://twitter.com/whitelab_tbs  ラボ最後の事件へ！月曜よる8時『ホワイト・ラボ』第10話（6/16）ダイジェスト動画公開しました！  http://youtu.be/ZYp14Ye1R1U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</si>
  <si>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1404_TBS_火22</t>
  </si>
  <si>
    <t>なるようになるさ。</t>
  </si>
  <si>
    <t>番組名火曜ドラマ「なるようになるさ。」作：橋田壽賀子　初回2時間スペシャル！</t>
  </si>
  <si>
    <t>平凡な主婦・長島綾（浅野温子）が始めた自宅レストラン。  カフェレストランあやは今日も大繁盛。  綾と夫・大悟（舘ひろし）のおかげで家族関係を修復した恵理（紺野まひる）が通いで来てくれているが、もう一人の従業員・香子（南沢奈央）は無愛想で一向に店になじまない。  そんなある日、店に無銭飲食の謎の老婆が…。  そして、かつての従業員・大竹昇（安田章大）が金髪の一見チャラ男（伊野尾慧）を連れて来る。長島大悟…舘ひろし  長島綾…浅野温子  内田陽子…志田未来  大竹昇…安田章大  千葉恵理…紺野まひる  中野香子…南沢奈央  奥村涼…伊野尾慧（Hey!Say!JUMP）  長島健…小澤亮太  恵理の息子・誠…大西利空  戸川たつ…渡辺美佐子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番組の内容と放送時間は、変更になる場合があります。</t>
  </si>
  <si>
    <t>番組名火曜ドラマ「なるようになるさ。」第2回　作：橋田壽賀子　舘＆浅野再び！</t>
  </si>
  <si>
    <t>家を飛び出してきて、実家に戻る事を望む三男・健（小澤亮太）と、それを嫌がる綾（浅野温子）。  住み込みの従業員たちで部屋はいっぱいで、健の住む部屋はないと健を突っぱねていたが、涼や香子が店を出て行くことに！？  さらに、正体を明かさずに働く老女たつ（渡辺美佐子）をどこかで見たことがあると、健が綾たちに打ち明ける…。長島大悟…舘ひろし  長島綾…浅野温子  大竹昇…安田章大  千葉恵理…紺野まひる  中野香子…南沢奈央  奥村涼…伊野尾慧（Hey!Say!JUMP）  長島健…小澤亮太  恵理の息子・誠…大西利空  戸川たつ…渡辺美佐子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新たなワケあり同居人が...火曜ドラマ『なるようになるさ。』初回（4/22）ダイジェスト＆次回予告動画公開しました！  http://youtu.be/EtILbtrmnlA  番組の内容と放送時間は、変更になる場合があります。</t>
  </si>
  <si>
    <t>番組名火曜ドラマ「なるようになるさ。」第3回　作：橋田壽賀子　たつの正体は？</t>
  </si>
  <si>
    <t>日曜日に思わぬ休みをもらった従業員の面々。  それぞれ自分らしい時間を過ごす。  珍しく息子たちが三人そろったため少し早いが綾の誕生日も兼ねて家族で食事をすることになった長島家。  その席で健が差し出したたつと思われる女性の写真は・・・！長島大悟・・・舘ひろし  長島綾・・・浅野温子  千葉恵理・・・紺野まひる  中野香子・・・南沢奈央  奥村涼・・・伊野尾慧（Hey!Say!JUMP）  長島悟・・・池田努  長島至・・・水上剣星  長島健・・・小澤亮太  千葉正夫・・・岡田義徳  大塚久紀・・・冨家規政  恵理の息子・誠・・・大西利空  戸川たつ・・・渡辺美佐子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新たなトラブル発生！動画公開しました！  http://youtu.be/k6dBU7lrmfo  番組の内容と放送時間は、変更になる場合があります。</t>
  </si>
  <si>
    <t>番組名火曜ドラマ「なるようになるさ。」第4回　作：橋田壽賀子　香子が辞める？</t>
  </si>
  <si>
    <t>一難去ってまた一難。  綾（浅野温子）が始めて大悟（舘ひろし）が支えるカフェレストランあやは今日も大忙し。  たつ（渡辺美佐子）も家に帰ることになったのに、綾も至の家へ行くことに。  香子を連れ戻しに来た母・初子（斉藤慶子）に、香子はどんな決断を下すのか？  さらに、カフェレストランあやに大悟を訪ねて刑事がやって来る。長島大悟…舘ひろし  長島綾…浅野温子  千葉恵理…紺野まひる  中野香子…南沢奈央  奥村涼…伊野尾慧（Hey!Say!JUMP）  長島至…水上剣星  中野初子…斉藤慶子  大塚久紀…冨家規政  刑事…金児憲史  恵理の息子・誠…大西利空  戸川たつ…渡辺美佐子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息子たちがレストラン経営を反対!？火曜22時『なるようになるさ。』第3話（5/6）ダイジェスト動画公開しました！  http://youtu.be/MeBvzCJeIac  番組の内容と放送時間は、変更になる場合があります。</t>
  </si>
  <si>
    <t>番組名火曜ドラマ「なるようになるさ。」第5回　作：橋田壽賀子　危険な新入り！</t>
  </si>
  <si>
    <t>一難去ってまた一難。  綾（浅野温子）が始めて大悟（舘ひろし）が支えるカフェレストランあやは今日も大忙し。  綾が至の家に子供の世話をしに行って不在のため、大悟のお父さんシェフが腕を振るう。  そんな中、やって来た自殺未遂をした女の子・春菜（宮崎香蓮）をみんなは受け入れられるのか？  一方綾は、孫の世話で疲れ果てていた…。長島大悟・・・舘ひろし  長島綾・・・浅野温子  千葉恵理・・・紺野まひる  中野香子・・・南沢奈央  奥村涼・・・伊野尾慧（Hey!Say!JUMP）  山内春菜・・・宮崎香蓮  長島至・・・水上剣星  ケースワーカー・浦部・・・山崎樹範  恵理の息子・誠・・・大西利空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店を任された大悟。意外な事実が発覚...火曜22時『なるようになるさ。』第4話（5/13）ダイジェスト　動画公開しました！  http://youtu.be/MG2Yab-1Fcs  番組の内容と放送時間は、変更になる場合があります。</t>
  </si>
  <si>
    <t>番組名火曜ドラマ「なるようになるさ。」第6回　作：橋田壽賀子　春菜の真実！</t>
  </si>
  <si>
    <t>一難去ってまた一難。  綾（浅野温子）が始めて大悟（舘ひろし）が支えるカフェレストランあやは今日も大忙し。  綾は至の息子・太郎の世話に疲れ果て、太郎を連れて店に帰って来た。  店のみんなは忙しい中、太郎の面倒は春菜がみることに！  迎えに来た母・初子に香子は勢い余ってひどいことを言ってしまう。　長島大悟・・・舘ひろし  長島綾・・・浅野温子  大竹昇・・・安田章大  千葉恵理・・・紺野まひる  中野香子・・・南沢奈央  奥村涼・・・伊野尾慧（Hey!Say!JUMP）  山内春菜・・・宮崎香蓮  長島至・・・水上剣星  中野初子・・・斉藤慶子  恵理の息子・誠・・・大西利空  至の息子・太郎・・・遠藤颯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番組の内容と放送時間は、変更になる場合があります。</t>
  </si>
  <si>
    <t>番組名火曜ドラマ「なるようになるさ。」第7回　作：橋田壽賀子　春菜の次の一歩</t>
  </si>
  <si>
    <t>一難去ってまた一難。  綾（浅野温子）が始めて大悟（舘ひろし）が支えるカフェレストランあやは今日も大忙し。  夜の街を1人駆け回る大悟。  寝ずに春菜の帰りを待ち続けた綾をはじめとする従業員の面々は、何も聞かずに戻ってきた春菜を受け入れるが、自信をなくした春菜に出来ることはあるのか？  そんな折、たつが始める憩いの家のお世話係に急きょ欠員が出たらしく、香子（南沢奈央）にお願いしたいと言う。長島大悟…舘ひろし  長島綾…浅野温子  大竹昇…安田章大  千葉恵理…紺野まひる  中野香子…南沢奈央  奥村涼…伊野尾慧（Hey!Say!JUMP）  山内春菜…宮崎香蓮  恵理の息子・誠…大西利空  戸川たつ（大塚文子）…渡辺美佐子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綾と大悟が言い争う！孫の子守りは？火曜22時『なるようになるさ。』第6話（5/27）ダイジェスト動画公開しました！  http://youtu.be/OLpatiOw-bA  番組の内容と放送時間は、変更になる場合があります。</t>
  </si>
  <si>
    <t>番組名火曜ドラマ「なるようになるさ。」第8回　作：橋田壽賀子　新しい出会い！</t>
  </si>
  <si>
    <t>一難去ってまた一難。  綾（浅野温子）が始めて大悟（舘ひろし）が支えるカフェレストランあやは今日も大忙し。  たつ（渡辺美佐子）の憩いの家を手伝い始めた春菜の自立を考える昇は、春菜に保育士か介護福祉士の資格を  とることを勧めるのだが…。  一方、香子がお見合いをしたと知った涼は、気が気でない。  　長島大悟・・・舘ひろし  長島綾・・・浅野温子  大竹昇・・・安田章大  千葉恵理・・・紺野まひる  中野香子・・・南沢奈央  奥村涼・・・伊野尾慧（Hey!Say!JUMP）  山内春菜・・・宮崎香蓮  中野初子・・・斉藤慶子  川合剛・・・田中幸太朗  中野隆・・・石丸謙二郎  恵理の息子・誠・・・大西利空  戸川たつ（大塚文子）・・・渡辺美佐子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番組の内容と放送時間は、変更になる場合があります。</t>
  </si>
  <si>
    <t>番組名火曜ドラマ「なるようになるさ。」第9回　作：橋田壽賀子　昇奔走する！</t>
  </si>
  <si>
    <t>一難去ってまた一難。  綾（浅野温子）が始めて大悟（舘ひろし）が支えるカフェレストランあやは今日も大忙し。  自分たちのやって来たことは驕りでしかなかった。春菜のことは諦めようとする大悟（舘ひろし）だが、  自分が春菜に負担をかけ過ぎたと感じる昇は、ひたすら春菜を探し続ける。  お見合い相手に見初められた香子（南沢奈央）を見て、涼は一念発起。  自分の思いを小説という形で表現する。　長島大悟・・・舘ひろし  長島綾・・・浅野温子  大竹昇・・・安田章大  千葉恵理・・・紺野まひる  中野香子・・・南沢奈央  奥村涼・・・伊野尾慧（Hey!Say!JUMP）  山内春菜・・・宮崎香蓮  川合剛・・・田中幸太朗  ケースワーカー・浦部・・・山崎樹範  恵理の息子・誠・・・大西利空  戸川たつ（大塚文子）・・・渡辺美佐子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大騒動が再び...火曜22時『なるようになるさ。』第8話（6/10）ダイジェスト動画公開しました！  http://youtu.be/i2sCoJTOpH0  番組の内容と放送時間は、変更になる場合があります。</t>
  </si>
  <si>
    <t>番組名火曜ドラマ「なるようになるさ。」最終回　作：橋田壽賀子　 涙の再会！</t>
  </si>
  <si>
    <t>一難去ってまた一難。  綾（浅野温子）が始めて大悟（舘ひろし）が支えるカフェレストランあやは今日も大忙し。  春菜への気持ちを認めつつも、自分は春菜と付き合うつもりはないと言う昇。  誰かその背中をおしてくれるのか？  一方、長男・悟（池田努）が、店をやめてほしいと言い出した。長島大悟・・・舘ひろし  長島綾・・・浅野温子  大竹昇・・・安田章大  千葉恵理・・・紺野まひる  中野香子・・・南沢奈央  奥村涼・・・伊野尾慧（Hey!Say!JUMP）  山内春菜・・・宮崎香蓮  大竹茂・・・金田明夫  大竹元子・・・あめくみちこ  恵理の息子・誠・・・大西利空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家出した春菜と、行方を追う昇が下した決意とは!？...火曜22時『なるようになるさ。』第9話（6/17）ダイジェスト　動画公開しました！  http://youtu.be/JhlhXG8pEAU  番組の内容と放送時間は、変更になる場合があります。</t>
  </si>
  <si>
    <t>1404_TBS_木21</t>
  </si>
  <si>
    <t>MOZU</t>
  </si>
  <si>
    <t>番組名「MOZU　Season1～百舌の叫ぶ夜～」第1話</t>
  </si>
  <si>
    <t>都心の繁華街で起きた爆発事件をきっかけに、事件の真相を追う公安警察のエース・倉木が、愚直なたたき上げの刑事・大杉、公安警察官・美希らと、百舌と呼ばれる謎の殺し屋の運命の交錯を描く。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生瀬勝久  吉田鋼太郎  伊藤淳史  有村架純  池松壮亮  長谷川博己  石田ゆり子  小日向文世　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番組の内容と放送時間は、変更になる場合があります。</t>
  </si>
  <si>
    <t>番組名「MOZU　Season1～百舌の叫ぶ夜～」第2話</t>
  </si>
  <si>
    <t>番組名「MOZU　Season1～百舌の叫ぶ夜～」第3話</t>
  </si>
  <si>
    <t>新谷（池松壮亮）に接触したものの正体を見破られた美希（真木よう子）は、危険な所を倉木（西島秀俊）に助けられた。“新谷の妹”の存在を隠されていたと知った倉木は、今度こそすべての情報を教えるよう美希に迫る。  そして、人気のない資料庫で倉木、大杉（香川照之）、美希が会した。美希は新谷についての情報を2人に伝え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生瀬勝久  吉田鋼太郎  伊藤淳史  有村架純  池松壮亮  長谷川博己  石田ゆり子  小日向文世　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番組の内容と放送時間は、変更になる場合があります。</t>
  </si>
  <si>
    <t>番組名「MOZU　Season1～百舌の叫ぶ夜～」第4話</t>
  </si>
  <si>
    <t>眠らない街の喧騒が集まる、夜の六本木警察署。その一角で待たされている少女の前に、険しい表情の大杉（香川照之）が現れる。少女…めぐみ（杉咲花）は、大杉の一人娘だ。今は別居中の妻・恵子（堀内敬子）のもとで暮らしている。夜遊びを大声で叱りつけてくる大杉に、嫌悪感露わに反発するめぐみ。親子関係も決して良くはなかった。言い合いながら警察署から出る2人の前に、美希（真木よう子）が現れ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吉田鋼太郎  有村架純  　　○  池松壮亮  　　○  戸田昌宏  鶴見辰吾  堀内敬子  杉咲　花  音月　桂  　　○  長谷川博己  　　○  石田ゆり子  小日向文世◇番組HP http://www.tbs.co.jp/mozu_tbs/  ◇フェイスブック https://www.facebook.com/MOZU.TBS.WOWOW  ◇ツイッター  @MOZU2014  https://twitter.com/MOZU2014  ◇YouTube「MOZU.TV」  https://www.youtube.com/user/mozutv  倉木に中神の魔の手が...第3話（4/24）ダイジェスト＆次回（5/1）予告動画公開しました！  #MOZU  http://youtu.be/M1U33yQF_ss  監督  羽住英一郎    原作  逢坂剛「百舌の叫ぶ夜」（集英社文庫刊）    脚本  仁志光佑    音楽  菅野祐悟制作協力　ROBOT  製作著作　TBS・WOWOW  番組の内容と放送時間は、変更になる場合があります。</t>
  </si>
  <si>
    <t>番組名「MOZU　Season1～百舌の叫ぶ夜～」第5話</t>
  </si>
  <si>
    <t>中神（吉田鋼太郎）の部下に拉致された新谷（池松壮亮）は、ICチップの在り処を吐くよう、厳しい拷問を受けていた。教えようにも記憶が戻らない新谷は、時間がほしいと懇願するが、中神は彼のアザだらけの体を容赦なく痛めつける。  一方、津城（小日向文世）たちと手を組んだ倉木（西島秀俊）と大杉（香川照之）は、爆発事件に居合わせた高校生・南貴之（染谷将太）を訪ね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生瀬勝久  吉田鋼太郎  有村架純  　○  池松壮亮  　○  奥貫　薫  染谷将太  　○  長谷川博己  　○  石田ゆり子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</si>
  <si>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番組名「MOZU　Season1～百舌の叫ぶ夜～」第6話</t>
  </si>
  <si>
    <t>ICチップの在り処を思い出せない新谷（池松壮亮）に対して、中神（吉田鋼太郎）たちの拷問が続く。葵美（有村架純）の前で激しいショックを受け続け、意識朦朧とする新谷。その目に、葵美が彼の実家から持ってきた絵本が映る。表紙に描かれている不思議なマーク…新谷の脳裏に、失われていた記憶が一気に蘇っていく。自らの生い立ち、新谷兄妹の関係、そして爆発事件の日の出来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吉田鋼太郎  有村架純  池松壮亮  奥貫　薫  田口浩正  田中要次  　○  長谷川博己  　○  石田ゆり子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</si>
  <si>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番組名「MOZU　Season1～百舌の叫ぶ夜～」第7話</t>
  </si>
  <si>
    <t>百舌・新谷宏美（池松壮亮）がすべての記憶を取り戻し、覚醒した。倉木（西島秀俊）たちの前に転がる無残な死体の数々が、それを物語っていた。現場から逃走し身なりを整えた百舌は、かつて通っていた小学校を訪れる。殺された葵美（有村架純）が心残りにしていた、借りたままのアルバムを返すためだ。アルバムを受け取った管理作業員の寺門（品川徹）は、百舌のことを兄の和彦だと思い懐かしが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生瀬勝久  伊藤淳史  有村架純  　○  池松壮亮  　○  戸田昌宏  　○  品川　徹  　○  長谷川博己  　○  石田ゆり子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</si>
  <si>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番組名「MOZU　Season1～百舌の叫ぶ夜～」第8話</t>
  </si>
  <si>
    <t>爆弾事件捜査の指揮を執る若松（戸田昌宏）を尾行中の大杉（香川照之）・美希（真木よう子）・津城（小日向文世）は、無人のスタジアムにたどり着く。物陰から若松の様子を見る大杉たち…若松は誰かといるようだが、その相手の姿は暗くて見えない。すると、若松と謎の人物の前にもう1人、大杉たちの知る人物が現れ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生瀬勝久  　○  池松壮亮（2役）  　○  戸田昌宏  鶴見辰吾  　○  長谷川博己  　○  石田ゆり子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</si>
  <si>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番組名「MOZU　Season1～百舌の叫ぶ夜～」第9話</t>
  </si>
  <si>
    <t>千尋（石田ゆり子）はなぜ爆弾を起動させたのか…その理由がわからず爆発現場を訪れた倉木（西島秀俊）は、物影にいる何者かに気づく。倉木を誘うように移動する何者かの影…それを追って倉木がたどり着いた先には、東（長谷川博己）が待ち受けていた。東は「助言」だと言って、ある小説に登場する理想郷“オメラス”について話し出す。「その町のどこかに、光の届かない固く閉ざされた地下室があった…」。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生瀬勝久  　○  池松壮亮  　○  瑳川哲朗  　○  長谷川博己  　○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</si>
  <si>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番組名「MOZU　Season1～百舌の叫ぶ夜～」第10話</t>
  </si>
  <si>
    <t>サルドニア共和国大統領の来日の日がやってきた。警護を指揮するのは、裏で大統領の暗殺を狙う公安部の室井（生瀬勝久）だ。室井は警備計画の変更に左右されない場所で爆弾テロを起こす…そう睨む倉木（西島秀俊）たち。しかし津城（小日向文世）は室井の策略で公安に拘束され、動くことが出来ない。  捜査第一課課長・村瀬（鶴見辰吾）を説得した大杉（香川照之）は、捜査一課の面々を引き連れ、大統領の到着する空港へ…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生瀬勝久  伊藤淳史  　○  池松壮亮  　○  鶴見辰吾  阿部　力  　○  瑳川哲朗  　○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</si>
  <si>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1404_TBS_金22</t>
  </si>
  <si>
    <t>アリスの棘</t>
  </si>
  <si>
    <t>番組名金曜ドラマ「アリスの棘」第1話　上野樹里主演、ダークヒロインの復讐劇！</t>
  </si>
  <si>
    <t>父を殺したのは、誰だ!?  15年前、大学病院の手術中に死んだ水野明日美（上野樹里）の父親。しかしその死の真相は、医療ミスだった!?謎を明らかにするため、自ら医師になり、大学病院に潜り込んだ明日美。人生の全てをかけて、これまで見たこともない方法で、不誠実な“二枚舌”看護師や、「医者は3人殺してからが一人前」と、患者を顧みない女医など、“許されざる医師たち”をぶった切る！爽快な復讐劇が幕を開ける!!水野 明日美…上野樹里  磐台 悠真…中村蒼  西門 優介…オダギリジョー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脚本：高橋麻紀、池田奈津子など  プロデューサー：高橋正尚、高成麻畝子  音楽：横山克  シリーズ監修：西田征史  監督：塚原あゆ子、渡瀬暁彦、平野俊一番組の内容と放送時間は変更になる場合があります。</t>
  </si>
  <si>
    <t>番組名金曜ドラマ「アリスの棘」　第2話　禁断の医療サスペンスは加速する！</t>
  </si>
  <si>
    <t>明日美の復讐は加速する！患者のことを二の次にして、自分の研究のみに没頭する千原（田中直樹）。実は…千原は明日美の父の手術を執刀した伊達の指導医だった。伊達のミスにより容態が急変したにも関わらず、自身の評価を気にして、無理やり手術を続けた千原…明日美の見たこともない復讐が始まる！そして…明日美に『手術記録』を送り、真実を告げたのは誰なのか？どんな目的なのか？新たな謎が動き始める！一番の悪は誰だ？水野明日美…上野樹里  磐台悠真…中村蒼  西門優介…オダギリジョー  千原淳一…田中直樹  日向誠…尾美としのり  　　　　○  水野和史…中村梅雀  伊達理沙…藤原紀香(特別出演）  　　　　○  蛭子雅人…六平直政  磐台修一…岩城滉一  星野美羽…栗山千明  有馬毅…國村隼高橋優『太陽と花』■公式番組HP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t>
  </si>
  <si>
    <t>番組名金曜ドラマ「アリスの棘」　第3話　絶体絶命ーついに復讐が終わる！？</t>
  </si>
  <si>
    <t>明日美の復讐計画に今までにないピンチが…。病院の利益のため、患者を踏みにじる顧問弁護士日向（尾美としのり）は、15年前、明日美の父親の手術で起きた医療ミスの隠蔽工作をし、さらに薬物横流しの冤罪まで着せた人物だった。『不敗の冷酷弁護士』に緻密な復讐計画を仕掛ける明日美。しかし、頭脳派の日向は巧妙な手口で明日美を陥れようとする。そして、明日美の味方だと宣言した西門（オダギリジョー）も怪しい動きをして…水野明日美…上野樹里  磐台悠真…中村蒼  西門優介…オダギリジョー  千原淳一…田中直樹  日向誠…尾美としのり  　　　　○  水野和史…中村梅雀  伊達理沙…藤原紀香(特別出演）  　　　　○  蛭子雅人…六平直政  磐台修一…岩城滉一  星野美羽…栗山千明  有馬毅…國村隼高橋優『太陽と花』■公式番組HP  http://www.tbs.co.jp/alice2014/    ■公式twitter  @alice_tbs  https://twitter.com/alice_tbs  ■公式facebook  https://www.facebook.com/alice2014.tbs  ■公式YouTube  https://www.youtube.com/user/alicenotoge  不敗の冷酷弁護士の運命は!？動画公開しました！  http://youtu.be/oPMG3-h-0r0  脚本：高橋麻紀、池田奈津子など  プロデューサー：高橋正尚、高成麻畝子  音楽：横山克  シリーズ監修：西田征史  監督：塚原あゆ子、渡瀬暁彦、平野俊一番組の内容と放送時間は変更になる場合があります。</t>
  </si>
  <si>
    <t>番組名金曜ドラマ「アリスの棘」　第4話　哀しき復讐計画の結末はー!?</t>
  </si>
  <si>
    <t>明日美は『最大で最後の強大な敵』磐台教授（岩城滉一）に挑む。有名人を広告塔にして“新薬”を患者に試そうとするなど、患者を食いものにして名声をあげることに余念がない磐台。西門（オダギリジョー）の協力により、磐台こそが15年前の明日美の父の手術に関わった重要人物であることが分かり…明日美は西門の制止を振り切って禁断の作戦を実行しようとするが、それを磐台教授と敵対する有馬教授（國村隼）が監視しており…水野 明日美…上野樹里  磐台 悠真…中村蒼  西門 優介…オダギリジョー  千原淳一…田中直樹  日向誠…尾美としのり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最後にして最大の敵への復讐は！？金曜ドラマ『アリスの棘』第4話(5/2）予告動画公開しました！  http://youtu.be/el4Ww5sJHe0  脚本：池田奈津子、高橋麻紀など  プロデューサー：高橋正尚、高成麻畝子  音楽：横山克  シリーズ監修：西田征史  監督：塚原あゆ子、渡瀬暁彦、平野俊一番組の内容と放送時間は変更になる場合があります。</t>
  </si>
  <si>
    <t>番組名金曜ドラマ「アリスの棘」　第5話　想定外の謎…衝撃すぎる新展開!!</t>
  </si>
  <si>
    <t>医療ミスと思われた明日美の父親の死…それは磐台教授が仕組んだ殺人だった！父を死に追いやった決定的証拠を手に入れるために、明日美は磐台教授の息子悠真（中村蒼）を利用してその証拠が隠されている日向弁護士の別荘に侵入する…。そこで待ち構えていたのは想定外の謎…衝撃的すぎる新展開が明日美を襲う！一方、悠真に好意を寄せる美羽（栗山千明）が明日美の行動を不審に思い…明日美を取り巻く人間関係が複雑に交錯する！？水野 明日美…上野樹里  磐台 悠真…中村蒼  西門 優介…オダギリジョー  千原淳一…田中直樹  日向誠…尾美としのり  横山重雄…深水三章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想定外の謎...衝撃すぎる新展開！動画公開しました！  http://youtu.be/Bw1H1WLAfLw  脚本：池田奈津子　高橋麻紀など  プロデューサー：高橋正尚、高成麻畝子  音楽：横山克  シリーズ監修：西田征史  監督：塚原あゆ子、渡瀬暁彦、平野俊一番組の内容と放送時間は変更になる場合があります。</t>
  </si>
  <si>
    <t>番組名金曜ドラマ「アリスの棘」　第6話　ついに暴かれる、明日美の正体…!!</t>
  </si>
  <si>
    <t>父を死に追いやった薬を用意したのは、三浦直子（山本未來）というオペ看護師だった。彼女と磐台の15年に及ぶ秘められた関係…磐台による殺人の唯一の証拠を握る三浦に近づく明日美だが、直前でバレてしまい…焦る明日美は磐台の息子・悠真に接近。偽りのキスで彼の心を奪うが、悠真に好意を寄せる友人の美羽が目撃!!裏切られた彼女は、磐台の恐るべき陰謀に乗って…明日美の過去が暴かれる!!復讐計画、最大の危機ー!!!  水野 明日美…上野樹里  磐台 悠真…中村蒼  西門 優介…オダギリジョー  千原淳一…田中直樹  日向誠…尾美としのり  三浦直子…山本未來  　　　　○  水野 和史…中村梅雀  伊達 理沙…藤原紀香(特別出演）  　　　　○  蛭子雅人…六平直政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t>
  </si>
  <si>
    <t>番組名金曜ドラマ「アリスの棘」　第7話　絶体絶命…全ての謎が明かされる</t>
  </si>
  <si>
    <t>磐台に正体を暴かれ、父殺しの唯一の証拠も奪われた明日美。西門（オダギリジョー）の反対を振り切り、危険な賭けにー磐台と敵対関係にある移植外科の有馬教授（國村隼）に全てを打ち明け、協力を仰いだのだ。証拠を手に入れ、ついに明日美の復讐計画は完結するかーに思えた瞬間、明日美の元に追放したはずの女医・伊達（藤原紀香）が登場!!一つ一つが複雑に絡み合う怒涛の展開！瞬きする間もない大ドンデン返し!!水野 明日美…上野樹里  磐台 悠真…中村蒼  西門 優介…オダギリジョー  千原淳一…田中直樹  日向誠…尾美としのり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t>
  </si>
  <si>
    <t>番組名金曜ドラマ「アリスの棘」　第8話　豹変…最凶の男が放つ狂った陰謀</t>
  </si>
  <si>
    <t>明日美に復讐を企てた女医伊達（藤原紀香）から守るために犠牲になった悠真（中村蒼）。他人の人生を奪ってしまったことにショックを受けた明日美は復讐を断念する。一方、磐台からとある陰謀をリークしたいという連絡が西門に入るが…衝撃の事件が！そして、豹変した有馬が放つ、15年の時を越えた計画が明らかに！子供患者まで巻き込む残虐さに、明日美は再び復讐の炎を燃やす！！遂にシリーズ最大のクライマックス！！水野 明日美…上野樹里  磐台 悠真…中村蒼  西門 優介…オダギリジョー  千原淳一…田中直樹  日向誠…尾美としのり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t>
  </si>
  <si>
    <t>番組名金曜ドラマ「アリスの棘」第9話　ついに終幕！明かされる過去の惨劇</t>
  </si>
  <si>
    <t>自分の娘を助けるため、幼い患者健太から腎臓を奪う恐怖の計画を立てる有馬（國村隼）。明日美は有馬の計画を阻止しようとするが、告発するための証拠が何一つなく、犯人に仕立て上げられてしまう。そこで、西門と協力して有馬の15年前の不正な移植手術について調べることにする。そこには、「衝撃の真実」が隠されていた!!誰も想像しなかったクライマックスーそれは、明日美と西門の絆を引き裂く最も残酷な終焉だった。娘に移植するため、幼い患者から腎臓を奪う恐怖の計画…有馬の15年前の不正な移植手術を調べる明日美と西門は、衝撃の真実に辿り着く！それは二人の絆を引き裂く残酷な過去ー水野 明日美・・・上野樹里  磐台 悠真・・・中村蒼  西門 優介・・・オダギリジョー  千原淳一・・・田中直樹  日向誠・・・尾美としのり  　　　　　　　○  水野 和史・・・中村梅雀  伊達 理沙・・・藤原紀香(特別出演）  　　　　　　　○  蛭子雅人・・・六平直政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t>
  </si>
  <si>
    <t>番組名金曜ドラマ「アリスの棘」最終回！全ての謎を操る…最後の黒幕</t>
  </si>
  <si>
    <t>有馬を殺そうとする西門を止めるため、明日美は空港へ急いだが…番組スタート直後、予想外の展開が彼女を襲う！果たして父の死の裏にある「真実」と、全てを操る「黒幕」の正体とは！？そして…全ての謎を握る最後の復讐相手が明らかになった時ー知ってはいけない禍々しい真実に、明日美は！？父を殺したのは誰か？手術記録を送ったのは誰か？そして西門の本当の姿とは？15年間の時をかけた謎と史上最大の復讐計画が今夜、完結！水野 明日美…上野樹里  磐台 悠真…中村蒼  西門 優介…オダギリジョー  千原淳一…田中直樹  日向誠…尾美としのり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t>
  </si>
  <si>
    <t>1404_TBS_日21</t>
  </si>
  <si>
    <t>ルーズヴェルト・ゲーム</t>
  </si>
  <si>
    <t>番組名日曜劇場「ルーズヴェルト・ゲーム」　第1話　～池井戸潤・原作～</t>
  </si>
  <si>
    <t>ヘッドハンティングされた社長・細川（唐沢寿明）と、生え抜きの専務・笹井（江口洋介）は対立！  そんな青島製作所は倒産の危機に陥っていた。青島製作所を買収しよと狙う・大手のジャパニクスの諸田社長（香川照之）は、イツワ電気者坂東社長（立川談春）と揺さぶりをかける。  銀行の融資を受けて倒産から会社を守るため、細川社長は社会人野球部の廃部を決断するが、その野球部は創業者の青島会長（山崎努）の肝入りだった…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青島（会長）…山崎努唐沢寿明vs江口洋介10年ぶりの対決！シーン映像初公開！動画公開しました！  http://youtu.be/T9cfPMmJP5Y  （春ドラマ）1分で分かる！4/27スタート　日曜劇場『ルーズヴェルト・ゲーム』動画公開しました！  http://youtu.be/eXBaISevXXw  和田正人が撮影裏を初レポート！日曜劇場『ルーズヴェルト・ゲーム』番外編スタート　動画公開しました！  http://youtu.be/a86-GSPYHg0  入社式に唐沢寿明登場！新入社員に贈った熱いエールとダメ出し！？動画公開しました！  http://youtu.be/TIpfiZcdQYo  和田正人が「球場」から1分リポート！「七転び八起き」2動画公開しました！  http://youtu.be/YEgqVm2ZME4  雑魚ダナ～！和田正人が試合直前の暴言レポ!？4/27日曜劇場『ルーズヴェルト・ゲーム』番外編　動画公開しました！  http://youtu.be/kzVZNEMzYLo  監督…福澤克雄  脚本…八津弘幸  音楽…服部隆之  ナレーション…山根基世  プロデューサー…伊與田英徳◇番組HP  http://www.tbs.co.jp/ROOSEVELT_GAME/  ◇ツイッター  @ROOSEVELT_GAME  https://twitter.com/ROOSEVELT_GAME◇フェイスブック  https://www.facebook.com/ROOSEVELT.GAME  番組の内容と放送時間は、変更になる場合があります。</t>
  </si>
  <si>
    <t>番組名日曜劇場「ルーズヴェルト・ゲーム」　第2話　～池井戸潤・原作～</t>
  </si>
  <si>
    <t>ヘッドハンティングされた社長・細川（唐沢寿明）と、生え抜きの専務・笹井（江口洋介）は対立！そんな青島製作所は倒産の危機に陥っていた。青島製作所を買収しようと狙う・大手のジャパニクスの諸田社長（香川照之）は、イツワ電気者坂東社長（立川談春）と揺さぶりをかける。  細川社長は社会人野球部の廃部を決断するが、野球部は創業者の青島会長（山崎努）の肝入りだった…そして社長を陥れるため足の引っ張り合いが始まる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豊岡（部長）…児島一哉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和田正人、「青島製作所」社屋から裏側リポート！4/27日曜劇場『ルーズヴェルト・ゲーム』番外編動画公開しました！  http://youtu.be/77aXOmZ9KnM  和田正人が「試写会」に乱入!？1分レポ動画公開しました！  http://youtu.be/qIe1KeyOyR4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</si>
  <si>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番組名日曜劇場「ルーズヴェルト・ゲーム」　第3話　～10分拡大スペシャル～</t>
  </si>
  <si>
    <t>ヘッドハンティングされた社長・細川（唐沢寿明）と、生え抜きの専務・笹井（江口洋介）は対立！  そんな青島製作所はついに倒産か…。青島製作所を買収しようと狙う・大手のジャパニクスの諸田社長（香川照之）は、イツワ電器の坂東社長（立川談春）と青島を訴えた！！  細川社長は社会人野球部の廃部を決断するが、野球部は創業者の青島会長（山崎努）の肝入りだった…そして、社長を陥れるため足の引っ張り合いが始まる…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崖っぷちの野球部の前に...新たな罠...『ルーズヴェルト・ゲーム』第1～2話（5/4）ダイジェスト動画公開しました！  http://youtu.be/Hq7oS_4VyIg  和田正人がグラウンドで「走るレポ」!？日曜21時『ルーズヴェルト・ゲーム』番外編動画公開しました！  http://youtu.be/dVNEr4mm5xg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</si>
  <si>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番組名日曜劇場「ルーズヴェルト・ゲーム」　第4話　～池井戸潤・原作～</t>
  </si>
  <si>
    <t>倒産の危機に陥った社長・細川（唐沢寿明）と、青島製作所を買収しよと狙う・大手のジャパニクスの諸田社長（香川照之）の大バトルが繰り広げられる。絶対絶命にピンチの細川は大逆転できるのか？  一方、150キロピッチャーの沖原は、自分を陥れた先輩如月にまたしても苦しめられる。会社、野球、ともに、坂東社長（立川談春）のイツワ電器に苦しめられる。果たして青島の運命は？？？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豊岡（部長）…児島一哉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更なる試練が襲い掛かる細川！野球部にも...！『ルーズヴェルト・ゲーム』第3話（5/11）までダイジェスト動画公開しました！  http://youtu.be/VqDX7AvK5uk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</si>
  <si>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番組名日曜劇場「ルーズヴェルト・ゲーム」第5話～第2章スタート「反撃の時間」</t>
  </si>
  <si>
    <t>青島製作所はついに倒産か…そんなどん底の青島に甘い囁きが。イツワ電器の坂東社長（立川談春）が青島との合併を申し出たのだ。今まで、価格競争をけしかけたり、訴えたりしてきたのは、この合併に導くための罠だった。  一方、野球部も予選でイツワ電器と戦うことになる！　経営と野球！奇しくも同じ相手と死闘を繰り広げる。果たして、勝利の女神はどちらに微笑むのか…？　150キロピッチャー沖原の勇気がドラマを変える！工藤公康（元プロ野球選手）の息子・工藤阿須加が、エース役として大抜擢！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生き残るためには...逆転なるか!？『ルーズヴェルト・ゲーム』第4話（5/18）ダイジェスト＆次回予告動画公開しました！  http://youtu.be/hZVzx5w0tdk  和田正人、居酒屋看板娘に「ホの字レポ」!？日曜21時『ルーズヴェルト・ゲーム』番外編#12　動画公開しました！  http://youtu.be/EZGusylLvTM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</si>
  <si>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番組名日曜劇場「ルーズヴェルト・ゲーム」第6話～池井戸潤・原作～</t>
  </si>
  <si>
    <t>必死に戦いを挑んだ野球部に触発された社長の細川（唐沢寿明）。ライバル会社のイツワ電器から横槍を入れられ、青島製作所が東洋カメラの新機種に採用される予定で開発を進めていたイメージセンサーの取引を白紙に戻されてしまった細川。だが、青島製作所の野球部がイツワ電器を相手に繰り広げた激闘に触発された細川は、イツワ電器に横取りされた東洋カメラとの契約を取り戻すべく逆転の秘策に出た…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豊岡（部長）…児島一哉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ライバルの陰謀...因縁の直接対決！『ルーズヴェルト・ゲーム』第5話（5/25）ダイジェスト＆次回予告動画公開しました！  http://youtu.be/P623E0k_gu8  和田正人、始球式前に「帰ってきたアノ人登場レポ」！日曜21時『ルーズヴェルト・ゲーム』番外編#13　動画公開しました！  http://youtu.be/ALA-1B_OlFU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</si>
  <si>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番組名日曜劇場「ルーズヴェルト・ゲーム」第7話～原作・池井戸潤～</t>
  </si>
  <si>
    <t>青島を手に入れたいイツワは、ついに、株主に悪の触手を伸ばした。経営統合後、株のキャピタルゲインで多額を得れることを餌に、イツワの坂東（立川）は、青島の株主（ジュディ・オング、北村有起哉）に接触！一方、細川（唐沢）のやり方についていけない笹井専務（江口）は、イツワ側に乗り移ることを決意！野球部は敗者復活戦で沖原以外ピッチャーがいなくなった。まだスタミナのない沖原は、投げ切ることができるのか…？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豊岡（部長）…児島一哉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野球部共に敗者復活なるか！？『ルーズヴェルト・ゲーム』第6話（6/1）ダイジェスト＆次回予告動画公開しました！  http://youtu.be/9H7m0crOO1w  和田正人、「ごんた再び！」レポ！日曜21時『ルーズヴェルト・ゲーム』番外編動画公開しました！  http://youtu.be/EDHj_FRjcQM  和田正人、「エキストラ巨人軍と対戦」レポ！日曜21時『ルーズヴェルト・ゲーム』番外編#15　動画公開しました！  http://youtu.be/-vjXAbxRwUo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</si>
  <si>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番組名日曜劇場「ルーズヴェルト・ゲーム」第8話～セミファイナル　10分枠拡大～</t>
  </si>
  <si>
    <t>野球部の廃部を、三上部長(石丸幹二）が苦渋の決断！野球部は解散！それでも、宿敵イツワ戦に向け、沖原(工藤）は練習を黙々と続ける。そんな中、犬彦(和田正人)に、イツワから引き抜きの声がかかって…。一方、いよいよ、株主総会が繰り広げられる。青島はイツワに経営統合されてしまうのか？株主（ジュディ・オング、北村有起哉）との攻防の結果は？イツワに寝返った笹井専務（江口）に細川社長(唐沢）はどう挑む？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専務の裏切り、野球部廃部の宣告...『ルーズヴェルト・ゲーム』第7話（6/8）ダイジェスト動画公開しました！  http://youtu.be/AaakTuwmaE0  和田正人、「西武ドームで守備のはずが...」レポ！日曜21時『ルーズヴェルト・ゲーム』番外編動画公開しました！#16  http://youtu.be/1KJWsiRSkig  和田正人「帰り際に名物助監督突撃！」レポ　日曜21時『ルーズヴェルト・ゲーム』番外編#17動画公開しました！  http://youtu.be/IFkGzePhxkg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</si>
  <si>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番組名日曜劇場「ルーズヴェルト・ゲーム」最終回～10分枠拡大スペシャル～</t>
  </si>
  <si>
    <t>株主総会で敗北を喫したイツワは、お金で優秀な技術者を引き抜いた。なりふり構わないイツワに、青島はコンペに勝つことができるのか？一方廃部が決まった野球部は、ラスト試合、宿敵イツワと対戦する！積年の恨みを晴らせるのか？勝てば奇跡がおきるかも！壮絶な戦いが…！沖原VS如月の結末は？青島製作所は、生き残りをかけ社員が一丸となって野球と、コンペに挑む！これぞ、日本の会社の理想の形だ！逆転につぐ逆転の結末は？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「イツワ」と最終決戦へ！『ルーズヴェルト・ゲーム』第8話（6/22）ダイジェスト＆最終回予告動画公開しました！  http://youtu.be/d2yr8nMtSAY  奇跡の「大逆転」なるか！1分でわかる『ルーズヴェルト・ゲーム』最終回 （6/22）みどころ！！スペシャル動画公開  http://youtu.be/JcDnvRBi8VYえみるちゃんも応援！「俺たち青島が勝つ！！」番外編ラストレポ 日曜21時『ルーズヴェルト・ゲーム』#18  http://youtu.be/_-SI53FXFNw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</si>
  <si>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1401_TBS_月20</t>
  </si>
  <si>
    <t>隠蔽捜査</t>
  </si>
  <si>
    <t>番組名月曜ミステリーシアター「隠蔽捜査」　第1話</t>
  </si>
  <si>
    <t>竜崎伸也（杉本哲太）は警察庁に勤めるキャリア官僚。ある日、男性が拳銃で殺害される事件が発生。そこで竜崎は、幼馴染で同期の警視庁刑事部長・伊丹俊太郎（古田新太）の元を訪れる。伊丹から、情報が上がってこないのは、警察庁内の縄張り争いが原因だと言われ、憤る竜崎。一方家庭では、息子が思わぬ、問題を起こし、竜崎は決断を迫られる。警察内部では、殺人事件に関係する警察不祥事を隠蔽しようという動きが始まり・・・。警察官僚として、また父親として大きな決断を迫られる竜崎。果たして、竜崎は事件を隠蔽するのか。それとも・・・。  そして、真犯人の登場が、伊丹の立場も追い詰めることに・・・。竜崎伸也： 杉本哲太  伊丹俊太郎： 古田新太    戸高善信： 安田　顕  貝沼悦郎： 松澤一之  竜崎美紀： 三倉茉奈  斎藤　治： 八十田勇一  竜崎邦彦： 佐野玲於    竜崎冴子： 鈴木砂羽  上條貴仁： 生瀬勝久牛島陽介： 神保悟志　   谷岡香織： 青山倫子　   福本多吉： 中村育二  坂上栄太郎： 矢島健一音楽：窪田ミナ  主題歌：「東京」wacci （エピックレコードジャパン）脚本：中澤圭規  制作：那須田淳  チーフプロデューサー：橋本孝  プロデューサー：橘康仁  演出：岡本伸吾http://www.tbs.co.jp/inpei2014/index-j.html  番組の内容と放送時間は、変更になる可能性があります。</t>
  </si>
  <si>
    <t>番組名月曜ミステリーシアター「隠蔽捜査」　第2話</t>
  </si>
  <si>
    <t>警察官僚の竜崎（杉本哲太）は、ヘロインに手を出した息子を自首させるべきかどうか、苦渋の決断に迫られていた。  一方、大森北署刑事・戸高（安田顕）は、連続殺人犯である現職の警察官・山田の取調べを行う。犯行を認める山田に対し、ある謀略を図ろうとする警察庁の上層部。そして、伊丹に、ある圧力がかけられていた。不穏な動きを感じ取った竜崎は、事実を確認するため、伊丹のもとを訪れる。意見が対立した二人は…。蠢く隠蔽の影。警察官の不祥事と息子の犯罪。国と家族を守るために、竜崎が下した決断とは…。伊丹の選択とは…。竜崎伸也： 杉本哲太  伊丹俊太郎： 古田新太     戸高善信： 安田　顕  貝沼悦郎： 松澤一之  竜崎美紀： 三倉茉奈  斎藤　治： 八十田勇一  竜崎邦彦： 佐野玲於    竜崎冴子： 鈴木砂羽  上條貴仁： 生瀬勝久牛島陽介： 神保悟志  谷岡香織： 青山倫子  福本多吉： 中村育二  坂上栄太郎： 矢島健一音楽：窪田ミナ  主題歌：「東京」wacci （エピックレコードジャパン）脚本：中澤圭規  制作：那須田淳  チーフプロデューサー：橋本孝  プロデューサー：橘康仁  演出：岡本伸吾ホームページ  http://www.tbs.co.jp/inpei2014/index-j.html  ツイッター  https://twitter.com/inpei2014フェイスブック  https://www.facebook.com/inpei2014杉本哲太＆古田新太W主演！月曜よる8時『隠蔽捜査』第1話（1/13）ダイジェスト＆次回予告動画公開しました！  http://youtu.be/Lc6gF_e7pPo  番組の内容と放送時間は、変更になる可能性があります。</t>
  </si>
  <si>
    <t>番組名月曜ミステリーシアター「隠蔽捜査」　第3話</t>
  </si>
  <si>
    <t>降格人事により大森北署の署長に就任した竜崎（杉本哲太）は、所轄の不合理なやり方を変えようと模索していた。そんなある日、管内で強盗事件が発生する。緊急配備をかけ、犯人の逃走車両を捕まえようと署内が騒然となる中、一本の電話がなる。それは、管内のスナックで揉め事が起きているというものだった。緊配で手一杯の署員たちは、その電話を後回しにするが、竜崎は何かが引っかかり…。強盗犯らは捜査一課が逮捕。大森北署の緊配を抜けた事実に、方面本部の野間崎管理間（古舘寛治）は激怒。竜崎の下に乗り込んでくる。そんな中、拳銃の発砲事件が発生。揉め事のあったスナックに立てこもり…。竜崎伸也： 杉本哲太  伊丹俊太郎： 古田新太     戸高善信： 安田　顕  貝沼悦郎： 松澤一之  竜崎美紀： 三倉茉奈  斎藤　治： 八十田勇一  野間崎正嗣：古舘寛治  竜崎邦彦：佐野玲於    竜崎冴子： 鈴木砂羽   上條貴仁：生瀬勝久    下平栄介：斎藤歩　   石渡剛志：藤本隆宏　音楽：窪田ミナ  主題歌：「東京」wacci （エピックレコードジャパン）脚本：嶋田うれ葉  制作：那須田淳  チーフプロデューサー：橋本孝  プロデューサー：橘康仁  演出：酒井聖博ホームページ  http://www.tbs.co.jp/inpei2014/index-j.html  ツイッター  @inpei2014   https://twitter.com/inpei2014  フェイスブック  https://www.facebook.com/inpei2014  杉本哲太＆古田新太W主演！月曜よる8時『隠蔽捜査』第2話（1/20）ダイジェスト＆次回予告動画公開しました！  http://youtu.be/Tx80oC7shVs  番組の内容と放送時間は、変更になる可能性があります。</t>
  </si>
  <si>
    <t>番組名月曜ミステリーシアター「隠蔽捜査」　第4話</t>
  </si>
  <si>
    <t>SATによる犯人射殺で収束した立てこもり事件。しかし、犯人の拳銃には弾が入っていなかった。事実を隠蔽するべきか悩む伊丹（古田新太）に、竜崎（杉本哲太）は一刻も早く公表するよう諭す。そんな中、翌朝の朝刊で事実が露見。竜崎は、戸高（安田顕）が、リークしたという噂を耳にし、戸高を追及する。一方、竜崎と伊丹に監察からの呼び出しがかかる。立てこもり事件の責任について追及された二人は、処分を覚悟するが・・・。事件の顛末に疑問が残るという戸高の意見を聞き、竜崎は再捜査に踏み切る。しかし、警察庁からは釘を刺される。戸高は、犯人を射殺したのはSATではないかもしれないという説を唱えるが…。竜崎伸也： 杉本哲太  伊丹俊太郎： 古田新太     戸高善信： 安田　顕  貝沼悦郎： 松澤一之  竜崎美紀： 三倉茉奈  斎藤　治： 八十田勇一  野間崎正嗣：古舘寛治  竜崎邦彦：佐野玲於    竜崎冴子： 鈴木砂羽  上條貴仁：生瀬勝久    小田切貞夫：池田成志  谷岡香織：青山倫子音楽：窪田ミナ  主題歌：「東京」wacci （エピックレコードジャパン）脚本：嶋田うれ葉  制作：那須田淳  チーフプロデューサー：橋本孝  プロデューサー：橘康仁  演出：田中健太ホームページ  http://www.tbs.co.jp/inpei2014/index-j.html  ツイッター  https://twitter.com/inpei2014  フェイスブック  https://www.facebook.com/inpei2014  第3話（1/27）ダイジェスト＆次回予告動画公開中！  http://youtu.be/5i8IGN5oLaE  番組の内容と放送時間は、変更になる可能性があります。</t>
  </si>
  <si>
    <t>番組名月曜ミステリーシアター「隠蔽捜査」　第5話</t>
  </si>
  <si>
    <t>立てこもり事件の再捜査を決意した竜崎（杉本哲太）と伊丹（古田新太）。しかし、そんな二人を邪魔するかのように、上條（生瀬勝久）から、再捜査中止の通達がなされる。警察庁の命令に背き、再捜査を続けた捜査員には、厳重な処分を科すという上條に、悩む竜崎。そんな竜崎に「ここでやめたら警察官ではない！」と、刑事の戸高（安田顕）は訴えるのだった。そんな中、竜崎は入院中の妻・冴子（鈴木砂羽）を見舞うのだが…。再捜査を進める戸高は、死亡した犯人の瀬島と、人質となっていた源田に思わぬ繋がりがあったことに気付く。戸高は、竜崎にSITとSATに聞き込みに行くことを提案。二人は、事件の全貌を洗いなおすことにする。竜崎伸也： 杉本哲太  伊丹俊太郎： 古田新太    戸高善信： 安田　顕  貝沼悦郎： 松澤一之  竜崎美紀： 三倉茉奈  斎藤　治： 八十田勇一  野間崎正嗣：古舘寛治  竜崎邦彦：佐野玲於    竜崎冴子： 鈴木砂羽  上條貴仁：生瀬勝久小田切貞夫：池田成志  谷岡香織：青山倫子音楽：窪田ミナ  主題歌：「東京」wacci （エピックレコードジャパン）杉本哲太＆古田新太W主演！月曜よる8時『隠蔽捜査』第4話（2/3）ダイジェスト＆次回予告　動画公開しました♪  http://youtu.be/V-LGyhqfHuc  脚本：嶋田うれ葉  制作：那須田淳  チーフプロデューサー：橋本孝  プロデューサー：橘康仁  演出：酒井聖博ホームページ  http://www.tbs.co.jp/inpei2014/index-j.html  ツイッター  https://twitter.com/inpei2014  フェイスブック  https://www.facebook.com/inpei2014  番組の内容と放送時間は、変更になる可能性があります。</t>
  </si>
  <si>
    <t>番組名月曜ミステリーシアター「隠蔽捜査」　第6話</t>
  </si>
  <si>
    <t>アメリカ大統領の来日に伴い、第二方面本部の警備本部長に任命された竜崎（杉本哲太）。同期の伊丹（古田新太）は、その異例の人事が上條（生瀬勝久）の仕業だと気づく。そんな中、警視庁から竜崎の補佐役として、女性キャリアの畠山美奈子（伊藤歩）がやってくる。新人研修以来の再会となった美奈子は、才色兼備な女性に成長していた。彼女のことが気になって仕方がない竜崎は、自分の感情に戸惑う。伊丹はそれを恋だといい・・・テロ計画が発覚し、シークレットサービスのハックマン（岡田浩暉）が常駐することになった大森北署は慌しい。一方、交通事故に居合わせたと戸高（安田顕）は、行方不明となった運転手を不審に思う。竜崎伸也： 杉本哲太  伊丹俊太郎： 古田新太     戸高善信： 安田　顕  貝沼悦郎： 松澤一之  竜崎美紀： 三倉茉奈  斎藤　治： 八十田勇一  野間崎正嗣：古舘寛治  竜崎邦彦：佐野玲於    竜崎冴子： 鈴木砂羽   上條貴仁：生瀬勝久    畠山美奈子：伊藤歩  ケン・ハックマン：岡田浩暉  藤本実：金田明夫音楽：窪田ミナ  主題歌：「東京」wacci （エピックレコードジャパン）脚本：松本美弥子  制作：那須田淳  チーフプロデューサー：橋本孝  プロデューサー：橘康仁  演出：岡本伸吾杉本哲太＆古田新太W主演！月曜よる8時『隠蔽捜査』第5話（2/10）ダイジェスト＆次回予告動画公開しました！  http://youtu.be/je-18yWUzNo  ホームページ  http://www.tbs.co.jp/inpei2014/index-j.html  ツイッター  https://twitter.com/inpei2014  フェイスブック  https://www.facebook.com/inpei2014  番組の内容と放送時間は、変更になる可能性があります。</t>
  </si>
  <si>
    <t>番組名月曜ミステリーシアター「隠蔽捜査」　第7話</t>
  </si>
  <si>
    <t>米大統領来日に伴い、羽田空港でのテロ計画があることを知った竜崎（杉本哲太）は、米シークレットサービスのハックマン（岡田浩暉）らに、3日以内にテロリストを逮捕すると約束する。しかし、捜査は難航。戸高（安田顕）が追っていた交通事故、さらには殺人事件も絡まりあい、捜査は混迷を極める。一方、補佐官の畠山美奈子（伊藤歩）への恋心が打ち消せない竜崎に対し、伊丹（古田新太）は先人に学ぶよう諭すのだが…竜崎の妻・冴子（鈴木砂羽）は、夫のいつもと違う様子に気づき、大森北署を訪れる。冴子と会ったという美奈子に、動揺する竜崎は、あることに気づくのだが…。また、伊丹は妻の浮気の噂を聞き…。竜崎伸也： 杉本哲太  伊丹俊太郎： 古田新太    戸高善信： 安田　顕  貝沼悦郎： 松澤一之  竜崎美紀： 三倉茉奈  斎藤　治： 八十田勇一  野間崎正嗣：古舘寛治  竜崎邦彦：佐野玲於    竜崎冴子： 鈴木砂羽  上條貴仁：生瀬勝久畠山美奈子：伊藤歩  ケン・ハックマン：岡田浩暉  藤本実：金田明夫音楽：窪田ミナ  主題歌：「東京」wacci （エピックレコードジャパン）脚本：松本美弥子  制作：那須田淳  チーフプロデューサー：橋本孝  プロデューサー：橘康仁  演出：岡本伸吾ホームページ  http://www.tbs.co.jp/inpei2014/index-j.html  ツイッター  https://twitter.com/inpei2014  @inpei2014  フェイスブック  https://www.facebook.com/inpei2014  杉本哲太＆古田新太W主演！月曜よる8時『隠蔽捜査』第6話（2/17）ダイジェスト動画公開しました！  http://youtu.be/olGPgndCNBk  番組の内容と放送時間は、変更になる可能性があります。</t>
  </si>
  <si>
    <t>番組名月曜ミステリーシアター「隠蔽捜査」　第8話</t>
  </si>
  <si>
    <t>大森北署管内で、ひき逃げ事件が発生。被害者が元外務官僚だと聞き、何かが引っ掛かる竜崎（杉本哲太）。一方、伊丹（古田新太）は、大井で発生した殺人事件の捜査を、公安に妨害されて辟易していた。そんな中、竜崎のもとに厚生労働省の麻薬取締部から、猛烈な抗議の電話が入る。麻取りが泳がせていた麻薬密輸グループを、戸高が荒らしたというのだ。捜査妨害だと訴える麻取りの矢島（升毅）に対し、竜崎は思わぬ態度を取る。美紀の恋人の三村が乗ったと思われる飛行機が、墜落事故を起こした。三村の安否が気になる美紀は、竜崎に頼んで、外務省に問い合わせてくれるよう懇願する。竜崎は外務省の内山（堀部圭亮）に連絡を取るが竜崎伸也： 杉本哲太  伊丹俊太郎： 古田新太     戸高善信： 安田　顕  貝沼悦郎： 松澤一之  竜崎美紀： 三倉茉奈  斎藤　治： 八十田勇一  野間崎正嗣：古舘寛治  竜崎邦彦：佐野玲於    竜崎冴子： 鈴木砂羽   上條貴仁：生瀬勝久内山昭之：堀部圭亮  矢島滋：升毅  折口秀彦：飯田基祐音楽：窪田ミナ  主題歌：「東京」wacci （エピックレコードジャパン）脚本：熊本浩武  制作：那須田淳  チーフプロデューサー：橋本孝  プロデューサー：橘康仁  演出：田中健太恋の悩みで竜崎がダウン寸前！月曜よる8時『隠蔽捜査』第7話（2/24）ダイジェスト動画公開致しました！  http://youtu.be/P89RTz-biD8ホームページ  http://www.tbs.co.jp/inpei2014/index-j.html  ツイッター  https://twitter.com/inpei2014  @inpei2014  フェイスブック  https://www.facebook.com/inpei2014  番組の内容と放送時間は、変更になる可能性があります。</t>
  </si>
  <si>
    <t>番組名月曜ミステリーシアター「隠蔽捜査」　第9話</t>
  </si>
  <si>
    <t>外務官僚の連続殺人事件を捜査するうちに、警察庁の上條（生瀬勝久）が裏で暗躍していることに気付く竜崎（杉本哲太）と伊丹（古田新太）。殺害された外務官僚は、警察庁と外務省が共謀して実行していた、おとり捜査の捜査員であり、それを指示していたのが、上條の部下・折口（飯田基祐）だったのだ。外務官僚の死が、上條による違法な捜査だと知り、衝撃を受ける竜崎は、証拠を掴むために外務省の内山（堀部圭亮）に接触する。一方、厚生労働省の捜査妨害を受けながらも、麻薬の売人を追う戸高（安田顕）は、情報屋から外務官僚殺人の犯人の情報を得る。それが、自身の追う売人・であると知り…竜崎伸也：杉本哲太  伊丹俊太郎：古田新太     戸高善信：安田　顕  貝沼悦郎：松澤一之  竜崎美紀：三倉茉奈  斎藤　治：八十田勇一  野間崎正嗣：古舘寛治  竜崎邦彦：佐野玲於    竜崎冴子：鈴木砂羽  上條貴仁：生瀬勝久内山昭之：堀部圭亮  矢島滋：升毅  折口秀彦：飯田基祐音楽：窪田ミナ  主題歌：「東京」wacci （エピックレコードジャパン）脚本：嶋田うれ葉  制作：那須田淳  チーフプロデューサー：橋本孝  プロデューサー：橘康仁  演出：酒井聖博省庁の壁と娘の問題が複雑に絡み合う...月曜よる8時『隠蔽捜査』第8話（3/3）ダイジェスト動画公開しました♪  http://youtu.be/bY5hxnaMslc  ホームページ  http://www.tbs.co.jp/inpei2014/index-j.html  ツイッター  https://twitter.com/inpei2014  @inpei2014  フェイスブック  https://www.facebook.com/inpei2014  番組の内容と放送時間は、変更になる可能性があります。</t>
  </si>
  <si>
    <t>番組名月曜ミステリーシアター「隠蔽捜査」　第10話</t>
  </si>
  <si>
    <t>元警察官僚の田辺（加藤虎ノ介）から、国会議員の中丸（五王四郎）が失踪した件を調査してほしいと依頼された伊丹（古田新太）は、竜崎（杉本哲太）に助けを求める。すると中丸の運転手が刺殺体で発見され、事態は中丸代議士誘拐事件へと発展する。目的のわからない犯人に対し、竜崎らは混和するが、逆探知と戸高（安田顕）の捜査により、犯人が横須賀に潜伏している可能性が浮上。それを聞いた伊丹は困惑し…。一方、殺害された外務官僚のおとり捜査を指示し、監察の処分を待つ身となった上條（生瀬勝久）は、辞職を決意。そんな中、中丸議員の誘拐事件の報道を目にし、起死回生のキャンスを思いつく。竜崎伸也：杉本哲太  伊丹俊太郎：古田新太     戸高善信：安田　顕  貝沼悦郎：松澤一之  竜崎美紀：三倉茉奈  斎藤　治：八十田勇一  野間崎正嗣：古舘寛治  竜崎邦彦：佐野玲於    竜崎冴子： 鈴木砂羽   上條貴仁：生瀬勝久田辺勇作：加藤虎ノ介  板橋武：小木茂光  榊重臣：大石吾朗音楽：窪田ミナ  主題歌：「東京」wacci （エピックレコードジャパン）脚本：松本美弥子  制作：那須田淳  チーフプロデューサー：橋本孝  プロデューサー：橘康仁  演出：岡本伸吾「正義」で「隠蔽」を暴くことはできるのか？クライマックスへ！月曜よる8時『隠蔽捜査』第9話（3/10）ダイジェスト動画公開しました♪  http://youtu.be/705Pw3BQY0M  ホームページ  http://www.tbs.co.jp/inpei2014/index-j.html  ツイッター  https://twitter.com/inpei2014  @inpei2014  フェイスブック  https://www.facebook.com/inpei2014  番組の内容と放送時間は、変更になる可能性があります。</t>
  </si>
  <si>
    <t>番組名月曜ミステリーシアター「隠蔽捜査」　最終話</t>
  </si>
  <si>
    <t>国会議員の中丸（五王四郎）が誘拐され、竜崎（杉本哲太）は犯人追跡のために、神奈川県警で陣頭指揮を執る。しかし、竜崎の捜査方針に対立する神奈川県警の捜査一課長の板橋（小木茂光）は、非協力的だ。そんな中、犯人と思しき人物の居場所が特定され、竜崎は伊丹（古田新太）の反対を押し切って、神奈川県警の特殊班を要請。人質救出に乗り出す。犯人の携帯を入手した竜崎は、誘拐事件の裏に黒幕の存在を感じ・・・。一方、上條（生瀬勝久）は誘拐事件と官房長・榊（大石吾朗）の関わりに気づき、ある作戦を思いつく。辞職か降格か。追い詰めらていた上條の逆襲が始まる？！竜崎伸也： 杉本哲太  伊丹俊太郎： 古田新太     戸高善信： 安田　顕  貝沼悦郎： 松澤一之  竜崎美紀： 三倉茉奈  斎藤　治： 八十田勇一  野間崎正嗣：古舘寛治  竜崎邦彦：佐野玲於    竜崎冴子： 鈴木砂羽   上條貴仁：生瀬勝久田辺勇作：加藤虎ノ介  板橋武：小木茂光  榊重臣：大石吾朗音楽：窪田ミナ  主題歌：「東京」wacci （エピックレコードジャパン）脚本：松本美弥子  制作：那須田淳  チーフプロデューサー：橋本孝  プロデューサー：橘康仁  演出：岡本伸吾新たなる難関に、ライバル上條が再び暗躍する？月曜よる8時『隠蔽捜査』第10話（3/17）ダイジェスト動画公開しました！  http://youtu.be/nNcKJwAIou0  原理原則を貫いた竜崎と伊丹の運命は！？月曜よる8時『隠蔽捜査』遂に最終回（3/24）へ！動画公開しました！  http://youtu.be/1k4GK8_pqmk  ホームページ  http://www.tbs.co.jp/inpei2014/index-j.html  ツイッター  https://twitter.com/inpei2014  @inpei2014  フェイスブック  https://www.facebook.com/inpei2014  番組の内容と放送時間は、変更になる可能性があります。</t>
  </si>
  <si>
    <t>1401_TBS_木21</t>
  </si>
  <si>
    <t>Dr.DMAT</t>
  </si>
  <si>
    <t>番組名新番組　木曜ドラマ劇場「Dr．DMAT（ドクター・ディーマット）」　第1話</t>
  </si>
  <si>
    <t>10秒迷えば一つの命が消えてゆく…そんな極限状態の災害現場で自ら出向き命を繋ぐ者たちがいる…  Disaster Medical Assistance Team  その組織の名前は通称DMATと呼ばれている。誰を先に助けるのか？それを決めるのは一体誰なのか！？  その役を担った八雲響という若き医師の目を通して、命の重さ、絆の強さを問うー  究極の人間ドラマが今、始まります！DMATは実際に存在する組織で、発足は1995年の阪神淡路大震災がきっかけとなっています。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小曽根　達也…佐藤二朗  村上　和司…ほっしゃん。  花田　大吉朗…松尾諭  水野　幸子…滝沢沙織  小松　健二…高木雄也（Hey!Say!JUMP)  近藤　道子…未来  　　　○  八雲　雷蔵…左とん平  桜庭　周作…石黒賢  伊勢崎　勝一…國村隼永井　武司…三又又三（1話ゲスト）  宮本　孝一…岡本光太郎（1話ゲスト）『ひびき』　関ジャニ∞  （テイチクエンタテインメント）脚本…穴吹一朗　吉澤智子  企画…石丸彰彦  プロデューサー…加藤章一  演出…倉貫健二郎番組HP  http://www.tbs.co.jp/DrDMAT/  Twitter  https://twitter.com/DrDMAT  番組の内容と放送時間は、変更になる場合があります。</t>
  </si>
  <si>
    <t>番組名木曜ドラマ劇場「Dr．DMAT（ドクター・ディーマット）」第2話▽愛すべき人の死</t>
  </si>
  <si>
    <t>自らの手で殺す命を選ばなくてはいけない…そんな局面にさらされた響の前に新たな選択が立ちはだかる。…助けたい人、助けるべき人。何を基準に判断する…？ビル火災の現場に向かう響。そこで子供たちと共に火災に巻き込まれた凛を発見する。  誰を先に救助すれば良いか？幼馴染に向けた感情とDMATとしての使命の間で再び究極の選択肢を迫られる中、響が出した結論とは！？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小曽根　達也…佐藤二朗  村上　和司…ほっしゃん。  花田　大吉朗…松尾諭  水野　幸子…滝沢沙織  小松　健二…高木雄也（Hey!Say!JUMP)  近藤　道子…未来  　　　○  八雲　雷蔵…左とん平  桜庭　周作…石黒賢  伊勢崎　勝一…國村隼    川谷　茂…久保晶（2話ゲスト）  伸江…竹内都子（2話ゲスト）『ひびき』　関ジャニ∞  （テイチクエンタテインメント）脚本…穴吹一朗　吉澤智子  企画…石丸彰彦  プロデューサー…加藤章一  演出…松田礼人番組HP  http://www.tbs.co.jp/DrDMAT/  Twitter  https://twitter.com/DrDMAT  番組の内容と放送時間は、変更になる場合があります。</t>
  </si>
  <si>
    <t>番組名木曜ドラマ劇場「Dr．DMAT（ドクター・ディーマット）」第3話▽絶体絶命の決断</t>
  </si>
  <si>
    <t>ビル火災の負傷から復帰した凛がDMATに入ると聞き驚く響。そんな響のもとに、“白衣のスーパーヒーロー”だと響のことを慕うパティシエ柏木が訪れる、柏木は表情の暗い響きに違和感を感じる。数日後、エレベーター事故が発生、被災者は柏木だった、一度救った元患者の両足を切断！？またもや響きに究極の選択が襲いかかる…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小曽根　達也…佐藤二朗  村上　和司…ほっしゃん。  花田　大吉朗…松尾諭  水野　幸子…滝沢沙織  小松　健二…高木雄也（Hey!S?y!JUMP)  近藤　道子…未来  　　　○  八雲　雷蔵…左とん平  桜庭　周作…石黒賢  伊勢崎　勝一…國村隼柏木亮………中村俊介（3話ゲスト）　　  柏木沙織………粟田麗（3話ゲスト）『ひびき』　関ジャニ∞  （テイチクエンタテインメント）脚本…吉澤智子  企画…石丸彰彦  プロデューサー…加藤章一  演出…倉貫健二郎番組HP  http://www.tbs.co.jp/DrDMAT/  Twitter  https://twitter.com/DrDMAT  番組の内容と放送時間は、変更になる場合があります。</t>
  </si>
  <si>
    <t>番組名木曜ドラマ劇場「Dr．DMAT（ドクター・ディーマット）」第4話</t>
  </si>
  <si>
    <t>柏木を救えなかった後悔から響はERに戻り貧欲に外科の処置を学ぶようになった。そんな有栖川病院に“神の手”を自負する院長の娘伊勢崎紅美が赴任することになった。ある日、ビルの解体現場で外壁の崩落事故が起きる、響のチームに出動要請が、何故か紅美も同行することに、現場では身動きの取れない頭部に血腫の疑いのある老人が、制限の厳しい瓦礫の下で究極のオペが行われる。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伊勢崎紅美…市川実日子  小曽根　達也…佐藤二朗  村上　和司…ほっしゃん。  花田　大吉朗…松尾諭  水野　幸子…滝沢沙織  小松　健二…高木雄也（Hey!Say!JUMP)  近藤　道子…未来  　　　○  八雲　雷蔵…左とん平  桜庭　周作…石黒賢  伊勢崎　勝一…國村隼桐谷珠代…角替和枝（4話ゲスト）  桐谷秀次郎…斉藤洋介（4話ゲスト）『ひびき』　関ジャニ∞  （テイチクエンタテインメント）脚本…吉澤智子・穴吹一朗  企画…石丸彰彦  プロデューサー…加藤章一  演出…松田礼人番組HP  http://www.tbs.co.jp/DrDMAT/  Twitter  @DrDMAT  https://twitter.com/DrDMAT  番組の内容と放送時間は、変更になる場合があります。</t>
  </si>
  <si>
    <t>番組名木曜ドラマ劇場「Dr．DMAT（ドクター・ディーマット）」　第5話</t>
  </si>
  <si>
    <t>ERでの勤務を続ける響はふとしたことから、看護師長・長谷川がシングルマザーだと知る。そんな中、有栖川病院にDMAT出動要請が来る、乗用車同士の追突事故だった、被害にあったのはトラックの運転手と家族連れ、搬送用の救急車がない状況で、親と子どちらを先に助けるか選ぶという究極の選択が響を襲う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伊勢崎　紅美…市川実日子  小曽根　達也…佐藤二朗  村上　和司…ほっしゃん。  花田　大吉朗…松尾諭  水野　幸子…滝沢沙織  小松　健二…高木雄也（Hey!Say!JUMP)  近藤　道子…未来  　　　○  八雲　雷蔵…左とん平  桜庭　周作…石黒賢  伊勢崎　勝一…國村隼丸山佑子…長谷川真弓（5話ゲスト）　　　岸田勝子…大森暁子（5話ゲスト）『ひびき』　関ジャニ∞  （テイチクエンタテインメント）脚本…吉澤智子・穴吹一朗  企画…石丸彰彦  プロデューサー…加藤章一  演出…堀英樹番組HP  http://www.tbs.co.jp/DrDMAT/  Twitter  https://twitter.com/DrDMAT  番組の内容と放送時間は、変更になる場合があります。</t>
  </si>
  <si>
    <t>番組名木曜ドラマ劇場「Dr．DMAT（ドクター・ディーマット）」　第6話</t>
  </si>
  <si>
    <t>事故で腕を傷め、バイオリニストの夢を絶たれた江上明日香（徳永えり）と、倒産寸前の町工場経営に悩む末期ガン患者の土屋哲也（小倉一郎）。絶望の淵で心通わせた二人を新たな悲劇が襲う！工場の機械に足を挟まれた土屋の命を救うには、両足切断手術をするしかない。わずかな延命のための手術を拒む土屋。死なせてあげてと訴える明日香。しかし、八雲響（大倉忠義）は両足切断してでも延命するべきと手術する準備を始めるーー！DMATは実際に存在する組織で、発足は1995年の阪神淡路大震災がきっかけとなっています。  このドラマは東京DMAT　東京消防庁全面協力の元、作られております。八雲響…大倉忠義  吉岡凛…加藤あい  八雲春子…瀧本美織  長谷川久美子…麻生祐未  小曽根達也…佐藤二朗  村上和司…ほっしゃん。  花田大吉朗…松尾諭  水野幸子…滝沢沙織  小松健二…高木雄也（Hey!Say!JUMP)  近藤道子…未来  　　　○  八雲雷蔵…左とん平  桜庭周作…石黒賢  伊勢崎勝一…國村隼土屋哲也…小倉一郎（6話ゲスト）　　　　江上明日香…徳永えり（6話ゲスト）『ひびき』　関ジャニ∞  （テイチクエンタテインメント）脚本…吉澤智子  企画…石丸彰彦  プロデューサー…加藤章一  演出…松田礼人番組HP  http://www.tbs.co.jp/DrDMAT/  Twitter  https://twitter.com/DrDMAT  @DrDMAT  番組の内容と放送時間は、変更になる場合があります。</t>
  </si>
  <si>
    <t>番組名木曜ドラマ劇場「Dr．DMAT（ドクター・ディーマット）」　第7話</t>
  </si>
  <si>
    <t>遊園地で火災が発生したためDMATの出動要請が来た。響（大倉忠義）たちは早速現場に向かう。しかし、実際に遊園地で起きていたのは、無差別に人を刺している通り魔事件だった！警察が安全区域を定められないためDMATに車内待機が命じられるが、響たちは目の前に要救護者がいるのに待てないと独断で処置を始める。被害者数に対し医師が足りず治療が間に合わない中、重傷者の一人が自らを刺した犯人であることがわかる。DMATは実際に存在する組織で、発足は1995年の阪神淡路大震災がきっかけとなっています。  このドラマは東京DMAT　東京消防庁協力の元、作られております。八雲響…大倉忠義  吉岡凛…加藤あい  八雲春子…瀧本美織  長谷川久美子…麻生祐未  伊勢崎紅美…市川実日子  小曽根達也…佐藤二朗  村上和司…ほっしゃん。  花田大吉朗…松尾諭  水野幸子…滝沢沙織  小松健二…高木雄也（Hey!Say!JUMP)  　　　○  八雲雷蔵…左とん平  桜庭周作…石黒賢  伊勢崎勝一…國村隼藤原麻美…岡本玲（7話ゲスト）  鈴川康平…永岡卓也（7話ゲスト）  川畑智也…相馬圭祐（7話ゲスト）『ひびき』　関ジャニ∞  （テイチクエンタテインメント）脚本…穴吹一朗　吉澤智子  企画…石丸彰彦  プロデューサー…加藤章一  演出…松田礼人番組HP  http://www.tbs.co.jp/DrDMAT/  Twitter  @DrDMAT  https://twitter.com/DrDMAT  番組の内容と放送時間は、変更になる場合があります。</t>
  </si>
  <si>
    <t>番組名木曜ドラマ劇場「Dr．DMAT（ドクター・ディーマット）」　第8話</t>
  </si>
  <si>
    <t>ガス爆発事故が発生し、DMATが現場へ向かう。響（大倉忠義）は、脳挫傷の疑いがあるホームレスの男性（竹下宏太郎）を早急に救急車で搬送するよう指示を出すが、小曽根（佐藤二朗）は自分が処置していた大手商社の会長・重松（浜田晃）を割り込ませて救急車に乗せてしまう。「命の重さは平等ではない」という院長の言葉に反発を覚える響。そんなある日、次期総理大臣・一之瀬義昌（国広富之）が崩落事故に遭い・・・。DMATは実際に存在する組織で、発足は1995年の阪神淡路大震災がきっかけとなっています。  このドラマは東京DMAT　東京消防庁全面協力の元、作られております。八雲響…大倉忠義  吉岡凛…加藤あい  八雲春子…瀧本美織  長谷川久美子…麻生祐未  伊勢崎紅美…市川実日子  小曽根達也…佐藤二朗  村上和司…ほっしゃん。  花田大吉朗…松尾諭  水野幸子…滝沢沙織  小松健二…高木雄也（Hey!Say!JUMP)  　　　○  八雲雷蔵…左とん平  桜庭周作…石黒賢  伊勢崎勝一…國村隼一之瀬義昌…国広富之（8話ゲスト）  森田章夫…デビット伊東（8話ゲスト）  山口正明…佐野泰臣（8話ゲスト）  重松勝男…浜田晃（8話ゲスト）  岸本薫子…ふせえり（8話ゲスト）『ひびき』　関ジャニ∞  （テイチクエンタテインメント）脚本…吉澤智子　穴吹一朗  企画…石丸彰彦  プロデューサー…加藤章一  演出…福田亮介番組HP  http://www.tbs.co.jp/DrDMAT/  Twitter  @DrDMAT  https://twitter.com/DrDMAT  番組の内容と放送時間は、変更になる場合があります。</t>
  </si>
  <si>
    <t>番組名木曜ドラマ劇場「Dr．DMAT（ドクター・ディーマット）」　第9話</t>
  </si>
  <si>
    <t>ある日、脳外科医の紅美（市川実日子）は響（大倉忠義）に春子（瀧本美織）の意識を戻せるかもしれないと持ちかける。ファンクショナルMRIという先端技術を使えば血流の変化を通して脳の状況がわかり、状況がわかればより正しい治療方法がわかるというのだ。響は検査を受けさせるが春子は全く反応しない。紅美は継続して検査をしようと持ちかけるが…。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伊勢崎紅美…市川実日子  小曽根　達也…佐藤二朗  村上　和司…ほっしゃん。  花田　大吉朗…松尾諭  水野　幸子…滝沢沙織  小松　健二…高木雄也（Hey!Say!JUMP)  　　　○  八雲　雷蔵…左とん平  桜庭　周作…石黒賢  伊勢崎　勝一…國村隼五十嵐美貴…青山美郷（9話ゲスト）  黒川隼人…荒井敦史（9話ゲスト）『ひびき』　関ジャニ∞  （テイチクエンタテインメント）脚本…吉澤智子  企画…石丸彰彦  プロデューサー…加藤章一  演出…倉貫健二郎番組HP  http://www.tbs.co.jp/DrDMAT/  Twitter  @DrDMAT  https://twitter.com/DrDMAT  番組の内容と放送時間は、変更になる場合があります。</t>
  </si>
  <si>
    <t>番組名木曜ドラマ劇場「Dr．DMAT（ドクター・ディーマット）」　第10話</t>
  </si>
  <si>
    <t>首都圏で西多摩地区を震源とする大地震が発生。多くの負傷者が病院へ押し寄せ、医師たちはその対応に追われる。街では建物の倒壊が相次いでいた。再三に渡るDMATへの出場要請を受け入れ、響（大倉忠義）たちDMATが被災現場へ向かう。突然の大災害でパニックとなり混乱する人々を前に、DMAT統括責任者として冷静に対処しようとする響だったが…。DMATは実際に存在する組織で、発足は1995年の阪神淡路大震災がきっかけとなっています。  このドラマは東京DMAT　東京消防庁全面協力の元、作られております。八雲響…大倉忠義  吉岡凛…加藤あい  八雲春子…瀧本美織  長谷川久美子…麻生祐未  伊勢崎紅美…市川実日子  小曽根達也…佐藤二朗  村上和司…ほっしゃん。  花田大吉朗…松尾諭  水野幸子…滝沢沙織  小松健二…高木雄也（Hey!Say!JUMP)  　　　○  八雲雷蔵…左とん平  桜庭周作…石黒賢  伊勢崎勝一…國村隼大迫卓司…宮川一朗太（10話ゲスト）  荒川菊枝…藤田弓子（10話ゲスト）  荒川七三男…森下哲夫（10話ゲスト）  中井秀俊…おかやまはじめ（10話ゲスト）『ひびき』　関ジャニ∞  （テイチクエンタテインメント）脚本…吉澤智子・穴吹一朗  企画…石丸彰彦  プロデューサー…加藤章一  演出…松田礼人番組HP  http://www.tbs.co.jp/DrDMAT/  Twitter  @DrDMAT  https://twitter.com/DrDMAT  番組の内容と放送時間は、変更になる場合があります。</t>
  </si>
  <si>
    <t>番組名木曜ドラマ劇場「Dr．DMAT（ドクター・ディーマット）」　最終回</t>
  </si>
  <si>
    <t>大地震発生から24時間が経過し、響（大倉忠義）たちDMATは必死の救命活動を続けていた。そんな中、奥多摩で余震による大規模な土砂崩れが発生。響は祖父・雷蔵（左とん平）のもとにいる妹の春子（瀧本美織）と幼馴染みの凛（加藤あい）を心配するが、連絡がつかない。ヘリコプターで奥多摩へ向かうDMAT。避難所で雷蔵と春子を発見し安堵する響だったが、凛が雷蔵の診療所へ忘れ物を取りに行ったままだと聞かされ…。DMATは実際に存在する組織で、発足は1995年の阪神淡路大震災がきっかけとなっています。  このドラマは東京DMAT　東京消防庁協力の元、作られております。八雲響…大倉忠義  吉岡凛…加藤あい  八雲春子…瀧本美織  長谷川久美子…麻生祐未  伊勢崎紅美…市川実日子  小曽根達也…佐藤二朗  村上和司…ほっしゃん。  花田大吉朗…松尾諭  水野幸子…滝沢沙織  小松健二…高木雄也（Hey!Say!JUMP)  　　　○  八雲雷蔵…左とん平  桜庭周作…石黒賢  伊勢崎勝一…國村隼『ひびき』　関ジャニ∞  （テイチクエンタテインメント）脚本…吉澤智子・穴吹一朗  企画…石丸彰彦  プロデューサー…加藤章一  演出…倉貫健二郎番組HP  http://www.tbs.co.jp/DrDMAT/  Twitter  @DrDMAT  https://twitter.com/DrDMAT  番組の内容と放送時間は、変更になる場合があります。</t>
  </si>
  <si>
    <t>1401_TBS_金22</t>
  </si>
  <si>
    <t>夜のせんせい</t>
  </si>
  <si>
    <t>番組名金曜ドラマ「夜のせんせい」第1話　観月ありさが定時制高校教師に挑む！！</t>
  </si>
  <si>
    <t>スナック勤めのアラフォー女・夜野桜がひょんな事から定時制高校の教壇に立つことになる。しかし、彼女が受け持つ日の出学院定時制4年1組は訳あり生徒達の集まりだった。人生を諦めた生徒達を相手に、桜の奮闘が始まる。「こんな先生がいたら」「こんな友達がいたら」「こんなクラスがあったら」学校生活楽しいのに。そんな気持ちになれる学園ドラマをご期待ください！！観月ありさ　蓮佛美沙子　田中圭　大政絢　高橋一生　織本順吉　新川優愛　山本舞香　清水くるみ　太賀　岡山天音　滝裕可里　江原由夏　木戸邑弥　葉山奨之　布川隼汰　杏さゆり　富田翔／光石研　矢柴俊博　中原丈雄／大倉孝二　堀内敬子　笹野高史　山本耕史【主題歌】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山室大輔（「新参者」「JIN」「とんび」）◇番組HP  http://www.tbs.co.jp/yorusen/  ◇ツイッター  yorusen_tbs  ◇Facebook　YouTubeでの動画もご覧下さい！！◆蓮佛美沙子が番外編トーク！1／17スタート『夜のせんせい』初回見どころ＆撮影秘話　動画公開いたしました！  http://youtu.be/A0VvUgC6OzA  番組の内容と放送時間は、変更になる可能性があります。</t>
  </si>
  <si>
    <t>番組名金曜ドラマ「夜のせんせい」第2話　教師観月ありさが定時制高校生の夢を応援する！</t>
  </si>
  <si>
    <t>日の出学院4年1組の担任になった夜野桜は、ワケあり生徒達をまとめようと意気込んでいた。そんな中、白崎桃が地下アイドルとして活動している事が判明。退学処分に追い込もうとする校長に啖呵を切る桜！「売れればいいんでしょ！！」桃の為にバラバラのクラスは一丸となれるのか？そして、コンテスト当日、桜のとったとんでもない行動とは？驚きのクライマックスへ…観月ありさ　蓮佛美沙子　田中圭　大政絢　高橋一生　織本順吉　新川優愛　山本舞香　清水くるみ　太賀　岡山天音　滝裕可里　江原由夏　高橋洋　おさる　葉山奨之／光石研　矢柴俊博　中原丈雄／大倉孝二　堀内敬子　笹野高史　山本耕史妄想キャリブレーション（神堂未祐奈　胡桃沢まひる　 桜野羽咲　双葉苗　星野 にぁ）【主題歌】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山室大輔（「新参者」「JIN」「とんび」）アイドル協力：DEARSTAGE inc  楽曲協力:利根川貴之  振付協力:Yumiko／立石 真由香◇番組HP  http://www.tbs.co.jp/yorusen/  ◇ツイッター  https://twitter.com/yorusen_tbs  @yorusen_tbs  ◇Facebook  https://www.facebook.com/yorunosensei  ◇第2話スペシャル予告動画公開中！  http://youtu.be/DRLJVm1kqGw    ◇女優・清水くるみが"地下アイドル"役で「妄想キャリブレーション」とライブ熱演！未放送シーンを先行公開！！動画公開です！  http://youtu.be/f3WmK_sUh7M  ◇観月ありさが定時制高校のアラフォー新米教師に！金曜22時『夜のせんせい』初回スペシャルダイジェスト！動画公開です！  http://youtu.be/d7Q1FLG8WVU  ◇蓮佛美沙子の番外編トーク！初回秘話＆本音ポロリ！？『夜のせんせい』2話のみどころも！  http://youtu.be/Eo174cBW4VQ  番組の内容と放送時間は、変更になる可能性があります。</t>
  </si>
  <si>
    <t>番組名金曜ドラマ「夜のせんせい」第3話　1000億稼ぐ生徒VS年収100万の漫画家</t>
  </si>
  <si>
    <t>桜が担任を務める日の出学院定時制4年1組の中に、1000億円を稼ぐ社長がいるらしい。それは一体誰なのか？一方、夢に挑戦することもなく、漫画家のアシスタントをしている男。「夢」を追うことは大切だが・・・桜は驚きの持論を唱える。それは一体？クラスメイトの為に、生徒は動くのか？「なんでオレがやらなきゃなんねぇんだよ、関係ねぇだろ！！」衝撃のラストを迎える・・・観月ありさ　蓮佛美沙子　田中圭　大政絢　高橋一生　織本順吉　新川優愛　山本舞香　清水くるみ　太賀　岡山天音　滝裕可里　江原由夏　袴田吉彦　葉山奨之／光石研　矢柴俊博　中原丈雄／大倉孝二　堀内敬子　笹野高史　山本耕史【主題歌】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山室大輔（「新参者」「JIN」「とんび」）◇番組HP  http://www.tbs.co.jp/yorusen/  ◇ツイッター  https://twitter.com/yorusen_tbs  @yorusen_tbs  ◇Facebook  https://www.facebook.com/yorunosensei  YouTubeでの動画もご覧下さい！！◇クラスメイトの夢に立ち上がる！  http://youtu.be/WiMkQrTv7gs  ◇蓮佛美沙子の番外編トーク！  http://youtu.be/T79C5f_BSio  ◇第2話（1/24）ダイジェスト＆次回予告  http://youtu.be/2nWTOwAl4BU    番組の内容と放送時間は、変更になる可能性があります。</t>
  </si>
  <si>
    <t>番組名金曜ドラマ「夜のせんせい」第4話　大杉漣登場、誰も予想の出来ない驚愕のラスト</t>
  </si>
  <si>
    <t>定時制のクラスに伝説の不良がいるらしい。その正体は・・・！？そして、壁の落書きの真犯人とは一体誰なのか？狙われた定時制の生徒たち。友達を守る為の、男の戦いが始まる。そして、新たなクラスメイトが登場する。その生徒とは一体！！勇気と友情の涙の第4話は、誰もが予想だにしない結末を迎える！！観月ありさ　蓮佛美沙子　田中圭　大政絢　高橋一生　織本順吉　新川優愛　山本舞香　清水くるみ　太賀　岡山天音　滝裕可里　江原由夏　葉山奨之　平埜生成／光石研　矢柴俊博　中原丈雄／大倉孝二　堀内敬子　大杉漣　笹野高史　山本耕史【主題歌】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山室大輔（「新参者」「JIN」「とんび」）◇番組HP  http://www.tbs.co.jp/yorusen/  ◇ツイッター  https://twitter.com/yorusen_tbs  @yorusen_tbs  ◇Facebook  https://www.facebook.com/yorunosensei  YouTubeでの動画もご覧下さい！！江原由夏、新川優愛、山本舞香、清水くるみ「女子生徒4人プライベートトーク」！金曜22時『夜のせんせい』動画公開しました！  http://youtu.be/7T5h2QjO5R0  蓮佛美沙子の番外編トーク！『夜のせんせい』第4話のみどころは！？  http://youtu.be/4eIRnVSN0-8  第3話（1/31）ダイジェスト＆次回予告動画公開しました！  http://youtu.be/oe7bdCWY9Zk  番組の内容と放送時間は、変更になる可能性があります。</t>
  </si>
  <si>
    <t>番組名金曜ドラマ「夜のせんせい」第5話　失われた絆　落書き真犯人はあの人物！</t>
  </si>
  <si>
    <t>4年1組に戻ってきた仙波（大杉漣）には息子がいた。生き別れになった息子と現在の仙波の姿、何の関係があるのだろうか？桜たちは息子を探す為にフットサルをすることになる。そして、壁の落書きの犯人に襲われる玲（山本舞香）。玲を殴った真犯人とはあの人物だった！全ての謎が明らかになる。果たして、息子に対面することができるのだろうか！？観月ありさ　蓮佛美沙子　田中圭　大政絢　高橋一生　織本順吉　新川優愛　山本舞香　清水くるみ　太賀　岡山天音　滝裕可里　江原由夏　葉山奨之　平埜生成／光石研　矢柴俊博　中原丈雄／大倉孝二　堀内敬子　大杉漣　笹野高史　山本耕史【主題歌】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山室大輔（「新参者」「JIN」「とんび」）◇番組HP  http://www.tbs.co.jp/yorusen/  ◇ツイッター  https://twitter.com/yorusen_tbs  @yorusen_tbs  ◇Facebook  https://www.facebook.com/yorunosensei  YouTubeでの動画もご覧下さい！！観月ありさ主演！金曜22時『夜のせんせい』第4話（2/7）ダイジェスト＆次回予告動画公開しました！  http://youtu.be/9OiAClZz0fE  番組の内容と放送時間は、変更になる可能性があります。</t>
  </si>
  <si>
    <t>番組名金曜ドラマ「夜のせんせい」第6話 40代専業主婦の恋 クラスメイトを騙す</t>
  </si>
  <si>
    <t>歌舞伎町の売れっ子ホストの一郎(高橋一生)と、40代専業主婦の真理が仲睦まじくホストクラブに入って行くところが目撃される。クラス中では一郎が真理を騙し大金をせしめようとしているという噂が流れ孤立して行く一郎。一方真理は夫や息子に相手にされない毎日から、一郎に本気で惹かれていく。しかし、純粋な大人の恋愛では片付けられない、謎が隠されていた。一郎の命運をかけた一世一代の大勝負、その時桜は…観月ありさ　蓮佛美沙子　田中圭　大政絢　高橋一生　織本順吉　新川優愛　山本舞香　清水くるみ　太賀　岡山天音　滝裕可里　江原由夏　菊田大輔  松島庄汰  山田ジェームス武／光石研　矢柴俊博　中原丈雄／大倉孝二　堀内敬子  大杉漣　笹野高史　山本耕史【主題歌】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山室大輔（「新参者」「JIN」「とんび」）◇番組HP  http://www.tbs.co.jp/yorusen/  ◇ツイッター  https://twitter.com/yorusen_tbs  @yorusen_tbs  ◇Facebook  https://www.facebook.com/yorunosensei  YouTubeでの動画もご覧下さい！！遂に後半戦スタート！金曜22時『夜のせんせい』第5話（2/14）ダイジェスト＆次回（2/21）予告動画公開しました！  http://youtu.be/OSLI20Xi1d8  蓮佛美沙子の番外編トーク！『夜のせんせい』涙の撮影秘話＆第6話（2/21）みどころは！？動画公開しました！  http://youtu.be/xhkWDpD9Xaw  番組の内容と放送時間は、変更になる可能性があります。</t>
  </si>
  <si>
    <t>番組名金曜ドラマ「夜のせんせい」第7話　殺人未遂事件発生！18歳少女の未来をかけた決意</t>
  </si>
  <si>
    <t>大神玲（山本舞香）のパソコンから「殺人サイト」への閲覧履歴が発見される。同時に華（蓮佛美沙子）は彼女のカバンの中に包丁を見つける。彼女の目的とは…？桜は無事に問題を解決できるのか？そして、外内（笹野高史）の正体が明らかになる。物語は終盤に差し掛かる。まだまだ謎に包まれた、上武（田中圭）、大澤（山本耕史）にも波乱の足音が迫っていた…観月ありさ　蓮佛美沙子　田中圭　大政絢　高橋一生　織本順吉　新川優愛　山本舞香　清水くるみ　太賀　岡山天音　滝裕可里　江原由夏　三宅弘城／光石研　矢柴俊博　中原丈雄／大倉孝二　堀内敬子　大杉漣　笹野高史　山本耕史【主題歌】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山室大輔（「新参者」「JIN」「とんび」）◇番組HP  http://www.tbs.co.jp/yorusen/  ◇ツイッター  https://twitter.com/yorusen_tbs  @yorusen_tbs  ◇Facebook  https://www.facebook.com/yorunosensei  YouTubeでの動画もご覧下さい！！蓮佛美沙子の番外編トーク！『夜のせんせい』撮影秘話＆第7話（2/28）みどころは！？動画公開しました！  http://youtu.be/-eLtlQO0x_A  売れないホストが主婦に急接近...金曜22時『夜のせんせい』第6話（2/21）ダイジェスト＆次回（2/28）予告動画公開しました！  http://youtu.be/lWnvtZoE_9o  山本舞香がスペシャルコメント！『夜のせんせい』第7話（2/28）の凄～いみどころは！？動画公開しました！  http://youtu.be/WhXvzuzY9bE  主題歌の三浦大知スペシャルコメント！動画公開しました！  http://youtu.be/ix2XI0IiF5s  番組の内容と放送時間は、変更になる可能性があります。</t>
  </si>
  <si>
    <t>番組名金曜ドラマ「夜のせんせい」第8話　卒業間近！クラスメイトが駆け落ち…心中!?</t>
  </si>
  <si>
    <t>クラスメイトが駆け落ちしたという話が桜のもとに舞い込む。全員で捜索に出かけるのだが行方はわからず…もしかしたら心中を図ろうとしているとの噂も！？愛の逃避行の結末は！？定時制4年1組の中でも恋愛模様が…！？上武（田中圭）が華（蓮佛美紗子）に急接近？桜（観月ありさ）と大澤（山本耕史）の関係は？そして、一郎（高橋一生）と真理（堀内敬子）の関係も複雑になる。卒業間近の大事件勃発に桜は…！？観月ありさ　蓮佛美沙子　田中圭　大政絢　高橋一生　織本順吉　新川優愛　山本舞香　清水くるみ　太賀　岡山天音　滝裕可里　江原由夏　岩本多代　小須田康人　長野里美／光石研　矢柴俊博　中原丈雄／大倉孝二　堀内敬子　大杉漣　笹野高史　山本耕史【主題歌】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山室大輔（「新参者」「JIN」「とんび」）◇番組HP  http://www.tbs.co.jp/yorusen/  ◇ツイッター  https://twitter.com/yorusen_tbs  @yorusen_tbs  ◇Facebook  https://www.facebook.com/yorunosensei  YouTubeでの動画もご覧下さい！！蓮佛美沙子の番外編トーク！『夜のせんせい』撮影秘話＆第8話（3/7）みどころは！？動画公開しました！  http://youtu.be/EjKdBLOhXV0  アルコール依存症の父親を持つ、玲の選択は・・・金曜22時『夜のせんせい』第7話（2/28）ダイジェスト＆次回（3/7）予告動画公開中！  http://youtu.be/L-2AVBYrzPU  番組の内容と放送時間は、変更になる可能性があります。</t>
  </si>
  <si>
    <t>番組名金曜ドラマ「夜のせんせい」第9話　最終章！生き残りをかけた土下座、永遠の別れ</t>
  </si>
  <si>
    <t>遂にドラマは最終章！卒業目前、桜先生の最後の教え！上武（田中圭）の会社にかけられた買収予告。生きるか死ぬかの瀬戸際で彼が選んだのは・・・？勝つ為に何もかも捨て去った男の過去が明らかになる。クラスメイトにも見放された男の為に勇気を振り絞ったのは・・・？そして、友から友への最後の言葉。悲しき永遠の別れが訪れる！観月ありさ　蓮佛美沙子　田中圭　大政絢　高橋一生　織本順吉　新川優愛　山本舞香　清水くるみ　太賀　岡山天音　滝裕可里　江原由夏　木戸邑弥　井上肇／光石研　矢柴俊博　中原丈雄／大倉孝二　堀内敬子　大杉漣　笹野高史　山本耕史【主題歌】  三浦大知「Anchor」(SONIC GROOVE)  【音楽】  富貴晴美（第36回日本アカデミー賞優秀音楽賞最年少受賞）脚本：林宏司（「コードブルー」「BOSS」「ハゲタカ」「医龍1～3」）  演出：生野慈朗（「ビューティフルライフ」「3年B組金八先生シリーズ」）、山室大輔（「新参者」「JIN」「とんび」）祖父と結婚相手の祖母が駆け落ち！？金曜22時『夜のせんせい』第8話（3/7）ダイジェスト＆次回（3/14）予告　動画公開しました♪  http://youtu.be/IiNqrdA8mhk  ◇番組HP  http://www.tbs.co.jp/yorusen/  リアルタイムで見ないともらえないプレゼントクイズ実施中！！◇ツイッター  https://twitter.com/yorusen_tbs  @yorusen_tbs  ◇Facebook  https://www.facebook.com/yorunosensei  YouTubeでの動画もご覧下さい！！番組の内容と放送時間は、変更になる可能性があります。</t>
  </si>
  <si>
    <t>番組名金曜ドラマ「夜のせんせい」最終回 友達の死…！？ さようなら4年1組！</t>
  </si>
  <si>
    <t>ついに最終回スペシャル！「まさか死ぬつもりでは？」姿を消した大澤(山本耕史)の身を案じる桜。永遠の別れになってしまうのか…？  そして、4年1組に語られる熱い想い、「絶対に全員で卒業する」大澤奪還計画が、今動き出す。涙なくしては見られない激動の最終回…全ての真実が今、明かされる。友情を超えた絆の物語、完結編！観月ありさ　蓮佛美沙子　田中圭　大政絢　高橋一生　織本順吉　新川優愛　山本舞香　清水くるみ　太賀　岡山天音　滝裕可里　江原由夏　木戸邑弥　岩本多代　葉山奨之　斎藤歩　中根徹／光石研　矢柴俊博　中原丈雄／大倉孝二　堀内敬子　大杉漣　笹野高史　山本耕史【主題歌】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山室大輔（「新参者」「JIN」「とんび」）◇番組HP  http://www.tbs.co.jp/yorusen/  ◇ツイッター  https://twitter.com/yorusen_tbs  @yorusen_tbs  ◇Facebook  https://www.facebook.com/yorunosensei  YouTubeでの動画もご覧下さい！！「全員、無事に卒業する」という桜の想いは届くのか！？金曜22時『夜のせんせい』第9話（3/14）ダイジェスト＆最終話動画公開です！  http://youtu.be/k6fl3zk5LAo  蓮佛美沙子の番外編トーク！（終）『夜のせんせい』撮影秘話＆最終話（3/21）みどころは！？ 動画公開しました！  http://youtu.be/BAjKKkM0la4  山本耕史が登場！アドリブの秘話を公開！新川優愛と本音トーク！動画公開しました！  http://youtu.be/a-PEtXgUfH8  山本耕史が登場・後半！新川優愛と中学時代の楽し恥ずかしトーク！動画公開しました！http://youtu.be/37RgCsJ4C8E  番組の内容と放送時間は、変更になる可能性があります。</t>
  </si>
  <si>
    <t>1310_TBS_月20</t>
  </si>
  <si>
    <t>刑事のまなざし</t>
  </si>
  <si>
    <t>番組名月曜ミステリーシアター「刑事のまなざし」第1話</t>
  </si>
  <si>
    <t>幼い娘がある事件の被害者となり、植物状態になって10年……。少年鑑別所の法務技官だった夏目信人（椎名桔平）は、40歳を超える年齢にして警察官へと転身した“遅れてきた”新人刑事として、東池袋署の刑事課で殺人や強盗などの凶悪犯罪を担当する強行犯係で勤務していた。東池袋署が管轄する東池袋というと、高層ビルの裏手に歓楽街が広がる一方で、少し歩けば雑司ヶ谷や鬼子母神、護国寺といった下町の情緒ある街並みが広がる地域。この相反する二つの要素を擁した町は、まるで“社会の縮図”を見るような雑多な面があり、そんな地域で起こるさまざまな犯罪もまた“社会の縮図”を絵に描いたようだ。そんな町で夏目は、ベテラン刑事の福森誠一と、年下ながら刑事として先輩となる女性刑事の安達涼子らとチームを組み、事件と向き合いながらその真相を探り当てていく…。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ほか【第1話ゲスト】  森口 瑤子  野村 周平  竜 雷太　ほか【原作】薬丸岳「刑事のまなざし」  （講談社文庫刊）  【脚本】岩下悠子  【演出】鈴木浩介【番組ホームページ】  http://www.tbs.co.jp/keijinomanazashi/初回みどころスペシャル映像！動画を公開しました！こちらからどうぞ！  http://youtu.be/sm9acpZoCME  TBS番組の内容と放送時間は変更になる場合があります。</t>
  </si>
  <si>
    <t>番組名月曜ミステリーシアター「刑事のまなざし」第2話“ハートレス”</t>
  </si>
  <si>
    <t>幼い娘がある事件の被害者となり、意識を失って10年……。少年鑑別所の法務技官だった夏目信人（椎名桔平）は、43歳の“遅れてきた新人刑事”として、東池袋署に勤務していた。  “社会の縮図”のような東京・池袋で起こる様々な事件に、ベテラン刑事の福森誠一と、年下ながら刑事として先輩となる女性刑事の安達涼子らとチームを組み、事件と向き合いながらその真相を探り当てていく…。第二話では、ホームレスになってしまった元エリートサラリーマンのマサと、父親のような存在であるナカさんを中心に、家族の再生と崩壊、殺人事件の裏に隠されたもうひとつの事件の真相を暴いていく。夏目 信人…椎名 桔平  菊池 大雅…要 潤  安達 涼子…小野 ゆり子  夏目 美奈代…吉田 羊    瀬戸 公平…中林 大樹  西　晴彦…吉家章人  草野　楓…藤本　泉    田辺久美子…板谷由夏  長峰　亘…北村有起哉  福森誠一…松重　豊松下雅之（マサ）…須田邦裕  中島安太郎（ナカ）…蛍雪次朗  本木幸彦…松澤一之  ゲン…緋田康人【原作】薬丸岳「刑事のまなざし」  （講談社文庫刊）  【脚本】岩下悠子  【演出】鈴木浩介【番組ホームページ】  http://www.tbs.co.jp/keijinomanazashi/  http://youtu.be/_FlXeFBpVbw  TBS  番組の内容と放送時間は変更になる場合があります。</t>
  </si>
  <si>
    <t>番組名月曜ミステリーシアター「刑事のまなざし」第3話</t>
  </si>
  <si>
    <t>小学生女児通り魔事件が発生した。捜査にあたる東池袋署刑事課の面々だが、夏目だけは捜査から外される。過去に夏目の娘が被害にあった事件と同一犯の可能性も捨てきれず、関係者である夏目は事件に関わることを禁止されたのだ。そんな折、友人から夏目に個人的に持ちかけられた相談・・・友人の息子の行動を監視するうちに夏目はあることに気づく。「息子を信じている」という友人。その思いは届いていたのか？夏目は親子の絆を取り戻させるため、友人にある謎かけをする。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勝村政信　平岡拓真　浅香航大  【原作】薬丸岳「刑事のまなざし」  （講談社文庫刊）  【脚本】岩下悠子  【演出】鈴木浩介PC用  http://www.tbs.co.jp/keijinomanazashi/  スマートフォン用  http://www.tbs.co.jp/smp/keijinomanazashi/第2話（10/14）見逃しダイジェスト＆次回予告http://youtu.be/ONGZdF-UVKoTBS番組の内容と放送時間は変更になる場合があります。</t>
  </si>
  <si>
    <t>番組名月曜ミステリーシアター「刑事のまなざし」第4話</t>
  </si>
  <si>
    <t>写真集を万引きして捕まった少年は、自分の家族のことを何も話そうとしない。いったいこの男の子はどこの誰なのか？ 夏目が男の子の足取りを丁寧にたどる中、万引きしようとした写真集の“星のぞみ”は、数年前にひき逃げ事故で亡くなっていることが発覚。彼女には裕希という息子がいて、ひき逃げ事故の半年後に行方不明になっていたのだ。詳しい事情を調べるために、夏目と安達は裕希の父親・栗原裕久（吹越満）に会いに行く。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豊栗原裕久…吹越満  岡崎珠美…伊藤裕子    少年…黒澤宏貴  星のぞみ…小林恵美    ホームレスのゲン…緋田康人 【原作】薬丸岳「刑事のまなざし」  （講談社文庫刊）  【脚本】岩下悠子  【演出】鈴木浩介PC用  http://www.tbs.co.jp/keijinomanazashi/  スマートフォン用  http://www.tbs.co.jp/smp/keijinomanazashi/http://youtu.be/tQPjqTueW08  TBS  番組の内容と放送時間は変更になる場合があります。</t>
  </si>
  <si>
    <t>番組名月曜ミステリーシアター「刑事のまなざし」第5話</t>
  </si>
  <si>
    <t>マンションで男が殺された。第一発見者は被害者の10歳の娘。被害者は娘を虐待していたという噂があった。  捜査を進めていくうちに、かつて夏目が法務技官時代に担当していた青年・伸一(太賀)が第一容疑者に浮上する。伸一はかつて姉の奈緒子(星野真里)と共に叔父に虐待を受けており、その恨みで叔父を殺していた。  伸一は虐待を防ごうとして男を殺したのか!?  事件が事件を呼び、新たな事実があきらかに…!?  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小出奈緒子…星野真里  小出伸一…太賀    コンビニの店長…田中要次  酒井…森下能幸【原作】薬丸岳「刑事のまなざし」  （講談社文庫刊）  【脚本】岩下悠子  【演出】鈴木浩介PC用  http://www.tbs.co.jp/keijinomanazashi/  スマートフォン用  http://www.tbs.co.jp/smp/keijinomanazashi/第4話（10/28）見逃しダイジェスト＆次回予告　動画公開しました！  http://youtu.be/CI1E-INcaAU  TBS番組の内容と放送時間は変更になる場合があります。</t>
  </si>
  <si>
    <t>番組名月曜ミステリーシアター「刑事のまなざし」第6話</t>
  </si>
  <si>
    <t>繁華街で一人の男が殺された。被害者の身元を調べると、なんと一年前に東池袋公園で起こった殺人事件の犯人であることがわかる。  その後も、一年前の事件の関係者が襲われる事件が続く。復讐に燃える被害者遺族の報復殺人なのか…。夏目たちが捜査を進めるうちに、事件は思わぬ方向に展開し!?夏目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      水野弥生…斉藤慶子  水野愛子…渋谷飛鳥  高木…柄本時生  小田律子…春木みさよ  小田浩貴…高橋來【原作】薬丸岳「刑事のまなざし」  （講談社文庫刊）  【脚本】大石哲也  【演出】川嶋龍太郎PC用  http://www.tbs.co.jp/keijinomanazashi/  スマートフォン用  http://www.tbs.co.jp/smp/keijinomanazashi/  見逃しダイジェスト＆次回予告動画を公開しました！  http://youtu.be/a6rVniVjbIM  TBS  番組の内容と放送時間は変更になる場合があります。</t>
  </si>
  <si>
    <t>番組名月曜ミステリーシアター「刑事のまなざし」第7話</t>
  </si>
  <si>
    <t>幼い娘がある事件の被害者となり、植物状態になって10年……。少年鑑別所の法務技官だった夏目信人（椎名桔平）は、40歳を超える年齢にして警察官へと転身した“遅れてきた”新人刑事として、東池袋署の刑事課で殺人や強盗などの凶悪犯罪を担当する強行犯係で勤務していた。東池袋署が管轄する東池袋というと、高層ビルの裏手に歓楽街が広がる一方で、少し歩けば雑司ヶ谷や鬼子母神、護国寺といった下町の情緒ある街並みが広がる地域。この相反する二つの要素を擁した町は、まるで“社会の縮図”を見るような雑多な面があり、そんな地域で起こるさまざまな犯罪もまた“社会の縮図”を絵に描いたようだ。そんな町で夏目は、ベテラン刑事の福森誠一と、年下ながら刑事として先輩となる女性刑事の安達涼子らとチームを組み、事件と向き合いながらその真相を探り当てていく…。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ほか藤川佐知代…朝加真由美  藤川雛子…徳永えり  野沢琢磨…忍成修吾  太田義一…村松利史【原作】薬丸岳「刑事のまなざし」  （講談社文庫刊）  【脚本】岩下悠子  【演出】吉田健PC用  http://www.tbs.co.jp/keijinomanazashi/  スマートフォン用  http://www.tbs.co.jp/smp/keijinomanazashi/  第6話（11/11）見逃しダイジェスト＆次回予告動画を公開しました！こちらからどうぞ！  http://youtu.be/RLItS9WU1ZATBS  番組の内容と放送時間は変更になる場合があります。</t>
  </si>
  <si>
    <t>番組名月曜ミステリーシアター「刑事のまなざし」第8話</t>
  </si>
  <si>
    <t>池袋のマンションで男が殺された。容疑者として浮上したのは、久美子(板谷由夏)がカウンセリングをしている、自傷行為を続ける女子高生・有香(松岡茉優)だった。夏目(椎名桔平)たちが捜査を進めるうちに、有香が数ヶ月前に痴漢被害に遭っていたこと、加害者は中学教師の岩崎(平田満)であること、彼女の自傷行為はその頃はじまったことがわかり、事件は思わぬ方向へ展開していく…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ほか岩崎光男…平田満  仲村有香…松岡茉優    仲村敏恵…大島蓉子【原作】薬丸岳「刑事のまなざし」  （講談社文庫刊）  【脚本】谷口純一郎  【演出】川嶋龍太郎PC用  http://www.tbs.co.jp/keijinomanazashi/  スマートフォン用  http://www.tbs.co.jp/smp/keijinomanazashi/  第7話（11/18）見逃しダイジェスト＆予告動画を公開しました！こちらからどうぞ！  http://youtu.be/KL8_bqOuRhk  TBS  番組の内容と放送時間は変更になる場合があります。</t>
  </si>
  <si>
    <t>番組名月曜ミステリーシアター「刑事のまなざし」第9話</t>
  </si>
  <si>
    <t>5年前に突然失踪した福森(松重豊)の婚約者・大野麻里子(奥貫薫)が東池袋に戻ってきたという噂を耳にし、戸惑う福森。一方、夏目(椎名桔平)たちは振り込め詐欺事件を追うが、その首謀者は大野麻里子の兄・健介（山崎銀之丞）だった。  そこへ、麻里子が勤める病院の医師が殺される。容疑者はなんと、健介で…!?夏目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豊大野麻里子…奥貫薫  大野健介…山崎銀之丞    ゲン…緋田康人【原作】薬丸岳「刑事のまなざし」  （講談社文庫刊）  【脚本】大石哲也  【演出】吉田健PC用  http://www.tbs.co.jp/keijinomanazashi/  スマートフォン用  http://www.tbs.co.jp/smp/keijinomanazashi/  第8話（11/25）見逃しダイジェスト＆次回予告  http://youtu.be/f6KTHjebsP4  TBS番組の内容と放送時間は変更になる場合があります。</t>
  </si>
  <si>
    <t>番組名月曜ミステリーシアター「刑事のまなざし」第10話　最終章</t>
  </si>
  <si>
    <t>池袋で連続通り魔事件が発生。一人目は大学生、二人目は高級住宅街に住む主婦だった。  捜査を進めるうちに被疑者として浮上したのは、10年前、父親を殺された元少年・山之内信吾(窪田正孝)で、かつて夏目が法務技官時代に、被害者ケアのために接していたこともある人物だった…。  しかも、山之内は自分の父親を殺した男である尾崎(柏原収史)に、被害者の身分証を送りつけていた。果たして彼の目的とは!?  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ほか山之内信吾…窪田正孝    尾崎秋彦…柏原収史  尾崎悦子…須藤理彩    宗方善…平 幹二朗【原作】薬丸岳「刑事のまなざし」  （講談社文庫刊）  【脚本】岩下悠子  【演出】川嶋龍太郎PC用  http://www.tbs.co.jp/keijinomanazashi/  スマートフォン用  http://www.tbs.co.jp/smp/keijinomanazashi/  『刑事のまなざし』第9話（12/2）見逃しダイジェスト＆次回予告動画公開です！  http://youtu.be/dHdKCQkM8DM  TBS  番組の内容と放送時間は変更になる場合があります。</t>
  </si>
  <si>
    <t>番組名月曜ミステリーシアター「刑事のまなざし」最終回</t>
  </si>
  <si>
    <t>池袋で次々に起こる連続通り魔事件。容疑者として浮上したのは、夏目がかつて法務技官として関わった、父親を殺された少年・山之内信吾(窪田正孝)だった。さらに、山之内は10年前に夏目の娘を襲った事件の容疑者であることもわかり、衝撃が走る。  そんな中、山之内の居所をつかむべく捜査に走り回る刑事たちに、山之内が電話をしてきてー!?  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ほか山之内信吾…窪田正孝  尾崎秋彦…柏原収史  尾崎悦子…須藤理彩    藪沢管理官…升毅    宗方善…平幹二朗【原作】薬丸岳「刑事のまなざし」  （講談社文庫刊）  【脚本】岩下悠子  【演出】吉田健PC用  http://www.tbs.co.jp/keijinomanazashi/  スマートフォン用  http://www.tbs.co.jp/smp/keijinomanazashi/  夏目の娘の事件の新事実とは！？クライマックスへ！月曜よる8時『刑事のまなざし』第10話（12/9）ダイジェスト＆最終話予告動画公開！  http://youtu.be/TuZclGZdiZs  TBS  番組の内容と放送時間は変更になる場合があります。</t>
  </si>
  <si>
    <t>1310_TBS_木21</t>
  </si>
  <si>
    <t>夫のカノジョ</t>
  </si>
  <si>
    <t>番組名木曜ドラマ9「夫のカノジョ」　第1話◆『2人のママ』が家族を救う！？◆</t>
  </si>
  <si>
    <t>妻の勘違いから始まる痛快ホームコメディ。派遣社員の山岸星見（川口春奈）は、上司の営業部課長の小松原麦太郎（田辺誠一）や同僚の石黒靖（古川雄輝）に見守られながら“自由奔放”に働いていた。ある日、星見は麦太郎の妻菱子に呼び出され、夫にもう会わないでくれと詰め寄られる。(菱子は星見を夫のカノジョと勘違いしていた)そんな中、二人のカラダが入れ替わってしまう！！二人が様々な波紋と奇跡を起こす！！山岸星見：川口春奈  小松原菱子：鈴木砂羽  小松原真人：鈴木福  石黒靖：古川雄輝  小松原実花：大友花恋   ★  久米圭祐：柳沢慎吾  相川千代乃：山村紅葉   ★  山岸史子：片平なぎさ   ★  小松原麦太郎：田辺誠一主題歌 ： Serena「CHANGE!!」（アリオラジャパン） ★番組HP  http://www.tbs.co.jp/ottonokanojyo_tbs/  ★スマートフォン用  http://www.tbs.co.jp/smp/ottonokanojyo_tbs/★twitter  https://twitter.com/ottonokanojyo  原作 ： 垣谷美雨「夫のカノジョ」（双葉文庫）  脚本 ： 江頭美智留　横田理恵  音楽 ： 山下康介  編成 ： 加藤新プロデューサー ： 井上竜太（ホリプロ）  演出 ： 二宮崇　三木康一郎■予告動画を公開しました！  http://youtu.be/h9IqeY0N_BI  ■放送直前！スペシャルナビ映像！  http://youtu.be/pOxcy9Yyf74  番組の内容と放送時間は、変更になる場合があります。</t>
  </si>
  <si>
    <t>番組名木曜ドラマ9「夫のカノジョ」＃2◆ママが再発見、やっぱり家族が好きっ！</t>
  </si>
  <si>
    <t>39歳の主婦とハタチのOLのカラダが入れ替わるハートフルコメディ。菱子(鈴木砂羽)と星見(川口春奈)の体が入れ替わったため、菱子はOLとして、星見は主婦として生活することになった。OLになった菱子（鈴木砂羽）は会社の問題を指摘し、波紋をおこすが主婦パワーで乗り越えていく！入れ替わった二人が様々な困難を乗り越え、家族や仲間を救う！！山岸星見：川口春奈  小松原菱子：鈴木砂羽  小松原真人：鈴木福  石黒靖：古川雄輝  小松原実花：大友花恋   ★  久米圭祐：柳沢慎吾  相川千代乃：山村紅葉  ★  杉下鉄男：石倉三郎  ★  山岸史子：片平なぎさ  ★  小松原麦太郎：田辺誠一主題歌 ： Serena「CHANGE!!」（アリオラジャパン） 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http://www.tbs.co.jp/smp/ottonokanojyo_tbs/  ★twitter  https://twitter.com/ottonokanojyo  第1話ダイジェスト＆第2話予告動画を公開しました！こちらからどうぞ！  http://youtu.be/NIHhF0KRwRM  番組の内容と放送時間は、変更になる場合があります。</t>
  </si>
  <si>
    <t>番組名木曜ドラマ9「夫のカノジョ」　第3話◆親子ハイキングで、危機一髪！！</t>
  </si>
  <si>
    <t>39歳の主婦とハタチのOLのカラダが入れ替わるハートフルコメディ。OLになった菱子(鈴木砂羽)はハイキングの幹事を担当する事になる。ハイキングの当日、千代乃の勝手な行動がもとで、アクシデントが発生。星見は迷わず、川に飛び込むのだが…。一方、星見(川口春奈)は会社のイベントに参加していた。初めての経験に戸惑う星見は失敗ばかり。落ち込むを星見を麦太郎が励まし、二人は急接近する！山岸星見：川口春奈   小松原菱子：鈴木砂羽   小松原真人：鈴木福   石黒靖：古川雄輝   小松原実花：大友花恋   ★  久米圭祐：柳沢慎吾   相川千代乃：山村紅葉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http://www.tbs.co.jp/smp/ottonokanojyo_tbs/  ★twitter  https://twitter.com/ottonokanojyo  第2話ダイジェスト＆次回予告動画を公開しました！こちらからどうぞ！  http://youtu.be/EsBaMHqy04g  番組の内容と放送時間は、変更になる場合があります。</t>
  </si>
  <si>
    <t>番組名木曜ドラマ9「夫のカノジョ」　第4話◆今夜、前半クライマックス！！</t>
  </si>
  <si>
    <t>39歳の主婦とハタチのOLのカラダが入れ替わるハートフルコメディ。階段から落ちた麦太郎はしばらく入院することに。OLに入れ替わっている本当のママは、パパの看病が出来ず、不満爆発！全てをバラすと星見に宣言する。バレたら元に戻れない二人！そんな中、菱子は重大な事実を知る！波乱と感動を呼ぶ、第一章クライマックス！！山岸星見：川口春奈   小松原菱子：鈴木砂羽   小松原真人：鈴木福   石黒靖：古川雄輝   小松原実花：大友花恋   ★  久米圭祐：柳沢慎吾   相川千代乃：山村紅葉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http://www.tbs.co.jp/smp/ottonokanojyo_tbs/  ★twitter  https://twitter.com/ottonokanojyo  第3話ダイジェスト＆次回予告動画公開です！  http://youtu.be/s_BCy7-X0F8  番組の内容と放送時間は、変更になる場合があります。</t>
  </si>
  <si>
    <t>番組名木曜ドラマ9「夫のカノジョ」　第5話◆今夜、感動の第二章が幕を開ける！！</t>
  </si>
  <si>
    <t>39歳の主婦とハタチのOLのカラダが入れ替わるハートフルコメディ。病院でひょんなことから麦太郎と抱き合う格好になった星見はその場面を偶然居合わせた石黒と実花に目撃されてしまう。真相を確かめたい実花は麦太郎の会社のバーベキューに参加すると言いだす。実花の誤解を解きたい菱子と星見も参加を決めるが・・・誤解が解けて家族の絆は取り戻せるのか！？今夜、感動の第二章が幕を開ける！！山岸星見：川口春奈   小松原菱子：鈴木砂羽   小松原真人：鈴木福   石黒靖：古川雄輝   小松原実花：大友花恋   ★  久米圭祐：柳沢慎吾   相川千代乃：山村紅葉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http://www.tbs.co.jp/smp/ottonokanojyo_tbs/  ★twitter  https://twitter.com/ottonokanojyo  第4話（11/14）ダイジェスト＆予告動画を公開しました！こちらからどうぞ！  http://youtu.be/xOZ1y7g8FFU  番組の内容と放送時間は、変更になる場合があります。</t>
  </si>
  <si>
    <t>番組名木曜ドラマ9「夫のカノジョ」　第6話　◆夫婦の運命を決めるデート決戦！！</t>
  </si>
  <si>
    <t>39歳の主婦とハタチのOLのカラダが入れ替わるハートフルコメディ。麦太郎は度々隠れて電話する菱子の浮気を疑っていた。だが部長の久米から夫婦円満の秘訣を聞き、星見をデートに誘う。戸惑う星見だが実花に後押しされ、二人きりでデートすることに。二人の仲直りを願う真人と複雑な思いの菱子はそれぞれ尾行するが…果たして夫婦の絆は取り戻せるのか？パパの愛が感動を巻き起こす！そして、星見と母親の過去が明らかに！？山岸星見：川口春奈   小松原菱子：鈴木砂羽   小松原真人：鈴木福   石黒靖：古川雄輝   小松原実花：大友花恋  ★  久米圭祐：柳沢慎吾   ★  山岸史子：片平なぎさ  ★  小松原麦太郎：田辺誠一主題歌 ： Serena「CHANGE!!」（アリオラジャパン）原作：垣谷美雨「夫のカノジョ」（双葉文庫）  脚本：江頭美智留　横田理恵  音楽： 山下康介  編成：加藤新  プロデューサー：井上竜太（ホリプロ）  演出：二宮崇　三木康一郎　塚本連平★PC用  http://www.tbs.co.jp/ottonokanojyo_tbs/  ★スマートフォン用  http://www.tbs.co.jp/smp/ottonokanojyo_tbs/  ★twitter  @ottonokanojyo  https://twitter.com/ottonokanojyo  第5話ダイジェスト＆次回予告  http://youtu.be/ZyLarWryUng  番組の内容と放送時間は、変更になる場合があります。</t>
  </si>
  <si>
    <t>番組名木曜ドラマ9「夫のカノジョ」　第7話◆助けてパパ！派遣の私がクビになる！！</t>
  </si>
  <si>
    <t>疲労で倒れた史子は病院にかけつけた星見と菱子に経営不振で会社を売ると打ち明ける。星見は史子に、父親との約束を破って簡単に会社を手放すのは勝手だと告げ、病室を出る。一方、麦太郎の同期、立花が新営業部長に就く。剛腕をふるってきた立花は星見との契約を切るように麦太郎に告げる。そんななか、真人のクラスには転校生がやってきた。そして、転校生のママが爆弾発言を！入れ替わった主婦とOLに新たな敵が登場する！！山岸星見：川口春奈  小松原菱子：鈴木砂羽  小松原真人：鈴木福  石黒靖：古川雄輝  小松原実花：大友花恋  ★  久米圭祐：柳沢慎吾  相川千代乃：山村紅葉   ★  間宮由香里：高岡早紀  ★  立花勝：橋本じゅん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http://www.tbs.co.jp/smp/ottonokanojyo_tbs/  ★twitter  @ottonokanojyo  https://twitter.com/ottonokanojyo  痛快ホームコメディ！木曜よる9時『夫のカノジョ』第6話（11/28）ダイジェスト＆次回予告　動画公開しました！  http://www.youtube.com/watch?v=HTekFco4AGA  番組の内容と放送時間は、変更になる場合があります。</t>
  </si>
  <si>
    <t>番組名木曜ドラマ9「夫のカノジョ」最終回◆衝撃すぎる！何で今戻っちゃうの！！</t>
  </si>
  <si>
    <t>立花(橋本じゅん)に星見(川口春奈)との関係を疑われた麦太郎(田辺誠一)は異動を宣告されてしまう。代わりに星見が正社員登用されることに。一方、真人(鈴木福)の学校では、真人が転校生のさくらをいじめたと、母親の由香里(高岡早紀)が言いだし、クリスマス会の中止が検討される。真人は誤解を解くため、さくらに謝りに行くが由香里に追い出されてしまう。弁解したい菱子は学校へ向かうのだが…山岸星見：川口春奈  小松原菱子：鈴木砂羽  小松原真人：鈴木福  石黒靖：古川雄輝  小松原実花：大友花恋  ★  久米圭祐：柳沢慎吾  相川千代乃：山村紅葉  ★  間宮由香里：高岡早紀  ★  立花勝：橋本じゅん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三木康一郎★PC用  http://www.tbs.co.jp/ottonokanojyo_tbs/  ★スマートフォン用  http://www.tbs.co.jp/smp/ottonokanojyo_tbs/  ★twitter  @ottonokanojyo  https://twitter.com/ottonokanojyo  衝撃のクライマックスへ！『夫のカノジョ』第7話（12/5）ダイジェスト＆最終回予告動画公開しました！  http://youtu.be/Tj-mpKyoFyw  番組の内容と放送時間は、変更になる場合があります。</t>
  </si>
  <si>
    <t>1310_TBS_金22</t>
  </si>
  <si>
    <t>クロコーチ</t>
  </si>
  <si>
    <t>番組名金曜ドラマ「クロコーチ」第1話</t>
  </si>
  <si>
    <t>警察庁より県警の捜査一課に赴任した 清家真代 (剛力彩芽)。彼女は県会議員・郷田 (石丸謙二郎) の愛人マンションで起きた殺人事件を担当することに。  その現場に現れたのは捜査二課の警部補・黒河内圭太 (長瀬智也) ーー  黒河内は捜査を通じて多くの政財界人のスキャンダルを握る、「 県警の怪物 」 と恐れられる人物だった。清家はそんな汚れた刑事を嫌悪するが、捜査を進めていくうちに黒河内が巨大にして崇高な目的を抱えていることを知り… !?  黒河内圭太…長瀬智也  清家真代…剛力彩芽  澤 眞智子…香椎由宇  柿崎清彦…利重　剛  牛井　孟…小市慢太郎  布袋善治郎…長谷川朝晴  磯村哲也…川村陽介  坪倉太一…遠藤　要  恬恬…河北麻友子  五島　要…東　幹久  嶋　光男…金子　賢  薬師寺 誠…大地康雄  堂島則行…風間杜夫  沢渡一成…渡部篤郎TOKIO 『 ホントんとこ 』◆番組HP  http://www.tbs.co.jp/kurokouchi/  ◆Twitter  http://twitter.com/kurokouchitbs  @kurokouchitbs  番組の内容と放送時間は変更になる可能性があります。</t>
  </si>
  <si>
    <t>番組名金曜ドラマ「クロコーチ」第2話</t>
  </si>
  <si>
    <t>8年前の遠山一家皆殺し事件と女子高生強姦殺人事件の容疑者として勾留された 沢渡前知事 (渡部篤郎)。首を吊って自殺したとされる 郷田議員 (石丸謙二郎) の遺書を元に取調べを受けても、余裕の表情で微笑んでいるばかり。沢渡の勾留期間があと一週間になり、同じく取調べを受けている沢渡の元秘書で県会議員の 橋本 (小木茂光) からの自供が取れるかが重要な鍵となるのだが、橋本は 「話せば殺される！」と怯え調室で倒れてしまう。  同じ頃、新しい知事の 田宮 (池田政典) の元へ匿名の文書が送られてきた。  その中には 「郷田は自殺ではなく 黒河内 (長瀬智也) に殺された」 と書かれていた。黒河内圭太…長瀬智也  清家真代…剛力彩芽  澤 眞智子…香椎由宇  柿崎清彦…利重　剛  牛井　孟…小市慢太郎  布袋善治郎…長谷川朝晴  磯村哲也…川村陽介  坪倉太一…遠藤　要  恬恬…河北麻友子  五島　要…東　幹久  嶋　光男…金子　賢  薬師寺 誠…大地康雄  堂島則行…風間杜夫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</si>
  <si>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番組名金曜ドラマ「クロコーチ」第3話</t>
  </si>
  <si>
    <t>土砂降りの雨の日。  県警捜査一課と所轄の捜査員たちが物々しい警戒態勢で沢渡の別荘を見つめる中、沢渡前知事 (渡部篤郎) の別荘で立てこもりをしているのはなんと 黒河内 (長瀬智也)。彼の元へ、清家 (剛力彩芽) が説得のため一人で向かった。  別荘の中に入った清家は、なぜ沢渡の別荘に立てこもりをしているのかと問うと、黒河内は、不起訴処分となった沢渡から始末されることを恐れて裏取引を持ちかけたことを話し始める…。  一方、同じく別荘で立てこもりを見つめる中に、元鑑識班で監察官の 薬師寺 (大地康雄) がいた。  彼は昔の部下たちに五島と嶋の遺体発見現場から黒河内が2人を殺したという証拠をさらに調べさせていたのだが…。黒河内圭太…長瀬智也  清家真代…剛力彩芽  澤 眞智子…香椎由宇  柿崎清彦…利重　剛  牛井　孟…小市慢太郎  布袋善治郎…長谷川朝晴  磯村哲也…川村陽介  坪倉太一…遠藤　要  恬恬…河北麻友子  五島　要…東　幹久  嶋　光男…金子　賢  薬師寺 誠…大地康雄  堂島則行…風間杜夫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</si>
  <si>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番組名金曜ドラマ「クロコーチ」第4話</t>
  </si>
  <si>
    <t>衆議院議員・伊地知伝助(名高達男)の公設秘書・浅沼兼次(矢柴俊博)が、伊地知の後援会事務所の屋上から飛び降りて亡くなった。その事件現場のやじ馬の中には、無表情で浅沼を見つめる黒河内（長瀬智也）の姿があった。  　翌日、現場に向かった捜査一課布袋班は、状況から考えても浅沼は自殺だと考えていた。しかし、兼次の父・浅沼兼男(志賀廣太郎)が強引に事件現場に入り込み、「息子は伊地知に殺された」と訴える。一方、黒河内は、柿崎(利重剛)から来月付けで留置管理課への異動を命ぜられる。それを受けて清家（剛力彩芽）も、牛井(小市慢太郎)から黒河内とのコンビを解消していいと告げられる。黒河内圭太…長瀬智也  清家真代…剛力彩芽  柿崎清彦…利重　剛  牛井　孟…小市慢太郎  布袋善治郎…長谷川朝晴  磯村哲也…川村陽介  坪倉太一…遠藤　要  恬恬…河北麻友子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</si>
  <si>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番組名金曜ドラマ「クロコーチ」第5話</t>
  </si>
  <si>
    <t>神奈川県内の山中で白骨化した遺体が発見される。  白骨化した遺体は、醜聞をネタに金をゆする脅迫屋（ゆすりや）で行方不明の灰谷竜次（隈部洋平）であり、死後10年が経過していると判明。その傍には凶器であるジュラルミンケースがあった。  同じ頃、10年前に県内で起きたパチンコ店の現金5千万円強奪事件の実行犯として服役していた赤刃組の元構成員・高宮健太(須田邦裕)が出所した。黒河内（長瀬智也）は高宮を待ち構え、強奪した5千万円の行方について聞くも高宮は知らないと主張する。しかし捜査の末、灰谷を殺した凶器であるジュラルミンケースは、パチンコ店の現金強奪事件で強奪されたものと一致していたことが分かる。灰谷を殺したのは高宮なのであろうか？そして、高宮が盗んだ5千万円の行方は！？黒河内圭太…長瀬智也  清家真代…剛力彩芽  柿崎清彦…利重　剛  牛井　孟…小市慢太郎  布袋善治郎…長谷川朝晴  磯村哲也…川村陽介  坪倉太一…遠藤　要  恬恬…河北麻友子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</si>
  <si>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番組名金曜ドラマ「クロコーチ」第6話</t>
  </si>
  <si>
    <t>拳銃で襲撃された黒河内(長瀬智也)。  銃弾摘出手術が終わるのを清家（剛力彩芽）が、一人でじっと待っていた。  警察官銃撃事件捜査本部が設けられ、柿崎(利重剛)や牛井(小市慢太郎)を中心に黒河内を銃撃した犯人の捜査をすることに。  その頃、桜吹雪会の存在を沢渡（渡部篤郎）から知らされた越後（板尾創路）は、沢渡からの嶋・五島殺害に使われた拳銃の再鑑定の要求を受ける。黒河内を銃撃した本当の黒幕とは？黒河内は意識を取り戻すことが出来るのか？  沢渡が動き出した今、三億円事件の真相にいよいよ迫る！黒河内圭太…長瀬智也  清家真代…剛力彩芽  柿崎清彦…利重　剛  牛井　孟…小市慢太郎  布袋善治郎…長谷川朝晴  磯村哲也…川村陽介  坪倉太一…遠藤　要  恬恬…河北麻友子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</si>
  <si>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番組名金曜ドラマ「クロコーチ」第7話</t>
  </si>
  <si>
    <t>10年目の命日のため父親の墓地を訪れた 清家 (剛力彩芽) は、墓前で手を合わせている初老の男と出会う。  司法研究所の所長をしているという その男 (山本學) は、元警察官で45年前に清家の父とともに同じ捜査班にいたこともあったと話す。男は 「遠藤」 と名乗った。  何故かその場で話を聞いていた 黒河内 (長瀬智也) が、その男が45年前に三億円事件の捜査をしていた可能性があったのではと、当時のことを聞きだしてくるよう清家に話す。  遠藤に接触した清家は、当時の三億円事件の捜査の話をすると、初めて自分の父親が生前に三億円事件の捜査に参加していた事実を知る…。黒河内圭太…長瀬智也  清家真代…剛力彩芽  柿崎清彦…利重　剛  牛井　孟…小市慢太郎  布袋善治郎…長谷川朝晴  磯村哲也…川村陽介  坪倉太一…遠藤　要  恬恬…河北麻友子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</si>
  <si>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番組名金曜ドラマ「クロコーチ」第8話</t>
  </si>
  <si>
    <t>黒河内（長瀬智也）は、桜吹雪会の創立者の1人である遠藤（山本學）の死で、三億円事件に関する情報入手先をなくしたため、元赤刃組の組員・高宮（須田邦裕）に再び接触、先代の赤刃組組長が赤刃組の人間に殺された事を伝え、死んだ先代の組長のためにも力を貸して欲しいと話す。ともに訪れたのは「首都綜合警備保障」という警備会社であった。  一方、自宅に銃弾が撃ち込まれた清家（剛力彩芽）の元に、また同じ声の不穏な電話がかかってくる。そして撃ち込まれた銃弾がSAT(特殊急襲部隊)で使われている狙撃用ライフルの弾だと知った矢先、同じ管内の猟奇殺人事件の知らせを受ける。その犠牲者が元警察官でSATの杉隆太郎（阿部亮平）だと知る…。黒河内圭太…長瀬智也  清家真代…剛力彩芽  柿崎清彦…利重　剛  牛井　孟…小市慢太郎  布袋善治郎…長谷川朝晴  磯村哲也…川村陽介  坪倉太一…遠藤　要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</si>
  <si>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番組名金曜ドラマ「クロコーチ」第9話</t>
  </si>
  <si>
    <t>ひとつの仮説を立てスタートしたドラマ「クロコーチ」。なぜ三億円事件が未解決のままなのか…事件の全貌が明らかにはなったが、三億円を元に出来た影の組織が分裂し始め思いもよらぬ方向に動いていく。現在、350億円にも膨らんだ資金、桜吹雪会の分裂とも思われるそれぞれのトップにいる人物。いったいその金を何に使おうとしているのか？三億円事件に関して、執拗に追い続ける黒河内。いったい何が彼をそうさせているのか？黒河内圭太…長瀬智也  清家真代…剛力彩芽  ○  斑目八重子…芦名星  磯村哲也…川村陽介  恬恬…河北麻友子  清家真次…内倉憲二  城尾平蔵…眞島秀和  係官…いしだ壱成  高宮健太…須田邦裕  綾川眞之輔…加藤虎ノ介  井手聡子…白羽ゆり  ○  澤村英人…小出恵介  加賀広樹…戸次重幸  越後弥太郎… 板尾創路  高橋秀男…森本レオ  ○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</si>
  <si>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番組名金曜ドラマ「クロコーチ」第10話</t>
  </si>
  <si>
    <t>逮捕された高橋(森本レオ)が護送中に逃げたことで、黒河内(長瀬智也)と沢渡(渡部篤郎)の状況が一変する。沢渡の元に再び渡ってしまった350億は、どのように使われてしまうのか！？黒河内は、すぐさま清家(剛力彩芽)の元へ行き、沢渡の計画していることを教える。そして、三億円事件から創立された桜吹雪会のことなど、すべて暴露して沢渡を終わらせると伝える。一方、逃げた高橋が行き着いたところには、ある大物人物の姿があった。何が善で何が悪か…黒河内の本当の狙いとは！？  黒河内圭太…長瀬智也  清家真代…剛力彩芽  柿崎清彦…利重　剛  牛井　孟…小市慢太郎  布袋善治郎…長谷川朝晴  斑目　八重子…芦名　星  磯村哲也…川村陽介  恬恬…河北麻友子  城尾　平蔵… 眞島秀和  澤村　英人…小出恵介  高橋　秀男…森本レオ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</si>
  <si>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1310_TBS_日21</t>
  </si>
  <si>
    <t>安堂ロイド</t>
  </si>
  <si>
    <t>番組名日曜劇場「安堂ロイド～A．I．　knows　LOVE？～」第1話</t>
  </si>
  <si>
    <t>2013年のある日、一人の天才物理学者・沫嶋黎士（木村拓哉）が殺された。  冴えない風貌ながらその世界では名の知られている大学教授で、ワームホール理論の最先端の研究者だった黎士。ワームホールとは、時空構造の位相幾何学として考えうる構造の一つで、時空のある一点から別の離れた一点へと直結する空間領域でトンネルのような抜け道の事である。  その研究が原因で殺されたのかは謎だが、彼には最愛の婚約者・安堂麻陽（柴咲コウ）がいた。  だが、そんな彼女に“最愛の人の死”という不幸が突如襲い掛かり、さらには彼女自身も理由の判らぬまま正体不明の相手から命を狙われる身となる…。そこに現れたのは！！安堂ロイド／沫嶋黎士…木村拓哉（二役）  安堂麻陽…柴咲コウ   ○  沫嶋七瀬…大島優子  星　新造…桐谷健太  サプリ…本田　翼  小松左京子…山口紗弥加  江戸川斗夢…ジェシー（ジャニーズJr.）  栗山　薫…山本美月  冨野好雪…日野陽仁  倉田朝晴…池田　大  ○  謎の美少女…桐谷美玲  角城　元…平岡祐太  ○  安堂景子…名取裕子（特別出演）  葦母衣朔…遠藤憲一  （1話ゲスト）  ラプラス…福田彩乃★番組HP  http://www.tbs.co.jp/ANDO-LLOYD/  ★Twitter  https://twitter.com/LloydAndo  @LloydAndo脚本：西荻弓絵  音楽：菅野祐悟  コンセプト/設定協力：庵野秀明　鶴巻和哉　前田真宏  制作プロデュース：長谷川晴彦　安田邦弘（ROBOT）　　　　　　  プロデュース：植田博樹　坪井敏雄  演出：波多野貴文番組の内容と放送時間は変更になる場合があります。</t>
  </si>
  <si>
    <t>番組名日曜劇場「安堂ロイド～A．I．　knows　LOVE？～」　第2話</t>
  </si>
  <si>
    <t>婚約者の黎士（木村拓哉）を突然失ったショックから衝動的に地下鉄のホームで電車に飛び込んでしまった麻陽（柴咲コウ）だったが、間一髪のところで黎士に瓜二つの謎の男・ロイド（木村拓哉／2役）に救出される。麻陽は黎士の死とロイドの出現に心の整理が追いつかないまま自分を探して来た部下の星（桐谷健太）と共に会社に戻るが、そんな麻陽の元に早くも新たな暗殺者・キュリー（柿澤勇人）が麻陽の命を狙って会社に侵入して来る。社内の警報アラームにより不正侵入者の存在に気付いた麻陽はその侵入者が自分を襲ったラプラスと同様の暗殺者だと察する。麻陽は自分の元をちょうど訪ねて来ていた七瀬（大島優子）の身にも危険が及ぶと懸念し、七瀬を引き留めようとするが、時既に遅く、キュリーが二人に襲い掛かってくる。同じ頃、地下鉄のホームでは麻陽が電車に飛び込んだ姿を目撃していた刑事の葦母（遠藤憲一）が現場検証にあたっていた。目撃情報はあるものの死体が見つからず、捜査は混乱。結局、ホーム天井の一部が落下しての事故と結論付けられたが、1日のうちに2度も殺されかけた麻陽の姿を目撃した葦母は、麻陽に何か裏があると感じる。一方、麻陽をラプラスの攻撃と飛び込んだ電車から救出したロイドはサプリ（本田翼）の手当てを受け傷ついた体の回復に努めていたが、そんなロイドにもキュリーと共に放たれた暗殺者・バルス（柿澤勇人／2役）が襲い掛かる。安堂ロイド／沫嶋黎士…木村拓哉（二役）  安堂麻陽…柴咲コウ   ○  沫嶋七瀬…大島優子  星　新造…桐谷健太  サプリ…本田翼  小松左京子…山口紗弥加  江戸川斗夢…ジェシー（ジャニーズJr.）  栗山　薫…山本美月  冨野好雪…日野陽仁  倉田朝晴…池田大  ○  謎の美少女…桐谷美玲  角城　元…平岡祐太  ○  安堂景子…名取裕子（特別出演）  葦母衣朔…遠藤憲一【2話ゲスト】  バルス／キュリー…柿澤勇人（二役）脚本：西荻弓絵  音楽：菅野祐悟  コンセプト/設定協力：庵野秀明　鶴巻和哉　前田真宏  制作プロデュース：長谷川晴彦（ROBOT）　　安田邦弘　　　　　  プロデュース：植田博樹　坪井敏雄  演出：波多野貴文★番組HP  http://www.tbs.co.jp/ANDO-LLOYD/  ★PC用ホームページ  http://www.tbs.co.jp/smp/ANDO-LLOYD/  ★Twitter  https://twitter.com/LloydAndo  @LloydAndo  番組の内容と放送時間は変更になる場合があります。</t>
  </si>
  <si>
    <t>番組名日曜劇場「安堂ロイド～A．I．　knows　LOVE？～」　第3話</t>
  </si>
  <si>
    <t>刑事の葦母（遠藤憲一）の尋問がきっかけとなり、周囲にロイド（木村拓哉）を黎士（木村拓哉／二役）だと偽ることになってしまった麻陽（柴咲コウ）。だが、黎士の妹・七瀬（大島優子）にだけはどうしても嘘を突き通せないと麻陽はロイドのことを話してしまう。そんな麻陽にロイドは「（自分の秘密を知った）七瀬を殺す！」と言い放ち、麻陽の前から姿を消してしまう。瀬の身を案じた麻陽がすぐさま東京帝國大学に駆けつけると、案の定、ロイドは七瀬を抹殺すべくすでに構内に侵入し、七瀬に襲い掛かろうとしていた。その一方で麻陽とロイドは一つ屋根の下、一緒に暮らすことになり二人の奇妙な生活が始まる。充電に莫大な電力を費やすロイドに家中の電力を独占され、麻陽は日常生活に支障をきたし、ロイドの存在に苛立ってくる。麻陽は文句を言っても取り合わないロイドを破壊しようと襲い掛かるが、警察に踏み込まれ、婚約者へのDV容疑で警察へ連行されてしまい…。安堂ロイド／沫嶋黎士…木村拓哉（二役）  安堂麻陽…柴咲コウ   ○  沫嶋七瀬…大島優子  星　新造…桐谷健太  サプリ…本田翼  小松左京子…山口紗弥加  江戸川斗夢…ジェシー（ジャニーズJr.）  栗山　薫…山本美月  冨野好雪…日野陽仁  倉田朝晴…池田大  ○  葦母衣朔…遠藤憲一  （3話ゲスト）  ボルタ…三浦力脚本：泉澤陽子  音楽：菅野祐悟  コンセプト/設定協力：庵野秀明　鶴巻和哉　前田真宏  制作プロデュース：長谷川晴彦（ROBOT）　　安田邦弘　　　　　  プロデュース：植田博樹　坪井敏雄  演出：木村ひさし★番組HP  http://www.tbs.co.jp/ANDO-LLOYD/  ★PC用ホームページ  http://www.tbs.co.jp/smp/ANDO-LLOYD/  ★Twitter  https://twitter.com/LloydAndo  @LloydAndo  番組の内容と放送時間は変更になる場合があります。</t>
  </si>
  <si>
    <t>番組名日曜劇場「安堂ロイド～A．I．　knows　LOVE？～」　第4話</t>
  </si>
  <si>
    <t>自分の命を狙い次々と襲い掛かってくる暗殺者を淡々と殺していくロイド（木村拓哉）の姿に複雑な思いを抱く麻陽（柴咲コウ）。そんな麻陽の元に、黎士（木村拓哉／二役）のパソコンを解析していた七瀬（大島優子）から、黎士のメール履歴に100年先の誰かとやり取りしていたメールを見つけたとの連絡が入る。七瀬は送信主も中身もまだ解明出来ないが、黎士の唱えていた理論では100年先とのやり取りも可能だと麻陽に話す。そんな中、麻陽は黎士の親友で同じく次元物理学者の桐生貴志（藤本隆宏）がアメリカで行方不明になっているとのニュースを耳にする。もしや桐生も殺人スケジュールの標的なのではと麻陽が懸念した矢先、なんと行方不明のはずの桐生が突然麻陽とロイドの元に現れる。麻陽は自分たちとの再会を喜ぶ桐生に黎士を装うロイドのことを気付かれはしないかと心配する。そんな矢先、桐生も何者かに襲われてしまう。一方、麻陽と黎士を装うロイドの周辺を嗅ぎ回っていた刑事の葦母（遠藤憲一）は刑務所から出所した顔見知りのテロリスト・川島（津村知与支）に会い…。安堂ロイド／沫嶋黎士…木村拓哉（二役）  安堂麻陽…柴咲コウ   ○  沫嶋七瀬…大島優子  星　新造…桐谷健太  サプリ…本田　翼  小松左京子…山口紗弥加  江戸川斗夢…ジェシー（ジャニーズJr.）  栗山　薫…山本美月  冨野好雪…日野陽仁  倉田朝晴…池田　大  ○  謎の美少女…桐谷美玲  ○  葦母衣朔…遠藤憲一（3話ゲスト）  桐生貴志…藤本隆宏  ドルトン／川島…津村知与支脚本：泉澤陽子  音楽：菅野祐悟  コンセプト/設定協力：庵野秀明　鶴巻和哉　前田真宏  制作プロデュース：長谷川晴彦（ROBOT）　　安田邦弘　  プロデュース：植田博樹　坪井敏雄  演出：木村ひさし★番組HP  http://www.tbs.co.jp/ANDO-LLOYD/  ★PC用ホームページ  http://www.tbs.co.jp/smp/ANDO-LLOYD/  ★Twitter  https://twitter.com/LloydAndo  @LloydAndo  番組の内容と放送時間は変更になる場合があります。</t>
  </si>
  <si>
    <t>番組名日曜劇場「安堂ロイド～A．I．　knows　LOVE？～」　第5話</t>
  </si>
  <si>
    <t>親友だった暗殺者・ナビエ（藤本隆宏）との攻防を終えたロイド（木村拓哉）と麻陽（柴咲コウ）は、互いに消してはならない大切な記憶を抱えていることに共感し合う。そしてそんな二人の心の変化は奇妙な共同生活にも徐々に変化をもたらし、麻陽は親しみを込めて”ロイド”と呼び始める。そんな中、いつも通り会社に出社した麻陽は既に出勤していた部下の星（桐谷健太）から重傷を負って搬送されていた左京子（山口紗弥加）の父で刑事の葦母（遠藤憲一）が一命を取り留めたとの報告を受ける。だが、その報告と同時に麻陽は星から黎士の事故後の行動に関する矛盾点を指摘され、星が麻陽と黎士（木村拓哉／二役）を装うロイドの秘密に迫っていることも匂わされる。麻陽は星の身を案じ、これ以上自分の身辺を嗅ぎ回らないよう強く忠告するが、星は自分と同じように麻陽の身辺を探る葦母と接触を図る。一方、ロイドは黎士として大学の教壇に立ち講義を行うが、講義後、自分の体が徐々に異常をきたし始めていることを悟る。ロイドはサプライヤーのサプリ（本田翼）を呼び出し、修理を促すが、修復する為には初期化して記憶を全て消すしかないと言われ…。安堂ロイド／沫嶋黎士…木村拓哉（二役）  安堂麻陽…柴咲コウ   ○  沫嶋七瀬…大島優子  星　新造…桐谷健太  サプリ…本田翼  小松左京子…山口紗弥加  江戸川斗夢…ジェシー（ジャニーズJr.）  栗山　薫…山本美月  冨野好雪…日野陽仁  倉田朝晴…池田大  ○  謎の美少女…桐谷美玲  ○  葦母衣朔…遠藤憲一脚本：西荻弓絵  音楽：菅野祐悟  コンセプト/設定協力：庵野秀明　鶴巻和哉　前田真宏  制作プロデュース：長谷川晴彦（ROBOT）　　安田邦弘　　　　　  プロデュース：植田博樹　坪井敏雄  演出：坪井敏雄★番組HP  http://www.tbs.co.jp/ANDO-LLOYD/  ★PC用ホームページ  http://www.tbs.co.jp/smp/ANDO-LLOYD/  ★Twitter  https://twitter.com/LloydAndo  @LloydAndo  番組の内容と放送時間は変更になる場合があります。</t>
  </si>
  <si>
    <t>番組名日曜劇場「安堂ロイド～A．I．　knows　LOVE？～」　第6話</t>
  </si>
  <si>
    <t>自分たちのために命を落としたサプリ（本田翼）に思いを馳せるロイド（木村拓哉）と麻陽（柴咲コウ）。そんな二人のもとに麻陽の母・景子（名取裕子）が突然電話をかけてくる。景子は最近受けた健康診断で胸に白い影が見つかったと麻陽に報告。驚く麻陽に景子は余命幾ばくもないようなので、延期している黎士との結婚式を近日中にして欲しいと言い出す。当然、麻陽は無理だと即答するが、景子からとりあえず家族写真を撮るだけでもいいので花嫁姿を見せ欲しいと強引に押し切られてしまう。麻陽は仕方なくロイドに黎士（木村拓哉／二役）の振りをして一緒に結婚写真を撮るよう頼み、上京してきた景子を伴って、結婚式場でロイドと写真撮影に望む。安堂ロイド／沫嶋黎士…木村拓哉（二役）  安堂麻陽…柴咲コウ  ○  沫嶋七瀬…大島優子  星　新造…桐谷健太  小松左京子…山口紗弥加  江戸川斗夢…ジェシー（ジャニーズJr.）  栗山　薫…山本美月  冨野好雪…日野陽仁  倉田朝晴…池田大  ○  謎の美少女…桐谷美玲  ○  安堂景子…名取裕子（特別出演）  葦母衣朔…遠藤憲一  （6話ゲスト）  フレミング…岩井秀人  盛田守…高橋努脚本：西荻弓絵  音楽：菅野祐悟  コンセプト/設定協力：庵野秀明　鶴巻和哉　前田真宏  制作プロデュース：長谷川晴彦（ROBOT）　　安田邦弘　　　　　  プロデュース：植田博樹　坪井敏雄  演出：波多野貴文★番組HP  http://www.tbs.co.jp/ANDO-LLOYD/  ★PC用ホームページ  http://www.tbs.co.jp/smp/ANDO-LLOYD/  ★Twitter  https://twitter.com/LloydAndo  @LloydAndo  番組の内容と放送時間は変更になる場合があります。</t>
  </si>
  <si>
    <t>番組名日曜劇場「安堂ロイド～A．I．　knows　LOVE？～」　第7話</t>
  </si>
  <si>
    <t>麻陽(柴咲コウ）を護るべく自分の意思で戦い始めたロイド（木村拓哉）だが、その矢先に内蔵システムが致命的なダメージを受け、麻陽の目の前で動かなくなってしまう。そこへ現れた刑事の葦母（遠藤憲一）は、家族が悲しむからと自分を撃たなかったロイドを助けてやりたいと、麻陽と共にロイドを麻陽のマンションへ運ぶ。  一方、葦母の新たな相棒で麻陽の部下の星（桐谷健太）は、公安上層部と面会し、故障したロイドを修理するふりをして殺すよう依頼されるのだが…。  ロイドの修理を行っていたサプリが消滅しまった状況下で、果たして麻陽はロイドを修復することは出来るのか？安堂ロイド／沫嶋黎士…木村拓哉（二役）  安堂麻陽…柴咲コウ   ○  沫嶋七瀬…大島優子  星　新造…桐谷健太  江戸川斗夢…ジェシー（ジャニーズJr.）  栗山　薫…山本美月  倉田朝晴…池田大  ○  謎の美少女…桐谷美玲  ○  葦母衣朔…遠藤憲一  （7話ゲスト）  幹谷総一…鶴見辰吾  ケプラ…伊達暁  メンデル…谷田歩  石川…神尾佑脚本：西荻弓絵  音楽：菅野祐悟  コンセプト/設定協力：庵野秀明　鶴巻和哉　前田真宏  制作プロデュース：長谷川晴彦（ROBOT）　　安田邦弘  プロデュース：植田博樹　坪井敏雄  演出：坪井敏雄★番組HP  http://www.tbs.co.jp/ANDO-LLOYD/  ★スマートフォン・フィーチャーフォンの方はこちら  http://www.tbs.co.jp/smp/ANDO-LLOYD/★Twitter  https://twitter.com/LloydAndo  @LloydAndo  番組の内容と放送時間は変更になる場合があります。</t>
  </si>
  <si>
    <t>番組名日曜劇場「安堂ロイド～A．I．　knows　LOVE？～」　第8話</t>
  </si>
  <si>
    <t>内蔵システムが回復し、ようやく意識を取り戻したロイド（木村拓哉）。しかし、麻陽（柴咲コウ）と過ごした記憶は全て失っていた！！  　初めて会った時のように冷酷な態度のロイドに愕然となる麻陽だったが、それでも記憶は消えていないと信じる麻陽は、心強い味方となった刑事の葦母（遠藤憲一）と麻陽の部下の星（桐谷健太）と共にロイドの記憶が戻る方法を探し始める。果たしてロイドは麻陽と築いてきた今までの記憶や未来での記憶を取り戻すことは出来るのだろうか…。  　ロイドの前についにあの謎の美少女が姿を現すが果たして彼女は何者なのか…。安堂ロイド／沫嶋黎士…木村拓哉（二役）  安堂麻陽…柴咲コウ   ○  沫嶋七瀬…大島優子  星　新造…桐谷健太  サプリ…本田翼  小松左京子…山口紗弥加  江戸川斗夢…ジェシー（ジャニーズJr.）  栗山　薫…山本美月  倉田朝晴…池田大  ○  謎の美少女…桐谷美玲  角城　元…平岡祐太  ○  葦母衣朔…遠藤憲一    （8話ゲスト）  幹谷総一…鶴見辰吾  大物政治家…井上真樹夫  医者…嶋田久作脚本：泉澤陽子  音楽：菅野祐悟  コンセプト/設定協力：庵野秀明　鶴巻和哉　前田真宏  制作プロデュース：長谷川晴彦（ROBOT）　　安田邦弘  プロデュース：植田博樹　坪井敏雄  演出：波多野貴文★番組HP  http://www.tbs.co.jp/ANDO-LLOYD/  ★スマートフォン・フィーチャーフォンの方はこちら  http://www.tbs.co.jp/smp/ANDO-LLOYD/★Twitter  https://twitter.com/LloydAndo  @LloydAndo  番組の内容と放送時間は変更になる場合があります。</t>
  </si>
  <si>
    <t>番組名日曜劇場「安堂ロイド～A．I．　knows　LOVE？～」　第9話</t>
  </si>
  <si>
    <t>もう一つの人格“レイコ”に体を乗っ取られた七瀬が、入院していた精神病院から逃亡。麻陽はロイドや沫嶋研究室の助手たちと手分けして七瀬を探す。  しかし、そんな麻陽をまたしても暗殺者・ケプラとメンデルが襲う。麻陽を護るべく、最後の注射器で“アスラシステム”を起動させて戦うロイドだが、とどめを刺す前に敵に逃げられ、ロイド自身も重傷を負ってしまう。一方、沫嶋研究室では、手がかりを得るため助手たちが七瀬のパソコンを開いていたが、その中に3人が見たものとは……。安堂ロイド／沫嶋黎士…木村拓哉（二役）  安堂麻陽…柴咲コウ   ○  沫嶋七瀬…大島優子  星　新造…桐谷健太  サプリ…本田　翼  小松左京子…山口紗弥加  江戸川斗夢…ジェシー（ジャニーズJr.）  栗山　薫…山本美月  倉田朝晴…池田　大  ○  謎の美少女…桐谷美玲  角城　元…平岡祐太  ○  葦母衣朔…遠藤憲一（9話ゲスト）  幹谷総一…鶴見辰吾  大物政治家…井上真樹夫  ケプラ…伊達暁  メンデル…谷田歩脚本：泉澤陽子  音楽：菅野祐悟  コンセプト/設定協力：庵野秀明　鶴巻和哉　前田真宏  制作プロデュース：長谷川晴彦（ROBOT）　　安田邦弘  プロデュース：植田博樹　坪井敏雄  演出：木村ひさし★番組HP  http://www.tbs.co.jp/ANDO-LLOYD/  ★スマートフォン・フィーチャーフォンの方はこちら  http://www.tbs.co.jp/smp/ANDO-LLOYD/★Twitter  https://twitter.com/LloydAndo  @LloydAndo  番組の内容と放送時間は変更になる場合があります。</t>
  </si>
  <si>
    <t>番組名日曜劇場「安堂ロイド～A．I．　knows　LOVE？～」　最終話</t>
  </si>
  <si>
    <t>未来からのポリスクラウドのアンドロイドたちを操り、更には現代の公安上層部や政治家たちをも翻弄して自らの野望を実現しようと目論む謎の美少女こと“ARXIX－THE　LAST　QUEEN”(以降“LQ”)（桐谷美玲）。沫嶋黎士（木村拓哉）の妹・七瀬（大島優子）の凶悪な別人格“沫嶋黎子”が生み出したとされるLQはついに自ら牙を剥き、安堂麻陽（柴咲コウ）の味方である七瀬、葦母（遠藤憲一）、星（桐谷健太）らを立て続けに襲撃。そんなLQの野望を阻止すべく、ロイド（木村拓哉／二役）はLQに戦いを挑むが、ロイドより全ての能力が上回るとされる最強のアンドロイドLQを相手に戦闘OS“アスラシステム”を起動させる術を失ったロイドはどう戦いを挑んでいくのか・・・。安堂ロイド／沫嶋黎士…木村拓哉（二役）  安堂麻陽…柴咲コウ   ○  沫嶋七瀬…大島優子  星　新造…桐谷健太  サプリ…本田翼  小松左京子…山口紗弥加  江戸川斗夢…ジェシー（ジャニーズJr.）  栗山　薫…山本美月  倉田朝晴…池田大  ○  謎の美少女…桐谷美玲  角城　元…平岡祐太  ○  葦母衣朔…遠藤憲一  安堂景子…名取裕子（最終話ゲスト）  幹谷総一…鶴見辰吾  大物政治家…井上真樹夫  メンデル…谷田歩脚本：泉澤陽子  音楽：菅野祐悟  コンセプト/設定協力：庵野秀明　鶴巻和哉　前田真宏  制作プロデュース：長谷川晴彦（ROBOT）　　安田邦弘　　　　　  プロデュース：植田博樹　坪井敏雄  演出：波多野貴文★番組HP  http://www.tbs.co.jp/ANDO-LLOYD/  ★スマートフォン・フィーチャーフォンの方はこちら  http://www.tbs.co.jp/smp/ANDO-LLOYD/★Twitter  https://twitter.com/LloydAndo  @LloydAndo  番組の内容と放送時間は変更になる場合があります。</t>
  </si>
  <si>
    <t>1307_TBS_月20</t>
  </si>
  <si>
    <t>名もなき毒</t>
  </si>
  <si>
    <t>番組名月曜ミステリーシアター「名もなき毒」　第1話</t>
  </si>
  <si>
    <t>杉村（小泉孝太郎）は、ひょんなことから、梶田聡美（深田恭子）の父が死んだ事件に巻き込まれていく。果たして父が死んだのは事故か殺人か！杉村の調査が始まるが、次第に新たな事実も出てきて・・・。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   梶田聡美…深田恭子   ◆    杉村菜穂子…国仲涼子  梶田梨子…南沢奈央  手島雄一郎…ムロツヨシ   浜田利和…高橋光臣  椎名遥…岡本玲   加西新…森崎ウィン   杉村正子…木野花   水田（睡蓮マスター）…本田博太郎   梶田信夫…平田満  園田瑛子…室井滋   今多嘉親…平幹二朗月曜20時『名もなき毒』WEB限定オフショット企画「森崎ウィンの"あるある"毒の人！」(1)  http://youtu.be/FZ6JrBBvf8s  原作…宮部みゆき  「誰か　Somebody」「名もなき毒」（文春文庫）  脚本…神山由美子  （『大奥』『美しい隣人』ほか）   制作…那須田淳チーフプロデューサー…橋本孝  プロデューサー…鈴木早苗　橘康仁  演出…塚原あゆ子　金子文紀　山本剛義　竹村謙太郎【番組HP】  http://www.tbs.co.jp/namonakidoku/    【公式Twitter】  https://twitter.com/namonakidoku番組の内容と放送時間は変更になる場合があります。</t>
  </si>
  <si>
    <t>番組名月曜ミステリーシアター「名もなき毒」　第2話</t>
  </si>
  <si>
    <t>杉村（小泉孝太郎）は、聡美（深田恭子）から「父は殺されたのかもしれない」と打ち明けられる。聡美の「幼い頃誘拐された」という記憶を辿り、調査を進める杉村だが…。杉村三郎…小泉孝太郎    ◆   梶田聡美…深田恭子   ◆    杉村菜穂子…国仲涼子  梶田梨子…南沢奈央  手島雄一郎…ムロツヨシ  浜田利和…高橋光臣  椎名遥…岡本玲   加西新…森崎ウィン    友野栄次郎…織本順吉  卯月刑事…菅原大吉  梶田弥生…相築あきこ    水田（睡蓮マスター）…本田博太郎   梶田信夫…平田満  園田瑛子…室井滋   今多嘉親…平幹二朗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原作…宮部みゆき  「誰か　Somebody」「名もなき毒」（文春文庫）  脚本…神山由美子  （『大奥』『美しい隣人』ほか）   制作…那須田淳チーフプロデューサー…橋本孝  プロデューサー…鈴木早苗　橘康仁  演出…塚原あゆ子【番組HP】  http://www.tbs.co.jp/namonakidoku/    【公式Twitter】  https://twitter.com/namonakidoku名もなき毒・森崎ウィンオフショット企画動画はこちらから★  http://youtu.be/WTIk3KHXSik  主演の小泉孝太郎さんがレギュラー出演する「人間観察バラエティ モニタリング！」は、次回7月18日（木）よる7時55分から放送！「名もなき毒」とあわせて、ぜひご覧ください！「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</si>
  <si>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番組名月曜ミステリーシアター「名もなき毒」　第3話</t>
  </si>
  <si>
    <t>杉村（小泉孝太郎）は、聡美（深田恭子）の父の死をあくまで事故死だと証明して、聡美が無事に結婚できればと思うが、その思いとは裏腹に新しい事実がでてきて…。杉村三郎…小泉孝太郎    ◆   梶田聡美…深田恭子   ◆    杉村菜穂子…国仲涼子  梶田梨子…南沢奈央  手島雄一郎…ムロツヨシ   浜田利和…高橋光臣  椎名遥…岡本玲   加西新…森崎ウィン   杉村正子…木野花   水田（睡蓮マスター）…本田博太郎   梶田信夫…平田満  園田瑛子…室井滋   今多嘉親…平幹二朗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主演の小泉孝太郎さんがレギュラー出演する「人間観察バラエティ モニタリング！」は、毎週木曜よる7時55分から放送！「名もなき毒」とあわせて、ぜひご覧ください！横山克（『夜行観覧車』『35歳の高校生』ほか）  原作…宮部みゆき  「誰か　Somebody」「名もなき毒」（文春文庫）  脚本…神山由美子  （『大奥』『美しい隣人』ほか）   制作…那須田淳チーフプロデューサー…橋本孝  プロデューサー…鈴木早苗　橘康仁  演出…塚原あゆ子　金子文紀　山本剛義　竹村謙太郎■番組HP  http://www.tbs.co.jp/namonakidoku/    ■公式Twitter  https://twitter.com/namonakidoku「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</si>
  <si>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番組名月曜ミステリーシアター「名もなき毒」　第4話</t>
  </si>
  <si>
    <t>一命をとりとめた杉村（小泉孝太郎）は、引き続き聡美（深田恭子）の父の死について調査するが、そこに刑事がやってきて、犯人について思いもよらぬ事実を告げる。杉村にかかってくる無言の正体もわかり・・・杉村三郎…小泉孝太郎    ◆   梶田聡美…深田恭子   ◆    杉村菜穂子…国仲涼子  梶田梨子…南沢奈央  手島雄一郎…ムロツヨシ  浜田利和…高橋光臣  椎名遥…岡本玲  加西新…森崎ウィン    トモノ玩具の女…伊藤かずえ  卯月刑事…菅原大吉  工藤…日野陽仁  関口…柳家小さん    水田（睡蓮マスター）…本田博太郎  梶田信夫…平田満  園田瑛子…室井滋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主演の小泉孝太郎さんがレギュラー出演する「人間観察バラエティ モニタリング！」は、毎週木曜よる7時55分から放送！「名もなき毒」とあわせて、ぜひご覧ください！原作…宮部みゆき  「誰か　Somebody」「名もなき毒」（文春文庫）  脚本…神山由美子  （『大奥』『美しい隣人』ほか）制作…那須田淳  チーフプロデューサー…橋本孝  プロデューサー…鈴木早苗　橘康仁  演出…金子文紀■番組HP  http://www.tbs.co.jp/namonakidoku/    ■公式Twitter  @namonakidoku  https://twitter.com/namonakidoku  WEB限定オフショット企画「森崎ウィンの“あるある”毒の人!」4　動画公開しました！  http://youtu.be/4TUrsCYwCdI  第3話(7/22)見逃しダイジェスト&amp;第4話(7/29)予告  http://youtu.be/Cbb3-cjwm2o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</si>
  <si>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番組名月曜ミステリーシアター「名もなき毒」　第5話</t>
  </si>
  <si>
    <t>杉村（小泉孝太郎）は、ついに聡美（深田恭子）の父の死の真実にたどり着く。そこには想像を超えた真実と、悲しい過去が待っていた。すべての毒を解き明かした杉村は何を思うのか…!?ついに第一部完結編。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  梶田聡美…深田恭子   ◆  杉村菜穂子…国仲涼子  梶田梨子…南沢奈央  浜田利和…高橋光臣  椎名遥…岡本玲   加西新…森崎ウィン    原田いずみ…江口のりこ  野瀬祐子…伊藤かずえ  卯月勝敏…菅原大吉    手島雄一郎…ムロツヨシ  水田（睡蓮マスター）…本田博太郎   梶田信夫…平田満  園田瑛子…室井滋  今多嘉親…平幹二朗主演の小泉孝太郎さんがレギュラー出演する「人間観察バラエティ モニタリング！」は、毎週木曜よる7時55分から放送！「名もなき毒」とあわせて、ぜひご覧ください！原作…宮部みゆき  「誰か　Somebody」「名もなき毒」（文春文庫）  脚本…神山由美子  （『大奥』『美しい隣人』ほか）制作…那須田淳  チーフプロデューサー…橋本孝  プロデューサー…鈴木早苗　橘康仁  演出…竹村謙太郎■番組HP  http://www.tbs.co.jp/namonakidoku/    ■公式Twitter  @namonakidoku  https://twitter.com/namonakidoku  見逃しダイジェスト＆第5話(8/5)予告動画公開しました！  http://youtu.be/jKxY950b8ic  WEB限定オフショット企画「森崎ウィンの"あるある"毒の人!」5  http://youtu.be/AEwoAfeX0Lc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</si>
  <si>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番組名月曜ミステリーシアター「名もなき毒」　第6話</t>
  </si>
  <si>
    <t>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いよいよ、衝撃の二部がスタート！杉村（小泉孝太郎）は、原田いずみ（江口のり子）の暴走にも頭を悩まされつつ、ひょんなことから新たな事件に関わることになり、古屋暁子（真矢みき）、美知香（杉咲花）と出会う。杉村三郎…小泉孝太郎    ◆  古屋暁子…真矢みき   ◆  杉村菜穂子…国仲涼子  古屋美知香…杉咲花  加西新…森崎ウィン    原田いずみ…江口のりこ  萩原弘…斎藤歩  外立研治…君嶋麻耶    手島雄一郎…ムロツヨシ  水田（睡蓮マスター）…本田博太郎   北見一郎…大杉漣  園田瑛子…室井滋主演の小泉孝太郎さんがレギュラー出演する「人間観察バラエティ モニタリング！」は、毎週木曜よる7時55分から放送！「名もなき毒」とあわせて、ぜひご覧ください！【原作】宮部みゆき  「誰か　Somebody」「名もなき毒」（文春文庫）  【脚本】神山由美子  （『大奥』『美しい隣人』ほか）【制作】那須田淳  【チーフプロデューサー】橋本孝  【プロデューサー】鈴木早苗　橘康仁  【演出】金子文紀■番組HP  http://www.tbs.co.jp/namonakidoku/    ■公式Twitter  @namonakidoku  https://twitter.com/namonakidoku  小泉孝太郎主演・月曜よる8時『名もなき毒』第5話(8/5)見逃しダイジェスト&amp;第6話(8/12)予告    http://youtu.be/gEqubKe1U-A    月曜よる8時『名もなき毒』WEB限定オフショット企画「森崎ウィンの"あるある"毒の人!」6     http://youtu.be/VzUXiSQG5NI  「世界陸上モスクワ」陸上競技世界最高峰の戦い、8月18日(日)まで連日放送中。   人類が再び進化する瞬間を目撃せよ。  番組HP　http://www.tbs.co.jp/seriku/  番組の内容と放送時間は変更になる場合があります。</t>
  </si>
  <si>
    <t>番組名月曜ミステリーシアター「名もなき毒」　第7話</t>
  </si>
  <si>
    <t>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   古屋暁子…真矢みき   ◆    杉村菜穂子…国仲涼子  古屋美知香…杉咲花  原田いずみ…江口のりこ   手島雄一郎…ムロツヨシ   秋山省吾…平山浩行  椎名遥…岡本玲   加西新…森崎ウィン   杉村正子…木野花   水田（睡蓮マスター）…本田博太郎   園田瑛子…室井滋   今多嘉親…平幹二朗主演の小泉孝太郎さんがレギュラー出演する「人間観察バラエティ モニタリング！」は、毎週木曜よる7時55分から放送！「名もなき毒」とあわせて、ぜひご覧ください！横山克（『夜行観覧車』『35歳の高校生』ほか）  原作…宮部みゆき  「誰か　Somebody」「名もなき毒」（文春文庫）  脚本…神山由美子  （『大奥』『美しい隣人』ほか）   制作…那須田淳制作…那須田淳  チーフプロデューサー…橋本孝  プロデューサー…鈴木早苗　橘康仁  演出…竹村謙太郎■番組HP  http://www.tbs.co.jp/namonakidoku/    ■公式Twitter  @namonakidoku  https://twitter.com/namonakidoku  小泉孝太郎主演・月曜よる8時『名もなき毒』第6話(8/12)見逃しダイジェスト&amp;第7話(8/19)予告  http://youtu.be/n_NYM_zzHAw月曜よる8時『名もなき毒』WEB限定オフショット企画「森崎ウィンの"あるある"毒の人!」7   http://youtu.be/F-00LMTQt80  番組の内容と放送時間は変更になる場合があります。</t>
  </si>
  <si>
    <t>番組名月曜ミステリーシアター「名もなき毒」　第8話</t>
  </si>
  <si>
    <t>連続毒殺事件の犯人が自首したが、暁子（真矢みき）の父の死については無関係だった。杉村（小泉孝太郎）が事件の真相を探る中、暁子の娘美知香（杉咲花）は、父の遺言状がなくなっていることに気づく。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古屋暁子…真矢みき  杉村菜穂子…国仲涼子    古屋美知香…杉咲花  秋山省吾…平山浩行  原田いずみ…江口のりこ  椎名遥…岡本玲  加西新…森崎ウィン  五味淵まゆみ…中西美帆    水田（睡蓮マスター）…本田博太郎  奈良和子…烏丸せつこ   萩原弘…斎藤歩  外立研治…君嶋麻耶  古屋明俊…森次晃嗣    手島雄一郎…ムロツヨシ  北見一郎…大杉漣  園田瑛子…室井滋主演の小泉孝太郎さんがレギュラー出演する「人間観察バラエティ モニタリング！」は、毎週木曜よる7時55分から放送！「名もなき毒」とあわせて、ぜひご覧ください！横山克（『夜行観覧車』『35歳の高校生』ほか）  原作…宮部みゆき  「誰か　Somebody」「名もなき毒」（文春文庫）  脚本…神山由美子  （『大奥』『美しい隣人』ほか）   制作…那須田淳制作…那須田淳  チーフプロデューサー…橋本孝  プロデューサー…鈴木早苗　橘康仁  演出…竹村謙太郎■番組HP  http://www.tbs.co.jp/namonakidoku/    ■公式Twitter  @namonakidoku  https://twitter.com/namonakidoku  『名もなき毒』第7話(8/19)見逃しダイジェスト＆第8話(8/26)予告動画を公開しました！こちらからどうぞ！  http://youtu.be/Z-BAYWXV9OY    WEB限定オフショット企画「森崎ウィンの"あるある"毒の人!」8　動画を公開しました！こちらからどうぞ！  http://youtu.be/uVETFCWFmd0  番組の内容と放送時間は変更になる場合があります。</t>
  </si>
  <si>
    <t>番組名月曜ミステリーシアター「名もなき毒」　第9話</t>
  </si>
  <si>
    <t>意識を失い倒れた杉村（小泉孝太郎）ら広報室一同はなんとか一命をとりとめる。だが原田いずみ（江口のりこ）の暴走は止まらない。一方で、古屋暁子（真矢みき）の父が死んだ事件はあらたな展開を見せる。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古屋暁子…真矢みき  杉村菜穂子…国仲涼子    古屋美知香…杉咲花  秋山省吾…平山浩行  原田いずみ…江口のりこ  椎名遥…岡本玲  加西新…森崎ウィン  五味淵まゆみ…中西美帆    水田（睡蓮マスター）…本田博太郎  奈良和子…烏丸せつこ   松井刑事…近江谷太朗  外立研治…君嶋麻耶    手島雄一郎…ムロツヨシ  原田克也…前田吟  園田瑛子…室井滋主演の小泉孝太郎さんがレギュラー出演する「人間観察バラエティ モニタリング！」は、毎週木曜よる7時55分から放送！「名もなき毒」とあわせて、ぜひご覧ください！原作…宮部みゆき  「誰か　Somebody」「名もなき毒」（文春文庫）  脚本…神山由美子  （『大奥』『美しい隣人』ほか）制作…那須田淳  チーフプロデューサー…橋本孝  プロデューサー…鈴木早苗　橘康仁  演出…塚原あゆ子■番組HP  http://www.tbs.co.jp/namonakidoku/    ■公式Twitter  @namonakidoku  https://twitter.com/namonakidoku  第8話見逃しダイジェスト＆第9話予告動画を公開しました！こちらからどうぞ！  http://youtu.be/N8-z5VzvH24  WEB限定オフショット企画「森崎ウィンの"あるある"毒の人!」9　動画を公開しました！こちらからどうぞ！  http://youtu.be/0sh7ZUXdVu0  アジア最終予選9/4～9/8まで生放送「4年に一度の世界一決定戦の出場権をかけ最終決戦」女子:日本,チャイニーズタイペイ、ベトナム、オーストラリア、タイ　男子:日本、カタール、ニュージーランド、韓国番組の内容と放送時間は変更になる場合があります。</t>
  </si>
  <si>
    <t>番組名月曜ミステリーシアター「名もなき毒」　第10話</t>
  </si>
  <si>
    <t>奈良和子（烏丸せつこ）が自殺したことで暁子（真矢みき）の嫌疑は晴れた。しかし娘の美知香とはうまくいかずに喧嘩してしまう。相談を受けた杉村（小泉孝太郎）は再び事件の真相を探るため、ある人物に会いに行く。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古屋暁子…真矢みき  杉村菜穂子…国仲涼子    古屋美知香…杉咲花  秋山省吾…平山浩行  原田いずみ…江口のりこ  椎名遥…岡本玲  加西新…森崎ウィン  五味淵まゆみ…中西美帆    水田（睡蓮マスター）…本田博太郎  奈良和子…烏丸せつこ   萩原弘…斎藤歩  松井刑事…近江谷太朗  外立研治…君嶋麻耶  古屋明俊…森次晃嗣手島雄一郎…ムロツヨシ  萩原社長…でんでん  園田瑛子…室井滋主演の小泉孝太郎さんがレギュラー出演する「人間観察バラエティ モニタリング！」は、毎週木曜よる7時55分から放送！「名もなき毒」とあわせて、ぜひご覧ください！原作…宮部みゆき  「誰か　Somebody」「名もなき毒」（文春文庫）  脚本…神山由美子  （『大奥』『美しい隣人』ほか）制作…那須田淳  チーフプロデューサー…橋本孝  プロデューサー…鈴木早苗　橘康仁  演出…竹村謙太郎■番組HP  http://www.tbs.co.jp/namonakidoku/    ■公式Twitter  @namonakidoku  https://twitter.com/namonakidoku  第9話(9/2)見逃しダイジェスト＆第10話(9/9)予告　動画公開しました！  http://youtu.be/TYssxfX8XBE  WEB限定オフショット企画「森崎ウィンの"あるある"毒の人!」10  http://youtu.be/eyIwoaIMOEk  番組の内容と放送時間は変更になる場合があります。</t>
  </si>
  <si>
    <t>番組名月曜ミステリーシアター「名もなき毒」　第11話</t>
  </si>
  <si>
    <t>杉村(小泉孝太郎）は秋山（平山浩行）と毒殺事件を自供した外立を警察に連れて行く。その時、菜穂子（国仲涼子）から原田（江口）が家で立てこもっていると連絡が入る？家族の危機に杉村は・・・!!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古屋暁子…真矢みき  杉村菜穂子…国仲涼子    古屋美知香…杉咲花  秋山省吾…平山浩行  原田いずみ…江口のりこ  椎名遥…岡本玲  加西新…森崎ウィン  五味淵まゆみ…中西美帆    水田（睡蓮マスター）…本田博太郎  奈良和子…烏丸せつこ  外立研治…君嶋麻耶  古屋明俊…森次晃嗣    手島雄一郎…ムロツヨシ  杉村正子…木野花  萩原社長…でんでん  園田瑛子…室井滋今多嘉親…平幹二朗主演の小泉孝太郎さんがレギュラー出演する「人間観察バラエティ モニタリング！」は、毎週木曜よる7時55分から放送！「名もなき毒」とあわせて、ぜひご覧ください！原作…宮部みゆき  「誰か　Somebody」「名もなき毒」（文春文庫）  脚本…神山由美子  （『大奥』『美しい隣人』ほか） 制作…那須田淳  チーフプロデューサー…橋本孝  プロデューサー…鈴木早苗　橘康仁  演出…金子文紀■番組HP  http://www.tbs.co.jp/namonakidoku/    ■公式Twitter  @namonakidoku  https://twitter.com/namonakidoku  ■遂に衝撃のラストへ！『名もなき毒』ダイジェスト＆最終話予告動画公開！  http://youtu.be/I8epf5AfqKU  ■「解毒」法を紹介！『名もなき毒』オフショット企画11  http://youtu.be/2udP25iOlvA  番組の内容と放送時間は変更になる場合があります。</t>
  </si>
  <si>
    <t>1307_TBS_木21</t>
  </si>
  <si>
    <t>ぴんとこな</t>
  </si>
  <si>
    <t>番組名木曜ドラマ9「ぴんとこな」第1話</t>
  </si>
  <si>
    <t>河村恭之助（玉森裕太）は歌舞伎の名門に生まれながら、ヤル気も実力もいまひとつ。父・世左衛門（岸谷五朗）にも認められず投げやりな日々を送っていた。ところがある日、歌舞伎が大好きな千葉あやめ（川島海荷）と出会ったことで世界は一変!!恭之助はたちまち恋に落ちる…！だがあやめには、既に思いを寄せる相手がいた。それは歌舞伎と無縁の家に生まれながら、実力で成り上がろうとする野心家の澤山一弥（中山優馬）で…!?河村 恭之助…玉森裕太（Kis-My-Ft2）  澤山 一弥…中山優馬   千葉 あやめ…川島海荷（9nine）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trax）▽HP  http://www.tbs.co.jp/pintokona/    ■「ぴんとこな」限定企画・川島海荷の「放送局」1  http://youtu.be/twyi6rujpcw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</si>
  <si>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番組名木曜ドラマ9「ぴんとこな」第2話【報われない思い・・・切ない三角関係】</t>
  </si>
  <si>
    <t>一弥（中山優馬）から打ち明けられたあやめ（川島海荷）への思い。二人が両思いと知り、恭之助（玉森裕太）はショック！そんな中、あやめが風邪で倒れてしまう!!必死に看病する恭之助。全ては、あやめの笑顔のために…。一方、一弥はあやめのアパートにー!!接近する二人を目の当たりにし、全てから逃げ出す恭之助。そして追い討ちをかけるかのような、父からの破門宣告!!御曹司、人生最大のピンチ!!Kis-My-Ft2の玉森裕太が必死の猛稽古を積み、400年もの伝統を誇る歌舞伎の舞台に挑む！！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  WEB限定オフショット企画「川島海荷の放送局」2動画を公開しました！こちらからどうぞ！  http://youtu.be/xz4Mero-g1U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</si>
  <si>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番組名木曜ドラマ9「ぴんとこな」第3話【引き裂かれた、一途な恋…】</t>
  </si>
  <si>
    <t>歌舞伎への情熱を取り戻した恭之助（玉森裕太）。しかし一弥（中山優馬）とあやめ（川島海荷）がデートすることを知り、心が揺れる。そのため一弥と踊りの息が合わず松吉（高嶋政宏）の怒りをかって公演は中止に!!初めての水族館デートを楽しみにするあやめだったが、あやめと一弥の関係に気付いた優奈は自ら手を傷つけ一弥を呼び戻すー！失意のあやめを励ますため、恭之助は水族館の案内役を買って出る。恋する気持ちを隠して…Kis-My-Ft2の玉森裕太が必死の猛稽古を積み、400年もの伝統を誇る歌舞伎の舞台に挑む！！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  ゲスト…柳沢慎吾（友情出演）『キミとのキセキ』Kis-My-Ft2  （avex trax）■番組HP  http://www.tbs.co.jp/pintokona/  大好評!WEB限定オフショット企画「川島海荷の放送局」3  http://youtu.be/eSGfYeWwicI  「世界陸上モスクワ」8月10日開幕！世界最高峰の陸上競技大会がこの夏再び。初日いきなり女子マラソン・野口みずき復活なるか＆男子100m・世界最速ボルト登場。2013年夏、人類が再び進化してしまう！20時より放送の「ボクシング亀田和毅　WBO世界バンタム級タイトルマッチ」の試合状況により、放送時間が変更になる場合があります。</t>
  </si>
  <si>
    <t>番組名木曜ドラマ9「ぴんとこな」第4話【最高の告白！もう絶対、離さない！】</t>
  </si>
  <si>
    <t>10年に渡って積み重ねた努力むなしく、舞台上で恭之助の“華”に圧倒された一弥。「一番の歌舞伎役者になる」という約束が重圧となり、あやめに別れを告げる…一方海の泊まり合宿で、恋の妄想が膨らむ恭之助は、彼にしかできない、恋愛ドラマ史上類を見ない最高の告白を!?しかし一弥は、完二郎の一風変わった励ましで、あやめへの愛情を取り戻し、思いをこめてキスをする。しかしそこには、嫉妬に燃える婚約者・優奈の姿が!!Kis-My-Ft2の玉森裕太が必死の猛稽古を積み、400年もの伝統を誇る歌舞伎の舞台に挑む！！河村 恭之助…玉森裕太  澤山 一弥…中山優馬   千葉 あやめ…川島海荷  澤山 梢平…松村北斗（ジャニーズJr.）  坂本 春彦…ジェシー（ジャニーズJr.）  澤山 優奈…吉倉あおい  三島 千晶…草刈麻有  ヤス…清水 優    ○  佐賀田 完二郎…山本耕史    ○澤山 多佳子…前田典子  澤山 咲五郎…榎木孝明  三田 シズ…江波杏子  河村 世左衛門…岸谷五朗『キミとのキセキ』Kis-My-Ft2  （avex trax）■番組HP  http://www.tbs.co.jp/pintokona/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</si>
  <si>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番組名木曜ドラマ9「ぴんとこな」第5話－恋も希望も…全てに終わりが訪れる！！</t>
  </si>
  <si>
    <t>一弥が二股をかけていることを知った恭之助。あやめのために、二人を引き離すしかない！と奮闘するが、二人の仲は近づくばかり…遂に一弥はあやめに「一緒に暮らさないか？」と告げる！そこへ狙いすましたように梢平が現れ、決定的な一言を放つ！否定できない一弥に、愕然とするあやめ。悲しみにくれる彼女に寄り添う恭之助。10年の恋を捨ててまで手に入れた舞台で、一弥を待っていたのは…予想もできない“絶望”の涙だったーKis-My-Ft2の玉森裕太が必死の猛稽古を積み、400年もの伝統を誇る歌舞伎の舞台に挑む！！河村 恭之助…玉森裕太  澤山 一弥…中山優馬   千葉 あやめ…川島海荷  澤山 梢平…松村北斗（ジャニーズJr.）  坂本 春彦…ジェシー（ジャニーズJr.）  澤山 優奈…吉倉あおい  三島 千晶…草刈麻有  ヤス…清水 優    ○  佐賀田 完二郎…山本耕史    ○澤山 多佳子…前田典子  澤山 咲五郎…榎木孝明  三田 シズ…江波杏子  河村 世左衛門…岸谷五朗『キミとのキセキ』Kis-My-Ft2  （avex trax）■番組HP  http://www.tbs.co.jp/pintokona/木曜よる9時『ぴんとこな』大好評!WEB限定オフショット企画「川島海荷の放送局」5   http://youtu.be/mX6jJdQ7zic  「世界陸上モスクワ」陸上競技世界最高峰の戦い、8月18日(日)まで連日放送中。   人類が再び進化する瞬間を目撃せよ。  番組HP　http://www.tbs.co.jp/seriku/番組の内容と放送時間は変更になる場合があります。</t>
  </si>
  <si>
    <t>番組名木曜ドラマ9「ぴんとこな」第6話【最後の舞台…絶望の中で生まれる絆】</t>
  </si>
  <si>
    <t>舞台で号泣するという失態をおかし、姿を消した一弥。再び歌舞伎に挑ませるため必死に奔走する恭之助だったが、彼の決意は固く…完二郎の粋な計らいで、最後にもう一度だけ舞台に上がる決意をするも、梢平のどす黒い企みに操られた優奈に学校へ呼び出された一弥は、本番直前、倉庫に閉じ込められる！時間は刻々と迫り、劇場ではまんまと一弥の代役として梢平が準備を始める…そして遂に開演の時が！一弥の未来が今、閉ざされるー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http://www.tbs.co.jp/pintokona/『ぴんとこな』大好評!WEB限定オフショット企画「川島海荷の放送局」6  http://youtu.be/FVlWZ4UcuOo  番組の内容と放送時間は変更になる場合があります。</t>
  </si>
  <si>
    <t>番組名木曜ドラマ9「ぴんとこな」第7話【告白！急接近の二人に嫉妬のアリ地獄が迫る！】</t>
  </si>
  <si>
    <t>あやめとの急接近に成功する恭之助！日舞の家元の祝賀パーティーという豪華なイベントにあやめを誘い、ポイントアップを狙ったのだが…まさかの人物の登場で、衝撃の事件が！さらに、一弥のことを忘れようと必死で明るく振る舞うあやめを、優奈の残酷な“悪意”が次々と襲いーエスカレートする優奈の最終手段は何と『婚約発表』！？余りのみじめさに号泣するあやめ。その時、あやめのそばにいるのは一弥か、それとも恭之助かー？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http://www.tbs.co.jp/pintokona/今週はキモノでご案内！大好評WEB限定オフショット企画「川島海荷の放送局」7 動画を公開しました！こちらからどうぞ！  http://youtu.be/lgSa6lmcyfk  番組の内容と放送時間は変更になる場合があります。</t>
  </si>
  <si>
    <t>番組名木曜ドラマ9「ぴんとこな」第8話【恋のライバルは…オトナのオンナ！！】</t>
  </si>
  <si>
    <t>遂にあやめへの想いを伝えた恭之助。しかしパーティーで再会した初恋の相手・美月が、恭之助に急接近！  二人きりの部屋でまさかのキス！？  大阪での公演にも現れ「泊まっていくから」！？  動揺しまくる恭之助！  シズに頼まれ大阪を訪れたあやめには「あなたみたいな地味な子、本気で相手にするわけない」と痛烈な一言…果たして二人の恋の行方は！？河村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http://www.tbs.co.jp/pintokona/遂にプライベートルームへ！大好評WEB限定オフショット企画「川島海荷の放送局」8　動画を公開しました！こちらからどうぞ！  http://youtu.be/2IhSbighRRo  アジア最終予選9/4～9/8まで生放送「4年に一度の世界一決定戦の出場権をかけ最終決戦」女子:日本,チャイニーズタイペイ、ベトナム、オーストラリア、タイ　男子:日本、カタール、ニュージーランド、韓国※19時から放送の、「世界バレー　アジア最終予選女子」の試合状況により、放送時間が変更になる場合があります。※</t>
  </si>
  <si>
    <t>番組名木曜ドラマ9「ぴんとこな」第9話【ドキドキ同居生活から急転直下！どん底へ…】</t>
  </si>
  <si>
    <t>ついに一つ屋根の下！ウキウキの恭之助は、あやめに急接近！そんな中…突然あやめの父親が現れる。かつて借金から逃げ、あやめを置いて失踪した父・啓介。「恭之助とのゴシップ写真を撮らせれば金になる」と言う啓介。あやめは激しく拒絶するが…一儲けを企むスポーツ新聞社編集長・大川は「できないならヌード写真集を出そう」と言い出す。父の借金返済のため…そして何より恭之助を守るため…あやめが下した最後の決断とはー！？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  ■動画公開中  「川島海荷の放送局」9  http://youtu.be/AFKovL5cRAI  番組の内容と放送時間は変更になる場合があります。</t>
  </si>
  <si>
    <t>番組名木曜ドラマ9「ぴんとこな」最終話【運命の恋が、終わるー決意の別れ！】</t>
  </si>
  <si>
    <t>世左衛門は一刻を争う危機的な病状…恭之助は父への心配と思うように進まない稽古にいらだち、あやめとの間もギクシャクしてしまう。澤山の家を出された一弥は、世左衛門の見舞いに来た病院であやめと再会。しかしその瞬間を恭之助が目撃！一弥はあやめを水族館に誘って…ボタンの掛け違いが重なり、運命の恋は今、終わりを迎えようとしていたー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  『ぴんとこな』大好評WEB限定オフショット企画「川島海荷の放送局」10  http://youtu.be/NyeR9ERLv0g番組の内容と放送時間は変更になる場合があります。</t>
  </si>
  <si>
    <t>1307_TBS_金22</t>
  </si>
  <si>
    <t>番組名金曜ドラマ「なるようになるさ。」作：橋田壽賀子</t>
  </si>
  <si>
    <t>子どもがみんな巣立っていった普通の家。  家族の世話役から解き放たれた主婦が始めた「自宅レストラン」には、居場所を失い問題を抱えた縁もゆかりもない若者たちが集まって…。彼らを住み込みで働かせることを決意する妻。平穏な定年を過ごそうとしていた夫はあっという間に巻き込まれていきます。  2013年の今、最もリアルな「擬似家族」の物語。  長島大悟…舘ひろし  長島綾…浅野温子  内田陽子…志田未来  大竹昇…安田章大（関ジャニ∞）  中津恵理…紺野まひる  長島悟…池田努  長島至…水上剣星  長島健…小澤亮太  長島百合…早織  西木邦…泉ピン子橋田壽賀子主題歌：「バラッド」指田郁也  （ワーナーミュージック・ジャパン）企画編成：十二竜也  プロデューサー：荒井光明  演出：吉田秋生　酒井聖博☆番組HP  http://www.tbs.co.jp/naruyouninarusa/  ☆番組Twitter  https://twitter.com/narunaru_tbs脚本の橋田壽賀子さんが7月13日よる7時「ジョブチューン～アノ職業のヒミツぶっちゃけます！」に出演！番組では橋田さんの衝撃発言もあり！「ジョブチューン」を見て「なるようになるさ。」をもっと楽しもう！「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</si>
  <si>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恵理（紺野まひる）、陽子（志田未来）に続いて、綾（浅野温子）の姉・邦（泉ピン子）に連れられてレストランにやって来た大竹昇（安田章大）。  大悟（舘ひろし）は、昇にも巣立った息子の部屋を与える。  部屋に閉じこもって心を開こうとしない引きこもり青年・昇が、綾のレストランでどう変わっていくのか？  見守るそれぞれの変化も描きます。長島大悟…舘ひろし  長島綾…浅野温子  内田陽子…志田未来  大竹昇…安田章大  中津恵理…紺野まひる  長島健…小澤亮太  大竹茂…金田明夫  大竹元子…あめくみちこ  西木邦…泉ピン子橋田壽賀子主題歌：「バラッド」指田郁也  （ワーナーミュージック・ジャパン）企画編成：十二竜也  プロデューサー：荒井光明  演出：吉田秋生　酒井聖博☆番組HP  http://www.tbs.co.jp/naruyouninarusa/  ☆番組Twitter  https://twitter.com/narunaru_tbs1話見逃しスペシャルダイジェスト＆2話予告動画を公開しました！こちらからどうぞ！  http://youtu.be/RXTjsH1uNQ8「世界陸上モスクワ」8月10日開幕！世界最高峰の陸上競技大会がこの夏再び。初日いきなり女子マラソン＆男子100m。2013年夏、人類が再び進化してしまう！番組の内容と放送時間は変更になる場合があります。</t>
  </si>
  <si>
    <t>邦（泉ピン子）と二人きりで話した昇（安田章大）が、突然、店を出て行くと言い出す。  必死で引き止める綾（浅野温子）や陽子（志田未来）に昇が出した結論は？  一方、大悟（舘ひろし）は、ひとりぼっちでお店を覗いている男の子に遭遇。  果たして少年の正体は？長島大悟…舘ひろし  長島綾…浅野温子  内田陽子…志田未来  大竹昇…安田章大  中津恵理…紺野まひる  恵理の息子・誠…大西利空  小田由美子…黒坂真美  西木邦…泉ピン子橋田壽賀子主題歌：「バラッド」指田郁也  （ワーナーミュージック・ジャパン）企画編成：十二竜也  プロデューサー：荒井光明  演出：吉田秋生　酒井聖博☆番組HP  http://www.tbs.co.jp/naruyouninarusa/  ☆番組Twitter  @narunaru_tbs  https://twitter.com/narunaru_tbs  2話ダイジェスト＆3話予告の動画を公開しました！こちらからどうぞ  http://youtu.be/fclhA7nZY4s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</si>
  <si>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恵理（紺野まひる）の息子・誠（大西利空）も一緒に暮らすべきだと提案する大悟（舘ひろし）。  自分の身の上を語り出す恵理（紺野まひる）。  一緒に暮らすべきだと綾（浅野温子）も考えていた。  昇（安田章大）にはチラシのイラストを見た広告代理店の担当者からアプローチが…。  陽子（志田未来）には警察官が訪ねて来る。長島大悟…舘ひろし  長島綾…浅野温子  内田陽子…志田未来  大竹昇…安田章大（関ジャニ∞）  中津恵理…紺野まひる  恵理の息子・誠…大西利空  小田由美子…黒坂真美  警察官…宮下裕治  西木邦…泉ピン子作：橋田壽賀子  主題歌：「バラッド」指田郁也  （ワーナーミュージック・ジャパン）企画編成：十二竜也  プロデューサー：荒井光明  演出：吉田秋生　酒井聖博☆番組HP  http://www.tbs.co.jp/naruyouninarusa/  ☆番組Twitter  @narunaru_tbs  https://twitter.com/narunaru_tbs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</si>
  <si>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真実が明らかにされた陽子（志田未来）を見守る大悟（舘ひろし）たち。  大悟のいない時に訪ねてきた陽子の母親（有森也実）。  家に帰るようにさとす綾（浅野温子）。  続いて、保護司・村山（志賀廣太郎）が店を訪ねてくる。長島大悟…舘ひろし  長島綾…浅野温子  内田陽子…志田未来  大竹昇…安田章大  中津恵理…紺野まひる  恵理の息子・誠…大西利空  沢木克子…有森也実  保護司・村山…志賀廣太郎  西木邦…泉ピン子橋田壽賀子主題歌：「バラッド」指田郁也  （ワーナーミュージック・ジャパン）企画編成：十二竜也  プロデューサー：荒井光明  演出：吉田秋生　酒井聖博☆番組HP  http://www.tbs.co.jp/naruyouninarusa/  ☆番組Twitter  @narunaru_tbs  https://twitter.com/narunaru_tbs  ◆4話ダイジェスト&amp;5話予告公開中！  http://youtu.be/-J4kZVnGfHs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</si>
  <si>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母親と共に自宅へ帰った陽子（志田未来）。  店には、担当の保護司・村山（志賀廣太郎）や父親・耕造（野村宏伸）など、陽子を心配してやまない人々が訪ねて来る。対応する大悟（舘ひろし）と綾（浅野温子）。大悟は、昇（安田章大）には、仕事のチャンスを。誠（大西利空）には、勉強の機会を与える努力をする。長島大悟…舘ひろし  長島綾…浅野温子  内田陽子…志田未来  大竹昇…安田章大  中津恵理…紺野まひる  恵理の息子・誠…大西利空  沢木克子…有森也実  沢木耕造…野村宏伸  保護司・村山…志賀廣太郎橋田壽賀子主題歌：「バラッド」指田郁也  （ワーナーミュージック・ジャパン）企画編成：十二竜也  プロデューサー：荒井光明  演出：吉田秋生　酒井聖博☆番組HP  http://www.tbs.co.jp/naruyouninarusa/  ☆番組Twitter  @narunaru_tbs  https://twitter.com/narunaru_tbs  金曜22時『なるようになるさ。』第5話（8/9）ダイジェスト＆第6話（8/16）予告  http://youtu.be/HkXAGF5hBN4  「世界陸上モスクワ」陸上競技世界最高峰の戦い、8月18日(日)まで連日放送中。   人類が再び進化する瞬間を目撃せよ。  番組HP　http://www.tbs.co.jp/seriku/番組の内容と放送時間は変更になる場合があります。</t>
  </si>
  <si>
    <t>お店は綾（浅野温子）の努力のもと住み込みの3人に手当てをあげられるくらい軌道にのって来た。  一方、お節介ともとられかねない大悟の行動力は止まらない。  素直になりきれない陽子。  次に現れたのは小学生の子供だけでスパゲティを食べにくる兄妹・福（坂口湧久）と夢（奥田いろは）だった。  長島大悟…舘ひろし  長島綾…浅野温子  内田陽子…志田未来  大竹昇…安田章大  中津恵理…紺野まひる  恵理の息子・誠…大西利空  清原…山口翔悟  大木福…坂口湧久  大木夢…奥田いろは  西木邦…泉ピン子橋田壽賀子主題歌：「バラッド」指田郁也  （ワーナーミュージック・ジャパン）企画編成：十二竜也  プロデューサー：荒井光明  演出：吉田秋生　酒井聖博☆番組HP  http://www.tbs.co.jp/naruyouninarusa/  ☆番組Twitter  @narunaru_tbs  https://twitter.com/narunaru_tbs  金曜ドラマ『なるようになるさ。』第6話(8/16)見逃しダイジェスト&amp;第7話(8/23)予告動画を公開しました！こちらからどうぞ！  http://youtu.be/UuSOOcwPUd0  指田郁也「バラッド」『なるようになるさ。』主題歌8/15（木）赤坂サカスステージライブ  http://youtu.be/D83vCyRVndc  番組の内容と放送時間は変更になる場合があります。</t>
  </si>
  <si>
    <t>福（坂口湧久）と夢（奥田いろは）の母親・律子（雛形あきこ）は、大悟（舘ひろし）の子供たちへの好意を否定する。  綾（浅野温子）は、陽子（志田未来）の“高認”合格のため、息子たちの指導もお願いした家庭教師の佐竹（石井正則）を招く。  そんな中、大阪に住む長男・悟（池田努）から、嫁が入院したという電話が！長島大悟…舘ひろし  長島綾…浅野温子  内田陽子…志田未来  大竹昇…安田章大  中津恵理…紺野まひる  長島悟…池田努  大木律子…雛形あきこ  佐竹伸人…石井正則  恵理の息子・誠…大西利空  大木福…坂口湧久  大木夢…奥田いろは  西木邦…泉ピン子橋田壽賀子主題歌：「バラッド」指田郁也  （ワーナーミュージック・ジャパン）企画編成：十二竜也  プロデューサー：荒井光明  演出：吉田秋生　酒井聖博☆番組HP  http://www.tbs.co.jp/naruyouninarusa/  ☆番組Twitter  @narunaru_tbs  https://twitter.com/narunaru_tbs  第7話見逃しダイジェスト＆第8話予告動画を公開しました！こちらからどうぞ！  http://youtu.be/1yihyRFPMww  番組の内容と放送時間は変更になる場合があります。</t>
  </si>
  <si>
    <t>長男・悟（池田努）の子供たちの世話をするため大阪に向かった綾（浅野温子）は、言うことを聞かない孫たちに翻弄されっぱなし。  一方留守を預かる大悟（舘ひろし）は、実は料理が得意で、それなりに代理シェフ？生活をエンジョイしていたのだった。  陽子（志田未来）、昇（安田章大）もそれぞれ自分の目指す道を進み始める。長島大悟…舘ひろし  長島綾…浅野温子  内田陽子…志田未来  大竹昇…安田章大  中津恵理…紺野まひる  長島悟…池田努  佐竹伸人…石井正則  広告代理店・中山…デビット伊東  恵理の息子・誠…大西利空  大木福…坂口湧久  大木夢…奥田いろは  西木邦…泉ピン子橋田壽賀子主題歌：「バラッド」指田郁也  （ワーナーミュージック・ジャパン）企画編成：十二竜也  プロデューサー：荒井光明  演出：吉田秋生　酒井聖博☆番組HP  http://www.tbs.co.jp/naruyouninarusa/  ☆番組Twitter  @narunaru_tbs  https://twitter.com/narunaru_tbs  第8話(8/30)見逃しダイジェスト＆第9話(9/6)予告動画公開しました！  http://youtu.be/Zp-4n5aUNX0  アジア最終予選9/4～9/8まで生放送「4年に一度の世界一決定戦の出場権をかけ最終決戦」女子:日本,チャイニーズタイペイ、ベトナム、オーストラリア、タイ　男子:日本、カタール、ニュージーランド、韓国番組の内容と放送時間は変更になる場合があります。</t>
  </si>
  <si>
    <t>番組名金曜ドラマ「なるようになるさ。」作：橋田壽賀子　第10話</t>
  </si>
  <si>
    <t>昇（安田章大）のイラストが新聞広告一面に採用されることに。  当然、今は居場所を告げていない父・茂（金田明夫）や母・元子（あめくみちこ）の目にも触れることになる。  見守り応援する大悟（舘ひろし）と綾（浅野温子）たち。  昇のもとへ邦（泉ピン子）が連れて来たのは？長島大悟…舘ひろし  長島綾…浅野温子  内田陽子…志田未来  大竹昇…安田章大  中津恵理…紺野まひる  長島健…小澤亮太  大竹茂…金田明夫  大竹元子…あめくみちこ  佐竹伸人…石井正則  広告代理店・中山…デビット伊東  恵理の息子・誠…大西利空  大木福…坂口湧久  大木夢…奥田いろは  西木邦…泉ピン子作：橋田壽賀子主題歌：「バラッド」指田郁也  （ワーナーミュージック・ジャパン）企画編成：十二竜也  プロデューサー：荒井光明  演出：吉田秋生　酒井聖博　阿南昭宏☆番組HP  http://www.tbs.co.jp/naruyouninarusa/  ☆番組Twitter  @narunaru_tbs  https://twitter.com/narunaru_tbs  ☆第9話見逃しダイジェスト&amp;第10話予告動画  http://youtu.be/ChYqDkjtKx8  番組の内容と放送時間は変更になる場合があります。</t>
  </si>
  <si>
    <t>番組名金曜ドラマ「なるようになるさ。」作：橋田壽賀子　第11話</t>
  </si>
  <si>
    <t>店を出て行くと言い出した恵理を大悟は優しくさとす。  一方、昇の元には母に続き父・茂（金田明夫）が。  陽子（志田未来）の元には母・克子（有森也実）が現れる。  見守る大悟と綾の思いは交錯する。長島大悟…舘ひろし  長島綾…浅野温子  内田陽子…志田未来  大竹昇…安田章大  中津恵理…紺野まひる  大竹茂…金田明夫  大竹元子…あめくみちこ  沢木克子…有森也実  千葉正夫…岡田義徳  佐竹伸人…石井正則  広告代理店・中山…デビット伊東  恵理の息子・誠…大西利空  大木福…坂口湧久  大木夢…奥田いろは  西木邦…泉ピン子作：橋田壽賀子主題歌：「バラッド」指田郁也  （ワーナーミュージック・ジャパン）企画編成：十二竜也  プロデューサー：荒井光明  演出：吉田秋生　酒井聖博　阿南昭宏☆番組HP  http://www.tbs.co.jp/naruyouninarusa/  ☆番組Twitter  @narunaru_tbs  https://twitter.com/narunaru_tbs  『なるようになるさ。』第10話ダイジェスト＆最終話予告  http://youtu.be/KnfIeIrxsp8番組の内容と放送時間は変更になる場合があります。</t>
  </si>
  <si>
    <t>1307_TBS_日21</t>
  </si>
  <si>
    <t>半沢直樹</t>
  </si>
  <si>
    <t>番組名日曜劇場「半沢直樹」　第1話</t>
  </si>
  <si>
    <t>東京中央銀行、大阪西支店・融資課長の半沢直樹（堺雅人）は、半ば強引な浅野支店長の指示に従い、西大阪スチールから5億円の融資契約を取り付けた。しかも「無担保」で。しかし、表面上は優良企業に見えた同社は、陰で莫大な負債を抱えており、それを隠すための粉飾決算が発覚。融資からたった3カ月後、西大阪スチールはあっけなく倒産した。結果として半沢たちは5億円の融資を騙し取られてしまい……。半沢直樹…堺 雅人  半沢 花…上戸 彩  渡真利忍…及川光博  黒崎駿一…片岡愛之助  近藤直弼…滝藤賢一  半沢の父…笑福亭鶴瓶  中野渡謙…北大路欣也〈特別出演〉  大和田常務…香川照之中西英治…中島裕翔［Hey!Say!JUMP]  江島 浩…宮川一朗太  岸川慎吾…森田順平  垣内…須田邦裕  角田周…モロ師岡  小木曽…緋田康人  東田 満…宇梶剛士  藤沢未樹…壇蜜  竹下清彦…赤井英和  近藤由紀子…山崎直子  相模…石黒英雄  大塚…永岡佑  脇屋…岡あゆみ  浅野匡…石丸幹二【原作】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https://twitter.com/Hanzawa_Naokiスポット初公開！日曜劇場『半沢直樹』7月7日よる9時スタート・やられたら倍返し！型破りのバンカー登場！     http://youtu.be/N37TlJ74V28  ■半沢直樹  シーン公開スペシャル映像    http://youtu.be/FJNuXKNif3I  放送直前！初回2時間SPのみどころ！！7月7日21時『半沢直樹』スペシャルプロモーション映像    http://youtu.be/PcvUotEFd7Y  番組の内容と放送時間は変更になる場合があります。</t>
  </si>
  <si>
    <t>番組名日曜劇場「半沢直樹」　第2話</t>
  </si>
  <si>
    <t>半沢の勤める東京中央銀行は、西大阪スチールへの融資で5億円の不良債権を抱え込むことになり、半沢は自身の命運を賭けて融資金の回収に動く。そんな中、残された資料から同社の倒産が「計画倒産」であった疑いが浮上。  　半沢は西大阪スチール倒産の影響で連鎖倒産を余儀なくされた竹下金属の社長、竹下清彦（赤井英和）に協力を仰ぎ、苦労の末、ついに東田社長（宇梶剛士）が海外に所有している時価5千万円の別荘の存在を突き止める。半沢直樹…堺雅人  半沢花…上戸彩  渡真利忍…及川光博  黒崎駿一…片岡愛之助  近藤直弼…滝藤賢一  近藤由紀子…山崎直子    ●  中西英治…中島裕翔（Hey! Say! JUMP）  江島浩…宮川一朗太  岸川慎吾…森田順平  小木曽…緋田康人  東田満…宇梶剛士  未樹みき…壇蜜  竹下清彦…赤井英和  浅野匡…石丸幹二  ●半沢慎之助…笑福亭鶴瓶  ●  中野渡頭取…北大路欣也（特別出演）  大和田常務…香川照之  【原作】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https://twitter.com/Hanzawa_Naokiスペシャル見逃しダイジェスト1話『半沢直樹』&amp;2話予告動画公開中！  http://youtu.be/7ZDBNs1lM50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</si>
  <si>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番組名日曜劇場「半沢直樹」　第3話</t>
  </si>
  <si>
    <t>西大阪スチールへの融資で焦げ付いた5億円もの金額を、全額回収すべく奔走する半沢（堺雅人）だが、東田（宇梶剛士）が海外に所有する5千万円の別荘は差し押さえ寸前で国税局の黒崎（片岡愛之助）に横取りされる結果となってしまった。  そんな半沢を次に待ち受けていたのは、裁量臨店（さいりょうりんてん）と呼ばれる本部からの内部検査。しかしその検査は、融資事故の全責任を半沢に押し付けようとする浅野支店長（石丸幹二）が意図的に仕組んだもので、浅野の息のかかった人事部の小木曽（緋田康人）を中心としたメンバーで構成されていた…。半沢直樹…堺雅人  半沢花…上戸彩  渡真利忍…及川光博  黒崎駿一…片岡愛之助  近藤直弼…滝藤賢一  近藤由紀子…山崎直子    ●  中西英治…中島裕翔（Hey! Say! JUMP）  江島浩…宮川一朗太  岸川慎吾…森田順平  小木曽…緋田康人  東田満…宇梶剛士  未樹みき…壇蜜  竹下清彦…赤井英和  浅野匡…石丸幹二【原作】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@Hanzawa_Naoki  https://twitter.com/Hanzawa_Naoki    第2話見逃しダイジェスト&amp;第3話予告動画を公開しました！こちらからどうぞ！  http://youtu.be/lbzANs_5e9c「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</si>
  <si>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番組名日曜劇場「半沢直樹」　第4話</t>
  </si>
  <si>
    <t>融資事故の情報をマスコミにリークすることと引き換えに、ついに東田（宇梶剛士）の潜伏先を突き止めた半沢（堺雅人）。しかし、その場所に張り込んだ竹下（赤井英和）が送ってきた写真に、東田と一緒に写っていたのは何と浅野支店長（石丸幹二）だった。調べると、東田と浅野支店長にはお互いを結び付ける過去があることが判明。そこで半沢は、浅野が東田から何らかの見返りを得ていないか、その証拠を探し始めることに。半沢直樹…堺雅人  半沢花…上戸彩  渡真利忍…及川光博  黒崎駿一…片岡愛之助  近藤直弼…滝藤賢一  近藤由紀子…山崎直子  　●  江島浩…宮川一朗太  岸川慎吾…森田順平  小木曽…緋田康人  東田満…宇梶剛士  未樹…壇蜜  竹下清彦…赤井英和  浅野匡…石丸幹二  　●  半沢慎之助…笑福亭鶴瓶  　●  中野渡頭取…北大路欣也（特別出演）  大和田常務…香川照之【原作】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@Hanzawa_Naoki  https://twitter.com/Hanzawa_Naoki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</si>
  <si>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番組名日曜劇場「半沢直樹」　第5話</t>
  </si>
  <si>
    <t>国税局に寝返った未樹（壇蜜）は黒崎（片岡愛之助）と取引をし、東田が自らに貢いだ店の開店資金の摘発を見逃してもらう代わりに、捜査への協力を約束する。実際に捜査が入ると、未樹は東田から渡された印鑑や通帳を持ってベランダから逃走。その後向かったのは、東田から指示された潜伏先ではなく、近くで待機していた黒崎のもとであった。一部始終を近くで見ていた竹下（赤井英和）は、「万事休すだ。」と半沢（堺雅人）に伝えるその直前半沢は、支店内の部下も同席する会議で浅野（石丸幹二）から実質的な出向の内示を言い渡されたばかりだった。出向が決定的になるなかで、それでも半沢は最後の抵抗を試みる。そして最後に半沢は驚きの行動を取ることに…。半沢直樹…堺雅人  半沢花…上戸彩  渡真利忍…及川光博  黒崎駿一…片岡愛之助  近藤直弼…滝藤賢一  近藤由紀子…山崎直子    ●  江島浩…宮川一朗太  岸川慎吾…森田順平  小木曽…緋田康人  東田満…宇梶剛士  未樹みき…壇蜜  竹下清彦…赤井英和  浅野匡…石丸幹二  ●  半沢慎之助…笑福亭鶴瓶  ●  中野渡頭取…北大路欣也（特別出演）  大和田常務…香川照之【原作】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@Hanzawa_Naoki  https://twitter.com/Hanzawa_Naoki  倍返しなるか！？日曜劇場『半沢直樹』第4話（8/4）見逃しダイジェスト＆第5話（8/11）予告    http://youtu.be/ywiX8_qkAHE  「世界陸上モスクワ」陸上競技世界最高峰の戦い、8月18日(日)まで連日放送中。   人類が再び進化する瞬間を目撃せよ。  番組HP　http://www.tbs.co.jp/seriku/  番組の内容と放送時間は変更になる場合があります。</t>
  </si>
  <si>
    <t>番組名日曜劇場「半沢直樹」　第6話(25分枠拡大SP)</t>
  </si>
  <si>
    <t>半沢（堺雅人）が東京中央銀行本部の営業第二部次長に栄転し、既に1年が経とうとしていたある日、部長の内藤（吉田鋼太郎）に呼び出され、突如大きな仕事を背負わせれることになる。それは、老舗ホテルである伊勢島ホテルの経営再建と、近く金融庁が東京中央銀行に対して行う「金融庁検査」への対応だった。  伊勢島ホテルは長く業績が低迷し、東京中央銀行が200億円もの融資をしたばかりであったが、その直後、資金の運用失敗で120億もの損失が出ることが明るみになったばかりであった。  大阪で回収不能と思われた5億の不良債権を回収した半沢だが、120億となると次元が違う。「自分には無理だ」と言う半沢だが…。半沢直樹…堺雅人  半沢花…上戸彩  渡真利忍…及川光博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@Hanzawa_Naoki  https://twitter.com/Hanzawa_Naoki  倍返しなるか!?日曜劇場『半沢直樹』第5話(8/11)見逃しダイジェスト&amp;第6話(8/25)予告  http://youtu.be/BBXz_hE45XM  番組の内容と放送時間は変更になる場合があります。</t>
  </si>
  <si>
    <t>番組名日曜劇場「半沢直樹」　第7話</t>
  </si>
  <si>
    <t>金融庁検査への対応と伊勢島ホテルの経営再建という、2つの大きな課題を突きつけられた半沢（堺雅人）。  金融庁検査を先頭で率いるのは、何と大阪西支店へ国税局査察部統括官として査察に入り、半沢と凌ぎを削った黒崎（片岡愛之助）であった。  黒崎は国税局から金融庁に戻り、東京中央銀行に対する検査の主任検査官として任命されたのである。 半沢は、伊勢島ホテルが200億円の融資を得るために、資金運用による損失の事実を隠ぺいする工作を行ったことを突き止め、その黒幕を探し始める…。半沢直樹…堺雅人  半沢花…上戸彩  渡真利忍…及川光博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@Hanzawa_Naoki  https://twitter.com/Hanzawa_Naoki  『半沢直樹』6話ダイジェスト&amp;7話予告　動画公開しました！  http://youtu.be/N8-z5VzvH24  アジア最終予選9/4～9/8まで生放送「4年に一度の世界一決定戦の出場権をかけ最終決戦」女子:日本,チャイニーズタイペイ、ベトナム、オーストラリア、タイ　男子:日本、カタール、ニュージーランド、韓国番組の内容と放送時間は変更になる場合があります。</t>
  </si>
  <si>
    <t>番組名日曜劇場「半沢直樹」　第8話</t>
  </si>
  <si>
    <t>金融庁検査を乗り切るため、伊勢島ホテル社長の湯浅（駿河太郎）を説得し、自身の父である会長の更迭と資産の売却を実現させた半沢（堺雅人）。これで伊勢島ホテルが出した120億円にも及ぶ運用損失の穴埋めが実現し、不良融資先として分類されるのを回避出来たかに思えた。しかし金融庁検査の最中に、再建の柱ともなるITシステムを構築中の外注先、「ナルセン」が破綻するとの情報が黒崎（片岡愛之助）からもたらされた。ナルセンが破綻すると、これまで費やしてきた110億円以上もの投資が損失となってしまい、伊勢島ホテルは再び窮地に追い込まれる…。半沢直樹…堺雅人  半沢花…上戸彩  渡真利忍…及川光博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@Hanzawa_Naoki  https://twitter.com/Hanzawa_Naoki  第7話見逃しダイジェスト&amp;第8話予告  http://youtu.be/AFiwO0KEuxw  ※19時から放送の、「世界バレー　アジア最終予選男子」の試合状況により、放送時間が変更になる場合があります。※</t>
  </si>
  <si>
    <t>番組名日曜劇場「半沢直樹」　第9話</t>
  </si>
  <si>
    <t>近藤（滝藤賢一）が知ることになったタミヤ電機を舞台にした迂回融資事件。タミヤ電機を隠れ蓑にし、3千万円もの融資を受けていたのは、何と大和田常務（香川照之）の妻、棚橋貴子（相築あきこ）が経営する会社だった。半沢（堺雅人）は大和田を追い詰めるため、田宮社長（前川泰之）の証言を取るよう、近藤に依頼をする。一方の金融庁検査。2日後に迫った最終聞き取り調査を前に、半沢は驚きの秘策を用意し、湯浅社長（駿河太郎）の説得を試みることに…。半沢直樹…堺雅人  半沢花…上戸彩  渡真利忍…及川光博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@Hanzawa_Naoki  https://twitter.com/Hanzawa_Naoki  ☆第8話見逃しダイジェスト&amp;第9話予告動画  http://youtu.be/NampERXLUmc  番組の内容と放送時間は変更になる場合があります。</t>
  </si>
  <si>
    <t>番組名日曜劇場「半沢直樹」　最終回スペシャル（25分拡大)</t>
  </si>
  <si>
    <t>近藤（滝藤賢一）は大和田常務（香川照之）から提案された取引に応じ、出向から銀行に戻ることと引き換えに、手に入れた田宮社長（前川泰之）の証言を表に出さないという決断をした。  　その結果、半沢（堺雅人）が大和田を追い詰めるため取締役会に提出する予定であった資料は、不正の事実を決定的にする重要な証拠がない不完全なものとなってしまう。そんな中、渡真利（及川光博）は人事部の後輩からの極秘情報によって、近藤が銀行の広報部に戻って来るとの情報を掴む。半沢直樹…堺雅人  半沢花…上戸彩  渡真利忍…及川光博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@Hanzawa_Naoki  https://twitter.com/Hanzawa_Naoki  ☆『半沢直樹』9話ダイジェスト&amp;10話予告動画公開中！  http://youtu.be/qjMLjwM3f6E  ☆名場面を一挙公開! 第1～第9話スペシャルスライドショー  http://youtu.be/S9klbJgwlmI番組の内容と放送時間は変更になる場合があります。</t>
  </si>
  <si>
    <t>1304_TBS_月20</t>
  </si>
  <si>
    <t>確証</t>
  </si>
  <si>
    <t>番組名月曜ミステリーシアター「確証～警視庁捜査3課」第1話</t>
  </si>
  <si>
    <t>警視庁捜査3課に配属された武田秋穂（榮倉奈々）の出勤初日、渋谷の宝飾店で強盗事件が発生。もともと捜査1課志望の武田は気がはやるが、強盗事件は捜査1課の仕事と猪野係長（山本龍二）から釘を刺される。しかし、こっそり職場を抜け出し事件現場へと向かうと、野次馬の中に眼光鋭い一人の男がいることに気づく。その男こそ武田の上司となる萩尾秀一（高橋克実）だった。萩尾は捜査3課一筋のベテラン刑事。武田は萩尾の相棒となり、盗犯刑事としてのイロハを教え込まれることになる。  その後、六本木の宝石店で金庫破りがあり、萩尾は「確証がない」と言いつつも、ある金庫破りに会いに行く・・・。萩尾秀一…高橋克実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六郷美由紀…吉田羊  六郷文也…ベンガル  本多稔…宮川一朗太  狩場摂夫…下條アトム  ほか「Message」家入レオ（ビクターエンタテインメント）原作…今野敏「確証」（双葉社）  脚本…森下直制作　那須田淳  チーフプロデューサー　橋本孝  プロデューサー　倉貫健二郎、加藤章一、齊藤彩奈吉田健確証初スポット公開中です！  http://youtu.be/a-7kY6myfRM    『確証～警視庁捜査3課』限定スペシャル映像  http://youtu.be/vaM4MOqX9go  ☆番組HP  http://www.tbs.co.jp/sousa3/  ☆Twitter  https://twitter.com/kakusho_tbs  TBS  ドリマックス・テレビジョン  番組の内容と放送時間は変更になる場合があります。</t>
  </si>
  <si>
    <t>番組名月曜ミステリーシアター「確証～警視庁捜査3課」第2話</t>
  </si>
  <si>
    <t>解決編。「クライダー家の三姉妹」と呼ばれる由緒ある3つのダイヤが立て続けに盗まれ、そのうちの一件では殺人まで起こった。連続強盗殺人事件として捜査本部が立ち上がり、3件目の強盗殺人の現場で「金庫と死体が余計だ」とつぶやいた萩尾（高橋克実）も秋穂（榮倉奈々）とともに召集される。会議では捜査1課の刑事・菅井（設楽統）と激しく対立する萩尾。しかし、田端1課長（角野卓造）に一任され、萩尾と秋穂は金庫破りのテツこと迫田の身辺捜査に乗り出す。萩尾と秋穂は迫田が昔、町工場を経営していた時の従業員・本多（宮川一朗太）に話を聞きに行く。そんな最中、迫田は尾行していた刑事の拳銃を奪おうとし、任意同行されてしまう…。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六郷美由紀…吉田羊  六郷文也…ベンガル  本多稔…宮川一朗太  狩場摂夫…下條アトム  ほか「Message」家入レオ（ビクターエンタテインメント）原作…今野敏「確証」（双葉社）  脚本…森下直制作　那須田淳  チーフプロデューサー　橋本孝  プロデューサー　倉貫健二郎、加藤章一、齊藤彩奈吉田健☆番組HP  http://www.tbs.co.jp/sousa3/  ☆Twitter  https://twitter.com/kakusho_tbs  第1話ダイジェスト&amp;第2話予告動画公開中！  http://youtu.be/M4O_ABnmVdc        『確証～警視庁捜査3課』WEB限定企画動画を公開しました！こちらからどうぞ！  http://youtu.be/HX2qYiqQUrU  http://youtu.be/PqTu55OI328      TBS  ドリマックス・テレビジョン番組の内容と放送時間は変更になる場合があります。</t>
  </si>
  <si>
    <t>番組名月曜ミステリーシアター「確証～警視庁捜査3課」第3話</t>
  </si>
  <si>
    <t>秋穂（榮倉奈々）が警視庁捜査3課に配属になって早2週間。3課一筋21年の萩尾（高橋克実）は、同じ手口の窃盗事件が頻発していた為、秋穂とともに捜査本部を立ち上げる。そんな中、あるレストランオーナーが死体で発見される。彼がいたのは鍵のかかったワインセラーの中であり、さらに発見時には自宅も施錠されていたため、「二重の密室」だった…。その家は萩尾が窃盗事件の捜査の際に気にしていた家であったが、オーナーの妻は盗まれた物はないと偽証。さらには萩尾が追っていた金ヶ谷（忍成修吾）がワインセラーの鍵を開けられるとの理由から、1課に逮捕されてしまう。しかし窃盗犯は殺しはしないと萩尾と菅井（設楽統）は対立する…。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金ヶ谷雅人…忍成修吾  真田喜代…草村礼子  ほか「Message」家入レオ（ビクターエンタテインメント）原作…今野敏「確証」（双葉社）  脚本…武田有起制作　那須田淳  チーフプロデューサー　橋本孝  プロデューサー　倉貫健二郎、加藤章一、齊藤彩奈竹村謙太郎☆番組HP  http://www.tbs.co.jp/sousa3/  ☆Twitter  https://twitter.com/kakusho_tbs  ■第2話ダイジェスト&amp;次回予告  http://youtu.be/BiquymrmxEA  ■WEB限定企画「今週もひとつよろぴく」  http://youtu.be/9CmAbh01qu0  製作著作：TBS  制作協力：ドリマックス・テレビジョン番組の内容と放送時間は変更になる場合があります。</t>
  </si>
  <si>
    <t>番組名月曜ミステリーシアター「確証～警視庁捜査3課」第4話</t>
  </si>
  <si>
    <t>立て続けに起きた事務所荒らし。人の頭分のスペースから屋内へ侵入、経路には何かが這って移動した痕跡と、微かなファンデーションの付着があった。その手口を見た萩尾（高橋克実）は「黒蛇」という二つ名のついた女泥棒を思い出していた。彼女は3年前に100件以上の飲食店を荒らし、捜査本部が立った途端に姿を消していた。当時被害に遭った飲食店を再捜査中の秋穂（榮倉奈々）の言葉をきっかけに、工藤鏡子（青山倫子）というライターの存在が浮上。3年前にバツイチのシェフ・工藤翔太（津田寛治）と結婚し、現在は専業主婦。夫婦関係はおろか、翔太の連れ子・優馬との仲もうまくいっておらず、しかも優馬は不登校になっていた…。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工藤鏡子…青山倫子  工藤翔太…津田寛治  ほか「Message」家入レオ（ビクターエンタテインメント）原作…今野敏「確証」（双葉社）  脚本…森下直制作　那須田淳  チーフプロデューサー　橋本孝  プロデューサー　倉貫健二郎、加藤章一、齊藤彩奈吉田健☆番組HP  http://www.tbs.co.jp/sousa3/  ☆Twitter  https://twitter.com/kakusho_tbs  TBS  ドリマックス・テレビジョン  番組の内容と放送時間は変更になる場合があります。</t>
  </si>
  <si>
    <t>番組名月曜ミステリーシアター「確証～警視庁捜査3課」第5話</t>
  </si>
  <si>
    <t>現金輸送車を襲った強盗犯が閑静な住宅街に逃げ込み、人質を取って民家に立てこもった。3課のヤマではないとニュースを見ていた萩尾（高橋克実）だが、気になる事があり1課に報告。田端1課長（角野卓造）から現場に呼ばれる事に。事件に興味津々である相棒の秋穂（榮倉奈々）も同行する。現場は1課だけでなく、所轄署、SAT、SITと入り乱れ、どこが主導権を握るかで揉めていた。そんな中、萩尾は立てこもりの家にいるのは常習窃盗犯の安原（滝藤賢一）だと見抜くが・・・。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安原圭太…滝藤賢一  佐久間真…渡辺裕之  矢野昭正…山崎銀之丞  ほか「Message」家入レオ（ビクターエンタテインメント）原作…今野敏「確証」（双葉社）  脚本…松本美弥子制作　那須田淳  チーフプロデューサー　橋本孝  プロデューサー　倉貫健二郎、加藤章一、齊藤彩奈竹村謙太郎☆番組HP  http://www.tbs.co.jp/sousa3/  ☆Twitter  https://twitter.com/kakusho_tbs  ☆第4話ダイジェスト＆次回予告動画公開！  http://youtu.be/_QTvkr8XUeM  ☆WEB限定企画「今週もひとつよろぴく!」5  http://youtu.be/XAJEhjcTh5M  TBS  ドリマックス・テレビジョン  番組の内容と放送時間は変更になる場合があります。</t>
  </si>
  <si>
    <t>番組名月曜ミステリーシアター「確証～警視庁捜査3課」第6話</t>
  </si>
  <si>
    <t>現金輸送車を襲った強盗犯の立てこもり事件が発生。その家は家主の倉田も出かけており無人のはずだったが、離婚した倉田の娘・晴菜（熊田聖亜）がいることが判明し、SATの突入は急きょ中止となる。萩尾（高橋克実）の機転で、人質になっていた常習窃盗犯・安原圭太（滝藤賢一）とのやりとりの中で、晴菜がいることがまだ犯人にはバレていないことが分かる。しかし、晴菜は小児性の糖尿病を患っており、あと2時間以内に薬を打たないと生命の危機に陥ってしまうのだった・・・！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安原圭太…滝藤賢一  佐久間真…渡辺裕之  矢野昭正…山崎銀之丞  ほか「Message」家入レオ（ビクターエンタテインメント）原作…今野敏「確証」（双葉社）  脚本…松本美弥子制作　那須田淳  チーフプロデューサー　橋本孝  プロデューサー　倉貫健二郎、加藤章一、齊藤彩奈竹村謙太郎☆番組HP  http://www.tbs.co.jp/sousa3/  ☆Twitter  https://twitter.com/kakusho_tbs  ■確証6話予告  http://youtu.be/HJLwswWWRv4  ■「確証」限定企画6  http://youtu.be/C5fLS80Ra2Q  TBS  ドリマックス・テレビジョン  番組の内容と放送時間は変更になる場合があります。</t>
  </si>
  <si>
    <t>番組名月曜ミステリーシアター「確証～警視庁捜査3課」第7話</t>
  </si>
  <si>
    <t>寮仲間の美奈代（黒川智花）に誘われて人数合わせの合コンに出席する秋穂（榮倉奈々）だったが、その場に居合わせた窃盗犯を逮捕し、合コンは失敗に終わる。  後日、その合コン相手の1人である藤堂（戸次重幸）が萩尾（高橋克実）と秋穂を訪ねてくる。実は彼は東京地検特捜部の検事であり、萩尾と秋穂が追っている河合幹事長（小木茂光）の事務所で起きた窃盗事件にある疑惑を抱いていた。河合幹事長には2億の闇献金疑惑がありその家宅捜索直前に窃盗事件に遭遇。2億が盗まれたのではないかというのだ。窃盗犯を捕まえれば、強制捜査に踏み切れる。かくして、政治の闇に3課×特捜部が立ち向かうことになる！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藤堂隆之…戸次重幸  河合賢治…小木茂光  伊東和義…阪田マサノブ  篠原道夫…三又又三  ほか「Message」家入レオ（ビクターエンタテインメント）原作…今野敏「確証」（双葉社）  脚本…武田有起制作　那須田淳  チーフプロデューサー　橋本孝  プロデューサー　倉貫健二郎、加藤章一、齊藤彩奈北川雅一☆番組HP  http://www.tbs.co.jp/sousa3/  ☆Twitter  https://twitter.com/kakusho_tbs  TBS  ドリマックス・テレビジョン  第7話(5/27）予告   http://youtu.be/Go79A3V5yIU    WEB限定企画「今週もひとつよろぴく!」  http://youtu.be/TqFdnf0IG68  番組の内容と放送時間は変更になる場合があります。</t>
  </si>
  <si>
    <t>番組名月曜ミステリーシアター「確証～警視庁捜査3課」第8話</t>
  </si>
  <si>
    <t>萩尾（高橋克実）と秋穂（榮倉奈々）ら3課は入国管理局とともに、盗難車両を解体して海外に売りさばく闇ルートの拠点になっている“ヤード”への一斉摘発を行うことに。摘発時、ヤードを仕切っていた大久保（橋本じゅん）の逮捕には成功するが、大久保と一緒に逃げていた若い男（菊田大輔）が秋穂に追われる中、車道に飛び出し、車に轢かれてしまう。大久保は取り調べの中で、警察に男の身元が分かれば、闇ルートを白状すると言い萩尾はその賭けに乗ることにする。一方秋穂は重体となった若い男が運び込まれた病院から一歩も動かず、もう刑事を続ける事ができないと言い出す…。そこに萩尾の妻ゆりこ（中嶋朋子）が現れ、萩尾との過去を明かす…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大久保英輔…橋本じゅん  アルベルト…菊田大輔  ほか「Message」家入レオ（ビクターエンタテインメント）原作…今野敏「確証」（双葉社）  脚本…森下直制作　那須田淳  チーフプロデューサー　橋本孝  プロデューサー　倉貫健二郎、加藤章一、齊藤彩奈吉田健☆番組HP  http://www.tbs.co.jp/sousa3/  ☆Twitter  https://twitter.com/kakusho_tbs  ■確証6/3予告動画公開中！  http://youtu.be/RdA3Rth0bdA  WEB限定企画「今週もひとつよろぴく!」8 動画を公開しました！こちらからどうぞ！  http://youtu.be/2TIW2mJPT18  TBS  ドリマックス・テレビジョン  番組の内容と放送時間は変更になる場合があります。</t>
  </si>
  <si>
    <t>番組名月曜ミステリーシアター「確証～警視庁捜査3課」第9話</t>
  </si>
  <si>
    <t>3件連続して起きた窃盗事件。部屋の荒らし方は素人だが、金庫を開ける技術は玄人のもの…。現場を見た萩尾（高橋克実）は、自分の情報屋である鍵福こと福田大吉（泉谷しげる）が金庫を開けたのではないかと疑い、秋穂（榮倉奈々）とともに鍵福に会いに行く。そこで鍵福から実は余命1年だと告白され、2人は衝撃を受ける。数日後同じ窃盗団が警備員に怪我をさせ、ついに強盗犯になってしまう鍵福。捜査を続けるうち、鍵福は和也（金井勇太）という青年を不良グループから抜けさせたいと言っていたことが分かり、萩尾はその為に不良グループに協力しているのではないかと推測する。なんとかして犯行をやめさせたい秋穂に鍵福から電話がくるが…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下田和也…金井勇太  ほか「Message」家入レオ（ビクターエンタテインメント）原作…今野敏「確証」（双葉社）  脚本…武田有起制作　那須田淳  チーフプロデューサー　橋本孝  プロデューサー　倉貫健二郎、加藤章一、齊藤彩奈竹村謙太郎☆番組HP  http://www.tbs.co.jp/sousa3/  ☆Twitter  https://twitter.com/kakusho_tbs  鍵福（泉谷しげる）が現役復帰！？  予告動画を公開中！  http://youtu.be/vULNWmZK-fA  限定企画9動画公開中！  http://youtu.be/7ssxlad8pu0  TBS  ドリマックス・テレビジョン  番組の内容と放送時間は変更になる場合があります。</t>
  </si>
  <si>
    <t>番組名月曜ミステリーシアター「確証～警視庁捜査3課」第10話</t>
  </si>
  <si>
    <t>質屋巡りの最中、萩尾（高橋克実）と秋穂（榮倉奈々）は車上荒らしにあった内丸（小市漫太郎）と出会う。萩尾の指摘通りに窃盗犯の柳田（井戸田潤）はすぐに見つかるが、財布が見つからない。柳田は電車での移動中に女子高生に盗まれたに違いないと証言する。財布の中には現金以外に内丸が3年越しで開発したたんぱく質のデータが入っており、萩尾はそのスリの女子高生を捕まえる為に7係の槙原（菅原大吉）に協力を依頼する。そのスリの発生日に隣の車両で痴漢騒ぎがあり、捜査を進めていくと読者モデルの美晴（早見あかり）のグループに行き着く。萩尾は美晴のグループがスリをしているのではないかと疑うが、美晴は内丸の娘だった・・・。萩尾秀一…高橋克実  武田秋穂…榮倉奈々       菅井直隆…設楽統（バナナマン）  猪野勝也…山本龍二  小渕貴大…柳下大  友坂美奈代…黒川智花  牧村シズ…西尾まり  上村早苗…鷲尾真知子  苅田浩…松田悟志  桑名光…中村靖日       萩尾ゆり子…中嶋朋子  田端守雄…角野卓造    内丸博之…小市漫太郎  内丸美晴…早見あかり  槙原和重…菅原大吉  峰岸涼子…北川弘美  柳田泰司…井戸田潤  ほか「Message」家入レオ（ビクターエンタテインメント）原作…今野敏「確証」（双葉社）  脚本…松本美弥子制作　那須田淳  チーフプロデューサー　橋本孝  プロデューサー　倉貫健二郎、加藤章一、齊藤彩奈北川雅一☆番組HP  http://www.tbs.co.jp/sousa3/  ☆Twitter  https://twitter.com/kakusho_tbs  女子高生スリ集団が登場！？　動画を公開しました！  http://youtu.be/5BmkRkiWeIE  TBS  ドリマックス・テレビジョン  番組の内容と放送時間は変更になる場合があります。</t>
  </si>
  <si>
    <t>番組名月曜ミステリーシアター「確証～警視庁捜査3課」第11話</t>
  </si>
  <si>
    <t>萩尾（高橋克実）と秋穂（榮倉奈々）がゆりこ（中嶋朋子）の病室にやってくるが、彼女の姿がない。胸騒ぎを覚えた萩尾は院内を探すが、沢口いずみ（高橋ひとみ）という看護師がゆりこを連れ出したことが分かる。捜査を進めていくうちに、彼女は沢口いずみという人物ではなく、国際指名手配犯の百面相、またの名がファントムシャドウだと判明する。百面相はマフィアや大富豪から依頼を受け、顔や体を整形、指紋を移植し実在の人物になりすまし、国宝級の美術品を盗む大泥棒。しかし今まで誘拐をしたことはなく、金銭の要求も無い中、萩尾は自分への怨恨で「ゆりこが盗まれた」のではないかと考えるが、百面相との接点がなく、謎は深まるばかりで…萩尾秀一…高橋克実  武田秋穂…榮倉奈々       菅井直隆…設楽統（バナナマン）  猪野勝也…山本龍二  小渕貴大…柳下大  友坂美奈代…黒川智花  牧村シズ…西尾まり  上村早苗…鷲尾真知子  苅田浩…松田悟志  桑名光…中村靖日       萩尾ゆり子…中嶋朋子  田端守雄…角野卓造    沢口いずみ…高橋ひとみ  川端良助…宇梶剛士  ほか「Message」家入レオ（ビクターエンタテインメント）原作…今野敏「確証」（双葉社）  脚本…森下直制作　那須田淳  チーフプロデューサー　橋本孝  プロデューサー　倉貫健二郎、加藤章一、齊藤彩奈吉田健☆番組HP  http://www.tbs.co.jp/sousa3/  ☆Twitter  https://twitter.com/kakusho_tbs  確証・最終回予告動画公開！  http://youtu.be/3Vgd6-U4zvc  榮倉奈々登場「確証」限定企画・終  http://youtu.be/GA7fK-oNmZM  TBS  ドリマックス・テレビジョン  番組の内容と放送時間は変更になる場合があります。</t>
  </si>
  <si>
    <t>1304_TBS_木21</t>
  </si>
  <si>
    <t>潜入探偵トカゲ</t>
  </si>
  <si>
    <t>番組名木曜ドラマ9「潜入探偵トカゲ」第1話“子供の命を救え！豪華客船に潜入！”</t>
  </si>
  <si>
    <t>主人公・トカゲ（松田翔太）は、元刑事の探偵。冷酷で協調性皆無の嫌われ者だが、超人的な“映像記憶”能力と並外れた身体能力を持つ。潜入探偵として捜査に復帰したトカゲは、アニメのヒーローのような活躍で、数々の難事件を嵐のように解決していく。まさに新しいミステリー＆サスペンス!!  第一話の舞台は豪華客船！子供の臓器が売買されるという情報を元にトカゲが潜入捜査に入る。そこで彼が取った驚くべき行動とは…!?  トカゲ…松田翔太  寺島秀司…松岡昌宏  望月香里…蓮佛美沙子    ○  槙原洋子…ミムラ  槙原聖人…山本涼介  宮間隼人…君嶋麻耶  茂手木蒼太…君野夢真  織部道男…光石研    ○  山根憲二…吹越満  岸森幹雄…遠藤憲一    ○  柳田雅彦…伊東四朗    ＜ゲスト＞  村井俊夫…竹中直人  伊坂光市…鈴木一真  片山満…デビット伊東  徳永武士…榊英雄  池谷大樹…須田邦裕  柏原潤造…升毅脚本／橋本裕志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https://twitter.com/tanteitokage『潜入探偵トカゲ』シーン初公開  http://youtu.be/BltqAh5-wQM    『潜入探偵トカゲ』ネット限定スペシャル映像  http://youtu.be/8HFqV1tgDpY番組の内容と放送時間は変更になる場合があります。</t>
  </si>
  <si>
    <t>番組名木曜ドラマ9「潜入探偵トカゲ」第2話“過去からの復讐!?イジメに挑む!!”</t>
  </si>
  <si>
    <t>主人公・トカゲ（松田翔太）は、元警視庁捜査一課の刑事。協調性は皆無で他人に心を許さず、周囲からは煙たがられていたが、超人的な“映像記憶”能力と並外れた身体能力で数々の難事件を解決し、一目置かれていた。しかし、とある事件で致命的なミスをし、唯一の相棒を亡くしてしまう。自らは奇跡的に一命をとりとめたものの、責任をとって刑事を辞職。探偵事務所の調査員として働いていたが…。トカゲ…松田翔太  寺島秀司…松岡昌宏  望月香里…蓮佛美沙子    ○  槙原洋子…ミムラ  槙原聖人…山本涼介  宮間隼人…君嶋麻耶  茂手木蒼太…君野夢真  織部道男…光石研    ○  山根憲二…吹越満  岸森幹雄…遠藤憲一    ＜ゲスト＞  雨宮麻紀…西田尚美  三雲龍介…岩松了  二宮健吾…笠原秀幸  柳田雅彦…伊東四朗脚本／橋本裕志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t>
  </si>
  <si>
    <t>番組名木曜ドラマ9「潜入探偵トカゲ」第3話“豪華ファッションショーに潜入!!”</t>
  </si>
  <si>
    <t>主人公・トカゲ（松田翔太）は、警視庁捜査一課の密命を受け、助手の香里(蓮佛美沙子)と共に事件現場に潜入し、嵐のように事件を解決する私立探偵。  第三話は、人気モデル美月(大政絢)をボディガードすることになったトカゲ(松田翔太)。一方寺島(松岡昌宏)と洋子（ミムラ）は資産家殺人事件の容疑者として美月を追う。  果たして犯人は…!?トカゲ…松田翔太  寺島秀司…松岡昌宏  望月香里…蓮佛美沙子    ○  槙原洋子…ミムラ  槙原聖人…山本涼介  宮間隼人…君嶋麻耶  茂手木蒼太…君野夢真  織部道男…光石研    ○  山根憲二…吹越満  岸森幹雄…遠藤憲一  柳田雅彦…伊東四朗    ＜ゲスト＞  永田美月…大政絢  鈴木玲奈…伊藤かずえ  鮎川波瑠…垣内彩未  栗原類（本人役）  奈良警視総監…国広富之脚本／橋本裕志  音楽／木村秀彬  主題歌／SPYAIR「虹」  （ソニー・ミュージック アソシエイテッドレコーズ）  演出／石井康晴・坪井敏雄　ほか  プロデュース／佐野亜裕美『潜入探偵トカゲ』第3話　ネット限定スペシャル予告動画を公開しました！こちらからどうぞ！  http://youtu.be/OXa69ecjevE  ファンメッセージを送ってね！  公式HP  http://www.tbs.co.jp/tantei_tokag  拡散希望！  公式twitterアカウント  https://twitter.com/tanteitokage番組の内容と放送時間は変更になる場合があります。</t>
  </si>
  <si>
    <t>番組名木曜ドラマ9「潜入探偵トカゲ」第4話　“医療ミスを暴け!!vs天才外科医”</t>
  </si>
  <si>
    <t>主人公・トカゲ（松田翔太）はアニメのヒーローのような身体能力と映像記憶能力を持つ探偵。天才外科医・浜崎（北村有起哉）の隠した医療ミスを暴くため、研修医として病院に潜入するトカゲ。寺島（松岡昌宏）は、殺された記者の行動を追い、事件に近付いていく。  一方、香里（蓮佛美沙子）は、潜入先で思わぬ人物と遭遇し…!?  そしてなかなか証拠がつかめないトカゲがとった驚くべき行動とは!?  トカゲ…松田翔太  寺島秀司…松岡昌宏  望月香里…蓮佛美沙子    ○  槙原洋子…ミムラ  槙原聖人…山本涼介  宮間隼人…君嶋麻耶  茂手木蒼太…君野夢真  織部道男…光石研    ○  山根憲二…吹越満  岸森幹雄…遠藤憲一    ○  柳田雅彦…伊東四朗    ＜ゲスト＞  浜崎進次郎…北村有起哉  佐藤陽介…郭智博  沢村美沙…市川由衣脚本／橋本裕志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  番組の内容と放送時間は変更になる場合があります。</t>
  </si>
  <si>
    <t>番組名木曜ドラマ9「潜入探偵トカゲ」第5話“ホストクラブに潜入!!”</t>
  </si>
  <si>
    <t>振り込め詐欺グループの一員が次々と殺される事件が発生。詐欺の被害に遭った老人・徳次郎（品川徹）の調査を担当した寺島（松岡昌宏）と洋子（ミムラ）は、徳次郎が金を渡した知世（小出ミカ）が詐欺グループの中で、お金を受け取る“受け子”と呼ばれる一員であったことを知る。しかし知世もまた遺体で発見されていたのだった。  　ある日、寺島は殺された“受け子”の共通点が、六本木のホストクラブにある事を突き止める…。トカゲ…松田翔太  寺島秀司…松岡昌宏  望月香里…蓮佛美沙子    ○  槙原洋子…ミムラ  槙原聖人…山本涼介  宮間隼人…君嶋麻耶  茂手木蒼太…君野夢真  篠崎肇…田中哲司  織部道男…光石研    ○  山根憲二…吹越満  岸森幹雄…遠藤憲一    ○  柳田雅彦…伊東四朗    ＜ゲスト＞  須藤善樹…市川猿之助  曽根聖矢…徳山秀典  柴田徳次郎…品川徹脚本／橋本裕志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t>
  </si>
  <si>
    <t>番組名木曜ドラマ9「潜入探偵トカゲ」第6話“お受験幼稚園に潜入!!”</t>
  </si>
  <si>
    <t>お受験幼稚園に通う園児のママが毒殺された事件を解決するため、トカゲ（松田翔太）は幼稚園教諭として潜入する。  大原雅美（小島聖）を頂点とするママ友グループの裏の顔を知っていくトカゲ。グループの一員である清水沙耶（奥菜恵）と親しくなり、実情を探っていく…。  一方寺島は、二年前の事件に関わっている「クモ」について捜査をしていくうちに、トカゲが追っている事件との繋がりに気付き…!?トカゲ…松田翔太  寺島秀司…松岡昌宏  望月香里…蓮佛美沙子    ○  槙原洋子…ミムラ  槙原聖人…山本涼介  宮間隼人…君嶋麻耶  茂手木蒼太…君野夢真  篠崎肇…田中哲司  織部道男…光石研    ○  山根憲二…吹越満  岸森幹雄…遠藤憲一    ○  柳田雅彦…伊東四朗    ＜第6話ゲスト＞  清水沙耶…奥菜恵  大原雅美…小島聖脚本／橋本裕志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t>
  </si>
  <si>
    <t>番組名木曜ドラマ9「潜入探偵トカゲ」第7話“ボクシングジムに潜入!!”</t>
  </si>
  <si>
    <t>ボクシングジムのトレーナーが転落死した。世界チャンピオンの窪塚（石田卓也）の専属トレーナーが転落死した事件を追ってトカゲ（松田翔太）はジムに潜入する。会長である益子（六平直政）と被害者は意見の食い違いがあったことが、記者に扮した香里（蓮佛美沙子）の捜査で判明する。  一方寺島（松岡昌宏）は、茂手木事件の真相をつかむためある人物を追うが、そこで意外な人と出会い…!?  トカゲ…松田翔太  寺島秀司…松岡昌宏  望月香里…蓮佛美沙子    ○  槙原洋子…ミムラ  槙原聖人…山本涼介  宮間隼人…君嶋麻耶  茂手木蒼太…君野夢真  篠崎肇…田中哲司  織部道男…光石研    ○  茂手木圭太…豊原功補  山根憲二…吹越満  岸森幹雄…遠藤憲一    ○  柳田雅彦…伊東四朗  ＜ゲスト＞  益子会長…六平直政  窪塚統一郎…石田卓也  斎藤和馬…太賀脚本／橋本裕志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t>
  </si>
  <si>
    <t>番組名木曜ドラマ9「潜入探偵トカゲ」第8話“豪華ホテルに潜入!!”</t>
  </si>
  <si>
    <t>パリ帰りの一流ホテルマンに扮し、豪華ホテルに潜入したトカゲ（松田翔太）は、関口支配人（大和田獏）に接近し、クモとの繋がりを探る。寺島も独自にクモの捜査をするため、ある行動に出る。  ホテルでの捜査を続けるうちに、思わぬ人物が捜査線に浮上し…!?  トカゲ…松田翔太  寺島秀司…松岡昌宏  望月香里…蓮佛美沙子    ○  槙原洋子…ミムラ  槙原聖人…山本涼介  宮間隼人…君嶋麻耶  茂手木蒼太…君野夢真  織部道男…光石研    ○  山根憲二…吹越満  岸森幹雄…遠藤憲一    ○  柳田雅彦…伊東四朗    ＜ゲスト＞  関口支配人…大和田獏  村上琴乃…梅澤昌代脚本／橋本裕志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t>
  </si>
  <si>
    <t>番組名木曜ドラマ9「潜入探偵トカゲ」第9話“最終章の始まり”</t>
  </si>
  <si>
    <t>黒幕である「クモ」と、クモにつながる警察内のスパイを炙り出すため、トカゲ（松田翔太）は現金輸送車のドライバーになりすまし、10億円を運搬する。その道中、トカゲの前に現れたのは驚くべき人物で…!?  一方、スパイ容疑をかけられた寺島は、罪をなすりつけた人物をつきとめるため独自捜査を続けるが、なかなか手がかりがつかめず…トカゲ…松田翔太  寺島秀司…松岡昌宏  望月香里…蓮佛美沙子    ○  槙原洋子…ミムラ  槙原聖人…山本涼介  宮間隼人…君嶋麻耶  茂手木蒼太…君野夢真  織部道男…光石研    ○  山根憲二…吹越満  岸森幹雄…遠藤憲一    ○  柳田雅彦…伊東四朗    ＜ゲスト＞  黒澤…鈴之助  岸森真知子…舟木幸  岸森愛梨…青山美郷脚本／橋本裕志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t>
  </si>
  <si>
    <t>番組名木曜ドラマ9「潜入探偵トカゲ」第10話“全ての真相”</t>
  </si>
  <si>
    <t>クモの正体は篠崎であることを知ったトカゲ(松田翔太)と寺島(松岡昌宏)だが、絶対絶命の状況に陥る。状況を打開するためにトカゲがとった驚くべき方法とは…!?  いよいよ最終話!!すべての謎が明らかに!!  トカゲ…松田翔太  寺島秀司…松岡昌宏  望月香里…蓮佛美沙子    ○  槙原洋子…ミムラ  槙原聖人…山本涼介  宮間隼人…君嶋麻耶  茂手木蒼太…君野夢真  篠崎肇…田中哲司  織部道男…光石研    ○  茂手木圭太…豊原功補  山根憲二…吹越満  岸森幹雄…遠藤憲一    ○  柳田雅彦…伊東四朗  ＜ゲスト＞  黒澤…鈴之助  岸森愛梨…青山美郷脚本／橋本裕志  音楽／木村秀彬  主題歌／SPYAIR「虹」  （ソニー・ミュージック アソシエイテッドレコーズ）  演出／石井康晴・坪井敏雄　ほか  プロデュース／佐野亜裕美ファンメッセージを送ってね！  公式HP  http://www.tbs.co.jp/tantei_tokage/  拡散希望！  公式twitterアカウント  https://twitter.com/tanteitokage  番組の内容と放送時間は変更になる場合があります。</t>
  </si>
  <si>
    <t>1304_TBS_日21</t>
  </si>
  <si>
    <t>空飛ぶ広報室</t>
  </si>
  <si>
    <t>番組名日曜劇場「空飛ぶ広報室」　第1話</t>
  </si>
  <si>
    <t>稲葉リカ：新垣結衣  空井大祐：綾野剛  柚木典子：水野美紀  片山和宣：要潤  槙博巳：高橋努  比嘉哲広：ムロツヨシ  藤枝敏生：桐山漣    キリー：桐谷健太  阿久津守：生瀬勝久  鷺坂正司：柴田恭兵大ヒットドラマ「フリーター、家を買う」など数々のヒット作を生み出してきた人気作家・有川浩の話題作をいちはやく映像化！  報道記者になる夢を絶たれた、美人テレビディレクターが、不慮の事故で足を怪我し、免許を取り消された元戦闘機パイロットと出会う。考え方も立場も違う二人だが、幼いころからの夢を絶たれ、人生の壁にぶつかっているという共通点が二人の仲を次第に深め、互いに惹かれていく、青春ラブストーリー。また、そんな二人を軸としながら、ひと癖もふた癖もある「チーム広報室」の個性の強いメンバーが、ある時は衝突したり、ある時は感化されながら、自分たちの仕事への姿勢を見直し、新しい目標を見つけて、プロとしても人間としても成長していくという、チームとしての群像劇も描いていく。  人生は思い通りになることばかりではない。むしろ思い通りにならないことのほうが多い。思い通りにならなかった時に、どう動くかで人間の真価は決まる。「なりたいものになれなくても別の何かになれる」…現実社会で生きるすべての人々の背中を押す、応援歌ドラマである。  土井裕泰  磯山晶    演出：土井裕泰    原作：有川浩    脚本：野木亜紀子    主題歌：安室奈美恵    音楽：河野伸▽番組HP  http://www.tbs.co.jp/soratobu-tbs/  ▽twitter  https://twitter.com/soratobu_tbs  シーン映像初公開！　動画を公開しました！こちらからどうぞ！  http://youtu.be/FIpn60gmpIs  日曜劇場『空飛ぶ広報室』ネット限定スペシャル映像    http://youtu.be/2UAldLcix7U番組の内容と放送時間は、変更になる場合があります。</t>
  </si>
  <si>
    <t>番組名日曜劇場「空飛ぶ広報室」　第2話</t>
  </si>
  <si>
    <t>航空自衛隊広報室での取材を続けるリカ（新垣結衣）だが、ある日偶然に、空幕で緊急記者会見が開かれることを知る。報道記者だった頃の血が騒いだリカは強引に会見場に入り込み、詳しく取材を始めるが…。  また、不慮の事故でパイロットへの道を絶たれ広報官となった空井（綾野剛）が、初めて閉じていた心を開き、自分の前で涙する姿を見たリカは、テレビ局に空井が訪ねて来た時に、報道記者時代の自分の失敗を空井に話す。「運が悪かっただけ」と嘯くリカだが、空井はそんなリカ自身がまだ壁にぶつかって倒れたままだと感じる。担当している情報番組「帝都イブニング」の街角グルメコーナーでは、リカは上司の阿久津（生瀬勝久）になかなか認めてもらえずにいた。そんななか、ナポリタン特集でのリカの取材を知った空井は…。稲葉リカ：新垣結衣  空井大祐：綾野剛  柚木典子：水野美紀  片山和宣：要潤  槙博巳：高橋努  比嘉哲広：ムロツヨシ  藤枝敏生：桐山漣  浅野空幕長：モト冬樹  阿久津守：生瀬勝久  鷺坂正司：柴田恭兵安室奈美恵 『 Contrail 』 (avex trax)☆番組ホームページ  http://www.tbs.co.jp/soratobu-tbs/  ☆Twitterはコチラ！  http://twitter.com/soratobu_tbs  『空飛ぶ広報室』第2話SP予告動画を公開しました！  http://youtu.be/REN60ebb9m0  「広報室から配信中2」動画はこちら  http://youtu.be/6_EVeB-eO7Y  【プロデューサー】  土井裕泰  磯山晶  【演出】  土井裕泰  【原作】  有川浩  【脚本】  野木亜紀子  【音楽】  河野伸番組の内容と放送時間は変更になる場合があります。</t>
  </si>
  <si>
    <t>1301_TBS_木21</t>
  </si>
  <si>
    <t>あぽやん</t>
  </si>
  <si>
    <t>番組名木曜ドラマ9「あぽやん～走る国際空港」第1話</t>
  </si>
  <si>
    <t>ジャルパック本社社員の遠藤（伊藤淳史）は、突然の成田空港勤務を命じられ意気消沈。待っていたのは頼りない上司（柳葉敏郎）と、腰掛け気分の遠藤を敵視する森尾（桐谷美玲）を始めとする女子軍団。馬場（貫地谷しほり）だけがかばってくれるが、慣れない仕事でミスを連発して怒鳴られる日々。そんな時チャンスが来た。自分の企画したツアーに参加するお客様を迎えることになったのだが、当日とんでもない事態が発生する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古賀 恵…中村ゆり  藤崎桜子…陽月 華    須永俊和…青柳 翔  岡浜美波…李 千鶴  柳沢真理子…野口聖古  篠田愛…近野成美    馬場英恵…貫地谷しほり    今泉利夫…柳葉敏郎森尾幸造…大河内浩  桂福太郎…平賀雅臣  森尾千秋…宮武美桜  伊佐山健治…二瓶鮫一    オオマエミツヨ…中田喜子（第1話ゲスト）主題歌：Rake  「ランナーズ愛」  （アリオラ・ジャパン）【脚本】関えり香  【音楽】平沢敦士  【編成】加藤新  【プロデューサー】神康幸　井上潔  【演出】堀江慶成田国際空港株式会社  株式会社ジャルパック  日本航空株式会社  成田市オフィスクレッシェンド  TBS文藝春秋アグン・インクhttp://www.tbs.co.jp/apoyan/番組の内容と放送時間は変更になる場合があります。</t>
  </si>
  <si>
    <t>番組名木曜ドラマ9「あぽやん～走る国際空港」第2話</t>
  </si>
  <si>
    <t>成田空港に左遷された遠藤（伊藤淳史）は、本社に仕事ぶりをアピールするため、無理な仕事を二つ同時に引き受けてしまう。周囲が遠藤に反対する中、今泉（柳葉敏郎）は遠藤に内緒で班員に提案する。「二組のお客様を無事にお送りできるかを、遠藤くんの昇格試験にしよう！」。森尾（桐谷美玲）、馬場（貫地谷しほり）らが注目する中、試験日を迎える。試験に合格して、意中のJALスタッフ古賀（中村ゆり）をデートに誘えるのか？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古賀 恵…中村ゆり  藤崎桜子…陽月 華    須永俊和…青柳 翔  岡浜美波…李 千鶴  柳沢真理子…野口聖古  篠田愛…近野成美    馬場英恵…貫地谷しほり    今泉利夫…柳葉敏郎森尾幸造…大河内浩  桂福太郎…平賀雅臣  森尾千秋…宮武美桜  伊佐山健治…二瓶鮫一    【第2話ゲスト】  野坂すずこ…松原智恵子  らぶり～ぱふぱふ…最上もが  オガタ…青木さやか主題歌：Rake  「ランナーズ愛」  （アリオラ・ジャパン）【原作】新野剛志 ・著  「あぽやん」「恋する空港　あぽやん2」  （文春文庫）【脚本】関えり香  【音楽】平沢敦士  【編成】加藤新  【プロデューサー】神康幸　井上潔  【演出】堀江慶成田国際空港株式会社  株式会社ジャルパック  日本航空株式会社  成田市オフィスクレッシェンド  TBS文藝春秋アグン・インク▽番組HP  http://www.tbs.co.jp/apoyan/  ▽第2話予告動画公開中！  http://youtu.be/tKiXSj6iHOA  ▽最上もが超絶人気アイドル役映像を先行公開!   http://youtu.be/sgoQrTY-Jgo  番組の内容と放送時間は変更になる場合があります。</t>
  </si>
  <si>
    <t>番組名木曜ドラマ9「あぽやん～走る国際空港」第3話</t>
  </si>
  <si>
    <t>昇格テストに合格し、班長となった遠藤（伊藤淳史）は、JALスタッフ古賀（中村ゆり）との誕生日デートの約束を取り付けた。しかし、なぜか遠藤が一番苦手とする森尾（桐谷美玲）も同席する事が条件であった。デート当日、無口で何を考えているかわからない別班の班長・田波（眞島秀和）が遠藤の部下として助っ人で入る中、パスポートに穴をあけた問題児が巻き起こすトラブル発生！仕事か、デートか。遠藤がとる意外な行動とは？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古賀 恵…中村ゆり  藤崎桜子…陽月 華    須永俊和…青柳 翔  岡浜美波…李 千鶴  柳沢真理子…野口聖古  篠田愛…近野成美    馬場英恵…貫地谷しほり    今泉利夫…柳葉敏郎森尾幸造…大河内浩  桂福太郎…平賀雅臣  森尾千秋…宮武美桜  伊佐山健治…二瓶鮫一主題歌：Rake  「ランナーズ愛」  （アリオラ・ジャパン）新野剛志 ・著  「あぽやん」「恋する空港　あぽやん2」  （文春文庫）【脚本】泉澤陽子  【音楽】平沢敦士  【編成】加藤新  【プロデューサー】神康幸　井上潔  【演出】鈴木浩介成田国際空港株式会社  株式会社ジャルパック  日本航空株式会社  成田市アグン・インクオフィスクレッシェンド  TBS  文藝春秋▽番組HP  http://www.tbs.co.jp/apoyan/  ▽第3話予告動画公開中！  http://youtu.be/NImR12f6jTk  番組の内容と放送時間は変更になる場合があります。</t>
  </si>
  <si>
    <t>番組名木曜ドラマ9「あぽやん～走る国際空港」第4話</t>
  </si>
  <si>
    <t>警察からの通達で、凶悪逃亡犯と同姓同名のツアー客がチェックインすることが発覚！犯人かどうか判断できるまで時間稼ぎをして欲しいと警察から依頼がくる。遠藤（伊藤淳史）班に緊張が走る。担当を買って出る枝元（山本裕典）と彼の仕事ぶりが心配で、任せたくない遠藤が全面対決！さらに、計器トラブルで出発したはずの飛行機が戻ってくる緊急事態が発生！予定が台無しになったツアー客のクレームの嵐を、笑顔に変えられるのか？ 史上初の成田空港・長期間撮影！「あぽやん」は旅行業界用語。発券ミスや予約重複など、空港カウンターで起こるトラブルを解決する旅行代理店のエキスパートを差す。「あぽ」は空港＝Airportの略（APO） 遠藤慶太…伊藤淳史森尾晴子…桐谷美玲枝元久雄…山本裕典田波浩一…眞島秀和堀之内隆…戸田昌宏古賀 恵…中村ゆり藤崎桜子…陽月 華須永俊和…青柳 翔岡浜美波…李 千鶴柳沢真理子…野口聖古篠田愛…近野成美馬場英恵…貫地谷しほり今泉利夫…柳葉敏郎 森尾幸造…大河内浩桂福太郎…平賀雅臣森尾千秋…宮武美桜伊佐山健治…二瓶鮫一（第4話ゲスト）サトウカズオ……近藤公園 主題歌：Rake「ランナーズ愛」（アリオラ・ジャパン） 新野剛志 ・著「あぽやん」「恋する空港　あぽやん2」（文春文庫） 【脚本】関えり香【音楽】平沢敦士【編成】加藤新【プロデューサー】神康幸　井上潔【演出】鈴木浩介 成田国際空港株式会社株式会社ジャルパック日本航空株式会社成田市 アグン・インク オフィスクレッシェンドTBS文藝春秋 ▽番組HPhttp://www.tbs.co.jp/apoyan/▽あぽやん4話予告動画公開中！http://youtu.be/qfR0bzoSOxA番組の内容と放送時間は変更になる場合があります。</t>
  </si>
  <si>
    <t>番組名木曜ドラマ9「あぽやん～走る国際空港」第5話</t>
  </si>
  <si>
    <t>お客様のトラブルをきっかけに女性部下軍団と対立してしまう遠藤（伊藤淳史）は、チーム内で孤立する。そんな時、遠藤は大物作家 円城寺ミサエ（かとうかず子）の世話を引き受けるが、チームの手助けを拒み、「一人で出来る」と強がってしまう…。円城寺のワガママな要求に一人奮闘する遠藤を想定外の大トラブルが追い討ちをかけ、遂には今泉（柳葉敏郎）が遠藤を本気で怒る事態に！？チームは果たしてまた一つに戻れるのか？遠藤慶太…伊藤淳史    森尾晴子…桐谷美玲    枝元久雄…山本裕典    田波浩一…眞島秀和  堀之内隆…戸田昌宏    古賀 恵…中村ゆり  藤崎桜子…陽月 華    須永俊和…青柳 翔  岡浜美波…李千鶴  柳沢真理子…野口聖古  篠田愛…近野成美    馬場英恵…貫地谷しほり    今泉利夫…柳葉敏郎森尾幸造…大河内浩  桂福太郎…平賀雅臣  森尾千秋…宮武美桜  伊佐山健治…二瓶鮫一    （第5話ゲスト）  円城寺ミサエ……かとうかず子  清掃人 達川……ミッキー・カーチス史上初の成田空港・長期間撮影！「あぽやん」は旅行業界用語。発券ミスや予約重複など、空港カウンターで起こるトラブルを解決する旅行代理店のエキスパートを差す。「あぽ」は空港＝Airportの略（APO）主題歌：Rake  「ランナーズ愛」  （アリオラ・ジャパン）新野剛志 ・著  「あぽやん」「恋する空港　あぽやん2」  （文春文庫）【脚本】関えり香  【音楽】平沢敦士  【編成】加藤新  【プロデューサー】神康幸　井上潔  【演出】堀江慶成田国際空港株式会社  株式会社ジャルパック  日本航空株式会社  成田市アグン・インクオフィスクレッシェンド  TBS  文藝春秋http://www.tbs.co.jp/apoyan/  ☆予告動画を公開しました！こちらからどうぞ！  http://youtu.be/EW_SV-P7Jgk  番組の内容と放送時間は変更になる場合があります。</t>
  </si>
  <si>
    <t>番組名木曜ドラマ9「あぽやん～走る国際空港」第6話</t>
  </si>
  <si>
    <t>ボストンへの音楽留学を志す青年・ソウタ（上遠野 太洸）の予約記録が消えた!?今日中に出発しないと、留学試験が受けられない！ソウタの夢をつなぐため、ついに遠藤（伊藤淳史）は禁断の手段に手を伸ばすことに…。この日は、博多デート中に「仕事を辞めて、海外へ行く」ことを遠藤に告白をした古賀（中村ゆり）がバンクーバーに飛び立つ日でもあった。果たして、ソウタのトラブルを解決し、古賀の出発に駆けつけられるのか！？ 史上初の成田空港・長期間撮影！「あぽやん」は旅行業界用語。発券ミスや予約重複など、空港カウンターで起こるトラブルを解決する旅行代理店のエキスパートを差す。「あぽ」は空港＝Airportの略（APO） 遠藤慶太・・・伊藤淳史森尾晴子・・・桐谷美玲枝元久雄・・・山本裕典田波浩一・・・眞島秀和堀之内隆・・・戸田昌宏古賀 恵・・・中村ゆり藤崎桜子・・・陽月 華須永俊和・・・青柳 翔岡浜美波・・・李 千鶴柳沢真理子・・・野口聖古篠田愛・・・近野成美?馬場英恵・・・貫地谷しほり今泉利夫・・・柳葉敏郎 森尾幸造・・・大河内浩桂福太郎・・・平賀雅臣森尾千秋・・・宮武美桜伊佐山健治・・・二瓶鮫一【第6話ゲスト】コバヤシソウタ……上遠野太洸 主題歌：Rake「ランナーズ愛」（アリオラ・ジャパン） 新野剛志 ・著「あぽやん」「恋する空港　あぽやん2」（文春文庫） 【脚本】泉澤陽子【音楽】平沢敦士【編成】加藤新【プロデューサー】神康幸　井上潔【演出】堀江慶 番組HPhttp://www.tbs.co.jp/apoyan/第6話(2月21日)予告動画公開中！http://youtu.be/-yYa2haz0UU成田国際空港株式会社株式会社ジャルパック日本航空株式会社成田市 アグン・インク オフィスクレッシェンドTBS文藝春秋 番組の内容と放送時間は変更になる場合があります。</t>
  </si>
  <si>
    <t>番組名木曜ドラマ9「あぽやん～走る国際空港」第7話</t>
  </si>
  <si>
    <t>野球中継のため、第7話はよる9時30分から放送！（野球中継の延長状況により9時30分以降、放送時間は5分ずつ繰り下がります） 母親を探すため、日々空港に現れる少女ユイ。ユイのために躍起になる森尾（桐谷美玲）にいつもの冷静さは見られない。森尾をなだめる遠藤（伊藤淳史）は、上司の今泉（柳葉敏郎）から彼女の意外な過去を知ることになる…。また、毎年大規模な社員旅行を申し込む大企業の会長が訪れ、森尾に「孫とお見合いをしてほしい」と迫る。普段は平然と断るはずの森尾は何故かお見合いを引き受けることに…。森尾が心に秘めたその想いとは！？ 史上初の成田空港・長期間撮影！「あぽやん」は旅行業界用語。発券ミスや予約重複など、空港カウンターで起こるトラブルを解決する旅行代理店のエキスパートを差す。「あぽ」は空港＝Airportの略（APO） 遠藤慶太…伊藤淳史森尾晴子…桐谷美玲枝元久雄…山本裕典田波浩一…眞島秀和堀之内隆…戸田昌宏古賀 恵…中村ゆり藤崎桜子…陽月 華須永俊和…青柳 翔岡浜美波…李 千鶴柳沢真理子…野口聖古篠田愛…近野成美馬場英恵…貫地谷しほり今泉利夫…柳葉敏郎 森尾幸造…大河内浩桂福太郎…平賀雅臣森尾千秋…宮武美桜伊佐山健治…二瓶鮫一【第7話ゲスト】アオヤマサキコ…霧島れいか渋川貴一郎…岡田義徳 主題歌：Rake「ランナーズ愛」（アリオラ・ジャパン） 新野剛志 ・著「あぽやん」「恋する空港　あぽやん2」（文春文庫） 【脚本】関えり香【音楽】平沢敦士【編成】加藤新【プロデューサー】神康幸　井上潔【演出】二宮崇 ▽ホームページhttp://www.tbs.co.jp/apoyan/▽第7話予告動画公開中！http://youtu.be/sdV6_ABSky8成田国際空港株式会社株式会社ジャルパック日本航空株式会社成田市 アグン・インク オフィスクレッシェンドTBS 文藝春秋</t>
  </si>
  <si>
    <t>番組名木曜ドラマ9「あぽやん～走る国際空港」第8話</t>
  </si>
  <si>
    <t>重い病を患う妻（釈由美子）との約束を果すため、病状を隠してハワイへ出発しようとする夫（野間口徹）。しかし、病気が発覚してしまい、夫婦に搭乗許可が下りなくなる…。困り果てた夫婦を出発させるため、遠藤（伊藤淳史）と森尾（桐谷美玲）は最後まで諦めず、あらゆる手段を探る！また、本社に呼びだされた今泉（柳葉敏郎）は、空港で働くスタッフの非情なリストラ計画を言い渡される。部下を守るため今泉は会社に立ち向うが…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藤崎桜子…陽月 華    須永俊和…青柳 翔  岡浜美波…李 千鶴  柳沢真理子…野口聖古  篠田愛…近野成美    馬場英恵…貫地谷しほり    今泉利夫…柳葉敏郎森尾幸造…大河内浩  桂福太郎…平賀雅臣  森尾千秋…宮武美桜    （第8話ゲスト）  タケモトミユキ…釈由美子  タケモトトモノリ…野間口徹主題歌：Rake  「ランナーズ愛」  （アリオラ・ジャパン）新野剛志 ・著  「あぽやん」「恋する空港　あぽやん2」  （文春文庫）【脚本】  泉澤陽子  【音楽】  平沢敦士  【編成】  加藤新  【プロデューサー】  神康幸/井上潔  【演出】  神徳幸治成田国際空港株式会社  株式会社ジャルパック  日本航空株式会社  成田市アグン・インクオフィスクレッシェンド  TBS文藝春秋http://www.tbs.co.jp/apoyan/    ▽第8話予告動画公開中！  http://youtu.be/w2lgKta7Cfg  番組の内容と放送時間は変更になる場合があります。</t>
  </si>
  <si>
    <t>番組名木曜ドラマ9「あぽやん～走る国際空港」第9話</t>
  </si>
  <si>
    <t>本社から突然言い渡された空港スタッフのリストラ。自分の班から誰を辞めさせるかは遠藤（伊藤淳史）に委ねられ、職場で日々思い悩む事になる。リストラの対象となったスタッフ達は仕事が手につかず、普段の明るさもない。そんな中、いつも遠藤をサポートしてくれる頼れる先輩スタッフ馬場（貫地谷しほり）が、お客様の予約記録を消してしまう重大なミスを犯してしまう。しかし、そのミスの裏には馬場が独りで抱える秘密があった…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藤崎桜子・・・陽月 華    須永俊和・・・青柳 翔  岡浜美波・・・李 千鶴  柳沢真理子・・・野口聖古  篠田愛・・・近野成美    馬場英恵・・・貫地谷しほり    今泉利夫・・・柳葉敏郎森尾幸造・・・大河内浩  桂福太郎・・・平賀雅臣  森尾千秋・・・宮武美桜『あぽやん』第9話　予告動画を公開しました！こちらからどうぞ！  http://youtu.be/HeafmGlkgLo  主題歌：Rake  「ランナーズ愛」  （アリオラ・ジャパン）新野剛志 ・著  「あぽやん」「恋する空港　あぽやん2」  （文春文庫）【脚本】関えり香  【音楽】平沢敦士  【編成】加藤新  【プロデューサー】神康幸　井上潔  【演出】二宮崇成田国際空港株式会社  株式会社ジャルパック  日本航空株式会社  成田市アグン・インクオフィスクレッシェンド  TBS文藝春秋http://www.tbs.co.jp/apoyan/番組の内容と放送時間は変更になる場合があります。</t>
  </si>
  <si>
    <t>番組名木曜ドラマ9「あぽやん～走る国際空港」第10話</t>
  </si>
  <si>
    <t>空港での仕事に自分の居場所を見つけた遠藤（伊藤淳史）に、突然本社への異動命令が下る！チームの柱となった遠藤がいなくなる事に、今泉（柳葉敏郎）や森尾（桐谷美玲）らチームの仲間は動揺するが、遠藤の将来の事を考えて本社勤務を後押しする。空港での勤務最終日、100人の団体ツアーのお客様をお送りするのが遠藤の最後の仕事となるが、最後の最後で思わぬトラブルが発生！ツアーキャンセルの危機に遠藤班が立ち向かう！！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藤崎桜子…陽月華    須永俊和…青柳翔  岡浜美波…李千鶴  柳沢真理子…野口聖古  篠田愛…近野成美    馬場英恵…貫地谷しほり    今泉利夫…柳葉敏郎森尾幸造…大河内浩  桂福太郎…平賀雅臣  森尾千秋…宮武美桜  伊佐山健治…二瓶鮫一主題歌：Rake  「ランナーズ愛」  （アリオラ・ジャパン）『あぽやん』最終話予告動画を公開しました！こちらからどうぞ！  http://youtu.be/2Ayt2Aa3Se8  新野剛志 ・著  「あぽやん」「恋する空港　あぽやん2」  （文春文庫）【脚本】泉澤陽子  【脚本協力】関えり香  【音楽】平沢敦士  【編成】加藤新  【プロデューサー】神康幸　井上潔  【演出】神徳幸治成田国際空港株式会社  株式会社ジャルパック  日本航空株式会社  成田市アグン・インクオフィスクレッシェンド  TBS文藝春秋http://www.tbs.co.jp/apoyan/番組の内容と放送時間は変更になる場合があります。</t>
  </si>
  <si>
    <t>1301_TBS_金22</t>
  </si>
  <si>
    <t>夜行観覧車</t>
  </si>
  <si>
    <t>番組名金曜ドラマ「夜行観覧車」第1話</t>
  </si>
  <si>
    <t>坂の上にある「ひばりヶ丘」は、誰もが憧れる高級住宅街。そこへ、小さいながらも念願だった一軒家を建てた遠藤真弓（鈴木京香）は、高橋淳子（石田ゆり子）とも友達になり夢が叶ったはずだった。しかし数年後、中学受験に失敗した娘・彩花（杉咲花）は毎日のように家庭内暴力を繰り返し、夫の啓介（宮迫博之）は帰宅拒否症になっていた。そんなある日、向かいの高橋家で淳子の夫：弘幸（田中哲司）が殺される事件が起きる。そして事件当日、家にいたはずの高橋家の次男：慎司（中川大志）が失踪。担当刑事の結城（高橋克典）は、犯人は身近な人間だと推測し、捜査を進めるが・・・。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脚本／奥寺佐渡子プロデュース／新井順子  演出／塚原あゆ子http://www.tbs.co.jp/yakoukanransya/ドリマックス・テレビジョン■『夜行観覧車』第1話予告動画を公開中です！  http://youtu.be/rzSKx7QarAI  ■『夜行観覧車』番外編動画を公開中です！  http://youtu.be/XH1asb2aj5A番組の内容と放送時間は変更になる場合があります。</t>
  </si>
  <si>
    <t>番組名金曜ドラマ「夜行観覧車」第2話</t>
  </si>
  <si>
    <t>坂の上にある高級住宅街「ひばりヶ丘」で、高橋弘幸（田中哲司）が殺害された。坂留署の刑事・結城哲也（高橋克典）は、身近な人間の犯行を疑うが、その矢先に弘幸の妻・淳子（石田ゆり子）が失踪する。高橋家の向かいに住む遠藤真弓（鈴木京香）は、淳子の身を案じる一方で、近隣の嫌がらせや家庭内暴力を誰にも打ち明けることが出来ずに苦しんでいた。そんな中、事件の捜査を続ける結城は、遠藤家に目をつけるが・・・。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脚本／奥寺佐渡子☆番組HP  http://www.tbs.co.jp/yakoukanransya/  ☆1話ダイジェスト＆2話予告動画  http://youtu.be/RflNK2jLM0s☆「杉咲花のひばりが丘みどころ案内」2動画  http://youtu.be/1xJE6wurWFoプロデュース／新井順子  演出／山本剛義ドリマックス・テレビジョン番組の内容と放送時間は変更になる場合があります。</t>
  </si>
  <si>
    <t>番組名金曜ドラマ「夜行観覧車」第3話</t>
  </si>
  <si>
    <t>高級住宅街「ひばりヶ丘」に住む開業医・高橋弘幸（田中哲司）が殺害された事件で、高橋家の向かいに住む遠藤真弓（鈴木京香）は、坂留署の刑事・結城哲也（高橋克典）に尋問を受けていた。「犯人を見たかもしれない」という真弓は、事件当日のことを思い返す。この日も、娘・彩花（杉咲花）は些細なことで暴れ始める。その数時間後の深夜、真弓は淳子（石田ゆり子）の助けを求める叫び声を耳にする。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脚本／奥寺佐渡子http://www.tbs.co.jp/yakoukanransya/  ☆2話ダイジェスト＆3話予告  http://youtu.be/cAxF_qH-T9I  ☆番外編3「杉咲花のひばりが丘みどころ案内」  http://youtu.be/Kiua5mJWZT4  プロデュース／新井順子  演出／塚原あゆ子ドリマックス・テレビジョン番組の内容と放送時間は変更になる場合があります。</t>
  </si>
  <si>
    <t>番組名金曜ドラマ「夜行観覧車」第4話</t>
  </si>
  <si>
    <t>高級住宅街で起きた医師殺害事件。事件現場である高橋家の向かいに住む遠藤真弓（鈴木京香）は、事件の夜に夫・啓介（宮迫博之）が高橋家から出てきたことを小島さと子（夏木マリ）から教えられ、不安を抱く。一方、啓介のもとには、坂留署の刑事・結城哲也（高橋克典）が事情聴取に訪れていた。結城からの尋問に、ある事情から素直に答えることができない啓介。実は、啓介は事件の夜から、誰にも言えない秘密を抱えており…。結城やさと子に聞かされた話から、夫への疑惑を抱き始めた真弓は、パートの合間に啓介の会社へ向かうが、そこで真弓が見たのは、思わぬ人物だった。ショックを受けた真弓は…。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脚本／奥寺佐渡子▽番組HP  http://www.tbs.co.jp/yakoukanransya/  ▽3話ダイジェスト＆4話予告動画公開中！  http://youtu.be/pLJz3fF-sFw  ☆番外編4「杉咲花のひばりが丘みどころ案内」動画公開中！  http://youtu.be/hZicx3kAkuk  プロデュース／新井順子  演出／塚原あゆ子ドリマックス・テレビジョン番組の内容と放送時間は変更になる場合があります。</t>
  </si>
  <si>
    <t>番組名金曜ドラマ「夜行観覧車」第5話</t>
  </si>
  <si>
    <t>高級住宅街で起きた医師殺害事件。遠藤真弓（鈴木京香）は、被害者の妻・高橋淳子（石田ゆり子）と隠れて会っている夫・啓介（宮迫博之）への不信感と、事件当日の現場にいたという小島さと子（夏木マリ）への疑惑から、事件の真相を計りかねていた。同じ頃、坂留署の刑事・結城哲也（高橋克典）は、さと子の供述から、啓介と淳子の繋がりと事件への関与を確信する。そんな中、真弓の娘・彩花（杉咲花）がある事件を起こし・・・。 遠藤真弓…鈴木京香高橋淳子…石田ゆり子遠藤啓介…宮迫博之（雨上がり決死隊）高橋良幸…安田章大（関ジャニ∞）○遠藤彩花…杉咲花高橋比奈子…宮崎香蓮高橋慎司…中川大志・高橋弘幸…田中哲司○小島さと子…夏木マリ結城哲也…高橋克典 音楽／横山克主題歌／「VOICE」 AI　(EMIミュージック・ジャパン） 原作／湊かなえ「夜行観覧車」（双葉社刊）脚本／奥寺佐渡子 プロデュース／新井順子演出／塚原あゆ子 http://www.tbs.co.jp/yakoukanransya/▽「杉咲花のひばりが丘みどころ案内」http://youtu.be/kC-uJ0EJ214▽4話ダイジェスト5話予告http://youtu.be/gopuZ8cN1W4▽スペシャルオフショット『夜行観覧車』3女優“女子トーク”http://youtu.be/tQkr9dMVwi0ドリマックス・テレビジョン 番組の内容と放送時間は変更になる場合があります。</t>
  </si>
  <si>
    <t>番組名金曜ドラマ「夜行観覧車」第6話</t>
  </si>
  <si>
    <t>殺害事件の現場となった高橋家に、悪意に満ちた膨大な誹謗中傷の貼り紙が貼られる。遠藤真弓（鈴木京香）はショックを受けるが、何者の仕業なのかはわからない。そんな中、真弓は、行方不明中の被害者の妻・高橋淳子（石田ゆり子）と再会。事件について聞こうとするが、警察の姿を見て、淳子は再び行方をくらませる。一方、淳子の息子・慎司（中川大志）も行方がわからないままだった。しかし、ついに犯人逮捕の瞬間がきて…。 遠藤真弓…鈴木京香高橋淳子…石田ゆり子遠藤啓介…宮迫博之（雨上がり決死隊）高橋良幸…安田章大（関ジャニ∞）○遠藤彩花…杉咲花高橋比奈子…宮崎香蓮高橋慎司…中川大志・高橋弘幸…田中哲司○小島さと子…夏木マリ結城哲也…高橋克典 音楽／横山克主題歌／「VOICE」 AI　(EMIミュージック・ジャパン） 原作／湊かなえ「夜行観覧車」（双葉文庫）脚本／清水友佳子 ▽番組HPhttp://www.tbs.co.jp/yakoukanransya/■5話ダイジェスト&amp;6話予告動画公開中！http://youtu.be/bfftdZDQgcs■番外編6http://youtu.be/ptEAxz07nK8プロデュース／新井順子演出／山本剛義 ドリマックス・テレビジョン 番組の内容と放送時間は変更になる場合があります。</t>
  </si>
  <si>
    <t>番組名金曜ドラマ「夜行観覧車」第7話</t>
  </si>
  <si>
    <t>高級住宅地で起きた医師殺人事件で、妻の高橋淳子（石田ゆり子）が逮捕され取調べが始まるが、淳子は「自分がやった」と言い張るばかりで、何も語ろうとしない。一方、逮捕のニュースを聞いた遠藤啓介（宮迫博之）は、事件当夜に遭遇した出来事を思い出しながら、ある秘密を隠そうと山奥で穴を掘り続ける。そんな夫の様子を知る由もない真弓（鈴木京香）は、娘・彩花の度重なる家庭内暴力に次第に追い詰められ、ついに・・・。 遠藤真弓…鈴木京香高橋淳子…石田ゆり子遠藤啓介…宮迫博之（雨上がり決死隊）高橋良幸…安田章大（関ジャニ∞）○遠藤彩花…杉咲花高橋比奈子…宮崎香蓮高橋慎司…中川大志・高橋弘幸…田中哲司○小島さと子…夏木マリ結城哲也…高橋克典 音楽／横山克主題歌／「VOICE」 AI　(EMIミュージック・ジャパン） 原作／湊かなえ「夜行観覧車」（双葉社刊）脚本／奥寺佐渡子 ▽番組HPhttp://www.tbs.co.jp/yakoukanransya/▽「杉咲花のひばりが丘みどころ案内」動画公開中！http://youtu.be/pej9eRZ2VBMプロデュース／新井順子演出／棚澤孝義 ドリマックス・テレビジョン 番組の内容と放送時間は変更になる場合があります。</t>
  </si>
  <si>
    <t>番組名金曜ドラマ「夜行観覧車」第8話</t>
  </si>
  <si>
    <t>娘の家庭内暴力、近所からの嫌がらせ、そして、友人・高橋淳子（石田ゆり子）の逮捕。精神的に追い詰められた遠藤真弓（鈴木京香）は、暴れる娘を押えようと、殺意を抱く。その事態に気付いた小島さと子（夏木マリ）は、止めようと声をかけるが、真弓には届かない。一方、殺人事件以降逃亡を続けていた被害者の息子・高橋慎司（中川大志）が見つかる。慎司が語りだす事件の真相に、兄たちは衝撃を受け・・・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脚本／奥寺佐渡子http://www.tbs.co.jp/yakoukanransya/番外編8「杉咲花のひばりが丘みどころ案内」動画を公開しました！こちらからどうぞ！  http://youtu.be/zvOFlHsGjgwプロデュース／新井順子  演出／塚原あゆ子ドリマックス・テレビジョン番組の内容と放送時間は変更になる場合があります。</t>
  </si>
  <si>
    <t>番組名金曜ドラマ「夜行観覧車」第9話</t>
  </si>
  <si>
    <t>弟・慎司（中川大志）の殺人自供を目の当たりにし、良幸（安田章大）はショックが隠せない。なんとか真実を聞き出そうとするが、口を閉ざし、一人児童養護施設に引き取られていく。そんな高橋家の兄弟を見て、胸を痛める遠藤真弓（鈴木京香）。一方、執拗なイジメに苦しむ真弓の娘・彩花（杉咲花）は、川に落ちた鞄を取ってくるよう命じられ、冷たい水の中に入っていく。それを目撃した真弓は、自らも川へ飛び込み・・・。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(EMIミュージック・ジャパン）『夜行観覧車』番外編9　動画を公開しました！「杉咲花のひばりが丘みどころ案内」こちらからどうぞ！  http://youtu.be/PSiVizuhGko  原作／湊かなえ  「夜行観覧車」（双葉社刊）    脚本／奥寺佐渡子http://www.tbs.co.jp/yakoukanransya/プロデュース／新井順子  演出／塚原あゆ子ドリマックス・テレビジョン番組の内容と放送時間は変更になる場合があります。</t>
  </si>
  <si>
    <t>番組名金曜ドラマ「夜行観覧車」最終話</t>
  </si>
  <si>
    <t>良幸（安田章大）の記者会見は、誰もが予想だにしない事件の内容だった。真実とは思えない話に、ショックを受ける真弓（鈴木京香）たち。しかし、それは良幸が高橋家の未来のために選んだ苦渋の選択だった。そんな中、慎司（中川大志）が高橋家に帰ってくる。兄姉、そして真弓を前に、事件当夜のことを語り始める慎司。なぜ事件は起きたのか。どうして父は殺されなければいけなかったのか。ついに、事件の真相が明らかになるー。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(EMIミュージック・ジャパン）BleuRay＆DVDプレゼントあり  原作／湊かなえ  「夜行観覧車」（双葉社刊）    脚本／奥寺佐渡子http://www.tbs.co.jp/yakoukanransya/  プロデュース／新井順子  演出／塚原あゆ子番外編10「杉咲花のひばりが丘みどころ案内」　予告動画を公開しました！こちらからどうぞ！  http://youtu.be/Ijarhi4GVgU  ドリマックス・テレビジョン番組の内容と放送時間は変更になる場合があります。</t>
  </si>
  <si>
    <t>1301_TBS_日21</t>
  </si>
  <si>
    <t>とんび</t>
  </si>
  <si>
    <t>番組名日曜劇場「とんび」　第1話</t>
  </si>
  <si>
    <t>平成10年（1998年）。出版社の徳田書店で働くアキラ（佐藤健）は、小学生学年誌の付録のプレゼンを行うもうまくいかない。隣の学年誌の付録担当編集に話を聞くと、親に聞いてヒントをもらったという。アキラは机上にある父親・ヤス（内野聖陽）の写真に向かってヒントをくれないかと投げかけるが、もちろんその写真から返答はない。ふと窓の外に目を移すと2羽のとんびが連れ立って飛んでいたーー。市川安男…内野聖陽  市川旭…佐藤健  坂本由美…吹石一恵  幸恵ゆきえ…加藤貴子  ○   市川美佐子…常盤貴子  ○  照雲…野村宏伸  たえ子…麻生祐未  海雲…柄本明  ほか福山雅治  「誕生日には真白な百合を」 (ユニバーサルJ)原作：重松清  「とんび」(角川文庫刊)  脚本：森下佳子音楽：羽毛田丈史  音楽プロデュース：志田博英プロデュース：石丸彰彦  演出：平川雄一朗／山室大輔／中前勇児http://www.tbs.co.jp/TONBI/  番組の内容と放送時間は変更になる場合があります。</t>
  </si>
  <si>
    <t>番組名日曜劇場「とんび」　第2話</t>
  </si>
  <si>
    <t>昭和54年（1979年）。保育園に通うアキラは家族の絵を書くことに。母親の顔を覚えていないから写真を持っていっていいかとヤス（内野聖陽）に頼む…。男手一つで育ててきたヤスは、アキラが抱える寂しさにまだ気づけないでいた。ある日、ヤスにお見合いの話が持ち上がる。妻・美佐子（常盤貴子）を亡くし、家事や子育てに疲れていたヤスは周囲の強い勧めでお見合い相手と会うことに…市川安男…内野聖陽  市川旭…佐藤健  坂本由美…吹石一恵  幸恵ゆきえ…加藤貴子  ○   市川美佐子…常盤貴子  ○  照雲…野村宏伸  たえ子…麻生祐未  海雲…柄本明  ほか福山雅治  「誕生日には真白な百合を」 (ユニバーサルJ)原作：重松清  「とんび」(角川文庫刊)  脚本：森下佳子音楽：羽毛田丈史  音楽プロデュース：志田博英プロデュース：石丸彰彦  演出：平川雄一朗／山室大輔／中前勇児▽番組HP  http://www.tbs.co.jp/TONBI/  ▽第2話予告動画はこちらからどうぞ！  http://youtu.be/5WyqkcCWTrA番組の内容と放送時間は変更になる場合があります。</t>
  </si>
  <si>
    <t>番組名日曜劇場「とんび」　第3話</t>
  </si>
  <si>
    <t>昭和59年（1984年）。11歳になったアキラはクラス委員で学校の野球チームではエースで4番、ヤス（内野聖陽）の自慢の息子になっていた。しかし父の日を目前に控えた頃、アキラの野球チームに体格のいい転校生がやってくる。野球ができないヤスはアキラのピンチと知り親らしくミット片手に駆け出すが、照雲（野村宏伸）とキャッチボールをするアキラの姿を目撃する…。市川安男…内野聖陽  市川旭…佐藤健  坂本由美…吹石一恵  幸恵ゆきえ…加藤貴子  ○   市川美佐子…常盤貴子  ○  照雲…野村宏伸  たえ子…麻生祐未  海雲…柄本明  ほか福山雅治  「誕生日には真白な百合を」 (ユニバーサルJ)原作：重松清  「とんび」(角川文庫刊)  脚本：森下佳子音楽：羽毛田丈史  音楽プロデュース：志田博英プロデュース：石丸彰彦  演出：平川雄一朗／山室大輔／中前勇児番組HP  http://www.tbs.co.jp/TONBI/  3話予告動画公開中！  http://youtu.be/AeT-JuUDM2A  番組の内容と放送時間は変更になる場合があります。</t>
  </si>
  <si>
    <t>番組名日曜劇場「とんび」　第4話</t>
  </si>
  <si>
    <t>昭和60年（1985年）3月。アキラはお母さんの事故の真相を照雲や幸恵に聞いてまわっていた。それを知ったヤス（内野聖陽）は本当の事は言わないで欲しいと皆に頼む。ある日、葛原の嫁が見知らぬ男に「嫁入り前に娘と会って欲しい」と言われているたえ子（麻生祐未）を目撃する。 市川安男…内野聖陽市川旭…佐藤健坂本由美…吹石一恵幸恵ゆきえ…加藤貴子○ 市川美佐子…常盤貴子○照雲…野村宏伸たえ子…麻生祐未海雲…柄本明ほか 福山雅治「誕生日には真白な百合を」 (ユニバーサルJ)原作：重松清「とんび」(角川文庫刊)脚本：森下佳子 音楽：羽毛田丈史音楽プロデュース：志田博英 プロデュース：石丸彰彦演出：平川雄一朗／山室大輔／中前勇児 http://www.tbs.co.jp/TONBI/4話予告動画公開中！http://youtu.be/rh8G4k_ufFM番組の内容と放送時間は変更になる場合があります。</t>
  </si>
  <si>
    <t>番組名日曜劇場「とんび」　第5話</t>
  </si>
  <si>
    <t>平成元年。入院している海雲（柄本明）の見舞いにヤス（内野聖陽）は毎日のように病院に通う一方でアキラ（佐藤健）は高校の野球部でレギュラーを決めるテストを控え、一度も顔を出せずにいた。ある日、ヤスは照雲（野村宏伸）から実は海雲が癌で先が長くないために、アキラに意識のあるうちに会いに来るよう頼まれる。ヤスは見舞いに行くよう頼むのだが、「今は野球の練習が大事だから」と断るアキラの一方的な態度に腹を立てる。 悩んだヤスは、アキラを見舞いに連れて行こうと野球部の練習を訪れると、偶然に後輩・山本（大内田悠平）らの尻をバットで叩くアキラの姿を目撃してしまい…。 市川安男…内野聖陽市川旭…佐藤健坂本由美…吹石一恵幸恵…加藤貴子葛原鉄矢…音尾琢真○ 市川美佐子…常盤貴子○照雲…野村宏伸尾藤社長…ベンガルたえ子…麻生祐未海雲…柄本明ほか 福山雅治「誕生日には真白な百合を」 (ユニバーサルJ)原作：重松清「とんび」(角川文庫刊)脚本：森下佳子 音楽：羽毛田丈史音楽プロデュース：志田博英 プロデュース：石丸彰彦演出：平川雄一朗／山室大輔／中前勇児 http://www.tbs.co.jp/TONBI/5話予告動画公開中！http://youtu.be/9DSm0JE1qp0番組の内容と放送時間は変更になる場合があります。</t>
  </si>
  <si>
    <t>番組名日曜劇場「とんび」　第6話</t>
  </si>
  <si>
    <t>平成2年、冬。大学受験を控えたアキラ（佐藤健）は東京の早稲田大学を受験したいとヤス（内野聖陽）に相談する。自分の息子が早稲田を受けると自慢するヤスだったが、東京に行ったら戻って来ないのではないかという葛原（音尾琢真）の言葉にショックを受け酒を飲み歩き、アキラに「行きたければ家出でもして勝手に行け！」と暴言を吐いてしまう。翌朝、家にアキラの姿はなかったー。 市川安男…内野聖陽市川旭…佐藤健坂本由美…吹石一恵幸恵ゆきえ…加藤貴子○ 市川美佐子…常盤貴子○照雲…野村宏伸たえ子…麻生祐未海雲…柄本明ほか 福山雅治「誕生日には真白な百合を」 (ユニバーサルJ) 原作：重松清「とんび」(角川文庫刊)脚本：森下佳子 音楽：羽毛田丈史音楽プロデュース：志田博英 プロデュース：石丸彰彦演出：平川雄一朗／山室大輔／中前勇児 ▽番組HPhttp://www.tbs.co.jp/TONBI/▽第6話予告動画公開中！http://youtu.be/EYp_VbkdkXg番組の内容と放送時間は変更になる場合があります。</t>
  </si>
  <si>
    <t>番組名日曜劇場「とんび」　第7話</t>
  </si>
  <si>
    <t>平成4年。東京で大学生活を送るアキラ（佐藤健）から電話で「雑誌の編集部でアルバイトをしていて、将来的には雑誌の編集者になりたい」とはじめて明かされたヤス（内野聖陽）。法学部で法律を学んでいるアキラは弁護士になるものだと思っていたヤスは、編集者になることを認めないと激怒して電話を切ってしまう。その矢先、アキラが仕事中に怪我をしたという謝罪の電話が入る。市川安男…内野聖陽市川旭…佐藤健坂本由美…吹石一恵幸恵ゆきえ…加藤貴子○ 市川美佐子…常盤貴子○照雲…野村宏伸たえ子…麻生祐未海雲…柄本明ほか 福山雅治「誕生日には真白な百合を」 (ユニバーサルJ)原作：重松清「とんび」(角川文庫刊)脚本：森下佳子 音楽：羽毛田丈史音楽プロデュース：志田博英 プロデュース：石丸彰彦演出：平川雄一朗／山室大輔／中前勇児 ▽番組HPhttp://www.tbs.co.jp/TONBI/▽とんび　第7話予告動画公開中！http://youtu.be/HSU8bNbsnB4 18：30から放送の、「2013WBC壮行試合」の試合状況により、放送時間が変更になる可能性があります。</t>
  </si>
  <si>
    <t>番組名日曜劇場「とんび」　第8話</t>
  </si>
  <si>
    <t>ヤス（内野聖陽）は、ヤスの父親の息子と名乗る島野（内倉憲二）から突然、「父親が会って詫びたいと言っているので、東京に来てくれないか？」と相談される。父親とは50年近く音信不通で、まさか生きているとも思っていなかったヤス。アキラ（佐藤健）とは自分からは決して東京には行かないと約束をしていたが…。 市川安男…内野聖陽市川旭…佐藤健坂本由美…吹石一恵幸恵…加藤貴子○ 市川美佐子…常盤貴子○照雲…野村宏伸たえ子…麻生祐未海雲…柄本明ほか 福山雅治「誕生日には真白な百合を」 (ユニバーサルJ) 原作：重松清「とんび」(角川文庫刊)脚本：森下佳子 音楽：羽毛田丈史音楽プロデュース：志田博英 プロデュース：石丸彰彦演出：平川雄一朗／山室大輔／中前勇児 ▽番組HPhttp://www.tbs.co.jp/TONBI/▽第8話予告動画公開中！http://youtu.be/nVCyTBdfnfQ番組の内容と放送時間は変更になる場合があります。</t>
  </si>
  <si>
    <t>番組名日曜劇場「とんび」　第9話</t>
  </si>
  <si>
    <t>ヤス（内野聖陽）はアキラ（佐藤健）から「結婚したい人がいるから会って欲しい」と相談される。さらにその女性が年上でしっかり者の美人と聞き、町中の人に自慢する。帰省当日、アキラとともに現れた由美（吹石一恵）を見て、予想以上に年上であることに気づく。  さらに離婚経験があり子供もいることを打ち明けられると、ヤスは結婚に猛反対。言い争いになったアキラは由美を連れて東京に帰ってしまうー。市川安男…内野聖陽  市川旭…佐藤健  坂本由美…吹石一恵  幸恵…加藤貴子  ○   市川美佐子…常盤貴子  ○  照雲…野村宏伸  たえ子…麻生祐未  海雲…柄本明  ほか福山雅治  「誕生日には真白な百合を」 (ユニバーサルJ)原作：重松清  「とんび」(角川文庫刊)  脚本：森下佳子音楽：羽毛田丈史  音楽プロデュース：志田博英プロデュース：石丸彰彦  演出：平川雄一朗／山室大輔／中前勇児http://www.tbs.co.jp/TONBI/  第9話予告動画を公開しました！こちらからどうぞ！  http://youtu.be/r9PMS91CRj418：30～放送の、「2013ワールドベースボールクラシック　2次ラウンド　日本進出試合」の試合状況により、放送時間が変更になる可能性があります。</t>
  </si>
  <si>
    <t>番組名日曜劇場「とんび」　第10話</t>
  </si>
  <si>
    <t>平成11年（1999年）冬。ヤス（内野聖陽）は走っているフォークリフトの積荷の下敷きになりそうになった葛原の嫁（橋本真実）の孫を助けようとして、代わりに下敷きになってしまう。茫然とする葛原の嫁、社員たちは必死に荷物を退かし、ヤスは救急車で病院に運ばれる。事故の知らせを受けたアキラ（佐藤健）やたえ子（麻生祐未）は急いで搬送された病院へ向かう。  父と子、「とんび」の30年間の物語が終わるー。市川安男…内野聖陽  市川旭…佐藤健  坂本由美…吹石一恵  幸恵…加藤貴子  ○   市川美佐子…常盤貴子  ○  照雲…野村宏伸  たえ子…麻生祐未  海雲…柄本明  ほか福山雅治  「誕生日には真白な百合を」 (ユニバーサルJ)『とんび』最終話スペシャル予告動画を公開しました！こちらからどうぞ！  http://youtu.be/y9encvfmwko    家族の愛の物語...『とんび』最終話(3月17日)スペシャル予告  http://youtu.be/y9encvfmwko原作：重松清  「とんび」(角川文庫刊)  脚本：森下佳子音楽：羽毛田丈史  音楽プロデュース：志田博英プロデュース：石丸彰彦  演出：平川雄一朗／山室大輔／中前勇児http://www.tbs.co.jp/TONBI/  番組の内容と放送時間は変更になる場合があります。</t>
  </si>
  <si>
    <t>1210_TBS_月20</t>
  </si>
  <si>
    <t>パーフェクト・ブルー</t>
  </si>
  <si>
    <t>番組名宮部みゆきミステリー「パーフェクト・ブルー」　第1話</t>
  </si>
  <si>
    <t>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根岸季衣　渡辺哲　寺脇康文　財前直見星野真里　窪田正孝　大沢健ほか『My Perfect　Blue 』柴崎コウ原作：宮部みゆき『パーフェクト ブルー』『心とろかすようなーマサの事件簿』（創元推理文庫）  脚本：山崎淳也  プロデューサー：白石統一郎、晴野善博  音楽：寺田志保  演出:唐木希浩  編成:永山由紀子http://www.tbs.co.jp/perfect-blue  番組のホームページでは、番組の情報や可愛らしいグッズを紹介しています。  ぜひ、ごらんになってください。『パーフェクト・ブルー』第1話予告動画公開中！  http://youtu.be/2XJYoq72NDI  番外編「糸子のいーとこどり」1 も！  http://youtu.be/9ugHrs_pZ1Q  C．A．L番組の内容と放送時間は変更になる場合があります。</t>
  </si>
  <si>
    <t>番組名宮部みゆきミステリー「パーフェクト・ブルー」　第2話</t>
  </si>
  <si>
    <t>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根岸季衣　渡辺哲　寺脇康文　財前直見平岡拓真　根岸泰樹　山崎一(他)『My Perfect　Blue 』柴咲コウ原作：宮部みゆき『パーフェクト ブルー』『心とろかすようなーマサの事件簿』（創元推理文庫）  脚本：山崎淳也  プロデューサー：白石統一郎、晴野善博  音楽：寺田志保  演出:唐木希浩  編成:永山由紀子第2話予告動画公開中！  こちらからどうぞ♪  http://youtu.be/1rXt5na_wII  http://www.tbs.co.jp/perfect-blue  番組のホームページでは、番組の情報や可愛らしいグッズを紹介しています。  ぜひ、ごらんになってください。C．A．L番組の内容と放送時間は変更になる場合があります。</t>
  </si>
  <si>
    <t>番組名宮部みゆきミステリー「パーフェクト・ブルー」　第3話</t>
  </si>
  <si>
    <t>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根岸季衣　渡辺哲　寺脇康文　財前直見手塚里美　愛華みれ　歌川椎子　水谷妃里(他)『My Perfect　Blue 』柴咲コウ原作：宮部みゆき『パーフェクト ブルー』『心とろかすようなーマサの事件簿』（創元推理文庫）  脚本：山崎淳也  プロデューサー：白石統一郎、晴野善博  音楽：寺田志保  演出:唐木希浩  編成:永山由紀子http://www.tbs.co.jp/perfect-blue  番組のホームページでは、番組の情報や可愛らしいグッズを紹介しています。  ぜひ、ごらんになってください。下記動画を公開中です！こちらからどうぞ♪  ■『パーフェクト・ブルー』番外編「糸子のいーとこどり」3  http://youtu.be/KT86W5knMDI  C．A．L番組の内容と放送時間は変更になる場合があります。</t>
  </si>
  <si>
    <t>番組名宮部みゆきミステリー「パーフェクト・ブルー」　第4話</t>
  </si>
  <si>
    <t>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平山あや、水上剣星、白鳥久美子（たんぽぽ）、中川大志、高橋春織、麻生かほ里、船越英一郎（友情出演）、根岸季衣、渡辺哲、寺脇康文、財前直見葛山信吾、早織、利重剛、戸谷公人『My Perfect　Blue 』柴咲コウ原作：宮部みゆき『心とろかすようなーマサの事件簿』（創元推理文庫）  脚本：高橋悠也  プロデューサー：白石統一郎、晴野善博  音楽：寺田志保  演出:浅見真史  編成:永山由紀子  http://www.tbs.co.jp/perfect-blue  番組のホームページでは、番組の情報や可愛らしいグッズを紹介しています。  ぜひ、ごらんになってください。C．A．L  番組のホームページでは、番組の情報や可愛らしいグッズを紹介しています。  ぜひ、ごらんになってください。番組の内容と放送時間は変更になる場合があります。</t>
  </si>
  <si>
    <t>番組名宮部みゆきミステリー「パーフェクト・ブルー」　第5話</t>
  </si>
  <si>
    <t>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平山あや、水上剣星、白鳥久美子（たんぽぽ）、中川大志、高橋春織、麻生かほ里、船越英一郎（友情出演）、根岸季衣、渡辺哲、寺脇康文、財前直見杉田かおる、菅原大吉、モロ師岡ほか『My Perfect　Blue 』柴咲コウ原作：宮部みゆき『心とろかすようなーマサの事件簿』（創元推理文庫）  脚本：高橋悠也  プロデューサー：白石統一郎、晴野善博  音楽：寺田志保  演出:浅見真史  編成:永山由紀子http://www.tbs.co.jp/perfect-blue  番組のホームページでは、番組の情報や可愛らしいグッズを紹介しています。  ぜひ、ごらんになってください。■番外編「糸子のいーとこどり」5公開中！こちらからどうぞ♪  http://youtu.be/uFUqNupiz-o  C．A．L  番組の内容と放送時間は変更になる場合があります。</t>
  </si>
  <si>
    <t>番組名宮部みゆきミステリー「パーフェクト・ブルー」　第6話</t>
  </si>
  <si>
    <t>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平山あや、水上剣星、白鳥久美子（たんぽぽ）、中川大志、高橋春織、麻生かほ里、船越英一郎（友情出演）、根岸季衣、渡辺哲、寺脇康文、財前直見MEGUMI、細田よしひこ、浜田晃、風祭ゆき ほか『My Perfect　Blue 』柴咲コウ原作：宮部みゆき『パーフェクト ブルー』『心とろかすようなーマサの事件簿』（創元推理文庫）  脚本：高橋悠也  プロデューサー：白石統一郎、晴野善博  音楽：寺田志保  演出:唐木希浩  編成:永山由紀子http://www.tbs.co.jp/perfect-blue  番組のホームページでは、番組の情報や可愛らしいグッズを紹介しています。  ぜひ、ごらんになってください。C．A．L番組の内容と放送時間は変更になる場合があります。</t>
  </si>
  <si>
    <t>番組名宮部みゆきミステリー「パーフェクト・ブルー」　第7話</t>
  </si>
  <si>
    <t>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根岸季衣　渡辺哲　寺脇康文　財前直見鶴見辰吾　田島令子　堀内正美『My Perfect　Blue 』柴咲コウ原作：宮部みゆき『心とろかすようなーマサの事件簿』（創元推理文庫）  脚本：高橋悠也  プロデューサー：白石統一郎　晴野善博　  音楽：寺田志保  演出:浅見真史  編成:永山由紀子http://www.tbs.co.jp/perfect-blue  番組のホームページでは、番組の情報や可愛らしいグッズを紹介しています。  ぜひ、ごらんになってください。第7話予告動画を公開中！  こちらからどうぞ♪  http://youtu.be/jqv1x1W76go  C．A．L番組の内容と放送時間は変更になる場合があります。</t>
  </si>
  <si>
    <t>番組名宮部みゆきミステリー「パーフェクト・ブルー」　第8話</t>
  </si>
  <si>
    <t>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根岸季衣　渡辺哲　寺脇康文　財前直見横山めぐみ　堀部圭亮　中島ひろ子『My Perfect　Blue 』柴咲コウ原作：宮部みゆき『パーフェクト ブルー』『心とろかすようなーマサの事件簿』（創元推理文庫）  脚本：高橋悠也  プロデューサー：白石統一郎、晴野善博  音楽：寺田志保  演出:唐木希浩  編成:永山由紀子http://www.tbs.co.jp/perfect-blue  番組のホームページでは、番組の情報や可愛らしいグッズを紹介しています。  ぜひ、ごらんになってください。下記動画を公開中です！こちらからどうぞ♪  ■『パーフェクト ブルー』第8話予告  http://youtu.be/qk3Y5zAZDZI  ■『パーフェクト・ブルー』番外編「糸子のいーとこどり」8  http://youtu.be/TgBI4sf8Jas    C．A．L番組の内容と放送時間は変更になる場合があります。</t>
  </si>
  <si>
    <t>番組名宮部みゆきミステリー「パーフェクト・ブルー」　第9話</t>
  </si>
  <si>
    <t>テレビで打者人形（野球のピッチャーが投球練習で打者の代わりに使用する人形）が燃やされる事件が頻繁に報道される最中、BAR「ラ・シーナ」のアルバイト・諸岡進也（中川大志）の母・諸岡久子（菊池麻衣子）が、進也の兄・克彦（野村周平）が脅迫されていると蓮見探偵事務所に相談に現れた。  克彦は球界からも注目されているピッチャーだが、「春の甲子園には出るな、（打者人形のように）燃やされるのはお前だ」と脅迫されているという。  しかし、克彦への脅迫を警察に訴え出れば、スキャンダルと騒がれ、甲子園の出場停止を言い渡されてしまう可能性もあると、蓮見探偵事務所に調査を依頼して来たのだ…。瀧本美織　平山あや　水上剣星　白鳥久美子（たんぽぽ）　中川大志　高橋春織　麻生かほ里　船越英一郎（友情出演）　根岸季衣　渡辺哲　寺脇康文　財前直見菊池麻衣子　野村周平　山埼銀之丞　奥貫薫『My Perfect　Blue 』柴咲コウ原作：宮部みゆき『パーフェクト ブルー』『心とろかすようなーマサの事件簿』（創元推理文庫）  脚本：高橋悠也  プロデューサー：白石統一郎、晴野善博  音楽：寺田志保  演出:唐木希浩  編成:永山由紀子http://www.tbs.co.jp/perfect-blue  番組のホームページでは、番組の情報や可愛らしいグッズを紹介しています。  ぜひ、ごらんになってください。▽9話の予告動画を公開中です！  http://youtu.be/u0y2PVY7edE  ▽「糸子のいーとこどり」9 も！  http://youtu.be/NTkUvZPVcho  C．A．L番組の内容と放送時間は変更になる場合があります。</t>
  </si>
  <si>
    <t>番組名宮部みゆきミステリー「パーフェクト・ブルー」　第10話</t>
  </si>
  <si>
    <t>主人公は、女性による女性のための「蓮見探偵事務所」に調査員として務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根岸季衣　白鳥久美子（たんぽぽ）　麻生かほ里　渡辺哲　水上剣星　中川大志　高橋春織　船越英一郎（友情出演）　寺脇康文　財前直見【第10話ゲスト】  野村周平、菊池麻衣子、近藤芳正、山崎銀之丞、奥貫薫、団時朗、古手川祐子『My Perfect　Blue 』柴咲コウ原作：宮部みゆき『心とろかすようなーマサの事件簿』（創元推理文庫）  脚本：高橋悠也  プロデューサー：白石統一郎  晴野善博  音楽：寺田志保  演出:浅見真史  編成:永山由紀子http://www.tbs.co.jp/perfect-blue  番組のホームページでは、番組の情報や可愛らしいグッズを紹介しています。  ぜひ、ごらんになってください。『パーフェクト・ブルー』第10話予告動画を公開しました！  http://youtu.be/rMgSR14rYlI  番外編「糸子のいーとこどり」10！  http://youtu.be/6mW3W3hoEto  C．A．L  番組の内容と放送時間は変更になる場合があります。</t>
  </si>
  <si>
    <t>番組名宮部みゆきミステリー「パーフェクト・ブルー」　第11話</t>
  </si>
  <si>
    <t>8年前、危機管理コンサルタントをしていたBAR「ラ・シーナ」のマスター椎名（寺脇康文）は、加代子（瀧本美織）の亡き父で新聞記者の浩一郎（船越英一郎）に医療ミスの情報を流していた。  その後、重大な事実を掴んだかに見えた浩一郎だが多くを語らず「もしもの事があったら娘たちを頼む」と椎名に言い残していたのだ。  果たして、医療ミスと「パーフェクト・ブルー」は関係があるのか…？瀧本美織　平山あや　根岸季衣　白鳥久美子（たんぽぽ）　麻生かほ里　渡辺哲　水上剣星　中川大志　高橋春織　船越英一郎（友情出演）　寺脇康文　財前直見野村周平　菊池麻衣子　近藤芳正　山崎銀之丞　団時朗　古手川祐子  (他)『My Perfect　Blue 』柴咲コウ原作：宮部みゆき『心とろかすようなーマサの事件簿』（創元推理文庫）  脚本：高橋悠也  プロデューサー：白石統一郎　晴野善博  音楽：寺田志保  演出:唐木希浩  編成:永山由紀子http://www.tbs.co.jp/perfect-blue  番組のホームページでは、番組の情報や可愛らしいグッズを紹介しています。  ぜひ、ごらんになってください。パーフェクトブルー最終話予告動画を公開しました！こちらからどうぞ♪  http://youtu.be/pOQf29v5UAk  瀧本美織登場!クランクアップ!『パーフェクト・ブルー』番外編　動画を公開しました！こちらからどうぞ♪  http://youtu.be/av3gBTi8DlY  C．A．L  番組の内容と放送時間は変更になる場合があります。</t>
  </si>
  <si>
    <t>1210_TBS_木21</t>
  </si>
  <si>
    <t>レジデント</t>
  </si>
  <si>
    <t>番組名木曜ドラマ9「レジデント～5人の研修医」　第1話</t>
  </si>
  <si>
    <t>美山しずく(仲里依紗)は、青林大学付属病院に勤務する1年目の研修医。しずくは、同期で同じく研修医の矢沢圭(林遣都)、真中潤一(増田貴久)、小岩井陽菜子(大政絢)、新城紗知(石橋杏奈)ら4人と共に、救急医療の最前線である救命センターに配属される。そこでは、研修医を医者とは思っていない宮島一樹(小澤征悦)、田淵育男(古田新太)、香澄弥生(須藤理沙)ら、腕も経験も豊富な指導医たちが待ち構えていた。しずくたちは、研修初日から激しい洗礼を受ける。自殺未遂の救急常連患者・夏希(山下リオ)、腹痛を訴える頑固患者・沢田(平泉成)など、次々と容赦なく運ばれてくる患者たち。絶対に失敗できない研修が始まった。美山しずく…仲里依紗  矢沢圭…林遣都  真中潤一…増田貴久（NEWS）  小岩井陽奈子…大政絢  新城紗知…石橋杏奈    香澄弥生…須藤理彩  前田一平…荒川良々  迫田恵子…光浦靖子（オアシズ）  (香澄研二…皆川猿時)    内海翔…波岡一喜  美山勝己…寺島進    田淵育男…古田新太  宮島一樹…小澤征悦千葉洋子…山田真歩  長谷川誠…松島庄汰  相田遥…志保  馬場恵…青谷優衣  飯田浩輔…奥野瑛太    【ゲスト】  沢田…平泉成  山下夏希…山下リオ  山下葉子…大家由祐子「Answer」/flumpool(A-Sketch)  【脚本】  永田優子  【音楽】  菅野祐悟  【医療指導】  山口芳裕(杏林大学医学部)  【プロデューサー】  北川雅一  沼田通嗣  【演出】  高成麻畝子【「研修医」とは…】  臨床研修期間中の医師。2004年度から、スーパーローテーション方式という制度が実施され、医師免許取得後2年間、主要な診療科において一定期間ずつローテーションを組んで研修を受ける。しずくたち5人の研修医は10月から救命救急センターで研修を受けることになった。【「青林大学救命救急センター」とは…】  複数診療科領域にまたがる2次、3次の重篤な救急患者から、1次の外来患者までを受け入れる救急医療機関。【「指導医」とは…】  高度な知識や技量、経験を持ち、認定医や専門医などを指導する立場にある医師・歯科医師として学会が認定した医師。▽番組HP  http://www.tbs.co.jp/resident2012/  ▽twitter  https://twitter.com/resident_tbs/テレパック  TBS  番組の内容と放送時間は変更になる場合があります。</t>
  </si>
  <si>
    <t>番組名木曜ドラマ9「レジデント～5人の研修医」　第2話</t>
  </si>
  <si>
    <t>しずく(仲里依紗)たちのもとに患者が救急搬送されてくる。彼は真中(増田貴久)が1度帰宅を許した患者、沢田(平泉成)であった。弥生(須藤理彩)に自らの失敗を責め立てられる真中。しかし、息つく間もなく救命センターには次々と患者が搬送される。間違って磁石を飲んでしまったと主張する神田(野間口徹)、訳ありなカップル、ケンジ(鈴木亮平)とキヨミ(水崎綾女)。そんな患者たちに、5人の研修医ができることとは…美山しずく…仲里依紗  矢沢圭…林遣都  真中潤一…増田貴久（NEWS）  小岩井陽奈子…大政絢  新城紗知…石橋杏奈    香澄弥生…須藤理彩  前田一平…荒川良々  迫田恵子…光浦靖子（オアシズ）  香澄研二…皆川猿時    田淵育男…古田新太  宮島一樹…小澤征悦千葉洋子…山田真歩  長谷川誠…松島庄汰  相田遥…志保  馬場恵…青谷優衣  飯田浩輔…奥野瑛太    【ゲスト】  沢田…平泉成  ケンジ…鈴木亮平  キヨミ…水崎綾女  神田…野間口徹  佳織…植木夏十「Answer」/flumpool(A-Sketch)  【脚本】  永田優子  【音楽】  菅野祐悟  【医療指導】  山口芳裕(杏林大学医学部付属病院高度救命救急センター)  【プロデューサー】  北川雅一　沼田通嗣  【演出】  高成麻畝子【「大動脈瘤」とは…】  胸部大動脈あるいは腹部大動脈の一部が拡大し、こぶ状になる病気である。大動脈瘤が破裂すると大量に出血するため、破裂した動脈を人工血管に取り替えない限り助からない。▽番組HP  http://www.tbs.co.jp/resident2012/  ▽twitter  https://twitter.com/resident_tbs/テレパック  TBS  番組の内容と放送時間は変更になる場合があります。</t>
  </si>
  <si>
    <t>番組名木曜ドラマ9「レジデント～5人の研修医」　第3話</t>
  </si>
  <si>
    <t>救命センターに搬送されてきた老女。駆けつけた息子夫婦、川上哲治(小野武彦)と順子(木内みどり)は責任のなすり合いを始め、離婚話にまで発展する。順子は哲治の性格が突然変わったとしずく(仲里依紗)にもらす。哲治の様子に疑問を持ったしずくは、熟年離婚の危機の裏に隠された思わぬ病気を発見する。  そんな中、腎臓移植の順番を待つ患者マヤ(吉田里琴)が搬送され、救命センターの緊張は頂点に達する。一方、紗知(石橋杏奈)の目の前に、過去に因縁のある少女リカ(相葉香凛)が現れる。紗知に憎しみを抱くリカ。しかし、リカは突然呼吸困難に襲われ倒れてしまう。紗知は意を決してリカを救おうとするが…美山しずく…仲里依紗  矢沢圭…林遣都  真中潤一…増田貴久（NEWS）  小岩井陽奈子…大政絢  新城紗知…石橋杏奈    香澄弥生…須藤理彩  前田一平…荒川良々  迫田恵子…光浦靖子  香澄研二…皆川猿時    田淵育男…古田新太  宮島一樹…小澤征悦千葉洋子…山田真歩  長谷川誠…松島庄汰  相田遥…志保  馬場恵…青谷優衣  飯田浩輔…奥野瑛太【ゲスト】  川上哲治…小野武彦  川上順子…木内みどり  川上フミ…宮内順子  河野リカ…相葉香凛  河野真弓…古村比呂  斉藤マヤ…吉田里琴  斉藤美加子…伊藤かずえ  斉藤健介…加門良「Answer」/flumpool(A-Sketch)  脚本:永田優子  音楽:菅野祐悟  医療指導:山口芳裕(杏林大学医学部付属病院高度救命救急センター)  プロデューサー:北川雅一　沼田通嗣  演出:高成麻畝子「前頭側頭型認知症」とは…  大脳のうち前頭葉と側頭葉が特異的に委縮する病気。「ピック病」とも呼ばれる。日本国内に1万人以上の患者がいると推定されるが、診断が難しいため放置されてしまうケースが多い。「急性咽頭炎」とは…  細菌の感染などで起こる咽頭の炎症。咽頭の痛みのほか全身倦怠感、頭痛、発熱なども伴う。炎症がひどくなると、喉頭の上を塞いでしまい、呼吸困難になることもある。▽番組HP  http://www.tbs.co.jp/resident2012/  ▽twitter  https://twitter.com/resident_tbs/  テレパック  TBS  番組の内容と放送時間は変更になる場合があります。</t>
  </si>
  <si>
    <t>番組名木曜ドラマ9「レジデント～5人の研修医」　第4話</t>
  </si>
  <si>
    <t>しずく(仲里依紗)は街中で一人の少女、上野ルカ(杉咲花)が倒れる現場に出くわす。すぐさま、救急搬送されるルカ。しかし、駆けつけた母親、上野薫(若村麻由美)はルカが仮病だと主張する。薫のルカへの異常な教育に宮島(小澤征悦)たち指導医も困惑してしまう…  一方、矢沢(林遣都)のもとには、さまざまな症状をうったえる老女、高村志津(加賀まりこ)が何度も通っていた。しかし、その原因は一向に特定できない。病気ではないと志津を突き放す矢沢だが、志津は矢沢に意外な頼みごとをする。「水族館に連れて行って欲しい」。ためらう矢沢をよそに、紗知(石橋杏奈)は志津の頼みを快く受け入れてしまう…美山しずく…仲里依紗  矢沢圭…林遣都  真中潤一…増田貴久（NEWS）  小岩井陽奈子…大政絢  新城紗知…石橋杏奈    香澄弥生…須藤理彩  前田一平…荒川良々  迫田恵子…光浦靖子（オアシズ）  香澄研二…皆川猿時    内海翔…波岡一喜  美山勝己…寺島進    田淵育男…古田新太  宮島一樹…小澤征悦千葉洋子…山田真歩  長谷川誠…松島庄汰  相田遥…志保  馬場恵…青谷優衣  飯田浩輔…奥野瑛太【ゲスト】  高村志津…加賀まりこ    上野薫…若村麻由美    上野ルカ…杉咲花  ツルコ…前田健  カメコ…深沢敦「Answer」/flumpool(A-Sketch)  【脚本】  永田優子  【音楽】  菅野祐悟  【医療指導】  山口芳裕(杏林大学医学部付属病院高度救命救急センター)  【プロデューサー】  北川雅一  沼田通嗣  【演出】  吉田秋生「氷食症」とは…  無性に氷を食べたくなる病気。主たる原因は鉄欠乏とされ、女性に見られることが多い。味覚が変わることによって、氷を食べると考えられているが、未だ不明な点が多い。「心筋梗塞」とは…  虚血性心疾患のうちの一つ。心臓が栄養としている冠動脈の血流量が下がり、心筋が虚血状態になり壊死してしまった状態。▽番組HP  http://www.tbs.co.jp/resident2012/  ▽twitter  https://twitter.com/resident_tbs/テレパック  TBS  番組の内容と放送時間は変更になる場合があります。</t>
  </si>
  <si>
    <t>番組名木曜ドラマ9「レジデント～5人の研修医」　第5話</t>
  </si>
  <si>
    <t>病院内で不審者騒動が起こる。しずく(仲里依紗)たちが不審な男を捕まえると、男は病院を寿退社する看護師、水野あおい(原田夏希)の父親、佐久間(本田博太郎)であった。佐久間はかつてあおいを捨て、家を出て行ったが、あおいの花嫁姿を見るために現れた。しかし、結婚式を前に、佐久間から危険な病気が発見される。どうしても、結婚式に出たいという佐久間を止められないしずくは、指導医、宮島(小澤征悦)と衝突する。一方、病院には指導医、田淵(古田新太)の旧友、田村敏夫(津田寛治)が入院していた。余命3カ月という末期癌を抱えながら田村は息子、ハル(土師野隆之介)と野球の試合を見に行く約束をするが…美山しずく…仲里依紗  矢沢圭…林遣都  真中潤一…増田貴久（NEWS）  小岩井陽奈子…大政絢  新城紗知…石橋杏奈    香澄弥生…須藤理彩  前田一平…荒川良々  迫田恵子…光浦靖子（オアシズ）  (香澄研二…皆川猿時)  田淵育男…古田新太  宮島一樹…小澤征悦    千葉洋子…山田真歩  長谷川誠…松島庄汰  相田遥…志保  馬場恵…青谷優衣  飯田浩輔…奥野瑛太田村敏夫…津田寛治  田村雪子…澤口夏奈子  田村ハル…土師野隆之介    佐久間…本田博太郎  水野あおい…原田夏希  藤井翼…藤本哉汰「Answer」/flumpool(A-Sketch)  【脚本】  永田優子  【音楽】  菅野祐悟  【医療指導】  山口芳裕(杏林大学医学部)  【プロデューサー】  北川雅一  沼田通嗣  【演出】  高成麻畝子「肺癌」とは…  肺に発生する、上皮細胞由来の悪性腫瘍。世界的に最も致死的ながんであるが、早期に発見された場合は手術か放射線治療でその多くを治癒することができる。「大動脈瘤」とは…  胸部大動脈あるいは腹部大動脈の一部が拡大し、こぶ状になる病気である。大動脈瘤が破裂すると大量に出血するため、破裂した動脈を人工血管に取り替えない限り助からない。▽番組HP  http://www.tbs.co.jp/resident2012/  ▽twitter  https://twitter.com/resident_tbs/テレパック  TBS  番組の内容と放送時間は変更になる場合があります。</t>
  </si>
  <si>
    <t>番組名木曜ドラマ9「レジデント～5人の研修医」　第6話</t>
  </si>
  <si>
    <t>しずく(仲里依紗)が通うボクシングジムで陽菜子(大政絢)は、元プロボクサー、赤城雄太(宮尾俊太郎)と出会う。常日頃、何かにつけて自信満々な陽菜子だが、雄太から生まれて初めてバカ呼ばわりされ、そのプライドを傷つけられてしまう。お互い正反対の性格の二人だが、素直な言葉を交わすうちに次第に惹かれ合っていく。ある日、青林大学病院で雄太を見かけた陽菜子は、彼が不治の病に侵されていることを知り…一方、しずくたちの先輩にあたる専修医、一平(荒川良々)は何度も失敗を繰り返し、指導医たちから「研修医以下」と責められていた。自信を喪失する一平の前に、彼の尊敬する外科医、山村武(篠田三郎)が現れる。美山しずく…仲里依紗  矢沢圭…林遣都  真中潤一…増田貴久（NEWS）  小岩井陽奈子…大政絢  新城紗知…石橋杏奈    香澄弥生…須藤理彩  前田一平…荒川良々  迫田恵子…光浦靖子（オアシズ）  香澄研二…皆川猿時  内海翔…波岡一喜    田淵育男…古田新太  宮島一樹…小澤征悦    千葉洋子…山田真歩  長谷川誠…松島庄汰  相田遥…志保  馬場恵…青谷優衣  飯田浩輔…奥野瑛太【第6話ゲスト】  赤城雄太…宮尾俊太郎  山村武…篠田三郎「脳幹部神経膠腫(のうかんぶしんけいこうしゅ)」とは…  脳に発生するもっとも頻度の高い腫瘍で、グリオームともいい、中枢神経系のあらゆる部位に発生する。原発性脳腫瘍の35～50％を占める。「心筋挫傷」とは…  鈍的外力によって心臓が強く圧迫された結果、心筋組織の断裂や壊死、出血、浮腫などが生じ、さまざまな程度の心機能障害を起こすもの。「Answer」/flumpool(A-Sketch)  【脚本】  永田優子  【音楽】  菅野祐悟  【医療指導】  山口芳裕(杏林大学医学部)  【プロデューサー】  北川雅一  沼田通嗣  【演出】  高成麻畝子▽番組HP  http://www.tbs.co.jp/resident2012/  ▽twitter  https://twitter.com/resident_tbs/テレパック  TBS  番組の内容と放送時間は変更になる場合があります。</t>
  </si>
  <si>
    <t>番組名木曜ドラマ9「レジデント～5人の研修医」　第7話</t>
  </si>
  <si>
    <t>しずく(仲里依紗)は疎遠になっていた双子の弟、皆人(千葉雄大)と偶然出会う。しっかり者の姉しずくにコンプレックスを抱えて来た皆人は両親に無断で大学の医学部を辞めていた。初めて皆人の気持ちを知り、戸惑うしずく。一方、救急センターには新村絵里子(松田沙紀)が腹痛で搬送されてくる。絵里子の妊娠が発覚し、妹汐里(黒川芽以)との姉妹の確執が露わになる。そんな姉妹の様子に、しずくは自分たちを重ねてしまう…また、矢沢(林遣都)のもとには虐待の疑いのある少年、大輝(君野夢真)が搬送されてくる。大輝を迎えに来た両親を見て驚く矢沢…大輝の父親は矢沢の幼馴染、橋本リョウジ(菅田将暉)であった。美山しずく…仲里依紗  矢沢圭…林遣都  真中潤一…増田貴久（NEWS）  小岩井陽奈子…大政絢  新城紗知…石橋杏奈    香澄弥生…須藤理彩  前田一平…荒川良々  迫田恵子…光浦靖子（オアシズ）  香澄研二…皆川猿時  美山皆人…千葉雄大    田淵育男…古田新太  宮島一樹…小澤征悦  千葉洋子…山田真歩  長谷川誠…松島庄汰  相田遥…志保  馬場恵…青谷優衣  飯田浩輔…奥野瑛太【ゲスト】  橋本リョウジ…菅田将暉  橋本亜希…平田薫  橋本大輝…君野夢真    新村絵里子…松田沙紀  新村汐里…黒川芽以  新村美津子…田島令子  三上達哉…内田朝陽「Answer」/flumpool(A-Sketch)  【脚本】  永田優子  【音楽】  菅野祐悟  【医療指導】  山口芳裕(杏林大学医学部)  【プロデューサー】  北川雅一　沼田通嗣  【演出】  吉田秋生【「児童虐待」とは…】  「身体的虐待」、「性的虐待」、「ネグレクト」、「心理的虐待」の4種類に分類され、その相談対応件数（平成23年度）は、児童虐待防止法施行前（平成11年度）の5．1倍に増加している。【「合計特殊出生率」とは…】  人口統計上の指標で、一人の女性が一生に産む子供の平均数。　2011年の合計特殊出生率は1.39で前年と同値であり、2005年の1.26を底に上昇傾向にある。▽番組HP  http://www.tbs.co.jp/resident2012/  ▽twitter  https://twitter.com/resident_tbs/テレパック  TBS  番組の内容と放送時間は変更になる場合があります。</t>
  </si>
  <si>
    <t>番組名木曜ドラマ9「レジデント～5人の研修医」　第8話</t>
  </si>
  <si>
    <t>救命センターに脊髄腫瘍の患者、新井友久(古舘寛治)が搬送されてくる。患者の妻は、指導医、宮島(小澤征悦)の元妻、新井美帆子(吉田羊)であった。新井は手術で命は助かったとしても、車いす生活を強いられる状態。手術を拒む夫を救って欲しいと、美帆子は宮島に訴える。  一方、弥生(須藤理沙)は自らが助けた患者が寝たきり状態になり、息子の佐藤充(中村有志)から責め立てられていた。その姿にしずく(仲里依紗)たち研修医は医師という仕事の現実を改めて思い知る。  そんな中、矢沢(林遣都)の前に自分を捨てた母親、久美(高岡早紀)が現れる。矢沢は動揺を隠し、必死に久美を避けようとするが…美山しずく…仲里依紗  矢沢圭…林遣都  真中潤一…増田貴久（NEWS）  小岩井陽奈子…大政絢  新城紗知…石橋杏奈    香澄弥生…須藤理彩  前田一平…荒川良々  迫田恵子…光浦靖子（オアシズ）  香澄研二…皆川猿時    美山皆人…千葉雄大  美山涼子…山下容莉枝    美山勝己…寺島進    田淵育男…古田新太  宮島一樹…小澤征悦千葉洋子…山田真歩  長谷川誠…松島庄汰  相田遥…志保  馬場恵…青谷優衣  飯田浩輔…奥野瑛太矢沢久美…高岡早紀    新井美帆子…吉田羊  新井友久…古舘寛治    佐藤充…中村有志  佐藤悦子…高田敏江「Answer」/flumpool(A-Sketch)  【脚本】  永田優子  【音楽】  菅野祐悟  【医療指導】  山口芳裕(杏林大学医学部付属病院高度救命救急センター)  【プロデューサー】  北川雅一　沼田通嗣  【演出】  渋谷未来【「星細胞腫」とは…】  脊髄に発生する悪性腫瘍の一種で、周囲の頸胸部にしみ込むように拡がっていき、手術で全部摘出することは困難。手術後の放射線療法や化学療法などが必要となる。【「脳梗塞」とは…】  脳の血管が何らかの原因で細くなるか、つまってしまうことにより血流障害が生じ、その血管から血液を供給されている脳が壊死（えし）してしまう状態。意識障害が生じ生命危機に瀕することもある。▽番組HP  http://www.tbs.co.jp/resident2012/  ▽twitter  https://twitter.com/resident_tbs/テレパック  TBS  番組の内容と放送時間は変更になる場合があります。</t>
  </si>
  <si>
    <t>番組名木曜ドラマ9「レジデント～5人の研修医」　第9話</t>
  </si>
  <si>
    <t>しずく(仲里依紗)の双子の弟、皆人(千葉雄大)が救急搬送されてくる。感染症により壊死状態の皆人の右腕…宮島(小澤征悦)は緊急手術が必要だと判断する。しかし、皆人の命を救うには腕を切断しなければならない。しずくは重大な決断を迫られる…  また、自殺未遂で救急搬送されてきた悦子(高田敏江)にショックを隠せない真中(増田貴久)。息子の充(中村有志)に責め立てられ、真中は医師という仕事の現実を痛感する。一方、矢沢(林遣都)のもとには母親の久美(高岡早紀)がしつこく訪れていた。酒に酔った勢いで「あんたを産んだせいで人生がめちゃくちゃだ」と矢沢に言い放つ久美。その反動から、矢沢は大量の酒を呷ってしまう…美山しずく…仲里依紗  矢沢圭…林遣都  真中潤一…増田貴久（NEWS）  小岩井陽奈子…大政絢  新城紗知…石橋杏奈    香澄弥生…須藤理彩  前田一平…荒川良々  迫田恵子…光浦靖子（オアシズ）  (香澄研二…皆川猿時)  田淵育男…古田新太  宮島一樹…小澤征悦    千葉洋子…山田真歩  長谷川誠…松島庄汰  相田遥…志保  馬場恵…青谷優衣  飯田浩輔…奥野瑛太矢沢久美…高岡早紀    佐藤充…中村有志  佐藤悦子…高田敏江「Answer」/flumpool(A-Sketch)  【脚本】  永田優子  【音楽】  菅野祐悟  【医療指導】  山口芳裕(杏林大学医学部)  【プロデューサー】  北川雅一  沼田通嗣  【演出】  高成麻畝子「A群β溶血性レンサ球菌」とは…  化膿レンサ球菌とも呼ばれ、健康なヒトの咽頭や消化管、表皮にも生息する常在細菌の一種。GAS感染症と呼ばれる各種の化膿性疾患など、多様な疾患の原因になる。「アルコール依存症」とは…  飲酒などアルコールの摂取によって得られる精神的、肉体的な薬理作用に強くとらわれ、自らの意思で飲酒行動をコントロールできなくなり、強迫的に飲酒行為を繰り返す精神疾患。▽番組HP  http://www.tbs.co.jp/resident2012/  ▽twitter  https://twitter.com/resident_tbs/テレパック  TBS  番組の内容と放送時間は変更になる場合があります。</t>
  </si>
  <si>
    <t>番組名木曜ドラマ9「レジデント～5人の研修医」　第10話</t>
  </si>
  <si>
    <t>アルコールと薬物の過量摂取により意識不明となった矢沢(林遣都)は、間一髪のところを真中(増田貴久)、陽菜子(大政絢)、紗知(石橋杏奈)たちによって救出される。だが、意識を取り戻した矢沢は、母親のトラウマで生きる気力を失っていた。真中たちは必死に矢沢を救おうとするが…  一方、しずく(仲里依紗)は、右腕を切断し失意の弟、皆人(千葉雄大)の退院を見送っていた。医者としての自信を失いかけるしずく。そんなとき、病院の目の前で、大規模な地下鉄の脱線事故が起こる。膨大な数の犠牲者たち。しずく(仲里依紗)たち研修医は息つく間もなく、宮島(小澤征悦)たち指導医と共に、犠牲者の救助に向かう…美山しずく…仲里依紗  矢沢圭…林遣都  真中潤一…増田貴久（NEWS）  小岩井陽奈子…大政絢  新城紗知…石橋杏奈    香澄弥生…須藤理彩  前田一平…荒川良々  迫田恵子…光浦靖子（オアシズ）  香澄研二…皆川猿時    美山皆人…千葉雄大  美山涼子…山下容莉枝    美山勝己…寺島進    田淵育男…古田新太  宮島一樹…小澤征悦千葉洋子…山田真歩  長谷川誠…松島庄汰  相田遥…志保  馬場恵…青谷優衣  飯田浩輔…奥野瑛太  【ゲスト】  矢沢久美…高岡早紀「Answer」/flumpool(A-Sketch)  【脚本】  永田優子  【音楽】  菅野祐悟  【医療指導】  山口芳裕(杏林大学医学部付属病院高度救命救急センター)  【プロデューサー】  北川雅一  沼田通嗣  【演出】  高成麻畝子「オーバードース」とは…  化学物質を、生体のホメオスタシスがそこなわれるほど多量にまたは集中的に摂取すること、それによって起こる状態、症状。心身に深刻な症状を引き起こし、死亡する場合もある。「挟圧(きょうあつ)外傷」とは…  胴体や手足などを挟まれて起こるケガ。身体の一部が長時間挟まれるなど圧迫されたことにより挫滅(ざめつ)症候群を起こす恐れがある。地震や事故などの災害時に多く報告される。▽番組HP  http://www.tbs.co.jp/resident2012/  ▽twitter  https://twitter.com/resident_tbs/  テレパック  TBS  番組の内容と放送時間は変更になる場合があります。</t>
  </si>
  <si>
    <t>1210_TBS_日21</t>
  </si>
  <si>
    <t>MONSTERS</t>
  </si>
  <si>
    <t>番組名日曜劇場「MONSTERS」　第1話</t>
  </si>
  <si>
    <t>大財閥の会長が、まさかのトリックで殺害された！そして消えた80億円…！次々と浮かぶ容疑者たち。  香取慎吾演じる平塚平八刑事は、山下智久演じる新人刑事・西園寺公輔というパートナーとともに、この難事件に立ち向かう！平八のするどい推理と西園寺の汗かきまくるド根性が、大財閥という華麗なる一族の裏側を暴く！  豪華なゲストを迎えて送る初回2時間SP！慇懃無礼だが実は他人の気持ちには興味がない…  特に犯罪者に対しては、爪を隠した猛獣のようにニタニタしながらもてあそび、最後にちゃんと逮捕する！  正義のために邁進する…というよりは知的な狩りを楽しむ変人刑事！  善とも悪とも判別不能のニューヒーロー誕生！平塚平八…香取慎吾（SMAP）／西園寺公輔…山下智久／高野恵美…柳原可奈子／剣持亘…大竹まこと／金田一…遠藤憲一／金田班…蕨野友也、菊田大輔、肥野竜也、白石朋也、日中泰景【第1話ゲスト】  西崎達三…武田鉄矢／徳平洋子…高島礼子／徳平伸一郎…岡田義徳／徳平麻美…加藤夏希／徳平國男…団時朗／内田和枝…角替和枝／室岡徹…桐山漣香取・山下の初共演コンビが挑むのは、ともに初体験の”刑事”役！香取は今までにないミステリアスな変人刑事。天才的なひらめきでまさかのトリックを暴く！一方山下も、彼史上初の熱血新人刑事という役に挑戦！The MONSTERS  「MONSTERS」（ビクターエンタテインメント）【脚本】蒔田光治  【演出】福澤克雄、平野俊一、大澤祐樹  【プロデュース】石丸彰彦、高橋正尚、阿部謙三▽番組HP  http://www.tbs.co.jp/MONSTERS/  ▽Twitter  http://twitter.com/MONSTERS_tbs  番組の内容と放送時間は変更になる場合があります。</t>
  </si>
  <si>
    <t>番組名日曜劇場「MONSTERS」　第2話</t>
  </si>
  <si>
    <t>白熱する衆議院選挙のさなか、野党・大畑幸三（浅野和之）の妻が殺害された！金田（遠藤憲一）班の捜査により、妻をつけ狙っていたと見られる暴力団構成員・田川一成（渡部豪太）を逮捕。対立する与党・鷺沼晋太郎（岩松了）の差し金かと思われたが…。一方、平八（香取慎吾）と西園寺（山下智久）には、選挙戦の裏に潜む驚くべき真実と陰謀の渦が襲いかかる！！そして何と…平八が殺人の容疑者に！？いきなり絶対絶命のピンチ！！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彼史上初の熱血新人刑事という役に挑戦！！平塚平八…香取慎吾（SMAP）／西園寺公輔…山下智久／高野恵美…柳原可奈子／金田一…遠藤憲一／金田班…蕨野友也、菊田大輔、肥野竜也、白石朋也、日中泰景【第2話ゲスト】  大畑幸三…浅野和之／山村省一…山本耕史／鷺沼晋太郎…岩松了／大畑久美子…古川りか／丸田恭治…森田順平／田川一成…渡部豪太The MONSTERS  「MONSTERS」（ビクターエンタテインメント）【脚本】蒔田光治  【演出】福澤克雄、平野俊一、大澤祐樹、石井康晴  【プロデュース】石丸彰彦、高橋正尚、阿部謙三【番組HP】  http://www.tbs.co.jp/MONSTERS/  【Twitter】  http://twitter.com/MONSTERS_tbs  番組の内容と放送時間は変更になる場合があります。</t>
  </si>
  <si>
    <t>番組名日曜劇場「MONSTERS」　第3話</t>
  </si>
  <si>
    <t>人里はなれた山荘で殺人事件発生！かつての売れっ子推理作家・島村勉（小林隆）が遺体で発見された！残された血塗られたダイイングメッセージの意味とは！容疑者に浮上したのは、文学賞レースを争う推理作家・篠田恭四郎（中村橋之助）と矢崎健吾（白井晃）。推理小説を超える驚愕のリアルミステリー！平八（香取慎吾）と西園寺（山下智久）が挑むのは、ミステリーのプロが作り上げた完璧な時間トリック！！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彼史上初の熱血新人刑事という役に挑戦！！平塚平八…香取慎吾（SMAP）／西園寺公輔…山下智久／高野恵美…柳原可奈子／金田一…遠藤憲一／金田班…蕨野友也、菊田大輔、肥野竜也、白石朋也、日中泰景篠田恭四郎…中村橋之助／矢崎健吾…白井晃／島村勉…小林隆／相沢新一…内倉憲二今週、香取慎吾が挑戦する長台詞は・・・なんと台本約16ページ！！219行！！  果たしてどんな謎解きが繰り広げられるのか！？  進化し続ける香取慎吾から目が離せない！！The MONSTERS  「MONSTERS」（ビクターエンタテインメント）【脚本】蒔田光治  【演出】福澤克雄、平野俊一、大澤祐樹、石井康晴  【プロデュース】石丸彰彦、高橋正尚、阿部謙三▽番組HP  http://www.tbs.co.jp/MONSTERS/  ▽Twitter  http://twitter.com/MONSTERS_tbs  番組の内容と放送時間は変更になる場合があります。</t>
  </si>
  <si>
    <t>番組名日曜劇場「MONSTERS」　第4話</t>
  </si>
  <si>
    <t>次期教授選を前に、医局に届いた衝撃の殺人予告と、血まみれのナイフ…すると、屋外で門倉教授（佐々木勝彦）の遺体が発見された！平八（香取慎吾）と入院中の西園寺（山下智久）は、見通しの良すぎる犯行現場に疑問を抱く。犯人は”透明人間”なのか！？製薬会社との癒着を疑われていた安東准教授（吉田栄作）が怪しいと思われたが、安東には完璧なアリバイが…！！一方、医師の村川（佐藤二朗）は過去の医療ミスを隠していて…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金田一…遠藤憲一／金田班…蕨野友也、菊田大輔、肥野竜也、白石朋也、日中泰景【第4話ゲスト】  安東研一…吉田栄作／村川英樹…佐藤二朗／門倉俊三…佐々木勝彦／土田隆弘…尾上寛之／  鈴木佳代…波瑠／小林勉…桜井聖／看護師…建みさと今週、香取慎吾が挑戦する長台詞は・・・なんと台本約16ページ！！217行！！  果たしてどんな謎解きが繰り広げられるのか！？The MONSTERS  「MONSTERS」（ビクターエンタテインメント）【脚本】蒔田光治  【演出】福澤克雄、平野俊一、大澤祐樹、石井康晴  【プロデュース】石丸彰彦、高橋正尚、阿部謙三▽番組HP  http://www.tbs.co.jp/MONSTERS/  ▽Twitter  http://twitter.com/MONSTERS_tbs  番組の内容と放送時間は変更になる場合があります。</t>
  </si>
  <si>
    <t>番組名日曜劇場「MONSTERS」　第5話</t>
  </si>
  <si>
    <t>伝統か最先端の科学か…料理界初の永世王座をかけた丸岡龍次郎（榎木孝明）と挑戦者・四条敦彦（中村俊介）、注目の料理対決を二日後に控え、審査委員長・大河原六郎（奥田達士）が殺された！！遺体の下から発見された携帯電話からは、何のものともつかない奇妙な匂いが…カリスマ料理人たちが仕掛ける”まさかの料理トリック”！！平八（香取慎吾）＆西園寺（山下智久）が推理した、完全犯罪の意外な隠し味…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剣持亘…大竹まこと／金田一…遠藤憲一／金田班…蕨野友也、菊田大輔、肥野竜也、白石朋也、日中泰景丸岡龍次郎…榎木孝明／四条敦彦…中村俊介／大河原六郎…奥田達士／大河原美津子…生田智子／青山春夫…内野謙太／ホテルの総支配人…伊藤正之あの名門サスペンスの主人公が、奇跡の新旧対決！！  そして今週、香取慎吾が挑戦する長台詞は・・・なんと台本約18ページ！！248行！！  果たしてどんな謎解きが繰り広げられるのか！？The MONSTERS  「MONSTERS」（ビクターエンタテインメント）【脚本】蒔田光治  【演出】福澤克雄、平野俊一、大澤祐樹、石井康晴  【プロデュース】石丸彰彦、高橋正尚、阿部謙三▽番組HP  http://www.tbs.co.jp/MONSTERS/  ▽Twitter  http://twitter.com/MONSTERS_tbs  番組の内容と放送時間は変更になる場合があります。</t>
  </si>
  <si>
    <t>番組名日曜劇場「MONSTERS」　第6話</t>
  </si>
  <si>
    <t>価値数百億円の新素材の開発に成功した科学者の本間実（中村獅童）。しかしその最高機密がまさかの流出！さらに「犯人を知っている」という研究員・香川修一（眞島秀和）が殺されるという事件に発展！！エリート科学者が紡ぎだす完全無欠の密室トリック！！所轄に戻された西園寺（山下智久）が、捜査一課復帰をかけて解決の糸口を手繰り寄せる！一方平八（香取慎吾）には、警察上層部との裏の繋がりが発覚！！遂にその正体が…！？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剣持亘…大竹まこと／金田一…遠藤憲一／金田班…蕨野友也、菊田大輔、肥野竜也、白石朋也、日中泰景本間実…中村獅童／野口秀彦…西岡徳馬／香川修一…眞島秀和／松原健吉…小木茂光／安岡仁…植木紀世彦／島田昭雄…菊池均也／香川敦子…遊井亮子今週、香取慎吾が挑戦する長台詞は・・・なんと台本約18ページ！！249行！！  果たしてどんな謎解きが繰り広げられるのか！？The MONSTERS  「MONSTERS」（ビクターエンタテインメント）【脚本】蒔田光治  【演出】福澤克雄、平野俊一、大澤祐樹、石井康晴  【プロデュース】石丸彰彦、高橋正尚、阿部謙三▽番組HP  http://www.tbs.co.jp/MONSTERS/  ▽Twitter  http://twitter.com/MONSTERS_tbs  番組の内容と放送時間は変更になる場合があります。</t>
  </si>
  <si>
    <t>番組名日曜劇場「MONSTERS」　第7話</t>
  </si>
  <si>
    <t>怪しいジャーナリスト・二階堂太（榊英雄）が殺害された！キーホルダーが現場に落ちていたことから、若き政治家・沢村誠一（大沢健）が逮捕される。彼の恋人で、無敗の女弁護士・藤川美紗子（水野美紀）は沢村の無実を証明する為、愛をかけた弁護に挑む！そしてなぜか平八（香取慎吾）は、裁判に巻き込まれ法廷に立つ……絶対に負けない女弁護士との愛とプライドをかけた激突！！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金田一…遠藤憲一／金田班…蕨野友也、菊田大輔、肥野竜也、白石朋也、日中泰景【第7話ゲスト】  藤川美紗子…水野美紀／沢村誠一…大沢健／黒崎正義…藤本隆宏／二階堂太…榊英雄／岩淵統吾郎…田口主将／小島とよ子…大谷英子今週、香取慎吾が挑戦する長台詞は・・・なんと台本20ページ！！280行！！  果たしてどんな謎解きが繰り広げられるのか！？The MONSTERS  「MONSTERS」（ビクターエンタテインメント）【脚本】蒔田光治  【演出】福澤克雄、平野俊一、大澤祐樹、石井康晴  【プロデュース】石丸彰彦、高橋正尚、阿部謙三▽番組HP  http://www.tbs.co.jp/MONSTERS/  ▽Twitter  http://twitter.com/MONSTERS_tbs  番組の内容と放送時間は変更になる場合があります。</t>
  </si>
  <si>
    <t>番組名日曜劇場「MONSTERS」　第8話</t>
  </si>
  <si>
    <t>ピアニスト・高林佳菜のもとに送られてきた謎の脅迫状…山深い故郷での公演前夜、村の迎賓館でパーティーの最中に、佳菜のパトロン・小田切が殺された！凶器のナイフには20年も前の未解決事件で盗まれた毒物が塗られていた…捜査に奔走する平八と西園寺だが…完全に裏をかかれ、全く同じ方法で、あらたな殺人が起きてしまうー!!20年に及ぶ殺害計画！それは果たして人間の仕業なのか、それとも怨念に取り付かれた幽霊なのか…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剣持亘…大竹まこと／金田一…遠藤憲一／金田班…蕨野友也、菊田大輔、肥野竜也、白石朋也、日中泰景関根純平…中村蒼／高林佳菜…佐津川愛美／諏訪敦史…西村和彦／鎌田吾一…六平直政／松原健吉…小木茂光／杉山ハツ子…広岡由里子／小田切龍三…芹澤名人／神田たみ子…いとうまい子今週、香取慎吾が挑戦する長台詞は・・・なんと台本23ページ！！318行！！  果たしてどんな謎解きが繰り広げられるのか！？The MONSTERS  「MONSTERS」（ビクターエンタテインメント）【脚本】蒔田光治  【演出】福澤克雄、平野俊一、大澤祐樹、石井康晴  【プロデュース】石丸彰彦、高橋正尚、阿部謙三▽番組HP  http://www.tbs.co.jp/MONSTERS/  ▽Twitter  http://twitter.com/MONSTERS_tbs  番組の内容と放送時間は変更になる場合があります。</t>
  </si>
  <si>
    <t>1207_TBS_月20</t>
  </si>
  <si>
    <t>浪花少年探偵団</t>
  </si>
  <si>
    <t>番組名浪花少年探偵団　第1話</t>
  </si>
  <si>
    <t>大阪・大路小学校に、嵐を呼ぶ女・竹内しのぶ（多部未華子）が常任講師として着任。早速事件が起こる。しのぶの生徒の父親が殺害されたという！被害者と同じアパートで暮らす山田徳子（久本雅美）は事件の夜、被害者が軽自動車で出かけたと証言し、死亡推定時刻を確証。  警察は妻や友人など怪しい人物を調べるが、それぞれに鉄壁のアリバイがあり、大阪府警の捜査は難航。しのぶは、可愛い教え子の為に一肌脱ごうと決意。しのぶは気落ちした生徒のアパートを訪れ力づける、さらに少年探偵団の活躍もあり、情報を整理するうちに、警察も見落としていた意外な真実を発見。それはウルトラCとも言える、驚愕のトリックであった…多部未華子  小池徹平  山本耕史  木村文乃  斎藤由貴  温水洋一  段田安則  小日向文世  松阪慶子  まえだまえだ（前田航基・前田旺志郎）  濱田龍臣  高橋晃  八木優希  二宮星  吉井一肇  浜辺美波  伊澤柾樹  吉岡竜輝  橋本一輝  吉沢海音  【ゲスト】  久本雅美  木村祐一  六角精児  姜暢雄  大谷亮介  長谷川智晴  雪代敬子  八十田勇一  富田靖子多部未華子演じるしのぶセンセの、痛快な啖呵と、笑顔の可愛さのギャップが最高。そして特訓を重ねた大阪弁が心地よい。オリンピックに負けない感動と、東野圭吾の緻密なトリックが、毎回唸らせてくれます！夏の暑さを忘れさせてくれる爽快なエンターテインメント。事件。怪事件の背景にあるのは人間の悲哀と暖かさ。トリックの解明と人間ドラマが絡み合った果てに、しのぶの活躍がスカッとさせてくれます。◆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吉田紀子（「Dr・コトー診療所」「涙そうそう」）◆プロデューサー  黒沢淳（「八日目の蝉」「キルトの家」「なぜ君は絶望と闘えたのか」「つるかめ助産院」  ◆演出  清弘誠（「塀の中の中学校」「渡る世間は鬼ばかり」「男女七人夏物語」「金子みすゞ物語」）http://www.tbs.co.jp/naniwashounen/番組の内容と放送時間は変更になる場合があります。</t>
  </si>
  <si>
    <t>番組名浪花少年探偵団　第2話</t>
  </si>
  <si>
    <t>しのぶが通う教習所では原田兄弟の母、日出子（斉藤由貴）が練習に励んでいる。ヨン様似の教官・若本が個人レッスンをしてくれるという。しのぶもそのレッスンに便乗。その頃、町の大地主の家に強盗が押し入り、現金と宝石などが盗まれた。レッスンの朝、しのぶのアパートの前に何と犬のフンが…。しのぶはレッスンを休んで犬を見張る。その頃、日出子たちが乗った車に暴走車が衝突、若本は意識不明の重体に！母親が罪人になるのではと心配な郁夫と修。大阪府警の新藤に相談しながら、しのぶは事故に不自然な点を発見。現場に残された二本のハンマー…。交通事故と強盗事件に意外な接点があることも、しのぶは見抜く…多部未華子  小池徹平  山本耕史  木村文乃  斎藤由貴  温水洋一  段田安則  小日向文世  松阪慶子  まえだまえだ（前田航基・前田旺志郎）  濱田龍臣  高橋晃  八木優希  二宮星  吉井一肇  浜辺美波  伊澤柾樹  吉岡竜輝  橋本一輝  【ゲスト】  六角精児  姜暢雄  マギー  小林隆多部未華子演じるしのぶセンセの、痛快な啖呵と、笑顔の可愛さのギャップが最高。そして特訓を重ねた大阪弁が心地よい。オリンピックに負けない感動と、東野圭吾の緻密なトリックが、毎回唸らせてくれます！夏の暑さを忘れさせてくれる爽快なエンターテインメント。事件。怪事件の背景にあるのは人間の悲哀と暖かさ。トリックの解明と人間ドラマが絡み合った果てに、しのぶの活躍がスカッとさせてくれます。◆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吉田紀子（「Dr・コトー診療所」「涙そうそう」）◆プロデューサー  黒沢淳（「八日目の蝉」「キルトの家」「なぜ君は絶望と闘えたのか」「つるかめ助産院」  ◆演出  演出・池澤辰也「十津川警部シリーズ」「探偵左文字進シリーズ」「I・S」  「浅草ふくまる旅館」）http://www.tbs.co.jp/naniwashounen/テレパック　TBS  YouTubeで、浪花少年探偵団1話ダイジェストと2話スポットをアップしました。  こちらからどうぞ！  http://youtu.be/_J5jgduRS0I  番組の内容と放送時間は変更になる場合があります。</t>
  </si>
  <si>
    <t>番組名浪花少年探偵団　第3話</t>
  </si>
  <si>
    <t>しのぶ（多部未華子）が見合いをすることになった。相手はエリートサラリーマン本間（山本耕史）。妙子（松坂慶子）は娘の良縁を喜んでいる。見合いのことを知った少年探偵団は、そのことを新藤刑事（小池徹平）に報告する。新藤は探偵団のメンバーと共に見合い会場に陣取る。嬉しそうなしのぶの表情を見て新藤は内心穏やかでない。と、本間と新藤の携帯電話が同時に鳴った。元山社長が撲殺されたという。息子の武夫、下請け戸村、工場長田辺ら容疑者には鉄壁のアリバイがある。新藤は恋敵の本間を問い詰める。そんな中、本間の容疑を実証する遺留品が発見され、さらに彼の発言の矛盾にしのぶは気づいてしまう。多部未華子  小池徹平  山本耕史  木村文乃  斎藤由貴  温水洋一  段田安則  小日向文世  松阪慶子  まえだまえだ（前田航基・前田旺志郎）  濱田龍臣  高橋晃  八木優希  二宮星  吉井一肇  浜辺美波  伊澤柾樹  吉岡竜輝  橋本一輝  吉沢海音  【ゲスト】  相島一之  正名僕蔵  志賀廣太郎  鶴田忍  坂本あきら  町田マリー  斉藤こず恵しのぶセンセが女性ならではの推理を展開。大人気作家・東野圭吾の緻密なトリックと、犯人当ての妙、そして深い人間ドラマ！東野氏自身が通った小学校を舞台としており、まさに東野圭吾の原点がここにあります！トリックの解明と人間ドラマの感動に加え、今回はしのぶ（多部未華子）、新藤（小池徹平）、そして妙子（松坂慶子）の入浴シーンが、夏の暑さを忘れさせてくれます！◆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吉田紀子（「Dr・コトー診療所」「涙そうそう」）◆プロデューサー  黒沢淳（「八日目の蝉」「キルトの家」「なぜ君は絶望と闘えたのか」「つるかめ助産院」  ◆演出  清弘誠（「塀の中の中学校」「渡る世間は鬼ばかり」「男女七人夏物語」「金子みすゞ物語」）▽番組HP  http://www.tbs.co.jp/naniwashounen/  ▽番組公式Twitterを随時更新中！＠naniwatbs をチェック！『浪花少年探偵団2話ダイジェスト＆3話予告』の動画を公開中！  こちらからどうぞ♪  http://youtu.be/LK7AlFp80dM  『TBS24時』毎日およそ10回生放送！ドラマのロケ場所、バラエティの収録スタジオなどテレビの現場からライブでTBSの＜いま＞を伝えます。今回の担当は古谷有美アナウンサーです！（※都合によりアナウンサーが変更になる場合があります。）ずっと観たいと思っていた「それ、」。心から感動できる「それ、」。視聴者のみなさんが望む「それ、」を「ユメ」で終わらせたくないから。「それ、」TBSがやります。番組の内容と放送時間は変更になる場合があります。</t>
  </si>
  <si>
    <t>番組名浪花少年探偵団　第4話</t>
  </si>
  <si>
    <t>しのぶは西丸商店の会長、どケチで有名な西丸仙兵衛（蟹江敬三）に、ご馳走すると誘われて仙兵衛宅を訪れる。  と、大きな物音にしのぶたちが駆けつけると、社員、米岡伸治が倒れていた。仙兵衛は自殺だと嘆くが、不審な点もある。事務所は密室で窓のブラインドが壊れていた。現場にあった脚立とファイルは何者かが移動させたように見える。  事件に興味津々のしのぶは、「密室殺人ではないか」と自説を披露する。仙兵衛はしのぶに、息子で社長の昭一の秘書になって欲しいと言うが、しのぶは、強引な昭一を社員たちが恐れていることを見抜く。事件の真相は、社風やブラインドの構造にもヒントが隠れているとしのぶは察知。　多部未華子  小池徹平  山本耕史  木村文乃  斎藤由貴  温水洋一  段田安則  小日向文世  松阪慶子  まえだまえだ（前田航基・前田旺志郎）  濱田龍臣  高橋晃  八木優希  二宮星  吉井一肇  浜辺美波  伊澤柾樹  吉岡竜輝  橋本一輝  吉沢海音  【ゲスト】  蟹江敬三  梶原善  たくませいこ  藤本静  ヘイデル龍生しのぶセンセが女性ならではの推理を展開。大人気作家・東野圭吾の緻密なトリックと、犯人当ての妙、そして深い人間ドラマ！東野氏自身が通った小学校を舞台としており、まさに東野圭吾の原点がここにあります！名優蟹江敬三演じる西丸仙兵衛（原作にも登場）が、しのぶをヘッドハンティング！究極のケチぶりにしのぶも探偵団もあきれますが、いつのまにか彼の為に奔走！しのぶは教師をやめて転職してしまうのか？！◆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江頭美智留（「ごくせん」「ナースのお仕事」）◆プロデューサー  黒沢淳（「八日目の蝉」「キルトの家」「なぜ君は絶望と闘えたのか」「つるかめ助産院」◆演出  清弘誠（「塀の中の中学校」「渡る世間は鬼ばかり」「男女七人夏物語」「金子みすゞ物語」）『TBS24時』毎日およそ10回生放送！ドラマのロケ場所、バラエティの収録スタジオなどテレビの現場からライブでTBSの＜いま＞を伝えます。今回の担当は古谷有美アナウンサーです！（※都合によりアナウンサーが変更になる場合があります。）▽番組HP  http://www.tbs.co.jp/naniwashounen/  ▽番組公式Twitterを随時更新中！＠naniwatbs をチェック！ずっと観たいと思っていた「それ、」。心から感動できる「それ、」。視聴者のみなさんが望む「それ、」を「ユメ」で終わらせたくないから。「それ、」TBSがやります。  番組の内容と放送時間は変更になる場合があります。</t>
  </si>
  <si>
    <t>番組名浪花少年探偵団　第5話</t>
  </si>
  <si>
    <t>教員採用試験一週間前、本採用を目指すしのぶは中田教頭に面接の特訓を受けていたが、盲腸を発症し入院。同じ町内に住むたばこ屋の藤野ツル子と同室。ツル子の家に空き巣が入り、病室でもツル子の鞄が盗まれる等、事件が相次ぐ。  一方この数日、畑中の不審な言動が目立つ。郁夫たちが尾行すると、畑中はなぜか無人の交番に立ち寄り、十万円の現金を机に置いて立ち去った。そこに警官が出て来て大騒動に。最近羽振りのいい畑中は、お金をネコババしてしまったことに悩んでいた。そして、ツル子夫婦にもその疑いが出てきた。それぞれの怪しい大金には、”ある共通点”があることに、しのぶを見舞った本間が気づく。多部未華子  小池徹平  山本耕史  木村文乃  笛木優子  戸田昌宏  段田安則  小日向文世  松阪慶子  ○  前田航基・前田旺志郎（まえだまえだ）  濱田龍臣  高橋晃  八木優希  二宮星  吉井一肇  浜辺美波  伊澤柾樹  橋本一輝  【ゲスト】  正司照枝  織本順吉  野口かおる  大島宇三郎  大橋一三しのぶセンセが女性ならではの推理を展開。大人気作家・東野圭吾の緻密なトリックと、犯人当ての妙、そして深い人間ドラマ！東野氏自身が通った小学校を舞台としており、まさに東野圭吾の原点がここにあります！ケチばあさんの極みを正司照枝が好演。銭湯の男湯に飛びこんでゆくしのぶも圧巻！入院して気弱なしのぶを、新藤（小池徹平）と本間（山本耕史）が争って見舞うのも見どころ。しのぶを落とすのはいったいどちら？！◆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吉田紀子（「Dr・コトー診療所」「涙そうそう」）◆プロデューサー  黒沢淳（「八日目の蝉」「キルトの家」「なぜ君は絶望と闘えたのか」「つるかめ助産院」  ◆演出  池澤辰也「十津川警部シリーズ」「探偵左文字進シリーズ」「I・S」「浅草ふくまる旅館」）▽番組HP  http://www.tbs.co.jp/naniwashounen/  ▽番組公式Twitterを随時更新中！  http://twitter.com/naniwatbs番組の内容と放送時間は変更になる場合があります。</t>
  </si>
  <si>
    <t>番組名浪花少年探偵団　第6話</t>
  </si>
  <si>
    <t>しのぶのクラスの、芹沢が渋谷をいじめているという。しのぶの前任の山下先生（高橋一生）が渋谷に飛び箱の練習をさせていた時に事故が置き、渋谷は大怪我した。渋谷の母はクレーマーと化し、山下を転勤させたのだ。山下を慕っていた芹沢はそれ以来、渋谷を恨んでいた。芹沢と渋谷を仲良くさせたい一心で、しのぶは山下を訪ねる。それをきっかけに、“ある人物”がその事故に関わっていたのではないかと、疑惑を抱く。その背景には、哀しい女の過去と、“衝撃の人間関係”があった！芹沢と、その人物と、そして…。真相に辿りついたしのぶは、この罪は法律でも裁判でも解決できないと考え、ある方法を選択する…。多部未華子  小池徹平  山本耕史  木村文乃  斉藤由貴  温水洋一  段田安則  小日向文世  松阪慶子  ○  前田航基・前田旺志郎（まえだまえだ）  濱田龍臣  高橋晃  八木優希  二宮星  吉井一肇  浜辺美波  伊澤柾樹  橋本一輝  【ゲスト】  京野ことみ  高橋一生  小林正寛  メイサツキ  野々村のん  大木イチローしのぶセンセが女性ならではの推理を展開。大人気作家・東野圭吾の緻密なトリックと、犯人当ての妙、そして深い人間ドラマ！東野氏自身が通った小学校を舞台としておりまさに東野圭吾の原点がここにあります！女の生き方、女の哀しみ、運命のいたずら…多部未華子と京野ことみ、女同士が激論し、激突するクライマックスは必見！仲たがいしている問題児ふたりを、しのぶがどう仕切るかも、見ものです！◆音楽  渡邊俊幸（「おひさま」「利家とまつ」「八日目の蝉」）  ◆主題歌  ゆず「また明日」（SENHA　&amp;　Co.)（「栄光の架け橋」「夏色」「虹」「WITH　YOU」）◆原作　東野圭吾「浪花少年探偵団」「しのぶセンセにサヨナラ」（講談社文庫刊）（「流星の絆」「プラチナデータ」「容疑者Xの献身」）  ◆脚本江頭美智留（「ごくせん」「1リットルの涙」「ナースのお仕事」）◆プロデューサー  黒沢淳（「八日目の蝉」「キルトの家」「なぜ君は絶望と闘えたのか」「つるかめ助産院」  ◆演出  清弘誠「渡る世間は鬼ばかり」「塀の中の中学校」「男女七人夏物語」「カミさんの悪口」▽番組HP  http://www.tbs.co.jp/naniwashounen/  ▽番組公式Twitterを随時更新中！  http://twitter.com/naniwatbs  「浪花少年探偵団」5話ダイジェストの動画を公開しました！  こちらからどうぞ♪  http://youtu.be/6SO0V3lH92s  番組の内容と放送時間は変更になる場合があります。</t>
  </si>
  <si>
    <t>番組名浪花少年探偵団　第7話</t>
  </si>
  <si>
    <t>鉄平と本間が手に入れた新作ゲームが、見知らぬ少年にひったくられた。一方、しのぶのクラスの上原美奈子の両親が経営する長家で死体が発見。男の名は荒川利夫、刃物で刺されていた。荒川は家賃を滞納しており、同居していた小学生の息子は行方が分からなくなっていた。大家である、生徒・美奈子の父が筆頭容疑者となる。  行方不明の息子が重要な事実を知っているに違いないと、新藤と漆崎は写真を手に聞きこむ。息子の写真を見てしのぶたちは驚く。ひったくりの少年だったからだ。6年2組は総動員、美奈子の為に必死で少年を探す。つかまえた少年は父が死んだことを知り、泣き崩れる。しのぶは真犯人捜索に乗り出す！多部未華子  小池徹平  山本耕史  木村文乃  斎藤由貴  温水洋一  段田安則  小日向文世  松阪慶子  まえだまえだ（前田航基・前田旺志郎）  濱田龍臣  高橋晃  八木優希  二宮星  吉井一肇  浜辺美波  伊澤柾樹  橋本一輝  【ゲスト】  田口浩正  有森也実  高橋努  小山颯  安藤玉恵  日野陽仁  稲健二しのぶセンセが女性ならではの推理を展開。大人気作家・東野圭吾の緻密なトリックと、犯人当ての妙、そして深い人間ドラマ！東野氏自身が通った小学校を舞台としており、まさに東野圭吾の原点がここにあります！多部未華子と有森也実のド迫力の対決シーンは圧巻！涙なしには見られません。また、家出少年をかくまい、かいがいしく世話をするしのぶの母性にも胸キュンです。  ◆音楽  渡邊俊幸（「おひさま」「利家とまつ」「八日目の蝉」）  ◆主題歌  ゆず「また明日」（SENHA　&amp;　Co.)（「栄光の架け橋」「夏色」「虹」「WITH　YOU」）◆原作  東野圭吾「浪花少年探偵団」「しのぶセンセにサヨナラ」（講談社文庫刊）（「流星の絆」「プラチナデータ」「容疑者Xの献身」）  ◆脚本  吉田紀子（「DR．コトー診療所」「涙そうそう」「秘密」）◆プロデューサー  黒沢淳（「八日目の蝉」「モリのアサガオ」「キルトの家」「なぜ君は絶望と闘えたのか」「つるかめ助産院」）◆演出  東田陽介（パナソニックドラマシアター・エピソード・ゼロ、パナソニックCM）■浪花少年探偵団6話ダイジェスト7話予告  http://youtu.be/jQcjLtY0_zI  ■番外編  大阪弁はたいへんや  http://youtu.be/hi3in3ruwUw  ▽番組HP  http://www.tbs.co.jp/naniwashounen/  ▽番組公式Twitterを随時更新中！  http://twitter.com/naniwatbs  テレパック　TBS  番組の内容と放送時間は変更になる場合があります。</t>
  </si>
  <si>
    <t>番組名浪花少年探偵団　第8話</t>
  </si>
  <si>
    <t>東京に転校した中西雄太からクラスに手紙が届いた。寂しそうな心情が綴られている。心配なので東京へ行きたいという郁夫と修に付き添い、しのぶも上京。三人はスカイツリーや浅草を観光した後、中西家に到着するが、様子が変。雄太の父母は落ち着きがない。しのぶが問いつめると観念したように、雄太の弟・利広が誘拐されたと打ち明け「身代金は用意したので警察には連絡しないでくれ」と語る。次の日、犯人から連絡があり、浅草の花やしきへ姉・景子が身代金をもってくるよう指示がある。母はしのぶに電話で、静観して欲しいと念を押す。だがしのぶは心配が募り、こっそりと遊園地に向かう…【出演】  多部未華子  小池徹平  山本耕史  木村文乃  斉藤由貴  温水洋一  段田安則  小日向文世  松阪慶子  前田航基（まえだまえだ）  前田旺志郎（まえだまえだ）  濱田龍臣  高橋晃  八木優希  二宮星  吉井一肇  浜辺美波  伊澤柾樹  橋本一輝  【ゲスト】  筒井真理子  荒井萌  中島久之  (他)しのぶセンセが女性ならではの推理を展開。大人気作家・東野圭吾の緻密なトリックと、犯人当ての妙、そして深い人間ドラマ！東野氏自身が通った小学校を舞台としており、まさに東野圭吾の原点がここにあります！誘拐事件の真犯人はあまりにも意外な人物！そしてそのことに気付いたしのぶの推理は、まさに担任の先生だからこその洞察力！東野圭吾ならではのウルトラCのトリックが、今回も唸らせてくれます！◆原作  東野圭吾「浪花少年探偵団」「しのぶセンセにサヨナラ」（講談社文庫刊）（「流星の絆」「赤い指」「プラチナデータ」「容疑者Xの献身」）  ◆脚本  江頭美智留（「ごくせん」「1リットルの涙」「ナースのお仕事」）◆音楽  渡邊俊幸（「おひさま」「利家とまつ」「八日目の蝉」）  ◆主題歌  ゆず「また明日」（SENHA　&amp;　Co.)（「栄光の架け橋」「夏色」「虹」「WITH　YOU」）◆プロデューサー  黒沢淳（「八日目の蝉」「キルトの家」「なぜ君は絶望と闘えたのか」「つるかめ助産院」  ◆演出  東田陽介（パナソニックドラマシアター・エピソード・ゼロ、パナソニックCM）▽番組HP  http://www.tbs.co.jp/naniwashounen/  ▽番組公式Twitterを随時更新中！  http://twitter.com/naniwatbs  浪花少年探偵団7話ダイジェストと8話予告動画を公開中！  こちらからどうぞ♪  http://youtu.be/ZaLUmoSW72A  番組の内容と放送時間は変更になる場合があります。</t>
  </si>
  <si>
    <t>番組名浪花少年探偵団　第9話</t>
  </si>
  <si>
    <t>多部未華子  小池徹平  山本耕史  木村文乃  斎藤由貴  温水洋一  戸田昌宏  段田安則  小日向文世  松阪慶子    前田航基（まえだまえだ）  前田旺志郎（まえだまえだ）  濱田龍臣  高橋晃  八木優希  二宮星  吉井一肇  浜辺美波  伊澤柾樹  橋本一輝    【ゲスト】  中原ひとみ  中島ひろ子  石井萌々果  三上市朗  姜暢雄しのぶセンセが女性ならではの推理を展開。大人気作家・東野圭吾の緻密なトリックと、犯人当ての妙、そして深い人間ドラマ！東野氏自身が通った小学校を舞台としており、まさに東野圭吾の原点がここにあります！修と千鶴の、”小さな恋のメロディ”が胸キュンです！さらに絵の上手な千鶴のスケッチブックの中の一枚の絵が、一気に事件の突破口へと結びつくシーンは圧巻！”せつないミステリー”をお楽しみください。アパートで男が殺された。一人暮らしの老女、稲子は物音で目覚め、恐怖に駆られてゲートボールのスティックで殴ったと語る。被害者・永島は、しのぶのアパートの隣人・芳子の内縁の夫。永島は芳子に暴力を振るい、金をせびっていた。芳子は小四の千鶴と二人暮らし。孤独な千鶴を気遣い、しのぶと修がかいがいしく世話をする。修は千鶴に恋する。一方、捜査に進展はない。稲子は永島とは何の接点もないからだ。さらに稲子は、芳子と千鶴、母娘とも会ったことはないという。そんな矢先、稲子が倒れて入院、末期ガンだと分かる。しのぶはお絵かきが好きな千鶴が描いた絵を見て、そこに事件の謎を解くヒントがある事に気付く…◆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江頭美智留（「ごくせん」「ナースのお仕事」）◆プロデューサー  黒沢淳：「八日目の蝉」「キルトの家」「なぜ君は絶望と闘えたのか」「つるかめ助産院」  ◆演出  清弘誠：「塀の中の中学校」「渡る世間は鬼ばかり」「男女七人夏物語」「カミさんの悪口」▽番組HP  http://www.tbs.co.jp/naniwashounen/  ▽番組公式Twitterを随時更新中！  http://twitter.com/naniwatbs  第8話ダイジェストと第9話予告動画を公開中！  こちらからどうぞ♪    第8話ダイジェスト＆第9話予告  http://youtu.be/07OJ_ryp2EA    浪花少年探偵団番外編動画も♪  http://youtu.be/NeNK_byrn-M  番組の内容と放送時間は変更になる場合があります。</t>
  </si>
  <si>
    <t>番組名浪花少年探偵団　第10話</t>
  </si>
  <si>
    <t>多部未華子  小池徹平  山本耕史  木村文乃  斉藤由貴  笛木優子  温水洋一  段田安則  小日向文世  松阪慶子  前田航基・前田旺志郎（まえだまえだ）  濱田龍臣  高橋晃  八木優希  二宮星  吉井一肇  浜辺美波  伊澤柾樹  橋本一輝  【ゲスト】  井坂俊哉  松本まりか  金井勇太  早織  ふせえり  鷲尾真知子  (他)六年二組のクリスマスパーティー。ケーキの中から血塗られたナイフが出てきた！一方漆崎は藤川明子の変死事件を捜査中。手首に傷があり、自殺かと思われたが、決め手の刃物が見つからない。明子はその夜、恋人の酒井と友人の千賀子とその恋人松本と、パーティーをする予定だった。ナイフから明子の血液が検出。そのケーキは、松本が予約をキャンセルしたために教頭が買えたものと判明。明子は自殺か他殺か？なぜ凶器のナイフがケーキから？　謎が謎を呼ぶ事件。さらに追い打ちをかけるように、事件の日、町の人々がUFOを見たと話している。明子が部屋に飾っていた写真をヒントに事件の真相を推理するしのぶだが…しのぶセンセが女性ならではの推理を展開。大人気作家・東野圭吾の緻密なトリックと、犯人当ての妙、そして深い人間ドラマ！東野氏自身が通った小学校を舞台としており、まさに東野圭吾の原点がここにあります！クリスマスに起きた密室殺人！事件のカギは男女の愛憎劇！消えた凶器が大路小学校のクリスマスパーティーのケーキの中から出て来た！奇想天外なトリックと、恋に破れた女子の悲しみが、あなたを唸らせます！◆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沼津そうる◆プロデューサー  黒沢淳（「八日目の蝉」「キルトの家」「なぜ君は絶望と闘えたのか」「つるかめ助産院」  ◆演出  池澤辰也「十津川警部シリーズ」「左文字進シリーズ」「虹のかなた」「I・S」  ▽番組HP  http://www.tbs.co.jp/naniwashounen/  ▽番組公式Twitterを随時更新中！  http://twitter.com/naniwatbs  第9話ダイジェストと第10話予告動画を公開中！  こちらからどうぞ♪  http://youtu.be/vOknuZS4VhY  番組の内容と放送時間は変更になる場合があります。</t>
  </si>
  <si>
    <t>番組名浪花少年探偵団　第11話</t>
  </si>
  <si>
    <t>若い女性が死体で発見され、新藤と漆崎が捜査を開始。女性は電子部品会社の社員、宮本清子。性格がよく働き者の清子は人に恨まれるようなこともなく、犯人探しは難航。  卒業式が近付く中、東京へ転校する鉄平は奈々から「好きでした」と告白される。  そんな折、奈々の母親・町子がマンション3階から墜落。事故前後の町子の記憶があいまいで、真相は分からない。しのぶは、誰かに落とされたのではないかと推理。推理が的中したように、卒業式の朝、鉄平と奈々の目の前で町子が再び襲われる。  トラックで逃走する犯人を追い、荷台に忍び込む鉄平と奈々。しのぶが運転する車に郁夫が同乗してトラックを追うが…。多部未華子　小池徹平　山本耕史　木村文乃  斉藤由貴　温水洋一　笛木優子　戸田昌宏　段田安則　小日向文世　松阪慶子  ○  前田航基・前田旺志郎（まえだまえだ）  濱田龍臣　高橋晃　八木優希　二宮星　吉井一肇　浜辺美波　伊澤柾樹　橋本一輝  【ゲスト】  升毅　ちはる　平岳大　藤吉久美子　伊藤修子　菊池友里恵　木村祐一　富田靖子しのぶセンセが女性ならではの推理を展開。大人気作家・東野圭吾の緻密なトリックと、犯人当ての妙、そして深い人間ドラマ！東野氏自身が通った小学校を舞台としており、まさに東野圭吾の原点がここにあります！人生の岐路にいるしのぶが、今回もウルトラCのトリックを見破る！そして新藤はしのぶにプロポーズ？しかし教え子を守るためにひたすら事件と奮闘するしのぶ。事件も、恋も、仕事も、すべてが佳境、激動の最終章！◆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吉田紀子「DRコトー診療所」「秘密」「涙そうそう」◆プロデューサー　黒沢淳（「八日目の蝉」「キルトの家」「なぜ君は絶望と闘えたのか」「つるかめ助産院」  ◆演出　池澤辰也「十津川警部シリーズ」「探偵左文字進シリーズ」「I・S」「浅草ふくまる旅館」）▽番組HP  http://www.tbs.co.jp/naniwashounen/  ▽番組公式Twitterを随時更新中！  http://twitter.com/naniwatbs  番組の内容と放送時間は変更になる場合があります。</t>
  </si>
  <si>
    <t>番組名浪花少年探偵団　第12話</t>
  </si>
  <si>
    <t>多部未華子　小池徹平　山本耕史　木村文乃  斎藤由貴　温水洋一　笛木優子　戸田昌宏　段田安則　小日向文世　松坂慶子　/　前田航基　前田旺志郎（まえだまえだ）　濱田龍臣　高橋晃　八木優希　二宮星　吉井一肇　浜辺美波　伊澤柾樹　橋本一輝　吉岡竜輝　平松來馬  【ゲスト】  ちはる　平岳大　藤吉久美子　斉藤こず恵　メイサツキ　安藤玉恵　吉沢海音　伊藤修子　菊池友里恵　富田靖子横田が運転するトラックは鉄平と奈々を乗せたまま、清子の遺体が放置されていた現場に突入。逆上した横田は、奈々を人質にとって刃物を持ち出した。郁夫と鉄平の機転で奈々を無傷で救出するが、横田は灯油をまいてその場を大炎上させ、抵抗を続ける。そのころ大路小学校では卒業式が始まっていた。郁夫たちが危険な目に合っていることを知り、日出子ら母親達は心配を募らせる。妙子は責任を感じ、平身低頭。6年2組の生徒たちはしのぶたちの帰りを待っている。卒業証書はしのぶセンセからもらいたいと。一方、炎の中、滂沱の涙を流しながら横田を説得するしのぶ。しのぶの熱いネゴシエーションは、果たして…？しのぶセンセが女性ならではの推理とネゴシエーションを展開。東野圭吾の緻密なトリックと犯人当ての妙、そして深い人間ドラマ！東野氏自身が通った小学校を舞台としており、東野圭吾の原点がここにあります！炎の中のしのぶの熱い説得、ふたつの事件の密接な繋がり、進藤のプロポーズに対する返事、奈々と鉄平・郁夫のラブ、しのぶの将来への決断、そして涙の卒業式！目が離せない要素満載の、涙と感動の最終回！◆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吉田紀子（「DRコトー診療所」「秘密」「涙そうそう」）◆プロデューサー  黒沢淳（「八日目の蝉」「キルトの家」「なぜ君は絶望と闘えたのか」「つるかめ助産院」  ◆演出  池澤辰也「十津川警部シリーズ」「探偵左文字進シリーズ」「I・S」「浅草ふくまる旅館」）▽番組HP  http://www.tbs.co.jp/naniwashounen/  ▽番組公式Twitterを随時更新中！  http://twitter.com/naniwatbs  テレパック　TBS  番組の内容と放送時間は変更になる場合があります。</t>
  </si>
  <si>
    <t>1207_TBS_木21</t>
  </si>
  <si>
    <t>ビギナーズ！</t>
  </si>
  <si>
    <t>番組名木曜ドラマ9「ビギナーズ！」　第1話</t>
  </si>
  <si>
    <t>24時間絶対服従！外出禁止！携帯没収！！恋愛禁止！！！  全寮制の「警察学校」を舞台に、おちこぼれ「Sクラス」に編入させられた若者たちが「警察官」になるべく、信じられない校則と、鬼のような教官たちのシゴキをくぐりぬけ、10か月後の卒業を目指す！時にバカバカしく、時に必死な彼らは、果たして無事に卒業…いや、無事に一日を過ごすことができるのか！？夏らしい、そしてバカバカしい青春ド・コメディドラマです！藤ヶ谷太輔（Kis-My-Ft2)  北山宏光（Kis-My-Ft2）  剛力彩芽  柄本時生  小柳友  石井智也  岡本あずさ  水沢エレナ  ・  森廉  青山倫子  河合美智子  松永玲子  伊達暁  森高愛・  鹿賀丈史（特別出演）  ・  堀内敬子  宮川一朗太  ・  国広富之  柳沢慎吾  石田ひかり  杉本哲太【主題歌】  Kis-My-Ft2  「WANNA　BEEEE!!!」 （avex trax)  【音楽】  市川淳  michitomo  【脚本】  櫻井剛  【演出】  山室大輔リアルタイムで見て豪華プレゼントが当たる！番組の最後に3択クイズを出題します。正解した方の中から抽選で5名様に「全国百貨店共通商品券5万円分」をプレゼント！締め切りは放送が終了してから1時間後です。☆番組HP  http://www.tbs.co.jp/beginners2012/  ☆twitter  @beginners2012  番組の内容と放送時間は変更になる場合があります。</t>
  </si>
  <si>
    <t>番組名木曜ドラマ9「ビギナーズ！」　第2話</t>
  </si>
  <si>
    <t>24時間絶対服従！外出禁止！携帯没収！！恋愛禁止！！！  全寮制の「警察学校」を舞台に、おちこぼれ「Sクラス」に編入させられた若者たちが「警察官」になるべく、信じられない校則と、鬼のような教官たちのシゴキをくぐりぬけ、10か月後の卒業を目指す！時にバカバカしく、時に必死な彼らは、果たして無事に卒業…いや、無事に一日を過ごすことができるのか！？藤ヶ谷太輔（Kis-My-Ft2)　  北山宏光（Kis-My-Ft2）  剛力彩芽  柄本時生  小柳友  石井智也  岡本あずさ  水沢エレナ  　・　  森廉  青山倫子  河合美智子  松永玲子  伊達暁  森高愛  　・　  鹿賀丈史（特別出演）  　・　  堀内敬子  宮川一朗太  　・　  国広富之  柳沢慎吾  石田ひかり  杉本哲太【主題歌】  Kis-My-Ft2  「WANNA　BEEEE!!!」 （avex trax)  【音楽】  市川淳  michitomo  【脚本】  櫻井剛  【演出】  山室大輔リアルタイムで見て豪華プレゼントが当たる！番組の最後に3択クイズを出題します。正解した方の中から抽選で5名様に「全国百貨店共通商品券5万円分」をプレゼント！締め切りは放送が終了してから1時間後です。☆番組HP  http://www.tbs.co.jp/beginners2012/  ☆twitter  @beginners2012ずっと観たいと思っていた「それ、」。心から感動できる「それ、」。視聴者のみなさんが望む「それ、」を「ユメ」で終わらせたくないから。「それ、」TBSがやります。番組の内容と放送時間は変更になる場合があります。</t>
  </si>
  <si>
    <t>番組名木曜ドラマ9「ビギナーズ！」　第3話</t>
  </si>
  <si>
    <t>24時間絶対服従！外出禁止！携帯没収！！恋愛禁止！！！  全寮制の「警察学校」を舞台に、おちこぼれ「Sクラス」に編入させられた若者たちが「警察官」になるべく、信じられない校則と、鬼のような教官たちのシゴキをくぐりぬけ、10か月後の卒業を目指す！時にバカバカしく、時に必死な彼らは、果たして無事に卒業…いや、無事に一日を過ごすことができるのか！？藤ヶ谷太輔（Kis-My-Ft2)  北山宏光（Kis-My-Ft2）  剛力彩芽  柄本時生  小柳友  石井智也  岡本あずさ  水沢エレナ  　・　  森廉  青山倫子  河合美智子  宮川一朗太  　・　  鹿賀丈史（特別出演）  　・　  国広富之  奥貫薫  石田ひかり  杉本哲太【主題歌】  Kis-My-Ft2  「WANNA　BEEEE!!!」 （avex trax)  【音楽】  市川淳  michitomo  【脚本】  櫻井剛  【演出】  中前勇児リアルタイムで見て豪華プレゼントが当たる！番組の最後に3択クイズを出題します。正解した方の中から抽選で5名様に「全国百貨店共通商品券5万円分」をプレゼント！締め切りは放送が終了してから1時間後です。☆番組HP  http://www.tbs.co.jp/beginners2012/  ☆twitter  @beginners2012ずっと観たいと思っていた「それ、」。心から感動できる「それ、」。視聴者のみなさんが望む「それ、」を「ユメ」で終わらせたくないから。「それ、」TBSがやります。番組の内容と放送時間は変更になる場合があります。</t>
  </si>
  <si>
    <t>番組名木曜ドラマ9「ビギナーズ！」　第4話</t>
  </si>
  <si>
    <t>おちこぼれクラス「桜庭教場」から「通常教場」へ2名の生徒の選抜人事を命じられた助教の竜崎美咲（石田ひかり）は、中間試験の結果によって生徒を決めようとするが…。合格者は成績優秀の立花団司（北山宏光）とあと一人が誰が合格するのかが焦点となっていた。そんな中で雄一に会ったことを告げられた徹平（藤ヶ谷太輔）は警察官になることを改めて思い直し、試験合格を目指すも…。藤ヶ谷太輔（Kis-My-Ft2)  北山宏光（Kis-My-Ft2）  剛力彩芽  柄本時生  小柳友  石井智也  岡本あずさ  水沢エレナ  ・  森廉  青山倫子  伊達暁  ・  鹿賀丈史（特別出演）  ・  国広富之  奥貫薫  石田ひかり  杉本哲太24時間絶対服従！外出禁止！携帯没収！！恋愛禁止！！！  全寮制「神奈川県警察学校」を舞台に、おちこぼれ「Sクラス」に編入させられた若者たちが「警察官」になるべく、信じられない校則と、鬼のような教官たちによる訓練を潜り抜けて、10か月後の卒業を目指す！必死な彼らは、果たして無事に卒業することができるか！？【主題歌】  Kis-My-Ft2  「WANNA　BEEEE!!!」 （avex trax)  【音楽】  市川淳  michitomo  【脚本】  櫻井剛  【演出】  中前勇児リアルタイムで見て豪華プレゼントが当たる！番組の最後に3択クイズを出題します。正解した方の中から抽選で5名様に「全国百貨店共通商品券5万円分」をプレゼント！締め切りは放送が終了してから1時間後です。☆番組HP  http://www.tbs.co.jp/beginners2012/  ☆twitter  http://twitter.com/beginners2012  番組の内容と放送時間は変更になる場合があります。</t>
  </si>
  <si>
    <t>番組名木曜ドラマ9「ビギナーズ！」　第5話</t>
  </si>
  <si>
    <t>おちこぼれの桜庭教場から通常教場へと編入した徹平（藤ヶ谷太輔）と団司（北山宏光）は、異様なまでに厳格に統率された五十嵐教場に圧倒される。  そんな中、五十嵐教官は団司に、お前の過去を知っていると告げ、「おまえは警察官を辞めるべきだ」と詰めよる。  悩む団司の目の前で、教場の生徒が暴行される事件が起き、団司に疑いがかけられるのだが…。藤ヶ谷太輔（Kis-My-Ft2)  北山宏光（Kis-My-Ft2）  剛力彩芽  柄本時生  小柳友  石井智也  岡本あずさ  水沢エレナ  ・  青山倫子  森高愛  ・  鹿賀丈史（特別出演）  ・  国広富之  柳沢慎吾  石田ひかり  杉本哲太  ほか24時間絶対服従！外出禁止！携帯没収！！恋愛禁止！！！全寮制「神奈川県警察学校」を舞台に、おちこぼれ「Sクラス」に編入させられた若者たちが「警察官」になるべく、信じられない校則と、鬼のような教官たちによる訓練を潜り抜けて、10か月後の卒業を目指す！必死な彼らは、果たして無事に卒業することができるか！？【主題歌】  Kis-My-Ft2  「WANNA　BEEEE!!!」 （avex trax)  【音楽】  市川淳  michitomo  【脚本】  櫻井剛  【演出】  武藤淳☆番組HP  http://www.tbs.co.jp/beginners2012/  ☆twitter  http://twitter.com/beginners2012リアルタイムで見て豪華プレゼントが当たる！番組の最後に3択クイズを出題します。正解した方の中から抽選で5名様に「全国百貨店共通商品券5万円分」をプレゼント！締め切りは放送が終了してから1時間後です。番組の内容と放送時間は変更になる場合があります。</t>
  </si>
  <si>
    <t>番組名木曜ドラマ9「ビギナーズ！」　第6話</t>
  </si>
  <si>
    <t>幼い頃、白バイでマラソンの伴走をする警察官だった父の姿を見て育った志村徹平（藤ヶ谷太輔）は、マラソンランナーになる事が夢だったが、父親の失職・失踪と自身のケガをきっかけに自堕落な生活の一途をたどり、地元では名の知れた不良になってしまう。  そんな徹平が幼馴染の雄一の強い誘いも影響して、高校卒業後、なんと警察官になる道を選ぶ。  奇跡的に採用試験に合格した徹平はこの夏警察学校に入校することになるが…藤ヶ谷太輔（Kis-My-Ft2)  北山宏光（Kis-My-Ft2）  剛力彩芽  柄本時生  小柳友  石井智也  岡本あずさ  水沢エレナ  ・  森廉  青山倫子  河合美智子  松永玲子  伊達暁  森高愛  ・  鹿賀丈史（特別出演）  ・  堀内敬子  宮川一朗太  ・  国広富之  柳沢慎吾  石田ひかり  杉本哲太【主題歌】  Kis-My-Ft2  「WANNA　BEEEE!!!」 （avex trax)  【音楽】  市川淳  michitomo  【脚本】  櫻井剛  【演出】  山室大輔☆番組HP  http://www.tbs.co.jp/beginners2012/  ☆twitter  http://twitter.com/beginners2012リアルタイムで見て豪華プレゼントが当たる！番組の最後に3択クイズを出題します。正解した方の中から抽選で5名様に「全国百貨店共通商品券5万円分」をプレゼント！締め切りは放送が終了してから1時間後です。番組の内容と放送時間は変更になる場合があります。</t>
  </si>
  <si>
    <t>番組名木曜ドラマ9「ビギナーズ！」　第7話</t>
  </si>
  <si>
    <t>24時間絶対服従！外出禁止！携帯没収！！恋愛禁止！！！  全寮制「神奈川県警察学校」を舞台に、おちこぼれ「Sクラス」に編入させられた若者たちが「警察官」になるべく、信じられない校則と、鬼のような教官たちによる訓練を潜り抜けて、10か月後の卒業を目指す！必死な彼らは、果たして無事に卒業することができるか！？藤ヶ谷太輔（Kis-My-Ft2)  北山宏光（Kis-My-Ft2）  剛力彩芽  柄本時生  小柳友  石井智也  岡本あずさ  水沢エレナ  ・  青山倫子  伊達暁  ・  鹿賀丈史（特別出演）  ・  石田ひかり  杉本哲太【主題歌】  Kis-My-Ft2  「WANNA　BEEEE!!!」 （avex trax)  【音楽】  市川淳  michitomo  【脚本】  櫻井剛  【演出】  武藤淳リアルタイムで見て豪華プレゼントが当たる！番組の最後に3択クイズを出題します。正解した方の中から抽選で5名様に「全国百貨店共通商品券5万円分」をプレゼント！締め切りは放送が終了してから1時間後です。☆番組HP  http://www.tbs.co.jp/beginners2012/  ☆twitter  http://twitter.com/beginners2012番組の内容と放送時間は変更になる場合があります。</t>
  </si>
  <si>
    <t>番組名木曜ドラマ9「ビギナーズ！」　第8話</t>
  </si>
  <si>
    <t>警察学校恒例の現場訓練が始まり、Sクラスの生徒のうち徹平（藤ヶ谷太輔）らは、犯罪発生率ゼロの離島への赴任を命じられてすっかりやる気をなくしていた。そんな中、島内の家々を荒らす空き巣事件が発生する。犯人逮捕を目指して初めての捜査に意欲を燃やす徹平たちに対し、比呂（剛力彩芽）は、捜査に参加するのをためらってしまう。そんな中、比呂は島に住む認知症の清子（岩本多代）が「空き巣に盗られた」と被害届を出すブローチの存在が気になり始める。その一方で、団司（北山宏光）や陽子（水沢エレナ）たちは犯罪発生率の高い繁華街への赴任を命じられ、日常的に犯罪が起きる現実を突きつけられる。志村徹平…藤ヶ谷太輔（Kis-My-Ft2)  立花団司…北山宏光（Kis-My-Ft2）　  桃江比呂…剛力彩芽  　　　　　○　  山根省吾…柄本時生　  杉山清貴…小柳友  石岡太一…石井智也　  新島千晶…岡本あずさ　  福原陽子…水沢エレナ  　　　　　○  高村光太郎…鹿賀丈史（特別出演）  　　　　　○  竜崎美咲…石田ひかり　  桜庭直樹…杉本哲太【主題歌】  Kis-My-Ft2  「WANNA　BEEEE!!!」 （avex trax)  【音楽】  市川淳  michitomo  【脚本】  櫻井剛    【演出】  山室大輔☆番組HP  http://www.tbs.co.jp/beginners2012/  ☆twitter  http://twitter.com/beginners2012番組の内容と放送時間は変更になる場合があります。</t>
  </si>
  <si>
    <t>番組名木曜ドラマ9「ビギナーズ！」　第9話</t>
  </si>
  <si>
    <t>その一方で、桜庭教場の杉山（小柳友）は実家の父親が倒れたという連絡を受けて実家へ帰ろうとする。  その容態が自分が思うよりも良くないことを知った杉山は、実家の家業を継ぐために警察学校を辞める事を決意する。  その辞意を事前に報告を受けた徹平は、杉山が辞めることを止められずにいた。  そして杉山が辞める日の朝を迎えるも、徹平は…。藤ヶ谷太輔（Kis-My-Ft2)　北山宏光（Kis-My-Ft2）　剛力彩芽　柄本時生　小柳友  石井智也　岡本あずさ　水沢エレナ  ・  鹿賀丈史（特別出演）  ・  石田ひかり　杉本哲太【主題歌】  Kis-My-Ft2  「WANNA　BEEEE!!!」 （avex trax)  【音楽】  市川淳  michitomo  リアルタイムで見て豪華プレゼントが当たる！番組の最後に3択クイズを出題します。正解した方の中から抽選で5名様に「全国百貨店共通商品券5万円分」をプレゼント！締め切りは放送が終了してから1時間後です。【脚本】  櫻井剛  【演出】  中前勇児☆番組HP  http://www.tbs.co.jp/beginners2012/  ☆twitter  http://twitter.com/beginners2012  番組の内容と放送時間は変更になる場合があります。</t>
  </si>
  <si>
    <t>番組名木曜ドラマ9「ビギナーズ！」　第10話</t>
  </si>
  <si>
    <t>いよいよマラソン大会当日、警察学校を出る徹平を送る仲間の姿はなかった。たった一人でマラソン大会に出場しようとしていたのだが…。志村徹平…藤ヶ谷太輔（Kis-My-Ft2)  立花団司…北山宏光（Kis-My-Ft2）  桃江比呂…剛力彩芽  　　　　　○　  山根省吾…柄本時生  杉山清貴…小柳友  石岡太一…石井智也  恩田雄一…森　廉  新島千晶…岡本あずさ  福原陽子…水沢エレナ  　　　　　○  高村光太郎…鹿賀丈史（特別出演）  　　　　　○  竜崎美咲…石田ひかり  桜庭直樹…杉本哲太【主題歌】  Kis-My-Ft2  「WANNA　BEEEE!!!」 （avex trax)  【音楽】  市川淳  michitomo  【脚本】  櫻井剛  【演出】  山室大輔リアルタイムで見て豪華プレゼントが当たる！番組の最後に3択クイズを出題します。正解した方の中から抽選で5名様に「全国百貨店共通商品券5万円分」をプレゼント！締め切りは放送が終了してから1時間後です。☆番組HP  http://www.tbs.co.jp/beginners2012/  ☆twitter  http://twitter.com/beginners2012  番組の内容と放送時間は変更になる場合があります。</t>
  </si>
  <si>
    <t>1207_TBS_金22</t>
  </si>
  <si>
    <t>黒の女教師</t>
  </si>
  <si>
    <t>番組名金曜ドラマ「黒の女教師」　第1話</t>
  </si>
  <si>
    <t>必殺仕置人の教師版がついに登場！都立の名門、國文館高校の生物教師、高倉夕子（榮倉奈々）は、脱法ハーブの売人、達也（早乙女太一）の罠にハマった教え子、リオ（竹富聖花）の救出と引き換えに大金を要求する。夕子の考えに憤りを感じた新任教師の遥（木村文乃）は単身、リオを救出に向かうが、失敗。お金を受け取った夕子は、古典教師・すみれ（市川実日子）、美術教師・彩（小林聡美）と3人で、リオの救出に向かう。榮倉奈々  ○  松村北斗  千葉雄大  大野いと  西井幸人  土屋太鳳  山崎賢人  竹富聖花  広瀬アリス  太賀  杉咲花  藤原令子  上遠野太洸  中条あやみ  ○  早乙女太一  ○  木村文乃  トリンドル怜奈  モロ師岡  鈴木亮平  駿河太郎  光石研  市川実日子  ○  南果歩  ○  小林聡美UVERworld 　「THE　OVER」  【脚本】  山下友弘（蓮ドラシナリオ大賞）  大林利江子  吉澤智子  池田奈津子  【音楽】  出羽良彰  【音楽プロデュース】  志田博英【演出】  岡本伸吾  石井康晴  川嶋龍太郎  【プロデュース】  伊與田英徳『尾木ママ推薦「黒の女教師」スペシャル予告』の動画を公開しました！  こちらからご覧下さい♪  http://youtu.be/6LABoLHqnUM  『TBS24時』毎日およそ10回生放送！ドラマのロケ場所、バラエティの収録スタジオなどテレビの現場からライブでTBSの＜いま＞を伝えます。今回の担当は小林豊アナウンサーです！（※都合によりアナウンサーが変更になる場合があります。）番組の内容と放送時間は変更になる場合があります。</t>
  </si>
  <si>
    <t>番組名金曜ドラマ「黒の女教師」　第2話</t>
  </si>
  <si>
    <t>驚愕の「必殺!学園ドラマ」がついに登場！名門高校の生物教師、高倉夕子（榮倉奈々）は、教え子、下村明日香（大野いと）を退学へと追いやった人物が、エリート教師として人気の及川（柏原収史）であることを突き止める。「禁断の交際」を隠蔽するため、明日香にストーカーの濡れ衣を着せて保身を計る及川。夕子は大金と引き換えに復讐を請け負い、彩（小林聡美）、すみれ（市川実日子）とともに、悪徳教師の成敗に乗り出す。榮倉奈々  ○  松村北斗  千葉雄大  大野いと  西井幸人  土屋太鳳  山崎賢人  竹富聖花  広瀬アリス  太賀  杉咲花  藤原令子  上遠野太洸  中条あやみ  ○  柏原収史  原田夏希  加納竜  ○  木村文乃  トリンドル怜奈  モロ師岡  鈴木亮平  駿河太郎  光石研  市川実日子  ○  南果歩  ○  小林聡美UVERworld 　「THE　OVER」  【脚本】  山下友弘（連ドラシナリオ大賞）  大林利江子  吉澤智子  池田奈津子  【音楽】  出羽良彰  【音楽プロデュース】  志田博英http://www.tbs.co.jp/kuro-no-onna/  『TBS24時』毎日およそ10回生放送！ドラマのロケ場所、バラエティの収録スタジオなどテレビの現場からライブでTBSの＜いま＞を伝えます。今回の担当は小林豊アナウンサーです！（※都合によりアナウンサーが変更になる場合があります。）『黒の女教師』第2話予告 の動画を公開しました！  こちらからどうぞ♪  http://youtu.be/_MyltegIHJo  番組の内容と放送時間は変更になる場合があります。</t>
  </si>
  <si>
    <t>番組名金曜ドラマ「黒の女教師」　第3話</t>
  </si>
  <si>
    <t>「必殺!学園ドラマ」～今夜も「愚か者！」が炸裂する!!高倉夕子（榮倉奈々）は、学園ナンバーワンの秀才、杉本順平（西井幸人）が痴漢の濡れ絹を着せられ、脅迫されていることを知る。順平を脅したのは、女子高校生の杏と莉子。二人は痴漢詐欺グループを結成し、男性たちから金品を巻き上げる常習犯だった。夕子は、教師仲間の藤井彩（小林聡美）、内田すみれ（市川実日子）らとともに痴漢詐欺グループの成敗に乗り出す。榮倉奈々  ○  松村北斗  千葉雄大  大野いと  西井幸人  土屋太鳳  山崎賢人  竹富聖花  広瀬アリス  太賀  杉咲花  藤原令子  上遠野太洸  中条あやみ  ○  工藤綾乃  西野実見  ○  木村文乃  トリンドル怜奈  モロ師岡  鈴木亮平  駿河太郎  光石研  市川実日子  ○  南果歩  ○  小林聡美UVERworld 　「THE　OVER」  【脚本】  山下友弘（連ドラシナリオ大賞）  大林利江子  吉澤智子  池田奈津子  【音楽】  出羽良彰  【音楽プロデュース】  志田博英【演出】  岡本伸吾  石井康晴  川嶋龍太郎  【プロデュース】  伊與田英徳国文館高校の人気教師・及川には別の顔があった。3年D組の明日香と付き合っているのだ。しかし3Dの啓太に交際を知られると態度を豹変させる。及川は大手予備校の社長令嬢と婚約中にもかかわらず校内でのステイタス獲得のために明日香を利用していたのだ。及川はストーカー被害に遭っていたと学校に報告し明日香は自首退学に追い込まれる…。夕子たち“黒の女教師”は課外授業を開始。及川が匿名で書いていた赤裸々なブログの情報をPCから抜き取り、実名を加えた上で教育委員たちが見守る公開授業中に暴露。さらに婚約者にもその一部始終を見せた。夕子たちの過激な成敗で、及川は社会的に抹殺された。http://www.tbs.co.jp/kuro-no-onna/  「黒の女教師」3話予告動画を公開しました！こちらからどうぞ♪  http://youtu.be/yPPGgAyUbhE  19時から放送の「ロンドンオリンピック放送」により、放送時間が変更になる可能性があります。</t>
  </si>
  <si>
    <t>番組名金曜ドラマ「黒の女教師」　第4話</t>
  </si>
  <si>
    <t>「必殺！学園ドラマ」～今夜も「愚か者！」が炸裂する!!バレー部のエース、安田俊介（山崎賢人）の母、PTA会長の留美子（キムラ緑子）は、学園を私物化するモンスターマザー。息子に代わってエースの座を勝ち取った友人を逆恨みし、実家を倒産に追い込もうと画策する。母親と仲間の間で揺れる俊介。それを知った夕子は、教師仲間の藤井彩（小林聡美）、内田すみれ（市川実日子）らとともに、留美子の成敗に乗り出す。榮倉奈々  ○  松村北斗  千葉雄大  大野いと  西井幸人  土屋太鳳  山崎賢人  竹富聖花  広瀬アリス  太賀  杉咲花  藤原令子  上遠野太洸  中条あやみ  ○  キムラ緑子  神保悟志  ○  木村文乃  トリンドル怜奈  モロ師岡  鈴木亮平  駿河太郎  光石研  市川実日子  ○  南果歩  ○  小林聡美UVERworld 　「THE　OVER」  【脚本】  山下友弘（連ドラシナリオ大賞）  大林利江子  吉澤智子  池田奈津子  【音楽】  出羽良彰  【音楽プロデュース】  志田博英【演出】  岡本伸吾  石井康晴  川嶋龍太郎  【プロデュース】  伊與田英徳学園NO.1の秀才、杉本順平（西井幸人）が痴漢の濡れ絹を着せられ、脅迫されてしまう。  順平を脅したのは、女子高校生の杏と莉子で、男性達から金品を巻き上げる痴漢詐欺の常習者だった。これまで二人が騙した男達の妻や恋人とともに二人を追い詰め、順平の無実の罪を晴らしたのだった。http://www.tbs.co.jp/kuro-no-onna/  ■「黒の女教師4話予告」の動画を公開中！  こちらからどうぞ♪  http://youtu.be/hWeoFa3pEss  ■山崎賢人！WEB限定「黒の女アナウンサー必殺課外トーク」8  こちらからどうぞ♪  http://youtu.be/SG0N6PapfNM  番組の内容と放送時間は変更になる場合があります。</t>
  </si>
  <si>
    <t>番組名金曜ドラマ「黒の女教師」　第5話</t>
  </si>
  <si>
    <t>「愚か者！」今夜は悪徳ガールズバーを成敗！大反響「必殺!学園ドラマ!!」　ガールズバーでバイトをしていた松本栞（土屋太凰）は、経営者の河合（加藤虎ノ助）に脅され、売春を強要される。異変に気付いたクラスメイトの聡（上遠野太洸）が単身救出に乗り込むが失敗。教え子の危機を知った高倉夕子（榮倉奈々）は、教師仲間の藤井彩（小林聡美）、内田すみれ（市川実日子）と、風俗店の悪徳経営者、河合の成敗に乗り出す。榮倉奈々  ○  松村北斗  千葉雄大  大野いと  西井幸人  土屋太鳳  山崎賢人  竹富聖花  広瀬アリス  太賀  杉咲花  藤原令子  上遠野太洸  中条あやみ  ○  加藤虎之助  ○  木村文乃  トリンドル怜奈  モロ師岡  鈴木亮平  駿河太郎  光石研  市川実日子  ○  南果歩  ○  小林聡美UVERworld 　「THE　OVER」  ◆原案　山下友弘（連ドラシナリオ大賞）　  ◆脚本　大林利江子　吉澤智子　池田奈津子  ◆音楽　出羽良彰  ◆音楽プロデュース　志田博英◆演出　岡本伸吾　石井康晴　川嶋龍太郎  ◆プロデュース　伊與田英徳http://www.tbs.co.jp/kuro-no-onna/バレー部のエース、安田俊介（山崎賢人）の母、PTA会長の留美子（キムラ緑子）は、  新たにエースになった生徒の家を倒産に追い込み、息子がエースでないならとバレー部の都大会の出場を辞退させようと画策。それを知った俊介は、夕子に課外授業を依頼。夕子は留美子の悪事を暴露し、俊介は再びバレーを始めることに。  そしてトシオは、ある夜、夕子がずぶ濡れになり一軒の家の前に立っている様子をじっと眺めていた…。番組の内容と放送時間は変更になる場合があります。</t>
  </si>
  <si>
    <t>番組名金曜ドラマ「黒の女教師」　第6話</t>
  </si>
  <si>
    <t>「愚か者！」極悪DV音大教授（杉田かおる）を成敗！「必殺!学園ドラマ!!」　ピアニストを夢見る三島恭子（藤原令子）は、音大教授の石川かなえ（杉田）に、自ら作曲した作品を盗作される。かなえはその曲を、娘の愛（小池里奈）が作ったものと偽り、愛は国際コンクールで受賞。恭子を絶望させる。事情を知った夕子（榮倉奈々）は、教師仲間の藤井彩（小林聡美）、内田すみれ（市川実日子）と、かなえの成敗に乗り出す。榮倉奈々  ○  松村北斗  千葉雄大  大野いと  西井幸人  土屋太鳳  山崎賢人  竹富聖花  広瀬アリス  太賀  杉咲花  藤原令子  上遠野太洸  中条あやみ  ○  杉田かおる  ○  小池里奈  ○  木村文乃  トリンドル怜奈  モロ師岡  鈴木亮平  駿河太郎  光石研  市川実日子  ○  南果歩  ○  小林聡美UVERworld 　「THE　OVER」  【脚本】  山下友弘（連ドラシナリオ大賞）  大林利江子  吉澤智子  池田奈津子  【音楽】  出羽良彰  【音楽プロデュース】  志田博英【演出】  岡本伸吾  石井康晴  川嶋龍太郎  【プロデュース】  伊與田英徳http://www.tbs.co.jp/kuro-no-onna/自分の家はお金持ちだと友人達を偽り、ガールズバーでバイトをしていた松本栞は、着替えをしている映像を経営者の河合に撮られ、売春を強要される。  クラスメイトの聡が単身救出に乗り込むが聡は逃げ遅れてしまう。  なんとか逃げ出した栞は、高倉夕子に助けを求める。  高倉らは河合が隠し撮りしていた買春客の映像を利用し、河合を追い詰め警察に自首させたのだった。  ■第6話予告を公開しました！  こちらからどうぞ♪  http://youtu.be/f6yTyARzNR8  番組の内容と放送時間は変更になる場合があります。</t>
  </si>
  <si>
    <t>番組名金曜ドラマ「黒の女教師」　第7話</t>
  </si>
  <si>
    <t>「愚か者！」女教師の秘密が明らかに！「必殺!学園ドラマ!!」　クラスのリーダー的存在、望月亮平（千葉雄大）は、かつての野球部の親友、飯塚（野村周平）と再会。しかし彼は、恋心を寄せていた佐伯江衣花（広瀬アリス）が亮平と付き合っていることを知り、激怒。中学時代のトラブルをネタに亮平を恐喝。事情を知った夕子（榮倉奈々）ら黒の女教師は飯塚の成敗に乗り出す。さらに夕子の知られざる過去がついに明かされる！榮倉奈々  ○  松村北斗  千葉雄大  大野いと  西井幸人  土屋太鳳  山崎賢人  竹富聖花  広瀬アリス  太賀  杉咲花  藤原令子  上遠野太洸  中条あやみ  ○  野村周平  ○  木村文乃  トリンドル怜奈  モロ師岡  鈴木亮平  駿河太郎  光石研  市川実日子  ○  南果歩  ○  小林聡美UVERworld 　「THE　OVER」  【脚本】  山下友弘（連ドラシナリオ大賞）  大林利江子  吉澤智子  池田奈津子  【音楽】  出羽良彰  【音楽プロデュース】  志田博英【演出】  岡本伸吾  石井康晴  川嶋龍太郎  【プロデュース】  伊與田英徳ピアニストを夢見る三島恭子（藤原令子）は、音大教授の石川かなえ（杉田）に、自ら作曲した作品を盗作される。   かなえはその曲を、娘の愛（小池里奈）が作ったものと偽り、愛は国際コンクールで受賞。絶望した恭子は夕子（榮倉奈々）に課外授業を依頼し、かなえは児童虐待と傷害罪の容疑で連行されたのだった。http://www.tbs.co.jp/kuro-no-onna/■第7話予告を公開しました！  こちらからどうぞ♪  http://youtu.be/RLud7RCtyt0  番組の内容と放送時間は変更になる場合があります。</t>
  </si>
  <si>
    <t>番組名金曜ドラマ「黒の女教師」　第8話</t>
  </si>
  <si>
    <t>「愚か者！」ついに副校長を成敗！「必殺!学園ドラマ!!」　指定校推薦が決まった佐伯江衣花（広瀬アリス）は、急病で苦しむ老人を見捨てた事で、窮地に立たされる。それを知った副校長の堀田（光石研）は、日頃から優等生の江衣花を守るため、不祥事の責任を別の生徒梅原優（中条あやみ）に押し付け、学園の名誉を守り、自らの保身を計ろうとする。事情を知った夕子（榮倉奈々）は、上司でもある副校長との対決を決意する。榮倉奈々  ○  松村北斗  千葉雄大  大野いと  西井幸人  土屋太鳳  山崎賢人  竹富聖花  広瀬アリス  太賀  杉咲花  藤原令子  上遠野太洸  中条あやみ  ○  品川徹  ○  木村文乃  トリンドル怜奈  モロ師岡  鈴木亮平  駿河太郎  光石研  市川実日子  ○  南果歩  ○  小林聡美UVERworld 　「THE　OVER」  【脚本】  大林利江子  吉澤智子  池田奈津子  藤井清美  坪田文  【音楽】  出羽良彰  【音楽プロデュース】  志田博英【演出】  岡本伸吾  石井康晴  川嶋龍太郎  【プロデュース】  伊與田英徳クラスのリーダー的存在、望月（千葉雄大）は、かつての野球部の親友、飯塚（野村周平）と再会。  しかし彼は、恋心を寄せていた佐伯江衣花（広瀬アリス）が亮平と付き合っていることを知り、激怒。中学時代のトラブルをネタに亮平を恐喝し、傷害事件をでっちあげ退学に追い込もうとするが、夕子は飯塚を詐欺と恐喝罪で立件し、望月の退学は停学で済むことになったのだった。▽番組HP  http://www.tbs.co.jp/kuro-no-onna/  ▽第8話予告動画公開中！こちらからどうぞ♪  http://youtu.be/Y2OQIIIZ3yk   番組の内容と放送時間は変更になる場合があります。</t>
  </si>
  <si>
    <t>番組名金曜ドラマ「黒の女教師」　第9話</t>
  </si>
  <si>
    <t>「愚か者！」ついに最終章！衝撃の真実!!「必殺!学園ドラマ!!」　謎のFAXによって「課外授業」の実態が、学校中に知れ渡ってしまう。高倉夕子（榮倉奈々）たち黒の女教師は3－Dの生徒を緊急に招集。全員の前で衝撃の過去を告白する。一連の行動の裏には、かつて教え子だった、水野葵（上間美緒）の死が深く関わっていた。生徒の中で唯一真相を知っていた戸田トシオ（松村北斗）からは、驚くべき事実が暴露される！榮倉奈々  松村北斗　千葉雄大　大野いと　西井幸人　土屋太鳳　山崎賢人　竹富聖花　広瀬アリス　太賀　杉咲花　藤原令子　上遠野太洸　中条あやみ　中西美帆　上間美緒　/  麻生淳子　榎本孝明　 /  木村文乃　トリンドル怜奈　モロ師岡　鈴木亮平　駿河太郎　光石研  市川実日子/ 南果歩  小林聡美UVERworld 　「THE　OVER」  【脚本】  大林利江子　吉澤智子　池田奈津子　藤井清美　坪田文  【音楽】  出羽良彰  【音楽プロデュース】  志田博英【演出】  岡本伸吾　石井康晴　川嶋龍太郎  【プロデュース】  伊與田英徳指定校推薦が決まった佐伯江衣花は、急病で苦しむ老人を見捨てた事で、窮地に立たされる。 それを知った副校長の堀田は、日頃から優等生の江衣花を守るため、不祥事の責任を別の生徒梅原優に押し付け、学園の名誉を守り、自らの保身を計ろうとする。優は、夕子に課外授業を依頼。  夕子は堀田の校長選考試験に乗り込み、堀田の悪事を暴露。堀田は他校に異動となるが、そのことがクラスメイトに知られ、江衣花はひとりぼっちになってしまったのだった。http://www.tbs.co.jp/kuro-no-onna/番組の内容と放送時間は変更になる場合があります。</t>
  </si>
  <si>
    <t>番組名金曜ドラマ「黒の女教師」　第10話</t>
  </si>
  <si>
    <t>衝撃の最終回!!「私が殺した！」高倉夕子（榮倉奈々）は、かつての教え子、水野葵の死の真相を激白。復讐に燃える葵の弟、トシオ（松村北斗）は次々と明らかになる事実に激怒。課外授業の実態をバラすと夕子たちを脅す。事態を重く見た校長の芹沢（南果歩）は、トシオに退学を、女教師たちにも休職を命じ、呪われた過去を隠ぺい。夕子たちはついに学園を去る。その時、生徒たちは…！すべての謎が今夜ついに明らかになる！榮倉奈々    松村北斗　千葉雄大　大野いと　西井幸人　土屋太鳳　山崎賢人　竹富聖花　広瀬アリス　太賀　杉咲花　藤原令子　上遠野太洸　中条あやみ　中西美帆　上間美緒    麻生淳子　榎本孝明    木村文乃　トリンドル玲奈　モロ師岡　鈴木亮平　駿河太郎　光石研    市川実日子    南果歩    小林聡美UVERworld 　「THE　OVER」  【原案】  山下友弘　  【脚本】  大林利江子　吉澤智子　池田奈津子　藤井清美　坪田文  【音楽】  出羽良彰【音楽プロデュース】  志田博英  【演出】  岡本伸吾　石井康晴　川嶋龍太郎  【プロデュース】  伊與田英徳謎のFAXによって「課外授業」の実態が、学校中に知れ渡る。  高倉夕子（榮倉奈々）たち黒の女教師は3－Dの生徒を緊急に招集。  一連の行動の裏には、かつて教え子だった、水野葵（上間美緒）の死が深く関わっていて、戸田トシオ（松村北斗）は、水野葵の弟だったことが判明。  トシオは、夕子ら黒の女教師に姉が殺されたのだと暴露したのだった。最終話予告動画を公開中！  こちらからどうぞ！  http://youtu.be/6qjRG8KOyxE  http://www.tbs.co.jp/kuro-no-onna/  番組の内容と放送時間は変更になる場合があります。</t>
  </si>
  <si>
    <t>1207_TBS_日21</t>
  </si>
  <si>
    <t>サマーレスキュー</t>
  </si>
  <si>
    <t>番組名日曜劇場「サマーレスキュー～天空の診療所～」第1話</t>
  </si>
  <si>
    <t>速水圭吾（向井理）は、大学病院で将来を嘱望されているクールな若き心臓外科医だが、上司からの命令で、夏の間、とある山の診療所で患者を診ることになる。標高2514mという厳しい環境では、検査機器や薬はごく僅か。最新鋭機器を使いこなし、先端医療で活躍する速水は、存在意義のわからない山の診療所でカルチャーショックと挫折を経験する。進歩した現代医療から切り離され、患者に手で触れ、目で見て、会話をし、そこからすべての診断をつけてゆく。そこには「医療の原点」があった。そしてある女性、小山遥（尾野真千子）と出会うことによって…。速水圭吾…向井理  小山 遥…尾野真千子    平原あかり…小池栄子    小山雪乃…三浦理恵子  井上幸治…山崎樹範  沢口光香…市川由衣    木野憲太…菅田将暉  村田佳秀…小澤亮太  鈴木真子…能年玲奈    平原桃花…本田望結  野村恭介…戸次重幸    速水悦子…中田喜子　　　　◯  小山雄一…笹野高史  岡村忠志…相島一之  高橋 恵…映美くらら    高井聡志…佐藤二朗  沢口哲夫…松重 豊    倉木泰典…時任三郎  (他)主題歌：Superfly  「輝く月のように」  （ワーナーミュージック・ジャパン）【脚本】  秦 建日子    【音楽】  羽毛田丈史    【演出】  日比野 朗    【チーフプロデューサー】  志村 彰  【プロデューサー】  高石明彦  関川友理The icon  TBShttp://www.tbs.co.jp/summerrescue/https://twitter.com/samaresu『TBS24時』毎日およそ10回生放送！ドラマのロケ場所、バラエティの収録スタジオなどテレビの現場からライブでTBSの＜いま＞を伝えます。今回の担当は升田尚宏アナウンサーです！（※都合によりアナウンサーが変更になる場合があります。）ずっと観たいと思っていた「それ、」。心から感動できる「それ、」。視聴者のみなさんが望む「それ、」を「ユメ」で終わらせたくないから。「それ、」TBSがやります。番組の内容と放送時間は変更になる場合があります。</t>
  </si>
  <si>
    <t>番組名日曜劇場「サマーレスキュー～天空の診療所～」　第2話</t>
  </si>
  <si>
    <t>山に着くなり壮絶な一日を過ごした速水（向井理）は、山岳の診療所の存在意義に疑問を持っていた…。ある日、ガイド1人の山岳ツアーがやってくる。ツアー客の1人、朋子（内山理名）は、体調の変化に気付き、速水の診察を受ける。速水は朋子の喉に腫れを認めるが、風邪薬を出すのみの安易な診察をしてしまう。翌朝、ツアー客たちは山荘を出発。しかし昨日の診察を知った遥（尾野真千子）は、「山をなめている」と速水を罵倒する。その頃、体調が悪化し歩けなくなった朋子を置いて一行は登頂するが戻ると、朋子の姿は見当たらない！山荘のメンバーは、朋子を捜索。速水も遥と一緒に探すのだが…。速水圭吾…向井　理  小山　遥…尾野真千子    平原あかり…小池栄子    小山雪乃…三浦理恵子  井上幸治…山崎樹範  沢口光香…市川由衣    木野憲太…菅田将暉  村田佳秀…小澤亮太  鈴木真子…能年玲奈    平原桃花…本田望結  野村恭介…戸次重幸    速水悦子…中田喜子  　　　　◯小山雄一…笹野高史    岡村忠志…相島一之  高橋　恵…映美くらら    高井聡志…佐藤二朗  沢口哲夫…松重　豊    倉木泰典…時任三郎主題歌：Superfly  「輝く月のように」  （ワーナーミュージック・ジャパン）【脚本】  秦 建日子  【音楽】  羽毛田丈史  【演出】  日比野朗  【チーフプロデューサー】  志村彰  【プロデューサー】  高石明彦  関川友理  【製作】  The icon  TBS  ▽番組HP  http://www.tbs.co.jp/summerrescue/  ▽Twitter  https://twitter.com/samaresu『サマーレスキュー・番外編「差し入れ」』の動画を公開しました！  こちらからどうぞ！  http://youtu.be/PayuiTamHcc  最新医療機器が揃った大病院で、優秀な若手医師と期待される・速水圭吾（向井理）は、  夏の間だけ稜ヶ岳（りょうがたけ）にある山の診療所へ行くことに。  一日目から、肺水腫の症状で苦しむ患者と脚を骨折した怪我人が担ぎこまれてきた。  医療設備が整っていない中、緊急の処置を要する患者たちを前にして戸惑う速水に、遥（尾野真知子）の怒りが爆発する。  なんとか二人をヘリに乗せることが出来たが、速水はもっと医療設備を整わせるべきだと憤るのだった。ずっと観たいと思っていた「それ、」。心から感動できる「それ、」。視聴者のみなさんが望む「それ、」を「ユメ」で終わらせたくないから。「それ、」TBSがやります。番組の内容と放送時間は変更になる場合があります。</t>
  </si>
  <si>
    <t>番組名日曜劇場「サマーレスキュー～天空の診療所～」　第3話</t>
  </si>
  <si>
    <t>速水（向井理）は倉木（時任三郎）から、母親・悦子（中田喜子）が受けていた人間ドックの検査で、大動脈瘤が見つかり切迫破裂という厳しい状況だということを知らされ慌てて山を降りる。東京の明慶大病院に着いた速水は、沢口（松重豊）と倉木から詳しい検査結果を聞き「手術させてほしい。僕が執刀したい」と願い出る。そして、悦子の手術が始まるのだが…。  一方、医師のいない診療所に遥(尾野真千子)は不安を隠せない。そこへ野田と、体調が悪いという妻・洋子の2人がやって来る。「わざわざルートを変更して診療所まで来たのに、先生がいないなら意味がない」と怒る野田。しかし洋子は「下山するのはしんどいから」と診療所に宿泊することに。そこで、看護師のあかり（小池栄子）が一晩、看病していると…。速水圭吾…向井　理  小山　遥…尾野真千子    平原あかり…小池栄子    小山雪乃…三浦理恵子  井上幸治…山崎樹範  沢口光香…市川由衣    木野憲太…菅田将暉  村田佳秀…小澤亮太  鈴木真子…能年玲奈    平原桃花…本田望結  野村恭介：戸次重幸    速水悦子…中田喜子  　　　　◯岡村忠志…相島一之  高橋　恵…映美くらら    高井聡志…佐藤二朗  沢口哲夫…松重　豊    倉木泰典…時任三郎主題歌：Superfly  「輝く月のように」  （ワーナーミュージック・ジャパン）【脚本】  秦 建日子  【音楽】  羽毛田丈史  【演出】  日比野朗  【チーフプロデューサー】  志村彰  【プロデューサー】  高石明彦  関川友理  【製作】  The icon  TBS  速水は、稜ヶ岳にやってきたツアー客朋子に風邪薬を出すのみの診察をしてしまうが、  翌日、具合の悪くなった朋子がいなくなってしまう。  速水たちも皆で捜索し、手の腱を切ってしまった朋子を発見。環境の悪い中、夕陽の光を頼りに手術するが、無事手術を成功させることができた。  そんな中、速水の母親の悦子が大動脈瘤の手術を受けることになり、速水は代理の医者を待たず下山してしまったのだった。▽番組HP  http://www.tbs.co.jp/summerrescue/  ▽twitter  https://twitter.com/samaresu  ずっと観たいと思っていた「それ、」。心から感動できる「それ、」。視聴者のみなさんが望む「それ、」を「ユメ」で終わらせたくないから。「それ、」TBSがやります。番組の内容と放送時間は変更になる場合があります。</t>
  </si>
  <si>
    <t>番組名日曜劇場「サマーレスキュー～天空の診療所～」　第4話</t>
  </si>
  <si>
    <t>速水（向井理）は山に慣れようと、井上（山崎樹範）と登山する。  井上の山への想いに感心する速水。山荘に戻り、普段の仕事を聞かれた井上は、  不動産販売のトップセールスマンだと豪語。  皆から尊敬の目で見られ、意気揚々とする。  そこへ井上と同じ会社の神田（堀部圭亮）と上原（夕輝壽太）が現れ、井上は凍り付く。実はリストラされていたのだ。井上は、嘘がバレて気まずくなる。  速水と遥は励ますが、落ち込む井上。  翌朝、神田たちは遥（尾野真千子）のガイドのもと、登山する。カメラに夢中になった神田が滑落し大怪我を負う。すぐに縫合しなければいけないが、薬のアレルギー反応が出て麻酔が使えず、速水は…速水圭吾…向井理  小山　遥…尾野真千子    平原あかり…小池栄子    小山雪乃…三浦理恵子  井上幸治…山崎樹範  沢口光香…市川由衣    木野憲太…菅田将暉  村田佳秀…小澤亮太  鈴木真子…能年玲奈    平原桃花…本田望結  田中謙介…前田公輝  宮下エミリ…折山みゆ  ◯  小山雄一…笹野高史    神田祥平…堀部圭亮  上原伸宏…夕輝壽太    沢口哲夫…松重豊    倉木泰典…時任三郎主題歌：Superfly  「輝く月のように」  （ワーナーミュージック・ジャパン）【脚本】  秦 建日子  【音楽】  羽毛田丈史  【演出】  日比野朗  【チーフプロデューサー】  志村彰  【プロデューサー】  高石明彦  関川友理  【製作】  The icon  TBS  速水（向井理）は、母親・悦子（中田喜子）の病状を知り、急いで下山する。  自ら手術を執刀するが、もう手遅れの状態で、悦子は間もなく息を引き取り、速水は自分を責める…。そんな中、速水にドイツ行きの話が出るが、今の自分に大切なことは最新医療を学ぶことよりも、山で医師として一から出直すことだと決意し、山に戻ってくるのだった。『サマーレスキュー』4話予告動画を公開しました！  こちらからどうぞ♪  http://youtu.be/8Yar23eMdRg   ▽番組HP  http://www.tbs.co.jp/summerrescue/  ▽twitter  https://twitter.com/samaresu  番組の内容と放送時間は変更になる場合があります。</t>
  </si>
  <si>
    <t>番組名日曜劇場「サマーレスキュー～天空の診療所～」　第5話</t>
  </si>
  <si>
    <t>速水（向井理）の婚約者・光香（市川由衣）が高山病で診療所に運び込まれた。光香は、速水が以前断ったドイツ留学の資料を渡すために来たと明かす。速水は診療所が閉まる秋から前向きに考えると伝え、明日には下山するよう光香に優しく諭す。野村（戸次重幸）から何度も電話がきた遥（尾野真千子）が光香に付き添うことになった。遥は野村と再会する。桃花（本田望結）は、父親の誕生日にあげる「星の石」を探しに山へ。速水圭吾…向井　理  小山　遥…尾野真千子    平原あかり…小池栄子    小山雪乃…三浦理恵子  井上幸治…山崎樹範    木野憲太…菅田将暉  村田佳秀…小澤亮太  鈴木真子…能年玲奈    平原桃花…本田望結  田中謙介…前田公輝  宮下エミリ…折山みゆ    沢口光香…市川由衣  野村恭介…戸次重幸  　　　　◯  小山雄一…笹野高史    高井聡志…佐藤二朗    沢口哲夫…松重　豊    倉木泰典…時任三郎Superfly  「輝く月のように」（ワーナーミュージック・ジャパン）【脚本】  秦 建日子  【音楽】  羽毛田丈史  【演出】  本多繁勝  【チーフプロデューサー】  志村彰  【プロデューサー】  高石明彦  関川友理  【製作】  The icon  TBS  ▽番組HP  http://www.tbs.co.jp/summerrescue/  ▽twitter  https://twitter.com/samaresu  ■日曜劇場『サマーレスキュー』前編みどころ&amp;5話予告を公開しました！  こちらからどうぞ♪  http://youtu.be/ZDYRrOjnZk8    井上からアドバイスをもらいながら山を知ろうとする速水。  そんな折、井上の元上司、神田が稜ヶ岳山荘に現れ井上がリストラされていたことがバレてしまう。  しかしその神田が滑落し大量出血。アレルギーのため麻酔が使えない中、速水は井上の力を借り、麻酔なしで無事手術を終えることが出来た。  また、倉木は沢口から呼び出され、稜ヶ岳診療所を閉鎖を打診されるのだった。番組の内容と放送時間は変更になる場合があります。</t>
  </si>
  <si>
    <t>番組名日曜劇場「サマーレスキュー～天空の診療所～」　第6話</t>
  </si>
  <si>
    <t>診療所閉鎖か、存続か決断を託された倉木（時任三郎）は山に戻る。診療所で一人で作業していた医学生の木野（菅田将暉）の元に、膝を擦りむいた登山客が来る。速水（向井理）を呼びに行こうとするが、患者に押し切られ木野が処置をする。そこへ速水らがきて、無免許での治療は違法行為だと注意すると、診療所に疑問を持ち始めていた木野は、「都会の病院で多くの命を救った方がいい。下山して父親の病院を手伝う」と言い放つ。そんな木野に遥（尾野真千子）は「あの山の景色を見てから決めたほうがいい」と話す。翌朝、小山（笹野高史）から風が強いからと止められるが、木野は村田(小澤亮太）と真子（能年玲奈）を誘い遥の言う山へ向かう。しかし、突風が吹き木野は崖下に滑落。速水たちが現場へと向かうと、木野の体には枝が貫通していた。  速水圭吾…向井　理  小山　遥…尾野真千子    平原あかり…小池栄子    小山雪乃…三浦理恵子  井上幸治…山崎樹範  沢口光香…市川由衣    木野憲太…菅田将暉  村田佳秀…小澤亮太  鈴木真子…能年玲奈    平原桃花…本田望結  野村恭介：戸次重幸    速水悦子…中田喜子  　　　　◯岡村忠志…相島一之  高橋　恵…映美くらら    高井聡志…佐藤二朗  沢口哲夫…松重　豊    倉木泰典…時任三郎主題歌：Superfly  「輝く月のように」  （ワーナーミュージック・ジャパン）【脚本】  秦 建日子  【音楽】  羽毛田丈史  【演出】  日比野朗  【チーフプロデューサー】  志村彰  【プロデューサー】  高石明彦  関川友理  【製作】  The icon  TBS  ■第6話予告＆当選者発表を公開しました！  こちらからどうぞ♪  【予告】  http://youtu.be/0D2vO2vxPLc  【当選者発表】  http://youtu.be/IizxnFoCKH4速水の婚約者・光香がドイツ留学の資料を手に診療所へやってくる。  速水は秋からドイツ留学を前向きに考えると伝え、光香は翌日ほっとしたように山を降りていく。野村から何度も電話がきていた遥は野村と再会し、プロポーズされる。  一方倉木は、沢口から診療所を閉鎖するか存続させるかを決断するよう託されるのだった。▽番組HP  http://www.tbs.co.jp/summerrescue/  ▽twitter  https://twitter.com/samaresu  番組の内容と放送時間は変更になる場合があります。</t>
  </si>
  <si>
    <t>番組名日曜劇場「サマーレスキュー～天空の診療所～」　第7話</t>
  </si>
  <si>
    <t>速水（向井理）と遥（尾野真千子）に、山の診療所を閉鎖すると話した倉木（時任三郎）。沢口（松重豊）にはメールで報告し、小山（笹野高史）にも話そうとするが言い出せない。あかり（小池栄子）の夫・優太（長谷川朝晴）が、フラフラしながら山荘にやってきた。父親に会いたかった娘の桃花（本田望結）は喜ぶが、離婚を考えているあかりは、夫を拒絶する。翌日に、ピクニックを控えていた2人だったが、桃花の訴えを理解したあかりは、優太とガイド役の小山を加えた4人でピクニックへ行くことに。山中で優太がおどけてスキップをすると、足が絡まりよろめき…。高井（佐藤二朗）から稜ヶ岳診療所の閉鎖を聞いた山荘のメンバーと医学生たちは、速水に意見を求める。そこで速水は、ある決意をする。速水圭吾…向井　理    小山　遥…尾野真千子  平原あかり…小池栄子    小山雪乃…三浦理恵子  井上幸治…山崎樹範  沢口光香…市川由衣    木野憲太…菅田将暉  村田佳秀…小澤亮太  鈴木真子…能年玲奈    田中謙介…前田公輝  宮下エミリ…折山みゆ    平原桃花…本田望結    小山雄一…笹野高史    平原優太…長谷川朝晴    高井聡志…佐藤二朗    沢口哲夫…松重　豊    倉木泰典…時任三郎  主題歌：Superfly  「輝く月のように」  （ワーナーミュージック・ジャパン）【脚本】  秦 建日子  【音楽】  羽毛田丈史  【演出】  日比野朗  【チーフプロデューサー】  志村彰  【プロデューサー】  高石明彦  関川友理  【製作】  The icon  TBS  山の診療所に疑問を持ち始めていた木野が、山を降りることを決意。  山を降りる前に、一見の価値があるという天弧岳の景色を見に行こうとした木野は、小山の忠告を無視し天弧岳へ向かい、崖から転落してしまい局部麻酔による手術を受ける。  倉木と速水のオペを目の当たりにし、二人のような医者になり山の診療所にまた戻ってくると決心する木野を見て喜ぶ遥。しかし倉木は山の診療所を閉めようと思うと言うのだった。▽番組HP  http://www.tbs.co.jp/summerrescue/  ▽twitter  https://twitter.com/samaresu  下記動画を公開中です！こちらからどうぞ♪  ■第7話予告動画  http://youtu.be/Ib3i1tugSH4  ■サマーレスキュー番外編  http://youtu.be/x_5WMkwysV4    番組の内容と放送時間は変更になる場合があります。</t>
  </si>
  <si>
    <t>番組名日曜劇場「サマーレスキュー～天空の診療所～」　第8話</t>
  </si>
  <si>
    <t>山の診療所を潰そうとする人たちと戦うと決意した速水（向井理）は、明慶大学病院にいる沢口（松重豊）と話し合うため、早朝から倉木（時任三郎）に挨拶をして下山する。遥も速水を手伝うため、一緒に東京へと向かう。倉木は、小山（笹野高史）に速水が下山したことと、診療所を閉鎖する予定だと告げる。  速水は沢口に、閉鎖を考え直して欲しいと訴えるが、最新の医療を学んで多くの命を救えと跳ね返される。そこへ倉木が現れて明慶の医療に関わる全ての人間による臨時総会を提案。沢口はそれを受け入れる。  速水と遥は、あかり（小池栄子）のもとを訪れ、これまでに山の診療所で治療を受けた患者に署名をもらうことを計画する。そして、運命の臨時総会を迎えるがー。  一方、臨時総会の結果を待つ稜ヶ岳では、小山が1人で山へ行っていた。小山がお祈りをしていると、胸に激痛が走り倒れこんでしまう。速水圭吾…向井　理  小山　遥…尾野真千子    平原あかり…小池栄子    小山雪乃…三浦理恵子  井上幸治…山崎樹範    木野憲太…菅田将暉  村田佳秀…小澤亮太  鈴木真子…能年玲奈    平原桃花…本田望結  田中謙介…前田公輝  宮下エミリ…折山みゆ  　　◯  沢口光香…市川由衣  野村恭介…戸次重幸    小山雄一…笹野高史    高井聡志…佐藤二朗    沢口哲夫…松重　豊    倉木泰典…時任三郎主題歌：Superfly  「輝く月のように」  （ワーナーミュージック・ジャパン）【脚本】  秦 建日子  【音楽】  羽毛田丈史  【演出】  水村秀雄  【チーフプロデューサー】  志村彰  【プロデューサー】  高石明彦  関川友理  【製作】  The icon  TBS  速水（向井理）と遥（尾野真千子）に、山の診療所を閉鎖すると話した倉木（時任三郎）。  そんな中、あかり（小池栄子）の夫が山へやってくる。  小山（笹野高史）とあかり達家族でピクニックへ出かけるが、小山はあかりの夫をかばいケガを負ってしまう。  小山の治療にあたった速水は、山の診療所を存続させ、閉鎖させようとする人たちと戦うことを決意したのだった。▽番組HP  http://www.tbs.co.jp/summerrescue/  ▽twitter  https://twitter.com/samaresu  番組の内容と放送時間は変更になる場合があります。</t>
  </si>
  <si>
    <t>番組名日曜劇場「サマーレスキュー～天空の診療所～」　第9話</t>
  </si>
  <si>
    <t>明慶大学病院では、速水（向井理）、遥（尾野真千子）、あかり（小池栄子）、沢口（松重豊）、倉木（時任三郎）らが見守る中、稜ヶ岳山荘の閉鎖についての投票が行われる。結果は・・・。そんな中、山で倒れて動けなくなっている小山（笹野高史）を雪乃（三浦理恵子）が見つけ出す。病状を聞いた倉木は、ヘリで東京の明慶大学病院に運ぶように指示。それを聞いていた速水は、オペを執刀したいと名乗り出る。沢口はヘリでの搬送ルールを破り、小山を明慶大学病院に搬送することへの反対を倉木に訴えるが、倉木は遥の母親の事故の詳細を明かし、協力して欲しいと頼む。そして、小山のオペが始まるー速水圭吾…向井　理  小山　遥…尾野真千子    平原あかり…小池栄子    小山雪乃…三浦理恵子  井上幸治…山崎樹範  沢口光香…市川由衣    木野憲太…菅田将暉  村田佳秀…小澤亮太  鈴木真子…能年玲奈    平原桃花…本田望結  田中謙介…前田公輝  宮下エミリ…折山みゆ  　　　◯小山雄一…笹野高史    事務長…山崎　一    高井聡志…佐藤二朗    沢口哲夫…松重　豊    倉木泰典…時任三郎主題歌：Superfly  「輝く月のように」  （ワーナーミュージック・ジャパン）【脚本】  秦 建日子  【音楽】  羽毛田丈史  【演出】  本多繁勝  【チーフプロデューサー】  志村彰  【プロデューサー】  高石明彦  関川友理  【製作】  The icon  TBS  山の診療所を潰そうとする人たちと戦うと決意した速水は、明慶大学病院にいる沢口と話し合うため、遥と共に下山し、東京へ向かった。  倉木の提案で、明慶の医療に関わる全ての人間による臨時総会を開き、存続か閉鎖かを投票で決めることに。  一方、臨時総会の結果を待つ稜ヶ岳では、小山が倒れ、速水が緊急手術を引き受けることになったのだった。▽番組HP  http://www.tbs.co.jp/summerrescue/  ▽twitter  https://twitter.com/samaresu  番組の内容と放送時間は変更になる場合があります。</t>
  </si>
  <si>
    <t>番組名日曜劇場「サマーレスキュー～天空の診療所～」　第10話</t>
  </si>
  <si>
    <t>小山（笹野高史）のオペを進める速水（向井理）、倉木（時任三郎）、あかり（小池栄子）ら。遥（尾野真千子）と沢口（松重豊）は、別の部屋で見守る。そんな中、小山の状態が急変し、心停止してしまう。速水は、必死に心臓マッサージを始めるが…。  稜ヶ岳診療所の閉鎖前日。速水が、稜ヶ岳山荘に到着するとあかりが、集合写真を撮ろうと提案。倉木は、速水に明慶大学病院を辞めたことを明かす。そんな中、沢口がやってくる。。設立時、看板を取り付けたから外すところも見届けたいと話す。稜ヶ岳診療所の最終日。倉木と沢口は遥の母親が事故にあった日に行こうとしていた山へと向かう。するとそこには、速水がいた。遥に願い事が叶う場所と聞いていた速水は、診療所のことを願いに来ていた。一方、山荘で小山の荷物をまとめていた遥は亡くなった母親の日記を見つける。そこに書かれていた内容とは…。速水圭吾…向井　理  小山　遥…尾野真千子    平原あかり…小池栄子    小山雪乃…三浦理恵子  井上幸治…山崎樹範  沢口光香…市川由衣    木野憲太…菅田将暉  村田佳秀…小澤亮太  鈴木真子…能年玲奈    平原桃花…本田望結  田中謙介…前田公輝  宮下エミリ…折山みゆ  　　　　○  小山雄一…笹野高史    登山客…阿南健治    高井聡志…佐藤二朗  沢口哲夫…松重　豊    倉木泰典…時任三郎主題歌：Superfly  「輝く月のように」  （ワーナーミュージック・ジャパン）【脚本】  秦 建日子  【音楽】  羽毛田丈史  【演出】  日比野朗  【チーフプロデューサー】  志村彰  【プロデューサー】  高石明彦  関川友理  【製作】  The icon  TBS  稜ヶ岳山荘の閉鎖についての投票が行われ、診療所の閉鎖が決定した。  そんな中、山で倒れて動けなくなっていた小山は、ヘリで東京の明慶大学病院に運ばれることに。それを聞いていた速水は、オペを執刀したいと名乗り出て、小山のオペが始まるが、心停止してしまったのだった。▽番組HP  http://www.tbs.co.jp/summerrescue/  ▽twitter  https://twitter.com/samaresu  「いよいよ最終回『サマーレスキュー』番外編・時任三郎登場！」の動画を公開中！  こちらからどうぞ！  http://youtu.be/M5FZDmYXYAU  番組の内容と放送時間は変更になる場合があります。</t>
  </si>
  <si>
    <t>1204_TBS_木21</t>
  </si>
  <si>
    <t>パパドル！</t>
  </si>
  <si>
    <t>番組名木曜ドラマ9「パパドル！」　第1話</t>
  </si>
  <si>
    <t>ある住宅街に緊張の面持ちで佇む関ジャニ∞の錦戸亮（錦戸亮）。遥（優香）との結婚を家族に許してもらおうと挨拶にやってきていたのだ。遥の母・奈津（高畑淳子）は興味を示すも、遥の長女・芽衣（川島海荷）、長男・悠斗（今井悠貴）、次女・佳奈（谷花音）は結婚に賛成ではなかった。更に、錦戸のマネージャーの3人・朝比奈元子（財前直見）、間宮義春（八嶋智人）、脇坂正平（えなりかずき）にその事実を知られてしまう！錦戸　亮…錦戸亮（関ジャニ∞）  花村　遥…優香  花村芽衣…川島海荷（9nine）  花村悠斗…今井悠貴  花村佳奈…谷花音  脇坂正平…えなりかずき  刈谷隆博…佐藤二朗  竹富典子…島谷ひとみ  多田弘道…山田親太朗  花村奈津…高畑淳子  間宮義春…八嶋智人  岡嶋　充…城島茂（TOKIO）    【ゲスト】  大野智（嵐）  櫻井翔（嵐）  関ジャニ∞の皆さん  堤幸彦監督【原案】  吉本昌弘  【脚本】  金子ありさ【主題歌】  関ジャニ∞『愛でした。』(テイチクエンタテインメント)  【プロデューサー】  加藤章一  佐藤敦司  【演出】  坪井敏雄☆番組HP  http://www.tbs.co.jp/PAPADOL2012/  ☆twitterのアカウントはこちら！http://twitter.com/#!/thu9_4tbs  ドリマックステレビジョン　TBS  番組の内容と放送時間は、変更になる場合があります。</t>
  </si>
  <si>
    <t>番組名木曜ドラマ9「パパドル！」　第2話</t>
  </si>
  <si>
    <t>遥（優香）と極秘結婚した錦戸（錦戸亮）は、花村家で遥、芽衣（川島海荷）、悠斗（今井悠貴）、佳奈（谷花音）、奈津（高畑淳子）と一緒に暮らすことになるが、子供たちは渋い顔。しかし遥の希望もあり、マネージャーの脇坂（えなりかずき）から細かい注意を受けながらも、夫として、パパとして、新しい生活を始める。子供たちと仲良くなるためにも、さっそく家族サービスをしようと張り切る錦戸だったが…。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【ゲスト】  笑福亭鶴瓶  関ジャニ∞の皆さん  さかなクン  川越達也  松崎しげる今週放送分では『A－Studio』（金曜よる11時）とコラボ！『A－Studio』にゲスト出演した錦戸が、収録後に控室で笑福亭鶴瓶と会話を交わすというシーン（実際は4月20日に放送済み）。スペシャルゲストである鶴瓶師匠はもちろん本人役で出演。「鶴瓶スマイル」が炸裂し、錦戸のマネージャー役の八嶋智人も加わって大爆笑の収録となった。  他にも注目ゲストが次々と登場する！！さかなクン、川越達也シェフ、松崎しげるもなんと本人役でドラマ出演！ 家族サービスをしようと妻・遥（優香）と子どもたちを連れて回転寿司にやってきた錦戸亮。人気アイドルなだけに、家族とのんびりとお寿司を食べていられるわけがない…そこで錦戸が考えたアイディアとは？ さかなクン、川越シェフ、松崎しげるがどう絡むのか？ 爆笑＆圧巻のシーンは見逃せない！！【主題歌】  関ジャニ∞『愛でした。』(テイチクエンタテインメント)  【原案】  吉本昌弘  【脚本】  金子ありさ  【プロデューサー】  加藤章一  佐藤敦司  【演出】  坪井敏雄☆番組HP  http://www.tbs.co.jp/PAPADOL2012/  ☆twitterのアカウントはこちら！http://twitter.com/#!/thu9_4tbs  スーパーアイドル・関ジャニ∞の 錦戸亮 (錦戸亮)。  ひょんなことからバツイチ子持ちの遥 (優香) と恋に落ち、二人は結婚することに…。  しかし遥の家族からの反応もイマイチ。それでもめげずに遥の家族や関ジャニ∞のメンバーたちに認めてもらおうと奮闘する錦戸だったが、それより先にチーフマネージャー・朝比奈元子 (財前直見)に知られてしまい、  「3ヶ月以内に離婚か引退か決断しなさい」と迫られてしまう。ドリマックステレビジョン　TBS  ずっと観たいと思っていた「それ、」。心から感動できる「それ、」。視聴者のみなさんが望む「それ、」を「ユメ」で終わらせたくないから。「それ、」TBSがやります。 番組の内容と放送時間は、変更になる場合があります。</t>
  </si>
  <si>
    <t>番組名木曜ドラマ9「パパドル！」　第3話</t>
  </si>
  <si>
    <t>写真週刊誌に共演者・なゆみ（高梨臨）との写真を撮られてしまった錦戸（錦戸亮）。「熱愛発覚!!」と世間は大騒ぎするが、もちろん事実無根。錦戸としては妻・遥（優香）の反応が気になるところ。遥は「大丈夫」「気にしてない」と言うが、その言葉にまた物足りなさを感じてしまう・・・。そんな時、佳奈の発案で遥たちは錦戸の撮影現場にやってくる。もちろん錦戸には内緒でー。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充…城島茂（TOKIO）【ゲスト】  恵　俊彰  八代英輝  有田哲平（くりぃむしちゅー）  マツコ・デラックス  【関ジャニ∞】  横山　裕  村上信五  安田章大【原案】  吉本昌弘  【脚本】  金子ありさ【主題歌】  関ジャニ∞『愛でした。』(テイチクエンタテインメント)  【プロデューサー】  加藤章一  佐藤敦司  【演出】  渡瀬暁彦錦戸 (錦戸亮) は、花村家で遥 (優香)の家族と一緒に暮らすことになるが、子供たちは渋い顔。  しかし遥の希望もあり、細かい注意を受けながらも、新しい生活を始める。錦戸もドラマの主演が決定するなど、ますます忙しくなる仕事と家庭の両立は難しいが、錦戸は少しずつ家族に認められ始めていた。  そんな時、主演が決定していたドラマの共演女優とのスクープ写真が掲載されてしまったのだった。☆番組HP  http://www.tbs.co.jp/PAPADOL2012/  ☆twitterのアカウントはこちら！http://twitter.com/#!/thu9_4tbs    ドリマックステレビジョン　TBS  ずっと観たいと思っていた「それ、」。心から感動できる「それ、」。視聴者のみなさんが望む「それ、」を「ユメ」で終わらせたくないから。「それ、」TBSがやります。☆TBS24時　公式HP  http://www.tbs.co.jp/sore-yarimasu/番組の内容と放送時間は、変更になる場合があります。</t>
  </si>
  <si>
    <t>番組名木曜ドラマ9「パパドル！」　第4話</t>
  </si>
  <si>
    <t>錦戸（錦戸亮）の個人情報がネットに流れ出した。間宮（八嶋智人）と脇坂（えなりかずき）は錦戸が遥（優香）たちと住む家を訪れ、悠斗（今井悠貴）を問い詰める…。   あまり会話をせず、パソコンにばかり向かっている悠斗のことがよくわからない、と戸惑う遥。錦戸が「パパとして頼ってもらいたい」と積極的にはたらきかけようとすると、悠斗は「芸能人にどうやったらなれるのか？」と言い出す。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【ゲスト】  石川さゆり  岡江久美子  薬丸裕英  杉浦太陽  X－GUN（西尾季隆・さがね正裕）  【関ジャニ∞】  村上信五  安田章大【原案】  吉本昌弘  【脚本】  金子ありさ【主題歌】  関ジャニ∞『愛でした。』(テイチクエンタテインメント)  【プロデューサー】  加藤章一　佐藤敦司  【演出】  坪井敏雄☆番組HP  http://www.tbs.co.jp/PAPADOL2012/  ☆twitterのアカウントはこちら！http://twitter.com/#!/thu9_4tbs    写真週刊誌に共演者・なゆみ (高梨臨) との写真を撮られてしまった錦戸 (錦戸亮)。  錦戸は朝比奈 (財前直見) に写真週刊誌の記事は事実無根とのコメントを出してほしいと頼むが、逆に「本当のことが知られたらマスコミが家族に押し寄せる」と言われ、なゆみとの関係を認め、家族を守る決意を改める。  しかし、そんな錦戸の秘密の決意を安田章大に聞かれてしまったのだった。ドリマックステレビジョン　TBS  ずっと観たいと思っていた「それ、」。心から感動できる「それ、」。視聴者のみなさんが望む「それ、」を「ユメ」で終わらせたくないから。「それ、」TBSがやります。☆TBS24時　公式HP  http://www.tbs.co.jp/sore-yarimasu/番組の内容と放送時間は、変更になる場合があります。</t>
  </si>
  <si>
    <t>番組名木曜ドラマ9「パパドル！」　第5話</t>
  </si>
  <si>
    <t>錦戸（錦戸亮）と遥（優香）の結婚が関ジャニ∞のメンバー・安田（安田章大）にバレた！これを機に、錦戸は結婚のことをメンバーみんなに話そうと決心する。  一方、撮影のオフを利用して遥たちと大阪へ、初めての家族旅行を計画した錦戸。張り切って大阪を案内する錦戸だったが、急なミーティングがあると言われメンバーたちに東京に呼びもどされる・・・。錦戸亮…錦戸亮（関ジャニ∞）  花村遥…優香  花村芽衣…川島海荷  花村悠斗…今井悠貴  花村佳奈…谷花音  脇坂正平…えなりかずき  刈谷隆博…佐藤二朗  竹富典子…島谷ひとみ  多田弘道…山田親太朗  花村奈津…高畑淳子  間宮義春…八嶋智人  岡嶋充…城島茂（TOKIO）  【ゲスト】  山里亮太(南海キャンディーズ)  【関ジャニ∞】  横山裕  渋谷すばる  村上信五  丸山隆平  安田章大  大倉忠義【原案】  吉本昌弘  【脚本】  金子ありさ【主題歌】  関ジャニ∞『愛でした。』(テイチクエンタテインメント)  【プロデューサー】  加藤章一  佐藤敦司    【演出】  金子文紀☆番組HP  http://www.tbs.co.jp/PAPADOL2012/  ☆twitterのアカウントはこちら！http://twitter.com/#!/thu9_4tbs    錦戸(錦戸亮)の個人情報がネットに流れ出したことで、皆で悠斗(今井悠貴)を問い詰めると、悠斗は「芸能人にどうやったらなれるのか？」と言い出す。  錦戸は悠斗を連れて仕事に出かけ、自分の仕事現場をみせることに。  自分が好きになれない悠斗だったが、錦戸の言葉と仕事ぶりを見て前向きな気持ちになることができ、二人の距離が少し縮まる。  そしてとうとう、安田章大は花村家から出てきた錦戸に詰め寄るのだった…。ドリマックステレビジョン　TBS  ずっと観たいと思っていた「それ、」。心から感動できる「それ、」。視聴者のみなさんが望む「それ、」を「ユメ」で終わらせたくないから。「それ、」TBSがやります。☆TBS24時　公式HP  http://www.tbs.co.jp/sore-yarimasu/番組の内容と放送時間は、変更になる場合があります。</t>
  </si>
  <si>
    <t>番組名木曜ドラマ9「パパドル！」　第6話</t>
  </si>
  <si>
    <t>芽衣（川島海荷）と彼氏・矢崎（白又敦）のキスを目撃してしまった錦戸（錦戸亮）。錦戸は男親として複雑な心境だが、ひとまず応援しようと心に決める。ところが、錦戸は矢崎が別の女の子とキスしているところも見てしまった！遥（優香）は「親が言うことじゃない」と楽天的だが、錦戸は芽衣に伝えるべきか思い悩む。そんな時、芽衣と矢崎が遊園地にデートに行くことになり、どうしても芽衣のことが心配な錦戸も…。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【ゲスト】  佐々木蔵之介【原案】  吉本昌弘  【脚本】  大島里美【主題歌】  関ジャニ∞『愛でした。』(テイチクエンタテインメント)  【プロデューサー】  加藤章一  佐藤敦司  【演出】  渡瀬暁彦☆番組HP  http://www.tbs.co.jp/PAPADOL2012/  ☆twitterのアカウントはこちら！http://twitter.com/#!/thu9_4tbs    安田に知られたことで、錦戸はメンバーたちに結婚の報告をすると、皆は驚きながらも祝福する。  そして亮は遥たちと大阪へ、初めての家族旅行に。  しかし緊急ミーティングだとメンバーに呼び戻されると、結婚をしたことで、今後の活動についてメンバーと気持ちの距離が出来たことに気づく。  横山からはきっぱり関ジャニ∞を辞めてくれと言われ、一旦は亮もそれを承諾するが、やはり7人で頑張っていくことに決める。一方、芽衣は彼氏が出来たようで錦戸は気が気ではなく…。ドリマックステレビジョン　TBS  ずっと観たいと思っていた「それ、」。心から感動できる「それ、」。視聴者のみなさんが望む「それ、」を「ユメ」で終わらせたくないから。「それ、」TBSがやります。  ☆TBS24時　公式HP  http://www.tbs.co.jp/sore-yarimasu/  番組の内容と放送時間は、変更になる場合があります。</t>
  </si>
  <si>
    <t>番組名木曜ドラマ9「パパドル！」　第7話</t>
  </si>
  <si>
    <t>錦戸（錦戸亮）たちの前に突然現れた男・佐倉鉄平（塚本高史）は、なんと遥（優香）の元ダンナで子供たちの父親だった！借金と浮気が原因で家を出たきりだった鉄平の出現に遥や子供たちは心なしか嬉しそう。鉄平に錦戸は嫉妬を覚える。錦戸と遥は鉄平に「アイドル・錦戸亮が結婚していることはヒミツ」と念を押すが、鉄平はそれを逆手に取り、ぐいぐいと錦戸にも接近を始める。どうやら鉄平にもヒミツがあるようで…。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【ゲスト】  塚本高史  2700(八十島・ツネ)  【原案】  吉本昌弘  【脚本】  金子ありさ【主題歌】  関ジャニ∞『愛でした。』(テイチクエンタテインメント)  【プロデューサー】  加藤章一  佐藤敦司  【演出】  坪井敏雄☆番組HP  http://www.tbs.co.jp/PAPADOL2012/  ☆twitterのアカウントはこちら！http://twitter.com/#!/thu9_4tbs  ドリマックステレビジョン　TBS  ずっと観たいと思っていた「それ、」。心から感動できる「それ、」。視聴者のみなさんが望む「それ、」を「ユメ」で終わらせたくないから。「それ、」TBSがやります。  ☆TBS24時　公式HP  http://www.tbs.co.jp/sore-yarimasu/  19時から放送の、「ロンドンオリンピック バレーボール世界最終予選」の試合状況により、放送時間が変更になる可能性があります。</t>
  </si>
  <si>
    <t>番組名木曜ドラマ9「パパドル！」　第8話</t>
  </si>
  <si>
    <t>写真週刊誌の記者・多田（山田親太朗）に結婚のことを嗅ぎ付けられそうになった錦戸（錦戸亮）は、家を出ざるをえなくなってしまった。カムフラージュとして錦戸の代わりに、遥の前夫の鉄平（塚本高史）が一緒に住むことに…。錦戸の胸中は複雑だった。鉄平が子供たちの父親に戻りたいといい始めたのだ。   　一方芽衣（川島海荷）や悠斗（今井悠貴）、佳奈（谷花音）は寂しさを感じ、錦戸に会いに仕事先に向かうが…。錦戸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【ゲスト】  塚本高史【原案】  吉本昌弘  【脚本】  大島里美【主題歌】  関ジャニ∞『愛でした。』(テイチクエンタテインメント)  【プロデューサー】  加藤章一  佐藤敦司  【演出】  渡瀬暁彦☆番組HP  http://www.tbs.co.jp/PAPADOL2012/  ☆twitterのアカウントはこちら！http://twitter.com/#!/thu9_4tbs    錦戸 (錦戸亮) たちの前に遥 (優香) の元ダンナ佐倉鉄平 (塚本高史)が現れ、仕事が落ち着くまで、と花村家に居候することになった。  錦戸の結婚は秘密と念を押すが、鉄平はそれを逆手に取り錦戸に接近を始める。  子供達には歓迎されている様子の鉄平だが、トラブルを起こし、家を出て行こうとするところをパパラッチに写真を撮られてしまう。とっさに錦戸が誤魔化しそのまま家を出て行くことに…。ドリマックステレビジョン  TBS  ずっと観たいと思っていた「それ、」。心から感動できる「それ、」。視聴者のみなさんが望む「それ、」を「ユメ」で終わらせたくないから。「それ、」TBSがやります。☆TBS24時　公式HP  http://www.tbs.co.jp/sore-yarimasu/番組の内容と放送時間は、変更になる場合があります。</t>
  </si>
  <si>
    <t>番組名木曜ドラマ9「パパドル！」　第9話</t>
  </si>
  <si>
    <t>極秘結婚の証拠を岡本なゆみ（高梨臨）のマネージャー・竹富（島谷ひとみ）に握られ、近いうちにファンや世間に結婚のことを話さなければならないと覚悟する錦戸。しかし、「その時」は最悪のカタチでやってきた・・・。あまりにもしつこい週刊誌記者・多田（山田親太朗）をテレビカメラの前で問い詰めてしまったのだ・・・。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【ゲスト】  村上信五(関ジャニ∞)  ザ・たっち（たくや・かずや）【原案】  吉本昌弘  【脚本】  金子ありさ【主題歌】  関ジャニ∞『愛でした。』(テイチクエンタテインメント)  【プロデューサー】  加藤章一  佐藤敦司  【演出】  渡瀬暁彦☆番組HP  http://www.tbs.co.jp/PAPADOL2012/  ☆twitterのアカウントはこちら！http://twitter.com/#!/thu9_4tbs    遥や子供たちをマスコミから守るため、錦戸(錦戸亮)は家を出ざるをえなくなり、  代わりに遥の前夫の 鉄平(塚本高史) が一緒に住むことになったが、子供達と錦戸の絆を目の当たりにし、鉄平は家を出て行くことに。  そして錦戸は花村家へ帰ることになるが、錦戸の結婚がついに、パパラッチ、そしてなゆみ（高橋臨）のマネージャーの知るところとなってしまったのだった。ドリマックステレビジョン  TBS  ずっと観たいと思っていた「それ、」。心から感動できる「それ、」。視聴者のみなさんが望む「それ、」を「ユメ」で終わらせたくないから。「それ、」TBSがやります。☆TBS24時　公式HP  http://www.tbs.co.jp/sore-yarimasu/  ☆データ放送では、あらすじや人物相関図などドラマ最新情報を掲載！番組の内容と放送時間は、変更になる場合があります。</t>
  </si>
  <si>
    <t>番組名木曜ドラマ9「パパドル！」　第10話</t>
  </si>
  <si>
    <t>遥（優香）や子供たちのために、グループのために、アイドルを引退することを決心した錦戸（錦戸亮）。しかしその決意を知った遥たちは身を引くことにし、離婚届を置いて姿を隠す。義母・奈津（高畑淳子）から遥たちの思いを聞いた錦戸は、辛い気持ちの一方で、関ジャニ∞としてやっていく決意を新たにする。ところがそんな折、錦戸が結婚・離婚したという記事がすっぱ抜かれ、世間は大騒ぎに！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充…城島茂（TOKIO）恵俊彰  八代英輝  桝田絵理奈(TBSアナウンサー)  田中みな実(TBSアナウンサー)  【関ジャニ∞】  横山裕  渋谷すばる  村上信五  丸山隆平  安田章大  大倉忠義【原案】吉本昌弘  【脚本】金子ありさ【主題歌】  関ジャニ∞『愛でした。』(テイチクエンタテインメント)  【プロデューサー】  加藤章一  佐藤敦司  【演出】  坪井敏雄☆番組HP  http://www.tbs.co.jp/PAPADOL2012/  ☆twitterのアカウントはこちら！http://twitter.com/#!/thu9_4tbs    ☆TBS24時　公式HP  http://www.tbs.co.jp/sore-yarimasu/  錦戸は、なゆみから告白されるが他に好きな人がいると断る。しかしなゆみは錦戸にフラれたとブログでアップし大騒ぎに。  結婚のことを公表しなければと思った矢先、週刊誌記者・多田とのひと悶着をスクープされてしまう。  錦戸はついにアイドルを辞める決意をするが、遥たち一家は身を引くように、黙って家を出てしまったのだった。ドリマックステレビジョン　TBS  ずっと観たいと思っていた「それ、」。心から感動できる「それ、」。視聴者のみなさんが望む「それ、」を「ユメ」で終わらせたくないから。「それ、」TBSがやります。番組の内容と放送時間は、変更になる場合があります。</t>
  </si>
  <si>
    <t>1204_TBS_金22</t>
  </si>
  <si>
    <t>もう一度君に、プロポーズ</t>
  </si>
  <si>
    <t>番組名金曜ドラマ「もう一度君に、プロポーズ」　第1話</t>
  </si>
  <si>
    <t>車の整備工場に勤める整備士の宮本波留（竹野内豊）と妻の可南子（和久井映見）は結婚4年目。すべてが順調で幸福だと思えたある日、可南子がくも膜下出血で突然倒れてしまう。幸い手術は成功したが、波留と2人で過ごした日々を全て忘れてしまった可南子。夫婦なのに今までのようには一緒に過ごせない……と落ち込む波留。しかし、彼はそれでも妻を失いたくないという強い思いを抱き、再び彼女とゼロから恋を始めようと決意する。今期一番の注目作『もう一度君に、プロポーズ』は金ドラで久々の本格的ラブストーリー！！  主演は、竹野内豊。4年ぶりのTBSの連続ドラマ出演でピュアでハートフルな全く新しいラブストーリーに挑みます。宮本波留…竹野内豊  宮本可南子…和久井映見  谷村裕樹…山本裕典  吉城 桂…倉科カナ  増山志乃…市川由衣  　◆  水嶋哲夫…光石研  宮本太助…小野寺昭  谷村万里子…真野響子主題歌……JUJU「ただいま」（ソニー・ミュージックアソシエイテッドレコーズ）  音楽……村松崇継【脚本】  桐野世樹   【演出】  村上正典   【プロデューサー】  森安彩『TBS24時』毎日およそ10回生放送！ドラマのロケ場所、バラエティの収録スタジオなどテレビの現場からライブでTBSの＜いま＞を伝えます。今回の担当は杉山真也アナウンサーです！（※都合によりアナウンサーが変更になる場合があります。）共同テレビ  TBS  ずっと観たいと思っていた「それ、」。心から感動できる「それ、」。視聴者のみなさんが望む「それ、」を「ユメ」で終わらせたくないから。「それ、」TBSがやります。  番組の内容と放送時間は、変更になる場合があります。</t>
  </si>
  <si>
    <t>番組名金曜ドラマ「もう一度君に、プロポーズ」　第2話</t>
  </si>
  <si>
    <t>波留（竹野内豊）は実家に帰った妻・可南子（和久井映見）に会いに行くが、会ってもらえない。  波留とも会わず、一日中家からも出ない日々を送る可南子に母の万里子（真野響子）は心療内科で診察を受けることを勧める。そんな中、可南子は働いていた図書館へ。館長の大橋（杉本哲太）に現状を説明し、退職を考えていることを明かす。一方、万里子から可南子が図書館を辞めるつもりだと聞いた波留は、図書館へ向かう。宮本波留…竹野内豊  宮本可南子…和久井映見  谷村裕樹…山本裕典  吉城 桂…倉科カナ  増山志乃…市川由衣  蓮沼茂利…渡辺哲  進藤松二…松下洸平  佐伯美奈…橋本真実  橘 雅斗…入江甚儀  水嶋さとこ…山野海  川崎良太郎…久松龍一  三田 力…三浦力  水嶋哲夫…光石 研  宮本太助…小野寺昭   ◆   谷村万里子……真野響子今期一番の注目作『もう一度君に、プロポーズ』は金ドラで久々の本格的ラブストーリー！！  ピュアでハートフルな全く新しいラブストーリーを主演・竹野内豊でお送りします。【主題歌】  JUJU「ただいま」（ソニー・ミュージックアソシエイテッドレコーズ）  【音楽】  村松崇継【脚本】  桐野世樹   【演出】  村上正典  【プロデューサー】  森安彩  【製作】  共同テレビ／TBS  宮本波留（竹野内豊）は、妻の可南子（和久井映見）とは結婚4年目。  仕事も家庭も順風満帆であった。  そんな中、可南子がくも膜下出血で突然倒れてしまい、波留と過ごした時の記憶だけ無くしてしまう。もともと波留を快く思っていない可南子の弟・谷村裕樹（山本裕典）は、この機会にと、姉を実家に引き戻そうとする。波留は、記憶を無理に思い出させるより、もう一度、自分のことを好きになってほしいとデートに誘うが、可南子に断られてしまったのだった。『TBS24時』毎日およそ10回生放送！ドラマのロケ場所、バラエティの収録スタジオなどテレビの現場からライブでTBSの＜いま＞を伝えます。今回の担当は小林豊アナウンサーです！  （※都合によりアナウンサーが変更になる場合があります。）ずっと観たいと思っていた「それ、」。心から感動できる「それ、」。視聴者のみなさんが望む「それ、」を「ユメ」で終わらせたくないから。「それ、」TBSがやります。  番組の内容と放送時間は、変更になる場合があります。</t>
  </si>
  <si>
    <t>番組名金曜ドラマ「もう一度君に、プロポーズ」　第3話</t>
  </si>
  <si>
    <t>波留（竹野内豊）は、可南子（和久井映見）との思い出のデートに使った車の修理に熱中。  波留に後押しされて図書館の仕事に復帰した可南子も、後輩らに支えられながら懸命に働き始める。  一方、波留の職場で唯一可南子の記憶喪失を知る桂（倉科カナ）は、2人の仲が少し進展したと知り、オンラインゲームでの恋人探しに気合を入れる。そして、波留にも可南子をデートに誘うよう勧める。桂の言葉で、記憶を失う前の可南子とのデートの約束を思い出した波留は、可南子が働く図書館へ。映画のチケットを差し出し、可南子をデートに誘う。宮本波留…竹野内豊  宮本可南子…和久井映見  谷村裕樹…山本裕典  吉城 桂…倉科カナ  増山志乃…市川由衣  水嶋哲夫…光石 研  大橋知典…杉本哲太  宮本太助…小野寺 昭  谷村万里子…真野響子【主題歌】  JUJU「ただいま」（ソニー・ミュージックアソシエイテッドレコーズ）  【音楽】  村松崇継【脚本】  桐野世樹   【演出】  木下高男   【プロデューサー】  森安彩  【製作】  共同テレビ／TBS  ある日、一台の車を廃車にして欲しい、との依頼がくる。  その車は波留と可南子の思い出の車であった。  そんな頃、図書館の仕事を退職したいと言う可南子を波留が引き止め、もう一度図書館で働くことに。一方桂（倉科カナ）は、波留への想いが強まっていた。  波留は、二人でドライブに行ったときのたい焼きを可南子に食べさせ、また頑張っていこうと気持ちを新たにする。そして思い出の車を修理することを決意する。『TBS24時』毎日およそ10回生放送！ドラマのロケ場所、バラエティの収録スタジオなどテレビの現場からライブでTBSの＜いま＞を伝えます。今回の担当は小林豊アナウンサーです！  （※都合によりアナウンサーが変更になる場合があります。）  ずっと観たいと思っていた「それ、」。心から感動できる「それ、」。視聴者のみなさんが望む「それ、」を「ユメ」で終わらせたくないから。「それ、」TBSがやります。  番組の内容と放送時間は、変更になる場合があります。</t>
  </si>
  <si>
    <t>番組名金曜ドラマ「もう一度君に、プロポーズ」　第4話</t>
  </si>
  <si>
    <t>波留（竹野内豊）は、蓮沼（渡辺哲）の姪っ子を一晩預かることになる。偶然居合わせた可南子（和久井映見）は、波留宅に泊まって子供の面倒をみることに。楽しそうに子供と接する可南子。そんな可南子の様子を見て戸惑う波留。その後、あることから波留宅に押しかけようと計画するミズシマオートの面々だが、それを阻止しようと桂（倉科カナ）はつい波留と可南子の抱える事情を皆に明かしてしまう…。桂から波留と可南子の抱える事情を聞いたミズシマオートの面々は、波留を励まそうと波留宅を訪れる。賑やかな場の空気に、気分が和らぐ波留。が、酔って調子に乗った面々は波留の携帯電話を奪い、可南子に電話を掛けてしまいーー宮本波留…竹野内豊  宮本可南子…和久井映見  谷村裕樹…山本裕典  吉城 桂…倉科カナ  増山志乃…市川由衣  水嶋哲夫…光石研  大橋知典…杉本哲太  宮本太助…小野寺昭  谷村万里子…真野響子【主題歌】  JUJU「ただいま」（ソニー・ミュージックアソシエイテッドレコーズ）  【音楽】  村松崇継【脚本】  山上ちはる  【脚本協力】  桐野世樹   【演出】  村上正典  【プロデュース】  森安 彩  【製作】  共同テレビ／TBS  再び働くことにした可南子（和久井映見）だが、周囲の人たちに気を使われることに複雑な気持ちを抱えていた。  そんな中、裕樹（山本裕典）は波留（竹野内豊）が桂（倉科カナ）と親しげにする姿を見てますます姉を守ろうとする。  波留は可南子を映画デートに誘うが、ひょんな事から自分の実家へと向かうことに。そこで可南子は波留が太助（小野寺昭）の養子であることを知り、波留のことを少し理解出来たのだが、可南子は波留にもう会わないほうがいいと告げてしまうのだった。『TBS24時』毎日およそ10回生放送！ドラマのロケ場所、バラエティの収録スタジオなどテレビの現場からライブでTBSの＜いま＞を伝えます。今回の担当は小林豊アナウンサーです！（※都合によりアナウンサーが変更になる場合があります。）  ▽それ、TBSがやります  http://www.tbs.co.jp/sore-yarimasu/ずっと観たいと思っていた「それ、」。心から感動できる「それ、」。視聴者のみなさんが望む「それ、」を「ユメ」で終わらせたくないから。「それ、」TBSがやります。  番組の内容と放送時間は、変更になる場合があります。</t>
  </si>
  <si>
    <t>番組名金曜ドラマ「もう一度君に、プロポーズ」　第5話</t>
  </si>
  <si>
    <t>同窓会に行き、昔付き合っていた一哉（袴田吉彦）と再会した可南子（和久井映見）。昔話に花が咲き、楽しい一時を過ごした可南子だが、ある種の罪悪感から、そのことをつい波留（竹野内豊）に隠してしまう。そんな中、自宅に届いた可南子宛の荷物を届けるため、可南子の実家を訪ねた波留は、裕樹（山本裕典）に誘われて来た一哉と鉢合わせする。波留は一哉と過去の話をする可南子を遠い存在に感じてしまう…。宮本波留…竹野内豊  宮本可南子…和久井映見  谷村裕樹…山本裕典  吉城 桂…倉科カナ  増山志乃…市川由衣  水嶋哲夫…光石 研  大橋知典…杉本哲太  宮本太助…小野寺 昭  谷村万里子…真野響子【主題歌】  JUJU「ただいま」（ソニー・ミュージックアソシエイテッドレコーズ）  【音楽】  村松崇継【脚本】  桐野世樹   【演出】  村上正典  木下高男   【プロデューサー】  森安彩  【製作】  共同テレビ／TBS  同僚の姪を預かることになった波留と可南子。  可南子が楽しそうに子どもと接する様子を見て、可南子は子どもが欲しかったのかもしれないと初めて考える波留。  一方、とうとう水嶋オートの仲間に、可南子の状況が知られることに。  裕樹は波留に、結婚して波留が可南子をちゃんと幸せにしていたのかと問うが、言葉を返せない。  ある日可南子は同窓会に出席。  そこにはかつての恋人一哉（袴田吉彦）の姿があったのだった。『TBS24時』毎日およそ10回生放送！  ドラマのロケ場所、バラエテェの収録スタジ  オなどテレビの現場からライブでTBSの＜  いま＞を伝えます。今回の担当は小林豊アナウンサーです！（※都合によりアナウンサーが変更になる場合があります。）    ▽それ、TBSがやります  http://www.tbs.co.jp/sore-yarimasu/ずっと観たいと思っていた「それ、」。心から感動できる「それ、」。視聴者のみなさんが望む「それ、」を「ユメ」で終わらせたくないから。「それ、」TBSがやります。  http://www.tbs.co.jp/sore-yarimasu/  番組の内容と放送時間は、変更になる場合があります。</t>
  </si>
  <si>
    <t>番組名金曜ドラマ「もう一度君に、プロポーズ」　第6話</t>
  </si>
  <si>
    <t>波留（竹野内豊）は、可南子（和久井映見）の家で元恋人の一哉（袴田吉彦）と鉢合わせになり、動揺する。そんな中、万里子（真野響子）が波留の元を訪れ、可南子のことだけでなく、波留自身の未来のことも考えて欲しいと告げる。一方、可南子は昔なじみの食堂で一哉と遭遇し、心の中に芽生えた波留への罪悪感を口にする。宮本波留…竹野内豊  宮本可南子…和久井映見  谷村裕樹…山本裕典  吉城 桂…倉科カナ  増山志乃…市川由衣  蓮沼茂利…渡辺哲  進藤松二…松下洸平  佐伯美奈…橋本真実  橘 雅斗…入江甚儀  水嶋さとこ…山野海  川崎良太郎…久松龍一  三田 力…三浦力  水嶋哲夫…光石 研  宮本太助…小野寺昭   ◆   谷村万里子……真野響子【主題歌】  JUJU「ただいま」（ソニー・ミュージックアソシエイテッドレコーズ）  【音楽】  村松崇継【脚本】  桐野世樹   【演出】  村上正典  木下高男   【プロデューサー】  森安彩  【製作】  共同テレビ／TBS  同窓会で再会した、元彼の一哉（袴田吉彦）と一緒に乗ったタクシーに携帯電話を落とした可南子（和久井映見）。  後日、一哉が可南子の落とした携帯電話を届け、2人でお茶を飲んでいる姿を、桂（倉科カナ）と進藤（松下洸平）が目撃する。  一方、裕樹（山本裕典）は、一哉を実家に連れて帰り、偶然荷物を届けに来た波留と食事をすることに…。桂はゲームで知り合った「タケル」とデートを重ねるが、どうしてもぎくしゃくしてしまい、波留の家に向かってしまうのだった…。ずっと観たいと思っていた「それ、」。心から感動できる「それ、」。視聴者のみなさんが望む「それ、」を「ユメ」で終わらせたくないから。「それ、」TBSがやります。  http://www.tbs.co.jp/sore-yarimasu/  19時から放送の、「ロンドンオリンピック バレーボール世界最終予選」の試合状況により、放送時間が変更になる可能性があります。</t>
  </si>
  <si>
    <t>番組名金曜ドラマ「もう一度君に、プロポーズ」　第7話</t>
  </si>
  <si>
    <t>離婚を決意し、可南子（和久井映見）に伝えた波留（竹野内豊）。可南子は受け入れるものの、戸惑いを隠しきれない。翌日、波留はミズシマオートの面々に離婚する旨を伝える。それを聞いた桂（倉科カナ）は複雑な想いを抱く。一方、可南子は一哉（袴田吉彦）を含めた学生時代の同級生と会う。やけにテンションの高い可南子の様子を見た一哉は、可南子に何かあったことをすぐに見抜く。そんな中、志乃（市川由衣）が谷村家に押しかけ、万里子（真野響子）と夕飯をつくって裕樹（山本裕典）を出迎える。驚く裕樹に志乃は、絶対に別れたくないという気持ちを強くぶつける。一方、自分自身の波留への気持ちに混乱した桂は、裕樹に相談を持ちかける。そこで桂は、波留と可南子が離婚することを裕樹に話してしまう。宮本波留…竹野内豊  宮本可南子…和久井映見  谷村裕樹…山本裕典  吉城 桂…倉科カナ  増山志乃…市川由衣  水嶋哲夫…光石研  大橋知典…杉本哲太  宮本太助…小野寺昭  谷村万里子…真野響子【主題歌】  JUJU「ただいま」（ソニー・ミュージックアソシエイテッドレコーズ）  【音楽】  村松崇継一哉と波留が鉢合わせしてしまったので、万里子は、波留に裕樹が一哉を勝手に家に連れてきたことを詫びるとともに、今後の波留自身のことも考えてほしいと伝える。  一方、桂は、タケルに別れを告げる。後日、可南子は鳩時計を持ってミズシマオートを訪れると、そこで波留と可南子宛の結婚式への招待状を渡され、結婚式に出席。  そこで波留は可南子に、離婚しようと伝えたのだった。【脚本】  山上ちはる  桐野世樹   【演出】  木下高男  【プロデューサー】  森安彩  【製作】  共同テレビ／TBS  『TBS24時』毎日およそ10回生放送！ドラマのロケ場所、バラエティの収録スタジオなどテレビの現場からライブでTBSの＜いま＞を伝えます。今回の担当は小林豊アナウンサーです！（※都合によりアナウンサーが変更になる場合があります。）    ▽それ、TBSがやります  http://www.tbs.co.jp/sore-yarimasu/  ずっと観たいと思っていた「それ、」。心から感動できる「それ、」。視聴者のみなさんが望む「それ、」を「ユメ」で終わらせたくないから。「それ、」TBSがやります。  番組の内容と放送時間は、変更になる場合があります。</t>
  </si>
  <si>
    <t>番組名金曜ドラマ「もう一度君に、プロポーズ」　第8話</t>
  </si>
  <si>
    <t>波留（竹野内豊）の家を訪れた桂（倉科カナ）は、傷心の波留がいたたまれなくなり、思わずその背中にすがりつく。翌日、会社で波留と会った桂はぎこちない態度になるが、いつも通りに接する波留に、自分の出来ることを考え、梅津（モロ師岡）の車の修理を手伝うことを申し出る。波留は、梅津の車の修理に力を入れる。そんな中、太助（小野寺昭）が倒れたと連絡が入り、波留は急いで病院に駆けつけるが、太助はすでに帰宅していた。実家を訪ねた波留は泊まっていくことになり、親子水入らず、久々に太助と布団を並べる。  一方、可南子（和久井映見）は、万里子（真野響子）にプロポーズの前に波留が父のお墓に挨拶に言ったという話を聞き、父の墓参りに訪れる。そこには、つい先ほど波留がお参りした様子が残っていた。可南子は、もう一度波留と話をすべく波留の部屋に訪れる。一方、太助に呼ばれた波留が、家を訪ねていくとーーー宮本波留…竹野内豊  宮本可南子…和久井映見  谷村裕樹…山本裕典  吉城 桂…倉科カナ  増山志乃…市川由衣  水嶋哲夫…光石 研  大橋知典…杉本哲太  宮本太助…小野寺 昭  谷村万里子…真野響子【主題歌】  JUJU「ただいま」（ソニー・ミュージックアソシエイテッドレコーズ）  【音楽】  村松崇継【脚本】  桐野世樹   【演出】  村上正典  【プロデューサー】  森安彩  【製作】  共同テレビ／TBS  波留は、可南子に離婚を伝えると、可南子は、分かりましたと伝える。  太助は波留の実の母親に波留に会ってほしいと言うが、会ってはくれなかった。一方桂は、傷心の波留がいたたまれなくなり、思わずその背中にすがりついてしまう。『TBS24時』毎日およそ10回生放送！ドラマのロケ場所、バラエティの収録スタジオなどテレビの現場からライブでTBSの＜いま＞を伝えます。今回の担当は小林豊アナウンサーです！（※都合によりアナウンサーが変更になる場合があります。）    ▽それ、TBSがやります  http://www.tbs.co.jp/sore-yarimasu/ずっと観たいと思っていた「それ、」。心から感動できる「それ、」。視聴者のみなさんが望む「それ、」を「ユメ」で終わらせたくないから。「それ、」TBSがやります。  http://www.tbs.co.jp/sore-yarimasu/  番組の内容と放送時間は、変更になる場合があります。</t>
  </si>
  <si>
    <t>番組名金曜ドラマ「もう一度君に、プロポーズ」　第9話</t>
  </si>
  <si>
    <t>可南子（和久井映見）は波留（竹野内豊）の家で、日記を発見する。それは記憶を失う前の5年間について自らの言葉で綴られた日々の記録。読むのが怖くなり、思わず日記を閉じてそのまま部屋から立ち去る可南子。一方、波留は余命僅かだという父・太助（小野寺昭）の面倒をみるために、実家で生活することに。ひょんなことからそれを知った裕樹（山本裕典）は、可南子にそれを伝え、「行ってきたら？」と進言する。後日、可南子は波留の実家を訪ねる。歓迎する太助と波留。可南子が振る舞う料理を食べながら、楽しい時間を過ごす3人。そして数日後、3人は息を吹き返した梅津（モロ師岡）の車で海へドライブに出掛ける。宮本波留…竹野内豊  宮本可南子…和久井映見  谷村裕樹…山本裕典  吉城 桂…倉科カナ  増山志乃…市川由衣  水嶋哲夫…光石 研  大橋知典…杉本哲太  宮本太助…小野寺 昭  谷村万里子…真野響子【主題歌】  JUJU「ただいま」（ソニー・ミュージックアソシエイテッドレコーズ）  【音楽】  村松崇継【脚本】  桐野世樹   【演出】  木下高男   【プロデューサー】  森安彩  【製作】  共同テレビ／TBS  波留（竹野内豊）は、可南子（和久井映見）との思い出の車である梅津（モロ師岡）の車を直すことに力を入れるが、  そんな中、太助（小野寺昭）が病院に運ばれる。波留がプロポーズの前に可南子の父のお墓に挨拶に行ったという話を聞き、父の墓参りに訪れると、そこには、つい先ほど波留がお参りした様子が残っていた。  可南子は、もう一度波留と話をすべく波留の部屋を訪れると、自分の書いた日記を見つける。一方太助に呼ばれた波留は、太助の命が長くないことを知ってしまうのだった。ずっと観たいと思っていた「それ、」。心から感動できる「それ、」。視聴者のみなさんが望む「それ、」を「ユメ」で終わらせたくないから。「それ、」TBSがやります。  http://www.tbs.co.jp/sore-yarimasu/  『TBS24時』毎日およそ10回生放送！ドラマのロケ場所、バラエティの収録スタジオなどテレビの現場からライブでTBSの＜いま＞を伝えます。今回の担当は小林豊アナウンサーです！（※都合によりアナウンサーが変更になる場合があります。）番組の内容と放送時間は、変更になる場合があります。</t>
  </si>
  <si>
    <t>番組名金曜ドラマ「もう一度君に、プロポーズ」　第10話</t>
  </si>
  <si>
    <t>太助（小野寺昭）が残したメモに従い、知人に太助が亡くなった連絡をする波留（竹野内豊）。そこに、見ず知らずの西園晶子（朝加真由美）の名前があった。太助への手紙から、波留は晶子が自分の実の母親だと知る。波留から太助の訃報の連絡を受けた晶子は、波留と会うことに。可南子（和久井映見）は、気丈にふるまうものの父の死に落ち込んでいるに違いない波留のために、自分に出来ることはないかと懸命に考え、支えようとする。告別式での波留の姿を見た裕樹（山本裕典）は、波留の強さを実感し、これまでの見方を改める。そして、裕樹自身もある決断をする。桂（倉科カナ）は、新しい修理の依頼を、自分がやりたいと申し出る。早く一人前になりたいという桂にミズシマオートの面々も喜び、刺激される。それぞれが、それぞれの道を一歩ずつ進み出す中……波留と可南子の離婚届は、提出されぬまま。“もう一度君に、プロポーズ”の結末は…宮本波留…竹野内豊  宮本可南子…和久井映見  谷村裕樹…山本裕典  吉城 桂…倉科カナ  増山志乃…市川由衣  蓮沼茂利…渡辺哲  進藤松二…松下洸平  佐伯美奈…橋本真実  橘 雅斗…入江甚儀  水嶋さとこ…山野海  川崎良太郎…久松龍一  三田 力…三浦力  水嶋哲夫…光石 研  宮本太助…小野寺昭   ◆   谷村万里子……真野響子【主題歌】  JUJU「ただいま」（ソニー・ミュージックアソシエイテッドレコーズ）  【音楽】  村松崇継【脚本】  桐野世樹   【演出】  村上正典  木下高男   【プロデューサー】  森安彩  【製作】  共同テレビ／TBS  日記を見つけた可南子は、思わず開いてみるが、見ることが出来ず日記を閉じた。  太助のことを知った可南子は太助の家を訪れ、波留と三人で楽しい時間を過ごし、梅津の車の修理が終わると、波留は太助と可南子と海に行く。  ある日、波留はミズシマオートの社長に跡を継いでくれないかと言われたと太助に報告するも、  太助は静かに息を引き取ってしまうのだった。ずっと観たいと思っていた「それ、」。心から感動できる「それ、」。視聴者のみなさんが望む「それ、」を「ユメ」で終わらせたくないから。「それ、」TBSがやります。  http://www.tbs.co.jp/sore-yarimasu/  『TBS24時』毎日およそ10回生放送！  ドラマのロケ場所、バラエテェの収録スタジ  オなどテレビの現場からライブでTBSの＜  いま＞を伝えます。今回の担当は小林豊アナウンサーです！（※都合によりアナウンサーが変更になる場合があります。）番組の内容と放送時間は、変更になる場合があります。</t>
  </si>
  <si>
    <t>1204_TBS_日21</t>
  </si>
  <si>
    <t>ATARU</t>
  </si>
  <si>
    <t>番組名日曜劇場「ATARU」　第1話</t>
  </si>
  <si>
    <t>不思議な能力を持った青年　チョコザイ（中居正広）彼の時折呟く単語が、事件をとくキーワードになっていた。刑事の沢（北村一輝）と舞子（栗山千明）はチョコザイの単語を元に事件の真相を突き止めていく中居正広（SMAP）  北村一輝  栗山千明  玉森裕太（Kis－My－Ft2）  利重剛  奥貫薫  嶋田久作  田中哲司  千原せいじ（千原兄弟）  中村靖日  庄野崎謙  光宗薫（AKB48研究生）  市村正親（特別出演）  村上弘明  (他)    【第1話ゲスト】  板谷由夏  ローラ  ROLLY    【脚本】  櫻井武春  【プロデュース】  植田博樹  韓哲木村ひさし【アタルキャンペーン!!】  日曜劇場『ATARU』をリアルタイムで見ると総額333万円相当が“当たる”キャンペーンを実施します！詳しくは番組HPまで    http://www.tbs.co.jp/ATARU/present/☆番組HPはこちら  http://www.tbs.co.jp/ATARU/present/    ☆twitterのアカウントはこちら！  http://twitter.com/#!/ATARU_tbsTBSテレビずっと観たいと思っていた「それ、」。心から感動できる「それ、」。視聴者のみなさんが望む「それ、」を「ユメ」で終わらせたくないから。「それ、」TBSがやります。  番組の内容と放送時間は変更になる場合があります。</t>
  </si>
  <si>
    <t>番組名日曜劇場「ATARU」　第2話</t>
  </si>
  <si>
    <t>第二話は「青いバラ」と謎の言葉を残して心臓麻痺で死んだ男を見て、チョコザイが突然捜査を開始したところから物語は始まる。  死体には何の不可解な点もない。  そしてそこに青いバラもなかった…。    不思議な能力を持った青年、チョコザイ（中居正広）。  彼の時折呟く単語が、事件をとくキーワードになっていた。  刑事の沢（北村一輝）と舞子（栗山千明）はチョコザイの単語を元に事件の真相を突き止めていく…。中居正広（SMAP）  北村一輝  栗山千明  玉森裕太（Kis－My－Ft2）  利重剛  奥貫薫  嶋田久作  田中哲司  千原せいじ（千原兄弟）  中村靖日  庄野崎謙  光宗薫（AKB48研究生）  市村正親（特別出演）  村上弘明  (他)  【ゲスト】  坂井真紀椎名林檎【脚本】  櫻井武春  【プロデュース】  植田博樹  韓哲木村ひさし日曜劇場『ATARU』をリアルタイムで見ると、総額333万円相当が“当たる”キャンペーンを実施します！  詳しくはホームページまで！  http://www.tbs.co.jp/ATARU/☆公式Twitter  http://twitter.com/#!/ATARU_tbs  化学工場で爆発が起こり、従業員のベテラン技師が死亡した。  捜査一課は、斉木の不注意による事故と判断するが、蛯名舞子（栗山千明）はその状況から事件性を疑っていた。ある日、爆破現場を訪れた舞子は、そこでチョコザイ（中居正広）と名乗る謎の男と出会う。  彼は意味不明の単語を次々発し、その言葉をつなぎ合わせていくと、見逃していた真相らしきものにつながっていくことが判明、沢（北村一輝）たちは再調査に乗り出す。  事件も解決し、身元不明のチョコザイは、ひとまず蝦名家の持つアパートで暮らすことになった。TBSテレビ  ずっと観たいと思っていた「それ、」。心から感動できる「それ、」。視聴者のみなさんが望む「それ、」を「ユメ」で終わらせたくないから。「それ、」TBSがやります。  番組の内容と放送時間は変更になる場合があります。</t>
  </si>
  <si>
    <t>番組名日曜劇場「ATARU」　第3話</t>
  </si>
  <si>
    <t>身元不明のチョコザイ(中居正広)を生活安全課に保護してもらうこととなり、病院の検査に立ち会う沢(北村一輝)と舞子(栗山千明)。するとそこへ、「医大生としてチョコザイが気になる」と舞子の弟・昇（玉森裕太)がやって来た。検査の結果、IQは驚くほど高いが、得意な事と苦手な事の差が激しく、発達障がいの可能性があると判明。そんな時、有明港に頭部に不審な陥没痕がある水死体が上がり…。中居正広（SMAP）  北村一輝  栗山千明  玉森裕太（Kis－My－Ft2）  利重剛  千原せいじ（千原兄弟）  田中哲司  中村靖日  庄野崎謙  光宗薫（AKB48研究生）  中村昌也  三好博道  菅原大吉  村上弘明  (他)  【ゲスト】  高橋ひとみ  浅利陽介  高橋愛椎名林檎【脚本】  櫻井武春  【プロデュース】  植田博樹  韓哲吉田健日曜劇場『ATARU』をリアルタイムで見ると、総額333万円相当が“当たる”キャンペーンを実施します！  詳しくはホームページまで！☆公式HP  http://www.tbs.co.jp/ATARU/  ☆公式Twitter  http://twitter.com/#!/ATARU_tbs  ある朝、チョコザイは花屋へ。  そこへ傍で花束を持った男が「青いバラ」と言い残し息を引き取った。  病死という結果が出たが、チョコザイは「違います！」と言い、舞子は早乙女を解剖して欲しいと沢（北村一輝）に頼むと、  男が妻（坂井真紀）により毒物を摂取されており、死亡間際、副作用のため赤いバラが青く見えていたことが判明した。  一方、「アタル」という無線が頻繁にあることを不審がる犬飼（中村靖日）…。  そしてチョコザイの行方を探す謎の集団は、チョコザイの居場所を突き止めようとしていた。TBSテレビずっと観たいと思っていた「それ、」。心から感動できる「それ、」。視聴者のみなさんが望む「それ、」を「ユメ」で終わらせたくないから。「それ、」TBSがやります。  番組の内容と放送時間は変更になる場合があります。</t>
  </si>
  <si>
    <t>番組名日曜劇場「ATARU」　第4話</t>
  </si>
  <si>
    <t>チョコザイ（中居正広）の施設入院が決まった。舞子はチョコザイに別れを告げることになる。その隙をついて、ラリーはチョコザイを確保しアメリカに連れ帰ることにする。そのころ、沢と舞子はセスナ機を使った事件に巻き込まれる。どう見ても自殺にしか見えない事件に捨て山と決断する警察に、遺族の婚約者を名乗る女性鈴原理子（木村文乃）が納得できないと外国帰りの優秀な私立事故鑑定士　公原（平岡祐太）をつれてくる。中居正広（SMAP）  北村一輝  栗山千明  玉森裕太（Kis－My－Ft2）  利重剛  奥貫薫  嶋田久作  田中哲司  千原せいじ（千原兄弟）  中村靖日  庄野崎謙  光宗薫（AKB48研究生）  市村正親（特別出演）  村上弘明  (他)  【ゲスト】  平岡祐太  木村文乃  安藤サクラ  阿南健治  永岡佑椎名林檎【脚本】  櫻井武春  【プロデュース】  植田博樹  韓哲吉田健日曜劇場『ATARU』をリアルタイムで見ると、総額333万円相当が“当たる”キャンペーンを実施します！  詳しくはホームページまで！☆公式HP  http://www.tbs.co.jp/ATARU/  ☆公式Twitter  http://twitter.com/#!/ATARU_tbs  身元不明のチョコザイ（中居正広）の検査の結果、IQは驚くほど高いが、発達障がいの可能性があると判明。  そんな時、頭部に不審な陥没痕がある水死体が上がった。死亡したのは広告代理店社長、弓削勝則（矢嶋俊作）。  ある日自宅で勝則の遺体写真と遺品の鑑識写真を見ていた舞子に、チョコザイが「Fracture、落ちたの、どっち」と呟いた。  また、捜査が進むにつれて、弓削に愛人がいたことが分かり、息子の拓海（浅利陽介）が裕子（高橋愛）と父親を別れさせようとするうち、自分も交際するようになり、拓海が父親を殺害したのだった。一方、ATARUという単語を発する違法無線を逆探知すると、アメリカ大使館だった…TBSテレビ  ずっと観たいと思っていた「それ、」。心から感動できる「それ、」。視聴者のみなさんが望む「それ、」を「ユメ」で終わらせたくないから。「それ、」TBSがやります。  番組の内容と放送時間は変更になる場合があります。</t>
  </si>
  <si>
    <t>番組名日曜劇場「ATARU」　第5話</t>
  </si>
  <si>
    <t>舞子の弟・昇が通う医大の教授が、階段から転落して亡くなった。事故なのか事件なのか…その現場に居合わせた昇と助手の浅尾二人の証言に、食い違いが生じた。  真相を究明するため、警視庁の面々が動き始め“捨て山”と判断する方向になりかけた時、チョコザイが呟くキーワードで、沢・舞子が捜査を開始する。  また「ナカカマタ」という言葉に反応するチョコザイや彼を追う謎の組織…チョコザイの謎が少しずつ明らかに。中居正広（SMAP）  北村一輝  栗山千明  玉森裕太（Kis－My－Ft2）  利重剛  奥貫薫  嶋田久作  田中哲司  千原せいじ（千原兄弟）  中村靖日  庄野崎謙  光宗薫（AKB48研究生）  市村正親（特別出演）  村上弘明  (他)  【ゲスト】  遠藤憲一  岡田義徳  臼田あさ美  池田鉄洋  東根作寿英  岩田さゆり  清水一希  千代将太椎名林檎【脚本】  櫻井武春  【プロデュース】  植田博樹  韓哲木村ひさし日曜劇場『ATARU』をリアルタイムで見ると、総額333万円相当が“当たる”キャンペーンを実施します！  詳しくはホームページまで！☆公式HP  http://www.tbs.co.jp/ATARU/  ☆公式Twitter  http://twitter.com/#!/ATARU_tbs  入院が決まったチョコザイ（中居正広）を追う謎の男・ラリー（村上弘明）がチョコザイを連れ去り、「日本でのトレーニングは終了した」と告げる。同じ頃、小型飛行機が樹木に衝突し、パイロットが亡くなったという連絡が入る。事故か自殺の可能性が高いという調査官。  病院にいるはずのチョコザイも戻ってきて捜査をしていくと、パイロットの元恋人による犯行だったことが判明。チョコザイが自主的に事件を解決していることに興味を持ったラリーは、しばらくチョコザイの様子を見てみることにした。TBSテレビ  ずっと観たいと思っていた「それ、」。心から感動できる「それ、」。視聴者のみなさんが望む「それ、」を「ユメ」で終わらせたくないから。「それ、」TBSがやります。  http://www.tbs.co.jp/sore-yarimasu/番組の内容と放送時間は変更になる場合があります。</t>
  </si>
  <si>
    <t>番組名日曜劇場「ATARU」　第6話</t>
  </si>
  <si>
    <t>チョコザイの身元引受人となった沢が、チョコザイの仮住まいにしていたアパートで同居を始めることになった。理由は分からないが、舞子とチョコザイの間には、信頼関係さえ生まれているようで、舞子の言うことに反応しつつ少しだけ従うようになったチョコザイ。そして、チョコザイの生活ペースを掴み始めた舞子は、チョコザイが発する謎のワードが、事件の大きな手掛かりになっているということを確信し始めていた。そんな時、絶対音感を持った女性を助けた舞子と、自宅で死亡していた男性の捜査をしていた沢はじめ捜査一課の面々が、同じアパートで遭遇し…。中居正広（SMAP）  北村一輝  栗山千明  玉森裕太（Kis－My－Ft2）  利重剛  奥貫薫  嶋田久作  田中哲司  千原せいじ（千原兄弟）  中村靖日  庄野崎謙  光宗薫（AKB48研究生）  市村正親（特別出演）  村上弘明    【ゲスト】  寺島咲   花王おさむ   石田卓也   布施紀行   ROLLY   椎名林檎【脚本】  櫻井武春  【プロデュース】  植田博樹  韓哲木村ひさし日曜劇場『ATARU』をリアルタイムで見ると、総額333万円相当が“当たる”キャンペーンを実施します！  詳しくはホームページまで！☆公式HP  http://www.tbs.co.jp/ATARU/  ☆公式Twitter  http://twitter.com/#!/ATARU_tbs  昇（玉森裕太）が通う帝都医科大学のキャンパス内で、植松教授（小島康志）が階段から転落して死亡した。  DNA鑑定へと動き始めた時、病院から逃げ出したチョコザイ（中居正広）が大学に現れ、「BRAIN（脳）　HALLUCINATION（幻覚）」と呟いたことがきっかけで、目撃者の「半側空間無視」の症状が原因で事件が混乱していたことを突き止め、事件を解決したのだった。TBSテレビ  ずっと観たいと思っていた「それ、」。心から感動できる「それ、」。視聴者のみなさんが望む「それ、」を「ユメ」で終わらせたくないから。「それ、」TBSがやります。  http://www.tbs.co.jp/sore-yarimasu/  19時から放送の、「ロンドンオリンピック バレーボール世界最終予選」の試合状況により、放送時間が変更になる場合があります。</t>
  </si>
  <si>
    <t>番組名日曜劇場「ATARU」　第7話</t>
  </si>
  <si>
    <t>チョコザイ（中居正広）と共同生活を始めた沢（北村一輝）は、「洗濯は午後九時に」というチョコザイルールを守るため、チョコザイ・舞子（栗山千明）と共に近くのコインランドリーにいた。すると、そこに2発の銃声が響いた。「M37」と呟くチョコザイ…M37は制服警官の銃であることを瞬時に察した沢たちは、コインランドリーの裏にある交番に急いだ。途中、かつて上司であった福留班長（升毅）とすれ違った沢は、気になりつつもそのまま現場へと走った。交番の2階には、手袋制服姿の和田（神保悟志）が、左胸から流血して倒れていた…。 中居正広（SMAP）  北村一輝  栗山千明  玉森裕太（Kis－My－Ft2）  利重剛  奥貫薫  嶋田久作  田中哲司  千原せいじ（千原兄弟）  中村靖日  庄野崎謙  光宗薫（AKB48研究生）  市村正親（特別出演）  村上弘明  (他)  【ゲスト】  升毅  神保悟志  ICONIQ  椎名林檎【監督・演出】  木村ひさし  【脚本】  櫻井武春  【プロデュース】  植田博樹  韓哲日曜劇場『ATARU』をリアルタイムで見ると、総額333万円相当が“当たる”キャンペーンを実施します！  詳しくはホームページまで！☆公式HP  http://www.tbs.co.jp/ATARU/  ☆公式Twitter  http://twitter.com/#!/ATARU_tbs  チョコザイ（中居正広）の身元引受人となった沢（北村一輝）が、同居のため舞子（栗山千明）の父が所有するアパートに引っ越してきた。ある日、舞子とチョコザイは、絶対音感を持っていることで苦しむ女性に会う。一方沢達は、その女性の隣人の男性の死亡事件を捜査していた。  事件性がないことから自殺だと断定するが、納得のいかない舞子は、捜査を開始。  アパートの管理人がもみ合ううちに突き飛ばし、死亡させていたことが判明。  捜査が終了しても、チョコザイは今までのように眠ることなくじっと何かに耐えているよう。  そして犬飼（中村靖日）は一人で違法電波を調べていたがとうとうラリー（村上弘）達に連れ去られてしまった。TBSテレビ  ずっと観たいと思っていた「それ、」。心から感動できる「それ、」。視聴者のみなさんが望む「それ、」を「ユメ」で終わらせたくないから。「それ、」TBSがやります。  http://www.tbs.co.jp/sore-yarimasu/  番組の内容と放送時間は変更になる場合があります。</t>
  </si>
  <si>
    <t>番組名日曜劇場「ATARU」　第8話</t>
  </si>
  <si>
    <t>最近、ほとんど睡眠をとっていないチョコザイ(中居正広)を連れ、検査のために病院に出かけた舞子(栗山千明)。検査を終え表に出ると、チョコザイは見知らぬ車に乗り込んでしまい、慌てて降ろそうとした舞子は、ラリー井上(村上弘明)と名乗る人物と出会う。チョコザイをアタルと呼ぶラリーは、ずっとアタルを探していたといい、アタルはFBIの捜査官候補生で、SPB＝サヴァ・プログラム・ブランチという、医学的に証明されたサヴァン症候群の能力を捜査に生かすための訓練を受けていたという。それを聞き愕然となる舞子に、ラリーはある提案をして…。中居正広（SMAP）  北村一輝  栗山千明  玉森裕太（Kis－My－Ft2）  利重剛  奥貫薫  嶋田久作  田中哲司  千原せいじ（千原兄弟）  中村靖日  庄野崎謙  光宗薫（AKB48研究生）  中村昌也  三好博道  市村正親（特別出演）  村上弘明  【ゲスト】  渡部豪太  福田彩乃  須藤公一  坂本真椎名林檎【脚本】  櫻井武晴  【監督・演出】  木村ひさし  【プロデュース】  植田博樹  韓哲交番で和田という警察官が銃で撃たれて亡くなった。近くにいた沢や舞子が銃声を聞き駈け付ける。  状況から何者かに撃たれた可能性が高いが、警察は自殺と断定して捜査を打ち切った。  しかし、銃声を聞き交番に駈け付ける時、沢はかつての元上司・福留班長とすれ違っていた。  捨て山となるはずだった事件だが、福留のアドバイスを利用した和田による偽造自殺であることを突き止める。また、チョコザイの日本での動きを監視していたFBIのラリーは、舞子と関わってからのチョコザイの変化に興味を持っていたのだった。日曜劇場『ATARU』をリアルタイムで見ると、総額333万円相当が“当たる”キャンペーンを実施します！  詳しくはホームページまで！☆公式HP  http://www.tbs.co.jp/ATARU/  ☆公式Twitter  http://twitter.com/#!/ATARU_tbs  TBSテレビ  ずっと観たいと思っていた「それ、」。心から感動できる「それ、」。視聴者のみなさんが望む「それ、」を「ユメ」で終わらせたくないから。「それ、」TBSがやります。  http://www.tbs.co.jp/sore-yarimasu/  番組の内容と放送時間は変更になる場合があります。</t>
  </si>
  <si>
    <t>番組名日曜劇場「ATARU」　第9話</t>
  </si>
  <si>
    <t>チョコザイことアタルが両親と再会。沢や舞子は、父親からアタルの生い立ちや渡米した理由など知ることになる。だが、母親の様子に違和感を持つ舞子だった。  そんな時、沢の元に幼児の遺体発見という知らせが入る。虐待とも思われる痣や傷のある遺体に謎が深まる。  一方、アタルが両親との感動的な再会を果たし、親子水入らずの時間を過ごすことを望んでいた舞子だったが、アタルは舞子のところへ戻ってきてしまい…。中居正広（SMAP）  北村一輝  栗山千明  玉森裕太（Kis－My－Ft2）  利重剛  奥貫薫  嶋田久作  田中哲司  千原せいじ（千原兄弟）  中村靖日  庄野崎謙  光宗薫（AKB48研究生）  中村昌也  三好博道  市村正親（特別出演）  村上弘明  【ゲスト】  原日出子  森脇英理子  黒澤宏貴椎名林檎【脚本】  櫻井武春  【プロデュース】  植田博樹  韓哲木村ひさし日曜劇場『ATARU』をリアルタイムで見ると、総額333万円相当が“当たる”キャンペーンを実施します！  詳しくはホームページまで！☆公式HP  http://www.tbs.co.jp/ATARU/  ☆公式Twitter  http://twitter.com/#!/ATARU_tbs  FBIのラリー井上が舞子とチョコザイの前に現れ、チョコザイはアタルという名前で、  FBIの捜査官候補生としてSPBで訓練中だと知る。舞子はラリーにアタルと共に一緒にアメリカに来ないかと誘われる…。その頃、自殺と思われる火災現場から発見された男の遺体が発見された。  彼女を紹介したいと言っていたことから、舞子は自殺説を否定、男に借金していた友人が犯人だと突き止める。一方、アタルが全く眠っていないことなどから、沢はアタルを捜査に関わらせない方がいいのではと舞子に言うのだった。TBSテレビ  ずっと観たいと思っていた「それ、」。心から感動できる「それ、」。視聴者のみなさんが望む「それ、」を「ユメ」で終わらせたくないから。「それ、」TBSがやります。  http://www.tbs.co.jp/sore-yarimasu/  番組の内容と放送時間は変更になる場合があります。</t>
  </si>
  <si>
    <t>番組名日曜劇場「ATARU」　第10話</t>
  </si>
  <si>
    <t>昏睡状態で病院に運ばれたアタル（中居正広）を心配する沢（北村一輝）、舞子（栗山千明）、アタルの父・誠（市村正親）、ラリー井上（村上弘明）らが病院に詰めかけた。母・ゆり子（原日出子）は、アタルのために思い出のおにぎりを持ってきたがアタルに変化はなく、このまま目覚めなかったらと心配は募るばかり。  病院にいる間に舞子は、アタルの両親から小さい頃のアタルの様子、ラリーとの出会い、何故アメリカに渡ったかなど詳しく知る。  そんな時、小暮桃香（安倍なつみ）という女性が運転していた車が電柱に衝突し炎上、車内で死亡したという連絡が入って…。中居正広（SMAP）  北村一輝  栗山千明  玉森裕太（Kis－My－Ft2）  利重剛  奥貫薫  嶋田久作  田中哲司  千原せいじ（千原兄弟）  中村靖日  庄野崎謙  光宗薫（AKB48研究生）  中村昌也  三好博道  市村正親（特別出演）  村上弘明  【ゲスト】  平岡祐太  安倍なつみ椎名林檎【脚本】  櫻井武晴  【プロデュース】  植田博樹  韓哲  【監督・演出】  木村ひさしチョコザイことアタル（中居正広）を連れ、アタルの両親がいる八王子の猪口家を訪ねた沢（北村一輝）と舞子（栗山千明）。  両親はアタルのことを理解してくれているラリー（村上弘明）に感謝しているという。そんな時、母親による虐待の疑いがある幼児の遺体が見つかる。  猪口家で見たニュースを知らぬ間にacceptedし、捜査を始めたアタルは、幼児の事故死であることを突き止める。事件を解決すると、アタルはそのまま何かを叫び倒れてしまった。日曜劇場『ATARU』をリアルタイムで見ると、総額333万円相当が“当たる”キャンペーンを実施します！  詳しくはホームページまで！☆公式HP  http://www.tbs.co.jp/ATARU/  ☆公式Twitter  http://twitter.com/#!/ATARU_tbs  TBSテレビ  ずっと観たいと思っていた「それ、」。心から感動できる「それ、」。視聴者のみなさんが望む「それ、」を「ユメ」で終わらせたくないから。「それ、」TBSがやります。  ☆http://www.tbs.co.jp/sore-yarimasu/  ☆データ放送ではあらすじや人物相関図などドラマ最新情報を掲載！番組の内容と放送時間は変更になる場合があります。</t>
  </si>
  <si>
    <t>番組名日曜劇場「ATARU」　第11話</t>
  </si>
  <si>
    <t>自殺だと言われてきた舞子の母・真理子の死。チョコザイことアタルに出会ってから事件が起こるたびにアタルに助けてもらい、捨て山になりそうな事件を解決してきた沢や舞子だったが、ある車の衝突事故から15年前の舞子の母親の死に関する重大な事実が明かになっていく。アタルが何を見て何を呟くのか…！？そして、驚きの結末とは…！？中居正広（SMAP）  北村一輝  栗山千明  玉森裕太（Kis－My－Ft2）  利重剛  奥貫薫  嶋田久作  田中哲司  千原せいじ（千原兄弟）  中村靖日  庄野崎謙  光宗薫（AKB48研究生）  中村昌也  三好博道  市村正親（特別出演）  村上弘明  【ゲスト】  広澤草  清水一希  千代将太椎名林檎【脚本】  櫻井武晴  【プロデュース】  植田博樹  韓哲木村ひさし日曜劇場『ATARU』をリアルタイムで見ると、総額333万円相当が“当たる”キャンペーンを実施します！  詳しくはホームページまで！☆公式HP  http://www.tbs.co.jp/ATARU/  ☆公式Twitter  http://twitter.com/#!/ATARU_tbs  アタルは昏睡状態で病院に運ばれ、両親も付き添うが目覚ず…。  そんな時、車両炎上事故が発生し、運転していた車が、亡くなった母と同じ車だったから気になったと舞子。  事故写真を見ているとアタルが目覚め、事件には関わらせたくないという沢達の意向とは裏腹に捜査を始めてしまう。  犯人を捕まえると、10年程前、自動車の設計士から話を聞き今回の殺人を起こしたことを自供、沢は舞子に母親は自殺だと思うかと聞く。TBSテレビ  ずっと観たいと思っていた「それ、」。心から感動できる「それ、」。視聴者のみなさんが望む「それ、」を「ユメ」で終わらせたくないから。「それ、」TBSがやります。  http://www.tbs.co.jp/sore-yarimasu/  番組の内容と放送時間は変更になる場合があります。</t>
  </si>
  <si>
    <t>1201_TBS_月20</t>
  </si>
  <si>
    <t>ステップファザー・ステップ</t>
  </si>
  <si>
    <t>番組名ステップファザー・ステップ　第1話</t>
  </si>
  <si>
    <t>孤高の泥棒“俺”は仕事中にドジをし、双子の兄弟に助けられる。  そしてこともあろうか、双子に「パパになって！」と頼まれるのだ。なんと、双子の両親は二人を置いて、同じ日に別々の相手と駆け落ちをしてしまったのだという。こうして父親代わりをする羽目になってしまった俺の周りで事件が起きる！ぶつかりながらも前へと進んでいこうとする俺と双子。  ニセモノ親子に本物の絆は生まれるのか？俺…上川隆也  灘尾礼子…小西真奈美  秋山ナオ…平山あや  宗野直・哲…渋谷龍生・樹生  脇坂芳江…須藤理彩  脇坂信之介…渡辺いっけい  柳瀬豪造…伊東四朗  【ゲスト】  矢城久子…萬田久子  矢城佐織…佐藤仁美【原作】  宮部みゆき『ステップファザー・ステップ』（講談社）  【脚本】  篠崎絵里子  国井桂【演出】  新城毅彦  【プロデューサー】  渡辺良介  八木亜未☆番組HP  http://www.tbs.co.jp/stepfather/  ☆twitterのアカウントはこちらです！  @step_tbs  大映テレビ株式会社  TBSテレビ  番組の内容と放送時間は変更になる場合があります。</t>
  </si>
  <si>
    <t>番組名ステップファザー・ステップ　第2話</t>
  </si>
  <si>
    <t>ついに「ステップファザー契約」を結ばされた“俺”は、仕方なく双子を連れて湖に遊びに行く。すると、その湖でなんと白骨遺体が発見される！白骨遺体の話を聞いた双子は、どこか落ち着かない様子。そんな中、双子の父親が駆け落ちしていないという事実が発覚する！！もしかして白骨遺体の正体は双子の…！？真相を明らかにするため調査を開始する俺の前に浮かび上がった真実とは…？俺…上川隆也  灘尾礼子…小西真奈美  秋山ナオ…平山あや  宗野直・哲…渋谷龍生・樹生  脇坂芳江…須藤理彩  脇坂信之介…渡辺いっけい  柳瀬豪造…伊東四朗  【ゲスト】  佐々木瞳…奥貫薫【主題歌】  「ブランコ」/トータス松本（ワーナーミュージック・ジャパン）【原作】  宮部みゆき『ステップファザー・ステップ』（講談社）  【脚本】  篠崎絵里子怪盗キングこと“俺”は、ひょんなことから双子のパパとして生活することに。そんな頃、双子が通う小学校で校長のカバンが盗まれ双子が犯人扱いされる。実は校長の孫娘が犯人だった。“俺”は独自に調査を進め、怪盗キングの仕業として事件とその裏に隠されていた心の行き違いを解決するのだった。【演出】  新城毅彦  【プロデューサー】  渡辺良介  八木亜未☆番組HP  http://www.tbs.co.jp/stepfather/  ☆twitterのアカウントはこちらです！  @step_tbs  大映テレビ株式会社  TBSテレビ  番組の内容と放送時間は変更になる場合があります。</t>
  </si>
  <si>
    <t>番組名ステップファザー・ステップ　第3話</t>
  </si>
  <si>
    <t>双子の住む街で連続空き巣事件発生！  そしてこともあろうか、泥棒パパがついていながらも双子の家に空き巣が侵入！？  双子の母のネックレスの入った宝石箱が盗まれてしまう！  双子はその事実を”俺”に隠して泥棒を捕まえようとするが…。  そして空き巣事件に隠されたある家族の物語。  意識不明になる直、俺の正体に疑問を持ち始める礼子…一体どうなってしまうのか！？俺…上川隆也  灘尾礼子…小西真奈美  秋山ナオ…平山あや  宗野直・哲…渋谷龍生・樹生  脇坂芳江…須藤理彩  脇坂信之介…渡辺いっけい  柳瀬豪造…伊東四朗  【ゲスト】  板倉和代…丘みつ子  板倉裕之…笠原秀幸【原作】  宮部みゆき『ステップファザー・ステップ』（講談社）  【脚本】  徳永友一「ブランコ」/トータス松本（ワーナーミュージック・ジャパン）【演出】  山下学美  【プロデューサー】  渡辺良介  八木亜未近所の湖で発見された白骨遺体は双子の両親なのか？“俺”はナオに両親の情報収集を頼み、自らは遺体の身元を調べ始める。そして遺体が佐々木瞳の夫と不倫相手だと突き止めた。それを聞いた双子は泣きながら“俺”に感謝するのだった。  一方、“俺”を怪しむ礼子先生は同僚から双子の母親の実家が既に存在しないと聞き…。☆番組HP  http://www.tbs.co.jp/stepfather/  ☆twitterのアカウントはこちらです！  http://twitter.com/step_tbs  大映テレビ株式会社  TBSテレビ  番組の内容と放送時間は変更になる場合があります。</t>
  </si>
  <si>
    <t>番組名ステップファザー・ステップ　第4話</t>
  </si>
  <si>
    <t>ついに正体を礼子に知られてしまった俺。「仕方がない」と宗野家を去ることに。しかし、パパを追い出したと礼子を責める双子。そんな時、一匹の迷い犬を発見する。親に捨てられた二人はこの犬を自分たちと重ね、家族の一員として迎えようとする。俺も捨て犬と双子の境遇を重ね、“ニセモノの家族”では意味がないと飼い主探しを始めるが、そこには礼子の心を揺さぶる真実が・・・。“自首”を決めた俺に、礼子と双子は・・・？俺…上川隆也  灘尾礼子…小西真奈美  秋山ナオ…平山あや  宗野直・哲…渋谷龍生・樹生  脇坂芳江…須藤理彩  脇坂信之介…渡辺いっけい  柳瀬豪造…伊東四朗  【ゲスト】  笹本敏子…田島令子【原作】  宮部みゆき『ステップファザー・ステップ』（講談社）  【脚本】  国井桂「ブランコ」/トータス松本（ワーナーミュージック・ジャパン）【演出】  山下学美  【プロデューサー】  渡辺良介  八木亜未双子の家に空き巣が入り、“俺”は盗まれた双子の母親のネックレスを探し、犯人を突き止めた。  しかし、双子が本当に取り返したかったものは、そのネックレスの箱に隠した“俺”の正体がバレてしまう証拠の写真だったことを知る。  一方礼子は“俺”のことを不審に思い、双子の実の父親ではないことを突き止めてしまった。☆番組HP  http://www.tbs.co.jp/stepfather/  ☆twitterのアカウントはこちらです！  http://twitter.com/step_tbs  大映テレビ株式会社  TBSテレビ  番組の内容と放送時間は変更になる場合があります。</t>
  </si>
  <si>
    <t>番組名ステップファザー・ステップ　第5話</t>
  </si>
  <si>
    <t>宗野家の近隣では「“俺”と礼子が不倫関係にあるのでは？」という噂が立ち始めた。  そんなある日、直が高熱を出して寝込んでしまうが、“俺”には子供の看病の仕方がわからず、役に立たない。  慌ててやってきた礼子は、徹夜で直の看病をし、翌朝、礼子と“俺”が宗野家から出てきたところを芳江に見つかり、不倫疑惑が再燃してしまう。  不倫疑惑が書かれた怪文書の存在を聞いた“俺”は、密かに差出人を探し始める…。俺…上川隆也  灘尾礼子…小西真奈美  秋山ナオ…平山あや  宗野直・哲…渋谷龍生・樹生  脇坂芳江…須藤理彩  脇坂信之介…渡辺いっけい  柳瀬豪造…伊東四朗【原作】  宮部みゆき『ステップファザー・ステップ』（講談社）  【脚本】  篠崎絵里子  国井桂「ブランコ」/トータス松本（ワーナーミュージック・ジャパン）【演出】  新城毅彦  【プロデューサー】  渡辺良介  八木亜未礼子に正体を知られてしまった“俺”は自首と引き換えに子供たちを守るよう礼子に頼む。そんな折、双子が拾った犬が家から逃げ出した。“俺”から飼う事を反対された事もあり双子は自分たちだけで探しにいくが、逆に迷子になってしまう。“俺”と礼子は双子を探し出し、犬の本当の飼い主に辿り着いた。“俺”に対する双子の信頼を感じた礼子は今まで通りパパを演じるよう“俺”に頼む。こうして3人の秘密は4人の秘密になった。☆番組HP  http://www.tbs.co.jp/stepfather/  ☆twitterのアカウントはこちらです！  http://twitter.com/step_tbs  大映テレビ株式会社  TBSテレビ  2／1より「フェイスブック」TBSテレビ公式ページがスタート！現在、SPドラマ「SPEC～翔～」（今春放送）の先行動画を配信中。社内や赤坂の街情報、番組やスタッフの裏話などTBSの素顔をご紹介します！番組の内容と放送時間は変更になる場合があります。</t>
  </si>
  <si>
    <t>番組名ステップファザー・ステップ　第6話</t>
  </si>
  <si>
    <t>双子の宗野直（渋谷龍生）と哲（渋谷樹生）の誕生日が近づいてきた。  未だに双子への接し方がよくわからない“俺”（上川隆也）は礼子先生（小西真奈美）に祝い方を相談し、楽しい誕生日になるはずが…。  さらに“俺”の仕事仲間であるナオ（平山あや）が宗野家にやってきて、ひと騒動もふた騒動も巻き起こす…！  自己中心的な振る舞いの裏にはどんな理由があるのか！？俺…上川隆也  灘尾礼子…小西真奈美  秋山ナオ…平山あや  宗野直・哲…渋谷龍生・樹生  脇坂芳江…須藤理彩  脇坂信之介…渡辺いっけい  柳瀬豪造…伊東四朗  【ゲスト】  岡田義徳【原作】  宮部みゆき『ステップファザー・ステップ』（講談社）  【脚本】  篠崎絵里子  国井桂「ブランコ」/トータス松本（ワーナーミュージック・ジャパン）【演出】  新城毅彦  【プロデューサー】  渡辺良介  八木亜未☆番組HP  http://www.tbs.co.jp/stepfather/  ☆twitterのアカウントはこちらです！  http://twitter.com/step_tbs  礼子は双子の世話をするためたびたび宗野家を訪れていた。それが“俺”との不倫だと噂になった。小学校にも不倫教師をクビにしろと怪文書が届く。そんな時に直が熱を出した。礼子はクビを覚悟で看病にいく。そして自分の過去を“俺”と双子に告白する。一方、“俺”は怪文書の差出人を突き止めた。犯人は礼子の元夫だった。犯人もわかり礼子のクビも柳瀬の機転で回避できた。難問を乗り越え、4人はより強い絆で結ばれたのだった。大映テレビ株式会社  TBSテレビ  2／1より「フェイスブック」TBSテレビ公式ページがスタート！現在、SPドラマ「SPEC～翔～」（今春放送）の先行動画を配信中。社内や赤坂の街情報、番組やスタッフの裏話などTBSの素顔をご紹介します！番組の内容と放送時間は変更になる場合があります。</t>
  </si>
  <si>
    <t>番組名ステップファザー・ステップ　第7話</t>
  </si>
  <si>
    <t>いつもどおり宗野家にやってきた“俺”（上川隆也）は、家の中から出てきた男が自ら宗野直（渋谷龍生）と哲（渋谷樹生）の父親だと言ったことで狼狽する。しょうがなく父親を演じていたはずなのに、本物の父親が帰ってきた途端にやるせない思いがこみ上げる。しかしこの男は本物の双子の父親ではなく、佐久間という誘拐犯だった…！俺…上川隆也  灘尾礼子…小西真奈美  秋山ナオ…平山あや  宗野直・哲…渋谷龍生・樹生  脇坂芳江…須藤理彩  脇坂信之介…渡辺いっけい  柳瀬豪造…伊東四朗  【ゲスト】  佐久間隆…別所哲也【原作】  宮部みゆき『ステップファザー・ステップ』（講談社）  【脚本】  篠崎絵里子  国井桂「ブランコ」/トータス松本（ワーナーミュージック・ジャパン）【演出】  新城毅彦  【プロデューサー】  渡辺良介  八木亜未直と哲の誕生日が近づき、“俺”は祝い方を礼子に相談する。そこにナオがやってきた。ナオは詐欺に失敗し鮫山という男からつきまとわれていたが、それを隠して宗野家に居座り気ままに振舞う。そして誕生日当日。突然鮫山がやってきた。鮫山はナオが既婚で双子の子持ちだと勘違いして逆上、ナオを人質にして子供部屋に立て篭る。しかし双子の勇気ある行動と“俺”の活躍で鮫島は捕まり、双子にとって忘れられない誕生日になった。☆番組HP  http://www.tbs.co.jp/stepfather/  ☆twitterのアカウントはこちらです！  http://twitter.com/step_tbs  大映テレビ株式会社  TBSテレビ  番組の内容と放送時間は変更になる場合があります。</t>
  </si>
  <si>
    <t>番組名ステップファザー・ステップ　第8話</t>
  </si>
  <si>
    <t>脇坂家に謎の新聞が投げ込まれるというイタズラが続き、双子にその犯人探しを頼まれた元ドロボウの”俺”。なぜ新聞が投げ込まれるのか？投げ込まれた新聞に隠された犯人からのメッセージを読み解こうとする俺。しかし、そこには思いもよらない事実が隠されていた！！泥棒の俺の前に突きつけられた罪と罰ー。新聞投げ込み事件の意外な犯人と真相とは！？俺…上川隆也  灘尾礼子…小西真奈美  秋山ナオ…平山あや  宗野直・哲…渋谷龍生・樹生  脇坂芳江…須藤理彩  脇坂信之介…渡辺いっけい  柳瀬豪造…伊東四朗    田島浩一…石井正則 【原作】  宮部みゆき『ステップファザー・ステップ』（講談社）  【脚本】  篠崎絵里子  国井桂「ブランコ」/トータス松本（ワーナーミュージック・ジャパン）【演出】  新城毅彦  【プロデューサー】  渡辺良介  八木亜未ある日、宗野家を訪れた“俺”は、玄関で見知らぬ男と鉢合わせした。  “俺”は双子の父だと言われて激しく動揺しその場を立ち去る。翌日、礼子からの連絡を受け“俺”は愕然とする。双子が誘拐されたというのだ。  犯人は双子の実父・宗野正雄を恨んでいる人物だろう。柳瀬とナオの調べで犯人は宗野の記事で不正を暴かれた事がある佐久間という男だとわかった。“俺”は少ない情報から佐久間の居場所を割り出し双子を救出した。☆番組HP  http://www.tbs.co.jp/stepfather/  ☆twitterのアカウントはこちらです！  http://twitter.com/step_tbs  大映テレビ株式会社  TBSテレビ  番組の内容と放送時間は変更になる場合があります。</t>
  </si>
  <si>
    <t>番組名ステップファザー・ステップ　第9話</t>
  </si>
  <si>
    <t>“俺”（上川隆也）は最近機嫌が悪い。ステップファザー契約のため泥棒稼業は休業中だが、街にはニセ怪盗キングが現れ、失敗ばかりしているのだ。柳瀬（伊東四朗）はニセモノについて何かを知っているようだが、話そうとしない。それどころか、稼げない泥棒はいらないと“俺”を事務所から追い出そうとする。  プライドを傷つけられた“俺”は、ナオ（平山あや）にニセ怪盗キングの被害者の情報を集めるよう頼む…。俺…上川隆也  灘尾礼子…小西真奈美  秋山ナオ…平山あや  宗野直・哲…渋谷龍生・樹生  脇坂芳江…須藤理彩  脇坂信之介…渡辺いっけい  柳瀬豪造…伊東四朗画聖（ピカソ）…平泉成    郷田和男…マギー  【原作】  宮部みゆき『ステップファザー・ステップ』（講談社）  【脚本】  篠崎絵里子  国井桂「ブランコ」/トータス松本（ワーナーミュージック・ジャパン）【演出】  新城毅彦  【プロデューサー】  渡辺良介  八木亜未☆番組HP  http://www.tbs.co.jp/stepfather/  ☆twitterのアカウントはこちらです！  http://twitter.com/step_tbs  双子の家のお隣・脇坂家では毎日いろいろな新聞が投げ込まれる嫌がらせに悩んでいた。この謎を解くことになった“俺”は投げ込まれた新聞の共通項を見つける。それは怪盗キング（“俺”）が2年前に起こした盗難事件の日付を意味していた。そして当時警備員だった田島が浮上。盗難事件のせいで職を失い家族にも迷惑をかけた田島は脇坂に事件を忘れるなと警告を送っていたのだ。“俺”は複雑な気持ちでこの事件を解決したのだった。大映テレビ株式会社  TBSテレビ  番組の内容と放送時間は変更になる場合があります。</t>
  </si>
  <si>
    <t>番組名ステップファザー・ステップ　第10話</t>
  </si>
  <si>
    <t>ある日、柳瀬（伊東四朗）の事務所に、佐藤（柏原収史）という男が訪ねてきた。写真の切れ端に写っている時計を探して欲しいという。“俺”（上川隆也）は、探偵事務所ではないと反発するが、多額の成功報酬目当てに請け負うことに。“俺”は双子の父親・宗野正雄の行方を個人的に追っており、金が必要なのだ。同じ頃、直（渋谷龍生）と哲（渋谷樹生）も残り少なくなった生活費に悩んでいた。そして“俺”から時計探しと報酬の話を聞いた双子は、柳瀬にアルバイトを申し出る。双子は柳瀬に“俺”そっくりの衣装を買ってもらい、やる気満々だ。俺…上川隆也  灘尾礼子…小西真奈美  秋山ナオ…平山あや  宗野直・哲…渋谷龍生・樹生  脇坂芳江…須藤理彩  脇坂信之介…渡辺いっけい  柳瀬豪造…伊東四朗【原作】  宮部みゆき『ステップファザー・ステップ』（講談社）  【脚本】  篠崎絵里子  国井桂「ブランコ」/トータス松本（ワーナーミュージック・ジャパン）【演出】  新城毅彦  【プロデューサー】  渡辺良介  八木亜未☆番組HP  http://www.tbs.co.jp/stepfather/  ☆twitterのアカウントはこちらです！  http://twitter.com/step_tbs  ニセ怪盗キングの出現にイライラしていた“俺”は柳瀬から事務所を追い出される。プライドを傷つけられた“俺”は独自調査を開始、ニセキングの被害にあった資産家・佐伯に辿り着く。数日後、柳瀬が連れ去られた!柳瀬誘拐はニセキングが佐伯宅から盗もうとした壷が関係しており、ニセキングも柳瀬が講じた佐伯対策だった。“俺”は贋作名人・画聖（ピカソ）とニセキング・郷田の手を借り、見事佐伯の思惑を暴き柳瀬を奪還した。大映テレビ株式会社  TBSテレビ  番組の内容と放送時間は変更になる場合があります。</t>
  </si>
  <si>
    <t>番組名ステップファザー・ステップ　第11話</t>
  </si>
  <si>
    <t>ある夜、“俺”は宗野正雄（東根作寿英）の部屋から暮志木市（くらしきし）にある小原（こはら）美術館の入場券を見つけた。  この美術館は暮志木市長の小原（山田剛明）が市役所の一部を改造して作ったもので名画の贋作ばかりを展示している。  しかし柳瀬（伊東四朗）によるとひとつだけ本物の絵があるという。絵画に興味のない宗野が連日美術館通いとは、何か怪しく思い…。俺…上川隆也  灘尾礼子…小西真奈美  秋山ナオ…平山あや  宗野直・哲…渋谷龍生・樹生  脇坂芳江…須藤理彩  脇坂信之介…渡辺いっけい  柳瀬豪造…伊東四朗    画聖…平泉成  宗野正雄…東根作寿英  溝口香苗…小沢真珠  小原市長…山田剛明【原作】  宮部みゆき『ステップファザー・ステップ』（講談社）  【脚本】  篠崎絵里子  国井桂「ブランコ」/トータス松本（ワーナーミュージック・ジャパン）【演出】  新城毅彦  【プロデューサー】  渡辺良介  八木亜未☆番組HP  http://www.tbs.co.jp/stepfather/  ☆twitterのアカウントはこちらです！  http://twitter.com/step_tbs  佐藤という男から“俺”に腕時計探しの依頼が。その調査が進み、佐藤が有村という宝石泥棒で逃走中に消息を絶った妻子との再会が依頼の目的だとわかった。有村の妻は既に亡くなり娘は里親と暮らしている。“俺”は有村に娘とは会わせないと宣言する。しかし双子から父娘を会わせてあげたいと迫られ有村を娘のもとへ連れて行く。娘と再会した有村は改心して自首した。その帰り道、“俺”は双子に「父親に絶対会わせてやる」と誓う。大映テレビ株式会社  TBSテレビ  番組の内容と放送時間は変更になる場合があります。</t>
  </si>
  <si>
    <t>1201_TBS_木21</t>
  </si>
  <si>
    <t>最高の人生の終り方</t>
  </si>
  <si>
    <t>番組名木曜ドラマ9「最高の人生の終り方～エンディングプランナー～」　第1話</t>
  </si>
  <si>
    <t>物語の主人公・井原真人（山下智久）は毎日を平凡に暮らしていた。そんな彼の前に現れた女性、坂巻優樹（榮倉奈々）との出会いは地下鉄のホームだった。彼女を必死に抱きとめ彼は言った。「諦めなければよかったって思える日が、必ず来るから・・・」その日から真人の人生は変わり始めた。居酒屋チェーン店に勤務する真人の部下、長田（設楽統）の突然の死、父親（蟹江敬三）の死。そして葬儀屋をやろうと決意する真人。不可解な長田の死を追うミステリー、前田敦子、知念侑李、大野いと、反町隆史演じる井原家5人兄弟の家庭問題。謎の男岩田（山崎努）の正体。優樹とのラブストーリー。全てが目が話せない80分の拡大スペシャル！！山下智久  榮倉奈々  前田敦子（AKB48）  知念侑李（Hey！Say！JUMP）  大野いと  水上剣星  橋本真実  藤本哉汰  田中理勇  大友康平  磯野貴理子  黄川田将也  塩見三省  蟹江敬三  反町隆史  山崎努  (他)  【1話ゲスト】  吉行和子  設楽統（バナナマン）【主題歌】  『 愛、テキサス 』山下智久   【音楽】  羽毛田丈史【演出】  石井康晴  【プロデュース】  伊與田英徳  【脚本】  渡辺千穂初回は80分拡大SP！！  【番宣情報】  1月7日（土）「王様のブランチ」  山下智久、榮倉奈々、反町隆史出演  1月9日（月）～11日（水）「朝ズバ」  毎日山下智久出演！！☆番組HP  http://www.tbs.co.jp/saikou-no-jinsei/  ☆ツイッターアカウントはコチラ！  @saikounojinsei5TBS番組の内容と放送時間は変更になる場合があります。</t>
  </si>
  <si>
    <t>番組名木曜ドラマ9「最高の人生の終り方～エンディングプランナー～」　第2話</t>
  </si>
  <si>
    <t>葬儀・井原屋を告ぐことを決心した真人（山下智久）が目にしたのは、居酒屋に面接に来た男性（玉森裕太）の遺体だった。そして彼は、身元のわからない無縁仏だった。何とか彼の人生に花を添えたいと願う真人は、優樹と共に男性の人生を追うことになる。そんな中現れた女・谷沢怜奈（杏）。怜奈と男性の意外な関係が紐解かれる事になる。そして2人の関係は思いも寄らぬ、人生の絆だった。山下智久  榮倉奈々  前田敦子（AKB48）  知念侑李（Hey！Say！JUMP）  大野いと  水上剣星  橋本真実  岡本玲  藤本哉汰  大友康平  磯野貴理子  黄川田将也  反町隆史  山崎努  【2話ゲスト】  杏  玉森裕太（Kis－My－Ft2）  峰竜太【主題歌】  山下智久「愛、テキサス」  【音楽】  羽毛田丈史長男不在のため、父の葬儀の喪主を務めた真人は数日後、ビルから飛び降りた店長の見舞いに訪れる。しかし彼は真人の目の前で息を引き取ってしまう…。遺族を前にした真人は、店長の葬儀を請け負う決意をする。【脚本】  渡辺千穂  【演出】  石井康晴  【プロデュース】  伊與田英徳☆番組HP  http://www.tbs.co.jp/saikou-no-jinsei/  ☆ツイッターのアカウントはコチラです！  @saikounojinsei5TBS番組の内容と放送時間は変更になる場合があります。</t>
  </si>
  <si>
    <t>番組名木曜ドラマ9「最高の人生の終り方～エンディングプランナー～」　第3話</t>
  </si>
  <si>
    <t>冬の河原。そこにははっぴ姿の真人（山下智久）がいた。町内会恒例の裸祭り。神輿を担ぎ奮闘する真人。そんな中、花屋の夕子と姑澄子（草笛光子）のケンカを目撃する。香川家では日常茶飯事だそうだ。結婚して20年、いまだ嫁として認めてもらえないと、夕子は不満を漏らす。ちょっとしたいさかいから澄子は家出をしてしまう。そして物言わぬ姿で発見されるのである。発覚していく信じられない事実、困惑する夕子。真人、優樹は、真相を掴む事ができるのだろうか。驚きのラストを迎える第3話。軽井沢、裸祭り、バラ一面の園、とにかく盛りだくさんの感動ストーリーは木曜よる9時！！山下智久  榮倉奈々  前田敦子（AKB48）  知念侑李（Hey！Say！JUMP）  大野いと  水上剣星  橋本真実  駿河太郎  藤本哉汰  大友康平  磯野貴理子  黄川田将也  反町隆史  山崎努  【2話ゲスト】  草笛光子  前川泰之  渡部建（アンジャッシュ）【主題歌】  山下智久「愛、テキサス」  【音楽】  羽毛田丈史渡辺千穂【演出】石井康晴  【プロデュース】伊與田英徳家業の葬儀屋を継いだ真人。  警察から身元不明の遺体の引取り依頼を受ける。  不良にからまれその男に助けられたという怜奈は、男の名前は知らないが、ストーカーまがいのことをされていたことがあるという。怜奈のためにも、優樹と共に生前の男について調べることに。  男の死亡時、唯一手に握っていた山の写真の紙片を手がかりに調べ始めると、5年前、怜奈が、男（倉木陽一郎）の妹から心臓を移植されたという真実が明らかに…。  陽一郎の、怜奈へ対する深い想いを知り、怜奈と井原屋で葬儀を執り行ったのだった。☆番組HP  http://www.tbs.co.jp/saikou-no-jinsei/  ☆ツイッターのアカウントはコチラです！  http://twitter.com/saikounojinsei5  番組の内容と放送時間は変更になる場合があります。</t>
  </si>
  <si>
    <t>番組名木曜ドラマ9「最高の人生の終り方～エンディングプランナー～」　第4話</t>
  </si>
  <si>
    <t>町のとある建設会社の社長の遺体が発見された。  彼は岡部啓介（織本順吉）。岡部建設の社長である。真人（山下智久）は以前、啓介と長男・秀喜（哀川翔）の会話を聞いていた。  井原屋始まって以来、数を見ない社葬の依頼に、戸惑う晴香（前田敦子）をよそに、息上がる真人。  果たして、成功させる事ができるのだろうか？そして気になる晴香の恋の行方も・・・様々な愛の形が存在する第4話。井原真人…山下智久  坂巻優樹…榮倉奈々  井原晴香…前田敦子 (AKB48)  井原隼人…知念侑李 (Hey！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岩田逸郎…山崎努哀川翔  小市慢太郎  織本順吉【主題歌】  山下智久「愛、テキサス」  【音楽】  羽毛田丈史☆番組HP  http://www.tbs.co.jp/saikou-no-jinsei/  ☆ツイッターのアカウントはコチラです！  http://twitter.com/saikounojinsei5  2月2日（木）第4話放送当日　はなまるマーケットに哀川翔さんが生出演します！！YouTubeにて前田敦子さんのインタビュー配信中！！撮影合間のあっちゃんに大注目！！生花店の夕子の義母・澄子が、突然家出をし、若い男と一緒に亡くなってしまった。  真人が澄子の亡くなるまでの行動を調べると、普段夕子といがみ合っているかに見えた澄子だが、夕子の誕生日に思い出のバラの花を大量に準備していたことを知り、夕子はそのバラの花とともに澄子を送り出すことに…。  一方晴香の誕生日。真人は、何か隠している桃子が気になっていると、健人から突然晴香に電話がかかってきた。番組の内容と放送時間は変更になる場合があります。</t>
  </si>
  <si>
    <t>番組名木曜ドラマ9「最高の人生の終り方～エンディングプランナー～」　第5話</t>
  </si>
  <si>
    <t>井原真人（山下智久）の弟・隼人（知念侑李）は、思わぬ容疑をかけられ警察で事情聴取を受ける。その背後には、隼人が接触している女性水野可南子（岡本玲）の存在があった。果たして、容疑を晴らす事ができるのだろうか。そしてそこには、隼人が注ぐ全力の愛の形があった。井原家最大の危機を山下智久が救う事が出来るのだろうか？  ゲストは鈴木一真、平愛梨、本上まなみなど多彩。いよいよ後半戦突入、最高の人生の終り方！！山下智久  榮倉奈々  前田敦子 (AKB48)  知念侑李 (Hey！　Say！　JUMP)  大野いと  水上剣星  橋本真実  駿河太郎  藤本哉汰  大友康平  磯野貴理子  黄川田将也  反町隆史  山崎努  【5話ゲスト】  鈴木一馬  平愛梨  本上まなみ  白羽ゆり  井上琳水（子役）【主題歌】  山下智久「愛、テキサス」  【音楽】  羽毛田丈史【演出】  石井康晴  川嶋龍太郎  山室大輔  【プロデュース】  伊與田英徳  【脚本】  渡辺千穂☆番組HP  http://www.tbs.co.jp/saikou-no-jinsei/  ☆ツイッターのアカウントはコチラです！  http://twitter.com/saikounojinsei5  亡くなった岡部は建設会社の社長で、長男の秀喜は実は会社を守るため、逮捕されることを覚悟に、談合を行っていたことを告白した。  岡部とは血はつながらないが、育った思い出の家や父親の残した会社を守るために必死だったのだ。  そんな想いを理解した弟や社員達も、秀喜の帰りを待つと告げる。  そして健人の母親だけ真人たちと違うことや、晴香のデート相手のことなど家族の秘密が徐々に明らかになってきたのだった。2／1より「フェイスブック」TBSテレビ公式ページがスタート！現在、SPドラマ「SPEC～翔～」（今春放送）の先行動画を配信中。社内や赤坂の街情報、番組やスタッフの裏話などTBSの素顔をご紹介します！番組の内容と放送時間は変更になる場合があります。</t>
  </si>
  <si>
    <t>番組名木曜ドラマ9「最高の人生の終り方～エンディングプランナー～」　第6話</t>
  </si>
  <si>
    <t>真人は、自分が葬儀屋として初めて葬儀を執り行った長田の実の子供だった友也のことを光江が気にかけていると知り、友也と母親のみづきに会いに行く。  光江が自分の孫だとわかった友也に会いたがっているのではと考えるのだが、みづきの態度は頑なで、真人は両者のためにどうしたら良いのか思い悩む。  そんな中、桃子が友達と外泊をすると出かけていったが、そこで思わぬ人物と出会う…。井原真人…山下智久  坂巻優樹…榮倉奈々  井原晴香…前田敦子 (AKB48)  井原隼人…知念侑李 (Hey！　Say！　JUMP)  井原桃子…大野いと  長峰　潤…水上剣星  田中英輔…大友康平  川原達法…黄川田将也  木野原義男…塩見三省  井原浩太郎…蟹江敬三  井原健人…反町隆史  岩田逸郎…山崎努  【ゲスト】  長田光江…吉行和子  今野みづき…本上まなみ  川原彩…白羽ゆり【主題歌】  山下智久「愛、テキサス」  【音楽】  羽毛田丈史☆番組HP  http://www.tbs.co.jp/saikou-no-jinsei/  ☆ツイッターのアカウントはコチラです！  http://twitter.com/saikounojinsei5  隼人 (知念侑李) が殺人事件の参考人になってしまった。  被害者の及川孝太(鈴木一真)は隼人の大学の友人でキャパクラ嬢の水野可南子(岡本玲)の交際相手。  可南子につきまとってたとされる隼人の犯行ではと警察から疑われていたのだ。  真人(山下智久)は隼人を信じつつ、隼人の行方を捜す。  そんな中、同じキャパクラ嬢のエリカ(平愛梨)が真犯人として逮捕された。一方、隼人はあるジュエリーショップに姿を現す。  及川はそこで可南子への婚約指輪を用意していた。それを知った隼人は、及川の代わりに可南子へその想いを伝えたのだった。番組の内容と放送時間は変更になる場合があります。</t>
  </si>
  <si>
    <t>番組名木曜ドラマ9「最高の人生の終り方～エンディングプランナー～」　第7話</t>
  </si>
  <si>
    <t>晴香が小学生の頃、学校の校長だった 白井幸造 (竜雷太) が井原屋の葬儀説明会にやって来た。  久しぶりの再会にお互い喜ぶ晴香と幸造。  幸造は妻に先立たれ、子供もいない一人暮らしのため自分がもし亡くなったら葬儀は簡単なお別れ会でかまわないと言い、その時は教え子である晴香に見送ってもらいたいと話して帰っていく。  ところが幸造が強盗殺人の被害に遭い亡くなったことを知り…。井原真人…山下智久  坂巻優樹…榮倉奈々  井原晴香…前田敦子 (AKB48)  井原隼人…知念侑李 (Hey！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岩田逸郎…山崎努白井幸造…竜雷太  村内緑…松本じゅん【主題歌】  山下智久「愛、テキサス」  【音楽】  羽毛田丈史末娘、高校生の桃子(大野いと)は教師の川原(黄川田将也)と外泊に出かけたところを家出していた健人(反町隆史)に目撃され、井原家へ連れ戻される。  そんな折、川原の妻・彩(白羽ゆり)が行方不明に。彩は余命1年と診断され、川原と一緒になるなら1年待って欲しいと桃子に頼む。  桃子は川原との恋を終りにすることを決意。一方、長田（設楽統）の四十九日法要も無事、みづきと光江と友也で行うことができた。☆番組HP  http://www.tbs.co.jp/saikou-no-jinsei/  ☆ツイッターのアカウントはコチラです！  http://twitter.com/saikounojinsei5  番組の内容と放送時間は変更になる場合があります。</t>
  </si>
  <si>
    <t>番組名木曜ドラマ9「最高の人生の終り方～エンディングプランナー～」　第8話</t>
  </si>
  <si>
    <t>父の墓参りに出掛けたきり行方が分からなくなっていた長兄・健人（反町隆史）が、またしてもふらりと突然帰って来る！  だが、真人（山下智久）は健人が家族に内緒で病を抱えていると気付き激しく動揺。  頼りにしていた兄・健人の問題に直面した真人は一体どうするのか？  一方、優樹（榮倉奈々）は先輩の長峰（水上剣星）と共に管内で発見された白骨遺体の捜査に当たるが、予期せぬ出来事が優樹を悲しみへと突き落とす…。井原真人…山下智久  坂巻優樹…榮倉奈々  井原晴香…前田敦子 (AKB48)  井原隼人…知念侑李 (Hey！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岩田逸郎…山崎努【ゲスト】  長峰美幸…西原亜希  大林健一…榊英雄【主題歌】  山下智久「愛、テキサス」  【音楽】  羽毛田丈史☆番組HP  http://www.tbs.co.jp/saikou-no-jinsei/  ☆ツイッターのアカウントはコチラです！  http://twitter.com/saikounojinsei5  井原屋の葬儀相談会に、晴香が小学生の頃学校の校長だった 白井幸造 (竜雷太) がやって来るが、その翌日、強盗殺人の被害に遭い亡くなってしまった。  晴香は幸造の葬儀を自分たちにやらせて欲しいと申し出る。そんな時、ライバル葬儀社の社員がメル友の一ノ瀬だと知り、更に真人や隼人(知念侑李)たちは晴香が偽ったプロフィールでブログをしていることを知ってしまう。一方、墓参りに出掛けた健人は自分の居場所が分からなくなってしまい、捜査中の優樹に遭遇し、兄弟には黙っていて欲しいとお願いしたのだった。番組の内容と放送時間は変更になる場合があります。</t>
  </si>
  <si>
    <t>番組名木曜ドラマ9「最高の人生の終り方～エンディングプランナー～」　第9話</t>
  </si>
  <si>
    <t>先輩の長峰(水上剣星)が殺害された事件を追う優樹(榮倉奈々)は真人(山下智久)の協力で長峰の殺害が白骨遺体で発見された大林恭子の事件の捜査と繋がっていることに気付く。真人はそんな優樹に父の友人と名乗り自分と会っていた岩田(山崎努)が優樹の亡くなった祖父だったことを話したいが上手く言い出せない。  そんな中、井原家では健人(反町隆史)の生みの親で亡き父・浩太郎の先妻だった美奈子(長山藍子)が突然現れ…井原真人…山下智久  坂巻優樹…榮倉奈々  井原晴香…前田敦子 (AKB48)  井原隼人…知念侑李 (Hey！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  【ゲスト】  戸川美奈子…長山藍子【主題歌】  山下智久「愛、テキサス」  【音楽】  羽毛田丈史☆番組HP  http://www.tbs.co.jp/saikou-no-jinsei/  ☆ツイッターのアカウントはコチラです！  http://twitter.com/saikounojinsei5  再び行方が分からなくなっていた健人が優樹と連れ立って井原家に突然帰って来る。そんな矢先、真人は健人の病気を知り、愕然とする。  一方、優樹の先輩である長峰が、結婚し喜びで浮かれている中、女性の白骨遺体が発見される。遺体は6年前に捜索願が出されていた大林恭子という女性だと判明。違法カジノに嵌っていた事も突き止める。長峰刑事は単独で潜入し、襲われてしまう。後日、長峰の遺体が山林で発見される。  事件は解決しないまま、長峰の葬儀は警察関係者が多数出席する中、執り行なわれたのだった。番組の内容と放送時間は変更になる場合があります。</t>
  </si>
  <si>
    <t>番組名木曜ドラマ9「最高の人生の終り方～エンディングプランナー～」　第10話</t>
  </si>
  <si>
    <t>真人(山下智久)は優樹(榮倉奈々)に霊として自分の前に現れている優樹の祖父・岩田(山崎努)の言葉を伝えるが、優樹は混乱してなかなか受け入れられない。署では捜査員たちの会話から相変わらず岩田が容疑者として有力なまま捜査が進められており、優樹は一層気まずい思いに駆られる。そんな中ある日署に出勤して来た優樹は岩田の後輩刑事だった木野原(塩見三省)の娘で幼い頃一緒に遊んだりした絵津子(吉田羊)と遭遇する。井原真人…山下智久  坂巻優樹…榮倉奈々  井原晴香…前田敦子 (AKB48)  井原隼人…知念侑李 (Hey！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  【ゲスト】  戸川美奈子…長山藍子【主題歌】  山下智久「愛、テキサス」  【音楽】  羽毛田丈史井原家では健人(反町隆史)の生みの親、美奈子(長山藍子)が突然現れ、健人の看護がしたいと一緒に住むことに。  健人は兄弟たちに自分の病気を告白する。  一方、大林恭子殺害事件に優樹の祖父、故岩田刑事（山崎努）が関与している可能性が出て、祖父宅に家宅捜索が入ることとなる。  真人（山下智久）は、優樹（榮倉奈々）に自分にしか見えない岩田の存在を告白。優樹の目の前にいる岩田に「あなたが犯人ですか？」と問うが、岩田は「分からない」と答えるのみなのだった。☆番組HP  http://www.tbs.co.jp/saikou-no-jinsei/  ☆ツイッターのアカウントはコチラです！  http://twitter.com/saikounojinsei5  番組の内容と放送時間は変更になる場合があります。</t>
  </si>
  <si>
    <t>1201_TBS_金22</t>
  </si>
  <si>
    <t>恋愛ニート</t>
  </si>
  <si>
    <t>番組名金曜ドラマ「恋愛ニート～忘れた恋のはじめ方」　第1話</t>
  </si>
  <si>
    <t>出版社に勤める木下凛（仲間由紀恵）は、美人でその上すべての仕事を自分でこなすキャリアウーマン。しかし、周囲とのギクシャクしたやり取りから、上司や部下からは敬遠されていた。ある日、凛は親友の相沢菜々子（りょう）と共に親友の渡辺美帆（市川実日子）の「離婚式」に出席する。ほどなく、その会場で“恋愛至上主義”の菜々子が、美帆の元ダンナの友人で、人気歯科医の松本直哉（佐々木蔵之介）、一流食品会社でフレーバリストとして働く多田耕太（田中裕二）、イケメンフリーターの槙野駿平（永山絢斗）に目をつける。美帆の紹介により、一緒に飲むことになった6名。だが、会話が弾む中、凛が仕事一筋の人生を送っていることや、「8年、Hしていない」と平然と答える様子に、松本らはドン引きする。だがしかし、松本、多田、槙野たちも、実は「結婚したくない男」「恋愛に臆病な男」「女を信用しない男」という“恋愛ニート”たちで……。木下 凛（32歳）…仲間由紀恵  松本直哉（43歳）…佐々木蔵之介  渡辺美帆（32歳）…市川実日子  槙野駿平（24歳）…永山絢斗  神山純一郎（40歳）…橋本じゅん  木下結衣（17歳）…本田翼  木下樹（14歳）…西山潤  山田拓也（17歳）…永瀬匡  小早川隆志（34歳）…森山栄治   川島サオリ（30歳）…能世あんな雨宮博美（52歳）…室井滋  多田耕太（43歳）…田中裕二（爆笑問題）  相沢菜々子（42歳）…りょう  (他)『Be...』Ms．OOJA  【脚本】  永田優子     【プロデューサー】  高成麻畝子  鈴木早苗  志村 彰（ジ・アイコン）  関川友理（ジ・アイコン）     【演出】  高成麻畝子  大澤祐樹  吉田秋生 ☆番組ホームページ☆  http://www.tbs.co.jp/renai-neet/    ☆ツイッターのアカウントはこちらです☆  http://twitter.com/renai_neet  番組の内容と放送時間は変更になる場合があります。</t>
  </si>
  <si>
    <t>番組名金曜ドラマ「恋愛ニート～忘れた恋のはじめ方」　第2話</t>
  </si>
  <si>
    <t>親友の菜々子（りょう）と、美帆（市川実日子）に、はやしたてられた凛（仲間由紀恵）は、松本（佐々木蔵之介）、多田（田中裕二）、駿平（永山絢斗）の3人とそれぞれデートをしてみるが、久々のデートに疲れた凛は、努力や我慢をしてまで恋愛なんてしたくないと言い放つ。しかし、突然キスをしてきた駿平に「可愛い」と言われ、凛の気持ちは揺れ始める。  そんなある日、凛はもやもやを吹き飛ばすために卓球場を訪れると、真剣に卓球勝負をしている松本と偶然出会い、卓球で一戦交えることに…。そんな中、普段の様に身構えていない状態の方が好きだと言う凛に、松本はこれまでと違う感情を抱く。  一方、彼氏に振られた菜々子は、結婚相談所で理想の結婚相手を探すが、なかなか条件に合う男が見つからない。  担当者に「高望み」とされ、条件を下げて検索すると、そこには多田のプロフィールが表示され愕然とする。そんなとき、美帆は、松本と多田、駿平たちのある秘密を知ることに…！？木下 凛（32歳）…仲間由紀恵  松本直哉（43歳）…佐々木蔵之介  渡辺美帆（32歳）…市川実日子  槙野駿平（24歳）…永山絢斗    神山純一郎（40歳）…橋本じゅん  木下結衣（17歳）…本田翼  木下樹（14歳）…西山潤  山田拓也（17歳）…永瀬匡小早川隆志（34歳）…森山栄治   川島サオリ（30歳）…能世あんな    雨宮博美（52歳）…室井滋    多田耕太（43歳）…田中裕二（爆笑問題）  相沢菜々子（42歳）…りょう  (他)『Be...』Ms．OOJA  【脚本】  永田優子     【プロデューサー】  高成麻畝子  鈴木早苗  志村 彰（ジ・アイコン）  関川友理（ジ・アイコン）     【演出】  高成麻畝子  大澤祐樹  吉田秋生 出版社の販売促進部に勤める木下凛は、美人ですべての仕事を自分でこなしてしまうキャリアウーマン。ある日、凛は親友、渡辺美帆の「離婚式」に出かける。その式で、恋愛至上主義の菜々子が、エリート然とした松本直哉、多田耕太、槙野駿平に目をつける。しかし、一見エリートに見えた松本、多田、駿平の男性たちも、実は「結婚したくない男」「恋愛に臆病な男」「女を信用しない男」という、「恋愛ニート」たちだった…☆番組ホームページ☆  http://www.tbs.co.jp/renai-neet/    ☆ツイッターのアカウントはこちらです☆  http://twitter.com/renai_neet  番組の内容と放送時間は変更になる場合があります。</t>
  </si>
  <si>
    <t>番組名金曜ドラマ「恋愛ニート～忘れた恋のはじめ方」　第3話</t>
  </si>
  <si>
    <t>ストレートに「好きだ」と伝える駿平に、凛の心は傾き始める。  一方、足を痛めた凛を家まで送り届けた松本は、凛の気の強さや、恋愛をしようとしない理由を垣間見る…。  菜々子は結婚相談所の帰りに、偶然会った多田と二人で食事に行くことになる。  騙されていることを凛に伝えようとする菜々子と、必死に止めようとする美帆の本心は…？  そんな中、6人は離婚式以来、再び顔を合わせることになる。木下 凛（32歳）…仲間由紀恵  松本直哉（43歳）…佐々木蔵之介  渡辺美帆（32歳）…市川実日子  槙野駿平（24歳）…永山絢斗    神山純一郎（40歳）…橋本じゅん  木下結衣（17歳）…本田翼  木下樹（14歳）…西山潤  山田拓也（17歳）…永瀬匡小早川隆志（34歳）…森山栄治   川島サオリ（30歳）…能世あんな    雨宮博美（52歳）…室井滋    多田耕太（43歳）…田中裕二（爆笑問題）  相沢菜々子（42歳）…りょう  (他)『Be...』Ms．OOJA  【脚本】  永田優子     【プロデューサー】  高成麻畝子  鈴木早苗  志村 彰（ジ・アイコン）  関川友理（ジ・アイコン）     【演出】  高成麻畝子  大澤祐樹  吉田秋生 ☆番組ホームページ☆  http://www.tbs.co.jp/renai-neet/  ☆ツイッターのアカウントはこちらです☆  http://twitter.com/renai_neet  2／1より「フェイスブック」TBSテレビ公式ページがスタート！現在SPドラマ「SPEC～翔～」（今春放送）の先行動画を配信中。社内や赤坂の街情報、番組やスタッフの裏話などTBSの素顔をご紹介します！番組の内容と放送時間は変更になる場合があります。</t>
  </si>
  <si>
    <t>番組名金曜ドラマ「恋愛ニート～忘れた恋のはじめ方」　第4話</t>
  </si>
  <si>
    <t>松本に告白された凛。しかし駿平のことで、ますます恋愛に対して不信感が強くなっていく。一方、勢いで凛に告白したことで、自分の気持ちと向き合い始める松本。その松本に想いを寄せる美帆は、積極的にアプローチを始め…。  菜々子と多田は、お見合いパーティーの場で偶然会い再び2人で飲みに行くことに。そんななか、美帆と駿平の作戦で再び6人で会うことになり、それぞれの想いを抱え、運命のバレンタインを迎える！木下 凛（32歳）…仲間由紀恵  松本直哉（43歳）…佐々木蔵之介  渡辺美帆（32歳）…市川実日子  槙野駿平（24歳）…永山絢斗    神山純一郎（40歳）…橋本じゅん  木下結衣（17歳）…本田翼  木下樹（14歳）…西山潤  山田拓也（17歳）…永瀬匡  　小早川隆志（34歳）…森山栄治   川島サオリ（30歳）…能世あんな    雨宮博美（52歳）…室井滋    多田耕太（43歳）…田中裕二（爆笑問題）  相沢菜々子（42歳）…りょう  (他)『Be...』Ms．OOJA  【脚本】  永田優子     【プロデューサー】  高成麻畝子  鈴木早苗  志村 彰（ジ・アイコン）  関川友理（ジ・アイコン）     【演出】  高成麻畝子  大澤祐樹  吉田秋生 ストレートに「好きだ」と伝える駿平に、凛の心は傾き始めていた。  また、足を痛めた凛を家まで送り届けた松本は、親代わりとして兄弟を育てる凛を見て、凛に対して気持ちの変化を感じていた。恋愛ゲームの話を知ってしまった菜々子と美帆。その秘密が奈々子と凛の間で気持ちのすれ違いをおこしてしまう。  駿平とサオリの関係を知った凛は、恋に臆病に…そんな中、松本は、凛に思わず告白してしまった。☆番組ホームページ☆  http://www.tbs.co.jp/renai-neet/    ☆ツイッターのアカウントはこちらです☆  http://twitter.com/renai_neet  2／1より「フェイスブック」TBSテレビ公式ページがスタート！現在、SPドラマ「SPEC～翔～」（今春放送）の先行動画を配信中。社内や赤坂の街情報、番組やスタッフの裏話などTBSの素顔をご紹介します！番組の内容と放送時間は変更になる場合があります。</t>
  </si>
  <si>
    <t>番組名金曜ドラマ「恋愛ニート～忘れた恋のはじめ方」　第5話</t>
  </si>
  <si>
    <t>凛は、松本、多田、駿平の3人が、誰が凛を落とすかというゲームで自分にアプローチをしてきたことをついに知ってしまう。深く傷ついた凛は、「もう恋なんかしない！」と固く決意をする。その決意を聞いた凛の親友の美帆が、松本へアプローチすることを宣言。  それを聞いた凛は複雑な気持ちになってしまう。一方、松本は、凛にふられたことで、自分の気持ちに正面から向き合うことをやめてしまい…。木下 凛（32歳）…仲間由紀恵  松本直哉（43歳）…佐々木蔵之介  渡辺美帆（32歳）…市川実日子  槙野駿平（24歳）…永山絢斗    神山純一郎（40歳）…橋本じゅん  木下結衣（17歳）…本田翼  木下樹（14歳）…西山潤  山田拓也（17歳）…永瀬匡小早川隆志（34歳）…森山栄治   川島サオリ（30歳）…能世あんな    雨宮博美（52歳）…室井滋    多田耕太（43歳）…田中裕二（爆笑問題）  相沢菜々子（42歳）…りょう  (他)『Be...』Ms．OOJA  【脚本】  永田優子     【プロデューサー】  高成麻畝子  鈴木早苗  志村 彰（ジ・アイコン）  関川友理（ジ・アイコン）     【演出】  高成麻畝子  大澤祐樹  吉田秋生 勢いで凛に告白したことで、自分の気持ちと向き合い始める松本。一方で、凛も松本の存在が次第に気になり始めていた。そんななか迎えた運命のバレンタイン当日、美帆が松本にキスをするところを目撃してしまった凛は自分に対する気持ちは本気なのかと松本に質問する。凛への想いは本気だと再び告白する松本だったが、そんな二人の前に駿平が現れ「誰が一番最初に凛を落とすかゲームをしていた」と凛に打ち明けてしまう……。☆番組ホームページ☆  http://www.tbs.co.jp/renai-neet/    ☆ツイッターのアカウントはこちらです☆  http://twitter.com/renai_neet  2／1より「フェイスブック」TBSテレビ公式ページがスタート！現在SPドラマ「SPEC～翔～」（今春放送）の先行動画を配信中。社内や赤坂の街情報、番組やスタッフの裏話などTBSの素顔をご紹介します！番組の内容と放送時間は変更になる場合があります。</t>
  </si>
  <si>
    <t>番組名金曜ドラマ「恋愛ニート～忘れた恋のはじめ方」　第6話</t>
  </si>
  <si>
    <t>ついに、松本（佐々木蔵之介）と付き合い始めた凛（仲間由紀恵）。  8年ぶりの交際に凛は、菜々子（りょう）や美帆（市川実日子）のアドバイスの中、恋愛の感覚を思い出そうとする。  しかし、何度かデートを重ねるものの、2人はなかなか先に進むことが出来ないでいた。そんな中、菜々子は多田（田中裕二）に、ついに妊娠していることを言う。  菜々子の告白を受けた多田だが、驚いて何も言うことが出来ない…。木下 凛（32歳）…仲間由紀恵  松本直哉（43歳）…佐々木蔵之介  渡辺美帆（32歳）…市川実日子  槙野駿平（24歳）…永山絢斗    神山純一郎（40歳）…橋本じゅん  木下結衣（17歳）…本田翼  木下樹（14歳）…西山潤  山田拓也（17歳）…永瀬匡  小早川隆志（34歳）…森山栄治   川島サオリ（30歳）…能世あんな    雨宮博美（52歳）…室井滋多田耕太（43歳）…田中裕二（爆笑問題）  相沢菜々子（42歳）…りょう    斉藤妙子…横山めぐみ    『Be...』Ms．OOJA  【脚本】  永田優子     【プロデューサー】  高成麻畝子  鈴木早苗  志村 彰（ジ・アイコン）  関川友理（ジ・アイコン）     【演出】  高成麻畝子  大澤祐樹  吉田秋生 凛は松本の母親・聡子（加賀まりこ）と、街で偶然出会い、気に入られた凛は、そのまま聡子の息子＝松本の家に連れて行かれ、その後、松本、聡子と3人で家で食事をすることに。美帆は凛をバーへ呼び出し、松本に振られたのだと告白した。  急に帰郷した聡子からもらった食事券…、松本はこれで最後と凛を誘うが凛は来ない…。諦めかけたその時、とうとう凛が現れたのだった。☆番組ホームページ☆  http://www.tbs.co.jp/renai-neet/    ☆ツイッターのアカウントはこちらです☆  http://twitter.com/renai_neet  番組の内容と放送時間は変更になる場合があります。</t>
  </si>
  <si>
    <t>番組名金曜ドラマ「恋愛ニート～忘れた恋のはじめ方」　第7話</t>
  </si>
  <si>
    <t>凛（仲間由紀恵）と松本（佐々木蔵之介）は、初めてふたりきりの朝を迎える。そこに「ここにしばらく置いて」と駿平（永山絢斗）が現れる。凛との仲を確かなものにしたい松本は、駿平が邪魔でならないが、何か理由があるようで駿平はなかなか出て行かない。おまけに「凛ちゃんに興味をなくしたわけじゃないから」と発言、松本を挑発する。8年ぶりの朝帰りをした凛を、結衣（本田翼）と樹（西山潤）は大歓迎、菜々子（りょう）と美帆（市川実日子）も喜ぶ。菜々子は妊娠とシングルマザー宣言を報告するが、美帆が「それは菜々子のエゴだ。生まれてくる子のことを考えてよ」と反対、口論になる。凛との関係を確かなものにしたいと思った松本は、  凛を京都旅行に誘う。喜んでOKする凛。一方、駿平に「お金がない」と呼び出され、何の疑いもなく行く凛。そこに現れた斉藤妙子（横山めぐみ）が駿平の母親と知る。「いまさら現れて母親面すんな！」と語気を荒げる駿平にただならぬものを感じる凛。  美帆から「あまり首をつっこまない方がいい」と言われるが、事故で両親をなくした自分の身の上を重ねて、つい駿平が気になってしまうのだった・・・。いよいよ京都へ出発という日、「明日海外へ発つ」という妙子から「駿平にどうしても渡して欲しい」とあるものを渡される。  その必死な様子にほだされた凛は、駿平に会い、妙子の見送りに行くように説得する。「一晩一緒に過ごしてくれたら言うこと聞いてもいい」とうそぶく駿平。戸惑う凛だったが駿平に深い孤独を感じてしまい、OKする。京都で待つ松本に「信じて待っていて欲しい」と告げる凛。「信じます」と言うものの、その心中穏やかでなく…。一方、駿平は凛の優しさを利用して、ふたりきりになった瞬間、凛に迫り始めるのだった…。駿平に翻弄される凛、凛に試される松本、凛に最後の救いを求める駿平…究極の三角関係に陥った三人の行き着く先は…？？木下 凛（32歳）…仲間由紀恵  松本直哉（43歳）…佐々木蔵之介  渡辺美帆（32歳）…市川実日子  槙野駿平（24歳）…永山絢斗神山純一郎（40歳）…橋本じゅん  木下結衣（17歳）…本田翼    木下樹（14歳）…西山潤  山田拓也（17歳）…永瀬匡    小早川隆志（34歳）…森山栄治   川島サオリ（30歳）…能世あんな  雨宮博美（52歳）…室井滋    多田耕太（43歳）…田中裕二（爆笑問題）  相沢菜々子（42歳）…りょう  (他)    【主題歌】  『Be...』Ms．OOJA【脚本】  永田優子     【プロデューサー】  高成麻畝子  鈴木早苗  志村 彰（ジ・アイコン）  関川友理（ジ・アイコン）     【演出】  高成麻畝子  大澤祐樹  吉田秋生 ☆番組ホームページ☆  http://www.tbs.co.jp/renai-neet/    ☆ツイッターのアカウントはこちらです☆  http://twitter.com/renai_neet  松本と付き合い始めた凛。デートを重ねるも、なかなか体の関係に進めずにいた。  凛が松本の家を訪ね、凛（仲間由紀恵）と松本（佐々木蔵之介）は、初めてふたりきりの朝を迎えるが、突然駿平が訪ねてきて…。番組の内容と放送時間は変更になる場合があります。</t>
  </si>
  <si>
    <t>番組名金曜ドラマ「恋愛ニート～忘れた恋のはじめ方」　第8話</t>
  </si>
  <si>
    <t>凛（仲間由紀恵）を信じられず、京都から帰ってきてしまった松本（佐々木蔵之介）。凛は、自分を信じなかった松本に怒りを露にするが、松本も凛が一度は気持ちが傾いた男・駿平と一晩過ごそうとしたことに冷静でいられず、松本はマンションから凛を追い返してしまう。  翌日、松本は元カノの岡野ゆかり（小島聖）から「久しぶりに会いたい」というメールを受け取る。レストランで食事をすることになった松本とゆかり。ゆかりから、「あなたと別れたことを後悔してる」と言われ動揺する松本。一方、さおり（能世あんな）と別れた駿平は、凛にアプローチを始める。だが、凛に「愛だの恋だの言う前に、ひとりの人間として、きちんと自分の人生に向き合いなさい」と言われた駿平は、凛の会社でバイトを決め、凛を驚かせる。  仕事を終えた二人が歩いていると、松本とゆかりに出くわしてしまう。木下 凛（32歳）…仲間由紀恵  松本直哉（43歳）…佐々木蔵之介  渡辺美帆（32歳）…市川実日子  槙野駿平（24歳）…永山絢斗    神山純一郎（40歳）…橋本じゅん  木下結衣（17歳）…本田翼  木下樹（14歳）…西山潤  山田拓也（17歳）…永瀬匡小早川隆志（34歳）…森山栄治   川島サオリ（30歳）…能世あんな    雨宮博美（52歳）…室井滋    多田耕太（43歳）…田中裕二（爆笑問題）  相沢菜々子（42歳）…りょう  (他)『Be...』Ms．OOJA  【脚本】  永田優子     【プロデューサー】  高成麻畝子  鈴木早苗  志村 彰（ジ・アイコン）  関川友理（ジ・アイコン）     【演出】  高成麻畝子  大澤祐樹  吉田秋生 初めてふたりきりの朝を迎えた凛（仲間由紀恵）と松本（佐々木蔵之介）の前に駿平（永山絢斗）が現れ松本の家に転がり込むことに。  凛との関係を確かなものにしたい松本は、凛を京都旅行に誘う。いよいよ京都へ出発という日、「明日海外へ発つ」という駿平の母親妙子から「駿平にどうしても渡して欲しい」と親子で撮った写真を渡され、凛は駿平に、妙子の見送りに行くように説得する。「一晩一緒に過ごしてくれたら言うこと聞いてもいい」とうそぶく駿平。  京都で待つ松本に「信じて待っていて欲しい」と告げる凛。  しかし翌朝、松本が帰ってきたのだった。☆番組ホームページ☆  http://www.tbs.co.jp/renai-neet/    ☆ツイッターのアカウントはこちらです☆  http://twitter.com/renai_neet  番組の内容と放送時間は変更になる場合があります。</t>
  </si>
  <si>
    <t>番組名金曜ドラマ「恋愛ニート～忘れた恋のはじめ方」　第9話</t>
  </si>
  <si>
    <t>凛（仲間由紀恵）と松本（佐々木蔵之介）は、松本の元カノ・ゆかり（小島聖）が現れたことにより、2人の関係はギクシャクしてしまう。そんな時、凛は仕事で『結婚』を題材にした本の出版に向け、『結婚』にまつわる質問を松本に浴びせる。  　結婚を重荷と感じている松本は、凛が結婚をしたがっていると思い込み、凛にたいして距離を置きはじめてしまう。  一方、美帆（市川日実子）は、元旦那の一史（竹財輝之助）から仕事のミスで子会社に出向になり給料が下がるため、慰謝料を払えなくなったと相談される。その場では、怒って立ち去るのだが…。また、多田（田中裕二）の気持ちを知った菜々子（りょう）は、多田の幸せのために、二度と会わないと決意する。  凛は、自分を避ける理由を松本に聞きたいと連絡をとろうとするが、「あなたと付き合って行く自信がない」と言われ、ショックを受ける。そこに駿平（永山絢斗）が現れ…。木下 凛（32歳）…仲間由紀恵  松本直哉（43歳）…佐々木蔵之介  渡辺美帆（32歳）…市川実日子  槙野駿平（24歳）…永山絢斗    神山純一郎（40歳）…橋本じゅん  木下結衣（17歳）…本田翼  木下樹（14歳）…西山潤  山田拓也（17歳）…永瀬匡小早川隆志（34歳）…森山栄治   川島サオリ（30歳）…能世あんな    雨宮博美（52歳）…室井滋    多田耕太（43歳）…田中裕二（爆笑問題）  相沢菜々子（42歳）…りょう    一史…竹財輝之助  『Be...』Ms．OOJA  【脚本】  永田優子     【プロデューサー】  高成麻畝子  鈴木早苗  志村 彰（ジ・アイコン）  関川友理（ジ・アイコン）     【演出】  高成麻畝子  大澤祐樹  吉田秋生 京都から帰ってきてしまった松本（佐々木蔵之介）は、凛（仲間由紀恵）と言い争いに。  一方、駿平は、凛の会社でアルバイトを始めた。松本は元カノゆかり（小島聖）に復縁を迫られるが、結局ゆかりは帰っていく。  そうとも知らず、凛は、松本に会いたいと、寒空の下、ひとり待つのだった。☆番組ホームページ☆  http://www.tbs.co.jp/renai-neet/    ☆ツイッターのアカウントはこちらです☆  http://twitter.com/renai_neet  番組の内容と放送時間は変更になる場合があります。</t>
  </si>
  <si>
    <t>番組名金曜ドラマ「恋愛ニート～忘れた恋のはじめ方」　第10話</t>
  </si>
  <si>
    <t>凛（仲間由紀恵）は松本（佐々木蔵之介）に別れを告げ、これからは結衣（本田翼）と樹（西山潤）を一番に考えて生きていく決意をする。失恋の痛手を忘れようとするかのように、「忘れた恋のはじめ方」著者ゆあんのトークショーの準備に精を出す。  一方、松本は、母親の具合が悪くなったため富山に戻る荷造りを始めるのだった。  　その頃、菜々子（りょう）の体を気遣い、高級食材をちょくちょく買ってくる美帆（市川実日子）を訝しく思った菜々子は、美帆を問い詰める。それは実は多田（田中裕二）が美帆に頼んでいた物だった。菜々子は多田に迷惑だと言い放つ。多田が謝り、その場を出て行く姿を見た美帆は、「菜々子さんに幸せになってほしい」という多田の気持ちを菜々子に伝えるのだが…。  　数日後、菜々子、多田、美帆、そして松本の元に『忘れた恋のはじめ方～ゆあん先生トークショー＆サイン会』の招待状が届く。初めて明かされたゆあんの正体。  それはーーーー？  そして「忘れた恋のはじめ方」に隠された秘密が、凛、松本、駿平、美帆、菜々子、多田、それぞれの運命を動かす。  事態は衝撃の結末へーーーー!!木下 凛（32歳）…仲間由紀恵  松本直哉（43歳）…佐々木蔵之介  渡辺美帆（32歳）…市川実日子  槙野駿平（24歳）…永山絢斗    神山純一郎（40歳）…橋本じゅん  木下結衣（17歳）…本田翼  木下樹（14歳）…西山潤  山田拓也（17歳）…永瀬匡    小早川隆志（34歳）…森山栄治   川島サオリ（30歳）…能世あんな中里圭吾…草刈正雄（特別出演）    雨宮博美（52歳）…室井滋    多田耕太（43歳）…田中裕二（爆笑問題）  相沢菜々子（42歳）…りょう  (他)『Be...』Ms．OOJA  凛（仲間由紀恵）への気持ちに自信をなくしてしまった松本（佐々木蔵之介）。  結婚を重荷と感じていた松本は、凛が結婚をしたがっていると思い込んでしまい、凛に対して距離を置きはじめてしまう。また、多田（田中裕二）の気持ちを知った菜々子（りょう）は、多田の幸せのためにも、多田とは二度と会わないと決意。  残業中の駿平（永山絢斗）と会った凛は、松本が自分に重みを感じていることを知り、「恋なんか、するんじゃなかった…」と、駿平に涙を見せ、駿平は優しく凛を抱きしめるのだった。【脚本】  永田優子     【プロデューサー】  高成麻畝子  鈴木早苗  志村 彰（ジ・アイコン）  関川友理（ジ・アイコン）     【演出】  高成麻畝子  大澤祐樹  吉田秋生 ☆番組ホームページ☆  http://www.tbs.co.jp/renai-neet/    ☆ツイッターのアカウントはこちらです☆  http://twitter.com/renai_neet  番組の内容と放送時間は変更になる場合があります。</t>
  </si>
  <si>
    <t>1201_TBS_日21</t>
  </si>
  <si>
    <t>運命の人</t>
  </si>
  <si>
    <t>番組名日曜劇場「運命の人」　第1話</t>
  </si>
  <si>
    <t>“沖縄返還密約事件”と呼ばれる約40年前に実際に起こった事件を基にした物語。  理想と欲望がせめぎあう新聞業界において、政治部のエース記者・弓成が、理想と信念で“沖縄返還”の裏側に潜む国家権力の欺瞞を暴いていく。  しかし権力の逆鱗にふれた弓成は、ほんのわずかな綻びがきっかけでスキを巧みにつかれる。激しい巻き返しにあい、やがて一大スキャンダルの渦中の人となる…。本木雅弘  松たか子  真木よう子    大森南朋  　◆  松重豊  北村有起哉  遠藤雄弥  杉本哲太    石橋凌  升毅    長谷川博己  原田泰造    柄本明  北大路欣也【原作】  山崎豊子「運命の人」（文春文庫 刊）  【脚本】  橋本裕志  【音楽】  佐藤直紀  【演出】  土井裕泰  吉田健  【プロデュース】  瀬戸口克陽  【製作著作】  TBS  http://www.tbs.co.jp/unmeinohito/  番組の内容と放送時間は変更になる場合があります。</t>
  </si>
  <si>
    <t>番組名日曜劇場「運命の人」　第2話</t>
  </si>
  <si>
    <t>“沖縄返還密約事件”と呼ばれる約40年前に実際に起こった事件を基にした物語。  ある夜をきっかけに弓成に特別な感情を抱いた昭子は、沖縄返還の裏に密約があった事を示す機密文書を弓成に託す。それはやがて、国家権力との激しい攻防戦へと発展していくが、攻めあぐねる弓成の前に一人の男（市川亀治郎）が現れる。しかし、その男の予想だにしなかった行動から事態は急転し・・・。本木雅弘  松たか子  真木よう子  大森南朋  　◆  松重豊  北村有起哉  遠藤雄弥  杉本哲太    石橋凌  升毅    市川亀治郎  橋爪功    長谷川博己    原田泰造    笹野高史  柄本明  北大路欣也【原作】  山崎豊子「運命の人」（文春文庫 刊）  【脚本】  橋本裕志  【音楽】  佐藤直紀  【演出】  土井裕泰  吉田健  【プロデュース】  瀬戸口克陽  【製作著作】  TBS  沖縄返還を一年後に控え、弓成は昵懇の間柄である外務省ナンバー2の安西傑審議官に対米交渉状況を聞くため審議官室を訪れる。  事務官の三木昭子と言葉を交わしている最中、弓成は安西の引き出しからはみ出している書類が、「米軍基地返還予定リスト」であることに気付く。  三木昭子から外務省の極秘電信文を手に入れた弓成は、自らの理想と信念に基づいて政府の欺瞞を暴こうとする。☆番組HP  http://www.tbs.co.jp/unmeinohito/  ☆見逃した方はこちらへ！  http://tod.tbs.co.jp/  番組の内容と放送時間は変更になる場合があります。</t>
  </si>
  <si>
    <t>番組名日曜劇場「運命の人」　第3話</t>
  </si>
  <si>
    <t>国会で密約文書の存在を追及した横溝議員（市川亀治郎）は、弓成（本木雅弘）から預かった文書そのものを衆目に晒してしまう。出所の発覚を恐れる弓成は、横溝から文書を取り返そうと走り回るがなかなか接触できない。一方、外務省では一斉に機密漏洩の犯人探しが始まり、昭子は徐々に追い込まれていく。焦った昭子から電話を受けた由里子は、切り際に舌打ちをされ不安が募る。数日後の深夜、弓成は一本の不穏な電話を受ける。本木雅弘  松たか子  真木よう子   ◆   大森南朋  松重豊  北村有起哉  遠藤雄弥  梶原善  でんでん  杉本哲太  石橋凌  升毅  小松和重  石丸謙二郎  橋爪功  吉村実子  今井悠貴  山崎竜太郎  山本圭  高林由紀子  柴本幸  長谷川博己  原田泰造（ネプチューン）  斎藤歩  眞島秀和  伊武雅刀  小市慢太郎  浅野和之  柳葉敏郎  吹越満  市川亀治郎  大和田伸也本田博太郎  不破万作  笹野高史  柄本明   ◆   北大路欣也【原作】  山崎豊子「運命の人」（文春文庫 刊）  【脚本】  橋本裕志  【音楽】  佐藤直紀  【演出】  土井裕泰  吉田健  【プロデュース】  瀬戸口克陽  【製作著作】  TBS  情報源の昭子を守るために極秘文書を紙面に掲載できないジレンマを抱え、弓成は焦っていた。  いくら解説記事で密約疑惑を書いても佐橋政権を追い詰めることはできず、そんな時、国会で密約文書の存在を佐橋慶作総理に問い詰めた横溝宏議員は一向に認めない総理に業を煮やし、弓成から預かった文書そのものを衆目に晒してしまった。☆番組HP  http://www.tbs.co.jp/unmeinohito/  ☆見逃した方はこちらへ！  http://tod.tbs.co.jp/  番組の内容と放送時間は変更になる場合があります。</t>
  </si>
  <si>
    <t>番組名日曜劇場「運命の人」　第4話</t>
  </si>
  <si>
    <t>弓成と昭子の屈辱の取調べが始まった。新聞各紙は政府の不当逮捕と主張、一大キャンペーンが展開され始める。一方、由里子は家宅捜査にも気丈に対応。不安を抱えながら夫の帰りを待ち続けていた。弓成を責める供述をしない昭子に、検察が責めあぐねる中、弁護人の坂元は、「悪いのは弓成で、貴方は被害者だ」と巧みに吹き込んでいく。その頃、黙秘を貫く弓成に検察はあるモノを差し出す。それは弓成を揺さぶる衝撃的なモノで…。本木雅弘  松たか子  真木よう子   ◆   大森南朋  松重豊  北村有起哉  遠藤雄弥  梶原善  でんでん  杉本哲太  石橋凌  升毅  小松和重  石丸謙二郎  橋爪功  吉村実子  今井悠貴  山崎竜太郎  山本圭  高林由紀子  柴本幸  長谷川博己  原田泰造（ネプチューン）  斎藤歩  眞島秀和  伊武雅刀  小市慢太郎  浅野和之  柳葉敏郎  吹越満  市川亀治郎  大和田伸也本田博太郎  不破万作  笹野高史  柄本明   ◆   北大路欣也【原作】  山崎豊子「運命の人」（文春文庫 刊）  【脚本】  橋本裕志  【音楽】  佐藤直紀  【演出】  土井裕泰  吉田健  【プロデュース】  瀬戸口克陽  【製作著作】  TBS  外務省では一斉に機密漏洩の犯人探しが始まり、昭子は徐々に追い込まれていき、極秘電信文は自分が漏洩したと認め出頭した。  数日後の深夜、弓成は政治部長の司修一から、出頭要請が出ているとの連絡を受ける。弓成も機密文書を持ち出すよう"そそのかした"罪で逮捕され、屈辱の取調べが始まった…。☆番組HP  http://www.tbs.co.jp/unmeinohito/  ☆見逃した方はこちらへ！  http://tod.tbs.co.jp/  2／1より「フェイスブック」TBSテレビ公式ページがスタート！現在SPドラマ「SPEC～翔～」（今春放送）の先行動画を配信中。社内や赤坂の街情報、番組やスタッフの裏話などTBSの素顔をご紹介します！番組の内容と放送時間は変更になる場合があります。</t>
  </si>
  <si>
    <t>番組名日曜劇場「運命の人」　第5話</t>
  </si>
  <si>
    <t>「被告人 弓成亮太（本木雅弘）は、被告人 三木昭子（真木よう子）と密かに情を通じ…」争点を密約問題から男女問題に巧みにすり替えた起訴状は各方面に多大な衝撃を与えた。  マスコミは手のひらを返したように弓成を責め始め一大スキャンダルに発展、夫の裏切りに傷ついた由里子（松たか子）は、子供達を連れて家を出て行く。  そんな時、マスコミに追いかけられる由里子を助け出したのは従兄弟の鯉沼玲（長谷川博己）だった。本木雅弘  松たか子  真木よう子   ◆   大森南朋  ーーーー  松重豊  北村有起哉  遠藤雄弥  杉本哲太    長谷川博己  原田泰造    柳葉敏郎  吹越満  浅野和之  伊武雅刀    本田博太郎  笹野高史  柄本明   ◆   北大路欣也【原作】  山崎豊子「運命の人」（文春文庫 刊）  【脚本】  橋本裕志  【音楽】  佐藤直紀  【演出】  土井裕泰  吉田健  【プロデュース】  瀬戸口克陽  【製作著作】  TBS  ☆番組HP  http://www.tbs.co.jp/unmeinohito/  ☆見逃した方はこちらへ！  http://tod.tbs.co.jp/  弓成と昭子は機密文書持ち出しの件で警視庁の取り調べを受けていた。  また、新聞記者たちの間で弓成の件は、報道の自由弾圧の見せしめだ、と、  新聞各社で報道の自由が叫ばれ始めていた。  接見に訪れた弁護人は、昭子に、「悪いのは弓成で、貴方は被害者だ」と巧みに吹き込んでいく。  取り調べが佳境に差し掛かる中、黙秘を貫く弓成に検察は以前昭子と密会したホテルのマッチ箱を差し出す。その後の記者会見で、検察は、二人が情を通じていたと発表してしまったのだった。2／1より「フェイスブック」TBSテレビ公式ページがスタート！現在、SPドラマ「SPEC～翔～」（今春放送）の先行動画を配信中。社内や赤坂の街情報、番組やスタッフの裏話などTBSの素顔をご紹介します！番組の内容と放送時間は変更になる場合があります。</t>
  </si>
  <si>
    <t>番組名日曜劇場「運命の人」　第6話</t>
  </si>
  <si>
    <t>弓成（本木雅弘）と昭子（真木よう子）の裁判が始まった。両者は真っ向から対立する。しかし法廷に現れた昭子のあまりに痛々しくやつれ果てた様子に、男女関係こそがこの事件の本質であるかのように世間に印象付けられていった。  弓成と由里子（松たか子）は、次男の純二が学校で「ハレンチ記者だ」と同級生に言われたことが原因で喧嘩をしたことを聞き、謝罪にいく。  原因が自分にあると感じた弓成が向かった先は…。本木雅弘  松たか子  真木よう子   ◆   大森南朋  ーーーー  松重豊  北村有起哉    長谷川博己  原田泰造    石橋凌  升 毅    柳葉敏郎  吹越満  浅野和之  伊武雅刀    本田博太郎  笹野高史  柄本明   ◆   北大路欣也【原作】  山崎豊子「運命の人」（文春文庫 刊）  【脚本】  橋本裕志  【音楽】  佐藤直紀  【演出】  土井裕泰  吉田健  【プロデュース】  瀬戸口克陽  【製作著作】  TBS  マスコミたちは、一転弓成を責め始め、傷ついた由里子（松たか子）は家を出て行った。  密約問題を男女の問題にうまく摩り替えた権力の狡猾さに衝撃を受ける弓成。  そんな折、訪ねてきた山部（大森南朋）に、真実とかけ離れた昭子の証言内容を聞かされる。  毎朝新聞は、言論の自由に関する第一人者である大野木に弁護を依頼。  一方、昭子の弁護人・坂元（吹越満）は「戦うべき相手は国家ではなく弓成記者だ」と昭子と夫・琢也（原田泰造）に言い切ったのだった。☆番組HP  http://www.tbs.co.jp/unmeinohito/  ☆見逃した方はこちらへ！  http://tod.tbs.co.jp/  番組の内容と放送時間は変更になる場合があります。</t>
  </si>
  <si>
    <t>番組名日曜劇場「運命の人」　第7話</t>
  </si>
  <si>
    <t>弓成（本木雅弘）と三木昭子（真木よう子）の裁判は佳境に入っていた。  由里子（松たか子）は悲壮な決意で、昭子のウソを暴く証拠を大野木(柳葉敏郎)に託し、夫の裁判に立ち会う。裁判所前で出会い、言葉を交わすことなく激しく見つめあう由里子と昭子。鯉沼（長谷川博己）はそんな由里子をひたすら見守っていた。  そして、ついに判決の時が訪れる。弓成、そして昭子に下された、運命を分ける判決とは！！本木雅弘  松たか子  真木よう子  ◆  大森南朋    松重豊  北村有起哉  長谷川博己  原田泰造  柳葉敏郎  吹越満  浅野和之  伊武雅刀  本田博太郎  笹野高史  柄本明  ◆  北大路欣也【原作】  山崎豊子「運命の人」（文春文庫 刊）  【脚本】  橋本裕志  【音楽】  佐藤直紀  【演出】  土井裕泰  吉田健  【プロデュース】  瀬戸口克陽  【製作著作】  TBS  弓成（本木雅弘）と昭子（真木よう子）の裁判が開始、昭子の復讐が始まった。  両者は対立するが、やつれた昭子の姿から、男女関係こそがこの事件の本質であるかのように世間に印象付けられていった。次男の純二が学校で「ハレンチ記者だ」と同級生に言われたことが原因で喧嘩をしたことを聞き、事態の悪化を痛感する弓成。  責任を感じた弓成は、北九州の実家へ一人帰ることに…。このままでは負けたことになるぞと山部に諭され、由里子は弓成を迎えに行き、弓成と共に闘っていくことを決意したのだった。☆番組HP  http://www.tbs.co.jp/unmeinohito/  ☆見逃した方はこちらへ！  http://tod.tbs.co.jp/  番組の内容と放送時間は変更になる場合があります。</t>
  </si>
  <si>
    <t>番組名日曜劇場「運命の人」　第8話</t>
  </si>
  <si>
    <t>一審判決に不満を持つ昭子（真木よう子）は暴走し、週刊誌に弓成との赤裸々な告白手記を発表する。それは嘘と誇張、悪意に溢れたものだった。弓成を見る周囲の目は手のひらを返したように侮蔑に変わり、夫を信じようと懸命に耐えてきた由里子（松たか子）は絶望的な気分になる。由里子の様子を見かねた鯉沼（長谷川博己）は弓成に抗議する。  女の執念が逆転有罪へ導くのか…!?本木雅弘  松たか子  真木よう子   ◆   大森南朋  ーーーー  松重豊  北村有起哉  綿引勝彦    長谷川博己  原田泰造    鶴見辰吾  浅野和之  吹越満  柳葉敏郎    橋爪功   ◆   北大路欣也【原作】  山崎豊子「運命の人」（文春文庫 刊）  【脚本】  橋本裕志  【音楽】  佐藤直紀  【演出】  土井裕泰  吉田健  【プロデュース】  瀬戸口克陽  【製作著作】  TBS  ☆番組HP  http://www.tbs.co.jp/unmeinohito/  ☆見逃した方はこちらへ！  http://tod.tbs.co.jp/  弓成は佐橋前総理がノーベル平和賞を受賞する可能性があると知り、怒りに震える。  一方、由里子は夫の裁判に立ち会う。由里子の母・加代は、娘に鯉沼と人生をやり直したら…と告げる。弓成と三木昭子の裁判は佳境に入った。弓成側の弁護人・大野木が三木を厳しく追及するが、追い込み切れない。  そして、弓成は無罪の判決を勝ち取ったのだった。番組の内容と放送時間は変更になる場合があります。</t>
  </si>
  <si>
    <t>番組名日曜劇場「運命の人」　第9話</t>
  </si>
  <si>
    <t>ついに終幕へー  控訴審の逆転有罪判決に到底納得のいかない大野木弁護士（柳葉敏郎）は最高裁に上告する。最高裁がどう判断するのか心配した山部（大森南朋）は昭子に会い、真実を話して欲しいと説得を試みる。その後、昭子が足を向けた先は、弓成の自宅だった。由里子と対峙する昭子。二人が秘めてきた思いが、押さえ切れずにぶつかり合う。そして、ついに最高裁の決定の日が訪れる。弓成に下された最後の審判とは！？本木雅弘  松たか子  真木よう子   ◆   大森南朋  ーーーー  松重豊  北村有起哉  綿引勝彦    長谷川博己  原田泰造    菅田将暉    吹越満  柳葉敏郎    橋爪　功【原作】  山崎豊子「運命の人」（文春文庫 刊）  【脚本】  橋本裕志  【音楽】  佐藤直紀  【演出】  土井裕泰  吉田健  【プロデュース】  瀬戸口克陽  【製作著作】  TBS  ☆番組HP  http://www.tbs.co.jp/unmeinohito/  ☆見逃した方はこちらへ！  http://tod.tbs.co.jp/  「弓成無罪、昭子有罪」という判決が出る。マスコミは弓成を讃える。しかし昭子は、弁護士に「自分のやり方で闘い続ける」と宣言、週刊誌に弓成との赤裸々な告白手記を発表する。昭子の手記を目にし、やるせなさが募る由里子。実家に戻った弓成。佐橋元総理を追求しようとしていた矢先「佐橋元総理が亡くなった」と聞かされる。最大の敵を失った弓成は、愕然とする。弓成の控訴審が行われ、逆転有罪判決となってしまった。番組の内容と放送時間は変更になる場合があります。</t>
  </si>
  <si>
    <t>番組名日曜劇場「運命の人」　第10話</t>
  </si>
  <si>
    <t>あれから5年…すべての過去と決別した弓成（本木雅弘）は、沖縄でただ時の流れに身を任せて暮らしていた。  そんな中、基地がある故に起きる理不尽な事件を目の当たりにするー米兵による強盗事件、米軍ヘリ墜落事故、さらには小学生への婦女暴行事件…。  「沖縄の本当の姿を知っていたのか？」と自問する弓成は、やがて大いなる決意の元、ある行動に出る…。本木雅弘  松たか子  真木よう子   ◆   大森南朋  ーーーー  原田泰造  柳葉敏郎   ◆   美波  津田寛治  三浦貴大  平泉成  津嘉山正種  リリー・フランキー  泉谷しげる【原作】  山崎豊子「運命の人」（文春文庫 刊）  【脚本】  橋本裕志  【音楽】  佐藤直紀  【演出】  土井裕泰  【プロデュース】  瀬戸口克陽  【製作著作】  TBS  ☆番組HP  http://www.tbs.co.jp/unmeinohito/  ☆見逃した方はこちらへ！  http://tod.tbs.co.jp/  控訴審の逆転有罪判決の悔しさに震える弓成。  そんな折、父・正助（橋爪功）が息を引き取り弓成は父の会社の再建を決意する。  政局は動き、福出総理が誕生。  ついに上告が棄却され、弓成の敗訴が決定すると、弓成は由里子に離婚届を渡し、沖縄で崖から飛び降りたのだった。番組の内容と放送時間は変更になる場合があります。</t>
  </si>
  <si>
    <t>1110_TBS_木21</t>
  </si>
  <si>
    <t>ランナウェイ</t>
  </si>
  <si>
    <t>番組名木曜ドラマ9「ランナウェイ～愛する君のために」　第1話</t>
  </si>
  <si>
    <t>“ある事件”がきっかけで、無実の罪で九州北刑務所に収監された主人公・葛城アタル（市原隼人）。  恋人・由紀（福田沙紀）からの連絡で、由紀との間に生まれた娘・千春が重い心臓病に侵されたと知り、彼は脱走を決意する。  そして、ひょんなことから河島龍之介（塚本高史）・滝本空哉（上田竜也）・加賀美瞬（菅田将暉）の3人の仲間が脱走計画に加わることに。若者たちは度重なる試練を乗り越え、一路東京を目指す！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柳川孝太郎…渡哲也【主題歌】  「歩いていこう」いきものがかり（エピックレコード・ジャパン）  【音楽】  山下康介羽原大介【プロデューサー】  加藤章一  浅野敦也  【演出】  石井康晴ドリマックス・テレビジョン　TBS  番組の内容と放送時間は、変更になる場合があります。</t>
  </si>
  <si>
    <t>番組名木曜ドラマ9「ランナウェイ～愛する君のために」　第2話</t>
  </si>
  <si>
    <t>九州北刑務所を脱獄した葛城アタルらは、警察の目を欺いて、四国の松山に降り立つ。逃亡の疲れと汚れを落とすため、温泉に入りたいというリュウに、反発するサクラ。サクラの思いに気付いたアタルは、サクラを擁護する。アタル・サクラとリュウの対立が深まる中、テレビのニュースでは、アタルらがサクラを誘拐して逃走中との報道が流れ・・・。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柳川孝太郎…渡哲也【主題歌】  「歩いていこう」いきものがかり（エピックレコード・ジャパン）  【音楽】  山下康介羽原大介【プロデューサー】  加藤章一  浅野敦也  【演出】  山本剛義ドリマックス・テレビジョン　TBS  番組の内容と放送時間は、変更になる場合があります。</t>
  </si>
  <si>
    <t>番組名木曜ドラマ9「ランナウェイ～愛する君のために」　第3話</t>
  </si>
  <si>
    <t>空哉の裏切りにあい、せっかくの大金を奪われてしまったリュウは、怒り心頭。しかし、次のお金を掘り出したいアタルらは、リュウをなだめて、次の目的地・大阪へ向かう。一方、リュウの金を奪った空哉も、実家のある大阪に向かっていた。大阪に着いた空哉は、一目散で実家に向かうが、そこに母の姿はなく・・・。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柳川孝太郎…渡哲也【主題歌】  「歩いていこう」いきものがかり（エピックレコード・ジャパン）  【音楽】  山下康介八津弘幸【プロデューサー】  加藤章一  浅野敦也  【演出】  酒井聖博ドリマックス・テレビジョン　TBS  番組の内容と放送時間は、変更になる場合があります。</t>
  </si>
  <si>
    <t>番組名木曜ドラマ9「ランナウェイ～愛する君のために」　第4話</t>
  </si>
  <si>
    <t>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柳川孝太郎…渡哲也大阪に埋めた金を掘り起こし、一億円を手にしたアタル（市原隼人）たちだが、互いに裏切りを警戒し、信じ合えないまま次の目的地へ。  警察の追手を逃れ京都に着いたものの、高熱を出し苦しんでいるサクラ（熊田聖亜）を助けるため小さな病院で診察を受けさせた。だが、サクラの虐待の傷跡を見た医師と看護婦はすぐに警察に通報、それを察したアタルたちはサクラを連れ病院を飛び出した。リュウ（塚本高史）の手引きで、祇園にある芸子置屋の女将（田中美奈子）に匿ってもらうことになったアタルたち。そこで、リュウは美咲（藤澤恵麻）に会いに行くが、婚約者の野中（高杉瑞穂）に阻まれ彼女に会うことが出来なかった。  さらに、リュウは、女将から聞いた父親代わりでもある風間組の組長のウワサの真意を確かめに会いに行くが、警察に連れ戻されそうになって…。【主題歌】  「歩いていこう」いきものがかり（エピックレコード・ジャパン）  【音楽】  山下康介ドリマックス・テレビジョン　TBS  番組の内容と放送時間は、変更になる場合があります。</t>
  </si>
  <si>
    <t>番組名木曜ドラマ9「ランナウェイ～愛する君のために」　第5話</t>
  </si>
  <si>
    <t>シュンが金を埋めた最後の場所・名古屋を目指したアタルたち。  だが、公園だった場所は住宅地となり、埋めた場所には竹内家が建っていた。  そこで、アタルたちは清掃業者に変装し、何とか竹内家に潜入することに成功するが、なんとその家主は愛知県警の警察官だった。 警察官である夫は仕事で明後日まで戻らないと聞き、空哉の気転で妻の佳奈子を外出させ、アタルを自分の夫と思い込んでいる祖母・菊代をアタルが外に連れ出し、リュウ・シュン・空哉で作業を始める。  しかし、まもなく警察の手が迫りアタルたちは窮地に追い込まれることにー 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柳川孝太郎…渡哲也【主題歌】  「歩いていこう」いきものがかり（エピックレコード・ジャパン）  【音楽】  山下康介八津弘幸【プロデューサー】  加藤章一  浅野敦也  【演出】  酒井聖博ドリマックス・テレビジョン　TBS  番組の内容と放送時間は、変更になる場合があります。</t>
  </si>
  <si>
    <t>番組名木曜ドラマ9「ランナウェイ～愛する君のために」　第6話</t>
  </si>
  <si>
    <t>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柳川孝太郎…渡哲也シュン（菅田将暉）の埋めた金を、アタル（市原隼人）、リュウ（塚本高史）、空哉（上田竜也）と共に掘り起こし、2億円の現金を手に入れることに成功。  娘を助けるため、やっとの思いで由紀（福田沙紀）と会い、手術のデポジット料の5千万円を渡そうとしたが、シュンから渡されたカバンの中は現金ではなく紙切れが入っているだけだった…。  リュウ、空哉のカバンの中身も同様に紙切れだけ。もう時間がないと焦るアタル…シュンの裏切りなのか…再び合流したアタル・リュウ・空哉そしてサクラ（熊田聖亜）は、シュンの出身地・山梨県勝沼へ向かった。しかし、シュンの実家の加賀美ワイナリーは五年前に閉鎖されてしまっていた。【主題歌】  「歩いていこう」いきものがかり（エピックレコード・ジャパン）  【音楽】  山下康介羽原大介  八津弘幸【プロデューサー】  加藤章一  浅野敦也  【演出】  石井康晴   山本剛義   酒井聖博 ドリマックス・テレビジョン　TBS  番組の内容と放送時間は、変更になる場合があります。</t>
  </si>
  <si>
    <t>番組名木曜ドラマ9「ランナウェイ～愛する君のために」　第7話</t>
  </si>
  <si>
    <t>現金を手に入れたアタル（市原隼人）は、娘の移植手術のために5千万円を届けなければならない。残された時間はあと4日…。  アタル逮捕のため由紀（福田沙紀）の代わりに金を受け取りに来た利夫（千葉雄大）は、アタルに刑事であることを告白し手錠をかけようとしたが、利夫は自分を突き飛ばして逃げろと指示する。  一目散に逃げるアタルの前に、リュウ（塚本高史）・空哉（上田竜也）・シュン（菅田将暉）・サクラ（熊田聖亜）が、助けにやってきた。  一方、少しでも早く金を渡したいアタルはいろいろな手段を駆使してみたが、警察の張り込みなどに邪魔され由紀のもとへ届けることが出来ないでいた…葛城アタル…市原隼人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柳川孝太郎…渡哲也【主題歌】  「歩いていこう」いきものがかり（エピックレコード・ジャパン）  【音楽】  山下康介シュンの裏切りなのか…再び合流したアタル・リュウ・空哉そしてサクラ（熊田聖亜）は、シュンの出身地・山梨県勝沼へ向かった。  しかし、シュンの実家の加賀美ワイナリーは五年前に閉鎖されてしまっていた。一方、5日以内に5千万円を振り込まないと娘の手術が受けられないと焦る由紀に、幼なじみの利夫（千葉雄大）は、由紀を励まし応援してくれていたのだが、彼はアタルを追う刑事だった。http://www.tbs.co.jp/runaway2011/  ドリマックス・テレビジョン　TBS  番組の内容と放送時間は、変更になる場合があります。</t>
  </si>
  <si>
    <t>番組名木曜ドラマ9「ランナウェイ～愛する君のために」　第8話</t>
  </si>
  <si>
    <t>警察で事情聴取されるサクラは、誘拐されたのではなく自分でついて行ったと答え、急いで金を渡さなければならないことをいくら訴えても刑事は取り合ってくれなかった。  翌朝、中島が自殺したことが発覚。やっと5年前の真犯人を突き止めたと思った矢先の出来事で、これでアタルの無実を証明できる人間はいなくなってしまった。  一方、病院では、募金で集まった金ではデポジット料にはまだほど遠く、今回はあきらめざるを得ない状況になっていた。憔悴する由紀（福田沙紀）の携帯にアタルからすまないという電話が入る。千代子（石野真子）が その電話をとり、感謝の気持ちを伝えるが…。葛城アタル…市原隼人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柳川孝太郎…渡哲也【主題歌】  「歩いていこう」いきものがかり（エピックレコード・ジャパン）  【音楽】  山下康介http://www.tbs.co.jp/runaway2011/  現金を手に入れたアタル（市原隼人）は、娘の移植手術のために5千万円を届けなければならなかった。残された時間はあと4日、アタル逮捕のため由紀（福田沙紀）の代わりに金を受け取りに来た利夫（千葉雄大）は、アタルを逃がす。  少しでも早く金を渡したいアタルはいろいろな手段を駆使してみたが、警察の張り込みなどに邪魔され、サクラが病院に届けることにするが、そのとき警察に保護されてしまう。ドリマックス・テレビジョン　TBS  番組の内容と放送時間は、変更になる場合があります。</t>
  </si>
  <si>
    <t>番組名木曜ドラマ9「ランナウェイ～愛する君のために」　第9話</t>
  </si>
  <si>
    <t>アタルを助けてくれる仲間は一人もいなくなった。残された時間は、あと1日ー アタルは、唯一頼ることが出来る柳川（渡哲也）に助けを求めるが、そこにもすでに警察の追手が迫っていた。  娘の心臓は、耐える限界に来ている。娘とアタル、2人を心配し苦悩する由紀（福田沙紀）。  一方、5年前の事件の核心を掴んだ柳川は…。葛城アタル…市原隼人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柳川孝太郎…渡哲也【主題歌】  「歩いていこう」いきものがかり（エピックレコード・ジャパン）  【音楽】  山下康介http://www.tbs.co.jp/runaway2011/  アタルは、唯一頼ることが出来る柳川に助けを求めるがそこにもすでに警察の追手が迫っていた。  空哉とシュンは逮捕、リュウは射殺されてしまった。  娘の心臓は、耐える限界に来ていた。ドリマックス・テレビジョン　TBS  番組の内容と放送時間は、変更になる場合があります。</t>
  </si>
  <si>
    <t>1110_TBS_金22</t>
  </si>
  <si>
    <t>専業主婦探偵</t>
  </si>
  <si>
    <t>番組名金曜ドラマ「専業主婦探偵～私はシャドウ」　第1話</t>
  </si>
  <si>
    <t>浅葱芹菜…深田恭子　  浅葱武文…藤木直人  陣内春樹…桐谷健太  十島丈二…古田新太  戸倉もと子…芦名星  新山晃…遠藤憲一  新山千早…石田ゆり子  藤元泰介…小日向文世  【第一話ゲスト】  岡本信人  安田顕（友情出演）専業主婦・浅葱芹菜は、ドジで不器用で、夫の影に隠れて生きている主人公。夫・武文（藤木直人）に「気持ち悪い」と思われるほどうざい妻である。しかしある事件をきっかけに芹菜は、無神経な探偵（桐谷健太）の事務所で働く羽目になる。天才理容師・十島（古田新太）の腕で「謎の美女」に変装した芹菜は、持ち前の「健気さ」と「主婦の知恵」で事務所に来た依頼を解決することに…。自分の思いがけない才能に驚く芹菜。そして「謎の美女」となった芹菜は、愛する夫の秘密をたまたま知ってしまう。夫の周りには自分の知らない隠れた陰謀があるようで…。【主題歌】  「スパイス」Perfume  【作詞作曲】  中田ヤスタカ（徳間ジャパンコミュニケーションズ）  （11月2日リリース予定）【原作】  粕谷紀子『私はシャドウ』（集英社刊）  【脚本】  中園ミホ  (他)中西匡　(他)【プロデューサー】  磯山晶  【演出】  金子文紀  山室大輔  渡瀬暁彦TBSドラマ制作部番組の内容と放送時間は変更になる場合があります。</t>
  </si>
  <si>
    <t>番組名金曜ドラマ「専業主婦探偵～私はシャドウ」　第2話</t>
  </si>
  <si>
    <t>浅葱芹菜…深田恭子　  浅葱武文…藤木直人  陣内春樹…桐谷健太  十島丈二…古田新太  戸倉もと子…芦名星  新山晃…遠藤憲一  新山千早…石田ゆり子  藤元泰介…小日向文世    【第二話ゲスト】  村上義彦…チャンカワイ  村上安恵…山口いづみ探偵見習いとなった芹菜（深田恭子）は、陣内（桐谷健太）の事務所に来た調査依頼で、司法試験に8回失敗して家出した村上義彦（チャンカワイ）の行方探しを引き受けることになる。聞き込んだ情報を元にあるイベント会場で調査をしていると、大阪出張だと言って出かけた夫・武文（藤木直人）が美人上司・千早（石田ゆり子）と楽しげに歩いているところを目撃してしまう！慌てて車で尾行する芹菜だが、右折が出来ずに見失ってしまうそして武文と千早が都内のホテルにいることを掴んだ芹菜は、ホテル従業員に変装し、二人が過ごす部屋に潜入することに…。「スパイス」Perfume  【作詞作曲】  中田ヤスタカ  （徳間ジャパンコミュニケーションズ）  （11月2日リリース予定）【原作】  粕谷紀子『私はシャドウ』（集英社刊）  【脚本】  中園ミホ・山岡真介中西匡  出羽良彰  熊原正幸  星野純一  田尻知之  第二話　金子文紀磯山晶TBSドラマ制作部番組の内容と放送時間は変更になる場合があります。</t>
  </si>
  <si>
    <t>番組名金曜ドラマ「専業主婦探偵～私はシャドウ」　第3話</t>
  </si>
  <si>
    <t>浅葱芹菜…深田恭子　  浅葱武文…藤木直人  陣内春樹…桐谷健太  十島丈二…古田新太  戸倉もと子…芦名星  梶木圭吾…丸山智巳  新山晃…遠藤憲一  新山千早…石田ゆり子  藤元泰介…小日向文世    【第3話ゲスト】  幸田明美…有森也美芹菜(深田恭子)は、武文(藤木)を間近で見守るため、派遣の清掃員として会社に潜入！武文と千早の仲の良さにやきもきする芹菜だが、ある日ビル内をうかがう挙動不審な女・明美(有森)に気づく。「夫が浮気をしているのでは？」と疑って変な行動を取ってしまうという明美が自分と重なり、芹菜は調査を請け負うことにする。一方、武文は同じ部署に異動してきた敏腕と評判の梶木(丸山)を警戒し、仕事上でも余裕がなくなる。疲れて帰ってきてはいつも「先に寝ていて」と言う武文だが、ある日芹菜は、武文が夜中に起き出しては自室に篭っていることに気づく。その扉をこっそり開けてみると…「スパイス」Perfume  【作詞作曲】  中田ヤスタカ  （徳間ジャパンコミュニケーションズ）  （11月2日リリース予定）【原作】  粕谷紀子『私はシャドウ』（集英社刊）  【脚本】  中園ミホ  (他)仲西匡  出羽良影  熊原正幸  星野純一  田尻知之磯山晶    【第3話演出】  山室大輔TBSドラマ制作部番組の内容と放送時間は変更になる場合があります。</t>
  </si>
  <si>
    <t>番組名金曜ドラマ「専業主婦探偵～私はシャドウ」　第4話</t>
  </si>
  <si>
    <t>浅葱芹菜…深田恭子　  浅葱武文…藤木直人  陣内春樹…桐谷健太  十島丈二…古田新太  戸倉もと子…芦名星    幸田文則…日野陽仁  福寿幸太郎…長谷川朝晴  梶木圭吾…丸山智巳    新山晃…遠藤憲一  新山千早…石田ゆり子  藤元泰介…小日向文世    【第4話ゲスト】  横沢くん…鈴木裕樹ひばり証券に清掃員として潜入し、武文（藤木）と千早(石田）を観察する日々を送る芹菜（深田）だが、親友のもと子（芦名）に探偵事務所まで尾行され、陣内（桐谷）に事情を聞かれて何もかもばれてしまう。もと子はこのことを武文に秘密にする代わりに自分の初恋の人を探してほしいと芹菜に依頼する。  ある日、芹菜は武文のカバンの中からきれいに包装された謎のプレゼントを見つけてしまう。千早への誕生日の贈り物なのではないか、と疑う芹菜。一方、新山常務(遠藤）も妻・千早と武文の携帯ストラップがお揃いであることに気づき、不敵な表情を浮かべる。千早の誕生日当日、新山はある贈り物をするが…「スパイス」Perfume  【作詞作曲】  中田ヤスタカ  （徳間ジャパンコミュニケーションズ）  （11月2日リリース予定）【原作】  粕谷紀子『私はシャドウ』（集英社刊）  【脚本】  中園ミホ  (他)中西匡  (他)磯山晶    【第4話演出】  山室大輔TBSドラマ制作部番組の内容と放送時間は変更になる場合があります。</t>
  </si>
  <si>
    <t>番組名金曜ドラマ「専業主婦探偵～私はシャドウ」　第5話</t>
  </si>
  <si>
    <t>浅葱芹菜…深田恭子　  浅葱武文…藤木直人  陣内春樹…桐谷健太  十島丈二…古田新太  戸倉もと子…芦名星  梶木圭吾…丸山智己  新山晃…遠藤憲一  新山千早…石田ゆり子  藤元泰介…小日向文世    【第五話ゲスト】  山下涼音…松本莉緒  満男…菅原大吉「夫の携帯は地獄の入り口」  武文(藤木)と千早(石田)のホテルでの密会を見てしまった陣内(桐谷)は、その事を芹菜(深田)に言えずにいた。そんな陣内の前に、元カノ・涼音(松本)が現れ、借金を申し込む。裏切られた過去をひきずっている陣内は冷たくあしらい、追い返してしまう。一方、武文は、罪悪感から普段しないことを連発し、かえって芹菜に疑いを持たれてしまう。もと子のアドバイスで武文の携帯を見てしまう芹菜…そこでの千早とのやりとりを読んだ芹菜は、ついに武文に直接問いただすが…。「スパイス」Perfume  【作詞作曲】  中田ヤスタカ  （徳間ジャパンコミュニケーションズ）  （11月2日リリース予定）【原作】  粕谷紀子『私はシャドウ』（集英社刊）  【脚本】  第五話…福間正浩中西匡  (他)磯山晶    【第五話　演出】  渡瀬暁彦TBSドラマ制作部番組の内容と放送時間は変更になる場合があります。</t>
  </si>
  <si>
    <t>番組名金曜ドラマ「専業主婦探偵～私はシャドウ」　第6話</t>
  </si>
  <si>
    <t>浅葱芹菜…深田恭子　  浅葱武文…藤木直人  陣内春樹…桐谷健太  十島丈二…古田新太  戸倉もと子…芦名星  梶木圭吾…丸山智己  新山晃…遠藤憲一  新山千早…石田ゆり子  藤元泰介…小日向文世    【第6話　ゲスト】  由香…ちはる武文(藤木)は千早(石田)との関係をネタに新山常務(遠藤)に脅され、ひばり証券の身売りに向けた仕事を課せられる。さらに泰介(小日向)は新山の失脚をもくろみ、武文にある計画を命じる。一方、芹菜(深田)は福寿(長谷川)の母から息子の交際相手を調べて欲しいという依頼を受け、陣内(桐谷)とともに福寿と彼女の由香(ちはる)とのデートを尾行する…。今まで辛いだけだった業務が、芹菜と一緒だと楽しいと感じる陣内。そして由香の意外な事実が発覚し…。  さらに彼女の調査をされていたことを知った福寿は武文とともに陣内のいる探偵事務所を訪れる。初めて武文と顔を合わせる陣内は、これまでの様様な感情がこみ上げ…。「スパイス」Perfume  【作詞作曲】  中田ヤスタカ  （徳間ジャパンコミュニケーションズ）【原作】  粕谷紀子『私はシャドウ』（集英社刊）  【脚本】  中園ミホ  (他)中西匡  (他)磯山晶    【第6話　演出】  渡瀬暁彦    TBSドラマ制作部番組の内容と放送時間は変更になる場合があります。</t>
  </si>
  <si>
    <t>番組名金曜ドラマ「専業主婦探偵～私はシャドウ」　第7話</t>
  </si>
  <si>
    <t>夫・武文(藤木)と千早(石田)の不倫を知った芹菜(深田)は、ケリをつけたいと男装して武文を尾行することに…。そこで武文に「愛している」と告げる千早の言葉を聞いてしまう。そして武文からは驚きの言葉が…。  そんな武文は、合併後に多くの人員削減をすると計画している新山常務(遠藤)のことも、さらに新山を失脚に追い込むための証拠集めを自分に強要する泰介(小日向)にも、それぞれ強い不信感を持っていた…。さらに別れた妻への気持ちを引きずる丈二(古田)は、芹菜に勇気付けられ、ある決断をする…。後日、ひばり証券で働く芹菜の前に、スーツ姿の陣内が現れた。臨時職員として働くことになったという。その真意とは…浅葱芹菜…深田恭子　  浅葱武文…藤木直人  陣内春樹…桐谷健太  十島丈二…古田新太  戸倉もと子…芦名星  梶木圭吾…丸山智己  新山晃…遠藤憲一  新山千早…石田ゆり子  藤元泰介…小日向文世    【第7話　ゲスト】  瞳…Rio  渡辺美咲…手島優「スパイス」Perfume  【作詞作曲】  中田ヤスタカ  （徳間ジャパンコミュニケーションズ）【原作】  粕谷紀子『私はシャドウ』（集英社刊）  【脚本】  中園ミホ  (他)中西匡  (他)企業買収の陰謀に巻き込まれ、新山と泰介の間で翻弄される武文。  一方、芹菜は武文の同僚・福寿の交際相手の身辺調査をすることに…さらに突然、探偵事務所に武文がやってくる。初めて顔を合わせた陣内は、これまでの様々な感情が込み上げ、武文をも挑発してしまっていた。  日々接しているうちに徐々に芹菜へ新たな感情が生まれていたのだ。【プロデューサー】  磯山晶    【第7話演出】  山室大輔http://www.tbs.co.jp/syuhutan/  TBSドラマ制作部番組の内容と放送時間は変更になる場合があります。</t>
  </si>
  <si>
    <t>番組名金曜ドラマ「専業主婦探偵～私はシャドウ」　第8話</t>
  </si>
  <si>
    <t>芹菜(深田)は陣内(桐谷)の指示で武文(藤木)のスーツに盗聴マイクを仕掛けるが、いい加減なつけ方が原因でマイクが外れ、事態は思わぬ方向へ。そんな中、武文は新山常務(遠藤)に利用されていると知った芹菜は、千早(石田)に自分が妻であることを明かし、武文をこれ以上苦しめないでくれと頼む。一方、新山から新たな仕事として、吸収合併の条件として要求されているリストラの人選をしろと言われた武文は困惑する。さらに泰介から新山の背任行為の証拠を掴めと言われる。武文が断ると態度を豹変させる泰介。武文のあとをつけていた芹菜は、これまで見たことの無い父親の姿に愕然とする。そして自分のせいで武文を苦しめていた事実を知った芹菜は探偵を辞めると泣いて自分を責める。芹菜を想う陣内はそんな姿を見て切ない気持ちが募り…。翌日、芹菜は武文の前からも陣内の前からも姿を消してしまう…浅葱芹菜…深田恭子　  浅葱武文…藤木直人  陣内春樹…桐谷健太  十島丈二…古田新太  戸倉もと子…芦名星  梶木圭吾…丸山智己  新山晃…遠藤憲一  新山千早…石田ゆり子  藤元泰介…小日向文世    【第8話　ゲスト】  ホフマン…マイケル富岡  亀吉…小松和重「スパイス」Perfume  【作詞作曲】  中田ヤスタカ  （徳間ジャパンコミュニケーションズ）【原作】  粕谷紀子『私はシャドウ』（集英社刊）  【脚本】  中園ミホ  (他)中西匡  (他)夫・武文(藤木)と千早(石田)の不倫を知った芹菜(深田)は、ケリをつけたいと男装して武文を尾行することに。そこで千早は武文に「愛している」と告げるが、武文は妻を愛していると答える。別れた妻・瞳（RIO）への気持ちを引き摺る丈二（古田 新太）は、芹菜に勇気付けられ、瞳のいるパリへ旅立つ。  一方、陣内はある情報を掴み、臨時職員としてひばり証券で働くことに。磯山晶    【第8話　演出】  渡瀬暁彦http://www.tbs.co.jp/syuhutan/  TBSドラマ制作部番組の内容と放送時間は変更になる場合があります。</t>
  </si>
  <si>
    <t>番組名金曜ドラマ「専業主婦探偵～私はシャドウ」　第9話</t>
  </si>
  <si>
    <t>浅葱芹菜…深田恭子　  浅葱武文…藤木直人  陣内春樹…桐谷健太  十島丈二…古田新太  戸倉もと子…芦名星  梶木圭吾…丸山智己  新山晃…遠藤憲一  新山千早…石田ゆり子  藤元泰介…小日向文世    【第9話　ゲスト】  社長…鳥越俊太郎  警備員…秋山竜次（ロバート）武文(藤木)と泰介(小日向)の話を立ち聞きしてしまった芹菜は、二年前の出来事が武文を苦しめていたと知って責任を感じ、姿を消していた。そんな芹菜の前に現れた武文は浮気を謝罪するが、夫婦間の深い溝を認めざるを得ない芹菜…。そんな二人の前にある人物から捜査を依頼されたと陣内が現れる。  一方、ひばり証券では吸収合併の噂が広まったせいで、社長が役員を召集し、取締役会を開いていた。取締役会での新山常務と泰介との直接対決が始まる。一人で答えを探していた芹菜はある情報を得て、変装し車を飛ばしていた。「必ずあなたを救い出すから信じて待ってて…」芹菜が助けに向かうのは、武文か陣内か!?「スパイス」Perfume  【作詞作曲】  中田ヤスタカ  （徳間ジャパンコミュニケーションズ）【原作】  粕谷紀子『私はシャドウ』（集英社刊）  【脚本】  中園ミホ  (他)中西匡  (他)武文がひばり証券の乗っ取りに関わっているかもしれないと察知した陣内は、芹菜とともに危険な調査に乗り出す。  一方、武文と泰介の会話から自分のせいで武文を苦しめていた事実を知った芹菜は、ついに武文、陣内の前から姿を消してしまった。磯山晶    第9話演出…山室大輔http://www.tbs.co.jp/syuhutan/  TBSドラマ制作部番組の内容と放送時間は変更になる場合があります。</t>
  </si>
  <si>
    <t>1110_TBS_日21</t>
  </si>
  <si>
    <t>南極大陸</t>
  </si>
  <si>
    <t>番組名TBS開局60周年記念　日曜劇場「南極大陸」　第1話</t>
  </si>
  <si>
    <t>戦後10年が過ぎ復興の一途を辿っていた日本。人々は必死に働いた。一面の焼け野原から、瓦礫を拾い、道を作り、家を建てた。しかし日本人の心には「敗戦」の2文字が残った。そんな中世界的に、地球を研究しようという動きが起こった。「南極観測」。中心となって動いたのが倉持岳志（木村拓哉）だった。負け犬と馬鹿にされたブリュッセルでの国際会議に始まり、何より諦めていたのは日本国だった。今日の飯を食うので精一杯。そんな落ち込んだ国を動かしたのは小さな力だった。南極観測が国家事業として承認され、1年後の出航に向けて奮闘する倉持達、熱き日本人の生き様を描く第一話。愛と絆の感動物語がここに始まる。倉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星野英太郎…香川照之  古館綾子…木村多江  古館遥…芦田愛菜  古館亮…井上瑞稀（ジャニーズJr．）古館智大…山本學  倉持の妻…仲間由紀恵  倉持の父…渡瀬恒彦【主題歌】  中島みゆき「荒野より」ヤマハミュージックコミュニケーションズ  【音楽】  高見優  吉川慶【原案】  北村泰一（第一次三次南極越冬隊隊員）「南極越冬隊タロジロの真実」  【脚本】  いずみ吉紘【演出】  福澤克雄  【プロデュース】  石丸彰彦  伊與田英徳  山田康裕初回はなんと2時間5分スペシャル！！10月11日（火）8：30～　  はなまるマーケット…ドロンズ石本  10月13日（木）19：00～　  スパモク…岡田義徳・川村陽介10月13日（木）21：00～  有田とマツコと男と女SP…香川照之・山本裕典  10月14日（金）19：00～  ぴったんこカン・カンSP…木村拓哉・香川照之http://www.tbs.co.jp/nankyokutairiku/番組の内容と放送時間は変更になる場合があります。</t>
  </si>
  <si>
    <t>番組名TBS開局60周年記念　日曜劇場「南極大陸」　第2話</t>
  </si>
  <si>
    <t>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1956年11月8日、日本人の夢と希望と誇りを背負い、南極観測船宗谷は2万キロの航海へと旅立った。しかし、彼らを待ち受けていたのは、壮絶な船旅だった。吠える60度と呼ばれる暴風圏、灼熱のインド洋、苛酷な環境の中、隊員達の意見は対立を始める。また大嵐により、大勢の負傷者、火災が勃発。倉持達は生き残る事ができるのだろうか。そして無事南極へたどり着く事ができるのだろうか？南極への想いはみな違う形だった。夢、誇り、愛する人の為、家族との約束。様々な感情が交錯する第2話。第二話10分拡大スペシャル！！【主題歌】  中島みゆき「荒野より」ヤマハミュージックコミュニケーションズ  【音楽】  高見優  吉川慶【原案】  北村泰一（第一次三次南極越冬隊隊員）「南極越冬隊タロジロの真実」  【脚本】  いずみ吉紘【演出】  福澤克雄  【プロデュース】  石丸彰彦  伊與田英徳  山田康裕http://www.tbs.co.jp/nankyokutairiku/番組の内容と放送時間は変更になる場合があります。</t>
  </si>
  <si>
    <t>番組名TBS開局60周年記念　日曜劇場「南極大陸」　第3話</t>
  </si>
  <si>
    <t>日本を出航して2ヶ月、いよいよ南極圏へ到達した観測船「宗谷」。しかし、南極の分厚い氷を前に身動きが取れなくなってしまう。そんな中偵察飛行の結果オングル島への上陸が可能とわかる。ついに南極の景色を目の当たりにする倉持達。しかし、本当の試練はこれからだった。未知の大陸が引き起こす脅威になす術のない倉持達。そして、夢と希望を背負った犬ぞりも・・・ついに南極大陸上陸！！物語は動き出す。南極に運命を託した男たち、帰りを信じる女たちの愛と感動の第3話。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星野栄太郎…香川照之第三話10分拡大スペシャル！！【主題歌】  中島みゆき「荒野より」ヤマハミュージックコミュニケーションズ  【音楽】  高見優  吉川慶【原案】  北村泰一（第一次三次南極越冬隊隊員）「南極越冬隊タロジロの真実」  【脚本】  いずみ吉紘【演出】  福澤克雄  【プロデュース】  石丸彰彦  伊與田英徳  山田康裕http://www.tbs.co.jp/nankyokutairiku/  番組の内容と放送時間は変更になる場合があります。</t>
  </si>
  <si>
    <t>番組名TBS開局60周年記念　日曜劇場「南極大陸」　第4話</t>
  </si>
  <si>
    <t>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1957年2月15日、11人の越冬隊を残して、観測船宗谷は帰国の途についた。希望に満ちた越冬生活が始まるはずだった。しかし、またも食料を海に流されてしまった倉持達。それはこれから始まる苦難の幕開けだった。南極での生活を始める、越冬隊員達はそれぞれに研究テーマを課した。最年少の犬塚が選んだのは大学でも研究しているというオーロラ観測だった。しかし・・・宗谷離岸。ついに苦難の越冬生活が開始される。そして犬達にも困難が訪れる。【主題歌】  中島みゆき「荒野より」ヤマハミュージックコミュニケーションズ  【音楽】  高見優  吉川慶【原案】  北村泰一（第一次三次南極越冬隊隊員）「南極越冬隊タロジロの真実」  【脚本】  いずみ吉紘【演出】  福澤克雄  【プロデュース】  石丸彰彦  伊與田英徳  山田康裕http://www.tbs.co.jp/nankyokutairiku/  よる7時より放送の「プロ野球中継」の影響により、番組開始時間が変更になる可能性がございます。</t>
  </si>
  <si>
    <t>番組名TBS開局60周年記念　日曜劇場「南極大陸」　第5話</t>
  </si>
  <si>
    <t>越冬生活も半年を迎えた頃、倉持は自らの運命に立ち向かおうとしていた。父の夢でもあった世界初のボツンヌーテン登頂。往復400キロの道のりを進む倉持達。それは正に南極最大の試練の始まりだった。吹き荒れるブリザードの中、果たしてボツンヌーテンにたどり着くことが出来るのだろうか？そして氷室を襲う試練とは？  彼らを導く小さな光。それは一体？人間と樺太犬の絆がつむぎだす感動のドラマが明らかになる！！倉持岳志…木村拓哉（SMAP）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  古館綾子…木村多江  古館遥…芦田愛菜  倉持の父…渡瀬恒彦【主題歌】  中島みゆき「荒野より」ヤマハミュージックコミュニケーションズ  【音楽】  高見優  吉川慶【原案】  北村泰一（第一次三次南極越冬隊隊員）「南極越冬隊タロジロの真実」  【脚本】  いずみ吉紘【演出】  福澤克雄  【プロデュース】  石丸彰彦  伊與田英徳  山田康裕http://www.tbs.co.jp/nankyokutairiku/番組の内容と放送時間は変更になる場合があります。</t>
  </si>
  <si>
    <t>番組名TBS開局60周年記念　日曜劇場「南極大陸」　第6話</t>
  </si>
  <si>
    <t>ボツンヌーテン登頂を果たした倉持たちを待ち受けていたのは、非常な運命だった。薄れゆく意識の中で、奇跡を託したのは彼らと命を預けあってきた樺太犬のリキとタロ・ジロだった。仲間の元へ必死に走る犬たち。倉持たちの思いは届くのだろうか。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  古館綾子…木村多江  古館遥…芦田愛菜  倉持の父…渡瀬恒彦【主題歌】  中島みゆき「荒野より」ヤマハミュージックコミュニケーションズ  【音楽】  高見優  吉川慶【原案】  北村泰一（第一次三次南極越冬隊隊員）「南極越冬隊タロジロの真実」  【脚本】  いずみ吉紘【演出】  福澤克雄  【プロデュース】  石丸彰彦  伊與田英徳  山田康裕http://www.tbs.co.jp/nankyokutairiku/  よる6時30分より放送の「プロ野球中継」の影響により、番組開始時間が変更になる可能性がございます。</t>
  </si>
  <si>
    <t>番組名TBS開局60周年記念　日曜劇場「南極大陸」　第7話</t>
  </si>
  <si>
    <t>犬達を残して、一旦宗谷に引き揚げた倉持たち。ブリザードが吹き荒れる中、基地に戻るタイミングをうかがっていた。その中で対立する倉持ら第一次越冬隊と第二次越冬隊隊岩城（宮沢和史）。そして犬達もまた過酷な状況下に置かれていた。一週間分の食糧を残してきた倉持達。しかし、刻一刻と時間は過ぎ去っていく。以前吹き止まぬブリザード。人間と犬達の生き残りをかけた真実の物語が明かされる。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  古館綾子…木村多江  古館遥…芦田愛菜  倉持の父…渡瀬恒彦【主題歌】  中島みゆき「荒野より」ヤマハミュージックコミュニケーションズ  【音楽】  高見優  吉川慶【原案】  北村泰一（第一次三次南極越冬隊隊員）「南極越冬隊タロジロの真実」  【脚本】  いずみ吉紘【演出】  福澤克雄  【プロデュース】  石丸彰彦  伊與田英徳  山田康裕http://www.tbs.co.jp/nankyokutairiku/番組の内容と放送時間は変更になる場合があります。</t>
  </si>
  <si>
    <t>番組名TBS開局60周年記念　日曜劇場「南極大陸」　第8話</t>
  </si>
  <si>
    <t>南極大陸に犬たちを残して、宗谷は離岸した。様々な思いを胸に日本へと向かう倉持達。彼らを待ち受けていたのは、観測隊に対する賞賛の声ではなかった。そして犬達もまた、厳しい状況を強いられていた。飢えと戦いながら、必死で生きようとする犬達。彼らの運命は…54年前、本当に起こった悲劇が今蘇る。倉持岳志…木村拓哉（SMAP）  高岡美雪…綾瀬はるか  氷室晴彦…堺雅人  犬塚夏男…山本裕典  横峰新吉…吉沢悠  船木幾造…岡田義徳  谷健之助…志賀廣太郎  嵐山肇…川村陽介  山里万平…ドロンズ石本  白崎優…柴田恭兵（特別出演）  鮫島直人…寺島進  内海典章…緒形直人  星野英太郎…香川照之  古館綾子…木村多江  古館遥香…芦田愛菜  倉持の父…渡瀬恒彦【主題歌】  中島みゆき「荒野より」ヤマハミュージックコミュニケーションズ  【音楽】  高見優  吉川慶【原案】  北村泰一（第一次三次南極越冬隊隊員）「南極越冬隊タロジロの真実」  【脚本】  いずみ吉紘1年間の過酷な南極越冬生活を終え、迎えに来た『宗谷』へと乗り込んだのだが、『宗谷』は海面を覆い尽くす氷に閉じ込められてしまう。倉持たちは仲間である15頭の樺太犬の救出を最後まで諦めないでいたのだが、身を裂かれる想いで犬たちを南極に置き去りにしてしまった。【演出】  福澤克雄  【プロデュース】  石丸彰彦  伊與田英徳  山田康裕http://www.tbs.co.jp/nankyokutairiku/  番組の内容と放送時間は変更になる場合があります。</t>
  </si>
  <si>
    <t>番組名TBS開局60周年記念　日曜劇場「南極大陸」　第9話</t>
  </si>
  <si>
    <t>犬たちが生きていることを信じ、第三次隊になり、再び南極へ行く決意をする倉持。  その時、第三次観測隊が正式に決まった知らせを受ける。  倉持は、“もう一度、南極に行きたい”という思いを伝えるため、星野 (香川照之)、氷室 (堺雅人) らのいる日本学術会議ビルに戻ってきた。  しかし、第三次隊の選考基準の中に『第一次及び第二次越冬隊に参加した者は除く』項目があり、愕然とする。白崎（柴田恭兵）は、第一次隊からも希望者を募らせてもらえるよう、選考基準を作った文部省の事務次官を説得する。  一方、氷室も独自で大蔵省の次官に掛け合うのだが…。倉持岳志…木村拓哉（SMAP）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  古館綾子…木村多江  古館遥…芦田愛菜  古館亮…井上瑞稀（ジャニーズJr．）古館智大…山本學  倉持の妻…仲間由紀恵  倉持の父…渡瀬恒彦【主題歌】  中島みゆき「荒野より」ヤマハミュージックコミュニケーションズ  【音楽】  高見優  吉川慶【原案】  北村泰一（第一次三次南極越冬隊隊員）「南極越冬隊タロジロの真実」  【脚本】  いずみ吉紘日本で「樺太犬、置き去り」の批判を受けるなか、倉持は、樺太犬の飼い主たちに犬たちが無駄死にではないことを伝えに行く、辛い旅に出る。  その頃、南極に残された樺太犬たちは、繋がれた首輪を必死に抜けようとしていた。  鎖を外した犬たちは、基地に入り、脱ぎ捨てられた隊員たちの服やシーツなどのにおいを嗅ぎ顔を擦り付けたり、吠えたりしていた…。【演出】  福澤克雄  【プロデュース】  石丸彰彦  伊與田英徳  山田康裕http://www.tbs.co.jp/nankyokutairiku/  番組の内容と放送時間は変更になる場合があります。</t>
  </si>
  <si>
    <t>番組名TBS開局60周年記念　日曜劇場「南極大陸」　第10話</t>
  </si>
  <si>
    <t>南極へ向け荒波を切り裂いて進む「宗谷」は改良されても激しい揺れに苛まれる。  暴風圏をなんとか抜け、南極圏に入ることはできたが、本当の闘いはここから始まった。大陸までは180キロ。  前回の反省を踏まえ、「宗谷」での上陸を目指しながらも、空輸で越冬隊と必要物資を運搬する作戦をたてる。  そして、白崎は天候が回復し、安全な距離になったら一足先に昭和基地に偵察に行く役目を倉持に任命するのだが…。その頃、リキは強いブリザードの中、倒れながらも“ある場所”へ必死に進んでいた…。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  古館綾子…木村多江  古館遥…芦田愛菜  古館亮…井上瑞稀（ジャニーズJr．）古館智大…山本學  倉持の妻…仲間由紀恵  倉持の父…渡瀬恒彦【主題歌】  中島みゆき「荒野より」ヤマハミュージックコミュニケーションズ  【音楽】  高見優  吉川慶【原案】  北村泰一（第一次三次南極越冬隊隊員）「南極越冬隊タロジロの真実」  【脚本】  いずみ吉紘倉持は、第三次南極観測隊への参加を一度は断念したが「宗谷」の修理が完成した頃、氷室や星野の働きかけにより再び「南極大陸」へ行けることとなり、出発前、とうとう美雪に「待っててほしい」と気持ちを告げた…。【演出】  福澤克雄  【プロデュース】  石丸彰彦  伊與田英徳  山田康裕http://www.tbs.co.jp/nankyokutairiku/番組の内容と放送時間は変更になる場合があります。</t>
  </si>
  <si>
    <t>1107_TBS_金22</t>
  </si>
  <si>
    <t>美男ですね</t>
  </si>
  <si>
    <t>番組名金曜ドラマ「美男ですね」　第1話</t>
  </si>
  <si>
    <t>瀧本美織   玉森裕太（Kis－My－Ft2）   藤ヶ谷太輔（Kis－My－Ft2）   八乙女光（Hey！Say！JUMP）     小嶋陽菜（AKB48）   六角精児   山崎樹範   清水　優     楽しんご   能世あんな  高橋真依子  葵  愛純もえり    梶芽衣子    倖田來未    石坂浩ニ    片瀬那奈  井森美幸  柳沢慎吾  高嶋政伸   萬田久子超人気イケメンバンドの新メンバーは女の子！？TSUTAYA2010年度韓流レンタルランキング断トツ1位！全アジアを熱狂の渦に包んだ、今世紀最高のラブストーリーを世界初のリメイク！キラキラした夏の青春アリ！親子の愛アリ！更に恋の四角関係アリ！金曜夜は胸キュンしすぎて眠れない!?主演はイケメンの総本山ジャニーズ事務所期待の若手、Kis－My－Ft2の玉森裕太、藤ヶ谷太輔、Hey！Say！JUMPの八乙女光、そして、さわやかな朝の顔として、朝のテレビ小説「てっぱん」で話題を呼んだ瀧本美織！さらに超豪華キャスト陣を加えて贈るこの夏最大の注目作!!初回は超超盛りだくさんな2時間3分スペシャル！【音楽】  市川淳  michitomo     【主題歌】  Kis－My－Ft2  「Everybody　Go」    【原作】  韓国ドラマ  「美男(イケメン)ですね」(韓国SBS)    【脚本】  高橋麻紀  ほか坪井敏雄  平野俊一  大澤祐樹高橋正尚  【協力プロデューサー】  加藤章一TBSテレビ  番組の内容と放送時間は変更になる場合があります。</t>
  </si>
  <si>
    <t>番組名金曜ドラマ「美男ですね」　第2話</t>
  </si>
  <si>
    <t>イケメンバンドの新メンバーは女だった！？隠していたはずなのに、A.N.JELLに加入早々、あろうことかリーダーの廉に女だということがバレてしまった美男！絶対絶命の大ピンチに、美男がとった行動とは・・・。  キラキラした夏の青春アリ！親子の愛アリ！ついに恋の4角関係が動き出す！？やっぱり金曜夜は胸キュンしすぎて眠れない！？瀧本美織   玉森裕太（Kis－My－Ft2）   藤ヶ谷太輔（Kis－My－Ft2）   八乙女光（Hey！Say！JUMP）     小嶋陽菜（AKB48）  六角精児   山崎樹範   清水　優     楽しんご   能世あんな  高橋真依子  葵  愛純もえり    梶芽衣子片瀬那奈  井森美幸  柳沢慎吾  高嶋政伸   萬田久子【音楽】  市川淳  michitomo     【主題歌】  Kis－My－Ft2  「Everybody　Go」    【原作】  韓国ドラマ  「美男(イケメン)ですね」(韓国SBS)    【脚本】  高橋麻紀  坪井敏雄  平野俊一  大澤祐樹高橋正尚  【協力プロデューサー】  加藤章一TBSテレビ  番組の内容と放送時間は変更になる場合があります。</t>
  </si>
  <si>
    <t>番組名金曜ドラマ「美男ですね」　第3話</t>
  </si>
  <si>
    <t>瀧本美織   玉森裕太（Kis－My－Ft2）   藤ヶ谷太輔（Kis－My－Ft2）   八乙女光（Hey！Say！JUMP）     小嶋陽菜（AKB48）   六角精児   山崎樹範   清水　優     楽しんご   能世あんな  高橋真依子  葵  愛純もえり    梶芽衣子    片瀬那奈  井森美幸  柳沢慎吾  高嶋政伸   萬田久子母との突然の別れに、ただ泣き崩れる美男…。深く傷つく美男に廉、柊、勇気がしてあげたこと。それは、美男の新メンバー加入パーティーだった。美男を元気づけるため、ひたむきに盛り上げる3人の優しさに美男からは笑顔が…。悲しみの涙がうれし涙に変わる瞬間…。真夏の夜に咲いた、それぞれの恋！キラキラした夏の青春アリ！親子の愛アリ！ついに恋の4角関係が動き出す！？やっぱり今年の夏は胸キュンしすぎて眠れない！？【音楽】  市川淳  michitomo     【主題歌】  Kis－My－Ft2  「Everybody　Go」    【原作】  韓国ドラマ  「美男(イケメン)ですね」(韓国SBS)    【脚本】  高橋麻紀  山浦雅大坪井敏雄  平野俊一  大澤祐樹高橋正尚  【協力プロデューサー】  加藤章一TBSテレビ  番組の内容と放送時間は変更になる場合があります。</t>
  </si>
  <si>
    <t>番組名金曜ドラマ「美男ですね」　第4話</t>
  </si>
  <si>
    <t>廉とNANAの姿を見て、涙が止まらない美男…。そんな美男を前に、ついに動き出した柊！そして、一人苦悩する勇気…。そんな中、廉が遭難！？廉を救うため、美男がとった行動とは…。そして、ついにライバル出現！まさかの5角関係へと発展！？キラキラした夏の青春アリ！親子の愛アリ！やっぱり今年の夏は胸キュンしすぎて眠れない！？瀧本美織  玉森裕太（Kis－My－Ft2）  藤ヶ谷太輔（Kis－My－Ft2）  八乙女光（Hey！Say！JUMP）    小嶋陽菜（AKB48）  六角精児  山崎樹範  清水優    楽しんご   能世あんな  高橋真依子  葵  愛純もえり    片瀬那奈  井森美幸  柳沢慎吾  高嶋政伸  萬田久子【音楽】  市川淳  michitomo     【主題歌】  Kis－My－Ft2  「Everybody　Go」    【原作】  韓国ドラマ  「美男(イケメン)ですね」(韓国SBS)    【脚本】  高橋麻紀  山浦雅大坪井敏雄  平野俊一  大澤祐樹高橋正尚  【協力プロデューサー】  加藤章一TBSテレビ  番組の内容と放送時間は変更になる場合があります。</t>
  </si>
  <si>
    <t>番組名金曜ドラマ「美男ですね」　第5話</t>
  </si>
  <si>
    <t>瀧本美織   玉森裕太（Kis－My－Ft2）   藤ヶ谷太輔（Kis－My－Ft2）   八乙女光（Hey！Say！JUMP）     小嶋陽菜（AKB48）   六角精児   山崎樹範   清水優     楽しんご   能世あんな  高橋真依子  葵  愛純もえり    片瀬那奈  井森美幸  柳沢慎吾  高嶋政伸  萬田久子ついに動き出した勇気の切ない思い…。いよいよ4人の恋は本格的に燃え上がる！！そして、傷ついた廉の心に灯をともす、美男の行動とは…。女のジェラシー全開で美男を追い詰めるNANAに、美男絶対絶命の大ピンチ！！キラキラした夏の青春アリ！親子の深い愛アリ！やっぱり今年の夏は胸キュンしすぎて眠れない！？【音楽】  市川淳  michitomo  【原作】  韓国ドラマ  「美男(イケメン)ですね」(韓国SBS)    【脚本】  高橋麻紀  山浦雅大坪井敏雄  平野俊一  大澤祐樹高橋正尚  【協力プロデューサー】  加藤章一TBSテレビ  番組の内容と放送時間は変更になる場合があります。</t>
  </si>
  <si>
    <t>番組名金曜ドラマ「美男ですね」　第6話</t>
  </si>
  <si>
    <t>NANAの暴走するジェラシーは止まらない！！「廉に近づかないで！じゃなきゃ全部バラしてやる！」その言葉に行き場を失った美男は、迷惑をかけまいとA．N．JELLから姿を消すことに。胸が張り裂けそうな思いの美男は、最後の夜ーついに気持ちを抑えきれず、廉に愛の告白を…!?また柊は、渾身の愛で美男を抱きしめ宣言する…「俺の彼女です」！そして新たな恋敵!?香取慎吾の登場で、まさかの“トリプルシンゴ”結成！瀧本美織   玉森裕太（Kis－My－Ft2）   藤ヶ谷太輔（Kis－My－Ft2）   八乙女光（Hey！Say！JUMP）     小嶋陽菜（AKB48）  六角精児   山崎樹範   清水　優     楽しんご   能世あんな  高橋真依子  葵  愛純もえり    香取慎吾（SMAP）    片瀬那奈  井森美幸  柳沢慎吾  高嶋政伸   萬田久子【音楽】  市川淳  michitomo     【主題歌】  Kis－My－Ft2  「Everybody　Go」    【原作】  韓国ドラマ  「美男(イケメン)ですね」(韓国SBS)    【脚本】  高橋麻紀  山浦雅大坪井敏雄  平野俊一  大澤祐樹高橋正尚  【協力プロデューサー】  加藤章一TBSテレビ  番組の内容と放送時間は変更になる場合があります。</t>
  </si>
  <si>
    <t>番組名金曜ドラマ「美男ですね」　第7話</t>
  </si>
  <si>
    <t>“美男は女”ついに秘密が、A.N.JELLのメンバー全員にバレた！？真実を知り、困惑する勇気…絶対絶命の美男！一方、美男に想いを告白しようとする柊の想いが…ついに爆発する！抑えきれない柊の想いに美男は！？一人の女性として美男を想いはじめる勇気は…。そして「俺を好きになってもいい。許可してやる！」廉の言葉が美男の心に響き渡る！そんな中…美男と廉は兄弟！？…美男の出生の秘密が明らかになる！瀧本美織   玉森裕太（Kis－My－Ft2）   藤ヶ谷太輔（Kis－My－Ft2）   八乙女光（Hey！Say！JUMP）     小嶋陽菜（AKB48）   六角精児   山崎樹範   清水　優     楽しんご   能世あんな  高橋真依子  葵  愛純もえり    片瀬那奈  井森美幸  柳沢慎吾  高嶋政伸   萬田久子【音楽】  市川淳  michitomo     【主題歌】  Kis－My－Ft2  「Everybody　Go」    【原作】  韓国ドラマ  「美男(イケメン)ですね」(韓国SBS)    【脚本】  高橋麻紀  山浦雅大坪井敏雄  平野俊一  大澤祐樹高橋正尚  【協力プロデューサー】  加藤章一TBSテレビ  番組の内容と放送時間は変更になる場合があります。</t>
  </si>
  <si>
    <t>番組名金曜ドラマ「美男ですね」　第8話</t>
  </si>
  <si>
    <t>日本ドラマ初出演！韓国NO．1スター、チャン・グンソクがA．N．JELLに緊急参戦！史上最強！恋のライバルの猛アタックに照れる美男！アジア最強のグンソクスマイルに日本の女性ファン”キュン死”確実！さらに！「いい人で終わっちゃうって、一番悲しいパターンですね」NANAの一言が柊の心に火をつけた！そして…ついに美男へ決意の告白！その時廉と勇気は？原作を超える驚きの結末が待っている！恋の最終章突入！瀧本美織   玉森裕太（Kis－My－Ft2）   藤ヶ谷太輔（Kis－My－Ft2）   八乙女光（Hey！Say！JUMP）     小嶋陽菜（AKB48）  六角精児   山崎樹範   清水　優     楽しんご   能世あんな  高橋真依子  葵  愛純もえり    チャン・グンソク    片瀬那奈  井森美幸  柳沢慎吾  高嶋政伸   萬田久子【音楽】  市川淳  michitomo     【主題歌】  Kis－My－Ft2  「Everybody　Go」    【原作】  韓国ドラマ  「美男(イケメン)ですね」(韓国SBS)    【脚本】  高橋麻紀  山浦雅大坪井敏雄  平野俊一  大澤祐樹高橋正尚  【協力プロデューサー】  加藤章一TBSテレビ  番組の内容と放送時間は変更になる場合があります。</t>
  </si>
  <si>
    <t>番組名金曜ドラマ「美男ですね」　第9話</t>
  </si>
  <si>
    <t>「オレはお前が好きだ」廉の奇跡の告白から、美男と廉の距離は急接近！ 互いの気持ちを確認し合った2人は、ラブラブムード全開！しかし、2人を取り巻く残酷な過去が明らかになり…。「もう、お前の顔は見たくない…」廉から突きつけられた、あまりにも悲しい別れの言葉に美男は…。そんな中、柊が渾身の想いをぶつける！”絶対に譲れない！美男だけは”更に！勇気も美男に、秘め続けた愛を告白…ついに4人の恋は、最終章突入！瀧本美織   玉森裕太（Kis－My－Ft2）   藤ヶ谷太輔（Kis－My－Ft2）   八乙女光（Hey！Say！JUMP）     小嶋陽菜（AKB48）   六角精児   山崎樹範   清水　優     楽しんご   能世あんな  高橋真依子  葵  愛純もえり    片瀬那奈  井森美幸  柳沢慎吾  高嶋政伸   萬田久子【音楽】  市川淳  michitomo     【主題歌】  Kis－My－Ft2  「Everybody　Go」    【原作】  韓国ドラマ  「美男(イケメン)ですね」(韓国SBS)    【脚本】  高橋麻紀  ほか坪井敏雄  平野俊一  大澤祐樹高橋正尚  【協力プロデューサー】  加藤章一TBSテレビ  番組の内容と放送時間は変更になる場合があります。</t>
  </si>
  <si>
    <t>番組名金曜ドラマ「美男ですね」　第10話</t>
  </si>
  <si>
    <t>いよいよ最終話・前編！沖縄のエメラルドグリーンの海で、柊の最後の告白！「俺じゃ、廉の代わりになれないか」－そして、ついに登場！本物の美男が帰ってきた！自らの役目を終えたことを悟り、A．N．JELLから去っていく美子。更に、美子の母にさらなる真実が…。そして、廉との恋にも終わりの時が…！？“私はもう、廉さんのそばで笑えない…さようなら”ー原作にはないエピソードを交え、物語は衝撃の結末へ…。瀧本美織   玉森裕太（Kis－My－Ft2）   藤ヶ谷太輔（Kis－My－Ft2）   八乙女光（Hey！Say！JUMP）     小嶋陽菜（AKB48）   六角精児  山崎樹範  清水　優    楽しんご  能世あんな  高橋真依子  葵  愛純もえり    片瀬那奈  井森美幸  柳沢慎吾  高嶋政伸  萬田久子【音楽】  市川淳  michitomo     【主題歌】  Kis－My－Ft2  「Everybody　Go」    【原作】  韓国ドラマ  「美男(イケメン)ですね」(韓国SBS)    【脚本】  高橋麻紀  山浦雅大坪井敏雄  平野俊一  大澤祐樹【プロデューサー】  高橋正尚  【協力プロデューサー】  加藤章一TBSテレビ  番組の内容と放送時間は変更になる場合があります。</t>
  </si>
  <si>
    <t>番組名金曜ドラマ「美男ですね」　第11話</t>
  </si>
  <si>
    <t>ついに完結ー感動の最終話！日本ドラマ史上、空前の規模で描く感動のラストシーン！柊と勇気が見守る中で繰り広げられる…廉の最後の告白ー『美子！お前の姿が見たいんだ…許可してくれ』　美子と廉、二人の恋にハッピーエンドは訪れるのか！？さようならA．N．JELL…物語は、衝撃の結末へ…全ての謎が明らかに！！金曜10時ー日本中が、感動の涙に包まれる…。瀧本美織  玉森裕太（Kis－My－Ft2）  藤ヶ谷太輔（Kis－My－Ft2）  八乙女光（Hey！Say！JUMP）    小嶋陽菜（AKB48）  六角精児  山崎樹範  清水　優    北山宏光（Kis－My－Ft2）  楽しんご  能世あんな  高橋真依子  葵  愛純もえり  桜井聖  西村右    片瀬那奈  井森美幸  柳沢慎吾  高嶋政伸  萬田久子【音楽】  市川淳  michitomo     【主題歌】  Kis－My－Ft2  「Everybody　Go」    【原作】  韓国ドラマ  「美男(イケメン)ですね」(韓国SBS)    【脚本】  高橋麻紀  山浦雅大坪井敏雄  平野俊一  大澤祐樹【プロデューサー】  高橋正尚  【協力プロデューサー】  加藤章一TBSテレビ  番組の内容と放送時間は変更になる場合があります。</t>
  </si>
  <si>
    <t>1107_TBS_日21</t>
  </si>
  <si>
    <t>華和家の四姉妹</t>
  </si>
  <si>
    <t>番組名日曜劇場「華和家の四姉妹」　第1話</t>
  </si>
  <si>
    <t>柴門ふみの原作をドラマ化“華和家の四姉妹”は、未婚に離婚、婚活、彼氏ナシと、なぜか呪われた男運の四姉妹。その中でも、次女の竹美は、離婚を繰り返して出戻り、かつ3人の子持ちという“問題児”だった。  自分に正直に生きるがゆえに、いつも周囲から浮いてしまい、“恋多き魔性の女”“問題児”“悪魔”と呼ばれる竹美が、いつも笑えるトラブルを巻き起こす!?  華和竹美…観月ありさ  ☆  華和桜子…貫地谷しほり  華和うめ…川島海荷  ☆  華和藤子…吉瀬美智子  ☆  益子正三郎…加藤成亮（NEWS）  ☆  山根克彦…田中哲司  ☆  華和大悟…遠藤憲一  華和幸子…宮崎美子  ☆  【ゲスト】  ベッキー  神保悟志  木村文乃初回20分拡大【主題歌】  観月ありさ「星の果て」（avex tune）【原作】  『華和家の四姉妹』（講談社『モーニング』KC所載）柴門ふみ  【脚本】  清水友佳子http://www.tbs.co.jp/hanawake/  【プロデュース】  植田博樹  神戸明 (東宝映画)   【演出】  今井夏木東宝映画TBSテレビ  番組の内容と放送時間は変更になる場合があります。</t>
  </si>
  <si>
    <t>番組名日曜劇場「華和家の四姉妹」　第2話</t>
  </si>
  <si>
    <t>柴門ふみの原作をドラマ化“華和家の四姉妹”は、未婚に離婚、婚活、彼氏ナシと、なぜか呪われた男運の四姉妹。その中でも、次女の竹美は、離婚を繰り返して出戻り、かつ3人の子持ちという“問題児”だった。  自分に正直に生きるがゆえに、いつも周囲から浮いてしまい、“恋多き魔性の女”“問題児”“悪魔”と呼ばれる竹美が、いつも笑えるトラブルを巻き起こす!?華和竹美…観月ありさ  ☆  華和桜子…貫地谷しほり  華和うめ…川島海荷  ☆  華和藤子…吉瀬美智子  ☆  益子正三郎…加藤成亮（NEWS）  ☆  山根克彦…田中哲司  ☆  華和大悟…遠藤憲一  華和幸子…宮崎美子  ☆  【ゲスト】  東風万智子  鳥羽潤【主題歌】  観月ありさ「星の果て」（avex tune）【原作】  『華和家の四姉妹』（講談社『モーニング』KC所載）柴門ふみ  【脚本】  泉澤陽子http://www.tbs.co.jp/hanawake/【プロデュース】  植田博樹  神戸明 (東宝映画)   【演出】  吉田健東宝映画TBSテレビ  番組の内容と放送時間は変更になる場合があります。</t>
  </si>
  <si>
    <t>番組名日曜劇場「華和家の四姉妹」　第3話</t>
  </si>
  <si>
    <t>結婚することは大変だけど、結婚を続けることも大変。軽い浮気がママの怒りを買って離婚するハメになったパパだが、ママの本音は？しかし、そんなママに思いがけない悲劇がおそいかかる。華和竹美…観月ありさ    華和桜子…貫地谷しほり  華和うめ…川島海荷    華和藤子…吉瀬美智子    益子正三郎…加藤成亮（NEWS）    山根克彦…田中哲司    華和大悟…遠藤憲一  華和幸子…宮崎美子    【ゲスト】  神山繁【主題歌】  観月ありさ「星の果て」（avex tune）【原作】  『華和家の四姉妹』（講談社『モーニング』KC所載）柴門ふみ  【脚本】  清水友佳子http://www.tbs.co.jp/hanawake/【プロデュース】  植田博樹  神戸明 (東宝映画)   【演出】  今井夏木東宝映画TBSテレビ  番組の内容と放送時間は変更になる場合があります。</t>
  </si>
  <si>
    <t>番組名日曜劇場「華和家の四姉妹」　第4話</t>
  </si>
  <si>
    <t>ママがいつも見ていた家族の風景は何だったのだろう？ママを失った四姉妹の心はバラバラに   自暴自棄になった四女・うめに危機が襲いかかる。そんなうめをバラバラになった四姉妹は助けることが出来るのか？華和竹美…観月ありさ    華和桜子…貫地谷しほり  華和うめ…川島海荷    華和藤子…吉瀬美智子    益子正三郎…加藤成亮（NEWS）    山根克彦…田中哲司    華和大悟…遠藤憲一  華和幸子…宮崎美子    【ゲスト】  神山繁【主題歌】  観月ありさ「星の果て」（avex tune）【原作】  『華和家の四姉妹』（講談社『モーニング』KC所載）柴門ふみ  【脚本】  清水友佳子http://www.tbs.co.jp/hanawake/【プロデュース】  植田博樹  神戸明 (東宝映画)   【演出】  吉田健東宝映画TBSテレビ  番組の内容と放送時間は変更になる場合があります。</t>
  </si>
  <si>
    <t>番組名日曜劇場「華和家の四姉妹」　第5話</t>
  </si>
  <si>
    <t>今の竹美の強さには、過去の大きな心の傷が影響している。その傷を癒すことが出来る男はいったい誰なのか？そして魔性の男・正三郎の本当の狙いとは？！華和竹美…観月ありさ  ☆  華和桜子…貫地谷しほり  華和うめ…川島海荷  ☆  華和藤子…吉瀬美智子  ☆  益子正三郎…加藤成亮（NEWS）  ☆  秋元太一…石黒賢  ☆  山根克彦…田中哲司  ☆  華和大悟…遠藤憲一  華和幸子…宮崎美子【主題歌】  観月ありさ「星の果て」（avex tune）【原作】  『華和家の四姉妹』（講談社『モーニング』KC所載）柴門ふみ  【脚本】  関えり香http://www.tbs.co.jp/hanawake/  【プロデュース】  植田博樹  神戸明    【演出】  武藤淳東宝映画TBSテレビ  番組の内容と放送時間は変更になる場合があります。</t>
  </si>
  <si>
    <t>番組名日曜劇場「華和家の四姉妹」　第6話</t>
  </si>
  <si>
    <t>最愛の幸子ママを亡くした華和家。大悟パパは姿を消してしまい、四姉妹はそれぞれの問題を抱えたまま心がすれ違い、バラバラに・・・そして竹美の前に突如現れた、元夫・山根の秘書、綾子。山根と綾子の関係は？  女の敵は女・・・女同士の戦いを制するものが、恋愛を制す！竹美の号泣の理由は？華和竹美…観月ありさ  ☆  華和桜子…貫地谷しほり  華和うめ…川島海荷  ☆  華和藤子…吉瀬美智子  ☆  益子正三郎…加藤成亮（NEWS）  ☆  秋元太一…石黒賢  ☆  山根克彦…田中哲司  ☆  華和幸子…宮崎美子  ☆    【ゲスト】  葛山信吾  渡部豪太【主題歌】  観月ありさ「星の果て」（avex tune）【原作】  『華和家の四姉妹』（講談社『モーニング』KC所載）柴門ふみ  【脚本】  泉澤陽子http://www.tbs.co.jp/hanawake/  【プロデュース】  植田博樹  神戸明  【演出】  武藤淳東宝映画TBSテレビ  番組の内容と放送時間は変更になる場合があります。</t>
  </si>
  <si>
    <t>番組名日曜劇場「華和家の四姉妹」　第7話</t>
  </si>
  <si>
    <t>号泣する竹美の前に現れた正三郎。それを目撃する桜子   姉妹がライバルという複雑な恋の三角関係が動き出す。そして長女・藤子は元上司であり以前関係のあった秋元との再会で心が揺らぐも、『結婚』という肩書きを手に入れるため、取材先で知り合った外科医の小野寺と婚約を決意する。華和竹美…観月ありさ  ☆  華和桜子…貫地谷しほり  華和うめ…川島海荷  ☆  華和藤子…吉瀬美智子  ☆  益子正三郎…加藤成亮（NEWS）  ☆  秋元太一…石黒賢  ☆  山根克彦…田中哲司  ☆  華和大悟…遠藤憲一  ☆  【ゲスト】  葛山信吾【主題歌】  観月ありさ「星の果て」（avex tune）【原作】  『華和家の四姉妹』（講談社『モーニング』KC所載）柴門ふみ  【脚本】  関えり香http://www.tbs.co.jp/hanawake/【プロデュース】  植田博樹  神戸明 (東宝映画)   【演出】  今井夏木東宝映画TBS  18：55～『女子バレーボールワールドグランプリ2011「日本vsロシア」』が延長になった場合、番組開始時間が変更になる可能性があります。</t>
  </si>
  <si>
    <t>番組名日曜劇場「華和家の四姉妹」　第8話</t>
  </si>
  <si>
    <t>元夫の山根から、再婚相手との間に子供が出来たと告げられた竹美。しかも、竹美の子供達とは成人するまで会わないと言われてしまう。最後にパパとの最高の思い出を作って欲しいとお願いした竹美は、約束の当日、子供たちと遊園地の前で待っていた。しかし、そこに現れたのは……。  父・大悟は娘たちに冷たくされながらも、最愛の亡き妻・幸子の大切なモノを守るため、華和家に戻ることを決意する。華和竹美…観月ありさ  ☆  華和桜子…貫地谷しほり  華和うめ…川島海荷  ☆  華和藤子…吉瀬美智子  ☆  益子正三郎…加藤成亮（NEWS）  ☆  秋元太一…石黒賢  ☆  山根克彦…田中哲司  ☆  華和大悟…遠藤憲一  ☆  【ゲスト】  葛山信吾  渡部豪太  田島令子【主題歌】  観月ありさ「星の果て」（avex tune）【原作】  『華和家の四姉妹』（講談社『モーニング』KC所載）柴門ふみ  【脚本】  関えり香http://www.tbs.co.jp/hanawake/【プロデュース】  植田博樹  神戸明 (東宝映画)   【演出】  武藤淳東宝映画TBS  17：30～放送の、「世界陸上」が延長になった場合、放送時間が変更になる可能性があります。</t>
  </si>
  <si>
    <t>番組名日曜劇場「華和家の四姉妹」　第9話</t>
  </si>
  <si>
    <t>涙のキスをした竹美と正三郎。桜子への裏切りだとわかっていても、気持ちをストレートにぶつけてくる正三郎に戸惑う竹美。一方桜子も正三郎との二人の関係に苦悩する。しかし、竹美は最初の旦那から、プロポーズされたことで大阪へ行くことをあっさり決意する。藤子は秋元への気持ちに気づき想いを伝えようとした矢先に事件が起きる。そんな最中、大悟が倒れたという連絡を受け、四姉妹は大悟の元へ走るのだが…。華和竹美…観月ありさ  ☆  華和桜子…貫地谷しほり  華和うめ…川島海荷  ☆  華和藤子…吉瀬美智子  ☆  益子正三郎…加藤成亮（NEWS）  ☆  秋元太一…石黒賢  ☆  山根克彦…田中哲司  ☆  華和大悟…遠藤憲一  ☆  【ゲスト】  山口智充  渡部豪太【主題歌】  観月ありさ「星の果て」（avex tune）【原作】  『華和家の四姉妹』（講談社『モーニング』KC所載）柴門ふみ  【脚本】  泉澤陽子http://www.tbs.co.jp/hanawake/【プロデュース】  植田博樹  神戸明 (東宝映画)   【演出】  今井夏木東宝映画TBS  番組の内容と放送時間は変更になる場合があります。</t>
  </si>
  <si>
    <t>番組名日曜劇場「華和家の四姉妹」　第10話</t>
  </si>
  <si>
    <t>大悟パパが倒れ、四姉妹は不安な日々を過ごす。倒れる前、大悟と正三郎がなぜ一緒にいたのかが気になって仕方ない桜子。大悟が桜子についたやさしい嘘は桜子の心に届くのか？  竹美も家族のため、華和家を去る決意をする。それは、最初の夫・なべやんと結婚し大阪へついて行くというのだが   。  そんな最中、大悟の借金が発覚し、家を売却すること！家族バラバラになった華和家が窮地に追いやられる。華和竹美…観月ありさ  ☆  華和桜子…貫地谷しほり  華和うめ…川島海荷  ☆  華和藤子…吉瀬美智子  ☆  益子正三郎…加藤成亮（NEWS）  ☆  山根克彦…田中哲司  ☆  華和大悟…遠藤憲一  華和幸子…宮崎美子  ☆【主題歌】  観月ありさ「星の果て」（avex tune）【原作】  『華和家の四姉妹』（講談社『モーニング』KC所載）柴門ふみ  【脚本】  清水友佳子http://www.tbs.co.jp/hanawake/【プロデュース】  植田博樹  神戸明 (東宝映画)   【演出】  今井夏木東宝映画TBS  番組の内容と放送時間は変更になる場合があります。</t>
  </si>
  <si>
    <t>番組名日曜劇場「華和家の四姉妹」　第11話</t>
  </si>
  <si>
    <t>華和家は人手に渡り、マンションに建て替えられることが決まった。家族全員がそれぞれの道を歩み始めていた。竹美は大悟と共に見知らぬ土地で新生活をスタートさせ、藤子は秋元が辞めてしまった講談社で編集長に大抜擢された。桜子は正三郎との別れ、ひとりで生きる道を選んでいた。そしてうめは家族に届けと大作を作り上げたが、思いは虚しく家族はバラバラになってしまった。そんな華和家に再び笑顔が戻ることはあるのだろうか？華和竹美…観月ありさ  ☆  華和桜子…貫地谷しほり  華和うめ…川島海荷  ☆  華和藤子…吉瀬美智子  ☆  益子正三郎…加藤成亮（NEWS）  ☆  秋元太一…石黒賢  ☆  山根克彦…田中哲司  ☆  華和大悟…遠藤憲一  華和幸子…宮崎美子  ☆  【ゲスト】  若林豪【主題歌】  観月ありさ「星の果て」（avex tune）【原作】  『華和家の四姉妹』（講談社『モーニング』KC所載）柴門ふみ  【脚本】  関えり香http://www.tbs.co.jp/hanawake/  【プロデュース】  植田博樹  神戸明  【演出】  今井夏木東宝映画TBS  番組の内容と放送時間は変更になる場合があります。</t>
  </si>
  <si>
    <t>1104_TBS_金22</t>
  </si>
  <si>
    <t>生まれる。</t>
  </si>
  <si>
    <t>番組名金曜ドラマ「生まれる。」　第1話</t>
  </si>
  <si>
    <t>一見、どこにでもいそうな普通の家族。  ところが、父親である新平が急死し、状況は一変する。突然の夫の死で途方に暮れる愛子…。  そんな母親を見て、愛美は家族を懸命に支えようとするが、それぞれの立場で勝手な意見を言う兄弟たちとぶつかる。  父親の死の悲しみも癒えぬ中、愛美は愛子から突然妊娠したと告げられる…。林田愛美…堀北真希   林田太一…大倉忠義 (関ジャニ∞)   林田浩二…中島健人 (ジャニーズ Jr．)   林田美子…竹富聖花　  内田留美…西村知美  大川洋一…鈴木亮平  中野瑛太…斎藤歩  小池春馬…淵上泰史  林田新平…三宅裕司（特別出演）  長澤剛…金田明夫  水川真帆…酒井若菜   国木美和…戸田恵子   近藤卓巳…大杉漣   林田愛子…田中美佐子 鈴木おさむ金子文紀鈴木早苗番組の内容と放送時間は変更になる場合があります。</t>
  </si>
  <si>
    <t>番組名金曜ドラマ「生まれる。」　第2話</t>
  </si>
  <si>
    <t>中絶しに行った愛子が心配になり、様子を見に行った愛美だが、母親の様子がおかしいのが気になる。  太一は本当の父親である中野に付きまとわれ、お金を渡すこととなる。さらに姉が自分たちが兄弟でないことを知っているのではないかと不信感を持つ。  ある日、愛子が切迫流産となり、愛美は中絶していなかったことを知り、兄弟たちは母の入院の理由を知りたがる。愛美はとっさに腫瘍ができたと嘘をつくのだが・・・。林田愛美…堀北真希   林田太一…大倉忠義 (関ジャニ∞)   林田浩二…中島健人 (ジャニーズ Jr．)   林田美子…竹富聖花   内田留美…西村知美  大川洋一…鈴木亮平  中野瑛太…斎藤歩  小池春馬…淵上泰史  水川真帆…酒井若菜   国木美和…戸田恵子   近藤卓巳…大杉漣   林田愛子…田中美佐子 鈴木おさむ金子文紀鈴木早苗番組の内容と放送時間は変更になる場合があります。</t>
  </si>
  <si>
    <t>番組名金曜ドラマ「生まれる。」　第3話</t>
  </si>
  <si>
    <t>太一と一緒にいた男・中野の言動にに不安が募る愛美。さらに子供を産む覚悟を決めた愛子のことも気がかりだ。  仕事では、卵子提供によって妊娠した下着メーカー社長の川上を取材することになる愛美。しかし彼女の自分勝手な言い分に納得がいかない。プライベートでは愛子が子供達に妊娠したことを告げる。産むことに賛成したのは、次男・浩二だけだった。そんな中、愛美の目の前で川上が倒れてしまう。林田愛美…堀北真希   林田太一…大倉忠義 (関ジャニ∞)   林田浩二…中島健人 (ジャニーズ Jr．)   林田美子…竹富聖花　  内田留美…西村知美  大川洋一…鈴木亮平  中野瑛太…斎藤歩  小池春馬…淵上泰史  川上千恵…若村麻由美  水川真帆…酒井若菜   国木美和…戸田恵子   近藤卓巳…大杉漣   林田愛子…田中美佐子 鈴木おさむ武藤淳鈴木早苗http://www.tbs.co.jp/umareru2011/  番組の内容と放送時間は変更になる場合があります。</t>
  </si>
  <si>
    <t>番組名金曜ドラマ「生まれる。」　第4話</t>
  </si>
  <si>
    <t>卵子提供で子供を産んだ川上(若村麻由美) を取材することで、生まれてくる「命」について改めて気づかされた愛美(堀北真希) は、母・愛子(田中美佐子)の出産に、反対していた自分の気持ちに迷いが生じ始めるー。  愛美は、社長の長澤 (金田明夫) から「高年齢出産」の出版本に関して「羊水検査」 について掘り下げることを懇願され、妊娠中の北条（浅香唯）達に取材することになるのだ  が…。林田愛美…堀北真希   林田太一…大倉忠義    林田浩二…中島健人   林田美子…竹富聖花　  内田留美…西村知美  大川洋一…鈴木亮平  中野瑛太…斎藤歩  小池春馬…淵上泰史  北条仁美…浅香唯  八坂知子…生稲晃子  鶴野理子…伊藤つかさ  寺田一朗…きたろう  沢田隆…ムロツヨシ  長澤剛…金田明夫  水川真帆…酒井若菜   国木美和…戸田恵子   近藤卓巳…大杉漣   林田愛子…田中美佐子 鈴木おさむ吉田秋生鈴木早苗番組の内容と放送時間は変更になる場合があります。</t>
  </si>
  <si>
    <t>番組名金曜ドラマ「生まれる。」　第5話</t>
  </si>
  <si>
    <t>羊水検査を受けることに決めた愛子（田中美佐子）だが、留美（西村知美）に妊娠していることがばれてしまう。  愛美（堀北真希）は、浩二（中島健人）に呼び出され、PANNTENの客・丸子とその弟・萌生（ほうせい）と遊ぶことになる。ダウン症である萌生と、その母・沙紀（西田ひかる）と触れ合ううちに、愛美は自分の気持ちが分からなくなる。  太一（大倉忠義）は真帆（酒井若菜）の気持ちを考えない小池に対し、ついにー。林田愛美…堀北真希   林田太一…大倉忠義   林田浩二…中島健人  林田美子…竹富聖花　  内田留美…西村知美  大川洋一…鈴木亮平  中野瑛太…斎藤歩  小池春馬…淵上泰史  沢田隆…ムロツヨシ  寺田一朗…きたろう  西嶋沙紀…西田ひかる  長澤剛…金田明夫  水川真帆…酒井若菜   国木美和…戸田恵子   近藤卓巳…大杉漣   林田愛子…田中美佐子 鈴木おさむ吉田秋生鈴木早苗番組の内容と放送時間は変更になる場合があります。</t>
  </si>
  <si>
    <t>番組名金曜ドラマ「生まれる。」　第6話</t>
  </si>
  <si>
    <t>ダウン症の子供・西嶋萌生（高井萌生）と一緒に過ごすことにより、愛美（堀北真希）の心は大きく揺さぶられ、羊水検査を受けることを愛子（田中美佐子）に進めた自分を後悔し始めるー。そして何かが吹っ切れた愛美は、それまで反対だった愛子の妊娠についても、出来る限り応援するということを愛子に伝えるー。一番の理解者である、長女の愛美からの応援を、愛子は素直に喜んだー。しかし、愛子には気がかりなことが…林田愛美…堀北真希   林田太一…大倉忠義 (関ジャニ∞)   林田浩二…中島健人 (ジャニーズ Jr．)   林田美子…竹富聖花　  内田留美…西村知美  大川洋一…鈴木亮平  中野瑛太…斎藤歩  小池春馬…淵上泰史  西嶋丸子…宮武祭  西嶋萌生…高井萌生  寺田一朗…きたろう  長澤剛…金田明夫  水川真帆…酒井若菜   国木美和…戸田恵子   近藤卓巳…大杉漣   林田愛子…田中美佐子鈴木おさむ金子文紀鈴木早苗番組の内容と放送時間は変更になる場合があります。</t>
  </si>
  <si>
    <t>番組名金曜ドラマ「生まれる。」　第7話</t>
  </si>
  <si>
    <t>自分が養子であることを愛美 (堀北真希) に告げた太一 (大倉忠義)。そんな太一を愛子 (田中美佐子) と愛美が必死に説得するが、太一は家を出て行ってしまう。そして太一が向かった先は中野 (斎藤歩) が待つとある場所だった。そこで太一に与えられた新しい仕事、その怪しい内容に太一は戸惑いを隠せないが、言うとおりにするしかなく…。そんな中、浩二（中島健人）をも予想だにしない悲劇が襲う…。林田愛美…堀北真希   林田太一…大倉忠義 (関ジャニ∞)   林田浩二…中島健人 (ジャニーズ Jr．)   林田美子…竹富聖花　  内田留美…西村知美  大川洋一…鈴木亮平  中野瑛太…斎藤歩  小池春馬…淵上泰史  林田新平…三宅裕司（特別出演）  長澤剛…金田明夫  水川真帆…酒井若菜   国木美和…戸田恵子   近藤卓巳…大杉漣   林田愛子…田中美佐子 鈴木おさむ金子文紀鈴木早苗番組の内容と放送時間は変更になる場合があります。</t>
  </si>
  <si>
    <t>番組名金曜ドラマ「生まれる。」　第8話</t>
  </si>
  <si>
    <t>浩二 (中島健人) の白血病が再発し、その事実を一人知ってしまった愛美 (堀北真希)。母である愛子 (田中美佐子) のことを気遣う浩二は、再発の事実を口外しないことを愛美に懇願するが、愛美は悩みに悩んだ末、浩二を説得し、愛子に再発の事実を告げる選択をするー。そして愛美によって告げられた、浩二の白血病再発の事実ー。そのことを知った愛子は浩二の前では気丈に振舞っていたが…林田愛美…堀北真希   林田太一…大倉忠義 (関ジャニ∞)   林田浩二…中島健人 (ジャニーズ Jr．)   林田美子…竹富聖花　  内田留美…西村知美  大川洋一…鈴木亮平  中野瑛太…斎藤歩  小池春馬…淵上泰史  林田新平…三宅裕司（特別出演）  長澤剛…金田明夫  水川真帆…酒井若菜   国木美和…戸田恵子   近藤卓巳…大杉漣   林田愛子…田中美佐子 鈴木おさむ金子文紀鈴木早苗番組の内容と放送時間は変更になる場合があります。</t>
  </si>
  <si>
    <t>番組名金曜ドラマ「生まれる。」　第9話</t>
  </si>
  <si>
    <t>白血病の合併症を引き起こし、生死の境を彷徨う 浩二 (中島健人)。  そんな状況の中、愛美 (堀北真希) の必死の説得、そして浩二の絶体絶命の状態を聞いた長男の 太一 (大倉忠義) が駆けつけ、やっと全員が揃った林田家であったが浩二の容態は刻一刻と悪くなり…。  そんな状況下、愛美は自らがチーフを務める 「 高年齢出産 」 の本の出版が佳境を迎え、何とか気持ちを切り替えようと仕事に邁進するー。林田愛美…堀北真希   林田太一…大倉忠義 (関ジャニ∞)   林田浩二…中島健人 (ジャニーズ Jr．)   林田美子…竹富聖花　  内田留美…西村知美  大川洋一…鈴木亮平  中野瑛太…斎藤歩  小池春馬…淵上泰史  林田新平…三宅裕司（特別出演）  長澤剛…金田明夫  水川真帆…酒井若菜   国木美和…戸田恵子   近藤卓巳…大杉漣   林田愛子…田中美佐子 鈴木おさむ金子文紀鈴木早苗番組の内容と放送時間は変更になる場合があります。</t>
  </si>
  <si>
    <t>番組名金曜ドラマ「生まれる。」　第10話</t>
  </si>
  <si>
    <t>林田愛美…堀北真希   林田太一…大倉忠義 (関ジャニ∞)   林田浩二…中島健人 (ジャニーズ Jr．)   林田美子…竹富聖花　  内田留美…西村知美  大川洋一…鈴木亮平  中野瑛太…斎藤歩  小池春馬…淵上泰史  林田新平…三宅裕司（特別出演）  長澤剛…金田明夫  水川真帆…酒井若菜   国木美和…戸田恵子   近藤卓巳…大杉漣   林田愛子…田中美佐子 愛子 (田中美佐子) のお腹にある命が産声をあげようとしていた。しかし愛子は切迫早産の可能性があり、緊張状態が続くー。  愛美 (堀北真希) を中心とした林田家は、そんな愛子のためにそれぞれが必死に林田家を支えていたー。  そして、愛子にはこれから生まれてくる“命”ともう一つ、今そこにある“命”が託されていたー それは、浩二 (中島健人) を救う唯一の希望である「臍帯血移植」。一旦は峠を越えたものの、浩二の状態は予断を許さない状況であることには変わりなく、そんな時再び浩二を襲う病魔の影…。  そんな中ついに愛子の陣痛が始まったー。  鈴木おさむ金子文紀鈴木早苗番組の内容と放送時間は変更になる場合があります。</t>
  </si>
  <si>
    <t>1101_TBS_金22</t>
  </si>
  <si>
    <t>LADY</t>
  </si>
  <si>
    <t>番組名金曜ドラマ「LADY～最後の犯罪プロファイル～」　第1話</t>
  </si>
  <si>
    <t>連続一家殺人事件発生。夫妻が惨殺され、子供はいずれも行方不明。この事件の捜査要請を受け、警視庁に新設された犯罪行動分析室＝CPSのプロファイラーたちが犯人の頭の中を覗き込む。しかし、犯人に辿り着く前に次々と被害者が出てしまう。犯人の妄想・動機＝ファンタジーは一体何なのか？初回2時間15分スペシャル。北川景子  木村多江  平岡祐太  要潤  小澤征悦  竹中直人  須藤理彩  ユースケ・サンタマリア「無形スピリット」柴咲コウ  （NAYUTAWAVE RECORDS）【音楽プロデューサー】  志田博英荒井修子平野俊一津留正明  渡辺良介（大映テレビ）http://www.tbs.co.jp/LADY_cps/  TBSテレビ  番組の内容と放送時間は変更になる場合があります。</t>
  </si>
  <si>
    <t>番組名金曜ドラマ「LADY～最後の犯罪プロファイル～」　第2話</t>
  </si>
  <si>
    <t>連続ストーカー殺人事件発生。遺体は赤いダッフルコートを着せられ、クローゼットに吊るされていた。事件現場に残された半分に引き裂かれたぬいぐるみ…。犯人のファンタジー（動機・妄想）は一体何なのか？次の被害者が出る前に犯人に辿り着きたい翔子（北川景子）たちだが、CPSは意見が合わず別々にプロファイリングすることに。プロファイラーとしてのプライドがぶつかりあい、 バラバラになってしまうCPS。  北川景子  木村多江  平岡祐太  要潤  小澤征悦  須藤理彩  ユースケ・サンタマリア　  塚地武雅（ドランクドラゴン）  佐藤江梨子「無形スピリット」柴咲コウ  （NAYUTAWAVE RECORDS）【音楽プロデューサー】  志田博英渡辺雄介山本剛義津留正明  渡辺良介（大映テレビ）見逃した方ももう1度ご覧になりたい方も！「LADY」ダイジェスト映像配信をお楽しみください！詳しくはこちら！⇒  http://www.tbs.co.jp/LADY_cps/   TBSテレビ  番組の内容と放送時間は変更になる場合があります。</t>
  </si>
  <si>
    <t>番組名金曜ドラマ「LADY～最後の犯罪プロファイル～」　第3話</t>
  </si>
  <si>
    <t>寺田（要潤）の法医学時代の恩師、三宅の娘が殺されたと知り、寺田は知り合いということを隠して神奈川県警に事件解決の協力を申し出る。なんとか捜査協力が認められたものの、CPSのことをよく思わない神奈川県警は事件の情報をおろしてくれない。焦るCPS。そんな時、聞き込みをする寺田の前で重要参考人が・・・。翔子たちは犯人のファンタジーを見つけ、事件を解決することができるのか？北川景子  木村多江  平岡祐太  要潤  小澤征悦  須藤理彩  ユースケ・サンタマリア　  片岡鶴太郎  長谷川朝晴  小木茂光  (他)「無形スピリット」柴咲コウ  （NAYUTAWAVE RECORDS）【音楽プロデューサー】  志田博英徳永友一  今井夏木  津留正明  渡辺良介（大映テレビ）見逃した方ももう1度ご覧になりたい方も！「LADY」ダイジェスト映像配信をお楽しみください！詳しくはこちら！⇒  http://www.tbs.co.jp/LADY_cps/   TBSテレビ番組の内容と放送時間は変更になる場合があります。</t>
  </si>
  <si>
    <t>番組名金曜ドラマ「LADY～最後の犯罪プロファイル～」　第4話</t>
  </si>
  <si>
    <t>CPS（犯罪行動分析室）の元に死刑囚・巽からの面談の申し込みが入る。巽は日本中を震撼させた少年犯罪者。しかし、この面談は巽が翔子に会うために仕組んだものだった。翔子の過去を穿り返す巽…。そんな中、現在捜査一課が捜査している殺人事件の次の犯行を巽は予測してしまう。巽は犯人を知っているのか？犯人を操っているのか？これ以上巽に頭の中を覗かれたくない翔子だったが、事件解決のため、再び巽に会いに行く。北川景子  木村多江  平岡祐太  要潤  小澤征悦  竹中直人  須藤理彩  ユースケ・サンタマリア  柳楽優弥  (他)「無形スピリット」柴咲コウ  （NAYUTAWAVE RECORDS）【音楽プロデューサー】  志田博英徳永友一平野俊一津留正明  渡辺良介（大映テレビ）見逃した方ももう1度ご覧になりたい方も！「LADY」ダイジェスト映像配信をお楽しみください！詳しくはこちら！⇒  http://www.tbs.co.jp/LADY_cps/   TBSテレビ番組の内容と放送時間は変更になる場合があります。</t>
  </si>
  <si>
    <t>番組名金曜ドラマ「LADY～最後の犯罪プロファイル～」　第5話</t>
  </si>
  <si>
    <t>巽との面談を終え、事件も解決した矢先、誘拐事件が発生する。犯人の要求は「巽の犯行を全て明らかにすること」。自分はまだ明らかにされていない巽の犯行の被害者遺族だと言うのだ。誘拐された少女を救うため、翔子たちCPSは再び巽の元へと向かう。  そしてついに巽の頭の中を覗くが…。生まれながらのモンスターと自称する巽のファンタジーが明らかになる。北川景子  木村多江  平岡祐太  要潤  小澤征悦  竹中直人  須藤理彩  ユースケ・サンタマリア  柳楽優弥  哀川翔  (他)「無形スピリット」柴咲コウ  （NAYUTAWAVE RECORDS）【音楽プロデューサー】  志田博英荒井修子山本剛義津留正明  渡辺良介（大映テレビ）http://www.tbs.co.jp/LADY_cps/見逃した方ももう1度ご覧になりたい方も！「LADY」ダイジェスト映像配信をお楽しみください！詳しくはこちら！⇒  http://www.tbs.co.jp/LADY_cps/   TBSテレビ番組の内容と放送時間は変更になる場合があります。</t>
  </si>
  <si>
    <t>番組名金曜ドラマ「LADY～最後の犯罪プロファイル～」　第6話</t>
  </si>
  <si>
    <t>裁判所へ移送中の容疑者が脱走！プロファイリングで犯人の居場所を突き止めようとする翔子たちは、脱走犯の人間像から犯人の行動を予測しようとするが、新堀は一人目撃情報などのデータのみで行動予測を試みる。その結果、一人の警官が犠牲になってしまう。自分のミスを取り戻そうと考えた新堀は、誰の力も借りずに脱走犯を探しに出る。そして居場所を突き止めた新堀の前に、脱走犯38号が立ちはだかり、新堀に命の危険が迫る！北川景子  木村多江  平岡祐太  要潤  小澤征悦  須藤理彩  ユースケ・サンタマリア　  忍成修吾  紺野まひる  (他)「無形スピリット」柴咲コウ  （NAYUTAWAVE RECORDS）【音楽プロデューサー】  志田博英渡辺雄介今井夏木津留正明  渡辺良介（大映テレビ）見逃した方ももう1度ご覧になりたい方も！「LADY」ダイジェスト映像配信をお楽しみください！詳しくはこちら！⇒  http://www.tbs.co.jp/LADY_cps/   http://www.tbs.co.jp/LADY_cps/  TBSテレビ番組の内容と放送時間は変更になる場合があります。</t>
  </si>
  <si>
    <t>番組名金曜ドラマ「LADY～最後の犯罪プロファイル～」　第7話</t>
  </si>
  <si>
    <t>5年前に柘植が捜査を担当していた誘拐監禁殺人事件。犯人グループ4人に女性3人が殺害され、一人しか救出できなかった。事件から5年、現在も逃亡していた犯人3人が次々と射殺体として発見される。凶器は、5年前に紛失した柘植の銃。柘植から失われた事件当時の記憶…。  本当に柘植が殺したのだろうか？警察を離れ、一人真犯人を探す柘植。CPSは柘植の5年前の真実を明らかにするべく、柘植のプロファイリングを始める。北川景子  木村多江  平岡祐太  要潤  小澤征悦  竹中直人  須藤理彩  ユースケ・サンタマリア  市川由衣  井坂俊哉  (他)「無形スピリット」柴咲コウ  （NAYUTAWAVE RECORDS）【音楽プロデューサー】  志田博英渡辺雄介平野俊一津留正明  渡辺良介（大映テレビ）見逃した方ももう1度ご覧になりたい方も！「LADY」ダイジェスト映像配信をお楽しみください！詳しくはこちら！⇒  http://www.tbs.co.jp/LADY_cps/   http://www.tbs.co.jp/LADY_cps/  TBSテレビ  番組の内容と放送時間は変更になる場合があります。</t>
  </si>
  <si>
    <t>番組名金曜ドラマ「LADY～最後の犯罪プロファイル～」　第8話</t>
  </si>
  <si>
    <t>北川景子  木村多江  平岡祐太  要潤  小澤征悦  須藤理彩  ユースケ・サンタマリア  戸次重幸  遠藤要  久世星佳  (他)映画祭に届いた映画の予告のような犯行予告映像。それは、本物の犯行を映した映像だった。映っている3人の女性の内2人は遺体となって発見されていたが、最後の1人は1ヶ月前に行方不明になっていた。しかし犯人は1年前に逮捕されている。翔子たちは冤罪を晴らそうと真犯人のプロファイリングを進める。被害者女性の特徴と合致しているマリエ（須藤理彩）が囮となり、犯人をおびき出そうとする。しかし、その捜査でマリエは犯人に襲われてしまう…。自分のせいだと責める翔子…。「無形スピリット」柴咲コウ  （NAYUTAWAVE RECORDS）【音楽プロデューサー】  志田博英徳永友一今井夏木津留正明  渡辺良介（大映テレビ）見逃した方ももう1度ご覧になりたい方も！「LADY」ダイジェスト映像配信をお楽しみください！詳しくはこちら！⇒  http://www.tbs.co.jp/LADY_cps/   http://www.tbs.co.jp/LADY_cps/  TBSテレビ  番組の内容と放送時間は変更になる場合があります。</t>
  </si>
  <si>
    <t>番組名金曜ドラマ「LADY～最後の犯罪プロファイル～」　第9話</t>
  </si>
  <si>
    <t>真鍋理事官が殺され、妹を誘拐された翔子。電話の指示に従い、一人の男と出会う。その男が妹の居場所を知っているというのだが、その男は記憶を失くし、自分が誰かもわからなくなっていた。男の記憶をプロファイリングして記憶を甦らせ、妹の居場所を聞き出すというゲームを真犯人に提案される翔子。誰の手も借りず、警察にも捕まらずに行動するというルールの下、翔子は男と記憶を探す。しかし、その男は凶悪殺人犯だった！そして真犯人を操る黒幕・レディーキラーがついに姿を現す！北川景子  木村多江  平岡祐太  要潤  小澤征悦  須藤理彩  ユースケ・サンタマリア  風間俊介  池田鉄洋  鶴見辰吾  哀川翔  (他)「無形スピリット」柴咲コウ  （NAYUTAWAVE RECORDS）【音楽プロデューサー】  志田博英徳永友一平野俊一津留正明  渡辺良介（大映テレビ）見逃した方ももう1度ご覧になりたい方も！「LADY」ダイジェスト映像配信をお楽しみください！詳しくはこちら！⇒  http://www.tbs.co.jp/LADY_cps/   http://www.tbs.co.jp/LADY_cps/  TBSテレビ番組の内容と放送時間は変更になる場合があります。</t>
  </si>
  <si>
    <t>番組名金曜ドラマ「LADY～最後の犯罪プロファイル～」　第10話</t>
  </si>
  <si>
    <t>翔子の父・直也の死の真相をめぐって仲間割れしてしまうCPS。しかし、レディーキラーを前に、徐々にチームワークを取り戻していく。そして明らかになるレディーキラーの正体・・・。翔子は運命の敵・レディーキラーと戦うため、一人レディーキラーに会いに行く。翔子がたどり着いたレディーキラーのファンタジーとは？そして、父・直也の死の真相とは・・・？北川景子  木村多江  平岡祐太  要潤  小澤征悦  須藤理彩  ユースケ・サンタマリア  哀川翔  池田鉄洋  鶴見辰吾  (他)「無形スピリット」柴咲コウ  （NAYUTAWAVE RECORDS）【音楽プロデューサー】  志田博英徳永友一平野俊一津留正明  渡辺良介（大映テレビ）見逃した方ももう1度ご覧になりたい方も！「LADY」ダイジェスト映像配信をお楽しみください！詳しくはこちら！⇒  http://www.tbs.co.jp/LADY_cps/   TBSテレビ番組の内容と放送時間は変更になる場合があります。</t>
  </si>
  <si>
    <t>1101_TBS_日21</t>
  </si>
  <si>
    <t>冬のサクラ</t>
  </si>
  <si>
    <t>番組名日曜劇場「冬のサクラ」　第1話</t>
  </si>
  <si>
    <t>雪の降り積もる山形で、母親の介護をしながらガラス職人をしている男・稲葉祐（草ナギ剛）は、今まで一度も恋をしたことがなかった。雪の降り積もる山形に、一人旅に出た女・石川萌奈美（今井美樹）。彼女は"冬に咲くサクラ"を見るため旅をしていた。  母の介護だけがすべてだった男と、自分が誰かさえもわからなくなった女…静かに雪が降り積もる真っ白な世界で、運命の2人は出会った……。草ナギ剛   今井美樹   佐藤健   加藤ローサ   山崎樹範   でんでん   大島蓉子   白羽ゆり   吉田日出子   江波杏子   高嶋政伸「愛してるって言えなくたって」山下達郎TBSテレビ  番組の内容と放送時間は変更になる場合があります。</t>
  </si>
  <si>
    <t>番組名日曜劇場「冬のサクラ」　第2話</t>
  </si>
  <si>
    <t>萌奈美(今井美樹)の病状を知らされた祐(草ナギ剛)は、萌奈美に会って伝えたいという思いに駆られ、電話することに。だが、祐が会って欲しいと切り出すと…航一(高嶋政伸)の冷たい視線が気になり、すぐ電話を切ってしまった萌奈美。しかし祐は一刻も早く会って、病気のことを伝えたいという想いだけで東京に向かう…  一方記憶が戻った萌奈美は…姑・章子(江波杏子)の陰湿な言葉と、愛のない夫の態度に悩んでいた…草ナギ剛   今井美樹   佐藤健   加藤ローサ   山崎樹範   でんでん  大島蓉子   白羽ゆり  江波杏子   高嶋政伸「愛してるって言えなくたって」山下達郎TBSテレビ  番組の内容と放送時間は変更になる場合があります。</t>
  </si>
  <si>
    <t>番組名日曜劇場「冬のサクラ」　第3話</t>
  </si>
  <si>
    <t>山形に帰り、普段の生活に戻ろうとした祐(草ナギ剛)だが、どうしても萌奈美(今井美樹)のことが頭から離れず仕事も手につかない状態だった。東京の家族のもとで、日常の生活を取り戻そうとしている萌奈美は、病気のことを夫・航一(高嶋政伸)に話そうとしても忙しさを理由に取り合ってももらえず、孤独感に苛まれていた。一方、萌奈美の行動が腑に落ちないでいた航一は、山形での萌奈美の行動を調べ始める…草ナギ剛  今井美樹  佐藤健  加藤ローサ  山崎樹範  でんでん  大島蓉子  白羽ゆり  吉田日出子  江波杏子  高嶋政伸「愛してるって言えなくたって」山下達郎TBSテレビ  http://www.tbs.co.jp/fuyuno-sakura/  番組の内容と放送時間は変更になる場合があります。</t>
  </si>
  <si>
    <t>番組名日曜劇場「冬のサクラ」　第4話</t>
  </si>
  <si>
    <t>手術を受けるべきかどうか悩む萌奈美(今井美樹)は、残りの人生を自分自身の手で選び取ることを決心する。一方で、祐(草ナギ剛)は萌奈美のために上京することを決めていた。そんな時、萌奈美は、航一(高嶋政伸)と理恵(白羽ゆり)の策略で、単身山形に行く羽目になる。そして、偶然にも祐と再会するが、そこに突然航一が姿を現す… 。草ナギ剛  今井美樹  佐藤健  加藤ローサ  山崎樹範  でんでん  大島蓉子  白羽ゆり  遊井亮子  江波杏子  高嶋政伸「愛してるって言えなくたって」山下達郎TBSテレビ  番組の内容と放送時間は変更になる場合があります。吉田健</t>
  </si>
  <si>
    <t>番組名日曜劇場「冬のサクラ」　第5話</t>
  </si>
  <si>
    <t>草ナギ剛   今井美樹   佐藤健   加藤ローサ   山崎樹範   でんでん   大島蓉子   白羽ゆり   吉田日出子   江波杏子   高嶋政伸「大切なもののために生きたい」と、萌奈美(今井美樹)のそばで支えになるために上京を決意した祐(草ナギ剛)。祐を心配する肇(佐藤健)は、祐を自分のアパートに迎え入れることにする。一方、夫の病院（石川病院）へ検査に来なかったことを責められた萌奈美は、最後くらいは後悔しないよう、自分のことは自分で決めると、航一(高嶋政伸)に断言するが、航一は「妻としても娘の母親としても君は絶対に必要なんだ」といい、自分が必ず助けると萌奈美を説得する。脳外科の名医でもある航一の言葉に、一度決めた決心が揺さぶられる萌奈美…。後日、航一は祐の元を訪れると「萌奈美を助けたいなら」と、祐にある交換条件を提示してきた。そんなある日、萌奈美が「会いたい」と祐を呼び出す。手術を受けるか受けまいか、迷っている心情を打ち明ける萌奈美の言葉に、やりきれない想いで聞くことしかできない祐。と、そのとき、また萌奈美の容態が悪くなり……。「愛してるって言えなくたって」山下達郎TBSテレビ  番組の内容と放送時間は変更になる場合があります。</t>
  </si>
  <si>
    <t>番組名日曜劇場「冬のサクラ」　第6話</t>
  </si>
  <si>
    <t>萌奈美の気持ちを考え、二度と会わないことを条件に手術をしてもらえるよう航一に頼んだ祐。だが、手術をしても記憶を失うリスクは低いと言った航一の言葉はウソだった。  祐は、萌奈美の気持ちを想うがあまり航一の元へ向うが、そこで思いもかけない行動に   。手術をすれば全て解決すると不気味な笑みをを浮かべる航一…。  そして、祐の存在が、航一の家族も祐の弟も全てを不幸にしていると追い詰める。草ナギ剛   今井美樹   佐藤健   加藤ローサ   山崎樹範   でんでん   大島蓉子   白羽ゆり   吉田日出子   江波杏子   高嶋政伸「愛してるって言えなくたって」山下達郎TBSテレビ  番組の内容と放送時間は変更になる場合があります。</t>
  </si>
  <si>
    <t>番組名日曜劇場「冬のサクラ」　第7話</t>
  </si>
  <si>
    <t>萌奈美に残された時間は、刻一刻と減ってきている。母として娘に思いを伝えたい、ただそれだけで書き始めたレシピノート。母の気持ちを、娘の琴音に伝えることが出来るのか。そして、祐と一緒に自分の元を去った萌奈美を許せない航一は、苛立ちを押さえられなくなっていた。人前でも取り繕えなくなっている航一に、周囲は唖然とする。草ナギ剛   今井美樹   佐藤健   加藤ローサ   山崎樹範   でんでん   大島蓉子   白羽ゆり   吉田日出子   江波杏子   高嶋政伸「愛してるって言えなくたって」山下達郎TBSテレビ  番組の内容と放送時間は変更になる場合があります。</t>
  </si>
  <si>
    <t>番組名日曜劇場「冬のサクラ」　第8話</t>
  </si>
  <si>
    <t>山形で祐(草ナギ剛 )と再会した萌奈美(今井美樹)は、琴音(森迫永依)の理解もあり、山形の病院で治療を受けることになった。「ママはここに入院するんだよ」という琴音の言葉と、萌奈美の強い意志に圧された航一(高嶋政伸)は、琴音とともに東京へと引き返した。  一安心する萌奈美だが、病状はさらに進んでいて、やりたい事があれば今のうちにしておくよう、担当医から伝えられる。草ナギ剛  今井美樹  佐藤健  加藤ローサ  山崎樹範  でんでん  大島蓉子  白羽ゆり  吉田日出子  江波杏子  高嶋政伸「愛してるって言えなくたって」山下達郎TBSテレビ  番組の内容と放送時間は変更になる場合があります。</t>
  </si>
  <si>
    <t>番組名日曜劇場「冬のサクラ」　最終話</t>
  </si>
  <si>
    <t>草ナギ剛   今井美樹   佐藤健   加藤ローサ   山崎樹範   でんでん   大島蓉子   白羽ゆり   江波杏子   高嶋政伸萌奈美(今井美樹)の意識がやっと戻り安堵する祐(草ナギ剛)だったが、担当医より、春を迎えるのは難しいと告げられる。あとは、萌奈美に生きる希望を持たせること……。肇(佐藤健)からも「兄ちゃんなら何か見つけられる」と励まされ、祐は萌奈美のために自分が出来ることを探し始める。そんなある日、東京から義母の章子(江波杏子)と琴音(森迫永依)が見舞いに訪れた。章子は、航一(高嶋政伸)がしてきたことを謝罪し、これこれからは出来る限りのことをすると約束してくれた。だが、言葉の意味を理解できなくなる「失語症」の症状が出てきている萌奈美は、琴音に病状を知られるのが怖くて電話も出来なくなっていると章子に漏らす。「愛してるって言えなくたって」山下達郎TBSテレビ  番組の内容と放送時間は変更になる場合があります。</t>
  </si>
  <si>
    <t>1010_TBS_金22</t>
  </si>
  <si>
    <t>SPEC</t>
  </si>
  <si>
    <t>番組名SPEC～警視庁公安部公安第五課　未詳事件特別対策係事件簿～　第1話</t>
  </si>
  <si>
    <t>第一話（甲の回）　絶対にあたる預言者と噂の占い師、冷泉俊明が、IT企業社長の五木谷春樹が毒殺されると預言。未詳の当麻と瀬文は、この殺人事件を阻止できるか。当麻紗綾（とうまさや)…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    【ゲスト】  上川隆也  金子賢  (他)【主題歌】  THE　RICECOOKERS  「NAMInoYUKUSAKI」  【脚本】  西荻弓絵     【演出】  堤幸彦     【プロデュース】  植田博樹   今井夏木  赤羽智比呂（オフィスクレッシェンド）http://www.tbs.co.jp/spec2010/  SPECとは何ぞや。  全60のキーワード。  あらゆる憶測に初めて答える1800秒の鍵。  是非こちらも！  http://www.tbs.co.jp/spec2010/navi/TBSテレビ</t>
  </si>
  <si>
    <t>番組名SPEC～警視庁公安部公安第五課　未詳事件特別対策係事件簿～　第2話</t>
  </si>
  <si>
    <t>死刑囚　桂小次郎の使いの教誨師　大島が未詳にやってくる。桂は死刑と向かい合う日々の中で、千里眼を身に付け、今後、神の子として、迷宮入り事件の犯人を次々殺していくと言う。当麻はその挑戦を受けてたつ。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    【ゲスト】  佐野史郎  岡田義徳  斎藤工  滝藤賢一  森脇英理子  山内圭哉【主題歌】  THE　RICECOOKERS  「NAMInoYUKUSAKI」  【脚本】  西荻弓絵   【演出】  堤幸彦   【プロデュース】  植田博樹   今井夏木  赤羽智比呂（オフィスクレッシェンド）  http://www.tbs.co.jp/spec2010/  SPECとは何ぞや。  全60のキーワード。  あらゆる憶測に初めて答える1800秒の鍵。  是非こちらも！  http://www.tbs.co.jp/spec2010/navi/  TBSテレビ</t>
  </si>
  <si>
    <t>番組名SPEC～警視庁公安部公安第五課　未詳事件特別対策係事件簿～　第3話</t>
  </si>
  <si>
    <t>日本中のあちこちで京女の托鉢僧に「憑依」されたという事件が頻発する。もちろん捜査一課は相手にしないが、そのことが気に入らなかったらしく、全国の「林実さん」に次から次へと憑依してみせると宣言されてしまう。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野々村光太郎（ののむらこうたろう）…竜雷太【主題歌】  THE　RICECOOKERS  「NAMInoYUKUSAKI」  【脚本】  西荻弓絵   【演出】  加藤新   【プロデュース】  植田博樹   今井夏木  赤羽智比呂（オフィスクレッシェンド）http://www.tbs.co.jp/spec2010/  SPECとは何ぞや。  全60のキーワード。  あらゆる憶測に初めて答える1800秒の鍵。  是非こちらも！  http://www.tbs.co.jp/spec2010/navi/  ノベライズ　第一巻のプレゼント告知予定TBSテレビ</t>
  </si>
  <si>
    <t>番組名SPEC～警視庁公安部公安第五課　未詳事件特別対策係事件簿～　第4話</t>
  </si>
  <si>
    <t>未詳に「自殺者遺族ネットワーク」の顧問弁護士、古戸久子がやってくる。一年前に自殺したはずの娘から、昨夜「助けて」とメールが届いた。自殺サークルにいる殺人マニアから逃げているのではないかというのだ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野々村光太郎（ののむらこうたろう）…竜雷太【主題歌】  THE　RICECOOKERS  「NAMInoYUKUSAKI」  【脚本】  西荻弓絵   【演出】  今井夏木   【プロデュース】  植田博樹   今井夏木  赤羽智比呂（オフィスクレッシェンド）  http://www.tbs.co.jp/spec2010/  SPECとは何ぞや。  全60のキーワード。  あらゆる憶測に初めて答える1800秒の鍵。  是非こちらも！  http://www.tbs.co.jp/spec2010/navi/  TBSテレビ</t>
  </si>
  <si>
    <t>番組名SPEC～警視庁公安部公安第五課　未詳事件特別対策係事件簿～　第5話</t>
  </si>
  <si>
    <t>瀬文はSIT時代の上司、里中と再会する。里中は今警察を辞め、小さな貿易会社に就職し、奥さんと娘と三人で幸せな生活を送っているという。  そんなある日、未詳に潜入捜査官の連続死について、調査せよと命令が下る。当麻紗綾（とうまさや)…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野々村光太郎（ののむらこうたろう）…竜雷太【ゲスト】  大森南朋　  西原亜希【主題歌】  THE　RICECOOKERS  「NAMInoYUKUSAKI」  【脚本】  西荻弓絵   【演出】  堤幸彦   金子文紀   【プロデュース】  植田博樹   今井夏木  赤羽智比呂（オフィスクレッシェンド）http://www.tbs.co.jp/spec2010/  SPECとは何ぞや。  全60のキーワード。  あらゆる憶測に初めて答える1800秒の鍵。  是非こちらも！  http://www.tbs.co.jp/spec2010/navi/  TBSテレビ</t>
  </si>
  <si>
    <t>番組名SPEC～警視庁公安部公安第五課　未詳事件特別対策係事件簿～　第6話</t>
  </si>
  <si>
    <t>当麻と瀬文は、里中の妻、小百合が検診中に目撃した白いひげの老人の正体を探ろうとする。すると、意外な事実が判明する。果たして当麻と瀬文は、里中の娘、梨花の命を救うことができるのか？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    【ゲスト】  西原亜希【主題歌】  THE　RICECOOKERS  「波のゆくさき」【脚本】  西荻弓絵   【演出】  金子文紀   【プロデュース】  植田博樹   今井夏木  赤羽智比呂（オフィスクレッシェンド）  http://www.tbs.co.jp/spec2010/  SPECとは何ぞや。  全60のキーワード。  あらゆる憶測に初めて答える1800秒の鍵。  是非こちらも！  http://www.tbs.co.jp/spec2010/navi/  TBSテレビ</t>
  </si>
  <si>
    <t>番組名SPEC～警視庁公安部公安第五課　未詳事件特別対策係事件簿～　第7話</t>
  </si>
  <si>
    <t>瀬文（加瀬亮）の元部下である志村（伊藤毅）は、長い間植物状態にいた。ある夜、瀬文は美鈴（福田沙紀）から、志村が強制尊厳死されることになったと聞かされる。  瀬文は“ 病を治す能力を持つ人物 ”なら志村を救えると思い、居場所を見つけようと必死。当麻（戸田恵梨香）と共に、スペックホルダーのデータを調べ始める。当麻紗綾（とうまさや)…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    【ゲスト】  真野恵里菜【主題歌】  THE　RICECOOKERS  「波のゆくさき」SPECとは何ぞや。  全60のキーワード。  あらゆる憶測に初めて答える1800秒の鍵。  是非こちらも！  http://www.tbs.co.jp/spec2010/navi/  SPEC　研究本のプレゼント予定【脚本】  西荻弓絵   【演出】  加藤新   【プロデュース】  植田博樹   今井夏木  赤羽智比呂（オフィスクレッシェンド）http://www.tbs.co.jp/spec2010/  TBSテレビ</t>
  </si>
  <si>
    <t>番組名SPEC～警視庁公安部公安第五課　未詳事件特別対策係事件簿～　第8話</t>
  </si>
  <si>
    <t>瀬文の元に現れた謎の美女。  彼女の条件は「津田をこちらに引き渡せば、どんな怪我も治すヒーラーを貸してやる」いうもの。  狂気に取り付かれた瀬文は志村を救うために、津田を狙う。  当麻は瀬文を救おうとするが・・・。当麻紗綾（とうまさや)…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野々村光太郎（ののむらこうたろう）…竜雷太【主題歌】  THE　RICECOOKERS  「波のゆくさき」SPECとは何ぞや。  全60のキーワード。  あらゆる憶測に初めて答える1800秒の鍵。  是非こちらも！  http://www.tbs.co.jp/spec2010/navi/  主題歌CD　プレゼント予定【脚本】  西荻弓絵   【演出】  今井夏木   【プロデュース】  植田博樹   今井夏木  赤羽智比呂（オフィスクレッシェンド）  http://www.tbs.co.jp/spec2010/  TBSテレビ  番組の内容と放送時間は変更になる場合があります。</t>
  </si>
  <si>
    <t>番組名SPEC～警視庁公安部公安第五課　未詳事件特別対策係事件簿～　第9話</t>
  </si>
  <si>
    <t>ニノマエは組織から裏切られたと感じ、自分の能力を暴走させ、次々に要人を殺害し、自らこの世界の王を名乗る。そして非常線がはられ、未詳にもニノマエ殺害の命令が下る。当麻と瀬文、ニノマエの宿命の戦いが始まる…当麻紗綾（とうまさや)… 戸田恵梨香  瀬文焚流（せぶみたける）…加瀬亮  志村美鈴(しむらみれい)…福田沙紀  冷泉俊明(れいせんとしあき)…田中哲司  近藤昭男（こんどうあきお）…徳井優    地居聖(ちいさとし)…城田優海野亮太(うんのりょうた)…安田顕   一十一(にのまえじゅういち)…神木隆之介   津田助広(つだすけひろ)…椎名桔平（特別出演）  野々村光太郎（ののむらこうたろう）…竜雷太【主題歌】  THE　RICECOOKERS  「波のゆくさき」【脚本】  西荻弓絵   【演出】  堤幸彦   【プロデュース】  植田博樹   今井夏木  赤羽智比呂（オフィスクレッシェンド）  http://www.tbs.co.jp/spec2010/  SPECとは何ぞや。  全60のキーワード。  あらゆる憶測に初めて答える1800秒の鍵。  是非こちらも！  http://www.tbs.co.jp/spec2010/navi/  TBSテレビ  番組の内容と放送時間は変更になる場合があります。</t>
  </si>
  <si>
    <t>番組名SPEC～警視庁公安部公安第五課　未詳事件特別対策係事件簿～　第10話</t>
  </si>
  <si>
    <t>瀬文（加瀬亮）は、一人でニノマエ（神木隆之介）に戦いを挑むが、ニノマエのスペックを前に満身創痍。絶体絶命のピンチに陥る。するとそこへ、当麻（戸田恵梨香）が現れた！  当麻の命を懸けた作戦は、ニノマエのスペックを逆手に取り、追い詰めることに成功するが、当麻はもちろん瀬文、ニノマエと共に生死の境をさまよう事となる。  3日間眠り続け、ようやく目を覚ました当麻は…。当麻紗綾（とうまさや)… 戸田恵梨香   瀬文焚流（せぶみたける）…加瀬亮   志村美鈴(しむらみれい)…福田沙紀     地居聖(ちいさとし)…城田優 一十一(にのまえじゅういち)…神木隆之介   津田助広(つだすけひろ)…椎名桔平（特別出演）  野々村光太郎（ののむらこうたろう）…竜雷太    当麻天（とうまそら）…佐野元春  当麻流夏（とうまるな）…石田えり  当麻葉子（とうまようこ）…大森暁美【主題歌】  THE　RICECOOKERS  「波のゆくさき」【脚本】  西荻弓絵   【演出】  堤幸彦   加藤新   今井夏木   金子文紀   【プロデュース】  植田博樹   今井夏木  赤羽智比呂（オフィスクレッシェンド）  http://www.tbs.co.jp/spec2010/  SPECとは何ぞや。  全60のキーワード。  あらゆる憶測に初めて答える1800秒の鍵。  是非こちらも！  http://www.tbs.co.jp/spec2010/navi/  TBSテレビ  番組の内容と放送時間は変更になる場合があります。</t>
  </si>
  <si>
    <t>1010_TBS_日21</t>
  </si>
  <si>
    <t>獣医ドリトル</t>
  </si>
  <si>
    <t>番組名日曜劇場「獣医ドリトル」　第1話</t>
  </si>
  <si>
    <t>「獣医はビジネス」が口癖で口が汚く金と飼い主に厳しい、悪徳敏腕獣医と評判の鳥取健一（通称・ドリトル）が、飼い主の知識や注意が足りず、病気やケガに遭いながら苦しみを伝えられない“声なき動物たち”を救うだけでなく、問題を抱えた飼い主の心までをも華麗に治療していく。  「命の大切さ」を考えさせられる極上のヒューマンドラマをお楽しみください！ 鳥取健一（通称・ドリトル）…小栗　旬   多島あすか…井上真央   花菱　優…成宮寛貴   ☆  不動ルミ…藤澤恵麻＊友情出演  土門勇蔵…笠原秀幸   土門順平…菅田将暉   ☆  富沢教授…石坂浩二   ☆  土門大蔵…國村　隼【原作】  『獣医ドリトル』（小学館 ビッグコミック）  作：夏緑／画：ちくやまきよし     【脚本】  橋本裕志 羽毛田丈史小川博之（日本動物高度医療センター） 【プロデューサー】   瀬戸口克陽    【演出】   石井康晴  坪井敏雄  大澤祐樹TBSテレビ</t>
  </si>
  <si>
    <t>番組名日曜劇場「獣医ドリトル」　第2話</t>
  </si>
  <si>
    <t>迷子のイルカが水族館で保護された。隔離プールで弱っているイルカを見つめながら新人飼育員・坂東大吾（増田貴久）は、ドリトル（小栗旬）に治療を依頼する。さらに激しいクラクションの音が鳴り響く中、トラックの前に猫が飛び出し、樋口（蟹江敬三）が間一髪で救出す。治療に訪れたそれぞれの飼い主の抱える問題に、鳥取健一が出す答えとは・・・。  鳥取健一（通称・ドリトル）…小栗　旬   多島あすか…井上真央   花菱　優…成宮寛貴   ☆  不動ルミ…藤澤恵麻＊友情出演  土門勇蔵…笠原秀幸   土門順平…菅田将暉   ☆  富沢教授…石坂浩二   ☆  土門大蔵…國村　隼    【ゲスト】  坂東大吾…増田貴久  樋口肇…蟹江敬三【原作】  『獣医ドリトル』（小学館 ビッグコミック）  作：夏緑／画：ちくやまきよし     【脚本】  橋本裕志 羽毛田丈史小川博之（日本動物高度医療センター）【プロデューサー】   瀬戸口克陽    【演出】   石井康晴  坪井敏雄  大澤祐樹TBSテレビ</t>
  </si>
  <si>
    <t>番組名日曜劇場「獣医ドリトル」　第3話</t>
  </si>
  <si>
    <t>ケガをした捨て犬の治療の為、鳥取動物病院を訪れるマユ（大橋のぞみ）。  だが、ドリトル（小栗旬）は「家で飼えるよう親を説得して、30万円用意しろ。」と突き放してしまう。あすか（井上真央）は、鳥取を説得するが聞く耳を持たない。   その頃、日本最大チェーン・エンペラー動物病院の総院長・土門（國村隼）のところに、柴山農水大臣（佐々木勝彦）が孫の詩織（信太真妃）のペット（ハムスター）を連れてきたが…。鳥取健一（通称・ドリトル）…小栗　旬   多島あすか…井上真央   花菱　優…成宮寛貴   ☆  不動ルミ…藤澤恵麻＊友情出演  土門勇蔵…笠原秀幸   土門順平…菅田将暉   ☆  富沢教授…石坂浩二   ☆  土門大蔵…國村　隼    【第3話ゲスト】  門田星奈…平愛梨   門田義満…段田安則   マユ…大橋のぞみ 【原作】  『獣医ドリトル』（小学館 ビッグコミック）  作：夏緑／画：ちくやまきよし     【脚本】  橋本裕志 羽毛田丈史小川博之（日本動物高度医療センター）【プロデューサー】   瀬戸口克陽    【演出】   石井康晴  坪井敏雄  大澤祐樹TBSテレビ  ※世界バレー中継延長時、放送時間が変更になる場合がございます。</t>
  </si>
  <si>
    <t>番組名日曜劇場「獣医ドリトル」　第4話</t>
  </si>
  <si>
    <t>ウサギのミミを抱えた芽衣（石井萌々果）が鳥取の病院にやってくる。ミミはCMにも出ているペット界のスター。金払いが良さそうだと診療を引き受け検査をすると、ミミには緊急手術の必要性があることが判明し、芽衣の母親・月野（国仲涼子）に連絡する。一方、国際ドッグショーでグランプリ犬になったエリが体調が悪いと飼い主・堀内（中村敦夫）が、花菱の病院を訪れる。病気の原因は野良犬にあるらしいのだが・・・。鳥取健一（通称・ドリトル）…小栗　旬   多島あすか…井上真央   花菱　優…成宮寛貴   ☆  不動ルミ…藤澤恵麻＊友情出演  土門勇蔵…笠原秀幸   土門順平…菅田将暉   ☆  富沢教授…石坂浩二   ☆  土門大蔵…國村　隼    【4話ゲスト】  堀内多喜男…中村敦夫  月野絵里…国仲涼子  月野芽衣…石井萌々果【原作】  『獣医ドリトル』（小学館 ビッグコミック）  作：夏緑／画：ちくやまきよし     【脚本】  橋本裕志 羽毛田丈史小川博之（日本動物高度医療センター）【プロデューサー】   瀬戸口克陽    【演出】   石井康晴  坪井敏雄  大澤祐樹TBSテレビ  ※世界バレー中継延長時、放送時間が変更になる場合がございます。</t>
  </si>
  <si>
    <t>番組名日曜劇場「獣医ドリトル」　第5話</t>
  </si>
  <si>
    <t>深夜、玄関をノックする音を聞いたあすか。ドアを開けるとズブ濡れの女性・瞳（りょう）が、瀕死の猫を抱いて立っていた。顔を合わせ名前を呼び合う鳥取と瞳に、あすかは驚く。しかし猫を渡した瞬間、瞳はその場に倒れこんでしまう。翌日、弥生（加藤治子）が庭に迷い込んだレース鳩の診察のため、鳥取病院を訪ねてきたのだが・・・。鳥取健一（通称・ドリトル）…小栗　旬   多島あすか…井上真央   花菱　優…成宮寛貴   ☆  不動ルミ…藤澤恵麻＊友情出演  土門勇蔵…笠原秀幸   土門順平…菅田将暉   ☆  富沢教授…石坂浩二   ☆  土門大蔵…國村　隼    　【　第五話ゲスト　】  平野　瞳…りょう  若山弥生…加藤　治子【原作】  『獣医ドリトル』（小学館 ビッグコミック）  作：夏緑／画：ちくやまきよし     【脚本】  橋本裕志 羽毛田丈史小川博之（日本動物高度医療センター）【プロデューサー】   瀬戸口克陽    【演出】   石井康晴  坪井敏雄  大澤祐樹TBSテレビ</t>
  </si>
  <si>
    <t>番組名日曜劇場「獣医ドリトル」　第6話</t>
  </si>
  <si>
    <t>鳥取健一（通称・ドリトル）…小栗　旬   多島あすか…井上真央   花菱　優…成宮寛貴   ☆  不動ルミ…藤澤恵麻＊友情出演  土門勇蔵…笠原秀幸   土門順平…菅田将暉   ☆  富沢教授…石坂浩二   ☆  土門大蔵…國村　隼    【ゲスト】  畑山真知子…松下由樹  原　大介…石丸謙二郎  山田耕太…嘉数一星鳥取（小栗旬）は、富沢（石坂浩二）から町を荒らしている野生の猪の捕獲を強引に押し付けられる。鳥取はあすか（井上真央）に留守を頼んで捕獲に行くことに。  現地に着いた鳥取は、早速罠を仕掛け、見回りを行う。  しかし、なぜか地元の小学校教師・畑山（松下由樹）の生徒たちは、鳥取の先回りをして、猪の捕獲を邪魔していた…。【原作】  『獣医ドリトル』（小学館 ビッグコミック）  作：夏緑／画：ちくやまきよし     【脚本】  橋本裕志 羽毛田丈史小川博之（日本動物高度医療センター）【プロデューサー】   瀬戸口克陽    【演出】   石井康晴  坪井敏雄  大澤祐樹TBSテレビ</t>
  </si>
  <si>
    <t>番組名日曜劇場「獣医ドリトル」　第7話</t>
  </si>
  <si>
    <t>ようやく鳥取動物病院での仕事も慣れてきた頃、薬の補充ミスをして鳥取（小栗旬）に怒られたあすか（井上真央）は落胆していた。  同じ頃、獣医を目指す高校生・広樹（早乙女太一）は、車道で倒れていた子猫を見つけるのだが、試験の時間が差し迫っていた。  広樹は、近くの鳥取動物病院の前に「猫の治療をお願いします。」と書いた手紙を置いて立ち去ってしまう…。鳥取健一（通称・ドリトル）…小栗　旬   多島あすか…井上真央   花菱　優…成宮寛貴   ☆  不動ルミ…藤澤恵麻＊友情出演  土門勇蔵…笠原秀幸   土門順平…菅田将暉   ☆  富沢教授…石坂浩二   ☆  土門大蔵…國村　隼    【ゲスト】  早乙女太一  白川由美【原作】  『獣医ドリトル』（小学館 ビッグコミック）  作：夏緑／画：ちくやまきよし     【脚本】  橋本裕志 羽毛田丈史小川博之（日本動物高度医療センター）【プロデューサー】   瀬戸口克陽    【演出】   石井康晴  坪井敏雄  大澤祐樹TBSテレビ  番組の内容と放送時間は、変更になる場合があります。</t>
  </si>
  <si>
    <t>番組名日曜劇場「獣医ドリトル」　第8話</t>
  </si>
  <si>
    <t>人気女優の三島ユイ（夏帆）は、1か月前に拾った愛猫ライムがなかなか上手に排泄出来ないと、鳥取（小栗旬）の元を訪れる。  そこで、念願のフランスで1年間仕事をすることになったから、ライムを安楽死させて欲しいと申し出るユイ。  あすか（井上真央）は、自分の都合で安楽死をさせるなんてと反発するが、その時、鳥取は…。 鳥取健一（通称・ドリトル）…小栗旬   多島あすか…井上真央   花菱　優…成宮寛貴   ☆  不動ルミ…藤澤恵麻＊友情出演  土門勇蔵…笠原秀幸   土門順平…菅田将暉   ☆  富沢教授…石坂浩二   ☆  土門大蔵…國村隼    【ゲスト】  三島ユイ…夏帆【原作】  『獣医ドリトル』（小学館 ビッグコミック）  作：夏緑／画：ちくやまきよし     【脚本】  橋本裕志 羽毛田丈史小川博之（日本動物高度医療センター）【プロデューサー】   瀬戸口克陽    【演出】   石井康晴  坪井敏雄  大澤祐樹TBSテレビ  番組の内容と放送時間は、変更になる場合があります。</t>
  </si>
  <si>
    <t>番組名日曜劇場「獣医ドリトル」　第9話</t>
  </si>
  <si>
    <t>鳥取健一（通称・ドリトル）…小栗旬   多島あすか…井上真央   花菱　優…成宮寛貴   ☆  不動ルミ…藤澤恵麻＊友情出演  土門勇蔵…笠原秀幸   土門順平…菅田将暉   ☆  富沢教授…石坂浩二   ☆  土門大蔵…國村隼土門家の愛犬・バルザックを抱え、順平（菅田将暉）が鳥取動物病院に駆け込んでくる。  土門親子の揉め事に巻き込まれ、大怪我を負ったバルザックのオペは難易度の高いものだった。  鳥取（小栗旬）は、順平に手術費を払うよう父・土門総院長（國村隼）に確認をさせるが、土門はバルザックの安楽死を順平に勧める。父の言葉に落胆してしまう順平。そこに、順平と土門の会話を聞いていた勇蔵（笠原秀幸）が鳥取動物病院にやってくるが…。   【原作】  『獣医ドリトル』（小学館 ビッグコミック）  作：夏緑／画：ちくやまきよし     【脚本】  橋本裕志 羽毛田丈史小川博之（日本動物高度医療センター）【プロデューサー】   瀬戸口克陽    【演出】   石井康晴  坪井敏雄  大澤祐樹TBSテレビ  番組の内容と放送時間は、変更になる場合があります。</t>
  </si>
  <si>
    <t>1007_TBS_金22</t>
  </si>
  <si>
    <t>うぬぼれ刑事</t>
  </si>
  <si>
    <t>番組名金曜ドラマ「うぬぼれ刑事」　第1話</t>
  </si>
  <si>
    <t>宮藤官九郎の脚本・演出のオリジナル刑事ドラマ。長瀬智也演じる、通称「うぬぼれ」は超恋愛体質。いつも容疑者と思しき女性に一目惚れしてしまう。事件を解決したいというよりは、彼女に会いたい一心でまとわりついているうちに、ついつい証拠を掴んでしまう。いつも間違った意見をアドバイスするうぬぼれ5や元刑事の父親や嫉妬深い元彼女など、うぬぼれの周りにはミスリードでいっぱい。それでも彼は犯人を愛情で逮捕する！長瀬智也…うぬぼれ  生田斗真…本城サダメ  中島美嘉…日暮里恵  荒川良々…冴木優  要潤…松岡征士郎  矢作兼…穴井貴一  坂東三津五郎…栗橋誠  西田敏行…葉造    【初恋篇ゲスト】  加藤あい【主題歌】  TOKIO  「NaNaNa（太陽なんていらねぇ）」  ジェイストーム宮藤官九郎TBSテレビ</t>
  </si>
  <si>
    <t>番組名金曜ドラマ「うぬぼれ刑事」　第2話</t>
  </si>
  <si>
    <t>宮藤官九郎の脚本・演出のオリジナル刑事ドラマ。長瀬智也演じる、うぬぼれ刑事は超恋愛体質。いつも容疑者と思しき女性に一目惚れしてしまう。第2話「癒し系」では、マッサージ師・小沼（蒼井優）と出会い、恋に落ちる。しかしこの女、実は婚活サギの常習犯で保険金殺人の疑いもある希代の悪女だった。彼女に会いたい一心で居所をつきとめたうぬぼれだったが、逆にお金を無心されてしまい…。長瀬智也…うぬぼれ  生田斗真…本城サダメ  中島美嘉…日暮里恵  荒川良々…冴木優  要潤…松岡征士郎  矢作兼…穴井貴一  坂東三津五郎…栗橋誠  西田敏行…葉造    「癒し系」ゲスト…蒼井優【主題歌】  TOKIO  「NaNaNa（太陽なんていらねぇ）」  ジェイストーム    【挿入歌】  中島美嘉  「一番綺麗な私を」  (ソニー・ミュージックアソシエイテッドレコーズ）宮藤官九郎TBSオンデマンドで『うぬぼれ刑事』の見逃し配信を開始しました。うっかり見逃しても追いつける！ので、ぜひご利用ください。  http://tod.tbs.co.jp/item/2050/  TBSテレビ</t>
  </si>
  <si>
    <t>番組名金曜ドラマ「うぬぼれ刑事」　第3話</t>
  </si>
  <si>
    <t>宮藤官九郎の脚本のオリジナル刑事ドラマ。長瀬智也演じる「うぬぼれ」は超恋愛体質。いつも容疑者と思しき女性に一目惚れしてしまい、彼女にまとわりついているうちに事件を解決する。第3話は、選挙活動中の国会議員候補・青木たまえ（樋口可南子）の声に惹かれて恋に落ちる。献金疑惑を理由に自殺した夫との関係を追求していくうぬぼれだが、彼女にもやはり秘密があった…。家に通いつめるうぬぼれと人妻の道ならぬ恋の行方は？長瀬智也…うぬぼれ  生田斗真…本城サダメ  中島美嘉…日暮里恵  荒川良々…冴木優  要潤…松岡征士郎  矢作兼…穴井貴一  坂東三津五郎…栗橋誠  西田敏行…葉造    「野心派」ゲスト…樋口可南子【主題歌】  TOKIO  「NaNaNa（太陽なんていらねぇ）」  ジェイストーム    【挿入歌】  中島美嘉  「一番綺麗な私を」  (ソニー・ミュージックアソシエイテッドレコーズ）脚本…宮藤官九郎  演出…吉田　健TBSオンデマンドで『うぬぼれ刑事』の見逃し配信を開始しました。うっかり見逃しても追いつける！ので、ぜひご利用ください。  http://tod.tbs.co.jp/item/2050/  TBSテレビ</t>
  </si>
  <si>
    <t>番組名金曜ドラマ「うぬぼれ刑事」　第4話</t>
  </si>
  <si>
    <t>宮藤官九郎の脚本・演出のオリジナル刑事ドラマ。長瀬智也演じる、通称「うぬぼれ」は超恋愛体質。いつも容疑者と思しき女性に一目惚れしてしまい、彼女にまとわりついているうちに事件を解決する。第4話は、所沢で発見された変死体・羽柴祐子（戸田恵梨香）。すでにこの世にいない相手との恋の妄想を繰り広げながら、捜査をしていく中で彼女のもうひとつの顔が見えてくる。一方で、穴井はGSの女、ユリに一目惚れするが…。長瀬智也…うぬぼれ  生田斗真…本城サダメ  中島美嘉…日暮里恵  荒川良々…冴木優  要潤…松岡征士郎  矢作兼…穴井貴一  坂東三津五郎…栗橋誠  西田敏行…葉造    「地元流」ゲスト…戸田恵梨香【主題歌】  TOKIO  「NaNaNa（太陽なんていらねぇ）」  ジェイストーム    【挿入歌】  中島美嘉  「一番綺麗な私を」  (ソニー・ミュージックアソシエイテッドレコーズ）脚本…宮藤官九郎  演出…土井裕泰  TBSオンデマンドで『うぬぼれ刑事』の見逃し配信を開始しました。うっかり見逃しても追いつける！ので、ぜひご利用ください。  http://tod.tbs.co.jp/item/2050/  TBSテレビ</t>
  </si>
  <si>
    <t>番組名金曜ドラマ「うぬぼれ刑事」　第5話</t>
  </si>
  <si>
    <t>宮藤官九郎の脚本のオリジナル刑事ドラマ。長瀬智也演じる通称「うぬぼれ」は超恋愛体質。「甘党」の今夜は、うぬぼれが事件の被害者二人の葬式で出会った謎の女性（薬師丸ひろ子）に一目ぼれする。しかも変死した被害者の妻たちは松岡（要潤）のスイーツ教室の生徒だった。清純な人妻をそそのかし、亭主を殺させた罪で逮捕される松岡。うぬぼれは松岡を助けるべく捜査を続けるが、突然謎の女性がバーで待ってると連絡を受ける…長瀬智也…うぬぼれ  生田斗真…本城サダメ  中島美嘉…日暮里恵  荒川良々…冴木優  要潤…松岡征士郎  矢作兼…穴井貴一  坂東三津五郎…栗橋誠  西田敏行…葉造    「甘党」ゲスト…薬師丸ひろ子【主題歌】  TOKIO  「NaNaNa（太陽なんていらねぇ）」  ジェイストーム    【挿入歌】  中島美嘉  「一番綺麗な私を」  (ソニー・ミュージックアソシエイテッドレコーズ）脚本　宮藤官九郎  演出　金子文紀TBSオンデマンドで『うぬぼれ刑事』の見逃し配信を開始しました。うっかり見逃しても追いつける！ので、ぜひご利用ください。  http://tod.tbs.co.jp/item/2050/  TBSテレビ</t>
  </si>
  <si>
    <t>番組名金曜ドラマ「うぬぼれ刑事」　第6話</t>
  </si>
  <si>
    <t>宮藤官九郎の脚本のオリジナル刑事ドラマ。「くされ縁」…萩尾ゆみ（小雪）と田尻えみ（小原正子）は、「ハギシリ」コンビとして人気のあった元バドミントンの日本代表選手。サダメ（生田斗真）は萩尾と駅前で劇的な出会いをし、即同棲を決めるが、実は萩尾は田尻に対する傷害事件の容疑者だった。萩尾の身辺を洗ううちに、いつものように恋をしてしまううぬぼれ（長瀬智也）。萩尾は外見とは裏腹に頭が悪くて不器用な女だった…。長瀬智也…うぬぼれ  生田斗真…本城サダメ  中島美嘉…日暮里恵  荒川良々…冴木優  要潤…松岡征士郎  矢作兼…穴井貴一  坂東三津五郎…栗橋誠  西田敏行…葉造    「くされ縁」ゲスト…小雪【主題歌】  TOKIO  「NaNaNa（太陽なんていらねぇ）」  ジェイストーム    【挿入歌】  中島美嘉  「一番綺麗な私を」  (ソニー・ミュージックアソシエイテッドレコーズ）【脚本】  宮藤官九郎    【演出】  吉田健TBSオンデマンドで『うぬぼれ刑事』の見逃し配信を開始しました。うっかり見逃しても追いつける！ので、ぜひご利用ください。  http://tod.tbs.co.jp/item/2050/  TBSテレビ</t>
  </si>
  <si>
    <t>番組名金曜ドラマ「うぬぼれ刑事」　第7話</t>
  </si>
  <si>
    <t>宮藤官九郎の脚本のオリジナル刑事ドラマ。「マラカスの詩」…バーI am Iで知り合った板倉里奈（小泉今日子）にひとめぼれしてしまったうぬぼれ。一方、仕事では、15年間変装をしながら逃げつづけている医師絞殺事件の犯人の行方を追うが、捜査を続けるうちに、一目ぼれした女がその犯人ではないかという疑いをもつ。長瀬智也…うぬぼれ  生田斗真…本城サダメ  中島美嘉…日暮里恵  荒川良々…冴木優  要潤…松岡征士郎  矢作兼…穴井貴一  坂東三津五郎…栗橋誠  西田敏行…葉造    【ゲスト】  小泉今日子  【主題歌】  TOKIO  「NaNaNa（太陽なんていらねぇ）」  ジェイストーム    【挿入歌】  中島美嘉  「一番綺麗な私を」  (ソニー・ミュージックアソシエイテッドレコーズ）宮藤官九郎TBSオンデマンドで『うぬぼれ刑事』の見逃し配信を開始しました。うっかり見逃しても追いつける！ので、ぜひご利用ください。  http://tod.tbs.co.jp/item/2050/  TBSテレビ</t>
  </si>
  <si>
    <t>番組名金曜ドラマ「うぬぼれ刑事」　第8話</t>
  </si>
  <si>
    <t>宮藤官九郎の脚本のオリジナル刑事ドラマ。長瀬智也演じる、通称「うぬぼれ」は超恋愛体質。いつも容疑者の女性に一目惚れしてしまう。第8話「大物感」では父・葉造（西田敏行）が、文学新人賞の受賞式で知り合ったベストセラー作家・九十九千里（三田佳子）に一目惚れしてしまう。同じ日、九十九が書いた小説とそっくりな殺人事件が起きる。坂の上に捨てられたトランクから、大男の死体が発見されたのだ。うぬぼれは彼女を疑う。長瀬智也…うぬぼれ  生田斗真…本城サダメ  中島美嘉…日暮里恵  荒川良々…冴木優  要潤…松岡征士郎  矢作兼…穴井貴一  坂東三津五郎…栗橋誠  西田敏行…葉造    「大物感」ゲスト…三田佳子【主題歌】  TOKIO  「NaNaNa（太陽なんていらねぇ）」  ジェイストーム    【挿入歌】  中島美嘉  「一番綺麗な私を」  (ソニー・ミュージックアソシエイテッドレコーズ）脚本…宮藤官九郎  演出…吉田健TBSオンデマンドで『うぬぼれ刑事』の見逃し配信を開始しました。うっかり見逃しても追いつける！ので、ぜひご利用ください。  http://tod.tbs.co.jp/item/2050/  TBSテレビ</t>
  </si>
  <si>
    <t>番組名金曜ドラマ「うぬぼれ刑事」　第9話</t>
  </si>
  <si>
    <t>宮藤官九郎の脚本のオリジナル刑事ドラマ。長瀬智也演じる、「うぬぼれ」は超恋愛体質。いつも容疑者と思しき女性に一目惚れしてしまう。第9話「強火」…初めての見合いでうぬぼれは図書館司書の知世（光浦靖子）と出会う。福島から母の千鶴子（竹下景子）も上京し、父母の間では退職金をめぐって大喧嘩が始まる。一方、うぬぼれは地味な知世が気になって仕方がない。しかし知世には心に決めた相手がいるらしく…。長瀬智也…うぬぼれ  生田斗真…本城サダメ  中島美嘉…日暮里恵  荒川良々…冴木優  要潤…松岡征士郎  矢作兼…穴井貴一  坂東三津五郎…栗橋誠  西田敏行…葉造    【ゲスト】  竹下景子  光浦靖子【主題歌】  TOKIO  「NaNaNa（太陽なんていらねぇ）」  ジェイストーム    【挿入歌】  中島美嘉  「一番綺麗な私を」  (ソニー・ミュージックアソシエイテッドレコーズ）脚本…宮藤官九郎  演出…土井裕泰TBSオンデマンドで『うぬぼれ刑事』の見逃し配信を開始しました。うっかり見逃しても追いつける！ので、ぜひご利用ください。  http://tod.tbs.co.jp/item/2050/  TBSテレビ</t>
  </si>
  <si>
    <t>番組名金曜ドラマ「うぬぼれ刑事」　第10話</t>
  </si>
  <si>
    <t>宮藤官九郎の脚本・演出のオリジナル刑事ドラマ。長瀬智也演じる、通称「うぬぼれ」は超恋愛体質。いつも容疑者と思しき女性に一目惚れしてしまう。第10話「姉妹坂」…プールで発見された女子高生の死体をめぐる捜査で、うぬぼれは第一発見者のあかね（岡本杏理）の家を訪ね、そこで姉とみまちがえるほど若い服装の母・明日香（石田ゆり子）と出会う。姉妹のような2人に、うぬぼれはどちらに恋をしてしまったのか分からない。長瀬智也…うぬぼれ  生田斗真…本城サダメ  中島美嘉…日暮里恵  荒川良々…冴木優  要潤…松岡征士郎  矢作兼…穴井貴一  坂東三津五郎…栗橋誠  西田敏行…葉造    【ゲスト】  石田ゆり子【主題歌】  TOKIO  「NaNaNa（太陽なんていらねぇ）」  （ジェイストーム）    【挿入歌】  中島美嘉  「一番綺麗な私を」  (ソニー・ミュージックアソシエイテッドレコーズ）【脚本】  宮藤官九郎  【演出】  吉田健TBSオンデマンドで『うぬぼれ刑事』の見逃し配信を開始しました。うっかり見逃しても追いつける！ので、ぜひご利用ください。  http://tod.tbs.co.jp/item/2050/  TBSテレビ</t>
  </si>
  <si>
    <t>番組名金曜ドラマ「うぬぼれ刑事」　第11話</t>
  </si>
  <si>
    <t>宮藤官九郎の脚本・演出のオリジナル刑事ドラマ。長瀬智也演じる、通称「うぬぼれ」は超恋愛体質。いつも容疑者と思しき女性に一目惚れしてしまう。今回は大衆演劇の女形スターに一目ぼれ。実は、その男こそ未解決の「ひばり銀行現金強奪事件」の主犯格・神と同一人物だった。うぬぼれ5の力も借りて神を追い詰めることに成功したうぬぼれだったが、捜査の途中で驚愕の事実を知ることになる…。うぬぼれの愛はどこに向かうのか…。長瀬智也…うぬぼれ  生田斗真…本城サダメ  中島美嘉…日暮里恵  荒川良々…冴木優  要潤…松岡征士郎  矢作兼…穴井貴一  坂東三津五郎…栗橋誠  西田敏行…葉造    最終回「赤い彗星」ゲスト…中村七之助【主題歌】  TOKIO  「NaNaNa（太陽なんていらねぇ）」  ジェイストーム    【挿入歌】  中島美嘉  「一番綺麗な私を」  (ソニー・ミュージックアソシエイテッドレコーズ）宮藤官九郎TBSオンデマンドで『うぬぼれ刑事』の見逃し配信を開始しました。うっかり見逃しても追いつける！ので、ぜひご利用ください。  http://tod.tbs.co.jp/item/2050/  TBSテレビ</t>
  </si>
  <si>
    <t>1007_TBS_土20</t>
  </si>
  <si>
    <t>ハンマーセッション！</t>
  </si>
  <si>
    <t>番組名ハンマーセッション！　第1話</t>
  </si>
  <si>
    <t>世界を股にかけてヤマを踏んできた伝説の詐欺師を乗せた護送車が、海に転落する事故が起きた。護送車に乗っていたその第一級詐欺師・音羽4号（速水もこみち）は、ヤクザの今村昌平（六平直政）と共に逃亡する。暗闇の中逃げ込んだ先で、二人は建物に放火しようとする男（村上健志）を発見!居合わせた光学園校長・水城（小日向文世）と捕まえるが、その男は“蜂須賀悟郎”という教師で、水城が期待を寄せていた新任だった。そして、蜂須賀は得体の知れない生徒らに怖じ気づいて、学校を燃やそうとしていたのだった。どうやらこの学園では、成績優秀な生徒達が、表向きは何の問題もなく見えるその裏で陰湿な事件を起こしているようで、教師達もそんな生徒の心をつかめず自信喪失し、無気力になっていた。水城はこの状況をどうにかし、学園を守りたいと思っているのだった…。校長の心を掴んだ音羽4号は“新任教師”を演じるよう懇願されるが…。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小日向文世SPYAIR「LIAR」  （ソニーミュージック　アソシエイテッド　レコーズ）【原案】  貴矢高康     【漫画】  棚橋なもしろ （「週刊少年マガジン」連載）    【脚本】  高橋麻紀  金沢達也【プロデューサー】  佐藤毅  佐藤善宏     【演出】  麻生学http://www.tbs.co.jp/hammersession/  東宝株式会社　TBS</t>
  </si>
  <si>
    <t>番組名ハンマーセッション！　第2話</t>
  </si>
  <si>
    <t>最初のハンマーセッションを成功させた“蜂須賀吾郎”こと音羽4号（速水もこみち）。  平穏無事な学園生活を送りたいと思っていた矢先、校内で「オークション」をやっている新田真潮（高山侑子）に遭遇。ディスカウントショップを経営している親戚に安く譲りうけてオークションをやっているというが、犯罪の匂いを感じ取る蜂須賀。跡をつけてみると、やはりショップで商品を万引している真潮が・・・。ショップに居合わせた立花楓（志田未来）は、真潮を引きとめるが店長に捕まってしまう。その店長は、万引きを学校に言わないことを条件に2人にいやらしいことを要求してくる・・・、寸でのところで蜂須賀に助けられた楓と真潮だったが、懲りずに万引きを続ける真潮。お金をてっとり早く稼ぎたい理由がバンド仲間との関係にあることに気付いた蜂須賀は真潮に対して“ハンマーセッション”を開始する！速水もこみち　  志田未来  ・  比嘉愛未  ・   石黒英雄   入江甚儀   佐野和真  竹内寿   菅田将暉   阪本奨悟  竜星涼   野村周平   延山信弘山下リオ  逢沢りな  松山メアリ  高山侑子  紗綾  増元裕子  ・  宮坂絵美理  村上健志（フルーツポンチ）  濱田マリ  六平直政  小日向文世SPYAIR「LIAR」  （ソニーミュージック　アソシエイテッド　レコーズ）【原案】  貴矢高康 （「ハンマーセッション!」講談社刊）     【漫画】  棚橋なもしろ     【脚本】  高橋麻紀  【プロデューサー】  佐藤毅  佐藤善宏     【演出】  麻生学  中前勇児 http://www.tbs.co.jp/hammersession/  東宝株式会社　TBS</t>
  </si>
  <si>
    <t>番組名ハンマーセッション！　第3話</t>
  </si>
  <si>
    <t>特別授業としてビーチバレーに行った蜂須賀（速水もこみち）は、生徒と接触して怪我をした黒沢正宗（竹内寿）の様子がおかしいことに気付く。怪我をさせてしまった生徒が怯えている原因は、黒沢の母・静子（荻野目慶子）が学校では有名なモンスターペアレントで、退職に追い込まれた教師が多数いるとのことだった。。そして、新たな事件が勃発！！交際していた後輩とのデート現場を教師に目撃された黒沢は、母親に強要され「後輩から無理やり誘ってきた」とウソを言ってしまう。その意気地のなさに、黒沢を殴りつける蜂須賀。モンスターペアレントの逆襲が始まり、蜂須賀は追いつめられるが、黒沢の「親離れしたい、男になりたい」と思う気持ちを助けるため、命をかけた衝撃的授業を開始する！！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    【ゲスト】  荻野目慶子SPYAIR「LIAR」  （ソニーミュージック　アソシエイテッド　レコーズ）【原案】  貴矢高康 （「ハンマーセッション!」講談社刊）     【漫画】  棚橋なもしろ     【脚本】  金沢達也【プロデューサー】  佐藤毅  佐藤善宏     【演出】  中前勇児 http://www.tbs.co.jp/hammersession/  東宝　TBS</t>
  </si>
  <si>
    <t>番組名ハンマーセッション！　第4話</t>
  </si>
  <si>
    <t>夏は恋の季節！恋愛話に花が咲く3年B組の生徒たちであったが、水野繭（逢沢りな）だけは浮かない顔。実は妻子のある男性・高田（鈴木一真）と付き合っており、その関係を終わらせたいと考えていた。そんな折、立花楓（志田未来）はクラスメイトの海老原健（野村周平）から、繭と付き合いと思っていると相談を受けていた。海老原の気持ちを知った繭は、海老原と付き合いたいと思い、高田に別れを告げようとしたのだが・・・。繭は高田から以前取られた写真で脅され、別れられないと告げられてしまった。しかも、高田とホテルに入る現場を光学園の生徒に見られ、学校裏サイトでも「繭はアバズレ」「援交してる」など、ありもしない噂をかきたてられ、登校拒否になってしまう。すべての事情を知った蜂須賀先生（速水もこみち）は、涼子先生（比嘉愛未）を利用しながら、繭や海老原、そして高田など、すべてをハンマーセッション！する作戦を開始する！  速水もこみち　  志田未来  ・  比嘉愛未  ・   石黒英雄   入江甚儀   佐野和真  竹内寿   菅田将暉   阪本奨悟  竜星涼   野村周平   延山信弘山下リオ  逢沢りな  松山メアリ  高山侑子  紗綾  増元裕子  ・  宮坂絵美理  村上健志（フルーツポンチ）  濱田マリ  六平直政  小日向文世SPYAIR「LIAR」  （ソニーミュージック　アソシエイテッド　レコーズ）【原案】  貴矢高康 （「ハンマーセッション!」講談社刊）     【漫画】  棚橋なもしろ     【脚本】  高橋麻紀  【プロデューサー】  佐藤毅  佐藤善宏     【演出】  麻生学  中前勇児 http://www.tbs.co.jp/hammersession/  東宝株式会社　TBS</t>
  </si>
  <si>
    <t>番組名ハンマーセッション！　第5話</t>
  </si>
  <si>
    <t>3年B組の生徒、咲山エリカ（山下リオ）の様子がオカシイ。最近、派手になり高級ブランド品を身につけている・・・。担任の蜂須賀（速見もこみち）は、副担任である涼子先生（比嘉愛未）と夏は開放的になる生徒たちの夜遊びを見回るため夜の街に出たが、そこでエリカがキャバクラ店に入っていくのを見かける。あとを追いかける蜂須賀であったがエリカが「ルイ」という名で働いているのを知るが・・・。  すぐにキャバクラを辞めさせた蜂須賀であったが、エリカに懲りる様子はなく、クラスメイトの楓（志田未来）が止めるのも無視してキャバクラにまた勤め始めた。蜂須賀はエリカの周辺を探るが、美容院を何店舗も経営している厳しい母親・百合子（手塚里美）との間に何か確執があることを突き止める。クラブで襲われたエリカを助け出した蜂須賀は、母親との間にあった知られてはいけない真実に驚愕する・・・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    【ゲスト】  手塚里美SPYAIR「LIAR」  （ソニーミュージック　アソシエイテッド　レコーズ）【原案】  貴矢高康 （「ハンマーセッション!」講談社刊）     【漫画】  棚橋なもしろ     【脚本】  金沢達也 【プロデューサー】  佐藤毅  佐藤善宏     【演出】  麻生学http://www.tbs.co.jp/hammersession/  東宝株式会社　TBS</t>
  </si>
  <si>
    <t>番組名ハンマーセッション！　第6話</t>
  </si>
  <si>
    <t>パシリからの決別！盆踊り大会を成功させろ！！野島健太（阪本奨悟）は、クラスで「パシリ」扱い。昼休みにパンを買わされに行ったり、光学園主催の盆踊り大会の実行委員を誰もやりたがらないからという理由で押しつけられたりしている。しかし、野島は、その盆踊り大会を成功させることでクラスでの「パシリ」の位置から決別できるのではないかと考えていた。しかし、普段は絶対に実行委員などをやりたがらない早乙女耀子（松山メアリ）が立候補したのだった。早乙女は、大田からの「校長、蜂須賀を陥れるために盆踊り大会を潰せ」との密命を受けていた。蜂須賀（速水もこみち）は楓（志田未来）とともに、大会の準備の邪魔されながらも、野島の手助けをするが、無事に迎えた大会当日、早乙女は会場の電源を切り落とし会場を真っ暗にしてしまう。万事休すの野島に、蜂須賀は一世一代の大勝負を仕掛けさせる・・・！！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小日向文世SPYAIR「LIAR」  （ソニーミュージック　アソシエイテッド　レコーズ）【原案】  貴矢高康 （「ハンマーセッション!」講談社刊）     【漫画】  棚橋なもしろ     【脚本】  高橋麻紀【プロデューサー】  佐藤毅  佐藤善宏     【演出】  中前勇児 http://www.tbs.co.jp/hammersession/  東宝株式会社　TBS</t>
  </si>
  <si>
    <t>番組名ハンマーセッション！　第7話</t>
  </si>
  <si>
    <t>光学園生徒の坂本洋平（菅田将暉）は、ダンサーになることを夢見ていた。ダンスコンテストに参加するも落ちてしまい、蜂須賀先生（速水もこみち）や立花楓（志田未来）らクラスメイトに慰められるものの、ダンスにかける夢は本物であった。それには、坂本の彼女・中里美帆（足立梨花）が絡んでいた。坂本が原因で美帆が大怪我を負いリハビリ生活となり、ダンサーになる夢を共に追いかけてきた道を諦めかけていたのだった。そんな折、坂本は美帆に勇姿を見せるため、そして夢を実現させるために有名ダンサーが講師のダンススクールに入るのだったが、その学校の学長・関谷（沢村一樹）は、実は蜂須賀が幼きころ詐欺のテクニックなどを教わった詐欺師の兄貴分だったのだ。スクール詐欺を見抜いた蜂須賀は、生徒の夢を守るため、そして因縁のアニキと決着をつけるため、大きなオーディション詐欺にのぞんでいく！！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    【ゲスト出演】  沢村一樹SPYAIR「LIAR」  （ソニーミュージック　アソシエイテッド　レコーズ）【原案】  貴矢高康 （「ハンマーセッション!」講談社刊）     【漫画】  棚橋なもしろ     【脚本】  高橋麻紀  金沢達也 【プロデューサー】  佐藤毅  佐藤善宏     【演出】  木村ひさし  http://www.tbs.co.jp/hammersession/  東宝株式会社　TBS</t>
  </si>
  <si>
    <t>番組名ハンマーセッション！　第8話</t>
  </si>
  <si>
    <t>広瀬拓海（竜星涼）の自慢は、最近できた年上の彼女・白石理恵（片瀬那奈）。運命の出会いをし、そして恋に落ちたのだと広瀬は語るが、クラスメイトは10歳も年が離れいることで懐疑的。広瀬は、理恵と対等に付き合いたいとバイトなど無理をしてお金を稼ぎ、プレゼントを買ったり食事などを奢ったりするが、そんな様子を見ていた蜂須賀（速水もこみち）は理恵の存在に疑いの目を向ける。楓（志田未来）は広瀬と幼馴染だったこともあり、広瀬が恋をして急に大人になろうとしている姿が眩しくもあり、無理をしている姿に痛々しくも感じるのであった。そんな折、理恵が望んでいない結婚を病気の母の為にしなければならないと言い出し、彼女と一緒にいたいがために、広瀬は学校を辞めて理恵のために働くと言い出したのだ。蜂須賀は理恵の周辺を調べると、やはり理恵は男をカモにする悪女だった…。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    【ゲスト】  片瀬那奈SPYAIR「LIAR」  （ソニーミュージック　アソシエイテッド　レコーズ）【原案】  貴矢高康    【漫画】  棚橋なもしろ（講談社「週刊少年マガジン」連載）    【脚本】  高橋麻紀【プロデューサー】  佐藤毅  佐藤善宏     【演出】  麻生学http://www.tbs.co.jp/hammersession/  東宝株式会社　TBS</t>
  </si>
  <si>
    <t>番組名ハンマーセッション！　第9話</t>
  </si>
  <si>
    <t>甲斐保（入江甚儀）は、クラスメイトが盗撮されている事に気付いていながら「助けても自分にメリットがない」と誰とも接しようとはしない。そんな勉強ばかりで心を閉ざしている甲斐に、蜂須賀（速水もこみち）は疑念を抱いていく。そんな中、極東高校のバイクを傷つけてしまう甲斐。それを知った司馬祐生（石黒英雄）は甲斐をかばい怪我を負ってしまう。楓（志田未来）たちは仇を取るために、甲斐の頭脳を使って極東高校に勝負を挑んでいく！そして、蜂須賀の正体を知ってしまった涼子先生（比嘉愛未）は次第に蜂須賀の素性に迫っていく！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小日向文世SPYAIR「LIAR」  （ソニーミュージック　アソシエイテッド　レコーズ）【原案】  貴矢高康     【漫画】  棚橋なもしろ（講談社「週刊少年マガジン」連載）    【脚本】  金沢達也 【プロデューサー】  佐藤毅  佐藤善宏     【演出】  木村ひさしhttp://www.tbs.co.jp/hammersession/  東宝株式会社　TBS</t>
  </si>
  <si>
    <t>番組名ハンマーセッション！　第10話</t>
  </si>
  <si>
    <t>ついに詐欺師の正体が暴かれた…！！お別れのキャンプファイヤーで涙の告白！最後の授業となってしまうのか！？生徒に伝えるラストメッセージ！蜂須賀（速水もこみち）は、本当の蜂須賀吾郎の履歴書を見てしまった涼子先生（比嘉愛未）に正体を明かしてしまう。そして光学園を去る決意をするが、そんな折、生徒の藤井（佐野和真）はアメリカ留学が決まり、保健医の玲奈先生（宮坂絵美理）をストーカーから守ったことで藤井は玲奈先生に恋心を抱くようになっていた。立花楓（志田未来）は、思いを伝えないまま留学してしまおうとする藤井に告白するように勧めるが・・・。楓は、幼いころに母親を亡くし、思いを伝えないまま別れを迎えることは寂しすぎると、勉強合宿の最後のイベント「キャンプファイヤー」で告白するように藤井の背中を押していた。そんな姿を見た蜂須賀は、イベントを妨害しようとする太田教頭を交しながら、思いを伝えようとする藤井を手助けする。それは、自分自身の最後のメッセージをそのイベントの成功に込めながら・・・。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小日向文世SPYAIR「LIAR」  （ソニーミュージック　アソシエイテッド　レコーズ）【原案】  貴矢高康 （「ハンマーセッション!」講談社刊）     【漫画】  棚橋なもしろ     【脚本】  高橋麻紀  金沢達也 【プロデューサー】  佐藤毅  佐藤善宏     【演出】  中前勇児 http://www.tbs.co.jp/hammersession/  東宝株式会社　TBS</t>
  </si>
  <si>
    <t>番組名ハンマーセッション！　第11話</t>
  </si>
  <si>
    <t>ついに最終回！！詐欺師のニセ教師、ついに光学園を去る・・・警察の追っ手が迫る中、生徒のために、光学園のために最後にできることとは何か・・・！！衝撃の結末！！光学園を去ることを決めた蜂須賀先生こと音羽4号（速水もこみち）。そんな折、立花楓（志田未来）も、刑事の父親の捜査資料から、父親の追い続けている詐欺師が、蜂須賀であることに気づく。いつも通りの学園生活が始まるかと思ったのだが、蜂須賀は、ある言葉を残して、光学園を去っていってしまう、生徒たちに気づかれないように・・・。楓はあとを追っかけるが、寸でのところで音羽4号と会えずに去っていってしまった。警察の追っ手が迫るなか、音羽4号は自分が生まれ育った児童養護施設に立ち寄るが、きちんと生徒とお別れできていないこと、伝え忘れていることがあることに気づき、光学園に戻って一日だけの最後の授業をしようと決意する。それは自分自身が窮地に追い込まれることも意味するのだが、蜂須賀は光学園3年B組に戻ってくる。そして生徒に語りかける。「俺は教師じゃなくて・・・詐欺師なんだ」蜂須賀の最後の衝撃的授業が始まる！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小日向文世SPYAIR「LIAR」  （ソニーミュージック　アソシエイテッド　レコーズ）【原案】  貴矢高康 （「ハンマーセッション!」講談社刊）     【漫画】  棚橋なもしろ（「週刊少年マガジン」連載）    【脚本】  高橋麻紀【プロデューサー】  佐藤毅  佐藤善宏     【演出】  麻生学http://www.tbs.co.jp/hammersession/  東宝株式会社　TBS</t>
  </si>
  <si>
    <t>1004_TBS_金22</t>
  </si>
  <si>
    <t>ヤンキー君とメガネちゃん</t>
  </si>
  <si>
    <t>番組名金曜ドラマ「ヤンキー君とメガネちゃん」第1話</t>
  </si>
  <si>
    <t>品川大地（成宮寛貴）はバリバリのヤンキー。高校でも周囲から一人浮いている。そんな彼に、三つ編みにメガネの足立花（仲里依紗）だけは臆することなくつきまとう。家族で楽しめる学園ホームコメディドラ誕生！成宮寛貴  仲里依紗  本郷奏多  鈴木亮平  皆川猿時  古田新太  堀ちえみ  伊東四朗【連動データ放送】【主題歌】「ルーズリーフ」ヒルクライム「ヤンキー君とメガネちゃん」  吉河美希  （講談社「週刊少年マガジン」連載中）永田優子  （主要作品　「歌のお兄さん」「ダンディダディ」「告知せず」「ヒミツの花園」）高成麻畝子  北川雅一  杉浦美奈子TBSテレビ</t>
  </si>
  <si>
    <t>番組名金曜ドラマ「ヤンキー君とメガネちゃん」第2話</t>
  </si>
  <si>
    <t>大地（成宮寛貴）は花（仲里依紗）から、欠席を続けている同級生の千葉（小柳友）の家に行こうと誘われる。断る大地だったが、千葉が学校に来なくなったのは大地に原因があると言われ・・・。話題の最強コンビが巻き起こす、痛快学園ホームコメディの第2話！成宮寛貴  仲里依紗  本郷奏多  小柳友  川口春奈  鈴木亮平  水野真紀  皆川猿時  浪岡一喜  古田新太  大和田美帆  堀ちえみ  伊東四朗番組HPで、出演者からのメッセージ動画が御覧いただけます。見逃した「ヤンキー君とメガネちゃん」はこちらで！  TBSオンデマンドで見逃し配信中！  詳しくは公式ホームページhttp://tod.tbs.co.jpをご覧ください！【連動データ放送】【主題歌】「ルーズリーフ」ヒルクライム「ヤンキー君とメガネちゃん」  吉河美希  （講談社「週刊少年マガジン」連載中）永田優子  （主要作品　「歌のお兄さん」「ダンディダディ」「告知せず」「ヒミツの花園」）高成麻畝子北川雅一  杉浦美奈子TBSテレビ</t>
  </si>
  <si>
    <t>番組名金曜ドラマ「ヤンキー君とメガネちゃん」　第3話</t>
  </si>
  <si>
    <t>大地（成宮寛貴）と花（仲里依紗）のクラスに謎のヤンキー美少女・凛風（川口春奈）が乱入してくる。どうやら花と訳ありらしいが、花は完全無視。大地はそんな二人の関係に巻き込まれ・・・。さらに大地に恨みを持つ  ヤンキー難波（加藤歩）が現れる。    鮮血の女豹・姫路凛風が遂に登場！ますます  面白くなる痛快学園ホームコメディの第3話！！成宮寛貴  仲里依紗  本郷奏多  小柳友  川口春奈  鈴木亮平  皆川猿時  加藤歩（ザブングル）  古田新太  堀ちえみ  大和田美帆  伊東四朗【連動データ放送】見逃した「ヤンキー君とメガネちゃん」はこちらで！  TBSオンデマンドで見逃し配信中！  詳しくは公式ホームページhttp://tod.tbs.co.jpをご覧ください！「ヤンキー君とメガネちゃん」原作コミックプレゼント！  1巻～16巻をセットにして視聴者の皆様にプレゼントします。  この番組の中でお知らせしますので、メモの用意をしてご覧ください。【主題歌】「ルーズリーフ」ヒルクライム「ヤンキー君とメガネちゃん」  吉河美希  （講談社「週刊少年マガジン」連載中）永田優子  （主要作品　「歌のお兄さん」「ダンディダディ」「告知せず」「ヒミツの花園」）吉田秋生北川雅一  杉浦美奈子TBSテレビ</t>
  </si>
  <si>
    <t>番組名金曜ドラマ「ヤンキー君とメガネちゃん」　第4話</t>
  </si>
  <si>
    <t>生徒会長選挙が本格的にスタート。花（仲里依紗）の対立候補の和泉（本郷奏多）はヤンキーの撲滅を訴えて、圧倒的に優位に立つ。  一方、大地（成宮寛貴）の母・聖（堀ちえみ）は、父（古田新太）のキャバクラ通いが許せず家出してしまう・・・。  生徒会長選の行方は？そして聖の行方は？  クールな優等生・和泉岳の正体が明らかになる痛快学園ホームコメディの第4話！！成宮寛貴  仲里依紗  本郷奏多  小柳友  川口春奈  鈴木亮平  皆川猿時  染谷将太  古田新太  堀ちえみ  大和田美帆  伊東四朗【連動データ放送】見逃した「ヤンキー君とメガネちゃん」はこちらで！  TBSオンデマンドで見逃し配信中！  詳しくは公式ホームページhttp://tod.tbs.co.jpをご覧ください！「ヤンキー君とメガネちゃん」原作コミックプレゼント！  1巻～16巻をセットにして抽選で15名様にプレゼントします。  応募は番組携帯サイトから。  【メニュー】→【TV】→【TBS】→【ヤンキー君とメガネちゃん】にアクセス！【主題歌】「ルーズリーフ」ヒルクライム「ヤンキー君とメガネちゃん」  吉河美希  （講談社「週刊少年マガジン」連載中）永田優子  （主要作品　「歌のお兄さん」「ダンディダディ」「告知せず」「ヒミツの花園」）吉田秋生北川雅一  杉浦美奈子TBSテレビ</t>
  </si>
  <si>
    <t>番組名金曜ドラマ「ヤンキー君とメガネちゃん」　第5話</t>
  </si>
  <si>
    <t>大地（成宮寛貴）と花（仲里依紗）は同級生の工藤（田村健太郎）とサオリ（夏目鈴）がもめている場面を目撃。花は二人のために生徒会主催で、ベストカップルコンテストを開こうと言い出す。一方、大地の母・聖（堀ちえみ）は、父（古田新太）のキャバクラ通いに怒って家出をしてしまう・・・。  恋の嵐が吹き荒れる、大人気ドラマの第5回！！成宮寛貴  仲里依紗  本郷奏多  小柳友  川口春奈  鈴木亮平  皆川猿時  古田新太  堀ちえみ  大和田美帆  伊東四朗【連動データ放送】見逃した「ヤンキー君とメガネちゃん」はこちらで！  TBSオンデマンドで見逃し配信中！  詳しくは公式ホームページhttp://tod.tbs.co.jpをご覧ください！【主題歌】「ルーズリーフ」ヒルクライム「ヤンキー君とメガネちゃん」  吉河美希  （講談社「週刊少年マガジン」連載中）永田優子  （主要作品　「歌のお兄さん」「ダンディダディ」「告知せず」「ヒミツの花園」）川嶋龍太郎北川雅一  杉浦美奈子TBSテレビ</t>
  </si>
  <si>
    <t>番組名金曜ドラマ「ヤンキー君とメガネちゃん」　第6話</t>
  </si>
  <si>
    <t>大地（成宮寛貴）は追試の教室で宮城純（石橋杏奈）に出会い、彼女こそ自分の探していた初恋の女性ではないかと思う。花（仲里依紗）は、純を勉強に誘うが、彼女は校則で禁止されているバイトをしたことがバレて、停学になってしまう。そんな時、担任の堺（皆川猿時）が何の前ぶれもなく大地の家に家庭訪問に訪れ、品川家は大騒ぎに・・・。成宮寛貴  仲里依紗  本郷奏多  小柳友  川口春奈  皆川猿時  石橋杏奈  浪岡一喜  古田新太  堀ちえみ  大和田美帆  伊東四朗【連動データ放送】見逃した「ヤンキー君とメガネちゃん」はこちらで！  TBSオンデマンドで見逃し配信中！  詳しくは公式ホームページhttp://tod.tbs.co.jpをご覧ください！【主題歌】「ルーズリーフ」ヒルクライム「ヤンキー君とメガネちゃん」  吉河美希  （講談社「週刊少年マガジン」連載中）永田優子  （主要作品　「歌のお兄さん」「ダンディダディ」「告知せず」「ヒミツの花園」）高成麻畝子北川雅一  杉浦美奈子TBSテレビ</t>
  </si>
  <si>
    <t>番組名金曜ドラマ「ヤンキー君とメガネちゃん」　第7話</t>
  </si>
  <si>
    <t>大地（成宮寛貴）たち2年A組は、実力テストに備えて“クラス合宿”を行うことになった。合宿先の温泉地に到着した一同は早速テストを受けるが、花（仲里依紗）だけが担任の堺（皆川猿時）の補習授業を受けることになる。補習のない大地は、千葉（小柳友）や凛風（川口春奈）の目から逃れ、一人で自由時間を過ごそうと外出。すると、通りがかった神社の境内で、父親を待つ幼い少年・壮太（田中理勇）と出会う。一人でいる壮太が気になり声をかける大地。すると、壮太を探しにやって来た母親・律子（坂井真紀）に紋白高校の生徒だと気づかれ、なぜか慌てて立ち去られてしまう。その夜、大地は花から「“頭の良くなる足湯”に行こう」と誘われるも、「一人で行け」とそっけない態度。夜中、寝付けない大地が外出すると、高校入試の際に出逢って以来、ずっと想い続けていた女の子と遭遇。大地は思い切って声をかけ、翌日の自由時間に逢う約束を取り付ける。翌朝、すっかり気分を良くして勉強にも意欲を見せる大地が授業を受けようとすると、そこには壮太が紛れ込んでいた。なんと壮太は堺の息子だったのだ！  担任の堺の家族の騒動にも巻き込まれる大地と花。大地の想い人との約束を守ることが出来るのか？花の誘いは…！？成宮寛貴  仲里依紗  本郷奏多  小柳友  川口春奈    皆川猿時  坂井真紀    古田新太  堀ちえみ【連動データ放送】見逃した「ヤンキー君とメガネちゃん」はこちらで！  TBSオンデマンドで見逃し配信中！  詳しくは公式ホームページhttp://tod.tbs.co.jpをご覧ください！【主題歌】「ルーズリーフ」ヒルクライム「ヤンキー君とメガネちゃん」  吉河美希  （講談社「週刊少年マガジン」連載中）永田優子  （主要作品　「歌のお兄さん」「ダンディダディ」「告知せず」「ヒミツの花園」）吉田秋生北川雅一  杉浦美奈子TBSテレビ</t>
  </si>
  <si>
    <t>番組名金曜ドラマ「ヤンキー君とメガネちゃん」　第8話</t>
  </si>
  <si>
    <t>幼い頃、父親・宙太（古田新太）の仕事をしている姿に尊敬を抱き、父親と同じ医師になりたいと考えている大地（成宮寛貴）。だが、医学部に通う優秀な姉がいるため自分は家族から期待されていないと感じ続けていたため、進学したいという思いを周囲に言い出せず、進路希望について話し合う担任・堺（皆川猿時）との三者面談をうやむやにしてしまう。一方、千葉（小柳友）も、宇宙に関わる勉強がしたいと“理系”への進学を考えていたが、母・エリコ（水野真紀）から法律事務所を営む父と同じ弁護士になるよう“文系”へ進路変更され、堺からもう一度三者面談をし直すよう促される。  自分の目指したいものを周囲に言い出す自信が持てず苛立つ大地と、親からの期待に応えるため自分の希望する進路変更するべきか悩む千葉。お互いに抱えている悩みに気付いた大地と千葉は、ふとしたことから激しい言い争いになる。  ふてくされた大地に花（仲里依紗）は…。成宮寛貴  仲里依紗  本郷奏多  鈴木亮平  皆川猿時  古田新太  堀ちえみ  伊東四朗【連動データ放送】見逃した「ヤンキー君とメガネちゃん」はこちらで！  TBSオンデマンドで見逃し配信中！  詳しくは公式ホームページhttp://tod.tbs.co.jpをご覧ください！【主題歌】「ルーズリーフ」ヒルクライム「ヤンキー君とメガネちゃん」  吉河美希  （講談社「週刊少年マガジン」連載中）永田優子  （主要作品　「歌のお兄さん」「ダンディダディ」「告知せず」「ヒミツの花園」）高成麻畝子北川雅一  杉浦美奈子TBSテレビ</t>
  </si>
  <si>
    <t>番組名金曜ドラマ「ヤンキー君とメガネちゃん」　第9話</t>
  </si>
  <si>
    <t>大地（成宮寛貴）、花（仲里依紗）たち生徒会の尽力で、紋白高校創立以来はじめての文化祭が開かれることになる。花はおばけ屋敷をやると大張り切り。  一方でハリケーン・アダを探す謎のヤンキー集団が出没。大地や花の仲間が、次々と襲われる。  果たして無事に文化祭は行われるのか？  ハリケーン・アダ（＝足立花）の正体はバレてしまうのか？  生徒会が最大のピンチを迎える、人気シリーズの第9話！！成宮寛貴  仲里依紗  本郷奏多  小柳友  川口春奈  鈴木亮平  浪岡一喜  皆川猿時  古田新太  堀ちえみ  大和田美帆  伊東四朗【連動データ放送】見逃した「ヤンキー君とメガネちゃん」はこちらで！  TBSオンデマンドで見逃し配信中！  詳しくは公式ホームページhttp://tod.tbs.co.jpをご覧ください！【主題歌】「ルーズリーフ」ヒルクライム「ヤンキー君とメガネちゃん」  吉河美希  （講談社「週刊少年マガジン」連載中）永田優子  （主要作品　「歌のお兄さん」「ダンディダディ」「告知せず」「ヒミツの花園」）吉田秋生北川雅一  杉浦美奈子TBSテレビ</t>
  </si>
  <si>
    <t>番組名金曜ドラマ「ヤンキー君とメガネちゃん」　第10話</t>
  </si>
  <si>
    <t>大地（成宮寛貴）は、花（仲里依紗）に報復するため紋白高校にやってきたヤンキーの長崎（古川雄大）たちと、花を庇って乱闘。大地は退学処分を覚悟するが、担任の堺（皆川猿時）の指示で正式な処分が決まるまで自宅謹慎することになる。  一方、花は大地が退学処分にならないよう千葉（小柳友）や凛風（川口春奈）とクラスメイトたちに嘆願署名を募るが、反応は冷たく誰も署名に応じてくれない。自分がヤンキー時代に買った恨みのせいで大地がケンカに巻き込まれたとクラスメイトに話そうとする花を、和泉（本郷奏多）は「大地の気持ちを無駄にするな」とたしなめる。大地の思いを組んで長崎の挑発に乗らない花。すると長崎は、和泉にケンカを仕掛け、和泉までも自宅謹慎となる。副会長の大地と和泉が暴力事件を起こしたことで、花、千葉、凛風の三人は堺から生徒会役員を改選することになるかもしれないと告げられる…成宮寛貴  仲里依紗  本郷奏多  小柳友  川口春奈  鈴木亮平  皆川猿時  染谷将太  古川雄大  古田新太  堀ちえみ  大和田美帆  伊東四朗【連動データ放送】見逃した「ヤンキー君とメガネちゃん」はこちらで！  TBSオンデマンドで見逃し配信中！  詳しくは公式ホームページhttp://tod.tbs.co.jpをご覧ください！【主題歌】「ルーズリーフ」ヒルクライム「ヤンキー君とメガネちゃん」  吉河美希  （講談社「週刊少年マガジン」連載中）永田優子  （主要作品　「歌のお兄さん」「ダンディダディ」「告知せず」「ヒミツの花園」）高成麻畝子北川雅一  杉浦美奈子TBSテレビ</t>
  </si>
  <si>
    <t>1004_TBS_土20</t>
  </si>
  <si>
    <t>タンブリング</t>
  </si>
  <si>
    <t>番組名タンブリング　第1話</t>
  </si>
  <si>
    <t>['18', '20']</t>
  </si>
  <si>
    <t>烏森高校のヤンキー東航（山本裕典）は単位不足を補うため部活をやることに。だが、気が短い航は何をやっても続かない。そんな時、美人転校生・里中茉莉（岡本あずさ）が男子新体操部のエース火野（西島隆弘）のタンブリング（＝宙返り）を褒めたことで、男子新体操部に仮入部することになる。乱暴な航の仮入部に悠太（瀬戸康史）たちは戸惑うばかりだった。そんなある日、悠太たちは街でヤンキーたちに絡まれる。助けに入った航だったが・・・・。山本裕典  瀬戸康史  三浦翔平  大東俊介  西島隆弘  冨浦智嗣  柳下大  賀来賢人  タモト清嵐    国仲涼子    AKIRA  大塚寧々「まなざし」　Honey　L　Days（avex　trax）放送後にプレゼントの告知があります！！【連動データ放送】江頭美智留松田礼人加藤章一  新井順子  米田理恵http://www.tbs.co.jp/tumbling  DHE  ドリマックステレビジョン　TBS</t>
  </si>
  <si>
    <t>番組名タンブリング　第2話</t>
  </si>
  <si>
    <t>交流会を機に悠太が新体操から距離を置き、体操部がバラバラになりかける。そんな部員たちを立ち直らせようと、航はより一層新体操に熱中していく。しかしいつしか亮介と行動する時間が減り二人の間に壁が出来てしまう…。山本裕典  瀬戸康史  三浦翔平  大東俊介  西島隆弘  冨浦智嗣  柳下大  賀来賢人  タモト清嵐    国仲涼子  AKIRA    大塚寧々  放送後にプレゼントの告知があります！！【連動データ放送】「まなざし」　Honey　L　Days（avex　trax）江頭美智留  渡辺啓倉貫健二郎加藤章一  新井順子  米田理恵http://www.tbs.co.jp/tumbling  DHE  ドリマックステレビジョン　TBS</t>
  </si>
  <si>
    <t>番組名タンブリング　第3話</t>
  </si>
  <si>
    <t>亮介・日暮里も新体操部に加わり、より一層活気づく新体操部。新しいマットを購入すべく賞金10万円が貰えるという祭りに参加することに。しかし皆が一生懸命練習する中、日暮里が練習をサボる様になっていく。航が理由を説いても日暮里は答えない。いつしか部員たちから日暮里への信頼が薄れていくように…。山本裕典  瀬戸康史  三浦翔平  大東俊介  西島隆弘  冨浦智嗣  柳下大  賀来賢人  タモト清嵐    国仲涼子  AKIRA    大塚寧々「まなざし」　Honey　L　Days（avex　trax）放送後にプレゼントの告知があります！！【連動データ放送】清水友佳子松田礼人加藤章一  新井順子  米田理恵http://www.tbs.co.jp/tumbling  DHE  ドリマックステレビジョン　TBS</t>
  </si>
  <si>
    <t>番組名タンブリング　第4話</t>
  </si>
  <si>
    <t>航たちに因縁をつけ始めた赤羽たち。その怒りの矛先は木山にまで向けられる。ある噂を赤羽に流され、木山は学校中から白い目で見られるように…。唯一航だけは木山を信じるが皆の疑いは晴れない。そんな時、土屋は木山に命を救われる。明らかになった土屋の病気、そして暴かれていく木山の過去。果たして新体操部は彼ら二人の真実をどう受け止め部活動に取り組んでいくのか・・・？山本裕典  瀬戸康史  三浦翔平  大東俊介  西島隆弘  冨浦智嗣  柳下大  賀来賢人  タモト清嵐    国仲涼子  AKIRA    大塚寧々「まなざし」　Honey　L　Days（avex　trax）放送後にプレゼントの告知があります！！【連動データ放送】清水友佳子倉貫健二郎加藤章一  新井順子  米田理恵http://www.tbs.co.jp/tumbling  DHE  ドリマックステレビジョン　TBS</t>
  </si>
  <si>
    <t>番組名タンブリング　第5話</t>
  </si>
  <si>
    <t>帝都大学に合宿に行くことになった烏森新体操部。そこで待ち受けていた帝都大学のコーチ高杉はとても厳しく航たちに倉庫の片付けや窓拭きをさせ、新体操の練習をさせない。それ所かマットにも上げさせてくれない。そんな高杉にイライラしつつも言われた通りに作業をこなして行く。そんな時、水沢のある秘密が部員逹に知られてしまう…。山本裕典  瀬戸康史  三浦翔平  大東俊介  西島隆弘  冨浦智嗣  柳下大  賀来賢人  タモト清嵐    国仲涼子  AKIRA    大塚寧々「まなざし」　Honey　L　Days（avex　trax）放送後にプレゼントの告知があります！！【連動データ放送】渡辺啓松田礼人加藤章一  新井順子  米田理恵http://www.tbs.co.jp/tumbling  DHE  ドリマックステレビジョン　TBS</t>
  </si>
  <si>
    <t>番組名タンブリング　第6話</t>
  </si>
  <si>
    <t>大会を勝ち抜くために新たに「交差技」を取り入れることにした男子新体操部。その交差技の練習中にアクシデントが起きる。ある夜の公園。航は悠太が一人段ボールに向かって走っていく姿を目にする。一体何のために…？一方、突如として明らかになったある男の存在。その男と航との関係とは・・・？山本裕典  瀬戸康史  三浦翔平  大東俊介  西島隆弘  冨浦智嗣  柳下大  賀来賢人  タモト清嵐    国仲涼子  AKIRA    大塚寧々「まなざし」　Honey　L　Days（avex　trax）放送後にプレゼントの告知があります！！【連動データ放送】清水友佳子浜　弘大加藤章一  新井順子  米田理恵http://www.tbs.co.jp/tumbling  DHE  ドリマックステレビジョン  TBSテレビ</t>
  </si>
  <si>
    <t>番組名タンブリング　第7話</t>
  </si>
  <si>
    <t>父との再会を果たした航だがその事実を受け入れられないでいる。しかし奈都子から過去のことを聞き、航は今の自分を見に来てほしいと父に告げ県予選会のチラシを渡す。一方火野は父との関係が上手くいっておらず新体操を続けるなら烏森から転向させると言われ、その反抗から予選会には出ないと言い出す。それを聞いた航が火野親子に向けて言った言葉とは・・・。山本裕典　  瀬戸康史　  三浦翔平　  大東俊介　  西島隆弘　  冨浦智嗣　  柳下大　  賀来賢人　  タモト清嵐    国仲涼子    AKIRA  大塚寧々「まなざし」　Honey　L　Days（avex　trax）放送後にプレゼントの告知があります！！【連動データ放送】清水友佳子倉貫　健二郎加藤章一　  新井順子　  米田理恵http://www.tbs.co.jp/tumbling  DHE  ドリマックステレビジョン　  TBSテレビ</t>
  </si>
  <si>
    <t>番組名タンブリング　第8話</t>
  </si>
  <si>
    <t>関東大会を勝ち抜くためにダンス・曲制作など様々な要素を取り入れようと試行錯誤する。そこで新たな新体操コーチを呼び振りと曲を考えてもらうことにした航たち。そんなことも知らず新体操部のためにと色々な資料集めに勤しむ柏木。そんなコーチに教えてもらっていた演目にはある事実があった。それを知った航たち、そして柏木は・・・。山本裕典  瀬戸康史  三浦翔平  大東俊介  西島隆弘  冨浦智嗣  柳下大  賀来賢人  タモト清嵐    国仲涼子  AKIRA    大塚寧々「まなざし」　Honey　L　Days（avex　trax）放送後にプレゼントの告知があります！！【連動データ放送】渡辺　啓松田　礼人加藤章一  新井順子  米田理恵http://www.tbs.co.jp/tumbling  DHE  ドリマックステレビジョン　TBSテレビ</t>
  </si>
  <si>
    <t>番組名タンブリング　第9話</t>
  </si>
  <si>
    <t>航（山本裕典）たちのクラスに転校生・矢代（佐野和真）がやってきた。  転校早々に航を殴り「俺がカラ高のアタマだ」と宣言した矢代。  悠太（瀬戸康史）を始めとした男子新体操部員たちは矢代に不気味さを感じるが、小学校のころに矢代と親しかったという金子（タモト清嵐）だけは彼を男子新体操部に誘う。関東大会に向けて着々と準備を進める部員たち。難しい組技を取り入れ、打倒鷲津学院を誓う。  そんな時、部室でボヤ騒ぎが起こる。  タバコの火の不始末が原因とされ一同は教頭（小林すすむ）から詰問されるが、航たちには身に覚えがない。山本裕典  瀬戸康史  三浦翔平  大東俊介  西島隆弘  冨浦智嗣  柳下大  賀来賢人  タモト清嵐    国仲涼子  AKIRA    大塚寧々「まなざし」　Honey　L　Days（avex　trax）放送後にプレゼントの告知があります！！【連動データ放送】江頭美智留松田礼人加藤章一  新井順子  米田理恵http://www.tbs.co.jp/tumbling  DHE  ドリマックステレビジョン　TBS</t>
  </si>
  <si>
    <t>番組名タンブリング　第10話</t>
  </si>
  <si>
    <t>ようやく関東大会に向けて男子新体操の結束が固まり始めたわけだが蓋を開けてみたら問題ばかり起こしている烏森新体操部に出場を辞退するよう新体操協会は勧告してきた。なんとか自分たちの生徒を出場させようと柏木は走り回る。一方でその大会でレギュラーを選ぶことにした体操部。それぞれ共に汗を流したメンバーがライバルになる。果たして結果はどうなるのか・・・？山本裕典  瀬戸康史  三浦翔平  大東俊介  西島隆弘  冨浦智嗣  柳下大  賀来賢人  タモト清嵐  国仲涼子  AKIRA  大塚寧々「まなざし」　Honey　L　Days（avex　trax）放送後にプレゼントの告知があります！！【連動データ放送】清水　友佳子倉貫　健二郎  加藤章一  新井順子  米田理恵http://www.tbs.co.jp/tumbling  DHE  ドリマックステレビジョン　TBSテレビ</t>
  </si>
  <si>
    <t>番組名タンブリング　第11話</t>
  </si>
  <si>
    <t>赤羽のもとに向かった航。どんなに熱くなれたスポーツでも友情を選んだ。みんなが試合に出られるように自分が犠牲になるという思いも込めて・・・。航がきっかけで新体操を始めた亮介・日暮里。期限付きで入部を許した悠太たち新体操部。気が付けば皆ひとつの目標に向かって突っ走っていた。残された新体操部たちは「全員での出場」を果たせずに試合に出てしまうのか…？山本裕典  瀬戸康史  三浦翔平  大東俊介  西島隆弘  冨浦智嗣  柳下大  賀来賢人  タモト清嵐    国仲涼子  AKIRA    大塚寧々「まなざし」　Honey　L　Days（avex　trax）放送後にプレゼントの告知があります！！【連動データ放送】渡辺　啓  江頭　美智留松田礼人加藤章一  新井順子  米田理恵http://www.tbs.co.jp/tumbling  DHE  ドリマックステレビジョン　TBSテレビ</t>
  </si>
  <si>
    <t>1004_TBS_日21</t>
  </si>
  <si>
    <t>新参者</t>
  </si>
  <si>
    <t>番組名日曜劇場「新参者」第1話</t>
  </si>
  <si>
    <t>物語の舞台は日本橋・人形町。一人の女性が殺害され、その事件担当になったのが、日本橋署に異動してきたばかりの“ニューカマー”加賀恭一郎（阿部寛）。容疑者は人形町を行き交う人々全員。新参者・加賀は人形町の複雑に入り組んだ人間関係を紐解いていくうちに、ある煎餅屋に行きあたる。その煎餅屋に出入りしていた営業マン・田倉慎一（香川照之）は被害者宅に出入りしており、しかも犯行時刻にアリバイがなかった。  煎餅屋の娘・菜穂（杏）や祖母・聡子（市原悦子）は、田倉のことを全く疑っていないが、捜査が進むにつれ、田倉への疑惑は深まるばかりだった。阿部寛  黒木メイサ  向井理  溝端淳平  マイコ  木村祐一  草刈民代  泉谷しげる  笹野高史  原田美枝子  三浦友和    【スペシャルゲスト】  香川照之  杏  津田寛治  阿南健治  内海桂子  麻生祐未  (他)【協力】  人形町商店街協同組合・甘酒横町商店会【連動データ放送】菅野祐吾    【音楽プロデューサー】  志田博英    【主題歌】  山下達郎『街物語（まちものがたり）』  （ワーナーミュージック・ジャパン）【原作】  東野圭吾『新参者』（講談社）  【脚本】  牧野圭祐  真野勝成山室大輔伊與田英徳  中井芳彦http://www.tbs.co.jp/shinzanmono/ndex-j.html  TBSテレビ</t>
  </si>
  <si>
    <t>番組名日曜劇場「新参者」第2話</t>
  </si>
  <si>
    <t>第2章「料亭の小僧」。小伝馬町に越してきたばかりの女性・三井峯子の殺害現場にあった人形焼は特注品だった。その特注品と同じものを買った佐々木修平（石黒英雄）が勤める料亭「まつ矢」への捜査が始まる。その料亭の女将・頼子（夏川結衣）は、女にうつつを抜かし、主人としても特に働かない夫・泰治（寺島進）に愛想を尽かしているようだった。修平は加賀（阿部寛）の執拗な聞き込みにも関わらず、人形焼は全部自分で食べたと証言し、誰かをかばっているようだった。その人形焼の容器には指紋がついており、3つのうち1つだけ誰のものか分からなかった。人形焼の容器についた指紋は誰のもので、修平がかばっているのは誰なのか・・・。阿部寛  黒木メイサ  向井理  溝端淳平  マイコ  木村祐一  草刈民代  泉谷しげる  笹野高史  原田美枝子  三浦友和    【スペシャルゲスト】  夏川結衣  石黒英雄  宮地真緒  寺島進【協力】  人形町商店街協同組合・甘酒横町商店会【連動データ放送】菅野祐吾    【音楽プロデューサー】  志田博英    【主題歌】  山下達郎『街物語（まちものがたり）』  （ワーナーミュージック・ジャパン）【原作】  東野圭吾『新参者』（講談社）  【脚本】  真野勝成  牧野圭祐平野俊一伊與田英徳  中井芳彦http://www.tbs.co.jp/shinzanmono/ndex-j.html  TBSテレビ</t>
  </si>
  <si>
    <t>番組名日曜劇場「新参者」　第3話</t>
  </si>
  <si>
    <t>三井峯子（原田美枝子）が殺害される直前に、パソコンからメールを送っていたことがわかった。宛先は瀬戸物屋「柳沢商店」に、半年前に嫁いできた麻紀（柴本幸）。麻紀と姑の鈴江（倍賞美津子）は、ある事件以来、お互いに口もきかないほどの不仲だった。柳沢商店を訪ねた加賀（阿部寛）に、麻紀は峯子のことを「お客」であるというだけで、個人的な関係までは明かさなかった。そこに何かあると感じた加賀はあえてメールの内容に触れず、独自に動き始める。  相変わらず峯子の息子である弘毅を見つけられない捜査本部は苛立っていた。峯子の葬儀当日。そこに現れたのは・・・。阿部寛  黒木メイサ  向井理  溝端淳平  マイコ  木村祐一  草刈民代  泉谷しげる  笹野高史  原田美枝子  三浦友和    【スペシャルゲスト】  倍賞美津子  大倉孝二  柴本幸  小倉優子  前川清【協力】  人形町商店街協同組合・甘酒横町商店会【連動データ放送】菅野祐悟    【音楽プロデューサー】  志田博英    【主題歌】  山下達郎『街物語（まちものがたり）』  （ワーナーミュージック・ジャパン）【原作】  東野圭吾『新参者』（講談社）    【脚本】  牧野圭祐  真野勝成韓哲伊與田英徳  中井芳彦http://www.tbs.co.jp/shinzanmono/ndex-j.html  TBSテレビ</t>
  </si>
  <si>
    <t>番組名日曜劇場「新参者」　第4話</t>
  </si>
  <si>
    <t>「いつもの広場で、子犬の頭を撫でていたら、今日も小舟町の時計屋さんと会いました。お互いマメですね、と笑い合いました」。  三井峯子（原田美枝子）が殺害される直前に書いていたメールには、こう記されていた。当日の峯子の足取りを探っていた加賀恭一郎（阿部寛）と松宮脩平（溝端淳平）は、早速「小舟町の時計屋」こと寺田時計店店主・寺田玄一（原田芳雄）のところに赴く。玄一は、当日愛犬のドン吉の散歩をしていたところ、峯子と出会ったと話す。しかし、肝心の場所を問われると「…浜町公園だ」と証言。しかし、玄一のいう公園で峯子を目撃したという人間はいなかった。加賀は再び玄一を訪れ、峯子と会った場所を確認したが「いつもの公園で会った」の一点張り。一方峯子は、メールに「子犬の頭をなでていた」とも書いていた。しかし、当日公園で子犬を見たという証言も取れない。それなのに自分だけは峯子に会い、子犬も見たと言い張る玄一に、加賀は不信感をぬぐえない。  玄一は何かを隠しているのだろうか…？玄一の証言に納得しない加賀は、時計店の従業員・米岡彰文（恵俊彰）に頼んで、ドン吉の散歩に同行させてもらう。「いつもと同じコースを歩くだけ」という米岡だが、ドン吉は道をはずれて、とある方向に向かい出した。    ドン吉の向かった先には何があるのか？玄一の隠し事とは？加賀が追う、三井峯子の足取りとは… 阿部寛  黒木メイサ  向井理  溝端淳平  マイコ  木村祐一  草刈民代  泉谷しげる  笹野高史  原田美枝子  三浦友和    【スペシャルゲスト】  原田芳雄  恵俊彰  宮路真緒  (他)【協力】  人形町商店街協同組合・甘酒横町商店会【連動データ放送】菅野祐吾    【音楽プロデューサー】  志田博英    【主題歌】  山下達郎『街物語（まちものがたり）』  （ワーナーミュージック・ジャパン）【原作】  東野圭吾『新参者』（講談社）  【脚本】  牧野圭祐  真野勝成山室大輔伊與田英徳  中井芳彦http://www.tbs.co.jp/shinzanmono/ndex-j.html  TBSテレビ</t>
  </si>
  <si>
    <t>番組名日曜劇場「新参者」　第5話</t>
  </si>
  <si>
    <t>加賀恭一郎（阿部寛）と松宮脩平（溝端淳平）らは、三井峯子（原田美枝子）のパソコンメールの履歴を洗い出し、犯行に関係あるものがないか、相手先の確認を急いでいた。最後に残ったのが友人の真知子（綾戸智恵）に宛てていたものだった。「しばらく見守ることにしました。店には何度も通っているから怪しまれているかも」という不思議な内容のメール。「しばらく見守る」とはどういうことか？「足繁く通う店」とは一体どこか？    その後連絡が取れた真知子からそのメールの真意を説明すると、ある事実が浮かんできた。それは以前、真知子は峯子の息子・弘毅（向井理）とその恋人・亜美（黒木メイサ）をこの小伝馬町で見かけたことがあり、その恋人が入っていった勤務先のお店を教えたという。加賀と松宮は殺害された峯子が持っていたレシートから、彼女が洋菓子店「クアトロ」を頻繁に利用していたと推測する。加賀がその店を訪れると、店員の美雪（紺野まひる）は峯子をよく覚えているという。「ただのお客さんです。」美雪はそう言うが、加賀には引っかかるものがあった。どうやら美雪は何かを隠しているようだった…。美雪と峯子の本当の関係は？美雪は何を隠しているのだろうか？ 阿部寛  黒木メイサ  向井理  溝端淳平  マイコ  木村祐一  草刈民代  泉谷しげる  笹野高史  原田美枝子  三浦友和    【スペシャルゲスト】  紺野まひる  綾戸智恵【協力】  人形町商店街協同組合・甘酒横町商店会【連動データ放送】菅野祐吾    【音楽プロデューサー】  志田博英    【主題歌】  山下達郎『街物語（まちものがたり）』  （ワーナーミュージック・ジャパン）【原作】  東野圭吾『新参者』（講談社）  【脚本】  牧野圭祐  真野勝成山室大輔伊與田英徳  中井芳彦http://www.tbs.co.jp/shinzanmono/ndex-j.html  TBSテレビ</t>
  </si>
  <si>
    <t>番組名日曜劇場「新参者」　第6話</t>
  </si>
  <si>
    <t>三井峯子（原田美枝子）殺害事件の日、彼女はある友人と約束を交わしていた。それは峯子殺害の第一発見者となってしまった親友・多美子（草刈民代）。その約束の時間を引き延ばした間に峯子は殺されてしまった。「自分が約束の時間を変えなければ…」。多美子は罪の意識にかられていた。クアトロの美雪（紺野まひる）の証言から、クアトロでケーキを選んでいた峯子の携帯に、ある公衆電話から電話をかけてきた人間がいたようだ。刑事の加賀（阿部寛）と松宮（溝端淳平）は、峯子の遺体を最初に発見した多美子を訪ね、周りに携帯電話をなくしている知人がいるかどうか尋ねた。多美子は心当たりがないと答えるが、実際には日系イギリス人で映像作家の恋人コウジ・タチバナ（谷原章介）が公衆電話から電話をかけてきていて、とっさに嘘をついたのだ。まさか自分の恋人が…！？親友の殺害に関係があるというのだろうか？阿部寛  黒木メイサ  向井理  溝端淳平  マイコ  木村祐一  草刈民代  泉谷しげる  笹野高史  原田美枝子  三浦友和    【スペシャルキャスト】  谷原章介ドラマ「新参者」原作本が、抽選で50名様に当たります！プレゼントへの応募はTBS公式携帯サイトから！  メニュー→テレビ→TBS→新参者  締切：5月31日(月)  当選は発表をもってかえさせて頂きます【協力】  人形町商店街協同組合・甘酒横町商店会【連動データ放送】菅野祐悟    【音楽プロデューサー】  志田博英    【主題歌】  山下達郎『街物語（まちものがたり）』  （ワーナーミュージック・ジャパン）【原作】  東野圭吾『新参者』（講談社）  【脚本】  牧野圭祐  真野勝成韓　哲伊與田英徳  中井芳彦http://www.tbs.co.jp/shinzanmono/ndex-j.html  TBSテレビ</t>
  </si>
  <si>
    <t>番組名日曜劇場「新参者」　第7話</t>
  </si>
  <si>
    <t>親友の吉岡多美子（草刈民代）の証言から推察するに、殺人事件の被害者・峯子（原田美枝子）は生前、離婚による財産分与について後悔しているようだったことが分かる。夫の清瀬直弘（三浦友和）の会社では、直弘は浮気をしており、その相手は社長秘書の祐理（マイコ）ではないかと噂がでていた。捜査本部でも彼女のことが原因で二人は離婚、果ては浮気の発覚を恐れて清瀬が峯子を殺害したという疑いを持つ。上杉刑事（泉谷しげる）は、清瀬を追い詰めようと主張し、小嶋（木村祐一）は証拠が挙がってからと慎重な構えだが…。加賀（阿部寛）は清瀬の息子・弘毅（向井理）に、父親の女性関係について尋ねるが、浮気など考えられないという。清瀬の身辺を探る加賀と上杉が次に向かったのは、清瀬が経営している会社の税理士・岸田要作（笹野高史）だった。清瀬とは30年来の付き合いだというが、岸田は彼の周りに女性の影はないと断言した。阿部寛  黒木メイサ  向井理  溝端淳平  マイコ  木村祐一  草刈民代  泉谷しげる  笹野高史  原田美枝子  三浦友和ドラマ「新参者」原作本が、抽選で50名様に当たります！プレゼントへの応募はTBS公式携帯サイトから！  メニュー→テレビ→TBS→新参者  締切：5月31日(月)  当選は発表をもってかえさせて頂きます【協力】  人形町商店街協同組合・甘酒横町商店会【連動データ放送】菅野祐吾    【音楽プロデューサー】  志田博英    【主題歌】  山下達郎『街物語（まちものがたり）』  （ワーナーミュージック・ジャパン）【原作】  東野圭吾『新参者』（講談社）  【脚本】  牧野圭祐  真野勝成石井康晴伊與田英徳  中井芳彦http://www.tbs.co.jp/shinzanmono/ndex-j.html  TBSテレビ</t>
  </si>
  <si>
    <t>番組名日曜劇場「新参者」　第8話</t>
  </si>
  <si>
    <t>残された手がかりから峯子（原田美枝子）殺害事件の動機が最も大きいと考えられる最重要人物として、元夫の清瀬直弘（三浦友和）と秘書の祐理（マイコ）が捜査線上に浮かび上がった。「2人は不倫発覚を恐れて峯子を殺害した」というシナリオを裏付けるために、捜査本部は清瀬たちの見張りを開始した。事件当日のアリバイ証言も曖昧で、2人が口裏を合わせているだけかもしれない。共犯を疑われる清瀬と祐理は、24時間態勢で徹底的にマークされた。  そんな中、加賀（阿部寛）はしばらく泳がせておこうという捜査本部の方針に反し、疑いをかけられている清瀬と祐理に直接ぶつかった。清瀬は祐理のことを単なる秘書だと言い張るが、加賀は祐理のネックレスと指輪に注目していた。高級なダイヤのネックレスに比べて、左手の小指にはめられた指輪はかなり古そうな印象だ。加賀は誰からのプレゼントだと聞くが祐理は答えず、清瀬も知らないと話をそらした。  次に加賀が向かったのは、清瀬とは30年来の間柄という税理士の岸田（笹野高史）だった。そこで加賀は、清瀬が以前通っていた銀座のクラブの存在を知る。  加賀は清瀬と祐理の事件当日のアリバイを崩し、犯行を実証できるのか？阿部寛  黒木メイサ  向井理  溝端淳平  マイコ  木村祐一  泉谷しげる  笹野高史  原田美枝子  三浦友和    【スペシャルゲスト】  和田正人  吉井怜  速水もこみち【協力】  人形町商店街協同組合・甘酒横町商店会【連動データ放送】菅野祐吾    【音楽プロデューサー】  志田博英    【主題歌】  山下達郎『街物語（まちものがたり）』  （ワーナーミュージック・ジャパン）【原作】  東野圭吾『新参者』（講談社）  【脚本】  牧野圭祐  真野勝成山室大輔伊與田英徳  中井芳彦http://www.tbs.co.jp/shinzanmono/ndex-j.html  TBSテレビ</t>
  </si>
  <si>
    <t>番組名日曜劇場「新参者」　第9話</t>
  </si>
  <si>
    <t>清瀬直弘（三浦友和）と祐理（マイコ）の関係が親子だとわかり、峯子（原田美枝子）殺害について二人の共犯説は消えたものの、清瀬のアリバイが怪しくなってきた。犯行時刻には自分の会社にいたというが、その時間に電話をしたが誰も出なかったと証言した人間が現れたのだ。清瀬の会社の税理士・岸田要作（笹野高史）の息子・克哉（速水もこみち）だ。清瀬はその時間、事務所でなく倉庫にいたので電話は聞こえなかったと加賀（阿部寛）に説明する。  加賀は克哉の自宅を訪ね、さらに詳しく電話の件を探った。すると、ひょんなことから克哉自身の犯行当日の行動が曖昧なことが判明し、加賀の矛先は克哉にも向くことになる。さらにその克哉が、峯子とは6年前に会ったのが最後と言うものの、峯子が引っ越した最新の住所が記された転居通知を持っていた。ということは、克哉は殺害現場である彼女のマンションに行くこともできるし、それを清瀬に知らせることもできたわけだ。克哉は本当に峯子を殺したのであろうか？克哉の隠していることは一体？  ついに、峯子殺人事件の本命容疑者の登場か！？阿部寛  黒木メイサ  向井理  溝端淳平  マイコ  木村祐一  草刈民代  泉谷しげる  笹野高史  原田美枝子  三浦友和    【スペシャルゲスト】  速水もこみち【協力】  人形町商店街協同組合・甘酒横町商店会【連動データ放送】菅野祐吾    【音楽プロデューサー】  志田博英    【主題歌】  山下達郎『街物語（まちものがたり）』  （ワーナーミュージック・ジャパン）【原作】  東野圭吾『新参者』（講談社）  【脚本】  牧野圭祐  真野勝成平野俊一伊與田英徳  中井芳彦http://www.tbs.co.jp/shinzanmono/ndex-j.html  TBSテレビ</t>
  </si>
  <si>
    <t>番組名日曜劇場「新参者」　第10話</t>
  </si>
  <si>
    <t>峯子殺人事件の重要参考人として、松宮と加賀は、動機があり、しかもアリバイのない元夫の清瀬に日本橋署まで同行を求めた。同時に、事件当日に被害者と一緒にいるところを目撃されている克哉も署に呼ばれる。清瀬が克哉に金を渡していたという証言もあり、二人は共犯かもしれないというのが警察の見方だった。共犯の疑いがある克哉は「峯子さんとは6年前に会ったのが最後だ」と言っていたが、それは嘘だった。しかも自分の息子のためにフィギュア専門店に行っていたのに、そこにも行っていないと偽っている。加賀は克哉の数々の嘘を見抜き、事実を証言するよう迫った。克哉の贅沢な生活、清瀬から受け取った現金、事件当日の峯子への訪問…。なぜ、克哉は嘘をついているのか。清瀬の隠し事とはいったい何か。  峯子殺人事件とのつながりはどこにあるのだろうか？  真犯人は元夫の清瀬か？  それとも顔見知りの克哉なのか？阿部寛  黒木メイサ  向井理  溝端淳平  マイコ  木村祐一  泉谷しげる  笹野高史  原田美枝子  三浦友和    【スペシャルゲスト】  速水もこみち  早乙女太一  香川照之  みのもんた【協力】  人形町商店街協同組合・甘酒横町商店会【連動データ放送】菅野祐悟    【音楽プロデューサー】  志田博英    【主題歌】  山下達郎『街物語（まちものがたり）』  （ワーナーミュージック・ジャパン）【原作】  東野圭吾『新参者』（講談社）  【脚本】  牧野圭祐  真野勝成山室大輔伊與田英徳  中井芳彦http://www.tbs.co.jp/shinzanmono/  TBSテレビ</t>
  </si>
  <si>
    <t>1001_TBS_金22</t>
  </si>
  <si>
    <t>ヤマトナデシコ七変化</t>
  </si>
  <si>
    <t>番組名ヤマトナデシコ七変化</t>
  </si>
  <si>
    <t>「顔か心か？」絶世のイケメン4人が住むメゾンに、大家の姪でホラー好きの引篭もり少女スナコがやって来た。彼女をレディにすれば家賃タダという命題に、貧乏大学生の恭平は挑もうとした矢先、スナコが何者かに誘拐される。嫉妬深い恭平たちのストーカーの仕業か？捜索に北海道まで飛んだ恭平は、スナコの幼馴染の雪女（ゆきめ）に出会い、驚愕の事実を聞く。再び、恭平は東京に舞い戻り、女装した仲間たちと悪徳ホストまさおの元に乗り込むが…亀梨和也　手越祐也　大政絢　内博貴　宮尾俊太郎　加藤清史郎　神戸蘭子　志保　花形綾沙　小林涼子　内田朝陽　デビット伊東　星野亜希　大杉漣　高島礼子【データー連動放送】「Love yourself～君が嫌いな君が好き～」  　KATーTUN（J-ONE RECORDS)  はやかわともこ  「ヤマトナデシコ七変化　」  別冊フレンド（講談社）  篠崎絵里子山下康介石井康晴石井康晴　三城真一TBSテレビ</t>
  </si>
  <si>
    <t>「初キス」恭平（亀梨）を愛するあまりスナコ（大政）を消そうと企むまり（星野）は驚くべき作戦を練る。一方、美音（高島）が突然帰国するとの知らせを受け喜ぶタケル（清史郎）をよそに雪之丞（手越）、蘭丸（宮尾）、恭平はレディになっていないスナコを隠せと大慌て！冷静な武長（内）が玄関まで迎えに行くとそこに現れたのは…  今週はスナコが七変化！お人形のようにキュートになったスナコに恭平はキスを!?  亀梨和也　手越祐也　大政絢　内博貴　宮尾俊太郎　加藤清史郎　神戸蘭子　志保　花形綾沙　小林涼子　内田朝陽　デビット伊東　星野亜希　大杉漣　高島礼子【データー連動放送】「Love yourself～君が嫌いな君が好き～」  　KATーTUN（J-ONE RECORDS)  はやかわともこ  「ヤマトナデシコ七変化　」  別冊フレンド（講談社）  篠崎絵里子山下康介石井康晴石井康晴　三城真一TBSテレビ</t>
  </si>
  <si>
    <t>「愛…？」何としてでも恭平たちを物にしようとするアラサーのまり達の工作は悉く失敗、逆にストーカーであることが知られてしまう始末。逆ギレしたまりはスナコが命の次に大事にしている人体模型のひろし君をモノジチに奪い去ってしまう。行方不明になったひろしを捜し、さまよい歩くスナコ…恭平たちの必死の捜索によって行き倒れになっていたスナコは救われる。「ちょっとは俺たちを頼れ」と言い残し、恭平は一人まりの家へと向かうが亀梨和也　手越祐也　大政絢　内博貴　宮尾俊太郎　加藤清史郎　神戸蘭子　志保　花形綾沙　奥田恵梨華　伊藤麻実子　鈴木美恵　星野亜希　大杉漣　高島礼子【データー連動放送】「Love yourself～君が嫌いな君が好き～」  　KATーTUN（J-ONE RECORDS)  はやかわともこ  「ヤマトナデシコ七変化　」  別冊フレンド（講談社）  篠崎絵里子山下康介川嶋龍太郎石井康晴　三城真一TBSテレビ</t>
  </si>
  <si>
    <t>「結婚なんてさせねェ」スナコが美音の薦めでお金持ちのイケメンとお見合い！お見合い会場には恭平たちも駆けつけるが、そこに現れた相手は、お見合い写真とは似ても似つかない人物。ところがスナコと彼には意外な共通点があって…。  スナコとお見合い相手である久留米との結婚話がどんどん進む一方で、恭平は胸のもやもやの原因がつかめないでいた。亀梨和也　手越祐也　大政絢　内博貴　宮尾俊太郎　加藤清史郎　神戸蘭子　志保　花形綾沙　温水洋一　蓮ハルク　長谷川初範　  茅島成美　大杉漣　高島礼子【データー連動放送】「Love yourself～君が嫌いな君が好き～」  　KATーTUN（J-ONE RECORDS)  はやかわともこ  「ヤマトナデシコ七変化　」  別冊フレンド（講談社）  篠崎絵里子山下康介川嶋龍太郎石井康晴　三城真一TBSテレビ</t>
  </si>
  <si>
    <t>「対決！恭平vs雪之丞」恭平たちにとって史上最悪の日、バレンタインデー！混乱を避けるため、カーテンも締め切り篭城する。それでも届けられるチョコの仕分けをしていた雪之丞の様子が次第におかしくなっていく。アメリカに留学した恋人のまちこちゃんからのチョコが届いていないのだ。すれ違い気味の遠恋に悩む雪之丞は、いたいけなスナコに共感し、素直に心を開かない恭平に苛立ち衝突する。そんな中バレンタインに恨みを残す亡霊がスナコにとり憑く！亀梨和也　手越祐也　大政絢　内博貴　宮尾俊太郎　加藤清史郎　神戸蘭子　志保　花形綾沙　本仮屋ユイカ　佐藤江梨子　大杉漣　高島礼子【データー連動放送】「Love yourself～君が嫌いな君が好き～」  　KATーTUN（J-ONE RECORDS)  はやかわともこ  「ヤマトナデシコ七変化　」  別冊フレンド（講談社）  篠崎絵里子山下康介石井康晴石井康晴　三城真一TBSテレビ</t>
  </si>
  <si>
    <t>「涙の告白！裸の誓い」スナコに対して素直になれ！と迫る雪之丞に素知らぬ振りの恭平。三角関係か？と蘭丸が茶化すと二人は殴り合いの喧嘩に。止めに入る武長はいつもの冷静さも無く怒りをぶちまけ、翌朝下宿から姿を消してしまう。実は、武長は華道の家元を継ぐために急遽、呼び戻されていたのたのだ。すっかり、友情の冷め切った4人組、雪之丞も蘭丸も下宿を飛び出してしまう。仲間を失い、一人食堂で酒を呷る恭平…その痛々しい姿を見たスナコは…。亀梨和也  手越祐也  大政絢  内博貴  宮尾俊太郎  加藤清史郎  神戸蘭子  志保  花形綾沙  本仮屋ユイカ  榎木孝明  真野裕子  大杉漣  高島礼子【データー連動放送】「Love yourself～君が嫌いな君が好き～」  　KATーTUN（J-ONE RECORDS)  はやかわともこ  「ヤマトナデシコ七変化　」  別冊フレンド（講談社）  篠崎絵里子山下康介大澤祐樹  石井康晴　三城真一TBSテレビ</t>
  </si>
  <si>
    <t>「ウラギリの同窓会」同窓会の案内状を手に、激しく動揺するスナコ。辛い過去を思い出し、部屋にこもってしまう。そんな中、同窓生のすず（近野成美）がやって来て、当時いじめたことを皆で詫びたいので、是非来てほしいと言う。むしろ、引きこもって迷惑をかけたのは自分と謝るため、同窓会に行くとスナコは勇気を振り絞る。思いっきり綺麗になって皆を、見返してやれとスナコを指導する雪之丞、蘭丸、武長たちだったが、恭平はそれがしっくりいかず…亀梨和也  手越祐也  大政絢  内博貴  宮尾俊太郎  加藤清史郎  神戸蘭子  志保  花形綾沙  近野成美  大杉漣  高島礼子【データー連動放送】「Love yourself～君が嫌いな君が好き～」  　KATーTUN（J-ONE RECORDS)  はやかわともこ  「ヤマトナデシコ七変化　」  別冊フレンド（講談社）  篠崎絵里子山下康介川嶋龍太郎石井康晴  三城真一TBSテレビ</t>
  </si>
  <si>
    <t>勇気が出る丘下宿に、蘭丸の許婚という玉緒（浅見れいな）が突然やってくる。一人の女性と真剣交際をするのが嫌な蘭丸は、あの手この手で彼女に嫌われるよう策を講じるが…一方、恭平はスナコを母との思い出の地「勇気が出る丘」に連れて行く、同窓会で逃げずに頑張ったスナコに対して、自分も今まで避けていた母親とキチンと向き合うと誓うのだった。そして、母（麻生祐未）のもとに向かう恭平。家の扉を開けるとそこには…亀梨和也  手越祐也  大政絢  内博貴  宮尾俊太郎  加藤清史郎  神戸蘭子  麻生祐未  浅見れいな  中根徹  岸本慎太郎  濱田龍臣  大杉漣  高島礼子【データー連動放送】「Love yourself～君が嫌いな君が好き～」  　KATーTUN（J-ONE RECORDS)  はやかわともこ  「ヤマトナデシコ七変化　」  別冊フレンド（講談社）  篠崎絵里子山下康介石井康晴石井康晴  三城真一TBSテレビ</t>
  </si>
  <si>
    <t>「親子にだけ見える物」再び母を入院させてしまった恭平は、皆を心配させないよう明るく振舞っていた。そんな中、蘭丸好みの女性になると、関係の修復に玉緒が下宿にやってくる。行き詰まった蘭丸は、実は、美音は妻だと嘘を言う。亡き夫、篤を大切に思う美音は許せず、激しい一撃を食らわすが…意識を取り戻した蘭丸に篤が乗り移っていた！一方、スナコは恭平の親子関係を何とか修復してあげたいと思い、病院に行くが、それが元で恭平と大喧嘩に…亀梨和也  手越祐也  大政絢  内博貴  宮尾俊太郎  加藤清史郎  神戸蘭子  志保  花形綾沙  麻生祐未  浅見れいな  中根徹  長谷川初範  大杉漣  高島礼子【データー連動放送】「Love yourself～君が嫌いな君が好き～」  　KATーTUN（J-ONE RECORDS)  はやかわともこ  「ヤマトナデシコ七変化　」  別冊フレンド（講談社）  篠崎絵里子山下康介川嶋龍太郎石井康晴  三城真一TBSテレビ</t>
  </si>
  <si>
    <t>「君が嫌いな君が好き」行方不明になったスナコ…恭平は連日悪夢にうなされる。果たしてスナコは帰ってこないのか？謎の外国人から不気味な電話がかかってくる…亀梨和也  手越祐也  大政絢  内博貴  宮尾俊太郎  加藤清史郎  神戸蘭子  志保  花形綾沙  ダンテ・カーヴァー  大杉漣  高島礼子【データー連動放送】「Love yourself～君が嫌いな君が好き～」  　KATーTUN（J-ONE RECORDS)  はやかわともこ  「ヤマトナデシコ七変化　」  別冊フレンド（講談社）  篠崎絵里子山下康介石井康晴石井康晴  三城真一TBSテレビ</t>
  </si>
  <si>
    <t>1001_TBS_日21</t>
  </si>
  <si>
    <t>特上カバチ!!</t>
  </si>
  <si>
    <t>番組名特上カバチ!!「貧困ビジネス最前線!!貧乏人の味方敷金礼金ゼロゼロ物件の罠」</t>
  </si>
  <si>
    <t>未定ある朝、大野行政書士事務所に田村(櫻井翔) の昔の仕事仲間である山田(三宅弘城)から電話が入った。事務所にやって来た山田の話を聞くと、家賃を一日滞納したら、突然部屋の鍵が替えられていて自分の部屋に入れなくなったのだと言う。翌朝、不動産屋に電話すると、家賃の他に鍵の取り替え代金と違約金を請求され困っている様子。不景気が続く昨今、敷金・礼金なしのいわゆる「ゼロゼロ物件」は社会的弱者の味方。しかし、ごく稀に悪徳不動産業者が関わっている事があるという。山田の場合が、まさにこれだった。  しかも今回の相手は、過去に美寿々 (堀北真希) と因縁のある阿功徳不動産の瀬古井 (田中哲司）。瀬古井は、2年前に美寿々が廃業に追い込んだ極悪非道なサラ金会社の社長で、今は悪徳追い出し屋とつるみ、不動産会社の社長になっていたのだった。田村と美寿々の二人は、山田の家族の絆を取り戻すために、阿功徳不動産に乗り込むが、相手は法の網をかいくぐる巧妙な手口で、契約書を作成しており、絶体絶命のピンチに陥る。櫻井翔  堀北真希  遠藤憲一  渡辺いっけい  田丸麻紀  菊里ひかり  浅野ゆう子 (特別出演)  上里亮太  伊郷アクン  高橋克実  中村雅俊  (他)田中哲司  三宅広城番組内で、出演者から、生電話とプレゼントがあたる特上クイズがあります！！  今週は、桜井翔　堀北真希　特上カバチ!!フォトブック  【データー連動放送】嵐　「Troublemaker」  『特上カバチ』　田島隆・東風孝広（講談社モーニング連載中）今井夏木植田博樹http://www.tbs.co.jp/tokujyokabachi/  TBSテレビ</t>
  </si>
  <si>
    <t>0910_TBS_水21</t>
  </si>
  <si>
    <t>浅見光彦</t>
  </si>
  <si>
    <t>番組名水曜劇場「浅見光彦～最終章～」内田康夫原作初回2時間SP！恐山・十和田・弘前編</t>
  </si>
  <si>
    <t>「青森・恐山に渦巻く愛憎の悲劇…津軽三味線に秘められた50年前の驚愕の真実とは…」新鋭の料理人・藤波紹子が大きな日本料理コンクールで優勝をおさめ、十和田湖の和食レストランのオーナーになる権利を獲得する。後日そのコンクールの審査員が次々と殺され死体現場には古銭と凶器となった三味線の糸が残されていた。津軽三味線の宗家で紹子の伯父である憲夫の元を訪れる光彦。憲夫と、今は亡き紹子の母・真琴にはつらく悲しい過去があった。そしてねぷた祭り・真琴がかつて経営していた十和田湖の食堂に行った光彦と紹子は、そこで、さらに哀しい過去の真実を突きつけられることになるのだった。浅見光彦…沢村一樹  浅見陽一郎…風間杜夫  吉田須美子…原沙知絵  浅見和子…黒田知永子  桐山道夫…田中幸太朗  浅見雪江…佐久間良子  藤波紹子…片瀬那奈  藤波憲夫…前田吟  井出啓介…山本學  宮坂伸司…中山仁内田康夫石原武龍　川嶋澄乃　友澤晃一佐々木章光矢口久雄テレパック　TBS</t>
  </si>
  <si>
    <t>番組名水曜劇場「浅見光彦～最終章～」</t>
  </si>
  <si>
    <t>「伊豆天城～松島…親子の絆」天城トンネルで男の悲鳴を聞いた光彦は直後に周囲を見回すがそこには何も異変が無かった。後日伊豆天城に旅行で出かけた光彦は、修善寺で「下司（げす）」と書かれた千社札を見つける。千社札とは元来自分の名前であるのが普通であるが、なぜ「下司」なのか…。そこで朝美という女性に出会い、彼女の亡き父がその札を貼った本人であることを知る光彦。父の死に疑問を持っていた朝美との千社札を巡る旅が始まった。天城の山道を歩いていく途中で女性の死体が発見され、出身地が松島であることに気づく光彦。朝美の父も今年の千社巡りは松島に行くと言っていたのだ。なぜ松島に行ったはずの人が伊豆天城で死体となって発見されたのか…。遠隔殺人に潜む謎にはあまりに哀しい過去があった。浅見光彦…沢村一樹  浅見陽一郎…風間杜夫  吉田須美子…原沙知絵  浅見和子…黒田知永子  桐山道夫…田中幸太朗  浅見雪江…佐久間良子  小林朝美…笛木優子  武上清作…綿引勝彦内田康夫川嶋澄乃村上牧人（テレパック）矢口久雄テレパック　TBS</t>
  </si>
  <si>
    <t>「岩手遠野編～河童淵の少女」民話のふるさと・岩手県遠野で語りベの横居ナミが殺された。容疑者は二人で、一人はその息子・真二だった。光彦は疑いを晴らすために孫の詩織とともに事件の解明に走る。あるとき、真二の妻で詩織の母親であるマリ子から、10年前に真二が起こした傷害事件の話を聞く。相手側に重症を負わせ傷害罪に問われたが、ある刑事が上の人に逆らい調べ直して正当防衛を勝ち取ってくれたという。その刑事には直に会ったことがないというマリ子だったが、調べていくと、その刑事は今は警察を辞めていて、横居家によく野菜を届けに来る岩岡という男であることが発覚。なぜマリ子は知っていることを隠したのか…。岩岡が背負っている過去の真実とは一体何なのか…。浅見光彦…沢村一樹  浅見陽一郎…風間杜夫  吉田須美子…原沙知絵  浅見和子…黒田知永子  桐山道夫…田中幸太朗  浅見雪江…佐久間良子岡忠夫…森本レオ  横居マリ子…三浦理恵子  横居詩織…佐々木麻緒  岡崎光夫…梨本謙次郎内田康夫友澤晃一村上牧人（テレパック）矢口久雄テレパック　TBS</t>
  </si>
  <si>
    <t>「金沢編・家元の掟と母の愛」加賀百万石の金沢にある日本舞踊の一流派・桃陰流。取材で訪れた光彦に家元である川上トキが告げたのは次期家元をまだ30歳になる前の三之宮由佳に譲るということだった。桃陰流の中で蠢く欲望と権威への執着心。諸先輩たちの冷たい態度と母・志乃の強硬な反対に、逆に家元を継ぐ覚悟を決める由佳だった。そんな折、由佳に最も嫉妬していた桃陰流のナンバー2である大戸世志子が殺害される。本格的に調べ始めた光彦が行き着いたのは、22年前に起きた桃陰流の過去の惨劇だった。幼馴染で一緒に日本舞踊を習っていた志乃とトキの人生の明暗を知り、桃陰流を守ろうとする人々の思いがみえたとき、事件の線は一本に繋がっていくのだった。浅見光彦…沢村一樹  浅見陽一郎…風間杜夫  吉田須美子…原沙知絵  浅見和子…黒田知永子  桐山道夫…田中幸太朗  浅見雪江…佐久間良子三之宮由佳…京野ことみ  川上トキ…香山美子  高木部長刑事…石井正則内田康夫友澤晃一冨塚博司矢口久雄テレパック　TBS</t>
  </si>
  <si>
    <t>「京都編・源氏物語の悲劇」京都・滋賀と、源氏物語ゆかりの地を訪ねて取材して回る光彦。ある日大雨が降り土砂が崩れ、ある山肌から白骨が発見される。その白骨死体は前田恭子という数年前から行方不明の女性のもので、その妹・由香里の悲しみを共有した光彦は事件を追及し始める。  恭子の手帳には「嘆きわび空に乱るる我がたまを結びとどめよしたがひのつま」という源氏物語で六条御息所が詠んだ歌が書いてあった。悲しみのあまりさ迷う私の魂をあなたの衣の褄を結んで繋ぎとめてくださいという光源氏に救いを求めたその歌は、まさに数年前かなわぬ恋に苦しんだ恭子の過去を物語っていた。吉村夫婦と恭子の三角関係を暴き事件を推理する光彦。そこには不倫の恋を越えた夫婦愛と、妻のまっすぐな思いがあった。浅見光彦…沢村一樹  浅見陽一郎…風間杜夫  吉田須美子…原沙知絵  浅見和子…黒田知永子  桐山道夫…田中幸太朗  浅見雪江…佐久間良子吉村奈美江…横山めぐみ  前田由香里…いとうあいこ  川上警部…渡辺正行  吉村春夫…鶴見辰吾内田康夫川嶋澄乃冨塚博司矢口久雄テレパック　TBS</t>
  </si>
  <si>
    <t>「木曽編・浅見家最大の悲劇」7年前に木曽の山奥で遭難して亡くなった妹の供養で木曽路に向かう光彦と雪江。そこで、同じく木曽に来ていたかつての妹の友達である美也子が何者かに殺害される。殺害現場には皇女和宮下向の道という古めかしい本と、美也子と祐子と男2人が楽しそうに写っている写真が残っていた。事件を追いかけていくうちに次第に膨らんでいく祐子の死の謎。事故死とされていた祐子は実は殺害されたのでは…。2人の男に会いに行くと、1人は場末のスナックで、1人はある漆器店の工房で職人として働いていた。そこで工房の倉庫にあった学生の頃の写真に驚愕する光彦。そこには光彦の兄・陽一郎の部下である桐山の姿があった。膨らむ疑念を抑えられない光彦。そこへ桐山がやって来た…。浅見光彦…沢村一樹  浅見陽一郎…風間杜夫  吉田須美子…原沙知絵  浅見和子…黒田知永子  桐山道夫…田中幸太朗  浅見雪江…佐久間良子野上刑事…柴俊夫  森村香菜…森脇英理子  木藤幸司…斉藤祥太  石川警部…千原せいじ  内田康夫石原武龍村上牧人矢口久雄テレパック　TBS</t>
  </si>
  <si>
    <t>「裏切りの結末…悲劇完結!!」  浅見光彦…沢村一樹  浅見陽一郎…風間杜夫  吉田須美子…原沙知絵  浅見和子…黒田知永子  桐山道夫…田中幸太朗  浅見雪江…佐久間良子  藤波紹子…片瀬那奈  藤波憲夫…前田吟  井出啓介…山本學  宮坂伸司…中山仁内田康夫石原武龍　川嶋澄乃　友澤晃一佐々木章光矢口久雄テレパック　TBS</t>
  </si>
  <si>
    <t>「蘇る赤い靴の伝説…横浜篇」  赤レンガ倉庫・波止場・桟橋・濡れた舗道・街灯等、異国情緒溢れるノスタルジックな横浜を描く。赤い靴を履いていた女の子はどこへ行ったのかー・ある日、横浜でケーブルTVのレポーター・山名めぐみが取材中に黒ずくめの男に襲われた。それに期を同じくして、めぐみの父の遺体が発見される。父は生前、勤めている会社の会長から青い目の人形を託されていた。赤い靴と青い目の人形ー。祖父・雄三、谷本会長など、人形に関わる多くの人々の思いが交錯したとき、52年前の一家惨殺事件が明るみになり、今回の事件の真相が明らかになる。光彦とめぐみは長い年月を経たそれぞれの人の思い・人生を知り、ただただ感慨に浸るのだった。浅見光彦…沢村一樹  浅見陽一郎…風間杜夫  吉田須美子…原沙知絵  浅見和子…黒田知永子  桐山道夫…田中幸太朗  浅見雪江…佐久間良子山名雄三…津川雅彦  谷本咲江枝…市毛良枝  山名めぐみ…前田愛  秀麗な紳士…東儀秀樹（特別出演）内田康夫友澤晃一藤尾隆矢口久雄テレパック　TBS</t>
  </si>
  <si>
    <t>「さよなら光彦！最後の事件」光彦には軽井沢に2人の幼馴染がいた。野沢光子と宮田治夫である。夏になると毎年軽井沢の別荘地に遊びに行った浅見家とは家族ぐるみの付き合いで、現在は、光子は実家の牧場で、宮田はパン屋を経営している。久しぶりの再会を経て楽しい気分でいるころ、光子の父が殺害された。ギャラリーで高村光太郎の彫刻作品「蝉」を見て、「違う」という謎の一言を残していた光子の父であったが、そのズボンの裾にはパンくずが付着していた事から、治夫が容疑者に急浮上する。親友を疑うことと真実を追求することとの狭間で苦悩する光彦、果たして事件の真相は何なのかー。3人の三角関係は？そして光子への光彦の恋心は成就するのかー。浅見光彦…沢村一樹  浅見陽一郎…風間杜夫  吉田須美子…原沙知絵  浅見和子…黒田知永子  桐山道夫…田中幸太朗  浅見雪江…佐久間良子野沢光子…星野真里  宮田治夫…吹越満  橋田亮介…山本龍二  山崎警部…天野ひろゆき内田康夫石原武龍村上牧人矢口久雄テレパック　TBS</t>
  </si>
  <si>
    <t>0910_TBS_金22</t>
  </si>
  <si>
    <t>おひとりさま</t>
  </si>
  <si>
    <t>番組名金曜ドラマ「おひとりさま」</t>
  </si>
  <si>
    <t>「覚悟しなさい草食系男子！33歳独身女教師10歳年下と格差恋愛」秋山里美(観月ありさ)は33歳。名門私立の日本史教師。いわゆる歴女。そして誰もが認める才色兼備。性格は、妥協を許さない完璧主義。何でも一人でやってのけることから、“おひとりさま”の異名を持つ。ここしばらくは仕事が忙しく、彼氏を作る暇もない。そんな意味でも“おひとりさま”と言われている。  ある日、この女ばかりの園に、寿退社する教師の代わりとして神坂真一(小池徹平)がやって来る。彼は23歳で里美とは10歳違いの平成育ち。大学を卒業した後もアルバイトを繰り返して、何の肩書きも持っていない。しかし、何故かこの学校に教師として派遣されることになり、真一自身も戸惑っていた。  後日、真一の歓迎会が行われ、日頃のストレスからか里美はついつい飲み過ぎてしまう。翌朝、里美が目を覚ますと、そこには真一の姿があり…!?    観月ありさ　小池徹平　松下奈緒　橘慶太　鈴木亜美　北川弘美　麻尋えりか　大谷澪 小林さり 石井美絵子 酒井若菜 デビット伊東　佐戸井けん太　真矢みき 【データー連動放送】『Am I Fallin' In Love?』  北口和沙(SONIC GROOVE)     尾崎将也　関えり香植田尚正木敦(TBS)　遠田孝一(MMJ)　伊藤達哉(MMJ)   MMJ  TBS</t>
  </si>
  <si>
    <t>「私だって守られたい不安な夜だってある」ある日、聖華女子学院高等学校で事件が起きる。ストーカーと思われる何者かが生徒の登下校時の様子を隠し撮りしていたのだ。何とかして犯人を捕まえようと、通学路の見回りをする里美と真一。  するとそこへ望遠レンズ付きのカメラを手にした怪しい男の姿が…。  「狙われているのは生徒だけとは限らない」という君香の言葉に不安になる里美。追い討ちをかけるように同じマンションの住人から怪しい男が里美のことを調べていたと教えられる。さらには無言の留守番電話が…。果たして怪しい男の姿とはいったい!?  観月ありさ　小池徹平　松下奈緒　橘慶太　鈴木亜美　北川弘美　麻尋えりか　大谷澪 小林さり 石井美絵子 酒井若菜 デビット伊東　佐戸井けん太　真矢みき 【データー連動放送】『Am I Fallin' In Love?』  北口和沙(SONIC GROOVE)     尾崎将也　関えり香植田尚正木敦(TBS)　遠田孝一(MMJ)　伊藤達哉(MMJ)   MMJ  TBS</t>
  </si>
  <si>
    <t xml:space="preserve">「一人じゃないんだ！私の部屋に男がいる」悠々自適な"おひとりさま"生活を送っていた里美だが、ひょんなことから真一と同居することに。里美とは違って、料理が得意な真一は自分で作った一人分の手料理を美味しそうに食べる。それを横目に、出前の寿司を食べる里美。いつもとは違う生活にどこかぎこちない様子の里美であった。そんなある日、学校で問題が起きる。男女平等の時代に、なんで女が料理を学ばなくてはいけないのかと、生徒の宮本絵梨が家庭科の授業をボイコットしたのだ。  それを何とかしようとする里美は、自ら料理を披露すれば料理に興味を持つのではないかと考え、生徒たちの前でオリジナル料理を披露することになるのだが…。観月ありさ　小池徹平　松下奈緒　橘慶太　鈴木亜美　北川弘美　麻尋えりか　大谷澪 小林さり 石井美絵子 酒井若菜 デビット伊東　佐戸井けん太　真矢みき 【データー連動放送】『Am I Fallin' In Love?』  北口和沙(SONIC GROOVE)     尾崎将也韓　哲正木敦(TBS)　遠田孝一(MMJ)　伊藤達哉(MMJ)   MMJ  TBS  </t>
  </si>
  <si>
    <t>「あなたはこんな事で逃げ出す人じゃない」何かと無駄遣いが多い里美(観月ありさ)は真一(小池徹平)にたしなめられる。しかし、そんな里美は職員会議では真一から教わった節約術を得意気に語り、真一を呆れさせる。そんなある日、募金活動の集計係を任された君香(松下奈緒)が生徒から集めた寄付金が紛失したことに気づく。君香は学校に事実を報告し、募金を弁償しようとするが、淑恵(真矢みき)は学校内で盗難が起こった可能性もあるとして、里美に調査を指示する。観月ありさ　小池徹平　松下奈緒　橘慶太　鈴木亜美　北川弘美　麻尋えりか　大谷澪 小林さり 石井美絵子 酒井若菜 デビット伊東　佐戸井けん太　真矢みき 【データー連動放送】『Am I Fallin' In Love?』  北口和沙(SONIC GROOVE)     尾崎将也　関えり香植田尚正木敦(TBS)　遠田孝一(MMJ)　伊藤達哉(MMJ)   MMJ  TBS</t>
  </si>
  <si>
    <t>「緊急お見合い！ダブルデート！プロポーズ」ある日、校長の淑恵(真矢みき)と教頭の井上(佐戸井けん太)が里美(観月ありさ)に見合い話しを持ってくる。学校の後援会の副会長からの頼みということもあり、戸惑う里美であったが、副会長の機嫌を損ねると来年度の寄付金にも影響があるのでは？と心配する井上の強い後押しもあり、里美は仕方なく見合いを引き受ける。その頃、真一(小池徹平)に興味を抱く君香(松下奈緒)は、一緒にカメラを買いに行って欲しいと半ば強引に真一とのデートの約束を取り付けて…。観月ありさ　小池徹平　松下奈緒　橘慶太　鈴木亜美　北川弘美　麻尋えりか　大谷澪 小林さり 石井美絵子 酒井若菜 デビット伊東　佐戸井けん太　真矢みき 【データー連動放送】『Am I Fallin' In Love?』  北口和沙(SONIC GROOVE)   関えり香韓　哲正木敦(TBS)　遠田孝一(MMJ)　伊藤達哉(MMJ)   MMJ  TBS</t>
  </si>
  <si>
    <t>「わたし、好きな人ができたみたいなの！」以前お見合いをした二階堂(中村俊介)から言われたある言葉がきっかけで、真一(小池徹平)のことが気になり出した里美(観月ありさ)。そんな中、期末テストを間近に控え、里美は真一にテストの作成を命じるが、真一から勉強をすることの意味を問われ戸惑う。  一方、教頭の井上(佐戸井けん太)らは優等生の圭子(草刈麻有)を東京大学に合格させるため、受験に必要のない科目の授業を免除するなどのプロジェクトを立ち上げる。その時、真一が君香(松下奈緒)をデートに誘ったという噂が…。それを聞いた里美は心が落ち着かず保健室へ。するとそこには疲れた様子の圭子の姿があった。観月ありさ　小池徹平　松下奈緒　橘慶太　鈴木亜美　北川弘美　麻尋えりか　大谷澪 小林さり 石井美絵子 酒井若菜 デビット伊東　佐戸井けん太　真矢みき 【データー連動放送】『Am I Fallin' In Love?』  北口和沙(SONIC GROOVE)     尾崎将也  大塚　徹正木敦(TBS)　遠田孝一(MMJ)　伊藤達哉(MMJ)   MMJ  TBS</t>
  </si>
  <si>
    <t>「泣いて！抱きしめて！そして突然の告白！」  三者面談を実施することになったものの、みなみ(大谷澪)の両親の夫婦ゲンカ問題で日程が決まらず、里美(観月ありさ)は頭を悩ませる。そんな中、里美(観月ありさ)の母・文代(高林由紀子)が突然、上京してくる。里美が慌てて帰ると、すでに文代は真一(小池徹平)と家に。正直に事情を話したところ、住む家もない真一を追い出すのも可哀想だと、同居人として暮らすことを許す。観月ありさ　小池徹平　松下奈緒　橘慶太　鈴木亜美　北川弘美　麻尋えりか　大谷澪 小林さり 石井美絵子 酒井若菜 デビット伊東　佐戸井けん太　真矢みき 【データー連動放送】『Am I Fallin' In Love?』  北口和沙(SONIC GROOVE)     関えり香植田尚正木敦(TBS)　遠田孝一(MMJ)　伊藤達哉(MMJ)   MMJ  TBS  その後、真一は文代と一緒に料理や買い物をしてすっかり意気投合する。しかし、文代に対して素直になれない里美は、三者面談のことでイラついていたこともあり、文代に辛く当たってしまう。  そんな中、里美は、淑恵(真矢みき)から真一に関するある秘密を打ち明けられ…。</t>
  </si>
  <si>
    <t>「ついにバレちゃった？そして突然のキス！」真一(小池徹平)からの突然の告白に里美(観月ありさ)は戸惑っていた。自分の気持ちを真剣に話そうとする真一に対し、里美は強がってしまいついごまかしてしまう。そしてお互いを意識するあまり、ふたりはギクシャクする。そんな中、真一は君香(松下奈緒)の積極的な誘いから、デートに出掛けることに。そこで君香は、車のキーを無くしたふりをして半ば強引に家の別荘へ連れて行く。一方、里美も連絡もなく帰ってこない真一に苛立ちを隠せないでいた。そして、翌朝帰ってきた真一に心にもない言葉をぶつけてしまったことで真一は里美の部屋を出て行ってしまうことに…。観月ありさ　小池徹平　松下奈緒　橘慶太　鈴木亜美　北川弘美　麻尋えりか　大谷澪 小林さり 石井美絵子 酒井若菜 デビット伊東　佐戸井けん太　真矢みき 【データー連動放送】『Am I Fallin' In Love?』  北口和沙(SONIC GROOVE)     関えり香韓　哲正木敦(TBS)　遠田孝一(MMJ)　伊藤達哉(MMJ)   MMJ  TBS</t>
  </si>
  <si>
    <t>「元彼＆元見合い相手登場で年の差恋愛！ついに最終章」最近、真一(小池徹平)と君香(松下奈緒)の雰囲気がイイ感じに見え、妙に二人の仲が気になる里美(観月ありさ)。そんなある日、偶然にもかつての交際相手・省吾(袴田吉彦)と、見合い相手だった二階堂(中村俊介)と再会し、同時に二人からプロポーズされてしまう。突然の出来事に心が大きく揺れ動く里美であったが、やはりどこかで真一のことが気になる様子で…。そんな中、里美の家を出てしまったものの、なかなか新居が決まらず焦っていた真一は、君香から告白され、さらに両親に会わせたいと言われ戸惑う。  そのことを知った里美は真一への想いを確信し、ある行動に出るが…。観月ありさ　小池徹平　松下奈緒　橘慶太　鈴木亜美　北川弘美　麻尋えりか　大谷澪 小林さり 石井美絵子 酒井若菜 デビット伊東　佐戸井けん太　真矢みき 【データー連動放送】『Am I Fallin' In Love?』  北口和沙(SONIC GROOVE)     関えり香大塚 徹正木敦(TBS)　遠田孝一(MMJ)　伊藤達哉(MMJ)   MMJ  TBS</t>
  </si>
  <si>
    <t>「感動の最終回のはずが思わぬ結末に！究極の格差恋愛の行方は」真一(小池徹平)に自分の気持ちを伝えた里美(観月ありさ)。しかし、淑恵(真矢みき)が「あなたたちのことを認めるわけにはいかない」と大反対。真一は「それなら、僕が教師を辞めれば済む話でしょう」と、初めて淑恵に反論する。真一は、淑恵がもし2人のことが認められないなら、いつでも教師を辞めるつもりだと息巻く。そんな中、真一に好意を持つ君香(松下奈緒)は、真剣に真一と付き合いたいと職員室で公開プロポーズに踏み切る。しかしその時、真一から「僕が交際しているのは、秋山先生です」との爆弾発言が…。  その後、仕事がやりづらくなってしまった里美は、生徒にからかわれながらも、イキイキと教壇に立つ真一の姿を目にする。  この時、やっぱり真一は教師に向いているのかもしれないと思う里美はある決意をする。観月ありさ　小池徹平　松下奈緒　橘慶太　鈴木亜美　北川弘美　麻尋えりか　大谷澪 小林さり 石井美絵子 酒井若菜 デビット伊東　佐戸井けん太　真矢みき 【データー連動放送】『Am I Fallin' In Love?』  北口和沙(SONIC GROOVE)     関えり香植田尚正木敦(TBS)　遠田孝一(MMJ)　伊藤達哉(MMJ)   MMJ  TBS</t>
  </si>
  <si>
    <t>0910_TBS_土20</t>
  </si>
  <si>
    <t>小公女セイラ</t>
  </si>
  <si>
    <t>番組名小公女セイラ</t>
  </si>
  <si>
    <t>「みんなが涙した世界の名作！大金持ちのお嬢様が召使いに…泣いたりしない！だって女の子は誰でもプリセンスなんだから…どんな逆境にも強く正しい姿に家族揃って感動して下さい」幼い頃に母親を亡くした 黒田セイラ (志田未来) は、実業家の父親・黒田龍之介 (谷中敦) にインドで育てられた。  娘の教育のことを考えた父は、セイラが高校生になる際にひとりで日本に帰国させ、セイラの母が通っていた全寮制のミレニウス女学院に入学させることにした。  裕福な家庭を自慢することもなく、誰に対しても分け隔てなく優しく接するセイラは、学院内でも多くの友達を得る。学院の使用人である 三浦カイト (林遣都) もそんなセイラに心を寄せる一人だった。  一方で学院長・三村千恵子 (樋口可南子) は、寄付金の額によって生徒の待遇を変えるような人間だった。  黒田家の莫大な財産を背景にしたセイラを入学当初から特別待遇で扱ったが、セイラの天真爛漫な態度に不愉快な思いをしていた。  そんなある日、セイラ16歳の誕生日を祝うパーティーの最中、セイラは院長から信じ難い報告を受ける志田未来　林 遣都　田辺誠一　岡本杏理　忽那汐里 小島藤子　谷中 敦　大和田伸也　黒川智花　広岡由里子　斉藤由貴　樋口可南子 【データー連動放送】UVERworld 『 哀しみはきっと 』  / ソニー・ミュージックレコーズ  フランシス・バーネット岡田惠和金子文紀　吉田秋生磯山 晶TBS</t>
  </si>
  <si>
    <t>「学院一自慢の生徒は使用人」フランス語教師の 亜蘭 (田辺誠一) が、フランス語教育を日本に広める仕事をしている友人から、学院のフランス語授業を見学したいという申し出がある旨を千恵子に伝える。亜蘭は、フランス語の得意なセイラが生徒でない今、真里亜を生徒代表としてフランス語スピーチをさせることに決めるが…。志田未来　林 遣都　田辺誠一　岡本杏理　忽那汐里 小島藤子　谷中 敦　大和田伸也　黒川智花　広岡由里子　斉藤由貴　樋口可南子 ミレニウス女学院の制服や校章が当たる！30分限定プレゼントクイズ！応募は携帯サイト【メニュー】→【TV】→【TBS】→【小公女セイラ】にアクセス！！【データー連動放送】UVERworld 『 哀しみはきっと 』  / ソニー・ミュージックレコーズ  フランシス・バーネット岡田惠和金子文紀　吉田秋生磯山 晶TBS</t>
  </si>
  <si>
    <t>「お姫様の友達はネズミだけ」  フランス語のクラス代表スピーチをセイラに奪われた真里亜は、学院長の千恵子に異議を申し立てに行くが、聞き入れてもらえない。しかし、美笑子との会話から、セイラの父親が多額の寄付をしたため、千恵子が特別にセイラを優遇したという事実を知ってしまう。そこで真里亜は、自分の父親に学院への多額の寄付を要求し、その多額の寄付の代わりに学院長に条件を提示。セイラが使用していた特別室を自分のものにし、セイラを召使いとしこき使う。  真里亜のセイラへのいじめはエスカレートし、しまいにはセイラの心も折れてしまう。志田未来　林 遣都　田辺誠一　岡本杏理　忽那汐里 小島藤子　谷中 敦　大和田伸也　黒川智花　広岡由里子　斉藤由貴　樋口可南子 今夜の「小公女セイラ」を見て、ミレニウス女学院の制服や校章を当てよう！放送後30分限定プレゼントクイズの詳細は、番組携帯サイト【メニュー】→【TV】→【TBS】→【小公女セイラ】にアクセス！【データー連動放送】UVERworld 『 哀しみはきっと 』  / ソニー・ミュージックレコーズ  フランシス・バーネット岡田惠和吉田秋生磯山 晶TBS</t>
  </si>
  <si>
    <t>「主演女優は私よ！」ミレニウス女学院では、生徒たちが保護者を招いて「ロミオとジュリエット」の芝居を行う恒例行事が迫っていた。生徒たちの夢は、その舞台でジュリエット役を演じること。  学院一負けず嫌いの真里亜は、ジュリエット役を虎視眈々と狙い、見事クラス内の投票でその役を射止める。下働きをするセイラも、卒業生の母から伝え聞いていたジュリエット役を夢見ていた一人。何十回も本を読み、セリフは完璧に頭に入っているほどだ。毎夜、セイラの部屋に自主練習を求めてやってくる生徒たち。一方、真里亜は一人で練習を重ねていた。  そんな中、生徒たちの様子を見守る千恵子の脳裏に、ある過去がよみがえる。かつてジュリエットを演じた千恵子に、一体何があったのか？セイラの母・薫子との思い出の一部が明らかになる。志田未来　林 遣都　田辺誠一　岡本杏理　忽那汐里 小島藤子　谷中 敦　大和田伸也　黒川智花　広岡由里子　斉藤由貴　樋口可南子 【データー連動放送】UVERworld 『 哀しみはきっと 』  / ソニー・ミュージックレコーズ  フランシス・バーネット岡田惠和金子文紀　吉田秋生磯山 晶TBS</t>
  </si>
  <si>
    <t>「二人だけの修学旅行の夜」    　ミレニウス女学院は、修学旅行の話題でもちきり。修学旅行中、休暇になる小沼夫妻も旅行、カイトは帰省の予定。しかし身寄りのないセイラは、一人学院に残るしかなかった。  修学旅行出発の朝、千恵子は学院に残るセイラに鍵を預け、留守を任せた。カイトもセイラを残して出発した。ところがどうしても一人ぼっちのセイラが気になるカイトは「俺の田舎に一緒に行こう！」と戻ってくる。ためらうセイラだが、みんなが帰ってくる前に戻れば、大丈夫だよというカイトの言葉にセイラも喜んでついていくことにする。  楽しい時間はあっという間に流れ、二人は急いで帰路につくが、その途中倒れた大木が二人の行く手を阻む…。志田未来　林 遣都　田辺誠一　岡本杏理　忽那汐里 小島藤子　谷中 敦　大和田伸也　黒川智花　広岡由里子　斉藤由貴　樋口可南子 【データー連動放送】UVERworld 『 哀しみはきっと 』  / ソニー・ミュージックレコーズ  フランシス・バーネット岡田惠和村松崇継金子文紀磯山 晶TBS</t>
  </si>
  <si>
    <t>「小悪魔系天使あらわる！」ミレニウス学院を追い出されることになったセイラ（志田未来）。そんななか笑美子（斎藤由貴）の同級生だった女性の娘・路美とその父親・鈴村（安田顕）が学院を訪れる。院長（樋口可南子）は寄付金目当てで少女を預かることにする。おとなしかった路美だが、父親が去った途端、学院を揺るがすほどの絶叫で泣き叫んで手がつけられない。唯一なついたのはセイラだけ。笑美子は院長に頼んで、セイラの追放を猶予してもらうことに志田未来　林 遣都　田辺誠一　岡本杏理　忽那汐里 小島藤子　安田顕　大和田伸也　黒川智花　広岡由里子　斉藤由貴　樋口可南子 【データー連動放送】UVERworld 『 哀しみはきっと 』  / ソニー・ミュージックレコーズ  フランシス・バーネット村松崇継岡田惠和金子文紀　吉田秋生磯山 晶TBS</t>
  </si>
  <si>
    <t>「誰も盗めない宝物」誰にも何も告げずに学院を去ったセイラ（志田未来）。院長（樋口可南子）はカイト（林遣都）にセイラを探して連れ戻すように命じる。雨も降りはじめた頃、足をくじいて歩くこともできずに途方に暮れていたセイラを見つけたカイトは、院長の許しを得たことを話し、「一緒に帰ろう」と誘う。二人が学院に帰ってみると、厨房になぜかカイトの幼なじみの田所ゆかり（日向千歩）が小沼夫妻（大和田伸也・広岡由里子）と一緒に働いていた志田未来　林 遣都　田辺誠一　岡本杏理　忽那汐里 小島藤子　谷中 敦　大和田伸也　黒川智花　広岡由里子　斉藤由貴　樋口可南子 【データー連動放送】UVERworld 『 哀しみはきっと 』  / ソニー・ミュージックレコーズ  フランシス・バーネット村松崇継岡田惠和中井芳彦磯山 晶TBS</t>
  </si>
  <si>
    <t>「魔法のようなプレゼント」セイラ（志田未来）は千恵子（樋口可南子）にもらった初めてのお給料で、カイト（林遣都）とまさみ（岡本杏理）にプレゼントを買う。いっぽう亜蘭（田辺誠一）は、勉強熱心なセイラとカイトのために宿題ノートを交換しようと提案してくれた。  学院では授業参観が催され、生徒たちが久しぶりの家族との再会を喜ぶなか、家庭が複雑なかをり（忽那汐里）と親を他人に見られたくない真里亜（小島藤子）は微妙な気持ちでいた。父兄との懇親パーティの準備に忙しくしているセイラたちの元に、「学院の庭に不審者がいる！」と日出子（広岡由里子）がやってくる。  小沼（大和田伸也）とカイトに捕らえられた男の正体は真里亜の父親・寛（不破万作）だった。真里亜からは絶対に授業参観に来ないように言われていたのだが、娘の姿を見たい一心でやって来たようで・・・志田未来　林 遣都　田辺誠一　岡本杏理　忽那汐里 小島藤子　要潤  大和田伸也　黒川智花　広岡由里子　斉藤由貴　樋口可南子 【データー連動放送】UVERworld 『 哀しみはきっと 』  / ソニー・ミュージックレコーズ  フランシス・バーネット村松崇継岡田惠和金子文紀　吉田秋生磯山 晶TBS</t>
  </si>
  <si>
    <t>「彼女を救うのは誰だ？」セイラ（志田未来）とカイト（林遣都）に内緒で勉強を教えてくれた亜蘭先生（田辺誠一）は、千恵子（樋口可南子）から個人授業を止めるように厳しく言われる。セイラの母が薫子（黒川智花）であることを知った亜蘭は、その因縁を終結するように千恵子に諭すが、結局学院を辞めることになってしまう。セイラとカイトはその責任を重く感じる。  一方、学院の経営はついに破綻寸前となり、千恵子は金策に走り回る日々。一方、学院の隣のお屋敷に住む栗栖は、セイラの素性を調べるように部下に指示する。  ある日、千恵子の留守中に学院に不審な調査員が訪れる。何も知らないセイラは学院内を案内することになる。志田未来　林 遣都　田辺誠一　岡本杏理　忽那汐里 小島藤子　谷中 敦　大和田伸也　黒川智花　広岡由里子　斉藤由貴　樋口可南子 【データー連動放送】UVERworld 『 哀しみはきっと 』  / ソニー・ミュージックレコーズ  フランシス・バーネット村松崇継岡田惠和金子文紀　吉田秋生磯山 晶TBS</t>
  </si>
  <si>
    <t>「奇跡の大逆転！美しき復讐が始まる」学院を出て行方不明になったセイラ（志田未来）は教会の一室で何日も眠り続けていた。  栗栖（要潤）は、セイラが自分の知り合いである黒田龍之介（谷中敦）の娘であることを知り、なんとか助け出したいと必死に探していた。一方、経営が破綻したミレ二ウス女学院では、学院を残してくれる買い取り手を探す千恵子（樋口可南子）と笑美子（斎藤由貴）の元に、亜欄（田辺誠一）が訪れ、意外な提案をする。  ある日、セイラを心配していたカイト（林遣都）の前に、見違えるような美しい姿でセイラが現れる。いったい彼女に何が起こったのか？そして新しい姿に生まれ変わった彼女は美しい復讐を始めるのだった・・・。志田未来　林 遣都　田辺誠一　岡本杏理　忽那汐里 小島藤子　谷中 敦　要潤　大和田伸也　黒川智花　広岡由里子　斉藤由貴　樋口可南子 【データー連動放送】UVERworld 『 哀しみはきっと 』  / ソニー・ミュージックレコーズ  フランシス・バーネット村松崇継岡田惠和金子文紀　吉田秋生磯山 晶TBS</t>
  </si>
  <si>
    <t>0907_TBS_水21</t>
  </si>
  <si>
    <t>となりの芝生</t>
  </si>
  <si>
    <t>番組名水曜劇場　橋田壽賀子ドラマ「となりの芝生」</t>
  </si>
  <si>
    <t>「不朽の名作が33年ぶりに完全復活…甦る嫁姑対決」新居を構えた知子は、夫の要から姑の志乃が泊まりに来る事になったと告げられる。  大阪からやって来た姑の志乃の面倒を甲斐甲斐しく見る知子だが直ぐに問題が。すっかり恐縮の知子だが、志乃のオカシな言動に不安が沸く。客間として作ったはずの部屋を志乃は我が物の様に使い始める。志乃がどの位東京に泊まるのかと知子は要に尋ねるが、長くないさと余裕の要。しかし数日後、大阪から志乃の大荷物が届き、愕然とする知子だった瀬戸朝香　大倉孝二　茅島成美　渋谷飛鳥　水町レイコ　原田龍二　泉ピン子番組の最後に流れる視聴者からの嫁姑川柳募集、詳しくは番組ホームページから！荒井光明荒井光明  遠藤正人ドリマックステレビジョンhttp://www.tbs.co.jp/tonarino09</t>
  </si>
  <si>
    <t>同居を始めた志乃に不満の太郎が「大阪の家を追い出されたの？」と、爆弾投下。  「どんな教育してるの！」と志乃の怒りの矛先は全て知子へ。必死に頭を下げ詫びる知子を要は家庭の調停は妻の仕事だと一括。  志乃に小言を言われるばかりで全てが上手くいかない知子、そんなある日、突然志乃はお茶の指導を家で始めると宣言。瀬戸朝香　大倉孝二　茅島成美　　泉ピン子  (他)番組の最後に流れる視聴者からの嫁姑川柳募集、詳しくは番組ホームページから！山崎統司荒井光明  遠藤正人ドリマックステレビジョンhttp://www.tbs.co.jp/tonarino09</t>
  </si>
  <si>
    <t>お茶の指導を始めた志乃の、お菓子代、道具代、全てを肩代わりしていた知子は困り果てていた。知子は余裕のある家計ではないと要に泣きつくが、それ位も払えないのかと逆上されるだけ。さらに要は同僚を飲み食いさせに家に連れて来る。憤る知子は同僚の世話を拒否。要の同僚を粗末にしてはいけないと志乃は残り物を急拵えしお袋の味ですよと、要の同僚を接待。志乃を歓迎する同僚たち。徐々に志乃の天下となりつつある高平家。瀬戸朝香　大倉孝二　茅島成美　横山めぐみ　泉ピン子　(他)番組の最後に流れる視聴者からの嫁姑川柳募集、詳しくは番組ホームページから！山崎統司荒井光明  遠藤正人ドリマックステレビジョンhttp://www.tbs.co.jp/tonarino09</t>
  </si>
  <si>
    <t>知子は学生時代の同級生時枝に街で出会う。彼女は殿村というやり手の男の秘書をしていた。仕事に輝く時枝に知子は言われのないショックを覚える。息子太郎の成績が下降している事を知った知子は、太郎を塾へ通わせる為に仕事に出ようと考えるが、実母波江にも、要にも否定されてしまう。それならばと家でできるミシンの内職を始めるが、女房に内職されるなんて亭主要の働きが悪いとばかにされてると志乃の怒りをかう。瀬戸朝香　大倉孝二　茅島成美　三浦理恵子　大杉漣　泉ピン子番組の最後に流れる視聴者からの嫁姑川柳募集、詳しくは番組ホームページから！荒井光明荒井光明  遠藤正人ドリマックステレビジョンhttp://www.tbs.co.jp/tonarino09</t>
  </si>
  <si>
    <t>太郎の問題は事の他大事だった。学業についていけない太郎は学校を無断で休んでいた。知子は働きに出て太郎を塾に通わす事を決意し、友人時枝に就職口を頼ってゆく。知子の事情を知った時枝の社長殿村は、兼ねてから探していた会員制クラブでの責任者の仕事を知子に勧める。願ってもない申し出に知子は要に就職の同意を求めるが大激怒。それでも決意の揺るがぬ知子、それを知った志乃は家事を全て志乃が仕切る事を知子に提案する。瀬戸朝香　大倉孝二　茅島成美　三浦理恵子大杉漣　泉ピン子番組の最後に流れる視聴者からの嫁姑川柳募集、詳しくは番組ホームページから！荒井光明荒井光明  遠藤正人ドリマックステレビジョンhttp://www.tbs.co.jp/tonarino09</t>
  </si>
  <si>
    <t>会員制クラブで働くことを決意した知子は要に就職の同意を求めるが要は大激怒。それを知った志乃は家事を全て志乃がする事を知子に提案。なんとか要は納得し知子は仕事に出る事に。家のことをまかされた志乃は得意になって家族の世話を始め、茶の生徒達と出前を取って嫁の悪口に花を咲かせる。会員制クラブで働き始めた知子は、行き届く世話で経済界の重鎮達の信頼を得ていく。妻の就職に同意をした要だが内心は怒りが積もるばかり瀬戸朝香　大倉孝二　茅島成美　渋谷飛鳥　水町レイコ　三浦理恵子　大杉漣　泉ピン子番組の最後に流れる視聴者からの嫁姑川柳募集、詳しくは番組ホームページから！山崎統司荒井光明  遠藤正人ドリマックステレビジョンhttp://www.tbs.co.jp/tonarino09</t>
  </si>
  <si>
    <t>会員制クラブで働き始めた知子は誰からも重宝されるようになるが、家に帰れば邪魔者。そう感じると、知子は余計に仕事場に潤いを見出すように。知子の本音を知った殿村は、  「このまま仕事を続けさせていいのか」と知子に退職を促す、しかし知子は頑なに拒否をする。なんとか殿村を説得した知子だったが、クラブの会員川野と口論になってしまう。瀬戸朝香　大倉孝二　山下真司　鶴田忍　三浦理恵子　大杉漣　泉ピン子番組の最後に流れる視聴者からの嫁姑川柳募集、詳しくは番組ホームページから！山崎統司荒井光明  遠藤正人ドリマックステレビジョンhttp://www.tbs.co.jp/tonarino09</t>
  </si>
  <si>
    <t>雨の日、帰りの遅い知子を駅まで迎えに行こうと家を出る要、そこで見たのは殿村に送られてくる知子の姿だった。知子は、初めての給料で要を喜ばせようとブランド物のネクタイを買うのだが、反感を買い大喧嘩へ。良かれと思いする事全てが上手くいかくなってしまう知子。そんな中、要は取引先の専務と打ち合わせで訪れた会員制クラブで、美しい姿で働く知子を見つけてしまう。それが、初めて知子の働く姿を見た要だった。瀬戸朝香　大倉孝二　茅島成美　山下真司　三浦理恵子　大杉漣　泉ピン子番組の最後に流れる視聴者からの嫁姑川柳募集、詳しくは番組ホームページから！荒井光明荒井光明  遠藤正人ドリマックステレビジョンhttp://www.tbs.co.jp/tonarino09</t>
  </si>
  <si>
    <t>要は近くの喫茶店で出会った時枝と一緒に飲みに行く事に。知子は早々と帰宅して要の帰りを待つが、要は深夜泥酔で帰宅。翌朝、要と昨日のことを話し合う知子だが、また怒らせてしまう。志乃も要を心配に思うが邪険に扱われて不満。そこへ時枝から要宛に電話が掛かってくる。時枝は要をまた会いたいと誘う。二人のことを知らない知子と殿村は時枝に男ができたのではとそのことを嬉しく思っていたが…。瀬戸朝香　大倉孝二　山下真司　三浦理恵子　大杉漣　泉ピン子番組の最後に流れる視聴者からの嫁姑川柳募集、詳しくは番組ホームページから！荒井光明荒井光明  遠藤正人ドリマックステレビジョンhttp://www.tbs.co.jp/tonarino09</t>
  </si>
  <si>
    <t>「傷ついた夫の反乱」家庭の危機を感じる知子は、殿村に退職を申し出る。家に戻ることになった知子は志乃からは邪魔者扱い、子供の心も掴みかね、実家に寄ろうとも早く姑の元へ戻れと母、波江に叱られる。知子の居場所は会員クラブだけだったのだ。そんな中、知子は馴染みの専務と要が進める企画のあらぬ話を聞く。知子は殿村に要が夫である事を告白。専務との企画を白紙に戻すよう動けないかと願い出る。瀬戸朝香　大倉孝二　茅島成美　山下真司　三浦理恵子　大杉漣　泉ピン子番組の最後に流れる視聴者からの嫁姑川柳募集、詳しくは番組ホームページから！山崎統司荒井光明  遠藤正人ドリマックステレビジョンhttp://www.tbs.co.jp/tonarino09</t>
  </si>
  <si>
    <t>「壊れた夫婦の行方」知子は仕事がうまくいかなかったことは要にとってよかったことだと説得するが、妨害したのが殿村だとわかり要は激怒する、そして、知子と殿村の関係までも疑う。夫を強く想う知子の気持ちは伝わらない。こんな、夫婦不仲への叱責を志乃からひたすらに浴びて数日が経ったある日、高平家に警察から思いがけない電話が入る…。瀬戸朝香　大倉孝二　岡本麗　大島蓉子　新井康弘　三浦理恵子　大杉漣　泉ピン子番組の最後に流れる視聴者からの嫁姑川柳募集、詳しくは番組ホームページから！荒井光明荒井光明  遠藤正人ドリマックステレビジョンhttp://www.tbs.co.jp/tonarino09</t>
  </si>
  <si>
    <t>「嫁と姑の決断」高平の家を出て実家に戻った知子。波江からは戻るよう言われるが、今度こそは許せないと知子は抵抗する。ただ心配は、花子と太郎を残して飛び出してしまった事だった。志乃は要が大事を働いてしまったのは全て知子のせいだと、またしても知子を非難し、花子と太郎には知子は出張と誤魔化していた。そんな中、遂に知子と時枝が話し合う事になる。瀬戸朝香　大倉孝二　茅島成美　渋谷飛鳥　水町レイコ　三浦理恵子　大杉漣　泉ピン子荒井光明荒井光明  遠藤正人ドリマックステレビジョンhttp://www.tbs.co.jp/tonarino09</t>
  </si>
  <si>
    <t>0907_TBS_金22</t>
  </si>
  <si>
    <t>オルトロスの犬</t>
  </si>
  <si>
    <t>番組名金曜ドラマ「オルトロスの犬」</t>
  </si>
  <si>
    <t>「神の手の悪魔VS悪魔の手の天使！No1スピードミステリー日本上陸」事件を追っていた女刑事、長谷部渚は犯人グループに捕われ、命の危機にさらされる。その時、彼女の目の前で信じられないことが…「神の手」を持つ竜崎臣司と「悪魔の手」を持つ碧井亮介の運命の戦いが始まる…滝沢秀明　錦戸亮　水川あさみ　八乙女光　  山本龍二　原田夏希　忍成修吾　六平直政　柴俊夫　波瑠　朝加真由美　中原丈雄　中丸新将　河北麻友子　大久保麻理子　熊田聖亜六角精児　佐々木蔵之介　高畑淳子初回は75分拡大スペシャルです。  【データー連動放送】井筒昭雄小林雄次  青木万央加藤新三城真一  那須田淳  松原浩小岩井宏悦  ワーナー・ブラザース映画TBSテレビ</t>
  </si>
  <si>
    <t>「究極の！選択」10年の沈黙を破り、脱獄した竜崎の目論見は一体何なのか？「龍谷村」というキーワードを頼りに碧井が向かった先で見つけた謎の文様が意味するものは？運命の二人を取り巻く、様々な権力、欲望が動き出す！滝沢秀明　錦戸亮　水川あさみ　八乙女光　  山本龍二　原田夏希　忍成修吾　六平直政　柴俊夫　波瑠　朝加真由美　中原丈雄　池田成志　河北麻友子　大久保麻理子　熊田聖亜六角精児　佐々木蔵之介　高畑淳子【データー連動放送】井筒昭雄青木万央加藤新三城真一  那須田淳  松原浩小岩井宏悦  ワーナー・ブラザース映画TBSテレビ</t>
  </si>
  <si>
    <t>「母か、刑事か」竜崎は力を認められ、榊大臣と引き合わされる。一方、日本のCIA沢村が碧井にコンタクトを取る。権力の中枢にいるものが二人に群がり始める中、証拠隠滅を図る熊切に加奈が襲われる、そこで渚が驚くべき行動に！滝沢秀明　錦戸亮　水川あさみ　八乙女光　  山本龍二　原田夏希　忍成修吾　中丸新将　柴俊夫　波瑠　朝加真由美　河北麻友子　　大久保麻理子　熊田聖亜　河野洋一郎　　　六角精児　佐々木蔵之介　高畑淳子【データー連動放送】井筒昭雄青木万央今井夏木三城真一  那須田淳  松原浩小岩井宏悦  ワーナー・ブラザース映画TBSテレビ</t>
  </si>
  <si>
    <t>逮捕！明かされる二人の衝撃の過去！熊切をわざと逃がし竜崎へのメッセージを託した渚。依頼のとおり娘・澪の病室に竜崎が現れる！その時、渚は驚くべき行動に！一方、実家の周りで二宮の姿を見つけた碧井、覆面男に突如襲われ、悪魔の手が…滝沢秀明　錦戸亮　水川あさみ　八乙女光　  山本龍二　原田夏希　忍成修吾　　柴俊夫　  波瑠　朝加真由美　中原丈雄　河北麻友子　黒坂真美　熊田聖亜　内倉憲二　六角精児　佐々木蔵之介　高畑淳子【データー連動放送】井筒昭雄青木万央  伊藤崇  国井桂今井夏木三城真一  那須田淳  松原浩小岩井宏悦  ワーナー・ブラザース映画TBSテレビ</t>
  </si>
  <si>
    <t>「暗殺者」殺人を唯一正当化できる国家の為に手を組もうと碧井に提案した沢村は力のことを知っている熊切勝を殺すよう依頼する。一方、榊は総裁選を優位に運ぶ為、絶大な人気を誇る歌手・レイの癌を治すよう竜崎に命じるが…！滝沢秀明　錦戸亮　水川あさみ　八乙女光　  山本龍二　原田夏希　忍成修吾　　柴俊夫　波瑠　朝加真由美　中原丈雄　　熊田聖亜  平原綾香　六角精児　佐々木蔵之介　　　　高畑淳子【データー連動放送】井筒昭雄ワーナー・ブラザース映画ライターズワークショップ  伊藤崇  青木万央加藤新三城真一  那須田淳  松原浩小岩井宏悦  ワーナー・ブラザース映画TBSテレビ</t>
  </si>
  <si>
    <t>「裏切者」沢村が動き始めた！渚を配置転換、直属の部下にし、竜崎マークにつける一方、榊の不正献金を暴露しようとする善三を、息子の勝、同様に碧井を使って消そうとする。そんな中、竜崎が何者かにラチされてしまう！滝沢秀明　錦戸亮　水川あさみ　八乙女光　  山本龍二　原田夏希　忍成修吾　柴俊夫　  波瑠　朝加真由美　中原丈雄　中丸新将　  河北麻友子　内倉憲二　熊田聖亜　六角精児佐々木蔵之介　高畑淳子【データー連動放送】井筒昭雄小林雄次  青木万央  伊藤崇  加藤公平  今井夏木三城真一  那須田淳  松原浩小岩井宏悦  ワーナー・ブラザース映画TBSテレビ</t>
  </si>
  <si>
    <t>番組名金曜ドラマ「オルトロスの犬・緊急生放送特別編」</t>
  </si>
  <si>
    <t>滝沢秀明　錦戸亮　水川あさみ　佐々木蔵之介　八乙女光　高畑淳子TBSテレビ</t>
  </si>
  <si>
    <t>「非常事態」世の中に広まった竜崎の力を目的に、碧井が訪れた病院に爆破予告事件が起きる。総理の座を狙う榊と竜崎に恨みを持つ沢村の誘いに乗る竜崎だが犯人の真の目的は別にあった。そして明らかになる竜崎の過去！滝沢秀明　錦戸亮　水川あさみ　八乙女光　  原田夏希　柴俊夫　波瑠　朝加真由美　　　中原丈雄　熊田聖亜　平田満　大和田伸也　北見敏之　布施博　金山一彦　六角精児　　佐々木蔵之介　高畑淳子【データー連動放送】井筒昭雄青木万央  小林雄次  加藤公平  伊藤崇加藤新三城真一  那須田淳  松原浩小岩井宏悦  ワーナー・ブラザース映画TBSテレビ</t>
  </si>
  <si>
    <t>「兄弟～感動の最終回SP！前編」再び独房に戻った竜崎。その力を管理しようと来訪者が…！一方碧井は自分の使命を果たすという神父・巽と出会う。その使命とは竜崎を殺すこと。病院爆破事件の犯人も巽だった。それを知らない碧井は竜崎と共に…滝沢秀明　錦戸亮　水川あさみ　八乙女光　  原田夏希　忍成修吾　柴俊夫　波瑠　  朝加真由美　中原丈雄　熊田聖亜　平田満　六角精児　佐々木蔵之介　高畑淳子【データー連動放送】井筒昭雄青木万央  小林雄次  林壮太郎吉田健三城真一  那須田淳  松原浩小岩井宏悦  ワーナー・ブラザース映画TBSテレビ</t>
  </si>
  <si>
    <t>「感動の最終回SP！生か死か！神と悪魔の真実…衝撃！涙のラスト」ついに明かされた碧井と竜崎の関係。それを知った上で沢村は碧井に竜崎の殺害を依頼。その頃、渚が爆発現場の遺留品から掴んだ事件の黒幕とは…！そして訪れる衝撃のラスト！碧井は渚の前で竜崎との決着をつける！滝沢秀明　錦戸亮　水川あさみ　八乙女光　  山本龍二　原田夏希　忍成修吾　柴俊夫　　波瑠　朝加真由美　中原丈雄　中丸新将　　河北麻友子　熊田聖亜　平田満　六角精児　佐々木蔵之介　高畑淳子【データー連動放送】井筒昭雄青木万央  小林雄次  伊藤崇  加藤公平加藤新  今井夏木三城真一  那須田淳  松原浩小岩井宏悦  ワーナー・ブラザース映画TBSテレビ</t>
  </si>
  <si>
    <t>0907_TBS_土20</t>
  </si>
  <si>
    <t>こち亀</t>
  </si>
  <si>
    <t>番組名こちら葛飾区亀有公園前派出所</t>
  </si>
  <si>
    <t>「笑って泣ける伝説の名作遂にドラマ化!!両さんが日本を明るくします」東京は下町葛飾・亀有公園前の派出所。ここに勤務する両津勘吉巡査長(香取慎吾)、通称・両さんは、破天荒で豪快で型破り、また傲慢で強引な性格で、“始末書の両さん”と呼ばれており、やることなすことすべてハチャメチャ。両さんが行く所にトラブルが絶えることはなかった。同じ派出所の後輩・秋本カトリーヌ麗子(香里奈)や中川圭一(速水もこみち)をヒヤヒヤさせたり、上司である大原部長(伊武雅刀)にカミナリを落とされる毎日を送りながら、日々怖いもの知らずのパワーを爆発させ続けている。  そんなある日、両さんのもとへおいしい話が舞い込んでくる。  今日も一般市民をも巻き込んで、警察官にあるまじき行動で大暴れする!!  香取慎吾　香里奈　速水もこみち　柴田理恵なぎら健壱　つまみ枝豆　福井博章　ラサール石井　伊武雅刀     【ゲスト】  ビートたけし（スペシャルゲスト）  劇団ひとり  ベッキー（友情出演）  國村　隼【データー連動放送】両さん 「こちら葛飾区亀有公園前派出所」　　　　（ビクターエンタテインメント） 「こちら葛飾区亀有公園前派出所」秋本　治 （集英社「週刊少年ジャンプ」連載作品） マギー英　勉瀬戸口克陽  高橋正尚TBS  http://www.tbs.co.jp/kochikame/</t>
  </si>
  <si>
    <t>「昭和タイムスリップ!!運命の恋と別れ」ある日、地域住民との触れ合いを強化すると言い出した部長(伊武雅刀)。  早速、地域住民の話を聞きに行く麗子(香里奈)と中川(速水もこみち)。そこには面倒臭そうに話しを聞いている両津(香取慎吾)の姿もあった。  パトロールの途中、駄菓子屋に立ち寄る両津、麗子、中川。そこで店主のモエコ(渡辺えり)が開店以来一度も休んでいないということを知った麗子は、両津に“1日だけ店番をしてあげたら？”と提案する。はじめは面倒臭そうな顔をする両津であったが、何かおいしい思いが出来ると踏んだのか、突然店番をやらせてくれと言い出す。  儲け話に目がない両津は、早速、近所の小学生たちを誘って商売を始める。予想をはるかに超える売れ行きに、疲れて眠ってしまう両津であったが、目を覚ますとそこは昭和30年代にタイムスリップした店内であった。  その店内には若い女性(石原さとみ)の姿が…。なんとその女性は若き日のモエコであった香取慎吾　香里奈　速水もこみち　柴田理恵なぎら健壱　つまみ枝豆　福井博章　ラサール石井　伊武雅刀     【ゲスト】  加山雄三（スペシャルゲスト）  石原さとみ  渡辺えり【データー連動放送】両さん 「こちら葛飾区亀有公園前派出所」　　　　（ビクターエンタテインメント） 「こちら葛飾区亀有公園前派出所」秋本　治 （集英社「週刊少年ジャンプ」連載作品） マギー英　勉瀬戸口克陽  高橋正尚TBS  http://www.tbs.co.jp/kochikame/</t>
  </si>
  <si>
    <t>イケメン幽霊の悲しい秘密成仏(秘)作戦亀有でユーレイ騒ぎ！？  今回、両さんに課されたのは幽霊退治！  4年に1度しか起きない超能力警官・日暮熟睡男の力を借り、幽霊退治に向かうが・・・。  そこにいた幽霊には悲しい過去があったのだ。  話を聞くうちに、両さんはその幽霊を喜ばせ、成仏させてあげる作戦を思いつく！  亀有の住民を巻き込んだ両さんの作戦は、果たして成功するのか！？香取慎吾　香里奈　速水もこみち　柴田理恵なぎら健壱　つまみ枝豆　福井博章　ラサール石井　伊武雅刀     【ゲスト】  観月ありさ（スペシャルゲスト）  田口淳之介  宮藤官九郎  (他)【データー連動放送】両さん 「こちら葛飾区亀有公園前派出所」　　　　（ビクターエンタテインメント） 「こちら葛飾区亀有公園前派出所」秋本　治 （集英社「週刊少年ジャンプ」連載作品） マギー坪井敏雄瀬戸口克陽  高橋正尚TBS  http://www.tbs.co.jp/kochikame/</t>
  </si>
  <si>
    <t>「すれ違う父娘…人情結婚式で涙の再会」俳句が趣味で泣き虫なちょっと変わったヤクザの組長・御所ヶ原。  町では恐れられている彼だが、実は大きな悩みがあった。  愛する娘に“ヤクザだから”という理由で嫌われてしまっているのだ。  父に出席して欲しくないから、と結婚式も挙げていない娘。  そんな父と娘の悲しい溝を埋めるため、両さんが立ち上がり、涙の結婚式をプロデュース！  果たして御所ヶ原親子は、関係を取り戻すことができるのか!?  香取慎吾　香里奈　速水もこみち　柴田理恵なぎら健壱　つまみ枝豆　福井博章　ラサール石井　伊武雅刀     【ゲスト】  片瀬那奈　阿部力　堀部圭亮　玉袋筋太郎　西田敏行　(他)【データー連動放送】両さん 「こちら葛飾区亀有公園前派出所」　　　　（ビクターエンタテインメント） 「こちら葛飾区亀有公園前派出所」秋本　治 （集英社「週刊少年ジャンプ」連載作品） マギー坪井敏雄瀬戸口克陽  高橋正尚TBS  http://www.tbs.co.jp/kochikame/</t>
  </si>
  <si>
    <t>「恋の三角関係!!麗子はワシの宝物だ!!」  麗子の婚約者と名乗り、突如現れた自称スーパー金持ち・白鳥麗次。麗子に全く相手にしてもらえない白鳥の様子を見ていた“下町の恋のカリスマ”両さんが、恋のキューピッドを買って出る！  そしてついに迎えたお見合いの日…。  白鳥のプロポーズに麗子が答えを出そうとしたその時!!??  両さんが麗子を奪いに!?  果たして3人の恋の行方は!?  香取慎吾　香里奈　速水もこみち　柴田理恵なぎら健壱　つまみ枝豆　福井博章　ラサール石井　伊武雅刀     【ゲスト】  泉ピン子　大和田伸也　稲垣吾郎　(他)【データー連動放送】両さん 「こちら葛飾区亀有公園前派出所」　　　　（ビクターエンタテインメント） 「こちら葛飾区亀有公園前派出所」秋本　治 （集英社「週刊少年ジャンプ」連載作品） マギー英　勉瀬戸口克陽  高橋正尚TBS  http://www.tbs.co.jp/kochikame/</t>
  </si>
  <si>
    <t>「両さんと中川が入れかわっちゃった!?」  謎の怪盗団からの犯行予告。そして両さんたちの前に現れた怪盗団。必死に追う中、事件が!!なんと、ぶつかった拍子に両さんと中川の中身が入れ替わってしまったのだ!!さらに、両さんが中川財閥社長と間違えられ、誘拐されてしまう。両さんを助けるため、中川が立ち上がる！香取慎吾　香里奈　速水もこみち　柴田理恵なぎら健壱　つまみ枝豆　福井博章　ラサール石井　伊武雅刀     【ゲスト】  島袋寛子　田中幸太朗　小柳友　AKB48　綾田俊樹　(他)【データー連動放送】両さん 「こちら葛飾区亀有公園前派出所」　　　　（ビクターエンタテインメント） 「こちら葛飾区亀有公園前派出所」秋本　治 （集英社「週刊少年ジャンプ」連載作品） マギー武藤淳瀬戸口克陽  高橋正尚TBS  http://www.tbs.co.jp/kochikame/</t>
  </si>
  <si>
    <t>「2重人格!?純情白バイ警官珍デート!!」  凶暴だがバイクを降りるとなよなよキャラに変身する白バイ警官、本田。そんな本田が恋!?両さんが本田のために立ち上がる！両さんのおかげでうまくいきそうにみえた恋だったが…!?  香取慎吾　香里奈　速水もこみち　柴田理恵なぎら健壱　つまみ枝豆　福井博章　ラサール石井　伊武雅刀     【ゲスト】  本上まなみ　温水洋一　前田健　内村光良　(他)【データー連動放送】両さん 「こちら葛飾区亀有公園前派出所」　　　　（ビクターエンタテインメント） 「こちら葛飾区亀有公園前派出所」秋本　治 （集英社「週刊少年ジャンプ」連載作品） マギー  松田裕子坪井敏雄瀬戸口克陽  高橋正尚TBS  http://www.tbs.co.jp/kochikame/</t>
  </si>
  <si>
    <t>「さよなら、両さん!!読者が選ぶ“泣ける”エピソード不動のNo.1　20年の時を越え思い出の校庭で再会した2人　涙と友情と約束のタイムカプセル」連載33年、コミック166巻の歴史の中でファンが選ぶ“泣ける”エピソード人気No.1「浅草物語」がついに登場!!  20年ぶりに再会した両さんの親友がやくざになっていた。しかも、殺人容疑で指名手配されているという。親友を更正させるために立ち上がった両さん!!  しかし、本庁の命令を無視した行動がアダとなりクビを宣告されてしまう…  怒涛の最終回2時間スペシャル!!今夜は涙なくしては見れません!!  香取慎吾　香里奈　速水もこみち　柴田理恵なぎら健壱　つまみ枝豆　福井博章　ラサール石井　伊武雅刀     【ゲスト】  木村拓哉　平泉成　デビット伊東　キャイ～ン　みのもんた　優香　中村獅童　(他)【データー連動放送】両さん 「こちら葛飾区亀有公園前派出所」　　　　（ビクターエンタテインメント） 「こちら葛飾区亀有公園前派出所」秋本　治 （集英社「週刊少年ジャンプ」連載作品） マギー英　勉瀬戸口克陽  高橋正尚TBS  http://www.tbs.co.jp/kochikame/</t>
  </si>
  <si>
    <t>0907_TBS_日21</t>
  </si>
  <si>
    <t>官僚たちの夏</t>
  </si>
  <si>
    <t>番組名日曜劇場「官僚たちの夏」</t>
  </si>
  <si>
    <t>「昭和三十年の夢」敗戦から10年経った、高度成長期元年といわれる昭和30年春（1955年）、日本の道路舗装率がまだ5％にも満たず、家一軒よりも車の値段のほうが高かったころ、日本国民みんなが買える国産車を作ろうとする動きがあった。その動きは、「通産省の国民車構想」という記事ですっぱ抜かれ、通産省には記者が殺到、職員は対応に追われる。通産省重工業局長の丸尾要（西村雅彦）は根回しもできていないこの計画を、同局自動車課長の風越信吾（佐藤浩市）が勝手に記事を書かせたと思い怒りを露にするが、風越に心酔する中小企業振興課長の鮎川光太郎（高橋克実）は あの人はいつも10年先を見据えている と弁護する。佐藤浩市　堺　雅人　高橋克実　佐野史郎　西村雅彦　杉本哲太　吹石一恵　田中圭　床嶋佳子　村川絵梨　国広富之　蟹江敬三　市毛良枝　加藤虎ノ介    高橋克典　船越英一郎　北大路欣也【データー連動放送】「官僚たちの夏」  城山三郎著（新潮社文庫刊）橋本裕志平野俊一伊佐野英樹　真木　明TBS</t>
  </si>
  <si>
    <t>「テレビの時代」テレビを普及させるためには、テレビの低価格化が必須だと考える官房秘書課長の風越信吾（佐藤浩市）は重工業局長の丸尾要（西村雅彦）に、家電メーカーの過当競争による共倒れを防ごうと参入業者を制限する案を提案し、了承される。  しかし、参入を制限された大沢無線は反発、電気通信課長の庭野貴久（堺雅人）は業種転換を提案するが、拒絶される。  一方、大沢無線に融資していた帝都銀行も反発、風越は窮地に追い込まれる。佐藤浩市　堺　雅人　高橋克実　佐野史郎　西村雅彦　杉本哲太　吹石一恵　田中圭　床嶋佳子　村川絵梨　国広富之　蟹江敬三　市毛良枝　加藤虎ノ介    高橋克典　船越英一郎　北大路欣也【データー連動放送】「官僚たちの夏」  城山三郎著（新潮社文庫刊）橋本裕志平野俊一伊佐野英樹　真木　明TBS</t>
  </si>
  <si>
    <t>「大臣との対立」昭和34年（1959年）、日本の繊維製品がアメリカ市場を席巻し、貿易摩擦を引き起こしていた。そんな中、アメリカ協調派の実力者 池内信人（北大路欣也）が通産大臣に就任する。焦点となる繊維局長には風越信吾（佐藤浩市）のライバルであり国際通商派の玉木博文(船越栄一郎)が任命され、同じ考えの片山泰介（高橋克典）も繊維局へ異動となった。  風越は重要ポストである重工業局長に昇進した。そこで風越は、池内の動向を把握するため国内産業保護派の庭野貴久（堺雅人）を大臣秘書官に、腹心の鮎川光太郎（高橋克実）を玉木や片山のいる繊維局へ送り込む。  そんな中、アメリカは日本政府に対し、正式に綿製品の輸出自主規制を強く要求。1年後に輸出自主規制が実施された場合、半数の企業が倒産するという。佐藤浩市　堺　雅人　高橋克実　佐野史郎　西村雅彦　杉本哲太　吹石一恵　田中圭　床嶋佳子　村川絵梨　国広富之　蟹江敬三　市毛良枝　加藤虎ノ介    高橋克典　船越英一郎　北大路欣也【データー連動放送】「官僚たちの夏」  城山三郎著（新潮社文庫刊）橋本裕志平野俊一伊佐野英樹　真木　明TBS</t>
  </si>
  <si>
    <t>「黒船来襲」昭和34年（1959年）アメリカの強硬な姿勢に屈し、綿製品の対米輸出自主規制を行ったことで、日本の繊維業界は深刻な不況に陥っていた。  通産省に対する繊維業界の怒りは高まる一方であったが、通産大臣の池内信人（北大路欣也）は国際貿易自由協定GATTの東京総会を乗り切ることで頭がいっぱいだった。  GATTの東京総会が開かれ、日本は各国から保護貿易主義を批判され、貿易自由化勧告を突きつけられた。自由化勧告は池内の予想を超えた厳しいものだった。池内は日米安保を鑑み、GATTを乗り切るために、繊維局長の玉木博文（船越英一郎）に繊維産業を自由化するよう求める。  GATT勧告を受け、通産省各局で貿易自由化に関する会議が開かれた。繊維局では局長の玉木が、反対する鮎川光太郎（高橋克実）、山本真（吹石一恵）らを強引に説得した。佐藤浩市　堺　雅人　高橋克実　佐野史郎　西村雅彦　杉本哲太　吹石一恵　田中圭　床嶋佳子　村川絵梨　国広富之　蟹江敬三　市毛良枝　加藤虎ノ介    高橋克典　船越英一郎　北大路欣也【データー連動放送】「官僚たちの夏」  城山三郎著（新潮社文庫刊）橋本裕志大岡　進伊佐野英樹　真木　明TBS</t>
  </si>
  <si>
    <t>「電算機を救え」アメリカの巨大コンピューター企業・IDNが日本進出に動き出した。開発費は日本の国家予算の半分、性能速度は日本製品の百倍。勝ち目のない戦いに思えたが、通産省・重工業局長の風越信吾（佐藤浩市）は日本の将来のために国内のコンピューター産業は絶対に必要と考えていた。  しかし、企業局産業資金課長の庭野貴久（堺雅人）の説得によりコンピューター産業に業種転換した大沢無線では資金難から開発は難航した。一方、総理大臣となった池内信人（北大路欣也）は所得倍増計画を掲げ、風越に委員会入りを要請するが、風越は国産コンピューターの資金集めを優先したい、と委員会入りを固辞。委員会は、繊維局長の玉木博文（船越英一郎）と大臣秘書官の片山恭介（高橋克典）によって引っ張られていく。  しかし、銀行は国産コンピューター構想に対して無理だと決め付け、国産コンピューターに対する逆風は強まるばかりだった。佐藤浩市　堺　雅人　高橋克実　佐野史郎　西村雅彦　杉本哲太　吹石一恵　田中圭　床嶋佳子　村川絵梨　国広富之　蟹江敬三　市毛良枝　加藤虎ノ介    高橋克典　船越英一郎　北大路欣也【データー連動放送】「官僚たちの夏」  城山三郎著（新潮社文庫刊）橋本裕志大岡　進伊佐野英樹　真木　明TBS</t>
  </si>
  <si>
    <t>「公害問題」企業局長に昇進した風越信吾（佐藤浩市）は、来るべき貿易自由化の防波堤とするため、国内産業保護法案の作成に奔走していた。法案は国際競争時代に備え、産業再編や企業合併を推進し、それを税制金融面から支援するというものだが、国際通商派の玉木博文（船越英一郎）は「役所主導で合併統合を進めれば、民間の自由な企業活動が保障されなくなる」と反対で、産業を強化するなら石油の安定確保に予算を使うべきだと主張する。池内信人（北大路欣也）総理大臣も成立を阻止する構えだ。  そんな中、東京経済新聞の西丸賢治（佐野史郎）が公害問題を取り上げる。風越は「日本をここまで豊かにした産業が、まるで悪者だ」と西丸に不満をぶつける。  また、同じ国内産業保護派の鮎川光太郎（高橋克実）は「公害対策には金がかかる」と、庭野貴久（堺雅人）は「今は企業が強くならなければならない非常時」と公害問題の深刻さを理解できない。一方、同じ記事を見ていた玉木ら国際通商派は「アメリカと違って日本は狭い。対策を急がないと日本は公害大国になる」と問題を深刻に捉えていた。佐藤浩市　堺　雅人　高橋克実　佐野史郎　西村雅彦　杉本哲太　吹石一恵　田中圭　床嶋佳子　村川絵梨    長塚京三    高橋克典　船越英一郎　北大路欣也【データー連動放送】「官僚たちの夏」  城山三郎著（新潮社文庫刊）橋本裕志松田礼人伊佐野英樹　真木　明TBS</t>
  </si>
  <si>
    <t>敗北貿易自由化という戦後最大の試練を控えた昭和37年（1962年）、通産省企業局長の風越信吾（佐藤浩市）は外国企業の進出から国内産業を守るため、「国内産業保護法案」の成立を進めていた。法案が最も重視するのは自動車業界の再編で、過当競争を防ぐため普通自動車の量産メーカーを三社に絞るという「自動車三社構想」は、慎重な根回しが必要なため、極秘事項として検討されていた。そんな中、通産大臣の須藤恵作（長塚京三）は、「自分がいては貿易自由化を進めようとする総理大臣の池内信人（北大路欣也）から妨害を受ける」と大臣を辞任、後任に古畑晋介（佐藤B作）が就任した。  一方、公正取引委員会や金融界は、独占企業を作るおそれがあると、法案には徹底的に反対。風越は反対する幹部達に噛み付くが法案を創った牧順三（杉本哲太）は風越のやり方に不安を覚える。佐藤浩市　堺　雅人　高橋克実　佐野史郎　西村雅彦　杉本哲太　吹石一恵　田中圭　床嶋佳子　村川絵梨    長塚京三    高橋克典　船越英一郎　北大路欣也    【第7話ゲスト】  佐藤B作【データー連動放送】「官僚たちの夏」  城山三郎著（新潮社文庫刊）橋本裕志平野俊一伊佐野英樹　真木　明TBS</t>
  </si>
  <si>
    <t>「総理の死」  東京オリンピックを1年後に控えた昭和38年（1963年）夏、国内産業保護法成立を目指す戦いに敗れた風越慎吾（佐藤浩市）は古畑晋介（佐藤B作）通産大臣による前代未聞の人事介入で次官内定を取り消され、通産省の外局である特許庁長官に異動となった。玉木博文（船越英一郎）前特許庁長官は異例の本省返り咲きを果たし、次官として通産省トップの座に就いた。玉木率いる通産省は片山泰介（高橋克則）ら「国際通商派」が主要ポストを占め、風越率いる「国内産業保護派」の鮎川光太郎（高橋克実）と庭野貴久（堺雅人）は冷遇されることに。  その通産省では、国産旅客機の開発支援が最重要課題となっていた。それは、池内信人（北大路欣也）総理大臣の「オリンピックの象徴である聖火を国産初の旅客機で運ぶ姿を全国民に披露し、先進国の仲間入りを果たす」という強い意向によるものだった佐藤浩市　堺　雅人　高橋克実　佐野史郎　西村雅彦　杉本哲太　吹石一恵　田中圭　床嶋佳子　村川絵梨    長塚京三  高橋克典　船越英一郎　北大路欣也    【第8話ゲスト】  鶴見辰吾　岡本信人　金田明夫【データー連動放送】「官僚たちの夏」  城山三郎著（新潮社文庫刊）橋本裕志平野俊一伊佐野英樹　真木　明TBS</t>
  </si>
  <si>
    <t>「涙の叫び」昭和40年（1965年）、自動車、家電、コンピューターなど業績を伸ばす産業がある一方、長らく日本を支えてきた石炭産業は石油の輸入自由化の影響で虫の息となっていた。通産省次官に就任した風越は「弱者も一緒に豊かに暮らせる国創りを目指す」が、弱者救済が日本の経済発展の足枷になるのではないか、という問題に直面する。  その象徴として炭鉱での爆発事故が描かれる。風越と共に国内産業保護法を立案した牧であったが、今では風越の弱者救済策を「助かる見込みのない作業員を救おうとして多くの救助員を犠牲にした炭鉱事故と同じ」と批判する。  一方、風越と共に現在も国内産業保護に奔走する鮎川は、実際に炭鉱事故の現場に出向き、二次爆発を防ぐために注水措置を行うかどうかの選択を迫られる。それはまさに、弱者救済か全体の利益かの選択であり、当時の日本の縮図ともいえる。佐藤浩市　堺　雅人　高橋克実　佐野史郎　西村雅彦　杉本哲太　吹石一恵　田中圭　床嶋佳子　村川絵梨    長塚京三    高橋克典　船越英一郎　北大路欣也【データー連動放送】「官僚たちの夏」  城山三郎著（新潮社文庫刊）橋本裕志平野俊一伊佐野英樹　真木　明TBS</t>
  </si>
  <si>
    <t>「天下りせず」風越は須藤総理から、小笠原諸島返還交渉で、小笠原返還の見返りとして、アメリカのベトナム戦争参戦への支持と戦費調達に日本円で約1000億円を求められたことを明らかにされる。  須藤は「日本はアメリカに軍事依存している。それで防衛費負担が少ないからこそ高度経済成長を実現できた」「アメリカの立場も尊重しなければ何も動かない」と説明するが、風越は「それは尊重ではなく押し付けられただけだ」と非難する。同席していた庭野貴久（堺雅人）は「小笠原で1000億なら沖縄では何を要求されるかわからない」と警戒心を強める。佐藤浩市　堺　雅人　高橋克実　佐野史郎　西村雅彦　杉本哲太　吹石一恵　田中圭　床嶋佳子　村川絵梨    長塚京三    高橋克典　船越英一郎　北大路欣也【データー連動放送】「官僚たちの夏」  城山三郎著（新潮社文庫刊）橋本裕志平野俊一伊佐野英樹　真木　明TBS</t>
  </si>
  <si>
    <t>0904_TBS_月20</t>
  </si>
  <si>
    <t>ハンチョウ</t>
  </si>
  <si>
    <t>番組名ハンチョウ～神南署安積班～</t>
  </si>
  <si>
    <t>「自首」神南署内で早朝に死体が発見された。殺されたのは宝石店社長の横谷美津江。  強盗殺人事件かと思う反面、単なる事件では無いと呟く須田刑事（塚地武雅）。その時、近くから拡声器で叫ぶ女性の声が聞こえてきた。太田トヨ（市原悦子）が横谷家に向かって拡声器で叫んでいる安積班はトヨの身辺捜査にふみきる安積を待っていたのは横谷を殺したと自首してきたトヨだった。動機は何なのか？佐々木蔵之介・中村俊介・塚地武雅・黒谷友香・賀集利樹・山口翔悟・安めぐみ  渋谷飛鳥・近野成美・細川茂樹・奥貫薫・田山涼成    ＜第1話ゲスト＞  市原悦子佐々木蔵之介さんのサイン入り  番組公認マスコット『神南くん』のぬいぐるみをプレゼント！  詳しくはホームページで  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t>
  </si>
  <si>
    <t>「被害者」突然高野哲雄（松田悟志）に襲い掛かった初老の男、藤崎洋一（河原崎建三）。  高野は藤崎の息子を自殺に追いやったと思われている。  だが青山のバーで働いているリサ（星野真里）は無実だと証言をする。  須田（塚地武雅）は藤崎を検挙することに成功。  しかし、取調べの最中に高野とリサが心中事件を起こしたという連絡が入った。  何か引っかかりを感じた安積（佐々木蔵之介）は…。佐々木蔵之介・中村俊介・塚地武雅・黒谷友香・賀集利樹・山口翔悟・安めぐみ  渋谷飛鳥・近野成美・細川茂樹・奥貫薫・田山涼成  ＜第2話ゲスト＞  星野真里・河原崎建三・松田悟志今野　敏  「神南署安積班」他、安積班シリーズ  　　　　　　　　　　（ハルキ文庫刊）石原　武龍  奥村　俊雄  難波江由紀子  小澤　俊介  末安　正子酒井　聖博  和田　旭  竹之下寛次  竹村謙太郎  村田　忍橋本　孝  遠藤　正人ドリマックス・テレビジョンhttp://www.tbs.co.jp/hanchou2009/</t>
  </si>
  <si>
    <t>「黒木刑事撃たれる！」神南署で発砲事件発生。被害者は暴力団組長、狙撃犯は逃走中。  安積犯が早速捜査を開始すると監視カメラの映像から犯人が浮かび上がった岩城康作（徳井優）。安積（佐々木蔵之介）が以前更正させた暴力団員、しかし何故？  安積は失望感のなか岩城の身柄確保を部下に命じた。その矢先犯人から中園（堤大二郎）を庇った黒木（賀集利樹）が撃たれた。  安積班は…。佐々木蔵之介・中村俊介・塚地武雅・黒谷友香・賀集利樹・山口翔悟・安めぐみ  渋谷飛鳥・近野成美・細川茂樹・奥貫薫・田山涼成    ＜第3話ゲスト＞  徳井優・堤大二郎・山下容莉枝今野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t>
  </si>
  <si>
    <t>「通り魔に襲われた女」神南署で通り魔事件が発生した。被害者は長沢ゆかり（三浦理恵子）。  また数日後、今度は金丸美和（西尾まり）という女性が通り魔に襲われた。  美和は有名靴ブランド「ミラノ」のデザイナーで、盗まれたバックの中には新作デザインのデーターが入っていた。  なぜ今回だけバックが盗まれたのか？  ミラノに対する怨念か？  犯人の取調べが、進むにつれて事件は思わぬ展開を見せ始める佐々木蔵之介・中村俊介・塚地武雅・黒谷友香・賀集利樹・山口翔悟・安めぐみ  渋谷飛鳥・近野成美・細川茂樹・奥貫薫・田山涼成    ＜第4話ゲスト＞  三浦理恵子・西尾まり・前川泰之今野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t>
  </si>
  <si>
    <t>未定若者に因縁をつけられているところを、安積班に保護された勝江（岸本加代子）。  すると突然、自分は夫の清志（谷本一）を殺害したと自供した。  勝江の靴には清志の血液が付着しており、状況証拠は勝江の犯行を示していたが、殺害に至った理由・状況など不明。桜井（山口翔悟）は、店員の一人・啓太（内野謙太）が気になり、彼をマークする。  安積（佐々木蔵之介）は、勝江が誰かをかばっているのではないかと考え釈放する…。  事件は意外な方向に…。佐々木蔵之介・中村俊介・塚地武雅・黒谷友香・賀集利樹・山口翔悟・安めぐみ  渋谷飛鳥・近野成美・細川茂樹・奥貫薫・田山涼成    ＜第5話ゲスト＞  岸本加代子今野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t>
  </si>
  <si>
    <t>「存在しない男を愛した女…3650円の人生」神南署管内で殺人事件とドラッグストア強盗事件が相次いで発生。  強盗事件は店内に残っていた指紋から容疑者が特定され、犯人確保は時間の問題と…。  現場に居合わせた目撃証言から、社長殺害の容疑者として河原崎（由地慶伍）という男が浮上した。しかし、河原崎は犯行を否定。そんな時安積は須田から強盗事件の現場からもう一人野上（鶴見辰吾）という男の指紋が検出されたと報告を受ける。  しかし、野上は半年も前に電車に飛び込んで自殺していた。佐々木蔵之介・中村俊介・塚地武雅・黒谷友香・賀集利樹・山口翔悟・安めぐみ  渋谷飛鳥・近野成美・細川茂樹・奥貫薫・田山涼成    ＜第6話ゲスト＞  鶴見辰吾・由地慶伍・中村綾毎週放送終了後に、本編からクイズを出題。  正解者の中から抽選で番組オリジナルのグッズをプレゼントします。  詳しくは番組ホームページをご覧下さい。今野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t>
  </si>
  <si>
    <t>「鬼と呼ばれた家政婦…遺産を狙う老老介護」家政婦はつ子（泉ピン子）の不注意で車椅子の老女・菊乃（佐々木すみえ江）がケガをする事件が起きた。  事故として扱われようとしていたところに、菊乃の娘・早苗（朝加真由美）が怒鳴り込んできた。はつ子が、菊乃を殺害しようとしていると。  日ごろ菊乃は、はつ子から日常的に虐待も受けていたと言う。  菊乃の財産を狙っての犯行か？安積班たちは、はつ子が犯人と断定するが…。  違和感を覚える安積（佐々木蔵之介）は？佐々木蔵之介・中村俊介・塚地武雅・黒谷友香・賀集利樹・山口翔悟・安めぐみ  渋谷飛鳥・近野成美・細川茂樹・奥貫薫・田山涼成今野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t>
  </si>
  <si>
    <t>「品川東署から来た男…ベテラン刑事の殺人」神南署管内で殺人事件が発生した。被害者は貿易会社社長。  部屋の状況から被害者には愛人がいたと推測され、携帯電話のメモリから木本弥生（北川弘美）という女性が捜査線上に浮かぶ。  そこに日高美也子（白石まるみ）という女性が怒鳴り込んできた。  美也子は弥生と不倫関係にある自分の夫・英之（田中実）を返せと息巻く。  会議をする安積たちのもとに、三国（大杉漣）という品川署の刑事がやってきた。  三国の行動に疑問を感じる村雨（中村俊介）は…？佐々木蔵之介・中村俊介・塚地武雅・黒谷友香・賀集利樹・山口翔悟・安めぐみ  渋谷飛鳥・近野成美・細川茂樹・奥貫薫・田山涼成    ＜第8話ゲスト＞  大杉漣・北川弘美今野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t>
  </si>
  <si>
    <t>「たった一人の反乱…さようなら安積警部補」  冤罪？  無実なんです。私は…亭主を殺していません。泣き叫ぶ美佐子（川上麻衣子）  罪を犯した人間を捕まえるのが刑事なら…  無実の人間を救い出すのも刑事の仕事じゃないんですか。  すべてを敵にまわすのか安積？  犯人は別にいる？  どうする安積…。佐々木蔵之介・中村俊介・塚地武雅・黒谷友香・賀集利樹・山口翔悟・安めぐみ  渋谷飛鳥・近野成美・細川茂樹・奥貫薫・田山涼成    ＜第9話ゲスト＞  川上麻衣子・大河内浩今野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t>
  </si>
  <si>
    <t>「主婦を襲う恐怖の電話…消えた300万の謎」  人事異動？桜井（山口翔悟）は、自分が対称だという噂を聞き動揺する。  そこに殺人事件発生の知らせが入った。  殺人事件は頻発していた振り込め詐欺事件とリンクして捜査されることになった。  捜査の過程で老女、川本千穂（草村礼子）の名前が上がり桜井は驚く。  移動の噂が気になり、焦った桜井（山口翔悟）は、単独捜査を開始した。しかし逆に犯人グループに拉致されてしまった。  間に合うのか安積班？佐々木蔵之介・中村俊介・塚地武雅・黒谷友香・賀集利樹・山口翔悟・安めぐみ  渋谷飛鳥・近野成美・細川茂樹・奥貫薫・田山涼成    ＜第10話ゲスト＞  草村礼子・天田俊明毎週放送終了後に、本編からクイズを出題。  正解者の中から抽選で番組オリジナルのグッズをプレゼントします。  詳しくは番組ホームページを見てください。今野　敏  「神南署安積班」他、安積班シリーズ  　　　　　　　　　　（ハルキ文庫刊）石原　武龍  奥村　俊雄  難波江由紀子  小澤　俊介  末安　正子  たつみちか酒井　聖博  和田　旭  竹之下寛次  竹村謙太郎  村田　忍橋本　孝  遠藤　正人ドリマックス・テレビジョンhttp://www.tbs.co.jp/hanchou2009/</t>
  </si>
  <si>
    <t>「女子高生殺人事件…亡き妻に捧ぐ父の約束」女子高生、沙也加（逢沢りな）の死体が発見され、被害者の父親の高沢（布施博）が神南署に怒鳴り込んできた。  安積（佐々木蔵之介）は、高沢の前科に不可解な点を見つける。そんな中、被害者は半年前に出会い系サイトを利用し、ある男と連絡を取っていたことが判明した。  父と娘の間を阻む2年前の事件とは…。  憤りを感じる安積班の面々。佐々木蔵之介　中村俊介　塚地武雅　黒谷友香　賀集利樹　山口翔悟　安めぐみ  近野成　細川茂樹　奥貫薫　田山涼成    ＜第11話ゲスト＞  布施博　逢沢りな毎週放送終了後に、本編からクイズを出題。  正解者の中から抽選で番組オリジナルのグッズをプレゼントします。  詳しくは番組ホームページを見てください。今野　敏  「神南署安積班」他、安積班シリーズ  　　　　　　　　　　（ハルキ文庫刊）石原　武龍  奥村　俊雄  難波江由紀子  小澤　俊介  末安　正子  たつみちか酒井　聖博  和田　旭  竹之下寛次  竹村謙太郎  村田　忍橋本　孝  遠藤　正人ドリマックス・テレビジョンhttp://www.tbs.co.jp/hanchou2009/</t>
  </si>
  <si>
    <t>「殉職…刑事を狙う史上最悪の連続射殺犯！」神南所轄内の路地裏で身元不明の白人男性の射殺死体が発見された。  数日後ロサンゼルスからひとりの刑事がやってきた。その男の名前はアンディ（市川亀治郎）。被害者はロスを拠点とするマフィアの幹部だったことが明らかになる。  被害者はセメッカ（クリストピエトロ）という男と共謀して組織を裏切った罪で、ヒットマンに狙われていた。そしてヒットマンの次のターゲットはセメッカだと安積たちに言う。アンディは安積（佐々木蔵之介）とコンビを組んで捜査することに…。  アンディには意外な過去が…。佐々木蔵之介　中村俊介　塚地武雅　黒谷友香　賀集利樹　山口翔悟　安めぐみ　近野成　細川茂樹　奥貫薫　田山涼成    ＜第12話ゲスト＞  市川亀治郎毎週放送終了後に、本編からクイズを出題。  正解者の中から抽選で番組オリジナルのグッズをプレゼントします。  詳しくは番組ホームページを見てください。今野　敏  「神南署安積班」他、安積班シリーズ  　　　　　　　　　　（ハルキ文庫刊）石原　武龍  奥村　俊雄  難波江由紀子  小澤　俊介  末安　正子  たつみちか酒井　聖博  和田　旭  竹之下寛次  竹村謙太郎  村田　忍橋本　孝  遠藤　正人ドリマックス・テレビジョンhttp://www.tbs.co.jp/hanchou2009/</t>
  </si>
  <si>
    <t>0904_TBS_水21</t>
  </si>
  <si>
    <t>夫婦道</t>
  </si>
  <si>
    <t>番組名水曜劇場「夫婦道」</t>
  </si>
  <si>
    <t>「春満開バトル満開」三人の娘たちを嫁がせた製茶業を営む高鍋康介（武田鉄矢）は新茶の茶摘みを待ちわび、妻の聡子（高畑淳子）は康介には内緒で喫茶コーナーを作るべく店の改装計画を進めていた。そんな中、高鍋園にTV番組出演の依頼がきた。はしゃぐ康介だがリポーターのトメさん（福留功男）は店に飾ってある長女・夏萌（山崎静代）の夫で世界的に有名な冬島画伯の絵にばかり関心をよせる。面白くない康介だが、そこに夏萌本人が帰郷して…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</si>
  <si>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娘三人全員出戻り？」天才画家・冬島との離婚が原因で戻ってきた長女・夏萌（山崎静代）。店に飾ってある冬島の絵が評判で、お客が急増した事に上機嫌な康介（武田鉄矢）には打明けられない…そんな中、臨月を迎えた次女の八夜子（たくませいこ）も帰郷してきた。康介と聡子（高畑淳子）の口喧嘩に乗じて夏萌はやっと康介に告白するのだが、夏萌に同情する女性陣とは反対に康介は、絶対に離婚は認めないと言い出すのだった…武田鉄矢　高畑淳子　山崎静代　たくませいこ　本仮屋ユイカ　鈴木悠人　杉田かおる　田中幸太朗　山崎銀之丞　佐藤銀平　児玉絹世　石倉三郎　橋爪功「早春譜」海援隊城之内ミサ清水有生清弘誠柳井満TBSテレビ</t>
  </si>
  <si>
    <t>「夫婦円満の方程式！」夏萌（山崎静代）の離婚問題が収まり、ほっとしたのも束の間。今度は嫁ぎ先の高松から帰郷していた次女・八夜子（たくませいこ）が高松に戻りたくないと言い出し、康介（武田鉄矢）を悩ますことに！「嫁いだら簡単に実家を頼ってはいけない！」と事あるごとに言い放つ聡子（高畑淳子）を果たして康介は上手く説得できるのか？  一方、隣人・修造（橋爪功）も恋人の典子（杉田かおる）から詰め寄られ、周囲に紹介する事になるが…武田鉄矢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</si>
  <si>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初孫誕生の長い一日」嫁ぎ先の高松で出産することに納得した八夜子（たくませいこ）が産気づいて大騒ぎとなる高鍋家。ベテラン助産師の米山（佐々木すみ江）が駆けつけて康介（武田鉄矢）の存在をいぶかしがる。実は4人の子供達の出産時に只の一度も立ち会っていなかったのだ。聡子（高畑淳子）の出産にはいつも修造（橋爪功）が傍にいた。今度こそはと自ら陣頭指揮をとると張り切る康介だが、茶摘前の茶畑に害虫が発生したのだ…。武田鉄矢　高畑淳子　山崎静代　たくませいこ　本仮屋ユイカ　鈴木悠人　杉田かおる　田中幸太朗　山崎銀之丞　佐藤銀平　児玉絹世　石倉三郎　橋爪功「早春譜」海援隊城之内ミサ清水有生大岡進柳井満TBSテレビ</t>
  </si>
  <si>
    <t>「現役インタイの危機？」次女・八夜子（たくませいこ）に無事、女の子が産まれ、初孫にデレデレする康介（武田鉄矢）だったが、同じ年の修造（橋爪功）と山崎（石倉三郎）から一人だけ年寄り扱いされ、憮然となる。  康介はそんな自分の気持ちを払拭しようと、評判になっているアイスクリーム店に聡子（高畑淳子）を誘って出かけようとするが、聡子は康介の誘いに乗ってこない。一人店へ出かけると茂（鈴木悠人）の家庭教師である胡桃沢華子と遭遇する…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</si>
  <si>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「鬼ババ来襲緊急事態」八夜子（たくませいこ）が鬼婆と恐れている兄嫁・多佳子（山口果林）がなんと高松から高鍋家にやって来る!!  八夜子の懸念通り綺麗で優雅な風貌とは裏腹に横暴な要求を突きつける多佳子に康介（武田鉄矢）＆聡子（高畑淳子）ら高鍋家の面々は果たして上手く攻防出来るのか？  一方、同じ頃、隣人・修造（橋詰功）を訪ねてきた若い女の子・千尋（ほしのあき）の出現が高鍋家に思わぬトラブルを巻き起こす!!  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</si>
  <si>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茶畑に恋の花咲く…」妹・若葉（本仮屋ユイカ）の幼馴染で高鍋家に頻繁に出入りしている大輔（田中幸太朗）の大切な思い人が自分だと勘違いした夏萌（山崎静代）。夏萌はすっかり両思いだと思い込み、大輔からの告白を今か今かと待ちわびるのだが、肝心の大輔はどうやら人妻となった若葉に好意を抱いているようで……。果たして夏萌の切ない思いは大輔に通じるのか!!  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</si>
  <si>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遂にソノ時が来たか！」ある日近所に住む康介（武田鉄矢）と同じ年頃の同業者が癌で亡くなった。聡子（高畑淳子）から亡くなった同業者が数ヶ月前、お尻からの出血で癌に気が付いたらしいとの話を聞いた康介は葬儀から帰ってきた矢先、おもむいたトイレで自分にも同じような出血症状が現れ大慌てで病院へ駆け込む。診察を受けた康介は医師が他の患者の病状について電話で話しているのを耳にしてしまうのだが、自分の症状を話しているのだと勘違い!?  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</si>
  <si>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「妻の退職金で大騒動！」聡子（高畑淳子）が内緒で掛けていた保険の積み立て金500万円の存在が発覚！  骨董屋に勧められた茶器が欲しい康介（武田鉄矢）、大輔の営業ノルマを助けるためコピー機を買いたい夏萌（山崎静代）、夫の店の再建資金が借りたい八夜子（たくませいこ）、イギリスにいる夫に逢いに行く渡航費が欲しい若葉（本仮屋ユイカ）、家庭教師に誘われた海外旅行に行きたい茂（鈴木悠人）と、家族に500万円の用途を狙われる聡子だが…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</si>
  <si>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ノンちゃんの娘出現！」康介（武田鉄矢）と幼い頃から腐れ縁の隣人・修造（橋爪功）がいよいよ恋人の典子（杉田かおる）と結婚を決意する！が、修造が典子にプロポーズした矢先、典子が昔、産み別れた娘のリカが突然、熊本から現れる!!  熊本からわざわざやってきたリカの真意とは??周囲に反抗的な態度を見せるリカに康介、聡子、そして修造、典子はどうするのか??  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</si>
  <si>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典子（杉田かおる）が産み別れた娘リカ（高畑充希）を預かることになった康介（武田鉄矢）と聡子（高畑淳子）。だが、リカは周囲の皆に終始反抗的な態度で康介たちは皆、リカの扱いに手を焼く。そんな中、リカが妊娠していることに気が付いた若葉（本仮屋ユイカ）はそのことを康介と聡子に相談しようとするのだが、その矢先康介がコンクールに出品した手揉み茶がなんと念願の金賞を受賞したとの連絡が入り、話す機会を逸してしまう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</si>
  <si>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0904_TBS_金22</t>
  </si>
  <si>
    <t>スマイル</t>
  </si>
  <si>
    <t>番組名金曜ドラマ「スマイル」</t>
  </si>
  <si>
    <t>「未来を夢見た男の純愛と正義～笑顔に秘めた真実」早川ビト（松本潤）はフィリピン人と日本人のハーフ。町村宗助（前田吟）のもとレストランを開く夢に向かって仕事に励んでいる。ある日声を出せない少女、三島花（新垣結衣）が万引きを疑われたところを助け、その明るい笑顔に惹かれるビトだったが、その矢先アルバイト先で覚醒剤密売の濡れ衣を着せられる。宗助の娘で弁護士の卵、しおり（小池栄子）は先輩弁護士一馬（中井貴一）に何とかビトを助けるよう頼むのだが・・・。松本潤　新垣結衣　小池栄子　徳山秀典　鈴之助　小栗旬　勝村政信　前田吟　いしだあゆみ　中井貴一　(他)椎名林檎「ありあまる富」石井康晴瀬戸口克陽  高成麻畝子TBSテレビ</t>
  </si>
  <si>
    <t>「アナタは私が救う!!」  覚せい剤所持の疑いをかけられたビトの裁判が始まった。やり手の検察官・北川に対し、ビトの弁護側は新人弁護士のしおりただ一人。町村フーズの家族たちは、一馬に弁護をお願いするが、一馬はなかなか首を縦に振らない。その裏に何か理由があるのではと思うしおりだが、近藤のウソの証言もあいまって、裁判はビトにとって不利な展開に。冤罪成立と思われた時、花が立ち上がる。松本潤　新垣結衣　小池栄子　徳山秀典　鈴之助　甲本雅裕　小栗旬　勝村政信　前田吟　いしだあゆみ　中井貴一　(他)椎名林檎「ありあまる富」石井康晴瀬戸口克陽  高成麻畝子TBSテレビ</t>
  </si>
  <si>
    <t>「君の笑顔を避ける理由」ビトの勤める町村フーズの納品先である小学校で集団食中毒事件が発生し、マスコミは大きく取り上げる。その報道番組に、一馬はコメンテーターとして、ついにテレビ番組出演を果たす。積極的に好意を表す花に対して、ビトは嬉しいと思いながらも、小さい頃のある出来事が心の傷となり、素直に気持ちを受け止めることが出来ない。ビトの複雑な気持ちを聞いた一馬は、ある事を告げようとするのだが・・・。松本潤　新垣結衣　小池栄子　徳山秀典　鈴之助　小栗旬　勝村政信　前田吟　いしだあゆみ　中井貴一　(他)椎名林檎「ありあまる富」石井康晴瀬戸口克陽  高成麻畝子TBSテレビ</t>
  </si>
  <si>
    <t>「僕が彼女を守る!!」  食中毒事件の原因が、町村フーズのお赤飯だった事が明らかになり、町村フーズに警察の強制捜査が入る。一馬と敵対している北川検事は、宗助を執拗に問い詰めるが、ビトたちを懸命にかばう宗助を見て、無実を確信した一馬が、町村フーズの潔白を晴らすべく立ち上がる。そんな中、報道陣に囲まれた花に異変が…。ビトは、花と親しいスーツの男・相模と直接会い、花の失声症の原因を知り、ある決意を一馬に明かすのだった。松本潤　新垣結衣　小池栄子　徳山秀典　鈴之助　小栗旬　勝村政信　前田吟　いしだあゆみ　中井貴一　(他)椎名林檎「ありあまる富」石井康晴瀬戸口克陽  高成麻畝子TBSテレビ</t>
  </si>
  <si>
    <t>「誕生日にもらった一生の宝物」ビトと再会した林は、ビトを再び悪の道に引きずり込もうとする。そんな様子を見た一馬は、関係を断ち切るようにビトを諭す。一方で、週刊誌に宗助を中傷する記事が掲載され、町村フーズの評判も悪化。町村フーズ絶対絶命の時、宗助がある決意をする。そんな中、町村家ではビトの誕生日パーティが開かれ、つかの間の幸せな時間が訪れる。誕生日を知らなかった花は、翌日とっておきのプレゼントを用意する。そのプレゼントとは？松本潤　新垣結衣　小池栄子　徳山秀典　鈴之助　小栗旬　勝村政信　前田吟　いしだあゆみ　中井貴一　(他)椎名林檎「ありあまる富」石井康晴瀬戸口克陽  高成麻畝子TBSテレビ</t>
  </si>
  <si>
    <t>「僕が社長の無念を晴らす」死んだ宗助の無念を晴らそうと、町村フーズ潔白の証拠を探すビトたち。ビトと花は、宗助を中傷した証言をした、元従業員の美奈子に会いに行く。そこに待っていたのは、ビトが最も恐れている林誠司だった！林を前に動けなくなるビトだが、そこで花が思いもよらぬ行動に！？一馬としおりは、帝国食品に不正告発を考えていた社員・佐原との接触を図るが、なかなか口を割らない。そんな佐原にビトは、思い切って直接交渉に出る！！松本潤　新垣結衣　小池栄子　徳山秀典　鈴之助　小栗旬　勝村政信　前田吟　いしだあゆみ　中井貴一　(他)椎名林檎「ありあまる富」石井康晴瀬戸口克陽  高成麻畝子TBSテレビ</t>
  </si>
  <si>
    <t>「はじめてのキス」林に連れ去られそうになった花だが、間一髪駆けつけたビトと共に逃走。林の危険な行動に、ビトは改めて花を守るために強くなることを決意する。デートの帰り道、帰りたくないという花に、ビトはあるものを見せたいと言う。そのあるものとは!?林と決別したビトたちの前に再び林が現れ、やり直したいと語る。そんな林を信じられない一馬はビトを止めるが、ビトは全てを終わらせるために、林と共に行くのだが…!?  松本潤　新垣結衣　小池栄子　徳山秀典　鈴之助　小栗旬　勝村政信　前田吟　いしだあゆみ　中井貴一　(他)椎名林檎「ありあまる富」石井康晴瀬戸口克陽  高成麻畝子TBSテレビ</t>
  </si>
  <si>
    <t>本当の笑顔を取り戻す戦い  花を守るため林を殺してしまったビトは、犯してしまった事実からもう元には戻れないと思い、花と共に逃走する。最後にある場所に行きたいと言うビトに、最後じゃないと訴える花。2人が目指す場所、それはビトが花と約束したあの場所だった…。そこに、ビトの行方を探していた一馬からの電話が入る。ビトの居場所が分かった一馬は、しおりと共にビトたちを追う。その後を、ビトを目の敵にしている古瀬刑事がつけていた。松本潤　新垣結衣　小池栄子　徳山秀典　鈴之助　小栗旬　勝村政信　前田吟　いしだあゆみ　中井貴一　(他)椎名林檎「ありあまる富」石井康晴瀬戸口克陽  高成麻畝子TBSテレビ</t>
  </si>
  <si>
    <t>「運命の裁判員裁判はじまる！」極刑か否か。  裁判員制度の下、林殺害の罪に問われるビトの裁判が始まった。マスコミの報道により、裁判員たちにとってビトは残虐な犯罪者であったが、懸命な一馬の弁護により、ビトの人間性と真実が次第に明らかにされていく。そして最終日、花が遂に証言台に立つ。ビトを助けたい花は筆談で証言に望むが、検察官・北川によって歪められたビトの人物像に反論するため、思わぬ行動に出る！？その行動とは!?  松本潤　新垣結衣　小池栄子　徳山秀典　鈴之助　小栗旬　勝村政信　前田吟　いしだあゆみ　中井貴一　(他)椎名林檎「ありあまる富」石井康晴瀬戸口克陽  高成麻畝子TBSテレビ</t>
  </si>
  <si>
    <t>「運命が動き出す!!ー判決」北川検察官によって、花の素性が明かされた法廷では、ビトへの不信感が一気に高まる。さらに、林の母親が証人として現れる。殺された息子を思う母の証言は、裁判員たちの同情を誘い、ビト自身にも改めて殺人という重大な罪の意識を背負わせた。花は自分がビトの足を引っ張ったと自分を責める。一馬は最終弁論で事件の正当防衛性を再度訴えるが、分の悪い中、最終評議へ。果たして、ビトの疑いは晴らされるのか!?判決やいかに!?松本潤　新垣結衣　小池栄子　徳山秀典　鈴之助　小栗旬　勝村政信　前田吟　いしだあゆみ　中井貴一　(他)椎名林檎「ありあまる富」石井康晴瀬戸口克陽  高成麻畝子TBSテレビ</t>
  </si>
  <si>
    <t>「僕らが最後に手にした笑顔」  ビトが死刑を受け入れてから6年後の2015年、いまだ一馬はビトの死刑を覆そうと奮闘していた。ビトを死刑から救うには、林の父親に2000年の事件を冤罪だったと証言させることだが、いまだ居場所は分からない。そこへ、柏木からビトの死刑執行の情報が入る。それを知った花は拘置所に向かう。柏木の機転で6年ぶりの再会を果たすビトと花。花を避けようとするビトに対し、花は二人の出会いの秘密を話す。その秘密とは!?  松本潤　新垣結衣　小池栄子　徳山秀典　鈴之助　小栗旬　勝村政信　前田吟　いしだあゆみ　中井貴一　(他)椎名林檎「ありあまる富」石井康晴瀬戸口克陽  高成麻畝子TBSテレビ</t>
  </si>
  <si>
    <t>0904_TBS_土20</t>
  </si>
  <si>
    <t>ゴッドハンド輝</t>
  </si>
  <si>
    <t>番組名ゴッドハンド輝</t>
  </si>
  <si>
    <t>「航空機墜落!!天才医師が挑む奇跡の大手術の物語が今、始まる」名医揃いの病院に赴任した新人外科医・真東輝。ドジぶりに周囲は手を焼く。  そんな中、鉄筋が刺さった少女を搬送されてきた！  生命の灯が消えようとしたとき、輝の胸が疼き、覚醒した！  「この生命、救ってみせる！」平岡祐太、水川あさみ、村川絵梨、荒木宏文、中林大樹、長谷川朝晴、宮地雅子、朝倉あき、林丹丹、八神蓮、大久保麻理子、綾那、寺脇康文（特別出演）、要潤（友情出演）、小林隆、別所哲也、渡部篤郎遠田孝一  清水真由美MMJ  TBS  http://www.tbs.co.jp/god-teru/</t>
  </si>
  <si>
    <t>「散弾銃暴発!!死までのリミット残り10分!!新米天才医師解雇!?」  新人外科医・真東輝。  一度みせた、神がかった手術の面影は全くみられず、指導医である北見の手術にも立ち会うチャンスをもらうが、ドジをしてばかり。  そんななか、バイクとの接触事故で高校生が急患で運ばれてきた！  だが、輝はその手術の途中、突然抜け出してしまう。誰もが唖然とした輝の行動に北見はクビを宣告する。  輝の取った行動に隠された真の思いは！？そして、患者の命は！？平岡祐太、水川あさみ、村川絵梨、荒木宏文、中林大樹、長谷川朝晴、宮地雅子、朝倉あき、林丹丹、八神蓮、大久保麻理子、綾那、寺脇康文（特別出演）、要潤（友情出演）、小林隆、別所哲也、渡部篤郎遠田孝一  清水真由美MMJ  TBS  http://www.tbs.co.jp/god-teru/</t>
  </si>
  <si>
    <t>「手術室に暴漢乱入!!親指切断!?絶体絶命の天才球児に秘められた悲しい過去」ライバルの2人がついに直接対決！  外科医は技術がすべてと言い切る四宮梢（水川あさみ）に対し、患者さんとの2人3脚の医療をめざす真東輝（平岡祐太）。  甲子園のスター矢口稔彦選手（佐野和真）が右手親指に悪性腫瘍ができたため、ヴァルハラに入院してきた。担当になった梢は、“切断”という結論を下す。  それは矢口選手の選手生命がおわることを意味していた。納得がいかない輝だったが、助手として、梢のフォローにまわることになった。  そして手術当日。予想だにしない出来事がおこる。  覆面の男が手術室に乱入！梢を人質にとって、立てこもった！  騒然とする手術室。成す術がない輝。  はたして、矢口選手の運命は！？平岡祐太、水川あさみ、村川絵梨、荒木宏文、中林大樹、長谷川朝晴、宮地雅子、朝倉あき、林丹丹、八神蓮、大久保麻理子、綾那、寺脇康文（特別出演）、要潤（友情出演）、小林隆、別所哲也、渡部篤郎遠田孝一  清水真由美MMJ  TBS  http://www.tbs.co.jp/god-teru/</t>
  </si>
  <si>
    <t>「母と子の命を救え！前代未聞の難手術に挑むもう1人のゴッドハンド!!」  輝（平岡祐太）は通りがかりにお腹をおさえて痛がっている男の子を見つけ、異変を察知し、緊急手術を行った。  輝の予想通り内臓破裂をおこしていたが、梢（水川あさみ）や北見（別所哲也）の協力のもと、無事一命を取り留めた。  後日、その子の父親の有名ゲームクリエイター皇稜斗（高嶋政宏）のはからいで制作現場に招かれている時、妊娠中の皇の妻・聡子が倒れたとの連絡が入った。聡子は軽い貧血だけだったが、その後の検査で胎児の心臓の弁が閉じていることが判明する。このままでは生きて産まれてくることはない…。  打つ手がないと誰もが諦めたとき、輝は、突拍子もない提案をする！  ただ、難易度はあまりにも高く、母体、胎児とも助かるかどうかという際どい輝の提案だったが、安田院長（渡部篤郎）が自ら執刀することになった！  「黄金の左手」の異名をもつ安田の手に2つの生命の運命が委ねられた!高嶋政宏平岡祐太、水川あさみ、村川絵梨、荒木宏文、中林大樹、長谷川朝晴、宮地雅子、朝倉あき、林丹丹、八神蓮、大久保麻理子、綾那、寺脇康文（特別出演）、要潤（友情出演）、小林隆、別所哲也、渡部篤郎遠田孝一  清水真由美MMJ  TBS  http://www.tbs.co.jp/god-teru/</t>
  </si>
  <si>
    <t>未定ヴァルハラと同地区に、KZ病院という新たな病院がオープンした。ここは、日本中から優秀な医師を集めた、富裕者限定の会員制の病院だった。輝（平岡祐太）は「命は金で買える」という考えを持った理事長ケビン（マイケル富岡）を目の当たりにして憤る。  ケビンと安田院長（渡部篤郎）とは旧知の因縁の仲で、ヴァルハラに異常な執着を見せており、金に物を言わせたヴァルハラ潰しをおこなってきた！弱みに付け込んだ医師の引き抜き、患者までも奪っていく。  圧倒的な人手不足で、病院内の士気も下がる一方。  ついには、病院の有力スポンサーがケビンによって買収され、いよいよヴァルハラ存続の危機に！  輝は、ヴァルハラのメンバーはこの危機を脱することができるのか!?  マイケル富岡　金子さやか平岡祐太、水川あさみ、村川絵梨、荒木宏文、中林大樹、長谷川朝晴、宮地雅子、朝倉あき、林丹丹、八神蓮、大久保麻理子、綾那、寺脇康文（特別出演）、要潤（友情出演）、小林隆、別所哲也、渡部篤郎  遠田孝一  清水真由美MMJ  TBS  http://www.tbs.co.jp/god-teru/</t>
  </si>
  <si>
    <t>「工場爆発!!病院経営者の悲惨な過去！病院崩壊を前に輝が決死のオペに挑む」ケビンによってスポンサーが買収され、  更には片岡（小林隆）や西村（荒木宏文）らも引き抜かれ絶体絶命のヴァルハラ。  KZ病院を動かしているのは実家の四瑛会であることを知った梢（水川あさみ）は乗っ取りを阻止するため四瑛会に戻ることを決意し退職届を提出する。患者の命の大切さに改めて気づいた輝（平岡祐太）たちだが、3億円の資金を用意できなかったヴァルハラはケビンの手に。その責任を取り、安田はヴァルハラを去ることになってしまった！  ついに訪れたヴァルハラ最後の日。  このままヴァルハラは終わってしまうのか!?  マイケル富岡　金子さやか平岡祐太、水川あさみ、村川絵梨、荒木宏文、中林大樹、長谷川朝晴、宮地雅子、朝倉あき、林丹丹、八神蓮、大久保麻理子、綾那、寺脇康文（特別出演）、要潤（友情出演）、小林隆、別所哲也、渡部篤郎遠田孝一  清水真由美MMJ  TBS  http://www.tbs.co.jp/god-teru/</t>
  </si>
  <si>
    <t>0904_TBS_日21</t>
  </si>
  <si>
    <t>ぼくの妹</t>
  </si>
  <si>
    <t>番組名日曜劇場「ぼくの妹」</t>
  </si>
  <si>
    <t>「ただ一つの絆…僕が守る」カッコよくてエリートなのに、ちょっとトボけた外科医の兄・江上盟（オダギリジョー）。その妹・颯（長澤まさみ）はちゃっかりもので特技はお金儲けという超リアリストだが、宿命的な“だめんず”好き。正反対の二人は、会えばいつもケンカばかり。  ある日、颯が失踪した。盟は、ようやく探し当てた妹が、なんとキャバ嬢として働いているではないか。しかも、颯が付き合っている男・瀬川（田中哲司）には妻子がおり…。オダギリジョー・長澤まさみ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t>
  </si>
  <si>
    <t>「犯人は妹…!!」  里子(ともさかりえ)が謎の死を遂げたことで、直前まで一緒にいた盟(オダギリジョー)は事情聴取される。帰宅した盟を待っていたのは、颯(長澤まさみ)だった。「300万貸さなくて良かった」と…颯に腹立たしさを覚えた盟だったが、本当は心から兄を心配して言ったことだった。  盟は里子のアパートを訪ねた。隣に住む櫻井(大滝秀治)と再会した盟は、話していくうちに颯が事件の前日に里子と会っていた事が分かった。何故…オダギリジョー・長澤まさみ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</si>
  <si>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兄を守るウソ」颯(長澤まさみ)と暮らし始めた盟(オダギリジョー)のところに、大河原春奈(笹本玲奈)が訪ねてきた。里子(ともさかりえ)が転落死した事件の犯人が盟だと知らせがあったと言う。盟を追い出そうとしている塚本准教授(佐戸井けん太)が事件関係者から聞いたと理事長へ報告してきたのだ。春奈はこういうことが病院に広まるのは好ましくないし、塚本とよく話し合ったほうが良いと心配して来たのだった。盟は塚本に真意を聞くと、九鬼(千原ジュニア)から電話があったと告げる。被害者の恋人だったという人で、態度も立派で信用おける人物だと思ったという塚本は、反論する盟に病院を辞めて田舎に帰ればこれ以上事を荒立てないという。誤解を解くため九鬼にもう一度会おうと里子のアパートを訪ねた盟。九鬼には会うことは出来なかったが、櫻井(大滝秀治)が九鬼のことをいろいろ教えてくれた。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</si>
  <si>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「真実の告白…」病院に田刑事(小木茂光)が盟(オダギリジョー)を訪ねてきた。里子が亡くなった前後の話の確認を取るため、近日中に警察署まで来て欲しいと。  その日、盟は手術中にミスをしてしまう。大事には至らなかったが、准教授の塚本(佐戸井けん太)から休むよう言われる。  家に戻った盟は、颯(長澤まさみ)に手術でミスをしたことを告白した。  盟は九鬼に会うため彼を探し回っていたが、誰も知らず、盟は里子のアパートへ行くと…オダギリジョー・長澤まさみ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t>
  </si>
  <si>
    <t>鬼に恋した妹盟(オダギリジョー)は、羽根田(小木茂光)の依頼を受け警察に行った。盟は、疑われる根拠は何もないのに九鬼(千原ジュニア)の目撃証言によって振り回されている自分に腹を立てていた。警察を出ると春奈(笹本玲奈)が車で待っていて、盟にカルテとフイルムを見せる。実はその患者は春奈の友人で、塚本がオペをする予定だったが体調不良で急遽別の先生がすることになった。しかし、難しい手術なので盟に執刀してほしいと…。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</si>
  <si>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だめんず好き」九鬼の生い立ちを知ってから、颯は九鬼が気になって仕方なかった。そして、九鬼を助けるため、自分の持っている300万円をすぐに900万円に増やせないかと瀬川に相談する。リスクは大きいが当たれば確実に増やせると競馬場へ向うが、結局お金を賭けることが出来なかった颯。九鬼に渡すためのお金を工面していると知った瀬川は、急いで盟に知らせに行く。だが、すでに颯とも九鬼とも連絡が取れず不安を募らせる盟だった。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</si>
  <si>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「最後のケンカ」ほんの一月前、盟が里子と知り合わなければ、こんなことに巻き込まれることはなかったはず。盟は櫻井の死に立会いいろいろなことを思い起こしていた。  亡くなる間際、櫻井は九鬼を盟と間違え自分の気持ちを伝えるが、事実を知らなかった九鬼はただ呆然とするばかり。父親とも知らず、櫻井を慕い花作りに夢を描いた九鬼は、自分の思いを整理出来ないでいた。  そんな様子を見た颯は、まるで吸い寄せられるように九鬼の元へ…。オダギリジョー・長澤まさみ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</si>
  <si>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涙の別れ…忘れないよ」櫻井のお骨を届けた先で急病人に遭遇した盟は、診療所の看護師・機美という女性と出会う。過換気症候群で苦しむ女性の応急処置をしたことが縁で、老医師が続けられなくなった診療所に来て欲しいと、彼女が東京まで押しかけて来てしまうのだ。  一方、颯は、九鬼の元へ行くため盟のマンションを出て行ってしまう。初めて兄妹二人きりの生活を始めたばかりだったのに…。オダギリジョー・長澤まさみ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</si>
  <si>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「告白…離れたくない!!」  初めて兄妹二人きりで暮らすことが出来た盟と颯。だが、あまりにも早く颯は出て行ってしまった。しかも、猛反対していた九鬼の元へ…。颯の幸せを祈ることしか出来ない盟。だが、ひょんなことから九鬼が肺癌に侵されていると知ってしまった盟だが、どうしても颯に知らせることが出来ないでいた。ところが、颯が検査資料を持って盟を頼ってきたことで、隠し切れなくなり颯に病名を告げた盟だった。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</si>
  <si>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「手術開始…最期の闘い」九鬼から主治医として指名された盟は、それを受け彼の病気と向き合うことになった。それは、覚悟は出来ていたが、盟にとって皮肉な巡り合わせという他なかった。  妹のために最善を尽くす盟、愛する人を助けるため必死になる颯、そして、二人のおかげでもう一度人間らしい心を持った九鬼…。オダギリジョー・長澤まさみ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</si>
  <si>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さよなら…妹の結婚」盟が里子という女性と知り合ったことから、盟と颯にいろいろな騒動が持ち上がり、二人は今まで以上に兄妹の絆を深めていた。盟は週末の二日、川端医院へ通い始めた。やっと幸せを掴みかけた颯は、また一人になってしまった。  だが、突然颯から結婚するから相手に会って欲しいと盟の元へ連絡が入った。まだまだ、ひと騒動持ち上がりそうな気配が…。オダギリジョー・長澤まさみ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</si>
  <si>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0901_TBS_金22</t>
  </si>
  <si>
    <t>ラブシャッフル</t>
  </si>
  <si>
    <t>番組名金曜ドラマ「ラブシャッフル」</t>
  </si>
  <si>
    <t>「恋人交換する？」29歳の若さで一流IT企業の課長の座にいる宇佐美啓宇佐美啓（玉木宏）。  啓は帰宅したマンションのエレベーターで偶然、同じフロアに住んでいるらしき三人、三ヶ国語を操る通訳の逢沢愛瑠（香里奈）、女性専門のプロカメラマン・世良旺次郎（松田翔太）、心療内科医の菊田正人（谷原章介）と乗り合わせるが、雷雨による停電でエレベーター内に閉じ込められてしまう。復旧を待つ間、正人の提案で啓たち四人は互いに自己紹介をする。  それぞれ何かしら問題を抱えている様子で、4人は急速に打ち解ける。宇佐美啓…玉木宏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</si>
  <si>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「運命の人は一人だけですか？」ひょんなことから知り合いになった同じマンションに住む、啓（玉木 宏）、愛瑠（香里奈）、旺次郎（松田翔太）、正人（谷原章介）は、お互いのパートナーと共に“ラブシャッフル”をする事に…。1週間ごと相手をシャッフルするというルールのもと集まった8人。  芽衣に未練タラタラの啓は、芽衣の気持ちを取り戻せるのか不安を抱きつつも玲子とデートを始める。一方、愛瑠はカメラマンの旺次郎に写真撮影をしてもらうことに…。宇佐美啓…玉木宏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</si>
  <si>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愛情なのか友情なのか」啓（玉木宏）は記憶にはないものの酔った勢いで最初のラブシャー相手・玲子（小島聖）と一夜を過ごしてしまった。啓は愛瑠（香里奈）・旺次郎（松田翔太）・正人（谷原章介）に玲子との事を芽衣（貫地谷しほり）に言わないで欲しいと口止めをする。しかし、そんな啓に2回目のラブシャー相手が芽衣である旺次郎は挑発的な態度を見せ、啓の不安を煽る。  一方、愛瑠はラブシャー相手の正人が、かつて恋人に自殺された過去を知る。宇佐美啓…玉木宏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</si>
  <si>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君を守るのは僕だ」3回目のラブシャッフルが始まり、啓（玉木宏）は愛瑠（香里奈）、旺次郎（松田翔太）は海里（吉高由里子）、正人（谷原章介）は玲子（小島聖）、そして諭吉（DAIGO）は芽衣（貫地谷しほり）と、カップルとして過ごすことに。  デートで海辺にドライブに出掛けた啓と愛瑠は偶然!?にも諭吉と芽衣に遭遇。四人は合流して砂浜で遊びに興じる。ところが、啓と諭吉が買い出し中に、愛瑠と芽衣は数人の男たちに絡まれ連れ去られる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</si>
  <si>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僕の就職とプールの告白」1週間ごとに行っていた「ラブシャッフル」が3回実行され、一通りのシャッフルが1巡り終了。正人（谷原章介）の提案で、とりあえず一度元のカップルに戻ってどんな変化が起きるのかを知る“元サヤシャッフル”が行われることになる。  愛瑠（香里奈）、芽衣（貫地谷しほり）、海里（吉高由里子）、玲子（小島聖）の4人は女だけでの集まりを行い、ラブシャッフルが2巡目に入った場合に備えて、男性4人の情報交換を行う。宇佐美啓…玉木宏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</si>
  <si>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元カノに似てるのは君なんだ」芽衣（貫地谷しほり）と元サヤに戻り、“ラブシャッフル＝恋人交換”から卒業？しようとしていた啓（玉木宏）だったが、芽衣の「ラブシャッフルメンバーの中に気になる人がいる」という爆弾発言により、結局引き続きラブシャッフルの2巡目に参加することになる。  そんな中、啓は辞表を出したはずの会社からの呼び出しを受け、芽衣の兄・浩介（野村祐人）に課長から部長への昇進を言い渡され、仕事だけは元サヤに戻ることになる宇佐美啓…玉木宏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</si>
  <si>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満月の夜の告白」旺次郎（松田翔太）や正人（谷原章介）と一緒にいたサウナから、間違えて正人の鍵を持ってきてしまった啓（玉木宏）。玄関先で遭遇した愛瑠（香里奈）にそそのかされ、正人の部屋に飾ってある元恋人の写真を見に行くことにする。正人が幸せそうな笑顔で写る2ショット写真を見るが、なんと正人と一緒に写っていたのは、旺次郎にそっくりな青年の姿だった。そんな二人の前に戻って来た正人は、自分がバイセクシュアルだと告白する。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</si>
  <si>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キスは突然炎のごとく」海里（吉高由里子）を父親の元から連れ出し、自分達のマンションに連れてきた啓（玉木宏）と旺次郎（松田翔太）。海里を加え、愛瑠（香里奈）、正人（谷原章介）らと恒例のパジャマパーティーを行う。そこで、啓たちは海里の誕生日をみんなで一緒に過ごし海里に自殺を思いとどまらせようと計画する。  そんな中、啓、旺次郎、諭吉の3人は正人から呼び出しを受け集まるのだが、そこで玲子（小島聖）から妊娠していると告げられる宇佐美啓…玉木宏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</si>
  <si>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愛の裏返しは孤独だった」啓（玉木宏）と愛瑠（香里奈）は、海里の行方が分からず徐々に様子がおかしくなる旺次郎を心配する。しかし、正人（谷原章介）だけは冷静な態度で旺次郎に甲斐甲斐しく世話をしていた。そんな正人の態度に、愛瑠は「ワザと旺次郎の心を壊して付け入ろうとしているんじゃない？」と正人を非難する。信じがたい啓は愛瑠の発言を諌めるが、正人は愛瑠の糾弾発言を肯定。啓と愛瑠は正人の開き直った態度に愕然となる。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</si>
  <si>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「運命の人にめぐり逢うために」啓は恋人・芽衣からようやく元サヤに戻り予定通り結婚したいと言われ、無事結婚する運びとなる。  旺次郎の前から姿を消した海里（吉高由里子）が生きていた！しかし、今さら旺次郎には会えないと海里は言い…。  啓は芽衣と結婚し自分のキラキラを見出せるのか？  愛瑠は新恋人？・亀井（袴田吉彦）と結ばれるのか？  正人は…？  玲子（小島聖）は…？  「ラブシャッフル」というパンドラの箱を開けた彼らが迎える結末は!?宇佐美啓…玉木宏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</si>
  <si>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0901_TBS_土20</t>
  </si>
  <si>
    <t>RESCUE</t>
  </si>
  <si>
    <t>番組名RESCUE～特別高度救助隊</t>
  </si>
  <si>
    <t>「365万人都市横浜を襲う今世紀最大の災害 命をかけて命を救う…全ての青春と人生を懸けた若者達の涙と感動の物語が今、始まる」横浜市安全管理局西消防署の 北島大地 (中丸雄一) は、消防隊として消火活動にあたった現場で、工場火災の炎と煙の中に取り残された女性を助けに行こうとする。しかし消防隊の隊員である大地にそんな資格も技術もなく、炎に阻まれてなす術もない。救急隊の 前園あおい (市川由衣) や 水野明日香 (笛木優子) らも見ていることしか出来ない。そんななか到着したのはオレンジの制服を纏った特別高度救助隊だった。中丸雄一(KAT-TUN)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</si>
  <si>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「横浜炎上！ビル崩壊絶体絶命の大パニック救え！要救助527名」大地 (中丸雄一) たち特別高度救助隊候補生の厳しい訓練は続き、自ら訓練所を去るものも出てきた。どうにか残っている大地、豊 (増田貴久)、不動 (山本裕典)、井川 (石黒英雄)、小日向 (大東俊介) らもふらふらだ。  さらに、落ちこぼれがちな同じ訓練生の 古賀 (浅利陽介) のために、同じ3班のメンバーである大地、井川、小日向はいつも連帯責任の罰を受けていた。  井川と小日向の我慢も限界に達したころ、大八木 (山下真司) は古賀に失格を伝えるが、大地は古賀をかばう。  大八木はそんな大地に、不動とロープで勝負しろと命じる。中丸雄一(KAT-TUN)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</si>
  <si>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「壮絶な仲間の死…土砂崩落の中、心停止へ  命を懸ける意義とは」厳しい訓練は続き、24人いた候補生たちは次々と脱落していった。  残ったのは 大地 (中丸雄一)、豊 (増田貴久)、不動 (山本裕典)、省吾 (石黒英雄)、小日向 (大東俊介) ら8名のみ。  しかしスーパーレンジャーになるには、更に過酷な訓練が必要なのだ。  そして 大八木教官 (山下真司) から衝撃の事実が候補生たちに告げられる。  8人の中からスーパーレンジャーになれるのは2名だけだというのだ。中丸雄一(KAT-TUN)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</si>
  <si>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「発火ガス大量発生!!横浜地下、全焼か!?史上最大の救出劇」スーパーレンジャーの最終試験として現場に出動した大地 (中丸雄一) たち訓練生だったが、出動先の巨大水プラントでは異常は見つからず、誤通報として引き揚げようとした矢先、爆発が起きる。  噴出しては消える炎を見た大八木教官 (山下真司) は、特殊ガスと判断。大地、豊 (増田貴久)、不動 (山本裕典) らを指揮し要救助者を検索、社会科見学中の子供達と教師を保護するも警報で施設の出入り口は閉鎖されてしまう中丸雄一(KAT-TUN)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</si>
  <si>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「豪華客船炎上！脱出不能600名…史上最悪の水難事故発生」  憧れのスーパーレンジャーになった 大地 (中丸雄一)、豊 (増田貴久)、不動 (山本裕典) は、徳永隊長 (石黒賢) の隊に配属される。徳永の隊には 葛城 (要潤)、五十嵐 (田中要次)、加納 (照英)、佃 (高橋洋) がおり、3人は厳しく鍛えられる。  現場への出場を重ねるうちに、自分の持つスーパーレンジャーとしての理想と現実のギャップに気づく大地と豊。  そんな時、大型客船で火災が起こる。中丸雄一(KAT-TUN)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</si>
  <si>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「横浜地下鉄パニック724名脱出不能!!ガス発生…絶対絶命」スーパーレンジャーとしての職務を全うしようと毎日努力を重ねる 大地 (中丸雄一)、豊 (増田貴久)、不動 (山本裕典)。  徳永隊長 (石黒賢) を始めとする隊員たちもそんな新人3人を温かく見守っていた。  しかし 葛城 (要潤) だけは3人のことを相手にもしない。  落ち込む大地たちに、先輩レンジャーの 五十嵐 (田中要次) たちは葛城の過去について口を開く。中丸雄一(KAT-TUN)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</si>
  <si>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「土砂崩落！生き埋め妊婦を襲う突然の陣痛 救え！新たな命」不動 (山本裕典) の兄・忠志 (柏原収史) と知り合った 大地 (中丸雄一) と 豊 (増田貴久)。不動の実家は代々医者の家系で、忠志も医師として YMAT (＝横浜市が独自に発足させた医師・看護師による救急医療チーム) で活躍していた。不動も医者を目指していたが、4年前にすべてを投げ出して家を飛び出したという。  そんな弟にスーパーレンジャーとして人を救うという仕事が務まるわけがないと言う兄。中丸雄一(KAT-TUN)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</si>
  <si>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「死を覚悟した男たち  横浜を襲う最大の災害…最期の救出へ」救助中、トンネル崩落現場での爆発に巻き込まれた 五十嵐 (田中要次) は、瓦礫の中から脱出できずにいた。しかもトンネル内のガス濃度が上昇し、爆発の危険性が増していた。指令センターの 芹沢 (石橋凌) からは退避命令が出されるが、徳永隊長 (石黒賢) を始め、大地 (中丸雄一)、豊 (増田貴久)、不動 (山本裕典) たち隊員は五十嵐を見捨てることは出来ない、と必死で救出作業を続ける。中丸雄一(KAT-TUN)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</si>
  <si>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「ドラマ史上最悪の結末！ベイブリッジ完全封鎖へ！最終章」十嵐 (田中要次) の殉職の一件で解散となったSR・徳永隊。  葛城 (要潤)、加納 (照英)、佃 (高橋洋) は内勤に、豊 (増田貴久) と不動 (山本裕典) は消防隊へ…隊員たちは皆、SRの職を解かれバラバラに配属されていた。  一方、横浜市内の火力発電所で起きた火災は甚大な被害をもたらしつつあった。  火の勢いは収まらず、救助隊員やSRたちの負傷者も増え続ける。芹沢は徳永隊長に、ある命令を下す。中丸雄一(KAT-TUN)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</si>
  <si>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0901_TBS_日21</t>
  </si>
  <si>
    <t>本日も晴れ。異状なし</t>
  </si>
  <si>
    <t>番組名日曜劇場「本日も晴れ。異状なし」</t>
  </si>
  <si>
    <t>「日本最南端の離島にやってきた駐在さんの熱血全力奮闘記」  南十字星が見える日本最南端の有人島、沖縄の波照間島をモデルにした架空の離島・那瑠美島（なるみじま）暴力事件はおろかささやかな窃盗事件などまったく起こらない平和なこの島にやってきた駐在さん。最初は必要ないとみんなに邪険に扱われるが、駐在さんは、その人柄と情熱で、貧困や過疎化、少子化や高齢化に悩み絶望し、あきらめていた人々の心を変え希望を灯していく。白瀬遼…坂口憲二  西門うらら…松下奈緒    前田美波里  夏未エレナ  宇梶剛士  近藤芳正  岡本麗  (他)秋川雅史「ねがい」藤本有紀加藤　新植田博樹  正木敦http://www.tbs.co.jp/hon-hare2009/TBSテレビ</t>
  </si>
  <si>
    <t>「この島で医者よりも大切なもの…それは」高齢化がすすむこの島に、どうしても必要なのは医者だ。実際、美波や星太の母も、公民館長の妻も、もしかしたら助かっていたかもしれない発作で亡くなっている。  駐在さんの白瀬遼（坂口憲二）は、なんとか、島に医者を呼ぼうと奔走する。やっと見つけた医者はなんと、校長先生（近藤芳正）の実の弟、万作。駐在さんの遼の必死の説得に、心動かされ万作は島の医者になることを決意するが、校長先生はなぜか猛反対する。白瀬遼…坂口憲二  西門うらら…松下奈緒    前田美波里  夏未エレナ  宇梶剛士  近藤芳正  岡本麗  (他)秋川雅史「ねがい」藤本有紀加藤　新植田博樹  正木敦http://www.tbs.co.jp/hon-hare2009/TBSテレビ</t>
  </si>
  <si>
    <t>「駐在さんの魂の授業 学校のピンチを救え」那瑠美島の駐在・遼（坂口憲二）は、いつものようにサトウキビ農家の光生（青木崇高）にある頼みをされた。実は光生は、うらら（松下奈緒）のことが大好きだが話しかけることもままならない純情青年だったのだ。それを知った遼は、うららと光生のデートを仲立ちすることになってしまう。しかしそのことでうららは先生を辞めて島を出ることになってしまう。島の唯一の小学校の教師がいなくなるピンチに遼は？白瀬遼…坂口憲二  西門うらら…松下奈緒    前田美波里  夏未エレナ  宇梶剛士  近藤芳正  岡本麗  (他)秋川雅史「ねがい」藤本有紀武藤淳植田博樹  正木敦http://www.tbs.co.jp/hon-hare2009/TBSテレビ</t>
  </si>
  <si>
    <t>「認知症の母を抱え…窃盗事件、涙の真相」ある朝、小学生の梨絵が駐在所にやってきた。通学路でがま口の財布を拾ったというのだ。遼はうれしさのあまり梨絵に「えらかったで賞」というバッジを作ってあげる。すると「えらかったで賞」バッジが子供たちに大人気に。子供たちはバッジ欲しさに、何かにつけて物を拾ったと駐在所にやってくる。しかし、落し物などそんなにあるわけもなく…  そんなある日、一郎、二郎兄弟は、バッジほしさにお金の入った封筒を盗んでしまう。白瀬遼…坂口憲二  西門うらら…松下奈緒    前田美波里  夏未エレナ  宇梶剛士  近藤芳正  岡本麗  (他)秋川雅史「ねがい」藤本有紀山本剛義植田博樹  正木敦http://www.tbs.co.jp/hon-hare2009/TBSテレビ</t>
  </si>
  <si>
    <t>「進学よりも大切なもの～15才の春の決断」遼がいつものようにパトロールをしていると、靖之とその母・ゆかりがやってきた。どうやら親子喧嘩をしているらしく、遼が事情を聞くと、靖之が進学せずに島で働くと言い出し、ゆかりは動揺して泣き出してしまう。一方の美波も中学をでたら就職すると遼に言い、父親代わりを自認する遼は困ってしまう。進学の悩みかとたかをくくっている大人たちだが、中学生の二人には他人にいえない事情があった…。白瀬遼…坂口憲二  西門うらら…松下奈緒    前田美波里  夏未エレナ  宇梶剛士  近藤芳正  岡本麗  (他)秋川雅史「ねがい」藤本有紀加藤　新植田博樹  正木敦http://www.tbs.co.jp/hon-hare2009/  TBSテレビ</t>
  </si>
  <si>
    <t>「父ちゃんに会いたい。七歳の逃亡者、海へ」島で唯一のスナック「ナオミ」男たちは夜な夜なここにやってきては、美人ママ、ナオミにボラれて喜んで帰っていく。収まらないのは島の女たちだ。夫たちにもムカつくが、そもそもナオミが気に入らない。彼女の二人の息子も学校の問題児で、今日もやんちゃ三昧。ある日、学校でケンカが起こり、ナオミの息子がけがをさせてしまう。島の女たちは、この嫌われもの一家を追い出そうとするが、駐在さんはこの一家の複雑な事情に気づき…白瀬遼…坂口憲二  西門うらら…松下奈緒    前田美波里  夏未エレナ  宇梶剛士  近藤芳正  岡本麗  (他)秋川雅史「ねがい」藤本有紀加藤　新植田博樹  正木敦http://www.tbs.co.jp/hon-hare2009/TBSテレビ</t>
  </si>
  <si>
    <t>「恐怖のデカ長襲来!!マル暴に復職せよ!!」  ある日、突然、遼(坂口憲二)の新宿のマルボウ時代の上司、片岡(遠藤憲一)が、那瑠美島にやってくる。片岡は、自分がかわいがっていた若手のエース刑事が、こんな海の果ての孤島で島の人間たちに便利屋のごとく、どうでもいい雑用をやらされていることに我慢ならない。「新宿にもう一度帰って来い」尊敬する上司、片岡の涙ながらの説得に心揺れる遼だが、家族同然に暮らしている星太の身に、思いがけないトラブルが起こり…白瀬遼…坂口憲二  西門うらら…松下奈緒    前田美波里  夏未エレナ  宇梶剛士  近藤芳正  岡本麗  (他)秋川雅史「ねがい」藤本有紀加藤　新植田博樹  正木敦http://www.tbs.co.jp/hon-hare2009/TBSテレビ</t>
  </si>
  <si>
    <t>「島が死んでしまう！？最後の民宿、炎上！！」那瑠美島を生まれ変わらせようと活躍する島の若者たち。その甲斐あって、島の民宿、へちま荘に　数年ぶりの団体客の予約が入る。観光客は、島の貴重な収入源になるだけではなく、その印象によっては島の今後を左右していく大事な存在だ。現に観光に力を入れ成功した他の島は過疎化の波から生まれ変わっている。島の未来をかけ、全力で客の接待に奔走する島の人々だったがその大事なへちま荘が火事で焼けてしまう…。白瀬遼…坂口憲二  西門うらら…松下奈緒    前田美波里  夏未エレナ  宇梶剛士  近藤芳正  岡本麗  (他)秋川雅史「ねがい」藤本有紀山本剛義植田博樹  正木敦http://www.tbs.co.jp/hon-hare2009/TBSテレビ</t>
  </si>
  <si>
    <t>30年前の悲劇…そして輝く未来へ那瑠美島に、立花一美（布施博）が突然やってきた。ついに明かされる40年前の悲劇。  立花と駐在さんの過去。キヌがこの島に留まっている理由。そしてやってきた廃校の危機。  立花がこの島に来た目的は？？そして、この島初まって以来の凶悪事件が幕を開ける。  過去を乗り越え、悲劇を乗り越え、この島は、輝く未来をつかめるのか？  ついに感動の最終回。白瀬遼…坂口憲二  西門うらら…松下奈緒    前田美波里  夏未エレナ  宇梶剛士  近藤芳正  岡本麗  (他)秋川雅史「ねがい」藤本有紀加藤　新植田博樹  正木敦http://www.tbs.co.jp/hon-hare2009/TBSテレビ</t>
  </si>
  <si>
    <t>0810_TBS_金22</t>
  </si>
  <si>
    <t>流星の絆</t>
  </si>
  <si>
    <t>番組名金曜ドラマ「流星の絆」</t>
  </si>
  <si>
    <t>「東野圭吾×宮藤官九郎！涙のNo1ミステリ―感動大作」東野圭吾最新作ミステリ―を宮藤官九郎脚本、豪華出演者で最速ドラマ化！  「アリアケ」という洋食屋の3兄妹、功一・泰輔、静奈は、夜中に家を抜け出し、獅子座流星群を見に行った。帰ってきた3人を待っていたのは、惨殺された両親の姿だった。  大人になった3人は、生きるために共謀して詐欺を働くようになる。その中で、偶然見つけた両親を殺した犯人のてがかり。さらに、3兄妹の最大の落とし穴とは！？二宮和也　錦戸亮　戸田恵梨香　要潤　柄本明　りょう　寺島進　三浦友和東野圭吾宮藤官九郎金子文紀那須田淳  磯山晶TBSテレビ</t>
  </si>
  <si>
    <t>「傘と似顔絵と謎の女」両親を幼い頃に殺された兄妹、功一・泰輔・静奈。事件の翌日、現場には犯人の手がかりとなるものが残されていた。  大人になった彼らは、協力して詐欺を行うようになる。今度のターゲットは、かつての静奈の上司であるポストイット高山。顔を知られている静奈だが、功一はどんな作戦を用意しているのだろうか。  功一のバイトしているカレー屋に突如現れた謎の女・・・彼女の正体とは！？二宮和也　錦戸亮　戸田恵梨香　要潤　柄本明　りょう　寺島進　三浦友和東野圭吾宮藤官九郎金子文紀那須田淳  磯山晶TBSテレビ</t>
  </si>
  <si>
    <t>「親の秘密とハヤシの王子様」元上司・高山を見返したいという静奈の要望を受け、功一ら3人兄妹で詐欺をしかける。時効が迫る中、柏原たちは有明夫妻殺人事件に関する新たな情報を得て、ジョージクルーニーにやってくる。そこで功一は父親がばくち好きで借金を抱えていたことを知り、複雑な思いを抱く。一方、常連客の行成が有名洋食屋の御曹司だということを知る。功一は行成を新たなターゲットとして、詐欺をしかけるのだが・・・。二宮和也　錦戸亮　戸田恵梨香　要潤　柄本明　りょう　寺島進　三浦友和東野圭吾宮藤官九郎石井康晴那須田淳  磯山晶TBSテレビ</t>
  </si>
  <si>
    <t>「真犯人と繋がった記憶」事件の時効が迫る中、柏原ら警察側の接近に危険を感じた功一は、次で最後という約束で泰輔と静奈に詐欺話を持ちかける。その標的となったのは、有名洋食屋チェーン店の御曹司戸神行成であった。功一は完璧な作戦で静奈を行成に接近させる。ある日、行成は自身の経営する店舗で出すハヤシライスの試食会に静奈を誘った。そこで食べたハヤシライスの味は、かつて父親が作ったものと同じであった。そしてそこに現れた人物とは！？二宮和也　錦戸亮　戸田恵梨香　要潤　柄本明　りょう　寺島進　三浦友和東野圭吾宮藤官九郎金子文紀那須田淳  磯山晶TBSテレビ</t>
  </si>
  <si>
    <t>「仇の息子と盗まれた味」行成に招待され静奈が食べた「とがみ亭」の元祖ハヤシライスは、殺された父親・幸博が作っていたものと同じ味だった。さらに、泰輔が事件当日に見た男が、その行成の父親の政行であったことなどから、功一は戸神政行を両親の仇として、さらなる真実を追究していく。静奈は行成から幸博と政行の接点を探そうと逢瀬を交わし、泰輔は柏原ら警察と連絡をとり始める。標的の定まった3人の前に、静奈の本当の父親の妻が現れる。二宮和也　錦戸亮　戸田恵梨香　要潤　柄本明　りょう　寺島進　三浦友和東野圭吾宮藤官九郎金子文紀那須田淳  磯山晶TBSテレビ</t>
  </si>
  <si>
    <t>「本当の兄妹じゃない」静奈の実父である矢崎の妻・秀子は、自分の夫が有明夫妻を殺した犯人で、そのことを静奈に会って夫の代わりにお詫びがしたいと功一に伝える。一方で、妻である秀子が自分を疑っているこにと気づいた矢崎は、妻の証言はすべて妄想で、自分は犯人ではないと柏原に相談する。そんな2人が静奈に接近することに、危機感を覚えた功一と泰輔は、自分たちは本当の兄妹ではないということを自分達の口から静奈に伝えようと決意する。二宮和也　錦戸亮　戸田恵梨香　要潤　柄本明　りょう　寺島進　三浦友和東野圭吾宮藤官九郎金子文紀那須田淳  磯山晶TBSテレビ</t>
  </si>
  <si>
    <t>「妹は仇の息子に惚れてるよ」時効まであと3週間に迫った時、両親を殺した犯人は「とがみ亭」の社長・戸神政行だと確信した功一たちは、政行が警察に逮捕されるように、足りない証拠を自分たちででっち上げるという危険な作戦にでる。その一方で、静奈は功一からの指示もないのに、行成と逢瀬を交わしていた。そのことを兄たちに咎められるが、もう行成への気持ちを抑えきれなくなっていた。柏原たちも功一の仕掛けた証拠に誘導され、政行にたどり着く。二宮和也　錦戸亮　戸田恵梨香　要潤　柄本明　りょう　寺島進　三浦友和東野圭吾宮藤官九郎石井康晴那須田淳  磯山晶TBSテレビ</t>
  </si>
  <si>
    <t>「妹の正体と追いつめられた真犯人」行成の家に招待された静奈は、政行を犯人に仕立て上げるための絶対的な証拠、アリアケのレシピノートを残してくる作戦を実行に移す。しかし、行成に思いを寄せている静奈は、戸神の母、貴美子に会い、気に入られた事に喜びを感じる。静奈の気持ちに気づいている功一・泰輔は、心配ながらも静奈を信じ、帰りを待つ。その時、柏原からこれから戸神家を家宅捜索するという連絡が入る。戸神家には静奈が。その時、功一と泰輔は！？二宮和也　錦戸亮　戸田恵梨香　要潤　柄本明　りょう　寺島進　三浦友和東野圭吾宮藤官九郎石井康晴那須田淳  磯山晶TBSテレビ</t>
  </si>
  <si>
    <t>「時効当日最後の告白」行成にノートを戸神家に残してきたことがバレてしまった静奈は、本名を明かし、自分の両親を殺した犯人が政行だという疑いを話してしまう。時候まであと1週間と迫り、焦った功一は、柏原にすべてを打ち明け相談することに。柏原からの助言によって、行成の動きを封じようと直接対面するが、行成から発せられたのは、3兄妹に協力するという言葉だった。思いがけない味方をつけた3人は、時候当日ついに戸神家に乗り込む。二宮和也　錦戸亮　戸田恵梨香　要潤　柄本明　りょう　寺島進　三浦友和東野圭吾宮藤官九郎金子文紀那須田淳  磯山晶TBSテレビ</t>
  </si>
  <si>
    <t>「犯人はお前だ！3兄妹の運命は…涙と感動の最終回！」時効当日、3兄妹は戸神家に乗り込み、両親を殺した容疑者として政行を問い詰める。しかし、政行は14年前の有明夫妻とのやり取りを話し、自分が犯人ではないと言う。その証言を信じることのできない功一たち、さらに警察側の柏原も、作り話だと言い、認めない。そこで、政行は自分が犯人ではないと言える決定的証拠を持ってくる。  真犯人は一体誰なのか？そして3兄妹の取った行動とは！？涙が止まらない衝撃の最終回！！二宮和也　錦戸亮　戸田恵梨香　要潤　柄本明　りょう　寺島進　三浦友和東野圭吾宮藤官九郎金子文紀那須田淳  磯山晶TBSテレビ</t>
  </si>
  <si>
    <t>0810_TBS_土20</t>
  </si>
  <si>
    <t>ブラッディ・マンデイ</t>
  </si>
  <si>
    <t>番組名ブラッディ・マンデイ</t>
  </si>
  <si>
    <t>「日本最後の日！1人の命か!?千万人の命か!?最凶ウイルステロの陰謀と伝説の天才ハッカ―の闘いがいよいよ今夜はじまる!!」  ロシアの密売組織から殺人ウイルスを手に入れた謎の女・マヤが、諜報員を殺し、行方をくらませた。彼女の目的はウイルステロを起こし、日本を壊滅させることだった。捜査に乗り出した公安の特殊部隊・サ―ドアイは、殺された諜報員が残した暗号解析を、天才高校生ハッカ―・藤丸に依頼。しかし、藤丸の通う高校に、マヤが新任教師として姿を現し…。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</si>
  <si>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殺人ウイルステロついに勃発!!迫り来る日本最後の日！」ショッピングモ―ルに撒かれたウィルスは偽物だった。しかし、テロリストによって藤丸（三浦春馬）の妹・遥（川島海荷）が誘拐され、命と引き換えに、公安秘密部隊・サ―ドアイのメインコンピュ―タ―へのハッキングし、「クリスマスの虐殺」の映像ファイルの消去するよう脅迫される。一方、ある一般女性にウィルスを送りつけたと、テロリストからサ―ドアイに連絡が入り…。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</si>
  <si>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裏切り者は誰だ!?味方に潜む敵の影!!テロ首謀者・現る」藤丸（三浦春馬）は、ロシアのウイルステロ「クリスマスの虐殺」の映像から、折原マヤ（吉瀬美智子）がテロリストだと気付く。が、正体を知られたマヤは、藤丸に銃を向ける。絶体絶命の藤丸だったが、藤丸の機転を利かせたSOSにサードアイが駆けつけ、救出される。逮捕したマヤからテロ組織の詳細を聞き出そうと拷問するサードアイだったが・・・。  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</si>
  <si>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「裏切りと悲劇の女!!明らかになる日本壊滅テロの真相!?」  人気のない倉庫に案内され、マヤ（吉瀬美智子）からサードアイ捜査官の加納（松重豊）と宝生（片瀬那奈）のどちらかはスパイだと言われた藤丸（三浦春馬）。二人の様子から、宝生がスパイだとわかった藤丸だったが、どうすることもできず、加納が撃たれ、彼がスパイだと本部に嘘を言うように強制される。内部からまたスパイが出たことに混乱するサードアイ本部だったが、さらにサードアイの空調室に奇妙な仕掛けが見つかり…。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</si>
  <si>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「東京壊滅!?現れたテロ首謀者との生死を懸けた対決!!」  藤丸（三浦春馬）が目隠しされてマヤ（吉瀬美智子）に連れて行かれた先は、とあるファミリーレストラン。そこで、テロリスト集団のリーダー・J（成宮寛貴）に会う。Jから仲間に入るように誘われる藤丸だったが、きっぱりと断る。店の周囲はすでにサードアイが包囲していた。しかし、Jの「僕たちは神になれる」という一言とともに、周囲の客たちが血を吐いて倒れ始めた。婚約者の発病で心が揺れる霧島（吉沢悠）が下した決断は…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</si>
  <si>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日本最後の日!?破壊と滅亡、そして父の真相が明らかに」抗ウイルス剤を探して、音弥（佐藤健）、あおい（藤井美菜）と生物化学研究所に向かった藤丸（三浦春馬）。そこにはすでにテロリストの出門（TET）が待ち伏せしていた。狙われる3人だったが、研究所のセキュリティネットワークをハッキングし、監視カメラ映像をモバイルPCで確認していると、敷村教授（神保悟志）の姿とマヤ（吉瀬美智子）の姿を発見する・・・。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</si>
  <si>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「テロ全貌が今夜明らかに!!非情な計画が日本を襲う!!」  殺害された敷村教授（神保悟志）が残した手がかりをヒントに、藤丸（三浦春馬）は抗ウイルス剤のありかに、サードアイ捜査官の加納（松重豊）と南海（芦名星）らとたどりつく。そこは、敷村に研究所として貸していた、山奥にある高木家のコテージだった。早速抗ウイルス剤を探す一行。藤丸たちは誰にも知られずに行動していたはずが、なぜかマヤ（吉瀬美智子）をはじめとするテロリストたちがコテージを取り囲み・・・  　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</si>
  <si>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遂に大量感染!?拘置所に眠る犯罪者の大脱走計画の全貌」刑事殺害の罪を着せられた藤丸（三浦春馬）は新指揮官・鎌田（斎藤歩）の就任で命令系統の狂ったサードアイを信じることができず、音弥（佐藤健）たち新聞部の部員と共に、休日の学校に忍び込む。しかし、そこには既にテロリスト達が侵入しており、藤丸達はテロリストによって撒かれたブラッディXに感染してしまった。J（成宮寛貴）は、サードアイに、部員分の抗ウイルス剤と引換えに拘置所の神島紫門（嶋田久作）解放を要求する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</si>
  <si>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テロ最終章!!神が与えし教祖の死、そして最後の月曜へ」学校に潜んでいたテロリストたちとの対決の末、ブラッディXに感染した藤丸（三浦春馬）たちは抗ウイルス剤を入手するが、感染が早かった英（久野雅弘）は間に合わず死んでしまう。同じ頃、拘置所を襲撃し教祖・神島紫門（嶋田久作）を奪還したJ（成宮寛貴）たちは、「ブラッディ・マンデイ」計画を進めるべく、動き始める。英の死で戦う決意がより強くなった藤丸は、サードアイと協力してテロリストたちを追い詰めようとするが…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</si>
  <si>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「東京炎上!?死と裏切りと絶叫の中、遂にテロ最終舞台へ」ずうずうしくも藤丸（三浦春馬）の自宅へと上がりこんでいたJ（成宮寛貴）。  Jは、「僕は音弥（佐藤健）と血の繋がった兄弟なんだ」と藤丸に言い残してどこかへ去っていく。心の底から信用していた音弥にも裏切り者である可能性があると知った藤丸は、動揺を隠せない。  そんな中、「THIRD-i（サード・アイ）」に、教祖・神島（嶋田久作）を撃ったマヤ（吉瀬美智子）が「BLOODY-X」を持って出頭。ウイルステロ『ブラッディ・マンデイ』の奥に隠された「宝石箱を開ける」という謎の目的をほのめかす。  そして、ついに正体を明かしたKが藤丸の前に立ちはだかって…。三浦春馬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</si>
  <si>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今夜0時東京破滅テロ宣言へ!!生死を懸けた終幕へ」テロリストの首謀者Kは、藤丸（三浦春馬）の同級生・真子（徳永えり）だった。真子を救いに来たつもりでいた藤丸に、ためらいもなく真子は銃弾を放った。しかし、銃弾は藤丸を庇った父・竜之介（田中哲司）の胸を貫いた。Kとマヤ(吉瀬美智子)は再び街へと消え、真の目的…“宝石箱”をあける計画のカウントダウンが始まった。藤丸とサードアイはKの計画を阻止すべく、東京の街を奔走する。天才ハッカー藤丸は地球を救えるのか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</si>
  <si>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0810_TBS_日21</t>
  </si>
  <si>
    <t>SCANDAL</t>
  </si>
  <si>
    <t>番組名日曜劇場「SCANDAL」</t>
  </si>
  <si>
    <t>「今夜発覚！女の本音はスキャンダル!!」  高柳貴子（鈴木京香）は40歳の専業主婦。  大手広告代理店勤務の夫と中学生の娘と暮らしている。家事も育児も完璧にこなす貴子だが、娘は反抗期、夫は浮気の疑いありと、家族との溝を感じる日々だ。ある日、昔の同僚・白石理佐子（戸田菜穂）の結婚式で、3人の主婦に出会った。財務省公務員の夫と2人の幼い子供を持つ河合ひとみ（長谷川京子）32歳、美容整形外科クリニックの院長夫人でセレブ。財務省公務員の夫と2人の幼い子供を持つ河合ひとみ（長谷川京子）32歳、美容整形外科クリニックの院長夫人でセレブな生活を送る鮫島真由子（吹石一恵）25歳、8歳年下の弁護士を夫にもつキャリアウ―マンの新藤たまき（桃井かおり）52歳だ。その夜、貴子は年齢も夫の職業も何もかも違うこの3人と、理佐子のお祝いをすることに。すると理佐子が「ねえ、ゲ―ムしない？」と言い出した。そのゲ―ムとは、夜の街で男を逆ナンして店まで連れてくるということ。一番遅かった人が店の支払いを全額負担するというのだ。  猛反対の貴子をよそに、街へ出て行く4人。  しかしそのゲ―ムが、思いもよらないスキャンダルへ貴子を巻き込んでいく……。鈴木京香　長谷川京子　吹石一恵　桃井かおり　沢村一樹　光石　研　遠藤憲一　石原良純　滝沢沙織　小浜正寛　荒井萌　平野心暖　松本春姫　植田浩望　細田よしひこ　加藤虎ノ介　戸田菜穂　小日向文世「LOVE～winter song～」　福原美穂  （ソニ―・ミュ―ジックレコ―ズ）井上由美子生野慈朗  高成麻畝子  山本剛義生野慈朗  植田博樹TBSテレビ</t>
  </si>
  <si>
    <t>「女友達の不幸は密の味」  理佐子（戸田菜穂）の失踪で、貴子（鈴木京香）・ひとみ（長谷川京子）・真由子（吹石一恵）・たまき（桃井かおり）の4人に突然ふりかかったスキャンダル…。  警察で勝沼から4人の責任だと言われたことから、知り合ったばかりの貴子たちは、力を合わせて理佐子を探すことになった。だが、年齢も性格も家庭環境も違う主婦4人が、顔を突き合わせて考えても、話が脱線するばかりで進展はない。一方、妻の捜索願いを出した久木田のところでは警察の捜査が入り慌しい状況になっていた。理佐子が披露宴に呼んだのは貴子たち4人のみ。貴子たちと会ったのを最後にいなくなってしまったのは、偶然とは思えないと…勝沼は4人の主婦たちを徹底的に調べることにした。翌日、事情聴取のため警察を再び訪れた4人は、同じく警察を訪れていた久木田から、知っていることは残酷なことでも何でも教えて欲しいと頼まれる。さらに、警察では、別室で個別に理佐子との関係を聞きたいと言われ戸惑う4人。だが、そのことで意外な事実が明らかになっていく。そんな時、警察から帰ろうとしている久木田を追いかけた貴子は、自分が夫・秀典と結婚した時の経緯などを話す。実はCA時代に秀典を巡り、理佐子が好意を持っていたことを知りながら自分が抜けがけした様な形になり、今でも申し訳ないと思っている事を…。しかし、貴子は久木田から反対に信じられない事実を知らされる事に…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</si>
  <si>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夫たちにお仕置き」夫の会社を訪ねた貴子（鈴木京香）は、秀典からプレゼントされたペンダントと同じものをしている夏子（滝沢沙織）と秀典（沢村一樹）が一緒にいるところに遭遇してしまう。その時、理佐子から貴子の携帯に着信があり慌てて出ると、理佐子の携帯から聞こえてきたのは男の人の声だった。驚いた貴子は、急いで久木田（加藤虎ノ介）に会い事情を話すと、久木田は警察には知らせず誰にも言わないで欲しいと言うのだ。困った貴子は、ひとみ（長谷川京子）の意見を聞こうと電話を掛けた。久木田から口止めされてはいるが、早く警察に知らせたほうがいいのか迷っていたのだ。だが、真由子（吹石一恵）・たまき（桃井かおり）にも話が広がり、理佐子は誘拐事件に巻き込まれたなどという話に発展していた。  その夜、高柳家に集合した4人だが、話せば話すほど話が飛躍してしまい、とりあえず明朝久木田のホテルを貴子が訪ねることになった。翌朝、貴子がホテルに行くと、心配したひとみ・真由子・たまきもホテルに駆けつけていた。とりあえず、貴子が久木田の部屋を訪ねると「信じていたのに何故約束を守ってくれなかったのか」と怒る久木田。さらに、部屋には、勝沼（小日向文世）はじめ数人の捜査員が来ていて、公開捜査が決まったと言うのだ。  誰が警察に知らせたのか疑う間もなく、貴子たち4人はホテルを出たところで大勢の取材陣に囲まれてしまう。そのことが報道されたことで、それぞれの家庭は大揉めになり、不満を爆発させてしまった貴子・ひとみ・真由子は、偶然にもみんな家を飛び出してしまう。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</si>
  <si>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「衝撃!!夫が逮捕される」ワイドショーのインタビューを受けてしまったことで、貴子（鈴木京香）たち4人の家庭では、それぞれ大問題になっていく。世間体を気にするだけの夫たちに反発する妻たち。  理佐子（戸田菜穂）を心配するあまり独自に調査を始めた貴子は、理佐子と最後に会ったワインバーに出かけてみる。偶然、美容院帰りのひとみ（長谷川京子）が、礼二（植田浩望）を伴ない同じ店にやって来た。同じ頃、行き先が分からなくなった真由子（吹石一恵）を探すため賢治（遠藤憲一）が高柳家を訪れていた。状況も分からず困った秀典（沢村一樹）からの電話を取った貴子は、何気なく言った秀典の言葉に腹を立て電話を切ってしまう。  そんな時、呑気にクラブで遊んでいる真由子の写メが隼人（細田よしひこ）から礼二に送られてきた。  クラブで真由子と合流した貴子は、あまりにもお気楽にしているひとみや真由子に呆れてしまう。夫が必死になって探していることを知った真由子は、一晩泊めて欲しいとたまきを頼って電話すると、たまき（桃井かおり）は警察にいて「自首したの」と言いみんなを驚かせる。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</si>
  <si>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真相!!全てがつながる」貴子（鈴木京香）たちの目の前で、勝沼（小日向文世）から任意同行を求められた河合雄一（光石研）。驚くひとみ（長谷川京子）は、弁護士の哲夫（石原良純）や秀典（沢村一樹）と共に警察に行ったが状況が分からず心配を募らせていた。勝沼は、以前久木田（加藤虎ノ介）が起こした事件調書の中に雄一の名前が出てきたと言うのだ。雄一は黙秘を主張、調書のことも偶然居合わせた単なる目撃者だと言い張る。そして妻には絶対に言わないと約束をして欲しいと勝沼に言った。そこに、面会要求をするため哲夫が顔を出した。驚く雄一・・・実は二人は以前に知り合っていたのだった。  同じ頃、貴子は久木田から呼び出されホテルのラウンジで会っていた。今夜ニューヨークに帰る、もう理佐子（戸田菜穂）は探さないと言うのだ。さらに、心配する貴子に、理佐子は無事だといい、理佐子から届いたメールを見せた。その夜、久木田は報道陣の前で騒がせたことを詫びNYへ…。  あっけない幕切れで、ぽっかり穴が開いた様になってしまった貴子は、ひとみ、たまき（桃井かおり）、真由子（吹石一恵）と最後に食事をする事にした。最高におしゃれをして集まった4人だったが、いろいろ話をしていく内に言い合いになってしまう。実は、真由子は貴子が久木田と会うことを知り尾行していたのだった。その頃、夫たちも妻たちの知らないところで秘密の会合をもとうとしていた・・・。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</si>
  <si>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新展開!!女たちの逆襲」ニューヨークから戻った久木田（加藤虎ノ介）と会った貴子（鈴木京香）は、結婚式の夜、理佐子（戸田菜穂）が別の男性といるところを見たと告白する。理佐子を庇おうとする貴子を、久木田は一緒にいた男がどんな人だったか教える義務があると責め、出て行く。あわてて追いかけた貴子に、久木田は8年前に起こした傷害事件の話を始めた。理佐子がたまき（桃井かおり）の夫・哲夫（石原良純）に弁護を頼み、示談にしてもらい、留学中の久木田に代わり1000万円という高額の示談金をほとんど払ってくれたというのだ。さらに、理佐子は貴子の夫・秀典（沢村一樹）からもお金を借りていたと言い残し、もう一度振り出しに戻って理佐子の足跡をたどると行ってしまった。  その夜、帰宅した貴子は、理佐子にお金を貸したことを秀典に問い詰め言い争いになる。翌日、貴子はひとみ（長谷川京子）を訪ねた。警察の事情聴取を受けたひとみの夫・雄一（光石研）と理佐子との関係を聞くためだった。だが、ひとみはなんと美容師・礼二とキスしたと夢ごごちで話し出し貴子を驚かす。一方、たまきは真由子（吹石一恵）を訪ねていた。出かけようとしていた賢治（遠藤憲一）から「真由子をよろしく」と頼まれ、真由子がたまきの名前を使って出かけようとしていたことを知る。問い詰めると、証券マンの隼人（細田よしひこ）とデートするとあっさり言う真由子にたまきは呆れてしまう。  そんな中、礼二に無視されショックを受けたひとみが貴子を訪ねてきた。そんなことを娘に悟られないようごまかす貴子に、咲希は昨夜家の前で理佐子を見たと告げる。この新事実に、再び高柳家に集合した4人だったが・・・。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</si>
  <si>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秘密の部屋」結婚式の夜、理佐子（戸田菜穂）が一緒にホテルに行った男は、ひとみ（長谷川京子）の仲人で夫・雄一（光石研）の上司・金沢（春田純一）だった。実は8年前、久木田（加藤虎ノ介）が傷害事件を起こした相手なのだ。久木田からすべてを聞いた貴子（鈴木京香）は、たまき（桃井かおり）たちにそのことを伝えた。河合家に集まった4人は、家に戻った雄一に金沢のことを尋ねると「みんながおかしな騒ぎ方をしなければ、警察もマスコミも騒ぐことはなかった。つまらない出来事をスキャンダルにしてしまったことを自覚したほうがいい」とピシャリと言われ、貴子たちは何も言い返すことが出来なかった。貴子、ひとみ、真由子、たまき…それぞれの家庭で、夫との不協和音が響き始めてきた。  ひとみは金沢に会うため、雄一に内緒で財務省に向かう…理佐子との関係を聞こうとしたが、雄一に見つかり家庭が壊れてもいいのかとひっぱたかれる。どうして雄一がそこまで金沢を庇うのか、どうして何も言ってくれないのか不安に駆られるひとみ。一方、様子のおかしい哲夫（石原良純）を尾行したたまきは、あるホテルに夫が入ったのを知り確認を取ろうとしたが、そこへ勝沼（小日向文世）から電話が入り…。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</si>
  <si>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妻の涙、母の涙」哲夫が理佐子を匿っていたことが分かり、たまきの元へ勝沼がやってきた。息子の部屋に入ろうとする勝沼を、必死に止めるたまきの様子は尋常ではなかった。心配する貴子たちに「ずーと部屋には誰もいない」と告白したたまき。勝沼の気遣いで貴子たちを帰らせるが、その時たまきは、もう二度と会わないし電話もしないで欲しいと貴子たちを突き放した。  そして帰り道、ひとみ、真由子も貴子に別れを言う。もう少しで、理佐子を探すことが出来そうなときに、手を引いてしまうなんて…やっと何でも話し合える友達になったと思っていた貴子は納得できなかった。  その夜、貴子が帰宅すると咲希が体調を崩し寝込んでいた。両親がケンカばかりしていたこと、貴子は浮気しているのではと、咲希はいろいろ心配していたのだ。久しぶりに自分を心配してくれる貴子に触れ、咲希の心は癒され、母を思う素直な子供に戻っていた。翌朝、たまきは勝沼に呼ばれ警察にいた。駿介の部屋から血痕のついたナイフが見つかり、取調べを受けていたのだ。そのナイフには、理佐子の指紋が…!?  このことから勝沼は、8年前の傷害事件のこと、理佐子との関係について調べるため財務省を訪れていた。金沢に会い質問をぶつけていると、そこに雄一が現れ勝沼たちを追い返した。別れを決意した4人の主婦たち。  ひとみは、雄一が言った言葉が気になり恐怖さえ感じるようになっていた。真由子は、賢治に子供がいないからハブられたと自分の寂しさを遠まわしに言う。そこに、隼人から告白の電話が…。  そして、貴子は家族3人で食卓を囲み、久しぶりに和やかな雰囲気を満喫していた。ところが・・・・鈴木京香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</si>
  <si>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「妻が夫を捨てる日」予告動画 哲夫（石原良純）から、理佐子（戸田菜穂）からの手紙を受け取った貴子（鈴木京香）たち。だが、哲夫からも理佐子は逃げてしまい、居場所が分からなくなってしまった。  手がかりは「真実を知りたければ、日曜日に結婚式を挙げた教会に来て」という、理佐子から手紙だけ。事件のナゾ解きをする貴子たちだが、つじつまが合わないことばかり…警察に知らせたほうがいいというみんなに貴子は、何があったのか本人に会って聞くしかない、日曜まで警察に知らせるのは待って欲しいと頼む。  一方、勝沼（小日向文世）は、たまき（桃井かおり）の家から凶器と見られるナイフを発見したことから、再捜査のための会議をしていた。  財務省の金沢（春田純一）と雄一（光石研）が何らかのかかわりがある事、8年前の傷害事件に関しての事など、明らかになってきた事を報告した。貴子と秀典（沢村一樹）、ひとみ（長谷川京子）と雄一、真由子（吹石一恵）と賢治（遠藤憲一）、たまきと哲夫…4組の夫婦が、それぞれ解決しなければならない事に直面する。そして、ひとみ・真由子には新しい愛が!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</si>
  <si>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「友よ!大切な人よ」教会で、理佐子（戸田菜穂）と再会出来た貴子（鈴木京香）・真由子（吹石一恵）・たまき（桃井かおり）。  今まで理佐子がみんなのことをどのように思ってきたか、結婚式に何故みんなを招待したのか、理佐子から真相が語られ貴子たちは驚きを隠せなかった。  そこへ、夫・雄一からすべてを聞き出したひとみ（長谷川京子）が駆けつけ、理佐子がこんなことになったのは夫のせいだったと詫びる。理佐子は、今まで歩んできた自分の生い立ち、久木田（加藤虎ノ介）との出会い、殺人を計画したことなどすべてを語った。  そして、貴子たちは、改めて理佐子の純粋な愛情を知ることに…。  だが、その5人の前に、勝沼（小日向文世）率いる捜査員が踏み込んできた。傷害容疑で理佐子に、犯人隠避の容疑で貴子たち4人に逮捕状が出ていたのだった。  警察に連行され、留置されてしまった貴子たちは…。鈴木京香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</si>
  <si>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0807_TBS_金22</t>
  </si>
  <si>
    <t>魔王</t>
  </si>
  <si>
    <t>番組名金曜ドラマ「魔王」</t>
  </si>
  <si>
    <t>「愛を捨てた復讐鬼－哀しき魔王」それは差出人不明の一枚のタロットカ―ドから始まった…。対峙する二人の男。一人は悪の限りをつくした過去への贖罪の為、正義の為に生きてきた。一人は心優しい少年期の記憶を捨て、復讐の鬼と化していた…　神が与えた運命は“愛”と引き換えの“復讐”。同じ過去、痛みを共有する者たちの再会が運命の歯車を回し始める…。大野智　生田斗真　小林涼子　田中圭　忍成修吾　脇知弘　上原美佐　吉瀬美智子　劇団ひとり　三宅裕司　石坂浩二　(他)前川洋一加藤　新高橋　正尚  【協力プロデュ―サ―】  渡辺　良介TBSテレビ</t>
  </si>
  <si>
    <t>「裏切りの罠…引き裂かれた親子!!」  熊田の通夜の席で直人の前に現れる領。その後、再会した直人、葛西、宗田、石本の4人。久しぶりの顔合わせに喜び合う4人だったが、またもやそこに領が姿を見せる。そして、次のタ―ゲットへの復讐が始まる…。大野智　生田斗真　小林涼子　田中圭　忍成修吾　脇知弘　上原美佐　吉瀬美智子　きたろう　奥貫薫　劇団ひとり　三宅裕司　石坂浩二　(他)前川洋一加藤　新高橋　正尚  【協力プロデュ―サ―】  渡辺　良介TBSテレビ  http://www.tbs.co.jp/maou2008/</t>
  </si>
  <si>
    <t>「暴かれる素顔　愛とひきかえの復讐」石本の死が殺害されたものだと確信する直人。守れなかった自分を責めながら犯人に近づこうとする。一方、領は事件の鍵を握る多恵（奥貫薫）に急接近する。やがて直人は多恵に自白させようとするが、領がだした答は…大野智　生田斗真　小林涼子　田中圭　忍成修吾　脇知弘　上原美佐　吉瀬美智子　奥貫薫　劇団ひとり　三宅裕司　石坂浩二　(他)前川洋一坪井　敏雄高橋　正尚  【協力プロデュ―サ―】  渡辺　良介TBSテレビhttp://www.tbs.co.jp/maou2008/</t>
  </si>
  <si>
    <t>「狙われた魔王　地獄の門は開かれた」自分の消せない過去と石本の死を真に受けて、意気消沈する直人。一方、家族の墓に出向き、改めて復讐の決意を固めた領。その前に池畑と名乗る記者が現れる。「あなた悪魔じゃないですか…」と告げる池畑に領は動揺する。大野智　生田斗真　小林涼子　田中圭　忍成修吾　脇知弘　上原美佐　吉瀬美智子　奥貫薫　優香　六平直政　劇団ひとり　三宅裕司　石坂浩二　(他)西田　征史坪井　敏雄  高橋　正尚  【協力プロデュ―サ―】  渡辺　良介TBSテレビ</t>
  </si>
  <si>
    <t>「殺人予告…!?魔王に届く赤い封筒」直人宛に届いた赤い封筒。しおりのサイコメトり―によりそこから山野の姿を確認した  直人は本人の元へ。一方、重大な情報を手に入れた池畑は領の元へ。それぞれがそれぞれを追い詰めていくのだが…。大野智　生田斗真　小林涼子　田中圭　忍成修吾　脇知弘　上原美佐　吉瀬美智子　優香　六平直政　嶋田久作　劇団ひとり　三宅裕司　石坂浩二　(他)西田　征史片山　剛高橋　正尚  【協力プロデュ―サ―】  渡辺　良介TBSテレビ  http://www.tbs.co.jp/maou2008/</t>
  </si>
  <si>
    <t>「教えてやるよ…真犯人の正体を!!」  執拗に領を追いかける記者、池畑。とうとう領の秘密を握り、脅しにかかる。しかしそれに屈しない領。それならばと、池畑は姉、真紀子に忍び寄る。それを知った領は怒り、逆に池畑を追い詰めて行く。大野智　生田斗真　小林涼子　田中圭　忍成修吾　上原美佐　吉瀬美智子　優香　六平直政　嶋田久作　劇団ひとり　三宅裕司　石坂浩二　(他)西田　征史加藤　新高橋　正尚  【協力プロデュ―サ―】  渡辺　良介TBSテレビhttp://www.tbs.co.jp/maou2008/</t>
  </si>
  <si>
    <t>偽りの姉弟…優しい嘘が死を招く池畑が生前持っていた領の秘密が吹き込まれたCD-Rが真紀子の元へ。領に直接会ってその事を切り出そうとした時、現れたのは直人だった。動揺する領。絶体絶命の中、真紀子はCD-Rの再生ボタンを押してしまう。大野智　生田斗真　小林涼子　田中圭　忍成修吾　上原美佐　吉瀬美智子　優香　六平直政　嶋田久作　劇団ひとり　三宅裕司　石坂浩二　(他)西田　征史坪井　敏雄高橋　正尚  【協力プロデュ―サ―】  渡辺　良介TBSテレビhttp://www.tbs.co.jp/maou2008/</t>
  </si>
  <si>
    <t>「許されぬ愛の終わり…復讐、再び」しおりの事がどうしても気になる領。直人への復讐心としおりへの気持ちとの間で葛藤していく。その間に直人は徐々に真実に近づいていく。一方、不倫を盾に麻里を追い込む宗田に対し、葛西は殺意を抱いていく…。大野智　生田斗真　小林涼子　田中圭　忍成修吾　上原美佐　吉瀬美智子　榊英雄　劇団ひとり　三宅裕司　石坂浩二　(他)番組の最後にCDプレゼントの告知があります！西田　征史片山　剛  高橋　正尚  【協力プロデュ―サ―】  渡辺　良介TBSテレビhttp://www.tbs.co.jp/maou2008/</t>
  </si>
  <si>
    <t>「真犯人は俺だ 知りすぎた男の悲劇」何者かに捕まった宗田が連れてこられたのは、とある廃ビルだった。そこに現れたのは、意外な人物だった。やがて拉致事件の犯人として葛西は直人に捕まってしまう。そこで領は葛西の弁護を名乗り出るのだった。大野智　生田斗真　小林涼子　田中圭　忍成修吾　上原美佐　吉瀬美智子　嶋田久作　榊英雄　劇団ひとり　三宅裕司　石坂浩二　(他)  西田　征史加藤　新高橋　正尚  【協力プロデュ―サ―】  渡辺　良介TBSテレビhttp://www.tbs.co.jp/maou2008/</t>
  </si>
  <si>
    <t>「一族の崩壊…死のラストカ―ド!!」  宗田殺しが自分であると主張する葛西に困惑する直人、しかし真実を知る事も直人にとっては辛い事だった…。そして領もまた、栄作から11年前の事件の真実をしらされ、激しく動揺する。更にしおりに再び出会い、心が揺らいでしまう。しかしそんな思いを断ち切り、最後の復讐に向かうのだった…。大野智　生田斗真　小林涼子　田中圭　忍成修吾　脇知弘　上原美佐　吉瀬美智子　劇団ひとり　三宅裕司　石坂浩二　(他)西田　征史坪井　敏雄高橋　正尚  【協力プロデュ―サ―】  渡辺　良介TBSテレビhttp://www.tbs.co.jp/maou2008/</t>
  </si>
  <si>
    <t>「最後の対決 死が絆を引き裂く!!」  直人の元に最後のタロットカ―ドが届く。それと同時に次々と復讐の連鎖が直人を中心に加速していく。そして……運命に導かれるかのように領、直人、しおりの三人が終焉の地に向かっていく…。大野智　生田斗真　小林涼子　田中圭　上原美佐　吉瀬美智子　劇団ひとり　三宅裕司　石坂浩二　(他)西田　征史加藤　新高橋　正尚  【協力プロデュ―サ―】  渡辺　良介TBSテレビhttp://www.tbs.co.jp/maou2008/</t>
  </si>
  <si>
    <t>0807_TBS_土20</t>
  </si>
  <si>
    <t>恋空</t>
  </si>
  <si>
    <t>番組名恋空</t>
  </si>
  <si>
    <t>「2500万人が涙した真実のラブストリ―！切ない純愛…感動の名作ドラマ化」ごく普通の女子高生・美嘉（水沢エレナ）は、放課後の学校で、銀髪にピアスが特徴的なヒロ（瀬戸康史）に突然キスをされる。  ファ―ストキスだったのに…。  そしてヒロには彼女がいると聞き、さらにヒロが彼女とキスしている姿を目撃してしまう。水沢エレナ　瀬戸康史　葵　三浦翔平  波瑠　永山絢斗　  松下奈緒  羽田美智子　岸谷五朗  (他)今井夏木渡邉睦月ファイン　エンタ―テイメントドリマックス・テレビジョンhttp://www.tbs.co.jp/koi-zora/</t>
  </si>
  <si>
    <t>「ずっと好きだったよ…せつない初恋のゆくえ～純愛スト―リ―急展開の第2話」ヒロと付き合うことになった美嘉。  しかし、ヒロの元カノ・咲の執拗な嫌がらせが続く。  ヒロに相談できない美嘉は、タツヤに…。  そして、新しい命が…。水沢エレナ　瀬戸康史　葵　三浦翔平  波瑠　永山絢斗　  松下奈緒  羽田美智子　岸谷五朗  (他)今井夏木渡邉睦月ファイン　エンタ―テイメントドリマックス・テレビジョンhttp://www.tbs.co.jp/koi-zora/</t>
  </si>
  <si>
    <t>「ぜって―幸せにするから！新しい命に父は母は…突然ヒロをおそう驚愕の真実」美嘉の妊娠が発覚。ヒロは、学校を辞めて働き、2人で子供を育てたいと言うが、  勝治は最後まで反対する。  秋、文化祭。  ヒロはみんなの前で美嘉を絶対に幸せにすると誓うが…。水沢エレナ　瀬戸康史　葵　三浦翔平  波瑠  松下奈緒  羽田美智子　岸谷五朗  (他)松田礼人渡邉睦月ファイン　エンタ―テイメントドリマックス・テレビジョンhttp://www.tbs.co.jp/koi-zora/</t>
  </si>
  <si>
    <t>「もう、お前の涙ふいてやれないから！ヒロ悲しみの決意…新しい恋」ヒロの誕生日。  美嘉のプレゼントの帽子を川へ投げるヒロ。  急に冷たい態度をとるヒロに美嘉は戸惑い、傷つく。  さらに美嘉は、ヒロが別の女性とキスしている姿を見てしまう。水沢エレナ　瀬戸康史　葵　三浦翔平  波瑠  阿部力　松下奈緒  羽田美智子　岸谷五朗  (他)松田礼人渡邉睦月ファイン　エンタ―テイメントドリマックス・テレビジョンhttp://www.tbs.co.jp/koi-zora/</t>
  </si>
  <si>
    <t>「ずっとずっと、好きだったよ！ふたりだけの結婚式…涙の最終章前編」優との新しい恋に、心穏やかな美嘉。  しかし、とうとうヒロの病気のことを知ってしまう。  忘れていた想いがあふれ出す。水沢エレナ　瀬戸康史　葵　三浦翔平  波瑠  阿部力　松下奈緒  羽田美智子　岸谷五朗　(他)今井夏木渡邉睦月ファイン　エンタ―テイメントドリマックス・テレビジョンhttp://www.tbs.co.jp/koi-zora/</t>
  </si>
  <si>
    <t>「私は今でも空に恋をしています…号泣の最終章後編　純愛を貫いた衝撃の結末」再会した美嘉とヒロ。  ふたりだけの結婚式。  しかし、病魔は確実にヒロの体を…。    衝撃の最終章。水沢エレナ　瀬戸康史　葵　三浦翔平  波瑠　永山絢斗　  松下奈緒  羽田美智子　岸谷五朗  (他)今井夏木渡邉睦月ファイン　エンタ―テイメントドリマックス・テレビジョンhttp://www.tbs.co.jp/koi-zora/</t>
  </si>
  <si>
    <t>0807_TBS_日21</t>
  </si>
  <si>
    <t>Tomorrow</t>
  </si>
  <si>
    <t>番組名日曜劇場「Tomorrow ～陽はまたのぼる～」</t>
  </si>
  <si>
    <t>「医療は人か金か!?」  元外科医・航平が暮らす街の市民病院は、赤字30億を抱え潰れる寸前だった。避けてきた病院に関わることになってしまう航平。そんな時爆発事故が起き、大勢のケガ人が担ぎ込まれる。彼らを救うことができるのか!?  竹野内豊　菅野美穂　緒川たまき　黒川智花　エド・はるみ　永田彬　橋本真実　田中実  志賀廣太郎　陣内孝則（特別出演）　岸部一徳　(他)    星村麻衣「ひかり」（SMEレコ―ズ）篠崎絵里子伊與田英徳  正木敦TBSテレビ  http://www.tbs.co.jp/Tomorrow2008/</t>
  </si>
  <si>
    <t>「命を金で買うとき」愛子の妹・七海の脳に疾患が発見される。市民病院では手に負えず、七海を助けるには紗綾の「命を金で買う」という考えを受け入れざるをえない。妹の為、信念を曲げるのか・・・。その矢先、七海は倒れてしまう。竹野内豊　菅野美穂　緒川たまき　黒川智花　エド・はるみ　永田彬　橋本真実　田中実  志賀廣太郎　陣内孝則（特別出演）　岸部一徳　(他)    星村麻衣「ひかり」（SMEレコ―ズ）篠崎絵里子伊與田英徳  正木敦TBSテレビ  http://www.tbs.co.jp/Tomorrow2008/</t>
  </si>
  <si>
    <t>「暴かれた医療ミス」航平は医者として、病院再建を手伝うことにし、新設した透析センタ―の担当になる。そこに村上という患者が訪れるが、移植が必要で、彼の息子は臓器提供を拒む。  さらに紗綾は衝撃の事実を航平に伝える・・・。竹野内豊　菅野美穂　緒川たまき　黒川智花　エド・はるみ　永田彬　橋本真実　田中実  志賀廣太郎　陣内孝則（特別出演）　岸部一徳    星村麻衣「ひかり」（SMEレコ―ズ）八津弘幸  篠崎絵里子  川嶋龍太郎伊與田英徳  正木敦TBSテレビ  http://www.tbs.co.jp/Tomorrow2008/</t>
  </si>
  <si>
    <t>「加害者と被害者」自分が死なせたのが愛子の母親だと知った航平は、病院を辞めるべきか悩む。  紗綾は入院患者を強引に退院させ始める。退院した患者・のぶ子が行方不明になり、必死に探す航平と愛子。のぶ子はどこに！？竹野内豊　菅野美穂　緒川たまき　黒川智花　エド・はるみ　永田彬　橋本真実　田中実  志賀廣太郎　陣内孝則（特別出演）　岸部一徳  星村麻衣「ひかり」（SMEレコ―ズ）篠崎絵里子伊與田英徳  正木敦韓哲TBSテレビ  http://www.tbs.co.jp/Tomorrow2008/</t>
  </si>
  <si>
    <t>「涙の告白～笑顔」愛子の母を医療ミスで死なせたことを告白した航平は、病院を辞めるべきか悩んでいた。そこへ昔の同僚・安達がやってくる。  そんな時航平は蓮見の娘をかばい怪我してしまうが、安達はメスが握れない状態だった。竹野内豊　菅野美穂　緒川たまき　黒川智花　エド・はるみ　永田彬　橋本真実　田中実  志賀廣太郎　陣内孝則（特別出演）　岸部一徳  星村麻衣「ひかり」（SMEレコ―ズ）篠崎絵里子伊與田英徳  正木敦山室大輔TBSテレビ  http://www.tbs.co.jp/Tomorrow2008/</t>
  </si>
  <si>
    <t>「訴えられた病院」共に病院再建をすることに決めた愛子と航平。しかし妹・七海はその事実を受け入れられずにいた。  作家・二階堂志保に、薬の量を間違えて投与し、市民病院が訴えられることに。しかもその担当は愛子だった・・・。竹野内豊　菅野美穂　緒川たまき　黒川智花　エド・はるみ　永田彬　橋本真実　田中実  志賀廣太郎　陣内孝則（特別出演）　岸部一徳  星村麻衣「ひかり」（SMEレコ―ズ）八津弘幸  篠崎絵里子川嶋龍太郎伊與田英徳  正木敦TBSテレビ  http://www.tbs.co.jp/Tomorrow2008/</t>
  </si>
  <si>
    <t>見捨てられた患者竹野内豊　菅野美穂　緒川たまき　黒川智花　エド・はるみ　永田彬　橋本真実　田中実  志賀廣太郎　陣内孝則（特別出演）　岸部一徳  星村麻衣「ひかり」（SMEレコ―ズ）韓哲篠崎絵里子伊與田英徳  正木敦TBSテレビ  http://www.tbs.co.jp/Tomorrow2008/  それぞれのやり方で再建へ動き出した、航平と紗綾。しかし強行な紗綾のやり方に、スタッフは反発する。  そんな中、あやまって階段から落ちてしまう紗綾。だが、市民病院は彼女の受け入れを拒否する。</t>
  </si>
  <si>
    <t>「看護師長、倒れる」回復した紗綾は再建計画を断行する。看護師達の間には動揺が広がり、師長の和子は彼らを叱責する。しかし和子自身も病を抱え、手術するか悩んでいた。  病気を隠し働いていた和子だったが、ついに倒れてしまう！竹野内豊　菅野美穂　緒川たまき　黒川智花　エド・はるみ　永田彬　橋本真実　田中実  志賀廣太郎　陣内孝則（特別出演）　岸部一徳星村麻衣「ひかり」（SMEレコ―ズ）篠崎絵里子  八津弘幸山室大輔伊與田英徳  正木敦TBSテレビ  http://www.tbs.co.jp/Tomorrow2008/</t>
  </si>
  <si>
    <t>「妻の死と病院閉鎖」開業医をしている仙道の妻・昌江が倒れ、植物状態になってしまう。仙道はこのまま彼女を生かし続けるべきか苦悩する。  そんなある日、蓮見が全面的に病院を閉鎖すると発表し、スタッフたちは衝撃を受ける。竹野内豊　菅野美穂　緒川たまき　黒川智花　エド・はるみ　永田彬　橋本真実　田中実  志賀廣太郎　陣内孝則（特別出演）　岸部一徳  星村麻衣「ひかり」（SMEレコ―ズ）篠崎絵里子川嶋龍太郎伊與田英徳  正木敦TBSテレビ  http://www.tbs.co.jp/Tomorrow2008/</t>
  </si>
  <si>
    <t>「死ぬな！病院…!!」  病院閉鎖が決定し、スタッフはそれぞれの道へ進むが、航平と愛子は再建を諦めない。  そんな中、愛子は閉鎖反対の署名活動中に事故に遭い、重体になってしまう・・・。  愛子の命は！？そして市民病院の運命は！？竹野内豊　菅野美穂　緒川たまき　黒川智花　エド・はるみ　永田彬　橋本真実　田中実  志賀廣太郎　陣内孝則（特別出演）　岸部一徳  星村麻衣「ひかり」（SMEレコ―ズ）篠崎絵里子山室大輔伊與田英徳  正木敦TBSテレビ  http://www.tbs.co.jp/Tomorrow2008/</t>
  </si>
  <si>
    <t>0804_TBS_金22</t>
  </si>
  <si>
    <t>Around40</t>
  </si>
  <si>
    <t>番組名金曜ドラマ「Around40～注文の多いオンナたち～」</t>
  </si>
  <si>
    <t>かわいそうなの私!?注文の多いオンナ達  聡子（天海祐希）は39歳独身精神科医。雑誌編集者の奈央（大塚寧々）や洋食屋経営のマ―君（筒井道隆）ら、独身仲間と楽しく「おひとりさま」ライフを謳歌しているが、同窓会でかつての親友で主婦の瑞恵（松下由樹）に久しぶりに会い、出産年齢の限界、つまり「女のタイムリミット」を説かれ動揺する。そんな折仕事で失敗したという奈央を慰めに行った温泉旅館で「ケチじゃなくてエコ」と説教する不思議な男（藤木直人）と出会い・・・天海祐希　藤木直人　大塚寧々　筒井道隆　松下由樹　／　AKIRA（EXILE）　さくら　松尾貴史　松本若菜　大場久美子　吉瀬美智子　片桐はいり　丸山智己　神保悟志　／　加賀まりこ　林隆三　(他)竹内まりや「幸せのものさし」（ワ―ナ―ミュ―ジック）橋部敦子瀬戸口克陽　高成麻畝子  TBSテレビ  http://www.tbs.co.jp/around40</t>
  </si>
  <si>
    <t>「39歳のプライドと偏見」聡子（天海祐希）の働く職場に、臨床心理士の恵太朗（藤木直人）がやってきた。が、次第にその変人ぶりが明らかになり周囲を驚かせる。しかもある患者の治療方針をめぐり聡子と恵太朗は対立し…。プライドを捨てて結婚相談所に入った聡子だったが、紹介される男性は聡子のプライドを満足させるものではなく…。そんな折、奈央（大塚寧々）に紹介された男性、大島（寺脇康文）に会う。大島は結婚相手として理想的な男性だったが…。天海祐希　藤木直人　大塚寧々　筒井道隆　松下由樹　  大場久美子　吉瀬美智子　松本若菜　片桐はいり　寺脇康文　  松尾貴史　丸山智己　神保悟志　林隆三　加賀まりこ  竹内まりや「幸せのものさし」（ワ―ナ―ミュ―ジック）橋部敦子瀬戸口克陽　高成麻畝子TBSテレビ  http://www.tbs.co.jp/around40</t>
  </si>
  <si>
    <t>「思い込み女vs非常識男」  聡子（天海祐希）の働く職場に臨床心理士の恵太朗（藤木直人）がやってきた。が、次第にその変人ぶりが明らかになり周囲を驚かせる。しかもある患者の治療方針をめぐり聡子と恵太朗は対立し…。プライドを捨てて結婚相談所に入った聡子だったが、紹介される男性は聡子のプライドを満足させるものではなく…。そんな折、奈央（大塚寧々）に紹介された男性、大島（寺脇康文）に会う。大島は結婚相手として理想的な男性だったが…天海祐希　藤木直人　大塚寧々　筒井道隆　松下由樹  大場久美子　吉瀬美智子　松本若菜　片桐はいり　寺脇康文　  松尾貴史　丸山智己　神保悟志　林隆三　加賀まりこ  竹内まりや「幸せのものさし」（ワ―ナ―ミュ―ジック）橋部敦子瀬戸口克陽　高成麻畝子TBSテレビ  http://www.tbs.co.jp/around40</t>
  </si>
  <si>
    <t>「気の合う男vs昔の男」天海祐希　藤木直人　大塚寧々　筒井道隆　松下由樹　(他)竹内まりや「幸せのものさし」（ワ―ナ―ミュ―ジック）橋部敦子瀬戸口克陽　高成麻畝子  TBSテレビ  http://www.tbs.co.jp/around40</t>
  </si>
  <si>
    <t>「39歳、人生最後の恋」和哉（加藤雅也）にプロポ―ズされた聡子（天海祐希）は嬉しさを隠せない。奈央（大塚寧々）は新雑誌の編集長を任され、瑞江（松下由樹）は家族の反対を押し切って働きに出ると宣言した。動きだしたアラフォ―達だが…そんな折、貞夫の店を訪れた和哉は突然倒れてしまうのだった。恵太朗（藤木直人）は、聡子に内緒で和哉のカウンセリングを始める。やがて、衝撃的な過去が明かされるのだが…果たして、聡子は！天海祐希　藤木直人　大塚寧々　筒井道隆　松下由樹　(他)竹内まりや「幸せのものさし」（ワ―ナ―ミュ―ジック）橋部敦子瀬戸口克陽　高成麻畝子吉田　健TBSテレビ  http://www.tbs.co.jp/around40</t>
  </si>
  <si>
    <t>「格差恋愛の建前と本音」距離が近づく聡子（天海祐希）と恵太朗（藤木直人）だが、付き合うと公言も出来ず、年の差や医師と心理士という立場や経済力から気疲れして互いにギクシャクし始める…そんななか経済界の大物の子息を内々に精神科でカウンセリングしてほしいと依頼される。医師でない恵太朗に担当は無理だと断られるが聡子は…一方、奈央（大塚寧々）は子作りに夫の協力を得られず、仕事がうまく行かぬ瑞江（松下由樹）は恵太朗を頼ろうとするが…天海祐希　藤木直人　大塚寧々　筒井道隆　松下由樹　(他)竹内まりや「幸せのものさし」（ワ―ナ―ミュ―ジック）橋部敦子瀬戸口克陽　高成麻畝子  川嶋龍太郎TBSテレビ  http://www.tbs.co.jp/around40</t>
  </si>
  <si>
    <t>4人目のアラフォ―!?    晴れて互いの想いを確かめた聡子（天海祐希）と恵太朗（藤木直人）だったが、恵太朗に「結婚して」と迫る怪しい女（片桐はいり）が現れる。一方、聡子は二人の付き合いを皆に発表しようと貞夫（筒井道隆）の店に奈央（大塚寧々）と瑞江（松下由樹）を呼ぶ。しかし瑞江の恵太朗への想いは止まる処を知らず…さらに恵太朗を追って女もやってくる！しかもその場で恵太朗は「誰とも結婚しない」宣言をするのだった。果たして聡子は…天海祐希　藤木直人　大塚寧々　筒井道隆　松下由樹　(他)竹内まりや「幸せのものさし」（ワ―ナ―ミュ―ジック）橋部敦子瀬戸口克陽　高成麻畝子坪井敏雄TBSテレビ  http://www.tbs.co.jp/around40</t>
  </si>
  <si>
    <t>「彼が結婚しない理由」一夜を共にした聡子（天海祐希）と恵太朗（藤木直人）。そこに恵太朗の姉・和子（片桐はいり）が乗り込んできて思わぬ過去が明らかになる。聡子は恵太朗の心の傷を癒そうとある計画をたてるのだが…一方、仕事が順調になってきた瑞江（松下由樹）は逆に夫とうまく行かず、奈央（大塚寧々）も冷えた夫婦関係に苛立ちを隠せない。ついに、奈央を想う貞夫（筒井道隆）も高文（丸山智己）の会社に乗り込んでしまうのだった…。天海祐希　藤木直人　大塚寧々　筒井道隆　松下由樹　(他)竹内まりや「幸せのものさし」（ワ―ナ―ミュ―ジック）橋部敦子瀬戸口克陽　高成麻畝子吉田　健TBSテレビ  http://www.tbs.co.jp/around40</t>
  </si>
  <si>
    <t>「誕生日にプロポ―ズ!?」  聡子（天海祐希）の部屋に転がり込んできた  奈央（大塚寧々）と瑞恵（松下由樹）は夫への不満から離婚へのステップだと息巻いている。急な講演依頼で多忙な聡子は恵太朗（藤木直人）との約束を後回しにしてしまい「できない約束はしないでほしい」と怒りをあらわにされる…そんな時、瑞恵の息子・洋介（木村遼希）が救急車で運ばれてくる。自らガラスで怪我をしたというのだ。洋介の異変に気づいた聡子と恵太朗は…天海祐希　藤木直人　大塚寧々　筒井道隆　松下由樹　(他)竹内まりや「幸せのものさし」（ワ―ナ―ミュ―ジック）橋部敦子瀬戸口克陽　高成麻畝子坪井敏雄TBSテレビ  http://www.tbs.co.jp/around40</t>
  </si>
  <si>
    <t>「事実婚のウソと真実」聡子（天海祐希）の父・友康（林隆三）が意識不明で倒れて家族全員駆けつけるのだが、保険証から友康と晴子（加賀まりこ）は入籍していない事が判明する！奈央（大塚寧々）は高文（丸山智己）との離婚を夫婦で出席するパ―ティ―の席上でついに…！そして夫婦仲を修復した瑞江（松下由樹）と彰夫（神保悟志）だが、彰夫から「離婚してくれ」と逆の告白をされる！そして恵太朗（藤木直人）がついに求婚するのだが…天海祐希　藤木直人　大塚寧々　筒井道隆　松下由樹　(他)竹内まりや「幸せのものさし」（ワ―ナ―ミュ―ジック）橋部敦子瀬戸口克陽　高成麻畝子川嶋龍太郎TBSテレビ  http://www.tbs.co.jp/around40</t>
  </si>
  <si>
    <t>「40歳、幸せの決断」結婚を約束した聡子（天海祐希）と恵太朗（藤木直人）だが、二人が勤める病院が閉鎖になるという。患者やナ―ス達も不安を抱くなか、恵太朗に北海道の施設から二人で来てほしいとの依頼がくる。そんななか、聡子に病院再建の話が…離婚した奈央（大塚寧々）に妊娠発覚の大事件が！そして、瑞恵（松下由樹）に離婚を切り出した彰夫（神保悟志）は家をでたまま帰ってこなくなった…果たしそれぞれが選ぶ幸せのカタチとは！！天海祐希　藤木直人　大塚寧々　筒井道隆　松下由樹　(他)竹内まりや「幸せのものさし」（ワ―ナ―ミュ―ジック）橋部敦子瀬戸口克陽　高成麻畝子吉田　健TBSテレビ  http://www.tbs.co.jp/around40</t>
  </si>
  <si>
    <t>0804_TBS_土20</t>
  </si>
  <si>
    <t>ROOKIES</t>
  </si>
  <si>
    <t>番組名ROOKIES</t>
  </si>
  <si>
    <t>総売上げ1200万部!!伝説の名作ドラマ化!!新人教師と不良たちの熱き闘いが今始まる私立二子玉川学園に赴任した新人高校教師・川藤幸一。前任高である事件から辞職した過去を持つ彼は、決意も新たに再出発を目指すが、新任高の“ニコガク”では前年暴力事件を起こし、活動休止状態となった野球部の不良たちの存在が問題となっていた。彼らを更生させようと、川藤は夢の大切さを説き、活動再開を促すが、教師への不信感から頑なに反発する彼らと衝突を繰り返す。果たして彼らは再び夢を取り戻せるのか？佐藤隆太　市原隼人　小出恵介　城田優　中尾明慶　高岡蒼甫　桐谷健太　佐藤健　五十嵐隼士　川村陽介　尾上寛之　村川絵梨　浅野和之　石橋杏奈　高梨臨　川藤幸三　上地雄輔　天野ひろゆき　能世あんな　平山広行　やべきょうすけ　森山米次　升田尚宏（TBSアナウンサ―）　綾瀬はるか　森山未來　吹石一恵　伊武雅刀　(他)  【原作】森田まさのり（週刊少年ジャンプ・集英社刊）  【脚本】いずみ吉紘【企画】石丸彰彦  【演出】平川雄一朗津留正明TBSテレビhttp://www.tbs.co.jp/rookies08/</t>
  </si>
  <si>
    <t>「夢を、どこまでも信じる！」川藤 (佐藤隆太) が二子玉川学園高校へ着任すると、「みんなともう一度、野球がしたかった」という 御子柴 (小出恵介) の想いを叶えるために、野球部の監督を務めることに。安仁屋 (市原隼人) たち、野球部の不良グル―プは川藤に反発するが、「笑って高校を卒業したい」という 関川 (中尾明慶) は、御子柴とともに部活を再開する。  そんなある日、用賀第一高校から、練習試合の申し込みがあった。          練習試合は一ヵ月後。村山校長 (伊武雅刀)から試合ができなかったら辞表を出せと約束させられる。佐藤隆太　市原隼人　小出恵介　城田優　中尾明慶　高岡蒼甫　桐谷健太　佐藤健　五十嵐隼士　川村陽介　尾上寛之　浅野和之　天野ひろゆき　森山未來　吹石一恵　伊武雅刀　(他)    【原作】森田まさのり（週刊少年ジャンプ・集英社刊）  【脚本】いずみ吉紘【企画】石丸彰彦  【演出】平川雄一朗津留正明TBSテレビhttp://www.tbs.co.jp/rookies08/</t>
  </si>
  <si>
    <t>「守り抜きたいもの」川藤 (佐藤隆太) が野球部の監督になってから、御子柴 (小出恵介) と 関川 (中尾明慶) に続き、若菜 (高岡蒼甫) と 岡田 (佐藤健)、湯舟 (五十嵐隼士)、桧山 (川村陽介) らも部活に合流した。練習試合に向けて、メンバ―が集まりつつあった野球部だが、そんなとき事件が起こる。元野球部の 坪井 (松本寛也) らが何者かに襲われ、部室が荒らされたのだ。その事件は、野球部に恨みを持つ不良グル―プの仕業で、野球部が部活を再開したことで、安仁屋 (市原隼人) たち野球部が、今までのように暴力ができなくなると思い、報復を始めたのだ。犯人を捜す若菜たちは3年生の 国枝 (鈴之助) に詰め寄るが、そのとき川藤が止めに入る。「また後戻りしたいのか！」という川藤の言葉に、「舐められたまま野球なんかやってられるか！」と言い残して…  佐藤隆太　市原隼人　小出恵介　城田優　中尾明慶　高岡蒼甫　桐谷健太　佐藤健　五十嵐隼士　川村陽介　尾上寛之　浅野和之　天野ひろゆき　吹石一恵　伊武雅刀　(他)    【原作】森田まさのり（週刊少年ジャンプ・集英社刊）  【脚本】いずみ吉紘【企画】石丸彰彦  【演出】平川雄一朗津留正明TBSテレビhttp://www.tbs.co.jp/rookies08/</t>
  </si>
  <si>
    <t>用賀第一高校との練習試合まで、あと残すところ一週間というとき、ついに 安仁屋 (市原隼人) もニコガク野球部へと合流。グラウンドで誰がピッチャ―になるかでもめていたニコガクナインを見て、笑顔をこぼす 川藤 (佐藤隆太) だった。その言い争いの中、「誰かキャッチャ―をやれ」と、安仁屋がピッチャ―へ名乗りを上げる。それを受けて「納得できるような球を投げられなかったら、俺たちに女を紹介しろ」と 若菜 (高岡蒼甫) がキャッチャ―を買って出た。一方、野球部のメンバ―とケンカ別れの状態となってしまった 新庄 (城田優) が、チンピラ風の連中に因縁をつけられてボコボコに殴られていた。と、ちょうどその時、川藤がそばを通りかかり、倒れている新庄を発見。「もう許してやってくれ」と、ケンカを止めに入るが…。  佐藤隆太　市原隼人　小出恵介　城田優　中尾明慶　高岡蒼甫　桐谷健太　佐藤健　五十嵐隼士　川村陽介　尾上寛之　浅野和之　天野ひろゆき　吹石一恵　伊武雅刀　(他)    【原作】森田まさのり（週刊少年ジャンプ・集英社刊）  【脚本】いずみ吉紘【企画】石丸彰彦  【演出】平川雄一朗津留正明TBSテレビhttp://www.tbs.co.jp/rookies08/</t>
  </si>
  <si>
    <t>負けたら解散…その時、最後の男！ついに練習試合の日がやってきた。川藤 (佐藤隆太) は「自信を持って戦ってくれ！」と部室で檄を飛ばし、ニコガクナインをグラウンドへと送り出す。感慨深げにグラウンドを見つめる、安仁屋 (市原隼人) たちニコガクナイン。その後、川藤は校長室で用賀第一高校の野球部副顧問をしている 国松 (田口浩正) と、あいさつを交わしていた。  「試合を中止するなら今のうちだ」と 村山校長 (伊武雅刀) は忠告するが、「あいつらの本当の姿をお見せします」と川藤は自信に満ちていた。プレイボ―ルのコ―ルで、ピッチャ―マウンドに立つ安仁屋が、大きく振りかぶって第1球を投げた。空を切り伸びる剛速球！初回からフルパワ―で飛ばす安仁屋は、三者連続で三振を取る。ベンチへ戻ってくる安仁屋はみんなと離れて一人ベンチに座る…。      佐藤隆太　市原隼人　小出恵介　城田優　中尾明慶　高岡蒼甫　桐谷健太　佐藤健　五十嵐隼士　川村陽介　尾上寛之　浅野和之　天野ひろゆき　吹石一恵　伊武雅刀　(他)    【原作】森田まさのり（週刊少年ジャンプ・集英社刊）  【脚本】いずみ吉紘【企画】石丸彰彦  【演出】平川雄一朗津留正明TBSテレビhttp://www.tbs.co.jp/rookies08/</t>
  </si>
  <si>
    <t>「今夜第2章スタ―ト　奇跡の初勝利なるか!?そして涙の別離が…」用賀第一高校との練習試合も9回裏を迎え、1点差を追うニコガクの攻撃。関川 (中尾明慶) を一塁において2アウトの状況でバッタ―は 若菜 (高岡蒼甫) だったが、若菜は 安仁屋 (市原隼人) の剛速球を受けすぎて左手の感覚がなくなり、バットが握れない… そんなとき、ユニフォ―ムを着た新庄 (城田優) がグラウンドに現れた！握り締めた拳を川藤に開いて見せた新庄が、ニコガクナインの想いを背負ってバッタ―ボックスに立つ。静かに闘志を燃やしバットを構える新庄。ピッチャ―が投げた3球目、新庄が渾身の力を込めてスイングすると、快音とともにボ―ルがライト方向へとはじけ飛んだ。果たして新庄は期待に応えることができるのか !?    佐藤隆太　市原隼人　小出恵介　城田優　中尾明慶　高岡蒼甫　桐谷健太　佐藤健　五十嵐隼士　川村陽介　尾上寛之　浅野和之　天野ひろゆき　吹石一恵　伊武雅刀　(他)    【原作】森田まさのり（週刊少年ジャンプ・集英社刊）  【脚本】いずみ吉紘【企画】石丸彰彦  【演出】平川雄一朗津留正明TBSテレビhttp://www.tbs.co.jp/rookies08/</t>
  </si>
  <si>
    <t>「許されざる敗北」一人、バッティングセンタ―で練習をしていた 桧山 (川村陽介) が、不良高校生に因縁をつけられた。暴行事件を起こすと甲子園への道が閉ざされてしまうと、桧山は握り締めた拳を納めグッとこらえたが、不良たちは容赦なく桧山に暴行を加える。そのとき、元ニコガク野球部で暴行事件を起こして退学した江夏 (上地雄輔) が現れた。江夏は桧山の携帯を使って 安仁屋 (市原隼人) を呼び出す。安仁屋たちニコガクナインは、ボロボロになった桧山の姿を見て愕然とする。そんな安仁屋たちに向かって、ニコガク野球部を侮辱する言葉を吐く江夏。グッとこらえていた安仁屋だが、ガマンも限界に達しぶち切れ、江夏に殴りかかろうとする。そのとき、「手を出すんじゃねぇ！」と、桧山が安仁屋を制止した。御子柴 (小出恵介) から連絡をもらっていた川藤 (佐藤隆太) が駆け、野球の試合でケリをつけようと提案する。佐藤隆太　市原隼人　小出恵介　城田優　中尾明慶　高岡蒼甫　桐谷健太　佐藤健　五十嵐隼士　川村陽介　尾上寛之　浅野和之　天野ひろゆき　吹石一恵　(他)    【原作】森田まさのり（週刊少年ジャンプ・集英社刊）  【脚本】いずみ吉紘【企画】石丸彰彦  【演出】平川雄一朗津留正明TBSテレビhttp://www.tbs.co.jp/rookies08/</t>
  </si>
  <si>
    <t>「はるかなる夢…明日への勝利」ついに始まった目黒川高校との練習試合。1回表、先攻のニコガクはノ―アウト満塁で安仁屋 (市原隼人) が打席に立つが、江夏 (上地雄輔) は三球三振で安仁屋を仕留める。江夏の力を目の当たりにしたニコガクナインは意気消沈するが、川藤 (佐藤隆太) の笑顔と安仁屋のゲキで戦う気力を取り戻すと、それぞれのポジションに散っていく。試合の行方を見守る川藤は、「目黒川高校はニコガク野球部の亡霊…」だと…。「最初はカ―ブでいくぞ」と、マウンドの安仁屋にサインを出す 若菜 (高岡蒼甫) だったが、安仁屋はランナ―に目もくれず大きく振りかぶると、渾身の力を込めてストレ―トを江夏に投げた。それをフルスイングで打ち返す江夏だが、打球はファ―ルに。サインを無視した投球に怒る若菜たちニコガクナインだが、安仁屋は第2球目も大きく振りかぶりストレ―トを投げた！それを見た川藤がタイムを取ると…。佐藤隆太　市原隼人　小出恵介　城田優　中尾明慶　高岡蒼甫　桐谷健太　佐藤健　五十嵐隼士　川村陽介　尾上寛之　浅野和之　天野ひろゆき　吹石一恵　大杉漣　(他)    【原作】森田まさのり（週刊少年ジャンプ・集英社刊）  【脚本】いずみ吉紘【企画】石丸彰彦  【演出】平川雄一朗津留正明TBSテレビ  http://www.tbs.co.jp/rookies08/</t>
  </si>
  <si>
    <t>0804_TBS_日21</t>
  </si>
  <si>
    <t>猟奇的な彼女</t>
  </si>
  <si>
    <t>番組名日曜劇場「猟奇的な彼女」</t>
  </si>
  <si>
    <t>「史上最凶の純愛」大学の海洋生物学科講師の眞崎三朗は、ごく普通の男。恋人にフラれた帰り道、駅のホ―ムでよろめく女性・たか見凛子の姿を目にする。今にも線路に落ちそうな彼女を咄嗟に引き寄せる三朗。しかし、この小さな親切が仇となる。彼女はキュ―トでかわいらしい外見とは裏腹に、生意気で恐ろしく凶暴。そんな彼女の口癖は「ぶっ殺す！」。凛子との出会いで三朗の人生が一変する…。草彅剛　田中麗奈　松嶋奈緒　鈴木えみ　松嶋尚美　市毛良枝　谷原章介　上川隆也　山田親太朗　大石参月　脚本：坂元裕二演出：土井裕泰伊與田英徳TBSテレビ</t>
  </si>
  <si>
    <t>「恋は、タイミング」凛子とホテルから出てきたところを南に見られてしまった三朗。さらに凛子が三朗の隣の部屋に引っ越してくる。南が三朗の家を訪れるタイミングに、何かとちょっかいを出してくる凛子。そのたびに南に誤り、次なるチャンスを作る三朗。そんな時、三朗は南の誤解を解くため、凛子に一目惚れした健作とダブルデ―トに繰り出す。草彅剛　田中麗奈　松下奈緒　鈴木えみ　松嶋尚美　市毛良枝　谷原章介　上川隆也　山田親太朗　大石参月　脚本：坂元裕二演出：土井裕泰伊與田英徳TBSテレビ</t>
  </si>
  <si>
    <t>「帰る場所はどこ？」ついに三朗は「アパ―トから出ていって欲しい」と凛子に告げる。反発する凛子だが、三朗の決定的な一言で「出て行けばいいんでしょ！」と荷物を持って出て行ってしまう。しかしその後、凛子が隣の部屋に引っ越してきた理由を知った三朗は複雑な気持ちになり…。草彅剛　田中麗奈　松下奈緒　鈴木えみ　松嶋尚美　市毛良枝　谷原章介　上川隆也　山田親太朗　大石参月　脚本：坂元裕二演出：山室大輔伊與田英徳TBSテレビ</t>
  </si>
  <si>
    <t>三朗と凛子の”彼”探す旅が始まる。知人や友人などを訪ね歩く二人だが、なかなか有力な手がかりにまで辿り着かない。そんな中、凛子が”彼”の実家がある場所を思い出したことから急展開する。なぜ”彼”は凛子の前から姿を消したのか。驚愕の事実が明らかになる。草彅剛　田中麗奈　松下奈緒　鈴木えみ　松嶋尚美　市毛良枝　谷原章介　上川隆也　山田親太朗　大石参月　佐々木蔵之介　貫地谷しほり　市川染五郎脚本：坂元裕二演出：川嶋龍太郎伊與田英徳TBSテレビ</t>
  </si>
  <si>
    <t>「命をかけた恋」三朗は、野々村が凛子の前から姿を消した理由を知ってしまう。凛子も知らない事実に戸惑う三朗。凛子は三朗に心の奥に留めていた野々村との思い出を打ち明けるようになる。強がる凛子の言葉とは裏腹な気持ちを察した三朗は、凛子に本当のことを伝えるべきか葛藤する。三朗が凛子のためにしてあげられることはあるのか？草彅剛　田中麗奈　松下奈緒　鈴木えみ　松嶋尚美　谷原章介　上川隆也　山田親太朗　佐々木蔵之介　貫地谷しほり　市川染五郎　脚本：坂元裕二演出：土井裕泰伊與田英徳TBSテレビ</t>
  </si>
  <si>
    <t>「未来への贈り物」野々村に再会することが出来なかった凛子は部屋に閉じこもってしまう。すべてを凛子に話したことを後悔する三朗は、凛子にどう声を掛けていいのかわからないでいた。そんな三朗に気付いた凛子が三朗をデ―トに誘う。いつもと変わらない凛子の様子に、三朗はホッとするが、翌日、五月から凛子がいなくなったこと告げられる。そんなある日、三朗は雪乃が残しておいたという無数の紙片の山を手渡される。そこにはあるメッセ―ジが。草彅剛　田中麗奈　松下奈緒　鈴木えみ　松嶋尚美　市毛良枝　谷原章介　上川隆也　山田親太朗　大石参月　貫地谷しほり　　脚本：坂元裕二演出：山室大輔伊與田英徳TBSテレビ</t>
  </si>
  <si>
    <t>「愛の旋律～君は宝もの」凛子に告白をした三朗。しかし、久しぶりにアパ―トへ戻ってきた凛子は三朗のことなどほったらかし全く相手にしようとしなかった。しかも、そんな凛子に腹を立てる三朗に「ピアノを弾けるようになって」と言う。一切ピアノを弾けない三朗は、南に協力してもらい練習をする。しかし三朗の努力は、ある出来事がきっかけで台無しにされそうになる。果たして凛子の要求に三朗は応えることができるのか・・・草彅剛　田中麗奈　松下奈緒　鈴木えみ　松嶋尚美　市毛良枝　谷原章介　上川隆也　山田親太朗　大石参月　大東俊介　脚本：坂元裕二演出：土井裕泰伊與田英徳TBSテレビ</t>
  </si>
  <si>
    <t>「予想外のライバル」ある日突然、「私、結婚する！」と言い出す凛子。というのも、凛子の父・誠司が勝手にすすめている縁談を断れないといのだ。三朗は「彼氏なんだから断って」と凛子に言われ、何とか話を無かったことにしてもらおうと誠司に話を切り出そうとするが出来ない。そんな三朗に誠司が婚約者・祖父江の写真を見せる。イケメン！しかも金持ち！勝ち目は無いと意気消沈する三朗。誠司に認めてもらうには・・・草彅剛　田中麗奈　松下奈緒　鈴木えみ　松嶋尚美　市毛良枝　谷原章介　上川隆也　山田親太朗　大石参月　脚本：坂元裕二演出：川嶋龍太郎伊與田英徳TBSテレビ</t>
  </si>
  <si>
    <t>「言えない気持ち」ようやく凛子との交際を認めてもらった三朗。ホッとしたのも束の間、凛子が祖父江と結婚すると言い出す。全く理解出来ないでいる三朗に「祖父江に一目惚れしてしまったからしょうがない」という凛子。実は、凛子は誠司が作った借金を祖父江に肩代わりしてもらうために結婚することを三朗に言えないでいた。草彅剛　田中麗奈　松下奈緒　鈴木えみ　松嶋尚美　市毛良枝　谷原章介　上川隆也　山田親太朗　大石参月　脚本：坂元裕二演出：山室大輔伊與田英徳TBSテレビ</t>
  </si>
  <si>
    <t>「届かぬ想い」南が何者かに襲われ、後遺症が残る可能性がある程のケガを負ってしまう。南の体が元に戻るにはリハビリを1年やらなければならないという検査結果を聞き、三朗は愕然とする。同じくして、凛子は出版社から、1年かけてアフリカ全土を旅してその様子をルポしないか、という誘いを受けていた。嬉しい話だが、1年という期間に複雑な気持ちになる。南を心配する三朗、ルポライタ―として夢を追うべきか悩む凛子。草彅剛　田中麗奈　松下奈緒　鈴木えみ　松嶋尚美　市毛良枝　谷原章介　上川隆也　山田親太朗　大石参月　脚本：坂元裕二演出：土井裕泰伊與田英徳TBSテレビ</t>
  </si>
  <si>
    <t>「涙の最終回～運命の告白」一年後、約束した場所で凛子を待つ三朗。しかし、そこに凛子が現れることはなかった。  三朗が大学へ行くと、夏目から”凛子と結婚する”ことを聞かされる。あまりにも突然のことに落ち込む三朗。そして結婚式当日。久々に再会した凛子はウエディング姿だった！  三朗と凛子の運命はいったい・・・！？草彅剛　田中麗奈　松下奈緒　鈴木えみ　山田親太朗　大石参月　市毛良枝　谷原章介　上川隆也　蟹江敬三　谷啓　香里奈　(他)  脚本：坂元裕二演出：土井裕泰伊與田英徳TBSテレビ</t>
  </si>
  <si>
    <t>0801_TBS_木21</t>
  </si>
  <si>
    <t>3年B組金八先生</t>
  </si>
  <si>
    <t>番組名3年B組金八先生</t>
  </si>
  <si>
    <t>やっと見つけた私の居場所  高校受験も大詰め、合否を待つ金八（武田鉄矢）のもとに3Bの面々が報告にやってくる。そして、二名を除き進路が決定するのだが、そのうちの一人美香（草刈麻有）は未だ父の文郎（宅麻伸）の理解を得られず、金八の家を訪ねた…3Bにようやく自分の居場所を見つけ、皆と卒業したいと泣き出す美香に金八は文郎を説得することを約束し、帰宅を促すが美香は家に帰りたくないと言い出した…そして、金八に…！武田鉄矢　星野真理　藤澤恵麻　浅野和之　金田明夫　森田順平　高畑敦子(他)城乃内ミサ「いつか見た青い空」海援隊　　　　　　　　作詞・武田鉄矢　作曲・千葉和臣小山内美江子清水有生大岡　進今井夏木  柳井満TBSテレビ</t>
  </si>
  <si>
    <t>裏サイトの暴力金八を窮地に金八（武田鉄矢）が美香（草刈麻有）を自宅に泊めたことが、裏サイトからマスコミに知れ事態は最悪に。校長（浅野和之）は卒業を目前にして金八を3Bの担任から外してしまう！裏サイトを運営していた祐樹（植草裕太）が情報源かも知れないと知り金八は愕然となる…議員でもある美香の父（宅麻伸）がマスコミへの記事を押さえたが、金八は3Bのみんなに担任を外れることを報告した…武田鉄矢　星野真理　藤澤恵麻　浅野和之　金田明夫　森田順平　高畑敦子(他)小山内美江子清水有生城乃内ミサ「いつか見た青い空」海援隊　　　　　　　　作詞・武田鉄矢　作曲・千葉和臣今井夏木  柳井満生野慈朗TBSテレビ</t>
  </si>
  <si>
    <t>卒業式前夜3B全員体育館に立てこもり担任を外された金八（武田鉄矢）だが、美香（草刈麻有）とニコラス（岩方時郎）の二次試験の合格発表を前日に3Bで最後の国語の授業を行う。しかし、醜聞から騒ぎが大きくならないよう卒業式の列席を見合すように校長（浅野和之）から言い渡される。金八が卒業式に出ないことを知った3Bは、卒業式前日に、ついに体育館に立てこもりを決行した！！果たして、金八は…武田鉄矢　星野真理　藤澤恵麻　浅野和之　金田明夫　森田順平　高畑敦子(他)小山内美江子清水有生城乃内ミサ「いつか見た青い空」海援隊　　　　　　　　作詞・武田鉄矢　作曲・千葉和臣加藤　新今井夏木  柳井満TBSテレビ</t>
  </si>
  <si>
    <t>サヨナラ金八先生  担任を金八（武田鉄矢）に戻して卒業式を迎えたいとの要求をもって体育館にたてこもった3Bだが、自ら担任を放棄しないと宣言した金八を迎い入れた。議員の力で金八はずしに圧力をかけた美香の父・文雄（宅麻伸）を呼び、美香（草刈麻有）が直接話すのだが…聞き入れない文雄や校長たちを前に金八は熱く美香と3Bの友達のことを訴えるのだった…　果たして、無事卒業式を迎えらるのか！  そして、涙の贈る言葉…武田鉄矢　星野真理　藤澤恵麻　浅野和之　金田明夫　森田順平　高畑敦子(他)小山内美江子清水有生城乃内ミサ「いつか見た青い空」海援隊　　　　　　　　作詞・武田鉄矢　作曲・千葉和臣今井夏木　今井夏木  柳井満TBSテレビ</t>
  </si>
  <si>
    <t>0801_TBS_木22</t>
  </si>
  <si>
    <t>だいすき!!</t>
  </si>
  <si>
    <t>番組名だいすき!!</t>
  </si>
  <si>
    <t>だいすき!!◇卒園式の演奏会でひまわり（佐々木麻緒）は小太鼓を担当することになった。そんなある日、保育園で友達の父親に遊んでもらったことがきっかけで、帰宅後ひまわりは柚子（香里奈）に父親に会いたいと詰め寄る。美代子（岸本加世子）が父親が亡くなったことをいくら説明しても、ひまわりにはそれが理解できない。翌日からひまわりは保育園に行かなくなってしまう。柚子から事情を聴いた笹岡（田中幸太朗）は、墓参りに行ったことがあるのか尋ねる。柚子はひまわりを喜ばせようと墓参りに行くことを決めるが、肝心の墓の場所を教えてもらえない。一方、蓮（平岡祐太）に淡い恋心を抱く琴音（福田沙紀）は、蓮の会社の近くのパチンコ店で住み込みで働いていた。そんな中、琴音が行きつけの喫茶店でもめ事を起こし、警察から美代子に知らせが入る。</t>
  </si>
  <si>
    <t>0801_TBS_金22</t>
  </si>
  <si>
    <t>エジソンの母</t>
  </si>
  <si>
    <t>番組名エジソンの母「1＋1＝2じゃない！学校中がグルグル回る」</t>
  </si>
  <si>
    <t>小学校の女性教師が、問題児とされる好奇心旺盛な児童に振り回されながらも、その才能に気付き、周囲と格闘する姿を描く。原案・山口雅俊、脚本・大森美香、演出・武藤淳ほか。　小学校教師・鮎川規子(伊東美咲)は、婚約者の大学准教授・美浦(谷原章介)から別れを切り出された。規子が落ち込む中、彼女のクラスに転校生の賢人(清水優哉)がやって来る。賢人は前の学校では、問題児として扱われていたらしい。好奇心旺盛な賢人は、算数の授業で「なぜ1＋1は2なの」と言いだし、児童たちは大騒ぎに。翌日も学校で問題を起こしたため、学年主任の加賀見(松下由樹)が激怒。加賀見は規子に、賢人の母・あおい(坂井真紀)を呼び出して話をするよう命じる。</t>
  </si>
  <si>
    <t>番組名エジソンの母「絶対ダメ！空をとぶ実験」</t>
  </si>
  <si>
    <t>規子(伊東美咲)は、変わり者の転校生・賢人(清水優哉)に振り回されっ放し。賢人は、空を飛ぶことに興味を持っていた。ガスを吸ったら気球のように飛べるのではないかと考えた賢人は、友達と一緒に試そうとする。保護者たちから抗議を受けた学年主任の加賀見(松下由樹)は、賢人を転校させるよう岩井校長(田中要次)に迫る。そんな折、規子は路上で、賢人とその母・あおい(坂井真紀)、美浦(谷原章介)の三人が話をしている場面に出くわす。</t>
  </si>
  <si>
    <t>番組名エジソンの母「狼と元カレ乱入！授業参観成立せず」</t>
  </si>
  <si>
    <t>規子(伊東美咲)は久保(細田よしひこ)と一緒に参加した研修で、他校の教師・佐々木(安田顕)と教育問題について語り合い、親しくなる。授業参観の日、規子は美月(杉田かおる)ら保護者たちの前で、道徳の授業を行う。規子は、意地悪なオオカミが心を入れ替えて小さい者に優しくするという話を題材に、子供たちに”思いやり”を教えようとする。ところが、自然の摂理に興味を抱く賢人(清水優哉)が、規子の狙いに反して「オオカミはウサギを食べる」と言いだす。一方、あおい(坂井真紀)は、なかなか仕事を切り上げられず、授業参観に間に合いそうもなかった。</t>
  </si>
  <si>
    <t>番組名エジソンの母「どうしてウチは貧乏？年収より大切なものを子供たちが学ぶ」</t>
  </si>
  <si>
    <t>賢人(清水優哉)が授業参観を混乱させたことが、職員会議で問題になった。加賀見(松下由樹)は、賢人を転校させるよう主張。賢人のことで悩む規子(伊東美咲)だが、賢人の母・あおい(坂井真紀)に転校を勧めることをためらう。そんな折、規子は生徒たちを鉛筆工場へ社会科見学に連れていく。製造工程を見学した後、賢人は質問を連発。話はあらぬ方向に進み、なぜ世の中には金持ちと貧乏な人がいるのかという話題に。日ごろから生徒たちに”人間は平等”だと教えている加賀見と規子は、言葉に詰まってしまう。</t>
  </si>
  <si>
    <t>番組名エジソンの母「子供の絵を良い絵と悪い絵に分けるフシギ先生」</t>
  </si>
  <si>
    <t>規子(伊東美咲)は、児童たちに「楽しかったこと」をテーマに絵を描かせた。美術評論家・松平(片桐はいり)に、その絵を見ながら授業をしてもらうことに。松平は”いい絵”と”悪い絵”に分けて、子供たちの絵を批評し始める。そこで、賢人(清水優哉)が「どうして、いい絵と悪い絵があるの」と疑問を投げ掛ける。松平の授業は波紋を呼び、美月(杉田かおる)ら保護者たちは抗議のため、学校に押し掛ける。</t>
  </si>
  <si>
    <t>番組名エジソンの母「地球が滅亡するので宿題できませーん」</t>
  </si>
  <si>
    <t>規子(伊東美咲)は、教師を辞めることを考え始めていた。賢人(清水優哉)が巻き起こす騒動や美月(杉田かおる)ら保護者たちからの苦情に加え、不運な出来事が起こったことにより、すっかり自信をなくしてしまったのだ。一方、賢人は約五十億年後に太陽の寿命が尽き、地球も滅亡するという説を知る。賢人は、クラスメートたちと一緒に”地球を救う方法”を必死に考える。</t>
  </si>
  <si>
    <t>番組名エジソンの母</t>
  </si>
  <si>
    <t>エジソンの母◇規子（伊東美咲）の小学校の学習発表会で、規子のクラスの児童たちは「赤ずきんちゃん」の劇をやりたがる。しかし、以前保護者から内容が残酷過ぎるとクレームがあったため規子はためらっていた。ところが児童たちは自分たちで”残酷でない”赤ずきんちゃんの話を考え、規子に見せる。教育委員会の織田（森口瑤子）から賢人（清水優哉）についての苦情の数が多いことを聞いた規子と加賀見（松下由樹）は、あおい（坂井真紀）を学校に呼び再度話し合いを試みる。あおいは先生やクラスメートとずっと一緒にいたいのなら、みんなのことを大事にするよう賢人を諭す。</t>
  </si>
  <si>
    <t>番組名金曜ドラマ「エジソンの母」</t>
  </si>
  <si>
    <t>体育の授業でなわとびがうまく飛べない賢人（清水優哉）。担任の規子（伊東美咲）は指導にはげむ。 なわとびの練習をする賢人に、学年主任・加賀見（松下由樹）の夫、天才数学者・加賀見博（大杉漣）が接近。一緒に飛ぶ。 静電気に興味を持った賢人は教室でまた波乱。教育委員会の実力者・織田（森口瑤子）があおい（坂井真紀）に接近し……。 賢人に恨みつのる美月（杉田かおる）がついに暴走。   伊東美咲　坂井真紀　谷原章介　細田よしひこ　安田　顕　田中要次　梅垣義明　モロ師岡　森口瑤子　大杉漣　杉田かおる　松下由樹番組の最後に主題化CDプレゼントの告知があります！！「愛をこめて花束を」Superfly（ワ—ナ—ミュ—ジック・ジャパン）原案：山口雅俊脚本：大森美香演出：波多野貴文加藤章一ドリマックス・テレビジョン  TBS  http://www.tbs.co.jp/edison-mama/</t>
  </si>
  <si>
    <t>歯にも格差がある！ポ—クカレ—もね学校に歯磨き指導の先生がやってきた。賢人（清水優哉）たち1年2組の皆は正しい歯磨きの仕方を教わるが……。 生活科の授業で保護者たちを交えた『カレ—パ—ティ—』が開催されることに。だが、出来上がったカレ—に美月（杉田かおる）の怒り爆発!!　規子（伊東美咲）、加賀見（松下由樹）と美月の対決は決定的となる。 男の子たちが秘密基地でタイムマシ—ンに夢中のなか、美月は賢人追放の署名活動に夢中……。伊東美咲  坂井真紀  谷原章介  細田よしひこ  安田　顕  田中要次  篠原麻衣  モロ師岡  森口瑤子  杉田かおる  松下由樹「愛をこめて花束を」Superfly（ワ—ナ—ミュ—ジック・ジャパン）番組の最後に主題化DVDプレゼントの告知があります！！原案：山口雅俊脚本：大森美香加藤章一ドリマックス  TBS  http://www.tbs.co.jp/edison-mama/</t>
  </si>
  <si>
    <t>「エジソン追放！涙と怒りの全校集会」賢人（清水優哉）、堵馬（太田力斗）、速太（吉田翔）、玲実（村中暖奈）、修斗（鈴木裕大）、永久（山田果琳）の5人は秘密基地の外にタイムカプセルを埋めようと、それぞれの宝物を持ち寄る。 が、秘密基地が火事に!! 火事の一件が原因で、賢人は学校を去ることを余儀なくされ、あおい（坂井真紀）も賢人の転校を決意する。何とか賢人を学校に残したい規子（伊東美咲）だが、それは規子の力ではどうにもならず……。 伊東美咲  坂井真紀  谷原章介  細田よしひこ  安田　顕  田中要次  森口瑤子  片桐はいり  大杉漣  杉田かおる  松下由樹「愛をこめて花束を」Superfly（ワ—ナ—ミュ—ジック・ジャパン）原案：山口雅俊脚本：大森美香武藤 淳加藤章一ドリマックス・テレビジョン　TBS  http://www.tbs.co.jp/edison-mama/</t>
  </si>
  <si>
    <t>0801_TBS_日21</t>
  </si>
  <si>
    <t>佐々木夫妻の仁義なき戦い</t>
  </si>
  <si>
    <t>番組名佐々木夫妻の仁義なき戦い「愛と鼻血の離婚バトル開幕！！」</t>
  </si>
  <si>
    <t>性格が正反対の弁護士夫婦が繰り広げるバトルを、コメディータッチで描く。脚本・森下佳子、演出・平川雄一朗ほか。　佐々木法倫(稲垣吾郎)と律子(小雪)は、結婚三年目の弁護士夫婦。二人で事務所を構えているが、結婚生活は崩壊寸前だ。律子が、苦手だという理由で家事を放棄してしまったのだ。法倫は、彼女が問題を自覚するまで、自分も家事はやらないと決心。そのため、家の中は散らかり放題になっていた。そんな折、小鹿(小堺一機)という男性が、相談をしに事務所にやって来る。自宅前のごみ集積所を移転させたいが、近隣住民とトラブルを起こさないよう話を進めたいという。法倫は彼に同情し、依頼を引き受ける。</t>
  </si>
  <si>
    <t>番組名佐々木夫妻の仁義なき戦い「逆襲の女！？」</t>
  </si>
  <si>
    <t>律子(小雪)は、猪木(古田新太)の知人で不動産業を営む前田(泉谷しげる)から相談を受ける。十年間別居している妻・奈津子(朝加真由美)と離婚したいという。律子は、内縁関係にある女性との間に子供ができたことを機に妻と別れたいと話す前田に賛同し、依頼を引き受ける。そのころ、法倫(稲垣吾郎)は母・ゆと子(江波杏子)から、奈津子のことを相談されていた。ゆと子と奈津子は、知り合いだったのだ。奈津子の言葉に同情した法倫は、彼女の力になることを決意する。数日後、法倫は律子が前田の依頼を引き受けていたことを知る。</t>
  </si>
  <si>
    <t>番組名佐々木夫妻の仁義なき戦い「もう離婚！？」</t>
  </si>
  <si>
    <t>律子(小雪)は法倫(稲垣吾郎)から、離婚を切り出される。律子から「私の人生を返して」と言われた法倫は、その言葉について、ずっと考えていたらしい。法倫は、これまで夫婦げんかに費やした時間を振り返り、「もっと君を幸せにできる人がいる」と話す。それを聞いた律子は「だったら別れた方がいい」と言い、マンションから出ていく。そんな折、山本(石橋保)とその妻・幸恵(長谷川真弓)が事務所に相談に来る。今まで育ててきた息子が、十四年前に病院で取り違えられた別の夫婦の子供だと分かったという。本当の息子だと思われる子供がいるので、交換したいと言うのだ。</t>
  </si>
  <si>
    <t>番組名佐々木夫妻の仁義なき戦い「えっチカン！？それでもボクはやってない」</t>
  </si>
  <si>
    <t>法倫(稲垣吾郎)は、通勤ラッシュで混雑する電車に乗っていた。目的の駅に着いて降車した法倫は、そこで智美(京野ことみ)という女性に手をつかまれる。法倫が、彼女に痴漢行為をしたというのだ。一方、昼すぎに事務所に出勤した律子(小雪)は、桜庭(小出恵介)から法倫が行方不明だと聞かされる。そこへ、電話が入り、法倫が痴漢の容疑を掛けられて警察署にいることが分かる。法倫と接見した律子は、面倒くさいから示談にしようと言いだす。それを聞いた法倫は「君は痴漢の妻になってもいいのか」と言い返す。</t>
  </si>
  <si>
    <t>番組名佐々木夫妻の仁義なき戦い「猪木号泣！！家族は永遠に不滅です」</t>
  </si>
  <si>
    <t>法倫(稲垣吾郎)の事務所に、大学時代の同級生・紗枝(桜井幸子)がやって来た。法倫は、かつて好意を抱いていた紗枝の登場に動揺しながらも、相談があるという彼女と翌日に会う約束をする。翌日、法倫は紗枝から「植物状態の人間の延命装置を止めたら、殺人になるのか」と聞かれる。驚いた法倫は、その理由を尋ねる。しかし、紗枝は自分の相談に対する法倫の意見だけを聞き、その場から立ち去ってしまう。そんな折、猪木(古田新太)の元妻・聡子(松田美由紀)が事務所に現れた。猪木が、息子・鉄博(小清水一揮)を連れ出したまま、姿を消したらしい。聡子は、今日中に息子が戻らなければ誘拐で被害届を出すと言いだす。それを聞いた律子(小雪)は、猪木と連絡を取ろうとする。</t>
  </si>
  <si>
    <t>番組名佐々木夫妻の仁義なき戦い</t>
  </si>
  <si>
    <t>佐々木夫妻の仁義なき戦い◇法倫（稲垣吾郎）は大学時代に思いを寄せていた紗枝（桜井幸子）から突然キスされた。２人のやりとりを、猪木（古田新太）が偶然に目撃する。一方、法倫はこの日の出来事を律子（小雪）にどう説明するか自問自答していた。結局、法倫は友人の父親の見舞いに行ったと報告する。後日、相続問題の件で紗枝が事務所を訪ねてくる。律子に同席を求める紗枝に戦々恐々の法倫と、疑いと戸惑いが交錯する律子。しかし、実情を聞いた２人は仕事へ頭を切り替える。遺産相続を争っている叔母の梅子（根岸季衣）との経緯を語る紗枝に、律子は裁判ではなく調停に持ち込んだ方がいいと言う。一方、梅子の主張に憤りを感じる法倫は律子の意見に反対する。</t>
  </si>
  <si>
    <t>番組名日曜劇場「佐々木夫妻の仁義なき戦い」</t>
  </si>
  <si>
    <t>まさかの妊娠慰謝料何と一億円!?  法倫（稲垣吾郎）と紗枝（桜井幸子）がキスをしていたと、猪木（古田新太）と小川（山本耕史）の話を偶然聞いてしまった律子（小雪）。「浮気というレベルの話ではないので許してあげてくれ」と法倫をかばう小川だが、律子は心が揺らいでいた…。リビングで対峙する法倫と律子。紗枝とのことを正直に法倫が話をすると、夫婦関係を侵害した紗枝に損害賠償請求をしてと律子がまくし立てる。稲垣 吾郎  小雪  小出 恵介  酒井 若菜 古田 新太　山本 耕史 　江波 杏子  西村 雅彦  藤田 まこと　桜井幸子  ゲスト  岡本麗、島田順治、野元学二、天野浩成、古本新乃輔、桜庭和志そのまま  SMAP  （ビクタ—エンタテインメント）高橋正尚製作  TBS   制作  TBSテレビ   http://www.tbs.co.jp/sasaki-fusai/</t>
  </si>
  <si>
    <t>出産せまる！！明日という新しい命離婚調停の場で「もう一度チャンスをくれないか？」という法倫（稲垣吾郎）の言葉に、涙する律子（小雪）。その日からの法倫は、律子と生まれてくる子どものために世話を焼くようになる。優しくされるほどに疑心暗鬼になる律子は、ある日、「本当は私のことを許していないんじゃない？」と法倫に切り出した。戸惑う法倫だが、僕だって必死なんだという法倫の言葉を聞いて「ごめんね」と謝る律子。ほどなく、寝室で眠る律子の傍ら、法倫は何かを想っていた…。 稲垣 吾郎  小雪  小出 恵介  酒井 若菜 古田 新太　山本 耕史 　江波 杏子  西村 雅彦  藤田 まこと　桜井幸子  ゲスト  井上佳子、伊藤昌一、木村優介、野元学二、松本じゅん、津田聖子、武藤敬司そのまま  SMAP  （ビクタ—エンタテインメント）森下佳子  平川悠一朗高橋正尚TBSテレビ  http://www.tbs.co.jp/sasaki-fusai/</t>
  </si>
  <si>
    <t>最後の審判!!子供はボクが守る!!  律子（小雪）の出産に立ち会った法倫（稲垣吾郎）は、元気な男の子が生まれると、法倫は“明日”と書いてアキラと名づける。離婚騒動は収まったかに見えた。が、そこに刑事が現れ、スト—カ—の現行犯だとして法倫に手錠をかける。「法廷で白黒つけてやる」という言葉を残して連行されてしまった法倫。律子は「法廷で白黒をつけましょう」と言って去ってゆく。ついに二人の戦いは法廷へと突き進んでいく。稲垣 吾郎  小雪  小出 恵介  酒井 若菜 古田 新太　山本 耕史 　江波 杏子  西村 雅彦  藤田 まこと　銀粉蝶　小杉茂一郎、安西壱哉、石井毅、大関遼太、瀬戸涼雅  ゲスト  伊藤昌一、木村優介、沼崎悠、所里沙子、井上佳子、菊池隆則、遠藤たつお、高杉航大、小清水一揮、中島怜、高橋佑輔、そのまま  SMAP  （ビクタ—エンタテインメント）高橋正尚TBSテレビ     http://www.tbs.co.jp/sasaki-fusai/</t>
  </si>
  <si>
    <t>涙の法廷!!夫婦の愛よ永遠に…いつしか「授乳弁護士」といわれ世間で話題となっていた律子だが、ある日の法廷で、「明日は父親が育てたほうがいい」と猪木が証言したことから、徐々に律子の形勢が危うくなってきていた。今まで律子がしてきた破天荒な行動について週刊誌が目をつけ、そのことを悪く書き立て始めたのだ。それら記事の影響でクライアントが離れ始め、窮地に立たされた律子…。仕事も育児も破綻寸前という記事を見て「こういう記事を証拠で出せば裁判官の心証を左右するでしょうね」との、ゆと子の言葉に、それを聞いていた法倫はなぜだか複雑な表情を見せる…。稲垣 吾郎  小雪  小出 恵介  酒井 若菜 古田 新太　山本 耕史  桜井 幸子　江波 杏子  西村 雅彦  藤田 まこと そのまま  SMAP  （ビクタ—エンタテインメント）高橋正尚製作  TBS   制作  TBSテレビ</t>
  </si>
  <si>
    <t>0710_TBS_木22</t>
  </si>
  <si>
    <t>ジョシデカ！</t>
  </si>
  <si>
    <t>番組名ジョシデカ！－女子刑事－「激突！女のバトル！最低最悪コンビ誕生！」</t>
  </si>
  <si>
    <t>性格も年齢も違う女性刑事コンビが、対立しながらも友情をはぐくみ、事件を解決していく。脚本・秦建日子、演出・平野俊一ほか。　警察官の来実(仲間由紀恵)は、射撃の腕は一流だが、それ以外のことはすべて人並み以下。そんな来実が、日暮署の刑事課に着任。検挙率はナンバーワンだが、相棒を”つぶす”ことで有名なベテラン刑事・華子(泉ピン子)とコンビを組むことになる。</t>
  </si>
  <si>
    <t>番組名ジョシデカ！－女子刑事－「偽名、偶然の一致、広がる連続殺人事件の謎」</t>
  </si>
  <si>
    <t>来実(仲間由紀恵)と華子(泉ピン子)が前の事件で助けた有希(入山法子)が殺害された。来実はショックを隠し切れない。そんな中、二人は、来実が街中で発砲したことを理由に連続殺人事件の捜査から外され、連続ひったくり事件を担当することに。そこへ華子の家に居候するパク(リュ・シウォン)が、ひったくり事件の被害者として現れた。パクは、父親の形見のカメラを取られたと話す。彼を自分の息子のようにかわいがる華子は、激怒する。</t>
  </si>
  <si>
    <t>番組名ジョシデカ！－女子刑事－「車上荒らしが盗んだ連続殺人犯の手がかり」</t>
  </si>
  <si>
    <t>華子(泉ピン子)は、パク(リュ・シウォン)が偶然に撮った連続殺人事件の重要な証拠となる写真を柳田(田中哲司)との取引材料に使い、捜査本部に復帰する。一方、来実(仲間由紀恵)は吉井(大倉孝二)と組んで、車上荒らしの捜査をしていた。そんな折、来実は殺人事件があった現場付近の駐車場で、車上荒らしがあったことを知る。その被害届が出ていないことを不審に思った来実は、現場に駆け付ける。</t>
  </si>
  <si>
    <t>番組名ジョシデカ！－女子刑事－「連続殺人事件第五の犯行予告と失踪した少女」</t>
  </si>
  <si>
    <t>来実(仲間由紀恵)の失態で、連続殺人事件の手掛かりを持っていたと思われる人物が殺された。激怒する柳田(田中哲司)は来実に、辞表を書けと言い放つ。一方、柳田の信用を失った華子(泉ピン子)は、捜査本部から外されてしまう。そんな中、パク(リュ・シウォン)は落ち込む来実を遊園地に誘う。パクの優しい言葉に励まされた来実は、また一から出直そうと決心する。後日、来実と華子は、小学生向けの交通安全教室を任される。話を聞こうとしない児童たちを相手に奮闘する来実たちは、その中に連続殺人事件の最初の被害者の娘・美帆(鈴木理子)がいることを知る。</t>
  </si>
  <si>
    <t>番組名ジョシデカ！－女子刑事－「捜査線上に浮かんだ意外な容疑者」</t>
  </si>
  <si>
    <t>連続殺人事件の最初の被害者の娘・美帆(鈴木理子)が行方不明になった。同じころ、捜査本部には連続殺人犯からと思われる犯行予告が届く。美帆の捜索に応援が欲しい来実(仲間由紀恵)だが、連続殺人事件の解決を第一に考える柳田(田中哲司)から、人手は回せないと告げられる。そこで、来実は華子(泉ピン子)とともに百枝(片平なぎさ)を訪ね、警察学校の生徒たちに協力してもらえないかと相談する。</t>
  </si>
  <si>
    <t>番組名ジョシデカ！－女子刑事－「強行された第五の殺人」</t>
  </si>
  <si>
    <t>パク(リュ・シウォン)は、連続殺人事件の被害者の父・時田(名高達男)の屋敷へ。写真を使って時田と取引をしようとしたパクだが、二人はもみ合いになる。そこへ、パクを連続殺人事件の容疑者だとにらむ木崎(大浦龍宇一)らが現れ、彼は逮捕されてしまう。手錠を掛けられたパクを見た来実(仲間由紀恵)は、何が起こったのか理解できない。一方、世間ではいたずらと思われる連続殺人の予告状が出回っていた。そんな中、吉井(大倉孝二)の妻・明子(麻生祐未)にも予告状が届く。</t>
  </si>
  <si>
    <t>番組名ジョシデカ！－女子刑事－「連続殺人犯は身近な人間」</t>
  </si>
  <si>
    <t>日暮署の刑事たちは、連続殺人事件を再検証し、警察内部に犯人がいる可能性が高いことに気付く。それが信じられない来実(仲間由紀恵)は、捜査本部から外された柳田(田中哲司)を訪ね、一緒に捜査をしてほしいと頼む。捜査本部に内緒で動き始めた二人は、新たな手掛かりをつかむ。一方、華子(泉ピン子)は時田(名高達男)の周辺を調べていた。時田は、パク(リュ・シウォン)の父親を自殺に追い込んだ人物だった。</t>
  </si>
  <si>
    <t>番組名ジョシデカ！－女子刑事－「悲劇的な結末」</t>
  </si>
  <si>
    <t>連続殺人事件の犯人を名乗り、鎌谷(宮川一朗太)という男が自首してきた。鎌谷は来実(仲間由紀恵)たちの取り調べに対し、二人目の被害者の殺害は認めたが、ほかの事件については犯行を否認。遺体の手のひらに書かれた数字にも覚えがないと主張する。その後、あらためて取り調べを行うと「山木早代」という女性が事件にかかわっている可能性が出てきた。日暮署の刑事たちは、その女性の身元を探ろうとする。</t>
  </si>
  <si>
    <t>番組名ジョシデカ！－女子刑事－「犯人はあの人」</t>
  </si>
  <si>
    <t>鎌谷(宮川一朗太)が、日暮署の中で謎の女性「山木早代」を見たと話し、刑事たちは署内を捜索する。鎌谷を連れて署内を歩いていた来実(仲間由紀恵)は、撃鉄を起こすかすかな音を耳にする。とっさに鎌谷をかばった来実は、銃弾を受けて倒れる。病院に運ばれた来実は、しばらくして意識を取り戻す。来実は自分を撃った拳銃が、警察官が使用するものと同じで、犯人が警察内部にいる可能性が高いことを知る。</t>
  </si>
  <si>
    <t>番組名ジョシデカ！－女子刑事－「最後の対決」</t>
  </si>
  <si>
    <t>連続殺人事件の捜査線上に、百枝(片平なぎさ)が浮かんだ。来実(仲間由紀恵)は、パク(リュ・シウォン)を人質に取った百枝から、指定した場所に一人で来るよう命じられる。自分のせいで捜査情報が漏れたことに責任を痛感した来実は、止める華子(泉ピン子)を振り切り、指定された場所に向かう。そこでは、百枝が、けがをしたパクに銃口を向けていた。</t>
  </si>
  <si>
    <t>0710_TBS_金22</t>
  </si>
  <si>
    <t>歌姫</t>
  </si>
  <si>
    <t>番組名歌姫「記憶を持たない昭和のスーパーヒーロー登場」</t>
  </si>
  <si>
    <t>昭和三十年代の高知県を舞台に、戦争で記憶を失った男性と彼を愛する女性の純愛を描く。劇団・東京セレソンデラックスの同名舞台劇をドラマ化。脚本・サタケミキオ、演出・坪井敏雄ほか。　二〇〇七年、旭(長瀬智也)は母親で歌手のさくら(ジュディ・オング)の言いつけで、高知県土佐清水市にやって来た。閉館が決まった映画館で最後に上映される映画「歌姫」を見てこいという。　昭和三十年代、映画館「オリオン座」の映写技師・太郎(長瀬＝二役)は、オリオン座の主人・勝男(高田純次)一家の世話になって暮らしていた。太郎は十年前、記憶を失って海岸に倒れていたところを勝男に助けられたのだ。ある日、町を仕切る山之内一家の横暴に腹を立てた太郎は、彼らに逆らってしまう。</t>
  </si>
  <si>
    <t>番組名歌姫「熱い男の魂の唄！甦る一片の記憶」</t>
  </si>
  <si>
    <t>鈴(相武紗季)は、太郎(長瀬智也)に優勝賞品のオート三輪をプレゼントしようと、のど自慢大会に出場する。しかし、クロワッサンの松(佐藤隆太)が送り込んだ芥川(秋山竜次)らの妨害によって緊張してしまい、満足に歌えなかった。その汚い手口に怒った太郎は、大会に飛び入り参加し、芥川と歌で勝負をすることに。だが、芥川の歌を聞いた太郎は、彼の美声に驚いてしまう。</t>
  </si>
  <si>
    <t>番組名歌姫「涙ごしに現れた運命の人」</t>
  </si>
  <si>
    <t>太郎(長瀬智也)は、ゲルマン(飯島ぼぼぼ)が山之内一家に拉致されたと聞き、助けに向かった。同じころ、オリオン座にクロワッサンの松(佐藤隆太)が現れ、毎月三十万円の用心棒代を山之内一家に納めるよう要求する。それは、オリオン座の一カ月分の売り上げとほぼ同額だった。勝男(高田純次)は頭を悩ませるが、太郎は無視すればいいと言い放つ。</t>
  </si>
  <si>
    <t>番組名歌姫「あんな男にワシの女を渡せるか！」</t>
  </si>
  <si>
    <t>クロワッサンの松(佐藤隆太)が、鈴(相武紗季)に一目ぼれした。毎日のようにオリオン座を訪れては鈴に贈り物をする松に、勝男(高田純次)たちは困惑する。泉(大河内奈々子)やメリー(遠山景織子)は、盛んに松の積極的なアプローチを話題にし、太郎(長瀬智也)をあおる。しかし、太郎は素っ気ない態度しか見せず、鈴はそれを不満に思う。そんな折、松からデートを申し込まれた鈴は、あまりのしつこさに根負けし、承諾してしまう。</t>
  </si>
  <si>
    <t>番組名歌姫「妹から好きな女に変わる時」</t>
  </si>
  <si>
    <t>太郎(長瀬智也)は、鈴(相武紗季)に会おうとオリオン座に忍び込んだクロワッサンの松(佐藤隆太)に激怒。思わず、鈴は自分の恋人だと言ってしまう。それを聞いた鈴は、喜びを隠せない。泉(大河内奈々子)や勝男(高田純次)らは、太郎に本心を聞こうとする。そんな折、太郎と一緒に町へ出掛けた鈴は、美和子(小池栄子)という女性に出会う。</t>
  </si>
  <si>
    <t>番組名歌姫「失くした記憶の中で愛した女？」</t>
  </si>
  <si>
    <t>太郎(長瀬智也)は町の喫茶店で偶然、山之内(古谷一行)とクロワッサンの松(佐藤隆太)に出くわした。太郎は山之内に「オリオン座だけは山之内一家の好きにはさせない」と宣言する。一方、美和子(小池栄子)と知り合った鈴(相武紗季)は、彼女に鯖子(斉藤由貴)の旅館を紹介する。しばらく町に滞在することになった美和子は、やがてオリオン座に顔を出すようになる。</t>
  </si>
  <si>
    <t>番組名歌謡チャリティーコンサート</t>
  </si>
  <si>
    <t>静岡県浜松市から、コンサートの趣旨に賛同した歌手たちの熱唱をフルオーケストラアレンジでおくる。ゴスペラーズが、今年のＮＨＫ全国学校音楽コンクール・高等学校の部で課題曲となった「言葉にすれば」を、秋川雅史が「千の風になって」を歌う。また、オペラ歌手・森麻季の出演など、バラエティーに富んだステージを繰り広げる。出演はほかに、五木ひろし、加藤登紀子、冠二郎、小金沢昇司、坂本冬美、島津亜矢、徳永英明、長山洋子、原田真二、前川清＆クールファイブ。</t>
  </si>
  <si>
    <t>番組名歌姫「生れ変わって出会えた夫婦の奇跡」</t>
  </si>
  <si>
    <t>鈴(相武紗季)は、太郎(長瀬智也)の姿を見て涙を流した美和子(小池栄子)のことが頭から離れない。美和子が太郎の過去を知っているのではないかと思うと、不安になるのだった。一方、太郎と美和子が夫婦だったと知った浜子(風吹ジュン)は、勝男(高田純次)に相談。二人は、それを鈴に話すことができず、頭を悩ませる。ところが、鯖子(斉藤由貴)が太郎と美和子の関係を言いふらしていることが判明。勝男は、鯖子に抗議をしに行く。</t>
  </si>
  <si>
    <t>番組名歌姫「接吻」</t>
  </si>
  <si>
    <t>太郎(長瀬智也)は美和子(小池栄子)から、自分が彼女の夫だったことを聞かされた。突然のことに、太郎は言葉も出ない。太郎の本当の名前は「及川勇一」。東京の市会議員の息子で、東京帝国大学(現・東京大学)出身だという。それを知った太郎の周囲の人々は、現在の彼とのあまりの違いに「人違いではないか」と言いだす。そんな中、鈴(相武紗季)は美和子に、記憶をなくす前の太郎のことを尋ねる。</t>
  </si>
  <si>
    <t>番組名歌姫「あなたが二人いればいいのに」</t>
  </si>
  <si>
    <t>太郎(長瀬智也)とじっくり話がしたい美和子(小池栄子)は毎晩、メリー(遠山景織子)の店で彼を待っていた。しかし、太郎は姿を見せない。太郎は美和子と話をして記憶が戻ると、現在のことを忘れてしまうのではないかと不安になっていた。一方、太郎とキスをした鈴(相武紗季)は、彼と恋人同士になりたいと願う。</t>
  </si>
  <si>
    <t>番組名歌姫「一世一代の感動的なプロポーズ」</t>
  </si>
  <si>
    <t>太郎(長瀬智也)と鈴(相武紗季)が思い合っていることに気付いた美和子(小池栄子)は、東京に帰ることを決意。自分を引き留めようとするクロワッサンの松(佐藤隆太)に対し、自分の夫は「及川勇一」であって「四万十太郎」ではないと言い切る。そんな折、鈴に告白するきっかけがつかめない太郎は、ある計画を立てる。</t>
  </si>
  <si>
    <t>番組名歌姫「ワシはお前を幸せにするぜよ」</t>
  </si>
  <si>
    <t>がけから落ちて意識を失った太郎(長瀬智也)が、オリオン座に運び込まれた。鈴(相武紗季)たちは医師から、意識が戻った時に過去の記憶がよみがえり、現在のことを忘れてしまう可能性があると告げられる。意識が戻らない太郎を看病する鈴は、彼に大好きな映画を見せようと考える。鈴はクロワッサンの松(佐藤隆太)の力を借り、太郎を映画館の客席へ連れていく。</t>
  </si>
  <si>
    <t>0710_TBS_日21</t>
  </si>
  <si>
    <t>ハタチの恋人</t>
  </si>
  <si>
    <t>番組名ハタチの恋人「出会う前から大好きでした」</t>
  </si>
  <si>
    <t>人生の先が見え始めた中年男性が、昔の恋人にそっくりな二十歳の女性と出会い、失いかけていた生きがいを見つけていく。脚本・吉田紀子、演出・清弘誠ほか。　井上圭祐(明石家さんま)は、食品会社の大阪支社で働く五十歳のサラリーマン。東京に出張した圭祐は、宿泊先のホテルで旧友の風太(市村正親)と偶然、再会する。風太は「森山リュウ」というペンネームのベストセラー作家になり、スイートルームで執筆をしていた。出張のたびに風太の部屋を訪れるようになった圭祐は、ホテルでアルバイトをしている専門学校生・ユリ(長沢まさみ)に出会う。彼女は圭祐の昔の恋人にそっくりだった。</t>
  </si>
  <si>
    <t>番組名ハタチの恋人「初めてのデート」</t>
  </si>
  <si>
    <t>東京に出張した圭祐(明石家さんま)は、ホテルの風太(市村正親)の部屋で、思わぬことから昔の恋人に似たユリ(長沢まさみ)に再会。圭祐が人気作家の「森山リュウ」だと思い込んでいるユリは、彼を就職に利用しようと考え、二人きりで話がしたいと誘う。そうとは知らない圭祐は、次の出張に合わせて映画を見に行く約束をし、心躍らせる。約束の日、ユリは自分の作品を持って、待ち合わせ場所に向かう。</t>
  </si>
  <si>
    <t>番組名ハタチの恋人「嘘から生まれた恋」</t>
  </si>
  <si>
    <t>圭祐(明石家さんま)は、ユリ(長沢まさみ)が自分のことを「森山リュウ」だと勘違いしていることに気付いた。本物の森山リュウである風太(市村正親)は圭祐に、ユリが真実を知ったら圭祐はあっさりと振られてしまうと断言。ユリの前では森山リュウのふりをするよう忠告する。思い悩む圭祐だが、本当のことを言おうと決め、ユリと会う約束をする。だが、ユリを目の前にした圭祐は、胸が高鳴ってしまい、なかなか打ち明けられない。</t>
  </si>
  <si>
    <t>番組名ハタチの恋人「パパの秘密を知る夜」</t>
  </si>
  <si>
    <t>圭祐(明石家さんま)は、もう少しの間、ユリ(長沢まさみ)の前で「森山リュウ」を装っていることにした。そんな折、圭祐はユリから、就職試験のアドバイスをしてほしいと頼まれる。圭祐は、編集者を装った風太(市村正親)とともに、ホテルでユリと会うことに。そこで風太が、部屋で圭祐から実技指導を受ければいいと言いだす。圭祐とユリを二人きりにするため、風太が部屋を出ていこうとした時、圭祐の妻・小百合(森下愛子)が突然、現れる。</t>
  </si>
  <si>
    <t>番組名ハタチの恋人「涙の抱擁」</t>
  </si>
  <si>
    <t>圭祐(明石家さんま)が虫垂炎で入院した。病院へ駆け付けたユリ(長沢まさみ)は、圭祐に付き添う小百合(森下愛子)と入れ違いに病室に入ってくる。それを見た圭祐は、二人が鉢合わせしないかと慌てるが、小百合が大阪へ帰ることになり、胸をなで下ろす。ユリは毎日、圭祐を見舞うため、病院を訪れるようになる。そんなユリを心配する由紀夫(塚本高史)は、風太(市村正親)に相談する。</t>
  </si>
  <si>
    <t>番組名ハタチの恋人「嵐を呼ぶ男」</t>
  </si>
  <si>
    <t>圭祐(明石家さんま)がユリ(長沢まさみ)を抱き締めると、激しい雨が降ってきた。ユリは圭祐に、自分の部屋で雨宿りしないかと誘う。ユリのアパートの前まで行った圭祐だが、結局はホテルに帰ってしまう。それを聞いた風太(市村正親)は、チャンスを逃した圭祐をばかにする。後日、圭祐は再びユリと会う約束をする。待ち合わせ場所に向かおうとすると、また雨が降ってきた。圭祐は、ユリに促されて彼女の部屋へ。二人がベッドに腰掛けた瞬間、停電に。</t>
  </si>
  <si>
    <t>番組名ハタチの恋人「もしかして娘？」</t>
  </si>
  <si>
    <t>圭祐(明石家さんま)は、自分が「森山リュウ」ではないことをユリ(長沢まさみ)に知られてしまった。圭祐はうそをついていたことを謝るが、ユリは怒って部屋を飛び出す。大阪に戻った圭祐は謝罪のメールを送り続けるが、ユリからは何の反応もない。彼女に会いたい圭祐は有給休暇を取り、妻・小百合(森下愛子)に出張だとうそをついて東京へ。由紀夫(塚本高史)を見つけた圭祐は、彼からユリのことを聞き出そうとする。由紀夫によると、ユリは学校に来ておらず、アルバイトも休んでいるらしい。</t>
  </si>
  <si>
    <t>番組名ハタチの恋人「お母さんの真実」</t>
  </si>
  <si>
    <t>圭祐(明石家さんま)に別れを告げたユリ(長沢まさみ)だが、彼と母・絵里(小泉今日子)が恋人だったのではないかと疑う。圭祐も、ユリが自分の娘ではないかと不安になり、風太(市村正親)に相談する。風太は「家庭崩壊につながる問題だから、はっきりさせるための作戦が必要だ」と話す。実家に帰ったユリは絵里と一緒に夕飯の支度をする。そこへ、由紀夫(塚本高史)が訪れる。彼は、風太の作戦を実行するために来たのだ。</t>
  </si>
  <si>
    <t>番組名ハタチの恋人「運命の再会」</t>
  </si>
  <si>
    <t>レストランに向かった圭祐(明石家さんま)は、かつて交際していた絵里(小泉今日子)と再会。絵里は圭祐に、二人の過去はユリ(長沢まさみ)には内緒にし、今後は娘に近づかないでほしいと頼む。偶然、その場にいた風太(市村正親)は、小説の題材にしようと二人の会話を盗み聞きする。そこへ中島(キムラ緑子)が現れ、圭祐らは風太の存在に気付く。翌日、ユリは中島から、母・絵里と圭祐が会っていたことを聞く。</t>
  </si>
  <si>
    <t>番組名ハタチの恋人「バージンロード」</t>
  </si>
  <si>
    <t>ユリ(長沢まさみ)は、由紀夫(塚本高史)の父親に会うと約束した日に、圭祐(明石家さんま)と一緒に大阪へ来てしまった。ユリが泊まるホテルの手続きをした圭祐は、由紀夫に連絡を入れるよう彼女に告げる。その夜、ユリは由紀夫に電話で謝るが、冷たく突き放されてしまう。翌朝、一晩中眠れないでいたユリの元に、圭祐が現れた。圭祐は「今日は楽しいことだけを考えよう」と提案し、大阪の名所を案内する。</t>
  </si>
  <si>
    <t>drama_key</t>
  </si>
  <si>
    <t>drama_title</t>
  </si>
  <si>
    <t>sharp_title</t>
  </si>
  <si>
    <t>sharp_num_cnt</t>
  </si>
  <si>
    <t>sharp_num_epg</t>
  </si>
  <si>
    <t>start_time</t>
  </si>
  <si>
    <t>sharp_detail_epg</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</si>
</sst>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font>
    <font>
      <sz val="10.0"/>
      <color theme="1"/>
      <name val="Arial"/>
    </font>
    <font>
      <color theme="1"/>
      <name val="Calibri"/>
    </font>
    <font>
      <u/>
      <sz val="10.0"/>
      <color rgb="FF0000FF"/>
      <name val="Arial"/>
    </font>
    <font>
      <u/>
      <sz val="10.0"/>
      <color theme="1"/>
      <name val="Arial"/>
    </font>
    <font>
      <sz val="10.0"/>
      <name val="Arial"/>
    </font>
    <font>
      <sz val="10.0"/>
      <color theme="1"/>
      <name val="MS PGothic"/>
    </font>
    <font>
      <sz val="10.0"/>
      <name val="MS PGothic"/>
    </font>
  </fonts>
  <fills count="3">
    <fill>
      <patternFill patternType="none"/>
    </fill>
    <fill>
      <patternFill patternType="lightGray"/>
    </fill>
    <fill>
      <patternFill patternType="solid">
        <fgColor rgb="FFFFFF00"/>
        <bgColor rgb="FFFFFF00"/>
      </patternFill>
    </fill>
  </fills>
  <borders count="1">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Font="1"/>
    <xf borderId="0" fillId="0" fontId="1" numFmtId="0" xfId="0" applyAlignment="1" applyFont="1">
      <alignment shrinkToFit="0" wrapText="1"/>
    </xf>
    <xf borderId="0" fillId="0" fontId="2" numFmtId="0" xfId="0" applyAlignment="1" applyFont="1">
      <alignment shrinkToFit="0" wrapText="1"/>
    </xf>
    <xf borderId="0" fillId="0" fontId="0" numFmtId="0" xfId="0" applyAlignment="1" applyFont="1">
      <alignment readingOrder="0" shrinkToFit="0" wrapText="1"/>
    </xf>
    <xf borderId="0" fillId="2" fontId="1" numFmtId="0" xfId="0" applyFill="1" applyFont="1"/>
    <xf borderId="0" fillId="2" fontId="1" numFmtId="0" xfId="0" applyAlignment="1" applyFont="1">
      <alignment shrinkToFit="0" wrapText="1"/>
    </xf>
    <xf borderId="0" fillId="0" fontId="3" numFmtId="0" xfId="0" applyAlignment="1" applyFont="1">
      <alignment shrinkToFit="0" wrapText="1"/>
    </xf>
    <xf borderId="0" fillId="0" fontId="1" numFmtId="0" xfId="0" applyAlignment="1" applyFont="1">
      <alignment readingOrder="0" shrinkToFit="0" wrapText="1"/>
    </xf>
    <xf borderId="0" fillId="0" fontId="4" numFmtId="0" xfId="0" applyAlignment="1" applyFont="1">
      <alignment shrinkToFit="0" wrapText="1"/>
    </xf>
    <xf borderId="0" fillId="0" fontId="5" numFmtId="0" xfId="0" applyAlignment="1" applyFont="1">
      <alignment readingOrder="0" shrinkToFit="0" wrapText="1"/>
    </xf>
    <xf borderId="0" fillId="0" fontId="5" numFmtId="0" xfId="0" applyAlignment="1" applyFont="1">
      <alignment shrinkToFit="0" wrapText="1"/>
    </xf>
    <xf borderId="0" fillId="0" fontId="1" numFmtId="0" xfId="0" applyAlignment="1" applyFont="1">
      <alignment shrinkToFit="0" wrapText="1"/>
    </xf>
    <xf borderId="0" fillId="0" fontId="5" numFmtId="0" xfId="0" applyAlignment="1" applyFont="1">
      <alignment shrinkToFit="0" wrapText="1"/>
    </xf>
    <xf borderId="0" fillId="0" fontId="1" numFmtId="19" xfId="0" applyAlignment="1" applyFont="1" applyNumberFormat="1">
      <alignment shrinkToFit="0" wrapText="1"/>
    </xf>
    <xf borderId="0" fillId="0" fontId="0" numFmtId="0" xfId="0" applyAlignment="1" applyFont="1">
      <alignment shrinkToFit="0" wrapText="1"/>
    </xf>
    <xf borderId="0" fillId="0" fontId="6" numFmtId="0" xfId="0" applyAlignment="1" applyFont="1">
      <alignment shrinkToFit="0" wrapText="1"/>
    </xf>
    <xf borderId="0" fillId="0" fontId="7"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9" width="4.71"/>
    <col hidden="1" min="10" max="10" width="14.43"/>
    <col customWidth="1" min="11" max="11" width="66.43"/>
    <col customWidth="1" min="12" max="12" width="68.71"/>
    <col customWidth="1" min="13" max="13" width="72.71"/>
    <col customWidth="1" min="14" max="14" width="48.43"/>
    <col customWidth="1" min="15" max="15" width="43.71"/>
    <col customWidth="1" min="16" max="54" width="134.57"/>
  </cols>
  <sheetData>
    <row r="1" ht="204.75" customHeight="1">
      <c r="A1" s="1">
        <v>0.0</v>
      </c>
      <c r="B1" s="2" t="s">
        <v>0</v>
      </c>
      <c r="C1" s="2">
        <f>IFERROR(__xludf.DUMMYFUNCTION("split(B1,""_"")"),1910.0)</f>
        <v>1910</v>
      </c>
      <c r="D1" s="2" t="str">
        <f>IFERROR(__xludf.DUMMYFUNCTION("""COMPUTED_VALUE"""),"CX")</f>
        <v>CX</v>
      </c>
      <c r="E1" s="2" t="str">
        <f>IFERROR(__xludf.DUMMYFUNCTION("""COMPUTED_VALUE"""),"月21")</f>
        <v>月21</v>
      </c>
      <c r="F1" s="2" t="s">
        <v>1</v>
      </c>
      <c r="G1" s="2" t="s">
        <v>2</v>
      </c>
      <c r="H1" s="1">
        <v>1.0</v>
      </c>
      <c r="I1" s="1" t="s">
        <v>3</v>
      </c>
      <c r="J1" s="1" t="s">
        <v>4</v>
      </c>
      <c r="K1" s="2" t="s">
        <v>5</v>
      </c>
      <c r="L1" s="3" t="s">
        <v>5</v>
      </c>
      <c r="N1" s="3"/>
      <c r="O1" s="3"/>
    </row>
    <row r="2" ht="204.75" customHeight="1">
      <c r="A2" s="1">
        <v>1.0</v>
      </c>
      <c r="B2" s="2" t="s">
        <v>0</v>
      </c>
      <c r="C2" s="2">
        <f>IFERROR(__xludf.DUMMYFUNCTION("split(B2,""_"")"),1910.0)</f>
        <v>1910</v>
      </c>
      <c r="D2" s="2" t="str">
        <f>IFERROR(__xludf.DUMMYFUNCTION("""COMPUTED_VALUE"""),"CX")</f>
        <v>CX</v>
      </c>
      <c r="E2" s="2" t="str">
        <f>IFERROR(__xludf.DUMMYFUNCTION("""COMPUTED_VALUE"""),"月21")</f>
        <v>月21</v>
      </c>
      <c r="F2" s="2" t="s">
        <v>1</v>
      </c>
      <c r="G2" s="2" t="s">
        <v>6</v>
      </c>
      <c r="H2" s="1">
        <v>2.0</v>
      </c>
      <c r="I2" s="1" t="s">
        <v>7</v>
      </c>
      <c r="J2" s="1" t="s">
        <v>4</v>
      </c>
      <c r="K2" s="4" t="s">
        <v>8</v>
      </c>
      <c r="L2" s="2" t="s">
        <v>8</v>
      </c>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row>
    <row r="3" ht="204.75" customHeight="1">
      <c r="A3" s="1">
        <v>2.0</v>
      </c>
      <c r="B3" s="2" t="s">
        <v>0</v>
      </c>
      <c r="C3" s="2">
        <f>IFERROR(__xludf.DUMMYFUNCTION("split(B3,""_"")"),1910.0)</f>
        <v>1910</v>
      </c>
      <c r="D3" s="2" t="str">
        <f>IFERROR(__xludf.DUMMYFUNCTION("""COMPUTED_VALUE"""),"CX")</f>
        <v>CX</v>
      </c>
      <c r="E3" s="2" t="str">
        <f>IFERROR(__xludf.DUMMYFUNCTION("""COMPUTED_VALUE"""),"月21")</f>
        <v>月21</v>
      </c>
      <c r="F3" s="2" t="s">
        <v>1</v>
      </c>
      <c r="G3" s="2" t="s">
        <v>9</v>
      </c>
      <c r="H3" s="1">
        <v>3.0</v>
      </c>
      <c r="I3" s="1" t="s">
        <v>10</v>
      </c>
      <c r="J3" s="1" t="s">
        <v>11</v>
      </c>
      <c r="K3" s="4" t="s">
        <v>12</v>
      </c>
      <c r="L3" s="2" t="s">
        <v>12</v>
      </c>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row>
    <row r="4" ht="204.75" customHeight="1">
      <c r="A4" s="1">
        <v>3.0</v>
      </c>
      <c r="B4" s="2" t="s">
        <v>0</v>
      </c>
      <c r="C4" s="2">
        <f>IFERROR(__xludf.DUMMYFUNCTION("split(B4,""_"")"),1910.0)</f>
        <v>1910</v>
      </c>
      <c r="D4" s="2" t="str">
        <f>IFERROR(__xludf.DUMMYFUNCTION("""COMPUTED_VALUE"""),"CX")</f>
        <v>CX</v>
      </c>
      <c r="E4" s="2" t="str">
        <f>IFERROR(__xludf.DUMMYFUNCTION("""COMPUTED_VALUE"""),"月21")</f>
        <v>月21</v>
      </c>
      <c r="F4" s="2" t="s">
        <v>1</v>
      </c>
      <c r="G4" s="2" t="s">
        <v>13</v>
      </c>
      <c r="H4" s="1">
        <v>4.0</v>
      </c>
      <c r="I4" s="1" t="s">
        <v>14</v>
      </c>
      <c r="J4" s="1" t="s">
        <v>11</v>
      </c>
      <c r="K4" s="4" t="s">
        <v>15</v>
      </c>
      <c r="L4" s="2" t="s">
        <v>15</v>
      </c>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row>
    <row r="5" ht="204.75" customHeight="1">
      <c r="A5" s="1">
        <v>4.0</v>
      </c>
      <c r="B5" s="2" t="s">
        <v>0</v>
      </c>
      <c r="C5" s="2">
        <f>IFERROR(__xludf.DUMMYFUNCTION("split(B5,""_"")"),1910.0)</f>
        <v>1910</v>
      </c>
      <c r="D5" s="2" t="str">
        <f>IFERROR(__xludf.DUMMYFUNCTION("""COMPUTED_VALUE"""),"CX")</f>
        <v>CX</v>
      </c>
      <c r="E5" s="2" t="str">
        <f>IFERROR(__xludf.DUMMYFUNCTION("""COMPUTED_VALUE"""),"月21")</f>
        <v>月21</v>
      </c>
      <c r="F5" s="2" t="s">
        <v>1</v>
      </c>
      <c r="G5" s="2" t="s">
        <v>16</v>
      </c>
      <c r="H5" s="1">
        <v>5.0</v>
      </c>
      <c r="I5" s="1" t="s">
        <v>17</v>
      </c>
      <c r="J5" s="1" t="s">
        <v>11</v>
      </c>
      <c r="K5" s="2" t="s">
        <v>18</v>
      </c>
      <c r="L5" s="2" t="s">
        <v>19</v>
      </c>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row>
    <row r="6" ht="204.75" customHeight="1">
      <c r="A6" s="1">
        <v>5.0</v>
      </c>
      <c r="B6" s="2" t="s">
        <v>0</v>
      </c>
      <c r="C6" s="2">
        <f>IFERROR(__xludf.DUMMYFUNCTION("split(B6,""_"")"),1910.0)</f>
        <v>1910</v>
      </c>
      <c r="D6" s="2" t="str">
        <f>IFERROR(__xludf.DUMMYFUNCTION("""COMPUTED_VALUE"""),"CX")</f>
        <v>CX</v>
      </c>
      <c r="E6" s="2" t="str">
        <f>IFERROR(__xludf.DUMMYFUNCTION("""COMPUTED_VALUE"""),"月21")</f>
        <v>月21</v>
      </c>
      <c r="F6" s="2" t="s">
        <v>1</v>
      </c>
      <c r="G6" s="2" t="s">
        <v>20</v>
      </c>
      <c r="H6" s="1">
        <v>6.0</v>
      </c>
      <c r="I6" s="1" t="s">
        <v>21</v>
      </c>
      <c r="J6" s="1" t="s">
        <v>11</v>
      </c>
      <c r="K6" s="2" t="s">
        <v>22</v>
      </c>
      <c r="L6" s="2" t="s">
        <v>23</v>
      </c>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row>
    <row r="7" ht="204.75" customHeight="1">
      <c r="A7" s="1">
        <v>6.0</v>
      </c>
      <c r="B7" s="2" t="s">
        <v>0</v>
      </c>
      <c r="C7" s="2">
        <f>IFERROR(__xludf.DUMMYFUNCTION("split(B7,""_"")"),1910.0)</f>
        <v>1910</v>
      </c>
      <c r="D7" s="2" t="str">
        <f>IFERROR(__xludf.DUMMYFUNCTION("""COMPUTED_VALUE"""),"CX")</f>
        <v>CX</v>
      </c>
      <c r="E7" s="2" t="str">
        <f>IFERROR(__xludf.DUMMYFUNCTION("""COMPUTED_VALUE"""),"月21")</f>
        <v>月21</v>
      </c>
      <c r="F7" s="2" t="s">
        <v>1</v>
      </c>
      <c r="G7" s="2" t="s">
        <v>24</v>
      </c>
      <c r="H7" s="1">
        <v>7.0</v>
      </c>
      <c r="I7" s="1" t="s">
        <v>25</v>
      </c>
      <c r="J7" s="1" t="s">
        <v>11</v>
      </c>
      <c r="K7" s="2" t="s">
        <v>26</v>
      </c>
      <c r="L7" s="2" t="s">
        <v>27</v>
      </c>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row>
    <row r="8" ht="204.75" customHeight="1">
      <c r="A8" s="1">
        <v>7.0</v>
      </c>
      <c r="B8" s="2" t="s">
        <v>0</v>
      </c>
      <c r="C8" s="2">
        <f>IFERROR(__xludf.DUMMYFUNCTION("split(B8,""_"")"),1910.0)</f>
        <v>1910</v>
      </c>
      <c r="D8" s="2" t="str">
        <f>IFERROR(__xludf.DUMMYFUNCTION("""COMPUTED_VALUE"""),"CX")</f>
        <v>CX</v>
      </c>
      <c r="E8" s="2" t="str">
        <f>IFERROR(__xludf.DUMMYFUNCTION("""COMPUTED_VALUE"""),"月21")</f>
        <v>月21</v>
      </c>
      <c r="F8" s="2" t="s">
        <v>1</v>
      </c>
      <c r="G8" s="2" t="s">
        <v>28</v>
      </c>
      <c r="H8" s="1">
        <v>8.0</v>
      </c>
      <c r="I8" s="1" t="s">
        <v>29</v>
      </c>
      <c r="J8" s="1" t="s">
        <v>11</v>
      </c>
      <c r="K8" s="2" t="s">
        <v>30</v>
      </c>
      <c r="L8" s="2" t="s">
        <v>31</v>
      </c>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row>
    <row r="9" ht="204.75" customHeight="1">
      <c r="A9" s="1">
        <v>8.0</v>
      </c>
      <c r="B9" s="2" t="s">
        <v>0</v>
      </c>
      <c r="C9" s="2">
        <f>IFERROR(__xludf.DUMMYFUNCTION("split(B9,""_"")"),1910.0)</f>
        <v>1910</v>
      </c>
      <c r="D9" s="2" t="str">
        <f>IFERROR(__xludf.DUMMYFUNCTION("""COMPUTED_VALUE"""),"CX")</f>
        <v>CX</v>
      </c>
      <c r="E9" s="2" t="str">
        <f>IFERROR(__xludf.DUMMYFUNCTION("""COMPUTED_VALUE"""),"月21")</f>
        <v>月21</v>
      </c>
      <c r="F9" s="2" t="s">
        <v>1</v>
      </c>
      <c r="G9" s="2" t="s">
        <v>32</v>
      </c>
      <c r="H9" s="1">
        <v>9.0</v>
      </c>
      <c r="I9" s="1" t="s">
        <v>33</v>
      </c>
      <c r="J9" s="1" t="s">
        <v>11</v>
      </c>
      <c r="K9" s="2" t="s">
        <v>34</v>
      </c>
      <c r="L9" s="2" t="s">
        <v>35</v>
      </c>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row>
    <row r="10" ht="204.75" customHeight="1">
      <c r="A10" s="1">
        <v>9.0</v>
      </c>
      <c r="B10" s="2" t="s">
        <v>0</v>
      </c>
      <c r="C10" s="2">
        <f>IFERROR(__xludf.DUMMYFUNCTION("split(B10,""_"")"),1910.0)</f>
        <v>1910</v>
      </c>
      <c r="D10" s="2" t="str">
        <f>IFERROR(__xludf.DUMMYFUNCTION("""COMPUTED_VALUE"""),"CX")</f>
        <v>CX</v>
      </c>
      <c r="E10" s="2" t="str">
        <f>IFERROR(__xludf.DUMMYFUNCTION("""COMPUTED_VALUE"""),"月21")</f>
        <v>月21</v>
      </c>
      <c r="F10" s="2" t="s">
        <v>1</v>
      </c>
      <c r="G10" s="2" t="s">
        <v>36</v>
      </c>
      <c r="H10" s="1">
        <v>10.0</v>
      </c>
      <c r="I10" s="1" t="s">
        <v>37</v>
      </c>
      <c r="J10" s="1" t="s">
        <v>11</v>
      </c>
      <c r="K10" s="2" t="s">
        <v>38</v>
      </c>
      <c r="L10" s="2" t="s">
        <v>39</v>
      </c>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row>
    <row r="11" ht="204.75" customHeight="1">
      <c r="A11" s="1">
        <v>10.0</v>
      </c>
      <c r="B11" s="2" t="s">
        <v>0</v>
      </c>
      <c r="C11" s="2">
        <f>IFERROR(__xludf.DUMMYFUNCTION("split(B11,""_"")"),1910.0)</f>
        <v>1910</v>
      </c>
      <c r="D11" s="2" t="str">
        <f>IFERROR(__xludf.DUMMYFUNCTION("""COMPUTED_VALUE"""),"CX")</f>
        <v>CX</v>
      </c>
      <c r="E11" s="2" t="str">
        <f>IFERROR(__xludf.DUMMYFUNCTION("""COMPUTED_VALUE"""),"月21")</f>
        <v>月21</v>
      </c>
      <c r="F11" s="2" t="s">
        <v>1</v>
      </c>
      <c r="G11" s="2" t="s">
        <v>40</v>
      </c>
      <c r="H11" s="1">
        <v>11.0</v>
      </c>
      <c r="I11" s="1" t="s">
        <v>41</v>
      </c>
      <c r="J11" s="1" t="s">
        <v>4</v>
      </c>
      <c r="K11" s="2" t="s">
        <v>42</v>
      </c>
      <c r="L11" s="2" t="s">
        <v>43</v>
      </c>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row>
    <row r="12" ht="204.75" customHeight="1">
      <c r="A12" s="1">
        <v>11.0</v>
      </c>
      <c r="B12" s="2" t="s">
        <v>0</v>
      </c>
      <c r="C12" s="2">
        <f>IFERROR(__xludf.DUMMYFUNCTION("split(B12,""_"")"),1910.0)</f>
        <v>1910</v>
      </c>
      <c r="D12" s="2" t="str">
        <f>IFERROR(__xludf.DUMMYFUNCTION("""COMPUTED_VALUE"""),"CX")</f>
        <v>CX</v>
      </c>
      <c r="E12" s="2" t="str">
        <f>IFERROR(__xludf.DUMMYFUNCTION("""COMPUTED_VALUE"""),"月21")</f>
        <v>月21</v>
      </c>
      <c r="F12" s="2" t="s">
        <v>1</v>
      </c>
      <c r="G12" s="2" t="s">
        <v>44</v>
      </c>
      <c r="H12" s="1">
        <v>12.0</v>
      </c>
      <c r="J12" s="1" t="s">
        <v>4</v>
      </c>
      <c r="K12" s="2" t="s">
        <v>45</v>
      </c>
      <c r="L12" s="2" t="s">
        <v>46</v>
      </c>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row>
    <row r="13" ht="204.75" customHeight="1">
      <c r="A13" s="1">
        <v>12.0</v>
      </c>
      <c r="B13" s="2" t="s">
        <v>47</v>
      </c>
      <c r="C13" s="2">
        <f>IFERROR(__xludf.DUMMYFUNCTION("split(B13,""_"")"),1910.0)</f>
        <v>1910</v>
      </c>
      <c r="D13" s="2" t="str">
        <f>IFERROR(__xludf.DUMMYFUNCTION("""COMPUTED_VALUE"""),"CX")</f>
        <v>CX</v>
      </c>
      <c r="E13" s="2" t="str">
        <f>IFERROR(__xludf.DUMMYFUNCTION("""COMPUTED_VALUE"""),"火22")</f>
        <v>火22</v>
      </c>
      <c r="F13" s="2" t="s">
        <v>48</v>
      </c>
      <c r="G13" s="2" t="s">
        <v>49</v>
      </c>
      <c r="H13" s="1">
        <v>1.0</v>
      </c>
      <c r="I13" s="1" t="s">
        <v>3</v>
      </c>
      <c r="J13" s="1" t="s">
        <v>4</v>
      </c>
      <c r="K13" s="2" t="s">
        <v>50</v>
      </c>
      <c r="L13" s="2" t="s">
        <v>51</v>
      </c>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row>
    <row r="14" ht="204.75" customHeight="1">
      <c r="A14" s="1">
        <v>13.0</v>
      </c>
      <c r="B14" s="2" t="s">
        <v>47</v>
      </c>
      <c r="C14" s="2">
        <f>IFERROR(__xludf.DUMMYFUNCTION("split(B14,""_"")"),1910.0)</f>
        <v>1910</v>
      </c>
      <c r="D14" s="2" t="str">
        <f>IFERROR(__xludf.DUMMYFUNCTION("""COMPUTED_VALUE"""),"CX")</f>
        <v>CX</v>
      </c>
      <c r="E14" s="2" t="str">
        <f>IFERROR(__xludf.DUMMYFUNCTION("""COMPUTED_VALUE"""),"火22")</f>
        <v>火22</v>
      </c>
      <c r="F14" s="2" t="s">
        <v>48</v>
      </c>
      <c r="G14" s="2" t="s">
        <v>52</v>
      </c>
      <c r="H14" s="1">
        <v>2.0</v>
      </c>
      <c r="I14" s="1" t="s">
        <v>7</v>
      </c>
      <c r="J14" s="1" t="s">
        <v>11</v>
      </c>
      <c r="K14" s="2" t="s">
        <v>53</v>
      </c>
      <c r="L14" s="2" t="s">
        <v>54</v>
      </c>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row>
    <row r="15" ht="204.75" customHeight="1">
      <c r="A15" s="1">
        <v>14.0</v>
      </c>
      <c r="B15" s="2" t="s">
        <v>47</v>
      </c>
      <c r="C15" s="2">
        <f>IFERROR(__xludf.DUMMYFUNCTION("split(B15,""_"")"),1910.0)</f>
        <v>1910</v>
      </c>
      <c r="D15" s="2" t="str">
        <f>IFERROR(__xludf.DUMMYFUNCTION("""COMPUTED_VALUE"""),"CX")</f>
        <v>CX</v>
      </c>
      <c r="E15" s="2" t="str">
        <f>IFERROR(__xludf.DUMMYFUNCTION("""COMPUTED_VALUE"""),"火22")</f>
        <v>火22</v>
      </c>
      <c r="F15" s="2" t="s">
        <v>48</v>
      </c>
      <c r="G15" s="2" t="s">
        <v>55</v>
      </c>
      <c r="H15" s="1">
        <v>3.0</v>
      </c>
      <c r="I15" s="1" t="s">
        <v>10</v>
      </c>
      <c r="J15" s="1" t="s">
        <v>11</v>
      </c>
      <c r="K15" s="2" t="s">
        <v>56</v>
      </c>
      <c r="L15" s="2" t="s">
        <v>57</v>
      </c>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row>
    <row r="16" ht="204.75" customHeight="1">
      <c r="A16" s="1">
        <v>15.0</v>
      </c>
      <c r="B16" s="2" t="s">
        <v>47</v>
      </c>
      <c r="C16" s="2">
        <f>IFERROR(__xludf.DUMMYFUNCTION("split(B16,""_"")"),1910.0)</f>
        <v>1910</v>
      </c>
      <c r="D16" s="2" t="str">
        <f>IFERROR(__xludf.DUMMYFUNCTION("""COMPUTED_VALUE"""),"CX")</f>
        <v>CX</v>
      </c>
      <c r="E16" s="2" t="str">
        <f>IFERROR(__xludf.DUMMYFUNCTION("""COMPUTED_VALUE"""),"火22")</f>
        <v>火22</v>
      </c>
      <c r="F16" s="2" t="s">
        <v>48</v>
      </c>
      <c r="G16" s="2" t="s">
        <v>58</v>
      </c>
      <c r="H16" s="1">
        <v>4.0</v>
      </c>
      <c r="I16" s="1" t="s">
        <v>14</v>
      </c>
      <c r="J16" s="1" t="s">
        <v>11</v>
      </c>
      <c r="K16" s="2" t="s">
        <v>59</v>
      </c>
      <c r="L16" s="2" t="s">
        <v>60</v>
      </c>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row>
    <row r="17" ht="204.75" customHeight="1">
      <c r="A17" s="1">
        <v>16.0</v>
      </c>
      <c r="B17" s="2" t="s">
        <v>47</v>
      </c>
      <c r="C17" s="2">
        <f>IFERROR(__xludf.DUMMYFUNCTION("split(B17,""_"")"),1910.0)</f>
        <v>1910</v>
      </c>
      <c r="D17" s="2" t="str">
        <f>IFERROR(__xludf.DUMMYFUNCTION("""COMPUTED_VALUE"""),"CX")</f>
        <v>CX</v>
      </c>
      <c r="E17" s="2" t="str">
        <f>IFERROR(__xludf.DUMMYFUNCTION("""COMPUTED_VALUE"""),"火22")</f>
        <v>火22</v>
      </c>
      <c r="F17" s="2" t="s">
        <v>48</v>
      </c>
      <c r="G17" s="2" t="s">
        <v>61</v>
      </c>
      <c r="H17" s="1">
        <v>5.0</v>
      </c>
      <c r="I17" s="1" t="s">
        <v>17</v>
      </c>
      <c r="J17" s="1" t="s">
        <v>11</v>
      </c>
      <c r="K17" s="2" t="s">
        <v>62</v>
      </c>
      <c r="L17" s="2" t="s">
        <v>63</v>
      </c>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row>
    <row r="18" ht="204.75" customHeight="1">
      <c r="A18" s="1">
        <v>17.0</v>
      </c>
      <c r="B18" s="2" t="s">
        <v>47</v>
      </c>
      <c r="C18" s="2">
        <f>IFERROR(__xludf.DUMMYFUNCTION("split(B18,""_"")"),1910.0)</f>
        <v>1910</v>
      </c>
      <c r="D18" s="2" t="str">
        <f>IFERROR(__xludf.DUMMYFUNCTION("""COMPUTED_VALUE"""),"CX")</f>
        <v>CX</v>
      </c>
      <c r="E18" s="2" t="str">
        <f>IFERROR(__xludf.DUMMYFUNCTION("""COMPUTED_VALUE"""),"火22")</f>
        <v>火22</v>
      </c>
      <c r="F18" s="2" t="s">
        <v>48</v>
      </c>
      <c r="G18" s="2" t="s">
        <v>64</v>
      </c>
      <c r="H18" s="1">
        <v>6.0</v>
      </c>
      <c r="I18" s="1" t="s">
        <v>21</v>
      </c>
      <c r="J18" s="1" t="s">
        <v>11</v>
      </c>
      <c r="K18" s="2" t="s">
        <v>65</v>
      </c>
      <c r="L18" s="2" t="s">
        <v>66</v>
      </c>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row>
    <row r="19" ht="204.75" customHeight="1">
      <c r="A19" s="1">
        <v>18.0</v>
      </c>
      <c r="B19" s="2" t="s">
        <v>47</v>
      </c>
      <c r="C19" s="2">
        <f>IFERROR(__xludf.DUMMYFUNCTION("split(B19,""_"")"),1910.0)</f>
        <v>1910</v>
      </c>
      <c r="D19" s="2" t="str">
        <f>IFERROR(__xludf.DUMMYFUNCTION("""COMPUTED_VALUE"""),"CX")</f>
        <v>CX</v>
      </c>
      <c r="E19" s="2" t="str">
        <f>IFERROR(__xludf.DUMMYFUNCTION("""COMPUTED_VALUE"""),"火22")</f>
        <v>火22</v>
      </c>
      <c r="F19" s="2" t="s">
        <v>48</v>
      </c>
      <c r="G19" s="2" t="s">
        <v>67</v>
      </c>
      <c r="H19" s="1">
        <v>7.0</v>
      </c>
      <c r="I19" s="1" t="s">
        <v>25</v>
      </c>
      <c r="J19" s="1" t="s">
        <v>4</v>
      </c>
      <c r="K19" s="2" t="s">
        <v>68</v>
      </c>
      <c r="L19" s="2" t="s">
        <v>69</v>
      </c>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row>
    <row r="20" ht="204.75" customHeight="1">
      <c r="A20" s="1">
        <v>19.0</v>
      </c>
      <c r="B20" s="2" t="s">
        <v>47</v>
      </c>
      <c r="C20" s="2">
        <f>IFERROR(__xludf.DUMMYFUNCTION("split(B20,""_"")"),1910.0)</f>
        <v>1910</v>
      </c>
      <c r="D20" s="2" t="str">
        <f>IFERROR(__xludf.DUMMYFUNCTION("""COMPUTED_VALUE"""),"CX")</f>
        <v>CX</v>
      </c>
      <c r="E20" s="2" t="str">
        <f>IFERROR(__xludf.DUMMYFUNCTION("""COMPUTED_VALUE"""),"火22")</f>
        <v>火22</v>
      </c>
      <c r="F20" s="2" t="s">
        <v>48</v>
      </c>
      <c r="G20" s="2" t="s">
        <v>70</v>
      </c>
      <c r="H20" s="1">
        <v>8.0</v>
      </c>
      <c r="I20" s="1" t="s">
        <v>29</v>
      </c>
      <c r="J20" s="1" t="s">
        <v>11</v>
      </c>
      <c r="K20" s="2" t="s">
        <v>71</v>
      </c>
      <c r="L20" s="2" t="s">
        <v>72</v>
      </c>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row>
    <row r="21" ht="204.75" customHeight="1">
      <c r="A21" s="1">
        <v>20.0</v>
      </c>
      <c r="B21" s="2" t="s">
        <v>47</v>
      </c>
      <c r="C21" s="2">
        <f>IFERROR(__xludf.DUMMYFUNCTION("split(B21,""_"")"),1910.0)</f>
        <v>1910</v>
      </c>
      <c r="D21" s="2" t="str">
        <f>IFERROR(__xludf.DUMMYFUNCTION("""COMPUTED_VALUE"""),"CX")</f>
        <v>CX</v>
      </c>
      <c r="E21" s="2" t="str">
        <f>IFERROR(__xludf.DUMMYFUNCTION("""COMPUTED_VALUE"""),"火22")</f>
        <v>火22</v>
      </c>
      <c r="F21" s="2" t="s">
        <v>48</v>
      </c>
      <c r="G21" s="2" t="s">
        <v>73</v>
      </c>
      <c r="H21" s="1">
        <v>9.0</v>
      </c>
      <c r="I21" s="1" t="s">
        <v>33</v>
      </c>
      <c r="J21" s="1" t="s">
        <v>11</v>
      </c>
      <c r="K21" s="2" t="s">
        <v>74</v>
      </c>
      <c r="L21" s="2" t="s">
        <v>75</v>
      </c>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row>
    <row r="22" ht="204.75" customHeight="1">
      <c r="A22" s="1">
        <v>21.0</v>
      </c>
      <c r="B22" s="2" t="s">
        <v>47</v>
      </c>
      <c r="C22" s="2">
        <f>IFERROR(__xludf.DUMMYFUNCTION("split(B22,""_"")"),1910.0)</f>
        <v>1910</v>
      </c>
      <c r="D22" s="2" t="str">
        <f>IFERROR(__xludf.DUMMYFUNCTION("""COMPUTED_VALUE"""),"CX")</f>
        <v>CX</v>
      </c>
      <c r="E22" s="2" t="str">
        <f>IFERROR(__xludf.DUMMYFUNCTION("""COMPUTED_VALUE"""),"火22")</f>
        <v>火22</v>
      </c>
      <c r="F22" s="2" t="s">
        <v>48</v>
      </c>
      <c r="G22" s="2" t="s">
        <v>76</v>
      </c>
      <c r="H22" s="1">
        <v>10.0</v>
      </c>
      <c r="I22" s="1" t="s">
        <v>37</v>
      </c>
      <c r="J22" s="1" t="s">
        <v>4</v>
      </c>
      <c r="K22" s="2" t="s">
        <v>77</v>
      </c>
      <c r="L22" s="2" t="s">
        <v>78</v>
      </c>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row>
    <row r="23" ht="204.75" customHeight="1">
      <c r="A23" s="1">
        <v>52.0</v>
      </c>
      <c r="B23" s="2" t="s">
        <v>79</v>
      </c>
      <c r="C23" s="2">
        <f>IFERROR(__xludf.DUMMYFUNCTION("split(B23,""_"")"),1910.0)</f>
        <v>1910</v>
      </c>
      <c r="D23" s="2" t="str">
        <f>IFERROR(__xludf.DUMMYFUNCTION("""COMPUTED_VALUE"""),"CX")</f>
        <v>CX</v>
      </c>
      <c r="E23" s="2" t="str">
        <f>IFERROR(__xludf.DUMMYFUNCTION("""COMPUTED_VALUE"""),"木22")</f>
        <v>木22</v>
      </c>
      <c r="F23" s="2" t="s">
        <v>80</v>
      </c>
      <c r="G23" s="2" t="s">
        <v>81</v>
      </c>
      <c r="H23" s="1">
        <v>1.0</v>
      </c>
      <c r="I23" s="1" t="s">
        <v>3</v>
      </c>
      <c r="J23" s="1" t="s">
        <v>82</v>
      </c>
      <c r="K23" s="2" t="s">
        <v>83</v>
      </c>
      <c r="L23" s="2" t="s">
        <v>84</v>
      </c>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row>
    <row r="24" ht="204.75" customHeight="1">
      <c r="A24" s="1">
        <v>53.0</v>
      </c>
      <c r="B24" s="2" t="s">
        <v>79</v>
      </c>
      <c r="C24" s="2">
        <f>IFERROR(__xludf.DUMMYFUNCTION("split(B24,""_"")"),1910.0)</f>
        <v>1910</v>
      </c>
      <c r="D24" s="2" t="str">
        <f>IFERROR(__xludf.DUMMYFUNCTION("""COMPUTED_VALUE"""),"CX")</f>
        <v>CX</v>
      </c>
      <c r="E24" s="2" t="str">
        <f>IFERROR(__xludf.DUMMYFUNCTION("""COMPUTED_VALUE"""),"木22")</f>
        <v>木22</v>
      </c>
      <c r="F24" s="2" t="s">
        <v>80</v>
      </c>
      <c r="G24" s="2" t="s">
        <v>85</v>
      </c>
      <c r="H24" s="1">
        <v>2.0</v>
      </c>
      <c r="I24" s="1" t="s">
        <v>7</v>
      </c>
      <c r="J24" s="1" t="s">
        <v>86</v>
      </c>
      <c r="K24" s="2" t="s">
        <v>87</v>
      </c>
      <c r="L24" s="2" t="s">
        <v>88</v>
      </c>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row>
    <row r="25" ht="204.75" customHeight="1">
      <c r="A25" s="1">
        <v>54.0</v>
      </c>
      <c r="B25" s="2" t="s">
        <v>79</v>
      </c>
      <c r="C25" s="2">
        <f>IFERROR(__xludf.DUMMYFUNCTION("split(B25,""_"")"),1910.0)</f>
        <v>1910</v>
      </c>
      <c r="D25" s="2" t="str">
        <f>IFERROR(__xludf.DUMMYFUNCTION("""COMPUTED_VALUE"""),"CX")</f>
        <v>CX</v>
      </c>
      <c r="E25" s="2" t="str">
        <f>IFERROR(__xludf.DUMMYFUNCTION("""COMPUTED_VALUE"""),"木22")</f>
        <v>木22</v>
      </c>
      <c r="F25" s="2" t="s">
        <v>80</v>
      </c>
      <c r="G25" s="2" t="s">
        <v>89</v>
      </c>
      <c r="H25" s="1">
        <v>3.0</v>
      </c>
      <c r="I25" s="1" t="s">
        <v>10</v>
      </c>
      <c r="J25" s="1" t="s">
        <v>86</v>
      </c>
      <c r="K25" s="2" t="s">
        <v>90</v>
      </c>
      <c r="L25" s="2" t="s">
        <v>91</v>
      </c>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row>
    <row r="26" ht="204.75" customHeight="1">
      <c r="A26" s="1">
        <v>55.0</v>
      </c>
      <c r="B26" s="2" t="s">
        <v>79</v>
      </c>
      <c r="C26" s="2">
        <f>IFERROR(__xludf.DUMMYFUNCTION("split(B26,""_"")"),1910.0)</f>
        <v>1910</v>
      </c>
      <c r="D26" s="2" t="str">
        <f>IFERROR(__xludf.DUMMYFUNCTION("""COMPUTED_VALUE"""),"CX")</f>
        <v>CX</v>
      </c>
      <c r="E26" s="2" t="str">
        <f>IFERROR(__xludf.DUMMYFUNCTION("""COMPUTED_VALUE"""),"木22")</f>
        <v>木22</v>
      </c>
      <c r="F26" s="2" t="s">
        <v>80</v>
      </c>
      <c r="G26" s="2" t="s">
        <v>92</v>
      </c>
      <c r="H26" s="1">
        <v>4.0</v>
      </c>
      <c r="I26" s="1" t="s">
        <v>14</v>
      </c>
      <c r="J26" s="1" t="s">
        <v>86</v>
      </c>
      <c r="K26" s="2" t="s">
        <v>93</v>
      </c>
      <c r="L26" s="2" t="s">
        <v>94</v>
      </c>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row>
    <row r="27" ht="204.75" customHeight="1">
      <c r="A27" s="1">
        <v>56.0</v>
      </c>
      <c r="B27" s="2" t="s">
        <v>79</v>
      </c>
      <c r="C27" s="2">
        <f>IFERROR(__xludf.DUMMYFUNCTION("split(B27,""_"")"),1910.0)</f>
        <v>1910</v>
      </c>
      <c r="D27" s="2" t="str">
        <f>IFERROR(__xludf.DUMMYFUNCTION("""COMPUTED_VALUE"""),"CX")</f>
        <v>CX</v>
      </c>
      <c r="E27" s="2" t="str">
        <f>IFERROR(__xludf.DUMMYFUNCTION("""COMPUTED_VALUE"""),"木22")</f>
        <v>木22</v>
      </c>
      <c r="F27" s="2" t="s">
        <v>80</v>
      </c>
      <c r="G27" s="2" t="s">
        <v>95</v>
      </c>
      <c r="H27" s="1">
        <v>5.0</v>
      </c>
      <c r="I27" s="1" t="s">
        <v>17</v>
      </c>
      <c r="J27" s="1" t="s">
        <v>86</v>
      </c>
      <c r="K27" s="2" t="s">
        <v>96</v>
      </c>
      <c r="L27" s="2" t="s">
        <v>97</v>
      </c>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row>
    <row r="28" ht="204.75" customHeight="1">
      <c r="A28" s="1">
        <v>57.0</v>
      </c>
      <c r="B28" s="2" t="s">
        <v>79</v>
      </c>
      <c r="C28" s="2">
        <f>IFERROR(__xludf.DUMMYFUNCTION("split(B28,""_"")"),1910.0)</f>
        <v>1910</v>
      </c>
      <c r="D28" s="2" t="str">
        <f>IFERROR(__xludf.DUMMYFUNCTION("""COMPUTED_VALUE"""),"CX")</f>
        <v>CX</v>
      </c>
      <c r="E28" s="2" t="str">
        <f>IFERROR(__xludf.DUMMYFUNCTION("""COMPUTED_VALUE"""),"木22")</f>
        <v>木22</v>
      </c>
      <c r="F28" s="2" t="s">
        <v>80</v>
      </c>
      <c r="G28" s="2" t="s">
        <v>98</v>
      </c>
      <c r="H28" s="1">
        <v>6.0</v>
      </c>
      <c r="I28" s="1" t="s">
        <v>21</v>
      </c>
      <c r="J28" s="1" t="s">
        <v>86</v>
      </c>
      <c r="K28" s="2" t="s">
        <v>99</v>
      </c>
      <c r="L28" s="2" t="s">
        <v>100</v>
      </c>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row>
    <row r="29" ht="204.75" customHeight="1">
      <c r="A29" s="1">
        <v>58.0</v>
      </c>
      <c r="B29" s="2" t="s">
        <v>79</v>
      </c>
      <c r="C29" s="2">
        <f>IFERROR(__xludf.DUMMYFUNCTION("split(B29,""_"")"),1910.0)</f>
        <v>1910</v>
      </c>
      <c r="D29" s="2" t="str">
        <f>IFERROR(__xludf.DUMMYFUNCTION("""COMPUTED_VALUE"""),"CX")</f>
        <v>CX</v>
      </c>
      <c r="E29" s="2" t="str">
        <f>IFERROR(__xludf.DUMMYFUNCTION("""COMPUTED_VALUE"""),"木22")</f>
        <v>木22</v>
      </c>
      <c r="F29" s="2" t="s">
        <v>80</v>
      </c>
      <c r="G29" s="2" t="s">
        <v>101</v>
      </c>
      <c r="H29" s="1">
        <v>7.0</v>
      </c>
      <c r="I29" s="1" t="s">
        <v>25</v>
      </c>
      <c r="J29" s="1" t="s">
        <v>86</v>
      </c>
      <c r="K29" s="2" t="s">
        <v>102</v>
      </c>
      <c r="L29" s="2" t="s">
        <v>103</v>
      </c>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row>
    <row r="30" ht="204.75" customHeight="1">
      <c r="A30" s="1">
        <v>59.0</v>
      </c>
      <c r="B30" s="2" t="s">
        <v>79</v>
      </c>
      <c r="C30" s="2">
        <f>IFERROR(__xludf.DUMMYFUNCTION("split(B30,""_"")"),1910.0)</f>
        <v>1910</v>
      </c>
      <c r="D30" s="2" t="str">
        <f>IFERROR(__xludf.DUMMYFUNCTION("""COMPUTED_VALUE"""),"CX")</f>
        <v>CX</v>
      </c>
      <c r="E30" s="2" t="str">
        <f>IFERROR(__xludf.DUMMYFUNCTION("""COMPUTED_VALUE"""),"木22")</f>
        <v>木22</v>
      </c>
      <c r="F30" s="2" t="s">
        <v>80</v>
      </c>
      <c r="G30" s="2" t="s">
        <v>104</v>
      </c>
      <c r="H30" s="1">
        <v>8.0</v>
      </c>
      <c r="I30" s="1" t="s">
        <v>29</v>
      </c>
      <c r="J30" s="1" t="s">
        <v>86</v>
      </c>
      <c r="K30" s="2" t="s">
        <v>105</v>
      </c>
      <c r="L30" s="2" t="s">
        <v>106</v>
      </c>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row>
    <row r="31" ht="204.75" customHeight="1">
      <c r="A31" s="1">
        <v>60.0</v>
      </c>
      <c r="B31" s="2" t="s">
        <v>79</v>
      </c>
      <c r="C31" s="2">
        <f>IFERROR(__xludf.DUMMYFUNCTION("split(B31,""_"")"),1910.0)</f>
        <v>1910</v>
      </c>
      <c r="D31" s="2" t="str">
        <f>IFERROR(__xludf.DUMMYFUNCTION("""COMPUTED_VALUE"""),"CX")</f>
        <v>CX</v>
      </c>
      <c r="E31" s="2" t="str">
        <f>IFERROR(__xludf.DUMMYFUNCTION("""COMPUTED_VALUE"""),"木22")</f>
        <v>木22</v>
      </c>
      <c r="F31" s="2" t="s">
        <v>80</v>
      </c>
      <c r="G31" s="2" t="s">
        <v>107</v>
      </c>
      <c r="H31" s="1">
        <v>9.0</v>
      </c>
      <c r="I31" s="1" t="s">
        <v>33</v>
      </c>
      <c r="J31" s="1" t="s">
        <v>86</v>
      </c>
      <c r="K31" s="2" t="s">
        <v>108</v>
      </c>
      <c r="L31" s="2" t="s">
        <v>109</v>
      </c>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row>
    <row r="32" ht="204.75" customHeight="1">
      <c r="A32" s="1">
        <v>147.0</v>
      </c>
      <c r="B32" s="2" t="s">
        <v>110</v>
      </c>
      <c r="C32" s="2">
        <f>IFERROR(__xludf.DUMMYFUNCTION("split(B32,""_"")"),1907.0)</f>
        <v>1907</v>
      </c>
      <c r="D32" s="2" t="str">
        <f>IFERROR(__xludf.DUMMYFUNCTION("""COMPUTED_VALUE"""),"CX")</f>
        <v>CX</v>
      </c>
      <c r="E32" s="2" t="str">
        <f>IFERROR(__xludf.DUMMYFUNCTION("""COMPUTED_VALUE"""),"木22")</f>
        <v>木22</v>
      </c>
      <c r="F32" s="2" t="s">
        <v>111</v>
      </c>
      <c r="G32" s="2" t="s">
        <v>112</v>
      </c>
      <c r="H32" s="1">
        <v>1.0</v>
      </c>
      <c r="I32" s="1" t="s">
        <v>3</v>
      </c>
      <c r="J32" s="1" t="s">
        <v>82</v>
      </c>
      <c r="K32" s="2" t="s">
        <v>113</v>
      </c>
      <c r="L32" s="2" t="s">
        <v>114</v>
      </c>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row>
    <row r="33" ht="204.75" customHeight="1">
      <c r="A33" s="1">
        <v>148.0</v>
      </c>
      <c r="B33" s="2" t="s">
        <v>110</v>
      </c>
      <c r="C33" s="2">
        <f>IFERROR(__xludf.DUMMYFUNCTION("split(B33,""_"")"),1907.0)</f>
        <v>1907</v>
      </c>
      <c r="D33" s="2" t="str">
        <f>IFERROR(__xludf.DUMMYFUNCTION("""COMPUTED_VALUE"""),"CX")</f>
        <v>CX</v>
      </c>
      <c r="E33" s="2" t="str">
        <f>IFERROR(__xludf.DUMMYFUNCTION("""COMPUTED_VALUE"""),"木22")</f>
        <v>木22</v>
      </c>
      <c r="F33" s="2" t="s">
        <v>111</v>
      </c>
      <c r="G33" s="2" t="s">
        <v>115</v>
      </c>
      <c r="H33" s="1">
        <v>2.0</v>
      </c>
      <c r="I33" s="1" t="s">
        <v>7</v>
      </c>
      <c r="J33" s="1" t="s">
        <v>86</v>
      </c>
      <c r="K33" s="2" t="s">
        <v>116</v>
      </c>
      <c r="L33" s="2" t="s">
        <v>117</v>
      </c>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row>
    <row r="34" ht="204.75" customHeight="1">
      <c r="A34" s="1">
        <v>149.0</v>
      </c>
      <c r="B34" s="2" t="s">
        <v>110</v>
      </c>
      <c r="C34" s="2">
        <f>IFERROR(__xludf.DUMMYFUNCTION("split(B34,""_"")"),1907.0)</f>
        <v>1907</v>
      </c>
      <c r="D34" s="2" t="str">
        <f>IFERROR(__xludf.DUMMYFUNCTION("""COMPUTED_VALUE"""),"CX")</f>
        <v>CX</v>
      </c>
      <c r="E34" s="2" t="str">
        <f>IFERROR(__xludf.DUMMYFUNCTION("""COMPUTED_VALUE"""),"木22")</f>
        <v>木22</v>
      </c>
      <c r="F34" s="2" t="s">
        <v>111</v>
      </c>
      <c r="G34" s="2" t="s">
        <v>118</v>
      </c>
      <c r="H34" s="1">
        <v>3.0</v>
      </c>
      <c r="I34" s="1" t="s">
        <v>10</v>
      </c>
      <c r="J34" s="1" t="s">
        <v>86</v>
      </c>
      <c r="K34" s="2" t="s">
        <v>119</v>
      </c>
      <c r="L34" s="2" t="s">
        <v>120</v>
      </c>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row>
    <row r="35" ht="204.75" customHeight="1">
      <c r="A35" s="1">
        <v>150.0</v>
      </c>
      <c r="B35" s="2" t="s">
        <v>110</v>
      </c>
      <c r="C35" s="2">
        <f>IFERROR(__xludf.DUMMYFUNCTION("split(B35,""_"")"),1907.0)</f>
        <v>1907</v>
      </c>
      <c r="D35" s="2" t="str">
        <f>IFERROR(__xludf.DUMMYFUNCTION("""COMPUTED_VALUE"""),"CX")</f>
        <v>CX</v>
      </c>
      <c r="E35" s="2" t="str">
        <f>IFERROR(__xludf.DUMMYFUNCTION("""COMPUTED_VALUE"""),"木22")</f>
        <v>木22</v>
      </c>
      <c r="F35" s="2" t="s">
        <v>111</v>
      </c>
      <c r="G35" s="2" t="s">
        <v>121</v>
      </c>
      <c r="H35" s="1">
        <v>4.0</v>
      </c>
      <c r="I35" s="1" t="s">
        <v>14</v>
      </c>
      <c r="J35" s="1" t="s">
        <v>86</v>
      </c>
      <c r="K35" s="2" t="s">
        <v>122</v>
      </c>
      <c r="L35" s="2" t="s">
        <v>123</v>
      </c>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row>
    <row r="36" ht="204.75" customHeight="1">
      <c r="A36" s="1">
        <v>151.0</v>
      </c>
      <c r="B36" s="2" t="s">
        <v>110</v>
      </c>
      <c r="C36" s="2">
        <f>IFERROR(__xludf.DUMMYFUNCTION("split(B36,""_"")"),1907.0)</f>
        <v>1907</v>
      </c>
      <c r="D36" s="2" t="str">
        <f>IFERROR(__xludf.DUMMYFUNCTION("""COMPUTED_VALUE"""),"CX")</f>
        <v>CX</v>
      </c>
      <c r="E36" s="2" t="str">
        <f>IFERROR(__xludf.DUMMYFUNCTION("""COMPUTED_VALUE"""),"木22")</f>
        <v>木22</v>
      </c>
      <c r="F36" s="2" t="s">
        <v>111</v>
      </c>
      <c r="G36" s="2" t="s">
        <v>124</v>
      </c>
      <c r="H36" s="1">
        <v>5.0</v>
      </c>
      <c r="I36" s="1" t="s">
        <v>17</v>
      </c>
      <c r="J36" s="1" t="s">
        <v>86</v>
      </c>
      <c r="K36" s="2" t="s">
        <v>125</v>
      </c>
      <c r="L36" s="2" t="s">
        <v>126</v>
      </c>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row>
    <row r="37" ht="204.75" customHeight="1">
      <c r="A37" s="1">
        <v>152.0</v>
      </c>
      <c r="B37" s="2" t="s">
        <v>110</v>
      </c>
      <c r="C37" s="2">
        <f>IFERROR(__xludf.DUMMYFUNCTION("split(B37,""_"")"),1907.0)</f>
        <v>1907</v>
      </c>
      <c r="D37" s="2" t="str">
        <f>IFERROR(__xludf.DUMMYFUNCTION("""COMPUTED_VALUE"""),"CX")</f>
        <v>CX</v>
      </c>
      <c r="E37" s="2" t="str">
        <f>IFERROR(__xludf.DUMMYFUNCTION("""COMPUTED_VALUE"""),"木22")</f>
        <v>木22</v>
      </c>
      <c r="F37" s="2" t="s">
        <v>111</v>
      </c>
      <c r="G37" s="2" t="s">
        <v>127</v>
      </c>
      <c r="H37" s="1">
        <v>6.0</v>
      </c>
      <c r="I37" s="1" t="s">
        <v>21</v>
      </c>
      <c r="J37" s="1" t="s">
        <v>86</v>
      </c>
      <c r="K37" s="2" t="s">
        <v>128</v>
      </c>
      <c r="L37" s="2" t="s">
        <v>129</v>
      </c>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row>
    <row r="38" ht="204.75" customHeight="1">
      <c r="A38" s="1">
        <v>153.0</v>
      </c>
      <c r="B38" s="2" t="s">
        <v>110</v>
      </c>
      <c r="C38" s="2">
        <f>IFERROR(__xludf.DUMMYFUNCTION("split(B38,""_"")"),1907.0)</f>
        <v>1907</v>
      </c>
      <c r="D38" s="2" t="str">
        <f>IFERROR(__xludf.DUMMYFUNCTION("""COMPUTED_VALUE"""),"CX")</f>
        <v>CX</v>
      </c>
      <c r="E38" s="2" t="str">
        <f>IFERROR(__xludf.DUMMYFUNCTION("""COMPUTED_VALUE"""),"木22")</f>
        <v>木22</v>
      </c>
      <c r="F38" s="2" t="s">
        <v>111</v>
      </c>
      <c r="G38" s="2" t="s">
        <v>130</v>
      </c>
      <c r="H38" s="1">
        <v>7.0</v>
      </c>
      <c r="I38" s="1" t="s">
        <v>25</v>
      </c>
      <c r="J38" s="1" t="s">
        <v>86</v>
      </c>
      <c r="K38" s="2" t="s">
        <v>131</v>
      </c>
      <c r="L38" s="2" t="s">
        <v>132</v>
      </c>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row>
    <row r="39" ht="204.75" customHeight="1">
      <c r="A39" s="1">
        <v>154.0</v>
      </c>
      <c r="B39" s="2" t="s">
        <v>110</v>
      </c>
      <c r="C39" s="2">
        <f>IFERROR(__xludf.DUMMYFUNCTION("split(B39,""_"")"),1907.0)</f>
        <v>1907</v>
      </c>
      <c r="D39" s="2" t="str">
        <f>IFERROR(__xludf.DUMMYFUNCTION("""COMPUTED_VALUE"""),"CX")</f>
        <v>CX</v>
      </c>
      <c r="E39" s="2" t="str">
        <f>IFERROR(__xludf.DUMMYFUNCTION("""COMPUTED_VALUE"""),"木22")</f>
        <v>木22</v>
      </c>
      <c r="F39" s="2" t="s">
        <v>111</v>
      </c>
      <c r="G39" s="2" t="s">
        <v>133</v>
      </c>
      <c r="H39" s="1">
        <v>8.0</v>
      </c>
      <c r="I39" s="1" t="s">
        <v>29</v>
      </c>
      <c r="J39" s="1" t="s">
        <v>86</v>
      </c>
      <c r="K39" s="2" t="s">
        <v>134</v>
      </c>
      <c r="L39" s="2" t="s">
        <v>135</v>
      </c>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row>
    <row r="40" ht="204.75" customHeight="1">
      <c r="A40" s="1">
        <v>155.0</v>
      </c>
      <c r="B40" s="2" t="s">
        <v>110</v>
      </c>
      <c r="C40" s="2">
        <f>IFERROR(__xludf.DUMMYFUNCTION("split(B40,""_"")"),1907.0)</f>
        <v>1907</v>
      </c>
      <c r="D40" s="2" t="str">
        <f>IFERROR(__xludf.DUMMYFUNCTION("""COMPUTED_VALUE"""),"CX")</f>
        <v>CX</v>
      </c>
      <c r="E40" s="2" t="str">
        <f>IFERROR(__xludf.DUMMYFUNCTION("""COMPUTED_VALUE"""),"木22")</f>
        <v>木22</v>
      </c>
      <c r="F40" s="2" t="s">
        <v>111</v>
      </c>
      <c r="G40" s="2" t="s">
        <v>136</v>
      </c>
      <c r="H40" s="1">
        <v>9.0</v>
      </c>
      <c r="I40" s="1" t="s">
        <v>33</v>
      </c>
      <c r="J40" s="1" t="s">
        <v>82</v>
      </c>
      <c r="K40" s="2" t="s">
        <v>137</v>
      </c>
      <c r="L40" s="2" t="s">
        <v>138</v>
      </c>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row>
    <row r="41" ht="204.75" customHeight="1">
      <c r="A41" s="1">
        <v>156.0</v>
      </c>
      <c r="B41" s="2" t="s">
        <v>110</v>
      </c>
      <c r="C41" s="2">
        <f>IFERROR(__xludf.DUMMYFUNCTION("split(B41,""_"")"),1907.0)</f>
        <v>1907</v>
      </c>
      <c r="D41" s="2" t="str">
        <f>IFERROR(__xludf.DUMMYFUNCTION("""COMPUTED_VALUE"""),"CX")</f>
        <v>CX</v>
      </c>
      <c r="E41" s="2" t="str">
        <f>IFERROR(__xludf.DUMMYFUNCTION("""COMPUTED_VALUE"""),"木22")</f>
        <v>木22</v>
      </c>
      <c r="F41" s="2" t="s">
        <v>111</v>
      </c>
      <c r="G41" s="2" t="s">
        <v>139</v>
      </c>
      <c r="H41" s="1">
        <v>10.0</v>
      </c>
      <c r="I41" s="1" t="s">
        <v>37</v>
      </c>
      <c r="J41" s="1" t="s">
        <v>86</v>
      </c>
      <c r="K41" s="2" t="s">
        <v>140</v>
      </c>
      <c r="L41" s="2" t="s">
        <v>141</v>
      </c>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row>
    <row r="42" ht="204.75" customHeight="1">
      <c r="A42" s="1">
        <v>157.0</v>
      </c>
      <c r="B42" s="2" t="s">
        <v>110</v>
      </c>
      <c r="C42" s="2">
        <f>IFERROR(__xludf.DUMMYFUNCTION("split(B42,""_"")"),1907.0)</f>
        <v>1907</v>
      </c>
      <c r="D42" s="2" t="str">
        <f>IFERROR(__xludf.DUMMYFUNCTION("""COMPUTED_VALUE"""),"CX")</f>
        <v>CX</v>
      </c>
      <c r="E42" s="2" t="str">
        <f>IFERROR(__xludf.DUMMYFUNCTION("""COMPUTED_VALUE"""),"木22")</f>
        <v>木22</v>
      </c>
      <c r="F42" s="2" t="s">
        <v>111</v>
      </c>
      <c r="G42" s="2" t="s">
        <v>142</v>
      </c>
      <c r="H42" s="1">
        <v>11.0</v>
      </c>
      <c r="I42" s="1" t="s">
        <v>41</v>
      </c>
      <c r="J42" s="1" t="s">
        <v>86</v>
      </c>
      <c r="K42" s="2" t="s">
        <v>143</v>
      </c>
      <c r="L42" s="2" t="s">
        <v>144</v>
      </c>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row>
    <row r="43" ht="204.75" customHeight="1">
      <c r="A43" s="5">
        <v>222.0</v>
      </c>
      <c r="B43" s="6" t="s">
        <v>145</v>
      </c>
      <c r="C43" s="2">
        <f>IFERROR(__xludf.DUMMYFUNCTION("split(B43,""_"")"),1904.0)</f>
        <v>1904</v>
      </c>
      <c r="D43" s="2" t="str">
        <f>IFERROR(__xludf.DUMMYFUNCTION("""COMPUTED_VALUE"""),"CX")</f>
        <v>CX</v>
      </c>
      <c r="E43" s="2" t="str">
        <f>IFERROR(__xludf.DUMMYFUNCTION("""COMPUTED_VALUE"""),"月21")</f>
        <v>月21</v>
      </c>
      <c r="F43" s="6" t="s">
        <v>146</v>
      </c>
      <c r="G43" s="6" t="s">
        <v>147</v>
      </c>
      <c r="H43" s="5">
        <v>1.0</v>
      </c>
      <c r="I43" s="5" t="s">
        <v>3</v>
      </c>
      <c r="J43" s="5" t="s">
        <v>4</v>
      </c>
      <c r="K43" s="6" t="s">
        <v>148</v>
      </c>
      <c r="L43" s="6" t="s">
        <v>149</v>
      </c>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row>
    <row r="44" ht="204.75" customHeight="1">
      <c r="A44" s="1">
        <v>223.0</v>
      </c>
      <c r="B44" s="2" t="s">
        <v>145</v>
      </c>
      <c r="C44" s="2">
        <f>IFERROR(__xludf.DUMMYFUNCTION("split(B44,""_"")"),1904.0)</f>
        <v>1904</v>
      </c>
      <c r="D44" s="2" t="str">
        <f>IFERROR(__xludf.DUMMYFUNCTION("""COMPUTED_VALUE"""),"CX")</f>
        <v>CX</v>
      </c>
      <c r="E44" s="2" t="str">
        <f>IFERROR(__xludf.DUMMYFUNCTION("""COMPUTED_VALUE"""),"月21")</f>
        <v>月21</v>
      </c>
      <c r="F44" s="2" t="s">
        <v>146</v>
      </c>
      <c r="G44" s="2" t="s">
        <v>150</v>
      </c>
      <c r="H44" s="1">
        <v>2.0</v>
      </c>
      <c r="I44" s="1" t="s">
        <v>7</v>
      </c>
      <c r="J44" s="1" t="s">
        <v>4</v>
      </c>
      <c r="K44" s="2" t="s">
        <v>151</v>
      </c>
      <c r="L44" s="2" t="s">
        <v>152</v>
      </c>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row>
    <row r="45" ht="204.75" customHeight="1">
      <c r="A45" s="1">
        <v>224.0</v>
      </c>
      <c r="B45" s="2" t="s">
        <v>145</v>
      </c>
      <c r="C45" s="2">
        <f>IFERROR(__xludf.DUMMYFUNCTION("split(B45,""_"")"),1904.0)</f>
        <v>1904</v>
      </c>
      <c r="D45" s="2" t="str">
        <f>IFERROR(__xludf.DUMMYFUNCTION("""COMPUTED_VALUE"""),"CX")</f>
        <v>CX</v>
      </c>
      <c r="E45" s="2" t="str">
        <f>IFERROR(__xludf.DUMMYFUNCTION("""COMPUTED_VALUE"""),"月21")</f>
        <v>月21</v>
      </c>
      <c r="F45" s="2" t="s">
        <v>146</v>
      </c>
      <c r="G45" s="2" t="s">
        <v>153</v>
      </c>
      <c r="H45" s="1">
        <v>3.0</v>
      </c>
      <c r="I45" s="1" t="s">
        <v>10</v>
      </c>
      <c r="J45" s="1" t="s">
        <v>11</v>
      </c>
      <c r="K45" s="2" t="s">
        <v>154</v>
      </c>
      <c r="L45" s="2" t="s">
        <v>155</v>
      </c>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row>
    <row r="46" ht="204.75" customHeight="1">
      <c r="A46" s="1">
        <v>225.0</v>
      </c>
      <c r="B46" s="2" t="s">
        <v>145</v>
      </c>
      <c r="C46" s="2">
        <f>IFERROR(__xludf.DUMMYFUNCTION("split(B46,""_"")"),1904.0)</f>
        <v>1904</v>
      </c>
      <c r="D46" s="2" t="str">
        <f>IFERROR(__xludf.DUMMYFUNCTION("""COMPUTED_VALUE"""),"CX")</f>
        <v>CX</v>
      </c>
      <c r="E46" s="2" t="str">
        <f>IFERROR(__xludf.DUMMYFUNCTION("""COMPUTED_VALUE"""),"月21")</f>
        <v>月21</v>
      </c>
      <c r="F46" s="2" t="s">
        <v>146</v>
      </c>
      <c r="G46" s="2" t="s">
        <v>156</v>
      </c>
      <c r="H46" s="1">
        <v>4.0</v>
      </c>
      <c r="I46" s="1" t="s">
        <v>14</v>
      </c>
      <c r="J46" s="1" t="s">
        <v>11</v>
      </c>
      <c r="K46" s="2" t="s">
        <v>157</v>
      </c>
      <c r="L46" s="2" t="s">
        <v>158</v>
      </c>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row>
    <row r="47" ht="204.75" customHeight="1">
      <c r="A47" s="1">
        <v>226.0</v>
      </c>
      <c r="B47" s="2" t="s">
        <v>145</v>
      </c>
      <c r="C47" s="2">
        <f>IFERROR(__xludf.DUMMYFUNCTION("split(B47,""_"")"),1904.0)</f>
        <v>1904</v>
      </c>
      <c r="D47" s="2" t="str">
        <f>IFERROR(__xludf.DUMMYFUNCTION("""COMPUTED_VALUE"""),"CX")</f>
        <v>CX</v>
      </c>
      <c r="E47" s="2" t="str">
        <f>IFERROR(__xludf.DUMMYFUNCTION("""COMPUTED_VALUE"""),"月21")</f>
        <v>月21</v>
      </c>
      <c r="F47" s="2" t="s">
        <v>146</v>
      </c>
      <c r="G47" s="2" t="s">
        <v>159</v>
      </c>
      <c r="H47" s="1">
        <v>5.0</v>
      </c>
      <c r="I47" s="1" t="s">
        <v>17</v>
      </c>
      <c r="J47" s="1" t="s">
        <v>11</v>
      </c>
      <c r="K47" s="2" t="s">
        <v>160</v>
      </c>
      <c r="L47" s="2" t="s">
        <v>161</v>
      </c>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row>
    <row r="48" ht="204.75" customHeight="1">
      <c r="A48" s="1">
        <v>227.0</v>
      </c>
      <c r="B48" s="2" t="s">
        <v>145</v>
      </c>
      <c r="C48" s="2">
        <f>IFERROR(__xludf.DUMMYFUNCTION("split(B48,""_"")"),1904.0)</f>
        <v>1904</v>
      </c>
      <c r="D48" s="2" t="str">
        <f>IFERROR(__xludf.DUMMYFUNCTION("""COMPUTED_VALUE"""),"CX")</f>
        <v>CX</v>
      </c>
      <c r="E48" s="2" t="str">
        <f>IFERROR(__xludf.DUMMYFUNCTION("""COMPUTED_VALUE"""),"月21")</f>
        <v>月21</v>
      </c>
      <c r="F48" s="2" t="s">
        <v>146</v>
      </c>
      <c r="G48" s="2" t="s">
        <v>162</v>
      </c>
      <c r="H48" s="1">
        <v>6.0</v>
      </c>
      <c r="I48" s="1" t="s">
        <v>21</v>
      </c>
      <c r="J48" s="1" t="s">
        <v>11</v>
      </c>
      <c r="K48" s="2" t="s">
        <v>163</v>
      </c>
      <c r="L48" s="2" t="s">
        <v>163</v>
      </c>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row>
    <row r="49" ht="204.75" customHeight="1">
      <c r="A49" s="1">
        <v>228.0</v>
      </c>
      <c r="B49" s="2" t="s">
        <v>145</v>
      </c>
      <c r="C49" s="2">
        <f>IFERROR(__xludf.DUMMYFUNCTION("split(B49,""_"")"),1904.0)</f>
        <v>1904</v>
      </c>
      <c r="D49" s="2" t="str">
        <f>IFERROR(__xludf.DUMMYFUNCTION("""COMPUTED_VALUE"""),"CX")</f>
        <v>CX</v>
      </c>
      <c r="E49" s="2" t="str">
        <f>IFERROR(__xludf.DUMMYFUNCTION("""COMPUTED_VALUE"""),"月21")</f>
        <v>月21</v>
      </c>
      <c r="F49" s="2" t="s">
        <v>146</v>
      </c>
      <c r="G49" s="2" t="s">
        <v>164</v>
      </c>
      <c r="H49" s="1">
        <v>7.0</v>
      </c>
      <c r="I49" s="1" t="s">
        <v>25</v>
      </c>
      <c r="J49" s="1" t="s">
        <v>11</v>
      </c>
      <c r="K49" s="2" t="s">
        <v>165</v>
      </c>
      <c r="L49" s="2" t="s">
        <v>166</v>
      </c>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row>
    <row r="50" ht="204.75" customHeight="1">
      <c r="A50" s="1">
        <v>229.0</v>
      </c>
      <c r="B50" s="2" t="s">
        <v>145</v>
      </c>
      <c r="C50" s="2">
        <f>IFERROR(__xludf.DUMMYFUNCTION("split(B50,""_"")"),1904.0)</f>
        <v>1904</v>
      </c>
      <c r="D50" s="2" t="str">
        <f>IFERROR(__xludf.DUMMYFUNCTION("""COMPUTED_VALUE"""),"CX")</f>
        <v>CX</v>
      </c>
      <c r="E50" s="2" t="str">
        <f>IFERROR(__xludf.DUMMYFUNCTION("""COMPUTED_VALUE"""),"月21")</f>
        <v>月21</v>
      </c>
      <c r="F50" s="2" t="s">
        <v>146</v>
      </c>
      <c r="G50" s="2" t="s">
        <v>167</v>
      </c>
      <c r="H50" s="1">
        <v>8.0</v>
      </c>
      <c r="I50" s="1" t="s">
        <v>29</v>
      </c>
      <c r="J50" s="1" t="s">
        <v>11</v>
      </c>
      <c r="K50" s="2" t="s">
        <v>168</v>
      </c>
      <c r="L50" s="2" t="s">
        <v>169</v>
      </c>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row>
    <row r="51" ht="204.75" customHeight="1">
      <c r="A51" s="1">
        <v>230.0</v>
      </c>
      <c r="B51" s="2" t="s">
        <v>145</v>
      </c>
      <c r="C51" s="2">
        <f>IFERROR(__xludf.DUMMYFUNCTION("split(B51,""_"")"),1904.0)</f>
        <v>1904</v>
      </c>
      <c r="D51" s="2" t="str">
        <f>IFERROR(__xludf.DUMMYFUNCTION("""COMPUTED_VALUE"""),"CX")</f>
        <v>CX</v>
      </c>
      <c r="E51" s="2" t="str">
        <f>IFERROR(__xludf.DUMMYFUNCTION("""COMPUTED_VALUE"""),"月21")</f>
        <v>月21</v>
      </c>
      <c r="F51" s="2" t="s">
        <v>146</v>
      </c>
      <c r="G51" s="2" t="s">
        <v>170</v>
      </c>
      <c r="H51" s="1">
        <v>9.0</v>
      </c>
      <c r="I51" s="1" t="s">
        <v>33</v>
      </c>
      <c r="J51" s="1" t="s">
        <v>11</v>
      </c>
      <c r="K51" s="2" t="s">
        <v>171</v>
      </c>
      <c r="L51" s="2" t="s">
        <v>172</v>
      </c>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row>
    <row r="52" ht="204.75" customHeight="1">
      <c r="A52" s="1">
        <v>231.0</v>
      </c>
      <c r="B52" s="2" t="s">
        <v>145</v>
      </c>
      <c r="C52" s="2">
        <f>IFERROR(__xludf.DUMMYFUNCTION("split(B52,""_"")"),1904.0)</f>
        <v>1904</v>
      </c>
      <c r="D52" s="2" t="str">
        <f>IFERROR(__xludf.DUMMYFUNCTION("""COMPUTED_VALUE"""),"CX")</f>
        <v>CX</v>
      </c>
      <c r="E52" s="2" t="str">
        <f>IFERROR(__xludf.DUMMYFUNCTION("""COMPUTED_VALUE"""),"月21")</f>
        <v>月21</v>
      </c>
      <c r="F52" s="2" t="s">
        <v>146</v>
      </c>
      <c r="G52" s="2" t="s">
        <v>173</v>
      </c>
      <c r="H52" s="1">
        <v>10.0</v>
      </c>
      <c r="I52" s="1" t="s">
        <v>37</v>
      </c>
      <c r="J52" s="1" t="s">
        <v>11</v>
      </c>
      <c r="K52" s="2" t="s">
        <v>174</v>
      </c>
      <c r="L52" s="2" t="s">
        <v>175</v>
      </c>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row>
    <row r="53" ht="204.75" customHeight="1">
      <c r="A53" s="1">
        <v>232.0</v>
      </c>
      <c r="B53" s="2" t="s">
        <v>145</v>
      </c>
      <c r="C53" s="2">
        <f>IFERROR(__xludf.DUMMYFUNCTION("split(B53,""_"")"),1904.0)</f>
        <v>1904</v>
      </c>
      <c r="D53" s="2" t="str">
        <f>IFERROR(__xludf.DUMMYFUNCTION("""COMPUTED_VALUE"""),"CX")</f>
        <v>CX</v>
      </c>
      <c r="E53" s="2" t="str">
        <f>IFERROR(__xludf.DUMMYFUNCTION("""COMPUTED_VALUE"""),"月21")</f>
        <v>月21</v>
      </c>
      <c r="F53" s="2" t="s">
        <v>146</v>
      </c>
      <c r="G53" s="2" t="s">
        <v>176</v>
      </c>
      <c r="H53" s="1">
        <v>11.0</v>
      </c>
      <c r="I53" s="1" t="s">
        <v>41</v>
      </c>
      <c r="J53" s="1" t="s">
        <v>4</v>
      </c>
      <c r="K53" s="2" t="s">
        <v>177</v>
      </c>
      <c r="L53" s="2" t="s">
        <v>178</v>
      </c>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row>
    <row r="54" ht="204.75" customHeight="1">
      <c r="A54" s="1">
        <v>233.0</v>
      </c>
      <c r="B54" s="2" t="s">
        <v>145</v>
      </c>
      <c r="C54" s="2">
        <f>IFERROR(__xludf.DUMMYFUNCTION("split(B54,""_"")"),1904.0)</f>
        <v>1904</v>
      </c>
      <c r="D54" s="2" t="str">
        <f>IFERROR(__xludf.DUMMYFUNCTION("""COMPUTED_VALUE"""),"CX")</f>
        <v>CX</v>
      </c>
      <c r="E54" s="2" t="str">
        <f>IFERROR(__xludf.DUMMYFUNCTION("""COMPUTED_VALUE"""),"月21")</f>
        <v>月21</v>
      </c>
      <c r="F54" s="2" t="s">
        <v>146</v>
      </c>
      <c r="G54" s="2" t="s">
        <v>179</v>
      </c>
      <c r="H54" s="1">
        <v>12.0</v>
      </c>
      <c r="J54" s="1" t="s">
        <v>4</v>
      </c>
      <c r="K54" s="2" t="s">
        <v>180</v>
      </c>
      <c r="L54" s="2" t="s">
        <v>181</v>
      </c>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row>
    <row r="55" ht="204.75" customHeight="1">
      <c r="A55" s="1">
        <v>234.0</v>
      </c>
      <c r="B55" s="2" t="s">
        <v>182</v>
      </c>
      <c r="C55" s="2">
        <f>IFERROR(__xludf.DUMMYFUNCTION("split(B55,""_"")"),1904.0)</f>
        <v>1904</v>
      </c>
      <c r="D55" s="2" t="str">
        <f>IFERROR(__xludf.DUMMYFUNCTION("""COMPUTED_VALUE"""),"CX")</f>
        <v>CX</v>
      </c>
      <c r="E55" s="2" t="str">
        <f>IFERROR(__xludf.DUMMYFUNCTION("""COMPUTED_VALUE"""),"火21")</f>
        <v>火21</v>
      </c>
      <c r="F55" s="2" t="s">
        <v>183</v>
      </c>
      <c r="G55" s="2" t="s">
        <v>184</v>
      </c>
      <c r="H55" s="1">
        <v>1.0</v>
      </c>
      <c r="I55" s="1" t="s">
        <v>3</v>
      </c>
      <c r="J55" s="1" t="s">
        <v>4</v>
      </c>
      <c r="K55" s="2" t="s">
        <v>185</v>
      </c>
      <c r="L55" s="2" t="s">
        <v>186</v>
      </c>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row>
    <row r="56" ht="204.75" customHeight="1">
      <c r="A56" s="1">
        <v>235.0</v>
      </c>
      <c r="B56" s="2" t="s">
        <v>182</v>
      </c>
      <c r="C56" s="2">
        <f>IFERROR(__xludf.DUMMYFUNCTION("split(B56,""_"")"),1904.0)</f>
        <v>1904</v>
      </c>
      <c r="D56" s="2" t="str">
        <f>IFERROR(__xludf.DUMMYFUNCTION("""COMPUTED_VALUE"""),"CX")</f>
        <v>CX</v>
      </c>
      <c r="E56" s="2" t="str">
        <f>IFERROR(__xludf.DUMMYFUNCTION("""COMPUTED_VALUE"""),"火21")</f>
        <v>火21</v>
      </c>
      <c r="F56" s="2" t="s">
        <v>183</v>
      </c>
      <c r="G56" s="2" t="s">
        <v>187</v>
      </c>
      <c r="H56" s="1">
        <v>2.0</v>
      </c>
      <c r="I56" s="1" t="s">
        <v>7</v>
      </c>
      <c r="J56" s="1" t="s">
        <v>11</v>
      </c>
      <c r="K56" s="2" t="s">
        <v>188</v>
      </c>
      <c r="L56" s="2" t="s">
        <v>189</v>
      </c>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row>
    <row r="57" ht="204.75" customHeight="1">
      <c r="A57" s="1">
        <v>236.0</v>
      </c>
      <c r="B57" s="2" t="s">
        <v>182</v>
      </c>
      <c r="C57" s="2">
        <f>IFERROR(__xludf.DUMMYFUNCTION("split(B57,""_"")"),1904.0)</f>
        <v>1904</v>
      </c>
      <c r="D57" s="2" t="str">
        <f>IFERROR(__xludf.DUMMYFUNCTION("""COMPUTED_VALUE"""),"CX")</f>
        <v>CX</v>
      </c>
      <c r="E57" s="2" t="str">
        <f>IFERROR(__xludf.DUMMYFUNCTION("""COMPUTED_VALUE"""),"火21")</f>
        <v>火21</v>
      </c>
      <c r="F57" s="2" t="s">
        <v>183</v>
      </c>
      <c r="G57" s="2" t="s">
        <v>190</v>
      </c>
      <c r="H57" s="1">
        <v>3.0</v>
      </c>
      <c r="I57" s="1" t="s">
        <v>10</v>
      </c>
      <c r="J57" s="1" t="s">
        <v>4</v>
      </c>
      <c r="K57" s="2" t="s">
        <v>191</v>
      </c>
      <c r="L57" s="2" t="s">
        <v>192</v>
      </c>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row>
    <row r="58" ht="204.75" customHeight="1">
      <c r="A58" s="1">
        <v>237.0</v>
      </c>
      <c r="B58" s="2" t="s">
        <v>182</v>
      </c>
      <c r="C58" s="2">
        <f>IFERROR(__xludf.DUMMYFUNCTION("split(B58,""_"")"),1904.0)</f>
        <v>1904</v>
      </c>
      <c r="D58" s="2" t="str">
        <f>IFERROR(__xludf.DUMMYFUNCTION("""COMPUTED_VALUE"""),"CX")</f>
        <v>CX</v>
      </c>
      <c r="E58" s="2" t="str">
        <f>IFERROR(__xludf.DUMMYFUNCTION("""COMPUTED_VALUE"""),"火21")</f>
        <v>火21</v>
      </c>
      <c r="F58" s="2" t="s">
        <v>183</v>
      </c>
      <c r="G58" s="2" t="s">
        <v>193</v>
      </c>
      <c r="H58" s="1">
        <v>4.0</v>
      </c>
      <c r="I58" s="1" t="s">
        <v>14</v>
      </c>
      <c r="J58" s="1" t="s">
        <v>11</v>
      </c>
      <c r="K58" s="2" t="s">
        <v>194</v>
      </c>
      <c r="L58" s="2" t="s">
        <v>195</v>
      </c>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row>
    <row r="59" ht="204.75" customHeight="1">
      <c r="A59" s="1">
        <v>238.0</v>
      </c>
      <c r="B59" s="2" t="s">
        <v>182</v>
      </c>
      <c r="C59" s="2">
        <f>IFERROR(__xludf.DUMMYFUNCTION("split(B59,""_"")"),1904.0)</f>
        <v>1904</v>
      </c>
      <c r="D59" s="2" t="str">
        <f>IFERROR(__xludf.DUMMYFUNCTION("""COMPUTED_VALUE"""),"CX")</f>
        <v>CX</v>
      </c>
      <c r="E59" s="2" t="str">
        <f>IFERROR(__xludf.DUMMYFUNCTION("""COMPUTED_VALUE"""),"火21")</f>
        <v>火21</v>
      </c>
      <c r="F59" s="2" t="s">
        <v>183</v>
      </c>
      <c r="G59" s="2" t="s">
        <v>196</v>
      </c>
      <c r="H59" s="1">
        <v>5.0</v>
      </c>
      <c r="I59" s="1" t="s">
        <v>17</v>
      </c>
      <c r="J59" s="1" t="s">
        <v>11</v>
      </c>
      <c r="K59" s="2" t="s">
        <v>197</v>
      </c>
      <c r="L59" s="2" t="s">
        <v>198</v>
      </c>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row>
    <row r="60" ht="204.75" customHeight="1">
      <c r="A60" s="1">
        <v>239.0</v>
      </c>
      <c r="B60" s="2" t="s">
        <v>182</v>
      </c>
      <c r="C60" s="2">
        <f>IFERROR(__xludf.DUMMYFUNCTION("split(B60,""_"")"),1904.0)</f>
        <v>1904</v>
      </c>
      <c r="D60" s="2" t="str">
        <f>IFERROR(__xludf.DUMMYFUNCTION("""COMPUTED_VALUE"""),"CX")</f>
        <v>CX</v>
      </c>
      <c r="E60" s="2" t="str">
        <f>IFERROR(__xludf.DUMMYFUNCTION("""COMPUTED_VALUE"""),"火21")</f>
        <v>火21</v>
      </c>
      <c r="F60" s="2" t="s">
        <v>183</v>
      </c>
      <c r="G60" s="2" t="s">
        <v>199</v>
      </c>
      <c r="H60" s="1">
        <v>6.0</v>
      </c>
      <c r="I60" s="1" t="s">
        <v>21</v>
      </c>
      <c r="J60" s="1" t="s">
        <v>11</v>
      </c>
      <c r="K60" s="2" t="s">
        <v>200</v>
      </c>
      <c r="L60" s="2" t="s">
        <v>201</v>
      </c>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row>
    <row r="61" ht="204.75" customHeight="1">
      <c r="A61" s="1">
        <v>240.0</v>
      </c>
      <c r="B61" s="2" t="s">
        <v>182</v>
      </c>
      <c r="C61" s="2">
        <f>IFERROR(__xludf.DUMMYFUNCTION("split(B61,""_"")"),1904.0)</f>
        <v>1904</v>
      </c>
      <c r="D61" s="2" t="str">
        <f>IFERROR(__xludf.DUMMYFUNCTION("""COMPUTED_VALUE"""),"CX")</f>
        <v>CX</v>
      </c>
      <c r="E61" s="2" t="str">
        <f>IFERROR(__xludf.DUMMYFUNCTION("""COMPUTED_VALUE"""),"火21")</f>
        <v>火21</v>
      </c>
      <c r="F61" s="2" t="s">
        <v>183</v>
      </c>
      <c r="G61" s="2" t="s">
        <v>202</v>
      </c>
      <c r="H61" s="1">
        <v>7.0</v>
      </c>
      <c r="I61" s="1" t="s">
        <v>25</v>
      </c>
      <c r="J61" s="1" t="s">
        <v>11</v>
      </c>
      <c r="K61" s="2" t="s">
        <v>203</v>
      </c>
      <c r="L61" s="2" t="s">
        <v>204</v>
      </c>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row>
    <row r="62" ht="204.75" customHeight="1">
      <c r="A62" s="1">
        <v>241.0</v>
      </c>
      <c r="B62" s="2" t="s">
        <v>182</v>
      </c>
      <c r="C62" s="2">
        <f>IFERROR(__xludf.DUMMYFUNCTION("split(B62,""_"")"),1904.0)</f>
        <v>1904</v>
      </c>
      <c r="D62" s="2" t="str">
        <f>IFERROR(__xludf.DUMMYFUNCTION("""COMPUTED_VALUE"""),"CX")</f>
        <v>CX</v>
      </c>
      <c r="E62" s="2" t="str">
        <f>IFERROR(__xludf.DUMMYFUNCTION("""COMPUTED_VALUE"""),"火21")</f>
        <v>火21</v>
      </c>
      <c r="F62" s="2" t="s">
        <v>183</v>
      </c>
      <c r="G62" s="2" t="s">
        <v>205</v>
      </c>
      <c r="H62" s="1">
        <v>8.0</v>
      </c>
      <c r="I62" s="1" t="s">
        <v>29</v>
      </c>
      <c r="J62" s="1" t="s">
        <v>11</v>
      </c>
      <c r="K62" s="2" t="s">
        <v>206</v>
      </c>
      <c r="L62" s="2" t="s">
        <v>207</v>
      </c>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row>
    <row r="63" ht="204.75" customHeight="1">
      <c r="A63" s="1">
        <v>242.0</v>
      </c>
      <c r="B63" s="2" t="s">
        <v>182</v>
      </c>
      <c r="C63" s="2">
        <f>IFERROR(__xludf.DUMMYFUNCTION("split(B63,""_"")"),1904.0)</f>
        <v>1904</v>
      </c>
      <c r="D63" s="2" t="str">
        <f>IFERROR(__xludf.DUMMYFUNCTION("""COMPUTED_VALUE"""),"CX")</f>
        <v>CX</v>
      </c>
      <c r="E63" s="2" t="str">
        <f>IFERROR(__xludf.DUMMYFUNCTION("""COMPUTED_VALUE"""),"火21")</f>
        <v>火21</v>
      </c>
      <c r="F63" s="2" t="s">
        <v>183</v>
      </c>
      <c r="G63" s="2" t="s">
        <v>208</v>
      </c>
      <c r="H63" s="1">
        <v>9.0</v>
      </c>
      <c r="I63" s="1" t="s">
        <v>33</v>
      </c>
      <c r="J63" s="1" t="s">
        <v>11</v>
      </c>
      <c r="K63" s="2" t="s">
        <v>209</v>
      </c>
      <c r="L63" s="2" t="s">
        <v>210</v>
      </c>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row>
    <row r="64" ht="204.75" customHeight="1">
      <c r="A64" s="1">
        <v>243.0</v>
      </c>
      <c r="B64" s="2" t="s">
        <v>182</v>
      </c>
      <c r="C64" s="2">
        <f>IFERROR(__xludf.DUMMYFUNCTION("split(B64,""_"")"),1904.0)</f>
        <v>1904</v>
      </c>
      <c r="D64" s="2" t="str">
        <f>IFERROR(__xludf.DUMMYFUNCTION("""COMPUTED_VALUE"""),"CX")</f>
        <v>CX</v>
      </c>
      <c r="E64" s="2" t="str">
        <f>IFERROR(__xludf.DUMMYFUNCTION("""COMPUTED_VALUE"""),"火21")</f>
        <v>火21</v>
      </c>
      <c r="F64" s="2" t="s">
        <v>183</v>
      </c>
      <c r="G64" s="2" t="s">
        <v>211</v>
      </c>
      <c r="H64" s="1">
        <v>10.0</v>
      </c>
      <c r="I64" s="1" t="s">
        <v>37</v>
      </c>
      <c r="J64" s="1" t="s">
        <v>11</v>
      </c>
      <c r="K64" s="2" t="s">
        <v>212</v>
      </c>
      <c r="L64" s="2" t="s">
        <v>213</v>
      </c>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row>
    <row r="65" ht="204.75" customHeight="1">
      <c r="A65" s="1">
        <v>275.0</v>
      </c>
      <c r="B65" s="2" t="s">
        <v>214</v>
      </c>
      <c r="C65" s="2">
        <f>IFERROR(__xludf.DUMMYFUNCTION("split(B65,""_"")"),1904.0)</f>
        <v>1904</v>
      </c>
      <c r="D65" s="2" t="str">
        <f>IFERROR(__xludf.DUMMYFUNCTION("""COMPUTED_VALUE"""),"CX")</f>
        <v>CX</v>
      </c>
      <c r="E65" s="2" t="str">
        <f>IFERROR(__xludf.DUMMYFUNCTION("""COMPUTED_VALUE"""),"木22")</f>
        <v>木22</v>
      </c>
      <c r="F65" s="2" t="s">
        <v>215</v>
      </c>
      <c r="G65" s="2" t="s">
        <v>216</v>
      </c>
      <c r="H65" s="1">
        <v>1.0</v>
      </c>
      <c r="I65" s="1" t="s">
        <v>3</v>
      </c>
      <c r="J65" s="1" t="s">
        <v>4</v>
      </c>
      <c r="K65" s="2" t="s">
        <v>217</v>
      </c>
      <c r="L65" s="2" t="s">
        <v>218</v>
      </c>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row>
    <row r="66" ht="204.75" customHeight="1">
      <c r="A66" s="1">
        <v>276.0</v>
      </c>
      <c r="B66" s="2" t="s">
        <v>214</v>
      </c>
      <c r="C66" s="2">
        <f>IFERROR(__xludf.DUMMYFUNCTION("split(B66,""_"")"),1904.0)</f>
        <v>1904</v>
      </c>
      <c r="D66" s="2" t="str">
        <f>IFERROR(__xludf.DUMMYFUNCTION("""COMPUTED_VALUE"""),"CX")</f>
        <v>CX</v>
      </c>
      <c r="E66" s="2" t="str">
        <f>IFERROR(__xludf.DUMMYFUNCTION("""COMPUTED_VALUE"""),"木22")</f>
        <v>木22</v>
      </c>
      <c r="F66" s="2" t="s">
        <v>215</v>
      </c>
      <c r="G66" s="2" t="s">
        <v>219</v>
      </c>
      <c r="H66" s="1">
        <v>2.0</v>
      </c>
      <c r="I66" s="1" t="s">
        <v>7</v>
      </c>
      <c r="J66" s="1" t="s">
        <v>86</v>
      </c>
      <c r="K66" s="2" t="s">
        <v>220</v>
      </c>
      <c r="L66" s="2" t="s">
        <v>221</v>
      </c>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row>
    <row r="67" ht="204.75" customHeight="1">
      <c r="A67" s="1">
        <v>277.0</v>
      </c>
      <c r="B67" s="2" t="s">
        <v>214</v>
      </c>
      <c r="C67" s="2">
        <f>IFERROR(__xludf.DUMMYFUNCTION("split(B67,""_"")"),1904.0)</f>
        <v>1904</v>
      </c>
      <c r="D67" s="2" t="str">
        <f>IFERROR(__xludf.DUMMYFUNCTION("""COMPUTED_VALUE"""),"CX")</f>
        <v>CX</v>
      </c>
      <c r="E67" s="2" t="str">
        <f>IFERROR(__xludf.DUMMYFUNCTION("""COMPUTED_VALUE"""),"木22")</f>
        <v>木22</v>
      </c>
      <c r="F67" s="2" t="s">
        <v>215</v>
      </c>
      <c r="G67" s="2" t="s">
        <v>222</v>
      </c>
      <c r="H67" s="1">
        <v>3.0</v>
      </c>
      <c r="I67" s="1" t="s">
        <v>10</v>
      </c>
      <c r="J67" s="1" t="s">
        <v>86</v>
      </c>
      <c r="K67" s="2" t="s">
        <v>223</v>
      </c>
      <c r="L67" s="2" t="s">
        <v>224</v>
      </c>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row>
    <row r="68" ht="204.75" customHeight="1">
      <c r="A68" s="1">
        <v>278.0</v>
      </c>
      <c r="B68" s="2" t="s">
        <v>214</v>
      </c>
      <c r="C68" s="2">
        <f>IFERROR(__xludf.DUMMYFUNCTION("split(B68,""_"")"),1904.0)</f>
        <v>1904</v>
      </c>
      <c r="D68" s="2" t="str">
        <f>IFERROR(__xludf.DUMMYFUNCTION("""COMPUTED_VALUE"""),"CX")</f>
        <v>CX</v>
      </c>
      <c r="E68" s="2" t="str">
        <f>IFERROR(__xludf.DUMMYFUNCTION("""COMPUTED_VALUE"""),"木22")</f>
        <v>木22</v>
      </c>
      <c r="F68" s="2" t="s">
        <v>215</v>
      </c>
      <c r="G68" s="2" t="s">
        <v>225</v>
      </c>
      <c r="H68" s="1">
        <v>4.0</v>
      </c>
      <c r="I68" s="1" t="s">
        <v>14</v>
      </c>
      <c r="J68" s="1" t="s">
        <v>86</v>
      </c>
      <c r="K68" s="2" t="s">
        <v>226</v>
      </c>
      <c r="L68" s="2" t="s">
        <v>227</v>
      </c>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row>
    <row r="69" ht="204.75" customHeight="1">
      <c r="A69" s="1">
        <v>279.0</v>
      </c>
      <c r="B69" s="2" t="s">
        <v>214</v>
      </c>
      <c r="C69" s="2">
        <f>IFERROR(__xludf.DUMMYFUNCTION("split(B69,""_"")"),1904.0)</f>
        <v>1904</v>
      </c>
      <c r="D69" s="2" t="str">
        <f>IFERROR(__xludf.DUMMYFUNCTION("""COMPUTED_VALUE"""),"CX")</f>
        <v>CX</v>
      </c>
      <c r="E69" s="2" t="str">
        <f>IFERROR(__xludf.DUMMYFUNCTION("""COMPUTED_VALUE"""),"木22")</f>
        <v>木22</v>
      </c>
      <c r="F69" s="2" t="s">
        <v>215</v>
      </c>
      <c r="G69" s="2" t="s">
        <v>228</v>
      </c>
      <c r="H69" s="1">
        <v>5.0</v>
      </c>
      <c r="I69" s="1" t="s">
        <v>17</v>
      </c>
      <c r="J69" s="1" t="s">
        <v>86</v>
      </c>
      <c r="K69" s="2" t="s">
        <v>229</v>
      </c>
      <c r="L69" s="2" t="s">
        <v>230</v>
      </c>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row>
    <row r="70" ht="204.75" customHeight="1">
      <c r="A70" s="1">
        <v>280.0</v>
      </c>
      <c r="B70" s="2" t="s">
        <v>214</v>
      </c>
      <c r="C70" s="2">
        <f>IFERROR(__xludf.DUMMYFUNCTION("split(B70,""_"")"),1904.0)</f>
        <v>1904</v>
      </c>
      <c r="D70" s="2" t="str">
        <f>IFERROR(__xludf.DUMMYFUNCTION("""COMPUTED_VALUE"""),"CX")</f>
        <v>CX</v>
      </c>
      <c r="E70" s="2" t="str">
        <f>IFERROR(__xludf.DUMMYFUNCTION("""COMPUTED_VALUE"""),"木22")</f>
        <v>木22</v>
      </c>
      <c r="F70" s="2" t="s">
        <v>215</v>
      </c>
      <c r="G70" s="2" t="s">
        <v>231</v>
      </c>
      <c r="H70" s="1">
        <v>6.0</v>
      </c>
      <c r="I70" s="1" t="s">
        <v>21</v>
      </c>
      <c r="J70" s="1" t="s">
        <v>86</v>
      </c>
      <c r="K70" s="2" t="s">
        <v>232</v>
      </c>
      <c r="L70" s="2" t="s">
        <v>233</v>
      </c>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row>
    <row r="71" ht="204.75" customHeight="1">
      <c r="A71" s="1">
        <v>281.0</v>
      </c>
      <c r="B71" s="2" t="s">
        <v>214</v>
      </c>
      <c r="C71" s="2">
        <f>IFERROR(__xludf.DUMMYFUNCTION("split(B71,""_"")"),1904.0)</f>
        <v>1904</v>
      </c>
      <c r="D71" s="2" t="str">
        <f>IFERROR(__xludf.DUMMYFUNCTION("""COMPUTED_VALUE"""),"CX")</f>
        <v>CX</v>
      </c>
      <c r="E71" s="2" t="str">
        <f>IFERROR(__xludf.DUMMYFUNCTION("""COMPUTED_VALUE"""),"木22")</f>
        <v>木22</v>
      </c>
      <c r="F71" s="2" t="s">
        <v>215</v>
      </c>
      <c r="G71" s="2" t="s">
        <v>234</v>
      </c>
      <c r="H71" s="1">
        <v>7.0</v>
      </c>
      <c r="I71" s="1" t="s">
        <v>25</v>
      </c>
      <c r="J71" s="1" t="s">
        <v>86</v>
      </c>
      <c r="K71" s="2" t="s">
        <v>235</v>
      </c>
      <c r="L71" s="2" t="s">
        <v>236</v>
      </c>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row>
    <row r="72" ht="204.75" customHeight="1">
      <c r="A72" s="1">
        <v>282.0</v>
      </c>
      <c r="B72" s="2" t="s">
        <v>214</v>
      </c>
      <c r="C72" s="2">
        <f>IFERROR(__xludf.DUMMYFUNCTION("split(B72,""_"")"),1904.0)</f>
        <v>1904</v>
      </c>
      <c r="D72" s="2" t="str">
        <f>IFERROR(__xludf.DUMMYFUNCTION("""COMPUTED_VALUE"""),"CX")</f>
        <v>CX</v>
      </c>
      <c r="E72" s="2" t="str">
        <f>IFERROR(__xludf.DUMMYFUNCTION("""COMPUTED_VALUE"""),"木22")</f>
        <v>木22</v>
      </c>
      <c r="F72" s="2" t="s">
        <v>215</v>
      </c>
      <c r="G72" s="2" t="s">
        <v>237</v>
      </c>
      <c r="H72" s="1">
        <v>8.0</v>
      </c>
      <c r="I72" s="1" t="s">
        <v>29</v>
      </c>
      <c r="J72" s="1" t="s">
        <v>86</v>
      </c>
      <c r="K72" s="2" t="s">
        <v>238</v>
      </c>
      <c r="L72" s="2" t="s">
        <v>239</v>
      </c>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row>
    <row r="73" ht="204.75" customHeight="1">
      <c r="A73" s="1">
        <v>283.0</v>
      </c>
      <c r="B73" s="2" t="s">
        <v>214</v>
      </c>
      <c r="C73" s="2">
        <f>IFERROR(__xludf.DUMMYFUNCTION("split(B73,""_"")"),1904.0)</f>
        <v>1904</v>
      </c>
      <c r="D73" s="2" t="str">
        <f>IFERROR(__xludf.DUMMYFUNCTION("""COMPUTED_VALUE"""),"CX")</f>
        <v>CX</v>
      </c>
      <c r="E73" s="2" t="str">
        <f>IFERROR(__xludf.DUMMYFUNCTION("""COMPUTED_VALUE"""),"木22")</f>
        <v>木22</v>
      </c>
      <c r="F73" s="2" t="s">
        <v>215</v>
      </c>
      <c r="G73" s="2" t="s">
        <v>240</v>
      </c>
      <c r="H73" s="1">
        <v>9.0</v>
      </c>
      <c r="I73" s="1" t="s">
        <v>33</v>
      </c>
      <c r="J73" s="1" t="s">
        <v>86</v>
      </c>
      <c r="K73" s="2" t="s">
        <v>241</v>
      </c>
      <c r="L73" s="2" t="s">
        <v>242</v>
      </c>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row>
    <row r="74" ht="204.75" customHeight="1">
      <c r="A74" s="1">
        <v>284.0</v>
      </c>
      <c r="B74" s="2" t="s">
        <v>214</v>
      </c>
      <c r="C74" s="2">
        <f>IFERROR(__xludf.DUMMYFUNCTION("split(B74,""_"")"),1904.0)</f>
        <v>1904</v>
      </c>
      <c r="D74" s="2" t="str">
        <f>IFERROR(__xludf.DUMMYFUNCTION("""COMPUTED_VALUE"""),"CX")</f>
        <v>CX</v>
      </c>
      <c r="E74" s="2" t="str">
        <f>IFERROR(__xludf.DUMMYFUNCTION("""COMPUTED_VALUE"""),"木22")</f>
        <v>木22</v>
      </c>
      <c r="F74" s="2" t="s">
        <v>215</v>
      </c>
      <c r="G74" s="2" t="s">
        <v>243</v>
      </c>
      <c r="H74" s="1">
        <v>10.0</v>
      </c>
      <c r="I74" s="1" t="s">
        <v>37</v>
      </c>
      <c r="J74" s="1" t="s">
        <v>86</v>
      </c>
      <c r="K74" s="2" t="s">
        <v>244</v>
      </c>
      <c r="L74" s="2" t="s">
        <v>245</v>
      </c>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row>
    <row r="75" ht="204.75" customHeight="1">
      <c r="A75" s="1">
        <v>285.0</v>
      </c>
      <c r="B75" s="2" t="s">
        <v>214</v>
      </c>
      <c r="C75" s="2">
        <f>IFERROR(__xludf.DUMMYFUNCTION("split(B75,""_"")"),1904.0)</f>
        <v>1904</v>
      </c>
      <c r="D75" s="2" t="str">
        <f>IFERROR(__xludf.DUMMYFUNCTION("""COMPUTED_VALUE"""),"CX")</f>
        <v>CX</v>
      </c>
      <c r="E75" s="2" t="str">
        <f>IFERROR(__xludf.DUMMYFUNCTION("""COMPUTED_VALUE"""),"木22")</f>
        <v>木22</v>
      </c>
      <c r="F75" s="2" t="s">
        <v>215</v>
      </c>
      <c r="G75" s="2" t="s">
        <v>246</v>
      </c>
      <c r="H75" s="1">
        <v>11.0</v>
      </c>
      <c r="I75" s="1" t="s">
        <v>41</v>
      </c>
      <c r="J75" s="1" t="s">
        <v>86</v>
      </c>
      <c r="K75" s="2" t="s">
        <v>247</v>
      </c>
      <c r="L75" s="2" t="s">
        <v>248</v>
      </c>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row>
    <row r="76" ht="204.75" customHeight="1">
      <c r="A76" s="1">
        <v>354.0</v>
      </c>
      <c r="B76" s="2" t="s">
        <v>249</v>
      </c>
      <c r="C76" s="2">
        <f>IFERROR(__xludf.DUMMYFUNCTION("split(B76,""_"")"),1901.0)</f>
        <v>1901</v>
      </c>
      <c r="D76" s="2" t="str">
        <f>IFERROR(__xludf.DUMMYFUNCTION("""COMPUTED_VALUE"""),"CX")</f>
        <v>CX</v>
      </c>
      <c r="E76" s="2" t="str">
        <f>IFERROR(__xludf.DUMMYFUNCTION("""COMPUTED_VALUE"""),"月21")</f>
        <v>月21</v>
      </c>
      <c r="F76" s="2" t="s">
        <v>250</v>
      </c>
      <c r="G76" s="2" t="s">
        <v>251</v>
      </c>
      <c r="H76" s="1">
        <v>1.0</v>
      </c>
      <c r="I76" s="1" t="s">
        <v>3</v>
      </c>
      <c r="J76" s="1" t="s">
        <v>4</v>
      </c>
      <c r="K76" s="2" t="s">
        <v>252</v>
      </c>
      <c r="L76" s="2" t="s">
        <v>253</v>
      </c>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row>
    <row r="77" ht="204.75" customHeight="1">
      <c r="A77" s="1">
        <v>355.0</v>
      </c>
      <c r="B77" s="2" t="s">
        <v>249</v>
      </c>
      <c r="C77" s="2">
        <f>IFERROR(__xludf.DUMMYFUNCTION("split(B77,""_"")"),1901.0)</f>
        <v>1901</v>
      </c>
      <c r="D77" s="2" t="str">
        <f>IFERROR(__xludf.DUMMYFUNCTION("""COMPUTED_VALUE"""),"CX")</f>
        <v>CX</v>
      </c>
      <c r="E77" s="2" t="str">
        <f>IFERROR(__xludf.DUMMYFUNCTION("""COMPUTED_VALUE"""),"月21")</f>
        <v>月21</v>
      </c>
      <c r="F77" s="2" t="s">
        <v>250</v>
      </c>
      <c r="G77" s="2" t="s">
        <v>254</v>
      </c>
      <c r="H77" s="1">
        <v>2.0</v>
      </c>
      <c r="I77" s="1" t="s">
        <v>7</v>
      </c>
      <c r="J77" s="1" t="s">
        <v>4</v>
      </c>
      <c r="K77" s="2" t="s">
        <v>255</v>
      </c>
      <c r="L77" s="2" t="s">
        <v>256</v>
      </c>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row>
    <row r="78" ht="204.75" customHeight="1">
      <c r="A78" s="1">
        <v>356.0</v>
      </c>
      <c r="B78" s="2" t="s">
        <v>249</v>
      </c>
      <c r="C78" s="2">
        <f>IFERROR(__xludf.DUMMYFUNCTION("split(B78,""_"")"),1901.0)</f>
        <v>1901</v>
      </c>
      <c r="D78" s="2" t="str">
        <f>IFERROR(__xludf.DUMMYFUNCTION("""COMPUTED_VALUE"""),"CX")</f>
        <v>CX</v>
      </c>
      <c r="E78" s="2" t="str">
        <f>IFERROR(__xludf.DUMMYFUNCTION("""COMPUTED_VALUE"""),"月21")</f>
        <v>月21</v>
      </c>
      <c r="F78" s="2" t="s">
        <v>250</v>
      </c>
      <c r="G78" s="2" t="s">
        <v>257</v>
      </c>
      <c r="H78" s="1">
        <v>3.0</v>
      </c>
      <c r="I78" s="1" t="s">
        <v>10</v>
      </c>
      <c r="J78" s="1" t="s">
        <v>11</v>
      </c>
      <c r="K78" s="2" t="s">
        <v>258</v>
      </c>
      <c r="L78" s="2" t="s">
        <v>259</v>
      </c>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row>
    <row r="79" ht="204.75" customHeight="1">
      <c r="A79" s="1">
        <v>357.0</v>
      </c>
      <c r="B79" s="2" t="s">
        <v>249</v>
      </c>
      <c r="C79" s="2">
        <f>IFERROR(__xludf.DUMMYFUNCTION("split(B79,""_"")"),1901.0)</f>
        <v>1901</v>
      </c>
      <c r="D79" s="2" t="str">
        <f>IFERROR(__xludf.DUMMYFUNCTION("""COMPUTED_VALUE"""),"CX")</f>
        <v>CX</v>
      </c>
      <c r="E79" s="2" t="str">
        <f>IFERROR(__xludf.DUMMYFUNCTION("""COMPUTED_VALUE"""),"月21")</f>
        <v>月21</v>
      </c>
      <c r="F79" s="2" t="s">
        <v>250</v>
      </c>
      <c r="G79" s="2" t="s">
        <v>260</v>
      </c>
      <c r="H79" s="1">
        <v>4.0</v>
      </c>
      <c r="I79" s="1" t="s">
        <v>14</v>
      </c>
      <c r="J79" s="1" t="s">
        <v>11</v>
      </c>
      <c r="K79" s="2" t="s">
        <v>261</v>
      </c>
      <c r="L79" s="2" t="s">
        <v>262</v>
      </c>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row>
    <row r="80" ht="204.75" customHeight="1">
      <c r="A80" s="1">
        <v>358.0</v>
      </c>
      <c r="B80" s="2" t="s">
        <v>249</v>
      </c>
      <c r="C80" s="2">
        <f>IFERROR(__xludf.DUMMYFUNCTION("split(B80,""_"")"),1901.0)</f>
        <v>1901</v>
      </c>
      <c r="D80" s="2" t="str">
        <f>IFERROR(__xludf.DUMMYFUNCTION("""COMPUTED_VALUE"""),"CX")</f>
        <v>CX</v>
      </c>
      <c r="E80" s="2" t="str">
        <f>IFERROR(__xludf.DUMMYFUNCTION("""COMPUTED_VALUE"""),"月21")</f>
        <v>月21</v>
      </c>
      <c r="F80" s="2" t="s">
        <v>250</v>
      </c>
      <c r="G80" s="2" t="s">
        <v>263</v>
      </c>
      <c r="H80" s="1">
        <v>5.0</v>
      </c>
      <c r="I80" s="1" t="s">
        <v>17</v>
      </c>
      <c r="J80" s="1" t="s">
        <v>11</v>
      </c>
      <c r="K80" s="2" t="s">
        <v>264</v>
      </c>
      <c r="L80" s="2" t="s">
        <v>265</v>
      </c>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row>
    <row r="81" ht="204.75" customHeight="1">
      <c r="A81" s="1">
        <v>359.0</v>
      </c>
      <c r="B81" s="2" t="s">
        <v>249</v>
      </c>
      <c r="C81" s="2">
        <f>IFERROR(__xludf.DUMMYFUNCTION("split(B81,""_"")"),1901.0)</f>
        <v>1901</v>
      </c>
      <c r="D81" s="2" t="str">
        <f>IFERROR(__xludf.DUMMYFUNCTION("""COMPUTED_VALUE"""),"CX")</f>
        <v>CX</v>
      </c>
      <c r="E81" s="2" t="str">
        <f>IFERROR(__xludf.DUMMYFUNCTION("""COMPUTED_VALUE"""),"月21")</f>
        <v>月21</v>
      </c>
      <c r="F81" s="2" t="s">
        <v>250</v>
      </c>
      <c r="G81" s="2" t="s">
        <v>266</v>
      </c>
      <c r="H81" s="1">
        <v>6.0</v>
      </c>
      <c r="I81" s="1" t="s">
        <v>21</v>
      </c>
      <c r="J81" s="1" t="s">
        <v>11</v>
      </c>
      <c r="K81" s="2" t="s">
        <v>267</v>
      </c>
      <c r="L81" s="2" t="s">
        <v>268</v>
      </c>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row>
    <row r="82" ht="204.75" customHeight="1">
      <c r="A82" s="1">
        <v>360.0</v>
      </c>
      <c r="B82" s="2" t="s">
        <v>249</v>
      </c>
      <c r="C82" s="2">
        <f>IFERROR(__xludf.DUMMYFUNCTION("split(B82,""_"")"),1901.0)</f>
        <v>1901</v>
      </c>
      <c r="D82" s="2" t="str">
        <f>IFERROR(__xludf.DUMMYFUNCTION("""COMPUTED_VALUE"""),"CX")</f>
        <v>CX</v>
      </c>
      <c r="E82" s="2" t="str">
        <f>IFERROR(__xludf.DUMMYFUNCTION("""COMPUTED_VALUE"""),"月21")</f>
        <v>月21</v>
      </c>
      <c r="F82" s="2" t="s">
        <v>250</v>
      </c>
      <c r="G82" s="2" t="s">
        <v>269</v>
      </c>
      <c r="H82" s="1">
        <v>7.0</v>
      </c>
      <c r="I82" s="1" t="s">
        <v>25</v>
      </c>
      <c r="J82" s="1" t="s">
        <v>11</v>
      </c>
      <c r="K82" s="2" t="s">
        <v>270</v>
      </c>
      <c r="L82" s="2" t="s">
        <v>271</v>
      </c>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row>
    <row r="83" ht="204.75" customHeight="1">
      <c r="A83" s="1">
        <v>361.0</v>
      </c>
      <c r="B83" s="2" t="s">
        <v>249</v>
      </c>
      <c r="C83" s="2">
        <f>IFERROR(__xludf.DUMMYFUNCTION("split(B83,""_"")"),1901.0)</f>
        <v>1901</v>
      </c>
      <c r="D83" s="2" t="str">
        <f>IFERROR(__xludf.DUMMYFUNCTION("""COMPUTED_VALUE"""),"CX")</f>
        <v>CX</v>
      </c>
      <c r="E83" s="2" t="str">
        <f>IFERROR(__xludf.DUMMYFUNCTION("""COMPUTED_VALUE"""),"月21")</f>
        <v>月21</v>
      </c>
      <c r="F83" s="2" t="s">
        <v>250</v>
      </c>
      <c r="G83" s="2" t="s">
        <v>272</v>
      </c>
      <c r="H83" s="1">
        <v>8.0</v>
      </c>
      <c r="I83" s="1" t="s">
        <v>29</v>
      </c>
      <c r="J83" s="1" t="s">
        <v>11</v>
      </c>
      <c r="K83" s="2" t="s">
        <v>273</v>
      </c>
      <c r="L83" s="2" t="s">
        <v>274</v>
      </c>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row>
    <row r="84" ht="204.75" customHeight="1">
      <c r="A84" s="1">
        <v>362.0</v>
      </c>
      <c r="B84" s="2" t="s">
        <v>249</v>
      </c>
      <c r="C84" s="2">
        <f>IFERROR(__xludf.DUMMYFUNCTION("split(B84,""_"")"),1901.0)</f>
        <v>1901</v>
      </c>
      <c r="D84" s="2" t="str">
        <f>IFERROR(__xludf.DUMMYFUNCTION("""COMPUTED_VALUE"""),"CX")</f>
        <v>CX</v>
      </c>
      <c r="E84" s="2" t="str">
        <f>IFERROR(__xludf.DUMMYFUNCTION("""COMPUTED_VALUE"""),"月21")</f>
        <v>月21</v>
      </c>
      <c r="F84" s="2" t="s">
        <v>250</v>
      </c>
      <c r="G84" s="2" t="s">
        <v>275</v>
      </c>
      <c r="H84" s="1">
        <v>9.0</v>
      </c>
      <c r="I84" s="1" t="s">
        <v>33</v>
      </c>
      <c r="J84" s="1" t="s">
        <v>11</v>
      </c>
      <c r="K84" s="2" t="s">
        <v>276</v>
      </c>
      <c r="L84" s="2" t="s">
        <v>277</v>
      </c>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row>
    <row r="85" ht="204.75" customHeight="1">
      <c r="A85" s="1">
        <v>363.0</v>
      </c>
      <c r="B85" s="2" t="s">
        <v>249</v>
      </c>
      <c r="C85" s="2">
        <f>IFERROR(__xludf.DUMMYFUNCTION("split(B85,""_"")"),1901.0)</f>
        <v>1901</v>
      </c>
      <c r="D85" s="2" t="str">
        <f>IFERROR(__xludf.DUMMYFUNCTION("""COMPUTED_VALUE"""),"CX")</f>
        <v>CX</v>
      </c>
      <c r="E85" s="2" t="str">
        <f>IFERROR(__xludf.DUMMYFUNCTION("""COMPUTED_VALUE"""),"月21")</f>
        <v>月21</v>
      </c>
      <c r="F85" s="2" t="s">
        <v>250</v>
      </c>
      <c r="G85" s="2" t="s">
        <v>278</v>
      </c>
      <c r="H85" s="1">
        <v>10.0</v>
      </c>
      <c r="I85" s="1" t="s">
        <v>37</v>
      </c>
      <c r="J85" s="1" t="s">
        <v>11</v>
      </c>
      <c r="K85" s="2" t="s">
        <v>279</v>
      </c>
      <c r="L85" s="2" t="s">
        <v>280</v>
      </c>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row>
    <row r="86" ht="204.75" customHeight="1">
      <c r="A86" s="1">
        <v>364.0</v>
      </c>
      <c r="B86" s="2" t="s">
        <v>249</v>
      </c>
      <c r="C86" s="2">
        <f>IFERROR(__xludf.DUMMYFUNCTION("split(B86,""_"")"),1901.0)</f>
        <v>1901</v>
      </c>
      <c r="D86" s="2" t="str">
        <f>IFERROR(__xludf.DUMMYFUNCTION("""COMPUTED_VALUE"""),"CX")</f>
        <v>CX</v>
      </c>
      <c r="E86" s="2" t="str">
        <f>IFERROR(__xludf.DUMMYFUNCTION("""COMPUTED_VALUE"""),"月21")</f>
        <v>月21</v>
      </c>
      <c r="F86" s="2" t="s">
        <v>250</v>
      </c>
      <c r="G86" s="2" t="s">
        <v>281</v>
      </c>
      <c r="H86" s="1">
        <v>11.0</v>
      </c>
      <c r="I86" s="1" t="s">
        <v>41</v>
      </c>
      <c r="J86" s="1" t="s">
        <v>4</v>
      </c>
      <c r="K86" s="2" t="s">
        <v>282</v>
      </c>
      <c r="L86" s="2" t="s">
        <v>283</v>
      </c>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row>
    <row r="87" ht="204.75" customHeight="1">
      <c r="A87" s="1">
        <v>365.0</v>
      </c>
      <c r="B87" s="2" t="s">
        <v>284</v>
      </c>
      <c r="C87" s="2">
        <f>IFERROR(__xludf.DUMMYFUNCTION("split(B87,""_"")"),1901.0)</f>
        <v>1901</v>
      </c>
      <c r="D87" s="2" t="str">
        <f>IFERROR(__xludf.DUMMYFUNCTION("""COMPUTED_VALUE"""),"CX")</f>
        <v>CX</v>
      </c>
      <c r="E87" s="2" t="str">
        <f>IFERROR(__xludf.DUMMYFUNCTION("""COMPUTED_VALUE"""),"火21")</f>
        <v>火21</v>
      </c>
      <c r="F87" s="2" t="s">
        <v>285</v>
      </c>
      <c r="G87" s="2" t="s">
        <v>286</v>
      </c>
      <c r="H87" s="1">
        <v>1.0</v>
      </c>
      <c r="I87" s="1" t="s">
        <v>3</v>
      </c>
      <c r="J87" s="1" t="s">
        <v>4</v>
      </c>
      <c r="K87" s="2" t="s">
        <v>287</v>
      </c>
      <c r="L87" s="2" t="s">
        <v>288</v>
      </c>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row>
    <row r="88" ht="204.75" customHeight="1">
      <c r="A88" s="1">
        <v>366.0</v>
      </c>
      <c r="B88" s="2" t="s">
        <v>284</v>
      </c>
      <c r="C88" s="2">
        <f>IFERROR(__xludf.DUMMYFUNCTION("split(B88,""_"")"),1901.0)</f>
        <v>1901</v>
      </c>
      <c r="D88" s="2" t="str">
        <f>IFERROR(__xludf.DUMMYFUNCTION("""COMPUTED_VALUE"""),"CX")</f>
        <v>CX</v>
      </c>
      <c r="E88" s="2" t="str">
        <f>IFERROR(__xludf.DUMMYFUNCTION("""COMPUTED_VALUE"""),"火21")</f>
        <v>火21</v>
      </c>
      <c r="F88" s="2" t="s">
        <v>285</v>
      </c>
      <c r="G88" s="2" t="s">
        <v>289</v>
      </c>
      <c r="H88" s="1">
        <v>2.0</v>
      </c>
      <c r="I88" s="1" t="s">
        <v>7</v>
      </c>
      <c r="J88" s="1" t="s">
        <v>11</v>
      </c>
      <c r="K88" s="2" t="s">
        <v>290</v>
      </c>
      <c r="L88" s="2" t="s">
        <v>291</v>
      </c>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row>
    <row r="89" ht="204.75" customHeight="1">
      <c r="A89" s="1">
        <v>367.0</v>
      </c>
      <c r="B89" s="2" t="s">
        <v>284</v>
      </c>
      <c r="C89" s="2">
        <f>IFERROR(__xludf.DUMMYFUNCTION("split(B89,""_"")"),1901.0)</f>
        <v>1901</v>
      </c>
      <c r="D89" s="2" t="str">
        <f>IFERROR(__xludf.DUMMYFUNCTION("""COMPUTED_VALUE"""),"CX")</f>
        <v>CX</v>
      </c>
      <c r="E89" s="2" t="str">
        <f>IFERROR(__xludf.DUMMYFUNCTION("""COMPUTED_VALUE"""),"火21")</f>
        <v>火21</v>
      </c>
      <c r="F89" s="2" t="s">
        <v>285</v>
      </c>
      <c r="G89" s="2" t="s">
        <v>292</v>
      </c>
      <c r="H89" s="1">
        <v>3.0</v>
      </c>
      <c r="I89" s="1" t="s">
        <v>10</v>
      </c>
      <c r="J89" s="1" t="s">
        <v>11</v>
      </c>
      <c r="K89" s="2" t="s">
        <v>293</v>
      </c>
      <c r="L89" s="2" t="s">
        <v>294</v>
      </c>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row>
    <row r="90" ht="204.75" customHeight="1">
      <c r="A90" s="1">
        <v>368.0</v>
      </c>
      <c r="B90" s="2" t="s">
        <v>284</v>
      </c>
      <c r="C90" s="2">
        <f>IFERROR(__xludf.DUMMYFUNCTION("split(B90,""_"")"),1901.0)</f>
        <v>1901</v>
      </c>
      <c r="D90" s="2" t="str">
        <f>IFERROR(__xludf.DUMMYFUNCTION("""COMPUTED_VALUE"""),"CX")</f>
        <v>CX</v>
      </c>
      <c r="E90" s="2" t="str">
        <f>IFERROR(__xludf.DUMMYFUNCTION("""COMPUTED_VALUE"""),"火21")</f>
        <v>火21</v>
      </c>
      <c r="F90" s="2" t="s">
        <v>285</v>
      </c>
      <c r="G90" s="2" t="s">
        <v>295</v>
      </c>
      <c r="H90" s="1">
        <v>4.0</v>
      </c>
      <c r="I90" s="1" t="s">
        <v>14</v>
      </c>
      <c r="J90" s="1" t="s">
        <v>11</v>
      </c>
      <c r="K90" s="2" t="s">
        <v>296</v>
      </c>
      <c r="L90" s="2" t="s">
        <v>296</v>
      </c>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row>
    <row r="91" ht="204.75" customHeight="1">
      <c r="A91" s="1">
        <v>369.0</v>
      </c>
      <c r="B91" s="2" t="s">
        <v>284</v>
      </c>
      <c r="C91" s="2">
        <f>IFERROR(__xludf.DUMMYFUNCTION("split(B91,""_"")"),1901.0)</f>
        <v>1901</v>
      </c>
      <c r="D91" s="2" t="str">
        <f>IFERROR(__xludf.DUMMYFUNCTION("""COMPUTED_VALUE"""),"CX")</f>
        <v>CX</v>
      </c>
      <c r="E91" s="2" t="str">
        <f>IFERROR(__xludf.DUMMYFUNCTION("""COMPUTED_VALUE"""),"火21")</f>
        <v>火21</v>
      </c>
      <c r="F91" s="2" t="s">
        <v>285</v>
      </c>
      <c r="G91" s="2" t="s">
        <v>297</v>
      </c>
      <c r="H91" s="1">
        <v>5.0</v>
      </c>
      <c r="I91" s="1" t="s">
        <v>17</v>
      </c>
      <c r="J91" s="1" t="s">
        <v>11</v>
      </c>
      <c r="K91" s="2" t="s">
        <v>298</v>
      </c>
      <c r="L91" s="2" t="s">
        <v>299</v>
      </c>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row>
    <row r="92" ht="204.75" customHeight="1">
      <c r="A92" s="1">
        <v>370.0</v>
      </c>
      <c r="B92" s="2" t="s">
        <v>284</v>
      </c>
      <c r="C92" s="2">
        <f>IFERROR(__xludf.DUMMYFUNCTION("split(B92,""_"")"),1901.0)</f>
        <v>1901</v>
      </c>
      <c r="D92" s="2" t="str">
        <f>IFERROR(__xludf.DUMMYFUNCTION("""COMPUTED_VALUE"""),"CX")</f>
        <v>CX</v>
      </c>
      <c r="E92" s="2" t="str">
        <f>IFERROR(__xludf.DUMMYFUNCTION("""COMPUTED_VALUE"""),"火21")</f>
        <v>火21</v>
      </c>
      <c r="F92" s="2" t="s">
        <v>285</v>
      </c>
      <c r="G92" s="2" t="s">
        <v>300</v>
      </c>
      <c r="H92" s="1">
        <v>6.0</v>
      </c>
      <c r="I92" s="1" t="s">
        <v>21</v>
      </c>
      <c r="J92" s="1" t="s">
        <v>11</v>
      </c>
      <c r="K92" s="2" t="s">
        <v>301</v>
      </c>
      <c r="L92" s="2" t="s">
        <v>302</v>
      </c>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row>
    <row r="93" ht="204.75" customHeight="1">
      <c r="A93" s="1">
        <v>371.0</v>
      </c>
      <c r="B93" s="2" t="s">
        <v>284</v>
      </c>
      <c r="C93" s="2">
        <f>IFERROR(__xludf.DUMMYFUNCTION("split(B93,""_"")"),1901.0)</f>
        <v>1901</v>
      </c>
      <c r="D93" s="2" t="str">
        <f>IFERROR(__xludf.DUMMYFUNCTION("""COMPUTED_VALUE"""),"CX")</f>
        <v>CX</v>
      </c>
      <c r="E93" s="2" t="str">
        <f>IFERROR(__xludf.DUMMYFUNCTION("""COMPUTED_VALUE"""),"火21")</f>
        <v>火21</v>
      </c>
      <c r="F93" s="2" t="s">
        <v>285</v>
      </c>
      <c r="G93" s="2" t="s">
        <v>303</v>
      </c>
      <c r="H93" s="1">
        <v>7.0</v>
      </c>
      <c r="I93" s="1" t="s">
        <v>25</v>
      </c>
      <c r="J93" s="1" t="s">
        <v>11</v>
      </c>
      <c r="K93" s="2" t="s">
        <v>304</v>
      </c>
      <c r="L93" s="2" t="s">
        <v>305</v>
      </c>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row>
    <row r="94" ht="204.75" customHeight="1">
      <c r="A94" s="1">
        <v>372.0</v>
      </c>
      <c r="B94" s="2" t="s">
        <v>284</v>
      </c>
      <c r="C94" s="2">
        <f>IFERROR(__xludf.DUMMYFUNCTION("split(B94,""_"")"),1901.0)</f>
        <v>1901</v>
      </c>
      <c r="D94" s="2" t="str">
        <f>IFERROR(__xludf.DUMMYFUNCTION("""COMPUTED_VALUE"""),"CX")</f>
        <v>CX</v>
      </c>
      <c r="E94" s="2" t="str">
        <f>IFERROR(__xludf.DUMMYFUNCTION("""COMPUTED_VALUE"""),"火21")</f>
        <v>火21</v>
      </c>
      <c r="F94" s="2" t="s">
        <v>285</v>
      </c>
      <c r="G94" s="2" t="s">
        <v>306</v>
      </c>
      <c r="H94" s="1">
        <v>8.0</v>
      </c>
      <c r="I94" s="1" t="s">
        <v>29</v>
      </c>
      <c r="J94" s="1" t="s">
        <v>11</v>
      </c>
      <c r="K94" s="2" t="s">
        <v>307</v>
      </c>
      <c r="L94" s="2" t="s">
        <v>308</v>
      </c>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row>
    <row r="95" ht="204.75" customHeight="1">
      <c r="A95" s="1">
        <v>373.0</v>
      </c>
      <c r="B95" s="2" t="s">
        <v>284</v>
      </c>
      <c r="C95" s="2">
        <f>IFERROR(__xludf.DUMMYFUNCTION("split(B95,""_"")"),1901.0)</f>
        <v>1901</v>
      </c>
      <c r="D95" s="2" t="str">
        <f>IFERROR(__xludf.DUMMYFUNCTION("""COMPUTED_VALUE"""),"CX")</f>
        <v>CX</v>
      </c>
      <c r="E95" s="2" t="str">
        <f>IFERROR(__xludf.DUMMYFUNCTION("""COMPUTED_VALUE"""),"火21")</f>
        <v>火21</v>
      </c>
      <c r="F95" s="2" t="s">
        <v>285</v>
      </c>
      <c r="G95" s="2" t="s">
        <v>309</v>
      </c>
      <c r="H95" s="1">
        <v>9.0</v>
      </c>
      <c r="I95" s="1" t="s">
        <v>33</v>
      </c>
      <c r="J95" s="1" t="s">
        <v>11</v>
      </c>
      <c r="K95" s="2" t="s">
        <v>310</v>
      </c>
      <c r="L95" s="2" t="s">
        <v>311</v>
      </c>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row>
    <row r="96" ht="204.75" customHeight="1">
      <c r="A96" s="1">
        <v>403.0</v>
      </c>
      <c r="B96" s="2" t="s">
        <v>312</v>
      </c>
      <c r="C96" s="2">
        <f>IFERROR(__xludf.DUMMYFUNCTION("split(B96,""_"")"),1901.0)</f>
        <v>1901</v>
      </c>
      <c r="D96" s="2" t="str">
        <f>IFERROR(__xludf.DUMMYFUNCTION("""COMPUTED_VALUE"""),"CX")</f>
        <v>CX</v>
      </c>
      <c r="E96" s="2" t="str">
        <f>IFERROR(__xludf.DUMMYFUNCTION("""COMPUTED_VALUE"""),"木22")</f>
        <v>木22</v>
      </c>
      <c r="F96" s="2" t="s">
        <v>313</v>
      </c>
      <c r="G96" s="2" t="s">
        <v>314</v>
      </c>
      <c r="H96" s="1">
        <v>1.0</v>
      </c>
      <c r="I96" s="1" t="s">
        <v>3</v>
      </c>
      <c r="J96" s="1" t="s">
        <v>82</v>
      </c>
      <c r="K96" s="2" t="s">
        <v>315</v>
      </c>
      <c r="L96" s="2" t="s">
        <v>316</v>
      </c>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row>
    <row r="97" ht="204.75" customHeight="1">
      <c r="A97" s="1">
        <v>404.0</v>
      </c>
      <c r="B97" s="2" t="s">
        <v>312</v>
      </c>
      <c r="C97" s="2">
        <f>IFERROR(__xludf.DUMMYFUNCTION("split(B97,""_"")"),1901.0)</f>
        <v>1901</v>
      </c>
      <c r="D97" s="2" t="str">
        <f>IFERROR(__xludf.DUMMYFUNCTION("""COMPUTED_VALUE"""),"CX")</f>
        <v>CX</v>
      </c>
      <c r="E97" s="2" t="str">
        <f>IFERROR(__xludf.DUMMYFUNCTION("""COMPUTED_VALUE"""),"木22")</f>
        <v>木22</v>
      </c>
      <c r="F97" s="2" t="s">
        <v>313</v>
      </c>
      <c r="G97" s="2" t="s">
        <v>317</v>
      </c>
      <c r="H97" s="1">
        <v>2.0</v>
      </c>
      <c r="I97" s="1" t="s">
        <v>7</v>
      </c>
      <c r="J97" s="1" t="s">
        <v>86</v>
      </c>
      <c r="K97" s="2" t="s">
        <v>318</v>
      </c>
      <c r="L97" s="2" t="s">
        <v>319</v>
      </c>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row>
    <row r="98" ht="204.75" customHeight="1">
      <c r="A98" s="1">
        <v>405.0</v>
      </c>
      <c r="B98" s="2" t="s">
        <v>312</v>
      </c>
      <c r="C98" s="2">
        <f>IFERROR(__xludf.DUMMYFUNCTION("split(B98,""_"")"),1901.0)</f>
        <v>1901</v>
      </c>
      <c r="D98" s="2" t="str">
        <f>IFERROR(__xludf.DUMMYFUNCTION("""COMPUTED_VALUE"""),"CX")</f>
        <v>CX</v>
      </c>
      <c r="E98" s="2" t="str">
        <f>IFERROR(__xludf.DUMMYFUNCTION("""COMPUTED_VALUE"""),"木22")</f>
        <v>木22</v>
      </c>
      <c r="F98" s="2" t="s">
        <v>313</v>
      </c>
      <c r="G98" s="2" t="s">
        <v>320</v>
      </c>
      <c r="H98" s="1">
        <v>3.0</v>
      </c>
      <c r="I98" s="1" t="s">
        <v>10</v>
      </c>
      <c r="J98" s="1" t="s">
        <v>86</v>
      </c>
      <c r="K98" s="2" t="s">
        <v>321</v>
      </c>
      <c r="L98" s="2" t="s">
        <v>322</v>
      </c>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row>
    <row r="99" ht="204.75" customHeight="1">
      <c r="A99" s="1">
        <v>406.0</v>
      </c>
      <c r="B99" s="2" t="s">
        <v>312</v>
      </c>
      <c r="C99" s="2">
        <f>IFERROR(__xludf.DUMMYFUNCTION("split(B99,""_"")"),1901.0)</f>
        <v>1901</v>
      </c>
      <c r="D99" s="2" t="str">
        <f>IFERROR(__xludf.DUMMYFUNCTION("""COMPUTED_VALUE"""),"CX")</f>
        <v>CX</v>
      </c>
      <c r="E99" s="2" t="str">
        <f>IFERROR(__xludf.DUMMYFUNCTION("""COMPUTED_VALUE"""),"木22")</f>
        <v>木22</v>
      </c>
      <c r="F99" s="2" t="s">
        <v>313</v>
      </c>
      <c r="G99" s="2" t="s">
        <v>323</v>
      </c>
      <c r="H99" s="1">
        <v>4.0</v>
      </c>
      <c r="I99" s="1" t="s">
        <v>14</v>
      </c>
      <c r="J99" s="1" t="s">
        <v>86</v>
      </c>
      <c r="K99" s="2" t="s">
        <v>324</v>
      </c>
      <c r="L99" s="2" t="s">
        <v>325</v>
      </c>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row>
    <row r="100" ht="204.75" customHeight="1">
      <c r="A100" s="1">
        <v>407.0</v>
      </c>
      <c r="B100" s="2" t="s">
        <v>312</v>
      </c>
      <c r="C100" s="2">
        <f>IFERROR(__xludf.DUMMYFUNCTION("split(B100,""_"")"),1901.0)</f>
        <v>1901</v>
      </c>
      <c r="D100" s="2" t="str">
        <f>IFERROR(__xludf.DUMMYFUNCTION("""COMPUTED_VALUE"""),"CX")</f>
        <v>CX</v>
      </c>
      <c r="E100" s="2" t="str">
        <f>IFERROR(__xludf.DUMMYFUNCTION("""COMPUTED_VALUE"""),"木22")</f>
        <v>木22</v>
      </c>
      <c r="F100" s="2" t="s">
        <v>313</v>
      </c>
      <c r="G100" s="2" t="s">
        <v>326</v>
      </c>
      <c r="H100" s="1">
        <v>5.0</v>
      </c>
      <c r="I100" s="1" t="s">
        <v>17</v>
      </c>
      <c r="J100" s="1" t="s">
        <v>86</v>
      </c>
      <c r="K100" s="2" t="s">
        <v>327</v>
      </c>
      <c r="L100" s="2" t="s">
        <v>328</v>
      </c>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row>
    <row r="101" ht="204.75" customHeight="1">
      <c r="A101" s="1">
        <v>408.0</v>
      </c>
      <c r="B101" s="2" t="s">
        <v>312</v>
      </c>
      <c r="C101" s="2">
        <f>IFERROR(__xludf.DUMMYFUNCTION("split(B101,""_"")"),1901.0)</f>
        <v>1901</v>
      </c>
      <c r="D101" s="2" t="str">
        <f>IFERROR(__xludf.DUMMYFUNCTION("""COMPUTED_VALUE"""),"CX")</f>
        <v>CX</v>
      </c>
      <c r="E101" s="2" t="str">
        <f>IFERROR(__xludf.DUMMYFUNCTION("""COMPUTED_VALUE"""),"木22")</f>
        <v>木22</v>
      </c>
      <c r="F101" s="2" t="s">
        <v>313</v>
      </c>
      <c r="G101" s="2" t="s">
        <v>329</v>
      </c>
      <c r="H101" s="1">
        <v>6.0</v>
      </c>
      <c r="I101" s="1" t="s">
        <v>21</v>
      </c>
      <c r="J101" s="1" t="s">
        <v>86</v>
      </c>
      <c r="K101" s="2" t="s">
        <v>330</v>
      </c>
      <c r="L101" s="2" t="s">
        <v>331</v>
      </c>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row>
    <row r="102" ht="204.75" customHeight="1">
      <c r="A102" s="1">
        <v>409.0</v>
      </c>
      <c r="B102" s="2" t="s">
        <v>312</v>
      </c>
      <c r="C102" s="2">
        <f>IFERROR(__xludf.DUMMYFUNCTION("split(B102,""_"")"),1901.0)</f>
        <v>1901</v>
      </c>
      <c r="D102" s="2" t="str">
        <f>IFERROR(__xludf.DUMMYFUNCTION("""COMPUTED_VALUE"""),"CX")</f>
        <v>CX</v>
      </c>
      <c r="E102" s="2" t="str">
        <f>IFERROR(__xludf.DUMMYFUNCTION("""COMPUTED_VALUE"""),"木22")</f>
        <v>木22</v>
      </c>
      <c r="F102" s="2" t="s">
        <v>313</v>
      </c>
      <c r="G102" s="2" t="s">
        <v>332</v>
      </c>
      <c r="H102" s="1">
        <v>7.0</v>
      </c>
      <c r="I102" s="1" t="s">
        <v>25</v>
      </c>
      <c r="J102" s="1" t="s">
        <v>86</v>
      </c>
      <c r="K102" s="2" t="s">
        <v>333</v>
      </c>
      <c r="L102" s="2" t="s">
        <v>334</v>
      </c>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row>
    <row r="103" ht="204.75" customHeight="1">
      <c r="A103" s="1">
        <v>410.0</v>
      </c>
      <c r="B103" s="2" t="s">
        <v>312</v>
      </c>
      <c r="C103" s="2">
        <f>IFERROR(__xludf.DUMMYFUNCTION("split(B103,""_"")"),1901.0)</f>
        <v>1901</v>
      </c>
      <c r="D103" s="2" t="str">
        <f>IFERROR(__xludf.DUMMYFUNCTION("""COMPUTED_VALUE"""),"CX")</f>
        <v>CX</v>
      </c>
      <c r="E103" s="2" t="str">
        <f>IFERROR(__xludf.DUMMYFUNCTION("""COMPUTED_VALUE"""),"木22")</f>
        <v>木22</v>
      </c>
      <c r="F103" s="2" t="s">
        <v>313</v>
      </c>
      <c r="G103" s="2" t="s">
        <v>335</v>
      </c>
      <c r="H103" s="1">
        <v>8.0</v>
      </c>
      <c r="I103" s="1" t="s">
        <v>29</v>
      </c>
      <c r="J103" s="1" t="s">
        <v>86</v>
      </c>
      <c r="K103" s="2" t="s">
        <v>336</v>
      </c>
      <c r="L103" s="2" t="s">
        <v>337</v>
      </c>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row>
    <row r="104" ht="204.75" customHeight="1">
      <c r="A104" s="1">
        <v>411.0</v>
      </c>
      <c r="B104" s="2" t="s">
        <v>312</v>
      </c>
      <c r="C104" s="2">
        <f>IFERROR(__xludf.DUMMYFUNCTION("split(B104,""_"")"),1901.0)</f>
        <v>1901</v>
      </c>
      <c r="D104" s="2" t="str">
        <f>IFERROR(__xludf.DUMMYFUNCTION("""COMPUTED_VALUE"""),"CX")</f>
        <v>CX</v>
      </c>
      <c r="E104" s="2" t="str">
        <f>IFERROR(__xludf.DUMMYFUNCTION("""COMPUTED_VALUE"""),"木22")</f>
        <v>木22</v>
      </c>
      <c r="F104" s="2" t="s">
        <v>313</v>
      </c>
      <c r="G104" s="2" t="s">
        <v>338</v>
      </c>
      <c r="H104" s="1">
        <v>9.0</v>
      </c>
      <c r="I104" s="1" t="s">
        <v>33</v>
      </c>
      <c r="J104" s="1" t="s">
        <v>86</v>
      </c>
      <c r="K104" s="2" t="s">
        <v>339</v>
      </c>
      <c r="L104" s="2" t="s">
        <v>340</v>
      </c>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row>
    <row r="105" ht="204.75" customHeight="1">
      <c r="A105" s="1">
        <v>412.0</v>
      </c>
      <c r="B105" s="2" t="s">
        <v>312</v>
      </c>
      <c r="C105" s="2">
        <f>IFERROR(__xludf.DUMMYFUNCTION("split(B105,""_"")"),1901.0)</f>
        <v>1901</v>
      </c>
      <c r="D105" s="2" t="str">
        <f>IFERROR(__xludf.DUMMYFUNCTION("""COMPUTED_VALUE"""),"CX")</f>
        <v>CX</v>
      </c>
      <c r="E105" s="2" t="str">
        <f>IFERROR(__xludf.DUMMYFUNCTION("""COMPUTED_VALUE"""),"木22")</f>
        <v>木22</v>
      </c>
      <c r="F105" s="2" t="s">
        <v>313</v>
      </c>
      <c r="G105" s="2" t="s">
        <v>341</v>
      </c>
      <c r="H105" s="1">
        <v>10.0</v>
      </c>
      <c r="I105" s="1" t="s">
        <v>37</v>
      </c>
      <c r="J105" s="1" t="s">
        <v>86</v>
      </c>
      <c r="K105" s="2" t="s">
        <v>342</v>
      </c>
      <c r="L105" s="2" t="s">
        <v>343</v>
      </c>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row>
    <row r="106" ht="204.75" customHeight="1">
      <c r="A106" s="1">
        <v>468.0</v>
      </c>
      <c r="B106" s="2" t="s">
        <v>344</v>
      </c>
      <c r="C106" s="2">
        <f>IFERROR(__xludf.DUMMYFUNCTION("split(B106,""_"")"),1810.0)</f>
        <v>1810</v>
      </c>
      <c r="D106" s="2" t="str">
        <f>IFERROR(__xludf.DUMMYFUNCTION("""COMPUTED_VALUE"""),"CX")</f>
        <v>CX</v>
      </c>
      <c r="E106" s="2" t="str">
        <f>IFERROR(__xludf.DUMMYFUNCTION("""COMPUTED_VALUE"""),"月21")</f>
        <v>月21</v>
      </c>
      <c r="F106" s="2" t="s">
        <v>345</v>
      </c>
      <c r="G106" s="2" t="s">
        <v>346</v>
      </c>
      <c r="H106" s="1">
        <v>1.0</v>
      </c>
      <c r="I106" s="1" t="s">
        <v>3</v>
      </c>
      <c r="J106" s="1" t="s">
        <v>4</v>
      </c>
      <c r="K106" s="2" t="s">
        <v>347</v>
      </c>
      <c r="L106" s="2" t="s">
        <v>348</v>
      </c>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row>
    <row r="107" ht="204.75" customHeight="1">
      <c r="A107" s="1">
        <v>469.0</v>
      </c>
      <c r="B107" s="2" t="s">
        <v>344</v>
      </c>
      <c r="C107" s="2">
        <f>IFERROR(__xludf.DUMMYFUNCTION("split(B107,""_"")"),1810.0)</f>
        <v>1810</v>
      </c>
      <c r="D107" s="2" t="str">
        <f>IFERROR(__xludf.DUMMYFUNCTION("""COMPUTED_VALUE"""),"CX")</f>
        <v>CX</v>
      </c>
      <c r="E107" s="2" t="str">
        <f>IFERROR(__xludf.DUMMYFUNCTION("""COMPUTED_VALUE"""),"月21")</f>
        <v>月21</v>
      </c>
      <c r="F107" s="2" t="s">
        <v>345</v>
      </c>
      <c r="G107" s="2" t="s">
        <v>349</v>
      </c>
      <c r="H107" s="1">
        <v>2.0</v>
      </c>
      <c r="I107" s="1" t="s">
        <v>7</v>
      </c>
      <c r="J107" s="1" t="s">
        <v>4</v>
      </c>
      <c r="K107" s="2" t="s">
        <v>350</v>
      </c>
      <c r="L107" s="2" t="s">
        <v>351</v>
      </c>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row>
    <row r="108" ht="204.75" customHeight="1">
      <c r="A108" s="1">
        <v>470.0</v>
      </c>
      <c r="B108" s="2" t="s">
        <v>344</v>
      </c>
      <c r="C108" s="2">
        <f>IFERROR(__xludf.DUMMYFUNCTION("split(B108,""_"")"),1810.0)</f>
        <v>1810</v>
      </c>
      <c r="D108" s="2" t="str">
        <f>IFERROR(__xludf.DUMMYFUNCTION("""COMPUTED_VALUE"""),"CX")</f>
        <v>CX</v>
      </c>
      <c r="E108" s="2" t="str">
        <f>IFERROR(__xludf.DUMMYFUNCTION("""COMPUTED_VALUE"""),"月21")</f>
        <v>月21</v>
      </c>
      <c r="F108" s="2" t="s">
        <v>345</v>
      </c>
      <c r="G108" s="2" t="s">
        <v>352</v>
      </c>
      <c r="H108" s="1">
        <v>3.0</v>
      </c>
      <c r="I108" s="1" t="s">
        <v>10</v>
      </c>
      <c r="J108" s="1" t="s">
        <v>11</v>
      </c>
      <c r="K108" s="2" t="s">
        <v>353</v>
      </c>
      <c r="L108" s="2" t="s">
        <v>354</v>
      </c>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row>
    <row r="109" ht="204.75" customHeight="1">
      <c r="A109" s="1">
        <v>471.0</v>
      </c>
      <c r="B109" s="2" t="s">
        <v>344</v>
      </c>
      <c r="C109" s="2">
        <f>IFERROR(__xludf.DUMMYFUNCTION("split(B109,""_"")"),1810.0)</f>
        <v>1810</v>
      </c>
      <c r="D109" s="2" t="str">
        <f>IFERROR(__xludf.DUMMYFUNCTION("""COMPUTED_VALUE"""),"CX")</f>
        <v>CX</v>
      </c>
      <c r="E109" s="2" t="str">
        <f>IFERROR(__xludf.DUMMYFUNCTION("""COMPUTED_VALUE"""),"月21")</f>
        <v>月21</v>
      </c>
      <c r="F109" s="2" t="s">
        <v>345</v>
      </c>
      <c r="G109" s="2" t="s">
        <v>355</v>
      </c>
      <c r="H109" s="1">
        <v>4.0</v>
      </c>
      <c r="I109" s="1" t="s">
        <v>14</v>
      </c>
      <c r="J109" s="1" t="s">
        <v>11</v>
      </c>
      <c r="K109" s="2" t="s">
        <v>356</v>
      </c>
      <c r="L109" s="2" t="s">
        <v>357</v>
      </c>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row>
    <row r="110" ht="204.75" customHeight="1">
      <c r="A110" s="1">
        <v>472.0</v>
      </c>
      <c r="B110" s="2" t="s">
        <v>344</v>
      </c>
      <c r="C110" s="2">
        <f>IFERROR(__xludf.DUMMYFUNCTION("split(B110,""_"")"),1810.0)</f>
        <v>1810</v>
      </c>
      <c r="D110" s="2" t="str">
        <f>IFERROR(__xludf.DUMMYFUNCTION("""COMPUTED_VALUE"""),"CX")</f>
        <v>CX</v>
      </c>
      <c r="E110" s="2" t="str">
        <f>IFERROR(__xludf.DUMMYFUNCTION("""COMPUTED_VALUE"""),"月21")</f>
        <v>月21</v>
      </c>
      <c r="F110" s="2" t="s">
        <v>345</v>
      </c>
      <c r="G110" s="2" t="s">
        <v>358</v>
      </c>
      <c r="H110" s="1">
        <v>5.0</v>
      </c>
      <c r="I110" s="1" t="s">
        <v>17</v>
      </c>
      <c r="J110" s="1" t="s">
        <v>11</v>
      </c>
      <c r="K110" s="2" t="s">
        <v>359</v>
      </c>
      <c r="L110" s="2" t="s">
        <v>360</v>
      </c>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row>
    <row r="111" ht="204.75" customHeight="1">
      <c r="A111" s="1">
        <v>473.0</v>
      </c>
      <c r="B111" s="2" t="s">
        <v>344</v>
      </c>
      <c r="C111" s="2">
        <f>IFERROR(__xludf.DUMMYFUNCTION("split(B111,""_"")"),1810.0)</f>
        <v>1810</v>
      </c>
      <c r="D111" s="2" t="str">
        <f>IFERROR(__xludf.DUMMYFUNCTION("""COMPUTED_VALUE"""),"CX")</f>
        <v>CX</v>
      </c>
      <c r="E111" s="2" t="str">
        <f>IFERROR(__xludf.DUMMYFUNCTION("""COMPUTED_VALUE"""),"月21")</f>
        <v>月21</v>
      </c>
      <c r="F111" s="2" t="s">
        <v>345</v>
      </c>
      <c r="G111" s="2" t="s">
        <v>361</v>
      </c>
      <c r="H111" s="1">
        <v>6.0</v>
      </c>
      <c r="I111" s="1" t="s">
        <v>21</v>
      </c>
      <c r="J111" s="1" t="s">
        <v>11</v>
      </c>
      <c r="K111" s="2" t="s">
        <v>362</v>
      </c>
      <c r="L111" s="2" t="s">
        <v>363</v>
      </c>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row>
    <row r="112" ht="204.75" customHeight="1">
      <c r="A112" s="1">
        <v>474.0</v>
      </c>
      <c r="B112" s="2" t="s">
        <v>344</v>
      </c>
      <c r="C112" s="2">
        <f>IFERROR(__xludf.DUMMYFUNCTION("split(B112,""_"")"),1810.0)</f>
        <v>1810</v>
      </c>
      <c r="D112" s="2" t="str">
        <f>IFERROR(__xludf.DUMMYFUNCTION("""COMPUTED_VALUE"""),"CX")</f>
        <v>CX</v>
      </c>
      <c r="E112" s="2" t="str">
        <f>IFERROR(__xludf.DUMMYFUNCTION("""COMPUTED_VALUE"""),"月21")</f>
        <v>月21</v>
      </c>
      <c r="F112" s="2" t="s">
        <v>345</v>
      </c>
      <c r="G112" s="2" t="s">
        <v>364</v>
      </c>
      <c r="H112" s="1">
        <v>7.0</v>
      </c>
      <c r="I112" s="1" t="s">
        <v>25</v>
      </c>
      <c r="J112" s="1" t="s">
        <v>11</v>
      </c>
      <c r="K112" s="2" t="s">
        <v>365</v>
      </c>
      <c r="L112" s="2" t="s">
        <v>366</v>
      </c>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row>
    <row r="113" ht="204.75" customHeight="1">
      <c r="A113" s="1">
        <v>475.0</v>
      </c>
      <c r="B113" s="2" t="s">
        <v>344</v>
      </c>
      <c r="C113" s="2">
        <f>IFERROR(__xludf.DUMMYFUNCTION("split(B113,""_"")"),1810.0)</f>
        <v>1810</v>
      </c>
      <c r="D113" s="2" t="str">
        <f>IFERROR(__xludf.DUMMYFUNCTION("""COMPUTED_VALUE"""),"CX")</f>
        <v>CX</v>
      </c>
      <c r="E113" s="2" t="str">
        <f>IFERROR(__xludf.DUMMYFUNCTION("""COMPUTED_VALUE"""),"月21")</f>
        <v>月21</v>
      </c>
      <c r="F113" s="2" t="s">
        <v>345</v>
      </c>
      <c r="G113" s="2" t="s">
        <v>367</v>
      </c>
      <c r="H113" s="1">
        <v>8.0</v>
      </c>
      <c r="I113" s="1" t="s">
        <v>29</v>
      </c>
      <c r="J113" s="1" t="s">
        <v>11</v>
      </c>
      <c r="K113" s="2" t="s">
        <v>368</v>
      </c>
      <c r="L113" s="2" t="s">
        <v>369</v>
      </c>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row>
    <row r="114" ht="204.75" customHeight="1">
      <c r="A114" s="1">
        <v>476.0</v>
      </c>
      <c r="B114" s="2" t="s">
        <v>344</v>
      </c>
      <c r="C114" s="2">
        <f>IFERROR(__xludf.DUMMYFUNCTION("split(B114,""_"")"),1810.0)</f>
        <v>1810</v>
      </c>
      <c r="D114" s="2" t="str">
        <f>IFERROR(__xludf.DUMMYFUNCTION("""COMPUTED_VALUE"""),"CX")</f>
        <v>CX</v>
      </c>
      <c r="E114" s="2" t="str">
        <f>IFERROR(__xludf.DUMMYFUNCTION("""COMPUTED_VALUE"""),"月21")</f>
        <v>月21</v>
      </c>
      <c r="F114" s="2" t="s">
        <v>345</v>
      </c>
      <c r="G114" s="2" t="s">
        <v>370</v>
      </c>
      <c r="H114" s="1">
        <v>9.0</v>
      </c>
      <c r="I114" s="1" t="s">
        <v>33</v>
      </c>
      <c r="J114" s="1" t="s">
        <v>4</v>
      </c>
      <c r="K114" s="2" t="s">
        <v>371</v>
      </c>
      <c r="L114" s="2" t="s">
        <v>372</v>
      </c>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row>
    <row r="115" ht="204.75" customHeight="1">
      <c r="A115" s="1">
        <v>477.0</v>
      </c>
      <c r="B115" s="2" t="s">
        <v>344</v>
      </c>
      <c r="C115" s="2">
        <f>IFERROR(__xludf.DUMMYFUNCTION("split(B115,""_"")"),1810.0)</f>
        <v>1810</v>
      </c>
      <c r="D115" s="2" t="str">
        <f>IFERROR(__xludf.DUMMYFUNCTION("""COMPUTED_VALUE"""),"CX")</f>
        <v>CX</v>
      </c>
      <c r="E115" s="2" t="str">
        <f>IFERROR(__xludf.DUMMYFUNCTION("""COMPUTED_VALUE"""),"月21")</f>
        <v>月21</v>
      </c>
      <c r="F115" s="2" t="s">
        <v>345</v>
      </c>
      <c r="G115" s="2" t="s">
        <v>373</v>
      </c>
      <c r="H115" s="1">
        <v>10.0</v>
      </c>
      <c r="I115" s="1" t="s">
        <v>37</v>
      </c>
      <c r="J115" s="1" t="s">
        <v>11</v>
      </c>
      <c r="K115" s="2" t="s">
        <v>374</v>
      </c>
      <c r="L115" s="2" t="s">
        <v>375</v>
      </c>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row>
    <row r="116" ht="204.75" customHeight="1">
      <c r="A116" s="1">
        <v>478.0</v>
      </c>
      <c r="B116" s="2" t="s">
        <v>344</v>
      </c>
      <c r="C116" s="2">
        <f>IFERROR(__xludf.DUMMYFUNCTION("split(B116,""_"")"),1810.0)</f>
        <v>1810</v>
      </c>
      <c r="D116" s="2" t="str">
        <f>IFERROR(__xludf.DUMMYFUNCTION("""COMPUTED_VALUE"""),"CX")</f>
        <v>CX</v>
      </c>
      <c r="E116" s="2" t="str">
        <f>IFERROR(__xludf.DUMMYFUNCTION("""COMPUTED_VALUE"""),"月21")</f>
        <v>月21</v>
      </c>
      <c r="F116" s="2" t="s">
        <v>345</v>
      </c>
      <c r="G116" s="2" t="s">
        <v>376</v>
      </c>
      <c r="H116" s="1">
        <v>11.0</v>
      </c>
      <c r="I116" s="1" t="s">
        <v>41</v>
      </c>
      <c r="J116" s="1" t="s">
        <v>4</v>
      </c>
      <c r="K116" s="2" t="s">
        <v>377</v>
      </c>
      <c r="L116" s="2" t="s">
        <v>378</v>
      </c>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row>
    <row r="117" ht="204.75" customHeight="1">
      <c r="A117" s="1">
        <v>479.0</v>
      </c>
      <c r="B117" s="2" t="s">
        <v>379</v>
      </c>
      <c r="C117" s="2">
        <f>IFERROR(__xludf.DUMMYFUNCTION("split(B117,""_"")"),1810.0)</f>
        <v>1810</v>
      </c>
      <c r="D117" s="2" t="str">
        <f>IFERROR(__xludf.DUMMYFUNCTION("""COMPUTED_VALUE"""),"CX")</f>
        <v>CX</v>
      </c>
      <c r="E117" s="2" t="str">
        <f>IFERROR(__xludf.DUMMYFUNCTION("""COMPUTED_VALUE"""),"火21")</f>
        <v>火21</v>
      </c>
      <c r="F117" s="2" t="s">
        <v>380</v>
      </c>
      <c r="G117" s="2" t="s">
        <v>381</v>
      </c>
      <c r="H117" s="1">
        <v>1.0</v>
      </c>
      <c r="I117" s="1" t="s">
        <v>3</v>
      </c>
      <c r="J117" s="1" t="s">
        <v>4</v>
      </c>
      <c r="K117" s="2" t="s">
        <v>382</v>
      </c>
      <c r="L117" s="2" t="s">
        <v>383</v>
      </c>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row>
    <row r="118" ht="204.75" customHeight="1">
      <c r="A118" s="1">
        <v>480.0</v>
      </c>
      <c r="B118" s="2" t="s">
        <v>379</v>
      </c>
      <c r="C118" s="2">
        <f>IFERROR(__xludf.DUMMYFUNCTION("split(B118,""_"")"),1810.0)</f>
        <v>1810</v>
      </c>
      <c r="D118" s="2" t="str">
        <f>IFERROR(__xludf.DUMMYFUNCTION("""COMPUTED_VALUE"""),"CX")</f>
        <v>CX</v>
      </c>
      <c r="E118" s="2" t="str">
        <f>IFERROR(__xludf.DUMMYFUNCTION("""COMPUTED_VALUE"""),"火21")</f>
        <v>火21</v>
      </c>
      <c r="F118" s="2" t="s">
        <v>380</v>
      </c>
      <c r="G118" s="2" t="s">
        <v>384</v>
      </c>
      <c r="H118" s="1">
        <v>2.0</v>
      </c>
      <c r="I118" s="1" t="s">
        <v>7</v>
      </c>
      <c r="J118" s="1" t="s">
        <v>11</v>
      </c>
      <c r="K118" s="2" t="s">
        <v>385</v>
      </c>
      <c r="L118" s="2" t="s">
        <v>386</v>
      </c>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row>
    <row r="119" ht="204.75" customHeight="1">
      <c r="A119" s="1">
        <v>481.0</v>
      </c>
      <c r="B119" s="2" t="s">
        <v>379</v>
      </c>
      <c r="C119" s="2">
        <f>IFERROR(__xludf.DUMMYFUNCTION("split(B119,""_"")"),1810.0)</f>
        <v>1810</v>
      </c>
      <c r="D119" s="2" t="str">
        <f>IFERROR(__xludf.DUMMYFUNCTION("""COMPUTED_VALUE"""),"CX")</f>
        <v>CX</v>
      </c>
      <c r="E119" s="2" t="str">
        <f>IFERROR(__xludf.DUMMYFUNCTION("""COMPUTED_VALUE"""),"火21")</f>
        <v>火21</v>
      </c>
      <c r="F119" s="2" t="s">
        <v>380</v>
      </c>
      <c r="G119" s="2" t="s">
        <v>387</v>
      </c>
      <c r="H119" s="1">
        <v>3.0</v>
      </c>
      <c r="I119" s="1" t="s">
        <v>10</v>
      </c>
      <c r="J119" s="1" t="s">
        <v>11</v>
      </c>
      <c r="K119" s="2" t="s">
        <v>388</v>
      </c>
      <c r="L119" s="2" t="s">
        <v>388</v>
      </c>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row>
    <row r="120" ht="204.75" customHeight="1">
      <c r="A120" s="1">
        <v>482.0</v>
      </c>
      <c r="B120" s="2" t="s">
        <v>379</v>
      </c>
      <c r="C120" s="2">
        <f>IFERROR(__xludf.DUMMYFUNCTION("split(B120,""_"")"),1810.0)</f>
        <v>1810</v>
      </c>
      <c r="D120" s="2" t="str">
        <f>IFERROR(__xludf.DUMMYFUNCTION("""COMPUTED_VALUE"""),"CX")</f>
        <v>CX</v>
      </c>
      <c r="E120" s="2" t="str">
        <f>IFERROR(__xludf.DUMMYFUNCTION("""COMPUTED_VALUE"""),"火21")</f>
        <v>火21</v>
      </c>
      <c r="F120" s="2" t="s">
        <v>380</v>
      </c>
      <c r="G120" s="2" t="s">
        <v>389</v>
      </c>
      <c r="H120" s="1">
        <v>4.0</v>
      </c>
      <c r="I120" s="1" t="s">
        <v>14</v>
      </c>
      <c r="J120" s="1" t="s">
        <v>11</v>
      </c>
      <c r="K120" s="2" t="s">
        <v>390</v>
      </c>
      <c r="L120" s="2" t="s">
        <v>391</v>
      </c>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row>
    <row r="121" ht="204.75" customHeight="1">
      <c r="A121" s="1">
        <v>483.0</v>
      </c>
      <c r="B121" s="2" t="s">
        <v>379</v>
      </c>
      <c r="C121" s="2">
        <f>IFERROR(__xludf.DUMMYFUNCTION("split(B121,""_"")"),1810.0)</f>
        <v>1810</v>
      </c>
      <c r="D121" s="2" t="str">
        <f>IFERROR(__xludf.DUMMYFUNCTION("""COMPUTED_VALUE"""),"CX")</f>
        <v>CX</v>
      </c>
      <c r="E121" s="2" t="str">
        <f>IFERROR(__xludf.DUMMYFUNCTION("""COMPUTED_VALUE"""),"火21")</f>
        <v>火21</v>
      </c>
      <c r="F121" s="2" t="s">
        <v>380</v>
      </c>
      <c r="G121" s="2" t="s">
        <v>392</v>
      </c>
      <c r="H121" s="1">
        <v>5.0</v>
      </c>
      <c r="I121" s="1" t="s">
        <v>17</v>
      </c>
      <c r="J121" s="1" t="s">
        <v>11</v>
      </c>
      <c r="K121" s="2" t="s">
        <v>393</v>
      </c>
      <c r="L121" s="2" t="s">
        <v>394</v>
      </c>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row>
    <row r="122" ht="204.75" customHeight="1">
      <c r="A122" s="1">
        <v>484.0</v>
      </c>
      <c r="B122" s="2" t="s">
        <v>379</v>
      </c>
      <c r="C122" s="2">
        <f>IFERROR(__xludf.DUMMYFUNCTION("split(B122,""_"")"),1810.0)</f>
        <v>1810</v>
      </c>
      <c r="D122" s="2" t="str">
        <f>IFERROR(__xludf.DUMMYFUNCTION("""COMPUTED_VALUE"""),"CX")</f>
        <v>CX</v>
      </c>
      <c r="E122" s="2" t="str">
        <f>IFERROR(__xludf.DUMMYFUNCTION("""COMPUTED_VALUE"""),"火21")</f>
        <v>火21</v>
      </c>
      <c r="F122" s="2" t="s">
        <v>380</v>
      </c>
      <c r="G122" s="2" t="s">
        <v>395</v>
      </c>
      <c r="H122" s="1">
        <v>6.0</v>
      </c>
      <c r="I122" s="1" t="s">
        <v>21</v>
      </c>
      <c r="J122" s="1" t="s">
        <v>11</v>
      </c>
      <c r="K122" s="2" t="s">
        <v>396</v>
      </c>
      <c r="L122" s="2" t="s">
        <v>397</v>
      </c>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row>
    <row r="123" ht="204.75" customHeight="1">
      <c r="A123" s="1">
        <v>485.0</v>
      </c>
      <c r="B123" s="2" t="s">
        <v>379</v>
      </c>
      <c r="C123" s="2">
        <f>IFERROR(__xludf.DUMMYFUNCTION("split(B123,""_"")"),1810.0)</f>
        <v>1810</v>
      </c>
      <c r="D123" s="2" t="str">
        <f>IFERROR(__xludf.DUMMYFUNCTION("""COMPUTED_VALUE"""),"CX")</f>
        <v>CX</v>
      </c>
      <c r="E123" s="2" t="str">
        <f>IFERROR(__xludf.DUMMYFUNCTION("""COMPUTED_VALUE"""),"火21")</f>
        <v>火21</v>
      </c>
      <c r="F123" s="2" t="s">
        <v>380</v>
      </c>
      <c r="G123" s="2" t="s">
        <v>398</v>
      </c>
      <c r="H123" s="1">
        <v>7.0</v>
      </c>
      <c r="I123" s="1" t="s">
        <v>25</v>
      </c>
      <c r="J123" s="1" t="s">
        <v>11</v>
      </c>
      <c r="K123" s="2" t="s">
        <v>399</v>
      </c>
      <c r="L123" s="2" t="s">
        <v>400</v>
      </c>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row>
    <row r="124" ht="204.75" customHeight="1">
      <c r="A124" s="1">
        <v>486.0</v>
      </c>
      <c r="B124" s="2" t="s">
        <v>379</v>
      </c>
      <c r="C124" s="2">
        <f>IFERROR(__xludf.DUMMYFUNCTION("split(B124,""_"")"),1810.0)</f>
        <v>1810</v>
      </c>
      <c r="D124" s="2" t="str">
        <f>IFERROR(__xludf.DUMMYFUNCTION("""COMPUTED_VALUE"""),"CX")</f>
        <v>CX</v>
      </c>
      <c r="E124" s="2" t="str">
        <f>IFERROR(__xludf.DUMMYFUNCTION("""COMPUTED_VALUE"""),"火21")</f>
        <v>火21</v>
      </c>
      <c r="F124" s="2" t="s">
        <v>380</v>
      </c>
      <c r="G124" s="2" t="s">
        <v>401</v>
      </c>
      <c r="H124" s="1">
        <v>8.0</v>
      </c>
      <c r="I124" s="1" t="s">
        <v>29</v>
      </c>
      <c r="J124" s="1" t="s">
        <v>11</v>
      </c>
      <c r="K124" s="2" t="s">
        <v>402</v>
      </c>
      <c r="L124" s="2" t="s">
        <v>403</v>
      </c>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row>
    <row r="125" ht="204.75" customHeight="1">
      <c r="A125" s="1">
        <v>487.0</v>
      </c>
      <c r="B125" s="2" t="s">
        <v>379</v>
      </c>
      <c r="C125" s="2">
        <f>IFERROR(__xludf.DUMMYFUNCTION("split(B125,""_"")"),1810.0)</f>
        <v>1810</v>
      </c>
      <c r="D125" s="2" t="str">
        <f>IFERROR(__xludf.DUMMYFUNCTION("""COMPUTED_VALUE"""),"CX")</f>
        <v>CX</v>
      </c>
      <c r="E125" s="2" t="str">
        <f>IFERROR(__xludf.DUMMYFUNCTION("""COMPUTED_VALUE"""),"火21")</f>
        <v>火21</v>
      </c>
      <c r="F125" s="2" t="s">
        <v>380</v>
      </c>
      <c r="G125" s="2" t="s">
        <v>404</v>
      </c>
      <c r="H125" s="1">
        <v>9.0</v>
      </c>
      <c r="I125" s="1" t="s">
        <v>33</v>
      </c>
      <c r="J125" s="1" t="s">
        <v>11</v>
      </c>
      <c r="K125" s="2" t="s">
        <v>405</v>
      </c>
      <c r="L125" s="2" t="s">
        <v>406</v>
      </c>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row>
    <row r="126" ht="204.75" customHeight="1">
      <c r="A126" s="1">
        <v>488.0</v>
      </c>
      <c r="B126" s="2" t="s">
        <v>379</v>
      </c>
      <c r="C126" s="2">
        <f>IFERROR(__xludf.DUMMYFUNCTION("split(B126,""_"")"),1810.0)</f>
        <v>1810</v>
      </c>
      <c r="D126" s="2" t="str">
        <f>IFERROR(__xludf.DUMMYFUNCTION("""COMPUTED_VALUE"""),"CX")</f>
        <v>CX</v>
      </c>
      <c r="E126" s="2" t="str">
        <f>IFERROR(__xludf.DUMMYFUNCTION("""COMPUTED_VALUE"""),"火21")</f>
        <v>火21</v>
      </c>
      <c r="F126" s="2" t="s">
        <v>380</v>
      </c>
      <c r="G126" s="2" t="s">
        <v>407</v>
      </c>
      <c r="H126" s="1">
        <v>10.0</v>
      </c>
      <c r="I126" s="1" t="s">
        <v>37</v>
      </c>
      <c r="J126" s="1" t="s">
        <v>11</v>
      </c>
      <c r="K126" s="2" t="s">
        <v>408</v>
      </c>
      <c r="L126" s="2" t="s">
        <v>409</v>
      </c>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row>
    <row r="127" ht="204.75" customHeight="1">
      <c r="A127" s="1">
        <v>519.0</v>
      </c>
      <c r="B127" s="2" t="s">
        <v>410</v>
      </c>
      <c r="C127" s="2">
        <f>IFERROR(__xludf.DUMMYFUNCTION("split(B127,""_"")"),1810.0)</f>
        <v>1810</v>
      </c>
      <c r="D127" s="2" t="str">
        <f>IFERROR(__xludf.DUMMYFUNCTION("""COMPUTED_VALUE"""),"CX")</f>
        <v>CX</v>
      </c>
      <c r="E127" s="2" t="str">
        <f>IFERROR(__xludf.DUMMYFUNCTION("""COMPUTED_VALUE"""),"木22")</f>
        <v>木22</v>
      </c>
      <c r="F127" s="2" t="s">
        <v>411</v>
      </c>
      <c r="G127" s="2" t="s">
        <v>412</v>
      </c>
      <c r="H127" s="1">
        <v>1.0</v>
      </c>
      <c r="I127" s="1" t="s">
        <v>3</v>
      </c>
      <c r="J127" s="1" t="s">
        <v>82</v>
      </c>
      <c r="K127" s="2" t="s">
        <v>413</v>
      </c>
      <c r="L127" s="2" t="s">
        <v>414</v>
      </c>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row>
    <row r="128" ht="204.75" customHeight="1">
      <c r="A128" s="1">
        <v>520.0</v>
      </c>
      <c r="B128" s="2" t="s">
        <v>410</v>
      </c>
      <c r="C128" s="2">
        <f>IFERROR(__xludf.DUMMYFUNCTION("split(B128,""_"")"),1810.0)</f>
        <v>1810</v>
      </c>
      <c r="D128" s="2" t="str">
        <f>IFERROR(__xludf.DUMMYFUNCTION("""COMPUTED_VALUE"""),"CX")</f>
        <v>CX</v>
      </c>
      <c r="E128" s="2" t="str">
        <f>IFERROR(__xludf.DUMMYFUNCTION("""COMPUTED_VALUE"""),"木22")</f>
        <v>木22</v>
      </c>
      <c r="F128" s="2" t="s">
        <v>411</v>
      </c>
      <c r="G128" s="2" t="s">
        <v>415</v>
      </c>
      <c r="H128" s="1">
        <v>2.0</v>
      </c>
      <c r="I128" s="1" t="s">
        <v>7</v>
      </c>
      <c r="J128" s="1" t="s">
        <v>86</v>
      </c>
      <c r="K128" s="2" t="s">
        <v>416</v>
      </c>
      <c r="L128" s="2" t="s">
        <v>417</v>
      </c>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row>
    <row r="129" ht="204.75" customHeight="1">
      <c r="A129" s="1">
        <v>521.0</v>
      </c>
      <c r="B129" s="2" t="s">
        <v>410</v>
      </c>
      <c r="C129" s="2">
        <f>IFERROR(__xludf.DUMMYFUNCTION("split(B129,""_"")"),1810.0)</f>
        <v>1810</v>
      </c>
      <c r="D129" s="2" t="str">
        <f>IFERROR(__xludf.DUMMYFUNCTION("""COMPUTED_VALUE"""),"CX")</f>
        <v>CX</v>
      </c>
      <c r="E129" s="2" t="str">
        <f>IFERROR(__xludf.DUMMYFUNCTION("""COMPUTED_VALUE"""),"木22")</f>
        <v>木22</v>
      </c>
      <c r="F129" s="2" t="s">
        <v>411</v>
      </c>
      <c r="G129" s="2" t="s">
        <v>418</v>
      </c>
      <c r="H129" s="1">
        <v>3.0</v>
      </c>
      <c r="I129" s="1" t="s">
        <v>10</v>
      </c>
      <c r="J129" s="1" t="s">
        <v>86</v>
      </c>
      <c r="K129" s="2" t="s">
        <v>419</v>
      </c>
      <c r="L129" s="2" t="s">
        <v>420</v>
      </c>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row>
    <row r="130" ht="204.75" customHeight="1">
      <c r="A130" s="1">
        <v>522.0</v>
      </c>
      <c r="B130" s="2" t="s">
        <v>410</v>
      </c>
      <c r="C130" s="2">
        <f>IFERROR(__xludf.DUMMYFUNCTION("split(B130,""_"")"),1810.0)</f>
        <v>1810</v>
      </c>
      <c r="D130" s="2" t="str">
        <f>IFERROR(__xludf.DUMMYFUNCTION("""COMPUTED_VALUE"""),"CX")</f>
        <v>CX</v>
      </c>
      <c r="E130" s="2" t="str">
        <f>IFERROR(__xludf.DUMMYFUNCTION("""COMPUTED_VALUE"""),"木22")</f>
        <v>木22</v>
      </c>
      <c r="F130" s="2" t="s">
        <v>411</v>
      </c>
      <c r="G130" s="2" t="s">
        <v>421</v>
      </c>
      <c r="H130" s="1">
        <v>4.0</v>
      </c>
      <c r="I130" s="1" t="s">
        <v>14</v>
      </c>
      <c r="J130" s="1" t="s">
        <v>86</v>
      </c>
      <c r="K130" s="2" t="s">
        <v>422</v>
      </c>
      <c r="L130" s="2" t="s">
        <v>423</v>
      </c>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row>
    <row r="131" ht="204.75" customHeight="1">
      <c r="A131" s="1">
        <v>523.0</v>
      </c>
      <c r="B131" s="2" t="s">
        <v>410</v>
      </c>
      <c r="C131" s="2">
        <f>IFERROR(__xludf.DUMMYFUNCTION("split(B131,""_"")"),1810.0)</f>
        <v>1810</v>
      </c>
      <c r="D131" s="2" t="str">
        <f>IFERROR(__xludf.DUMMYFUNCTION("""COMPUTED_VALUE"""),"CX")</f>
        <v>CX</v>
      </c>
      <c r="E131" s="2" t="str">
        <f>IFERROR(__xludf.DUMMYFUNCTION("""COMPUTED_VALUE"""),"木22")</f>
        <v>木22</v>
      </c>
      <c r="F131" s="2" t="s">
        <v>411</v>
      </c>
      <c r="G131" s="2" t="s">
        <v>424</v>
      </c>
      <c r="H131" s="1">
        <v>5.0</v>
      </c>
      <c r="I131" s="1" t="s">
        <v>17</v>
      </c>
      <c r="J131" s="1" t="s">
        <v>86</v>
      </c>
      <c r="K131" s="2" t="s">
        <v>425</v>
      </c>
      <c r="L131" s="2" t="s">
        <v>426</v>
      </c>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row>
    <row r="132" ht="204.75" customHeight="1">
      <c r="A132" s="1">
        <v>524.0</v>
      </c>
      <c r="B132" s="2" t="s">
        <v>410</v>
      </c>
      <c r="C132" s="2">
        <f>IFERROR(__xludf.DUMMYFUNCTION("split(B132,""_"")"),1810.0)</f>
        <v>1810</v>
      </c>
      <c r="D132" s="2" t="str">
        <f>IFERROR(__xludf.DUMMYFUNCTION("""COMPUTED_VALUE"""),"CX")</f>
        <v>CX</v>
      </c>
      <c r="E132" s="2" t="str">
        <f>IFERROR(__xludf.DUMMYFUNCTION("""COMPUTED_VALUE"""),"木22")</f>
        <v>木22</v>
      </c>
      <c r="F132" s="2" t="s">
        <v>411</v>
      </c>
      <c r="G132" s="2" t="s">
        <v>427</v>
      </c>
      <c r="H132" s="1">
        <v>6.0</v>
      </c>
      <c r="I132" s="1" t="s">
        <v>21</v>
      </c>
      <c r="J132" s="1" t="s">
        <v>86</v>
      </c>
      <c r="K132" s="2" t="s">
        <v>428</v>
      </c>
      <c r="L132" s="2" t="s">
        <v>429</v>
      </c>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row>
    <row r="133" ht="204.75" customHeight="1">
      <c r="A133" s="1">
        <v>525.0</v>
      </c>
      <c r="B133" s="2" t="s">
        <v>410</v>
      </c>
      <c r="C133" s="2">
        <f>IFERROR(__xludf.DUMMYFUNCTION("split(B133,""_"")"),1810.0)</f>
        <v>1810</v>
      </c>
      <c r="D133" s="2" t="str">
        <f>IFERROR(__xludf.DUMMYFUNCTION("""COMPUTED_VALUE"""),"CX")</f>
        <v>CX</v>
      </c>
      <c r="E133" s="2" t="str">
        <f>IFERROR(__xludf.DUMMYFUNCTION("""COMPUTED_VALUE"""),"木22")</f>
        <v>木22</v>
      </c>
      <c r="F133" s="2" t="s">
        <v>411</v>
      </c>
      <c r="G133" s="2" t="s">
        <v>430</v>
      </c>
      <c r="H133" s="1">
        <v>7.0</v>
      </c>
      <c r="I133" s="1" t="s">
        <v>25</v>
      </c>
      <c r="J133" s="1" t="s">
        <v>86</v>
      </c>
      <c r="K133" s="2" t="s">
        <v>431</v>
      </c>
      <c r="L133" s="2" t="s">
        <v>432</v>
      </c>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row>
    <row r="134" ht="204.75" customHeight="1">
      <c r="A134" s="1">
        <v>526.0</v>
      </c>
      <c r="B134" s="2" t="s">
        <v>410</v>
      </c>
      <c r="C134" s="2">
        <f>IFERROR(__xludf.DUMMYFUNCTION("split(B134,""_"")"),1810.0)</f>
        <v>1810</v>
      </c>
      <c r="D134" s="2" t="str">
        <f>IFERROR(__xludf.DUMMYFUNCTION("""COMPUTED_VALUE"""),"CX")</f>
        <v>CX</v>
      </c>
      <c r="E134" s="2" t="str">
        <f>IFERROR(__xludf.DUMMYFUNCTION("""COMPUTED_VALUE"""),"木22")</f>
        <v>木22</v>
      </c>
      <c r="F134" s="2" t="s">
        <v>411</v>
      </c>
      <c r="G134" s="2" t="s">
        <v>433</v>
      </c>
      <c r="H134" s="1">
        <v>8.0</v>
      </c>
      <c r="I134" s="1" t="s">
        <v>29</v>
      </c>
      <c r="J134" s="1" t="s">
        <v>86</v>
      </c>
      <c r="K134" s="2" t="s">
        <v>434</v>
      </c>
      <c r="L134" s="2" t="s">
        <v>435</v>
      </c>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row>
    <row r="135" ht="204.75" customHeight="1">
      <c r="A135" s="1">
        <v>527.0</v>
      </c>
      <c r="B135" s="2" t="s">
        <v>410</v>
      </c>
      <c r="C135" s="2">
        <f>IFERROR(__xludf.DUMMYFUNCTION("split(B135,""_"")"),1810.0)</f>
        <v>1810</v>
      </c>
      <c r="D135" s="2" t="str">
        <f>IFERROR(__xludf.DUMMYFUNCTION("""COMPUTED_VALUE"""),"CX")</f>
        <v>CX</v>
      </c>
      <c r="E135" s="2" t="str">
        <f>IFERROR(__xludf.DUMMYFUNCTION("""COMPUTED_VALUE"""),"木22")</f>
        <v>木22</v>
      </c>
      <c r="F135" s="2" t="s">
        <v>411</v>
      </c>
      <c r="G135" s="2" t="s">
        <v>436</v>
      </c>
      <c r="H135" s="1">
        <v>9.0</v>
      </c>
      <c r="I135" s="1" t="s">
        <v>33</v>
      </c>
      <c r="J135" s="1" t="s">
        <v>86</v>
      </c>
      <c r="K135" s="2" t="s">
        <v>437</v>
      </c>
      <c r="L135" s="2" t="s">
        <v>438</v>
      </c>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row>
    <row r="136" ht="204.75" customHeight="1">
      <c r="A136" s="1">
        <v>528.0</v>
      </c>
      <c r="B136" s="2" t="s">
        <v>410</v>
      </c>
      <c r="C136" s="2">
        <f>IFERROR(__xludf.DUMMYFUNCTION("split(B136,""_"")"),1810.0)</f>
        <v>1810</v>
      </c>
      <c r="D136" s="2" t="str">
        <f>IFERROR(__xludf.DUMMYFUNCTION("""COMPUTED_VALUE"""),"CX")</f>
        <v>CX</v>
      </c>
      <c r="E136" s="2" t="str">
        <f>IFERROR(__xludf.DUMMYFUNCTION("""COMPUTED_VALUE"""),"木22")</f>
        <v>木22</v>
      </c>
      <c r="F136" s="2" t="s">
        <v>411</v>
      </c>
      <c r="G136" s="2" t="s">
        <v>439</v>
      </c>
      <c r="H136" s="1">
        <v>10.0</v>
      </c>
      <c r="I136" s="1" t="s">
        <v>37</v>
      </c>
      <c r="J136" s="1" t="s">
        <v>86</v>
      </c>
      <c r="K136" s="2" t="s">
        <v>440</v>
      </c>
      <c r="L136" s="2" t="s">
        <v>441</v>
      </c>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row>
    <row r="137" ht="204.75" customHeight="1">
      <c r="A137" s="1">
        <v>594.0</v>
      </c>
      <c r="B137" s="2" t="s">
        <v>442</v>
      </c>
      <c r="C137" s="2">
        <f>IFERROR(__xludf.DUMMYFUNCTION("split(B137,""_"")"),1807.0)</f>
        <v>1807</v>
      </c>
      <c r="D137" s="2" t="str">
        <f>IFERROR(__xludf.DUMMYFUNCTION("""COMPUTED_VALUE"""),"CX")</f>
        <v>CX</v>
      </c>
      <c r="E137" s="2" t="str">
        <f>IFERROR(__xludf.DUMMYFUNCTION("""COMPUTED_VALUE"""),"月21")</f>
        <v>月21</v>
      </c>
      <c r="F137" s="2" t="s">
        <v>443</v>
      </c>
      <c r="G137" s="2" t="s">
        <v>444</v>
      </c>
      <c r="H137" s="1">
        <v>1.0</v>
      </c>
      <c r="I137" s="1" t="s">
        <v>3</v>
      </c>
      <c r="J137" s="1" t="s">
        <v>4</v>
      </c>
      <c r="K137" s="2" t="s">
        <v>445</v>
      </c>
      <c r="L137" s="2" t="s">
        <v>446</v>
      </c>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row>
    <row r="138" ht="204.75" customHeight="1">
      <c r="A138" s="1">
        <v>595.0</v>
      </c>
      <c r="B138" s="2" t="s">
        <v>442</v>
      </c>
      <c r="C138" s="2">
        <f>IFERROR(__xludf.DUMMYFUNCTION("split(B138,""_"")"),1807.0)</f>
        <v>1807</v>
      </c>
      <c r="D138" s="2" t="str">
        <f>IFERROR(__xludf.DUMMYFUNCTION("""COMPUTED_VALUE"""),"CX")</f>
        <v>CX</v>
      </c>
      <c r="E138" s="2" t="str">
        <f>IFERROR(__xludf.DUMMYFUNCTION("""COMPUTED_VALUE"""),"月21")</f>
        <v>月21</v>
      </c>
      <c r="F138" s="2" t="s">
        <v>443</v>
      </c>
      <c r="G138" s="2" t="s">
        <v>447</v>
      </c>
      <c r="H138" s="1">
        <v>2.0</v>
      </c>
      <c r="I138" s="1" t="s">
        <v>7</v>
      </c>
      <c r="J138" s="1" t="s">
        <v>4</v>
      </c>
      <c r="K138" s="2" t="s">
        <v>448</v>
      </c>
      <c r="L138" s="2" t="s">
        <v>449</v>
      </c>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row>
    <row r="139" ht="204.75" customHeight="1">
      <c r="A139" s="1">
        <v>596.0</v>
      </c>
      <c r="B139" s="2" t="s">
        <v>442</v>
      </c>
      <c r="C139" s="2">
        <f>IFERROR(__xludf.DUMMYFUNCTION("split(B139,""_"")"),1807.0)</f>
        <v>1807</v>
      </c>
      <c r="D139" s="2" t="str">
        <f>IFERROR(__xludf.DUMMYFUNCTION("""COMPUTED_VALUE"""),"CX")</f>
        <v>CX</v>
      </c>
      <c r="E139" s="2" t="str">
        <f>IFERROR(__xludf.DUMMYFUNCTION("""COMPUTED_VALUE"""),"月21")</f>
        <v>月21</v>
      </c>
      <c r="F139" s="2" t="s">
        <v>443</v>
      </c>
      <c r="G139" s="2" t="s">
        <v>450</v>
      </c>
      <c r="H139" s="1">
        <v>3.0</v>
      </c>
      <c r="I139" s="1" t="s">
        <v>10</v>
      </c>
      <c r="J139" s="1" t="s">
        <v>11</v>
      </c>
      <c r="K139" s="2" t="s">
        <v>451</v>
      </c>
      <c r="L139" s="2" t="s">
        <v>452</v>
      </c>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row>
    <row r="140" ht="204.75" customHeight="1">
      <c r="A140" s="1">
        <v>597.0</v>
      </c>
      <c r="B140" s="2" t="s">
        <v>442</v>
      </c>
      <c r="C140" s="2">
        <f>IFERROR(__xludf.DUMMYFUNCTION("split(B140,""_"")"),1807.0)</f>
        <v>1807</v>
      </c>
      <c r="D140" s="2" t="str">
        <f>IFERROR(__xludf.DUMMYFUNCTION("""COMPUTED_VALUE"""),"CX")</f>
        <v>CX</v>
      </c>
      <c r="E140" s="2" t="str">
        <f>IFERROR(__xludf.DUMMYFUNCTION("""COMPUTED_VALUE"""),"月21")</f>
        <v>月21</v>
      </c>
      <c r="F140" s="2" t="s">
        <v>443</v>
      </c>
      <c r="G140" s="2" t="s">
        <v>453</v>
      </c>
      <c r="H140" s="1">
        <v>4.0</v>
      </c>
      <c r="I140" s="1" t="s">
        <v>14</v>
      </c>
      <c r="J140" s="1" t="s">
        <v>11</v>
      </c>
      <c r="K140" s="2" t="s">
        <v>454</v>
      </c>
      <c r="L140" s="2" t="s">
        <v>455</v>
      </c>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row>
    <row r="141" ht="204.75" customHeight="1">
      <c r="A141" s="1">
        <v>598.0</v>
      </c>
      <c r="B141" s="2" t="s">
        <v>442</v>
      </c>
      <c r="C141" s="2">
        <f>IFERROR(__xludf.DUMMYFUNCTION("split(B141,""_"")"),1807.0)</f>
        <v>1807</v>
      </c>
      <c r="D141" s="2" t="str">
        <f>IFERROR(__xludf.DUMMYFUNCTION("""COMPUTED_VALUE"""),"CX")</f>
        <v>CX</v>
      </c>
      <c r="E141" s="2" t="str">
        <f>IFERROR(__xludf.DUMMYFUNCTION("""COMPUTED_VALUE"""),"月21")</f>
        <v>月21</v>
      </c>
      <c r="F141" s="2" t="s">
        <v>443</v>
      </c>
      <c r="G141" s="2" t="s">
        <v>456</v>
      </c>
      <c r="H141" s="1">
        <v>5.0</v>
      </c>
      <c r="I141" s="1" t="s">
        <v>17</v>
      </c>
      <c r="J141" s="1" t="s">
        <v>11</v>
      </c>
      <c r="K141" s="2" t="s">
        <v>457</v>
      </c>
      <c r="L141" s="2" t="s">
        <v>458</v>
      </c>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row>
    <row r="142" ht="204.75" customHeight="1">
      <c r="A142" s="1">
        <v>599.0</v>
      </c>
      <c r="B142" s="2" t="s">
        <v>442</v>
      </c>
      <c r="C142" s="2">
        <f>IFERROR(__xludf.DUMMYFUNCTION("split(B142,""_"")"),1807.0)</f>
        <v>1807</v>
      </c>
      <c r="D142" s="2" t="str">
        <f>IFERROR(__xludf.DUMMYFUNCTION("""COMPUTED_VALUE"""),"CX")</f>
        <v>CX</v>
      </c>
      <c r="E142" s="2" t="str">
        <f>IFERROR(__xludf.DUMMYFUNCTION("""COMPUTED_VALUE"""),"月21")</f>
        <v>月21</v>
      </c>
      <c r="F142" s="2" t="s">
        <v>443</v>
      </c>
      <c r="G142" s="2" t="s">
        <v>459</v>
      </c>
      <c r="H142" s="1">
        <v>6.0</v>
      </c>
      <c r="I142" s="1" t="s">
        <v>21</v>
      </c>
      <c r="J142" s="1" t="s">
        <v>11</v>
      </c>
      <c r="K142" s="2" t="s">
        <v>460</v>
      </c>
      <c r="L142" s="2" t="s">
        <v>461</v>
      </c>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row>
    <row r="143" ht="204.75" customHeight="1">
      <c r="A143" s="1">
        <v>600.0</v>
      </c>
      <c r="B143" s="2" t="s">
        <v>442</v>
      </c>
      <c r="C143" s="2">
        <f>IFERROR(__xludf.DUMMYFUNCTION("split(B143,""_"")"),1807.0)</f>
        <v>1807</v>
      </c>
      <c r="D143" s="2" t="str">
        <f>IFERROR(__xludf.DUMMYFUNCTION("""COMPUTED_VALUE"""),"CX")</f>
        <v>CX</v>
      </c>
      <c r="E143" s="2" t="str">
        <f>IFERROR(__xludf.DUMMYFUNCTION("""COMPUTED_VALUE"""),"月21")</f>
        <v>月21</v>
      </c>
      <c r="F143" s="2" t="s">
        <v>443</v>
      </c>
      <c r="G143" s="2" t="s">
        <v>462</v>
      </c>
      <c r="H143" s="1">
        <v>7.0</v>
      </c>
      <c r="I143" s="1" t="s">
        <v>25</v>
      </c>
      <c r="J143" s="1" t="s">
        <v>11</v>
      </c>
      <c r="K143" s="2" t="s">
        <v>463</v>
      </c>
      <c r="L143" s="2" t="s">
        <v>464</v>
      </c>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row>
    <row r="144" ht="204.75" customHeight="1">
      <c r="A144" s="1">
        <v>601.0</v>
      </c>
      <c r="B144" s="2" t="s">
        <v>442</v>
      </c>
      <c r="C144" s="2">
        <f>IFERROR(__xludf.DUMMYFUNCTION("split(B144,""_"")"),1807.0)</f>
        <v>1807</v>
      </c>
      <c r="D144" s="2" t="str">
        <f>IFERROR(__xludf.DUMMYFUNCTION("""COMPUTED_VALUE"""),"CX")</f>
        <v>CX</v>
      </c>
      <c r="E144" s="2" t="str">
        <f>IFERROR(__xludf.DUMMYFUNCTION("""COMPUTED_VALUE"""),"月21")</f>
        <v>月21</v>
      </c>
      <c r="F144" s="2" t="s">
        <v>443</v>
      </c>
      <c r="G144" s="2" t="s">
        <v>465</v>
      </c>
      <c r="H144" s="1">
        <v>8.0</v>
      </c>
      <c r="I144" s="1" t="s">
        <v>29</v>
      </c>
      <c r="J144" s="1" t="s">
        <v>11</v>
      </c>
      <c r="K144" s="2" t="s">
        <v>466</v>
      </c>
      <c r="L144" s="2" t="s">
        <v>467</v>
      </c>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row>
    <row r="145" ht="204.75" customHeight="1">
      <c r="A145" s="1">
        <v>602.0</v>
      </c>
      <c r="B145" s="2" t="s">
        <v>442</v>
      </c>
      <c r="C145" s="2">
        <f>IFERROR(__xludf.DUMMYFUNCTION("split(B145,""_"")"),1807.0)</f>
        <v>1807</v>
      </c>
      <c r="D145" s="2" t="str">
        <f>IFERROR(__xludf.DUMMYFUNCTION("""COMPUTED_VALUE"""),"CX")</f>
        <v>CX</v>
      </c>
      <c r="E145" s="2" t="str">
        <f>IFERROR(__xludf.DUMMYFUNCTION("""COMPUTED_VALUE"""),"月21")</f>
        <v>月21</v>
      </c>
      <c r="F145" s="2" t="s">
        <v>443</v>
      </c>
      <c r="G145" s="2" t="s">
        <v>468</v>
      </c>
      <c r="H145" s="1">
        <v>9.0</v>
      </c>
      <c r="I145" s="1" t="s">
        <v>33</v>
      </c>
      <c r="J145" s="1" t="s">
        <v>11</v>
      </c>
      <c r="K145" s="2" t="s">
        <v>469</v>
      </c>
      <c r="L145" s="2" t="s">
        <v>470</v>
      </c>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row>
    <row r="146" ht="204.75" customHeight="1">
      <c r="A146" s="1">
        <v>603.0</v>
      </c>
      <c r="B146" s="2" t="s">
        <v>442</v>
      </c>
      <c r="C146" s="2">
        <f>IFERROR(__xludf.DUMMYFUNCTION("split(B146,""_"")"),1807.0)</f>
        <v>1807</v>
      </c>
      <c r="D146" s="2" t="str">
        <f>IFERROR(__xludf.DUMMYFUNCTION("""COMPUTED_VALUE"""),"CX")</f>
        <v>CX</v>
      </c>
      <c r="E146" s="2" t="str">
        <f>IFERROR(__xludf.DUMMYFUNCTION("""COMPUTED_VALUE"""),"月21")</f>
        <v>月21</v>
      </c>
      <c r="F146" s="2" t="s">
        <v>443</v>
      </c>
      <c r="G146" s="2" t="s">
        <v>471</v>
      </c>
      <c r="H146" s="1">
        <v>10.0</v>
      </c>
      <c r="I146" s="1" t="s">
        <v>37</v>
      </c>
      <c r="J146" s="1" t="s">
        <v>4</v>
      </c>
      <c r="K146" s="2" t="s">
        <v>472</v>
      </c>
      <c r="L146" s="2" t="s">
        <v>473</v>
      </c>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row>
    <row r="147" ht="204.75" customHeight="1">
      <c r="A147" s="1">
        <v>604.0</v>
      </c>
      <c r="B147" s="2" t="s">
        <v>474</v>
      </c>
      <c r="C147" s="2">
        <f>IFERROR(__xludf.DUMMYFUNCTION("split(B147,""_"")"),1807.0)</f>
        <v>1807</v>
      </c>
      <c r="D147" s="2" t="str">
        <f>IFERROR(__xludf.DUMMYFUNCTION("""COMPUTED_VALUE"""),"CX")</f>
        <v>CX</v>
      </c>
      <c r="E147" s="2" t="str">
        <f>IFERROR(__xludf.DUMMYFUNCTION("""COMPUTED_VALUE"""),"火21")</f>
        <v>火21</v>
      </c>
      <c r="F147" s="2" t="s">
        <v>475</v>
      </c>
      <c r="G147" s="2" t="s">
        <v>476</v>
      </c>
      <c r="H147" s="1">
        <v>1.0</v>
      </c>
      <c r="I147" s="1" t="s">
        <v>3</v>
      </c>
      <c r="J147" s="1" t="s">
        <v>4</v>
      </c>
      <c r="K147" s="2" t="s">
        <v>477</v>
      </c>
      <c r="L147" s="2" t="s">
        <v>478</v>
      </c>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row>
    <row r="148" ht="204.75" customHeight="1">
      <c r="A148" s="1">
        <v>605.0</v>
      </c>
      <c r="B148" s="2" t="s">
        <v>474</v>
      </c>
      <c r="C148" s="2">
        <f>IFERROR(__xludf.DUMMYFUNCTION("split(B148,""_"")"),1807.0)</f>
        <v>1807</v>
      </c>
      <c r="D148" s="2" t="str">
        <f>IFERROR(__xludf.DUMMYFUNCTION("""COMPUTED_VALUE"""),"CX")</f>
        <v>CX</v>
      </c>
      <c r="E148" s="2" t="str">
        <f>IFERROR(__xludf.DUMMYFUNCTION("""COMPUTED_VALUE"""),"火21")</f>
        <v>火21</v>
      </c>
      <c r="F148" s="2" t="s">
        <v>475</v>
      </c>
      <c r="G148" s="2" t="s">
        <v>479</v>
      </c>
      <c r="H148" s="1">
        <v>2.0</v>
      </c>
      <c r="I148" s="1" t="s">
        <v>7</v>
      </c>
      <c r="J148" s="1" t="s">
        <v>11</v>
      </c>
      <c r="K148" s="2" t="s">
        <v>480</v>
      </c>
      <c r="L148" s="2" t="s">
        <v>481</v>
      </c>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row>
    <row r="149" ht="204.75" customHeight="1">
      <c r="A149" s="1">
        <v>606.0</v>
      </c>
      <c r="B149" s="2" t="s">
        <v>474</v>
      </c>
      <c r="C149" s="2">
        <f>IFERROR(__xludf.DUMMYFUNCTION("split(B149,""_"")"),1807.0)</f>
        <v>1807</v>
      </c>
      <c r="D149" s="2" t="str">
        <f>IFERROR(__xludf.DUMMYFUNCTION("""COMPUTED_VALUE"""),"CX")</f>
        <v>CX</v>
      </c>
      <c r="E149" s="2" t="str">
        <f>IFERROR(__xludf.DUMMYFUNCTION("""COMPUTED_VALUE"""),"火21")</f>
        <v>火21</v>
      </c>
      <c r="F149" s="2" t="s">
        <v>475</v>
      </c>
      <c r="G149" s="2" t="s">
        <v>482</v>
      </c>
      <c r="H149" s="1">
        <v>3.0</v>
      </c>
      <c r="I149" s="1" t="s">
        <v>10</v>
      </c>
      <c r="J149" s="1" t="s">
        <v>11</v>
      </c>
      <c r="K149" s="2" t="s">
        <v>483</v>
      </c>
      <c r="L149" s="2" t="s">
        <v>484</v>
      </c>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row>
    <row r="150" ht="204.75" customHeight="1">
      <c r="A150" s="1">
        <v>607.0</v>
      </c>
      <c r="B150" s="2" t="s">
        <v>474</v>
      </c>
      <c r="C150" s="2">
        <f>IFERROR(__xludf.DUMMYFUNCTION("split(B150,""_"")"),1807.0)</f>
        <v>1807</v>
      </c>
      <c r="D150" s="2" t="str">
        <f>IFERROR(__xludf.DUMMYFUNCTION("""COMPUTED_VALUE"""),"CX")</f>
        <v>CX</v>
      </c>
      <c r="E150" s="2" t="str">
        <f>IFERROR(__xludf.DUMMYFUNCTION("""COMPUTED_VALUE"""),"火21")</f>
        <v>火21</v>
      </c>
      <c r="F150" s="2" t="s">
        <v>475</v>
      </c>
      <c r="G150" s="2" t="s">
        <v>485</v>
      </c>
      <c r="H150" s="1">
        <v>4.0</v>
      </c>
      <c r="I150" s="1" t="s">
        <v>14</v>
      </c>
      <c r="J150" s="1" t="s">
        <v>11</v>
      </c>
      <c r="K150" s="2" t="s">
        <v>486</v>
      </c>
      <c r="L150" s="2" t="s">
        <v>487</v>
      </c>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row>
    <row r="151" ht="204.75" customHeight="1">
      <c r="A151" s="1">
        <v>608.0</v>
      </c>
      <c r="B151" s="2" t="s">
        <v>474</v>
      </c>
      <c r="C151" s="2">
        <f>IFERROR(__xludf.DUMMYFUNCTION("split(B151,""_"")"),1807.0)</f>
        <v>1807</v>
      </c>
      <c r="D151" s="2" t="str">
        <f>IFERROR(__xludf.DUMMYFUNCTION("""COMPUTED_VALUE"""),"CX")</f>
        <v>CX</v>
      </c>
      <c r="E151" s="2" t="str">
        <f>IFERROR(__xludf.DUMMYFUNCTION("""COMPUTED_VALUE"""),"火21")</f>
        <v>火21</v>
      </c>
      <c r="F151" s="2" t="s">
        <v>475</v>
      </c>
      <c r="G151" s="2" t="s">
        <v>488</v>
      </c>
      <c r="H151" s="1">
        <v>5.0</v>
      </c>
      <c r="I151" s="1" t="s">
        <v>17</v>
      </c>
      <c r="J151" s="1" t="s">
        <v>11</v>
      </c>
      <c r="K151" s="2" t="s">
        <v>489</v>
      </c>
      <c r="L151" s="2" t="s">
        <v>490</v>
      </c>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row>
    <row r="152" ht="204.75" customHeight="1">
      <c r="A152" s="1">
        <v>609.0</v>
      </c>
      <c r="B152" s="2" t="s">
        <v>474</v>
      </c>
      <c r="C152" s="2">
        <f>IFERROR(__xludf.DUMMYFUNCTION("split(B152,""_"")"),1807.0)</f>
        <v>1807</v>
      </c>
      <c r="D152" s="2" t="str">
        <f>IFERROR(__xludf.DUMMYFUNCTION("""COMPUTED_VALUE"""),"CX")</f>
        <v>CX</v>
      </c>
      <c r="E152" s="2" t="str">
        <f>IFERROR(__xludf.DUMMYFUNCTION("""COMPUTED_VALUE"""),"火21")</f>
        <v>火21</v>
      </c>
      <c r="F152" s="2" t="s">
        <v>475</v>
      </c>
      <c r="G152" s="2" t="s">
        <v>491</v>
      </c>
      <c r="H152" s="1">
        <v>6.0</v>
      </c>
      <c r="I152" s="1" t="s">
        <v>21</v>
      </c>
      <c r="J152" s="1" t="s">
        <v>11</v>
      </c>
      <c r="K152" s="2" t="s">
        <v>492</v>
      </c>
      <c r="L152" s="2" t="s">
        <v>493</v>
      </c>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row>
    <row r="153" ht="204.75" customHeight="1">
      <c r="A153" s="1">
        <v>610.0</v>
      </c>
      <c r="B153" s="2" t="s">
        <v>474</v>
      </c>
      <c r="C153" s="2">
        <f>IFERROR(__xludf.DUMMYFUNCTION("split(B153,""_"")"),1807.0)</f>
        <v>1807</v>
      </c>
      <c r="D153" s="2" t="str">
        <f>IFERROR(__xludf.DUMMYFUNCTION("""COMPUTED_VALUE"""),"CX")</f>
        <v>CX</v>
      </c>
      <c r="E153" s="2" t="str">
        <f>IFERROR(__xludf.DUMMYFUNCTION("""COMPUTED_VALUE"""),"火21")</f>
        <v>火21</v>
      </c>
      <c r="F153" s="2" t="s">
        <v>475</v>
      </c>
      <c r="G153" s="2" t="s">
        <v>494</v>
      </c>
      <c r="H153" s="1">
        <v>7.0</v>
      </c>
      <c r="I153" s="1" t="s">
        <v>25</v>
      </c>
      <c r="J153" s="1" t="s">
        <v>11</v>
      </c>
      <c r="K153" s="2" t="s">
        <v>495</v>
      </c>
      <c r="L153" s="2" t="s">
        <v>495</v>
      </c>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row>
    <row r="154" ht="204.75" customHeight="1">
      <c r="A154" s="1">
        <v>611.0</v>
      </c>
      <c r="B154" s="2" t="s">
        <v>474</v>
      </c>
      <c r="C154" s="2">
        <f>IFERROR(__xludf.DUMMYFUNCTION("split(B154,""_"")"),1807.0)</f>
        <v>1807</v>
      </c>
      <c r="D154" s="2" t="str">
        <f>IFERROR(__xludf.DUMMYFUNCTION("""COMPUTED_VALUE"""),"CX")</f>
        <v>CX</v>
      </c>
      <c r="E154" s="2" t="str">
        <f>IFERROR(__xludf.DUMMYFUNCTION("""COMPUTED_VALUE"""),"火21")</f>
        <v>火21</v>
      </c>
      <c r="F154" s="2" t="s">
        <v>475</v>
      </c>
      <c r="G154" s="2" t="s">
        <v>496</v>
      </c>
      <c r="H154" s="1">
        <v>8.0</v>
      </c>
      <c r="I154" s="1" t="s">
        <v>29</v>
      </c>
      <c r="J154" s="1" t="s">
        <v>11</v>
      </c>
      <c r="K154" s="2" t="s">
        <v>497</v>
      </c>
      <c r="L154" s="2" t="s">
        <v>497</v>
      </c>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row>
    <row r="155" ht="204.75" customHeight="1">
      <c r="A155" s="1">
        <v>612.0</v>
      </c>
      <c r="B155" s="2" t="s">
        <v>474</v>
      </c>
      <c r="C155" s="2">
        <f>IFERROR(__xludf.DUMMYFUNCTION("split(B155,""_"")"),1807.0)</f>
        <v>1807</v>
      </c>
      <c r="D155" s="2" t="str">
        <f>IFERROR(__xludf.DUMMYFUNCTION("""COMPUTED_VALUE"""),"CX")</f>
        <v>CX</v>
      </c>
      <c r="E155" s="2" t="str">
        <f>IFERROR(__xludf.DUMMYFUNCTION("""COMPUTED_VALUE"""),"火21")</f>
        <v>火21</v>
      </c>
      <c r="F155" s="2" t="s">
        <v>475</v>
      </c>
      <c r="G155" s="2" t="s">
        <v>498</v>
      </c>
      <c r="H155" s="1">
        <v>9.0</v>
      </c>
      <c r="I155" s="1" t="s">
        <v>33</v>
      </c>
      <c r="J155" s="1" t="s">
        <v>11</v>
      </c>
      <c r="K155" s="2" t="s">
        <v>499</v>
      </c>
      <c r="L155" s="2" t="s">
        <v>500</v>
      </c>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row>
    <row r="156" ht="204.75" customHeight="1">
      <c r="A156" s="1">
        <v>613.0</v>
      </c>
      <c r="B156" s="2" t="s">
        <v>474</v>
      </c>
      <c r="C156" s="2">
        <f>IFERROR(__xludf.DUMMYFUNCTION("split(B156,""_"")"),1807.0)</f>
        <v>1807</v>
      </c>
      <c r="D156" s="2" t="str">
        <f>IFERROR(__xludf.DUMMYFUNCTION("""COMPUTED_VALUE"""),"CX")</f>
        <v>CX</v>
      </c>
      <c r="E156" s="2" t="str">
        <f>IFERROR(__xludf.DUMMYFUNCTION("""COMPUTED_VALUE"""),"火21")</f>
        <v>火21</v>
      </c>
      <c r="F156" s="2" t="s">
        <v>475</v>
      </c>
      <c r="G156" s="2" t="s">
        <v>501</v>
      </c>
      <c r="H156" s="1">
        <v>10.0</v>
      </c>
      <c r="I156" s="1" t="s">
        <v>37</v>
      </c>
      <c r="J156" s="1" t="s">
        <v>11</v>
      </c>
      <c r="K156" s="2" t="s">
        <v>502</v>
      </c>
      <c r="L156" s="2" t="s">
        <v>503</v>
      </c>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row>
    <row r="157" ht="204.75" customHeight="1">
      <c r="A157" s="1">
        <v>642.0</v>
      </c>
      <c r="B157" s="2" t="s">
        <v>504</v>
      </c>
      <c r="C157" s="2">
        <f>IFERROR(__xludf.DUMMYFUNCTION("split(B157,""_"")"),1807.0)</f>
        <v>1807</v>
      </c>
      <c r="D157" s="2" t="str">
        <f>IFERROR(__xludf.DUMMYFUNCTION("""COMPUTED_VALUE"""),"CX")</f>
        <v>CX</v>
      </c>
      <c r="E157" s="2" t="str">
        <f>IFERROR(__xludf.DUMMYFUNCTION("""COMPUTED_VALUE"""),"木22")</f>
        <v>木22</v>
      </c>
      <c r="F157" s="2" t="s">
        <v>505</v>
      </c>
      <c r="G157" s="2" t="s">
        <v>506</v>
      </c>
      <c r="H157" s="1">
        <v>1.0</v>
      </c>
      <c r="I157" s="1" t="s">
        <v>3</v>
      </c>
      <c r="J157" s="1" t="s">
        <v>82</v>
      </c>
      <c r="K157" s="2" t="s">
        <v>507</v>
      </c>
      <c r="L157" s="2" t="s">
        <v>508</v>
      </c>
      <c r="M157" s="2" t="str">
        <f>IFERROR(__xludf.DUMMYFUNCTION("split(K157,""山崎賢人　"",false)"),"幼い頃から小児外科医になることを夢見ていた新堂湊(山崎賢人)にとって今日は記念すべき日だ。なぜなら、あと数時間後にはレジデントとして、東郷記念病院の小児外科で働けるのだからー。  　東郷記念病院の小児外科はいつもの通り多忙を極めていた。一人前の小児外科医を目指して日々激務をこなしている瀬戸夏美(上野樹里)も、食事をとろうとした矢先、患者のことで携帯で呼び出され休む間もない。  　そして今日は、小児外科のエース・高山誠司(藤木直人)も出席し、小児外科長の間宮啓介(戸次重幸)、理事長の東郷美智(中村ゆり)、副"&amp;"院長の猪口隆之介(板尾創路)、院長の司賀明(柄本明)らが一堂に会し経営会議が開かれていた。そこで司賀から、小児外科に今日からレジデントとして新堂湊という青年を招くことが告げられる。  　湊の履歴書が配られると、自閉症スペクトラム障がいであるという記載にざわめきが起こる。司賀は、湊が驚異的な記憶力を持つサヴァン症候群であり、医師としての能力も高く、必ずや東郷記念病院の力となってくれるはずだと説明をする。  　そんな会議のことなどつゆ知らず、病院へ向かう湊は大事故に遭遇。看板が倒れ、子供が血を流して倒れている"&amp;"。わき起こる悲鳴。助けを求める母親の叫び。たまたま居合わせた医師が名乗り出て、応急処置をほどこそうとすると…  　「ダメです!それだと死にます!」  　子どもの元へ、湊が駆けつけた。")</f>
        <v>幼い頃から小児外科医になることを夢見ていた新堂湊(山崎賢人)にとって今日は記念すべき日だ。なぜなら、あと数時間後にはレジデントとして、東郷記念病院の小児外科で働けるのだからー。  　東郷記念病院の小児外科はいつもの通り多忙を極めていた。一人前の小児外科医を目指して日々激務をこなしている瀬戸夏美(上野樹里)も、食事をとろうとした矢先、患者のことで携帯で呼び出され休む間もない。  　そして今日は、小児外科のエース・高山誠司(藤木直人)も出席し、小児外科長の間宮啓介(戸次重幸)、理事長の東郷美智(中村ゆり)、副院長の猪口隆之介(板尾創路)、院長の司賀明(柄本明)らが一堂に会し経営会議が開かれていた。そこで司賀から、小児外科に今日からレジデントとして新堂湊という青年を招くことが告げられる。  　湊の履歴書が配られると、自閉症スペクトラム障がいであるという記載にざわめきが起こる。司賀は、湊が驚異的な記憶力を持つサヴァン症候群であり、医師としての能力も高く、必ずや東郷記念病院の力となってくれるはずだと説明をする。  　そんな会議のことなどつゆ知らず、病院へ向かう湊は大事故に遭遇。看板が倒れ、子供が血を流して倒れている。わき起こる悲鳴。助けを求める母親の叫び。たまたま居合わせた医師が名乗り出て、応急処置をほどこそうとすると…  　「ダメです!それだと死にます!」  　子どもの元へ、湊が駆けつけた。</v>
      </c>
      <c r="N157" s="2" t="str">
        <f>IFERROR(__xludf.DUMMYFUNCTION("""COMPUTED_VALUE"""),"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高田哲也(日吉メディカルクリニッ"&amp;"ク)　    【プロデュース】  藤野良太、金城綾香【協力プロデュース】  西坂瑞城　    【演出】  金井紘、相沢秀幸最新情報は、以下URLまでアクセスしてください。  ★公式HP　  http://www.fujitv.co.jp/gooddoctor/　  ★公式Twitter　  https://twitter.com/GoodDoctor2018")</f>
        <v>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金井紘、相沢秀幸最新情報は、以下URLまでアクセスしてください。  ★公式HP　  http://www.fujitv.co.jp/gooddoctor/　  ★公式Twitter　  https://twitter.com/GoodDoctor2018</v>
      </c>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row>
    <row r="158" ht="204.75" customHeight="1">
      <c r="A158" s="1">
        <v>643.0</v>
      </c>
      <c r="B158" s="2" t="s">
        <v>504</v>
      </c>
      <c r="C158" s="2">
        <f>IFERROR(__xludf.DUMMYFUNCTION("split(B158,""_"")"),1807.0)</f>
        <v>1807</v>
      </c>
      <c r="D158" s="2" t="str">
        <f>IFERROR(__xludf.DUMMYFUNCTION("""COMPUTED_VALUE"""),"CX")</f>
        <v>CX</v>
      </c>
      <c r="E158" s="2" t="str">
        <f>IFERROR(__xludf.DUMMYFUNCTION("""COMPUTED_VALUE"""),"木22")</f>
        <v>木22</v>
      </c>
      <c r="F158" s="2" t="s">
        <v>505</v>
      </c>
      <c r="G158" s="2" t="s">
        <v>509</v>
      </c>
      <c r="H158" s="1">
        <v>2.0</v>
      </c>
      <c r="I158" s="1" t="s">
        <v>7</v>
      </c>
      <c r="J158" s="1" t="s">
        <v>86</v>
      </c>
      <c r="K158" s="2" t="s">
        <v>510</v>
      </c>
      <c r="L158" s="2" t="s">
        <v>511</v>
      </c>
      <c r="M158" s="2" t="str">
        <f>IFERROR(__xludf.DUMMYFUNCTION("split(K158,""山崎賢人　"",false)"),"新堂湊(山崎賢人)は問題を起こしながらも東郷記念病院小児外科でレジデントとして働くことになった。  そんな時、女子高校生の菅原唯菜(山田杏奈)が学校で破水して救急搬送されてきた。カンファレンスで瀬戸夏美(上野樹里)は唯菜の緊急出産を報告。赤ん坊は低出生体重児で、腸のほとんどが壊死状態で壊死性腸炎が認められると続けた。  その頃、病院の廊下で雑用をしていた湊は歩いて行く唯菜を見つける。唯菜はNICU(新生児集中治療室)で保育器に入れられたわが子にしきりに謝罪していた。すると湊が、このままだと赤ちゃんは死んで"&amp;"しまうが助かる方法はあると言ってしまった。  唯菜の病室に検診に行った夏美は、高山誠司(藤木直人)の手術なら助かると湊が言ったと聞いて驚く。夏美からの報告を受けた高山は湊をきつく叱る。高い術中死がともなう手術はせずに、温存治療で赤ちゃんの回復を待つという医局の方針に反していたからだ。湊は夏美からも唯菜の病室やNICUには行くなと言われてしまう。  子どもを助けたい一心の唯菜は、夏美に手術をして欲しいと食い下がる。だが、未成年の唯菜では保護者の手術の同意書が必要だと夏美が諭す。すると唯菜の母、真紀(黒沢あす"&amp;"か)がやって来た。唯菜の妊娠、出産を責める真紀は手術同意書へのサインを拒否する。  夏美に叱られながらもNICUへ通う湊は、赤ちゃんの診断画像からあることに気づいた。")</f>
        <v>新堂湊(山崎賢人)は問題を起こしながらも東郷記念病院小児外科でレジデントとして働くことになった。  そんな時、女子高校生の菅原唯菜(山田杏奈)が学校で破水して救急搬送されてきた。カンファレンスで瀬戸夏美(上野樹里)は唯菜の緊急出産を報告。赤ん坊は低出生体重児で、腸のほとんどが壊死状態で壊死性腸炎が認められると続けた。  その頃、病院の廊下で雑用をしていた湊は歩いて行く唯菜を見つける。唯菜はNICU(新生児集中治療室)で保育器に入れられたわが子にしきりに謝罪していた。すると湊が、このままだと赤ちゃんは死んでしまうが助かる方法はあると言ってしまった。  唯菜の病室に検診に行った夏美は、高山誠司(藤木直人)の手術なら助かると湊が言ったと聞いて驚く。夏美からの報告を受けた高山は湊をきつく叱る。高い術中死がともなう手術はせずに、温存治療で赤ちゃんの回復を待つという医局の方針に反していたからだ。湊は夏美からも唯菜の病室やNICUには行くなと言われてしまう。  子どもを助けたい一心の唯菜は、夏美に手術をして欲しいと食い下がる。だが、未成年の唯菜では保護者の手術の同意書が必要だと夏美が諭す。すると唯菜の母、真紀(黒沢あすか)がやって来た。唯菜の妊娠、出産を責める真紀は手術同意書へのサインを拒否する。  夏美に叱られながらもNICUへ通う湊は、赤ちゃんの診断画像からあることに気づいた。</v>
      </c>
      <c r="N158" s="2" t="str">
        <f>IFERROR(__xludf.DUMMYFUNCTION("""COMPUTED_VALUE"""),"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高田哲也(日吉メディカルクリニッ"&amp;"ク)　    【プロデュース】  藤野良太、金城綾香【協力プロデュース】  西坂瑞城　    【演出】  金井紘、相沢秀幸最新情報は、以下URLまでアクセスしてください。  ★公式HP　  http://www.fujitv.co.jp/gooddoctor/　  ★公式Twitter　  https://twitter.com/GoodDoctor2018")</f>
        <v>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金井紘、相沢秀幸最新情報は、以下URLまでアクセスしてください。  ★公式HP　  http://www.fujitv.co.jp/gooddoctor/　  ★公式Twitter　  https://twitter.com/GoodDoctor2018</v>
      </c>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row>
    <row r="159" ht="204.75" customHeight="1">
      <c r="A159" s="1">
        <v>644.0</v>
      </c>
      <c r="B159" s="2" t="s">
        <v>504</v>
      </c>
      <c r="C159" s="2">
        <f>IFERROR(__xludf.DUMMYFUNCTION("split(B159,""_"")"),1807.0)</f>
        <v>1807</v>
      </c>
      <c r="D159" s="2" t="str">
        <f>IFERROR(__xludf.DUMMYFUNCTION("""COMPUTED_VALUE"""),"CX")</f>
        <v>CX</v>
      </c>
      <c r="E159" s="2" t="str">
        <f>IFERROR(__xludf.DUMMYFUNCTION("""COMPUTED_VALUE"""),"木22")</f>
        <v>木22</v>
      </c>
      <c r="F159" s="2" t="s">
        <v>505</v>
      </c>
      <c r="G159" s="2" t="s">
        <v>512</v>
      </c>
      <c r="H159" s="1">
        <v>3.0</v>
      </c>
      <c r="I159" s="1" t="s">
        <v>10</v>
      </c>
      <c r="J159" s="1" t="s">
        <v>86</v>
      </c>
      <c r="K159" s="2" t="s">
        <v>513</v>
      </c>
      <c r="L159" s="2" t="s">
        <v>514</v>
      </c>
      <c r="M159" s="2" t="str">
        <f>IFERROR(__xludf.DUMMYFUNCTION("split(K159,""山崎賢人　"",false)"),"最新情報は、以下URLまでアクセスしてください。  ★公式HP　  http://www.fujitv.co.jp/gooddoctor/　  ★公式Twitter　  https://twitter.com/GoodDoctor2018　    「最高にピュアな小児外科医誕生!」山崎賢人主演、サヴァン症候群の青年がまきおこす、命の奇跡の物語。この夏一番の感動作が、ついに放送!新堂湊(山崎賢人)は病院のガイドラインを破ってしまった。問題となった新生児の手術は、高山誠司(藤木直人)が成功させたものの、責任の"&amp;"所在が問われることに。高山は全ての責任は自分にあるとして、謹慎処分を受け入れた。  高山のいない小児外科は大忙し。しかし、高山を謹慎に追いやった張本人のはずの湊は、周囲の目から見ると責任を感じているようには見えない。瀬戸夏美(上野樹里)にも負担がかかるが、彼女の目下の問題は翌週に手術を控えた石山舞(中島琴音)の説得。夏美は怖がる舞に、手術を優しく解説した絵本を描いて渡した。その時、夏美にERから連絡が入る。  病院に運び込まれたのは6歳の市川美結(竹野谷咲)。病院をたらい回しにされ、すでに発症から4時間以"&amp;"上が経過していて容態は重篤だった。夏美は高山に連絡するが繋がらない。  美結の両親である英雄(高橋洋)と詩織(前田亜季)は、どうか娘を助けて欲しいと処置室で湊と夏美にすがりつく。美結の様子を見た湊は、一目で緊急手術が必要だと夏美に訴え出す。間もなく美結が心停止。夏美の懸命な心臓マッサージで一命を取り留めた時、間宮啓介(戸次重幸)がやって来た。間宮はすでに美結を手遅れだと判断し、他の病院に回すよう告げる。自分が手術をすると決意する夏美。  そして美結の手術が始まろうとした時、ようやく高山と連絡が取れる。高山"&amp;"は自分が到着するまで、美結の命をつなぐよう指示するが…。")</f>
        <v>最新情報は、以下URLまでアクセスしてください。  ★公式HP　  http://www.fujitv.co.jp/gooddoctor/　  ★公式Twitter　  https://twitter.com/GoodDoctor2018　    「最高にピュアな小児外科医誕生!」山崎賢人主演、サヴァン症候群の青年がまきおこす、命の奇跡の物語。この夏一番の感動作が、ついに放送!新堂湊(山崎賢人)は病院のガイドラインを破ってしまった。問題となった新生児の手術は、高山誠司(藤木直人)が成功させたものの、責任の所在が問われることに。高山は全ての責任は自分にあるとして、謹慎処分を受け入れた。  高山のいない小児外科は大忙し。しかし、高山を謹慎に追いやった張本人のはずの湊は、周囲の目から見ると責任を感じているようには見えない。瀬戸夏美(上野樹里)にも負担がかかるが、彼女の目下の問題は翌週に手術を控えた石山舞(中島琴音)の説得。夏美は怖がる舞に、手術を優しく解説した絵本を描いて渡した。その時、夏美にERから連絡が入る。  病院に運び込まれたのは6歳の市川美結(竹野谷咲)。病院をたらい回しにされ、すでに発症から4時間以上が経過していて容態は重篤だった。夏美は高山に連絡するが繋がらない。  美結の両親である英雄(高橋洋)と詩織(前田亜季)は、どうか娘を助けて欲しいと処置室で湊と夏美にすがりつく。美結の様子を見た湊は、一目で緊急手術が必要だと夏美に訴え出す。間もなく美結が心停止。夏美の懸命な心臓マッサージで一命を取り留めた時、間宮啓介(戸次重幸)がやって来た。間宮はすでに美結を手遅れだと判断し、他の病院に回すよう告げる。自分が手術をすると決意する夏美。  そして美結の手術が始まろうとした時、ようやく高山と連絡が取れる。高山は自分が到着するまで、美結の命をつなぐよう指示するが…。</v>
      </c>
      <c r="N159" s="2" t="str">
        <f>IFERROR(__xludf.DUMMYFUNCTION("""COMPUTED_VALUE"""),"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高田哲也(日吉メディカルクリニッ"&amp;"ク)　    【プロデュース】  藤野良太、金城綾香【協力プロデュース】  西坂瑞城　    【演出】  金井紘、相沢秀幸")</f>
        <v>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row>
    <row r="160" ht="204.75" customHeight="1">
      <c r="A160" s="1">
        <v>645.0</v>
      </c>
      <c r="B160" s="2" t="s">
        <v>504</v>
      </c>
      <c r="C160" s="2">
        <f>IFERROR(__xludf.DUMMYFUNCTION("split(B160,""_"")"),1807.0)</f>
        <v>1807</v>
      </c>
      <c r="D160" s="2" t="str">
        <f>IFERROR(__xludf.DUMMYFUNCTION("""COMPUTED_VALUE"""),"CX")</f>
        <v>CX</v>
      </c>
      <c r="E160" s="2" t="str">
        <f>IFERROR(__xludf.DUMMYFUNCTION("""COMPUTED_VALUE"""),"木22")</f>
        <v>木22</v>
      </c>
      <c r="F160" s="2" t="s">
        <v>505</v>
      </c>
      <c r="G160" s="2" t="s">
        <v>515</v>
      </c>
      <c r="H160" s="1">
        <v>4.0</v>
      </c>
      <c r="I160" s="1" t="s">
        <v>14</v>
      </c>
      <c r="J160" s="1" t="s">
        <v>86</v>
      </c>
      <c r="K160" s="2" t="s">
        <v>516</v>
      </c>
      <c r="L160" s="2" t="s">
        <v>517</v>
      </c>
      <c r="M160" s="2" t="str">
        <f>IFERROR(__xludf.DUMMYFUNCTION("split(K160,""山崎賢人　"",false)"),"最新情報は、以下URLまでアクセスしてください。  ★公式HP　  http://www.fujitv.co.jp/gooddoctor/　  ★公式Twitter　  https://twitter.com/GoodDoctor2018　  ★公式instagram　  @gooddoctor_yuanikki新堂湊(山崎賢人)は瀬戸夏美(上野樹里)と綾瀬奈緒(川島夕空)の病室に行く。術後の不快感を訴える奈緒だが、稚拙なために夏美は要領を得ない。すると傍らで聞いていた湊が症状を言い当てた。奈緒や心配して"&amp;"いた同室の子どもたち、夏美も湊に感心。  湊と夏美が病室を出るとナースステーション付近で騒ぎが起きていた。緊急搬送された少女が暴れていたが、湊が近づくと静かになる。少女はオペが必要なのだが、一切話をしないので身元がわからない。しかし、湊は自分が担当医になると高山誠司(藤木直人)に願い出る。高山や夏美、医局のメンバー全員が反対するのだが、間宮啓介(戸次重幸)が来て湊を少女の担当医にしてしまう。間宮は湊に問題を起こさせようとする猪口隆之介(板尾創路)の指示で動いていた。  湊は張り切って少女を診るが、心はなか"&amp;"なかほぐれない。そんな時、少女の母親、大石薫(瑛蓮)が名乗り出て病院に来た。少女の名はあかり(高松咲希)。湊は薫にあかりの病状を説明、夏美は言葉を発さない理由を尋ねる。薫は自分があかりの継母だからかもしれないと話した。  薫が帰ると湊は一緒に絵を描こうとあかりに話す。薫が持って来たあかりのバッグにお絵描きノートが入っていたからだ。しかし、湊がバッグに触ろうとすると、あかりが奪い取る。夜、湊があかりの病室に行くとお絵描きノートが落ちていた。拾い上げた湊に、あかりが「誰にも言わないで」と話しかけて…")</f>
        <v>最新情報は、以下URLまでアクセスしてください。  ★公式HP　  http://www.fujitv.co.jp/gooddoctor/　  ★公式Twitter　  https://twitter.com/GoodDoctor2018　  ★公式instagram　  @gooddoctor_yuanikki新堂湊(山崎賢人)は瀬戸夏美(上野樹里)と綾瀬奈緒(川島夕空)の病室に行く。術後の不快感を訴える奈緒だが、稚拙なために夏美は要領を得ない。すると傍らで聞いていた湊が症状を言い当てた。奈緒や心配していた同室の子どもたち、夏美も湊に感心。  湊と夏美が病室を出るとナースステーション付近で騒ぎが起きていた。緊急搬送された少女が暴れていたが、湊が近づくと静かになる。少女はオペが必要なのだが、一切話をしないので身元がわからない。しかし、湊は自分が担当医になると高山誠司(藤木直人)に願い出る。高山や夏美、医局のメンバー全員が反対するのだが、間宮啓介(戸次重幸)が来て湊を少女の担当医にしてしまう。間宮は湊に問題を起こさせようとする猪口隆之介(板尾創路)の指示で動いていた。  湊は張り切って少女を診るが、心はなかなかほぐれない。そんな時、少女の母親、大石薫(瑛蓮)が名乗り出て病院に来た。少女の名はあかり(高松咲希)。湊は薫にあかりの病状を説明、夏美は言葉を発さない理由を尋ねる。薫は自分があかりの継母だからかもしれないと話した。  薫が帰ると湊は一緒に絵を描こうとあかりに話す。薫が持って来たあかりのバッグにお絵描きノートが入っていたからだ。しかし、湊がバッグに触ろうとすると、あかりが奪い取る。夜、湊があかりの病室に行くとお絵描きノートが落ちていた。拾い上げた湊に、あかりが「誰にも言わないで」と話しかけて…</v>
      </c>
      <c r="N160" s="2" t="str">
        <f>IFERROR(__xludf.DUMMYFUNCTION("""COMPUTED_VALUE"""),"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高田哲也(日吉メディカルクリニッ"&amp;"ク)　    【プロデュース】  藤野良太、金城綾香【協力プロデュース】  西坂瑞城　    【演出】  金井紘、相沢秀幸")</f>
        <v>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v>
      </c>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row>
    <row r="161" ht="204.75" customHeight="1">
      <c r="A161" s="1">
        <v>646.0</v>
      </c>
      <c r="B161" s="2" t="s">
        <v>504</v>
      </c>
      <c r="C161" s="2">
        <f>IFERROR(__xludf.DUMMYFUNCTION("split(B161,""_"")"),1807.0)</f>
        <v>1807</v>
      </c>
      <c r="D161" s="2" t="str">
        <f>IFERROR(__xludf.DUMMYFUNCTION("""COMPUTED_VALUE"""),"CX")</f>
        <v>CX</v>
      </c>
      <c r="E161" s="2" t="str">
        <f>IFERROR(__xludf.DUMMYFUNCTION("""COMPUTED_VALUE"""),"木22")</f>
        <v>木22</v>
      </c>
      <c r="F161" s="2" t="s">
        <v>505</v>
      </c>
      <c r="G161" s="2" t="s">
        <v>518</v>
      </c>
      <c r="H161" s="1">
        <v>5.0</v>
      </c>
      <c r="I161" s="1" t="s">
        <v>17</v>
      </c>
      <c r="J161" s="1" t="s">
        <v>86</v>
      </c>
      <c r="K161" s="2" t="s">
        <v>519</v>
      </c>
      <c r="L161" s="2" t="s">
        <v>520</v>
      </c>
      <c r="M161" s="2" t="str">
        <f>IFERROR(__xludf.DUMMYFUNCTION("split(K161,""山崎賢人　"",false)"),"最新情報は、以下URLまでアクセスしてください。  ★公式HP　  http://www.fujitv.co.jp/gooddoctor/　  ★公式Twitter　  https://twitter.com/GoodDoctor2018　  ★公式instagram　  @gooddoctor_yuanikki東郷記念病院の大部屋では新堂湊(山崎賢人)や橋口太郎(浜野謙太)たちが患者の子どもたちとテレビを食い入るように見ている。番組には天才ボーイソプラノ歌手、羽山響(城桧吏)が素晴らしい歌声を披露してい"&amp;"た。特に患者の武智倫太朗(斎藤汰鷹)は響の大ファン。そして、倫太朗たちは院内で行われるお楽しみ会で合唱を披露することになっていた。  その響が喉の不調を訴え、父の徹郎(三浦誠己)に伴われて東郷記念病院に来た。瀬戸夏美(上野樹里)が診察すると、喉がひどい炎症を起こしている。カンファレンス室で響の造影CT結果を見ながら意見を交わす医師たち。すると高山誠司(藤木直人)が湊に所見を求めた。湊は画像から下咽頭梨状窩瘻と判断。高山が正解だと告げると喜ぶ湊。しかし、夏美は高山が湊を画像診断科に転科させると言っていたこと"&amp;"が気になっていた。  響には早急の手術が必要だったが、喉の手術のため術後に高音が出なくなることが懸念される。夏美の説明に徹郎は、歌手である響にそんなリスクのある手術は受けさせられないと反発する。  ともかく入院することになった響。それを知った倫太朗たちは大喜び。湊は倫太朗たちと響の個室に行く。だが、響は倫太朗たちに冷たい。また、湊が響を倫太朗たちの合唱に誘おうとしたと知った徹郎の怒りも買ってしまう。さらに響の早急な手術を求めた湊は徹郎とぶつかってしまい、高山から転科を直接求められることになった。")</f>
        <v>最新情報は、以下URLまでアクセスしてください。  ★公式HP　  http://www.fujitv.co.jp/gooddoctor/　  ★公式Twitter　  https://twitter.com/GoodDoctor2018　  ★公式instagram　  @gooddoctor_yuanikki東郷記念病院の大部屋では新堂湊(山崎賢人)や橋口太郎(浜野謙太)たちが患者の子どもたちとテレビを食い入るように見ている。番組には天才ボーイソプラノ歌手、羽山響(城桧吏)が素晴らしい歌声を披露していた。特に患者の武智倫太朗(斎藤汰鷹)は響の大ファン。そして、倫太朗たちは院内で行われるお楽しみ会で合唱を披露することになっていた。  その響が喉の不調を訴え、父の徹郎(三浦誠己)に伴われて東郷記念病院に来た。瀬戸夏美(上野樹里)が診察すると、喉がひどい炎症を起こしている。カンファレンス室で響の造影CT結果を見ながら意見を交わす医師たち。すると高山誠司(藤木直人)が湊に所見を求めた。湊は画像から下咽頭梨状窩瘻と判断。高山が正解だと告げると喜ぶ湊。しかし、夏美は高山が湊を画像診断科に転科させると言っていたことが気になっていた。  響には早急の手術が必要だったが、喉の手術のため術後に高音が出なくなることが懸念される。夏美の説明に徹郎は、歌手である響にそんなリスクのある手術は受けさせられないと反発する。  ともかく入院することになった響。それを知った倫太朗たちは大喜び。湊は倫太朗たちと響の個室に行く。だが、響は倫太朗たちに冷たい。また、湊が響を倫太朗たちの合唱に誘おうとしたと知った徹郎の怒りも買ってしまう。さらに響の早急な手術を求めた湊は徹郎とぶつかってしまい、高山から転科を直接求められることになった。</v>
      </c>
      <c r="N161" s="2" t="str">
        <f>IFERROR(__xludf.DUMMYFUNCTION("""COMPUTED_VALUE"""),"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高田哲也(日吉メディカルクリニッ"&amp;"ク)　    【プロデュース】  藤野良太、金城綾香【協力プロデュース】  西坂瑞城　    【演出】  金井紘、相沢秀幸")</f>
        <v>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v>
      </c>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row>
    <row r="162" ht="204.75" customHeight="1">
      <c r="A162" s="1">
        <v>647.0</v>
      </c>
      <c r="B162" s="2" t="s">
        <v>504</v>
      </c>
      <c r="C162" s="2">
        <f>IFERROR(__xludf.DUMMYFUNCTION("split(B162,""_"")"),1807.0)</f>
        <v>1807</v>
      </c>
      <c r="D162" s="2" t="str">
        <f>IFERROR(__xludf.DUMMYFUNCTION("""COMPUTED_VALUE"""),"CX")</f>
        <v>CX</v>
      </c>
      <c r="E162" s="2" t="str">
        <f>IFERROR(__xludf.DUMMYFUNCTION("""COMPUTED_VALUE"""),"木22")</f>
        <v>木22</v>
      </c>
      <c r="F162" s="2" t="s">
        <v>505</v>
      </c>
      <c r="G162" s="2" t="s">
        <v>521</v>
      </c>
      <c r="H162" s="1">
        <v>6.0</v>
      </c>
      <c r="I162" s="1" t="s">
        <v>21</v>
      </c>
      <c r="J162" s="1" t="s">
        <v>86</v>
      </c>
      <c r="K162" s="2" t="s">
        <v>522</v>
      </c>
      <c r="L162" s="2" t="s">
        <v>523</v>
      </c>
      <c r="M162" s="2" t="str">
        <f>IFERROR(__xludf.DUMMYFUNCTION("split(K162,""山崎賢人　"",false)"),"新堂湊(山崎賢人)の転科は、瀬戸夏美(上野樹里)の高山誠司(藤木直人)への助言も得て無くなった。高山から当直医も任されることになった湊は、さらに生き生きと働き出す。だが、夏美は湊が心配。湊の父、航(遠山俊也)から連絡先が書かれたメモを渡して欲しいと頼まれていたからだ。湊が航から虐待を受けていたことを知る夏美は、司賀明(柄本明)に相談。すると司賀は、この件は自分に預けて欲しいとメモを預かった。  高山は医局に湊たちを集める。そこには産婦人科医の鶴田皐月(堀内敬子)が来ていた。皐月の要件は出産間近の患者、水野"&amp;"理香(篠原ゆき子)のこと。理香の胎児にリンパ管腫が見つかり、このままでは正常な分娩が出来ない。そのため、帝王切開の分娩時に臍帯を切り離さず血行を確保したまま胎児に処置を行うEXITという手術を、小児外科医に依頼する。だが、理香は周産期心筋症を患っているため胎児の処置は30分以内で終わらなければならない。リスクを伴う手術に間宮啓介(戸次重幸)は反対する。だが、高山は患者が望むならと請け負い、助手に夏美と湊を指名した。  湊と夏美は病室へ行き、子どもだけでも助けて欲しいという理香の強い思いを知る。湊はEXIT"&amp;"に関する大量の文献を読み漁った。だが、その帰り道、湊は航に声をかけられる。怯える湊を、会いたかったと抱きしめる航。湊は航と食事に行くことを約束する。これを知った夏美は司賀に報告して…。")</f>
        <v>新堂湊(山崎賢人)の転科は、瀬戸夏美(上野樹里)の高山誠司(藤木直人)への助言も得て無くなった。高山から当直医も任されることになった湊は、さらに生き生きと働き出す。だが、夏美は湊が心配。湊の父、航(遠山俊也)から連絡先が書かれたメモを渡して欲しいと頼まれていたからだ。湊が航から虐待を受けていたことを知る夏美は、司賀明(柄本明)に相談。すると司賀は、この件は自分に預けて欲しいとメモを預かった。  高山は医局に湊たちを集める。そこには産婦人科医の鶴田皐月(堀内敬子)が来ていた。皐月の要件は出産間近の患者、水野理香(篠原ゆき子)のこと。理香の胎児にリンパ管腫が見つかり、このままでは正常な分娩が出来ない。そのため、帝王切開の分娩時に臍帯を切り離さず血行を確保したまま胎児に処置を行うEXITという手術を、小児外科医に依頼する。だが、理香は周産期心筋症を患っているため胎児の処置は30分以内で終わらなければならない。リスクを伴う手術に間宮啓介(戸次重幸)は反対する。だが、高山は患者が望むならと請け負い、助手に夏美と湊を指名した。  湊と夏美は病室へ行き、子どもだけでも助けて欲しいという理香の強い思いを知る。湊はEXITに関する大量の文献を読み漁った。だが、その帰り道、湊は航に声をかけられる。怯える湊を、会いたかったと抱きしめる航。湊は航と食事に行くことを約束する。これを知った夏美は司賀に報告して…。</v>
      </c>
      <c r="N162" s="2" t="str">
        <f>IFERROR(__xludf.DUMMYFUNCTION("""COMPUTED_VALUE"""),"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高田哲也(日吉メディカルクリニッ"&amp;"ク)　    【プロデュース】  藤野良太、金城綾香【協力プロデュース】  西坂瑞城　    【演出】  金井紘、相沢秀幸最新情報は、以下URLまでアクセスしてください。  ★公式HP　  http://www.fujitv.co.jp/gooddoctor/　  ★公式Twitter　  https://twitter.com/GoodDoctor2018　  ★公式instagram　  @gooddoctor_yuanikki")</f>
        <v>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金井紘、相沢秀幸最新情報は、以下URLまでアクセスしてください。  ★公式HP　  http://www.fujitv.co.jp/gooddoctor/　  ★公式Twitter　  https://twitter.com/GoodDoctor2018　  ★公式instagram　  @gooddoctor_yuanikki</v>
      </c>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row>
    <row r="163" ht="204.75" customHeight="1">
      <c r="A163" s="1">
        <v>648.0</v>
      </c>
      <c r="B163" s="2" t="s">
        <v>504</v>
      </c>
      <c r="C163" s="2">
        <f>IFERROR(__xludf.DUMMYFUNCTION("split(B163,""_"")"),1807.0)</f>
        <v>1807</v>
      </c>
      <c r="D163" s="2" t="str">
        <f>IFERROR(__xludf.DUMMYFUNCTION("""COMPUTED_VALUE"""),"CX")</f>
        <v>CX</v>
      </c>
      <c r="E163" s="2" t="str">
        <f>IFERROR(__xludf.DUMMYFUNCTION("""COMPUTED_VALUE"""),"木22")</f>
        <v>木22</v>
      </c>
      <c r="F163" s="2" t="s">
        <v>505</v>
      </c>
      <c r="G163" s="2" t="s">
        <v>524</v>
      </c>
      <c r="H163" s="1">
        <v>7.0</v>
      </c>
      <c r="I163" s="1" t="s">
        <v>25</v>
      </c>
      <c r="J163" s="1" t="s">
        <v>86</v>
      </c>
      <c r="K163" s="2" t="s">
        <v>525</v>
      </c>
      <c r="L163" s="2" t="s">
        <v>526</v>
      </c>
      <c r="M163" s="2" t="str">
        <f>IFERROR(__xludf.DUMMYFUNCTION("split(K163,""山崎賢人　"",false)"),"最新情報は、以下URLまでアクセスしてください。  ★公式HP　  http://www.fujitv.co.jp/gooddoctor/　  ★公式Twitter　  https://twitter.com/GoodDoctor2018　  ★公式instagram　  @gooddoctor_yuanikki小児外科でカンファレンスが行なわれている。新堂湊(山崎賢人)は高山誠司(藤木直人)から森下伊代(松風理咲)の肝障がいへの対処法を聞かれ、正確に答えた。高山は湊を伊代の担当医に任じるが、同じレジデン"&amp;"トの中島仁(浅香航大)は面白くない。瀬戸夏美(上野樹里)は自分にもわからなかった対処法なので仕方がないと中島を慰める。  夏美を訪ねて倉田菜々子(福田麻由子)が病院に来た。菜々子はかつて夏美が担当した患者。現在は保育士として働く菜々子は、同僚の馬渕健太郎(藤原季節)からプロポーズされたが卵巣摘出手術を受けたことを言い出せないでいた。そこで、夏美から健太郎へ話して欲しいというのだ。夏美は健太郎に説明する。卵巣がひとつ残っていれば妊娠も可能だと言う説明に健太郎は、気持ちは変わらないと答えて結婚へと進むことにな"&amp;"った。  一方、高山は東郷美智(中村ゆり)から別れを切り出された。経営者として小児外科廃止へ向かう美智は、高山とは一緒にいられないと告げる。高山もチームを必ず守ると別れを承諾。美智は司賀明(柄本明)にも病院の方針を告げた。その時、美智は院長室のゴミ箱に司賀本人の診断書を見つけてしまう。  菜々子は母の良枝(山下容莉枝)に健太郎との結婚を報告。だが、激しい頭痛に見舞われて東郷記念病院に緊急搬送された。菜々子の担当医は本人の希望で夏美となり、伊代と同じ病室に入院する。菜々子は脳に異常はなかったが…。")</f>
        <v>最新情報は、以下URLまでアクセスしてください。  ★公式HP　  http://www.fujitv.co.jp/gooddoctor/　  ★公式Twitter　  https://twitter.com/GoodDoctor2018　  ★公式instagram　  @gooddoctor_yuanikki小児外科でカンファレンスが行なわれている。新堂湊(山崎賢人)は高山誠司(藤木直人)から森下伊代(松風理咲)の肝障がいへの対処法を聞かれ、正確に答えた。高山は湊を伊代の担当医に任じるが、同じレジデントの中島仁(浅香航大)は面白くない。瀬戸夏美(上野樹里)は自分にもわからなかった対処法なので仕方がないと中島を慰める。  夏美を訪ねて倉田菜々子(福田麻由子)が病院に来た。菜々子はかつて夏美が担当した患者。現在は保育士として働く菜々子は、同僚の馬渕健太郎(藤原季節)からプロポーズされたが卵巣摘出手術を受けたことを言い出せないでいた。そこで、夏美から健太郎へ話して欲しいというのだ。夏美は健太郎に説明する。卵巣がひとつ残っていれば妊娠も可能だと言う説明に健太郎は、気持ちは変わらないと答えて結婚へと進むことになった。  一方、高山は東郷美智(中村ゆり)から別れを切り出された。経営者として小児外科廃止へ向かう美智は、高山とは一緒にいられないと告げる。高山もチームを必ず守ると別れを承諾。美智は司賀明(柄本明)にも病院の方針を告げた。その時、美智は院長室のゴミ箱に司賀本人の診断書を見つけてしまう。  菜々子は母の良枝(山下容莉枝)に健太郎との結婚を報告。だが、激しい頭痛に見舞われて東郷記念病院に緊急搬送された。菜々子の担当医は本人の希望で夏美となり、伊代と同じ病室に入院する。菜々子は脳に異常はなかったが…。</v>
      </c>
      <c r="N163" s="2" t="str">
        <f>IFERROR(__xludf.DUMMYFUNCTION("""COMPUTED_VALUE"""),"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高田哲也(日吉メディカルクリニッ"&amp;"ク)　    【プロデュース】  藤野良太、金城綾香【協力プロデュース】  西坂瑞城　    【演出】  金井紘、相沢秀幸")</f>
        <v>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row>
    <row r="164" ht="204.75" customHeight="1">
      <c r="A164" s="1">
        <v>649.0</v>
      </c>
      <c r="B164" s="2" t="s">
        <v>504</v>
      </c>
      <c r="C164" s="2">
        <f>IFERROR(__xludf.DUMMYFUNCTION("split(B164,""_"")"),1807.0)</f>
        <v>1807</v>
      </c>
      <c r="D164" s="2" t="str">
        <f>IFERROR(__xludf.DUMMYFUNCTION("""COMPUTED_VALUE"""),"CX")</f>
        <v>CX</v>
      </c>
      <c r="E164" s="2" t="str">
        <f>IFERROR(__xludf.DUMMYFUNCTION("""COMPUTED_VALUE"""),"木22")</f>
        <v>木22</v>
      </c>
      <c r="F164" s="2" t="s">
        <v>505</v>
      </c>
      <c r="G164" s="2" t="s">
        <v>527</v>
      </c>
      <c r="H164" s="1">
        <v>8.0</v>
      </c>
      <c r="I164" s="1" t="s">
        <v>29</v>
      </c>
      <c r="J164" s="1" t="s">
        <v>86</v>
      </c>
      <c r="K164" s="2" t="s">
        <v>528</v>
      </c>
      <c r="L164" s="2" t="s">
        <v>529</v>
      </c>
      <c r="M164" s="2" t="str">
        <f>IFERROR(__xludf.DUMMYFUNCTION("split(K164,""山崎賢人　"",false)"),"新堂湊(山崎賢人)は森下伊代(松風理咲)の恋にお付き合い。伊代は滝川亮平(萩原利久)が好きなのだが、恥ずかしくて声をかけることすら出来なかった。湊には伊代の気持ちがわからない。病と闘いながらも入院生活を少しでも楽しく過ごそうとする子どもたちがいる一方、深刻な問題に直面する子どももいる。  瀬戸夏美(上野樹里)は患者の早見陽翔(鳥越壮真)と母、香織(酒井若菜)と長男の翔太(池田優斗)を心配していた。香織は高山誠司(藤木直人)に陽翔を診てもらうため翔太を連れ、夫を残して東京へ来ている。夏美は香織の看病疲れはも"&amp;"ちろんだが、陽翔のために転校した翔太の環境の変化も気にかけていた。  夏美と湊が回診に行くと、陽翔が次の日曜日に外出したいと願い出る。湊が、外出には高山の許可が必要だと説明していると、香織が階段から転落して運ばれて来たと連絡が入った。病室に運ばれた香織は、命に別状のあるような怪我はなかったが「陽翔には今日は家の用事で行けなくなったと話して欲しい」と夏美たちに頼む。すると付き添ってきた翔太が部屋を出て行く。  湊は翔太を追いかけ、陽翔の病室に案内しようとする。だが、翔太は湊の言葉を聞こうともせずに去ってしま"&amp;"った。湊は翔太がなぜトゲトゲしくなっているのか理解出来ない。  その日、湊は帰り道に酔っ払って管を巻く男に出くわす。それは間宮啓介(戸次重幸)。間宮も翔太のようにトゲトゲしいと湊は感じる。")</f>
        <v>新堂湊(山崎賢人)は森下伊代(松風理咲)の恋にお付き合い。伊代は滝川亮平(萩原利久)が好きなのだが、恥ずかしくて声をかけることすら出来なかった。湊には伊代の気持ちがわからない。病と闘いながらも入院生活を少しでも楽しく過ごそうとする子どもたちがいる一方、深刻な問題に直面する子どももいる。  瀬戸夏美(上野樹里)は患者の早見陽翔(鳥越壮真)と母、香織(酒井若菜)と長男の翔太(池田優斗)を心配していた。香織は高山誠司(藤木直人)に陽翔を診てもらうため翔太を連れ、夫を残して東京へ来ている。夏美は香織の看病疲れはもちろんだが、陽翔のために転校した翔太の環境の変化も気にかけていた。  夏美と湊が回診に行くと、陽翔が次の日曜日に外出したいと願い出る。湊が、外出には高山の許可が必要だと説明していると、香織が階段から転落して運ばれて来たと連絡が入った。病室に運ばれた香織は、命に別状のあるような怪我はなかったが「陽翔には今日は家の用事で行けなくなったと話して欲しい」と夏美たちに頼む。すると付き添ってきた翔太が部屋を出て行く。  湊は翔太を追いかけ、陽翔の病室に案内しようとする。だが、翔太は湊の言葉を聞こうともせずに去ってしまった。湊は翔太がなぜトゲトゲしくなっているのか理解出来ない。  その日、湊は帰り道に酔っ払って管を巻く男に出くわす。それは間宮啓介(戸次重幸)。間宮も翔太のようにトゲトゲしいと湊は感じる。</v>
      </c>
      <c r="N164" s="2" t="str">
        <f>IFERROR(__xludf.DUMMYFUNCTION("""COMPUTED_VALUE"""),"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高田哲也(日吉メディカルクリニッ"&amp;"ク)　    【プロデュース】  藤野良太、金城綾香【協力プロデュース】  西坂瑞城　    【演出】  金井紘、相沢秀幸最新情報は、以下URLまでアクセスしてください。  ★公式HP　  http://www.fujitv.co.jp/gooddoctor/　  ★公式Twitter　  https://twitter.com/GoodDoctor2018　  ★公式instagram　  @gooddoctor_yuanikki")</f>
        <v>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金井紘、相沢秀幸最新情報は、以下URLまでアクセスしてください。  ★公式HP　  http://www.fujitv.co.jp/gooddoctor/　  ★公式Twitter　  https://twitter.com/GoodDoctor2018　  ★公式instagram　  @gooddoctor_yuanikki</v>
      </c>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row>
    <row r="165" ht="204.75" customHeight="1">
      <c r="A165" s="1">
        <v>650.0</v>
      </c>
      <c r="B165" s="2" t="s">
        <v>504</v>
      </c>
      <c r="C165" s="2">
        <f>IFERROR(__xludf.DUMMYFUNCTION("split(B165,""_"")"),1807.0)</f>
        <v>1807</v>
      </c>
      <c r="D165" s="2" t="str">
        <f>IFERROR(__xludf.DUMMYFUNCTION("""COMPUTED_VALUE"""),"CX")</f>
        <v>CX</v>
      </c>
      <c r="E165" s="2" t="str">
        <f>IFERROR(__xludf.DUMMYFUNCTION("""COMPUTED_VALUE"""),"木22")</f>
        <v>木22</v>
      </c>
      <c r="F165" s="2" t="s">
        <v>505</v>
      </c>
      <c r="G165" s="2" t="s">
        <v>530</v>
      </c>
      <c r="H165" s="1">
        <v>9.0</v>
      </c>
      <c r="I165" s="1" t="s">
        <v>33</v>
      </c>
      <c r="J165" s="1" t="s">
        <v>82</v>
      </c>
      <c r="K165" s="2" t="s">
        <v>531</v>
      </c>
      <c r="L165" s="2" t="s">
        <v>532</v>
      </c>
      <c r="M165" s="2" t="str">
        <f>IFERROR(__xludf.DUMMYFUNCTION("split(K165,""山崎賢人　"",false)"),"新堂湊(山崎賢人)は、瀬戸夏美(上野樹里)や高山誠司(藤木直人)たち小児外科チームの一員として認められてきた。そんな時、東郷記念病院の経営を立て直すために病院を高齢者向け療養施設にする改革案が会議で可決される。小児外科と産婦人科の年内廃止も決定されてしまった。  湊が担当する森下伊代(松風理咲)が倒れた。湊は夏美とともに伊代の姉、汐里(松井愛莉)に病状を説明。伊代には小腸の移植が必要と聞いた汐里は、ドナーになると言う。また汐里は湊たちに、伊代には自分から説明したいと頼んだ。  高山は脳神経外科の盛岡豊(東"&amp;"根作寿英)から、患者の滝川亮平(萩原利久)についての相談を持ちかけられる。亮平はバスケの練習中に頭を強打したことから水頭症を発症。通常なら脳内に溜まった脳脊髄液を腹腔に流す手術を行うのだが、亮平は腹膜炎の既往で腹腔にひどい癒着があるためこの方法が取れない。また、盛岡は亮平が頭を打った時に腰髄も損傷したため、水頭症が改善されても歩行が困難になることも話す。それは両親の希望で亮平には伝えていないと言う。高山は自分たちに出来ることをするだけだと、小児外科チームにまずは水頭症の治療法を見つけることを指示する。  "&amp;"亮平は伊代の隣の病室に移されて来る。大喜びの伊代だが、自分の症状やドナーの件は、まだ汐里から知らされていなかった。一方、夏美は担当となった亮平の病状を猪口隆之介(板尾創路)から聞かれる。")</f>
        <v>新堂湊(山崎賢人)は、瀬戸夏美(上野樹里)や高山誠司(藤木直人)たち小児外科チームの一員として認められてきた。そんな時、東郷記念病院の経営を立て直すために病院を高齢者向け療養施設にする改革案が会議で可決される。小児外科と産婦人科の年内廃止も決定されてしまった。  湊が担当する森下伊代(松風理咲)が倒れた。湊は夏美とともに伊代の姉、汐里(松井愛莉)に病状を説明。伊代には小腸の移植が必要と聞いた汐里は、ドナーになると言う。また汐里は湊たちに、伊代には自分から説明したいと頼んだ。  高山は脳神経外科の盛岡豊(東根作寿英)から、患者の滝川亮平(萩原利久)についての相談を持ちかけられる。亮平はバスケの練習中に頭を強打したことから水頭症を発症。通常なら脳内に溜まった脳脊髄液を腹腔に流す手術を行うのだが、亮平は腹膜炎の既往で腹腔にひどい癒着があるためこの方法が取れない。また、盛岡は亮平が頭を打った時に腰髄も損傷したため、水頭症が改善されても歩行が困難になることも話す。それは両親の希望で亮平には伝えていないと言う。高山は自分たちに出来ることをするだけだと、小児外科チームにまずは水頭症の治療法を見つけることを指示する。  亮平は伊代の隣の病室に移されて来る。大喜びの伊代だが、自分の症状やドナーの件は、まだ汐里から知らされていなかった。一方、夏美は担当となった亮平の病状を猪口隆之介(板尾創路)から聞かれる。</v>
      </c>
      <c r="N165" s="2" t="str">
        <f>IFERROR(__xludf.DUMMYFUNCTION("""COMPUTED_VALUE"""),"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高田哲也(日吉メディカルクリニッ"&amp;"ク)　    【プロデュース】  藤野良太、金城綾香【協力プロデュース】  西坂瑞城　    【演出】  金井紘、相沢秀幸最新情報は、以下URLまでアクセスしてください。  ★公式HP　  http://www.fujitv.co.jp/gooddoctor/　  ★公式Twitter　  https://twitter.com/GoodDoctor2018　  ★公式instagram　  @gooddoctor_yuanikki")</f>
        <v>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金井紘、相沢秀幸最新情報は、以下URLまでアクセスしてください。  ★公式HP　  http://www.fujitv.co.jp/gooddoctor/　  ★公式Twitter　  https://twitter.com/GoodDoctor2018　  ★公式instagram　  @gooddoctor_yuanikki</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row>
    <row r="166" ht="204.75" customHeight="1">
      <c r="A166" s="1">
        <v>651.0</v>
      </c>
      <c r="B166" s="2" t="s">
        <v>504</v>
      </c>
      <c r="C166" s="2">
        <f>IFERROR(__xludf.DUMMYFUNCTION("split(B166,""_"")"),1807.0)</f>
        <v>1807</v>
      </c>
      <c r="D166" s="2" t="str">
        <f>IFERROR(__xludf.DUMMYFUNCTION("""COMPUTED_VALUE"""),"CX")</f>
        <v>CX</v>
      </c>
      <c r="E166" s="2" t="str">
        <f>IFERROR(__xludf.DUMMYFUNCTION("""COMPUTED_VALUE"""),"木22")</f>
        <v>木22</v>
      </c>
      <c r="F166" s="2" t="s">
        <v>505</v>
      </c>
      <c r="G166" s="2" t="s">
        <v>533</v>
      </c>
      <c r="H166" s="1">
        <v>10.0</v>
      </c>
      <c r="I166" s="1" t="s">
        <v>37</v>
      </c>
      <c r="J166" s="1" t="s">
        <v>82</v>
      </c>
      <c r="K166" s="2" t="s">
        <v>534</v>
      </c>
      <c r="L166" s="2" t="s">
        <v>535</v>
      </c>
      <c r="M166" s="2" t="str">
        <f>IFERROR(__xludf.DUMMYFUNCTION("split(K166,""山崎賢人　"",false)"),"最新情報は、以下URLまでアクセスしてください。  ★公式HP　  http://www.fujitv.co.jp/gooddoctor/　  ★公式Twitter　  https://twitter.com/GoodDoctor2018　  ★公式instagram　  @gooddoctor_yuanikki東郷記念病院は小児外科の廃止へと向かっていた。だが、新堂湊(山崎賢人)はステージ4のガンで倒れた司賀明(柄本明)に病室で付き添っている。これまでずっと支えてきてくれた司賀の病状を初めて知り、湊はシ"&amp;"ョックを隠せない。その時、湊に森下伊代(松風理咲)の急変を知らせる連絡が入る。司賀に、今心配すべきなのは自分ではなく子どもたちだと促された湊は、伊代の病室へ急ぐ。瀬戸夏美(上野樹里)ら小児外科医を集めた高山誠司(藤木直人)は、伊代が肝硬変も患っていると話す。そして、放置すれば肝不全になるため、すぐにでも肝臓の移植手術が必要だと続けた。しかし、伊代は小腸の移植も予定されている。高山は肝臓と小腸の同時移植以外に伊代を助ける方法はないと告げるも、小腸と肝臓の同時移植は国内で実施された例は少なく、高山ですら行った"&amp;"ことがない。そこにER(救急救命室)から川で溺れた少女、吉本美咲(古川凛)が心肺停止状態で運び込まれたと連絡が入る…。")</f>
        <v>最新情報は、以下URLまでアクセスしてください。  ★公式HP　  http://www.fujitv.co.jp/gooddoctor/　  ★公式Twitter　  https://twitter.com/GoodDoctor2018　  ★公式instagram　  @gooddoctor_yuanikki東郷記念病院は小児外科の廃止へと向かっていた。だが、新堂湊(山崎賢人)はステージ4のガンで倒れた司賀明(柄本明)に病室で付き添っている。これまでずっと支えてきてくれた司賀の病状を初めて知り、湊はショックを隠せない。その時、湊に森下伊代(松風理咲)の急変を知らせる連絡が入る。司賀に、今心配すべきなのは自分ではなく子どもたちだと促された湊は、伊代の病室へ急ぐ。瀬戸夏美(上野樹里)ら小児外科医を集めた高山誠司(藤木直人)は、伊代が肝硬変も患っていると話す。そして、放置すれば肝不全になるため、すぐにでも肝臓の移植手術が必要だと続けた。しかし、伊代は小腸の移植も予定されている。高山は肝臓と小腸の同時移植以外に伊代を助ける方法はないと告げるも、小腸と肝臓の同時移植は国内で実施された例は少なく、高山ですら行ったことがない。そこにER(救急救命室)から川で溺れた少女、吉本美咲(古川凛)が心肺停止状態で運び込まれたと連絡が入る…。</v>
      </c>
      <c r="N166" s="2" t="str">
        <f>IFERROR(__xludf.DUMMYFUNCTION("""COMPUTED_VALUE"""),"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高田哲也(日吉メディカルクリニッ"&amp;"ク)　    【プロデュース】  藤野良太、金城綾香【協力プロデュース】  西坂瑞城　    【演出】  金井紘、相沢秀幸")</f>
        <v>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v>
      </c>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row>
    <row r="167" ht="204.75" customHeight="1">
      <c r="A167" s="1">
        <v>716.0</v>
      </c>
      <c r="B167" s="2" t="s">
        <v>536</v>
      </c>
      <c r="C167" s="2">
        <f>IFERROR(__xludf.DUMMYFUNCTION("split(B167,""_"")"),1804.0)</f>
        <v>1804</v>
      </c>
      <c r="D167" s="2" t="str">
        <f>IFERROR(__xludf.DUMMYFUNCTION("""COMPUTED_VALUE"""),"CX")</f>
        <v>CX</v>
      </c>
      <c r="E167" s="2" t="str">
        <f>IFERROR(__xludf.DUMMYFUNCTION("""COMPUTED_VALUE"""),"月21")</f>
        <v>月21</v>
      </c>
      <c r="F167" s="2" t="s">
        <v>537</v>
      </c>
      <c r="G167" s="2" t="s">
        <v>538</v>
      </c>
      <c r="H167" s="1">
        <v>1.0</v>
      </c>
      <c r="I167" s="1" t="s">
        <v>3</v>
      </c>
      <c r="J167" s="1" t="s">
        <v>4</v>
      </c>
      <c r="K167" s="2" t="s">
        <v>539</v>
      </c>
      <c r="L167" s="2" t="s">
        <v>540</v>
      </c>
      <c r="M167" s="7" t="str">
        <f>IFERROR(__xludf.DUMMYFUNCTION("split(K167,""html"",false)"),"http://www.fujitv.co.jp/confidenceman_jp/index.")</f>
        <v>http://www.fujitv.co.jp/confidenceman_jp/index.</v>
      </c>
      <c r="N167" s="2" t="str">
        <f>IFERROR(__xludf.DUMMYFUNCTION("""COMPUTED_VALUE"""),"ダー子(長澤まさみ)は、天才的な頭脳と抜群の集中力で、難解な専門知識も短期間でマスターしてしまうコンフィデンスウーマン=信用詐欺師。高級ホテルのスイートルームに居を構える、破天荒な上に天然で、いい加減なところもある女性だ。そんなダー子と組んでいるのは、お人よしで小心者ゆえにいつもダー子に振り回され、早く詐欺師稼業から足を洗って真っ当に生きたいと願っているボクちゃん(東出昌大)と、超一流の変装技術を持ち、生まれながらの品の良さを生かして相手を騙すリチャード(小日向文世)だ。  ダー子が新たなターゲットとして"&amp;"目を付けたのは、公益財団『あかぼし』の会長・赤星栄介(江口洋介)。表の顔は文化芸術やスポーツの振興、慈善事業にいそしむ名士だが、その裏では経済ヤクザとして暗躍し、日本のゴッドファーザーとも呼ばれる男だった。赤星は何よりも仲間を大切にし、そのファミリーは鉄の結束で結ばれているとも言われていた。ダー子は、国税庁からマークされている赤星が、莫大な現金資産を海外に持ち出そうともくろんでいると推測。貨物船舶の船長に扮したリチャードを赤星に接触させる。ところが、なぜかその正体がバレてしまったリチャードは瀕死の重傷を負"&amp;"い、病院に収容されてしまう。詐欺師稼業をやめて一度はダー子のもとを離れていたボクちゃんは、知らせを受けてリチャードの敵を討つと決意。ダー子とともに赤星を騙すための作戦を立てるが…。長澤まさみ　  東出昌大　  小日向文世　    〈第1話ゲスト〉  江口洋介　  未唯mie【脚本】  古沢良太　    【企画】  成河広明　    【プロデュース】  草ヶ谷大輔　  古郡真也(FILM)　    【演出】  田中亮　  金井紘　  三橋利行(FILM)　    【音楽】  fox　capture　plan"&amp;"　    【主題歌】  「ノーダウト」Official髭男dism　    【制作】  フジテレビ")</f>
        <v>ダー子(長澤まさみ)は、天才的な頭脳と抜群の集中力で、難解な専門知識も短期間でマスターしてしまうコンフィデンスウーマン=信用詐欺師。高級ホテルのスイートルームに居を構える、破天荒な上に天然で、いい加減なところもある女性だ。そんなダー子と組んでいるのは、お人よしで小心者ゆえにいつもダー子に振り回され、早く詐欺師稼業から足を洗って真っ当に生きたいと願っているボクちゃん(東出昌大)と、超一流の変装技術を持ち、生まれながらの品の良さを生かして相手を騙すリチャード(小日向文世)だ。  ダー子が新たなターゲットとして目を付けたのは、公益財団『あかぼし』の会長・赤星栄介(江口洋介)。表の顔は文化芸術やスポーツの振興、慈善事業にいそしむ名士だが、その裏では経済ヤクザとして暗躍し、日本のゴッドファーザーとも呼ばれる男だった。赤星は何よりも仲間を大切にし、そのファミリーは鉄の結束で結ばれているとも言われていた。ダー子は、国税庁からマークされている赤星が、莫大な現金資産を海外に持ち出そうともくろんでいると推測。貨物船舶の船長に扮したリチャードを赤星に接触させる。ところが、なぜかその正体がバレてしまったリチャードは瀕死の重傷を負い、病院に収容されてしまう。詐欺師稼業をやめて一度はダー子のもとを離れていたボクちゃんは、知らせを受けてリチャードの敵を討つと決意。ダー子とともに赤星を騙すための作戦を立てるが…。長澤まさみ　  東出昌大　  小日向文世　    〈第1話ゲスト〉  江口洋介　  未唯mie【脚本】  古沢良太　    【企画】  成河広明　    【プロデュース】  草ヶ谷大輔　  古郡真也(FILM)　    【演出】  田中亮　  金井紘　  三橋利行(FILM)　    【音楽】  fox　capture　plan　    【主題歌】  「ノーダウト」Official髭男dism　    【制作】  フジテレビ</v>
      </c>
      <c r="O167" s="2" t="str">
        <f>IFERROR(__xludf.DUMMYFUNCTION("split(N167,""長澤まさみ　"",false)"),"ダー子(長澤まさみ)は、天才的な頭脳と抜群の集中力で、難解な専門知識も短期間でマスターしてしまうコンフィデンスウーマン=信用詐欺師。高級ホテルのスイートルームに居を構える、破天荒な上に天然で、いい加減なところもある女性だ。そんなダー子と組んでいるのは、お人よしで小心者ゆえにいつもダー子に振り回され、早く詐欺師稼業から足を洗って真っ当に生きたいと願っているボクちゃん(東出昌大)と、超一流の変装技術を持ち、生まれながらの品の良さを生かして相手を騙すリチャード(小日向文世)だ。  ダー子が新たなターゲットとして"&amp;"目を付けたのは、公益財団『あかぼし』の会長・赤星栄介(江口洋介)。表の顔は文化芸術やスポーツの振興、慈善事業にいそしむ名士だが、その裏では経済ヤクザとして暗躍し、日本のゴッドファーザーとも呼ばれる男だった。赤星は何よりも仲間を大切にし、そのファミリーは鉄の結束で結ばれているとも言われていた。ダー子は、国税庁からマークされている赤星が、莫大な現金資産を海外に持ち出そうともくろんでいると推測。貨物船舶の船長に扮したリチャードを赤星に接触させる。ところが、なぜかその正体がバレてしまったリチャードは瀕死の重傷を負"&amp;"い、病院に収容されてしまう。詐欺師稼業をやめて一度はダー子のもとを離れていたボクちゃんは、知らせを受けてリチャードの敵を討つと決意。ダー子とともに赤星を騙すための作戦を立てるが…。")</f>
        <v>ダー子(長澤まさみ)は、天才的な頭脳と抜群の集中力で、難解な専門知識も短期間でマスターしてしまうコンフィデンスウーマン=信用詐欺師。高級ホテルのスイートルームに居を構える、破天荒な上に天然で、いい加減なところもある女性だ。そんなダー子と組んでいるのは、お人よしで小心者ゆえにいつもダー子に振り回され、早く詐欺師稼業から足を洗って真っ当に生きたいと願っているボクちゃん(東出昌大)と、超一流の変装技術を持ち、生まれながらの品の良さを生かして相手を騙すリチャード(小日向文世)だ。  ダー子が新たなターゲットとして目を付けたのは、公益財団『あかぼし』の会長・赤星栄介(江口洋介)。表の顔は文化芸術やスポーツの振興、慈善事業にいそしむ名士だが、その裏では経済ヤクザとして暗躍し、日本のゴッドファーザーとも呼ばれる男だった。赤星は何よりも仲間を大切にし、そのファミリーは鉄の結束で結ばれているとも言われていた。ダー子は、国税庁からマークされている赤星が、莫大な現金資産を海外に持ち出そうともくろんでいると推測。貨物船舶の船長に扮したリチャードを赤星に接触させる。ところが、なぜかその正体がバレてしまったリチャードは瀕死の重傷を負い、病院に収容されてしまう。詐欺師稼業をやめて一度はダー子のもとを離れていたボクちゃんは、知らせを受けてリチャードの敵を討つと決意。ダー子とともに赤星を騙すための作戦を立てるが…。</v>
      </c>
      <c r="P167" s="2" t="str">
        <f>IFERROR(__xludf.DUMMYFUNCTION("""COMPUTED_VALUE"""),"  東出昌大　  小日向文世　    〈第1話ゲスト〉  江口洋介　  未唯mie【脚本】  古沢良太　    【企画】  成河広明　    【プロデュース】  草ヶ谷大輔　  古郡真也(FILM)　    【演出】  田中亮　  金井紘　  三橋利行(FILM)　    【音楽】  fox　capture　plan　    【主題歌】  「ノーダウト」Official髭男dism　    【制作】  フジテレビ")</f>
        <v>  東出昌大　  小日向文世　    〈第1話ゲスト〉  江口洋介　  未唯mie【脚本】  古沢良太　    【企画】  成河広明　    【プロデュース】  草ヶ谷大輔　  古郡真也(FILM)　    【演出】  田中亮　  金井紘　  三橋利行(FILM)　    【音楽】  fox　capture　plan　    【主題歌】  「ノーダウト」Official髭男dism　    【制作】  フジテレビ</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row>
    <row r="168" ht="204.75" customHeight="1">
      <c r="A168" s="1">
        <v>717.0</v>
      </c>
      <c r="B168" s="2" t="s">
        <v>536</v>
      </c>
      <c r="C168" s="2">
        <f>IFERROR(__xludf.DUMMYFUNCTION("split(B168,""_"")"),1804.0)</f>
        <v>1804</v>
      </c>
      <c r="D168" s="2" t="str">
        <f>IFERROR(__xludf.DUMMYFUNCTION("""COMPUTED_VALUE"""),"CX")</f>
        <v>CX</v>
      </c>
      <c r="E168" s="2" t="str">
        <f>IFERROR(__xludf.DUMMYFUNCTION("""COMPUTED_VALUE"""),"月21")</f>
        <v>月21</v>
      </c>
      <c r="F168" s="2" t="s">
        <v>537</v>
      </c>
      <c r="G168" s="2" t="s">
        <v>541</v>
      </c>
      <c r="H168" s="1">
        <v>2.0</v>
      </c>
      <c r="I168" s="1" t="s">
        <v>7</v>
      </c>
      <c r="J168" s="1" t="s">
        <v>4</v>
      </c>
      <c r="K168" s="2" t="s">
        <v>542</v>
      </c>
      <c r="L168" s="2" t="s">
        <v>543</v>
      </c>
      <c r="M168" s="7" t="str">
        <f>IFERROR(__xludf.DUMMYFUNCTION("split(K168,""html"",false)"),"http://www.fujitv.co.jp/confidenceman_jp/index.")</f>
        <v>http://www.fujitv.co.jp/confidenceman_jp/index.</v>
      </c>
      <c r="N168" s="2" t="str">
        <f>IFERROR(__xludf.DUMMYFUNCTION("""COMPUTED_VALUE"""),"信用詐欺師のダー子(長澤まさみ)、ボクちゃん(東出昌大)、リチャード(小日向文世)の3人は、ロシアンマフィアを騙そうとして失敗し、命からがら何とか逃げ切る。この1件で危険な目に遭ったボクちゃんは、ダー子たちと縁を切ると宣言し、職探しを始めた。やがてボクちゃんは、ひなびた温泉町にある老舗旅館『すずや』にたどり着き、住み込みで働く機会を得る。  ところが、そのすずやは2年前に隣町に大手ホテルチェーン・桜田リゾートが出来てから経営不振が続いていた。追い詰められたすずやの女将・操(本仮屋ユイカ)は、旅館を桜田リゾ"&amp;"ートに売却することを決意する。桜田リゾートの社長・桜田しず子(吉瀬美智子)は、経営難の旅館やリゾート施設を買い取っては見事によみがえらせ、業界の救世主とも呼ばれていた。しかしその裏では、収賄や談合、地上げと手段を選ばないやり口で、日本の観光を牛耳ろうとしていた。  操の前に現れたしず子は、すずやの資産価値を0円と査定し、約束していた従業員の再雇用も反故(ほご)にしようとする。そのやり方に怒ったボクちゃんは、ダー子たちに協力を依頼し、すずやを救うためにしず子から金をせしめようと決意する。  その頃しず子たち"&amp;"は、カジノを中心にした国の統合型リゾート開発に食い込もうとしていた。それを知ったダー子は、猛勉強の末、桜田リゾートのインターンになり、しず子に接触するが…。長澤まさみ　  東出昌大　  小日向文世　    〈第2話ゲスト〉  吉瀬美智子　  本仮屋ユイカ【脚本】  古沢良太　    【企画】  成河広明　    【プロデュース】  草ヶ谷大輔　  古郡真也(FILM)　    【演出】  田中亮　  金井紘　  三橋利行(FILM)　    【音楽】  fox　capture　plan　    【主題歌】"&amp;"  「ノーダウト」Official髭男dism　    【制作】  フジテレビ")</f>
        <v>信用詐欺師のダー子(長澤まさみ)、ボクちゃん(東出昌大)、リチャード(小日向文世)の3人は、ロシアンマフィアを騙そうとして失敗し、命からがら何とか逃げ切る。この1件で危険な目に遭ったボクちゃんは、ダー子たちと縁を切ると宣言し、職探しを始めた。やがてボクちゃんは、ひなびた温泉町にある老舗旅館『すずや』にたどり着き、住み込みで働く機会を得る。  ところが、そのすずやは2年前に隣町に大手ホテルチェーン・桜田リゾートが出来てから経営不振が続いていた。追い詰められたすずやの女将・操(本仮屋ユイカ)は、旅館を桜田リゾートに売却することを決意する。桜田リゾートの社長・桜田しず子(吉瀬美智子)は、経営難の旅館やリゾート施設を買い取っては見事によみがえらせ、業界の救世主とも呼ばれていた。しかしその裏では、収賄や談合、地上げと手段を選ばないやり口で、日本の観光を牛耳ろうとしていた。  操の前に現れたしず子は、すずやの資産価値を0円と査定し、約束していた従業員の再雇用も反故(ほご)にしようとする。そのやり方に怒ったボクちゃんは、ダー子たちに協力を依頼し、すずやを救うためにしず子から金をせしめようと決意する。  その頃しず子たちは、カジノを中心にした国の統合型リゾート開発に食い込もうとしていた。それを知ったダー子は、猛勉強の末、桜田リゾートのインターンになり、しず子に接触するが…。長澤まさみ　  東出昌大　  小日向文世　    〈第2話ゲスト〉  吉瀬美智子　  本仮屋ユイカ【脚本】  古沢良太　    【企画】  成河広明　    【プロデュース】  草ヶ谷大輔　  古郡真也(FILM)　    【演出】  田中亮　  金井紘　  三橋利行(FILM)　    【音楽】  fox　capture　plan　    【主題歌】  「ノーダウト」Official髭男dism　    【制作】  フジテレビ</v>
      </c>
      <c r="O168" s="2" t="str">
        <f>IFERROR(__xludf.DUMMYFUNCTION("split(N168,""長澤まさみ　"",false)"),"信用詐欺師のダー子(長澤まさみ)、ボクちゃん(東出昌大)、リチャード(小日向文世)の3人は、ロシアンマフィアを騙そうとして失敗し、命からがら何とか逃げ切る。この1件で危険な目に遭ったボクちゃんは、ダー子たちと縁を切ると宣言し、職探しを始めた。やがてボクちゃんは、ひなびた温泉町にある老舗旅館『すずや』にたどり着き、住み込みで働く機会を得る。  ところが、そのすずやは2年前に隣町に大手ホテルチェーン・桜田リゾートが出来てから経営不振が続いていた。追い詰められたすずやの女将・操(本仮屋ユイカ)は、旅館を桜田リゾ"&amp;"ートに売却することを決意する。桜田リゾートの社長・桜田しず子(吉瀬美智子)は、経営難の旅館やリゾート施設を買い取っては見事によみがえらせ、業界の救世主とも呼ばれていた。しかしその裏では、収賄や談合、地上げと手段を選ばないやり口で、日本の観光を牛耳ろうとしていた。  操の前に現れたしず子は、すずやの資産価値を0円と査定し、約束していた従業員の再雇用も反故(ほご)にしようとする。そのやり方に怒ったボクちゃんは、ダー子たちに協力を依頼し、すずやを救うためにしず子から金をせしめようと決意する。  その頃しず子たち"&amp;"は、カジノを中心にした国の統合型リゾート開発に食い込もうとしていた。それを知ったダー子は、猛勉強の末、桜田リゾートのインターンになり、しず子に接触するが…。")</f>
        <v>信用詐欺師のダー子(長澤まさみ)、ボクちゃん(東出昌大)、リチャード(小日向文世)の3人は、ロシアンマフィアを騙そうとして失敗し、命からがら何とか逃げ切る。この1件で危険な目に遭ったボクちゃんは、ダー子たちと縁を切ると宣言し、職探しを始めた。やがてボクちゃんは、ひなびた温泉町にある老舗旅館『すずや』にたどり着き、住み込みで働く機会を得る。  ところが、そのすずやは2年前に隣町に大手ホテルチェーン・桜田リゾートが出来てから経営不振が続いていた。追い詰められたすずやの女将・操(本仮屋ユイカ)は、旅館を桜田リゾートに売却することを決意する。桜田リゾートの社長・桜田しず子(吉瀬美智子)は、経営難の旅館やリゾート施設を買い取っては見事によみがえらせ、業界の救世主とも呼ばれていた。しかしその裏では、収賄や談合、地上げと手段を選ばないやり口で、日本の観光を牛耳ろうとしていた。  操の前に現れたしず子は、すずやの資産価値を0円と査定し、約束していた従業員の再雇用も反故(ほご)にしようとする。そのやり方に怒ったボクちゃんは、ダー子たちに協力を依頼し、すずやを救うためにしず子から金をせしめようと決意する。  その頃しず子たちは、カジノを中心にした国の統合型リゾート開発に食い込もうとしていた。それを知ったダー子は、猛勉強の末、桜田リゾートのインターンになり、しず子に接触するが…。</v>
      </c>
      <c r="P168" s="2" t="str">
        <f>IFERROR(__xludf.DUMMYFUNCTION("""COMPUTED_VALUE"""),"  東出昌大　  小日向文世　    〈第2話ゲスト〉  吉瀬美智子　  本仮屋ユイカ【脚本】  古沢良太　    【企画】  成河広明　    【プロデュース】  草ヶ谷大輔　  古郡真也(FILM)　    【演出】  田中亮　  金井紘　  三橋利行(FILM)　    【音楽】  fox　capture　plan　    【主題歌】  「ノーダウト」Official髭男dism　    【制作】  フジテレビ")</f>
        <v>  東出昌大　  小日向文世　    〈第2話ゲスト〉  吉瀬美智子　  本仮屋ユイカ【脚本】  古沢良太　    【企画】  成河広明　    【プロデュース】  草ヶ谷大輔　  古郡真也(FILM)　    【演出】  田中亮　  金井紘　  三橋利行(FILM)　    【音楽】  fox　capture　plan　    【主題歌】  「ノーダウト」Official髭男dism　    【制作】  フジテレビ</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row>
    <row r="169" ht="204.75" customHeight="1">
      <c r="A169" s="1">
        <v>718.0</v>
      </c>
      <c r="B169" s="2" t="s">
        <v>536</v>
      </c>
      <c r="C169" s="2">
        <f>IFERROR(__xludf.DUMMYFUNCTION("split(B169,""_"")"),1804.0)</f>
        <v>1804</v>
      </c>
      <c r="D169" s="2" t="str">
        <f>IFERROR(__xludf.DUMMYFUNCTION("""COMPUTED_VALUE"""),"CX")</f>
        <v>CX</v>
      </c>
      <c r="E169" s="2" t="str">
        <f>IFERROR(__xludf.DUMMYFUNCTION("""COMPUTED_VALUE"""),"月21")</f>
        <v>月21</v>
      </c>
      <c r="F169" s="2" t="s">
        <v>537</v>
      </c>
      <c r="G169" s="2" t="s">
        <v>544</v>
      </c>
      <c r="H169" s="1">
        <v>3.0</v>
      </c>
      <c r="I169" s="1" t="s">
        <v>10</v>
      </c>
      <c r="J169" s="1" t="s">
        <v>11</v>
      </c>
      <c r="K169" s="2" t="s">
        <v>545</v>
      </c>
      <c r="L169" s="2" t="s">
        <v>546</v>
      </c>
      <c r="M169" s="2" t="str">
        <f>IFERROR(__xludf.DUMMYFUNCTION("split(K169,""html"",false)"),"コンフィデンスマン=信用詐欺師のダー子(長澤まさみ)、ボクちゃん(東出昌大)、リチャード(小日向文世)は、新たなターゲットとして高名な美術評論家・城ケ崎善三(石黒賢)に狙いを定める。  城ケ崎は、貧しい家庭に生まれ育った。画家だった父は、才能に恵まれなかったものの気位だけは高かったため、母と共に苦労してきたという。美術評論家になったのも父のような画家に引導を渡すためだった。独学で古今東西のあらゆる芸術作品を学んだ城ケ崎は、バブル崩壊後に行方不明になっていたいくつかの名画を発掘して名をはせ、今では美術品を鑑"&amp;"定する冠番組まで持っていた。しかしその本性は、女癖が悪い上に、持ち込まれた美術品の真贋を偽って安く買い上げ、裏社会の顧客に密かに売却して大儲けしている欲と金にまみれた男だった。  ダー子は、中国人バイヤーに化けて城ケ崎のオークションハウスに潜入し、金に糸目をつけずに大量の作品を買い上げることで彼の信頼を得る。さらにダー子は、旧知の贋作(がんさく)画家で、あらゆる時代の有名画家のタッチを知り尽くしているという伴友則(でんでん)に、ピカソの“まだ世に知られていない作品""の制作を依頼するが…。長澤まさみ　  "&amp;"東出昌大　  小日向文世　    〈第3話ゲスト〉  石黒賢【脚本】  古沢良太　    【企画】  成河広明　    【プロデュース】  草ヶ谷大輔　  古郡真也(FILM)　    【演出】  田中亮　  金井紘　  三橋利行(FILM)　    【音楽】  fox　capture　plan　    【主題歌】  「ノーダウト」Official髭男dism　    【制作】  フジテレビhttp://www.fujitv.co.jp/confidenceman_jp/index.")</f>
        <v>コンフィデンスマン=信用詐欺師のダー子(長澤まさみ)、ボクちゃん(東出昌大)、リチャード(小日向文世)は、新たなターゲットとして高名な美術評論家・城ケ崎善三(石黒賢)に狙いを定める。  城ケ崎は、貧しい家庭に生まれ育った。画家だった父は、才能に恵まれなかったものの気位だけは高かったため、母と共に苦労してきたという。美術評論家になったのも父のような画家に引導を渡すためだった。独学で古今東西のあらゆる芸術作品を学んだ城ケ崎は、バブル崩壊後に行方不明になっていたいくつかの名画を発掘して名をはせ、今では美術品を鑑定する冠番組まで持っていた。しかしその本性は、女癖が悪い上に、持ち込まれた美術品の真贋を偽って安く買い上げ、裏社会の顧客に密かに売却して大儲けしている欲と金にまみれた男だった。  ダー子は、中国人バイヤーに化けて城ケ崎のオークションハウスに潜入し、金に糸目をつけずに大量の作品を買い上げることで彼の信頼を得る。さらにダー子は、旧知の贋作(がんさく)画家で、あらゆる時代の有名画家のタッチを知り尽くしているという伴友則(でんでん)に、ピカソの“まだ世に知られていない作品"の制作を依頼するが…。長澤まさみ　  東出昌大　  小日向文世　    〈第3話ゲスト〉  石黒賢【脚本】  古沢良太　    【企画】  成河広明　    【プロデュース】  草ヶ谷大輔　  古郡真也(FILM)　    【演出】  田中亮　  金井紘　  三橋利行(FILM)　    【音楽】  fox　capture　plan　    【主題歌】  「ノーダウト」Official髭男dism　    【制作】  フジテレビhttp://www.fujitv.co.jp/confidenceman_jp/index.</v>
      </c>
      <c r="N169" s="2" t="s">
        <v>547</v>
      </c>
      <c r="O169" s="2" t="str">
        <f>IFERROR(__xludf.DUMMYFUNCTION("split(N169,""長澤まさみ　"",false)"),"コンフィデンスマン=信用詐欺師のダー子(長澤まさみ)、ボクちゃん(東出昌大)、リチャード(小日向文世)は、新たなターゲットとして高名な美術評論家・城ケ崎善三(石黒賢)に狙いを定める。  城ケ崎は、貧しい家庭に生まれ育った。画家だった父は、才能に恵まれなかったものの気位だけは高かったため、母と共に苦労してきたという。美術評論家になったのも父のような画家に引導を渡すためだった。独学で古今東西のあらゆる芸術作品を学んだ城ケ崎は、バブル崩壊後に行方不明になっていたいくつかの名画を発掘して名をはせ、今では美術品を鑑"&amp;"定する冠番組まで持っていた。しかしその本性は、女癖が悪い上に、持ち込まれた美術品の真贋を偽って安く買い上げ、裏社会の顧客に密かに売却して大儲けしている欲と金にまみれた男だった。  ダー子は、中国人バイヤーに化けて城ケ崎のオークションハウスに潜入し、金に糸目をつけずに大量の作品を買い上げることで彼の信頼を得る。さらにダー子は、旧知の贋作(がんさく)画家で、あらゆる時代の有名画家のタッチを知り尽くしているという伴友則(でんでん)に、ピカソの“まだ世に知られていない作品""の制作を依頼するが…。")</f>
        <v>コンフィデンスマン=信用詐欺師のダー子(長澤まさみ)、ボクちゃん(東出昌大)、リチャード(小日向文世)は、新たなターゲットとして高名な美術評論家・城ケ崎善三(石黒賢)に狙いを定める。  城ケ崎は、貧しい家庭に生まれ育った。画家だった父は、才能に恵まれなかったものの気位だけは高かったため、母と共に苦労してきたという。美術評論家になったのも父のような画家に引導を渡すためだった。独学で古今東西のあらゆる芸術作品を学んだ城ケ崎は、バブル崩壊後に行方不明になっていたいくつかの名画を発掘して名をはせ、今では美術品を鑑定する冠番組まで持っていた。しかしその本性は、女癖が悪い上に、持ち込まれた美術品の真贋を偽って安く買い上げ、裏社会の顧客に密かに売却して大儲けしている欲と金にまみれた男だった。  ダー子は、中国人バイヤーに化けて城ケ崎のオークションハウスに潜入し、金に糸目をつけずに大量の作品を買い上げることで彼の信頼を得る。さらにダー子は、旧知の贋作(がんさく)画家で、あらゆる時代の有名画家のタッチを知り尽くしているという伴友則(でんでん)に、ピカソの“まだ世に知られていない作品"の制作を依頼するが…。</v>
      </c>
      <c r="P169" s="2" t="str">
        <f>IFERROR(__xludf.DUMMYFUNCTION("""COMPUTED_VALUE"""),"  東出昌大　  小日向文世　    〈第3話ゲスト〉  石黒賢【脚本】  古沢良太　    【企画】  成河広明　    【プロデュース】  草ヶ谷大輔　  古郡真也(FILM)　    【演出】  田中亮　  金井紘　  三橋利行(FILM)　    【音楽】  fox　capture　plan　    【主題歌】  「ノーダウト」Official髭男dism　    【制作】  フジテレビhttp://www.fujitv.co.jp/confidenceman_jp/index.")</f>
        <v>  東出昌大　  小日向文世　    〈第3話ゲスト〉  石黒賢【脚本】  古沢良太　    【企画】  成河広明　    【プロデュース】  草ヶ谷大輔　  古郡真也(FILM)　    【演出】  田中亮　  金井紘　  三橋利行(FILM)　    【音楽】  fox　capture　plan　    【主題歌】  「ノーダウト」Official髭男dism　    【制作】  フジテレビhttp://www.fujitv.co.jp/confidenceman_jp/index.</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row>
    <row r="170" ht="204.75" customHeight="1">
      <c r="A170" s="1">
        <v>719.0</v>
      </c>
      <c r="B170" s="2" t="s">
        <v>536</v>
      </c>
      <c r="C170" s="2">
        <f>IFERROR(__xludf.DUMMYFUNCTION("split(B170,""_"")"),1804.0)</f>
        <v>1804</v>
      </c>
      <c r="D170" s="2" t="str">
        <f>IFERROR(__xludf.DUMMYFUNCTION("""COMPUTED_VALUE"""),"CX")</f>
        <v>CX</v>
      </c>
      <c r="E170" s="2" t="str">
        <f>IFERROR(__xludf.DUMMYFUNCTION("""COMPUTED_VALUE"""),"月21")</f>
        <v>月21</v>
      </c>
      <c r="F170" s="2" t="s">
        <v>537</v>
      </c>
      <c r="G170" s="2" t="s">
        <v>548</v>
      </c>
      <c r="H170" s="1">
        <v>4.0</v>
      </c>
      <c r="I170" s="1" t="s">
        <v>14</v>
      </c>
      <c r="J170" s="1" t="s">
        <v>11</v>
      </c>
      <c r="K170" s="2" t="s">
        <v>549</v>
      </c>
      <c r="L170" s="2" t="s">
        <v>550</v>
      </c>
      <c r="M170" s="7" t="str">
        <f>IFERROR(__xludf.DUMMYFUNCTION("split(K170,""html"",false)"),"http://www.fujitv.co.jp/confidenceman_jp/index.")</f>
        <v>http://www.fujitv.co.jp/confidenceman_jp/index.</v>
      </c>
      <c r="N170" s="2" t="str">
        <f>IFERROR(__xludf.DUMMYFUNCTION("""COMPUTED_VALUE"""),"ダー子(長澤まさみ)は、食品メーカー・俵屋フーズで工場長を務めている宮下正也(近藤公園)が、自社製品の産地偽装を告発しようとしていたことを知る。看板ヒット商品の缶詰「うなぎのカレー煮」で、外国産のうなぎを国産だと偽って使用していたのだ。しかし宮下は、同社社長・俵屋勤(佐野史郎)の脅しに屈し、告発文を出すことはできなかった。俵屋は典型的な二代目のお坊ちゃんで、公私ともにやりたい放題、社員へのどう喝、セクハラも日常茶飯事、というとんでもない男だった。  そんな俵屋を新たなターゲットに選んだダー子は、彼が熱狂的"&amp;"な映画ファンであることに注目する。ダー子たちは、俵屋が定期購読している『月刊キネマ新報』を“映画人が愛した銀座のカフェバー・スワンソン""なる記事を載せたニセモノと差し替えて、彼をその店に誘い込むことに成功する。  そこで、新人映画監督に扮したボクちゃん(東出昌大)と、映画プロデューサー役のリチャード(小日向文世)が巧みに俵屋に近づき、オールスターキャストで制作されるという新作時代劇映画への出資を持ちかける。ところが俵屋は、ボクちゃんたちの話にかなり興奮していたにもかかわらず、なぜか出資話には興味を示さず"&amp;"…。長澤まさみ　  東出昌大　  小日向文世　    〈第4話ゲスト〉  佐野史郎【脚本】  古沢良太　    【企画】  成河広明　    【プロデュース】  草ヶ谷大輔　  古郡真也(FILM)　    【演出】  田中亮　  金井紘　  三橋利行(FILM)　    【音楽】  fox　capture　plan　    【主題歌】  「ノーダウト」Official髭男dism　    【制作】  フジテレビ")</f>
        <v>ダー子(長澤まさみ)は、食品メーカー・俵屋フーズで工場長を務めている宮下正也(近藤公園)が、自社製品の産地偽装を告発しようとしていたことを知る。看板ヒット商品の缶詰「うなぎのカレー煮」で、外国産のうなぎを国産だと偽って使用していたのだ。しかし宮下は、同社社長・俵屋勤(佐野史郎)の脅しに屈し、告発文を出すことはできなかった。俵屋は典型的な二代目のお坊ちゃんで、公私ともにやりたい放題、社員へのどう喝、セクハラも日常茶飯事、というとんでもない男だった。  そんな俵屋を新たなターゲットに選んだダー子は、彼が熱狂的な映画ファンであることに注目する。ダー子たちは、俵屋が定期購読している『月刊キネマ新報』を“映画人が愛した銀座のカフェバー・スワンソン"なる記事を載せたニセモノと差し替えて、彼をその店に誘い込むことに成功する。  そこで、新人映画監督に扮したボクちゃん(東出昌大)と、映画プロデューサー役のリチャード(小日向文世)が巧みに俵屋に近づき、オールスターキャストで制作されるという新作時代劇映画への出資を持ちかける。ところが俵屋は、ボクちゃんたちの話にかなり興奮していたにもかかわらず、なぜか出資話には興味を示さず…。長澤まさみ　  東出昌大　  小日向文世　    〈第4話ゲスト〉  佐野史郎【脚本】  古沢良太　    【企画】  成河広明　    【プロデュース】  草ヶ谷大輔　  古郡真也(FILM)　    【演出】  田中亮　  金井紘　  三橋利行(FILM)　    【音楽】  fox　capture　plan　    【主題歌】  「ノーダウト」Official髭男dism　    【制作】  フジテレビ</v>
      </c>
      <c r="O170" s="2" t="str">
        <f>IFERROR(__xludf.DUMMYFUNCTION("split(N170,""長澤まさみ　"",false)"),"ダー子(長澤まさみ)は、食品メーカー・俵屋フーズで工場長を務めている宮下正也(近藤公園)が、自社製品の産地偽装を告発しようとしていたことを知る。看板ヒット商品の缶詰「うなぎのカレー煮」で、外国産のうなぎを国産だと偽って使用していたのだ。しかし宮下は、同社社長・俵屋勤(佐野史郎)の脅しに屈し、告発文を出すことはできなかった。俵屋は典型的な二代目のお坊ちゃんで、公私ともにやりたい放題、社員へのどう喝、セクハラも日常茶飯事、というとんでもない男だった。  そんな俵屋を新たなターゲットに選んだダー子は、彼が熱狂的"&amp;"な映画ファンであることに注目する。ダー子たちは、俵屋が定期購読している『月刊キネマ新報』を“映画人が愛した銀座のカフェバー・スワンソン""なる記事を載せたニセモノと差し替えて、彼をその店に誘い込むことに成功する。  そこで、新人映画監督に扮したボクちゃん(東出昌大)と、映画プロデューサー役のリチャード(小日向文世)が巧みに俵屋に近づき、オールスターキャストで制作されるという新作時代劇映画への出資を持ちかける。ところが俵屋は、ボクちゃんたちの話にかなり興奮していたにもかかわらず、なぜか出資話には興味を示さず"&amp;"…。")</f>
        <v>ダー子(長澤まさみ)は、食品メーカー・俵屋フーズで工場長を務めている宮下正也(近藤公園)が、自社製品の産地偽装を告発しようとしていたことを知る。看板ヒット商品の缶詰「うなぎのカレー煮」で、外国産のうなぎを国産だと偽って使用していたのだ。しかし宮下は、同社社長・俵屋勤(佐野史郎)の脅しに屈し、告発文を出すことはできなかった。俵屋は典型的な二代目のお坊ちゃんで、公私ともにやりたい放題、社員へのどう喝、セクハラも日常茶飯事、というとんでもない男だった。  そんな俵屋を新たなターゲットに選んだダー子は、彼が熱狂的な映画ファンであることに注目する。ダー子たちは、俵屋が定期購読している『月刊キネマ新報』を“映画人が愛した銀座のカフェバー・スワンソン"なる記事を載せたニセモノと差し替えて、彼をその店に誘い込むことに成功する。  そこで、新人映画監督に扮したボクちゃん(東出昌大)と、映画プロデューサー役のリチャード(小日向文世)が巧みに俵屋に近づき、オールスターキャストで制作されるという新作時代劇映画への出資を持ちかける。ところが俵屋は、ボクちゃんたちの話にかなり興奮していたにもかかわらず、なぜか出資話には興味を示さず…。</v>
      </c>
      <c r="P170" s="2" t="str">
        <f>IFERROR(__xludf.DUMMYFUNCTION("""COMPUTED_VALUE"""),"  東出昌大　  小日向文世　    〈第4話ゲスト〉  佐野史郎【脚本】  古沢良太　    【企画】  成河広明　    【プロデュース】  草ヶ谷大輔　  古郡真也(FILM)　    【演出】  田中亮　  金井紘　  三橋利行(FILM)　    【音楽】  fox　capture　plan　    【主題歌】  「ノーダウト」Official髭男dism　    【制作】  フジテレビ")</f>
        <v>  東出昌大　  小日向文世　    〈第4話ゲスト〉  佐野史郎【脚本】  古沢良太　    【企画】  成河広明　    【プロデュース】  草ヶ谷大輔　  古郡真也(FILM)　    【演出】  田中亮　  金井紘　  三橋利行(FILM)　    【音楽】  fox　capture　plan　    【主題歌】  「ノーダウト」Official髭男dism　    【制作】  フジテレビ</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row>
    <row r="171" ht="204.75" customHeight="1">
      <c r="A171" s="1">
        <v>720.0</v>
      </c>
      <c r="B171" s="2" t="s">
        <v>536</v>
      </c>
      <c r="C171" s="2">
        <f>IFERROR(__xludf.DUMMYFUNCTION("split(B171,""_"")"),1804.0)</f>
        <v>1804</v>
      </c>
      <c r="D171" s="2" t="str">
        <f>IFERROR(__xludf.DUMMYFUNCTION("""COMPUTED_VALUE"""),"CX")</f>
        <v>CX</v>
      </c>
      <c r="E171" s="2" t="str">
        <f>IFERROR(__xludf.DUMMYFUNCTION("""COMPUTED_VALUE"""),"月21")</f>
        <v>月21</v>
      </c>
      <c r="F171" s="2" t="s">
        <v>537</v>
      </c>
      <c r="G171" s="2" t="s">
        <v>551</v>
      </c>
      <c r="H171" s="1">
        <v>5.0</v>
      </c>
      <c r="I171" s="1" t="s">
        <v>17</v>
      </c>
      <c r="J171" s="1" t="s">
        <v>11</v>
      </c>
      <c r="K171" s="2" t="s">
        <v>552</v>
      </c>
      <c r="L171" s="2" t="s">
        <v>553</v>
      </c>
      <c r="M171" s="7" t="str">
        <f>IFERROR(__xludf.DUMMYFUNCTION("split(K171,""html"",false)"),"http://www.fujitv.co.jp/confidenceman_jp/index.")</f>
        <v>http://www.fujitv.co.jp/confidenceman_jp/index.</v>
      </c>
      <c r="N171" s="2" t="str">
        <f>IFERROR(__xludf.DUMMYFUNCTION("""COMPUTED_VALUE"""),"ダー子(長澤まさみ)たちは、野々宮総合病院理事長の野々宮ナンシー(かたせ梨乃)を新たなターゲットにする。虫垂炎を起こしたリチャード(小日向文世)の手術を担当した同病院の外科医・田淵安晴(正名僕蔵)を、ナンシーがクビにしたのがきっかけだった。  芸能界で活躍した元モデルのナンシーは、開業医と玉の輿婚をした。夫亡き後は病院の経営を引き継ぎ、知名度とイメージ戦略を駆使して成功を収めていた。その中心にいるのが、ナンシーの息子でもある外科医の新琉(永井大)だった。新琉は、困難な手術を次々と成功させ、若きスーパードク"&amp;"ターとしてマスコミからも注目されていた。だが、実は新琉の功績のほとんどはオペチームの他の医師によるもので、中でも特に難しい手術を手がけていたのが田淵だった。ナンシーは、薄給に耐えかねて他の病院に移ろうとした田淵に激怒し、医療過誤をでっち上げて彼を医学界から締め出したのだ。ナンシーたちが必死になって田淵の後任を探していると読んだダー子は、ボストンの名医の指導を受けたという触れ込みでボクちゃん(東出昌大)を売り込む。ボクちゃんは、ナンシーがゴルフレッスン中に腰を痛めたという情報をもとに、精密検査を受けるよう持"&amp;"ちかけ……。長澤まさみ　  東出昌大　  小日向文世　    〈第5話ゲスト〉  かたせ梨乃　  永井大　  正名僕蔵【脚本】  古沢良太　    【企画】  成河広明　    【プロデュース】  草ヶ谷大輔　  古郡真也(FILM)　    【演出】  田中亮　  金井紘　  三橋利行(FILM)　    【音楽】  fox　capture　plan　    【主題歌】  「ノーダウト」Official髭男dism　    【制作】  フジテレビ")</f>
        <v>ダー子(長澤まさみ)たちは、野々宮総合病院理事長の野々宮ナンシー(かたせ梨乃)を新たなターゲットにする。虫垂炎を起こしたリチャード(小日向文世)の手術を担当した同病院の外科医・田淵安晴(正名僕蔵)を、ナンシーがクビにしたのがきっかけだった。  芸能界で活躍した元モデルのナンシーは、開業医と玉の輿婚をした。夫亡き後は病院の経営を引き継ぎ、知名度とイメージ戦略を駆使して成功を収めていた。その中心にいるのが、ナンシーの息子でもある外科医の新琉(永井大)だった。新琉は、困難な手術を次々と成功させ、若きスーパードクターとしてマスコミからも注目されていた。だが、実は新琉の功績のほとんどはオペチームの他の医師によるもので、中でも特に難しい手術を手がけていたのが田淵だった。ナンシーは、薄給に耐えかねて他の病院に移ろうとした田淵に激怒し、医療過誤をでっち上げて彼を医学界から締め出したのだ。ナンシーたちが必死になって田淵の後任を探していると読んだダー子は、ボストンの名医の指導を受けたという触れ込みでボクちゃん(東出昌大)を売り込む。ボクちゃんは、ナンシーがゴルフレッスン中に腰を痛めたという情報をもとに、精密検査を受けるよう持ちかけ……。長澤まさみ　  東出昌大　  小日向文世　    〈第5話ゲスト〉  かたせ梨乃　  永井大　  正名僕蔵【脚本】  古沢良太　    【企画】  成河広明　    【プロデュース】  草ヶ谷大輔　  古郡真也(FILM)　    【演出】  田中亮　  金井紘　  三橋利行(FILM)　    【音楽】  fox　capture　plan　    【主題歌】  「ノーダウト」Official髭男dism　    【制作】  フジテレビ</v>
      </c>
      <c r="O171" s="2" t="str">
        <f>IFERROR(__xludf.DUMMYFUNCTION("split(N171,""長澤まさみ　"",false)"),"ダー子(長澤まさみ)たちは、野々宮総合病院理事長の野々宮ナンシー(かたせ梨乃)を新たなターゲットにする。虫垂炎を起こしたリチャード(小日向文世)の手術を担当した同病院の外科医・田淵安晴(正名僕蔵)を、ナンシーがクビにしたのがきっかけだった。  芸能界で活躍した元モデルのナンシーは、開業医と玉の輿婚をした。夫亡き後は病院の経営を引き継ぎ、知名度とイメージ戦略を駆使して成功を収めていた。その中心にいるのが、ナンシーの息子でもある外科医の新琉(永井大)だった。新琉は、困難な手術を次々と成功させ、若きスーパードク"&amp;"ターとしてマスコミからも注目されていた。だが、実は新琉の功績のほとんどはオペチームの他の医師によるもので、中でも特に難しい手術を手がけていたのが田淵だった。ナンシーは、薄給に耐えかねて他の病院に移ろうとした田淵に激怒し、医療過誤をでっち上げて彼を医学界から締め出したのだ。ナンシーたちが必死になって田淵の後任を探していると読んだダー子は、ボストンの名医の指導を受けたという触れ込みでボクちゃん(東出昌大)を売り込む。ボクちゃんは、ナンシーがゴルフレッスン中に腰を痛めたという情報をもとに、精密検査を受けるよう持"&amp;"ちかけ……。")</f>
        <v>ダー子(長澤まさみ)たちは、野々宮総合病院理事長の野々宮ナンシー(かたせ梨乃)を新たなターゲットにする。虫垂炎を起こしたリチャード(小日向文世)の手術を担当した同病院の外科医・田淵安晴(正名僕蔵)を、ナンシーがクビにしたのがきっかけだった。  芸能界で活躍した元モデルのナンシーは、開業医と玉の輿婚をした。夫亡き後は病院の経営を引き継ぎ、知名度とイメージ戦略を駆使して成功を収めていた。その中心にいるのが、ナンシーの息子でもある外科医の新琉(永井大)だった。新琉は、困難な手術を次々と成功させ、若きスーパードクターとしてマスコミからも注目されていた。だが、実は新琉の功績のほとんどはオペチームの他の医師によるもので、中でも特に難しい手術を手がけていたのが田淵だった。ナンシーは、薄給に耐えかねて他の病院に移ろうとした田淵に激怒し、医療過誤をでっち上げて彼を医学界から締め出したのだ。ナンシーたちが必死になって田淵の後任を探していると読んだダー子は、ボストンの名医の指導を受けたという触れ込みでボクちゃん(東出昌大)を売り込む。ボクちゃんは、ナンシーがゴルフレッスン中に腰を痛めたという情報をもとに、精密検査を受けるよう持ちかけ……。</v>
      </c>
      <c r="P171" s="2" t="str">
        <f>IFERROR(__xludf.DUMMYFUNCTION("""COMPUTED_VALUE"""),"  東出昌大　  小日向文世　    〈第5話ゲスト〉  かたせ梨乃　  永井大　  正名僕蔵【脚本】  古沢良太　    【企画】  成河広明　    【プロデュース】  草ヶ谷大輔　  古郡真也(FILM)　    【演出】  田中亮　  金井紘　  三橋利行(FILM)　    【音楽】  fox　capture　plan　    【主題歌】  「ノーダウト」Official髭男dism　    【制作】  フジテレビ")</f>
        <v>  東出昌大　  小日向文世　    〈第5話ゲスト〉  かたせ梨乃　  永井大　  正名僕蔵【脚本】  古沢良太　    【企画】  成河広明　    【プロデュース】  草ヶ谷大輔　  古郡真也(FILM)　    【演出】  田中亮　  金井紘　  三橋利行(FILM)　    【音楽】  fox　capture　plan　    【主題歌】  「ノーダウト」Official髭男dism　    【制作】  フジテレビ</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row>
    <row r="172" ht="204.75" customHeight="1">
      <c r="A172" s="1">
        <v>721.0</v>
      </c>
      <c r="B172" s="2" t="s">
        <v>536</v>
      </c>
      <c r="C172" s="2">
        <f>IFERROR(__xludf.DUMMYFUNCTION("split(B172,""_"")"),1804.0)</f>
        <v>1804</v>
      </c>
      <c r="D172" s="2" t="str">
        <f>IFERROR(__xludf.DUMMYFUNCTION("""COMPUTED_VALUE"""),"CX")</f>
        <v>CX</v>
      </c>
      <c r="E172" s="2" t="str">
        <f>IFERROR(__xludf.DUMMYFUNCTION("""COMPUTED_VALUE"""),"月21")</f>
        <v>月21</v>
      </c>
      <c r="F172" s="2" t="s">
        <v>537</v>
      </c>
      <c r="G172" s="2" t="s">
        <v>554</v>
      </c>
      <c r="H172" s="1">
        <v>6.0</v>
      </c>
      <c r="I172" s="1" t="s">
        <v>21</v>
      </c>
      <c r="J172" s="1" t="s">
        <v>11</v>
      </c>
      <c r="K172" s="2" t="s">
        <v>555</v>
      </c>
      <c r="L172" s="2" t="s">
        <v>556</v>
      </c>
      <c r="M172" s="7" t="str">
        <f>IFERROR(__xludf.DUMMYFUNCTION("split(K172,""html"",false)"),"http://www.fujitv.co.jp/confidenceman_jp/index.")</f>
        <v>http://www.fujitv.co.jp/confidenceman_jp/index.</v>
      </c>
      <c r="N172" s="2" t="str">
        <f>IFERROR(__xludf.DUMMYFUNCTION("""COMPUTED_VALUE"""),"自転車で一人旅をしていたボクちゃん(東出昌大)は、山間にある十色村でラーメン店を営む夫妻と知り合う。夫妻は、この村に特産品などを販売する「ふるさとふれあいモール」が出来ることを喜んでいた。ところがその2年後、再び村を訪れたボクちゃんは、ふれあいモールがいつの間にか産業廃棄物処理場建設計画に変わっていることを知る。このプロジェクトを手掛けていたのは、地方再生や町おこしを得意とするコンサルタント、斑井満(内村光良)だった。斑井は、町おこしのプロジェクトを持ちかけてタダ同然の金額で土地を買い付けると、プロジェク"&amp;"トを頓挫させて、知り合いの産廃処理会社に土地を転売していた。  ボクちゃんは、ダー子(長澤まさみ)とリチャード(小日向文世)に、産廃処理場の建設工事を止める手助けを頼んだ。ダー子は、金にならないという理由で話に乗らなかったが、工事を止めるだけならその土地から遺跡があった証拠が出てくればいい、と助言する。  リチャードから縄文土器を借りたボクちゃんは、アルバイトに扮して潜入し、現場で土器を見つけたと報告する。すると斑井は、いきなりその土器を叩きつけて粉々に壊してしまう。  ボクちゃんを手伝うことにしたダー子"&amp;"は、五十嵐(小手伸也)に斑井の情報収集を依頼。彼の父親・万吉が、家族を顧みずに遺跡発掘に明け暮れていたアマチュアの考古学研究者だったことを知り…。長澤まさみ　  東出昌大　  小日向文世　    〈第6話ゲスト〉  内村光良【脚本】  古沢良太　    【企画】  成河広明　    【プロデュース】  草ヶ谷大輔　  古郡真也(FILM)　    【演出】  田中亮　  金井紘　  三橋利行(FILM)　    【音楽】  fox　capture　plan　    【主題歌】  「ノーダウト」Offici"&amp;"al髭男dism　    【制作】  フジテレビ")</f>
        <v>自転車で一人旅をしていたボクちゃん(東出昌大)は、山間にある十色村でラーメン店を営む夫妻と知り合う。夫妻は、この村に特産品などを販売する「ふるさとふれあいモール」が出来ることを喜んでいた。ところがその2年後、再び村を訪れたボクちゃんは、ふれあいモールがいつの間にか産業廃棄物処理場建設計画に変わっていることを知る。このプロジェクトを手掛けていたのは、地方再生や町おこしを得意とするコンサルタント、斑井満(内村光良)だった。斑井は、町おこしのプロジェクトを持ちかけてタダ同然の金額で土地を買い付けると、プロジェクトを頓挫させて、知り合いの産廃処理会社に土地を転売していた。  ボクちゃんは、ダー子(長澤まさみ)とリチャード(小日向文世)に、産廃処理場の建設工事を止める手助けを頼んだ。ダー子は、金にならないという理由で話に乗らなかったが、工事を止めるだけならその土地から遺跡があった証拠が出てくればいい、と助言する。  リチャードから縄文土器を借りたボクちゃんは、アルバイトに扮して潜入し、現場で土器を見つけたと報告する。すると斑井は、いきなりその土器を叩きつけて粉々に壊してしまう。  ボクちゃんを手伝うことにしたダー子は、五十嵐(小手伸也)に斑井の情報収集を依頼。彼の父親・万吉が、家族を顧みずに遺跡発掘に明け暮れていたアマチュアの考古学研究者だったことを知り…。長澤まさみ　  東出昌大　  小日向文世　    〈第6話ゲスト〉  内村光良【脚本】  古沢良太　    【企画】  成河広明　    【プロデュース】  草ヶ谷大輔　  古郡真也(FILM)　    【演出】  田中亮　  金井紘　  三橋利行(FILM)　    【音楽】  fox　capture　plan　    【主題歌】  「ノーダウト」Official髭男dism　    【制作】  フジテレビ</v>
      </c>
      <c r="O172" s="2" t="str">
        <f>IFERROR(__xludf.DUMMYFUNCTION("split(N172,""長澤まさみ　"",false)"),"自転車で一人旅をしていたボクちゃん(東出昌大)は、山間にある十色村でラーメン店を営む夫妻と知り合う。夫妻は、この村に特産品などを販売する「ふるさとふれあいモール」が出来ることを喜んでいた。ところがその2年後、再び村を訪れたボクちゃんは、ふれあいモールがいつの間にか産業廃棄物処理場建設計画に変わっていることを知る。このプロジェクトを手掛けていたのは、地方再生や町おこしを得意とするコンサルタント、斑井満(内村光良)だった。斑井は、町おこしのプロジェクトを持ちかけてタダ同然の金額で土地を買い付けると、プロジェク"&amp;"トを頓挫させて、知り合いの産廃処理会社に土地を転売していた。  ボクちゃんは、ダー子(長澤まさみ)とリチャード(小日向文世)に、産廃処理場の建設工事を止める手助けを頼んだ。ダー子は、金にならないという理由で話に乗らなかったが、工事を止めるだけならその土地から遺跡があった証拠が出てくればいい、と助言する。  リチャードから縄文土器を借りたボクちゃんは、アルバイトに扮して潜入し、現場で土器を見つけたと報告する。すると斑井は、いきなりその土器を叩きつけて粉々に壊してしまう。  ボクちゃんを手伝うことにしたダー子"&amp;"は、五十嵐(小手伸也)に斑井の情報収集を依頼。彼の父親・万吉が、家族を顧みずに遺跡発掘に明け暮れていたアマチュアの考古学研究者だったことを知り…。")</f>
        <v>自転車で一人旅をしていたボクちゃん(東出昌大)は、山間にある十色村でラーメン店を営む夫妻と知り合う。夫妻は、この村に特産品などを販売する「ふるさとふれあいモール」が出来ることを喜んでいた。ところがその2年後、再び村を訪れたボクちゃんは、ふれあいモールがいつの間にか産業廃棄物処理場建設計画に変わっていることを知る。このプロジェクトを手掛けていたのは、地方再生や町おこしを得意とするコンサルタント、斑井満(内村光良)だった。斑井は、町おこしのプロジェクトを持ちかけてタダ同然の金額で土地を買い付けると、プロジェクトを頓挫させて、知り合いの産廃処理会社に土地を転売していた。  ボクちゃんは、ダー子(長澤まさみ)とリチャード(小日向文世)に、産廃処理場の建設工事を止める手助けを頼んだ。ダー子は、金にならないという理由で話に乗らなかったが、工事を止めるだけならその土地から遺跡があった証拠が出てくればいい、と助言する。  リチャードから縄文土器を借りたボクちゃんは、アルバイトに扮して潜入し、現場で土器を見つけたと報告する。すると斑井は、いきなりその土器を叩きつけて粉々に壊してしまう。  ボクちゃんを手伝うことにしたダー子は、五十嵐(小手伸也)に斑井の情報収集を依頼。彼の父親・万吉が、家族を顧みずに遺跡発掘に明け暮れていたアマチュアの考古学研究者だったことを知り…。</v>
      </c>
      <c r="P172" s="2" t="str">
        <f>IFERROR(__xludf.DUMMYFUNCTION("""COMPUTED_VALUE"""),"  東出昌大　  小日向文世　    〈第6話ゲスト〉  内村光良【脚本】  古沢良太　    【企画】  成河広明　    【プロデュース】  草ヶ谷大輔　  古郡真也(FILM)　    【演出】  田中亮　  金井紘　  三橋利行(FILM)　    【音楽】  fox　capture　plan　    【主題歌】  「ノーダウト」Official髭男dism　    【制作】  フジテレビ")</f>
        <v>  東出昌大　  小日向文世　    〈第6話ゲスト〉  内村光良【脚本】  古沢良太　    【企画】  成河広明　    【プロデュース】  草ヶ谷大輔　  古郡真也(FILM)　    【演出】  田中亮　  金井紘　  三橋利行(FILM)　    【音楽】  fox　capture　plan　    【主題歌】  「ノーダウト」Official髭男dism　    【制作】  フジテレビ</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row>
    <row r="173" ht="204.75" customHeight="1">
      <c r="A173" s="1">
        <v>722.0</v>
      </c>
      <c r="B173" s="2" t="s">
        <v>536</v>
      </c>
      <c r="C173" s="2">
        <f>IFERROR(__xludf.DUMMYFUNCTION("split(B173,""_"")"),1804.0)</f>
        <v>1804</v>
      </c>
      <c r="D173" s="2" t="str">
        <f>IFERROR(__xludf.DUMMYFUNCTION("""COMPUTED_VALUE"""),"CX")</f>
        <v>CX</v>
      </c>
      <c r="E173" s="2" t="str">
        <f>IFERROR(__xludf.DUMMYFUNCTION("""COMPUTED_VALUE"""),"月21")</f>
        <v>月21</v>
      </c>
      <c r="F173" s="2" t="s">
        <v>537</v>
      </c>
      <c r="G173" s="2" t="s">
        <v>557</v>
      </c>
      <c r="H173" s="1">
        <v>7.0</v>
      </c>
      <c r="I173" s="1" t="s">
        <v>25</v>
      </c>
      <c r="J173" s="1" t="s">
        <v>11</v>
      </c>
      <c r="K173" s="2" t="s">
        <v>558</v>
      </c>
      <c r="L173" s="2" t="s">
        <v>559</v>
      </c>
      <c r="M173" s="7" t="str">
        <f>IFERROR(__xludf.DUMMYFUNCTION("split(K173,""html"",false)"),"http://www.fujitv.co.jp/confidenceman_jp/index.")</f>
        <v>http://www.fujitv.co.jp/confidenceman_jp/index.</v>
      </c>
      <c r="N173" s="2" t="str">
        <f>IFERROR(__xludf.DUMMYFUNCTION("""COMPUTED_VALUE"""),"ダー子(長澤まさみ)とボクちゃん(東出昌大)は、リチャード(小日向文世)の知り合いで、服役中の矢島理花(佐津川愛美)という女性が資産家の末娘であることを知る。  理花の父親は、鎌倉に住む資産家で現在闘病中の与論要造(竜雷太)という男だった。五十嵐(小手伸也)によれば、その正体は違法すれすれの株式操作で荒稼ぎしていた経済ヤクザだという。理花は要造が愛人に産ませた子どもだったため、母親や兄姉からひどいいじめを受けていたらしい。ゆえに理花は10歳のときに要造のもとを離れて実母のところに戻ったものの、結局17歳で"&amp;"その家も飛び出してしまっていた。  理花と面会したダー子は、彼女が要造の家を出て以来18年もの間、一度も連絡を取っていなかったことを知ると、理花に成りすまして要造のもとを訪ねる。理花の兄・祐弥(岡田義徳)と姉の弥栄(桜井ユキ)は、突然現れたダー子に疑いの目を向けていた。そんななか、ボクちゃんは、ダー子が要造に話した作り話のせいで、理花を振った造り酒屋の息子役を演じる羽目になり……。長澤まさみ　  東出昌大　  小日向文世　  小手伸也　    〈第7話ゲスト〉  竜雷太　  岡田義徳　  桜井ユキ【脚本】"&amp;"  古沢良太　    【企画】  成河広明　    【プロデュース】  草ヶ谷大輔　  古郡真也(FILM)　    【演出】  田中亮　  金井紘　  三橋利行(FILM)　    【音楽】  fox　capture　plan　    【主題歌】  「ノーダウト」Official髭男dism　    【制作】  フジテレビ")</f>
        <v>ダー子(長澤まさみ)とボクちゃん(東出昌大)は、リチャード(小日向文世)の知り合いで、服役中の矢島理花(佐津川愛美)という女性が資産家の末娘であることを知る。  理花の父親は、鎌倉に住む資産家で現在闘病中の与論要造(竜雷太)という男だった。五十嵐(小手伸也)によれば、その正体は違法すれすれの株式操作で荒稼ぎしていた経済ヤクザだという。理花は要造が愛人に産ませた子どもだったため、母親や兄姉からひどいいじめを受けていたらしい。ゆえに理花は10歳のときに要造のもとを離れて実母のところに戻ったものの、結局17歳でその家も飛び出してしまっていた。  理花と面会したダー子は、彼女が要造の家を出て以来18年もの間、一度も連絡を取っていなかったことを知ると、理花に成りすまして要造のもとを訪ねる。理花の兄・祐弥(岡田義徳)と姉の弥栄(桜井ユキ)は、突然現れたダー子に疑いの目を向けていた。そんななか、ボクちゃんは、ダー子が要造に話した作り話のせいで、理花を振った造り酒屋の息子役を演じる羽目になり……。長澤まさみ　  東出昌大　  小日向文世　  小手伸也　    〈第7話ゲスト〉  竜雷太　  岡田義徳　  桜井ユキ【脚本】  古沢良太　    【企画】  成河広明　    【プロデュース】  草ヶ谷大輔　  古郡真也(FILM)　    【演出】  田中亮　  金井紘　  三橋利行(FILM)　    【音楽】  fox　capture　plan　    【主題歌】  「ノーダウト」Official髭男dism　    【制作】  フジテレビ</v>
      </c>
      <c r="O173" s="2" t="str">
        <f>IFERROR(__xludf.DUMMYFUNCTION("split(N173,""長澤まさみ　"",false)"),"ダー子(長澤まさみ)とボクちゃん(東出昌大)は、リチャード(小日向文世)の知り合いで、服役中の矢島理花(佐津川愛美)という女性が資産家の末娘であることを知る。  理花の父親は、鎌倉に住む資産家で現在闘病中の与論要造(竜雷太)という男だった。五十嵐(小手伸也)によれば、その正体は違法すれすれの株式操作で荒稼ぎしていた経済ヤクザだという。理花は要造が愛人に産ませた子どもだったため、母親や兄姉からひどいいじめを受けていたらしい。ゆえに理花は10歳のときに要造のもとを離れて実母のところに戻ったものの、結局17歳で"&amp;"その家も飛び出してしまっていた。  理花と面会したダー子は、彼女が要造の家を出て以来18年もの間、一度も連絡を取っていなかったことを知ると、理花に成りすまして要造のもとを訪ねる。理花の兄・祐弥(岡田義徳)と姉の弥栄(桜井ユキ)は、突然現れたダー子に疑いの目を向けていた。そんななか、ボクちゃんは、ダー子が要造に話した作り話のせいで、理花を振った造り酒屋の息子役を演じる羽目になり……。")</f>
        <v>ダー子(長澤まさみ)とボクちゃん(東出昌大)は、リチャード(小日向文世)の知り合いで、服役中の矢島理花(佐津川愛美)という女性が資産家の末娘であることを知る。  理花の父親は、鎌倉に住む資産家で現在闘病中の与論要造(竜雷太)という男だった。五十嵐(小手伸也)によれば、その正体は違法すれすれの株式操作で荒稼ぎしていた経済ヤクザだという。理花は要造が愛人に産ませた子どもだったため、母親や兄姉からひどいいじめを受けていたらしい。ゆえに理花は10歳のときに要造のもとを離れて実母のところに戻ったものの、結局17歳でその家も飛び出してしまっていた。  理花と面会したダー子は、彼女が要造の家を出て以来18年もの間、一度も連絡を取っていなかったことを知ると、理花に成りすまして要造のもとを訪ねる。理花の兄・祐弥(岡田義徳)と姉の弥栄(桜井ユキ)は、突然現れたダー子に疑いの目を向けていた。そんななか、ボクちゃんは、ダー子が要造に話した作り話のせいで、理花を振った造り酒屋の息子役を演じる羽目になり……。</v>
      </c>
      <c r="P173" s="2" t="str">
        <f>IFERROR(__xludf.DUMMYFUNCTION("""COMPUTED_VALUE"""),"  東出昌大　  小日向文世　  小手伸也　    〈第7話ゲスト〉  竜雷太　  岡田義徳　  桜井ユキ【脚本】  古沢良太　    【企画】  成河広明　    【プロデュース】  草ヶ谷大輔　  古郡真也(FILM)　    【演出】  田中亮　  金井紘　  三橋利行(FILM)　    【音楽】  fox　capture　plan　    【主題歌】  「ノーダウト」Official髭男dism　    【制作】  フジテレビ")</f>
        <v>  東出昌大　  小日向文世　  小手伸也　    〈第7話ゲスト〉  竜雷太　  岡田義徳　  桜井ユキ【脚本】  古沢良太　    【企画】  成河広明　    【プロデュース】  草ヶ谷大輔　  古郡真也(FILM)　    【演出】  田中亮　  金井紘　  三橋利行(FILM)　    【音楽】  fox　capture　plan　    【主題歌】  「ノーダウト」Official髭男dism　    【制作】  フジテレビ</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row>
    <row r="174" ht="204.75" customHeight="1">
      <c r="A174" s="1">
        <v>723.0</v>
      </c>
      <c r="B174" s="2" t="s">
        <v>536</v>
      </c>
      <c r="C174" s="2">
        <f>IFERROR(__xludf.DUMMYFUNCTION("split(B174,""_"")"),1804.0)</f>
        <v>1804</v>
      </c>
      <c r="D174" s="2" t="str">
        <f>IFERROR(__xludf.DUMMYFUNCTION("""COMPUTED_VALUE"""),"CX")</f>
        <v>CX</v>
      </c>
      <c r="E174" s="2" t="str">
        <f>IFERROR(__xludf.DUMMYFUNCTION("""COMPUTED_VALUE"""),"月21")</f>
        <v>月21</v>
      </c>
      <c r="F174" s="2" t="s">
        <v>537</v>
      </c>
      <c r="G174" s="2" t="s">
        <v>560</v>
      </c>
      <c r="H174" s="1">
        <v>8.0</v>
      </c>
      <c r="I174" s="1" t="s">
        <v>29</v>
      </c>
      <c r="J174" s="1" t="s">
        <v>11</v>
      </c>
      <c r="K174" s="2" t="s">
        <v>561</v>
      </c>
      <c r="L174" s="2" t="s">
        <v>562</v>
      </c>
      <c r="M174" s="7" t="str">
        <f>IFERROR(__xludf.DUMMYFUNCTION("split(K174,""html"",false)"),"http://www.fujitv.co.jp/confidenceman_jp/index.")</f>
        <v>http://www.fujitv.co.jp/confidenceman_jp/index.</v>
      </c>
      <c r="N174" s="2" t="str">
        <f>IFERROR(__xludf.DUMMYFUNCTION("""COMPUTED_VALUE"""),"ダー子(長澤まさみ)とボクちゃん(東出昌大)は、リチャード(小日向文世)からの頼みを引き受け、元モデルで女医の美濃部ミカ(りょう)をターゲットにする。以前リチャードは、福田ほのか(堀川杏美)が経営しているメンズエステ店に通っていた。だが、店を畳んでミカの会社に転職したほのかは、ミカからひどいパワハラを受け続けたことが原因で心身ともに病み、退職に追い込まれてしまったのだ。ほのかは、弁護士を名乗っていたリチャードに、ミカの暴言を録音したボイスレコーダーを託し、謝罪と慰謝料を求めていた。  ミカは、美容整形クリ"&amp;"ニックを開業後『ミカフーズ』『ミカサロン』などさまざまな事業を立ち上げて成功を収めた総合商社『ミカブランド』の代表。その旗艦店は『ミカクリニック』だ。ミカはモデル時代に結婚、二児を設けるも離婚。事業で成功してからは育児もシッター任せにしていた。毎年、ミス・ミカブランドコンテストを主催していたが、1番目立っているのは優勝者ではなく審査委員長のミカ自身という出たがりぶりで、激昂しやすい性格も社内では有名らしい。  リチャードは、ダー子のデリカシーのない発言に憤慨し、ボクちゃんとふたりだけでミカを騙そうとした。"&amp;"しかしミカは、ボクちゃんが考えた作戦には興味を示さなかった。そこでダー子は、フランスの老舗高級ブランドのお家騒動を利用してミカに近づこうとするが…。長澤まさみ　  東出昌大　  小日向文世　  小手伸也　    〈第8話ゲスト〉  りょう【脚本】  古沢良太　    【企画】  成河広明　    【プロデュース】  草ヶ谷大輔　  古郡真也(FILM)　    【演出】  田中亮　  金井紘　  三橋利行(FILM)　    【音楽】  fox　capture　plan　    【主題歌】  「ノーダウト"&amp;"」Official髭男dism　    【制作】  フジテレビ")</f>
        <v>ダー子(長澤まさみ)とボクちゃん(東出昌大)は、リチャード(小日向文世)からの頼みを引き受け、元モデルで女医の美濃部ミカ(りょう)をターゲットにする。以前リチャードは、福田ほのか(堀川杏美)が経営しているメンズエステ店に通っていた。だが、店を畳んでミカの会社に転職したほのかは、ミカからひどいパワハラを受け続けたことが原因で心身ともに病み、退職に追い込まれてしまったのだ。ほのかは、弁護士を名乗っていたリチャードに、ミカの暴言を録音したボイスレコーダーを託し、謝罪と慰謝料を求めていた。  ミカは、美容整形クリニックを開業後『ミカフーズ』『ミカサロン』などさまざまな事業を立ち上げて成功を収めた総合商社『ミカブランド』の代表。その旗艦店は『ミカクリニック』だ。ミカはモデル時代に結婚、二児を設けるも離婚。事業で成功してからは育児もシッター任せにしていた。毎年、ミス・ミカブランドコンテストを主催していたが、1番目立っているのは優勝者ではなく審査委員長のミカ自身という出たがりぶりで、激昂しやすい性格も社内では有名らしい。  リチャードは、ダー子のデリカシーのない発言に憤慨し、ボクちゃんとふたりだけでミカを騙そうとした。しかしミカは、ボクちゃんが考えた作戦には興味を示さなかった。そこでダー子は、フランスの老舗高級ブランドのお家騒動を利用してミカに近づこうとするが…。長澤まさみ　  東出昌大　  小日向文世　  小手伸也　    〈第8話ゲスト〉  りょう【脚本】  古沢良太　    【企画】  成河広明　    【プロデュース】  草ヶ谷大輔　  古郡真也(FILM)　    【演出】  田中亮　  金井紘　  三橋利行(FILM)　    【音楽】  fox　capture　plan　    【主題歌】  「ノーダウト」Official髭男dism　    【制作】  フジテレビ</v>
      </c>
      <c r="O174" s="2" t="str">
        <f>IFERROR(__xludf.DUMMYFUNCTION("split(N174,""長澤まさみ　"",false)"),"ダー子(長澤まさみ)とボクちゃん(東出昌大)は、リチャード(小日向文世)からの頼みを引き受け、元モデルで女医の美濃部ミカ(りょう)をターゲットにする。以前リチャードは、福田ほのか(堀川杏美)が経営しているメンズエステ店に通っていた。だが、店を畳んでミカの会社に転職したほのかは、ミカからひどいパワハラを受け続けたことが原因で心身ともに病み、退職に追い込まれてしまったのだ。ほのかは、弁護士を名乗っていたリチャードに、ミカの暴言を録音したボイスレコーダーを託し、謝罪と慰謝料を求めていた。  ミカは、美容整形クリ"&amp;"ニックを開業後『ミカフーズ』『ミカサロン』などさまざまな事業を立ち上げて成功を収めた総合商社『ミカブランド』の代表。その旗艦店は『ミカクリニック』だ。ミカはモデル時代に結婚、二児を設けるも離婚。事業で成功してからは育児もシッター任せにしていた。毎年、ミス・ミカブランドコンテストを主催していたが、1番目立っているのは優勝者ではなく審査委員長のミカ自身という出たがりぶりで、激昂しやすい性格も社内では有名らしい。  リチャードは、ダー子のデリカシーのない発言に憤慨し、ボクちゃんとふたりだけでミカを騙そうとした。"&amp;"しかしミカは、ボクちゃんが考えた作戦には興味を示さなかった。そこでダー子は、フランスの老舗高級ブランドのお家騒動を利用してミカに近づこうとするが…。")</f>
        <v>ダー子(長澤まさみ)とボクちゃん(東出昌大)は、リチャード(小日向文世)からの頼みを引き受け、元モデルで女医の美濃部ミカ(りょう)をターゲットにする。以前リチャードは、福田ほのか(堀川杏美)が経営しているメンズエステ店に通っていた。だが、店を畳んでミカの会社に転職したほのかは、ミカからひどいパワハラを受け続けたことが原因で心身ともに病み、退職に追い込まれてしまったのだ。ほのかは、弁護士を名乗っていたリチャードに、ミカの暴言を録音したボイスレコーダーを託し、謝罪と慰謝料を求めていた。  ミカは、美容整形クリニックを開業後『ミカフーズ』『ミカサロン』などさまざまな事業を立ち上げて成功を収めた総合商社『ミカブランド』の代表。その旗艦店は『ミカクリニック』だ。ミカはモデル時代に結婚、二児を設けるも離婚。事業で成功してからは育児もシッター任せにしていた。毎年、ミス・ミカブランドコンテストを主催していたが、1番目立っているのは優勝者ではなく審査委員長のミカ自身という出たがりぶりで、激昂しやすい性格も社内では有名らしい。  リチャードは、ダー子のデリカシーのない発言に憤慨し、ボクちゃんとふたりだけでミカを騙そうとした。しかしミカは、ボクちゃんが考えた作戦には興味を示さなかった。そこでダー子は、フランスの老舗高級ブランドのお家騒動を利用してミカに近づこうとするが…。</v>
      </c>
      <c r="P174" s="2" t="str">
        <f>IFERROR(__xludf.DUMMYFUNCTION("""COMPUTED_VALUE"""),"  東出昌大　  小日向文世　  小手伸也　    〈第8話ゲスト〉  りょう【脚本】  古沢良太　    【企画】  成河広明　    【プロデュース】  草ヶ谷大輔　  古郡真也(FILM)　    【演出】  田中亮　  金井紘　  三橋利行(FILM)　    【音楽】  fox　capture　plan　    【主題歌】  「ノーダウト」Official髭男dism　    【制作】  フジテレビ")</f>
        <v>  東出昌大　  小日向文世　  小手伸也　    〈第8話ゲスト〉  りょう【脚本】  古沢良太　    【企画】  成河広明　    【プロデュース】  草ヶ谷大輔　  古郡真也(FILM)　    【演出】  田中亮　  金井紘　  三橋利行(FILM)　    【音楽】  fox　capture　plan　    【主題歌】  「ノーダウト」Official髭男dism　    【制作】  フジテレビ</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row>
    <row r="175" ht="204.75" customHeight="1">
      <c r="A175" s="1">
        <v>724.0</v>
      </c>
      <c r="B175" s="2" t="s">
        <v>536</v>
      </c>
      <c r="C175" s="2">
        <f>IFERROR(__xludf.DUMMYFUNCTION("split(B175,""_"")"),1804.0)</f>
        <v>1804</v>
      </c>
      <c r="D175" s="2" t="str">
        <f>IFERROR(__xludf.DUMMYFUNCTION("""COMPUTED_VALUE"""),"CX")</f>
        <v>CX</v>
      </c>
      <c r="E175" s="2" t="str">
        <f>IFERROR(__xludf.DUMMYFUNCTION("""COMPUTED_VALUE"""),"月21")</f>
        <v>月21</v>
      </c>
      <c r="F175" s="2" t="s">
        <v>537</v>
      </c>
      <c r="G175" s="2" t="s">
        <v>563</v>
      </c>
      <c r="H175" s="1">
        <v>9.0</v>
      </c>
      <c r="I175" s="1" t="s">
        <v>33</v>
      </c>
      <c r="J175" s="1" t="s">
        <v>11</v>
      </c>
      <c r="K175" s="2" t="s">
        <v>564</v>
      </c>
      <c r="L175" s="2" t="s">
        <v>565</v>
      </c>
      <c r="M175" s="7" t="str">
        <f>IFERROR(__xludf.DUMMYFUNCTION("split(K175,""html"",false)"),"http://www.fujitv.co.jp/confidenceman_jp/index.")</f>
        <v>http://www.fujitv.co.jp/confidenceman_jp/index.</v>
      </c>
      <c r="N175" s="2" t="str">
        <f>IFERROR(__xludf.DUMMYFUNCTION("""COMPUTED_VALUE"""),"ダー子(長澤まさみ)、ボクちゃん(東出昌大)、リチャード(小日向文世)は、新たな詐欺のターゲットとして、若くして億万長者となったIT企業の社長・桂公彦(小池徹平)に狙いを定める。  桂は、人気アプリ『モスモス』を開発した株式会社モスモスの代表。大のスポーツ好きでもある桂は、さまざまなプロスポーツクラブを買収してきたが、クラブを私物化し、横暴ともいえる現場介入を繰り返してチームを崩壊させては放り出していた。ダー子たちが桂をターゲットにしたのも、応援していた独立リーグの野球チームと、下部リーグに属する地元のサ"&amp;"ッカーチームを桂によって潰されたちょび髭(瀧川英次)からの要請だった。  ダー子たちは、野球界やサッカー界から締め出されている桂が次に目を付けるのはプロ化目前の卓球だと推測。鴨井ミワ(平野美宇)が所属する『東京ジェッツ』に、ダー子とボクちゃん扮する元中国ナショナルチームの選手が加入したという設定で、桂に買収話を売り込む。しかし桂は、その話には乗ってこなかった。  情報収集を続けていた五十嵐(小手伸也)によれば、どうやら桂はプロバスケットボールチームを狙っているらしい。そこでダー子は、ホームレス同様の生活を"&amp;"送っていた元日本代表候補の半原敦(和田聰宏)や、街中で見つけた外国人らを巻き込み、架空のバスケチーム『熱海チーターズ』を結成するが…。長澤まさみ　  東出昌大　  小日向文世　  小手伸也　    〈第9話ゲスト〉  小池徹平【脚本】  古沢良太　    【企画】  成河広明　    【プロデュース】  草ヶ谷大輔　  古郡真也(FILM)　    【演出】  田中亮　  金井紘　  三橋利行(FILM)　    【音楽】  fox　capture　plan　    【主題歌】  「ノーダウト」Offic"&amp;"ial髭男dism　    【制作】  フジテレビ")</f>
        <v>ダー子(長澤まさみ)、ボクちゃん(東出昌大)、リチャード(小日向文世)は、新たな詐欺のターゲットとして、若くして億万長者となったIT企業の社長・桂公彦(小池徹平)に狙いを定める。  桂は、人気アプリ『モスモス』を開発した株式会社モスモスの代表。大のスポーツ好きでもある桂は、さまざまなプロスポーツクラブを買収してきたが、クラブを私物化し、横暴ともいえる現場介入を繰り返してチームを崩壊させては放り出していた。ダー子たちが桂をターゲットにしたのも、応援していた独立リーグの野球チームと、下部リーグに属する地元のサッカーチームを桂によって潰されたちょび髭(瀧川英次)からの要請だった。  ダー子たちは、野球界やサッカー界から締め出されている桂が次に目を付けるのはプロ化目前の卓球だと推測。鴨井ミワ(平野美宇)が所属する『東京ジェッツ』に、ダー子とボクちゃん扮する元中国ナショナルチームの選手が加入したという設定で、桂に買収話を売り込む。しかし桂は、その話には乗ってこなかった。  情報収集を続けていた五十嵐(小手伸也)によれば、どうやら桂はプロバスケットボールチームを狙っているらしい。そこでダー子は、ホームレス同様の生活を送っていた元日本代表候補の半原敦(和田聰宏)や、街中で見つけた外国人らを巻き込み、架空のバスケチーム『熱海チーターズ』を結成するが…。長澤まさみ　  東出昌大　  小日向文世　  小手伸也　    〈第9話ゲスト〉  小池徹平【脚本】  古沢良太　    【企画】  成河広明　    【プロデュース】  草ヶ谷大輔　  古郡真也(FILM)　    【演出】  田中亮　  金井紘　  三橋利行(FILM)　    【音楽】  fox　capture　plan　    【主題歌】  「ノーダウト」Official髭男dism　    【制作】  フジテレビ</v>
      </c>
      <c r="O175" s="2" t="str">
        <f>IFERROR(__xludf.DUMMYFUNCTION("split(N175,""長澤まさみ　"",false)"),"ダー子(長澤まさみ)、ボクちゃん(東出昌大)、リチャード(小日向文世)は、新たな詐欺のターゲットとして、若くして億万長者となったIT企業の社長・桂公彦(小池徹平)に狙いを定める。  桂は、人気アプリ『モスモス』を開発した株式会社モスモスの代表。大のスポーツ好きでもある桂は、さまざまなプロスポーツクラブを買収してきたが、クラブを私物化し、横暴ともいえる現場介入を繰り返してチームを崩壊させては放り出していた。ダー子たちが桂をターゲットにしたのも、応援していた独立リーグの野球チームと、下部リーグに属する地元のサ"&amp;"ッカーチームを桂によって潰されたちょび髭(瀧川英次)からの要請だった。  ダー子たちは、野球界やサッカー界から締め出されている桂が次に目を付けるのはプロ化目前の卓球だと推測。鴨井ミワ(平野美宇)が所属する『東京ジェッツ』に、ダー子とボクちゃん扮する元中国ナショナルチームの選手が加入したという設定で、桂に買収話を売り込む。しかし桂は、その話には乗ってこなかった。  情報収集を続けていた五十嵐(小手伸也)によれば、どうやら桂はプロバスケットボールチームを狙っているらしい。そこでダー子は、ホームレス同様の生活を"&amp;"送っていた元日本代表候補の半原敦(和田聰宏)や、街中で見つけた外国人らを巻き込み、架空のバスケチーム『熱海チーターズ』を結成するが…。")</f>
        <v>ダー子(長澤まさみ)、ボクちゃん(東出昌大)、リチャード(小日向文世)は、新たな詐欺のターゲットとして、若くして億万長者となったIT企業の社長・桂公彦(小池徹平)に狙いを定める。  桂は、人気アプリ『モスモス』を開発した株式会社モスモスの代表。大のスポーツ好きでもある桂は、さまざまなプロスポーツクラブを買収してきたが、クラブを私物化し、横暴ともいえる現場介入を繰り返してチームを崩壊させては放り出していた。ダー子たちが桂をターゲットにしたのも、応援していた独立リーグの野球チームと、下部リーグに属する地元のサッカーチームを桂によって潰されたちょび髭(瀧川英次)からの要請だった。  ダー子たちは、野球界やサッカー界から締め出されている桂が次に目を付けるのはプロ化目前の卓球だと推測。鴨井ミワ(平野美宇)が所属する『東京ジェッツ』に、ダー子とボクちゃん扮する元中国ナショナルチームの選手が加入したという設定で、桂に買収話を売り込む。しかし桂は、その話には乗ってこなかった。  情報収集を続けていた五十嵐(小手伸也)によれば、どうやら桂はプロバスケットボールチームを狙っているらしい。そこでダー子は、ホームレス同様の生活を送っていた元日本代表候補の半原敦(和田聰宏)や、街中で見つけた外国人らを巻き込み、架空のバスケチーム『熱海チーターズ』を結成するが…。</v>
      </c>
      <c r="P175" s="2" t="str">
        <f>IFERROR(__xludf.DUMMYFUNCTION("""COMPUTED_VALUE"""),"  東出昌大　  小日向文世　  小手伸也　    〈第9話ゲスト〉  小池徹平【脚本】  古沢良太　    【企画】  成河広明　    【プロデュース】  草ヶ谷大輔　  古郡真也(FILM)　    【演出】  田中亮　  金井紘　  三橋利行(FILM)　    【音楽】  fox　capture　plan　    【主題歌】  「ノーダウト」Official髭男dism　    【制作】  フジテレビ")</f>
        <v>  東出昌大　  小日向文世　  小手伸也　    〈第9話ゲスト〉  小池徹平【脚本】  古沢良太　    【企画】  成河広明　    【プロデュース】  草ヶ谷大輔　  古郡真也(FILM)　    【演出】  田中亮　  金井紘　  三橋利行(FILM)　    【音楽】  fox　capture　plan　    【主題歌】  「ノーダウト」Official髭男dism　    【制作】  フジテレビ</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row>
    <row r="176" ht="204.75" customHeight="1">
      <c r="A176" s="1">
        <v>725.0</v>
      </c>
      <c r="B176" s="2" t="s">
        <v>536</v>
      </c>
      <c r="C176" s="2">
        <f>IFERROR(__xludf.DUMMYFUNCTION("split(B176,""_"")"),1804.0)</f>
        <v>1804</v>
      </c>
      <c r="D176" s="2" t="str">
        <f>IFERROR(__xludf.DUMMYFUNCTION("""COMPUTED_VALUE"""),"CX")</f>
        <v>CX</v>
      </c>
      <c r="E176" s="2" t="str">
        <f>IFERROR(__xludf.DUMMYFUNCTION("""COMPUTED_VALUE"""),"月21")</f>
        <v>月21</v>
      </c>
      <c r="F176" s="2" t="s">
        <v>537</v>
      </c>
      <c r="G176" s="2" t="s">
        <v>566</v>
      </c>
      <c r="H176" s="1">
        <v>10.0</v>
      </c>
      <c r="I176" s="1" t="s">
        <v>37</v>
      </c>
      <c r="J176" s="1" t="s">
        <v>4</v>
      </c>
      <c r="K176" s="2" t="s">
        <v>567</v>
      </c>
      <c r="L176" s="2" t="s">
        <v>568</v>
      </c>
      <c r="M176" s="7" t="str">
        <f>IFERROR(__xludf.DUMMYFUNCTION("split(K176,""html"",false)"),"http://www.fujitv.co.jp/confidenceman_jp/index.")</f>
        <v>http://www.fujitv.co.jp/confidenceman_jp/index.</v>
      </c>
      <c r="N176" s="2" t="str">
        <f>IFERROR(__xludf.DUMMYFUNCTION("""COMPUTED_VALUE"""),"ボクちゃん(東出昌大)は、ダー子(長澤まさみ)とリチャード(小日向文世)に、もう十分稼いだのだから詐欺師稼業から足を洗うべきだと忠告し、ふたりのもとを離れる。  それから1年後、引っ越し業の仕事に就いていたボクちゃんは、新人の鉢巻秀男(佐藤隆太)と親しくなる。体が弱かった鉢巻は、親が残してくれた資産を切り崩しながら暮らしており、いままでまともに働いたことがなかったという。だが、結婚詐欺の被害に遭い、すべてを失ってしまったらしい。  6カ月前、結婚相談所に登録した鉢巻は、紹介された早苗という女性と意気投合し"&amp;"、結婚の約束をした。だが早苗は、両親の借金を理由に結婚できなくなったと言い出したらしい。鉢巻は、迷わず全財産の3000万円を早苗に貸したが、その直後から彼女と連絡が取れなくなり、結婚相談所もなくなっていたのだという。鉢巻が描いた早苗と結婚相談所の所長の似顔絵を見たボクちゃんは、それがダー子とリチャードであると確信する。  ボクちゃんは、鉢巻を引き連れてダー子のスイートルームを訪れ、真相を確かめようとする。すると、鉢巻の態度が急変し……。長澤まさみ　  東出昌大　  小日向文世　  小手伸也　    〈第1"&amp;"0話ゲスト〉  佐藤隆太【脚本】  古沢良太　    【企画】  成河広明　    【プロデュース】  草ヶ谷大輔　  古郡真也(FILM)　    【演出】  田中亮　  金井紘　  三橋利行(FILM)　    【音楽】  fox　capture　plan　    【主題歌】  「ノーダウト」Official髭男dism　    【制作】  フジテレビ")</f>
        <v>ボクちゃん(東出昌大)は、ダー子(長澤まさみ)とリチャード(小日向文世)に、もう十分稼いだのだから詐欺師稼業から足を洗うべきだと忠告し、ふたりのもとを離れる。  それから1年後、引っ越し業の仕事に就いていたボクちゃんは、新人の鉢巻秀男(佐藤隆太)と親しくなる。体が弱かった鉢巻は、親が残してくれた資産を切り崩しながら暮らしており、いままでまともに働いたことがなかったという。だが、結婚詐欺の被害に遭い、すべてを失ってしまったらしい。  6カ月前、結婚相談所に登録した鉢巻は、紹介された早苗という女性と意気投合し、結婚の約束をした。だが早苗は、両親の借金を理由に結婚できなくなったと言い出したらしい。鉢巻は、迷わず全財産の3000万円を早苗に貸したが、その直後から彼女と連絡が取れなくなり、結婚相談所もなくなっていたのだという。鉢巻が描いた早苗と結婚相談所の所長の似顔絵を見たボクちゃんは、それがダー子とリチャードであると確信する。  ボクちゃんは、鉢巻を引き連れてダー子のスイートルームを訪れ、真相を確かめようとする。すると、鉢巻の態度が急変し……。長澤まさみ　  東出昌大　  小日向文世　  小手伸也　    〈第10話ゲスト〉  佐藤隆太【脚本】  古沢良太　    【企画】  成河広明　    【プロデュース】  草ヶ谷大輔　  古郡真也(FILM)　    【演出】  田中亮　  金井紘　  三橋利行(FILM)　    【音楽】  fox　capture　plan　    【主題歌】  「ノーダウト」Official髭男dism　    【制作】  フジテレビ</v>
      </c>
      <c r="O176" s="2" t="str">
        <f>IFERROR(__xludf.DUMMYFUNCTION("split(N176,""長澤まさみ　"",false)"),"ボクちゃん(東出昌大)は、ダー子(長澤まさみ)とリチャード(小日向文世)に、もう十分稼いだのだから詐欺師稼業から足を洗うべきだと忠告し、ふたりのもとを離れる。  それから1年後、引っ越し業の仕事に就いていたボクちゃんは、新人の鉢巻秀男(佐藤隆太)と親しくなる。体が弱かった鉢巻は、親が残してくれた資産を切り崩しながら暮らしており、いままでまともに働いたことがなかったという。だが、結婚詐欺の被害に遭い、すべてを失ってしまったらしい。  6カ月前、結婚相談所に登録した鉢巻は、紹介された早苗という女性と意気投合し"&amp;"、結婚の約束をした。だが早苗は、両親の借金を理由に結婚できなくなったと言い出したらしい。鉢巻は、迷わず全財産の3000万円を早苗に貸したが、その直後から彼女と連絡が取れなくなり、結婚相談所もなくなっていたのだという。鉢巻が描いた早苗と結婚相談所の所長の似顔絵を見たボクちゃんは、それがダー子とリチャードであると確信する。  ボクちゃんは、鉢巻を引き連れてダー子のスイートルームを訪れ、真相を確かめようとする。すると、鉢巻の態度が急変し……。")</f>
        <v>ボクちゃん(東出昌大)は、ダー子(長澤まさみ)とリチャード(小日向文世)に、もう十分稼いだのだから詐欺師稼業から足を洗うべきだと忠告し、ふたりのもとを離れる。  それから1年後、引っ越し業の仕事に就いていたボクちゃんは、新人の鉢巻秀男(佐藤隆太)と親しくなる。体が弱かった鉢巻は、親が残してくれた資産を切り崩しながら暮らしており、いままでまともに働いたことがなかったという。だが、結婚詐欺の被害に遭い、すべてを失ってしまったらしい。  6カ月前、結婚相談所に登録した鉢巻は、紹介された早苗という女性と意気投合し、結婚の約束をした。だが早苗は、両親の借金を理由に結婚できなくなったと言い出したらしい。鉢巻は、迷わず全財産の3000万円を早苗に貸したが、その直後から彼女と連絡が取れなくなり、結婚相談所もなくなっていたのだという。鉢巻が描いた早苗と結婚相談所の所長の似顔絵を見たボクちゃんは、それがダー子とリチャードであると確信する。  ボクちゃんは、鉢巻を引き連れてダー子のスイートルームを訪れ、真相を確かめようとする。すると、鉢巻の態度が急変し……。</v>
      </c>
      <c r="P176" s="2" t="str">
        <f>IFERROR(__xludf.DUMMYFUNCTION("""COMPUTED_VALUE"""),"  東出昌大　  小日向文世　  小手伸也　    〈第10話ゲスト〉  佐藤隆太【脚本】  古沢良太　    【企画】  成河広明　    【プロデュース】  草ヶ谷大輔　  古郡真也(FILM)　    【演出】  田中亮　  金井紘　  三橋利行(FILM)　    【音楽】  fox　capture　plan　    【主題歌】  「ノーダウト」Official髭男dism　    【制作】  フジテレビ")</f>
        <v>  東出昌大　  小日向文世　  小手伸也　    〈第10話ゲスト〉  佐藤隆太【脚本】  古沢良太　    【企画】  成河広明　    【プロデュース】  草ヶ谷大輔　  古郡真也(FILM)　    【演出】  田中亮　  金井紘　  三橋利行(FILM)　    【音楽】  fox　capture　plan　    【主題歌】  「ノーダウト」Official髭男dism　    【制作】  フジテレビ</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row>
    <row r="177" ht="204.75" customHeight="1">
      <c r="A177" s="1">
        <v>726.0</v>
      </c>
      <c r="B177" s="2" t="s">
        <v>569</v>
      </c>
      <c r="C177" s="2">
        <f>IFERROR(__xludf.DUMMYFUNCTION("split(B177,""_"")"),1804.0)</f>
        <v>1804</v>
      </c>
      <c r="D177" s="2" t="str">
        <f>IFERROR(__xludf.DUMMYFUNCTION("""COMPUTED_VALUE"""),"CX")</f>
        <v>CX</v>
      </c>
      <c r="E177" s="2" t="str">
        <f>IFERROR(__xludf.DUMMYFUNCTION("""COMPUTED_VALUE"""),"火21")</f>
        <v>火21</v>
      </c>
      <c r="F177" s="2" t="s">
        <v>570</v>
      </c>
      <c r="G177" s="2" t="s">
        <v>571</v>
      </c>
      <c r="H177" s="1">
        <v>1.0</v>
      </c>
      <c r="I177" s="1" t="s">
        <v>3</v>
      </c>
      <c r="J177" s="1" t="s">
        <v>4</v>
      </c>
      <c r="K177" s="2" t="s">
        <v>572</v>
      </c>
      <c r="L177" s="2" t="s">
        <v>573</v>
      </c>
      <c r="M177" s="2" t="str">
        <f>IFERROR(__xludf.DUMMYFUNCTION("split(K177,""坂口健太郎　"",false)"),"15年前、一人の女子児童が下校途中に誘拐された。当時、小学1年生だった三枝健人(坂口健太郎)は連れ去られる被害者を目撃。ある男を指名手配し行方を追う警察に、犯人は女だと訴えるものの、相手にしてもらえない。数日後、女子児童が遺体で発見され、管理官の中本慎之助(渡部篤郎)のもと、刑事の大山剛志(北村一輝)や岩田一夫(甲本雅裕)らは懸命に捜査を続けるが、犯人の手掛かりは得られず、結局、事件は未解決のまま15年の月日が経っていたー。  事件の時効が近づくなか、健人は独学でプロファイリングを学び、ある思いを胸に警察"&amp;"官になっていた。しかし、過去の事件から決して警察を信用することはせず、そのせいで、先輩刑事の桜井美咲(吉瀬美智子)や山田勉(木村祐一)から目をつけられてしまう。  そんなある日の夜、健人は廃棄処分されるはずの無線機から、誰かが自分を呼んでいることに気づく。声の主は大山という刑事で、巡査の健人をなぜか“警部補""と呼んでいた。さらに、健人の情報を元に訪れた病院で、女児誘拐事件で指名手配された男の首つり遺体を発見したという。  大山とは面識がなく、にわかには信じがたい話だったが、「彼は利用されて殺された。誘拐"&amp;"の真犯人は別にいます」という大山の言葉が気になった健人は、ためらいながらも無線越しに聞いた病院へと向かう。  そこに大山の姿はなかったものの、聞いたとおりの場所で白骨遺体を発見して…。")</f>
        <v>15年前、一人の女子児童が下校途中に誘拐された。当時、小学1年生だった三枝健人(坂口健太郎)は連れ去られる被害者を目撃。ある男を指名手配し行方を追う警察に、犯人は女だと訴えるものの、相手にしてもらえない。数日後、女子児童が遺体で発見され、管理官の中本慎之助(渡部篤郎)のもと、刑事の大山剛志(北村一輝)や岩田一夫(甲本雅裕)らは懸命に捜査を続けるが、犯人の手掛かりは得られず、結局、事件は未解決のまま15年の月日が経っていたー。  事件の時効が近づくなか、健人は独学でプロファイリングを学び、ある思いを胸に警察官になっていた。しかし、過去の事件から決して警察を信用することはせず、そのせいで、先輩刑事の桜井美咲(吉瀬美智子)や山田勉(木村祐一)から目をつけられてしまう。  そんなある日の夜、健人は廃棄処分されるはずの無線機から、誰かが自分を呼んでいることに気づく。声の主は大山という刑事で、巡査の健人をなぜか“警部補"と呼んでいた。さらに、健人の情報を元に訪れた病院で、女児誘拐事件で指名手配された男の首つり遺体を発見したという。  大山とは面識がなく、にわかには信じがたい話だったが、「彼は利用されて殺された。誘拐の真犯人は別にいます」という大山の言葉が気になった健人は、ためらいながらも無線越しに聞いた病院へと向かう。  そこに大山の姿はなかったものの、聞いたとおりの場所で白骨遺体を発見して…。</v>
      </c>
      <c r="N177" s="2" t="str">
        <f>IFERROR(__xludf.DUMMYFUNCTION("""COMPUTED_VALUE"""),"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萩原崇(関西テレビ)"&amp;"　  笠置高弘(関西テレビ)　石田麻衣(ホリプロ)　    【制作著作】  関西テレビここだけの(秘)情報が満載!    【公式ホームページ】  https://www.ktv.jp/signal/index.html")</f>
        <v>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　    【制作著作】  関西テレビここだけの(秘)情報が満載!    【公式ホームページ】  https://www.ktv.jp/signal/index.html</v>
      </c>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row>
    <row r="178" ht="204.75" customHeight="1">
      <c r="A178" s="1">
        <v>727.0</v>
      </c>
      <c r="B178" s="2" t="s">
        <v>569</v>
      </c>
      <c r="C178" s="2">
        <f>IFERROR(__xludf.DUMMYFUNCTION("split(B178,""_"")"),1804.0)</f>
        <v>1804</v>
      </c>
      <c r="D178" s="2" t="str">
        <f>IFERROR(__xludf.DUMMYFUNCTION("""COMPUTED_VALUE"""),"CX")</f>
        <v>CX</v>
      </c>
      <c r="E178" s="2" t="str">
        <f>IFERROR(__xludf.DUMMYFUNCTION("""COMPUTED_VALUE"""),"火21")</f>
        <v>火21</v>
      </c>
      <c r="F178" s="2" t="s">
        <v>570</v>
      </c>
      <c r="G178" s="2" t="s">
        <v>574</v>
      </c>
      <c r="H178" s="1">
        <v>2.0</v>
      </c>
      <c r="I178" s="1" t="s">
        <v>7</v>
      </c>
      <c r="J178" s="1" t="s">
        <v>11</v>
      </c>
      <c r="K178" s="2" t="s">
        <v>575</v>
      </c>
      <c r="L178" s="2" t="s">
        <v>576</v>
      </c>
      <c r="M178" s="2" t="str">
        <f>IFERROR(__xludf.DUMMYFUNCTION("split(K178,""坂口健太郎　"",false)"),"三枝健人(坂口健太郎)は、15年前に起きた女児誘拐殺人事件で、被害者の女児を連れ去った謎の女を目撃。警察に訴えるものの相手にされず、事件は間もなく時効を迎えようとしていた。  警察官になった健人はある日、廃棄予定の無線機から声がすることに気付く。声の主は刑事の大山剛志(北村一輝)で、15年前の事件で指名手配された男の遺体を発見したと話す。半信半疑の健人が現場へ向かうと、そこには確かに白骨遺体が。時効成立を前に、犯人の自殺で終わるかに見えた事件。しかし、犯人が女だと断言する健人は、刑事の桜井美咲(吉瀬美智子"&amp;")とともに捜査を再開。捜査線上に浮上した看護師の吉本圭子(長谷川京子)の風貌から、健人はその女こそが真犯人だと確信する。しかし、警察で取り調べを受ける圭子はなかなか口を割らず、時効成立が刻一刻と迫るなか、健人たちには焦りの色が見え始めて…。  やがて、日本での時効撤廃が決まり、警視庁は長期未解決事件捜査班を発足。美咲は班長に任命され、刑事の山田勉(木村祐一)と鑑識官の小島信也(池田鉄洋)が配属される。  一方、健人と一度だけ無線機で交信した大山は、「また無線はつながる。その相手は3年前の私です」と、謎の言"&amp;"葉を残す。  8年後、アメリカでプロファイリングを学んだ健人は、長期未解決事件捜査班に配属される。そして早速、未解決の連続女性殺人事件と対峙することになる。")</f>
        <v>三枝健人(坂口健太郎)は、15年前に起きた女児誘拐殺人事件で、被害者の女児を連れ去った謎の女を目撃。警察に訴えるものの相手にされず、事件は間もなく時効を迎えようとしていた。  警察官になった健人はある日、廃棄予定の無線機から声がすることに気付く。声の主は刑事の大山剛志(北村一輝)で、15年前の事件で指名手配された男の遺体を発見したと話す。半信半疑の健人が現場へ向かうと、そこには確かに白骨遺体が。時効成立を前に、犯人の自殺で終わるかに見えた事件。しかし、犯人が女だと断言する健人は、刑事の桜井美咲(吉瀬美智子)とともに捜査を再開。捜査線上に浮上した看護師の吉本圭子(長谷川京子)の風貌から、健人はその女こそが真犯人だと確信する。しかし、警察で取り調べを受ける圭子はなかなか口を割らず、時効成立が刻一刻と迫るなか、健人たちには焦りの色が見え始めて…。  やがて、日本での時効撤廃が決まり、警視庁は長期未解決事件捜査班を発足。美咲は班長に任命され、刑事の山田勉(木村祐一)と鑑識官の小島信也(池田鉄洋)が配属される。  一方、健人と一度だけ無線機で交信した大山は、「また無線はつながる。その相手は3年前の私です」と、謎の言葉を残す。  8年後、アメリカでプロファイリングを学んだ健人は、長期未解決事件捜査班に配属される。そして早速、未解決の連続女性殺人事件と対峙することになる。</v>
      </c>
      <c r="N178" s="2" t="str">
        <f>IFERROR(__xludf.DUMMYFUNCTION("""COMPUTED_VALUE"""),"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萩原崇(関西テレビ)"&amp;"　  笠置高弘(関西テレビ)　石田麻衣(ホリプロ)　    【制作協力】  ホリプロ　    【制作著作】  関西テレビここだけの(秘)情報が満載!    【公式ホームページ】  https://www.ktv.jp/signal/index.html")</f>
        <v>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　    【制作協力】  ホリプロ　    【制作著作】  関西テレビここだけの(秘)情報が満載!    【公式ホームページ】  https://www.ktv.jp/signal/index.html</v>
      </c>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row>
    <row r="179" ht="204.75" customHeight="1">
      <c r="A179" s="1">
        <v>728.0</v>
      </c>
      <c r="B179" s="2" t="s">
        <v>569</v>
      </c>
      <c r="C179" s="2">
        <f>IFERROR(__xludf.DUMMYFUNCTION("split(B179,""_"")"),1804.0)</f>
        <v>1804</v>
      </c>
      <c r="D179" s="2" t="str">
        <f>IFERROR(__xludf.DUMMYFUNCTION("""COMPUTED_VALUE"""),"CX")</f>
        <v>CX</v>
      </c>
      <c r="E179" s="2" t="str">
        <f>IFERROR(__xludf.DUMMYFUNCTION("""COMPUTED_VALUE"""),"火21")</f>
        <v>火21</v>
      </c>
      <c r="F179" s="2" t="s">
        <v>570</v>
      </c>
      <c r="G179" s="2" t="s">
        <v>577</v>
      </c>
      <c r="H179" s="1">
        <v>3.0</v>
      </c>
      <c r="I179" s="1" t="s">
        <v>10</v>
      </c>
      <c r="J179" s="1" t="s">
        <v>11</v>
      </c>
      <c r="K179" s="2" t="s">
        <v>578</v>
      </c>
      <c r="L179" s="2" t="s">
        <v>579</v>
      </c>
      <c r="M179" s="2" t="str">
        <f>IFERROR(__xludf.DUMMYFUNCTION("split(K179,""坂口健太郎　"",false)"),"2018年、アメリカでの研修を終え、プロファイラーとして警視庁に戻ってきた健人(坂口健太郎)は、美咲(吉瀬美智子)率いる長期未解決事件捜査班に配属され、1997年に女性7人が被害にあった連続殺人事件を再捜査する。その直後、かつて事件解決の糸口となった謎の無線が再びつながり、健人は大山刑事(北村一輝)と8年ぶりに言葉を交わす。しかし、大山はまるで初めて健人と話すかのような口ぶり。その内容から、健人は無線が1997年とつながっているのではないかと考える。  健人の予想通り、無線機越しの大山は、事件発生当時の捜"&amp;"査真っ只中。最初こそ、健人の言葉が信じられなかったが、無線で聞いた通りの場所で襲われている女性を助けたことから、事件を予知した健人の存在が気になり始める。  一方、大山が犯行を未然に防いだことで、2018年にもある変化が。殺されるはずだった5人目の被害者に関する捜査資料の文字が、“遺体発見""から“未遂""に変わり、ほかの犯行現場などもなぜか変わったのだ。しかも、変化に気づいているのは健人だけ。真実を確かめるため、健人は再びつながった無線で、大山のいる世界で今後起きる出来事を伝えると…。  そんな中、ある"&amp;"ことで自信を失いかけていた大山は、行きつけの店で働く北野みどり(佐久間由衣)に心を救われる。自分を更生させてくれた大山に恩義を感じているみどりは元気のない大山を励ますのだが…。")</f>
        <v>2018年、アメリカでの研修を終え、プロファイラーとして警視庁に戻ってきた健人(坂口健太郎)は、美咲(吉瀬美智子)率いる長期未解決事件捜査班に配属され、1997年に女性7人が被害にあった連続殺人事件を再捜査する。その直後、かつて事件解決の糸口となった謎の無線が再びつながり、健人は大山刑事(北村一輝)と8年ぶりに言葉を交わす。しかし、大山はまるで初めて健人と話すかのような口ぶり。その内容から、健人は無線が1997年とつながっているのではないかと考える。  健人の予想通り、無線機越しの大山は、事件発生当時の捜査真っ只中。最初こそ、健人の言葉が信じられなかったが、無線で聞いた通りの場所で襲われている女性を助けたことから、事件を予知した健人の存在が気になり始める。  一方、大山が犯行を未然に防いだことで、2018年にもある変化が。殺されるはずだった5人目の被害者に関する捜査資料の文字が、“遺体発見"から“未遂"に変わり、ほかの犯行現場などもなぜか変わったのだ。しかも、変化に気づいているのは健人だけ。真実を確かめるため、健人は再びつながった無線で、大山のいる世界で今後起きる出来事を伝えると…。  そんな中、あることで自信を失いかけていた大山は、行きつけの店で働く北野みどり(佐久間由衣)に心を救われる。自分を更生させてくれた大山に恩義を感じているみどりは元気のない大山を励ますのだが…。</v>
      </c>
      <c r="N179" s="2" t="str">
        <f>IFERROR(__xludf.DUMMYFUNCTION("""COMPUTED_VALUE"""),"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萩原崇(関西テレビ)"&amp;"　  笠置高弘(関西テレビ)　  石田麻衣(ホリプロ)【制作協力】  ホリプロ　    【制作著作】  関西テレビここだけの(秘)情報が満載!    【公式ホームページ】  https://www.ktv.jp/signal/index.html")</f>
        <v>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石田麻衣(ホリプロ)【制作協力】  ホリプロ　    【制作著作】  関西テレビここだけの(秘)情報が満載!    【公式ホームページ】  https://www.ktv.jp/signal/index.html</v>
      </c>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row>
    <row r="180" ht="204.75" customHeight="1">
      <c r="A180" s="1">
        <v>729.0</v>
      </c>
      <c r="B180" s="2" t="s">
        <v>569</v>
      </c>
      <c r="C180" s="2">
        <f>IFERROR(__xludf.DUMMYFUNCTION("split(B180,""_"")"),1804.0)</f>
        <v>1804</v>
      </c>
      <c r="D180" s="2" t="str">
        <f>IFERROR(__xludf.DUMMYFUNCTION("""COMPUTED_VALUE"""),"CX")</f>
        <v>CX</v>
      </c>
      <c r="E180" s="2" t="str">
        <f>IFERROR(__xludf.DUMMYFUNCTION("""COMPUTED_VALUE"""),"火21")</f>
        <v>火21</v>
      </c>
      <c r="F180" s="2" t="s">
        <v>570</v>
      </c>
      <c r="G180" s="2" t="s">
        <v>580</v>
      </c>
      <c r="H180" s="1">
        <v>4.0</v>
      </c>
      <c r="I180" s="1" t="s">
        <v>14</v>
      </c>
      <c r="J180" s="1" t="s">
        <v>11</v>
      </c>
      <c r="K180" s="2" t="s">
        <v>581</v>
      </c>
      <c r="L180" s="2" t="s">
        <v>582</v>
      </c>
      <c r="M180" s="2" t="str">
        <f>IFERROR(__xludf.DUMMYFUNCTION("split(K180,""坂口健太郎　"",false)"),"1997年の女性連続殺害事件の再捜査を始めた長期未解決事件捜査班。プロファイラーの三枝健人(坂口健太郎)は、8年前に偶然手にした“過去とつながる無線機""が、今度は1997年とつながっていることに気づき、無線の先の大山剛志刑事(北村一輝)に未来の情報を伝え、殺人を未然に防ごうと考える。  一方で、被害者たちが同じ路線バスの乗客だったことが分かり、車内に犯人がいたとにらむ健人。そこで当時バスを運転していた田中修一(モロ師岡)を探すが、その間に唯一田中の手がかりを知っていた元同僚の八代英子(真瀬樹里)が殺害さ"&amp;"れる。さらに、その犯行の特徴は過去の事件と酷似。犯人が再び動き始めたと考えた健人は、次なる被害者を出さないため、無線に呼びかける。  1997年、無線で健人の話を聞いた大山は、次の被害者が顔なじみの北野みどり(佐久間由衣)だと知り激しく動揺。「事態を変えられるのはあなただけだ」健人の言葉に必死でみどりを探し回る。2018年の健人もまた、事態の好転を待つが…。  長期未解決事件捜査班は、英子が口封じのために殺されたと推測。防犯カメラの映像などから、英子殺しの犯人が田中だと突き止め、桜井美咲(吉瀬美智子)が身"&amp;"柄確保に向かう。  その頃、再びバス会社を訪れた健人は、ある重要な事実にたどり着く。事件の全容をつかんだ健人だったが、それは同時に、美咲の身に危険が迫っていることを意味していて…。")</f>
        <v>1997年の女性連続殺害事件の再捜査を始めた長期未解決事件捜査班。プロファイラーの三枝健人(坂口健太郎)は、8年前に偶然手にした“過去とつながる無線機"が、今度は1997年とつながっていることに気づき、無線の先の大山剛志刑事(北村一輝)に未来の情報を伝え、殺人を未然に防ごうと考える。  一方で、被害者たちが同じ路線バスの乗客だったことが分かり、車内に犯人がいたとにらむ健人。そこで当時バスを運転していた田中修一(モロ師岡)を探すが、その間に唯一田中の手がかりを知っていた元同僚の八代英子(真瀬樹里)が殺害される。さらに、その犯行の特徴は過去の事件と酷似。犯人が再び動き始めたと考えた健人は、次なる被害者を出さないため、無線に呼びかける。  1997年、無線で健人の話を聞いた大山は、次の被害者が顔なじみの北野みどり(佐久間由衣)だと知り激しく動揺。「事態を変えられるのはあなただけだ」健人の言葉に必死でみどりを探し回る。2018年の健人もまた、事態の好転を待つが…。  長期未解決事件捜査班は、英子が口封じのために殺されたと推測。防犯カメラの映像などから、英子殺しの犯人が田中だと突き止め、桜井美咲(吉瀬美智子)が身柄確保に向かう。  その頃、再びバス会社を訪れた健人は、ある重要な事実にたどり着く。事件の全容をつかんだ健人だったが、それは同時に、美咲の身に危険が迫っていることを意味していて…。</v>
      </c>
      <c r="N180" s="2" t="str">
        <f>IFERROR(__xludf.DUMMYFUNCTION("""COMPUTED_VALUE"""),"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萩原崇(関西テレビ)"&amp;"　  笠置高弘(関西テレビ)　  石田麻衣(ホリプロ)ここだけの(秘)情報が満載!    【公式ホームページ】  https://www.ktv.jp/signal/index.html")</f>
        <v>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石田麻衣(ホリプロ)ここだけの(秘)情報が満載!    【公式ホームページ】  https://www.ktv.jp/signal/index.html</v>
      </c>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row>
    <row r="181" ht="204.75" customHeight="1">
      <c r="A181" s="1">
        <v>730.0</v>
      </c>
      <c r="B181" s="2" t="s">
        <v>569</v>
      </c>
      <c r="C181" s="2">
        <f>IFERROR(__xludf.DUMMYFUNCTION("split(B181,""_"")"),1804.0)</f>
        <v>1804</v>
      </c>
      <c r="D181" s="2" t="str">
        <f>IFERROR(__xludf.DUMMYFUNCTION("""COMPUTED_VALUE"""),"CX")</f>
        <v>CX</v>
      </c>
      <c r="E181" s="2" t="str">
        <f>IFERROR(__xludf.DUMMYFUNCTION("""COMPUTED_VALUE"""),"火21")</f>
        <v>火21</v>
      </c>
      <c r="F181" s="2" t="s">
        <v>570</v>
      </c>
      <c r="G181" s="2" t="s">
        <v>583</v>
      </c>
      <c r="H181" s="1">
        <v>5.0</v>
      </c>
      <c r="I181" s="1" t="s">
        <v>17</v>
      </c>
      <c r="J181" s="1" t="s">
        <v>11</v>
      </c>
      <c r="K181" s="2" t="s">
        <v>584</v>
      </c>
      <c r="L181" s="2" t="s">
        <v>585</v>
      </c>
      <c r="M181" s="2" t="str">
        <f>IFERROR(__xludf.DUMMYFUNCTION("split(K181,""坂口健太郎　"",false)"),"過去とつながる不思議な無線機を通じて、大山(北村一輝)と事件の捜査をともにした健人(坂口健太郎)は、現在の大山を探し出そうと、かつて同僚だった岩田(甲本雅裕)に話を聞く。すると大山が18年前に失踪し、その後収賄で懲戒免職になったことが分かる。にわかには信じられない健人は、当時大山に金を渡した男を訪ねるが、そこで得たのは両者の間で金銭の授受があった確かな証拠。  ショックを受ける健人だったが、大山が消息を絶った日付が2度目に無線のつながった日で、無線の先で銃声が響いた日であることが気にかかる。警視庁では、そ"&amp;"んな健人の動向をある人物が注意深く監視していた。  1998年の大山は、高級住宅地で起きた連続窃盗事件を追っていた。犯人は同じ地区で1カ月の間に3件、いずれも厳重なセキュリティーを破って被害者宅に侵入。警察は、窃盗の前歴者による犯行も視野に入れ、犯人の特定を急いでいた。前歴者リストには、かつて大山が逮捕した元窃盗犯・工藤(平田満)の名前も。工藤は娘の和美(吉川愛)のために今は真面目に働いていて、和美もまた父を信じてほしいと、大山に懇願する。  行き詰った大山が頭を抱えていると、再び2018年の健人と無線が"&amp;"つながる。事件が20年後も未解決だと知った大山は犯人の情報を教えてほしいと頼むものの「過去を変えるのは危険だ」と拒否する健人。それでも大山はせめて次の犯行日を教えてほしいと頼み…。")</f>
        <v>過去とつながる不思議な無線機を通じて、大山(北村一輝)と事件の捜査をともにした健人(坂口健太郎)は、現在の大山を探し出そうと、かつて同僚だった岩田(甲本雅裕)に話を聞く。すると大山が18年前に失踪し、その後収賄で懲戒免職になったことが分かる。にわかには信じられない健人は、当時大山に金を渡した男を訪ねるが、そこで得たのは両者の間で金銭の授受があった確かな証拠。  ショックを受ける健人だったが、大山が消息を絶った日付が2度目に無線のつながった日で、無線の先で銃声が響いた日であることが気にかかる。警視庁では、そんな健人の動向をある人物が注意深く監視していた。  1998年の大山は、高級住宅地で起きた連続窃盗事件を追っていた。犯人は同じ地区で1カ月の間に3件、いずれも厳重なセキュリティーを破って被害者宅に侵入。警察は、窃盗の前歴者による犯行も視野に入れ、犯人の特定を急いでいた。前歴者リストには、かつて大山が逮捕した元窃盗犯・工藤(平田満)の名前も。工藤は娘の和美(吉川愛)のために今は真面目に働いていて、和美もまた父を信じてほしいと、大山に懇願する。  行き詰った大山が頭を抱えていると、再び2018年の健人と無線がつながる。事件が20年後も未解決だと知った大山は犯人の情報を教えてほしいと頼むものの「過去を変えるのは危険だ」と拒否する健人。それでも大山はせめて次の犯行日を教えてほしいと頼み…。</v>
      </c>
      <c r="N181" s="2" t="str">
        <f>IFERROR(__xludf.DUMMYFUNCTION("""COMPUTED_VALUE"""),"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萩原崇(関西テレビ)"&amp;"　  笠置高弘(関西テレビ)　石田麻衣(ホリプロ)　    【制作協力】  ホリプロ　    【制作著作】  関西テレビここだけの(秘)情報が満載!    【公式ホームページ】  https://www.ktv.jp/signal/index.html")</f>
        <v>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　    【制作協力】  ホリプロ　    【制作著作】  関西テレビここだけの(秘)情報が満載!    【公式ホームページ】  https://www.ktv.jp/signal/index.html</v>
      </c>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row>
    <row r="182" ht="204.75" customHeight="1">
      <c r="A182" s="1">
        <v>731.0</v>
      </c>
      <c r="B182" s="2" t="s">
        <v>569</v>
      </c>
      <c r="C182" s="2">
        <f>IFERROR(__xludf.DUMMYFUNCTION("split(B182,""_"")"),1804.0)</f>
        <v>1804</v>
      </c>
      <c r="D182" s="2" t="str">
        <f>IFERROR(__xludf.DUMMYFUNCTION("""COMPUTED_VALUE"""),"CX")</f>
        <v>CX</v>
      </c>
      <c r="E182" s="2" t="str">
        <f>IFERROR(__xludf.DUMMYFUNCTION("""COMPUTED_VALUE"""),"火21")</f>
        <v>火21</v>
      </c>
      <c r="F182" s="2" t="s">
        <v>570</v>
      </c>
      <c r="G182" s="2" t="s">
        <v>586</v>
      </c>
      <c r="H182" s="1">
        <v>6.0</v>
      </c>
      <c r="I182" s="1" t="s">
        <v>21</v>
      </c>
      <c r="J182" s="1" t="s">
        <v>11</v>
      </c>
      <c r="K182" s="2" t="s">
        <v>587</v>
      </c>
      <c r="L182" s="2" t="s">
        <v>588</v>
      </c>
      <c r="M182" s="2" t="str">
        <f>IFERROR(__xludf.DUMMYFUNCTION("split(K182,""坂口健太郎　"",false)"),"1998年で連続窃盗事件を捜査する大山(北村一輝)から無線で助けを求められた健人(坂口健太郎)は、過去を変えることは危険だと感じつつも、プロファイラーとして解決の糸口を伝える。すると翌日、事件ファイルから捜査に関する記録が消滅。発生から20年後も未解決だったはずの事件は、1998年に元窃盗犯の工藤雅之(平田満)が逮捕されていた。目撃証言に加え、健人の助言通りの場所から指紋が検出されたらしいが、過去の捜査資料によれば、工藤は現場に指紋ひとつ残さない慎重なタイプ。また工藤が逮捕後も否認し続けたことから、健人は"&amp;"、自分の言葉が無実の罪を生んだのではないかと動揺する。  その矢先、刑期を終えたばかりの工藤が誘拐事件を起こす。被害者の矢部香織(野崎萌香)は両親と暮らす自宅で拉致された後、行方が分からなくなっていた。捜査本部は金銭目当ての犯行と断定するが、現場に多くの証拠が残されていることに違和感を覚えた健人は、犯行の動機が怨恨ではないかと推理。無線で確かめようとすると、大山は、健人が最も恐れていた事態について話し始める。  一方、香織本人からの電話がきっかけで、監禁場所を特定した美咲(吉瀬美智子)たち。そこへ健人から"&amp;"連絡が。実は、工藤が連続窃盗犯の容疑者として連行された直後、その娘が事故で焼死。その際、香織とその父・英介(小須田康人)との間にある接点が生まれたと話す。")</f>
        <v>1998年で連続窃盗事件を捜査する大山(北村一輝)から無線で助けを求められた健人(坂口健太郎)は、過去を変えることは危険だと感じつつも、プロファイラーとして解決の糸口を伝える。すると翌日、事件ファイルから捜査に関する記録が消滅。発生から20年後も未解決だったはずの事件は、1998年に元窃盗犯の工藤雅之(平田満)が逮捕されていた。目撃証言に加え、健人の助言通りの場所から指紋が検出されたらしいが、過去の捜査資料によれば、工藤は現場に指紋ひとつ残さない慎重なタイプ。また工藤が逮捕後も否認し続けたことから、健人は、自分の言葉が無実の罪を生んだのではないかと動揺する。  その矢先、刑期を終えたばかりの工藤が誘拐事件を起こす。被害者の矢部香織(野崎萌香)は両親と暮らす自宅で拉致された後、行方が分からなくなっていた。捜査本部は金銭目当ての犯行と断定するが、現場に多くの証拠が残されていることに違和感を覚えた健人は、犯行の動機が怨恨ではないかと推理。無線で確かめようとすると、大山は、健人が最も恐れていた事態について話し始める。  一方、香織本人からの電話がきっかけで、監禁場所を特定した美咲(吉瀬美智子)たち。そこへ健人から連絡が。実は、工藤が連続窃盗犯の容疑者として連行された直後、その娘が事故で焼死。その際、香織とその父・英介(小須田康人)との間にある接点が生まれたと話す。</v>
      </c>
      <c r="N182" s="2" t="str">
        <f>IFERROR(__xludf.DUMMYFUNCTION("""COMPUTED_VALUE"""),"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萩原崇(関西テレビ)"&amp;"　  笠置高弘(関西テレビ)　  石田麻衣(ホリプロ)【制作協力】  ホリプロ　    【制作著作】  関西テレビここだけの(秘)情報が満載!    【公式ホームページ】  https://www.ktv.jp/signal/index.html")</f>
        <v>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石田麻衣(ホリプロ)【制作協力】  ホリプロ　    【制作著作】  関西テレビここだけの(秘)情報が満載!    【公式ホームページ】  https://www.ktv.jp/signal/index.html</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row>
    <row r="183" ht="204.75" customHeight="1">
      <c r="A183" s="1">
        <v>732.0</v>
      </c>
      <c r="B183" s="2" t="s">
        <v>569</v>
      </c>
      <c r="C183" s="2">
        <f>IFERROR(__xludf.DUMMYFUNCTION("split(B183,""_"")"),1804.0)</f>
        <v>1804</v>
      </c>
      <c r="D183" s="2" t="str">
        <f>IFERROR(__xludf.DUMMYFUNCTION("""COMPUTED_VALUE"""),"CX")</f>
        <v>CX</v>
      </c>
      <c r="E183" s="2" t="str">
        <f>IFERROR(__xludf.DUMMYFUNCTION("""COMPUTED_VALUE"""),"火21")</f>
        <v>火21</v>
      </c>
      <c r="F183" s="2" t="s">
        <v>570</v>
      </c>
      <c r="G183" s="2" t="s">
        <v>589</v>
      </c>
      <c r="H183" s="1">
        <v>7.0</v>
      </c>
      <c r="I183" s="1" t="s">
        <v>25</v>
      </c>
      <c r="J183" s="1" t="s">
        <v>11</v>
      </c>
      <c r="K183" s="2" t="s">
        <v>590</v>
      </c>
      <c r="L183" s="2" t="s">
        <v>591</v>
      </c>
      <c r="M183" s="2" t="str">
        <f>IFERROR(__xludf.DUMMYFUNCTION("split(K183,""坂口健太郎　"",false)"),"1998年に連続窃盗事件の犯人として逮捕された工藤雅之(平田満)が出所直後に起こした、大学教授・矢部香織(野崎萌香)の誘拐事件。それは、当時愛娘をバス事故で亡くした工藤が立てた、香織の父・英介(小須田康人)への復讐計画だった。  健人(坂口健太郎)から工藤の計画を聞いた美咲(吉瀬美智子)は、すぐさま20年前の事故現場へ。そこで、香織を監禁していると思われる冷凍車を発見するが、それは矢部の殺害をもくろむ工藤のわな。冷凍車は炎に包まれ、燃え跡からは美咲の遺体が見つかる。美咲の死に大きなショックを受けた健人は、"&amp;"真犯人を捕まえて未来を変えることを思いつく。  その頃、1998年の大山(北村一輝)は、連続窃盗事件で工藤を犯人だと証言した被害者宅の息子・白石智弘(白石隼也)の自作自演ではないかと疑っていた。窃盗事件の全容を見直した健人もまた同じ考えで、2人は再び協力して真犯人逮捕へと動き出す。智弘が隠した盗品を探していた大山は、3件の被害者宅の息子が、いずれも同じヨットクラブに所属していたという健人の言葉を思い出し、智弘が所有するクルーザーを捜索。すると、思いがけないものが見つかり、大山はすぐに逮捕状を請求しようとす"&amp;"る。しかし、智弘の父親は経済界の権力者であることから、岩田(甲本雅裕)は大山の願いを聞き入れようとしない。  一方、工藤と智弘の接点を探していた健人も、ある事実を見つける。")</f>
        <v>1998年に連続窃盗事件の犯人として逮捕された工藤雅之(平田満)が出所直後に起こした、大学教授・矢部香織(野崎萌香)の誘拐事件。それは、当時愛娘をバス事故で亡くした工藤が立てた、香織の父・英介(小須田康人)への復讐計画だった。  健人(坂口健太郎)から工藤の計画を聞いた美咲(吉瀬美智子)は、すぐさま20年前の事故現場へ。そこで、香織を監禁していると思われる冷凍車を発見するが、それは矢部の殺害をもくろむ工藤のわな。冷凍車は炎に包まれ、燃え跡からは美咲の遺体が見つかる。美咲の死に大きなショックを受けた健人は、真犯人を捕まえて未来を変えることを思いつく。  その頃、1998年の大山(北村一輝)は、連続窃盗事件で工藤を犯人だと証言した被害者宅の息子・白石智弘(白石隼也)の自作自演ではないかと疑っていた。窃盗事件の全容を見直した健人もまた同じ考えで、2人は再び協力して真犯人逮捕へと動き出す。智弘が隠した盗品を探していた大山は、3件の被害者宅の息子が、いずれも同じヨットクラブに所属していたという健人の言葉を思い出し、智弘が所有するクルーザーを捜索。すると、思いがけないものが見つかり、大山はすぐに逮捕状を請求しようとする。しかし、智弘の父親は経済界の権力者であることから、岩田(甲本雅裕)は大山の願いを聞き入れようとしない。  一方、工藤と智弘の接点を探していた健人も、ある事実を見つける。</v>
      </c>
      <c r="N183" s="2" t="str">
        <f>IFERROR(__xludf.DUMMYFUNCTION("""COMPUTED_VALUE"""),"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萩原崇(関西テレビ)"&amp;"　  笠置高弘(関西テレビ)　  石田麻衣(ホリプロ)【制作協力】  ホリプロ　    【制作著作】  関西テレビここだけの(秘)情報が満載!    【公式ホームページ】  https://www.ktv.jp/signal/index.html")</f>
        <v>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石田麻衣(ホリプロ)【制作協力】  ホリプロ　    【制作著作】  関西テレビここだけの(秘)情報が満載!    【公式ホームページ】  https://www.ktv.jp/signal/index.html</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row>
    <row r="184" ht="204.75" customHeight="1">
      <c r="A184" s="1">
        <v>733.0</v>
      </c>
      <c r="B184" s="2" t="s">
        <v>569</v>
      </c>
      <c r="C184" s="2">
        <f>IFERROR(__xludf.DUMMYFUNCTION("split(B184,""_"")"),1804.0)</f>
        <v>1804</v>
      </c>
      <c r="D184" s="2" t="str">
        <f>IFERROR(__xludf.DUMMYFUNCTION("""COMPUTED_VALUE"""),"CX")</f>
        <v>CX</v>
      </c>
      <c r="E184" s="2" t="str">
        <f>IFERROR(__xludf.DUMMYFUNCTION("""COMPUTED_VALUE"""),"火21")</f>
        <v>火21</v>
      </c>
      <c r="F184" s="2" t="s">
        <v>570</v>
      </c>
      <c r="G184" s="2" t="s">
        <v>592</v>
      </c>
      <c r="H184" s="1">
        <v>8.0</v>
      </c>
      <c r="I184" s="1" t="s">
        <v>29</v>
      </c>
      <c r="J184" s="1" t="s">
        <v>11</v>
      </c>
      <c r="K184" s="2" t="s">
        <v>593</v>
      </c>
      <c r="L184" s="2" t="s">
        <v>594</v>
      </c>
      <c r="M184" s="2" t="str">
        <f>IFERROR(__xludf.DUMMYFUNCTION("split(K184,""坂口健太郎　"",false)"),"大山(北村一輝)は、連続窃盗事件の押収品の中から衆議院議員・野沢義男(西岡徳馬)の収賄の証拠を見つけるが、野沢の息がかかった中本(渡部篤郎)にもみ消され怒りに震える。その頃、一連の窃盗事件のてん末を知った健人(坂口健太郎)もまた、理不尽な世の中に嫌気がさしていた。そんな健人と大山のやり取りを物陰で聞いていた岩田(甲本雅裕)は、なぜか激しく動揺する。数日後、岩田は健人の兄が“加藤亮太""だと知った中本から、健人の行動を監視するよう命じられる。  一方の健人は大山に、これから武蔵野市で起きる集団暴行事件の真相"&amp;"を教えてほしいと頼む。それは、健人の兄・亮太(神尾楓珠)が主犯として逮捕された事件だった。健人の動きを察知した岩田は、事件の真相を調べるのは危険だと忠告する。しかし健人の強い覚悟を知ると、“すべてを教えてやる""と健人を呼び出す。急いで待ち合わせ場所へ向かう健人だったが、そこにいたのは、何者かに襲われた岩田だった。  1999年、複数の男に乱暴された女子生徒・井口奈々(山田愛奈)が、高校の屋上から飛び降りる事件が発生する。健人の言葉を思い出し、大山は自ら捜査員に名乗りを上げる。  その頃、岩田の襲撃現場に"&amp;"居合わせた健人は容疑者として捜査対象に。取調べでかたくなに口を閉ざす健人に、美咲(吉瀬美智子)が「あなたを助けたい」と声をかけると、健人は瀕死の岩田が告げた驚がくの事実を打ち明ける。")</f>
        <v>大山(北村一輝)は、連続窃盗事件の押収品の中から衆議院議員・野沢義男(西岡徳馬)の収賄の証拠を見つけるが、野沢の息がかかった中本(渡部篤郎)にもみ消され怒りに震える。その頃、一連の窃盗事件のてん末を知った健人(坂口健太郎)もまた、理不尽な世の中に嫌気がさしていた。そんな健人と大山のやり取りを物陰で聞いていた岩田(甲本雅裕)は、なぜか激しく動揺する。数日後、岩田は健人の兄が“加藤亮太"だと知った中本から、健人の行動を監視するよう命じられる。  一方の健人は大山に、これから武蔵野市で起きる集団暴行事件の真相を教えてほしいと頼む。それは、健人の兄・亮太(神尾楓珠)が主犯として逮捕された事件だった。健人の動きを察知した岩田は、事件の真相を調べるのは危険だと忠告する。しかし健人の強い覚悟を知ると、“すべてを教えてやる"と健人を呼び出す。急いで待ち合わせ場所へ向かう健人だったが、そこにいたのは、何者かに襲われた岩田だった。  1999年、複数の男に乱暴された女子生徒・井口奈々(山田愛奈)が、高校の屋上から飛び降りる事件が発生する。健人の言葉を思い出し、大山は自ら捜査員に名乗りを上げる。  その頃、岩田の襲撃現場に居合わせた健人は容疑者として捜査対象に。取調べでかたくなに口を閉ざす健人に、美咲(吉瀬美智子)が「あなたを助けたい」と声をかけると、健人は瀕死の岩田が告げた驚がくの事実を打ち明ける。</v>
      </c>
      <c r="N184" s="2" t="str">
        <f>IFERROR(__xludf.DUMMYFUNCTION("""COMPUTED_VALUE"""),"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萩原崇(関西テレビ)"&amp;"　  笠置高弘(関西テレビ)　石田麻衣(ホリプロ)　    【制作協力】  ホリプロ　    【制作著作】  関西テレビここだけの(秘)情報が満載!    【公式ホームページ】  https://www.ktv.jp/signal/index.html")</f>
        <v>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　    【制作協力】  ホリプロ　    【制作著作】  関西テレビここだけの(秘)情報が満載!    【公式ホームページ】  https://www.ktv.jp/signal/index.html</v>
      </c>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row>
    <row r="185" ht="204.75" customHeight="1">
      <c r="A185" s="1">
        <v>734.0</v>
      </c>
      <c r="B185" s="2" t="s">
        <v>569</v>
      </c>
      <c r="C185" s="2">
        <f>IFERROR(__xludf.DUMMYFUNCTION("split(B185,""_"")"),1804.0)</f>
        <v>1804</v>
      </c>
      <c r="D185" s="2" t="str">
        <f>IFERROR(__xludf.DUMMYFUNCTION("""COMPUTED_VALUE"""),"CX")</f>
        <v>CX</v>
      </c>
      <c r="E185" s="2" t="str">
        <f>IFERROR(__xludf.DUMMYFUNCTION("""COMPUTED_VALUE"""),"火21")</f>
        <v>火21</v>
      </c>
      <c r="F185" s="2" t="s">
        <v>570</v>
      </c>
      <c r="G185" s="2" t="s">
        <v>595</v>
      </c>
      <c r="H185" s="1">
        <v>9.0</v>
      </c>
      <c r="I185" s="1" t="s">
        <v>33</v>
      </c>
      <c r="J185" s="1" t="s">
        <v>11</v>
      </c>
      <c r="K185" s="2" t="s">
        <v>596</v>
      </c>
      <c r="L185" s="2" t="s">
        <v>597</v>
      </c>
      <c r="M185" s="2" t="str">
        <f>IFERROR(__xludf.DUMMYFUNCTION("split(K185,""坂口健太郎　"",false)"),"岩田(甲本雅裕)が死の直前に残した言葉がきっかけで、白骨化した大山(北村一輝)の遺体を発見した健人(坂口健太郎)と美咲(吉瀬美智子)。悲しみに暮れる美咲のそばで、健人は遺品から一枚の名刺を見つける。それは、兄・亮太(神尾楓珠)の逮捕後、幼い健人が通った焼き鳥店のものだった。  1999年、亮太が集団暴行事件の主犯として逮捕され、加害者家族となった健人は、母親と離れて親戚の家へ。大山は中本(渡部篤郎)が誰かをかばうために亮太を陥れたことに気付くが、強大な権力を前になすすべもなく、己の無力さを感じていた。そし"&amp;"て、せめて健人が食べるものに困らず、寂しさに負けないよう、人知れず健人を見守っていた。  2018年、名刺の焼き鳥店を久しぶりに訪れ、おかみ(濱田マリ)から当時の話を聞いた健人は、初めて知る大山の優しさに胸を熱くする。そして、やがて命を落とす大山の未来を変えようと、事件から手を引いてほしいと頼み込む。その口ぶりから、大山はこの先自分の身に何が起きるか察するが、過去が変わることで健人に幸せを手にしてほしいと願う大山はそれを拒否。無線の先の健人に「必ず真実を暴いてみせる」と告げる。  やがて、大山と岩田の死に"&amp;"警察関係者が関与していることに気付いた健人と美咲は、集団暴行事件を洗い直すことに。被害者の井口奈々(映美くらら)を見つけ出し、話を聞きに行くと、思いもよらぬ事実が明らかになる。")</f>
        <v>岩田(甲本雅裕)が死の直前に残した言葉がきっかけで、白骨化した大山(北村一輝)の遺体を発見した健人(坂口健太郎)と美咲(吉瀬美智子)。悲しみに暮れる美咲のそばで、健人は遺品から一枚の名刺を見つける。それは、兄・亮太(神尾楓珠)の逮捕後、幼い健人が通った焼き鳥店のものだった。  1999年、亮太が集団暴行事件の主犯として逮捕され、加害者家族となった健人は、母親と離れて親戚の家へ。大山は中本(渡部篤郎)が誰かをかばうために亮太を陥れたことに気付くが、強大な権力を前になすすべもなく、己の無力さを感じていた。そして、せめて健人が食べるものに困らず、寂しさに負けないよう、人知れず健人を見守っていた。  2018年、名刺の焼き鳥店を久しぶりに訪れ、おかみ(濱田マリ)から当時の話を聞いた健人は、初めて知る大山の優しさに胸を熱くする。そして、やがて命を落とす大山の未来を変えようと、事件から手を引いてほしいと頼み込む。その口ぶりから、大山はこの先自分の身に何が起きるか察するが、過去が変わることで健人に幸せを手にしてほしいと願う大山はそれを拒否。無線の先の健人に「必ず真実を暴いてみせる」と告げる。  やがて、大山と岩田の死に警察関係者が関与していることに気付いた健人と美咲は、集団暴行事件を洗い直すことに。被害者の井口奈々(映美くらら)を見つけ出し、話を聞きに行くと、思いもよらぬ事実が明らかになる。</v>
      </c>
      <c r="N185" s="2" t="str">
        <f>IFERROR(__xludf.DUMMYFUNCTION("""COMPUTED_VALUE"""),"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萩原崇(関西テレビ)"&amp;"　  笠置高弘(関西テレビ)　石田麻衣(ホリプロ)　    【制作協力】  ホリプロ　    【制作著作】  関西テレビここだけの(秘)情報が満載!    【公式ホームページ】  https://www.ktv.jp/signal/index.html")</f>
        <v>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　    【制作協力】  ホリプロ　    【制作著作】  関西テレビここだけの(秘)情報が満載!    【公式ホームページ】  https://www.ktv.jp/signal/index.html</v>
      </c>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row>
    <row r="186" ht="204.75" customHeight="1">
      <c r="A186" s="1">
        <v>735.0</v>
      </c>
      <c r="B186" s="2" t="s">
        <v>569</v>
      </c>
      <c r="C186" s="2">
        <f>IFERROR(__xludf.DUMMYFUNCTION("split(B186,""_"")"),1804.0)</f>
        <v>1804</v>
      </c>
      <c r="D186" s="2" t="str">
        <f>IFERROR(__xludf.DUMMYFUNCTION("""COMPUTED_VALUE"""),"CX")</f>
        <v>CX</v>
      </c>
      <c r="E186" s="2" t="str">
        <f>IFERROR(__xludf.DUMMYFUNCTION("""COMPUTED_VALUE"""),"火21")</f>
        <v>火21</v>
      </c>
      <c r="F186" s="2" t="s">
        <v>570</v>
      </c>
      <c r="G186" s="2" t="s">
        <v>598</v>
      </c>
      <c r="H186" s="1">
        <v>10.0</v>
      </c>
      <c r="I186" s="1" t="s">
        <v>37</v>
      </c>
      <c r="J186" s="1" t="s">
        <v>4</v>
      </c>
      <c r="K186" s="2" t="s">
        <v>599</v>
      </c>
      <c r="L186" s="2" t="s">
        <v>600</v>
      </c>
      <c r="M186" s="2" t="str">
        <f>IFERROR(__xludf.DUMMYFUNCTION("split(K186,""坂口健太郎　"",false)"),"大山(北村一輝)の死の真相を突き止めるため、武蔵野市集団暴行事件の被害者・井口奈々(映美くらら)に会いに行った健人(坂口健太郎)と美咲(吉瀬美智子)。奈々は、健人が事件の主犯として逮捕された亮太(神尾楓珠)の弟だと知ると、重い口を開き、19年前の真相を語り出す。そして少年院にいた亮太から届いた一通の手紙の内容から、亮太が自殺などするはずがないと訴える。奈々の言葉で兄の自殺に疑念を抱いた健人は、岩田(甲本雅裕)の死の直前の足取りを追う。すると、亮太の死が他殺という証拠にたどり着き、事件の裏にいる黒幕の正体に"&amp;"も気付く。  何としても亮太を助けたい健人は、大山の身に危険がおよぶことを覚悟のうえで、過去を変えるため、美咲の前で無線機を取り出す。見覚えのある大山の無線機を持っている健人を見て動揺する美咲。健人はこれまでに起きた不思議な出来事をすべて打ち明け、美咲の前で「3月20日、兄は自宅で殺されます!助けてください!」と大山に助けを求める。  健人と無線で交信する数時間前、2000年の大山は少年院を出たばかりの亮太から連絡を受けていた。真犯人の証拠を持っているという。その矢先、健人から亮太の死が他殺だと知らされた"&amp;"大山は、急いで亮太の元へ。一方、大山の身にも危険が迫っていた。過去が変えられると知った以上、何とかして大山の死を防ぎたい美咲は、無線機を使って18年ぶりに大山と言葉を交わし…。")</f>
        <v>大山(北村一輝)の死の真相を突き止めるため、武蔵野市集団暴行事件の被害者・井口奈々(映美くらら)に会いに行った健人(坂口健太郎)と美咲(吉瀬美智子)。奈々は、健人が事件の主犯として逮捕された亮太(神尾楓珠)の弟だと知ると、重い口を開き、19年前の真相を語り出す。そして少年院にいた亮太から届いた一通の手紙の内容から、亮太が自殺などするはずがないと訴える。奈々の言葉で兄の自殺に疑念を抱いた健人は、岩田(甲本雅裕)の死の直前の足取りを追う。すると、亮太の死が他殺という証拠にたどり着き、事件の裏にいる黒幕の正体にも気付く。  何としても亮太を助けたい健人は、大山の身に危険がおよぶことを覚悟のうえで、過去を変えるため、美咲の前で無線機を取り出す。見覚えのある大山の無線機を持っている健人を見て動揺する美咲。健人はこれまでに起きた不思議な出来事をすべて打ち明け、美咲の前で「3月20日、兄は自宅で殺されます!助けてください!」と大山に助けを求める。  健人と無線で交信する数時間前、2000年の大山は少年院を出たばかりの亮太から連絡を受けていた。真犯人の証拠を持っているという。その矢先、健人から亮太の死が他殺だと知らされた大山は、急いで亮太の元へ。一方、大山の身にも危険が迫っていた。過去が変えられると知った以上、何とかして大山の死を防ぎたい美咲は、無線機を使って18年ぶりに大山と言葉を交わし…。</v>
      </c>
      <c r="N186" s="2" t="str">
        <f>IFERROR(__xludf.DUMMYFUNCTION("""COMPUTED_VALUE"""),"  北村一輝　  吉瀬美智子　    木村祐一　  池田鉄洋　  青野楓　  神尾楓珠　    甲本雅裕　  渡部篤郎【原作】  『シグナル』  脚本:キム・ウニ　  制作:Studio　Dragon　&amp;　ASTORY　    【脚本】  尾崎将也　    【演出】  内片輝　  鈴木浩介　    【音楽】  林ゆうき　  橘麻美　    【プロデューサー】  萩原崇(関西テレビ)　  笠置高弘(関西テレビ)　  石田麻衣(ホリプロ)　    【制作協力】  ホリプロ　    【制作著作】  関西テレビこ"&amp;"こだけの(秘)情報が満載!    【公式ホームページ】  https://www.ktv.jp/signal/index.html")</f>
        <v>  北村一輝　  吉瀬美智子　    木村祐一　  池田鉄洋　  青野楓　  神尾楓珠　    甲本雅裕　  渡部篤郎【原作】  『シグナル』  脚本:キム・ウニ　  制作:Studio　Dragon　&amp;　ASTORY　    【脚本】  尾崎将也　    【演出】  内片輝　  鈴木浩介　    【音楽】  林ゆうき　  橘麻美　    【プロデューサー】  萩原崇(関西テレビ)　  笠置高弘(関西テレビ)　  石田麻衣(ホリプロ)　    【制作協力】  ホリプロ　    【制作著作】  関西テレビここだけの(秘)情報が満載!    【公式ホームページ】  https://www.ktv.jp/signal/index.html</v>
      </c>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row>
    <row r="187" ht="204.75" customHeight="1">
      <c r="A187" s="1">
        <v>765.0</v>
      </c>
      <c r="B187" s="2" t="s">
        <v>601</v>
      </c>
      <c r="C187" s="2">
        <f>IFERROR(__xludf.DUMMYFUNCTION("split(B187,""_"")"),1804.0)</f>
        <v>1804</v>
      </c>
      <c r="D187" s="2" t="str">
        <f>IFERROR(__xludf.DUMMYFUNCTION("""COMPUTED_VALUE"""),"CX")</f>
        <v>CX</v>
      </c>
      <c r="E187" s="2" t="str">
        <f>IFERROR(__xludf.DUMMYFUNCTION("""COMPUTED_VALUE"""),"木22")</f>
        <v>木22</v>
      </c>
      <c r="F187" s="2" t="s">
        <v>602</v>
      </c>
      <c r="G187" s="2" t="s">
        <v>603</v>
      </c>
      <c r="H187" s="1">
        <v>1.0</v>
      </c>
      <c r="I187" s="1" t="s">
        <v>3</v>
      </c>
      <c r="J187" s="1" t="s">
        <v>82</v>
      </c>
      <c r="K187" s="2" t="s">
        <v>604</v>
      </c>
      <c r="L187" s="2" t="s">
        <v>605</v>
      </c>
      <c r="M187" s="2" t="str">
        <f>IFERROR(__xludf.DUMMYFUNCTION("split(K187,""ディーン・フジオカ　"",false)"),"恋人、親友、同僚、家族…あなたの最も信頼する人が、あなたを地獄に引きずり下ろす人物だったらー。微笑みの下に隠した悪意が交錯する時、運命の歯車が音を立てて狂い始める…。「巌窟王」の名で知られる復讐劇の決定版「モンテ・クリスト伯」が現代日本に蘇る!静かな港町で暮らす純朴な青年が辿る、壮絶な大河ドラマ!裏切り・罠・どんでん返しが止まらない!禁断のストーリー展開と映像美で贈るノンストップエンタテインメント2003年春。小さな漁師町で漁業を営む柴門暖(ディーン・フジオカ)は、同じ町で喫茶店「シンドバッド」を経営する"&amp;"目黒すみれ(山本美月)にプロポーズ。思いは受け入れられ、2人は結婚式に向けて幸せの絶頂にいた。  しかし、その矢先、暖の乗る遠洋漁船「海進丸」が遭難。暖の後輩、南条幸男(大倉忠義)は心配して「シンドバッド」へ。すみれは暖の帰還を信じ、努めて明るく振舞っている。「海進丸」が所属する守尾漁業でも、社長の守尾英一朗(木下ほうか)、船員だが今回の航海にはけがで出られなかった神楽清(新井浩文)たちが憔悴しながらも暖たちの無事を願う。  そんな守尾の事務所を漁協の組合長・遠藤勝也が訪ねて来る。遠藤はもう2週間にも及ぶ"&amp;"遭難で捜索費がかさんでいることを守尾に告げた。守尾は船長のバラジ・イスワランが優秀なので、みんな生きて帰ると譲らない。だが、遠藤はバラジを不安に思っている。バラジはテロ組織のメンバーではないかと疑われていたからだ。それでも、守尾は船員たちを信じていた。暖の実家では、母親の恵(風吹ジュン)が地上げ屋の寺角類(渋川清彦)と対峙していた。と、そこに「海進丸」帰港の連絡が入る。迎えに来たすみれと港に急ぐ恵。船員たちが上陸する中、暖もけがはしたが生還を果たす。亡くなったのは船長のバラジだけ。  すると、バラジの遺体"&amp;"を調べる男たちが…。刑事の入間公平(高橋克典)の姿もあった。")</f>
        <v>恋人、親友、同僚、家族…あなたの最も信頼する人が、あなたを地獄に引きずり下ろす人物だったらー。微笑みの下に隠した悪意が交錯する時、運命の歯車が音を立てて狂い始める…。「巌窟王」の名で知られる復讐劇の決定版「モンテ・クリスト伯」が現代日本に蘇る!静かな港町で暮らす純朴な青年が辿る、壮絶な大河ドラマ!裏切り・罠・どんでん返しが止まらない!禁断のストーリー展開と映像美で贈るノンストップエンタテインメント2003年春。小さな漁師町で漁業を営む柴門暖(ディーン・フジオカ)は、同じ町で喫茶店「シンドバッド」を経営する目黒すみれ(山本美月)にプロポーズ。思いは受け入れられ、2人は結婚式に向けて幸せの絶頂にいた。  しかし、その矢先、暖の乗る遠洋漁船「海進丸」が遭難。暖の後輩、南条幸男(大倉忠義)は心配して「シンドバッド」へ。すみれは暖の帰還を信じ、努めて明るく振舞っている。「海進丸」が所属する守尾漁業でも、社長の守尾英一朗(木下ほうか)、船員だが今回の航海にはけがで出られなかった神楽清(新井浩文)たちが憔悴しながらも暖たちの無事を願う。  そんな守尾の事務所を漁協の組合長・遠藤勝也が訪ねて来る。遠藤はもう2週間にも及ぶ遭難で捜索費がかさんでいることを守尾に告げた。守尾は船長のバラジ・イスワランが優秀なので、みんな生きて帰ると譲らない。だが、遠藤はバラジを不安に思っている。バラジはテロ組織のメンバーではないかと疑われていたからだ。それでも、守尾は船員たちを信じていた。暖の実家では、母親の恵(風吹ジュン)が地上げ屋の寺角類(渋川清彦)と対峙していた。と、そこに「海進丸」帰港の連絡が入る。迎えに来たすみれと港に急ぐ恵。船員たちが上陸する中、暖もけがはしたが生還を果たす。亡くなったのは船長のバラジだけ。  すると、バラジの遺体を調べる男たちが…。刑事の入間公平(高橋克典)の姿もあった。</v>
      </c>
      <c r="N187" s="2" t="str">
        <f>IFERROR(__xludf.DUMMYFUNCTION("""COMPUTED_VALUE"""),"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太田大(『名前をなくし"&amp;"た女神』、『息もできない夏』、『ファースト・クラス』)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f>
        <v>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v>
      </c>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row>
    <row r="188" ht="204.75" customHeight="1">
      <c r="A188" s="1">
        <v>766.0</v>
      </c>
      <c r="B188" s="2" t="s">
        <v>601</v>
      </c>
      <c r="C188" s="2">
        <f>IFERROR(__xludf.DUMMYFUNCTION("split(B188,""_"")"),1804.0)</f>
        <v>1804</v>
      </c>
      <c r="D188" s="2" t="str">
        <f>IFERROR(__xludf.DUMMYFUNCTION("""COMPUTED_VALUE"""),"CX")</f>
        <v>CX</v>
      </c>
      <c r="E188" s="2" t="str">
        <f>IFERROR(__xludf.DUMMYFUNCTION("""COMPUTED_VALUE"""),"木22")</f>
        <v>木22</v>
      </c>
      <c r="F188" s="2" t="s">
        <v>602</v>
      </c>
      <c r="G188" s="2" t="s">
        <v>606</v>
      </c>
      <c r="H188" s="1">
        <v>2.0</v>
      </c>
      <c r="I188" s="1" t="s">
        <v>7</v>
      </c>
      <c r="J188" s="1" t="s">
        <v>86</v>
      </c>
      <c r="K188" s="2" t="s">
        <v>607</v>
      </c>
      <c r="L188" s="2" t="s">
        <v>608</v>
      </c>
      <c r="M188" s="2" t="str">
        <f>IFERROR(__xludf.DUMMYFUNCTION("split(K188,""ディーン・フジオカ　"",false)"),"無実の罪を着せられ異国の地に投獄されてしまった柴門暖(ディーン・フジオカ)。テロリストとのつながりを白状するよう激しく拷問されるが、暖は身に覚えがあるはずもなく、答えようがなかった。しかし、暖は潔白を証明することも出来ず、そのまま地下の独房に幽閉されてしまう。与えられるわずかな水と食料で、暖は殺されもせずにただただ孤独と戦い、8年の月日が流れる。だが、暖にもついに生命の限界が訪れようとしていた…。そんな時、地下牢の床から1人の男が顔を出す。暖を脅し、看守への告げ口を封じる闖入者(ちんにゅうしゃ)は日本語を"&amp;"話した。男が床の穴に戻ると、暖は意を決して後を追う。暖が出会った男の名は、ファリア真海(田中泯)。投獄されている国の元大統領だった。暖は、自分が投獄された理由をファリアに尋ね、入間公平(高橋克典)や神楽清(新井浩文)たちにハメられたことを知る。手製の道具で脱獄用の穴掘りを手伝う暖は永遠とも感じられる作業の中、ファリアからさまざまな知識と教養を得る。生かされているだけでなく、目的を持った暖の精神と肉体は輝きを取り戻し始めた。暖の目的とは日本に帰ること、そして何より自分を陥れた人間たちへの復讐だった。  暖が"&amp;"ファリアとトンネル掘りを続けて数年後。ついに脱獄可能な場所にたどり着く。だが、暖よりも年長で長い年月を戦い続けたファリアは力尽きようとし、暖はファリアからあるものを託される─。")</f>
        <v>無実の罪を着せられ異国の地に投獄されてしまった柴門暖(ディーン・フジオカ)。テロリストとのつながりを白状するよう激しく拷問されるが、暖は身に覚えがあるはずもなく、答えようがなかった。しかし、暖は潔白を証明することも出来ず、そのまま地下の独房に幽閉されてしまう。与えられるわずかな水と食料で、暖は殺されもせずにただただ孤独と戦い、8年の月日が流れる。だが、暖にもついに生命の限界が訪れようとしていた…。そんな時、地下牢の床から1人の男が顔を出す。暖を脅し、看守への告げ口を封じる闖入者(ちんにゅうしゃ)は日本語を話した。男が床の穴に戻ると、暖は意を決して後を追う。暖が出会った男の名は、ファリア真海(田中泯)。投獄されている国の元大統領だった。暖は、自分が投獄された理由をファリアに尋ね、入間公平(高橋克典)や神楽清(新井浩文)たちにハメられたことを知る。手製の道具で脱獄用の穴掘りを手伝う暖は永遠とも感じられる作業の中、ファリアからさまざまな知識と教養を得る。生かされているだけでなく、目的を持った暖の精神と肉体は輝きを取り戻し始めた。暖の目的とは日本に帰ること、そして何より自分を陥れた人間たちへの復讐だった。  暖がファリアとトンネル掘りを続けて数年後。ついに脱獄可能な場所にたどり着く。だが、暖よりも年長で長い年月を戦い続けたファリアは力尽きようとし、暖はファリアからあるものを託される─。</v>
      </c>
      <c r="N188" s="2" t="str">
        <f>IFERROR(__xludf.DUMMYFUNCTION("""COMPUTED_VALUE"""),"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太田大(『名前をなくし"&amp;"た女神』、『息もできない夏』、『ファースト・クラス』)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フジテレビ【公式HP】  http://www.fujitv.co.jp/MONTE-CRISTO/　    【公式Twitter】 "&amp;" @MONTE_CRISTO_cx　    【公式Instagram】  @monte_cristo_cx")</f>
        <v>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フジテレビ【公式HP】  http://www.fujitv.co.jp/MONTE-CRISTO/　    【公式Twitter】  @MONTE_CRISTO_cx　    【公式Instagram】  @monte_cristo_cx</v>
      </c>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row>
    <row r="189" ht="204.75" customHeight="1">
      <c r="A189" s="1">
        <v>767.0</v>
      </c>
      <c r="B189" s="2" t="s">
        <v>601</v>
      </c>
      <c r="C189" s="2">
        <f>IFERROR(__xludf.DUMMYFUNCTION("split(B189,""_"")"),1804.0)</f>
        <v>1804</v>
      </c>
      <c r="D189" s="2" t="str">
        <f>IFERROR(__xludf.DUMMYFUNCTION("""COMPUTED_VALUE"""),"CX")</f>
        <v>CX</v>
      </c>
      <c r="E189" s="2" t="str">
        <f>IFERROR(__xludf.DUMMYFUNCTION("""COMPUTED_VALUE"""),"木22")</f>
        <v>木22</v>
      </c>
      <c r="F189" s="2" t="s">
        <v>602</v>
      </c>
      <c r="G189" s="2" t="s">
        <v>609</v>
      </c>
      <c r="H189" s="1">
        <v>3.0</v>
      </c>
      <c r="I189" s="1" t="s">
        <v>10</v>
      </c>
      <c r="J189" s="1" t="s">
        <v>86</v>
      </c>
      <c r="K189" s="2" t="s">
        <v>610</v>
      </c>
      <c r="L189" s="2" t="s">
        <v>611</v>
      </c>
      <c r="M189" s="2" t="str">
        <f>IFERROR(__xludf.DUMMYFUNCTION("split(K189,""ディーン・フジオカ　"",false)"),"柴門暖(ディーン・フジオカ)はファリア真海(田中泯)の莫大な隠し資産を譲り受けた。素性を知られぬため暖は「モンテ・クリスト・真海」と改名し、世界屈指の投資家となる。しかし、大金持ちとなった暖=真海の心は満たされることはなく、かつて自分を陥れた者たちへの復讐心に支配されていた。  ある日、江田愛梨(桜井ユキ)と南条明日花(鎌田英怜奈)が2人乗りのシーカヤックで遊んでいると誤ってパドルを落としてしまう。手で漕いで浜に帰ろうとするのだが、潮の流れが悪くなかなか戻れない。その時、クルーザーが近くを通り過ぎた。愛梨"&amp;"と明日花が助けを求めると、クルーザーが戻ってくる。クルーザーに乗っていた真海と秘書の土屋慈(三浦誠己)は愛梨たちを助けた。愛梨は明日花の両親が真海に挨拶がしたいと言うので家に寄って欲しいと頼む。  真海が愛梨たちと明日花の家へ行くと、幸男(大倉忠義)が帰って来た。明日花は幸男とすみれ(山本美月)の娘。愛梨は幸男のマネージャーだった。ほどなくすみれも帰宅。幸男は有名な俳優、すみれはやはり著名な料理研究家になっている。帰り際、真海は自分の別荘でホームパーティーをしたいと幸男とすみれを招待した。  真海が別荘に"&amp;"戻ると神楽清(新井浩文)が秘書とともに現れる。真海はこの別荘を神楽から買っていた。神楽にも夫婦でパーティーに来て欲しいと招待状を渡す真海。さらに、真海は入間公平(高橋克典)にも接近する。")</f>
        <v>柴門暖(ディーン・フジオカ)はファリア真海(田中泯)の莫大な隠し資産を譲り受けた。素性を知られぬため暖は「モンテ・クリスト・真海」と改名し、世界屈指の投資家となる。しかし、大金持ちとなった暖=真海の心は満たされることはなく、かつて自分を陥れた者たちへの復讐心に支配されていた。  ある日、江田愛梨(桜井ユキ)と南条明日花(鎌田英怜奈)が2人乗りのシーカヤックで遊んでいると誤ってパドルを落としてしまう。手で漕いで浜に帰ろうとするのだが、潮の流れが悪くなかなか戻れない。その時、クルーザーが近くを通り過ぎた。愛梨と明日花が助けを求めると、クルーザーが戻ってくる。クルーザーに乗っていた真海と秘書の土屋慈(三浦誠己)は愛梨たちを助けた。愛梨は明日花の両親が真海に挨拶がしたいと言うので家に寄って欲しいと頼む。  真海が愛梨たちと明日花の家へ行くと、幸男(大倉忠義)が帰って来た。明日花は幸男とすみれ(山本美月)の娘。愛梨は幸男のマネージャーだった。ほどなくすみれも帰宅。幸男は有名な俳優、すみれはやはり著名な料理研究家になっている。帰り際、真海は自分の別荘でホームパーティーをしたいと幸男とすみれを招待した。  真海が別荘に戻ると神楽清(新井浩文)が秘書とともに現れる。真海はこの別荘を神楽から買っていた。神楽にも夫婦でパーティーに来て欲しいと招待状を渡す真海。さらに、真海は入間公平(高橋克典)にも接近する。</v>
      </c>
      <c r="N189" s="2" t="str">
        <f>IFERROR(__xludf.DUMMYFUNCTION("""COMPUTED_VALUE"""),"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太田大(『名前をなくし"&amp;"た女神』、『息もできない夏』、『ファースト・クラス』)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f>
        <v>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v>
      </c>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row>
    <row r="190" ht="204.75" customHeight="1">
      <c r="A190" s="1">
        <v>768.0</v>
      </c>
      <c r="B190" s="2" t="s">
        <v>601</v>
      </c>
      <c r="C190" s="2">
        <f>IFERROR(__xludf.DUMMYFUNCTION("split(B190,""_"")"),1804.0)</f>
        <v>1804</v>
      </c>
      <c r="D190" s="2" t="str">
        <f>IFERROR(__xludf.DUMMYFUNCTION("""COMPUTED_VALUE"""),"CX")</f>
        <v>CX</v>
      </c>
      <c r="E190" s="2" t="str">
        <f>IFERROR(__xludf.DUMMYFUNCTION("""COMPUTED_VALUE"""),"木22")</f>
        <v>木22</v>
      </c>
      <c r="F190" s="2" t="s">
        <v>602</v>
      </c>
      <c r="G190" s="2" t="s">
        <v>612</v>
      </c>
      <c r="H190" s="1">
        <v>4.0</v>
      </c>
      <c r="I190" s="1" t="s">
        <v>14</v>
      </c>
      <c r="J190" s="1" t="s">
        <v>86</v>
      </c>
      <c r="K190" s="2" t="s">
        <v>613</v>
      </c>
      <c r="L190" s="2" t="s">
        <v>614</v>
      </c>
      <c r="M190" s="2" t="str">
        <f>IFERROR(__xludf.DUMMYFUNCTION("split(K190,""ディーン・フジオカ　"",false)"),"モンテ・クリスト・真海(ディーン・フジオカ)は、復讐のターゲットとなる者たちとの面通しを済ませる。これは、彼らの大切なものを全て壊すことが目的である真海の序章に過ぎない。  とある土地開発プロジェクトの地鎮祭に、神楽清(新井浩文)が留美(稲森いずみ)とともに出席。政治家の木島義国(嶋田久作)とつながりを持つ神楽は、次の国有地の取引を有利に運ぼうとしている。木島は、取引に他の建設業者も動いていると、神楽にくぎを刺した。神楽は留美を残して先に会場を出る。  そこに真海が現れた。入間公平(高橋克典)から「真海に"&amp;"は近づくな」と言われていた留美は驚く。真海は「神楽にテナントの相談に来た」と言う。そして、店を出すのは自らのアパレルブランドを立ち上げようとしている安堂完治(葉山奨之)だと、留美に紹介。安堂の相談を聞いて欲しいと、真海は留美を別荘でのランチに誘った。帰り道、素直で明るい安堂を気に入った様子の留美は、神楽に頼んでテナントなどの件は力になりたいと告げる。  一方、入間は娘の未蘭(岸井ゆきの)の結婚式の日取りを決めた。戸惑う未蘭は貞吉(伊武雅刀)に相談したいと言う。入間は未蘭、妻の瑛理奈(山口紗弥加)と貞吉の部"&amp;"屋へ。貞吉は会話もままならず、介護が必要な状態になっていた。まだ結婚には早いと言って欲しいと頼む未蘭に貞吉は…。言葉を話せない貞吉をバカにするかのように、入間は結婚準備を進め始める。")</f>
        <v>モンテ・クリスト・真海(ディーン・フジオカ)は、復讐のターゲットとなる者たちとの面通しを済ませる。これは、彼らの大切なものを全て壊すことが目的である真海の序章に過ぎない。  とある土地開発プロジェクトの地鎮祭に、神楽清(新井浩文)が留美(稲森いずみ)とともに出席。政治家の木島義国(嶋田久作)とつながりを持つ神楽は、次の国有地の取引を有利に運ぼうとしている。木島は、取引に他の建設業者も動いていると、神楽にくぎを刺した。神楽は留美を残して先に会場を出る。  そこに真海が現れた。入間公平(高橋克典)から「真海には近づくな」と言われていた留美は驚く。真海は「神楽にテナントの相談に来た」と言う。そして、店を出すのは自らのアパレルブランドを立ち上げようとしている安堂完治(葉山奨之)だと、留美に紹介。安堂の相談を聞いて欲しいと、真海は留美を別荘でのランチに誘った。帰り道、素直で明るい安堂を気に入った様子の留美は、神楽に頼んでテナントなどの件は力になりたいと告げる。  一方、入間は娘の未蘭(岸井ゆきの)の結婚式の日取りを決めた。戸惑う未蘭は貞吉(伊武雅刀)に相談したいと言う。入間は未蘭、妻の瑛理奈(山口紗弥加)と貞吉の部屋へ。貞吉は会話もままならず、介護が必要な状態になっていた。まだ結婚には早いと言って欲しいと頼む未蘭に貞吉は…。言葉を話せない貞吉をバカにするかのように、入間は結婚準備を進め始める。</v>
      </c>
      <c r="N190" s="2" t="str">
        <f>IFERROR(__xludf.DUMMYFUNCTION("""COMPUTED_VALUE"""),"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太田大(『名前をなくし"&amp;"た女神』、『息もできない夏』、『ファースト・クラス』)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f>
        <v>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v>
      </c>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row>
    <row r="191" ht="204.75" customHeight="1">
      <c r="A191" s="1">
        <v>769.0</v>
      </c>
      <c r="B191" s="2" t="s">
        <v>601</v>
      </c>
      <c r="C191" s="2">
        <f>IFERROR(__xludf.DUMMYFUNCTION("split(B191,""_"")"),1804.0)</f>
        <v>1804</v>
      </c>
      <c r="D191" s="2" t="str">
        <f>IFERROR(__xludf.DUMMYFUNCTION("""COMPUTED_VALUE"""),"CX")</f>
        <v>CX</v>
      </c>
      <c r="E191" s="2" t="str">
        <f>IFERROR(__xludf.DUMMYFUNCTION("""COMPUTED_VALUE"""),"木22")</f>
        <v>木22</v>
      </c>
      <c r="F191" s="2" t="s">
        <v>602</v>
      </c>
      <c r="G191" s="2" t="s">
        <v>615</v>
      </c>
      <c r="H191" s="1">
        <v>5.0</v>
      </c>
      <c r="I191" s="1" t="s">
        <v>17</v>
      </c>
      <c r="J191" s="1" t="s">
        <v>86</v>
      </c>
      <c r="K191" s="2" t="s">
        <v>616</v>
      </c>
      <c r="L191" s="2" t="s">
        <v>617</v>
      </c>
      <c r="M191" s="2" t="str">
        <f>IFERROR(__xludf.DUMMYFUNCTION("split(K191,""ディーン・フジオカ　"",false)"),"実の母子に肉体関係を持たせる…。モンテ・クリスト・真海(ディーン・フジオカ)の魔手は神楽清(新井浩文)の妻・留美(稲森いずみ)を、彼女が不倫の果てに産んだ安堂完治(葉山奨之)と結びつけた。  真海の次なる一手は入間公平(高橋克典)。真海は、外務省勤務でマレーシアに駐在していた出口文矢(尾上寛之)を日本に呼び戻して自身の別荘に招待。出口は、入間が自ら選んだ娘・未蘭(岸井ゆきの)の婚約者だ。日本に帰れたことを喜ぶ出口に、真海は頼みがあると持ちかける。それは入間の父・貞吉(伊武雅刀)を殺して欲しいというものだっ"&amp;"た。驚く出口に真海は冗談だと告げるが、入間家は貞吉の莫大な遺産相続で揉めていることを吹き込む。  一方、未蘭は『富永水産』に頼んでおいたダボハゼを取りに行く。守尾信一朗(高杉真宙)に会った途端、未蘭の顔が輝いた。ランチに出ると未蘭は、貞吉の反対で結婚がなくなったことを信一朗に話す。信一朗と未蘭の未来に明るい陽が差し込んだかに思えたが…。  未蘭が帰宅すると出口が来ていた。入間は出口に、貞吉の遺言書の件を話す。未蘭が出口と結婚したら遺産は全て寄付するというものだ。入間は、それでも未蘭と結婚して欲しいと出口に"&amp;"頼む。出口は真海に成り行きを報告。すると真海は「未蘭との結婚前に貞吉を殺して遺産を相続してしまえば良い」と出口にささやく。逡巡する出口に真海は「貞吉はかつて人を殺している」と話し出した。")</f>
        <v>実の母子に肉体関係を持たせる…。モンテ・クリスト・真海(ディーン・フジオカ)の魔手は神楽清(新井浩文)の妻・留美(稲森いずみ)を、彼女が不倫の果てに産んだ安堂完治(葉山奨之)と結びつけた。  真海の次なる一手は入間公平(高橋克典)。真海は、外務省勤務でマレーシアに駐在していた出口文矢(尾上寛之)を日本に呼び戻して自身の別荘に招待。出口は、入間が自ら選んだ娘・未蘭(岸井ゆきの)の婚約者だ。日本に帰れたことを喜ぶ出口に、真海は頼みがあると持ちかける。それは入間の父・貞吉(伊武雅刀)を殺して欲しいというものだった。驚く出口に真海は冗談だと告げるが、入間家は貞吉の莫大な遺産相続で揉めていることを吹き込む。  一方、未蘭は『富永水産』に頼んでおいたダボハゼを取りに行く。守尾信一朗(高杉真宙)に会った途端、未蘭の顔が輝いた。ランチに出ると未蘭は、貞吉の反対で結婚がなくなったことを信一朗に話す。信一朗と未蘭の未来に明るい陽が差し込んだかに思えたが…。  未蘭が帰宅すると出口が来ていた。入間は出口に、貞吉の遺言書の件を話す。未蘭が出口と結婚したら遺産は全て寄付するというものだ。入間は、それでも未蘭と結婚して欲しいと出口に頼む。出口は真海に成り行きを報告。すると真海は「未蘭との結婚前に貞吉を殺して遺産を相続してしまえば良い」と出口にささやく。逡巡する出口に真海は「貞吉はかつて人を殺している」と話し出した。</v>
      </c>
      <c r="N191" s="2" t="str">
        <f>IFERROR(__xludf.DUMMYFUNCTION("""COMPUTED_VALUE"""),"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太田大(『名前をなくし"&amp;"た女神』、『息もできない夏』、『ファースト・クラス』)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f>
        <v>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v>
      </c>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row>
    <row r="192" ht="204.75" customHeight="1">
      <c r="A192" s="1">
        <v>770.0</v>
      </c>
      <c r="B192" s="2" t="s">
        <v>601</v>
      </c>
      <c r="C192" s="2">
        <f>IFERROR(__xludf.DUMMYFUNCTION("split(B192,""_"")"),1804.0)</f>
        <v>1804</v>
      </c>
      <c r="D192" s="2" t="str">
        <f>IFERROR(__xludf.DUMMYFUNCTION("""COMPUTED_VALUE"""),"CX")</f>
        <v>CX</v>
      </c>
      <c r="E192" s="2" t="str">
        <f>IFERROR(__xludf.DUMMYFUNCTION("""COMPUTED_VALUE"""),"木22")</f>
        <v>木22</v>
      </c>
      <c r="F192" s="2" t="s">
        <v>602</v>
      </c>
      <c r="G192" s="2" t="s">
        <v>618</v>
      </c>
      <c r="H192" s="1">
        <v>6.0</v>
      </c>
      <c r="I192" s="1" t="s">
        <v>21</v>
      </c>
      <c r="J192" s="1" t="s">
        <v>86</v>
      </c>
      <c r="K192" s="2" t="s">
        <v>619</v>
      </c>
      <c r="L192" s="2" t="s">
        <v>620</v>
      </c>
      <c r="M192" s="2" t="str">
        <f>IFERROR(__xludf.DUMMYFUNCTION("split(K192,""ディーン・フジオカ　"",false)"),"恋人、親友、同僚、家族…あなたの最も信頼する人が、あなたを地獄に引きずり下ろす人物だったらー。微笑みの下に隠した悪意が交錯する時、運命の歯車が音を立てて狂い始める…。「巌窟王」の名で知られる復讐劇の決定版「モンテ・クリスト伯」が現代日本に蘇る!静かな港町で暮らす純朴な青年が辿る、壮絶な大河ドラマ!裏切り・罠・どんでん返しが止まらない!禁断のストーリー展開と映像美で贈るノンストップエンタテインメントモンテ・クリスト・真海(ディーン・フジオカ)の復讐は、ついに死者を出すまでに至った。真海が放つ復讐の火種は南条"&amp;"幸男(大倉忠義)と神楽清(新井浩文)の関係も絶ち、大炎上を招こうとしていた。  香港のタブロイド紙が、十数年前に失踪した有名俳優、ショーン・リー(ジョー　ナカムラ)の家族が裏組織ヴァンパに殺害されたという新証言を掲載。記事は真海が裏で手を回したものだが、幸男の弱点を探る神楽も食いつく。その家族の失踪当時の付き人が幸男だったからだ。  バーで飲んでいた幸男は“あの時""を思い起こす。ヴァンパに多額の借金をしていた幸男は、ショーンの家族の留守宅に組織を招き入れる。宝飾品などを盗み出すことで借金をチャラにしよう"&amp;"としたのだ。だが、そこにショーンたちが帰宅。組織のメンバーは、夫婦を殴り倒す…。  幸男が気づくと両隣に男が座っていた。ヴァンパのボス、ダニー・ウォン(葉山ヒロ)たちだ。ヴァンパが裏切り者を始末しに来たのだが、幸男は自宅に脅し文句が書かれたファックスが送られたことを男たちに話す。すると最近、香港で過去の幸男のことを嗅ぎ回る人間がいたと教えられる。神楽の秘書、牛山直紀(久保田悠来)だ。男たちは牛山の動きを止めるよう幸男に命令する。  だが、事件の真相を知っている人間は幸男とヴァンパのメンバーだけではなかった"&amp;"。それは、両親を目の前で殺害されたショーンの娘で…。")</f>
        <v>恋人、親友、同僚、家族…あなたの最も信頼する人が、あなたを地獄に引きずり下ろす人物だったらー。微笑みの下に隠した悪意が交錯する時、運命の歯車が音を立てて狂い始める…。「巌窟王」の名で知られる復讐劇の決定版「モンテ・クリスト伯」が現代日本に蘇る!静かな港町で暮らす純朴な青年が辿る、壮絶な大河ドラマ!裏切り・罠・どんでん返しが止まらない!禁断のストーリー展開と映像美で贈るノンストップエンタテインメントモンテ・クリスト・真海(ディーン・フジオカ)の復讐は、ついに死者を出すまでに至った。真海が放つ復讐の火種は南条幸男(大倉忠義)と神楽清(新井浩文)の関係も絶ち、大炎上を招こうとしていた。  香港のタブロイド紙が、十数年前に失踪した有名俳優、ショーン・リー(ジョー　ナカムラ)の家族が裏組織ヴァンパに殺害されたという新証言を掲載。記事は真海が裏で手を回したものだが、幸男の弱点を探る神楽も食いつく。その家族の失踪当時の付き人が幸男だったからだ。  バーで飲んでいた幸男は“あの時"を思い起こす。ヴァンパに多額の借金をしていた幸男は、ショーンの家族の留守宅に組織を招き入れる。宝飾品などを盗み出すことで借金をチャラにしようとしたのだ。だが、そこにショーンたちが帰宅。組織のメンバーは、夫婦を殴り倒す…。  幸男が気づくと両隣に男が座っていた。ヴァンパのボス、ダニー・ウォン(葉山ヒロ)たちだ。ヴァンパが裏切り者を始末しに来たのだが、幸男は自宅に脅し文句が書かれたファックスが送られたことを男たちに話す。すると最近、香港で過去の幸男のことを嗅ぎ回る人間がいたと教えられる。神楽の秘書、牛山直紀(久保田悠来)だ。男たちは牛山の動きを止めるよう幸男に命令する。  だが、事件の真相を知っている人間は幸男とヴァンパのメンバーだけではなかった。それは、両親を目の前で殺害されたショーンの娘で…。</v>
      </c>
      <c r="N192" s="2" t="str">
        <f>IFERROR(__xludf.DUMMYFUNCTION("""COMPUTED_VALUE"""),"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太田大(『名前をなくし"&amp;"た女神』、『息もできない夏』、『ファースト・クラス』)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f>
        <v>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v>
      </c>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row>
    <row r="193" ht="204.75" customHeight="1">
      <c r="A193" s="1">
        <v>771.0</v>
      </c>
      <c r="B193" s="2" t="s">
        <v>601</v>
      </c>
      <c r="C193" s="2">
        <f>IFERROR(__xludf.DUMMYFUNCTION("split(B193,""_"")"),1804.0)</f>
        <v>1804</v>
      </c>
      <c r="D193" s="2" t="str">
        <f>IFERROR(__xludf.DUMMYFUNCTION("""COMPUTED_VALUE"""),"CX")</f>
        <v>CX</v>
      </c>
      <c r="E193" s="2" t="str">
        <f>IFERROR(__xludf.DUMMYFUNCTION("""COMPUTED_VALUE"""),"木22")</f>
        <v>木22</v>
      </c>
      <c r="F193" s="2" t="s">
        <v>602</v>
      </c>
      <c r="G193" s="2" t="s">
        <v>621</v>
      </c>
      <c r="H193" s="1">
        <v>7.0</v>
      </c>
      <c r="I193" s="1" t="s">
        <v>25</v>
      </c>
      <c r="J193" s="1" t="s">
        <v>86</v>
      </c>
      <c r="K193" s="2" t="s">
        <v>622</v>
      </c>
      <c r="L193" s="2" t="s">
        <v>623</v>
      </c>
      <c r="M193" s="2" t="str">
        <f>IFERROR(__xludf.DUMMYFUNCTION("split(K193,""ディーン・フジオカ　"",false)"),"【公式HP】  http://www.fujitv.co.jp/MONTE-CRISTO/　    【公式Twitter】  @MONTE_CRISTO_cx　    【公式Instagram】  @monte_cristo_cxモンテ・クリスト・真海(ディーン・フジオカ)は自分をおとしめた寺角類(渋川清彦)をこの世から抹殺する。そして、真海が復讐のために放った南条幸男(大倉忠義)に向けた矢も、ついに的を射ようとしていた。  幸男の家に、裏組織のダニー・ウォン(葉山ヒロ)とサム・ユンロン(ジョン・リ)が押"&amp;"し入り、何も知らないすみれ(山本美月)と明日花(鎌田英怜奈)を人質にとられる。かつて幸男も片棒を担いだショーン・リー(ジョー　ナカムラ)事件の目撃者が香港警察と接触することになったとダニー。目撃者はショーン夫婦の娘、エデルヴァ。エデルヴァはダニーたちが人身売買したが、日本語を話す男が引き取った。ダニーは、幸男が誰かに狙われているのだろうと、その男を探し出すよう命令する。家を飛び出した幸男は江田愛梨(桜井ユキ)に予定のキャンセルを連絡、神楽清(新井浩文)に電話するもつかまらない。  その頃、神楽は訪ねてきた"&amp;"真海と会っていた。真海は留美(稲森いずみ)に引き合わせた安堂完治(葉山奨之)が詐欺師だったと神楽に謝る。そして、間もなく幸男がショーンの事件に関与していたことを香港警察が知ることになるとも教えた。  寺角の遺体は匿名の通報により警察に発見される。寺角が浜浦町の出身で、15年前に暖が捕まった時の関係者だと国見悠馬(森岡龍)は入間公平(高橋克典)に報告。入間は、ラデル共和国から死亡報告が届いている暖を調べ始めた…。")</f>
        <v>【公式HP】  http://www.fujitv.co.jp/MONTE-CRISTO/　    【公式Twitter】  @MONTE_CRISTO_cx　    【公式Instagram】  @monte_cristo_cxモンテ・クリスト・真海(ディーン・フジオカ)は自分をおとしめた寺角類(渋川清彦)をこの世から抹殺する。そして、真海が復讐のために放った南条幸男(大倉忠義)に向けた矢も、ついに的を射ようとしていた。  幸男の家に、裏組織のダニー・ウォン(葉山ヒロ)とサム・ユンロン(ジョン・リ)が押し入り、何も知らないすみれ(山本美月)と明日花(鎌田英怜奈)を人質にとられる。かつて幸男も片棒を担いだショーン・リー(ジョー　ナカムラ)事件の目撃者が香港警察と接触することになったとダニー。目撃者はショーン夫婦の娘、エデルヴァ。エデルヴァはダニーたちが人身売買したが、日本語を話す男が引き取った。ダニーは、幸男が誰かに狙われているのだろうと、その男を探し出すよう命令する。家を飛び出した幸男は江田愛梨(桜井ユキ)に予定のキャンセルを連絡、神楽清(新井浩文)に電話するもつかまらない。  その頃、神楽は訪ねてきた真海と会っていた。真海は留美(稲森いずみ)に引き合わせた安堂完治(葉山奨之)が詐欺師だったと神楽に謝る。そして、間もなく幸男がショーンの事件に関与していたことを香港警察が知ることになるとも教えた。  寺角の遺体は匿名の通報により警察に発見される。寺角が浜浦町の出身で、15年前に暖が捕まった時の関係者だと国見悠馬(森岡龍)は入間公平(高橋克典)に報告。入間は、ラデル共和国から死亡報告が届いている暖を調べ始めた…。</v>
      </c>
      <c r="N193" s="2" t="str">
        <f>IFERROR(__xludf.DUMMYFUNCTION("""COMPUTED_VALUE"""),"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太田大(『名前をなくし"&amp;"た女神』、『息もできない夏』、『ファースト・クラス』)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f>
        <v>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v>
      </c>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row>
    <row r="194" ht="204.75" customHeight="1">
      <c r="A194" s="1">
        <v>772.0</v>
      </c>
      <c r="B194" s="2" t="s">
        <v>601</v>
      </c>
      <c r="C194" s="2">
        <f>IFERROR(__xludf.DUMMYFUNCTION("split(B194,""_"")"),1804.0)</f>
        <v>1804</v>
      </c>
      <c r="D194" s="2" t="str">
        <f>IFERROR(__xludf.DUMMYFUNCTION("""COMPUTED_VALUE"""),"CX")</f>
        <v>CX</v>
      </c>
      <c r="E194" s="2" t="str">
        <f>IFERROR(__xludf.DUMMYFUNCTION("""COMPUTED_VALUE"""),"木22")</f>
        <v>木22</v>
      </c>
      <c r="F194" s="2" t="s">
        <v>602</v>
      </c>
      <c r="G194" s="2" t="s">
        <v>624</v>
      </c>
      <c r="H194" s="1">
        <v>8.0</v>
      </c>
      <c r="I194" s="1" t="s">
        <v>29</v>
      </c>
      <c r="J194" s="1" t="s">
        <v>86</v>
      </c>
      <c r="K194" s="2" t="s">
        <v>625</v>
      </c>
      <c r="L194" s="2" t="s">
        <v>626</v>
      </c>
      <c r="M194" s="2" t="str">
        <f>IFERROR(__xludf.DUMMYFUNCTION("split(K194,""ディーン・フジオカ　"",false)"),"【公式HP】  http://www.fujitv.co.jp/MONTE-CRISTO/　    【公式Twitter】  @MONTE_CRISTO_cx　    【公式Instagram】  @monte_cristo_cxモンテ・クリスト・真海(ディーン・フジオカ)の復讐は予定通り南条家を崩壊に導き、幸男(大倉忠義)が自ら命を絶とうとするまでに至る。だが、幸男の娘、明日花(鎌田英怜奈)の存在が江田愛梨(桜井ユキ)を惑わせる。真海が暖だと気づいたすみれ(山本美月)の存在も大きなものとなる。  自分の"&amp;"中にある揺れにぼうぜんとしながら真海が釣りをしていると、守尾信一朗(高杉真宙)が現れた。信一朗と話すことで気分転換になった真海の心は、すぐに曇る…信一朗の交際相手が入間未蘭(岸井ゆきの)と知ったからだ。  その頃、未蘭は父の入間公平(高橋克典)に信一朗と会ってくれと頼んでいた。しかし、入間は頑なに拒絶。瑛理奈(山口紗弥加)は時間をかけて説得しようと未蘭を慰め、貞吉(伊武雅刀)の部屋に連れて行く。瑛理奈の殺害計画を知る貞吉は必死に未蘭に危険を伝えようとする。しかし、会話用のタッチパッドが瑛理奈に操作されてい"&amp;"たため、未蘭に伝えることは出来なかった。と、そこに真海が貞吉に会いに来たと現れる。  入間は神楽清(新井浩文)と会う。神楽は幸男の自殺、そして寺角類(渋川清彦)殺害は真海の仕業だと話す。さらに、神楽は真海が自分と入間もターゲットにしていると告げた。真海は何者だと思うと問う入間。入間と神楽の脳裏には共通の人物が浮かぶ。入間は真海を呼び出す。真海と話すために使う取調室は、15年前に柴門暖を陥れた部屋で…。")</f>
        <v>【公式HP】  http://www.fujitv.co.jp/MONTE-CRISTO/　    【公式Twitter】  @MONTE_CRISTO_cx　    【公式Instagram】  @monte_cristo_cxモンテ・クリスト・真海(ディーン・フジオカ)の復讐は予定通り南条家を崩壊に導き、幸男(大倉忠義)が自ら命を絶とうとするまでに至る。だが、幸男の娘、明日花(鎌田英怜奈)の存在が江田愛梨(桜井ユキ)を惑わせる。真海が暖だと気づいたすみれ(山本美月)の存在も大きなものとなる。  自分の中にある揺れにぼうぜんとしながら真海が釣りをしていると、守尾信一朗(高杉真宙)が現れた。信一朗と話すことで気分転換になった真海の心は、すぐに曇る…信一朗の交際相手が入間未蘭(岸井ゆきの)と知ったからだ。  その頃、未蘭は父の入間公平(高橋克典)に信一朗と会ってくれと頼んでいた。しかし、入間は頑なに拒絶。瑛理奈(山口紗弥加)は時間をかけて説得しようと未蘭を慰め、貞吉(伊武雅刀)の部屋に連れて行く。瑛理奈の殺害計画を知る貞吉は必死に未蘭に危険を伝えようとする。しかし、会話用のタッチパッドが瑛理奈に操作されていたため、未蘭に伝えることは出来なかった。と、そこに真海が貞吉に会いに来たと現れる。  入間は神楽清(新井浩文)と会う。神楽は幸男の自殺、そして寺角類(渋川清彦)殺害は真海の仕業だと話す。さらに、神楽は真海が自分と入間もターゲットにしていると告げた。真海は何者だと思うと問う入間。入間と神楽の脳裏には共通の人物が浮かぶ。入間は真海を呼び出す。真海と話すために使う取調室は、15年前に柴門暖を陥れた部屋で…。</v>
      </c>
      <c r="N194" s="2" t="str">
        <f>IFERROR(__xludf.DUMMYFUNCTION("""COMPUTED_VALUE"""),"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太田大(『名前をなくし"&amp;"た女神』、『息もできない夏』、『ファースト・クラス』)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f>
        <v>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v>
      </c>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row>
    <row r="195" ht="204.75" customHeight="1">
      <c r="A195" s="1">
        <v>773.0</v>
      </c>
      <c r="B195" s="2" t="s">
        <v>601</v>
      </c>
      <c r="C195" s="2">
        <f>IFERROR(__xludf.DUMMYFUNCTION("split(B195,""_"")"),1804.0)</f>
        <v>1804</v>
      </c>
      <c r="D195" s="2" t="str">
        <f>IFERROR(__xludf.DUMMYFUNCTION("""COMPUTED_VALUE"""),"CX")</f>
        <v>CX</v>
      </c>
      <c r="E195" s="2" t="str">
        <f>IFERROR(__xludf.DUMMYFUNCTION("""COMPUTED_VALUE"""),"木22")</f>
        <v>木22</v>
      </c>
      <c r="F195" s="2" t="s">
        <v>602</v>
      </c>
      <c r="G195" s="2" t="s">
        <v>627</v>
      </c>
      <c r="H195" s="1">
        <v>9.0</v>
      </c>
      <c r="I195" s="1" t="s">
        <v>33</v>
      </c>
      <c r="J195" s="1" t="s">
        <v>4</v>
      </c>
      <c r="K195" s="2" t="s">
        <v>628</v>
      </c>
      <c r="L195" s="2" t="s">
        <v>629</v>
      </c>
      <c r="M195" s="2" t="str">
        <f>IFERROR(__xludf.DUMMYFUNCTION("split(K195,""ディーン・フジオカ　"",false)"),"【公式HP】  http://www.fujitv.co.jp/MONTE-CRISTO/　    【公式Twitter】  @MONTE_CRISTO_cx　    【公式Instagram】  @monte_cristo_cx南条幸男(大倉忠義)、神楽清(新井浩文)、入間公平(高橋克典)へのモンテ・クリスト・真海(ディーン・フジオカ)の復讐は、彼らの家族たちも巻き込みながら結末を迎えようとしていた。  真海が守尾信一朗(高杉真宙)に渡した薬を飲んだ未蘭(岸井ゆきの)は、いまだに昏睡したままで面会謝絶。"&amp;"信一朗は入間からも促され、真海の別荘を訪ねる。詰め寄る信一朗に、真海はもうすぐ死んで償うと詫びた。  未蘭を排除した瑛理奈(山口紗弥加)は、いよいよ貞吉(伊武雅刀)を殺害しようとする。だが、そこに入間が帰ってきてしまう。すると貞吉は目で入間に合図。入間と2人きりになった貞吉は、真海が残していったボードを使って会話を始める。  倉庫に閉じ込められた神楽は、国有地売却の件で議員と自分に闇献金疑惑がかけられ東京地検特捜部が捜査に動いたことを知る。そこに天野満(柳俊太郎)が手下を連れて現れた。天野は神楽に拷問を始"&amp;"めるが、それはかつて柴門暖が受けたような過酷なものだった。  幸男とすみれ(山本美月)は真海に会いに行こうとしていた。だが、その途中、愛梨(桜井ユキ)から、明日花(鎌田英怜奈)と一緒にいると連絡が入る。自分に恨みを持つ愛梨と娘が一緒だと知った幸男は、すみれを帰して独りで真海に会いに行くことに。  その頃、真海は入間と会っていた。真海は入間に、留美(稲森いずみ)と安堂完治(葉山奨之)は一緒に逃げていると教える。")</f>
        <v>【公式HP】  http://www.fujitv.co.jp/MONTE-CRISTO/　    【公式Twitter】  @MONTE_CRISTO_cx　    【公式Instagram】  @monte_cristo_cx南条幸男(大倉忠義)、神楽清(新井浩文)、入間公平(高橋克典)へのモンテ・クリスト・真海(ディーン・フジオカ)の復讐は、彼らの家族たちも巻き込みながら結末を迎えようとしていた。  真海が守尾信一朗(高杉真宙)に渡した薬を飲んだ未蘭(岸井ゆきの)は、いまだに昏睡したままで面会謝絶。信一朗は入間からも促され、真海の別荘を訪ねる。詰め寄る信一朗に、真海はもうすぐ死んで償うと詫びた。  未蘭を排除した瑛理奈(山口紗弥加)は、いよいよ貞吉(伊武雅刀)を殺害しようとする。だが、そこに入間が帰ってきてしまう。すると貞吉は目で入間に合図。入間と2人きりになった貞吉は、真海が残していったボードを使って会話を始める。  倉庫に閉じ込められた神楽は、国有地売却の件で議員と自分に闇献金疑惑がかけられ東京地検特捜部が捜査に動いたことを知る。そこに天野満(柳俊太郎)が手下を連れて現れた。天野は神楽に拷問を始めるが、それはかつて柴門暖が受けたような過酷なものだった。  幸男とすみれ(山本美月)は真海に会いに行こうとしていた。だが、その途中、愛梨(桜井ユキ)から、明日花(鎌田英怜奈)と一緒にいると連絡が入る。自分に恨みを持つ愛梨と娘が一緒だと知った幸男は、すみれを帰して独りで真海に会いに行くことに。  その頃、真海は入間と会っていた。真海は入間に、留美(稲森いずみ)と安堂完治(葉山奨之)は一緒に逃げていると教える。</v>
      </c>
      <c r="N195" s="2" t="str">
        <f>IFERROR(__xludf.DUMMYFUNCTION("""COMPUTED_VALUE"""),"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太田大(『名前をなくし"&amp;"た女神』、『息もできない夏』、『ファースト・クラス』)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f>
        <v>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v>
      </c>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row>
    <row r="196" ht="204.75" customHeight="1">
      <c r="A196" s="1">
        <v>838.0</v>
      </c>
      <c r="B196" s="2" t="s">
        <v>630</v>
      </c>
      <c r="C196" s="2">
        <f>IFERROR(__xludf.DUMMYFUNCTION("split(B196,""_"")"),1801.0)</f>
        <v>1801</v>
      </c>
      <c r="D196" s="2" t="str">
        <f>IFERROR(__xludf.DUMMYFUNCTION("""COMPUTED_VALUE"""),"CX")</f>
        <v>CX</v>
      </c>
      <c r="E196" s="2" t="str">
        <f>IFERROR(__xludf.DUMMYFUNCTION("""COMPUTED_VALUE"""),"月21")</f>
        <v>月21</v>
      </c>
      <c r="F196" s="2" t="s">
        <v>631</v>
      </c>
      <c r="G196" s="2" t="s">
        <v>632</v>
      </c>
      <c r="H196" s="1">
        <v>1.0</v>
      </c>
      <c r="I196" s="1" t="s">
        <v>3</v>
      </c>
      <c r="J196" s="1" t="s">
        <v>4</v>
      </c>
      <c r="K196" s="2" t="s">
        <v>633</v>
      </c>
      <c r="L196" s="2" t="s">
        <v>634</v>
      </c>
      <c r="M196" s="2" t="str">
        <f>IFERROR(__xludf.DUMMYFUNCTION("split(K196,""芳根京子　"",false)"),"【公式HP】http://www.fujitv.co.jp/kuragehime/クラゲを愛しすぎてしまった筋金入りの“クラゲオタク女子""が、とある兄弟と三角関係になり、自分には一生縁はないと思っていた恋を知り、新しい自分、新しい生き方を見つけていく姿を、ギャグを交えて描きます。  ある朝、『天水館』自室のベッドで目覚めた倉下月海(芳根京子)は、隣を見てビックリ。なんと上半身裸の男が寝ているではないか…月海は昨晩のことを思い起こす。月海は、久しぶりに近所の熱帯魚店にクララと名前までつけているクラゲを見に"&amp;"行った。月海は、その水槽にタコクラゲと一緒に飼ってはいけないミズクラゲが一緒に入っていることに気づいた。注意しようと思う月海だが、相手はオシャレな男性店員。月海が大苦手の人種だ。月海は勇気を振り絞って注意するのだが、追い出され、店の前で倒れてしまう。そんな店員を注意するスタイル抜群の美女が月海を助けてくれた。月海がわけを話すと、その美女はクララを買ってしまおうとお持ち帰り。美女は月海とともに『天水館』まで来ると部屋まで見たいと言い出した。美女は月海の部屋に勝手に泊まることにしてしまい…。  そして、次の朝"&amp;"、目覚めた月海が大声を出すことに。美女が上半身裸の男、鯉淵蔵之介(瀬戸康史)に変身していたのだ。蔵之介によると女装は趣味らしい。慌てる月海は『天水館』は男子禁制の尼寺のようなところだと蔵之介に説明。女装姿に戻った蔵之介が月海と部屋を出ると、独特な住人たちがいて…。")</f>
        <v>【公式HP】http://www.fujitv.co.jp/kuragehime/クラゲを愛しすぎてしまった筋金入りの“クラゲオタク女子"が、とある兄弟と三角関係になり、自分には一生縁はないと思っていた恋を知り、新しい自分、新しい生き方を見つけていく姿を、ギャグを交えて描きます。  ある朝、『天水館』自室のベッドで目覚めた倉下月海(芳根京子)は、隣を見てビックリ。なんと上半身裸の男が寝ているではないか…月海は昨晩のことを思い起こす。月海は、久しぶりに近所の熱帯魚店にクララと名前までつけているクラゲを見に行った。月海は、その水槽にタコクラゲと一緒に飼ってはいけないミズクラゲが一緒に入っていることに気づいた。注意しようと思う月海だが、相手はオシャレな男性店員。月海が大苦手の人種だ。月海は勇気を振り絞って注意するのだが、追い出され、店の前で倒れてしまう。そんな店員を注意するスタイル抜群の美女が月海を助けてくれた。月海がわけを話すと、その美女はクララを買ってしまおうとお持ち帰り。美女は月海とともに『天水館』まで来ると部屋まで見たいと言い出した。美女は月海の部屋に勝手に泊まることにしてしまい…。  そして、次の朝、目覚めた月海が大声を出すことに。美女が上半身裸の男、鯉淵蔵之介(瀬戸康史)に変身していたのだ。蔵之介によると女装は趣味らしい。慌てる月海は『天水館』は男子禁制の尼寺のようなところだと蔵之介に説明。女装姿に戻った蔵之介が月海と部屋を出ると、独特な住人たちがいて…。</v>
      </c>
      <c r="N196" s="2" t="str">
        <f>IFERROR(__xludf.DUMMYFUNCTION("""COMPUTED_VALUE"""),"  瀬戸康史　  工藤阿須加　  木南晴夏　  松井玲奈　  内田理央　  富山えり子  　・　  泉里香　  安井順平　  要潤  　・　  床嶋佳子　  北大路欣也　    他【原作】  東村アキコ「海月姫」(講談社「Kiss」所載)　    【脚本】  徳永友一　    【OPテーマ】  カフェラテ噴水公園「Goサインは1コイン」(avex　trax)　    【主題歌】  Beverly「A　New　Day」(avex　trax)　    【編成企画】  渡辺恒也　    【プロデュース】  小林"&amp;"宙　    【演出】  石川淳一　  山内大典　    【制作】  フジテレビ　    【制作著作】  共同テレビ")</f>
        <v>  瀬戸康史　  工藤阿須加　  木南晴夏　  松井玲奈　  内田理央　  富山えり子  　・　  泉里香　  安井順平　  要潤  　・　  床嶋佳子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v>
      </c>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row>
    <row r="197" ht="204.75" customHeight="1">
      <c r="A197" s="1">
        <v>839.0</v>
      </c>
      <c r="B197" s="2" t="s">
        <v>630</v>
      </c>
      <c r="C197" s="2">
        <f>IFERROR(__xludf.DUMMYFUNCTION("split(B197,""_"")"),1801.0)</f>
        <v>1801</v>
      </c>
      <c r="D197" s="2" t="str">
        <f>IFERROR(__xludf.DUMMYFUNCTION("""COMPUTED_VALUE"""),"CX")</f>
        <v>CX</v>
      </c>
      <c r="E197" s="2" t="str">
        <f>IFERROR(__xludf.DUMMYFUNCTION("""COMPUTED_VALUE"""),"月21")</f>
        <v>月21</v>
      </c>
      <c r="F197" s="2" t="s">
        <v>631</v>
      </c>
      <c r="G197" s="2" t="s">
        <v>635</v>
      </c>
      <c r="H197" s="1">
        <v>2.0</v>
      </c>
      <c r="I197" s="1" t="s">
        <v>7</v>
      </c>
      <c r="J197" s="1" t="s">
        <v>11</v>
      </c>
      <c r="K197" s="2" t="s">
        <v>636</v>
      </c>
      <c r="L197" s="2" t="s">
        <v>637</v>
      </c>
      <c r="M197" s="2" t="str">
        <f>IFERROR(__xludf.DUMMYFUNCTION("split(K197,""芳根京子　"",false)"),"【公式HP】  http://www.fujitv.co.jp/kuragehime/    【公式Instagram】  https://www.instagram.com/princess_kurage/    【公式Twitter】  https://twitter.com/princess_kurage『天水館』の朝。大慌ての倉下月海(芳根京子)が広間に駆け込み、ジジ様(木南晴夏)たちに目白先生が締切日を間違えていたことを報告。目白先生はBL漫画家で、収入の乏しい“尼～ず""たちは時にアシスタント"&amp;"をしていた。月海たちは原稿の仕上げを始めるが、そんな時、男同士が抱き合うカットを見た月海の動きが止まり…。月海は鯉淵修(工藤阿須加)に水族館で抱きしめられたことを思い出したのだ。千絵子(富山えり子)たちが月海を心配していると、蔵之介(瀬戸康史)が現れる。月海は修に抱きしめられたことを蔵之介に問われるとますます混乱。そんな月海をよそに蔵之介が手を洗おうと台所の蛇口をひねると排水管が破裂!  月海の部屋で体を拭いて着替えを借りる蔵之介。その時、蔵之介は「修から月海の母の話を聞いた」と話す。そして、ふと「気持ち"&amp;"がわかる」と漏らす蔵之介。月海は聞き返そうとするが、蔵之介が濡れた服を脱ぎ始めたので部屋を出た。排水管の修理代は20万円。だが、ほぼニート状態の月海たちに持ち合わせなどあるはずがなく…。すると、蔵之介は“尼～ず""たちの収集品をフリーマーケットで売ろうと提案。一応、自分たちの持ち物を出品する“尼～ず""たちだが、大事なオタクグッズを売るつもりなどはなからない様子。だが、月海が作ったクラゲのぬいぐるみが普通に売れて評判も上々。これに目をつけた蔵之介はネット販売を思いつく。")</f>
        <v>【公式HP】  http://www.fujitv.co.jp/kuragehime/    【公式Instagram】  https://www.instagram.com/princess_kurage/    【公式Twitter】  https://twitter.com/princess_kurage『天水館』の朝。大慌ての倉下月海(芳根京子)が広間に駆け込み、ジジ様(木南晴夏)たちに目白先生が締切日を間違えていたことを報告。目白先生はBL漫画家で、収入の乏しい“尼～ず"たちは時にアシスタントをしていた。月海たちは原稿の仕上げを始めるが、そんな時、男同士が抱き合うカットを見た月海の動きが止まり…。月海は鯉淵修(工藤阿須加)に水族館で抱きしめられたことを思い出したのだ。千絵子(富山えり子)たちが月海を心配していると、蔵之介(瀬戸康史)が現れる。月海は修に抱きしめられたことを蔵之介に問われるとますます混乱。そんな月海をよそに蔵之介が手を洗おうと台所の蛇口をひねると排水管が破裂!  月海の部屋で体を拭いて着替えを借りる蔵之介。その時、蔵之介は「修から月海の母の話を聞いた」と話す。そして、ふと「気持ちがわかる」と漏らす蔵之介。月海は聞き返そうとするが、蔵之介が濡れた服を脱ぎ始めたので部屋を出た。排水管の修理代は20万円。だが、ほぼニート状態の月海たちに持ち合わせなどあるはずがなく…。すると、蔵之介は“尼～ず"たちの収集品をフリーマーケットで売ろうと提案。一応、自分たちの持ち物を出品する“尼～ず"たちだが、大事なオタクグッズを売るつもりなどはなからない様子。だが、月海が作ったクラゲのぬいぐるみが普通に売れて評判も上々。これに目をつけた蔵之介はネット販売を思いつく。</v>
      </c>
      <c r="N197" s="2" t="str">
        <f>IFERROR(__xludf.DUMMYFUNCTION("""COMPUTED_VALUE"""),"  瀬戸康史　  工藤阿須加　  木南晴夏　  松井玲奈　  内田理央　  富山えり子  　・　  泉里香　  安井順平　  要潤  　・　  床嶋佳子　  北大路欣也　    他【原作】  東村アキコ「海月姫」(講談社「Kiss」所載)　    【脚本】  徳永友一　    【OPテーマ】  カフェラテ噴水公園「Goサインは1コイン」(avex　trax)　    【主題歌】  Beverly「A　New　Day」(avex　trax)　    【編成企画】  渡辺恒也　    【プロデュース】  小林"&amp;"宙　    【演出】  石川淳一　  山内大典　    【制作】  フジテレビ　    【制作著作】  共同テレビ")</f>
        <v>  瀬戸康史　  工藤阿須加　  木南晴夏　  松井玲奈　  内田理央　  富山えり子  　・　  泉里香　  安井順平　  要潤  　・　  床嶋佳子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v>
      </c>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row>
    <row r="198" ht="204.75" customHeight="1">
      <c r="A198" s="1">
        <v>840.0</v>
      </c>
      <c r="B198" s="2" t="s">
        <v>630</v>
      </c>
      <c r="C198" s="2">
        <f>IFERROR(__xludf.DUMMYFUNCTION("split(B198,""_"")"),1801.0)</f>
        <v>1801</v>
      </c>
      <c r="D198" s="2" t="str">
        <f>IFERROR(__xludf.DUMMYFUNCTION("""COMPUTED_VALUE"""),"CX")</f>
        <v>CX</v>
      </c>
      <c r="E198" s="2" t="str">
        <f>IFERROR(__xludf.DUMMYFUNCTION("""COMPUTED_VALUE"""),"月21")</f>
        <v>月21</v>
      </c>
      <c r="F198" s="2" t="s">
        <v>631</v>
      </c>
      <c r="G198" s="2" t="s">
        <v>638</v>
      </c>
      <c r="H198" s="1">
        <v>3.0</v>
      </c>
      <c r="I198" s="1" t="s">
        <v>10</v>
      </c>
      <c r="J198" s="1" t="s">
        <v>11</v>
      </c>
      <c r="K198" s="2" t="s">
        <v>639</v>
      </c>
      <c r="L198" s="2" t="s">
        <v>640</v>
      </c>
      <c r="M198" s="2" t="str">
        <f>IFERROR(__xludf.DUMMYFUNCTION("split(K198,""芳根京子　"",false)"),"【公式HP】  http://www.fujitv.co.jp/kuragehime/    【公式Instagram】  https://www.instagram.com/princess_kurage/    【公式Twitter】  https://twitter.com/princess_kurage倉下月海(芳根京子)は、クラゲのドレスを作ろうと言い出した鯉淵蔵之介(瀬戸康史)を信じられずにいた。しかし、蔵之介は本気。蔵之介は早速ドレスのデザインをスケッチし始める。月海は「全然違う」と、自分が"&amp;"描いたハナガサクラゲのデッサンを見せると、蔵之介は思わず「こんなドレスがあったら欲しい」と言う。そこに、ばんばさん(松井玲奈)が、風呂が空いたと月海を呼びに。男の格好だった蔵之介は姿を消す。  蔵之介が家に帰ると修(工藤阿須加)が部屋を訪ねてきた。修は、月海と会いたいがどうすれば良いかわからない状態に。月海と付き合わせると言った約束がまだ有効かと蔵之介に問う修。すると蔵之介は、月海に声をかけると請け負う。  『天水館』に行った蔵之介は修とデートするよう月海に告げる。月海は行きたくないと即答。修と稲荷翔子("&amp;"泉里香)が交際していると思っていたからだ。蔵之介は「直接修に聞いてみれば良い」と言うが、月海には無理。さらに、男性とデートしたら『天水館』にいられなくなると続ける月海に、蔵之介は強引にメイクを施して出かけさせる。  月海と修は無事に落ち合うが、ギクシャクしたデートが続く。そんな中、メガネをかけた月海を見た修は『天水館』で「気色悪い」と言ってしまった女性だと気づく。一方、蔵之介は“尼～ず""にクラゲのドレスを作ると宣言。気乗りしない面々に、蔵之介はドレスで儲けた金で『天水館』を救おうと言い出す。")</f>
        <v>【公式HP】  http://www.fujitv.co.jp/kuragehime/    【公式Instagram】  https://www.instagram.com/princess_kurage/    【公式Twitter】  https://twitter.com/princess_kurage倉下月海(芳根京子)は、クラゲのドレスを作ろうと言い出した鯉淵蔵之介(瀬戸康史)を信じられずにいた。しかし、蔵之介は本気。蔵之介は早速ドレスのデザインをスケッチし始める。月海は「全然違う」と、自分が描いたハナガサクラゲのデッサンを見せると、蔵之介は思わず「こんなドレスがあったら欲しい」と言う。そこに、ばんばさん(松井玲奈)が、風呂が空いたと月海を呼びに。男の格好だった蔵之介は姿を消す。  蔵之介が家に帰ると修(工藤阿須加)が部屋を訪ねてきた。修は、月海と会いたいがどうすれば良いかわからない状態に。月海と付き合わせると言った約束がまだ有効かと蔵之介に問う修。すると蔵之介は、月海に声をかけると請け負う。  『天水館』に行った蔵之介は修とデートするよう月海に告げる。月海は行きたくないと即答。修と稲荷翔子(泉里香)が交際していると思っていたからだ。蔵之介は「直接修に聞いてみれば良い」と言うが、月海には無理。さらに、男性とデートしたら『天水館』にいられなくなると続ける月海に、蔵之介は強引にメイクを施して出かけさせる。  月海と修は無事に落ち合うが、ギクシャクしたデートが続く。そんな中、メガネをかけた月海を見た修は『天水館』で「気色悪い」と言ってしまった女性だと気づく。一方、蔵之介は“尼～ず"にクラゲのドレスを作ると宣言。気乗りしない面々に、蔵之介はドレスで儲けた金で『天水館』を救おうと言い出す。</v>
      </c>
      <c r="N198" s="2" t="str">
        <f>IFERROR(__xludf.DUMMYFUNCTION("""COMPUTED_VALUE"""),"  瀬戸康史　  工藤阿須加　  木南晴夏　  松井玲奈　  内田理央　  富山えり子  　・　  泉里香　  安井順平　  要潤  　・　  床嶋佳子　  北大路欣也　    他【原作】  東村アキコ「海月姫」(講談社「Kiss」所載)　    【脚本】  徳永友一　    【OPテーマ】  カフェラテ噴水公園「Goサインは1コイン」(avex　trax)　    【主題歌】  Beverly「A　New　Day」(avex　trax)　    【編成企画】  渡辺恒也　    【プロデュース】  小林"&amp;"宙　    【演出】  石川淳一　  山内大典　    【制作】  フジテレビ　    【制作著作】  共同テレビ")</f>
        <v>  瀬戸康史　  工藤阿須加　  木南晴夏　  松井玲奈　  内田理央　  富山えり子  　・　  泉里香　  安井順平　  要潤  　・　  床嶋佳子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v>
      </c>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row>
    <row r="199" ht="204.75" customHeight="1">
      <c r="A199" s="1">
        <v>841.0</v>
      </c>
      <c r="B199" s="2" t="s">
        <v>630</v>
      </c>
      <c r="C199" s="2">
        <f>IFERROR(__xludf.DUMMYFUNCTION("split(B199,""_"")"),1801.0)</f>
        <v>1801</v>
      </c>
      <c r="D199" s="2" t="str">
        <f>IFERROR(__xludf.DUMMYFUNCTION("""COMPUTED_VALUE"""),"CX")</f>
        <v>CX</v>
      </c>
      <c r="E199" s="2" t="str">
        <f>IFERROR(__xludf.DUMMYFUNCTION("""COMPUTED_VALUE"""),"月21")</f>
        <v>月21</v>
      </c>
      <c r="F199" s="2" t="s">
        <v>631</v>
      </c>
      <c r="G199" s="2" t="s">
        <v>641</v>
      </c>
      <c r="H199" s="1">
        <v>4.0</v>
      </c>
      <c r="I199" s="1" t="s">
        <v>14</v>
      </c>
      <c r="J199" s="1" t="s">
        <v>11</v>
      </c>
      <c r="K199" s="2" t="s">
        <v>642</v>
      </c>
      <c r="L199" s="2" t="s">
        <v>643</v>
      </c>
      <c r="M199" s="2" t="str">
        <f>IFERROR(__xludf.DUMMYFUNCTION("split(K199,""芳根京子　"",false)"),"【公式HP】  http://www.fujitv.co.jp/kuragehime/    【公式Instagram】  https://www.instagram.com/princess_kurage/    【公式Twitter】  https://twitter.com/princess_kurage倉下月海(芳根京子)に思いを届けようと、鯉淵修(工藤阿須加)は『天水館』に行くが、ばんばさん(松井玲奈)とまやや(内田理央)に追い返されてしまう。ばんばさんたちが月海に武勇伝を語っていると、ジジ様("&amp;"木南晴夏)と千絵子(富山えり子)が帰宅。こちらは蔵之介(瀬戸康史)が男だと知り『天水館』や月海に近づかないよう言いに行ったが、ちょっと様子がおかしくー。千絵子は、蔵之介が『ベルサイユのばら』のオスカルだったと泣き崩れる。政治一家に女として産まれたが男として育てられたと蔵之介がついた嘘を2人は信じ、帰ってきたのだった。  ジジ様たちが北京ダックをおごってもらったと知ったまややは蔵之介に電話。蔵之介が『バタフライ』というクラブにいると聞くと、まややは蝶マニアが集うイベントと勘違い。月海とばんばさんを伴い、自分"&amp;"たちもおごってもらおうと『天水館』を後にする。  蔵之介が桐山琴音(最上もが)たちにクラゲのドレスの写真を見せていると月海たちが到着。そこはオシャレなクラブだった。月海たちは浮きまくり、琴音たちにバカにされ…。蔵之介は月海たちを連れ出すものの、傷ついた“尼～ず""は帰ってしまう。ばんばさんとまややは「蔵之介とは関わらない」と宣言、蔵之介は『天水館』と関わることができなくなってしまうのか。  後日、蔵之介は琴音から「クラゲのドレスを作って欲しい」と連絡を受ける。蔵之介は月海たちに話をするのだが…。")</f>
        <v>【公式HP】  http://www.fujitv.co.jp/kuragehime/    【公式Instagram】  https://www.instagram.com/princess_kurage/    【公式Twitter】  https://twitter.com/princess_kurage倉下月海(芳根京子)に思いを届けようと、鯉淵修(工藤阿須加)は『天水館』に行くが、ばんばさん(松井玲奈)とまやや(内田理央)に追い返されてしまう。ばんばさんたちが月海に武勇伝を語っていると、ジジ様(木南晴夏)と千絵子(富山えり子)が帰宅。こちらは蔵之介(瀬戸康史)が男だと知り『天水館』や月海に近づかないよう言いに行ったが、ちょっと様子がおかしくー。千絵子は、蔵之介が『ベルサイユのばら』のオスカルだったと泣き崩れる。政治一家に女として産まれたが男として育てられたと蔵之介がついた嘘を2人は信じ、帰ってきたのだった。  ジジ様たちが北京ダックをおごってもらったと知ったまややは蔵之介に電話。蔵之介が『バタフライ』というクラブにいると聞くと、まややは蝶マニアが集うイベントと勘違い。月海とばんばさんを伴い、自分たちもおごってもらおうと『天水館』を後にする。  蔵之介が桐山琴音(最上もが)たちにクラゲのドレスの写真を見せていると月海たちが到着。そこはオシャレなクラブだった。月海たちは浮きまくり、琴音たちにバカにされ…。蔵之介は月海たちを連れ出すものの、傷ついた“尼～ず"は帰ってしまう。ばんばさんとまややは「蔵之介とは関わらない」と宣言、蔵之介は『天水館』と関わることができなくなってしまうのか。  後日、蔵之介は琴音から「クラゲのドレスを作って欲しい」と連絡を受ける。蔵之介は月海たちに話をするのだが…。</v>
      </c>
      <c r="N199" s="2" t="str">
        <f>IFERROR(__xludf.DUMMYFUNCTION("""COMPUTED_VALUE"""),"  瀬戸康史　  工藤阿須加　  木南晴夏　  松井玲奈　  内田理央　  富山えり子  　・　  泉里香　  安井順平　  要潤  　・　  床嶋佳子　  北大路欣也　    他【原作】  東村アキコ「海月姫」(講談社「Kiss」所載)　    【脚本】  徳永友一　    【OPテーマ】  カフェラテ噴水公園「Goサインは1コイン」(avex　trax)　    【主題歌】  Beverly「A　New　Day」(avex　trax)　    【編成企画】  渡辺恒也　    【プロデュース】  小林"&amp;"宙　    【演出】  石川淳一　  山内大典　    【制作】  フジテレビ　    【制作著作】  共同テレビ")</f>
        <v>  瀬戸康史　  工藤阿須加　  木南晴夏　  松井玲奈　  内田理央　  富山えり子  　・　  泉里香　  安井順平　  要潤  　・　  床嶋佳子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v>
      </c>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row>
    <row r="200" ht="204.75" customHeight="1">
      <c r="A200" s="1">
        <v>842.0</v>
      </c>
      <c r="B200" s="2" t="s">
        <v>630</v>
      </c>
      <c r="C200" s="2">
        <f>IFERROR(__xludf.DUMMYFUNCTION("split(B200,""_"")"),1801.0)</f>
        <v>1801</v>
      </c>
      <c r="D200" s="2" t="str">
        <f>IFERROR(__xludf.DUMMYFUNCTION("""COMPUTED_VALUE"""),"CX")</f>
        <v>CX</v>
      </c>
      <c r="E200" s="2" t="str">
        <f>IFERROR(__xludf.DUMMYFUNCTION("""COMPUTED_VALUE"""),"月21")</f>
        <v>月21</v>
      </c>
      <c r="F200" s="2" t="s">
        <v>631</v>
      </c>
      <c r="G200" s="2" t="s">
        <v>644</v>
      </c>
      <c r="H200" s="1">
        <v>5.0</v>
      </c>
      <c r="I200" s="1" t="s">
        <v>17</v>
      </c>
      <c r="J200" s="1" t="s">
        <v>4</v>
      </c>
      <c r="K200" s="2" t="s">
        <v>645</v>
      </c>
      <c r="L200" s="2" t="s">
        <v>646</v>
      </c>
      <c r="M200" s="2" t="str">
        <f>IFERROR(__xludf.DUMMYFUNCTION("split(K200,""芳根京子　"",false)"),"【公式HP】  http://www.fujitv.co.jp/kuragehime/    【公式Instagram】  https://www.instagram.com/princess_kurage/    【公式Twitter】  https://twitter.com/princess_kurage稲荷翔子(泉里香)が『天水館』の持ち主である千絵子(富山えり子)の母に直接、土地建物の売買契約を持ち込んだ事を知り、倉下月海(芳根京子)たちは戦々恐々。一方、鯉淵蔵之介(瀬戸康史)も花森よしお(要潤"&amp;")から、父の慶一郎(北大路欣也)が自ら主催するパーティーで天水地区再開発賛成派を表明すると聞いて危機感を募らせる。  蔵之介が『天水館』へ行くと、月海はドレスをたくさん作って販売したいと訴える。蔵之介も賛成し、慶一郎のパーティー開催日にファッションショーをやろうと言い出した。尻込みする“尼～ず""たちだが、ジジ様(木南晴夏)はそれしかないと同意。ばんばさん(松井玲奈)、まやや(内田理央)はジジ様に「儲けが出たら趣味の品を買えるかも」と言われてやる気に。作戦会議を始めた“尼～ず""だが、販売用のドレスを作る"&amp;"ためには彼女たちの力では難しく…。そこで縫製のプロを雇うことを決意。すると千絵子は友人に適任者がいると月海たちを連れて頼みに出かける。  月海たちが通された千絵子の友人、ノムさん(安達祐実)の部屋にはたくさんの人形が飾られていた。ノムさんの服作りは人形専門。しかし、ノムさんの力量は本物で、クラゲのドレスを気に入って即座に人形用の型紙を作り始めた。人間用ドレスに協力してくれたらデザインを人形にも使って良いと千絵子が条件を出すと、ノムさんは了承した。  こうして月海たちは本格的なドレス作りに着手する。")</f>
        <v>【公式HP】  http://www.fujitv.co.jp/kuragehime/    【公式Instagram】  https://www.instagram.com/princess_kurage/    【公式Twitter】  https://twitter.com/princess_kurage稲荷翔子(泉里香)が『天水館』の持ち主である千絵子(富山えり子)の母に直接、土地建物の売買契約を持ち込んだ事を知り、倉下月海(芳根京子)たちは戦々恐々。一方、鯉淵蔵之介(瀬戸康史)も花森よしお(要潤)から、父の慶一郎(北大路欣也)が自ら主催するパーティーで天水地区再開発賛成派を表明すると聞いて危機感を募らせる。  蔵之介が『天水館』へ行くと、月海はドレスをたくさん作って販売したいと訴える。蔵之介も賛成し、慶一郎のパーティー開催日にファッションショーをやろうと言い出した。尻込みする“尼～ず"たちだが、ジジ様(木南晴夏)はそれしかないと同意。ばんばさん(松井玲奈)、まやや(内田理央)はジジ様に「儲けが出たら趣味の品を買えるかも」と言われてやる気に。作戦会議を始めた“尼～ず"だが、販売用のドレスを作るためには彼女たちの力では難しく…。そこで縫製のプロを雇うことを決意。すると千絵子は友人に適任者がいると月海たちを連れて頼みに出かける。  月海たちが通された千絵子の友人、ノムさん(安達祐実)の部屋にはたくさんの人形が飾られていた。ノムさんの服作りは人形専門。しかし、ノムさんの力量は本物で、クラゲのドレスを気に入って即座に人形用の型紙を作り始めた。人間用ドレスに協力してくれたらデザインを人形にも使って良いと千絵子が条件を出すと、ノムさんは了承した。  こうして月海たちは本格的なドレス作りに着手する。</v>
      </c>
      <c r="N200" s="2" t="str">
        <f>IFERROR(__xludf.DUMMYFUNCTION("""COMPUTED_VALUE"""),"  瀬戸康史　  工藤阿須加　  木南晴夏　  松井玲奈　  内田理央　  富山えり子  　・　  泉里香　  安井順平　  要潤  　・　  床嶋佳子　  北大路欣也　    〈ゲスト出演〉  安達祐実【原作】  東村アキコ「海月姫」(講談社「Kiss」所載)　    【脚本】  徳永友一　    【OPテーマ】  カフェラテ噴水公園「Goサインは1コイン」(avex　trax)　    【主題歌】  Beverly「A　New　Day」(avex　trax)　    【編成企画】  渡辺恒也　    "&amp;"【プロデュース】  小林宙　    【演出】  石川淳一　  山内大典　    【制作】  フジテレビ　    【制作著作】  共同テレビ")</f>
        <v>  瀬戸康史　  工藤阿須加　  木南晴夏　  松井玲奈　  内田理央　  富山えり子  　・　  泉里香　  安井順平　  要潤  　・　  床嶋佳子　  北大路欣也　    〈ゲスト出演〉  安達祐実【原作】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v>
      </c>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row>
    <row r="201" ht="204.75" customHeight="1">
      <c r="A201" s="1">
        <v>843.0</v>
      </c>
      <c r="B201" s="2" t="s">
        <v>630</v>
      </c>
      <c r="C201" s="2">
        <f>IFERROR(__xludf.DUMMYFUNCTION("split(B201,""_"")"),1801.0)</f>
        <v>1801</v>
      </c>
      <c r="D201" s="2" t="str">
        <f>IFERROR(__xludf.DUMMYFUNCTION("""COMPUTED_VALUE"""),"CX")</f>
        <v>CX</v>
      </c>
      <c r="E201" s="2" t="str">
        <f>IFERROR(__xludf.DUMMYFUNCTION("""COMPUTED_VALUE"""),"月21")</f>
        <v>月21</v>
      </c>
      <c r="F201" s="2" t="s">
        <v>631</v>
      </c>
      <c r="G201" s="2" t="s">
        <v>647</v>
      </c>
      <c r="H201" s="1">
        <v>6.0</v>
      </c>
      <c r="I201" s="1" t="s">
        <v>21</v>
      </c>
      <c r="J201" s="1" t="s">
        <v>11</v>
      </c>
      <c r="K201" s="2" t="s">
        <v>648</v>
      </c>
      <c r="L201" s="2" t="s">
        <v>649</v>
      </c>
      <c r="M201" s="2" t="str">
        <f>IFERROR(__xludf.DUMMYFUNCTION("split(K201,""芳根京子　"",false)"),"【公式HP】  http://www.fujitv.co.jp/kuragehime/    【公式Instagram】  https://www.instagram.com/princess_kurage/    【公式Twitter】  https://twitter.com/princess_kurage『天水館』で行われた月海(芳根京子)たちのブランド“ジェリーフィッシュ""のファッションショーは成功した。しかし、ショーの後に蔵之介(瀬戸康史)にキスされた月海は心ここにあらずの状態に。一方、蔵之介"&amp;"はショーの最中に天水地区再開発反対を発表したことで、賛成派の父、慶一郎(北大路欣也)に叱られてしまう。スポーツ紙などはショーよりも親子対決を大きく取り上げることに…。  その頃、修(工藤阿須加)は議員会館で慶一郎の後援者などの電話対応に追われていた。そこに紛れて別の内容の電話が…。蔵之介の実母、リナ(若村麻由美)からだった。リナは蔵之介がショーで着ていたドレスの注文を修に頼む。しかも「蔵之介には内緒で」ということだった。  慶一郎に自宅謹慎を申し付けられた蔵之介だったが、自宅前で待ち構えるマスコミの前にジ"&amp;"ェリーフィッシュの服で姿を現した蔵之介はちゃっかり宣伝する。『天水館』を訪ねた蔵之介は“尼～ず""たちに「ジェリーフィッシュのホームページを立ち上げてドレスのオーダーをとろう」と促した。そんな蔵之介を自室に呼んだ月海は、昨夜のキスの意味を尋ねるが、蔵之介に「挨拶みたいなもの」とあっさりかわされてしまう。  月海が生地を買いに行くと修と会う。修は月海に「みんなには内緒でドレスを作ってほしい」と頼むが、リナの注文だとは言わなかった。修に送られて『天水館』に戻る月海の姿を蔵之介が目撃していたー。")</f>
        <v>【公式HP】  http://www.fujitv.co.jp/kuragehime/    【公式Instagram】  https://www.instagram.com/princess_kurage/    【公式Twitter】  https://twitter.com/princess_kurage『天水館』で行われた月海(芳根京子)たちのブランド“ジェリーフィッシュ"のファッションショーは成功した。しかし、ショーの後に蔵之介(瀬戸康史)にキスされた月海は心ここにあらずの状態に。一方、蔵之介はショーの最中に天水地区再開発反対を発表したことで、賛成派の父、慶一郎(北大路欣也)に叱られてしまう。スポーツ紙などはショーよりも親子対決を大きく取り上げることに…。  その頃、修(工藤阿須加)は議員会館で慶一郎の後援者などの電話対応に追われていた。そこに紛れて別の内容の電話が…。蔵之介の実母、リナ(若村麻由美)からだった。リナは蔵之介がショーで着ていたドレスの注文を修に頼む。しかも「蔵之介には内緒で」ということだった。  慶一郎に自宅謹慎を申し付けられた蔵之介だったが、自宅前で待ち構えるマスコミの前にジェリーフィッシュの服で姿を現した蔵之介はちゃっかり宣伝する。『天水館』を訪ねた蔵之介は“尼～ず"たちに「ジェリーフィッシュのホームページを立ち上げてドレスのオーダーをとろう」と促した。そんな蔵之介を自室に呼んだ月海は、昨夜のキスの意味を尋ねるが、蔵之介に「挨拶みたいなもの」とあっさりかわされてしまう。  月海が生地を買いに行くと修と会う。修は月海に「みんなには内緒でドレスを作ってほしい」と頼むが、リナの注文だとは言わなかった。修に送られて『天水館』に戻る月海の姿を蔵之介が目撃していたー。</v>
      </c>
      <c r="N201" s="2" t="str">
        <f>IFERROR(__xludf.DUMMYFUNCTION("""COMPUTED_VALUE"""),"  瀬戸康史　  工藤阿須加　  木南晴夏　  松井玲奈　  内田理央　  富山えり子  　・　  泉里香　  安井順平　  要潤  　・　  床嶋佳子　  若村麻由美　  北大路欣也　    〈ゲスト出演〉  江口のりこ【原作】  東村アキコ「海月姫」(講談社「Kiss」所載)　    【脚本】  徳永友一　    【OPテーマ】  カフェラテ噴水公園「Goサインは1コイン」(avex　trax)　    【主題歌】  Beverly「A　New　Day」(avex　trax)　    【編成企画】  "&amp;"渡辺恒也　    【プロデュース】  小林宙　    【演出】  石川淳一　  山内大典　    【制作】  フジテレビ　    【制作著作】  共同テレビ")</f>
        <v>  瀬戸康史　  工藤阿須加　  木南晴夏　  松井玲奈　  内田理央　  富山えり子  　・　  泉里香　  安井順平　  要潤  　・　  床嶋佳子　  若村麻由美　  北大路欣也　    〈ゲスト出演〉  江口のりこ【原作】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v>
      </c>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row>
    <row r="202" ht="204.75" customHeight="1">
      <c r="A202" s="1">
        <v>844.0</v>
      </c>
      <c r="B202" s="2" t="s">
        <v>630</v>
      </c>
      <c r="C202" s="2">
        <f>IFERROR(__xludf.DUMMYFUNCTION("split(B202,""_"")"),1801.0)</f>
        <v>1801</v>
      </c>
      <c r="D202" s="2" t="str">
        <f>IFERROR(__xludf.DUMMYFUNCTION("""COMPUTED_VALUE"""),"CX")</f>
        <v>CX</v>
      </c>
      <c r="E202" s="2" t="str">
        <f>IFERROR(__xludf.DUMMYFUNCTION("""COMPUTED_VALUE"""),"月21")</f>
        <v>月21</v>
      </c>
      <c r="F202" s="2" t="s">
        <v>631</v>
      </c>
      <c r="G202" s="2" t="s">
        <v>650</v>
      </c>
      <c r="H202" s="1">
        <v>7.0</v>
      </c>
      <c r="I202" s="1" t="s">
        <v>25</v>
      </c>
      <c r="J202" s="1" t="s">
        <v>11</v>
      </c>
      <c r="K202" s="2" t="s">
        <v>651</v>
      </c>
      <c r="L202" s="2" t="s">
        <v>652</v>
      </c>
      <c r="M202" s="2" t="str">
        <f>IFERROR(__xludf.DUMMYFUNCTION("split(K202,""芳根京子　"",false)"),"【公式HP】  http://www.fujitv.co.jp/kuragehime/    【公式Instagram】  https://www.instagram.com/princess_kurage/    【公式Twitter】  https://twitter.com/princess_kurage修(工藤阿須加)から告白された月海(芳根京子)は大混乱。“尼～ず""に相談出来ない月海は、蔵之介(瀬戸康史)に電話で報告します。話を聞いた蔵之介が修に尋ねると「交際を求めているのではなく、月海にプロ"&amp;"ポーズしようと思っている」と突っ走ろうとしていました。そんなことをしたら月海がどうなるかわからないと、蔵之介は修をいさめます。  ジジ様(木南晴夏)の生産管理も様になり、『ジェリーフィッシュ』のドレスが順調に出荷されていく中『天水館』の月海宛てに一通の手紙が届きます。差出人の名前がない手紙を怖がる月海の代わりに、封を切ったまやや(内田理央)が固まります。蔵之介が手紙を奪い取ると、差出人は修。内容はまさに月海へのプロポーズだったのです。ばんばさん(松井玲奈)や千絵子(富山えり子)も動転する中、蔵之介は修のフ"&amp;"ライングに歯噛みします。  そんな混乱の最中に、千絵子の母、千世子(富山えり子・二役)が現れ“尼～ず""たちに『天水館』から早く出て行けと迫ります。千絵子は母に、ここで服を作っていると説明。蔵之介も「服を売って『天水館』を買いたい」と話しましたが、千世子は売却契約に行くと出て行きます。しかし実は、母に内緒で『天水館』の権利証を隠していた千絵子。契約までの時間を引き延ばした月海たちは、ジジ様の提案でファッション界のバイヤーやスタイリストなどが集まるプロモーションスペースに出店することにー。")</f>
        <v>【公式HP】  http://www.fujitv.co.jp/kuragehime/    【公式Instagram】  https://www.instagram.com/princess_kurage/    【公式Twitter】  https://twitter.com/princess_kurage修(工藤阿須加)から告白された月海(芳根京子)は大混乱。“尼～ず"に相談出来ない月海は、蔵之介(瀬戸康史)に電話で報告します。話を聞いた蔵之介が修に尋ねると「交際を求めているのではなく、月海にプロポーズしようと思っている」と突っ走ろうとしていました。そんなことをしたら月海がどうなるかわからないと、蔵之介は修をいさめます。  ジジ様(木南晴夏)の生産管理も様になり、『ジェリーフィッシュ』のドレスが順調に出荷されていく中『天水館』の月海宛てに一通の手紙が届きます。差出人の名前がない手紙を怖がる月海の代わりに、封を切ったまやや(内田理央)が固まります。蔵之介が手紙を奪い取ると、差出人は修。内容はまさに月海へのプロポーズだったのです。ばんばさん(松井玲奈)や千絵子(富山えり子)も動転する中、蔵之介は修のフライングに歯噛みします。  そんな混乱の最中に、千絵子の母、千世子(富山えり子・二役)が現れ“尼～ず"たちに『天水館』から早く出て行けと迫ります。千絵子は母に、ここで服を作っていると説明。蔵之介も「服を売って『天水館』を買いたい」と話しましたが、千世子は売却契約に行くと出て行きます。しかし実は、母に内緒で『天水館』の権利証を隠していた千絵子。契約までの時間を引き延ばした月海たちは、ジジ様の提案でファッション界のバイヤーやスタイリストなどが集まるプロモーションスペースに出店することにー。</v>
      </c>
      <c r="N202" s="2" t="str">
        <f>IFERROR(__xludf.DUMMYFUNCTION("""COMPUTED_VALUE"""),"  瀬戸康史　  工藤阿須加　  木南晴夏　  松井玲奈　  内田理央　  富山えり子  　・　  泉里香　  安井順平　  要潤  　・　  床嶋佳子　  若村麻由美　  北大路欣也　    他【原作】  東村アキコ「海月姫」(講談社「Kiss」所載)　    【脚本】  徳永友一　    【OPテーマ】  カフェラテ噴水公園「Goサインは1コイン」(avex　trax)　    【主題歌】  Beverly「A　New　Day」(avex　trax)　    【編成企画】  渡辺恒也　    【プロデ"&amp;"ュース】  小林宙　    【演出】  石川淳一　  山内大典　    【制作】  フジテレビ　    【制作著作】  共同テレビ")</f>
        <v>  瀬戸康史　  工藤阿須加　  木南晴夏　  松井玲奈　  内田理央　  富山えり子  　・　  泉里香　  安井順平　  要潤  　・　  床嶋佳子　  若村麻由美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v>
      </c>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row>
    <row r="203" ht="204.75" customHeight="1">
      <c r="A203" s="1">
        <v>845.0</v>
      </c>
      <c r="B203" s="2" t="s">
        <v>630</v>
      </c>
      <c r="C203" s="2">
        <f>IFERROR(__xludf.DUMMYFUNCTION("split(B203,""_"")"),1801.0)</f>
        <v>1801</v>
      </c>
      <c r="D203" s="2" t="str">
        <f>IFERROR(__xludf.DUMMYFUNCTION("""COMPUTED_VALUE"""),"CX")</f>
        <v>CX</v>
      </c>
      <c r="E203" s="2" t="str">
        <f>IFERROR(__xludf.DUMMYFUNCTION("""COMPUTED_VALUE"""),"月21")</f>
        <v>月21</v>
      </c>
      <c r="F203" s="2" t="s">
        <v>631</v>
      </c>
      <c r="G203" s="2" t="s">
        <v>653</v>
      </c>
      <c r="H203" s="1">
        <v>8.0</v>
      </c>
      <c r="I203" s="1" t="s">
        <v>29</v>
      </c>
      <c r="J203" s="1" t="s">
        <v>11</v>
      </c>
      <c r="K203" s="2" t="s">
        <v>654</v>
      </c>
      <c r="L203" s="2" t="s">
        <v>655</v>
      </c>
      <c r="M203" s="2" t="str">
        <f>IFERROR(__xludf.DUMMYFUNCTION("split(K203,""芳根京子　"",false)"),"【公式HP】  http://www.fujitv.co.jp/kuragehime/    【公式Instagram】  https://www.instagram.com/princess_kurage/    【公式Twitter】  https://twitter.com/princess_kurage月海(芳根京子)たちは自身らのブランド『ジェリーフィッシュ』を出店。客足は全く良くなかったが、アジアでセレクトショップを展開するカイ・フィッシュ(賀来賢人)には認められることに。カイは月海と蔵之介("&amp;"瀬戸康史)に、ドレスとデザインを買い取りたいと申し出る。それどころか、条件として月海をシンガポールに連れて行き、新ブランドを展開したいと…。そして、月海の才能を埋もれさせたくないと、部下のファヨン(伊藤ゆみ)に手付金の用意を命令する。蔵之介は「月海やドレスのことを理解していない」とカイの提案を断るが、蔵之介と部屋を出る月海に、カイは連絡先を教えてー。  蔵之介と月海がプロモーションスペースに戻ると“尼～ず""たちの姿はなく、2人を迎えたのは稲荷翔子(泉里香)と佐々木公平(安井順平)だった。稲荷は『天水館』"&amp;"の売買契約が成立したと月海と蔵之介に伝える。すぐに『天水館』に戻る2人だが、打つ手なく沈んでしまう。  一方「困った時には連絡するように」と修(工藤阿須加)に言われていた月海は彼に電話するも、出てもらえない。勇気を出して鯉淵家を訪ねる月海だが、修は不在。そんな月海を慶一郎(北大路欣也)と容子(床嶋佳子)が家に迎え入れる。月海は『天水館』が売却されてしまったことを慶一郎に相談するが、自分にはどうすることも出来ないと言われてしまう。頼る術がなくなった月海は、カイにもらった名刺に目を落とし…。")</f>
        <v>【公式HP】  http://www.fujitv.co.jp/kuragehime/    【公式Instagram】  https://www.instagram.com/princess_kurage/    【公式Twitter】  https://twitter.com/princess_kurage月海(芳根京子)たちは自身らのブランド『ジェリーフィッシュ』を出店。客足は全く良くなかったが、アジアでセレクトショップを展開するカイ・フィッシュ(賀来賢人)には認められることに。カイは月海と蔵之介(瀬戸康史)に、ドレスとデザインを買い取りたいと申し出る。それどころか、条件として月海をシンガポールに連れて行き、新ブランドを展開したいと…。そして、月海の才能を埋もれさせたくないと、部下のファヨン(伊藤ゆみ)に手付金の用意を命令する。蔵之介は「月海やドレスのことを理解していない」とカイの提案を断るが、蔵之介と部屋を出る月海に、カイは連絡先を教えてー。  蔵之介と月海がプロモーションスペースに戻ると“尼～ず"たちの姿はなく、2人を迎えたのは稲荷翔子(泉里香)と佐々木公平(安井順平)だった。稲荷は『天水館』の売買契約が成立したと月海と蔵之介に伝える。すぐに『天水館』に戻る2人だが、打つ手なく沈んでしまう。  一方「困った時には連絡するように」と修(工藤阿須加)に言われていた月海は彼に電話するも、出てもらえない。勇気を出して鯉淵家を訪ねる月海だが、修は不在。そんな月海を慶一郎(北大路欣也)と容子(床嶋佳子)が家に迎え入れる。月海は『天水館』が売却されてしまったことを慶一郎に相談するが、自分にはどうすることも出来ないと言われてしまう。頼る術がなくなった月海は、カイにもらった名刺に目を落とし…。</v>
      </c>
      <c r="N203" s="2" t="str">
        <f>IFERROR(__xludf.DUMMYFUNCTION("""COMPUTED_VALUE"""),"  瀬戸康史　  工藤阿須加　  木南晴夏　  松井玲奈　  内田理央　  富山えり子  　・　  泉里香　  安井順平　  要潤  　・　  床嶋佳子　  若村麻由美　  北大路欣也　    他【原作】  東村アキコ「海月姫」(講談社「Kiss」所載)　    【脚本】  徳永友一　    【OPテーマ】  カフェラテ噴水公園「Goサインは1コイン」(avex　trax)　    【主題歌】  Beverly「A　New　Day」(avex　trax)　    【編成企画】  渡辺恒也　    【プロデ"&amp;"ュース】  小林宙　    【演出】  石川淳一　  山内大典　  紙谷楓　    【制作】  フジテレビ　【制作著作】  共同テレビ")</f>
        <v>  瀬戸康史　  工藤阿須加　  木南晴夏　  松井玲奈　  内田理央　  富山えり子  　・　  泉里香　  安井順平　  要潤  　・　  床嶋佳子　  若村麻由美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紙谷楓　    【制作】  フジテレビ　【制作著作】  共同テレビ</v>
      </c>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row>
    <row r="204" ht="204.75" customHeight="1">
      <c r="A204" s="1">
        <v>846.0</v>
      </c>
      <c r="B204" s="2" t="s">
        <v>630</v>
      </c>
      <c r="C204" s="2">
        <f>IFERROR(__xludf.DUMMYFUNCTION("split(B204,""_"")"),1801.0)</f>
        <v>1801</v>
      </c>
      <c r="D204" s="2" t="str">
        <f>IFERROR(__xludf.DUMMYFUNCTION("""COMPUTED_VALUE"""),"CX")</f>
        <v>CX</v>
      </c>
      <c r="E204" s="2" t="str">
        <f>IFERROR(__xludf.DUMMYFUNCTION("""COMPUTED_VALUE"""),"月21")</f>
        <v>月21</v>
      </c>
      <c r="F204" s="2" t="s">
        <v>631</v>
      </c>
      <c r="G204" s="2" t="s">
        <v>656</v>
      </c>
      <c r="H204" s="1">
        <v>9.0</v>
      </c>
      <c r="I204" s="1" t="s">
        <v>33</v>
      </c>
      <c r="J204" s="1" t="s">
        <v>11</v>
      </c>
      <c r="K204" s="2" t="s">
        <v>657</v>
      </c>
      <c r="L204" s="2" t="s">
        <v>658</v>
      </c>
      <c r="M204" s="2" t="str">
        <f>IFERROR(__xludf.DUMMYFUNCTION("split(K204,""芳根京子　"",false)"),"【公式HP】  http://www.fujitv.co.jp/kuragehime/    【公式Instagram】  https://www.instagram.com/princess_kurage/    【公式Twitter】  https://twitter.com/princess_kurage月海(芳根京子)は蔵之介(瀬戸康史)や“尼～ず""が映ったテレビ番組を見て号泣。『天水館』に帰って来いという仲間の気持ちが伝わり、寂しい思いがあふれる。そんな月海に、カイ・フィッシュ(賀来賢人)は「"&amp;"戻りたければ戻っても良い」と告げる。ただし、月海が戻れば『天水館』は取り戻せなくなる、とー。月海はカイに従うしかないと決意する。  月海は、カイに雇われたデザイナーたちが集うサロン『CUBE』へ。オシャレ女子たちにドレスのデザイン画を見られる月海。すると彼女たちから、カイに必要なのは利益になるデザインだと言われてしまう。月海のデザインはゴミにすぎない、と…。「訂正してください」と憤る月海をファヨン(伊藤ゆみ)が連れ出す。  ファヨンは在庫として売れ残った服を全て燃やしてしまうのだと教える。売れ残った服を安"&amp;"く売ったら、それを買った客は次回から定価では買ってくれないという論理。月海には理解できず戸惑う一方…。  蔵之介と修(工藤阿須加)は月海を探す方法を、花森よしお(要潤)と杉本(浜野謙太)に相談。杉本は、カイの会社が行う来シーズンのショーモデルのオーディションに潜入して月海の居場所を探るよう提案する。蔵之介はオーディション会場へ。修も行きたかったが、イタリアに行っていた間に溜まった仕事をこなさなければならず断念。一方、“尼～ず""たちはジジ様(木南晴夏)の考えで、自立のために仕事を探し始める。")</f>
        <v>【公式HP】  http://www.fujitv.co.jp/kuragehime/    【公式Instagram】  https://www.instagram.com/princess_kurage/    【公式Twitter】  https://twitter.com/princess_kurage月海(芳根京子)は蔵之介(瀬戸康史)や“尼～ず"が映ったテレビ番組を見て号泣。『天水館』に帰って来いという仲間の気持ちが伝わり、寂しい思いがあふれる。そんな月海に、カイ・フィッシュ(賀来賢人)は「戻りたければ戻っても良い」と告げる。ただし、月海が戻れば『天水館』は取り戻せなくなる、とー。月海はカイに従うしかないと決意する。  月海は、カイに雇われたデザイナーたちが集うサロン『CUBE』へ。オシャレ女子たちにドレスのデザイン画を見られる月海。すると彼女たちから、カイに必要なのは利益になるデザインだと言われてしまう。月海のデザインはゴミにすぎない、と…。「訂正してください」と憤る月海をファヨン(伊藤ゆみ)が連れ出す。  ファヨンは在庫として売れ残った服を全て燃やしてしまうのだと教える。売れ残った服を安く売ったら、それを買った客は次回から定価では買ってくれないという論理。月海には理解できず戸惑う一方…。  蔵之介と修(工藤阿須加)は月海を探す方法を、花森よしお(要潤)と杉本(浜野謙太)に相談。杉本は、カイの会社が行う来シーズンのショーモデルのオーディションに潜入して月海の居場所を探るよう提案する。蔵之介はオーディション会場へ。修も行きたかったが、イタリアに行っていた間に溜まった仕事をこなさなければならず断念。一方、“尼～ず"たちはジジ様(木南晴夏)の考えで、自立のために仕事を探し始める。</v>
      </c>
      <c r="N204" s="2" t="str">
        <f>IFERROR(__xludf.DUMMYFUNCTION("""COMPUTED_VALUE"""),"  瀬戸康史　  工藤阿須加　  木南晴夏　  松井玲奈　  内田理央　  富山えり子  　・　  泉里香　  安井順平　  要潤  　・　  床嶋佳子　  若村麻由美　  北大路欣也　    他【原作】  東村アキコ「海月姫」(講談社「Kiss」所載)　    【脚本】  徳永友一　    【OPテーマ】  カフェラテ噴水公園「Goサインは1コイン」(avex　trax)　    【主題歌】  Beverly「A　New　Day」(avex　trax)　    【編成企画】  渡辺恒也　    【プロデ"&amp;"ュース】  小林宙　    【演出】  石川淳一　  山内大典　  紙谷楓　    【制作】  フジテレビ　【制作著作】  共同テレビ")</f>
        <v>  瀬戸康史　  工藤阿須加　  木南晴夏　  松井玲奈　  内田理央　  富山えり子  　・　  泉里香　  安井順平　  要潤  　・　  床嶋佳子　  若村麻由美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紙谷楓　    【制作】  フジテレビ　【制作著作】  共同テレビ</v>
      </c>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row>
    <row r="205" ht="204.75" customHeight="1">
      <c r="A205" s="1">
        <v>847.0</v>
      </c>
      <c r="B205" s="2" t="s">
        <v>630</v>
      </c>
      <c r="C205" s="2">
        <f>IFERROR(__xludf.DUMMYFUNCTION("split(B205,""_"")"),1801.0)</f>
        <v>1801</v>
      </c>
      <c r="D205" s="2" t="str">
        <f>IFERROR(__xludf.DUMMYFUNCTION("""COMPUTED_VALUE"""),"CX")</f>
        <v>CX</v>
      </c>
      <c r="E205" s="2" t="str">
        <f>IFERROR(__xludf.DUMMYFUNCTION("""COMPUTED_VALUE"""),"月21")</f>
        <v>月21</v>
      </c>
      <c r="F205" s="2" t="s">
        <v>631</v>
      </c>
      <c r="G205" s="2" t="s">
        <v>659</v>
      </c>
      <c r="H205" s="1">
        <v>10.0</v>
      </c>
      <c r="I205" s="1" t="s">
        <v>37</v>
      </c>
      <c r="J205" s="1" t="s">
        <v>11</v>
      </c>
      <c r="K205" s="2" t="s">
        <v>660</v>
      </c>
      <c r="L205" s="2" t="s">
        <v>661</v>
      </c>
      <c r="M205" s="2" t="str">
        <f>IFERROR(__xludf.DUMMYFUNCTION("split(K205,""芳根京子　"",false)"),"【公式HP】  http://www.fujitv.co.jp/kuragehime/    【公式Instagram】  https://www.instagram.com/princess_kurage/    【公式Twitter】  https://twitter.com/princess_kurage『天水館』を出た月海(芳根京子)は、とりあえず漫画喫茶で過ごすことに。そんな月海の個室を蔵之介(瀬戸康史)が訪ねて来た。クラゲのクララを預かった蔵之介は、飼育方法を聞きたかったのだ。すると、隣近所の"&amp;"個室からジジ様(木南晴夏)、ばんばさん(松井玲奈)、まやや(内田理央)、千絵子(富山えり子)が次々に現れー。“尼～ず""卒業と言いつつも、結局みんな一緒にいることにあきれる蔵之介。ともかく蔵之介は月海とともに『天水館』に残してきたクララの飼育道具を取りに行くことに。途中、修(工藤阿須加)からのプロポーズの返事を蔵之介に聞かれた月海は、まだ頭の整理がついていないと答える。  その頃、鯉淵家では、修が月海にプロポーズしたことを花森(要潤)に報告。プロポーズの言葉を聞いた花森は「2点」と酷評します。一方、再開発"&amp;"計画の見直しを知った稲荷(泉里香)は佐々木(安井順平)と慶一郎(北大路欣也)に事実確認に行く。顔を出した修も交えたところで、慶一郎は反対派が無視出来なくなったので行政として見直すと伝えた。  月海たちが『天水館』に着くと人の気配が…。現れたのは、カイ・フィッシュ(賀来賢人)。デザイナーは続けないと言う月海を残念がるカイは、蔵之介が才能を捨てさせたと告げ、よく考えるよう月海に言い残して去った。漫画喫茶に戻った蔵之介は『ジェリーフィッシュ』の解散を改めて宣言。すると“尼～ず""たちは…。")</f>
        <v>【公式HP】  http://www.fujitv.co.jp/kuragehime/    【公式Instagram】  https://www.instagram.com/princess_kurage/    【公式Twitter】  https://twitter.com/princess_kurage『天水館』を出た月海(芳根京子)は、とりあえず漫画喫茶で過ごすことに。そんな月海の個室を蔵之介(瀬戸康史)が訪ねて来た。クラゲのクララを預かった蔵之介は、飼育方法を聞きたかったのだ。すると、隣近所の個室からジジ様(木南晴夏)、ばんばさん(松井玲奈)、まやや(内田理央)、千絵子(富山えり子)が次々に現れー。“尼～ず"卒業と言いつつも、結局みんな一緒にいることにあきれる蔵之介。ともかく蔵之介は月海とともに『天水館』に残してきたクララの飼育道具を取りに行くことに。途中、修(工藤阿須加)からのプロポーズの返事を蔵之介に聞かれた月海は、まだ頭の整理がついていないと答える。  その頃、鯉淵家では、修が月海にプロポーズしたことを花森(要潤)に報告。プロポーズの言葉を聞いた花森は「2点」と酷評します。一方、再開発計画の見直しを知った稲荷(泉里香)は佐々木(安井順平)と慶一郎(北大路欣也)に事実確認に行く。顔を出した修も交えたところで、慶一郎は反対派が無視出来なくなったので行政として見直すと伝えた。  月海たちが『天水館』に着くと人の気配が…。現れたのは、カイ・フィッシュ(賀来賢人)。デザイナーは続けないと言う月海を残念がるカイは、蔵之介が才能を捨てさせたと告げ、よく考えるよう月海に言い残して去った。漫画喫茶に戻った蔵之介は『ジェリーフィッシュ』の解散を改めて宣言。すると“尼～ず"たちは…。</v>
      </c>
      <c r="N205" s="2" t="str">
        <f>IFERROR(__xludf.DUMMYFUNCTION("""COMPUTED_VALUE"""),"  瀬戸康史　  工藤阿須加　  木南晴夏　  松井玲奈　  内田理央　  富山えり子  　・　  泉里香　  安井順平　  要潤  　・　  床嶋佳子　  若村麻由美　  北大路欣也　    他【原作】  東村アキコ「海月姫」(講談社「Kiss」所載)　    【脚本】  徳永友一　    【OPテーマ】  カフェラテ噴水公園「Goサインは1コイン」(avex　trax)　    【主題歌】  Beverly「A　New　Day」(avex　trax)　    【編成企画】  渡辺恒也　    【プロデ"&amp;"ュース】  小林宙　    【演出】  石川淳一　  山内大典　  紙谷楓　    【制作】  フジテレビ　【制作著作】  共同テレビ")</f>
        <v>  瀬戸康史　  工藤阿須加　  木南晴夏　  松井玲奈　  内田理央　  富山えり子  　・　  泉里香　  安井順平　  要潤  　・　  床嶋佳子　  若村麻由美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紙谷楓　    【制作】  フジテレビ　【制作著作】  共同テレビ</v>
      </c>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row>
    <row r="206" ht="204.75" customHeight="1">
      <c r="A206" s="1">
        <v>877.0</v>
      </c>
      <c r="B206" s="2" t="s">
        <v>662</v>
      </c>
      <c r="C206" s="2">
        <f>IFERROR(__xludf.DUMMYFUNCTION("split(B206,""_"")"),1801.0)</f>
        <v>1801</v>
      </c>
      <c r="D206" s="2" t="str">
        <f>IFERROR(__xludf.DUMMYFUNCTION("""COMPUTED_VALUE"""),"CX")</f>
        <v>CX</v>
      </c>
      <c r="E206" s="2" t="str">
        <f>IFERROR(__xludf.DUMMYFUNCTION("""COMPUTED_VALUE"""),"木22")</f>
        <v>木22</v>
      </c>
      <c r="F206" s="2" t="s">
        <v>663</v>
      </c>
      <c r="G206" s="2" t="s">
        <v>664</v>
      </c>
      <c r="H206" s="1">
        <v>1.0</v>
      </c>
      <c r="I206" s="1" t="s">
        <v>3</v>
      </c>
      <c r="J206" s="1" t="s">
        <v>82</v>
      </c>
      <c r="K206" s="2" t="s">
        <v>665</v>
      </c>
      <c r="L206" s="2" t="s">
        <v>666</v>
      </c>
      <c r="M206" s="2" t="str">
        <f>IFERROR(__xludf.DUMMYFUNCTION("split(K206,""深田恭子　"",false)"),"スキューバダイビングのインストラクターをしている五十嵐奈々(深田恭子)とおもちゃメーカーに勤務する大器(松山ケンイチ)夫妻は、小さなアパートで暮らしながら資金を貯め、コーポラティブハウスを購入する。同じコーポラティブハウスに住むのは、結婚を控えたバツイチのスタイリスト・川村亮司(平山浩行)とネイリストの杉崎ちひろ(高橋メアリージュン)のカップル、2人の娘を持つ商社マンの小宮山真一郎(野間口徹)と深雪(真飛聖)夫妻、そしてこのコーポラティブハウスの設計も手掛けた建築士の広瀬渉(眞島秀和)。  子どもが大好き"&amp;"な奈々と大器は、1年ほど前から子作りを始めていた。そんな矢先、大器の妹・琴音(伊藤沙莉)が、家業の焼き鳥店で働く糸川啓太(前原滉)の子を妊娠。夫の健作(春海四方)と店を切り盛りする大器たちの母・聡子(高畑淳子)は大喜びし、次は奈々の番だと期待を寄せる。  奈々たちが帰宅すると、共有スペースでは小宮山一家が餅つきをしていた。さっそく手伝い始める奈々たち。その際、奈々は、渉を訪ねてきた青木朔(北村匠海)と出会う。実は朔は渉の恋人で、渉と一緒に暮らすつもりでいた。  早く子どもが欲しいと願う奈々は、大器を説得し"&amp;"、不妊治療専門のクリニックを訪れる。そこで奈々たちは、1年以上避妊していないにもかかわらず妊娠に至らないのは不妊症と言える、という片岡医師(伊藤かずえ)の言葉にショックを受け…。")</f>
        <v>スキューバダイビングのインストラクターをしている五十嵐奈々(深田恭子)とおもちゃメーカーに勤務する大器(松山ケンイチ)夫妻は、小さなアパートで暮らしながら資金を貯め、コーポラティブハウスを購入する。同じコーポラティブハウスに住むのは、結婚を控えたバツイチのスタイリスト・川村亮司(平山浩行)とネイリストの杉崎ちひろ(高橋メアリージュン)のカップル、2人の娘を持つ商社マンの小宮山真一郎(野間口徹)と深雪(真飛聖)夫妻、そしてこのコーポラティブハウスの設計も手掛けた建築士の広瀬渉(眞島秀和)。  子どもが大好きな奈々と大器は、1年ほど前から子作りを始めていた。そんな矢先、大器の妹・琴音(伊藤沙莉)が、家業の焼き鳥店で働く糸川啓太(前原滉)の子を妊娠。夫の健作(春海四方)と店を切り盛りする大器たちの母・聡子(高畑淳子)は大喜びし、次は奈々の番だと期待を寄せる。  奈々たちが帰宅すると、共有スペースでは小宮山一家が餅つきをしていた。さっそく手伝い始める奈々たち。その際、奈々は、渉を訪ねてきた青木朔(北村匠海)と出会う。実は朔は渉の恋人で、渉と一緒に暮らすつもりでいた。  早く子どもが欲しいと願う奈々は、大器を説得し、不妊治療専門のクリニックを訪れる。そこで奈々たちは、1年以上避妊していないにもかかわらず妊娠に至らないのは不妊症と言える、という片岡医師(伊藤かずえ)の言葉にショックを受け…。</v>
      </c>
      <c r="N206" s="2" t="str">
        <f>IFERROR(__xludf.DUMMYFUNCTION("""COMPUTED_VALUE"""),"  松山ケンイチ　    平山浩行　  高橋メアリージュン　  北村匠海　  眞島秀和　  真飛聖　  野間口徹  　・　  須賀健太　  伊藤沙莉　  前原滉　  寿大聡  　・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品田俊介(『人は見た目が100パーセント』、『信長協奏曲』、『失恋シ"&amp;"ョコラティエ』他)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【公式Twit"&amp;"ter】  @tona_kazo")</f>
        <v>  松山ケンイチ　    平山浩行　  高橋メアリージュン　  北村匠海　  眞島秀和　  真飛聖　  野間口徹  　・　  須賀健太　  伊藤沙莉　  前原滉　  寿大聡  　・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【公式Twitter】  @tona_kazo</v>
      </c>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row>
    <row r="207" ht="204.75" customHeight="1">
      <c r="A207" s="1">
        <v>878.0</v>
      </c>
      <c r="B207" s="2" t="s">
        <v>662</v>
      </c>
      <c r="C207" s="2">
        <f>IFERROR(__xludf.DUMMYFUNCTION("split(B207,""_"")"),1801.0)</f>
        <v>1801</v>
      </c>
      <c r="D207" s="2" t="str">
        <f>IFERROR(__xludf.DUMMYFUNCTION("""COMPUTED_VALUE"""),"CX")</f>
        <v>CX</v>
      </c>
      <c r="E207" s="2" t="str">
        <f>IFERROR(__xludf.DUMMYFUNCTION("""COMPUTED_VALUE"""),"木22")</f>
        <v>木22</v>
      </c>
      <c r="F207" s="2" t="s">
        <v>663</v>
      </c>
      <c r="G207" s="2" t="s">
        <v>667</v>
      </c>
      <c r="H207" s="1">
        <v>2.0</v>
      </c>
      <c r="I207" s="1" t="s">
        <v>7</v>
      </c>
      <c r="J207" s="1" t="s">
        <v>86</v>
      </c>
      <c r="K207" s="2" t="s">
        <v>668</v>
      </c>
      <c r="L207" s="2" t="s">
        <v>669</v>
      </c>
      <c r="M207" s="2" t="str">
        <f>IFERROR(__xludf.DUMMYFUNCTION("split(K207,""深田恭子　"",false)"),"奈々(深田恭子)と大器(松山ケンイチ)は、不妊治療の専門医・片岡(伊藤かずえ)の助言に従って、タイミング法を実践し始める。  仕事を終えて帰宅した奈々は、共有スペースの花壇で花を見ていた朔(北村匠海)に出会う。部屋の中にいた渉(眞島秀和)は、奈々と朔が談笑しているのに気づき、慌てて朔に電話して呼び戻そうとする。戻ってきた朔に「余計な詮索をされないよう、他の住人とは関わるな」とくぎを刺す渉。すると朔は、ふて腐れて別の部屋に行ってしまう。  亮司(平山浩行)は、ちひろ(高橋メアリージュン)には内緒で、再び名古"&amp;"屋にある元妻の実家を訪れる。だが、亮司の息子・亮太(和田庵)は、母の死にショックを受け、いまだに亮司とは何も話そうとしなかった。  一方、深雪(真飛聖)は、手作りのマフィンを持って、ちひろや渉、奈々の元を訪ね歩く。その際、深雪は、花壇の水やりやゴミ出しのルールなどを話し合うために月イチで行われる定例会を月2回にすべきだと提案するとともに、みんなでバーベキューパーティーをしたいと言い出す。")</f>
        <v>奈々(深田恭子)と大器(松山ケンイチ)は、不妊治療の専門医・片岡(伊藤かずえ)の助言に従って、タイミング法を実践し始める。  仕事を終えて帰宅した奈々は、共有スペースの花壇で花を見ていた朔(北村匠海)に出会う。部屋の中にいた渉(眞島秀和)は、奈々と朔が談笑しているのに気づき、慌てて朔に電話して呼び戻そうとする。戻ってきた朔に「余計な詮索をされないよう、他の住人とは関わるな」とくぎを刺す渉。すると朔は、ふて腐れて別の部屋に行ってしまう。  亮司(平山浩行)は、ちひろ(高橋メアリージュン)には内緒で、再び名古屋にある元妻の実家を訪れる。だが、亮司の息子・亮太(和田庵)は、母の死にショックを受け、いまだに亮司とは何も話そうとしなかった。  一方、深雪(真飛聖)は、手作りのマフィンを持って、ちひろや渉、奈々の元を訪ね歩く。その際、深雪は、花壇の水やりやゴミ出しのルールなどを話し合うために月イチで行われる定例会を月2回にすべきだと提案するとともに、みんなでバーベキューパーティーをしたいと言い出す。</v>
      </c>
      <c r="N207" s="2" t="str">
        <f>IFERROR(__xludf.DUMMYFUNCTION("""COMPUTED_VALUE"""),"  松山ケンイチ  　・　  平山浩行　  高橋メアリージュン　  北村匠海　  眞島秀和　  真飛聖　  野間口徹  　・　  須賀健太　  伊藤沙莉　  前原滉　  寿大聡　  橋本マナミ  　・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品田俊介(『人は見た目が100パーセント』『信長協奏曲"&amp;"』『失恋ショコラティエ』他)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【公式Twi"&amp;"tter】  @tona_kazo")</f>
        <v>  松山ケンイチ  　・　  平山浩行　  高橋メアリージュン　  北村匠海　  眞島秀和　  真飛聖　  野間口徹  　・　  須賀健太　  伊藤沙莉　  前原滉　  寿大聡　  橋本マナミ  　・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【公式Twitter】  @tona_kazo</v>
      </c>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row>
    <row r="208" ht="204.75" customHeight="1">
      <c r="A208" s="1">
        <v>879.0</v>
      </c>
      <c r="B208" s="2" t="s">
        <v>662</v>
      </c>
      <c r="C208" s="2">
        <f>IFERROR(__xludf.DUMMYFUNCTION("split(B208,""_"")"),1801.0)</f>
        <v>1801</v>
      </c>
      <c r="D208" s="2" t="str">
        <f>IFERROR(__xludf.DUMMYFUNCTION("""COMPUTED_VALUE"""),"CX")</f>
        <v>CX</v>
      </c>
      <c r="E208" s="2" t="str">
        <f>IFERROR(__xludf.DUMMYFUNCTION("""COMPUTED_VALUE"""),"木22")</f>
        <v>木22</v>
      </c>
      <c r="F208" s="2" t="s">
        <v>663</v>
      </c>
      <c r="G208" s="2" t="s">
        <v>670</v>
      </c>
      <c r="H208" s="1">
        <v>3.0</v>
      </c>
      <c r="I208" s="1" t="s">
        <v>10</v>
      </c>
      <c r="J208" s="1" t="s">
        <v>86</v>
      </c>
      <c r="K208" s="2" t="s">
        <v>671</v>
      </c>
      <c r="L208" s="2" t="s">
        <v>672</v>
      </c>
      <c r="M208" s="2" t="str">
        <f>IFERROR(__xludf.DUMMYFUNCTION("split(K208,""深田恭子　"",false)"),"奈々(深田恭子)は、朔(北村匠海)と渉(眞島秀和)がキスしているところを目撃してしまう。朔は、奈々に渉との関係を打ち明け、ゲイであることを他人に公表していない渉のために、誰にも言わないでほしいと頼む。一方、事情を知らない大器(松山ケンイチ)は、何かと奈々に接近してくる朔のことが気になって仕方ない。  亮司(平山浩行)は、元妻が急死したため、息子の亮太(和田庵)に会いに名古屋へ行っていたことをちひろ(高橋メアリージュン)に話す。亮司は「亮太を引き取ってこの家で一緒に暮らしたい」と、ちひろに告げるが…。  最"&amp;"後のタイミング法に臨む奈々は、レディースクリニックの医師・片岡(伊藤かずえ)のもとを訪ねる。そこで片岡は、奈々に、クロミッドという誘発剤を勧める。  大器は、コンペに出した企画が評価され、本社の土地開発部門が進めているアウトレットモールの開発プロジェクトに参加することになる。大器は、奈々からもアイデアをもらい、早速企画書をまとめる。不妊治療をはじめてから、情緒不安定気味の奈々だったが、妊娠した可能性があることに気付く。  そんな折、義母の聡子(高畑淳子)は、薬局で妊娠検査薬を購入しようとしている奈々を見か"&amp;"け、大器と奈々が子作りしていると知り大喜びで…。")</f>
        <v>奈々(深田恭子)は、朔(北村匠海)と渉(眞島秀和)がキスしているところを目撃してしまう。朔は、奈々に渉との関係を打ち明け、ゲイであることを他人に公表していない渉のために、誰にも言わないでほしいと頼む。一方、事情を知らない大器(松山ケンイチ)は、何かと奈々に接近してくる朔のことが気になって仕方ない。  亮司(平山浩行)は、元妻が急死したため、息子の亮太(和田庵)に会いに名古屋へ行っていたことをちひろ(高橋メアリージュン)に話す。亮司は「亮太を引き取ってこの家で一緒に暮らしたい」と、ちひろに告げるが…。  最後のタイミング法に臨む奈々は、レディースクリニックの医師・片岡(伊藤かずえ)のもとを訪ねる。そこで片岡は、奈々に、クロミッドという誘発剤を勧める。  大器は、コンペに出した企画が評価され、本社の土地開発部門が進めているアウトレットモールの開発プロジェクトに参加することになる。大器は、奈々からもアイデアをもらい、早速企画書をまとめる。不妊治療をはじめてから、情緒不安定気味の奈々だったが、妊娠した可能性があることに気付く。  そんな折、義母の聡子(高畑淳子)は、薬局で妊娠検査薬を購入しようとしている奈々を見かけ、大器と奈々が子作りしていると知り大喜びで…。</v>
      </c>
      <c r="N208" s="2" t="str">
        <f>IFERROR(__xludf.DUMMYFUNCTION("""COMPUTED_VALUE"""),"  松山ケンイチ　    平山浩行　  高橋メアリージュン　  北村匠海　  眞島秀和　  真飛聖　  野間口徹  　・　  須賀健太　  伊藤沙莉　  前原滉　  寿大聡　  橋本マナミ　  　・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品田俊介(『人は見た目が100パーセント』『信長協奏曲』"&amp;"『失恋ショコラティエ』他)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f>
        <v>  松山ケンイチ　    平山浩行　  高橋メアリージュン　  北村匠海　  眞島秀和　  真飛聖　  野間口徹  　・　  須賀健太　  伊藤沙莉　  前原滉　  寿大聡　  橋本マナミ　  　・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v>
      </c>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row>
    <row r="209" ht="204.75" customHeight="1">
      <c r="A209" s="1">
        <v>880.0</v>
      </c>
      <c r="B209" s="2" t="s">
        <v>662</v>
      </c>
      <c r="C209" s="2">
        <f>IFERROR(__xludf.DUMMYFUNCTION("split(B209,""_"")"),1801.0)</f>
        <v>1801</v>
      </c>
      <c r="D209" s="2" t="str">
        <f>IFERROR(__xludf.DUMMYFUNCTION("""COMPUTED_VALUE"""),"CX")</f>
        <v>CX</v>
      </c>
      <c r="E209" s="2" t="str">
        <f>IFERROR(__xludf.DUMMYFUNCTION("""COMPUTED_VALUE"""),"木22")</f>
        <v>木22</v>
      </c>
      <c r="F209" s="2" t="s">
        <v>663</v>
      </c>
      <c r="G209" s="2" t="s">
        <v>673</v>
      </c>
      <c r="H209" s="1">
        <v>4.0</v>
      </c>
      <c r="I209" s="1" t="s">
        <v>14</v>
      </c>
      <c r="J209" s="1" t="s">
        <v>86</v>
      </c>
      <c r="K209" s="2" t="s">
        <v>674</v>
      </c>
      <c r="L209" s="2" t="s">
        <v>675</v>
      </c>
      <c r="M209" s="2" t="str">
        <f>IFERROR(__xludf.DUMMYFUNCTION("split(K209,""深田恭子　"",false)"),"話題沸騰中の北村匠海と眞島秀和が副音声企画を実施する事が決定。連続ドラマの副音声は初挑戦となる北村と眞島。最初は緊張しながら副音声に挑んだ2人でしたが、徐々に緊張もほぐれ、まるで劇中のラブラブな渉と朔さながらの仲良しトークが繰り広げられました。第4話を見ながら二人が語り合う撮影秘話、ぶっちゃけ裏話、さらには二人のプライベートの一面も飛び出し、ここだけでしか聞けない二人の副音声トークは必聴です!奈々(深田恭子)は、担当医の片岡(伊藤かずえ)から、人工授精へのステップアップを勧められる。奈々が自宅に戻ると、大"&amp;"器(松山ケンイチ)の母・聡子(高畑淳子)が来ていた。聡子は、体に良いというジュースや冷え予防の靴下と一緒に、いくつもの子宝グッズを持参し、奈々を困惑させる。  渉(眞島秀和)は、朔(北村匠海)から、留美(橋本マナミ)のことをいつまでだますつもりなのかと問われる。女性の好意を利用して自分のセクシャリティをカモフラージュするのは最低だ、というのだ。渉は、朔の言葉に同意するものの「ゲイであることを必死に隠して生きてきた自分は今さら変えられない」と答える。  同じころ、ちひろ(高橋メアリージュン)は、引っ越しに備"&amp;"えて荷造りを始めていた。それを見た亮司(平山浩行)はショックを受けるが、彼女を引き止めることができない。  仕事を終えて帰宅した大器は、棚に並んだ子宝グッズの数々を見てあ然となる。その際、奈々は、人工授精を勧められたことを大器に告げた。すると大器は「理屈ではわかっていても抵抗感がある」と言い出す。一方、深雪(真飛聖)は、次女の誕生会の招待状を持って五十嵐家を訪れる。そこで深雪は「ちひろや渉たちと仲直りもしたいので、招待状を渡してほしい」と奈々に頼む。  そんな折、奈々の母・春枝(原日出子)が伊豆から上京し"&amp;"てくる。奈々は、不妊治療のことを春枝に打ち明けるが……。")</f>
        <v>話題沸騰中の北村匠海と眞島秀和が副音声企画を実施する事が決定。連続ドラマの副音声は初挑戦となる北村と眞島。最初は緊張しながら副音声に挑んだ2人でしたが、徐々に緊張もほぐれ、まるで劇中のラブラブな渉と朔さながらの仲良しトークが繰り広げられました。第4話を見ながら二人が語り合う撮影秘話、ぶっちゃけ裏話、さらには二人のプライベートの一面も飛び出し、ここだけでしか聞けない二人の副音声トークは必聴です!奈々(深田恭子)は、担当医の片岡(伊藤かずえ)から、人工授精へのステップアップを勧められる。奈々が自宅に戻ると、大器(松山ケンイチ)の母・聡子(高畑淳子)が来ていた。聡子は、体に良いというジュースや冷え予防の靴下と一緒に、いくつもの子宝グッズを持参し、奈々を困惑させる。  渉(眞島秀和)は、朔(北村匠海)から、留美(橋本マナミ)のことをいつまでだますつもりなのかと問われる。女性の好意を利用して自分のセクシャリティをカモフラージュするのは最低だ、というのだ。渉は、朔の言葉に同意するものの「ゲイであることを必死に隠して生きてきた自分は今さら変えられない」と答える。  同じころ、ちひろ(高橋メアリージュン)は、引っ越しに備えて荷造りを始めていた。それを見た亮司(平山浩行)はショックを受けるが、彼女を引き止めることができない。  仕事を終えて帰宅した大器は、棚に並んだ子宝グッズの数々を見てあ然となる。その際、奈々は、人工授精を勧められたことを大器に告げた。すると大器は「理屈ではわかっていても抵抗感がある」と言い出す。一方、深雪(真飛聖)は、次女の誕生会の招待状を持って五十嵐家を訪れる。そこで深雪は「ちひろや渉たちと仲直りもしたいので、招待状を渡してほしい」と奈々に頼む。  そんな折、奈々の母・春枝(原日出子)が伊豆から上京してくる。奈々は、不妊治療のことを春枝に打ち明けるが……。</v>
      </c>
      <c r="N209" s="2" t="str">
        <f>IFERROR(__xludf.DUMMYFUNCTION("""COMPUTED_VALUE"""),"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品田俊介(『人は見た目が100パーセント』『"&amp;"信長協奏曲』『失恋ショコラティエ』他)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f>
        <v>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v>
      </c>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row>
    <row r="210" ht="204.75" customHeight="1">
      <c r="A210" s="1">
        <v>881.0</v>
      </c>
      <c r="B210" s="2" t="s">
        <v>662</v>
      </c>
      <c r="C210" s="2">
        <f>IFERROR(__xludf.DUMMYFUNCTION("split(B210,""_"")"),1801.0)</f>
        <v>1801</v>
      </c>
      <c r="D210" s="2" t="str">
        <f>IFERROR(__xludf.DUMMYFUNCTION("""COMPUTED_VALUE"""),"CX")</f>
        <v>CX</v>
      </c>
      <c r="E210" s="2" t="str">
        <f>IFERROR(__xludf.DUMMYFUNCTION("""COMPUTED_VALUE"""),"木22")</f>
        <v>木22</v>
      </c>
      <c r="F210" s="2" t="s">
        <v>663</v>
      </c>
      <c r="G210" s="2" t="s">
        <v>676</v>
      </c>
      <c r="H210" s="1">
        <v>5.0</v>
      </c>
      <c r="I210" s="1" t="s">
        <v>17</v>
      </c>
      <c r="J210" s="1" t="s">
        <v>86</v>
      </c>
      <c r="K210" s="2" t="s">
        <v>677</v>
      </c>
      <c r="L210" s="2" t="s">
        <v>678</v>
      </c>
      <c r="M210" s="2" t="str">
        <f>IFERROR(__xludf.DUMMYFUNCTION("split(K210,""深田恭子　"",false)"),"連続ドラマの副音声は、初挑戦となる平山と高橋。最初は無言でシーンに見入ってしまうこともしばしばでしたが、徐々に慣れてくると高橋が奈々を見て「かわいい～」とつぶやくと平山が亮司ばりのチャラさで「ちひろもかわいいよ」と軽口をたたくなど和気あいあいの雰囲気に。二人が語り合う撮影秘話、ぶっちゃけ裏話、まさにここだけでしか聞けない二人の副音声トークは必聴です!妊活に取り組む奈々(深田恭子)と大器(松山ケンイチ)は、タイミング法から人工授精へのステップアップを決意する。それに合わせて奈々は、勤務先のダイビングスクール"&amp;"にシフトの変更を申し出た。だが、上司の倉持(寿大聡)から、他のスタッフから苦情が出ると面倒だから急な変更はほどほどにするよう注意されてしまう。  渉(眞島秀和)は、三沢建築事務所からの独立を決意する。留美(橋本マナミ)は「渉のことを中傷した怪文書の件は誰も気にしていない」と言って引き留めようとした。すると渉は「あの一件が迷っていた自分の背中を押してくれたと思うことにする」と返す。  いつものように図書館で時間をつぶしていた真一郎(野間口徹)は、敷地内でダンスの練習をしていた中学生の中に、長女の優香(安藤美"&amp;"優)が混じっていることに気づく。  一方、ちひろ(高橋メアリージュン)は、奈々と朔(北村匠海)に引っ越しのあいさつをする。亮司(平山浩行)が引き取ることになった息子・亮太(和田庵)が、上京する前に出ていくという。奈々は、本当にこのまま亮司と別れてもいいのか、とちひろに問いかけた。だがちひろは、亮司が何も言ってこないから仕方ないという。  そんなある日、深雪(真飛聖)は、学習塾から優香が来ていないという連絡を受ける。深雪は、優香を探しに行く為に、次女の萌香(古川凛)のことを奈々にみてもらうことに。萌香を預か"&amp;"ることになった奈々と大器は…。")</f>
        <v>連続ドラマの副音声は、初挑戦となる平山と高橋。最初は無言でシーンに見入ってしまうこともしばしばでしたが、徐々に慣れてくると高橋が奈々を見て「かわいい～」とつぶやくと平山が亮司ばりのチャラさで「ちひろもかわいいよ」と軽口をたたくなど和気あいあいの雰囲気に。二人が語り合う撮影秘話、ぶっちゃけ裏話、まさにここだけでしか聞けない二人の副音声トークは必聴です!妊活に取り組む奈々(深田恭子)と大器(松山ケンイチ)は、タイミング法から人工授精へのステップアップを決意する。それに合わせて奈々は、勤務先のダイビングスクールにシフトの変更を申し出た。だが、上司の倉持(寿大聡)から、他のスタッフから苦情が出ると面倒だから急な変更はほどほどにするよう注意されてしまう。  渉(眞島秀和)は、三沢建築事務所からの独立を決意する。留美(橋本マナミ)は「渉のことを中傷した怪文書の件は誰も気にしていない」と言って引き留めようとした。すると渉は「あの一件が迷っていた自分の背中を押してくれたと思うことにする」と返す。  いつものように図書館で時間をつぶしていた真一郎(野間口徹)は、敷地内でダンスの練習をしていた中学生の中に、長女の優香(安藤美優)が混じっていることに気づく。  一方、ちひろ(高橋メアリージュン)は、奈々と朔(北村匠海)に引っ越しのあいさつをする。亮司(平山浩行)が引き取ることになった息子・亮太(和田庵)が、上京する前に出ていくという。奈々は、本当にこのまま亮司と別れてもいいのか、とちひろに問いかけた。だがちひろは、亮司が何も言ってこないから仕方ないという。  そんなある日、深雪(真飛聖)は、学習塾から優香が来ていないという連絡を受ける。深雪は、優香を探しに行く為に、次女の萌香(古川凛)のことを奈々にみてもらうことに。萌香を預かることになった奈々と大器は…。</v>
      </c>
      <c r="N210" s="2" t="str">
        <f>IFERROR(__xludf.DUMMYFUNCTION("""COMPUTED_VALUE"""),"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品田俊介(『人は見た目が100パーセント』"&amp;"『信長協奏曲』『失恋ショコラティエ』他)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f>
        <v>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v>
      </c>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row>
    <row r="211" ht="204.75" customHeight="1">
      <c r="A211" s="1">
        <v>882.0</v>
      </c>
      <c r="B211" s="2" t="s">
        <v>662</v>
      </c>
      <c r="C211" s="2">
        <f>IFERROR(__xludf.DUMMYFUNCTION("split(B211,""_"")"),1801.0)</f>
        <v>1801</v>
      </c>
      <c r="D211" s="2" t="str">
        <f>IFERROR(__xludf.DUMMYFUNCTION("""COMPUTED_VALUE"""),"CX")</f>
        <v>CX</v>
      </c>
      <c r="E211" s="2" t="str">
        <f>IFERROR(__xludf.DUMMYFUNCTION("""COMPUTED_VALUE"""),"木22")</f>
        <v>木22</v>
      </c>
      <c r="F211" s="2" t="s">
        <v>663</v>
      </c>
      <c r="G211" s="2" t="s">
        <v>679</v>
      </c>
      <c r="H211" s="1">
        <v>6.0</v>
      </c>
      <c r="I211" s="1" t="s">
        <v>21</v>
      </c>
      <c r="J211" s="1" t="s">
        <v>86</v>
      </c>
      <c r="K211" s="2" t="s">
        <v>680</v>
      </c>
      <c r="L211" s="2" t="s">
        <v>681</v>
      </c>
      <c r="M211" s="2" t="str">
        <f>IFERROR(__xludf.DUMMYFUNCTION("split(K211,""深田恭子　"",false)"),"「平昌オリンピック2018　ショートトラック　男子・女子決勝/男子リレー決勝」延長の際、放送時間繰り下げの場合あり。奈々(深田恭子)と大器(松山ケンイチ)のもとに、聡子(高畑淳子)や健作(春海四方)と一緒にお宮参りに行っていた琴音(伊藤沙莉)夫婦がやってきた。琴音の娘・真奈を抱かせてもらい、思わず涙ぐむ奈々。大器から不妊治療のことを打ち明けられていた聡子は、そんな奈々の姿を見ていられない。  ちひろ(高橋メアリージュン)は、亮司(平山浩行)の息子・亮太(和田庵)と上手くコミュニケーションが取れずにいた。肝"&amp;"心の亮司は親バカ状態で、毎週のように亮太におもちゃを買い与えていた。  深雪(真飛聖)は、受験を控えた長女・優香(安藤美優)の成績が落ちていることを知る。深雪は、学習塾の個別指導を増やすことにするが……。  一方、朔(北村匠海)は、渉(眞島秀和)のために何かをしたい、という思いが空回りし、失敗続きだった。渉は、気持ちは嬉しいが得意じゃないことはする必要がない、と朔に告げる。そんな折、渉は、母親のふみ(田島令子)が骨折しても連絡すらしてこなかったことを知り、久しぶりに実家を訪れることにする。朔は、事務所の後"&amp;"輩のふりをする、といって半ば強引に渉について行く。  奈々は、リセットする度に落ち込みながらも、その思いをひとりで抱えて明るく振る舞っていた。大器は、そんな奈々に対して何もしてあげられないことに悩み……。")</f>
        <v>「平昌オリンピック2018　ショートトラック　男子・女子決勝/男子リレー決勝」延長の際、放送時間繰り下げの場合あり。奈々(深田恭子)と大器(松山ケンイチ)のもとに、聡子(高畑淳子)や健作(春海四方)と一緒にお宮参りに行っていた琴音(伊藤沙莉)夫婦がやってきた。琴音の娘・真奈を抱かせてもらい、思わず涙ぐむ奈々。大器から不妊治療のことを打ち明けられていた聡子は、そんな奈々の姿を見ていられない。  ちひろ(高橋メアリージュン)は、亮司(平山浩行)の息子・亮太(和田庵)と上手くコミュニケーションが取れずにいた。肝心の亮司は親バカ状態で、毎週のように亮太におもちゃを買い与えていた。  深雪(真飛聖)は、受験を控えた長女・優香(安藤美優)の成績が落ちていることを知る。深雪は、学習塾の個別指導を増やすことにするが……。  一方、朔(北村匠海)は、渉(眞島秀和)のために何かをしたい、という思いが空回りし、失敗続きだった。渉は、気持ちは嬉しいが得意じゃないことはする必要がない、と朔に告げる。そんな折、渉は、母親のふみ(田島令子)が骨折しても連絡すらしてこなかったことを知り、久しぶりに実家を訪れることにする。朔は、事務所の後輩のふりをする、といって半ば強引に渉について行く。  奈々は、リセットする度に落ち込みながらも、その思いをひとりで抱えて明るく振る舞っていた。大器は、そんな奈々に対して何もしてあげられないことに悩み……。</v>
      </c>
      <c r="N211" s="2" t="str">
        <f>IFERROR(__xludf.DUMMYFUNCTION("""COMPUTED_VALUE"""),"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品田俊介(『人は見た目が100パーセント』『"&amp;"信長協奏曲』『失恋ショコラティエ』他)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f>
        <v>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v>
      </c>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row>
    <row r="212" ht="204.75" customHeight="1">
      <c r="A212" s="1">
        <v>883.0</v>
      </c>
      <c r="B212" s="2" t="s">
        <v>662</v>
      </c>
      <c r="C212" s="2">
        <f>IFERROR(__xludf.DUMMYFUNCTION("split(B212,""_"")"),1801.0)</f>
        <v>1801</v>
      </c>
      <c r="D212" s="2" t="str">
        <f>IFERROR(__xludf.DUMMYFUNCTION("""COMPUTED_VALUE"""),"CX")</f>
        <v>CX</v>
      </c>
      <c r="E212" s="2" t="str">
        <f>IFERROR(__xludf.DUMMYFUNCTION("""COMPUTED_VALUE"""),"木22")</f>
        <v>木22</v>
      </c>
      <c r="F212" s="2" t="s">
        <v>663</v>
      </c>
      <c r="G212" s="2" t="s">
        <v>682</v>
      </c>
      <c r="H212" s="1">
        <v>7.0</v>
      </c>
      <c r="I212" s="1" t="s">
        <v>25</v>
      </c>
      <c r="J212" s="1" t="s">
        <v>86</v>
      </c>
      <c r="K212" s="2" t="s">
        <v>683</v>
      </c>
      <c r="L212" s="2" t="s">
        <v>684</v>
      </c>
      <c r="M212" s="2" t="str">
        <f>IFERROR(__xludf.DUMMYFUNCTION("split(K212,""深田恭子　"",false)"),"連続ドラマの副音声は、初挑戦となる真飛聖と野間口徹。小宮山夫婦は、深雪の圧力が強くなかなかしゃべらせてもらえない真一郎。しかし、真飛と野間口は息の合った軽妙なしゃべりで副音声収録は終始和やかな雰囲気。第7話を見ながら二人が語り合う撮影秘話、ぶっちゃけ裏話、またあるシーンでは真一郎役の野間口が深雪役の真飛を叱るといったいつもとは真逆なやりとりなど、ここだけでしか聞けない二人の副音声トークは必聴です!区役所を訪れた奈々(深田恭子)は、真一郎(野間口徹)と出会う。そこで奈々は、彼がボランティア塾講師の仕事を始め"&amp;"たことを知る。  家計が苦しくなった深雪(真飛聖)は、実家へ、母親の百合恵(多岐川裕美)に金の無心に行く。その帰り道、深雪は、大器(松山ケンイチ)が女性の住むマンションに入っていくところを目撃し、大器が浮気をしているのではと、奈々に話してしまう…。  奈々と大器、初めての大ケンカ。一方、ちひろ(高橋メアリージュン)は、亮太(和田庵)をめぐって亮司(平山浩行)と口論になってしまう。そして、小宮山家でも夫婦のバトルが繰り広げられ……。部屋を飛び出した男3人が向かった先で、女vs男の本音がぶつかり合う!!!  "&amp;"渉(眞島秀和)にふさわしい男になると決意した朔(北村匠海)は、高卒認定試験に向けてこっそり勉強を続けていた。そんなある日、渉を訪ねて母親のふみ(田島令子)がやってくる。突然、コーポラティブハウスを訪ねてきたふみを、朔は仕事で外出中の渉に代わって部屋に迎え入れた。2人が同棲していることがバレないようにする朔だったが……。  それぞれの家族の問題が爆発して、大波乱の展開へ!!!")</f>
        <v>連続ドラマの副音声は、初挑戦となる真飛聖と野間口徹。小宮山夫婦は、深雪の圧力が強くなかなかしゃべらせてもらえない真一郎。しかし、真飛と野間口は息の合った軽妙なしゃべりで副音声収録は終始和やかな雰囲気。第7話を見ながら二人が語り合う撮影秘話、ぶっちゃけ裏話、またあるシーンでは真一郎役の野間口が深雪役の真飛を叱るといったいつもとは真逆なやりとりなど、ここだけでしか聞けない二人の副音声トークは必聴です!区役所を訪れた奈々(深田恭子)は、真一郎(野間口徹)と出会う。そこで奈々は、彼がボランティア塾講師の仕事を始めたことを知る。  家計が苦しくなった深雪(真飛聖)は、実家へ、母親の百合恵(多岐川裕美)に金の無心に行く。その帰り道、深雪は、大器(松山ケンイチ)が女性の住むマンションに入っていくところを目撃し、大器が浮気をしているのではと、奈々に話してしまう…。  奈々と大器、初めての大ケンカ。一方、ちひろ(高橋メアリージュン)は、亮太(和田庵)をめぐって亮司(平山浩行)と口論になってしまう。そして、小宮山家でも夫婦のバトルが繰り広げられ……。部屋を飛び出した男3人が向かった先で、女vs男の本音がぶつかり合う!!!  渉(眞島秀和)にふさわしい男になると決意した朔(北村匠海)は、高卒認定試験に向けてこっそり勉強を続けていた。そんなある日、渉を訪ねて母親のふみ(田島令子)がやってくる。突然、コーポラティブハウスを訪ねてきたふみを、朔は仕事で外出中の渉に代わって部屋に迎え入れた。2人が同棲していることがバレないようにする朔だったが……。  それぞれの家族の問題が爆発して、大波乱の展開へ!!!</v>
      </c>
      <c r="N212" s="2" t="str">
        <f>IFERROR(__xludf.DUMMYFUNCTION("""COMPUTED_VALUE"""),"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品田俊介(『人は見た目が100パーセント』『"&amp;"信長協奏曲』『失恋ショコラティエ』他)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【"&amp;"公式Twitter】  @tona_kazo")</f>
        <v>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【公式Twitter】  @tona_kazo</v>
      </c>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row>
    <row r="213" ht="204.75" customHeight="1">
      <c r="A213" s="1">
        <v>884.0</v>
      </c>
      <c r="B213" s="2" t="s">
        <v>662</v>
      </c>
      <c r="C213" s="2">
        <f>IFERROR(__xludf.DUMMYFUNCTION("split(B213,""_"")"),1801.0)</f>
        <v>1801</v>
      </c>
      <c r="D213" s="2" t="str">
        <f>IFERROR(__xludf.DUMMYFUNCTION("""COMPUTED_VALUE"""),"CX")</f>
        <v>CX</v>
      </c>
      <c r="E213" s="2" t="str">
        <f>IFERROR(__xludf.DUMMYFUNCTION("""COMPUTED_VALUE"""),"木22")</f>
        <v>木22</v>
      </c>
      <c r="F213" s="2" t="s">
        <v>663</v>
      </c>
      <c r="G213" s="2" t="s">
        <v>685</v>
      </c>
      <c r="H213" s="1">
        <v>8.0</v>
      </c>
      <c r="I213" s="1" t="s">
        <v>29</v>
      </c>
      <c r="J213" s="1" t="s">
        <v>86</v>
      </c>
      <c r="K213" s="2" t="s">
        <v>686</v>
      </c>
      <c r="L213" s="2" t="s">
        <v>687</v>
      </c>
      <c r="M213" s="2" t="str">
        <f>IFERROR(__xludf.DUMMYFUNCTION("split(K213,""深田恭子　"",false)"),"連続ドラマの副音声は、初挑戦となる深田恭子と松山ケンイチに高畑淳子。収録現場では、副音声に集中しなくちゃとシーンを見る間も惜しんでマシンガントークを炸裂させる松山に対して「このシーン、いいシーンです」とついついシーンに見入りながら解説をしていく深田と高畑。さらに高畑はいいシーンで涙が出てきて副音声に集中できないといった場面も。まさにここだけでしか聞けない3人の副音声トークは必聴です!奈々(深田恭子)と大器(松山ケンイチ)は、大器の実家が営む焼き鳥店『いがらし』を訪れる。その際、琴音(伊藤沙莉)は、娘の真奈"&amp;"を保育園に入れて職場復帰するつもりだと奈々たちに話した。すると聡子(高畑淳子)は、まだ早過ぎると怒り出し、琴音と大ゲンカになってしまう。帰宅した奈々と大器は、浮気騒動の前のように仲睦まじい関係を取り戻していた。  朔(北村匠海)は、真一郎(野間口徹)がボランティアで講師を務めている塾で、中学生に交じって勉強を始める。渉(眞島秀和)は、母親のふみ(田島令子)にゲイであることをカミングアウトしたものの理解されず、それ以降、ふみからの電話を無視し続けていた。朔は、そんな渉のことが心配でならない。  一方、ちひろ"&amp;"(高橋メアリージュン)は、亮司(平山浩行)の息子・亮太(和田庵)が、もうすぐ誕生日だと知り、亮太の為にケーキを作ることを決意する。料理が苦手なちひろは、奈々にケーキ作りを手伝ってもらうように頼む。  そんな中、片岡医師(伊藤かずえ)のクリニックを訪れた奈々は…。")</f>
        <v>連続ドラマの副音声は、初挑戦となる深田恭子と松山ケンイチに高畑淳子。収録現場では、副音声に集中しなくちゃとシーンを見る間も惜しんでマシンガントークを炸裂させる松山に対して「このシーン、いいシーンです」とついついシーンに見入りながら解説をしていく深田と高畑。さらに高畑はいいシーンで涙が出てきて副音声に集中できないといった場面も。まさにここだけでしか聞けない3人の副音声トークは必聴です!奈々(深田恭子)と大器(松山ケンイチ)は、大器の実家が営む焼き鳥店『いがらし』を訪れる。その際、琴音(伊藤沙莉)は、娘の真奈を保育園に入れて職場復帰するつもりだと奈々たちに話した。すると聡子(高畑淳子)は、まだ早過ぎると怒り出し、琴音と大ゲンカになってしまう。帰宅した奈々と大器は、浮気騒動の前のように仲睦まじい関係を取り戻していた。  朔(北村匠海)は、真一郎(野間口徹)がボランティアで講師を務めている塾で、中学生に交じって勉強を始める。渉(眞島秀和)は、母親のふみ(田島令子)にゲイであることをカミングアウトしたものの理解されず、それ以降、ふみからの電話を無視し続けていた。朔は、そんな渉のことが心配でならない。  一方、ちひろ(高橋メアリージュン)は、亮司(平山浩行)の息子・亮太(和田庵)が、もうすぐ誕生日だと知り、亮太の為にケーキを作ることを決意する。料理が苦手なちひろは、奈々にケーキ作りを手伝ってもらうように頼む。  そんな中、片岡医師(伊藤かずえ)のクリニックを訪れた奈々は…。</v>
      </c>
      <c r="N213" s="2" t="str">
        <f>IFERROR(__xludf.DUMMYFUNCTION("""COMPUTED_VALUE"""),"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品田俊介(『人は見た目が100パーセント』『"&amp;"信長協奏曲』『失恋ショコラティエ』他)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【"&amp;"公式Twitter】  @tona_kazo")</f>
        <v>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【公式Twitter】  @tona_kazo</v>
      </c>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row>
    <row r="214" ht="204.75" customHeight="1">
      <c r="A214" s="1">
        <v>885.0</v>
      </c>
      <c r="B214" s="2" t="s">
        <v>662</v>
      </c>
      <c r="C214" s="2">
        <f>IFERROR(__xludf.DUMMYFUNCTION("split(B214,""_"")"),1801.0)</f>
        <v>1801</v>
      </c>
      <c r="D214" s="2" t="str">
        <f>IFERROR(__xludf.DUMMYFUNCTION("""COMPUTED_VALUE"""),"CX")</f>
        <v>CX</v>
      </c>
      <c r="E214" s="2" t="str">
        <f>IFERROR(__xludf.DUMMYFUNCTION("""COMPUTED_VALUE"""),"木22")</f>
        <v>木22</v>
      </c>
      <c r="F214" s="2" t="s">
        <v>663</v>
      </c>
      <c r="G214" s="2" t="s">
        <v>688</v>
      </c>
      <c r="H214" s="1">
        <v>9.0</v>
      </c>
      <c r="I214" s="1" t="s">
        <v>33</v>
      </c>
      <c r="J214" s="1" t="s">
        <v>86</v>
      </c>
      <c r="K214" s="2" t="s">
        <v>689</v>
      </c>
      <c r="L214" s="2" t="s">
        <v>690</v>
      </c>
      <c r="M214" s="2" t="str">
        <f>IFERROR(__xludf.DUMMYFUNCTION("split(K214,""深田恭子　"",false)"),"奈々(深田恭子)と大器(松山ケンイチ)は、妊娠のことを周囲に報告する。聡子(高畑淳子)たちはもちろん、上京した奈々の母・春枝(原日出子)も、心から2人を祝福した。  朔(北村匠海)は、渉(眞島秀和)が無理していることを心配して、何度門前払いされても諦めずに渉の母・ふみ(田島令子)の家に通っていた。同じころ、渉の元へは留美(橋本マナミ)が訪ねてきていた…。奈々と大器は、共有スペースにオリーブの苗木を植える。初夏に花が咲くので、子供と同じく、すくすく成長することを祈りながら……。その時、深雪(真飛聖)が血相を"&amp;"変えて家から飛び出してくる。次女の萌香(古川凛)が行方不明になったからだ。大器は、真一郎(野間口徹)らとともに萌香を探しに行くが…。")</f>
        <v>奈々(深田恭子)と大器(松山ケンイチ)は、妊娠のことを周囲に報告する。聡子(高畑淳子)たちはもちろん、上京した奈々の母・春枝(原日出子)も、心から2人を祝福した。  朔(北村匠海)は、渉(眞島秀和)が無理していることを心配して、何度門前払いされても諦めずに渉の母・ふみ(田島令子)の家に通っていた。同じころ、渉の元へは留美(橋本マナミ)が訪ねてきていた…。奈々と大器は、共有スペースにオリーブの苗木を植える。初夏に花が咲くので、子供と同じく、すくすく成長することを祈りながら……。その時、深雪(真飛聖)が血相を変えて家から飛び出してくる。次女の萌香(古川凛)が行方不明になったからだ。大器は、真一郎(野間口徹)らとともに萌香を探しに行くが…。</v>
      </c>
      <c r="N214" s="2" t="str">
        <f>IFERROR(__xludf.DUMMYFUNCTION("""COMPUTED_VALUE"""),"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品田俊介(『人は見た目が100パーセント』『"&amp;"信長協奏曲』『失恋ショコラティエ』他)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f>
        <v>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v>
      </c>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row>
    <row r="215" ht="204.75" customHeight="1">
      <c r="A215" s="1">
        <v>886.0</v>
      </c>
      <c r="B215" s="2" t="s">
        <v>662</v>
      </c>
      <c r="C215" s="2">
        <f>IFERROR(__xludf.DUMMYFUNCTION("split(B215,""_"")"),1801.0)</f>
        <v>1801</v>
      </c>
      <c r="D215" s="2" t="str">
        <f>IFERROR(__xludf.DUMMYFUNCTION("""COMPUTED_VALUE"""),"CX")</f>
        <v>CX</v>
      </c>
      <c r="E215" s="2" t="str">
        <f>IFERROR(__xludf.DUMMYFUNCTION("""COMPUTED_VALUE"""),"木22")</f>
        <v>木22</v>
      </c>
      <c r="F215" s="2" t="s">
        <v>663</v>
      </c>
      <c r="G215" s="2" t="s">
        <v>691</v>
      </c>
      <c r="H215" s="1">
        <v>10.0</v>
      </c>
      <c r="I215" s="1" t="s">
        <v>37</v>
      </c>
      <c r="J215" s="1" t="s">
        <v>86</v>
      </c>
      <c r="K215" s="2" t="s">
        <v>692</v>
      </c>
      <c r="L215" s="2" t="s">
        <v>693</v>
      </c>
      <c r="M215" s="2" t="str">
        <f>IFERROR(__xludf.DUMMYFUNCTION("split(K215,""深田恭子　"",false)"),"母・ふみ(田島令子)にカミングアウトしてから、ふみからの電話にも出ずに無理をしていた渉(眞島秀和)。渉とふみの“家族""を壊してしまいたくない朔(北村匠海)は、ふみの家に通い続けていた。ふみが初めて朔を家に上げると「理解が追いつかない」と、その苦しい胸の内を朔に打ち明ける。朔は「もし母親に会うことがあったら産んでくれてありがとうと伝えたい」と話す。渉もきっと同じ思いだと…。  小宮山家では、深雪(真飛聖)が、家を売りに出すこと、アパートを借りて働くつもりであることを真一郎(野間口徹)に告げ、サインした離婚"&amp;"届を手渡した。優香(安藤美優)と萌香(古川凛)の親権を真一郎が持つことも記載された離婚届を…。  川村家では、互いが抱え込んでいた気持ちをぶつけ合ったことで仲良くなっていったちひろ(高橋メアリージュン)と亮太(和田庵)、そして亮司(平山浩行)が、まるで本当の家族になったように一緒に出かけていく。  一方、奈々(深田恭子)と大器(松山ケンイチ)は、妊娠した喜びもつかの間、流産してしまうという悲しい思いを味わう。流産を受け入れ、表向きは普通の顔で家事などもこなす奈々。しかし、病院に出かける時、かばんに着けてい"&amp;"た“マタニティマーク""を目にしたことで思いがあふれ出し、その場に泣き崩れてしまう。そして大器に手紙を書いて姿を消してしまう。  ついに最終回を迎える今回、それぞれの家族の結末は!?")</f>
        <v>母・ふみ(田島令子)にカミングアウトしてから、ふみからの電話にも出ずに無理をしていた渉(眞島秀和)。渉とふみの“家族"を壊してしまいたくない朔(北村匠海)は、ふみの家に通い続けていた。ふみが初めて朔を家に上げると「理解が追いつかない」と、その苦しい胸の内を朔に打ち明ける。朔は「もし母親に会うことがあったら産んでくれてありがとうと伝えたい」と話す。渉もきっと同じ思いだと…。  小宮山家では、深雪(真飛聖)が、家を売りに出すこと、アパートを借りて働くつもりであることを真一郎(野間口徹)に告げ、サインした離婚届を手渡した。優香(安藤美優)と萌香(古川凛)の親権を真一郎が持つことも記載された離婚届を…。  川村家では、互いが抱え込んでいた気持ちをぶつけ合ったことで仲良くなっていったちひろ(高橋メアリージュン)と亮太(和田庵)、そして亮司(平山浩行)が、まるで本当の家族になったように一緒に出かけていく。  一方、奈々(深田恭子)と大器(松山ケンイチ)は、妊娠した喜びもつかの間、流産してしまうという悲しい思いを味わう。流産を受け入れ、表向きは普通の顔で家事などもこなす奈々。しかし、病院に出かける時、かばんに着けていた“マタニティマーク"を目にしたことで思いがあふれ出し、その場に泣き崩れてしまう。そして大器に手紙を書いて姿を消してしまう。  ついに最終回を迎える今回、それぞれの家族の結末は!?</v>
      </c>
      <c r="N215" s="2" t="str">
        <f>IFERROR(__xludf.DUMMYFUNCTION("""COMPUTED_VALUE"""),"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品田俊介(『人は見た目が100パーセント』『信"&amp;"長協奏曲』『失恋ショコラティエ』他)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【公"&amp;"式Twitter】  @tona_kazo")</f>
        <v>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【公式Twitter】  @tona_kazo</v>
      </c>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row>
    <row r="216" ht="204.75" customHeight="1">
      <c r="A216" s="1">
        <v>949.0</v>
      </c>
      <c r="B216" s="2" t="s">
        <v>694</v>
      </c>
      <c r="C216" s="2">
        <f>IFERROR(__xludf.DUMMYFUNCTION("split(B216,""_"")"),1710.0)</f>
        <v>1710</v>
      </c>
      <c r="D216" s="2" t="str">
        <f>IFERROR(__xludf.DUMMYFUNCTION("""COMPUTED_VALUE"""),"CX")</f>
        <v>CX</v>
      </c>
      <c r="E216" s="2" t="str">
        <f>IFERROR(__xludf.DUMMYFUNCTION("""COMPUTED_VALUE"""),"月21")</f>
        <v>月21</v>
      </c>
      <c r="F216" s="2" t="s">
        <v>695</v>
      </c>
      <c r="G216" s="2" t="s">
        <v>696</v>
      </c>
      <c r="H216" s="1">
        <v>1.0</v>
      </c>
      <c r="I216" s="1" t="s">
        <v>3</v>
      </c>
      <c r="J216" s="1" t="s">
        <v>4</v>
      </c>
      <c r="K216" s="2" t="s">
        <v>697</v>
      </c>
      <c r="L216" s="2" t="s">
        <v>698</v>
      </c>
      <c r="M216" s="2" t="str">
        <f>IFERROR(__xludf.DUMMYFUNCTION("split(K216,""篠原涼子　"",false)"),"「プロ野球クライマックスシリーズ　ファイナルステージ　広島×横浜DeNA」延長の際は、放送時間繰り下げの場合あり。http://www.fujitv.co.jp/minshuunoteki/index.html10月の月9は、主演・篠原涼子と高橋一生、石田ゆり子らがお届けする市政エンターテインメント!  佐藤智子(篠原涼子)と公平(田中圭)夫婦は、息子の駿平(鳥越壮真)と3人で手狭な団地住まいとはいえ、温かくごく平凡で幸せな家庭を営んでいた。しかし、智子はもっと幸せになりたいと思っている。駿平に本物のステ"&amp;"ーキを食べさせてあげたい…。だが、佐藤夫婦はどうにも仕事が長続きしない。理不尽な業務などについ逆らってしまい、すぐに解雇されてしまう。そしてある時、夫婦同時に仕事を失うことに…。  パソコンのサイトで新しい職場を探す智子だが、なかなか見つからず。そんな時、智子はふと“市議会議員""と検索。ニュースで政治活動費を不正流用した市議会議員を見たからだ。すると、智子が暮らすあおば市の議員当選率は8割以上と知り、すぐさま智子は公平に立候補宣言する。  出馬に必要な供託金として貯金を引き出した智子夫婦は選挙管理委員会"&amp;"で立候補の手続き。だが、すでに選挙戦は始まっていた。素人候補の智子と公平は、現市議会議員・磯部真蔵(笹野高史)の選挙演説を見学。すると、磯部の発言はウソばかりだと憤る女性が…。駿平の保育園のママ友・平田和美(石田ゆり子)だ。智子が自らの立候補を伝えると、和美はあきれて立ち去る…。  選挙には磯部のほかにも、政治家一家の藤堂誠(高橋一生)ら、一癖も二癖もありそうな候補者が名を連ねる。")</f>
        <v>「プロ野球クライマックスシリーズ　ファイナルステージ　広島×横浜DeNA」延長の際は、放送時間繰り下げの場合あり。http://www.fujitv.co.jp/minshuunoteki/index.html10月の月9は、主演・篠原涼子と高橋一生、石田ゆり子らがお届けする市政エンターテインメント!  佐藤智子(篠原涼子)と公平(田中圭)夫婦は、息子の駿平(鳥越壮真)と3人で手狭な団地住まいとはいえ、温かくごく平凡で幸せな家庭を営んでいた。しかし、智子はもっと幸せになりたいと思っている。駿平に本物のステーキを食べさせてあげたい…。だが、佐藤夫婦はどうにも仕事が長続きしない。理不尽な業務などについ逆らってしまい、すぐに解雇されてしまう。そしてある時、夫婦同時に仕事を失うことに…。  パソコンのサイトで新しい職場を探す智子だが、なかなか見つからず。そんな時、智子はふと“市議会議員"と検索。ニュースで政治活動費を不正流用した市議会議員を見たからだ。すると、智子が暮らすあおば市の議員当選率は8割以上と知り、すぐさま智子は公平に立候補宣言する。  出馬に必要な供託金として貯金を引き出した智子夫婦は選挙管理委員会で立候補の手続き。だが、すでに選挙戦は始まっていた。素人候補の智子と公平は、現市議会議員・磯部真蔵(笹野高史)の選挙演説を見学。すると、磯部の発言はウソばかりだと憤る女性が…。駿平の保育園のママ友・平田和美(石田ゆり子)だ。智子が自らの立候補を伝えると、和美はあきれて立ち去る…。  選挙には磯部のほかにも、政治家一家の藤堂誠(高橋一生)ら、一癖も二癖もありそうな候補者が名を連ねる。</v>
      </c>
      <c r="N216" s="2" t="str">
        <f>IFERROR(__xludf.DUMMYFUNCTION("""COMPUTED_VALUE"""),"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f>
        <v>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v>
      </c>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row>
    <row r="217" ht="204.75" customHeight="1">
      <c r="A217" s="1">
        <v>950.0</v>
      </c>
      <c r="B217" s="2" t="s">
        <v>694</v>
      </c>
      <c r="C217" s="2">
        <f>IFERROR(__xludf.DUMMYFUNCTION("split(B217,""_"")"),1710.0)</f>
        <v>1710</v>
      </c>
      <c r="D217" s="2" t="str">
        <f>IFERROR(__xludf.DUMMYFUNCTION("""COMPUTED_VALUE"""),"CX")</f>
        <v>CX</v>
      </c>
      <c r="E217" s="2" t="str">
        <f>IFERROR(__xludf.DUMMYFUNCTION("""COMPUTED_VALUE"""),"月21")</f>
        <v>月21</v>
      </c>
      <c r="F217" s="2" t="s">
        <v>695</v>
      </c>
      <c r="G217" s="2" t="s">
        <v>699</v>
      </c>
      <c r="H217" s="1">
        <v>2.0</v>
      </c>
      <c r="I217" s="1" t="s">
        <v>7</v>
      </c>
      <c r="J217" s="1" t="s">
        <v>4</v>
      </c>
      <c r="K217" s="2" t="s">
        <v>700</v>
      </c>
      <c r="L217" s="2" t="s">
        <v>701</v>
      </c>
      <c r="M217" s="2" t="str">
        <f>IFERROR(__xludf.DUMMYFUNCTION("split(K217,""篠原涼子　"",false)"),"http://www.fujitv.co.jp/minshuunoteki/index.htmlあおば市議会議員となった佐藤智子(篠原涼子)が初登庁。途中で会った藤堂誠(高橋一生)と新人議員のために用意された研修室に行くと、中から怒鳴り声が。市長の河原田晶子(余貴美子)が創設した新人議員研修室にベテラン市議・前田康(大澄賢也)が文句を言っている。前田は市議会で多数を占める犬崎和久(古田新太)派で、怒鳴られているのは市長の秘書・望月守(細田善彦)。「研修室は市長が新人議員を囲い込む手段では?」と憤る前田を、"&amp;"望月は否定している。すべてが初めての智子は理由がわからず…。  しばらくして始まった本会議に智子が向かうと、居眠りをしている前田を議場で発見。智子は手元の資料を丸めて、前田の頭を叩いて起きるようにと一喝する。この行動に傍聴席が湧いた。様子を見に来ていた平田和美(石田ゆり子)も思わず笑ってしまうが…。  議会が終わり智子が研修室に戻ると、小出未亜(前田敦子)、岡本遼(千葉雄大)、園田龍太郎(斎藤司)が何やら話している。3人は智子を見つけると議会で前田を叩いたことを非難し始めた。犬崎派の幹部の前田になんてこと"&amp;"をしてしまったんだと。寝ている人を起こすのは良いことだと反論する智子だが、犬崎派議員の控室に呼び出され…。  智子を迎えた犬崎は「次の議会で前田に謝罪して、自分の会派に入れ」と告げる。即答しない智子に、犬崎は「入りたい委員会も考えておけ」と伝えた。犬崎に目をつけられた智子は…。")</f>
        <v>http://www.fujitv.co.jp/minshuunoteki/index.htmlあおば市議会議員となった佐藤智子(篠原涼子)が初登庁。途中で会った藤堂誠(高橋一生)と新人議員のために用意された研修室に行くと、中から怒鳴り声が。市長の河原田晶子(余貴美子)が創設した新人議員研修室にベテラン市議・前田康(大澄賢也)が文句を言っている。前田は市議会で多数を占める犬崎和久(古田新太)派で、怒鳴られているのは市長の秘書・望月守(細田善彦)。「研修室は市長が新人議員を囲い込む手段では?」と憤る前田を、望月は否定している。すべてが初めての智子は理由がわからず…。  しばらくして始まった本会議に智子が向かうと、居眠りをしている前田を議場で発見。智子は手元の資料を丸めて、前田の頭を叩いて起きるようにと一喝する。この行動に傍聴席が湧いた。様子を見に来ていた平田和美(石田ゆり子)も思わず笑ってしまうが…。  議会が終わり智子が研修室に戻ると、小出未亜(前田敦子)、岡本遼(千葉雄大)、園田龍太郎(斎藤司)が何やら話している。3人は智子を見つけると議会で前田を叩いたことを非難し始めた。犬崎派の幹部の前田になんてことをしてしまったんだと。寝ている人を起こすのは良いことだと反論する智子だが、犬崎派議員の控室に呼び出され…。  智子を迎えた犬崎は「次の議会で前田に謝罪して、自分の会派に入れ」と告げる。即答しない智子に、犬崎は「入りたい委員会も考えておけ」と伝えた。犬崎に目をつけられた智子は…。</v>
      </c>
      <c r="N217" s="2" t="str">
        <f>IFERROR(__xludf.DUMMYFUNCTION("""COMPUTED_VALUE"""),"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f>
        <v>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v>
      </c>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row>
    <row r="218" ht="204.75" customHeight="1">
      <c r="A218" s="1">
        <v>951.0</v>
      </c>
      <c r="B218" s="2" t="s">
        <v>694</v>
      </c>
      <c r="C218" s="2">
        <f>IFERROR(__xludf.DUMMYFUNCTION("split(B218,""_"")"),1710.0)</f>
        <v>1710</v>
      </c>
      <c r="D218" s="2" t="str">
        <f>IFERROR(__xludf.DUMMYFUNCTION("""COMPUTED_VALUE"""),"CX")</f>
        <v>CX</v>
      </c>
      <c r="E218" s="2" t="str">
        <f>IFERROR(__xludf.DUMMYFUNCTION("""COMPUTED_VALUE"""),"月21")</f>
        <v>月21</v>
      </c>
      <c r="F218" s="2" t="s">
        <v>695</v>
      </c>
      <c r="G218" s="2" t="s">
        <v>702</v>
      </c>
      <c r="H218" s="1">
        <v>3.0</v>
      </c>
      <c r="I218" s="1" t="s">
        <v>10</v>
      </c>
      <c r="J218" s="1" t="s">
        <v>11</v>
      </c>
      <c r="K218" s="2" t="s">
        <v>703</v>
      </c>
      <c r="L218" s="2" t="s">
        <v>704</v>
      </c>
      <c r="M218" s="2" t="str">
        <f>IFERROR(__xludf.DUMMYFUNCTION("split(K218,""篠原涼子　"",false)"),"http://www.fujitv.co.jp/minshuunoteki/index.html佐藤智子(篠原涼子)は希望通り、あおば市議会の教育こども委員会に所属した。自宅では辞書を片手に資料を読むのだが、会議に出ても周りが何を話しているのか分からない。そんな智子に、小出未亜(前田敦子)が断った市民の陳情が持ち込まれる。「話を聞くだけでいい」という議会事務局職員の安部(久保田悠来)の頼みを、智子は引き受けた。  陳情を持ち込んだのは富子(梅沢昌代)。富子はかつての隣人、今井一馬(渋谷謙人)が誘拐犯人とし"&amp;"て逮捕されたが冤罪(えんざい)だというのだ。富子の訴えに智子が動き出す。まずは、事件を平田和美(石田ゆり子)に調べてもらった。和美は担当警察官から話を聞く。  事件の発端は、不審な男が少女を連れ歩いているとの通報だった。警察の捜査で少女は小川かのん(白鳥玉季)と判明。すぐにかのんの自宅に行くと、応対したのは彼女の母・裕子(安藤玉恵)で、かのんはいなかった。裕子はかのんに携帯電話を持たせていなかったので連絡が取れない。裕子の携帯電話も未払いで止められていた。そのため警察は付近の家をしらみつぶしに調べ始める。"&amp;"すると、一馬のアパートでかのんが発見され、逮捕に至ったのだ。  智子は富子に「一馬の冤罪を晴らす」と約束してしまった。事件に興味を持った和美も引き続き調べることを約束する。智子は藤堂誠(高橋一生)にも相談。藤堂は「弁護士を紹介しようか」と、話に乗る様子はなかったが…。")</f>
        <v>http://www.fujitv.co.jp/minshuunoteki/index.html佐藤智子(篠原涼子)は希望通り、あおば市議会の教育こども委員会に所属した。自宅では辞書を片手に資料を読むのだが、会議に出ても周りが何を話しているのか分からない。そんな智子に、小出未亜(前田敦子)が断った市民の陳情が持ち込まれる。「話を聞くだけでいい」という議会事務局職員の安部(久保田悠来)の頼みを、智子は引き受けた。  陳情を持ち込んだのは富子(梅沢昌代)。富子はかつての隣人、今井一馬(渋谷謙人)が誘拐犯人として逮捕されたが冤罪(えんざい)だというのだ。富子の訴えに智子が動き出す。まずは、事件を平田和美(石田ゆり子)に調べてもらった。和美は担当警察官から話を聞く。  事件の発端は、不審な男が少女を連れ歩いているとの通報だった。警察の捜査で少女は小川かのん(白鳥玉季)と判明。すぐにかのんの自宅に行くと、応対したのは彼女の母・裕子(安藤玉恵)で、かのんはいなかった。裕子はかのんに携帯電話を持たせていなかったので連絡が取れない。裕子の携帯電話も未払いで止められていた。そのため警察は付近の家をしらみつぶしに調べ始める。すると、一馬のアパートでかのんが発見され、逮捕に至ったのだ。  智子は富子に「一馬の冤罪を晴らす」と約束してしまった。事件に興味を持った和美も引き続き調べることを約束する。智子は藤堂誠(高橋一生)にも相談。藤堂は「弁護士を紹介しようか」と、話に乗る様子はなかったが…。</v>
      </c>
      <c r="N218" s="2" t="str">
        <f>IFERROR(__xludf.DUMMYFUNCTION("""COMPUTED_VALUE"""),"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f>
        <v>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v>
      </c>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row>
    <row r="219" ht="204.75" customHeight="1">
      <c r="A219" s="1">
        <v>952.0</v>
      </c>
      <c r="B219" s="2" t="s">
        <v>694</v>
      </c>
      <c r="C219" s="2">
        <f>IFERROR(__xludf.DUMMYFUNCTION("split(B219,""_"")"),1710.0)</f>
        <v>1710</v>
      </c>
      <c r="D219" s="2" t="str">
        <f>IFERROR(__xludf.DUMMYFUNCTION("""COMPUTED_VALUE"""),"CX")</f>
        <v>CX</v>
      </c>
      <c r="E219" s="2" t="str">
        <f>IFERROR(__xludf.DUMMYFUNCTION("""COMPUTED_VALUE"""),"月21")</f>
        <v>月21</v>
      </c>
      <c r="F219" s="2" t="s">
        <v>695</v>
      </c>
      <c r="G219" s="2" t="s">
        <v>705</v>
      </c>
      <c r="H219" s="1">
        <v>4.0</v>
      </c>
      <c r="I219" s="1" t="s">
        <v>14</v>
      </c>
      <c r="J219" s="1" t="s">
        <v>11</v>
      </c>
      <c r="K219" s="2" t="s">
        <v>706</v>
      </c>
      <c r="L219" s="2" t="s">
        <v>707</v>
      </c>
      <c r="M219" s="2" t="str">
        <f>IFERROR(__xludf.DUMMYFUNCTION("split(K219,""篠原涼子　"",false)"),"http://www.fujitv.co.jp/minshuunoteki/index.html帰宅した佐藤智子(篠原涼子)を公平(田中圭)が、かいがいしく出迎えた。いつもと違う様子に智子が疑問を持つと、公平は「記帳してきた」と通帳を見せる。智子が大声をあげると、駿平(鳥越壮真)とあかね(野澤しおり)が驚く。実は智子に初めての議員報酬が支払われ、その額に驚嘆の声をあげてしまったのだ…。  ともあれ、念願の報酬をもとに公平は焼き肉パーティーを企画。あかねを迎えに来た平田和美(石田ゆり子)も交えて食事を始める"&amp;"。浮かれる佐藤夫婦に、来年は税金も上がると釘を刺す和美は、もうひとつ懸念を抱えていた。  その頃、あおば市では開発が進もうとしていた新しい港の建設、ニューポート計画の中止を河原田晶子市長(余貴美子)が公約通りに宣言。和美の新聞社では市長の独断をけん制するような一文が掲載された。もともとニューポート計画を推進していたのは犬崎和久(古田新太)の派閥。和美は新聞記事には動きが見えるのに、犬崎たちがおとなしすぎるのが気にかかっていたのだ。智子も和美に同調する。  一方、小出未亜(前田敦子)は岡本遼(千葉雄大)の地"&amp;"元商店街でランチ。商店街はすっかりさびれ、もともとここで電器店を営んでいた遼の実家も夜逃げしていた。古い店がシャッターを閉める中、2人が入ったのはファミリーレストラン。ウエートレスに案内されて席につこうとする遼に商店街のおばちゃんたちが声をかけて…。")</f>
        <v>http://www.fujitv.co.jp/minshuunoteki/index.html帰宅した佐藤智子(篠原涼子)を公平(田中圭)が、かいがいしく出迎えた。いつもと違う様子に智子が疑問を持つと、公平は「記帳してきた」と通帳を見せる。智子が大声をあげると、駿平(鳥越壮真)とあかね(野澤しおり)が驚く。実は智子に初めての議員報酬が支払われ、その額に驚嘆の声をあげてしまったのだ…。  ともあれ、念願の報酬をもとに公平は焼き肉パーティーを企画。あかねを迎えに来た平田和美(石田ゆり子)も交えて食事を始める。浮かれる佐藤夫婦に、来年は税金も上がると釘を刺す和美は、もうひとつ懸念を抱えていた。  その頃、あおば市では開発が進もうとしていた新しい港の建設、ニューポート計画の中止を河原田晶子市長(余貴美子)が公約通りに宣言。和美の新聞社では市長の独断をけん制するような一文が掲載された。もともとニューポート計画を推進していたのは犬崎和久(古田新太)の派閥。和美は新聞記事には動きが見えるのに、犬崎たちがおとなしすぎるのが気にかかっていたのだ。智子も和美に同調する。  一方、小出未亜(前田敦子)は岡本遼(千葉雄大)の地元商店街でランチ。商店街はすっかりさびれ、もともとここで電器店を営んでいた遼の実家も夜逃げしていた。古い店がシャッターを閉める中、2人が入ったのはファミリーレストラン。ウエートレスに案内されて席につこうとする遼に商店街のおばちゃんたちが声をかけて…。</v>
      </c>
      <c r="N219" s="2" t="str">
        <f>IFERROR(__xludf.DUMMYFUNCTION("""COMPUTED_VALUE"""),"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f>
        <v>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v>
      </c>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row>
    <row r="220" ht="204.75" customHeight="1">
      <c r="A220" s="1">
        <v>953.0</v>
      </c>
      <c r="B220" s="2" t="s">
        <v>694</v>
      </c>
      <c r="C220" s="2">
        <f>IFERROR(__xludf.DUMMYFUNCTION("split(B220,""_"")"),1710.0)</f>
        <v>1710</v>
      </c>
      <c r="D220" s="2" t="str">
        <f>IFERROR(__xludf.DUMMYFUNCTION("""COMPUTED_VALUE"""),"CX")</f>
        <v>CX</v>
      </c>
      <c r="E220" s="2" t="str">
        <f>IFERROR(__xludf.DUMMYFUNCTION("""COMPUTED_VALUE"""),"月21")</f>
        <v>月21</v>
      </c>
      <c r="F220" s="2" t="s">
        <v>695</v>
      </c>
      <c r="G220" s="2" t="s">
        <v>708</v>
      </c>
      <c r="H220" s="1">
        <v>5.0</v>
      </c>
      <c r="I220" s="1" t="s">
        <v>17</v>
      </c>
      <c r="J220" s="1" t="s">
        <v>11</v>
      </c>
      <c r="K220" s="2" t="s">
        <v>709</v>
      </c>
      <c r="L220" s="2" t="s">
        <v>710</v>
      </c>
      <c r="M220" s="2" t="str">
        <f>IFERROR(__xludf.DUMMYFUNCTION("split(K220,""篠原涼子　"",false)"),"http://www.fujitv.co.jp/minshuunoteki/index.html佐藤智子(篠原涼子)は、犬崎和久(古田新太)に借りを作りながらも、岡本遼(千葉雄大)が提案した行き場のない子供たちを支援する子供食堂の創設を藤堂誠(高橋一生)ら、新人議員たちと協力して議決に持ち込んだ。  その後、智子は「ワーク・ライフ・バランス」という言葉を誠から教えられる。日本人は仕事を優先して休暇も取りにくい状況にあるということで、智子も平田和美(石田ゆり子)とそんな体験をしたばかり。駿平(鳥越壮真)たち"&amp;"の遠足に参加できなかったのだ。「まず実践してみたら」という誠に、智子はSNSに長期休暇を取ると書き込む。  そんな智子に男から電話が入る。男は「手紙を読んでもらえたか」とだけ言って電話を切った。手紙には市議会に汚職議員がいるという告発文だった。智子は小出未亜(前田敦子)や園田龍太郎(斎藤司)に手紙の内容を聞いてみるが、2人ともそそくさと去る。ランチを一緒にした和美にも、先ほどの出来事を聞く智子。和美は、下手につついたら智子たちにも火の粉が降りかかるので、慎重に扱うよう忠告。智子は和美に汚職の件を調べてほし"&amp;"いと頼む。  その夜、智子は落ち込んでいた。SNSでの長期休暇の書き込みが不評の嵐なのだ。公平(田中圭)は「議員としてろくな活動もしていないのに当たり前。SNSへは市議として何をしたかを書いた方がいい」と促す。すると、智子は汚職まみれの議員がいるとの告発を調べると書き込んで…。")</f>
        <v>http://www.fujitv.co.jp/minshuunoteki/index.html佐藤智子(篠原涼子)は、犬崎和久(古田新太)に借りを作りながらも、岡本遼(千葉雄大)が提案した行き場のない子供たちを支援する子供食堂の創設を藤堂誠(高橋一生)ら、新人議員たちと協力して議決に持ち込んだ。  その後、智子は「ワーク・ライフ・バランス」という言葉を誠から教えられる。日本人は仕事を優先して休暇も取りにくい状況にあるということで、智子も平田和美(石田ゆり子)とそんな体験をしたばかり。駿平(鳥越壮真)たちの遠足に参加できなかったのだ。「まず実践してみたら」という誠に、智子はSNSに長期休暇を取ると書き込む。  そんな智子に男から電話が入る。男は「手紙を読んでもらえたか」とだけ言って電話を切った。手紙には市議会に汚職議員がいるという告発文だった。智子は小出未亜(前田敦子)や園田龍太郎(斎藤司)に手紙の内容を聞いてみるが、2人ともそそくさと去る。ランチを一緒にした和美にも、先ほどの出来事を聞く智子。和美は、下手につついたら智子たちにも火の粉が降りかかるので、慎重に扱うよう忠告。智子は和美に汚職の件を調べてほしいと頼む。  その夜、智子は落ち込んでいた。SNSでの長期休暇の書き込みが不評の嵐なのだ。公平(田中圭)は「議員としてろくな活動もしていないのに当たり前。SNSへは市議として何をしたかを書いた方がいい」と促す。すると、智子は汚職まみれの議員がいるとの告発を調べると書き込んで…。</v>
      </c>
      <c r="N220" s="2" t="str">
        <f>IFERROR(__xludf.DUMMYFUNCTION("""COMPUTED_VALUE"""),"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f>
        <v>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v>
      </c>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row>
    <row r="221" ht="204.75" customHeight="1">
      <c r="A221" s="1">
        <v>954.0</v>
      </c>
      <c r="B221" s="2" t="s">
        <v>694</v>
      </c>
      <c r="C221" s="2">
        <f>IFERROR(__xludf.DUMMYFUNCTION("split(B221,""_"")"),1710.0)</f>
        <v>1710</v>
      </c>
      <c r="D221" s="2" t="str">
        <f>IFERROR(__xludf.DUMMYFUNCTION("""COMPUTED_VALUE"""),"CX")</f>
        <v>CX</v>
      </c>
      <c r="E221" s="2" t="str">
        <f>IFERROR(__xludf.DUMMYFUNCTION("""COMPUTED_VALUE"""),"月21")</f>
        <v>月21</v>
      </c>
      <c r="F221" s="2" t="s">
        <v>695</v>
      </c>
      <c r="G221" s="2" t="s">
        <v>711</v>
      </c>
      <c r="H221" s="1">
        <v>6.0</v>
      </c>
      <c r="I221" s="1" t="s">
        <v>21</v>
      </c>
      <c r="J221" s="1" t="s">
        <v>11</v>
      </c>
      <c r="K221" s="2" t="s">
        <v>712</v>
      </c>
      <c r="L221" s="2" t="s">
        <v>713</v>
      </c>
      <c r="M221" s="2" t="str">
        <f>IFERROR(__xludf.DUMMYFUNCTION("split(K221,""篠原涼子　"",false)"),"http://www.fujitv.co.jp/minshuunoteki/index.html佐藤智子(篠原涼子)が始めた、あおば市議会の汚職疑惑は河原田晶子市長(余貴美子)の身に及び、秘書の望月守(細田善彦)が自殺したことで、真相は闇に葬られようとしていた。河原田は市長の職を辞し、市長選で再選することで身の潔白を市民に信じてもらう道を選ぶ。  市民の関心は、河原田の対立候補・犬崎和久(古田新太)派が誰を推すか。平田和美(石田ゆり子)が犬崎派の智子に聞くと、あっさり自分が頼まれたと口にする。和美に「犬崎"&amp;"の操り人形にされる」と忠告される智子だが、さすがに裏があると断ったと告げた。  その頃、智子は市民の陳情を1つずつ解決しようと働いているが、はかどらない。悩む智子に、藤堂誠(高橋一生)は「市長になればいい」と話す。智子は、逆に誠が市長になって力を貸してほしいと頼むが、誠には智子の方が良いと思う、と言われる…。  智子は犬崎から、担当職員より話が通りやすいと福祉課の部長・富田恭一(渡辺いっけい)を紹介される。早速、智子は富田と陳情元を回り出す。そんな時、前田康(大澄賢也)が市長選への出馬を表明。小出未亜(前"&amp;"田敦子)ら、新人議員たちも疑問の色を隠しきれない。  智子が富田と回った陳情は福祉課で素早くまとめられ、実行に移され始める。なぜここまでしてくれるのかと尋ねる智子に、犬崎は「まだ市長にすることを諦めてはいない」と答える。智子には犬崎の本心が分からなかった…。")</f>
        <v>http://www.fujitv.co.jp/minshuunoteki/index.html佐藤智子(篠原涼子)が始めた、あおば市議会の汚職疑惑は河原田晶子市長(余貴美子)の身に及び、秘書の望月守(細田善彦)が自殺したことで、真相は闇に葬られようとしていた。河原田は市長の職を辞し、市長選で再選することで身の潔白を市民に信じてもらう道を選ぶ。  市民の関心は、河原田の対立候補・犬崎和久(古田新太)派が誰を推すか。平田和美(石田ゆり子)が犬崎派の智子に聞くと、あっさり自分が頼まれたと口にする。和美に「犬崎の操り人形にされる」と忠告される智子だが、さすがに裏があると断ったと告げた。  その頃、智子は市民の陳情を1つずつ解決しようと働いているが、はかどらない。悩む智子に、藤堂誠(高橋一生)は「市長になればいい」と話す。智子は、逆に誠が市長になって力を貸してほしいと頼むが、誠には智子の方が良いと思う、と言われる…。  智子は犬崎から、担当職員より話が通りやすいと福祉課の部長・富田恭一(渡辺いっけい)を紹介される。早速、智子は富田と陳情元を回り出す。そんな時、前田康(大澄賢也)が市長選への出馬を表明。小出未亜(前田敦子)ら、新人議員たちも疑問の色を隠しきれない。  智子が富田と回った陳情は福祉課で素早くまとめられ、実行に移され始める。なぜここまでしてくれるのかと尋ねる智子に、犬崎は「まだ市長にすることを諦めてはいない」と答える。智子には犬崎の本心が分からなかった…。</v>
      </c>
      <c r="N221" s="2" t="str">
        <f>IFERROR(__xludf.DUMMYFUNCTION("""COMPUTED_VALUE"""),"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f>
        <v>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v>
      </c>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row>
    <row r="222" ht="204.75" customHeight="1">
      <c r="A222" s="1">
        <v>955.0</v>
      </c>
      <c r="B222" s="2" t="s">
        <v>694</v>
      </c>
      <c r="C222" s="2">
        <f>IFERROR(__xludf.DUMMYFUNCTION("split(B222,""_"")"),1710.0)</f>
        <v>1710</v>
      </c>
      <c r="D222" s="2" t="str">
        <f>IFERROR(__xludf.DUMMYFUNCTION("""COMPUTED_VALUE"""),"CX")</f>
        <v>CX</v>
      </c>
      <c r="E222" s="2" t="str">
        <f>IFERROR(__xludf.DUMMYFUNCTION("""COMPUTED_VALUE"""),"月21")</f>
        <v>月21</v>
      </c>
      <c r="F222" s="2" t="s">
        <v>695</v>
      </c>
      <c r="G222" s="2" t="s">
        <v>714</v>
      </c>
      <c r="H222" s="1">
        <v>7.0</v>
      </c>
      <c r="I222" s="1" t="s">
        <v>25</v>
      </c>
      <c r="J222" s="1" t="s">
        <v>11</v>
      </c>
      <c r="K222" s="2" t="s">
        <v>715</v>
      </c>
      <c r="L222" s="2" t="s">
        <v>716</v>
      </c>
      <c r="M222" s="2" t="str">
        <f>IFERROR(__xludf.DUMMYFUNCTION("split(K222,""篠原涼子　"",false)"),"http://www.fujitv.co.jp/minshuunoteki/index.html市長となった佐藤智子(篠原涼子)は、副市長に前田康(大澄賢也)、秘書に富田恭一(渡辺いっけい)と、犬崎和久(古田新太)の人事を受け入れ、あおば市議会は犬崎派が牛耳る形となった。それでも、福祉政策を進める智子の市民人気はうなぎのぼりで、ドキュメンタリー番組にも取り上げられる。この人気を盾に、犬崎は元市長の河原田晶子(余貴美子)が中止したニューポート開発を再び進めようと開発委員会を設置。その委員会に智子は出席できな"&amp;"かった。  智子と平田和美(石田ゆり子)の関係は相変わらずギクシャクしたままだ。和美は、あおば市議会から資料として渡された黒塗りだらけのニューポート開発委員会議事録に不信感を抱くが、智子に聞けない。ならばと、移動中の犬崎を捕まえて質問をあびせるが、この和美の行動が犬崎に目をつけられることに…。和美は、藤堂誠(高橋一生)に取材をするが情報は得られない。  智子は誠に相談された非行少年、少女たちを立ち直らせ、子供たちの悩みや相談を受け入れられる仕組みに取り組もうとしていた。だが、犬崎はニューポート開発地区で反"&amp;"対運動を行う市民の強制排除に動く。そのために智子は記者たちに取り囲まれるが、何も答えることができない。智子は犬崎に真相を尋ねに行くのだが「市長にできないことを代わりにやっただけだ」と言われてしまった。智子は、市民から得た信頼を瞬く間になくす窮地に立たされる。")</f>
        <v>http://www.fujitv.co.jp/minshuunoteki/index.html市長となった佐藤智子(篠原涼子)は、副市長に前田康(大澄賢也)、秘書に富田恭一(渡辺いっけい)と、犬崎和久(古田新太)の人事を受け入れ、あおば市議会は犬崎派が牛耳る形となった。それでも、福祉政策を進める智子の市民人気はうなぎのぼりで、ドキュメンタリー番組にも取り上げられる。この人気を盾に、犬崎は元市長の河原田晶子(余貴美子)が中止したニューポート開発を再び進めようと開発委員会を設置。その委員会に智子は出席できなかった。  智子と平田和美(石田ゆり子)の関係は相変わらずギクシャクしたままだ。和美は、あおば市議会から資料として渡された黒塗りだらけのニューポート開発委員会議事録に不信感を抱くが、智子に聞けない。ならばと、移動中の犬崎を捕まえて質問をあびせるが、この和美の行動が犬崎に目をつけられることに…。和美は、藤堂誠(高橋一生)に取材をするが情報は得られない。  智子は誠に相談された非行少年、少女たちを立ち直らせ、子供たちの悩みや相談を受け入れられる仕組みに取り組もうとしていた。だが、犬崎はニューポート開発地区で反対運動を行う市民の強制排除に動く。そのために智子は記者たちに取り囲まれるが、何も答えることができない。智子は犬崎に真相を尋ねに行くのだが「市長にできないことを代わりにやっただけだ」と言われてしまった。智子は、市民から得た信頼を瞬く間になくす窮地に立たされる。</v>
      </c>
      <c r="N222" s="2" t="str">
        <f>IFERROR(__xludf.DUMMYFUNCTION("""COMPUTED_VALUE"""),"  高橋一生　  古田新太　  前田敦子　  千葉雄大　  斎藤司(トレンディエンジェル)　  若旦那　  細田善彦　  今田美桜  　・　  余貴美子　  渡辺いっけい  　・　  大澄賢也　  田中圭　  石田ゆり子　    他【脚本】  黒沢久子　    【音楽】  井筒昭雄　    【主題歌】  AAA「LIFE」(avex　trax)　    【プロデュース】  草ヶ谷大輔　    【演出】  金井紘　  石井祐介　  相沢秀幸　    【制作】  フジテレビ")</f>
        <v>  高橋一生　  古田新太　  前田敦子　  千葉雄大　  斎藤司(トレンディエンジェル)　  若旦那　  細田善彦　  今田美桜  　・　  余貴美子　  渡辺いっけい  　・　  大澄賢也　  田中圭　  石田ゆり子　    他【脚本】  黒沢久子　    【音楽】  井筒昭雄　    【主題歌】  AAA「LIFE」(avex　trax)　    【プロデュース】  草ヶ谷大輔　    【演出】  金井紘　  石井祐介　  相沢秀幸　    【制作】  フジテレビ</v>
      </c>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row>
    <row r="223" ht="204.75" customHeight="1">
      <c r="A223" s="1">
        <v>956.0</v>
      </c>
      <c r="B223" s="2" t="s">
        <v>694</v>
      </c>
      <c r="C223" s="2">
        <f>IFERROR(__xludf.DUMMYFUNCTION("split(B223,""_"")"),1710.0)</f>
        <v>1710</v>
      </c>
      <c r="D223" s="2" t="str">
        <f>IFERROR(__xludf.DUMMYFUNCTION("""COMPUTED_VALUE"""),"CX")</f>
        <v>CX</v>
      </c>
      <c r="E223" s="2" t="str">
        <f>IFERROR(__xludf.DUMMYFUNCTION("""COMPUTED_VALUE"""),"月21")</f>
        <v>月21</v>
      </c>
      <c r="F223" s="2" t="s">
        <v>695</v>
      </c>
      <c r="G223" s="2" t="s">
        <v>717</v>
      </c>
      <c r="H223" s="1">
        <v>8.0</v>
      </c>
      <c r="I223" s="1" t="s">
        <v>29</v>
      </c>
      <c r="J223" s="1" t="s">
        <v>11</v>
      </c>
      <c r="K223" s="2" t="s">
        <v>718</v>
      </c>
      <c r="L223" s="2" t="s">
        <v>719</v>
      </c>
      <c r="M223" s="2" t="str">
        <f>IFERROR(__xludf.DUMMYFUNCTION("split(K223,""篠原涼子　"",false)"),"「東アジアE-1サッカー選手権　なでしこジャパン×中国」延長の際、放送時間繰り下げの場合あり。http://www.fujitv.co.jp/minshuunoteki/index.html佐藤智子(篠原涼子)が犬崎和久(古田新太)に対しておこなったクーデターは大成功を収めたかに思えた。智子への市民の人気も高まったからだ。智子は平田和美(石田ゆり子)協力のもと、自ら秘書選定などを進めるが、犬崎の壁は厚かった…。  それは市役所職員の仕事放棄から始まり、犬崎派の前田康(大澄賢也)は、智子が精神的に不安定だと"&amp;"いう風評を流して人気失墜を企てる。  犬崎は派閥の幹部らに、智子を落とすためにはもう一押しだと、げきを飛ばした。そんな犬崎に、藤堂誠(高橋一生)が智子から副市長就任の打診があったと明かす。自分が副市長になれば、今の市政の混乱を解決できると犬崎に突きつける。  事務所を出た誠を小出未亜(前田敦子)が追いかけてきた。未亜は誠に「副市長になるのか」と聞くが「そのつもりはない」と答える。さらに「市長の味方なのか?」との未亜の質問に、誠は「民衆の味方だ」と答えた。  市役所職員のボイコットに手詰まりを覚えた智子は新"&amp;"人議員研修室へ。園田龍太郎(斎藤司)が「職員に土下座してみては?」などと智子に話していると、未亜が智子の『幸せになりましょう』との政策が、漠然としていてよく分からないと言い出す。結局、全ての政策を犬崎に動いてもらっていたと思った智子は、地道に解決するしかないと部屋を出た。  そんな時、智子の夫・公平(田中圭)の不倫疑惑が報道される。その不倫相手は和美で…。")</f>
        <v>「東アジアE-1サッカー選手権　なでしこジャパン×中国」延長の際、放送時間繰り下げの場合あり。http://www.fujitv.co.jp/minshuunoteki/index.html佐藤智子(篠原涼子)が犬崎和久(古田新太)に対しておこなったクーデターは大成功を収めたかに思えた。智子への市民の人気も高まったからだ。智子は平田和美(石田ゆり子)協力のもと、自ら秘書選定などを進めるが、犬崎の壁は厚かった…。  それは市役所職員の仕事放棄から始まり、犬崎派の前田康(大澄賢也)は、智子が精神的に不安定だという風評を流して人気失墜を企てる。  犬崎は派閥の幹部らに、智子を落とすためにはもう一押しだと、げきを飛ばした。そんな犬崎に、藤堂誠(高橋一生)が智子から副市長就任の打診があったと明かす。自分が副市長になれば、今の市政の混乱を解決できると犬崎に突きつける。  事務所を出た誠を小出未亜(前田敦子)が追いかけてきた。未亜は誠に「副市長になるのか」と聞くが「そのつもりはない」と答える。さらに「市長の味方なのか?」との未亜の質問に、誠は「民衆の味方だ」と答えた。  市役所職員のボイコットに手詰まりを覚えた智子は新人議員研修室へ。園田龍太郎(斎藤司)が「職員に土下座してみては?」などと智子に話していると、未亜が智子の『幸せになりましょう』との政策が、漠然としていてよく分からないと言い出す。結局、全ての政策を犬崎に動いてもらっていたと思った智子は、地道に解決するしかないと部屋を出た。  そんな時、智子の夫・公平(田中圭)の不倫疑惑が報道される。その不倫相手は和美で…。</v>
      </c>
      <c r="N223" s="2" t="str">
        <f>IFERROR(__xludf.DUMMYFUNCTION("""COMPUTED_VALUE"""),"  高橋一生　  古田新太　  前田敦子　  千葉雄大　  斎藤司(トレンディエンジェル)　  若旦那　  細田善彦　  今田美桜  　・　  余貴美子　  渡辺いっけい  　・　  大澄賢也　  田中圭　  石田ゆり子　    他【脚本】  黒沢久子　    【音楽】  井筒昭雄　    【主題歌】  AAA「LIFE」(avex　trax)　    【プロデュース】  草ヶ谷大輔　    【演出】  金井紘　  石井祐介　  相沢秀幸　    【制作】  フジテレビ")</f>
        <v>  高橋一生　  古田新太　  前田敦子　  千葉雄大　  斎藤司(トレンディエンジェル)　  若旦那　  細田善彦　  今田美桜  　・　  余貴美子　  渡辺いっけい  　・　  大澄賢也　  田中圭　  石田ゆり子　    他【脚本】  黒沢久子　    【音楽】  井筒昭雄　    【主題歌】  AAA「LIFE」(avex　trax)　    【プロデュース】  草ヶ谷大輔　    【演出】  金井紘　  石井祐介　  相沢秀幸　    【制作】  フジテレビ</v>
      </c>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row>
    <row r="224" ht="204.75" customHeight="1">
      <c r="A224" s="1">
        <v>957.0</v>
      </c>
      <c r="B224" s="2" t="s">
        <v>694</v>
      </c>
      <c r="C224" s="2">
        <f>IFERROR(__xludf.DUMMYFUNCTION("split(B224,""_"")"),1710.0)</f>
        <v>1710</v>
      </c>
      <c r="D224" s="2" t="str">
        <f>IFERROR(__xludf.DUMMYFUNCTION("""COMPUTED_VALUE"""),"CX")</f>
        <v>CX</v>
      </c>
      <c r="E224" s="2" t="str">
        <f>IFERROR(__xludf.DUMMYFUNCTION("""COMPUTED_VALUE"""),"月21")</f>
        <v>月21</v>
      </c>
      <c r="F224" s="2" t="s">
        <v>695</v>
      </c>
      <c r="G224" s="2" t="s">
        <v>720</v>
      </c>
      <c r="H224" s="1">
        <v>9.0</v>
      </c>
      <c r="I224" s="1" t="s">
        <v>33</v>
      </c>
      <c r="J224" s="1" t="s">
        <v>11</v>
      </c>
      <c r="K224" s="2" t="s">
        <v>721</v>
      </c>
      <c r="L224" s="2" t="s">
        <v>722</v>
      </c>
      <c r="M224" s="2" t="str">
        <f>IFERROR(__xludf.DUMMYFUNCTION("split(K224,""篠原涼子　"",false)"),"http://www.fujitv.co.jp/minshuunoteki/index.html佐藤智子(篠原涼子)が頼んでいた副市長就任を藤堂誠(高橋一生)は了承した。だが、市議会の承認を得たわけではない。特に犬崎和久(古田新太)が認めるわけはなく、市長リコールに向けて動き出す。  智子、小出未亜(前田敦子)、園田龍太郎(斎藤司)は居酒屋で誠の副市長就任承諾の祝杯をあげた。その席で、誠たちはもう一度、智子の政治姿勢を考える。目の前の1人を幸せにするために、多数の人々を犠牲にできるかどうかだ。智子は1人ず"&amp;"つ幸せにしていくことで、徐々に数を増やすというのだが、それで良いのか…。未亜と園田は難しいと水を差すが、誠は「とりあえず進めてみよう」と言う。  翌朝、智子は未亜から市のキャラクター・あおバッタ君がおかしなチラシを配っていると連絡を受ける。あおバッタ君が配っていたのはアミューズメントパーク「あおばランド」建設計画のチラシだった。  一方、平田和美(石田ゆり子)は誠が副市長就任を了承したことに疑問を抱いていた。エリート政治一家の息子が議員を辞めてまで副市長になる意味があるのだろうか?また、誠の兄・明(山中崇"&amp;"史)が最近、頻繁に地元であるあおば市に戻ってきていることも気になっていた。  そんな時、前田康(大澄賢也)が記者会見を開く。それはニューポート建設に伴う地区開発で「あおばランド」を作るというものだが、智子はもちろん、誠も寝耳に水の話だった…。")</f>
        <v>http://www.fujitv.co.jp/minshuunoteki/index.html佐藤智子(篠原涼子)が頼んでいた副市長就任を藤堂誠(高橋一生)は了承した。だが、市議会の承認を得たわけではない。特に犬崎和久(古田新太)が認めるわけはなく、市長リコールに向けて動き出す。  智子、小出未亜(前田敦子)、園田龍太郎(斎藤司)は居酒屋で誠の副市長就任承諾の祝杯をあげた。その席で、誠たちはもう一度、智子の政治姿勢を考える。目の前の1人を幸せにするために、多数の人々を犠牲にできるかどうかだ。智子は1人ずつ幸せにしていくことで、徐々に数を増やすというのだが、それで良いのか…。未亜と園田は難しいと水を差すが、誠は「とりあえず進めてみよう」と言う。  翌朝、智子は未亜から市のキャラクター・あおバッタ君がおかしなチラシを配っていると連絡を受ける。あおバッタ君が配っていたのはアミューズメントパーク「あおばランド」建設計画のチラシだった。  一方、平田和美(石田ゆり子)は誠が副市長就任を了承したことに疑問を抱いていた。エリート政治一家の息子が議員を辞めてまで副市長になる意味があるのだろうか?また、誠の兄・明(山中崇史)が最近、頻繁に地元であるあおば市に戻ってきていることも気になっていた。  そんな時、前田康(大澄賢也)が記者会見を開く。それはニューポート建設に伴う地区開発で「あおばランド」を作るというものだが、智子はもちろん、誠も寝耳に水の話だった…。</v>
      </c>
      <c r="N224" s="2" t="str">
        <f>IFERROR(__xludf.DUMMYFUNCTION("""COMPUTED_VALUE"""),"  高橋一生　  古田新太　  前田敦子　  千葉雄大　  斎藤司(トレンディエンジェル)　  若旦那　  細田善彦　  今田美桜  　・　  余貴美子　  渡辺いっけい  　・　  大澄賢也　  田中圭　  石田ゆり子　    他【脚本】  黒沢久子　    【音楽】  井筒昭雄　    【主題歌】  AAA「LIFE」(avex　trax)　    【プロデュース】  草ヶ谷大輔　    【演出】  金井紘　  石井祐介　  相沢秀幸　    【制作】  フジテレビ")</f>
        <v>  高橋一生　  古田新太　  前田敦子　  千葉雄大　  斎藤司(トレンディエンジェル)　  若旦那　  細田善彦　  今田美桜  　・　  余貴美子　  渡辺いっけい  　・　  大澄賢也　  田中圭　  石田ゆり子　    他【脚本】  黒沢久子　    【音楽】  井筒昭雄　    【主題歌】  AAA「LIFE」(avex　trax)　    【プロデュース】  草ヶ谷大輔　    【演出】  金井紘　  石井祐介　  相沢秀幸　    【制作】  フジテレビ</v>
      </c>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row>
    <row r="225" ht="204.75" customHeight="1">
      <c r="A225" s="1">
        <v>958.0</v>
      </c>
      <c r="B225" s="2" t="s">
        <v>694</v>
      </c>
      <c r="C225" s="2">
        <f>IFERROR(__xludf.DUMMYFUNCTION("split(B225,""_"")"),1710.0)</f>
        <v>1710</v>
      </c>
      <c r="D225" s="2" t="str">
        <f>IFERROR(__xludf.DUMMYFUNCTION("""COMPUTED_VALUE"""),"CX")</f>
        <v>CX</v>
      </c>
      <c r="E225" s="2" t="str">
        <f>IFERROR(__xludf.DUMMYFUNCTION("""COMPUTED_VALUE"""),"月21")</f>
        <v>月21</v>
      </c>
      <c r="F225" s="2" t="s">
        <v>695</v>
      </c>
      <c r="G225" s="2" t="s">
        <v>723</v>
      </c>
      <c r="H225" s="1">
        <v>10.0</v>
      </c>
      <c r="I225" s="1" t="s">
        <v>37</v>
      </c>
      <c r="J225" s="1" t="s">
        <v>4</v>
      </c>
      <c r="K225" s="2" t="s">
        <v>724</v>
      </c>
      <c r="L225" s="2" t="s">
        <v>725</v>
      </c>
      <c r="M225" s="2" t="str">
        <f>IFERROR(__xludf.DUMMYFUNCTION("split(K225,""篠原涼子　"",false)"),"http://www.fujitv.co.jp/minshuunoteki/index.html身に覚えのない不正献金疑惑、ニューポート計画反対などで佐藤智子市長(篠原涼子)の人気は急落。ついには“民衆の敵""というレッテルまで貼られることに…。平田和美(石田ゆり子)は「前市長・河原田晶子(余貴美子)を追いやったのも今回の件も、あおば市に奇妙な風が吹いているからだ」と智子に告げた。和美はニューポートを作りたがっているのは犬崎和久(古田新太)ではなく、藤堂家ではないかとの疑いを持つ。しかし、智子は藤堂誠(高"&amp;"橋一生)は味方だと信じていた。  和美が誠に呼び出される。誠は犬崎会派の政務活動費の領収書コピーを大量に持ってきていた。不正流用の証拠として犬崎を告発することで、富田恭一(渡辺いっけい)の証言を引き出したいという誠。  智子は富田に電話をし続けるのだが一向に通じない。その頃、富田は犬崎の事務所にいた。犬崎は智子のリコールに必要な署名の不足分を問う。若宮寛(若旦那)が答えると、犬崎は不足分を金で解決しろと命令した。  翌日、智子のもとに富田が…。智子が証言を依頼すると、自分には何の得もないと富田。富田は子供"&amp;"の教育のために金が必要だと訴える。自分を責める前にこんな世の中を責めてくれと言い放ち去った。  智子のリコール署名が規定人数に達し、住民投票の日程が決まった。井上(菅原大吉)とニューポート建設予定地を歩いていた智子は、あるものに目が留まって…")</f>
        <v>http://www.fujitv.co.jp/minshuunoteki/index.html身に覚えのない不正献金疑惑、ニューポート計画反対などで佐藤智子市長(篠原涼子)の人気は急落。ついには“民衆の敵"というレッテルまで貼られることに…。平田和美(石田ゆり子)は「前市長・河原田晶子(余貴美子)を追いやったのも今回の件も、あおば市に奇妙な風が吹いているからだ」と智子に告げた。和美はニューポートを作りたがっているのは犬崎和久(古田新太)ではなく、藤堂家ではないかとの疑いを持つ。しかし、智子は藤堂誠(高橋一生)は味方だと信じていた。  和美が誠に呼び出される。誠は犬崎会派の政務活動費の領収書コピーを大量に持ってきていた。不正流用の証拠として犬崎を告発することで、富田恭一(渡辺いっけい)の証言を引き出したいという誠。  智子は富田に電話をし続けるのだが一向に通じない。その頃、富田は犬崎の事務所にいた。犬崎は智子のリコールに必要な署名の不足分を問う。若宮寛(若旦那)が答えると、犬崎は不足分を金で解決しろと命令した。  翌日、智子のもとに富田が…。智子が証言を依頼すると、自分には何の得もないと富田。富田は子供の教育のために金が必要だと訴える。自分を責める前にこんな世の中を責めてくれと言い放ち去った。  智子のリコール署名が規定人数に達し、住民投票の日程が決まった。井上(菅原大吉)とニューポート建設予定地を歩いていた智子は、あるものに目が留まって…</v>
      </c>
      <c r="N225" s="2" t="str">
        <f>IFERROR(__xludf.DUMMYFUNCTION("""COMPUTED_VALUE"""),"  高橋一生　  古田新太　  前田敦子　  千葉雄大　  斎藤司(トレンディエンジェル)　  若旦那　  細田善彦　  今田美桜  　・　  余貴美子　  渡辺いっけい  　・　  大澄賢也　  田中圭　  石田ゆり子　    他【脚本】  黒沢久子　    【音楽】  井筒昭雄　    【主題歌】  AAA「LIFE」(avex　trax)　    【プロデュース】  草ヶ谷大輔　    【演出】  金井紘　  石井祐介　  相沢秀幸　    【制作】  フジテレビ")</f>
        <v>  高橋一生　  古田新太　  前田敦子　  千葉雄大　  斎藤司(トレンディエンジェル)　  若旦那　  細田善彦　  今田美桜  　・　  余貴美子　  渡辺いっけい  　・　  大澄賢也　  田中圭　  石田ゆり子　    他【脚本】  黒沢久子　    【音楽】  井筒昭雄　    【主題歌】  AAA「LIFE」(avex　trax)　    【プロデュース】  草ヶ谷大輔　    【演出】  金井紘　  石井祐介　  相沢秀幸　    【制作】  フジテレビ</v>
      </c>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row>
    <row r="226" ht="204.75" customHeight="1">
      <c r="A226" s="1">
        <v>959.0</v>
      </c>
      <c r="B226" s="2" t="s">
        <v>726</v>
      </c>
      <c r="C226" s="2">
        <f>IFERROR(__xludf.DUMMYFUNCTION("split(B226,""_"")"),1710.0)</f>
        <v>1710</v>
      </c>
      <c r="D226" s="2" t="str">
        <f>IFERROR(__xludf.DUMMYFUNCTION("""COMPUTED_VALUE"""),"CX")</f>
        <v>CX</v>
      </c>
      <c r="E226" s="2" t="str">
        <f>IFERROR(__xludf.DUMMYFUNCTION("""COMPUTED_VALUE"""),"火21")</f>
        <v>火21</v>
      </c>
      <c r="F226" s="2" t="s">
        <v>727</v>
      </c>
      <c r="G226" s="2" t="s">
        <v>728</v>
      </c>
      <c r="H226" s="1">
        <v>1.0</v>
      </c>
      <c r="I226" s="1" t="s">
        <v>3</v>
      </c>
      <c r="J226" s="1" t="s">
        <v>4</v>
      </c>
      <c r="K226" s="2" t="s">
        <v>729</v>
      </c>
      <c r="L226" s="2" t="s">
        <v>730</v>
      </c>
      <c r="M226" s="2" t="str">
        <f>IFERROR(__xludf.DUMMYFUNCTION("split(K226,""井上真央　"",false)"),"藍沢日向(井上真央)は、高校のスクールカウンセラー。ブライダル会社勤務の恋人・本庄和彦(工藤阿須加)からは家に挨拶に行きたいと言われているが、母の尚子(手塚理美)はいわゆる“毒親""で、幼い頃から過干渉な尚子との関係に悩んでいた。    不登校が続く吉岡圭吾(遠藤健慎)が気になる日向は、クラス担任の霧島直樹(及川光博)と家庭訪問へ。母・真紀子(仲間由紀恵)と出迎えた圭吾は一見元気そうだったが、笑顔を崩さない様子が気にかかる。やがて真紀子は診断書を取り出し、イジメが原因で圭吾が“軽いうつ""を患っていると、"&amp;"イジメに気付かなかった学校の対応を非難。しかし日向は、原因は学校だけでなく、真紀子にもあるのではないかと疑う。    そんななか、バスケ部マネージャー・増田希美香(山口まゆ)が万引き騒ぎを起こす。同居する母の麗美(青山倫子)は離婚後に次々と恋人をつくり、希美香の誕生日も男と遊んでいたため、邪魔をしようとしたらしい。希美香の寂しさに気付いた日向は、「思っていることを吐き出してみたら?」とアドバイスするが……。    一方、圭吾のイジメについて、クラスメイトや所属するバスケ部の顧問に聞き取り調査を行っていた霧"&amp;"島。顧問は、問題はなかったと主張するが、日向は部員に話を聞きたいと食い下がる。そこへ真紀子から思いがけない電話が入り、その場に動揺が広がる。")</f>
        <v>藍沢日向(井上真央)は、高校のスクールカウンセラー。ブライダル会社勤務の恋人・本庄和彦(工藤阿須加)からは家に挨拶に行きたいと言われているが、母の尚子(手塚理美)はいわゆる“毒親"で、幼い頃から過干渉な尚子との関係に悩んでいた。    不登校が続く吉岡圭吾(遠藤健慎)が気になる日向は、クラス担任の霧島直樹(及川光博)と家庭訪問へ。母・真紀子(仲間由紀恵)と出迎えた圭吾は一見元気そうだったが、笑顔を崩さない様子が気にかかる。やがて真紀子は診断書を取り出し、イジメが原因で圭吾が“軽いうつ"を患っていると、イジメに気付かなかった学校の対応を非難。しかし日向は、原因は学校だけでなく、真紀子にもあるのではないかと疑う。    そんななか、バスケ部マネージャー・増田希美香(山口まゆ)が万引き騒ぎを起こす。同居する母の麗美(青山倫子)は離婚後に次々と恋人をつくり、希美香の誕生日も男と遊んでいたため、邪魔をしようとしたらしい。希美香の寂しさに気付いた日向は、「思っていることを吐き出してみたら?」とアドバイスするが……。    一方、圭吾のイジメについて、クラスメイトや所属するバスケ部の顧問に聞き取り調査を行っていた霧島。顧問は、問題はなかったと主張するが、日向は部員に話を聞きたいと食い下がる。そこへ真紀子から思いがけない電話が入り、その場に動揺が広がる。</v>
      </c>
      <c r="N226" s="2" t="str">
        <f>IFERROR(__xludf.DUMMYFUNCTION("""COMPUTED_VALUE"""),"  及川光博　  工藤阿須加　  白洲迅　  新川優愛　  佐久間由衣　  遠藤健慎　  金子大地　  渡邉剣　  山口まゆ　  井頭愛海　  夏子　  堀家一希　  竹内愛紗　  青山倫子  　・　  青柳翔　  神尾佑　  馬渕英里何　  中林大樹　  羽場裕一　  手塚理美　  仲間由紀恵【脚本】  古家和尚　    【音楽】  眞鍋昭大　    【主題歌】  東方神起「Reboot」(avex　trax)　    【プロデューサー】  河西秀幸　  山崎淳子　    【演出】  土方政人　    "&amp;"【制作協力】  共同テレビ　    【制作著作】  関西テレビ〈公式サイト〉  http://www.ktv.jp/yakusoku/index.html　    →各SNSに登録お願いします  公式ツイッター@yakusokuktv  公式LINE  公式facebook")</f>
        <v>  及川光博　  工藤阿須加　  白洲迅　  新川優愛　  佐久間由衣　  遠藤健慎　  金子大地　  渡邉剣　  山口まゆ　  井頭愛海　  夏子　  堀家一希　  竹内愛紗　  青山倫子  　・　  青柳翔　  神尾佑　  馬渕英里何　  中林大樹　  羽場裕一　  手塚理美　  仲間由紀恵【脚本】  古家和尚　    【音楽】  眞鍋昭大　    【主題歌】  東方神起「Reboot」(avex　trax)　    【プロデューサー】  河西秀幸　  山崎淳子　    【演出】  土方政人　    【制作協力】  共同テレビ　    【制作著作】  関西テレビ〈公式サイト〉  http://www.ktv.jp/yakusoku/index.html　    →各SNSに登録お願いします  公式ツイッター@yakusokuktv  公式LINE  公式facebook</v>
      </c>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row>
    <row r="227" ht="204.75" customHeight="1">
      <c r="A227" s="1">
        <v>960.0</v>
      </c>
      <c r="B227" s="2" t="s">
        <v>726</v>
      </c>
      <c r="C227" s="2">
        <f>IFERROR(__xludf.DUMMYFUNCTION("split(B227,""_"")"),1710.0)</f>
        <v>1710</v>
      </c>
      <c r="D227" s="2" t="str">
        <f>IFERROR(__xludf.DUMMYFUNCTION("""COMPUTED_VALUE"""),"CX")</f>
        <v>CX</v>
      </c>
      <c r="E227" s="2" t="str">
        <f>IFERROR(__xludf.DUMMYFUNCTION("""COMPUTED_VALUE"""),"火21")</f>
        <v>火21</v>
      </c>
      <c r="F227" s="2" t="s">
        <v>727</v>
      </c>
      <c r="G227" s="2" t="s">
        <v>731</v>
      </c>
      <c r="H227" s="1">
        <v>2.0</v>
      </c>
      <c r="I227" s="1" t="s">
        <v>7</v>
      </c>
      <c r="J227" s="1" t="s">
        <v>11</v>
      </c>
      <c r="K227" s="2" t="s">
        <v>732</v>
      </c>
      <c r="L227" s="2" t="s">
        <v>733</v>
      </c>
      <c r="M227" s="2" t="str">
        <f>IFERROR(__xludf.DUMMYFUNCTION("split(K227,""井上真央　"",false)"),"不登校が続いていた1年生の吉岡圭吾(遠藤健慎)が突然の死を遂げた。スクールカウンセラーの日向(井上真央)と担任の霧島(及川光博)が、家庭訪問した矢先の出来事だった。学校は対応に追われ、うわさを聞きつけた生徒の間にも動揺が広がる。一方、日向は「先生のこと、好きになりました」という圭吾の言葉の真意が分からない。そんななか、圭吾と同じクラスの那美(井頭愛海)から、圭吾がクラスでトラブルを抱えていたことを教えられ、早速そのことを霧島に報告する日向。しかし霧島は、クラスのアンケート調査で問題を告発する生徒がほかにい"&amp;"なかったことから、那美の告白を素直に受け入れようとしない。さらに圭吾の通夜では、不可解な死の原因が学校でのトラブルだと主張する遺族が学校関係者の弔問をかたくなに拒否。それでも何とか焼香をさせてほしいと頼む霧島に、圭吾の母・真紀子(仲間由紀恵)はーー。日向が帰宅すると、家には学校での一件を心配して訪ねてきた恋人・本庄(工藤阿須加)の姿が。娘の恋人の存在を初めて知り、人柄も気に入った尚子(手塚理美)は終始上機嫌だったが、本庄が帰った途端に態度が豹変(ひょうへん)する。")</f>
        <v>不登校が続いていた1年生の吉岡圭吾(遠藤健慎)が突然の死を遂げた。スクールカウンセラーの日向(井上真央)と担任の霧島(及川光博)が、家庭訪問した矢先の出来事だった。学校は対応に追われ、うわさを聞きつけた生徒の間にも動揺が広がる。一方、日向は「先生のこと、好きになりました」という圭吾の言葉の真意が分からない。そんななか、圭吾と同じクラスの那美(井頭愛海)から、圭吾がクラスでトラブルを抱えていたことを教えられ、早速そのことを霧島に報告する日向。しかし霧島は、クラスのアンケート調査で問題を告発する生徒がほかにいなかったことから、那美の告白を素直に受け入れようとしない。さらに圭吾の通夜では、不可解な死の原因が学校でのトラブルだと主張する遺族が学校関係者の弔問をかたくなに拒否。それでも何とか焼香をさせてほしいと頼む霧島に、圭吾の母・真紀子(仲間由紀恵)はーー。日向が帰宅すると、家には学校での一件を心配して訪ねてきた恋人・本庄(工藤阿須加)の姿が。娘の恋人の存在を初めて知り、人柄も気に入った尚子(手塚理美)は終始上機嫌だったが、本庄が帰った途端に態度が豹変(ひょうへん)する。</v>
      </c>
      <c r="N227" s="2" t="str">
        <f>IFERROR(__xludf.DUMMYFUNCTION("""COMPUTED_VALUE"""),"  及川光博　  工藤阿須加　  白洲迅　  新川優愛　  佐久間由衣　  遠藤健慎　  金子大地　  渡邉剣　  山口まゆ　  井頭愛海　  夏子　  堀家一希　  竹内愛紗  　・　  青柳翔　  神尾佑　  馬渕英里何　  中林大樹　  近江谷太朗　  羽場裕一　  手塚理美　  仲間由紀恵【脚本】  古家和尚　    【音楽】  眞鍋昭大　    【主題歌】  東方神起「Reboot」(avex　trax)　    【プロデューサー】  河西秀幸　  山崎淳子　    【演出】  土方政人　   "&amp;" 【制作協力】  共同テレビ　    【制作著作】  関西テレビ【公式サイト】  http://www.ktv.jp/yakusoku/index.html　    →各SNSに登録お願いします  公式ツイッター@yakusokuktv  公式LINE  公式facebook")</f>
        <v>  及川光博　  工藤阿須加　  白洲迅　  新川優愛　  佐久間由衣　  遠藤健慎　  金子大地　  渡邉剣　  山口まゆ　  井頭愛海　  夏子　  堀家一希　  竹内愛紗  　・　  青柳翔　  神尾佑　  馬渕英里何　  中林大樹　  近江谷太朗　  羽場裕一　  手塚理美　  仲間由紀恵【脚本】  古家和尚　    【音楽】  眞鍋昭大　    【主題歌】  東方神起「Reboot」(avex　trax)　    【プロデューサー】  河西秀幸　  山崎淳子　    【演出】  土方政人　    【制作協力】  共同テレビ　    【制作著作】  関西テレビ【公式サイト】  http://www.ktv.jp/yakusoku/index.html　    →各SNSに登録お願いします  公式ツイッター@yakusokuktv  公式LINE  公式facebook</v>
      </c>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row>
    <row r="228" ht="204.75" customHeight="1">
      <c r="A228" s="1">
        <v>961.0</v>
      </c>
      <c r="B228" s="2" t="s">
        <v>726</v>
      </c>
      <c r="C228" s="2">
        <f>IFERROR(__xludf.DUMMYFUNCTION("split(B228,""_"")"),1710.0)</f>
        <v>1710</v>
      </c>
      <c r="D228" s="2" t="str">
        <f>IFERROR(__xludf.DUMMYFUNCTION("""COMPUTED_VALUE"""),"CX")</f>
        <v>CX</v>
      </c>
      <c r="E228" s="2" t="str">
        <f>IFERROR(__xludf.DUMMYFUNCTION("""COMPUTED_VALUE"""),"火21")</f>
        <v>火21</v>
      </c>
      <c r="F228" s="2" t="s">
        <v>727</v>
      </c>
      <c r="G228" s="2" t="s">
        <v>734</v>
      </c>
      <c r="H228" s="1">
        <v>3.0</v>
      </c>
      <c r="I228" s="1" t="s">
        <v>10</v>
      </c>
      <c r="J228" s="1" t="s">
        <v>11</v>
      </c>
      <c r="K228" s="2" t="s">
        <v>735</v>
      </c>
      <c r="L228" s="2" t="s">
        <v>736</v>
      </c>
      <c r="M228" s="2" t="str">
        <f>IFERROR(__xludf.DUMMYFUNCTION("split(K228,""井上真央　"",false)"),"スクールカウンセラーの日向(井上真央)は、不登校が続く1年生の吉岡圭吾(遠藤健慎)から「好きになりました」と告白されるが、翌日圭吾は遺書も残さず不可解な死を遂げてしまう。息子の死は学校の責任だとする母・真紀子(仲間由紀恵)の主張に、校長の轟木(羽場裕一)は記者会見を開いて対応は適切だったと説明。しかし、マスコミや世間の“犯人探し""は勢いを増し、学校は非難をあびる。一方、日向は家でも過干渉の母・尚子(手塚理美)に悩まされていた。幼い頃から自分を縛りつけてきた母が、恋人・本庄(工藤阿須加)の存在を知ってしま"&amp;"ったのだ。これから始まる新たな“支配""に日向の心は重くなるばかりで…。  そんななか、テレビで真紀子のインタビューが放送。内部で圭吾へのイジメや暴力があったのではないかと、バスケ部に疑惑の目が向けられる。顧問の辻(神尾佑)は報道の内容を否定するが、日向はマネージャーの希美香(山口まゆ)の話から、圭吾と一部の部員の間でトラブルがあったのではないかと考え、担任の霧島(及川光博)と部員に聞き取り調査を行うことに。その日の放課後、本庄から「急用ができた」と約束をキャンセルされた日向は、帰り道で待っていた香澄(佐"&amp;"久間由衣)にネットで拡散しているという書き込みを見せられる。そこには、辻がかつて体罰で生徒に大ケガを負わせた、などと書かれていた!  その頃、尚子は日向の恋人の本庄と接触しようとして…。")</f>
        <v>スクールカウンセラーの日向(井上真央)は、不登校が続く1年生の吉岡圭吾(遠藤健慎)から「好きになりました」と告白されるが、翌日圭吾は遺書も残さず不可解な死を遂げてしまう。息子の死は学校の責任だとする母・真紀子(仲間由紀恵)の主張に、校長の轟木(羽場裕一)は記者会見を開いて対応は適切だったと説明。しかし、マスコミや世間の“犯人探し"は勢いを増し、学校は非難をあびる。一方、日向は家でも過干渉の母・尚子(手塚理美)に悩まされていた。幼い頃から自分を縛りつけてきた母が、恋人・本庄(工藤阿須加)の存在を知ってしまったのだ。これから始まる新たな“支配"に日向の心は重くなるばかりで…。  そんななか、テレビで真紀子のインタビューが放送。内部で圭吾へのイジメや暴力があったのではないかと、バスケ部に疑惑の目が向けられる。顧問の辻(神尾佑)は報道の内容を否定するが、日向はマネージャーの希美香(山口まゆ)の話から、圭吾と一部の部員の間でトラブルがあったのではないかと考え、担任の霧島(及川光博)と部員に聞き取り調査を行うことに。その日の放課後、本庄から「急用ができた」と約束をキャンセルされた日向は、帰り道で待っていた香澄(佐久間由衣)にネットで拡散しているという書き込みを見せられる。そこには、辻がかつて体罰で生徒に大ケガを負わせた、などと書かれていた!  その頃、尚子は日向の恋人の本庄と接触しようとして…。</v>
      </c>
      <c r="N228" s="2" t="str">
        <f>IFERROR(__xludf.DUMMYFUNCTION("""COMPUTED_VALUE"""),"  及川光博　  工藤阿須加　  白洲迅　  新川優愛　  佐久間由衣　  遠藤健慎　  金子大地　  渡邉剣　  山口まゆ　  井頭愛海　  夏子　  堀家一希　  竹内愛紗  　・　  青柳翔　  神尾佑　  馬渕英里何　  中林大樹  　・　  羽場裕一　  手塚理美　  仲間由紀恵【脚本】  古家和尚　    【音楽】  眞鍋昭大　    【主題歌】  東方神起「Reboot」(avex　trax)　    【プロデューサー】  河西秀幸　  山崎淳子　    【演出】  小林義則　    【制作"&amp;"協力】  共同テレビ　    【制作著作】  関西テレビ【公式サイト】  http://www.ktv.jp/yakusoku/index.html　    →各SNSに登録お願いします  公式ツイッター@yakusokuktv  公式LINE  公式facebook")</f>
        <v>  及川光博　  工藤阿須加　  白洲迅　  新川優愛　  佐久間由衣　  遠藤健慎　  金子大地　  渡邉剣　  山口まゆ　  井頭愛海　  夏子　  堀家一希　  竹内愛紗  　・　  青柳翔　  神尾佑　  馬渕英里何　  中林大樹  　・　  羽場裕一　  手塚理美　  仲間由紀恵【脚本】  古家和尚　    【音楽】  眞鍋昭大　    【主題歌】  東方神起「Reboot」(avex　trax)　    【プロデューサー】  河西秀幸　  山崎淳子　    【演出】  小林義則　    【制作協力】  共同テレビ　    【制作著作】  関西テレビ【公式サイト】  http://www.ktv.jp/yakusoku/index.html　    →各SNSに登録お願いします  公式ツイッター@yakusokuktv  公式LINE  公式facebook</v>
      </c>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row>
    <row r="229" ht="204.75" customHeight="1">
      <c r="A229" s="1">
        <v>962.0</v>
      </c>
      <c r="B229" s="2" t="s">
        <v>726</v>
      </c>
      <c r="C229" s="2">
        <f>IFERROR(__xludf.DUMMYFUNCTION("split(B229,""_"")"),1710.0)</f>
        <v>1710</v>
      </c>
      <c r="D229" s="2" t="str">
        <f>IFERROR(__xludf.DUMMYFUNCTION("""COMPUTED_VALUE"""),"CX")</f>
        <v>CX</v>
      </c>
      <c r="E229" s="2" t="str">
        <f>IFERROR(__xludf.DUMMYFUNCTION("""COMPUTED_VALUE"""),"火21")</f>
        <v>火21</v>
      </c>
      <c r="F229" s="2" t="s">
        <v>727</v>
      </c>
      <c r="G229" s="2" t="s">
        <v>737</v>
      </c>
      <c r="H229" s="1">
        <v>4.0</v>
      </c>
      <c r="I229" s="1" t="s">
        <v>14</v>
      </c>
      <c r="J229" s="1" t="s">
        <v>11</v>
      </c>
      <c r="K229" s="2" t="s">
        <v>738</v>
      </c>
      <c r="L229" s="2" t="s">
        <v>739</v>
      </c>
      <c r="M229" s="2" t="str">
        <f>IFERROR(__xludf.DUMMYFUNCTION("split(K229,""井上真央　"",false)"),"不登校だった圭吾(遠藤健慎)が謎の死を遂げ、母の真紀子(仲間由紀恵)は学校でのトラブルが原因だと主張。マスコミや世間は圭吾の死をイジメによる自殺だと決めつけ、学校を糾弾。スクールカウンセラーの日向(井上真央)は、悪意に満ちた報道に恐怖を覚え、恋人の本庄(工藤阿須加)に救いを求める。しかし、本庄が隠れて母の尚子(手塚理美)と会ったことを知り、「あの人は最低の母親だから、もう会ってほしくない」と本音を吐露。幼い頃から母の言葉に支配され、縛られ生きてきたことを打ち明ける。そこへ、圭吾が所属していたバスケ部の顧問"&amp;"・辻(神尾佑)が、夜道で襲われたと霧島(及川光博)から連絡が。辻は過去に体罰を与えたことがあり、その影響で圭吾の一件も部内暴力が原因ではないかと疑われ、責任をとって辞表を提出したばかりだった。通り魔の仕業なのか、それとも何者かによる体罰への報復なのかーー謎が深まるなか、今度は“バスケ部キャプテンの校内暴力""と題した大翔(金子大地)の動画が流出し…。  そんななか、日向は尚子から、本庄と勝手に会ったことを謝罪される。2人が心配だったと弁解する尚子だったが、日向は表情ひとつ変えない。すると、尚子は感情をむき"&amp;"出しにして怒り、心ない言葉で日向を責め立てる。その頃、一向に謝罪する様子を見せない学校側に業を煮やした真紀子は「鎌倉からイジメを根絶する会」に相談を持ちかけるなど、大きく動き出すー。")</f>
        <v>不登校だった圭吾(遠藤健慎)が謎の死を遂げ、母の真紀子(仲間由紀恵)は学校でのトラブルが原因だと主張。マスコミや世間は圭吾の死をイジメによる自殺だと決めつけ、学校を糾弾。スクールカウンセラーの日向(井上真央)は、悪意に満ちた報道に恐怖を覚え、恋人の本庄(工藤阿須加)に救いを求める。しかし、本庄が隠れて母の尚子(手塚理美)と会ったことを知り、「あの人は最低の母親だから、もう会ってほしくない」と本音を吐露。幼い頃から母の言葉に支配され、縛られ生きてきたことを打ち明ける。そこへ、圭吾が所属していたバスケ部の顧問・辻(神尾佑)が、夜道で襲われたと霧島(及川光博)から連絡が。辻は過去に体罰を与えたことがあり、その影響で圭吾の一件も部内暴力が原因ではないかと疑われ、責任をとって辞表を提出したばかりだった。通り魔の仕業なのか、それとも何者かによる体罰への報復なのかーー謎が深まるなか、今度は“バスケ部キャプテンの校内暴力"と題した大翔(金子大地)の動画が流出し…。  そんななか、日向は尚子から、本庄と勝手に会ったことを謝罪される。2人が心配だったと弁解する尚子だったが、日向は表情ひとつ変えない。すると、尚子は感情をむき出しにして怒り、心ない言葉で日向を責め立てる。その頃、一向に謝罪する様子を見せない学校側に業を煮やした真紀子は「鎌倉からイジメを根絶する会」に相談を持ちかけるなど、大きく動き出すー。</v>
      </c>
      <c r="N229" s="2" t="str">
        <f>IFERROR(__xludf.DUMMYFUNCTION("""COMPUTED_VALUE"""),"  及川光博　  工藤阿須加　  白洲迅　  新川優愛　  佐久間由衣　  遠藤健慎　  金子大地　  渡邉剣　  山口まゆ　  井頭愛海　  夏子　  堀家一希　  竹内愛紗  　・　  青柳翔　  神尾佑　  馬渕英里何　  中林大樹　  近江谷太朗　  草刈麻有　  森岡豊  　・　  羽場裕一　  手塚理美　  仲間由紀恵　    他【脚本】  古家和尚　    【音楽】  眞鍋昭大　    【主題歌】  東方神起「Reboot」(avex　trax)　    【プロデューサー】  河西秀幸　  "&amp;"山崎淳子　    【演出】  小林義則　    【制作協力】  共同テレビ　    【制作著作】  関西テレビ【公式サイト】  http://www.ktv.jp/yakusoku/index.html　    →各SNSに登録お願いします  公式ツイッター@yakusokuktv  公式LINE  公式facebook")</f>
        <v>  及川光博　  工藤阿須加　  白洲迅　  新川優愛　  佐久間由衣　  遠藤健慎　  金子大地　  渡邉剣　  山口まゆ　  井頭愛海　  夏子　  堀家一希　  竹内愛紗  　・　  青柳翔　  神尾佑　  馬渕英里何　  中林大樹　  近江谷太朗　  草刈麻有　  森岡豊  　・　  羽場裕一　  手塚理美　  仲間由紀恵　    他【脚本】  古家和尚　    【音楽】  眞鍋昭大　    【主題歌】  東方神起「Reboot」(avex　trax)　    【プロデューサー】  河西秀幸　  山崎淳子　    【演出】  小林義則　    【制作協力】  共同テレビ　    【制作著作】  関西テレビ【公式サイト】  http://www.ktv.jp/yakusoku/index.html　    →各SNSに登録お願いします  公式ツイッター@yakusokuktv  公式LINE  公式facebook</v>
      </c>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row>
    <row r="230" ht="204.75" customHeight="1">
      <c r="A230" s="1">
        <v>963.0</v>
      </c>
      <c r="B230" s="2" t="s">
        <v>726</v>
      </c>
      <c r="C230" s="2">
        <f>IFERROR(__xludf.DUMMYFUNCTION("split(B230,""_"")"),1710.0)</f>
        <v>1710</v>
      </c>
      <c r="D230" s="2" t="str">
        <f>IFERROR(__xludf.DUMMYFUNCTION("""COMPUTED_VALUE"""),"CX")</f>
        <v>CX</v>
      </c>
      <c r="E230" s="2" t="str">
        <f>IFERROR(__xludf.DUMMYFUNCTION("""COMPUTED_VALUE"""),"火21")</f>
        <v>火21</v>
      </c>
      <c r="F230" s="2" t="s">
        <v>727</v>
      </c>
      <c r="G230" s="2" t="s">
        <v>740</v>
      </c>
      <c r="H230" s="1">
        <v>5.0</v>
      </c>
      <c r="I230" s="1" t="s">
        <v>17</v>
      </c>
      <c r="J230" s="1" t="s">
        <v>11</v>
      </c>
      <c r="K230" s="2" t="s">
        <v>741</v>
      </c>
      <c r="L230" s="2" t="s">
        <v>742</v>
      </c>
      <c r="M230" s="2" t="str">
        <f>IFERROR(__xludf.DUMMYFUNCTION("split(K230,""井上真央　"",false)"),"1年生のバスケ部員・圭吾(遠藤健慎)の謎の死を、マスコミはイジメによる自殺だと報道し、バスケ部キャプテンの大翔(金子大地)は加害者として世間から誹謗(ひぼう)中傷されることに。そんななか、圭吾の母・真紀子(仲間由紀恵)は弁護士を伴い学校へやって来て抗議する。さらに大翔の喫煙を暴露し、教師たちは強いリーダーシップでチームを率いていた大翔の裏の顔に、思わず絶句する。    喫煙の件で大翔本人に話を聞いた日向(井上真央)は、圭吾が「たばこのことをバラされたくなかったら自分をベンチ入りさせてほしい」と大翔を脅して"&amp;"いたことを知る。『僕は、先輩のせいで死にます』ーー圭吾から最後に送られてきたメッセージに苦しむ大翔を何とか救いたい日向は、そもそも脅迫自体が圭吾の意思ではなかったのではないかと疑念を抱く。そして、中学から同じバスケ部だった勝(渡邉剣)に話を聞くと、圭吾が中学のときにクラスで嫌われていた理由が明らかに。    その頃、日向の恋人・本庄(工藤阿須加)は、結婚したい意向を実家の両親に伝える。対する日向の脳裏には、母・尚子(手塚理美)の怒鳴る姿が浮かぶ…。    一方、真紀子は弁護士の力を借りて記者会見を開いて問"&amp;"題を世間に訴えることを決め、事態は収まるどころか、さらなる波紋を呼びそうで…。そして学校では、大翔の暴行疑惑を伝える動画を流出させた犯人探しが始まり、混乱が広がる。")</f>
        <v>1年生のバスケ部員・圭吾(遠藤健慎)の謎の死を、マスコミはイジメによる自殺だと報道し、バスケ部キャプテンの大翔(金子大地)は加害者として世間から誹謗(ひぼう)中傷されることに。そんななか、圭吾の母・真紀子(仲間由紀恵)は弁護士を伴い学校へやって来て抗議する。さらに大翔の喫煙を暴露し、教師たちは強いリーダーシップでチームを率いていた大翔の裏の顔に、思わず絶句する。    喫煙の件で大翔本人に話を聞いた日向(井上真央)は、圭吾が「たばこのことをバラされたくなかったら自分をベンチ入りさせてほしい」と大翔を脅していたことを知る。『僕は、先輩のせいで死にます』ーー圭吾から最後に送られてきたメッセージに苦しむ大翔を何とか救いたい日向は、そもそも脅迫自体が圭吾の意思ではなかったのではないかと疑念を抱く。そして、中学から同じバスケ部だった勝(渡邉剣)に話を聞くと、圭吾が中学のときにクラスで嫌われていた理由が明らかに。    その頃、日向の恋人・本庄(工藤阿須加)は、結婚したい意向を実家の両親に伝える。対する日向の脳裏には、母・尚子(手塚理美)の怒鳴る姿が浮かぶ…。    一方、真紀子は弁護士の力を借りて記者会見を開いて問題を世間に訴えることを決め、事態は収まるどころか、さらなる波紋を呼びそうで…。そして学校では、大翔の暴行疑惑を伝える動画を流出させた犯人探しが始まり、混乱が広がる。</v>
      </c>
      <c r="N230" s="2" t="str">
        <f>IFERROR(__xludf.DUMMYFUNCTION("""COMPUTED_VALUE"""),"  及川光博　  工藤阿須加　  白洲迅　  新川優愛　  佐久間由衣　  遠藤健慎　  金子大地　  渡邉剣　  山口まゆ　  井頭愛海　  夏子　  堀家一希　  竹内愛紗  　・　  青柳翔　  神尾佑　  馬渕英里何　  中林大樹　  森岡豊  　・　  羽場裕一　  手塚理美　  仲間由紀恵　    他【脚本】  古家和尚　    【音楽】  眞鍋昭大　    【主題歌】  東方神起「Reboot」(avex　trax)　    【プロデューサー】  河西秀幸　  山崎淳子　    【演出】  "&amp;"小林義則　    【制作協力】  共同テレビ　    【制作著作】  関西テレビ【公式サイト】  http://www.ktv.jp/yakusoku/index.html　    →各SNSに登録お願いします  公式ツイッター@yakusokuktv  公式LINE  公式facebook")</f>
        <v>  及川光博　  工藤阿須加　  白洲迅　  新川優愛　  佐久間由衣　  遠藤健慎　  金子大地　  渡邉剣　  山口まゆ　  井頭愛海　  夏子　  堀家一希　  竹内愛紗  　・　  青柳翔　  神尾佑　  馬渕英里何　  中林大樹　  森岡豊  　・　  羽場裕一　  手塚理美　  仲間由紀恵　    他【脚本】  古家和尚　    【音楽】  眞鍋昭大　    【主題歌】  東方神起「Reboot」(avex　trax)　    【プロデューサー】  河西秀幸　  山崎淳子　    【演出】  小林義則　    【制作協力】  共同テレビ　    【制作著作】  関西テレビ【公式サイト】  http://www.ktv.jp/yakusoku/index.html　    →各SNSに登録お願いします  公式ツイッター@yakusokuktv  公式LINE  公式facebook</v>
      </c>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row>
    <row r="231" ht="204.75" customHeight="1">
      <c r="A231" s="1">
        <v>964.0</v>
      </c>
      <c r="B231" s="2" t="s">
        <v>726</v>
      </c>
      <c r="C231" s="2">
        <f>IFERROR(__xludf.DUMMYFUNCTION("split(B231,""_"")"),1710.0)</f>
        <v>1710</v>
      </c>
      <c r="D231" s="2" t="str">
        <f>IFERROR(__xludf.DUMMYFUNCTION("""COMPUTED_VALUE"""),"CX")</f>
        <v>CX</v>
      </c>
      <c r="E231" s="2" t="str">
        <f>IFERROR(__xludf.DUMMYFUNCTION("""COMPUTED_VALUE"""),"火21")</f>
        <v>火21</v>
      </c>
      <c r="F231" s="2" t="s">
        <v>727</v>
      </c>
      <c r="G231" s="2" t="s">
        <v>743</v>
      </c>
      <c r="H231" s="1">
        <v>6.0</v>
      </c>
      <c r="I231" s="1" t="s">
        <v>21</v>
      </c>
      <c r="J231" s="1" t="s">
        <v>11</v>
      </c>
      <c r="K231" s="2" t="s">
        <v>744</v>
      </c>
      <c r="L231" s="2" t="s">
        <v>745</v>
      </c>
      <c r="M231" s="2" t="str">
        <f>IFERROR(__xludf.DUMMYFUNCTION("split(K231,""井上真央　"",false)"),"バスケ部員・圭吾(遠藤健慎)が不登校の末に謎の死を遂げた。日向(井上真央)がスクールカウンセラーを務める椿が丘高校は、イジメによる自殺だとマスコミから激しいバッシングを浴び、さらに圭吾の母・真紀子(仲間由紀恵)がバスケ部内の暴力を告発したことで、騒ぎは大きくなっていく。そんななか、亡くなった圭吾が煙草を吸っていた先輩部員の大翔(金子大地)を脅迫していたことを知った日向。温和な性格の圭吾がなぜーー日向は脅迫が本人の意思ではなく、真紀子の指示だったのではないかと疑うが、圭吾の担任の霧島(及川光博)は、憶測で騒"&amp;"ぎ立てないよう釘を刺す。ところがその矢先、真紀子が「一度、2人きりで話がしたかった」と、突然日向の前に現れる。真紀子は、たびたび圭吾に接触していた日向にも死の原因があると怒りを露わにし、訴訟の準備を進めていると告げるのだった。  その頃、大翔が何者かに襲われ重傷を負っていた。バスケ部顧問の辻(神尾佑)に続き、またも起きた悲劇。変わり果てた大翔を最初に発見した希美香(山口まゆ)は、現場から逃げていく犯人らしき人物を見たと話し、その証言を聞いた日向の脳裏には、ある人物の顔が浮かぶ。  一方、日向は恋人・本庄("&amp;"工藤阿須加)から、プロポーズを受けたものの、脳裏をよぎるのは母・尚子(手塚理美)の表情。日向は意を決して尚子に結婚話を告げることに。ここから娘と母との関係に変化の兆しが…。")</f>
        <v>バスケ部員・圭吾(遠藤健慎)が不登校の末に謎の死を遂げた。日向(井上真央)がスクールカウンセラーを務める椿が丘高校は、イジメによる自殺だとマスコミから激しいバッシングを浴び、さらに圭吾の母・真紀子(仲間由紀恵)がバスケ部内の暴力を告発したことで、騒ぎは大きくなっていく。そんななか、亡くなった圭吾が煙草を吸っていた先輩部員の大翔(金子大地)を脅迫していたことを知った日向。温和な性格の圭吾がなぜーー日向は脅迫が本人の意思ではなく、真紀子の指示だったのではないかと疑うが、圭吾の担任の霧島(及川光博)は、憶測で騒ぎ立てないよう釘を刺す。ところがその矢先、真紀子が「一度、2人きりで話がしたかった」と、突然日向の前に現れる。真紀子は、たびたび圭吾に接触していた日向にも死の原因があると怒りを露わにし、訴訟の準備を進めていると告げるのだった。  その頃、大翔が何者かに襲われ重傷を負っていた。バスケ部顧問の辻(神尾佑)に続き、またも起きた悲劇。変わり果てた大翔を最初に発見した希美香(山口まゆ)は、現場から逃げていく犯人らしき人物を見たと話し、その証言を聞いた日向の脳裏には、ある人物の顔が浮かぶ。  一方、日向は恋人・本庄(工藤阿須加)から、プロポーズを受けたものの、脳裏をよぎるのは母・尚子(手塚理美)の表情。日向は意を決して尚子に結婚話を告げることに。ここから娘と母との関係に変化の兆しが…。</v>
      </c>
      <c r="N231" s="2" t="str">
        <f>IFERROR(__xludf.DUMMYFUNCTION("""COMPUTED_VALUE"""),"  及川光博　  工藤阿須加　  白洲迅　  新川優愛　  佐久間由衣　  遠藤健慎　  金子大地　  渡邉剣　  山口まゆ　  井頭愛海　  夏子　  堀家一希　  竹内愛紗  　・　  青柳翔　  馬渕英里何　  中林大樹　  森岡豊　  近江谷太朗  　・　  羽場裕一　  手塚理美　  仲間由紀恵　    他【脚本】  古家和尚　    【音楽】  眞鍋昭大　    【主題歌】  東方神起「Reboot」(avex　trax)　    【プロデューサー】  河西秀幸　  山崎淳子　    【演出】"&amp;"  土方政人　    【制作協力】  共同テレビ　    【制作著作】  関西テレビ【公式サイト】  http://www.ktv.jp/yakusoku/index.html　    →各SNSに登録お願いします  公式ツイッター@yakusokuktv  公式LINE  公式facebook")</f>
        <v>  及川光博　  工藤阿須加　  白洲迅　  新川優愛　  佐久間由衣　  遠藤健慎　  金子大地　  渡邉剣　  山口まゆ　  井頭愛海　  夏子　  堀家一希　  竹内愛紗  　・　  青柳翔　  馬渕英里何　  中林大樹　  森岡豊　  近江谷太朗  　・　  羽場裕一　  手塚理美　  仲間由紀恵　    他【脚本】  古家和尚　    【音楽】  眞鍋昭大　    【主題歌】  東方神起「Reboot」(avex　trax)　    【プロデューサー】  河西秀幸　  山崎淳子　    【演出】  土方政人　    【制作協力】  共同テレビ　    【制作著作】  関西テレビ【公式サイト】  http://www.ktv.jp/yakusoku/index.html　    →各SNSに登録お願いします  公式ツイッター@yakusokuktv  公式LINE  公式facebook</v>
      </c>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row>
    <row r="232" ht="204.75" customHeight="1">
      <c r="A232" s="1">
        <v>965.0</v>
      </c>
      <c r="B232" s="2" t="s">
        <v>726</v>
      </c>
      <c r="C232" s="2">
        <f>IFERROR(__xludf.DUMMYFUNCTION("split(B232,""_"")"),1710.0)</f>
        <v>1710</v>
      </c>
      <c r="D232" s="2" t="str">
        <f>IFERROR(__xludf.DUMMYFUNCTION("""COMPUTED_VALUE"""),"CX")</f>
        <v>CX</v>
      </c>
      <c r="E232" s="2" t="str">
        <f>IFERROR(__xludf.DUMMYFUNCTION("""COMPUTED_VALUE"""),"火21")</f>
        <v>火21</v>
      </c>
      <c r="F232" s="2" t="s">
        <v>727</v>
      </c>
      <c r="G232" s="2" t="s">
        <v>746</v>
      </c>
      <c r="H232" s="1">
        <v>7.0</v>
      </c>
      <c r="I232" s="1" t="s">
        <v>25</v>
      </c>
      <c r="J232" s="1" t="s">
        <v>11</v>
      </c>
      <c r="K232" s="2" t="s">
        <v>747</v>
      </c>
      <c r="L232" s="2" t="s">
        <v>748</v>
      </c>
      <c r="M232" s="2" t="str">
        <f>IFERROR(__xludf.DUMMYFUNCTION("split(K232,""井上真央　"",false)"),"不登校が続いていたバスケ部員・吉岡圭吾(遠藤健慎)が謎の死を遂げた。学校とバスケ部にはイジメによる自殺ではないかと非難の声が殺到。圭吾の母・真紀子(仲間由紀恵)も敵意を露わにし、学校や担任教師の霧島(及川光博)、スクールカウンセラーの日向(井上真央)相手に訴訟を起こすと宣戦布告する。そんななか、バスケ部の顧問とキャプテンが立て続けに襲われた。犯人らしき人物を見たと聞いた日向は、犯人が圭吾の幼なじみの香澄(佐久間由衣)だと気付く。香澄は退学後、自分をいじめた人間に復讐を考えていたが、圭吾が代わりに実行したの"&amp;"だという。今度は、自分が圭吾に代わって復讐をー。日向は罪を認めた香澄を説得するが、「まだやることがある」と行方をくらませてしまう。  数日後、記者の小嶋(青柳翔)が姿を現す。小嶋は、香澄が真紀子を狙うと睨んでいた。ネット上には真紀子が毒親であることや、そのせいで圭吾が自殺したと悪評の数々が書き込まれていたのだ。それらの中傷は本人の目にもとまり、真紀子は弁護士に相談する。  一方、結婚の挨拶をするため本庄(工藤阿須加)の実家を訪ねた日向は、本庄に兄がいて、11年前に事故で亡くなったことを知る。さらに、母・尚"&amp;"子(手塚理美)と自分の関係を修復させようとする本庄に、うまく本心を伝えられない日向。家では、尚子が本庄のアラが見えてきたと言い、「ああいうタイプには気をつけた方がいい」と苦言を呈し…。")</f>
        <v>不登校が続いていたバスケ部員・吉岡圭吾(遠藤健慎)が謎の死を遂げた。学校とバスケ部にはイジメによる自殺ではないかと非難の声が殺到。圭吾の母・真紀子(仲間由紀恵)も敵意を露わにし、学校や担任教師の霧島(及川光博)、スクールカウンセラーの日向(井上真央)相手に訴訟を起こすと宣戦布告する。そんななか、バスケ部の顧問とキャプテンが立て続けに襲われた。犯人らしき人物を見たと聞いた日向は、犯人が圭吾の幼なじみの香澄(佐久間由衣)だと気付く。香澄は退学後、自分をいじめた人間に復讐を考えていたが、圭吾が代わりに実行したのだという。今度は、自分が圭吾に代わって復讐をー。日向は罪を認めた香澄を説得するが、「まだやることがある」と行方をくらませてしまう。  数日後、記者の小嶋(青柳翔)が姿を現す。小嶋は、香澄が真紀子を狙うと睨んでいた。ネット上には真紀子が毒親であることや、そのせいで圭吾が自殺したと悪評の数々が書き込まれていたのだ。それらの中傷は本人の目にもとまり、真紀子は弁護士に相談する。  一方、結婚の挨拶をするため本庄(工藤阿須加)の実家を訪ねた日向は、本庄に兄がいて、11年前に事故で亡くなったことを知る。さらに、母・尚子(手塚理美)と自分の関係を修復させようとする本庄に、うまく本心を伝えられない日向。家では、尚子が本庄のアラが見えてきたと言い、「ああいうタイプには気をつけた方がいい」と苦言を呈し…。</v>
      </c>
      <c r="N232" s="2" t="str">
        <f>IFERROR(__xludf.DUMMYFUNCTION("""COMPUTED_VALUE"""),"  及川光博　  工藤阿須加　  白洲迅　  新川優愛　  佐久間由衣　  遠藤健慎　  渡邉剣　  山口まゆ　  井頭愛海　  夏子　  竹内愛紗  　・　  青柳翔　  馬渕英里何　  中林大樹　  森岡豊　  草刈麻有　  近江谷太朗  　・　  羽場裕一　  手塚理美　  仲間由紀恵　    他【脚本】  古家和尚　    【音楽】  眞鍋昭大　    【主題歌】  東方神起「Reboot」(avex　trax)　    【プロデューサー】  河西秀幸　  山崎淳子　    【演出】  池辺安智　"&amp;"    【制作協力】  共同テレビ　    【制作著作】  関西テレビ【公式サイト】  http://www.ktv.jp/yakusoku/index.html　    →各SNSに登録お願いします  公式ツイッター@yakusokuktv  公式LINE  公式facebook")</f>
        <v>  及川光博　  工藤阿須加　  白洲迅　  新川優愛　  佐久間由衣　  遠藤健慎　  渡邉剣　  山口まゆ　  井頭愛海　  夏子　  竹内愛紗  　・　  青柳翔　  馬渕英里何　  中林大樹　  森岡豊　  草刈麻有　  近江谷太朗  　・　  羽場裕一　  手塚理美　  仲間由紀恵　    他【脚本】  古家和尚　    【音楽】  眞鍋昭大　    【主題歌】  東方神起「Reboot」(avex　trax)　    【プロデューサー】  河西秀幸　  山崎淳子　    【演出】  池辺安智　    【制作協力】  共同テレビ　    【制作著作】  関西テレビ【公式サイト】  http://www.ktv.jp/yakusoku/index.html　    →各SNSに登録お願いします  公式ツイッター@yakusokuktv  公式LINE  公式facebook</v>
      </c>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row>
    <row r="233" ht="204.75" customHeight="1">
      <c r="A233" s="1">
        <v>966.0</v>
      </c>
      <c r="B233" s="2" t="s">
        <v>726</v>
      </c>
      <c r="C233" s="2">
        <f>IFERROR(__xludf.DUMMYFUNCTION("split(B233,""_"")"),1710.0)</f>
        <v>1710</v>
      </c>
      <c r="D233" s="2" t="str">
        <f>IFERROR(__xludf.DUMMYFUNCTION("""COMPUTED_VALUE"""),"CX")</f>
        <v>CX</v>
      </c>
      <c r="E233" s="2" t="str">
        <f>IFERROR(__xludf.DUMMYFUNCTION("""COMPUTED_VALUE"""),"火21")</f>
        <v>火21</v>
      </c>
      <c r="F233" s="2" t="s">
        <v>727</v>
      </c>
      <c r="G233" s="2" t="s">
        <v>749</v>
      </c>
      <c r="H233" s="1">
        <v>8.0</v>
      </c>
      <c r="I233" s="1" t="s">
        <v>29</v>
      </c>
      <c r="J233" s="1" t="s">
        <v>11</v>
      </c>
      <c r="K233" s="2" t="s">
        <v>750</v>
      </c>
      <c r="L233" s="2" t="s">
        <v>751</v>
      </c>
      <c r="M233" s="2" t="str">
        <f>IFERROR(__xludf.DUMMYFUNCTION("split(K233,""井上真央　"",false)"),"バスケ部員・圭吾(遠藤健慎)が謎の死を遂げた。世間が部内のいじめによる自殺だと騒ぐ中、圭吾の復讐をするかのように、バスケ部の関係者が何者かに襲われる。圭吾はかつて、幼なじみの香澄(佐久間由衣)をいじめていた人間を仕返しのために襲っていて、バスケ部への襲撃事件は、恩を感じていた香澄による復讐だった。その香澄は更に1人の襲撃を予告して姿をくらませた。    本庄(工藤阿須加)と婚約した日向(井上真央)は、両家の顔合わせに向かう途中、圭吾の妹・英美里(竹内愛紗)が援助交際をしている現場に遭遇。その結果、顔合わせ"&amp;"に間に合わず、尚子(手塚理美)から物凄い剣幕で怒鳴られる。そんな母親の愚痴をもらす日向に本庄の態度が豹変。「親を悪く言うな」と日向に手をあげる。    本庄の元を去った日向は、偶然通りかかった霧島(及川光博)と学校へ。するとそこへ、香澄から「学校にいる」と連絡が入る。2人は辺りを探し回るが、香澄の姿は見当たらない。その隙に、香澄は霧島の鞄からあるものを盗み出しー。翌日、恋人からの暴力にショックを引きずる日向の自宅を、本庄が訪ねて来て、尚子にもその事実が知られることに…。同じ頃、ジャーナリストの小嶋(青柳翔"&amp;")に「吉岡圭吾が死んだ理由、教えます」と電話がかかってきて…。    ネット上では真紀子(仲間由紀恵)の“毒親""ぶりが次々に明かされ、誹謗中傷の的に。世論も一転し、真紀子が糾弾されていく。")</f>
        <v>バスケ部員・圭吾(遠藤健慎)が謎の死を遂げた。世間が部内のいじめによる自殺だと騒ぐ中、圭吾の復讐をするかのように、バスケ部の関係者が何者かに襲われる。圭吾はかつて、幼なじみの香澄(佐久間由衣)をいじめていた人間を仕返しのために襲っていて、バスケ部への襲撃事件は、恩を感じていた香澄による復讐だった。その香澄は更に1人の襲撃を予告して姿をくらませた。    本庄(工藤阿須加)と婚約した日向(井上真央)は、両家の顔合わせに向かう途中、圭吾の妹・英美里(竹内愛紗)が援助交際をしている現場に遭遇。その結果、顔合わせに間に合わず、尚子(手塚理美)から物凄い剣幕で怒鳴られる。そんな母親の愚痴をもらす日向に本庄の態度が豹変。「親を悪く言うな」と日向に手をあげる。    本庄の元を去った日向は、偶然通りかかった霧島(及川光博)と学校へ。するとそこへ、香澄から「学校にいる」と連絡が入る。2人は辺りを探し回るが、香澄の姿は見当たらない。その隙に、香澄は霧島の鞄からあるものを盗み出しー。翌日、恋人からの暴力にショックを引きずる日向の自宅を、本庄が訪ねて来て、尚子にもその事実が知られることに…。同じ頃、ジャーナリストの小嶋(青柳翔)に「吉岡圭吾が死んだ理由、教えます」と電話がかかってきて…。    ネット上では真紀子(仲間由紀恵)の“毒親"ぶりが次々に明かされ、誹謗中傷の的に。世論も一転し、真紀子が糾弾されていく。</v>
      </c>
      <c r="N233" s="2" t="str">
        <f>IFERROR(__xludf.DUMMYFUNCTION("""COMPUTED_VALUE"""),"  及川光博　  工藤阿須加　  白洲迅　  新川優愛　  佐久間由衣　  金子大地　  渡邉剣　  山口まゆ　  井頭愛海　  夏子　  堀家一希　  竹内愛紗  　・　  青柳翔　  馬渕英里何　  中林大樹　  森岡豊　  近江谷太朗  　・　  羽場裕一　  手塚理美　  仲間由紀恵　    他【脚本】  古家和尚　    【音楽】  眞鍋昭大　    【主題歌】  東方神起「Reboot」(avex　trax)　    【プロデューサー】  河西秀幸　  山崎淳子　    【演出】  土方政人　"&amp;"    【制作協力】  共同テレビ　    【制作著作】  関西テレビ【公式サイト】  http://www.ktv.jp/yakusoku/index.html　    →各SNSに登録お願いします  公式ツイッター@yakusokuktv  公式LINE  公式facebook")</f>
        <v>  及川光博　  工藤阿須加　  白洲迅　  新川優愛　  佐久間由衣　  金子大地　  渡邉剣　  山口まゆ　  井頭愛海　  夏子　  堀家一希　  竹内愛紗  　・　  青柳翔　  馬渕英里何　  中林大樹　  森岡豊　  近江谷太朗  　・　  羽場裕一　  手塚理美　  仲間由紀恵　    他【脚本】  古家和尚　    【音楽】  眞鍋昭大　    【主題歌】  東方神起「Reboot」(avex　trax)　    【プロデューサー】  河西秀幸　  山崎淳子　    【演出】  土方政人　    【制作協力】  共同テレビ　    【制作著作】  関西テレビ【公式サイト】  http://www.ktv.jp/yakusoku/index.html　    →各SNSに登録お願いします  公式ツイッター@yakusokuktv  公式LINE  公式facebook</v>
      </c>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row>
    <row r="234" ht="204.75" customHeight="1">
      <c r="A234" s="1">
        <v>967.0</v>
      </c>
      <c r="B234" s="2" t="s">
        <v>726</v>
      </c>
      <c r="C234" s="2">
        <f>IFERROR(__xludf.DUMMYFUNCTION("split(B234,""_"")"),1710.0)</f>
        <v>1710</v>
      </c>
      <c r="D234" s="2" t="str">
        <f>IFERROR(__xludf.DUMMYFUNCTION("""COMPUTED_VALUE"""),"CX")</f>
        <v>CX</v>
      </c>
      <c r="E234" s="2" t="str">
        <f>IFERROR(__xludf.DUMMYFUNCTION("""COMPUTED_VALUE"""),"火21")</f>
        <v>火21</v>
      </c>
      <c r="F234" s="2" t="s">
        <v>727</v>
      </c>
      <c r="G234" s="2" t="s">
        <v>752</v>
      </c>
      <c r="H234" s="1">
        <v>9.0</v>
      </c>
      <c r="I234" s="1" t="s">
        <v>33</v>
      </c>
      <c r="J234" s="1" t="s">
        <v>4</v>
      </c>
      <c r="K234" s="2" t="s">
        <v>753</v>
      </c>
      <c r="L234" s="2" t="s">
        <v>754</v>
      </c>
      <c r="M234" s="2" t="str">
        <f>IFERROR(__xludf.DUMMYFUNCTION("split(K234,""井上真央　"",false)"),"バスケ部員・圭吾(遠藤健慎)が謎の死を遂げた。自殺の原因と噂された関係者が立て続けに襲われ、犯人は圭吾の幼馴染の香澄(佐久間由衣)と判明。圭吾を死に追いやった人物への復讐のためだった。香澄が「あと一人…」と言うターゲットは圭吾の担任教師・霧島(及川光博)。香澄は霧島のノートPCを盗み出し、日向(井上真央)に託す。中身を見た日向は、霧島が圭吾の死に大きく関わっていることを知り愕然。生徒を守るべき立場の霧島がとった行動について、真意を問いただす。  恋人の本庄(工藤阿須加)から暴力を振るわれた日向は、結婚に後"&amp;"ろ向きに。「あの人のようになることが怖い」ーー長年、母・尚子(手塚理美)に支配されてきた日向は、結婚して母親になる覚悟ができていないと分かったのだ。尚子も娘に暴力を振るった本庄を許そうとはせず、見合い話を持ってくる。しかし日向は、「私はお母さんの所有物じゃない」と気持ちを伝え、本庄との今後についても、ある結論を出す。  吉岡家では、圭吾の妹の英美里(竹内愛紗)が、母・真紀子(仲間由紀恵)が息子の部屋を盗聴していた証拠をマスコミに流していた。テレビやネットで異様な行動が報じられ、一時は同情的だったマスコミも"&amp;"、一転して真紀子を糾弾。圭吾を死に追いやったのは、精神的虐待を続けてきた“毒親""にほかならないと、非難する。最愛の息子を失い、自らの愛情を否定され、家族にも見放された真紀子は…。")</f>
        <v>バスケ部員・圭吾(遠藤健慎)が謎の死を遂げた。自殺の原因と噂された関係者が立て続けに襲われ、犯人は圭吾の幼馴染の香澄(佐久間由衣)と判明。圭吾を死に追いやった人物への復讐のためだった。香澄が「あと一人…」と言うターゲットは圭吾の担任教師・霧島(及川光博)。香澄は霧島のノートPCを盗み出し、日向(井上真央)に託す。中身を見た日向は、霧島が圭吾の死に大きく関わっていることを知り愕然。生徒を守るべき立場の霧島がとった行動について、真意を問いただす。  恋人の本庄(工藤阿須加)から暴力を振るわれた日向は、結婚に後ろ向きに。「あの人のようになることが怖い」ーー長年、母・尚子(手塚理美)に支配されてきた日向は、結婚して母親になる覚悟ができていないと分かったのだ。尚子も娘に暴力を振るった本庄を許そうとはせず、見合い話を持ってくる。しかし日向は、「私はお母さんの所有物じゃない」と気持ちを伝え、本庄との今後についても、ある結論を出す。  吉岡家では、圭吾の妹の英美里(竹内愛紗)が、母・真紀子(仲間由紀恵)が息子の部屋を盗聴していた証拠をマスコミに流していた。テレビやネットで異様な行動が報じられ、一時は同情的だったマスコミも、一転して真紀子を糾弾。圭吾を死に追いやったのは、精神的虐待を続けてきた“毒親"にほかならないと、非難する。最愛の息子を失い、自らの愛情を否定され、家族にも見放された真紀子は…。</v>
      </c>
      <c r="N234" s="2" t="str">
        <f>IFERROR(__xludf.DUMMYFUNCTION("""COMPUTED_VALUE"""),"  及川光博　  工藤阿須加　  白洲迅　  新川優愛　  佐久間由衣　  遠藤健慎　  渡邉剣　  山口まゆ　  井頭愛海　  夏子　  堀家一希　  竹内愛紗　  立野沙紀  　・　  青柳翔　  馬渕英里何　  中林大樹　  近江谷太朗  　・　  羽場裕一　  手塚理美　  仲間由紀恵　    他【脚本】  古家和尚　    【音楽】  眞鍋昭大　    【主題歌】  東方神起「Reboot」(avex　trax)　    【プロデューサー】  河西秀幸　  山崎淳子　    【演出】  小林義則"&amp;"　    【制作協力】  共同テレビ　    【制作著作】  関西テレビ【公式サイト】  http://www.ktv.jp/yakusoku/index.html　    →各SNSに登録お願いします  公式ツイッター@yakusokuktv  公式LINE  公式facebook")</f>
        <v>  及川光博　  工藤阿須加　  白洲迅　  新川優愛　  佐久間由衣　  遠藤健慎　  渡邉剣　  山口まゆ　  井頭愛海　  夏子　  堀家一希　  竹内愛紗　  立野沙紀  　・　  青柳翔　  馬渕英里何　  中林大樹　  近江谷太朗  　・　  羽場裕一　  手塚理美　  仲間由紀恵　    他【脚本】  古家和尚　    【音楽】  眞鍋昭大　    【主題歌】  東方神起「Reboot」(avex　trax)　    【プロデューサー】  河西秀幸　  山崎淳子　    【演出】  小林義則　    【制作協力】  共同テレビ　    【制作著作】  関西テレビ【公式サイト】  http://www.ktv.jp/yakusoku/index.html　    →各SNSに登録お願いします  公式ツイッター@yakusokuktv  公式LINE  公式facebook</v>
      </c>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row>
    <row r="235" ht="204.75" customHeight="1">
      <c r="A235" s="1">
        <v>968.0</v>
      </c>
      <c r="B235" s="2" t="s">
        <v>726</v>
      </c>
      <c r="C235" s="2">
        <f>IFERROR(__xludf.DUMMYFUNCTION("split(B235,""_"")"),1710.0)</f>
        <v>1710</v>
      </c>
      <c r="D235" s="2" t="str">
        <f>IFERROR(__xludf.DUMMYFUNCTION("""COMPUTED_VALUE"""),"CX")</f>
        <v>CX</v>
      </c>
      <c r="E235" s="2" t="str">
        <f>IFERROR(__xludf.DUMMYFUNCTION("""COMPUTED_VALUE"""),"火21")</f>
        <v>火21</v>
      </c>
      <c r="F235" s="2" t="s">
        <v>727</v>
      </c>
      <c r="G235" s="2" t="s">
        <v>755</v>
      </c>
      <c r="H235" s="1">
        <v>10.0</v>
      </c>
      <c r="I235" s="1" t="s">
        <v>37</v>
      </c>
      <c r="J235" s="1" t="s">
        <v>11</v>
      </c>
      <c r="K235" s="2" t="s">
        <v>756</v>
      </c>
      <c r="L235" s="2" t="s">
        <v>757</v>
      </c>
      <c r="M235" s="2" t="str">
        <f>IFERROR(__xludf.DUMMYFUNCTION("split(K235,""井上真央　"",false)"),"学校でのいじめ、母・真紀子(仲間由紀恵)による精神的虐待…巷で様々な臆測が飛び交った、吉岡圭吾(遠藤健慎)の自殺。真相は誰にも分からず、クラスメイトや教師、残された家族は日常を取り戻せずにいた。  日向(井上真央)も、スクールカウンセラーとして心をケアする一方、死の前日に圭吾から告白されたことが引っ掛かっていた。「あれは、彼なりのSOSだったのかもしれない。答えが違っていれば何かが変わっていたのかも」ー圭吾を苦しみから救えなかったことを悔やんでいた日向だったが、前に進むためにも、自分にケジメをつけようと決"&amp;"める。そして、圭吾がクラスで孤立する原因を作った霧島(及川光博)の行為を学校に報告し、これまで学校や日向を敵視し続けてきた真紀子にも全てを話そうと自宅を訪ねる。するとそこには亡き息子の気持ちが分からないと絶望する真紀子の姿が。圭吾と真紀子に、自分と母・尚子(手塚理美)の関係を重ね合わせた日向は、自分も幼いころから親の愛情に苦しんできたと告白。そして「高校生の時、母にいなくなってほしいと思った」と、尚子との関係を話し始める。長年にわたり“毒親""に支配されてきた日向の告白は、真紀子の心に届くのか?  さらに"&amp;"日向は学校で「私がこの出来事の中で、いま一番許せないと思っている人がいます」と切り出し、ざわめきが生徒や教師たちの間に広がる。  そして尚子とのいびつな親子関係にも、ある決断を下す。")</f>
        <v>学校でのいじめ、母・真紀子(仲間由紀恵)による精神的虐待…巷で様々な臆測が飛び交った、吉岡圭吾(遠藤健慎)の自殺。真相は誰にも分からず、クラスメイトや教師、残された家族は日常を取り戻せずにいた。  日向(井上真央)も、スクールカウンセラーとして心をケアする一方、死の前日に圭吾から告白されたことが引っ掛かっていた。「あれは、彼なりのSOSだったのかもしれない。答えが違っていれば何かが変わっていたのかも」ー圭吾を苦しみから救えなかったことを悔やんでいた日向だったが、前に進むためにも、自分にケジメをつけようと決める。そして、圭吾がクラスで孤立する原因を作った霧島(及川光博)の行為を学校に報告し、これまで学校や日向を敵視し続けてきた真紀子にも全てを話そうと自宅を訪ねる。するとそこには亡き息子の気持ちが分からないと絶望する真紀子の姿が。圭吾と真紀子に、自分と母・尚子(手塚理美)の関係を重ね合わせた日向は、自分も幼いころから親の愛情に苦しんできたと告白。そして「高校生の時、母にいなくなってほしいと思った」と、尚子との関係を話し始める。長年にわたり“毒親"に支配されてきた日向の告白は、真紀子の心に届くのか?  さらに日向は学校で「私がこの出来事の中で、いま一番許せないと思っている人がいます」と切り出し、ざわめきが生徒や教師たちの間に広がる。  そして尚子とのいびつな親子関係にも、ある決断を下す。</v>
      </c>
      <c r="N235" s="2" t="str">
        <f>IFERROR(__xludf.DUMMYFUNCTION("""COMPUTED_VALUE"""),"  及川光博　  工藤阿須加　  白洲迅　  新川優愛　  佐久間由衣　  遠藤健慎　  金子大地　  渡邉剣　  山口まゆ　  井頭愛海　  夏子　  堀家一希　  竹内愛紗  　・　  青柳翔　  馬渕英里何　  中林大樹　  青山倫子  　・　  羽場裕一　  手塚理美　  仲間由紀恵　    他【脚本】  古家和尚　    【音楽】  眞鍋昭大　    【主題歌】  東方神起「Reboot」(avex　trax)　    【プロデューサー】  河西秀幸　  山崎淳子　    【演出】  土方政人　"&amp;"    【制作協力】  共同テレビ　    【制作著作】  関西テレビ【公式サイト】  http://www.ktv.jp/yakusoku/index.html　    →各SNSに登録お願いします  公式ツイッター@yakusokuktv  公式LINE  公式facebook")</f>
        <v>  及川光博　  工藤阿須加　  白洲迅　  新川優愛　  佐久間由衣　  遠藤健慎　  金子大地　  渡邉剣　  山口まゆ　  井頭愛海　  夏子　  堀家一希　  竹内愛紗  　・　  青柳翔　  馬渕英里何　  中林大樹　  青山倫子  　・　  羽場裕一　  手塚理美　  仲間由紀恵　    他【脚本】  古家和尚　    【音楽】  眞鍋昭大　    【主題歌】  東方神起「Reboot」(avex　trax)　    【プロデューサー】  河西秀幸　  山崎淳子　    【演出】  土方政人　    【制作協力】  共同テレビ　    【制作著作】  関西テレビ【公式サイト】  http://www.ktv.jp/yakusoku/index.html　    →各SNSに登録お願いします  公式ツイッター@yakusokuktv  公式LINE  公式facebook</v>
      </c>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row>
    <row r="236" ht="204.75" customHeight="1">
      <c r="A236" s="1">
        <v>999.0</v>
      </c>
      <c r="B236" s="2" t="s">
        <v>758</v>
      </c>
      <c r="C236" s="2">
        <f>IFERROR(__xludf.DUMMYFUNCTION("split(B236,""_"")"),1710.0)</f>
        <v>1710</v>
      </c>
      <c r="D236" s="2" t="str">
        <f>IFERROR(__xludf.DUMMYFUNCTION("""COMPUTED_VALUE"""),"CX")</f>
        <v>CX</v>
      </c>
      <c r="E236" s="2" t="str">
        <f>IFERROR(__xludf.DUMMYFUNCTION("""COMPUTED_VALUE"""),"木22")</f>
        <v>木22</v>
      </c>
      <c r="F236" s="2" t="s">
        <v>759</v>
      </c>
      <c r="G236" s="2" t="s">
        <v>760</v>
      </c>
      <c r="H236" s="1">
        <v>1.0</v>
      </c>
      <c r="I236" s="1" t="s">
        <v>3</v>
      </c>
      <c r="J236" s="1" t="s">
        <v>82</v>
      </c>
      <c r="K236" s="2" t="s">
        <v>761</v>
      </c>
      <c r="L236" s="2" t="s">
        <v>762</v>
      </c>
      <c r="M236" s="2" t="str">
        <f>IFERROR(__xludf.DUMMYFUNCTION("split(K236,""【"",false)"),"ここだけの情報満載です。以下、是非ご覧ください!  ")</f>
        <v>ここだけの情報満載です。以下、是非ご覧ください!  </v>
      </c>
      <c r="N236" s="2" t="str">
        <f>IFERROR(__xludf.DUMMYFUNCTION("""COMPUTED_VALUE"""),"番組公式ホームページ】  http://www.fujitv.co.jp/yugami/　    ")</f>
        <v>番組公式ホームページ】  http://www.fujitv.co.jp/yugami/　    </v>
      </c>
      <c r="O236" s="2" t="str">
        <f>IFERROR(__xludf.DUMMYFUNCTION("""COMPUTED_VALUE"""),"番組公式ツイッター】  https://twitter.com/keiji_yugami　    ")</f>
        <v>番組公式ツイッター】  https://twitter.com/keiji_yugami　    </v>
      </c>
      <c r="P236" s="2" t="str">
        <f>IFERROR(__xludf.DUMMYFUNCTION("""COMPUTED_VALUE"""),"番組公式インスタグラム】  https://www.instagram.com/keiji_yugami/　  公式LINEもやっています!　弓神適当(浅野忠信)は、うきよ署強行犯係の刑事。適当で人と一緒に行動することを嫌う変わり者。だが、事件の捜査になると常識に惑わされず真実を追い求める男だった。そんな弓神とバディを組むのは、上昇志向と正義感が強い若手刑事の羽生虎夫(神木隆之介)。早く出世したいと考える羽生にとって、違法捜査もお構いなしの弓神はやっかいな存在だ。弓神とは同期でもある強行犯係・係長の菅能理"&amp;"香(稲森いずみ)も弓神には手を焼いていた。  　ある日、女子大生の押田マイ(小倉優香)が、歩道橋下で仰向けに死んでいるのが発見される。マイは酒を飲んで帰宅途中に、誤って階段から転落した可能性が高かった。が、死体を見て何かを感じた弓神は、羽生を巻き込んで勝手に捜査を始めてしまう。弓神は、ハッカーの“ヒズミ""こと氷川和美(山本美月)からも情報を得て、事件当日、マイと一緒に飲んでいた友人・倉間藍子(大後寿々花)に会いに行く。藍子は、1週間ほど前にマイが電車内で痴漢した男を捕まえたこと、男から現金を受け取り警察"&amp;"には届けなかったこと、その夜から嫌がらせを受け始めたことを打ち明ける。弓神たちは、痴漢騒動があったうきよ台駅を訪れ、当日勤務していた駅員・坂木望(杉咲花)から話を聞く。望とは中学時代の同級生だった羽生は、思わぬ再会に心が躍る。やがて、弓神と羽生は望の協力を得て、痴漢疑惑の男・沢谷勝己(岡田義徳)を発見するが。弓神適当:　浅野忠信　  羽生虎夫:　神木隆之介　  氷川和美(ヒズミ):　山本美月　  多々木挙男:　仁科貴　  町尾守:　橋本淳  　・　  菅能理香:　稲森いずみ　    ほか")</f>
        <v>番組公式インスタグラム】  https://www.instagram.com/keiji_yugami/　  公式LINEもやっています!　弓神適当(浅野忠信)は、うきよ署強行犯係の刑事。適当で人と一緒に行動することを嫌う変わり者。だが、事件の捜査になると常識に惑わされず真実を追い求める男だった。そんな弓神とバディを組むのは、上昇志向と正義感が強い若手刑事の羽生虎夫(神木隆之介)。早く出世したいと考える羽生にとって、違法捜査もお構いなしの弓神はやっかいな存在だ。弓神とは同期でもある強行犯係・係長の菅能理香(稲森いずみ)も弓神には手を焼いていた。  　ある日、女子大生の押田マイ(小倉優香)が、歩道橋下で仰向けに死んでいるのが発見される。マイは酒を飲んで帰宅途中に、誤って階段から転落した可能性が高かった。が、死体を見て何かを感じた弓神は、羽生を巻き込んで勝手に捜査を始めてしまう。弓神は、ハッカーの“ヒズミ"こと氷川和美(山本美月)からも情報を得て、事件当日、マイと一緒に飲んでいた友人・倉間藍子(大後寿々花)に会いに行く。藍子は、1週間ほど前にマイが電車内で痴漢した男を捕まえたこと、男から現金を受け取り警察には届けなかったこと、その夜から嫌がらせを受け始めたことを打ち明ける。弓神たちは、痴漢騒動があったうきよ台駅を訪れ、当日勤務していた駅員・坂木望(杉咲花)から話を聞く。望とは中学時代の同級生だった羽生は、思わぬ再会に心が躍る。やがて、弓神と羽生は望の協力を得て、痴漢疑惑の男・沢谷勝己(岡田義徳)を発見するが。弓神適当:　浅野忠信　  羽生虎夫:　神木隆之介　  氷川和美(ヒズミ):　山本美月　  多々木挙男:　仁科貴　  町尾守:　橋本淳  　・　  菅能理香:　稲森いずみ　    ほか</v>
      </c>
      <c r="Q236" s="2" t="str">
        <f>IFERROR(__xludf.DUMMYFUNCTION("""COMPUTED_VALUE"""),"原作】  井浦秀夫「刑事ゆがみ」(小学館「ビッグコミックオリジナル」連載中)　    ")</f>
        <v>原作】  井浦秀夫「刑事ゆがみ」(小学館「ビッグコミックオリジナル」連載中)　    </v>
      </c>
      <c r="R236" s="2" t="str">
        <f>IFERROR(__xludf.DUMMYFUNCTION("""COMPUTED_VALUE"""),"音楽】  菅野祐悟　    ")</f>
        <v>音楽】  菅野祐悟　    </v>
      </c>
      <c r="S236" s="2" t="str">
        <f>IFERROR(__xludf.DUMMYFUNCTION("""COMPUTED_VALUE"""),"主題歌】  WANIMA「ヒューマン」(unBORDE/Warner　Music　Japan)　    ")</f>
        <v>主題歌】  WANIMA「ヒューマン」(unBORDE/Warner　Music　Japan)　    </v>
      </c>
      <c r="T236" s="2" t="str">
        <f>IFERROR(__xludf.DUMMYFUNCTION("""COMPUTED_VALUE"""),"脚本】  倉光泰子　  大北はるか　  藤井清美　    ")</f>
        <v>脚本】  倉光泰子　  大北はるか　  藤井清美　    </v>
      </c>
      <c r="U236" s="2" t="str">
        <f>IFERROR(__xludf.DUMMYFUNCTION("""COMPUTED_VALUE"""),"プロデュース】  藤野良太　  高田雄貴　    ")</f>
        <v>プロデュース】  藤野良太　  高田雄貴　    </v>
      </c>
      <c r="V236" s="2" t="str">
        <f>IFERROR(__xludf.DUMMYFUNCTION("""COMPUTED_VALUE"""),"演出】  西谷弘　  加藤裕将　  宮木正悟　    ")</f>
        <v>演出】  西谷弘　  加藤裕将　  宮木正悟　    </v>
      </c>
      <c r="W236" s="2" t="str">
        <f>IFERROR(__xludf.DUMMYFUNCTION("""COMPUTED_VALUE"""),"制作】  フジテレビ")</f>
        <v>制作】  フジテレビ</v>
      </c>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row>
    <row r="237" ht="204.75" customHeight="1">
      <c r="A237" s="1">
        <v>1000.0</v>
      </c>
      <c r="B237" s="2" t="s">
        <v>758</v>
      </c>
      <c r="C237" s="2">
        <f>IFERROR(__xludf.DUMMYFUNCTION("split(B237,""_"")"),1710.0)</f>
        <v>1710</v>
      </c>
      <c r="D237" s="2" t="str">
        <f>IFERROR(__xludf.DUMMYFUNCTION("""COMPUTED_VALUE"""),"CX")</f>
        <v>CX</v>
      </c>
      <c r="E237" s="2" t="str">
        <f>IFERROR(__xludf.DUMMYFUNCTION("""COMPUTED_VALUE"""),"木22")</f>
        <v>木22</v>
      </c>
      <c r="F237" s="2" t="s">
        <v>759</v>
      </c>
      <c r="G237" s="2" t="s">
        <v>763</v>
      </c>
      <c r="H237" s="1">
        <v>2.0</v>
      </c>
      <c r="I237" s="1" t="s">
        <v>7</v>
      </c>
      <c r="J237" s="1" t="s">
        <v>86</v>
      </c>
      <c r="K237" s="2" t="s">
        <v>764</v>
      </c>
      <c r="L237" s="2" t="s">
        <v>765</v>
      </c>
      <c r="M237" s="2" t="str">
        <f>IFERROR(__xludf.DUMMYFUNCTION("split(K237,""【"",false)"),"ここだけの情報満載です。以下、是非ご覧ください!  ")</f>
        <v>ここだけの情報満載です。以下、是非ご覧ください!  </v>
      </c>
      <c r="N237" s="2" t="str">
        <f>IFERROR(__xludf.DUMMYFUNCTION("""COMPUTED_VALUE"""),"番組公式ホームページ】  http://www.fujitv.co.jp/yugami/　    ")</f>
        <v>番組公式ホームページ】  http://www.fujitv.co.jp/yugami/　    </v>
      </c>
      <c r="O237" s="2" t="str">
        <f>IFERROR(__xludf.DUMMYFUNCTION("""COMPUTED_VALUE"""),"番組公式ツイッター】  https://twitter.com/keiji_yugami　    ")</f>
        <v>番組公式ツイッター】  https://twitter.com/keiji_yugami　    </v>
      </c>
      <c r="P237" s="2" t="str">
        <f>IFERROR(__xludf.DUMMYFUNCTION("""COMPUTED_VALUE"""),"番組公式インスタグラム】  https://www.instagram.com/keiji_yugami/　  公式LINEもやっています!うきよ署強行犯係の弓神(浅野忠信)は、相棒の羽生(神木隆之介)らとともに、中学校の教師・早杉千里(水野美紀)が襲われた強姦未遂事件の捜査を始める。事件は、千里が自宅アパートで仮眠中に、窓から侵入した男が彼女を襲おうとした、というものだった。そこに、千里が勤務する中学校で教育実習をしていた大学生・打越将也(中川大志)が訪ねてきて、犯人と争いになったのだという。千里は、犯"&amp;"人が振り回した花瓶で右腕を負傷。犯人を追おうとした打越は、花瓶の水で足を滑らせてベッドの角で頭を強打し、意識不明の重体で病院に搬送されていた。だが、千里は「事件を忘れたい」と言って被害届も出さず、捜査協力を拒んでいた。菅能(稲森いずみ)は、法改正で強制性交等罪の非親告罪化が決定したことを千里に告げて捜査を開始する。が、千里の教師という立場も考慮し、不法侵入と傷害事件として捜査するよう指示する。一方、千里と打越の経歴を調べた弓神は、2人が教師と教え子の関係性だったことに気付く。ほどなく、現場に残されていた足"&amp;"跡から犯人の靴が特定され、ある人物が捜査線上に浮かんでくる…。弓神適当:　浅野忠信　  羽生虎夫:　神木隆之介　  氷川和美(ヒズミ):　山本美月　  多々木挙男:　仁科貴　  町尾守:　橋本淳  　・　  菅能理香:　稲森いずみ　    ほか")</f>
        <v>番組公式インスタグラム】  https://www.instagram.com/keiji_yugami/　  公式LINEもやっています!うきよ署強行犯係の弓神(浅野忠信)は、相棒の羽生(神木隆之介)らとともに、中学校の教師・早杉千里(水野美紀)が襲われた強姦未遂事件の捜査を始める。事件は、千里が自宅アパートで仮眠中に、窓から侵入した男が彼女を襲おうとした、というものだった。そこに、千里が勤務する中学校で教育実習をしていた大学生・打越将也(中川大志)が訪ねてきて、犯人と争いになったのだという。千里は、犯人が振り回した花瓶で右腕を負傷。犯人を追おうとした打越は、花瓶の水で足を滑らせてベッドの角で頭を強打し、意識不明の重体で病院に搬送されていた。だが、千里は「事件を忘れたい」と言って被害届も出さず、捜査協力を拒んでいた。菅能(稲森いずみ)は、法改正で強制性交等罪の非親告罪化が決定したことを千里に告げて捜査を開始する。が、千里の教師という立場も考慮し、不法侵入と傷害事件として捜査するよう指示する。一方、千里と打越の経歴を調べた弓神は、2人が教師と教え子の関係性だったことに気付く。ほどなく、現場に残されていた足跡から犯人の靴が特定され、ある人物が捜査線上に浮かんでくる…。弓神適当:　浅野忠信　  羽生虎夫:　神木隆之介　  氷川和美(ヒズミ):　山本美月　  多々木挙男:　仁科貴　  町尾守:　橋本淳  　・　  菅能理香:　稲森いずみ　    ほか</v>
      </c>
      <c r="Q237" s="2" t="str">
        <f>IFERROR(__xludf.DUMMYFUNCTION("""COMPUTED_VALUE"""),"原作】  井浦秀夫「刑事ゆがみ」(小学館「ビッグコミックオリジナル」連載中)　    ")</f>
        <v>原作】  井浦秀夫「刑事ゆがみ」(小学館「ビッグコミックオリジナル」連載中)　    </v>
      </c>
      <c r="R237" s="2" t="str">
        <f>IFERROR(__xludf.DUMMYFUNCTION("""COMPUTED_VALUE"""),"音楽】  菅野祐悟　    ")</f>
        <v>音楽】  菅野祐悟　    </v>
      </c>
      <c r="S237" s="2" t="str">
        <f>IFERROR(__xludf.DUMMYFUNCTION("""COMPUTED_VALUE"""),"主題歌】  WANIMA「ヒューマン」(unBORDE/Warner　Music　Japan)　    ")</f>
        <v>主題歌】  WANIMA「ヒューマン」(unBORDE/Warner　Music　Japan)　    </v>
      </c>
      <c r="T237" s="2" t="str">
        <f>IFERROR(__xludf.DUMMYFUNCTION("""COMPUTED_VALUE"""),"脚本】  倉光泰子　  大北はるか　  藤井清美　    ")</f>
        <v>脚本】  倉光泰子　  大北はるか　  藤井清美　    </v>
      </c>
      <c r="U237" s="2" t="str">
        <f>IFERROR(__xludf.DUMMYFUNCTION("""COMPUTED_VALUE"""),"プロデュース】  藤野良太　  高田雄貴　    ")</f>
        <v>プロデュース】  藤野良太　  高田雄貴　    </v>
      </c>
      <c r="V237" s="2" t="str">
        <f>IFERROR(__xludf.DUMMYFUNCTION("""COMPUTED_VALUE"""),"演出】  西谷弘　  加藤裕将　  宮木正悟　    ")</f>
        <v>演出】  西谷弘　  加藤裕将　  宮木正悟　    </v>
      </c>
      <c r="W237" s="2" t="str">
        <f>IFERROR(__xludf.DUMMYFUNCTION("""COMPUTED_VALUE"""),"制作】  フジテレビ")</f>
        <v>制作】  フジテレビ</v>
      </c>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row>
    <row r="238" ht="204.75" customHeight="1">
      <c r="A238" s="1">
        <v>1001.0</v>
      </c>
      <c r="B238" s="2" t="s">
        <v>758</v>
      </c>
      <c r="C238" s="2">
        <f>IFERROR(__xludf.DUMMYFUNCTION("split(B238,""_"")"),1710.0)</f>
        <v>1710</v>
      </c>
      <c r="D238" s="2" t="str">
        <f>IFERROR(__xludf.DUMMYFUNCTION("""COMPUTED_VALUE"""),"CX")</f>
        <v>CX</v>
      </c>
      <c r="E238" s="2" t="str">
        <f>IFERROR(__xludf.DUMMYFUNCTION("""COMPUTED_VALUE"""),"木22")</f>
        <v>木22</v>
      </c>
      <c r="F238" s="2" t="s">
        <v>759</v>
      </c>
      <c r="G238" s="2" t="s">
        <v>766</v>
      </c>
      <c r="H238" s="1">
        <v>3.0</v>
      </c>
      <c r="I238" s="1" t="s">
        <v>10</v>
      </c>
      <c r="J238" s="1" t="s">
        <v>86</v>
      </c>
      <c r="K238" s="2" t="s">
        <v>767</v>
      </c>
      <c r="L238" s="2" t="s">
        <v>768</v>
      </c>
      <c r="M238" s="2" t="str">
        <f>IFERROR(__xludf.DUMMYFUNCTION("split(K238,""【"",false)"),"ここだけの情報満載です。以下、是非ご覧ください!  ")</f>
        <v>ここだけの情報満載です。以下、是非ご覧ください!  </v>
      </c>
      <c r="N238" s="2" t="str">
        <f>IFERROR(__xludf.DUMMYFUNCTION("""COMPUTED_VALUE"""),"番組公式ホームページ】  http://www.fujitv.co.jp/yugami/　    ")</f>
        <v>番組公式ホームページ】  http://www.fujitv.co.jp/yugami/　    </v>
      </c>
      <c r="O238" s="2" t="str">
        <f>IFERROR(__xludf.DUMMYFUNCTION("""COMPUTED_VALUE"""),"番組公式ツイッター】  https://twitter.com/keiji_yugami　    ")</f>
        <v>番組公式ツイッター】  https://twitter.com/keiji_yugami　    </v>
      </c>
      <c r="P238" s="2" t="str">
        <f>IFERROR(__xludf.DUMMYFUNCTION("""COMPUTED_VALUE"""),"番組公式インスタグラム】  https://www.instagram.com/keiji_yugami/　  公式LINEもやっています!弓神(浅野忠信)や羽生(神木隆之介)ら、うきよ署の面々は、今月末で定年を迎え退官する真下誠巡査部長(寺脇康文)の退職辞令交付式に出席する。交番勤務のころに世話になった羽生は、真下のことを「警察官のかがみだ」と尊敬していた。それから数日後、山菜採りで裏山を訪れた老夫婦が、頭から血を流して倒れている男性を発見する。それは、真下だった。真下は、何者かに頭部を殴打され、意識不"&amp;"明のまま病院に搬送されていた。事件現場では無数の足跡と、2トントラックがUターンしたと思われるタイヤ痕、そして耐寒用手袋が片方だけ落ちていた。  弓神とともに病院を訪れた羽生は、必ず自分の手で犯人を捕まえると誓う。その際、弓神は、真下のリュックの中から大きな木が描かれたスケッチブックを見つけていた。するとそこに、真下の娘・唯香(佐藤玲)が訪ねてくる。真下の妻は、唯香が小学生のときに病気で他界しており、唯香の7つ上の姉・静香(小野花梨)は、高校を中退して家を飛び出したきり音信不通状態だった。そんな折、病院に"&amp;"真下の容体をしつこく尋ねる不審な男が現れる。防犯カメラには作業着の男の姿が映っていた。菅能(稲森いずみ)らは、その映像をもとに犯行時刻に山に出入りしていたトラック10台を絞り込む。その中の1台に目を付けた羽生は、病院に現れた男・堀田剛(柳俊太郎)にたどり着き…。弓神適当:　浅野忠信　  羽生虎夫:　神木隆之介　  氷川和美(ヒズミ):　山本美月　  多々木挙男:　仁科貴　  町尾守:　橋本淳  　・　  菅能理香:　稲森いずみ　    ほか")</f>
        <v>番組公式インスタグラム】  https://www.instagram.com/keiji_yugami/　  公式LINEもやっています!弓神(浅野忠信)や羽生(神木隆之介)ら、うきよ署の面々は、今月末で定年を迎え退官する真下誠巡査部長(寺脇康文)の退職辞令交付式に出席する。交番勤務のころに世話になった羽生は、真下のことを「警察官のかがみだ」と尊敬していた。それから数日後、山菜採りで裏山を訪れた老夫婦が、頭から血を流して倒れている男性を発見する。それは、真下だった。真下は、何者かに頭部を殴打され、意識不明のまま病院に搬送されていた。事件現場では無数の足跡と、2トントラックがUターンしたと思われるタイヤ痕、そして耐寒用手袋が片方だけ落ちていた。  弓神とともに病院を訪れた羽生は、必ず自分の手で犯人を捕まえると誓う。その際、弓神は、真下のリュックの中から大きな木が描かれたスケッチブックを見つけていた。するとそこに、真下の娘・唯香(佐藤玲)が訪ねてくる。真下の妻は、唯香が小学生のときに病気で他界しており、唯香の7つ上の姉・静香(小野花梨)は、高校を中退して家を飛び出したきり音信不通状態だった。そんな折、病院に真下の容体をしつこく尋ねる不審な男が現れる。防犯カメラには作業着の男の姿が映っていた。菅能(稲森いずみ)らは、その映像をもとに犯行時刻に山に出入りしていたトラック10台を絞り込む。その中の1台に目を付けた羽生は、病院に現れた男・堀田剛(柳俊太郎)にたどり着き…。弓神適当:　浅野忠信　  羽生虎夫:　神木隆之介　  氷川和美(ヒズミ):　山本美月　  多々木挙男:　仁科貴　  町尾守:　橋本淳  　・　  菅能理香:　稲森いずみ　    ほか</v>
      </c>
      <c r="Q238" s="2" t="str">
        <f>IFERROR(__xludf.DUMMYFUNCTION("""COMPUTED_VALUE"""),"原作】  井浦秀夫「刑事ゆがみ」(小学館「ビッグコミックオリジナル」連載中)　    ")</f>
        <v>原作】  井浦秀夫「刑事ゆがみ」(小学館「ビッグコミックオリジナル」連載中)　    </v>
      </c>
      <c r="R238" s="2" t="str">
        <f>IFERROR(__xludf.DUMMYFUNCTION("""COMPUTED_VALUE"""),"音楽】  菅野祐悟　    ")</f>
        <v>音楽】  菅野祐悟　    </v>
      </c>
      <c r="S238" s="2" t="str">
        <f>IFERROR(__xludf.DUMMYFUNCTION("""COMPUTED_VALUE"""),"主題歌】  WANIMA「ヒューマン」(unBORDE/Warner　Music　Japan)　    ")</f>
        <v>主題歌】  WANIMA「ヒューマン」(unBORDE/Warner　Music　Japan)　    </v>
      </c>
      <c r="T238" s="2" t="str">
        <f>IFERROR(__xludf.DUMMYFUNCTION("""COMPUTED_VALUE"""),"脚本】  倉光泰子　  大北はるか　  藤井清美　    ")</f>
        <v>脚本】  倉光泰子　  大北はるか　  藤井清美　    </v>
      </c>
      <c r="U238" s="2" t="str">
        <f>IFERROR(__xludf.DUMMYFUNCTION("""COMPUTED_VALUE"""),"プロデュース】  藤野良太　  高田雄貴　    ")</f>
        <v>プロデュース】  藤野良太　  高田雄貴　    </v>
      </c>
      <c r="V238" s="2" t="str">
        <f>IFERROR(__xludf.DUMMYFUNCTION("""COMPUTED_VALUE"""),"演出】  西谷弘　  加藤裕将　  宮木正悟　    ")</f>
        <v>演出】  西谷弘　  加藤裕将　  宮木正悟　    </v>
      </c>
      <c r="W238" s="2" t="str">
        <f>IFERROR(__xludf.DUMMYFUNCTION("""COMPUTED_VALUE"""),"制作】  フジテレビ")</f>
        <v>制作】  フジテレビ</v>
      </c>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row>
    <row r="239" ht="204.75" customHeight="1">
      <c r="A239" s="1">
        <v>1002.0</v>
      </c>
      <c r="B239" s="2" t="s">
        <v>758</v>
      </c>
      <c r="C239" s="2">
        <f>IFERROR(__xludf.DUMMYFUNCTION("split(B239,""_"")"),1710.0)</f>
        <v>1710</v>
      </c>
      <c r="D239" s="2" t="str">
        <f>IFERROR(__xludf.DUMMYFUNCTION("""COMPUTED_VALUE"""),"CX")</f>
        <v>CX</v>
      </c>
      <c r="E239" s="2" t="str">
        <f>IFERROR(__xludf.DUMMYFUNCTION("""COMPUTED_VALUE"""),"木22")</f>
        <v>木22</v>
      </c>
      <c r="F239" s="2" t="s">
        <v>759</v>
      </c>
      <c r="G239" s="2" t="s">
        <v>769</v>
      </c>
      <c r="H239" s="1">
        <v>4.0</v>
      </c>
      <c r="I239" s="1" t="s">
        <v>14</v>
      </c>
      <c r="J239" s="1" t="s">
        <v>86</v>
      </c>
      <c r="K239" s="2" t="s">
        <v>770</v>
      </c>
      <c r="L239" s="2" t="s">
        <v>771</v>
      </c>
      <c r="M239" s="2" t="str">
        <f>IFERROR(__xludf.DUMMYFUNCTION("split(K239,""【"",false)"),"ここだけの情報満載です。以下、是非ご覧ください!  ")</f>
        <v>ここだけの情報満載です。以下、是非ご覧ください!  </v>
      </c>
      <c r="N239" s="2" t="str">
        <f>IFERROR(__xludf.DUMMYFUNCTION("""COMPUTED_VALUE"""),"番組公式ホームページ】  http://www.fujitv.co.jp/yugami/　    ")</f>
        <v>番組公式ホームページ】  http://www.fujitv.co.jp/yugami/　    </v>
      </c>
      <c r="O239" s="2" t="str">
        <f>IFERROR(__xludf.DUMMYFUNCTION("""COMPUTED_VALUE"""),"番組公式ツイッター】  https://twitter.com/keiji_yugami　    ")</f>
        <v>番組公式ツイッター】  https://twitter.com/keiji_yugami　    </v>
      </c>
      <c r="P239" s="2" t="str">
        <f>IFERROR(__xludf.DUMMYFUNCTION("""COMPUTED_VALUE"""),"番組公式インスタグラム】  https://www.instagram.com/keiji_yugami/　  公式LINEもやっています!うきよ署強行犯係の弓神(浅野忠信)、羽生(神木隆之介)らは、完成間近のデザイナーズビルで起きた男性の転落死について調べ始める。死亡したのはこのビルの設計も手がけた建築士の大山昇(姜暢雄)。現場にいた警備員(前野朋哉)によれば、外階段で人が争う声が聞こえたため確認に行くと、そこに高遠建設の社員・堤祥子(高梨臨)と高遠玲奈(池端レイナ)がいたという。階段下にはすでに大山が"&amp;"倒れていたらしい。祥子と玲奈は同期。玲奈は、高遠建設の社長令嬢で、大山の婚約者でもあった。  菅能(稲森いずみ)たちが祥子と玲奈からそれぞれ事情を聞くと、2人の話は警備員の証言とも一致していた。祥子は、大山が玲奈と付き合う前に一晩だけ関係を持ったが、それ以来、大山のストーカー行為に苦しんでいた。祥子は、相談しても信じなかった玲奈に、ホテルでの写真を見せて、大山にストーカー行為を止めさせようとした。その際、大山は、玲奈に上階で待つよう頼み、祥子と2人だけで話そうとしたという。だが、争う声が聞こえたために玲奈"&amp;"が下に降りてみると、外階段の踊り場で大山が祥子を押さえつけて、祥子が大山を振り払った際にバランスを崩して転落したらしい。  正当防衛だと主張する祥子は「以前大山のストーカーに悩み警察に相談したのに、その時の交番の警官にまともに取り合ってもらえなかった」と怒り出す。実は当時応対をしたのは、交番勤務時代の羽生で…。弓神適当:　浅野忠信　  羽生虎夫:　神木隆之介　  氷川和美(ヒズミ):　山本美月　  多々木挙男:　仁科貴　  町尾守:　橋本淳  　・　  菅能理香:　稲森いずみ　    ほか")</f>
        <v>番組公式インスタグラム】  https://www.instagram.com/keiji_yugami/　  公式LINEもやっています!うきよ署強行犯係の弓神(浅野忠信)、羽生(神木隆之介)らは、完成間近のデザイナーズビルで起きた男性の転落死について調べ始める。死亡したのはこのビルの設計も手がけた建築士の大山昇(姜暢雄)。現場にいた警備員(前野朋哉)によれば、外階段で人が争う声が聞こえたため確認に行くと、そこに高遠建設の社員・堤祥子(高梨臨)と高遠玲奈(池端レイナ)がいたという。階段下にはすでに大山が倒れていたらしい。祥子と玲奈は同期。玲奈は、高遠建設の社長令嬢で、大山の婚約者でもあった。  菅能(稲森いずみ)たちが祥子と玲奈からそれぞれ事情を聞くと、2人の話は警備員の証言とも一致していた。祥子は、大山が玲奈と付き合う前に一晩だけ関係を持ったが、それ以来、大山のストーカー行為に苦しんでいた。祥子は、相談しても信じなかった玲奈に、ホテルでの写真を見せて、大山にストーカー行為を止めさせようとした。その際、大山は、玲奈に上階で待つよう頼み、祥子と2人だけで話そうとしたという。だが、争う声が聞こえたために玲奈が下に降りてみると、外階段の踊り場で大山が祥子を押さえつけて、祥子が大山を振り払った際にバランスを崩して転落したらしい。  正当防衛だと主張する祥子は「以前大山のストーカーに悩み警察に相談したのに、その時の交番の警官にまともに取り合ってもらえなかった」と怒り出す。実は当時応対をしたのは、交番勤務時代の羽生で…。弓神適当:　浅野忠信　  羽生虎夫:　神木隆之介　  氷川和美(ヒズミ):　山本美月　  多々木挙男:　仁科貴　  町尾守:　橋本淳  　・　  菅能理香:　稲森いずみ　    ほか</v>
      </c>
      <c r="Q239" s="2" t="str">
        <f>IFERROR(__xludf.DUMMYFUNCTION("""COMPUTED_VALUE"""),"原作】  井浦秀夫「刑事ゆがみ」(小学館「ビッグコミックオリジナル」連載中)　    ")</f>
        <v>原作】  井浦秀夫「刑事ゆがみ」(小学館「ビッグコミックオリジナル」連載中)　    </v>
      </c>
      <c r="R239" s="2" t="str">
        <f>IFERROR(__xludf.DUMMYFUNCTION("""COMPUTED_VALUE"""),"音楽】  菅野祐悟　    ")</f>
        <v>音楽】  菅野祐悟　    </v>
      </c>
      <c r="S239" s="2" t="str">
        <f>IFERROR(__xludf.DUMMYFUNCTION("""COMPUTED_VALUE"""),"主題歌】  WANIMA「ヒューマン」(unBORDE/Warner　Music　Japan)　    ")</f>
        <v>主題歌】  WANIMA「ヒューマン」(unBORDE/Warner　Music　Japan)　    </v>
      </c>
      <c r="T239" s="2" t="str">
        <f>IFERROR(__xludf.DUMMYFUNCTION("""COMPUTED_VALUE"""),"脚本】  倉光泰子　  大北はるか　  藤井清美　    ")</f>
        <v>脚本】  倉光泰子　  大北はるか　  藤井清美　    </v>
      </c>
      <c r="U239" s="2" t="str">
        <f>IFERROR(__xludf.DUMMYFUNCTION("""COMPUTED_VALUE"""),"プロデュース】  藤野良太　  高田雄貴　    ")</f>
        <v>プロデュース】  藤野良太　  高田雄貴　    </v>
      </c>
      <c r="V239" s="2" t="str">
        <f>IFERROR(__xludf.DUMMYFUNCTION("""COMPUTED_VALUE"""),"演出】  西谷弘　  加藤裕将　  宮木正悟　    ")</f>
        <v>演出】  西谷弘　  加藤裕将　  宮木正悟　    </v>
      </c>
      <c r="W239" s="2" t="str">
        <f>IFERROR(__xludf.DUMMYFUNCTION("""COMPUTED_VALUE"""),"制作】  フジテレビ")</f>
        <v>制作】  フジテレビ</v>
      </c>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row>
    <row r="240" ht="204.75" customHeight="1">
      <c r="A240" s="1">
        <v>1003.0</v>
      </c>
      <c r="B240" s="2" t="s">
        <v>758</v>
      </c>
      <c r="C240" s="2">
        <f>IFERROR(__xludf.DUMMYFUNCTION("split(B240,""_"")"),1710.0)</f>
        <v>1710</v>
      </c>
      <c r="D240" s="2" t="str">
        <f>IFERROR(__xludf.DUMMYFUNCTION("""COMPUTED_VALUE"""),"CX")</f>
        <v>CX</v>
      </c>
      <c r="E240" s="2" t="str">
        <f>IFERROR(__xludf.DUMMYFUNCTION("""COMPUTED_VALUE"""),"木22")</f>
        <v>木22</v>
      </c>
      <c r="F240" s="2" t="s">
        <v>759</v>
      </c>
      <c r="G240" s="2" t="s">
        <v>772</v>
      </c>
      <c r="H240" s="1">
        <v>5.0</v>
      </c>
      <c r="I240" s="1" t="s">
        <v>17</v>
      </c>
      <c r="J240" s="1" t="s">
        <v>86</v>
      </c>
      <c r="K240" s="2" t="s">
        <v>773</v>
      </c>
      <c r="L240" s="2" t="s">
        <v>774</v>
      </c>
      <c r="M240" s="2" t="str">
        <f>IFERROR(__xludf.DUMMYFUNCTION("split(K240,""【"",false)"),"ここだけの情報満載です。以下、是非ご覧ください!  ")</f>
        <v>ここだけの情報満載です。以下、是非ご覧ください!  </v>
      </c>
      <c r="N240" s="2" t="str">
        <f>IFERROR(__xludf.DUMMYFUNCTION("""COMPUTED_VALUE"""),"番組公式ホームページ】  http://www.fujitv.co.jp/yugami/　    ")</f>
        <v>番組公式ホームページ】  http://www.fujitv.co.jp/yugami/　    </v>
      </c>
      <c r="O240" s="2" t="str">
        <f>IFERROR(__xludf.DUMMYFUNCTION("""COMPUTED_VALUE"""),"番組公式ツイッター】  https://twitter.com/keiji_yugami　    ")</f>
        <v>番組公式ツイッター】  https://twitter.com/keiji_yugami　    </v>
      </c>
      <c r="P240" s="2" t="str">
        <f>IFERROR(__xludf.DUMMYFUNCTION("""COMPUTED_VALUE"""),"番組公式インスタグラム】  https://www.instagram.com/keiji_yugami/　  公式LINEもやっています!弓神(浅野忠信)と羽生(神木隆之介)は、花道署からの要請で誘拐事件の捜査に協力する。誘拐されたのは、前花道市長を父に持つ宇津巻京子(板谷由夏)と婿で市会議員の誠治(丸山智己)のひとり娘・真利奈(後藤由依良)。弓神に協力要請があったのは、誘拐現場にカタツムリのマークが残されていたからだった。7年前、花道署管内で起きた異質な殺人事件に関係する。事件が異質だったのは、事件内"&amp;"容が小説に酷似していたためで、小説「ロイコ」の名前を取って、ロイコ事件と呼ばれた。ロイコとは「ロイコクロリディウム」の略で、カタツムリに寄生し、脳まで支配する寄生虫のこと。「ロイコ」は、主人公が殺人鬼に寄生されて心を操られ、殺人を犯していくという物語だった。そして、現場にはカタツムリのマークが残されていた。「ロイコ」はベストセラーになったが、実は犯人は作者の横島不二実だった。横島は逮捕前に焼身自殺したが、彼を追い詰めたのが弓神だった。  弓神は、ヒズミ(山本美月)を麻薬の密売人だと偽り、羽生にマークさせる"&amp;"と単身で宇津巻邸へ。そこで花道署の刑事・久松(木下ほうか)と合流し「ロイコ」の発禁運動で先頭に立ったのが、前市長の宇津巻喜平だと知る。同じころ、テレビを見ていたヒズミは、誘拐事件の報道でカタツムリの絵を見た途端に動揺し、店を飛び出す。そんな中、誘拐犯から、京子と誠治に身代金を持って指定の場所に来るよう連絡が入り…。弓神適当:　浅野忠信　  羽生虎夫:　神木隆之介　  氷川和美(ヒズミ):　山本美月　  多々木挙男:　仁科貴　  町尾守:　橋本淳  　・　  菅能理香:　稲森いずみ　    ほか")</f>
        <v>番組公式インスタグラム】  https://www.instagram.com/keiji_yugami/　  公式LINEもやっています!弓神(浅野忠信)と羽生(神木隆之介)は、花道署からの要請で誘拐事件の捜査に協力する。誘拐されたのは、前花道市長を父に持つ宇津巻京子(板谷由夏)と婿で市会議員の誠治(丸山智己)のひとり娘・真利奈(後藤由依良)。弓神に協力要請があったのは、誘拐現場にカタツムリのマークが残されていたからだった。7年前、花道署管内で起きた異質な殺人事件に関係する。事件が異質だったのは、事件内容が小説に酷似していたためで、小説「ロイコ」の名前を取って、ロイコ事件と呼ばれた。ロイコとは「ロイコクロリディウム」の略で、カタツムリに寄生し、脳まで支配する寄生虫のこと。「ロイコ」は、主人公が殺人鬼に寄生されて心を操られ、殺人を犯していくという物語だった。そして、現場にはカタツムリのマークが残されていた。「ロイコ」はベストセラーになったが、実は犯人は作者の横島不二実だった。横島は逮捕前に焼身自殺したが、彼を追い詰めたのが弓神だった。  弓神は、ヒズミ(山本美月)を麻薬の密売人だと偽り、羽生にマークさせると単身で宇津巻邸へ。そこで花道署の刑事・久松(木下ほうか)と合流し「ロイコ」の発禁運動で先頭に立ったのが、前市長の宇津巻喜平だと知る。同じころ、テレビを見ていたヒズミは、誘拐事件の報道でカタツムリの絵を見た途端に動揺し、店を飛び出す。そんな中、誘拐犯から、京子と誠治に身代金を持って指定の場所に来るよう連絡が入り…。弓神適当:　浅野忠信　  羽生虎夫:　神木隆之介　  氷川和美(ヒズミ):　山本美月　  多々木挙男:　仁科貴　  町尾守:　橋本淳  　・　  菅能理香:　稲森いずみ　    ほか</v>
      </c>
      <c r="Q240" s="2" t="str">
        <f>IFERROR(__xludf.DUMMYFUNCTION("""COMPUTED_VALUE"""),"原作】  井浦秀夫「刑事ゆがみ」(小学館「ビッグコミックオリジナル」連載中)　    ")</f>
        <v>原作】  井浦秀夫「刑事ゆがみ」(小学館「ビッグコミックオリジナル」連載中)　    </v>
      </c>
      <c r="R240" s="2" t="str">
        <f>IFERROR(__xludf.DUMMYFUNCTION("""COMPUTED_VALUE"""),"音楽】  菅野祐悟　    ")</f>
        <v>音楽】  菅野祐悟　    </v>
      </c>
      <c r="S240" s="2" t="str">
        <f>IFERROR(__xludf.DUMMYFUNCTION("""COMPUTED_VALUE"""),"主題歌】  WANIMA「ヒューマン」(unBORDE/Warner　Music　Japan)　    ")</f>
        <v>主題歌】  WANIMA「ヒューマン」(unBORDE/Warner　Music　Japan)　    </v>
      </c>
      <c r="T240" s="2" t="str">
        <f>IFERROR(__xludf.DUMMYFUNCTION("""COMPUTED_VALUE"""),"脚本】  倉光泰子　  大北はるか　  藤井清美　    ")</f>
        <v>脚本】  倉光泰子　  大北はるか　  藤井清美　    </v>
      </c>
      <c r="U240" s="2" t="str">
        <f>IFERROR(__xludf.DUMMYFUNCTION("""COMPUTED_VALUE"""),"プロデュース】  藤野良太　  高田雄貴　    ")</f>
        <v>プロデュース】  藤野良太　  高田雄貴　    </v>
      </c>
      <c r="V240" s="2" t="str">
        <f>IFERROR(__xludf.DUMMYFUNCTION("""COMPUTED_VALUE"""),"演出】  西谷弘　  加藤裕将　  宮木正悟　    ")</f>
        <v>演出】  西谷弘　  加藤裕将　  宮木正悟　    </v>
      </c>
      <c r="W240" s="2" t="str">
        <f>IFERROR(__xludf.DUMMYFUNCTION("""COMPUTED_VALUE"""),"制作】  フジテレビ")</f>
        <v>制作】  フジテレビ</v>
      </c>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row>
    <row r="241" ht="204.75" customHeight="1">
      <c r="A241" s="1">
        <v>1004.0</v>
      </c>
      <c r="B241" s="2" t="s">
        <v>758</v>
      </c>
      <c r="C241" s="2">
        <f>IFERROR(__xludf.DUMMYFUNCTION("split(B241,""_"")"),1710.0)</f>
        <v>1710</v>
      </c>
      <c r="D241" s="2" t="str">
        <f>IFERROR(__xludf.DUMMYFUNCTION("""COMPUTED_VALUE"""),"CX")</f>
        <v>CX</v>
      </c>
      <c r="E241" s="2" t="str">
        <f>IFERROR(__xludf.DUMMYFUNCTION("""COMPUTED_VALUE"""),"木22")</f>
        <v>木22</v>
      </c>
      <c r="F241" s="2" t="s">
        <v>759</v>
      </c>
      <c r="G241" s="2" t="s">
        <v>775</v>
      </c>
      <c r="H241" s="1">
        <v>6.0</v>
      </c>
      <c r="I241" s="1" t="s">
        <v>21</v>
      </c>
      <c r="J241" s="1" t="s">
        <v>86</v>
      </c>
      <c r="K241" s="2" t="s">
        <v>776</v>
      </c>
      <c r="L241" s="2" t="s">
        <v>777</v>
      </c>
      <c r="M241" s="2" t="str">
        <f>IFERROR(__xludf.DUMMYFUNCTION("split(K241,""【"",false)"),"ここだけの情報満載です。以下、是非ご覧ください!  ")</f>
        <v>ここだけの情報満載です。以下、是非ご覧ください!  </v>
      </c>
      <c r="N241" s="2" t="str">
        <f>IFERROR(__xludf.DUMMYFUNCTION("""COMPUTED_VALUE"""),"番組公式ホームページ】  http://www.fujitv.co.jp/yugami/　    ")</f>
        <v>番組公式ホームページ】  http://www.fujitv.co.jp/yugami/　    </v>
      </c>
      <c r="O241" s="2" t="str">
        <f>IFERROR(__xludf.DUMMYFUNCTION("""COMPUTED_VALUE"""),"番組公式ツイッター】  https://twitter.com/keiji_yugami　    ")</f>
        <v>番組公式ツイッター】  https://twitter.com/keiji_yugami　    </v>
      </c>
      <c r="P241" s="2" t="str">
        <f>IFERROR(__xludf.DUMMYFUNCTION("""COMPUTED_VALUE"""),"番組公式インスタグラム】  https://www.instagram.com/keiji_yugami/　  公式LINEもやっています!弓神(浅野忠信)や羽生(神木隆之介)らは、総資産300億円を誇る青年実業家・貝取勝平(新田真剣佑)を狙った傷害事件を捜査する。事件は、貝取が来週オープンさせる予定だったプラネタリウムで起きた。貝取をプラネタリウムまで送り届けた運転手が、指示された通り深夜0時に迎えに行くと、彼が血を流して倒れていたという。貝取は、正面から刃物で刺されていた。また貝取は、サプライズ企画の"&amp;"準備でプラネタリムを訪れるとSNSに投稿していた。弓神と羽生は、意識を取り戻した貝取に会いに行く。だが貝取は、イヤホンで音楽を聴いていて振り向いたらいきなり刺されたため、犯人の顔は見ていないという。  強引な企業買収を繰り返す貝取は、多くの人間から恨みを買っていた。そのひとりが、望遠鏡メーカー「スタームーン」の創業者・星月亘(辻萬長)だ。事件現場のプラネタリウムもこの会社が携わっていたが、貝取が出資話を白紙に戻したせいで倒産し、星月の息子・晃介は借金苦で自殺していた。弓神たちが星月から話を聞くと、事件発生"&amp;"時刻は酒を飲んで寝ていたという。孫娘の光希(新井美羽)の証言も同じだった。その際羽生は、モンスターを集めて遊ぶゲームアプリ「モンコレ」がきっかけで光希と仲良くなる。そんな中、弓神たちは、貝取が「モンコレ」人気で急成長した「テンドーカンパニー」の買収も目論んでいたと知り、社長の天堂英里(MEGUMI)に会いに行くが…。弓神適当:　浅野忠信　  羽生虎夫:　神木隆之介　  氷川和美(ヒズミ):　山本美月　  多々木挙男:　仁科貴　  町尾守:　橋本淳  　・　  菅能理香:　稲森いずみ　    ほか")</f>
        <v>番組公式インスタグラム】  https://www.instagram.com/keiji_yugami/　  公式LINEもやっています!弓神(浅野忠信)や羽生(神木隆之介)らは、総資産300億円を誇る青年実業家・貝取勝平(新田真剣佑)を狙った傷害事件を捜査する。事件は、貝取が来週オープンさせる予定だったプラネタリウムで起きた。貝取をプラネタリウムまで送り届けた運転手が、指示された通り深夜0時に迎えに行くと、彼が血を流して倒れていたという。貝取は、正面から刃物で刺されていた。また貝取は、サプライズ企画の準備でプラネタリムを訪れるとSNSに投稿していた。弓神と羽生は、意識を取り戻した貝取に会いに行く。だが貝取は、イヤホンで音楽を聴いていて振り向いたらいきなり刺されたため、犯人の顔は見ていないという。  強引な企業買収を繰り返す貝取は、多くの人間から恨みを買っていた。そのひとりが、望遠鏡メーカー「スタームーン」の創業者・星月亘(辻萬長)だ。事件現場のプラネタリウムもこの会社が携わっていたが、貝取が出資話を白紙に戻したせいで倒産し、星月の息子・晃介は借金苦で自殺していた。弓神たちが星月から話を聞くと、事件発生時刻は酒を飲んで寝ていたという。孫娘の光希(新井美羽)の証言も同じだった。その際羽生は、モンスターを集めて遊ぶゲームアプリ「モンコレ」がきっかけで光希と仲良くなる。そんな中、弓神たちは、貝取が「モンコレ」人気で急成長した「テンドーカンパニー」の買収も目論んでいたと知り、社長の天堂英里(MEGUMI)に会いに行くが…。弓神適当:　浅野忠信　  羽生虎夫:　神木隆之介　  氷川和美(ヒズミ):　山本美月　  多々木挙男:　仁科貴　  町尾守:　橋本淳  　・　  菅能理香:　稲森いずみ　    ほか</v>
      </c>
      <c r="Q241" s="2" t="str">
        <f>IFERROR(__xludf.DUMMYFUNCTION("""COMPUTED_VALUE"""),"原作】  井浦秀夫「刑事ゆがみ」(小学館「ビッグコミックオリジナル」連載中)　    ")</f>
        <v>原作】  井浦秀夫「刑事ゆがみ」(小学館「ビッグコミックオリジナル」連載中)　    </v>
      </c>
      <c r="R241" s="2" t="str">
        <f>IFERROR(__xludf.DUMMYFUNCTION("""COMPUTED_VALUE"""),"音楽】  菅野祐悟　    ")</f>
        <v>音楽】  菅野祐悟　    </v>
      </c>
      <c r="S241" s="2" t="str">
        <f>IFERROR(__xludf.DUMMYFUNCTION("""COMPUTED_VALUE"""),"主題歌】  WANIMA「ヒューマン」(unBORDE/Warner　Music　Japan)　    ")</f>
        <v>主題歌】  WANIMA「ヒューマン」(unBORDE/Warner　Music　Japan)　    </v>
      </c>
      <c r="T241" s="2" t="str">
        <f>IFERROR(__xludf.DUMMYFUNCTION("""COMPUTED_VALUE"""),"脚本】  倉光泰子　  大北はるか　  藤井清美　    ")</f>
        <v>脚本】  倉光泰子　  大北はるか　  藤井清美　    </v>
      </c>
      <c r="U241" s="2" t="str">
        <f>IFERROR(__xludf.DUMMYFUNCTION("""COMPUTED_VALUE"""),"プロデュース】  藤野良太　  高田雄貴　    ")</f>
        <v>プロデュース】  藤野良太　  高田雄貴　    </v>
      </c>
      <c r="V241" s="2" t="str">
        <f>IFERROR(__xludf.DUMMYFUNCTION("""COMPUTED_VALUE"""),"演出】  西谷弘　  加藤裕将　  宮木正悟　    ")</f>
        <v>演出】  西谷弘　  加藤裕将　  宮木正悟　    </v>
      </c>
      <c r="W241" s="2" t="str">
        <f>IFERROR(__xludf.DUMMYFUNCTION("""COMPUTED_VALUE"""),"制作】  フジテレビ")</f>
        <v>制作】  フジテレビ</v>
      </c>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row>
    <row r="242" ht="204.75" customHeight="1">
      <c r="A242" s="1">
        <v>1005.0</v>
      </c>
      <c r="B242" s="2" t="s">
        <v>758</v>
      </c>
      <c r="C242" s="2">
        <f>IFERROR(__xludf.DUMMYFUNCTION("split(B242,""_"")"),1710.0)</f>
        <v>1710</v>
      </c>
      <c r="D242" s="2" t="str">
        <f>IFERROR(__xludf.DUMMYFUNCTION("""COMPUTED_VALUE"""),"CX")</f>
        <v>CX</v>
      </c>
      <c r="E242" s="2" t="str">
        <f>IFERROR(__xludf.DUMMYFUNCTION("""COMPUTED_VALUE"""),"木22")</f>
        <v>木22</v>
      </c>
      <c r="F242" s="2" t="s">
        <v>759</v>
      </c>
      <c r="G242" s="2" t="s">
        <v>778</v>
      </c>
      <c r="H242" s="1">
        <v>7.0</v>
      </c>
      <c r="I242" s="1" t="s">
        <v>25</v>
      </c>
      <c r="J242" s="1" t="s">
        <v>86</v>
      </c>
      <c r="K242" s="2" t="s">
        <v>779</v>
      </c>
      <c r="L242" s="2" t="s">
        <v>780</v>
      </c>
      <c r="M242" s="2" t="str">
        <f>IFERROR(__xludf.DUMMYFUNCTION("split(K242,""【"",false)"),"弓神(浅野忠信)や羽生(神木隆之介)らは、菅能(稲森いずみ)の親友・近江絵里子(りょう)が服毒死した事件を捜査する。前夜、大学時代の同窓会に出席した菅能は、そこで久しぶりに絵里子と再会していた。現在の彼女は一流デザイン会社の管理職で、来年にも10歳年下のイケメン実業家と結婚する予定だという。SNSにアップされた幸せそうな写真を見せられた菅能は「裏切り者。若い男になびきやがって」と言いながらも、彼女を祝福したばかりだった。  そんな絵里子が自宅マンションで死亡したのは菅能と別れた直後のことで、発見者は警察官"&amp;"だった。実は絵里子は、1カ月ほど前に300万円をひったくられており、その件で確認に来たのだという。死因は青酸カリによる服毒死と思われた。絵里子が自殺するはずはないと考えた菅能は、弓神たちに交友関係を徹底的に洗うよう指示した。すると、絵里子は左遷されたことがきっかけで、3カ月も前に会社を辞めていたことが判明。やがて、最近絵里子と親密だった三枝優里(早見あかり)に辿り着く。すると、絵里子には誰にも言えなかった秘密があることが発覚し…。弓神適当:　浅野忠信　  羽生虎夫:　神木隆之介　  氷川和美(ヒズミ):　"&amp;"山本美月　  多々木挙男:　仁科貴　  町尾守:　橋本淳  　・　  菅能理香:　稲森いずみ　    ほか")</f>
        <v>弓神(浅野忠信)や羽生(神木隆之介)らは、菅能(稲森いずみ)の親友・近江絵里子(りょう)が服毒死した事件を捜査する。前夜、大学時代の同窓会に出席した菅能は、そこで久しぶりに絵里子と再会していた。現在の彼女は一流デザイン会社の管理職で、来年にも10歳年下のイケメン実業家と結婚する予定だという。SNSにアップされた幸せそうな写真を見せられた菅能は「裏切り者。若い男になびきやがって」と言いながらも、彼女を祝福したばかりだった。  そんな絵里子が自宅マンションで死亡したのは菅能と別れた直後のことで、発見者は警察官だった。実は絵里子は、1カ月ほど前に300万円をひったくられており、その件で確認に来たのだという。死因は青酸カリによる服毒死と思われた。絵里子が自殺するはずはないと考えた菅能は、弓神たちに交友関係を徹底的に洗うよう指示した。すると、絵里子は左遷されたことがきっかけで、3カ月も前に会社を辞めていたことが判明。やがて、最近絵里子と親密だった三枝優里(早見あかり)に辿り着く。すると、絵里子には誰にも言えなかった秘密があることが発覚し…。弓神適当:　浅野忠信　  羽生虎夫:　神木隆之介　  氷川和美(ヒズミ):　山本美月　  多々木挙男:　仁科貴　  町尾守:　橋本淳  　・　  菅能理香:　稲森いずみ　    ほか</v>
      </c>
      <c r="N242" s="2" t="str">
        <f>IFERROR(__xludf.DUMMYFUNCTION("""COMPUTED_VALUE"""),"原作】  井浦秀夫「刑事ゆがみ」(小学館「ビッグコミックオリジナル」連載中)　    ")</f>
        <v>原作】  井浦秀夫「刑事ゆがみ」(小学館「ビッグコミックオリジナル」連載中)　    </v>
      </c>
      <c r="O242" s="2" t="str">
        <f>IFERROR(__xludf.DUMMYFUNCTION("""COMPUTED_VALUE"""),"音楽】  菅野祐悟　    ")</f>
        <v>音楽】  菅野祐悟　    </v>
      </c>
      <c r="P242" s="2" t="str">
        <f>IFERROR(__xludf.DUMMYFUNCTION("""COMPUTED_VALUE"""),"主題歌】  WANIMA「ヒューマン」(unBORDE/Warner　Music　Japan)　    ")</f>
        <v>主題歌】  WANIMA「ヒューマン」(unBORDE/Warner　Music　Japan)　    </v>
      </c>
      <c r="Q242" s="2" t="str">
        <f>IFERROR(__xludf.DUMMYFUNCTION("""COMPUTED_VALUE"""),"脚本】  倉光泰子　  大北はるか　  藤井清美　    ")</f>
        <v>脚本】  倉光泰子　  大北はるか　  藤井清美　    </v>
      </c>
      <c r="R242" s="2" t="str">
        <f>IFERROR(__xludf.DUMMYFUNCTION("""COMPUTED_VALUE"""),"プロデュース】  藤野良太　  高田雄貴　    ")</f>
        <v>プロデュース】  藤野良太　  高田雄貴　    </v>
      </c>
      <c r="S242" s="2" t="str">
        <f>IFERROR(__xludf.DUMMYFUNCTION("""COMPUTED_VALUE"""),"演出】  西谷弘　  加藤裕将　  宮木正悟　    ")</f>
        <v>演出】  西谷弘　  加藤裕将　  宮木正悟　    </v>
      </c>
      <c r="T242" s="2" t="str">
        <f>IFERROR(__xludf.DUMMYFUNCTION("""COMPUTED_VALUE"""),"制作】  フジテレビ")</f>
        <v>制作】  フジテレビ</v>
      </c>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row>
    <row r="243" ht="204.75" customHeight="1">
      <c r="A243" s="1">
        <v>1006.0</v>
      </c>
      <c r="B243" s="2" t="s">
        <v>758</v>
      </c>
      <c r="C243" s="2">
        <f>IFERROR(__xludf.DUMMYFUNCTION("split(B243,""_"")"),1710.0)</f>
        <v>1710</v>
      </c>
      <c r="D243" s="2" t="str">
        <f>IFERROR(__xludf.DUMMYFUNCTION("""COMPUTED_VALUE"""),"CX")</f>
        <v>CX</v>
      </c>
      <c r="E243" s="2" t="str">
        <f>IFERROR(__xludf.DUMMYFUNCTION("""COMPUTED_VALUE"""),"木22")</f>
        <v>木22</v>
      </c>
      <c r="F243" s="2" t="s">
        <v>759</v>
      </c>
      <c r="G243" s="2" t="s">
        <v>781</v>
      </c>
      <c r="H243" s="1">
        <v>8.0</v>
      </c>
      <c r="I243" s="1" t="s">
        <v>29</v>
      </c>
      <c r="J243" s="1" t="s">
        <v>86</v>
      </c>
      <c r="K243" s="2" t="s">
        <v>782</v>
      </c>
      <c r="L243" s="2" t="s">
        <v>783</v>
      </c>
      <c r="M243" s="2" t="str">
        <f>IFERROR(__xludf.DUMMYFUNCTION("split(K243,""【"",false)"),"好きだった競走馬の引退を知って落ち込む弓神(浅野忠信)は、憂さ晴らしに羽生(神木隆之介)を連れてキャバクラに行く。馬の話ばかりして呆れられる弓神とは対照的に、キャバクラ嬢のキララ(久松郁実)たちからおだてられ、調子に乗って酒を飲む羽生。そこに猿渡愛実(市川由衣)がやってくる。弓神は、かつて愛実を窃盗容疑で逮捕したことがあった。愛実は、すっかり犯罪からは足を洗い、児童養護施設にいる一人息子の実(吉沢太陽)と一緒に暮らすことを夢見て、キャバクラ嬢をしながら昼の仕事を探しているという。  それから数日後、愛実が"&amp;"高級マンションの敷地内で死体となって発見される。その手には180万円もの現金が握られていた。愛実は、このマンションで1人暮らしをしている元銀行員の資産家・沼田徹(小林隆)の部屋から現金を盗み、逃げようとした際にベランダから転落した可能性が高かった。ただ、現金が戻り、沼田も被害届は出さないと言っているため、今回の1件は事故扱いになるという。しかし弓神は、愛実が誰にも気づかれずに少額を盗むことから“透明人間""という異名を持っていたことや、彼女が弓神に窃盗に手を染めないと誓った様子から、彼女の死に不審を抱く。"&amp;"そんな中うきよ署強行犯係は、県警本部の須崎警視が指揮を執る高齢者を狙った詐欺事件の捜査に協力することになった。が、おとり捜査の最中、現金の受け子として現場に現れたのは…。弓神適当:　浅野忠信　  羽生虎夫:　神木隆之介　  氷川和美(ヒズミ):　山本美月　  多々木挙男:　仁科貴　  町尾守:　橋本淳  　・　  菅能理香:　稲森いずみ　    ほか")</f>
        <v>好きだった競走馬の引退を知って落ち込む弓神(浅野忠信)は、憂さ晴らしに羽生(神木隆之介)を連れてキャバクラに行く。馬の話ばかりして呆れられる弓神とは対照的に、キャバクラ嬢のキララ(久松郁実)たちからおだてられ、調子に乗って酒を飲む羽生。そこに猿渡愛実(市川由衣)がやってくる。弓神は、かつて愛実を窃盗容疑で逮捕したことがあった。愛実は、すっかり犯罪からは足を洗い、児童養護施設にいる一人息子の実(吉沢太陽)と一緒に暮らすことを夢見て、キャバクラ嬢をしながら昼の仕事を探しているという。  それから数日後、愛実が高級マンションの敷地内で死体となって発見される。その手には180万円もの現金が握られていた。愛実は、このマンションで1人暮らしをしている元銀行員の資産家・沼田徹(小林隆)の部屋から現金を盗み、逃げようとした際にベランダから転落した可能性が高かった。ただ、現金が戻り、沼田も被害届は出さないと言っているため、今回の1件は事故扱いになるという。しかし弓神は、愛実が誰にも気づかれずに少額を盗むことから“透明人間"という異名を持っていたことや、彼女が弓神に窃盗に手を染めないと誓った様子から、彼女の死に不審を抱く。そんな中うきよ署強行犯係は、県警本部の須崎警視が指揮を執る高齢者を狙った詐欺事件の捜査に協力することになった。が、おとり捜査の最中、現金の受け子として現場に現れたのは…。弓神適当:　浅野忠信　  羽生虎夫:　神木隆之介　  氷川和美(ヒズミ):　山本美月　  多々木挙男:　仁科貴　  町尾守:　橋本淳  　・　  菅能理香:　稲森いずみ　    ほか</v>
      </c>
      <c r="N243" s="2" t="str">
        <f>IFERROR(__xludf.DUMMYFUNCTION("""COMPUTED_VALUE"""),"原作】  井浦秀夫「刑事ゆがみ」(小学館「ビッグコミックオリジナル」連載中)　    ")</f>
        <v>原作】  井浦秀夫「刑事ゆがみ」(小学館「ビッグコミックオリジナル」連載中)　    </v>
      </c>
      <c r="O243" s="2" t="str">
        <f>IFERROR(__xludf.DUMMYFUNCTION("""COMPUTED_VALUE"""),"音楽】  菅野祐悟　    ")</f>
        <v>音楽】  菅野祐悟　    </v>
      </c>
      <c r="P243" s="2" t="str">
        <f>IFERROR(__xludf.DUMMYFUNCTION("""COMPUTED_VALUE"""),"主題歌】  WANIMA「ヒューマン」(unBORDE/Warner　Music　Japan)　    ")</f>
        <v>主題歌】  WANIMA「ヒューマン」(unBORDE/Warner　Music　Japan)　    </v>
      </c>
      <c r="Q243" s="2" t="str">
        <f>IFERROR(__xludf.DUMMYFUNCTION("""COMPUTED_VALUE"""),"脚本】  倉光泰子　  大北はるか　  藤井清美　    ")</f>
        <v>脚本】  倉光泰子　  大北はるか　  藤井清美　    </v>
      </c>
      <c r="R243" s="2" t="str">
        <f>IFERROR(__xludf.DUMMYFUNCTION("""COMPUTED_VALUE"""),"プロデュース】  藤野良太　  高田雄貴　    ")</f>
        <v>プロデュース】  藤野良太　  高田雄貴　    </v>
      </c>
      <c r="S243" s="2" t="str">
        <f>IFERROR(__xludf.DUMMYFUNCTION("""COMPUTED_VALUE"""),"演出】  西谷弘　  加藤裕将　  宮木正悟　    ")</f>
        <v>演出】  西谷弘　  加藤裕将　  宮木正悟　    </v>
      </c>
      <c r="T243" s="2" t="str">
        <f>IFERROR(__xludf.DUMMYFUNCTION("""COMPUTED_VALUE"""),"制作】  フジテレビ")</f>
        <v>制作】  フジテレビ</v>
      </c>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row>
    <row r="244" ht="204.75" customHeight="1">
      <c r="A244" s="1">
        <v>1007.0</v>
      </c>
      <c r="B244" s="2" t="s">
        <v>758</v>
      </c>
      <c r="C244" s="2">
        <f>IFERROR(__xludf.DUMMYFUNCTION("split(B244,""_"")"),1710.0)</f>
        <v>1710</v>
      </c>
      <c r="D244" s="2" t="str">
        <f>IFERROR(__xludf.DUMMYFUNCTION("""COMPUTED_VALUE"""),"CX")</f>
        <v>CX</v>
      </c>
      <c r="E244" s="2" t="str">
        <f>IFERROR(__xludf.DUMMYFUNCTION("""COMPUTED_VALUE"""),"木22")</f>
        <v>木22</v>
      </c>
      <c r="F244" s="2" t="s">
        <v>759</v>
      </c>
      <c r="G244" s="2" t="s">
        <v>784</v>
      </c>
      <c r="H244" s="1">
        <v>9.0</v>
      </c>
      <c r="I244" s="1" t="s">
        <v>33</v>
      </c>
      <c r="J244" s="1" t="s">
        <v>86</v>
      </c>
      <c r="K244" s="2" t="s">
        <v>785</v>
      </c>
      <c r="L244" s="2" t="s">
        <v>786</v>
      </c>
      <c r="M244" s="2" t="str">
        <f>IFERROR(__xludf.DUMMYFUNCTION("split(K244,""【"",false)"),"ここだけの情報満載です。以下、是非ご覧ください!  ")</f>
        <v>ここだけの情報満載です。以下、是非ご覧ください!  </v>
      </c>
      <c r="N244" s="2" t="str">
        <f>IFERROR(__xludf.DUMMYFUNCTION("""COMPUTED_VALUE"""),"番組公式ホームページ】  http://www.fujitv.co.jp/yugami/　    ")</f>
        <v>番組公式ホームページ】  http://www.fujitv.co.jp/yugami/　    </v>
      </c>
      <c r="O244" s="2" t="str">
        <f>IFERROR(__xludf.DUMMYFUNCTION("""COMPUTED_VALUE"""),"番組公式ツイッター】  https://twitter.com/keiji_yugami　    ")</f>
        <v>番組公式ツイッター】  https://twitter.com/keiji_yugami　    </v>
      </c>
      <c r="P244" s="2" t="str">
        <f>IFERROR(__xludf.DUMMYFUNCTION("""COMPUTED_VALUE"""),"番組公式インスタグラム】  https://www.instagram.com/keiji_yugami/　  公式LINEもやっています!資産家の元医師が自宅で変死体となって発見され、弓神(浅野忠信)や羽生(神木隆之介)らは現場へと急行する。被害者の薮田恒男(渡辺哲)は、熱湯が張られた風呂の中で、体に無数の傷やあざをつけられるという異様な方法で殺されていた。屋敷内の金庫の中身や高価な美術品は盗まれておらず、薮田の上着から「積年の恨み、ここに晴らす」と書かれたノートの切れ端が見つかっていたことからも、怨恨"&amp;"の線で捜査は進む。薮田家に通う家政婦で、死体の第一発見者でもある石崎春菜(二階堂ふみ)によれば、薮田は随分前に妻の波江(仁科亜季子)とも別れ、息子もすでに他界しているという。  そんな中、菅能(稲森いずみ)は「今回と似た事件を捜査した気がする」と言い出す。ほどなくそれは、横島不二実の未完小説『聖なる夜空にサンタが舞う』と酷似していたからだと気づく。横島は小説そっくりの殺人事件を自作自演した『ロイコ事件』の犯人であり、焼身自殺をとげた人物である。一方、『聖なる夜空～』は、度重なる親の虐待に苦しんだ息子が、失"&amp;"踪の後に復讐する物語で、劇中で父親は風呂場で死んでいた。薮田の息子・晴男(鹿間康秀)も、医学部受験に失敗したことを厳しく責められて家出をしており、戸籍上は認定死亡となっていた。息子の父に対する復讐なのか…だが、この一致に興奮気味の菅能や羽生とは対照的に、何故か弓神はやる気を見せず…。弓神適当:　浅野忠信　  羽生虎夫:　神木隆之介　  氷川和美(ヒズミ):　山本美月　  多々木挙男:　仁科貴　  町尾守:　橋本淳  　・　  菅能理香:　稲森いずみ　    ほか")</f>
        <v>番組公式インスタグラム】  https://www.instagram.com/keiji_yugami/　  公式LINEもやっています!資産家の元医師が自宅で変死体となって発見され、弓神(浅野忠信)や羽生(神木隆之介)らは現場へと急行する。被害者の薮田恒男(渡辺哲)は、熱湯が張られた風呂の中で、体に無数の傷やあざをつけられるという異様な方法で殺されていた。屋敷内の金庫の中身や高価な美術品は盗まれておらず、薮田の上着から「積年の恨み、ここに晴らす」と書かれたノートの切れ端が見つかっていたことからも、怨恨の線で捜査は進む。薮田家に通う家政婦で、死体の第一発見者でもある石崎春菜(二階堂ふみ)によれば、薮田は随分前に妻の波江(仁科亜季子)とも別れ、息子もすでに他界しているという。  そんな中、菅能(稲森いずみ)は「今回と似た事件を捜査した気がする」と言い出す。ほどなくそれは、横島不二実の未完小説『聖なる夜空にサンタが舞う』と酷似していたからだと気づく。横島は小説そっくりの殺人事件を自作自演した『ロイコ事件』の犯人であり、焼身自殺をとげた人物である。一方、『聖なる夜空～』は、度重なる親の虐待に苦しんだ息子が、失踪の後に復讐する物語で、劇中で父親は風呂場で死んでいた。薮田の息子・晴男(鹿間康秀)も、医学部受験に失敗したことを厳しく責められて家出をしており、戸籍上は認定死亡となっていた。息子の父に対する復讐なのか…だが、この一致に興奮気味の菅能や羽生とは対照的に、何故か弓神はやる気を見せず…。弓神適当:　浅野忠信　  羽生虎夫:　神木隆之介　  氷川和美(ヒズミ):　山本美月　  多々木挙男:　仁科貴　  町尾守:　橋本淳  　・　  菅能理香:　稲森いずみ　    ほか</v>
      </c>
      <c r="Q244" s="2" t="str">
        <f>IFERROR(__xludf.DUMMYFUNCTION("""COMPUTED_VALUE"""),"原作】  井浦秀夫「刑事ゆがみ」(小学館「ビッグコミックオリジナル」連載中)　    ")</f>
        <v>原作】  井浦秀夫「刑事ゆがみ」(小学館「ビッグコミックオリジナル」連載中)　    </v>
      </c>
      <c r="R244" s="2" t="str">
        <f>IFERROR(__xludf.DUMMYFUNCTION("""COMPUTED_VALUE"""),"音楽】  菅野祐悟　    ")</f>
        <v>音楽】  菅野祐悟　    </v>
      </c>
      <c r="S244" s="2" t="str">
        <f>IFERROR(__xludf.DUMMYFUNCTION("""COMPUTED_VALUE"""),"主題歌】  WANIMA「ヒューマン」(unBORDE/Warner　Music　Japan)　    ")</f>
        <v>主題歌】  WANIMA「ヒューマン」(unBORDE/Warner　Music　Japan)　    </v>
      </c>
      <c r="T244" s="2" t="str">
        <f>IFERROR(__xludf.DUMMYFUNCTION("""COMPUTED_VALUE"""),"脚本】  倉光泰子　  大北はるか　  藤井清美　    ")</f>
        <v>脚本】  倉光泰子　  大北はるか　  藤井清美　    </v>
      </c>
      <c r="U244" s="2" t="str">
        <f>IFERROR(__xludf.DUMMYFUNCTION("""COMPUTED_VALUE"""),"プロデュース】  藤野良太　  高田雄貴　    ")</f>
        <v>プロデュース】  藤野良太　  高田雄貴　    </v>
      </c>
      <c r="V244" s="2" t="str">
        <f>IFERROR(__xludf.DUMMYFUNCTION("""COMPUTED_VALUE"""),"演出】  西谷弘　  加藤裕将　  宮木正悟　    ")</f>
        <v>演出】  西谷弘　  加藤裕将　  宮木正悟　    </v>
      </c>
      <c r="W244" s="2" t="str">
        <f>IFERROR(__xludf.DUMMYFUNCTION("""COMPUTED_VALUE"""),"制作】  フジテレビ")</f>
        <v>制作】  フジテレビ</v>
      </c>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row>
    <row r="245" ht="204.75" customHeight="1">
      <c r="A245" s="1">
        <v>1008.0</v>
      </c>
      <c r="B245" s="2" t="s">
        <v>758</v>
      </c>
      <c r="C245" s="2">
        <f>IFERROR(__xludf.DUMMYFUNCTION("split(B245,""_"")"),1710.0)</f>
        <v>1710</v>
      </c>
      <c r="D245" s="2" t="str">
        <f>IFERROR(__xludf.DUMMYFUNCTION("""COMPUTED_VALUE"""),"CX")</f>
        <v>CX</v>
      </c>
      <c r="E245" s="2" t="str">
        <f>IFERROR(__xludf.DUMMYFUNCTION("""COMPUTED_VALUE"""),"木22")</f>
        <v>木22</v>
      </c>
      <c r="F245" s="2" t="s">
        <v>759</v>
      </c>
      <c r="G245" s="2" t="s">
        <v>787</v>
      </c>
      <c r="H245" s="1">
        <v>10.0</v>
      </c>
      <c r="I245" s="1" t="s">
        <v>37</v>
      </c>
      <c r="J245" s="1" t="s">
        <v>86</v>
      </c>
      <c r="K245" s="2" t="s">
        <v>788</v>
      </c>
      <c r="L245" s="2" t="s">
        <v>789</v>
      </c>
      <c r="M245" s="2" t="str">
        <f>IFERROR(__xludf.DUMMYFUNCTION("split(K245,""【"",false)"),"弓神(浅野忠信)は、ヒズミ(山本美月)が意識不明のまま収容された病院に現れたのを最後に、羽生(神木隆之介)たちの前から姿を消す。うきよ署では、ドライブレコーダーの映像などから、資産家の元医師・薮田恒男(渡辺哲)を殺害したのは、死んでいるはずの作家・横島不二実(オダギリジョー)であると断定し、捜査を開始する。横島は、7年前に自らの小説『ロイコ』になぞられた殺人事件を自演し、河合武(渋川清彦)・伊代(酒井美紀)夫妻を殺害していた。そのときに生き残ったひとり娘がヒズミだった。横島は、逮捕される直前に焼身自殺した"&amp;"はずだったが、その死は、弓神によって偽装された可能性が高かった。  それから数日後、ヒズミが突然病院からいなくなる。筆談用のボードには「もう元気になりました」という文字と、ロイコ事件で殺害現場に残されていたものと同じカタツムリのマークが描かれていた。同じころ、漫画喫茶にいた弓神は『ロイコの部屋』サイトで「空飛ぶサンタを見たい人募集。豪傑で強靭な男性優遇」という募集告知を見つける。横島が書いた小説『聖なる夜空にサンタが舞う』の中にも「豪傑で強靭な男たちがやってきて、その刑事を襲った」という描写があった。弓神"&amp;"の行方を追っていた羽生は、漫画喫茶でようやく彼の身柄を拘束する。そこで弓神は、横島がまだ犯行を続ける気でいることを羽生に告げた。「お前か俺のどっちかが狙われているんだよ」と。弓神適当:　浅野忠信　  羽生虎夫:　神木隆之介　  氷川和美(ヒズミ):　山本美月　  多々木挙男:　仁科貴　  町尾守:　橋本淳  　・　  菅能理香:　稲森いずみ　    ほか")</f>
        <v>弓神(浅野忠信)は、ヒズミ(山本美月)が意識不明のまま収容された病院に現れたのを最後に、羽生(神木隆之介)たちの前から姿を消す。うきよ署では、ドライブレコーダーの映像などから、資産家の元医師・薮田恒男(渡辺哲)を殺害したのは、死んでいるはずの作家・横島不二実(オダギリジョー)であると断定し、捜査を開始する。横島は、7年前に自らの小説『ロイコ』になぞられた殺人事件を自演し、河合武(渋川清彦)・伊代(酒井美紀)夫妻を殺害していた。そのときに生き残ったひとり娘がヒズミだった。横島は、逮捕される直前に焼身自殺したはずだったが、その死は、弓神によって偽装された可能性が高かった。  それから数日後、ヒズミが突然病院からいなくなる。筆談用のボードには「もう元気になりました」という文字と、ロイコ事件で殺害現場に残されていたものと同じカタツムリのマークが描かれていた。同じころ、漫画喫茶にいた弓神は『ロイコの部屋』サイトで「空飛ぶサンタを見たい人募集。豪傑で強靭な男性優遇」という募集告知を見つける。横島が書いた小説『聖なる夜空にサンタが舞う』の中にも「豪傑で強靭な男たちがやってきて、その刑事を襲った」という描写があった。弓神の行方を追っていた羽生は、漫画喫茶でようやく彼の身柄を拘束する。そこで弓神は、横島がまだ犯行を続ける気でいることを羽生に告げた。「お前か俺のどっちかが狙われているんだよ」と。弓神適当:　浅野忠信　  羽生虎夫:　神木隆之介　  氷川和美(ヒズミ):　山本美月　  多々木挙男:　仁科貴　  町尾守:　橋本淳  　・　  菅能理香:　稲森いずみ　    ほか</v>
      </c>
      <c r="N245" s="2" t="str">
        <f>IFERROR(__xludf.DUMMYFUNCTION("""COMPUTED_VALUE"""),"原作】  井浦秀夫「刑事ゆがみ」(小学館「ビッグコミックオリジナル」連載中)　    ")</f>
        <v>原作】  井浦秀夫「刑事ゆがみ」(小学館「ビッグコミックオリジナル」連載中)　    </v>
      </c>
      <c r="O245" s="2" t="str">
        <f>IFERROR(__xludf.DUMMYFUNCTION("""COMPUTED_VALUE"""),"音楽】  菅野祐悟　    ")</f>
        <v>音楽】  菅野祐悟　    </v>
      </c>
      <c r="P245" s="2" t="str">
        <f>IFERROR(__xludf.DUMMYFUNCTION("""COMPUTED_VALUE"""),"主題歌】  WANIMA「ヒューマン」(unBORDE/Warner　Music　Japan)　    ")</f>
        <v>主題歌】  WANIMA「ヒューマン」(unBORDE/Warner　Music　Japan)　    </v>
      </c>
      <c r="Q245" s="2" t="str">
        <f>IFERROR(__xludf.DUMMYFUNCTION("""COMPUTED_VALUE"""),"脚本】  倉光泰子　  大北はるか　  藤井清美　    ")</f>
        <v>脚本】  倉光泰子　  大北はるか　  藤井清美　    </v>
      </c>
      <c r="R245" s="2" t="str">
        <f>IFERROR(__xludf.DUMMYFUNCTION("""COMPUTED_VALUE"""),"プロデュース】  藤野良太　  高田雄貴　    ")</f>
        <v>プロデュース】  藤野良太　  高田雄貴　    </v>
      </c>
      <c r="S245" s="2" t="str">
        <f>IFERROR(__xludf.DUMMYFUNCTION("""COMPUTED_VALUE"""),"演出】  西谷弘　  加藤裕将　  宮木正悟　    ")</f>
        <v>演出】  西谷弘　  加藤裕将　  宮木正悟　    </v>
      </c>
      <c r="T245" s="2" t="str">
        <f>IFERROR(__xludf.DUMMYFUNCTION("""COMPUTED_VALUE"""),"制作】  フジテレビ")</f>
        <v>制作】  フジテレビ</v>
      </c>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row>
    <row r="246" ht="204.75" customHeight="1">
      <c r="A246" s="1">
        <v>1066.0</v>
      </c>
      <c r="B246" s="2" t="s">
        <v>790</v>
      </c>
      <c r="C246" s="2">
        <f>IFERROR(__xludf.DUMMYFUNCTION("split(B246,""_"")"),1707.0)</f>
        <v>1707</v>
      </c>
      <c r="D246" s="2" t="str">
        <f>IFERROR(__xludf.DUMMYFUNCTION("""COMPUTED_VALUE"""),"CX")</f>
        <v>CX</v>
      </c>
      <c r="E246" s="2" t="str">
        <f>IFERROR(__xludf.DUMMYFUNCTION("""COMPUTED_VALUE"""),"火21")</f>
        <v>火21</v>
      </c>
      <c r="F246" s="2" t="s">
        <v>791</v>
      </c>
      <c r="G246" s="2" t="s">
        <v>792</v>
      </c>
      <c r="H246" s="1">
        <v>1.0</v>
      </c>
      <c r="I246" s="1" t="s">
        <v>3</v>
      </c>
      <c r="J246" s="1" t="s">
        <v>4</v>
      </c>
      <c r="K246" s="2" t="s">
        <v>793</v>
      </c>
      <c r="L246" s="2" t="s">
        <v>794</v>
      </c>
      <c r="M246" s="2" t="str">
        <f>IFERROR(__xludf.DUMMYFUNCTION("split(K246,""窪田正孝　"",false)"),"凡下(ぼけ)高校2年生の増渕トビオ(窪田正孝)は、大それた夢は持たず“そこそこで生きられればいい""と考えるイマドキの高校生。新しい彼女・新里今宵(川栄李奈)ができて浮かれている同級生の伊佐美翔(間宮祥太朗)や、“マル""こと丸山友貴(葉山奨之)、“パイセン""こと凡下高OBの小坂秀郎(今野浩喜)と、ボウリングやカラオケに興じる、そこそこ楽しい日々を送っていた。  　そんななか、ヤンキーの巣窟として知られる矢波(やば)高の市橋哲人(新田真剣佑)が仲間に指示し、凡下高の生徒を暴行する事件が頻発。警察も捜査に"&amp;"乗り出し、刑事の飯室成男(三浦翔平)らが動き出す深刻な事態に。トビオたちの担任教師・立花菜摘(水川あさみ)は気をもんでいた。  　ある日、トビオとマルは、矢波高のヤンキーたちが暴力を振るう現場に遭遇。マルが小声で「矢波高全員死ねー!」と毒づいたのを市橋に聞かれてしまって怒りを買い、目をつけられてしまう。  　一方トビオは、幼なじみの蒼川蓮子(永野芽郁)が、市橋と一緒に朝帰りする姿を目撃し、2人の仲が気になり…。  　そしてある日、事件が起こった。マルが市橋のグループに捕まり、ボコボコにされてしまったのだ。"&amp;"血まみれの痛々しいマルにうろたえるトビオ、伊佐美、パイセンの3人。これをあざ笑う市橋たちに怒りがこみ上げたトビオは復讐を誓う。翌日、トビオたちはイタズラ半分で矢波高への復讐計画を思いつき…。")</f>
        <v>凡下(ぼけ)高校2年生の増渕トビオ(窪田正孝)は、大それた夢は持たず“そこそこで生きられればいい"と考えるイマドキの高校生。新しい彼女・新里今宵(川栄李奈)ができて浮かれている同級生の伊佐美翔(間宮祥太朗)や、“マル"こと丸山友貴(葉山奨之)、“パイセン"こと凡下高OBの小坂秀郎(今野浩喜)と、ボウリングやカラオケに興じる、そこそこ楽しい日々を送っていた。  　そんななか、ヤンキーの巣窟として知られる矢波(やば)高の市橋哲人(新田真剣佑)が仲間に指示し、凡下高の生徒を暴行する事件が頻発。警察も捜査に乗り出し、刑事の飯室成男(三浦翔平)らが動き出す深刻な事態に。トビオたちの担任教師・立花菜摘(水川あさみ)は気をもんでいた。  　ある日、トビオとマルは、矢波高のヤンキーたちが暴力を振るう現場に遭遇。マルが小声で「矢波高全員死ねー!」と毒づいたのを市橋に聞かれてしまって怒りを買い、目をつけられてしまう。  　一方トビオは、幼なじみの蒼川蓮子(永野芽郁)が、市橋と一緒に朝帰りする姿を目撃し、2人の仲が気になり…。  　そしてある日、事件が起こった。マルが市橋のグループに捕まり、ボコボコにされてしまったのだ。血まみれの痛々しいマルにうろたえるトビオ、伊佐美、パイセンの3人。これをあざ笑う市橋たちに怒りがこみ上げたトビオは復讐を誓う。翌日、トビオたちはイタズラ半分で矢波高への復讐計画を思いつき…。</v>
      </c>
      <c r="N246" s="2" t="str">
        <f>IFERROR(__xludf.DUMMYFUNCTION("""COMPUTED_VALUE"""),"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https://www"&amp;".ktv.jp/bokuyari/index.html")</f>
        <v>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v>
      </c>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row>
    <row r="247" ht="204.75" customHeight="1">
      <c r="A247" s="1">
        <v>1067.0</v>
      </c>
      <c r="B247" s="2" t="s">
        <v>790</v>
      </c>
      <c r="C247" s="2">
        <f>IFERROR(__xludf.DUMMYFUNCTION("split(B247,""_"")"),1707.0)</f>
        <v>1707</v>
      </c>
      <c r="D247" s="2" t="str">
        <f>IFERROR(__xludf.DUMMYFUNCTION("""COMPUTED_VALUE"""),"CX")</f>
        <v>CX</v>
      </c>
      <c r="E247" s="2" t="str">
        <f>IFERROR(__xludf.DUMMYFUNCTION("""COMPUTED_VALUE"""),"火21")</f>
        <v>火21</v>
      </c>
      <c r="F247" s="2" t="s">
        <v>791</v>
      </c>
      <c r="G247" s="2" t="s">
        <v>795</v>
      </c>
      <c r="H247" s="1">
        <v>2.0</v>
      </c>
      <c r="I247" s="1" t="s">
        <v>7</v>
      </c>
      <c r="J247" s="1" t="s">
        <v>11</v>
      </c>
      <c r="K247" s="2" t="s">
        <v>796</v>
      </c>
      <c r="L247" s="2" t="s">
        <v>797</v>
      </c>
      <c r="M247" s="2" t="str">
        <f>IFERROR(__xludf.DUMMYFUNCTION("split(K247,""窪田正孝　"",false)"),"トビオ(窪田正孝)伊佐美(間宮祥太朗)マル(葉山奨之)パイセン(今野浩喜)がイタズラ半分で矢波(やば)高に仕掛けた爆弾が思わぬ大爆発を起こし、10名の死者が出る惨事に。  　不良たちのリーダー・市橋(新田真剣佑)も死亡したと、蓮子(永野芽郁)から聞かされたトビオは動揺。一方のパイセンは、仕掛けた爆弾に大爆発を起こす威力はないため、別の何者かの仕業に違いないと言い出す。  　警察はテロの可能性も含めた爆破事件として捜査を開始。そんななか、矢波高の教師・熊野直矢(森田甘路)が犯人を見たと名乗り出て…。  　翌"&amp;"日、矢波高生とマルのトラブルを知った刑事の飯室(三浦翔平)らが凡下(ぼけ)高に現れ、担任の菜摘(水川あさみ)に事情を聞く。菜摘は凡下高生の関与を否定するが、事件の前夜に矢波高から出てくるトビオらを見ていただけに、疑念が拭えない。  　一方、捜査の手が自分たちに及ぶことに不安を募らせるトビオは、パイセンに、自分たちが仕掛けた爆弾と、大爆発が無関係のはずがない、と説明。ようやく深刻な状況を悟ったパイセンは、トビオ、伊佐美、マルそれぞれに300万円を渡し、事件について一切口をつぐむよう言い含める。  　真相を知"&amp;"るのは4人だけで、何も無かったことにすればこれまでの日常を取り戻せるー。パイセンの提案をのみ「何も無かったぁ!!!」と盛り上がるトビオたち。その時、とんでもないニュースが舞い込んで…?")</f>
        <v>トビオ(窪田正孝)伊佐美(間宮祥太朗)マル(葉山奨之)パイセン(今野浩喜)がイタズラ半分で矢波(やば)高に仕掛けた爆弾が思わぬ大爆発を起こし、10名の死者が出る惨事に。  　不良たちのリーダー・市橋(新田真剣佑)も死亡したと、蓮子(永野芽郁)から聞かされたトビオは動揺。一方のパイセンは、仕掛けた爆弾に大爆発を起こす威力はないため、別の何者かの仕業に違いないと言い出す。  　警察はテロの可能性も含めた爆破事件として捜査を開始。そんななか、矢波高の教師・熊野直矢(森田甘路)が犯人を見たと名乗り出て…。  　翌日、矢波高生とマルのトラブルを知った刑事の飯室(三浦翔平)らが凡下(ぼけ)高に現れ、担任の菜摘(水川あさみ)に事情を聞く。菜摘は凡下高生の関与を否定するが、事件の前夜に矢波高から出てくるトビオらを見ていただけに、疑念が拭えない。  　一方、捜査の手が自分たちに及ぶことに不安を募らせるトビオは、パイセンに、自分たちが仕掛けた爆弾と、大爆発が無関係のはずがない、と説明。ようやく深刻な状況を悟ったパイセンは、トビオ、伊佐美、マルそれぞれに300万円を渡し、事件について一切口をつぐむよう言い含める。  　真相を知るのは4人だけで、何も無かったことにすればこれまでの日常を取り戻せるー。パイセンの提案をのみ「何も無かったぁ!!!」と盛り上がるトビオたち。その時、とんでもないニュースが舞い込んで…?</v>
      </c>
      <c r="N247" s="2" t="str">
        <f>IFERROR(__xludf.DUMMYFUNCTION("""COMPUTED_VALUE"""),"  永野芽郁　  新田真剣佑　    間宮祥太朗　  葉山奨之　  今野浩喜　  川栄李奈　  岡崎紗絵　    板尾創路　    榊原郁恵　  水川あさみ　  三浦翔平　  古田新太　    ほか【原作】  『僕たちがやりました』(講談社「ヤングマガジン」刊)　  〈原作〉金城宗之　  〈漫画〉荒木光　    【脚本】  徳永友一　    【演出】  新城毅彦　  瑠東東一郎　    他　    【プロデュース】  米田孝　  平部隆明　  白石裕菜「僕やり」情報満載の公式ホームページはこちら!　  h"&amp;"ttps://www.ktv.jp/bokuyari/index.html")</f>
        <v>  永野芽郁　  新田真剣佑　    間宮祥太朗　  葉山奨之　  今野浩喜　  川栄李奈　  岡崎紗絵　    板尾創路　    榊原郁恵　  水川あさみ　  三浦翔平　  古田新太　    ほか【原作】  『僕たちがやりました』(講談社「ヤングマガジン」刊)　  〈原作〉金城宗之　  〈漫画〉荒木光　    【脚本】  徳永友一　    【演出】  新城毅彦　  瑠東東一郎　    他　    【プロデュース】  米田孝　  平部隆明　  白石裕菜「僕やり」情報満載の公式ホームページはこちら!　  https://www.ktv.jp/bokuyari/index.html</v>
      </c>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row>
    <row r="248" ht="204.75" customHeight="1">
      <c r="A248" s="1">
        <v>1068.0</v>
      </c>
      <c r="B248" s="2" t="s">
        <v>790</v>
      </c>
      <c r="C248" s="2">
        <f>IFERROR(__xludf.DUMMYFUNCTION("split(B248,""_"")"),1707.0)</f>
        <v>1707</v>
      </c>
      <c r="D248" s="2" t="str">
        <f>IFERROR(__xludf.DUMMYFUNCTION("""COMPUTED_VALUE"""),"CX")</f>
        <v>CX</v>
      </c>
      <c r="E248" s="2" t="str">
        <f>IFERROR(__xludf.DUMMYFUNCTION("""COMPUTED_VALUE"""),"火21")</f>
        <v>火21</v>
      </c>
      <c r="F248" s="2" t="s">
        <v>791</v>
      </c>
      <c r="G248" s="2" t="s">
        <v>798</v>
      </c>
      <c r="H248" s="1">
        <v>3.0</v>
      </c>
      <c r="I248" s="1" t="s">
        <v>10</v>
      </c>
      <c r="J248" s="1" t="s">
        <v>11</v>
      </c>
      <c r="K248" s="2" t="s">
        <v>799</v>
      </c>
      <c r="L248" s="2" t="s">
        <v>800</v>
      </c>
      <c r="M248" s="2" t="str">
        <f>IFERROR(__xludf.DUMMYFUNCTION("split(K248,""窪田正孝　"",false)"),"罪の発覚を恐れてパイセン(今野浩喜)とマル(葉山奨之)と共に海外逃亡を図ろうとするも、目の前でパイセンが警察に逮捕され、空港から逃げ出したトビオ(窪田正孝)。だが、自分も捕まるのではないかとおびえ、学校にも行けず家にも帰れない。  　まもなく、空港に現れなかったマルから電話が入る。最初から2人との約束をすっぽかすつもりだったと、許しを請うマルを呼び出したトビオは、一緒に逃げようと提案。さらに、どうせ捕まるのなら、“死ぬまでにやりたいこと""を実現しようと持ちかける。  　同じ頃、パイセンは警察で飯室(三浦"&amp;"翔平)の取り調べを受けていた。飯室は矢波高の教師・熊野(森田甘路)の証言などから、共犯者がいると確信。パイセンを厳しく問い詰める。  　病院では、爆発で重傷を負った市橋(新田真剣佑)がリハビリに励んでいた。犯人とにらむトビオらへの復讐を誓う市橋は「早く見つけてこい」と仲間に命じて…。一方「やりたいこと」を実現しようと、夜の歓楽街に繰り出すトビオとマル。2人は、初めての世界に大興奮するのだが、翌朝、トビオをがく然とさせるまさかの事態が起こる。  　その夜、トビオはある目的で凡下高に忍び込むが、担任の菜摘(水"&amp;"川あさみ)に見つかってしまう。蓮子(永野芽郁)が心配している、と聞かされて動揺するトビオ。そんななか、菜摘が「爆破事件と関係しているのかも…」と、事件前夜の熊野の不審な行動を話し始める。")</f>
        <v>罪の発覚を恐れてパイセン(今野浩喜)とマル(葉山奨之)と共に海外逃亡を図ろうとするも、目の前でパイセンが警察に逮捕され、空港から逃げ出したトビオ(窪田正孝)。だが、自分も捕まるのではないかとおびえ、学校にも行けず家にも帰れない。  　まもなく、空港に現れなかったマルから電話が入る。最初から2人との約束をすっぽかすつもりだったと、許しを請うマルを呼び出したトビオは、一緒に逃げようと提案。さらに、どうせ捕まるのなら、“死ぬまでにやりたいこと"を実現しようと持ちかける。  　同じ頃、パイセンは警察で飯室(三浦翔平)の取り調べを受けていた。飯室は矢波高の教師・熊野(森田甘路)の証言などから、共犯者がいると確信。パイセンを厳しく問い詰める。  　病院では、爆発で重傷を負った市橋(新田真剣佑)がリハビリに励んでいた。犯人とにらむトビオらへの復讐を誓う市橋は「早く見つけてこい」と仲間に命じて…。一方「やりたいこと」を実現しようと、夜の歓楽街に繰り出すトビオとマル。2人は、初めての世界に大興奮するのだが、翌朝、トビオをがく然とさせるまさかの事態が起こる。  　その夜、トビオはある目的で凡下高に忍び込むが、担任の菜摘(水川あさみ)に見つかってしまう。蓮子(永野芽郁)が心配している、と聞かされて動揺するトビオ。そんななか、菜摘が「爆破事件と関係しているのかも…」と、事件前夜の熊野の不審な行動を話し始める。</v>
      </c>
      <c r="N248" s="2" t="str">
        <f>IFERROR(__xludf.DUMMYFUNCTION("""COMPUTED_VALUE"""),"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https://www"&amp;".ktv.jp/bokuyari/index.html")</f>
        <v>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v>
      </c>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row>
    <row r="249" ht="204.75" customHeight="1">
      <c r="A249" s="1">
        <v>1069.0</v>
      </c>
      <c r="B249" s="2" t="s">
        <v>790</v>
      </c>
      <c r="C249" s="2">
        <f>IFERROR(__xludf.DUMMYFUNCTION("split(B249,""_"")"),1707.0)</f>
        <v>1707</v>
      </c>
      <c r="D249" s="2" t="str">
        <f>IFERROR(__xludf.DUMMYFUNCTION("""COMPUTED_VALUE"""),"CX")</f>
        <v>CX</v>
      </c>
      <c r="E249" s="2" t="str">
        <f>IFERROR(__xludf.DUMMYFUNCTION("""COMPUTED_VALUE"""),"火21")</f>
        <v>火21</v>
      </c>
      <c r="F249" s="2" t="s">
        <v>791</v>
      </c>
      <c r="G249" s="2" t="s">
        <v>801</v>
      </c>
      <c r="H249" s="1">
        <v>4.0</v>
      </c>
      <c r="I249" s="1" t="s">
        <v>14</v>
      </c>
      <c r="J249" s="1" t="s">
        <v>11</v>
      </c>
      <c r="K249" s="2" t="s">
        <v>802</v>
      </c>
      <c r="L249" s="2" t="s">
        <v>803</v>
      </c>
      <c r="M249" s="2" t="str">
        <f>IFERROR(__xludf.DUMMYFUNCTION("split(K249,""窪田正孝　"",false)"),"今宵(川栄李奈)のアパートに伊佐美(間宮祥太朗)と身を隠すも、市橋(新田真剣佑)と仲間たちに捕まってしまったトビオ(窪田正孝)。  爆破事件で負った大ケガがもとで体の自由を奪われた市橋は、その恨みを晴らすため、仲間にトビオを襲わせようとするが、トビオは隙を突いて逃げ出す。    そんな中、蓮子(永野芽郁)からの『今から会えない?』というメッセージに気付くトビオ。  菜摘(水川あさみ)の話をヒントにつかんだ、「矢波高の教師・熊野(森田甘路)こそが爆破の真犯人だ」という疑惑を蓮子に全て話そうと、指定された待ち"&amp;"合わせ場所に向かうが、そこには刑事の飯室(三浦翔平)と話す蓮子の姿が…。    同じ頃、トビオの金を奪って姿を消したマル(葉山奨之)は熱海に逃れていた。  大金を手にしたのをいいことに夜の街で豪遊するマルは、店で知り合った女性に入れあげ、湯水のように金を使っていた…。    また事件の直後から行方をくらましているトビオ、伊佐美、マルを刑事の飯室は共犯者だと確信、パイセン(今野浩喜)への追及を強めていた。  そんななか、弁護士の西塚智広(板尾創路)がパイセンのもとに現れて…。    一方、はぐれていた伊佐美"&amp;"と再会したトビオは、熊野への疑惑を話す。  自分たちの無実を証明するためには、熊野の犯行の証拠をつかむしかない!と息巻く2人は、留守を狙って熊野の家に侵入。  そこで、とんでもないものを見つけて…!?")</f>
        <v>今宵(川栄李奈)のアパートに伊佐美(間宮祥太朗)と身を隠すも、市橋(新田真剣佑)と仲間たちに捕まってしまったトビオ(窪田正孝)。  爆破事件で負った大ケガがもとで体の自由を奪われた市橋は、その恨みを晴らすため、仲間にトビオを襲わせようとするが、トビオは隙を突いて逃げ出す。    そんな中、蓮子(永野芽郁)からの『今から会えない?』というメッセージに気付くトビオ。  菜摘(水川あさみ)の話をヒントにつかんだ、「矢波高の教師・熊野(森田甘路)こそが爆破の真犯人だ」という疑惑を蓮子に全て話そうと、指定された待ち合わせ場所に向かうが、そこには刑事の飯室(三浦翔平)と話す蓮子の姿が…。    同じ頃、トビオの金を奪って姿を消したマル(葉山奨之)は熱海に逃れていた。  大金を手にしたのをいいことに夜の街で豪遊するマルは、店で知り合った女性に入れあげ、湯水のように金を使っていた…。    また事件の直後から行方をくらましているトビオ、伊佐美、マルを刑事の飯室は共犯者だと確信、パイセン(今野浩喜)への追及を強めていた。  そんななか、弁護士の西塚智広(板尾創路)がパイセンのもとに現れて…。    一方、はぐれていた伊佐美と再会したトビオは、熊野への疑惑を話す。  自分たちの無実を証明するためには、熊野の犯行の証拠をつかむしかない!と息巻く2人は、留守を狙って熊野の家に侵入。  そこで、とんでもないものを見つけて…!?</v>
      </c>
      <c r="N249" s="2" t="str">
        <f>IFERROR(__xludf.DUMMYFUNCTION("""COMPUTED_VALUE"""),"  永野芽郁　  新田真剣佑　    間宮祥太朗　  葉山奨之　  今野浩喜　  川栄李奈　  岡崎紗絵　    板尾創路　    榊原郁恵　  水川あさみ　  三浦翔平　  古田新太　    ほか【原作】  金城宗幸　    【漫画】  荒木光　    【脚本】  徳永友一　    【演出】  新城毅彦　  瑠東東一郎　    【プロデューサー】  米田孝(関西テレビ)　  平部隆明(ホリプロ)　  白石裕菜(ホリプロ)　    【制作著作】  関西テレビ「僕やり」情報満載の公式ホームページはこちら!　"&amp;"  https://www.ktv.jp/bokuyari/index.html")</f>
        <v>  永野芽郁　  新田真剣佑　    間宮祥太朗　  葉山奨之　  今野浩喜　  川栄李奈　  岡崎紗絵　    板尾創路　    榊原郁恵　  水川あさみ　  三浦翔平　  古田新太　    ほか【原作】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v>
      </c>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row>
    <row r="250" ht="204.75" customHeight="1">
      <c r="A250" s="1">
        <v>1070.0</v>
      </c>
      <c r="B250" s="2" t="s">
        <v>790</v>
      </c>
      <c r="C250" s="2">
        <f>IFERROR(__xludf.DUMMYFUNCTION("split(B250,""_"")"),1707.0)</f>
        <v>1707</v>
      </c>
      <c r="D250" s="2" t="str">
        <f>IFERROR(__xludf.DUMMYFUNCTION("""COMPUTED_VALUE"""),"CX")</f>
        <v>CX</v>
      </c>
      <c r="E250" s="2" t="str">
        <f>IFERROR(__xludf.DUMMYFUNCTION("""COMPUTED_VALUE"""),"火21")</f>
        <v>火21</v>
      </c>
      <c r="F250" s="2" t="s">
        <v>791</v>
      </c>
      <c r="G250" s="2" t="s">
        <v>804</v>
      </c>
      <c r="H250" s="1">
        <v>5.0</v>
      </c>
      <c r="I250" s="1" t="s">
        <v>17</v>
      </c>
      <c r="J250" s="1" t="s">
        <v>11</v>
      </c>
      <c r="K250" s="2" t="s">
        <v>805</v>
      </c>
      <c r="L250" s="2" t="s">
        <v>806</v>
      </c>
      <c r="M250" s="2" t="str">
        <f>IFERROR(__xludf.DUMMYFUNCTION("split(K250,""窪田正孝　"",false)"),"罪の意識に苛まれながら逃亡を続けるトビオ(窪田正孝)は、ひょんなことから出会ったホームレスの男・ヤング(桐山漣)に関係を迫られ、絶体絶命のピンチに!  だが、このことをきっかけに蓮子(永野芽郁)への思いに改めて気づく。  蓮子もまたトビオへの思いを募らせ、市橋(新田真剣佑)とともに毎日トビオの行方を追っていたが…。  そんななか、あることにショックを受けてぼう然と街をさまよっていたトビオは、偶然、今宵(川栄李奈)に出くわす。  そのまま今宵のアパートに転がり込んだトビオは、かいがいしく世話を焼く今宵のやさ"&amp;"しさに甘え、2人きりの生活に溺れていく。  警察では、突然出頭してきた真中幹男(山本浩司)に署内が騒然となっていた。  パイセン(今野浩喜)にそっくりのその男は、爆破事件の真犯人だと名乗り、犯行を自供。  飯室(三浦翔平)は、背後で糸を引くある人物の存在を疑い、「誰に指示された?」と問いただすが、男は「自分がやった」と繰り返すばかり。  一方、ようやく自力で車椅子を動かせるようになった市橋は久しぶりに登校するが、不良のリーダーとして恐れられていたかつての姿は見る影もなく、矢波高生たちの態度はひょう変。  "&amp;"仲間にまで裏切られ絶望する市橋は、蓮子の変わらない態度に励まされる。  そんな折、市橋に子分扱いされていた下級生の有原正樹(吉村界人)がリーダーの座を奪おうとたくらみ、市橋と蓮子に襲いかかって…。")</f>
        <v>罪の意識に苛まれながら逃亡を続けるトビオ(窪田正孝)は、ひょんなことから出会ったホームレスの男・ヤング(桐山漣)に関係を迫られ、絶体絶命のピンチに!  だが、このことをきっかけに蓮子(永野芽郁)への思いに改めて気づく。  蓮子もまたトビオへの思いを募らせ、市橋(新田真剣佑)とともに毎日トビオの行方を追っていたが…。  そんななか、あることにショックを受けてぼう然と街をさまよっていたトビオは、偶然、今宵(川栄李奈)に出くわす。  そのまま今宵のアパートに転がり込んだトビオは、かいがいしく世話を焼く今宵のやさしさに甘え、2人きりの生活に溺れていく。  警察では、突然出頭してきた真中幹男(山本浩司)に署内が騒然となっていた。  パイセン(今野浩喜)にそっくりのその男は、爆破事件の真犯人だと名乗り、犯行を自供。  飯室(三浦翔平)は、背後で糸を引くある人物の存在を疑い、「誰に指示された?」と問いただすが、男は「自分がやった」と繰り返すばかり。  一方、ようやく自力で車椅子を動かせるようになった市橋は久しぶりに登校するが、不良のリーダーとして恐れられていたかつての姿は見る影もなく、矢波高生たちの態度はひょう変。  仲間にまで裏切られ絶望する市橋は、蓮子の変わらない態度に励まされる。  そんな折、市橋に子分扱いされていた下級生の有原正樹(吉村界人)がリーダーの座を奪おうとたくらみ、市橋と蓮子に襲いかかって…。</v>
      </c>
      <c r="N250" s="2" t="str">
        <f>IFERROR(__xludf.DUMMYFUNCTION("""COMPUTED_VALUE"""),"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https://www"&amp;".ktv.jp/bokuyari/index.html")</f>
        <v>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v>
      </c>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row>
    <row r="251" ht="204.75" customHeight="1">
      <c r="A251" s="1">
        <v>1071.0</v>
      </c>
      <c r="B251" s="2" t="s">
        <v>790</v>
      </c>
      <c r="C251" s="2">
        <f>IFERROR(__xludf.DUMMYFUNCTION("split(B251,""_"")"),1707.0)</f>
        <v>1707</v>
      </c>
      <c r="D251" s="2" t="str">
        <f>IFERROR(__xludf.DUMMYFUNCTION("""COMPUTED_VALUE"""),"CX")</f>
        <v>CX</v>
      </c>
      <c r="E251" s="2" t="str">
        <f>IFERROR(__xludf.DUMMYFUNCTION("""COMPUTED_VALUE"""),"火21")</f>
        <v>火21</v>
      </c>
      <c r="F251" s="2" t="s">
        <v>791</v>
      </c>
      <c r="G251" s="2" t="s">
        <v>807</v>
      </c>
      <c r="H251" s="1">
        <v>6.0</v>
      </c>
      <c r="I251" s="1" t="s">
        <v>21</v>
      </c>
      <c r="J251" s="1" t="s">
        <v>11</v>
      </c>
      <c r="K251" s="2" t="s">
        <v>808</v>
      </c>
      <c r="L251" s="2" t="s">
        <v>809</v>
      </c>
      <c r="M251" s="2" t="str">
        <f>IFERROR(__xludf.DUMMYFUNCTION("split(K251,""窪田正孝　"",false)"),"爆破事件の真犯人を名乗る真中幹男(山本浩司)が犯行を自供し、パイセン(今野浩喜)は釈放に。矢波高の大爆発は真中の仕業で、自分たちに責任はないと、パイセンから告げられたトビオ(窪田正孝)は、ようやく罪の意識から解放される。  　まもなく、伊佐美(間宮祥太朗)とマル(葉山奨之)も戻り、再会した4人。マルがトビオから奪った金を使い果たし、伊佐美の金まで横取りしようとしたと知ったトビオはあきれるが、事件の前の“そこそこ""に楽しい日常が戻った喜びが、マルへの怒りを忘れさせてしまう。  　同じ頃、菜摘(水川あさみ)"&amp;"が不審な動きを見せていた。弁護士の西塚(板尾創路)から「“協力""の礼に」と金を受け取り、なぜかパイセンの前に現れて…。  　一方、事件の結末に納得がいかない飯室(三浦翔平)は、闇社会のドン・輪島(古田新太)が事件に関わっているのではないかと疑い、輪島に会いに行く。  　ある日、トビオの元を訪ねてきた蓮子(永野芽郁)は、トビオへの容疑が晴れたことを喜ぶ。市橋(新田真剣佑)との仲を疑っていたトビオだが、誤解とわかり、2人はいいムードに。  　翌日、トビオたちはパイセンの自慢げな告白に驚く。なんと菜摘からデー"&amp;"トに誘われたというのだ。1人では心細いのか、無線マイクと隠しカメラで、菜摘との会話をこっそりモニターするようトビオたちに頼むパイセン。しかし、菜摘には全く別の思惑が隠されていた…。")</f>
        <v>爆破事件の真犯人を名乗る真中幹男(山本浩司)が犯行を自供し、パイセン(今野浩喜)は釈放に。矢波高の大爆発は真中の仕業で、自分たちに責任はないと、パイセンから告げられたトビオ(窪田正孝)は、ようやく罪の意識から解放される。  　まもなく、伊佐美(間宮祥太朗)とマル(葉山奨之)も戻り、再会した4人。マルがトビオから奪った金を使い果たし、伊佐美の金まで横取りしようとしたと知ったトビオはあきれるが、事件の前の“そこそこ"に楽しい日常が戻った喜びが、マルへの怒りを忘れさせてしまう。  　同じ頃、菜摘(水川あさみ)が不審な動きを見せていた。弁護士の西塚(板尾創路)から「“協力"の礼に」と金を受け取り、なぜかパイセンの前に現れて…。  　一方、事件の結末に納得がいかない飯室(三浦翔平)は、闇社会のドン・輪島(古田新太)が事件に関わっているのではないかと疑い、輪島に会いに行く。  　ある日、トビオの元を訪ねてきた蓮子(永野芽郁)は、トビオへの容疑が晴れたことを喜ぶ。市橋(新田真剣佑)との仲を疑っていたトビオだが、誤解とわかり、2人はいいムードに。  　翌日、トビオたちはパイセンの自慢げな告白に驚く。なんと菜摘からデートに誘われたというのだ。1人では心細いのか、無線マイクと隠しカメラで、菜摘との会話をこっそりモニターするようトビオたちに頼むパイセン。しかし、菜摘には全く別の思惑が隠されていた…。</v>
      </c>
      <c r="N251" s="2" t="str">
        <f>IFERROR(__xludf.DUMMYFUNCTION("""COMPUTED_VALUE"""),"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https://www"&amp;".ktv.jp/bokuyari/index.html")</f>
        <v>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v>
      </c>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row>
    <row r="252" ht="204.75" customHeight="1">
      <c r="A252" s="1">
        <v>1072.0</v>
      </c>
      <c r="B252" s="2" t="s">
        <v>790</v>
      </c>
      <c r="C252" s="2">
        <f>IFERROR(__xludf.DUMMYFUNCTION("split(B252,""_"")"),1707.0)</f>
        <v>1707</v>
      </c>
      <c r="D252" s="2" t="str">
        <f>IFERROR(__xludf.DUMMYFUNCTION("""COMPUTED_VALUE"""),"CX")</f>
        <v>CX</v>
      </c>
      <c r="E252" s="2" t="str">
        <f>IFERROR(__xludf.DUMMYFUNCTION("""COMPUTED_VALUE"""),"火21")</f>
        <v>火21</v>
      </c>
      <c r="F252" s="2" t="s">
        <v>791</v>
      </c>
      <c r="G252" s="2" t="s">
        <v>810</v>
      </c>
      <c r="H252" s="1">
        <v>7.0</v>
      </c>
      <c r="I252" s="1" t="s">
        <v>25</v>
      </c>
      <c r="J252" s="1" t="s">
        <v>11</v>
      </c>
      <c r="K252" s="2" t="s">
        <v>811</v>
      </c>
      <c r="L252" s="2" t="s">
        <v>812</v>
      </c>
      <c r="M252" s="2" t="str">
        <f>IFERROR(__xludf.DUMMYFUNCTION("split(K252,""窪田正孝　"",false)"),"爆破事件の真犯人は、やはりトビオ(窪田正孝)たちだったー。飯室(三浦翔平)に真相を突きつけられ、逃れられない罪の意識に苦しむトビオは、校舎の屋上から衝動的に飛び降りるが、奇跡的に命をとりとめる。  トビオが運ばれたのは、偶然にも市橋(新田真剣佑)が入院している病院だった。トビオは「死んだら、それで償おう。でももし生きたら、新しい俺を始めようー」と考え、事件後にどん底を味わった自分は「幸せになってトントン」と言い聞かせ、罪の意識から逃れるように、今までとは違う自分になることを決意。やけに明るく振る舞うトビオ"&amp;"に、市橋は戸惑いを隠せない。  そんなある日、市橋から蓮子(永野芽郁)への思いを打ち明けられたトビオは、2人の恋を応援すると市橋の背中を押す。一方の蓮子は、ぷっつりと連絡が途絶えていたトビオに気をもんでいた。  同じ頃、伊佐美(間宮祥太朗)は飯室が言い放った「一生苦しめ」という言葉に罪悪感をあおられ、事件の被害者たちの家を訪ねては遺影に手を合わせる日々を送っていた。マル(葉山奨之)は事件のことなど忘れたかのように、クラスメートとのんきにカラオケに出かける日常を取り戻していた。パイセン(今野浩喜)は、飯室か"&amp;"ら「お前は父親に愛されていない」と告げられたことで、愛を知らない空虚な自分に絶望。父である輪島宗十郎(古田新太)に会って愛情を確かめようと、菜摘(水川あさみ)のもとを訪ねるが…。")</f>
        <v>爆破事件の真犯人は、やはりトビオ(窪田正孝)たちだったー。飯室(三浦翔平)に真相を突きつけられ、逃れられない罪の意識に苦しむトビオは、校舎の屋上から衝動的に飛び降りるが、奇跡的に命をとりとめる。  トビオが運ばれたのは、偶然にも市橋(新田真剣佑)が入院している病院だった。トビオは「死んだら、それで償おう。でももし生きたら、新しい俺を始めようー」と考え、事件後にどん底を味わった自分は「幸せになってトントン」と言い聞かせ、罪の意識から逃れるように、今までとは違う自分になることを決意。やけに明るく振る舞うトビオに、市橋は戸惑いを隠せない。  そんなある日、市橋から蓮子(永野芽郁)への思いを打ち明けられたトビオは、2人の恋を応援すると市橋の背中を押す。一方の蓮子は、ぷっつりと連絡が途絶えていたトビオに気をもんでいた。  同じ頃、伊佐美(間宮祥太朗)は飯室が言い放った「一生苦しめ」という言葉に罪悪感をあおられ、事件の被害者たちの家を訪ねては遺影に手を合わせる日々を送っていた。マル(葉山奨之)は事件のことなど忘れたかのように、クラスメートとのんきにカラオケに出かける日常を取り戻していた。パイセン(今野浩喜)は、飯室から「お前は父親に愛されていない」と告げられたことで、愛を知らない空虚な自分に絶望。父である輪島宗十郎(古田新太)に会って愛情を確かめようと、菜摘(水川あさみ)のもとを訪ねるが…。</v>
      </c>
      <c r="N252" s="2" t="str">
        <f>IFERROR(__xludf.DUMMYFUNCTION("""COMPUTED_VALUE"""),"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https://www"&amp;".ktv.jp/bokuyari/index.html")</f>
        <v>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v>
      </c>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row>
    <row r="253" ht="204.75" customHeight="1">
      <c r="A253" s="1">
        <v>1073.0</v>
      </c>
      <c r="B253" s="2" t="s">
        <v>790</v>
      </c>
      <c r="C253" s="2">
        <f>IFERROR(__xludf.DUMMYFUNCTION("split(B253,""_"")"),1707.0)</f>
        <v>1707</v>
      </c>
      <c r="D253" s="2" t="str">
        <f>IFERROR(__xludf.DUMMYFUNCTION("""COMPUTED_VALUE"""),"CX")</f>
        <v>CX</v>
      </c>
      <c r="E253" s="2" t="str">
        <f>IFERROR(__xludf.DUMMYFUNCTION("""COMPUTED_VALUE"""),"火21")</f>
        <v>火21</v>
      </c>
      <c r="F253" s="2" t="s">
        <v>791</v>
      </c>
      <c r="G253" s="2" t="s">
        <v>813</v>
      </c>
      <c r="H253" s="1">
        <v>8.0</v>
      </c>
      <c r="I253" s="1" t="s">
        <v>29</v>
      </c>
      <c r="J253" s="1" t="s">
        <v>11</v>
      </c>
      <c r="K253" s="2" t="s">
        <v>814</v>
      </c>
      <c r="L253" s="2" t="s">
        <v>815</v>
      </c>
      <c r="M253" s="2" t="str">
        <f>IFERROR(__xludf.DUMMYFUNCTION("split(K253,""窪田正孝　"",false)"),"ついに蓮子(永野芽郁)とつき合うことになったトビオ(窪田正孝)。飯室(三浦翔平)の「一生苦しめ」という言葉を思い出しても以前のような苦しみには襲われなくなり、幸せの絶頂に浸るが、蓮子に思いを寄せる市橋(新田真剣佑)のことが気になる。蓮子との交際を打ち明けようと病院を訪ねるが、市橋の唯一の身内だった祖母が亡くなったと知り、言いそびれてしまう。  　一方、伊佐美(間宮祥太朗)は事件の被害者たちへの弔いを終え、意気揚々と今宵(川栄李奈)のアパートへ。ところが、伊佐美の子を妊娠したと告白する今宵から、突然別れを切"&amp;"り出されてしまう。マル(葉山奨之)は自分を襲った覆面の男の正体を察し、報復に息巻いていた。  　パイセン(今野浩喜)は飯室から教えられた情報をもとに、ようやく輪島(古田新太)の居所を突き止める。そこに向かうとパイセンの異母弟・玲夢(山田裕貴)が輪島の指示を受け、無防備な男を暴力で痛めつけていた。勇気を振り絞って輪島の前に飛び出し、息子だと名乗るものの…。  　同じ頃トビオは、市橋が足の完治は絶望的だと医者から宣告されたことを知る。全ての原因は自分にあると思い悩みながらも、市橋を支えたいと思い、仲を深めるト"&amp;"ビオ。少しの希望を見出すが、蓮子との仲を打ち明けられず、複雑な思いを抱えていた。もんもんとするトビオに気づいた市橋は「言いたいことあんじゃねえのか?」と声をかけ…。")</f>
        <v>ついに蓮子(永野芽郁)とつき合うことになったトビオ(窪田正孝)。飯室(三浦翔平)の「一生苦しめ」という言葉を思い出しても以前のような苦しみには襲われなくなり、幸せの絶頂に浸るが、蓮子に思いを寄せる市橋(新田真剣佑)のことが気になる。蓮子との交際を打ち明けようと病院を訪ねるが、市橋の唯一の身内だった祖母が亡くなったと知り、言いそびれてしまう。  　一方、伊佐美(間宮祥太朗)は事件の被害者たちへの弔いを終え、意気揚々と今宵(川栄李奈)のアパートへ。ところが、伊佐美の子を妊娠したと告白する今宵から、突然別れを切り出されてしまう。マル(葉山奨之)は自分を襲った覆面の男の正体を察し、報復に息巻いていた。  　パイセン(今野浩喜)は飯室から教えられた情報をもとに、ようやく輪島(古田新太)の居所を突き止める。そこに向かうとパイセンの異母弟・玲夢(山田裕貴)が輪島の指示を受け、無防備な男を暴力で痛めつけていた。勇気を振り絞って輪島の前に飛び出し、息子だと名乗るものの…。  　同じ頃トビオは、市橋が足の完治は絶望的だと医者から宣告されたことを知る。全ての原因は自分にあると思い悩みながらも、市橋を支えたいと思い、仲を深めるトビオ。少しの希望を見出すが、蓮子との仲を打ち明けられず、複雑な思いを抱えていた。もんもんとするトビオに気づいた市橋は「言いたいことあんじゃねえのか?」と声をかけ…。</v>
      </c>
      <c r="N253" s="2" t="str">
        <f>IFERROR(__xludf.DUMMYFUNCTION("""COMPUTED_VALUE"""),"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https://www"&amp;".ktv.jp/bokuyari/index.html")</f>
        <v>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v>
      </c>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row>
    <row r="254" ht="204.75" customHeight="1">
      <c r="A254" s="1">
        <v>1074.0</v>
      </c>
      <c r="B254" s="2" t="s">
        <v>790</v>
      </c>
      <c r="C254" s="2">
        <f>IFERROR(__xludf.DUMMYFUNCTION("split(B254,""_"")"),1707.0)</f>
        <v>1707</v>
      </c>
      <c r="D254" s="2" t="str">
        <f>IFERROR(__xludf.DUMMYFUNCTION("""COMPUTED_VALUE"""),"CX")</f>
        <v>CX</v>
      </c>
      <c r="E254" s="2" t="str">
        <f>IFERROR(__xludf.DUMMYFUNCTION("""COMPUTED_VALUE"""),"火21")</f>
        <v>火21</v>
      </c>
      <c r="F254" s="2" t="s">
        <v>791</v>
      </c>
      <c r="G254" s="2" t="s">
        <v>816</v>
      </c>
      <c r="H254" s="1">
        <v>9.0</v>
      </c>
      <c r="I254" s="1" t="s">
        <v>33</v>
      </c>
      <c r="J254" s="1" t="s">
        <v>11</v>
      </c>
      <c r="K254" s="2" t="s">
        <v>817</v>
      </c>
      <c r="L254" s="2" t="s">
        <v>818</v>
      </c>
      <c r="M254" s="2" t="str">
        <f>IFERROR(__xludf.DUMMYFUNCTION("split(K254,""窪田正孝　"",false)"),"市橋(新田真剣佑)が自ら命を絶ち、がく然とするトビオ(窪田正孝)。飯室(三浦翔平)は、爆破事件で人生が一変し、生きることに不自由を覚えるようになった市橋が、自由を求めて自殺を選んだのではないかと指摘。結局、事件の真相を市橋に隠し通したままのトビオに「こんなこと言ってもわからないか。君は今“自由""だもんね」と追い打ちをかける。市橋への罪悪感があふれ出したトビオは「俺が殺した」と錯乱状態に。その姿に蓮子(永野芽郁)は、トビオがただならぬ秘密を抱えていることを察する。  　同じ頃、父・輪島(古田新太)に愛され"&amp;"ていないことを思い知らされたパイセン(今野浩喜)は、輪島への復しゅうに失敗した菜摘(水川あさみ)に「後は俺に任せて」とある決意を告げる。一方、飯室の言葉が頭から離れないトビオは、本当の“自由""を手に入れるための道は自首しかないと考え、決意を固める。  　翌日、学校に集まった伊佐美(間宮祥太朗)、マル(葉山奨之)、パイセンも時を同じくして、それぞれの思いから自首する覚悟を決めていた。しかし警察に出頭しても、また輪島にもみ消されてしまうと考えた4人は、パイセンの全財産を注ぎ込み“世の中がひっくり返る最高の自"&amp;"首""をしようと計画。そこでトビオが思いついた作戦とは。  　決行の日を前に、蓮子をデートに誘うトビオ。すべてを打ち明けようとするも言い出せず、言葉少ないトビオに蓮子は胸騒ぎを覚えるが…。")</f>
        <v>市橋(新田真剣佑)が自ら命を絶ち、がく然とするトビオ(窪田正孝)。飯室(三浦翔平)は、爆破事件で人生が一変し、生きることに不自由を覚えるようになった市橋が、自由を求めて自殺を選んだのではないかと指摘。結局、事件の真相を市橋に隠し通したままのトビオに「こんなこと言ってもわからないか。君は今“自由"だもんね」と追い打ちをかける。市橋への罪悪感があふれ出したトビオは「俺が殺した」と錯乱状態に。その姿に蓮子(永野芽郁)は、トビオがただならぬ秘密を抱えていることを察する。  　同じ頃、父・輪島(古田新太)に愛されていないことを思い知らされたパイセン(今野浩喜)は、輪島への復しゅうに失敗した菜摘(水川あさみ)に「後は俺に任せて」とある決意を告げる。一方、飯室の言葉が頭から離れないトビオは、本当の“自由"を手に入れるための道は自首しかないと考え、決意を固める。  　翌日、学校に集まった伊佐美(間宮祥太朗)、マル(葉山奨之)、パイセンも時を同じくして、それぞれの思いから自首する覚悟を決めていた。しかし警察に出頭しても、また輪島にもみ消されてしまうと考えた4人は、パイセンの全財産を注ぎ込み“世の中がひっくり返る最高の自首"をしようと計画。そこでトビオが思いついた作戦とは。  　決行の日を前に、蓮子をデートに誘うトビオ。すべてを打ち明けようとするも言い出せず、言葉少ないトビオに蓮子は胸騒ぎを覚えるが…。</v>
      </c>
      <c r="N254" s="2" t="str">
        <f>IFERROR(__xludf.DUMMYFUNCTION("""COMPUTED_VALUE"""),"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https://www"&amp;".ktv.jp/bokuyari/index.html")</f>
        <v>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v>
      </c>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row>
    <row r="255" ht="204.75" customHeight="1">
      <c r="A255" s="1">
        <v>1075.0</v>
      </c>
      <c r="B255" s="2" t="s">
        <v>790</v>
      </c>
      <c r="C255" s="2">
        <f>IFERROR(__xludf.DUMMYFUNCTION("split(B255,""_"")"),1707.0)</f>
        <v>1707</v>
      </c>
      <c r="D255" s="2" t="str">
        <f>IFERROR(__xludf.DUMMYFUNCTION("""COMPUTED_VALUE"""),"CX")</f>
        <v>CX</v>
      </c>
      <c r="E255" s="2" t="str">
        <f>IFERROR(__xludf.DUMMYFUNCTION("""COMPUTED_VALUE"""),"火21")</f>
        <v>火21</v>
      </c>
      <c r="F255" s="2" t="s">
        <v>791</v>
      </c>
      <c r="G255" s="2" t="s">
        <v>819</v>
      </c>
      <c r="H255" s="1">
        <v>10.0</v>
      </c>
      <c r="I255" s="1" t="s">
        <v>37</v>
      </c>
      <c r="J255" s="1" t="s">
        <v>11</v>
      </c>
      <c r="K255" s="2" t="s">
        <v>820</v>
      </c>
      <c r="L255" s="2" t="s">
        <v>821</v>
      </c>
      <c r="M255" s="2" t="str">
        <f>IFERROR(__xludf.DUMMYFUNCTION("split(K255,""窪田正孝　"",false)"),"ライブ会場に乱入し、大勢の観客の前で「僕たちがやりました!」と罪を告白するド派手な自首をぶち上げた、トビオ(窪田正孝)、伊佐美(間宮祥太朗)、マル(葉山奨之)、パイセン(今野浩喜)。ところが、動物のマスクを被った謎のグループに襲われて気を失い、そのまま連れ去られてしまった。  　トビオらを拉致したのは、輪島(古田新太)の指示を受けた西塚(板尾創路)、玲夢(山田裕貴)たちだった。4人が前代未聞の自首を決行する一方、事件の真相を告白する動画にネットは騒然。この騒動に激怒した輪島から、パイセンを殺せと命じられた"&amp;"というのだ。  　「小坂秀郎はこれから殺される。あなたたちはもう関係ない。全部忘れてください」。西塚はトビオ、伊佐美、マルにそう言い放つと、絶体絶命のパイセンを残して10秒以内に消えろと迫り…。  　一方、動画を見た蓮子(永野芽郁)はトビオを苦しめていた事件の全貌をようやく知り、トビオの元に駆けつけるが、すでにトビオらの姿はなく…。  　同じ頃、安否もわからないトビオらを追う飯室(三浦翔平)に、菜摘(水川あさみ)はある重大な事実を打ち明ける。  　ささいなイタズラ心がきっかけで、大きな過ちを犯してしまった"&amp;"トビオたち。罪の意識にさいなまれ、過酷な逃亡生活を経験した結果、“最高の自首""を選んだ4人。犯した罪は認められ、彼らは罪を償う事ができるのか!?  原作を超える衝撃のラストが待ち受ける!")</f>
        <v>ライブ会場に乱入し、大勢の観客の前で「僕たちがやりました!」と罪を告白するド派手な自首をぶち上げた、トビオ(窪田正孝)、伊佐美(間宮祥太朗)、マル(葉山奨之)、パイセン(今野浩喜)。ところが、動物のマスクを被った謎のグループに襲われて気を失い、そのまま連れ去られてしまった。  　トビオらを拉致したのは、輪島(古田新太)の指示を受けた西塚(板尾創路)、玲夢(山田裕貴)たちだった。4人が前代未聞の自首を決行する一方、事件の真相を告白する動画にネットは騒然。この騒動に激怒した輪島から、パイセンを殺せと命じられたというのだ。  　「小坂秀郎はこれから殺される。あなたたちはもう関係ない。全部忘れてください」。西塚はトビオ、伊佐美、マルにそう言い放つと、絶体絶命のパイセンを残して10秒以内に消えろと迫り…。  　一方、動画を見た蓮子(永野芽郁)はトビオを苦しめていた事件の全貌をようやく知り、トビオの元に駆けつけるが、すでにトビオらの姿はなく…。  　同じ頃、安否もわからないトビオらを追う飯室(三浦翔平)に、菜摘(水川あさみ)はある重大な事実を打ち明ける。  　ささいなイタズラ心がきっかけで、大きな過ちを犯してしまったトビオたち。罪の意識にさいなまれ、過酷な逃亡生活を経験した結果、“最高の自首"を選んだ4人。犯した罪は認められ、彼らは罪を償う事ができるのか!?  原作を超える衝撃のラストが待ち受ける!</v>
      </c>
      <c r="N255" s="2" t="str">
        <f>IFERROR(__xludf.DUMMYFUNCTION("""COMPUTED_VALUE"""),"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https://www"&amp;".ktv.jp/bokuyari/index.html")</f>
        <v>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v>
      </c>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row>
    <row r="256" ht="204.75" customHeight="1">
      <c r="A256" s="1">
        <v>1113.0</v>
      </c>
      <c r="B256" s="2" t="s">
        <v>822</v>
      </c>
      <c r="C256" s="2">
        <f>IFERROR(__xludf.DUMMYFUNCTION("split(B256,""_"")"),1707.0)</f>
        <v>1707</v>
      </c>
      <c r="D256" s="2" t="str">
        <f>IFERROR(__xludf.DUMMYFUNCTION("""COMPUTED_VALUE"""),"CX")</f>
        <v>CX</v>
      </c>
      <c r="E256" s="2" t="str">
        <f>IFERROR(__xludf.DUMMYFUNCTION("""COMPUTED_VALUE"""),"木22")</f>
        <v>木22</v>
      </c>
      <c r="F256" s="2" t="s">
        <v>823</v>
      </c>
      <c r="G256" s="2" t="s">
        <v>824</v>
      </c>
      <c r="H256" s="1">
        <v>1.0</v>
      </c>
      <c r="I256" s="1" t="s">
        <v>3</v>
      </c>
      <c r="J256" s="1" t="s">
        <v>82</v>
      </c>
      <c r="K256" s="2" t="s">
        <v>825</v>
      </c>
      <c r="L256" s="2" t="s">
        <v>826</v>
      </c>
      <c r="M256" s="2" t="str">
        <f>IFERROR(__xludf.DUMMYFUNCTION("split(K256,""も展開中!"",false)"),"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f>
        <v>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v>
      </c>
      <c r="N256" s="2" t="str">
        <f>IFERROR(__xludf.DUMMYFUNCTION("""COMPUTED_VALUE"""),"　宮地奈央(真木よう子)は、金型仕上げのエンジニアである夫・伸行(宇野祥平)、中学生の息子・宏樹(佐藤瑠生亮)と北春日部に暮らす主婦。息子に少しでも多くご飯を食べさせることや、パート先の惣菜店のお手製ポテトサラダが人気なことなど、日々の小さな幸せが自分の幸せだと満足している、体育会出身の威勢が良い女性。  　ある日、奈央は、人気女性ファッション誌『ヴァニティ』の編集デスク・黒沢洵子(板谷由夏)から読者モデルとしてスカウトされる。南城彰(リリー・フランキー)が編集長を務める『ヴァニティ』には、「ハマユカ」の"&amp;"愛称で知られ、絶大な人気を誇る浜口由華子(吉瀬美智子)がカバーモデルとして君臨。情報番組のコメンテーターとして活躍中の安永舞子(長谷川京子)も、かつてはモデルとして在籍していた。ファッションブランドのPRの職を失い、今はファッションライターとして大成しようともがいている沖田江里(伊藤歩)は、洵子から奈央のことを聞き、北春日部まで会いに行く。そこで江里は、命がけで稼げるモデルにする、と必死に説得し、一度は誘いを断っていた奈央をオーディションに参加させる。しかし、自分を美しく見せること自体に抵抗を感じていた奈"&amp;"央は、撮影でうまく笑うことすらできない。それでも奈央は、江里やカメラマンの山上航平(金子ノブアキ)、カリスマヘアメイクの安原トモ(徳井義実)の力を借りて撮影に挑み…。真木よう子　  吉瀬美智子　  伊藤歩　  金子ノブアキ　  小野ゆり子　  眞島秀和　  石橋けい　  伊藤修子　  佐藤江梨子　  藤澤恵麻　  宇野祥平　  佐藤瑠生亮　  加藤雅人  　・　  長谷川京子  　/　  徳井義実  　・　  板谷由夏　  リリー・フランキー【原作】  唯川恵　    【脚本】  ひかわかよ　    【音"&amp;"楽】  井筒昭雄　    【主題歌】  「TAKE　MY　HAND」夜の本気ダンス　    【プロデュース】  太田大　  金城綾香　  浅野澄美(FCC)　    【演出】  澤田鎌作　  並木道子　  高野舞")</f>
        <v>　宮地奈央(真木よう子)は、金型仕上げのエンジニアである夫・伸行(宇野祥平)、中学生の息子・宏樹(佐藤瑠生亮)と北春日部に暮らす主婦。息子に少しでも多くご飯を食べさせることや、パート先の惣菜店のお手製ポテトサラダが人気なことなど、日々の小さな幸せが自分の幸せだと満足している、体育会出身の威勢が良い女性。  　ある日、奈央は、人気女性ファッション誌『ヴァニティ』の編集デスク・黒沢洵子(板谷由夏)から読者モデルとしてスカウトされる。南城彰(リリー・フランキー)が編集長を務める『ヴァニティ』には、「ハマユカ」の愛称で知られ、絶大な人気を誇る浜口由華子(吉瀬美智子)がカバーモデルとして君臨。情報番組のコメンテーターとして活躍中の安永舞子(長谷川京子)も、かつてはモデルとして在籍していた。ファッションブランドのPRの職を失い、今はファッションライターとして大成しようともがいている沖田江里(伊藤歩)は、洵子から奈央のことを聞き、北春日部まで会いに行く。そこで江里は、命がけで稼げるモデルにする、と必死に説得し、一度は誘いを断っていた奈央をオーディションに参加させる。しかし、自分を美しく見せること自体に抵抗を感じていた奈央は、撮影でうまく笑うことすらできない。それでも奈央は、江里やカメラマンの山上航平(金子ノブアキ)、カリスマヘアメイクの安原トモ(徳井義実)の力を借りて撮影に挑み…。真木よう子　  吉瀬美智子　  伊藤歩　  金子ノブアキ　  小野ゆり子　  眞島秀和　  石橋けい　  伊藤修子　  佐藤江梨子　  藤澤恵麻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澤田鎌作　  並木道子　  高野舞</v>
      </c>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row>
    <row r="257" ht="204.75" customHeight="1">
      <c r="A257" s="1">
        <v>1114.0</v>
      </c>
      <c r="B257" s="2" t="s">
        <v>822</v>
      </c>
      <c r="C257" s="2">
        <f>IFERROR(__xludf.DUMMYFUNCTION("split(B257,""_"")"),1707.0)</f>
        <v>1707</v>
      </c>
      <c r="D257" s="2" t="str">
        <f>IFERROR(__xludf.DUMMYFUNCTION("""COMPUTED_VALUE"""),"CX")</f>
        <v>CX</v>
      </c>
      <c r="E257" s="2" t="str">
        <f>IFERROR(__xludf.DUMMYFUNCTION("""COMPUTED_VALUE"""),"木22")</f>
        <v>木22</v>
      </c>
      <c r="F257" s="2" t="s">
        <v>823</v>
      </c>
      <c r="G257" s="2" t="s">
        <v>827</v>
      </c>
      <c r="H257" s="1">
        <v>2.0</v>
      </c>
      <c r="I257" s="1" t="s">
        <v>7</v>
      </c>
      <c r="J257" s="1" t="s">
        <v>86</v>
      </c>
      <c r="K257" s="2" t="s">
        <v>828</v>
      </c>
      <c r="L257" s="2" t="s">
        <v>829</v>
      </c>
      <c r="M257" s="2" t="str">
        <f>IFERROR(__xludf.DUMMYFUNCTION("split(K257,""真木よう子　"",false)"),"宮地奈央(真木よう子)は、フリーライターの沖田江里(伊藤歩)、カメラマンの山上航平(金子ノブアキ)、カリスマメイクの安原トモ(徳井義実)と組み“チーム・ミヤジ""として雑誌『ヴァニティ』の人気読者モデルを目指すことになった。その矢先、奈央は、江里が勝手にSNSを立ち上げていたことに憤慨。一度は企画を拒絶するが、トモの説得もあり、自分のことを認めさせた上で這い上がってやる、と宣言する。  ある日奈央は、『ヴァニティ』編集部がある晴海書房で“ハマユカ""こと人気モデルの浜口由華子(吉瀬美智子)に出会い、自宅に"&amp;"遊びにこないかと誘われる。さっそく葉山にある由華子の邸宅を訪れた奈央は、そのおしゃれな暮らしぶりに圧倒されるものの、息子同士が同じ学校で先輩後輩の間柄ということもあって彼女と意気投合。由華子から何着か服をもらった奈央は、彼女への憧れを強く抱き「ハマユカになる」などと言い出して江里を呆れさせる。そんな折、『ヴァニティ』の専属モデルふたりが撮影現場で殴り合い寸前のケンカをするというトラブルが起きる。編集デスクで読者モデルの担当でもある黒沢洵子(板谷由夏)は、問題を起こした専属モデルたちが解雇される可能性もある"&amp;"ことを視野に入れ、読者モデルの中からひとり、専属モデルに推薦しようと考えている、と江里たちライターに伝える。江里は、すぐに奈央に連絡し、このチャンスをものにしようと張り切るが…。")</f>
        <v>宮地奈央(真木よう子)は、フリーライターの沖田江里(伊藤歩)、カメラマンの山上航平(金子ノブアキ)、カリスマメイクの安原トモ(徳井義実)と組み“チーム・ミヤジ"として雑誌『ヴァニティ』の人気読者モデルを目指すことになった。その矢先、奈央は、江里が勝手にSNSを立ち上げていたことに憤慨。一度は企画を拒絶するが、トモの説得もあり、自分のことを認めさせた上で這い上がってやる、と宣言する。  ある日奈央は、『ヴァニティ』編集部がある晴海書房で“ハマユカ"こと人気モデルの浜口由華子(吉瀬美智子)に出会い、自宅に遊びにこないかと誘われる。さっそく葉山にある由華子の邸宅を訪れた奈央は、そのおしゃれな暮らしぶりに圧倒されるものの、息子同士が同じ学校で先輩後輩の間柄ということもあって彼女と意気投合。由華子から何着か服をもらった奈央は、彼女への憧れを強く抱き「ハマユカになる」などと言い出して江里を呆れさせる。そんな折、『ヴァニティ』の専属モデルふたりが撮影現場で殴り合い寸前のケンカをするというトラブルが起きる。編集デスクで読者モデルの担当でもある黒沢洵子(板谷由夏)は、問題を起こした専属モデルたちが解雇される可能性もあることを視野に入れ、読者モデルの中からひとり、専属モデルに推薦しようと考えている、と江里たちライターに伝える。江里は、すぐに奈央に連絡し、このチャンスをものにしようと張り切るが…。</v>
      </c>
      <c r="N257" s="2" t="str">
        <f>IFERROR(__xludf.DUMMYFUNCTION("""COMPUTED_VALUE"""),"  吉瀬美智子　  伊藤歩　  金子ノブアキ　  小野ゆり子　  眞島秀和　  石橋けい　  伊藤修子　  佐藤江梨子　  藤澤恵麻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"&amp;"澤田鎌作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f>
        <v>  吉瀬美智子　  伊藤歩　  金子ノブアキ　  小野ゆり子　  眞島秀和　  石橋けい　  伊藤修子　  佐藤江梨子　  藤澤恵麻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v>
      </c>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row>
    <row r="258" ht="204.75" customHeight="1">
      <c r="A258" s="1">
        <v>1115.0</v>
      </c>
      <c r="B258" s="2" t="s">
        <v>822</v>
      </c>
      <c r="C258" s="2">
        <f>IFERROR(__xludf.DUMMYFUNCTION("split(B258,""_"")"),1707.0)</f>
        <v>1707</v>
      </c>
      <c r="D258" s="2" t="str">
        <f>IFERROR(__xludf.DUMMYFUNCTION("""COMPUTED_VALUE"""),"CX")</f>
        <v>CX</v>
      </c>
      <c r="E258" s="2" t="str">
        <f>IFERROR(__xludf.DUMMYFUNCTION("""COMPUTED_VALUE"""),"木22")</f>
        <v>木22</v>
      </c>
      <c r="F258" s="2" t="s">
        <v>823</v>
      </c>
      <c r="G258" s="2" t="s">
        <v>830</v>
      </c>
      <c r="H258" s="1">
        <v>3.0</v>
      </c>
      <c r="I258" s="1" t="s">
        <v>10</v>
      </c>
      <c r="J258" s="1" t="s">
        <v>86</v>
      </c>
      <c r="K258" s="2" t="s">
        <v>831</v>
      </c>
      <c r="L258" s="2" t="s">
        <v>832</v>
      </c>
      <c r="M258" s="2" t="str">
        <f>IFERROR(__xludf.DUMMYFUNCTION("split(K258,""真木よう子　"",false)"),"トラブルを起こした『ヴァニティ』の専属モデルふたりが解雇される。奈央(真木よう子)は、このチャンスをモノにしようと張り切る江里(伊藤歩)とともに、『ミヤジ改造計画』のネタ探しを続けていた。ところがその矢先、由華子(吉瀬美智子)がものもらいを患い、予定されていた撮影がすべて中止になってしまう。編集長の南城(リリー・フランキー)は、撮影スケジュールの組み直しを指示するとともに、由華子が間に合わなかった場合の代案を考えるために編集部員たちを集める。そこで洵子(板谷由夏)は、由華子の代わりを読者モデルに任せてもら"&amp;"えないか、と提案した。いま在籍している15人に、街頭スカウトなどで10数人加えられればカバーできる、というのだ。南城の了承を得た洵子は、江里や早紀(石橋けい)らライター達にモデル探しを指示する。  　同じころ、奈央は、葉山にある由華子の邸宅を訪ねていた。由華子がものもらいではなく、夫・和真(神尾佑)によるDVでケガをしたと確信した奈央は、警察に行くべきだと主張する。しかし由華子は、その必要はないと言い切る。すると奈央は、今度こそ由華子に弟子入りさせてもらう、などと言い出し、勝手に夕飯の準備を始め…。  　"&amp;"江里はモデル探しを続けながら、奈央とともに今回の企画『秋色大研究』のためのコーディネートを考え始める。そんな中『ヴァニティ』編集部を揺るがす“事件""が発生し…。")</f>
        <v>トラブルを起こした『ヴァニティ』の専属モデルふたりが解雇される。奈央(真木よう子)は、このチャンスをモノにしようと張り切る江里(伊藤歩)とともに、『ミヤジ改造計画』のネタ探しを続けていた。ところがその矢先、由華子(吉瀬美智子)がものもらいを患い、予定されていた撮影がすべて中止になってしまう。編集長の南城(リリー・フランキー)は、撮影スケジュールの組み直しを指示するとともに、由華子が間に合わなかった場合の代案を考えるために編集部員たちを集める。そこで洵子(板谷由夏)は、由華子の代わりを読者モデルに任せてもらえないか、と提案した。いま在籍している15人に、街頭スカウトなどで10数人加えられればカバーできる、というのだ。南城の了承を得た洵子は、江里や早紀(石橋けい)らライター達にモデル探しを指示する。  　同じころ、奈央は、葉山にある由華子の邸宅を訪ねていた。由華子がものもらいではなく、夫・和真(神尾佑)によるDVでケガをしたと確信した奈央は、警察に行くべきだと主張する。しかし由華子は、その必要はないと言い切る。すると奈央は、今度こそ由華子に弟子入りさせてもらう、などと言い出し、勝手に夕飯の準備を始め…。  　江里はモデル探しを続けながら、奈央とともに今回の企画『秋色大研究』のためのコーディネートを考え始める。そんな中『ヴァニティ』編集部を揺るがす“事件"が発生し…。</v>
      </c>
      <c r="N258" s="2" t="str">
        <f>IFERROR(__xludf.DUMMYFUNCTION("""COMPUTED_VALUE"""),"  吉瀬美智子　  伊藤歩　  金子ノブアキ　  小野ゆり子　  眞島秀和　  石橋けい　  伊藤修子　  佐藤江梨子　  藤澤恵麻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"&amp;"澤田鎌作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f>
        <v>  吉瀬美智子　  伊藤歩　  金子ノブアキ　  小野ゆり子　  眞島秀和　  石橋けい　  伊藤修子　  佐藤江梨子　  藤澤恵麻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v>
      </c>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row>
    <row r="259" ht="204.75" customHeight="1">
      <c r="A259" s="1">
        <v>1116.0</v>
      </c>
      <c r="B259" s="2" t="s">
        <v>822</v>
      </c>
      <c r="C259" s="2">
        <f>IFERROR(__xludf.DUMMYFUNCTION("split(B259,""_"")"),1707.0)</f>
        <v>1707</v>
      </c>
      <c r="D259" s="2" t="str">
        <f>IFERROR(__xludf.DUMMYFUNCTION("""COMPUTED_VALUE"""),"CX")</f>
        <v>CX</v>
      </c>
      <c r="E259" s="2" t="str">
        <f>IFERROR(__xludf.DUMMYFUNCTION("""COMPUTED_VALUE"""),"木22")</f>
        <v>木22</v>
      </c>
      <c r="F259" s="2" t="s">
        <v>823</v>
      </c>
      <c r="G259" s="2" t="s">
        <v>833</v>
      </c>
      <c r="H259" s="1">
        <v>4.0</v>
      </c>
      <c r="I259" s="1" t="s">
        <v>14</v>
      </c>
      <c r="J259" s="1" t="s">
        <v>86</v>
      </c>
      <c r="K259" s="2" t="s">
        <v>834</v>
      </c>
      <c r="L259" s="2" t="s">
        <v>835</v>
      </c>
      <c r="M259" s="2" t="str">
        <f>IFERROR(__xludf.DUMMYFUNCTION("split(K259,""真木よう子　"",false)"),"奈央(真木よう子)は、家庭も『ヴァニティ』も何も手放すつもりはない、という由華子(吉瀬美智子)の強い思いを知る。一方、江里(伊藤歩)は、洵子(板谷由夏)と副編集長の石田(眞島秀和)が密談しているところを偶然目撃し、ふたりの間で何らかの取り引きがあったことを察する。  　『ヴァニティ』は、新たな専属モデルとして手島レイナ(芦名星)と契約する。そして、読者モデルの中から昇格したのは、奈央ではなく葵(佐藤江梨子)だった。葵が発案したメイク企画が、読者アンケートでも反応が良かったことが決め手となったらしい。そんな"&amp;"折、江里は、石田と葵が車の中で抱き合っているところを見てしまう。奈央と会った江里は、石田たちのことを話し「このネタを使わない手はない」と言い出す。しかし奈央は「そんなやり方で専属になんかなりたくない」と言って江里を諭す。同じころ、洵子の元にも、石田と葵がホテルに入っていくところを撮影した写真が送られてくる。差出人は不明だった。洵子に会いに行った江里は、石田との密談の件を切り出す。そこで江里は、葵を専属モデルにしたい石田と、読者モデルから専属モデルを出したい洵子が手を組んでいたことを知る。洵子は、編集会議の"&amp;"場で葵の不倫を報告する。編集長の南城(リリー・フランキー)は、石田に休養を命じると、洵子を副編集長代理に指名し…。")</f>
        <v>奈央(真木よう子)は、家庭も『ヴァニティ』も何も手放すつもりはない、という由華子(吉瀬美智子)の強い思いを知る。一方、江里(伊藤歩)は、洵子(板谷由夏)と副編集長の石田(眞島秀和)が密談しているところを偶然目撃し、ふたりの間で何らかの取り引きがあったことを察する。  　『ヴァニティ』は、新たな専属モデルとして手島レイナ(芦名星)と契約する。そして、読者モデルの中から昇格したのは、奈央ではなく葵(佐藤江梨子)だった。葵が発案したメイク企画が、読者アンケートでも反応が良かったことが決め手となったらしい。そんな折、江里は、石田と葵が車の中で抱き合っているところを見てしまう。奈央と会った江里は、石田たちのことを話し「このネタを使わない手はない」と言い出す。しかし奈央は「そんなやり方で専属になんかなりたくない」と言って江里を諭す。同じころ、洵子の元にも、石田と葵がホテルに入っていくところを撮影した写真が送られてくる。差出人は不明だった。洵子に会いに行った江里は、石田との密談の件を切り出す。そこで江里は、葵を専属モデルにしたい石田と、読者モデルから専属モデルを出したい洵子が手を組んでいたことを知る。洵子は、編集会議の場で葵の不倫を報告する。編集長の南城(リリー・フランキー)は、石田に休養を命じると、洵子を副編集長代理に指名し…。</v>
      </c>
      <c r="N259" s="2" t="str">
        <f>IFERROR(__xludf.DUMMYFUNCTION("""COMPUTED_VALUE"""),"  吉瀬美智子　  伊藤歩　  金子ノブアキ　  小野ゆり子　  眞島秀和　  石橋けい　  伊藤修子　  佐藤江梨子　  藤澤恵麻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"&amp;"澤田鎌作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f>
        <v>  吉瀬美智子　  伊藤歩　  金子ノブアキ　  小野ゆり子　  眞島秀和　  石橋けい　  伊藤修子　  佐藤江梨子　  藤澤恵麻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v>
      </c>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row>
    <row r="260" ht="204.75" customHeight="1">
      <c r="A260" s="1">
        <v>1117.0</v>
      </c>
      <c r="B260" s="2" t="s">
        <v>822</v>
      </c>
      <c r="C260" s="2">
        <f>IFERROR(__xludf.DUMMYFUNCTION("split(B260,""_"")"),1707.0)</f>
        <v>1707</v>
      </c>
      <c r="D260" s="2" t="str">
        <f>IFERROR(__xludf.DUMMYFUNCTION("""COMPUTED_VALUE"""),"CX")</f>
        <v>CX</v>
      </c>
      <c r="E260" s="2" t="str">
        <f>IFERROR(__xludf.DUMMYFUNCTION("""COMPUTED_VALUE"""),"木22")</f>
        <v>木22</v>
      </c>
      <c r="F260" s="2" t="s">
        <v>823</v>
      </c>
      <c r="G260" s="2" t="s">
        <v>836</v>
      </c>
      <c r="H260" s="1">
        <v>5.0</v>
      </c>
      <c r="I260" s="1" t="s">
        <v>17</v>
      </c>
      <c r="J260" s="1" t="s">
        <v>86</v>
      </c>
      <c r="K260" s="2" t="s">
        <v>837</v>
      </c>
      <c r="L260" s="2" t="s">
        <v>838</v>
      </c>
      <c r="M260" s="2" t="str">
        <f>IFERROR(__xludf.DUMMYFUNCTION("split(K260,""真木よう子　"",false)"),"奈央(真木よう子)は、2016年11月号をもって『ヴァニティ』を卒業することになった。読者モデル担当の洵子(板谷由夏)は、葵(佐藤江梨子)と萌子(藤澤恵麻)の間で起きたトラブルの責任を鑑み、読者モデルの企画自体を考え直すことになった、と卒業の経緯を奈央と江里(伊藤歩)に説明する。それを受けて江里は「きちんと奈央を卒業させてやりたい」と『ミヤジ改造計画』最終回の企画書を洵子に提出する。　企画の練り直しを経て洵子がOKを出したのは、奈央の1日寺修行。しかも、あくまでも仕上がり次第という条件付きだ。江里は、さっ"&amp;"そく奈央とカメラマンの山上(金子ノブアキ)を連れてとある寺を訪れる。  　同じころ、晴海書房のスタジオでは、由華子(吉瀬美智子)が撮影のスタンバイをしていた。そこで由華子は、雅美(小野ゆり子)から、新たに専属モデルとなったレイナ(芦名星)を紹介される。レイナは由華子の大ファンなのだという。レイナが去った後、由華子は、読者モデルの企画をやめるのは本当なのかと洵子に尋ねた。洵子は、それを認め「ヴァニティも変わっていかなければいけない」と答える。  　奈央は、江里とともに山登りや寺での作務、写仏など、ひとつひと"&amp;"つに集中して取り組む。そんな奈央の姿を見ていた江里は…。")</f>
        <v>奈央(真木よう子)は、2016年11月号をもって『ヴァニティ』を卒業することになった。読者モデル担当の洵子(板谷由夏)は、葵(佐藤江梨子)と萌子(藤澤恵麻)の間で起きたトラブルの責任を鑑み、読者モデルの企画自体を考え直すことになった、と卒業の経緯を奈央と江里(伊藤歩)に説明する。それを受けて江里は「きちんと奈央を卒業させてやりたい」と『ミヤジ改造計画』最終回の企画書を洵子に提出する。　企画の練り直しを経て洵子がOKを出したのは、奈央の1日寺修行。しかも、あくまでも仕上がり次第という条件付きだ。江里は、さっそく奈央とカメラマンの山上(金子ノブアキ)を連れてとある寺を訪れる。  　同じころ、晴海書房のスタジオでは、由華子(吉瀬美智子)が撮影のスタンバイをしていた。そこで由華子は、雅美(小野ゆり子)から、新たに専属モデルとなったレイナ(芦名星)を紹介される。レイナは由華子の大ファンなのだという。レイナが去った後、由華子は、読者モデルの企画をやめるのは本当なのかと洵子に尋ねた。洵子は、それを認め「ヴァニティも変わっていかなければいけない」と答える。  　奈央は、江里とともに山登りや寺での作務、写仏など、ひとつひとつに集中して取り組む。そんな奈央の姿を見ていた江里は…。</v>
      </c>
      <c r="N260" s="2" t="str">
        <f>IFERROR(__xludf.DUMMYFUNCTION("""COMPUTED_VALUE"""),"  吉瀬美智子　  伊藤歩　  金子ノブアキ　  小野ゆり子　  石橋けい　  伊藤修子　  芦名星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澤田鎌作　  並木道子　  高野"&amp;"舞真木よう子×吉瀬美智子×伊藤歩×板谷由夏×長谷川京子!豪華女優陣狂演の豪快なクレイジージャーニー!木曜よる10時、女性たちの人生の新たな扉がオープンする!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f>
        <v>  吉瀬美智子　  伊藤歩　  金子ノブアキ　  小野ゆり子　  石橋けい　  伊藤修子　  芦名星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v>
      </c>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row>
    <row r="261" ht="204.75" customHeight="1">
      <c r="A261" s="1">
        <v>1118.0</v>
      </c>
      <c r="B261" s="2" t="s">
        <v>822</v>
      </c>
      <c r="C261" s="2">
        <f>IFERROR(__xludf.DUMMYFUNCTION("split(B261,""_"")"),1707.0)</f>
        <v>1707</v>
      </c>
      <c r="D261" s="2" t="str">
        <f>IFERROR(__xludf.DUMMYFUNCTION("""COMPUTED_VALUE"""),"CX")</f>
        <v>CX</v>
      </c>
      <c r="E261" s="2" t="str">
        <f>IFERROR(__xludf.DUMMYFUNCTION("""COMPUTED_VALUE"""),"木22")</f>
        <v>木22</v>
      </c>
      <c r="F261" s="2" t="s">
        <v>823</v>
      </c>
      <c r="G261" s="2" t="s">
        <v>839</v>
      </c>
      <c r="H261" s="1">
        <v>6.0</v>
      </c>
      <c r="I261" s="1" t="s">
        <v>21</v>
      </c>
      <c r="J261" s="1" t="s">
        <v>86</v>
      </c>
      <c r="K261" s="2" t="s">
        <v>840</v>
      </c>
      <c r="L261" s="2" t="s">
        <v>841</v>
      </c>
      <c r="M261" s="2" t="str">
        <f>IFERROR(__xludf.DUMMYFUNCTION("split(K261,""真木よう子　"",false)"),"読者モデル企画の廃止に伴い、奈央(真木よう子)は『ヴァニティ』を卒業した。一方、離婚が成立した由華子(吉瀬美智子)は、シングルマザーとして再出発することになった。それから数カ月後、奈央の前に、突然、江里(伊藤歩)が現れる。奈央が『ヴァニティ』の専属モデルとして迎え入れられることになったというのだ。実は、読者モデル企画を廃止して以降、『ヴァニティ』の売り上げ部数は徐々に落ちていた。そこで洵子(板谷由夏)は、思い切ったテコ入れをするために、奈央を専属モデルとして迎えてはどうか、と編集長の南城(リリー・フランキ"&amp;"ー)に提案したのだ。毎月の読者アンケートにも、奈央がいなくなったことを寂しがるコメントが届いていたらしい。  早速6月号のワンピース特集に参加することになった奈央は、江里やトモ(徳井義実)の協力の下、プロのモデルとしてカメラの前に立つための特訓を開始した。だがいざ撮影が始まると緊張のせいか奈央はうまくポーズや表情を作ることができず、カメラマンや出番を待っていたレイナ(芦名星)の怒りを買ってしまう。  そんな中、有名海外ブランド『フェローニ』の日本上陸50年を記念した3誌限定のタイアップ企画に『ヴァニティ』"&amp;"が選ばれる。『フェローニ』は江里にとっても特別な思い入れがあるブランドだった。南城と洵子は、無名のモデルを起用したいという先方からのリクエストもあり奈央を推薦することにしたが。")</f>
        <v>読者モデル企画の廃止に伴い、奈央(真木よう子)は『ヴァニティ』を卒業した。一方、離婚が成立した由華子(吉瀬美智子)は、シングルマザーとして再出発することになった。それから数カ月後、奈央の前に、突然、江里(伊藤歩)が現れる。奈央が『ヴァニティ』の専属モデルとして迎え入れられることになったというのだ。実は、読者モデル企画を廃止して以降、『ヴァニティ』の売り上げ部数は徐々に落ちていた。そこで洵子(板谷由夏)は、思い切ったテコ入れをするために、奈央を専属モデルとして迎えてはどうか、と編集長の南城(リリー・フランキー)に提案したのだ。毎月の読者アンケートにも、奈央がいなくなったことを寂しがるコメントが届いていたらしい。  早速6月号のワンピース特集に参加することになった奈央は、江里やトモ(徳井義実)の協力の下、プロのモデルとしてカメラの前に立つための特訓を開始した。だがいざ撮影が始まると緊張のせいか奈央はうまくポーズや表情を作ることができず、カメラマンや出番を待っていたレイナ(芦名星)の怒りを買ってしまう。  そんな中、有名海外ブランド『フェローニ』の日本上陸50年を記念した3誌限定のタイアップ企画に『ヴァニティ』が選ばれる。『フェローニ』は江里にとっても特別な思い入れがあるブランドだった。南城と洵子は、無名のモデルを起用したいという先方からのリクエストもあり奈央を推薦することにしたが。</v>
      </c>
      <c r="N261" s="2" t="str">
        <f>IFERROR(__xludf.DUMMYFUNCTION("""COMPUTED_VALUE"""),"  吉瀬美智子　  伊藤歩　  金子ノブアキ　  小野ゆり子　  石橋けい　  伊藤修子　  芦名星  　・　  長谷川京子  　/　  徳井義実  　・　  宇野祥平　  佐藤瑠生亮　  加藤雅人  　・　  板谷由夏　  リリー・フランキー【原作】  唯川恵　    【脚本】  ひかわかよ　    【音楽】  井筒昭雄　    【主題歌】  「TAKE　MY　HAND」夜の本気ダンス　    【プロデュース】  太田大　  金城綾香　  浅野澄美(FCC)　    【演出】  澤田鎌作　  並木道子　"&amp;"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f>
        <v>  吉瀬美智子　  伊藤歩　  金子ノブアキ　  小野ゆり子　  石橋けい　  伊藤修子　  芦名星  　・　  長谷川京子  　/　  徳井義実  　・　  宇野祥平　  佐藤瑠生亮　  加藤雅人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v>
      </c>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row>
    <row r="262" ht="204.75" customHeight="1">
      <c r="A262" s="1">
        <v>1119.0</v>
      </c>
      <c r="B262" s="2" t="s">
        <v>822</v>
      </c>
      <c r="C262" s="2">
        <f>IFERROR(__xludf.DUMMYFUNCTION("split(B262,""_"")"),1707.0)</f>
        <v>1707</v>
      </c>
      <c r="D262" s="2" t="str">
        <f>IFERROR(__xludf.DUMMYFUNCTION("""COMPUTED_VALUE"""),"CX")</f>
        <v>CX</v>
      </c>
      <c r="E262" s="2" t="str">
        <f>IFERROR(__xludf.DUMMYFUNCTION("""COMPUTED_VALUE"""),"木22")</f>
        <v>木22</v>
      </c>
      <c r="F262" s="2" t="s">
        <v>823</v>
      </c>
      <c r="G262" s="2" t="s">
        <v>842</v>
      </c>
      <c r="H262" s="1">
        <v>7.0</v>
      </c>
      <c r="I262" s="1" t="s">
        <v>25</v>
      </c>
      <c r="J262" s="1" t="s">
        <v>86</v>
      </c>
      <c r="K262" s="2" t="s">
        <v>843</v>
      </c>
      <c r="L262" s="2" t="s">
        <v>844</v>
      </c>
      <c r="M262" s="2" t="str">
        <f>IFERROR(__xludf.DUMMYFUNCTION("split(K262,""真木よう子　"",false)"),"奈央(真木よう子)は、由華子(吉瀬美智子)から『ヴァニティ』を卒業する、と打ち明けられる。編集長の南城(リリー・フランキー)から「40代のキャリア女性をターゲットにした新雑誌でカバーモデルをやってほしい」と依頼されたからだという。「この歳でまた新しいことを始められるなんて、幸せなことだと思わない?」。由華子は、そう言って奈央に笑顔を見せた。由華子の最後の撮影の日、スタジオには南城や洵子(板谷由夏)ら編集部の面々はもちろん、奈央たちも駆けつける。無事撮影を終えた由華子は、皆に別れの挨拶をすると『ヴァニティ』"&amp;"の新しいカバーモデルだと言って舞子(長谷川京子)を紹介する。由華子が去った後、舞子は、奈央やレイナ(芦名星)ら専属モデルを集めた。そこで舞子は「自分には読者を増やす責任があるのだから、奈央たちにも、いつどこで誰に見られても『ヴァニティ』の名に恥じない振る舞いをしてもらいたい」と告げる。続けて舞子は「ついてこられない場合は自分から降りてほしい」と言い放った。  　そんな中、洵子は、江里(伊藤歩)たちライター陣を集め、専属モデル5人で行うウェブ企画の実施を発表する。専属モデルそれぞれの素の魅力を伝えるための企"&amp;"画で、人気投票の1位になったモデルは、舞子のお披露目も兼ねたトークショーにも出演させるという。だが、その企画で奈央が組むことになったライターは江里ではなく…。")</f>
        <v>奈央(真木よう子)は、由華子(吉瀬美智子)から『ヴァニティ』を卒業する、と打ち明けられる。編集長の南城(リリー・フランキー)から「40代のキャリア女性をターゲットにした新雑誌でカバーモデルをやってほしい」と依頼されたからだという。「この歳でまた新しいことを始められるなんて、幸せなことだと思わない?」。由華子は、そう言って奈央に笑顔を見せた。由華子の最後の撮影の日、スタジオには南城や洵子(板谷由夏)ら編集部の面々はもちろん、奈央たちも駆けつける。無事撮影を終えた由華子は、皆に別れの挨拶をすると『ヴァニティ』の新しいカバーモデルだと言って舞子(長谷川京子)を紹介する。由華子が去った後、舞子は、奈央やレイナ(芦名星)ら専属モデルを集めた。そこで舞子は「自分には読者を増やす責任があるのだから、奈央たちにも、いつどこで誰に見られても『ヴァニティ』の名に恥じない振る舞いをしてもらいたい」と告げる。続けて舞子は「ついてこられない場合は自分から降りてほしい」と言い放った。  　そんな中、洵子は、江里(伊藤歩)たちライター陣を集め、専属モデル5人で行うウェブ企画の実施を発表する。専属モデルそれぞれの素の魅力を伝えるための企画で、人気投票の1位になったモデルは、舞子のお披露目も兼ねたトークショーにも出演させるという。だが、その企画で奈央が組むことになったライターは江里ではなく…。</v>
      </c>
      <c r="N262" s="2" t="str">
        <f>IFERROR(__xludf.DUMMYFUNCTION("""COMPUTED_VALUE"""),"  吉瀬美智子　  伊藤歩　  金子ノブアキ　  小野ゆり子　  石橋けい　  伊藤修子　  芦名星  　・　  長谷川京子  　/　  徳井義実  　・　  宇野祥平　  佐藤瑠生亮　  加藤雅人  　・　  板谷由夏　  リリー・フランキー【原作】  唯川恵　    【脚本】  ひかわかよ　    【音楽】  井筒昭雄　    【主題歌】  「TAKE　MY　HAND」夜の本気ダンス　    【プロデュース】  太田大　  金城綾香　  浅野澄美(FCC)　    【演出】  澤田鎌作　  並木道子　"&amp;"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f>
        <v>  吉瀬美智子　  伊藤歩　  金子ノブアキ　  小野ゆり子　  石橋けい　  伊藤修子　  芦名星  　・　  長谷川京子  　/　  徳井義実  　・　  宇野祥平　  佐藤瑠生亮　  加藤雅人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v>
      </c>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row>
    <row r="263" ht="204.75" customHeight="1">
      <c r="A263" s="1">
        <v>1120.0</v>
      </c>
      <c r="B263" s="2" t="s">
        <v>822</v>
      </c>
      <c r="C263" s="2">
        <f>IFERROR(__xludf.DUMMYFUNCTION("split(B263,""_"")"),1707.0)</f>
        <v>1707</v>
      </c>
      <c r="D263" s="2" t="str">
        <f>IFERROR(__xludf.DUMMYFUNCTION("""COMPUTED_VALUE"""),"CX")</f>
        <v>CX</v>
      </c>
      <c r="E263" s="2" t="str">
        <f>IFERROR(__xludf.DUMMYFUNCTION("""COMPUTED_VALUE"""),"木22")</f>
        <v>木22</v>
      </c>
      <c r="F263" s="2" t="s">
        <v>823</v>
      </c>
      <c r="G263" s="2" t="s">
        <v>845</v>
      </c>
      <c r="H263" s="1">
        <v>8.0</v>
      </c>
      <c r="I263" s="1" t="s">
        <v>29</v>
      </c>
      <c r="J263" s="1" t="s">
        <v>86</v>
      </c>
      <c r="K263" s="2" t="s">
        <v>846</v>
      </c>
      <c r="L263" s="2" t="s">
        <v>847</v>
      </c>
      <c r="M263" s="2" t="str">
        <f>IFERROR(__xludf.DUMMYFUNCTION("split(K263,""真木よう子　"",false)"),"奈央(真木よう子)は、舞子(長谷川京子)のお披露目を兼ねたトークショーでモデルを辞めようと思った理由を問われ「モデルなんかより大事なものがあると気付いた」と発言し、集まったファンたちをざわつかせる。失言に気づいた奈央は、舞子の巧みな話術によって助けられ、何とかその場を乗り切った。だがその直後、レイナ(芦名星)がいきなり妊娠と『ヴァニティ』の卒業を発表し…。晴海書房に戻った奈央は、江里(伊藤歩)とともにトークショーの反省会をする。その席で江里は、編集長の南城(リリー・フランキー)が異動になり、由華子(吉瀬美"&amp;"智子)がカバーモデルを務める予定だった新雑誌創刊の話も白紙になったことを奈央に打ち明ける。一方『ヴァニティ』編集部では、新編集長の平林(石田佳央)がこれまでの共感路線を捨てて、よりハイクラスな方向へと転換する編集方針を打ち出し、洵子(板谷由夏)たち編集部員を困惑させる。そこには、舞子の意向が大きく反映されているらしい。  ある日奈央は、古書店の店先にいたおしゃれな老婦人を見かけ、心をひかれる。トモ(徳井義実)によれば、その女性はハナちゃん(大方斐紗子)と呼ばれている、ちょっとした有名人なのだという。そんな"&amp;"折、奈央と江里は、南城からの呼び出しでとある高級中華料理店を訪れる。するとそこに、由華子や舞子、洵子もやってきて…。")</f>
        <v>奈央(真木よう子)は、舞子(長谷川京子)のお披露目を兼ねたトークショーでモデルを辞めようと思った理由を問われ「モデルなんかより大事なものがあると気付いた」と発言し、集まったファンたちをざわつかせる。失言に気づいた奈央は、舞子の巧みな話術によって助けられ、何とかその場を乗り切った。だがその直後、レイナ(芦名星)がいきなり妊娠と『ヴァニティ』の卒業を発表し…。晴海書房に戻った奈央は、江里(伊藤歩)とともにトークショーの反省会をする。その席で江里は、編集長の南城(リリー・フランキー)が異動になり、由華子(吉瀬美智子)がカバーモデルを務める予定だった新雑誌創刊の話も白紙になったことを奈央に打ち明ける。一方『ヴァニティ』編集部では、新編集長の平林(石田佳央)がこれまでの共感路線を捨てて、よりハイクラスな方向へと転換する編集方針を打ち出し、洵子(板谷由夏)たち編集部員を困惑させる。そこには、舞子の意向が大きく反映されているらしい。  ある日奈央は、古書店の店先にいたおしゃれな老婦人を見かけ、心をひかれる。トモ(徳井義実)によれば、その女性はハナちゃん(大方斐紗子)と呼ばれている、ちょっとした有名人なのだという。そんな折、奈央と江里は、南城からの呼び出しでとある高級中華料理店を訪れる。するとそこに、由華子や舞子、洵子もやってきて…。</v>
      </c>
      <c r="N263" s="2" t="str">
        <f>IFERROR(__xludf.DUMMYFUNCTION("""COMPUTED_VALUE"""),"  吉瀬美智子　  伊藤歩　  金子ノブアキ　  小野ゆり子　  石橋けい　  伊藤修子　  芦名星  　・　  長谷川京子  　/　  徳井義実  　・　  宇野祥平　  佐藤瑠生亮　  加藤雅人  　・　  板谷由夏　  リリー・フランキー【原作】  唯川恵　    【脚本】  ひかわかよ　    【音楽】  井筒昭雄　    【主題歌】  「TAKE　MY　HAND」夜の本気ダンス　    【プロデュース】  太田大　  金城綾香　  浅野澄美(FCC)　    【演出】  澤田鎌作　  並木道子　"&amp;"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f>
        <v>  吉瀬美智子　  伊藤歩　  金子ノブアキ　  小野ゆり子　  石橋けい　  伊藤修子　  芦名星  　・　  長谷川京子  　/　  徳井義実  　・　  宇野祥平　  佐藤瑠生亮　  加藤雅人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v>
      </c>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row>
    <row r="264" ht="204.75" customHeight="1">
      <c r="A264" s="1">
        <v>1121.0</v>
      </c>
      <c r="B264" s="2" t="s">
        <v>822</v>
      </c>
      <c r="C264" s="2">
        <f>IFERROR(__xludf.DUMMYFUNCTION("split(B264,""_"")"),1707.0)</f>
        <v>1707</v>
      </c>
      <c r="D264" s="2" t="str">
        <f>IFERROR(__xludf.DUMMYFUNCTION("""COMPUTED_VALUE"""),"CX")</f>
        <v>CX</v>
      </c>
      <c r="E264" s="2" t="str">
        <f>IFERROR(__xludf.DUMMYFUNCTION("""COMPUTED_VALUE"""),"木22")</f>
        <v>木22</v>
      </c>
      <c r="F264" s="2" t="s">
        <v>823</v>
      </c>
      <c r="G264" s="2" t="s">
        <v>848</v>
      </c>
      <c r="H264" s="1">
        <v>9.0</v>
      </c>
      <c r="I264" s="1" t="s">
        <v>33</v>
      </c>
      <c r="J264" s="1" t="s">
        <v>86</v>
      </c>
      <c r="K264" s="2" t="s">
        <v>849</v>
      </c>
      <c r="L264" s="2" t="s">
        <v>850</v>
      </c>
      <c r="M264" s="2" t="str">
        <f>IFERROR(__xludf.DUMMYFUNCTION("split(K264,""真木よう子　"",false)"),"奈央(真木よう子)は、由華子(吉瀬美智子)から、新しく立ち上げる雑誌のカバーモデルになってほしい、と誘われる。ある大手IT系企業が『ジョワイユ』という女性誌を創刊するのだという。由華子に連れられて『ジョワイユ』の創刊準備室を訪れた奈央は、編集長を紹介される。それは、晴海書房を辞めたばかりの洵子(板谷由夏)だった。しかも、由華子はモデルをやめて、洵子の下で新人編集者として働くのだという。一方、山上(金子ノブアキ)やトモ(徳井義実)は『ヴァニティ』元編集長の南城(リリー・フランキー)も晴海書房を辞めてしまった"&amp;"ことを知る。『ヴァニティ』編集部内では、南城が洵子や由華子と合流するのではないか、と危機感を募らせる。事実、舞子(長谷川京子)がカバーモデルとなった8月号は過去最高の売り上げだったにもかかわらず、続く9月号はリニューアル前より販売部数を落としていたのだ。由華子たちからの誘いを受けるべきか悩んでいた奈央は、江里(伊藤歩)に相談を持ちかける。だが、実は江里も、あるところから誘われており、悩んでいた。奈央と江里は、お互いに自分自身で悔いのない答えを出そう、と決めて…。")</f>
        <v>奈央(真木よう子)は、由華子(吉瀬美智子)から、新しく立ち上げる雑誌のカバーモデルになってほしい、と誘われる。ある大手IT系企業が『ジョワイユ』という女性誌を創刊するのだという。由華子に連れられて『ジョワイユ』の創刊準備室を訪れた奈央は、編集長を紹介される。それは、晴海書房を辞めたばかりの洵子(板谷由夏)だった。しかも、由華子はモデルをやめて、洵子の下で新人編集者として働くのだという。一方、山上(金子ノブアキ)やトモ(徳井義実)は『ヴァニティ』元編集長の南城(リリー・フランキー)も晴海書房を辞めてしまったことを知る。『ヴァニティ』編集部内では、南城が洵子や由華子と合流するのではないか、と危機感を募らせる。事実、舞子(長谷川京子)がカバーモデルとなった8月号は過去最高の売り上げだったにもかかわらず、続く9月号はリニューアル前より販売部数を落としていたのだ。由華子たちからの誘いを受けるべきか悩んでいた奈央は、江里(伊藤歩)に相談を持ちかける。だが、実は江里も、あるところから誘われており、悩んでいた。奈央と江里は、お互いに自分自身で悔いのない答えを出そう、と決めて…。</v>
      </c>
      <c r="N264" s="2" t="str">
        <f>IFERROR(__xludf.DUMMYFUNCTION("""COMPUTED_VALUE"""),"  吉瀬美智子　  伊藤歩　  金子ノブアキ　  小野ゆり子　  石橋けい　  伊藤修子　  芦名星  　・　  長谷川京子  　/　  徳井義実  　・　  宇野祥平　  佐藤瑠生亮　  加藤雅人  　・　  板谷由夏　  リリー・フランキー【原作】  唯川恵　    【脚本】  ひかわかよ　    【音楽】  井筒昭雄　    【主題歌】  「TAKE　MY　HAND」夜の本気ダンス　    【プロデュース】  太田大　  金城綾香　  浅野澄美(FCC)　    【演出】  澤田鎌作　  並木道子　"&amp;"  高野舞")</f>
        <v>  吉瀬美智子　  伊藤歩　  金子ノブアキ　  小野ゆり子　  石橋けい　  伊藤修子　  芦名星  　・　  長谷川京子  　/　  徳井義実  　・　  宇野祥平　  佐藤瑠生亮　  加藤雅人  　・　  板谷由夏　  リリー・フランキー【原作】  唯川恵　    【脚本】  ひかわかよ　    【音楽】  井筒昭雄　    【主題歌】  「TAKE　MY　HAND」夜の本気ダンス　    【プロデュース】  太田大　  金城綾香　  浅野澄美(FCC)　    【演出】  澤田鎌作　  並木道子　  高野舞</v>
      </c>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row>
    <row r="265" ht="204.75" customHeight="1">
      <c r="A265" s="1">
        <v>1169.0</v>
      </c>
      <c r="B265" s="2" t="s">
        <v>851</v>
      </c>
      <c r="C265" s="2">
        <f>IFERROR(__xludf.DUMMYFUNCTION("split(B265,""_"")"),1707.0)</f>
        <v>1707</v>
      </c>
      <c r="D265" s="2" t="str">
        <f>IFERROR(__xludf.DUMMYFUNCTION("""COMPUTED_VALUE"""),"CX")</f>
        <v>CX</v>
      </c>
      <c r="E265" s="2" t="str">
        <f>IFERROR(__xludf.DUMMYFUNCTION("""COMPUTED_VALUE"""),"日21")</f>
        <v>日21</v>
      </c>
      <c r="F265" s="2" t="s">
        <v>852</v>
      </c>
      <c r="G265" s="2" t="s">
        <v>853</v>
      </c>
      <c r="H265" s="1">
        <v>1.0</v>
      </c>
      <c r="I265" s="1" t="s">
        <v>3</v>
      </c>
      <c r="J265" s="1" t="s">
        <v>4</v>
      </c>
      <c r="K265" s="2" t="s">
        <v>854</v>
      </c>
      <c r="L265" s="2" t="s">
        <v>855</v>
      </c>
      <c r="M265" s="2" t="str">
        <f>IFERROR(__xludf.DUMMYFUNCTION("split(K265,""【"",false)"),"捜査一課の須藤友三(渡部篤郎)は、ある事件で銃弾を頭部に食らい負傷。窓際の「総務課動植物管理係」に配属となった。そこは、容疑者のペットを、保護・世話をする通称“警視庁いきもの係""で、所属は、巡査の薄圭子(橋本環奈)のみ。事務員として田丸弘子(浅野温子)と、受付に三笠弥生(石川恋)がいるほか、弥生とのおしゃべり目当てで、元刑事の二出川昭吉(でんでん)がたまにやってくる程度。　捜査一課管理官の鬼頭勉(寺島進)から辞令書を渡され失望する須藤に、かつての相棒で巡査部長の石松和夫(三浦翔平)が声をかける。須藤が捜"&amp;"査一課に復職すると早合点し喜ぶ石松に、須藤は総務課に異動になったと告げた。  　そんな須藤に、弘子が立てこもり事件の現場へ行くよう促した。そこには元同僚の日塔始(長谷川朝晴)や石松、桜井薫(清原翔)ら刑事がいて、アパートに立てこもった犯人に投降を呼び掛けていた。須藤に気づいた日塔は、あんたの現場はあっちだと指示、そこでは圭子が配水管をのぞき込んでいた。圭子は、配水管にはさまって身動きが取れない猫を救出するために来ていた。  　総務課に、ある容疑者がペットを飼っていることが分かったため、その保護を頼みたいと"&amp;"いう依頼が。須藤と圭子は、容疑者が住むマンションへ。そこには巨大な鳥かごが5つ並び、それぞれに20羽近くの小鳥が入れられていた…。")</f>
        <v>捜査一課の須藤友三(渡部篤郎)は、ある事件で銃弾を頭部に食らい負傷。窓際の「総務課動植物管理係」に配属となった。そこは、容疑者のペットを、保護・世話をする通称“警視庁いきもの係"で、所属は、巡査の薄圭子(橋本環奈)のみ。事務員として田丸弘子(浅野温子)と、受付に三笠弥生(石川恋)がいるほか、弥生とのおしゃべり目当てで、元刑事の二出川昭吉(でんでん)がたまにやってくる程度。　捜査一課管理官の鬼頭勉(寺島進)から辞令書を渡され失望する須藤に、かつての相棒で巡査部長の石松和夫(三浦翔平)が声をかける。須藤が捜査一課に復職すると早合点し喜ぶ石松に、須藤は総務課に異動になったと告げた。  　そんな須藤に、弘子が立てこもり事件の現場へ行くよう促した。そこには元同僚の日塔始(長谷川朝晴)や石松、桜井薫(清原翔)ら刑事がいて、アパートに立てこもった犯人に投降を呼び掛けていた。須藤に気づいた日塔は、あんたの現場はあっちだと指示、そこでは圭子が配水管をのぞき込んでいた。圭子は、配水管にはさまって身動きが取れない猫を救出するために来ていた。  　総務課に、ある容疑者がペットを飼っていることが分かったため、その保護を頼みたいという依頼が。須藤と圭子は、容疑者が住むマンションへ。そこには巨大な鳥かごが5つ並び、それぞれに20羽近くの小鳥が入れられていた…。</v>
      </c>
      <c r="N265" s="2" t="str">
        <f>IFERROR(__xludf.DUMMYFUNCTION("""COMPUTED_VALUE"""),"ホームページ】  http://www.fujitv.co.jp/ikimono/　    ")</f>
        <v>ホームページ】  http://www.fujitv.co.jp/ikimono/　    </v>
      </c>
      <c r="O265" s="2" t="str">
        <f>IFERROR(__xludf.DUMMYFUNCTION("""COMPUTED_VALUE"""),"公式Twitter】  @mpd_ikimono　  https://twitter.com/mpd_ikimono　    ")</f>
        <v>公式Twitter】  @mpd_ikimono　  https://twitter.com/mpd_ikimono　    </v>
      </c>
      <c r="P265" s="2" t="str">
        <f>IFERROR(__xludf.DUMMYFUNCTION("""COMPUTED_VALUE"""),"公式Instagram】  @mpd_ikimono　  https://www.instagram.com/mpd_ikimono　    ")</f>
        <v>公式Instagram】  @mpd_ikimono　  https://www.instagram.com/mpd_ikimono　    </v>
      </c>
      <c r="Q265" s="2" t="str">
        <f>IFERROR(__xludf.DUMMYFUNCTION("""COMPUTED_VALUE"""),"公式LINE】  @sundayanimals渡部篤郎　  橋本環奈　  三浦翔平　  長谷川朝晴　  石川恋　  清原翔　  横山だいすけ　  ティティ(猫/スコティッシュフォールド)　  でんでん　  寺島進　  浅野温子")</f>
        <v>公式LINE】  @sundayanimals渡部篤郎　  橋本環奈　  三浦翔平　  長谷川朝晴　  石川恋　  清原翔　  横山だいすけ　  ティティ(猫/スコティッシュフォールド)　  でんでん　  寺島進　  浅野温子</v>
      </c>
      <c r="R265" s="2" t="str">
        <f>IFERROR(__xludf.DUMMYFUNCTION("""COMPUTED_VALUE"""),"原作】  大倉崇裕　  「小鳥を愛した容疑者」「蜂に魅かれた容疑者　警視庁いきもの係」「ペンギンを愛した容疑者　警視庁いきもの係」「クジャクを愛した容疑者　警視庁いきもの係」(講談社)　    ")</f>
        <v>原作】  大倉崇裕　  「小鳥を愛した容疑者」「蜂に魅かれた容疑者　警視庁いきもの係」「ペンギンを愛した容疑者　警視庁いきもの係」「クジャクを愛した容疑者　警視庁いきもの係」(講談社)　    </v>
      </c>
      <c r="S265" s="2" t="str">
        <f>IFERROR(__xludf.DUMMYFUNCTION("""COMPUTED_VALUE"""),"演出】  木下高男　  松木創　  石川淳一　  菊川誠　    ")</f>
        <v>演出】  木下高男　  松木創　  石川淳一　  菊川誠　    </v>
      </c>
      <c r="T265" s="2" t="str">
        <f>IFERROR(__xludf.DUMMYFUNCTION("""COMPUTED_VALUE"""),"制作】  フジテレビ　    ")</f>
        <v>制作】  フジテレビ　    </v>
      </c>
      <c r="U265" s="2" t="str">
        <f>IFERROR(__xludf.DUMMYFUNCTION("""COMPUTED_VALUE"""),"制作著作】  共同テレビ")</f>
        <v>制作著作】  共同テレビ</v>
      </c>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row>
    <row r="266" ht="204.75" customHeight="1">
      <c r="A266" s="1">
        <v>1170.0</v>
      </c>
      <c r="B266" s="2" t="s">
        <v>851</v>
      </c>
      <c r="C266" s="2">
        <f>IFERROR(__xludf.DUMMYFUNCTION("split(B266,""_"")"),1707.0)</f>
        <v>1707</v>
      </c>
      <c r="D266" s="2" t="str">
        <f>IFERROR(__xludf.DUMMYFUNCTION("""COMPUTED_VALUE"""),"CX")</f>
        <v>CX</v>
      </c>
      <c r="E266" s="2" t="str">
        <f>IFERROR(__xludf.DUMMYFUNCTION("""COMPUTED_VALUE"""),"日21")</f>
        <v>日21</v>
      </c>
      <c r="F266" s="2" t="s">
        <v>852</v>
      </c>
      <c r="G266" s="2" t="s">
        <v>856</v>
      </c>
      <c r="H266" s="1">
        <v>2.0</v>
      </c>
      <c r="I266" s="1" t="s">
        <v>7</v>
      </c>
      <c r="J266" s="1" t="s">
        <v>4</v>
      </c>
      <c r="K266" s="2" t="s">
        <v>857</v>
      </c>
      <c r="L266" s="2" t="s">
        <v>858</v>
      </c>
      <c r="M266" s="2" t="str">
        <f>IFERROR(__xludf.DUMMYFUNCTION("split(K266,""【"",false)"),"大手食品グループの会長・藤原(河野洋一郎)が、自宅のペンギン飼育室で溺死しているのを、妻の亜紀子(幸田尚子)が発見した。警察は、藤原がペンギンの世話をしている時に足を滑らせて後頭部を強打し池に落下したと断定。残されたペンギンを保護するために、須藤(渡部篤郎)と圭子(橋本環奈)が、藤原宅を訪ねることとなった。藤原の遺体写真を見た圭子は「藤原がペンギンの世話をしていたとは思えない」「事故ではなく他殺の可能性がある」と須藤に話す。他殺であれば、死亡推定時刻に自宅にいた亜紀子、藤原の秘書の久慈(小柳友)、亜紀子の"&amp;"兄の青木(勝矢)が容疑者となる。  　飼育室に隣接するバックヤードにあった作業服を見た圭子は、それが藤原が着ていたとは思えない大きなサイズだと気づく。作業着にペンギンの臭いが染みついていたことから、この作業着を着ていた人物が、藤原の代わりにペンギンを世話していたのではないか、と推測。その時、須藤は、物陰から自分たちを見ていた久慈に声をかけた。久慈は、ペンギンにエサをやろうとやってきたという。圭子は久慈に近寄ると、クンクンと臭いをかぎはじめた。  　総務部総務課に戻った須藤と圭子は、石松(三浦翔平)から詳細"&amp;"を聞き事件を整理していくと、久慈は藤原から叱責されることが多かったと分かる。弘子(浅野温子)は「それを恨んでの久慈の犯行なのか」と聞くが、須藤は何かが引っかかると言い…。")</f>
        <v>大手食品グループの会長・藤原(河野洋一郎)が、自宅のペンギン飼育室で溺死しているのを、妻の亜紀子(幸田尚子)が発見した。警察は、藤原がペンギンの世話をしている時に足を滑らせて後頭部を強打し池に落下したと断定。残されたペンギンを保護するために、須藤(渡部篤郎)と圭子(橋本環奈)が、藤原宅を訪ねることとなった。藤原の遺体写真を見た圭子は「藤原がペンギンの世話をしていたとは思えない」「事故ではなく他殺の可能性がある」と須藤に話す。他殺であれば、死亡推定時刻に自宅にいた亜紀子、藤原の秘書の久慈(小柳友)、亜紀子の兄の青木(勝矢)が容疑者となる。  　飼育室に隣接するバックヤードにあった作業服を見た圭子は、それが藤原が着ていたとは思えない大きなサイズだと気づく。作業着にペンギンの臭いが染みついていたことから、この作業着を着ていた人物が、藤原の代わりにペンギンを世話していたのではないか、と推測。その時、須藤は、物陰から自分たちを見ていた久慈に声をかけた。久慈は、ペンギンにエサをやろうとやってきたという。圭子は久慈に近寄ると、クンクンと臭いをかぎはじめた。  　総務部総務課に戻った須藤と圭子は、石松(三浦翔平)から詳細を聞き事件を整理していくと、久慈は藤原から叱責されることが多かったと分かる。弘子(浅野温子)は「それを恨んでの久慈の犯行なのか」と聞くが、須藤は何かが引っかかると言い…。</v>
      </c>
      <c r="N266" s="2" t="str">
        <f>IFERROR(__xludf.DUMMYFUNCTION("""COMPUTED_VALUE"""),"ホームページ】  http://www.fujitv.co.jp/ikimono/　    ")</f>
        <v>ホームページ】  http://www.fujitv.co.jp/ikimono/　    </v>
      </c>
      <c r="O266" s="2" t="str">
        <f>IFERROR(__xludf.DUMMYFUNCTION("""COMPUTED_VALUE"""),"公式Twitter】  @mpd_ikimono　  https://twitter.com/mpd_ikimono　    ")</f>
        <v>公式Twitter】  @mpd_ikimono　  https://twitter.com/mpd_ikimono　    </v>
      </c>
      <c r="P266" s="2" t="str">
        <f>IFERROR(__xludf.DUMMYFUNCTION("""COMPUTED_VALUE"""),"公式Instagram】  https://www.instagram.com/mpd_ikimono/　    ")</f>
        <v>公式Instagram】  https://www.instagram.com/mpd_ikimono/　    </v>
      </c>
      <c r="Q266" s="2" t="str">
        <f>IFERROR(__xludf.DUMMYFUNCTION("""COMPUTED_VALUE"""),"公式LINE】  @sundayanimals渡部篤郎　  橋本環奈　  三浦翔平　  長谷川朝晴　  石川恋　  清原翔　  横山だいすけ　  ティティ(猫/スコティッシュフォールド)　  でんでん　  寺島進　  浅野温子")</f>
        <v>公式LINE】  @sundayanimals渡部篤郎　  橋本環奈　  三浦翔平　  長谷川朝晴　  石川恋　  清原翔　  横山だいすけ　  ティティ(猫/スコティッシュフォールド)　  でんでん　  寺島進　  浅野温子</v>
      </c>
      <c r="R266" s="2" t="str">
        <f>IFERROR(__xludf.DUMMYFUNCTION("""COMPUTED_VALUE"""),"原作】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f>
        <v>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v>
      </c>
      <c r="S266" s="2" t="str">
        <f>IFERROR(__xludf.DUMMYFUNCTION("""COMPUTED_VALUE"""),"脚本】  田中眞一　    ")</f>
        <v>脚本】  田中眞一　    </v>
      </c>
      <c r="T266" s="2" t="str">
        <f>IFERROR(__xludf.DUMMYFUNCTION("""COMPUTED_VALUE"""),"編成企画】  渡辺恒也　    ")</f>
        <v>編成企画】  渡辺恒也　    </v>
      </c>
      <c r="U266" s="2" t="str">
        <f>IFERROR(__xludf.DUMMYFUNCTION("""COMPUTED_VALUE"""),"プロデュース】  貸川聡子　")</f>
        <v>プロデュース】  貸川聡子　</v>
      </c>
      <c r="V266" s="2" t="str">
        <f>IFERROR(__xludf.DUMMYFUNCTION("""COMPUTED_VALUE"""),"演出】  木下高男　  松木創　  石川淳一　  菊川誠　    ")</f>
        <v>演出】  木下高男　  松木創　  石川淳一　  菊川誠　    </v>
      </c>
      <c r="W266" s="2" t="str">
        <f>IFERROR(__xludf.DUMMYFUNCTION("""COMPUTED_VALUE"""),"主題歌】  「My　Buddy」超特急(SDR)　    ")</f>
        <v>主題歌】  「My　Buddy」超特急(SDR)　    </v>
      </c>
      <c r="X266" s="2" t="str">
        <f>IFERROR(__xludf.DUMMYFUNCTION("""COMPUTED_VALUE"""),"制作】  フジテレビ　    ")</f>
        <v>制作】  フジテレビ　    </v>
      </c>
      <c r="Y266" s="2" t="str">
        <f>IFERROR(__xludf.DUMMYFUNCTION("""COMPUTED_VALUE"""),"制作著作】  共同テレビ")</f>
        <v>制作著作】  共同テレビ</v>
      </c>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row>
    <row r="267" ht="204.75" customHeight="1">
      <c r="A267" s="1">
        <v>1171.0</v>
      </c>
      <c r="B267" s="2" t="s">
        <v>851</v>
      </c>
      <c r="C267" s="2">
        <f>IFERROR(__xludf.DUMMYFUNCTION("split(B267,""_"")"),1707.0)</f>
        <v>1707</v>
      </c>
      <c r="D267" s="2" t="str">
        <f>IFERROR(__xludf.DUMMYFUNCTION("""COMPUTED_VALUE"""),"CX")</f>
        <v>CX</v>
      </c>
      <c r="E267" s="2" t="str">
        <f>IFERROR(__xludf.DUMMYFUNCTION("""COMPUTED_VALUE"""),"日21")</f>
        <v>日21</v>
      </c>
      <c r="F267" s="2" t="s">
        <v>852</v>
      </c>
      <c r="G267" s="2" t="s">
        <v>859</v>
      </c>
      <c r="H267" s="1">
        <v>3.0</v>
      </c>
      <c r="I267" s="1" t="s">
        <v>10</v>
      </c>
      <c r="J267" s="1" t="s">
        <v>11</v>
      </c>
      <c r="K267" s="2" t="s">
        <v>860</v>
      </c>
      <c r="L267" s="2" t="s">
        <v>861</v>
      </c>
      <c r="M267" s="2" t="str">
        <f>IFERROR(__xludf.DUMMYFUNCTION("split(K267,""【"",false)"),"山脇という男性が海に投身自殺し、残されたペットのヘビを、須藤(渡部篤郎)と圭子(橋本環奈)が保護することになった。須藤と圭子、ヘビ好きの弥生(石川恋)の3人で、山脇宅を訪ねると、室内の奥の飼育部屋に大きなヘビが2匹いた。珍しいヘビにテンションがあがる圭子と弥生とは逆に、須藤は腰が引ける。圭子は、飼育部屋の環境やヘビの状態から、山脇が愛情を持ってヘビを育てていたと分析。ここまでヘビに愛情を注いでいた人が自殺するのはおかしい、と須藤に話した。  　須藤は、それを石松(三浦翔平)に報告。すると、石松も、自分にも"&amp;"引っかかっていたところがあると明かした。山脇が自殺したと思われるのは6月15日で、遺体の発見は19日。しかし、17日に隣人が山脇を見たと証言している、というのだ。  　翌日、再び山脇宅に入った須藤と圭子は、浴室のカーテンに血痕が付いているのを見つける。須藤は、何者かが山脇を浴室で殺害し、自殺に見せかけるため海岸に運んだのかもしれない、と推測。そんな時、圭子が見つけた便せんを見た須藤は、最初のページを鉛筆でこすると、あるメッセージが浮かび上がった。  　同じ頃、石松、日塔(長谷川朝晴)、桜井(清原翔)は、1"&amp;"0年前に起こった強盗傷害事件を追っていた。時効が3日後に迫った今、食い逃げ事件の現場から採取された指紋が、10年前の事件の容疑者と一致したのだ。そこへ、石松に須藤から連絡が入り…。")</f>
        <v>山脇という男性が海に投身自殺し、残されたペットのヘビを、須藤(渡部篤郎)と圭子(橋本環奈)が保護することになった。須藤と圭子、ヘビ好きの弥生(石川恋)の3人で、山脇宅を訪ねると、室内の奥の飼育部屋に大きなヘビが2匹いた。珍しいヘビにテンションがあがる圭子と弥生とは逆に、須藤は腰が引ける。圭子は、飼育部屋の環境やヘビの状態から、山脇が愛情を持ってヘビを育てていたと分析。ここまでヘビに愛情を注いでいた人が自殺するのはおかしい、と須藤に話した。  　須藤は、それを石松(三浦翔平)に報告。すると、石松も、自分にも引っかかっていたところがあると明かした。山脇が自殺したと思われるのは6月15日で、遺体の発見は19日。しかし、17日に隣人が山脇を見たと証言している、というのだ。  　翌日、再び山脇宅に入った須藤と圭子は、浴室のカーテンに血痕が付いているのを見つける。須藤は、何者かが山脇を浴室で殺害し、自殺に見せかけるため海岸に運んだのかもしれない、と推測。そんな時、圭子が見つけた便せんを見た須藤は、最初のページを鉛筆でこすると、あるメッセージが浮かび上がった。  　同じ頃、石松、日塔(長谷川朝晴)、桜井(清原翔)は、10年前に起こった強盗傷害事件を追っていた。時効が3日後に迫った今、食い逃げ事件の現場から採取された指紋が、10年前の事件の容疑者と一致したのだ。そこへ、石松に須藤から連絡が入り…。</v>
      </c>
      <c r="N267" s="2" t="str">
        <f>IFERROR(__xludf.DUMMYFUNCTION("""COMPUTED_VALUE"""),"ホームページ】  http://www.fujitv.co.jp/ikimono/　    ")</f>
        <v>ホームページ】  http://www.fujitv.co.jp/ikimono/　    </v>
      </c>
      <c r="O267" s="2" t="str">
        <f>IFERROR(__xludf.DUMMYFUNCTION("""COMPUTED_VALUE"""),"公式Twitter】  @mpd_ikimono　  https://twitter.com/mpd_ikimono　    ")</f>
        <v>公式Twitter】  @mpd_ikimono　  https://twitter.com/mpd_ikimono　    </v>
      </c>
      <c r="P267" s="2" t="str">
        <f>IFERROR(__xludf.DUMMYFUNCTION("""COMPUTED_VALUE"""),"公式Instagram】  @mpd_ikimono　https://www.instagram.com/mpd_ikimono/　    ")</f>
        <v>公式Instagram】  @mpd_ikimono　https://www.instagram.com/mpd_ikimono/　    </v>
      </c>
      <c r="Q267" s="2" t="str">
        <f>IFERROR(__xludf.DUMMYFUNCTION("""COMPUTED_VALUE"""),"公式LINE】  @sundayanimals渡部篤郎　  橋本環奈　  三浦翔平　  長谷川朝晴　  石川恋　  清原翔　  横山だいすけ　  ティティ(猫/スコティッシュフォールド)　  でんでん　  寺島進　  浅野温子")</f>
        <v>公式LINE】  @sundayanimals渡部篤郎　  橋本環奈　  三浦翔平　  長谷川朝晴　  石川恋　  清原翔　  横山だいすけ　  ティティ(猫/スコティッシュフォールド)　  でんでん　  寺島進　  浅野温子</v>
      </c>
      <c r="R267" s="2" t="str">
        <f>IFERROR(__xludf.DUMMYFUNCTION("""COMPUTED_VALUE"""),"原作】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f>
        <v>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v>
      </c>
      <c r="S267" s="2" t="str">
        <f>IFERROR(__xludf.DUMMYFUNCTION("""COMPUTED_VALUE"""),"脚本】  田中眞一　    ")</f>
        <v>脚本】  田中眞一　    </v>
      </c>
      <c r="T267" s="2" t="str">
        <f>IFERROR(__xludf.DUMMYFUNCTION("""COMPUTED_VALUE"""),"編成企画】  渡辺恒也　    ")</f>
        <v>編成企画】  渡辺恒也　    </v>
      </c>
      <c r="U267" s="2" t="str">
        <f>IFERROR(__xludf.DUMMYFUNCTION("""COMPUTED_VALUE"""),"プロデュース】  貸川聡子　")</f>
        <v>プロデュース】  貸川聡子　</v>
      </c>
      <c r="V267" s="2" t="str">
        <f>IFERROR(__xludf.DUMMYFUNCTION("""COMPUTED_VALUE"""),"演出】  木下高男　  松木創　  石川淳一　  菊川誠　    ")</f>
        <v>演出】  木下高男　  松木創　  石川淳一　  菊川誠　    </v>
      </c>
      <c r="W267" s="2" t="str">
        <f>IFERROR(__xludf.DUMMYFUNCTION("""COMPUTED_VALUE"""),"主題歌】  「My　Buddy」超特急(SDR)　    ")</f>
        <v>主題歌】  「My　Buddy」超特急(SDR)　    </v>
      </c>
      <c r="X267" s="2" t="str">
        <f>IFERROR(__xludf.DUMMYFUNCTION("""COMPUTED_VALUE"""),"制作】  フジテレビ　    ")</f>
        <v>制作】  フジテレビ　    </v>
      </c>
      <c r="Y267" s="2" t="str">
        <f>IFERROR(__xludf.DUMMYFUNCTION("""COMPUTED_VALUE"""),"制作著作】  共同テレビ")</f>
        <v>制作著作】  共同テレビ</v>
      </c>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row>
    <row r="268" ht="204.75" customHeight="1">
      <c r="A268" s="1">
        <v>1172.0</v>
      </c>
      <c r="B268" s="2" t="s">
        <v>851</v>
      </c>
      <c r="C268" s="2">
        <f>IFERROR(__xludf.DUMMYFUNCTION("split(B268,""_"")"),1707.0)</f>
        <v>1707</v>
      </c>
      <c r="D268" s="2" t="str">
        <f>IFERROR(__xludf.DUMMYFUNCTION("""COMPUTED_VALUE"""),"CX")</f>
        <v>CX</v>
      </c>
      <c r="E268" s="2" t="str">
        <f>IFERROR(__xludf.DUMMYFUNCTION("""COMPUTED_VALUE"""),"日21")</f>
        <v>日21</v>
      </c>
      <c r="F268" s="2" t="s">
        <v>852</v>
      </c>
      <c r="G268" s="2" t="s">
        <v>862</v>
      </c>
      <c r="H268" s="1">
        <v>4.0</v>
      </c>
      <c r="I268" s="1" t="s">
        <v>14</v>
      </c>
      <c r="J268" s="1" t="s">
        <v>11</v>
      </c>
      <c r="K268" s="2" t="s">
        <v>863</v>
      </c>
      <c r="L268" s="2" t="s">
        <v>864</v>
      </c>
      <c r="M268" s="2" t="str">
        <f>IFERROR(__xludf.DUMMYFUNCTION("split(K268,""【"",false)"),"須藤(渡部篤郎)は、応援に入った捜査一課の事件現場で本部の指示を仰がずに突入。犯人は逮捕したものの、日塔(長谷川朝晴)から大目玉を食らう。そんな折、須藤は、石松(三浦翔平)から手紙を渡される。それは、16歳になったという息子の手紙で、息子がいた記憶がない須藤は、動揺する。  　その後“いきもの係""に戻った須藤は、圭子(橋本環奈)と弘子(浅野温子)がガスマスクをしていることに仰天。聞けば、スカンクを預かっているという。そこへ、石松が新しい事件の詳細を持ってきた。事件が起こったのは3日前の夜、小学校の廊下で"&amp;"教頭・三好(高松克弥)が後頭部を殴打され死亡。容疑者は、そばに倒れていた学習塾の元経営者・津浜(志賀圭二郎)で、意識不明の重体だという。ふたりは、課外授業「ふれあい教室」を巡りもめていた。ふれあい教室では、津浜が飼っていたヤギとの触れ合いが人気だった。津浜が入院中のため、ヤギを圭子らが保護することになったのだ。  　須藤とともにヤギ小屋へ来た圭子は、ふわふわでかわいいシバヤギにテンションが上がる。環境もヤギの状態も良く圭子が安堵していると、少年がやってくる。現場にいた四十万(横山だいすけ)が制しても、少年"&amp;"は小屋まで入って来る。須藤が話を聞くと、少年は“ヤギのおじちゃん""と呼ばれていた津浜はいい人で、絶対に悪いことはしないと譲らない。")</f>
        <v>須藤(渡部篤郎)は、応援に入った捜査一課の事件現場で本部の指示を仰がずに突入。犯人は逮捕したものの、日塔(長谷川朝晴)から大目玉を食らう。そんな折、須藤は、石松(三浦翔平)から手紙を渡される。それは、16歳になったという息子の手紙で、息子がいた記憶がない須藤は、動揺する。  　その後“いきもの係"に戻った須藤は、圭子(橋本環奈)と弘子(浅野温子)がガスマスクをしていることに仰天。聞けば、スカンクを預かっているという。そこへ、石松が新しい事件の詳細を持ってきた。事件が起こったのは3日前の夜、小学校の廊下で教頭・三好(高松克弥)が後頭部を殴打され死亡。容疑者は、そばに倒れていた学習塾の元経営者・津浜(志賀圭二郎)で、意識不明の重体だという。ふたりは、課外授業「ふれあい教室」を巡りもめていた。ふれあい教室では、津浜が飼っていたヤギとの触れ合いが人気だった。津浜が入院中のため、ヤギを圭子らが保護することになったのだ。  　須藤とともにヤギ小屋へ来た圭子は、ふわふわでかわいいシバヤギにテンションが上がる。環境もヤギの状態も良く圭子が安堵していると、少年がやってくる。現場にいた四十万(横山だいすけ)が制しても、少年は小屋まで入って来る。須藤が話を聞くと、少年は“ヤギのおじちゃん"と呼ばれていた津浜はいい人で、絶対に悪いことはしないと譲らない。</v>
      </c>
      <c r="N268" s="2" t="str">
        <f>IFERROR(__xludf.DUMMYFUNCTION("""COMPUTED_VALUE"""),"ホームページ】  http://www.fujitv.co.jp/ikimono/　    ")</f>
        <v>ホームページ】  http://www.fujitv.co.jp/ikimono/　    </v>
      </c>
      <c r="O268" s="2" t="str">
        <f>IFERROR(__xludf.DUMMYFUNCTION("""COMPUTED_VALUE"""),"公式Twitter】  @mpd_ikimono　  https://twitter.com/mpd_ikimono　    ")</f>
        <v>公式Twitter】  @mpd_ikimono　  https://twitter.com/mpd_ikimono　    </v>
      </c>
      <c r="P268" s="2" t="str">
        <f>IFERROR(__xludf.DUMMYFUNCTION("""COMPUTED_VALUE"""),"公式Instagram】  @mpd_ikimono　  https://www.instagram.com/mpd_ikimono/　    ")</f>
        <v>公式Instagram】  @mpd_ikimono　  https://www.instagram.com/mpd_ikimono/　    </v>
      </c>
      <c r="Q268" s="2" t="str">
        <f>IFERROR(__xludf.DUMMYFUNCTION("""COMPUTED_VALUE"""),"公式LINE】  @sundayanimals渡部篤郎　  橋本環奈　  三浦翔平　  長谷川朝晴　  石川恋　  清原翔　  横山だいすけ　  ティティ(猫/スコティッシュフォールド)　  でんでん　  寺島進　  浅野温子")</f>
        <v>公式LINE】  @sundayanimals渡部篤郎　  橋本環奈　  三浦翔平　  長谷川朝晴　  石川恋　  清原翔　  横山だいすけ　  ティティ(猫/スコティッシュフォールド)　  でんでん　  寺島進　  浅野温子</v>
      </c>
      <c r="R268" s="2" t="str">
        <f>IFERROR(__xludf.DUMMYFUNCTION("""COMPUTED_VALUE"""),"原作】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f>
        <v>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v>
      </c>
      <c r="S268" s="2" t="str">
        <f>IFERROR(__xludf.DUMMYFUNCTION("""COMPUTED_VALUE"""),"脚本】  田中眞一　    ")</f>
        <v>脚本】  田中眞一　    </v>
      </c>
      <c r="T268" s="2" t="str">
        <f>IFERROR(__xludf.DUMMYFUNCTION("""COMPUTED_VALUE"""),"編成企画】  渡辺恒也　    ")</f>
        <v>編成企画】  渡辺恒也　    </v>
      </c>
      <c r="U268" s="2" t="str">
        <f>IFERROR(__xludf.DUMMYFUNCTION("""COMPUTED_VALUE"""),"プロデュース】  貸川聡子　")</f>
        <v>プロデュース】  貸川聡子　</v>
      </c>
      <c r="V268" s="2" t="str">
        <f>IFERROR(__xludf.DUMMYFUNCTION("""COMPUTED_VALUE"""),"演出】  木下高男　  松木創　  石川淳一　  菊川誠　    ")</f>
        <v>演出】  木下高男　  松木創　  石川淳一　  菊川誠　    </v>
      </c>
      <c r="W268" s="2" t="str">
        <f>IFERROR(__xludf.DUMMYFUNCTION("""COMPUTED_VALUE"""),"主題歌】  「My　Buddy」超特急(SDR)　    ")</f>
        <v>主題歌】  「My　Buddy」超特急(SDR)　    </v>
      </c>
      <c r="X268" s="2" t="str">
        <f>IFERROR(__xludf.DUMMYFUNCTION("""COMPUTED_VALUE"""),"制作】  フジテレビ　    ")</f>
        <v>制作】  フジテレビ　    </v>
      </c>
      <c r="Y268" s="2" t="str">
        <f>IFERROR(__xludf.DUMMYFUNCTION("""COMPUTED_VALUE"""),"制作著作】  共同テレビ")</f>
        <v>制作著作】  共同テレビ</v>
      </c>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row>
    <row r="269" ht="204.75" customHeight="1">
      <c r="A269" s="1">
        <v>1173.0</v>
      </c>
      <c r="B269" s="2" t="s">
        <v>851</v>
      </c>
      <c r="C269" s="2">
        <f>IFERROR(__xludf.DUMMYFUNCTION("split(B269,""_"")"),1707.0)</f>
        <v>1707</v>
      </c>
      <c r="D269" s="2" t="str">
        <f>IFERROR(__xludf.DUMMYFUNCTION("""COMPUTED_VALUE"""),"CX")</f>
        <v>CX</v>
      </c>
      <c r="E269" s="2" t="str">
        <f>IFERROR(__xludf.DUMMYFUNCTION("""COMPUTED_VALUE"""),"日21")</f>
        <v>日21</v>
      </c>
      <c r="F269" s="2" t="s">
        <v>852</v>
      </c>
      <c r="G269" s="2" t="s">
        <v>865</v>
      </c>
      <c r="H269" s="1">
        <v>5.0</v>
      </c>
      <c r="I269" s="1" t="s">
        <v>17</v>
      </c>
      <c r="J269" s="1" t="s">
        <v>11</v>
      </c>
      <c r="K269" s="2" t="s">
        <v>866</v>
      </c>
      <c r="L269" s="2" t="s">
        <v>867</v>
      </c>
      <c r="M269" s="2" t="str">
        <f>IFERROR(__xludf.DUMMYFUNCTION("split(K269,""【"",false)"),"ホームページ】  http://www.fujitv.co.jp/ikimono/　    ")</f>
        <v>ホームページ】  http://www.fujitv.co.jp/ikimono/　    </v>
      </c>
      <c r="N269" s="2" t="str">
        <f>IFERROR(__xludf.DUMMYFUNCTION("""COMPUTED_VALUE"""),"公式Twitter】  @mpd_ikimono　  https://twitter.com/mpd_ikimono　    ")</f>
        <v>公式Twitter】  @mpd_ikimono　  https://twitter.com/mpd_ikimono　    </v>
      </c>
      <c r="O269" s="2" t="str">
        <f>IFERROR(__xludf.DUMMYFUNCTION("""COMPUTED_VALUE"""),"公式Instagram】  @mpd_ikimono　  https://www.instagram.com/mpd_ikimono/　    ")</f>
        <v>公式Instagram】  @mpd_ikimono　  https://www.instagram.com/mpd_ikimono/　    </v>
      </c>
      <c r="P269" s="2" t="str">
        <f>IFERROR(__xludf.DUMMYFUNCTION("""COMPUTED_VALUE"""),"公式LINE】  @sundayanimals　須藤(渡部篤郎)は、過去の記憶があいまいなことを薄巡査(橋本環奈)に指摘されショックを受ける。やがては、警察中の人間の知るところとなり、そうなれば刑事を続けることは難しいと悲観し、辞職を決意する。  　そんな折、石松(三浦翔平)から、薄巡査が殺人事件の第一発見者になっていると連絡が入った。現場に駆け付けた須藤に薄巡査は、知人の五反田(鈴之助)からリスザルのことで相談を受け、様子を見に五反田のマンションに寄ったところ、五反田の恋人の名子(渡辺瞳子)が死んでいる"&amp;"のを見つけた、と証言。鉄アレイで後頭部を殴打されたのが死因だった。  　現場を捜査した日塔(長谷川朝晴)は、暑い部屋の温度を下げようとリモコンを探し、床に落ちていたものを拾う。すると、そこに血痕が付いていた。  　捜査の結果、鉄アレイから五反田の指紋が出たこと、五反田と名子は別れ話でもめていたことから五反田が容疑者となった。　翌日、いきもの係に日塔から、五反田の部屋でリスザルが大暴れしていると報告が入る。須藤と薄巡査が到着すると、リスザルと格闘した警官が数名ヘトヘトになっていた。四十万(横山だいすけ)は、"&amp;"リスザルに噛まれ病院へ向かったという。リスザルは興奮して部屋を飛び回っていたが、薄巡査がつかまえてあやすと、落ち着きを取り戻す。薄巡査は、リスザルのケージの扉のストッパーがゆるんでいたことが気にかかる。渡部篤郎　  橋本環奈　  三浦翔平　  長谷川朝晴　  石川恋　  清原翔　  横山だいすけ　  ティティ(猫/スコティッシュフォールド)　  でんでん　  寺島進　  浅野温子")</f>
        <v>公式LINE】  @sundayanimals　須藤(渡部篤郎)は、過去の記憶があいまいなことを薄巡査(橋本環奈)に指摘されショックを受ける。やがては、警察中の人間の知るところとなり、そうなれば刑事を続けることは難しいと悲観し、辞職を決意する。  　そんな折、石松(三浦翔平)から、薄巡査が殺人事件の第一発見者になっていると連絡が入った。現場に駆け付けた須藤に薄巡査は、知人の五反田(鈴之助)からリスザルのことで相談を受け、様子を見に五反田のマンションに寄ったところ、五反田の恋人の名子(渡辺瞳子)が死んでいるのを見つけた、と証言。鉄アレイで後頭部を殴打されたのが死因だった。  　現場を捜査した日塔(長谷川朝晴)は、暑い部屋の温度を下げようとリモコンを探し、床に落ちていたものを拾う。すると、そこに血痕が付いていた。  　捜査の結果、鉄アレイから五反田の指紋が出たこと、五反田と名子は別れ話でもめていたことから五反田が容疑者となった。　翌日、いきもの係に日塔から、五反田の部屋でリスザルが大暴れしていると報告が入る。須藤と薄巡査が到着すると、リスザルと格闘した警官が数名ヘトヘトになっていた。四十万(横山だいすけ)は、リスザルに噛まれ病院へ向かったという。リスザルは興奮して部屋を飛び回っていたが、薄巡査がつかまえてあやすと、落ち着きを取り戻す。薄巡査は、リスザルのケージの扉のストッパーがゆるんでいたことが気にかかる。渡部篤郎　  橋本環奈　  三浦翔平　  長谷川朝晴　  石川恋　  清原翔　  横山だいすけ　  ティティ(猫/スコティッシュフォールド)　  でんでん　  寺島進　  浅野温子</v>
      </c>
      <c r="Q269" s="2" t="str">
        <f>IFERROR(__xludf.DUMMYFUNCTION("""COMPUTED_VALUE"""),"原作】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f>
        <v>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v>
      </c>
      <c r="R269" s="2" t="str">
        <f>IFERROR(__xludf.DUMMYFUNCTION("""COMPUTED_VALUE"""),"脚本】  田中眞一　    ")</f>
        <v>脚本】  田中眞一　    </v>
      </c>
      <c r="S269" s="2" t="str">
        <f>IFERROR(__xludf.DUMMYFUNCTION("""COMPUTED_VALUE"""),"編成企画】  渡辺恒也　    ")</f>
        <v>編成企画】  渡辺恒也　    </v>
      </c>
      <c r="T269" s="2" t="str">
        <f>IFERROR(__xludf.DUMMYFUNCTION("""COMPUTED_VALUE"""),"プロデュース】  貸川聡子　")</f>
        <v>プロデュース】  貸川聡子　</v>
      </c>
      <c r="U269" s="2" t="str">
        <f>IFERROR(__xludf.DUMMYFUNCTION("""COMPUTED_VALUE"""),"演出】  木下高男　  松木創　  石川淳一　  菊川誠　    ")</f>
        <v>演出】  木下高男　  松木創　  石川淳一　  菊川誠　    </v>
      </c>
      <c r="V269" s="2" t="str">
        <f>IFERROR(__xludf.DUMMYFUNCTION("""COMPUTED_VALUE"""),"主題歌】  「My　Buddy」超特急(SDR)　    ")</f>
        <v>主題歌】  「My　Buddy」超特急(SDR)　    </v>
      </c>
      <c r="W269" s="2" t="str">
        <f>IFERROR(__xludf.DUMMYFUNCTION("""COMPUTED_VALUE"""),"制作】  フジテレビ　    ")</f>
        <v>制作】  フジテレビ　    </v>
      </c>
      <c r="X269" s="2" t="str">
        <f>IFERROR(__xludf.DUMMYFUNCTION("""COMPUTED_VALUE"""),"制作著作】  共同テレビ")</f>
        <v>制作著作】  共同テレビ</v>
      </c>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row>
    <row r="270" ht="204.75" customHeight="1">
      <c r="A270" s="1">
        <v>1174.0</v>
      </c>
      <c r="B270" s="2" t="s">
        <v>851</v>
      </c>
      <c r="C270" s="2">
        <f>IFERROR(__xludf.DUMMYFUNCTION("split(B270,""_"")"),1707.0)</f>
        <v>1707</v>
      </c>
      <c r="D270" s="2" t="str">
        <f>IFERROR(__xludf.DUMMYFUNCTION("""COMPUTED_VALUE"""),"CX")</f>
        <v>CX</v>
      </c>
      <c r="E270" s="2" t="str">
        <f>IFERROR(__xludf.DUMMYFUNCTION("""COMPUTED_VALUE"""),"日21")</f>
        <v>日21</v>
      </c>
      <c r="F270" s="2" t="s">
        <v>852</v>
      </c>
      <c r="G270" s="2" t="s">
        <v>868</v>
      </c>
      <c r="H270" s="1">
        <v>6.0</v>
      </c>
      <c r="I270" s="1" t="s">
        <v>21</v>
      </c>
      <c r="J270" s="1" t="s">
        <v>11</v>
      </c>
      <c r="K270" s="2" t="s">
        <v>869</v>
      </c>
      <c r="L270" s="2" t="s">
        <v>870</v>
      </c>
      <c r="M270" s="2" t="str">
        <f>IFERROR(__xludf.DUMMYFUNCTION("split(K270,""【"",false)"),"ホームページ】  http://www.fujitv.co.jp/ikimono/　    ")</f>
        <v>ホームページ】  http://www.fujitv.co.jp/ikimono/　    </v>
      </c>
      <c r="N270" s="2" t="str">
        <f>IFERROR(__xludf.DUMMYFUNCTION("""COMPUTED_VALUE"""),"公式Twitter】  @mpd_ikimono　  https://twitter.com/mpd_ikimono　    ")</f>
        <v>公式Twitter】  @mpd_ikimono　  https://twitter.com/mpd_ikimono　    </v>
      </c>
      <c r="O270" s="2" t="str">
        <f>IFERROR(__xludf.DUMMYFUNCTION("""COMPUTED_VALUE"""),"公式Instagram】  @mpd_ikimono　  https://www.instagram.com/mpd_ikimono/　    ")</f>
        <v>公式Instagram】  @mpd_ikimono　  https://www.instagram.com/mpd_ikimono/　    </v>
      </c>
      <c r="P270" s="2" t="str">
        <f>IFERROR(__xludf.DUMMYFUNCTION("""COMPUTED_VALUE"""),"公式LINE】  @sundayanimals　「殺人現場に得体の知れない動物らしきものがいる」と、いきもの係に連絡が入った。悪魔のようなうなり声がして、誰も手出しができないという。須藤(渡部篤郎)と薄(橋本環奈)は現場に向かう。  　須藤と薄が梶田という被害者の家に着くと、日塔(長谷川朝晴)と桜井(清原翔)が、布がかかったケージの前で立ち尽くしていた。そばには、気落ちした様子の石松(三浦翔平)もいた。石松の顔を見た須藤は、突然、頭痛に襲われる。ところが、薄を見ると頭痛は止んだ。どうやら、たい焼きを見た時"&amp;"と同じ現象のようだ。須藤は、石松に退出するよう頼む。  　桜井によれば、梶田は頭部を殴打され死亡。遺体は隣人が発見したと言う。大きなケージがあるほかは、部屋は殺風景だった。薄が静かに布を取ると、中に体長30cmほどのヨウムがいた。状態は良いが「最も賢い鳥」と言われ知能が高いヨウムは、飼い主が殺害された現場を目撃したため、おびえてエサを取らないのが問題だと薄は話した。  　その後、梶田ともめていた伊勢という男が浮上。ヨウムは、もともと伊勢が飼っていたが、会社が経営不振に陥ったため、梶田に預けていたものだった"&amp;"。梶田が、誰かに大金を貸していることも判明したため、警察は、梶田と伊勢の借金を巡るトラブルではないか、と推測。しかし、伊勢は完全否定する。一方、薄はヨウムが遊ぶブロックが外れていたことに気づき…。渡部篤郎　  橋本環奈　  三浦翔平　  長谷川朝晴　  石川恋　  清原翔　  横山だいすけ　  ティティ(猫/スコティッシュフォールド)　  でんでん　  寺島進　  浅野温子")</f>
        <v>公式LINE】  @sundayanimals　「殺人現場に得体の知れない動物らしきものがいる」と、いきもの係に連絡が入った。悪魔のようなうなり声がして、誰も手出しができないという。須藤(渡部篤郎)と薄(橋本環奈)は現場に向かう。  　須藤と薄が梶田という被害者の家に着くと、日塔(長谷川朝晴)と桜井(清原翔)が、布がかかったケージの前で立ち尽くしていた。そばには、気落ちした様子の石松(三浦翔平)もいた。石松の顔を見た須藤は、突然、頭痛に襲われる。ところが、薄を見ると頭痛は止んだ。どうやら、たい焼きを見た時と同じ現象のようだ。須藤は、石松に退出するよう頼む。  　桜井によれば、梶田は頭部を殴打され死亡。遺体は隣人が発見したと言う。大きなケージがあるほかは、部屋は殺風景だった。薄が静かに布を取ると、中に体長30cmほどのヨウムがいた。状態は良いが「最も賢い鳥」と言われ知能が高いヨウムは、飼い主が殺害された現場を目撃したため、おびえてエサを取らないのが問題だと薄は話した。  　その後、梶田ともめていた伊勢という男が浮上。ヨウムは、もともと伊勢が飼っていたが、会社が経営不振に陥ったため、梶田に預けていたものだった。梶田が、誰かに大金を貸していることも判明したため、警察は、梶田と伊勢の借金を巡るトラブルではないか、と推測。しかし、伊勢は完全否定する。一方、薄はヨウムが遊ぶブロックが外れていたことに気づき…。渡部篤郎　  橋本環奈　  三浦翔平　  長谷川朝晴　  石川恋　  清原翔　  横山だいすけ　  ティティ(猫/スコティッシュフォールド)　  でんでん　  寺島進　  浅野温子</v>
      </c>
      <c r="Q270" s="2" t="str">
        <f>IFERROR(__xludf.DUMMYFUNCTION("""COMPUTED_VALUE"""),"原作】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f>
        <v>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v>
      </c>
      <c r="R270" s="2" t="str">
        <f>IFERROR(__xludf.DUMMYFUNCTION("""COMPUTED_VALUE"""),"脚本】  田中眞一　    ")</f>
        <v>脚本】  田中眞一　    </v>
      </c>
      <c r="S270" s="2" t="str">
        <f>IFERROR(__xludf.DUMMYFUNCTION("""COMPUTED_VALUE"""),"編成企画】  渡辺恒也　    ")</f>
        <v>編成企画】  渡辺恒也　    </v>
      </c>
      <c r="T270" s="2" t="str">
        <f>IFERROR(__xludf.DUMMYFUNCTION("""COMPUTED_VALUE"""),"プロデュース】  貸川聡子　")</f>
        <v>プロデュース】  貸川聡子　</v>
      </c>
      <c r="U270" s="2" t="str">
        <f>IFERROR(__xludf.DUMMYFUNCTION("""COMPUTED_VALUE"""),"演出】  木下高男　  松木創　  石川淳一　  菊川誠　    ")</f>
        <v>演出】  木下高男　  松木創　  石川淳一　  菊川誠　    </v>
      </c>
      <c r="V270" s="2" t="str">
        <f>IFERROR(__xludf.DUMMYFUNCTION("""COMPUTED_VALUE"""),"主題歌】  「My　Buddy」超特急(SDR)　    ")</f>
        <v>主題歌】  「My　Buddy」超特急(SDR)　    </v>
      </c>
      <c r="W270" s="2" t="str">
        <f>IFERROR(__xludf.DUMMYFUNCTION("""COMPUTED_VALUE"""),"制作】  フジテレビ　    ")</f>
        <v>制作】  フジテレビ　    </v>
      </c>
      <c r="X270" s="2" t="str">
        <f>IFERROR(__xludf.DUMMYFUNCTION("""COMPUTED_VALUE"""),"制作著作】  共同テレビ")</f>
        <v>制作著作】  共同テレビ</v>
      </c>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row>
    <row r="271" ht="204.75" customHeight="1">
      <c r="A271" s="1">
        <v>1175.0</v>
      </c>
      <c r="B271" s="2" t="s">
        <v>851</v>
      </c>
      <c r="C271" s="2">
        <f>IFERROR(__xludf.DUMMYFUNCTION("split(B271,""_"")"),1707.0)</f>
        <v>1707</v>
      </c>
      <c r="D271" s="2" t="str">
        <f>IFERROR(__xludf.DUMMYFUNCTION("""COMPUTED_VALUE"""),"CX")</f>
        <v>CX</v>
      </c>
      <c r="E271" s="2" t="str">
        <f>IFERROR(__xludf.DUMMYFUNCTION("""COMPUTED_VALUE"""),"日21")</f>
        <v>日21</v>
      </c>
      <c r="F271" s="2" t="s">
        <v>852</v>
      </c>
      <c r="G271" s="2" t="s">
        <v>871</v>
      </c>
      <c r="H271" s="1">
        <v>7.0</v>
      </c>
      <c r="I271" s="1" t="s">
        <v>25</v>
      </c>
      <c r="J271" s="1" t="s">
        <v>11</v>
      </c>
      <c r="K271" s="2" t="s">
        <v>872</v>
      </c>
      <c r="L271" s="2" t="s">
        <v>873</v>
      </c>
      <c r="M271" s="2" t="str">
        <f>IFERROR(__xludf.DUMMYFUNCTION("split(K271,""【"",false)"),"古い一軒家に住む高齢男性の川田(秋間登)が、首を絞めて殺された。発見したのは友人の戸村(坪谷隆寛)で、戸村は川田が飼っていたピラニアを見せてもらうため自宅を訪ねたと証言した。  　須藤(渡部篤郎)と圭子(橋本環奈)は、ピラニアの保護のため川田宅へ。そこで、日塔(長谷川朝晴)から、水槽の底に沈んでいるものを取るよう指示される。圭子が取ると、それは戸村が勤める宅配会社の社章だった。石松(三浦翔平)は、戸村がピラニアを巡り川田ともめていたこと、さらに、周囲の防犯カメラに、戸村が川田の家に石を投げつける様子も映っ"&amp;"ていたことを説明した。  　事件からさかのぼること2週間前、川田宅の近所の公園の池にピラニアが放流され、その後、区役所に「公園で遊ぶ子どもの声がうるさい」と苦情が寄せられるという騒動が起こっていた。須藤は、この“いかにも川田の犯行""と思える事件の流れを不審に思う。  　川田宅の水槽を見ていた圭子は“ナッテリー""という初心者向けのピラニアの状態が悪いことに気づく。水槽や設備が新しいのを見ても、ピラニア飼育のベテランの川田がナッテリーを飼い始めるとは思えない、と圭子は須藤に話した。ふたりは近くでピラニアを"&amp;"扱っているペットショップへ行き、オーナーの草野(夕輝壽太)に聞くと、草野は川田をよく知っていると答えた。やがて、動物に関する知識が豊富な草野と圭子は意気投合し、草野は圭子をデートに誘う。")</f>
        <v>古い一軒家に住む高齢男性の川田(秋間登)が、首を絞めて殺された。発見したのは友人の戸村(坪谷隆寛)で、戸村は川田が飼っていたピラニアを見せてもらうため自宅を訪ねたと証言した。  　須藤(渡部篤郎)と圭子(橋本環奈)は、ピラニアの保護のため川田宅へ。そこで、日塔(長谷川朝晴)から、水槽の底に沈んでいるものを取るよう指示される。圭子が取ると、それは戸村が勤める宅配会社の社章だった。石松(三浦翔平)は、戸村がピラニアを巡り川田ともめていたこと、さらに、周囲の防犯カメラに、戸村が川田の家に石を投げつける様子も映っていたことを説明した。  　事件からさかのぼること2週間前、川田宅の近所の公園の池にピラニアが放流され、その後、区役所に「公園で遊ぶ子どもの声がうるさい」と苦情が寄せられるという騒動が起こっていた。須藤は、この“いかにも川田の犯行"と思える事件の流れを不審に思う。  　川田宅の水槽を見ていた圭子は“ナッテリー"という初心者向けのピラニアの状態が悪いことに気づく。水槽や設備が新しいのを見ても、ピラニア飼育のベテランの川田がナッテリーを飼い始めるとは思えない、と圭子は須藤に話した。ふたりは近くでピラニアを扱っているペットショップへ行き、オーナーの草野(夕輝壽太)に聞くと、草野は川田をよく知っていると答えた。やがて、動物に関する知識が豊富な草野と圭子は意気投合し、草野は圭子をデートに誘う。</v>
      </c>
      <c r="N271" s="2" t="str">
        <f>IFERROR(__xludf.DUMMYFUNCTION("""COMPUTED_VALUE"""),"ホームページ】  http://www.fujitv.co.jp/ikimono/　    ")</f>
        <v>ホームページ】  http://www.fujitv.co.jp/ikimono/　    </v>
      </c>
      <c r="O271" s="2" t="str">
        <f>IFERROR(__xludf.DUMMYFUNCTION("""COMPUTED_VALUE"""),"公式Twitter】  @mpd_ikimono　  https://twitter.com/mpd_ikimono　    ")</f>
        <v>公式Twitter】  @mpd_ikimono　  https://twitter.com/mpd_ikimono　    </v>
      </c>
      <c r="P271" s="2" t="str">
        <f>IFERROR(__xludf.DUMMYFUNCTION("""COMPUTED_VALUE"""),"公式Instagram】  @mpd_ikimono　  https://www.instagram.com/mpd_ikimono/　    ")</f>
        <v>公式Instagram】  @mpd_ikimono　  https://www.instagram.com/mpd_ikimono/　    </v>
      </c>
      <c r="Q271" s="2" t="str">
        <f>IFERROR(__xludf.DUMMYFUNCTION("""COMPUTED_VALUE"""),"公式LINE】  @sundayanimals渡部篤郎　  橋本環奈　  三浦翔平　  長谷川朝晴　  石川恋　  清原翔　  横山だいすけ　  ティティ(猫/スコティッシュフォールド)　  でんでん　  寺島進　  浅野温子")</f>
        <v>公式LINE】  @sundayanimals渡部篤郎　  橋本環奈　  三浦翔平　  長谷川朝晴　  石川恋　  清原翔　  横山だいすけ　  ティティ(猫/スコティッシュフォールド)　  でんでん　  寺島進　  浅野温子</v>
      </c>
      <c r="R271" s="2" t="str">
        <f>IFERROR(__xludf.DUMMYFUNCTION("""COMPUTED_VALUE"""),"原作】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f>
        <v>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v>
      </c>
      <c r="S271" s="2" t="str">
        <f>IFERROR(__xludf.DUMMYFUNCTION("""COMPUTED_VALUE"""),"脚本】  田中眞一　    ")</f>
        <v>脚本】  田中眞一　    </v>
      </c>
      <c r="T271" s="2" t="str">
        <f>IFERROR(__xludf.DUMMYFUNCTION("""COMPUTED_VALUE"""),"編成企画】  渡辺恒也　    ")</f>
        <v>編成企画】  渡辺恒也　    </v>
      </c>
      <c r="U271" s="2" t="str">
        <f>IFERROR(__xludf.DUMMYFUNCTION("""COMPUTED_VALUE"""),"プロデュース】  貸川聡子　")</f>
        <v>プロデュース】  貸川聡子　</v>
      </c>
      <c r="V271" s="2" t="str">
        <f>IFERROR(__xludf.DUMMYFUNCTION("""COMPUTED_VALUE"""),"演出】  木下高男　  松木創　  石川淳一　  菊川誠　    ")</f>
        <v>演出】  木下高男　  松木創　  石川淳一　  菊川誠　    </v>
      </c>
      <c r="W271" s="2" t="str">
        <f>IFERROR(__xludf.DUMMYFUNCTION("""COMPUTED_VALUE"""),"主題歌】  「My　Buddy」超特急(SDR)　    ")</f>
        <v>主題歌】  「My　Buddy」超特急(SDR)　    </v>
      </c>
      <c r="X271" s="2" t="str">
        <f>IFERROR(__xludf.DUMMYFUNCTION("""COMPUTED_VALUE"""),"制作】  フジテレビ　    ")</f>
        <v>制作】  フジテレビ　    </v>
      </c>
      <c r="Y271" s="2" t="str">
        <f>IFERROR(__xludf.DUMMYFUNCTION("""COMPUTED_VALUE"""),"制作著作】  共同テレビ")</f>
        <v>制作著作】  共同テレビ</v>
      </c>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row>
    <row r="272" ht="204.75" customHeight="1">
      <c r="A272" s="1">
        <v>1176.0</v>
      </c>
      <c r="B272" s="2" t="s">
        <v>851</v>
      </c>
      <c r="C272" s="2">
        <f>IFERROR(__xludf.DUMMYFUNCTION("split(B272,""_"")"),1707.0)</f>
        <v>1707</v>
      </c>
      <c r="D272" s="2" t="str">
        <f>IFERROR(__xludf.DUMMYFUNCTION("""COMPUTED_VALUE"""),"CX")</f>
        <v>CX</v>
      </c>
      <c r="E272" s="2" t="str">
        <f>IFERROR(__xludf.DUMMYFUNCTION("""COMPUTED_VALUE"""),"日21")</f>
        <v>日21</v>
      </c>
      <c r="F272" s="2" t="s">
        <v>852</v>
      </c>
      <c r="G272" s="2" t="s">
        <v>874</v>
      </c>
      <c r="H272" s="1">
        <v>8.0</v>
      </c>
      <c r="I272" s="1" t="s">
        <v>29</v>
      </c>
      <c r="J272" s="1" t="s">
        <v>11</v>
      </c>
      <c r="K272" s="2" t="s">
        <v>875</v>
      </c>
      <c r="L272" s="2" t="s">
        <v>876</v>
      </c>
      <c r="M272" s="2" t="str">
        <f>IFERROR(__xludf.DUMMYFUNCTION("split(K272,""【"",false)"),"薄(橋本環奈)が“いきもの係""から抜けるかもしれないと鬼頭(寺島進)から告げられた須藤(渡部篤郎)は、そのことを石松(三浦翔平)に話した。するといつの間にか弘子(浅野温子)、二出川(でんでん)、弥生(石川恋)も来て話を聞いていた。薄に詳細を聞いていないという須藤に、弘子らは聞く、聞かないで揉めはじめる。  　そんな中、石松が新たな事件について明かした。渋谷(岡慶悟)という会計士が自宅書斎で撲殺されているのを、妻の敦子(青山倫子)が発見。容疑者は、隣人で翻訳家の藤田(千葉ペイトン)だという。渋谷は、藤田が"&amp;"飼っているフクロウの鳴き声や羽ばたきがうるさいと苦情を訴え、トラブルになっていた。敦子は2人を和解させるため話し合いを持たせたが、お互い譲らずに関係はさらに悪化した。話し合いには、藤田の友人でミミズクを飼う友塚(佐伯新)が付き添っていた。捜査の結果、藤田の家から、渋谷の血液と藤田の指紋が付いた凶器が発見されたが藤田は犯行を全面否認しているという。  　須藤と薄が藤田の家に着くと、四十万(横山だいすけ)がうれしそうに走ってきた。四十万に確認し、室内に入った2人を体長50cmほどのモリフクロウが迎えた。室内で"&amp;"放し飼いにされているフクロウが空腹だと察した薄は、エサを与える。その後、室内を見回した薄は、止まり木の下に置かれているためフンが付いている地球儀を見て疑問に思う。")</f>
        <v>薄(橋本環奈)が“いきもの係"から抜けるかもしれないと鬼頭(寺島進)から告げられた須藤(渡部篤郎)は、そのことを石松(三浦翔平)に話した。するといつの間にか弘子(浅野温子)、二出川(でんでん)、弥生(石川恋)も来て話を聞いていた。薄に詳細を聞いていないという須藤に、弘子らは聞く、聞かないで揉めはじめる。  　そんな中、石松が新たな事件について明かした。渋谷(岡慶悟)という会計士が自宅書斎で撲殺されているのを、妻の敦子(青山倫子)が発見。容疑者は、隣人で翻訳家の藤田(千葉ペイトン)だという。渋谷は、藤田が飼っているフクロウの鳴き声や羽ばたきがうるさいと苦情を訴え、トラブルになっていた。敦子は2人を和解させるため話し合いを持たせたが、お互い譲らずに関係はさらに悪化した。話し合いには、藤田の友人でミミズクを飼う友塚(佐伯新)が付き添っていた。捜査の結果、藤田の家から、渋谷の血液と藤田の指紋が付いた凶器が発見されたが藤田は犯行を全面否認しているという。  　須藤と薄が藤田の家に着くと、四十万(横山だいすけ)がうれしそうに走ってきた。四十万に確認し、室内に入った2人を体長50cmほどのモリフクロウが迎えた。室内で放し飼いにされているフクロウが空腹だと察した薄は、エサを与える。その後、室内を見回した薄は、止まり木の下に置かれているためフンが付いている地球儀を見て疑問に思う。</v>
      </c>
      <c r="N272" s="2" t="str">
        <f>IFERROR(__xludf.DUMMYFUNCTION("""COMPUTED_VALUE"""),"ホームページ】  http://www.fujitv.co.jp/ikimono/　    ")</f>
        <v>ホームページ】  http://www.fujitv.co.jp/ikimono/　    </v>
      </c>
      <c r="O272" s="2" t="str">
        <f>IFERROR(__xludf.DUMMYFUNCTION("""COMPUTED_VALUE"""),"公式Twitter】  @mpd_ikimono　  https://twitter.com/mpd_ikimono　    ")</f>
        <v>公式Twitter】  @mpd_ikimono　  https://twitter.com/mpd_ikimono　    </v>
      </c>
      <c r="P272" s="2" t="str">
        <f>IFERROR(__xludf.DUMMYFUNCTION("""COMPUTED_VALUE"""),"公式Instagram】  @mpd_ikimono　  https://www.instagram.com/mpd_ikimono/　    ")</f>
        <v>公式Instagram】  @mpd_ikimono　  https://www.instagram.com/mpd_ikimono/　    </v>
      </c>
      <c r="Q272" s="2" t="str">
        <f>IFERROR(__xludf.DUMMYFUNCTION("""COMPUTED_VALUE"""),"公式LINE】  @sundayanimals渡部篤郎　  橋本環奈　  三浦翔平　  長谷川朝晴　  石川恋　  清原翔　  横山だいすけ　  ティティ(猫/スコティッシュフォールド)　  でんでん　  寺島進　  浅野温子")</f>
        <v>公式LINE】  @sundayanimals渡部篤郎　  橋本環奈　  三浦翔平　  長谷川朝晴　  石川恋　  清原翔　  横山だいすけ　  ティティ(猫/スコティッシュフォールド)　  でんでん　  寺島進　  浅野温子</v>
      </c>
      <c r="R272" s="2" t="str">
        <f>IFERROR(__xludf.DUMMYFUNCTION("""COMPUTED_VALUE"""),"原作】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f>
        <v>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v>
      </c>
      <c r="S272" s="2" t="str">
        <f>IFERROR(__xludf.DUMMYFUNCTION("""COMPUTED_VALUE"""),"脚本】  田中眞一　    ")</f>
        <v>脚本】  田中眞一　    </v>
      </c>
      <c r="T272" s="2" t="str">
        <f>IFERROR(__xludf.DUMMYFUNCTION("""COMPUTED_VALUE"""),"編成企画】  渡辺恒也　    ")</f>
        <v>編成企画】  渡辺恒也　    </v>
      </c>
      <c r="U272" s="2" t="str">
        <f>IFERROR(__xludf.DUMMYFUNCTION("""COMPUTED_VALUE"""),"プロデュース】  貸川聡子　")</f>
        <v>プロデュース】  貸川聡子　</v>
      </c>
      <c r="V272" s="2" t="str">
        <f>IFERROR(__xludf.DUMMYFUNCTION("""COMPUTED_VALUE"""),"演出】  木下高男　  松木創　  石川淳一　  菊川誠　    ")</f>
        <v>演出】  木下高男　  松木創　  石川淳一　  菊川誠　    </v>
      </c>
      <c r="W272" s="2" t="str">
        <f>IFERROR(__xludf.DUMMYFUNCTION("""COMPUTED_VALUE"""),"主題歌】  「My　Buddy」超特急(SDR)　    ")</f>
        <v>主題歌】  「My　Buddy」超特急(SDR)　    </v>
      </c>
      <c r="X272" s="2" t="str">
        <f>IFERROR(__xludf.DUMMYFUNCTION("""COMPUTED_VALUE"""),"制作】  フジテレビ　    ")</f>
        <v>制作】  フジテレビ　    </v>
      </c>
      <c r="Y272" s="2" t="str">
        <f>IFERROR(__xludf.DUMMYFUNCTION("""COMPUTED_VALUE"""),"制作著作】  共同テレビ")</f>
        <v>制作著作】  共同テレビ</v>
      </c>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row>
    <row r="273" ht="204.75" customHeight="1">
      <c r="A273" s="1">
        <v>1177.0</v>
      </c>
      <c r="B273" s="2" t="s">
        <v>851</v>
      </c>
      <c r="C273" s="2">
        <f>IFERROR(__xludf.DUMMYFUNCTION("split(B273,""_"")"),1707.0)</f>
        <v>1707</v>
      </c>
      <c r="D273" s="2" t="str">
        <f>IFERROR(__xludf.DUMMYFUNCTION("""COMPUTED_VALUE"""),"CX")</f>
        <v>CX</v>
      </c>
      <c r="E273" s="2" t="str">
        <f>IFERROR(__xludf.DUMMYFUNCTION("""COMPUTED_VALUE"""),"日21")</f>
        <v>日21</v>
      </c>
      <c r="F273" s="2" t="s">
        <v>852</v>
      </c>
      <c r="G273" s="2" t="s">
        <v>877</v>
      </c>
      <c r="H273" s="1">
        <v>9.0</v>
      </c>
      <c r="I273" s="1" t="s">
        <v>33</v>
      </c>
      <c r="J273" s="1" t="s">
        <v>11</v>
      </c>
      <c r="K273" s="2" t="s">
        <v>878</v>
      </c>
      <c r="L273" s="2" t="s">
        <v>879</v>
      </c>
      <c r="M273" s="2" t="str">
        <f>IFERROR(__xludf.DUMMYFUNCTION("split(K273,""【"",false)"),"“いきもの係""で慰安旅行が催され、須藤(渡部篤郎)、薄(橋本環奈)、弘子(浅野温子)のほか、石松(三浦翔平)らも参加する。一行が山中にある温泉旅館に到着すると、なぜか四十万(横山だいすけ)がいた。聞くと「ギックリ腰で動けない町の駐在の応援」だという。四十万は、旅館の女将の娘・弓子(西畑澪花)が強盗被害に遭ったため、駆け付けていたのだ。  　女将に案内され館内に入るや、薄は事務所にいたヨツユビハリネズミに釘付けになる。弓子のペットだが、弓子はケガで入院中なので、世話ができずに困っていると女将は訴えた。早速"&amp;"、ヨツユビハリネズミの世話を始めた薄は、その手と腹に小さな傷があることに気づく。女将は理由が思い当たらないと言うため、薄は須藤、四十万と弓子に会いに行く。何者かに頭部を殴られ負傷した弓子は、頭に包帯を巻いた姿でベッドに横たわっていた。弓子は、ヨツユビハリネズミが自分にあまり懐いていないこと、生餌は旅館の従業員のアサクラ(林和義)が与えていることを話した。  　旅館に戻った薄はアサクラに、生餌は何を与えているのか、アサクラ自身は甘いものが好きかなどと聞く。さらに、栗原(檜尾健太)という“ハリネズミ友達""が"&amp;"いるが、栗原の妻・亜希子(高橋美津子)はハリネズミを嫌っていることも分かった。")</f>
        <v>“いきもの係"で慰安旅行が催され、須藤(渡部篤郎)、薄(橋本環奈)、弘子(浅野温子)のほか、石松(三浦翔平)らも参加する。一行が山中にある温泉旅館に到着すると、なぜか四十万(横山だいすけ)がいた。聞くと「ギックリ腰で動けない町の駐在の応援」だという。四十万は、旅館の女将の娘・弓子(西畑澪花)が強盗被害に遭ったため、駆け付けていたのだ。  　女将に案内され館内に入るや、薄は事務所にいたヨツユビハリネズミに釘付けになる。弓子のペットだが、弓子はケガで入院中なので、世話ができずに困っていると女将は訴えた。早速、ヨツユビハリネズミの世話を始めた薄は、その手と腹に小さな傷があることに気づく。女将は理由が思い当たらないと言うため、薄は須藤、四十万と弓子に会いに行く。何者かに頭部を殴られ負傷した弓子は、頭に包帯を巻いた姿でベッドに横たわっていた。弓子は、ヨツユビハリネズミが自分にあまり懐いていないこと、生餌は旅館の従業員のアサクラ(林和義)が与えていることを話した。  　旅館に戻った薄はアサクラに、生餌は何を与えているのか、アサクラ自身は甘いものが好きかなどと聞く。さらに、栗原(檜尾健太)という“ハリネズミ友達"がいるが、栗原の妻・亜希子(高橋美津子)はハリネズミを嫌っていることも分かった。</v>
      </c>
      <c r="N273" s="2" t="str">
        <f>IFERROR(__xludf.DUMMYFUNCTION("""COMPUTED_VALUE"""),"ホームページ】  http://www.fujitv.co.jp/ikimono/　    ")</f>
        <v>ホームページ】  http://www.fujitv.co.jp/ikimono/　    </v>
      </c>
      <c r="O273" s="2" t="str">
        <f>IFERROR(__xludf.DUMMYFUNCTION("""COMPUTED_VALUE"""),"公式Twitter】  @mpd_ikimono　  https://twitter.com/mpd_ikimono　    ")</f>
        <v>公式Twitter】  @mpd_ikimono　  https://twitter.com/mpd_ikimono　    </v>
      </c>
      <c r="P273" s="2" t="str">
        <f>IFERROR(__xludf.DUMMYFUNCTION("""COMPUTED_VALUE"""),"公式Instagram】  @mpd_ikimono　  https://www.instagram.com/mpd_ikimono/　    ")</f>
        <v>公式Instagram】  @mpd_ikimono　  https://www.instagram.com/mpd_ikimono/　    </v>
      </c>
      <c r="Q273" s="2" t="str">
        <f>IFERROR(__xludf.DUMMYFUNCTION("""COMPUTED_VALUE"""),"公式LINE】  @sundayanimals渡部篤郎　  橋本環奈　  三浦翔平　  長谷川朝晴　  石川恋　  清原翔　  横山だいすけ　  ティティ(猫/スコティッシュフォールド)　  でんでん　  寺島進　  浅野温子")</f>
        <v>公式LINE】  @sundayanimals渡部篤郎　  橋本環奈　  三浦翔平　  長谷川朝晴　  石川恋　  清原翔　  横山だいすけ　  ティティ(猫/スコティッシュフォールド)　  でんでん　  寺島進　  浅野温子</v>
      </c>
      <c r="R273" s="2" t="str">
        <f>IFERROR(__xludf.DUMMYFUNCTION("""COMPUTED_VALUE"""),"原作】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f>
        <v>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v>
      </c>
      <c r="S273" s="2" t="str">
        <f>IFERROR(__xludf.DUMMYFUNCTION("""COMPUTED_VALUE"""),"脚本】  田中眞一　    ")</f>
        <v>脚本】  田中眞一　    </v>
      </c>
      <c r="T273" s="2" t="str">
        <f>IFERROR(__xludf.DUMMYFUNCTION("""COMPUTED_VALUE"""),"編成企画】  渡辺恒也　    ")</f>
        <v>編成企画】  渡辺恒也　    </v>
      </c>
      <c r="U273" s="2" t="str">
        <f>IFERROR(__xludf.DUMMYFUNCTION("""COMPUTED_VALUE"""),"プロデュース】  貸川聡子　")</f>
        <v>プロデュース】  貸川聡子　</v>
      </c>
      <c r="V273" s="2" t="str">
        <f>IFERROR(__xludf.DUMMYFUNCTION("""COMPUTED_VALUE"""),"演出】  木下高男　  松木創　  石川淳一　  菊川誠　    ")</f>
        <v>演出】  木下高男　  松木創　  石川淳一　  菊川誠　    </v>
      </c>
      <c r="W273" s="2" t="str">
        <f>IFERROR(__xludf.DUMMYFUNCTION("""COMPUTED_VALUE"""),"主題歌】  「My　Buddy」超特急(SDR)　    ")</f>
        <v>主題歌】  「My　Buddy」超特急(SDR)　    </v>
      </c>
      <c r="X273" s="2" t="str">
        <f>IFERROR(__xludf.DUMMYFUNCTION("""COMPUTED_VALUE"""),"制作】  フジテレビ　    ")</f>
        <v>制作】  フジテレビ　    </v>
      </c>
      <c r="Y273" s="2" t="str">
        <f>IFERROR(__xludf.DUMMYFUNCTION("""COMPUTED_VALUE"""),"制作著作】  共同テレビ")</f>
        <v>制作著作】  共同テレビ</v>
      </c>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row>
    <row r="274" ht="204.75" customHeight="1">
      <c r="A274" s="1">
        <v>1178.0</v>
      </c>
      <c r="B274" s="2" t="s">
        <v>851</v>
      </c>
      <c r="C274" s="2">
        <f>IFERROR(__xludf.DUMMYFUNCTION("split(B274,""_"")"),1707.0)</f>
        <v>1707</v>
      </c>
      <c r="D274" s="2" t="str">
        <f>IFERROR(__xludf.DUMMYFUNCTION("""COMPUTED_VALUE"""),"CX")</f>
        <v>CX</v>
      </c>
      <c r="E274" s="2" t="str">
        <f>IFERROR(__xludf.DUMMYFUNCTION("""COMPUTED_VALUE"""),"日21")</f>
        <v>日21</v>
      </c>
      <c r="F274" s="2" t="s">
        <v>852</v>
      </c>
      <c r="G274" s="2" t="s">
        <v>880</v>
      </c>
      <c r="H274" s="1">
        <v>10.0</v>
      </c>
      <c r="I274" s="1" t="s">
        <v>37</v>
      </c>
      <c r="J274" s="1" t="s">
        <v>4</v>
      </c>
      <c r="K274" s="2" t="s">
        <v>881</v>
      </c>
      <c r="L274" s="2" t="s">
        <v>882</v>
      </c>
      <c r="M274" s="2" t="str">
        <f>IFERROR(__xludf.DUMMYFUNCTION("split(K274,""【"",false)"),"須藤(渡部篤郎)と圭子(橋本環奈)は、四十万(横山だいすけ)に案内された警察病院の部屋で元気な鬼頭(寺島進)と対面する。何者かに撃たれ重傷を負ったと報告されたが、それは敵を欺くための偽装だったのだ。敵とは、表向きは宗教法人だが実態は詐欺集団の「ギヤマンの鐘」だという。鬼頭は、そんな危険な集団と手を組み、無差別テロを主導している庄野(利重剛)の写真を見せた。圭子は、その顔に見覚えがあった。石松(三浦翔平)が蜂に刺されたファミレス、慰安旅行に向かうバスの中で見かけていたのだ。  　実は今から5年前、庄野はある"&amp;"事件の容疑者となり、連日警察で取り調べを受けていた。結局解放されたが、その間にやってきた台風が庄野の経営する養蜂場を襲い、蜂が全滅するという悲劇が起こった。その事件を捜査し、庄野を取り調べたのが鬼頭だった。  　庄野の所在の手がかりを掴むため、須藤と圭子は、庄野の養蜂場を訪ねる。そこに養蜂場の形跡はなく、古びた小屋があるだけだった。すると、小屋の方から犬の声が聞こえた。捨て犬かもしれないと思った圭子は小屋へ向かう。須藤がそれを制止しようとした時、目の前を何かが横切った。須藤はとっさに圭子に覆いかぶさり地面"&amp;"に伏せると、すぐそばの地面が爆ぜた。周囲を見回すと、木陰に須藤たちを狙う庄野と「ギヤマンの鐘」の信者の姿があった。危険を感じた須藤は小屋に逃げ込もうとしたが…。")</f>
        <v>須藤(渡部篤郎)と圭子(橋本環奈)は、四十万(横山だいすけ)に案内された警察病院の部屋で元気な鬼頭(寺島進)と対面する。何者かに撃たれ重傷を負ったと報告されたが、それは敵を欺くための偽装だったのだ。敵とは、表向きは宗教法人だが実態は詐欺集団の「ギヤマンの鐘」だという。鬼頭は、そんな危険な集団と手を組み、無差別テロを主導している庄野(利重剛)の写真を見せた。圭子は、その顔に見覚えがあった。石松(三浦翔平)が蜂に刺されたファミレス、慰安旅行に向かうバスの中で見かけていたのだ。  　実は今から5年前、庄野はある事件の容疑者となり、連日警察で取り調べを受けていた。結局解放されたが、その間にやってきた台風が庄野の経営する養蜂場を襲い、蜂が全滅するという悲劇が起こった。その事件を捜査し、庄野を取り調べたのが鬼頭だった。  　庄野の所在の手がかりを掴むため、須藤と圭子は、庄野の養蜂場を訪ねる。そこに養蜂場の形跡はなく、古びた小屋があるだけだった。すると、小屋の方から犬の声が聞こえた。捨て犬かもしれないと思った圭子は小屋へ向かう。須藤がそれを制止しようとした時、目の前を何かが横切った。須藤はとっさに圭子に覆いかぶさり地面に伏せると、すぐそばの地面が爆ぜた。周囲を見回すと、木陰に須藤たちを狙う庄野と「ギヤマンの鐘」の信者の姿があった。危険を感じた須藤は小屋に逃げ込もうとしたが…。</v>
      </c>
      <c r="N274" s="2" t="str">
        <f>IFERROR(__xludf.DUMMYFUNCTION("""COMPUTED_VALUE"""),"ホームページ】  http://www.fujitv.co.jp/ikimono/　    ")</f>
        <v>ホームページ】  http://www.fujitv.co.jp/ikimono/　    </v>
      </c>
      <c r="O274" s="2" t="str">
        <f>IFERROR(__xludf.DUMMYFUNCTION("""COMPUTED_VALUE"""),"公式Twitter】  @mpd_ikimono　  https://twitter.com/mpd_ikimono　    ")</f>
        <v>公式Twitter】  @mpd_ikimono　  https://twitter.com/mpd_ikimono　    </v>
      </c>
      <c r="P274" s="2" t="str">
        <f>IFERROR(__xludf.DUMMYFUNCTION("""COMPUTED_VALUE"""),"公式Instagram】  @mpd_ikimono　  https://www.instagram.com/mpd_ikimono/　    ")</f>
        <v>公式Instagram】  @mpd_ikimono　  https://www.instagram.com/mpd_ikimono/　    </v>
      </c>
      <c r="Q274" s="2" t="str">
        <f>IFERROR(__xludf.DUMMYFUNCTION("""COMPUTED_VALUE"""),"公式LINE】  @sundayanimals渡部篤郎　  橋本環奈　  三浦翔平　  長谷川朝晴　  石川恋　  清原翔　  横山だいすけ　  ティティ(猫/スコティッシュフォールド)　  でんでん　  寺島進　  浅野温子")</f>
        <v>公式LINE】  @sundayanimals渡部篤郎　  橋本環奈　  三浦翔平　  長谷川朝晴　  石川恋　  清原翔　  横山だいすけ　  ティティ(猫/スコティッシュフォールド)　  でんでん　  寺島進　  浅野温子</v>
      </c>
      <c r="R274" s="2" t="str">
        <f>IFERROR(__xludf.DUMMYFUNCTION("""COMPUTED_VALUE"""),"原作】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f>
        <v>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v>
      </c>
      <c r="S274" s="2" t="str">
        <f>IFERROR(__xludf.DUMMYFUNCTION("""COMPUTED_VALUE"""),"脚本】  田中眞一　    ")</f>
        <v>脚本】  田中眞一　    </v>
      </c>
      <c r="T274" s="2" t="str">
        <f>IFERROR(__xludf.DUMMYFUNCTION("""COMPUTED_VALUE"""),"編成企画】  渡辺恒也　    ")</f>
        <v>編成企画】  渡辺恒也　    </v>
      </c>
      <c r="U274" s="2" t="str">
        <f>IFERROR(__xludf.DUMMYFUNCTION("""COMPUTED_VALUE"""),"プロデュース】  貸川聡子　")</f>
        <v>プロデュース】  貸川聡子　</v>
      </c>
      <c r="V274" s="2" t="str">
        <f>IFERROR(__xludf.DUMMYFUNCTION("""COMPUTED_VALUE"""),"演出】  木下高男　  松木創　  石川淳一　  菊川誠　    ")</f>
        <v>演出】  木下高男　  松木創　  石川淳一　  菊川誠　    </v>
      </c>
      <c r="W274" s="2" t="str">
        <f>IFERROR(__xludf.DUMMYFUNCTION("""COMPUTED_VALUE"""),"主題歌】  「My　Buddy」超特急(SDR)　    ")</f>
        <v>主題歌】  「My　Buddy」超特急(SDR)　    </v>
      </c>
      <c r="X274" s="2" t="str">
        <f>IFERROR(__xludf.DUMMYFUNCTION("""COMPUTED_VALUE"""),"制作】  フジテレビ　    ")</f>
        <v>制作】  フジテレビ　    </v>
      </c>
      <c r="Y274" s="2" t="str">
        <f>IFERROR(__xludf.DUMMYFUNCTION("""COMPUTED_VALUE"""),"制作著作】  共同テレビ")</f>
        <v>制作著作】  共同テレビ</v>
      </c>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row>
    <row r="275" ht="204.75" customHeight="1">
      <c r="A275" s="1">
        <v>1189.0</v>
      </c>
      <c r="B275" s="2" t="s">
        <v>883</v>
      </c>
      <c r="C275" s="2">
        <f>IFERROR(__xludf.DUMMYFUNCTION("split(B275,""_"")"),1704.0)</f>
        <v>1704</v>
      </c>
      <c r="D275" s="2" t="str">
        <f>IFERROR(__xludf.DUMMYFUNCTION("""COMPUTED_VALUE"""),"CX")</f>
        <v>CX</v>
      </c>
      <c r="E275" s="2" t="str">
        <f>IFERROR(__xludf.DUMMYFUNCTION("""COMPUTED_VALUE"""),"月21")</f>
        <v>月21</v>
      </c>
      <c r="F275" s="2" t="s">
        <v>884</v>
      </c>
      <c r="G275" s="2" t="s">
        <v>885</v>
      </c>
      <c r="H275" s="1">
        <v>1.0</v>
      </c>
      <c r="I275" s="1" t="s">
        <v>3</v>
      </c>
      <c r="J275" s="1" t="s">
        <v>4</v>
      </c>
      <c r="K275" s="2" t="s">
        <v>886</v>
      </c>
      <c r="L275" s="2" t="s">
        <v>887</v>
      </c>
      <c r="M275" s="2" t="str">
        <f>IFERROR(__xludf.DUMMYFUNCTION("split(K275,""相葉雅紀　"",false)"),"とある探偵事務所。高徳愛香(武井咲)が動き回っている。そんな愛香を尻目に、ワイングラスを傾けているのは喜多見切子(井川遥)。新米探偵である愛香は、クライアントで日本有数の財閥令嬢・玉村依子(木南晴夏)からパーティーに招かれており、準備に慌ただしい。  愛香がやってきたのは、ガスコン荘。荘内を令嬢に案内されている中、愛香が異変を見つける。血の足跡が…。手袋をはめ、地下室へ足が向く愛香。  愛香が地下室の扉を明けると、そこには異様な光景が広がっていた。  パトカーがガスコン荘へ到着。現場指揮をとる刑事・鼻形雷"&amp;"雨(生瀬勝久)。部下の常見慎吾(岡山天音)とともに、鑑識の冬樹和泉(田中道子)から状況報告を受けると、事件関係者の聴取へ。執事の出で立ちをした男(松重豊)ー名を山本と言うーが「我が主が、公僕殿や皆様とお会いすることを望んでおります」。  メイド服の女性(中山美穂)ー名を田中と言うーがお茶を一同に出すと、古めかしい運転手風情の男(滝藤賢一)ー名を佐藤と言うーと談笑をして現れた男。頭のてっぺんから足の指先まで、すべてが貴族なのだ。  まったく事が飲み込めない愛香と鼻形。一体全体、あなたは何者なのか?  「心あ"&amp;"る人からは、こう呼ばれています。貴族探偵と」  名前を聞いた時、わき上がる愛香の敵対心。そして勃発する貴族と愛香の推理対決。既成の推理劇の常識を完全に覆す、前代未聞の謎解きの幕が今、上がったー!")</f>
        <v>とある探偵事務所。高徳愛香(武井咲)が動き回っている。そんな愛香を尻目に、ワイングラスを傾けているのは喜多見切子(井川遥)。新米探偵である愛香は、クライアントで日本有数の財閥令嬢・玉村依子(木南晴夏)からパーティーに招かれており、準備に慌ただしい。  愛香がやってきたのは、ガスコン荘。荘内を令嬢に案内されている中、愛香が異変を見つける。血の足跡が…。手袋をはめ、地下室へ足が向く愛香。  愛香が地下室の扉を明けると、そこには異様な光景が広がっていた。  パトカーがガスコン荘へ到着。現場指揮をとる刑事・鼻形雷雨(生瀬勝久)。部下の常見慎吾(岡山天音)とともに、鑑識の冬樹和泉(田中道子)から状況報告を受けると、事件関係者の聴取へ。執事の出で立ちをした男(松重豊)ー名を山本と言うーが「我が主が、公僕殿や皆様とお会いすることを望んでおります」。  メイド服の女性(中山美穂)ー名を田中と言うーがお茶を一同に出すと、古めかしい運転手風情の男(滝藤賢一)ー名を佐藤と言うーと談笑をして現れた男。頭のてっぺんから足の指先まで、すべてが貴族なのだ。  まったく事が飲み込めない愛香と鼻形。一体全体、あなたは何者なのか?  「心ある人からは、こう呼ばれています。貴族探偵と」  名前を聞いた時、わき上がる愛香の敵対心。そして勃発する貴族と愛香の推理対決。既成の推理劇の常識を完全に覆す、前代未聞の謎解きの幕が今、上がったー!</v>
      </c>
      <c r="N275" s="2" t="str">
        <f>IFERROR(__xludf.DUMMYFUNCTION("""COMPUTED_VALUE"""),"  武井咲　  生瀬勝久  　/　  木南晴夏　  岡山天音　  田中道子  　・　  井川遥  　・　  仲間由紀恵(特別出演)  　/　  滝藤賢一　  中山美穂　  松重豊【原作】  麻耶雄嵩「貴族探偵」「貴族探偵対女探偵」(集英社文庫刊)　    【脚本】  黒岩勉　    【主題歌】  嵐「I`ll　be　there」(ジェイ・ストーム)　    【プロデュース】  羽鳥健一　  西坂瑞城　    【演出】  中江功　  金井紘　  相沢秀幸　    【制作】  フジテレビ【番組公式ホームページ"&amp;"】  http://www.fujitv.co.jp/kizoku/index.html    【番組公式ツイッター】  https://twitter.com/kizoku_gozen　    番組公式ラインもやっていますので是非、番組公式ホームページをご検索してください!")</f>
        <v>  武井咲　  生瀬勝久  　/　  木南晴夏　  岡山天音　  田中道子  　・　  井川遥  　・　  仲間由紀恵(特別出演)  　/　  滝藤賢一　  中山美穂　  松重豊【原作】  麻耶雄嵩「貴族探偵」「貴族探偵対女探偵」(集英社文庫刊)　    【脚本】  黒岩勉　    【主題歌】  嵐「I`ll　be　there」(ジェイ・ストーム)　    【プロデュース】  羽鳥健一　  西坂瑞城　    【演出】  中江功　  金井紘　  相沢秀幸　    【制作】  フジテレビ【番組公式ホームページ】  http://www.fujitv.co.jp/kizoku/index.html    【番組公式ツイッター】  https://twitter.com/kizoku_gozen　    番組公式ラインもやっていますので是非、番組公式ホームページをご検索してください!</v>
      </c>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row>
    <row r="276" ht="204.75" customHeight="1">
      <c r="A276" s="1">
        <v>1190.0</v>
      </c>
      <c r="B276" s="2" t="s">
        <v>883</v>
      </c>
      <c r="C276" s="2">
        <f>IFERROR(__xludf.DUMMYFUNCTION("split(B276,""_"")"),1704.0)</f>
        <v>1704</v>
      </c>
      <c r="D276" s="2" t="str">
        <f>IFERROR(__xludf.DUMMYFUNCTION("""COMPUTED_VALUE"""),"CX")</f>
        <v>CX</v>
      </c>
      <c r="E276" s="2" t="str">
        <f>IFERROR(__xludf.DUMMYFUNCTION("""COMPUTED_VALUE"""),"月21")</f>
        <v>月21</v>
      </c>
      <c r="F276" s="2" t="s">
        <v>884</v>
      </c>
      <c r="G276" s="2" t="s">
        <v>888</v>
      </c>
      <c r="H276" s="1">
        <v>2.0</v>
      </c>
      <c r="I276" s="1" t="s">
        <v>7</v>
      </c>
      <c r="J276" s="1" t="s">
        <v>4</v>
      </c>
      <c r="K276" s="2" t="s">
        <v>889</v>
      </c>
      <c r="L276" s="2" t="s">
        <v>890</v>
      </c>
      <c r="M276" s="2" t="str">
        <f>IFERROR(__xludf.DUMMYFUNCTION("split(K276,""相葉雅紀　"",false)"),"【番組公式ホームページ】  http://www.fujitv.co.jp/kizoku/index.html    【番組公式ツイッター】  https://twitter.com/kizoku_gozen　    番組公式ラインもやっていますので是非、番組公式ホームページをご検索してください!自らを貴族と称し、探偵を趣味とする貴族探偵(相葉雅紀)。しかし、推理は使用人の佐藤(滝藤賢一)田中(中山美穂)山本(松重豊)達に任せきり。そんな貴族探偵が、今回現れたのは…。  高徳愛香(武井咲)は、編集者・日岡"&amp;"美咲(紺野まひる)の車で、人気ミステリー作家・厄神春柾(大和田伸也)の別荘に向かっている。探偵に取材したいという厄神の依頼に愛香が招かれたのだ。2人の車の前に、突然巨大な石が落ちて来た。愛香が現場の安全を確保し、警察に通報して車に戻ると美咲がいない。と、愛香の目の前に驚きの光景が。何と美咲は、いつの間にか現れた貴族探偵とお茶をしているではないか。  落石に憤る貴族探偵は、落下場所の真上にある別荘に文句を言いに行こうと動き出す。そこは愛香たちの目的地、厄神の別荘だった。呼び鈴を鳴らしても誰も出ないため、貴族"&amp;"探偵はズカズカと別荘内へ。すると、書斎のベッドに頭から血を流して横たわる厄神の死体が…。  状況を把握しようとする愛香。警察も到着するも、なぜか管轄違いの鼻形雷雨(生瀬勝久)と常見慎吾(岡山天音)が。鼻形たちは貴族探偵専任になったらしく、貴族探偵に不満を抱く管轄の久下村勇気刑事(平山祐介)をなだめている。  厄神の関係者、妻の令子(横山めぐみ)、美咲と同じ編集者の松尾早織(豊田エリー)と滝野光敏(丸山智己)に聴取する愛香と鼻形。厄神のファンだったと言うメイドの田中も捜査に付き添う。")</f>
        <v>【番組公式ホームページ】  http://www.fujitv.co.jp/kizoku/index.html    【番組公式ツイッター】  https://twitter.com/kizoku_gozen　    番組公式ラインもやっていますので是非、番組公式ホームページをご検索してください!自らを貴族と称し、探偵を趣味とする貴族探偵(相葉雅紀)。しかし、推理は使用人の佐藤(滝藤賢一)田中(中山美穂)山本(松重豊)達に任せきり。そんな貴族探偵が、今回現れたのは…。  高徳愛香(武井咲)は、編集者・日岡美咲(紺野まひる)の車で、人気ミステリー作家・厄神春柾(大和田伸也)の別荘に向かっている。探偵に取材したいという厄神の依頼に愛香が招かれたのだ。2人の車の前に、突然巨大な石が落ちて来た。愛香が現場の安全を確保し、警察に通報して車に戻ると美咲がいない。と、愛香の目の前に驚きの光景が。何と美咲は、いつの間にか現れた貴族探偵とお茶をしているではないか。  落石に憤る貴族探偵は、落下場所の真上にある別荘に文句を言いに行こうと動き出す。そこは愛香たちの目的地、厄神の別荘だった。呼び鈴を鳴らしても誰も出ないため、貴族探偵はズカズカと別荘内へ。すると、書斎のベッドに頭から血を流して横たわる厄神の死体が…。  状況を把握しようとする愛香。警察も到着するも、なぜか管轄違いの鼻形雷雨(生瀬勝久)と常見慎吾(岡山天音)が。鼻形たちは貴族探偵専任になったらしく、貴族探偵に不満を抱く管轄の久下村勇気刑事(平山祐介)をなだめている。  厄神の関係者、妻の令子(横山めぐみ)、美咲と同じ編集者の松尾早織(豊田エリー)と滝野光敏(丸山智己)に聴取する愛香と鼻形。厄神のファンだったと言うメイドの田中も捜査に付き添う。</v>
      </c>
      <c r="N276" s="2" t="str">
        <f>IFERROR(__xludf.DUMMYFUNCTION("""COMPUTED_VALUE"""),"  武井咲　  生瀬勝久  　/　  木南晴夏　  岡山天音　  田中道子  　・　  井川遥  　・　  仲間由紀恵(特別出演)  　/　  滝藤賢一　  中山美穂　  松重豊【原作】  麻耶雄嵩「貴族探偵」「貴族探偵対女探偵」(集英社文庫刊)　    【脚本】  黒岩勉　    【主題歌】  嵐「I`ll　be　there」(ジェイ・ストーム)　    【プロデュース】  羽鳥健一　  西坂瑞城　    【演出】  中江功　  金井紘　  相沢秀幸　    【制作】  フジテレビ")</f>
        <v>  武井咲　  生瀬勝久  　/　  木南晴夏　  岡山天音　  田中道子  　・　  井川遥  　・　  仲間由紀恵(特別出演)  　/　  滝藤賢一　  中山美穂　  松重豊【原作】  麻耶雄嵩「貴族探偵」「貴族探偵対女探偵」(集英社文庫刊)　    【脚本】  黒岩勉　    【主題歌】  嵐「I`ll　be　there」(ジェイ・ストーム)　    【プロデュース】  羽鳥健一　  西坂瑞城　    【演出】  中江功　  金井紘　  相沢秀幸　    【制作】  フジテレビ</v>
      </c>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row>
    <row r="277" ht="204.75" customHeight="1">
      <c r="A277" s="1">
        <v>1191.0</v>
      </c>
      <c r="B277" s="2" t="s">
        <v>883</v>
      </c>
      <c r="C277" s="2">
        <f>IFERROR(__xludf.DUMMYFUNCTION("split(B277,""_"")"),1704.0)</f>
        <v>1704</v>
      </c>
      <c r="D277" s="2" t="str">
        <f>IFERROR(__xludf.DUMMYFUNCTION("""COMPUTED_VALUE"""),"CX")</f>
        <v>CX</v>
      </c>
      <c r="E277" s="2" t="str">
        <f>IFERROR(__xludf.DUMMYFUNCTION("""COMPUTED_VALUE"""),"月21")</f>
        <v>月21</v>
      </c>
      <c r="F277" s="2" t="s">
        <v>884</v>
      </c>
      <c r="G277" s="2" t="s">
        <v>891</v>
      </c>
      <c r="H277" s="1">
        <v>3.0</v>
      </c>
      <c r="I277" s="1" t="s">
        <v>10</v>
      </c>
      <c r="J277" s="1" t="s">
        <v>11</v>
      </c>
      <c r="K277" s="2" t="s">
        <v>892</v>
      </c>
      <c r="L277" s="2" t="s">
        <v>893</v>
      </c>
      <c r="M277" s="2" t="str">
        <f>IFERROR(__xludf.DUMMYFUNCTION("split(K277,""相葉雅紀　"",false)"),"【番組公式ホームページ】  http://www.fujitv.co.jp/kizoku/index.html    【番組公式ツイッター】  https://twitter.com/kizoku_gozen　    番組公式ラインもやっていますので是非、番組公式ホームページをご検索してください!貴族探偵(相葉雅紀)の絶大な力は、使用人任せの探偵業でも威力を発揮する。貴族探偵の捜査に、警察官も口出しできないのはすでにおわかりであろう。そして、貴族探偵の世話をする神奈川県警捜査一課警部補、鼻形雷雨(生瀬勝久"&amp;")たちに、新たな展開が…。  喜多見切子探偵事務所に、怯え、戸惑った様子の女子高生、垂水遥(橋本環奈)が訪ねてきた。応対した高徳愛香(武井咲)は、遥の不安を和らげながら依頼を聞くことに。1週間前、廃倉庫で女性の遺体が発見された。遺体は頭と両腕が切断され、遺留品もないため捜査は難航の様相を見せる。しかし、ほどなく現場から数キロの河川敷で、頭部と腕、遺留品を埋めている男が目撃された。男は遥の高校の教師、浜村康介(内野謙太)で、間も無く警察に連行されてしまう。  実は、遥は浜村と結婚を前提とした交際をしていた。"&amp;"だが、事件で交際が公となり、遥は周囲から白い目で見られてしまう。浜村の無罪を信じる遥だが、周囲に頼る術もなく、愛香を頼って来たのだ。  依頼を引き受けた愛香は、遥と事件現場の廃倉庫へ。ひと通り現場を巡り、戻った愛香はあぜん。遥が貴族探偵の飼い犬と戯れているではないか。執事の山本(松重豊)によると、貴族探偵は狩りに出かけた帰り道、現場を通りかかったので、寄り道してこの何とも不可解な事件をひも解いてみようとなったらしい。呆れる愛香をよそに、貴族探偵は勝手に依頼を引き受けてしまう。")</f>
        <v>【番組公式ホームページ】  http://www.fujitv.co.jp/kizoku/index.html    【番組公式ツイッター】  https://twitter.com/kizoku_gozen　    番組公式ラインもやっていますので是非、番組公式ホームページをご検索してください!貴族探偵(相葉雅紀)の絶大な力は、使用人任せの探偵業でも威力を発揮する。貴族探偵の捜査に、警察官も口出しできないのはすでにおわかりであろう。そして、貴族探偵の世話をする神奈川県警捜査一課警部補、鼻形雷雨(生瀬勝久)たちに、新たな展開が…。  喜多見切子探偵事務所に、怯え、戸惑った様子の女子高生、垂水遥(橋本環奈)が訪ねてきた。応対した高徳愛香(武井咲)は、遥の不安を和らげながら依頼を聞くことに。1週間前、廃倉庫で女性の遺体が発見された。遺体は頭と両腕が切断され、遺留品もないため捜査は難航の様相を見せる。しかし、ほどなく現場から数キロの河川敷で、頭部と腕、遺留品を埋めている男が目撃された。男は遥の高校の教師、浜村康介(内野謙太)で、間も無く警察に連行されてしまう。  実は、遥は浜村と結婚を前提とした交際をしていた。だが、事件で交際が公となり、遥は周囲から白い目で見られてしまう。浜村の無罪を信じる遥だが、周囲に頼る術もなく、愛香を頼って来たのだ。  依頼を引き受けた愛香は、遥と事件現場の廃倉庫へ。ひと通り現場を巡り、戻った愛香はあぜん。遥が貴族探偵の飼い犬と戯れているではないか。執事の山本(松重豊)によると、貴族探偵は狩りに出かけた帰り道、現場を通りかかったので、寄り道してこの何とも不可解な事件をひも解いてみようとなったらしい。呆れる愛香をよそに、貴族探偵は勝手に依頼を引き受けてしまう。</v>
      </c>
      <c r="N277" s="2" t="str">
        <f>IFERROR(__xludf.DUMMYFUNCTION("""COMPUTED_VALUE"""),"  武井咲　  生瀬勝久  　/　  木南晴夏　  岡山天音　  田中道子  　・　  井川遥  　・　  仲間由紀恵(特別出演)  　/　  滝藤賢一　  中山美穂　  松重豊【原作】  麻耶雄嵩「貴族探偵」「貴族探偵対女探偵」(集英社文庫刊)　    【脚本】  黒岩勉　    【主題歌】  嵐「I`ll　be　there」(ジェイ・ストーム)　    【プロデュース】  羽鳥健一　  西坂瑞城　    【演出】  中江功　  金井紘　  相沢秀幸　    【制作】  フジテレビ")</f>
        <v>  武井咲　  生瀬勝久  　/　  木南晴夏　  岡山天音　  田中道子  　・　  井川遥  　・　  仲間由紀恵(特別出演)  　/　  滝藤賢一　  中山美穂　  松重豊【原作】  麻耶雄嵩「貴族探偵」「貴族探偵対女探偵」(集英社文庫刊)　    【脚本】  黒岩勉　    【主題歌】  嵐「I`ll　be　there」(ジェイ・ストーム)　    【プロデュース】  羽鳥健一　  西坂瑞城　    【演出】  中江功　  金井紘　  相沢秀幸　    【制作】  フジテレビ</v>
      </c>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row>
    <row r="278" ht="204.75" customHeight="1">
      <c r="A278" s="1">
        <v>1192.0</v>
      </c>
      <c r="B278" s="2" t="s">
        <v>883</v>
      </c>
      <c r="C278" s="2">
        <f>IFERROR(__xludf.DUMMYFUNCTION("split(B278,""_"")"),1704.0)</f>
        <v>1704</v>
      </c>
      <c r="D278" s="2" t="str">
        <f>IFERROR(__xludf.DUMMYFUNCTION("""COMPUTED_VALUE"""),"CX")</f>
        <v>CX</v>
      </c>
      <c r="E278" s="2" t="str">
        <f>IFERROR(__xludf.DUMMYFUNCTION("""COMPUTED_VALUE"""),"月21")</f>
        <v>月21</v>
      </c>
      <c r="F278" s="2" t="s">
        <v>884</v>
      </c>
      <c r="G278" s="2" t="s">
        <v>894</v>
      </c>
      <c r="H278" s="1">
        <v>4.0</v>
      </c>
      <c r="I278" s="1" t="s">
        <v>14</v>
      </c>
      <c r="J278" s="1" t="s">
        <v>4</v>
      </c>
      <c r="K278" s="2" t="s">
        <v>895</v>
      </c>
      <c r="L278" s="2" t="s">
        <v>896</v>
      </c>
      <c r="M278" s="2" t="str">
        <f>IFERROR(__xludf.DUMMYFUNCTION("split(K278,""相葉雅紀　"",false)"),"喜多見切子探偵事務所で愛香(武井咲)が応対したのは、数名のアイドルオタク。彼らが愛するアイドル、有畑しずる(藤川千愛)がライブ後に自殺。オタクたちは、彼女の死の陰にいる田名部優という人物を愛香に探し出して欲しいというのだ。田名部に責任を取らせるとざわめくオタクたちに、復讐に力は貸せないと愛香は断る。オタクたちと入れ違いに、玉村依子(木南晴香)がやって来た。依子の誘いに興味が惹かれた愛香は、パワースポットで話題の温泉に行くことになる。  「浜梨館」へ向かうための山道の入り口で愛香たちを迎えたのは、女将の浜梨"&amp;"久仁子(釈由美子)。道中で女将は、今夜行われる“いづな様""を迎える儀式の由来の話などをしながら、愛香たちを儀式が行われる旅館の奥の間へ通す。  そこには、赤川和美(柳ゆり菜)、金谷沢広成(小松和重)の先客がいた。お互いに挨拶をしていると、鼻形雷雨(生瀬勝久)が来る。鼻形もご利益を授かりに来たらしい。続けて有戸秀司(阿部力)。壁に書かれた名前によると、残る参加者は下北香苗(草刈麻有)と田名部。田名部はオタクたちが愛香に探して欲しいと頼んだ人物…。すると、香苗を伴って貴族探偵(相葉雅紀)が!ついに貴族探偵の"&amp;"本名判明?しかし、すぐに田名部(渋谷謙人)と名乗る男が現れる。  ついに始まる“いづな様""の儀式。そして、発生してしまった殺人事件!使用人不在の貴族探偵は、どう立ち回るのか?")</f>
        <v>喜多見切子探偵事務所で愛香(武井咲)が応対したのは、数名のアイドルオタク。彼らが愛するアイドル、有畑しずる(藤川千愛)がライブ後に自殺。オタクたちは、彼女の死の陰にいる田名部優という人物を愛香に探し出して欲しいというのだ。田名部に責任を取らせるとざわめくオタクたちに、復讐に力は貸せないと愛香は断る。オタクたちと入れ違いに、玉村依子(木南晴香)がやって来た。依子の誘いに興味が惹かれた愛香は、パワースポットで話題の温泉に行くことになる。  「浜梨館」へ向かうための山道の入り口で愛香たちを迎えたのは、女将の浜梨久仁子(釈由美子)。道中で女将は、今夜行われる“いづな様"を迎える儀式の由来の話などをしながら、愛香たちを儀式が行われる旅館の奥の間へ通す。  そこには、赤川和美(柳ゆり菜)、金谷沢広成(小松和重)の先客がいた。お互いに挨拶をしていると、鼻形雷雨(生瀬勝久)が来る。鼻形もご利益を授かりに来たらしい。続けて有戸秀司(阿部力)。壁に書かれた名前によると、残る参加者は下北香苗(草刈麻有)と田名部。田名部はオタクたちが愛香に探して欲しいと頼んだ人物…。すると、香苗を伴って貴族探偵(相葉雅紀)が!ついに貴族探偵の本名判明?しかし、すぐに田名部(渋谷謙人)と名乗る男が現れる。  ついに始まる“いづな様"の儀式。そして、発生してしまった殺人事件!使用人不在の貴族探偵は、どう立ち回るのか?</v>
      </c>
      <c r="N278" s="2" t="str">
        <f>IFERROR(__xludf.DUMMYFUNCTION("""COMPUTED_VALUE"""),"  武井咲　  生瀬勝久  　/　  木南晴夏　  岡山天音　  田中道子  　・　  井川遥  　・　  仲間由紀恵(特別出演)  　/　  滝藤賢一　  中山美穂　  松重豊　    他【原作】  麻耶雄嵩「貴族探偵」「貴族探偵対女探偵」(集英社文庫刊)　    【脚本】  黒岩勉　    【主題歌】  嵐「I`ll　be　there」(ジェイ・ストーム)　    【プロデュース】  羽鳥健一　  西坂瑞城　    【演出】  中江功　  金井紘　  相沢秀幸　    【制作】  フジテレビ【番組公式"&amp;"ホームページ】  http://www.fujitv.co.jp/kizoku/index.html    【番組公式ツイッター】  https://twitter.com/kizoku_gozen　    番組公式ラインもやっていますので是非、番組公式ホームページをご検索してください!")</f>
        <v>  武井咲　  生瀬勝久  　/　  木南晴夏　  岡山天音　  田中道子  　・　  井川遥  　・　  仲間由紀恵(特別出演)  　/　  滝藤賢一　  中山美穂　  松重豊　    他【原作】  麻耶雄嵩「貴族探偵」「貴族探偵対女探偵」(集英社文庫刊)　    【脚本】  黒岩勉　    【主題歌】  嵐「I`ll　be　there」(ジェイ・ストーム)　    【プロデュース】  羽鳥健一　  西坂瑞城　    【演出】  中江功　  金井紘　  相沢秀幸　    【制作】  フジテレビ【番組公式ホームページ】  http://www.fujitv.co.jp/kizoku/index.html    【番組公式ツイッター】  https://twitter.com/kizoku_gozen　    番組公式ラインもやっていますので是非、番組公式ホームページをご検索してください!</v>
      </c>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row>
    <row r="279" ht="204.75" customHeight="1">
      <c r="A279" s="1">
        <v>1193.0</v>
      </c>
      <c r="B279" s="2" t="s">
        <v>883</v>
      </c>
      <c r="C279" s="2">
        <f>IFERROR(__xludf.DUMMYFUNCTION("split(B279,""_"")"),1704.0)</f>
        <v>1704</v>
      </c>
      <c r="D279" s="2" t="str">
        <f>IFERROR(__xludf.DUMMYFUNCTION("""COMPUTED_VALUE"""),"CX")</f>
        <v>CX</v>
      </c>
      <c r="E279" s="2" t="str">
        <f>IFERROR(__xludf.DUMMYFUNCTION("""COMPUTED_VALUE"""),"月21")</f>
        <v>月21</v>
      </c>
      <c r="F279" s="2" t="s">
        <v>884</v>
      </c>
      <c r="G279" s="2" t="s">
        <v>897</v>
      </c>
      <c r="H279" s="1">
        <v>5.0</v>
      </c>
      <c r="I279" s="1" t="s">
        <v>17</v>
      </c>
      <c r="J279" s="1" t="s">
        <v>11</v>
      </c>
      <c r="K279" s="2" t="s">
        <v>898</v>
      </c>
      <c r="L279" s="2" t="s">
        <v>899</v>
      </c>
      <c r="M279" s="2" t="str">
        <f>IFERROR(__xludf.DUMMYFUNCTION("split(K279,""相葉雅紀　"",false)"),"【番組公式ホームページ】  http://www.fujitv.co.jp/kizoku/index.html    【番組公式ツイッター】  https://twitter.com/kizoku_gozen　    番組公式ラインもやっていますので是非、番組公式ホームページをご検索してください!貴族探偵(相葉雅紀)は何者なのか?正体を探るべく、高徳愛香(武井咲)は玉村依子(木南晴香)の紹介で、貴族探偵と懇意にしているという桜川鷹亮(竜雷太)に会いに行く。  桜川家を訪ねた愛香だが、依子が来ない。帰ろうと"&amp;"する愛香を呼び止める声。鷹亮の外孫、豊郷皐月(加藤あい)だ。皐月はお茶でも、と愛香を屋敷に誘う。  愛香が皐月と話をしていると、猟銃を持ち、獲物のキジを手にした一団が。大事な儀式のためだと教える皐月は、愛香も見てみないかと再び誘ってくれた。  屋敷内には、先ほどの男たちが控えていた。そこに、鷹亮が来る。皐月は、鷹亮の孫・弥生(北香那)の婿、桜川家の次期当主を選ぶための儀式だと愛香に教える。キジを射止めた金山俊市(忍成修吾)をはじめとした先ほどの一団の男たちが婿候補だった。  金山は得意顔で弥生をエスコート"&amp;"。他の参加者たちと、使用人の愛知川友也(白洲迅)が弥生に付き添う。様子を見ていた愛香だったが、思わぬ幸運を得る。なんと、鷹亮が面会すると言うのだ。  鷹亮の書斎に通された愛香は、貴族探偵のことを尋ねる。すると、鷹亮は本人に直接聞いてみるよう促す。愛香が振り返ると貴族探偵が!貴族探偵は儀式の立会人だったのだ。鷹亮は愛香にも立会人を依頼する。2人の探偵を立会人として、いよいよ始まった婿選びの儀式であったが、鷹亮の懸念通り、凄惨な事件が待ち受けていた!")</f>
        <v>【番組公式ホームページ】  http://www.fujitv.co.jp/kizoku/index.html    【番組公式ツイッター】  https://twitter.com/kizoku_gozen　    番組公式ラインもやっていますので是非、番組公式ホームページをご検索してください!貴族探偵(相葉雅紀)は何者なのか?正体を探るべく、高徳愛香(武井咲)は玉村依子(木南晴香)の紹介で、貴族探偵と懇意にしているという桜川鷹亮(竜雷太)に会いに行く。  桜川家を訪ねた愛香だが、依子が来ない。帰ろうとする愛香を呼び止める声。鷹亮の外孫、豊郷皐月(加藤あい)だ。皐月はお茶でも、と愛香を屋敷に誘う。  愛香が皐月と話をしていると、猟銃を持ち、獲物のキジを手にした一団が。大事な儀式のためだと教える皐月は、愛香も見てみないかと再び誘ってくれた。  屋敷内には、先ほどの男たちが控えていた。そこに、鷹亮が来る。皐月は、鷹亮の孫・弥生(北香那)の婿、桜川家の次期当主を選ぶための儀式だと愛香に教える。キジを射止めた金山俊市(忍成修吾)をはじめとした先ほどの一団の男たちが婿候補だった。  金山は得意顔で弥生をエスコート。他の参加者たちと、使用人の愛知川友也(白洲迅)が弥生に付き添う。様子を見ていた愛香だったが、思わぬ幸運を得る。なんと、鷹亮が面会すると言うのだ。  鷹亮の書斎に通された愛香は、貴族探偵のことを尋ねる。すると、鷹亮は本人に直接聞いてみるよう促す。愛香が振り返ると貴族探偵が!貴族探偵は儀式の立会人だったのだ。鷹亮は愛香にも立会人を依頼する。2人の探偵を立会人として、いよいよ始まった婿選びの儀式であったが、鷹亮の懸念通り、凄惨な事件が待ち受けていた!</v>
      </c>
      <c r="N279" s="2" t="str">
        <f>IFERROR(__xludf.DUMMYFUNCTION("""COMPUTED_VALUE"""),"  武井咲　  生瀬勝久  　/　  木南晴夏　  岡山天音　  田中道子  　・　  井川遥  　・　  仲間由紀恵(特別出演)  　/　  滝藤賢一　  中山美穂　  松重豊　    【第5話ゲスト】  加藤あい　  竜雷太　  忍成修吾　  北香那　    他【原作】  麻耶雄嵩「貴族探偵」「貴族探偵対女探偵」(集英社文庫刊)　    【脚本】  黒岩勉　    【主題歌】  嵐「I`ll　be　there」(ジェイ・ストーム)　    【プロデュース】  羽鳥健一　  西坂瑞城　    【演出】 "&amp;" 中江功　  金井紘　  相沢秀幸　    【制作】  フジテレビ")</f>
        <v>  武井咲　  生瀬勝久  　/　  木南晴夏　  岡山天音　  田中道子  　・　  井川遥  　・　  仲間由紀恵(特別出演)  　/　  滝藤賢一　  中山美穂　  松重豊　    【第5話ゲスト】  加藤あい　  竜雷太　  忍成修吾　  北香那　    他【原作】  麻耶雄嵩「貴族探偵」「貴族探偵対女探偵」(集英社文庫刊)　    【脚本】  黒岩勉　    【主題歌】  嵐「I`ll　be　there」(ジェイ・ストーム)　    【プロデュース】  羽鳥健一　  西坂瑞城　    【演出】  中江功　  金井紘　  相沢秀幸　    【制作】  フジテレビ</v>
      </c>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row>
    <row r="280" ht="204.75" customHeight="1">
      <c r="A280" s="1">
        <v>1194.0</v>
      </c>
      <c r="B280" s="2" t="s">
        <v>883</v>
      </c>
      <c r="C280" s="2">
        <f>IFERROR(__xludf.DUMMYFUNCTION("split(B280,""_"")"),1704.0)</f>
        <v>1704</v>
      </c>
      <c r="D280" s="2" t="str">
        <f>IFERROR(__xludf.DUMMYFUNCTION("""COMPUTED_VALUE"""),"CX")</f>
        <v>CX</v>
      </c>
      <c r="E280" s="2" t="str">
        <f>IFERROR(__xludf.DUMMYFUNCTION("""COMPUTED_VALUE"""),"月21")</f>
        <v>月21</v>
      </c>
      <c r="F280" s="2" t="s">
        <v>884</v>
      </c>
      <c r="G280" s="2" t="s">
        <v>900</v>
      </c>
      <c r="H280" s="1">
        <v>6.0</v>
      </c>
      <c r="I280" s="1" t="s">
        <v>21</v>
      </c>
      <c r="J280" s="1" t="s">
        <v>11</v>
      </c>
      <c r="K280" s="2" t="s">
        <v>901</v>
      </c>
      <c r="L280" s="2" t="s">
        <v>902</v>
      </c>
      <c r="M280" s="2" t="str">
        <f>IFERROR(__xludf.DUMMYFUNCTION("split(K280,""相葉雅紀　"",false)"),"【番組公式ホームページ】  http://www.fujitv.co.jp/kizoku/index.html    【番組公式ツイッター】  https://twitter.com/kizoku_gozen　    番組公式ラインもやっていますので是非、番組公式ホームページをご検索してください!　貴族探偵(相葉雅紀)と高徳愛香(武井咲)が立会人となった桜川家、婿選びの儀式で、凄惨な連続殺人が起きてしまった。儀式は桜川家当主、鷹亮(竜雷太)の孫娘、弥生(北香那)の婿を決めるもの。莫大な財産と権力を引き継ぐ"&amp;"ことになるので、鷹亮はこのような事態が発生することを懸念していた。  　事件は、婿の第一候補となった金山俊市(忍成修吾)が毒を盛られて病院に運ばれたことを皮切りに始まった。そして、その夜別棟に宿泊していた他の婿候補3人が次々に殺されてしまう。しかも、彼らが宿泊していた別棟は密室状態だった…。  　警察の捜査が始まる中、弥生の従姉妹である豊郷皐月(加藤あい)が彼女の身を案じる。それ以上に弥生を案じていそうなのが、桜川家の使用人、愛知川友也(白洲迅)。友也は足を引きずりながら弥生に寄り添っている。愛香が皐月に"&amp;"尋ねると、友也の足は名誉の負傷だと話した。友也は、幼い時に弥生を助けるために大けがを負ってしまったらしい。  　鷹亮の書斎に呼ばれた愛香は、改めて事件の捜査を依頼された。愛香は事件の真相を解いたら貴族探偵の正体を教えてもらうことを条件に引き受ける。だが、鷹亮は貴族探偵にも捜査を依頼していた。  　愛香が鼻形雷雨(生瀬勝久)と天幕に行くと、貴族探偵は婿候補3人の殺害事件それぞれを、佐藤(滝藤賢一)、田中(中山美穂)、山本(松重豊)に調べさせると言う…。")</f>
        <v>【番組公式ホームページ】  http://www.fujitv.co.jp/kizoku/index.html    【番組公式ツイッター】  https://twitter.com/kizoku_gozen　    番組公式ラインもやっていますので是非、番組公式ホームページをご検索してください!　貴族探偵(相葉雅紀)と高徳愛香(武井咲)が立会人となった桜川家、婿選びの儀式で、凄惨な連続殺人が起きてしまった。儀式は桜川家当主、鷹亮(竜雷太)の孫娘、弥生(北香那)の婿を決めるもの。莫大な財産と権力を引き継ぐことになるので、鷹亮はこのような事態が発生することを懸念していた。  　事件は、婿の第一候補となった金山俊市(忍成修吾)が毒を盛られて病院に運ばれたことを皮切りに始まった。そして、その夜別棟に宿泊していた他の婿候補3人が次々に殺されてしまう。しかも、彼らが宿泊していた別棟は密室状態だった…。  　警察の捜査が始まる中、弥生の従姉妹である豊郷皐月(加藤あい)が彼女の身を案じる。それ以上に弥生を案じていそうなのが、桜川家の使用人、愛知川友也(白洲迅)。友也は足を引きずりながら弥生に寄り添っている。愛香が皐月に尋ねると、友也の足は名誉の負傷だと話した。友也は、幼い時に弥生を助けるために大けがを負ってしまったらしい。  　鷹亮の書斎に呼ばれた愛香は、改めて事件の捜査を依頼された。愛香は事件の真相を解いたら貴族探偵の正体を教えてもらうことを条件に引き受ける。だが、鷹亮は貴族探偵にも捜査を依頼していた。  　愛香が鼻形雷雨(生瀬勝久)と天幕に行くと、貴族探偵は婿候補3人の殺害事件それぞれを、佐藤(滝藤賢一)、田中(中山美穂)、山本(松重豊)に調べさせると言う…。</v>
      </c>
      <c r="N280" s="2" t="str">
        <f>IFERROR(__xludf.DUMMYFUNCTION("""COMPUTED_VALUE"""),"  武井咲　  生瀬勝久  　/　  木南晴夏　  岡山天音　  田中道子  　・　  井川遥  　・　  仲間由紀恵(特別出演)  　/　  滝藤賢一　  中山美穂　  松重豊　    【第6話ゲスト】  加藤あい　  竜雷太　  北香那　    他【原作】  麻耶雄嵩「貴族探偵」「貴族探偵対女探偵」(集英社文庫刊)　    【脚本】  黒岩勉　    【主題歌】  嵐「I`ll　be　there」(ジェイ・ストーム)　    【プロデュース】  羽鳥健一　  西坂瑞城　    【演出】  中江功　  "&amp;"金井紘　  相沢秀幸　    【制作】  フジテレビ")</f>
        <v>  武井咲　  生瀬勝久  　/　  木南晴夏　  岡山天音　  田中道子  　・　  井川遥  　・　  仲間由紀恵(特別出演)  　/　  滝藤賢一　  中山美穂　  松重豊　    【第6話ゲスト】  加藤あい　  竜雷太　  北香那　    他【原作】  麻耶雄嵩「貴族探偵」「貴族探偵対女探偵」(集英社文庫刊)　    【脚本】  黒岩勉　    【主題歌】  嵐「I`ll　be　there」(ジェイ・ストーム)　    【プロデュース】  羽鳥健一　  西坂瑞城　    【演出】  中江功　  金井紘　  相沢秀幸　    【制作】  フジテレビ</v>
      </c>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row>
    <row r="281" ht="204.75" customHeight="1">
      <c r="A281" s="1">
        <v>1195.0</v>
      </c>
      <c r="B281" s="2" t="s">
        <v>883</v>
      </c>
      <c r="C281" s="2">
        <f>IFERROR(__xludf.DUMMYFUNCTION("split(B281,""_"")"),1704.0)</f>
        <v>1704</v>
      </c>
      <c r="D281" s="2" t="str">
        <f>IFERROR(__xludf.DUMMYFUNCTION("""COMPUTED_VALUE"""),"CX")</f>
        <v>CX</v>
      </c>
      <c r="E281" s="2" t="str">
        <f>IFERROR(__xludf.DUMMYFUNCTION("""COMPUTED_VALUE"""),"月21")</f>
        <v>月21</v>
      </c>
      <c r="F281" s="2" t="s">
        <v>884</v>
      </c>
      <c r="G281" s="2" t="s">
        <v>903</v>
      </c>
      <c r="H281" s="1">
        <v>7.0</v>
      </c>
      <c r="I281" s="1" t="s">
        <v>25</v>
      </c>
      <c r="J281" s="1" t="s">
        <v>11</v>
      </c>
      <c r="K281" s="2" t="s">
        <v>904</v>
      </c>
      <c r="L281" s="2" t="s">
        <v>905</v>
      </c>
      <c r="M281" s="2" t="str">
        <f>IFERROR(__xludf.DUMMYFUNCTION("split(K281,""相葉雅紀　"",false)"),"【番組公式ホームページ】  http://www.fujitv.co.jp/kizoku/index.html    【番組公式ツイッター】  https://twitter.com/kizoku_gozen　    番組公式ラインもやっていますので是非、番組公式ホームページをご検索してください!高徳愛香(武井咲)は、師匠・喜多見切子(井川遥)が亡くなる直前に扱った事件の報告書を読んでいる。師匠の死に貴族探偵(相葉雅紀)が関係しているかを調べるために。  1年前、切子の大切なクライアントである都倉電子社長"&amp;"の都倉健一(小木茂光)が亡くなった。自殺との一報を受けた切子は信じられず、都倉家に急ぐ。切子を出迎えたのは、都倉の妻・光恵(広末涼子)、都倉の前妻の息子・忠仁(藤原季節)、同じく娘の江梨子(唐田えりか)、秘書の旗手真佐子(森口瑤子)たち。  切子は現場の管理責任者という交番勤務の警官、鼻形雷雨(生瀬勝久)を説き伏せ、都倉が死亡した書斎に入る。都倉は睡眠薬服用後、自ら手首を切って失血死したと警察は判断していた。書斎は中から鍵がかけられた、いわゆる密室状態だったのだ。しかし、現場を独自に検証した切子は、密室は"&amp;"意図的に作られたと見抜き、都倉が何者かに殺されたと疑う。そこに、田中(中山美穂)がやって来た。田中は主が待っていると、一同を貴族の天幕に誘う。  貴族探偵は、面白そうだから出向いたと言う。こうして、都倉を殺害した犯人暴きを、貴族探偵と切子が競うことになった。もちろん、貴族探偵は現在と同じく、田中、佐藤(滝藤賢一)、山本(松重豊)ら使用人に推理は任せる様子。さらに、貴族探偵は、もう1人の使用人にあることを依頼する。事件を解決するのはどちらなのか?そして、もう1人の使用人とは?")</f>
        <v>【番組公式ホームページ】  http://www.fujitv.co.jp/kizoku/index.html    【番組公式ツイッター】  https://twitter.com/kizoku_gozen　    番組公式ラインもやっていますので是非、番組公式ホームページをご検索してください!高徳愛香(武井咲)は、師匠・喜多見切子(井川遥)が亡くなる直前に扱った事件の報告書を読んでいる。師匠の死に貴族探偵(相葉雅紀)が関係しているかを調べるために。  1年前、切子の大切なクライアントである都倉電子社長の都倉健一(小木茂光)が亡くなった。自殺との一報を受けた切子は信じられず、都倉家に急ぐ。切子を出迎えたのは、都倉の妻・光恵(広末涼子)、都倉の前妻の息子・忠仁(藤原季節)、同じく娘の江梨子(唐田えりか)、秘書の旗手真佐子(森口瑤子)たち。  切子は現場の管理責任者という交番勤務の警官、鼻形雷雨(生瀬勝久)を説き伏せ、都倉が死亡した書斎に入る。都倉は睡眠薬服用後、自ら手首を切って失血死したと警察は判断していた。書斎は中から鍵がかけられた、いわゆる密室状態だったのだ。しかし、現場を独自に検証した切子は、密室は意図的に作られたと見抜き、都倉が何者かに殺されたと疑う。そこに、田中(中山美穂)がやって来た。田中は主が待っていると、一同を貴族の天幕に誘う。  貴族探偵は、面白そうだから出向いたと言う。こうして、都倉を殺害した犯人暴きを、貴族探偵と切子が競うことになった。もちろん、貴族探偵は現在と同じく、田中、佐藤(滝藤賢一)、山本(松重豊)ら使用人に推理は任せる様子。さらに、貴族探偵は、もう1人の使用人にあることを依頼する。事件を解決するのはどちらなのか?そして、もう1人の使用人とは?</v>
      </c>
      <c r="N281" s="2" t="str">
        <f>IFERROR(__xludf.DUMMYFUNCTION("""COMPUTED_VALUE"""),"  武井咲　  生瀬勝久  　/　  木南晴夏　  岡山天音　  田中道子  　・　  井川遥  　・　  仲間由紀恵(特別出演)  　/　  滝藤賢一　  中山美穂　  松重豊　    【第7話ゲスト】  広末涼子　  小木茂光　  森口瑤子　    他【原作】  麻耶雄嵩「貴族探偵」「貴族探偵対女探偵」(集英社文庫刊)　    【脚本】  黒岩勉　    【主題歌】  嵐「I`ll　be　there」(ジェイ・ストーム)　    【プロデュース】  羽鳥健一　  西坂瑞城　    【演出】  中江功　"&amp;"  金井紘　  相沢秀幸　    【制作】  フジテレビ")</f>
        <v>  武井咲　  生瀬勝久  　/　  木南晴夏　  岡山天音　  田中道子  　・　  井川遥  　・　  仲間由紀恵(特別出演)  　/　  滝藤賢一　  中山美穂　  松重豊　    【第7話ゲスト】  広末涼子　  小木茂光　  森口瑤子　    他【原作】  麻耶雄嵩「貴族探偵」「貴族探偵対女探偵」(集英社文庫刊)　    【脚本】  黒岩勉　    【主題歌】  嵐「I`ll　be　there」(ジェイ・ストーム)　    【プロデュース】  羽鳥健一　  西坂瑞城　    【演出】  中江功　  金井紘　  相沢秀幸　    【制作】  フジテレビ</v>
      </c>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row>
    <row r="282" ht="204.75" customHeight="1">
      <c r="A282" s="1">
        <v>1196.0</v>
      </c>
      <c r="B282" s="2" t="s">
        <v>883</v>
      </c>
      <c r="C282" s="2">
        <f>IFERROR(__xludf.DUMMYFUNCTION("split(B282,""_"")"),1704.0)</f>
        <v>1704</v>
      </c>
      <c r="D282" s="2" t="str">
        <f>IFERROR(__xludf.DUMMYFUNCTION("""COMPUTED_VALUE"""),"CX")</f>
        <v>CX</v>
      </c>
      <c r="E282" s="2" t="str">
        <f>IFERROR(__xludf.DUMMYFUNCTION("""COMPUTED_VALUE"""),"月21")</f>
        <v>月21</v>
      </c>
      <c r="F282" s="2" t="s">
        <v>884</v>
      </c>
      <c r="G282" s="2" t="s">
        <v>906</v>
      </c>
      <c r="H282" s="1">
        <v>8.0</v>
      </c>
      <c r="I282" s="1" t="s">
        <v>29</v>
      </c>
      <c r="J282" s="1" t="s">
        <v>11</v>
      </c>
      <c r="K282" s="2" t="s">
        <v>907</v>
      </c>
      <c r="L282" s="2" t="s">
        <v>908</v>
      </c>
      <c r="M282" s="2" t="str">
        <f>IFERROR(__xludf.DUMMYFUNCTION("split(K282,""相葉雅紀　"",false)"),"【番組公式ホームページ】  http://www.fujitv.co.jp/kizoku/index.html    【番組公式ツイッター】  https://twitter.com/kizoku_gozen　    番組公式ラインもやっていますので是非、番組公式ホームページをご検索してください!貴族探偵(相葉雅紀)は、特命秘書の鈴木(仲間由紀恵)に喜多見切子(井川遥)の殺害命令を下していた?高徳愛香(武井咲)は、切子の手帳から政宗是正という人物の名を見つける。切子はこの男を調べようとして殺害されたのだろ"&amp;"うか?政宗是正こそ貴族探偵の正体なのか?  愛香は事務所に鼻形雷雨(生瀬勝久)を呼んで、今まで自分が調べたことを話す。そして、鼻形に政宗是正について警察の力で調べてほしいと頼む。ちょうどその時、愛香の大学時代の先輩、韮山瞳(上原多香子)から電話が入った。  瞳は母校の准教授をしていたため、久しぶりに大学を訪ねた愛香。そこには、最近瞳と知り合った貴族探偵がいた。研究室で扱う光るキノコを見に来た貴族探偵に、愛香の先輩であることが分かった瞳を通して、見にこないかと誘われたのだ。そんな話の途中、貴族探偵は自分のこ"&amp;"とを調べるのは命がけになると愛香に忠告する。推理の無能ぶりまで指摘された愛香が怒ると、貴族探偵は席を外してしまった。  憤る愛香に優しくお茶を供する田中(中山美穂)。愛香は貴族探偵に仕えた理由を尋ねるが、田中が答えることはなかった。そんな時、女性の悲鳴が!愛香が駆けつけると、韮山研究室のゼミ幹、大場和典(松川尚瑠輝)が殺されていた。  警察の捜査が始まると、貴族探偵はこの事件を愛香に依頼すると言う。だが、それは叶わなかった。なんと、愛香が重要参考人として連行されてしまったのだ!")</f>
        <v>【番組公式ホームページ】  http://www.fujitv.co.jp/kizoku/index.html    【番組公式ツイッター】  https://twitter.com/kizoku_gozen　    番組公式ラインもやっていますので是非、番組公式ホームページをご検索してください!貴族探偵(相葉雅紀)は、特命秘書の鈴木(仲間由紀恵)に喜多見切子(井川遥)の殺害命令を下していた?高徳愛香(武井咲)は、切子の手帳から政宗是正という人物の名を見つける。切子はこの男を調べようとして殺害されたのだろうか?政宗是正こそ貴族探偵の正体なのか?  愛香は事務所に鼻形雷雨(生瀬勝久)を呼んで、今まで自分が調べたことを話す。そして、鼻形に政宗是正について警察の力で調べてほしいと頼む。ちょうどその時、愛香の大学時代の先輩、韮山瞳(上原多香子)から電話が入った。  瞳は母校の准教授をしていたため、久しぶりに大学を訪ねた愛香。そこには、最近瞳と知り合った貴族探偵がいた。研究室で扱う光るキノコを見に来た貴族探偵に、愛香の先輩であることが分かった瞳を通して、見にこないかと誘われたのだ。そんな話の途中、貴族探偵は自分のことを調べるのは命がけになると愛香に忠告する。推理の無能ぶりまで指摘された愛香が怒ると、貴族探偵は席を外してしまった。  憤る愛香に優しくお茶を供する田中(中山美穂)。愛香は貴族探偵に仕えた理由を尋ねるが、田中が答えることはなかった。そんな時、女性の悲鳴が!愛香が駆けつけると、韮山研究室のゼミ幹、大場和典(松川尚瑠輝)が殺されていた。  警察の捜査が始まると、貴族探偵はこの事件を愛香に依頼すると言う。だが、それは叶わなかった。なんと、愛香が重要参考人として連行されてしまったのだ!</v>
      </c>
      <c r="N282" s="2" t="str">
        <f>IFERROR(__xludf.DUMMYFUNCTION("""COMPUTED_VALUE"""),"  武井咲　  生瀬勝久  　/　  木南晴夏　  岡山天音　  田中道子  　・　  井川遥  　・　  仲間由紀恵(特別出演)  　/　  滝藤賢一　  中山美穂　  松重豊　    【第8話ゲスト】  上原多香子　    他【原作】  麻耶雄嵩「貴族探偵」「貴族探偵対女探偵」(集英社文庫刊)　    【脚本】  黒岩勉　    【主題歌】  嵐「I`ll　be　there」(ジェイ・ストーム)　    【プロデュース】  羽鳥健一　  西坂瑞城　    【演出】  中江功　  金井紘　  相沢秀幸　"&amp;"    【制作】  フジテレビ")</f>
        <v>  武井咲　  生瀬勝久  　/　  木南晴夏　  岡山天音　  田中道子  　・　  井川遥  　・　  仲間由紀恵(特別出演)  　/　  滝藤賢一　  中山美穂　  松重豊　    【第8話ゲスト】  上原多香子　    他【原作】  麻耶雄嵩「貴族探偵」「貴族探偵対女探偵」(集英社文庫刊)　    【脚本】  黒岩勉　    【主題歌】  嵐「I`ll　be　there」(ジェイ・ストーム)　    【プロデュース】  羽鳥健一　  西坂瑞城　    【演出】  中江功　  金井紘　  相沢秀幸　    【制作】  フジテレビ</v>
      </c>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row>
    <row r="283" ht="204.75" customHeight="1">
      <c r="A283" s="1">
        <v>1197.0</v>
      </c>
      <c r="B283" s="2" t="s">
        <v>883</v>
      </c>
      <c r="C283" s="2">
        <f>IFERROR(__xludf.DUMMYFUNCTION("split(B283,""_"")"),1704.0)</f>
        <v>1704</v>
      </c>
      <c r="D283" s="2" t="str">
        <f>IFERROR(__xludf.DUMMYFUNCTION("""COMPUTED_VALUE"""),"CX")</f>
        <v>CX</v>
      </c>
      <c r="E283" s="2" t="str">
        <f>IFERROR(__xludf.DUMMYFUNCTION("""COMPUTED_VALUE"""),"月21")</f>
        <v>月21</v>
      </c>
      <c r="F283" s="2" t="s">
        <v>884</v>
      </c>
      <c r="G283" s="2" t="s">
        <v>909</v>
      </c>
      <c r="H283" s="1">
        <v>9.0</v>
      </c>
      <c r="I283" s="1" t="s">
        <v>33</v>
      </c>
      <c r="J283" s="1" t="s">
        <v>11</v>
      </c>
      <c r="K283" s="2" t="s">
        <v>910</v>
      </c>
      <c r="L283" s="2" t="s">
        <v>911</v>
      </c>
      <c r="M283" s="2" t="str">
        <f>IFERROR(__xludf.DUMMYFUNCTION("split(K283,""相葉雅紀　"",false)"),"【番組公式ホームページ】  http://www.fujitv.co.jp/kizoku/index.html    【番組公式ツイッター】  https://twitter.com/kizoku_gozen　    番組公式ラインもやっていますので是非、番組公式ホームページをご検索してください!喜多見切子(井川遥)の死の真相、そして貴族探偵(相葉雅紀)の関わりを追う高徳愛香(武井咲)は、政宗是正という人物にたどり着く。愛香に頼まれた鼻形雷雨(生瀬勝久)が、政宗を警察庁のデータベースで調べると、シンガポー"&amp;"ルを拠点に黒い活動をする人物という以外、貴族探偵と同じように一切が謎に包まれた人物だった。  愛香は鼻形と、切子の遺体が発見された渓谷に花を手向けに行く。切子は上流の山道から転落して流された事故死とされていたが、当時の関係者は遺体には目立った外傷がなかったと証言していた。鼻形は近くの喫茶店に後輩の警官を呼び出し、当時の資料を持ち出すよう頼む。  その喫茶店に、作家の大杉道雄(小市慢太郎)がいることに鼻形が気づく。鼻形は大杉の妻で、元女優の本宮真知子(高岡早紀)のファンだったのだ。  そんな時、鼻形の携帯が"&amp;"鳴る。貴族探偵の執事、山本(松重豊)からだ。山本によると、貴族探偵が珍しい蝶を探していると愛犬のシュピーゲルが女性の他殺体を発見したと言う。  愛香たちが指定されたキャンプ場に行くと、貴族探偵の天幕が張られている。貴族探偵はまたしても事件の謎解きを愛香に求めてきた。  殺害されたのは水橋佐和子(田中千絵)。真知子の妹だ。佐和子は夫の洋一(山中崇)、大杉夫妻、友人の堂島尚樹(中村俊介)とキャンプ中に殺害されたのだ。そのあまりに美しい遺体の姿に貴族探偵は目を奪われる…。")</f>
        <v>【番組公式ホームページ】  http://www.fujitv.co.jp/kizoku/index.html    【番組公式ツイッター】  https://twitter.com/kizoku_gozen　    番組公式ラインもやっていますので是非、番組公式ホームページをご検索してください!喜多見切子(井川遥)の死の真相、そして貴族探偵(相葉雅紀)の関わりを追う高徳愛香(武井咲)は、政宗是正という人物にたどり着く。愛香に頼まれた鼻形雷雨(生瀬勝久)が、政宗を警察庁のデータベースで調べると、シンガポールを拠点に黒い活動をする人物という以外、貴族探偵と同じように一切が謎に包まれた人物だった。  愛香は鼻形と、切子の遺体が発見された渓谷に花を手向けに行く。切子は上流の山道から転落して流された事故死とされていたが、当時の関係者は遺体には目立った外傷がなかったと証言していた。鼻形は近くの喫茶店に後輩の警官を呼び出し、当時の資料を持ち出すよう頼む。  その喫茶店に、作家の大杉道雄(小市慢太郎)がいることに鼻形が気づく。鼻形は大杉の妻で、元女優の本宮真知子(高岡早紀)のファンだったのだ。  そんな時、鼻形の携帯が鳴る。貴族探偵の執事、山本(松重豊)からだ。山本によると、貴族探偵が珍しい蝶を探していると愛犬のシュピーゲルが女性の他殺体を発見したと言う。  愛香たちが指定されたキャンプ場に行くと、貴族探偵の天幕が張られている。貴族探偵はまたしても事件の謎解きを愛香に求めてきた。  殺害されたのは水橋佐和子(田中千絵)。真知子の妹だ。佐和子は夫の洋一(山中崇)、大杉夫妻、友人の堂島尚樹(中村俊介)とキャンプ中に殺害されたのだ。そのあまりに美しい遺体の姿に貴族探偵は目を奪われる…。</v>
      </c>
      <c r="N283" s="2" t="str">
        <f>IFERROR(__xludf.DUMMYFUNCTION("""COMPUTED_VALUE"""),"  武井咲　  生瀬勝久  　/　  木南晴夏　  岡山天音　  田中道子  　・　  井川遥  　・　  仲間由紀恵(特別出演)  　/　  滝藤賢一　  中山美穂　  松重豊　    【第9話ゲスト】  田中千絵　  高岡早紀　  小市慢太郎　  中村俊介　  山中崇　    他【原作】  麻耶雄嵩「貴族探偵」「貴族探偵対女探偵」(集英社文庫刊)　    【脚本】  黒岩勉　    【主題歌】  嵐「I`ll　be　there」(ジェイ・ストーム)　    【プロデュース】  羽鳥健一　  西坂瑞城　"&amp;"    【演出】  中江功　  金井紘　  相沢秀幸　    【制作】  フジテレビ")</f>
        <v>  武井咲　  生瀬勝久  　/　  木南晴夏　  岡山天音　  田中道子  　・　  井川遥  　・　  仲間由紀恵(特別出演)  　/　  滝藤賢一　  中山美穂　  松重豊　    【第9話ゲスト】  田中千絵　  高岡早紀　  小市慢太郎　  中村俊介　  山中崇　    他【原作】  麻耶雄嵩「貴族探偵」「貴族探偵対女探偵」(集英社文庫刊)　    【脚本】  黒岩勉　    【主題歌】  嵐「I`ll　be　there」(ジェイ・ストーム)　    【プロデュース】  羽鳥健一　  西坂瑞城　    【演出】  中江功　  金井紘　  相沢秀幸　    【制作】  フジテレビ</v>
      </c>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row>
    <row r="284" ht="204.75" customHeight="1">
      <c r="A284" s="1">
        <v>1198.0</v>
      </c>
      <c r="B284" s="2" t="s">
        <v>883</v>
      </c>
      <c r="C284" s="2">
        <f>IFERROR(__xludf.DUMMYFUNCTION("split(B284,""_"")"),1704.0)</f>
        <v>1704</v>
      </c>
      <c r="D284" s="2" t="str">
        <f>IFERROR(__xludf.DUMMYFUNCTION("""COMPUTED_VALUE"""),"CX")</f>
        <v>CX</v>
      </c>
      <c r="E284" s="2" t="str">
        <f>IFERROR(__xludf.DUMMYFUNCTION("""COMPUTED_VALUE"""),"月21")</f>
        <v>月21</v>
      </c>
      <c r="F284" s="2" t="s">
        <v>884</v>
      </c>
      <c r="G284" s="2" t="s">
        <v>912</v>
      </c>
      <c r="H284" s="1">
        <v>10.0</v>
      </c>
      <c r="I284" s="1" t="s">
        <v>37</v>
      </c>
      <c r="J284" s="1" t="s">
        <v>11</v>
      </c>
      <c r="K284" s="2" t="s">
        <v>913</v>
      </c>
      <c r="L284" s="2" t="s">
        <v>914</v>
      </c>
      <c r="M284" s="2" t="str">
        <f>IFERROR(__xludf.DUMMYFUNCTION("split(K284,""相葉雅紀　"",false)"),"【番組公式ホームページ】  http://www.fujitv.co.jp/kizoku/index.html    【番組公式ツイッター】  https://twitter.com/kizoku_gozen　    番組公式ラインもやっていますので是非、番組公式ホームページをご検索してください!貴族探偵(相葉雅紀)と対峙した高徳愛香(武井咲)は、喜多見切子(井川遥)を殺害したのはあなただと突きつけた。政宗是正という名前、鈴木(仲間由紀恵)など調べたことを、愛香は貴族探偵に詰め寄る。しかし、貴族探偵は証拠"&amp;"が何もないと一蹴。それでも切子の死の真相を知りたいと訴える愛香に、貴族探偵は自分の前で事件を正しくひも解くことが出来たら教える…と約束する。  愛香が去ると、貴族探偵は佐藤(滝藤賢一)、田中(中山美穂)、山本(松重豊)を呼び、鈴木の所在を確かめると、ケリをつけると伝えておけ、と命令した。  愛香の事務所に、依頼書が舞い込む。それはシンガポールを拠点に武器商人として財をなす具同家からのものだった。シンガポールと言えば、政宗是正と…。貴族探偵の罠かもしれないと疑いながらも、愛香は具同家の別荘へと向かう。  別"&amp;"荘では、具同家当主、次男の娘、真希(矢作穂香)の誕生会が催されようとしていた。玉村依子(木南晴夏)もいる。依子が愛香を紹介したらしい。依頼人は真希。愛香が真希に依頼内容を尋ねると、一通の脅迫状を見せられる。昨年の同じパーティーで、不幸にも参加者の1人が事故死。脅迫状は、それが殺人だったと訴えていた。真希は貴族探偵にも頼んだが、断られてしまったと言う。  やはり、愛香が呼ばれた裏には貴族探偵が?そして、パーティーの夜、凄惨(せいさん)な事件が起きてしまう…。")</f>
        <v>【番組公式ホームページ】  http://www.fujitv.co.jp/kizoku/index.html    【番組公式ツイッター】  https://twitter.com/kizoku_gozen　    番組公式ラインもやっていますので是非、番組公式ホームページをご検索してください!貴族探偵(相葉雅紀)と対峙した高徳愛香(武井咲)は、喜多見切子(井川遥)を殺害したのはあなただと突きつけた。政宗是正という名前、鈴木(仲間由紀恵)など調べたことを、愛香は貴族探偵に詰め寄る。しかし、貴族探偵は証拠が何もないと一蹴。それでも切子の死の真相を知りたいと訴える愛香に、貴族探偵は自分の前で事件を正しくひも解くことが出来たら教える…と約束する。  愛香が去ると、貴族探偵は佐藤(滝藤賢一)、田中(中山美穂)、山本(松重豊)を呼び、鈴木の所在を確かめると、ケリをつけると伝えておけ、と命令した。  愛香の事務所に、依頼書が舞い込む。それはシンガポールを拠点に武器商人として財をなす具同家からのものだった。シンガポールと言えば、政宗是正と…。貴族探偵の罠かもしれないと疑いながらも、愛香は具同家の別荘へと向かう。  別荘では、具同家当主、次男の娘、真希(矢作穂香)の誕生会が催されようとしていた。玉村依子(木南晴夏)もいる。依子が愛香を紹介したらしい。依頼人は真希。愛香が真希に依頼内容を尋ねると、一通の脅迫状を見せられる。昨年の同じパーティーで、不幸にも参加者の1人が事故死。脅迫状は、それが殺人だったと訴えていた。真希は貴族探偵にも頼んだが、断られてしまったと言う。  やはり、愛香が呼ばれた裏には貴族探偵が?そして、パーティーの夜、凄惨(せいさん)な事件が起きてしまう…。</v>
      </c>
      <c r="N284" s="2" t="str">
        <f>IFERROR(__xludf.DUMMYFUNCTION("""COMPUTED_VALUE"""),"  武井咲　  生瀬勝久  　/　  木南晴夏　  岡山天音　  田中道子  　・　  井川遥  　・　  仲間由紀恵(特別出演)  　/　  滝藤賢一　  中山美穂　  松重豊　    【第10話ゲスト】  桐山漣　  南沢奈央　  矢作穂香　  辰巳雄大(ふぉ～ゆ～)　    他【原作】  麻耶雄嵩「貴族探偵」「貴族探偵対女探偵」(集英社文庫刊)　    【脚本】  黒岩勉　    【主題歌】  嵐「I`ll　be　there」(ジェイ・ストーム)　    【プロデュース】  羽鳥健一　  西坂瑞城　"&amp;"    【演出】  中江功　  金井紘　  相沢秀幸　    【制作】  フジテレビ")</f>
        <v>  武井咲　  生瀬勝久  　/　  木南晴夏　  岡山天音　  田中道子  　・　  井川遥  　・　  仲間由紀恵(特別出演)  　/　  滝藤賢一　  中山美穂　  松重豊　    【第10話ゲスト】  桐山漣　  南沢奈央　  矢作穂香　  辰巳雄大(ふぉ～ゆ～)　    他【原作】  麻耶雄嵩「貴族探偵」「貴族探偵対女探偵」(集英社文庫刊)　    【脚本】  黒岩勉　    【主題歌】  嵐「I`ll　be　there」(ジェイ・ストーム)　    【プロデュース】  羽鳥健一　  西坂瑞城　    【演出】  中江功　  金井紘　  相沢秀幸　    【制作】  フジテレビ</v>
      </c>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row>
    <row r="285" ht="204.75" customHeight="1">
      <c r="A285" s="1">
        <v>1199.0</v>
      </c>
      <c r="B285" s="2" t="s">
        <v>883</v>
      </c>
      <c r="C285" s="2">
        <f>IFERROR(__xludf.DUMMYFUNCTION("split(B285,""_"")"),1704.0)</f>
        <v>1704</v>
      </c>
      <c r="D285" s="2" t="str">
        <f>IFERROR(__xludf.DUMMYFUNCTION("""COMPUTED_VALUE"""),"CX")</f>
        <v>CX</v>
      </c>
      <c r="E285" s="2" t="str">
        <f>IFERROR(__xludf.DUMMYFUNCTION("""COMPUTED_VALUE"""),"月21")</f>
        <v>月21</v>
      </c>
      <c r="F285" s="2" t="s">
        <v>884</v>
      </c>
      <c r="G285" s="2" t="s">
        <v>915</v>
      </c>
      <c r="H285" s="1">
        <v>11.0</v>
      </c>
      <c r="I285" s="1" t="s">
        <v>41</v>
      </c>
      <c r="J285" s="1" t="s">
        <v>4</v>
      </c>
      <c r="K285" s="2" t="s">
        <v>916</v>
      </c>
      <c r="L285" s="2" t="s">
        <v>917</v>
      </c>
      <c r="M285" s="2" t="str">
        <f>IFERROR(__xludf.DUMMYFUNCTION("split(K285,""【"",false)"),"番組公式ホームページ】  http://www.fujitv.co.jp/kizoku/index.html    ")</f>
        <v>番組公式ホームページ】  http://www.fujitv.co.jp/kizoku/index.html    </v>
      </c>
      <c r="N285" s="2" t="str">
        <f>IFERROR(__xludf.DUMMYFUNCTION("""COMPUTED_VALUE"""),"番組公式ツイッター】  https://twitter.com/kizoku_gozen　    番組公式ラインもやっていますので是非、番組公式ホームページをご検索してください!「私の前で事件を正しくひも解くことが出来たなら、彼女(喜多見切子(井川遥))の死の真相をお教えしましょう」と言う貴族探偵(相葉雅紀)と約束をした高徳愛香(武井咲)は、まるで導かれるように探偵依頼を受け、日本有数の門閥・具同家の別荘、星見荘で行われる具同真希(矢作穂香)の誕生パーティーへと向かう。  パーティーに集っていたのは、具同"&amp;"家の後継者、弘基(桐山漣)、弘基の従兄弟の佳久(辰巳雄大)と妹の真希、国見奈和(佐藤めぐみ)。そして、佳久の大学の先輩、有岡葉子(南沢奈央)と、具同家の使用人、平田早苗(高橋ひとみ)だった。しかし、この集いには脅迫状が届いていた。そのため、女探偵の愛香に玉村依子(木南晴夏)を介して真希が依頼を出していたのだ(貴族探偵には依頼を断られた)。  脅迫状は、1年前の同じパーティーでジェットスキーでの事故死として処理された緒方修(小松勇司)の死の真相を知っている、というものだった。  一体誰が脅迫状を送ったのだろ"&amp;"うか?それぞれの参加者が疑心暗鬼になる中、事件は起きてしまった。その夜、弘基と葉子が殺害されてしまったのだ。発見した愛香も、何者かに襲われて昏倒。その後、愛香を抱き抱えて運ぶ貴族探偵の姿が…。  星見荘で起きた一連の殺人は貴族探偵の犯行なのか?倒れた愛香を運ぶ貴族探偵の目的は?そして、貴族探偵の正体、切子の死の真相とは?最終話、全ての謎が解き明かされるのかー。相葉雅紀　  武井咲　  生瀬勝久  　/　  木南晴夏　  岡山天音　  田中道子  　・　  井川遥  　・　  仲間由紀恵(特別出演)  　/"&amp;"　  滝藤賢一　  中山美穂　  松重豊　    ")</f>
        <v>番組公式ツイッター】  https://twitter.com/kizoku_gozen　    番組公式ラインもやっていますので是非、番組公式ホームページをご検索してください!「私の前で事件を正しくひも解くことが出来たなら、彼女(喜多見切子(井川遥))の死の真相をお教えしましょう」と言う貴族探偵(相葉雅紀)と約束をした高徳愛香(武井咲)は、まるで導かれるように探偵依頼を受け、日本有数の門閥・具同家の別荘、星見荘で行われる具同真希(矢作穂香)の誕生パーティーへと向かう。  パーティーに集っていたのは、具同家の後継者、弘基(桐山漣)、弘基の従兄弟の佳久(辰巳雄大)と妹の真希、国見奈和(佐藤めぐみ)。そして、佳久の大学の先輩、有岡葉子(南沢奈央)と、具同家の使用人、平田早苗(高橋ひとみ)だった。しかし、この集いには脅迫状が届いていた。そのため、女探偵の愛香に玉村依子(木南晴夏)を介して真希が依頼を出していたのだ(貴族探偵には依頼を断られた)。  脅迫状は、1年前の同じパーティーでジェットスキーでの事故死として処理された緒方修(小松勇司)の死の真相を知っている、というものだった。  一体誰が脅迫状を送ったのだろうか?それぞれの参加者が疑心暗鬼になる中、事件は起きてしまった。その夜、弘基と葉子が殺害されてしまったのだ。発見した愛香も、何者かに襲われて昏倒。その後、愛香を抱き抱えて運ぶ貴族探偵の姿が…。  星見荘で起きた一連の殺人は貴族探偵の犯行なのか?倒れた愛香を運ぶ貴族探偵の目的は?そして、貴族探偵の正体、切子の死の真相とは?最終話、全ての謎が解き明かされるのかー。相葉雅紀　  武井咲　  生瀬勝久  　/　  木南晴夏　  岡山天音　  田中道子  　・　  井川遥  　・　  仲間由紀恵(特別出演)  　/　  滝藤賢一　  中山美穂　  松重豊　    </v>
      </c>
      <c r="O285" s="2" t="str">
        <f>IFERROR(__xludf.DUMMYFUNCTION("""COMPUTED_VALUE"""),"第10話ゲスト】  高橋ひとみ　  桐山漣　  南沢奈央　  矢作穂香　  辰巳雄大(ふぉ～ゆ～)　  佐藤めぐみ　    他")</f>
        <v>第10話ゲスト】  高橋ひとみ　  桐山漣　  南沢奈央　  矢作穂香　  辰巳雄大(ふぉ～ゆ～)　  佐藤めぐみ　    他</v>
      </c>
      <c r="P285" s="2" t="str">
        <f>IFERROR(__xludf.DUMMYFUNCTION("""COMPUTED_VALUE"""),"原作】  麻耶雄嵩「貴族探偵」「貴族探偵対女探偵」(集英社文庫刊)　    ")</f>
        <v>原作】  麻耶雄嵩「貴族探偵」「貴族探偵対女探偵」(集英社文庫刊)　    </v>
      </c>
      <c r="Q285" s="2" t="str">
        <f>IFERROR(__xludf.DUMMYFUNCTION("""COMPUTED_VALUE"""),"脚本】  黒岩勉　    ")</f>
        <v>脚本】  黒岩勉　    </v>
      </c>
      <c r="R285" s="2" t="str">
        <f>IFERROR(__xludf.DUMMYFUNCTION("""COMPUTED_VALUE"""),"主題歌】  嵐「I`ll　be　there」(ジェイ・ストーム)　    ")</f>
        <v>主題歌】  嵐「I`ll　be　there」(ジェイ・ストーム)　    </v>
      </c>
      <c r="S285" s="2" t="str">
        <f>IFERROR(__xludf.DUMMYFUNCTION("""COMPUTED_VALUE"""),"プロデュース】  羽鳥健一　  西坂瑞城　    ")</f>
        <v>プロデュース】  羽鳥健一　  西坂瑞城　    </v>
      </c>
      <c r="T285" s="2" t="str">
        <f>IFERROR(__xludf.DUMMYFUNCTION("""COMPUTED_VALUE"""),"演出】  中江功　  金井紘　  相沢秀幸　    ")</f>
        <v>演出】  中江功　  金井紘　  相沢秀幸　    </v>
      </c>
      <c r="U285" s="2" t="str">
        <f>IFERROR(__xludf.DUMMYFUNCTION("""COMPUTED_VALUE"""),"制作】  フジテレビ")</f>
        <v>制作】  フジテレビ</v>
      </c>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row>
    <row r="286" ht="204.75" customHeight="1">
      <c r="A286" s="1">
        <v>1200.0</v>
      </c>
      <c r="B286" s="2" t="s">
        <v>918</v>
      </c>
      <c r="C286" s="2">
        <f>IFERROR(__xludf.DUMMYFUNCTION("split(B286,""_"")"),1704.0)</f>
        <v>1704</v>
      </c>
      <c r="D286" s="2" t="str">
        <f>IFERROR(__xludf.DUMMYFUNCTION("""COMPUTED_VALUE"""),"CX")</f>
        <v>CX</v>
      </c>
      <c r="E286" s="2" t="str">
        <f>IFERROR(__xludf.DUMMYFUNCTION("""COMPUTED_VALUE"""),"火21")</f>
        <v>火21</v>
      </c>
      <c r="F286" s="2" t="s">
        <v>919</v>
      </c>
      <c r="G286" s="2" t="s">
        <v>920</v>
      </c>
      <c r="H286" s="1">
        <v>1.0</v>
      </c>
      <c r="I286" s="1" t="s">
        <v>3</v>
      </c>
      <c r="J286" s="1" t="s">
        <v>4</v>
      </c>
      <c r="K286" s="2" t="s">
        <v>921</v>
      </c>
      <c r="L286" s="2" t="s">
        <v>922</v>
      </c>
      <c r="M286" s="2" t="str">
        <f>IFERROR(__xludf.DUMMYFUNCTION("split(K286,""小栗旬　"",false)"),"元自衛隊員の稲見朗(小栗旬)と、元公安の捜査員・田丸三郎(西島秀俊)が所属する公安機動捜査隊特捜班は、警察庁警備局長・鍛冶大輝(長塚京三)直轄の秘密部隊。  常識では計れない事件に脅かされる現代で、各分野のスペシャリスト5人が集結し、国家に危機をもたらす政治的事件やテロを秘密裏に捜査し、解決を図る。    ある日、高層ビルが立ち並ぶ広場に、首に爆弾を巻かれた宇田川圭介(白洲迅)が現れ、辺りは騒然となる。現職の外務大臣の息子である圭介は、これまで薬物や傷害など数々の罪を犯してきたが、親の権力によって逮捕を免"&amp;"れてきた、いわくつきの人物。  犯人は、息子の罪を隠ぺいした外務大臣に、夜のニュース番組での公開謝罪を要求。さもなければ、公衆の面前で圭介を処刑するという。  鍛治からの指令を受けて、現場に急行した稲見や田丸、樫井勇輔(野間口徹)、大山玲(新木優子)ら特殊班のメンバー。親の加護のもと、やりたい放題の圭介に反感を抱きつつも、班長・吉永三成(田中哲司)の指示で実行犯の逮捕に向けて動き出す。    タイムリミットが刻々と迫るなか、稲見と田丸は事件の鍵を握る人物に接触。そこで、ある驚きの事実を知ることに。  さら"&amp;"に稲見は犯行現場に関して“ある疑問""を抱いてーー。")</f>
        <v>元自衛隊員の稲見朗(小栗旬)と、元公安の捜査員・田丸三郎(西島秀俊)が所属する公安機動捜査隊特捜班は、警察庁警備局長・鍛冶大輝(長塚京三)直轄の秘密部隊。  常識では計れない事件に脅かされる現代で、各分野のスペシャリスト5人が集結し、国家に危機をもたらす政治的事件やテロを秘密裏に捜査し、解決を図る。    ある日、高層ビルが立ち並ぶ広場に、首に爆弾を巻かれた宇田川圭介(白洲迅)が現れ、辺りは騒然となる。現職の外務大臣の息子である圭介は、これまで薬物や傷害など数々の罪を犯してきたが、親の権力によって逮捕を免れてきた、いわくつきの人物。  犯人は、息子の罪を隠ぺいした外務大臣に、夜のニュース番組での公開謝罪を要求。さもなければ、公衆の面前で圭介を処刑するという。  鍛治からの指令を受けて、現場に急行した稲見や田丸、樫井勇輔(野間口徹)、大山玲(新木優子)ら特殊班のメンバー。親の加護のもと、やりたい放題の圭介に反感を抱きつつも、班長・吉永三成(田中哲司)の指示で実行犯の逮捕に向けて動き出す。    タイムリミットが刻々と迫るなか、稲見と田丸は事件の鍵を握る人物に接触。そこで、ある驚きの事実を知ることに。  さらに稲見は犯行現場に関して“ある疑問"を抱いてーー。</v>
      </c>
      <c r="N286" s="2" t="str">
        <f>IFERROR(__xludf.DUMMYFUNCTION("""COMPUTED_VALUE"""),"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f>
        <v>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v>
      </c>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row>
    <row r="287" ht="204.75" customHeight="1">
      <c r="A287" s="1">
        <v>1201.0</v>
      </c>
      <c r="B287" s="2" t="s">
        <v>918</v>
      </c>
      <c r="C287" s="2">
        <f>IFERROR(__xludf.DUMMYFUNCTION("split(B287,""_"")"),1704.0)</f>
        <v>1704</v>
      </c>
      <c r="D287" s="2" t="str">
        <f>IFERROR(__xludf.DUMMYFUNCTION("""COMPUTED_VALUE"""),"CX")</f>
        <v>CX</v>
      </c>
      <c r="E287" s="2" t="str">
        <f>IFERROR(__xludf.DUMMYFUNCTION("""COMPUTED_VALUE"""),"火21")</f>
        <v>火21</v>
      </c>
      <c r="F287" s="2" t="s">
        <v>919</v>
      </c>
      <c r="G287" s="2" t="s">
        <v>923</v>
      </c>
      <c r="H287" s="1">
        <v>2.0</v>
      </c>
      <c r="I287" s="1" t="s">
        <v>7</v>
      </c>
      <c r="J287" s="1" t="s">
        <v>11</v>
      </c>
      <c r="K287" s="2" t="s">
        <v>924</v>
      </c>
      <c r="L287" s="2" t="s">
        <v>925</v>
      </c>
      <c r="M287" s="2" t="str">
        <f>IFERROR(__xludf.DUMMYFUNCTION("split(K287,""小栗旬　"",false)"),"ある日、田丸(西島秀俊)は外事警察時代に知り合ったフリージャーナリストの男から、「国家の危機に関することで話がある」と連絡を受け、会う約束をする。しかし、待ち合わせ場所に現れた男は田丸の目の前で何者かに毒物を注射され、絶命。特捜班は、身の危険を感じていた男があらかじめ田丸に送った1枚の写真と、死ぬ間際に口にした「アリス」という言葉を手掛かりに捜査に乗り出す。写真には、ごく普通の一軒家が写っていた。吉永(田中哲司)は樫井(野間口徹)と大山(新木優子)に家の特定を急がせるとともに、田丸と稲見(小栗旬)には殺さ"&amp;"れた男の自宅を捜索するよう指示。しかし、稲見に見張りを任せて、一人部屋へ入った田丸は、男の遺品を持ち去ろうとしていた侵入者と鉢合わせ。突然の攻撃に必死で応戦するも、一瞬の隙をつかれて取り逃がしてしまう。やがて、田丸の異変に気付いて駆けつけた稲見は、侵入していた男が殺し屋だと察知。激しい攻防戦を繰り広げるが……。    何者かがジャーナリストの死因を隠ぺいしようとしていることから、特捜班は今回の一件に政府が関与しているとにらむ。そしてようやく写真の家を見つけ出すが、そこに人が住んでいる気配はない。不審に思っ"&amp;"た吉永が近所の住民に話を聞くと、住んでいた家族は数日前に突然引っ越したことが分かりーー。")</f>
        <v>ある日、田丸(西島秀俊)は外事警察時代に知り合ったフリージャーナリストの男から、「国家の危機に関することで話がある」と連絡を受け、会う約束をする。しかし、待ち合わせ場所に現れた男は田丸の目の前で何者かに毒物を注射され、絶命。特捜班は、身の危険を感じていた男があらかじめ田丸に送った1枚の写真と、死ぬ間際に口にした「アリス」という言葉を手掛かりに捜査に乗り出す。写真には、ごく普通の一軒家が写っていた。吉永(田中哲司)は樫井(野間口徹)と大山(新木優子)に家の特定を急がせるとともに、田丸と稲見(小栗旬)には殺された男の自宅を捜索するよう指示。しかし、稲見に見張りを任せて、一人部屋へ入った田丸は、男の遺品を持ち去ろうとしていた侵入者と鉢合わせ。突然の攻撃に必死で応戦するも、一瞬の隙をつかれて取り逃がしてしまう。やがて、田丸の異変に気付いて駆けつけた稲見は、侵入していた男が殺し屋だと察知。激しい攻防戦を繰り広げるが……。    何者かがジャーナリストの死因を隠ぺいしようとしていることから、特捜班は今回の一件に政府が関与しているとにらむ。そしてようやく写真の家を見つけ出すが、そこに人が住んでいる気配はない。不審に思った吉永が近所の住民に話を聞くと、住んでいた家族は数日前に突然引っ越したことが分かりーー。</v>
      </c>
      <c r="N287" s="2" t="str">
        <f>IFERROR(__xludf.DUMMYFUNCTION("""COMPUTED_VALUE"""),"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f>
        <v>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v>
      </c>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row>
    <row r="288" ht="204.75" customHeight="1">
      <c r="A288" s="1">
        <v>1202.0</v>
      </c>
      <c r="B288" s="2" t="s">
        <v>918</v>
      </c>
      <c r="C288" s="2">
        <f>IFERROR(__xludf.DUMMYFUNCTION("split(B288,""_"")"),1704.0)</f>
        <v>1704</v>
      </c>
      <c r="D288" s="2" t="str">
        <f>IFERROR(__xludf.DUMMYFUNCTION("""COMPUTED_VALUE"""),"CX")</f>
        <v>CX</v>
      </c>
      <c r="E288" s="2" t="str">
        <f>IFERROR(__xludf.DUMMYFUNCTION("""COMPUTED_VALUE"""),"火21")</f>
        <v>火21</v>
      </c>
      <c r="F288" s="2" t="s">
        <v>919</v>
      </c>
      <c r="G288" s="2" t="s">
        <v>926</v>
      </c>
      <c r="H288" s="1">
        <v>3.0</v>
      </c>
      <c r="I288" s="1" t="s">
        <v>10</v>
      </c>
      <c r="J288" s="1" t="s">
        <v>11</v>
      </c>
      <c r="K288" s="2" t="s">
        <v>927</v>
      </c>
      <c r="L288" s="2" t="s">
        <v>928</v>
      </c>
      <c r="M288" s="2" t="str">
        <f>IFERROR(__xludf.DUMMYFUNCTION("split(K288,""小栗旬　"",false)"),"贈収賄事件に関与した疑惑の議員が、顔を隠した3人組の男らに襲われ、報道陣の目の前で射殺された。直後に犯行声明を出した“平成維新軍""は、この先も権力を利用して私腹を肥やす者たちを排除すると、テロの続行を宣言。特捜班は犯人を逮捕してテロを未然に防ぐよう命じられる。    班長の吉永(田中哲司)から、襲撃犯が使用していた特殊な拳銃をたどって実行犯を洗い出すよう指示された稲見(小栗旬)と田丸(西島秀俊)は、銃器マニアの暴力団組長が同じ型の拳銃を買い集めていたとの情報を得る。裏取り捜査を進めると、やはり使われた拳"&amp;"銃は組長が所持していたもので、しかも保管していた拳銃はすべて組長の息子の譲(大和孔太)に盗まれていたことがわかる。そして、譲は少年院を出所後に人が変わり、「社会のシステムを変えてやる」と言っていたという組長の証言から、稲見は何者かが譲をそそのかして、今回のテロ行為に及ぶよう誘導したのではないかと考える。    やがて譲の潜伏先を突き止めた特捜班は、拳銃を装備して現場へと向かう。吉永、樫井(野間口徹)、大山(新木優子)が建物の周囲を固め、稲見と田丸が部屋へ近づくと、ちょうど外出しようとしていた譲に出くわす。"&amp;"次の瞬間、譲は部屋の中の仲間に「逃げろ!」と叫び、同時に素早く拳銃を抜き、近づいてきた稲見と田丸に銃口を向けてーー。")</f>
        <v>贈収賄事件に関与した疑惑の議員が、顔を隠した3人組の男らに襲われ、報道陣の目の前で射殺された。直後に犯行声明を出した“平成維新軍"は、この先も権力を利用して私腹を肥やす者たちを排除すると、テロの続行を宣言。特捜班は犯人を逮捕してテロを未然に防ぐよう命じられる。    班長の吉永(田中哲司)から、襲撃犯が使用していた特殊な拳銃をたどって実行犯を洗い出すよう指示された稲見(小栗旬)と田丸(西島秀俊)は、銃器マニアの暴力団組長が同じ型の拳銃を買い集めていたとの情報を得る。裏取り捜査を進めると、やはり使われた拳銃は組長が所持していたもので、しかも保管していた拳銃はすべて組長の息子の譲(大和孔太)に盗まれていたことがわかる。そして、譲は少年院を出所後に人が変わり、「社会のシステムを変えてやる」と言っていたという組長の証言から、稲見は何者かが譲をそそのかして、今回のテロ行為に及ぶよう誘導したのではないかと考える。    やがて譲の潜伏先を突き止めた特捜班は、拳銃を装備して現場へと向かう。吉永、樫井(野間口徹)、大山(新木優子)が建物の周囲を固め、稲見と田丸が部屋へ近づくと、ちょうど外出しようとしていた譲に出くわす。次の瞬間、譲は部屋の中の仲間に「逃げろ!」と叫び、同時に素早く拳銃を抜き、近づいてきた稲見と田丸に銃口を向けてーー。</v>
      </c>
      <c r="N288" s="2" t="str">
        <f>IFERROR(__xludf.DUMMYFUNCTION("""COMPUTED_VALUE"""),"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f>
        <v>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v>
      </c>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row>
    <row r="289" ht="204.75" customHeight="1">
      <c r="A289" s="1">
        <v>1203.0</v>
      </c>
      <c r="B289" s="2" t="s">
        <v>918</v>
      </c>
      <c r="C289" s="2">
        <f>IFERROR(__xludf.DUMMYFUNCTION("split(B289,""_"")"),1704.0)</f>
        <v>1704</v>
      </c>
      <c r="D289" s="2" t="str">
        <f>IFERROR(__xludf.DUMMYFUNCTION("""COMPUTED_VALUE"""),"CX")</f>
        <v>CX</v>
      </c>
      <c r="E289" s="2" t="str">
        <f>IFERROR(__xludf.DUMMYFUNCTION("""COMPUTED_VALUE"""),"火21")</f>
        <v>火21</v>
      </c>
      <c r="F289" s="2" t="s">
        <v>919</v>
      </c>
      <c r="G289" s="2" t="s">
        <v>929</v>
      </c>
      <c r="H289" s="1">
        <v>4.0</v>
      </c>
      <c r="I289" s="1" t="s">
        <v>14</v>
      </c>
      <c r="J289" s="1" t="s">
        <v>11</v>
      </c>
      <c r="K289" s="2" t="s">
        <v>930</v>
      </c>
      <c r="L289" s="2" t="s">
        <v>931</v>
      </c>
      <c r="M289" s="2" t="str">
        <f>IFERROR(__xludf.DUMMYFUNCTION("split(K289,""小栗旬　"",false)"),"稲見(小栗旬)や田丸(西島秀俊)が所属する特捜班は、大学で航空宇宙工学を専攻する有馬丈博教授(小市慢太郎)の身辺警護を命じられる。しかし、有馬に関する詳しい情報は与えられず、分かっているのは命を狙われ、一週間後に出国するということだけ。現れた特捜班に対し、横柄な態度で接する有馬。さらに、大学の構内には護衛のついた有馬を険しい表情で見つめる石黒(近藤公園)の姿がーー。翌朝、大学へ到着した樫井(野間口徹)は爆薬の臭いから研究室内に爆弾が仕掛けられていると察知。注意を促すが、有馬がそれを無視して部屋のドアを開け"&amp;"たため、激しい爆音とともに研究室は破壊されてしまう。近くには拳銃を手にした石黒が待ち構えていたが、裏をかいて何とか建物の外に脱出。しかし、向かった駐車場にはもう一人の暗殺者・石立(浜田学)が潜んでいて、稲見は石立と激しい攻防を繰り広げる。事態を受け、吉永(田中哲司)が今回の任務の背景を問い詰めると、鍛治(長塚京三)はミサイル実験に力を入れるある国が有馬の拉致を画策していると明かすが、吉永は腑に落ちない。暗殺者を割り出そうと、大山(新木優子)も前科者リストをチェックするが、稲見は男たちが暗殺のプロだと確信し"&amp;"ていてーー。")</f>
        <v>稲見(小栗旬)や田丸(西島秀俊)が所属する特捜班は、大学で航空宇宙工学を専攻する有馬丈博教授(小市慢太郎)の身辺警護を命じられる。しかし、有馬に関する詳しい情報は与えられず、分かっているのは命を狙われ、一週間後に出国するということだけ。現れた特捜班に対し、横柄な態度で接する有馬。さらに、大学の構内には護衛のついた有馬を険しい表情で見つめる石黒(近藤公園)の姿がーー。翌朝、大学へ到着した樫井(野間口徹)は爆薬の臭いから研究室内に爆弾が仕掛けられていると察知。注意を促すが、有馬がそれを無視して部屋のドアを開けたため、激しい爆音とともに研究室は破壊されてしまう。近くには拳銃を手にした石黒が待ち構えていたが、裏をかいて何とか建物の外に脱出。しかし、向かった駐車場にはもう一人の暗殺者・石立(浜田学)が潜んでいて、稲見は石立と激しい攻防を繰り広げる。事態を受け、吉永(田中哲司)が今回の任務の背景を問い詰めると、鍛治(長塚京三)はミサイル実験に力を入れるある国が有馬の拉致を画策していると明かすが、吉永は腑に落ちない。暗殺者を割り出そうと、大山(新木優子)も前科者リストをチェックするが、稲見は男たちが暗殺のプロだと確信していてーー。</v>
      </c>
      <c r="N289" s="2" t="str">
        <f>IFERROR(__xludf.DUMMYFUNCTION("""COMPUTED_VALUE"""),"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f>
        <v>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v>
      </c>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row>
    <row r="290" ht="204.75" customHeight="1">
      <c r="A290" s="1">
        <v>1204.0</v>
      </c>
      <c r="B290" s="2" t="s">
        <v>918</v>
      </c>
      <c r="C290" s="2">
        <f>IFERROR(__xludf.DUMMYFUNCTION("split(B290,""_"")"),1704.0)</f>
        <v>1704</v>
      </c>
      <c r="D290" s="2" t="str">
        <f>IFERROR(__xludf.DUMMYFUNCTION("""COMPUTED_VALUE"""),"CX")</f>
        <v>CX</v>
      </c>
      <c r="E290" s="2" t="str">
        <f>IFERROR(__xludf.DUMMYFUNCTION("""COMPUTED_VALUE"""),"火21")</f>
        <v>火21</v>
      </c>
      <c r="F290" s="2" t="s">
        <v>919</v>
      </c>
      <c r="G290" s="2" t="s">
        <v>932</v>
      </c>
      <c r="H290" s="1">
        <v>5.0</v>
      </c>
      <c r="I290" s="1" t="s">
        <v>17</v>
      </c>
      <c r="J290" s="1" t="s">
        <v>11</v>
      </c>
      <c r="K290" s="2" t="s">
        <v>933</v>
      </c>
      <c r="L290" s="2" t="s">
        <v>934</v>
      </c>
      <c r="M290" s="2" t="str">
        <f>IFERROR(__xludf.DUMMYFUNCTION("split(K290,""小栗旬　"",false)"),"暴行罪を装って警察の留置場に潜入した稲見(小栗旬)は、暴力団員の沢田(杉本哲太)に接近し、興味を引くことに成功する。実は、沢田が所属する仁愛興業は、政治献金のからくりを巧みに利用して政治家たちを恐喝している疑いがあり、今回、その証拠集めを命じられた特捜班。稲見は、初めてとなる潜入捜査を任されていた。しかし、沢田に気に入られ、仁愛興業の幹部らとも顔を合わせた稲見は、彼らがそんな狡猾(こうかつ)な連中とはどうしても思えない。さらに、次第に人をだますことに罪悪感を抱くようになってしまう稲見。田丸(西島秀俊)は、"&amp;"そんな稲見にかつて自分が潜入捜査をした時の経験を話して聞かせる。その頃、鍛治(長塚京三)は官房長官の神谷(石黒賢)に呼び出され、今回の特捜班の任務について、ある指示を受けていたーー。晴れて仁愛興業の一員として認められた稲見は、沢田から薬物の取引があると教えられる。会長の護衛として稲見も同行することになるが、取引の報告を受けた警察上層部は、チャンスにも関わらず、なぜか直前で摘発を見送るという。危険な取引に身を置く稲見を案じて、吉永(田中哲司)、田丸、樫井(野間口徹)、大山(新木優子)ら特捜班のメンバーは、稲"&amp;"見を追尾して取引現場へと向かうが……。")</f>
        <v>暴行罪を装って警察の留置場に潜入した稲見(小栗旬)は、暴力団員の沢田(杉本哲太)に接近し、興味を引くことに成功する。実は、沢田が所属する仁愛興業は、政治献金のからくりを巧みに利用して政治家たちを恐喝している疑いがあり、今回、その証拠集めを命じられた特捜班。稲見は、初めてとなる潜入捜査を任されていた。しかし、沢田に気に入られ、仁愛興業の幹部らとも顔を合わせた稲見は、彼らがそんな狡猾(こうかつ)な連中とはどうしても思えない。さらに、次第に人をだますことに罪悪感を抱くようになってしまう稲見。田丸(西島秀俊)は、そんな稲見にかつて自分が潜入捜査をした時の経験を話して聞かせる。その頃、鍛治(長塚京三)は官房長官の神谷(石黒賢)に呼び出され、今回の特捜班の任務について、ある指示を受けていたーー。晴れて仁愛興業の一員として認められた稲見は、沢田から薬物の取引があると教えられる。会長の護衛として稲見も同行することになるが、取引の報告を受けた警察上層部は、チャンスにも関わらず、なぜか直前で摘発を見送るという。危険な取引に身を置く稲見を案じて、吉永(田中哲司)、田丸、樫井(野間口徹)、大山(新木優子)ら特捜班のメンバーは、稲見を追尾して取引現場へと向かうが……。</v>
      </c>
      <c r="N290" s="2" t="str">
        <f>IFERROR(__xludf.DUMMYFUNCTION("""COMPUTED_VALUE"""),"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f>
        <v>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v>
      </c>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row>
    <row r="291" ht="204.75" customHeight="1">
      <c r="A291" s="1">
        <v>1233.0</v>
      </c>
      <c r="B291" s="2" t="s">
        <v>935</v>
      </c>
      <c r="C291" s="2">
        <f>IFERROR(__xludf.DUMMYFUNCTION("split(B291,""_"")"),1704.0)</f>
        <v>1704</v>
      </c>
      <c r="D291" s="2" t="str">
        <f>IFERROR(__xludf.DUMMYFUNCTION("""COMPUTED_VALUE"""),"CX")</f>
        <v>CX</v>
      </c>
      <c r="E291" s="2" t="str">
        <f>IFERROR(__xludf.DUMMYFUNCTION("""COMPUTED_VALUE"""),"木22")</f>
        <v>木22</v>
      </c>
      <c r="F291" s="2" t="s">
        <v>936</v>
      </c>
      <c r="G291" s="2" t="s">
        <v>937</v>
      </c>
      <c r="H291" s="1">
        <v>1.0</v>
      </c>
      <c r="I291" s="1" t="s">
        <v>3</v>
      </c>
      <c r="J291" s="1" t="s">
        <v>82</v>
      </c>
      <c r="K291" s="2" t="s">
        <v>938</v>
      </c>
      <c r="L291" s="2" t="s">
        <v>939</v>
      </c>
      <c r="M291" s="2" t="str">
        <f>IFERROR(__xludf.DUMMYFUNCTION("split(K291,""【"",false)"),"公式HP】  http://www.fujitv.co.jp/hitopa/    ")</f>
        <v>公式HP】  http://www.fujitv.co.jp/hitopa/    </v>
      </c>
      <c r="N291" s="2" t="str">
        <f>IFERROR(__xludf.DUMMYFUNCTION("""COMPUTED_VALUE"""),"公式LINE】  hitopa_fuji    ")</f>
        <v>公式LINE】  hitopa_fuji    </v>
      </c>
      <c r="O291" s="2" t="str">
        <f>IFERROR(__xludf.DUMMYFUNCTION("""COMPUTED_VALUE"""),"公式Twitter】  https://twitter.com/hitopa_fuji    ")</f>
        <v>公式Twitter】  https://twitter.com/hitopa_fuji    </v>
      </c>
      <c r="P291" s="2" t="str">
        <f>IFERROR(__xludf.DUMMYFUNCTION("""COMPUTED_VALUE"""),"公式Instagram】  https://www.instagram.com/hitopa_fuji/城之内純(桐谷美玲)は、八王子製紙で製紙素材の分析をする研究員。“理系女子=リケジョ""だった純は、子どもの頃からファッションやメイクに興味がなく、いつしか周りの女子から置いていかれてしまった、自分に自信がない地味な女性だ。  ある日、純や研究員仲間の前田満子(水川あさみ)、佐藤聖良(ブルゾンちえみ)らが所属する第3研究室が、大手化粧品会社・クレエラジャパンに吸収されることが発表される。クレエラ社は丸の"&amp;"内におしゃれなオフィスを構え、1階には榊圭一(成田凌)らイケメン美容師が揃った人気美容室もあるような、これまでの純の人生とは無縁のおしゃれな世界にある会社だった。  顔見せを兼ねたクレエラ社の新年会に出席した純たちは、その華やかさに圧倒される。おまけに純は、くじ引きでクレエラ社の人気化粧品が当たったものの、使い方すらわからずにステージ上で大恥をかいてしまう。クレエラ社統括マネージャーの松浦栄子(室井滋)とともに冷ややかな目でその姿を見ていた丸の内研究センター長の國木田修(鈴木浩介)は、そんな純に「これから"&amp;"は身なりにも気を遣った方がいい」と言い放つ。困り果てた純、満子、聖良は、ビューティーについて学んでスキルアップを図ろうと決意し、さっそく流行のメイクについて研究を始める。苦労の末“うさぎ顔メイク""を完成させた純たちは、同僚研究員の丸尾拓馬(町田啓太)、三沢基樹(堤下敦)の前に立つが…。城之内純:　桐谷美玲　  前田満子:　水川あさみ　  佐藤聖良:　ブルゾンちえみ　  榊圭一:　成田凌　  丸尾拓馬:　町田啓太　  岸根香澄:　足立梨花　  森村美優:　岡崎紗絵　  岡部和人:　中尾暢樹  　・　  三"&amp;"沢基樹:　堤下敦　  國木田修:　鈴木浩介　  松浦栄子:　室井滋　    他")</f>
        <v>公式Instagram】  https://www.instagram.com/hitopa_fuji/城之内純(桐谷美玲)は、八王子製紙で製紙素材の分析をする研究員。“理系女子=リケジョ"だった純は、子どもの頃からファッションやメイクに興味がなく、いつしか周りの女子から置いていかれてしまった、自分に自信がない地味な女性だ。  ある日、純や研究員仲間の前田満子(水川あさみ)、佐藤聖良(ブルゾンちえみ)らが所属する第3研究室が、大手化粧品会社・クレエラジャパンに吸収されることが発表される。クレエラ社は丸の内におしゃれなオフィスを構え、1階には榊圭一(成田凌)らイケメン美容師が揃った人気美容室もあるような、これまでの純の人生とは無縁のおしゃれな世界にある会社だった。  顔見せを兼ねたクレエラ社の新年会に出席した純たちは、その華やかさに圧倒される。おまけに純は、くじ引きでクレエラ社の人気化粧品が当たったものの、使い方すらわからずにステージ上で大恥をかいてしまう。クレエラ社統括マネージャーの松浦栄子(室井滋)とともに冷ややかな目でその姿を見ていた丸の内研究センター長の國木田修(鈴木浩介)は、そんな純に「これからは身なりにも気を遣った方がいい」と言い放つ。困り果てた純、満子、聖良は、ビューティーについて学んでスキルアップを図ろうと決意し、さっそく流行のメイクについて研究を始める。苦労の末“うさぎ顔メイク"を完成させた純たちは、同僚研究員の丸尾拓馬(町田啓太)、三沢基樹(堤下敦)の前に立つが…。城之内純:　桐谷美玲　  前田満子:　水川あさみ　  佐藤聖良:　ブルゾンちえみ　  榊圭一:　成田凌　  丸尾拓馬:　町田啓太　  岸根香澄:　足立梨花　  森村美優:　岡崎紗絵　  岡部和人:　中尾暢樹  　・　  三沢基樹:　堤下敦　  國木田修:　鈴木浩介　  松浦栄子:　室井滋　    他</v>
      </c>
      <c r="Q291" s="2" t="str">
        <f>IFERROR(__xludf.DUMMYFUNCTION("""COMPUTED_VALUE"""),"原作】  大久保ヒロミ　  「人は見た目が100パーセント」(講談社「BE・LOVE」)　    ")</f>
        <v>原作】  大久保ヒロミ　  「人は見た目が100パーセント」(講談社「BE・LOVE」)　    </v>
      </c>
      <c r="R291" s="2" t="str">
        <f>IFERROR(__xludf.DUMMYFUNCTION("""COMPUTED_VALUE"""),"脚本】  相沢友子　    ")</f>
        <v>脚本】  相沢友子　    </v>
      </c>
      <c r="S291" s="2" t="str">
        <f>IFERROR(__xludf.DUMMYFUNCTION("""COMPUTED_VALUE"""),"チーフプロデュース】  中野利幸　    ")</f>
        <v>チーフプロデュース】  中野利幸　    </v>
      </c>
      <c r="T291" s="2" t="str">
        <f>IFERROR(__xludf.DUMMYFUNCTION("""COMPUTED_VALUE"""),"プロデュース】  草ヶ谷大輔　    ")</f>
        <v>プロデュース】  草ヶ谷大輔　    </v>
      </c>
      <c r="U291" s="2" t="str">
        <f>IFERROR(__xludf.DUMMYFUNCTION("""COMPUTED_VALUE"""),"演出】  松山博昭　  品田俊介　  永山耕三　    ")</f>
        <v>演出】  松山博昭　  品田俊介　  永山耕三　    </v>
      </c>
      <c r="V291" s="2" t="str">
        <f>IFERROR(__xludf.DUMMYFUNCTION("""COMPUTED_VALUE"""),"制作】  フジテレビ")</f>
        <v>制作】  フジテレビ</v>
      </c>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row>
    <row r="292" ht="204.75" customHeight="1">
      <c r="A292" s="1">
        <v>1234.0</v>
      </c>
      <c r="B292" s="2" t="s">
        <v>935</v>
      </c>
      <c r="C292" s="2">
        <f>IFERROR(__xludf.DUMMYFUNCTION("split(B292,""_"")"),1704.0)</f>
        <v>1704</v>
      </c>
      <c r="D292" s="2" t="str">
        <f>IFERROR(__xludf.DUMMYFUNCTION("""COMPUTED_VALUE"""),"CX")</f>
        <v>CX</v>
      </c>
      <c r="E292" s="2" t="str">
        <f>IFERROR(__xludf.DUMMYFUNCTION("""COMPUTED_VALUE"""),"木22")</f>
        <v>木22</v>
      </c>
      <c r="F292" s="2" t="s">
        <v>936</v>
      </c>
      <c r="G292" s="2" t="s">
        <v>940</v>
      </c>
      <c r="H292" s="1">
        <v>2.0</v>
      </c>
      <c r="I292" s="1" t="s">
        <v>7</v>
      </c>
      <c r="J292" s="1" t="s">
        <v>86</v>
      </c>
      <c r="K292" s="2" t="s">
        <v>941</v>
      </c>
      <c r="L292" s="2" t="s">
        <v>942</v>
      </c>
      <c r="M292" s="2" t="str">
        <f>IFERROR(__xludf.DUMMYFUNCTION("split(K292,""【"",false)"),"公式HP】  http://www.fujitv.co.jp/hitopa/    ")</f>
        <v>公式HP】  http://www.fujitv.co.jp/hitopa/    </v>
      </c>
      <c r="N292" s="2" t="str">
        <f>IFERROR(__xludf.DUMMYFUNCTION("""COMPUTED_VALUE"""),"公式LINE】  hitopa_fuji    ")</f>
        <v>公式LINE】  hitopa_fuji    </v>
      </c>
      <c r="O292" s="2" t="str">
        <f>IFERROR(__xludf.DUMMYFUNCTION("""COMPUTED_VALUE"""),"公式Twitter】  https://twitter.com/hitopa_fuji    ")</f>
        <v>公式Twitter】  https://twitter.com/hitopa_fuji    </v>
      </c>
      <c r="P292" s="2" t="str">
        <f>IFERROR(__xludf.DUMMYFUNCTION("""COMPUTED_VALUE"""),"公式Instagram】  https://www.instagram.com/hitopa_fuji/八王子の製紙会社から丸の内の大手化粧品メーカー・クレエラジャパンに吸収された“女子モドキ""研究員・城之内純(桐谷美玲)、前田満子(水川あさみ)、佐藤聖良(ブルゾンちえみ)は、庶務課の“ステキ女子""こと岸根香澄(足立梨花)、森村美優(岡崎紗絵)に、研究室があるラボセンターを案内してもらう。純たちは、広々としたスタイリッシュな空間に圧倒されるが、それ以上に驚いたのは、社内のことをいろいろと載せているとい"&amp;"う香澄のSNSだった。そこには、男性社員と有名レストランで食事をする様子や、お花見BBQ、ハロウィンナイト、クリスマスディナークルーズなど、きらびやかな社内イベントの画像が掲載されていた。その時、純は、一軒家のフレンチレストランの画像に気づく。純は、週末にこの店で開かれる結婚式に、新婦側の親戚として出席することになっていた。実はその結婚式には、新郎の美容外科医と親交が深いクレエラジャパンの凄腕統括マネージャー・松浦栄子(室井滋)も出席するのだという。「しっかりドレスアップしていかないとマズイですよ」と忠告"&amp;"された純は、満子、聖良の協力の下、さっそくパーティーファッションの研究を開始し、ドレスのレンタルショップを訪れる。さらに純は、人気美容室・ルーチェの美容師・榊圭一(成田凌)にヘアメイクをしてもらえることになったが…。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松浦栄子:"&amp;"　室井滋　    他")</f>
        <v>公式Instagram】  https://www.instagram.com/hitopa_fuji/八王子の製紙会社から丸の内の大手化粧品メーカー・クレエラジャパンに吸収された“女子モドキ"研究員・城之内純(桐谷美玲)、前田満子(水川あさみ)、佐藤聖良(ブルゾンちえみ)は、庶務課の“ステキ女子"こと岸根香澄(足立梨花)、森村美優(岡崎紗絵)に、研究室があるラボセンターを案内してもらう。純たちは、広々としたスタイリッシュな空間に圧倒されるが、それ以上に驚いたのは、社内のことをいろいろと載せているという香澄のSNSだった。そこには、男性社員と有名レストランで食事をする様子や、お花見BBQ、ハロウィンナイト、クリスマスディナークルーズなど、きらびやかな社内イベントの画像が掲載されていた。その時、純は、一軒家のフレンチレストランの画像に気づく。純は、週末にこの店で開かれる結婚式に、新婦側の親戚として出席することになっていた。実はその結婚式には、新郎の美容外科医と親交が深いクレエラジャパンの凄腕統括マネージャー・松浦栄子(室井滋)も出席するのだという。「しっかりドレスアップしていかないとマズイですよ」と忠告された純は、満子、聖良の協力の下、さっそくパーティーファッションの研究を開始し、ドレスのレンタルショップを訪れる。さらに純は、人気美容室・ルーチェの美容師・榊圭一(成田凌)にヘアメイクをしてもらえることになったが…。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v>
      </c>
      <c r="Q292" s="2" t="str">
        <f>IFERROR(__xludf.DUMMYFUNCTION("""COMPUTED_VALUE"""),"原作】  大久保ヒロミ　  「人は見た目が100パーセント」(講談社「BE・LOVE」)　    ")</f>
        <v>原作】  大久保ヒロミ　  「人は見た目が100パーセント」(講談社「BE・LOVE」)　    </v>
      </c>
      <c r="R292" s="2" t="str">
        <f>IFERROR(__xludf.DUMMYFUNCTION("""COMPUTED_VALUE"""),"脚本】  相沢友子　    ")</f>
        <v>脚本】  相沢友子　    </v>
      </c>
      <c r="S292" s="2" t="str">
        <f>IFERROR(__xludf.DUMMYFUNCTION("""COMPUTED_VALUE"""),"音楽】  ☆Taku　Takahashi(m-flo/Tachytelic　inc./block.fm)　    ")</f>
        <v>音楽】  ☆Taku　Takahashi(m-flo/Tachytelic　inc./block.fm)　    </v>
      </c>
      <c r="T292" s="2" t="str">
        <f>IFERROR(__xludf.DUMMYFUNCTION("""COMPUTED_VALUE"""),"主題歌】  JY「女子モドキ」(Sony　Music　Records)　    ")</f>
        <v>主題歌】  JY「女子モドキ」(Sony　Music　Records)　    </v>
      </c>
      <c r="U292" s="2" t="str">
        <f>IFERROR(__xludf.DUMMYFUNCTION("""COMPUTED_VALUE"""),"チーフプロデュース】  中野利幸　    ")</f>
        <v>チーフプロデュース】  中野利幸　    </v>
      </c>
      <c r="V292" s="2" t="str">
        <f>IFERROR(__xludf.DUMMYFUNCTION("""COMPUTED_VALUE"""),"プロデュース】  草ヶ谷大輔　    ")</f>
        <v>プロデュース】  草ヶ谷大輔　    </v>
      </c>
      <c r="W292" s="2" t="str">
        <f>IFERROR(__xludf.DUMMYFUNCTION("""COMPUTED_VALUE"""),"演出】  松山博昭　品田俊介　  永山耕三　    ")</f>
        <v>演出】  松山博昭　品田俊介　  永山耕三　    </v>
      </c>
      <c r="X292" s="2" t="str">
        <f>IFERROR(__xludf.DUMMYFUNCTION("""COMPUTED_VALUE"""),"制作】  フジテレビ")</f>
        <v>制作】  フジテレビ</v>
      </c>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row>
    <row r="293" ht="204.75" customHeight="1">
      <c r="A293" s="1">
        <v>1235.0</v>
      </c>
      <c r="B293" s="2" t="s">
        <v>935</v>
      </c>
      <c r="C293" s="2">
        <f>IFERROR(__xludf.DUMMYFUNCTION("split(B293,""_"")"),1704.0)</f>
        <v>1704</v>
      </c>
      <c r="D293" s="2" t="str">
        <f>IFERROR(__xludf.DUMMYFUNCTION("""COMPUTED_VALUE"""),"CX")</f>
        <v>CX</v>
      </c>
      <c r="E293" s="2" t="str">
        <f>IFERROR(__xludf.DUMMYFUNCTION("""COMPUTED_VALUE"""),"木22")</f>
        <v>木22</v>
      </c>
      <c r="F293" s="2" t="s">
        <v>936</v>
      </c>
      <c r="G293" s="2" t="s">
        <v>943</v>
      </c>
      <c r="H293" s="1">
        <v>3.0</v>
      </c>
      <c r="I293" s="1" t="s">
        <v>10</v>
      </c>
      <c r="J293" s="1" t="s">
        <v>86</v>
      </c>
      <c r="K293" s="2" t="s">
        <v>944</v>
      </c>
      <c r="L293" s="2" t="s">
        <v>945</v>
      </c>
      <c r="M293" s="2" t="str">
        <f>IFERROR(__xludf.DUMMYFUNCTION("split(K293,""城之内純:　"",false)"),"純(桐谷美玲)は、人気美容室「ルーチェ」の美容師・榊(成田凌)から髪をほめられた際に貧血を起こして倒れてしまう。それ以来、純は、動悸が止まらず、眠れなかったらしい。聖良(ブルゾンちえみ)と一緒に純の話を聞いていた満子(水川あさみ)は、榊に恋をしたのではないか、と指摘した。慌てて否定し、ボロボロの精神状態だったときに優しくされたから脳が錯覚しただけ、と返す純。そこに、國木田(鈴木浩介)がやってくる。國木田は「セルロースナノファイバーの研究は別の研究スタッフが引き継いだので、今後純たちが新しいファンデーション"&amp;"の研究に携われることはない」と告げる。統括マネージャーの栄子(室井滋)は、研究データが欲しかっただけで、純たちのようなさえない人間が自分の領域に入ってくることを許さないのだという。続けて國木田は、何とか挽回して栄子に認めてもらわないと居場所を失うと忠告し、成長への近道は明確なビジョン、お手本になる人を探すことだとアドバイスする。  その夜、仕事を終えて帰路についた純は、庶務課の香澄(足立梨花)、美優(岡崎紗絵)に偶然出会い、食事に誘われる。男性4人との食事会があるが、友人が来られなくなってしまったのだとい"&amp;"う。半ば強引に店まで引っ張られてしまう純。しかもそこで待っていたのは、榊や岡部(中尾暢樹)、戸川(元木聖也)ら「ルーチェ」のイケメン美容師たちで…。")</f>
        <v>純(桐谷美玲)は、人気美容室「ルーチェ」の美容師・榊(成田凌)から髪をほめられた際に貧血を起こして倒れてしまう。それ以来、純は、動悸が止まらず、眠れなかったらしい。聖良(ブルゾンちえみ)と一緒に純の話を聞いていた満子(水川あさみ)は、榊に恋をしたのではないか、と指摘した。慌てて否定し、ボロボロの精神状態だったときに優しくされたから脳が錯覚しただけ、と返す純。そこに、國木田(鈴木浩介)がやってくる。國木田は「セルロースナノファイバーの研究は別の研究スタッフが引き継いだので、今後純たちが新しいファンデーションの研究に携われることはない」と告げる。統括マネージャーの栄子(室井滋)は、研究データが欲しかっただけで、純たちのようなさえない人間が自分の領域に入ってくることを許さないのだという。続けて國木田は、何とか挽回して栄子に認めてもらわないと居場所を失うと忠告し、成長への近道は明確なビジョン、お手本になる人を探すことだとアドバイスする。  その夜、仕事を終えて帰路についた純は、庶務課の香澄(足立梨花)、美優(岡崎紗絵)に偶然出会い、食事に誘われる。男性4人との食事会があるが、友人が来られなくなってしまったのだという。半ば強引に店まで引っ張られてしまう純。しかもそこで待っていたのは、榊や岡部(中尾暢樹)、戸川(元木聖也)ら「ルーチェ」のイケメン美容師たちで…。</v>
      </c>
      <c r="N293" s="2" t="str">
        <f>IFERROR(__xludf.DUMMYFUNCTION("""COMPUTED_VALUE"""),"桐谷美玲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"&amp;"inc./block.fm)　    【主題歌】  JY「女子モドキ」(Sony　Music　Records)　    【チーフプロデュース】  中野利幸　    【プロデュース】  草ヶ谷大輔　    【演出】  松山博昭　品田俊介　  永山耕三　    【制作】  フジテレビ")</f>
        <v>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v>
      </c>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row>
    <row r="294" ht="204.75" customHeight="1">
      <c r="A294" s="1">
        <v>1236.0</v>
      </c>
      <c r="B294" s="2" t="s">
        <v>935</v>
      </c>
      <c r="C294" s="2">
        <f>IFERROR(__xludf.DUMMYFUNCTION("split(B294,""_"")"),1704.0)</f>
        <v>1704</v>
      </c>
      <c r="D294" s="2" t="str">
        <f>IFERROR(__xludf.DUMMYFUNCTION("""COMPUTED_VALUE"""),"CX")</f>
        <v>CX</v>
      </c>
      <c r="E294" s="2" t="str">
        <f>IFERROR(__xludf.DUMMYFUNCTION("""COMPUTED_VALUE"""),"木22")</f>
        <v>木22</v>
      </c>
      <c r="F294" s="2" t="s">
        <v>936</v>
      </c>
      <c r="G294" s="2" t="s">
        <v>946</v>
      </c>
      <c r="H294" s="1">
        <v>4.0</v>
      </c>
      <c r="I294" s="1" t="s">
        <v>14</v>
      </c>
      <c r="J294" s="1" t="s">
        <v>86</v>
      </c>
      <c r="K294" s="2" t="s">
        <v>947</v>
      </c>
      <c r="L294" s="2" t="s">
        <v>948</v>
      </c>
      <c r="M294" s="2" t="str">
        <f>IFERROR(__xludf.DUMMYFUNCTION("split(K294,""城之内純:　"",false)"),"【公式HP】  http://www.fujitv.co.jp/hitopa/    【公式LINE】  hitopa_fuji    【公式Twitter】  https://twitter.com/hitopa_fuji    【公式Instagram】  https://www.instagram.com/hitopa_fuji/『人は見た目が100パーセント』初の副音声企画決定!  足立梨花と中尾暢樹が初挑戦!  「女子モドキ」たちの同僚でその女子力の高さから「女子モドキ」たちが、お手本にしようと"&amp;"する庶務課の「ステキ女子」岸根香澄を演じる足立と純が恋する美容師・榊圭一(成田凌)と一緒に働く後輩美容師・岡部和人を演じる中尾が撮影の裏話などここだけトークを繰り広げ、盛り上げていく。果たしてどんな面白トークが展開されるのか?　純(桐谷美玲)は、人気美容室「ルーチェ」のイケメン美容師・榊(成田凌)に恋をしてしまったことを、満子(水川あさみ)と聖良(ブルゾンちえみ)に告白する。しかし純は、どうせ叶わない恋なのだからひたすら地獄の苦しみに耐え続けるという。満子は、そんな純に、諦めてしまう前に何かアクションを起"&amp;"こしてみてはどうかとアドバイスをした。すると純は、榊が褒めてくれた髪をキレイにしたいとつぶやく。　純の提案を受け、3人はさっそくシャンプーについての研究を開始する。実は満子も、夫の芳彦(山崎樹範)から、最近髪が薄くなったと言われて傷ついていたらしい。一方、純は、榊からシャンプーのサンプルをもらっていたが、彼が庶務課のステキ女子・香澄(足立梨花)にも同じものを渡しているのを見てしまい、使えずにいた。純たちは、シャンプーの成分や口コミ情報を比較・検討し、それぞれの髪の状態に合っていると思われる高価なシャンプー"&amp;"を購入する。だが、このシャンプーが原因で、満子と芳彦の間にトラブルが起きてしまい…。  　そんな中、純と聖良は、榊と香澄が親しそうに話しているのを目撃する。香澄と美優(岡崎紗絵)の会話を盗み聞きすると、シャンプーのサンプルを使った感想を榊にメールしたら即レスがあったという。その夜、純は、榊からもらった名刺を取り出し、彼にメールを送ろうとするが…。")</f>
        <v>【公式HP】  http://www.fujitv.co.jp/hitopa/    【公式LINE】  hitopa_fuji    【公式Twitter】  https://twitter.com/hitopa_fuji    【公式Instagram】  https://www.instagram.com/hitopa_fuji/『人は見た目が100パーセント』初の副音声企画決定!  足立梨花と中尾暢樹が初挑戦!  「女子モドキ」たちの同僚でその女子力の高さから「女子モドキ」たちが、お手本にしようとする庶務課の「ステキ女子」岸根香澄を演じる足立と純が恋する美容師・榊圭一(成田凌)と一緒に働く後輩美容師・岡部和人を演じる中尾が撮影の裏話などここだけトークを繰り広げ、盛り上げていく。果たしてどんな面白トークが展開されるのか?　純(桐谷美玲)は、人気美容室「ルーチェ」のイケメン美容師・榊(成田凌)に恋をしてしまったことを、満子(水川あさみ)と聖良(ブルゾンちえみ)に告白する。しかし純は、どうせ叶わない恋なのだからひたすら地獄の苦しみに耐え続けるという。満子は、そんな純に、諦めてしまう前に何かアクションを起こしてみてはどうかとアドバイスをした。すると純は、榊が褒めてくれた髪をキレイにしたいとつぶやく。　純の提案を受け、3人はさっそくシャンプーについての研究を開始する。実は満子も、夫の芳彦(山崎樹範)から、最近髪が薄くなったと言われて傷ついていたらしい。一方、純は、榊からシャンプーのサンプルをもらっていたが、彼が庶務課のステキ女子・香澄(足立梨花)にも同じものを渡しているのを見てしまい、使えずにいた。純たちは、シャンプーの成分や口コミ情報を比較・検討し、それぞれの髪の状態に合っていると思われる高価なシャンプーを購入する。だが、このシャンプーが原因で、満子と芳彦の間にトラブルが起きてしまい…。  　そんな中、純と聖良は、榊と香澄が親しそうに話しているのを目撃する。香澄と美優(岡崎紗絵)の会話を盗み聞きすると、シャンプーのサンプルを使った感想を榊にメールしたら即レスがあったという。その夜、純は、榊からもらった名刺を取り出し、彼にメールを送ろうとするが…。</v>
      </c>
      <c r="N294" s="2" t="str">
        <f>IFERROR(__xludf.DUMMYFUNCTION("""COMPUTED_VALUE"""),"桐谷美玲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"&amp;"inc./block.fm)　    【主題歌】  JY「女子モドキ」(Sony　Music　Records)　    【チーフプロデュース】  中野利幸　    【プロデュース】  草ヶ谷大輔　    【演出】  松山博昭　品田俊介　  永山耕三　    【制作】  フジテレビ")</f>
        <v>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v>
      </c>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row>
    <row r="295" ht="204.75" customHeight="1">
      <c r="A295" s="1">
        <v>1237.0</v>
      </c>
      <c r="B295" s="2" t="s">
        <v>935</v>
      </c>
      <c r="C295" s="2">
        <f>IFERROR(__xludf.DUMMYFUNCTION("split(B295,""_"")"),1704.0)</f>
        <v>1704</v>
      </c>
      <c r="D295" s="2" t="str">
        <f>IFERROR(__xludf.DUMMYFUNCTION("""COMPUTED_VALUE"""),"CX")</f>
        <v>CX</v>
      </c>
      <c r="E295" s="2" t="str">
        <f>IFERROR(__xludf.DUMMYFUNCTION("""COMPUTED_VALUE"""),"木22")</f>
        <v>木22</v>
      </c>
      <c r="F295" s="2" t="s">
        <v>936</v>
      </c>
      <c r="G295" s="2" t="s">
        <v>949</v>
      </c>
      <c r="H295" s="1">
        <v>5.0</v>
      </c>
      <c r="I295" s="1" t="s">
        <v>17</v>
      </c>
      <c r="J295" s="1" t="s">
        <v>86</v>
      </c>
      <c r="K295" s="2" t="s">
        <v>950</v>
      </c>
      <c r="L295" s="2" t="s">
        <v>951</v>
      </c>
      <c r="M295" s="2" t="str">
        <f>IFERROR(__xludf.DUMMYFUNCTION("split(K295,""城之内純:　"",false)"),"純(桐谷美玲)は、美容室『ルーチェ』で、憧れの美容師・榊(成田凌)に髪をカットしてもらう。ところが、翌日出社した純の髪はなぜか落ち武者のようにボサボサで、満子(水川あさみ)や聖良(ブルゾンちえみ)を驚かせる。純いわく、カットの後、榊に編み込みをしてもらい、自分が自分ではないような不思議な気持ちになったという。しかし、ほどくのがもったいないとそのまま眠ってしまったせいか、朝起きたら崩れており、何とか再現しようと試みたもののできなかったらしい。純は、それでもめげずに「キラキラ女子になって榊に近づきたい」と言っ"&amp;"て、これまで以上にビューティー研究を頑張ると宣言する。しかし、純たちにとってヘアアレンジはあまりにもハードルが高く…。  　その夜、帰宅途中に雨に降られた純は、コンビニでビニール傘を買い求めた。ほどなく、店の軒先で雨宿りしている榊の姿を見つけた純は、困っている様子の彼に声をかけようかどうか迷うが、恥ずかしさもあってできなかった。そんな自分を恥じた純は、同じ失敗を繰り返さないために万全の備えをしておきたい、と満子たちに傘の研究を提案。國木田(鈴木浩介)のアドバイスを参考に、3人で傘を新調したものの…。")</f>
        <v>純(桐谷美玲)は、美容室『ルーチェ』で、憧れの美容師・榊(成田凌)に髪をカットしてもらう。ところが、翌日出社した純の髪はなぜか落ち武者のようにボサボサで、満子(水川あさみ)や聖良(ブルゾンちえみ)を驚かせる。純いわく、カットの後、榊に編み込みをしてもらい、自分が自分ではないような不思議な気持ちになったという。しかし、ほどくのがもったいないとそのまま眠ってしまったせいか、朝起きたら崩れており、何とか再現しようと試みたもののできなかったらしい。純は、それでもめげずに「キラキラ女子になって榊に近づきたい」と言って、これまで以上にビューティー研究を頑張ると宣言する。しかし、純たちにとってヘアアレンジはあまりにもハードルが高く…。  　その夜、帰宅途中に雨に降られた純は、コンビニでビニール傘を買い求めた。ほどなく、店の軒先で雨宿りしている榊の姿を見つけた純は、困っている様子の彼に声をかけようかどうか迷うが、恥ずかしさもあってできなかった。そんな自分を恥じた純は、同じ失敗を繰り返さないために万全の備えをしておきたい、と満子たちに傘の研究を提案。國木田(鈴木浩介)のアドバイスを参考に、3人で傘を新調したものの…。</v>
      </c>
      <c r="N295" s="2" t="str">
        <f>IFERROR(__xludf.DUMMYFUNCTION("""COMPUTED_VALUE"""),"桐谷美玲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"&amp;"inc./block.fm)　    【主題歌】  JY「女子モドキ」(Sony　Music　Records)　    【チーフプロデュース】  中野利幸　    【プロデュース】  草ヶ谷大輔　    【演出】  松山博昭　品田俊介　  永山耕三　    【制作】  フジテレビ")</f>
        <v>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v>
      </c>
      <c r="O295" s="2"/>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row>
    <row r="296" ht="204.75" customHeight="1">
      <c r="A296" s="1">
        <v>1238.0</v>
      </c>
      <c r="B296" s="2" t="s">
        <v>935</v>
      </c>
      <c r="C296" s="2">
        <f>IFERROR(__xludf.DUMMYFUNCTION("split(B296,""_"")"),1704.0)</f>
        <v>1704</v>
      </c>
      <c r="D296" s="2" t="str">
        <f>IFERROR(__xludf.DUMMYFUNCTION("""COMPUTED_VALUE"""),"CX")</f>
        <v>CX</v>
      </c>
      <c r="E296" s="2" t="str">
        <f>IFERROR(__xludf.DUMMYFUNCTION("""COMPUTED_VALUE"""),"木22")</f>
        <v>木22</v>
      </c>
      <c r="F296" s="2" t="s">
        <v>936</v>
      </c>
      <c r="G296" s="2" t="s">
        <v>952</v>
      </c>
      <c r="H296" s="1">
        <v>6.0</v>
      </c>
      <c r="I296" s="1" t="s">
        <v>21</v>
      </c>
      <c r="J296" s="1" t="s">
        <v>86</v>
      </c>
      <c r="K296" s="2" t="s">
        <v>953</v>
      </c>
      <c r="L296" s="2" t="s">
        <v>954</v>
      </c>
      <c r="M296" s="2" t="str">
        <f>IFERROR(__xludf.DUMMYFUNCTION("split(K296,""城之内純:　"",false)"),"【公式HP】  http://www.fujitv.co.jp/hitopa/    【公式LINE】  hitopa_fuji    【公式Twitter】  https://twitter.com/hitopa_fuji    【公式Instagram】  https://www.instagram.com/hitopa_fuji/　ベッドの上で勉強していてそのまま眠ってしまった純(桐谷美玲)は、うっかりメガネを壊してしまう。メガネ店に立ち寄るため、早めに家を出た純は、そこで思いを寄せている美容師・榊"&amp;"(成田凌)と出会う。動揺した純は、メガネ店を見つけて一目散に走り出したが、そのまま入口のガラスに激突。榊に助けられ、近くの病院に運び込まれる。同じ頃、満子(水川あさみ)と聖良(ブルゾンちえみ)は、PCのトラブルに遭遇していた。聖良は、データを届けに来た研究員仲間の丸尾(町田啓太)に、その修理を頼む。聖良いわく、男子はこういう時に女子から頼られると嬉しいらしい。そんな聖良の様子を見ていた満子は何かを察し…。  　純は、念のため2、3日検査入院することになったが、純が入院したのは、セレブ達が利用することで有名"&amp;"な病院だった。おしゃれなモデルやイケメン秘書を引き連れた女社長らと同じ病室になってしまった純は、人に見せられるような部屋着もなく、トイレにすら行けないありさまだ。困り果てた純は、おしゃれな部屋着を買ってきてほしい、と満子と聖良に依頼。満子たちは、さっそくルームウエアの研究を始める。そんな折、榊が純の見舞いに来てくれるかもしれないことになり…。")</f>
        <v>【公式HP】  http://www.fujitv.co.jp/hitopa/    【公式LINE】  hitopa_fuji    【公式Twitter】  https://twitter.com/hitopa_fuji    【公式Instagram】  https://www.instagram.com/hitopa_fuji/　ベッドの上で勉強していてそのまま眠ってしまった純(桐谷美玲)は、うっかりメガネを壊してしまう。メガネ店に立ち寄るため、早めに家を出た純は、そこで思いを寄せている美容師・榊(成田凌)と出会う。動揺した純は、メガネ店を見つけて一目散に走り出したが、そのまま入口のガラスに激突。榊に助けられ、近くの病院に運び込まれる。同じ頃、満子(水川あさみ)と聖良(ブルゾンちえみ)は、PCのトラブルに遭遇していた。聖良は、データを届けに来た研究員仲間の丸尾(町田啓太)に、その修理を頼む。聖良いわく、男子はこういう時に女子から頼られると嬉しいらしい。そんな聖良の様子を見ていた満子は何かを察し…。  　純は、念のため2、3日検査入院することになったが、純が入院したのは、セレブ達が利用することで有名な病院だった。おしゃれなモデルやイケメン秘書を引き連れた女社長らと同じ病室になってしまった純は、人に見せられるような部屋着もなく、トイレにすら行けないありさまだ。困り果てた純は、おしゃれな部屋着を買ってきてほしい、と満子と聖良に依頼。満子たちは、さっそくルームウエアの研究を始める。そんな折、榊が純の見舞いに来てくれるかもしれないことになり…。</v>
      </c>
      <c r="N296" s="2" t="str">
        <f>IFERROR(__xludf.DUMMYFUNCTION("""COMPUTED_VALUE"""),"桐谷美玲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"&amp;"inc./block.fm)　    【主題歌】  JY「女子モドキ」(Sony　Music　Records)　    【チーフプロデュース】  中野利幸　    【プロデュース】  草ヶ谷大輔　    【演出】  松山博昭　品田俊介　  永山耕三　    【制作】  フジテレビ")</f>
        <v>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v>
      </c>
      <c r="O296" s="2"/>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row>
    <row r="297" ht="204.75" customHeight="1">
      <c r="A297" s="1">
        <v>1239.0</v>
      </c>
      <c r="B297" s="2" t="s">
        <v>935</v>
      </c>
      <c r="C297" s="2">
        <f>IFERROR(__xludf.DUMMYFUNCTION("split(B297,""_"")"),1704.0)</f>
        <v>1704</v>
      </c>
      <c r="D297" s="2" t="str">
        <f>IFERROR(__xludf.DUMMYFUNCTION("""COMPUTED_VALUE"""),"CX")</f>
        <v>CX</v>
      </c>
      <c r="E297" s="2" t="str">
        <f>IFERROR(__xludf.DUMMYFUNCTION("""COMPUTED_VALUE"""),"木22")</f>
        <v>木22</v>
      </c>
      <c r="F297" s="2" t="s">
        <v>936</v>
      </c>
      <c r="G297" s="2" t="s">
        <v>955</v>
      </c>
      <c r="H297" s="1">
        <v>7.0</v>
      </c>
      <c r="I297" s="1" t="s">
        <v>25</v>
      </c>
      <c r="J297" s="1" t="s">
        <v>86</v>
      </c>
      <c r="K297" s="2" t="s">
        <v>956</v>
      </c>
      <c r="L297" s="2" t="s">
        <v>957</v>
      </c>
      <c r="M297" s="2" t="str">
        <f>IFERROR(__xludf.DUMMYFUNCTION("split(K297,""城之内純:　"",false)"),"25日(木)放送で、イケメン美容師・榊圭一役の成田凌と榊の後輩イケメン美容師・岡部和人役の中尾暢樹が副音声を担当することが決定。成田は、連続ドラマ副音声は初挑戦。実際に美容師免許を持つ成田が、ドラマ内で披露した「ヘアカット」や視聴者から大反響だった「編み込みシーン」の裏話を披露したり、好きな女性のヘアスタイルなど、さまざまな話が飛び出す!?イケメンの巣窟、美容室「ルーチェ」のとっておきの話も!?【公式HP】  http://www.fujitv.co.jp/hitopa/    【公式LINE】  hit"&amp;"opa_fuji    【公式Twitter】  https://twitter.com/hitopa_fuji    【公式Instagram】  https://www.instagram.com/hitopa_fuji/　純(桐谷美玲)は、美容室『ルーチェ』の榊(成田凌)を訪ね、お見舞いに来てくれたお礼にドーナツを差し入れる。その際、純は、榊が業界関係者に海外アーティストの来日公演チケットを頼んでいたことを知る。ところがそのチケットは、榊が庶務課の香澄(足立梨花)のために取ったものだと知り、純は大き"&amp;"なショックを受けてしまう。  　一方、聖良(ブルゾンちえみ)は、突然ダイエットを開始する。脱毛しているところを男子研究員の丸尾(町田啓太)に見られてしまった聖良は、ダイエットをして挽回しようともくろんでいた。そんな中、満子(水川あさみ)は、純と聖良に相談を持ち掛ける。週末に高校の同窓会があり、そこに当時ずっと好きだったサッカー部のキャプテン・守口も来るのだという。満子は、10代の頃のプリプリの肌しか知らない相手と十数年ぶりに会う恐怖を訴え、純たちにリフトアップの研究に付き合ってもらうことに。3人は、さっそ"&amp;"く肌のたるみに効くという顔ヨガや、リフトアップ用のグッズをあれこれ試したが、そう簡単には効果がでない。そこにやってきた國木田(鈴木浩介)は、諦めかけていた満子に「リフトアップに最も効果的なのは…」と言いかける。が、その時、統括マネージャーの栄子(室井滋)の視線に気づき、慌てて部屋を出ていってしまい…。")</f>
        <v>25日(木)放送で、イケメン美容師・榊圭一役の成田凌と榊の後輩イケメン美容師・岡部和人役の中尾暢樹が副音声を担当することが決定。成田は、連続ドラマ副音声は初挑戦。実際に美容師免許を持つ成田が、ドラマ内で披露した「ヘアカット」や視聴者から大反響だった「編み込みシーン」の裏話を披露したり、好きな女性のヘアスタイルなど、さまざまな話が飛び出す!?イケメンの巣窟、美容室「ルーチェ」のとっておきの話も!?【公式HP】  http://www.fujitv.co.jp/hitopa/    【公式LINE】  hitopa_fuji    【公式Twitter】  https://twitter.com/hitopa_fuji    【公式Instagram】  https://www.instagram.com/hitopa_fuji/　純(桐谷美玲)は、美容室『ルーチェ』の榊(成田凌)を訪ね、お見舞いに来てくれたお礼にドーナツを差し入れる。その際、純は、榊が業界関係者に海外アーティストの来日公演チケットを頼んでいたことを知る。ところがそのチケットは、榊が庶務課の香澄(足立梨花)のために取ったものだと知り、純は大きなショックを受けてしまう。  　一方、聖良(ブルゾンちえみ)は、突然ダイエットを開始する。脱毛しているところを男子研究員の丸尾(町田啓太)に見られてしまった聖良は、ダイエットをして挽回しようともくろんでいた。そんな中、満子(水川あさみ)は、純と聖良に相談を持ち掛ける。週末に高校の同窓会があり、そこに当時ずっと好きだったサッカー部のキャプテン・守口も来るのだという。満子は、10代の頃のプリプリの肌しか知らない相手と十数年ぶりに会う恐怖を訴え、純たちにリフトアップの研究に付き合ってもらうことに。3人は、さっそく肌のたるみに効くという顔ヨガや、リフトアップ用のグッズをあれこれ試したが、そう簡単には効果がでない。そこにやってきた國木田(鈴木浩介)は、諦めかけていた満子に「リフトアップに最も効果的なのは…」と言いかける。が、その時、統括マネージャーの栄子(室井滋)の視線に気づき、慌てて部屋を出ていってしまい…。</v>
      </c>
      <c r="N297" s="2" t="str">
        <f>IFERROR(__xludf.DUMMYFUNCTION("""COMPUTED_VALUE"""),"桐谷美玲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"&amp;"inc./block.fm)　    【主題歌】  JY「女子モドキ」(Sony　Music　Records)　    【チーフプロデュース】  中野利幸　    【プロデュース】  草ヶ谷大輔　    【演出】  松山博昭　品田俊介　  永山耕三　    【制作】  フジテレビ")</f>
        <v>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v>
      </c>
      <c r="O297" s="2"/>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row>
    <row r="298" ht="204.75" customHeight="1">
      <c r="A298" s="1">
        <v>1240.0</v>
      </c>
      <c r="B298" s="2" t="s">
        <v>935</v>
      </c>
      <c r="C298" s="2">
        <f>IFERROR(__xludf.DUMMYFUNCTION("split(B298,""_"")"),1704.0)</f>
        <v>1704</v>
      </c>
      <c r="D298" s="2" t="str">
        <f>IFERROR(__xludf.DUMMYFUNCTION("""COMPUTED_VALUE"""),"CX")</f>
        <v>CX</v>
      </c>
      <c r="E298" s="2" t="str">
        <f>IFERROR(__xludf.DUMMYFUNCTION("""COMPUTED_VALUE"""),"木22")</f>
        <v>木22</v>
      </c>
      <c r="F298" s="2" t="s">
        <v>936</v>
      </c>
      <c r="G298" s="2" t="s">
        <v>958</v>
      </c>
      <c r="H298" s="1">
        <v>8.0</v>
      </c>
      <c r="I298" s="1" t="s">
        <v>29</v>
      </c>
      <c r="J298" s="1" t="s">
        <v>86</v>
      </c>
      <c r="K298" s="2" t="s">
        <v>959</v>
      </c>
      <c r="L298" s="2" t="s">
        <v>960</v>
      </c>
      <c r="M298" s="2" t="str">
        <f>IFERROR(__xludf.DUMMYFUNCTION("split(K298,""城之内純:　"",false)"),"【公式HP】  http://www.fujitv.co.jp/hitopa/    【公式LINE】  hitopa_fuji    【公式Twitter】  https://twitter.com/hitopa_fuji    【公式Instagram】  https://www.instagram.com/hitopa_fuji/　純(桐谷美玲)は、榊(成田凌)と香澄(足立梨花)がデートするというのは勘違いだったことを知り、嬉しさがこみ上げる。「頑張れば今までの失った時間を取り戻せるような気がする」"&amp;"という満子(水川あさみ)の言葉を思い出す純。一方、榊も、いつも一生懸命な純が次第に気になり始め…。  　そんな中、純、満子、聖良(ブルゾンちえみ)は、高級ファッション誌のインタビュー取材を受けることに。製紙素材であるセルロースナノファイバーを化粧品に転用することに注目した雑誌サイドが、八王子製紙から移ってきた研究員から話が聞きたい、と指名してきたらしい。突然のことに激しく動揺する純たち。國木田(鈴木浩介)は、この機会に成果を見せれば統括マネージャーの栄子(室井滋)にも認めてもらえると純たちを叱咤した。純た"&amp;"ちは、取材に備えて研究を始める。写真撮影がとにかく苦手な彼女たちは、写真に慣れることが必要という香澄のアドバイスに従って、まずは自撮りにチャレンジする。ところがその最中、セルロースナノファイバーの機密データが他社に漏えいしていたことが発覚し、純たちが疑われてしまう。丸尾(町田啓太)や三沢(堤下敦)によれば、仕事をさせてもらえない腹いせに八王子製紙組の研究員が情報を漏えいした、というウワサが流れているらしい。研究員仲間からも厳しく非難される純たち。偶然その光景を目撃してしまった榊は、純のことが心配になり…。")</f>
        <v>【公式HP】  http://www.fujitv.co.jp/hitopa/    【公式LINE】  hitopa_fuji    【公式Twitter】  https://twitter.com/hitopa_fuji    【公式Instagram】  https://www.instagram.com/hitopa_fuji/　純(桐谷美玲)は、榊(成田凌)と香澄(足立梨花)がデートするというのは勘違いだったことを知り、嬉しさがこみ上げる。「頑張れば今までの失った時間を取り戻せるような気がする」という満子(水川あさみ)の言葉を思い出す純。一方、榊も、いつも一生懸命な純が次第に気になり始め…。  　そんな中、純、満子、聖良(ブルゾンちえみ)は、高級ファッション誌のインタビュー取材を受けることに。製紙素材であるセルロースナノファイバーを化粧品に転用することに注目した雑誌サイドが、八王子製紙から移ってきた研究員から話が聞きたい、と指名してきたらしい。突然のことに激しく動揺する純たち。國木田(鈴木浩介)は、この機会に成果を見せれば統括マネージャーの栄子(室井滋)にも認めてもらえると純たちを叱咤した。純たちは、取材に備えて研究を始める。写真撮影がとにかく苦手な彼女たちは、写真に慣れることが必要という香澄のアドバイスに従って、まずは自撮りにチャレンジする。ところがその最中、セルロースナノファイバーの機密データが他社に漏えいしていたことが発覚し、純たちが疑われてしまう。丸尾(町田啓太)や三沢(堤下敦)によれば、仕事をさせてもらえない腹いせに八王子製紙組の研究員が情報を漏えいした、というウワサが流れているらしい。研究員仲間からも厳しく非難される純たち。偶然その光景を目撃してしまった榊は、純のことが心配になり…。</v>
      </c>
      <c r="N298" s="2" t="str">
        <f>IFERROR(__xludf.DUMMYFUNCTION("""COMPUTED_VALUE"""),"桐谷美玲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"&amp;"inc./block.fm)　    【主題歌】  JY「女子モドキ」(Sony　Music　Records)　    【チーフプロデュース】  中野利幸　    【プロデュース】  草ヶ谷大輔　    【演出】  松山博昭　品田俊介　  永山耕三　    【制作】  フジテレビ")</f>
        <v>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v>
      </c>
      <c r="O298" s="2"/>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row>
    <row r="299" ht="204.75" customHeight="1">
      <c r="A299" s="1">
        <v>1241.0</v>
      </c>
      <c r="B299" s="2" t="s">
        <v>935</v>
      </c>
      <c r="C299" s="2">
        <f>IFERROR(__xludf.DUMMYFUNCTION("split(B299,""_"")"),1704.0)</f>
        <v>1704</v>
      </c>
      <c r="D299" s="2" t="str">
        <f>IFERROR(__xludf.DUMMYFUNCTION("""COMPUTED_VALUE"""),"CX")</f>
        <v>CX</v>
      </c>
      <c r="E299" s="2" t="str">
        <f>IFERROR(__xludf.DUMMYFUNCTION("""COMPUTED_VALUE"""),"木22")</f>
        <v>木22</v>
      </c>
      <c r="F299" s="2" t="s">
        <v>936</v>
      </c>
      <c r="G299" s="2" t="s">
        <v>961</v>
      </c>
      <c r="H299" s="1">
        <v>9.0</v>
      </c>
      <c r="I299" s="1" t="s">
        <v>33</v>
      </c>
      <c r="J299" s="1" t="s">
        <v>86</v>
      </c>
      <c r="K299" s="2" t="s">
        <v>962</v>
      </c>
      <c r="L299" s="2" t="s">
        <v>963</v>
      </c>
      <c r="M299" s="2" t="str">
        <f>IFERROR(__xludf.DUMMYFUNCTION("split(K299,""城之内純:　"",false)"),"【公式HP】  http://www.fujitv.co.jp/hitopa/    【公式LINE】  hitopa_fuji    【公式Twitter】  https://twitter.com/hitopa_fuji    【公式Instagram】  https://www.instagram.com/hitopa_fuji/　純(桐谷美玲)は、研究に戻れることになったと榊(成田凌)に報告した。嬉しそうな純の顔を見つめていた榊は、不意に彼女にキスをして「好きです」と告白して交際を申し込む。あくる"&amp;"日、純から話を聞いた満子(水川あさみ)と聖良(ブルゾンちえみ)は、まるで自分のことのように大喜びし、彼女を祝福した。ところが純は、『付き合う』というのはどういうことかわからない、と言い出し、満子たちを困惑させる。満子と聖良は、毎日電話やメールをしたり、デートをしたりするのではないか、と返すが、経験のない純には『デートをする』といってもまったくイメージできないらしい。そこに、榊からのメールが届く。休憩時間のタイミングを合わせて会わないか、という内容だった。  　昼休みに榊と会った純は、会社の近所で行われるあ"&amp;"じさい祭りに一緒に行こうと誘われる。その話を聞いた満子は、聖良と一緒にあじさい祭りに行くことにし、丸尾(町田啓太)と三沢(堤下敦)も誘う。だが、盛り上がる満子たちとは対照的に、何をどうすれば滞りなくデートを行うことができるのか教えてほしい、という純。満子は、新しい服を買ったらどうか、と純に提案し、丸の内でスマートにショッピングを楽しむ方法を研究する。純は、榊からのメールや電話にどのように対処すればいいのか悩み続けながらも、幸せを噛みしめ…。")</f>
        <v>【公式HP】  http://www.fujitv.co.jp/hitopa/    【公式LINE】  hitopa_fuji    【公式Twitter】  https://twitter.com/hitopa_fuji    【公式Instagram】  https://www.instagram.com/hitopa_fuji/　純(桐谷美玲)は、研究に戻れることになったと榊(成田凌)に報告した。嬉しそうな純の顔を見つめていた榊は、不意に彼女にキスをして「好きです」と告白して交際を申し込む。あくる日、純から話を聞いた満子(水川あさみ)と聖良(ブルゾンちえみ)は、まるで自分のことのように大喜びし、彼女を祝福した。ところが純は、『付き合う』というのはどういうことかわからない、と言い出し、満子たちを困惑させる。満子と聖良は、毎日電話やメールをしたり、デートをしたりするのではないか、と返すが、経験のない純には『デートをする』といってもまったくイメージできないらしい。そこに、榊からのメールが届く。休憩時間のタイミングを合わせて会わないか、という内容だった。  　昼休みに榊と会った純は、会社の近所で行われるあじさい祭りに一緒に行こうと誘われる。その話を聞いた満子は、聖良と一緒にあじさい祭りに行くことにし、丸尾(町田啓太)と三沢(堤下敦)も誘う。だが、盛り上がる満子たちとは対照的に、何をどうすれば滞りなくデートを行うことができるのか教えてほしい、という純。満子は、新しい服を買ったらどうか、と純に提案し、丸の内でスマートにショッピングを楽しむ方法を研究する。純は、榊からのメールや電話にどのように対処すればいいのか悩み続けながらも、幸せを噛みしめ…。</v>
      </c>
      <c r="N299" s="2" t="str">
        <f>IFERROR(__xludf.DUMMYFUNCTION("""COMPUTED_VALUE"""),"桐谷美玲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"&amp;"inc./block.fm)　    【主題歌】  JY「女子モドキ」(Sony　Music　Records)　    【チーフプロデュース】  中野利幸　    【プロデュース】  草ヶ谷大輔　    【演出】  松山博昭　品田俊介　  永山耕三　    【制作】  フジテレビ")</f>
        <v>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v>
      </c>
      <c r="O299" s="2"/>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row>
    <row r="300" ht="204.75" customHeight="1">
      <c r="A300" s="1">
        <v>1242.0</v>
      </c>
      <c r="B300" s="2" t="s">
        <v>935</v>
      </c>
      <c r="C300" s="2">
        <f>IFERROR(__xludf.DUMMYFUNCTION("split(B300,""_"")"),1704.0)</f>
        <v>1704</v>
      </c>
      <c r="D300" s="2" t="str">
        <f>IFERROR(__xludf.DUMMYFUNCTION("""COMPUTED_VALUE"""),"CX")</f>
        <v>CX</v>
      </c>
      <c r="E300" s="2" t="str">
        <f>IFERROR(__xludf.DUMMYFUNCTION("""COMPUTED_VALUE"""),"木22")</f>
        <v>木22</v>
      </c>
      <c r="F300" s="2" t="s">
        <v>936</v>
      </c>
      <c r="G300" s="2" t="s">
        <v>964</v>
      </c>
      <c r="H300" s="1">
        <v>10.0</v>
      </c>
      <c r="I300" s="1" t="s">
        <v>37</v>
      </c>
      <c r="J300" s="1" t="s">
        <v>86</v>
      </c>
      <c r="K300" s="2" t="s">
        <v>965</v>
      </c>
      <c r="L300" s="2" t="s">
        <v>966</v>
      </c>
      <c r="M300" s="2" t="str">
        <f>IFERROR(__xludf.DUMMYFUNCTION("split(K300,""城之内純:　"",false)"),"【公式HP】  http://www.fujitv.co.jp/hitopa/    【公式LINE】  hitopa_fuji    【公式Twitter】  https://twitter.com/hitopa_fuji    【公式Instagram】  https://www.instagram.com/hitopa_fuji/　純(桐谷美玲)は、榊(成田凌)が女性とキスしているところを目撃し、激しいショックを受ける。しかし榊は、悪びれる様子もなく、純もその女性も自分の彼女だと言い切る。純のすべて"&amp;"を受け入れるつもりだから自分のことも受け入れてほしい、と言うのだ。純は、迷いながらも、榊と距離を置くことに…。報告を受けた満子(水川あさみ)と聖良(ブルゾンちえみ)は、純の決断を支持し、ホッと胸をなでおろす。しかし純は、初めての失恋ゆえになかなか立ち直ることができず、掃除をしたり、運動をしたりしても眠れなかった。満子と聖良は、友人として純の力になろうと決意し、彼女のために弁当を作って励ました。純も、ふたりのペースに巻き込まれ、少しだけ元気を取り戻す。  　そんなある夜、純の前に榊が現れる。榊は、逃げようと"&amp;"する純を追いかけ、あれからずっと純の事を考えていた、と告げる。「城之内さんも同じ気持ちですよね?」。榊からそう問われた純の心は揺れる。別の日、純は、榊から食事に誘われる。純と一緒にいた満子と聖良は、無神経な榊に対して怒りをぶつけた。だが純は、榊の誘いを受けてしまう。満子たちは、榊とよりを戻すという純を非難した。すると純は、この気持ちはふたりにはわからない、と反発する。怒った満子は、勝手にすればいいと言い放って部屋を出ていく…。純は、初めて手に入れた恋愛を取るのか、それとも友情を取るのか?")</f>
        <v>【公式HP】  http://www.fujitv.co.jp/hitopa/    【公式LINE】  hitopa_fuji    【公式Twitter】  https://twitter.com/hitopa_fuji    【公式Instagram】  https://www.instagram.com/hitopa_fuji/　純(桐谷美玲)は、榊(成田凌)が女性とキスしているところを目撃し、激しいショックを受ける。しかし榊は、悪びれる様子もなく、純もその女性も自分の彼女だと言い切る。純のすべてを受け入れるつもりだから自分のことも受け入れてほしい、と言うのだ。純は、迷いながらも、榊と距離を置くことに…。報告を受けた満子(水川あさみ)と聖良(ブルゾンちえみ)は、純の決断を支持し、ホッと胸をなでおろす。しかし純は、初めての失恋ゆえになかなか立ち直ることができず、掃除をしたり、運動をしたりしても眠れなかった。満子と聖良は、友人として純の力になろうと決意し、彼女のために弁当を作って励ました。純も、ふたりのペースに巻き込まれ、少しだけ元気を取り戻す。  　そんなある夜、純の前に榊が現れる。榊は、逃げようとする純を追いかけ、あれからずっと純の事を考えていた、と告げる。「城之内さんも同じ気持ちですよね?」。榊からそう問われた純の心は揺れる。別の日、純は、榊から食事に誘われる。純と一緒にいた満子と聖良は、無神経な榊に対して怒りをぶつけた。だが純は、榊の誘いを受けてしまう。満子たちは、榊とよりを戻すという純を非難した。すると純は、この気持ちはふたりにはわからない、と反発する。怒った満子は、勝手にすればいいと言い放って部屋を出ていく…。純は、初めて手に入れた恋愛を取るのか、それとも友情を取るのか?</v>
      </c>
      <c r="N300" s="2" t="str">
        <f>IFERROR(__xludf.DUMMYFUNCTION("""COMPUTED_VALUE"""),"桐谷美玲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"&amp;"inc./block.fm)　    【主題歌】  JY「女子モドキ」(Sony　Music　Records)　    【チーフプロデュース】  中野利幸　    【プロデュース】  草ヶ谷大輔　    【演出】  松山博昭　品田俊介　  永山耕三　    【制作】  フジテレビ")</f>
        <v>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v>
      </c>
      <c r="O300" s="2"/>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row>
    <row r="301" ht="204.75" customHeight="1">
      <c r="A301" s="1">
        <v>1292.0</v>
      </c>
      <c r="B301" s="2" t="s">
        <v>967</v>
      </c>
      <c r="C301" s="2">
        <f>IFERROR(__xludf.DUMMYFUNCTION("split(B301,""_"")"),1704.0)</f>
        <v>1704</v>
      </c>
      <c r="D301" s="2" t="str">
        <f>IFERROR(__xludf.DUMMYFUNCTION("""COMPUTED_VALUE"""),"CX")</f>
        <v>CX</v>
      </c>
      <c r="E301" s="2" t="str">
        <f>IFERROR(__xludf.DUMMYFUNCTION("""COMPUTED_VALUE"""),"日21")</f>
        <v>日21</v>
      </c>
      <c r="F301" s="2" t="s">
        <v>968</v>
      </c>
      <c r="G301" s="2" t="s">
        <v>969</v>
      </c>
      <c r="H301" s="1">
        <v>1.0</v>
      </c>
      <c r="I301" s="1" t="s">
        <v>3</v>
      </c>
      <c r="J301" s="1" t="s">
        <v>4</v>
      </c>
      <c r="K301" s="2" t="s">
        <v>970</v>
      </c>
      <c r="L301" s="2" t="s">
        <v>971</v>
      </c>
      <c r="M301" s="2" t="str">
        <f>IFERROR(__xludf.DUMMYFUNCTION("split(K301,""観月ありさ　"",false)"),"九条櫻子(観月ありさ)は、日本に数名しかいない骨格標本を組み立てるプロの「標本士」。博物館や研究・教育機関からの依頼を受け、日々動物の骨格標本の組み立てを行っている。そんな櫻子が家政婦の“ばぁや""こと、沢梅(鷲尾真知子)と暮らす邸宅を、博物館の技術補佐員・館脇正太郎(藤ヶ谷太輔)が訪れる。館長の杉森重男(渡辺憲吉)に命じられるままにやってきた正太郎は、ずんどう鍋をかき混ぜる初対面の櫻子にあいさつするが、スルーされる。とまどう正太郎を尻目に、櫻子は博物館から組み立てを依頼されていた骨を入れたトレイを手に戻"&amp;"ってくる。むき出しの骨に驚き、完全に逃げ腰になる正太郎に櫻子は、骨の発見場所を問いただし「そこへ案内しろ」と言い出す。  博物館のスタッフ・志倉愛理(新川優愛)から場所を聞き、学芸員・磯崎齋(上川隆也)からは、珍しい草花の写真を撮ってくるように指示された正太郎は、櫻子の運転する車で骨の発見場所の山中へ。到着した先で見つけたのは、なんと人間の白骨死体だった。  正太郎の通報で、刑事の山路輝彦(高嶋政宏)と近藤卓也(細田善彦)、鑑識の新井隆太(田中聡元)らがやってくるが、遺体は完全に白骨化しているため、詳細は"&amp;"調べないと分からないと言う。ところが櫻子は死亡推定時期、年齢、性別、利き手まで、スラスラと言い始める。驚く刑事たちに、何より気になるのが遺体の歯だと告げ…。")</f>
        <v>九条櫻子(観月ありさ)は、日本に数名しかいない骨格標本を組み立てるプロの「標本士」。博物館や研究・教育機関からの依頼を受け、日々動物の骨格標本の組み立てを行っている。そんな櫻子が家政婦の“ばぁや"こと、沢梅(鷲尾真知子)と暮らす邸宅を、博物館の技術補佐員・館脇正太郎(藤ヶ谷太輔)が訪れる。館長の杉森重男(渡辺憲吉)に命じられるままにやってきた正太郎は、ずんどう鍋をかき混ぜる初対面の櫻子にあいさつするが、スルーされる。とまどう正太郎を尻目に、櫻子は博物館から組み立てを依頼されていた骨を入れたトレイを手に戻ってくる。むき出しの骨に驚き、完全に逃げ腰になる正太郎に櫻子は、骨の発見場所を問いただし「そこへ案内しろ」と言い出す。  博物館のスタッフ・志倉愛理(新川優愛)から場所を聞き、学芸員・磯崎齋(上川隆也)からは、珍しい草花の写真を撮ってくるように指示された正太郎は、櫻子の運転する車で骨の発見場所の山中へ。到着した先で見つけたのは、なんと人間の白骨死体だった。  正太郎の通報で、刑事の山路輝彦(高嶋政宏)と近藤卓也(細田善彦)、鑑識の新井隆太(田中聡元)らがやってくるが、遺体は完全に白骨化しているため、詳細は調べないと分からないと言う。ところが櫻子は死亡推定時期、年齢、性別、利き手まで、スラスラと言い始める。驚く刑事たちに、何より気になるのが遺体の歯だと告げ…。</v>
      </c>
      <c r="N301" s="2" t="str">
        <f>IFERROR(__xludf.DUMMYFUNCTION("""COMPUTED_VALUE"""),"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Kis-My-Ft2「PICK　IT　UP」(avex　trax)　    【エンディングテーマ】  BuZZ「LEAN　ON　ME"&amp;"」(SONIC　GROOVE)　    【編成企画】  稲葉直人　    【プロデュース】  森安彩　【演出】  佐藤祐市　  山内大典　    【制作】  フジテレビ　    【制作著作】  共同テレビ")</f>
        <v>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Kis-My-Ft2「PICK　IT　UP」(avex　trax)　    【エンディングテーマ】  BuZZ「LEAN　ON　ME」(SONIC　GROOVE)　    【編成企画】  稲葉直人　    【プロデュース】  森安彩　【演出】  佐藤祐市　  山内大典　    【制作】  フジテレビ　    【制作著作】  共同テレビ</v>
      </c>
      <c r="O301" s="2"/>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row>
    <row r="302" ht="204.75" customHeight="1">
      <c r="A302" s="1">
        <v>1293.0</v>
      </c>
      <c r="B302" s="2" t="s">
        <v>967</v>
      </c>
      <c r="C302" s="2">
        <f>IFERROR(__xludf.DUMMYFUNCTION("split(B302,""_"")"),1704.0)</f>
        <v>1704</v>
      </c>
      <c r="D302" s="2" t="str">
        <f>IFERROR(__xludf.DUMMYFUNCTION("""COMPUTED_VALUE"""),"CX")</f>
        <v>CX</v>
      </c>
      <c r="E302" s="2" t="str">
        <f>IFERROR(__xludf.DUMMYFUNCTION("""COMPUTED_VALUE"""),"日21")</f>
        <v>日21</v>
      </c>
      <c r="F302" s="2" t="s">
        <v>968</v>
      </c>
      <c r="G302" s="2" t="s">
        <v>972</v>
      </c>
      <c r="H302" s="1">
        <v>2.0</v>
      </c>
      <c r="I302" s="1" t="s">
        <v>7</v>
      </c>
      <c r="J302" s="1" t="s">
        <v>11</v>
      </c>
      <c r="K302" s="2" t="s">
        <v>973</v>
      </c>
      <c r="L302" s="2" t="s">
        <v>974</v>
      </c>
      <c r="M302" s="2" t="str">
        <f>IFERROR(__xludf.DUMMYFUNCTION("split(K302,""観月ありさ　"",false)"),"九条櫻子(観月ありさ)の邸宅に招かれ食事を終えた館脇正太郎(藤ヶ谷太輔)は、立ち寄ったコンビニの前で幼い少女を見かける。深夜にも関わらず、少女はパジャマ姿、素足のままで、何を聞いても要領を得ない。親の姿もなく交番も遠いため、正太郎は山路輝彦(高嶋政宏)に連絡を取ると、少女を連れてひとまず櫻子の邸宅へ戻る。  　その後、山路と近藤卓也(細田善彦)がやって来るが、少女は直前まで合コンをしていて酒臭い山路を嫌がり、なぜか櫻子になつく。櫻子は少女が過去に左手を骨折していたが、適切な処置がされていなかったことを見抜"&amp;"く。さらに、背中には引っかいたような跡も残っていた。  　翌日、櫻子と少女と出勤した正太郎は、磯崎齋(上川隆也)や志倉愛理(新川優愛)らに、身元が分かるまで少女をここに滞在させてほしいと頼む。少女は博物館の骨格コーナーを見て回ると、クジラの標本に目を輝かせる。  　その頃、近藤が少女の身元を突き止めた。正太郎は、櫻子、愛理とともに、柚胡香(吉澤梨里花)という少女の自宅へ向かうことに。正太郎は、山路らを待ったほうがいいのでは?と言うが、櫻子は呼び鈴を押す。返事はなく、ドアの側には鍵が落ちていた。不審に思った"&amp;"櫻子がドアノブを回すと開き、中からは異臭がした。驚く正太郎に、櫻子はこれは血のにおいだと言い…。")</f>
        <v>九条櫻子(観月ありさ)の邸宅に招かれ食事を終えた館脇正太郎(藤ヶ谷太輔)は、立ち寄ったコンビニの前で幼い少女を見かける。深夜にも関わらず、少女はパジャマ姿、素足のままで、何を聞いても要領を得ない。親の姿もなく交番も遠いため、正太郎は山路輝彦(高嶋政宏)に連絡を取ると、少女を連れてひとまず櫻子の邸宅へ戻る。  　その後、山路と近藤卓也(細田善彦)がやって来るが、少女は直前まで合コンをしていて酒臭い山路を嫌がり、なぜか櫻子になつく。櫻子は少女が過去に左手を骨折していたが、適切な処置がされていなかったことを見抜く。さらに、背中には引っかいたような跡も残っていた。  　翌日、櫻子と少女と出勤した正太郎は、磯崎齋(上川隆也)や志倉愛理(新川優愛)らに、身元が分かるまで少女をここに滞在させてほしいと頼む。少女は博物館の骨格コーナーを見て回ると、クジラの標本に目を輝かせる。  　その頃、近藤が少女の身元を突き止めた。正太郎は、櫻子、愛理とともに、柚胡香(吉澤梨里花)という少女の自宅へ向かうことに。正太郎は、山路らを待ったほうがいいのでは?と言うが、櫻子は呼び鈴を押す。返事はなく、ドアの側には鍵が落ちていた。不審に思った櫻子がドアノブを回すと開き、中からは異臭がした。驚く正太郎に、櫻子はこれは血のにおいだと言い…。</v>
      </c>
      <c r="N302" s="2" t="str">
        <f>IFERROR(__xludf.DUMMYFUNCTION("""COMPUTED_VALUE"""),"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ME」BuZ"&amp;"Z(SONIC　GROOVE)　    【編成企画】  稲葉直人　    【プロデュース】  森安彩　【演出】  佐藤祐市　  山内大典　    【制作】  フジテレビ　    【制作著作】  共同テレビ")</f>
        <v>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v>
      </c>
      <c r="O302" s="2"/>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row>
    <row r="303" ht="204.75" customHeight="1">
      <c r="A303" s="1">
        <v>1294.0</v>
      </c>
      <c r="B303" s="2" t="s">
        <v>967</v>
      </c>
      <c r="C303" s="2">
        <f>IFERROR(__xludf.DUMMYFUNCTION("split(B303,""_"")"),1704.0)</f>
        <v>1704</v>
      </c>
      <c r="D303" s="2" t="str">
        <f>IFERROR(__xludf.DUMMYFUNCTION("""COMPUTED_VALUE"""),"CX")</f>
        <v>CX</v>
      </c>
      <c r="E303" s="2" t="str">
        <f>IFERROR(__xludf.DUMMYFUNCTION("""COMPUTED_VALUE"""),"日21")</f>
        <v>日21</v>
      </c>
      <c r="F303" s="2" t="s">
        <v>968</v>
      </c>
      <c r="G303" s="2" t="s">
        <v>975</v>
      </c>
      <c r="H303" s="1">
        <v>3.0</v>
      </c>
      <c r="I303" s="1" t="s">
        <v>10</v>
      </c>
      <c r="J303" s="1" t="s">
        <v>11</v>
      </c>
      <c r="K303" s="2" t="s">
        <v>976</v>
      </c>
      <c r="L303" s="2" t="s">
        <v>977</v>
      </c>
      <c r="M303" s="2" t="str">
        <f>IFERROR(__xludf.DUMMYFUNCTION("split(K303,""観月ありさ　"",false)"),"九条櫻子(観月ありさ)の高校時代の恩師・佐々木敦郎(モロ師岡)が急死し、遺品が櫻子に託された。生物の教師だった佐々木の遺品には多くの標本があり、櫻子はそれらを自然の森博物館に寄贈することにし、九条邸で仕分け作業が始まった。館長の杉森重男(渡辺憲吉)の指示で、館脇正太郎(藤ヶ谷太輔)、磯崎齋(上川隆也)、谷上和裕(近藤公園)が参加した。遺品には珍しい骨格や植物の標本があり、櫻子と磯崎は目を輝かす。　その頃、博物館で客を案内していた志倉愛理(新川優愛)を怪しい男が見つめていた。案内を終えた愛理がスタッフルーム"&amp;"に戻ると、弁当の宅配スタッフ(長浜之人)が、大量の弁当を持って現れた。櫻子からの注文だと言うが、櫻子は身に覚えがない。その後も博物館に櫻子に対するクレームの電話やメールが殺到する。  　一方、櫻子らを手伝っていた正太郎は小さな棺のような箱を見つける。中には人骨と「玲子」という人物が書いた和歌が添えられていた。佐々木は生涯独身で、恋人がいた気配もない。なぜ人骨と女性からのメッセージを持っていたのか、櫻子は考えを巡らせる。  　やがて、到着した刑事の山路輝彦(高嶋政宏)と近藤卓也(細田善彦)が捜査を始める。そ"&amp;"んな時、博物館の愛理から電話が入り、怪しい男を捕まえたら「櫻子を出せ」と騒いでいると言う。男は入山勇人(浦上晟周)という高校生で、博物館に駆けつけた初対面の櫻子をにらみつける。")</f>
        <v>九条櫻子(観月ありさ)の高校時代の恩師・佐々木敦郎(モロ師岡)が急死し、遺品が櫻子に託された。生物の教師だった佐々木の遺品には多くの標本があり、櫻子はそれらを自然の森博物館に寄贈することにし、九条邸で仕分け作業が始まった。館長の杉森重男(渡辺憲吉)の指示で、館脇正太郎(藤ヶ谷太輔)、磯崎齋(上川隆也)、谷上和裕(近藤公園)が参加した。遺品には珍しい骨格や植物の標本があり、櫻子と磯崎は目を輝かす。　その頃、博物館で客を案内していた志倉愛理(新川優愛)を怪しい男が見つめていた。案内を終えた愛理がスタッフルームに戻ると、弁当の宅配スタッフ(長浜之人)が、大量の弁当を持って現れた。櫻子からの注文だと言うが、櫻子は身に覚えがない。その後も博物館に櫻子に対するクレームの電話やメールが殺到する。  　一方、櫻子らを手伝っていた正太郎は小さな棺のような箱を見つける。中には人骨と「玲子」という人物が書いた和歌が添えられていた。佐々木は生涯独身で、恋人がいた気配もない。なぜ人骨と女性からのメッセージを持っていたのか、櫻子は考えを巡らせる。  　やがて、到着した刑事の山路輝彦(高嶋政宏)と近藤卓也(細田善彦)が捜査を始める。そんな時、博物館の愛理から電話が入り、怪しい男を捕まえたら「櫻子を出せ」と騒いでいると言う。男は入山勇人(浦上晟周)という高校生で、博物館に駆けつけた初対面の櫻子をにらみつける。</v>
      </c>
      <c r="N303" s="2" t="str">
        <f>IFERROR(__xludf.DUMMYFUNCTION("""COMPUTED_VALUE"""),"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ME」BuZ"&amp;"Z(SONIC　GROOVE)　    【編成企画】  稲葉直人　    【プロデュース】  森安彩　【演出】  佐藤祐市　  山内大典　    【制作】  フジテレビ　    【制作著作】  共同テレビ")</f>
        <v>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v>
      </c>
      <c r="O303" s="2"/>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row>
    <row r="304" ht="204.75" customHeight="1">
      <c r="A304" s="1">
        <v>1295.0</v>
      </c>
      <c r="B304" s="2" t="s">
        <v>967</v>
      </c>
      <c r="C304" s="2">
        <f>IFERROR(__xludf.DUMMYFUNCTION("split(B304,""_"")"),1704.0)</f>
        <v>1704</v>
      </c>
      <c r="D304" s="2" t="str">
        <f>IFERROR(__xludf.DUMMYFUNCTION("""COMPUTED_VALUE"""),"CX")</f>
        <v>CX</v>
      </c>
      <c r="E304" s="2" t="str">
        <f>IFERROR(__xludf.DUMMYFUNCTION("""COMPUTED_VALUE"""),"日21")</f>
        <v>日21</v>
      </c>
      <c r="F304" s="2" t="s">
        <v>968</v>
      </c>
      <c r="G304" s="2" t="s">
        <v>978</v>
      </c>
      <c r="H304" s="1">
        <v>4.0</v>
      </c>
      <c r="I304" s="1" t="s">
        <v>14</v>
      </c>
      <c r="J304" s="1" t="s">
        <v>11</v>
      </c>
      <c r="K304" s="2" t="s">
        <v>979</v>
      </c>
      <c r="L304" s="2" t="s">
        <v>980</v>
      </c>
      <c r="M304" s="2" t="str">
        <f>IFERROR(__xludf.DUMMYFUNCTION("split(K304,""観月ありさ　"",false)"),"自然の森博物館に、オーナーの東藤(佐々木勝彦)とその娘で代表を務める千代田薔子(富田靖子)がやってきた。自分の死後、その骨を標本にして博物館に飾りたいと思う東藤が、参考にナウマンゾウの標本を見に来たのだ。  　薔子は、幼なじみの九条櫻子(観月ありさ)を呼び出すと、強引に父親を押し付ける。櫻子と骨格標本展示コーナーを見て歩いた東藤は、自分も骨を残し、功績とともに語り継がれたいとの思いを明かす。　一方、館脇正太郎(藤ヶ谷太輔)らを前にした薔子は、近々開かれる東藤の誕生会を盛り上げる有志を募っていた。磯崎齋(上"&amp;"川隆也)が逃げたため、正太郎、志倉愛理(新川優愛)、谷上和裕(近藤公園)が、櫻子とともに出席することになった。  　パーティー当日、東藤邸にやってきた櫻子らは、東藤と妻の君子(島かおり)、薔子ら5人の子供たちが集まったディナーに参加する。東藤は子供たちに明日、事業に関する計画のプレゼンをしろと命じた。その結果次第で遺産の配分を決めると言われた子供たちは慌てて準備に取り掛かる。  　同じ頃、山路輝彦(高嶋政宏)は、櫻子に渡したファイルの原本を見ていた。刑事課の係長は、それが山路が追い続けている弟の事件だと、"&amp;"近藤卓也(細田善彦)に明かした。  　そんな翌早朝、東藤が自室で死亡しているのが発見された。すると、子供たちはお互いを疑い、激しいののしり合いを始める…。")</f>
        <v>自然の森博物館に、オーナーの東藤(佐々木勝彦)とその娘で代表を務める千代田薔子(富田靖子)がやってきた。自分の死後、その骨を標本にして博物館に飾りたいと思う東藤が、参考にナウマンゾウの標本を見に来たのだ。  　薔子は、幼なじみの九条櫻子(観月ありさ)を呼び出すと、強引に父親を押し付ける。櫻子と骨格標本展示コーナーを見て歩いた東藤は、自分も骨を残し、功績とともに語り継がれたいとの思いを明かす。　一方、館脇正太郎(藤ヶ谷太輔)らを前にした薔子は、近々開かれる東藤の誕生会を盛り上げる有志を募っていた。磯崎齋(上川隆也)が逃げたため、正太郎、志倉愛理(新川優愛)、谷上和裕(近藤公園)が、櫻子とともに出席することになった。  　パーティー当日、東藤邸にやってきた櫻子らは、東藤と妻の君子(島かおり)、薔子ら5人の子供たちが集まったディナーに参加する。東藤は子供たちに明日、事業に関する計画のプレゼンをしろと命じた。その結果次第で遺産の配分を決めると言われた子供たちは慌てて準備に取り掛かる。  　同じ頃、山路輝彦(高嶋政宏)は、櫻子に渡したファイルの原本を見ていた。刑事課の係長は、それが山路が追い続けている弟の事件だと、近藤卓也(細田善彦)に明かした。  　そんな翌早朝、東藤が自室で死亡しているのが発見された。すると、子供たちはお互いを疑い、激しいののしり合いを始める…。</v>
      </c>
      <c r="N304" s="2" t="str">
        <f>IFERROR(__xludf.DUMMYFUNCTION("""COMPUTED_VALUE"""),"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ME」BuZ"&amp;"Z(SONIC　GROOVE)　    【編成企画】  稲葉直人　    【プロデュース】  森安彩　【演出】  佐藤祐市　  山内大典　    【制作】  フジテレビ　    【制作著作】  共同テレビ")</f>
        <v>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v>
      </c>
      <c r="O304" s="2"/>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row>
    <row r="305" ht="204.75" customHeight="1">
      <c r="A305" s="1">
        <v>1296.0</v>
      </c>
      <c r="B305" s="2" t="s">
        <v>967</v>
      </c>
      <c r="C305" s="2">
        <f>IFERROR(__xludf.DUMMYFUNCTION("split(B305,""_"")"),1704.0)</f>
        <v>1704</v>
      </c>
      <c r="D305" s="2" t="str">
        <f>IFERROR(__xludf.DUMMYFUNCTION("""COMPUTED_VALUE"""),"CX")</f>
        <v>CX</v>
      </c>
      <c r="E305" s="2" t="str">
        <f>IFERROR(__xludf.DUMMYFUNCTION("""COMPUTED_VALUE"""),"日21")</f>
        <v>日21</v>
      </c>
      <c r="F305" s="2" t="s">
        <v>968</v>
      </c>
      <c r="G305" s="2" t="s">
        <v>981</v>
      </c>
      <c r="H305" s="1">
        <v>5.0</v>
      </c>
      <c r="I305" s="1" t="s">
        <v>17</v>
      </c>
      <c r="J305" s="1" t="s">
        <v>11</v>
      </c>
      <c r="K305" s="2" t="s">
        <v>982</v>
      </c>
      <c r="L305" s="2" t="s">
        <v>983</v>
      </c>
      <c r="M305" s="2" t="str">
        <f>IFERROR(__xludf.DUMMYFUNCTION("split(K305,""観月ありさ　"",false)"),"「井上尚弥&amp;八重樫東　ダブル世界戦～ボクシングフェス2017　SUPER　2DAYS～」延長の際、放送時間繰り下げの場合あり。　元教え子の圓一重(中村ゆりか)から、不審な電話を受けた磯崎齋(上川隆也)は一重の自宅へ駆けつける。娘の行方が分からないにも関わらず、一重の両親は警察に届けていなかった。  　翌日、磯崎は博物館に休暇届を出した。そんな折、館脇正太郎(藤ヶ谷太輔)と志倉愛理(新川優愛)は九条櫻子(観月ありさ)を訪ねる。1週間後に開かれるシンポジウムで、愛理が発表する資料の確認を磯崎の代理でやってくれ"&amp;"るよう頼むためだ。愛理の手土産が功を奏したのか、櫻子はしぶしぶ協力を承諾する。  　その夜、正太郎は街中で若い女性に一重の行方を聞いている磯崎を目撃し、声をかける。それに慌てた磯崎は、何でもないと言うと立ち去ってしまう。心配になった正太郎は、櫻子になら何か話してくれるのではと思い、櫻子に頼み込み、共に磯崎の自宅を訪ねる。  　櫻子と正太郎を部屋に通した磯崎は、とまどいながらも高校の教師をしていた頃の話を始める。当時、一重、西沢二葉(三浦透子)、津々見三奈美(山谷花純)という仲良しの女子生徒の担任をしていた"&amp;"が、ある日、二葉が失踪してしまう。警察と一緒になって探したが、結局二葉の行方は分からず、責任を感じた磯崎は、教師の職を辞した。それから5年が経った今、突然一重から電話が来たため、同じ過ちを繰り返したくない磯崎は必死に一重を探しているのだ。話を聞き終えた櫻子は自分を三奈美の家へ連れていけと言い…。")</f>
        <v>「井上尚弥&amp;八重樫東　ダブル世界戦～ボクシングフェス2017　SUPER　2DAYS～」延長の際、放送時間繰り下げの場合あり。　元教え子の圓一重(中村ゆりか)から、不審な電話を受けた磯崎齋(上川隆也)は一重の自宅へ駆けつける。娘の行方が分からないにも関わらず、一重の両親は警察に届けていなかった。  　翌日、磯崎は博物館に休暇届を出した。そんな折、館脇正太郎(藤ヶ谷太輔)と志倉愛理(新川優愛)は九条櫻子(観月ありさ)を訪ねる。1週間後に開かれるシンポジウムで、愛理が発表する資料の確認を磯崎の代理でやってくれるよう頼むためだ。愛理の手土産が功を奏したのか、櫻子はしぶしぶ協力を承諾する。  　その夜、正太郎は街中で若い女性に一重の行方を聞いている磯崎を目撃し、声をかける。それに慌てた磯崎は、何でもないと言うと立ち去ってしまう。心配になった正太郎は、櫻子になら何か話してくれるのではと思い、櫻子に頼み込み、共に磯崎の自宅を訪ねる。  　櫻子と正太郎を部屋に通した磯崎は、とまどいながらも高校の教師をしていた頃の話を始める。当時、一重、西沢二葉(三浦透子)、津々見三奈美(山谷花純)という仲良しの女子生徒の担任をしていたが、ある日、二葉が失踪してしまう。警察と一緒になって探したが、結局二葉の行方は分からず、責任を感じた磯崎は、教師の職を辞した。それから5年が経った今、突然一重から電話が来たため、同じ過ちを繰り返したくない磯崎は必死に一重を探しているのだ。話を聞き終えた櫻子は自分を三奈美の家へ連れていけと言い…。</v>
      </c>
      <c r="N305" s="2" t="str">
        <f>IFERROR(__xludf.DUMMYFUNCTION("""COMPUTED_VALUE"""),"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ME」BuZ"&amp;"Z(SONIC　GROOVE)　    【編成企画】  稲葉直人　    【プロデュース】  森安彩　【演出】  佐藤祐市　  山内大典　    【制作】  フジテレビ　    【制作著作】  共同テレビ")</f>
        <v>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v>
      </c>
      <c r="O305" s="2"/>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row>
    <row r="306" ht="204.75" customHeight="1">
      <c r="A306" s="1">
        <v>1297.0</v>
      </c>
      <c r="B306" s="2" t="s">
        <v>967</v>
      </c>
      <c r="C306" s="2">
        <f>IFERROR(__xludf.DUMMYFUNCTION("split(B306,""_"")"),1704.0)</f>
        <v>1704</v>
      </c>
      <c r="D306" s="2" t="str">
        <f>IFERROR(__xludf.DUMMYFUNCTION("""COMPUTED_VALUE"""),"CX")</f>
        <v>CX</v>
      </c>
      <c r="E306" s="2" t="str">
        <f>IFERROR(__xludf.DUMMYFUNCTION("""COMPUTED_VALUE"""),"日21")</f>
        <v>日21</v>
      </c>
      <c r="F306" s="2" t="s">
        <v>968</v>
      </c>
      <c r="G306" s="2" t="s">
        <v>984</v>
      </c>
      <c r="H306" s="1">
        <v>6.0</v>
      </c>
      <c r="I306" s="1" t="s">
        <v>21</v>
      </c>
      <c r="J306" s="1" t="s">
        <v>11</v>
      </c>
      <c r="K306" s="2" t="s">
        <v>985</v>
      </c>
      <c r="L306" s="2" t="s">
        <v>986</v>
      </c>
      <c r="M306" s="2" t="str">
        <f>IFERROR(__xludf.DUMMYFUNCTION("split(K306,""観月ありさ　"",false)"),"九条櫻子(観月ありさ)は、入院中の叔父・設楽の自宅へ行き、書斎に置かれていたノートを手に取る。それは、法医学者の設楽が担当した事件に関する手記だったが、山路輝彦(高嶋政宏)の弟の事件に該当する月だけが抜けていた。  　その頃、山路は西沢二葉(三浦透子)を殺害した圓一重(中村ゆりか)を取り調べていた。事件の影に一重が付き合っていた男がいるとにらむ山路は、男のことを聞くが、一重は口を割らない。　翌日、磯崎齋(上川隆也)が仕事復帰し、館脇正太郎(藤ヶ谷太輔)や志倉愛理(新川優愛)らは、さりげなく磯崎を元気づける"&amp;"。その夜、正太郎と愛理は、死体遺棄罪が時効だったため釈放された津々見三奈美(山谷花純)に会いに行く。事件を振り返った三奈美は、精神が不安定になった二葉が、死んでドロドロになったら、新しく生まれ変われる、と話していたと証言した。同じ頃、磯崎と面会していた一重も、自分は二葉が望んだ通り肉をドロドロにとかしてやっただけで何も悪いことはしていない、と主張する。  　そんな折、正太郎と愛理は九条家での夕食に招待される。いつも以上に豪華な食事が並び、愛理はテンションが上がる。沢梅(鷲尾真知子)は、今日は年に1度の記念"&amp;"日だと明かす。デザートのプリンを食べた正太郎は、それが亡くなった祖母が大好きだったプリンに似ていると話す。祖母との思い出を披露した正太郎に櫻子は思いもよらないようなことを…。")</f>
        <v>九条櫻子(観月ありさ)は、入院中の叔父・設楽の自宅へ行き、書斎に置かれていたノートを手に取る。それは、法医学者の設楽が担当した事件に関する手記だったが、山路輝彦(高嶋政宏)の弟の事件に該当する月だけが抜けていた。  　その頃、山路は西沢二葉(三浦透子)を殺害した圓一重(中村ゆりか)を取り調べていた。事件の影に一重が付き合っていた男がいるとにらむ山路は、男のことを聞くが、一重は口を割らない。　翌日、磯崎齋(上川隆也)が仕事復帰し、館脇正太郎(藤ヶ谷太輔)や志倉愛理(新川優愛)らは、さりげなく磯崎を元気づける。その夜、正太郎と愛理は、死体遺棄罪が時効だったため釈放された津々見三奈美(山谷花純)に会いに行く。事件を振り返った三奈美は、精神が不安定になった二葉が、死んでドロドロになったら、新しく生まれ変われる、と話していたと証言した。同じ頃、磯崎と面会していた一重も、自分は二葉が望んだ通り肉をドロドロにとかしてやっただけで何も悪いことはしていない、と主張する。  　そんな折、正太郎と愛理は九条家での夕食に招待される。いつも以上に豪華な食事が並び、愛理はテンションが上がる。沢梅(鷲尾真知子)は、今日は年に1度の記念日だと明かす。デザートのプリンを食べた正太郎は、それが亡くなった祖母が大好きだったプリンに似ていると話す。祖母との思い出を披露した正太郎に櫻子は思いもよらないようなことを…。</v>
      </c>
      <c r="N306" s="2" t="str">
        <f>IFERROR(__xludf.DUMMYFUNCTION("""COMPUTED_VALUE"""),"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ME」BuZ"&amp;"Z(SONIC　GROOVE)　    【編成企画】  稲葉直人　    【プロデュース】  森安彩　【演出】  佐藤祐市　  山内大典　    【制作】  フジテレビ　    【制作著作】  共同テレビ")</f>
        <v>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v>
      </c>
      <c r="O306" s="2"/>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row>
    <row r="307" ht="204.75" customHeight="1">
      <c r="A307" s="1">
        <v>1298.0</v>
      </c>
      <c r="B307" s="2" t="s">
        <v>967</v>
      </c>
      <c r="C307" s="2">
        <f>IFERROR(__xludf.DUMMYFUNCTION("split(B307,""_"")"),1704.0)</f>
        <v>1704</v>
      </c>
      <c r="D307" s="2" t="str">
        <f>IFERROR(__xludf.DUMMYFUNCTION("""COMPUTED_VALUE"""),"CX")</f>
        <v>CX</v>
      </c>
      <c r="E307" s="2" t="str">
        <f>IFERROR(__xludf.DUMMYFUNCTION("""COMPUTED_VALUE"""),"日21")</f>
        <v>日21</v>
      </c>
      <c r="F307" s="2" t="s">
        <v>968</v>
      </c>
      <c r="G307" s="2" t="s">
        <v>987</v>
      </c>
      <c r="H307" s="1">
        <v>7.0</v>
      </c>
      <c r="I307" s="1" t="s">
        <v>25</v>
      </c>
      <c r="J307" s="1" t="s">
        <v>11</v>
      </c>
      <c r="K307" s="2" t="s">
        <v>988</v>
      </c>
      <c r="L307" s="2" t="s">
        <v>989</v>
      </c>
      <c r="M307" s="2" t="str">
        <f>IFERROR(__xludf.DUMMYFUNCTION("split(K307,""観月ありさ　"",false)"),"ある晩、九条櫻子(観月ありさ)の邸宅で、館脇正太郎(藤ヶ谷太輔)、磯崎齋(上川隆也)、志倉愛理(新川優愛)、谷上和裕(近藤公園)、山路輝彦(高嶋政宏)、近藤卓也(細田善彦)が食卓を囲んでいた。それぞれ櫻子に相談があったのだが、自分が許可する前に沢梅(鷲尾真知子)が全員を夕飯に誘ってしまったことに、櫻子はため息をもらす。  　食事の後、近藤が気鋭の作曲家・藤岡毅(ペジョンミョン)と同級生だったことが話題に。最近、20年ぶりに再会したのだが、その時に藤岡が自分はもうすぐ呪いによって死ぬと言っていたことが気にな"&amp;"るという。近藤は正太郎に、明日藤岡を訪ねるので、櫻子も一緒に来てくれるよう説得してほしいと頼む。ある考えが浮かんだ正太郎は、翌日、櫻子にうそをついて、ともに藤岡の自宅へ向かう。  　マネジャーの新谷英一(隈部洋平)は、櫻子らの訪問をいぶかしがるが、藤岡は話だけでも聞いてもらおうと言い、呪いのきっかけが半年前に亡くなった叔父だと語り始めた。そんな時、藤岡が激しくせき込む。妻の美幸(高嶋香帆)が背中をさすると、突然、それまで黙っていた九官鳥が「のろいだ」と声をあげる。九官鳥は叔父が飼っていたもので、藤岡の体調"&amp;"が悪くなった頃から、話すようになったという。病院でも異常はないと言われるので、この不調は呪い以外にない、と諦めたように話す藤岡。美幸も、夫を助けてほしいと訴えるが、櫻子は押し黙る…。")</f>
        <v>ある晩、九条櫻子(観月ありさ)の邸宅で、館脇正太郎(藤ヶ谷太輔)、磯崎齋(上川隆也)、志倉愛理(新川優愛)、谷上和裕(近藤公園)、山路輝彦(高嶋政宏)、近藤卓也(細田善彦)が食卓を囲んでいた。それぞれ櫻子に相談があったのだが、自分が許可する前に沢梅(鷲尾真知子)が全員を夕飯に誘ってしまったことに、櫻子はため息をもらす。  　食事の後、近藤が気鋭の作曲家・藤岡毅(ペジョンミョン)と同級生だったことが話題に。最近、20年ぶりに再会したのだが、その時に藤岡が自分はもうすぐ呪いによって死ぬと言っていたことが気になるという。近藤は正太郎に、明日藤岡を訪ねるので、櫻子も一緒に来てくれるよう説得してほしいと頼む。ある考えが浮かんだ正太郎は、翌日、櫻子にうそをついて、ともに藤岡の自宅へ向かう。  　マネジャーの新谷英一(隈部洋平)は、櫻子らの訪問をいぶかしがるが、藤岡は話だけでも聞いてもらおうと言い、呪いのきっかけが半年前に亡くなった叔父だと語り始めた。そんな時、藤岡が激しくせき込む。妻の美幸(高嶋香帆)が背中をさすると、突然、それまで黙っていた九官鳥が「のろいだ」と声をあげる。九官鳥は叔父が飼っていたもので、藤岡の体調が悪くなった頃から、話すようになったという。病院でも異常はないと言われるので、この不調は呪い以外にない、と諦めたように話す藤岡。美幸も、夫を助けてほしいと訴えるが、櫻子は押し黙る…。</v>
      </c>
      <c r="N307" s="2" t="str">
        <f>IFERROR(__xludf.DUMMYFUNCTION("""COMPUTED_VALUE"""),"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ME」BuZ"&amp;"Z(SONIC　GROOVE)　    【編成企画】  稲葉直人　    【プロデュース】  森安彩　【演出】  佐藤祐市　  山内大典　    【制作】  フジテレビ　    【制作著作】  共同テレビ")</f>
        <v>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v>
      </c>
      <c r="O307" s="2"/>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row>
    <row r="308" ht="204.75" customHeight="1">
      <c r="A308" s="1">
        <v>1299.0</v>
      </c>
      <c r="B308" s="2" t="s">
        <v>967</v>
      </c>
      <c r="C308" s="2">
        <f>IFERROR(__xludf.DUMMYFUNCTION("split(B308,""_"")"),1704.0)</f>
        <v>1704</v>
      </c>
      <c r="D308" s="2" t="str">
        <f>IFERROR(__xludf.DUMMYFUNCTION("""COMPUTED_VALUE"""),"CX")</f>
        <v>CX</v>
      </c>
      <c r="E308" s="2" t="str">
        <f>IFERROR(__xludf.DUMMYFUNCTION("""COMPUTED_VALUE"""),"日21")</f>
        <v>日21</v>
      </c>
      <c r="F308" s="2" t="s">
        <v>968</v>
      </c>
      <c r="G308" s="2" t="s">
        <v>990</v>
      </c>
      <c r="H308" s="1">
        <v>8.0</v>
      </c>
      <c r="I308" s="1" t="s">
        <v>29</v>
      </c>
      <c r="J308" s="1" t="s">
        <v>11</v>
      </c>
      <c r="K308" s="2" t="s">
        <v>991</v>
      </c>
      <c r="L308" s="2" t="s">
        <v>992</v>
      </c>
      <c r="M308" s="2" t="str">
        <f>IFERROR(__xludf.DUMMYFUNCTION("split(K308,""観月ありさ　"",false)"),"九条櫻子(観月ありさ)は、入院中の叔父・設楽眞理(柴俊夫)を訪ね、20年前に担当した事件について聞きたいと言う。しかし、事故で仕事に関する記憶をなくしている設楽は、まったく覚えていないと答える。  　そんな折、最近骨の勉強をしている志倉愛理(新川優愛)と館脇正太郎(藤ヶ谷太輔)が櫻子を誘い、3人で山に骨拾いに行くことに。目的は小動物の骨だったが、あろうことか人間の白骨死体を発見してしまう。櫻子は、それが高齢の女性のものだと指摘した。  　同じ頃「蝶形骨」の事件から外された山路輝彦(高嶋政宏)と近藤卓也(細"&amp;"田善彦)は、鑑識の新井隆太(田中聡元)を抱き込み情報を入手し、独自に捜査を続ける。  　別の日、博物館に正太郎の中学の同級生・鴻上百合子(小林涼子)がやってくる。驚く正太郎に百合子は、正太郎が祖母を見つけてくれたと言う。先日、櫻子と愛理と発見した白骨化した女性が百合子の祖母だったのだ。　その後、櫻子の邸宅にやってきた百合子は、祖母が投身自殺を図っていたと警察から言われたことを明かす。祖母は認知症の祖父を1人で介護していたが、弱音を吐かなかったため、百合子ら家族は祖母に任せっきりにしていた。自分のせいだと落"&amp;"ち込む百合子に、櫻子は、後悔など無意味で忘れるのが1番の解決策だと言い放つ。その言葉を聞いた正太郎は、そこに櫻子自身の願いが込められていると思い、櫻子の力になりたいと告げる。")</f>
        <v>九条櫻子(観月ありさ)は、入院中の叔父・設楽眞理(柴俊夫)を訪ね、20年前に担当した事件について聞きたいと言う。しかし、事故で仕事に関する記憶をなくしている設楽は、まったく覚えていないと答える。  　そんな折、最近骨の勉強をしている志倉愛理(新川優愛)と館脇正太郎(藤ヶ谷太輔)が櫻子を誘い、3人で山に骨拾いに行くことに。目的は小動物の骨だったが、あろうことか人間の白骨死体を発見してしまう。櫻子は、それが高齢の女性のものだと指摘した。  　同じ頃「蝶形骨」の事件から外された山路輝彦(高嶋政宏)と近藤卓也(細田善彦)は、鑑識の新井隆太(田中聡元)を抱き込み情報を入手し、独自に捜査を続ける。  　別の日、博物館に正太郎の中学の同級生・鴻上百合子(小林涼子)がやってくる。驚く正太郎に百合子は、正太郎が祖母を見つけてくれたと言う。先日、櫻子と愛理と発見した白骨化した女性が百合子の祖母だったのだ。　その後、櫻子の邸宅にやってきた百合子は、祖母が投身自殺を図っていたと警察から言われたことを明かす。祖母は認知症の祖父を1人で介護していたが、弱音を吐かなかったため、百合子ら家族は祖母に任せっきりにしていた。自分のせいだと落ち込む百合子に、櫻子は、後悔など無意味で忘れるのが1番の解決策だと言い放つ。その言葉を聞いた正太郎は、そこに櫻子自身の願いが込められていると思い、櫻子の力になりたいと告げる。</v>
      </c>
      <c r="N308" s="2" t="str">
        <f>IFERROR(__xludf.DUMMYFUNCTION("""COMPUTED_VALUE"""),"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ME」BuZ"&amp;"Z(SONIC　GROOVE)　    【編成企画】  稲葉直人　    【プロデュース】  森安彩　【演出】  佐藤祐市　  山内大典　    【制作】  フジテレビ　    【制作著作】  共同テレビ")</f>
        <v>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v>
      </c>
      <c r="O308" s="2"/>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row>
    <row r="309" ht="204.75" customHeight="1">
      <c r="A309" s="1">
        <v>1300.0</v>
      </c>
      <c r="B309" s="2" t="s">
        <v>967</v>
      </c>
      <c r="C309" s="2">
        <f>IFERROR(__xludf.DUMMYFUNCTION("split(B309,""_"")"),1704.0)</f>
        <v>1704</v>
      </c>
      <c r="D309" s="2" t="str">
        <f>IFERROR(__xludf.DUMMYFUNCTION("""COMPUTED_VALUE"""),"CX")</f>
        <v>CX</v>
      </c>
      <c r="E309" s="2" t="str">
        <f>IFERROR(__xludf.DUMMYFUNCTION("""COMPUTED_VALUE"""),"日21")</f>
        <v>日21</v>
      </c>
      <c r="F309" s="2" t="s">
        <v>968</v>
      </c>
      <c r="G309" s="2" t="s">
        <v>993</v>
      </c>
      <c r="H309" s="1">
        <v>9.0</v>
      </c>
      <c r="I309" s="1" t="s">
        <v>33</v>
      </c>
      <c r="J309" s="1" t="s">
        <v>11</v>
      </c>
      <c r="K309" s="2" t="s">
        <v>994</v>
      </c>
      <c r="L309" s="2" t="s">
        <v>995</v>
      </c>
      <c r="M309" s="2" t="str">
        <f>IFERROR(__xludf.DUMMYFUNCTION("split(K309,""観月ありさ　"",false)"),"九条櫻子(観月ありさ)は、臼渕沙月(櫻井淳子)に刺された館脇正太郎(藤ヶ谷太輔)のために救急車を呼び止血も行った。しかし、正太郎の意識は遠のいていく。  　正太郎不在のなか、志倉愛理(新川優愛)ら博物館スタッフは通常通り働いていた。そんな折、磯崎齋(上川隆也)にオーストラリアの博物館への引き抜きの話が…。  　櫻子は、アトリエに閉じこもり、ろくに食事すら取ろうとしない。そこへ沢梅(鷲尾真知子)が設楽眞理(柴俊夫)宛ての書類を持ってくる。その中に、山路輝彦(高嶋政宏)の弟・陽介から設楽に宛てた手紙があり、3"&amp;"0年前に神奈川県藤浦市で見つかった「頭部のない白骨遺体」についての新聞記事も同封されていた。  　一方の山路は、20年前に起こった沙月の姉・日和の殺害事件の再捜査を申し出るが、係長(ヨシダ朝)に一蹴される。近藤卓也(細田善彦)は、自分たちを事件に介入させない力が働いているのでは、と山路に話す。そんな所へ沙月が来て、自分が日和や仁村聡を殺した、と自供を始める。沙月の背後に黒幕がいるとにらむ山路は、その存在を聞きだそうとするが、沙月は自分ひとりの犯行だと主張する。  　その夜、櫻子の邸宅に山路がやってくる。櫻"&amp;"子は、陽介が設楽に託した記事や資料を見せ、陽介は、20年前の「蝶形骨」を抜き取られた事件と30年前の事件が同一犯によるものだと疑い捜査を訴えたが、署内で退けられたのだろうと話した。")</f>
        <v>九条櫻子(観月ありさ)は、臼渕沙月(櫻井淳子)に刺された館脇正太郎(藤ヶ谷太輔)のために救急車を呼び止血も行った。しかし、正太郎の意識は遠のいていく。  　正太郎不在のなか、志倉愛理(新川優愛)ら博物館スタッフは通常通り働いていた。そんな折、磯崎齋(上川隆也)にオーストラリアの博物館への引き抜きの話が…。  　櫻子は、アトリエに閉じこもり、ろくに食事すら取ろうとしない。そこへ沢梅(鷲尾真知子)が設楽眞理(柴俊夫)宛ての書類を持ってくる。その中に、山路輝彦(高嶋政宏)の弟・陽介から設楽に宛てた手紙があり、30年前に神奈川県藤浦市で見つかった「頭部のない白骨遺体」についての新聞記事も同封されていた。  　一方の山路は、20年前に起こった沙月の姉・日和の殺害事件の再捜査を申し出るが、係長(ヨシダ朝)に一蹴される。近藤卓也(細田善彦)は、自分たちを事件に介入させない力が働いているのでは、と山路に話す。そんな所へ沙月が来て、自分が日和や仁村聡を殺した、と自供を始める。沙月の背後に黒幕がいるとにらむ山路は、その存在を聞きだそうとするが、沙月は自分ひとりの犯行だと主張する。  　その夜、櫻子の邸宅に山路がやってくる。櫻子は、陽介が設楽に託した記事や資料を見せ、陽介は、20年前の「蝶形骨」を抜き取られた事件と30年前の事件が同一犯によるものだと疑い捜査を訴えたが、署内で退けられたのだろうと話した。</v>
      </c>
      <c r="N309" s="2" t="str">
        <f>IFERROR(__xludf.DUMMYFUNCTION("""COMPUTED_VALUE"""),"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ME」BuZ"&amp;"Z(SONIC　GROOVE)　    【編成企画】  稲葉直人　    【プロデュース】  森安彩　【演出】  佐藤祐市　  山内大典　    【制作】  フジテレビ　    【制作著作】  共同テレビ")</f>
        <v>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v>
      </c>
      <c r="O309" s="2"/>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row>
    <row r="310" ht="204.75" customHeight="1">
      <c r="A310" s="1">
        <v>1301.0</v>
      </c>
      <c r="B310" s="2" t="s">
        <v>967</v>
      </c>
      <c r="C310" s="2">
        <f>IFERROR(__xludf.DUMMYFUNCTION("split(B310,""_"")"),1704.0)</f>
        <v>1704</v>
      </c>
      <c r="D310" s="2" t="str">
        <f>IFERROR(__xludf.DUMMYFUNCTION("""COMPUTED_VALUE"""),"CX")</f>
        <v>CX</v>
      </c>
      <c r="E310" s="2" t="str">
        <f>IFERROR(__xludf.DUMMYFUNCTION("""COMPUTED_VALUE"""),"日21")</f>
        <v>日21</v>
      </c>
      <c r="F310" s="2" t="s">
        <v>968</v>
      </c>
      <c r="G310" s="2" t="s">
        <v>996</v>
      </c>
      <c r="H310" s="1">
        <v>10.0</v>
      </c>
      <c r="I310" s="1" t="s">
        <v>37</v>
      </c>
      <c r="J310" s="1" t="s">
        <v>11</v>
      </c>
      <c r="K310" s="2" t="s">
        <v>997</v>
      </c>
      <c r="L310" s="2" t="s">
        <v>998</v>
      </c>
      <c r="M310" s="2" t="str">
        <f>IFERROR(__xludf.DUMMYFUNCTION("split(K310,""観月ありさ　"",false)"),"九条櫻子(観月ありさ)は、館脇正太郎(藤ヶ谷太輔)に青葉英世(林泰文)の旧姓が「間宮優」であり、青葉こそが一連の「蝶形骨事件」の真犯人である可能性が高いと告げた。山路輝彦(高嶋政宏)も櫻子と同じ見解だと言い、近藤卓也(細田善彦)に青葉の身辺を捜査させているが、決定的な証拠がないため、逮捕できないと嘆く。しかし、必ず正体を暴くから櫻子と正太郎はこれ以上動くなと命じる。  　同じ頃、磯崎齋(上川隆也)のオーストラリア赴任の件を知った谷上和裕(近藤公園)は、そのことを正太郎と志倉愛理(新川優愛)に話す。  　櫻"&amp;"子は、死期が迫る設楽眞理(柴俊夫)を見舞い、青葉の事件のことを問いただす。設楽の記憶が戻っていることに気付いた櫻子は、思い出したことを話してくれと迫るが、設楽は、これは自分の事件で櫻子には無理だと返した。  　その足で青葉の研究室を訪ねた櫻子は、青葉が手を染めたと思われる事件の概要を話し、目的は何だとぶつける。青葉は、仮にそんな犯人がいたとして、その犯行はそれほど悪いことかと他人事のように言う。  　青葉との対面で心を乱された櫻子が邸宅に戻ると、アトリエに正太郎がいた。正太郎は櫻子に声をかけるが、櫻子は自"&amp;"分は家族にさえ必要とされていなかったと悲観的に話す。正太郎はそれを否定し、櫻子に出会う前の自分には戻れないほど櫻子は自分にとって大きな存在なのだと力説する。それを聞いた櫻子は…。")</f>
        <v>九条櫻子(観月ありさ)は、館脇正太郎(藤ヶ谷太輔)に青葉英世(林泰文)の旧姓が「間宮優」であり、青葉こそが一連の「蝶形骨事件」の真犯人である可能性が高いと告げた。山路輝彦(高嶋政宏)も櫻子と同じ見解だと言い、近藤卓也(細田善彦)に青葉の身辺を捜査させているが、決定的な証拠がないため、逮捕できないと嘆く。しかし、必ず正体を暴くから櫻子と正太郎はこれ以上動くなと命じる。  　同じ頃、磯崎齋(上川隆也)のオーストラリア赴任の件を知った谷上和裕(近藤公園)は、そのことを正太郎と志倉愛理(新川優愛)に話す。  　櫻子は、死期が迫る設楽眞理(柴俊夫)を見舞い、青葉の事件のことを問いただす。設楽の記憶が戻っていることに気付いた櫻子は、思い出したことを話してくれと迫るが、設楽は、これは自分の事件で櫻子には無理だと返した。  　その足で青葉の研究室を訪ねた櫻子は、青葉が手を染めたと思われる事件の概要を話し、目的は何だとぶつける。青葉は、仮にそんな犯人がいたとして、その犯行はそれほど悪いことかと他人事のように言う。  　青葉との対面で心を乱された櫻子が邸宅に戻ると、アトリエに正太郎がいた。正太郎は櫻子に声をかけるが、櫻子は自分は家族にさえ必要とされていなかったと悲観的に話す。正太郎はそれを否定し、櫻子に出会う前の自分には戻れないほど櫻子は自分にとって大きな存在なのだと力説する。それを聞いた櫻子は…。</v>
      </c>
      <c r="N310" s="2" t="str">
        <f>IFERROR(__xludf.DUMMYFUNCTION("""COMPUTED_VALUE"""),"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ME」BuZ"&amp;"Z(SONIC　GROOVE)　    【編成企画】  稲葉直人　    【プロデュース】  森安彩　【演出】  佐藤祐市　  山内大典　    【制作】  フジテレビ　    【制作著作】  共同テレビ")</f>
        <v>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v>
      </c>
      <c r="O310" s="2"/>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row>
    <row r="311" ht="204.75" customHeight="1">
      <c r="A311" s="1">
        <v>1312.0</v>
      </c>
      <c r="B311" s="2" t="s">
        <v>999</v>
      </c>
      <c r="C311" s="2">
        <f>IFERROR(__xludf.DUMMYFUNCTION("split(B311,""_"")"),1701.0)</f>
        <v>1701</v>
      </c>
      <c r="D311" s="2" t="str">
        <f>IFERROR(__xludf.DUMMYFUNCTION("""COMPUTED_VALUE"""),"CX")</f>
        <v>CX</v>
      </c>
      <c r="E311" s="2" t="str">
        <f>IFERROR(__xludf.DUMMYFUNCTION("""COMPUTED_VALUE"""),"月21")</f>
        <v>月21</v>
      </c>
      <c r="F311" s="2" t="s">
        <v>1000</v>
      </c>
      <c r="G311" s="2" t="s">
        <v>1001</v>
      </c>
      <c r="H311" s="1">
        <v>1.0</v>
      </c>
      <c r="I311" s="1" t="s">
        <v>3</v>
      </c>
      <c r="J311" s="1" t="s">
        <v>4</v>
      </c>
      <c r="K311" s="2" t="s">
        <v>1002</v>
      </c>
      <c r="L311" s="2" t="s">
        <v>1003</v>
      </c>
      <c r="M311" s="2" t="str">
        <f>IFERROR(__xludf.DUMMYFUNCTION("split(K311,""西内まりや　"",false)"),"【番組公式HP】  http://www.fujitv.co.jp/ashita_kekkonshimasu/index.html　    【番組公式Twitter】  https://twitter.com/totsuzen_fuji　    【LINE】  @totsuzendesuga高梨あすか(西内まりや)はいずみ銀行の法人営業課で働く銀行員。金融に関する数々の資格を持つ仕事熱心な女性だ。そんなあすかの夢は、結婚して専業主婦になること。27歳の誕生日、5年付き合っている恋人と水族館でデートしたあす"&amp;"かは期待に胸を膨らませる。が、待ち受けていたのはプロポーズではなく別れ話だった。  数日後、あすかは、同僚の桐山莉央(中村アン)、牧瀬桃子(岸井ゆきの)、小野広紀(森田甘路)と一緒に結婚式に出席する。そこに現れたのは、披露宴の司会を務めるNY帰りのTNNテレビ・アナウンサー“ナナリュー""こと名波竜(山村隆太)だ。  あすかは、プールサイドで行われたブーケトスに参加した。が、ブーケを取ろうとしたあすかは、誤ってプールに落ちてしまう。名波は、とっさにそのハプニングを笑いに変え、会場を盛り上げたが、あすかは、"&amp;"幸せになりたい人の気持ちを笑うなんて、と名波に怒る。  何事にもめげないあすかは、ランニングをしながら行う婚活イベントに参加する。一方、名波は、先輩アナウンサーの三上響(沢村一樹)がメインMCを務める朝の情報番組に1年ぶりに復帰する。  ある夜、莉央たちは、あすかを励ますために飲みに誘い、その流れで小野のマンションを訪れる。酔いつぶれ、早朝目を覚ましたあすかは、寝ている小野を起こそうとした。だがその男性は小野ではなく名波だった。そしてあすかと名波は・・・。")</f>
        <v>【番組公式HP】  http://www.fujitv.co.jp/ashita_kekkonshimasu/index.html　    【番組公式Twitter】  https://twitter.com/totsuzen_fuji　    【LINE】  @totsuzendesuga高梨あすか(西内まりや)はいずみ銀行の法人営業課で働く銀行員。金融に関する数々の資格を持つ仕事熱心な女性だ。そんなあすかの夢は、結婚して専業主婦になること。27歳の誕生日、5年付き合っている恋人と水族館でデートしたあすかは期待に胸を膨らませる。が、待ち受けていたのはプロポーズではなく別れ話だった。  数日後、あすかは、同僚の桐山莉央(中村アン)、牧瀬桃子(岸井ゆきの)、小野広紀(森田甘路)と一緒に結婚式に出席する。そこに現れたのは、披露宴の司会を務めるNY帰りのTNNテレビ・アナウンサー“ナナリュー"こと名波竜(山村隆太)だ。  あすかは、プールサイドで行われたブーケトスに参加した。が、ブーケを取ろうとしたあすかは、誤ってプールに落ちてしまう。名波は、とっさにそのハプニングを笑いに変え、会場を盛り上げたが、あすかは、幸せになりたい人の気持ちを笑うなんて、と名波に怒る。  何事にもめげないあすかは、ランニングをしながら行う婚活イベントに参加する。一方、名波は、先輩アナウンサーの三上響(沢村一樹)がメインMCを務める朝の情報番組に1年ぶりに復帰する。  ある夜、莉央たちは、あすかを励ますために飲みに誘い、その流れで小野のマンションを訪れる。酔いつぶれ、早朝目を覚ましたあすかは、寝ている小野を起こそうとした。だがその男性は小野ではなく名波だった。そしてあすかと名波は・・・。</v>
      </c>
      <c r="N311" s="2" t="str">
        <f>IFERROR(__xludf.DUMMYFUNCTION("""COMPUTED_VALUE"""),"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【プロデュース】  後藤博幸　  大木綾子　    【演出】  並木道子　  石"&amp;"井祐介　    【制作著作】  フジテレビ")</f>
        <v>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【プロデュース】  後藤博幸　  大木綾子　    【演出】  並木道子　  石井祐介　    【制作著作】  フジテレビ</v>
      </c>
      <c r="O311" s="2"/>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row>
    <row r="312" ht="204.75" customHeight="1">
      <c r="A312" s="1">
        <v>1313.0</v>
      </c>
      <c r="B312" s="2" t="s">
        <v>999</v>
      </c>
      <c r="C312" s="2">
        <f>IFERROR(__xludf.DUMMYFUNCTION("split(B312,""_"")"),1701.0)</f>
        <v>1701</v>
      </c>
      <c r="D312" s="2" t="str">
        <f>IFERROR(__xludf.DUMMYFUNCTION("""COMPUTED_VALUE"""),"CX")</f>
        <v>CX</v>
      </c>
      <c r="E312" s="2" t="str">
        <f>IFERROR(__xludf.DUMMYFUNCTION("""COMPUTED_VALUE"""),"月21")</f>
        <v>月21</v>
      </c>
      <c r="F312" s="2" t="s">
        <v>1000</v>
      </c>
      <c r="G312" s="2" t="s">
        <v>1004</v>
      </c>
      <c r="H312" s="1">
        <v>2.0</v>
      </c>
      <c r="I312" s="1" t="s">
        <v>7</v>
      </c>
      <c r="J312" s="1" t="s">
        <v>11</v>
      </c>
      <c r="K312" s="2" t="s">
        <v>1005</v>
      </c>
      <c r="L312" s="2" t="s">
        <v>1006</v>
      </c>
      <c r="M312" s="2" t="str">
        <f>IFERROR(__xludf.DUMMYFUNCTION("split(K312,""西内まりや　"",false)"),"【番組公式HP】  http://www.fujitv.co.jp/ashita_kekkonshimasu/index.html　    【番組公式Twitter】  https://twitter.com/totsuzen_fuji　    【LINE】  @totsuzendesuga結婚して専業主婦になることを夢見る高梨あすか(西内まりや)は、TNNテレビのアナウンサー“ナナリュー""こと名波竜(山村隆太)から「好きになってもいい?」と告白される。だが、名波には結婚する気がないことを知ると、キスし"&amp;"ようと近づいてきた彼の顔を押しのけ、帰ってしまう。  出勤前、あすかは、名波が三上響(沢村一樹)とともにMCを務める情報番組『モーニングYELL』を見ていた。そこで芸能人の結婚スクープが扱われた際、三上から結婚願望はあるのかと問われた名波は「出会いがあれば是非」と答え、あすかを呆れさせる。  外回りでTNNの近くを訪れたあすかは、いずみ証券のエース営業マン・神谷暁人(山崎育三郎)に出会う。神谷は、BSの経済番組に出演するため、TNNテレビで打ち合わせをしていたらしい。そこで神谷は、あすかを誘って一緒に行列"&amp;"店の人気スイーツを買いに行く。あすかが神谷と別れて駅へ向かおうとすると、目の前に名波がいた。名波から神谷のことを尋ねられたあすかは、仕事で世話になっている人だと説明するが…。  あすかは、同僚の桐山莉央(中村アン)、牧瀬桃子(岸井ゆきの)と、小野広紀(森田甘路)のマンションで開かれた飲み会に参加する。そこに、小野の部屋に居候中の名波が帰ってきた。小野から、あすかたちが婚活会に参加したと聞かされていた名波は「なんかムカついた」とあすかに告げ・・・。")</f>
        <v>【番組公式HP】  http://www.fujitv.co.jp/ashita_kekkonshimasu/index.html　    【番組公式Twitter】  https://twitter.com/totsuzen_fuji　    【LINE】  @totsuzendesuga結婚して専業主婦になることを夢見る高梨あすか(西内まりや)は、TNNテレビのアナウンサー“ナナリュー"こと名波竜(山村隆太)から「好きになってもいい?」と告白される。だが、名波には結婚する気がないことを知ると、キスしようと近づいてきた彼の顔を押しのけ、帰ってしまう。  出勤前、あすかは、名波が三上響(沢村一樹)とともにMCを務める情報番組『モーニングYELL』を見ていた。そこで芸能人の結婚スクープが扱われた際、三上から結婚願望はあるのかと問われた名波は「出会いがあれば是非」と答え、あすかを呆れさせる。  外回りでTNNの近くを訪れたあすかは、いずみ証券のエース営業マン・神谷暁人(山崎育三郎)に出会う。神谷は、BSの経済番組に出演するため、TNNテレビで打ち合わせをしていたらしい。そこで神谷は、あすかを誘って一緒に行列店の人気スイーツを買いに行く。あすかが神谷と別れて駅へ向かおうとすると、目の前に名波がいた。名波から神谷のことを尋ねられたあすかは、仕事で世話になっている人だと説明するが…。  あすかは、同僚の桐山莉央(中村アン)、牧瀬桃子(岸井ゆきの)と、小野広紀(森田甘路)のマンションで開かれた飲み会に参加する。そこに、小野の部屋に居候中の名波が帰ってきた。小野から、あすかたちが婚活会に参加したと聞かされていた名波は「なんかムカついた」とあすかに告げ・・・。</v>
      </c>
      <c r="N312" s="2" t="str">
        <f>IFERROR(__xludf.DUMMYFUNCTION("""COMPUTED_VALUE"""),"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【"&amp;"プロデュース】  後藤博幸　  大木綾子　    【演出】  並木道子　  石井祐介　    【制作著作】  フジテレビ")</f>
        <v>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v>
      </c>
      <c r="O312" s="2"/>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row>
    <row r="313" ht="204.75" customHeight="1">
      <c r="A313" s="1">
        <v>1314.0</v>
      </c>
      <c r="B313" s="2" t="s">
        <v>999</v>
      </c>
      <c r="C313" s="2">
        <f>IFERROR(__xludf.DUMMYFUNCTION("split(B313,""_"")"),1701.0)</f>
        <v>1701</v>
      </c>
      <c r="D313" s="2" t="str">
        <f>IFERROR(__xludf.DUMMYFUNCTION("""COMPUTED_VALUE"""),"CX")</f>
        <v>CX</v>
      </c>
      <c r="E313" s="2" t="str">
        <f>IFERROR(__xludf.DUMMYFUNCTION("""COMPUTED_VALUE"""),"月21")</f>
        <v>月21</v>
      </c>
      <c r="F313" s="2" t="s">
        <v>1000</v>
      </c>
      <c r="G313" s="2" t="s">
        <v>1007</v>
      </c>
      <c r="H313" s="1">
        <v>3.0</v>
      </c>
      <c r="I313" s="1" t="s">
        <v>10</v>
      </c>
      <c r="J313" s="1" t="s">
        <v>11</v>
      </c>
      <c r="K313" s="2" t="s">
        <v>1008</v>
      </c>
      <c r="L313" s="2" t="s">
        <v>1009</v>
      </c>
      <c r="M313" s="2" t="str">
        <f>IFERROR(__xludf.DUMMYFUNCTION("split(K313,""西内まりや　"",false)"),"【番組公式HP】  http://www.fujitv.co.jp/ashita_kekkonshimasu/index.html　    【番組公式Twitter】  https://twitter.com/totsuzen_fuji　    【LINE】  @totsuzendesugaあすか(西内まりや)は、神谷(山崎育三郎)からプロポーズされる。莉央(中村アン)、桃子(岸井ゆきの)とともに香奈(椿鬼奴)の店『Luz』を訪れたあすかは、それをみんなに打ち明けた。莉央たちは、神谷が専業主婦になりたいと"&amp;"いうあすかの希望も叶えてくれると聞き「結婚しちゃえ」とはやし立てる。  一方、名波(山村隆太)は、あすかの実家に泊まったときのことを小野(森田甘路)に話す。名波いわく、自分の家とは違い、普段から冗談を言い合うようなあすかの両親の姿に驚いたらしい。  そんな折、あすかは「時間があれば約束をしていた食事を作りに行く」と名波にメールをする。名波から「明後日なら大丈夫」という返信をもらったあすかは、莉央たちも誘い、準備を進める。  その当日、あすかは、仕事で遅くなるという小野から鍵を預かり、彼のマンションで料理を"&amp;"作り始める。すると、莉央と桃子から、行けなくなったとの連絡が。実は、小野たちは、あすかと名波をふたりだけにしようと画策していた。ほどなく、名波が帰ってくる。あすかと名波は、ワインを飲みながら楽しい時間を過ごし…。  別の日、あすかは、上司からの指示で神谷と一緒にゴルフ接待に出かける。その帰り、あすかたちは『いまどきのカップルの結婚事情』というテーマで街頭取材を申し込まれる。あすかが断る前に、勝手にOKしてしまう神谷。だが、そのインタビューアーがなんと名波で…。")</f>
        <v>【番組公式HP】  http://www.fujitv.co.jp/ashita_kekkonshimasu/index.html　    【番組公式Twitter】  https://twitter.com/totsuzen_fuji　    【LINE】  @totsuzendesugaあすか(西内まりや)は、神谷(山崎育三郎)からプロポーズされる。莉央(中村アン)、桃子(岸井ゆきの)とともに香奈(椿鬼奴)の店『Luz』を訪れたあすかは、それをみんなに打ち明けた。莉央たちは、神谷が専業主婦になりたいというあすかの希望も叶えてくれると聞き「結婚しちゃえ」とはやし立てる。  一方、名波(山村隆太)は、あすかの実家に泊まったときのことを小野(森田甘路)に話す。名波いわく、自分の家とは違い、普段から冗談を言い合うようなあすかの両親の姿に驚いたらしい。  そんな折、あすかは「時間があれば約束をしていた食事を作りに行く」と名波にメールをする。名波から「明後日なら大丈夫」という返信をもらったあすかは、莉央たちも誘い、準備を進める。  その当日、あすかは、仕事で遅くなるという小野から鍵を預かり、彼のマンションで料理を作り始める。すると、莉央と桃子から、行けなくなったとの連絡が。実は、小野たちは、あすかと名波をふたりだけにしようと画策していた。ほどなく、名波が帰ってくる。あすかと名波は、ワインを飲みながら楽しい時間を過ごし…。  別の日、あすかは、上司からの指示で神谷と一緒にゴルフ接待に出かける。その帰り、あすかたちは『いまどきのカップルの結婚事情』というテーマで街頭取材を申し込まれる。あすかが断る前に、勝手にOKしてしまう神谷。だが、そのインタビューアーがなんと名波で…。</v>
      </c>
      <c r="N313" s="2" t="str">
        <f>IFERROR(__xludf.DUMMYFUNCTION("""COMPUTED_VALUE"""),"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【"&amp;"プロデュース】  後藤博幸　  大木綾子　    【演出】  並木道子　  石井祐介　    【制作著作】  フジテレビ")</f>
        <v>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v>
      </c>
      <c r="O313" s="2"/>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row>
    <row r="314" ht="204.75" customHeight="1">
      <c r="A314" s="1">
        <v>1315.0</v>
      </c>
      <c r="B314" s="2" t="s">
        <v>999</v>
      </c>
      <c r="C314" s="2">
        <f>IFERROR(__xludf.DUMMYFUNCTION("split(B314,""_"")"),1701.0)</f>
        <v>1701</v>
      </c>
      <c r="D314" s="2" t="str">
        <f>IFERROR(__xludf.DUMMYFUNCTION("""COMPUTED_VALUE"""),"CX")</f>
        <v>CX</v>
      </c>
      <c r="E314" s="2" t="str">
        <f>IFERROR(__xludf.DUMMYFUNCTION("""COMPUTED_VALUE"""),"月21")</f>
        <v>月21</v>
      </c>
      <c r="F314" s="2" t="s">
        <v>1000</v>
      </c>
      <c r="G314" s="2" t="s">
        <v>1010</v>
      </c>
      <c r="H314" s="1">
        <v>4.0</v>
      </c>
      <c r="I314" s="1" t="s">
        <v>14</v>
      </c>
      <c r="J314" s="1" t="s">
        <v>11</v>
      </c>
      <c r="K314" s="2" t="s">
        <v>1011</v>
      </c>
      <c r="L314" s="2" t="s">
        <v>1012</v>
      </c>
      <c r="M314" s="2" t="str">
        <f>IFERROR(__xludf.DUMMYFUNCTION("split(K314,""西内まりや　"",false)"),"【番組公式HP】  http://www.fujitv.co.jp/ashita_kekkonshimasu/index.html　    【番組公式Twitter】  https://twitter.com/totsuzen_fuji　    【LINE】  @totsuzendesugaあすか(西内まりや)と名波(山村隆太)は「一緒にいたい」というお互いの思いを確認し合い、交際を始める。  同じころ、舞台俳優である夕子(高岡早紀)の夫が若手女優と不倫関係にあるというスキャンダルが報じられる。『モーニン"&amp;"グYELL』のゼネラルプロデューサー・氷室(杉本哲太)は、この騒動に巻き込まれないよう名波に忠告する。  名波は、あすかと交際を始めたことを先輩の三上(沢村一樹)に報告した。三上は、気を付けるよう助言するとともに「ここならだれにも邪魔されない」といってスパの紹介券を手渡す。さっそくスパを訪れ、ふたりだけの時間を過ごすあすかと名波。すると、名波のスマートフォンに、夕子から「もう私、ダメみたい」というメッセージが送られてくる。夕子のことが心配になった名波は、あすかを残して彼女の元へと向かってしまう。  夕子は"&amp;"、やってきた名波に「今夜だけ一緒にいてほしい」と懇願する。名波は、一度席を外してあすかに電話するが、彼女が出なかったため「今日はごめん」とメッセージを送った。名波からの着信に気づいたあすかは、彼に電話をする。ところが夕子は、名波が席を外していたのをいいことに、勝手に電話を切って着信履歴も削除してしまう。  そんな折、あすかが神谷(山崎育三郎)と一緒に受けた街頭インタビューが放送され、驚く典子(石野真子)たち高梨家の面々。あすかが勤務するいずみ銀行内も大騒ぎになり…。")</f>
        <v>【番組公式HP】  http://www.fujitv.co.jp/ashita_kekkonshimasu/index.html　    【番組公式Twitter】  https://twitter.com/totsuzen_fuji　    【LINE】  @totsuzendesugaあすか(西内まりや)と名波(山村隆太)は「一緒にいたい」というお互いの思いを確認し合い、交際を始める。  同じころ、舞台俳優である夕子(高岡早紀)の夫が若手女優と不倫関係にあるというスキャンダルが報じられる。『モーニングYELL』のゼネラルプロデューサー・氷室(杉本哲太)は、この騒動に巻き込まれないよう名波に忠告する。  名波は、あすかと交際を始めたことを先輩の三上(沢村一樹)に報告した。三上は、気を付けるよう助言するとともに「ここならだれにも邪魔されない」といってスパの紹介券を手渡す。さっそくスパを訪れ、ふたりだけの時間を過ごすあすかと名波。すると、名波のスマートフォンに、夕子から「もう私、ダメみたい」というメッセージが送られてくる。夕子のことが心配になった名波は、あすかを残して彼女の元へと向かってしまう。  夕子は、やってきた名波に「今夜だけ一緒にいてほしい」と懇願する。名波は、一度席を外してあすかに電話するが、彼女が出なかったため「今日はごめん」とメッセージを送った。名波からの着信に気づいたあすかは、彼に電話をする。ところが夕子は、名波が席を外していたのをいいことに、勝手に電話を切って着信履歴も削除してしまう。  そんな折、あすかが神谷(山崎育三郎)と一緒に受けた街頭インタビューが放送され、驚く典子(石野真子)たち高梨家の面々。あすかが勤務するいずみ銀行内も大騒ぎになり…。</v>
      </c>
      <c r="N314" s="2" t="str">
        <f>IFERROR(__xludf.DUMMYFUNCTION("""COMPUTED_VALUE"""),"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【"&amp;"プロデュース】  後藤博幸　  大木綾子　    【演出】  並木道子　  石井祐介　    【制作著作】  フジテレビ")</f>
        <v>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v>
      </c>
      <c r="O314" s="2"/>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row>
    <row r="315" ht="204.75" customHeight="1">
      <c r="A315" s="1">
        <v>1316.0</v>
      </c>
      <c r="B315" s="2" t="s">
        <v>999</v>
      </c>
      <c r="C315" s="2">
        <f>IFERROR(__xludf.DUMMYFUNCTION("split(B315,""_"")"),1701.0)</f>
        <v>1701</v>
      </c>
      <c r="D315" s="2" t="str">
        <f>IFERROR(__xludf.DUMMYFUNCTION("""COMPUTED_VALUE"""),"CX")</f>
        <v>CX</v>
      </c>
      <c r="E315" s="2" t="str">
        <f>IFERROR(__xludf.DUMMYFUNCTION("""COMPUTED_VALUE"""),"月21")</f>
        <v>月21</v>
      </c>
      <c r="F315" s="2" t="s">
        <v>1000</v>
      </c>
      <c r="G315" s="2" t="s">
        <v>1013</v>
      </c>
      <c r="H315" s="1">
        <v>5.0</v>
      </c>
      <c r="I315" s="1" t="s">
        <v>17</v>
      </c>
      <c r="J315" s="1" t="s">
        <v>11</v>
      </c>
      <c r="K315" s="2" t="s">
        <v>1014</v>
      </c>
      <c r="L315" s="2" t="s">
        <v>1015</v>
      </c>
      <c r="M315" s="2" t="str">
        <f>IFERROR(__xludf.DUMMYFUNCTION("split(K315,""西内まりや　"",false)"),"【番組公式HP】  http://www.fujitv.co.jp/ashita_kekkonshimasu/index.html　    【番組公式Twitter】  https://twitter.com/totsuzen_fuji　    【LINE】  @totsuzendesuga打ち合わせを終えたあすか(西内まりや)は、神谷(山崎育三郎)に小野(森田甘路)のマンションまで送ってもらう。ところがそこで、神谷は、いきなりあすかにキスをして彼女を怒らせる。実は神谷は、帰宅途中だった名波(山村隆太)が"&amp;"近くにいて、その光景を見ていることに気づいていた。  あすかは、莉央(中村アン)や桃子(岸井ゆきの)と一緒に小野の部屋でお好み焼きパーティーをする。やたらと明るく振る舞っているあすかをそっと見つめる名波。その席で小野や桃子らは、今度はみんなであすかの実家に集まろうと盛り上がる。  別の日、あすかは上司から、いずみ証券と新しく始める共同プロジェクトを担当しないか、と打診される。3年ほどのプロジェクトで、キャリアアップにもつながるという。  数日後、莉央たちは、約束通りあすかの実家を訪れる。典子(石野真子)と"&amp;"新太郎(古舘寛治)は、大歓迎でみんなを迎え入れた。だが、名波だけは、夕子(高岡早紀)の都合で番組の収録のスケジュールが変更になり、結局参加できなくなってしまう。  そんななか、名波は、インフルエンザで休むことになった三上(沢村一樹)の代役で、経済番組の司会を頼まれる。そこで名波は、出演者のひとり、神谷の控室にあいさつに行くが…。")</f>
        <v>【番組公式HP】  http://www.fujitv.co.jp/ashita_kekkonshimasu/index.html　    【番組公式Twitter】  https://twitter.com/totsuzen_fuji　    【LINE】  @totsuzendesuga打ち合わせを終えたあすか(西内まりや)は、神谷(山崎育三郎)に小野(森田甘路)のマンションまで送ってもらう。ところがそこで、神谷は、いきなりあすかにキスをして彼女を怒らせる。実は神谷は、帰宅途中だった名波(山村隆太)が近くにいて、その光景を見ていることに気づいていた。  あすかは、莉央(中村アン)や桃子(岸井ゆきの)と一緒に小野の部屋でお好み焼きパーティーをする。やたらと明るく振る舞っているあすかをそっと見つめる名波。その席で小野や桃子らは、今度はみんなであすかの実家に集まろうと盛り上がる。  別の日、あすかは上司から、いずみ証券と新しく始める共同プロジェクトを担当しないか、と打診される。3年ほどのプロジェクトで、キャリアアップにもつながるという。  数日後、莉央たちは、約束通りあすかの実家を訪れる。典子(石野真子)と新太郎(古舘寛治)は、大歓迎でみんなを迎え入れた。だが、名波だけは、夕子(高岡早紀)の都合で番組の収録のスケジュールが変更になり、結局参加できなくなってしまう。  そんななか、名波は、インフルエンザで休むことになった三上(沢村一樹)の代役で、経済番組の司会を頼まれる。そこで名波は、出演者のひとり、神谷の控室にあいさつに行くが…。</v>
      </c>
      <c r="N315" s="2" t="str">
        <f>IFERROR(__xludf.DUMMYFUNCTION("""COMPUTED_VALUE"""),"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【"&amp;"プロデュース】  後藤博幸　  大木綾子　    【演出】  並木道子　  石井祐介　    【制作著作】  フジテレビ")</f>
        <v>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v>
      </c>
      <c r="O315" s="2"/>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row>
    <row r="316" ht="204.75" customHeight="1">
      <c r="A316" s="1">
        <v>1317.0</v>
      </c>
      <c r="B316" s="2" t="s">
        <v>999</v>
      </c>
      <c r="C316" s="2">
        <f>IFERROR(__xludf.DUMMYFUNCTION("split(B316,""_"")"),1701.0)</f>
        <v>1701</v>
      </c>
      <c r="D316" s="2" t="str">
        <f>IFERROR(__xludf.DUMMYFUNCTION("""COMPUTED_VALUE"""),"CX")</f>
        <v>CX</v>
      </c>
      <c r="E316" s="2" t="str">
        <f>IFERROR(__xludf.DUMMYFUNCTION("""COMPUTED_VALUE"""),"月21")</f>
        <v>月21</v>
      </c>
      <c r="F316" s="2" t="s">
        <v>1000</v>
      </c>
      <c r="G316" s="2" t="s">
        <v>1016</v>
      </c>
      <c r="H316" s="1">
        <v>6.0</v>
      </c>
      <c r="I316" s="1" t="s">
        <v>21</v>
      </c>
      <c r="J316" s="1" t="s">
        <v>11</v>
      </c>
      <c r="K316" s="2" t="s">
        <v>1017</v>
      </c>
      <c r="L316" s="2" t="s">
        <v>1018</v>
      </c>
      <c r="M316" s="2" t="str">
        <f>IFERROR(__xludf.DUMMYFUNCTION("split(K316,""西内まりや　"",false)"),"【番組公式HP】  http://www.fujitv.co.jp/ashita_kekkonshimasu/index.html　    【番組公式Twitter】  https://twitter.com/totsuzen_fuji　    【LINE】  @totsuzendesugaあすか(西内まりや)は、名波(山村隆太)と同棲することになった。莉央(中村アン)と交際を始めた小野(森田甘路)が彼女の部屋に引っ越すことになり、小野のマンションを使えることになったのだ。  あすかは、名波たちにも手伝っ"&amp;"てもらって引っ越しをする。ところがそこに、典子(石野真子)、新太郎(古舘寛治)、奏(葉山奨之)が現れる。家族には莉央、桃子(岸井ゆきの)と3人で暮らすと嘘をついていたあすかは、とっさに名波と小野をバルコニーに追い出し、何とかその場をしのいだ。  あすかは、毎日深夜2時に家を出る名波を見送ろうと張り切るが、起きることができない。それを知った莉央は、同棲のコツは無理をしないことだと助言する。実はあすかは、名波に心配をかけまいと、夕子(高岡早紀)に誘われて一緒に食事をしたことも打ち明けられずにいた。  名波は『"&amp;"モーニングYELL』のゴールデン特番の準備や、メインキャスターを務める報道特番のための勉強で多忙を極める。名波から、あすかと同棲を始めたとの報告を受けていた三上(沢村一樹)は、彼のことが心配でならない。  一方、神谷(山崎育三郎)は、バスケットボールの試合チケットのことで奏に電話する。そこで神谷は、あすかが同僚とルームシェアを始めたと教えられていた。  ある夜、会社にマンションの鍵を忘れてきてしまったあすかは、名波に連絡して鍵を借りにいくのだが・・・。")</f>
        <v>【番組公式HP】  http://www.fujitv.co.jp/ashita_kekkonshimasu/index.html　    【番組公式Twitter】  https://twitter.com/totsuzen_fuji　    【LINE】  @totsuzendesugaあすか(西内まりや)は、名波(山村隆太)と同棲することになった。莉央(中村アン)と交際を始めた小野(森田甘路)が彼女の部屋に引っ越すことになり、小野のマンションを使えることになったのだ。  あすかは、名波たちにも手伝ってもらって引っ越しをする。ところがそこに、典子(石野真子)、新太郎(古舘寛治)、奏(葉山奨之)が現れる。家族には莉央、桃子(岸井ゆきの)と3人で暮らすと嘘をついていたあすかは、とっさに名波と小野をバルコニーに追い出し、何とかその場をしのいだ。  あすかは、毎日深夜2時に家を出る名波を見送ろうと張り切るが、起きることができない。それを知った莉央は、同棲のコツは無理をしないことだと助言する。実はあすかは、名波に心配をかけまいと、夕子(高岡早紀)に誘われて一緒に食事をしたことも打ち明けられずにいた。  名波は『モーニングYELL』のゴールデン特番の準備や、メインキャスターを務める報道特番のための勉強で多忙を極める。名波から、あすかと同棲を始めたとの報告を受けていた三上(沢村一樹)は、彼のことが心配でならない。  一方、神谷(山崎育三郎)は、バスケットボールの試合チケットのことで奏に電話する。そこで神谷は、あすかが同僚とルームシェアを始めたと教えられていた。  ある夜、会社にマンションの鍵を忘れてきてしまったあすかは、名波に連絡して鍵を借りにいくのだが・・・。</v>
      </c>
      <c r="N316" s="2" t="str">
        <f>IFERROR(__xludf.DUMMYFUNCTION("""COMPUTED_VALUE"""),"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【"&amp;"プロデュース】  後藤博幸　  大木綾子　    【演出】  並木道子　  石井祐介　    【制作著作】  フジテレビ")</f>
        <v>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v>
      </c>
      <c r="O316" s="2"/>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row>
    <row r="317" ht="204.75" customHeight="1">
      <c r="A317" s="1">
        <v>1318.0</v>
      </c>
      <c r="B317" s="2" t="s">
        <v>999</v>
      </c>
      <c r="C317" s="2">
        <f>IFERROR(__xludf.DUMMYFUNCTION("split(B317,""_"")"),1701.0)</f>
        <v>1701</v>
      </c>
      <c r="D317" s="2" t="str">
        <f>IFERROR(__xludf.DUMMYFUNCTION("""COMPUTED_VALUE"""),"CX")</f>
        <v>CX</v>
      </c>
      <c r="E317" s="2" t="str">
        <f>IFERROR(__xludf.DUMMYFUNCTION("""COMPUTED_VALUE"""),"月21")</f>
        <v>月21</v>
      </c>
      <c r="F317" s="2" t="s">
        <v>1000</v>
      </c>
      <c r="G317" s="2" t="s">
        <v>1019</v>
      </c>
      <c r="H317" s="1">
        <v>7.0</v>
      </c>
      <c r="I317" s="1" t="s">
        <v>25</v>
      </c>
      <c r="J317" s="1" t="s">
        <v>11</v>
      </c>
      <c r="K317" s="2" t="s">
        <v>1020</v>
      </c>
      <c r="L317" s="2" t="s">
        <v>1021</v>
      </c>
      <c r="M317" s="2" t="str">
        <f>IFERROR(__xludf.DUMMYFUNCTION("split(K317,""西内まりや　"",false)"),"副音声放送、実施!    【番組公式HP】  http://www.fujitv.co.jp/ashita_kekkonshimasu/index.html　    【番組公式Twitter】  https://twitter.com/totsuzen_fuji　    【LINE】  @totsuzendesuga名波(山村隆太)の同棲と不倫の二股疑惑を伝えるゴシップが報じられた。あすか(西内まりや)に電話をした名波は、彼女のことを気づかい、マンションの前で記者が張っているかもしれないと忠告する。あすか"&amp;"は、莉央(中村アン)、桃子(岸井ゆきの)、そしてマスコミ対策にも詳しいというカナママ(椿鬼奴)の協力を得て、何とか小野(森田甘路)のマンションに戻る。  三上(沢村一樹)は、記事に掲載された写真が、個人のSNSから流出した可能性が高いことを名波に伝えた。あすかの心情を思いやる三上は「これを機に結婚してしまえば彼女を守れる」と名波に告げる。するとそこに、プロデューサーの氷室(杉本哲太)から電話が入る。名波を呼び出した氷室は「報道特番のメインキャスターを降板させる」と伝え…。  別の日、あすかは、フリーランス"&amp;"の記者だという草ヶ谷(村上航)からいきなり取材を申し込まれる。夕子(高岡早紀)の話を持ち出し、しつこくあすかに迫る草ヶ谷。そのときあすかを救ったのは、神谷(山崎育三郎)だった。  ほどなく『ナナリュー同棲彼女の素顔』というネット記事が公開され、隠し撮りされたあすかの写真まで公開されてしまう。この一件はいずみ銀行内でも騒ぎになり、あすかは上司からも事情説明を求められる。  そんな中、あすかは、マンションの前で張っていた草ヶ谷と再び遭遇し、写真を撮られる。そこにやってきた名波は…。")</f>
        <v>副音声放送、実施!    【番組公式HP】  http://www.fujitv.co.jp/ashita_kekkonshimasu/index.html　    【番組公式Twitter】  https://twitter.com/totsuzen_fuji　    【LINE】  @totsuzendesuga名波(山村隆太)の同棲と不倫の二股疑惑を伝えるゴシップが報じられた。あすか(西内まりや)に電話をした名波は、彼女のことを気づかい、マンションの前で記者が張っているかもしれないと忠告する。あすかは、莉央(中村アン)、桃子(岸井ゆきの)、そしてマスコミ対策にも詳しいというカナママ(椿鬼奴)の協力を得て、何とか小野(森田甘路)のマンションに戻る。  三上(沢村一樹)は、記事に掲載された写真が、個人のSNSから流出した可能性が高いことを名波に伝えた。あすかの心情を思いやる三上は「これを機に結婚してしまえば彼女を守れる」と名波に告げる。するとそこに、プロデューサーの氷室(杉本哲太)から電話が入る。名波を呼び出した氷室は「報道特番のメインキャスターを降板させる」と伝え…。  別の日、あすかは、フリーランスの記者だという草ヶ谷(村上航)からいきなり取材を申し込まれる。夕子(高岡早紀)の話を持ち出し、しつこくあすかに迫る草ヶ谷。そのときあすかを救ったのは、神谷(山崎育三郎)だった。  ほどなく『ナナリュー同棲彼女の素顔』というネット記事が公開され、隠し撮りされたあすかの写真まで公開されてしまう。この一件はいずみ銀行内でも騒ぎになり、あすかは上司からも事情説明を求められる。  そんな中、あすかは、マンションの前で張っていた草ヶ谷と再び遭遇し、写真を撮られる。そこにやってきた名波は…。</v>
      </c>
      <c r="N317" s="2" t="str">
        <f>IFERROR(__xludf.DUMMYFUNCTION("""COMPUTED_VALUE"""),"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【"&amp;"プロデュース】  後藤博幸　  大木綾子　    【演出】  並木道子　  石井祐介　    【制作著作】  フジテレビ")</f>
        <v>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v>
      </c>
      <c r="O317" s="2"/>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row>
    <row r="318" ht="204.75" customHeight="1">
      <c r="A318" s="1">
        <v>1319.0</v>
      </c>
      <c r="B318" s="2" t="s">
        <v>999</v>
      </c>
      <c r="C318" s="2">
        <f>IFERROR(__xludf.DUMMYFUNCTION("split(B318,""_"")"),1701.0)</f>
        <v>1701</v>
      </c>
      <c r="D318" s="2" t="str">
        <f>IFERROR(__xludf.DUMMYFUNCTION("""COMPUTED_VALUE"""),"CX")</f>
        <v>CX</v>
      </c>
      <c r="E318" s="2" t="str">
        <f>IFERROR(__xludf.DUMMYFUNCTION("""COMPUTED_VALUE"""),"月21")</f>
        <v>月21</v>
      </c>
      <c r="F318" s="2" t="s">
        <v>1000</v>
      </c>
      <c r="G318" s="2" t="s">
        <v>1022</v>
      </c>
      <c r="H318" s="1">
        <v>8.0</v>
      </c>
      <c r="I318" s="1" t="s">
        <v>29</v>
      </c>
      <c r="J318" s="1" t="s">
        <v>11</v>
      </c>
      <c r="K318" s="2" t="s">
        <v>1023</v>
      </c>
      <c r="L318" s="2" t="s">
        <v>1024</v>
      </c>
      <c r="M318" s="2" t="str">
        <f>IFERROR(__xludf.DUMMYFUNCTION("split(K318,""西内まりや　"",false)"),"【番組公式HP】  http://www.fujitv.co.jp/ashita_kekkonshimasu/index.html　    【番組公式Twitter】  https://twitter.com/totsuzen_fuji　    【LINE】  @totsuzendesuga　    主題歌プレゼントの告知あります。  今週も、出演者による副音声やります!お楽しみください!名波(山村隆太)から突然別れ話を切り出されたあすか(西内まりや)は、言葉を失う。「あすかのことを嫌いになったわけではな"&amp;"いが、ひとりになりたい」と言ってマンションから出ていってしまう名波。あすかは、名波を追いかけることができなかった。  明くる日、莉央(中村アン)や桃子(岸井ゆきの)は、あすかの様子がおかしいことに気づく。しかしあすかは、名波とのことを莉央たちに打ち明けられない。そんなあすかの元を訪れた神谷(山崎育三郎)は「栃木出張に一緒に行かないか」と彼女を誘う。最新金融理論のレクチャーを受けるため、東洋工科大の教授に会いにいくのだという。  一方、名波は、モスクワ支局への異動を命じられる。三上(沢村一樹)や氷室(杉本哲"&amp;"太)は、名波を守れなかったことを悔やんでいた。  仕事を終えたあすかが小野(森田甘路)のマンションに帰ると、名波が戻ってきていた。するとそこに、酒や食事を買い込んだ夕子(高岡早紀)がやってくる。名波が呼んだらしい。夕子から「何故あすかがいるのか」と問われた名波は「荷物を取りに来た」と説明する。ショックを受けたあすかは、涙をこらえて部屋から出ていき…。")</f>
        <v>【番組公式HP】  http://www.fujitv.co.jp/ashita_kekkonshimasu/index.html　    【番組公式Twitter】  https://twitter.com/totsuzen_fuji　    【LINE】  @totsuzendesuga　    主題歌プレゼントの告知あります。  今週も、出演者による副音声やります!お楽しみください!名波(山村隆太)から突然別れ話を切り出されたあすか(西内まりや)は、言葉を失う。「あすかのことを嫌いになったわけではないが、ひとりになりたい」と言ってマンションから出ていってしまう名波。あすかは、名波を追いかけることができなかった。  明くる日、莉央(中村アン)や桃子(岸井ゆきの)は、あすかの様子がおかしいことに気づく。しかしあすかは、名波とのことを莉央たちに打ち明けられない。そんなあすかの元を訪れた神谷(山崎育三郎)は「栃木出張に一緒に行かないか」と彼女を誘う。最新金融理論のレクチャーを受けるため、東洋工科大の教授に会いにいくのだという。  一方、名波は、モスクワ支局への異動を命じられる。三上(沢村一樹)や氷室(杉本哲太)は、名波を守れなかったことを悔やんでいた。  仕事を終えたあすかが小野(森田甘路)のマンションに帰ると、名波が戻ってきていた。するとそこに、酒や食事を買い込んだ夕子(高岡早紀)がやってくる。名波が呼んだらしい。夕子から「何故あすかがいるのか」と問われた名波は「荷物を取りに来た」と説明する。ショックを受けたあすかは、涙をこらえて部屋から出ていき…。</v>
      </c>
      <c r="N318" s="2" t="str">
        <f>IFERROR(__xludf.DUMMYFUNCTION("""COMPUTED_VALUE"""),"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【"&amp;"プロデュース】  後藤博幸　  大木綾子　    【演出】  並木道子　  石井祐介　    【制作著作】  フジテレビ")</f>
        <v>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v>
      </c>
      <c r="O318" s="2"/>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row>
    <row r="319" ht="204.75" customHeight="1">
      <c r="A319" s="1">
        <v>1320.0</v>
      </c>
      <c r="B319" s="2" t="s">
        <v>999</v>
      </c>
      <c r="C319" s="2">
        <f>IFERROR(__xludf.DUMMYFUNCTION("split(B319,""_"")"),1701.0)</f>
        <v>1701</v>
      </c>
      <c r="D319" s="2" t="str">
        <f>IFERROR(__xludf.DUMMYFUNCTION("""COMPUTED_VALUE"""),"CX")</f>
        <v>CX</v>
      </c>
      <c r="E319" s="2" t="str">
        <f>IFERROR(__xludf.DUMMYFUNCTION("""COMPUTED_VALUE"""),"月21")</f>
        <v>月21</v>
      </c>
      <c r="F319" s="2" t="s">
        <v>1000</v>
      </c>
      <c r="G319" s="2" t="s">
        <v>1025</v>
      </c>
      <c r="H319" s="1">
        <v>9.0</v>
      </c>
      <c r="I319" s="1" t="s">
        <v>33</v>
      </c>
      <c r="J319" s="1" t="s">
        <v>11</v>
      </c>
      <c r="K319" s="2" t="s">
        <v>1026</v>
      </c>
      <c r="L319" s="2" t="s">
        <v>1027</v>
      </c>
      <c r="M319" s="2" t="str">
        <f>IFERROR(__xludf.DUMMYFUNCTION("split(K319,""西内まりや　"",false)"),"副音声放送、実施!    【番組公式HP】  http://www.fujitv.co.jp/ashita_kekkonshimasu/index.html　    【番組公式Twitter】  https://twitter.com/totsuzen_fuji　    【LINE】  @totsuzendesugaプロジェクトの報告会を成功させたあすか(西内まりや)は、神谷(山崎育三郎)とともにグループの役員たちと会食をする。役員らは、NY支店とのテレカンファレンスに参加するよう、あすかたちに指示した。"&amp;"  一方、名波(山村隆太)は、訪ねてきた小野(森田甘路)にモスクワ支局への転勤を打ち明ける。小野は、あすかにもちゃんと伝えるべきだと主張した。しかし名波は「あすかにはもっと良い相手がいる」と返すだけだった。三上(沢村一樹)と会った夕子(高岡早紀)も、名波があすかと別れたことを知る。「中途半端な優しさで格好をつけている」と名波を非難する夕子。三上は「名波も真剣に考えているのではないか」とかばうが…。  別の日、名波のもとにあすかの弟・奏(葉山奨之)がやってくる。自分のせいでふたりが別れたのではないかと気にし"&amp;"ていた奏は「なぜ別れたのか」と名波に切り出す。名波は、価値観の違いだと説明し「一緒にいてもあすかは幸せになれない」と答えた。すると奏は「名波が逃げていることだけはわかった」と捨てぜりふを残して部屋を出ていく。  その夜、あすかは、夕子に誘われて一緒に食事する。その席で夕子は、名波から頼まれて付き合っているかのような芝居をしたこと、彼がモスクワに行ってしまうことを告げる。そんな中、あすかは、一緒に見に行こうと名波と約束していた桜のつぼみが開いていることに気づき…。")</f>
        <v>副音声放送、実施!    【番組公式HP】  http://www.fujitv.co.jp/ashita_kekkonshimasu/index.html　    【番組公式Twitter】  https://twitter.com/totsuzen_fuji　    【LINE】  @totsuzendesugaプロジェクトの報告会を成功させたあすか(西内まりや)は、神谷(山崎育三郎)とともにグループの役員たちと会食をする。役員らは、NY支店とのテレカンファレンスに参加するよう、あすかたちに指示した。  一方、名波(山村隆太)は、訪ねてきた小野(森田甘路)にモスクワ支局への転勤を打ち明ける。小野は、あすかにもちゃんと伝えるべきだと主張した。しかし名波は「あすかにはもっと良い相手がいる」と返すだけだった。三上(沢村一樹)と会った夕子(高岡早紀)も、名波があすかと別れたことを知る。「中途半端な優しさで格好をつけている」と名波を非難する夕子。三上は「名波も真剣に考えているのではないか」とかばうが…。  別の日、名波のもとにあすかの弟・奏(葉山奨之)がやってくる。自分のせいでふたりが別れたのではないかと気にしていた奏は「なぜ別れたのか」と名波に切り出す。名波は、価値観の違いだと説明し「一緒にいてもあすかは幸せになれない」と答えた。すると奏は「名波が逃げていることだけはわかった」と捨てぜりふを残して部屋を出ていく。  その夜、あすかは、夕子に誘われて一緒に食事する。その席で夕子は、名波から頼まれて付き合っているかのような芝居をしたこと、彼がモスクワに行ってしまうことを告げる。そんな中、あすかは、一緒に見に行こうと名波と約束していた桜のつぼみが開いていることに気づき…。</v>
      </c>
      <c r="N319" s="2" t="str">
        <f>IFERROR(__xludf.DUMMYFUNCTION("""COMPUTED_VALUE"""),"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【"&amp;"プロデュース】  後藤博幸　  大木綾子　    【演出】  並木道子　  石井祐介　    【制作著作】  フジテレビ")</f>
        <v>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v>
      </c>
      <c r="O319" s="2"/>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row>
    <row r="320" ht="204.75" customHeight="1">
      <c r="A320" s="1">
        <v>1321.0</v>
      </c>
      <c r="B320" s="2" t="s">
        <v>1028</v>
      </c>
      <c r="C320" s="2">
        <f>IFERROR(__xludf.DUMMYFUNCTION("split(B320,""_"")"),1701.0)</f>
        <v>1701</v>
      </c>
      <c r="D320" s="2" t="str">
        <f>IFERROR(__xludf.DUMMYFUNCTION("""COMPUTED_VALUE"""),"CX")</f>
        <v>CX</v>
      </c>
      <c r="E320" s="2" t="str">
        <f>IFERROR(__xludf.DUMMYFUNCTION("""COMPUTED_VALUE"""),"火21")</f>
        <v>火21</v>
      </c>
      <c r="F320" s="2" t="s">
        <v>1029</v>
      </c>
      <c r="G320" s="2" t="s">
        <v>1030</v>
      </c>
      <c r="H320" s="1">
        <v>1.0</v>
      </c>
      <c r="I320" s="1" t="s">
        <v>3</v>
      </c>
      <c r="J320" s="1" t="s">
        <v>4</v>
      </c>
      <c r="K320" s="2" t="s">
        <v>1031</v>
      </c>
      <c r="L320" s="2" t="s">
        <v>1032</v>
      </c>
      <c r="M320" s="2" t="str">
        <f>IFERROR(__xludf.DUMMYFUNCTION("split(K320,""草ナギ剛　"",false)"),"犯人の顔を見てしまった9歳の主人公・浩一(草ナギ剛)は、警察に「犯人は父ではない、真犯人の顔を見た」と繰り返し証言するが、信じてもらえない。それどころか、“うそつき""と呼ばれ、親戚からも奇異な目で見られることに…。  やがて浩一は呼び名の通り、巧みなうそつきに成長。タイに渡り、名前を変えて、偽の経歴を手に入れて、たぐいまれなる詐欺師になった浩一は、偶然にも記憶の中の真犯人“アザのある男""と再会。30年間眠っていた“怒り""という感情がよみがえり、復讐することを誓い、ついに日本に戻ってくる。そうして事件"&amp;"当夜について調べていると、事件関係者たちが次々に浮上していく。30年の時を経て、その事実を知った浩一は、詐欺師ならではの手法で、その事件関係者たちにわなを仕掛けていく。  さらに浩一は、事件関係者たちのスキャンダルや犯罪者としての顔も暴き、社会的に抹殺しようとする。しかしそれを阻もうとする大企業の会長・二科興三(市村正親)や次男・隆(藤木直人)、長男・晃(安田顕)との間で熾烈な攻防戦が繰り広げられていく…。こうして浩一の壮絶な復讐劇が始まっていくが、最終的に浩一は復讐を果たすことができるのかーー!?  そ"&amp;"の一方で、相棒的な女性詐欺師・ハルカ(水原希子)、さらに、二科家の長女の女医・楓(山本美月)が登場。浩一をめぐる三角関係、複雑な愛憎劇も巻き起こるーー。")</f>
        <v>犯人の顔を見てしまった9歳の主人公・浩一(草ナギ剛)は、警察に「犯人は父ではない、真犯人の顔を見た」と繰り返し証言するが、信じてもらえない。それどころか、“うそつき"と呼ばれ、親戚からも奇異な目で見られることに…。  やがて浩一は呼び名の通り、巧みなうそつきに成長。タイに渡り、名前を変えて、偽の経歴を手に入れて、たぐいまれなる詐欺師になった浩一は、偶然にも記憶の中の真犯人“アザのある男"と再会。30年間眠っていた“怒り"という感情がよみがえり、復讐することを誓い、ついに日本に戻ってくる。そうして事件当夜について調べていると、事件関係者たちが次々に浮上していく。30年の時を経て、その事実を知った浩一は、詐欺師ならではの手法で、その事件関係者たちにわなを仕掛けていく。  さらに浩一は、事件関係者たちのスキャンダルや犯罪者としての顔も暴き、社会的に抹殺しようとする。しかしそれを阻もうとする大企業の会長・二科興三(市村正親)や次男・隆(藤木直人)、長男・晃(安田顕)との間で熾烈な攻防戦が繰り広げられていく…。こうして浩一の壮絶な復讐劇が始まっていくが、最終的に浩一は復讐を果たすことができるのかーー!?  その一方で、相棒的な女性詐欺師・ハルカ(水原希子)、さらに、二科家の長女の女医・楓(山本美月)が登場。浩一をめぐる三角関係、複雑な愛憎劇も巻き起こるーー。</v>
      </c>
      <c r="N320" s="2" t="str">
        <f>IFERROR(__xludf.DUMMYFUNCTION("""COMPUTED_VALUE"""),"  藤木直人　  水原希子　  菊池風磨(Sexy　Zone)　  マギー　  姜暢雄　  野村麻純  たくませいこ　  迫田孝也　  中島亜梨沙　  小林颯　  土屋佑壱  　・　  大杉漣  　・　  山本美月　  安田顕　  市村正親　    他【脚本】  後藤法子　    【音楽】  林ゆうき　  橘麻美　    【演出・プロデューサー】  三宅喜重　    【プロデューサー】  河西秀幸　    【制作著作】  関西テレビ【公式ホームページ】  http://www.ktv.jp/uso/ind"&amp;"ex.html　(検索:嘘の戦争)    【公式Twitter】  @usonosensou_ktv　  https://twitter.com/usonosensou_ktv　    【公式LINE】  アプリの公式アカウント→　検索　嘘の戦争    【公式Facebook】  https://www.facebook.com/uso.ktv/")</f>
        <v>  藤木直人　  水原希子　  菊池風磨(Sexy　Zone)　  マギー　  姜暢雄　  野村麻純  たくませいこ　  迫田孝也　  中島亜梨沙　  小林颯　  土屋佑壱  　・　  大杉漣  　・　  山本美月　  安田顕　  市村正親　    他【脚本】  後藤法子　    【音楽】  林ゆうき　  橘麻美　    【演出・プロデューサー】  三宅喜重　    【プロデューサー】  河西秀幸　    【制作著作】  関西テレビ【公式ホームページ】  http://www.ktv.jp/uso/index.html　(検索:嘘の戦争)    【公式Twitter】  @usonosensou_ktv　  https://twitter.com/usonosensou_ktv　    【公式LINE】  アプリの公式アカウント→　検索　嘘の戦争    【公式Facebook】  https://www.facebook.com/uso.ktv/</v>
      </c>
      <c r="O320" s="2"/>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row>
    <row r="321" ht="204.75" customHeight="1">
      <c r="A321" s="1">
        <v>1322.0</v>
      </c>
      <c r="B321" s="2" t="s">
        <v>1028</v>
      </c>
      <c r="C321" s="2">
        <f>IFERROR(__xludf.DUMMYFUNCTION("split(B321,""_"")"),1701.0)</f>
        <v>1701</v>
      </c>
      <c r="D321" s="2" t="str">
        <f>IFERROR(__xludf.DUMMYFUNCTION("""COMPUTED_VALUE"""),"CX")</f>
        <v>CX</v>
      </c>
      <c r="E321" s="2" t="str">
        <f>IFERROR(__xludf.DUMMYFUNCTION("""COMPUTED_VALUE"""),"火21")</f>
        <v>火21</v>
      </c>
      <c r="F321" s="2" t="s">
        <v>1029</v>
      </c>
      <c r="G321" s="2" t="s">
        <v>1033</v>
      </c>
      <c r="H321" s="1">
        <v>2.0</v>
      </c>
      <c r="I321" s="1" t="s">
        <v>7</v>
      </c>
      <c r="J321" s="1" t="s">
        <v>4</v>
      </c>
      <c r="K321" s="2" t="s">
        <v>1034</v>
      </c>
      <c r="L321" s="2" t="s">
        <v>1035</v>
      </c>
      <c r="M321" s="2" t="str">
        <f>IFERROR(__xludf.DUMMYFUNCTION("split(K321,""草ナギ剛　"",false)"),"ニシナグループ会長の興三(市村正親)をかばって五十嵐(甲本雅裕)に刺された浩一(草ナギ剛)は、二科家の顧問弁護士を務める六反田健次(飯田基祐)から、今回の一件は事故として済ませたいと言われる。“六反田""という名前を目にした浩一は、男が30年前に新聞配達をしていた苦学生で、事件当時、浩一の父親が一家心中を図ったことを決定づける、うその証言をした人物だと気付く。  一方、浩一を治療した楓(山本美月)は、胸元の大きな傷跡が気になっていた。浩一はタイでの仕事中に負ったものだと説明するが、医師である楓は、もっと古"&amp;"い傷だと気付いていたのだ。なぜ浩一がうそをついたのか、楓は少しずつ浩一のことが気になり始めて…。    その頃浩一は、五十嵐に金を貸していた金融屋になりすまし、六反田に揺さぶりをかけていた。「金を返さなければ、“30年前のうその証言""を公にする」ーー  焦った六反田は興三に助けを求めるが、それを見計らったように、今度は隆(藤木直人)のフリをして次なるワナを浩一は仕掛け…。")</f>
        <v>ニシナグループ会長の興三(市村正親)をかばって五十嵐(甲本雅裕)に刺された浩一(草ナギ剛)は、二科家の顧問弁護士を務める六反田健次(飯田基祐)から、今回の一件は事故として済ませたいと言われる。“六反田"という名前を目にした浩一は、男が30年前に新聞配達をしていた苦学生で、事件当時、浩一の父親が一家心中を図ったことを決定づける、うその証言をした人物だと気付く。  一方、浩一を治療した楓(山本美月)は、胸元の大きな傷跡が気になっていた。浩一はタイでの仕事中に負ったものだと説明するが、医師である楓は、もっと古い傷だと気付いていたのだ。なぜ浩一がうそをついたのか、楓は少しずつ浩一のことが気になり始めて…。    その頃浩一は、五十嵐に金を貸していた金融屋になりすまし、六反田に揺さぶりをかけていた。「金を返さなければ、“30年前のうその証言"を公にする」ーー  焦った六反田は興三に助けを求めるが、それを見計らったように、今度は隆(藤木直人)のフリをして次なるワナを浩一は仕掛け…。</v>
      </c>
      <c r="N321" s="2" t="str">
        <f>IFERROR(__xludf.DUMMYFUNCTION("""COMPUTED_VALUE"""),"  藤木直人　  水原希子　  菊池風磨(Sexy　Zone)　  マギー　  姜暢雄　  野村麻純　  たくませいこ　  迫田孝也　  中島亜梨沙　  小林颯　  土屋佑壱　  杉野遥亮  　・　  大杉漣　  飯田基祐　  六平直政  　・　  山本美月　  安田顕　  市村正親　    他【脚本】  後藤法子　    【音楽】  林ゆうき　  橘麻美　    【演出・プロデューサー】  三宅喜重　    【プロデューサー】  河西秀幸　    【制作著作】  関西テレビ【公式ホームページ】  htt"&amp;"p://www.ktv.jp/uso/index.html(検索:嘘の戦争)    【公式Twitter】  @usonosensou_ktv  https://twitter.com/usonosensou_ktv    【公式LINE】  アプリの公式アカウント→　検索　嘘の戦争    【公式Facebook】  https://www.facebook.com/uso.ktv/")</f>
        <v>  藤木直人　  水原希子　  菊池風磨(Sexy　Zone)　  マギー　  姜暢雄　  野村麻純　  たくませいこ　  迫田孝也　  中島亜梨沙　  小林颯　  土屋佑壱　  杉野遥亮  　・　  大杉漣　  飯田基祐　  六平直政  　・　  山本美月　  安田顕　  市村正親　    他【脚本】  後藤法子　    【音楽】  林ゆうき　  橘麻美　    【演出・プロデューサー】  三宅喜重　    【プロデューサー】  河西秀幸　    【制作著作】  関西テレビ【公式ホームページ】  http://www.ktv.jp/uso/index.html(検索:嘘の戦争)    【公式Twitter】  @usonosensou_ktv  https://twitter.com/usonosensou_ktv    【公式LINE】  アプリの公式アカウント→　検索　嘘の戦争    【公式Facebook】  https://www.facebook.com/uso.ktv/</v>
      </c>
      <c r="O321" s="2"/>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row>
    <row r="322" ht="204.75" customHeight="1">
      <c r="A322" s="1">
        <v>1323.0</v>
      </c>
      <c r="B322" s="2" t="s">
        <v>1028</v>
      </c>
      <c r="C322" s="2">
        <f>IFERROR(__xludf.DUMMYFUNCTION("split(B322,""_"")"),1701.0)</f>
        <v>1701</v>
      </c>
      <c r="D322" s="2" t="str">
        <f>IFERROR(__xludf.DUMMYFUNCTION("""COMPUTED_VALUE"""),"CX")</f>
        <v>CX</v>
      </c>
      <c r="E322" s="2" t="str">
        <f>IFERROR(__xludf.DUMMYFUNCTION("""COMPUTED_VALUE"""),"火21")</f>
        <v>火21</v>
      </c>
      <c r="F322" s="2" t="s">
        <v>1029</v>
      </c>
      <c r="G322" s="2" t="s">
        <v>1036</v>
      </c>
      <c r="H322" s="1">
        <v>3.0</v>
      </c>
      <c r="I322" s="1" t="s">
        <v>10</v>
      </c>
      <c r="J322" s="1" t="s">
        <v>11</v>
      </c>
      <c r="K322" s="2" t="s">
        <v>1037</v>
      </c>
      <c r="L322" s="2" t="s">
        <v>1038</v>
      </c>
      <c r="M322" s="2" t="str">
        <f>IFERROR(__xludf.DUMMYFUNCTION("split(K322,""草ナギ剛　"",false)"),"復讐(ふくしゅう)の鬼と化した浩一(草ナギ剛)は、30年前に父親を殺した五十嵐(甲本雅裕)と、うその証言をした見返りに二科家の顧問弁護士にまで上り詰めた六反田(飯田基祐)を次々にワナに陥れ、復讐を遂げていく。一方で晃(安田顕)や楓(山本美月)との距離を縮め、事件を指示していた興三(市村正親)に少しずつ近づいていた。  そんな浩一が次に狙うターゲットは、30年前に捜査を担当した刑事の三輪郁夫(六平直政)。三輪は、浩一の家族が意図的に殺されたことを知っていながら殺人を隠ぺいし、9歳だった陽一(後の浩一)に事件"&amp;"は父親による心中だったとうその証言を強要した人物だった。「あいつだけはこの手で直接、破滅させたい」ーー早速、浩一が三輪の身辺を調べると、思わぬ人物だった事が明らかになり……。  一方、晃を味方につけたことで楓との仲も急接近。浩一の作戦は万事順調だったが、ハルカ(水原希子)は、そんな浩一を複雑な思いで見つめていた。    そして30年前の事件の生き残りである千葉陽一と一ノ瀬浩一が同一人物だとはまだ気づいていない隆(藤木直人)は、浩一に対しての不信感を募らせていく…。")</f>
        <v>復讐(ふくしゅう)の鬼と化した浩一(草ナギ剛)は、30年前に父親を殺した五十嵐(甲本雅裕)と、うその証言をした見返りに二科家の顧問弁護士にまで上り詰めた六反田(飯田基祐)を次々にワナに陥れ、復讐を遂げていく。一方で晃(安田顕)や楓(山本美月)との距離を縮め、事件を指示していた興三(市村正親)に少しずつ近づいていた。  そんな浩一が次に狙うターゲットは、30年前に捜査を担当した刑事の三輪郁夫(六平直政)。三輪は、浩一の家族が意図的に殺されたことを知っていながら殺人を隠ぺいし、9歳だった陽一(後の浩一)に事件は父親による心中だったとうその証言を強要した人物だった。「あいつだけはこの手で直接、破滅させたい」ーー早速、浩一が三輪の身辺を調べると、思わぬ人物だった事が明らかになり……。  一方、晃を味方につけたことで楓との仲も急接近。浩一の作戦は万事順調だったが、ハルカ(水原希子)は、そんな浩一を複雑な思いで見つめていた。    そして30年前の事件の生き残りである千葉陽一と一ノ瀬浩一が同一人物だとはまだ気づいていない隆(藤木直人)は、浩一に対しての不信感を募らせていく…。</v>
      </c>
      <c r="N322" s="2" t="str">
        <f>IFERROR(__xludf.DUMMYFUNCTION("""COMPUTED_VALUE"""),"  藤木直人　  水原希子　  菊池風磨(Sexy　Zone)　  マギー　  姜暢雄　  野村麻純　  たくませいこ　  小林颯  　・　  六平直政　  宮地雅子　  甲本雅裕  　・　  山本美月　  安田顕　  市村正親　    他【脚本】  後藤法子　    【音楽】  林ゆうき　  橘麻美　    【プロデューサー】  河西秀幸　  三宅喜重　    【演出】  宝来忠昭　    【制作著作】  関西テレビ【公式ホームページ】  http://www.ktv.jp/uso/index.html"&amp;"(検索:嘘の戦争)    【公式Twitter】  @usonosensou_ktv  https://twitter.com/usonosensou_ktv    【公式LINE】  アプリの公式アカウント→　検索　嘘の戦争    【公式Facebook】  https://www.facebook.com/uso.ktv/")</f>
        <v>  藤木直人　  水原希子　  菊池風磨(Sexy　Zone)　  マギー　  姜暢雄　  野村麻純　  たくませいこ　  小林颯  　・　  六平直政　  宮地雅子　  甲本雅裕  　・　  山本美月　  安田顕　  市村正親　    他【脚本】  後藤法子　    【音楽】  林ゆうき　  橘麻美　    【プロデューサー】  河西秀幸　  三宅喜重　    【演出】  宝来忠昭　    【制作著作】  関西テレビ【公式ホームページ】  http://www.ktv.jp/uso/index.html(検索:嘘の戦争)    【公式Twitter】  @usonosensou_ktv  https://twitter.com/usonosensou_ktv    【公式LINE】  アプリの公式アカウント→　検索　嘘の戦争    【公式Facebook】  https://www.facebook.com/uso.ktv/</v>
      </c>
      <c r="O322" s="2"/>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row>
    <row r="323" ht="204.75" customHeight="1">
      <c r="A323" s="1">
        <v>1324.0</v>
      </c>
      <c r="B323" s="2" t="s">
        <v>1028</v>
      </c>
      <c r="C323" s="2">
        <f>IFERROR(__xludf.DUMMYFUNCTION("split(B323,""_"")"),1701.0)</f>
        <v>1701</v>
      </c>
      <c r="D323" s="2" t="str">
        <f>IFERROR(__xludf.DUMMYFUNCTION("""COMPUTED_VALUE"""),"CX")</f>
        <v>CX</v>
      </c>
      <c r="E323" s="2" t="str">
        <f>IFERROR(__xludf.DUMMYFUNCTION("""COMPUTED_VALUE"""),"火21")</f>
        <v>火21</v>
      </c>
      <c r="F323" s="2" t="s">
        <v>1029</v>
      </c>
      <c r="G323" s="2" t="s">
        <v>1039</v>
      </c>
      <c r="H323" s="1">
        <v>4.0</v>
      </c>
      <c r="I323" s="1" t="s">
        <v>14</v>
      </c>
      <c r="J323" s="1" t="s">
        <v>11</v>
      </c>
      <c r="K323" s="2" t="s">
        <v>1040</v>
      </c>
      <c r="L323" s="2" t="s">
        <v>1041</v>
      </c>
      <c r="M323" s="2" t="str">
        <f>IFERROR(__xludf.DUMMYFUNCTION("split(K323,""草ナギ剛　"",false)"),"30年前に浩一(草ナギ剛)を刺した五十嵐(甲本雅裕)、うその証言をした弁護士の六反田(飯田基祐)、幼い陽一(後の浩一)にうその証言を強要した刑事の三輪(六平直政)と立て続けに復讐を果たした浩一。隆(藤木直人)は、一連の関係者の失脚に、30年前の事件の生き残りである“千葉陽一""が関係していると推察し、本格的に調べを進める。しかしオーストラリアに住んでいるという千葉陽一の正体はつかめず、いら立ちを募らせていた。    そんなある日、家族が殺害される少し前、当時大学生だった2人の男がOLを死なせた件について調"&amp;"べていた浩一は、興三(市村正親)にもみ消しを依頼した人物が代議士の四条綾子(ジュディ・オング)だと気付く。また綾子が溺愛する息子の司(森岡豊)が事業にことごとく失敗し借金だらけだと知った浩一は、占い師に扮したハルカ(水原希子)と協力し、綾子に近づいていく…。一方、楓(山本美月)に結婚を前提に付き合いたいと晃(安田顕)の目の前で交際を申し込んだ浩一は、興三に会えないかと楓に提案する。その頃、晃は兄である自分を過小評価し、厳しい言葉ばかり並べる隆に怒りを覚えていた。浩一は、そんな晃を上手くなだめつつ、経営コン"&amp;"サルタントらしくニシナコーポレーションの未来を案じ、「隆さんにも渡して下さい」と事業戦略を記録したUSBを晃に託すが…。")</f>
        <v>30年前に浩一(草ナギ剛)を刺した五十嵐(甲本雅裕)、うその証言をした弁護士の六反田(飯田基祐)、幼い陽一(後の浩一)にうその証言を強要した刑事の三輪(六平直政)と立て続けに復讐を果たした浩一。隆(藤木直人)は、一連の関係者の失脚に、30年前の事件の生き残りである“千葉陽一"が関係していると推察し、本格的に調べを進める。しかしオーストラリアに住んでいるという千葉陽一の正体はつかめず、いら立ちを募らせていた。    そんなある日、家族が殺害される少し前、当時大学生だった2人の男がOLを死なせた件について調べていた浩一は、興三(市村正親)にもみ消しを依頼した人物が代議士の四条綾子(ジュディ・オング)だと気付く。また綾子が溺愛する息子の司(森岡豊)が事業にことごとく失敗し借金だらけだと知った浩一は、占い師に扮したハルカ(水原希子)と協力し、綾子に近づいていく…。一方、楓(山本美月)に結婚を前提に付き合いたいと晃(安田顕)の目の前で交際を申し込んだ浩一は、興三に会えないかと楓に提案する。その頃、晃は兄である自分を過小評価し、厳しい言葉ばかり並べる隆に怒りを覚えていた。浩一は、そんな晃を上手くなだめつつ、経営コンサルタントらしくニシナコーポレーションの未来を案じ、「隆さんにも渡して下さい」と事業戦略を記録したUSBを晃に託すが…。</v>
      </c>
      <c r="N323" s="2" t="str">
        <f>IFERROR(__xludf.DUMMYFUNCTION("""COMPUTED_VALUE"""),"  藤木直人　  水原希子　  菊池風磨(Sexy　Zone)　  マギー　  姜暢雄　  野村麻純　  たくませいこ　  杉野遥亮  　・　  大杉漣　  甲本雅裕  　・　  山本美月　  安田顕　  市村正親　    【ゲスト】  ジュディ・オング　  森岡豊【脚本】  後藤法子　    【音楽】  林ゆうき　  橘麻美　    【演出・プロデューサー】  三宅喜重　    【プロデューサー】  河西秀幸　    【制作著作】  関西テレビ【公式ホームページ】  http://www.ktv.jp/"&amp;"uso/index.html(検索:嘘の戦争)    【公式Twitter】  @usonosensou_ktv  https://twitter.com/usonosensou_ktv    【公式LINE】  アプリの公式アカウント→　検索　嘘の戦争    【公式Facebook】  https://www.facebook.com/uso.ktv/")</f>
        <v>  藤木直人　  水原希子　  菊池風磨(Sexy　Zone)　  マギー　  姜暢雄　  野村麻純　  たくませいこ　  杉野遥亮  　・　  大杉漣　  甲本雅裕  　・　  山本美月　  安田顕　  市村正親　    【ゲスト】  ジュディ・オング　  森岡豊【脚本】  後藤法子　    【音楽】  林ゆうき　  橘麻美　    【演出・プロデューサー】  三宅喜重　    【プロデューサー】  河西秀幸　    【制作著作】  関西テレビ【公式ホームページ】  http://www.ktv.jp/uso/index.html(検索:嘘の戦争)    【公式Twitter】  @usonosensou_ktv  https://twitter.com/usonosensou_ktv    【公式LINE】  アプリの公式アカウント→　検索　嘘の戦争    【公式Facebook】  https://www.facebook.com/uso.ktv/</v>
      </c>
      <c r="O323" s="2"/>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row>
    <row r="324" ht="204.75" customHeight="1">
      <c r="A324" s="1">
        <v>1325.0</v>
      </c>
      <c r="B324" s="2" t="s">
        <v>1028</v>
      </c>
      <c r="C324" s="2">
        <f>IFERROR(__xludf.DUMMYFUNCTION("split(B324,""_"")"),1701.0)</f>
        <v>1701</v>
      </c>
      <c r="D324" s="2" t="str">
        <f>IFERROR(__xludf.DUMMYFUNCTION("""COMPUTED_VALUE"""),"CX")</f>
        <v>CX</v>
      </c>
      <c r="E324" s="2" t="str">
        <f>IFERROR(__xludf.DUMMYFUNCTION("""COMPUTED_VALUE"""),"火21")</f>
        <v>火21</v>
      </c>
      <c r="F324" s="2" t="s">
        <v>1029</v>
      </c>
      <c r="G324" s="2" t="s">
        <v>1042</v>
      </c>
      <c r="H324" s="1">
        <v>5.0</v>
      </c>
      <c r="I324" s="1" t="s">
        <v>17</v>
      </c>
      <c r="J324" s="1" t="s">
        <v>11</v>
      </c>
      <c r="K324" s="2" t="s">
        <v>1043</v>
      </c>
      <c r="L324" s="2" t="s">
        <v>1044</v>
      </c>
      <c r="M324" s="2" t="str">
        <f>IFERROR(__xludf.DUMMYFUNCTION("split(K324,""草ナギ剛　"",false)"),"医師の五十嵐(甲本雅裕)、弁護士の六反田(飯田基祐)、刑事の三輪(六平直政)、さらに一家殺害の原因となる事件をもみ消した四条(ジュディ・オング)とその息子も陥れ、浩一(草ナギ剛)はついに興三(市村正親)への復讐に王手をかける。その頃、二科家では30年前の犯行の証拠となる録音テープの存在を知った興三が、再び悪に手を染めようとしていた。隆(藤木直人)はそれを阻止しようと、自らテープの在りかを突き止めようと動き出す。また隆は浩一と“千葉陽一""との関係を確かめようとバー800に乗り込み、「千葉という人物を知って"&amp;"いるか?」と浩一に直接問いただす。    浩一は、30年前に起きたOL殺しの主犯で、今は大手銀行に勤める九島亨(平岳大)の存在に気がつく。九島の亡き父は銀行の元副頭取で、30年前、興三に多額の融資をしていた。その融資こそが一家殺害の報酬だとにらんだ浩一は、九島と彼の弱みを握っている愛人の五十川芙美(真飛聖)にも接近。相棒のハルカ(水原希子)と共にパイロットとキャビンアテンダントに扮し2人の前に現れて…?    一方、楓(山本美月)は長年にわたり興三との間に確執があることを浩一に打ち明ける。なんとか興三に会"&amp;"いたい浩一は、そんな楓をやさしく諭し、心を動かされた楓は興三に会いに行くが…。")</f>
        <v>医師の五十嵐(甲本雅裕)、弁護士の六反田(飯田基祐)、刑事の三輪(六平直政)、さらに一家殺害の原因となる事件をもみ消した四条(ジュディ・オング)とその息子も陥れ、浩一(草ナギ剛)はついに興三(市村正親)への復讐に王手をかける。その頃、二科家では30年前の犯行の証拠となる録音テープの存在を知った興三が、再び悪に手を染めようとしていた。隆(藤木直人)はそれを阻止しようと、自らテープの在りかを突き止めようと動き出す。また隆は浩一と“千葉陽一"との関係を確かめようとバー800に乗り込み、「千葉という人物を知っているか?」と浩一に直接問いただす。    浩一は、30年前に起きたOL殺しの主犯で、今は大手銀行に勤める九島亨(平岳大)の存在に気がつく。九島の亡き父は銀行の元副頭取で、30年前、興三に多額の融資をしていた。その融資こそが一家殺害の報酬だとにらんだ浩一は、九島と彼の弱みを握っている愛人の五十川芙美(真飛聖)にも接近。相棒のハルカ(水原希子)と共にパイロットとキャビンアテンダントに扮し2人の前に現れて…?    一方、楓(山本美月)は長年にわたり興三との間に確執があることを浩一に打ち明ける。なんとか興三に会いたい浩一は、そんな楓をやさしく諭し、心を動かされた楓は興三に会いに行くが…。</v>
      </c>
      <c r="N324" s="2" t="str">
        <f>IFERROR(__xludf.DUMMYFUNCTION("""COMPUTED_VALUE"""),"  藤木直人　  水原希子　  菊池風磨(Sexy　Zone)　  マギー　  姜暢雄　  野村麻純　  たくませいこ  　・　  山本美月　  安田顕　  市村正親　    他　    【ゲスト】  平岳大　  真飛聖【脚本】  後藤法子　    【音楽】  林ゆうき　  橘麻美　    【プロデューサー】  三宅喜重　  河西秀幸　    【演出】  宝来忠昭　    【制作著作】  関西テレビ【公式ホームページ】  http://www.ktv.jp/uso/index.html(検索:嘘の戦争) "&amp;"   【公式Twitter】  @usonosensou_ktv  https://twitter.com/usonosensou_ktv    【公式LINE】  アプリの公式アカウント→　検索　嘘の戦争    【公式Facebook】  https://www.facebook.com/uso.ktv/")</f>
        <v>  藤木直人　  水原希子　  菊池風磨(Sexy　Zone)　  マギー　  姜暢雄　  野村麻純　  たくませいこ  　・　  山本美月　  安田顕　  市村正親　    他　    【ゲスト】  平岳大　  真飛聖【脚本】  後藤法子　    【音楽】  林ゆうき　  橘麻美　    【プロデューサー】  三宅喜重　  河西秀幸　    【演出】  宝来忠昭　    【制作著作】  関西テレビ【公式ホームページ】  http://www.ktv.jp/uso/index.html(検索:嘘の戦争)    【公式Twitter】  @usonosensou_ktv  https://twitter.com/usonosensou_ktv    【公式LINE】  アプリの公式アカウント→　検索　嘘の戦争    【公式Facebook】  https://www.facebook.com/uso.ktv/</v>
      </c>
      <c r="O324" s="2"/>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row>
    <row r="325" ht="204.75" customHeight="1">
      <c r="A325" s="1">
        <v>1326.0</v>
      </c>
      <c r="B325" s="2" t="s">
        <v>1028</v>
      </c>
      <c r="C325" s="2">
        <f>IFERROR(__xludf.DUMMYFUNCTION("split(B325,""_"")"),1701.0)</f>
        <v>1701</v>
      </c>
      <c r="D325" s="2" t="str">
        <f>IFERROR(__xludf.DUMMYFUNCTION("""COMPUTED_VALUE"""),"CX")</f>
        <v>CX</v>
      </c>
      <c r="E325" s="2" t="str">
        <f>IFERROR(__xludf.DUMMYFUNCTION("""COMPUTED_VALUE"""),"火21")</f>
        <v>火21</v>
      </c>
      <c r="F325" s="2" t="s">
        <v>1029</v>
      </c>
      <c r="G325" s="2" t="s">
        <v>1045</v>
      </c>
      <c r="H325" s="1">
        <v>6.0</v>
      </c>
      <c r="I325" s="1" t="s">
        <v>21</v>
      </c>
      <c r="J325" s="1" t="s">
        <v>11</v>
      </c>
      <c r="K325" s="2" t="s">
        <v>1046</v>
      </c>
      <c r="L325" s="2" t="s">
        <v>1047</v>
      </c>
      <c r="M325" s="2" t="str">
        <f>IFERROR(__xludf.DUMMYFUNCTION("split(K325,""草ナギ剛　"",false)"),"9歳の時、一家心中に見せかけて家族を殺された浩一(草ナギ剛)は、やがて天才詐欺師となり、30年の時を経て当時の事件関係者に次々と復讐を果たしてきた。最大の敵・興三(市村正親)に復讐を果たすため、浩一は結婚詐欺師のように正体を隠し、長女・楓(山本美月)とウソの交際。近々家族にあいさつをしたいからと楓をさとし、浩一はついに興三と直接会うチャンスを得る。  二科家に招かれた浩一は、さっそく興三と隆(藤木直人)から過去について詮索される。緊張感あふれる昼食会が開かれるが、話は意外な方向に進んでいき…。その頃、ハル"&amp;"カ(水原希子)は何者かに尾行される気配を感じ、二科家が本格的に動き出したことに焦りを覚える。  一方、隆は何者かが30年前の事件の復讐に動いていると推測し、事件の生き残りである“千葉陽一""を疑っていた。楓と交際して急速に二科家に近づいてきた浩一に対しても警戒を強め、隆は再び児童養護施設の守(大杉漣)を訪ねる。「千葉陽一さんについて確認したいことがある」ーー隆の再三の申し出に守は…?")</f>
        <v>9歳の時、一家心中に見せかけて家族を殺された浩一(草ナギ剛)は、やがて天才詐欺師となり、30年の時を経て当時の事件関係者に次々と復讐を果たしてきた。最大の敵・興三(市村正親)に復讐を果たすため、浩一は結婚詐欺師のように正体を隠し、長女・楓(山本美月)とウソの交際。近々家族にあいさつをしたいからと楓をさとし、浩一はついに興三と直接会うチャンスを得る。  二科家に招かれた浩一は、さっそく興三と隆(藤木直人)から過去について詮索される。緊張感あふれる昼食会が開かれるが、話は意外な方向に進んでいき…。その頃、ハルカ(水原希子)は何者かに尾行される気配を感じ、二科家が本格的に動き出したことに焦りを覚える。  一方、隆は何者かが30年前の事件の復讐に動いていると推測し、事件の生き残りである“千葉陽一"を疑っていた。楓と交際して急速に二科家に近づいてきた浩一に対しても警戒を強め、隆は再び児童養護施設の守(大杉漣)を訪ねる。「千葉陽一さんについて確認したいことがある」ーー隆の再三の申し出に守は…?</v>
      </c>
      <c r="N325" s="2" t="str">
        <f>IFERROR(__xludf.DUMMYFUNCTION("""COMPUTED_VALUE"""),"  藤木直人　  水原希子　  菊池風磨(Sexy　Zone)　  マギー　  姜暢雄　  野村麻純　  たくませいこ　  杉野遥亮  　・　  大杉漣  　・　  山本美月　  安田顕　  市村正親　    他【脚本】  後藤法子　    【音楽】  林ゆうき　  橘麻美　    【演出・プロデューサー】  三宅喜重　    【プロデューサー】  河西秀幸　    【制作著作】  関西テレビ【公式ホームページ】  http://www.ktv.jp/uso/index.html(検索:嘘の戦争)    "&amp;"【公式Twitter】  @usonosensou_ktv  https://twitter.com/usonosensou_ktv    【公式LINE】  アプリの公式アカウント→　検索　嘘の戦争    【公式Facebook】  https://www.facebook.com/uso.ktv/")</f>
        <v>  藤木直人　  水原希子　  菊池風磨(Sexy　Zone)　  マギー　  姜暢雄　  野村麻純　  たくませいこ　  杉野遥亮  　・　  大杉漣  　・　  山本美月　  安田顕　  市村正親　    他【脚本】  後藤法子　    【音楽】  林ゆうき　  橘麻美　    【演出・プロデューサー】  三宅喜重　    【プロデューサー】  河西秀幸　    【制作著作】  関西テレビ【公式ホームページ】  http://www.ktv.jp/uso/index.html(検索:嘘の戦争)    【公式Twitter】  @usonosensou_ktv  https://twitter.com/usonosensou_ktv    【公式LINE】  アプリの公式アカウント→　検索　嘘の戦争    【公式Facebook】  https://www.facebook.com/uso.ktv/</v>
      </c>
      <c r="O325" s="2"/>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row>
    <row r="326" ht="204.75" customHeight="1">
      <c r="A326" s="1">
        <v>1327.0</v>
      </c>
      <c r="B326" s="2" t="s">
        <v>1028</v>
      </c>
      <c r="C326" s="2">
        <f>IFERROR(__xludf.DUMMYFUNCTION("split(B326,""_"")"),1701.0)</f>
        <v>1701</v>
      </c>
      <c r="D326" s="2" t="str">
        <f>IFERROR(__xludf.DUMMYFUNCTION("""COMPUTED_VALUE"""),"CX")</f>
        <v>CX</v>
      </c>
      <c r="E326" s="2" t="str">
        <f>IFERROR(__xludf.DUMMYFUNCTION("""COMPUTED_VALUE"""),"火21")</f>
        <v>火21</v>
      </c>
      <c r="F326" s="2" t="s">
        <v>1029</v>
      </c>
      <c r="G326" s="2" t="s">
        <v>1048</v>
      </c>
      <c r="H326" s="1">
        <v>7.0</v>
      </c>
      <c r="I326" s="1" t="s">
        <v>25</v>
      </c>
      <c r="J326" s="1" t="s">
        <v>11</v>
      </c>
      <c r="K326" s="2" t="s">
        <v>1049</v>
      </c>
      <c r="L326" s="2" t="s">
        <v>1050</v>
      </c>
      <c r="M326" s="2" t="str">
        <f>IFERROR(__xludf.DUMMYFUNCTION("split(K326,""草ナギ剛　"",false)"),"30年前、一家心中に見せかけて殺された家族の復讐を次々に果たした浩一(草ナギ剛)は、ついに、事件の首謀者である興三(市村正親)に近づくことに成功。興三の娘・楓(山本美月)との結婚も決まる。一方、またしても浩一の巧みなウソに翻弄され、興三もまた「2人で話がしたい」と浩一を呼び出すが、思わぬ事態に…。  そして隆(藤木直人)は浩一が30年前の事件で生き残った“千葉陽一""だと疑いつつも、確固たる証拠をつかめずにいた。    隆の事を気にしつつも、浩一は30年前のOL殺人事件に関わっていながら、これまで何の罰も"&amp;"受けずに生きてきた晃(安田顕)に狙いを定め、事業拡大のために工場を全面改修するよう勧める。  そして晃が早速、隆に工事に必要な多額の費用を用立ててくれるよう頼むと、隆は意外にもそれをあっさり承諾するが、それには隆なりの考えがあり…?上機嫌の晃に、浩一はそれとなく、興三や隆のまわりで怪しい動きを見せる六車という男について尋ねる。晃の話を聞いた浩一の脳裏には、ある疑惑が浮かんで…。")</f>
        <v>30年前、一家心中に見せかけて殺された家族の復讐を次々に果たした浩一(草ナギ剛)は、ついに、事件の首謀者である興三(市村正親)に近づくことに成功。興三の娘・楓(山本美月)との結婚も決まる。一方、またしても浩一の巧みなウソに翻弄され、興三もまた「2人で話がしたい」と浩一を呼び出すが、思わぬ事態に…。  そして隆(藤木直人)は浩一が30年前の事件で生き残った“千葉陽一"だと疑いつつも、確固たる証拠をつかめずにいた。    隆の事を気にしつつも、浩一は30年前のOL殺人事件に関わっていながら、これまで何の罰も受けずに生きてきた晃(安田顕)に狙いを定め、事業拡大のために工場を全面改修するよう勧める。  そして晃が早速、隆に工事に必要な多額の費用を用立ててくれるよう頼むと、隆は意外にもそれをあっさり承諾するが、それには隆なりの考えがあり…?上機嫌の晃に、浩一はそれとなく、興三や隆のまわりで怪しい動きを見せる六車という男について尋ねる。晃の話を聞いた浩一の脳裏には、ある疑惑が浮かんで…。</v>
      </c>
      <c r="N326" s="2" t="str">
        <f>IFERROR(__xludf.DUMMYFUNCTION("""COMPUTED_VALUE"""),"  藤木直人　  水原希子　  菊池風磨(Sexy　Zone)　  マギー　  姜暢雄　  野村麻純　  たくませいこ　  土屋佑壱  　・　  山本美月　  安田顕　  市村正親　    他【脚本】  後藤法子　    【音楽】  林ゆうき　  橘麻美　    【プロデューサー】  三宅喜重　  河西秀幸　    【演出】  中西正茂　    【制作著作】  関西テレビ【公式ホームページ】  http://www.ktv.jp/uso/index.html(検索:嘘の戦争)    【公式Twitter】"&amp;"  @usonosensou_ktv  https://twitter.com/usonosensou_ktv    【公式LINE】  アプリの公式アカウント→　検索　嘘の戦争    【公式Facebook】  https://www.facebook.com/uso.ktv/")</f>
        <v>  藤木直人　  水原希子　  菊池風磨(Sexy　Zone)　  マギー　  姜暢雄　  野村麻純　  たくませいこ　  土屋佑壱  　・　  山本美月　  安田顕　  市村正親　    他【脚本】  後藤法子　    【音楽】  林ゆうき　  橘麻美　    【プロデューサー】  三宅喜重　  河西秀幸　    【演出】  中西正茂　    【制作著作】  関西テレビ【公式ホームページ】  http://www.ktv.jp/uso/index.html(検索:嘘の戦争)    【公式Twitter】  @usonosensou_ktv  https://twitter.com/usonosensou_ktv    【公式LINE】  アプリの公式アカウント→　検索　嘘の戦争    【公式Facebook】  https://www.facebook.com/uso.ktv/</v>
      </c>
      <c r="O326" s="2"/>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row>
    <row r="327" ht="204.75" customHeight="1">
      <c r="A327" s="1">
        <v>1328.0</v>
      </c>
      <c r="B327" s="2" t="s">
        <v>1028</v>
      </c>
      <c r="C327" s="2">
        <f>IFERROR(__xludf.DUMMYFUNCTION("split(B327,""_"")"),1701.0)</f>
        <v>1701</v>
      </c>
      <c r="D327" s="2" t="str">
        <f>IFERROR(__xludf.DUMMYFUNCTION("""COMPUTED_VALUE"""),"CX")</f>
        <v>CX</v>
      </c>
      <c r="E327" s="2" t="str">
        <f>IFERROR(__xludf.DUMMYFUNCTION("""COMPUTED_VALUE"""),"火21")</f>
        <v>火21</v>
      </c>
      <c r="F327" s="2" t="s">
        <v>1029</v>
      </c>
      <c r="G327" s="2" t="s">
        <v>1051</v>
      </c>
      <c r="H327" s="1">
        <v>8.0</v>
      </c>
      <c r="I327" s="1" t="s">
        <v>29</v>
      </c>
      <c r="J327" s="1" t="s">
        <v>11</v>
      </c>
      <c r="K327" s="2" t="s">
        <v>1052</v>
      </c>
      <c r="L327" s="2" t="s">
        <v>1053</v>
      </c>
      <c r="M327" s="2" t="str">
        <f>IFERROR(__xludf.DUMMYFUNCTION("split(K327,""草ナギ剛　"",false)"),"30年前、一家心中に見せかけて家族を殺された浩一(草ナギ剛)は、事件の首謀者で復讐の最終目標でもある興三(市村正親)に近づくため、娘の楓(山本美月)と婚約。一家殺害のきっかけを作った長男の晃(安田顕)も破滅させ、着実に興三を追い詰めていく。さらに、二科家の周辺で怪しい動きを見せる六車(神保悟志)も30年前の実行犯だとにらんだ浩一は、六車を陥れるための罠を仕掛けることに。危険な計画を前に浩一の身が心配になったハルカ(水原希子)は、「死ぬところなんて見たくない。浩一が好きだから」と、思わず自分の思いを口にして"&amp;"しまう。しかしそんなハルカの身に六車が忍び寄っていた…!    病院ではわずかに言葉を取り戻した興三が千葉陽一の名前を口にしていた。聞き覚えのない名前に浩一との関係を疑う楓。しかし隆(藤木直人)は、浩一こそが千葉陽一だと気づく。隆は、自分や晃に仕掛けられたUSBのウィルスで2000万円をだまし取られた事で、浩一を警察に突き出せるだけの証拠を持っていた。浩一に会いにやって来た隆は金で解決しようと話を進めるが、浩一は興三が“30年前の事件の隠ぺい""を語る録音テープでニシナコーポレーションの弱みを握っていた。"&amp;"張りつめた空気の中で二人が取引を行っていると、そこにある人物が現れて…?    いよいよ浩一の壮絶な復讐劇もクライマックスに突入し、一刻を争う事態に発展していく…!")</f>
        <v>30年前、一家心中に見せかけて家族を殺された浩一(草ナギ剛)は、事件の首謀者で復讐の最終目標でもある興三(市村正親)に近づくため、娘の楓(山本美月)と婚約。一家殺害のきっかけを作った長男の晃(安田顕)も破滅させ、着実に興三を追い詰めていく。さらに、二科家の周辺で怪しい動きを見せる六車(神保悟志)も30年前の実行犯だとにらんだ浩一は、六車を陥れるための罠を仕掛けることに。危険な計画を前に浩一の身が心配になったハルカ(水原希子)は、「死ぬところなんて見たくない。浩一が好きだから」と、思わず自分の思いを口にしてしまう。しかしそんなハルカの身に六車が忍び寄っていた…!    病院ではわずかに言葉を取り戻した興三が千葉陽一の名前を口にしていた。聞き覚えのない名前に浩一との関係を疑う楓。しかし隆(藤木直人)は、浩一こそが千葉陽一だと気づく。隆は、自分や晃に仕掛けられたUSBのウィルスで2000万円をだまし取られた事で、浩一を警察に突き出せるだけの証拠を持っていた。浩一に会いにやって来た隆は金で解決しようと話を進めるが、浩一は興三が“30年前の事件の隠ぺい"を語る録音テープでニシナコーポレーションの弱みを握っていた。張りつめた空気の中で二人が取引を行っていると、そこにある人物が現れて…?    いよいよ浩一の壮絶な復讐劇もクライマックスに突入し、一刻を争う事態に発展していく…!</v>
      </c>
      <c r="N327" s="2" t="str">
        <f>IFERROR(__xludf.DUMMYFUNCTION("""COMPUTED_VALUE"""),"  藤木直人　  水原希子　  菊池風磨(Sexy　Zone)　  マギー　  姜暢雄　  野村麻純  　・　  大杉漣　  神保悟志　  甲本雅裕  　・　  山本美月　  安田顕　  市村正親　    他【脚本】  後藤法子　    【音楽】  林ゆうき　  橘麻美　    【プロデューサー】  三宅喜重　  河西秀幸    【演出】  宝来忠昭　    【制作著作】  関西テレビ【公式ホームページ】  http://www.ktv.jp/uso/index.html(検索:嘘の戦争)    【公式T"&amp;"witter】  @usonosensou_ktv  https://twitter.com/usonosensou_ktv    【公式LINE】  アプリの公式アカウント→　検索　嘘の戦争    【公式Facebook】  https://www.facebook.com/uso.ktv/")</f>
        <v>  藤木直人　  水原希子　  菊池風磨(Sexy　Zone)　  マギー　  姜暢雄　  野村麻純  　・　  大杉漣　  神保悟志　  甲本雅裕  　・　  山本美月　  安田顕　  市村正親　    他【脚本】  後藤法子　    【音楽】  林ゆうき　  橘麻美　    【プロデューサー】  三宅喜重　  河西秀幸    【演出】  宝来忠昭　    【制作著作】  関西テレビ【公式ホームページ】  http://www.ktv.jp/uso/index.html(検索:嘘の戦争)    【公式Twitter】  @usonosensou_ktv  https://twitter.com/usonosensou_ktv    【公式LINE】  アプリの公式アカウント→　検索　嘘の戦争    【公式Facebook】  https://www.facebook.com/uso.ktv/</v>
      </c>
      <c r="O327" s="2"/>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row>
    <row r="328" ht="204.75" customHeight="1">
      <c r="A328" s="1">
        <v>1329.0</v>
      </c>
      <c r="B328" s="2" t="s">
        <v>1028</v>
      </c>
      <c r="C328" s="2">
        <f>IFERROR(__xludf.DUMMYFUNCTION("split(B328,""_"")"),1701.0)</f>
        <v>1701</v>
      </c>
      <c r="D328" s="2" t="str">
        <f>IFERROR(__xludf.DUMMYFUNCTION("""COMPUTED_VALUE"""),"CX")</f>
        <v>CX</v>
      </c>
      <c r="E328" s="2" t="str">
        <f>IFERROR(__xludf.DUMMYFUNCTION("""COMPUTED_VALUE"""),"火21")</f>
        <v>火21</v>
      </c>
      <c r="F328" s="2" t="s">
        <v>1029</v>
      </c>
      <c r="G328" s="2" t="s">
        <v>1054</v>
      </c>
      <c r="H328" s="1">
        <v>9.0</v>
      </c>
      <c r="I328" s="1" t="s">
        <v>33</v>
      </c>
      <c r="J328" s="1" t="s">
        <v>4</v>
      </c>
      <c r="K328" s="2" t="s">
        <v>1055</v>
      </c>
      <c r="L328" s="2" t="s">
        <v>1056</v>
      </c>
      <c r="M328" s="2" t="str">
        <f>IFERROR(__xludf.DUMMYFUNCTION("split(K328,""草ナギ剛　"",false)"),"30年前の一家殺害事件に関わる人物を次々とワナにはめ、ついに最大の標的である興三(市村正親)に復讐するチャンスをつかんだ浩一(草ナギ剛)だったが、30年前に生き残った“千葉陽一""と同一人物だとバレてしまう。浩一は事件の証拠となる録音テープをネットでばらまき、ニシナコーポレーションの粉飾決算をバラすと脅し、会長に謝罪を要求。その一方で興三の手下である六車(神保悟志)と激しい攻防戦を繰り広げる。そんななか、浩一は亡き父が一家殺害の元凶となったOL殺害事件の証拠を守(大杉漣)に託していたことを知り、がくぜん。"&amp;"守にも復讐しようと、離婚して以来疎遠になっている娘・七沢由美子(国仲涼子)に接触をはかる。恩人にも決して容赦はしないーー復讐の鬼と化した浩一を心配するハルカ(水原希子)は…?    一方、浩一の策略で30年前の事件が晃(安田顕)や楓(山本美月)の知るところとなり、さらに会社の粉飾決算の事実も浩一に知られてしまった二科家は、窮地に陥る。そして家族と会社を守りたい一心の隆(藤木直人)は、晃のミスに見せかけ、浩一が2000万円を強奪した詐欺の証拠を握り、警察に突き出そうとする。さらには百田(マギー)に接触し、浩"&amp;"一に反撃しようと動き出すー。    正体がバレ、恩師への復讐も果たそうとする浩一は、この最大のピンチをどう切り抜けるのか!?")</f>
        <v>30年前の一家殺害事件に関わる人物を次々とワナにはめ、ついに最大の標的である興三(市村正親)に復讐するチャンスをつかんだ浩一(草ナギ剛)だったが、30年前に生き残った“千葉陽一"と同一人物だとバレてしまう。浩一は事件の証拠となる録音テープをネットでばらまき、ニシナコーポレーションの粉飾決算をバラすと脅し、会長に謝罪を要求。その一方で興三の手下である六車(神保悟志)と激しい攻防戦を繰り広げる。そんななか、浩一は亡き父が一家殺害の元凶となったOL殺害事件の証拠を守(大杉漣)に託していたことを知り、がくぜん。守にも復讐しようと、離婚して以来疎遠になっている娘・七沢由美子(国仲涼子)に接触をはかる。恩人にも決して容赦はしないーー復讐の鬼と化した浩一を心配するハルカ(水原希子)は…?    一方、浩一の策略で30年前の事件が晃(安田顕)や楓(山本美月)の知るところとなり、さらに会社の粉飾決算の事実も浩一に知られてしまった二科家は、窮地に陥る。そして家族と会社を守りたい一心の隆(藤木直人)は、晃のミスに見せかけ、浩一が2000万円を強奪した詐欺の証拠を握り、警察に突き出そうとする。さらには百田(マギー)に接触し、浩一に反撃しようと動き出すー。    正体がバレ、恩師への復讐も果たそうとする浩一は、この最大のピンチをどう切り抜けるのか!?</v>
      </c>
      <c r="N328" s="2" t="str">
        <f>IFERROR(__xludf.DUMMYFUNCTION("""COMPUTED_VALUE"""),"  藤木直人　  水原希子　  菊池風磨(Sexy　Zone)　  マギー　  姜暢雄　  野村麻純　  たくませいこ　  杉野遥亮  　・　  大杉漣　  神保悟志  　・　  山本美月　  安田顕　  市村正親　    【ゲスト】  国仲涼子　  浜田学【脚本】  後藤法子　    【音楽】  林ゆうき　  橘麻美　    【プロデューサー・演出】  三宅喜重　    【プロデューサー】  河西秀幸　    【制作著作】  関西テレビ【公式ホームページ】  http://www.ktv.jp/uso/"&amp;"index.html　(検索:嘘の戦争)    【公式Twitter】  @usonosensou_ktv　  https://twitter.com/usonosensou_ktv　    【公式LINE】  アプリの公式アカウント→　検索　嘘の戦争    【公式Facebook】  https://www.facebook.com/uso.ktv/")</f>
        <v>  藤木直人　  水原希子　  菊池風磨(Sexy　Zone)　  マギー　  姜暢雄　  野村麻純　  たくませいこ　  杉野遥亮  　・　  大杉漣　  神保悟志  　・　  山本美月　  安田顕　  市村正親　    【ゲスト】  国仲涼子　  浜田学【脚本】  後藤法子　    【音楽】  林ゆうき　  橘麻美　    【プロデューサー・演出】  三宅喜重　    【プロデューサー】  河西秀幸　    【制作著作】  関西テレビ【公式ホームページ】  http://www.ktv.jp/uso/index.html　(検索:嘘の戦争)    【公式Twitter】  @usonosensou_ktv　  https://twitter.com/usonosensou_ktv　    【公式LINE】  アプリの公式アカウント→　検索　嘘の戦争    【公式Facebook】  https://www.facebook.com/uso.ktv/</v>
      </c>
      <c r="O328" s="2"/>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row>
    <row r="329" ht="204.75" customHeight="1">
      <c r="A329" s="1">
        <v>1330.0</v>
      </c>
      <c r="B329" s="2" t="s">
        <v>1028</v>
      </c>
      <c r="C329" s="2">
        <f>IFERROR(__xludf.DUMMYFUNCTION("split(B329,""_"")"),1701.0)</f>
        <v>1701</v>
      </c>
      <c r="D329" s="2" t="str">
        <f>IFERROR(__xludf.DUMMYFUNCTION("""COMPUTED_VALUE"""),"CX")</f>
        <v>CX</v>
      </c>
      <c r="E329" s="2" t="str">
        <f>IFERROR(__xludf.DUMMYFUNCTION("""COMPUTED_VALUE"""),"火21")</f>
        <v>火21</v>
      </c>
      <c r="F329" s="2" t="s">
        <v>1029</v>
      </c>
      <c r="G329" s="2" t="s">
        <v>1057</v>
      </c>
      <c r="H329" s="1">
        <v>10.0</v>
      </c>
      <c r="I329" s="1" t="s">
        <v>37</v>
      </c>
      <c r="J329" s="1" t="s">
        <v>4</v>
      </c>
      <c r="K329" s="2" t="s">
        <v>1058</v>
      </c>
      <c r="L329" s="2" t="s">
        <v>1059</v>
      </c>
      <c r="M329" s="2" t="str">
        <f>IFERROR(__xludf.DUMMYFUNCTION("split(K329,""草ナギ剛　"",false)"),"30年前、一家心中に見せかけて家族を殺された天才詐欺師の浩一(草ナギ剛)は事件の首謀者がニシナコーポレーションの会長である興三(市村正親)だと知り、巧みなウソで長男の晃(安田顕)に近づき、娘の楓(山本美月)と結婚の約束をする。    正体を明らかにした浩一は、興三が30年前の罪を告白した録音テープを公開しない代わりに謝罪会見を開くよう要求。しかし、興三が会見の席で口にしたのは謝罪ではなく、浩一に受けた脅迫や一連の詐欺行為についてだった。  返り討ちにあい、怒りに震える浩一は、例の録音テープを公表しようとす"&amp;"るが、データはすでに、隆(藤木直人)に寝返った百田(マギー)とカズキ(菊池風磨)によって削除されていた。さらに興三の訴えによって、浩一は警察に追われる羽目にーー。    二科家の反撃と仲間の裏切りによって絶体絶命のピンチに陥った浩一だが、いかに興三にざんげをさせるかと、さらなる復讐に燃えていた。一転して浩一は30年前のOL殺人事件を隠ぺいした“新たな証拠と証人が見つかった""と隆に電話をする。「ダマされたら、ダマし返す。詐欺師は詐欺師らしいやり方で…30年前を終わらせる」と笑みを浮かべて話す浩一を心配する"&amp;"ハルカ(水原希子)と守(大杉漣)、果たして浩一が仕掛ける大がかりな新しいワナとは?果たして浩一は30年前の悪夢から解き放たれるのか?ーー天才詐欺師が見た、復讐劇の結末はいかに!?")</f>
        <v>30年前、一家心中に見せかけて家族を殺された天才詐欺師の浩一(草ナギ剛)は事件の首謀者がニシナコーポレーションの会長である興三(市村正親)だと知り、巧みなウソで長男の晃(安田顕)に近づき、娘の楓(山本美月)と結婚の約束をする。    正体を明らかにした浩一は、興三が30年前の罪を告白した録音テープを公開しない代わりに謝罪会見を開くよう要求。しかし、興三が会見の席で口にしたのは謝罪ではなく、浩一に受けた脅迫や一連の詐欺行為についてだった。  返り討ちにあい、怒りに震える浩一は、例の録音テープを公表しようとするが、データはすでに、隆(藤木直人)に寝返った百田(マギー)とカズキ(菊池風磨)によって削除されていた。さらに興三の訴えによって、浩一は警察に追われる羽目にーー。    二科家の反撃と仲間の裏切りによって絶体絶命のピンチに陥った浩一だが、いかに興三にざんげをさせるかと、さらなる復讐に燃えていた。一転して浩一は30年前のOL殺人事件を隠ぺいした“新たな証拠と証人が見つかった"と隆に電話をする。「ダマされたら、ダマし返す。詐欺師は詐欺師らしいやり方で…30年前を終わらせる」と笑みを浮かべて話す浩一を心配するハルカ(水原希子)と守(大杉漣)、果たして浩一が仕掛ける大がかりな新しいワナとは?果たして浩一は30年前の悪夢から解き放たれるのか?ーー天才詐欺師が見た、復讐劇の結末はいかに!?</v>
      </c>
      <c r="N329" s="2" t="str">
        <f>IFERROR(__xludf.DUMMYFUNCTION("""COMPUTED_VALUE"""),"  藤木直人　  水原希子　  菊池風磨(Sexy　Zone)　  マギー　  姜暢雄　  野村麻純  　・　  大杉漣  　・　  山本美月　  安田顕　  市村正親【脚本】  後藤法子　    【音楽】  林ゆうき　  橘麻美　    【演出・プロデューサー】  三宅喜重　    【演出】  宝来忠昭　    【プロデューサー】  河西秀幸　    【制作著作】  関西テレビ【公式ホームページ】  http://www.ktv.jp/uso/index.html(検索:嘘の戦争)    【公式Twit"&amp;"ter】  @usonosensou_ktv　  https://twitter.com/usonosensou_ktv    【公式LINE】  アプリの公式アカウント→　検索　嘘の戦争    【公式Facebook】  http://www.facebook.com/uso.ktv/")</f>
        <v>  藤木直人　  水原希子　  菊池風磨(Sexy　Zone)　  マギー　  姜暢雄　  野村麻純  　・　  大杉漣  　・　  山本美月　  安田顕　  市村正親【脚本】  後藤法子　    【音楽】  林ゆうき　  橘麻美　    【演出・プロデューサー】  三宅喜重　    【演出】  宝来忠昭　    【プロデューサー】  河西秀幸　    【制作著作】  関西テレビ【公式ホームページ】  http://www.ktv.jp/uso/index.html(検索:嘘の戦争)    【公式Twitter】  @usonosensou_ktv　  https://twitter.com/usonosensou_ktv    【公式LINE】  アプリの公式アカウント→　検索　嘘の戦争    【公式Facebook】  http://www.facebook.com/uso.ktv/</v>
      </c>
      <c r="O329" s="2"/>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row>
    <row r="330" ht="204.75" customHeight="1">
      <c r="A330" s="1">
        <v>1360.0</v>
      </c>
      <c r="B330" s="2" t="s">
        <v>1060</v>
      </c>
      <c r="C330" s="2">
        <f>IFERROR(__xludf.DUMMYFUNCTION("split(B330,""_"")"),1701.0)</f>
        <v>1701</v>
      </c>
      <c r="D330" s="2" t="str">
        <f>IFERROR(__xludf.DUMMYFUNCTION("""COMPUTED_VALUE"""),"CX")</f>
        <v>CX</v>
      </c>
      <c r="E330" s="2" t="str">
        <f>IFERROR(__xludf.DUMMYFUNCTION("""COMPUTED_VALUE"""),"木22")</f>
        <v>木22</v>
      </c>
      <c r="F330" s="2" t="s">
        <v>1061</v>
      </c>
      <c r="G330" s="2" t="s">
        <v>1062</v>
      </c>
      <c r="H330" s="1">
        <v>1.0</v>
      </c>
      <c r="I330" s="1" t="s">
        <v>3</v>
      </c>
      <c r="J330" s="1" t="s">
        <v>82</v>
      </c>
      <c r="K330" s="2" t="s">
        <v>1063</v>
      </c>
      <c r="L330" s="2" t="s">
        <v>1064</v>
      </c>
      <c r="M330" s="2" t="str">
        <f>IFERROR(__xludf.DUMMYFUNCTION("split(K330,""香里奈　"",false)"),"公式ホームページ:　http://www.fujitv.co.jp/kira-yu/　刑事の庵堂蘭子(香里奈)が属する捜査一課に、新人刑事の青山年雄(加藤シゲアキ)が配属された。係長の半田陽介(升毅)は青山に、蘭子と組んでモデル殺害事件に加わるように命じる。青山は、刑事の三宅隆俊(桜田通)から教えられ、携帯電話を持たない主義だという蘭子を探しに行く。青山が蘭子を探し当てた時、青山の携帯が鳴り、第二の殺人が起きたと告げられる。蘭子は青山の携帯を取り上げ、情報を得ると現場へ急行する。　第二の被害者もモデルだっ"&amp;"た。鑑識課の梶準之助(正名僕蔵)と、刑事の浦部義孝(丸山智己)が遺体を調べているところに、蘭子と青山が到着。浦部はふたりに周辺の聞き込みに行くよう指示するが、蘭子は無視して遺体を調べ始める。さらに蘭子は、遺体を見た帝都大学医学部助教の相馬めい子(相楽樹)が明かした見解も、安易な妄想だと一蹴する。  　別の日、モデル連続殺人事件の捜査会議が開かれ、刑事の小宮山正明(戸次重幸)が概要などを説明していた。捜査に関わる刑事が勢揃いするなか、蘭子は参加せずにパソコンに向かっていた。マイペースな蘭子に、青山はうんざり"&amp;"。半田に相談すると、別の任務を与えられる。青山が訪れたのは帝都大学の研究室で、そこには警視庁のコンサルタントも務める教授の大文字哲人(椎名桔平)がいた。大文字は、蘭子の下の配属だという青山に、蘭子を理解するには「アドラー心理学」を知る必要があると話し始めた…。")</f>
        <v>公式ホームページ:　http://www.fujitv.co.jp/kira-yu/　刑事の庵堂蘭子(香里奈)が属する捜査一課に、新人刑事の青山年雄(加藤シゲアキ)が配属された。係長の半田陽介(升毅)は青山に、蘭子と組んでモデル殺害事件に加わるように命じる。青山は、刑事の三宅隆俊(桜田通)から教えられ、携帯電話を持たない主義だという蘭子を探しに行く。青山が蘭子を探し当てた時、青山の携帯が鳴り、第二の殺人が起きたと告げられる。蘭子は青山の携帯を取り上げ、情報を得ると現場へ急行する。　第二の被害者もモデルだった。鑑識課の梶準之助(正名僕蔵)と、刑事の浦部義孝(丸山智己)が遺体を調べているところに、蘭子と青山が到着。浦部はふたりに周辺の聞き込みに行くよう指示するが、蘭子は無視して遺体を調べ始める。さらに蘭子は、遺体を見た帝都大学医学部助教の相馬めい子(相楽樹)が明かした見解も、安易な妄想だと一蹴する。  　別の日、モデル連続殺人事件の捜査会議が開かれ、刑事の小宮山正明(戸次重幸)が概要などを説明していた。捜査に関わる刑事が勢揃いするなか、蘭子は参加せずにパソコンに向かっていた。マイペースな蘭子に、青山はうんざり。半田に相談すると、別の任務を与えられる。青山が訪れたのは帝都大学の研究室で、そこには警視庁のコンサルタントも務める教授の大文字哲人(椎名桔平)がいた。大文字は、蘭子の下の配属だという青山に、蘭子を理解するには「アドラー心理学」を知る必要があると話し始めた…。</v>
      </c>
      <c r="N330" s="2" t="str">
        <f>IFERROR(__xludf.DUMMYFUNCTION("""COMPUTED_VALUE"""),"  加藤シゲアキ(NEWS)　  相楽樹　  戸次重幸　  丸山智己　  桜田通　  飯豊まりえ　  岡崎紗絵　  寿大聡  　・　  正名僕蔵　  升毅　  椎名桔平【原案】  岸見一郎　  古賀史健　「嫌われる勇気」(ダイヤモンド社)　    【脚本】  徳永友一　  大石哲也　  ひかわかよ　    【企画】  渡辺恒也　  橋爪駿輝　    【プロデュース】  目黒正之　  井元隆佑　    【演出】  池澤辰也　  及川拓郎　  星野和成　    【音楽】  得田真裕　    【主題歌】  大塚"&amp;"愛　「私」    【オープニングテーマ】  NEWS　「EMMA」　    【制作】  フジテレビ　  東映")</f>
        <v>  加藤シゲアキ(NEWS)　  相楽樹　  戸次重幸　  丸山智己　  桜田通　  飯豊まりえ　  岡崎紗絵　  寿大聡  　・　  正名僕蔵　  升毅　  椎名桔平【原案】  岸見一郎　  古賀史健　「嫌われる勇気」(ダイヤモンド社)　    【脚本】  徳永友一　  大石哲也　  ひかわかよ　    【企画】  渡辺恒也　  橋爪駿輝　    【プロデュース】  目黒正之　  井元隆佑　    【演出】  池澤辰也　  及川拓郎　  星野和成　    【音楽】  得田真裕　    【主題歌】  大塚愛　「私」    【オープニングテーマ】  NEWS　「EMMA」　    【制作】  フジテレビ　  東映</v>
      </c>
      <c r="O330" s="2"/>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row>
    <row r="331" ht="204.75" customHeight="1">
      <c r="A331" s="1">
        <v>1361.0</v>
      </c>
      <c r="B331" s="2" t="s">
        <v>1060</v>
      </c>
      <c r="C331" s="2">
        <f>IFERROR(__xludf.DUMMYFUNCTION("split(B331,""_"")"),1701.0)</f>
        <v>1701</v>
      </c>
      <c r="D331" s="2" t="str">
        <f>IFERROR(__xludf.DUMMYFUNCTION("""COMPUTED_VALUE"""),"CX")</f>
        <v>CX</v>
      </c>
      <c r="E331" s="2" t="str">
        <f>IFERROR(__xludf.DUMMYFUNCTION("""COMPUTED_VALUE"""),"木22")</f>
        <v>木22</v>
      </c>
      <c r="F331" s="2" t="s">
        <v>1061</v>
      </c>
      <c r="G331" s="2" t="s">
        <v>1065</v>
      </c>
      <c r="H331" s="1">
        <v>2.0</v>
      </c>
      <c r="I331" s="1" t="s">
        <v>7</v>
      </c>
      <c r="J331" s="1" t="s">
        <v>86</v>
      </c>
      <c r="K331" s="2" t="s">
        <v>1066</v>
      </c>
      <c r="L331" s="2" t="s">
        <v>1067</v>
      </c>
      <c r="M331" s="2" t="str">
        <f>IFERROR(__xludf.DUMMYFUNCTION("split(K331,""香里奈　"",false)"),"【公式ホームページ】  http://www.fujitv.co.jp/kira-yu/「絶対に消えないペン」などのヒット商品があるメーカーの執行役員の市川が、深夜に会社の窓から転落死した。現場の状況や第一発見者の証言から、浦部(丸山智己)は自殺だと断定するが、青山(加藤シゲアキ)とともに現場に駆け付けた蘭子(香里奈)は、それを否定。自殺に見せかけた殺人で、犯人は被害者と同じ会社にいると推理した。遺体を司法解剖しためい子(相楽樹)も、蘭子の見立てを支持する。  市川が率いていた商品開発部には、絵実華(大後"&amp;"寿々花)や竹内(笠原秀幸)ら10名ほどの社員がいた。聞き込みに来た蘭子は、社員たちのデスクに目覚ましドリンクやグッズが置かれていることに気づく。さらに、市川が転落した窓がある小部屋で、1年前に同じ部の成美という若い女性が自殺していたことが判明。1年の間に同じ部屋から2人の死者が出たことを怪しんだ半田(升毅)は、小宮山(戸次重幸)と浦部に人間関係の洗い出しを、三宅(桜田通)には事件当日の市川の足取りを追うよう指示。自分は何をすればいいのか、と聞く青山には、蘭子に従えと言う。  社内を歩き回り事情を聴く蘭子を"&amp;"、追うように付いていく青山。何か分かったことがあるか、と聞くと、蘭子は社員たちが“変わらない""という決断をしていると返した。まるで意味が分からない青山は、大文字(椎名桔平)を訪ね、そのことを報告。すると蘭子が意図するのは「目的論だろう」と話し始めた。")</f>
        <v>【公式ホームページ】  http://www.fujitv.co.jp/kira-yu/「絶対に消えないペン」などのヒット商品があるメーカーの執行役員の市川が、深夜に会社の窓から転落死した。現場の状況や第一発見者の証言から、浦部(丸山智己)は自殺だと断定するが、青山(加藤シゲアキ)とともに現場に駆け付けた蘭子(香里奈)は、それを否定。自殺に見せかけた殺人で、犯人は被害者と同じ会社にいると推理した。遺体を司法解剖しためい子(相楽樹)も、蘭子の見立てを支持する。  市川が率いていた商品開発部には、絵実華(大後寿々花)や竹内(笠原秀幸)ら10名ほどの社員がいた。聞き込みに来た蘭子は、社員たちのデスクに目覚ましドリンクやグッズが置かれていることに気づく。さらに、市川が転落した窓がある小部屋で、1年前に同じ部の成美という若い女性が自殺していたことが判明。1年の間に同じ部屋から2人の死者が出たことを怪しんだ半田(升毅)は、小宮山(戸次重幸)と浦部に人間関係の洗い出しを、三宅(桜田通)には事件当日の市川の足取りを追うよう指示。自分は何をすればいいのか、と聞く青山には、蘭子に従えと言う。  社内を歩き回り事情を聴く蘭子を、追うように付いていく青山。何か分かったことがあるか、と聞くと、蘭子は社員たちが“変わらない"という決断をしていると返した。まるで意味が分からない青山は、大文字(椎名桔平)を訪ね、そのことを報告。すると蘭子が意図するのは「目的論だろう」と話し始めた。</v>
      </c>
      <c r="N331" s="2" t="str">
        <f>IFERROR(__xludf.DUMMYFUNCTION("""COMPUTED_VALUE"""),"  加藤シゲアキ(NEWS)　  相楽樹　  戸次重幸　  丸山智己　  桜田通　  飯豊まりえ　  岡崎紗絵　  寿大聡  　・　  正名僕蔵　  升毅　  椎名桔平【原案】  岸見一郎　  古賀史健　「嫌われる勇気」(ダイヤモンド社)　    【脚本】  徳永友一　  大石哲也　  ひかわかよ　    【企画】  渡辺恒也　  橋爪駿輝　    【プロデュース】  目黒正之　  井元隆佑　    【演出】  池澤辰也　  及川拓郎　  星野和成　    【音楽】  得田真裕　    【主題歌】  大塚"&amp;"愛　「私」　    【オープニングテーマ】  NEWS　「EMMA」　    【制作】  フジテレビ　  東映")</f>
        <v>  加藤シゲアキ(NEWS)　  相楽樹　  戸次重幸　  丸山智己　  桜田通　  飯豊まりえ　  岡崎紗絵　  寿大聡  　・　  正名僕蔵　  升毅　  椎名桔平【原案】  岸見一郎　  古賀史健　「嫌われる勇気」(ダイヤモンド社)　    【脚本】  徳永友一　  大石哲也　  ひかわかよ　    【企画】  渡辺恒也　  橋爪駿輝　    【プロデュース】  目黒正之　  井元隆佑　    【演出】  池澤辰也　  及川拓郎　  星野和成　    【音楽】  得田真裕　    【主題歌】  大塚愛　「私」　    【オープニングテーマ】  NEWS　「EMMA」　    【制作】  フジテレビ　  東映</v>
      </c>
      <c r="O331" s="2"/>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row>
    <row r="332" ht="204.75" customHeight="1">
      <c r="A332" s="1">
        <v>1362.0</v>
      </c>
      <c r="B332" s="2" t="s">
        <v>1060</v>
      </c>
      <c r="C332" s="2">
        <f>IFERROR(__xludf.DUMMYFUNCTION("split(B332,""_"")"),1701.0)</f>
        <v>1701</v>
      </c>
      <c r="D332" s="2" t="str">
        <f>IFERROR(__xludf.DUMMYFUNCTION("""COMPUTED_VALUE"""),"CX")</f>
        <v>CX</v>
      </c>
      <c r="E332" s="2" t="str">
        <f>IFERROR(__xludf.DUMMYFUNCTION("""COMPUTED_VALUE"""),"木22")</f>
        <v>木22</v>
      </c>
      <c r="F332" s="2" t="s">
        <v>1061</v>
      </c>
      <c r="G332" s="2" t="s">
        <v>1068</v>
      </c>
      <c r="H332" s="1">
        <v>3.0</v>
      </c>
      <c r="I332" s="1" t="s">
        <v>10</v>
      </c>
      <c r="J332" s="1" t="s">
        <v>86</v>
      </c>
      <c r="K332" s="2" t="s">
        <v>1069</v>
      </c>
      <c r="L332" s="2" t="s">
        <v>1070</v>
      </c>
      <c r="M332" s="2" t="str">
        <f>IFERROR(__xludf.DUMMYFUNCTION("split(K332,""香里奈　"",false)"),"公式ホームページ:　http://www.fujitv.co.jp/kira-yu/名門女子高の数学教師・吉野沙織(上野なつひ)が自宅マンションで殺害された。部屋は荒らされ、財布、パソコン、携帯電話などが持ち去られていることから、浦部(丸山智己)は強盗殺人だろうと推測。沙織の教え子で、遺体の第一発見者の仁科恵(高月彩良)は、犯人らしき男を見たと証言した。蘭子(香里奈)は、小宮山(戸次重幸)と浦部からの事情聴取を終えた恵に声をかけた。なぜ沙織のマンションを訪ねたのか、と聞く蘭子に恵は、事件とは関係ないと言い"&amp;"放つ。  沙織を司法解剖しためい子(相楽樹)は、右の手のひらに赤いかぶれのようなものがあると報告。早急に原因を調べてくれとそっけなく返す蘭子に、それが人に物を頼む態度かと、いら立ちをあらわにする。めい子は、蘭子に不満を募らせていて、それを大文字(椎名桔平)に相談していた。  蘭子は青山(加藤シゲアキ)と、沙織が勤めた高校へ行き、恵の同級生に話を聞いた。沙織が優秀な教師で生徒からも信頼されていたこと、特に恵と親しかったことなどを確認。一方、恵は入学以来学年トップの成績だが、同級生の誰とも交流をしていないこと"&amp;"がわかった。  その後、蘭子と青山は恵の自宅を訪問。母親の美子(霧島れいか)は、恵が学業でとった数々の賞状に驚く青山に、恵が優秀なのは自分ではなく夫に似たせいだろうと話した。娘のため、自分にできることは何でもしてきたと話す美子に、蘭子はある違和感を抱く。")</f>
        <v>公式ホームページ:　http://www.fujitv.co.jp/kira-yu/名門女子高の数学教師・吉野沙織(上野なつひ)が自宅マンションで殺害された。部屋は荒らされ、財布、パソコン、携帯電話などが持ち去られていることから、浦部(丸山智己)は強盗殺人だろうと推測。沙織の教え子で、遺体の第一発見者の仁科恵(高月彩良)は、犯人らしき男を見たと証言した。蘭子(香里奈)は、小宮山(戸次重幸)と浦部からの事情聴取を終えた恵に声をかけた。なぜ沙織のマンションを訪ねたのか、と聞く蘭子に恵は、事件とは関係ないと言い放つ。  沙織を司法解剖しためい子(相楽樹)は、右の手のひらに赤いかぶれのようなものがあると報告。早急に原因を調べてくれとそっけなく返す蘭子に、それが人に物を頼む態度かと、いら立ちをあらわにする。めい子は、蘭子に不満を募らせていて、それを大文字(椎名桔平)に相談していた。  蘭子は青山(加藤シゲアキ)と、沙織が勤めた高校へ行き、恵の同級生に話を聞いた。沙織が優秀な教師で生徒からも信頼されていたこと、特に恵と親しかったことなどを確認。一方、恵は入学以来学年トップの成績だが、同級生の誰とも交流をしていないことがわかった。  その後、蘭子と青山は恵の自宅を訪問。母親の美子(霧島れいか)は、恵が学業でとった数々の賞状に驚く青山に、恵が優秀なのは自分ではなく夫に似たせいだろうと話した。娘のため、自分にできることは何でもしてきたと話す美子に、蘭子はある違和感を抱く。</v>
      </c>
      <c r="N332" s="2" t="str">
        <f>IFERROR(__xludf.DUMMYFUNCTION("""COMPUTED_VALUE"""),"  加藤シゲアキ(NEWS)　  相楽樹　  戸次重幸　  丸山智己　  桜田通　  飯豊まりえ　  岡崎紗絵　  寿大聡  　・　  正名僕蔵　  升毅　  椎名桔平【原案】  岸見一郎　  古賀史健　「嫌われる勇気」(ダイヤモンド社)　    【脚本】  徳永友一　  大石哲也　  ひかわかよ　    【企画】  渡辺恒也　  橋爪駿輝　    【プロデュース】  目黒正之　  井元隆佑　    【演出】  池澤辰也　  及川拓郎　  星野和成　    【音楽】  得田真裕　    【主題歌】  大塚"&amp;"愛　「私」　    【オープニングテーマ】  NEWS　「EMMA」　    【制作】  フジテレビ　  東映")</f>
        <v>  加藤シゲアキ(NEWS)　  相楽樹　  戸次重幸　  丸山智己　  桜田通　  飯豊まりえ　  岡崎紗絵　  寿大聡  　・　  正名僕蔵　  升毅　  椎名桔平【原案】  岸見一郎　  古賀史健　「嫌われる勇気」(ダイヤモンド社)　    【脚本】  徳永友一　  大石哲也　  ひかわかよ　    【企画】  渡辺恒也　  橋爪駿輝　    【プロデュース】  目黒正之　  井元隆佑　    【演出】  池澤辰也　  及川拓郎　  星野和成　    【音楽】  得田真裕　    【主題歌】  大塚愛　「私」　    【オープニングテーマ】  NEWS　「EMMA」　    【制作】  フジテレビ　  東映</v>
      </c>
      <c r="O332" s="2"/>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row>
    <row r="333" ht="204.75" customHeight="1">
      <c r="A333" s="1">
        <v>1363.0</v>
      </c>
      <c r="B333" s="2" t="s">
        <v>1060</v>
      </c>
      <c r="C333" s="2">
        <f>IFERROR(__xludf.DUMMYFUNCTION("split(B333,""_"")"),1701.0)</f>
        <v>1701</v>
      </c>
      <c r="D333" s="2" t="str">
        <f>IFERROR(__xludf.DUMMYFUNCTION("""COMPUTED_VALUE"""),"CX")</f>
        <v>CX</v>
      </c>
      <c r="E333" s="2" t="str">
        <f>IFERROR(__xludf.DUMMYFUNCTION("""COMPUTED_VALUE"""),"木22")</f>
        <v>木22</v>
      </c>
      <c r="F333" s="2" t="s">
        <v>1061</v>
      </c>
      <c r="G333" s="2" t="s">
        <v>1071</v>
      </c>
      <c r="H333" s="1">
        <v>4.0</v>
      </c>
      <c r="I333" s="1" t="s">
        <v>14</v>
      </c>
      <c r="J333" s="1" t="s">
        <v>86</v>
      </c>
      <c r="K333" s="2" t="s">
        <v>1072</v>
      </c>
      <c r="L333" s="2" t="s">
        <v>1073</v>
      </c>
      <c r="M333" s="2" t="str">
        <f>IFERROR(__xludf.DUMMYFUNCTION("split(K333,""香里奈　"",false)"),"公式ホームページ:　http://www.fujitv.co.jp/kira-yu/蘭子(香里奈)と青山(加藤シゲアキ)が元大臣・狸穴勝利(山田明郷)の葬儀に現れると、葬儀は中止だと言った。勝利の死に不審な点があると説明する蘭子に、勝利の妻・治子(朝加真由美)は、夫は病気で死んだのだと主張。蘭子はさえぎるように、霊きゅう車に収められた勝利の遺体を帝都大学の解剖室へと送った。その様子を、家政婦・吉川(小松彩夏)が見ていた。  狸穴家のかかりつけ医によると、治子からの連絡で狸穴家に駆け付けると、自室で勝利が死"&amp;"んでいた。医師が死因を調べようとすると、治子、長男・寿也(水橋研二)、秘書が反対した。不審に思った医師は、警察に相談したのだ。事情を聞いた浦部(丸山智己)は他殺を疑い、半田(升毅)も賛同するが、小宮山(戸次重幸)は相手が国会議員だと聞きちゅうちょする。  一方、蘭子の行動に怒りを爆発させた青山は大文字(椎名桔平)を訪ね、自由過ぎる蘭子を理解するにはどうすればいいかと問いかけた。大文字は、自由とは他者から嫌われることであり、嫌われることを恐れるな、と答えたが、青山は反発する。  勝利の遺体を解剖しためい子("&amp;"相楽樹)は、直接の死因は心不全だが、左側頭部に内出血があると報告。さらに、遺体の髪にガラスの破片が付着していたことも指摘する。  その後、蘭子は小宮山らと、狸穴の邸宅に捜査に行く。そこで蘭子は、勝利、寿也、長女・さゆり(前田亜季)が写っている家族写真に目をとめた。")</f>
        <v>公式ホームページ:　http://www.fujitv.co.jp/kira-yu/蘭子(香里奈)と青山(加藤シゲアキ)が元大臣・狸穴勝利(山田明郷)の葬儀に現れると、葬儀は中止だと言った。勝利の死に不審な点があると説明する蘭子に、勝利の妻・治子(朝加真由美)は、夫は病気で死んだのだと主張。蘭子はさえぎるように、霊きゅう車に収められた勝利の遺体を帝都大学の解剖室へと送った。その様子を、家政婦・吉川(小松彩夏)が見ていた。  狸穴家のかかりつけ医によると、治子からの連絡で狸穴家に駆け付けると、自室で勝利が死んでいた。医師が死因を調べようとすると、治子、長男・寿也(水橋研二)、秘書が反対した。不審に思った医師は、警察に相談したのだ。事情を聞いた浦部(丸山智己)は他殺を疑い、半田(升毅)も賛同するが、小宮山(戸次重幸)は相手が国会議員だと聞きちゅうちょする。  一方、蘭子の行動に怒りを爆発させた青山は大文字(椎名桔平)を訪ね、自由過ぎる蘭子を理解するにはどうすればいいかと問いかけた。大文字は、自由とは他者から嫌われることであり、嫌われることを恐れるな、と答えたが、青山は反発する。  勝利の遺体を解剖しためい子(相楽樹)は、直接の死因は心不全だが、左側頭部に内出血があると報告。さらに、遺体の髪にガラスの破片が付着していたことも指摘する。  その後、蘭子は小宮山らと、狸穴の邸宅に捜査に行く。そこで蘭子は、勝利、寿也、長女・さゆり(前田亜季)が写っている家族写真に目をとめた。</v>
      </c>
      <c r="N333" s="2" t="str">
        <f>IFERROR(__xludf.DUMMYFUNCTION("""COMPUTED_VALUE"""),"  加藤シゲアキ(NEWS)　  相楽樹　  戸次重幸　  丸山智己　  桜田通　  飯豊まりえ　  岡崎紗絵　  寿大聡  　・　  正名僕蔵　  升毅　  椎名桔平【原案】  岸見一郎　  古賀史健　「嫌われる勇気」(ダイヤモンド社)　    【脚本】  徳永友一　  大石哲也　  ひかわかよ　    【企画】  渡辺恒也　  橋爪駿輝　    【プロデュース】  目黒正之　  井元隆佑　    【演出】  池澤辰也　  及川拓郎　  星野和成　    【音楽】  得田真裕　    【主題歌】  大塚"&amp;"愛　「私」　    【オープニングテーマ】  NEWS　「EMMA」　    【制作】  フジテレビ　  東映")</f>
        <v>  加藤シゲアキ(NEWS)　  相楽樹　  戸次重幸　  丸山智己　  桜田通　  飯豊まりえ　  岡崎紗絵　  寿大聡  　・　  正名僕蔵　  升毅　  椎名桔平【原案】  岸見一郎　  古賀史健　「嫌われる勇気」(ダイヤモンド社)　    【脚本】  徳永友一　  大石哲也　  ひかわかよ　    【企画】  渡辺恒也　  橋爪駿輝　    【プロデュース】  目黒正之　  井元隆佑　    【演出】  池澤辰也　  及川拓郎　  星野和成　    【音楽】  得田真裕　    【主題歌】  大塚愛　「私」　    【オープニングテーマ】  NEWS　「EMMA」　    【制作】  フジテレビ　  東映</v>
      </c>
      <c r="O333" s="2"/>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row>
    <row r="334" ht="204.75" customHeight="1">
      <c r="A334" s="1">
        <v>1364.0</v>
      </c>
      <c r="B334" s="2" t="s">
        <v>1060</v>
      </c>
      <c r="C334" s="2">
        <f>IFERROR(__xludf.DUMMYFUNCTION("split(B334,""_"")"),1701.0)</f>
        <v>1701</v>
      </c>
      <c r="D334" s="2" t="str">
        <f>IFERROR(__xludf.DUMMYFUNCTION("""COMPUTED_VALUE"""),"CX")</f>
        <v>CX</v>
      </c>
      <c r="E334" s="2" t="str">
        <f>IFERROR(__xludf.DUMMYFUNCTION("""COMPUTED_VALUE"""),"木22")</f>
        <v>木22</v>
      </c>
      <c r="F334" s="2" t="s">
        <v>1061</v>
      </c>
      <c r="G334" s="2" t="s">
        <v>1074</v>
      </c>
      <c r="H334" s="1">
        <v>5.0</v>
      </c>
      <c r="I334" s="1" t="s">
        <v>17</v>
      </c>
      <c r="J334" s="1" t="s">
        <v>86</v>
      </c>
      <c r="K334" s="2" t="s">
        <v>1075</v>
      </c>
      <c r="L334" s="2" t="s">
        <v>1076</v>
      </c>
      <c r="M334" s="2" t="str">
        <f>IFERROR(__xludf.DUMMYFUNCTION("split(K334,""香里奈　"",false)"),"公式ホームページ:　http://www.fujitv.co.jp/kira-yu/蘭子(香里奈)は、大文字(椎名桔平)ゼミのOB会に出席していた。そこには、犬猿の仲で知られる塔子(内山理名)と美沙(中島亜梨沙)の姿もあった。その時、美沙の夫で帝都大学の准教授・山岸(六角慎司)が殺害されたとの報せが入る。  山岸は、自分の研究室で刺殺されていた。遺体を見た大文字は、遺体の状態だけを見ると、犯人は男の可能性が高いと指摘。蘭子は、山岸の机に置かれた「フラワーバレンタイン」というイベントのチラシに塔子の名前があ"&amp;"ることに気づく。  蘭子が青山(加藤シゲアキ)とともに、イベントについて塔子から事情を聞いていると、美沙が来て、自分に隠れて夫に会っていたのかと激怒する。山岸は美沙へのサプライズを考えていたのだ、と山岸と会っていた理由を説明する塔子。しかし美沙は納得せず、2人は大ゲンカになる。もともと塔子と美沙は、大の仲良しだった。しかし、学生時代に塔子が交際していた山岸を美沙が略奪してから絶縁状態となっていた。  山岸殺害時のアリバイがなく、動機もあることから、塔子が容疑者として浮上。青山は、15年以上前の恨みで今さら"&amp;"男を殺そうと思うかと疑問を投げかけるが、小宮山(戸次重幸)は、女は執念深い生き物だと一蹴する。後日、塔子主催のイベントが開かれ、蘭子も手伝いで参加する。そこへやってきた青山に、蘭子は自分にもフラワーバレンタインをくれと頼む。青山は、蘭子へ贈る花束を作り始める。")</f>
        <v>公式ホームページ:　http://www.fujitv.co.jp/kira-yu/蘭子(香里奈)は、大文字(椎名桔平)ゼミのOB会に出席していた。そこには、犬猿の仲で知られる塔子(内山理名)と美沙(中島亜梨沙)の姿もあった。その時、美沙の夫で帝都大学の准教授・山岸(六角慎司)が殺害されたとの報せが入る。  山岸は、自分の研究室で刺殺されていた。遺体を見た大文字は、遺体の状態だけを見ると、犯人は男の可能性が高いと指摘。蘭子は、山岸の机に置かれた「フラワーバレンタイン」というイベントのチラシに塔子の名前があることに気づく。  蘭子が青山(加藤シゲアキ)とともに、イベントについて塔子から事情を聞いていると、美沙が来て、自分に隠れて夫に会っていたのかと激怒する。山岸は美沙へのサプライズを考えていたのだ、と山岸と会っていた理由を説明する塔子。しかし美沙は納得せず、2人は大ゲンカになる。もともと塔子と美沙は、大の仲良しだった。しかし、学生時代に塔子が交際していた山岸を美沙が略奪してから絶縁状態となっていた。  山岸殺害時のアリバイがなく、動機もあることから、塔子が容疑者として浮上。青山は、15年以上前の恨みで今さら男を殺そうと思うかと疑問を投げかけるが、小宮山(戸次重幸)は、女は執念深い生き物だと一蹴する。後日、塔子主催のイベントが開かれ、蘭子も手伝いで参加する。そこへやってきた青山に、蘭子は自分にもフラワーバレンタインをくれと頼む。青山は、蘭子へ贈る花束を作り始める。</v>
      </c>
      <c r="N334" s="2" t="str">
        <f>IFERROR(__xludf.DUMMYFUNCTION("""COMPUTED_VALUE"""),"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"&amp;"井元隆佑　    【演出】  池澤辰也　  及川拓郎　  星野和成　    【制作】  フジテレビ　  東映")</f>
        <v>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v>
      </c>
      <c r="O334" s="2"/>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row>
    <row r="335" ht="204.75" customHeight="1">
      <c r="A335" s="1">
        <v>1365.0</v>
      </c>
      <c r="B335" s="2" t="s">
        <v>1060</v>
      </c>
      <c r="C335" s="2">
        <f>IFERROR(__xludf.DUMMYFUNCTION("split(B335,""_"")"),1701.0)</f>
        <v>1701</v>
      </c>
      <c r="D335" s="2" t="str">
        <f>IFERROR(__xludf.DUMMYFUNCTION("""COMPUTED_VALUE"""),"CX")</f>
        <v>CX</v>
      </c>
      <c r="E335" s="2" t="str">
        <f>IFERROR(__xludf.DUMMYFUNCTION("""COMPUTED_VALUE"""),"木22")</f>
        <v>木22</v>
      </c>
      <c r="F335" s="2" t="s">
        <v>1061</v>
      </c>
      <c r="G335" s="2" t="s">
        <v>1077</v>
      </c>
      <c r="H335" s="1">
        <v>6.0</v>
      </c>
      <c r="I335" s="1" t="s">
        <v>21</v>
      </c>
      <c r="J335" s="1" t="s">
        <v>86</v>
      </c>
      <c r="K335" s="2" t="s">
        <v>1078</v>
      </c>
      <c r="L335" s="2" t="s">
        <v>1079</v>
      </c>
      <c r="M335" s="2" t="str">
        <f>IFERROR(__xludf.DUMMYFUNCTION("split(K335,""香里奈　"",false)"),"「四大陸フィギュアスケート選手権2017女子ショートプログラム」延長の際、放送時間繰り下げの場合あり。公式ホームページ:　http://www.fujitv.co.jp/kira-yu/青山(加藤シゲアキ)は、蘭子(香里奈)が若い男(堀井新太)に抱きつき、うれしそうにしている様子を目の当たりにする。ふたりはそのまま行ってしまい、青山はひとりその場に取り残される。そのことを不服そうに大文字(椎名桔平)に話すと、蘭子のことが気になって仕方がないんですねと言われ、動揺してしまう。  ある夜、めい子(相楽樹)は、"&amp;"公園で人を待っていた。しばらくあたりを見回すが、誰もやって来る気配がない。めい子は、半ばあきらめたように、黙って公園をあとにした。  そんな中、河川敷で男性の水死体が発見される。片方の靴がなく、所持品もない。身元判明には時間がかかると思われ、遺体は解剖室に運び込まれた。その顔を見て、めい子の表情は一変、固まってしまう。遺体の男性は、かつてのめい子の恋人・繁田諒(渋江譲二)だった。蘭子は、そんなめい子に対し、諒との関係をずけずけと問いただしていく。  諒の直接の死因は溺死、しかし、全身に創傷と打撲があった。"&amp;"諒は、ケガのためにバスケットボール選手を引退、現在はスポーツジムでインストラクターをしていた。諒が亡くなる1週間ほど前、ジムに、諒が弁護士・木本正晴(河相我聞)の自宅で、妻の遥(知花くらら)に個人指導をし、不適切な関係を結んでいるから辞めさせるようにとの匿名メールが届いていたことがわかる。蘭子と青山は、木本夫妻の自宅へ向かい、ふたりから話を聞くことにする。")</f>
        <v>「四大陸フィギュアスケート選手権2017女子ショートプログラム」延長の際、放送時間繰り下げの場合あり。公式ホームページ:　http://www.fujitv.co.jp/kira-yu/青山(加藤シゲアキ)は、蘭子(香里奈)が若い男(堀井新太)に抱きつき、うれしそうにしている様子を目の当たりにする。ふたりはそのまま行ってしまい、青山はひとりその場に取り残される。そのことを不服そうに大文字(椎名桔平)に話すと、蘭子のことが気になって仕方がないんですねと言われ、動揺してしまう。  ある夜、めい子(相楽樹)は、公園で人を待っていた。しばらくあたりを見回すが、誰もやって来る気配がない。めい子は、半ばあきらめたように、黙って公園をあとにした。  そんな中、河川敷で男性の水死体が発見される。片方の靴がなく、所持品もない。身元判明には時間がかかると思われ、遺体は解剖室に運び込まれた。その顔を見て、めい子の表情は一変、固まってしまう。遺体の男性は、かつてのめい子の恋人・繁田諒(渋江譲二)だった。蘭子は、そんなめい子に対し、諒との関係をずけずけと問いただしていく。  諒の直接の死因は溺死、しかし、全身に創傷と打撲があった。諒は、ケガのためにバスケットボール選手を引退、現在はスポーツジムでインストラクターをしていた。諒が亡くなる1週間ほど前、ジムに、諒が弁護士・木本正晴(河相我聞)の自宅で、妻の遥(知花くらら)に個人指導をし、不適切な関係を結んでいるから辞めさせるようにとの匿名メールが届いていたことがわかる。蘭子と青山は、木本夫妻の自宅へ向かい、ふたりから話を聞くことにする。</v>
      </c>
      <c r="N335" s="2" t="str">
        <f>IFERROR(__xludf.DUMMYFUNCTION("""COMPUTED_VALUE"""),"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"&amp;"井元隆佑　    【演出】  池澤辰也　  及川拓郎　  星野和成　    【制作】  フジテレビ　  東映")</f>
        <v>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v>
      </c>
      <c r="O335" s="2"/>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row>
    <row r="336" ht="204.75" customHeight="1">
      <c r="A336" s="1">
        <v>1366.0</v>
      </c>
      <c r="B336" s="2" t="s">
        <v>1060</v>
      </c>
      <c r="C336" s="2">
        <f>IFERROR(__xludf.DUMMYFUNCTION("split(B336,""_"")"),1701.0)</f>
        <v>1701</v>
      </c>
      <c r="D336" s="2" t="str">
        <f>IFERROR(__xludf.DUMMYFUNCTION("""COMPUTED_VALUE"""),"CX")</f>
        <v>CX</v>
      </c>
      <c r="E336" s="2" t="str">
        <f>IFERROR(__xludf.DUMMYFUNCTION("""COMPUTED_VALUE"""),"木22")</f>
        <v>木22</v>
      </c>
      <c r="F336" s="2" t="s">
        <v>1061</v>
      </c>
      <c r="G336" s="2" t="s">
        <v>1080</v>
      </c>
      <c r="H336" s="1">
        <v>7.0</v>
      </c>
      <c r="I336" s="1" t="s">
        <v>25</v>
      </c>
      <c r="J336" s="1" t="s">
        <v>86</v>
      </c>
      <c r="K336" s="2" t="s">
        <v>1081</v>
      </c>
      <c r="L336" s="2" t="s">
        <v>1082</v>
      </c>
      <c r="M336" s="2" t="str">
        <f>IFERROR(__xludf.DUMMYFUNCTION("split(K336,""香里奈　"",false)"),"公式ホームページ:　http://www.fujitv.co.jp/kira-yu/蘭子(香里奈)が出勤すると、応接室で青山(加藤シゲアキ)と半田(升毅)が、佐藤という男性(板尾創路)と向き合っていた。佐藤は、先日起こった爆発事件の目撃者で、犯人に命を狙われているから保護してくれ、と青山に訴えてきたのだ。佐藤は、犯人から渡されたというカバンの中身を出すよう青山に指示。そこには、ぬいぐるみ、スマホ、タブレットが入っていた。青山がぬいぐるみを取り上げると、爆弾が仕掛けられていたことが判明。下に置くと爆発する、"&amp;"と佐藤に言われた青山は、手を離せなくなる。そこへ、犯人からスマホに着信が。自分は先日の爆発事件の犯人で、8係を監視している。外部と連絡を取ったりすれば、ぬいぐるみを爆発させると予告。目的は何か、と聞いた蘭子に、君と勝負がしたい、と言った。  その後、犯人から二度目の着信があり、自分が指定した場所にある手紙に書かれたクイズに答えろ、と命じられる。ヒントは1枚の写真だったが、三宅(桜田通)の分析で場所を特定。蘭子は、その場へ向かう。爆弾を抱えた青山は、不安を感じながらも、蘭子を見送った。犯人の狙いは蘭子なのに"&amp;"、巻き込まれて気の毒だ、という佐藤に、青山は、自分と蘭子は共同体だと返す。実は、その共同体感覚こそが、アドラー心理学のゴールだと、青山は大文字(椎名桔平)から教えられていた。  その頃、小宮山(戸次重幸)と浦部(丸山智己)は、一心不乱に駆けていく蘭子を目撃する。")</f>
        <v>公式ホームページ:　http://www.fujitv.co.jp/kira-yu/蘭子(香里奈)が出勤すると、応接室で青山(加藤シゲアキ)と半田(升毅)が、佐藤という男性(板尾創路)と向き合っていた。佐藤は、先日起こった爆発事件の目撃者で、犯人に命を狙われているから保護してくれ、と青山に訴えてきたのだ。佐藤は、犯人から渡されたというカバンの中身を出すよう青山に指示。そこには、ぬいぐるみ、スマホ、タブレットが入っていた。青山がぬいぐるみを取り上げると、爆弾が仕掛けられていたことが判明。下に置くと爆発する、と佐藤に言われた青山は、手を離せなくなる。そこへ、犯人からスマホに着信が。自分は先日の爆発事件の犯人で、8係を監視している。外部と連絡を取ったりすれば、ぬいぐるみを爆発させると予告。目的は何か、と聞いた蘭子に、君と勝負がしたい、と言った。  その後、犯人から二度目の着信があり、自分が指定した場所にある手紙に書かれたクイズに答えろ、と命じられる。ヒントは1枚の写真だったが、三宅(桜田通)の分析で場所を特定。蘭子は、その場へ向かう。爆弾を抱えた青山は、不安を感じながらも、蘭子を見送った。犯人の狙いは蘭子なのに、巻き込まれて気の毒だ、という佐藤に、青山は、自分と蘭子は共同体だと返す。実は、その共同体感覚こそが、アドラー心理学のゴールだと、青山は大文字(椎名桔平)から教えられていた。  その頃、小宮山(戸次重幸)と浦部(丸山智己)は、一心不乱に駆けていく蘭子を目撃する。</v>
      </c>
      <c r="N336" s="2" t="str">
        <f>IFERROR(__xludf.DUMMYFUNCTION("""COMPUTED_VALUE"""),"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"&amp;"井元隆佑　    【演出】  池澤辰也　  及川拓郎　  星野和成　    【制作】  フジテレビ　  東映")</f>
        <v>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v>
      </c>
      <c r="O336" s="2"/>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row>
    <row r="337" ht="204.75" customHeight="1">
      <c r="A337" s="1">
        <v>1367.0</v>
      </c>
      <c r="B337" s="2" t="s">
        <v>1060</v>
      </c>
      <c r="C337" s="2">
        <f>IFERROR(__xludf.DUMMYFUNCTION("split(B337,""_"")"),1701.0)</f>
        <v>1701</v>
      </c>
      <c r="D337" s="2" t="str">
        <f>IFERROR(__xludf.DUMMYFUNCTION("""COMPUTED_VALUE"""),"CX")</f>
        <v>CX</v>
      </c>
      <c r="E337" s="2" t="str">
        <f>IFERROR(__xludf.DUMMYFUNCTION("""COMPUTED_VALUE"""),"木22")</f>
        <v>木22</v>
      </c>
      <c r="F337" s="2" t="s">
        <v>1061</v>
      </c>
      <c r="G337" s="2" t="s">
        <v>1083</v>
      </c>
      <c r="H337" s="1">
        <v>8.0</v>
      </c>
      <c r="I337" s="1" t="s">
        <v>29</v>
      </c>
      <c r="J337" s="1" t="s">
        <v>86</v>
      </c>
      <c r="K337" s="2" t="s">
        <v>1084</v>
      </c>
      <c r="L337" s="2" t="s">
        <v>1085</v>
      </c>
      <c r="M337" s="2" t="str">
        <f>IFERROR(__xludf.DUMMYFUNCTION("split(K337,""香里奈　"",false)"),"公式ホームページ:　http://www.fujitv.co.jp/kira-yu/医療機器メーカー勤務の松田が、バットで頭を殴られ殺害された。現場の外壁には、赤いスプレーで「六五」というメッセージが残されていた。  翌日、蘭子(香里奈)らが捜査会議で話していると、鑑識の由稀菜(岡崎紗絵)が、凶器のバットに付着した指紋の該当者が見つかったと駆け込んでくる。その人物は、15年前に殺害された中学生の鈴木将也だという。しかし、バットは5年前に製造されたもので、鈴木の指紋が付くことはありえないと説明。その時、三宅"&amp;"(桜田通)が、15年前に鈴木を殺害した加害者の1人が松田であることを突き止めた。  かつて松田は、有名な不良グループの一員だった。鈴木殺害の主犯は、グループのリーダーの佐野。見張りをしていたのが、松田と前畑という男だった。佐野は、17年の懲役刑を受け服役中。松田と前畑は、普通の生活を送ってはいるが、松田は何者かに命を狙われている、と前畑に知らせていた。  半田(升毅)は青山(加藤シゲアキ)に大文字(椎名桔平)のところへ行き「六五」の解釈を聞いてくれと命じる。青山は蘭子に声をかけるが、蘭子は何かに気を取られ"&amp;"ている様子で、今回は別行動だと言い、出て行ってしまう。鈴木の実家を訪れた蘭子は、母親に鈴木の遺品を見せてほしいと頼む。しかし母親は、次男がすべて捨ててしまったのだ、と明かした。同じ頃、青山は、鈴木の実家に隣接する作業場で次男の夏輝(高杉真宙)から話を聞いていた。")</f>
        <v>公式ホームページ:　http://www.fujitv.co.jp/kira-yu/医療機器メーカー勤務の松田が、バットで頭を殴られ殺害された。現場の外壁には、赤いスプレーで「六五」というメッセージが残されていた。  翌日、蘭子(香里奈)らが捜査会議で話していると、鑑識の由稀菜(岡崎紗絵)が、凶器のバットに付着した指紋の該当者が見つかったと駆け込んでくる。その人物は、15年前に殺害された中学生の鈴木将也だという。しかし、バットは5年前に製造されたもので、鈴木の指紋が付くことはありえないと説明。その時、三宅(桜田通)が、15年前に鈴木を殺害した加害者の1人が松田であることを突き止めた。  かつて松田は、有名な不良グループの一員だった。鈴木殺害の主犯は、グループのリーダーの佐野。見張りをしていたのが、松田と前畑という男だった。佐野は、17年の懲役刑を受け服役中。松田と前畑は、普通の生活を送ってはいるが、松田は何者かに命を狙われている、と前畑に知らせていた。  半田(升毅)は青山(加藤シゲアキ)に大文字(椎名桔平)のところへ行き「六五」の解釈を聞いてくれと命じる。青山は蘭子に声をかけるが、蘭子は何かに気を取られている様子で、今回は別行動だと言い、出て行ってしまう。鈴木の実家を訪れた蘭子は、母親に鈴木の遺品を見せてほしいと頼む。しかし母親は、次男がすべて捨ててしまったのだ、と明かした。同じ頃、青山は、鈴木の実家に隣接する作業場で次男の夏輝(高杉真宙)から話を聞いていた。</v>
      </c>
      <c r="N337" s="2" t="str">
        <f>IFERROR(__xludf.DUMMYFUNCTION("""COMPUTED_VALUE"""),"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"&amp;"井元隆佑　    【演出】  池澤辰也　  及川拓郎　  星野和成　    【制作】  フジテレビ　  東映")</f>
        <v>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v>
      </c>
      <c r="O337" s="2"/>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row>
    <row r="338" ht="204.75" customHeight="1">
      <c r="A338" s="1">
        <v>1368.0</v>
      </c>
      <c r="B338" s="2" t="s">
        <v>1060</v>
      </c>
      <c r="C338" s="2">
        <f>IFERROR(__xludf.DUMMYFUNCTION("split(B338,""_"")"),1701.0)</f>
        <v>1701</v>
      </c>
      <c r="D338" s="2" t="str">
        <f>IFERROR(__xludf.DUMMYFUNCTION("""COMPUTED_VALUE"""),"CX")</f>
        <v>CX</v>
      </c>
      <c r="E338" s="2" t="str">
        <f>IFERROR(__xludf.DUMMYFUNCTION("""COMPUTED_VALUE"""),"木22")</f>
        <v>木22</v>
      </c>
      <c r="F338" s="2" t="s">
        <v>1061</v>
      </c>
      <c r="G338" s="2" t="s">
        <v>1086</v>
      </c>
      <c r="H338" s="1">
        <v>9.0</v>
      </c>
      <c r="I338" s="1" t="s">
        <v>33</v>
      </c>
      <c r="J338" s="1" t="s">
        <v>86</v>
      </c>
      <c r="K338" s="2" t="s">
        <v>1087</v>
      </c>
      <c r="L338" s="2" t="s">
        <v>1088</v>
      </c>
      <c r="M338" s="2" t="str">
        <f>IFERROR(__xludf.DUMMYFUNCTION("split(K338,""香里奈　"",false)"),"公式ホームページ:　http://www.fujitv.co.jp/kira-yu/何者かに刺され重傷を負った青山(加藤シゲアキ)は、病院に搬送された。蘭子(香里奈)は、小宮山(戸次重幸)、浦部(丸山智己)とともに、梶(正名僕蔵)と由稀菜(岡崎紗絵)が、現場検証を終えたところに駆けつけた。蘭子は現場に残された青山のカバンが開いていたことが気にかかる。  そんな時、青山が襲われた場所の近くで刺殺体が見つかった。被害者は近藤という男で、青山同様、真っ正面から刺されていた。近藤は、キーホルダーを持っていたが、そ"&amp;"れを見た蘭子は息を飲む。かつて、自分が父親に贈ったもので、中の鍵は蘭子の実家のものだった。なぜ、見ず知らずの人間が実家の鍵を持っていたのか。青山まで巻き込んだ事件は、自分の過去を知る者の犯行だと確信した蘭子は、悠真(堀井新太)とともに実家へ行った。すると、今は誰も暮らしていない実家の書斎に、白い花が生けられていた。その花は、蘭子が18年前に誘拐された現場に咲いていた花によく似ていた。  蘭子は、そのまま大文字(椎名桔平)を訪ねると、前夜のアリバイを聞いた。事件との関与を否定した大文字は、蘭子は過去にとらわ"&amp;"れている、それを払拭しなければ変わらず孤独なままだろう、と言った。  蘭子は、大文字の助手・道子(飯豊まりえ)に、青山が事件に遭う前に大文字を訪ねていたこと、襲われた青山のカバンが開いていたことを明かし、何か気付いたことがあれば、自分だけに伝えてほしいと頼んだ。")</f>
        <v>公式ホームページ:　http://www.fujitv.co.jp/kira-yu/何者かに刺され重傷を負った青山(加藤シゲアキ)は、病院に搬送された。蘭子(香里奈)は、小宮山(戸次重幸)、浦部(丸山智己)とともに、梶(正名僕蔵)と由稀菜(岡崎紗絵)が、現場検証を終えたところに駆けつけた。蘭子は現場に残された青山のカバンが開いていたことが気にかかる。  そんな時、青山が襲われた場所の近くで刺殺体が見つかった。被害者は近藤という男で、青山同様、真っ正面から刺されていた。近藤は、キーホルダーを持っていたが、それを見た蘭子は息を飲む。かつて、自分が父親に贈ったもので、中の鍵は蘭子の実家のものだった。なぜ、見ず知らずの人間が実家の鍵を持っていたのか。青山まで巻き込んだ事件は、自分の過去を知る者の犯行だと確信した蘭子は、悠真(堀井新太)とともに実家へ行った。すると、今は誰も暮らしていない実家の書斎に、白い花が生けられていた。その花は、蘭子が18年前に誘拐された現場に咲いていた花によく似ていた。  蘭子は、そのまま大文字(椎名桔平)を訪ねると、前夜のアリバイを聞いた。事件との関与を否定した大文字は、蘭子は過去にとらわれている、それを払拭しなければ変わらず孤独なままだろう、と言った。  蘭子は、大文字の助手・道子(飯豊まりえ)に、青山が事件に遭う前に大文字を訪ねていたこと、襲われた青山のカバンが開いていたことを明かし、何か気付いたことがあれば、自分だけに伝えてほしいと頼んだ。</v>
      </c>
      <c r="N338" s="2" t="str">
        <f>IFERROR(__xludf.DUMMYFUNCTION("""COMPUTED_VALUE"""),"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"&amp;"井元隆佑　    【演出】  池澤辰也　  及川拓郎　  星野和成　    【制作】  フジテレビ　  東映")</f>
        <v>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v>
      </c>
      <c r="O338" s="2"/>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row>
    <row r="339" ht="204.75" customHeight="1">
      <c r="A339" s="1">
        <v>1369.0</v>
      </c>
      <c r="B339" s="2" t="s">
        <v>1060</v>
      </c>
      <c r="C339" s="2">
        <f>IFERROR(__xludf.DUMMYFUNCTION("split(B339,""_"")"),1701.0)</f>
        <v>1701</v>
      </c>
      <c r="D339" s="2" t="str">
        <f>IFERROR(__xludf.DUMMYFUNCTION("""COMPUTED_VALUE"""),"CX")</f>
        <v>CX</v>
      </c>
      <c r="E339" s="2" t="str">
        <f>IFERROR(__xludf.DUMMYFUNCTION("""COMPUTED_VALUE"""),"木22")</f>
        <v>木22</v>
      </c>
      <c r="F339" s="2" t="s">
        <v>1061</v>
      </c>
      <c r="G339" s="2" t="s">
        <v>1089</v>
      </c>
      <c r="H339" s="1">
        <v>10.0</v>
      </c>
      <c r="I339" s="1" t="s">
        <v>37</v>
      </c>
      <c r="J339" s="1" t="s">
        <v>86</v>
      </c>
      <c r="K339" s="2" t="s">
        <v>1090</v>
      </c>
      <c r="L339" s="2" t="s">
        <v>1091</v>
      </c>
      <c r="M339" s="2" t="str">
        <f>IFERROR(__xludf.DUMMYFUNCTION("split(K339,""香里奈　"",false)"),"公式ホームページ:　http://www.fujitv.co.jp/kira-yu/　病院を抜け出した青山(加藤シゲアキ)は、大文字(椎名桔平)の研究室に駆け込むと室内を物色し、古びたファイルを見つける。そこには、18年前の蘭子(香里奈)の誘拐事件の記事とともに、赤い印が付いた森の地図があった。  　一方、監禁された蘭子のもとへ大文字がやってくる。大文字は、気を失っていた蘭子を起こし、拘束を解いてやる。自由になった蘭子は、何者かに撃たれ倒れている土方(寿大聡)と、そのそばに自分の銃が落ちているのに気付く。"&amp;"そこへ青山と道子(飯豊まりえ)が入って来る。青山は、銃を拾い大文字に向けると、蘭子から離れろと命じた。大文字は、ゆっくりと手を挙げた。  　その後、梶(正名僕蔵)らが行った検証の結果、現場に残された足跡が、土方と警察関係者を除くと、大文字のものだけだったことが分かる。  　半田(升毅)は、大文字を取り調べ、監禁場所にいた理由を問いただす。大文字は、蘭子が監禁されているのなら、18年前と同じ場所の可能性があるからだと説明。しかし半田は、当時、監禁場所が公開されていなかったことを指摘する。  　そんな中、大文"&amp;"字は、自分と土方が共犯関係だと考えるのは浅はかだと反論。蘭子とともに取り調べを見ていた青山は、取調室に乱入すると、あなたが土方らの狙撃を指示した「メシア」だろうと怒りを爆発させる。  　取り調べが終わり、部屋から出た大文字は、蘭子にハンカチを手渡した。そこには、メモが…。")</f>
        <v>公式ホームページ:　http://www.fujitv.co.jp/kira-yu/　病院を抜け出した青山(加藤シゲアキ)は、大文字(椎名桔平)の研究室に駆け込むと室内を物色し、古びたファイルを見つける。そこには、18年前の蘭子(香里奈)の誘拐事件の記事とともに、赤い印が付いた森の地図があった。  　一方、監禁された蘭子のもとへ大文字がやってくる。大文字は、気を失っていた蘭子を起こし、拘束を解いてやる。自由になった蘭子は、何者かに撃たれ倒れている土方(寿大聡)と、そのそばに自分の銃が落ちているのに気付く。そこへ青山と道子(飯豊まりえ)が入って来る。青山は、銃を拾い大文字に向けると、蘭子から離れろと命じた。大文字は、ゆっくりと手を挙げた。  　その後、梶(正名僕蔵)らが行った検証の結果、現場に残された足跡が、土方と警察関係者を除くと、大文字のものだけだったことが分かる。  　半田(升毅)は、大文字を取り調べ、監禁場所にいた理由を問いただす。大文字は、蘭子が監禁されているのなら、18年前と同じ場所の可能性があるからだと説明。しかし半田は、当時、監禁場所が公開されていなかったことを指摘する。  　そんな中、大文字は、自分と土方が共犯関係だと考えるのは浅はかだと反論。蘭子とともに取り調べを見ていた青山は、取調室に乱入すると、あなたが土方らの狙撃を指示した「メシア」だろうと怒りを爆発させる。  　取り調べが終わり、部屋から出た大文字は、蘭子にハンカチを手渡した。そこには、メモが…。</v>
      </c>
      <c r="N339" s="2" t="str">
        <f>IFERROR(__xludf.DUMMYFUNCTION("""COMPUTED_VALUE"""),"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"&amp;"井元隆佑　    【演出】  池澤辰也　  及川拓郎　  星野和成　    【制作】  フジテレビ　  東映")</f>
        <v>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v>
      </c>
      <c r="O339" s="2"/>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row>
    <row r="340" ht="204.75" customHeight="1">
      <c r="A340" s="1">
        <v>1409.0</v>
      </c>
      <c r="B340" s="2" t="s">
        <v>1092</v>
      </c>
      <c r="C340" s="2">
        <f>IFERROR(__xludf.DUMMYFUNCTION("split(B340,""_"")"),1701.0)</f>
        <v>1701</v>
      </c>
      <c r="D340" s="2" t="str">
        <f>IFERROR(__xludf.DUMMYFUNCTION("""COMPUTED_VALUE"""),"CX")</f>
        <v>CX</v>
      </c>
      <c r="E340" s="2" t="str">
        <f>IFERROR(__xludf.DUMMYFUNCTION("""COMPUTED_VALUE"""),"日21")</f>
        <v>日21</v>
      </c>
      <c r="F340" s="2" t="s">
        <v>1093</v>
      </c>
      <c r="G340" s="2" t="s">
        <v>1094</v>
      </c>
      <c r="H340" s="1">
        <v>1.0</v>
      </c>
      <c r="I340" s="1" t="s">
        <v>3</v>
      </c>
      <c r="J340" s="1" t="s">
        <v>4</v>
      </c>
      <c r="K340" s="2" t="s">
        <v>1095</v>
      </c>
      <c r="L340" s="2" t="s">
        <v>1096</v>
      </c>
      <c r="M340" s="2" t="str">
        <f>IFERROR(__xludf.DUMMYFUNCTION("split(split(K340,""小雪　"",false),""【公式LINE】"",false)"),"【公式HP】  http://www.fujitv.co.jp/daibinbo/    【公式Twitter】  @DAIBINBO_sun9    ")</f>
        <v>【公式HP】  http://www.fujitv.co.jp/daibinbo/    【公式Twitter】  @DAIBINBO_sun9    </v>
      </c>
      <c r="N340" s="2" t="str">
        <f>IFERROR(__xludf.DUMMYFUNCTION("""COMPUTED_VALUE"""),"  大貧乏　元旦。シングルマザーの七草ゆず子(小雪)は、息子の翔太(今井暖大)、娘の実結(野澤しおり)と近所の神社に初詣。お願いごとをする子どもたちの姿がほほえましく、くじも大吉で「今年はいいことありそう」と幸せ気分でアパートに帰るゆず子。  　同じ頃、大きな神社では法律事務所を営む柿原新一(伊藤淳史)がうやうやしく祈祷を受けていた。初穂料を包む熨斗袋は分厚い。そんな彼が人目を気にしながら広げたのは“恋みくじ""。こちらも大吉で柿原の顔はほころんだ。  　ゆず子がアパートに着くと幸せ気分が一気に吹き飛ぶ。"&amp;"自宅から大量の水が溢れ出て、階下の住人の部屋まで水浸し。保証は保険では追いつかずコツコツ貯めた貯金はほぼ底をついた。それでもまた頑張って働けば大丈夫だと自分を励ますゆず子だったが…。  　初出勤の日。出社すると会社前が騒然としている。そこには、ゆず子の勤める人材派遣会社DOH(ディメンションズ・オブ・ヒューマニティ)廃業の告示が。ぼうぜんとするゆず子、顔見知りの社員、加瀬春木(成田凌)も驚いた様子で…。  　水浸しの家に続いて会社が倒産。社内預金も全て失い、ほぼ無一文状態のゆず子。再就職には知り合いを頼る"&amp;"のが近道だとママ友の櫻沢まりえ(内田理央)に勧められ、高校の同窓会に顔を出す。仕事のつてを求めるも上手くは行かない。途方に暮れるゆず子だが、そんな彼女に必死に近づこうとする柿原の姿が…。")</f>
        <v>  大貧乏　元旦。シングルマザーの七草ゆず子(小雪)は、息子の翔太(今井暖大)、娘の実結(野澤しおり)と近所の神社に初詣。お願いごとをする子どもたちの姿がほほえましく、くじも大吉で「今年はいいことありそう」と幸せ気分でアパートに帰るゆず子。  　同じ頃、大きな神社では法律事務所を営む柿原新一(伊藤淳史)がうやうやしく祈祷を受けていた。初穂料を包む熨斗袋は分厚い。そんな彼が人目を気にしながら広げたのは“恋みくじ"。こちらも大吉で柿原の顔はほころんだ。  　ゆず子がアパートに着くと幸せ気分が一気に吹き飛ぶ。自宅から大量の水が溢れ出て、階下の住人の部屋まで水浸し。保証は保険では追いつかずコツコツ貯めた貯金はほぼ底をついた。それでもまた頑張って働けば大丈夫だと自分を励ますゆず子だったが…。  　初出勤の日。出社すると会社前が騒然としている。そこには、ゆず子の勤める人材派遣会社DOH(ディメンションズ・オブ・ヒューマニティ)廃業の告示が。ぼうぜんとするゆず子、顔見知りの社員、加瀬春木(成田凌)も驚いた様子で…。  　水浸しの家に続いて会社が倒産。社内預金も全て失い、ほぼ無一文状態のゆず子。再就職には知り合いを頼るのが近道だとママ友の櫻沢まりえ(内田理央)に勧められ、高校の同窓会に顔を出す。仕事のつてを求めるも上手くは行かない。途方に暮れるゆず子だが、そんな彼女に必死に近づこうとする柿原の姿が…。</v>
      </c>
      <c r="O340" s="2"/>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row>
    <row r="341" ht="204.75" customHeight="1">
      <c r="A341" s="1">
        <v>1410.0</v>
      </c>
      <c r="B341" s="2" t="s">
        <v>1092</v>
      </c>
      <c r="C341" s="2">
        <f>IFERROR(__xludf.DUMMYFUNCTION("split(B341,""_"")"),1701.0)</f>
        <v>1701</v>
      </c>
      <c r="D341" s="2" t="str">
        <f>IFERROR(__xludf.DUMMYFUNCTION("""COMPUTED_VALUE"""),"CX")</f>
        <v>CX</v>
      </c>
      <c r="E341" s="2" t="str">
        <f>IFERROR(__xludf.DUMMYFUNCTION("""COMPUTED_VALUE"""),"日21")</f>
        <v>日21</v>
      </c>
      <c r="F341" s="2" t="s">
        <v>1093</v>
      </c>
      <c r="G341" s="2" t="s">
        <v>1097</v>
      </c>
      <c r="H341" s="1">
        <v>2.0</v>
      </c>
      <c r="I341" s="1" t="s">
        <v>7</v>
      </c>
      <c r="J341" s="1" t="s">
        <v>11</v>
      </c>
      <c r="K341" s="2" t="s">
        <v>1098</v>
      </c>
      <c r="L341" s="2" t="s">
        <v>1099</v>
      </c>
      <c r="M341" s="2" t="str">
        <f>IFERROR(__xludf.DUMMYFUNCTION("split(split(K341,""小雪　"",false),""【公式LINE】"",false)"),"【公式HP】  http://www.fujitv.co.jp/daibinbo/    【公式Twitter】  @DAIBINBO_sun9    ")</f>
        <v>【公式HP】  http://www.fujitv.co.jp/daibinbo/    【公式Twitter】  @DAIBINBO_sun9    </v>
      </c>
      <c r="N341" s="2" t="str">
        <f>IFERROR(__xludf.DUMMYFUNCTION("""COMPUTED_VALUE"""),"  大貧乏　七草ゆず子(小雪)が出かけようとしている朝。実結(野澤しおり)が翔太(今井暖大)の靴を隠したと大ゲンカ。翔太に突き飛ばされた実結を助けようとしたゆず子は、手に怪我をしてしまう。驚いた兄妹はケンカを止める。ゆず子は、そんな子供たちの心配を振り払うように、お出かけの号令。そして、古びたソファの中に隠された翔太の靴を発見。そこは、実結がいつも何かを隠す場所だった。  　柿原新一(伊藤淳史)はM&amp;Aを成功させ、木暮祐人(神山智洋)に持ち上げられてニコニコ。しかし、心中は別。実は、柿原は検事になりたかっ"&amp;"たのだ。その夢は今も無くしていない。そんなところへ加瀬春木(成田凌)が来た。柿原の思いを知った加瀬は、DOHの不正を暴きたいだろう?とあおる。もちろん、柿原は真実を追求したいが、ゆず子に会いたいと言う欲求も大きい。  　夕方、ゆず子が子供たちとスーパーで買い物をしていると、実結の姿が見えなくなった。スーパー中を懸命に捜すゆず子。と、男に手を引かれた実結の姿が。実結の名を叫ぶと男が振り返る。浅岡礼司(滝藤賢一)…その時、背後から翔太に呼ばれるゆず子。翔太は実結の手を握っていた。男を浅岡と勘違いしたのは、ゆず"&amp;"子の恐怖心。しばらく、ゆず子の震えは止まらなかった。  　翌日、加瀬とともに柿原を訪ねたゆず子は、子供の身を案じ、DOHの件にはこれ以上関わりたくないと話す。柿原は、必死に食い下がるが…。")</f>
        <v>  大貧乏　七草ゆず子(小雪)が出かけようとしている朝。実結(野澤しおり)が翔太(今井暖大)の靴を隠したと大ゲンカ。翔太に突き飛ばされた実結を助けようとしたゆず子は、手に怪我をしてしまう。驚いた兄妹はケンカを止める。ゆず子は、そんな子供たちの心配を振り払うように、お出かけの号令。そして、古びたソファの中に隠された翔太の靴を発見。そこは、実結がいつも何かを隠す場所だった。  　柿原新一(伊藤淳史)はM&amp;Aを成功させ、木暮祐人(神山智洋)に持ち上げられてニコニコ。しかし、心中は別。実は、柿原は検事になりたかったのだ。その夢は今も無くしていない。そんなところへ加瀬春木(成田凌)が来た。柿原の思いを知った加瀬は、DOHの不正を暴きたいだろう?とあおる。もちろん、柿原は真実を追求したいが、ゆず子に会いたいと言う欲求も大きい。  　夕方、ゆず子が子供たちとスーパーで買い物をしていると、実結の姿が見えなくなった。スーパー中を懸命に捜すゆず子。と、男に手を引かれた実結の姿が。実結の名を叫ぶと男が振り返る。浅岡礼司(滝藤賢一)…その時、背後から翔太に呼ばれるゆず子。翔太は実結の手を握っていた。男を浅岡と勘違いしたのは、ゆず子の恐怖心。しばらく、ゆず子の震えは止まらなかった。  　翌日、加瀬とともに柿原を訪ねたゆず子は、子供の身を案じ、DOHの件にはこれ以上関わりたくないと話す。柿原は、必死に食い下がるが…。</v>
      </c>
      <c r="O341" s="2"/>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row>
    <row r="342" ht="204.75" customHeight="1">
      <c r="A342" s="1">
        <v>1411.0</v>
      </c>
      <c r="B342" s="2" t="s">
        <v>1092</v>
      </c>
      <c r="C342" s="2">
        <f>IFERROR(__xludf.DUMMYFUNCTION("split(B342,""_"")"),1701.0)</f>
        <v>1701</v>
      </c>
      <c r="D342" s="2" t="str">
        <f>IFERROR(__xludf.DUMMYFUNCTION("""COMPUTED_VALUE"""),"CX")</f>
        <v>CX</v>
      </c>
      <c r="E342" s="2" t="str">
        <f>IFERROR(__xludf.DUMMYFUNCTION("""COMPUTED_VALUE"""),"日21")</f>
        <v>日21</v>
      </c>
      <c r="F342" s="2" t="s">
        <v>1093</v>
      </c>
      <c r="G342" s="2" t="s">
        <v>1100</v>
      </c>
      <c r="H342" s="1">
        <v>3.0</v>
      </c>
      <c r="I342" s="1" t="s">
        <v>10</v>
      </c>
      <c r="J342" s="1" t="s">
        <v>11</v>
      </c>
      <c r="K342" s="2" t="s">
        <v>1101</v>
      </c>
      <c r="L342" s="2" t="s">
        <v>1102</v>
      </c>
      <c r="M342" s="2" t="str">
        <f>IFERROR(__xludf.DUMMYFUNCTION("split(split(K342,""小雪　"",false),""【公式LINE】"",false)"),"【公式HP】  http://www.fujitv.co.jp/daibinbo/    【公式Twitter】  @DAIBINBO_sun9    ")</f>
        <v>【公式HP】  http://www.fujitv.co.jp/daibinbo/    【公式Twitter】  @DAIBINBO_sun9    </v>
      </c>
      <c r="N342" s="2" t="str">
        <f>IFERROR(__xludf.DUMMYFUNCTION("""COMPUTED_VALUE"""),"  大貧乏　柿原法律事務所で、七草ゆず子(小雪)と柿原新一(伊藤淳史)が珍しく口論。ゆず子が1人で浅岡礼司(滝藤賢一)に30億円の裏金を取り返すと宣言した無謀な行動を、彼女の身を案じた柿原がいさめようとしたことから始まった。いつの間にか、高校時代のことに話がずれる2人を加瀬春木(成田凌)が冷静にさばく。この日、ゆず子が来たのは、柿原を正式な代理人として契約し、DOHの不正を追及するためだった。  　痕跡を残さず30億もの大金を消すためには、現金のまま国外に出す方法しか考えられない、と柿原。「30億が国外に"&amp;"出てしまった時点でゲームオーバーだ」。  　大人たちが真剣に話し合う中、翔太(今井暖大)と実結(野澤しおり)がぐずりだす。すると加瀬が、子供たちは、いつもゆず子について来るのか?と、冷たい言葉を投げる。一方、柿原は自分がどれだけ子供たちのことを思っているか、むしろ家族になりたいという思いをアピール。だが、柿原は友人で今は友人以上の存在を作るつもりはないと、ゆず子にハッキリ言われてしまうのだった。  　柿原は加瀬とともに天満利章(奥田瑛二)のもとへ。裏金の事実、DOHに損害賠償請求すると告げる柿原に、天満は"&amp;"信頼していた浅岡の隠れた行動に耳を疑いながらも、他の社員が救われるならと真摯な態度で受け止める。  　そんな折、ゆず子が倒れ柿原は病院へ急ぐ。ゆず子の帰りを待つ子供たちの前に現れたのは加瀬で…。")</f>
        <v>  大貧乏　柿原法律事務所で、七草ゆず子(小雪)と柿原新一(伊藤淳史)が珍しく口論。ゆず子が1人で浅岡礼司(滝藤賢一)に30億円の裏金を取り返すと宣言した無謀な行動を、彼女の身を案じた柿原がいさめようとしたことから始まった。いつの間にか、高校時代のことに話がずれる2人を加瀬春木(成田凌)が冷静にさばく。この日、ゆず子が来たのは、柿原を正式な代理人として契約し、DOHの不正を追及するためだった。  　痕跡を残さず30億もの大金を消すためには、現金のまま国外に出す方法しか考えられない、と柿原。「30億が国外に出てしまった時点でゲームオーバーだ」。  　大人たちが真剣に話し合う中、翔太(今井暖大)と実結(野澤しおり)がぐずりだす。すると加瀬が、子供たちは、いつもゆず子について来るのか?と、冷たい言葉を投げる。一方、柿原は自分がどれだけ子供たちのことを思っているか、むしろ家族になりたいという思いをアピール。だが、柿原は友人で今は友人以上の存在を作るつもりはないと、ゆず子にハッキリ言われてしまうのだった。  　柿原は加瀬とともに天満利章(奥田瑛二)のもとへ。裏金の事実、DOHに損害賠償請求すると告げる柿原に、天満は信頼していた浅岡の隠れた行動に耳を疑いながらも、他の社員が救われるならと真摯な態度で受け止める。  　そんな折、ゆず子が倒れ柿原は病院へ急ぐ。ゆず子の帰りを待つ子供たちの前に現れたのは加瀬で…。</v>
      </c>
      <c r="O342" s="2"/>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row>
    <row r="343" ht="204.75" customHeight="1">
      <c r="A343" s="1">
        <v>1412.0</v>
      </c>
      <c r="B343" s="2" t="s">
        <v>1092</v>
      </c>
      <c r="C343" s="2">
        <f>IFERROR(__xludf.DUMMYFUNCTION("split(B343,""_"")"),1701.0)</f>
        <v>1701</v>
      </c>
      <c r="D343" s="2" t="str">
        <f>IFERROR(__xludf.DUMMYFUNCTION("""COMPUTED_VALUE"""),"CX")</f>
        <v>CX</v>
      </c>
      <c r="E343" s="2" t="str">
        <f>IFERROR(__xludf.DUMMYFUNCTION("""COMPUTED_VALUE"""),"日21")</f>
        <v>日21</v>
      </c>
      <c r="F343" s="2" t="s">
        <v>1093</v>
      </c>
      <c r="G343" s="2" t="s">
        <v>1103</v>
      </c>
      <c r="H343" s="1">
        <v>4.0</v>
      </c>
      <c r="I343" s="1" t="s">
        <v>14</v>
      </c>
      <c r="J343" s="1" t="s">
        <v>11</v>
      </c>
      <c r="K343" s="2" t="s">
        <v>1104</v>
      </c>
      <c r="L343" s="2" t="s">
        <v>1105</v>
      </c>
      <c r="M343" s="2" t="str">
        <f>IFERROR(__xludf.DUMMYFUNCTION("split(split(K343,""小雪　"",false),""【公式LINE】"",false)"),"【公式HP】  http://www.fujitv.co.jp/daibinbo/    【公式Twitter】  @DAIBINBO_sun9    ")</f>
        <v>【公式HP】  http://www.fujitv.co.jp/daibinbo/    【公式Twitter】  @DAIBINBO_sun9    </v>
      </c>
      <c r="N343" s="2" t="str">
        <f>IFERROR(__xludf.DUMMYFUNCTION("""COMPUTED_VALUE"""),"  大貧乏　七草ゆず子(小雪)が慣れない雰囲気の店で黙々と食事をしている。そんなゆず子の目の前にずらっと並ぶ男性4人。柿原新一(伊藤淳史)、加瀬春木(成田凌)、木暮祐人(神山智洋)という、ゆず子にはおなじみの面々と、イタリア人のジャンルイジ(BEN　L)。ゆず子側には、若々しくキラキラしたOLが3人。そう、ゆず子と柿原たちは合コンをしているのだ。  　発端は5日前。柿原がDOH倒産には別のからくりがあると思い当たったことに始まる。柿原は濱中電子工業の新型リチウムバッテリーの設計図に重大な欠陥があったと仮定"&amp;"。そこから発した損害を埋めるために濱中電子工業が意図的に設計図を流出させDOHに罪を負わせたのではないか、というのが柿原の仮説だった。このからくりを探るために、加瀬の人脈をたどり、ゆず子は濱中電子工業の新年度経営方針発表会の資料を作るチームに臨時の短期スタッフとして潜入していた。そこで、ゆず子は月島レイコ(泉里香)たち女性社員と知り合う。中には、研究職から転属してきた橋本亜香里(沢井美優)もいた。  　一方、柿原たちは天満利章(奥田瑛二)に、濱中電子工業との和解の件を聞きに行くが、断られてしまう。  　ゆ"&amp;"ず子も、何とかして亜香里からバッテリー開発に関する情報を聞き出そうと、距離を縮めようとしていた。そんな折に、彼女たちが合コンに参加することを知り、ゆず子も参加することになったのだが…。")</f>
        <v>  大貧乏　七草ゆず子(小雪)が慣れない雰囲気の店で黙々と食事をしている。そんなゆず子の目の前にずらっと並ぶ男性4人。柿原新一(伊藤淳史)、加瀬春木(成田凌)、木暮祐人(神山智洋)という、ゆず子にはおなじみの面々と、イタリア人のジャンルイジ(BEN　L)。ゆず子側には、若々しくキラキラしたOLが3人。そう、ゆず子と柿原たちは合コンをしているのだ。  　発端は5日前。柿原がDOH倒産には別のからくりがあると思い当たったことに始まる。柿原は濱中電子工業の新型リチウムバッテリーの設計図に重大な欠陥があったと仮定。そこから発した損害を埋めるために濱中電子工業が意図的に設計図を流出させDOHに罪を負わせたのではないか、というのが柿原の仮説だった。このからくりを探るために、加瀬の人脈をたどり、ゆず子は濱中電子工業の新年度経営方針発表会の資料を作るチームに臨時の短期スタッフとして潜入していた。そこで、ゆず子は月島レイコ(泉里香)たち女性社員と知り合う。中には、研究職から転属してきた橋本亜香里(沢井美優)もいた。  　一方、柿原たちは天満利章(奥田瑛二)に、濱中電子工業との和解の件を聞きに行くが、断られてしまう。  　ゆず子も、何とかして亜香里からバッテリー開発に関する情報を聞き出そうと、距離を縮めようとしていた。そんな折に、彼女たちが合コンに参加することを知り、ゆず子も参加することになったのだが…。</v>
      </c>
      <c r="O343" s="2"/>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row>
    <row r="344" ht="204.75" customHeight="1">
      <c r="A344" s="1">
        <v>1413.0</v>
      </c>
      <c r="B344" s="2" t="s">
        <v>1092</v>
      </c>
      <c r="C344" s="2">
        <f>IFERROR(__xludf.DUMMYFUNCTION("split(B344,""_"")"),1701.0)</f>
        <v>1701</v>
      </c>
      <c r="D344" s="2" t="str">
        <f>IFERROR(__xludf.DUMMYFUNCTION("""COMPUTED_VALUE"""),"CX")</f>
        <v>CX</v>
      </c>
      <c r="E344" s="2" t="str">
        <f>IFERROR(__xludf.DUMMYFUNCTION("""COMPUTED_VALUE"""),"日21")</f>
        <v>日21</v>
      </c>
      <c r="F344" s="2" t="s">
        <v>1093</v>
      </c>
      <c r="G344" s="2" t="s">
        <v>1106</v>
      </c>
      <c r="H344" s="1">
        <v>5.0</v>
      </c>
      <c r="I344" s="1" t="s">
        <v>17</v>
      </c>
      <c r="J344" s="1" t="s">
        <v>11</v>
      </c>
      <c r="K344" s="2" t="s">
        <v>1107</v>
      </c>
      <c r="L344" s="2" t="s">
        <v>1108</v>
      </c>
      <c r="M344" s="2" t="str">
        <f>IFERROR(__xludf.DUMMYFUNCTION("split(split(K344,""小雪　"",false),""【公式LINE】"",false)"),"【公式HP】  http://www.fujitv.co.jp/daibinbo/    【公式Twitter】  @DAIBINBO_sun9    ")</f>
        <v>【公式HP】  http://www.fujitv.co.jp/daibinbo/    【公式Twitter】  @DAIBINBO_sun9    </v>
      </c>
      <c r="N344" s="2" t="str">
        <f>IFERROR(__xludf.DUMMYFUNCTION("""COMPUTED_VALUE"""),"  大貧乏　濱中電子工業にDOHが支払った賠償金250億円を取り戻そうとする七草ゆず子(小雪)たちの前に、柿原新一(伊藤淳史)が新たな仲間として連れてきたのは浅岡礼司(滝藤賢一)だった。消えた30億円と浅岡の関係もハッキリしない中、ゆず子と加瀬春木(成田凌)は彼を信用できない。  　ともあれ、ここまでの経緯を浅岡に説明し、戦略を練る。柿原は濱中の新型バッテリー、アウセルの設計図にミスがあったことを、作った本人に証言させるしかないと言う。しかし、誰が?柿原は、それを知るために浅岡を招いたのだ。浅岡は、開発責"&amp;"任者は高野由鶴(奥貫薫)だと教える。  　一同が由鶴への接触を心に決めたその時、ミーティングルームに女性が飛び込んで来た。柿原が「おふくろ!?」と呼びかける。正美(山本道子)は柿原の母親だった。柿原の結婚が嬉しくて来てしまったと言う。  　帰ろうとしたゆず子を柿原が追いかけて来て、結婚は正美についたウソだと必死に説明。そこで、柿原はゆず子に、婚約者役をやって欲しいと懇願するが…。  　ゆず子は、濱中電子工業内で何とか由鶴に接触を試みる。彼女の様子を報告する電話で、ゆず子は柿原から突然、明日、正美に会ってく"&amp;"れないか、と言われる。困ったゆず子が月島レイコ(泉里香)にこの話を持ちかけると、レイコは嘘でも婚約者を演じたら柿原が振り向いてくれるかも知れない!と、前のめりになり正美と会うことに…。")</f>
        <v>  大貧乏　濱中電子工業にDOHが支払った賠償金250億円を取り戻そうとする七草ゆず子(小雪)たちの前に、柿原新一(伊藤淳史)が新たな仲間として連れてきたのは浅岡礼司(滝藤賢一)だった。消えた30億円と浅岡の関係もハッキリしない中、ゆず子と加瀬春木(成田凌)は彼を信用できない。  　ともあれ、ここまでの経緯を浅岡に説明し、戦略を練る。柿原は濱中の新型バッテリー、アウセルの設計図にミスがあったことを、作った本人に証言させるしかないと言う。しかし、誰が?柿原は、それを知るために浅岡を招いたのだ。浅岡は、開発責任者は高野由鶴(奥貫薫)だと教える。  　一同が由鶴への接触を心に決めたその時、ミーティングルームに女性が飛び込んで来た。柿原が「おふくろ!?」と呼びかける。正美(山本道子)は柿原の母親だった。柿原の結婚が嬉しくて来てしまったと言う。  　帰ろうとしたゆず子を柿原が追いかけて来て、結婚は正美についたウソだと必死に説明。そこで、柿原はゆず子に、婚約者役をやって欲しいと懇願するが…。  　ゆず子は、濱中電子工業内で何とか由鶴に接触を試みる。彼女の様子を報告する電話で、ゆず子は柿原から突然、明日、正美に会ってくれないか、と言われる。困ったゆず子が月島レイコ(泉里香)にこの話を持ちかけると、レイコは嘘でも婚約者を演じたら柿原が振り向いてくれるかも知れない!と、前のめりになり正美と会うことに…。</v>
      </c>
      <c r="O344" s="2"/>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row>
    <row r="345" ht="204.75" customHeight="1">
      <c r="A345" s="1">
        <v>1414.0</v>
      </c>
      <c r="B345" s="2" t="s">
        <v>1092</v>
      </c>
      <c r="C345" s="2">
        <f>IFERROR(__xludf.DUMMYFUNCTION("split(B345,""_"")"),1701.0)</f>
        <v>1701</v>
      </c>
      <c r="D345" s="2" t="str">
        <f>IFERROR(__xludf.DUMMYFUNCTION("""COMPUTED_VALUE"""),"CX")</f>
        <v>CX</v>
      </c>
      <c r="E345" s="2" t="str">
        <f>IFERROR(__xludf.DUMMYFUNCTION("""COMPUTED_VALUE"""),"日21")</f>
        <v>日21</v>
      </c>
      <c r="F345" s="2" t="s">
        <v>1093</v>
      </c>
      <c r="G345" s="2" t="s">
        <v>1109</v>
      </c>
      <c r="H345" s="1">
        <v>6.0</v>
      </c>
      <c r="I345" s="1" t="s">
        <v>21</v>
      </c>
      <c r="J345" s="1" t="s">
        <v>11</v>
      </c>
      <c r="K345" s="2" t="s">
        <v>1110</v>
      </c>
      <c r="L345" s="2" t="s">
        <v>1111</v>
      </c>
      <c r="M345" s="2" t="str">
        <f>IFERROR(__xludf.DUMMYFUNCTION("split(split(K345,""小雪　"",false),""【公式LINE】"",false)"),"【公式HP】  http://www.fujitv.co.jp/daibinbo/    【公式Twitter】  @DAIBINBO_sun9    ")</f>
        <v>【公式HP】  http://www.fujitv.co.jp/daibinbo/    【公式Twitter】  @DAIBINBO_sun9    </v>
      </c>
      <c r="N345" s="2" t="str">
        <f>IFERROR(__xludf.DUMMYFUNCTION("""COMPUTED_VALUE"""),"  大貧乏　七草ゆず子(小雪)は、濱中電子工業を訴えるためにDOHの原告団に加わって欲しい、一緒に戦って欲しいと天満利章(奥田瑛二)に頼む。しかし、天満からは濱中の行動を見抜けなかった責任は自分にもあると断られてしまった。  　その頃、柿原新一(伊藤淳史)は百貨店のクライアントと、売り場の様子を見て回っていた。そんな柿原を月島レイコ(泉里香)が発見。2月14日の予定を尋ね、自分に時間をくれないかと言うレイコに、柿原は少しだけならと応じてしまう。  　事務所に戻った柿原は、反省しきりで落ち着かない。なぜレイ"&amp;"コの誘いに乗ってしまったのか…悩む柿原に、加瀬春木(成田凌)は、いっその事レイコに乗り換えれば?と、軽いノリ。そこに、ゆず子がやって来た。手には大きな紙袋。バレンタイン用の買い物をして来たと言うゆず子に、柿原の頬は何かを期待して緩みっぱなし。  　そんな柿原をよそに、ゆず子は被害者の会を作ろうと思うと提案する。大きな原告団を作り、マスコミが騒ぎ出せば濱中の行為を世間にも知らせることが出来る。それは濱中が一番恐れることだと柿原もゆず子の提案を受け入れた。  　早速、旧DOH社員に連絡するが、参加者はなかなか"&amp;"集まらない。そんな時、原告団には求心力のある人物が必要だと浅岡礼司(滝藤賢一)が連れてきたのは天満で…。")</f>
        <v>  大貧乏　七草ゆず子(小雪)は、濱中電子工業を訴えるためにDOHの原告団に加わって欲しい、一緒に戦って欲しいと天満利章(奥田瑛二)に頼む。しかし、天満からは濱中の行動を見抜けなかった責任は自分にもあると断られてしまった。  　その頃、柿原新一(伊藤淳史)は百貨店のクライアントと、売り場の様子を見て回っていた。そんな柿原を月島レイコ(泉里香)が発見。2月14日の予定を尋ね、自分に時間をくれないかと言うレイコに、柿原は少しだけならと応じてしまう。  　事務所に戻った柿原は、反省しきりで落ち着かない。なぜレイコの誘いに乗ってしまったのか…悩む柿原に、加瀬春木(成田凌)は、いっその事レイコに乗り換えれば?と、軽いノリ。そこに、ゆず子がやって来た。手には大きな紙袋。バレンタイン用の買い物をして来たと言うゆず子に、柿原の頬は何かを期待して緩みっぱなし。  　そんな柿原をよそに、ゆず子は被害者の会を作ろうと思うと提案する。大きな原告団を作り、マスコミが騒ぎ出せば濱中の行為を世間にも知らせることが出来る。それは濱中が一番恐れることだと柿原もゆず子の提案を受け入れた。  　早速、旧DOH社員に連絡するが、参加者はなかなか集まらない。そんな時、原告団には求心力のある人物が必要だと浅岡礼司(滝藤賢一)が連れてきたのは天満で…。</v>
      </c>
      <c r="O345" s="2"/>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row>
    <row r="346" ht="204.75" customHeight="1">
      <c r="A346" s="1">
        <v>1415.0</v>
      </c>
      <c r="B346" s="2" t="s">
        <v>1092</v>
      </c>
      <c r="C346" s="2">
        <f>IFERROR(__xludf.DUMMYFUNCTION("split(B346,""_"")"),1701.0)</f>
        <v>1701</v>
      </c>
      <c r="D346" s="2" t="str">
        <f>IFERROR(__xludf.DUMMYFUNCTION("""COMPUTED_VALUE"""),"CX")</f>
        <v>CX</v>
      </c>
      <c r="E346" s="2" t="str">
        <f>IFERROR(__xludf.DUMMYFUNCTION("""COMPUTED_VALUE"""),"日21")</f>
        <v>日21</v>
      </c>
      <c r="F346" s="2" t="s">
        <v>1093</v>
      </c>
      <c r="G346" s="2" t="s">
        <v>1112</v>
      </c>
      <c r="H346" s="1">
        <v>7.0</v>
      </c>
      <c r="I346" s="1" t="s">
        <v>25</v>
      </c>
      <c r="J346" s="1" t="s">
        <v>11</v>
      </c>
      <c r="K346" s="2" t="s">
        <v>1113</v>
      </c>
      <c r="L346" s="2" t="s">
        <v>1114</v>
      </c>
      <c r="M346" s="2" t="str">
        <f>IFERROR(__xludf.DUMMYFUNCTION("split(split(K346,""小雪　"",false),""【公式LINE】"",false)"),"【公式HP】  http://www.fujitv.co.jp/daibinbo/    【公式Twitter】  @DAIBINBO_sun9    ")</f>
        <v>【公式HP】  http://www.fujitv.co.jp/daibinbo/    【公式Twitter】  @DAIBINBO_sun9    </v>
      </c>
      <c r="N346" s="2" t="str">
        <f>IFERROR(__xludf.DUMMYFUNCTION("""COMPUTED_VALUE"""),"  大貧乏　七草ゆず子(小雪)、柿原新一(伊藤淳史)たちは、元DOH社員を募った被害者の会の結成に成功する。そこには、加瀬春木(成田凌)のほかに、天満利章(奥田瑛二)、浅岡礼司(滝藤賢一)らもいた。  　その説明会で、ゆず子たちは濱中電子工業から元社員たちの金を取り返すこと、リチウムイオンバッテリー“アウセル""の開発失敗の隠蔽と意図的な情報漏えいを追及することを掲げる。  　一方、バレンタイン以降、ゆず子との距離をさらに縮めたく思っている柿原だが、いつも通り空回り。そんな2人の関係を見るに見かねた天満と"&amp;"浅岡が、元DOHの地方営業所社員たちに向けた説明会には、ゆず子と柿原の2人で行けば良いと提案する。その誘いを断ろうとするゆず子だが、被害者の会の象徴ともなっているゆず子が参加することの意義、翔太(今井暖大)と実結(野澤しおり)も連れて行けるという周囲からの後押しを受け、説明会に参加することを決める。　出発の当日、柿原が車で迎えに来る。目的地の途中で立ち寄ったサービスエリアで、柿原はゆず子と2人きりになるチャンスが…!ここぞとばかりに“ゆず子さん""と名前で呼んでみようと試みるも、うまくはいかない。それでも"&amp;"、大満足の柿原。説明会も滞りなく終了し、順風満帆な旅路。しかし、帰途につこうとした時、木暮祐人(神山智洋)から柿原に、加瀬に関する意外な情報が入る。さらに柿原本人にも異変が生じ…。")</f>
        <v>  大貧乏　七草ゆず子(小雪)、柿原新一(伊藤淳史)たちは、元DOH社員を募った被害者の会の結成に成功する。そこには、加瀬春木(成田凌)のほかに、天満利章(奥田瑛二)、浅岡礼司(滝藤賢一)らもいた。  　その説明会で、ゆず子たちは濱中電子工業から元社員たちの金を取り返すこと、リチウムイオンバッテリー“アウセル"の開発失敗の隠蔽と意図的な情報漏えいを追及することを掲げる。  　一方、バレンタイン以降、ゆず子との距離をさらに縮めたく思っている柿原だが、いつも通り空回り。そんな2人の関係を見るに見かねた天満と浅岡が、元DOHの地方営業所社員たちに向けた説明会には、ゆず子と柿原の2人で行けば良いと提案する。その誘いを断ろうとするゆず子だが、被害者の会の象徴ともなっているゆず子が参加することの意義、翔太(今井暖大)と実結(野澤しおり)も連れて行けるという周囲からの後押しを受け、説明会に参加することを決める。　出発の当日、柿原が車で迎えに来る。目的地の途中で立ち寄ったサービスエリアで、柿原はゆず子と2人きりになるチャンスが…!ここぞとばかりに“ゆず子さん"と名前で呼んでみようと試みるも、うまくはいかない。それでも、大満足の柿原。説明会も滞りなく終了し、順風満帆な旅路。しかし、帰途につこうとした時、木暮祐人(神山智洋)から柿原に、加瀬に関する意外な情報が入る。さらに柿原本人にも異変が生じ…。</v>
      </c>
      <c r="O346" s="2"/>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row>
    <row r="347" ht="204.75" customHeight="1">
      <c r="A347" s="1">
        <v>1416.0</v>
      </c>
      <c r="B347" s="2" t="s">
        <v>1092</v>
      </c>
      <c r="C347" s="2">
        <f>IFERROR(__xludf.DUMMYFUNCTION("split(B347,""_"")"),1701.0)</f>
        <v>1701</v>
      </c>
      <c r="D347" s="2" t="str">
        <f>IFERROR(__xludf.DUMMYFUNCTION("""COMPUTED_VALUE"""),"CX")</f>
        <v>CX</v>
      </c>
      <c r="E347" s="2" t="str">
        <f>IFERROR(__xludf.DUMMYFUNCTION("""COMPUTED_VALUE"""),"日21")</f>
        <v>日21</v>
      </c>
      <c r="F347" s="2" t="s">
        <v>1093</v>
      </c>
      <c r="G347" s="2" t="s">
        <v>1115</v>
      </c>
      <c r="H347" s="1">
        <v>8.0</v>
      </c>
      <c r="I347" s="1" t="s">
        <v>29</v>
      </c>
      <c r="J347" s="1" t="s">
        <v>11</v>
      </c>
      <c r="K347" s="2" t="s">
        <v>1116</v>
      </c>
      <c r="L347" s="2" t="s">
        <v>1117</v>
      </c>
      <c r="M347" s="2" t="str">
        <f>IFERROR(__xludf.DUMMYFUNCTION("split(split(K347,""小雪　"",false),""【公式LINE】"",false)"),"【公式HP】  http://www.fujitv.co.jp/daibinbo/    【公式Twitter】  @DAIBINBO_sun9    ")</f>
        <v>【公式HP】  http://www.fujitv.co.jp/daibinbo/    【公式Twitter】  @DAIBINBO_sun9    </v>
      </c>
      <c r="N347" s="2" t="str">
        <f>IFERROR(__xludf.DUMMYFUNCTION("""COMPUTED_VALUE"""),"  大貧乏　七草ゆず子(小雪)と柿原新一(伊藤淳史)は、天満利章(奥田瑛二)と浅岡礼司(滝藤賢一)らに裏切られ、被害者の会を外されてしまった。しかし、ゆず子は柿原を弁護人に訴訟を続けることを決意。そこには、加瀬春木(成田凌)も戻って来ていた。  　加瀬の辛い過去も知ったことで、ゆず子たちは天満を倒すことで一致。そのためにも、柿原は引き続き濱中電子工業の内部を調査することになる。一方、天満と浅岡を探る加瀬を、ゆず子と柿原は心配していた。  　今後の作戦について打ち合わせしていると、木暮祐人(神山智洋)が飛び"&amp;"込んで来る。『正義の検事　ジャスティス・ゴトー』の制作会社が、柿原の事務所で撮影させて欲しいと頼んで来たのだ。翔太(今井暖大)と実結(野澤しおり)は大喜び。もちろん、大ファンの柿原も。余計なことをしている暇はないと言うゆず子に、柿原はジャスティス・ゴトーへの熱い思いを語る。それは20年前にさかのぼり、高校時代のゆず子との会話でジャスティス・ゴトーのファンになったことを明かす。彼のような法律家に憧れ、弁護士になったのだが…。すっかり忘れているゆず子に落胆する柿原。そんな柿原に、ゆず子もダメとは言えず撮影が行"&amp;"われることになった。  　その日の夕方、制作会社の都鳥仁(片桐仁)が撮影の打ち合わせに来た。法律監修も頼まれた柿原は大乗り気。しかし、撮影されるストーリーをそばで聞いていた加瀬の様子が変わる。")</f>
        <v>  大貧乏　七草ゆず子(小雪)と柿原新一(伊藤淳史)は、天満利章(奥田瑛二)と浅岡礼司(滝藤賢一)らに裏切られ、被害者の会を外されてしまった。しかし、ゆず子は柿原を弁護人に訴訟を続けることを決意。そこには、加瀬春木(成田凌)も戻って来ていた。  　加瀬の辛い過去も知ったことで、ゆず子たちは天満を倒すことで一致。そのためにも、柿原は引き続き濱中電子工業の内部を調査することになる。一方、天満と浅岡を探る加瀬を、ゆず子と柿原は心配していた。  　今後の作戦について打ち合わせしていると、木暮祐人(神山智洋)が飛び込んで来る。『正義の検事　ジャスティス・ゴトー』の制作会社が、柿原の事務所で撮影させて欲しいと頼んで来たのだ。翔太(今井暖大)と実結(野澤しおり)は大喜び。もちろん、大ファンの柿原も。余計なことをしている暇はないと言うゆず子に、柿原はジャスティス・ゴトーへの熱い思いを語る。それは20年前にさかのぼり、高校時代のゆず子との会話でジャスティス・ゴトーのファンになったことを明かす。彼のような法律家に憧れ、弁護士になったのだが…。すっかり忘れているゆず子に落胆する柿原。そんな柿原に、ゆず子もダメとは言えず撮影が行われることになった。  　その日の夕方、制作会社の都鳥仁(片桐仁)が撮影の打ち合わせに来た。法律監修も頼まれた柿原は大乗り気。しかし、撮影されるストーリーをそばで聞いていた加瀬の様子が変わる。</v>
      </c>
      <c r="O347" s="2"/>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row>
    <row r="348" ht="204.75" customHeight="1">
      <c r="A348" s="1">
        <v>1417.0</v>
      </c>
      <c r="B348" s="2" t="s">
        <v>1092</v>
      </c>
      <c r="C348" s="2">
        <f>IFERROR(__xludf.DUMMYFUNCTION("split(B348,""_"")"),1701.0)</f>
        <v>1701</v>
      </c>
      <c r="D348" s="2" t="str">
        <f>IFERROR(__xludf.DUMMYFUNCTION("""COMPUTED_VALUE"""),"CX")</f>
        <v>CX</v>
      </c>
      <c r="E348" s="2" t="str">
        <f>IFERROR(__xludf.DUMMYFUNCTION("""COMPUTED_VALUE"""),"日21")</f>
        <v>日21</v>
      </c>
      <c r="F348" s="2" t="s">
        <v>1093</v>
      </c>
      <c r="G348" s="2" t="s">
        <v>1118</v>
      </c>
      <c r="H348" s="1">
        <v>9.0</v>
      </c>
      <c r="I348" s="1" t="s">
        <v>33</v>
      </c>
      <c r="J348" s="1" t="s">
        <v>11</v>
      </c>
      <c r="K348" s="2" t="s">
        <v>1119</v>
      </c>
      <c r="L348" s="2" t="s">
        <v>1120</v>
      </c>
      <c r="M348" s="2" t="str">
        <f>IFERROR(__xludf.DUMMYFUNCTION("split(split(K348,""小雪　"",false),""【公式LINE】"",false)"),"ドラマ「大貧乏」オリジナルサウンドトラックを30名様にプレゼント。詳しくは放送終了後、番組公式HPまで。    【公式HP】  http://www.fujitv.co.jp/daibinbo/    【公式Twitter】  @DAIBINBO_sun9    ")</f>
        <v>ドラマ「大貧乏」オリジナルサウンドトラックを30名様にプレゼント。詳しくは放送終了後、番組公式HPまで。    【公式HP】  http://www.fujitv.co.jp/daibinbo/    【公式Twitter】  @DAIBINBO_sun9    </v>
      </c>
      <c r="N348" s="2" t="str">
        <f>IFERROR(__xludf.DUMMYFUNCTION("""COMPUTED_VALUE"""),"  大貧乏　七草ゆず子(小雪)が天満利章(奥田瑛二)に脅されたことを知った柿原新一(伊藤淳史)は、彼女のアパートに駆け付けた。天満がターゲットにしそうなのは、ゆず子の子供、翔太(今井暖大)と実結(野澤しおり)。柿原は、加瀬春木(成田凌)とアパート近くに車を停めて見張ることに。困ったゆず子は柿原と加瀬を自宅に泊めることにする。2人のお泊りに子供たちは大はしゃぎ。  　翌朝、ゆず子はいつものように朝の支度。柿原はゆず子の手料理を大喜びで頬張るが、朝が苦手な加瀬は朝ごはんには手をつけない。すると、ゆず子はキチン"&amp;"と食べるよう加瀬を促す。柿原も支度を急かされた。だが、柿原も加瀬も、そんな家庭的な朝に居心地の良さを感じていた。  　午後、柿原の事務所で打ち合わせ。問題は、なぜ今さら天満が原告団代表になったのか。やり残したことがあるのでは?と言うゆず子に、柿原は聞いてみるか…と、ある人を訪ねることに。　柿原が向かった先は留置場。拘留中の浅岡礼司(滝藤賢一)と面会するためだった。早速疑問をぶつけると、浅岡は取引を持ちかける。横領した30億円の返済時に、うまく5億円を残してくれと言うのだ。天満は濱中電子工業の未公開株を大量"&amp;"に持っていた。その株が一部上場されるのを待っているのだと…。  　濱中の上場は6日後に迫っていた。それまでに、ゆず子たちは濱中、そして天満の悪行を暴くことが出来るのか?")</f>
        <v>  大貧乏　七草ゆず子(小雪)が天満利章(奥田瑛二)に脅されたことを知った柿原新一(伊藤淳史)は、彼女のアパートに駆け付けた。天満がターゲットにしそうなのは、ゆず子の子供、翔太(今井暖大)と実結(野澤しおり)。柿原は、加瀬春木(成田凌)とアパート近くに車を停めて見張ることに。困ったゆず子は柿原と加瀬を自宅に泊めることにする。2人のお泊りに子供たちは大はしゃぎ。  　翌朝、ゆず子はいつものように朝の支度。柿原はゆず子の手料理を大喜びで頬張るが、朝が苦手な加瀬は朝ごはんには手をつけない。すると、ゆず子はキチンと食べるよう加瀬を促す。柿原も支度を急かされた。だが、柿原も加瀬も、そんな家庭的な朝に居心地の良さを感じていた。  　午後、柿原の事務所で打ち合わせ。問題は、なぜ今さら天満が原告団代表になったのか。やり残したことがあるのでは?と言うゆず子に、柿原は聞いてみるか…と、ある人を訪ねることに。　柿原が向かった先は留置場。拘留中の浅岡礼司(滝藤賢一)と面会するためだった。早速疑問をぶつけると、浅岡は取引を持ちかける。横領した30億円の返済時に、うまく5億円を残してくれと言うのだ。天満は濱中電子工業の未公開株を大量に持っていた。その株が一部上場されるのを待っているのだと…。  　濱中の上場は6日後に迫っていた。それまでに、ゆず子たちは濱中、そして天満の悪行を暴くことが出来るのか?</v>
      </c>
      <c r="O348" s="2"/>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row>
    <row r="349" ht="204.75" customHeight="1">
      <c r="A349" s="1">
        <v>1418.0</v>
      </c>
      <c r="B349" s="2" t="s">
        <v>1092</v>
      </c>
      <c r="C349" s="2">
        <f>IFERROR(__xludf.DUMMYFUNCTION("split(B349,""_"")"),1701.0)</f>
        <v>1701</v>
      </c>
      <c r="D349" s="2" t="str">
        <f>IFERROR(__xludf.DUMMYFUNCTION("""COMPUTED_VALUE"""),"CX")</f>
        <v>CX</v>
      </c>
      <c r="E349" s="2" t="str">
        <f>IFERROR(__xludf.DUMMYFUNCTION("""COMPUTED_VALUE"""),"日21")</f>
        <v>日21</v>
      </c>
      <c r="F349" s="2" t="s">
        <v>1093</v>
      </c>
      <c r="G349" s="2" t="s">
        <v>1121</v>
      </c>
      <c r="H349" s="1">
        <v>10.0</v>
      </c>
      <c r="I349" s="1" t="s">
        <v>37</v>
      </c>
      <c r="J349" s="1" t="s">
        <v>11</v>
      </c>
      <c r="K349" s="2" t="s">
        <v>1122</v>
      </c>
      <c r="L349" s="2" t="s">
        <v>1123</v>
      </c>
      <c r="M349" s="2" t="str">
        <f>IFERROR(__xludf.DUMMYFUNCTION("split(split(K349,""小雪　"",false),""【公式LINE】"",false)"),"【公式HP】  http://www.fujitv.co.jp/daibinbo/    【公式Twitter】  @DAIBINBO_sun9    ")</f>
        <v>【公式HP】  http://www.fujitv.co.jp/daibinbo/    【公式Twitter】  @DAIBINBO_sun9    </v>
      </c>
      <c r="N349" s="2" t="str">
        <f>IFERROR(__xludf.DUMMYFUNCTION("""COMPUTED_VALUE"""),"  大貧乏　七草ゆず子(小雪)たちの奮闘むなしく、濱中電子工業の株は上場され、天満利章(奥田瑛二)の元に多額の利益が流れ込んだ。さらに、天満は国外へと姿をくらませてしまい、裁きを与えることは出来なくなる。  　柿原新一(伊藤淳史)の落胆は激しく、濱中を詐欺罪で刑事告訴すると息巻く。そうすれば、上場を取り下げられるだけでなく、濱中そのものを解体に追い込むことが出来ると言うのだ。いつもと様相の違う柿原を、ゆず子は冷静に諭す。自分たちの目的は濱中を潰すことではない、と。会社がなくなれば、多くの社員たちが路頭に迷"&amp;"うからだ。加瀬春木(成田凌)も、ゆず子に賛同するが、柿原は悔しさに顔をゆがめて何度も机を叩いて怒りを吐き出した。  　浅岡礼司(滝藤賢一)に面会した柿原は、ここまでの経緯とこれからの方針を告げる。濱中とは和解し、250億円を一括返済させ、アウセルの不具合を公表させる代わりに、意図的な情報漏えいは公にしないというものだ。天満のことは諦めるのか?と問う浅岡に、柿原はきっぱりと追究しないと答えるが…。  　その後、濱中は約束通りにアウセルの不具合に関する会見を行い、事は落着。柿原と加瀬はゆず子のアパートから出て"&amp;"行った。そして、ゆず子は柿原との代理人契約を終了させることになる。  　会う機会を逸したゆず子と柿原の関係は…?そして、海外のどこかで高笑いする天満との結末はいかに…?")</f>
        <v>  大貧乏　七草ゆず子(小雪)たちの奮闘むなしく、濱中電子工業の株は上場され、天満利章(奥田瑛二)の元に多額の利益が流れ込んだ。さらに、天満は国外へと姿をくらませてしまい、裁きを与えることは出来なくなる。  　柿原新一(伊藤淳史)の落胆は激しく、濱中を詐欺罪で刑事告訴すると息巻く。そうすれば、上場を取り下げられるだけでなく、濱中そのものを解体に追い込むことが出来ると言うのだ。いつもと様相の違う柿原を、ゆず子は冷静に諭す。自分たちの目的は濱中を潰すことではない、と。会社がなくなれば、多くの社員たちが路頭に迷うからだ。加瀬春木(成田凌)も、ゆず子に賛同するが、柿原は悔しさに顔をゆがめて何度も机を叩いて怒りを吐き出した。  　浅岡礼司(滝藤賢一)に面会した柿原は、ここまでの経緯とこれからの方針を告げる。濱中とは和解し、250億円を一括返済させ、アウセルの不具合を公表させる代わりに、意図的な情報漏えいは公にしないというものだ。天満のことは諦めるのか?と問う浅岡に、柿原はきっぱりと追究しないと答えるが…。  　その後、濱中は約束通りにアウセルの不具合に関する会見を行い、事は落着。柿原と加瀬はゆず子のアパートから出て行った。そして、ゆず子は柿原との代理人契約を終了させることになる。  　会う機会を逸したゆず子と柿原の関係は…?そして、海外のどこかで高笑いする天満との結末はいかに…?</v>
      </c>
      <c r="O349" s="2"/>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row>
    <row r="350" ht="204.75" customHeight="1">
      <c r="A350" s="1">
        <v>1428.0</v>
      </c>
      <c r="B350" s="2" t="s">
        <v>1124</v>
      </c>
      <c r="C350" s="2">
        <f>IFERROR(__xludf.DUMMYFUNCTION("split(B350,""_"")"),1610.0)</f>
        <v>1610</v>
      </c>
      <c r="D350" s="2" t="str">
        <f>IFERROR(__xludf.DUMMYFUNCTION("""COMPUTED_VALUE"""),"CX")</f>
        <v>CX</v>
      </c>
      <c r="E350" s="2" t="str">
        <f>IFERROR(__xludf.DUMMYFUNCTION("""COMPUTED_VALUE"""),"月21")</f>
        <v>月21</v>
      </c>
      <c r="F350" s="2" t="s">
        <v>1125</v>
      </c>
      <c r="G350" s="2" t="s">
        <v>1126</v>
      </c>
      <c r="H350" s="1">
        <v>1.0</v>
      </c>
      <c r="I350" s="1" t="s">
        <v>3</v>
      </c>
      <c r="J350" s="1" t="s">
        <v>4</v>
      </c>
      <c r="K350" s="2" t="s">
        <v>1127</v>
      </c>
      <c r="L350" s="2" t="s">
        <v>1128</v>
      </c>
      <c r="M350" s="2" t="str">
        <f>IFERROR(__xludf.DUMMYFUNCTION("split(split(K350,""山田涼介　"",false),""検索よろしくお願いします"",false)"),"【番組公式HP】　  http://www.fujitv.co.jp/CainandAbel/　  【公式Twitter】  「#カインとアベル」で")</f>
        <v>【番組公式HP】　  http://www.fujitv.co.jp/CainandAbel/　  【公式Twitter】  「#カインとアベル」で</v>
      </c>
      <c r="N350" s="2" t="str">
        <f>IFERROR(__xludf.DUMMYFUNCTION("""COMPUTED_VALUE"""),"!「高田総合地所株式会社」の創立50周年記念パーティーが行われている。しかし、その席に高田優(山田涼介)の姿がない。優は、社長の貴行(高嶋政伸)の次男。優の兄で、副社長の隆一(桐谷健太)が探しに行く。  優は貴行の会社で働いている。だが、できる兄の隆一と何かと比較され、他の社員たちからも冷ややかな目で見られる存在だ。  優自身もわかっている。だから、この日も、1人で飲もうとしていた。優がシャンパンの栓を開けると、ある女性にかかってしまう。慌てて謝る優。その女性と飲んでいると、優は社員に発見され会場に連れ戻"&amp;"された。  貴行のスピーチの間も、優は隆一と比較されてばかりいた幼少期を思っていた。貴行の期待は隆一に集中。会社の重要な案件に優が意見を求められることは一切ない。  優は担当している土地の買い上げを地主がやめようとしていることを知る。地主に会いに行くが、取り付く島もない。だが、地主が売ることにしたと連絡してくる。裏で兄の隆一が動いた様子だった。  そんな優がアウトレットモール開発のプロジェクトチームの一員に選ばれた。これも隆一の一声があったから。プロジェクトルームに行くと、パーティーの時に会った女性がいる"&amp;"。彼女は、矢作梓(倉科カナ)。優と同じく高田総合地所の社員だった。梓は、チームのメンバーとして消極的な優を励ます。優は慣れないながらも、大きなプロジェクトに取り組むことになってしまう。")</f>
        <v>!「高田総合地所株式会社」の創立50周年記念パーティーが行われている。しかし、その席に高田優(山田涼介)の姿がない。優は、社長の貴行(高嶋政伸)の次男。優の兄で、副社長の隆一(桐谷健太)が探しに行く。  優は貴行の会社で働いている。だが、できる兄の隆一と何かと比較され、他の社員たちからも冷ややかな目で見られる存在だ。  優自身もわかっている。だから、この日も、1人で飲もうとしていた。優がシャンパンの栓を開けると、ある女性にかかってしまう。慌てて謝る優。その女性と飲んでいると、優は社員に発見され会場に連れ戻された。  貴行のスピーチの間も、優は隆一と比較されてばかりいた幼少期を思っていた。貴行の期待は隆一に集中。会社の重要な案件に優が意見を求められることは一切ない。  優は担当している土地の買い上げを地主がやめようとしていることを知る。地主に会いに行くが、取り付く島もない。だが、地主が売ることにしたと連絡してくる。裏で兄の隆一が動いた様子だった。  そんな優がアウトレットモール開発のプロジェクトチームの一員に選ばれた。これも隆一の一声があったから。プロジェクトルームに行くと、パーティーの時に会った女性がいる。彼女は、矢作梓(倉科カナ)。優と同じく高田総合地所の社員だった。梓は、チームのメンバーとして消極的な優を励ます。優は慣れないながらも、大きなプロジェクトに取り組むことになってしまう。</v>
      </c>
      <c r="O350" s="2"/>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row>
    <row r="351" ht="204.75" customHeight="1">
      <c r="A351" s="1">
        <v>1429.0</v>
      </c>
      <c r="B351" s="2" t="s">
        <v>1124</v>
      </c>
      <c r="C351" s="2">
        <f>IFERROR(__xludf.DUMMYFUNCTION("split(B351,""_"")"),1610.0)</f>
        <v>1610</v>
      </c>
      <c r="D351" s="2" t="str">
        <f>IFERROR(__xludf.DUMMYFUNCTION("""COMPUTED_VALUE"""),"CX")</f>
        <v>CX</v>
      </c>
      <c r="E351" s="2" t="str">
        <f>IFERROR(__xludf.DUMMYFUNCTION("""COMPUTED_VALUE"""),"月21")</f>
        <v>月21</v>
      </c>
      <c r="F351" s="2" t="s">
        <v>1125</v>
      </c>
      <c r="G351" s="2" t="s">
        <v>1129</v>
      </c>
      <c r="H351" s="1">
        <v>2.0</v>
      </c>
      <c r="I351" s="1" t="s">
        <v>7</v>
      </c>
      <c r="J351" s="1" t="s">
        <v>11</v>
      </c>
      <c r="K351" s="2" t="s">
        <v>1130</v>
      </c>
      <c r="L351" s="2" t="s">
        <v>1131</v>
      </c>
      <c r="M351" s="2" t="str">
        <f>IFERROR(__xludf.DUMMYFUNCTION("split(split(K351,""山田涼介　"",false),""検索よろしくお願いします"",false)"),"【番組公式HP】　  http://www.fujitv.co.jp/CainandAbel/　  【公式Twitter】  「#カインとアベル」で")</f>
        <v>【番組公式HP】　  http://www.fujitv.co.jp/CainandAbel/　  【公式Twitter】  「#カインとアベル」で</v>
      </c>
      <c r="N351" s="2" t="str">
        <f>IFERROR(__xludf.DUMMYFUNCTION("""COMPUTED_VALUE"""),"!アウトレットモールのプロジェクトチームは、次の段階へ。高田優(山田涼介)は、矢作梓(倉科カナ)と設計の担当になった。設計を依頼するのは大御所建築家、神谷仁(竜雷太)。団衛(木下ほうか)によると、神谷はわがままでクセが強いため、優と梓は苦戦を強いられそう。  一方、隆一(桐谷健太)の表情はこわばっている。バンコクの事業で組む現地ゼネコンの経営不振が発覚。貴行(高嶋政伸)は事業から手を引くことも考えていいと言うのだが、隆一は乗り切れる見込みがあると、資金繰りを進めることに。  優と梓は、同じ会社の設計部でイ"&amp;"メージ図を描いた長谷川守(小林隆)と神谷を訪問する。優があいさつをすると、神谷は意味あり気にうなずく。実は、神谷は優の祖父、宗一郎(平幹二朗)に孫の印象を教えてほしいと頼まれていたのだ。つまり、宗一郎と神谷は旧知の仲。それでも、神谷の厳しさは変わらない。長谷川のイメージ図をいちべつした神谷は、好きなように設計させてもらうと、3人を帰してしまう。  翌朝、優が隆一より早く出社する姿に貴行は驚く。そして、貴行は隆一に見合いをさせようとしている代議士の娘とゴルフに行くと告げる。貴行は梓のことをハッキリと言い出せ"&amp;"ずにいた。  数日後、優たちは再び神谷のもとへ。神谷の設計図は確かに立派だが、コストが膨大なものになってしまう。長谷川の提案で、一度チームに持ち帰るのだが、やはり受け入れられず…。")</f>
        <v>!アウトレットモールのプロジェクトチームは、次の段階へ。高田優(山田涼介)は、矢作梓(倉科カナ)と設計の担当になった。設計を依頼するのは大御所建築家、神谷仁(竜雷太)。団衛(木下ほうか)によると、神谷はわがままでクセが強いため、優と梓は苦戦を強いられそう。  一方、隆一(桐谷健太)の表情はこわばっている。バンコクの事業で組む現地ゼネコンの経営不振が発覚。貴行(高嶋政伸)は事業から手を引くことも考えていいと言うのだが、隆一は乗り切れる見込みがあると、資金繰りを進めることに。  優と梓は、同じ会社の設計部でイメージ図を描いた長谷川守(小林隆)と神谷を訪問する。優があいさつをすると、神谷は意味あり気にうなずく。実は、神谷は優の祖父、宗一郎(平幹二朗)に孫の印象を教えてほしいと頼まれていたのだ。つまり、宗一郎と神谷は旧知の仲。それでも、神谷の厳しさは変わらない。長谷川のイメージ図をいちべつした神谷は、好きなように設計させてもらうと、3人を帰してしまう。  翌朝、優が隆一より早く出社する姿に貴行は驚く。そして、貴行は隆一に見合いをさせようとしている代議士の娘とゴルフに行くと告げる。貴行は梓のことをハッキリと言い出せずにいた。  数日後、優たちは再び神谷のもとへ。神谷の設計図は確かに立派だが、コストが膨大なものになってしまう。長谷川の提案で、一度チームに持ち帰るのだが、やはり受け入れられず…。</v>
      </c>
      <c r="O351" s="2"/>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row>
    <row r="352" ht="204.75" customHeight="1">
      <c r="A352" s="1">
        <v>1430.0</v>
      </c>
      <c r="B352" s="2" t="s">
        <v>1124</v>
      </c>
      <c r="C352" s="2">
        <f>IFERROR(__xludf.DUMMYFUNCTION("split(B352,""_"")"),1610.0)</f>
        <v>1610</v>
      </c>
      <c r="D352" s="2" t="str">
        <f>IFERROR(__xludf.DUMMYFUNCTION("""COMPUTED_VALUE"""),"CX")</f>
        <v>CX</v>
      </c>
      <c r="E352" s="2" t="str">
        <f>IFERROR(__xludf.DUMMYFUNCTION("""COMPUTED_VALUE"""),"月21")</f>
        <v>月21</v>
      </c>
      <c r="F352" s="2" t="s">
        <v>1125</v>
      </c>
      <c r="G352" s="2" t="s">
        <v>1132</v>
      </c>
      <c r="H352" s="1">
        <v>3.0</v>
      </c>
      <c r="I352" s="1" t="s">
        <v>10</v>
      </c>
      <c r="J352" s="1" t="s">
        <v>11</v>
      </c>
      <c r="K352" s="2" t="s">
        <v>1133</v>
      </c>
      <c r="L352" s="2" t="s">
        <v>1134</v>
      </c>
      <c r="M352" s="2" t="str">
        <f>IFERROR(__xludf.DUMMYFUNCTION("split(split(K352,""山田涼介　"",false),""検索よろしくお願いします"",false)"),"【番組公式HP】　  http://www.fujitv.co.jp/CainandAbel/　  【公式Twitter】  「#カインとアベル」で")</f>
        <v>【番組公式HP】　  http://www.fujitv.co.jp/CainandAbel/　  【公式Twitter】  「#カインとアベル」で</v>
      </c>
      <c r="N352" s="2" t="str">
        <f>IFERROR(__xludf.DUMMYFUNCTION("""COMPUTED_VALUE"""),"!高田優(山田涼介)は、兄の隆一(桐谷健太)と父の貴行(高嶋政伸)から食事に誘われた。そこには、矢作梓(倉科カナ)もいて、隆一の恋人で近々結婚すると知らされた。少なからず梓に好意を抱いていた優はショックを受けるが、表情には出さず明るく振る舞う。幼い頃のエピソードを持ち出し、隆一を褒めあげた。  優のプロジェクトチームは団衛(木下ほうか)からアウトレットモール建設のゼネコン選定に入ることを知らされる。バンコクの都市開発参入の危機を乗り越えた隆一は、役員たちから次期社長就任も早まるのではないかとうわさされてい"&amp;"た。その夜、隆一と優がそろうと貴行が話を切り出す。貴行はバンコクの件がこのまま軌道に乗ることを条件に、来たる株主総会で隆一を社長に推薦すると告げた。嬉しさを隠せない隆一に、優も賛同する。  プロジェクトチームにアウトレット建設地の地元有力者・兵頭光一(イッセー尾形)が来た。応対した優、梓、団に兵頭は地元の建設会社を入札に加えてほしいと言う。しかし、すでに有力会社の選定を終えているため、優たちはやんわり断った。  その頃、隆一が進めるバンコクの事業に異変が…。うまく収めたはずの地元企業の債務が新たに発覚。そ"&amp;"の額は、莫大なものだった。  一方、優たちのチームには、環境団体の代表が建設計画を全面的に見直すよう求めて来る。  優と隆一、それぞれの仕事に新たな壁が立ちはだかった…。")</f>
        <v>!高田優(山田涼介)は、兄の隆一(桐谷健太)と父の貴行(高嶋政伸)から食事に誘われた。そこには、矢作梓(倉科カナ)もいて、隆一の恋人で近々結婚すると知らされた。少なからず梓に好意を抱いていた優はショックを受けるが、表情には出さず明るく振る舞う。幼い頃のエピソードを持ち出し、隆一を褒めあげた。  優のプロジェクトチームは団衛(木下ほうか)からアウトレットモール建設のゼネコン選定に入ることを知らされる。バンコクの都市開発参入の危機を乗り越えた隆一は、役員たちから次期社長就任も早まるのではないかとうわさされていた。その夜、隆一と優がそろうと貴行が話を切り出す。貴行はバンコクの件がこのまま軌道に乗ることを条件に、来たる株主総会で隆一を社長に推薦すると告げた。嬉しさを隠せない隆一に、優も賛同する。  プロジェクトチームにアウトレット建設地の地元有力者・兵頭光一(イッセー尾形)が来た。応対した優、梓、団に兵頭は地元の建設会社を入札に加えてほしいと言う。しかし、すでに有力会社の選定を終えているため、優たちはやんわり断った。  その頃、隆一が進めるバンコクの事業に異変が…。うまく収めたはずの地元企業の債務が新たに発覚。その額は、莫大なものだった。  一方、優たちのチームには、環境団体の代表が建設計画を全面的に見直すよう求めて来る。  優と隆一、それぞれの仕事に新たな壁が立ちはだかった…。</v>
      </c>
      <c r="O352" s="2"/>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row>
    <row r="353" ht="204.75" customHeight="1">
      <c r="A353" s="1">
        <v>1431.0</v>
      </c>
      <c r="B353" s="2" t="s">
        <v>1124</v>
      </c>
      <c r="C353" s="2">
        <f>IFERROR(__xludf.DUMMYFUNCTION("split(B353,""_"")"),1610.0)</f>
        <v>1610</v>
      </c>
      <c r="D353" s="2" t="str">
        <f>IFERROR(__xludf.DUMMYFUNCTION("""COMPUTED_VALUE"""),"CX")</f>
        <v>CX</v>
      </c>
      <c r="E353" s="2" t="str">
        <f>IFERROR(__xludf.DUMMYFUNCTION("""COMPUTED_VALUE"""),"月21")</f>
        <v>月21</v>
      </c>
      <c r="F353" s="2" t="s">
        <v>1125</v>
      </c>
      <c r="G353" s="2" t="s">
        <v>1135</v>
      </c>
      <c r="H353" s="1">
        <v>4.0</v>
      </c>
      <c r="I353" s="1" t="s">
        <v>14</v>
      </c>
      <c r="J353" s="1" t="s">
        <v>11</v>
      </c>
      <c r="K353" s="2" t="s">
        <v>1136</v>
      </c>
      <c r="L353" s="2" t="s">
        <v>1137</v>
      </c>
      <c r="M353" s="2" t="str">
        <f>IFERROR(__xludf.DUMMYFUNCTION("split(split(K353,""山田涼介　"",false),""検索よろしくお願いします"",false)"),"【番組公式HP】  http://www.fujitv.co.jp/CainandAbel/　  【公式Twitter】  「#カインとアベル」で")</f>
        <v>【番組公式HP】  http://www.fujitv.co.jp/CainandAbel/　  【公式Twitter】  「#カインとアベル」で</v>
      </c>
      <c r="N353" s="2" t="str">
        <f>IFERROR(__xludf.DUMMYFUNCTION("""COMPUTED_VALUE"""),"!高田優(山田涼介)は、兄・隆一(桐谷健太)が出社していないことをプロジェクトルームで団衛(木下ほうか)から知らされる。隆一の携帯にすぐ電話をかける優だが、留守電に。優が矢作梓(倉科カナ)に昨夜の様子を聞いた。すると梓は、隆一は戻ってこないかもと言う。梓によると、隆一はかなり酒を飲んで部屋に来たのだが、何も話さずに帰ってしまったのだそう。様子のおかしい隆一には、優も心当たりがあった。隆一は幼い頃に父の貴行(高嶋政伸)からもらった大事な万年筆を優に譲っていたのだ。  その頃、社長室では貴行が隆一の行方が知れ"&amp;"ぬことを隠して役員会を乗り切っていた。役員会が終わると、会長の宗一郎(寺尾聰)が来た。隆一の欠席を心配する宗一郎だが、貴行は問題ないと答える。だが、宗一郎は隆一のように完璧に見える人間の方が脆いのではないかと貴行に問う。それでも、貴行は隆一を信頼しきった様子だった。  家に帰った優は、隆一の部屋で行方の手がかりを探すのだが、何も見つからず。しかし、隆一から譲られた万年筆を見つめていた優は、あることに思い当たる。  翌日、優は梓に隆一の居所に心当たりがあることを伝えた。すると、梓は一緒に連れて行ってほしいと"&amp;"言う。2人はその夜、高田家の別荘へ。  一方、高田家では桃子(南果歩)がフィアンセに会ってほしいと貴行に頼んでいた。桃子の結婚に反対する貴行はかたくなに断るが…。")</f>
        <v>!高田優(山田涼介)は、兄・隆一(桐谷健太)が出社していないことをプロジェクトルームで団衛(木下ほうか)から知らされる。隆一の携帯にすぐ電話をかける優だが、留守電に。優が矢作梓(倉科カナ)に昨夜の様子を聞いた。すると梓は、隆一は戻ってこないかもと言う。梓によると、隆一はかなり酒を飲んで部屋に来たのだが、何も話さずに帰ってしまったのだそう。様子のおかしい隆一には、優も心当たりがあった。隆一は幼い頃に父の貴行(高嶋政伸)からもらった大事な万年筆を優に譲っていたのだ。  その頃、社長室では貴行が隆一の行方が知れぬことを隠して役員会を乗り切っていた。役員会が終わると、会長の宗一郎(寺尾聰)が来た。隆一の欠席を心配する宗一郎だが、貴行は問題ないと答える。だが、宗一郎は隆一のように完璧に見える人間の方が脆いのではないかと貴行に問う。それでも、貴行は隆一を信頼しきった様子だった。  家に帰った優は、隆一の部屋で行方の手がかりを探すのだが、何も見つからず。しかし、隆一から譲られた万年筆を見つめていた優は、あることに思い当たる。  翌日、優は梓に隆一の居所に心当たりがあることを伝えた。すると、梓は一緒に連れて行ってほしいと言う。2人はその夜、高田家の別荘へ。  一方、高田家では桃子(南果歩)がフィアンセに会ってほしいと貴行に頼んでいた。桃子の結婚に反対する貴行はかたくなに断るが…。</v>
      </c>
      <c r="O353" s="2"/>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row>
    <row r="354" ht="204.75" customHeight="1">
      <c r="A354" s="1">
        <v>1432.0</v>
      </c>
      <c r="B354" s="2" t="s">
        <v>1124</v>
      </c>
      <c r="C354" s="2">
        <f>IFERROR(__xludf.DUMMYFUNCTION("split(B354,""_"")"),1610.0)</f>
        <v>1610</v>
      </c>
      <c r="D354" s="2" t="str">
        <f>IFERROR(__xludf.DUMMYFUNCTION("""COMPUTED_VALUE"""),"CX")</f>
        <v>CX</v>
      </c>
      <c r="E354" s="2" t="str">
        <f>IFERROR(__xludf.DUMMYFUNCTION("""COMPUTED_VALUE"""),"月21")</f>
        <v>月21</v>
      </c>
      <c r="F354" s="2" t="s">
        <v>1125</v>
      </c>
      <c r="G354" s="2" t="s">
        <v>1138</v>
      </c>
      <c r="H354" s="1">
        <v>5.0</v>
      </c>
      <c r="I354" s="1" t="s">
        <v>17</v>
      </c>
      <c r="J354" s="1" t="s">
        <v>11</v>
      </c>
      <c r="K354" s="2" t="s">
        <v>1139</v>
      </c>
      <c r="L354" s="2" t="s">
        <v>1140</v>
      </c>
      <c r="M354" s="2" t="str">
        <f>IFERROR(__xludf.DUMMYFUNCTION("split(split(K354,""山田涼介　"",false),""検索よろしくお願いします"",false)"),"【番組公式HP】  http://www.fujitv.co.jp/CainandAbel/　  【公式Twitter】  「#カインとアベル」で")</f>
        <v>【番組公式HP】  http://www.fujitv.co.jp/CainandAbel/　  【公式Twitter】  「#カインとアベル」で</v>
      </c>
      <c r="N354" s="2" t="str">
        <f>IFERROR(__xludf.DUMMYFUNCTION("""COMPUTED_VALUE"""),"!高田優(山田涼介)は、隆一(桐谷健太)に殴られる。隆一が手掛けるバンコクのプロジェクトに対する黒沢幸助(竹中直人)からの出資は、優が頼んだからだと矢作梓(倉科カナ)に聞いたからだ。隆一には、優が黒沢に出資を頼んだ意味がわからなかった。  貴行(高嶋政伸)も隆一のプロジェクトを助けたのが黒沢だと知る。桃子(南果歩)からフィアンセだと紹介された時、貴行は金目当てかと疑っただけに、苦虫をかみつぶす思いだ。それでも隆一の判断は正しかったと貴行は、宗一郎(寺尾聰)に報告。隆一も優の介在を貴行には話さなかった。  "&amp;"優は梓から、黒沢の出資の件を隆一に話したことを知らされる。それが原因で隆一が優を殴ったのだろうと謝る梓。しかし優は意に介していない様子。だが、梓は優の行動を誰かに知ってほしかったのだと訴える。  そんな時、貴行のもとを桃子が訪ねて来た。黒沢の出資には納得できないが、隆一の判断は正しかったと言う貴行は、桃子にも礼を言う。すると、桃子の口から貴行にとって驚くべき言葉が飛び出る。黒沢に認められ、出資を取り付けたのは隆一ではなく優だと…。  帰宅した優は貴行に出資の件を尋ねられる。余計なことをしたと謝る優。なぜ怪"&amp;"しげな黒沢に頼んだのかと続ける貴行に、優はリスクを背負ってでもやらなければいけない時だと思ったと答えた。  翌日、貴行に呼び出されて優は社長室へ。貴行は会食に同行するよう優に求め…。")</f>
        <v>!高田優(山田涼介)は、隆一(桐谷健太)に殴られる。隆一が手掛けるバンコクのプロジェクトに対する黒沢幸助(竹中直人)からの出資は、優が頼んだからだと矢作梓(倉科カナ)に聞いたからだ。隆一には、優が黒沢に出資を頼んだ意味がわからなかった。  貴行(高嶋政伸)も隆一のプロジェクトを助けたのが黒沢だと知る。桃子(南果歩)からフィアンセだと紹介された時、貴行は金目当てかと疑っただけに、苦虫をかみつぶす思いだ。それでも隆一の判断は正しかったと貴行は、宗一郎(寺尾聰)に報告。隆一も優の介在を貴行には話さなかった。  優は梓から、黒沢の出資の件を隆一に話したことを知らされる。それが原因で隆一が優を殴ったのだろうと謝る梓。しかし優は意に介していない様子。だが、梓は優の行動を誰かに知ってほしかったのだと訴える。  そんな時、貴行のもとを桃子が訪ねて来た。黒沢の出資には納得できないが、隆一の判断は正しかったと言う貴行は、桃子にも礼を言う。すると、桃子の口から貴行にとって驚くべき言葉が飛び出る。黒沢に認められ、出資を取り付けたのは隆一ではなく優だと…。  帰宅した優は貴行に出資の件を尋ねられる。余計なことをしたと謝る優。なぜ怪しげな黒沢に頼んだのかと続ける貴行に、優はリスクを背負ってでもやらなければいけない時だと思ったと答えた。  翌日、貴行に呼び出されて優は社長室へ。貴行は会食に同行するよう優に求め…。</v>
      </c>
      <c r="O354" s="2"/>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row>
    <row r="355" ht="204.75" customHeight="1">
      <c r="A355" s="1">
        <v>1433.0</v>
      </c>
      <c r="B355" s="2" t="s">
        <v>1124</v>
      </c>
      <c r="C355" s="2">
        <f>IFERROR(__xludf.DUMMYFUNCTION("split(B355,""_"")"),1610.0)</f>
        <v>1610</v>
      </c>
      <c r="D355" s="2" t="str">
        <f>IFERROR(__xludf.DUMMYFUNCTION("""COMPUTED_VALUE"""),"CX")</f>
        <v>CX</v>
      </c>
      <c r="E355" s="2" t="str">
        <f>IFERROR(__xludf.DUMMYFUNCTION("""COMPUTED_VALUE"""),"月21")</f>
        <v>月21</v>
      </c>
      <c r="F355" s="2" t="s">
        <v>1125</v>
      </c>
      <c r="G355" s="2" t="s">
        <v>1141</v>
      </c>
      <c r="H355" s="1">
        <v>6.0</v>
      </c>
      <c r="I355" s="1" t="s">
        <v>21</v>
      </c>
      <c r="J355" s="1" t="s">
        <v>11</v>
      </c>
      <c r="K355" s="2" t="s">
        <v>1142</v>
      </c>
      <c r="L355" s="2" t="s">
        <v>1143</v>
      </c>
      <c r="M355" s="2" t="str">
        <f>IFERROR(__xludf.DUMMYFUNCTION("split(split(K355,""山田涼介　"",false),""検索よろしくお願いします"",false)"),"休日出勤していた優(山田涼介)は、矢作梓(倉科カナ)に後ろから優しく抱きしめられた。しばらくこのままでいてほしいと頼む梓に、どう接していいのか分からない優。時間がたつと、梓は優から離れ、いつもの明るさに戻って残業する優を励まして帰った。  優が家に帰ると隆一(桐谷健太)がいた。そして、ケンカをして以来、2人きりでの初めての会話は以前と同じ。隆一は、梓との結婚準備が進んでいることに充実していると話し、優にも結婚を勧める。部屋に戻った優は、梓のことを考えた。その頃、梓は自宅マンションでぼんやりと過ごしていた。"&amp;"  翌朝も、隆一は貴行(高嶋政伸)と結婚式の話をしている。隆一を見習えと貴行に言われてしまう優。しかし、貴行は新たなプロジェクトのプレゼンの話をしたいと優に会社への同行を求めた。  会社着後、貴行と別れた優は、梓に会う。昨夜のことなどなかったかのように、いつもと変わらない様子で挨拶する梓のことが優はますます分からない。  優が手掛けるプロジェクトの最終プレゼンは2週間後に迫っていた。梓をはじめ、メンバーにコンセプトを告げる。仕事を手分けして準備しようと話す優に、メンバーたちは快く応じる。団衛(木下ほうか)"&amp;"は、そんな優の仕事ぶりを隆一に報告していた。  仕事を始めようとした優に、黒沢幸助(竹中直人)から電話が。黒沢と会った優は、隆一のバンコクでのプロジェクトについて意外なことを言われる…。")</f>
        <v>休日出勤していた優(山田涼介)は、矢作梓(倉科カナ)に後ろから優しく抱きしめられた。しばらくこのままでいてほしいと頼む梓に、どう接していいのか分からない優。時間がたつと、梓は優から離れ、いつもの明るさに戻って残業する優を励まして帰った。  優が家に帰ると隆一(桐谷健太)がいた。そして、ケンカをして以来、2人きりでの初めての会話は以前と同じ。隆一は、梓との結婚準備が進んでいることに充実していると話し、優にも結婚を勧める。部屋に戻った優は、梓のことを考えた。その頃、梓は自宅マンションでぼんやりと過ごしていた。  翌朝も、隆一は貴行(高嶋政伸)と結婚式の話をしている。隆一を見習えと貴行に言われてしまう優。しかし、貴行は新たなプロジェクトのプレゼンの話をしたいと優に会社への同行を求めた。  会社着後、貴行と別れた優は、梓に会う。昨夜のことなどなかったかのように、いつもと変わらない様子で挨拶する梓のことが優はますます分からない。  優が手掛けるプロジェクトの最終プレゼンは2週間後に迫っていた。梓をはじめ、メンバーにコンセプトを告げる。仕事を手分けして準備しようと話す優に、メンバーたちは快く応じる。団衛(木下ほうか)は、そんな優の仕事ぶりを隆一に報告していた。  仕事を始めようとした優に、黒沢幸助(竹中直人)から電話が。黒沢と会った優は、隆一のバンコクでのプロジェクトについて意外なことを言われる…。</v>
      </c>
      <c r="N355" s="2"/>
      <c r="O355" s="2"/>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row>
    <row r="356" ht="204.75" customHeight="1">
      <c r="A356" s="1">
        <v>1434.0</v>
      </c>
      <c r="B356" s="2" t="s">
        <v>1124</v>
      </c>
      <c r="C356" s="2">
        <f>IFERROR(__xludf.DUMMYFUNCTION("split(B356,""_"")"),1610.0)</f>
        <v>1610</v>
      </c>
      <c r="D356" s="2" t="str">
        <f>IFERROR(__xludf.DUMMYFUNCTION("""COMPUTED_VALUE"""),"CX")</f>
        <v>CX</v>
      </c>
      <c r="E356" s="2" t="str">
        <f>IFERROR(__xludf.DUMMYFUNCTION("""COMPUTED_VALUE"""),"月21")</f>
        <v>月21</v>
      </c>
      <c r="F356" s="2" t="s">
        <v>1125</v>
      </c>
      <c r="G356" s="2" t="s">
        <v>1144</v>
      </c>
      <c r="H356" s="1">
        <v>7.0</v>
      </c>
      <c r="I356" s="1" t="s">
        <v>25</v>
      </c>
      <c r="J356" s="1" t="s">
        <v>11</v>
      </c>
      <c r="K356" s="2" t="s">
        <v>1145</v>
      </c>
      <c r="L356" s="2" t="s">
        <v>1146</v>
      </c>
      <c r="M356" s="2" t="str">
        <f>IFERROR(__xludf.DUMMYFUNCTION("split(split(K356,""山田涼介　"",false),""検索よろしくお願いします"",false)"),"【番組公式HP】  http://www.fujitv.co.jp/CainandAbel/　  【公式Twitter】  「#カインとアベル」で")</f>
        <v>【番組公式HP】  http://www.fujitv.co.jp/CainandAbel/　  【公式Twitter】  「#カインとアベル」で</v>
      </c>
      <c r="N356" s="2" t="str">
        <f>IFERROR(__xludf.DUMMYFUNCTION("""COMPUTED_VALUE"""),"!高田優(山田涼介)は、矢作梓(倉科カナ)への禁断の愛に揺れる。梓も結婚を控えた隆一(桐谷健太)と優への想いのてんびんが均衡を失おうとしていた。  そんな中、優と梓はドレイモンドとのリゾートホテル共同開発の事業計画の最終プレゼンの日を迎える。ドレイモンドからは、CEOのスティーブン・ホールも出席。スティーブンは厳しい経営者として知られていて、彼を共同経営に参画させることは高田総合地所の将来に関わる案件だ。  優は、ここまで築き上げて来たプロジェクトチームのメンバーの思いも背負ってプレゼンを始める。梓は優の"&amp;"フォローを完璧にこなしていくのだが、スティーブンの表情は和らぐことはない。その夜の夕食会で、優はちょっとしたミスをするのだが、それも梓のおかげで事なきを得た。  その頃、隆一は貴行(高嶋政伸)に自分が優のフォローに行くと話す。しかし、貴行はすべてを優に任せるとキッパリ。さらに優が成功したら高田総合地所の英雄になると言う貴行に、隆一は言葉を失った。  翌日、優たちはスティーブンをホテル建設の候補地へと案内する。手つかずの野原には、優が手配したテーブルやソファなどが置いてあった。コンセプトを肌で感じてもらおう"&amp;"とする優に、スティーブンの固い表情もほどけていく。  プレゼンは支払報酬の割合を決める段階に入った。優はドレイモンドへの報酬の妥協点を20%と貴行たちに厳命されているが…。")</f>
        <v>!高田優(山田涼介)は、矢作梓(倉科カナ)への禁断の愛に揺れる。梓も結婚を控えた隆一(桐谷健太)と優への想いのてんびんが均衡を失おうとしていた。  そんな中、優と梓はドレイモンドとのリゾートホテル共同開発の事業計画の最終プレゼンの日を迎える。ドレイモンドからは、CEOのスティーブン・ホールも出席。スティーブンは厳しい経営者として知られていて、彼を共同経営に参画させることは高田総合地所の将来に関わる案件だ。  優は、ここまで築き上げて来たプロジェクトチームのメンバーの思いも背負ってプレゼンを始める。梓は優のフォローを完璧にこなしていくのだが、スティーブンの表情は和らぐことはない。その夜の夕食会で、優はちょっとしたミスをするのだが、それも梓のおかげで事なきを得た。  その頃、隆一は貴行(高嶋政伸)に自分が優のフォローに行くと話す。しかし、貴行はすべてを優に任せるとキッパリ。さらに優が成功したら高田総合地所の英雄になると言う貴行に、隆一は言葉を失った。  翌日、優たちはスティーブンをホテル建設の候補地へと案内する。手つかずの野原には、優が手配したテーブルやソファなどが置いてあった。コンセプトを肌で感じてもらおうとする優に、スティーブンの固い表情もほどけていく。  プレゼンは支払報酬の割合を決める段階に入った。優はドレイモンドへの報酬の妥協点を20%と貴行たちに厳命されているが…。</v>
      </c>
      <c r="O356" s="2"/>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row>
    <row r="357" ht="204.75" customHeight="1">
      <c r="A357" s="1">
        <v>1435.0</v>
      </c>
      <c r="B357" s="2" t="s">
        <v>1124</v>
      </c>
      <c r="C357" s="2">
        <f>IFERROR(__xludf.DUMMYFUNCTION("split(B357,""_"")"),1610.0)</f>
        <v>1610</v>
      </c>
      <c r="D357" s="2" t="str">
        <f>IFERROR(__xludf.DUMMYFUNCTION("""COMPUTED_VALUE"""),"CX")</f>
        <v>CX</v>
      </c>
      <c r="E357" s="2" t="str">
        <f>IFERROR(__xludf.DUMMYFUNCTION("""COMPUTED_VALUE"""),"月21")</f>
        <v>月21</v>
      </c>
      <c r="F357" s="2" t="s">
        <v>1125</v>
      </c>
      <c r="G357" s="2" t="s">
        <v>1147</v>
      </c>
      <c r="H357" s="1">
        <v>8.0</v>
      </c>
      <c r="I357" s="1" t="s">
        <v>29</v>
      </c>
      <c r="J357" s="1" t="s">
        <v>11</v>
      </c>
      <c r="K357" s="2" t="s">
        <v>1148</v>
      </c>
      <c r="L357" s="2" t="s">
        <v>1149</v>
      </c>
      <c r="M357" s="2" t="str">
        <f>IFERROR(__xludf.DUMMYFUNCTION("split(split(K357,""山田涼介　"",false),""検索よろしくお願いします"",false)"),"【番組公式HP】  http://www.fujitv.co.jp/CainandAbel/　  【公式Twitter】  「#カインとアベル」で")</f>
        <v>【番組公式HP】  http://www.fujitv.co.jp/CainandAbel/　  【公式Twitter】  「#カインとアベル」で</v>
      </c>
      <c r="N357" s="2" t="str">
        <f>IFERROR(__xludf.DUMMYFUNCTION("""COMPUTED_VALUE"""),"!高田総合地所の取締役に就任した高田優(山田涼介)は、ますます仕事への意欲が増していく。一方、一時は仕事と家庭のどちらを選ぶかで悩んだ矢作梓(倉科カナ)は、隆一(桐谷健太)との結婚=家庭を選ぶことを決意。上司の団衛(木下ほうか)に退社を申し出た。  貴行(高嶋政伸)と優の接近が面白くない隆一は黒沢幸助(竹中直人)から食事に誘われる。黒沢は優の台頭に焦りを感じているのではないかと、隆一の痛いところをストレートに突く。否定できない隆一。しかし、黒沢は、優は危うさも併せ持っている気がするとも告げた。  隆一が家"&amp;"に帰ると梓がいた。披露宴の進捗が気になる貴行が呼び出したのだ。そこに優も帰宅。貴行から、梓が結婚を機に退社すると聞き、優の様子が一変する。正直な気持ちではないと梓に迫る優。だが、自分から望んだことだと梓に冷静にたしなめられてしまう。  翌日、梓の決断にいら立つ優は仕事で紛らわせようとするが、社員としては先輩の安藤充(西村元貴)を怒鳴りつけてしまう。休憩室で自己嫌悪になる優を慰めたのは、柴田ひかり(山崎紘菜)だった。  その頃、高田総合地所には地方空港の開発プロジェクトの件が持ち上がっていた。参入を勧める優"&amp;"に対して、隆一は慎重な態度を崩さない。だが、優と貴行は仕事上での親密度を増していき、隆一は2人の会話や考えが気になって仕方がなくなってくる。そして、隆一の焦燥は取り返しのつかない方向へと…。")</f>
        <v>!高田総合地所の取締役に就任した高田優(山田涼介)は、ますます仕事への意欲が増していく。一方、一時は仕事と家庭のどちらを選ぶかで悩んだ矢作梓(倉科カナ)は、隆一(桐谷健太)との結婚=家庭を選ぶことを決意。上司の団衛(木下ほうか)に退社を申し出た。  貴行(高嶋政伸)と優の接近が面白くない隆一は黒沢幸助(竹中直人)から食事に誘われる。黒沢は優の台頭に焦りを感じているのではないかと、隆一の痛いところをストレートに突く。否定できない隆一。しかし、黒沢は、優は危うさも併せ持っている気がするとも告げた。  隆一が家に帰ると梓がいた。披露宴の進捗が気になる貴行が呼び出したのだ。そこに優も帰宅。貴行から、梓が結婚を機に退社すると聞き、優の様子が一変する。正直な気持ちではないと梓に迫る優。だが、自分から望んだことだと梓に冷静にたしなめられてしまう。  翌日、梓の決断にいら立つ優は仕事で紛らわせようとするが、社員としては先輩の安藤充(西村元貴)を怒鳴りつけてしまう。休憩室で自己嫌悪になる優を慰めたのは、柴田ひかり(山崎紘菜)だった。  その頃、高田総合地所には地方空港の開発プロジェクトの件が持ち上がっていた。参入を勧める優に対して、隆一は慎重な態度を崩さない。だが、優と貴行は仕事上での親密度を増していき、隆一は2人の会話や考えが気になって仕方がなくなってくる。そして、隆一の焦燥は取り返しのつかない方向へと…。</v>
      </c>
      <c r="O357" s="2"/>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row>
    <row r="358" ht="204.75" customHeight="1">
      <c r="A358" s="1">
        <v>1436.0</v>
      </c>
      <c r="B358" s="2" t="s">
        <v>1124</v>
      </c>
      <c r="C358" s="2">
        <f>IFERROR(__xludf.DUMMYFUNCTION("split(B358,""_"")"),1610.0)</f>
        <v>1610</v>
      </c>
      <c r="D358" s="2" t="str">
        <f>IFERROR(__xludf.DUMMYFUNCTION("""COMPUTED_VALUE"""),"CX")</f>
        <v>CX</v>
      </c>
      <c r="E358" s="2" t="str">
        <f>IFERROR(__xludf.DUMMYFUNCTION("""COMPUTED_VALUE"""),"月21")</f>
        <v>月21</v>
      </c>
      <c r="F358" s="2" t="s">
        <v>1125</v>
      </c>
      <c r="G358" s="2" t="s">
        <v>1150</v>
      </c>
      <c r="H358" s="1">
        <v>9.0</v>
      </c>
      <c r="I358" s="1" t="s">
        <v>33</v>
      </c>
      <c r="J358" s="1" t="s">
        <v>11</v>
      </c>
      <c r="K358" s="2" t="s">
        <v>1151</v>
      </c>
      <c r="L358" s="2" t="s">
        <v>1152</v>
      </c>
      <c r="M358" s="2" t="str">
        <f>IFERROR(__xludf.DUMMYFUNCTION("split(split(K358,""山田涼介　"",false),""検索よろしくお願いします"",false)"),"【番組公式HP】  http://www.fujitv.co.jp/CainandAbel/　  【公式Twitter】  「#カインとアベル」で")</f>
        <v>【番組公式HP】  http://www.fujitv.co.jp/CainandAbel/　  【公式Twitter】  「#カインとアベル」で</v>
      </c>
      <c r="N358" s="2" t="str">
        <f>IFERROR(__xludf.DUMMYFUNCTION("""COMPUTED_VALUE"""),"!高田総合地所の役員となった高田優(山田涼介)は兄でもある副社長・隆一(桐谷健太)の不正を暴いて会社から放逐。優の情熱は、ますます仕事へと傾斜していく。  優には、仕事の他にもう1つ手に入れたいものがあった。それは、仕事を通じた信頼感から芽生えた隆一のフィアンセ・矢作梓(倉科カナ)への禁断の思い。役員室に梓を呼び出した優は、隆一との結婚式が中止になったことを理由に仕事を続けてほしいと頼む。しかし、梓はかたくなに退職すると告げる。  仕事も、そして梓をも失ったことにショックを受ける隆一は、別荘に身を隠してい"&amp;"た。そこに、梓が訪ねて来るのだが…。  一方、隆一が会社から抜けた穴は大きかった。抱えていたプロジェクトが多岐に渡っていたからだ。貴行(高嶋政伸)は頭を悩ませながらこれを役員たちに分配する。もちろん優にも仕事が割り振られたのだが、貴行が手元に残した古いファイルが気になる。貴行は、会長の宗一郎(寺尾聰)が社長の時代から検討されていた巨大プロジェクトだが、リスクが大きすぎると封印され続けた案件だと話す。もちろん、隆一も検討はしたが断念していた。興味を示す優に、貴行は社長命令として、このプロジェクトに手を出すこ"&amp;"とを禁じる。  仕事における禁断の果実。隆一すら成し得なかったというプロジェクトにひきつけられた優は、黒沢幸助(竹中直人)に、ある事を頼むのだが…。")</f>
        <v>!高田総合地所の役員となった高田優(山田涼介)は兄でもある副社長・隆一(桐谷健太)の不正を暴いて会社から放逐。優の情熱は、ますます仕事へと傾斜していく。  優には、仕事の他にもう1つ手に入れたいものがあった。それは、仕事を通じた信頼感から芽生えた隆一のフィアンセ・矢作梓(倉科カナ)への禁断の思い。役員室に梓を呼び出した優は、隆一との結婚式が中止になったことを理由に仕事を続けてほしいと頼む。しかし、梓はかたくなに退職すると告げる。  仕事も、そして梓をも失ったことにショックを受ける隆一は、別荘に身を隠していた。そこに、梓が訪ねて来るのだが…。  一方、隆一が会社から抜けた穴は大きかった。抱えていたプロジェクトが多岐に渡っていたからだ。貴行(高嶋政伸)は頭を悩ませながらこれを役員たちに分配する。もちろん優にも仕事が割り振られたのだが、貴行が手元に残した古いファイルが気になる。貴行は、会長の宗一郎(寺尾聰)が社長の時代から検討されていた巨大プロジェクトだが、リスクが大きすぎると封印され続けた案件だと話す。もちろん、隆一も検討はしたが断念していた。興味を示す優に、貴行は社長命令として、このプロジェクトに手を出すことを禁じる。  仕事における禁断の果実。隆一すら成し得なかったというプロジェクトにひきつけられた優は、黒沢幸助(竹中直人)に、ある事を頼むのだが…。</v>
      </c>
      <c r="O358" s="2"/>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row>
    <row r="359" ht="204.75" customHeight="1">
      <c r="A359" s="1">
        <v>1437.0</v>
      </c>
      <c r="B359" s="2" t="s">
        <v>1124</v>
      </c>
      <c r="C359" s="2">
        <f>IFERROR(__xludf.DUMMYFUNCTION("split(B359,""_"")"),1610.0)</f>
        <v>1610</v>
      </c>
      <c r="D359" s="2" t="str">
        <f>IFERROR(__xludf.DUMMYFUNCTION("""COMPUTED_VALUE"""),"CX")</f>
        <v>CX</v>
      </c>
      <c r="E359" s="2" t="str">
        <f>IFERROR(__xludf.DUMMYFUNCTION("""COMPUTED_VALUE"""),"月21")</f>
        <v>月21</v>
      </c>
      <c r="F359" s="2" t="s">
        <v>1125</v>
      </c>
      <c r="G359" s="2" t="s">
        <v>1153</v>
      </c>
      <c r="H359" s="1">
        <v>10.0</v>
      </c>
      <c r="I359" s="1" t="s">
        <v>37</v>
      </c>
      <c r="J359" s="1" t="s">
        <v>11</v>
      </c>
      <c r="K359" s="2" t="s">
        <v>1154</v>
      </c>
      <c r="L359" s="2" t="s">
        <v>1155</v>
      </c>
      <c r="M359" s="2" t="str">
        <f>IFERROR(__xludf.DUMMYFUNCTION("split(split(K359,""山田涼介　"",false),""検索よろしくお願いします"",false)"),"【番組公式HP】  http://www.fujitv.co.jp/CainandAbel/　  【公式Twitter】  「#カインとアベル」で")</f>
        <v>【番組公式HP】  http://www.fujitv.co.jp/CainandAbel/　  【公式Twitter】  「#カインとアベル」で</v>
      </c>
      <c r="N359" s="2" t="str">
        <f>IFERROR(__xludf.DUMMYFUNCTION("""COMPUTED_VALUE"""),"!高田優(山田涼介)は、贈賄容疑で拘置所に収監されることに。隆一(桐谷健太)が面会に行くも優は応じず、食事にも手をつけようとしない。柴田ひかり(山崎紘菜)が面会に行くと、そこにはやつれた姿の優が。心配するひかりに優はあることを告げる。  隆一は、久しぶりに貴行(高嶋政伸)のもとへ優について相談に行く。貴行は、まだ優に会いに行っていない。マスコミに騒ぎ立てられることを懸念する貴行の真意が隆一には分からない。加えて、貴行は今回の一件の責任のすべてを優に背負わせると告げる。貴行の冷たい姿勢が、やはり隆一には理解"&amp;"できない。しかしそれは高田総合地所を守るため。貴行の苦渋の決断だった。父親としては優の身代わりになってやりたいと本音を漏らす。そんな中、高田総合地所の株価は、今回の不祥事でじわじわと下落し始めていた。ある程度の下落は予想できるが、下げ止まる気配すら見せようとしない。果たして、会社はどうなってしまうのか?拘留された優、そして隆一、貴行たちは、この最大の危機を乗り越えることができるのか!?")</f>
        <v>!高田優(山田涼介)は、贈賄容疑で拘置所に収監されることに。隆一(桐谷健太)が面会に行くも優は応じず、食事にも手をつけようとしない。柴田ひかり(山崎紘菜)が面会に行くと、そこにはやつれた姿の優が。心配するひかりに優はあることを告げる。  隆一は、久しぶりに貴行(高嶋政伸)のもとへ優について相談に行く。貴行は、まだ優に会いに行っていない。マスコミに騒ぎ立てられることを懸念する貴行の真意が隆一には分からない。加えて、貴行は今回の一件の責任のすべてを優に背負わせると告げる。貴行の冷たい姿勢が、やはり隆一には理解できない。しかしそれは高田総合地所を守るため。貴行の苦渋の決断だった。父親としては優の身代わりになってやりたいと本音を漏らす。そんな中、高田総合地所の株価は、今回の不祥事でじわじわと下落し始めていた。ある程度の下落は予想できるが、下げ止まる気配すら見せようとしない。果たして、会社はどうなってしまうのか?拘留された優、そして隆一、貴行たちは、この最大の危機を乗り越えることができるのか!?</v>
      </c>
      <c r="O359" s="2"/>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row>
    <row r="360" ht="204.75" customHeight="1">
      <c r="A360" s="1">
        <v>1438.0</v>
      </c>
      <c r="B360" s="2" t="s">
        <v>1156</v>
      </c>
      <c r="C360" s="2">
        <f>IFERROR(__xludf.DUMMYFUNCTION("split(B360,""_"")"),1610.0)</f>
        <v>1610</v>
      </c>
      <c r="D360" s="2" t="str">
        <f>IFERROR(__xludf.DUMMYFUNCTION("""COMPUTED_VALUE"""),"CX")</f>
        <v>CX</v>
      </c>
      <c r="E360" s="2" t="str">
        <f>IFERROR(__xludf.DUMMYFUNCTION("""COMPUTED_VALUE"""),"火21")</f>
        <v>火21</v>
      </c>
      <c r="F360" s="2" t="s">
        <v>1157</v>
      </c>
      <c r="G360" s="2" t="s">
        <v>1158</v>
      </c>
      <c r="H360" s="1">
        <v>1.0</v>
      </c>
      <c r="I360" s="1" t="s">
        <v>3</v>
      </c>
      <c r="J360" s="1" t="s">
        <v>4</v>
      </c>
      <c r="K360" s="2" t="s">
        <v>1159</v>
      </c>
      <c r="L360" s="2" t="s">
        <v>1160</v>
      </c>
      <c r="M360" s="2" t="str">
        <f>IFERROR(__xludf.DUMMYFUNCTION("split(split(K360,""【"",false),""吉田羊　"",false)"),"ゴッドハンドの呼び声高い脳神経外科医の橘志帆(吉田羊)は、ある日、手術中に幻覚を見たことから医師を辞めようと決意するが、恩師の北畠昌幸(高橋克典)から、オペをしないことを条件に、解析診断部の診断医として自分が院長を務める東光大学病院に来ないかと言われ、その誘いを受けることに。しかし、病院では院長の座を狙う解析診断部のチーフで内科医の岩倉葉子(伊藤蘭)らが、北畠を更迭させようと目論んでいた。勤務初日、通勤途中の志帆は腹痛を訴え吐血した保育園児の増山宏太(五十嵐陽向)に遭遇。東光大学病院に搬送すると、胃の中に"&amp;"釘が入っていることが判明する。志帆は、その場にいた研修医の田丸綾香(吉岡里帆)や救命救急医の里見藍(白鳥久美子)、外科医の新田雪野(相武紗季)らにテキパキと指示を出すが、志帆の配属を聞かされていなかった岩倉は北畠への怒りを露わに。処置が終わり、病理医の植松結衣(滝沢沙織)と神経内科医の村上夏海(笛木優子)が事情を聞きに行くが、宏太は何も答えない。一方、志帆は手術で宏太の胃の中から出てきたある物について、詳細を調べるよう綾香に指示。その結果、宏太の病名が明らかになるが、しばらくすると再び容態が悪化。しかも今"&amp;"度はなぜか、母親の美希(堀内敬子)も同じ症状を発症して…。")</f>
        <v>ゴッドハンドの呼び声高い脳神経外科医の橘志帆(吉田羊)は、ある日、手術中に幻覚を見たことから医師を辞めようと決意するが、恩師の北畠昌幸(高橋克典)から、オペをしないことを条件に、解析診断部の診断医として自分が院長を務める東光大学病院に来ないかと言われ、その誘いを受けることに。しかし、病院では院長の座を狙う解析診断部のチーフで内科医の岩倉葉子(伊藤蘭)らが、北畠を更迭させようと目論んでいた。勤務初日、通勤途中の志帆は腹痛を訴え吐血した保育園児の増山宏太(五十嵐陽向)に遭遇。東光大学病院に搬送すると、胃の中に釘が入っていることが判明する。志帆は、その場にいた研修医の田丸綾香(吉岡里帆)や救命救急医の里見藍(白鳥久美子)、外科医の新田雪野(相武紗季)らにテキパキと指示を出すが、志帆の配属を聞かされていなかった岩倉は北畠への怒りを露わに。処置が終わり、病理医の植松結衣(滝沢沙織)と神経内科医の村上夏海(笛木優子)が事情を聞きに行くが、宏太は何も答えない。一方、志帆は手術で宏太の胃の中から出てきたある物について、詳細を調べるよう綾香に指示。その結果、宏太の病名が明らかになるが、しばらくすると再び容態が悪化。しかも今度はなぜか、母親の美希(堀内敬子)も同じ症状を発症して…。</v>
      </c>
      <c r="N360" s="2" t="str">
        <f>IFERROR(__xludf.DUMMYFUNCTION("""COMPUTED_VALUE"""),"  相武紗季　  吉岡里帆　  白鳥久美子(たんぽぽ)　  滝沢沙織　  庄野崎謙　  小林且弥　  池岡亮介　  五十嵐健人　  笛木優子　  戸次重幸  　・　  高橋克典　  伊藤蘭")</f>
        <v>  相武紗季　  吉岡里帆　  白鳥久美子(たんぽぽ)　  滝沢沙織　  庄野崎謙　  小林且弥　  池岡亮介　  五十嵐健人　  笛木優子　  戸次重幸  　・　  高橋克典　  伊藤蘭</v>
      </c>
      <c r="O360" s="2"/>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row>
    <row r="361" ht="204.75" customHeight="1">
      <c r="A361" s="1">
        <v>1439.0</v>
      </c>
      <c r="B361" s="2" t="s">
        <v>1156</v>
      </c>
      <c r="C361" s="2">
        <f>IFERROR(__xludf.DUMMYFUNCTION("split(B361,""_"")"),1610.0)</f>
        <v>1610</v>
      </c>
      <c r="D361" s="2" t="str">
        <f>IFERROR(__xludf.DUMMYFUNCTION("""COMPUTED_VALUE"""),"CX")</f>
        <v>CX</v>
      </c>
      <c r="E361" s="2" t="str">
        <f>IFERROR(__xludf.DUMMYFUNCTION("""COMPUTED_VALUE"""),"火21")</f>
        <v>火21</v>
      </c>
      <c r="F361" s="2" t="s">
        <v>1157</v>
      </c>
      <c r="G361" s="2" t="s">
        <v>1161</v>
      </c>
      <c r="H361" s="1">
        <v>2.0</v>
      </c>
      <c r="I361" s="1" t="s">
        <v>7</v>
      </c>
      <c r="J361" s="1" t="s">
        <v>11</v>
      </c>
      <c r="K361" s="2" t="s">
        <v>1162</v>
      </c>
      <c r="L361" s="2" t="s">
        <v>1163</v>
      </c>
      <c r="M361" s="2" t="str">
        <f>IFERROR(__xludf.DUMMYFUNCTION("split(split(K361,""【"",false),""吉田羊　"",false)"),"世界大会でメダルを期待される注目の水泳選手・南野和己(浅香航大)が、東光大学病院に極秘で検査入院することに。全身の倦怠(けんたい)感と筋力低下に悩んでいた南野は、とある病院でALS(筋萎縮性側索硬化症)と診断されたのだが、ALSは進行を遅らせることはできるものの、根本的な治療法がないとされる病。メダルどころか、いずれ命を落とす危険性もあることから、南野はセカンドオピニオンを求めてやって来たのだ。志帆(吉田羊)は、葉子(伊藤蘭)からくれぐれも口を出さないようくぎを刺されるが、大量に水を飲む南野の様子が気にか"&amp;"かり、早速、綾香(吉岡里帆)と練習施設のプールで聞き込みを開始。雪野(相武紗季)らとALS以外の病気の可能性を探るが、検査の結果は南野がALSであることを裏付けるものばかりだった。そんななか、南野の入院がマスコミにかぎつけられ、一部で重病説も飛び交う事態に発展し…。  南野のコーチから入手したタイム表の数字が気になっていた志帆は、綾香を使って南野の練習を再現してみることに。さらに、南野が以前に自転車で転んで頭を強打していたことを知り、病はその時の外傷が原因ではないかと考える。それならば外科手術で治療ができ"&amp;"るかもしれないと、いちるの望みを抱いたその矢先、今度は突然、南野が全身の痛みを訴えて…。")</f>
        <v>世界大会でメダルを期待される注目の水泳選手・南野和己(浅香航大)が、東光大学病院に極秘で検査入院することに。全身の倦怠(けんたい)感と筋力低下に悩んでいた南野は、とある病院でALS(筋萎縮性側索硬化症)と診断されたのだが、ALSは進行を遅らせることはできるものの、根本的な治療法がないとされる病。メダルどころか、いずれ命を落とす危険性もあることから、南野はセカンドオピニオンを求めてやって来たのだ。志帆(吉田羊)は、葉子(伊藤蘭)からくれぐれも口を出さないようくぎを刺されるが、大量に水を飲む南野の様子が気にかかり、早速、綾香(吉岡里帆)と練習施設のプールで聞き込みを開始。雪野(相武紗季)らとALS以外の病気の可能性を探るが、検査の結果は南野がALSであることを裏付けるものばかりだった。そんななか、南野の入院がマスコミにかぎつけられ、一部で重病説も飛び交う事態に発展し…。  南野のコーチから入手したタイム表の数字が気になっていた志帆は、綾香を使って南野の練習を再現してみることに。さらに、南野が以前に自転車で転んで頭を強打していたことを知り、病はその時の外傷が原因ではないかと考える。それならば外科手術で治療ができるかもしれないと、いちるの望みを抱いたその矢先、今度は突然、南野が全身の痛みを訴えて…。</v>
      </c>
      <c r="N361" s="2" t="str">
        <f>IFERROR(__xludf.DUMMYFUNCTION("""COMPUTED_VALUE"""),"  相武紗季　  吉岡里帆　  白鳥久美子(たんぽぽ)　  滝沢沙織　  庄野崎謙　  小林且弥　  池岡亮介　  五十嵐健人　  笛木優子　  戸次重幸  　・　  高橋克典　  伊藤蘭")</f>
        <v>  相武紗季　  吉岡里帆　  白鳥久美子(たんぽぽ)　  滝沢沙織　  庄野崎謙　  小林且弥　  池岡亮介　  五十嵐健人　  笛木優子　  戸次重幸  　・　  高橋克典　  伊藤蘭</v>
      </c>
      <c r="O361" s="2"/>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row>
    <row r="362" ht="204.75" customHeight="1">
      <c r="A362" s="1">
        <v>1440.0</v>
      </c>
      <c r="B362" s="2" t="s">
        <v>1156</v>
      </c>
      <c r="C362" s="2">
        <f>IFERROR(__xludf.DUMMYFUNCTION("split(B362,""_"")"),1610.0)</f>
        <v>1610</v>
      </c>
      <c r="D362" s="2" t="str">
        <f>IFERROR(__xludf.DUMMYFUNCTION("""COMPUTED_VALUE"""),"CX")</f>
        <v>CX</v>
      </c>
      <c r="E362" s="2" t="str">
        <f>IFERROR(__xludf.DUMMYFUNCTION("""COMPUTED_VALUE"""),"火21")</f>
        <v>火21</v>
      </c>
      <c r="F362" s="2" t="s">
        <v>1157</v>
      </c>
      <c r="G362" s="2" t="s">
        <v>1164</v>
      </c>
      <c r="H362" s="1">
        <v>3.0</v>
      </c>
      <c r="I362" s="1" t="s">
        <v>10</v>
      </c>
      <c r="J362" s="1" t="s">
        <v>11</v>
      </c>
      <c r="K362" s="2" t="s">
        <v>1165</v>
      </c>
      <c r="L362" s="2" t="s">
        <v>1166</v>
      </c>
      <c r="M362" s="2" t="str">
        <f>IFERROR(__xludf.DUMMYFUNCTION("split(split(K362,""【"",false),""吉田羊　"",false)"),"ハロウィーンの夜、仮装した女子高生の集団がカラオケ店を出た直後に次々と倒れ、志帆(吉田羊)が務める東光大学病院に救急で運ばれてくる。けいれんや嘔吐(おうと)などの症状から食中毒と判断されるが、運ばれてきた6人のうち、なぜか岡野朋美(唐田えりか)だけは全く症状が出ていない。一方、長瀬理恵(久保田紗友)は処置中に突然体にじんましんが出て、呼吸困難に陥ってしまう。幸い、雪野(相武紗季)の適切な処置で大事には至らなかったが、6人全員が別の疾患を抱えている可能性も浮上し、解析診断部のメンバーは食中毒以外の感染症や薬"&amp;"物中毒も視野に入れて診断を始める。    翌日、唯一何の症状も出なかった朋美に話を聞きに行った志帆は、「みんなを助けて下さい」と懇願する朋美の様子にどこか違和感を覚えていた。一方で、理恵以外の4人は今回の騒動が朋美の仕業だと疑い始めて……。    事態が進展しないことから、志帆は搬送直後に呼吸困難を起こした理恵に、チャレンジテストを行うことを提案する。呼吸困難の原因がアナフィラキシーショックではないかと考えたのだ。カラオケ店で食べたものをもう一度食べさせ、アレルギー反応を確かめれば、すべての謎が解けるかも"&amp;"しれない。しかし、あまりにリスクが高いことから葉子(伊藤蘭)と佐々木(戸次重幸)は猛反対。結局、北畠(高橋克典)が機転をきかせ、志帆たちは何とかチャレンジテストに踏み切るがーー!?")</f>
        <v>ハロウィーンの夜、仮装した女子高生の集団がカラオケ店を出た直後に次々と倒れ、志帆(吉田羊)が務める東光大学病院に救急で運ばれてくる。けいれんや嘔吐(おうと)などの症状から食中毒と判断されるが、運ばれてきた6人のうち、なぜか岡野朋美(唐田えりか)だけは全く症状が出ていない。一方、長瀬理恵(久保田紗友)は処置中に突然体にじんましんが出て、呼吸困難に陥ってしまう。幸い、雪野(相武紗季)の適切な処置で大事には至らなかったが、6人全員が別の疾患を抱えている可能性も浮上し、解析診断部のメンバーは食中毒以外の感染症や薬物中毒も視野に入れて診断を始める。    翌日、唯一何の症状も出なかった朋美に話を聞きに行った志帆は、「みんなを助けて下さい」と懇願する朋美の様子にどこか違和感を覚えていた。一方で、理恵以外の4人は今回の騒動が朋美の仕業だと疑い始めて……。    事態が進展しないことから、志帆は搬送直後に呼吸困難を起こした理恵に、チャレンジテストを行うことを提案する。呼吸困難の原因がアナフィラキシーショックではないかと考えたのだ。カラオケ店で食べたものをもう一度食べさせ、アレルギー反応を確かめれば、すべての謎が解けるかもしれない。しかし、あまりにリスクが高いことから葉子(伊藤蘭)と佐々木(戸次重幸)は猛反対。結局、北畠(高橋克典)が機転をきかせ、志帆たちは何とかチャレンジテストに踏み切るがーー!?</v>
      </c>
      <c r="N362" s="2" t="str">
        <f>IFERROR(__xludf.DUMMYFUNCTION("""COMPUTED_VALUE"""),"  相武紗季　  吉岡里帆　  白鳥久美子(たんぽぽ)　  滝沢沙織　  庄野崎謙　  小林且弥　  池岡亮介　  五十嵐健人　  笛木優子　  戸次重幸  　・　  高橋克典　  伊藤蘭")</f>
        <v>  相武紗季　  吉岡里帆　  白鳥久美子(たんぽぽ)　  滝沢沙織　  庄野崎謙　  小林且弥　  池岡亮介　  五十嵐健人　  笛木優子　  戸次重幸  　・　  高橋克典　  伊藤蘭</v>
      </c>
      <c r="O362" s="2"/>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row>
    <row r="363" ht="204.75" customHeight="1">
      <c r="A363" s="1">
        <v>1441.0</v>
      </c>
      <c r="B363" s="2" t="s">
        <v>1156</v>
      </c>
      <c r="C363" s="2">
        <f>IFERROR(__xludf.DUMMYFUNCTION("split(B363,""_"")"),1610.0)</f>
        <v>1610</v>
      </c>
      <c r="D363" s="2" t="str">
        <f>IFERROR(__xludf.DUMMYFUNCTION("""COMPUTED_VALUE"""),"CX")</f>
        <v>CX</v>
      </c>
      <c r="E363" s="2" t="str">
        <f>IFERROR(__xludf.DUMMYFUNCTION("""COMPUTED_VALUE"""),"火21")</f>
        <v>火21</v>
      </c>
      <c r="F363" s="2" t="s">
        <v>1157</v>
      </c>
      <c r="G363" s="2" t="s">
        <v>1167</v>
      </c>
      <c r="H363" s="1">
        <v>4.0</v>
      </c>
      <c r="I363" s="1" t="s">
        <v>14</v>
      </c>
      <c r="J363" s="1" t="s">
        <v>11</v>
      </c>
      <c r="K363" s="2" t="s">
        <v>1168</v>
      </c>
      <c r="L363" s="2" t="s">
        <v>1169</v>
      </c>
      <c r="M363" s="2" t="str">
        <f>IFERROR(__xludf.DUMMYFUNCTION("split(split(K363,""【"",false),""吉田羊　"",false)"),"老舗料亭・真田を訪れた葉子(伊藤蘭)は、病気を理由に隠居した大女将・静香(黒田福美)の見舞いに行きたいと申し出るが、女将の芽依(小西真奈美)に断られてしまう。一方、通勤途中に若年性認知症を患った初老の女性に遭遇した志帆(吉田羊)は、保護される際に暴れたり、歩行障害が見られたりする彼女の様子に違和感を覚えていた。やがて、その女性こそが、葉子が面会を希望していた大女将の静香だと判明。芽依に静香の診察を断られた志帆は、密かに静香を連れ出し勝手に診察。腕に強い脈を感じ、循環器系の病気を疑うが、次の瞬間、乗り込んで"&amp;"きた芽依に頬を叩かれ、葉子にも「あなたは患者さんの病気だけを見て、患者さんの人生がまるで見えていない」と叱責される。しかしその裏で、葉子も静香の症状が気になっていた。翌朝、静香が暴れた本当の理由に気付いた志帆は再び静香を連れ出すが、それを知った芽依は警察に通報。志帆は駆けつけた警察官に連行されてーー!?")</f>
        <v>老舗料亭・真田を訪れた葉子(伊藤蘭)は、病気を理由に隠居した大女将・静香(黒田福美)の見舞いに行きたいと申し出るが、女将の芽依(小西真奈美)に断られてしまう。一方、通勤途中に若年性認知症を患った初老の女性に遭遇した志帆(吉田羊)は、保護される際に暴れたり、歩行障害が見られたりする彼女の様子に違和感を覚えていた。やがて、その女性こそが、葉子が面会を希望していた大女将の静香だと判明。芽依に静香の診察を断られた志帆は、密かに静香を連れ出し勝手に診察。腕に強い脈を感じ、循環器系の病気を疑うが、次の瞬間、乗り込んできた芽依に頬を叩かれ、葉子にも「あなたは患者さんの病気だけを見て、患者さんの人生がまるで見えていない」と叱責される。しかしその裏で、葉子も静香の症状が気になっていた。翌朝、静香が暴れた本当の理由に気付いた志帆は再び静香を連れ出すが、それを知った芽依は警察に通報。志帆は駆けつけた警察官に連行されてーー!?</v>
      </c>
      <c r="N363" s="2" t="str">
        <f>IFERROR(__xludf.DUMMYFUNCTION("""COMPUTED_VALUE"""),"  相武紗季　  吉岡里帆　  白鳥久美子(たんぽぽ)　  滝沢沙織　  庄野崎謙　  小林且弥　  池岡亮介　  五十嵐健人　  笛木優子　  戸次重幸  　・　  高橋克典　  伊藤蘭")</f>
        <v>  相武紗季　  吉岡里帆　  白鳥久美子(たんぽぽ)　  滝沢沙織　  庄野崎謙　  小林且弥　  池岡亮介　  五十嵐健人　  笛木優子　  戸次重幸  　・　  高橋克典　  伊藤蘭</v>
      </c>
      <c r="O363" s="2"/>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row>
    <row r="364" ht="204.75" customHeight="1">
      <c r="A364" s="1">
        <v>1442.0</v>
      </c>
      <c r="B364" s="2" t="s">
        <v>1156</v>
      </c>
      <c r="C364" s="2">
        <f>IFERROR(__xludf.DUMMYFUNCTION("split(B364,""_"")"),1610.0)</f>
        <v>1610</v>
      </c>
      <c r="D364" s="2" t="str">
        <f>IFERROR(__xludf.DUMMYFUNCTION("""COMPUTED_VALUE"""),"CX")</f>
        <v>CX</v>
      </c>
      <c r="E364" s="2" t="str">
        <f>IFERROR(__xludf.DUMMYFUNCTION("""COMPUTED_VALUE"""),"火21")</f>
        <v>火21</v>
      </c>
      <c r="F364" s="2" t="s">
        <v>1157</v>
      </c>
      <c r="G364" s="2" t="s">
        <v>1170</v>
      </c>
      <c r="H364" s="1">
        <v>5.0</v>
      </c>
      <c r="I364" s="1" t="s">
        <v>17</v>
      </c>
      <c r="J364" s="1" t="s">
        <v>11</v>
      </c>
      <c r="K364" s="2" t="s">
        <v>1171</v>
      </c>
      <c r="L364" s="2" t="s">
        <v>1172</v>
      </c>
      <c r="M364" s="2" t="str">
        <f>IFERROR(__xludf.DUMMYFUNCTION("split(split(K364,""【"",false),""吉田羊　"",false)"),"志帆(吉田羊)の過去が気になる雪野(相武紗季)は、高杉(小林且弥)とともに志帆が以前勤めていた病院を訪ねるが、これといった成果は得られない。    そんなある日、公園の展望台から飛び降りた建築士の奥山賢太郎(桐山漣)が解析診断部に回されてくる。  目撃証言から自殺と見られるが、本人はそれを否定。  志帆は、奥山が朝食の左半分だけを残していることが気になり、奥山に絵を描いてもらう。すると、完成したのは右半分のみ。  奥山は脳梗塞が原因で、左側半分に見えているものを認識できていなかったのだ。    数日後、奥"&amp;"山が今度は突然、左手で周囲のものを投げ始める。自分の意思とは関係なく勝手に手が動き出す病気で、これも脳梗塞が原因だった。  さらに最近、一時的にスマホの使い方が分からなくなったといい、志帆は恐らくそれも脳梗塞が原因だと考える。連続して脳梗塞が起きるのはなぜか?  解析診断部が理由を探り始めた矢先、奥山の容態が急変して…。")</f>
        <v>志帆(吉田羊)の過去が気になる雪野(相武紗季)は、高杉(小林且弥)とともに志帆が以前勤めていた病院を訪ねるが、これといった成果は得られない。    そんなある日、公園の展望台から飛び降りた建築士の奥山賢太郎(桐山漣)が解析診断部に回されてくる。  目撃証言から自殺と見られるが、本人はそれを否定。  志帆は、奥山が朝食の左半分だけを残していることが気になり、奥山に絵を描いてもらう。すると、完成したのは右半分のみ。  奥山は脳梗塞が原因で、左側半分に見えているものを認識できていなかったのだ。    数日後、奥山が今度は突然、左手で周囲のものを投げ始める。自分の意思とは関係なく勝手に手が動き出す病気で、これも脳梗塞が原因だった。  さらに最近、一時的にスマホの使い方が分からなくなったといい、志帆は恐らくそれも脳梗塞が原因だと考える。連続して脳梗塞が起きるのはなぜか?  解析診断部が理由を探り始めた矢先、奥山の容態が急変して…。</v>
      </c>
      <c r="N364" s="2" t="str">
        <f>IFERROR(__xludf.DUMMYFUNCTION("""COMPUTED_VALUE"""),"  相武紗季　  吉岡里帆　  白鳥久美子(たんぽぽ)　  滝沢沙織　  庄野崎謙　  小林且弥　  池岡亮介　  五十嵐健人　  笛木優子　  戸次重幸  　・　  高橋克典　  伊藤蘭")</f>
        <v>  相武紗季　  吉岡里帆　  白鳥久美子(たんぽぽ)　  滝沢沙織　  庄野崎謙　  小林且弥　  池岡亮介　  五十嵐健人　  笛木優子　  戸次重幸  　・　  高橋克典　  伊藤蘭</v>
      </c>
      <c r="O364" s="2"/>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row>
    <row r="365" ht="204.75" customHeight="1">
      <c r="A365" s="1">
        <v>1443.0</v>
      </c>
      <c r="B365" s="2" t="s">
        <v>1156</v>
      </c>
      <c r="C365" s="2">
        <f>IFERROR(__xludf.DUMMYFUNCTION("split(B365,""_"")"),1610.0)</f>
        <v>1610</v>
      </c>
      <c r="D365" s="2" t="str">
        <f>IFERROR(__xludf.DUMMYFUNCTION("""COMPUTED_VALUE"""),"CX")</f>
        <v>CX</v>
      </c>
      <c r="E365" s="2" t="str">
        <f>IFERROR(__xludf.DUMMYFUNCTION("""COMPUTED_VALUE"""),"火21")</f>
        <v>火21</v>
      </c>
      <c r="F365" s="2" t="s">
        <v>1157</v>
      </c>
      <c r="G365" s="2" t="s">
        <v>1173</v>
      </c>
      <c r="H365" s="1">
        <v>6.0</v>
      </c>
      <c r="I365" s="1" t="s">
        <v>21</v>
      </c>
      <c r="J365" s="1" t="s">
        <v>11</v>
      </c>
      <c r="K365" s="2" t="s">
        <v>1174</v>
      </c>
      <c r="L365" s="2" t="s">
        <v>1175</v>
      </c>
      <c r="M365" s="2" t="str">
        <f>IFERROR(__xludf.DUMMYFUNCTION("split(split(K365,""【"",false),""吉田羊　"",false)"),"地元選出の国会議員・北村英一郎(飯田基祐)の妻・詩織(高橋かおり)が急性心不全で運ばれてくる。詩織は、一年前に雪野(相武紗季)が心臓血管外科を追い出されるきっかけとなった患者で、当時、雪野と高杉(小林且弥)が手術を行うも症状は改善せず、北村はその原因を雪野の手術が失敗したせいだと考えていた。執刀医の雪野は完璧な手術だったと主張するが、結局、病院側は失敗とみなし、雪野は責任を取る形で異動ーー。そんな詩織を解析診断部で診ることになり、雪野はこの機会に汚名を返上しようと必死で、志帆(吉田羊)たちの言葉が耳に入ら"&amp;"ない。一方の志帆は、詩織がお湯の入ったカップに触れた途端、ビクッと反応したことが気になるが、その矢先、雪野の治療で詩織が急性呼吸不全を発症。北村から「こんなのは殺人と同じだ!」と怒鳴られた雪野はショックを受ける。  しかし、志帆の言葉に勇気づけられ、「患者さんを救うためなら何でもします」と決意を新たにして……。")</f>
        <v>地元選出の国会議員・北村英一郎(飯田基祐)の妻・詩織(高橋かおり)が急性心不全で運ばれてくる。詩織は、一年前に雪野(相武紗季)が心臓血管外科を追い出されるきっかけとなった患者で、当時、雪野と高杉(小林且弥)が手術を行うも症状は改善せず、北村はその原因を雪野の手術が失敗したせいだと考えていた。執刀医の雪野は完璧な手術だったと主張するが、結局、病院側は失敗とみなし、雪野は責任を取る形で異動ーー。そんな詩織を解析診断部で診ることになり、雪野はこの機会に汚名を返上しようと必死で、志帆(吉田羊)たちの言葉が耳に入らない。一方の志帆は、詩織がお湯の入ったカップに触れた途端、ビクッと反応したことが気になるが、その矢先、雪野の治療で詩織が急性呼吸不全を発症。北村から「こんなのは殺人と同じだ!」と怒鳴られた雪野はショックを受ける。  しかし、志帆の言葉に勇気づけられ、「患者さんを救うためなら何でもします」と決意を新たにして……。</v>
      </c>
      <c r="N365" s="2" t="str">
        <f>IFERROR(__xludf.DUMMYFUNCTION("""COMPUTED_VALUE"""),"  相武紗季　  吉岡里帆　  白鳥久美子(たんぽぽ)　  滝沢沙織　  庄野崎謙　  小林且弥　  池岡亮介　  五十嵐健人　  笛木優子　  戸次重幸  　・　  高橋克典　  伊藤蘭")</f>
        <v>  相武紗季　  吉岡里帆　  白鳥久美子(たんぽぽ)　  滝沢沙織　  庄野崎謙　  小林且弥　  池岡亮介　  五十嵐健人　  笛木優子　  戸次重幸  　・　  高橋克典　  伊藤蘭</v>
      </c>
      <c r="O365" s="2"/>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row>
    <row r="366" ht="204.75" customHeight="1">
      <c r="A366" s="1">
        <v>1444.0</v>
      </c>
      <c r="B366" s="2" t="s">
        <v>1156</v>
      </c>
      <c r="C366" s="2">
        <f>IFERROR(__xludf.DUMMYFUNCTION("split(B366,""_"")"),1610.0)</f>
        <v>1610</v>
      </c>
      <c r="D366" s="2" t="str">
        <f>IFERROR(__xludf.DUMMYFUNCTION("""COMPUTED_VALUE"""),"CX")</f>
        <v>CX</v>
      </c>
      <c r="E366" s="2" t="str">
        <f>IFERROR(__xludf.DUMMYFUNCTION("""COMPUTED_VALUE"""),"火21")</f>
        <v>火21</v>
      </c>
      <c r="F366" s="2" t="s">
        <v>1157</v>
      </c>
      <c r="G366" s="2" t="s">
        <v>1176</v>
      </c>
      <c r="H366" s="1">
        <v>7.0</v>
      </c>
      <c r="I366" s="1" t="s">
        <v>25</v>
      </c>
      <c r="J366" s="1" t="s">
        <v>11</v>
      </c>
      <c r="K366" s="2" t="s">
        <v>1177</v>
      </c>
      <c r="L366" s="2" t="s">
        <v>1178</v>
      </c>
      <c r="M366" s="2" t="str">
        <f>IFERROR(__xludf.DUMMYFUNCTION("split(split(K366,""【"",false),""吉田羊　"",false)"),"高杉(小林且弥)の調べで、志帆(吉田羊)の娘がすでに亡くなっていることを知った雪野(相武紗季)。ならば、志帆に見えているのは幻覚ではないかーー雪野はますます志帆のことが気になる。    街中で突然倒れた男性が運び込まれてきた。男の名前は神田光一郎(田中幸太朗)。対応した藍(白鳥久美子)は低血糖と判断して処置をするが、しばらくすると、神田は激しいけいれんを起こす。血液検査の結果、原因は低ナトリウム血症だと分かるが、志帆は藍と2人で問診に訪れた際、神田が「女医さんが4人も来てくれた」と話していたことが気にかか"&amp;"り……。    一方、藍は外資系の金融マンを名乗り、独身で恋人もいないという神田にひそかに恋心を抱いていた。神田もまた、そんな藍に絶大な信頼を寄せている様子。その後、神田が後頭部の痛みを訴え、突如、錯乱状態に陥ったことから、藍は脳炎を疑い、髄液検査を行うが、緊張から救命救急医らしからぬミスをしてしまう。それにより検査は延期となるが、もし脳炎なら、一刻も早く治療をしないと命に関わる事態。すぐに薬が投与され、症状は治まると思われたが、その夜、神田は薬の副作用で腎不全を起こしてしまう。神田から「先生のことが好き"&amp;"です」と告白され、退院後のデートにも誘われた藍は、何とかして神田を助けようと必死になるが、そんな患者と担当医の恋のうわさは、葉子(伊藤蘭)の耳にも入り……。")</f>
        <v>高杉(小林且弥)の調べで、志帆(吉田羊)の娘がすでに亡くなっていることを知った雪野(相武紗季)。ならば、志帆に見えているのは幻覚ではないかーー雪野はますます志帆のことが気になる。    街中で突然倒れた男性が運び込まれてきた。男の名前は神田光一郎(田中幸太朗)。対応した藍(白鳥久美子)は低血糖と判断して処置をするが、しばらくすると、神田は激しいけいれんを起こす。血液検査の結果、原因は低ナトリウム血症だと分かるが、志帆は藍と2人で問診に訪れた際、神田が「女医さんが4人も来てくれた」と話していたことが気にかかり……。    一方、藍は外資系の金融マンを名乗り、独身で恋人もいないという神田にひそかに恋心を抱いていた。神田もまた、そんな藍に絶大な信頼を寄せている様子。その後、神田が後頭部の痛みを訴え、突如、錯乱状態に陥ったことから、藍は脳炎を疑い、髄液検査を行うが、緊張から救命救急医らしからぬミスをしてしまう。それにより検査は延期となるが、もし脳炎なら、一刻も早く治療をしないと命に関わる事態。すぐに薬が投与され、症状は治まると思われたが、その夜、神田は薬の副作用で腎不全を起こしてしまう。神田から「先生のことが好きです」と告白され、退院後のデートにも誘われた藍は、何とかして神田を助けようと必死になるが、そんな患者と担当医の恋のうわさは、葉子(伊藤蘭)の耳にも入り……。</v>
      </c>
      <c r="N366" s="2" t="str">
        <f>IFERROR(__xludf.DUMMYFUNCTION("""COMPUTED_VALUE"""),"  相武紗季　  吉岡里帆　  白鳥久美子(たんぽぽ)　  滝沢沙織　  庄野崎謙　  小林且弥　  池岡亮介　  五十嵐健人　  笛木優子　  戸次重幸  　・　  高橋克典　  伊藤蘭")</f>
        <v>  相武紗季　  吉岡里帆　  白鳥久美子(たんぽぽ)　  滝沢沙織　  庄野崎謙　  小林且弥　  池岡亮介　  五十嵐健人　  笛木優子　  戸次重幸  　・　  高橋克典　  伊藤蘭</v>
      </c>
      <c r="O366" s="2"/>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row>
    <row r="367" ht="204.75" customHeight="1">
      <c r="A367" s="1">
        <v>1445.0</v>
      </c>
      <c r="B367" s="2" t="s">
        <v>1156</v>
      </c>
      <c r="C367" s="2">
        <f>IFERROR(__xludf.DUMMYFUNCTION("split(B367,""_"")"),1610.0)</f>
        <v>1610</v>
      </c>
      <c r="D367" s="2" t="str">
        <f>IFERROR(__xludf.DUMMYFUNCTION("""COMPUTED_VALUE"""),"CX")</f>
        <v>CX</v>
      </c>
      <c r="E367" s="2" t="str">
        <f>IFERROR(__xludf.DUMMYFUNCTION("""COMPUTED_VALUE"""),"火21")</f>
        <v>火21</v>
      </c>
      <c r="F367" s="2" t="s">
        <v>1157</v>
      </c>
      <c r="G367" s="2" t="s">
        <v>1179</v>
      </c>
      <c r="H367" s="1">
        <v>8.0</v>
      </c>
      <c r="I367" s="1" t="s">
        <v>29</v>
      </c>
      <c r="J367" s="1" t="s">
        <v>11</v>
      </c>
      <c r="K367" s="2" t="s">
        <v>1180</v>
      </c>
      <c r="L367" s="2" t="s">
        <v>1181</v>
      </c>
      <c r="M367" s="2" t="str">
        <f>IFERROR(__xludf.DUMMYFUNCTION("split(split(K367,""【"",false),""吉田羊　"",false)"),"「幻覚を見ているんですよね?」ーー雪野(相武紗季)が志帆(吉田羊)に尋ねると、志帆は「誰かに迷惑をかけているわけではない」と答え、娘の姿がたとえ幻覚であろうと意に介さない様子。    一方、葉子(伊藤蘭)が出演する番組の収録中に、こわもてで売っている大御所俳優・堂島謙三(大和田伸也)が突然倒れる。右腕の痛みを訴えて苦しむ堂島を診察すると、右腕に発赤がみられ、それは時間の経過とともに広がっていく。葉子は、堂島が前日に廃虚でロケをしていたと聞き、そこで人食いバクテリアに感染したのではないかと考える。もしそうだ"&amp;"としたら、発症後24時間以内に患部を切除しなければ命を落とす。しかし、撮影中の映画に支障が出るからと、堂島は治療を拒否。原因も特定できないまま、さらに一部の薬剤にアレルギー反応を起こすという不測の事態も重なり、治療は難航する。  命のタイムリミットが近づくなか、休暇中の志帆に連絡がつかず、途方に暮れる綾香(吉岡里帆)。すると、葉子が意外な行動に出る。まるでいつもの志帆のように、綾香に病気の原因追究のための調査を依頼したのだ。早速、綾香は宮部(庄野崎謙)とともに、堂島がロケをしていたという廃虚へ。そして、そ"&amp;"こで出会ったケンジ(藤野大輝)という少年から、堂島が敷地内にある井戸を使っていたことを教えられる。綾香がくみ上げて触ってみると、なぜかその水はぬるくて…。")</f>
        <v>「幻覚を見ているんですよね?」ーー雪野(相武紗季)が志帆(吉田羊)に尋ねると、志帆は「誰かに迷惑をかけているわけではない」と答え、娘の姿がたとえ幻覚であろうと意に介さない様子。    一方、葉子(伊藤蘭)が出演する番組の収録中に、こわもてで売っている大御所俳優・堂島謙三(大和田伸也)が突然倒れる。右腕の痛みを訴えて苦しむ堂島を診察すると、右腕に発赤がみられ、それは時間の経過とともに広がっていく。葉子は、堂島が前日に廃虚でロケをしていたと聞き、そこで人食いバクテリアに感染したのではないかと考える。もしそうだとしたら、発症後24時間以内に患部を切除しなければ命を落とす。しかし、撮影中の映画に支障が出るからと、堂島は治療を拒否。原因も特定できないまま、さらに一部の薬剤にアレルギー反応を起こすという不測の事態も重なり、治療は難航する。  命のタイムリミットが近づくなか、休暇中の志帆に連絡がつかず、途方に暮れる綾香(吉岡里帆)。すると、葉子が意外な行動に出る。まるでいつもの志帆のように、綾香に病気の原因追究のための調査を依頼したのだ。早速、綾香は宮部(庄野崎謙)とともに、堂島がロケをしていたという廃虚へ。そして、そこで出会ったケンジ(藤野大輝)という少年から、堂島が敷地内にある井戸を使っていたことを教えられる。綾香がくみ上げて触ってみると、なぜかその水はぬるくて…。</v>
      </c>
      <c r="N367" s="2" t="str">
        <f>IFERROR(__xludf.DUMMYFUNCTION("""COMPUTED_VALUE"""),"  相武紗季　  吉岡里帆　  白鳥久美子(たんぽぽ)　  滝沢沙織　  庄野崎謙　  小林且弥　  池岡亮介　  五十嵐健人　  笛木優子　  戸次重幸  　・　  高橋克典　  伊藤蘭")</f>
        <v>  相武紗季　  吉岡里帆　  白鳥久美子(たんぽぽ)　  滝沢沙織　  庄野崎謙　  小林且弥　  池岡亮介　  五十嵐健人　  笛木優子　  戸次重幸  　・　  高橋克典　  伊藤蘭</v>
      </c>
      <c r="O367" s="2"/>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row>
    <row r="368" ht="204.75" customHeight="1">
      <c r="A368" s="1">
        <v>1446.0</v>
      </c>
      <c r="B368" s="2" t="s">
        <v>1156</v>
      </c>
      <c r="C368" s="2">
        <f>IFERROR(__xludf.DUMMYFUNCTION("split(B368,""_"")"),1610.0)</f>
        <v>1610</v>
      </c>
      <c r="D368" s="2" t="str">
        <f>IFERROR(__xludf.DUMMYFUNCTION("""COMPUTED_VALUE"""),"CX")</f>
        <v>CX</v>
      </c>
      <c r="E368" s="2" t="str">
        <f>IFERROR(__xludf.DUMMYFUNCTION("""COMPUTED_VALUE"""),"火21")</f>
        <v>火21</v>
      </c>
      <c r="F368" s="2" t="s">
        <v>1157</v>
      </c>
      <c r="G368" s="2" t="s">
        <v>1182</v>
      </c>
      <c r="H368" s="1">
        <v>9.0</v>
      </c>
      <c r="I368" s="1" t="s">
        <v>33</v>
      </c>
      <c r="J368" s="1" t="s">
        <v>11</v>
      </c>
      <c r="K368" s="2" t="s">
        <v>1183</v>
      </c>
      <c r="L368" s="2" t="s">
        <v>1184</v>
      </c>
      <c r="M368" s="2" t="str">
        <f>IFERROR(__xludf.DUMMYFUNCTION("split(split(K368,""【"",false),""吉田羊　"",false)"),"将来を有望視されている天才ピアノ少女・藤原ひかり(根岸姫奈)が、コンクールに出場した直後に意識を失い、けいれんを起こして運ばれてくる。病名が分からず解析診断部で受け入れることになり、ひかりと対面した志帆(吉田羊)は、彼女と以前に会ったことがあるような気がするが、思い出せない。    翌日、ひかりが一カ月ほど前から、度々意識を失っていたことを知った志帆。ピアノ講師によると、その頃からフルートの練習を始めたという。そんななか、お茶を飲んでいたひかりが突然胸を押さえて苦しみ出し、その処置中、志帆がひかりの背中に"&amp;"見覚えのある傷痕を発見。目の前にいる少女が背負った運命に気付き、あぜんとする。    心臓を詳しく調べた結果、ひかりは狭心症を発症していることが判明。意識消失とけいれんもモヤモヤ病によるものだと分かり、どちらの病気も発症のきっかけは過換気だった。狭心症は投薬治療で改善が見込めるものの、モヤモヤ病は脳外科手術が必要。オペの執刀医は雪野(相武紗季)になると誰もが思った瞬間、「私がやる」と名乗りをあげたのは、志帆だった。「どうしても私の手で、ひかりちゃんを助けたい」という言葉に葉子(伊藤蘭)は執刀を許可するが、"&amp;"雪野はいつもと違う志帆の様子が気になる。その真意を尋ねる雪野に、志帆は2年前に起きた爆発事件の現場に、自分たち親子とひかりがいたと話し出し…。")</f>
        <v>将来を有望視されている天才ピアノ少女・藤原ひかり(根岸姫奈)が、コンクールに出場した直後に意識を失い、けいれんを起こして運ばれてくる。病名が分からず解析診断部で受け入れることになり、ひかりと対面した志帆(吉田羊)は、彼女と以前に会ったことがあるような気がするが、思い出せない。    翌日、ひかりが一カ月ほど前から、度々意識を失っていたことを知った志帆。ピアノ講師によると、その頃からフルートの練習を始めたという。そんななか、お茶を飲んでいたひかりが突然胸を押さえて苦しみ出し、その処置中、志帆がひかりの背中に見覚えのある傷痕を発見。目の前にいる少女が背負った運命に気付き、あぜんとする。    心臓を詳しく調べた結果、ひかりは狭心症を発症していることが判明。意識消失とけいれんもモヤモヤ病によるものだと分かり、どちらの病気も発症のきっかけは過換気だった。狭心症は投薬治療で改善が見込めるものの、モヤモヤ病は脳外科手術が必要。オペの執刀医は雪野(相武紗季)になると誰もが思った瞬間、「私がやる」と名乗りをあげたのは、志帆だった。「どうしても私の手で、ひかりちゃんを助けたい」という言葉に葉子(伊藤蘭)は執刀を許可するが、雪野はいつもと違う志帆の様子が気になる。その真意を尋ねる雪野に、志帆は2年前に起きた爆発事件の現場に、自分たち親子とひかりがいたと話し出し…。</v>
      </c>
      <c r="N368" s="2" t="str">
        <f>IFERROR(__xludf.DUMMYFUNCTION("""COMPUTED_VALUE"""),"  相武紗季　  吉岡里帆　  白鳥久美子(たんぽぽ)　  滝沢沙織　  庄野崎謙　  小林且弥　  池岡亮介　  五十嵐健人　  笛木優子　  戸次重幸  　・　  高橋克典　  伊藤蘭")</f>
        <v>  相武紗季　  吉岡里帆　  白鳥久美子(たんぽぽ)　  滝沢沙織　  庄野崎謙　  小林且弥　  池岡亮介　  五十嵐健人　  笛木優子　  戸次重幸  　・　  高橋克典　  伊藤蘭</v>
      </c>
      <c r="O368" s="2"/>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row>
    <row r="369" ht="204.75" customHeight="1">
      <c r="A369" s="1">
        <v>1447.0</v>
      </c>
      <c r="B369" s="2" t="s">
        <v>1156</v>
      </c>
      <c r="C369" s="2">
        <f>IFERROR(__xludf.DUMMYFUNCTION("split(B369,""_"")"),1610.0)</f>
        <v>1610</v>
      </c>
      <c r="D369" s="2" t="str">
        <f>IFERROR(__xludf.DUMMYFUNCTION("""COMPUTED_VALUE"""),"CX")</f>
        <v>CX</v>
      </c>
      <c r="E369" s="2" t="str">
        <f>IFERROR(__xludf.DUMMYFUNCTION("""COMPUTED_VALUE"""),"火21")</f>
        <v>火21</v>
      </c>
      <c r="F369" s="2" t="s">
        <v>1157</v>
      </c>
      <c r="G369" s="2" t="s">
        <v>1185</v>
      </c>
      <c r="H369" s="1">
        <v>10.0</v>
      </c>
      <c r="I369" s="1" t="s">
        <v>37</v>
      </c>
      <c r="J369" s="1" t="s">
        <v>11</v>
      </c>
      <c r="K369" s="2" t="s">
        <v>1186</v>
      </c>
      <c r="L369" s="2" t="s">
        <v>1187</v>
      </c>
      <c r="M369" s="2" t="str">
        <f>IFERROR(__xludf.DUMMYFUNCTION("split(split(K369,""【"",false),""吉田羊　"",false)"),"藤原ひかり(根岸姫奈)は、2年前に亡くなった娘の真央(藤澤遥)が、自らの命に代えて助けた患者ーーそれに気付いた志帆(吉田羊)はひかりのオペの執刀を申し出るが、手術当日、突然頭痛に襲われ倒れてしまう。志帆に代わり、モヤモヤ病の手術を執刀したのは雪野(相武紗季)。しかし、実際には手の施しようがなく、助けるには手術可能な病院に転院するか、脳神経外科医として腕の立つ志帆が執刀するしかない。一方、志帆が脳動脈瘤を抱えていることが分かり、ついに北畠(高橋克典)は2年前に志帆の身に起きた出来事を解析診断部のメンバーに打"&amp;"ち明ける。雪野もまた、志帆が幻覚を見ていることを明かす。たとえ幻覚でも愛する娘との生活を続けるため、脳動脈瘤に気付きながら放置していた志帆。一同は、そんな志帆の思いに胸を痛めるが、それでも葉子(伊藤蘭)は「オペを執刀するなら脳動脈瘤の摘出が必要」と断言。それは、もう真央の幻覚を見られなくなることを意味する。ひかりの命を救うか、真央の幻覚を取るかー。葉子からその選択を一任された志帆は、この2年間の奇跡のような日々を真央と語り合い、やがて一つの答えを導き出して……。")</f>
        <v>藤原ひかり(根岸姫奈)は、2年前に亡くなった娘の真央(藤澤遥)が、自らの命に代えて助けた患者ーーそれに気付いた志帆(吉田羊)はひかりのオペの執刀を申し出るが、手術当日、突然頭痛に襲われ倒れてしまう。志帆に代わり、モヤモヤ病の手術を執刀したのは雪野(相武紗季)。しかし、実際には手の施しようがなく、助けるには手術可能な病院に転院するか、脳神経外科医として腕の立つ志帆が執刀するしかない。一方、志帆が脳動脈瘤を抱えていることが分かり、ついに北畠(高橋克典)は2年前に志帆の身に起きた出来事を解析診断部のメンバーに打ち明ける。雪野もまた、志帆が幻覚を見ていることを明かす。たとえ幻覚でも愛する娘との生活を続けるため、脳動脈瘤に気付きながら放置していた志帆。一同は、そんな志帆の思いに胸を痛めるが、それでも葉子(伊藤蘭)は「オペを執刀するなら脳動脈瘤の摘出が必要」と断言。それは、もう真央の幻覚を見られなくなることを意味する。ひかりの命を救うか、真央の幻覚を取るかー。葉子からその選択を一任された志帆は、この2年間の奇跡のような日々を真央と語り合い、やがて一つの答えを導き出して……。</v>
      </c>
      <c r="N369" s="2" t="str">
        <f>IFERROR(__xludf.DUMMYFUNCTION("""COMPUTED_VALUE"""),"  相武紗季　  吉岡里帆　  白鳥久美子(たんぽぽ)　  滝沢沙織　  庄野崎謙　  小林且弥　  池岡亮介　  五十嵐健人　  笛木優子　  戸次重幸  　・　  高橋克典　  伊藤蘭")</f>
        <v>  相武紗季　  吉岡里帆　  白鳥久美子(たんぽぽ)　  滝沢沙織　  庄野崎謙　  小林且弥　  池岡亮介　  五十嵐健人　  笛木優子　  戸次重幸  　・　  高橋克典　  伊藤蘭</v>
      </c>
      <c r="O369" s="2"/>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row>
    <row r="370" ht="204.75" customHeight="1">
      <c r="A370" s="1">
        <v>1480.0</v>
      </c>
      <c r="B370" s="2" t="s">
        <v>1188</v>
      </c>
      <c r="C370" s="2">
        <f>IFERROR(__xludf.DUMMYFUNCTION("split(B370,""_"")"),1610.0)</f>
        <v>1610</v>
      </c>
      <c r="D370" s="2" t="str">
        <f>IFERROR(__xludf.DUMMYFUNCTION("""COMPUTED_VALUE"""),"CX")</f>
        <v>CX</v>
      </c>
      <c r="E370" s="2" t="str">
        <f>IFERROR(__xludf.DUMMYFUNCTION("""COMPUTED_VALUE"""),"木22")</f>
        <v>木22</v>
      </c>
      <c r="F370" s="2" t="s">
        <v>1189</v>
      </c>
      <c r="G370" s="2" t="s">
        <v>1190</v>
      </c>
      <c r="H370" s="1">
        <v>1.0</v>
      </c>
      <c r="I370" s="1" t="s">
        <v>3</v>
      </c>
      <c r="J370" s="1" t="s">
        <v>82</v>
      </c>
      <c r="K370" s="2" t="s">
        <v>1191</v>
      </c>
      <c r="L370" s="2" t="s">
        <v>1192</v>
      </c>
      <c r="M370" s="2" t="str">
        <f>IFERROR(__xludf.DUMMYFUNCTION("split(split(K370,""天海祐希　"",false),""見られますよ!"",false)"),"番組公式ホームページは、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f>
        <v>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v>
      </c>
      <c r="N370" s="2" t="str">
        <f>IFERROR(__xludf.DUMMYFUNCTION("""COMPUTED_VALUE"""),"　三ツ星レストラン「ラ・キュイジーヌ・ドゥ・ラ・レーヌ」の厨房に、総料理長・星野光子(天海祐希)が現れた。副料理長らが出迎えるなか、光子はスペシャリテの鹿の下ごしらえを始めると告げた。そこへ、オーナーの篠田章吾(小泉孝太郎)が雑誌の記者を引き連れてやってきた。鹿に包丁を入れる光子を見た篠田は激怒。ゲストの料理評論家に、スペシャリテは鴨だと伝えてあるからだという。やがて、店は開店し、予約客が案内されていく中、店前に高山晴子(川口春奈)がたたずんでいた。  　翌朝、光子は、昨夜料理を食べた料理評論家が食中毒を"&amp;"起こしたと聞かされる。光子は信じないが、篠田から辞職を迫られたため、それを承諾して店を後にする。ところがその後、食中毒のニュースは世界にまで発信され、光子の評判は地に落ちる。それまであった引き抜きの話も白紙となり、光子は次の職場を見つけることができない。そこへ、テレビプロデューサー・矢口早紀(友近)から、光子を雇いたいと言っているところがあると連絡が入った。新しい仕事場となる三つ葉小学校にやってきた光子は、そこで働く小松稔(荒川良々)ら調理師たちのやる気のなさに愕然とする。さらにそこには、栄養士兼調理師・"&amp;"荒木平介(遠藤憲一)がいて、メニューを決めるのは自分だ、と光子をにらむ。三ツ星を失い反骨心を燃やす光子は、子供たちが食べたことのない本物の味を教えてやるとたんかを切った。")</f>
        <v>　三ツ星レストラン「ラ・キュイジーヌ・ドゥ・ラ・レーヌ」の厨房に、総料理長・星野光子(天海祐希)が現れた。副料理長らが出迎えるなか、光子はスペシャリテの鹿の下ごしらえを始めると告げた。そこへ、オーナーの篠田章吾(小泉孝太郎)が雑誌の記者を引き連れてやってきた。鹿に包丁を入れる光子を見た篠田は激怒。ゲストの料理評論家に、スペシャリテは鴨だと伝えてあるからだという。やがて、店は開店し、予約客が案内されていく中、店前に高山晴子(川口春奈)がたたずんでいた。  　翌朝、光子は、昨夜料理を食べた料理評論家が食中毒を起こしたと聞かされる。光子は信じないが、篠田から辞職を迫られたため、それを承諾して店を後にする。ところがその後、食中毒のニュースは世界にまで発信され、光子の評判は地に落ちる。それまであった引き抜きの話も白紙となり、光子は次の職場を見つけることができない。そこへ、テレビプロデューサー・矢口早紀(友近)から、光子を雇いたいと言っているところがあると連絡が入った。新しい仕事場となる三つ葉小学校にやってきた光子は、そこで働く小松稔(荒川良々)ら調理師たちのやる気のなさに愕然とする。さらにそこには、栄養士兼調理師・荒木平介(遠藤憲一)がいて、メニューを決めるのは自分だ、と光子をにらむ。三ツ星を失い反骨心を燃やす光子は、子供たちが食べたことのない本物の味を教えてやるとたんかを切った。</v>
      </c>
      <c r="O370" s="2"/>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row>
    <row r="371" ht="204.75" customHeight="1">
      <c r="A371" s="1">
        <v>1481.0</v>
      </c>
      <c r="B371" s="2" t="s">
        <v>1188</v>
      </c>
      <c r="C371" s="2">
        <f>IFERROR(__xludf.DUMMYFUNCTION("split(B371,""_"")"),1610.0)</f>
        <v>1610</v>
      </c>
      <c r="D371" s="2" t="str">
        <f>IFERROR(__xludf.DUMMYFUNCTION("""COMPUTED_VALUE"""),"CX")</f>
        <v>CX</v>
      </c>
      <c r="E371" s="2" t="str">
        <f>IFERROR(__xludf.DUMMYFUNCTION("""COMPUTED_VALUE"""),"木22")</f>
        <v>木22</v>
      </c>
      <c r="F371" s="2" t="s">
        <v>1189</v>
      </c>
      <c r="G371" s="2" t="s">
        <v>1193</v>
      </c>
      <c r="H371" s="1">
        <v>2.0</v>
      </c>
      <c r="I371" s="1" t="s">
        <v>7</v>
      </c>
      <c r="J371" s="1" t="s">
        <v>86</v>
      </c>
      <c r="K371" s="2" t="s">
        <v>1194</v>
      </c>
      <c r="L371" s="2" t="s">
        <v>1195</v>
      </c>
      <c r="M371" s="2" t="str">
        <f>IFERROR(__xludf.DUMMYFUNCTION("split(split(K371,""天海祐希　"",false),""見られますよ!"",false)"),"番組公式ホームページは、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f>
        <v>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v>
      </c>
      <c r="N371" s="2" t="str">
        <f>IFERROR(__xludf.DUMMYFUNCTION("""COMPUTED_VALUE"""),"三つ葉小学校の給食事務エリアで「調理前ミーティング」が行われていた。荒木(遠藤憲一)から献立について聞かされた光子(天海祐希)は、全然、ワクワクしない、と不満を口にした。荒木は、ワクワクで胸を膨らませることよりも、腹を膨らませることを考えろと一喝する。そこから「食材の検品」「洗浄」「切裁」と下準備が始まった。徹底された衛生管理の下、厳格なルールに従い行われていくことに光子はとまどうが、荒木や調理師補助の小松(荒川良々)らは黙々とこなしていく。いざ「調理」となった時、肉が少ないと思った光子が肉を追加しようと"&amp;"するが、荒木に肉はもう無いと言われる。一食640キロカロリーという規定があり、それを超えてはいけないため、使う量きっちりしか発注していないのだ。光子は野菜の組み合わせを減らしたり、塩を加えようとするが、ことごとく制止されてしまう。そんな光子を、早紀(友近)は面白がるように見つめていた。一方「ラ・キュイジーヌ・ドゥ・ラ・レーヌ」の厨房では、奥寺(豊原功補)が中心となって動いていた。そこへ来た篠田(小泉孝太郎)は、席数を増やそうと思っていると満足気に話した。昼時となり、できあがった給食を光子らが食べていた。ル"&amp;"ール通りだがおいしいとは言えない給食に、光子はため息をつく。そこへ、新しい調理補助として晴子(川口春奈)が入ってくる。光子は晴子を一瞥(いちべつ)するも、まるで興味を示さず…。")</f>
        <v>三つ葉小学校の給食事務エリアで「調理前ミーティング」が行われていた。荒木(遠藤憲一)から献立について聞かされた光子(天海祐希)は、全然、ワクワクしない、と不満を口にした。荒木は、ワクワクで胸を膨らませることよりも、腹を膨らませることを考えろと一喝する。そこから「食材の検品」「洗浄」「切裁」と下準備が始まった。徹底された衛生管理の下、厳格なルールに従い行われていくことに光子はとまどうが、荒木や調理師補助の小松(荒川良々)らは黙々とこなしていく。いざ「調理」となった時、肉が少ないと思った光子が肉を追加しようとするが、荒木に肉はもう無いと言われる。一食640キロカロリーという規定があり、それを超えてはいけないため、使う量きっちりしか発注していないのだ。光子は野菜の組み合わせを減らしたり、塩を加えようとするが、ことごとく制止されてしまう。そんな光子を、早紀(友近)は面白がるように見つめていた。一方「ラ・キュイジーヌ・ドゥ・ラ・レーヌ」の厨房では、奥寺(豊原功補)が中心となって動いていた。そこへ来た篠田(小泉孝太郎)は、席数を増やそうと思っていると満足気に話した。昼時となり、できあがった給食を光子らが食べていた。ルール通りだがおいしいとは言えない給食に、光子はため息をつく。そこへ、新しい調理補助として晴子(川口春奈)が入ってくる。光子は晴子を一瞥(いちべつ)するも、まるで興味を示さず…。</v>
      </c>
      <c r="O371" s="2"/>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row>
    <row r="372" ht="204.75" customHeight="1">
      <c r="A372" s="1">
        <v>1482.0</v>
      </c>
      <c r="B372" s="2" t="s">
        <v>1188</v>
      </c>
      <c r="C372" s="2">
        <f>IFERROR(__xludf.DUMMYFUNCTION("split(B372,""_"")"),1610.0)</f>
        <v>1610</v>
      </c>
      <c r="D372" s="2" t="str">
        <f>IFERROR(__xludf.DUMMYFUNCTION("""COMPUTED_VALUE"""),"CX")</f>
        <v>CX</v>
      </c>
      <c r="E372" s="2" t="str">
        <f>IFERROR(__xludf.DUMMYFUNCTION("""COMPUTED_VALUE"""),"木22")</f>
        <v>木22</v>
      </c>
      <c r="F372" s="2" t="s">
        <v>1189</v>
      </c>
      <c r="G372" s="2" t="s">
        <v>1196</v>
      </c>
      <c r="H372" s="1">
        <v>3.0</v>
      </c>
      <c r="I372" s="1" t="s">
        <v>10</v>
      </c>
      <c r="J372" s="1" t="s">
        <v>86</v>
      </c>
      <c r="K372" s="2" t="s">
        <v>1197</v>
      </c>
      <c r="L372" s="2" t="s">
        <v>1198</v>
      </c>
      <c r="M372" s="2" t="str">
        <f>IFERROR(__xludf.DUMMYFUNCTION("split(split(K372,""天海祐希　"",false),""見られますよ!"",false)"),"番組公式ホームページは、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f>
        <v>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v>
      </c>
      <c r="N372" s="2" t="str">
        <f>IFERROR(__xludf.DUMMYFUNCTION("""COMPUTED_VALUE"""),"　自分が作った給食よりも、コンビニの唐揚げの方が「おいしい」と言われショックを受けた光子(天海祐希)は、自分が作った給食を「最高においしい」と言わせるまで学校に残ると決断。それを聞いた荒木(遠藤憲一)や晴子(川口春奈)らは、光子の料理にかけるプライドに驚きを隠せない。同じ頃、光子を訪ねてフランスのファッションブランド“ミッシェル・ブランショ""の金沢(西村和彦)がやってくる。店舗の最上階にオープンするフレンチレストランのシェフへのオファーは断られたが、光子以上のシェフはいないと熱望する社長が、3カ月間待つ"&amp;"と言っているという。光子は、そんなに待たせるつもりはないと断言する。  　そうはいっても、給食作りでの苦戦は続いていた。その様子を映したテレビ番組は、相変わらず人気で、篠田(小泉孝太郎)も光子の動向を気にしていた。そんな折、親子で一緒に給食を食べる行事が行われることになり、メインがナポリタンだと発表された。親子ともに「最高においしい」と言わせるために、光子はやる気満々に。ところが、小松(荒川良々)から、子供向けに作ったものを最後に大人向けに調味するのだと聞かされ不快感を示す。今まで同じ料理で味付けを変えた"&amp;"ことはないという光子は、自分なら全く同じ味付けのナポリタンで、大人にも子供にも「最高においしい」と言わせる自信があると胸を張る。")</f>
        <v>　自分が作った給食よりも、コンビニの唐揚げの方が「おいしい」と言われショックを受けた光子(天海祐希)は、自分が作った給食を「最高においしい」と言わせるまで学校に残ると決断。それを聞いた荒木(遠藤憲一)や晴子(川口春奈)らは、光子の料理にかけるプライドに驚きを隠せない。同じ頃、光子を訪ねてフランスのファッションブランド“ミッシェル・ブランショ"の金沢(西村和彦)がやってくる。店舗の最上階にオープンするフレンチレストランのシェフへのオファーは断られたが、光子以上のシェフはいないと熱望する社長が、3カ月間待つと言っているという。光子は、そんなに待たせるつもりはないと断言する。  　そうはいっても、給食作りでの苦戦は続いていた。その様子を映したテレビ番組は、相変わらず人気で、篠田(小泉孝太郎)も光子の動向を気にしていた。そんな折、親子で一緒に給食を食べる行事が行われることになり、メインがナポリタンだと発表された。親子ともに「最高においしい」と言わせるために、光子はやる気満々に。ところが、小松(荒川良々)から、子供向けに作ったものを最後に大人向けに調味するのだと聞かされ不快感を示す。今まで同じ料理で味付けを変えたことはないという光子は、自分なら全く同じ味付けのナポリタンで、大人にも子供にも「最高においしい」と言わせる自信があると胸を張る。</v>
      </c>
      <c r="O372" s="2"/>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row>
    <row r="373" ht="204.75" customHeight="1">
      <c r="A373" s="1">
        <v>1483.0</v>
      </c>
      <c r="B373" s="2" t="s">
        <v>1188</v>
      </c>
      <c r="C373" s="2">
        <f>IFERROR(__xludf.DUMMYFUNCTION("split(B373,""_"")"),1610.0)</f>
        <v>1610</v>
      </c>
      <c r="D373" s="2" t="str">
        <f>IFERROR(__xludf.DUMMYFUNCTION("""COMPUTED_VALUE"""),"CX")</f>
        <v>CX</v>
      </c>
      <c r="E373" s="2" t="str">
        <f>IFERROR(__xludf.DUMMYFUNCTION("""COMPUTED_VALUE"""),"木22")</f>
        <v>木22</v>
      </c>
      <c r="F373" s="2" t="s">
        <v>1189</v>
      </c>
      <c r="G373" s="2" t="s">
        <v>1199</v>
      </c>
      <c r="H373" s="1">
        <v>4.0</v>
      </c>
      <c r="I373" s="1" t="s">
        <v>14</v>
      </c>
      <c r="J373" s="1" t="s">
        <v>86</v>
      </c>
      <c r="K373" s="2" t="s">
        <v>1200</v>
      </c>
      <c r="L373" s="2" t="s">
        <v>1201</v>
      </c>
      <c r="M373" s="2" t="str">
        <f>IFERROR(__xludf.DUMMYFUNCTION("split(split(K373,""天海祐希　"",false),""見られますよ!"",false)"),"番組公式ホームページは、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f>
        <v>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v>
      </c>
      <c r="N373" s="2" t="str">
        <f>IFERROR(__xludf.DUMMYFUNCTION("""COMPUTED_VALUE"""),"三ツ星を取り戻すために自分の店を作ると宣言した光子(天海祐希)は、大工さながらに角材を切り落とし、クギを打ち付けていく。翌朝、光子は、晴子(川口春奈)、小松(荒川良々)らに、自分の店ができたと誇らしげに言う。呼び出された早紀(友近)らテレビクルーや、荒木(遠藤憲一)ら給食チームも見守る中、光子が披露したのは「シェ　ミツコ」という店名と三ツ星が手書きされた看板の付いた屋台だった。三ツ星の料理が屋台で食べられるのだ、と自信満々の光子。昼は給食を作り、夜は屋台でフレンチを出すと言う。  一方、荒木は献立作りに頭"&amp;"を悩ませていた。食品構成上、豆料理をメニューに組み込まなければならないが、豆を使った料理は子供に不人気で残食率が高くなるからだ。光子は、屋台でも最高の料理を出すべく準備を進め、ついに店をオープンさせた。ところが、宣伝不足や1万5000円のお任せコースのみという設定もあり、いくら待っても客が来ない。初日は、酔っ払いのサラリーマン・迫田(飯尾和樹)だけだった。その様子をみて早紀はあることを思いつく。一方、篠田(小泉孝太郎)は、シェフ・奥寺(豊原功補)のもと再開した「ラ・キュイジーヌ・ドゥ・ラ・レーヌ」の経営が"&amp;"順調であることに満足しながらも光子の屋台の様子が気になっていた。数日後の朝、光子は荒木が決めた「五目豆とじゃがいもの煮込み」を、最高においしくする方法を見つけたと目を輝かせる。")</f>
        <v>三ツ星を取り戻すために自分の店を作ると宣言した光子(天海祐希)は、大工さながらに角材を切り落とし、クギを打ち付けていく。翌朝、光子は、晴子(川口春奈)、小松(荒川良々)らに、自分の店ができたと誇らしげに言う。呼び出された早紀(友近)らテレビクルーや、荒木(遠藤憲一)ら給食チームも見守る中、光子が披露したのは「シェ　ミツコ」という店名と三ツ星が手書きされた看板の付いた屋台だった。三ツ星の料理が屋台で食べられるのだ、と自信満々の光子。昼は給食を作り、夜は屋台でフレンチを出すと言う。  一方、荒木は献立作りに頭を悩ませていた。食品構成上、豆料理をメニューに組み込まなければならないが、豆を使った料理は子供に不人気で残食率が高くなるからだ。光子は、屋台でも最高の料理を出すべく準備を進め、ついに店をオープンさせた。ところが、宣伝不足や1万5000円のお任せコースのみという設定もあり、いくら待っても客が来ない。初日は、酔っ払いのサラリーマン・迫田(飯尾和樹)だけだった。その様子をみて早紀はあることを思いつく。一方、篠田(小泉孝太郎)は、シェフ・奥寺(豊原功補)のもと再開した「ラ・キュイジーヌ・ドゥ・ラ・レーヌ」の経営が順調であることに満足しながらも光子の屋台の様子が気になっていた。数日後の朝、光子は荒木が決めた「五目豆とじゃがいもの煮込み」を、最高においしくする方法を見つけたと目を輝かせる。</v>
      </c>
      <c r="O373" s="2"/>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row>
    <row r="374" ht="204.75" customHeight="1">
      <c r="A374" s="1">
        <v>1484.0</v>
      </c>
      <c r="B374" s="2" t="s">
        <v>1188</v>
      </c>
      <c r="C374" s="2">
        <f>IFERROR(__xludf.DUMMYFUNCTION("split(B374,""_"")"),1610.0)</f>
        <v>1610</v>
      </c>
      <c r="D374" s="2" t="str">
        <f>IFERROR(__xludf.DUMMYFUNCTION("""COMPUTED_VALUE"""),"CX")</f>
        <v>CX</v>
      </c>
      <c r="E374" s="2" t="str">
        <f>IFERROR(__xludf.DUMMYFUNCTION("""COMPUTED_VALUE"""),"木22")</f>
        <v>木22</v>
      </c>
      <c r="F374" s="2" t="s">
        <v>1189</v>
      </c>
      <c r="G374" s="2" t="s">
        <v>1202</v>
      </c>
      <c r="H374" s="1">
        <v>5.0</v>
      </c>
      <c r="I374" s="1" t="s">
        <v>17</v>
      </c>
      <c r="J374" s="1" t="s">
        <v>86</v>
      </c>
      <c r="K374" s="2" t="s">
        <v>1203</v>
      </c>
      <c r="L374" s="2" t="s">
        <v>1204</v>
      </c>
      <c r="M374" s="2" t="str">
        <f>IFERROR(__xludf.DUMMYFUNCTION("split(split(K374,""天海祐希　"",false),""見られますよ!"",false)"),"番組公式ホームページは、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f>
        <v>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v>
      </c>
      <c r="N374" s="2" t="str">
        <f>IFERROR(__xludf.DUMMYFUNCTION("""COMPUTED_VALUE"""),"　光子(天海祐希)は、屋台の看板メニューにしたい鴨を、篠田(小泉孝太郎)に買い占められてしまった。同じころ、荒木(遠藤憲一)は、環境の変化や天候不順による魚と野菜の高騰に頭を悩ませていた。食材の値段が上がると給食の予算にはまらなくなってしまうからだ。小松(荒川良々)らは、授業の影響の少ない日に給食を休んではどうかと提案するが、荒木は300人の客がいるのに店を閉めるわけにはいかないと一蹴する。　荒木のあきらめない姿勢に触発された光子は、再び市場を訪れ鴨を売ってくれと卸売業者に声をかけるが、相手にされない。業"&amp;"者たちの強固な態度に光子が帰ろうとした時、ひとりの業者がある精肉店の名前を口にした。一方の荒木も、市場で予算の範囲で買える魚を探していた。給食のルールでは一定の量の魚を献立に組み入れなければならないのだった。本来はサワラが欲しいのだが、現状の予算で買えたのは、味にクセのあるサメだった。  　晴子(川口春奈)らを前にした荒木は、小松の活躍で通常よりも安く仕入れた野菜とサメで、子供たちが食べられる代案レシピを考えると言った。日高(池田成志)、馬場(市川しんぺー)、敏子(伊藤修子)らも意見を出す。早紀(友近)は"&amp;"、篠田からレストランに関する計画を聞かされる。やがて、荒木が考えた代案レシピが完成し、光子も興味を示す。ところが試食をした光子は「マズい」と言い放つ。")</f>
        <v>　光子(天海祐希)は、屋台の看板メニューにしたい鴨を、篠田(小泉孝太郎)に買い占められてしまった。同じころ、荒木(遠藤憲一)は、環境の変化や天候不順による魚と野菜の高騰に頭を悩ませていた。食材の値段が上がると給食の予算にはまらなくなってしまうからだ。小松(荒川良々)らは、授業の影響の少ない日に給食を休んではどうかと提案するが、荒木は300人の客がいるのに店を閉めるわけにはいかないと一蹴する。　荒木のあきらめない姿勢に触発された光子は、再び市場を訪れ鴨を売ってくれと卸売業者に声をかけるが、相手にされない。業者たちの強固な態度に光子が帰ろうとした時、ひとりの業者がある精肉店の名前を口にした。一方の荒木も、市場で予算の範囲で買える魚を探していた。給食のルールでは一定の量の魚を献立に組み入れなければならないのだった。本来はサワラが欲しいのだが、現状の予算で買えたのは、味にクセのあるサメだった。  　晴子(川口春奈)らを前にした荒木は、小松の活躍で通常よりも安く仕入れた野菜とサメで、子供たちが食べられる代案レシピを考えると言った。日高(池田成志)、馬場(市川しんぺー)、敏子(伊藤修子)らも意見を出す。早紀(友近)は、篠田からレストランに関する計画を聞かされる。やがて、荒木が考えた代案レシピが完成し、光子も興味を示す。ところが試食をした光子は「マズい」と言い放つ。</v>
      </c>
      <c r="O374" s="2"/>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row>
    <row r="375" ht="204.75" customHeight="1">
      <c r="A375" s="1">
        <v>1485.0</v>
      </c>
      <c r="B375" s="2" t="s">
        <v>1188</v>
      </c>
      <c r="C375" s="2">
        <f>IFERROR(__xludf.DUMMYFUNCTION("split(B375,""_"")"),1610.0)</f>
        <v>1610</v>
      </c>
      <c r="D375" s="2" t="str">
        <f>IFERROR(__xludf.DUMMYFUNCTION("""COMPUTED_VALUE"""),"CX")</f>
        <v>CX</v>
      </c>
      <c r="E375" s="2" t="str">
        <f>IFERROR(__xludf.DUMMYFUNCTION("""COMPUTED_VALUE"""),"木22")</f>
        <v>木22</v>
      </c>
      <c r="F375" s="2" t="s">
        <v>1189</v>
      </c>
      <c r="G375" s="2" t="s">
        <v>1205</v>
      </c>
      <c r="H375" s="1">
        <v>6.0</v>
      </c>
      <c r="I375" s="1" t="s">
        <v>21</v>
      </c>
      <c r="J375" s="1" t="s">
        <v>86</v>
      </c>
      <c r="K375" s="2" t="s">
        <v>1206</v>
      </c>
      <c r="L375" s="2" t="s">
        <v>1207</v>
      </c>
      <c r="M375" s="2" t="str">
        <f>IFERROR(__xludf.DUMMYFUNCTION("split(split(K375,""天海祐希　"",false),""見られますよ!"",false)"),"番組公式ホームページは、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f>
        <v>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v>
      </c>
      <c r="N375" s="2" t="str">
        <f>IFERROR(__xludf.DUMMYFUNCTION("""COMPUTED_VALUE"""),"　光子(天海祐希)が、1品しか出せないという屋台のメニューに選んだ鴨のコンフィは、999円という価格、二流の鴨の欠点を感じさせない洗練されたカレー風味が受け、大人気となっていた。同じ頃、篠田(小泉孝太郎)は、三ツ星レストランの味を手頃な値段で楽しめる新店舗「ネオ・ビストロ・ラ・レーヌ」のオープンを控え、メニューの最終調整をしていた。そこへ、新人スタッフが光子の鴨のコンフィを購入し持ってくる。シェフの奥寺(豊原功補)とともにそれを食べた篠田は、想像以上のおいしさに衝撃を受ける。  　一方、荒木(遠藤憲一)が"&amp;"作った給食の献立に、オニオングラタンスープがあると気づいた光子はテンションがあがる。自分にとって特別な一品だという光子に、荒木は高級食材を使ったスープではダメだと警告。しかし光子は、三ツ星レストランのレシピとまったく同じで給食の予算にはめられる上に、絶対子供が大好きな味だと自信満々。すると、晴子(川口春奈)が、子供の好みに関心のない光子が作るオニオングラタンスープよりはるかにおいしい、特別なレシピで作るオニオングラタンスープを知っていると言った。光子は、自分のスープを食べたら考えが変わると余裕を見せるが、"&amp;"晴子は絶対に変わらないと譲らない。翌朝、晴子が調理室に入ると、光子がスープの下ごしらえをしていた。光子がスープについて話すうち、晴子の顔が曇り、怒りをあらわにするようになる。")</f>
        <v>　光子(天海祐希)が、1品しか出せないという屋台のメニューに選んだ鴨のコンフィは、999円という価格、二流の鴨の欠点を感じさせない洗練されたカレー風味が受け、大人気となっていた。同じ頃、篠田(小泉孝太郎)は、三ツ星レストランの味を手頃な値段で楽しめる新店舗「ネオ・ビストロ・ラ・レーヌ」のオープンを控え、メニューの最終調整をしていた。そこへ、新人スタッフが光子の鴨のコンフィを購入し持ってくる。シェフの奥寺(豊原功補)とともにそれを食べた篠田は、想像以上のおいしさに衝撃を受ける。  　一方、荒木(遠藤憲一)が作った給食の献立に、オニオングラタンスープがあると気づいた光子はテンションがあがる。自分にとって特別な一品だという光子に、荒木は高級食材を使ったスープではダメだと警告。しかし光子は、三ツ星レストランのレシピとまったく同じで給食の予算にはめられる上に、絶対子供が大好きな味だと自信満々。すると、晴子(川口春奈)が、子供の好みに関心のない光子が作るオニオングラタンスープよりはるかにおいしい、特別なレシピで作るオニオングラタンスープを知っていると言った。光子は、自分のスープを食べたら考えが変わると余裕を見せるが、晴子は絶対に変わらないと譲らない。翌朝、晴子が調理室に入ると、光子がスープの下ごしらえをしていた。光子がスープについて話すうち、晴子の顔が曇り、怒りをあらわにするようになる。</v>
      </c>
      <c r="O375" s="2"/>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row>
    <row r="376" ht="204.75" customHeight="1">
      <c r="A376" s="1">
        <v>1486.0</v>
      </c>
      <c r="B376" s="2" t="s">
        <v>1188</v>
      </c>
      <c r="C376" s="2">
        <f>IFERROR(__xludf.DUMMYFUNCTION("split(B376,""_"")"),1610.0)</f>
        <v>1610</v>
      </c>
      <c r="D376" s="2" t="str">
        <f>IFERROR(__xludf.DUMMYFUNCTION("""COMPUTED_VALUE"""),"CX")</f>
        <v>CX</v>
      </c>
      <c r="E376" s="2" t="str">
        <f>IFERROR(__xludf.DUMMYFUNCTION("""COMPUTED_VALUE"""),"木22")</f>
        <v>木22</v>
      </c>
      <c r="F376" s="2" t="s">
        <v>1189</v>
      </c>
      <c r="G376" s="2" t="s">
        <v>1208</v>
      </c>
      <c r="H376" s="1">
        <v>7.0</v>
      </c>
      <c r="I376" s="1" t="s">
        <v>25</v>
      </c>
      <c r="J376" s="1" t="s">
        <v>86</v>
      </c>
      <c r="K376" s="2" t="s">
        <v>1209</v>
      </c>
      <c r="L376" s="2" t="s">
        <v>1210</v>
      </c>
      <c r="M376" s="2" t="str">
        <f>IFERROR(__xludf.DUMMYFUNCTION("split(split(K376,""天海祐希　"",false),""見られますよ!"",false)"),"番組公式ホームページは、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f>
        <v>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v>
      </c>
      <c r="N376" s="2" t="str">
        <f>IFERROR(__xludf.DUMMYFUNCTION("""COMPUTED_VALUE"""),"光子(天海祐希)が999円の「鴨のコンフィ」一品で勝負する屋台は、連日行列ができる盛況ぶり。一方、篠田(小泉孝太郎)がオープンした「ネオ・ビストロ・ラ・レーヌ」も、若い客たちで賑わっていた。本家の「ラ・キュイジーヌ・ドゥ・ラ・レーヌ」も、相変わらず予約は3年待ちという人気で、篠田はご機嫌だった。早紀(友近)から「ネオ・ビストロ」の2号店をどこに出すのかと聞かれると、光子がいつも最高のヒントをくれるのだ、と不敵な笑みを見せる。  小学校では、荒木(遠藤憲一)が、子どもたちに人気の「魚と野菜のハンバーグ」を改"&amp;"良すると言う。すでに人気のメニューを変える必要はないのでは、と晴子(川口春奈)が聞くと、子どもたちが野菜と魚を食べさせるためのメニューだと気が付いて残す量が少し増えてきたことを受けて、さらに残食率を下げるための新しいメニューが必要だと荒木は返した。現状に満足せず、新メニューを考え始めた給食チームに、光子は、自分も屋台の新メニューを考案中だと明かす。  そんな折、光子が屋台の準備に向かおうとすると、目の前に巨大なキッチンカーが止まった。降り立ったのは篠田で、今日から光子と同業者だと告げた。「ラ・レーヌ」の新"&amp;"事業は「ネオ・ビストロ」のコンセプトを進化させたフレンチ屋台「スタンド・ラ・レーヌ」だと言う。屋台での経験は自分が上だと言う光子に、篠田は屋台には屋台のルールがあると笑みを浮かべる。")</f>
        <v>光子(天海祐希)が999円の「鴨のコンフィ」一品で勝負する屋台は、連日行列ができる盛況ぶり。一方、篠田(小泉孝太郎)がオープンした「ネオ・ビストロ・ラ・レーヌ」も、若い客たちで賑わっていた。本家の「ラ・キュイジーヌ・ドゥ・ラ・レーヌ」も、相変わらず予約は3年待ちという人気で、篠田はご機嫌だった。早紀(友近)から「ネオ・ビストロ」の2号店をどこに出すのかと聞かれると、光子がいつも最高のヒントをくれるのだ、と不敵な笑みを見せる。  小学校では、荒木(遠藤憲一)が、子どもたちに人気の「魚と野菜のハンバーグ」を改良すると言う。すでに人気のメニューを変える必要はないのでは、と晴子(川口春奈)が聞くと、子どもたちが野菜と魚を食べさせるためのメニューだと気が付いて残す量が少し増えてきたことを受けて、さらに残食率を下げるための新しいメニューが必要だと荒木は返した。現状に満足せず、新メニューを考え始めた給食チームに、光子は、自分も屋台の新メニューを考案中だと明かす。  そんな折、光子が屋台の準備に向かおうとすると、目の前に巨大なキッチンカーが止まった。降り立ったのは篠田で、今日から光子と同業者だと告げた。「ラ・レーヌ」の新事業は「ネオ・ビストロ」のコンセプトを進化させたフレンチ屋台「スタンド・ラ・レーヌ」だと言う。屋台での経験は自分が上だと言う光子に、篠田は屋台には屋台のルールがあると笑みを浮かべる。</v>
      </c>
      <c r="O376" s="2"/>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row>
    <row r="377" ht="204.75" customHeight="1">
      <c r="A377" s="1">
        <v>1487.0</v>
      </c>
      <c r="B377" s="2" t="s">
        <v>1188</v>
      </c>
      <c r="C377" s="2">
        <f>IFERROR(__xludf.DUMMYFUNCTION("split(B377,""_"")"),1610.0)</f>
        <v>1610</v>
      </c>
      <c r="D377" s="2" t="str">
        <f>IFERROR(__xludf.DUMMYFUNCTION("""COMPUTED_VALUE"""),"CX")</f>
        <v>CX</v>
      </c>
      <c r="E377" s="2" t="str">
        <f>IFERROR(__xludf.DUMMYFUNCTION("""COMPUTED_VALUE"""),"木22")</f>
        <v>木22</v>
      </c>
      <c r="F377" s="2" t="s">
        <v>1189</v>
      </c>
      <c r="G377" s="2" t="s">
        <v>1211</v>
      </c>
      <c r="H377" s="1">
        <v>8.0</v>
      </c>
      <c r="I377" s="1" t="s">
        <v>29</v>
      </c>
      <c r="J377" s="1" t="s">
        <v>86</v>
      </c>
      <c r="K377" s="2" t="s">
        <v>1212</v>
      </c>
      <c r="L377" s="2" t="s">
        <v>1213</v>
      </c>
      <c r="M377" s="2" t="str">
        <f>IFERROR(__xludf.DUMMYFUNCTION("split(split(K377,""天海祐希　"",false),""見られますよ!"",false)"),"番組公式ホームページは、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f>
        <v>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v>
      </c>
      <c r="N377" s="2" t="str">
        <f>IFERROR(__xludf.DUMMYFUNCTION("""COMPUTED_VALUE"""),"小学校で、1学期に1度の「お楽しみ給食」の日がやってきた。メニューは、荒木(遠藤憲一)特製のピザトーストとコーンポタージュで、前学期に子供たちに人気だったものだ。光子(天海祐希)は、自分が作れば何倍もおいしくなると豪語。荒木も、それならやってみろ、と応じる。早速、さまざまな工夫を織り交ぜ調理の準備に入る光子に、晴子(川口春奈)も、さらにおいしくなりそうだと興味を寄せる。  そのころ、厳しい審査基準で知られる世界的な料理雑誌が主催するレストランの格付けの発表が迫り、3年連続で三ツ星を獲得している「ラ・キュイ"&amp;"ジーヌ・ドゥ・ラ・レーヌ」が、光子なき後で、再び三ツ星を維持できるかが注目されていた。早紀(友近)は番組で大々的に取り上げたいと考えていた。一方、「ラ・キュイジーヌ・ドゥ・ラ・レーヌ」では、シェフ・奥寺(豊原功補)が、三ツ星を維持するために、例のメニューを出し始めるかと篠田(小泉孝太郎)に聞いていた。篠田は施錠された机から取り出したレシピを渡すと試作するよう命じた。  「お楽しみ給食」を作り始めようとした時、調理室エリアを含む学校のすべての水道から茶色の水が出ていることが分かった。検査すると、水道管工事の"&amp;"影響でさびが出たと判明。校長は子供たちを帰宅させ給食も中止にすると言った。水がなければ調理も、野菜を洗うこともできない。中止は当然と思われたが、光子は給食は休まないと宣言する。")</f>
        <v>小学校で、1学期に1度の「お楽しみ給食」の日がやってきた。メニューは、荒木(遠藤憲一)特製のピザトーストとコーンポタージュで、前学期に子供たちに人気だったものだ。光子(天海祐希)は、自分が作れば何倍もおいしくなると豪語。荒木も、それならやってみろ、と応じる。早速、さまざまな工夫を織り交ぜ調理の準備に入る光子に、晴子(川口春奈)も、さらにおいしくなりそうだと興味を寄せる。  そのころ、厳しい審査基準で知られる世界的な料理雑誌が主催するレストランの格付けの発表が迫り、3年連続で三ツ星を獲得している「ラ・キュイジーヌ・ドゥ・ラ・レーヌ」が、光子なき後で、再び三ツ星を維持できるかが注目されていた。早紀(友近)は番組で大々的に取り上げたいと考えていた。一方、「ラ・キュイジーヌ・ドゥ・ラ・レーヌ」では、シェフ・奥寺(豊原功補)が、三ツ星を維持するために、例のメニューを出し始めるかと篠田(小泉孝太郎)に聞いていた。篠田は施錠された机から取り出したレシピを渡すと試作するよう命じた。  「お楽しみ給食」を作り始めようとした時、調理室エリアを含む学校のすべての水道から茶色の水が出ていることが分かった。検査すると、水道管工事の影響でさびが出たと判明。校長は子供たちを帰宅させ給食も中止にすると言った。水がなければ調理も、野菜を洗うこともできない。中止は当然と思われたが、光子は給食は休まないと宣言する。</v>
      </c>
      <c r="O377" s="2"/>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row>
    <row r="378" ht="204.75" customHeight="1">
      <c r="A378" s="1">
        <v>1488.0</v>
      </c>
      <c r="B378" s="2" t="s">
        <v>1188</v>
      </c>
      <c r="C378" s="2">
        <f>IFERROR(__xludf.DUMMYFUNCTION("split(B378,""_"")"),1610.0)</f>
        <v>1610</v>
      </c>
      <c r="D378" s="2" t="str">
        <f>IFERROR(__xludf.DUMMYFUNCTION("""COMPUTED_VALUE"""),"CX")</f>
        <v>CX</v>
      </c>
      <c r="E378" s="2" t="str">
        <f>IFERROR(__xludf.DUMMYFUNCTION("""COMPUTED_VALUE"""),"木22")</f>
        <v>木22</v>
      </c>
      <c r="F378" s="2" t="s">
        <v>1189</v>
      </c>
      <c r="G378" s="2" t="s">
        <v>1214</v>
      </c>
      <c r="H378" s="1">
        <v>9.0</v>
      </c>
      <c r="I378" s="1" t="s">
        <v>33</v>
      </c>
      <c r="J378" s="1" t="s">
        <v>86</v>
      </c>
      <c r="K378" s="2" t="s">
        <v>1215</v>
      </c>
      <c r="L378" s="2" t="s">
        <v>1216</v>
      </c>
      <c r="M378" s="2" t="str">
        <f>IFERROR(__xludf.DUMMYFUNCTION("split(split(K378,""天海祐希　"",false),""見られますよ!"",false)"),"光子(天海祐希)の屋台に現れた奥寺(豊原功補)は、光子に頭を下げると助けてほしいと言った。世界的な料理雑誌が主催するレストランの格付け審査が迫る中、今年新作を発表していない「ラ・キュイジーヌ・ドゥ・ラ・レーヌ」は、このままでは審査で最も重要な「料理の独創性」がクリアできない。そこで篠田(小泉孝太郎)は、光子の未発表のレシピ「三種の神器のトゥルト」を出すと決断。早速、奥寺が試作したが難易度が高く料理を完成できないと明かした。すると光子は、火加減の細かい指示など具体的な調理のポイントを教える。なぜ結果的に光子"&amp;"を裏切った形になった自分に教えてくれるのかと聞く奥寺に、自分は「三種の神器を超える」料理をいくらでも生み出せるからだと答えた。  そんな頃、小学校では「地産地消イベント」の一環で、給食に地元で取れたセロリを使うことが決まった。荒木(遠藤憲一)は、来週にでもメニューに組み込みたいと言うが、セロリは子供たちに不人気で、残食率が高く“残食王""の異名を取るという。それを聞いた光子は、残食王の汚名を晴らしてやると奮い立つ。ところが数日後、光子は荒木に呼び出され自宅に行くと、晴子(川口春奈)ら給食チームがぼうぜんと"&amp;"していた。荒木は、年内で三つ葉小学校の給食が給食センターに移行し、学校内での調理ができなくなると告げた。作業は民間委託になるため、調理師補助は全員クビ。突然のことに驚く光子は…。")</f>
        <v>光子(天海祐希)の屋台に現れた奥寺(豊原功補)は、光子に頭を下げると助けてほしいと言った。世界的な料理雑誌が主催するレストランの格付け審査が迫る中、今年新作を発表していない「ラ・キュイジーヌ・ドゥ・ラ・レーヌ」は、このままでは審査で最も重要な「料理の独創性」がクリアできない。そこで篠田(小泉孝太郎)は、光子の未発表のレシピ「三種の神器のトゥルト」を出すと決断。早速、奥寺が試作したが難易度が高く料理を完成できないと明かした。すると光子は、火加減の細かい指示など具体的な調理のポイントを教える。なぜ結果的に光子を裏切った形になった自分に教えてくれるのかと聞く奥寺に、自分は「三種の神器を超える」料理をいくらでも生み出せるからだと答えた。  そんな頃、小学校では「地産地消イベント」の一環で、給食に地元で取れたセロリを使うことが決まった。荒木(遠藤憲一)は、来週にでもメニューに組み込みたいと言うが、セロリは子供たちに不人気で、残食率が高く“残食王"の異名を取るという。それを聞いた光子は、残食王の汚名を晴らしてやると奮い立つ。ところが数日後、光子は荒木に呼び出され自宅に行くと、晴子(川口春奈)ら給食チームがぼうぜんとしていた。荒木は、年内で三つ葉小学校の給食が給食センターに移行し、学校内での調理ができなくなると告げた。作業は民間委託になるため、調理師補助は全員クビ。突然のことに驚く光子は…。</v>
      </c>
      <c r="N378" s="2"/>
      <c r="O378" s="2"/>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row>
    <row r="379" ht="204.75" customHeight="1">
      <c r="A379" s="1">
        <v>1489.0</v>
      </c>
      <c r="B379" s="2" t="s">
        <v>1188</v>
      </c>
      <c r="C379" s="2">
        <f>IFERROR(__xludf.DUMMYFUNCTION("split(B379,""_"")"),1610.0)</f>
        <v>1610</v>
      </c>
      <c r="D379" s="2" t="str">
        <f>IFERROR(__xludf.DUMMYFUNCTION("""COMPUTED_VALUE"""),"CX")</f>
        <v>CX</v>
      </c>
      <c r="E379" s="2" t="str">
        <f>IFERROR(__xludf.DUMMYFUNCTION("""COMPUTED_VALUE"""),"木22")</f>
        <v>木22</v>
      </c>
      <c r="F379" s="2" t="s">
        <v>1189</v>
      </c>
      <c r="G379" s="2" t="s">
        <v>1217</v>
      </c>
      <c r="H379" s="1">
        <v>10.0</v>
      </c>
      <c r="I379" s="1" t="s">
        <v>37</v>
      </c>
      <c r="J379" s="1" t="s">
        <v>86</v>
      </c>
      <c r="K379" s="2" t="s">
        <v>1218</v>
      </c>
      <c r="L379" s="2" t="s">
        <v>1219</v>
      </c>
      <c r="M379" s="2" t="str">
        <f>IFERROR(__xludf.DUMMYFUNCTION("split(split(K379,""天海祐希　"",false),""見られますよ!"",false)"),"番組公式ホームページは、　http://www.fujitv.co.jp/Chef/　  ここでしか見られないインタビューはもちろん、キャラクター紹介、そしてオリジナルコンテンツが目白押しです!    番組公式twitterは、　https://twitter.com/Chef_fuji　  撮影現場での裏話やキャストの素顔などが")</f>
        <v>番組公式ホームページは、　http://www.fujitv.co.jp/Chef/　  ここでしか見られないインタビューはもちろん、キャラクター紹介、そしてオリジナルコンテンツが目白押しです!    番組公式twitterは、　https://twitter.com/Chef_fuji　  撮影現場での裏話やキャストの素顔などが</v>
      </c>
      <c r="N379" s="2" t="str">
        <f>IFERROR(__xludf.DUMMYFUNCTION("""COMPUTED_VALUE"""),"篠田(小泉孝太郎)から「ラ・キュイジーヌ・ドゥ・ラ・レーヌ」に戻ってほしいと頼まれた光子(天海祐希)は、自分を追い出しておいて今さら身勝手な言い分だと反発する。しかし篠田は意外な告白をして、光子が輝けるのは三ツ星のステージだと言い残して去って行く。予想もしなかった篠田の言葉に、光子も内心揺れ動く。そんなふたりのやりとりを、晴子(川口春奈)が目撃する。  荒木(遠藤憲一)は、校長・坂東(春風ひとみ)とともに市長を訪ね、学校で開催する「給食の地産地消イベント」に来てほしいと要請する。荒木は、うちの給食は世界一"&amp;"だと言ってしまう。イベントまで1週間となった頃、給食で使用する地元野菜のサンプルが届けられた。しいたけ、ピーマン、ネギ、セロリで、光子は、どれも最高の食材だと目を輝かせるが、荒木らは絶句。それは「残食四天王」と言われる、子どもが最も苦手な野菜だった。これを最高においしくすることが、給食をアピールする絶好のチャンスだと光子は言うが、荒木のメニュー作りは難航。3日前になっても、しいたけを使ったメインのメニューが決まらない。早紀(友近)は、イベントを盛り上げるべく、イベントをアピールする動画を制作してネット上で"&amp;"流すことを提案する。一方、奥寺(豊原功補)は光子のアドバイスを受けて「三種の神器のトゥルト」の改良に取り組んでいた。イベントが迫ったある夜、光子は篠田と向かい合い…。")</f>
        <v>篠田(小泉孝太郎)から「ラ・キュイジーヌ・ドゥ・ラ・レーヌ」に戻ってほしいと頼まれた光子(天海祐希)は、自分を追い出しておいて今さら身勝手な言い分だと反発する。しかし篠田は意外な告白をして、光子が輝けるのは三ツ星のステージだと言い残して去って行く。予想もしなかった篠田の言葉に、光子も内心揺れ動く。そんなふたりのやりとりを、晴子(川口春奈)が目撃する。  荒木(遠藤憲一)は、校長・坂東(春風ひとみ)とともに市長を訪ね、学校で開催する「給食の地産地消イベント」に来てほしいと要請する。荒木は、うちの給食は世界一だと言ってしまう。イベントまで1週間となった頃、給食で使用する地元野菜のサンプルが届けられた。しいたけ、ピーマン、ネギ、セロリで、光子は、どれも最高の食材だと目を輝かせるが、荒木らは絶句。それは「残食四天王」と言われる、子どもが最も苦手な野菜だった。これを最高においしくすることが、給食をアピールする絶好のチャンスだと光子は言うが、荒木のメニュー作りは難航。3日前になっても、しいたけを使ったメインのメニューが決まらない。早紀(友近)は、イベントを盛り上げるべく、イベントをアピールする動画を制作してネット上で流すことを提案する。一方、奥寺(豊原功補)は光子のアドバイスを受けて「三種の神器のトゥルト」の改良に取り組んでいた。イベントが迫ったある夜、光子は篠田と向かい合い…。</v>
      </c>
      <c r="O379" s="2"/>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row>
    <row r="380" ht="204.75" customHeight="1">
      <c r="A380" s="1">
        <v>1516.0</v>
      </c>
      <c r="B380" s="2" t="s">
        <v>1220</v>
      </c>
      <c r="C380" s="2">
        <f>IFERROR(__xludf.DUMMYFUNCTION("split(B380,""_"")"),1610.0)</f>
        <v>1610</v>
      </c>
      <c r="D380" s="2" t="str">
        <f>IFERROR(__xludf.DUMMYFUNCTION("""COMPUTED_VALUE"""),"CX")</f>
        <v>CX</v>
      </c>
      <c r="E380" s="2" t="str">
        <f>IFERROR(__xludf.DUMMYFUNCTION("""COMPUTED_VALUE"""),"日21")</f>
        <v>日21</v>
      </c>
      <c r="F380" s="2" t="s">
        <v>1221</v>
      </c>
      <c r="G380" s="2" t="s">
        <v>1222</v>
      </c>
      <c r="H380" s="1">
        <v>1.0</v>
      </c>
      <c r="I380" s="1" t="s">
        <v>3</v>
      </c>
      <c r="J380" s="1" t="s">
        <v>4</v>
      </c>
      <c r="K380" s="2" t="s">
        <v>1223</v>
      </c>
      <c r="L380" s="2" t="s">
        <v>1224</v>
      </c>
      <c r="M380" s="2" t="str">
        <f>IFERROR(__xludf.DUMMYFUNCTION("split(split(K380,""遠山金志郎(36)"",false),""@CAREER_fujitv"",false)"),"ホームページ　  http://www.fujitv.co.jp/career/　    ツイッター　  ")</f>
        <v>ホームページ　  http://www.fujitv.co.jp/career/　    ツイッター　  </v>
      </c>
      <c r="N380" s="2" t="str">
        <f>IFERROR(__xludf.DUMMYFUNCTION("""COMPUTED_VALUE"""),"　北町署に新たなキャリア署長が就任する日、署員は歓迎式の準備もあって浮ついていた。同じころ、市民の乗ったバスが男にジャックされる。しかし男の持ち物から事前に犯行を察知していた遠山金志郎(玉木宏)は犯人を説得し、バスごと北町署に横づけさせて見事に事件を解決してしまう。彼こそが、北町署の新署長だったー。  　キャリアらしくない金志郎は、叩き上げの刑事・南洋三(高嶋政宏)や女性刑事の相川実里(瀧本美織)、副署長の半田順二(柳沢慎吾)らに気軽に接する。キャリアらしからぬ金志郎の振る舞いに戸惑う刑事たち。昔の事件が"&amp;"きっかけでキャリアに対して反発心を抱くようになった南は、金志郎が気に入らない。  　そのころ南たちは、指名手配中の連続強盗殺人犯・谷口を追っていた。谷口は現金1億円を持って逃走していた。刑事課にふらっとやってきた金志郎は、被害通報件数No.1の落書きを捜査すべきだと提案する。落書きを取り締まって治安が回復したという海外の例を持ち出し、ついには刑事の勘で「落書きと手配犯が繋がる」と言い出す。南は、現場への口出しは無用、と言って取り合わない。  　制服を脱ぎ捨て普段着で街に出た金志郎は、勝手に落書きの捜査を始"&amp;"める。といっても、単なる落書き消し。手配犯の捜査から外され、金志郎の案内係を命じられた実里は不満を隠せない。そんな中、街中の落書きにあるメッセージが隠されていることがわかり…。")</f>
        <v>　北町署に新たなキャリア署長が就任する日、署員は歓迎式の準備もあって浮ついていた。同じころ、市民の乗ったバスが男にジャックされる。しかし男の持ち物から事前に犯行を察知していた遠山金志郎(玉木宏)は犯人を説得し、バスごと北町署に横づけさせて見事に事件を解決してしまう。彼こそが、北町署の新署長だったー。  　キャリアらしくない金志郎は、叩き上げの刑事・南洋三(高嶋政宏)や女性刑事の相川実里(瀧本美織)、副署長の半田順二(柳沢慎吾)らに気軽に接する。キャリアらしからぬ金志郎の振る舞いに戸惑う刑事たち。昔の事件がきっかけでキャリアに対して反発心を抱くようになった南は、金志郎が気に入らない。  　そのころ南たちは、指名手配中の連続強盗殺人犯・谷口を追っていた。谷口は現金1億円を持って逃走していた。刑事課にふらっとやってきた金志郎は、被害通報件数No.1の落書きを捜査すべきだと提案する。落書きを取り締まって治安が回復したという海外の例を持ち出し、ついには刑事の勘で「落書きと手配犯が繋がる」と言い出す。南は、現場への口出しは無用、と言って取り合わない。  　制服を脱ぎ捨て普段着で街に出た金志郎は、勝手に落書きの捜査を始める。といっても、単なる落書き消し。手配犯の捜査から外され、金志郎の案内係を命じられた実里は不満を隠せない。そんな中、街中の落書きにあるメッセージが隠されていることがわかり…。</v>
      </c>
      <c r="O380" s="2"/>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row>
    <row r="381" ht="204.75" customHeight="1">
      <c r="A381" s="1">
        <v>1517.0</v>
      </c>
      <c r="B381" s="2" t="s">
        <v>1220</v>
      </c>
      <c r="C381" s="2">
        <f>IFERROR(__xludf.DUMMYFUNCTION("split(B381,""_"")"),1610.0)</f>
        <v>1610</v>
      </c>
      <c r="D381" s="2" t="str">
        <f>IFERROR(__xludf.DUMMYFUNCTION("""COMPUTED_VALUE"""),"CX")</f>
        <v>CX</v>
      </c>
      <c r="E381" s="2" t="str">
        <f>IFERROR(__xludf.DUMMYFUNCTION("""COMPUTED_VALUE"""),"日21")</f>
        <v>日21</v>
      </c>
      <c r="F381" s="2" t="s">
        <v>1221</v>
      </c>
      <c r="G381" s="2" t="s">
        <v>1225</v>
      </c>
      <c r="H381" s="1">
        <v>2.0</v>
      </c>
      <c r="I381" s="1" t="s">
        <v>7</v>
      </c>
      <c r="J381" s="1" t="s">
        <v>11</v>
      </c>
      <c r="K381" s="2" t="s">
        <v>1226</v>
      </c>
      <c r="L381" s="2" t="s">
        <v>1227</v>
      </c>
      <c r="M381" s="2" t="str">
        <f>IFERROR(__xludf.DUMMYFUNCTION("split(split(K381,""遠山金志郎(36)"",false),""@CAREER_fujitv"",false)"),"ホームページ　  http://www.fujitv.co.jp/career/　    ツイッター　  ")</f>
        <v>ホームページ　  http://www.fujitv.co.jp/career/　    ツイッター　  </v>
      </c>
      <c r="N381" s="2" t="str">
        <f>IFERROR(__xludf.DUMMYFUNCTION("""COMPUTED_VALUE"""),"　北町署で、子どもたちを集めた署内見学会が行われた。発案者はもちろん、署長の遠山金志郎(玉木宏)だ。その案内係を命じられた実里(瀧本美織)は、言うことを聞かない子どもたちに手を焼くばかり。すると、その中のひとり・友樹(松浦理仁)が「これでオオカミ男を捕まえられる?」といって手錠を持ち出し、金志郎と南(高嶋政宏)を手錠でつなぐと、何と手錠の鍵を飲み込んでしまう。幸い友樹にケガはなかったが、鍵は自然に出てくるのを待つしかなく、金志郎と南はしばらく手錠で繋がったままに…。  　そんな騒動の中、金志郎は、女性の悲"&amp;"鳴が聞こえたという通報に目を留める。金志郎は、通報者の女性を北町署に呼んで話を聞いた。その女性によれば、悲鳴は友樹の家でもある大鳥家から聞こえてきたのだという。友樹の母・真理恵(霧島れいか)に会い、彼女が夫からDVを受けているのではないかと疑う実里。  　実はそのころ、南たちは、駅前のマンションで会社社長の愛人が殺害された事件を追っており、社長の弁護士を務める友樹の父親・敦彦(飯田基祐)から証言を得ようとしていた。敦彦にDV疑惑があることを知った南は、いま彼ともめ事を起こすわけにはいかない、と言うと、被害"&amp;"届も出ていない以上何もできないと主張する。「どうしてあげたいですか?」と金志郎から問いかけられた実里は、真理恵の元を訪れるが…。")</f>
        <v>　北町署で、子どもたちを集めた署内見学会が行われた。発案者はもちろん、署長の遠山金志郎(玉木宏)だ。その案内係を命じられた実里(瀧本美織)は、言うことを聞かない子どもたちに手を焼くばかり。すると、その中のひとり・友樹(松浦理仁)が「これでオオカミ男を捕まえられる?」といって手錠を持ち出し、金志郎と南(高嶋政宏)を手錠でつなぐと、何と手錠の鍵を飲み込んでしまう。幸い友樹にケガはなかったが、鍵は自然に出てくるのを待つしかなく、金志郎と南はしばらく手錠で繋がったままに…。  　そんな騒動の中、金志郎は、女性の悲鳴が聞こえたという通報に目を留める。金志郎は、通報者の女性を北町署に呼んで話を聞いた。その女性によれば、悲鳴は友樹の家でもある大鳥家から聞こえてきたのだという。友樹の母・真理恵(霧島れいか)に会い、彼女が夫からDVを受けているのではないかと疑う実里。  　実はそのころ、南たちは、駅前のマンションで会社社長の愛人が殺害された事件を追っており、社長の弁護士を務める友樹の父親・敦彦(飯田基祐)から証言を得ようとしていた。敦彦にDV疑惑があることを知った南は、いま彼ともめ事を起こすわけにはいかない、と言うと、被害届も出ていない以上何もできないと主張する。「どうしてあげたいですか?」と金志郎から問いかけられた実里は、真理恵の元を訪れるが…。</v>
      </c>
      <c r="O381" s="2"/>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row>
    <row r="382" ht="204.75" customHeight="1">
      <c r="A382" s="1">
        <v>1518.0</v>
      </c>
      <c r="B382" s="2" t="s">
        <v>1220</v>
      </c>
      <c r="C382" s="2">
        <f>IFERROR(__xludf.DUMMYFUNCTION("split(B382,""_"")"),1610.0)</f>
        <v>1610</v>
      </c>
      <c r="D382" s="2" t="str">
        <f>IFERROR(__xludf.DUMMYFUNCTION("""COMPUTED_VALUE"""),"CX")</f>
        <v>CX</v>
      </c>
      <c r="E382" s="2" t="str">
        <f>IFERROR(__xludf.DUMMYFUNCTION("""COMPUTED_VALUE"""),"日21")</f>
        <v>日21</v>
      </c>
      <c r="F382" s="2" t="s">
        <v>1221</v>
      </c>
      <c r="G382" s="2" t="s">
        <v>1228</v>
      </c>
      <c r="H382" s="1">
        <v>3.0</v>
      </c>
      <c r="I382" s="1" t="s">
        <v>10</v>
      </c>
      <c r="J382" s="1" t="s">
        <v>11</v>
      </c>
      <c r="K382" s="2" t="s">
        <v>1229</v>
      </c>
      <c r="L382" s="2" t="s">
        <v>1230</v>
      </c>
      <c r="M382" s="2" t="str">
        <f>IFERROR(__xludf.DUMMYFUNCTION("split(split(K382,""遠山金志郎(36)"",false),""@CAREER_fujitv"",false)"),"「SMBCプロ野球日本シリーズ2016　第2戦～野球道～広島×日本ハム」延長の際は、放送時間繰り下げの場合あり。ホームページ　  http://www.fujitv.co.jp/career/　    ツイッター　  ")</f>
        <v>「SMBCプロ野球日本シリーズ2016　第2戦～野球道～広島×日本ハム」延長の際は、放送時間繰り下げの場合あり。ホームページ　  http://www.fujitv.co.jp/career/　    ツイッター　  </v>
      </c>
      <c r="N382" s="2" t="str">
        <f>IFERROR(__xludf.DUMMYFUNCTION("""COMPUTED_VALUE"""),"　金志郎(玉木宏)がオープンカフェの前で知り合った城山(柴田義之)が倒れ病院に緊急搬送された。城山はひとり暮らしの高齢者で、車椅子生活を送っていた。署長室を抜け出した金志郎は、刑事課の南(高嶋政宏)や実里(瀧本美織)を追って搬送先の病院を訪れる。するとそこに、城山が利用していた介護施設で働く女性・奥田百合子(奥菜恵)が知らせを聞いてやってくる。だが、百合子の姿を見た城山の息子(小林博)は、彼女が遺産目当てで父を殺そうとした、と言い出す。実は城山は、百合子に財産を譲るために遺言書を書き換えていた。百合子は、"&amp;"城山宅の合鍵を持っていること、当日も午後3時に城山を送り届けた後、午後6時まで彼の家にいたことを金志郎たちに話す。しかし、城山が遺言書を書き換えたことは知らなかったという。  　南たちとともに百合子が働く介護施設を訪れた金志郎は、入居者の木暮(唐沢民賢)から、百合子が城山宅を出た後、近所の公園まで一緒に散歩に行ったという証言を得る。ふたりが散歩していたのは、百合子が城山の家を出た午後6時から8時半まで。城山が発見されたのは午後8時過ぎだったため、百合子のアリバイは成立していた。それでも南たちが百合子に疑い"&amp;"を向けていることを知った金志郎は、決めつけの捜査が冤罪(えんざい)を生む、と主張する。ところが、公園管理員の証言から、百合子と木暮は公園に来ていなかったことが判明し…。")</f>
        <v>　金志郎(玉木宏)がオープンカフェの前で知り合った城山(柴田義之)が倒れ病院に緊急搬送された。城山はひとり暮らしの高齢者で、車椅子生活を送っていた。署長室を抜け出した金志郎は、刑事課の南(高嶋政宏)や実里(瀧本美織)を追って搬送先の病院を訪れる。するとそこに、城山が利用していた介護施設で働く女性・奥田百合子(奥菜恵)が知らせを聞いてやってくる。だが、百合子の姿を見た城山の息子(小林博)は、彼女が遺産目当てで父を殺そうとした、と言い出す。実は城山は、百合子に財産を譲るために遺言書を書き換えていた。百合子は、城山宅の合鍵を持っていること、当日も午後3時に城山を送り届けた後、午後6時まで彼の家にいたことを金志郎たちに話す。しかし、城山が遺言書を書き換えたことは知らなかったという。  　南たちとともに百合子が働く介護施設を訪れた金志郎は、入居者の木暮(唐沢民賢)から、百合子が城山宅を出た後、近所の公園まで一緒に散歩に行ったという証言を得る。ふたりが散歩していたのは、百合子が城山の家を出た午後6時から8時半まで。城山が発見されたのは午後8時過ぎだったため、百合子のアリバイは成立していた。それでも南たちが百合子に疑いを向けていることを知った金志郎は、決めつけの捜査が冤罪(えんざい)を生む、と主張する。ところが、公園管理員の証言から、百合子と木暮は公園に来ていなかったことが判明し…。</v>
      </c>
      <c r="O382" s="2"/>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row>
    <row r="383" ht="204.75" customHeight="1">
      <c r="A383" s="1">
        <v>1519.0</v>
      </c>
      <c r="B383" s="2" t="s">
        <v>1220</v>
      </c>
      <c r="C383" s="2">
        <f>IFERROR(__xludf.DUMMYFUNCTION("split(B383,""_"")"),1610.0)</f>
        <v>1610</v>
      </c>
      <c r="D383" s="2" t="str">
        <f>IFERROR(__xludf.DUMMYFUNCTION("""COMPUTED_VALUE"""),"CX")</f>
        <v>CX</v>
      </c>
      <c r="E383" s="2" t="str">
        <f>IFERROR(__xludf.DUMMYFUNCTION("""COMPUTED_VALUE"""),"日21")</f>
        <v>日21</v>
      </c>
      <c r="F383" s="2" t="s">
        <v>1221</v>
      </c>
      <c r="G383" s="2" t="s">
        <v>1231</v>
      </c>
      <c r="H383" s="1">
        <v>4.0</v>
      </c>
      <c r="I383" s="1" t="s">
        <v>14</v>
      </c>
      <c r="J383" s="1" t="s">
        <v>11</v>
      </c>
      <c r="K383" s="2" t="s">
        <v>1232</v>
      </c>
      <c r="L383" s="2" t="s">
        <v>1233</v>
      </c>
      <c r="M383" s="2" t="str">
        <f>IFERROR(__xludf.DUMMYFUNCTION("split(split(K383,""遠山金志郎(36)"",false),""@CAREER_fujitv"",false)"),"ホームページ　  http://www.fujitv.co.jp/career/　    ツイッター　  ")</f>
        <v>ホームページ　  http://www.fujitv.co.jp/career/　    ツイッター　  </v>
      </c>
      <c r="N383" s="2" t="str">
        <f>IFERROR(__xludf.DUMMYFUNCTION("""COMPUTED_VALUE"""),"　金志郎(玉木宏)は、副署長の半田(柳沢慎吾)から頼まれて、署員たちのあいさつや身だしなみの抜き打ち検査をしていた。するとそこに、刑事課の水口(平山祐介)が駆け込んでくる。署に来る途中、建物上階から花瓶が落ちてきて命を狙われた、というのだ。南(高嶋政宏)は、考えすぎだと水口を諭すと、机の上にあった差出人不明の封筒を手に取った。が、その中には、脅迫状とカッターナイフの刃が入っていて…。  　南は、家出した女子高生の捜索願や窃盗事件を後回しにして、強盗致傷事件に集中するよう、松本(白洲迅)に告げる。そこにやっ"&amp;"てきた金志郎は、脅迫状の送り主を見つけてからでもいいのではないか、と南に助言した。だが、南は聞く耳を持たない。金志郎は、水口が南からもらったジャケットを着ていたことから、狙われているのは南だと判断し、ベテラン刑事の元山(半海一晃)に、南を恨んでいそうな人物のリストアップを依頼する。　金志郎は、実里(瀧本美織)とともに、リストアップされた人物を調べ始める。ところがその矢先、南のもとに、娘のめぐみ(駒井蓮)のスマートフォンが入った郵便物が届けられる。その中には、車の後部座席で後ろ手に縛られているめぐみの画像が"&amp;"あった。  　事件を受け、警視庁の秋嶋方面本部長(東根作寿英)が捜査の指揮をすることになった。そんな中、南は、誘拐犯から、全国ネットのテレビ中継で謝罪するよう命じられ…。")</f>
        <v>　金志郎(玉木宏)は、副署長の半田(柳沢慎吾)から頼まれて、署員たちのあいさつや身だしなみの抜き打ち検査をしていた。するとそこに、刑事課の水口(平山祐介)が駆け込んでくる。署に来る途中、建物上階から花瓶が落ちてきて命を狙われた、というのだ。南(高嶋政宏)は、考えすぎだと水口を諭すと、机の上にあった差出人不明の封筒を手に取った。が、その中には、脅迫状とカッターナイフの刃が入っていて…。  　南は、家出した女子高生の捜索願や窃盗事件を後回しにして、強盗致傷事件に集中するよう、松本(白洲迅)に告げる。そこにやってきた金志郎は、脅迫状の送り主を見つけてからでもいいのではないか、と南に助言した。だが、南は聞く耳を持たない。金志郎は、水口が南からもらったジャケットを着ていたことから、狙われているのは南だと判断し、ベテラン刑事の元山(半海一晃)に、南を恨んでいそうな人物のリストアップを依頼する。　金志郎は、実里(瀧本美織)とともに、リストアップされた人物を調べ始める。ところがその矢先、南のもとに、娘のめぐみ(駒井蓮)のスマートフォンが入った郵便物が届けられる。その中には、車の後部座席で後ろ手に縛られているめぐみの画像があった。  　事件を受け、警視庁の秋嶋方面本部長(東根作寿英)が捜査の指揮をすることになった。そんな中、南は、誘拐犯から、全国ネットのテレビ中継で謝罪するよう命じられ…。</v>
      </c>
      <c r="O383" s="2"/>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row>
    <row r="384" ht="204.75" customHeight="1">
      <c r="A384" s="1">
        <v>1520.0</v>
      </c>
      <c r="B384" s="2" t="s">
        <v>1220</v>
      </c>
      <c r="C384" s="2">
        <f>IFERROR(__xludf.DUMMYFUNCTION("split(B384,""_"")"),1610.0)</f>
        <v>1610</v>
      </c>
      <c r="D384" s="2" t="str">
        <f>IFERROR(__xludf.DUMMYFUNCTION("""COMPUTED_VALUE"""),"CX")</f>
        <v>CX</v>
      </c>
      <c r="E384" s="2" t="str">
        <f>IFERROR(__xludf.DUMMYFUNCTION("""COMPUTED_VALUE"""),"日21")</f>
        <v>日21</v>
      </c>
      <c r="F384" s="2" t="s">
        <v>1221</v>
      </c>
      <c r="G384" s="2" t="s">
        <v>1234</v>
      </c>
      <c r="H384" s="1">
        <v>5.0</v>
      </c>
      <c r="I384" s="1" t="s">
        <v>17</v>
      </c>
      <c r="J384" s="1" t="s">
        <v>11</v>
      </c>
      <c r="K384" s="2" t="s">
        <v>1235</v>
      </c>
      <c r="L384" s="2" t="s">
        <v>1236</v>
      </c>
      <c r="M384" s="2" t="str">
        <f>IFERROR(__xludf.DUMMYFUNCTION("split(split(K384,""遠山金志郎(36)"",false),""@CAREER_fujitv"",false)"),"ホームページ　  http://www.fujitv.co.jp/career/　    ツイッター　  ")</f>
        <v>ホームページ　  http://www.fujitv.co.jp/career/　    ツイッター　  </v>
      </c>
      <c r="N384" s="2" t="str">
        <f>IFERROR(__xludf.DUMMYFUNCTION("""COMPUTED_VALUE"""),"　金志郎(玉木宏)たち北町署の面々は、1日警察署長として人気ドラマ『暴れん坊刑事』の主演俳優・小松平健介(新納慎也)を迎える。女性アイドルではないことでテンションが下がっている松本(白洲迅)や水口(平山祐介)とは対照的に、ドラマの大ファンだった実里(瀧本美織)はメイクもバッチリ決めて浮かれていた。  　警視庁の広報課長・春本(阪田マサノブ)とともに北町署にやってきた小松平は、実里を見つけるなり案内役を頼み、彼女とのツーショット写真をSNSにアップする。だが、金志郎とふたりきりになるといきなり態度が変わり「"&amp;"1日署長をやっておいたら交通違反をもみ消してくれるでしょ?」などと言いだし…。  　小松平は、万引きで逮捕された主婦を言葉巧みに説得して反省させ、取材陣からも称賛を得ていた。ところがその矢先、署内に貼られていた小松平の警察広報用ポスターが何者かによって切り裂かれていることが判明。さらに、小松平の名前で、北町署にピザや寿司などが大量に出前され、署内は大騒ぎに。  　金志郎や南(高嶋政宏)は、恨みを持つ人物に心当たりがあるかどうか小松平に尋ねる。が、成功した人間に嫌がらせはつきものだ、とうそぶく小松平。春本は"&amp;"、安全を考慮し、予定されていたイベントの中止を主張する。しかし、今回の騒動を起こした人物がイベント会場に現れると確信した金志郎は、カメラ班を配置し、予定通りイベントを行うことにするが…。")</f>
        <v>　金志郎(玉木宏)たち北町署の面々は、1日警察署長として人気ドラマ『暴れん坊刑事』の主演俳優・小松平健介(新納慎也)を迎える。女性アイドルではないことでテンションが下がっている松本(白洲迅)や水口(平山祐介)とは対照的に、ドラマの大ファンだった実里(瀧本美織)はメイクもバッチリ決めて浮かれていた。  　警視庁の広報課長・春本(阪田マサノブ)とともに北町署にやってきた小松平は、実里を見つけるなり案内役を頼み、彼女とのツーショット写真をSNSにアップする。だが、金志郎とふたりきりになるといきなり態度が変わり「1日署長をやっておいたら交通違反をもみ消してくれるでしょ?」などと言いだし…。  　小松平は、万引きで逮捕された主婦を言葉巧みに説得して反省させ、取材陣からも称賛を得ていた。ところがその矢先、署内に貼られていた小松平の警察広報用ポスターが何者かによって切り裂かれていることが判明。さらに、小松平の名前で、北町署にピザや寿司などが大量に出前され、署内は大騒ぎに。  　金志郎や南(高嶋政宏)は、恨みを持つ人物に心当たりがあるかどうか小松平に尋ねる。が、成功した人間に嫌がらせはつきものだ、とうそぶく小松平。春本は、安全を考慮し、予定されていたイベントの中止を主張する。しかし、今回の騒動を起こした人物がイベント会場に現れると確信した金志郎は、カメラ班を配置し、予定通りイベントを行うことにするが…。</v>
      </c>
      <c r="O384" s="2"/>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row>
    <row r="385" ht="204.75" customHeight="1">
      <c r="A385" s="1">
        <v>1521.0</v>
      </c>
      <c r="B385" s="2" t="s">
        <v>1220</v>
      </c>
      <c r="C385" s="2">
        <f>IFERROR(__xludf.DUMMYFUNCTION("split(B385,""_"")"),1610.0)</f>
        <v>1610</v>
      </c>
      <c r="D385" s="2" t="str">
        <f>IFERROR(__xludf.DUMMYFUNCTION("""COMPUTED_VALUE"""),"CX")</f>
        <v>CX</v>
      </c>
      <c r="E385" s="2" t="str">
        <f>IFERROR(__xludf.DUMMYFUNCTION("""COMPUTED_VALUE"""),"日21")</f>
        <v>日21</v>
      </c>
      <c r="F385" s="2" t="s">
        <v>1221</v>
      </c>
      <c r="G385" s="2" t="s">
        <v>1237</v>
      </c>
      <c r="H385" s="1">
        <v>6.0</v>
      </c>
      <c r="I385" s="1" t="s">
        <v>21</v>
      </c>
      <c r="J385" s="1" t="s">
        <v>11</v>
      </c>
      <c r="K385" s="2" t="s">
        <v>1238</v>
      </c>
      <c r="L385" s="2" t="s">
        <v>1239</v>
      </c>
      <c r="M385" s="2" t="str">
        <f>IFERROR(__xludf.DUMMYFUNCTION("split(split(K385,""遠山金志郎(36)"",false),""@CAREER_fujitv"",false)"),"ホームページ　  http://www.fujitv.co.jp/career/　    ツイッター　  ")</f>
        <v>ホームページ　  http://www.fujitv.co.jp/career/　    ツイッター　  </v>
      </c>
      <c r="N385" s="2" t="str">
        <f>IFERROR(__xludf.DUMMYFUNCTION("""COMPUTED_VALUE"""),"　金志郎(玉木宏)にお見合い話が持ち上がった。相手は、警察庁長官官房長の愛娘だ。副署長の半田(柳沢慎吾)から、北町署の将来だけでなく自分の首もかかっている、と懇願された金志郎は、そのお見合いを承諾した。  　実里(瀧本美織)は、半田から、金志郎がお見合いに着ていくスーツのコーディネートを頼まれる。が、楽しそうにネクタイを選ぶ金志郎の姿に、なぜかモヤモヤした気持ちになり…。  　お見合い当日、北町署を出ようとしていた金志郎は、紙袋を持った男性・吉野(松尾諭)とぶつかってしまう。吉野は、署長につないでほしい、"&amp;"と言いかけたものの、そこに金志郎のお見合い話を聞きつけた主婦たちが押し寄せたため、その場を立ち去る。  　金志郎は、官房長の娘・佳奈子(山崎静代)と対面する。が、ふたりきりになった途端「どうせ断るんでしょう?」と言って泣き出す佳奈子。これまでに、99回も断られてきたのだという。佳奈子が、警察キャリアと結婚させたいという父親の期待に苦しんでいることを知った金志郎は、肩に力が入り過ぎて素敵な部分が伝わらなかっただけ、と慰める。  　同じころ北町署では、金志郎に会いたいという市民が殺到し、署員たちが対応に追われ"&amp;"ていた。その中には吉野の姿もあった。  　一方、実里は刑事だった金志郎の父親が殉職した事件のファイルをこっそり調べる。そこにやってきた南(高嶋政宏)は、実里からファイルを奪い取り…。")</f>
        <v>　金志郎(玉木宏)にお見合い話が持ち上がった。相手は、警察庁長官官房長の愛娘だ。副署長の半田(柳沢慎吾)から、北町署の将来だけでなく自分の首もかかっている、と懇願された金志郎は、そのお見合いを承諾した。  　実里(瀧本美織)は、半田から、金志郎がお見合いに着ていくスーツのコーディネートを頼まれる。が、楽しそうにネクタイを選ぶ金志郎の姿に、なぜかモヤモヤした気持ちになり…。  　お見合い当日、北町署を出ようとしていた金志郎は、紙袋を持った男性・吉野(松尾諭)とぶつかってしまう。吉野は、署長につないでほしい、と言いかけたものの、そこに金志郎のお見合い話を聞きつけた主婦たちが押し寄せたため、その場を立ち去る。  　金志郎は、官房長の娘・佳奈子(山崎静代)と対面する。が、ふたりきりになった途端「どうせ断るんでしょう?」と言って泣き出す佳奈子。これまでに、99回も断られてきたのだという。佳奈子が、警察キャリアと結婚させたいという父親の期待に苦しんでいることを知った金志郎は、肩に力が入り過ぎて素敵な部分が伝わらなかっただけ、と慰める。  　同じころ北町署では、金志郎に会いたいという市民が殺到し、署員たちが対応に追われていた。その中には吉野の姿もあった。  　一方、実里は刑事だった金志郎の父親が殉職した事件のファイルをこっそり調べる。そこにやってきた南(高嶋政宏)は、実里からファイルを奪い取り…。</v>
      </c>
      <c r="O385" s="2"/>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row>
    <row r="386" ht="204.75" customHeight="1">
      <c r="A386" s="1">
        <v>1522.0</v>
      </c>
      <c r="B386" s="2" t="s">
        <v>1220</v>
      </c>
      <c r="C386" s="2">
        <f>IFERROR(__xludf.DUMMYFUNCTION("split(B386,""_"")"),1610.0)</f>
        <v>1610</v>
      </c>
      <c r="D386" s="2" t="str">
        <f>IFERROR(__xludf.DUMMYFUNCTION("""COMPUTED_VALUE"""),"CX")</f>
        <v>CX</v>
      </c>
      <c r="E386" s="2" t="str">
        <f>IFERROR(__xludf.DUMMYFUNCTION("""COMPUTED_VALUE"""),"日21")</f>
        <v>日21</v>
      </c>
      <c r="F386" s="2" t="s">
        <v>1221</v>
      </c>
      <c r="G386" s="2" t="s">
        <v>1240</v>
      </c>
      <c r="H386" s="1">
        <v>7.0</v>
      </c>
      <c r="I386" s="1" t="s">
        <v>25</v>
      </c>
      <c r="J386" s="1" t="s">
        <v>11</v>
      </c>
      <c r="K386" s="2" t="s">
        <v>1241</v>
      </c>
      <c r="L386" s="2" t="s">
        <v>1242</v>
      </c>
      <c r="M386" s="2" t="str">
        <f>IFERROR(__xludf.DUMMYFUNCTION("split(split(K386,""遠山金志郎(36)"",false),""@CAREER_fujitv"",false)"),"ホームページ　  http://www.fujitv.co.jp/career/　    ツイッター　  ")</f>
        <v>ホームページ　  http://www.fujitv.co.jp/career/　    ツイッター　  </v>
      </c>
      <c r="N386" s="2" t="str">
        <f>IFERROR(__xludf.DUMMYFUNCTION("""COMPUTED_VALUE"""),"　金志郎(玉木宏)と実里(瀧本美織)は、理香(知花くらら)のヨガ教室で、クレーマー主婦4人のグループに遭遇する。体験入会で初めて教室にやってきたグループのひとり、朋世(黒谷友香)が、無理なポーズをさせられたせいで体を痛めた、と言い出したのだ。だが、金志郎が、医者に診てもらってはどうかと提案すると、グループのリーダー格・園子(楠見薫)は、捨て台詞を残し、皆を引き連れて去って行く。  　あくる日、今度は北町署に園子たちが現れる。同じ社宅に住んでいるという園子らは、ポストにゴミを入れられるなどの悪質な嫌がらせに"&amp;"遭い、被害届を出しにきたのだという。そこにやってきた南(高嶋政宏)は、園子たちと一緒にいる朋世の姿に驚く。実は南は、20年ほど前に起きたある事件で、朋世と知り合っていたのだ。被害届を受理した南は、社宅周辺の警備を強化することを約束し、朋世に名刺を手渡す。  　金志郎は、南の反対を押し切って、園子たちの一件を捜査する。しかし実里は、社宅内で園子たち4人だけが被害者、という点から、自業自得ではないかと言い出す。実際、園子たちは、他の店でもクレームをつけてはお詫びの品等を受け取っていたのだ。それでも捜査を止めな"&amp;"い金志郎は、駐車場から男が逃げていくのを見た、という朋世の証言に不審を抱く。と同時に、主婦グループ内で朋世が1番弱い立場に置かれていることを知り…。")</f>
        <v>　金志郎(玉木宏)と実里(瀧本美織)は、理香(知花くらら)のヨガ教室で、クレーマー主婦4人のグループに遭遇する。体験入会で初めて教室にやってきたグループのひとり、朋世(黒谷友香)が、無理なポーズをさせられたせいで体を痛めた、と言い出したのだ。だが、金志郎が、医者に診てもらってはどうかと提案すると、グループのリーダー格・園子(楠見薫)は、捨て台詞を残し、皆を引き連れて去って行く。  　あくる日、今度は北町署に園子たちが現れる。同じ社宅に住んでいるという園子らは、ポストにゴミを入れられるなどの悪質な嫌がらせに遭い、被害届を出しにきたのだという。そこにやってきた南(高嶋政宏)は、園子たちと一緒にいる朋世の姿に驚く。実は南は、20年ほど前に起きたある事件で、朋世と知り合っていたのだ。被害届を受理した南は、社宅周辺の警備を強化することを約束し、朋世に名刺を手渡す。  　金志郎は、南の反対を押し切って、園子たちの一件を捜査する。しかし実里は、社宅内で園子たち4人だけが被害者、という点から、自業自得ではないかと言い出す。実際、園子たちは、他の店でもクレームをつけてはお詫びの品等を受け取っていたのだ。それでも捜査を止めない金志郎は、駐車場から男が逃げていくのを見た、という朋世の証言に不審を抱く。と同時に、主婦グループ内で朋世が1番弱い立場に置かれていることを知り…。</v>
      </c>
      <c r="O386" s="2"/>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row>
    <row r="387" ht="204.75" customHeight="1">
      <c r="A387" s="1">
        <v>1523.0</v>
      </c>
      <c r="B387" s="2" t="s">
        <v>1220</v>
      </c>
      <c r="C387" s="2">
        <f>IFERROR(__xludf.DUMMYFUNCTION("split(B387,""_"")"),1610.0)</f>
        <v>1610</v>
      </c>
      <c r="D387" s="2" t="str">
        <f>IFERROR(__xludf.DUMMYFUNCTION("""COMPUTED_VALUE"""),"CX")</f>
        <v>CX</v>
      </c>
      <c r="E387" s="2" t="str">
        <f>IFERROR(__xludf.DUMMYFUNCTION("""COMPUTED_VALUE"""),"日21")</f>
        <v>日21</v>
      </c>
      <c r="F387" s="2" t="s">
        <v>1221</v>
      </c>
      <c r="G387" s="2" t="s">
        <v>1243</v>
      </c>
      <c r="H387" s="1">
        <v>8.0</v>
      </c>
      <c r="I387" s="1" t="s">
        <v>29</v>
      </c>
      <c r="J387" s="1" t="s">
        <v>11</v>
      </c>
      <c r="K387" s="2" t="s">
        <v>1244</v>
      </c>
      <c r="L387" s="2" t="s">
        <v>1245</v>
      </c>
      <c r="M387" s="2" t="str">
        <f>IFERROR(__xludf.DUMMYFUNCTION("split(split(K387,""遠山金志郎(36)"",false),""@CAREER_fujitv"",false)"),"ホームページ　  http://www.fujitv.co.jp/career/　    ツイッター　  ")</f>
        <v>ホームページ　  http://www.fujitv.co.jp/career/　    ツイッター　  </v>
      </c>
      <c r="N387" s="2" t="str">
        <f>IFERROR(__xludf.DUMMYFUNCTION("""COMPUTED_VALUE"""),"　北町署の署長・遠山金志郎(玉木宏)のもとに、息子が昨晩オートバイ事故を起こして迷惑をかけた、と言って春日吾郎(田山涼成)という男がやってきた。だが、管内で事故の報告がなかったことから、吾郎は「オレオレ詐欺」に遭っていたことが判明する。連絡を受けて署にやってきた吾郎の息子・亮平(高橋光臣)は、詐欺に遭うなんて恥ずかしい、と父親を非難した。金志郎は、口論になった吾郎と亮平を落ち着かせようとするが、吾郎と不仲だった亮平は、金志郎の言葉に耳を貸さず、最低な父親だと言い放つ。  　ここ数週間で「オレオレ詐欺」の被"&amp;"害が多発していることを知った金志郎は、各不動産会社で最近入居した個人・法人の記録の調査を指示。ほどなく、詐欺グループのアジトと思われるマンションにたどり着く。そのマンションは、南洋三(高嶋政宏)の家のすぐ近所だった。  　金志郎と相川実里(瀧本美織)は、捜査中に腰を痛めて自宅療養を余儀なくされたものの、みどり(田中美奈子)とめぐみ(駒井蓮)が旅行に出かけてしまい、不便な生活を強いられていた南に事情を伝え、彼の家からマンションの監視をすることに。南の食事の世話もしながら監視を続けていた金志郎たちは、部屋に出"&amp;"入りしていた男・藤本(袴田吉彦)らの写真を撮る。そんな折、南家に、警視監の長下部(近藤正臣)まで現れ…。")</f>
        <v>　北町署の署長・遠山金志郎(玉木宏)のもとに、息子が昨晩オートバイ事故を起こして迷惑をかけた、と言って春日吾郎(田山涼成)という男がやってきた。だが、管内で事故の報告がなかったことから、吾郎は「オレオレ詐欺」に遭っていたことが判明する。連絡を受けて署にやってきた吾郎の息子・亮平(高橋光臣)は、詐欺に遭うなんて恥ずかしい、と父親を非難した。金志郎は、口論になった吾郎と亮平を落ち着かせようとするが、吾郎と不仲だった亮平は、金志郎の言葉に耳を貸さず、最低な父親だと言い放つ。  　ここ数週間で「オレオレ詐欺」の被害が多発していることを知った金志郎は、各不動産会社で最近入居した個人・法人の記録の調査を指示。ほどなく、詐欺グループのアジトと思われるマンションにたどり着く。そのマンションは、南洋三(高嶋政宏)の家のすぐ近所だった。  　金志郎と相川実里(瀧本美織)は、捜査中に腰を痛めて自宅療養を余儀なくされたものの、みどり(田中美奈子)とめぐみ(駒井蓮)が旅行に出かけてしまい、不便な生活を強いられていた南に事情を伝え、彼の家からマンションの監視をすることに。南の食事の世話もしながら監視を続けていた金志郎たちは、部屋に出入りしていた男・藤本(袴田吉彦)らの写真を撮る。そんな折、南家に、警視監の長下部(近藤正臣)まで現れ…。</v>
      </c>
      <c r="O387" s="2"/>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row>
    <row r="388" ht="204.75" customHeight="1">
      <c r="A388" s="1">
        <v>1524.0</v>
      </c>
      <c r="B388" s="2" t="s">
        <v>1220</v>
      </c>
      <c r="C388" s="2">
        <f>IFERROR(__xludf.DUMMYFUNCTION("split(B388,""_"")"),1610.0)</f>
        <v>1610</v>
      </c>
      <c r="D388" s="2" t="str">
        <f>IFERROR(__xludf.DUMMYFUNCTION("""COMPUTED_VALUE"""),"CX")</f>
        <v>CX</v>
      </c>
      <c r="E388" s="2" t="str">
        <f>IFERROR(__xludf.DUMMYFUNCTION("""COMPUTED_VALUE"""),"日21")</f>
        <v>日21</v>
      </c>
      <c r="F388" s="2" t="s">
        <v>1221</v>
      </c>
      <c r="G388" s="2" t="s">
        <v>1246</v>
      </c>
      <c r="H388" s="1">
        <v>9.0</v>
      </c>
      <c r="I388" s="1" t="s">
        <v>33</v>
      </c>
      <c r="J388" s="1" t="s">
        <v>11</v>
      </c>
      <c r="K388" s="2" t="s">
        <v>1247</v>
      </c>
      <c r="L388" s="2" t="s">
        <v>1248</v>
      </c>
      <c r="M388" s="2" t="str">
        <f>IFERROR(__xludf.DUMMYFUNCTION("split(split(K388,""遠山金志郎(36)"",false),""@CAREER_fujitv"",false)"),"ホームページ　  http://www.fujitv.co.jp/career/　    ツイッター　  ")</f>
        <v>ホームページ　  http://www.fujitv.co.jp/career/　    ツイッター　  </v>
      </c>
      <c r="N388" s="2" t="str">
        <f>IFERROR(__xludf.DUMMYFUNCTION("""COMPUTED_VALUE"""),"　金志郎(玉木宏)は、美容師の沙織(黒川芽以)がストーカー被害に遭っていることを知る。北町署刑事課を訪れた沙織は、元恋人の岡崎(中村倫也)から付きまとわれている、と松本(白洲迅)に相談した。別れ話に納得しなかった岡崎から離れるため、職場も変えてこの町に引っ越してきた沙織の前に、突然彼が現れたのだという。沙織は、ゴミが荒らされるなどの不審な出来事があったことも訴えた。しかし松本は、明確な被害がなければ警察は動けない、と返すしかなく…。  　岡崎が、婚約者だと名乗って勤め先の美容室にも現れたことを知った沙織は"&amp;"、再び北町署を訪れる。だが、それでも警察が動いてくれないことを知り、諦めて帰ろうとする沙織。金志郎は、彼女を追いかけ、何かあれば連絡してほしい、と刑事課の直通電話番号を伝える。  　そんな中、再び岡崎からの電話を受けた沙織は、刑事課に連絡する。が、電話に出た松本は、連行されてきた無銭飲食犯が暴れだしたこともあって、あとで連絡する、といって沙織からの電話を切ってしまう。すると、沙織の勤務先に岡崎が現れ、逃げようとした沙織が転倒してけがを負うという事件が起きる。それを知った金志郎は、沙織を訪ねて謝罪すると「市"&amp;"民からのSOSにきちんと応じていれば未然に防げた」と言って松本に自宅謹慎を命じる。金志郎は、実里(瀧本美織)に沙織の警護を頼むが…。")</f>
        <v>　金志郎(玉木宏)は、美容師の沙織(黒川芽以)がストーカー被害に遭っていることを知る。北町署刑事課を訪れた沙織は、元恋人の岡崎(中村倫也)から付きまとわれている、と松本(白洲迅)に相談した。別れ話に納得しなかった岡崎から離れるため、職場も変えてこの町に引っ越してきた沙織の前に、突然彼が現れたのだという。沙織は、ゴミが荒らされるなどの不審な出来事があったことも訴えた。しかし松本は、明確な被害がなければ警察は動けない、と返すしかなく…。  　岡崎が、婚約者だと名乗って勤め先の美容室にも現れたことを知った沙織は、再び北町署を訪れる。だが、それでも警察が動いてくれないことを知り、諦めて帰ろうとする沙織。金志郎は、彼女を追いかけ、何かあれば連絡してほしい、と刑事課の直通電話番号を伝える。  　そんな中、再び岡崎からの電話を受けた沙織は、刑事課に連絡する。が、電話に出た松本は、連行されてきた無銭飲食犯が暴れだしたこともあって、あとで連絡する、といって沙織からの電話を切ってしまう。すると、沙織の勤務先に岡崎が現れ、逃げようとした沙織が転倒してけがを負うという事件が起きる。それを知った金志郎は、沙織を訪ねて謝罪すると「市民からのSOSにきちんと応じていれば未然に防げた」と言って松本に自宅謹慎を命じる。金志郎は、実里(瀧本美織)に沙織の警護を頼むが…。</v>
      </c>
      <c r="O388" s="2"/>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row>
    <row r="389" ht="204.75" customHeight="1">
      <c r="A389" s="1">
        <v>1525.0</v>
      </c>
      <c r="B389" s="2" t="s">
        <v>1220</v>
      </c>
      <c r="C389" s="2">
        <f>IFERROR(__xludf.DUMMYFUNCTION("split(B389,""_"")"),1610.0)</f>
        <v>1610</v>
      </c>
      <c r="D389" s="2" t="str">
        <f>IFERROR(__xludf.DUMMYFUNCTION("""COMPUTED_VALUE"""),"CX")</f>
        <v>CX</v>
      </c>
      <c r="E389" s="2" t="str">
        <f>IFERROR(__xludf.DUMMYFUNCTION("""COMPUTED_VALUE"""),"日21")</f>
        <v>日21</v>
      </c>
      <c r="F389" s="2" t="s">
        <v>1221</v>
      </c>
      <c r="G389" s="2" t="s">
        <v>1249</v>
      </c>
      <c r="H389" s="1">
        <v>10.0</v>
      </c>
      <c r="I389" s="1" t="s">
        <v>37</v>
      </c>
      <c r="J389" s="1" t="s">
        <v>11</v>
      </c>
      <c r="K389" s="2" t="s">
        <v>1250</v>
      </c>
      <c r="L389" s="2" t="s">
        <v>1251</v>
      </c>
      <c r="M389" s="2" t="str">
        <f>IFERROR(__xludf.DUMMYFUNCTION("split(split(K389,""遠山金志郎(36)"",false),""@CAREER_fujitv"",false)"),"ホームページ　  http://www.fujitv.co.jp/career/　    ツイッター　  ")</f>
        <v>ホームページ　  http://www.fujitv.co.jp/career/　    ツイッター　  </v>
      </c>
      <c r="N389" s="2" t="str">
        <f>IFERROR(__xludf.DUMMYFUNCTION("""COMPUTED_VALUE"""),"　25年前、金志郎(玉木宏)の父・桜井周平(宇梶剛士)を射殺した真犯人を追っていた南(高嶋政宏)が拳銃で撃たれ、意識不明のまま病院に収容される。南を撃ったのは、元副総監の息子・桐島真司(中村俊介)だった。  　一方、真相を確かめるべく長下部(近藤正臣)に会いに行った金志郎は、上層部から呼び出される。そこで金志郎は、時効が成立している事件の捜査をさせた上、捜査員が撃たれた今回の事件の責任を問われ、謹慎処分と北町署署長の解任を言い渡される。  　金志郎の処分を受け、北町署の署長代理となった秋嶋(東根作寿英)は"&amp;"、半田副署長(柳沢慎吾)や実里(瀧本美織)ら署員たちに、署長官舎から姿を消し、桐島の行方を追っていると思われる金志郎の身柄を拘束するよう命じる。さらに秋嶋は、南を撃った犯人として、拳銃密売でマークされていた柴田という男をすでに逮捕したと皆に告げた。  　金志郎は、本庁の刑事たちに追われながらも、単身聞き込み捜査を続けていた。そんな金志郎の前に現れた北町署刑事課のメンバーーー松本(白洲迅)、元山(半海一晃)、水口(平山祐介)、花岡(勝矢)は、桐島が犯人であることを証明すべきだと申し出る。しかし金志郎は、父の"&amp;"事件は個人の問題だとして、この件に関わらないよう命じ…。")</f>
        <v>　25年前、金志郎(玉木宏)の父・桜井周平(宇梶剛士)を射殺した真犯人を追っていた南(高嶋政宏)が拳銃で撃たれ、意識不明のまま病院に収容される。南を撃ったのは、元副総監の息子・桐島真司(中村俊介)だった。  　一方、真相を確かめるべく長下部(近藤正臣)に会いに行った金志郎は、上層部から呼び出される。そこで金志郎は、時効が成立している事件の捜査をさせた上、捜査員が撃たれた今回の事件の責任を問われ、謹慎処分と北町署署長の解任を言い渡される。  　金志郎の処分を受け、北町署の署長代理となった秋嶋(東根作寿英)は、半田副署長(柳沢慎吾)や実里(瀧本美織)ら署員たちに、署長官舎から姿を消し、桐島の行方を追っていると思われる金志郎の身柄を拘束するよう命じる。さらに秋嶋は、南を撃った犯人として、拳銃密売でマークされていた柴田という男をすでに逮捕したと皆に告げた。  　金志郎は、本庁の刑事たちに追われながらも、単身聞き込み捜査を続けていた。そんな金志郎の前に現れた北町署刑事課のメンバーーー松本(白洲迅)、元山(半海一晃)、水口(平山祐介)、花岡(勝矢)は、桐島が犯人であることを証明すべきだと申し出る。しかし金志郎は、父の事件は個人の問題だとして、この件に関わらないよう命じ…。</v>
      </c>
      <c r="O389" s="2"/>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row>
    <row r="390" ht="204.75" customHeight="1">
      <c r="A390" s="1">
        <v>1546.0</v>
      </c>
      <c r="B390" s="2" t="s">
        <v>1252</v>
      </c>
      <c r="C390" s="2">
        <f>IFERROR(__xludf.DUMMYFUNCTION("split(B390,""_"")"),1607.0)</f>
        <v>1607</v>
      </c>
      <c r="D390" s="2" t="str">
        <f>IFERROR(__xludf.DUMMYFUNCTION("""COMPUTED_VALUE"""),"CX")</f>
        <v>CX</v>
      </c>
      <c r="E390" s="2" t="str">
        <f>IFERROR(__xludf.DUMMYFUNCTION("""COMPUTED_VALUE"""),"月21")</f>
        <v>月21</v>
      </c>
      <c r="F390" s="2" t="s">
        <v>1253</v>
      </c>
      <c r="G390" s="2" t="s">
        <v>1254</v>
      </c>
      <c r="H390" s="1">
        <v>1.0</v>
      </c>
      <c r="I390" s="1" t="s">
        <v>3</v>
      </c>
      <c r="J390" s="1" t="s">
        <v>4</v>
      </c>
      <c r="K390" s="2" t="s">
        <v>1255</v>
      </c>
      <c r="L390" s="2" t="s">
        <v>1256</v>
      </c>
      <c r="M390" s="2" t="str">
        <f>IFERROR(__xludf.DUMMYFUNCTION("split(split(K390,""桐谷美玲　"",false),""公式LINE"",false)"),"番組公式HP　  http://www.fujitv.co.jp/sukinahitogairukoto/index.html　    番組公式Twitter  @Getsu9_Suki    番組")</f>
        <v>番組公式HP　  http://www.fujitv.co.jp/sukinahitogairukoto/index.html　    番組公式Twitter  @Getsu9_Suki    番組</v>
      </c>
      <c r="N390" s="2" t="str">
        <f>IFERROR(__xludf.DUMMYFUNCTION("""COMPUTED_VALUE"""),"  フジ月9『好きな人がいること』公式パティシエの櫻井美咲(桐谷美玲)は、一流ホテルの中途採用試験に自作のウェディングケーキを持ち込んで披露する。しかし、面接官の評判は良くない。結果、不採用。レストランで愚痴る美咲は、後輩の石川若葉(阿部純子)からケーキを飾った人形のキス顏が唇を突き出しすぎだったからだと指摘される。悔しさがこみ上げる。心を落ち着かせ出ようとすると鍵が開かない。しばらくすると、店員が探しに来た。ドアをこじ開けた店員は美咲の初恋の人、柴崎千秋(三浦翔平)だった。  千秋に近況を話す美咲は一流"&amp;"ホテルのパティシエだが、今は厨房が改装中で休みだと嘘をつく。すると、千秋はその間、湘南にある自分のレストランで、住み込みで働かないかと美咲を誘った。  湘南に着いた美咲が、砂浜で写真を撮ってもらおうと相手を探すとひとりのサーファー(山崎賢人)が現れた。その男に強引にスマホを渡した美咲は、ジャンプの瞬間を撮ってもらおうとするが倒れてしまう。波もかぶってずぶ濡れの姿を撮影され、カチンと来る美咲。だが男は無愛想に去って行く。  柴崎家に着いた美咲。すると後ろから男に抱きつかれる。千秋?と、期待する美咲だが別人。"&amp;"冬真(野村周平)と名乗る男は千秋の弟で、一緒に住むことになると言う。さらにそこには先ほどの海の男も!柴崎家の次男で柴崎夏向といい、レストランを支えるシェフだと言う。美咲はこの3兄弟たちと共同生活をすることに!?")</f>
        <v>  フジ月9『好きな人がいること』公式パティシエの櫻井美咲(桐谷美玲)は、一流ホテルの中途採用試験に自作のウェディングケーキを持ち込んで披露する。しかし、面接官の評判は良くない。結果、不採用。レストランで愚痴る美咲は、後輩の石川若葉(阿部純子)からケーキを飾った人形のキス顏が唇を突き出しすぎだったからだと指摘される。悔しさがこみ上げる。心を落ち着かせ出ようとすると鍵が開かない。しばらくすると、店員が探しに来た。ドアをこじ開けた店員は美咲の初恋の人、柴崎千秋(三浦翔平)だった。  千秋に近況を話す美咲は一流ホテルのパティシエだが、今は厨房が改装中で休みだと嘘をつく。すると、千秋はその間、湘南にある自分のレストランで、住み込みで働かないかと美咲を誘った。  湘南に着いた美咲が、砂浜で写真を撮ってもらおうと相手を探すとひとりのサーファー(山崎賢人)が現れた。その男に強引にスマホを渡した美咲は、ジャンプの瞬間を撮ってもらおうとするが倒れてしまう。波もかぶってずぶ濡れの姿を撮影され、カチンと来る美咲。だが男は無愛想に去って行く。  柴崎家に着いた美咲。すると後ろから男に抱きつかれる。千秋?と、期待する美咲だが別人。冬真(野村周平)と名乗る男は千秋の弟で、一緒に住むことになると言う。さらにそこには先ほどの海の男も!柴崎家の次男で柴崎夏向といい、レストランを支えるシェフだと言う。美咲はこの3兄弟たちと共同生活をすることに!?</v>
      </c>
      <c r="O390" s="2"/>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row>
    <row r="391" ht="204.75" customHeight="1">
      <c r="A391" s="1">
        <v>1547.0</v>
      </c>
      <c r="B391" s="2" t="s">
        <v>1252</v>
      </c>
      <c r="C391" s="2">
        <f>IFERROR(__xludf.DUMMYFUNCTION("split(B391,""_"")"),1607.0)</f>
        <v>1607</v>
      </c>
      <c r="D391" s="2" t="str">
        <f>IFERROR(__xludf.DUMMYFUNCTION("""COMPUTED_VALUE"""),"CX")</f>
        <v>CX</v>
      </c>
      <c r="E391" s="2" t="str">
        <f>IFERROR(__xludf.DUMMYFUNCTION("""COMPUTED_VALUE"""),"月21")</f>
        <v>月21</v>
      </c>
      <c r="F391" s="2" t="s">
        <v>1253</v>
      </c>
      <c r="G391" s="2" t="s">
        <v>1257</v>
      </c>
      <c r="H391" s="1">
        <v>2.0</v>
      </c>
      <c r="I391" s="1" t="s">
        <v>7</v>
      </c>
      <c r="J391" s="1" t="s">
        <v>11</v>
      </c>
      <c r="K391" s="2" t="s">
        <v>1258</v>
      </c>
      <c r="L391" s="2" t="s">
        <v>1259</v>
      </c>
      <c r="M391" s="2" t="str">
        <f>IFERROR(__xludf.DUMMYFUNCTION("split(split(K391,""桐谷美玲　"",false),""公式LINE"",false)"),"番組公式HP　  http://www.fujitv.co.jp/sukinahitogairukoto/index.html　    番組公式Twitter  @Getsu9_Suki    番組")</f>
        <v>番組公式HP　  http://www.fujitv.co.jp/sukinahitogairukoto/index.html　    番組公式Twitter  @Getsu9_Suki    番組</v>
      </c>
      <c r="N391" s="2" t="str">
        <f>IFERROR(__xludf.DUMMYFUNCTION("""COMPUTED_VALUE"""),"  フジ月9『好きな人がいること』公式櫻井美咲(桐谷美玲)は買い出しの途中で、結婚式場へと入っていく柴崎千秋(三浦翔平)と高月楓(菜々緒)を見てしまいショックを受ける。しばらく海辺でボーッと過ごした美咲は、ぼうぜんとしたまま『Sea　Sons』に帰る。すると、柴崎夏向(山崎賢人)に何をしていたと怒られてしまう。それでも、美咲はうわの空だ。  そこに、千秋と楓が来た。いたたまれずにその場を離れようとする美咲だが、千秋に呼び止められ、結婚パーティー用のウエディングケーキを作って欲しいと頼まれてしまう。美咲は、"&amp;"千秋と楓のケーキなら仕方ないと、しぶしぶ祝辞を述べた。  千秋と楓によると、結婚パーティーは明後日に迫っている。ところが予定していた会場で食中毒が発生して厨房が使えなくなってしまった。そこで、美咲にはウエディングケーキ、夏向には参加者の料理を頼みたいとのこと。準備する時間がないと断ろうとする夏向。だが、欲しがっていたサーフボードの件を千秋が持ち出すと夏向は引き受けた。  その夜、夏向は柴崎冬真(野村周平)に結婚式の料理作りの手伝いを頼む。ところが、冬真は試験が近いからと断った。  美咲はパーティー用の食材"&amp;"の買い出しと、夏向に連れ出される。その途中、仲良さそうに歩く、千秋と楓に遭遇。美咲は、夏向とともに物陰に隠れようとするのだが、楓に見つかってしまった。今はまだ、千秋たちと話したくない美咲だが、千秋に食事へ誘われてしまう。")</f>
        <v>  フジ月9『好きな人がいること』公式櫻井美咲(桐谷美玲)は買い出しの途中で、結婚式場へと入っていく柴崎千秋(三浦翔平)と高月楓(菜々緒)を見てしまいショックを受ける。しばらく海辺でボーッと過ごした美咲は、ぼうぜんとしたまま『Sea　Sons』に帰る。すると、柴崎夏向(山崎賢人)に何をしていたと怒られてしまう。それでも、美咲はうわの空だ。  そこに、千秋と楓が来た。いたたまれずにその場を離れようとする美咲だが、千秋に呼び止められ、結婚パーティー用のウエディングケーキを作って欲しいと頼まれてしまう。美咲は、千秋と楓のケーキなら仕方ないと、しぶしぶ祝辞を述べた。  千秋と楓によると、結婚パーティーは明後日に迫っている。ところが予定していた会場で食中毒が発生して厨房が使えなくなってしまった。そこで、美咲にはウエディングケーキ、夏向には参加者の料理を頼みたいとのこと。準備する時間がないと断ろうとする夏向。だが、欲しがっていたサーフボードの件を千秋が持ち出すと夏向は引き受けた。  その夜、夏向は柴崎冬真(野村周平)に結婚式の料理作りの手伝いを頼む。ところが、冬真は試験が近いからと断った。  美咲はパーティー用の食材の買い出しと、夏向に連れ出される。その途中、仲良さそうに歩く、千秋と楓に遭遇。美咲は、夏向とともに物陰に隠れようとするのだが、楓に見つかってしまった。今はまだ、千秋たちと話したくない美咲だが、千秋に食事へ誘われてしまう。</v>
      </c>
      <c r="O391" s="2"/>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row>
    <row r="392" ht="204.75" customHeight="1">
      <c r="A392" s="1">
        <v>1548.0</v>
      </c>
      <c r="B392" s="2" t="s">
        <v>1252</v>
      </c>
      <c r="C392" s="2">
        <f>IFERROR(__xludf.DUMMYFUNCTION("split(B392,""_"")"),1607.0)</f>
        <v>1607</v>
      </c>
      <c r="D392" s="2" t="str">
        <f>IFERROR(__xludf.DUMMYFUNCTION("""COMPUTED_VALUE"""),"CX")</f>
        <v>CX</v>
      </c>
      <c r="E392" s="2" t="str">
        <f>IFERROR(__xludf.DUMMYFUNCTION("""COMPUTED_VALUE"""),"月21")</f>
        <v>月21</v>
      </c>
      <c r="F392" s="2" t="s">
        <v>1253</v>
      </c>
      <c r="G392" s="2" t="s">
        <v>1260</v>
      </c>
      <c r="H392" s="1">
        <v>3.0</v>
      </c>
      <c r="I392" s="1" t="s">
        <v>10</v>
      </c>
      <c r="J392" s="1" t="s">
        <v>11</v>
      </c>
      <c r="K392" s="2" t="s">
        <v>1261</v>
      </c>
      <c r="L392" s="2" t="s">
        <v>1262</v>
      </c>
      <c r="M392" s="2" t="str">
        <f>IFERROR(__xludf.DUMMYFUNCTION("split(split(K392,""桐谷美玲　"",false),""公式LINE"",false)"),"番組公式HP　  http://www.fujitv.co.jp/sukinahitogairukoto/index.html　    番組公式Twitter  @Getsu9_Suki    番組")</f>
        <v>番組公式HP　  http://www.fujitv.co.jp/sukinahitogairukoto/index.html　    番組公式Twitter  @Getsu9_Suki    番組</v>
      </c>
      <c r="N392" s="2" t="str">
        <f>IFERROR(__xludf.DUMMYFUNCTION("""COMPUTED_VALUE"""),"  フジ月9『好きな人がいること』公式柴崎千秋(三浦翔平)だけには、可愛いと思われたい。櫻井美咲(桐谷美玲)のささやかな願いは、結婚パーティーで砕かれてしまう。その上、美咲は高月楓(菜々緒)とキスする千秋も見てしまったのだ。そんな美咲の傷心を癒したのは夏向(山崎賢人)。クルーザーで美咲を海に連れ出した夏向は、結婚パーティーでの活躍をねぎらった。  もしかすると、美咲と夏向の距離が?しかし『Sea　Sons』が通常営業に戻ると、以前と何の変わりもない。相変わらず夏向は美咲に無愛想。そんな夏向にイラっと来る美"&amp;"咲だ。  その頃『LEG　END』の日村信之(浜野謙太)は、店に来た西島愛海(大原櫻子)に頼まれ、千秋、夏向、冬真(野村周平)の柴崎三兄弟の話をしていた。日村が話し終わると、愛海は“タクミ""と言う名前に心当たりはないかと尋ねる。日村が知らないと答えた時、冬真がやって来た。日村が「話していた冬真だ」と愛海に紹介。すると、愛海はすぐに店を出て行った。  ディナータイムの『Sea　Sons』に楓がやって来た。休憩中の美咲は気が気ではない。2人がよりを戻したことを疑う美咲に、夏向が「聞いてこい」と促す。「関係を"&amp;"?」と驚く美咲に夏向は「オーダーだ」と切り返す。仕方なくオーダーを取りに行く美咲。すると、楓が千秋を「この後、飲みに行こう」と誘っていた。千秋は美咲もどうかと尋ねる。2人の関係を疑う美咲は断ってしまい、またもや落ち込んで…。")</f>
        <v>  フジ月9『好きな人がいること』公式柴崎千秋(三浦翔平)だけには、可愛いと思われたい。櫻井美咲(桐谷美玲)のささやかな願いは、結婚パーティーで砕かれてしまう。その上、美咲は高月楓(菜々緒)とキスする千秋も見てしまったのだ。そんな美咲の傷心を癒したのは夏向(山崎賢人)。クルーザーで美咲を海に連れ出した夏向は、結婚パーティーでの活躍をねぎらった。  もしかすると、美咲と夏向の距離が?しかし『Sea　Sons』が通常営業に戻ると、以前と何の変わりもない。相変わらず夏向は美咲に無愛想。そんな夏向にイラっと来る美咲だ。  その頃『LEG　END』の日村信之(浜野謙太)は、店に来た西島愛海(大原櫻子)に頼まれ、千秋、夏向、冬真(野村周平)の柴崎三兄弟の話をしていた。日村が話し終わると、愛海は“タクミ"と言う名前に心当たりはないかと尋ねる。日村が知らないと答えた時、冬真がやって来た。日村が「話していた冬真だ」と愛海に紹介。すると、愛海はすぐに店を出て行った。  ディナータイムの『Sea　Sons』に楓がやって来た。休憩中の美咲は気が気ではない。2人がよりを戻したことを疑う美咲に、夏向が「聞いてこい」と促す。「関係を?」と驚く美咲に夏向は「オーダーだ」と切り返す。仕方なくオーダーを取りに行く美咲。すると、楓が千秋を「この後、飲みに行こう」と誘っていた。千秋は美咲もどうかと尋ねる。2人の関係を疑う美咲は断ってしまい、またもや落ち込んで…。</v>
      </c>
      <c r="O392" s="2"/>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row>
    <row r="393" ht="204.75" customHeight="1">
      <c r="A393" s="1">
        <v>1549.0</v>
      </c>
      <c r="B393" s="2" t="s">
        <v>1252</v>
      </c>
      <c r="C393" s="2">
        <f>IFERROR(__xludf.DUMMYFUNCTION("split(B393,""_"")"),1607.0)</f>
        <v>1607</v>
      </c>
      <c r="D393" s="2" t="str">
        <f>IFERROR(__xludf.DUMMYFUNCTION("""COMPUTED_VALUE"""),"CX")</f>
        <v>CX</v>
      </c>
      <c r="E393" s="2" t="str">
        <f>IFERROR(__xludf.DUMMYFUNCTION("""COMPUTED_VALUE"""),"月21")</f>
        <v>月21</v>
      </c>
      <c r="F393" s="2" t="s">
        <v>1253</v>
      </c>
      <c r="G393" s="2" t="s">
        <v>1263</v>
      </c>
      <c r="H393" s="1">
        <v>4.0</v>
      </c>
      <c r="I393" s="1" t="s">
        <v>14</v>
      </c>
      <c r="J393" s="1" t="s">
        <v>11</v>
      </c>
      <c r="K393" s="2" t="s">
        <v>1264</v>
      </c>
      <c r="L393" s="2" t="s">
        <v>1265</v>
      </c>
      <c r="M393" s="2" t="str">
        <f>IFERROR(__xludf.DUMMYFUNCTION("split(split(K393,""桐谷美玲　"",false),""公式LINE"",false)"),"番組公式HP　  http://www.fujitv.co.jp/sukinahitogairukoto/index.html　    番組公式Twitter  @Getsu9_Suki    番組")</f>
        <v>番組公式HP　  http://www.fujitv.co.jp/sukinahitogairukoto/index.html　    番組公式Twitter  @Getsu9_Suki    番組</v>
      </c>
      <c r="N393" s="2" t="str">
        <f>IFERROR(__xludf.DUMMYFUNCTION("""COMPUTED_VALUE"""),"  フジ月9『好きな人がいること』公式目覚めた櫻井美咲(桐谷美玲)がリビングに行くと誰もいない。釣りに行ってくると柴崎千秋(三浦翔平)のメモが残されていた。  千秋は夏向(山崎賢人)、冬真(野村周平)と釣りの真っ最中。そんな時でも、冬真は女の子の話。先日会った西島愛海(大原櫻子)が気になっているのだ。二宮風花(飯豊まりえ)とは別れたのかと尋ねる千秋だが、そうではないらしい。千秋に、冬真は美咲のことを聞く。すると、千秋は美咲のことは真剣に考えていると答えた。夏向は黙って聞いている。冬真は、夏向の美咲への気持"&amp;"ちにも興味があった。  『Sea　Sons』で美咲が開店準備をしていると、高月楓(菜々緒)が来た。そして、楓は千秋への気持ちは譲らないと美咲につきつけて帰ってしまった。  冬真は、釣りの帰り道で愛海と出会う。冬真を待っていたと言う愛海に冬真は有頂天。愛海は、冬真の兄弟にも会いたいと言う。  その夜、美咲は石川若葉(阿部純子)に電話。美咲は勢いで楓に恋のライバル宣言をしてしまったのだ。どうすれば良いのかと聞く美咲に、若葉は花火大会で告白しろとアドバイスする。  早速、千秋を花火大会に誘おうとする美咲だが、な"&amp;"かなか言い出せない。そんなところに、日村信之(浜野謙太)が奥田実果子(佐野ひなこ)と一緒に現れ『Sea　Sons』メンバーをバーベキュー大会に誘う。普段言えないようなことも、こういう場所でなら言えると話す実果子に、美咲は…。")</f>
        <v>  フジ月9『好きな人がいること』公式目覚めた櫻井美咲(桐谷美玲)がリビングに行くと誰もいない。釣りに行ってくると柴崎千秋(三浦翔平)のメモが残されていた。  千秋は夏向(山崎賢人)、冬真(野村周平)と釣りの真っ最中。そんな時でも、冬真は女の子の話。先日会った西島愛海(大原櫻子)が気になっているのだ。二宮風花(飯豊まりえ)とは別れたのかと尋ねる千秋だが、そうではないらしい。千秋に、冬真は美咲のことを聞く。すると、千秋は美咲のことは真剣に考えていると答えた。夏向は黙って聞いている。冬真は、夏向の美咲への気持ちにも興味があった。  『Sea　Sons』で美咲が開店準備をしていると、高月楓(菜々緒)が来た。そして、楓は千秋への気持ちは譲らないと美咲につきつけて帰ってしまった。  冬真は、釣りの帰り道で愛海と出会う。冬真を待っていたと言う愛海に冬真は有頂天。愛海は、冬真の兄弟にも会いたいと言う。  その夜、美咲は石川若葉(阿部純子)に電話。美咲は勢いで楓に恋のライバル宣言をしてしまったのだ。どうすれば良いのかと聞く美咲に、若葉は花火大会で告白しろとアドバイスする。  早速、千秋を花火大会に誘おうとする美咲だが、なかなか言い出せない。そんなところに、日村信之(浜野謙太)が奥田実果子(佐野ひなこ)と一緒に現れ『Sea　Sons』メンバーをバーベキュー大会に誘う。普段言えないようなことも、こういう場所でなら言えると話す実果子に、美咲は…。</v>
      </c>
      <c r="O393" s="2"/>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row>
    <row r="394" ht="204.75" customHeight="1">
      <c r="A394" s="1">
        <v>1550.0</v>
      </c>
      <c r="B394" s="2" t="s">
        <v>1252</v>
      </c>
      <c r="C394" s="2">
        <f>IFERROR(__xludf.DUMMYFUNCTION("split(B394,""_"")"),1607.0)</f>
        <v>1607</v>
      </c>
      <c r="D394" s="2" t="str">
        <f>IFERROR(__xludf.DUMMYFUNCTION("""COMPUTED_VALUE"""),"CX")</f>
        <v>CX</v>
      </c>
      <c r="E394" s="2" t="str">
        <f>IFERROR(__xludf.DUMMYFUNCTION("""COMPUTED_VALUE"""),"月21")</f>
        <v>月21</v>
      </c>
      <c r="F394" s="2" t="s">
        <v>1253</v>
      </c>
      <c r="G394" s="2" t="s">
        <v>1266</v>
      </c>
      <c r="H394" s="1">
        <v>5.0</v>
      </c>
      <c r="I394" s="1" t="s">
        <v>17</v>
      </c>
      <c r="J394" s="1" t="s">
        <v>11</v>
      </c>
      <c r="K394" s="2" t="s">
        <v>1267</v>
      </c>
      <c r="L394" s="2" t="s">
        <v>1268</v>
      </c>
      <c r="M394" s="2" t="str">
        <f>IFERROR(__xludf.DUMMYFUNCTION("split(split(K394,""桐谷美玲　"",false),""公式LINE"",false)"),"番組公式HP　  http://www.fujitv.co.jp/sukinahitogairukoto/index.html　    番組公式Twitter  @Getsu9_Suki    番組")</f>
        <v>番組公式HP　  http://www.fujitv.co.jp/sukinahitogairukoto/index.html　    番組公式Twitter  @Getsu9_Suki    番組</v>
      </c>
      <c r="N394" s="2" t="str">
        <f>IFERROR(__xludf.DUMMYFUNCTION("""COMPUTED_VALUE"""),"  フジ月9『好きな人がいること』公式櫻井美咲(桐谷美玲)は、柴崎千秋(三浦翔平)と花火大会に行くことになったと夏向(山崎賢人)に報告。すると夏向から意外な言葉が出るのだが美咲には届かない。  花火大会前日、千秋に告白しようと決意した美咲は朝からソワソワ。テレビ番組の浴衣特集を見ていると、冬真(野村周平)に千秋と花火大会に行くのかと声をかけられる。肯定する美咲に、冬真は浴衣を着て行くようにと勧める。  買い出しの途中、呉服屋に飾られた浴衣に引き寄せられる美咲。そんな様子を日村信之(浜野謙太)に見つかってし"&amp;"まう。  一方、千秋は別のことで頭を悩ませていた。ランチタイム中の『Sea　Sons』に、西島愛海(大原櫻子)が現れたのだ。何か話がある様子の愛海だったが、千秋は聞く耳を持たずに愛海を冷たく追い返してしまう。  日村に勧められるままに浴衣一式を買ってしまった美咲は、店に帰る途中、男に金を渡している高月楓(菜々緒)を目撃する。楓は美咲に、友達に金を返していただけだと話し、花火大会の夜に街を出て行くと宣言する。  夜、美咲は夏向に、楓のことを千秋に話した方が良いのかと相談する。言う必要ないと答える夏向に安心す"&amp;"る美咲。しかし、浮かれて千秋のことを話し始めると、夏向に出て行けと言われ、喧嘩になってしまう。  そして、運命の花火大会の日。夏向との喧嘩を気にしながらも千秋とのデートに向かう美咲。果たして千秋に想いを告げられるのだろうか?")</f>
        <v>  フジ月9『好きな人がいること』公式櫻井美咲(桐谷美玲)は、柴崎千秋(三浦翔平)と花火大会に行くことになったと夏向(山崎賢人)に報告。すると夏向から意外な言葉が出るのだが美咲には届かない。  花火大会前日、千秋に告白しようと決意した美咲は朝からソワソワ。テレビ番組の浴衣特集を見ていると、冬真(野村周平)に千秋と花火大会に行くのかと声をかけられる。肯定する美咲に、冬真は浴衣を着て行くようにと勧める。  買い出しの途中、呉服屋に飾られた浴衣に引き寄せられる美咲。そんな様子を日村信之(浜野謙太)に見つかってしまう。  一方、千秋は別のことで頭を悩ませていた。ランチタイム中の『Sea　Sons』に、西島愛海(大原櫻子)が現れたのだ。何か話がある様子の愛海だったが、千秋は聞く耳を持たずに愛海を冷たく追い返してしまう。  日村に勧められるままに浴衣一式を買ってしまった美咲は、店に帰る途中、男に金を渡している高月楓(菜々緒)を目撃する。楓は美咲に、友達に金を返していただけだと話し、花火大会の夜に街を出て行くと宣言する。  夜、美咲は夏向に、楓のことを千秋に話した方が良いのかと相談する。言う必要ないと答える夏向に安心する美咲。しかし、浮かれて千秋のことを話し始めると、夏向に出て行けと言われ、喧嘩になってしまう。  そして、運命の花火大会の日。夏向との喧嘩を気にしながらも千秋とのデートに向かう美咲。果たして千秋に想いを告げられるのだろうか?</v>
      </c>
      <c r="O394" s="2"/>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row>
    <row r="395" ht="204.75" customHeight="1">
      <c r="A395" s="1">
        <v>1551.0</v>
      </c>
      <c r="B395" s="2" t="s">
        <v>1252</v>
      </c>
      <c r="C395" s="2">
        <f>IFERROR(__xludf.DUMMYFUNCTION("split(B395,""_"")"),1607.0)</f>
        <v>1607</v>
      </c>
      <c r="D395" s="2" t="str">
        <f>IFERROR(__xludf.DUMMYFUNCTION("""COMPUTED_VALUE"""),"CX")</f>
        <v>CX</v>
      </c>
      <c r="E395" s="2" t="str">
        <f>IFERROR(__xludf.DUMMYFUNCTION("""COMPUTED_VALUE"""),"月21")</f>
        <v>月21</v>
      </c>
      <c r="F395" s="2" t="s">
        <v>1253</v>
      </c>
      <c r="G395" s="2" t="s">
        <v>1269</v>
      </c>
      <c r="H395" s="1">
        <v>6.0</v>
      </c>
      <c r="I395" s="1" t="s">
        <v>21</v>
      </c>
      <c r="J395" s="1" t="s">
        <v>11</v>
      </c>
      <c r="K395" s="2" t="s">
        <v>1270</v>
      </c>
      <c r="L395" s="2" t="s">
        <v>1271</v>
      </c>
      <c r="M395" s="2" t="str">
        <f>IFERROR(__xludf.DUMMYFUNCTION("split(split(K395,""桐谷美玲　"",false),""公式LINE"",false)"),"三浦翔平&amp;野村周平の副音声が決定!!  兄弟ふたりと一緒に月9を楽しもう!    番組公式HP　  http://www.fujitv.co.jp/sukinahitogairukoto/index.html　    番組公式Twitter  @Getsu9_Suki    番組")</f>
        <v>三浦翔平&amp;野村周平の副音声が決定!!  兄弟ふたりと一緒に月9を楽しもう!    番組公式HP　  http://www.fujitv.co.jp/sukinahitogairukoto/index.html　    番組公式Twitter  @Getsu9_Suki    番組</v>
      </c>
      <c r="N395" s="2" t="str">
        <f>IFERROR(__xludf.DUMMYFUNCTION("""COMPUTED_VALUE"""),"  フジ月9『好きな人がいること』公式花火大会の夜、櫻井美咲(桐谷美玲)は柴崎千秋(三浦翔平)への想いをあきらめざるを得なくなった。そんな美咲だが、夏向(山崎賢人)に「俺がそばにいてやる」と抱きしめられる。複雑な心境の美咲…。  翌朝、夏向と顔を合わせた美咲は、動揺を隠しきれない。しかし、夏向は今までと同じように、ムスッとしたぶっきらぼうな態度。そこに来た千秋は、高月楓(菜々緒)とやり直すことにしたと美咲に告げる。分かっていたとは言え、千秋から直接聞いてしまうとは…。美咲は1人になるために洗面所へ急ぎ、涙"&amp;"を隠すために、しばらく顔を洗い続けた。  そんなある日、千秋はレストラン同士が期間限定で店を出すイベント、ダイニングアウトの企画を持ち込んだ。コラボする店は超有名レストランだと聞いて、冬真(野村周平)は驚く。千秋によると、先方が夏向と一緒に仕事がしたいと指名してきたそう。すると、話を聞いていた冬真の表情が少し曇った。  早速、夏向は美咲と一緒に先方のレストランに打ち合わせに向かう。そこで、2人を出迎えたのはレストランプロデューサー、大橋尚美。美咲は有名プロデューサー登場に大はしゃぎだが、夏向は尚美に軽い挨"&amp;"拶。夏向と尚美は知り合いのようだ。  打ち合わせを終えた美咲は、久しぶりに石川若葉(阿部純子)に会おうと待ち合わせの約束。そして、帰ろうとした美咲を夏向が引き止めた。行きたいところがあるので付き合えと言う夏向に、美咲は…。")</f>
        <v>  フジ月9『好きな人がいること』公式花火大会の夜、櫻井美咲(桐谷美玲)は柴崎千秋(三浦翔平)への想いをあきらめざるを得なくなった。そんな美咲だが、夏向(山崎賢人)に「俺がそばにいてやる」と抱きしめられる。複雑な心境の美咲…。  翌朝、夏向と顔を合わせた美咲は、動揺を隠しきれない。しかし、夏向は今までと同じように、ムスッとしたぶっきらぼうな態度。そこに来た千秋は、高月楓(菜々緒)とやり直すことにしたと美咲に告げる。分かっていたとは言え、千秋から直接聞いてしまうとは…。美咲は1人になるために洗面所へ急ぎ、涙を隠すために、しばらく顔を洗い続けた。  そんなある日、千秋はレストラン同士が期間限定で店を出すイベント、ダイニングアウトの企画を持ち込んだ。コラボする店は超有名レストランだと聞いて、冬真(野村周平)は驚く。千秋によると、先方が夏向と一緒に仕事がしたいと指名してきたそう。すると、話を聞いていた冬真の表情が少し曇った。  早速、夏向は美咲と一緒に先方のレストランに打ち合わせに向かう。そこで、2人を出迎えたのはレストランプロデューサー、大橋尚美。美咲は有名プロデューサー登場に大はしゃぎだが、夏向は尚美に軽い挨拶。夏向と尚美は知り合いのようだ。  打ち合わせを終えた美咲は、久しぶりに石川若葉(阿部純子)に会おうと待ち合わせの約束。そして、帰ろうとした美咲を夏向が引き止めた。行きたいところがあるので付き合えと言う夏向に、美咲は…。</v>
      </c>
      <c r="O395" s="2"/>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row>
    <row r="396" ht="204.75" customHeight="1">
      <c r="A396" s="1">
        <v>1552.0</v>
      </c>
      <c r="B396" s="2" t="s">
        <v>1252</v>
      </c>
      <c r="C396" s="2">
        <f>IFERROR(__xludf.DUMMYFUNCTION("split(B396,""_"")"),1607.0)</f>
        <v>1607</v>
      </c>
      <c r="D396" s="2" t="str">
        <f>IFERROR(__xludf.DUMMYFUNCTION("""COMPUTED_VALUE"""),"CX")</f>
        <v>CX</v>
      </c>
      <c r="E396" s="2" t="str">
        <f>IFERROR(__xludf.DUMMYFUNCTION("""COMPUTED_VALUE"""),"月21")</f>
        <v>月21</v>
      </c>
      <c r="F396" s="2" t="s">
        <v>1253</v>
      </c>
      <c r="G396" s="2" t="s">
        <v>1272</v>
      </c>
      <c r="H396" s="1">
        <v>7.0</v>
      </c>
      <c r="I396" s="1" t="s">
        <v>25</v>
      </c>
      <c r="J396" s="1" t="s">
        <v>4</v>
      </c>
      <c r="K396" s="2" t="s">
        <v>1273</v>
      </c>
      <c r="L396" s="2" t="s">
        <v>1274</v>
      </c>
      <c r="M396" s="2" t="str">
        <f>IFERROR(__xludf.DUMMYFUNCTION("split(split(K396,""桐谷美玲　"",false),""公式LINE"",false)"),"番組公式HP　  http://www.fujitv.co.jp/sukinahitogairukoto/index.html　    番組公式Twitter  @Getsu9_Suki    番組")</f>
        <v>番組公式HP　  http://www.fujitv.co.jp/sukinahitogairukoto/index.html　    番組公式Twitter  @Getsu9_Suki    番組</v>
      </c>
      <c r="N396" s="2" t="str">
        <f>IFERROR(__xludf.DUMMYFUNCTION("""COMPUTED_VALUE"""),"  フジ月9『好きな人がいること』公式柴崎千秋(三浦翔平)の制止も聞かず、冬真(野村周平)は夏向(山崎賢人)が本当の兄弟ではないと言い放った。それは、今まで千秋が隠し続けて来た事実だった。しかし、突然のことに夏向は信じられない。そばにいた櫻井美咲(桐谷美玲)も唖然とするばかり。  すると、冬真は夏向の本当の妹だと西島愛海(大原櫻子)を連れて来た。愛海は、実の兄、夏向を探していたと言う。愛海の母、つまり夏向の本当の母親が重篤な病で苦しんでいて、一刻も早く輸血が必要な治療をしたいらしい。しかし、母親は珍しい血"&amp;"液型なので、血の繋がった夏向に輸血を頼みたかったのだ。いきなりの事に、動揺を隠しきれず夏向は出て行ってしまう。美咲は追いかけるが、かける言葉が見つからなかった。  柴崎家に戻った美咲は、冬真に夏向が心配ではないのかと問いかける。だが、冬真は自分のせいでこんな事になったと言いたいのかと怒ってしまう。美咲や千秋は、いつも夏向の味方で、自分が本当の兄弟でない方が良かったのではないかと言い放ち、冬真も家を出て行ってしまった。冬真とすれ違いに、夏向が帰ってくるのだが…。  翌朝、美咲は夏向の部屋に食事を持って行く。"&amp;"ノックをするのだが返事がない。美咲が部屋に入ると、そこに夏向の姿はなかった。冬真も昨夜出て行ったきり。  美咲は千秋とともにレストランの予約客にキャンセルの連絡。千秋は、夏向を傷つけてしまったのではないかと自分を責めていた。")</f>
        <v>  フジ月9『好きな人がいること』公式柴崎千秋(三浦翔平)の制止も聞かず、冬真(野村周平)は夏向(山崎賢人)が本当の兄弟ではないと言い放った。それは、今まで千秋が隠し続けて来た事実だった。しかし、突然のことに夏向は信じられない。そばにいた櫻井美咲(桐谷美玲)も唖然とするばかり。  すると、冬真は夏向の本当の妹だと西島愛海(大原櫻子)を連れて来た。愛海は、実の兄、夏向を探していたと言う。愛海の母、つまり夏向の本当の母親が重篤な病で苦しんでいて、一刻も早く輸血が必要な治療をしたいらしい。しかし、母親は珍しい血液型なので、血の繋がった夏向に輸血を頼みたかったのだ。いきなりの事に、動揺を隠しきれず夏向は出て行ってしまう。美咲は追いかけるが、かける言葉が見つからなかった。  柴崎家に戻った美咲は、冬真に夏向が心配ではないのかと問いかける。だが、冬真は自分のせいでこんな事になったと言いたいのかと怒ってしまう。美咲や千秋は、いつも夏向の味方で、自分が本当の兄弟でない方が良かったのではないかと言い放ち、冬真も家を出て行ってしまった。冬真とすれ違いに、夏向が帰ってくるのだが…。  翌朝、美咲は夏向の部屋に食事を持って行く。ノックをするのだが返事がない。美咲が部屋に入ると、そこに夏向の姿はなかった。冬真も昨夜出て行ったきり。  美咲は千秋とともにレストランの予約客にキャンセルの連絡。千秋は、夏向を傷つけてしまったのではないかと自分を責めていた。</v>
      </c>
      <c r="O396" s="2"/>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row>
    <row r="397" ht="204.75" customHeight="1">
      <c r="A397" s="1">
        <v>1553.0</v>
      </c>
      <c r="B397" s="2" t="s">
        <v>1252</v>
      </c>
      <c r="C397" s="2">
        <f>IFERROR(__xludf.DUMMYFUNCTION("split(B397,""_"")"),1607.0)</f>
        <v>1607</v>
      </c>
      <c r="D397" s="2" t="str">
        <f>IFERROR(__xludf.DUMMYFUNCTION("""COMPUTED_VALUE"""),"CX")</f>
        <v>CX</v>
      </c>
      <c r="E397" s="2" t="str">
        <f>IFERROR(__xludf.DUMMYFUNCTION("""COMPUTED_VALUE"""),"月21")</f>
        <v>月21</v>
      </c>
      <c r="F397" s="2" t="s">
        <v>1253</v>
      </c>
      <c r="G397" s="2" t="s">
        <v>1275</v>
      </c>
      <c r="H397" s="1">
        <v>8.0</v>
      </c>
      <c r="I397" s="1" t="s">
        <v>29</v>
      </c>
      <c r="J397" s="1" t="s">
        <v>11</v>
      </c>
      <c r="K397" s="2" t="s">
        <v>1276</v>
      </c>
      <c r="L397" s="2" t="s">
        <v>1277</v>
      </c>
      <c r="M397" s="2" t="str">
        <f>IFERROR(__xludf.DUMMYFUNCTION("split(split(K397,""桐谷美玲　"",false),""公式LINE"",false)"),"番組公式HP　  http://www.fujitv.co.jp/sukinahitogairukoto/index.html　    番組公式Twitter  @Getsu9_Suki    番組")</f>
        <v>番組公式HP　  http://www.fujitv.co.jp/sukinahitogairukoto/index.html　    番組公式Twitter  @Getsu9_Suki    番組</v>
      </c>
      <c r="N397" s="2" t="str">
        <f>IFERROR(__xludf.DUMMYFUNCTION("""COMPUTED_VALUE"""),"  フジ月9『好きな人がいること』公式柴崎兄弟のわだかまりが解け『Sea　Sons』の営業も元に戻った。櫻井美咲(桐谷美玲)への夏向(山崎賢人)の態度は相変わらずだが、冬真(野村周平)が厨房のアシスタントを始めたため、以前より活気にあふれている。そんな様子を千秋(三浦翔平)が見つめていた。  美咲には、2つの課題ができていた。1つは、大橋尚美(池端レイナ)プロデュースで夏向と行うダイニングアウトに提供する料理のプレゼンを成功させること。もう1つは、夏向の告白への返事。答えは決まっている美咲だが、タイミング"&amp;"が分からずにいた。美咲は自室から石川若葉(阿部純子)に電話で相談。若葉は、すぐに返事をしろと言うが、美咲はダイニングアウトの仕事中だともじもじ。そこに、冬真が来て、夏の思い出を作ろうと美咲を誘う。  冬真は兄弟と楽しむ花火に美咲を連れ出した。絶好のチャンスと、美咲は夏向に接近。勇気を出して返事を決めたと切り出す美咲に、夏向はそれでは明日一緒に食材探しに行こうと言う。夏向は、美咲がダイニングアウトのデザートを決めたと思ったのだ。結局、美咲は告白の返事ができない。2人を見ていた冬真は、くっつくのも時間の問題だ"&amp;"と千秋に話す。美咲は千秋のことは吹っ切れたみたいだと続ける冬真。千秋は…。  次の日から、美咲と夏向の食材集めが始まった。そして、プレゼンの日がやって来る。美咲はプレゼンが成功したら、2人でお祝いをしようと夏向に提案した。")</f>
        <v>  フジ月9『好きな人がいること』公式柴崎兄弟のわだかまりが解け『Sea　Sons』の営業も元に戻った。櫻井美咲(桐谷美玲)への夏向(山崎賢人)の態度は相変わらずだが、冬真(野村周平)が厨房のアシスタントを始めたため、以前より活気にあふれている。そんな様子を千秋(三浦翔平)が見つめていた。  美咲には、2つの課題ができていた。1つは、大橋尚美(池端レイナ)プロデュースで夏向と行うダイニングアウトに提供する料理のプレゼンを成功させること。もう1つは、夏向の告白への返事。答えは決まっている美咲だが、タイミングが分からずにいた。美咲は自室から石川若葉(阿部純子)に電話で相談。若葉は、すぐに返事をしろと言うが、美咲はダイニングアウトの仕事中だともじもじ。そこに、冬真が来て、夏の思い出を作ろうと美咲を誘う。  冬真は兄弟と楽しむ花火に美咲を連れ出した。絶好のチャンスと、美咲は夏向に接近。勇気を出して返事を決めたと切り出す美咲に、夏向はそれでは明日一緒に食材探しに行こうと言う。夏向は、美咲がダイニングアウトのデザートを決めたと思ったのだ。結局、美咲は告白の返事ができない。2人を見ていた冬真は、くっつくのも時間の問題だと千秋に話す。美咲は千秋のことは吹っ切れたみたいだと続ける冬真。千秋は…。  次の日から、美咲と夏向の食材集めが始まった。そして、プレゼンの日がやって来る。美咲はプレゼンが成功したら、2人でお祝いをしようと夏向に提案した。</v>
      </c>
      <c r="O397" s="2"/>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row>
    <row r="398" ht="204.75" customHeight="1">
      <c r="A398" s="1">
        <v>1554.0</v>
      </c>
      <c r="B398" s="2" t="s">
        <v>1252</v>
      </c>
      <c r="C398" s="2">
        <f>IFERROR(__xludf.DUMMYFUNCTION("split(B398,""_"")"),1607.0)</f>
        <v>1607</v>
      </c>
      <c r="D398" s="2" t="str">
        <f>IFERROR(__xludf.DUMMYFUNCTION("""COMPUTED_VALUE"""),"CX")</f>
        <v>CX</v>
      </c>
      <c r="E398" s="2" t="str">
        <f>IFERROR(__xludf.DUMMYFUNCTION("""COMPUTED_VALUE"""),"月21")</f>
        <v>月21</v>
      </c>
      <c r="F398" s="2" t="s">
        <v>1253</v>
      </c>
      <c r="G398" s="2" t="s">
        <v>1278</v>
      </c>
      <c r="H398" s="1">
        <v>9.0</v>
      </c>
      <c r="I398" s="1" t="s">
        <v>33</v>
      </c>
      <c r="J398" s="1" t="s">
        <v>11</v>
      </c>
      <c r="K398" s="2" t="s">
        <v>1279</v>
      </c>
      <c r="L398" s="2" t="s">
        <v>1280</v>
      </c>
      <c r="M398" s="2" t="str">
        <f>IFERROR(__xludf.DUMMYFUNCTION("split(split(K398,""桐谷美玲　"",false),""公式LINE"",false)"),"番組公式HP　  http://www.fujitv.co.jp/sukinahitogairukoto/index.html　    番組公式Twitter  @Getsu9_Suki    番組")</f>
        <v>番組公式HP　  http://www.fujitv.co.jp/sukinahitogairukoto/index.html　    番組公式Twitter  @Getsu9_Suki    番組</v>
      </c>
      <c r="N398" s="2" t="str">
        <f>IFERROR(__xludf.DUMMYFUNCTION("""COMPUTED_VALUE"""),"  フジ月9『好きな人がいること』公式料理プレゼンに成功した櫻井美咲(桐谷美玲)は、柴崎夏向(山崎賢人)とお祝いをすることに。美咲は、その時に夏向の告白に答えるつもりだった。しかし『Sea　Sons』でケーキを作って夏向のもとへ戻ろうとした矢先、美咲は千秋(三浦翔平)に突然抱きしめられてしまう。あまりの衝撃に美咲は、作ったばかりのケーキを落としてしまった。  美咲が柴崎家に帰ると、夏向が料理を用意して待っていた。ケーキを落としてしまったと言い訳する美咲。そこに、千秋も帰って来る。千秋と夏向の間で動揺する美"&amp;"咲は、腹痛を装って自室に戻ってしまう。  翌日、美咲は石川若葉(阿部純子)に電話をかけて昨日の出来事を話して恋愛相談。すると若葉は、千秋は美咲が好きだと断定。千秋には高月楓(菜々緒)がいると否定する美咲に、若葉は何とも思っていない女性を抱きしめるわけがないと言う。さらに、夏向への返事をまだ保留にしていることを話した美咲は、いつまでも待ってくれないと若葉に忠告されてしまった。  その日、千秋は話したいことがあると楓を呼び出していた。楓は、話を聞く前に一緒に行きたいところがあると千秋を連れて行く。  一方、美"&amp;"咲は冬真(野村周平)から夏向が現場へ下見に行ったと聞いて追いかける。昨夜のお祝いをキャンセルしたことをわびる美咲に、夏向は腹痛なら仕方ないと言う。夏向がひとりで下見に来たのも、自分の体調を気遣ったからだと知った美咲は…。")</f>
        <v>  フジ月9『好きな人がいること』公式料理プレゼンに成功した櫻井美咲(桐谷美玲)は、柴崎夏向(山崎賢人)とお祝いをすることに。美咲は、その時に夏向の告白に答えるつもりだった。しかし『Sea　Sons』でケーキを作って夏向のもとへ戻ろうとした矢先、美咲は千秋(三浦翔平)に突然抱きしめられてしまう。あまりの衝撃に美咲は、作ったばかりのケーキを落としてしまった。  美咲が柴崎家に帰ると、夏向が料理を用意して待っていた。ケーキを落としてしまったと言い訳する美咲。そこに、千秋も帰って来る。千秋と夏向の間で動揺する美咲は、腹痛を装って自室に戻ってしまう。  翌日、美咲は石川若葉(阿部純子)に電話をかけて昨日の出来事を話して恋愛相談。すると若葉は、千秋は美咲が好きだと断定。千秋には高月楓(菜々緒)がいると否定する美咲に、若葉は何とも思っていない女性を抱きしめるわけがないと言う。さらに、夏向への返事をまだ保留にしていることを話した美咲は、いつまでも待ってくれないと若葉に忠告されてしまった。  その日、千秋は話したいことがあると楓を呼び出していた。楓は、話を聞く前に一緒に行きたいところがあると千秋を連れて行く。  一方、美咲は冬真(野村周平)から夏向が現場へ下見に行ったと聞いて追いかける。昨夜のお祝いをキャンセルしたことをわびる美咲に、夏向は腹痛なら仕方ないと言う。夏向がひとりで下見に来たのも、自分の体調を気遣ったからだと知った美咲は…。</v>
      </c>
      <c r="O398" s="2"/>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row>
    <row r="399" ht="204.75" customHeight="1">
      <c r="A399" s="1">
        <v>1555.0</v>
      </c>
      <c r="B399" s="2" t="s">
        <v>1252</v>
      </c>
      <c r="C399" s="2">
        <f>IFERROR(__xludf.DUMMYFUNCTION("split(B399,""_"")"),1607.0)</f>
        <v>1607</v>
      </c>
      <c r="D399" s="2" t="str">
        <f>IFERROR(__xludf.DUMMYFUNCTION("""COMPUTED_VALUE"""),"CX")</f>
        <v>CX</v>
      </c>
      <c r="E399" s="2" t="str">
        <f>IFERROR(__xludf.DUMMYFUNCTION("""COMPUTED_VALUE"""),"月21")</f>
        <v>月21</v>
      </c>
      <c r="F399" s="2" t="s">
        <v>1253</v>
      </c>
      <c r="G399" s="2" t="s">
        <v>1281</v>
      </c>
      <c r="H399" s="1">
        <v>10.0</v>
      </c>
      <c r="I399" s="1" t="s">
        <v>37</v>
      </c>
      <c r="J399" s="1" t="s">
        <v>11</v>
      </c>
      <c r="K399" s="2" t="s">
        <v>1282</v>
      </c>
      <c r="L399" s="2" t="s">
        <v>1283</v>
      </c>
      <c r="M399" s="2" t="str">
        <f>IFERROR(__xludf.DUMMYFUNCTION("split(split(K399,""桐谷美玲　"",false),""公式LINE"",false)"),"番組公式HP　  http://www.fujitv.co.jp/sukinahitogairukoto/index.html　    番組公式Twitter  @Getsu9_Suki    番組")</f>
        <v>番組公式HP　  http://www.fujitv.co.jp/sukinahitogairukoto/index.html　    番組公式Twitter  @Getsu9_Suki    番組</v>
      </c>
      <c r="N399" s="2" t="str">
        <f>IFERROR(__xludf.DUMMYFUNCTION("""COMPUTED_VALUE"""),"  フジ月9『好きな人がいること』公式櫻井美咲(桐谷美玲)は、ついに柴崎夏向(山崎賢人)の告白に「私が好きなのは…夏向です」と返事ができた。しかし、夏向からは「もう、お前が好きじゃなくなった」と、予想外の言葉を突きつけられてしまう。  翌日『Sea　Sons』の仕事中も、美咲は夏向が気になって仕方ない。夏向への告白が成功したと思っている冬真(野村周平)に祝福される美咲だが、返事ができない。一方、夏向にはダイニングアウトの反響の良さから、インタビューの取材依頼が殺到している。また、千秋(三浦翔平)は、日本を"&amp;"代表する料理評論家がレストランに食べに来ることを、みんなに伝えた。  その夜、美咲はやっと夏向に昨日の言葉の理由を聞く機会を得た。だが、夏向は気が変わっただけだと素っ気ない返事をするだけ。思い悩む美咲が自室にいると千秋が来た。夏向の取材の時にデザートを作ってほしいと頼みに来た千秋だが、美咲が元気を失っていることにも気づいていた。美咲がフラれたと知った千秋は夏向の部屋へ。千秋も理由を尋ねるのだが、夏向は何も答えず…。")</f>
        <v>  フジ月9『好きな人がいること』公式櫻井美咲(桐谷美玲)は、ついに柴崎夏向(山崎賢人)の告白に「私が好きなのは…夏向です」と返事ができた。しかし、夏向からは「もう、お前が好きじゃなくなった」と、予想外の言葉を突きつけられてしまう。  翌日『Sea　Sons』の仕事中も、美咲は夏向が気になって仕方ない。夏向への告白が成功したと思っている冬真(野村周平)に祝福される美咲だが、返事ができない。一方、夏向にはダイニングアウトの反響の良さから、インタビューの取材依頼が殺到している。また、千秋(三浦翔平)は、日本を代表する料理評論家がレストランに食べに来ることを、みんなに伝えた。  その夜、美咲はやっと夏向に昨日の言葉の理由を聞く機会を得た。だが、夏向は気が変わっただけだと素っ気ない返事をするだけ。思い悩む美咲が自室にいると千秋が来た。夏向の取材の時にデザートを作ってほしいと頼みに来た千秋だが、美咲が元気を失っていることにも気づいていた。美咲がフラれたと知った千秋は夏向の部屋へ。千秋も理由を尋ねるのだが、夏向は何も答えず…。</v>
      </c>
      <c r="O399" s="2"/>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row>
    <row r="400" ht="204.75" customHeight="1">
      <c r="A400" s="1">
        <v>1556.0</v>
      </c>
      <c r="B400" s="2" t="s">
        <v>1284</v>
      </c>
      <c r="C400" s="2">
        <f>IFERROR(__xludf.DUMMYFUNCTION("split(B400,""_"")"),1607.0)</f>
        <v>1607</v>
      </c>
      <c r="D400" s="2" t="str">
        <f>IFERROR(__xludf.DUMMYFUNCTION("""COMPUTED_VALUE"""),"CX")</f>
        <v>CX</v>
      </c>
      <c r="E400" s="2" t="str">
        <f>IFERROR(__xludf.DUMMYFUNCTION("""COMPUTED_VALUE"""),"火22")</f>
        <v>火22</v>
      </c>
      <c r="F400" s="2" t="s">
        <v>1285</v>
      </c>
      <c r="G400" s="2" t="s">
        <v>1286</v>
      </c>
      <c r="H400" s="1">
        <v>1.0</v>
      </c>
      <c r="I400" s="1" t="s">
        <v>3</v>
      </c>
      <c r="J400" s="1" t="s">
        <v>4</v>
      </c>
      <c r="K400" s="2" t="s">
        <v>1287</v>
      </c>
      <c r="L400" s="2" t="s">
        <v>1288</v>
      </c>
      <c r="M400" s="2" t="str">
        <f>IFERROR(__xludf.DUMMYFUNCTION("split(split(K400,""波瑠　"",false),""公式LINE"",false)"),"藤堂比奈子(波瑠)は警視庁捜査一課の新人刑事。母親の形見である七味缶を持ち歩きあらゆるものに振りかけるので、周囲からは変わり者扱いされている。  ある日、捜査一課に宮原秋雄(清水優)という男が遺体で発見されたと連絡が入る。比奈子は先輩刑事の東海林泰久(横山裕)や倉島敬一郎(要潤)と初めて現場へ。無残な遺体を前に一同は言葉を失うが、比奈子だけは平然としていた。また、遺体の状況が3年前に殺された女子高生の遺体とそっくりだと判明。しかも宮原は当時事件の容疑者として警察がマークしていた人物だった。やがて、東海林が"&amp;"事件現場で宮原のスマートフォンを発見。中には宮原が何者かに襲撃されていると思われる凄惨な映像が残されていた。  後日、宮原に襲われた被害者に聞き込みをしていた比奈子は、心療内科医の中島保(林遣都)に出くわす。さらに、その家に住んでいた被害者が、3カ月前に自殺していたことが分かり…。同じ頃、遺体の解剖結果も明らかに。監察医の石上妙子(原田美枝子)によると、宮原の傷は3年前の女子高生の遺体とすべて一致。しかしそれらは宮原が自らつけたものだという。宮原の死は自殺ということになるが、厚田巌夫(渡部篤郎)はどうも腑"&amp;"に落ちない。そんななか、例の宮原の死に際の映像がネット上に流出していることが判明。やはり単純な自殺で処理することはできない、警察がそう睨んだ矢先、今度は公園で女性の遺体が発見されてー。")</f>
        <v>藤堂比奈子(波瑠)は警視庁捜査一課の新人刑事。母親の形見である七味缶を持ち歩きあらゆるものに振りかけるので、周囲からは変わり者扱いされている。  ある日、捜査一課に宮原秋雄(清水優)という男が遺体で発見されたと連絡が入る。比奈子は先輩刑事の東海林泰久(横山裕)や倉島敬一郎(要潤)と初めて現場へ。無残な遺体を前に一同は言葉を失うが、比奈子だけは平然としていた。また、遺体の状況が3年前に殺された女子高生の遺体とそっくりだと判明。しかも宮原は当時事件の容疑者として警察がマークしていた人物だった。やがて、東海林が事件現場で宮原のスマートフォンを発見。中には宮原が何者かに襲撃されていると思われる凄惨な映像が残されていた。  後日、宮原に襲われた被害者に聞き込みをしていた比奈子は、心療内科医の中島保(林遣都)に出くわす。さらに、その家に住んでいた被害者が、3カ月前に自殺していたことが分かり…。同じ頃、遺体の解剖結果も明らかに。監察医の石上妙子(原田美枝子)によると、宮原の傷は3年前の女子高生の遺体とすべて一致。しかしそれらは宮原が自らつけたものだという。宮原の死は自殺ということになるが、厚田巌夫(渡部篤郎)はどうも腑に落ちない。そんななか、例の宮原の死に際の映像がネット上に流出していることが判明。やはり単純な自殺で処理することはできない、警察がそう睨んだ矢先、今度は公園で女性の遺体が発見されてー。</v>
      </c>
      <c r="N400" s="2"/>
      <c r="O400" s="2"/>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row>
    <row r="401" ht="204.75" customHeight="1">
      <c r="A401" s="1">
        <v>1557.0</v>
      </c>
      <c r="B401" s="2" t="s">
        <v>1284</v>
      </c>
      <c r="C401" s="2">
        <f>IFERROR(__xludf.DUMMYFUNCTION("split(B401,""_"")"),1607.0)</f>
        <v>1607</v>
      </c>
      <c r="D401" s="2" t="str">
        <f>IFERROR(__xludf.DUMMYFUNCTION("""COMPUTED_VALUE"""),"CX")</f>
        <v>CX</v>
      </c>
      <c r="E401" s="2" t="str">
        <f>IFERROR(__xludf.DUMMYFUNCTION("""COMPUTED_VALUE"""),"火22")</f>
        <v>火22</v>
      </c>
      <c r="F401" s="2" t="s">
        <v>1285</v>
      </c>
      <c r="G401" s="2" t="s">
        <v>1289</v>
      </c>
      <c r="H401" s="1">
        <v>2.0</v>
      </c>
      <c r="I401" s="1" t="s">
        <v>7</v>
      </c>
      <c r="J401" s="1" t="s">
        <v>86</v>
      </c>
      <c r="K401" s="2" t="s">
        <v>1290</v>
      </c>
      <c r="L401" s="2" t="s">
        <v>1291</v>
      </c>
      <c r="M401" s="2" t="str">
        <f>IFERROR(__xludf.DUMMYFUNCTION("split(split(K401,""波瑠　"",false),""公式LINE"",false)"),"空き地で、乗り捨てられた冷凍車と椅子に座った冷凍遺体2体が発見された。解剖の結果、両者は兄弟で、殺害後に冷凍、遺棄されたと判明。警察は遺体の身元を割り出すため、冷凍車の足取りを追跡する。  一方、東京拘置所では1人の死刑囚が変死する。妙子(原田美枝子)によると、先日留置所で自殺と思われる不審な死を遂げた殺人犯の大友(三浦貴大)と同じケースだという。比奈子(波瑠)は検死のため拘置所へ向かう妙子に同行。そこで受刑者の面談をしている中島(林遣都)と再会するが、大友の事件を振り返った中島は、比奈子が殺人犯の犯行の"&amp;"動機を“ある種の衝動""だと決めつけたことを指摘。「犯罪者の心理は一筋縄で解き明かせるものではない」と比奈子の考え方に苦言を呈する。  やがて、冷凍遺体遺棄事件を追っていた厚田(渡部篤郎)たちは冷凍設備のある一軒の商店にたどり着く。しかし、比奈子や東海林(横山裕)が現場へ向かうと、3カ月前に閉店した店はもぬけの殻。そこに住んでいるはずの父親と3人の子供の姿もない。ところが、裏庭にはなぜか今も動いている大型の冷凍庫があり、ドアを開けると、そこにはテーブルセットの前に座っている老人と女性の冷凍遺体があったーー"&amp;"!")</f>
        <v>空き地で、乗り捨てられた冷凍車と椅子に座った冷凍遺体2体が発見された。解剖の結果、両者は兄弟で、殺害後に冷凍、遺棄されたと判明。警察は遺体の身元を割り出すため、冷凍車の足取りを追跡する。  一方、東京拘置所では1人の死刑囚が変死する。妙子(原田美枝子)によると、先日留置所で自殺と思われる不審な死を遂げた殺人犯の大友(三浦貴大)と同じケースだという。比奈子(波瑠)は検死のため拘置所へ向かう妙子に同行。そこで受刑者の面談をしている中島(林遣都)と再会するが、大友の事件を振り返った中島は、比奈子が殺人犯の犯行の動機を“ある種の衝動"だと決めつけたことを指摘。「犯罪者の心理は一筋縄で解き明かせるものではない」と比奈子の考え方に苦言を呈する。  やがて、冷凍遺体遺棄事件を追っていた厚田(渡部篤郎)たちは冷凍設備のある一軒の商店にたどり着く。しかし、比奈子や東海林(横山裕)が現場へ向かうと、3カ月前に閉店した店はもぬけの殻。そこに住んでいるはずの父親と3人の子供の姿もない。ところが、裏庭にはなぜか今も動いている大型の冷凍庫があり、ドアを開けると、そこにはテーブルセットの前に座っている老人と女性の冷凍遺体があったーー!</v>
      </c>
      <c r="N401" s="2"/>
      <c r="O401" s="2"/>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row>
    <row r="402" ht="204.75" customHeight="1">
      <c r="A402" s="1">
        <v>1558.0</v>
      </c>
      <c r="B402" s="2" t="s">
        <v>1284</v>
      </c>
      <c r="C402" s="2">
        <f>IFERROR(__xludf.DUMMYFUNCTION("split(B402,""_"")"),1607.0)</f>
        <v>1607</v>
      </c>
      <c r="D402" s="2" t="str">
        <f>IFERROR(__xludf.DUMMYFUNCTION("""COMPUTED_VALUE"""),"CX")</f>
        <v>CX</v>
      </c>
      <c r="E402" s="2" t="str">
        <f>IFERROR(__xludf.DUMMYFUNCTION("""COMPUTED_VALUE"""),"火22")</f>
        <v>火22</v>
      </c>
      <c r="F402" s="2" t="s">
        <v>1285</v>
      </c>
      <c r="G402" s="2" t="s">
        <v>1292</v>
      </c>
      <c r="H402" s="1">
        <v>3.0</v>
      </c>
      <c r="I402" s="1" t="s">
        <v>10</v>
      </c>
      <c r="J402" s="1" t="s">
        <v>86</v>
      </c>
      <c r="K402" s="2" t="s">
        <v>1293</v>
      </c>
      <c r="L402" s="2" t="s">
        <v>1294</v>
      </c>
      <c r="M402" s="2" t="str">
        <f>IFERROR(__xludf.DUMMYFUNCTION("split(split(K402,""波瑠　"",false),""公式LINE"",false)"),"近隣住民から幽霊屋敷と呼ばれている廃虚で、体の一部が切り取られた4体の遺体が発見される。被害者はいずれも若い女性で、犯人は殺害後、遺体に自らが用意した服を着せ、切り取った体の一部を持ち去ったと見られる。先日の冷凍殺人の一件で、中島(林遣都)が犯人像の特定に一役買ったことを東海林(横山裕)から聞いた厚田(渡部篤郎)は、プロファイリングを中島に頼むことに。  一方、比奈子(波瑠)は、遺体発見の前日、幽霊屋敷に雨がっぱを着たオバケがいるのを見たと証言する少女・吉田遙香(住田萌乃)に出会う。さらに遙香は、一週間前"&amp;"にも自宅近くで同じオバケを見たという。聞き込みを進める中で、比奈子は遥香とその母親・佐和(中島亜梨沙)と親しい仲で近所のクリーニング屋を営む佐藤都夜(佐々木希)と知り合う。都夜は、佐和が以前からストーカーに付きまとわれており、雨がっぱを着たオバケと関係しているのではと相談する。  やがて、遺体に着せてあった服が被害者にぴったりのサイズだったことから、犯人がデザイナーではないかと推理した比奈子。遺体を切り取った道具が、デザイナーが使うような特殊なハサミだったことも判明する。  そんななか、妙子(原田美枝子)"&amp;"は、自殺と思われる不審な死を遂げた宮原、大友、鮫島の3人に共通点を見つけたと比奈子に話す。3人の脳内には、同じ箇所に腫瘍が発生していたというのだ。その頃、捜査本部には中島がやって来てー。")</f>
        <v>近隣住民から幽霊屋敷と呼ばれている廃虚で、体の一部が切り取られた4体の遺体が発見される。被害者はいずれも若い女性で、犯人は殺害後、遺体に自らが用意した服を着せ、切り取った体の一部を持ち去ったと見られる。先日の冷凍殺人の一件で、中島(林遣都)が犯人像の特定に一役買ったことを東海林(横山裕)から聞いた厚田(渡部篤郎)は、プロファイリングを中島に頼むことに。  一方、比奈子(波瑠)は、遺体発見の前日、幽霊屋敷に雨がっぱを着たオバケがいるのを見たと証言する少女・吉田遙香(住田萌乃)に出会う。さらに遙香は、一週間前にも自宅近くで同じオバケを見たという。聞き込みを進める中で、比奈子は遥香とその母親・佐和(中島亜梨沙)と親しい仲で近所のクリーニング屋を営む佐藤都夜(佐々木希)と知り合う。都夜は、佐和が以前からストーカーに付きまとわれており、雨がっぱを着たオバケと関係しているのではと相談する。  やがて、遺体に着せてあった服が被害者にぴったりのサイズだったことから、犯人がデザイナーではないかと推理した比奈子。遺体を切り取った道具が、デザイナーが使うような特殊なハサミだったことも判明する。  そんななか、妙子(原田美枝子)は、自殺と思われる不審な死を遂げた宮原、大友、鮫島の3人に共通点を見つけたと比奈子に話す。3人の脳内には、同じ箇所に腫瘍が発生していたというのだ。その頃、捜査本部には中島がやって来てー。</v>
      </c>
      <c r="N402" s="2"/>
      <c r="O402" s="2"/>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row>
    <row r="403" ht="204.75" customHeight="1">
      <c r="A403" s="1">
        <v>1559.0</v>
      </c>
      <c r="B403" s="2" t="s">
        <v>1284</v>
      </c>
      <c r="C403" s="2">
        <f>IFERROR(__xludf.DUMMYFUNCTION("split(B403,""_"")"),1607.0)</f>
        <v>1607</v>
      </c>
      <c r="D403" s="2" t="str">
        <f>IFERROR(__xludf.DUMMYFUNCTION("""COMPUTED_VALUE"""),"CX")</f>
        <v>CX</v>
      </c>
      <c r="E403" s="2" t="str">
        <f>IFERROR(__xludf.DUMMYFUNCTION("""COMPUTED_VALUE"""),"火22")</f>
        <v>火22</v>
      </c>
      <c r="F403" s="2" t="s">
        <v>1285</v>
      </c>
      <c r="G403" s="2" t="s">
        <v>1295</v>
      </c>
      <c r="H403" s="1">
        <v>4.0</v>
      </c>
      <c r="I403" s="1" t="s">
        <v>14</v>
      </c>
      <c r="J403" s="1" t="s">
        <v>86</v>
      </c>
      <c r="K403" s="2" t="s">
        <v>1296</v>
      </c>
      <c r="L403" s="2" t="s">
        <v>1297</v>
      </c>
      <c r="M403" s="2" t="str">
        <f>IFERROR(__xludf.DUMMYFUNCTION("split(split(K403,""波瑠　"",false),""公式LINE"",false)"),"体の一部を切り取られた4人の若い女性の遺体が発見され、新たに事件現場の近くに住む佐和(中島亜梨沙)が何者かに連れ去られた。佐和と親しい佐藤都夜(佐々木希)によると、佐和は以前からストーカーの男につきまとわれていたという。しかし実際は、一連の殺人事件も佐和を狙ったのも、すべて都夜の犯行。その目的は、彼女たちの美しい皮膚を手に入れることだった。さらに、比奈子(波瑠)の顔を気に入り拉致した都夜は、顔の皮でマスクを作ろうと、比奈子にハサミを突きつける。犯人の正体に気付いた東海林(横山裕)も、中島(林遣都)と比奈子"&amp;"の行方を追うがーー。    一方で、自殺と思われる不審な死を遂げた宮原と鮫島の死に際の映像がなぜかテレビで放送される。どうやら、何者かが匿名でテレビ局に送りつけたらしい。番組には、中島の上司でハヤサカメンタルクリニックの院長・早坂雅臣(光石研)が出演。この現象を“神の裁き""と呼び、凶悪犯罪に対する抑止力になると明言する。    テレビ局から押収したDVDには、白衣姿の医師が注射で自殺する映像も残されていた。警察が知る限り、ほかにも小学生を殺害した男が心臓をナイフで突いて自殺、殺人犯の大友も留置場で頭を砕"&amp;"いて自殺している。厚田(渡部篤郎)は、誰かが一連の出来事を世間に公表しようとしていると指摘したうえで、故意に自殺を誘発している人物を調べ上げ、食い止めるよう指示する。")</f>
        <v>体の一部を切り取られた4人の若い女性の遺体が発見され、新たに事件現場の近くに住む佐和(中島亜梨沙)が何者かに連れ去られた。佐和と親しい佐藤都夜(佐々木希)によると、佐和は以前からストーカーの男につきまとわれていたという。しかし実際は、一連の殺人事件も佐和を狙ったのも、すべて都夜の犯行。その目的は、彼女たちの美しい皮膚を手に入れることだった。さらに、比奈子(波瑠)の顔を気に入り拉致した都夜は、顔の皮でマスクを作ろうと、比奈子にハサミを突きつける。犯人の正体に気付いた東海林(横山裕)も、中島(林遣都)と比奈子の行方を追うがーー。    一方で、自殺と思われる不審な死を遂げた宮原と鮫島の死に際の映像がなぜかテレビで放送される。どうやら、何者かが匿名でテレビ局に送りつけたらしい。番組には、中島の上司でハヤサカメンタルクリニックの院長・早坂雅臣(光石研)が出演。この現象を“神の裁き"と呼び、凶悪犯罪に対する抑止力になると明言する。    テレビ局から押収したDVDには、白衣姿の医師が注射で自殺する映像も残されていた。警察が知る限り、ほかにも小学生を殺害した男が心臓をナイフで突いて自殺、殺人犯の大友も留置場で頭を砕いて自殺している。厚田(渡部篤郎)は、誰かが一連の出来事を世間に公表しようとしていると指摘したうえで、故意に自殺を誘発している人物を調べ上げ、食い止めるよう指示する。</v>
      </c>
      <c r="N403" s="2"/>
      <c r="O403" s="2"/>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row>
    <row r="404" ht="204.75" customHeight="1">
      <c r="A404" s="1">
        <v>1560.0</v>
      </c>
      <c r="B404" s="2" t="s">
        <v>1284</v>
      </c>
      <c r="C404" s="2">
        <f>IFERROR(__xludf.DUMMYFUNCTION("split(B404,""_"")"),1607.0)</f>
        <v>1607</v>
      </c>
      <c r="D404" s="2" t="str">
        <f>IFERROR(__xludf.DUMMYFUNCTION("""COMPUTED_VALUE"""),"CX")</f>
        <v>CX</v>
      </c>
      <c r="E404" s="2" t="str">
        <f>IFERROR(__xludf.DUMMYFUNCTION("""COMPUTED_VALUE"""),"火22")</f>
        <v>火22</v>
      </c>
      <c r="F404" s="2" t="s">
        <v>1285</v>
      </c>
      <c r="G404" s="2" t="s">
        <v>1298</v>
      </c>
      <c r="H404" s="1">
        <v>5.0</v>
      </c>
      <c r="I404" s="1" t="s">
        <v>17</v>
      </c>
      <c r="J404" s="1" t="s">
        <v>86</v>
      </c>
      <c r="K404" s="2" t="s">
        <v>1299</v>
      </c>
      <c r="L404" s="2" t="s">
        <v>1300</v>
      </c>
      <c r="M404" s="2" t="str">
        <f>IFERROR(__xludf.DUMMYFUNCTION("split(split(K404,""波瑠　"",false),""公式LINE"",false)"),"事件の知らせを聞いて駆け付けた比奈子(波瑠)と東海林(横山裕)の目線の先に現れた少女の遺体は口にキャンディを詰められており、5年前に起きた猟奇殺人事件とそっくりで、まるで当時の犯人が、5年の時を経て自分の存在をアピールしているかのようだった。東海林は、今回の事件も中島(林遣都)に捜査協力を要請しようと提案。中島が5年前の事件の第一発見者だったことを知る比奈子は心配するが、当の中島は過去の悪夢と向き合う良い機会だと話す。    同じ頃、比奈子と厚田(渡部篤郎)は、妙子(原田美枝子)から、とある未発表の論文を"&amp;"見せられる。ネグレクトが原因で犯罪に手を染める人間の脳に直接刺激を与え、感情を操作するというテーマで、書いたのは中島と早坂(光石研)だった。倫理的な問題もあり、研究は途中で頓挫したというが、妙子は何か引っかかる様子。その晩、誰もいない院長室には、早坂のパソコンを起動させる中島の姿があった。    一方、東海林はこれまでに起きた5件の猟奇自殺が早坂の仕業ではないかと考えていた。比奈子を連れてクリニックへ向かった東海林は、自殺した5人全員がハヤサカメンタルクリニックと接点があることを指摘。比奈子も、自殺に追い"&amp;"込む方法として例の論文の話を持ち出すが、早坂は関与をきっぱり否定。詰め寄る東海林に「証拠を持ってきたまえ」と告げて……。")</f>
        <v>事件の知らせを聞いて駆け付けた比奈子(波瑠)と東海林(横山裕)の目線の先に現れた少女の遺体は口にキャンディを詰められており、5年前に起きた猟奇殺人事件とそっくりで、まるで当時の犯人が、5年の時を経て自分の存在をアピールしているかのようだった。東海林は、今回の事件も中島(林遣都)に捜査協力を要請しようと提案。中島が5年前の事件の第一発見者だったことを知る比奈子は心配するが、当の中島は過去の悪夢と向き合う良い機会だと話す。    同じ頃、比奈子と厚田(渡部篤郎)は、妙子(原田美枝子)から、とある未発表の論文を見せられる。ネグレクトが原因で犯罪に手を染める人間の脳に直接刺激を与え、感情を操作するというテーマで、書いたのは中島と早坂(光石研)だった。倫理的な問題もあり、研究は途中で頓挫したというが、妙子は何か引っかかる様子。その晩、誰もいない院長室には、早坂のパソコンを起動させる中島の姿があった。    一方、東海林はこれまでに起きた5件の猟奇自殺が早坂の仕業ではないかと考えていた。比奈子を連れてクリニックへ向かった東海林は、自殺した5人全員がハヤサカメンタルクリニックと接点があることを指摘。比奈子も、自殺に追い込む方法として例の論文の話を持ち出すが、早坂は関与をきっぱり否定。詰め寄る東海林に「証拠を持ってきたまえ」と告げて……。</v>
      </c>
      <c r="N404" s="2"/>
      <c r="O404" s="2"/>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row>
    <row r="405" ht="204.75" customHeight="1">
      <c r="A405" s="1">
        <v>1561.0</v>
      </c>
      <c r="B405" s="2" t="s">
        <v>1284</v>
      </c>
      <c r="C405" s="2">
        <f>IFERROR(__xludf.DUMMYFUNCTION("split(B405,""_"")"),1607.0)</f>
        <v>1607</v>
      </c>
      <c r="D405" s="2" t="str">
        <f>IFERROR(__xludf.DUMMYFUNCTION("""COMPUTED_VALUE"""),"CX")</f>
        <v>CX</v>
      </c>
      <c r="E405" s="2" t="str">
        <f>IFERROR(__xludf.DUMMYFUNCTION("""COMPUTED_VALUE"""),"火22")</f>
        <v>火22</v>
      </c>
      <c r="F405" s="2" t="s">
        <v>1285</v>
      </c>
      <c r="G405" s="2" t="s">
        <v>1301</v>
      </c>
      <c r="H405" s="1">
        <v>6.0</v>
      </c>
      <c r="I405" s="1" t="s">
        <v>21</v>
      </c>
      <c r="J405" s="1" t="s">
        <v>86</v>
      </c>
      <c r="K405" s="2" t="s">
        <v>1302</v>
      </c>
      <c r="L405" s="2" t="s">
        <v>1303</v>
      </c>
      <c r="M405" s="2" t="str">
        <f>IFERROR(__xludf.DUMMYFUNCTION("split(split(K405,""波瑠　"",false),""公式LINE"",false)"),"中島(林遣都)の逮捕以来、元気がない比奈子(波瑠)を厚田(渡部篤郎)や倉島(要潤)は心配するが、東海林(横山裕)だけは比奈子の落ち込んだ表情を「うそくさい」と言い、どこか警戒している様子。そんななか、公園で他殺体が発見されたと通報が入る。見つかった遺体の口には大量の100円硬貨が詰め込まれ、解剖の結果、特殊な器具を使って、胃に到達するほどの量を無理やり流し込まれたことが分かる。また、遺体の指紋が焼かれ、所持品もなかったことから、厚田は身元の洗い出しと目撃情報の収集を指示。自らも比奈子と一緒に聞き込みへ向か"&amp;"う。すると、街中で転んで怪我をした老人・稲富信吾(浜田晃)に出くわした2人。稲富を家まで送り届けると、そこは身寄りのない老人たちが共同生活を送るシェアハウスだった。    捜査が進展しないまま数日が経ち、再び口から大量の100円硬貨を流し込まれた遺体が発見される。一方、比奈子は妙子(原田美枝子)から、中島が『精神・神経研究センター』という施設に入所したことを聞く。表向きには人体に関する研究施設だが、実際には罪を犯した天才科学者や猟奇犯罪者の隔離矯正施設だという。    その頃、捜査に行き詰まり、いつものよ"&amp;"うに情報屋の藤川(不破万作)と接触した東海林だったが……。")</f>
        <v>中島(林遣都)の逮捕以来、元気がない比奈子(波瑠)を厚田(渡部篤郎)や倉島(要潤)は心配するが、東海林(横山裕)だけは比奈子の落ち込んだ表情を「うそくさい」と言い、どこか警戒している様子。そんななか、公園で他殺体が発見されたと通報が入る。見つかった遺体の口には大量の100円硬貨が詰め込まれ、解剖の結果、特殊な器具を使って、胃に到達するほどの量を無理やり流し込まれたことが分かる。また、遺体の指紋が焼かれ、所持品もなかったことから、厚田は身元の洗い出しと目撃情報の収集を指示。自らも比奈子と一緒に聞き込みへ向かう。すると、街中で転んで怪我をした老人・稲富信吾(浜田晃)に出くわした2人。稲富を家まで送り届けると、そこは身寄りのない老人たちが共同生活を送るシェアハウスだった。    捜査が進展しないまま数日が経ち、再び口から大量の100円硬貨を流し込まれた遺体が発見される。一方、比奈子は妙子(原田美枝子)から、中島が『精神・神経研究センター』という施設に入所したことを聞く。表向きには人体に関する研究施設だが、実際には罪を犯した天才科学者や猟奇犯罪者の隔離矯正施設だという。    その頃、捜査に行き詰まり、いつものように情報屋の藤川(不破万作)と接触した東海林だったが……。</v>
      </c>
      <c r="N405" s="2"/>
      <c r="O405" s="2"/>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row>
    <row r="406" ht="204.75" customHeight="1">
      <c r="A406" s="1">
        <v>1562.0</v>
      </c>
      <c r="B406" s="2" t="s">
        <v>1284</v>
      </c>
      <c r="C406" s="2">
        <f>IFERROR(__xludf.DUMMYFUNCTION("split(B406,""_"")"),1607.0)</f>
        <v>1607</v>
      </c>
      <c r="D406" s="2" t="str">
        <f>IFERROR(__xludf.DUMMYFUNCTION("""COMPUTED_VALUE"""),"CX")</f>
        <v>CX</v>
      </c>
      <c r="E406" s="2" t="str">
        <f>IFERROR(__xludf.DUMMYFUNCTION("""COMPUTED_VALUE"""),"火22")</f>
        <v>火22</v>
      </c>
      <c r="F406" s="2" t="s">
        <v>1285</v>
      </c>
      <c r="G406" s="2" t="s">
        <v>1304</v>
      </c>
      <c r="H406" s="1">
        <v>7.0</v>
      </c>
      <c r="I406" s="1" t="s">
        <v>25</v>
      </c>
      <c r="J406" s="1" t="s">
        <v>86</v>
      </c>
      <c r="K406" s="2" t="s">
        <v>1305</v>
      </c>
      <c r="L406" s="2" t="s">
        <v>1306</v>
      </c>
      <c r="M406" s="2" t="str">
        <f>IFERROR(__xludf.DUMMYFUNCTION("split(split(K406,""波瑠　"",false),""公式LINE"",false)"),"「お前の素の顔……人殺しと同じだよな」  「……私は刑事です。まだ」  東海林(横山裕)が比奈子(波瑠)の異常性を疑い始めた矢先、情報屋の藤川(不破万作)が殺される。藤川との間にトラブルを抱えていたことから疑惑をかけられていた東海林は、厚田(渡部篤郎)から藤川殺害事件の捜査を外れるよう命じられる。    一方、ちまたでは劇薬の除草剤を使った服毒自殺が4件立て続けに起きていた。遺体が握りしめていた遺書に『生きた証をAIDに託します』と書かれていたことから、何者かが毒物を送りつけ、自殺を手助けしているとにらん"&amp;"だ警察は、早速、毒物の入手経路を調べることに。その捜査の途中、比奈子は交番勤務の警官・原島(モロ師岡)と再会する。原島は、藤川の一件で東海林のことを心配していたが、一方で、命の重みをよく知る東海林が藤川を殺すはずがないと信じていた。    そこへ今度は、5人目の服毒自殺者が見つかったと知らせが入る。遺体の傍には『AID』とダイイングメッセージが残され、それはまるで殺人事件のような現場だった。遺体を解剖した妙子(原田美枝子)の話では、一連の自殺に使われた除草剤はすべて25年前に製造されたもので、恐らく自殺を"&amp;"ほう助した何者かが、製造中止になる前から保管していたものと思われ……。")</f>
        <v>「お前の素の顔……人殺しと同じだよな」  「……私は刑事です。まだ」  東海林(横山裕)が比奈子(波瑠)の異常性を疑い始めた矢先、情報屋の藤川(不破万作)が殺される。藤川との間にトラブルを抱えていたことから疑惑をかけられていた東海林は、厚田(渡部篤郎)から藤川殺害事件の捜査を外れるよう命じられる。    一方、ちまたでは劇薬の除草剤を使った服毒自殺が4件立て続けに起きていた。遺体が握りしめていた遺書に『生きた証をAIDに託します』と書かれていたことから、何者かが毒物を送りつけ、自殺を手助けしているとにらんだ警察は、早速、毒物の入手経路を調べることに。その捜査の途中、比奈子は交番勤務の警官・原島(モロ師岡)と再会する。原島は、藤川の一件で東海林のことを心配していたが、一方で、命の重みをよく知る東海林が藤川を殺すはずがないと信じていた。    そこへ今度は、5人目の服毒自殺者が見つかったと知らせが入る。遺体の傍には『AID』とダイイングメッセージが残され、それはまるで殺人事件のような現場だった。遺体を解剖した妙子(原田美枝子)の話では、一連の自殺に使われた除草剤はすべて25年前に製造されたもので、恐らく自殺をほう助した何者かが、製造中止になる前から保管していたものと思われ……。</v>
      </c>
      <c r="N406" s="2"/>
      <c r="O406" s="2"/>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row>
    <row r="407" ht="204.75" customHeight="1">
      <c r="A407" s="1">
        <v>1563.0</v>
      </c>
      <c r="B407" s="2" t="s">
        <v>1284</v>
      </c>
      <c r="C407" s="2">
        <f>IFERROR(__xludf.DUMMYFUNCTION("split(B407,""_"")"),1607.0)</f>
        <v>1607</v>
      </c>
      <c r="D407" s="2" t="str">
        <f>IFERROR(__xludf.DUMMYFUNCTION("""COMPUTED_VALUE"""),"CX")</f>
        <v>CX</v>
      </c>
      <c r="E407" s="2" t="str">
        <f>IFERROR(__xludf.DUMMYFUNCTION("""COMPUTED_VALUE"""),"火22")</f>
        <v>火22</v>
      </c>
      <c r="F407" s="2" t="s">
        <v>1285</v>
      </c>
      <c r="G407" s="2" t="s">
        <v>1307</v>
      </c>
      <c r="H407" s="1">
        <v>8.0</v>
      </c>
      <c r="I407" s="1" t="s">
        <v>29</v>
      </c>
      <c r="J407" s="1" t="s">
        <v>86</v>
      </c>
      <c r="K407" s="2" t="s">
        <v>1308</v>
      </c>
      <c r="L407" s="2" t="s">
        <v>1309</v>
      </c>
      <c r="M407" s="2" t="str">
        <f>IFERROR(__xludf.DUMMYFUNCTION("split(split(K407,""波瑠　"",false),""公式LINE"",false)"),"東海林(横山裕)から「テメーはもう、刑事じゃねぇ」と糾弾された比奈子(波瑠)は、辞職を決意して中島(林遣都)の元を訪ねる。話を聞いた中島は、「もう一度考えるべきだ」と説得するが、比奈子の心には届かない。    同じ頃、捜査一課には、拘置所近くの病院で、勾留中の連続殺人犯が刑務官を殺して脱走したと知らせが入る。逃げ出したのは、美しい皮膚を狙って女性たちを次々に殺害、比奈子のことも標的として拉致・監禁した佐藤都夜(佐々木希)だった!脱走の理由が分からない比奈子に対し、厚田(渡部篤郎)は、都夜が逮捕後も比奈子に"&amp;"強い執着を抱いていたことを打ち明け、身辺に十分注意するよう警告。東海林に比奈子の警護役を命じる。    一方、都内では、警察も看過できない猟奇的な動物死体が発見される。妙子(原田美枝子)の話では、他県でも同様の事件が起きているという。しかも、最初の犯行が行われた場所は、偶然にも比奈子の生まれ故郷でーー!?")</f>
        <v>東海林(横山裕)から「テメーはもう、刑事じゃねぇ」と糾弾された比奈子(波瑠)は、辞職を決意して中島(林遣都)の元を訪ねる。話を聞いた中島は、「もう一度考えるべきだ」と説得するが、比奈子の心には届かない。    同じ頃、捜査一課には、拘置所近くの病院で、勾留中の連続殺人犯が刑務官を殺して脱走したと知らせが入る。逃げ出したのは、美しい皮膚を狙って女性たちを次々に殺害、比奈子のことも標的として拉致・監禁した佐藤都夜(佐々木希)だった!脱走の理由が分からない比奈子に対し、厚田(渡部篤郎)は、都夜が逮捕後も比奈子に強い執着を抱いていたことを打ち明け、身辺に十分注意するよう警告。東海林に比奈子の警護役を命じる。    一方、都内では、警察も看過できない猟奇的な動物死体が発見される。妙子(原田美枝子)の話では、他県でも同様の事件が起きているという。しかも、最初の犯行が行われた場所は、偶然にも比奈子の生まれ故郷でーー!?</v>
      </c>
      <c r="N407" s="2"/>
      <c r="O407" s="2"/>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row>
    <row r="408" ht="204.75" customHeight="1">
      <c r="A408" s="1">
        <v>1564.0</v>
      </c>
      <c r="B408" s="2" t="s">
        <v>1284</v>
      </c>
      <c r="C408" s="2">
        <f>IFERROR(__xludf.DUMMYFUNCTION("split(B408,""_"")"),1607.0)</f>
        <v>1607</v>
      </c>
      <c r="D408" s="2" t="str">
        <f>IFERROR(__xludf.DUMMYFUNCTION("""COMPUTED_VALUE"""),"CX")</f>
        <v>CX</v>
      </c>
      <c r="E408" s="2" t="str">
        <f>IFERROR(__xludf.DUMMYFUNCTION("""COMPUTED_VALUE"""),"火22")</f>
        <v>火22</v>
      </c>
      <c r="F408" s="2" t="s">
        <v>1285</v>
      </c>
      <c r="G408" s="2" t="s">
        <v>1310</v>
      </c>
      <c r="H408" s="1">
        <v>9.0</v>
      </c>
      <c r="I408" s="1" t="s">
        <v>33</v>
      </c>
      <c r="J408" s="1" t="s">
        <v>86</v>
      </c>
      <c r="K408" s="2" t="s">
        <v>1311</v>
      </c>
      <c r="L408" s="2" t="s">
        <v>1312</v>
      </c>
      <c r="M408" s="2" t="str">
        <f>IFERROR(__xludf.DUMMYFUNCTION("split(split(K408,""波瑠　"",false),""公式LINE"",false)"),"東海林(横山裕)に異常性を暴かれたことで辞職を決意した比奈子(波瑠)。ところがその矢先、比奈子に強い執着を抱く佐藤都夜(佐々木希)が脱走し、命を狙われる危険性の高い比奈子は東海林の警護の元、ホテル住まいすることに。  　しかし、そんな警察の計画をあざ笑うかのように、都夜は比奈子の居場所を突き止める。一方、警視庁・片岡(高橋努)は都夜を追跡し、追い詰める間際で、突然現れた女性に切り付けられる。その女性こそ、高校生だった比奈子にナイフを渡し、「自分らしく人を殺せばいい」と進言した真壁永久(芦名星)だった!ぼう"&amp;"然とする比奈子に何事かを語りかけ、永久は再び姿を消す……。  　一方、ホテルから行方をくらませた東海林は永久に拉致・監禁されていた。彼女の恐るべき計画に恐れ戦く東海林……。永久に翻弄(ほんろう)され、最悪の窮地に陥る比奈子は、かつての進言通り、殺人者になってしまうのかー!?　これまで殺人者への強い探究心で犯罪者と対峙(たいじ)し、「人を殺す者と殺さない者の境界線」に立ってきた比奈子は、最恐かつ因縁の女性・永久との再会をきっかけに、どんな答えを見出すのか?闇を抱える女刑事の物語が、衝撃のクライマックスを迎え"&amp;"る。")</f>
        <v>東海林(横山裕)に異常性を暴かれたことで辞職を決意した比奈子(波瑠)。ところがその矢先、比奈子に強い執着を抱く佐藤都夜(佐々木希)が脱走し、命を狙われる危険性の高い比奈子は東海林の警護の元、ホテル住まいすることに。  　しかし、そんな警察の計画をあざ笑うかのように、都夜は比奈子の居場所を突き止める。一方、警視庁・片岡(高橋努)は都夜を追跡し、追い詰める間際で、突然現れた女性に切り付けられる。その女性こそ、高校生だった比奈子にナイフを渡し、「自分らしく人を殺せばいい」と進言した真壁永久(芦名星)だった!ぼう然とする比奈子に何事かを語りかけ、永久は再び姿を消す……。  　一方、ホテルから行方をくらませた東海林は永久に拉致・監禁されていた。彼女の恐るべき計画に恐れ戦く東海林……。永久に翻弄(ほんろう)され、最悪の窮地に陥る比奈子は、かつての進言通り、殺人者になってしまうのかー!?　これまで殺人者への強い探究心で犯罪者と対峙(たいじ)し、「人を殺す者と殺さない者の境界線」に立ってきた比奈子は、最恐かつ因縁の女性・永久との再会をきっかけに、どんな答えを見出すのか?闇を抱える女刑事の物語が、衝撃のクライマックスを迎える。</v>
      </c>
      <c r="N408" s="2"/>
      <c r="O408" s="2"/>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row>
    <row r="409" ht="204.75" customHeight="1">
      <c r="A409" s="1">
        <v>1617.0</v>
      </c>
      <c r="B409" s="2" t="s">
        <v>1313</v>
      </c>
      <c r="C409" s="2">
        <f>IFERROR(__xludf.DUMMYFUNCTION("split(B409,""_"")"),1607.0)</f>
        <v>1607</v>
      </c>
      <c r="D409" s="2" t="str">
        <f>IFERROR(__xludf.DUMMYFUNCTION("""COMPUTED_VALUE"""),"CX")</f>
        <v>CX</v>
      </c>
      <c r="E409" s="2" t="str">
        <f>IFERROR(__xludf.DUMMYFUNCTION("""COMPUTED_VALUE"""),"日21")</f>
        <v>日21</v>
      </c>
      <c r="F409" s="2" t="s">
        <v>1314</v>
      </c>
      <c r="G409" s="2" t="s">
        <v>1315</v>
      </c>
      <c r="H409" s="1">
        <v>1.0</v>
      </c>
      <c r="I409" s="1" t="s">
        <v>3</v>
      </c>
      <c r="J409" s="1" t="s">
        <v>4</v>
      </c>
      <c r="K409" s="2" t="s">
        <v>1316</v>
      </c>
      <c r="L409" s="4" t="s">
        <v>1317</v>
      </c>
      <c r="M409" s="2" t="str">
        <f>IFERROR(__xludf.DUMMYFUNCTION("split(split(K409,""中島裕翔("",false),""html"",false)"),"【番組HP】  http://www.fujitv.co.jp/hope/index.")</f>
        <v>【番組HP】  http://www.fujitv.co.jp/hope/index.</v>
      </c>
      <c r="N409" s="2" t="str">
        <f>IFERROR(__xludf.DUMMYFUNCTION("""COMPUTED_VALUE"""),"　一ノ瀬歩(中島裕翔)、22歳。高校生の頃、父親が病気で他界。母子家庭となり苦しくなった家計の助けになるよう、アルバイトをしながらプロ棋士を目指す日々を送ることに。  　日本のプロ棋士採用試験には23歳未満の人しか受けられない、という年齢制限があるため、22歳になった一ノ瀬はアルバイトも辞め、囲碁に励む。しかしプロ棋士採用試験前日の夜、母親(朝加真由美)が過労で倒れ動揺した一ノ瀬は試験に落ちてしまうことに…。  　そして現在。家に帰った一ノ瀬に母親が「この会社、受けてみない?」。母が知人に頼み、与一物産と"&amp;"いう総合商社の採用試験に一ノ瀬が受けられるようにしたのだ。試験内容は1カ月のインターンシップ。  　与一物産営業3課でインターンとして働くこととなった一ノ瀬。課の長である織田勇仁(遠藤憲一)はあいにく外回りに出ており、課にいるのは主任の安芸公介(山内圭哉)だけ。一ノ瀬から高卒であることを聞き、安芸は耳を疑う。コピーならできるだろうと仕事を言いつける安芸だが、一ノ瀬はトナーの意味すら分からず、同期でインターン試験を受けている桐明真司(瀬戸康史)に助けてもらい、電話に出るも、英語で分からず、同じく同期でインタ"&amp;"ーン試験を受けている香月あかね(山本美月)に電話を代わってもらう始末…。一ノ瀬とインターン試験を受けている人見将吾(桐山照史)は、一ノ瀬は専務のコネだと社員が話しているのを耳にする。")</f>
        <v>　一ノ瀬歩(中島裕翔)、22歳。高校生の頃、父親が病気で他界。母子家庭となり苦しくなった家計の助けになるよう、アルバイトをしながらプロ棋士を目指す日々を送ることに。  　日本のプロ棋士採用試験には23歳未満の人しか受けられない、という年齢制限があるため、22歳になった一ノ瀬はアルバイトも辞め、囲碁に励む。しかしプロ棋士採用試験前日の夜、母親(朝加真由美)が過労で倒れ動揺した一ノ瀬は試験に落ちてしまうことに…。  　そして現在。家に帰った一ノ瀬に母親が「この会社、受けてみない?」。母が知人に頼み、与一物産という総合商社の採用試験に一ノ瀬が受けられるようにしたのだ。試験内容は1カ月のインターンシップ。  　与一物産営業3課でインターンとして働くこととなった一ノ瀬。課の長である織田勇仁(遠藤憲一)はあいにく外回りに出ており、課にいるのは主任の安芸公介(山内圭哉)だけ。一ノ瀬から高卒であることを聞き、安芸は耳を疑う。コピーならできるだろうと仕事を言いつける安芸だが、一ノ瀬はトナーの意味すら分からず、同期でインターン試験を受けている桐明真司(瀬戸康史)に助けてもらい、電話に出るも、英語で分からず、同じく同期でインターン試験を受けている香月あかね(山本美月)に電話を代わってもらう始末…。一ノ瀬とインターン試験を受けている人見将吾(桐山照史)は、一ノ瀬は専務のコネだと社員が話しているのを耳にする。</v>
      </c>
      <c r="O409" s="2"/>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row>
    <row r="410" ht="204.75" customHeight="1">
      <c r="A410" s="1">
        <v>1618.0</v>
      </c>
      <c r="B410" s="2" t="s">
        <v>1313</v>
      </c>
      <c r="C410" s="2">
        <f>IFERROR(__xludf.DUMMYFUNCTION("split(B410,""_"")"),1607.0)</f>
        <v>1607</v>
      </c>
      <c r="D410" s="2" t="str">
        <f>IFERROR(__xludf.DUMMYFUNCTION("""COMPUTED_VALUE"""),"CX")</f>
        <v>CX</v>
      </c>
      <c r="E410" s="2" t="str">
        <f>IFERROR(__xludf.DUMMYFUNCTION("""COMPUTED_VALUE"""),"日21")</f>
        <v>日21</v>
      </c>
      <c r="F410" s="2" t="s">
        <v>1314</v>
      </c>
      <c r="G410" s="2" t="s">
        <v>1318</v>
      </c>
      <c r="H410" s="1">
        <v>2.0</v>
      </c>
      <c r="I410" s="1" t="s">
        <v>7</v>
      </c>
      <c r="J410" s="1" t="s">
        <v>4</v>
      </c>
      <c r="K410" s="2" t="s">
        <v>1319</v>
      </c>
      <c r="L410" s="2" t="s">
        <v>1320</v>
      </c>
      <c r="M410" s="2" t="str">
        <f>IFERROR(__xludf.DUMMYFUNCTION("split(split(K410,""中島裕翔("",false),""html"",false)"),"【番組HP】  http://www.fujitv.co.jp/hope/index.")</f>
        <v>【番組HP】  http://www.fujitv.co.jp/hope/index.</v>
      </c>
      <c r="N410" s="2" t="str">
        <f>IFERROR(__xludf.DUMMYFUNCTION("""COMPUTED_VALUE"""),"　囲碁のプロ棋士になれず失意の底にいた一ノ瀬歩(中島裕翔)。見かねた母親(朝加真由美)のコネで総合商社・与一物産のインターン採用試験を受けることになるも、同期から爪はじきにされ、仕事ではミスばかり。「やはり自分なんかの来るところではなかった」と試験から降りる決意をした一ノ瀬だったが、上司の織田勇仁(遠藤憲一)から「ウチのヤツ」と受け入れられ、せめて試験だけは最後までがんばろうと一ノ瀬は心に決めた。　その翌日、揚々と出社する一ノ瀬に、織田は酩酊していたため「ウチのヤツ」と言った覚えはないと言う。拍子抜けする"&amp;"一ノ瀬を織田は、大手スーパーチェーンの社長・宮脇和久(温水洋一)との商談に同席させる。宮脇は織田の同級生で、商談は順風満帆に進むだろうと明言する織田だったが、同級生同士の仕事というのは、それはそれで難しいもの。一ノ瀬はまた新たな仕事の厳しい側面を目の当たりにすることとなる。  　一方、インターンの同期の桐明真司(瀬戸康史)や香月あかね(山本美月)らは、採用試験の最終日に行われるプレゼン試験に向けて着々と準備を進めていた。一ノ瀬はお調子者の人見将吾(桐山照史)とパートナーを組むことにしたが、プレゼンのテーマ"&amp;"を決めると人見は資料作りを一ノ瀬に一任する。持ち前の実直な性格で、仕事の合間にひたむきに資料作りに励む一ノ瀬だったが、プレゼン試験の前日に、人見の一言から2人は衝突してしまう。")</f>
        <v>　囲碁のプロ棋士になれず失意の底にいた一ノ瀬歩(中島裕翔)。見かねた母親(朝加真由美)のコネで総合商社・与一物産のインターン採用試験を受けることになるも、同期から爪はじきにされ、仕事ではミスばかり。「やはり自分なんかの来るところではなかった」と試験から降りる決意をした一ノ瀬だったが、上司の織田勇仁(遠藤憲一)から「ウチのヤツ」と受け入れられ、せめて試験だけは最後までがんばろうと一ノ瀬は心に決めた。　その翌日、揚々と出社する一ノ瀬に、織田は酩酊していたため「ウチのヤツ」と言った覚えはないと言う。拍子抜けする一ノ瀬を織田は、大手スーパーチェーンの社長・宮脇和久(温水洋一)との商談に同席させる。宮脇は織田の同級生で、商談は順風満帆に進むだろうと明言する織田だったが、同級生同士の仕事というのは、それはそれで難しいもの。一ノ瀬はまた新たな仕事の厳しい側面を目の当たりにすることとなる。  　一方、インターンの同期の桐明真司(瀬戸康史)や香月あかね(山本美月)らは、採用試験の最終日に行われるプレゼン試験に向けて着々と準備を進めていた。一ノ瀬はお調子者の人見将吾(桐山照史)とパートナーを組むことにしたが、プレゼンのテーマを決めると人見は資料作りを一ノ瀬に一任する。持ち前の実直な性格で、仕事の合間にひたむきに資料作りに励む一ノ瀬だったが、プレゼン試験の前日に、人見の一言から2人は衝突してしまう。</v>
      </c>
      <c r="O410" s="2"/>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row>
    <row r="411" ht="204.75" customHeight="1">
      <c r="A411" s="1">
        <v>1619.0</v>
      </c>
      <c r="B411" s="2" t="s">
        <v>1313</v>
      </c>
      <c r="C411" s="2">
        <f>IFERROR(__xludf.DUMMYFUNCTION("split(B411,""_"")"),1607.0)</f>
        <v>1607</v>
      </c>
      <c r="D411" s="2" t="str">
        <f>IFERROR(__xludf.DUMMYFUNCTION("""COMPUTED_VALUE"""),"CX")</f>
        <v>CX</v>
      </c>
      <c r="E411" s="2" t="str">
        <f>IFERROR(__xludf.DUMMYFUNCTION("""COMPUTED_VALUE"""),"日21")</f>
        <v>日21</v>
      </c>
      <c r="F411" s="2" t="s">
        <v>1314</v>
      </c>
      <c r="G411" s="2" t="s">
        <v>1321</v>
      </c>
      <c r="H411" s="1">
        <v>3.0</v>
      </c>
      <c r="I411" s="1" t="s">
        <v>10</v>
      </c>
      <c r="J411" s="1" t="s">
        <v>11</v>
      </c>
      <c r="K411" s="2" t="s">
        <v>1322</v>
      </c>
      <c r="L411" s="2" t="s">
        <v>1323</v>
      </c>
      <c r="M411" s="2" t="str">
        <f>IFERROR(__xludf.DUMMYFUNCTION("split(split(K411,""中島裕翔("",false),""html"",false)"),"【番組HP】  http://www.fujitv.co.jp/hope/index.")</f>
        <v>【番組HP】  http://www.fujitv.co.jp/hope/index.</v>
      </c>
      <c r="N411" s="2" t="str">
        <f>IFERROR(__xludf.DUMMYFUNCTION("""COMPUTED_VALUE"""),"　囲碁のプロ棋士になれず失意の底にいた一ノ瀬歩(中島裕翔)。見かねた母親(朝加真由美)のコネで総合商社・与一物産のインターン採用試験を受けることになり、同期から爪はじきにされ、仕事ではミスばかり犯すも、最終のプレゼン試験で役員たちの心を動かし、桐明真司(瀬戸康史)、香月あかね(山本美月)、人見将吾(桐山照史)らとともに見事、採用試験を突破した。ただし1年契約という条件付きでー。  　桐明は鉄鋼2課、あかねは資源2課、人見は繊維1課に、そして一ノ瀬はインターン試験で世話になった織田勇仁(遠藤憲一)課長の営業"&amp;"3課に配属される。  　桐明は上司の結城雅治(丸山智己)から基礎的で単調な仕事ばかりふられ、うんざりしていた。人見は自分よりも要領が良い主任・鳴海亮太(マギー)の鴨にされ、戸惑いを隠せない。そして、同期の中で1番優秀だったあかねは、ただの雑用係という扱いを受けていた。  　そんな折、資源2課長の寺崎京介(矢柴俊博)が、営業3課から書類が届いていない、と織田に文句を言いに来る。織田の部下である安芸公介(山内圭哉)は、渡しているはずだと主張した。しかし寺崎はそれを聞き入れないばかりか、織田が忘れたくても忘れら"&amp;"れない心の傷に、塩を塗るような辛辣(しんらつ)な一言を口にする。寺崎の言葉に怒り、思わず彼を突き飛ばしてしまう安芸。その行為が会社的に問題視され、安芸は懲罰委員会にかけられることになる。")</f>
        <v>　囲碁のプロ棋士になれず失意の底にいた一ノ瀬歩(中島裕翔)。見かねた母親(朝加真由美)のコネで総合商社・与一物産のインターン採用試験を受けることになり、同期から爪はじきにされ、仕事ではミスばかり犯すも、最終のプレゼン試験で役員たちの心を動かし、桐明真司(瀬戸康史)、香月あかね(山本美月)、人見将吾(桐山照史)らとともに見事、採用試験を突破した。ただし1年契約という条件付きでー。  　桐明は鉄鋼2課、あかねは資源2課、人見は繊維1課に、そして一ノ瀬はインターン試験で世話になった織田勇仁(遠藤憲一)課長の営業3課に配属される。  　桐明は上司の結城雅治(丸山智己)から基礎的で単調な仕事ばかりふられ、うんざりしていた。人見は自分よりも要領が良い主任・鳴海亮太(マギー)の鴨にされ、戸惑いを隠せない。そして、同期の中で1番優秀だったあかねは、ただの雑用係という扱いを受けていた。  　そんな折、資源2課長の寺崎京介(矢柴俊博)が、営業3課から書類が届いていない、と織田に文句を言いに来る。織田の部下である安芸公介(山内圭哉)は、渡しているはずだと主張した。しかし寺崎はそれを聞き入れないばかりか、織田が忘れたくても忘れられない心の傷に、塩を塗るような辛辣(しんらつ)な一言を口にする。寺崎の言葉に怒り、思わず彼を突き飛ばしてしまう安芸。その行為が会社的に問題視され、安芸は懲罰委員会にかけられることになる。</v>
      </c>
      <c r="O411" s="2"/>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row>
    <row r="412" ht="204.75" customHeight="1">
      <c r="A412" s="1">
        <v>1620.0</v>
      </c>
      <c r="B412" s="2" t="s">
        <v>1313</v>
      </c>
      <c r="C412" s="2">
        <f>IFERROR(__xludf.DUMMYFUNCTION("split(B412,""_"")"),1607.0)</f>
        <v>1607</v>
      </c>
      <c r="D412" s="2" t="str">
        <f>IFERROR(__xludf.DUMMYFUNCTION("""COMPUTED_VALUE"""),"CX")</f>
        <v>CX</v>
      </c>
      <c r="E412" s="2" t="str">
        <f>IFERROR(__xludf.DUMMYFUNCTION("""COMPUTED_VALUE"""),"日21")</f>
        <v>日21</v>
      </c>
      <c r="F412" s="2" t="s">
        <v>1314</v>
      </c>
      <c r="G412" s="2" t="s">
        <v>1324</v>
      </c>
      <c r="H412" s="1">
        <v>4.0</v>
      </c>
      <c r="I412" s="1" t="s">
        <v>14</v>
      </c>
      <c r="J412" s="1" t="s">
        <v>11</v>
      </c>
      <c r="K412" s="2" t="s">
        <v>1325</v>
      </c>
      <c r="L412" s="2" t="s">
        <v>1326</v>
      </c>
      <c r="M412" s="2" t="str">
        <f>IFERROR(__xludf.DUMMYFUNCTION("split(split(K412,""中島裕翔("",false),""html"",false)"),"【番組HP】  http://www.fujitv.co.jp/hope/index.")</f>
        <v>【番組HP】  http://www.fujitv.co.jp/hope/index.</v>
      </c>
      <c r="N412" s="2" t="str">
        <f>IFERROR(__xludf.DUMMYFUNCTION("""COMPUTED_VALUE"""),"　一ノ瀬(中島裕翔)ら与一物産の新人は、実際に業務を行いながら仕事を学ぶ研修を命じられる。あかね(山本美月)は織田勇仁(遠藤憲一)が課長を務める営業3課へ、人見(桐山照史)は鉄鋼2課へ研修に行くことに。そして一ノ瀬は、桐明(瀬戸康史)とともに資源1課の大平竜也(山崎樹範)の下で研修を受けることになった。「大平は取引先に礼儀を尽くす模範社員だからしっかり学んでこい」。織田は、一ノ瀬にそう声をかけた。　一ノ瀬と桐明が資源1課を訪れると、取引先とトラブルが起きていた。大平は、一ノ瀬たちを連れて取引先の東洋鉱石を"&amp;"訪れ、担当課長の武林悟史(伊藤正之)に会う。武林は、親の介護という個人的な事情もあって確認を怠っていた、と詫びると、納品はあと2、3日待ってほしい、と大平に泣きつく。大平はそれを了承し、資源1課長の高柳清志(佐伯新)に報告する。だが高柳は、相手の要望を受け入れた大平を叱責(しっせき)し、確約が取れるまで戻ってくるな、と言い放つ。一ノ瀬は、自分を盾にしてでも取引先を守ろうとする大平に感心していた。それに対して桐明は、気弱な性格のせいで出世の見込みもないという大平への失望感をあらわにする。  　あくる日、大平"&amp;"は、一ノ瀬と桐明を連れて再び東洋鉱石を訪れる。そこで大平たちは思わぬ事実を知ってしまい…。")</f>
        <v>　一ノ瀬(中島裕翔)ら与一物産の新人は、実際に業務を行いながら仕事を学ぶ研修を命じられる。あかね(山本美月)は織田勇仁(遠藤憲一)が課長を務める営業3課へ、人見(桐山照史)は鉄鋼2課へ研修に行くことに。そして一ノ瀬は、桐明(瀬戸康史)とともに資源1課の大平竜也(山崎樹範)の下で研修を受けることになった。「大平は取引先に礼儀を尽くす模範社員だからしっかり学んでこい」。織田は、一ノ瀬にそう声をかけた。　一ノ瀬と桐明が資源1課を訪れると、取引先とトラブルが起きていた。大平は、一ノ瀬たちを連れて取引先の東洋鉱石を訪れ、担当課長の武林悟史(伊藤正之)に会う。武林は、親の介護という個人的な事情もあって確認を怠っていた、と詫びると、納品はあと2、3日待ってほしい、と大平に泣きつく。大平はそれを了承し、資源1課長の高柳清志(佐伯新)に報告する。だが高柳は、相手の要望を受け入れた大平を叱責(しっせき)し、確約が取れるまで戻ってくるな、と言い放つ。一ノ瀬は、自分を盾にしてでも取引先を守ろうとする大平に感心していた。それに対して桐明は、気弱な性格のせいで出世の見込みもないという大平への失望感をあらわにする。  　あくる日、大平は、一ノ瀬と桐明を連れて再び東洋鉱石を訪れる。そこで大平たちは思わぬ事実を知ってしまい…。</v>
      </c>
      <c r="O412" s="2"/>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row>
    <row r="413" ht="204.75" customHeight="1">
      <c r="A413" s="1">
        <v>1621.0</v>
      </c>
      <c r="B413" s="2" t="s">
        <v>1313</v>
      </c>
      <c r="C413" s="2">
        <f>IFERROR(__xludf.DUMMYFUNCTION("split(B413,""_"")"),1607.0)</f>
        <v>1607</v>
      </c>
      <c r="D413" s="2" t="str">
        <f>IFERROR(__xludf.DUMMYFUNCTION("""COMPUTED_VALUE"""),"CX")</f>
        <v>CX</v>
      </c>
      <c r="E413" s="2" t="str">
        <f>IFERROR(__xludf.DUMMYFUNCTION("""COMPUTED_VALUE"""),"日21")</f>
        <v>日21</v>
      </c>
      <c r="F413" s="2" t="s">
        <v>1314</v>
      </c>
      <c r="G413" s="2" t="s">
        <v>1327</v>
      </c>
      <c r="H413" s="1">
        <v>5.0</v>
      </c>
      <c r="I413" s="1" t="s">
        <v>17</v>
      </c>
      <c r="J413" s="1" t="s">
        <v>11</v>
      </c>
      <c r="K413" s="2" t="s">
        <v>1328</v>
      </c>
      <c r="L413" s="2" t="s">
        <v>1329</v>
      </c>
      <c r="M413" s="2" t="str">
        <f>IFERROR(__xludf.DUMMYFUNCTION("split(split(K413,""中島裕翔("",false),""html"",false)"),"【番組HP】  http://www.fujitv.co.jp/hope/index.")</f>
        <v>【番組HP】  http://www.fujitv.co.jp/hope/index.</v>
      </c>
      <c r="N413" s="2" t="str">
        <f>IFERROR(__xludf.DUMMYFUNCTION("""COMPUTED_VALUE"""),"　与一物産で半年に一度ある新規事業企画の募集が行われることとなった。今回は、営業2課と、一ノ瀬歩(中島裕翔)が働く営業3課の一騎打ちになるという。営業3課主任の安芸公介(山内圭哉)は、パームヤシを使った再生可能エネルギー・PKSはどうかと提案した。しかし課長の織田勇仁(遠藤憲一)は、イランの原油事業で勝負をかけたいと言い出す。そんな織田に対して安芸は、企画を提出する前に一席設けて、企画決定権を持つ営業部長・宇野(松澤一之)を口説き落とすべきだと進言した。  　鉄鋼2課の桐明真司(瀬戸康史)は、転職エージェ"&amp;"ントに登録する。桐明は、上司の結城(丸山智己)から事務作業しか与えられないことに反発し、仕事をしながらでも基本的なことは学べる、と主張した。すると結城は、鉄鋼の仕事にパフォーマンスは必要ないと返し、不満があるなら他部署に移っても構わないと言い放つ。  　一方、資源2課の香月あかね(山本美月)は、主任の桧山(松田賢二)から、保留案件の作り直しを命じられる。実はその案件は、桧山自身が提案した企画だったが、財務部長から何度も却下され、捨てられたものだった。  　織田たち営業3課のメンバーは、情報通の人見将吾(桐"&amp;"山照史)から宇野に関するデータを入手し、作戦を練る。中華料理店に宇野を招いた織田たちは、彼が上機嫌になったところでイランの案件を切り出すが、あっさり却下されてしまい…。")</f>
        <v>　与一物産で半年に一度ある新規事業企画の募集が行われることとなった。今回は、営業2課と、一ノ瀬歩(中島裕翔)が働く営業3課の一騎打ちになるという。営業3課主任の安芸公介(山内圭哉)は、パームヤシを使った再生可能エネルギー・PKSはどうかと提案した。しかし課長の織田勇仁(遠藤憲一)は、イランの原油事業で勝負をかけたいと言い出す。そんな織田に対して安芸は、企画を提出する前に一席設けて、企画決定権を持つ営業部長・宇野(松澤一之)を口説き落とすべきだと進言した。  　鉄鋼2課の桐明真司(瀬戸康史)は、転職エージェントに登録する。桐明は、上司の結城(丸山智己)から事務作業しか与えられないことに反発し、仕事をしながらでも基本的なことは学べる、と主張した。すると結城は、鉄鋼の仕事にパフォーマンスは必要ないと返し、不満があるなら他部署に移っても構わないと言い放つ。  　一方、資源2課の香月あかね(山本美月)は、主任の桧山(松田賢二)から、保留案件の作り直しを命じられる。実はその案件は、桧山自身が提案した企画だったが、財務部長から何度も却下され、捨てられたものだった。  　織田たち営業3課のメンバーは、情報通の人見将吾(桐山照史)から宇野に関するデータを入手し、作戦を練る。中華料理店に宇野を招いた織田たちは、彼が上機嫌になったところでイランの案件を切り出すが、あっさり却下されてしまい…。</v>
      </c>
      <c r="O413" s="2"/>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row>
    <row r="414" ht="204.75" customHeight="1">
      <c r="A414" s="1">
        <v>1622.0</v>
      </c>
      <c r="B414" s="2" t="s">
        <v>1313</v>
      </c>
      <c r="C414" s="2">
        <f>IFERROR(__xludf.DUMMYFUNCTION("split(B414,""_"")"),1607.0)</f>
        <v>1607</v>
      </c>
      <c r="D414" s="2" t="str">
        <f>IFERROR(__xludf.DUMMYFUNCTION("""COMPUTED_VALUE"""),"CX")</f>
        <v>CX</v>
      </c>
      <c r="E414" s="2" t="str">
        <f>IFERROR(__xludf.DUMMYFUNCTION("""COMPUTED_VALUE"""),"日21")</f>
        <v>日21</v>
      </c>
      <c r="F414" s="2" t="s">
        <v>1314</v>
      </c>
      <c r="G414" s="2" t="s">
        <v>1330</v>
      </c>
      <c r="H414" s="1">
        <v>6.0</v>
      </c>
      <c r="I414" s="1" t="s">
        <v>21</v>
      </c>
      <c r="J414" s="1" t="s">
        <v>4</v>
      </c>
      <c r="K414" s="2" t="s">
        <v>1331</v>
      </c>
      <c r="L414" s="2" t="s">
        <v>1332</v>
      </c>
      <c r="M414" s="2" t="str">
        <f>IFERROR(__xludf.DUMMYFUNCTION("split(split(K414,""中島裕翔("",false),""html"",false)"),"【番組HP】  http://www.fujitv.co.jp/hope/index.")</f>
        <v>【番組HP】  http://www.fujitv.co.jp/hope/index.</v>
      </c>
      <c r="N414" s="2" t="str">
        <f>IFERROR(__xludf.DUMMYFUNCTION("""COMPUTED_VALUE"""),"　一ノ瀬(中島裕翔)は、財務部から却下されていた炭素排出権の企画を成立させたあかね(山本美月)に刺激され、新規事業の企画を考えたいと課長の織田(遠藤憲一)に願い出る。織田は、安芸(山内圭哉)とふたりでみっちりしごいてやる、と言ってそれを許可した。  　同じころ、鉄鋼2課では、太平洋沖を航行中の貨物船の船体に亀裂が見つかり、その対応に追われていた。港に引き返すことも、別の船に積み替えることも難しい状況だという。それを知った一ノ瀬は、亀裂をふさぐことはできないのかと言い出す。鉄鋼2課主任の結城(丸山智己)は、"&amp;"一ノ瀬の言葉をヒントに船体溶接の手配を進め、何とかトラブルを回避する。結城は、一ノ瀬のおかげで助かった、と織田に報告した。そんな一ノ瀬の活躍ぶりに、桐明(瀬戸康史)はいら立ちを隠せない。  　営業3課内で新規事業の企画をプレゼンした一ノ瀬は、織田から酷評される。そこで一ノ瀬に課せられたのは、1万円を元手に商品を仕入れ、それを売って利益を出してくる、という営業課恒例の研修だった。安芸から話を聞いた結城は、桐明もその研修に参加させたいと申し出る。  　一方、あかねは、波丘コークス工業に出向き、コークスをコンテ"&amp;"ナに移す手配をしてくるよう命じられる。上司の鳴海(マギー)ともめて早退を申し出た人見(桐山照史)は、たまたまあかねと出会い、彼女と一緒に波丘コークスに行くが…。")</f>
        <v>　一ノ瀬(中島裕翔)は、財務部から却下されていた炭素排出権の企画を成立させたあかね(山本美月)に刺激され、新規事業の企画を考えたいと課長の織田(遠藤憲一)に願い出る。織田は、安芸(山内圭哉)とふたりでみっちりしごいてやる、と言ってそれを許可した。  　同じころ、鉄鋼2課では、太平洋沖を航行中の貨物船の船体に亀裂が見つかり、その対応に追われていた。港に引き返すことも、別の船に積み替えることも難しい状況だという。それを知った一ノ瀬は、亀裂をふさぐことはできないのかと言い出す。鉄鋼2課主任の結城(丸山智己)は、一ノ瀬の言葉をヒントに船体溶接の手配を進め、何とかトラブルを回避する。結城は、一ノ瀬のおかげで助かった、と織田に報告した。そんな一ノ瀬の活躍ぶりに、桐明(瀬戸康史)はいら立ちを隠せない。  　営業3課内で新規事業の企画をプレゼンした一ノ瀬は、織田から酷評される。そこで一ノ瀬に課せられたのは、1万円を元手に商品を仕入れ、それを売って利益を出してくる、という営業課恒例の研修だった。安芸から話を聞いた結城は、桐明もその研修に参加させたいと申し出る。  　一方、あかねは、波丘コークス工業に出向き、コークスをコンテナに移す手配をしてくるよう命じられる。上司の鳴海(マギー)ともめて早退を申し出た人見(桐山照史)は、たまたまあかねと出会い、彼女と一緒に波丘コークスに行くが…。</v>
      </c>
      <c r="O414" s="2"/>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row>
    <row r="415" ht="204.75" customHeight="1">
      <c r="A415" s="1">
        <v>1623.0</v>
      </c>
      <c r="B415" s="2" t="s">
        <v>1313</v>
      </c>
      <c r="C415" s="2">
        <f>IFERROR(__xludf.DUMMYFUNCTION("split(B415,""_"")"),1607.0)</f>
        <v>1607</v>
      </c>
      <c r="D415" s="2" t="str">
        <f>IFERROR(__xludf.DUMMYFUNCTION("""COMPUTED_VALUE"""),"CX")</f>
        <v>CX</v>
      </c>
      <c r="E415" s="2" t="str">
        <f>IFERROR(__xludf.DUMMYFUNCTION("""COMPUTED_VALUE"""),"日21")</f>
        <v>日21</v>
      </c>
      <c r="F415" s="2" t="s">
        <v>1314</v>
      </c>
      <c r="G415" s="2" t="s">
        <v>1333</v>
      </c>
      <c r="H415" s="1">
        <v>7.0</v>
      </c>
      <c r="I415" s="1" t="s">
        <v>25</v>
      </c>
      <c r="J415" s="1" t="s">
        <v>11</v>
      </c>
      <c r="K415" s="2" t="s">
        <v>1334</v>
      </c>
      <c r="L415" s="2" t="s">
        <v>1335</v>
      </c>
      <c r="M415" s="2" t="str">
        <f>IFERROR(__xludf.DUMMYFUNCTION("split(split(K415,""中島裕翔("",false),""html"",false)"),"【番組HP】  http://www.fujitv.co.jp/hope/index.")</f>
        <v>【番組HP】  http://www.fujitv.co.jp/hope/index.</v>
      </c>
      <c r="N415" s="2" t="str">
        <f>IFERROR(__xludf.DUMMYFUNCTION("""COMPUTED_VALUE"""),"　一ノ瀬(中島裕翔)が所属する営業3課は、役員会で小売り事業企画の承認を得る。専務の鷹野(風間杜夫)は、営業3課の新たな戦力として江部(宮川一朗太)を送り込んだ。だが江部は、出向先の仕事が残っていると主張し、織田(遠藤憲一)の指示に従おうともしなかった。安芸(山内圭哉)によれば、江部は入社早々大きな契約をまとめるなどの功績を残し、専務派の急先鋒とも呼ばれていたが、対立する社長派によって関連会社に飛ばされたのだという。  　鉄鋼2課の桐明(瀬戸康史)は、中国向け線材の企画を承認される。主任の結城(丸山智己)"&amp;"は、勉強のために双菱商事との合同会議に出てはどうかと桐明に提案する。  　一方、かつて双菱商事で働いていた資源2課のあかね(山本美月)は、会議のために来社した元上司・高瀬(長谷川朝晴)と再会する。それを知った資源2課長の寺崎(矢柴俊博)は、あかねが双菱商事を辞めたのは男女関係のトラブルだと決めつけ、桧山(松田賢二)の態度が変わったのも色目を使ったからだろう、と言い出す。  　小売り事業を進める織田たちは、食品2課長の涼子(中村ゆり)にも協力を求めた。しかし、涼子の部下たちは、営業3課に手を貸すのは反対だと"&amp;"いう。そんな折、一ノ瀬は、適当な理由をつけて外に出てこい、と江部に呼び出される。指示された雑居ビルを訪れた一ノ瀬は江部から封筒を手渡され、赤城プランニングに届けるよう命じられるが…。")</f>
        <v>　一ノ瀬(中島裕翔)が所属する営業3課は、役員会で小売り事業企画の承認を得る。専務の鷹野(風間杜夫)は、営業3課の新たな戦力として江部(宮川一朗太)を送り込んだ。だが江部は、出向先の仕事が残っていると主張し、織田(遠藤憲一)の指示に従おうともしなかった。安芸(山内圭哉)によれば、江部は入社早々大きな契約をまとめるなどの功績を残し、専務派の急先鋒とも呼ばれていたが、対立する社長派によって関連会社に飛ばされたのだという。  　鉄鋼2課の桐明(瀬戸康史)は、中国向け線材の企画を承認される。主任の結城(丸山智己)は、勉強のために双菱商事との合同会議に出てはどうかと桐明に提案する。  　一方、かつて双菱商事で働いていた資源2課のあかね(山本美月)は、会議のために来社した元上司・高瀬(長谷川朝晴)と再会する。それを知った資源2課長の寺崎(矢柴俊博)は、あかねが双菱商事を辞めたのは男女関係のトラブルだと決めつけ、桧山(松田賢二)の態度が変わったのも色目を使ったからだろう、と言い出す。  　小売り事業を進める織田たちは、食品2課長の涼子(中村ゆり)にも協力を求めた。しかし、涼子の部下たちは、営業3課に手を貸すのは反対だという。そんな折、一ノ瀬は、適当な理由をつけて外に出てこい、と江部に呼び出される。指示された雑居ビルを訪れた一ノ瀬は江部から封筒を手渡され、赤城プランニングに届けるよう命じられるが…。</v>
      </c>
      <c r="O415" s="2"/>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row>
    <row r="416" ht="204.75" customHeight="1">
      <c r="A416" s="1">
        <v>1624.0</v>
      </c>
      <c r="B416" s="2" t="s">
        <v>1313</v>
      </c>
      <c r="C416" s="2">
        <f>IFERROR(__xludf.DUMMYFUNCTION("split(B416,""_"")"),1607.0)</f>
        <v>1607</v>
      </c>
      <c r="D416" s="2" t="str">
        <f>IFERROR(__xludf.DUMMYFUNCTION("""COMPUTED_VALUE"""),"CX")</f>
        <v>CX</v>
      </c>
      <c r="E416" s="2" t="str">
        <f>IFERROR(__xludf.DUMMYFUNCTION("""COMPUTED_VALUE"""),"日21")</f>
        <v>日21</v>
      </c>
      <c r="F416" s="2" t="s">
        <v>1314</v>
      </c>
      <c r="G416" s="2" t="s">
        <v>1336</v>
      </c>
      <c r="H416" s="1">
        <v>8.0</v>
      </c>
      <c r="I416" s="1" t="s">
        <v>29</v>
      </c>
      <c r="J416" s="1" t="s">
        <v>11</v>
      </c>
      <c r="K416" s="2" t="s">
        <v>1337</v>
      </c>
      <c r="L416" s="2" t="s">
        <v>1338</v>
      </c>
      <c r="M416" s="2" t="str">
        <f>IFERROR(__xludf.DUMMYFUNCTION("split(split(K416,""中島裕翔("",false),""html"",false)"),"【番組HP】  http://www.fujitv.co.jp/hope/index.")</f>
        <v>【番組HP】  http://www.fujitv.co.jp/hope/index.</v>
      </c>
      <c r="N416" s="2" t="str">
        <f>IFERROR(__xludf.DUMMYFUNCTION("""COMPUTED_VALUE"""),"　一ノ瀬歩(中島裕翔)は、江部(宮川一朗太)から呼び出され、再び封筒を届けるよう命じられる。歩は、同行した安芸(山内圭哉)とともに封筒を開け、中身を確認した。それは契約書だったが、協力業者の手数料が高く設定されていた。一ノ瀬と安芸は、姿を現した江部にその数字について説明を求めた。しかし江部は、財務部や法務部から承認を得た案件だ、と言って取り合わない。  　一方、織田(遠藤憲一)は、専務の鷹野(風間杜夫)から持ちかけられた太陽熱発電の案件を営業3課で引き受けることにする。中国企業・汀洲社との合同プロジェクト"&amp;"となるこの案件は、500億円規模の大事業だった。鷹野は、汀洲社との窓口を江部に任せるよう織田に指示した。  　織田たちは、さっそくこのプロジェクトに取り組み、高品質パネルの手配を進めた。だが、契約を交わす直前に、思いもよらない問題が発生する。汀洲社が与一物産との間に九垓社という仲介業者を入れると言い出したのだ。しかも、与一物産のマージンが3%なのに対して、仲介手数料は2.5%だという。  　そのころ、営業3課には何度か江部宛の不審な電話がかかってきていた。汀洲社とのプロジェクトに疑問を抱く一ノ瀬と安芸。し"&amp;"かし織田は、この案件は何があってもやり通すという。いつもと違う織田のやり方に不安を覚えた一ノ瀬は、桐明(瀬戸康史)やあかね(山本美月)、人見(桐山照史)にも相談を持ちかけるが…。")</f>
        <v>　一ノ瀬歩(中島裕翔)は、江部(宮川一朗太)から呼び出され、再び封筒を届けるよう命じられる。歩は、同行した安芸(山内圭哉)とともに封筒を開け、中身を確認した。それは契約書だったが、協力業者の手数料が高く設定されていた。一ノ瀬と安芸は、姿を現した江部にその数字について説明を求めた。しかし江部は、財務部や法務部から承認を得た案件だ、と言って取り合わない。  　一方、織田(遠藤憲一)は、専務の鷹野(風間杜夫)から持ちかけられた太陽熱発電の案件を営業3課で引き受けることにする。中国企業・汀洲社との合同プロジェクトとなるこの案件は、500億円規模の大事業だった。鷹野は、汀洲社との窓口を江部に任せるよう織田に指示した。  　織田たちは、さっそくこのプロジェクトに取り組み、高品質パネルの手配を進めた。だが、契約を交わす直前に、思いもよらない問題が発生する。汀洲社が与一物産との間に九垓社という仲介業者を入れると言い出したのだ。しかも、与一物産のマージンが3%なのに対して、仲介手数料は2.5%だという。  　そのころ、営業3課には何度か江部宛の不審な電話がかかってきていた。汀洲社とのプロジェクトに疑問を抱く一ノ瀬と安芸。しかし織田は、この案件は何があってもやり通すという。いつもと違う織田のやり方に不安を覚えた一ノ瀬は、桐明(瀬戸康史)やあかね(山本美月)、人見(桐山照史)にも相談を持ちかけるが…。</v>
      </c>
      <c r="O416" s="2"/>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row>
    <row r="417" ht="204.75" customHeight="1">
      <c r="A417" s="1">
        <v>1625.0</v>
      </c>
      <c r="B417" s="2" t="s">
        <v>1313</v>
      </c>
      <c r="C417" s="2">
        <f>IFERROR(__xludf.DUMMYFUNCTION("split(B417,""_"")"),1607.0)</f>
        <v>1607</v>
      </c>
      <c r="D417" s="2" t="str">
        <f>IFERROR(__xludf.DUMMYFUNCTION("""COMPUTED_VALUE"""),"CX")</f>
        <v>CX</v>
      </c>
      <c r="E417" s="2" t="str">
        <f>IFERROR(__xludf.DUMMYFUNCTION("""COMPUTED_VALUE"""),"日21")</f>
        <v>日21</v>
      </c>
      <c r="F417" s="2" t="s">
        <v>1314</v>
      </c>
      <c r="G417" s="2" t="s">
        <v>1339</v>
      </c>
      <c r="H417" s="1">
        <v>9.0</v>
      </c>
      <c r="I417" s="1" t="s">
        <v>33</v>
      </c>
      <c r="J417" s="1" t="s">
        <v>11</v>
      </c>
      <c r="K417" s="2" t="s">
        <v>1340</v>
      </c>
      <c r="L417" s="2" t="s">
        <v>1341</v>
      </c>
      <c r="M417" s="2" t="str">
        <f>IFERROR(__xludf.DUMMYFUNCTION("split(split(K417,""中島裕翔("",false),""html"",false)"),"【番組HP】  http://www.fujitv.co.jp/hope/index.")</f>
        <v>【番組HP】  http://www.fujitv.co.jp/hope/index.</v>
      </c>
      <c r="N417" s="2" t="str">
        <f>IFERROR(__xludf.DUMMYFUNCTION("""COMPUTED_VALUE"""),"　中国・汀洲社と進めていた太陽熱発電プロジェクトに監査が入ることになった。きっかけは、一ノ瀬歩(中島裕翔)が上海の駐在員と電話で話した際に、鷹野専務(風間杜夫)の不正をほのめかす発言をしたことだった。    　監査部による聴取は、営業3課長の織田(遠藤憲一)や汀洲社との窓口だった江部(宮川一朗太)だけでなく鷹野にもおよび、やがて事件の概要が明らかになった。実は、汀洲社サイドの希望で与一物産との間に入った仲介エージェント会社には実態がないばかりか、その社外取締役には江部のいとこがおり、赤城プランニングとも繋"&amp;"がっていた。江部は、過去に何度も赤城プランニングを通じて自分の案件を受注し、エージェント手数料を得ていたらしい。    　ほどなく、汀洲社とのトラブルが原因で、これまで与一物産と付き合いがあった中国企業が取り引きを拒否し始める。あかね(山本美月)がいる資源2課や、涼子(中村ゆり)が課長を務める食品2課もその対応に追われていた。すべては自分の軽率な発言から起きたことだと責任を痛感する一ノ瀬。それを知った織田は、責任を負うのは自分の義務であり権利なのだからお前は堂々としていればいい、と一ノ瀬に伝える。    "&amp;"　そんな矢先、織田は人事部長から呼び出される。与一物産が今回の騒動を一個人の責任とすることで幕引きしようとしていることを知った織田は、営業部長の宇野(松澤一之)に辞表を提出し…。")</f>
        <v>　中国・汀洲社と進めていた太陽熱発電プロジェクトに監査が入ることになった。きっかけは、一ノ瀬歩(中島裕翔)が上海の駐在員と電話で話した際に、鷹野専務(風間杜夫)の不正をほのめかす発言をしたことだった。    　監査部による聴取は、営業3課長の織田(遠藤憲一)や汀洲社との窓口だった江部(宮川一朗太)だけでなく鷹野にもおよび、やがて事件の概要が明らかになった。実は、汀洲社サイドの希望で与一物産との間に入った仲介エージェント会社には実態がないばかりか、その社外取締役には江部のいとこがおり、赤城プランニングとも繋がっていた。江部は、過去に何度も赤城プランニングを通じて自分の案件を受注し、エージェント手数料を得ていたらしい。    　ほどなく、汀洲社とのトラブルが原因で、これまで与一物産と付き合いがあった中国企業が取り引きを拒否し始める。あかね(山本美月)がいる資源2課や、涼子(中村ゆり)が課長を務める食品2課もその対応に追われていた。すべては自分の軽率な発言から起きたことだと責任を痛感する一ノ瀬。それを知った織田は、責任を負うのは自分の義務であり権利なのだからお前は堂々としていればいい、と一ノ瀬に伝える。    　そんな矢先、織田は人事部長から呼び出される。与一物産が今回の騒動を一個人の責任とすることで幕引きしようとしていることを知った織田は、営業部長の宇野(松澤一之)に辞表を提出し…。</v>
      </c>
      <c r="O417" s="2"/>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row>
    <row r="418" ht="204.75" customHeight="1">
      <c r="A418" s="1">
        <v>1643.0</v>
      </c>
      <c r="B418" s="2" t="s">
        <v>1342</v>
      </c>
      <c r="C418" s="2">
        <f>IFERROR(__xludf.DUMMYFUNCTION("split(B418,""_"")"),1604.0)</f>
        <v>1604</v>
      </c>
      <c r="D418" s="2" t="str">
        <f>IFERROR(__xludf.DUMMYFUNCTION("""COMPUTED_VALUE"""),"CX")</f>
        <v>CX</v>
      </c>
      <c r="E418" s="2" t="str">
        <f>IFERROR(__xludf.DUMMYFUNCTION("""COMPUTED_VALUE"""),"月21")</f>
        <v>月21</v>
      </c>
      <c r="F418" s="2" t="s">
        <v>1343</v>
      </c>
      <c r="G418" s="2" t="s">
        <v>1344</v>
      </c>
      <c r="H418" s="1">
        <v>1.0</v>
      </c>
      <c r="I418" s="1" t="s">
        <v>3</v>
      </c>
      <c r="J418" s="1" t="s">
        <v>4</v>
      </c>
      <c r="K418" s="2" t="s">
        <v>1345</v>
      </c>
      <c r="L418" s="2" t="s">
        <v>1346</v>
      </c>
      <c r="M418" s="2" t="str">
        <f>IFERROR(__xludf.DUMMYFUNCTION("split(split(K418,""福山雅治　"",false),""ovesong/"",false)"),"【番組ホームページ】  http://www.fujitv.co.jp/l")</f>
        <v>【番組ホームページ】  http://www.fujitv.co.jp/l</v>
      </c>
      <c r="N418" s="2" t="str">
        <f>IFERROR(__xludf.DUMMYFUNCTION("""COMPUTED_VALUE"""),"　神代広平(福山雅治)はプロのミュージシャンだったが、今は別の仕事をしている。独身で定住はせず、持ち前のルックスを活かして女性の家を転々とする生活。この日も、そろそろ潮時と感じた女性に別れを告げ、少ない荷物とギターケースを担いで出て行った。  　佐野さくら(藤原さくら)は、大型車販売店の整備工場で働いている。愛想は悪くないのだが、同僚とうまくコミュニケーションがとれず、上司の滝川文雄(木下ほうか)にいつも注意されていた。さくらへの注意を終えた滝川が、先生と呼んで挨拶したのが神代。神代は企業カウンセラーとし"&amp;"てこの会社に勤務していた。  　仕事を終えた神代はライヴハウス『S』へ。家を失った神代はオーナーの笹裕司(宇崎竜童)に当面の宿を頼むが、断られてしまう。笹はまた宍戸夏希(水野美紀)に頼めば良いと神代に促す。夏希に頼むのは気がひける様子の神代はマンガ喫茶に一夜の宿を求めるが、どうにも居心地が悪く、仕方なく、夏希の家に転がり込むことになった。  　そんなある日、さくらは職場でミスをしてしまう。仕事仲間とのコミュニケーション不足を案じる滝川は、さくらを神代に診てもらうことに。神代はさくらに優しく対応する。  　"&amp;"その後、さくらが児童養護施設時代からの姉代わり・中村真美(夏帆)と一緒に暮らす家に帰ると、同じく幼なじみの天野空一(菅田将暉)が来ていた。そこでさくらは、真美からあることを頼まれる。")</f>
        <v>　神代広平(福山雅治)はプロのミュージシャンだったが、今は別の仕事をしている。独身で定住はせず、持ち前のルックスを活かして女性の家を転々とする生活。この日も、そろそろ潮時と感じた女性に別れを告げ、少ない荷物とギターケースを担いで出て行った。  　佐野さくら(藤原さくら)は、大型車販売店の整備工場で働いている。愛想は悪くないのだが、同僚とうまくコミュニケーションがとれず、上司の滝川文雄(木下ほうか)にいつも注意されていた。さくらへの注意を終えた滝川が、先生と呼んで挨拶したのが神代。神代は企業カウンセラーとしてこの会社に勤務していた。  　仕事を終えた神代はライヴハウス『S』へ。家を失った神代はオーナーの笹裕司(宇崎竜童)に当面の宿を頼むが、断られてしまう。笹はまた宍戸夏希(水野美紀)に頼めば良いと神代に促す。夏希に頼むのは気がひける様子の神代はマンガ喫茶に一夜の宿を求めるが、どうにも居心地が悪く、仕方なく、夏希の家に転がり込むことになった。  　そんなある日、さくらは職場でミスをしてしまう。仕事仲間とのコミュニケーション不足を案じる滝川は、さくらを神代に診てもらうことに。神代はさくらに優しく対応する。  　その後、さくらが児童養護施設時代からの姉代わり・中村真美(夏帆)と一緒に暮らす家に帰ると、同じく幼なじみの天野空一(菅田将暉)が来ていた。そこでさくらは、真美からあることを頼まれる。</v>
      </c>
      <c r="O418" s="2"/>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row>
    <row r="419" ht="204.75" customHeight="1">
      <c r="A419" s="1">
        <v>1644.0</v>
      </c>
      <c r="B419" s="2" t="s">
        <v>1342</v>
      </c>
      <c r="C419" s="2">
        <f>IFERROR(__xludf.DUMMYFUNCTION("split(B419,""_"")"),1604.0)</f>
        <v>1604</v>
      </c>
      <c r="D419" s="2" t="str">
        <f>IFERROR(__xludf.DUMMYFUNCTION("""COMPUTED_VALUE"""),"CX")</f>
        <v>CX</v>
      </c>
      <c r="E419" s="2" t="str">
        <f>IFERROR(__xludf.DUMMYFUNCTION("""COMPUTED_VALUE"""),"月21")</f>
        <v>月21</v>
      </c>
      <c r="F419" s="2" t="s">
        <v>1343</v>
      </c>
      <c r="G419" s="2" t="s">
        <v>1347</v>
      </c>
      <c r="H419" s="1">
        <v>2.0</v>
      </c>
      <c r="I419" s="1" t="s">
        <v>7</v>
      </c>
      <c r="J419" s="1" t="s">
        <v>11</v>
      </c>
      <c r="K419" s="2" t="s">
        <v>1348</v>
      </c>
      <c r="L419" s="2" t="s">
        <v>1349</v>
      </c>
      <c r="M419" s="2" t="str">
        <f>IFERROR(__xludf.DUMMYFUNCTION("split(split(K419,""福山雅治　"",false),""ovesong/"",false)"),"【番組ホームページ】  http://www.fujitv.co.jp/l")</f>
        <v>【番組ホームページ】  http://www.fujitv.co.jp/l</v>
      </c>
      <c r="N419" s="2" t="str">
        <f>IFERROR(__xludf.DUMMYFUNCTION("""COMPUTED_VALUE"""),"　神代広平(福山雅治)はライブハウス『S』で宍戸夏希(水野美紀)たちと飲んでいる。ステージでは若手バンドが演奏。そんな中、マスターの笹裕司(宇崎竜童)が、ダイヤの原石のようなミュージシャンはいないものかと愚痴る。『S』ではライブ出演者を募集していた。一瞬、顔を見合わす神代と夏希。しかし、増村泰造(田中哲司)が若手バンドに絡み、現場は乱闘騒ぎになってしまった。  　佐野さくら(藤原さくら)は天野空一(菅田将暉)のアパートへ。以前、空一に売りつけたギターを取り戻すためだ。返す、返さないと揉めた挙句、ギターを手"&amp;"にしたさくらは楽しそうに帰って行く。  　翌日の昼休み、同期と食事をしていたさくらは神代に声をかけられた。医務室へ行ったさくらに、神代は夏希が来て欲しいと言っていたと伝える。返答しないさくらだが、神代が自分も一緒に行くと言うと目を輝かせた。  　神代と2人でのお出掛けに、さくらは“デートっぽいやつに行く""と中村真美(夏帆)にメール。その時、真美は空一に手伝ってもらい、結婚準備のため洋服などの整理をしていた。  　夏希に会う前に、神代とさくらは食事。神代はさっさと注文を済ませるが、さくらは中々出来ない。後"&amp;"ろの客に急かされ焦るさくらは、神代と同じものを注文。すると神代はさくらに、本当は何を食べたかったのかと尋ねる。答えるさくらに、神代は注文にかかるのは7秒だと言い・・・。")</f>
        <v>　神代広平(福山雅治)はライブハウス『S』で宍戸夏希(水野美紀)たちと飲んでいる。ステージでは若手バンドが演奏。そんな中、マスターの笹裕司(宇崎竜童)が、ダイヤの原石のようなミュージシャンはいないものかと愚痴る。『S』ではライブ出演者を募集していた。一瞬、顔を見合わす神代と夏希。しかし、増村泰造(田中哲司)が若手バンドに絡み、現場は乱闘騒ぎになってしまった。  　佐野さくら(藤原さくら)は天野空一(菅田将暉)のアパートへ。以前、空一に売りつけたギターを取り戻すためだ。返す、返さないと揉めた挙句、ギターを手にしたさくらは楽しそうに帰って行く。  　翌日の昼休み、同期と食事をしていたさくらは神代に声をかけられた。医務室へ行ったさくらに、神代は夏希が来て欲しいと言っていたと伝える。返答しないさくらだが、神代が自分も一緒に行くと言うと目を輝かせた。  　神代と2人でのお出掛けに、さくらは“デートっぽいやつに行く"と中村真美(夏帆)にメール。その時、真美は空一に手伝ってもらい、結婚準備のため洋服などの整理をしていた。  　夏希に会う前に、神代とさくらは食事。神代はさっさと注文を済ませるが、さくらは中々出来ない。後ろの客に急かされ焦るさくらは、神代と同じものを注文。すると神代はさくらに、本当は何を食べたかったのかと尋ねる。答えるさくらに、神代は注文にかかるのは7秒だと言い・・・。</v>
      </c>
      <c r="O419" s="2"/>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row>
    <row r="420" ht="204.75" customHeight="1">
      <c r="A420" s="1">
        <v>1645.0</v>
      </c>
      <c r="B420" s="2" t="s">
        <v>1342</v>
      </c>
      <c r="C420" s="2">
        <f>IFERROR(__xludf.DUMMYFUNCTION("split(B420,""_"")"),1604.0)</f>
        <v>1604</v>
      </c>
      <c r="D420" s="2" t="str">
        <f>IFERROR(__xludf.DUMMYFUNCTION("""COMPUTED_VALUE"""),"CX")</f>
        <v>CX</v>
      </c>
      <c r="E420" s="2" t="str">
        <f>IFERROR(__xludf.DUMMYFUNCTION("""COMPUTED_VALUE"""),"月21")</f>
        <v>月21</v>
      </c>
      <c r="F420" s="2" t="s">
        <v>1343</v>
      </c>
      <c r="G420" s="2" t="s">
        <v>1350</v>
      </c>
      <c r="H420" s="1">
        <v>3.0</v>
      </c>
      <c r="I420" s="1" t="s">
        <v>10</v>
      </c>
      <c r="J420" s="1" t="s">
        <v>11</v>
      </c>
      <c r="K420" s="2" t="s">
        <v>1351</v>
      </c>
      <c r="L420" s="2" t="s">
        <v>1352</v>
      </c>
      <c r="M420" s="2" t="str">
        <f>IFERROR(__xludf.DUMMYFUNCTION("split(split(K420,""福山雅治　"",false),""ovesong/"",false)"),"【番組ホームページ】  http://www.fujitv.co.jp/l")</f>
        <v>【番組ホームページ】  http://www.fujitv.co.jp/l</v>
      </c>
      <c r="N420" s="2" t="str">
        <f>IFERROR(__xludf.DUMMYFUNCTION("""COMPUTED_VALUE"""),"　神代広平(福山雅治)は、ライブハウス『S』に佐野さくら(藤原さくら)を連れて行きライブに向けての練習をする。客はいないが、初めてステージに立つさくらは緊張。世間話で緊張をほぐそうとする神代だが、さくらはためらったまま。そんな神代にクライアントから電話が入る。店の外に出て電話を済ませた神代が戻ると、さくらが独りで熱唱していた。そんなさくらに見入ってしまう神代。　中村真美(夏帆)と野村健太(駿河太郎)の2人は偶然、楽しそうに男と歩くさくらを発見。その時、真美はその男が神代だと野村に教えられた。  　夜、アパ"&amp;"ートに帰ったさくらは、真美に神代との関係をからかわれる。神代への想いを否定しきれないさくらは、ごまかすようにライブで歌うためだと真美に告げる。遊びに来ていた天野空一(菅田将暉)は興味なさそうにしているが…。  　一方、神代は宍戸夏希(水野美紀)に、さくらとライブに出ることを教えていなかったことをとがめられる。さくらは夏希のクリニックで治療を再開することになっていた。また夏希には、かたくなにステージを避けてきた神代の変化も気になる様子。夏希はクライアントとの距離感を考えた方が良いと、神代をからかうように忠告"&amp;"する。  　次の日、さくらは同僚から神代が独身だと聞いて嬉しくなる。その気持ちで、夏希のクリニックに行ったさくらは…。")</f>
        <v>　神代広平(福山雅治)は、ライブハウス『S』に佐野さくら(藤原さくら)を連れて行きライブに向けての練習をする。客はいないが、初めてステージに立つさくらは緊張。世間話で緊張をほぐそうとする神代だが、さくらはためらったまま。そんな神代にクライアントから電話が入る。店の外に出て電話を済ませた神代が戻ると、さくらが独りで熱唱していた。そんなさくらに見入ってしまう神代。　中村真美(夏帆)と野村健太(駿河太郎)の2人は偶然、楽しそうに男と歩くさくらを発見。その時、真美はその男が神代だと野村に教えられた。  　夜、アパートに帰ったさくらは、真美に神代との関係をからかわれる。神代への想いを否定しきれないさくらは、ごまかすようにライブで歌うためだと真美に告げる。遊びに来ていた天野空一(菅田将暉)は興味なさそうにしているが…。  　一方、神代は宍戸夏希(水野美紀)に、さくらとライブに出ることを教えていなかったことをとがめられる。さくらは夏希のクリニックで治療を再開することになっていた。また夏希には、かたくなにステージを避けてきた神代の変化も気になる様子。夏希はクライアントとの距離感を考えた方が良いと、神代をからかうように忠告する。  　次の日、さくらは同僚から神代が独身だと聞いて嬉しくなる。その気持ちで、夏希のクリニックに行ったさくらは…。</v>
      </c>
      <c r="O420" s="2"/>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row>
    <row r="421" ht="204.75" customHeight="1">
      <c r="A421" s="1">
        <v>1646.0</v>
      </c>
      <c r="B421" s="2" t="s">
        <v>1342</v>
      </c>
      <c r="C421" s="2">
        <f>IFERROR(__xludf.DUMMYFUNCTION("split(B421,""_"")"),1604.0)</f>
        <v>1604</v>
      </c>
      <c r="D421" s="2" t="str">
        <f>IFERROR(__xludf.DUMMYFUNCTION("""COMPUTED_VALUE"""),"CX")</f>
        <v>CX</v>
      </c>
      <c r="E421" s="2" t="str">
        <f>IFERROR(__xludf.DUMMYFUNCTION("""COMPUTED_VALUE"""),"月21")</f>
        <v>月21</v>
      </c>
      <c r="F421" s="2" t="s">
        <v>1343</v>
      </c>
      <c r="G421" s="2" t="s">
        <v>1353</v>
      </c>
      <c r="H421" s="1">
        <v>4.0</v>
      </c>
      <c r="I421" s="1" t="s">
        <v>14</v>
      </c>
      <c r="J421" s="1" t="s">
        <v>11</v>
      </c>
      <c r="K421" s="2" t="s">
        <v>1354</v>
      </c>
      <c r="L421" s="2" t="s">
        <v>1355</v>
      </c>
      <c r="M421" s="2" t="str">
        <f>IFERROR(__xludf.DUMMYFUNCTION("split(split(K421,""福山雅治　"",false),""ovesong/"",false)"),"【番組ホームページ】  http://www.fujitv.co.jp/l")</f>
        <v>【番組ホームページ】  http://www.fujitv.co.jp/l</v>
      </c>
      <c r="N421" s="2" t="str">
        <f>IFERROR(__xludf.DUMMYFUNCTION("""COMPUTED_VALUE"""),"　神代広平(福山雅治)は、宍戸夏希(水野美紀)や他の女性たちの家を転々とすることをやめて部屋を借りた。引越しは、増村泰造(田中哲司)、星田和夫(渋川清彦)、そして天野空一(菅田将暉)にも手伝ってもらったため、神代はライブハウス『S』で慰労会を行う。  　4人が飲んでいると、夏希が神代の忘れ物を届けに来た。神代と夏希の関係を詮索する空一だが、2人はいわゆる恋愛関係などは否定。納得できない空一に、笹裕司(宇崎竜童)は大人には男女の垣根を越えた関係もあると告げた。そんな話をしていると、店に1人の女性が入ってきて"&amp;"神代に名刺を差し出す。その女性、水原亜矢(りょう)の肩書きは、レコード会社のものだった。  　その頃、アパートにいた佐野さくら(藤原さくら)は、中村真美(夏帆)の傍でギターの練習をしていた。さくらが真美から神代への想いをからかわれていると、空一が飛び込んで来る。そして、空一は水原がさくらをスカウトしに来たことを伝えた。無理だと拒否しようとするさくら。だが、空一の話から神代が夏希とは何でもなかったと聞いて…。  　『ビッグモービル』の屋上で、神代とさくらはスカウトの件を話し合う。怪しい会社ではと疑うさくらに"&amp;"、神代は大きなレコード会社だから大丈夫だと請け負った。さらに、プロになれる可能性もあると言われたさくらは、レコード会社の人物と会うことになり・・・。")</f>
        <v>　神代広平(福山雅治)は、宍戸夏希(水野美紀)や他の女性たちの家を転々とすることをやめて部屋を借りた。引越しは、増村泰造(田中哲司)、星田和夫(渋川清彦)、そして天野空一(菅田将暉)にも手伝ってもらったため、神代はライブハウス『S』で慰労会を行う。  　4人が飲んでいると、夏希が神代の忘れ物を届けに来た。神代と夏希の関係を詮索する空一だが、2人はいわゆる恋愛関係などは否定。納得できない空一に、笹裕司(宇崎竜童)は大人には男女の垣根を越えた関係もあると告げた。そんな話をしていると、店に1人の女性が入ってきて神代に名刺を差し出す。その女性、水原亜矢(りょう)の肩書きは、レコード会社のものだった。  　その頃、アパートにいた佐野さくら(藤原さくら)は、中村真美(夏帆)の傍でギターの練習をしていた。さくらが真美から神代への想いをからかわれていると、空一が飛び込んで来る。そして、空一は水原がさくらをスカウトしに来たことを伝えた。無理だと拒否しようとするさくら。だが、空一の話から神代が夏希とは何でもなかったと聞いて…。  　『ビッグモービル』の屋上で、神代とさくらはスカウトの件を話し合う。怪しい会社ではと疑うさくらに、神代は大きなレコード会社だから大丈夫だと請け負った。さらに、プロになれる可能性もあると言われたさくらは、レコード会社の人物と会うことになり・・・。</v>
      </c>
      <c r="O421" s="2"/>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row>
    <row r="422" ht="204.75" customHeight="1">
      <c r="A422" s="1">
        <v>1647.0</v>
      </c>
      <c r="B422" s="2" t="s">
        <v>1342</v>
      </c>
      <c r="C422" s="2">
        <f>IFERROR(__xludf.DUMMYFUNCTION("split(B422,""_"")"),1604.0)</f>
        <v>1604</v>
      </c>
      <c r="D422" s="2" t="str">
        <f>IFERROR(__xludf.DUMMYFUNCTION("""COMPUTED_VALUE"""),"CX")</f>
        <v>CX</v>
      </c>
      <c r="E422" s="2" t="str">
        <f>IFERROR(__xludf.DUMMYFUNCTION("""COMPUTED_VALUE"""),"月21")</f>
        <v>月21</v>
      </c>
      <c r="F422" s="2" t="s">
        <v>1343</v>
      </c>
      <c r="G422" s="2" t="s">
        <v>1356</v>
      </c>
      <c r="H422" s="1">
        <v>5.0</v>
      </c>
      <c r="I422" s="1" t="s">
        <v>17</v>
      </c>
      <c r="J422" s="1" t="s">
        <v>11</v>
      </c>
      <c r="K422" s="2" t="s">
        <v>1357</v>
      </c>
      <c r="L422" s="2" t="s">
        <v>1358</v>
      </c>
      <c r="M422" s="2" t="str">
        <f>IFERROR(__xludf.DUMMYFUNCTION("split(split(K422,""福山雅治　"",false),""ovesong/"",false)"),"【番組ホームページ】  http://www.fujitv.co.jp/l")</f>
        <v>【番組ホームページ】  http://www.fujitv.co.jp/l</v>
      </c>
      <c r="N422" s="2" t="str">
        <f>IFERROR(__xludf.DUMMYFUNCTION("""COMPUTED_VALUE"""),"　神代広平(福山雅治)は、レコード会社との話し合いが不調に終わった佐野さくら(藤原さくら)が気になっている。一方、さくらは、天野空一(菅田将暉)から思わぬ告白をされて動揺していた。  　『ビッグモール』の医務室にいた神代は、滝川文雄(木下ほうか)から社員のアンケート書類を渡された。その時、神代はさくらが社内広報誌の取材を受けることを知らされる。　神代はさくらを医務室に呼んだ。滝川の情報をきっかけに話を始めた神代は、さくらに笹裕司(宇崎竜童)が作ってくれたライブハウス『S』でのライブCDを渡す。そして、チャ"&amp;"ンスはまだあると、さくらに一緒に練習を再開しようと提案。さくらは嬉しそうに受け入れた。  　さくらは空一と会う。気まずい雰囲気が漂う中、空一は友達のままでいようと話す。また、空一はさくらの夢にこれからも協力させて欲しいと頼んだ。そんな空一に、さくらは練習再開を報告する。  　開店前の『S』で神代とさくらは練習を始める。空一もやって来た。教則本ではなく、曲を練習したいと言うさくらだが、演奏したい曲が見つからない。そんな様子を見ていた空一が、あることを思いつく。  　空一は、さくらと中村真美(夏帆)のアパート"&amp;"に神代も連れて行く。そこで、さくらの弾き語りを録画して、ネットに公開しようというのだが。")</f>
        <v>　神代広平(福山雅治)は、レコード会社との話し合いが不調に終わった佐野さくら(藤原さくら)が気になっている。一方、さくらは、天野空一(菅田将暉)から思わぬ告白をされて動揺していた。  　『ビッグモール』の医務室にいた神代は、滝川文雄(木下ほうか)から社員のアンケート書類を渡された。その時、神代はさくらが社内広報誌の取材を受けることを知らされる。　神代はさくらを医務室に呼んだ。滝川の情報をきっかけに話を始めた神代は、さくらに笹裕司(宇崎竜童)が作ってくれたライブハウス『S』でのライブCDを渡す。そして、チャンスはまだあると、さくらに一緒に練習を再開しようと提案。さくらは嬉しそうに受け入れた。  　さくらは空一と会う。気まずい雰囲気が漂う中、空一は友達のままでいようと話す。また、空一はさくらの夢にこれからも協力させて欲しいと頼んだ。そんな空一に、さくらは練習再開を報告する。  　開店前の『S』で神代とさくらは練習を始める。空一もやって来た。教則本ではなく、曲を練習したいと言うさくらだが、演奏したい曲が見つからない。そんな様子を見ていた空一が、あることを思いつく。  　空一は、さくらと中村真美(夏帆)のアパートに神代も連れて行く。そこで、さくらの弾き語りを録画して、ネットに公開しようというのだが。</v>
      </c>
      <c r="O422" s="2"/>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row>
    <row r="423" ht="204.75" customHeight="1">
      <c r="A423" s="1">
        <v>1648.0</v>
      </c>
      <c r="B423" s="2" t="s">
        <v>1342</v>
      </c>
      <c r="C423" s="2">
        <f>IFERROR(__xludf.DUMMYFUNCTION("split(B423,""_"")"),1604.0)</f>
        <v>1604</v>
      </c>
      <c r="D423" s="2" t="str">
        <f>IFERROR(__xludf.DUMMYFUNCTION("""COMPUTED_VALUE"""),"CX")</f>
        <v>CX</v>
      </c>
      <c r="E423" s="2" t="str">
        <f>IFERROR(__xludf.DUMMYFUNCTION("""COMPUTED_VALUE"""),"月21")</f>
        <v>月21</v>
      </c>
      <c r="F423" s="2" t="s">
        <v>1343</v>
      </c>
      <c r="G423" s="2" t="s">
        <v>1359</v>
      </c>
      <c r="H423" s="1">
        <v>6.0</v>
      </c>
      <c r="I423" s="1" t="s">
        <v>21</v>
      </c>
      <c r="J423" s="1" t="s">
        <v>11</v>
      </c>
      <c r="K423" s="2" t="s">
        <v>1360</v>
      </c>
      <c r="L423" s="2" t="s">
        <v>1361</v>
      </c>
      <c r="M423" s="2" t="str">
        <f>IFERROR(__xludf.DUMMYFUNCTION("split(split(K423,""福山雅治　"",false),""ovesong/"",false)"),"【番組ホームページ】  http://www.fujitv.co.jp/l")</f>
        <v>【番組ホームページ】  http://www.fujitv.co.jp/l</v>
      </c>
      <c r="N423" s="2" t="str">
        <f>IFERROR(__xludf.DUMMYFUNCTION("""COMPUTED_VALUE"""),"　レコード会社の弦巻竜介(大谷亮平)にラブソングを作るように言われた神代広平(福山雅治)は、宍戸夏希(水野美紀)にキーボードを借りて準備を始める。  　一方、中村真美(夏帆)は、佐野さくら(藤原さくら)と天野空一(菅田将暉)を仲直りさせようと、野村健太(駿河太郎)も呼んで、アパートで食事会。だが、すでに2人の関係は修復済み。それどころか、さくらは別のレコード会社から声をかけられていることを、真美は空一に知らされた。しかし、真美は空一がさくらに、まだ想いを寄せていることを知っている。さくらは、空一ではなく神"&amp;"代を想っていることも…。  　神代は、曲の打ち合わせをしようとさくらを呼び出す。カフェで会うと、さくらは神代の女性関係に興味津々。そして、神代は過去に1人だけ真面目にほれた女性がいるとポツリ。ドキッとするさくらだが、神代には話を変えられてしまった。  　神代は、自分のマンションにさくらを連れて行く。この日は、作曲用の機材セッティングの手伝いに増村泰造(田中哲司)も来ていた。増村がさくらを助手にセッティングを始めると、キーボードを前にした神代はすぐに作曲に没頭し始め、2人の存在も忘れたかの様子。その後、増村"&amp;"が帰ったことにも、神代は気づかない。一段落した神代は、さくらに詞を書いてみるよう宿題を出して、家に帰した。ここから神代の作曲、さくらが歌詞を担当するラブソング作りがスタートした。")</f>
        <v>　レコード会社の弦巻竜介(大谷亮平)にラブソングを作るように言われた神代広平(福山雅治)は、宍戸夏希(水野美紀)にキーボードを借りて準備を始める。  　一方、中村真美(夏帆)は、佐野さくら(藤原さくら)と天野空一(菅田将暉)を仲直りさせようと、野村健太(駿河太郎)も呼んで、アパートで食事会。だが、すでに2人の関係は修復済み。それどころか、さくらは別のレコード会社から声をかけられていることを、真美は空一に知らされた。しかし、真美は空一がさくらに、まだ想いを寄せていることを知っている。さくらは、空一ではなく神代を想っていることも…。  　神代は、曲の打ち合わせをしようとさくらを呼び出す。カフェで会うと、さくらは神代の女性関係に興味津々。そして、神代は過去に1人だけ真面目にほれた女性がいるとポツリ。ドキッとするさくらだが、神代には話を変えられてしまった。  　神代は、自分のマンションにさくらを連れて行く。この日は、作曲用の機材セッティングの手伝いに増村泰造(田中哲司)も来ていた。増村がさくらを助手にセッティングを始めると、キーボードを前にした神代はすぐに作曲に没頭し始め、2人の存在も忘れたかの様子。その後、増村が帰ったことにも、神代は気づかない。一段落した神代は、さくらに詞を書いてみるよう宿題を出して、家に帰した。ここから神代の作曲、さくらが歌詞を担当するラブソング作りがスタートした。</v>
      </c>
      <c r="O423" s="2"/>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row>
    <row r="424" ht="204.75" customHeight="1">
      <c r="A424" s="1">
        <v>1649.0</v>
      </c>
      <c r="B424" s="2" t="s">
        <v>1342</v>
      </c>
      <c r="C424" s="2">
        <f>IFERROR(__xludf.DUMMYFUNCTION("split(B424,""_"")"),1604.0)</f>
        <v>1604</v>
      </c>
      <c r="D424" s="2" t="str">
        <f>IFERROR(__xludf.DUMMYFUNCTION("""COMPUTED_VALUE"""),"CX")</f>
        <v>CX</v>
      </c>
      <c r="E424" s="2" t="str">
        <f>IFERROR(__xludf.DUMMYFUNCTION("""COMPUTED_VALUE"""),"月21")</f>
        <v>月21</v>
      </c>
      <c r="F424" s="2" t="s">
        <v>1343</v>
      </c>
      <c r="G424" s="2" t="s">
        <v>1362</v>
      </c>
      <c r="H424" s="1">
        <v>7.0</v>
      </c>
      <c r="I424" s="1" t="s">
        <v>25</v>
      </c>
      <c r="J424" s="1" t="s">
        <v>11</v>
      </c>
      <c r="K424" s="2" t="s">
        <v>1363</v>
      </c>
      <c r="L424" s="2" t="s">
        <v>1364</v>
      </c>
      <c r="M424" s="2" t="str">
        <f>IFERROR(__xludf.DUMMYFUNCTION("split(split(K424,""福山雅治　"",false),""ovesong/"",false)"),"【番組ホームページ】  http://www.fujitv.co.jp/l")</f>
        <v>【番組ホームページ】  http://www.fujitv.co.jp/l</v>
      </c>
      <c r="N424" s="2" t="str">
        <f>IFERROR(__xludf.DUMMYFUNCTION("""COMPUTED_VALUE"""),"　神代広平(福山雅治)が佐野さくら(藤原さくら)に作った曲。それは、宍戸夏希(水野美紀)の亡き姉に、かつて神代が用意した曲をアレンジしたものだった。それに気づいた夏希にわだかまりが生まれる。  　さくらのレコーディングは順調に進み、ライブハウス『S』で新曲のお披露目会が開かれた。弦巻竜介(大谷亮平)は20年近く音楽から離れていたのに良い曲が作れたと、神代は天才だとたたえる。さくらも同意するのだが、夏希は複雑な心境。すると、弦巻は自社のトップアーティストが神代の曲に興味を持っていると伝えた。  　傍らで、天"&amp;"野空一(菅田将暉)は笹裕司(宇崎竜童)にギターを教えて欲しいとねだる。快く承知する笹は、さくらのデビューに一役買った褒美と、空一にウイスキーのボトルを店のキープ用に1本プレゼントした。  　さくらは、中村真美(夏帆)と話していた。真美の婚約者、野村健太(駿河太郎)は仕事の都合で現れていない。すると、真美の携帯に野村から電話着信が。真美が野村ともめ始めたので、トイレに向かったさくらは増村泰造(田中哲司)とすれ違う。その時、増村はさくらに声の不調を尋ねる。うなずくさくらに、耳鼻咽喉科医の増村は病院へ診察に来る"&amp;"よう促した。  　アパートに帰ると、真美はさくらの詞は神代への気持ちをつづったものだろうと話す。否定はしないさくらだが、神代に思いは伝わっていないと答え・・・。")</f>
        <v>　神代広平(福山雅治)が佐野さくら(藤原さくら)に作った曲。それは、宍戸夏希(水野美紀)の亡き姉に、かつて神代が用意した曲をアレンジしたものだった。それに気づいた夏希にわだかまりが生まれる。  　さくらのレコーディングは順調に進み、ライブハウス『S』で新曲のお披露目会が開かれた。弦巻竜介(大谷亮平)は20年近く音楽から離れていたのに良い曲が作れたと、神代は天才だとたたえる。さくらも同意するのだが、夏希は複雑な心境。すると、弦巻は自社のトップアーティストが神代の曲に興味を持っていると伝えた。  　傍らで、天野空一(菅田将暉)は笹裕司(宇崎竜童)にギターを教えて欲しいとねだる。快く承知する笹は、さくらのデビューに一役買った褒美と、空一にウイスキーのボトルを店のキープ用に1本プレゼントした。  　さくらは、中村真美(夏帆)と話していた。真美の婚約者、野村健太(駿河太郎)は仕事の都合で現れていない。すると、真美の携帯に野村から電話着信が。真美が野村ともめ始めたので、トイレに向かったさくらは増村泰造(田中哲司)とすれ違う。その時、増村はさくらに声の不調を尋ねる。うなずくさくらに、耳鼻咽喉科医の増村は病院へ診察に来るよう促した。  　アパートに帰ると、真美はさくらの詞は神代への気持ちをつづったものだろうと話す。否定はしないさくらだが、神代に思いは伝わっていないと答え・・・。</v>
      </c>
      <c r="O424" s="2"/>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row>
    <row r="425" ht="204.75" customHeight="1">
      <c r="A425" s="1">
        <v>1650.0</v>
      </c>
      <c r="B425" s="2" t="s">
        <v>1342</v>
      </c>
      <c r="C425" s="2">
        <f>IFERROR(__xludf.DUMMYFUNCTION("split(B425,""_"")"),1604.0)</f>
        <v>1604</v>
      </c>
      <c r="D425" s="2" t="str">
        <f>IFERROR(__xludf.DUMMYFUNCTION("""COMPUTED_VALUE"""),"CX")</f>
        <v>CX</v>
      </c>
      <c r="E425" s="2" t="str">
        <f>IFERROR(__xludf.DUMMYFUNCTION("""COMPUTED_VALUE"""),"月21")</f>
        <v>月21</v>
      </c>
      <c r="F425" s="2" t="s">
        <v>1343</v>
      </c>
      <c r="G425" s="2" t="s">
        <v>1365</v>
      </c>
      <c r="H425" s="1">
        <v>8.0</v>
      </c>
      <c r="I425" s="1" t="s">
        <v>29</v>
      </c>
      <c r="J425" s="1" t="s">
        <v>11</v>
      </c>
      <c r="K425" s="2" t="s">
        <v>1366</v>
      </c>
      <c r="L425" s="2" t="s">
        <v>1367</v>
      </c>
      <c r="M425" s="2" t="str">
        <f>IFERROR(__xludf.DUMMYFUNCTION("split(split(K425,""福山雅治　"",false),""ovesong/"",false)"),"【番組ホームページ】  http://www.fujitv.co.jp/l")</f>
        <v>【番組ホームページ】  http://www.fujitv.co.jp/l</v>
      </c>
      <c r="N425" s="2" t="str">
        <f>IFERROR(__xludf.DUMMYFUNCTION("""COMPUTED_VALUE"""),"　神代広平(福山雅治)は、シェリル(Leola)への提供楽曲の相談を、弦巻竜介(大谷亮平)らレコード会社のスタッフたちと始める。一方、佐野さくら(藤原さくら)は、喉の不調を診てもらった増村泰造(田中哲司)から精密検査の必要を告げられた。  　中村真美(夏帆)は、天野空一(菅田将暉)に手伝ってもらい引っ越しのための荷造り。真美は空一に、最近さくらの様子がおかしいのではないかと聞く。すると、さくらは真美に頼らないようにがんばっているのではと空一。それでも心配する真美に、空一はさくらには自分がいるから大丈夫と請"&amp;"け負う。  　増村とライブハウス『S』で飲む神代は、さくらの喉に悪性の肉腫が発見されたことを知らされる。転移はないが手術が必要で、病状によっては声帯を切除しなければならない。増村は、検査結果をさくらに伝える際、神代に立ち会うよう求める。だが、神代はさくらとは話が出来る状態ではないと断った。  　さくらが喉の事情を話せないまま、真美はアパートから引っ越す。一人で増村から検査結果を聞くさくらは、声帯切除の可能性に驚く。スピーチを頼まれている真美の結婚式まで手術を待ってほしいと頼むさくら。だが、増村は転移の可能"&amp;"性が高まるので早い方が良いと答えた。そしてさくらが診察室を出ると、神代がいた。")</f>
        <v>　神代広平(福山雅治)は、シェリル(Leola)への提供楽曲の相談を、弦巻竜介(大谷亮平)らレコード会社のスタッフたちと始める。一方、佐野さくら(藤原さくら)は、喉の不調を診てもらった増村泰造(田中哲司)から精密検査の必要を告げられた。  　中村真美(夏帆)は、天野空一(菅田将暉)に手伝ってもらい引っ越しのための荷造り。真美は空一に、最近さくらの様子がおかしいのではないかと聞く。すると、さくらは真美に頼らないようにがんばっているのではと空一。それでも心配する真美に、空一はさくらには自分がいるから大丈夫と請け負う。  　増村とライブハウス『S』で飲む神代は、さくらの喉に悪性の肉腫が発見されたことを知らされる。転移はないが手術が必要で、病状によっては声帯を切除しなければならない。増村は、検査結果をさくらに伝える際、神代に立ち会うよう求める。だが、神代はさくらとは話が出来る状態ではないと断った。  　さくらが喉の事情を話せないまま、真美はアパートから引っ越す。一人で増村から検査結果を聞くさくらは、声帯切除の可能性に驚く。スピーチを頼まれている真美の結婚式まで手術を待ってほしいと頼むさくら。だが、増村は転移の可能性が高まるので早い方が良いと答えた。そしてさくらが診察室を出ると、神代がいた。</v>
      </c>
      <c r="O425" s="2"/>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row>
    <row r="426" ht="204.75" customHeight="1">
      <c r="A426" s="1">
        <v>1651.0</v>
      </c>
      <c r="B426" s="2" t="s">
        <v>1342</v>
      </c>
      <c r="C426" s="2">
        <f>IFERROR(__xludf.DUMMYFUNCTION("split(B426,""_"")"),1604.0)</f>
        <v>1604</v>
      </c>
      <c r="D426" s="2" t="str">
        <f>IFERROR(__xludf.DUMMYFUNCTION("""COMPUTED_VALUE"""),"CX")</f>
        <v>CX</v>
      </c>
      <c r="E426" s="2" t="str">
        <f>IFERROR(__xludf.DUMMYFUNCTION("""COMPUTED_VALUE"""),"月21")</f>
        <v>月21</v>
      </c>
      <c r="F426" s="2" t="s">
        <v>1343</v>
      </c>
      <c r="G426" s="2" t="s">
        <v>1368</v>
      </c>
      <c r="H426" s="1">
        <v>9.0</v>
      </c>
      <c r="I426" s="1" t="s">
        <v>33</v>
      </c>
      <c r="J426" s="1" t="s">
        <v>11</v>
      </c>
      <c r="K426" s="2" t="s">
        <v>1369</v>
      </c>
      <c r="L426" s="2" t="s">
        <v>1370</v>
      </c>
      <c r="M426" s="2" t="str">
        <f>IFERROR(__xludf.DUMMYFUNCTION("split(split(K426,""福山雅治　"",false),""ovesong/"",false)"),"【番組ホームページ】  http://www.fujitv.co.jp/l")</f>
        <v>【番組ホームページ】  http://www.fujitv.co.jp/l</v>
      </c>
      <c r="N426" s="2" t="str">
        <f>IFERROR(__xludf.DUMMYFUNCTION("""COMPUTED_VALUE"""),"　神代広平(福山雅治)は、シェリル(Leola)と曲の打ち合わせ。とにかく売れる曲を作ってほしいと言うシェリルに、神代は交換条件を提示。神代は、佐野さくら(藤原さくら)がネット配信している曲をSNSでシェリルにレコメンドして欲しいと頼む。すると、シェリルは自分が満足できる曲を神代が作れたらと約束した。　打ち合わせを終えた神代は急いでライブハウス『S』に行くが、すでにさくらのライブは終わっていた。宍戸夏希(水野美紀)や増村泰造(田中哲司)にあきれられる神代。しかし、神代はシェリルを動かすことで、さくらとレコ"&amp;"ード会社との契約を成功させたいと告げる。そんな神代に、増村はさくらの声が手術後に残る可能性が極めて低いことを伝えた。　そこに、忘れ物をしたさくらが、天野空一(菅田将暉)と戻ってくる。神代が来てくれただけでも嬉しいと喜ぶさくら。神代は、さくらにかける言葉が出なかった。  　次の日、神代は職場でさくらが探していた忘れ物を渡す。さくらは、神代に曲の作り方を聞く。中村真美(夏帆)の結婚式でオリジナルソングを歌いたいと言うのだ。手術後に曲作りを始めると続けるさくらは、まだ声を失ってしまうかもしれないことを知らなかっ"&amp;"た。")</f>
        <v>　神代広平(福山雅治)は、シェリル(Leola)と曲の打ち合わせ。とにかく売れる曲を作ってほしいと言うシェリルに、神代は交換条件を提示。神代は、佐野さくら(藤原さくら)がネット配信している曲をSNSでシェリルにレコメンドして欲しいと頼む。すると、シェリルは自分が満足できる曲を神代が作れたらと約束した。　打ち合わせを終えた神代は急いでライブハウス『S』に行くが、すでにさくらのライブは終わっていた。宍戸夏希(水野美紀)や増村泰造(田中哲司)にあきれられる神代。しかし、神代はシェリルを動かすことで、さくらとレコード会社との契約を成功させたいと告げる。そんな神代に、増村はさくらの声が手術後に残る可能性が極めて低いことを伝えた。　そこに、忘れ物をしたさくらが、天野空一(菅田将暉)と戻ってくる。神代が来てくれただけでも嬉しいと喜ぶさくら。神代は、さくらにかける言葉が出なかった。  　次の日、神代は職場でさくらが探していた忘れ物を渡す。さくらは、神代に曲の作り方を聞く。中村真美(夏帆)の結婚式でオリジナルソングを歌いたいと言うのだ。手術後に曲作りを始めると続けるさくらは、まだ声を失ってしまうかもしれないことを知らなかった。</v>
      </c>
      <c r="O426" s="2"/>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row>
    <row r="427" ht="204.75" customHeight="1">
      <c r="A427" s="1">
        <v>1652.0</v>
      </c>
      <c r="B427" s="2" t="s">
        <v>1342</v>
      </c>
      <c r="C427" s="2">
        <f>IFERROR(__xludf.DUMMYFUNCTION("split(B427,""_"")"),1604.0)</f>
        <v>1604</v>
      </c>
      <c r="D427" s="2" t="str">
        <f>IFERROR(__xludf.DUMMYFUNCTION("""COMPUTED_VALUE"""),"CX")</f>
        <v>CX</v>
      </c>
      <c r="E427" s="2" t="str">
        <f>IFERROR(__xludf.DUMMYFUNCTION("""COMPUTED_VALUE"""),"月21")</f>
        <v>月21</v>
      </c>
      <c r="F427" s="2" t="s">
        <v>1343</v>
      </c>
      <c r="G427" s="2" t="s">
        <v>1371</v>
      </c>
      <c r="H427" s="1">
        <v>10.0</v>
      </c>
      <c r="I427" s="1" t="s">
        <v>37</v>
      </c>
      <c r="J427" s="1" t="s">
        <v>11</v>
      </c>
      <c r="K427" s="2" t="s">
        <v>1372</v>
      </c>
      <c r="L427" s="2" t="s">
        <v>1373</v>
      </c>
      <c r="M427" s="2" t="str">
        <f>IFERROR(__xludf.DUMMYFUNCTION("split(split(K427,""福山雅治　"",false),""ovesong/"",false)"),"【番組ホームページ】  http://www.fujitv.co.jp/l")</f>
        <v>【番組ホームページ】  http://www.fujitv.co.jp/l</v>
      </c>
      <c r="N427" s="2" t="str">
        <f>IFERROR(__xludf.DUMMYFUNCTION("""COMPUTED_VALUE"""),"　神代広平(福山雅治)に、佐野さくら(藤原さくら)が言いたかったこと…。  　さくらの手術を知った中村真美(夏帆)は野村健太(駿河太郎)との結婚式を前倒し。披露宴で、さくらに頼んでいたスピーチをしてもらうためだ。万が一、手術でさくらが声を失ってしまったら、その願いはかなわなくなる。そのスピーチ前に、さくらは神代に今まで言えなかったことを伝えようとした。しかし、天野空一(菅田将暉)がスピーチの時間だと迎えに来てしまう。  　手術が翌日と迫った時、神代は増村泰造(田中哲司)から相談される。さくらが手術の同意書"&amp;"へのサインを拒絶しているのだ。神代は、さくらの病室へ。さくらはまだサインしておらず、真美や空一、神代の言葉にも反応しない状態だ。神代は、みんなにさくらと2人きりにして欲しいと頼む。出て行きかけた空一は、神代を廊下に呼んで、さくらの心が落ち着くまで手術を延期できないかと問う。だが、神代は延ばせば延ばすほど、さくらが声を失ってしまう可能性が高くなると指摘した。  　病室に戻った神代は、さくらが持って来ていたギターを奏で始める。初めて、さくらの歌を聴いた時の曲だ。ギターとともに歌う神代。すると、さくらに表情が戻"&amp;"って来る。ついには、もう一度歌いたいと泣きじゃくるさくら。神代は、歌うためにも手術をしようとさくらに伝えた。  　さくらは手術を受けることに。果たして、さくらの声は…。")</f>
        <v>　神代広平(福山雅治)に、佐野さくら(藤原さくら)が言いたかったこと…。  　さくらの手術を知った中村真美(夏帆)は野村健太(駿河太郎)との結婚式を前倒し。披露宴で、さくらに頼んでいたスピーチをしてもらうためだ。万が一、手術でさくらが声を失ってしまったら、その願いはかなわなくなる。そのスピーチ前に、さくらは神代に今まで言えなかったことを伝えようとした。しかし、天野空一(菅田将暉)がスピーチの時間だと迎えに来てしまう。  　手術が翌日と迫った時、神代は増村泰造(田中哲司)から相談される。さくらが手術の同意書へのサインを拒絶しているのだ。神代は、さくらの病室へ。さくらはまだサインしておらず、真美や空一、神代の言葉にも反応しない状態だ。神代は、みんなにさくらと2人きりにして欲しいと頼む。出て行きかけた空一は、神代を廊下に呼んで、さくらの心が落ち着くまで手術を延期できないかと問う。だが、神代は延ばせば延ばすほど、さくらが声を失ってしまう可能性が高くなると指摘した。  　病室に戻った神代は、さくらが持って来ていたギターを奏で始める。初めて、さくらの歌を聴いた時の曲だ。ギターとともに歌う神代。すると、さくらに表情が戻って来る。ついには、もう一度歌いたいと泣きじゃくるさくら。神代は、歌うためにも手術をしようとさくらに伝えた。  　さくらは手術を受けることに。果たして、さくらの声は…。</v>
      </c>
      <c r="O427" s="2"/>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row>
    <row r="428" ht="204.75" customHeight="1">
      <c r="A428" s="1">
        <v>1653.0</v>
      </c>
      <c r="B428" s="2" t="s">
        <v>1374</v>
      </c>
      <c r="C428" s="2">
        <f>IFERROR(__xludf.DUMMYFUNCTION("split(B428,""_"")"),1604.0)</f>
        <v>1604</v>
      </c>
      <c r="D428" s="2" t="str">
        <f>IFERROR(__xludf.DUMMYFUNCTION("""COMPUTED_VALUE"""),"CX")</f>
        <v>CX</v>
      </c>
      <c r="E428" s="2" t="str">
        <f>IFERROR(__xludf.DUMMYFUNCTION("""COMPUTED_VALUE"""),"火22")</f>
        <v>火22</v>
      </c>
      <c r="F428" s="2" t="s">
        <v>1375</v>
      </c>
      <c r="G428" s="2" t="s">
        <v>1376</v>
      </c>
      <c r="H428" s="1">
        <v>1.0</v>
      </c>
      <c r="I428" s="1" t="s">
        <v>3</v>
      </c>
      <c r="J428" s="1" t="s">
        <v>4</v>
      </c>
      <c r="K428" s="2" t="s">
        <v>1377</v>
      </c>
      <c r="L428" s="2" t="s">
        <v>1378</v>
      </c>
      <c r="M428" s="2" t="str">
        <f>IFERROR(__xludf.DUMMYFUNCTION("split(split(K428,""【"",false),""伊藤英明　"",false)"),"望月幸平(伊藤英明)は、資産家令嬢の真理亜(木村佳乃)と結婚、義両親の遺産を元手にカフェをオープンするが、実際は愛人の北里杏南(相武紗季)と真理亜の殺害を企てるほど、妻への愛情は冷めていた。ある日、杏南にそそのかされ、ついに殺害計画を実行することにした幸平。しかし、杏南から渡された毒を“夫婦の思い出のワイン""に混入し、帰宅すると、「2億円用意しろ。警察に連絡したら妻を殺す」というメッセージが残され、妻は何者かに誘拐されていた!  幸平の通報で刑事の相馬誠一郎(佐藤隆太)と矢吹豊(浅香航大)がやって来る。"&amp;"すると翌朝、向かいに住む鯨井有希(キムラ緑子)・和樹(高橋一生)夫婦の家のポストには、「妻は死んだ」というメッセージと“血の付いた真理亜の爪""が。相馬は夫婦間で金の貸し借りがあったことなどから、幸平に疑いの目を向ける。  焦った幸平は元・義兄で興信所を経営する横路正道(宮迫博之)に相談。さらに、事件当夜に見かけた不審な男・緒方彰吾(眞島秀和)から、真理亜の思いもよらない一面を聞き、罪の意識にさいなまれていく。やがて、幸平は重要参考人として連行されることになるが、そこへ犯人から1枚のDVDが届いてーー!?"&amp;"  一方、とあるバーでは、誘拐事件のニュースに耳を傾ける男(佐々木蔵之介)の姿があったーー。")</f>
        <v>望月幸平(伊藤英明)は、資産家令嬢の真理亜(木村佳乃)と結婚、義両親の遺産を元手にカフェをオープンするが、実際は愛人の北里杏南(相武紗季)と真理亜の殺害を企てるほど、妻への愛情は冷めていた。ある日、杏南にそそのかされ、ついに殺害計画を実行することにした幸平。しかし、杏南から渡された毒を“夫婦の思い出のワイン"に混入し、帰宅すると、「2億円用意しろ。警察に連絡したら妻を殺す」というメッセージが残され、妻は何者かに誘拐されていた!  幸平の通報で刑事の相馬誠一郎(佐藤隆太)と矢吹豊(浅香航大)がやって来る。すると翌朝、向かいに住む鯨井有希(キムラ緑子)・和樹(高橋一生)夫婦の家のポストには、「妻は死んだ」というメッセージと“血の付いた真理亜の爪"が。相馬は夫婦間で金の貸し借りがあったことなどから、幸平に疑いの目を向ける。  焦った幸平は元・義兄で興信所を経営する横路正道(宮迫博之)に相談。さらに、事件当夜に見かけた不審な男・緒方彰吾(眞島秀和)から、真理亜の思いもよらない一面を聞き、罪の意識にさいなまれていく。やがて、幸平は重要参考人として連行されることになるが、そこへ犯人から1枚のDVDが届いてーー!?  一方、とあるバーでは、誘拐事件のニュースに耳を傾ける男(佐々木蔵之介)の姿があったーー。</v>
      </c>
      <c r="N428" s="2" t="str">
        <f>IFERROR(__xludf.DUMMYFUNCTION("""COMPUTED_VALUE"""),"  木村佳乃　  相武紗季　  浅香航大　  眞島秀和　  小園凌央　  児玉絹世　  関口アナム  　・　  キムラ緑子　  佐々木蔵之介  　・　  高橋一生　  佐藤隆太　  宮迫博之")</f>
        <v>  木村佳乃　  相武紗季　  浅香航大　  眞島秀和　  小園凌央　  児玉絹世　  関口アナム  　・　  キムラ緑子　  佐々木蔵之介  　・　  高橋一生　  佐藤隆太　  宮迫博之</v>
      </c>
      <c r="O428" s="2"/>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row>
    <row r="429" ht="204.75" customHeight="1">
      <c r="A429" s="1">
        <v>1654.0</v>
      </c>
      <c r="B429" s="2" t="s">
        <v>1374</v>
      </c>
      <c r="C429" s="2">
        <f>IFERROR(__xludf.DUMMYFUNCTION("split(B429,""_"")"),1604.0)</f>
        <v>1604</v>
      </c>
      <c r="D429" s="2" t="str">
        <f>IFERROR(__xludf.DUMMYFUNCTION("""COMPUTED_VALUE"""),"CX")</f>
        <v>CX</v>
      </c>
      <c r="E429" s="2" t="str">
        <f>IFERROR(__xludf.DUMMYFUNCTION("""COMPUTED_VALUE"""),"火22")</f>
        <v>火22</v>
      </c>
      <c r="F429" s="2" t="s">
        <v>1375</v>
      </c>
      <c r="G429" s="2" t="s">
        <v>1379</v>
      </c>
      <c r="H429" s="1">
        <v>2.0</v>
      </c>
      <c r="I429" s="1" t="s">
        <v>7</v>
      </c>
      <c r="J429" s="1" t="s">
        <v>86</v>
      </c>
      <c r="K429" s="2" t="s">
        <v>1380</v>
      </c>
      <c r="L429" s="2" t="s">
        <v>1381</v>
      </c>
      <c r="M429" s="2" t="str">
        <f>IFERROR(__xludf.DUMMYFUNCTION("split(split(K429,""【"",false),""伊藤英明　"",false)"),"身代金の受け渡しが成功し、真理亜(木村佳乃)は無事解放される。病室に駆け込み「良かった……」と妻の無事を心から喜ぶ幸平(伊藤英明)。  しかし、世間をも巻き込んだ誘拐事件は、なんと、夫への復讐(ふくしゅう)を決意した真理亜の仕業だった!    一方、刑事の相馬(佐藤隆太)は幸平への疑いを捨てきれずにいたが、幸平は杏南(相武紗季)との浮気によりアリバイが成立。  相馬は何者かが幸平を犯人に仕立てようと偽装工作した可能性があるとして、夫婦と接点をもつ人物を洗い始める。  やがて捜査の手は、真理亜の協力者である"&amp;"緒方(眞島秀和)にも伸びーー。  その夜、望月家では、真理亜の退院準備をする幸平のもとに横路(宮迫博之)がやってくる。犯人の目星はついている、と元刑事の仮説を披露すると、家の中を調べ始める横路。  翌日、真理亜は退院し帰宅。生まれ変わったように献身的に真理亜を迎える幸平。しかし、部屋で一人になった瞬間、真理亜は自分が誘拐事件に関与している“ある決定的な証拠""を幸平に見られてしまう!  「真理亜……お前だったのか……」にわかには信じがたい光景を目の当たりにし、衝撃を受ける幸平。  すると真理亜はついに恐ろ"&amp;"しい素顔をあらわにして……!?")</f>
        <v>身代金の受け渡しが成功し、真理亜(木村佳乃)は無事解放される。病室に駆け込み「良かった……」と妻の無事を心から喜ぶ幸平(伊藤英明)。  しかし、世間をも巻き込んだ誘拐事件は、なんと、夫への復讐(ふくしゅう)を決意した真理亜の仕業だった!    一方、刑事の相馬(佐藤隆太)は幸平への疑いを捨てきれずにいたが、幸平は杏南(相武紗季)との浮気によりアリバイが成立。  相馬は何者かが幸平を犯人に仕立てようと偽装工作した可能性があるとして、夫婦と接点をもつ人物を洗い始める。  やがて捜査の手は、真理亜の協力者である緒方(眞島秀和)にも伸びーー。  その夜、望月家では、真理亜の退院準備をする幸平のもとに横路(宮迫博之)がやってくる。犯人の目星はついている、と元刑事の仮説を披露すると、家の中を調べ始める横路。  翌日、真理亜は退院し帰宅。生まれ変わったように献身的に真理亜を迎える幸平。しかし、部屋で一人になった瞬間、真理亜は自分が誘拐事件に関与している“ある決定的な証拠"を幸平に見られてしまう!  「真理亜……お前だったのか……」にわかには信じがたい光景を目の当たりにし、衝撃を受ける幸平。  すると真理亜はついに恐ろしい素顔をあらわにして……!?</v>
      </c>
      <c r="N429" s="2" t="str">
        <f>IFERROR(__xludf.DUMMYFUNCTION("""COMPUTED_VALUE"""),"  木村佳乃　  相武紗季　  浅香航大　  眞島秀和　  小園凌央　  児玉絹世　  関口アナム  　・　  キムラ緑子　  佐々木蔵之介  　・　  高橋一生　  佐藤隆太　  宮迫博之")</f>
        <v>  木村佳乃　  相武紗季　  浅香航大　  眞島秀和　  小園凌央　  児玉絹世　  関口アナム  　・　  キムラ緑子　  佐々木蔵之介  　・　  高橋一生　  佐藤隆太　  宮迫博之</v>
      </c>
      <c r="O429" s="2"/>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row>
    <row r="430" ht="204.75" customHeight="1">
      <c r="A430" s="1">
        <v>1655.0</v>
      </c>
      <c r="B430" s="2" t="s">
        <v>1374</v>
      </c>
      <c r="C430" s="2">
        <f>IFERROR(__xludf.DUMMYFUNCTION("split(B430,""_"")"),1604.0)</f>
        <v>1604</v>
      </c>
      <c r="D430" s="2" t="str">
        <f>IFERROR(__xludf.DUMMYFUNCTION("""COMPUTED_VALUE"""),"CX")</f>
        <v>CX</v>
      </c>
      <c r="E430" s="2" t="str">
        <f>IFERROR(__xludf.DUMMYFUNCTION("""COMPUTED_VALUE"""),"火22")</f>
        <v>火22</v>
      </c>
      <c r="F430" s="2" t="s">
        <v>1375</v>
      </c>
      <c r="G430" s="2" t="s">
        <v>1382</v>
      </c>
      <c r="H430" s="1">
        <v>3.0</v>
      </c>
      <c r="I430" s="1" t="s">
        <v>10</v>
      </c>
      <c r="J430" s="1" t="s">
        <v>86</v>
      </c>
      <c r="K430" s="2" t="s">
        <v>1383</v>
      </c>
      <c r="L430" s="2" t="s">
        <v>1384</v>
      </c>
      <c r="M430" s="2" t="str">
        <f>IFERROR(__xludf.DUMMYFUNCTION("split(split(K430,""【"",false),""伊藤英明　"",false)"),"緒方(眞島秀和)のアトリエが何者かによって放火された。相馬(佐藤隆太)は焼け跡から地下室への扉を発見。今回の誘拐事件が緒方の犯行ではないかと考え始める。  その頃、放火のニュースを知った幸平(伊藤英明)は、“真理亜が協力者だった緒方を殺したのかもしれない""と恐怖におびえていた。しかしふと、今回の誘拐事件が自作自演ならば“身代金の2億円は今も真理亜が持っているはずだ""という事に気付く。その金を奪って逃げようと考えた幸平は、真理亜を尾行。すると、真理亜は意外な場所である人物と接触していた。ついに2億円のあ"&amp;"りかを突き止める幸平。  そんな中、真理亜が店を手伝うと言い出す。幸平は煩わしさを感じるが、「金を手に入れるまでの我慢だ…」と渋々了承。  店にやって来た真理亜は、まるで用済みだと言わんばかりに、店にあった杏南(相武紗季)のネームプレートをゴミ箱に捨てる一方で、従業員たちには笑顔を振りまき、“奇跡の生還を果たした幸せな妻""を演じる。しかし、そんな楽しそうな様子を、店の外から杏南が見ていた。自室に誰かが盗聴器を仕掛けていたことを知った杏南は、真理亜の誘拐事件に疑惑を抱き、ある行動に出るーー!?")</f>
        <v>緒方(眞島秀和)のアトリエが何者かによって放火された。相馬(佐藤隆太)は焼け跡から地下室への扉を発見。今回の誘拐事件が緒方の犯行ではないかと考え始める。  その頃、放火のニュースを知った幸平(伊藤英明)は、“真理亜が協力者だった緒方を殺したのかもしれない"と恐怖におびえていた。しかしふと、今回の誘拐事件が自作自演ならば“身代金の2億円は今も真理亜が持っているはずだ"という事に気付く。その金を奪って逃げようと考えた幸平は、真理亜を尾行。すると、真理亜は意外な場所である人物と接触していた。ついに2億円のありかを突き止める幸平。  そんな中、真理亜が店を手伝うと言い出す。幸平は煩わしさを感じるが、「金を手に入れるまでの我慢だ…」と渋々了承。  店にやって来た真理亜は、まるで用済みだと言わんばかりに、店にあった杏南(相武紗季)のネームプレートをゴミ箱に捨てる一方で、従業員たちには笑顔を振りまき、“奇跡の生還を果たした幸せな妻"を演じる。しかし、そんな楽しそうな様子を、店の外から杏南が見ていた。自室に誰かが盗聴器を仕掛けていたことを知った杏南は、真理亜の誘拐事件に疑惑を抱き、ある行動に出るーー!?</v>
      </c>
      <c r="N430" s="2" t="str">
        <f>IFERROR(__xludf.DUMMYFUNCTION("""COMPUTED_VALUE"""),"  木村佳乃　  相武紗季　  浅香航大　  眞島秀和　  小園凌央　  児玉絹世　  関口アナム  　・　  キムラ緑子　  佐々木蔵之介  　・　  高橋一生　  佐藤隆太　  宮迫博之")</f>
        <v>  木村佳乃　  相武紗季　  浅香航大　  眞島秀和　  小園凌央　  児玉絹世　  関口アナム  　・　  キムラ緑子　  佐々木蔵之介  　・　  高橋一生　  佐藤隆太　  宮迫博之</v>
      </c>
      <c r="O430" s="2"/>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row>
    <row r="431" ht="204.75" customHeight="1">
      <c r="A431" s="1">
        <v>1656.0</v>
      </c>
      <c r="B431" s="2" t="s">
        <v>1374</v>
      </c>
      <c r="C431" s="2">
        <f>IFERROR(__xludf.DUMMYFUNCTION("split(B431,""_"")"),1604.0)</f>
        <v>1604</v>
      </c>
      <c r="D431" s="2" t="str">
        <f>IFERROR(__xludf.DUMMYFUNCTION("""COMPUTED_VALUE"""),"CX")</f>
        <v>CX</v>
      </c>
      <c r="E431" s="2" t="str">
        <f>IFERROR(__xludf.DUMMYFUNCTION("""COMPUTED_VALUE"""),"火22")</f>
        <v>火22</v>
      </c>
      <c r="F431" s="2" t="s">
        <v>1375</v>
      </c>
      <c r="G431" s="2" t="s">
        <v>1385</v>
      </c>
      <c r="H431" s="1">
        <v>4.0</v>
      </c>
      <c r="I431" s="1" t="s">
        <v>14</v>
      </c>
      <c r="J431" s="1" t="s">
        <v>86</v>
      </c>
      <c r="K431" s="2" t="s">
        <v>1386</v>
      </c>
      <c r="L431" s="2" t="s">
        <v>1387</v>
      </c>
      <c r="M431" s="2" t="str">
        <f>IFERROR(__xludf.DUMMYFUNCTION("split(split(K431,""【"",false),""伊藤英明　"",false)"),"緒方(眞島秀和)が潜伏先のビルから落ちて死んだ。2億円を奪おうとやって来た幸平(伊藤英明)は、死体を見つけ慌てて逃げようとしたところを警察官に見られてしまう。  真理亜(木村佳乃)が自分を犯人に仕立てようとしているのだと考えた幸平は、ひとまず杏南(相武紗季)の部屋へ。しかし、相馬(佐藤隆太)がやって来たため再び逃走。  追い詰められる幸平に意外にも手を差し伸べたのは、真理亜だった。  「大丈夫、4時まで我慢すれば無実が証明される」と真理亜は幸平に意味深な言葉を残しーー。    警察で、緒方の死が自殺ではな"&amp;"く他殺だと聞かされた幸平は、真理亜が緒方を殺したのではないかと疑いをますます募らせる。だが明らかになるのは幸平が現場付近にいた証拠ばかり。一方、幸平の絶体絶命のピンチに駆け付けた杏南は、真理亜の弁護士から手切れ金を渡され、屈辱を味わう。  幸平が行方をくらませていた頃、一人カフェにやってきた横路(宮迫博之)は、店内を物色し1枚の伝票を見つける。さらに緒方の死体発見現場には、望月家の向かいに住む鯨井有希(キムラ緑子)の夫・和樹(高橋一生)の姿がーー。")</f>
        <v>緒方(眞島秀和)が潜伏先のビルから落ちて死んだ。2億円を奪おうとやって来た幸平(伊藤英明)は、死体を見つけ慌てて逃げようとしたところを警察官に見られてしまう。  真理亜(木村佳乃)が自分を犯人に仕立てようとしているのだと考えた幸平は、ひとまず杏南(相武紗季)の部屋へ。しかし、相馬(佐藤隆太)がやって来たため再び逃走。  追い詰められる幸平に意外にも手を差し伸べたのは、真理亜だった。  「大丈夫、4時まで我慢すれば無実が証明される」と真理亜は幸平に意味深な言葉を残しーー。    警察で、緒方の死が自殺ではなく他殺だと聞かされた幸平は、真理亜が緒方を殺したのではないかと疑いをますます募らせる。だが明らかになるのは幸平が現場付近にいた証拠ばかり。一方、幸平の絶体絶命のピンチに駆け付けた杏南は、真理亜の弁護士から手切れ金を渡され、屈辱を味わう。  幸平が行方をくらませていた頃、一人カフェにやってきた横路(宮迫博之)は、店内を物色し1枚の伝票を見つける。さらに緒方の死体発見現場には、望月家の向かいに住む鯨井有希(キムラ緑子)の夫・和樹(高橋一生)の姿がーー。</v>
      </c>
      <c r="N431" s="2" t="str">
        <f>IFERROR(__xludf.DUMMYFUNCTION("""COMPUTED_VALUE"""),"  木村佳乃　  相武紗季　  浅香航大　  眞島秀和　  小園凌央　  児玉絹世　  関口アナム  　・　  キムラ緑子　  佐々木蔵之介  　・　  高橋一生　  佐藤隆太　  宮迫博之番組公式ホームページ  http://www.ktv.jp/yabatsuma/index.html")</f>
        <v>  木村佳乃　  相武紗季　  浅香航大　  眞島秀和　  小園凌央　  児玉絹世　  関口アナム  　・　  キムラ緑子　  佐々木蔵之介  　・　  高橋一生　  佐藤隆太　  宮迫博之番組公式ホームページ  http://www.ktv.jp/yabatsuma/index.html</v>
      </c>
      <c r="O431" s="2"/>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row>
    <row r="432" ht="204.75" customHeight="1">
      <c r="A432" s="1">
        <v>1657.0</v>
      </c>
      <c r="B432" s="2" t="s">
        <v>1374</v>
      </c>
      <c r="C432" s="2">
        <f>IFERROR(__xludf.DUMMYFUNCTION("split(B432,""_"")"),1604.0)</f>
        <v>1604</v>
      </c>
      <c r="D432" s="2" t="str">
        <f>IFERROR(__xludf.DUMMYFUNCTION("""COMPUTED_VALUE"""),"CX")</f>
        <v>CX</v>
      </c>
      <c r="E432" s="2" t="str">
        <f>IFERROR(__xludf.DUMMYFUNCTION("""COMPUTED_VALUE"""),"火22")</f>
        <v>火22</v>
      </c>
      <c r="F432" s="2" t="s">
        <v>1375</v>
      </c>
      <c r="G432" s="2" t="s">
        <v>1388</v>
      </c>
      <c r="H432" s="1">
        <v>5.0</v>
      </c>
      <c r="I432" s="1" t="s">
        <v>17</v>
      </c>
      <c r="J432" s="1" t="s">
        <v>86</v>
      </c>
      <c r="K432" s="2" t="s">
        <v>1389</v>
      </c>
      <c r="L432" s="2" t="s">
        <v>1390</v>
      </c>
      <c r="M432" s="2" t="str">
        <f>IFERROR(__xludf.DUMMYFUNCTION("split(split(K432,""【"",false),""伊藤英明　"",false)"),"「2016リオ五輪　バレーボール世界最終予選　女子日本×韓国」延長の際、放送時間繰り下げの場合あり。2億円を奪おうとした幸平(伊藤英明)が横路(宮迫博之)に襲われた。やって来た真理亜(木村佳乃)に、「焙煎しようとしたら誰かに襲われた」とうそをつく幸平。  2億円を盗まれたことに気付いた真理亜は、「大丈夫、私がかたきをとってあげる」と幸平を優しく介抱する。  実は横路と争い金の半分を手に入れていた幸平は、自分も金を盗んだと真理亜に知られる前に、杏南(相武紗季)と海外へ逃げようと思いつく。  その頃、相馬(佐"&amp;"藤隆太)は防犯カメラの映像の中に、緒方(眞島秀和)が転落死した日の朝、ビルから逃げる女の姿を発見。それが杏南ではないかと考える。  一方、幸平の店では、夫婦で食事にきた和樹(高橋一生)が、なぜか杏南あてにこっそり手紙を残し……。    金を持ち去ってから数時間後、横路の事務所に真理亜がやって来る。「2億円返してください。」と単刀直入に告げる真理亜に対し、シラを切る横路。  するとしばらくして、横路の携帯電話に娘の楓(木内心結)から一通のメールが届く。しかしそれは、楓を誘拐したことを知らせる“N31""から"&amp;"のメッセージだった。  そこには椅子に縛られグッタリした楓の写真が!そしてさらにもう一枚、衝撃的な写真も送られてくる。  2億円を返さなければ楓の命が危ないーー慌てた横路は、幸平に電話。杏南と海外逃亡に向かっていた幸平は……?")</f>
        <v>「2016リオ五輪　バレーボール世界最終予選　女子日本×韓国」延長の際、放送時間繰り下げの場合あり。2億円を奪おうとした幸平(伊藤英明)が横路(宮迫博之)に襲われた。やって来た真理亜(木村佳乃)に、「焙煎しようとしたら誰かに襲われた」とうそをつく幸平。  2億円を盗まれたことに気付いた真理亜は、「大丈夫、私がかたきをとってあげる」と幸平を優しく介抱する。  実は横路と争い金の半分を手に入れていた幸平は、自分も金を盗んだと真理亜に知られる前に、杏南(相武紗季)と海外へ逃げようと思いつく。  その頃、相馬(佐藤隆太)は防犯カメラの映像の中に、緒方(眞島秀和)が転落死した日の朝、ビルから逃げる女の姿を発見。それが杏南ではないかと考える。  一方、幸平の店では、夫婦で食事にきた和樹(高橋一生)が、なぜか杏南あてにこっそり手紙を残し……。    金を持ち去ってから数時間後、横路の事務所に真理亜がやって来る。「2億円返してください。」と単刀直入に告げる真理亜に対し、シラを切る横路。  するとしばらくして、横路の携帯電話に娘の楓(木内心結)から一通のメールが届く。しかしそれは、楓を誘拐したことを知らせる“N31"からのメッセージだった。  そこには椅子に縛られグッタリした楓の写真が!そしてさらにもう一枚、衝撃的な写真も送られてくる。  2億円を返さなければ楓の命が危ないーー慌てた横路は、幸平に電話。杏南と海外逃亡に向かっていた幸平は……?</v>
      </c>
      <c r="N432" s="2" t="str">
        <f>IFERROR(__xludf.DUMMYFUNCTION("""COMPUTED_VALUE"""),"  木村佳乃　  相武紗季　  浅香航大　  眞島秀和　  小園凌央　  児玉絹世　  関口アナム  　・　  キムラ緑子　  佐々木蔵之介  　・　  高橋一生　  佐藤隆太　  宮迫博之番組公式ホームページ  http://www.ktv.jp/yabatsuma/index.html")</f>
        <v>  木村佳乃　  相武紗季　  浅香航大　  眞島秀和　  小園凌央　  児玉絹世　  関口アナム  　・　  キムラ緑子　  佐々木蔵之介  　・　  高橋一生　  佐藤隆太　  宮迫博之番組公式ホームページ  http://www.ktv.jp/yabatsuma/index.html</v>
      </c>
      <c r="O432" s="2"/>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row>
    <row r="433" ht="204.75" customHeight="1">
      <c r="A433" s="1">
        <v>1658.0</v>
      </c>
      <c r="B433" s="2" t="s">
        <v>1374</v>
      </c>
      <c r="C433" s="2">
        <f>IFERROR(__xludf.DUMMYFUNCTION("split(B433,""_"")"),1604.0)</f>
        <v>1604</v>
      </c>
      <c r="D433" s="2" t="str">
        <f>IFERROR(__xludf.DUMMYFUNCTION("""COMPUTED_VALUE"""),"CX")</f>
        <v>CX</v>
      </c>
      <c r="E433" s="2" t="str">
        <f>IFERROR(__xludf.DUMMYFUNCTION("""COMPUTED_VALUE"""),"火22")</f>
        <v>火22</v>
      </c>
      <c r="F433" s="2" t="s">
        <v>1375</v>
      </c>
      <c r="G433" s="2" t="s">
        <v>1391</v>
      </c>
      <c r="H433" s="1">
        <v>6.0</v>
      </c>
      <c r="I433" s="1" t="s">
        <v>21</v>
      </c>
      <c r="J433" s="1" t="s">
        <v>86</v>
      </c>
      <c r="K433" s="2" t="s">
        <v>1392</v>
      </c>
      <c r="L433" s="2" t="s">
        <v>1393</v>
      </c>
      <c r="M433" s="2" t="str">
        <f>IFERROR(__xludf.DUMMYFUNCTION("split(split(K433,""【"",false),""伊藤英明　"",false)"),"「君だよね、緒方彰吾(眞島秀和)を殺したの。」和樹(高橋一生)は、緒方が死亡する前夜、杏南(相武紗季)が望月家から緒方を尾行する姿を目撃していた。黙っているかわりに金をよこせと言う和樹。杏南は緒方殺害を否定するが、和樹がひそかに睡眠薬を入れたワインを飲み、意識を失ってしまう。    その頃、真理亜(木村佳乃)から2億円を奪った幸平(伊藤英明)は浮足立って杏南のマンションへ向かう。しかしそこで和樹とキスをする杏南を目撃し、怒りと裏切られた思いにとらわれる。    翌朝、そんな幸平の元に真理亜の弁護士から連絡"&amp;"が入る。あれだけかたくなに拒否していた真理亜が離婚に応じるという。やっと金も自由も手に入れたが、孤独を感じる幸平。そんな時、横路(宮迫博之)から、真理亜の近くに木暮(佐々木蔵之介)という男がいることを聞く。木暮のバーを訪れたふたりは、そこで木暮と真理亜を結びつける意外な証拠を見つける。一方、真理亜は杏南にも「幸平を譲る」と離婚を宣言。そして新しい毒を作ってほしいと依頼する。使い道を尋ねる杏南に、真理亜はためらうことなく「幸平を殺す」と告げる。真理亜は杏南の本当の狙いを見透かしていたのだった。")</f>
        <v>「君だよね、緒方彰吾(眞島秀和)を殺したの。」和樹(高橋一生)は、緒方が死亡する前夜、杏南(相武紗季)が望月家から緒方を尾行する姿を目撃していた。黙っているかわりに金をよこせと言う和樹。杏南は緒方殺害を否定するが、和樹がひそかに睡眠薬を入れたワインを飲み、意識を失ってしまう。    その頃、真理亜(木村佳乃)から2億円を奪った幸平(伊藤英明)は浮足立って杏南のマンションへ向かう。しかしそこで和樹とキスをする杏南を目撃し、怒りと裏切られた思いにとらわれる。    翌朝、そんな幸平の元に真理亜の弁護士から連絡が入る。あれだけかたくなに拒否していた真理亜が離婚に応じるという。やっと金も自由も手に入れたが、孤独を感じる幸平。そんな時、横路(宮迫博之)から、真理亜の近くに木暮(佐々木蔵之介)という男がいることを聞く。木暮のバーを訪れたふたりは、そこで木暮と真理亜を結びつける意外な証拠を見つける。一方、真理亜は杏南にも「幸平を譲る」と離婚を宣言。そして新しい毒を作ってほしいと依頼する。使い道を尋ねる杏南に、真理亜はためらうことなく「幸平を殺す」と告げる。真理亜は杏南の本当の狙いを見透かしていたのだった。</v>
      </c>
      <c r="N433" s="2" t="str">
        <f>IFERROR(__xludf.DUMMYFUNCTION("""COMPUTED_VALUE"""),"  木村佳乃　  相武紗季　  浅香航大　  眞島秀和　  小園凌央　  児玉絹世　  関口アナム  　・　  キムラ緑子　  佐々木蔵之介  　・　  高橋一生　  佐藤隆太　  宮迫博之番組公式ホームページ  http://www.ktv.jp/yabatsuma/index.html")</f>
        <v>  木村佳乃　  相武紗季　  浅香航大　  眞島秀和　  小園凌央　  児玉絹世　  関口アナム  　・　  キムラ緑子　  佐々木蔵之介  　・　  高橋一生　  佐藤隆太　  宮迫博之番組公式ホームページ  http://www.ktv.jp/yabatsuma/index.html</v>
      </c>
      <c r="O433" s="2"/>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row>
    <row r="434" ht="204.75" customHeight="1">
      <c r="A434" s="1">
        <v>1659.0</v>
      </c>
      <c r="B434" s="2" t="s">
        <v>1374</v>
      </c>
      <c r="C434" s="2">
        <f>IFERROR(__xludf.DUMMYFUNCTION("split(B434,""_"")"),1604.0)</f>
        <v>1604</v>
      </c>
      <c r="D434" s="2" t="str">
        <f>IFERROR(__xludf.DUMMYFUNCTION("""COMPUTED_VALUE"""),"CX")</f>
        <v>CX</v>
      </c>
      <c r="E434" s="2" t="str">
        <f>IFERROR(__xludf.DUMMYFUNCTION("""COMPUTED_VALUE"""),"火22")</f>
        <v>火22</v>
      </c>
      <c r="F434" s="2" t="s">
        <v>1375</v>
      </c>
      <c r="G434" s="2" t="s">
        <v>1394</v>
      </c>
      <c r="H434" s="1">
        <v>7.0</v>
      </c>
      <c r="I434" s="1" t="s">
        <v>25</v>
      </c>
      <c r="J434" s="1" t="s">
        <v>86</v>
      </c>
      <c r="K434" s="2" t="s">
        <v>1395</v>
      </c>
      <c r="L434" s="2" t="s">
        <v>1396</v>
      </c>
      <c r="M434" s="2" t="str">
        <f>IFERROR(__xludf.DUMMYFUNCTION("split(split(K434,""【"",false),""伊藤英明　"",false)"),"突然背後から有希(キムラ緑子)に襲われた杏南(相武紗季)は反撃しようとするが、あと一歩のところで和樹(高橋一生)に止められる。怒りを抑えきれない杏南は、幸平(伊藤英明)の前で和樹がレンタル夫であることをばらし、有希は激しく取り乱す。    真理亜(木村佳乃)が幸平を招待する夕食会の日、杏南は頼まれていた毒薬・アドキシンを真理亜に渡す。すると真理亜は毒の半分を料理に入れ、残りは杏南がワインに入れて持ってきてほしいという。この用意周到な計画を杏南から聞いた幸平は、真理亜を返り討ちにしようと、自らも毒入り料理を"&amp;"真理亜に振る舞うことを思いつく。    一方、真理亜が木暮(佐々木蔵之介)と共謀している可能性にたどりついた相馬(佐藤隆太)は、緒方(眞島秀和)の遺体発見現場から逃げた女が履いていた靴の特徴から、ある人物に突き当たる。    夕食会の夜、幸平は真理亜と表向きは仲良くスーパーでの買い出しを済ませ、2人でキッチンに立ち、相手にバレないよう、それぞれの料理に毒を入れる。ついに始まる夫婦最後の晩さん。幸平は真理亜が作った毒入り料理をかわしながら、なんとか自分が作ったアクアパッツァを真理亜に食べさせようと躍起になる"&amp;"。そんな幸平の思惑とは裏腹に、アクアパッツァにまつわる2人の思い出を楽しげに話し始める真理亜。すると突然、言葉が途切れ、幸平が見ると真理亜が目に涙を浮かべていた。そのとき幸平は…!?")</f>
        <v>突然背後から有希(キムラ緑子)に襲われた杏南(相武紗季)は反撃しようとするが、あと一歩のところで和樹(高橋一生)に止められる。怒りを抑えきれない杏南は、幸平(伊藤英明)の前で和樹がレンタル夫であることをばらし、有希は激しく取り乱す。    真理亜(木村佳乃)が幸平を招待する夕食会の日、杏南は頼まれていた毒薬・アドキシンを真理亜に渡す。すると真理亜は毒の半分を料理に入れ、残りは杏南がワインに入れて持ってきてほしいという。この用意周到な計画を杏南から聞いた幸平は、真理亜を返り討ちにしようと、自らも毒入り料理を真理亜に振る舞うことを思いつく。    一方、真理亜が木暮(佐々木蔵之介)と共謀している可能性にたどりついた相馬(佐藤隆太)は、緒方(眞島秀和)の遺体発見現場から逃げた女が履いていた靴の特徴から、ある人物に突き当たる。    夕食会の夜、幸平は真理亜と表向きは仲良くスーパーでの買い出しを済ませ、2人でキッチンに立ち、相手にバレないよう、それぞれの料理に毒を入れる。ついに始まる夫婦最後の晩さん。幸平は真理亜が作った毒入り料理をかわしながら、なんとか自分が作ったアクアパッツァを真理亜に食べさせようと躍起になる。そんな幸平の思惑とは裏腹に、アクアパッツァにまつわる2人の思い出を楽しげに話し始める真理亜。すると突然、言葉が途切れ、幸平が見ると真理亜が目に涙を浮かべていた。そのとき幸平は…!?</v>
      </c>
      <c r="N434" s="2" t="str">
        <f>IFERROR(__xludf.DUMMYFUNCTION("""COMPUTED_VALUE"""),"  木村佳乃　  相武紗季　  浅香航大　  眞島秀和　  小園凌央　  児玉絹世　  関口アナム  　・　  キムラ緑子　  佐々木蔵之介  　・　  高橋一生　  佐藤隆太　  宮迫博之番組公式ホームページ　  http://www.ktv.jp/yabatsuma/index.html")</f>
        <v>  木村佳乃　  相武紗季　  浅香航大　  眞島秀和　  小園凌央　  児玉絹世　  関口アナム  　・　  キムラ緑子　  佐々木蔵之介  　・　  高橋一生　  佐藤隆太　  宮迫博之番組公式ホームページ　  http://www.ktv.jp/yabatsuma/index.html</v>
      </c>
      <c r="O434" s="2"/>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row>
    <row r="435" ht="204.75" customHeight="1">
      <c r="A435" s="1">
        <v>1660.0</v>
      </c>
      <c r="B435" s="2" t="s">
        <v>1374</v>
      </c>
      <c r="C435" s="2">
        <f>IFERROR(__xludf.DUMMYFUNCTION("split(B435,""_"")"),1604.0)</f>
        <v>1604</v>
      </c>
      <c r="D435" s="2" t="str">
        <f>IFERROR(__xludf.DUMMYFUNCTION("""COMPUTED_VALUE"""),"CX")</f>
        <v>CX</v>
      </c>
      <c r="E435" s="2" t="str">
        <f>IFERROR(__xludf.DUMMYFUNCTION("""COMPUTED_VALUE"""),"火22")</f>
        <v>火22</v>
      </c>
      <c r="F435" s="2" t="s">
        <v>1375</v>
      </c>
      <c r="G435" s="2" t="s">
        <v>1397</v>
      </c>
      <c r="H435" s="1">
        <v>8.0</v>
      </c>
      <c r="I435" s="1" t="s">
        <v>29</v>
      </c>
      <c r="J435" s="1" t="s">
        <v>86</v>
      </c>
      <c r="K435" s="2" t="s">
        <v>1398</v>
      </c>
      <c r="L435" s="2" t="s">
        <v>1399</v>
      </c>
      <c r="M435" s="2" t="str">
        <f>IFERROR(__xludf.DUMMYFUNCTION("split(split(K435,""【"",false),""伊藤英明　"",false)"),"杏南(相武紗季)を殺してしまった衝撃と罪悪感にさいなまれる幸平(伊藤英明)。遺体を運び出し、戻ってきた真理亜(木村佳乃)は、情緒不安定な夫を「私も同罪よ。幸平は一人じゃない」と気丈に励まし、罪を分かち合う。しかし翌朝、2人の元に『2億円用意しろ。北里杏南を殺したことを知っている』と脅迫状が届くと、幸平は再びパニックに。  幸平を何とか落ち着かせると、真理亜は幸平に2億円を回収していつも通り仕事に出かけるよう促し、自分は脅迫状の送り主をつきとめると言う。    脅迫状の送り主は鯨井和樹(高橋一生)だった。有"&amp;"希(キムラ緑子)から緒方(眞島秀和)殺しを告白され、レンタル夫の契約解消を申し出られた和樹は、望月家を盗聴して知った杏南の毒殺をネタに、幸平と真理亜をゆすろうと計画し、有希にも協力を促す。    真理亜に言われた通り2億円を回収し、店に出かけた幸平だったが、杏南を殺してしまった恐怖に悩まされ、幻聴や幻覚を見るまでに追い詰められていく。そこへ、杏南と連絡がとれないと相馬(佐藤隆太)がやってくる。ついに耐えられなくなった幸平は、相馬に「杏南を殺しました。」と告白する。    一方、真理亜は家の中にしかけられた"&amp;"盗聴器を見つけると、今まさに盗聴しているはずの相手を挑発。焦った有希が慌てて和樹に電話するとその直後、インターフォンが鳴り、有希の家の前には真理亜が立っていた!")</f>
        <v>杏南(相武紗季)を殺してしまった衝撃と罪悪感にさいなまれる幸平(伊藤英明)。遺体を運び出し、戻ってきた真理亜(木村佳乃)は、情緒不安定な夫を「私も同罪よ。幸平は一人じゃない」と気丈に励まし、罪を分かち合う。しかし翌朝、2人の元に『2億円用意しろ。北里杏南を殺したことを知っている』と脅迫状が届くと、幸平は再びパニックに。  幸平を何とか落ち着かせると、真理亜は幸平に2億円を回収していつも通り仕事に出かけるよう促し、自分は脅迫状の送り主をつきとめると言う。    脅迫状の送り主は鯨井和樹(高橋一生)だった。有希(キムラ緑子)から緒方(眞島秀和)殺しを告白され、レンタル夫の契約解消を申し出られた和樹は、望月家を盗聴して知った杏南の毒殺をネタに、幸平と真理亜をゆすろうと計画し、有希にも協力を促す。    真理亜に言われた通り2億円を回収し、店に出かけた幸平だったが、杏南を殺してしまった恐怖に悩まされ、幻聴や幻覚を見るまでに追い詰められていく。そこへ、杏南と連絡がとれないと相馬(佐藤隆太)がやってくる。ついに耐えられなくなった幸平は、相馬に「杏南を殺しました。」と告白する。    一方、真理亜は家の中にしかけられた盗聴器を見つけると、今まさに盗聴しているはずの相手を挑発。焦った有希が慌てて和樹に電話するとその直後、インターフォンが鳴り、有希の家の前には真理亜が立っていた!</v>
      </c>
      <c r="N435" s="2" t="str">
        <f>IFERROR(__xludf.DUMMYFUNCTION("""COMPUTED_VALUE"""),"  木村佳乃　  相武紗季　  浅香航大　  眞島秀和　  小園凌央　  児玉絹世　  関口アナム  　・　  キムラ緑子　  佐々木蔵之介  　・　  高橋一生　  佐藤隆太　  宮迫博之番組公式ホームページ  http://www.ktv.jp/yabatsuma/index.html")</f>
        <v>  木村佳乃　  相武紗季　  浅香航大　  眞島秀和　  小園凌央　  児玉絹世　  関口アナム  　・　  キムラ緑子　  佐々木蔵之介  　・　  高橋一生　  佐藤隆太　  宮迫博之番組公式ホームページ  http://www.ktv.jp/yabatsuma/index.html</v>
      </c>
      <c r="O435" s="2"/>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row>
    <row r="436" ht="204.75" customHeight="1">
      <c r="A436" s="1">
        <v>1661.0</v>
      </c>
      <c r="B436" s="2" t="s">
        <v>1374</v>
      </c>
      <c r="C436" s="2">
        <f>IFERROR(__xludf.DUMMYFUNCTION("split(B436,""_"")"),1604.0)</f>
        <v>1604</v>
      </c>
      <c r="D436" s="2" t="str">
        <f>IFERROR(__xludf.DUMMYFUNCTION("""COMPUTED_VALUE"""),"CX")</f>
        <v>CX</v>
      </c>
      <c r="E436" s="2" t="str">
        <f>IFERROR(__xludf.DUMMYFUNCTION("""COMPUTED_VALUE"""),"火22")</f>
        <v>火22</v>
      </c>
      <c r="F436" s="2" t="s">
        <v>1375</v>
      </c>
      <c r="G436" s="2" t="s">
        <v>1400</v>
      </c>
      <c r="H436" s="1">
        <v>9.0</v>
      </c>
      <c r="I436" s="1" t="s">
        <v>33</v>
      </c>
      <c r="J436" s="1" t="s">
        <v>86</v>
      </c>
      <c r="K436" s="2" t="s">
        <v>1401</v>
      </c>
      <c r="L436" s="2" t="s">
        <v>1402</v>
      </c>
      <c r="M436" s="2" t="str">
        <f>IFERROR(__xludf.DUMMYFUNCTION("split(split(K436,""【"",false),""伊藤英明　"",false)"),"杏南(相武紗季)殺しをネタに脅迫状を送ってきたのが有希(キムラ緑子)だと気付き、有希のもとを訪ねた真理亜(木村佳乃)。しかし、真理亜から緒方殺しとレンタル夫婦であることを突きつけられ逆上した有希は真理亜を刺し、真理亜は瀕死(ひんし)の重傷を負ってしまう。  杏南に死んだフリをさせたことが幸平(伊藤英明)にバレてしまった今、幸平が自分を助けに来ることなどもはやありえないだろう。もうろうとした意識の中で真理亜は、あきらめたように悲しい笑みを浮かべる。    その頃、自宅で「真理亜を誘拐した」という新たな脅迫状"&amp;"を見つけた幸平は、真理亜が再び狂言で自分をだまそうとしているのだと怒りに震えていた。しかし、望月家に侵入した和樹(高橋一生)からナイフを突きつけられ、真理亜の命と引き換えに2億円を出せと脅される。幸平は、半信半疑のまま和樹をガレージへと連れて行くが、なぜか車から金が消えていて…?一方、木暮(佐々木蔵之介)の元には真理亜から荷物が届く。そこに書かれていたメッセージに胸騒ぎを覚えた木暮は、ついにある行動に出る。    果たして、鯨井夫婦に監禁された真理亜の命は!?幸平は真理亜を助けに行くのか?  ついに明らか"&amp;"になる木暮と真理亜の関係、そして“N31""の本当の意味と真理亜の真の目的!そのとき望月夫婦が選ぶ結末とは!?そこには、誰も予想できない衝撃の真実が待っていた!")</f>
        <v>杏南(相武紗季)殺しをネタに脅迫状を送ってきたのが有希(キムラ緑子)だと気付き、有希のもとを訪ねた真理亜(木村佳乃)。しかし、真理亜から緒方殺しとレンタル夫婦であることを突きつけられ逆上した有希は真理亜を刺し、真理亜は瀕死(ひんし)の重傷を負ってしまう。  杏南に死んだフリをさせたことが幸平(伊藤英明)にバレてしまった今、幸平が自分を助けに来ることなどもはやありえないだろう。もうろうとした意識の中で真理亜は、あきらめたように悲しい笑みを浮かべる。    その頃、自宅で「真理亜を誘拐した」という新たな脅迫状を見つけた幸平は、真理亜が再び狂言で自分をだまそうとしているのだと怒りに震えていた。しかし、望月家に侵入した和樹(高橋一生)からナイフを突きつけられ、真理亜の命と引き換えに2億円を出せと脅される。幸平は、半信半疑のまま和樹をガレージへと連れて行くが、なぜか車から金が消えていて…?一方、木暮(佐々木蔵之介)の元には真理亜から荷物が届く。そこに書かれていたメッセージに胸騒ぎを覚えた木暮は、ついにある行動に出る。    果たして、鯨井夫婦に監禁された真理亜の命は!?幸平は真理亜を助けに行くのか?  ついに明らかになる木暮と真理亜の関係、そして“N31"の本当の意味と真理亜の真の目的!そのとき望月夫婦が選ぶ結末とは!?そこには、誰も予想できない衝撃の真実が待っていた!</v>
      </c>
      <c r="N436" s="2" t="str">
        <f>IFERROR(__xludf.DUMMYFUNCTION("""COMPUTED_VALUE"""),"  木村佳乃　  相武紗季　  浅香航大　  眞島秀和　  小園凌央　  児玉絹世　  関口アナム  　・　  キムラ緑子　  佐々木蔵之介  　・　  高橋一生　  佐藤隆太　  宮迫博之番組公式ホームページ　  http://www.ktv.jp/yabatsuma/index.html")</f>
        <v>  木村佳乃　  相武紗季　  浅香航大　  眞島秀和　  小園凌央　  児玉絹世　  関口アナム  　・　  キムラ緑子　  佐々木蔵之介  　・　  高橋一生　  佐藤隆太　  宮迫博之番組公式ホームページ　  http://www.ktv.jp/yabatsuma/index.html</v>
      </c>
      <c r="O436" s="2"/>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row>
    <row r="437" ht="204.75" customHeight="1">
      <c r="A437" s="1">
        <v>1691.0</v>
      </c>
      <c r="B437" s="2" t="s">
        <v>1403</v>
      </c>
      <c r="C437" s="2">
        <f>IFERROR(__xludf.DUMMYFUNCTION("split(B437,""_"")"),1604.0)</f>
        <v>1604</v>
      </c>
      <c r="D437" s="2" t="str">
        <f>IFERROR(__xludf.DUMMYFUNCTION("""COMPUTED_VALUE"""),"CX")</f>
        <v>CX</v>
      </c>
      <c r="E437" s="2" t="str">
        <f>IFERROR(__xludf.DUMMYFUNCTION("""COMPUTED_VALUE"""),"木22")</f>
        <v>木22</v>
      </c>
      <c r="F437" s="2" t="s">
        <v>1404</v>
      </c>
      <c r="G437" s="2" t="s">
        <v>1405</v>
      </c>
      <c r="H437" s="1">
        <v>1.0</v>
      </c>
      <c r="I437" s="1" t="s">
        <v>3</v>
      </c>
      <c r="J437" s="1" t="s">
        <v>82</v>
      </c>
      <c r="K437" s="2" t="s">
        <v>1406</v>
      </c>
      <c r="L437" s="2" t="s">
        <v>1407</v>
      </c>
      <c r="M437" s="2" t="str">
        <f>IFERROR(__xludf.DUMMYFUNCTION("split(split(K437,""】"",false),""要チェック!"",false)"),"★番組公式HPはこちら　  http://www.fujitv.co.jp/hayako/　    ★Twitterも稼働中!　  https://twitter.com/Hayako_cx　    ★公式LINEも")</f>
        <v>★番組公式HPはこちら　  http://www.fujitv.co.jp/hayako/　    ★Twitterも稼働中!　  https://twitter.com/Hayako_cx　    ★公式LINEも</v>
      </c>
      <c r="N437" s="2" t="str">
        <f>IFERROR(__xludf.DUMMYFUNCTION("""COMPUTED_VALUE"""),"　立木早子(松下奈緒)は、34歳独身の小学校教師。東京郊外にある平和町小学校で1年1組の担任を務めている。豆腐店を営んでいる実家で、真面目な父・辰志(尾藤イサオ)、楽天家の母・尚子(松坂慶子)と3人暮らしだ。マイペースでサバサバした性格の早子は、子どもたちから慕われ、同僚教師の久我山ミカ(貫地谷しほり)、成増梅子(佐藤仁美)、千駄木廉太郎(八嶋智人)らとも良好な関係を築き、教師として充実した日々を送っている。ミカ、梅子、廉太郎はいずれも独身で、中でもミカは結婚願望が強く、合コンにも積極的に参加しているらし"&amp;"いが、何故それほど結婚したいのか踏み込んだ質問はしたことがなかった。とはいえ、実は早子自身も、何気ない日常の中でふと寂しさを感じることもあった。そんなある日、思わぬ騒動が起きる。辰志が倒れ、病院に運ばれたのだ。幸い命に別状はなかったものの、この機会に店を畳んではどうかと両親に提案しようと考える早子。その矢先、早子は、居間の引き出しにお見合い写真が隠してあるのを発見して…。【キャスト")</f>
        <v>　立木早子(松下奈緒)は、34歳独身の小学校教師。東京郊外にある平和町小学校で1年1組の担任を務めている。豆腐店を営んでいる実家で、真面目な父・辰志(尾藤イサオ)、楽天家の母・尚子(松坂慶子)と3人暮らしだ。マイペースでサバサバした性格の早子は、子どもたちから慕われ、同僚教師の久我山ミカ(貫地谷しほり)、成増梅子(佐藤仁美)、千駄木廉太郎(八嶋智人)らとも良好な関係を築き、教師として充実した日々を送っている。ミカ、梅子、廉太郎はいずれも独身で、中でもミカは結婚願望が強く、合コンにも積極的に参加しているらしいが、何故それほど結婚したいのか踏み込んだ質問はしたことがなかった。とはいえ、実は早子自身も、何気ない日常の中でふと寂しさを感じることもあった。そんなある日、思わぬ騒動が起きる。辰志が倒れ、病院に運ばれたのだ。幸い命に別状はなかったものの、この機会に店を畳んではどうかと両親に提案しようと考える早子。その矢先、早子は、居間の引き出しにお見合い写真が隠してあるのを発見して…。【キャスト</v>
      </c>
      <c r="O437" s="2"/>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row>
    <row r="438" ht="204.75" customHeight="1">
      <c r="A438" s="1">
        <v>1692.0</v>
      </c>
      <c r="B438" s="2" t="s">
        <v>1403</v>
      </c>
      <c r="C438" s="2">
        <f>IFERROR(__xludf.DUMMYFUNCTION("split(B438,""_"")"),1604.0)</f>
        <v>1604</v>
      </c>
      <c r="D438" s="2" t="str">
        <f>IFERROR(__xludf.DUMMYFUNCTION("""COMPUTED_VALUE"""),"CX")</f>
        <v>CX</v>
      </c>
      <c r="E438" s="2" t="str">
        <f>IFERROR(__xludf.DUMMYFUNCTION("""COMPUTED_VALUE"""),"木22")</f>
        <v>木22</v>
      </c>
      <c r="F438" s="2" t="s">
        <v>1404</v>
      </c>
      <c r="G438" s="2" t="s">
        <v>1408</v>
      </c>
      <c r="H438" s="1">
        <v>2.0</v>
      </c>
      <c r="I438" s="1" t="s">
        <v>7</v>
      </c>
      <c r="J438" s="1" t="s">
        <v>86</v>
      </c>
      <c r="K438" s="2" t="s">
        <v>1409</v>
      </c>
      <c r="L438" s="2" t="s">
        <v>1410</v>
      </c>
      <c r="M438" s="2" t="str">
        <f>IFERROR(__xludf.DUMMYFUNCTION("split(split(K438,""】"",false),""要チェック!"",false)"),"★番組公式HPはこちら　  http://www.fujitv.co.jp/hayako/　    ★Twitterも稼働中!　  https://twitter.com/Hayako_cx　    ★公式LINEも")</f>
        <v>★番組公式HPはこちら　  http://www.fujitv.co.jp/hayako/　    ★Twitterも稼働中!　  https://twitter.com/Hayako_cx　    ★公式LINEも</v>
      </c>
      <c r="N438" s="2" t="str">
        <f>IFERROR(__xludf.DUMMYFUNCTION("""COMPUTED_VALUE"""),"　早子(松下奈緒)は、ダンディーな雰囲気の男性・月島遼一(坂上忍)とお見合いをする。その席でちょっとしたトラブルが発生したが、動じずに落ち着いた対応を見せる月島。早子はそんな月島に好感を抱いていた。逆上がりが苦手だった千駄木(八嶋智人)は、港(間宮祥太朗)の指導の下で練習を重ねる。やがて逆上がりをマスターした千駄木は、自分のことをからかっていた児童たちの前で披露した。そんな千駄木のもとに、目黒(足立梨花)という女性から電話が入る。職員室でその電話を受けた早子は、もうすぐ約束の誕生日だから会いたいという彼女"&amp;"の言葉を千駄木に伝えるが…。  　一方、ミカ(貫地谷しほり)、梅子(佐藤仁美)、舞(舞羽美海)は、ひとり1品料理を持ち寄ってピクニック合コンに出かける。が途中で激しい雨に見舞われてしまい、合コン相手の佐賀俊介(田中圭)たちとともに、ピクニックの場所から近かった早子の家へと避難する。早子の母・尚子(松坂慶子)と父・辰志(尾藤イサオ)は、ミカたちを歓迎した。そんな中、早子は、月島から「すぐにでも会って話がしたい」というメールをもらい…。松下奈緒　:立木早子　  貫地谷しほり　:久我山ミカ　  佐藤仁美　:成増"&amp;"梅子　  舞羽美海　:羽村舞　  間宮祥太朗　:港草介　  川栄李奈　:守山風子　  小芝風花　:秋川莉々　  田野倉雄太　:神田和夫  　　・　　  八嶋智人　:千駄木廉太郎  　　・　　  山内圭哉　:本郷潤吉　  尾藤イサオ　:立木辰志　  松坂慶子　:立木尚子　    他【原作")</f>
        <v>　早子(松下奈緒)は、ダンディーな雰囲気の男性・月島遼一(坂上忍)とお見合いをする。その席でちょっとしたトラブルが発生したが、動じずに落ち着いた対応を見せる月島。早子はそんな月島に好感を抱いていた。逆上がりが苦手だった千駄木(八嶋智人)は、港(間宮祥太朗)の指導の下で練習を重ねる。やがて逆上がりをマスターした千駄木は、自分のことをからかっていた児童たちの前で披露した。そんな千駄木のもとに、目黒(足立梨花)という女性から電話が入る。職員室でその電話を受けた早子は、もうすぐ約束の誕生日だから会いたいという彼女の言葉を千駄木に伝えるが…。  　一方、ミカ(貫地谷しほり)、梅子(佐藤仁美)、舞(舞羽美海)は、ひとり1品料理を持ち寄ってピクニック合コンに出かける。が途中で激しい雨に見舞われてしまい、合コン相手の佐賀俊介(田中圭)たちとともに、ピクニックの場所から近かった早子の家へと避難する。早子の母・尚子(松坂慶子)と父・辰志(尾藤イサオ)は、ミカたちを歓迎した。そんな中、早子は、月島から「すぐにでも会って話がしたい」というメールをもらい…。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v>
      </c>
      <c r="O438" s="2"/>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row>
    <row r="439" ht="204.75" customHeight="1">
      <c r="A439" s="1">
        <v>1693.0</v>
      </c>
      <c r="B439" s="2" t="s">
        <v>1403</v>
      </c>
      <c r="C439" s="2">
        <f>IFERROR(__xludf.DUMMYFUNCTION("split(B439,""_"")"),1604.0)</f>
        <v>1604</v>
      </c>
      <c r="D439" s="2" t="str">
        <f>IFERROR(__xludf.DUMMYFUNCTION("""COMPUTED_VALUE"""),"CX")</f>
        <v>CX</v>
      </c>
      <c r="E439" s="2" t="str">
        <f>IFERROR(__xludf.DUMMYFUNCTION("""COMPUTED_VALUE"""),"木22")</f>
        <v>木22</v>
      </c>
      <c r="F439" s="2" t="s">
        <v>1404</v>
      </c>
      <c r="G439" s="2" t="s">
        <v>1411</v>
      </c>
      <c r="H439" s="1">
        <v>3.0</v>
      </c>
      <c r="I439" s="1" t="s">
        <v>10</v>
      </c>
      <c r="J439" s="1" t="s">
        <v>86</v>
      </c>
      <c r="K439" s="2" t="s">
        <v>1412</v>
      </c>
      <c r="L439" s="2" t="s">
        <v>1413</v>
      </c>
      <c r="M439" s="2" t="str">
        <f>IFERROR(__xludf.DUMMYFUNCTION("split(split(K439,""】"",false),""要チェック!"",false)"),"★番組公式HPはこちら　  http://www.fujitv.co.jp/hayako/　    ★Twitterも稼働中!　  https://twitter.com/Hayako_cx　    ★公式LINEも")</f>
        <v>★番組公式HPはこちら　  http://www.fujitv.co.jp/hayako/　    ★Twitterも稼働中!　  https://twitter.com/Hayako_cx　    ★公式LINEも</v>
      </c>
      <c r="N439" s="2" t="str">
        <f>IFERROR(__xludf.DUMMYFUNCTION("""COMPUTED_VALUE"""),"　早子(松下奈緒)の実家『立木豆富店』に、赤い傘と旅行カバンを持った客・三田凪太郎(吉岡秀隆)がやってくる。ところが、応対した早子の姿を見た凪太郎は困惑し、豆腐を買い求めると逃げるように去ってしまう。店先には、凪太郎の傘が残されていた。  　早子は、ピクニック合コンに参加していた男性のひとり、佐賀(田中圭)から電話をもらい、彼と会うことになった。早子が約束した場所へ向かうと、佐賀が酒に酔った男にからまれ、トラブルになっていた。相手の男は、梅子(佐藤仁美)の元カレ・木の下(とにかく明るい安村)だ。早子は、ミ"&amp;"カ(貫地谷しほり)と梅子に連絡を取り、木の下のことは梅子に任せて、佐賀を連れて自宅に戻る。実は佐賀は、ミカの友人・舞(舞羽美海)のことが気になっており、相談したかったらしい。  　別の日、平和町小学校の職員室では、転校することになったミカのクラスの児童・中野一斗(高木星来)が体調不良を訴える。一斗は、ある理由から別の小学校へ転校するのが嫌で駄々をこねていた。そんな折、立木豆富店に再び凪太郎が現れて…。松下奈緒　:立木早子　  貫地谷しほり　:久我山ミカ　  佐藤仁美　:成増梅子　  舞羽美海　:羽村舞　 "&amp;" 間宮祥太朗　:港草介　  川栄李奈　:守山風子　  小芝風花　:秋川莉々　  田野倉雄太　:神田和夫  　　・　　  八嶋智人　:千駄木廉太郎  　　・　　  山内圭哉　:本郷潤吉　  尾藤イサオ　:立木辰志　  松坂慶子　:立木尚子　    他【原作")</f>
        <v>　早子(松下奈緒)の実家『立木豆富店』に、赤い傘と旅行カバンを持った客・三田凪太郎(吉岡秀隆)がやってくる。ところが、応対した早子の姿を見た凪太郎は困惑し、豆腐を買い求めると逃げるように去ってしまう。店先には、凪太郎の傘が残されていた。  　早子は、ピクニック合コンに参加していた男性のひとり、佐賀(田中圭)から電話をもらい、彼と会うことになった。早子が約束した場所へ向かうと、佐賀が酒に酔った男にからまれ、トラブルになっていた。相手の男は、梅子(佐藤仁美)の元カレ・木の下(とにかく明るい安村)だ。早子は、ミカ(貫地谷しほり)と梅子に連絡を取り、木の下のことは梅子に任せて、佐賀を連れて自宅に戻る。実は佐賀は、ミカの友人・舞(舞羽美海)のことが気になっており、相談したかったらしい。  　別の日、平和町小学校の職員室では、転校することになったミカのクラスの児童・中野一斗(高木星来)が体調不良を訴える。一斗は、ある理由から別の小学校へ転校するのが嫌で駄々をこねていた。そんな折、立木豆富店に再び凪太郎が現れて…。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v>
      </c>
      <c r="O439" s="2"/>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row>
    <row r="440" ht="204.75" customHeight="1">
      <c r="A440" s="1">
        <v>1694.0</v>
      </c>
      <c r="B440" s="2" t="s">
        <v>1403</v>
      </c>
      <c r="C440" s="2">
        <f>IFERROR(__xludf.DUMMYFUNCTION("split(B440,""_"")"),1604.0)</f>
        <v>1604</v>
      </c>
      <c r="D440" s="2" t="str">
        <f>IFERROR(__xludf.DUMMYFUNCTION("""COMPUTED_VALUE"""),"CX")</f>
        <v>CX</v>
      </c>
      <c r="E440" s="2" t="str">
        <f>IFERROR(__xludf.DUMMYFUNCTION("""COMPUTED_VALUE"""),"木22")</f>
        <v>木22</v>
      </c>
      <c r="F440" s="2" t="s">
        <v>1404</v>
      </c>
      <c r="G440" s="2" t="s">
        <v>1414</v>
      </c>
      <c r="H440" s="1">
        <v>4.0</v>
      </c>
      <c r="I440" s="1" t="s">
        <v>14</v>
      </c>
      <c r="J440" s="1" t="s">
        <v>86</v>
      </c>
      <c r="K440" s="2" t="s">
        <v>1415</v>
      </c>
      <c r="L440" s="2" t="s">
        <v>1416</v>
      </c>
      <c r="M440" s="2" t="str">
        <f>IFERROR(__xludf.DUMMYFUNCTION("split(split(K440,""】"",false),""要チェック!"",false)"),"★番組公式HPはこちら　  http://www.fujitv.co.jp/hayako/　    ★Twitterも稼働中!　  https://twitter.com/Hayako_cx　    ★公式LINEも")</f>
        <v>★番組公式HPはこちら　  http://www.fujitv.co.jp/hayako/　    ★Twitterも稼働中!　  https://twitter.com/Hayako_cx　    ★公式LINEも</v>
      </c>
      <c r="N440" s="2" t="str">
        <f>IFERROR(__xludf.DUMMYFUNCTION("""COMPUTED_VALUE"""),"　夏休み早々、早子(松下奈緒)は、小学校の教師たちが集まる研修会に参加する。そこで早子は、初対面にも関わらず軽いノリでなれなれしく話しかけてくる伊東慶太(佐藤アツヒロ)と出会う。伊東は四人兄弟の末っ子で、兄弟はみんな、教職についているため、なんとなく自分も教師になったらしい。早子は、注意事項を読まず、昼食を持参してこなかった伊東に、自分の弁当を分けてやる。すると伊東は、今日のお礼がしたいから今度食事に行こうと早子を誘い…。  　早子が研修を終えて帰宅すると、妊娠中の妹・風子(川栄李奈)が里帰りしていた。風"&amp;"子は、ある出来事がきっかけで夫とケンカになり、家を飛び出してきたらしい。  　別の日、夏休み出勤した早子は、練習試合の引率で平和町小学校にやってきた伊東と再会する。そこで再び食事に誘われた早子は、合コンはどうかと持ちかける。早子は、ミカ(貫地谷しほり)、梅子(佐藤仁美)を誘い、伊東や彼の草野球仲間だという大学生・喜連川隼人(吉沢亮)らとの合コンに臨むが…。松下奈緒　:立木早子　  貫地谷しほり　:久我山ミカ　  佐藤仁美　:成増梅子　  舞羽美海　:羽村舞　  間宮祥太朗　:港草介　  川栄李奈　:守山風"&amp;"子　  小芝風花　:秋川莉々　  田野倉雄太　:神田和夫  　　・　　  八嶋智人　:千駄木廉太郎  　　・　　  山内圭哉　:本郷潤吉　  尾藤イサオ　:立木辰志　  松坂慶子　:立木尚子　    他【原作")</f>
        <v>　夏休み早々、早子(松下奈緒)は、小学校の教師たちが集まる研修会に参加する。そこで早子は、初対面にも関わらず軽いノリでなれなれしく話しかけてくる伊東慶太(佐藤アツヒロ)と出会う。伊東は四人兄弟の末っ子で、兄弟はみんな、教職についているため、なんとなく自分も教師になったらしい。早子は、注意事項を読まず、昼食を持参してこなかった伊東に、自分の弁当を分けてやる。すると伊東は、今日のお礼がしたいから今度食事に行こうと早子を誘い…。  　早子が研修を終えて帰宅すると、妊娠中の妹・風子(川栄李奈)が里帰りしていた。風子は、ある出来事がきっかけで夫とケンカになり、家を飛び出してきたらしい。  　別の日、夏休み出勤した早子は、練習試合の引率で平和町小学校にやってきた伊東と再会する。そこで再び食事に誘われた早子は、合コンはどうかと持ちかける。早子は、ミカ(貫地谷しほり)、梅子(佐藤仁美)を誘い、伊東や彼の草野球仲間だという大学生・喜連川隼人(吉沢亮)らとの合コンに臨むが…。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v>
      </c>
      <c r="O440" s="2"/>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row>
    <row r="441" ht="204.75" customHeight="1">
      <c r="A441" s="1">
        <v>1695.0</v>
      </c>
      <c r="B441" s="2" t="s">
        <v>1403</v>
      </c>
      <c r="C441" s="2">
        <f>IFERROR(__xludf.DUMMYFUNCTION("split(B441,""_"")"),1604.0)</f>
        <v>1604</v>
      </c>
      <c r="D441" s="2" t="str">
        <f>IFERROR(__xludf.DUMMYFUNCTION("""COMPUTED_VALUE"""),"CX")</f>
        <v>CX</v>
      </c>
      <c r="E441" s="2" t="str">
        <f>IFERROR(__xludf.DUMMYFUNCTION("""COMPUTED_VALUE"""),"木22")</f>
        <v>木22</v>
      </c>
      <c r="F441" s="2" t="s">
        <v>1404</v>
      </c>
      <c r="G441" s="2" t="s">
        <v>1417</v>
      </c>
      <c r="H441" s="1">
        <v>5.0</v>
      </c>
      <c r="I441" s="1" t="s">
        <v>17</v>
      </c>
      <c r="J441" s="1" t="s">
        <v>86</v>
      </c>
      <c r="K441" s="2" t="s">
        <v>1418</v>
      </c>
      <c r="L441" s="2" t="s">
        <v>1419</v>
      </c>
      <c r="M441" s="2" t="str">
        <f>IFERROR(__xludf.DUMMYFUNCTION("split(split(K441,""】"",false),""要チェック!"",false)"),"★番組公式HPはこちら　  http://www.fujitv.co.jp/hayako/　    ★Twitterも稼働中!　  https://twitter.com/Hayako_cx　    ★公式LINEも")</f>
        <v>★番組公式HPはこちら　  http://www.fujitv.co.jp/hayako/　    ★Twitterも稼働中!　  https://twitter.com/Hayako_cx　    ★公式LINEも</v>
      </c>
      <c r="N441" s="2" t="str">
        <f>IFERROR(__xludf.DUMMYFUNCTION("""COMPUTED_VALUE"""),"　早子(松下奈緒)の実家・立木豆富店に、以前、店先に赤い傘を忘れていった男・三田凪太郎(吉岡秀隆)が現れる。しかし、何故か傘は見つからず、応対した尚子(松坂慶子)は、名刺に携帯電話の番号を書いてもらい、見つけ次第、連絡すると凪太郎に約束した。同じころ、平和町小学校では1年生の児童・菊名大介(木村皐誠)が病気になったウサギを持って登校し、騒動になっていた。本郷(山内圭哉)らは、事情を聞いても何も答えない大介にお手上げ状態だ。早子は、スマホで見つけた最寄りの動物病院まで一緒に行こうと声をかける。すると大介は、"&amp;"ウサギが入ったカゴを持って逃げ出してしまう。  　一方、腐れ縁だった木の下(とにかく明るい安村)と別れた梅子(佐藤仁美)は、占い師に勧められて、すぐに結婚相手が見つかるというブレスレットを購入していた。ミカ(貫地谷しほり)は、そんな梅子に千駄木(八嶋智人)がふたりだけで話がしたいと言っていたと伝える。  　大介は、早子が見つけた動物病院は嫌だと言ってきかなかった。困った早子は、以前学校で世話になったことがある動物病院の電話番号を調べてもらうために尚子に連絡すると、その病院はすでに廃業しているが、別に心当た"&amp;"りがあるという。尚子からの紹介で、早子と大介が待つ教室に現れたのは、凪太郎で…。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f>
        <v>　早子(松下奈緒)の実家・立木豆富店に、以前、店先に赤い傘を忘れていった男・三田凪太郎(吉岡秀隆)が現れる。しかし、何故か傘は見つからず、応対した尚子(松坂慶子)は、名刺に携帯電話の番号を書いてもらい、見つけ次第、連絡すると凪太郎に約束した。同じころ、平和町小学校では1年生の児童・菊名大介(木村皐誠)が病気になったウサギを持って登校し、騒動になっていた。本郷(山内圭哉)らは、事情を聞いても何も答えない大介にお手上げ状態だ。早子は、スマホで見つけた最寄りの動物病院まで一緒に行こうと声をかける。すると大介は、ウサギが入ったカゴを持って逃げ出してしまう。  　一方、腐れ縁だった木の下(とにかく明るい安村)と別れた梅子(佐藤仁美)は、占い師に勧められて、すぐに結婚相手が見つかるというブレスレットを購入していた。ミカ(貫地谷しほり)は、そんな梅子に千駄木(八嶋智人)がふたりだけで話がしたいと言っていたと伝える。  　大介は、早子が見つけた動物病院は嫌だと言ってきかなかった。困った早子は、以前学校で世話になったことがある動物病院の電話番号を調べてもらうために尚子に連絡すると、その病院はすでに廃業しているが、別に心当たりがあるという。尚子からの紹介で、早子と大介が待つ教室に現れたのは、凪太郎で…。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v>
      </c>
      <c r="O441" s="2"/>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row>
    <row r="442" ht="204.75" customHeight="1">
      <c r="A442" s="1">
        <v>1696.0</v>
      </c>
      <c r="B442" s="2" t="s">
        <v>1403</v>
      </c>
      <c r="C442" s="2">
        <f>IFERROR(__xludf.DUMMYFUNCTION("split(B442,""_"")"),1604.0)</f>
        <v>1604</v>
      </c>
      <c r="D442" s="2" t="str">
        <f>IFERROR(__xludf.DUMMYFUNCTION("""COMPUTED_VALUE"""),"CX")</f>
        <v>CX</v>
      </c>
      <c r="E442" s="2" t="str">
        <f>IFERROR(__xludf.DUMMYFUNCTION("""COMPUTED_VALUE"""),"木22")</f>
        <v>木22</v>
      </c>
      <c r="F442" s="2" t="s">
        <v>1404</v>
      </c>
      <c r="G442" s="2" t="s">
        <v>1420</v>
      </c>
      <c r="H442" s="1">
        <v>6.0</v>
      </c>
      <c r="I442" s="1" t="s">
        <v>21</v>
      </c>
      <c r="J442" s="1" t="s">
        <v>86</v>
      </c>
      <c r="K442" s="2" t="s">
        <v>1421</v>
      </c>
      <c r="L442" s="2" t="s">
        <v>1422</v>
      </c>
      <c r="M442" s="2" t="str">
        <f>IFERROR(__xludf.DUMMYFUNCTION("split(split(K442,""】"",false),""要チェック!"",false)"),"★番組公式HPはこちら　  http://www.fujitv.co.jp/hayako/　    ★Twitterも稼働中!　  https://twitter.com/Hayako_cx　    ★公式LINEも")</f>
        <v>★番組公式HPはこちら　  http://www.fujitv.co.jp/hayako/　    ★Twitterも稼働中!　  https://twitter.com/Hayako_cx　    ★公式LINEも</v>
      </c>
      <c r="N442" s="2" t="str">
        <f>IFERROR(__xludf.DUMMYFUNCTION("""COMPUTED_VALUE"""),"　早子(松下奈緒)、ミカ(貫地谷しほり)、梅子(佐藤仁美)は、千駄木(八嶋智人)の後輩がセッティングした合コンで、岡山藤吾(成宮寛貴)と出会う。岡山は、食品メーカーの営業マンをしている心優しい男だった。  　それから数日後、立木家では、辰志(尾藤イサオ)が所用で出かけたため、尚子(松坂慶子)のたっての希望で女子会が開かれる。が女子会の意味がわかっていなかった早子は、ミカや梅子、莉々(小芝風花)だけでなく、何故か千駄木や本郷(山内圭哉)らにも声をかけていた。その席で酒を飲んだ莉々は、早子たち婚活同盟のメンバ"&amp;"ーに、友情を育んでいないで愛情を育め、と説教を始めてしまう。  　千駄木や莉々たちが帰った後、改めて飲み直した早子、ミカ、梅子は、莉々の言葉を受けて、お互いにこれ以上深入りしないようにしよう、と誓い合う。退屈な時間をともに過ごせる仲間がいると大概のことは満たされてしまって危険だというのだ。ミカは、さっそくスマホを取り出し、岡山にメッセージを送った。負けじと梅子も岡山にメッセージを送ろうとするが、何を書けばいいのかわからない。それからも飲み続け、すっかり酔ってしまう早子たち。岡山はミカが初めて連絡先を交換す"&amp;"るほど本気の相手であることを察知した梅子は、自分は引くから頑張れ、と言ってミカを励ます。翌日、ミカは岡山に対して積極的に行動に出るが…。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f>
        <v>　早子(松下奈緒)、ミカ(貫地谷しほり)、梅子(佐藤仁美)は、千駄木(八嶋智人)の後輩がセッティングした合コンで、岡山藤吾(成宮寛貴)と出会う。岡山は、食品メーカーの営業マンをしている心優しい男だった。  　それから数日後、立木家では、辰志(尾藤イサオ)が所用で出かけたため、尚子(松坂慶子)のたっての希望で女子会が開かれる。が女子会の意味がわかっていなかった早子は、ミカや梅子、莉々(小芝風花)だけでなく、何故か千駄木や本郷(山内圭哉)らにも声をかけていた。その席で酒を飲んだ莉々は、早子たち婚活同盟のメンバーに、友情を育んでいないで愛情を育め、と説教を始めてしまう。  　千駄木や莉々たちが帰った後、改めて飲み直した早子、ミカ、梅子は、莉々の言葉を受けて、お互いにこれ以上深入りしないようにしよう、と誓い合う。退屈な時間をともに過ごせる仲間がいると大概のことは満たされてしまって危険だというのだ。ミカは、さっそくスマホを取り出し、岡山にメッセージを送った。負けじと梅子も岡山にメッセージを送ろうとするが、何を書けばいいのかわからない。それからも飲み続け、すっかり酔ってしまう早子たち。岡山はミカが初めて連絡先を交換するほど本気の相手であることを察知した梅子は、自分は引くから頑張れ、と言ってミカを励ます。翌日、ミカは岡山に対して積極的に行動に出るが…。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v>
      </c>
      <c r="O442" s="2"/>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row>
    <row r="443" ht="204.75" customHeight="1">
      <c r="A443" s="1">
        <v>1697.0</v>
      </c>
      <c r="B443" s="2" t="s">
        <v>1403</v>
      </c>
      <c r="C443" s="2">
        <f>IFERROR(__xludf.DUMMYFUNCTION("split(B443,""_"")"),1604.0)</f>
        <v>1604</v>
      </c>
      <c r="D443" s="2" t="str">
        <f>IFERROR(__xludf.DUMMYFUNCTION("""COMPUTED_VALUE"""),"CX")</f>
        <v>CX</v>
      </c>
      <c r="E443" s="2" t="str">
        <f>IFERROR(__xludf.DUMMYFUNCTION("""COMPUTED_VALUE"""),"木22")</f>
        <v>木22</v>
      </c>
      <c r="F443" s="2" t="s">
        <v>1404</v>
      </c>
      <c r="G443" s="2" t="s">
        <v>1423</v>
      </c>
      <c r="H443" s="1">
        <v>7.0</v>
      </c>
      <c r="I443" s="1" t="s">
        <v>25</v>
      </c>
      <c r="J443" s="1" t="s">
        <v>86</v>
      </c>
      <c r="K443" s="2" t="s">
        <v>1424</v>
      </c>
      <c r="L443" s="2" t="s">
        <v>1425</v>
      </c>
      <c r="M443" s="2" t="str">
        <f>IFERROR(__xludf.DUMMYFUNCTION("split(split(K443,""】"",false),""要チェック!"",false)"),"★番組公式HPはこちら　  http://www.fujitv.co.jp/hayako/　    ★Twitterも稼働中!　  https://twitter.com/Hayako_cx　    ★公式LINEも")</f>
        <v>★番組公式HPはこちら　  http://www.fujitv.co.jp/hayako/　    ★Twitterも稼働中!　  https://twitter.com/Hayako_cx　    ★公式LINEも</v>
      </c>
      <c r="N443" s="2" t="str">
        <f>IFERROR(__xludf.DUMMYFUNCTION("""COMPUTED_VALUE"""),"　早子(松下奈緒)は、ミカ(貫地谷しほり)を自宅に招き、一緒にアイメイクの練習をしていた。そこに、多摩銀行の行員・香川優介(平岡祐太)が、秋祭りの相談をするために辰志(尾藤イサオ)を訪ねてくる。実は優介は、ミカの学生時代の先輩だった。思いがけない再会に驚くミカ。立木家を後にしたミカは、優介に誘われて食事に行く。  　別の日、早子たちは放課後を利用して運動会の準備を始める。そこに、本郷(山内圭哉)の妻・ゆきえ(川村ゆきえ)が差し入れを持ってやってきた。本郷は、元・グラビアアイドルの妻を早子たちに自慢したくて"&amp;"呼んだらしい。すると、ゆきえと一緒に、以前早子たちと合コンをした大学生・喜連川隼人(吉沢亮)も姿を現す。隼人はゆきえの従兄弟で、荷物持ちとして駆り出されたのだという。早子にもう一度会いたかったという隼人は、いきなり早子に結婚を申し込む。それを聞いて騒ぎ出す梅子(佐藤仁美)や千駄木(八嶋智人)たち。早子がプロポーズされた話は、すぐに辰志や尚子(松坂慶子)、風子(川栄李奈)にも伝わっていた。一方、優介とデートしたミカは、彼から交際を申し込まれ…。松下奈緒　:立木早子　  貫地谷しほり　:久我山ミカ　  佐藤仁"&amp;"美　:成増梅子　  舞羽美海　:羽村舞　  間宮祥太朗　:港草介　  川栄李奈　:守山風子　  小芝風花　:秋川莉々　  田野倉雄太　:神田和夫  　　・　　  八嶋智人　:千駄木廉太郎  　　・　　  山内圭哉　:本郷潤吉　  尾藤イサオ　:立木辰志　  松坂慶子　:立木尚子　    他【原作")</f>
        <v>　早子(松下奈緒)は、ミカ(貫地谷しほり)を自宅に招き、一緒にアイメイクの練習をしていた。そこに、多摩銀行の行員・香川優介(平岡祐太)が、秋祭りの相談をするために辰志(尾藤イサオ)を訪ねてくる。実は優介は、ミカの学生時代の先輩だった。思いがけない再会に驚くミカ。立木家を後にしたミカは、優介に誘われて食事に行く。  　別の日、早子たちは放課後を利用して運動会の準備を始める。そこに、本郷(山内圭哉)の妻・ゆきえ(川村ゆきえ)が差し入れを持ってやってきた。本郷は、元・グラビアアイドルの妻を早子たちに自慢したくて呼んだらしい。すると、ゆきえと一緒に、以前早子たちと合コンをした大学生・喜連川隼人(吉沢亮)も姿を現す。隼人はゆきえの従兄弟で、荷物持ちとして駆り出されたのだという。早子にもう一度会いたかったという隼人は、いきなり早子に結婚を申し込む。それを聞いて騒ぎ出す梅子(佐藤仁美)や千駄木(八嶋智人)たち。早子がプロポーズされた話は、すぐに辰志や尚子(松坂慶子)、風子(川栄李奈)にも伝わっていた。一方、優介とデートしたミカは、彼から交際を申し込まれ…。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v>
      </c>
      <c r="O443" s="2"/>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row>
    <row r="444" ht="204.75" customHeight="1">
      <c r="A444" s="1">
        <v>1698.0</v>
      </c>
      <c r="B444" s="2" t="s">
        <v>1403</v>
      </c>
      <c r="C444" s="2">
        <f>IFERROR(__xludf.DUMMYFUNCTION("split(B444,""_"")"),1604.0)</f>
        <v>1604</v>
      </c>
      <c r="D444" s="2" t="str">
        <f>IFERROR(__xludf.DUMMYFUNCTION("""COMPUTED_VALUE"""),"CX")</f>
        <v>CX</v>
      </c>
      <c r="E444" s="2" t="str">
        <f>IFERROR(__xludf.DUMMYFUNCTION("""COMPUTED_VALUE"""),"木22")</f>
        <v>木22</v>
      </c>
      <c r="F444" s="2" t="s">
        <v>1404</v>
      </c>
      <c r="G444" s="2" t="s">
        <v>1426</v>
      </c>
      <c r="H444" s="1">
        <v>8.0</v>
      </c>
      <c r="I444" s="1" t="s">
        <v>29</v>
      </c>
      <c r="J444" s="1" t="s">
        <v>86</v>
      </c>
      <c r="K444" s="2" t="s">
        <v>1427</v>
      </c>
      <c r="L444" s="2" t="s">
        <v>1428</v>
      </c>
      <c r="M444" s="2" t="str">
        <f>IFERROR(__xludf.DUMMYFUNCTION("split(split(K444,""】"",false),""要チェック!"",false)"),"★番組公式HPはこちら　  http://www.fujitv.co.jp/hayako/　    ★Twitterも稼働中!　  https://twitter.com/Hayako_cx　    ★公式LINEも")</f>
        <v>★番組公式HPはこちら　  http://www.fujitv.co.jp/hayako/　    ★Twitterも稼働中!　  https://twitter.com/Hayako_cx　    ★公式LINEも</v>
      </c>
      <c r="N444" s="2" t="str">
        <f>IFERROR(__xludf.DUMMYFUNCTION("""COMPUTED_VALUE"""),"　早子(松下奈緒)は、三田凪太郎(吉岡秀隆)にメールを送った。だが、いつまで経っても凪太郎からの返信はなく、スマートフォンを確認してはため息をついていた。  　そんな中、早子たちの婚活同盟に、赤坂亜衣子(佐々木希)という新メンバーが加わることになった。亜衣子は、風子(川栄李奈)の夫の同僚で、最近、名古屋支社から東京の本社に異動してきたのだという。恋人がいない亜衣子は、婚活ではなく、恋愛をするための活動=“恋活""をしたいらしい。  　ある夜、早子は、婚活同盟のミカ(貫地谷しほり)、梅子(佐藤仁美)、千駄木"&amp;"(八嶋智人)、舞(舞羽美海)をカラオケに誘い、亜衣子を紹介する。そこで千駄木は、気さくで優しい亜衣子にあっという間に心を惹かれてしまう。  　数日後、早子たちは、自分から連絡する勇気がない千駄木をたきつけ、半ば強引に亜衣子に電話させるが…。  　一方、風子は、早子と凪太郎のメールのやり取りが止まっていることを知る。風子は、会いたいなら会いたいと送ればいいと言うと、早子のスマホを奪って凪太郎にメールを送ってしまう。松下奈緒　:立木早子　  貫地谷しほり　:久我山ミカ　  佐藤仁美　:成増梅子　  舞羽美海　"&amp;":羽村舞　  間宮祥太朗　:港草介　  川栄李奈　:守山風子　  小芝風花　:秋川莉々　  田野倉雄太　:神田和夫  　　・　　  八嶋智人　:千駄木廉太郎  　　・　　  山内圭哉　:本郷潤吉　  尾藤イサオ　:立木辰志　  松坂慶子　:立木尚子　    他【原作")</f>
        <v>　早子(松下奈緒)は、三田凪太郎(吉岡秀隆)にメールを送った。だが、いつまで経っても凪太郎からの返信はなく、スマートフォンを確認してはため息をついていた。  　そんな中、早子たちの婚活同盟に、赤坂亜衣子(佐々木希)という新メンバーが加わることになった。亜衣子は、風子(川栄李奈)の夫の同僚で、最近、名古屋支社から東京の本社に異動してきたのだという。恋人がいない亜衣子は、婚活ではなく、恋愛をするための活動=“恋活"をしたいらしい。  　ある夜、早子は、婚活同盟のミカ(貫地谷しほり)、梅子(佐藤仁美)、千駄木(八嶋智人)、舞(舞羽美海)をカラオケに誘い、亜衣子を紹介する。そこで千駄木は、気さくで優しい亜衣子にあっという間に心を惹かれてしまう。  　数日後、早子たちは、自分から連絡する勇気がない千駄木をたきつけ、半ば強引に亜衣子に電話させるが…。  　一方、風子は、早子と凪太郎のメールのやり取りが止まっていることを知る。風子は、会いたいなら会いたいと送ればいいと言うと、早子のスマホを奪って凪太郎にメールを送ってしまう。松下奈緒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v>
      </c>
      <c r="O444" s="2"/>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row>
    <row r="445" ht="204.75" customHeight="1">
      <c r="A445" s="1">
        <v>1699.0</v>
      </c>
      <c r="B445" s="2" t="s">
        <v>1403</v>
      </c>
      <c r="C445" s="2">
        <f>IFERROR(__xludf.DUMMYFUNCTION("split(B445,""_"")"),1604.0)</f>
        <v>1604</v>
      </c>
      <c r="D445" s="2" t="str">
        <f>IFERROR(__xludf.DUMMYFUNCTION("""COMPUTED_VALUE"""),"CX")</f>
        <v>CX</v>
      </c>
      <c r="E445" s="2" t="str">
        <f>IFERROR(__xludf.DUMMYFUNCTION("""COMPUTED_VALUE"""),"木22")</f>
        <v>木22</v>
      </c>
      <c r="F445" s="2" t="s">
        <v>1404</v>
      </c>
      <c r="G445" s="2" t="s">
        <v>1429</v>
      </c>
      <c r="H445" s="1">
        <v>9.0</v>
      </c>
      <c r="I445" s="1" t="s">
        <v>33</v>
      </c>
      <c r="J445" s="1" t="s">
        <v>86</v>
      </c>
      <c r="K445" s="2" t="s">
        <v>1430</v>
      </c>
      <c r="L445" s="2" t="s">
        <v>1431</v>
      </c>
      <c r="M445" s="2" t="str">
        <f>IFERROR(__xludf.DUMMYFUNCTION("split(split(K445,""】"",false),""要チェック!"",false)"),"★番組公式HPはこちら　  http://www.fujitv.co.jp/hayako/　    ★Twitterも稼働中!　  https://twitter.com/Hayako_cx　    ★公式LINEも")</f>
        <v>★番組公式HPはこちら　  http://www.fujitv.co.jp/hayako/　    ★Twitterも稼働中!　  https://twitter.com/Hayako_cx　    ★公式LINEも</v>
      </c>
      <c r="N445" s="2" t="str">
        <f>IFERROR(__xludf.DUMMYFUNCTION("""COMPUTED_VALUE"""),"　早子(松下奈緒)の元に、獣医の三田凪太郎(吉岡秀隆)が訪ねてきた。ちょうどそのタイミングで妊娠中の風子(川栄李奈)が破水し、尚子(松坂慶子)と辰志(尾藤イサオ)は大慌てで彼女を病院へと連れていく。早子は、気を遣って帰ろうとする凪太郎に、あと5分話したいと頼むと、「逢いたかったんです…」と続けた。その思いを受けとめる凪太郎。早子たちは、子どものころに好きだった給食の話や、初めて見た映画の話などをしながら、ふたりだけの時を過ごす。  　一方、ミカ(貫地谷しほり)は、合コンである男性と出会う。外資系の男性ばか"&amp;"りがそろった合コンに、祖父と行ったというリンゴ園のリンゴを持って遅れてやってきた京都在住の男、十条慎介(尾上松也)だった。ミカは、十条が京都に帰るという日に、一緒に食事に行った。そこでミカは、「例えば結婚をしてもいまの仕事は続けますか?」と十条に問われる。  　そんな中、思わぬ騒動が起きる。辰志が心臓疾患で緊急手術を受けることになったのだ。凪太郎が辰志の見舞いに来てくれたことを知った早子は、彼にお礼のメールをする。その際、早子は、凪太郎が来週にもまた海外に行ってしまうことを知り…。松下奈緒　:立木早子　 "&amp;"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f>
        <v>　早子(松下奈緒)の元に、獣医の三田凪太郎(吉岡秀隆)が訪ねてきた。ちょうどそのタイミングで妊娠中の風子(川栄李奈)が破水し、尚子(松坂慶子)と辰志(尾藤イサオ)は大慌てで彼女を病院へと連れていく。早子は、気を遣って帰ろうとする凪太郎に、あと5分話したいと頼むと、「逢いたかったんです…」と続けた。その思いを受けとめる凪太郎。早子たちは、子どものころに好きだった給食の話や、初めて見た映画の話などをしながら、ふたりだけの時を過ごす。  　一方、ミカ(貫地谷しほり)は、合コンである男性と出会う。外資系の男性ばかりがそろった合コンに、祖父と行ったというリンゴ園のリンゴを持って遅れてやってきた京都在住の男、十条慎介(尾上松也)だった。ミカは、十条が京都に帰るという日に、一緒に食事に行った。そこでミカは、「例えば結婚をしてもいまの仕事は続けますか?」と十条に問われる。  　そんな中、思わぬ騒動が起きる。辰志が心臓疾患で緊急手術を受けることになったのだ。凪太郎が辰志の見舞いに来てくれたことを知った早子は、彼にお礼のメールをする。その際、早子は、凪太郎が来週にもまた海外に行ってしまうことを知り…。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v>
      </c>
      <c r="O445" s="2"/>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row>
    <row r="446" ht="204.75" customHeight="1">
      <c r="A446" s="1">
        <v>1728.0</v>
      </c>
      <c r="B446" s="2" t="s">
        <v>1432</v>
      </c>
      <c r="C446" s="2">
        <f>IFERROR(__xludf.DUMMYFUNCTION("split(B446,""_"")"),1604.0)</f>
        <v>1604</v>
      </c>
      <c r="D446" s="2" t="str">
        <f>IFERROR(__xludf.DUMMYFUNCTION("""COMPUTED_VALUE"""),"CX")</f>
        <v>CX</v>
      </c>
      <c r="E446" s="2" t="str">
        <f>IFERROR(__xludf.DUMMYFUNCTION("""COMPUTED_VALUE"""),"土23")</f>
        <v>土23</v>
      </c>
      <c r="F446" s="2" t="s">
        <v>1433</v>
      </c>
      <c r="G446" s="2" t="s">
        <v>1434</v>
      </c>
      <c r="H446" s="1">
        <v>1.0</v>
      </c>
      <c r="I446" s="1" t="s">
        <v>3</v>
      </c>
      <c r="J446" s="1" t="s">
        <v>1435</v>
      </c>
      <c r="K446" s="2" t="s">
        <v>1436</v>
      </c>
      <c r="L446" s="2" t="s">
        <v>1437</v>
      </c>
      <c r="M446" s="2" t="str">
        <f>IFERROR(__xludf.DUMMYFUNCTION("split(split(K446,""武内真伍:　"",false),""公式LINE"",false)"),"オトナに向けた本格派ドラマ“オトナの土ドラ""第一作目は、手に汗握るせめぎ合いのハラハラ感!真相が明かされてゆくスリリングな謎解き!たたみ掛ける展開の心理サスペンスをお届けします。  　原作者・雫井脩介は、サスペンスフルかつ奥深いテーマを持つ『犯人に告ぐ』『クローズド・ノート』『ビター・ブラッド』など映像化作品も多く、数々の受賞歴を持つミステリー作家です。　『火の粉』。それは、人間の心の中に潜む、狂気の種。人は、人に裏切られたとき、その種が芽生え、善から悪に変わるのかもしれない…。閑静な住宅街の、隣に住む"&amp;"人の笑顔に隠された本性。それは狂気なのか…!?  ーーあなたのお隣さんは大丈夫ですか?ーー　「私は殺人鬼を無罪にして解き放ってしまったのだろうか…?」  　元裁判官の梶間勲とその家族の隣家に、2年前に勲が無罪判決を下した男、武内真伍が越してきた。愛嬌のある笑顔、気の利いた贈り物、老人介護の手伝い…。武内は溢れんばかりの善意で梶間家の人々の心をつかむ。しかし梶間家の周辺で次々と不可解な事件が起こるようになり…。")</f>
        <v>オトナに向けた本格派ドラマ“オトナの土ドラ"第一作目は、手に汗握るせめぎ合いのハラハラ感!真相が明かされてゆくスリリングな謎解き!たたみ掛ける展開の心理サスペンスをお届けします。  　原作者・雫井脩介は、サスペンスフルかつ奥深いテーマを持つ『犯人に告ぐ』『クローズド・ノート』『ビター・ブラッド』など映像化作品も多く、数々の受賞歴を持つミステリー作家です。　『火の粉』。それは、人間の心の中に潜む、狂気の種。人は、人に裏切られたとき、その種が芽生え、善から悪に変わるのかもしれない…。閑静な住宅街の、隣に住む人の笑顔に隠された本性。それは狂気なのか…!?  ーーあなたのお隣さんは大丈夫ですか?ーー　「私は殺人鬼を無罪にして解き放ってしまったのだろうか…?」  　元裁判官の梶間勲とその家族の隣家に、2年前に勲が無罪判決を下した男、武内真伍が越してきた。愛嬌のある笑顔、気の利いた贈り物、老人介護の手伝い…。武内は溢れんばかりの善意で梶間家の人々の心をつかむ。しかし梶間家の周辺で次々と不可解な事件が起こるようになり…。</v>
      </c>
      <c r="N446" s="2"/>
      <c r="O446" s="2"/>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row>
    <row r="447" ht="204.75" customHeight="1">
      <c r="A447" s="1">
        <v>1729.0</v>
      </c>
      <c r="B447" s="2" t="s">
        <v>1432</v>
      </c>
      <c r="C447" s="2">
        <f>IFERROR(__xludf.DUMMYFUNCTION("split(B447,""_"")"),1604.0)</f>
        <v>1604</v>
      </c>
      <c r="D447" s="2" t="str">
        <f>IFERROR(__xludf.DUMMYFUNCTION("""COMPUTED_VALUE"""),"CX")</f>
        <v>CX</v>
      </c>
      <c r="E447" s="2" t="str">
        <f>IFERROR(__xludf.DUMMYFUNCTION("""COMPUTED_VALUE"""),"土23")</f>
        <v>土23</v>
      </c>
      <c r="F447" s="2" t="s">
        <v>1433</v>
      </c>
      <c r="G447" s="2" t="s">
        <v>1438</v>
      </c>
      <c r="H447" s="1">
        <v>2.0</v>
      </c>
      <c r="I447" s="1" t="s">
        <v>7</v>
      </c>
      <c r="J447" s="1" t="s">
        <v>1435</v>
      </c>
      <c r="K447" s="2" t="s">
        <v>1439</v>
      </c>
      <c r="L447" s="2" t="s">
        <v>1440</v>
      </c>
      <c r="M447" s="2" t="str">
        <f>IFERROR(__xludf.DUMMYFUNCTION("split(split(K447,""武内真吾:"",false),""公式LINE"",false)"),"『拒絶された男』  武内(ユースケ・サンタマリア)が、勲(伊武雅刀)の母・曜子(星野晶子)の介護を始めてすぐ、曜子が不慮の事故で亡くなった。熱心に介護をしていた尋恵(朝加真由美)は喪失感に襲われるが、現状を理解してくれる武内への信頼は深まる。しかし勲は武内に通夜に来ないよう宣告。元裁判官と元被告が隣人同士、あらぬ誤解を生むとの説明に武内は切ない表情で納得する。『善人か、それとも悪魔か』  曜子の死に疑いを持つ人物がいた。以前、武内に注意するよう雪見(優香)に警告した、新聞記者の寺西と名乗る男(佐藤隆太)。"&amp;"武内が家に出入りし始めた直後の事故のことが気になっていた雪見は、武内が曜子を殺害したという寺西の推理に戸惑いながらも耳を傾ける。「奴は自分にとって邪魔な人間は、どんな手を使ってでも排除するんだ…。あいつは善人面で人を惹きつける悪魔のような奴なんです!」寺西の言葉が離れぬ雪見。帰宅した彼女を迎えたのは満面の笑顔を見せる武内だった。　  『夫が隠した真実』  再就職を目指す雪見の夫・俊郎(大倉孝二)に高級スーツを用意していた武内。遠慮なく受け取るよう勧めるが、雪見はどこかいい気がしない。その甲斐あってか順調に"&amp;"就職活動を進めていく俊郎。彼には雪見に隠していた重大な秘密があった。そのことを武内に打ち明ける俊郎。そして、武内がとった行動とは…?")</f>
        <v>『拒絶された男』  武内(ユースケ・サンタマリア)が、勲(伊武雅刀)の母・曜子(星野晶子)の介護を始めてすぐ、曜子が不慮の事故で亡くなった。熱心に介護をしていた尋恵(朝加真由美)は喪失感に襲われるが、現状を理解してくれる武内への信頼は深まる。しかし勲は武内に通夜に来ないよう宣告。元裁判官と元被告が隣人同士、あらぬ誤解を生むとの説明に武内は切ない表情で納得する。『善人か、それとも悪魔か』  曜子の死に疑いを持つ人物がいた。以前、武内に注意するよう雪見(優香)に警告した、新聞記者の寺西と名乗る男(佐藤隆太)。武内が家に出入りし始めた直後の事故のことが気になっていた雪見は、武内が曜子を殺害したという寺西の推理に戸惑いながらも耳を傾ける。「奴は自分にとって邪魔な人間は、どんな手を使ってでも排除するんだ…。あいつは善人面で人を惹きつける悪魔のような奴なんです!」寺西の言葉が離れぬ雪見。帰宅した彼女を迎えたのは満面の笑顔を見せる武内だった。　  『夫が隠した真実』  再就職を目指す雪見の夫・俊郎(大倉孝二)に高級スーツを用意していた武内。遠慮なく受け取るよう勧めるが、雪見はどこかいい気がしない。その甲斐あってか順調に就職活動を進めていく俊郎。彼には雪見に隠していた重大な秘密があった。そのことを武内に打ち明ける俊郎。そして、武内がとった行動とは…?</v>
      </c>
      <c r="N447" s="2"/>
      <c r="O447" s="2"/>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row>
    <row r="448" ht="204.75" customHeight="1">
      <c r="A448" s="1">
        <v>1730.0</v>
      </c>
      <c r="B448" s="2" t="s">
        <v>1432</v>
      </c>
      <c r="C448" s="2">
        <f>IFERROR(__xludf.DUMMYFUNCTION("split(B448,""_"")"),1604.0)</f>
        <v>1604</v>
      </c>
      <c r="D448" s="2" t="str">
        <f>IFERROR(__xludf.DUMMYFUNCTION("""COMPUTED_VALUE"""),"CX")</f>
        <v>CX</v>
      </c>
      <c r="E448" s="2" t="str">
        <f>IFERROR(__xludf.DUMMYFUNCTION("""COMPUTED_VALUE"""),"土23")</f>
        <v>土23</v>
      </c>
      <c r="F448" s="2" t="s">
        <v>1433</v>
      </c>
      <c r="G448" s="2" t="s">
        <v>1441</v>
      </c>
      <c r="H448" s="1">
        <v>3.0</v>
      </c>
      <c r="I448" s="1" t="s">
        <v>10</v>
      </c>
      <c r="J448" s="1" t="s">
        <v>1435</v>
      </c>
      <c r="K448" s="2" t="s">
        <v>1442</v>
      </c>
      <c r="L448" s="2" t="s">
        <v>1443</v>
      </c>
      <c r="M448" s="2" t="str">
        <f>IFERROR(__xludf.DUMMYFUNCTION("split(split(K448,""武内真伍:　"",false),""公式LINE"",false)"),"『異変』  　武内(ユースケ・サンタマリア)は雪見(優香)の娘・まどか(庄野凛)に、特製の手作りジュースをふるまう。美味しそうに飲むまどかだが、それを見かけた雪見が血相を変えて飛び込んでくる。「勝手なことしないでもらえませんか…」そう言い放ち、雪見は武内からまどかを引き離す。しかし家に帰ると、まどかの腕には謎の痣があった…。『謎の男の正体』  　武内の恐ろしさについて雪見に何度も警告に来た、新聞記者の寺西という男(佐藤隆太)。彼の正体は、かつて武内が殺害したとされた的場一家の遺族、池本だった。武内の異常と"&amp;"も言える親切心に違和感を覚えていた雪見は、池本から彼が知る武内の全てを聞く。「裁判は誤審、武内はあなたがたの家族を次のターゲットにしている!」『雪見の過去』  　池本の一言に、雪見は激しく動揺し、ますます武内への疑念が募る。しかも、夜はまどかがなかなか寝付かず、寝不足な日々が続く。積もった鬱憤を琴音(木南晴夏)に話した帰り、梶間家では思いもかけぬ訪問者が待ち受けていた。やがて、雪見にとって絶対に触れられたくない、過去の秘密が暴かれてしまうことに…。武内真吾:　ユースケ・サンタマリア　  梶間雪見:　優香 "&amp;" 　/　  梶間尋恵:　朝加真由美　  梶間俊郎:　大倉孝二　  梶間まどか:　庄野凛　  関孝之助:　迫田孝也  　/　  佐々木琴音:　木南晴夏　  池本亨:　佐藤隆太  　/　  梶間勲:　伊武雅刀【原作】  雫井脩介「火の粉」(幻冬舎文庫)　    【主題歌】  鈴木雅之「Melancholia」(作詞・作曲　松任谷由実)　    【脚本】  高橋悠也　    【演出】  森雅弘　  竹村謙太郎　    【プロデュース】  市野直親(東海テレビ)　  高橋史典(ケイファクトリー)　    【音楽】"&amp;"  兼松衆　  大間々昴　    【制作・著作】  ケイファクトリー　    【制作】  東海テレビ公式サイトやSNSなど、充実のウェブコンテンツは「オトナの土ドラ」で検索!!　    ◆公式サイトURL◆  http://tokai-tv.com/hinoko/　    ◆公式ツイッター◆  @tokaitv_dodora　    YouTube東海テレビ公式チャンネルも好評配信中!")</f>
        <v>『異変』  　武内(ユースケ・サンタマリア)は雪見(優香)の娘・まどか(庄野凛)に、特製の手作りジュースをふるまう。美味しそうに飲むまどかだが、それを見かけた雪見が血相を変えて飛び込んでくる。「勝手なことしないでもらえませんか…」そう言い放ち、雪見は武内からまどかを引き離す。しかし家に帰ると、まどかの腕には謎の痣があった…。『謎の男の正体』  　武内の恐ろしさについて雪見に何度も警告に来た、新聞記者の寺西という男(佐藤隆太)。彼の正体は、かつて武内が殺害したとされた的場一家の遺族、池本だった。武内の異常とも言える親切心に違和感を覚えていた雪見は、池本から彼が知る武内の全てを聞く。「裁判は誤審、武内はあなたがたの家族を次のターゲットにしている!」『雪見の過去』  　池本の一言に、雪見は激しく動揺し、ますます武内への疑念が募る。しかも、夜はまどかがなかなか寝付かず、寝不足な日々が続く。積もった鬱憤を琴音(木南晴夏)に話した帰り、梶間家では思いもかけぬ訪問者が待ち受けていた。やがて、雪見にとって絶対に触れられたくない、過去の秘密が暴かれてしまうことに…。武内真吾:　ユースケ・サンタマリア　  梶間雪見:　優香  　/　  梶間尋恵:　朝加真由美　  梶間俊郎:　大倉孝二　  梶間まどか:　庄野凛　  関孝之助:　迫田孝也  　/　  佐々木琴音:　木南晴夏　  池本亨:　佐藤隆太  　/　  梶間勲:　伊武雅刀【原作】  雫井脩介「火の粉」(幻冬舎文庫)　    【主題歌】  鈴木雅之「Melancholia」(作詞・作曲　松任谷由実)　    【脚本】  高橋悠也　    【演出】  森雅弘　  竹村謙太郎　    【プロデュース】  市野直親(東海テレビ)　  高橋史典(ケイファクトリー)　    【音楽】  兼松衆　  大間々昴　    【制作・著作】  ケイファクトリー　    【制作】  東海テレビ公式サイトやSNSなど、充実のウェブコンテンツは「オトナの土ドラ」で検索!!　    ◆公式サイトURL◆  http://tokai-tv.com/hinoko/　    ◆公式ツイッター◆  @tokaitv_dodora　    YouTube東海テレビ公式チャンネルも好評配信中!</v>
      </c>
      <c r="N448" s="2"/>
      <c r="O448" s="2"/>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row>
    <row r="449" ht="204.75" customHeight="1">
      <c r="A449" s="1">
        <v>1731.0</v>
      </c>
      <c r="B449" s="2" t="s">
        <v>1432</v>
      </c>
      <c r="C449" s="2">
        <f>IFERROR(__xludf.DUMMYFUNCTION("split(B449,""_"")"),1604.0)</f>
        <v>1604</v>
      </c>
      <c r="D449" s="2" t="str">
        <f>IFERROR(__xludf.DUMMYFUNCTION("""COMPUTED_VALUE"""),"CX")</f>
        <v>CX</v>
      </c>
      <c r="E449" s="2" t="str">
        <f>IFERROR(__xludf.DUMMYFUNCTION("""COMPUTED_VALUE"""),"土23")</f>
        <v>土23</v>
      </c>
      <c r="F449" s="2" t="s">
        <v>1433</v>
      </c>
      <c r="G449" s="2" t="s">
        <v>1444</v>
      </c>
      <c r="H449" s="1">
        <v>4.0</v>
      </c>
      <c r="I449" s="1" t="s">
        <v>14</v>
      </c>
      <c r="J449" s="1" t="s">
        <v>1435</v>
      </c>
      <c r="K449" s="2" t="s">
        <v>1445</v>
      </c>
      <c r="L449" s="2" t="s">
        <v>1446</v>
      </c>
      <c r="M449" s="2" t="str">
        <f>IFERROR(__xludf.DUMMYFUNCTION("split(split(K449,""武内真伍:　"",false),""公式LINE"",false)"),"◆家出◆  　知られたくない過去を暴かれ、身に覚えのない疑いをかけられてしまった雪見(優香)。梶間家を出て、親友の琴音(木南晴夏)のもとに身を寄せる。ますます武内(ユースケ・サンタマリア)への疑念は強まるが、なんと琴音はそんな武内に好意を抱いていた。そのころ武内家では、勲(伊武雅刀)や尋恵(朝加真由美)ら梶間家の面々を招いて、武内が豪勢な料理を振る舞っていた。その場で武内も琴音への思いを明かす。◆頼りになる男?◆  　雪見は的場一家殺害事件の遺族・池本(佐藤隆太)に現状を相談。「武内の仕業だ!」そう断言し"&amp;"雪見への協力を約束する。一方、勲も雪見の立場を心配し家に戻ってくるよう声をかける。その優しさにほだされる雪見。しかし勲の何気ない一言で雪見の態度は硬直する。「本当は武内さんのこと、なんとなく怪しいって思ってるんじゃないですか?」雪見に核心を突かれた勲は必死で否定するが心中穏やかでは無い。◆対決◆  　勲への失望から落ち込む雪見。そこへ池本から、武内を追い込むことができる証拠を得たと連絡があった。自らの潔白を証明したい雪見と、武内に復讐したい池本。2人がとった手段は、一緒に梶間家へ乗り込み、家族を説得するこ"&amp;"とだった。しかし事態は思いもよらぬ方向へ転がることとなる…。")</f>
        <v>◆家出◆  　知られたくない過去を暴かれ、身に覚えのない疑いをかけられてしまった雪見(優香)。梶間家を出て、親友の琴音(木南晴夏)のもとに身を寄せる。ますます武内(ユースケ・サンタマリア)への疑念は強まるが、なんと琴音はそんな武内に好意を抱いていた。そのころ武内家では、勲(伊武雅刀)や尋恵(朝加真由美)ら梶間家の面々を招いて、武内が豪勢な料理を振る舞っていた。その場で武内も琴音への思いを明かす。◆頼りになる男?◆  　雪見は的場一家殺害事件の遺族・池本(佐藤隆太)に現状を相談。「武内の仕業だ!」そう断言し雪見への協力を約束する。一方、勲も雪見の立場を心配し家に戻ってくるよう声をかける。その優しさにほだされる雪見。しかし勲の何気ない一言で雪見の態度は硬直する。「本当は武内さんのこと、なんとなく怪しいって思ってるんじゃないですか?」雪見に核心を突かれた勲は必死で否定するが心中穏やかでは無い。◆対決◆  　勲への失望から落ち込む雪見。そこへ池本から、武内を追い込むことができる証拠を得たと連絡があった。自らの潔白を証明したい雪見と、武内に復讐したい池本。2人がとった手段は、一緒に梶間家へ乗り込み、家族を説得することだった。しかし事態は思いもよらぬ方向へ転がることとなる…。</v>
      </c>
      <c r="N449" s="2"/>
      <c r="O449" s="2"/>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row>
    <row r="450" ht="204.75" customHeight="1">
      <c r="A450" s="1">
        <v>1732.0</v>
      </c>
      <c r="B450" s="2" t="s">
        <v>1432</v>
      </c>
      <c r="C450" s="2">
        <f>IFERROR(__xludf.DUMMYFUNCTION("split(B450,""_"")"),1604.0)</f>
        <v>1604</v>
      </c>
      <c r="D450" s="2" t="str">
        <f>IFERROR(__xludf.DUMMYFUNCTION("""COMPUTED_VALUE"""),"CX")</f>
        <v>CX</v>
      </c>
      <c r="E450" s="2" t="str">
        <f>IFERROR(__xludf.DUMMYFUNCTION("""COMPUTED_VALUE"""),"土23")</f>
        <v>土23</v>
      </c>
      <c r="F450" s="2" t="s">
        <v>1433</v>
      </c>
      <c r="G450" s="2" t="s">
        <v>1447</v>
      </c>
      <c r="H450" s="1">
        <v>5.0</v>
      </c>
      <c r="J450" s="1" t="s">
        <v>11</v>
      </c>
      <c r="K450" s="2" t="s">
        <v>1448</v>
      </c>
      <c r="L450" s="2" t="s">
        <v>1448</v>
      </c>
      <c r="M450" s="2" t="str">
        <f>IFERROR(__xludf.DUMMYFUNCTION("split(split(K450,""武内真伍:　"",false),""公式LINE"",false)"),"【司会】  草野仁  【MCアシスタント】  出水麻衣（TBSアナウンサー）  【解答者】  黒柳徹子　野々村真　デーモン閣下　宍戸開　篠原ともえ　鈴木ちなみ  【ミステリーハンター】  野々すみ花視聴者プレゼントの応募は、電話とHPから。抽選で豪華賞品とクリスタルヒトシ君が当たります。全問正解者が出た場合のみ、海外旅行プレゼントもあります。  ◇番組HP  http://www.tbs.co.jp/f-hakken/  テレビマンユニオン番組の内容と放送時間は、変更になる場合があります。")</f>
        <v>【司会】  草野仁  【MCアシスタント】  出水麻衣（TBSアナウンサー）  【解答者】  黒柳徹子　野々村真　デーモン閣下　宍戸開　篠原ともえ　鈴木ちなみ  【ミステリーハンター】  野々すみ花視聴者プレゼントの応募は、電話とHPから。抽選で豪華賞品とクリスタルヒトシ君が当たります。全問正解者が出た場合のみ、海外旅行プレゼントもあります。  ◇番組HP  http://www.tbs.co.jp/f-hakken/  テレビマンユニオン番組の内容と放送時間は、変更になる場合があります。</v>
      </c>
      <c r="N450" s="2"/>
      <c r="O450" s="2"/>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row>
    <row r="451" ht="204.75" customHeight="1">
      <c r="A451" s="1">
        <v>1733.0</v>
      </c>
      <c r="B451" s="2" t="s">
        <v>1432</v>
      </c>
      <c r="C451" s="2">
        <f>IFERROR(__xludf.DUMMYFUNCTION("split(B451,""_"")"),1604.0)</f>
        <v>1604</v>
      </c>
      <c r="D451" s="2" t="str">
        <f>IFERROR(__xludf.DUMMYFUNCTION("""COMPUTED_VALUE"""),"CX")</f>
        <v>CX</v>
      </c>
      <c r="E451" s="2" t="str">
        <f>IFERROR(__xludf.DUMMYFUNCTION("""COMPUTED_VALUE"""),"土23")</f>
        <v>土23</v>
      </c>
      <c r="F451" s="2" t="s">
        <v>1433</v>
      </c>
      <c r="G451" s="2" t="s">
        <v>1449</v>
      </c>
      <c r="H451" s="1">
        <v>6.0</v>
      </c>
      <c r="I451" s="1" t="s">
        <v>17</v>
      </c>
      <c r="J451" s="1" t="s">
        <v>1435</v>
      </c>
      <c r="K451" s="2" t="s">
        <v>1450</v>
      </c>
      <c r="L451" s="2" t="s">
        <v>1451</v>
      </c>
      <c r="M451" s="2" t="str">
        <f>IFERROR(__xludf.DUMMYFUNCTION("split(split(K451,""武内真伍:　"",false),""公式LINE"",false)"),"◆失踪◆  武内(ユースケ・サンタマリア)の罪を暴こうとし、失敗した池本(佐藤隆太)が失踪。妻・杏子(酒井若菜)は、池本は武内に殺され、遺体が武内家の中にあると主張。深夜に武内が大きなスーツケースを運び入れるのを目撃していた勲(伊武雅刀)は、言葉を失う。一方、梶間家へと戻った雪見(優香)は、以前の生活を取り戻しつつあった。雪見と武内の微妙な距離感を気にしていた琴音(木南晴夏)は、これまで以上に武内との関係を深めていく。しかし雪見は、琴音の顔の痣に気付く。  ◆判決の苦悩◆  武内にすっかり心酔している俊郎"&amp;"(大倉孝二)は、勲の裁判官時代の苦労話を彼に聞かせる。勲は武内の裁判よりも前に一度だけ死刑判決を言い渡し、その責任の重圧から胃潰瘍となり、休職したことがあった。実は勲は、武内のことを信じたのではなく、単に誰かを死刑にするのが嫌だったのではないか…俊郎の見立てに武内は…。  ◆恐怖のネクタイ◆「今日は記念日です」梶間家を訪れた武内は、そう言って姿勢を正す。2年前、勲が無罪を言い渡した日だった。感謝の言葉とともに武内が取り出したのは、1本のネクタイ。これに勲は激しく狼狽える。かつて、武内が一家を殺害した動機と"&amp;"されたのが“彼の贈ったネクタイを相手が気に入らなかったから""。自分が裁いた凄惨な事件と似た状況に追い込まれた勲は、意を決して武内の家に忍び込み、件のスーツケースを開けようとするが…。")</f>
        <v>◆失踪◆  武内(ユースケ・サンタマリア)の罪を暴こうとし、失敗した池本(佐藤隆太)が失踪。妻・杏子(酒井若菜)は、池本は武内に殺され、遺体が武内家の中にあると主張。深夜に武内が大きなスーツケースを運び入れるのを目撃していた勲(伊武雅刀)は、言葉を失う。一方、梶間家へと戻った雪見(優香)は、以前の生活を取り戻しつつあった。雪見と武内の微妙な距離感を気にしていた琴音(木南晴夏)は、これまで以上に武内との関係を深めていく。しかし雪見は、琴音の顔の痣に気付く。  ◆判決の苦悩◆  武内にすっかり心酔している俊郎(大倉孝二)は、勲の裁判官時代の苦労話を彼に聞かせる。勲は武内の裁判よりも前に一度だけ死刑判決を言い渡し、その責任の重圧から胃潰瘍となり、休職したことがあった。実は勲は、武内のことを信じたのではなく、単に誰かを死刑にするのが嫌だったのではないか…俊郎の見立てに武内は…。  ◆恐怖のネクタイ◆「今日は記念日です」梶間家を訪れた武内は、そう言って姿勢を正す。2年前、勲が無罪を言い渡した日だった。感謝の言葉とともに武内が取り出したのは、1本のネクタイ。これに勲は激しく狼狽える。かつて、武内が一家を殺害した動機とされたのが“彼の贈ったネクタイを相手が気に入らなかったから"。自分が裁いた凄惨な事件と似た状況に追い込まれた勲は、意を決して武内の家に忍び込み、件のスーツケースを開けようとするが…。</v>
      </c>
      <c r="N451" s="2"/>
      <c r="O451" s="2"/>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row>
    <row r="452" ht="204.75" customHeight="1">
      <c r="A452" s="1">
        <v>1734.0</v>
      </c>
      <c r="B452" s="2" t="s">
        <v>1432</v>
      </c>
      <c r="C452" s="2">
        <f>IFERROR(__xludf.DUMMYFUNCTION("split(B452,""_"")"),1604.0)</f>
        <v>1604</v>
      </c>
      <c r="D452" s="2" t="str">
        <f>IFERROR(__xludf.DUMMYFUNCTION("""COMPUTED_VALUE"""),"CX")</f>
        <v>CX</v>
      </c>
      <c r="E452" s="2" t="str">
        <f>IFERROR(__xludf.DUMMYFUNCTION("""COMPUTED_VALUE"""),"土23")</f>
        <v>土23</v>
      </c>
      <c r="F452" s="2" t="s">
        <v>1433</v>
      </c>
      <c r="G452" s="2" t="s">
        <v>1452</v>
      </c>
      <c r="H452" s="1">
        <v>7.0</v>
      </c>
      <c r="I452" s="1" t="s">
        <v>25</v>
      </c>
      <c r="J452" s="1" t="s">
        <v>1435</v>
      </c>
      <c r="K452" s="2" t="s">
        <v>1453</v>
      </c>
      <c r="L452" s="2" t="s">
        <v>1454</v>
      </c>
      <c r="M452" s="2" t="str">
        <f>IFERROR(__xludf.DUMMYFUNCTION("split(split(K452,""武内真伍:　"",false),""公式LINE"",false)"),"「2016リオ五輪　バレーボール世界最終予選　女子日本×ペルー」延長の際、放送時間繰り下げの場合あり。◆恐怖のマッサージチェア◆  梶間家では、尋恵(朝加真由美)が新品のマッサージチェアに満足そうな様子で座っていた。それは武内(ユースケ・サンタマリア)からのプレゼント。居間に鎮座する大きなマッサージチェアを俊郎(大倉孝二)が邪魔扱いし、空き部屋にチェアを移動させてしまう。それを武内に見られてしまった勲は必死に弁解するが…。「お気に召しませんか?」武内の目に、勲は戦慄する。◆ヨーロッパ出張◆  仕事の都合で"&amp;"、1週間ほどヨーロッパに出張に行くという武内。その留守を狙い、雪見(優香)と勲は、武内の本性を知らない尋恵と俊郎に、事実を告げる。「もし武内の好意を無下にすれば…皆殺しにされるんだ。的場さん一家のように!」しかし、その事実を知らされた尋恵は、思わぬ反応を見せる。◆個人面接◆  危機を迎えた梶間家に、再び武内が現れる。「放っておけるわけがない!皆さん一人一人と話をさせてください!」家族それぞれの思いを吐き出させるため、一人ずつ奥の部屋に呼び出し、話を聞く武内。しかし、その真の目的は…?")</f>
        <v>「2016リオ五輪　バレーボール世界最終予選　女子日本×ペルー」延長の際、放送時間繰り下げの場合あり。◆恐怖のマッサージチェア◆  梶間家では、尋恵(朝加真由美)が新品のマッサージチェアに満足そうな様子で座っていた。それは武内(ユースケ・サンタマリア)からのプレゼント。居間に鎮座する大きなマッサージチェアを俊郎(大倉孝二)が邪魔扱いし、空き部屋にチェアを移動させてしまう。それを武内に見られてしまった勲は必死に弁解するが…。「お気に召しませんか?」武内の目に、勲は戦慄する。◆ヨーロッパ出張◆  仕事の都合で、1週間ほどヨーロッパに出張に行くという武内。その留守を狙い、雪見(優香)と勲は、武内の本性を知らない尋恵と俊郎に、事実を告げる。「もし武内の好意を無下にすれば…皆殺しにされるんだ。的場さん一家のように!」しかし、その事実を知らされた尋恵は、思わぬ反応を見せる。◆個人面接◆  危機を迎えた梶間家に、再び武内が現れる。「放っておけるわけがない!皆さん一人一人と話をさせてください!」家族それぞれの思いを吐き出させるため、一人ずつ奥の部屋に呼び出し、話を聞く武内。しかし、その真の目的は…?</v>
      </c>
      <c r="N452" s="2"/>
      <c r="O452" s="2"/>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row>
    <row r="453" ht="204.75" customHeight="1">
      <c r="A453" s="1">
        <v>1735.0</v>
      </c>
      <c r="B453" s="2" t="s">
        <v>1432</v>
      </c>
      <c r="C453" s="2">
        <f>IFERROR(__xludf.DUMMYFUNCTION("split(B453,""_"")"),1604.0)</f>
        <v>1604</v>
      </c>
      <c r="D453" s="2" t="str">
        <f>IFERROR(__xludf.DUMMYFUNCTION("""COMPUTED_VALUE"""),"CX")</f>
        <v>CX</v>
      </c>
      <c r="E453" s="2" t="str">
        <f>IFERROR(__xludf.DUMMYFUNCTION("""COMPUTED_VALUE"""),"土23")</f>
        <v>土23</v>
      </c>
      <c r="F453" s="2" t="s">
        <v>1433</v>
      </c>
      <c r="G453" s="2" t="s">
        <v>1455</v>
      </c>
      <c r="H453" s="1">
        <v>8.0</v>
      </c>
      <c r="I453" s="1" t="s">
        <v>33</v>
      </c>
      <c r="J453" s="1" t="s">
        <v>1435</v>
      </c>
      <c r="K453" s="2" t="s">
        <v>1456</v>
      </c>
      <c r="L453" s="2" t="s">
        <v>1457</v>
      </c>
      <c r="M453" s="2" t="str">
        <f>IFERROR(__xludf.DUMMYFUNCTION("split(split(K453,""武内真伍:　"",false),""公式LINE"",false)"),"◆心のこもった贈り物◆  武内(ユースケ・サンタマリア)と雪見(優香)の目の前で、池本(佐藤隆太)が琴音(木南晴夏)に刺し殺された。事件を目撃した雪見は、警察から事情を聴かれることに。その後武内は、引っ越してきた初日のように、たくさんの品物を携えて梶間家を訪問する。しかし、勲(伊武雅刀)、尋恵(朝加真由美)、俊郎(大倉孝二)は、拒絶の眼差しを向ける。「皆さんとやり直す、これが最後のチャンスだったんです!」泣き出すまどか(庄野凛)に武内はすがるように近づくが…    ◆“再審""◆  梶間家の奥の部屋で、武"&amp;"内は椅子に縛られていた。その目の前にいたのは、勲。「開廷します」狂気に駆られた目でそう宣言する。かつての的場一家、勲の母、関弁護士(迫田孝也)、そして琴音の元夫(渋江譲二)…。勲は武内を、彼ら全員に対する殺人の罪で、私的に裁こうと考えていた。勲になら何をされても後悔はないと吐露する。そんな武内に勲が言い渡した判決は…    ◆最後の晩餐◆  過去の罪を認め、警察に行くことを決意。しかしその前に、どうしても梶間家で最後に食事がしたいと懇願する。その気持ちを受け入れる雪見と尋恵。料理を梶間家で作ることを条件に"&amp;"、最後の晩餐を受け入れる。その夜…手作りのバウムクーヘンを手に真剣な表情で訪れる殺人犯。それぞれの思惑は…?響き渡るのは食器の音のみ。世にも奇妙な、最後の晩餐が始まった…。")</f>
        <v>◆心のこもった贈り物◆  武内(ユースケ・サンタマリア)と雪見(優香)の目の前で、池本(佐藤隆太)が琴音(木南晴夏)に刺し殺された。事件を目撃した雪見は、警察から事情を聴かれることに。その後武内は、引っ越してきた初日のように、たくさんの品物を携えて梶間家を訪問する。しかし、勲(伊武雅刀)、尋恵(朝加真由美)、俊郎(大倉孝二)は、拒絶の眼差しを向ける。「皆さんとやり直す、これが最後のチャンスだったんです!」泣き出すまどか(庄野凛)に武内はすがるように近づくが…    ◆“再審"◆  梶間家の奥の部屋で、武内は椅子に縛られていた。その目の前にいたのは、勲。「開廷します」狂気に駆られた目でそう宣言する。かつての的場一家、勲の母、関弁護士(迫田孝也)、そして琴音の元夫(渋江譲二)…。勲は武内を、彼ら全員に対する殺人の罪で、私的に裁こうと考えていた。勲になら何をされても後悔はないと吐露する。そんな武内に勲が言い渡した判決は…    ◆最後の晩餐◆  過去の罪を認め、警察に行くことを決意。しかしその前に、どうしても梶間家で最後に食事がしたいと懇願する。その気持ちを受け入れる雪見と尋恵。料理を梶間家で作ることを条件に、最後の晩餐を受け入れる。その夜…手作りのバウムクーヘンを手に真剣な表情で訪れる殺人犯。それぞれの思惑は…?響き渡るのは食器の音のみ。世にも奇妙な、最後の晩餐が始まった…。</v>
      </c>
      <c r="N453" s="2"/>
      <c r="O453" s="2"/>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row>
    <row r="454" ht="204.75" customHeight="1">
      <c r="A454" s="1">
        <v>1756.0</v>
      </c>
      <c r="B454" s="2" t="s">
        <v>1458</v>
      </c>
      <c r="C454" s="2">
        <f>IFERROR(__xludf.DUMMYFUNCTION("split(B454,""_"")"),1601.0)</f>
        <v>1601</v>
      </c>
      <c r="D454" s="2" t="str">
        <f>IFERROR(__xludf.DUMMYFUNCTION("""COMPUTED_VALUE"""),"CX")</f>
        <v>CX</v>
      </c>
      <c r="E454" s="2" t="str">
        <f>IFERROR(__xludf.DUMMYFUNCTION("""COMPUTED_VALUE"""),"月21")</f>
        <v>月21</v>
      </c>
      <c r="F454" s="2" t="s">
        <v>1459</v>
      </c>
      <c r="G454" s="2" t="s">
        <v>1460</v>
      </c>
      <c r="H454" s="1">
        <v>1.0</v>
      </c>
      <c r="I454" s="1" t="s">
        <v>3</v>
      </c>
      <c r="J454" s="1" t="s">
        <v>4</v>
      </c>
      <c r="K454" s="2" t="s">
        <v>1461</v>
      </c>
      <c r="L454" s="2" t="s">
        <v>1462</v>
      </c>
      <c r="M454" s="2" t="str">
        <f>IFERROR(__xludf.DUMMYFUNCTION("split(split(K454,""杉原音:"",false),""公式LINE"",false)"),"幼いころに女手ひとつで育ててくれた母を亡くした杉原音(有村架純)は、育ての親である林田雅彦(柄本明)・知恵(大谷直子)夫妻のもと、北海道のさびれた町で暮らしていた。雅彦は音を家政婦扱いし、寝たきりになった知恵は音の介護がなければ暮らせない状態だった。音は、「あきらめること」を教え込まれてきたため、そんな状況をただただ受け入れて生きていた。  　曽田練(高良健吾)は東京の運送会社で引っ越しの仕事に就いていた。福島で、農業に従事する祖父・健二(田中泯)に育てられた練は、人を疑うことを知らない。健二がだまし取ら"&amp;"れた畑を買い戻すために上京した練は、運送会社の先輩たちからひどくこき使われ、毎日へとへとになるまで働いていた。給料は安く、貯金などできないまま、古ぼけたアパートで苦しい生活を送っている。そんな練には日向木穂子(高畑充希)という恋人がいた。練のアパートに日常的に泊まっている木穂子は、何かとだまされがちで借金を作ってしまう練に金の工面もしていた。練は、困惑しながらもそれを拒絶することができない。  　ある日、練は、悪友の中條晴太(坂口健太郎)が、旅先の北海道で拾ったというカバンの中から古ぼけた手紙を見つける。"&amp;"「音へ」と書かれたその手紙を読んだ練は、これは絶対に持ち主に返さなければならないと強く感じ、会社のトラックを飛ばして北海道へと向かう…。")</f>
        <v>幼いころに女手ひとつで育ててくれた母を亡くした杉原音(有村架純)は、育ての親である林田雅彦(柄本明)・知恵(大谷直子)夫妻のもと、北海道のさびれた町で暮らしていた。雅彦は音を家政婦扱いし、寝たきりになった知恵は音の介護がなければ暮らせない状態だった。音は、「あきらめること」を教え込まれてきたため、そんな状況をただただ受け入れて生きていた。  　曽田練(高良健吾)は東京の運送会社で引っ越しの仕事に就いていた。福島で、農業に従事する祖父・健二(田中泯)に育てられた練は、人を疑うことを知らない。健二がだまし取られた畑を買い戻すために上京した練は、運送会社の先輩たちからひどくこき使われ、毎日へとへとになるまで働いていた。給料は安く、貯金などできないまま、古ぼけたアパートで苦しい生活を送っている。そんな練には日向木穂子(高畑充希)という恋人がいた。練のアパートに日常的に泊まっている木穂子は、何かとだまされがちで借金を作ってしまう練に金の工面もしていた。練は、困惑しながらもそれを拒絶することができない。  　ある日、練は、悪友の中條晴太(坂口健太郎)が、旅先の北海道で拾ったというカバンの中から古ぼけた手紙を見つける。「音へ」と書かれたその手紙を読んだ練は、これは絶対に持ち主に返さなければならないと強く感じ、会社のトラックを飛ばして北海道へと向かう…。</v>
      </c>
      <c r="N454" s="2"/>
      <c r="O454" s="2"/>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row>
    <row r="455" ht="204.75" customHeight="1">
      <c r="A455" s="1">
        <v>1757.0</v>
      </c>
      <c r="B455" s="2" t="s">
        <v>1458</v>
      </c>
      <c r="C455" s="2">
        <f>IFERROR(__xludf.DUMMYFUNCTION("split(B455,""_"")"),1601.0)</f>
        <v>1601</v>
      </c>
      <c r="D455" s="2" t="str">
        <f>IFERROR(__xludf.DUMMYFUNCTION("""COMPUTED_VALUE"""),"CX")</f>
        <v>CX</v>
      </c>
      <c r="E455" s="2" t="str">
        <f>IFERROR(__xludf.DUMMYFUNCTION("""COMPUTED_VALUE"""),"月21")</f>
        <v>月21</v>
      </c>
      <c r="F455" s="2" t="s">
        <v>1459</v>
      </c>
      <c r="G455" s="2" t="s">
        <v>1463</v>
      </c>
      <c r="H455" s="1">
        <v>2.0</v>
      </c>
      <c r="I455" s="1" t="s">
        <v>7</v>
      </c>
      <c r="J455" s="1" t="s">
        <v>4</v>
      </c>
      <c r="K455" s="2" t="s">
        <v>1464</v>
      </c>
      <c r="L455" s="2" t="s">
        <v>1465</v>
      </c>
      <c r="M455" s="2" t="str">
        <f>IFERROR(__xludf.DUMMYFUNCTION("split(split(K455,""杉原音:"",false),""公式LINE"",false)"),"音(有村架純)が東京に来てから1年が過ぎた。雪が谷大塚駅から徒歩20分の古いアパートを借りた音は、介護施設『春寿の杜』で働き始める。出勤前と帰宅途中、音は駅前に立って練(高良健吾)を探していたが、あの日以来、一度も会えずにいた。  　練は、出勤前にひとり暮らしの静恵(八千草薫)の家に立ち寄るのが日課だった。静恵の家は練や晴太(坂口健太郎)らのたまり場になっており、練は庭の手入れなどを手伝っていた。そこで練は、デザイナーになる夢をかなえるために上京してきた幼なじみの小夏(森川葵)を晴太に紹介する。  　引っ"&amp;"越し作業中、練たちは、荷物の中にあったビンテージのスピーカーを壊してしまう。先輩の佐引(高橋一生)がいい加減な扱いをしたせいだった。だが、柿谷運送社長の嘉美(松田美由紀)は、スピーカーを設置した練にその弁償を命じる。　音は、毎日ヘトヘトになるまで働いていた。早番だった日に、同僚の玲美(永野芽郁)の代役でそのまま遅番として働く日もあった。そんな折、音の前に、『春寿の杜』を経営しているグループ企業の御曹司・朝陽(西島隆弘)が現れる。朝陽は、音に興味を抱き…。")</f>
        <v>音(有村架純)が東京に来てから1年が過ぎた。雪が谷大塚駅から徒歩20分の古いアパートを借りた音は、介護施設『春寿の杜』で働き始める。出勤前と帰宅途中、音は駅前に立って練(高良健吾)を探していたが、あの日以来、一度も会えずにいた。  　練は、出勤前にひとり暮らしの静恵(八千草薫)の家に立ち寄るのが日課だった。静恵の家は練や晴太(坂口健太郎)らのたまり場になっており、練は庭の手入れなどを手伝っていた。そこで練は、デザイナーになる夢をかなえるために上京してきた幼なじみの小夏(森川葵)を晴太に紹介する。  　引っ越し作業中、練たちは、荷物の中にあったビンテージのスピーカーを壊してしまう。先輩の佐引(高橋一生)がいい加減な扱いをしたせいだった。だが、柿谷運送社長の嘉美(松田美由紀)は、スピーカーを設置した練にその弁償を命じる。　音は、毎日ヘトヘトになるまで働いていた。早番だった日に、同僚の玲美(永野芽郁)の代役でそのまま遅番として働く日もあった。そんな折、音の前に、『春寿の杜』を経営しているグループ企業の御曹司・朝陽(西島隆弘)が現れる。朝陽は、音に興味を抱き…。</v>
      </c>
      <c r="N455" s="2"/>
      <c r="O455" s="2"/>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row>
    <row r="456" ht="204.75" customHeight="1">
      <c r="A456" s="1">
        <v>1758.0</v>
      </c>
      <c r="B456" s="2" t="s">
        <v>1458</v>
      </c>
      <c r="C456" s="2">
        <f>IFERROR(__xludf.DUMMYFUNCTION("split(B456,""_"")"),1601.0)</f>
        <v>1601</v>
      </c>
      <c r="D456" s="2" t="str">
        <f>IFERROR(__xludf.DUMMYFUNCTION("""COMPUTED_VALUE"""),"CX")</f>
        <v>CX</v>
      </c>
      <c r="E456" s="2" t="str">
        <f>IFERROR(__xludf.DUMMYFUNCTION("""COMPUTED_VALUE"""),"月21")</f>
        <v>月21</v>
      </c>
      <c r="F456" s="2" t="s">
        <v>1459</v>
      </c>
      <c r="G456" s="2" t="s">
        <v>1466</v>
      </c>
      <c r="H456" s="1">
        <v>3.0</v>
      </c>
      <c r="I456" s="1" t="s">
        <v>10</v>
      </c>
      <c r="J456" s="1" t="s">
        <v>11</v>
      </c>
      <c r="K456" s="2" t="s">
        <v>1467</v>
      </c>
      <c r="L456" s="2" t="s">
        <v>1468</v>
      </c>
      <c r="M456" s="2" t="str">
        <f>IFERROR(__xludf.DUMMYFUNCTION("split(split(K456,""杉原音:"",false),""公式LINE"",false)"),"音(有村架純)は練(高良健吾)と再会を果たす。音は、練から携帯電話の番号を教えてもらっていた。  　木穂子(高畑充希)は、練のために調理器具や食器、部屋のカーテンなどを買いそろえる。練の部屋を訪れた木穂子は、勤務している広告代理店で自分の企画が通った、と報告する。練は、それを聞いて喜んだ。  　ある日、音は、勤めている介護施設『春寿の杜』で再び朝陽(西島隆弘)と顔を合わせる。朝陽は、本社から派遣されてこの春寿の杜で働くことになったのだという。夜勤を終え、静恵(八千草薫)の家に立ち寄ろうとした音は、木穂子と"&amp;"一緒にいる練に出会う。練は、付き合っている人、と言って木穂子を音に紹介した。音と別れた後、練は、「俺だけを見てくれないかな」といって木穂子に交際を申し込む。木穂子は、気持ちは嬉しい、と応えるが…。　一方、小夏(森川葵)は、晴太(坂口健太郎)に連れられて、ヘアサロンやセレクトショップを訪れる。その際、小夏は、晴太から“儲かるバイト""を紹介してもらう。  　そんななか、練は、木穂子にメールをして食事に誘う。金券ショップでプラネタリウムのチケットを買い、木穂子を待つ練。しかし、何故か彼女は現れなかった。諦めて"&amp;"バスに乗った練は、そこで仕事帰りの音と一緒になり…。")</f>
        <v>音(有村架純)は練(高良健吾)と再会を果たす。音は、練から携帯電話の番号を教えてもらっていた。  　木穂子(高畑充希)は、練のために調理器具や食器、部屋のカーテンなどを買いそろえる。練の部屋を訪れた木穂子は、勤務している広告代理店で自分の企画が通った、と報告する。練は、それを聞いて喜んだ。  　ある日、音は、勤めている介護施設『春寿の杜』で再び朝陽(西島隆弘)と顔を合わせる。朝陽は、本社から派遣されてこの春寿の杜で働くことになったのだという。夜勤を終え、静恵(八千草薫)の家に立ち寄ろうとした音は、木穂子と一緒にいる練に出会う。練は、付き合っている人、と言って木穂子を音に紹介した。音と別れた後、練は、「俺だけを見てくれないかな」といって木穂子に交際を申し込む。木穂子は、気持ちは嬉しい、と応えるが…。　一方、小夏(森川葵)は、晴太(坂口健太郎)に連れられて、ヘアサロンやセレクトショップを訪れる。その際、小夏は、晴太から“儲かるバイト"を紹介してもらう。  　そんななか、練は、木穂子にメールをして食事に誘う。金券ショップでプラネタリウムのチケットを買い、木穂子を待つ練。しかし、何故か彼女は現れなかった。諦めてバスに乗った練は、そこで仕事帰りの音と一緒になり…。</v>
      </c>
      <c r="N456" s="2"/>
      <c r="O456" s="2"/>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row>
    <row r="457" ht="204.75" customHeight="1">
      <c r="A457" s="1">
        <v>1759.0</v>
      </c>
      <c r="B457" s="2" t="s">
        <v>1458</v>
      </c>
      <c r="C457" s="2">
        <f>IFERROR(__xludf.DUMMYFUNCTION("split(B457,""_"")"),1601.0)</f>
        <v>1601</v>
      </c>
      <c r="D457" s="2" t="str">
        <f>IFERROR(__xludf.DUMMYFUNCTION("""COMPUTED_VALUE"""),"CX")</f>
        <v>CX</v>
      </c>
      <c r="E457" s="2" t="str">
        <f>IFERROR(__xludf.DUMMYFUNCTION("""COMPUTED_VALUE"""),"月21")</f>
        <v>月21</v>
      </c>
      <c r="F457" s="2" t="s">
        <v>1459</v>
      </c>
      <c r="G457" s="2" t="s">
        <v>1469</v>
      </c>
      <c r="H457" s="1">
        <v>4.0</v>
      </c>
      <c r="I457" s="1" t="s">
        <v>14</v>
      </c>
      <c r="J457" s="1" t="s">
        <v>11</v>
      </c>
      <c r="K457" s="2" t="s">
        <v>1470</v>
      </c>
      <c r="L457" s="2" t="s">
        <v>1471</v>
      </c>
      <c r="M457" s="2" t="str">
        <f>IFERROR(__xludf.DUMMYFUNCTION("split(split(K457,""杉原音:"",false),""公式LINE"",false)"),"練(高良健吾)は、退院することになった木穂子(高畑充希)に会うために病院を訪れる。木穂子は、迎えに来る母親と一緒に、しばらくの間帰省することになっていた。木穂子は、不倫相手とはもう会わないと練に約束する。練は、そんな木穂子を温かく受け入れる。  　音(有村架純)は、朝陽(西島隆弘)が心配するほど働き詰めだった。ある日、仕事帰りの音はバスの中で練と会った。しかし、彼の態度は何故かそっけなかった。  　柿谷運送の給料日、佐引(高橋一生)は、加持(森岡龍)や練から金を借りようとしてトラブルを起こす。手取りが減り"&amp;"、小学校に入学する息子の養育費が払えないらしい。  　一方、小夏(森川葵)は、モデル事務所からスカウトされたことを練や晴太(坂口健太郎)に報告する。契約金をもらえて、青山にマンションも借りてくれるのだという。　ある朝、出勤するためにバスを待っていた音は、練と出会う。そのバスの中で、泣きだした幼児をめぐって乗客同士が口論になった。いたたまれなくなった音は、助けを求めるように練の方を見た。しかし練は、目をそらすだけで…。騒動も収まり、停留場でバスを降りようとする練。そのとき、目を閉じて座っていた音の手から荷物"&amp;"が落ち、彼女はそのまま座席に倒れ込んでしまう。")</f>
        <v>練(高良健吾)は、退院することになった木穂子(高畑充希)に会うために病院を訪れる。木穂子は、迎えに来る母親と一緒に、しばらくの間帰省することになっていた。木穂子は、不倫相手とはもう会わないと練に約束する。練は、そんな木穂子を温かく受け入れる。  　音(有村架純)は、朝陽(西島隆弘)が心配するほど働き詰めだった。ある日、仕事帰りの音はバスの中で練と会った。しかし、彼の態度は何故かそっけなかった。  　柿谷運送の給料日、佐引(高橋一生)は、加持(森岡龍)や練から金を借りようとしてトラブルを起こす。手取りが減り、小学校に入学する息子の養育費が払えないらしい。  　一方、小夏(森川葵)は、モデル事務所からスカウトされたことを練や晴太(坂口健太郎)に報告する。契約金をもらえて、青山にマンションも借りてくれるのだという。　ある朝、出勤するためにバスを待っていた音は、練と出会う。そのバスの中で、泣きだした幼児をめぐって乗客同士が口論になった。いたたまれなくなった音は、助けを求めるように練の方を見た。しかし練は、目をそらすだけで…。騒動も収まり、停留場でバスを降りようとする練。そのとき、目を閉じて座っていた音の手から荷物が落ち、彼女はそのまま座席に倒れ込んでしまう。</v>
      </c>
      <c r="N457" s="2"/>
      <c r="O457" s="2"/>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row>
    <row r="458" ht="204.75" customHeight="1">
      <c r="A458" s="1">
        <v>1760.0</v>
      </c>
      <c r="B458" s="2" t="s">
        <v>1458</v>
      </c>
      <c r="C458" s="2">
        <f>IFERROR(__xludf.DUMMYFUNCTION("split(B458,""_"")"),1601.0)</f>
        <v>1601</v>
      </c>
      <c r="D458" s="2" t="str">
        <f>IFERROR(__xludf.DUMMYFUNCTION("""COMPUTED_VALUE"""),"CX")</f>
        <v>CX</v>
      </c>
      <c r="E458" s="2" t="str">
        <f>IFERROR(__xludf.DUMMYFUNCTION("""COMPUTED_VALUE"""),"月21")</f>
        <v>月21</v>
      </c>
      <c r="F458" s="2" t="s">
        <v>1459</v>
      </c>
      <c r="G458" s="2" t="s">
        <v>1472</v>
      </c>
      <c r="H458" s="1">
        <v>5.0</v>
      </c>
      <c r="I458" s="1" t="s">
        <v>17</v>
      </c>
      <c r="J458" s="1" t="s">
        <v>4</v>
      </c>
      <c r="K458" s="2" t="s">
        <v>1473</v>
      </c>
      <c r="L458" s="2" t="s">
        <v>1474</v>
      </c>
      <c r="M458" s="2" t="str">
        <f>IFERROR(__xludf.DUMMYFUNCTION("split(split(K458,""杉原音:"",false),""公式LINE"",false)"),"音(有村架純)は、朝陽(西島隆弘)に誘われて屋上へ行く。朝陽が用意した望遠鏡で一緒に星を見るふたり。そこで朝陽は、僕のことを好きになれば両想いをあげられる、と彼女に気持ちを伝える。  　小夏(森川葵)が練(高良健吾)に思いを寄せていることを知る晴太(坂口健太郎)は、その恋をかなえてあげる、と言い出す。晴太は、練が地元に帰りたくなるようにすればいい、と小夏に助言した。　音は、仕事帰りのバスの中で練と出会う。練は木穂子(高畑充希)と一緒だった。音はバスを降りた練と木穂子が腕を組んで歩いていく後姿をせつなく見つ"&amp;"める。  　練たちがアパートに着くと、部屋の中には小夏と晴太がいた。そこで小夏は、会津で暮らす練の祖父・健二(田中泯)が転倒してケガをしたことを伝える。練は、商店街もなくなってしまったために健二が買い物にも苦労していることを知り、ショックを受ける。　音と玲美(永野芽郁)は、介護施設「春寿の杜」を経営する会社から、雇用契約の更新はしないという旨のメールを受ける。ふたりは、「春寿の杜」所長の神部(浦井健治)と話し合うものの、状況は変わるはずもなかった。  　そんななか、犬の散歩のために静恵(八千草薫)の家を訪"&amp;"れた音は、練と出会う。そこで音は、健二のケガの事を知り…。")</f>
        <v>音(有村架純)は、朝陽(西島隆弘)に誘われて屋上へ行く。朝陽が用意した望遠鏡で一緒に星を見るふたり。そこで朝陽は、僕のことを好きになれば両想いをあげられる、と彼女に気持ちを伝える。  　小夏(森川葵)が練(高良健吾)に思いを寄せていることを知る晴太(坂口健太郎)は、その恋をかなえてあげる、と言い出す。晴太は、練が地元に帰りたくなるようにすればいい、と小夏に助言した。　音は、仕事帰りのバスの中で練と出会う。練は木穂子(高畑充希)と一緒だった。音はバスを降りた練と木穂子が腕を組んで歩いていく後姿をせつなく見つめる。  　練たちがアパートに着くと、部屋の中には小夏と晴太がいた。そこで小夏は、会津で暮らす練の祖父・健二(田中泯)が転倒してケガをしたことを伝える。練は、商店街もなくなってしまったために健二が買い物にも苦労していることを知り、ショックを受ける。　音と玲美(永野芽郁)は、介護施設「春寿の杜」を経営する会社から、雇用契約の更新はしないという旨のメールを受ける。ふたりは、「春寿の杜」所長の神部(浦井健治)と話し合うものの、状況は変わるはずもなかった。  　そんななか、犬の散歩のために静恵(八千草薫)の家を訪れた音は、練と出会う。そこで音は、健二のケガの事を知り…。</v>
      </c>
      <c r="N458" s="2"/>
      <c r="O458" s="2"/>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row>
    <row r="459" ht="204.75" customHeight="1">
      <c r="A459" s="1">
        <v>1761.0</v>
      </c>
      <c r="B459" s="2" t="s">
        <v>1458</v>
      </c>
      <c r="C459" s="2">
        <f>IFERROR(__xludf.DUMMYFUNCTION("split(B459,""_"")"),1601.0)</f>
        <v>1601</v>
      </c>
      <c r="D459" s="2" t="str">
        <f>IFERROR(__xludf.DUMMYFUNCTION("""COMPUTED_VALUE"""),"CX")</f>
        <v>CX</v>
      </c>
      <c r="E459" s="2" t="str">
        <f>IFERROR(__xludf.DUMMYFUNCTION("""COMPUTED_VALUE"""),"月21")</f>
        <v>月21</v>
      </c>
      <c r="F459" s="2" t="s">
        <v>1459</v>
      </c>
      <c r="G459" s="2" t="s">
        <v>1475</v>
      </c>
      <c r="H459" s="1">
        <v>6.0</v>
      </c>
      <c r="I459" s="1" t="s">
        <v>21</v>
      </c>
      <c r="J459" s="1" t="s">
        <v>11</v>
      </c>
      <c r="K459" s="2" t="s">
        <v>1476</v>
      </c>
      <c r="L459" s="2" t="s">
        <v>1477</v>
      </c>
      <c r="M459" s="2" t="str">
        <f>IFERROR(__xludf.DUMMYFUNCTION("split(split(K459,""杉原音:"",false),""公式LINE"",false)"),"27歳になった音(有村架純)は、介護福祉士の資格を取り、いまも『春寿の杜』で働いている。元同僚の朋子(桜井ユキ)、今月で契約が切れる美織(林田岬優)と食事に出かけた帰り、静恵(八千草薫)の家に立ち寄った音は、そこで木穂子(高畑充希)と再会する。木穂子は、3年前に会社を辞めていまはデザイン系の事務所で働いているのだという。木穂子は、音が練(高良健吾)ではなく、朝陽(西島隆弘)と付き合っていることを知って驚く。実は音も木穂子も、小夏(森川葵)や晴太(坂口健太郎)らとともにこの家で練と会ったのが最後だった。木穂"&amp;"子は、練の携帯電話に電話をしてみた。しかし、その番号はもう別の持ち主に変わっていた。  　朝陽と食事に出かけた音は、派遣先でトラブルに巻き込まれた玲美(永野芽郁)の相談に乗ってやってほしい、と彼に頼む。朝陽は、困惑しながらもそれに応じ、その代りと言って音をパーティーに誘う。　そんな折、仕事帰りの音は、柿谷運送のトラックを見かける。作業中の加持(森岡龍)に声をかけ、練のことを尋ねる音。加持は、音を社長の嘉美(松田美由紀)のもとへ連れていった。嘉美は、練が5年前に辞めたことを告げると、佐引(高橋一生)なら何か"&amp;"知っているかもしれない、と言って彼を紹介する。そこで佐引は、練が東京にいることを音に告げ、1枚の名刺を差し出す…。")</f>
        <v>27歳になった音(有村架純)は、介護福祉士の資格を取り、いまも『春寿の杜』で働いている。元同僚の朋子(桜井ユキ)、今月で契約が切れる美織(林田岬優)と食事に出かけた帰り、静恵(八千草薫)の家に立ち寄った音は、そこで木穂子(高畑充希)と再会する。木穂子は、3年前に会社を辞めていまはデザイン系の事務所で働いているのだという。木穂子は、音が練(高良健吾)ではなく、朝陽(西島隆弘)と付き合っていることを知って驚く。実は音も木穂子も、小夏(森川葵)や晴太(坂口健太郎)らとともにこの家で練と会ったのが最後だった。木穂子は、練の携帯電話に電話をしてみた。しかし、その番号はもう別の持ち主に変わっていた。  　朝陽と食事に出かけた音は、派遣先でトラブルに巻き込まれた玲美(永野芽郁)の相談に乗ってやってほしい、と彼に頼む。朝陽は、困惑しながらもそれに応じ、その代りと言って音をパーティーに誘う。　そんな折、仕事帰りの音は、柿谷運送のトラックを見かける。作業中の加持(森岡龍)に声をかけ、練のことを尋ねる音。加持は、音を社長の嘉美(松田美由紀)のもとへ連れていった。嘉美は、練が5年前に辞めたことを告げると、佐引(高橋一生)なら何か知っているかもしれない、と言って彼を紹介する。そこで佐引は、練が東京にいることを音に告げ、1枚の名刺を差し出す…。</v>
      </c>
      <c r="N459" s="2"/>
      <c r="O459" s="2"/>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row>
    <row r="460" ht="204.75" customHeight="1">
      <c r="A460" s="1">
        <v>1762.0</v>
      </c>
      <c r="B460" s="2" t="s">
        <v>1458</v>
      </c>
      <c r="C460" s="2">
        <f>IFERROR(__xludf.DUMMYFUNCTION("split(B460,""_"")"),1601.0)</f>
        <v>1601</v>
      </c>
      <c r="D460" s="2" t="str">
        <f>IFERROR(__xludf.DUMMYFUNCTION("""COMPUTED_VALUE"""),"CX")</f>
        <v>CX</v>
      </c>
      <c r="E460" s="2" t="str">
        <f>IFERROR(__xludf.DUMMYFUNCTION("""COMPUTED_VALUE"""),"月21")</f>
        <v>月21</v>
      </c>
      <c r="F460" s="2" t="s">
        <v>1459</v>
      </c>
      <c r="G460" s="2" t="s">
        <v>1478</v>
      </c>
      <c r="H460" s="1">
        <v>7.0</v>
      </c>
      <c r="I460" s="1" t="s">
        <v>25</v>
      </c>
      <c r="J460" s="1" t="s">
        <v>11</v>
      </c>
      <c r="K460" s="2" t="s">
        <v>1479</v>
      </c>
      <c r="L460" s="2" t="s">
        <v>1480</v>
      </c>
      <c r="M460" s="2" t="str">
        <f>IFERROR(__xludf.DUMMYFUNCTION("split(split(K460,""杉原音:"",false),""公式LINE"",false)"),"音(有村架純)は、朝陽(西島隆弘)からプロポーズされる。しかし音は、朝陽が差し出した指輪を受け取ることができない。朝陽は、そんな音に、返事はいますぐでなくてもいい、と告げる。音は、帰ろうとしていた朝陽に、練(高良健吾)と会ったことを切り出す。朝陽は、練には助けてもらったことがあるから力になってあげたい、という音の思いを受け入れるが…。　別の日、音は、柿谷運送の佐引(高橋一生)に会いに行く。そこで音は、練の祖父・健二(田中泯)が他界したときのことを教えられる。健二は、入院していた病院を抜け出し、駅で倒れてい"&amp;"たところを発見されたのだという。  　練のオフィスへと向かった音は、静恵(八千草薫)が会いたがっていることを彼に伝えた。続けて、愛犬のサスケのこと、佐引のこと、そして健二のことを話し出す音。いら立ちを隠せない練は、健二の遺品が入っている段ボールの中から汚れたパジャマを取り出し、会ったこともないのに勝手なことを言わないでほしい、と言ってゴミ箱に投げ捨ててしまい…。")</f>
        <v>音(有村架純)は、朝陽(西島隆弘)からプロポーズされる。しかし音は、朝陽が差し出した指輪を受け取ることができない。朝陽は、そんな音に、返事はいますぐでなくてもいい、と告げる。音は、帰ろうとしていた朝陽に、練(高良健吾)と会ったことを切り出す。朝陽は、練には助けてもらったことがあるから力になってあげたい、という音の思いを受け入れるが…。　別の日、音は、柿谷運送の佐引(高橋一生)に会いに行く。そこで音は、練の祖父・健二(田中泯)が他界したときのことを教えられる。健二は、入院していた病院を抜け出し、駅で倒れていたところを発見されたのだという。  　練のオフィスへと向かった音は、静恵(八千草薫)が会いたがっていることを彼に伝えた。続けて、愛犬のサスケのこと、佐引のこと、そして健二のことを話し出す音。いら立ちを隠せない練は、健二の遺品が入っている段ボールの中から汚れたパジャマを取り出し、会ったこともないのに勝手なことを言わないでほしい、と言ってゴミ箱に投げ捨ててしまい…。</v>
      </c>
      <c r="N460" s="2"/>
      <c r="O460" s="2"/>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row>
    <row r="461" ht="204.75" customHeight="1">
      <c r="A461" s="1">
        <v>1763.0</v>
      </c>
      <c r="B461" s="2" t="s">
        <v>1458</v>
      </c>
      <c r="C461" s="2">
        <f>IFERROR(__xludf.DUMMYFUNCTION("split(B461,""_"")"),1601.0)</f>
        <v>1601</v>
      </c>
      <c r="D461" s="2" t="str">
        <f>IFERROR(__xludf.DUMMYFUNCTION("""COMPUTED_VALUE"""),"CX")</f>
        <v>CX</v>
      </c>
      <c r="E461" s="2" t="str">
        <f>IFERROR(__xludf.DUMMYFUNCTION("""COMPUTED_VALUE"""),"月21")</f>
        <v>月21</v>
      </c>
      <c r="F461" s="2" t="s">
        <v>1459</v>
      </c>
      <c r="G461" s="2" t="s">
        <v>1481</v>
      </c>
      <c r="H461" s="1">
        <v>8.0</v>
      </c>
      <c r="I461" s="1" t="s">
        <v>29</v>
      </c>
      <c r="J461" s="1" t="s">
        <v>11</v>
      </c>
      <c r="K461" s="2" t="s">
        <v>1482</v>
      </c>
      <c r="L461" s="2" t="s">
        <v>1483</v>
      </c>
      <c r="M461" s="2" t="str">
        <f>IFERROR(__xludf.DUMMYFUNCTION("split(split(K461,""杉原音:"",false),""公式LINE"",false)"),"音(有村架純)のアパートに木穂子(高畑充希)がやってくる。木穂子は、いま恋人からプロポーズされるのを待っているのだという。以前、一度プロポーズされたが忙しくてスルーしてしまったらしい。木穂子は、プロポーズされたら何も考えないでOKしなければいけない、と音にアドバイスする。    　練(高良健吾)は、小夏(森川葵)を連れて静恵(八千草薫)の家に身を寄せ、再び柿谷運送で働き始める。柿谷運送社長の嘉美(松田美由紀)や、先輩の佐引(高橋一生)、加持(森岡龍)らは、そんな練を手荒く歓迎する。    　仕事帰りのバス"&amp;"で練と一緒になった音は、サスケに会うために静恵の家に立ち寄る。小夏は専門学校の制作があってまだ帰っていなかった。その際、練は、観覧車の近くにあったピアノが聞こえる店を探したが見つからなかったことを音に話し、「今度探しに行きませんか?」と続けた。そんな練に、音は、朝陽(西島隆弘)からプロポーズされたことを告げ…。")</f>
        <v>音(有村架純)のアパートに木穂子(高畑充希)がやってくる。木穂子は、いま恋人からプロポーズされるのを待っているのだという。以前、一度プロポーズされたが忙しくてスルーしてしまったらしい。木穂子は、プロポーズされたら何も考えないでOKしなければいけない、と音にアドバイスする。    　練(高良健吾)は、小夏(森川葵)を連れて静恵(八千草薫)の家に身を寄せ、再び柿谷運送で働き始める。柿谷運送社長の嘉美(松田美由紀)や、先輩の佐引(高橋一生)、加持(森岡龍)らは、そんな練を手荒く歓迎する。    　仕事帰りのバスで練と一緒になった音は、サスケに会うために静恵の家に立ち寄る。小夏は専門学校の制作があってまだ帰っていなかった。その際、練は、観覧車の近くにあったピアノが聞こえる店を探したが見つからなかったことを音に話し、「今度探しに行きませんか?」と続けた。そんな練に、音は、朝陽(西島隆弘)からプロポーズされたことを告げ…。</v>
      </c>
      <c r="N461" s="2"/>
      <c r="O461" s="2"/>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row>
    <row r="462" ht="204.75" customHeight="1">
      <c r="A462" s="1">
        <v>1764.0</v>
      </c>
      <c r="B462" s="2" t="s">
        <v>1458</v>
      </c>
      <c r="C462" s="2">
        <f>IFERROR(__xludf.DUMMYFUNCTION("split(B462,""_"")"),1601.0)</f>
        <v>1601</v>
      </c>
      <c r="D462" s="2" t="str">
        <f>IFERROR(__xludf.DUMMYFUNCTION("""COMPUTED_VALUE"""),"CX")</f>
        <v>CX</v>
      </c>
      <c r="E462" s="2" t="str">
        <f>IFERROR(__xludf.DUMMYFUNCTION("""COMPUTED_VALUE"""),"月21")</f>
        <v>月21</v>
      </c>
      <c r="F462" s="2" t="s">
        <v>1459</v>
      </c>
      <c r="G462" s="2" t="s">
        <v>1484</v>
      </c>
      <c r="H462" s="1">
        <v>9.0</v>
      </c>
      <c r="I462" s="1" t="s">
        <v>33</v>
      </c>
      <c r="J462" s="1" t="s">
        <v>11</v>
      </c>
      <c r="K462" s="2" t="s">
        <v>1485</v>
      </c>
      <c r="L462" s="2" t="s">
        <v>1486</v>
      </c>
      <c r="M462" s="2" t="str">
        <f>IFERROR(__xludf.DUMMYFUNCTION("split(split(K462,""杉原音:"",false),""公式LINE"",false)"),"「杉原さん、好きです」。音(有村架純)のアパートを訪れた練(高良健吾)は、彼女への思いを伝えた。が、練の気持ちに応えて音が話そうとしたとき、そこに朝陽(西島隆弘)が現れる。練は外で朝陽と話がしたい、と提案するのだった。  　別の日、仕事を終えた練が家に戻ると、小夏(森川葵)が会津の母親と電話で話をしていた。電話を代わった練は、亡き祖父が残した種を使って育てた大根が収穫の時期を迎えたから手伝いにこないか、と誘われる。するとそこに、木穂子(高畑充希)がやってきた。木穂子が練に語り始めた言葉とは。")</f>
        <v>「杉原さん、好きです」。音(有村架純)のアパートを訪れた練(高良健吾)は、彼女への思いを伝えた。が、練の気持ちに応えて音が話そうとしたとき、そこに朝陽(西島隆弘)が現れる。練は外で朝陽と話がしたい、と提案するのだった。  　別の日、仕事を終えた練が家に戻ると、小夏(森川葵)が会津の母親と電話で話をしていた。電話を代わった練は、亡き祖父が残した種を使って育てた大根が収穫の時期を迎えたから手伝いにこないか、と誘われる。するとそこに、木穂子(高畑充希)がやってきた。木穂子が練に語り始めた言葉とは。</v>
      </c>
      <c r="N462" s="2"/>
      <c r="O462" s="2"/>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row>
    <row r="463" ht="204.75" customHeight="1">
      <c r="A463" s="1">
        <v>1765.0</v>
      </c>
      <c r="B463" s="2" t="s">
        <v>1458</v>
      </c>
      <c r="C463" s="2">
        <f>IFERROR(__xludf.DUMMYFUNCTION("split(B463,""_"")"),1601.0)</f>
        <v>1601</v>
      </c>
      <c r="D463" s="2" t="str">
        <f>IFERROR(__xludf.DUMMYFUNCTION("""COMPUTED_VALUE"""),"CX")</f>
        <v>CX</v>
      </c>
      <c r="E463" s="2" t="str">
        <f>IFERROR(__xludf.DUMMYFUNCTION("""COMPUTED_VALUE"""),"月21")</f>
        <v>月21</v>
      </c>
      <c r="F463" s="2" t="s">
        <v>1459</v>
      </c>
      <c r="G463" s="2" t="s">
        <v>1487</v>
      </c>
      <c r="H463" s="1">
        <v>10.0</v>
      </c>
      <c r="I463" s="1" t="s">
        <v>37</v>
      </c>
      <c r="J463" s="1" t="s">
        <v>11</v>
      </c>
      <c r="K463" s="2" t="s">
        <v>1488</v>
      </c>
      <c r="L463" s="2" t="s">
        <v>1489</v>
      </c>
      <c r="M463" s="2" t="str">
        <f>IFERROR(__xludf.DUMMYFUNCTION("split(split(K463,""杉原音:"",false),""公式LINE"",false)"),"音(有村架純)と練(高良健吾)は互いのことを好きであるという気持ちをあらためて確認した一方で朝陽(西島隆弘)はあらためて音に2人で幸せになろうと訴える。木穂子(高畑充希)はそんな音と練の2人が自分の気持ちに正直に生きてくれるよう2人それぞれに会って懇願していた。  　そんな中、音は自分の心を決め、練に会って話をすることを決意、2人は会う約束をする。約束の日、音はなかなか時間になっても現れない。練に会いに行く途中の駅で音は奈良から東京に出てきたばかりの少女に出会う。鞄をとられてしまったという少女、明日香(芳"&amp;"根京子)を助けるために音は騒動に巻き込まれてしまい病院に運ばれる。  　音が病院に運ばれたと聞いて駆けつける練、朝陽、木穂子ら。音にいったい何が起きたのか。　朝陽は音の鞄の中から音が書いたと思われる手紙を見つける。朝陽は、この手紙の中には音が練と朝陽のどちらを選んだのか答えがあるのではないかと考える。木穂子は朝陽に音を信じて祈っているよう伝えるのだった。  　駅で音と出逢い助けてもらった少女、明日香も病院にかけつける。音が大変なことになっていることを知りショックを受ける。音の命は、そして練、朝陽、木穂子、"&amp;"小夏、晴太の行く末にどんな未来が待っているのか。")</f>
        <v>音(有村架純)と練(高良健吾)は互いのことを好きであるという気持ちをあらためて確認した一方で朝陽(西島隆弘)はあらためて音に2人で幸せになろうと訴える。木穂子(高畑充希)はそんな音と練の2人が自分の気持ちに正直に生きてくれるよう2人それぞれに会って懇願していた。  　そんな中、音は自分の心を決め、練に会って話をすることを決意、2人は会う約束をする。約束の日、音はなかなか時間になっても現れない。練に会いに行く途中の駅で音は奈良から東京に出てきたばかりの少女に出会う。鞄をとられてしまったという少女、明日香(芳根京子)を助けるために音は騒動に巻き込まれてしまい病院に運ばれる。  　音が病院に運ばれたと聞いて駆けつける練、朝陽、木穂子ら。音にいったい何が起きたのか。　朝陽は音の鞄の中から音が書いたと思われる手紙を見つける。朝陽は、この手紙の中には音が練と朝陽のどちらを選んだのか答えがあるのではないかと考える。木穂子は朝陽に音を信じて祈っているよう伝えるのだった。  　駅で音と出逢い助けてもらった少女、明日香も病院にかけつける。音が大変なことになっていることを知りショックを受ける。音の命は、そして練、朝陽、木穂子、小夏、晴太の行く末にどんな未来が待っているのか。</v>
      </c>
      <c r="N463" s="2"/>
      <c r="O463" s="2"/>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row>
    <row r="464" ht="204.75" customHeight="1">
      <c r="A464" s="1">
        <v>1766.0</v>
      </c>
      <c r="B464" s="2" t="s">
        <v>1490</v>
      </c>
      <c r="C464" s="2">
        <f>IFERROR(__xludf.DUMMYFUNCTION("split(B464,""_"")"),1601.0)</f>
        <v>1601</v>
      </c>
      <c r="D464" s="2" t="str">
        <f>IFERROR(__xludf.DUMMYFUNCTION("""COMPUTED_VALUE"""),"CX")</f>
        <v>CX</v>
      </c>
      <c r="E464" s="2" t="str">
        <f>IFERROR(__xludf.DUMMYFUNCTION("""COMPUTED_VALUE"""),"火22")</f>
        <v>火22</v>
      </c>
      <c r="F464" s="2" t="s">
        <v>1491</v>
      </c>
      <c r="G464" s="2" t="s">
        <v>1492</v>
      </c>
      <c r="H464" s="1">
        <v>1.0</v>
      </c>
      <c r="I464" s="1" t="s">
        <v>3</v>
      </c>
      <c r="J464" s="1" t="s">
        <v>82</v>
      </c>
      <c r="K464" s="2" t="s">
        <v>1493</v>
      </c>
      <c r="L464" s="2" t="s">
        <v>1494</v>
      </c>
      <c r="M464" s="2" t="str">
        <f>IFERROR(__xludf.DUMMYFUNCTION("split(split(K464,""遠藤憲一　"",false),""公式LINE"",false)"),"大道寺保(遠藤憲一)は中堅の専門商社に勤める51歳。仕事熱心な営業マンで、その誠実さから“土下座の大道寺""の異名を持つ。ある日、取引先との交渉でホテルを訪れた保は、結婚式を挙げたばかりの幸せそうなカップルを見て一念発起、システムエンジニアで28歳年下の恋人・花澤美蘭(蓮佛美沙子)との結婚を決意し、プロポーズする。  その頃、大手総合商社に勤めるエリートビジネスマンの花澤紀一郎(渡部篤郎)は、妻の静香(和久井映見)から、娘の美蘭に恋人がいることを聞き、胸がザワついていた。しかも、近々その男が家に来るという"&amp;"。もちろん、娘の恋人が自分と同い年だとは知る由もないが、美蘭のことを「相当なダメ男好き」「案外遊んでる」と話す次女の真理乃(新川優愛)や長男の葉理男(中村倫也)の言葉に、紀一郎の不安は募るばかり。  険悪なムードが漂う中、迎えた顔合わせ当日、美蘭が保を連れて帰ってきた。相手の男が26歳だと聞いていた紀一郎は明らかに自分と同世代の保を見てがくぜん!一方の保も以前雑誌で見かけた、いけ好かない男がまさか美蘭の父親だったとは……と驚きを隠せない。  そんな恋人と父親の反応をよそに2人のなれ初めを家族に聞かせる美蘭"&amp;"。しかし、同い年で同じ商社マンでありながら、生き方も考え方もまるで違う保と紀一郎が相いれるはずもなく、紀一郎は2人の結婚に猛反対。  言い争いの末「出て行く」と宣言する美蘭だったがー。")</f>
        <v>大道寺保(遠藤憲一)は中堅の専門商社に勤める51歳。仕事熱心な営業マンで、その誠実さから“土下座の大道寺"の異名を持つ。ある日、取引先との交渉でホテルを訪れた保は、結婚式を挙げたばかりの幸せそうなカップルを見て一念発起、システムエンジニアで28歳年下の恋人・花澤美蘭(蓮佛美沙子)との結婚を決意し、プロポーズする。  その頃、大手総合商社に勤めるエリートビジネスマンの花澤紀一郎(渡部篤郎)は、妻の静香(和久井映見)から、娘の美蘭に恋人がいることを聞き、胸がザワついていた。しかも、近々その男が家に来るという。もちろん、娘の恋人が自分と同い年だとは知る由もないが、美蘭のことを「相当なダメ男好き」「案外遊んでる」と話す次女の真理乃(新川優愛)や長男の葉理男(中村倫也)の言葉に、紀一郎の不安は募るばかり。  険悪なムードが漂う中、迎えた顔合わせ当日、美蘭が保を連れて帰ってきた。相手の男が26歳だと聞いていた紀一郎は明らかに自分と同世代の保を見てがくぜん!一方の保も以前雑誌で見かけた、いけ好かない男がまさか美蘭の父親だったとは……と驚きを隠せない。  そんな恋人と父親の反応をよそに2人のなれ初めを家族に聞かせる美蘭。しかし、同い年で同じ商社マンでありながら、生き方も考え方もまるで違う保と紀一郎が相いれるはずもなく、紀一郎は2人の結婚に猛反対。  言い争いの末「出て行く」と宣言する美蘭だったがー。</v>
      </c>
      <c r="N464" s="2"/>
      <c r="O464" s="2"/>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row>
    <row r="465" ht="204.75" customHeight="1">
      <c r="A465" s="1">
        <v>1767.0</v>
      </c>
      <c r="B465" s="2" t="s">
        <v>1490</v>
      </c>
      <c r="C465" s="2">
        <f>IFERROR(__xludf.DUMMYFUNCTION("split(B465,""_"")"),1601.0)</f>
        <v>1601</v>
      </c>
      <c r="D465" s="2" t="str">
        <f>IFERROR(__xludf.DUMMYFUNCTION("""COMPUTED_VALUE"""),"CX")</f>
        <v>CX</v>
      </c>
      <c r="E465" s="2" t="str">
        <f>IFERROR(__xludf.DUMMYFUNCTION("""COMPUTED_VALUE"""),"火22")</f>
        <v>火22</v>
      </c>
      <c r="F465" s="2" t="s">
        <v>1491</v>
      </c>
      <c r="G465" s="2" t="s">
        <v>1495</v>
      </c>
      <c r="H465" s="1">
        <v>2.0</v>
      </c>
      <c r="I465" s="1" t="s">
        <v>7</v>
      </c>
      <c r="J465" s="1" t="s">
        <v>86</v>
      </c>
      <c r="K465" s="2" t="s">
        <v>1496</v>
      </c>
      <c r="L465" s="2" t="s">
        <v>1497</v>
      </c>
      <c r="M465" s="2" t="str">
        <f>IFERROR(__xludf.DUMMYFUNCTION("split(split(K465,""遠藤憲一　"",false),""公式LINE"",false)"),"花澤家と保(遠藤憲一)の顔合わせ翌日、紀一郎(渡部篤郎)と美蘭(蓮佛美沙子)の間には朝から不穏な空気が。気まずい美蘭はそそくさと家を出ようとするが、静香(和久井映見)に呼び止められ、自分も保との結婚には反対だと言われてしまう。一方、出社した紀一郎も早速、秘書の希和(中村アン)に美蘭の件を相談。51歳でいまだ独身、しかもバツなしの保に何か秘密があるのでは……とにらむ。    その頃、美蘭はもう一度両親と話したいという保に、真理乃(新川優愛)と葉理男(中村倫也)と4人で食事をしようと提案。静香にまで反対された"&amp;"ことに少なからずショックを受けた美蘭は、再び両親とたいじする前に、まずは兄妹から説得しようと考えたのだ。しかし当日、食事の途中で美蘭は職場に呼び戻されてしまい、残された保、真理乃、葉理男の3人は……。    しばらくして、自社が買収した会社との懇親会に顔を出した紀一郎は、集まった関係者の中に保の姿を見つけ、驚く。そして、チャンスとばかりに保の素性を探っていると、目の前に衝撃的な格好をした保が現れ、その姿に紀一郎は絶句してしまう。    週末、昭栄(品川徹)に呼び出された保は、紀一郎に醜態をさらしたことを引"&amp;"きずりながらも、再び花澤家に向かっていた。するとそこへ、仕事で家に不在の美蘭から電話が。  「わかってるよね……絶対ばれたらアウトだからね。あの秘密だけは」。そうくぎをさされた保はーー!?")</f>
        <v>花澤家と保(遠藤憲一)の顔合わせ翌日、紀一郎(渡部篤郎)と美蘭(蓮佛美沙子)の間には朝から不穏な空気が。気まずい美蘭はそそくさと家を出ようとするが、静香(和久井映見)に呼び止められ、自分も保との結婚には反対だと言われてしまう。一方、出社した紀一郎も早速、秘書の希和(中村アン)に美蘭の件を相談。51歳でいまだ独身、しかもバツなしの保に何か秘密があるのでは……とにらむ。    その頃、美蘭はもう一度両親と話したいという保に、真理乃(新川優愛)と葉理男(中村倫也)と4人で食事をしようと提案。静香にまで反対されたことに少なからずショックを受けた美蘭は、再び両親とたいじする前に、まずは兄妹から説得しようと考えたのだ。しかし当日、食事の途中で美蘭は職場に呼び戻されてしまい、残された保、真理乃、葉理男の3人は……。    しばらくして、自社が買収した会社との懇親会に顔を出した紀一郎は、集まった関係者の中に保の姿を見つけ、驚く。そして、チャンスとばかりに保の素性を探っていると、目の前に衝撃的な格好をした保が現れ、その姿に紀一郎は絶句してしまう。    週末、昭栄(品川徹)に呼び出された保は、紀一郎に醜態をさらしたことを引きずりながらも、再び花澤家に向かっていた。するとそこへ、仕事で家に不在の美蘭から電話が。  「わかってるよね……絶対ばれたらアウトだからね。あの秘密だけは」。そうくぎをさされた保はーー!?</v>
      </c>
      <c r="N465" s="2"/>
      <c r="O465" s="2"/>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row>
    <row r="466" ht="204.75" customHeight="1">
      <c r="A466" s="1">
        <v>1768.0</v>
      </c>
      <c r="B466" s="2" t="s">
        <v>1490</v>
      </c>
      <c r="C466" s="2">
        <f>IFERROR(__xludf.DUMMYFUNCTION("split(B466,""_"")"),1601.0)</f>
        <v>1601</v>
      </c>
      <c r="D466" s="2" t="str">
        <f>IFERROR(__xludf.DUMMYFUNCTION("""COMPUTED_VALUE"""),"CX")</f>
        <v>CX</v>
      </c>
      <c r="E466" s="2" t="str">
        <f>IFERROR(__xludf.DUMMYFUNCTION("""COMPUTED_VALUE"""),"火22")</f>
        <v>火22</v>
      </c>
      <c r="F466" s="2" t="s">
        <v>1491</v>
      </c>
      <c r="G466" s="2" t="s">
        <v>1498</v>
      </c>
      <c r="H466" s="1">
        <v>3.0</v>
      </c>
      <c r="I466" s="1" t="s">
        <v>10</v>
      </c>
      <c r="J466" s="1" t="s">
        <v>86</v>
      </c>
      <c r="K466" s="2" t="s">
        <v>1499</v>
      </c>
      <c r="L466" s="2" t="s">
        <v>1500</v>
      </c>
      <c r="M466" s="2" t="str">
        <f>IFERROR(__xludf.DUMMYFUNCTION("split(split(K466,""遠藤憲一　"",false),""公式LINE"",false)"),"美蘭(蓮佛美沙子)の誕生日を5日後に控えたある日、紀一郎(渡部篤郎)が「当日は家族だけで誕生会をやる」と言い出す。保(遠藤憲一)の裸踊りと酒癖の悪さを目の当たりにした紀一郎は、美蘭の誕生日までに何としても2人を別れさせ、保を花澤家から排除しようと考えていた。そして早速、美蘭を説得するよう真理乃(新川優愛)をけしかけ、さらには、会社の人間を使って保の経歴を調べ上げる。一方の保は、花澤家での大失態を思い出してぼうぜん自失、仕事も手につかない。見かねた部下が声をかけると、保は美蘭との関係を打ち明け、格上の紀一郎"&amp;"に自分がどう対抗すべきか意見を求める。そして、作戦を練っている矢先、突然、紀一郎から呼び出しの電話が。部下にハッパをかけられ、強気で立ち向かおうとする保だったが、ホテルのバーで待ち構えていた紀一郎の口から出た言葉は……。その日の夜、紀一郎のある一言が胸に刺さり、落ち込んでしまう保。美蘭も、いつもと違う保の様子が気にかかる。翌日、何とか気持ちを立て直す保だったが、追い打ちをかけるように、ジムで待ち合わせていた保と美蘭の前に紀一郎が現れてーー!?")</f>
        <v>美蘭(蓮佛美沙子)の誕生日を5日後に控えたある日、紀一郎(渡部篤郎)が「当日は家族だけで誕生会をやる」と言い出す。保(遠藤憲一)の裸踊りと酒癖の悪さを目の当たりにした紀一郎は、美蘭の誕生日までに何としても2人を別れさせ、保を花澤家から排除しようと考えていた。そして早速、美蘭を説得するよう真理乃(新川優愛)をけしかけ、さらには、会社の人間を使って保の経歴を調べ上げる。一方の保は、花澤家での大失態を思い出してぼうぜん自失、仕事も手につかない。見かねた部下が声をかけると、保は美蘭との関係を打ち明け、格上の紀一郎に自分がどう対抗すべきか意見を求める。そして、作戦を練っている矢先、突然、紀一郎から呼び出しの電話が。部下にハッパをかけられ、強気で立ち向かおうとする保だったが、ホテルのバーで待ち構えていた紀一郎の口から出た言葉は……。その日の夜、紀一郎のある一言が胸に刺さり、落ち込んでしまう保。美蘭も、いつもと違う保の様子が気にかかる。翌日、何とか気持ちを立て直す保だったが、追い打ちをかけるように、ジムで待ち合わせていた保と美蘭の前に紀一郎が現れてーー!?</v>
      </c>
      <c r="N466" s="2"/>
      <c r="O466" s="2"/>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row>
    <row r="467" ht="204.75" customHeight="1">
      <c r="A467" s="1">
        <v>1769.0</v>
      </c>
      <c r="B467" s="2" t="s">
        <v>1490</v>
      </c>
      <c r="C467" s="2">
        <f>IFERROR(__xludf.DUMMYFUNCTION("split(B467,""_"")"),1601.0)</f>
        <v>1601</v>
      </c>
      <c r="D467" s="2" t="str">
        <f>IFERROR(__xludf.DUMMYFUNCTION("""COMPUTED_VALUE"""),"CX")</f>
        <v>CX</v>
      </c>
      <c r="E467" s="2" t="str">
        <f>IFERROR(__xludf.DUMMYFUNCTION("""COMPUTED_VALUE"""),"火22")</f>
        <v>火22</v>
      </c>
      <c r="F467" s="2" t="s">
        <v>1491</v>
      </c>
      <c r="G467" s="2" t="s">
        <v>1501</v>
      </c>
      <c r="H467" s="1">
        <v>4.0</v>
      </c>
      <c r="I467" s="1" t="s">
        <v>14</v>
      </c>
      <c r="J467" s="1" t="s">
        <v>86</v>
      </c>
      <c r="K467" s="2" t="s">
        <v>1502</v>
      </c>
      <c r="L467" s="2" t="s">
        <v>1503</v>
      </c>
      <c r="M467" s="2" t="str">
        <f>IFERROR(__xludf.DUMMYFUNCTION("split(split(K467,""遠藤憲一　"",false),""公式LINE"",false)"),"もうすぐバレンタインデー。今度こそ美蘭(蓮佛美沙子)奪還を心に誓う紀一郎(渡部篤郎)は、美蘭に思いを寄せる砂清水(山崎育三郎)を利用し、ある計画を進めることに。程なくして、仕事の話という名目で、呼び出された保(遠藤憲一)。しかし、そこに現れたのは砂清水で、保を見るやいなや「美蘭ちゃんの元カレです!」と自己紹介し挑戦的な目つきで保を見つめる。さらに、なぜかその場に美蘭まで呼び出して……。美蘭は、何日も徹夜して、保の上司から発注された新たなシステム作りに取り組んでいた。しかし、仕上がりに文句をつけられたうえ、"&amp;"理不尽な扱いまで受け、怒り心頭。両者の間に入り、何とか丸く収めようとする保の言葉も耳に入らない。それどころか、自分の味方をしてくれない保に反発し、2人の関係はギクシャクしてしまう。そんななか、偶然、相手に100%非があるにも関わらず、自分がミスしたかのように土下座して謝る保の姿を目撃した美蘭。保の部下は「保身のために情けない」と嘆き複雑な気分に。  翌日、美蘭は保から「バレンタインデーは外で食事をしよう」と誘われるが、同じ頃、紀一郎はすでに次の手を考えていて……。")</f>
        <v>もうすぐバレンタインデー。今度こそ美蘭(蓮佛美沙子)奪還を心に誓う紀一郎(渡部篤郎)は、美蘭に思いを寄せる砂清水(山崎育三郎)を利用し、ある計画を進めることに。程なくして、仕事の話という名目で、呼び出された保(遠藤憲一)。しかし、そこに現れたのは砂清水で、保を見るやいなや「美蘭ちゃんの元カレです!」と自己紹介し挑戦的な目つきで保を見つめる。さらに、なぜかその場に美蘭まで呼び出して……。美蘭は、何日も徹夜して、保の上司から発注された新たなシステム作りに取り組んでいた。しかし、仕上がりに文句をつけられたうえ、理不尽な扱いまで受け、怒り心頭。両者の間に入り、何とか丸く収めようとする保の言葉も耳に入らない。それどころか、自分の味方をしてくれない保に反発し、2人の関係はギクシャクしてしまう。そんななか、偶然、相手に100%非があるにも関わらず、自分がミスしたかのように土下座して謝る保の姿を目撃した美蘭。保の部下は「保身のために情けない」と嘆き複雑な気分に。  翌日、美蘭は保から「バレンタインデーは外で食事をしよう」と誘われるが、同じ頃、紀一郎はすでに次の手を考えていて……。</v>
      </c>
      <c r="N467" s="2"/>
      <c r="O467" s="2"/>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row>
    <row r="468" ht="204.75" customHeight="1">
      <c r="A468" s="1">
        <v>1770.0</v>
      </c>
      <c r="B468" s="2" t="s">
        <v>1490</v>
      </c>
      <c r="C468" s="2">
        <f>IFERROR(__xludf.DUMMYFUNCTION("split(B468,""_"")"),1601.0)</f>
        <v>1601</v>
      </c>
      <c r="D468" s="2" t="str">
        <f>IFERROR(__xludf.DUMMYFUNCTION("""COMPUTED_VALUE"""),"CX")</f>
        <v>CX</v>
      </c>
      <c r="E468" s="2" t="str">
        <f>IFERROR(__xludf.DUMMYFUNCTION("""COMPUTED_VALUE"""),"火22")</f>
        <v>火22</v>
      </c>
      <c r="F468" s="2" t="s">
        <v>1491</v>
      </c>
      <c r="G468" s="2" t="s">
        <v>1504</v>
      </c>
      <c r="H468" s="1">
        <v>5.0</v>
      </c>
      <c r="I468" s="1" t="s">
        <v>17</v>
      </c>
      <c r="J468" s="1" t="s">
        <v>86</v>
      </c>
      <c r="K468" s="2" t="s">
        <v>1505</v>
      </c>
      <c r="L468" s="2" t="s">
        <v>1506</v>
      </c>
      <c r="M468" s="2" t="str">
        <f>IFERROR(__xludf.DUMMYFUNCTION("split(split(K468,""遠藤憲一　"",false),""公式LINE"",false)"),"ある日の晩、保(遠藤憲一)は街中で見覚えのある一人の若い女性を見かける。それは以前、葉理男(中村倫也)の部屋で見つけた写真の女性。葉理男の彼女だと思い込んでいた保は思い切って声をかけるが、よく見ると、それは女装した葉理男だった!ぼうぜんとする保を残し、慌ててその場から逃げ出す葉理男。後日、紀一郎(渡部篤郎)の留守中に保が家に来ると知り、葉理男は極度の緊張に襲われるが、やって来た保が「大丈夫、誰にも言わないから」と約束してくれたことで、ひとまず安心する。    しばらくして、仕事中の紀一郎の元に、葉理男が突"&amp;"然、会社に辞表を出したと静香(和久井映見)から連絡が入る。聞けば、きっかけは保だという。おかげで紀一郎のさらなる怒りを買ってしまった保は、何とか辞表を撤回させようと、葉理男を待ち伏せ。しかし、やっとの思いでつかまえたものの、会社を辞める理由については固く口を閉ざしたまま。保は頭を抱える。    数日後、保が女性を追いかけ回している映像が動画サイトにアップされる。少し前から、保が何か隠し事をしていると怪しんでいた美蘭(蓮佛美沙子)は浮気を確信。美蘭に問い詰められるものの、その女性が葉理男だとは口が裂けても言"&amp;"えない保は大ピンチ!そのうえ、動画を見た静香が保の家にやって来てーー!?")</f>
        <v>ある日の晩、保(遠藤憲一)は街中で見覚えのある一人の若い女性を見かける。それは以前、葉理男(中村倫也)の部屋で見つけた写真の女性。葉理男の彼女だと思い込んでいた保は思い切って声をかけるが、よく見ると、それは女装した葉理男だった!ぼうぜんとする保を残し、慌ててその場から逃げ出す葉理男。後日、紀一郎(渡部篤郎)の留守中に保が家に来ると知り、葉理男は極度の緊張に襲われるが、やって来た保が「大丈夫、誰にも言わないから」と約束してくれたことで、ひとまず安心する。    しばらくして、仕事中の紀一郎の元に、葉理男が突然、会社に辞表を出したと静香(和久井映見)から連絡が入る。聞けば、きっかけは保だという。おかげで紀一郎のさらなる怒りを買ってしまった保は、何とか辞表を撤回させようと、葉理男を待ち伏せ。しかし、やっとの思いでつかまえたものの、会社を辞める理由については固く口を閉ざしたまま。保は頭を抱える。    数日後、保が女性を追いかけ回している映像が動画サイトにアップされる。少し前から、保が何か隠し事をしていると怪しんでいた美蘭(蓮佛美沙子)は浮気を確信。美蘭に問い詰められるものの、その女性が葉理男だとは口が裂けても言えない保は大ピンチ!そのうえ、動画を見た静香が保の家にやって来てーー!?</v>
      </c>
      <c r="N468" s="2"/>
      <c r="O468" s="2"/>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row>
    <row r="469" ht="204.75" customHeight="1">
      <c r="A469" s="1">
        <v>1771.0</v>
      </c>
      <c r="B469" s="2" t="s">
        <v>1490</v>
      </c>
      <c r="C469" s="2">
        <f>IFERROR(__xludf.DUMMYFUNCTION("split(B469,""_"")"),1601.0)</f>
        <v>1601</v>
      </c>
      <c r="D469" s="2" t="str">
        <f>IFERROR(__xludf.DUMMYFUNCTION("""COMPUTED_VALUE"""),"CX")</f>
        <v>CX</v>
      </c>
      <c r="E469" s="2" t="str">
        <f>IFERROR(__xludf.DUMMYFUNCTION("""COMPUTED_VALUE"""),"火22")</f>
        <v>火22</v>
      </c>
      <c r="F469" s="2" t="s">
        <v>1491</v>
      </c>
      <c r="G469" s="2" t="s">
        <v>1507</v>
      </c>
      <c r="H469" s="1">
        <v>6.0</v>
      </c>
      <c r="I469" s="1" t="s">
        <v>21</v>
      </c>
      <c r="J469" s="1" t="s">
        <v>86</v>
      </c>
      <c r="K469" s="2" t="s">
        <v>1508</v>
      </c>
      <c r="L469" s="2" t="s">
        <v>1509</v>
      </c>
      <c r="M469" s="2" t="str">
        <f>IFERROR(__xludf.DUMMYFUNCTION("split(split(K469,""遠藤憲一　"",false),""公式LINE"",false)"),"ある日、保(遠藤憲一)の家に突然、姉の留美子(秋野暢子)が「一週間泊めてほしい」と押しかけてくる。すると、徹夜明けで眠りこけていた美蘭(蓮佛美沙子)とまさかの鉢合わせ!2人が結婚するつもりだと知った留美子は驚きの声をあげ、かわいい弟の相手があまりに若いことに難色を示す。やがて、美蘭を家に送るついでに両親にあいさつすると言い出す留美子。しかし、到着した花澤家で保が紀一郎(渡部篤郎)に煙たがられていると知ると怒り心頭。紀一郎も留美子の憎まれ口で火がつき、2人は激しい言い争いになる。  その頃、紀一郎の会社では"&amp;"急激な業績悪化で、その責任が紀一郎一人にのしかかる事態へ発展。次の経営会議に向け根回しに奔走する紀一郎は窮地に追いやられてしまう。そんななか、昭栄(品川徹)が散歩から帰ってこないと静香(和久井映見)から連絡が入る。実は、留美子に一目ぼれした昭栄は保の家を訪れていたのだ。さらに、連れ戻しに行ったはずの真理乃(新川優愛)までも巻き込まれてしまう。  やがて、仕事が終わった保と美蘭が駆けつけると、部屋の中では3人が和気あいあいと昔話に花を咲かせていた。真理乃が作った料理をつまみに、昭栄から紀一郎の話を聞き出して"&amp;"いた留美子。そして、現れた美蘭の前であからさまに真理乃を褒め、姉妹を比較。揚げ句の果てに「妹さんの方がよっぽどいいじゃない」と言い放つ。その一言で、ついに堪忍袋の緒が切れた美蘭はーー!?")</f>
        <v>ある日、保(遠藤憲一)の家に突然、姉の留美子(秋野暢子)が「一週間泊めてほしい」と押しかけてくる。すると、徹夜明けで眠りこけていた美蘭(蓮佛美沙子)とまさかの鉢合わせ!2人が結婚するつもりだと知った留美子は驚きの声をあげ、かわいい弟の相手があまりに若いことに難色を示す。やがて、美蘭を家に送るついでに両親にあいさつすると言い出す留美子。しかし、到着した花澤家で保が紀一郎(渡部篤郎)に煙たがられていると知ると怒り心頭。紀一郎も留美子の憎まれ口で火がつき、2人は激しい言い争いになる。  その頃、紀一郎の会社では急激な業績悪化で、その責任が紀一郎一人にのしかかる事態へ発展。次の経営会議に向け根回しに奔走する紀一郎は窮地に追いやられてしまう。そんななか、昭栄(品川徹)が散歩から帰ってこないと静香(和久井映見)から連絡が入る。実は、留美子に一目ぼれした昭栄は保の家を訪れていたのだ。さらに、連れ戻しに行ったはずの真理乃(新川優愛)までも巻き込まれてしまう。  やがて、仕事が終わった保と美蘭が駆けつけると、部屋の中では3人が和気あいあいと昔話に花を咲かせていた。真理乃が作った料理をつまみに、昭栄から紀一郎の話を聞き出していた留美子。そして、現れた美蘭の前であからさまに真理乃を褒め、姉妹を比較。揚げ句の果てに「妹さんの方がよっぽどいいじゃない」と言い放つ。その一言で、ついに堪忍袋の緒が切れた美蘭はーー!?</v>
      </c>
      <c r="N469" s="2"/>
      <c r="O469" s="2"/>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row>
    <row r="470" ht="204.75" customHeight="1">
      <c r="A470" s="1">
        <v>1772.0</v>
      </c>
      <c r="B470" s="2" t="s">
        <v>1490</v>
      </c>
      <c r="C470" s="2">
        <f>IFERROR(__xludf.DUMMYFUNCTION("split(B470,""_"")"),1601.0)</f>
        <v>1601</v>
      </c>
      <c r="D470" s="2" t="str">
        <f>IFERROR(__xludf.DUMMYFUNCTION("""COMPUTED_VALUE"""),"CX")</f>
        <v>CX</v>
      </c>
      <c r="E470" s="2" t="str">
        <f>IFERROR(__xludf.DUMMYFUNCTION("""COMPUTED_VALUE"""),"火22")</f>
        <v>火22</v>
      </c>
      <c r="F470" s="2" t="s">
        <v>1491</v>
      </c>
      <c r="G470" s="2" t="s">
        <v>1510</v>
      </c>
      <c r="H470" s="1">
        <v>7.0</v>
      </c>
      <c r="I470" s="1" t="s">
        <v>25</v>
      </c>
      <c r="J470" s="1" t="s">
        <v>86</v>
      </c>
      <c r="K470" s="2" t="s">
        <v>1511</v>
      </c>
      <c r="L470" s="2" t="s">
        <v>1512</v>
      </c>
      <c r="M470" s="2" t="str">
        <f>IFERROR(__xludf.DUMMYFUNCTION("split(split(K470,""遠藤憲一　"",false),""公式LINE"",false)"),"火事で自分のマンションに住めなくなった保(遠藤憲一)が花澤家に転がり込んできた。一時は保との距離を縮めたかに見えた紀一郎(渡部篤郎)だったが、どこかガサツな保の振る舞いにいら立ちを隠せず、静香(和久井映見)をはじめ、自分以外の家族が思いのほか保を歓迎していることも気に食わない。    一方、保とのプチ新婚生活を楽しんでいた美蘭(蓮佛美沙子)は、就職活動真っただ中の妹・真理乃(新川優愛)に恋人がいることを知る。しかも、偶然見かけた相手はどう見ても20歳以上年上!その情報は、砂清水(山崎育三郎)に真理乃の交友"&amp;"関係を調べさせていた紀一郎の耳にも入る。「まさか真理乃まで結婚!?」と胸がざわつく紀一郎は、何とか真理乃から彼氏のことを聞き出そうとするが、あえなく失敗。そこで、同じく事情を知っているらしい保と美蘭と手を組み、情報を共有することに。やがて、真理乃の彼氏について調べ始めた保は、男の勤務先を突き止める。しかし、聞き込みで分かったのは男のとんでもない素性!それを聞いた美蘭はすぐさま真理乃と話をしようとするが、保はそれを制し、事を荒立てないためにも自分が話してみると言い出し……。")</f>
        <v>火事で自分のマンションに住めなくなった保(遠藤憲一)が花澤家に転がり込んできた。一時は保との距離を縮めたかに見えた紀一郎(渡部篤郎)だったが、どこかガサツな保の振る舞いにいら立ちを隠せず、静香(和久井映見)をはじめ、自分以外の家族が思いのほか保を歓迎していることも気に食わない。    一方、保とのプチ新婚生活を楽しんでいた美蘭(蓮佛美沙子)は、就職活動真っただ中の妹・真理乃(新川優愛)に恋人がいることを知る。しかも、偶然見かけた相手はどう見ても20歳以上年上!その情報は、砂清水(山崎育三郎)に真理乃の交友関係を調べさせていた紀一郎の耳にも入る。「まさか真理乃まで結婚!?」と胸がざわつく紀一郎は、何とか真理乃から彼氏のことを聞き出そうとするが、あえなく失敗。そこで、同じく事情を知っているらしい保と美蘭と手を組み、情報を共有することに。やがて、真理乃の彼氏について調べ始めた保は、男の勤務先を突き止める。しかし、聞き込みで分かったのは男のとんでもない素性!それを聞いた美蘭はすぐさま真理乃と話をしようとするが、保はそれを制し、事を荒立てないためにも自分が話してみると言い出し……。</v>
      </c>
      <c r="N470" s="2"/>
      <c r="O470" s="2"/>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row>
    <row r="471" ht="204.75" customHeight="1">
      <c r="A471" s="1">
        <v>1773.0</v>
      </c>
      <c r="B471" s="2" t="s">
        <v>1490</v>
      </c>
      <c r="C471" s="2">
        <f>IFERROR(__xludf.DUMMYFUNCTION("split(B471,""_"")"),1601.0)</f>
        <v>1601</v>
      </c>
      <c r="D471" s="2" t="str">
        <f>IFERROR(__xludf.DUMMYFUNCTION("""COMPUTED_VALUE"""),"CX")</f>
        <v>CX</v>
      </c>
      <c r="E471" s="2" t="str">
        <f>IFERROR(__xludf.DUMMYFUNCTION("""COMPUTED_VALUE"""),"火22")</f>
        <v>火22</v>
      </c>
      <c r="F471" s="2" t="s">
        <v>1491</v>
      </c>
      <c r="G471" s="2" t="s">
        <v>1513</v>
      </c>
      <c r="H471" s="1">
        <v>8.0</v>
      </c>
      <c r="I471" s="1" t="s">
        <v>29</v>
      </c>
      <c r="J471" s="1" t="s">
        <v>86</v>
      </c>
      <c r="K471" s="2" t="s">
        <v>1514</v>
      </c>
      <c r="L471" s="2" t="s">
        <v>1515</v>
      </c>
      <c r="M471" s="2" t="str">
        <f>IFERROR(__xludf.DUMMYFUNCTION("split(split(K471,""遠藤憲一　"",false),""公式LINE"",false)"),"真理乃(新川優愛)から、紀一郎(渡部篤郎)が保(遠藤憲一)のことを褒めていたと聞き、嬉しくてたまらない美蘭(蓮佛美沙子)は、そろそろ式場を探そうと提案するが、当の保は、紀一郎のいつにも増して厳しい視線が気になり、それどころではない。一方、前夜の保の携帯にかかってきた電話で保に女のかげを感じた紀一郎は、「うそであってほしい…」と願いながらも、胸のモヤモヤを晴らすべく、再び砂清水(山崎育三郎)に保の調査を命じる。するとその矢先、街中で保が小学生の男の子と手をつないで歩く姿を目撃!その姿はまるで親子のようでーー"&amp;"!?    その晩、まだリフォーム中の保のマンションに、昼間、紀一郎が見かけた男の子の姿があった。母親は、保が10年前に別れた元恋人で、ある事情から、息子といっしょに保の部屋に身を潜めていたのだ。しかし紀一郎は保に隠し子がいると思い、怒りに震えるが、幸せそうな美蘭にはとても言い出せない。その頃、葉理男(中村倫也)は母・静香(和久井映見)の動向が気になっていた。静香のSNSには外出先で撮った楽しそうな写真の数々がアップされ、近頃は家を空けることも少なくない。葉理男は不穏な空気を感じる。    そんななか、砂"&amp;"清水たちと酒を飲んだ保が泥酔して帰ってくる。上着を脱がせた美蘭は、ポケットに入っていた小学校の保護者章を見つけてしまいーー!?")</f>
        <v>真理乃(新川優愛)から、紀一郎(渡部篤郎)が保(遠藤憲一)のことを褒めていたと聞き、嬉しくてたまらない美蘭(蓮佛美沙子)は、そろそろ式場を探そうと提案するが、当の保は、紀一郎のいつにも増して厳しい視線が気になり、それどころではない。一方、前夜の保の携帯にかかってきた電話で保に女のかげを感じた紀一郎は、「うそであってほしい…」と願いながらも、胸のモヤモヤを晴らすべく、再び砂清水(山崎育三郎)に保の調査を命じる。するとその矢先、街中で保が小学生の男の子と手をつないで歩く姿を目撃!その姿はまるで親子のようでーー!?    その晩、まだリフォーム中の保のマンションに、昼間、紀一郎が見かけた男の子の姿があった。母親は、保が10年前に別れた元恋人で、ある事情から、息子といっしょに保の部屋に身を潜めていたのだ。しかし紀一郎は保に隠し子がいると思い、怒りに震えるが、幸せそうな美蘭にはとても言い出せない。その頃、葉理男(中村倫也)は母・静香(和久井映見)の動向が気になっていた。静香のSNSには外出先で撮った楽しそうな写真の数々がアップされ、近頃は家を空けることも少なくない。葉理男は不穏な空気を感じる。    そんななか、砂清水たちと酒を飲んだ保が泥酔して帰ってくる。上着を脱がせた美蘭は、ポケットに入っていた小学校の保護者章を見つけてしまいーー!?</v>
      </c>
      <c r="N471" s="2"/>
      <c r="O471" s="2"/>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row>
    <row r="472" ht="204.75" customHeight="1">
      <c r="A472" s="1">
        <v>1774.0</v>
      </c>
      <c r="B472" s="2" t="s">
        <v>1490</v>
      </c>
      <c r="C472" s="2">
        <f>IFERROR(__xludf.DUMMYFUNCTION("split(B472,""_"")"),1601.0)</f>
        <v>1601</v>
      </c>
      <c r="D472" s="2" t="str">
        <f>IFERROR(__xludf.DUMMYFUNCTION("""COMPUTED_VALUE"""),"CX")</f>
        <v>CX</v>
      </c>
      <c r="E472" s="2" t="str">
        <f>IFERROR(__xludf.DUMMYFUNCTION("""COMPUTED_VALUE"""),"火22")</f>
        <v>火22</v>
      </c>
      <c r="F472" s="2" t="s">
        <v>1491</v>
      </c>
      <c r="G472" s="2" t="s">
        <v>1516</v>
      </c>
      <c r="H472" s="1">
        <v>9.0</v>
      </c>
      <c r="I472" s="1" t="s">
        <v>33</v>
      </c>
      <c r="J472" s="1" t="s">
        <v>86</v>
      </c>
      <c r="K472" s="2" t="s">
        <v>1517</v>
      </c>
      <c r="L472" s="2" t="s">
        <v>1518</v>
      </c>
      <c r="M472" s="2" t="str">
        <f>IFERROR(__xludf.DUMMYFUNCTION("split(split(K472,""遠藤憲一　"",false),""公式LINE"",false)"),"静香(和久井映見)が離婚届を残して家を出て行った。行き先に心当たりもなく美蘭(蓮佛美沙子)や葉理男(中村倫也)は心配するが、帰ってきた紀一郎(渡部篤郎)は慌てるどころか「アイドルのコンサートツアーにでも行ってるんじゃないの?」とあっけらかん。それもそのはず、紀一郎は会社で巨額の損失の全責任を押しつけられ失脚目前。とても家庭内のことに構っていられるような状況ではなかったのだ。唯一、紀一郎が窮地に陥っていることを人づてに聞いていた保(遠藤憲一)はサラリーマンとして崖っぷちに立たされた紀一郎の心中を察しつつも、"&amp;"夫として花澤家の家長として今は静香を迎えに行くべきだと紀一郎を説得。しかし、紀一郎は「男がいるなら行けばいい。そんな女房はこっちから願い下げだ」と三くだり半を突きつけ強がるばかり。  一方、美蘭はひそかに静香のパソコンを調べていた。すると、静香が学生時代の恋人と頻繁に連絡を取っていたことが判明。さらに、SNSの情報から海辺にいることが分かるが詳しい場所までは特定できない。そんなある日、砂清水(山崎育三郎)から出張先で静香を見かけたと連絡が入る。急いで駆けつけた美蘭に静香はかつての恋人との関係やこれまで誰に"&amp;"も言えなかった胸の内を明かし……。  はたして静香は家族が待つ花澤家に戻るのか!?そして、保が紀一郎に認められ晴れて美蘭と夫婦になる日はくるのか!?28歳差カップルの行く末をお見逃しなく!")</f>
        <v>静香(和久井映見)が離婚届を残して家を出て行った。行き先に心当たりもなく美蘭(蓮佛美沙子)や葉理男(中村倫也)は心配するが、帰ってきた紀一郎(渡部篤郎)は慌てるどころか「アイドルのコンサートツアーにでも行ってるんじゃないの?」とあっけらかん。それもそのはず、紀一郎は会社で巨額の損失の全責任を押しつけられ失脚目前。とても家庭内のことに構っていられるような状況ではなかったのだ。唯一、紀一郎が窮地に陥っていることを人づてに聞いていた保(遠藤憲一)はサラリーマンとして崖っぷちに立たされた紀一郎の心中を察しつつも、夫として花澤家の家長として今は静香を迎えに行くべきだと紀一郎を説得。しかし、紀一郎は「男がいるなら行けばいい。そんな女房はこっちから願い下げだ」と三くだり半を突きつけ強がるばかり。  一方、美蘭はひそかに静香のパソコンを調べていた。すると、静香が学生時代の恋人と頻繁に連絡を取っていたことが判明。さらに、SNSの情報から海辺にいることが分かるが詳しい場所までは特定できない。そんなある日、砂清水(山崎育三郎)から出張先で静香を見かけたと連絡が入る。急いで駆けつけた美蘭に静香はかつての恋人との関係やこれまで誰にも言えなかった胸の内を明かし……。  はたして静香は家族が待つ花澤家に戻るのか!?そして、保が紀一郎に認められ晴れて美蘭と夫婦になる日はくるのか!?28歳差カップルの行く末をお見逃しなく!</v>
      </c>
      <c r="N472" s="2"/>
      <c r="O472" s="2"/>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row>
    <row r="473" ht="204.75" customHeight="1">
      <c r="A473" s="1">
        <v>1795.0</v>
      </c>
      <c r="B473" s="2" t="s">
        <v>1519</v>
      </c>
      <c r="C473" s="2">
        <f>IFERROR(__xludf.DUMMYFUNCTION("split(B473,""_"")"),1601.0)</f>
        <v>1601</v>
      </c>
      <c r="D473" s="2" t="str">
        <f>IFERROR(__xludf.DUMMYFUNCTION("""COMPUTED_VALUE"""),"CX")</f>
        <v>CX</v>
      </c>
      <c r="E473" s="2" t="str">
        <f>IFERROR(__xludf.DUMMYFUNCTION("""COMPUTED_VALUE"""),"水22")</f>
        <v>水22</v>
      </c>
      <c r="F473" s="2" t="s">
        <v>1520</v>
      </c>
      <c r="G473" s="2" t="s">
        <v>1521</v>
      </c>
      <c r="H473" s="1">
        <v>1.0</v>
      </c>
      <c r="I473" s="1" t="s">
        <v>3</v>
      </c>
      <c r="J473" s="1" t="s">
        <v>82</v>
      </c>
      <c r="K473" s="2" t="s">
        <v>1522</v>
      </c>
      <c r="L473" s="2" t="s">
        <v>1523</v>
      </c>
      <c r="M473" s="2" t="str">
        <f>IFERROR(__xludf.DUMMYFUNCTION("split(split(K473,""長瀬智也　"",false),""ぜひご覧ください!!"",false)"),"番組公式ホームページ　  http://www.fujitv.co.jp/FG/index.html　    番組公式Twitter  〈公式〉フラジャイル〈ドラマ〉  #フラジャイル    ")</f>
        <v>番組公式ホームページ　  http://www.fujitv.co.jp/FG/index.html　    番組公式Twitter  〈公式〉フラジャイル〈ドラマ〉  #フラジャイル    </v>
      </c>
      <c r="N473" s="2" t="str">
        <f>IFERROR(__xludf.DUMMYFUNCTION("""COMPUTED_VALUE"""),"　壮望会第一総合病院病理診断科の岸京一郎(長瀬智也)は一癖も二癖もある病理医。医師たちに煙たがられる厄介者だが、岸の判断に逆らえるものはいない。“強烈な変人だが極めて優秀""と評される男なのだ。  　岸と同じ病院で働く新米の神経内科医、宮崎智尋(武井咲)は先輩医師の高坂英利(平岳大)に小言を言われる毎日。仕事の効率を優先する高坂に疑問を持つ宮崎だが、反論出来ない。そんな時、転倒して頭を打った女子高生、景山花梨(上白石萌歌)が入院。腰痛を訴える花梨に、椎間板変性の可能性を伝える高坂だが、宮崎は納得出来ない。"&amp;"宮崎は詳しい検査が必要だと思っていた。  　翌日、神経内科のカンファレンスが行われ、高坂は花梨の症状を報告。他の医師たちが高坂に同意する中、宮崎は自分の意見を言えずにいた。すると、スーツ姿の男が発言を求める。岸だ。岸は初期的な検査だけで病状を決めつける高坂の診断に猛反論。ついには、神経内科部長から椎間板変性確定のために花梨の腰のMRI検査を約束させた。  　病理診断科に戻った岸が検査技師の森井久志(野村周平)と仕事を始めようとすると宮崎が来た。花梨が椎間板変性ではないと疑っていた宮崎は、岸に直接患者を診て"&amp;"ほしいと頼むが断られてしまう。宮崎は自分の疑いをカンファレンスで言えなかったことを岸に責められる。それでも食い下がる宮崎に、岸は花梨が転んだ理由を探るよう指示すると…。")</f>
        <v>　壮望会第一総合病院病理診断科の岸京一郎(長瀬智也)は一癖も二癖もある病理医。医師たちに煙たがられる厄介者だが、岸の判断に逆らえるものはいない。“強烈な変人だが極めて優秀"と評される男なのだ。  　岸と同じ病院で働く新米の神経内科医、宮崎智尋(武井咲)は先輩医師の高坂英利(平岳大)に小言を言われる毎日。仕事の効率を優先する高坂に疑問を持つ宮崎だが、反論出来ない。そんな時、転倒して頭を打った女子高生、景山花梨(上白石萌歌)が入院。腰痛を訴える花梨に、椎間板変性の可能性を伝える高坂だが、宮崎は納得出来ない。宮崎は詳しい検査が必要だと思っていた。  　翌日、神経内科のカンファレンスが行われ、高坂は花梨の症状を報告。他の医師たちが高坂に同意する中、宮崎は自分の意見を言えずにいた。すると、スーツ姿の男が発言を求める。岸だ。岸は初期的な検査だけで病状を決めつける高坂の診断に猛反論。ついには、神経内科部長から椎間板変性確定のために花梨の腰のMRI検査を約束させた。  　病理診断科に戻った岸が検査技師の森井久志(野村周平)と仕事を始めようとすると宮崎が来た。花梨が椎間板変性ではないと疑っていた宮崎は、岸に直接患者を診てほしいと頼むが断られてしまう。宮崎は自分の疑いをカンファレンスで言えなかったことを岸に責められる。それでも食い下がる宮崎に、岸は花梨が転んだ理由を探るよう指示すると…。</v>
      </c>
      <c r="O473" s="2"/>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row>
    <row r="474" ht="204.75" customHeight="1">
      <c r="A474" s="1">
        <v>1796.0</v>
      </c>
      <c r="B474" s="2" t="s">
        <v>1519</v>
      </c>
      <c r="C474" s="2">
        <f>IFERROR(__xludf.DUMMYFUNCTION("split(B474,""_"")"),1601.0)</f>
        <v>1601</v>
      </c>
      <c r="D474" s="2" t="str">
        <f>IFERROR(__xludf.DUMMYFUNCTION("""COMPUTED_VALUE"""),"CX")</f>
        <v>CX</v>
      </c>
      <c r="E474" s="2" t="str">
        <f>IFERROR(__xludf.DUMMYFUNCTION("""COMPUTED_VALUE"""),"水22")</f>
        <v>水22</v>
      </c>
      <c r="F474" s="2" t="s">
        <v>1520</v>
      </c>
      <c r="G474" s="2" t="s">
        <v>1524</v>
      </c>
      <c r="H474" s="1">
        <v>2.0</v>
      </c>
      <c r="I474" s="1" t="s">
        <v>7</v>
      </c>
      <c r="J474" s="1" t="s">
        <v>82</v>
      </c>
      <c r="K474" s="2" t="s">
        <v>1525</v>
      </c>
      <c r="L474" s="2" t="s">
        <v>1526</v>
      </c>
      <c r="M474" s="2" t="str">
        <f>IFERROR(__xludf.DUMMYFUNCTION("split(split(K474,""長瀬智也　"",false),""ぜひご覧ください!!"",false)"),"番組公式ホームページ　  http://www.fujitv.co.jp/FG/index.html　    番組公式Twitter  〈公式〉フラジャイル〈ドラマ〉  #フラジャイル    ")</f>
        <v>番組公式ホームページ　  http://www.fujitv.co.jp/FG/index.html　    番組公式Twitter  〈公式〉フラジャイル〈ドラマ〉  #フラジャイル    </v>
      </c>
      <c r="N474" s="2" t="str">
        <f>IFERROR(__xludf.DUMMYFUNCTION("""COMPUTED_VALUE"""),"　岸京一郎(長瀬智也)に認められ、宮崎智尋(武井咲)は病理診断科で働くことになった。しかし、岸は宮崎に何かを教えようとするそぶりはまったくない。また、宮崎は森井久志(野村周平)からも「自分は技師だから助言はしない」と言われてしまう。そんな職場ということで、今までに来た医師はすぐに辞めていた。部長の佐田直人(津田寛治)は「こんな状態だと病理診断科の存在がなくなる」と岸を諭すが、岸は別の病院へ行くだけだと意に介さない。  　病理診断科に細木まどか(小雪)が現れた。昨日のコンパの成果を聞く森井に、細木は「10秒"&amp;"で帰りたくなったが5分我慢した」と答える。岸は細木の10秒という言葉に何かを思う。  　岸は宮崎を救命救急へ遣いに出す。昨日搬送された患者、大塚洋治(林和義)についての岸の判断だ。救命医の倉木浩介(藤本隆宏)は急性アルコール中毒と診ていたが、病理診断科に伺いを立てたのだ。宮崎は倉木に要件を伝える。岸は詳しい診察が必要だと促していたが、倉木は自分の診断を曲げようとしない。挙げ句、倉木は岸からの書類をゴミ箱に捨ててしまった。  　岸は宮崎に「倉木が考えを変えるような医師ではない」と断言。戸惑う宮崎に、岸は「決"&amp;"定的証拠を突きつけなければいけない」と告げる。  　すると宮崎は「席を空ける」と言って飛び出してしまった。宮崎は大塚が営む時計店に、彼の妻、佐知代(宮地雅子)を訪ねると…。")</f>
        <v>　岸京一郎(長瀬智也)に認められ、宮崎智尋(武井咲)は病理診断科で働くことになった。しかし、岸は宮崎に何かを教えようとするそぶりはまったくない。また、宮崎は森井久志(野村周平)からも「自分は技師だから助言はしない」と言われてしまう。そんな職場ということで、今までに来た医師はすぐに辞めていた。部長の佐田直人(津田寛治)は「こんな状態だと病理診断科の存在がなくなる」と岸を諭すが、岸は別の病院へ行くだけだと意に介さない。  　病理診断科に細木まどか(小雪)が現れた。昨日のコンパの成果を聞く森井に、細木は「10秒で帰りたくなったが5分我慢した」と答える。岸は細木の10秒という言葉に何かを思う。  　岸は宮崎を救命救急へ遣いに出す。昨日搬送された患者、大塚洋治(林和義)についての岸の判断だ。救命医の倉木浩介(藤本隆宏)は急性アルコール中毒と診ていたが、病理診断科に伺いを立てたのだ。宮崎は倉木に要件を伝える。岸は詳しい診察が必要だと促していたが、倉木は自分の診断を曲げようとしない。挙げ句、倉木は岸からの書類をゴミ箱に捨ててしまった。  　岸は宮崎に「倉木が考えを変えるような医師ではない」と断言。戸惑う宮崎に、岸は「決定的証拠を突きつけなければいけない」と告げる。  　すると宮崎は「席を空ける」と言って飛び出してしまった。宮崎は大塚が営む時計店に、彼の妻、佐知代(宮地雅子)を訪ねると…。</v>
      </c>
      <c r="O474" s="2"/>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row>
    <row r="475" ht="204.75" customHeight="1">
      <c r="A475" s="1">
        <v>1797.0</v>
      </c>
      <c r="B475" s="2" t="s">
        <v>1519</v>
      </c>
      <c r="C475" s="2">
        <f>IFERROR(__xludf.DUMMYFUNCTION("split(B475,""_"")"),1601.0)</f>
        <v>1601</v>
      </c>
      <c r="D475" s="2" t="str">
        <f>IFERROR(__xludf.DUMMYFUNCTION("""COMPUTED_VALUE"""),"CX")</f>
        <v>CX</v>
      </c>
      <c r="E475" s="2" t="str">
        <f>IFERROR(__xludf.DUMMYFUNCTION("""COMPUTED_VALUE"""),"水22")</f>
        <v>水22</v>
      </c>
      <c r="F475" s="2" t="s">
        <v>1520</v>
      </c>
      <c r="G475" s="2" t="s">
        <v>1527</v>
      </c>
      <c r="H475" s="1">
        <v>3.0</v>
      </c>
      <c r="I475" s="1" t="s">
        <v>10</v>
      </c>
      <c r="J475" s="1" t="s">
        <v>86</v>
      </c>
      <c r="K475" s="2" t="s">
        <v>1528</v>
      </c>
      <c r="L475" s="2" t="s">
        <v>1529</v>
      </c>
      <c r="M475" s="2" t="str">
        <f>IFERROR(__xludf.DUMMYFUNCTION("split(split(K475,""長瀬智也　"",false),""ぜひご覧ください!!"",false)"),"番組公式ホームページ　  http://www.fujitv.co.jp/FG/index.html　    番組公式Twitter  〈公式〉フラジャイル〈ドラマ〉  #フラジャイル    ")</f>
        <v>番組公式ホームページ　  http://www.fujitv.co.jp/FG/index.html　    番組公式Twitter  〈公式〉フラジャイル〈ドラマ〉  #フラジャイル    </v>
      </c>
      <c r="N475" s="2" t="str">
        <f>IFERROR(__xludf.DUMMYFUNCTION("""COMPUTED_VALUE"""),"　岸京一郎(長瀬智也)が電話口で相手を怒鳴りつける病理診断科の朝。細木まどか(小雪)も顔を出す。電話を終えた岸は、宮崎智尋(武井咲)に診断を受け持つように指示。診断のチェック方法を尋ねる宮崎だが、岸は確認しないと言う。戸惑う宮崎に、細木や森井久志(野村周平)は何の助け舟も出さない。  　宮崎が岸に意見しようと追うと、ロビーで白根由希子(原田佳奈)、智文(清水伸)夫婦に会った。大腸の内視鏡検査を受けるという由希子を宮崎が案内する。  　岸は消化器内科のカンファレンスに出席。宮崎が遅れて会議室に入ると、いつも"&amp;"のように医師の報告に文句をつける岸。しかし今回は岸の意見に最初から同意する中西篤也(中村俊介)が現れた。  　その中西が病理診断科に現れ、内視鏡検査を行う由希子の最初の疾患鑑別を岸に求める。中西自身は回盲部(小腸と大腸のつなぎ目付近)に何かあると見ているが、岸は答えない。それでも岸に診断を任せると言う中西。  　由希子の内視鏡検査が行われ、組織片が病理診断部に送られてきた。クローン病を疑う中西だが、岸は確定できないと答える。その後も中西は何度も由希子の内視鏡検査を行うが、岸は病気の確定をしない。  　そん"&amp;"な時、宮崎は中熊薫(北大路欣也)と昼食。岸と中西の話をする宮崎に、中熊は苦笑い。その夜、宮崎は森井に誘われる。少しドキドキの宮崎だが、居酒屋で火箱直美(松井玲奈)という女性を紹介されて…。")</f>
        <v>　岸京一郎(長瀬智也)が電話口で相手を怒鳴りつける病理診断科の朝。細木まどか(小雪)も顔を出す。電話を終えた岸は、宮崎智尋(武井咲)に診断を受け持つように指示。診断のチェック方法を尋ねる宮崎だが、岸は確認しないと言う。戸惑う宮崎に、細木や森井久志(野村周平)は何の助け舟も出さない。  　宮崎が岸に意見しようと追うと、ロビーで白根由希子(原田佳奈)、智文(清水伸)夫婦に会った。大腸の内視鏡検査を受けるという由希子を宮崎が案内する。  　岸は消化器内科のカンファレンスに出席。宮崎が遅れて会議室に入ると、いつものように医師の報告に文句をつける岸。しかし今回は岸の意見に最初から同意する中西篤也(中村俊介)が現れた。  　その中西が病理診断科に現れ、内視鏡検査を行う由希子の最初の疾患鑑別を岸に求める。中西自身は回盲部(小腸と大腸のつなぎ目付近)に何かあると見ているが、岸は答えない。それでも岸に診断を任せると言う中西。  　由希子の内視鏡検査が行われ、組織片が病理診断部に送られてきた。クローン病を疑う中西だが、岸は確定できないと答える。その後も中西は何度も由希子の内視鏡検査を行うが、岸は病気の確定をしない。  　そんな時、宮崎は中熊薫(北大路欣也)と昼食。岸と中西の話をする宮崎に、中熊は苦笑い。その夜、宮崎は森井に誘われる。少しドキドキの宮崎だが、居酒屋で火箱直美(松井玲奈)という女性を紹介されて…。</v>
      </c>
      <c r="O475" s="2"/>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row>
    <row r="476" ht="204.75" customHeight="1">
      <c r="A476" s="1">
        <v>1798.0</v>
      </c>
      <c r="B476" s="2" t="s">
        <v>1519</v>
      </c>
      <c r="C476" s="2">
        <f>IFERROR(__xludf.DUMMYFUNCTION("split(B476,""_"")"),1601.0)</f>
        <v>1601</v>
      </c>
      <c r="D476" s="2" t="str">
        <f>IFERROR(__xludf.DUMMYFUNCTION("""COMPUTED_VALUE"""),"CX")</f>
        <v>CX</v>
      </c>
      <c r="E476" s="2" t="str">
        <f>IFERROR(__xludf.DUMMYFUNCTION("""COMPUTED_VALUE"""),"水22")</f>
        <v>水22</v>
      </c>
      <c r="F476" s="2" t="s">
        <v>1520</v>
      </c>
      <c r="G476" s="2" t="s">
        <v>1530</v>
      </c>
      <c r="H476" s="1">
        <v>4.0</v>
      </c>
      <c r="I476" s="1" t="s">
        <v>14</v>
      </c>
      <c r="J476" s="1" t="s">
        <v>86</v>
      </c>
      <c r="K476" s="2" t="s">
        <v>1531</v>
      </c>
      <c r="L476" s="2" t="s">
        <v>1532</v>
      </c>
      <c r="M476" s="2" t="str">
        <f>IFERROR(__xludf.DUMMYFUNCTION("split(split(K476,""長瀬智也　"",false),""ぜひご覧ください!!"",false)"),"番組公式ホームページ　  http://www.fujitv.co.jp/FG/index.html　    番組公式Twitter  〈公式〉フラジャイル〈ドラマ〉  #フラジャイル    ")</f>
        <v>番組公式ホームページ　  http://www.fujitv.co.jp/FG/index.html　    番組公式Twitter  〈公式〉フラジャイル〈ドラマ〉  #フラジャイル    </v>
      </c>
      <c r="N476" s="2" t="str">
        <f>IFERROR(__xludf.DUMMYFUNCTION("""COMPUTED_VALUE"""),"　岸京一郎(長瀬智也)が病理診断科に出勤すると、宮崎智尋(武井咲)が病理の本を広げて勉強中。宮崎を褒める岸は、この日行われるアミノ製薬の勉強会に出てみないかと持ちかける。仕事があると断ろうとする宮崎に、岸は豪華な弁当が出るとあおり、今日の仕事も自分が全部やると請け負った。そこまで上司に勧められれば断る道理はない。早速、宮崎は出かけることに。そんな岸を、森井久志(野村周平)は半ばあきれて見ていた。　外科医の細木まどか(小雪)は患者の安田春香(中越典子)の病室にいた。子宮の検査結果を聞く春香に、細木はまだ出て"&amp;"いないと答える。そして、細木は悪性腫瘍の場合、子宮全摘手術が必要と説明。すると春香はもう一人子どもが生みたいと細木に訴える。  　勉強会の会場で、宮崎は火箱直美(松井玲奈)に岸は来ないのかと聞かれる。代わりに来たと言う宮崎に、火箱が焦りだす。岸は講演を頼まれていたのだ。火箱から講演の代行を頼まれる宮崎だが務まるはずもなく、慌てて帰ろうとするが…。  　岸は春香の病理診断を迷っていた。そこに宮崎が怒りながら戻ってくる。実は岸の講演予定を知っていた森井が尋ねると、宮崎は会場にいた中熊薫(北大路欣也)が代行して"&amp;"くれたと答えた。  　春香の診断に迷う岸は、中熊に相談。中熊は岸の診断を肯定も否定もしない。それでも岸は細木に自分の診断を報告する。その報告が岸と細木の仲違いを生んでしまうことに…。")</f>
        <v>　岸京一郎(長瀬智也)が病理診断科に出勤すると、宮崎智尋(武井咲)が病理の本を広げて勉強中。宮崎を褒める岸は、この日行われるアミノ製薬の勉強会に出てみないかと持ちかける。仕事があると断ろうとする宮崎に、岸は豪華な弁当が出るとあおり、今日の仕事も自分が全部やると請け負った。そこまで上司に勧められれば断る道理はない。早速、宮崎は出かけることに。そんな岸を、森井久志(野村周平)は半ばあきれて見ていた。　外科医の細木まどか(小雪)は患者の安田春香(中越典子)の病室にいた。子宮の検査結果を聞く春香に、細木はまだ出ていないと答える。そして、細木は悪性腫瘍の場合、子宮全摘手術が必要と説明。すると春香はもう一人子どもが生みたいと細木に訴える。  　勉強会の会場で、宮崎は火箱直美(松井玲奈)に岸は来ないのかと聞かれる。代わりに来たと言う宮崎に、火箱が焦りだす。岸は講演を頼まれていたのだ。火箱から講演の代行を頼まれる宮崎だが務まるはずもなく、慌てて帰ろうとするが…。  　岸は春香の病理診断を迷っていた。そこに宮崎が怒りながら戻ってくる。実は岸の講演予定を知っていた森井が尋ねると、宮崎は会場にいた中熊薫(北大路欣也)が代行してくれたと答えた。  　春香の診断に迷う岸は、中熊に相談。中熊は岸の診断を肯定も否定もしない。それでも岸は細木に自分の診断を報告する。その報告が岸と細木の仲違いを生んでしまうことに…。</v>
      </c>
      <c r="O476" s="2"/>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row>
    <row r="477" ht="204.75" customHeight="1">
      <c r="A477" s="1">
        <v>1799.0</v>
      </c>
      <c r="B477" s="2" t="s">
        <v>1519</v>
      </c>
      <c r="C477" s="2">
        <f>IFERROR(__xludf.DUMMYFUNCTION("split(B477,""_"")"),1601.0)</f>
        <v>1601</v>
      </c>
      <c r="D477" s="2" t="str">
        <f>IFERROR(__xludf.DUMMYFUNCTION("""COMPUTED_VALUE"""),"CX")</f>
        <v>CX</v>
      </c>
      <c r="E477" s="2" t="str">
        <f>IFERROR(__xludf.DUMMYFUNCTION("""COMPUTED_VALUE"""),"水22")</f>
        <v>水22</v>
      </c>
      <c r="F477" s="2" t="s">
        <v>1520</v>
      </c>
      <c r="G477" s="2" t="s">
        <v>1533</v>
      </c>
      <c r="H477" s="1">
        <v>5.0</v>
      </c>
      <c r="I477" s="1" t="s">
        <v>17</v>
      </c>
      <c r="J477" s="1" t="s">
        <v>86</v>
      </c>
      <c r="K477" s="2" t="s">
        <v>1534</v>
      </c>
      <c r="L477" s="2" t="s">
        <v>1535</v>
      </c>
      <c r="M477" s="2" t="str">
        <f>IFERROR(__xludf.DUMMYFUNCTION("split(split(K477,""長瀬智也　"",false),""ぜひご覧ください!!"",false)"),"番組公式ホームページ　  http://www.fujitv.co.jp/FG/index.html　    番組公式Twitter  〈公式〉フラジャイル〈ドラマ〉  #フラジャイル    ")</f>
        <v>番組公式ホームページ　  http://www.fujitv.co.jp/FG/index.html　    番組公式Twitter  〈公式〉フラジャイル〈ドラマ〉  #フラジャイル    </v>
      </c>
      <c r="N477" s="2" t="str">
        <f>IFERROR(__xludf.DUMMYFUNCTION("""COMPUTED_VALUE"""),"　岸京一郎(長瀬智也)は、宮崎智尋(武井咲)が診断した結果を女性外科のカンファレンスで発表するよう指示。自分の診断を初めて発表することになった宮崎は気合が入る。しかし、居合わせた細木まどか(小雪)に楽しみだとからかわれると、宮崎は緊張するので止めてほしいと頼む。宮崎はあがり症で、子供の頃のピアノ発表会でも緊張したそう。ピアノという言葉に反応した佐田直人(津田寛治)に、宮崎は院内コンサートの出演スタッフにされてしまう。  　そんな夜、森井久志(野村周平)が帰ろうとすると、これから腫瘍内科に入院する小早川洋行"&amp;"(安田章大)という患者と出会う。入院しなくてはいけないのに笑顔の小早川に森井は違和感を覚えた。その後、主治医と会った小早川は緩和ケア科への転科を承諾。小早川は余命宣告された患者だった。  　翌日、森井は岸に小早川のカルテを見せてもらう。小早川は岸の病理診断でも治癒が望まれる病気ではなかった。カルテを見ていた岸は、ある抗がん剤を試していないことに気づく。森井は興味を示すが、宮崎はその抗がん剤は特定のがんにしか効かないと言う。また、岸は保険が効かない薬なので大変に高価だと補足。  　買い物に出かけた森井は、再"&amp;"会した小早川と一緒に出かける。途中、人生でやり残したことはないが、唯一、音大に入って作曲したかったと話す小早川。それも今の状態ではと諦めている小早川に、森井は…。")</f>
        <v>　岸京一郎(長瀬智也)は、宮崎智尋(武井咲)が診断した結果を女性外科のカンファレンスで発表するよう指示。自分の診断を初めて発表することになった宮崎は気合が入る。しかし、居合わせた細木まどか(小雪)に楽しみだとからかわれると、宮崎は緊張するので止めてほしいと頼む。宮崎はあがり症で、子供の頃のピアノ発表会でも緊張したそう。ピアノという言葉に反応した佐田直人(津田寛治)に、宮崎は院内コンサートの出演スタッフにされてしまう。  　そんな夜、森井久志(野村周平)が帰ろうとすると、これから腫瘍内科に入院する小早川洋行(安田章大)という患者と出会う。入院しなくてはいけないのに笑顔の小早川に森井は違和感を覚えた。その後、主治医と会った小早川は緩和ケア科への転科を承諾。小早川は余命宣告された患者だった。  　翌日、森井は岸に小早川のカルテを見せてもらう。小早川は岸の病理診断でも治癒が望まれる病気ではなかった。カルテを見ていた岸は、ある抗がん剤を試していないことに気づく。森井は興味を示すが、宮崎はその抗がん剤は特定のがんにしか効かないと言う。また、岸は保険が効かない薬なので大変に高価だと補足。  　買い物に出かけた森井は、再会した小早川と一緒に出かける。途中、人生でやり残したことはないが、唯一、音大に入って作曲したかったと話す小早川。それも今の状態ではと諦めている小早川に、森井は…。</v>
      </c>
      <c r="O477" s="2"/>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row>
    <row r="478" ht="204.75" customHeight="1">
      <c r="A478" s="1">
        <v>1800.0</v>
      </c>
      <c r="B478" s="2" t="s">
        <v>1519</v>
      </c>
      <c r="C478" s="2">
        <f>IFERROR(__xludf.DUMMYFUNCTION("split(B478,""_"")"),1601.0)</f>
        <v>1601</v>
      </c>
      <c r="D478" s="2" t="str">
        <f>IFERROR(__xludf.DUMMYFUNCTION("""COMPUTED_VALUE"""),"CX")</f>
        <v>CX</v>
      </c>
      <c r="E478" s="2" t="str">
        <f>IFERROR(__xludf.DUMMYFUNCTION("""COMPUTED_VALUE"""),"水22")</f>
        <v>水22</v>
      </c>
      <c r="F478" s="2" t="s">
        <v>1520</v>
      </c>
      <c r="G478" s="2" t="s">
        <v>1536</v>
      </c>
      <c r="H478" s="1">
        <v>6.0</v>
      </c>
      <c r="I478" s="1" t="s">
        <v>21</v>
      </c>
      <c r="J478" s="1" t="s">
        <v>82</v>
      </c>
      <c r="K478" s="2" t="s">
        <v>1537</v>
      </c>
      <c r="L478" s="2" t="s">
        <v>1538</v>
      </c>
      <c r="M478" s="2" t="str">
        <f>IFERROR(__xludf.DUMMYFUNCTION("split(split(K478,""長瀬智也　"",false),""ぜひご覧ください!!"",false)"),"番組公式ホームページ　  http://www.fujitv.co.jp/FG/index.html　    番組公式Twitter  〈公式〉フラジャイル〈ドラマ〉  #フラジャイル    ")</f>
        <v>番組公式ホームページ　  http://www.fujitv.co.jp/FG/index.html　    番組公式Twitter  〈公式〉フラジャイル〈ドラマ〉  #フラジャイル    </v>
      </c>
      <c r="N478" s="2" t="str">
        <f>IFERROR(__xludf.DUMMYFUNCTION("""COMPUTED_VALUE"""),"　壮望会第一総合病院、病理診断科はその存続のため、セカンドオピニオンなどに対応する診療相談外来を受け持つことになる。医師の岸京一郎(長瀬智也)と宮崎智尋(武井咲)が担当するのだが、初日から雲行きが怪しい。患者と会わなくて済むから病理医になったと口にする岸に我慢できるかどうかは疑わしい。森井久志(野村周平)は1日ぐらい大丈夫だろうと予想するが、細木まどか(小雪)は半日も持たないと断言する。　案の定、岸は間もなく病理診断科に戻ってきてしまった。相談外来を提案した中熊薫(北大路欣也)と佐田直人(津田寛治)もあき"&amp;"れてしまう。何より迷惑なのは1人で相談外来を任された宮崎だった。  　その宮崎のもとに、須藤由美(赤間麻里子)が娘の玲奈(村上穂乃佳)を連れてやって来た。玲奈の薬が何度も変わることに不安を覚える由美だが、宮崎には治療も薬の処方も妥当に思える。そこに中熊が現れ、すぐに玲奈の状況を的確に当てた。感心する宮崎に中熊は自分なりの患者の見方を見つければいいと助言する。  　翌日、宮崎1人の相談外来に紹介状なしで梅木みゆき(山崎紘菜)が訪ねて来た。みゆきは、急病で入院した息子の診断が次々変わるので、どうしたら良いかわ"&amp;"からないと宮崎に訴える。宮崎は担当医の紹介状をもらってきて欲しいと伝えた。  　みゆきは早速、息子の担当医、奈良井(篠井英介)に紹介状を頼む。しかし、奈良井の表情は曇り…。")</f>
        <v>　壮望会第一総合病院、病理診断科はその存続のため、セカンドオピニオンなどに対応する診療相談外来を受け持つことになる。医師の岸京一郎(長瀬智也)と宮崎智尋(武井咲)が担当するのだが、初日から雲行きが怪しい。患者と会わなくて済むから病理医になったと口にする岸に我慢できるかどうかは疑わしい。森井久志(野村周平)は1日ぐらい大丈夫だろうと予想するが、細木まどか(小雪)は半日も持たないと断言する。　案の定、岸は間もなく病理診断科に戻ってきてしまった。相談外来を提案した中熊薫(北大路欣也)と佐田直人(津田寛治)もあきれてしまう。何より迷惑なのは1人で相談外来を任された宮崎だった。  　その宮崎のもとに、須藤由美(赤間麻里子)が娘の玲奈(村上穂乃佳)を連れてやって来た。玲奈の薬が何度も変わることに不安を覚える由美だが、宮崎には治療も薬の処方も妥当に思える。そこに中熊が現れ、すぐに玲奈の状況を的確に当てた。感心する宮崎に中熊は自分なりの患者の見方を見つければいいと助言する。  　翌日、宮崎1人の相談外来に紹介状なしで梅木みゆき(山崎紘菜)が訪ねて来た。みゆきは、急病で入院した息子の診断が次々変わるので、どうしたら良いかわからないと宮崎に訴える。宮崎は担当医の紹介状をもらってきて欲しいと伝えた。  　みゆきは早速、息子の担当医、奈良井(篠井英介)に紹介状を頼む。しかし、奈良井の表情は曇り…。</v>
      </c>
      <c r="O478" s="2"/>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row>
    <row r="479" ht="204.75" customHeight="1">
      <c r="A479" s="1">
        <v>1801.0</v>
      </c>
      <c r="B479" s="2" t="s">
        <v>1519</v>
      </c>
      <c r="C479" s="2">
        <f>IFERROR(__xludf.DUMMYFUNCTION("split(B479,""_"")"),1601.0)</f>
        <v>1601</v>
      </c>
      <c r="D479" s="2" t="str">
        <f>IFERROR(__xludf.DUMMYFUNCTION("""COMPUTED_VALUE"""),"CX")</f>
        <v>CX</v>
      </c>
      <c r="E479" s="2" t="str">
        <f>IFERROR(__xludf.DUMMYFUNCTION("""COMPUTED_VALUE"""),"水22")</f>
        <v>水22</v>
      </c>
      <c r="F479" s="2" t="s">
        <v>1520</v>
      </c>
      <c r="G479" s="2" t="s">
        <v>1539</v>
      </c>
      <c r="H479" s="1">
        <v>7.0</v>
      </c>
      <c r="I479" s="1" t="s">
        <v>25</v>
      </c>
      <c r="J479" s="1" t="s">
        <v>86</v>
      </c>
      <c r="K479" s="2" t="s">
        <v>1540</v>
      </c>
      <c r="L479" s="2" t="s">
        <v>1541</v>
      </c>
      <c r="M479" s="2" t="str">
        <f>IFERROR(__xludf.DUMMYFUNCTION("split(split(K479,""長瀬智也　"",false),""ぜひご覧ください!!"",false)"),"番組公式ホームページ　  http://www.fujitv.co.jp/FG/index.html　    番組公式Twitter  〈公式〉フラジャイル〈ドラマ〉  #フラジャイル    ")</f>
        <v>番組公式ホームページ　  http://www.fujitv.co.jp/FG/index.html　    番組公式Twitter  〈公式〉フラジャイル〈ドラマ〉  #フラジャイル    </v>
      </c>
      <c r="N479" s="2" t="str">
        <f>IFERROR(__xludf.DUMMYFUNCTION("""COMPUTED_VALUE"""),"　岸京一郎(長瀬智也)は、かつて世話になった定年間近の放射線診断医、高柴善太郎(志賀廣太郎)に宮崎智尋(武井咲)を預ける。岸はその件を宮崎本人には伝えなかった。  　呼吸器外科のカンファレンスに1人で出向いた宮崎は、医師の診療方針に意見する高柴と出会う。岸とは正反対の低姿勢で発言し、医師にさらなる検査を納得させる高柴に宮崎は注目。そんな宮崎を高柴は放射線診断科に招待し仕事を説明する。  　一方、岸は佐田直人(津田寛治)に引っ張られ経営会議に出席。佐田は理事長(志賀圭二郎)に病理の診療相談外来の開設をほめら"&amp;"れるが、人員整理を含めたさらなる経費削減を求められる。  　その夜、宮崎が森井久志(野村周平)、火箱直美(松井玲奈)と出かけた居酒屋に佐田がいた。そして、宮崎は高柴が佐田の指導医だったことを知る。  　宮崎は高柴と消化器外科のカンファレンスで顔を合わす。細木まどか(小雪)も同席。細木が胃がんを発見した患者、北山奈央(ハマカワフミエ)の診療方針が議題だからだ。奈央を担当した副院長でもある岡崎(中丸新将)は早期胃がんだったためESD(内視鏡治療)を行ったと説明。しかし肝臓への転移が疑われるため化学療法後の切除"&amp;"をする方針だと言う。高柴や細木、そして宮崎も再検査を求めるが、岡崎は応じない。その様子を岸が見ていた。  　岡崎は奈央の化学療法を始めるが、肝臓がんと思われる病巣は、大きくなっていた…。")</f>
        <v>　岸京一郎(長瀬智也)は、かつて世話になった定年間近の放射線診断医、高柴善太郎(志賀廣太郎)に宮崎智尋(武井咲)を預ける。岸はその件を宮崎本人には伝えなかった。  　呼吸器外科のカンファレンスに1人で出向いた宮崎は、医師の診療方針に意見する高柴と出会う。岸とは正反対の低姿勢で発言し、医師にさらなる検査を納得させる高柴に宮崎は注目。そんな宮崎を高柴は放射線診断科に招待し仕事を説明する。  　一方、岸は佐田直人(津田寛治)に引っ張られ経営会議に出席。佐田は理事長(志賀圭二郎)に病理の診療相談外来の開設をほめられるが、人員整理を含めたさらなる経費削減を求められる。  　その夜、宮崎が森井久志(野村周平)、火箱直美(松井玲奈)と出かけた居酒屋に佐田がいた。そして、宮崎は高柴が佐田の指導医だったことを知る。  　宮崎は高柴と消化器外科のカンファレンスで顔を合わす。細木まどか(小雪)も同席。細木が胃がんを発見した患者、北山奈央(ハマカワフミエ)の診療方針が議題だからだ。奈央を担当した副院長でもある岡崎(中丸新将)は早期胃がんだったためESD(内視鏡治療)を行ったと説明。しかし肝臓への転移が疑われるため化学療法後の切除をする方針だと言う。高柴や細木、そして宮崎も再検査を求めるが、岡崎は応じない。その様子を岸が見ていた。  　岡崎は奈央の化学療法を始めるが、肝臓がんと思われる病巣は、大きくなっていた…。</v>
      </c>
      <c r="O479" s="2"/>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row>
    <row r="480" ht="204.75" customHeight="1">
      <c r="A480" s="1">
        <v>1802.0</v>
      </c>
      <c r="B480" s="2" t="s">
        <v>1519</v>
      </c>
      <c r="C480" s="2">
        <f>IFERROR(__xludf.DUMMYFUNCTION("split(B480,""_"")"),1601.0)</f>
        <v>1601</v>
      </c>
      <c r="D480" s="2" t="str">
        <f>IFERROR(__xludf.DUMMYFUNCTION("""COMPUTED_VALUE"""),"CX")</f>
        <v>CX</v>
      </c>
      <c r="E480" s="2" t="str">
        <f>IFERROR(__xludf.DUMMYFUNCTION("""COMPUTED_VALUE"""),"水22")</f>
        <v>水22</v>
      </c>
      <c r="F480" s="2" t="s">
        <v>1520</v>
      </c>
      <c r="G480" s="2" t="s">
        <v>1542</v>
      </c>
      <c r="H480" s="1">
        <v>8.0</v>
      </c>
      <c r="I480" s="1" t="s">
        <v>29</v>
      </c>
      <c r="J480" s="1" t="s">
        <v>86</v>
      </c>
      <c r="K480" s="2" t="s">
        <v>1543</v>
      </c>
      <c r="L480" s="2" t="s">
        <v>1544</v>
      </c>
      <c r="M480" s="2" t="str">
        <f>IFERROR(__xludf.DUMMYFUNCTION("split(split(K480,""長瀬智也　"",false),""ぜひご覧ください!!"",false)"),"番組公式ホームページ　  http://www.fujitv.co.jp/FG/index.html　    番組公式Twitter  〈公式〉フラジャイル〈ドラマ〉  #フラジャイル    ")</f>
        <v>番組公式ホームページ　  http://www.fujitv.co.jp/FG/index.html　    番組公式Twitter  〈公式〉フラジャイル〈ドラマ〉  #フラジャイル    </v>
      </c>
      <c r="N480" s="2" t="str">
        <f>IFERROR(__xludf.DUMMYFUNCTION("""COMPUTED_VALUE"""),"　岸京一郎(長瀬智也)と宮崎智尋(武井咲)は、医学生に病理医の仕事を学ばせるために温泉旅館で開催された“病理の学校""に参加。中熊薫(北大路欣也)に強制的に連れ出された岸の学生たちへの言葉は辛辣(しんらつ)。しかし、そんな岸を出羽カナ(恒松祐里)という学生が見つめていた。  　その頃、病理診断科では、森井久志(野村周平)が1人で仕事をしていた。そこに、細木まどか(小雪)の女性外科から複数の検体が送られてくる。そこに、火箱直美(松井玲奈)がやって来た。部外者が部屋に入ったことが岸にバレたら怒られると慌てる森"&amp;"井をからかい、火箱は去るのだが…。  　翌日、岸と宮崎が帰ってきた。鋭く部外者が部屋に来たかと問う岸に、森井は何も変わりなかったと答える。岸はそれ以上詮索せず、森井が用意した女性外科の検体を調べる。  　岸の病理診断で細木の患者は問題なかったが、同じ女性外科の柳原亮子(森口瑤子)の患者にがんが発見され手術をすることになる。一方、病理診断科に中熊がカナを連れてきた。先日の勉強会でカナは病理に興味を持った様子。自分は面倒を見ないと無視しようとする岸。しかしカナは岸に自分から接近していこうとする。  　柳原の患"&amp;"者の手術が始まり、術中迅速病理診断のために検体を岸が診る。だが、組織にがんは認められない。説明を聞いた柳原が怒鳴り込んで来た。これでは医療ミスになってしまう。岸の診断に誤りが!?")</f>
        <v>　岸京一郎(長瀬智也)と宮崎智尋(武井咲)は、医学生に病理医の仕事を学ばせるために温泉旅館で開催された“病理の学校"に参加。中熊薫(北大路欣也)に強制的に連れ出された岸の学生たちへの言葉は辛辣(しんらつ)。しかし、そんな岸を出羽カナ(恒松祐里)という学生が見つめていた。  　その頃、病理診断科では、森井久志(野村周平)が1人で仕事をしていた。そこに、細木まどか(小雪)の女性外科から複数の検体が送られてくる。そこに、火箱直美(松井玲奈)がやって来た。部外者が部屋に入ったことが岸にバレたら怒られると慌てる森井をからかい、火箱は去るのだが…。  　翌日、岸と宮崎が帰ってきた。鋭く部外者が部屋に来たかと問う岸に、森井は何も変わりなかったと答える。岸はそれ以上詮索せず、森井が用意した女性外科の検体を調べる。  　岸の病理診断で細木の患者は問題なかったが、同じ女性外科の柳原亮子(森口瑤子)の患者にがんが発見され手術をすることになる。一方、病理診断科に中熊がカナを連れてきた。先日の勉強会でカナは病理に興味を持った様子。自分は面倒を見ないと無視しようとする岸。しかしカナは岸に自分から接近していこうとする。  　柳原の患者の手術が始まり、術中迅速病理診断のために検体を岸が診る。だが、組織にがんは認められない。説明を聞いた柳原が怒鳴り込んで来た。これでは医療ミスになってしまう。岸の診断に誤りが!?</v>
      </c>
      <c r="O480" s="2"/>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row>
    <row r="481" ht="204.75" customHeight="1">
      <c r="A481" s="1">
        <v>1803.0</v>
      </c>
      <c r="B481" s="2" t="s">
        <v>1519</v>
      </c>
      <c r="C481" s="2">
        <f>IFERROR(__xludf.DUMMYFUNCTION("split(B481,""_"")"),1601.0)</f>
        <v>1601</v>
      </c>
      <c r="D481" s="2" t="str">
        <f>IFERROR(__xludf.DUMMYFUNCTION("""COMPUTED_VALUE"""),"CX")</f>
        <v>CX</v>
      </c>
      <c r="E481" s="2" t="str">
        <f>IFERROR(__xludf.DUMMYFUNCTION("""COMPUTED_VALUE"""),"水22")</f>
        <v>水22</v>
      </c>
      <c r="F481" s="2" t="s">
        <v>1520</v>
      </c>
      <c r="G481" s="2" t="s">
        <v>1545</v>
      </c>
      <c r="H481" s="1">
        <v>9.0</v>
      </c>
      <c r="I481" s="1" t="s">
        <v>33</v>
      </c>
      <c r="J481" s="1" t="s">
        <v>86</v>
      </c>
      <c r="K481" s="2" t="s">
        <v>1546</v>
      </c>
      <c r="L481" s="2" t="s">
        <v>1547</v>
      </c>
      <c r="M481" s="2" t="str">
        <f>IFERROR(__xludf.DUMMYFUNCTION("split(split(K481,""長瀬智也　"",false),""ぜひご覧ください!!"",false)"),"番組公式ホームページ　  http://www.fujitv.co.jp/FG/index.html　    番組公式Twitter  〈公式〉フラジャイル〈ドラマ〉  #フラジャイル    ")</f>
        <v>番組公式ホームページ　  http://www.fujitv.co.jp/FG/index.html　    番組公式Twitter  〈公式〉フラジャイル〈ドラマ〉  #フラジャイル    </v>
      </c>
      <c r="N481" s="2" t="str">
        <f>IFERROR(__xludf.DUMMYFUNCTION("""COMPUTED_VALUE"""),"　岸京一郎(長瀬智也)は、宮崎智尋(武井咲)を助手に剖検(遺体を解剖して病気などを詳しく調べること)を実施。今回は細木まどか(小雪)が担当していた患者だった。作業を進めながら、岸は宮崎に剖検の意味を尋ねる。死因の解明と予期せぬ病変の発見と答える宮崎に、岸は未来の誰かの命のためだと付け加えた。  　一方、アミノ製薬の火箱直美(松井玲奈)は自社が開発した抗がん剤の治験協力を得ようと中熊薫(北大路欣也)に会っていた。抗がん剤AM105の効能を熱く語る火箱だが、中熊にあっさりと断られてしまう。その頃、火箱の上司、"&amp;"間瀬辰人(高嶋政宏)は料亭で会社に協力的な医師を接待。AM105の治験を頼む間瀬に、その医師は協力を表明する。  　いつものように病理診断科の朝が始まるが、いつもとは違う。技師の森井久志(野村周平)が岸と半ば仲たがいしたまま、辞めてしまったからだ。新たな技師も来たのだが、もともと5人分とも言われる仕事量をテキパキとこなしていた森井には遠く及ばないため、仕事は溜まっていく一方。その頃、森井は新たな病院で技師として働いていた。岸の病理とは違い、残業が不必要なので、医師を目指す勉強も進められる。その病院を森井に"&amp;"紹介したのは火箱だった。  　そんな時、宮崎の幼なじみ、松田幸司(小出恵介)が検査入院。検査の結果、松田は重篤なガンだとわかる。結果を知った松田は抗がん剤AM105を探し出し…。")</f>
        <v>　岸京一郎(長瀬智也)は、宮崎智尋(武井咲)を助手に剖検(遺体を解剖して病気などを詳しく調べること)を実施。今回は細木まどか(小雪)が担当していた患者だった。作業を進めながら、岸は宮崎に剖検の意味を尋ねる。死因の解明と予期せぬ病変の発見と答える宮崎に、岸は未来の誰かの命のためだと付け加えた。  　一方、アミノ製薬の火箱直美(松井玲奈)は自社が開発した抗がん剤の治験協力を得ようと中熊薫(北大路欣也)に会っていた。抗がん剤AM105の効能を熱く語る火箱だが、中熊にあっさりと断られてしまう。その頃、火箱の上司、間瀬辰人(高嶋政宏)は料亭で会社に協力的な医師を接待。AM105の治験を頼む間瀬に、その医師は協力を表明する。  　いつものように病理診断科の朝が始まるが、いつもとは違う。技師の森井久志(野村周平)が岸と半ば仲たがいしたまま、辞めてしまったからだ。新たな技師も来たのだが、もともと5人分とも言われる仕事量をテキパキとこなしていた森井には遠く及ばないため、仕事は溜まっていく一方。その頃、森井は新たな病院で技師として働いていた。岸の病理とは違い、残業が不必要なので、医師を目指す勉強も進められる。その病院を森井に紹介したのは火箱だった。  　そんな時、宮崎の幼なじみ、松田幸司(小出恵介)が検査入院。検査の結果、松田は重篤なガンだとわかる。結果を知った松田は抗がん剤AM105を探し出し…。</v>
      </c>
      <c r="O481" s="2"/>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row>
    <row r="482" ht="204.75" customHeight="1">
      <c r="A482" s="1">
        <v>1804.0</v>
      </c>
      <c r="B482" s="2" t="s">
        <v>1519</v>
      </c>
      <c r="C482" s="2">
        <f>IFERROR(__xludf.DUMMYFUNCTION("split(B482,""_"")"),1601.0)</f>
        <v>1601</v>
      </c>
      <c r="D482" s="2" t="str">
        <f>IFERROR(__xludf.DUMMYFUNCTION("""COMPUTED_VALUE"""),"CX")</f>
        <v>CX</v>
      </c>
      <c r="E482" s="2" t="str">
        <f>IFERROR(__xludf.DUMMYFUNCTION("""COMPUTED_VALUE"""),"水22")</f>
        <v>水22</v>
      </c>
      <c r="F482" s="2" t="s">
        <v>1520</v>
      </c>
      <c r="G482" s="2" t="s">
        <v>1548</v>
      </c>
      <c r="H482" s="1">
        <v>10.0</v>
      </c>
      <c r="I482" s="1" t="s">
        <v>37</v>
      </c>
      <c r="J482" s="1" t="s">
        <v>86</v>
      </c>
      <c r="K482" s="2" t="s">
        <v>1549</v>
      </c>
      <c r="L482" s="2" t="s">
        <v>1550</v>
      </c>
      <c r="M482" s="2" t="str">
        <f>IFERROR(__xludf.DUMMYFUNCTION("split(split(K482,""長瀬智也　"",false),""ぜひご覧ください!!"",false)"),"番組公式ホームページ　  http://www.fujitv.co.jp/FG/index.html　    番組公式Twitter  〈公式〉フラジャイル〈ドラマ〉  #フラジャイル    ")</f>
        <v>番組公式ホームページ　  http://www.fujitv.co.jp/FG/index.html　    番組公式Twitter  〈公式〉フラジャイル〈ドラマ〉  #フラジャイル    </v>
      </c>
      <c r="N482" s="2" t="str">
        <f>IFERROR(__xludf.DUMMYFUNCTION("""COMPUTED_VALUE"""),"　アミノ製薬の火箱直美(松井玲奈)から新薬AM105の治験への協力を頼まれた岸京一郎(長瀬智也)は、意外にもあっさりと承諾。早速、火箱はAM105を直接使用することになる患者、松田幸司(小出恵介)の病室に持ち込む。松田の担当医、稲垣大道(平山祐介)と宮崎智尋(武井咲)もいた。その時、火箱と話の合う松田の様子を見て、宮崎は2人を友人にさせようとする。  　一方、岸は火箱から預かったAM105の症例報告書を精査していた。すると、気になる箇所が見つかり、それは新東京医療センターでの症例だった。患者は薬によって腫"&amp;"瘍が消えたことになっていたが、退院後は受診していない。岸は細木まどか(小雪)から森井久志(野村周平)がこの病院で働いていることを聞いていた。森井の帰りを待った岸は、患者の情報を教えて欲しいと頼む。  　中熊薫(北大路欣也)は、アミノ製薬が怪しいと岸に忠告。岸は火箱を呼んで、症例報告書が改ざんされているのではと問いただす。しかし火箱は否定。岸は森井に調べてもらった患者の件を火箱に伝える。新東京医療センターで治験を受けて退院した患者は、2日後に多臓器不全で亡くなっていた。傍らで話を耳にした宮崎は、AM105の"&amp;"副作用を疑う。信じがたい火箱だが、治験情報のすべてを把握してはいない。真相を知っているのは部長の間瀬辰人(高嶋政宏)だけ。火箱は患者が本当に亡くなったのか確かめると飛び出し…。")</f>
        <v>　アミノ製薬の火箱直美(松井玲奈)から新薬AM105の治験への協力を頼まれた岸京一郎(長瀬智也)は、意外にもあっさりと承諾。早速、火箱はAM105を直接使用することになる患者、松田幸司(小出恵介)の病室に持ち込む。松田の担当医、稲垣大道(平山祐介)と宮崎智尋(武井咲)もいた。その時、火箱と話の合う松田の様子を見て、宮崎は2人を友人にさせようとする。  　一方、岸は火箱から預かったAM105の症例報告書を精査していた。すると、気になる箇所が見つかり、それは新東京医療センターでの症例だった。患者は薬によって腫瘍が消えたことになっていたが、退院後は受診していない。岸は細木まどか(小雪)から森井久志(野村周平)がこの病院で働いていることを聞いていた。森井の帰りを待った岸は、患者の情報を教えて欲しいと頼む。  　中熊薫(北大路欣也)は、アミノ製薬が怪しいと岸に忠告。岸は火箱を呼んで、症例報告書が改ざんされているのではと問いただす。しかし火箱は否定。岸は森井に調べてもらった患者の件を火箱に伝える。新東京医療センターで治験を受けて退院した患者は、2日後に多臓器不全で亡くなっていた。傍らで話を耳にした宮崎は、AM105の副作用を疑う。信じがたい火箱だが、治験情報のすべてを把握してはいない。真相を知っているのは部長の間瀬辰人(高嶋政宏)だけ。火箱は患者が本当に亡くなったのか確かめると飛び出し…。</v>
      </c>
      <c r="O482" s="2"/>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row>
    <row r="483" ht="204.75" customHeight="1">
      <c r="A483" s="1">
        <v>1815.0</v>
      </c>
      <c r="B483" s="2" t="s">
        <v>1551</v>
      </c>
      <c r="C483" s="2">
        <f>IFERROR(__xludf.DUMMYFUNCTION("split(B483,""_"")"),1601.0)</f>
        <v>1601</v>
      </c>
      <c r="D483" s="2" t="str">
        <f>IFERROR(__xludf.DUMMYFUNCTION("""COMPUTED_VALUE"""),"CX")</f>
        <v>CX</v>
      </c>
      <c r="E483" s="2" t="str">
        <f>IFERROR(__xludf.DUMMYFUNCTION("""COMPUTED_VALUE"""),"木22")</f>
        <v>木22</v>
      </c>
      <c r="F483" s="2" t="s">
        <v>1552</v>
      </c>
      <c r="G483" s="2" t="s">
        <v>1553</v>
      </c>
      <c r="H483" s="1">
        <v>1.0</v>
      </c>
      <c r="I483" s="1" t="s">
        <v>3</v>
      </c>
      <c r="J483" s="1" t="s">
        <v>82</v>
      </c>
      <c r="K483" s="2" t="s">
        <v>1554</v>
      </c>
      <c r="L483" s="2" t="s">
        <v>1555</v>
      </c>
      <c r="M483" s="2" t="str">
        <f>IFERROR(__xludf.DUMMYFUNCTION("split(split(K483,""広末涼子　"",false),""kanako"",false)"),"番組HP:　http://www.fujitv.co.jp/naomi-")</f>
        <v>番組HP:　http://www.fujitv.co.jp/naomi-</v>
      </c>
      <c r="N483" s="2" t="str">
        <f>IFERROR(__xludf.DUMMYFUNCTION("""COMPUTED_VALUE"""),"/index.html　    番組公式LINEアカウントあります!  LINE@naomiand")</f>
        <v>/index.html　    番組公式LINEアカウントあります!  LINE@naomiand</v>
      </c>
      <c r="O483" s="2" t="str">
        <f>IFERROR(__xludf.DUMMYFUNCTION("""COMPUTED_VALUE"""),"　大学時代からの親友、小田直美(広末涼子)と服部加奈子(内田有紀)は、半年ぶりに再会した。加奈子の瀟洒なマンションに招かれた直美は、お互いの自宅が近くなったことを喜んだ。そこには、加奈子の夫で、エリート銀行マンの服部達郎(佐藤隆太)がいて、遅れて達郎の姉の服部陽子(吉田羊)もやってきた。食後、直美と加奈子はデザートの用意をしにキッチンに立つ。その時、直美が笑って加奈子の腕を軽くたたくと、加奈子は飛び上がるほど痛がった。さらに、加奈子は洋ナシを見て固まり、額に脂汗を浮かべた。感情が欠落したようなその表情に、"&amp;"直美は得も言われぬ違和感を覚える。  　そんな折、直美が勤める葵百貨店の外商部が、華僑の大物を招いての商談会を開催。会場には高級品が揃えられた。課長の内藤伸吾(宮川一朗太)から、客は10人程度だと聞いていた直美だったが、実際は大人数の華僑が押し寄せ、会場は大混乱。そんな中、200万円超の腕時計が紛失するという事件が起こった。直美は、その腕時計を勝手にはめていた女性(高畑淳子)に思い至る。  　一方、専業主婦の加奈子は、深夜、帰宅した達郎を玄関で迎えた。酔った達郎は、いきなり加奈子に抱きつくと、強引にキスを"&amp;"して体を求めてくる。思わず後ずさりした加奈子に、嫌なのか、と憤った達郎は顔色を変える。翌日、加奈子を見た直美は凍り付く。加奈子の顔は腫れ上がり、どす黒いアザが浮かんでいたのだ。")</f>
        <v>　大学時代からの親友、小田直美(広末涼子)と服部加奈子(内田有紀)は、半年ぶりに再会した。加奈子の瀟洒なマンションに招かれた直美は、お互いの自宅が近くなったことを喜んだ。そこには、加奈子の夫で、エリート銀行マンの服部達郎(佐藤隆太)がいて、遅れて達郎の姉の服部陽子(吉田羊)もやってきた。食後、直美と加奈子はデザートの用意をしにキッチンに立つ。その時、直美が笑って加奈子の腕を軽くたたくと、加奈子は飛び上がるほど痛がった。さらに、加奈子は洋ナシを見て固まり、額に脂汗を浮かべた。感情が欠落したようなその表情に、直美は得も言われぬ違和感を覚える。  　そんな折、直美が勤める葵百貨店の外商部が、華僑の大物を招いての商談会を開催。会場には高級品が揃えられた。課長の内藤伸吾(宮川一朗太)から、客は10人程度だと聞いていた直美だったが、実際は大人数の華僑が押し寄せ、会場は大混乱。そんな中、200万円超の腕時計が紛失するという事件が起こった。直美は、その腕時計を勝手にはめていた女性(高畑淳子)に思い至る。  　一方、専業主婦の加奈子は、深夜、帰宅した達郎を玄関で迎えた。酔った達郎は、いきなり加奈子に抱きつくと、強引にキスをして体を求めてくる。思わず後ずさりした加奈子に、嫌なのか、と憤った達郎は顔色を変える。翌日、加奈子を見た直美は凍り付く。加奈子の顔は腫れ上がり、どす黒いアザが浮かんでいたのだ。</v>
      </c>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row>
    <row r="484" ht="204.75" customHeight="1">
      <c r="A484" s="1">
        <v>1816.0</v>
      </c>
      <c r="B484" s="2" t="s">
        <v>1551</v>
      </c>
      <c r="C484" s="2">
        <f>IFERROR(__xludf.DUMMYFUNCTION("split(B484,""_"")"),1601.0)</f>
        <v>1601</v>
      </c>
      <c r="D484" s="2" t="str">
        <f>IFERROR(__xludf.DUMMYFUNCTION("""COMPUTED_VALUE"""),"CX")</f>
        <v>CX</v>
      </c>
      <c r="E484" s="2" t="str">
        <f>IFERROR(__xludf.DUMMYFUNCTION("""COMPUTED_VALUE"""),"木22")</f>
        <v>木22</v>
      </c>
      <c r="F484" s="2" t="s">
        <v>1552</v>
      </c>
      <c r="G484" s="2" t="s">
        <v>1556</v>
      </c>
      <c r="H484" s="1">
        <v>2.0</v>
      </c>
      <c r="I484" s="1" t="s">
        <v>7</v>
      </c>
      <c r="J484" s="1" t="s">
        <v>82</v>
      </c>
      <c r="K484" s="2" t="s">
        <v>1557</v>
      </c>
      <c r="L484" s="2" t="s">
        <v>1558</v>
      </c>
      <c r="M484" s="2" t="str">
        <f>IFERROR(__xludf.DUMMYFUNCTION("split(split(K484,""広末涼子　"",false),""kanako"",false)"),"番組HP:　http://www.fujitv.co.jp/naomi-")</f>
        <v>番組HP:　http://www.fujitv.co.jp/naomi-</v>
      </c>
      <c r="N484" s="2" t="str">
        <f>IFERROR(__xludf.DUMMYFUNCTION("""COMPUTED_VALUE"""),"/index.html　    番組公式LINEアカウントあります!  LINE@naomiand")</f>
        <v>/index.html　    番組公式LINEアカウントあります!  LINE@naomiand</v>
      </c>
      <c r="O484" s="2" t="str">
        <f>IFERROR(__xludf.DUMMYFUNCTION("""COMPUTED_VALUE"""),"小田直美(広末涼子)は、服部加奈子(内田有紀)に暴力をふるう彼女の夫・服部達郎(佐藤隆太)を、いっそ二人で殺そうか、と口走った自分に困惑していた。  そんな朝、加奈子は、達郎から一緒に産婦人科に行こうと言われ凍りつく。自分も早く子供が欲しいと言うのだ。実は達郎の暴力が始まってから妊娠するのが怖くてピルを飲んでいる加奈子は、まずはひとりで行ってみる、とごまかした。  後日、直美は加奈子のマンションに立ち寄った。達郎は残業で留守のため、加奈子は直美に手料理を振る舞う。その際、話が達郎の暴力に及び、離婚を勧める"&amp;"直美に対して加奈子は、達郎と話し合ってみると言った。話が通じる相手ではない、と直美が語気を強めると、加奈子は、近く結婚記念日があるから、そこでもう一度だけ話し合ってみる、と直美を見据えた。  翌日、直美は李朱美(高畑淳子)に呼び出された。やってきた直美に朱美は、従業員の林竜輝(佐藤隆太)が借りるアパートの連帯保証人になってくれ、と頼む。直美は朱美に交換条件を突きつけ、それを引き受ける。  加奈子と達郎の結婚記念日。レストランに現れた達郎は上機嫌だった。直美に客を紹介してもらったこともあり、営業成績がトップ"&amp;"に躍り出たという。そんな達郎に加奈子は、今後子供を持つこともあるのだから暴力は止めてほしい、と懇願した。しばし固まった達郎だったが、震える加奈子の手を握ると、もうしないと約束する…。")</f>
        <v>小田直美(広末涼子)は、服部加奈子(内田有紀)に暴力をふるう彼女の夫・服部達郎(佐藤隆太)を、いっそ二人で殺そうか、と口走った自分に困惑していた。  そんな朝、加奈子は、達郎から一緒に産婦人科に行こうと言われ凍りつく。自分も早く子供が欲しいと言うのだ。実は達郎の暴力が始まってから妊娠するのが怖くてピルを飲んでいる加奈子は、まずはひとりで行ってみる、とごまかした。  後日、直美は加奈子のマンションに立ち寄った。達郎は残業で留守のため、加奈子は直美に手料理を振る舞う。その際、話が達郎の暴力に及び、離婚を勧める直美に対して加奈子は、達郎と話し合ってみると言った。話が通じる相手ではない、と直美が語気を強めると、加奈子は、近く結婚記念日があるから、そこでもう一度だけ話し合ってみる、と直美を見据えた。  翌日、直美は李朱美(高畑淳子)に呼び出された。やってきた直美に朱美は、従業員の林竜輝(佐藤隆太)が借りるアパートの連帯保証人になってくれ、と頼む。直美は朱美に交換条件を突きつけ、それを引き受ける。  加奈子と達郎の結婚記念日。レストランに現れた達郎は上機嫌だった。直美に客を紹介してもらったこともあり、営業成績がトップに躍り出たという。そんな達郎に加奈子は、今後子供を持つこともあるのだから暴力は止めてほしい、と懇願した。しばし固まった達郎だったが、震える加奈子の手を握ると、もうしないと約束する…。</v>
      </c>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row>
    <row r="485" ht="204.75" customHeight="1">
      <c r="A485" s="1">
        <v>1817.0</v>
      </c>
      <c r="B485" s="2" t="s">
        <v>1551</v>
      </c>
      <c r="C485" s="2">
        <f>IFERROR(__xludf.DUMMYFUNCTION("split(B485,""_"")"),1601.0)</f>
        <v>1601</v>
      </c>
      <c r="D485" s="2" t="str">
        <f>IFERROR(__xludf.DUMMYFUNCTION("""COMPUTED_VALUE"""),"CX")</f>
        <v>CX</v>
      </c>
      <c r="E485" s="2" t="str">
        <f>IFERROR(__xludf.DUMMYFUNCTION("""COMPUTED_VALUE"""),"木22")</f>
        <v>木22</v>
      </c>
      <c r="F485" s="2" t="s">
        <v>1552</v>
      </c>
      <c r="G485" s="2" t="s">
        <v>1559</v>
      </c>
      <c r="H485" s="1">
        <v>3.0</v>
      </c>
      <c r="I485" s="1" t="s">
        <v>10</v>
      </c>
      <c r="J485" s="1" t="s">
        <v>86</v>
      </c>
      <c r="K485" s="2" t="s">
        <v>1560</v>
      </c>
      <c r="L485" s="2" t="s">
        <v>1561</v>
      </c>
      <c r="M485" s="2" t="str">
        <f>IFERROR(__xludf.DUMMYFUNCTION("split(split(K485,""広末涼子　"",false),""kanako"",false)"),"番組HP:　http://www.fujitv.co.jp/naomi-")</f>
        <v>番組HP:　http://www.fujitv.co.jp/naomi-</v>
      </c>
      <c r="N485" s="2" t="str">
        <f>IFERROR(__xludf.DUMMYFUNCTION("""COMPUTED_VALUE"""),"/index.html　    番組公式LINEアカウントあります!  LINE@naomiand")</f>
        <v>/index.html　    番組公式LINEアカウントあります!  LINE@naomiand</v>
      </c>
      <c r="O485" s="2" t="str">
        <f>IFERROR(__xludf.DUMMYFUNCTION("""COMPUTED_VALUE"""),"　小田直美(広末涼子)に連れられてチャイナタウンにやってきた服部加奈子(内田有紀)は、そこで服部達郎(佐藤隆太)にうり二つの中国人・林竜輝(佐藤隆太/二役)を見て驚がくする。林は、直美の顧客・李朱美(高畑淳子)の会社の従業員だったが、不法滞在であることが発覚し、クビになった。直美は、そんな林を達郎の替え玉にすることを思いついたのだ。達郎殺害後、達郎のパスポートで林を出国させれば、達郎の死体が見つからない限り、警察は失踪事件として扱うだろう、と。直美から計画を聞いた加奈子は、揺れ動く。  　後日、林は200"&amp;"万円の報酬と引き換えに、達郎になりすまし、出国することを承諾。その頃、達郎に再び暴力を振るわれた加奈子は、殺害を真剣に考えるようになる。  　別の日、直美は顧客・斎藤順子(富司純子)を達郎に紹介するため、達郎とともに順子宅を訪ねる。高齢で認知症を患っている順子は、直美を全面的に信頼し、直美の勧めで達郎の銀行に口座を開設することになった。新規の顧客獲得を喜ぶ達郎だったが、それこそが、直美の計画の第一歩だった。  　一方、加奈子は、林を達郎に仕立てるため、林のアパートを訪ね、左利きの林に右手で達郎のサインをさ"&amp;"せる特訓を始めた。直美と加奈子は、達郎殺害を翌週の金曜日と決め、着々と準備に取り掛かる。  　ある日、達郎の姉で大手不動産会社に勤める服部陽子(吉田羊)が葵百貨店外商部に現れる…。")</f>
        <v>　小田直美(広末涼子)に連れられてチャイナタウンにやってきた服部加奈子(内田有紀)は、そこで服部達郎(佐藤隆太)にうり二つの中国人・林竜輝(佐藤隆太/二役)を見て驚がくする。林は、直美の顧客・李朱美(高畑淳子)の会社の従業員だったが、不法滞在であることが発覚し、クビになった。直美は、そんな林を達郎の替え玉にすることを思いついたのだ。達郎殺害後、達郎のパスポートで林を出国させれば、達郎の死体が見つからない限り、警察は失踪事件として扱うだろう、と。直美から計画を聞いた加奈子は、揺れ動く。  　後日、林は200万円の報酬と引き換えに、達郎になりすまし、出国することを承諾。その頃、達郎に再び暴力を振るわれた加奈子は、殺害を真剣に考えるようになる。  　別の日、直美は顧客・斎藤順子(富司純子)を達郎に紹介するため、達郎とともに順子宅を訪ねる。高齢で認知症を患っている順子は、直美を全面的に信頼し、直美の勧めで達郎の銀行に口座を開設することになった。新規の顧客獲得を喜ぶ達郎だったが、それこそが、直美の計画の第一歩だった。  　一方、加奈子は、林を達郎に仕立てるため、林のアパートを訪ね、左利きの林に右手で達郎のサインをさせる特訓を始めた。直美と加奈子は、達郎殺害を翌週の金曜日と決め、着々と準備に取り掛かる。  　ある日、達郎の姉で大手不動産会社に勤める服部陽子(吉田羊)が葵百貨店外商部に現れる…。</v>
      </c>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row>
    <row r="486" ht="204.75" customHeight="1">
      <c r="A486" s="1">
        <v>1818.0</v>
      </c>
      <c r="B486" s="2" t="s">
        <v>1551</v>
      </c>
      <c r="C486" s="2">
        <f>IFERROR(__xludf.DUMMYFUNCTION("split(B486,""_"")"),1601.0)</f>
        <v>1601</v>
      </c>
      <c r="D486" s="2" t="str">
        <f>IFERROR(__xludf.DUMMYFUNCTION("""COMPUTED_VALUE"""),"CX")</f>
        <v>CX</v>
      </c>
      <c r="E486" s="2" t="str">
        <f>IFERROR(__xludf.DUMMYFUNCTION("""COMPUTED_VALUE"""),"木22")</f>
        <v>木22</v>
      </c>
      <c r="F486" s="2" t="s">
        <v>1552</v>
      </c>
      <c r="G486" s="2" t="s">
        <v>1562</v>
      </c>
      <c r="H486" s="1">
        <v>4.0</v>
      </c>
      <c r="I486" s="1" t="s">
        <v>14</v>
      </c>
      <c r="J486" s="1" t="s">
        <v>86</v>
      </c>
      <c r="K486" s="2" t="s">
        <v>1563</v>
      </c>
      <c r="L486" s="2" t="s">
        <v>1564</v>
      </c>
      <c r="M486" s="2" t="str">
        <f>IFERROR(__xludf.DUMMYFUNCTION("split(split(K486,""広末涼子　"",false),""kanako"",false)"),"番組ホームページ→　http://www.fujitv.co.jp/naomi-")</f>
        <v>番組ホームページ→　http://www.fujitv.co.jp/naomi-</v>
      </c>
      <c r="N486" s="2" t="str">
        <f>IFERROR(__xludf.DUMMYFUNCTION("""COMPUTED_VALUE"""),"/index.html　    番組公式LINEアカウントあります!  LINE@naomiand")</f>
        <v>/index.html　    番組公式LINEアカウントあります!  LINE@naomiand</v>
      </c>
      <c r="O486" s="2" t="str">
        <f>IFERROR(__xludf.DUMMYFUNCTION("""COMPUTED_VALUE"""),"　    原作「ナオミとカナコ」(幻冬舎刊)絶賛発売中!　小田直美(広末涼子)と服部加奈子(内田有紀)は、服部達郎(佐藤隆太)の殺害を一週間後の深夜と決め、着々と準備を進める。  　その頃、チャイナタウンで不法滞在の中国人たちが警察に連行される事件が起こった。これで林竜輝(佐藤隆太/二役)が捕まれば計画が成立しなくなってしまう。李朱美(高畑淳子)は、林の居場所を知らないというが、加奈子が探し当て、林をホテルにかくまう。  　犯行数日前の夜、直美と加奈子は、達郎の留守を狙って予行練習を行うことに。殺害はロー"&amp;"プによる絞殺だが、達郎の遺体を部屋から駐車場へ運ぶまでの間に、予想外の問題があることが発覚。それを確認しながら、2人は本番さながらにリハーサルを行っていく。  　犯行前日、直美は達郎とともに斎藤順子(富司純子)宅を訪ねる。直美が順子のパソコンを操作し、順子の口座から一千万円を加奈子の口座へ振り込む工作をするためだ。達郎を伴ったのは、後々、捜査が及んだときに、その振り込みを達郎が行ったと見せかける目的だ。  　そして、犯行当日。すべての準備を終え、直美が出社すると、そこに服部陽子(吉田羊)がいた。驚く直美に"&amp;"部長の浅井信之(山路和弘)は、これから陽子とともに京都へ出張に行ってくれと命じた。共同プロジェクトの成功のカギを握る芸術家を説得するために、どうしても直美の力が必要だという陽子。とまどう直美は…。")</f>
        <v>　    原作「ナオミとカナコ」(幻冬舎刊)絶賛発売中!　小田直美(広末涼子)と服部加奈子(内田有紀)は、服部達郎(佐藤隆太)の殺害を一週間後の深夜と決め、着々と準備を進める。  　その頃、チャイナタウンで不法滞在の中国人たちが警察に連行される事件が起こった。これで林竜輝(佐藤隆太/二役)が捕まれば計画が成立しなくなってしまう。李朱美(高畑淳子)は、林の居場所を知らないというが、加奈子が探し当て、林をホテルにかくまう。  　犯行数日前の夜、直美と加奈子は、達郎の留守を狙って予行練習を行うことに。殺害はロープによる絞殺だが、達郎の遺体を部屋から駐車場へ運ぶまでの間に、予想外の問題があることが発覚。それを確認しながら、2人は本番さながらにリハーサルを行っていく。  　犯行前日、直美は達郎とともに斎藤順子(富司純子)宅を訪ねる。直美が順子のパソコンを操作し、順子の口座から一千万円を加奈子の口座へ振り込む工作をするためだ。達郎を伴ったのは、後々、捜査が及んだときに、その振り込みを達郎が行ったと見せかける目的だ。  　そして、犯行当日。すべての準備を終え、直美が出社すると、そこに服部陽子(吉田羊)がいた。驚く直美に部長の浅井信之(山路和弘)は、これから陽子とともに京都へ出張に行ってくれと命じた。共同プロジェクトの成功のカギを握る芸術家を説得するために、どうしても直美の力が必要だという陽子。とまどう直美は…。</v>
      </c>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row>
    <row r="487" ht="204.75" customHeight="1">
      <c r="A487" s="1">
        <v>1819.0</v>
      </c>
      <c r="B487" s="2" t="s">
        <v>1551</v>
      </c>
      <c r="C487" s="2">
        <f>IFERROR(__xludf.DUMMYFUNCTION("split(B487,""_"")"),1601.0)</f>
        <v>1601</v>
      </c>
      <c r="D487" s="2" t="str">
        <f>IFERROR(__xludf.DUMMYFUNCTION("""COMPUTED_VALUE"""),"CX")</f>
        <v>CX</v>
      </c>
      <c r="E487" s="2" t="str">
        <f>IFERROR(__xludf.DUMMYFUNCTION("""COMPUTED_VALUE"""),"木22")</f>
        <v>木22</v>
      </c>
      <c r="F487" s="2" t="s">
        <v>1552</v>
      </c>
      <c r="G487" s="2" t="s">
        <v>1565</v>
      </c>
      <c r="H487" s="1">
        <v>5.0</v>
      </c>
      <c r="I487" s="1" t="s">
        <v>17</v>
      </c>
      <c r="J487" s="1" t="s">
        <v>86</v>
      </c>
      <c r="K487" s="2" t="s">
        <v>1566</v>
      </c>
      <c r="L487" s="2" t="s">
        <v>1567</v>
      </c>
      <c r="M487" s="2" t="str">
        <f>IFERROR(__xludf.DUMMYFUNCTION("split(split(K487,""広末涼子　"",false),""kanako"",false)"),"番組ホームページ→　http://www.fujitv.co.jp/naomi-")</f>
        <v>番組ホームページ→　http://www.fujitv.co.jp/naomi-</v>
      </c>
      <c r="N487" s="2" t="str">
        <f>IFERROR(__xludf.DUMMYFUNCTION("""COMPUTED_VALUE"""),"/index.html　    番組公式LINEアカウントあります!  LINE@naomiand")</f>
        <v>/index.html　    番組公式LINEアカウントあります!  LINE@naomiand</v>
      </c>
      <c r="O487" s="2" t="str">
        <f>IFERROR(__xludf.DUMMYFUNCTION("""COMPUTED_VALUE"""),"　    原作「ナオミとカナコ」(幻冬舎刊)絶賛発売中!小田直美(広末涼子)と服部加奈子(内田有紀)は、酔って熟睡している服部達郎(佐藤隆太)の枕の下にロープを差し込むと、その端をそれぞれで握った。顔を見合わせ、意志を確認したふたりは、カウントダウンから、ロープを締め上げようとした。と、その瞬間、けたたましい音をたて、達郎の携帯電話が鳴り響く。着信履歴は、服部陽子(吉田羊)だった。電話に反応した達郎は、ゆっくりと目を開け、自分の両脇にいる直美と加奈子に気づいた。驚がくして硬直状態になる直美。加奈子は、直美"&amp;"に声をかけると自らロープを引っ張った。我に返った直美も慌ててロープを引く。ふたりは、全体重をかけて引いたーー。  翌日、直美と加奈子は、達郎になりすました林竜輝(佐藤隆太/二役)と落ち合うと、林にATMで報酬を引き出させた。防犯カメラに自分の姿が映っていることを意識しながら、林は達郎の利き手である右手で機械を操作した。  さらに翌日の日曜日、直美と加奈子は人気のパンケーキ店に並びランチをとり、その後、達郎の失踪が明らかになる月曜日からの対処法を話し合った。  月曜日の朝9時半過ぎーー。予想通り、達郎の銀行"&amp;"の同僚の山本(近藤公園)から、自宅に電話がかかってくる。加奈子は直美との打ち合わせ通り、達郎は土曜の昼に「休日出勤」だと言って自宅を出たまま戻っていないと話した。同じ頃、直美には李朱美(高畑淳子)から、大事な話がある、と電話がかかってきて…。")</f>
        <v>　    原作「ナオミとカナコ」(幻冬舎刊)絶賛発売中!小田直美(広末涼子)と服部加奈子(内田有紀)は、酔って熟睡している服部達郎(佐藤隆太)の枕の下にロープを差し込むと、その端をそれぞれで握った。顔を見合わせ、意志を確認したふたりは、カウントダウンから、ロープを締め上げようとした。と、その瞬間、けたたましい音をたて、達郎の携帯電話が鳴り響く。着信履歴は、服部陽子(吉田羊)だった。電話に反応した達郎は、ゆっくりと目を開け、自分の両脇にいる直美と加奈子に気づいた。驚がくして硬直状態になる直美。加奈子は、直美に声をかけると自らロープを引っ張った。我に返った直美も慌ててロープを引く。ふたりは、全体重をかけて引いたーー。  翌日、直美と加奈子は、達郎になりすました林竜輝(佐藤隆太/二役)と落ち合うと、林にATMで報酬を引き出させた。防犯カメラに自分の姿が映っていることを意識しながら、林は達郎の利き手である右手で機械を操作した。  さらに翌日の日曜日、直美と加奈子は人気のパンケーキ店に並びランチをとり、その後、達郎の失踪が明らかになる月曜日からの対処法を話し合った。  月曜日の朝9時半過ぎーー。予想通り、達郎の銀行の同僚の山本(近藤公園)から、自宅に電話がかかってくる。加奈子は直美との打ち合わせ通り、達郎は土曜の昼に「休日出勤」だと言って自宅を出たまま戻っていないと話した。同じ頃、直美には李朱美(高畑淳子)から、大事な話がある、と電話がかかってきて…。</v>
      </c>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row>
    <row r="488" ht="204.75" customHeight="1">
      <c r="A488" s="1">
        <v>1820.0</v>
      </c>
      <c r="B488" s="2" t="s">
        <v>1551</v>
      </c>
      <c r="C488" s="2">
        <f>IFERROR(__xludf.DUMMYFUNCTION("split(B488,""_"")"),1601.0)</f>
        <v>1601</v>
      </c>
      <c r="D488" s="2" t="str">
        <f>IFERROR(__xludf.DUMMYFUNCTION("""COMPUTED_VALUE"""),"CX")</f>
        <v>CX</v>
      </c>
      <c r="E488" s="2" t="str">
        <f>IFERROR(__xludf.DUMMYFUNCTION("""COMPUTED_VALUE"""),"木22")</f>
        <v>木22</v>
      </c>
      <c r="F488" s="2" t="s">
        <v>1552</v>
      </c>
      <c r="G488" s="2" t="s">
        <v>1568</v>
      </c>
      <c r="H488" s="1">
        <v>6.0</v>
      </c>
      <c r="I488" s="1" t="s">
        <v>21</v>
      </c>
      <c r="J488" s="1" t="s">
        <v>86</v>
      </c>
      <c r="K488" s="2" t="s">
        <v>1569</v>
      </c>
      <c r="L488" s="2" t="s">
        <v>1570</v>
      </c>
      <c r="M488" s="2" t="str">
        <f>IFERROR(__xludf.DUMMYFUNCTION("split(split(K488,""広末涼子　"",false),""kanako"",false)"),"「四大陸フィギュアスケート選手権2016　女子ショートプログラム」延長の際、放送時間繰り下げの場合あり。番組ホームページ→　http://www.fujitv.co.jp/naomi-")</f>
        <v>「四大陸フィギュアスケート選手権2016　女子ショートプログラム」延長の際、放送時間繰り下げの場合あり。番組ホームページ→　http://www.fujitv.co.jp/naomi-</v>
      </c>
      <c r="N488" s="2" t="str">
        <f>IFERROR(__xludf.DUMMYFUNCTION("""COMPUTED_VALUE"""),"/index.html　    番組公式LINEアカウントあります!  LINE@naomiand")</f>
        <v>/index.html　    番組公式LINEアカウントあります!  LINE@naomiand</v>
      </c>
      <c r="O488" s="2" t="str">
        <f>IFERROR(__xludf.DUMMYFUNCTION("""COMPUTED_VALUE"""),"　    ドラマ原作「ナオミとカナコ」奥田英朗著(幻冬舎刊)絶賛発売中!　小田直美(広末涼子)は、服部達郎(佐藤隆太)を本気で知らないと発言する斎藤順子(富司純子)に、なんとか達郎のことを思い出させようとするが、順子の記憶は戻らない。直美は、達郎の同僚・山本(近藤公園)らに事情説明を求められる。  　同じ頃、服部加奈子(内田有紀)は、服部陽子(吉田羊)と対峙していた。陽子は、昇進が決まって輝かしい未来が開けていた達郎が失踪するはずはない、と強固に主張し加奈子を見据えた。　翌日、銀行に出向いた加奈子は、山本"&amp;"からATMの防犯カメラの画像を見せられる。そこには、達郎になりすましATMを操作する林竜輝(佐藤隆太/二役)が映っていた。加奈子は、それを達郎だと思う、と計画通り答えた。  　一方、外商部にいた直美のところへ、陽子がやってくる。陽子は直美に、達郎が失踪する前日の金曜日の夜、京都から戻った後に加奈子に会ったことを問いただす。  　後日、銀行から達郎の失踪に関する「最終調査報告書」が提示されることになり、達郎の実家に加奈子が呼び出される。達郎の両親を前に緊張を強いられているところにチャイムが鳴る。加奈子が玄関"&amp;"に出ると、陽子が立っていた。  　その頃、直美は、李朱美(高畑淳子)の事務所にいた。営業に同行してほしいと頼む朱美の話を聞いていると、加奈子からメールが入った。その場を離れ、メールを食い入るように見る直美を、朱美は見つめていて…。")</f>
        <v>　    ドラマ原作「ナオミとカナコ」奥田英朗著(幻冬舎刊)絶賛発売中!　小田直美(広末涼子)は、服部達郎(佐藤隆太)を本気で知らないと発言する斎藤順子(富司純子)に、なんとか達郎のことを思い出させようとするが、順子の記憶は戻らない。直美は、達郎の同僚・山本(近藤公園)らに事情説明を求められる。  　同じ頃、服部加奈子(内田有紀)は、服部陽子(吉田羊)と対峙していた。陽子は、昇進が決まって輝かしい未来が開けていた達郎が失踪するはずはない、と強固に主張し加奈子を見据えた。　翌日、銀行に出向いた加奈子は、山本からATMの防犯カメラの画像を見せられる。そこには、達郎になりすましATMを操作する林竜輝(佐藤隆太/二役)が映っていた。加奈子は、それを達郎だと思う、と計画通り答えた。  　一方、外商部にいた直美のところへ、陽子がやってくる。陽子は直美に、達郎が失踪する前日の金曜日の夜、京都から戻った後に加奈子に会ったことを問いただす。  　後日、銀行から達郎の失踪に関する「最終調査報告書」が提示されることになり、達郎の実家に加奈子が呼び出される。達郎の両親を前に緊張を強いられているところにチャイムが鳴る。加奈子が玄関に出ると、陽子が立っていた。  　その頃、直美は、李朱美(高畑淳子)の事務所にいた。営業に同行してほしいと頼む朱美の話を聞いていると、加奈子からメールが入った。その場を離れ、メールを食い入るように見る直美を、朱美は見つめていて…。</v>
      </c>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row>
    <row r="489" ht="204.75" customHeight="1">
      <c r="A489" s="1">
        <v>1821.0</v>
      </c>
      <c r="B489" s="2" t="s">
        <v>1551</v>
      </c>
      <c r="C489" s="2">
        <f>IFERROR(__xludf.DUMMYFUNCTION("split(B489,""_"")"),1601.0)</f>
        <v>1601</v>
      </c>
      <c r="D489" s="2" t="str">
        <f>IFERROR(__xludf.DUMMYFUNCTION("""COMPUTED_VALUE"""),"CX")</f>
        <v>CX</v>
      </c>
      <c r="E489" s="2" t="str">
        <f>IFERROR(__xludf.DUMMYFUNCTION("""COMPUTED_VALUE"""),"木22")</f>
        <v>木22</v>
      </c>
      <c r="F489" s="2" t="s">
        <v>1552</v>
      </c>
      <c r="G489" s="2" t="s">
        <v>1571</v>
      </c>
      <c r="H489" s="1">
        <v>7.0</v>
      </c>
      <c r="I489" s="1" t="s">
        <v>25</v>
      </c>
      <c r="J489" s="1" t="s">
        <v>86</v>
      </c>
      <c r="K489" s="2" t="s">
        <v>1572</v>
      </c>
      <c r="L489" s="2" t="s">
        <v>1573</v>
      </c>
      <c r="M489" s="2" t="str">
        <f>IFERROR(__xludf.DUMMYFUNCTION("split(split(K489,""広末涼子　"",false),""kanako"",false)"),"番組ホームページ→　http://www.fujitv.co.jp/naomi-")</f>
        <v>番組ホームページ→　http://www.fujitv.co.jp/naomi-</v>
      </c>
      <c r="N489" s="2" t="str">
        <f>IFERROR(__xludf.DUMMYFUNCTION("""COMPUTED_VALUE"""),"/index.html　    番組公式LINEアカウントあります!  LINE@naomiand")</f>
        <v>/index.html　    番組公式LINEアカウントあります!  LINE@naomiand</v>
      </c>
      <c r="O489" s="2" t="str">
        <f>IFERROR(__xludf.DUMMYFUNCTION("""COMPUTED_VALUE"""),"　    ドラマ原作「ナオミとカナコ」奥田英朗著(幻冬舎刊)絶賛発売中!　小田直美(広末涼子)と服部加奈子(内田有紀)は、マンションの防犯カメラの映像を確認すると言って一歩も譲らない服部陽子(吉田羊)と管理人の坂下(ト字たかお)を訪ねるが、住人のプライバシーにかかわる問題だから見せられない、と言われてしまう。直美と加奈子は密かに安堵するが、陽子はあきらめず、なんとか見られるように調整してくれと坂下に迫る。  　防犯カメラの映像の保管期間は3週間。数日経てば証拠は消えるが、陽子の執拗な追跡に、直美と加奈子は"&amp;"不安が募る。加奈子は、当分、働くことは考えないほうがいいだろうと言うが、直美は加奈子の新たな人生のスタートのためには必要だとし、後日、李朱美(高畑淳子)の面接に一緒に出向く。  　同じ頃、陽子は、興信所へ駆け込み所員の三枝(前川泰之)に詳細を説明。三枝は、服部達郎(佐藤隆太)が失踪した理由は、仕事だけとは限らない、との見解を話す。興信所を出た陽子は、達郎の銀行の同僚の山本芳樹(近藤公園)に電話をかけ、あることを依頼する。  　別の日、直美は、顧客の斎藤順子(富司純子)の自宅で昼食をごちそうになった。帰ろう"&amp;"としたところに、山本がやってくる。達郎の行方が分からなくなったため、自分が順子を担当している、と聞いた直美は、銀行が行っている達郎に関する追加調査について探りを入れる。そこで直美は、山本の口から驚きの事実を聞き…。")</f>
        <v>　    ドラマ原作「ナオミとカナコ」奥田英朗著(幻冬舎刊)絶賛発売中!　小田直美(広末涼子)と服部加奈子(内田有紀)は、マンションの防犯カメラの映像を確認すると言って一歩も譲らない服部陽子(吉田羊)と管理人の坂下(ト字たかお)を訪ねるが、住人のプライバシーにかかわる問題だから見せられない、と言われてしまう。直美と加奈子は密かに安堵するが、陽子はあきらめず、なんとか見られるように調整してくれと坂下に迫る。  　防犯カメラの映像の保管期間は3週間。数日経てば証拠は消えるが、陽子の執拗な追跡に、直美と加奈子は不安が募る。加奈子は、当分、働くことは考えないほうがいいだろうと言うが、直美は加奈子の新たな人生のスタートのためには必要だとし、後日、李朱美(高畑淳子)の面接に一緒に出向く。  　同じ頃、陽子は、興信所へ駆け込み所員の三枝(前川泰之)に詳細を説明。三枝は、服部達郎(佐藤隆太)が失踪した理由は、仕事だけとは限らない、との見解を話す。興信所を出た陽子は、達郎の銀行の同僚の山本芳樹(近藤公園)に電話をかけ、あることを依頼する。  　別の日、直美は、顧客の斎藤順子(富司純子)の自宅で昼食をごちそうになった。帰ろうとしたところに、山本がやってくる。達郎の行方が分からなくなったため、自分が順子を担当している、と聞いた直美は、銀行が行っている達郎に関する追加調査について探りを入れる。そこで直美は、山本の口から驚きの事実を聞き…。</v>
      </c>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row>
    <row r="490" ht="204.75" customHeight="1">
      <c r="A490" s="1">
        <v>1822.0</v>
      </c>
      <c r="B490" s="2" t="s">
        <v>1551</v>
      </c>
      <c r="C490" s="2">
        <f>IFERROR(__xludf.DUMMYFUNCTION("split(B490,""_"")"),1601.0)</f>
        <v>1601</v>
      </c>
      <c r="D490" s="2" t="str">
        <f>IFERROR(__xludf.DUMMYFUNCTION("""COMPUTED_VALUE"""),"CX")</f>
        <v>CX</v>
      </c>
      <c r="E490" s="2" t="str">
        <f>IFERROR(__xludf.DUMMYFUNCTION("""COMPUTED_VALUE"""),"木22")</f>
        <v>木22</v>
      </c>
      <c r="F490" s="2" t="s">
        <v>1552</v>
      </c>
      <c r="G490" s="2" t="s">
        <v>1574</v>
      </c>
      <c r="H490" s="1">
        <v>8.0</v>
      </c>
      <c r="I490" s="1" t="s">
        <v>29</v>
      </c>
      <c r="J490" s="1" t="s">
        <v>82</v>
      </c>
      <c r="K490" s="2" t="s">
        <v>1575</v>
      </c>
      <c r="L490" s="2" t="s">
        <v>1576</v>
      </c>
      <c r="M490" s="2" t="str">
        <f>IFERROR(__xludf.DUMMYFUNCTION("split(split(K490,""広末涼子　"",false),""kanako"",false)"),"第8話、15分拡大スペシャルです!    番組ホームページ→　http://www.fujitv.co.jp/naomi-")</f>
        <v>第8話、15分拡大スペシャルです!    番組ホームページ→　http://www.fujitv.co.jp/naomi-</v>
      </c>
      <c r="N490" s="2" t="str">
        <f>IFERROR(__xludf.DUMMYFUNCTION("""COMPUTED_VALUE"""),"/index.html　    番組公式LINEアカウントあります!  LINE@naomiand")</f>
        <v>/index.html　    番組公式LINEアカウントあります!  LINE@naomiand</v>
      </c>
      <c r="O490" s="2" t="str">
        <f>IFERROR(__xludf.DUMMYFUNCTION("""COMPUTED_VALUE"""),"　    ドラマ原作「ナオミとカナコ」奥田英朗著(幻冬舎刊)絶賛発売中!　小田直美(広末涼子)は、対峙した服部陽子(吉田羊)から、銀行が横領事件をもみ消すのを待って服部達郎(佐藤隆太)を帰国させ、その後、達郎とともに海外へ逃げようとしているのだろう、と予想だにしなかったことを言われ、狼狽する。言葉に詰まる直美に、達郎を連れて来い、と一層激しく迫る陽子。直美が窮地に陥った時、李朱美(高畑淳子)が、ふたりの間に割って入った。  　一方、服部加奈子(内田有紀)が自宅に戻ると、物陰からスーツ姿の林竜輝(佐藤隆太/"&amp;"二役)が声をかけてきた。ぼう然とする加奈子に林は、どうしても会いたかったとほほ笑んだ。加奈子はとまどいながらも人目につかない場所へ林を連れていくと、林はそこで「林竜輝」名義のパスポートを見せ、今度中国に戻る時は自分と一緒に来て欲しい、と言う。その真剣でストレートな告白に、加奈子の心は揺れ動く。  　その後、加奈子のマンションへやって来た直美は、陽子がふたつの誤解をしていると加奈子に告げた。ひとつは、直美と達郎は不倫関係にあり、直美がそそのかして達郎が横領事件を起こしたと思っていること、ふたつめは、日本に戻"&amp;"っている林を達郎だと信じていることだと言う。陽子が林を見つけてしまったら、すべてが終わる、と焦る直美に、もし林が日本を出て行かないと言ったらどうするのか、と聞く加奈子。直美は、どうしても中国に帰らないと言うのなら、いなくなってもらうしかない、と言い放った。")</f>
        <v>　    ドラマ原作「ナオミとカナコ」奥田英朗著(幻冬舎刊)絶賛発売中!　小田直美(広末涼子)は、対峙した服部陽子(吉田羊)から、銀行が横領事件をもみ消すのを待って服部達郎(佐藤隆太)を帰国させ、その後、達郎とともに海外へ逃げようとしているのだろう、と予想だにしなかったことを言われ、狼狽する。言葉に詰まる直美に、達郎を連れて来い、と一層激しく迫る陽子。直美が窮地に陥った時、李朱美(高畑淳子)が、ふたりの間に割って入った。  　一方、服部加奈子(内田有紀)が自宅に戻ると、物陰からスーツ姿の林竜輝(佐藤隆太/二役)が声をかけてきた。ぼう然とする加奈子に林は、どうしても会いたかったとほほ笑んだ。加奈子はとまどいながらも人目につかない場所へ林を連れていくと、林はそこで「林竜輝」名義のパスポートを見せ、今度中国に戻る時は自分と一緒に来て欲しい、と言う。その真剣でストレートな告白に、加奈子の心は揺れ動く。  　その後、加奈子のマンションへやって来た直美は、陽子がふたつの誤解をしていると加奈子に告げた。ひとつは、直美と達郎は不倫関係にあり、直美がそそのかして達郎が横領事件を起こしたと思っていること、ふたつめは、日本に戻っている林を達郎だと信じていることだと言う。陽子が林を見つけてしまったら、すべてが終わる、と焦る直美に、もし林が日本を出て行かないと言ったらどうするのか、と聞く加奈子。直美は、どうしても中国に帰らないと言うのなら、いなくなってもらうしかない、と言い放った。</v>
      </c>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row>
    <row r="491" ht="204.75" customHeight="1">
      <c r="A491" s="1">
        <v>1823.0</v>
      </c>
      <c r="B491" s="2" t="s">
        <v>1551</v>
      </c>
      <c r="C491" s="2">
        <f>IFERROR(__xludf.DUMMYFUNCTION("split(B491,""_"")"),1601.0)</f>
        <v>1601</v>
      </c>
      <c r="D491" s="2" t="str">
        <f>IFERROR(__xludf.DUMMYFUNCTION("""COMPUTED_VALUE"""),"CX")</f>
        <v>CX</v>
      </c>
      <c r="E491" s="2" t="str">
        <f>IFERROR(__xludf.DUMMYFUNCTION("""COMPUTED_VALUE"""),"木22")</f>
        <v>木22</v>
      </c>
      <c r="F491" s="2" t="s">
        <v>1552</v>
      </c>
      <c r="G491" s="2" t="s">
        <v>1577</v>
      </c>
      <c r="H491" s="1">
        <v>9.0</v>
      </c>
      <c r="I491" s="1" t="s">
        <v>33</v>
      </c>
      <c r="J491" s="1" t="s">
        <v>86</v>
      </c>
      <c r="K491" s="2" t="s">
        <v>1578</v>
      </c>
      <c r="L491" s="2" t="s">
        <v>1579</v>
      </c>
      <c r="M491" s="2" t="str">
        <f>IFERROR(__xludf.DUMMYFUNCTION("split(split(K491,""広末涼子　"",false),""kanako"",false)"),"番組ホームページ→　http://www.fujitv.co.jp/naomi-")</f>
        <v>番組ホームページ→　http://www.fujitv.co.jp/naomi-</v>
      </c>
      <c r="N491" s="2" t="str">
        <f>IFERROR(__xludf.DUMMYFUNCTION("""COMPUTED_VALUE"""),"/index.html　    番組公式LINEアカウントあります!  LINE@naomiand")</f>
        <v>/index.html　    番組公式LINEアカウントあります!  LINE@naomiand</v>
      </c>
      <c r="O491" s="2" t="str">
        <f>IFERROR(__xludf.DUMMYFUNCTION("""COMPUTED_VALUE"""),"　    ドラマ原作「ナオミとカナコ」奥田英朗著(幻冬舎刊)絶賛発売中!    EXILE　ATSUSHIとAIが書き下ろした珠玉の主題歌「No　more」3月9日発売!　ここまで、何が起こっても揺るがなかった小田直美(広末涼子)と服部加奈子(内田有紀)の友情が決定的に決裂し、部屋に残された加奈子は抜け殻のようになっていた。どう声を掛けていいかわからない林竜輝(佐藤隆太)に、加奈子は決定的な別れを告げる。  　その頃、服部陽子(吉田羊)は、興信所の三枝(前川泰之)と、直美の家で違法に盗聴した音声データを分"&amp;"析していた。「達郎(佐藤隆太/二役)がいない」という意味が状況的にすんなりのみ込めない陽子だが、三枝は、まず林が何者なのかを知る必要があると話し、陽子は追及の手をますます強めていく。  　マンションに戻った加奈子は、直美の携帯電話にコールするが、留守番電話に切り替わる。加奈子はそこに、涙ながらに謝罪の言葉を残す。そんな時、突然の吐き気が再び加奈子を襲った。加奈子のことが許せない直美は、携帯電話から加奈子の連絡先を削除してしまう。  　次の日、加奈子は李商会に出勤したが、発熱と倦怠(けんたい)感、直美との決"&amp;"別で憔悴(しょうすい)しきっていた。それを見た李朱美(高畑淳子)は、どんな病気でも治すという漢方薬を加奈子に手渡した。  　一方、直美はホテルにいる林を呼び出すと、加奈子との関係について言及するつもりは一切ないが、日本にいてもらうのは困るから、中国に帰ってくれと頼む。林は、自分がいることで加奈子が苦しむなら帰ってもいいが、ひとつ頼みがあると言い…。")</f>
        <v>　    ドラマ原作「ナオミとカナコ」奥田英朗著(幻冬舎刊)絶賛発売中!    EXILE　ATSUSHIとAIが書き下ろした珠玉の主題歌「No　more」3月9日発売!　ここまで、何が起こっても揺るがなかった小田直美(広末涼子)と服部加奈子(内田有紀)の友情が決定的に決裂し、部屋に残された加奈子は抜け殻のようになっていた。どう声を掛けていいかわからない林竜輝(佐藤隆太)に、加奈子は決定的な別れを告げる。  　その頃、服部陽子(吉田羊)は、興信所の三枝(前川泰之)と、直美の家で違法に盗聴した音声データを分析していた。「達郎(佐藤隆太/二役)がいない」という意味が状況的にすんなりのみ込めない陽子だが、三枝は、まず林が何者なのかを知る必要があると話し、陽子は追及の手をますます強めていく。  　マンションに戻った加奈子は、直美の携帯電話にコールするが、留守番電話に切り替わる。加奈子はそこに、涙ながらに謝罪の言葉を残す。そんな時、突然の吐き気が再び加奈子を襲った。加奈子のことが許せない直美は、携帯電話から加奈子の連絡先を削除してしまう。  　次の日、加奈子は李商会に出勤したが、発熱と倦怠(けんたい)感、直美との決別で憔悴(しょうすい)しきっていた。それを見た李朱美(高畑淳子)は、どんな病気でも治すという漢方薬を加奈子に手渡した。  　一方、直美はホテルにいる林を呼び出すと、加奈子との関係について言及するつもりは一切ないが、日本にいてもらうのは困るから、中国に帰ってくれと頼む。林は、自分がいることで加奈子が苦しむなら帰ってもいいが、ひとつ頼みがあると言い…。</v>
      </c>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row>
    <row r="492" ht="204.75" customHeight="1">
      <c r="A492" s="1">
        <v>1824.0</v>
      </c>
      <c r="B492" s="2" t="s">
        <v>1551</v>
      </c>
      <c r="C492" s="2">
        <f>IFERROR(__xludf.DUMMYFUNCTION("split(B492,""_"")"),1601.0)</f>
        <v>1601</v>
      </c>
      <c r="D492" s="2" t="str">
        <f>IFERROR(__xludf.DUMMYFUNCTION("""COMPUTED_VALUE"""),"CX")</f>
        <v>CX</v>
      </c>
      <c r="E492" s="2" t="str">
        <f>IFERROR(__xludf.DUMMYFUNCTION("""COMPUTED_VALUE"""),"木22")</f>
        <v>木22</v>
      </c>
      <c r="F492" s="2" t="s">
        <v>1552</v>
      </c>
      <c r="G492" s="2" t="s">
        <v>1580</v>
      </c>
      <c r="H492" s="1">
        <v>10.0</v>
      </c>
      <c r="I492" s="1" t="s">
        <v>37</v>
      </c>
      <c r="J492" s="1" t="s">
        <v>86</v>
      </c>
      <c r="K492" s="2" t="s">
        <v>1581</v>
      </c>
      <c r="L492" s="2" t="s">
        <v>1582</v>
      </c>
      <c r="M492" s="2" t="str">
        <f>IFERROR(__xludf.DUMMYFUNCTION("split(split(K492,""広末涼子　"",false),""kanako"",false)"),"番組ホームページ→　http://www.fujitv.co.jp/naomi-")</f>
        <v>番組ホームページ→　http://www.fujitv.co.jp/naomi-</v>
      </c>
      <c r="N492" s="2" t="str">
        <f>IFERROR(__xludf.DUMMYFUNCTION("""COMPUTED_VALUE"""),"/index.html　    番組公式LINEアカウントあります!  LINE@naomiand")</f>
        <v>/index.html　    番組公式LINEアカウントあります!  LINE@naomiand</v>
      </c>
      <c r="O492" s="2" t="str">
        <f>IFERROR(__xludf.DUMMYFUNCTION("""COMPUTED_VALUE"""),"　    ドラマ原作「ナオミとカナコ」奥田英朗著(幻冬舎刊)絶賛発売中!    EXILE　ATSUSHIとAIが書き下ろした珠玉の主題歌「No　more」絶賛発売中!　小田直美(広末涼子)と服部加奈子(内田有紀)の前に現れた刑事の鍋島(モロ師岡)は、加奈子を促すと、警察車両に乗せた。そこへ服部陽子(吉田羊)が来て、警察に決定的な証拠となりうるマンションとATMの防犯カメラの映像を提出したこと、替え玉にした林竜輝(佐藤隆太)の存在を明かしたと告げる。加奈子は必ず自白するだろうと自信を見せる陽子に、直美は言"&amp;"葉を失った。  　その後、直美は李朱美(高畑淳子)の元へ駆け込むと、自分たちを助けてくれ、と訴える。朱美は試すように、警察は服部達郎(佐藤隆太/二役)の死体をすぐに見つけるだろうと言った。直美は、ついにすべてを打ち明け、その上でもう一度助けてくれ、と頭を下げた。  　同じ頃、加奈子は鍋島から厳しい取り調べを受けていた。陽子が直美に言った通り、警察は林を達郎の替え玉にしたことまでもつかんでいた。加奈子は黙り込むが、鍋島は二人の友情に付け込み、正直に話せば共犯者の直美にも情状酌量の余地があると仕掛けてくる。加"&amp;"奈子は心身ともに追い詰められ……。  　一方の陽子は、林が身を潜めていたホテルを突き止め、林に直美と加奈子が殺人者であることを明かす。さらに、自分は味方だと主張し、今警察に知っていることをすべて話せば、林にとって有利な証言をして助けることができると持ち掛け、林を動揺させる。  　直美と加奈子の最後の決断、それは本当の意味で二人を解き放つのか……。")</f>
        <v>　    ドラマ原作「ナオミとカナコ」奥田英朗著(幻冬舎刊)絶賛発売中!    EXILE　ATSUSHIとAIが書き下ろした珠玉の主題歌「No　more」絶賛発売中!　小田直美(広末涼子)と服部加奈子(内田有紀)の前に現れた刑事の鍋島(モロ師岡)は、加奈子を促すと、警察車両に乗せた。そこへ服部陽子(吉田羊)が来て、警察に決定的な証拠となりうるマンションとATMの防犯カメラの映像を提出したこと、替え玉にした林竜輝(佐藤隆太)の存在を明かしたと告げる。加奈子は必ず自白するだろうと自信を見せる陽子に、直美は言葉を失った。  　その後、直美は李朱美(高畑淳子)の元へ駆け込むと、自分たちを助けてくれ、と訴える。朱美は試すように、警察は服部達郎(佐藤隆太/二役)の死体をすぐに見つけるだろうと言った。直美は、ついにすべてを打ち明け、その上でもう一度助けてくれ、と頭を下げた。  　同じ頃、加奈子は鍋島から厳しい取り調べを受けていた。陽子が直美に言った通り、警察は林を達郎の替え玉にしたことまでもつかんでいた。加奈子は黙り込むが、鍋島は二人の友情に付け込み、正直に話せば共犯者の直美にも情状酌量の余地があると仕掛けてくる。加奈子は心身ともに追い詰められ……。  　一方の陽子は、林が身を潜めていたホテルを突き止め、林に直美と加奈子が殺人者であることを明かす。さらに、自分は味方だと主張し、今警察に知っていることをすべて話せば、林にとって有利な証言をして助けることができると持ち掛け、林を動揺させる。  　直美と加奈子の最後の決断、それは本当の意味で二人を解き放つのか……。</v>
      </c>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row>
    <row r="493" ht="204.75" customHeight="1">
      <c r="A493" s="1">
        <v>1871.0</v>
      </c>
      <c r="B493" s="2" t="s">
        <v>1583</v>
      </c>
      <c r="C493" s="2">
        <f>IFERROR(__xludf.DUMMYFUNCTION("split(B493,""_"")"),1510.0)</f>
        <v>1510</v>
      </c>
      <c r="D493" s="2" t="str">
        <f>IFERROR(__xludf.DUMMYFUNCTION("""COMPUTED_VALUE"""),"CX")</f>
        <v>CX</v>
      </c>
      <c r="E493" s="2" t="str">
        <f>IFERROR(__xludf.DUMMYFUNCTION("""COMPUTED_VALUE"""),"月21")</f>
        <v>月21</v>
      </c>
      <c r="F493" s="2" t="s">
        <v>1584</v>
      </c>
      <c r="G493" s="2" t="s">
        <v>1585</v>
      </c>
      <c r="H493" s="1">
        <v>1.0</v>
      </c>
      <c r="I493" s="1" t="s">
        <v>3</v>
      </c>
      <c r="J493" s="1" t="s">
        <v>4</v>
      </c>
      <c r="K493" s="2" t="s">
        <v>1586</v>
      </c>
      <c r="L493" s="2" t="s">
        <v>1587</v>
      </c>
      <c r="M493" s="2" t="str">
        <f>IFERROR(__xludf.DUMMYFUNCTION("split(split(K493,""石原さとみ　"",false),""で検索してね!"",false)"),"★5→9公式番組ホームページ★　  http://www.fujitv.co.jp/5ji9ji/　    ★公式twitter★　  @5ji9ji　")</f>
        <v>★5→9公式番組ホームページ★　  http://www.fujitv.co.jp/5ji9ji/　    ★公式twitter★　  @5ji9ji　</v>
      </c>
      <c r="N493" s="2" t="str">
        <f>IFERROR(__xludf.DUMMYFUNCTION("""COMPUTED_VALUE"""),"　桜庭潤子(石原さとみ)は、地元町内会の長老の葬儀に出席していた。やがて、焼香のために立ち上がろうとする潤子だったが、足がしびれておぼつかない足取りで焼香台に向かううち、前に突っ込みそうになる。そこで、体を支えようと潤子が台に手をついた瞬間、台が傾いて香炉が宙を舞った。香炉はあろうことか、僧侶・星川高嶺(山下智久)の全身に降りかかった。  　その後、潤子が働く英会話教室「ELA」に出勤。潤子がスタッフルームにいると、旧友で「ELA」に通う商社マンの三嶋聡(古川雄輝)がニューヨーク出張の土産を届けに来た。将"&amp;"来、ニューヨークで働くことを夢見る潤子は、講師の木村アーサー(速水もこみち)に、「三嶋と結婚すればいいのに」と無邪気に言われる。  　そんな折、潤子は母・桜庭恵子(戸田恵子)の策略で、見合いをすることに。そうとは知らず、高級料亭にやってくる潤子。通された部屋にいたのは、なんと高嶺。驚いて部屋を出ようとする潤子に、入るよう促す高嶺は、「あなたを私の妻にして差し上げます」と言い放つ。あまりに突然のことに、潤子は開いた口がふさがらない。  　後日、いつものように「ELA」に出勤し、教室のドアを開けた潤子は驚がく"&amp;"する。なんと高嶺がいたのだ。そこへ生徒の蜂屋蓮司(長妻怜央)らが来ると、高嶺はふたりに丁寧にあいさつ。そんな高嶺は、授業が始まると、流ちょうな英語で潤子にプロポーズし始める。")</f>
        <v>　桜庭潤子(石原さとみ)は、地元町内会の長老の葬儀に出席していた。やがて、焼香のために立ち上がろうとする潤子だったが、足がしびれておぼつかない足取りで焼香台に向かううち、前に突っ込みそうになる。そこで、体を支えようと潤子が台に手をついた瞬間、台が傾いて香炉が宙を舞った。香炉はあろうことか、僧侶・星川高嶺(山下智久)の全身に降りかかった。  　その後、潤子が働く英会話教室「ELA」に出勤。潤子がスタッフルームにいると、旧友で「ELA」に通う商社マンの三嶋聡(古川雄輝)がニューヨーク出張の土産を届けに来た。将来、ニューヨークで働くことを夢見る潤子は、講師の木村アーサー(速水もこみち)に、「三嶋と結婚すればいいのに」と無邪気に言われる。  　そんな折、潤子は母・桜庭恵子(戸田恵子)の策略で、見合いをすることに。そうとは知らず、高級料亭にやってくる潤子。通された部屋にいたのは、なんと高嶺。驚いて部屋を出ようとする潤子に、入るよう促す高嶺は、「あなたを私の妻にして差し上げます」と言い放つ。あまりに突然のことに、潤子は開いた口がふさがらない。  　後日、いつものように「ELA」に出勤し、教室のドアを開けた潤子は驚がくする。なんと高嶺がいたのだ。そこへ生徒の蜂屋蓮司(長妻怜央)らが来ると、高嶺はふたりに丁寧にあいさつ。そんな高嶺は、授業が始まると、流ちょうな英語で潤子にプロポーズし始める。</v>
      </c>
      <c r="O493" s="2"/>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row>
    <row r="494" ht="204.75" customHeight="1">
      <c r="A494" s="1">
        <v>1872.0</v>
      </c>
      <c r="B494" s="2" t="s">
        <v>1583</v>
      </c>
      <c r="C494" s="2">
        <f>IFERROR(__xludf.DUMMYFUNCTION("split(B494,""_"")"),1510.0)</f>
        <v>1510</v>
      </c>
      <c r="D494" s="2" t="str">
        <f>IFERROR(__xludf.DUMMYFUNCTION("""COMPUTED_VALUE"""),"CX")</f>
        <v>CX</v>
      </c>
      <c r="E494" s="2" t="str">
        <f>IFERROR(__xludf.DUMMYFUNCTION("""COMPUTED_VALUE"""),"月21")</f>
        <v>月21</v>
      </c>
      <c r="F494" s="2" t="s">
        <v>1584</v>
      </c>
      <c r="G494" s="2" t="s">
        <v>1588</v>
      </c>
      <c r="H494" s="1">
        <v>2.0</v>
      </c>
      <c r="I494" s="1" t="s">
        <v>7</v>
      </c>
      <c r="J494" s="1" t="s">
        <v>11</v>
      </c>
      <c r="K494" s="2" t="s">
        <v>1589</v>
      </c>
      <c r="L494" s="2" t="s">
        <v>1590</v>
      </c>
      <c r="M494" s="2" t="str">
        <f>IFERROR(__xludf.DUMMYFUNCTION("split(split(K494,""石原さとみ　"",false),""で検索してね!"",false)"),"★5→9公式番組ホームページ★　  http://www.fujitv.co.jp/5ji9ji/　    ★公式twitter★　  @5ji9ji　")</f>
        <v>★5→9公式番組ホームページ★　  http://www.fujitv.co.jp/5ji9ji/　    ★公式twitter★　  @5ji9ji　</v>
      </c>
      <c r="N494" s="2" t="str">
        <f>IFERROR(__xludf.DUMMYFUNCTION("""COMPUTED_VALUE"""),"　桜庭潤子(石原さとみ)は、星川高嶺(山下智久)によって一橋寺の離れに閉じ込められてしまう。そこは説教部屋として使われていた場所で、外に声が響くことはないという。恐怖を感じた潤子は開けてくれと頼むが、高嶺はそれを拒否。潤子を見張るかのように、部屋の外に座り続ける。  　やがてそこへ星川ひばり(加賀まりこ)がやってくる。ひばりは、高嶺が足利香織(吉本実憂)との見合いを切り上げたことを叱責。潤子のようなガサツな女性に寺の嫁が務まるわけがない、と文句を言う。すると高嶺は、潤子にきちんと接すれば良い部分が分かるは"&amp;"ずだと返す。もう二度と会うつもりはない、と言い放つひばりに、今すぐ会ってもらうと言って、高嶺は離れの扉を開けた。  　その後、潤子がヘトヘトになって帰宅すると、家族に交ざって高嶺がいた。すっかり家族になじみ、潤子の両親から結婚の許しももらったという高嶺。潤子は、想定外の展開の連続にあきれ返る。そんな時、ひばりが小坊主を従えて桜庭家に現れた。一橋寺で花嫁修業をさせるため、潤子を迎えに来たという。潤子以外の全員が賛成したため、潤子の荷物は一橋寺に運び出されてしまう。  　翌日、潤子は清宮真言(田中圭)から正社"&amp;"員昇格試験を受けてみないか、と勧められる。それはゼネラルマネジャーの推薦がなければ受けられない特別な試験で、合格すればすぐにニューヨーク本部に異動になると言う。それを聞いた潤子は…。")</f>
        <v>　桜庭潤子(石原さとみ)は、星川高嶺(山下智久)によって一橋寺の離れに閉じ込められてしまう。そこは説教部屋として使われていた場所で、外に声が響くことはないという。恐怖を感じた潤子は開けてくれと頼むが、高嶺はそれを拒否。潤子を見張るかのように、部屋の外に座り続ける。  　やがてそこへ星川ひばり(加賀まりこ)がやってくる。ひばりは、高嶺が足利香織(吉本実憂)との見合いを切り上げたことを叱責。潤子のようなガサツな女性に寺の嫁が務まるわけがない、と文句を言う。すると高嶺は、潤子にきちんと接すれば良い部分が分かるはずだと返す。もう二度と会うつもりはない、と言い放つひばりに、今すぐ会ってもらうと言って、高嶺は離れの扉を開けた。  　その後、潤子がヘトヘトになって帰宅すると、家族に交ざって高嶺がいた。すっかり家族になじみ、潤子の両親から結婚の許しももらったという高嶺。潤子は、想定外の展開の連続にあきれ返る。そんな時、ひばりが小坊主を従えて桜庭家に現れた。一橋寺で花嫁修業をさせるため、潤子を迎えに来たという。潤子以外の全員が賛成したため、潤子の荷物は一橋寺に運び出されてしまう。  　翌日、潤子は清宮真言(田中圭)から正社員昇格試験を受けてみないか、と勧められる。それはゼネラルマネジャーの推薦がなければ受けられない特別な試験で、合格すればすぐにニューヨーク本部に異動になると言う。それを聞いた潤子は…。</v>
      </c>
      <c r="O494" s="2"/>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row>
    <row r="495" ht="204.75" customHeight="1">
      <c r="A495" s="1">
        <v>1873.0</v>
      </c>
      <c r="B495" s="2" t="s">
        <v>1583</v>
      </c>
      <c r="C495" s="2">
        <f>IFERROR(__xludf.DUMMYFUNCTION("split(B495,""_"")"),1510.0)</f>
        <v>1510</v>
      </c>
      <c r="D495" s="2" t="str">
        <f>IFERROR(__xludf.DUMMYFUNCTION("""COMPUTED_VALUE"""),"CX")</f>
        <v>CX</v>
      </c>
      <c r="E495" s="2" t="str">
        <f>IFERROR(__xludf.DUMMYFUNCTION("""COMPUTED_VALUE"""),"月21")</f>
        <v>月21</v>
      </c>
      <c r="F495" s="2" t="s">
        <v>1584</v>
      </c>
      <c r="G495" s="2" t="s">
        <v>1591</v>
      </c>
      <c r="H495" s="1">
        <v>3.0</v>
      </c>
      <c r="I495" s="1" t="s">
        <v>10</v>
      </c>
      <c r="J495" s="1" t="s">
        <v>11</v>
      </c>
      <c r="K495" s="2" t="s">
        <v>1592</v>
      </c>
      <c r="L495" s="2" t="s">
        <v>1593</v>
      </c>
      <c r="M495" s="2" t="str">
        <f>IFERROR(__xludf.DUMMYFUNCTION("split(split(K495,""石原さとみ　"",false),""で検索してね!"",false)"),"★5→9公式番組ホームページ★　  http://www.fujitv.co.jp/5ji9ji/　    ★公式twitter★　  @5ji9ji　")</f>
        <v>★5→9公式番組ホームページ★　  http://www.fujitv.co.jp/5ji9ji/　    ★公式twitter★　  @5ji9ji　</v>
      </c>
      <c r="N495" s="2" t="str">
        <f>IFERROR(__xludf.DUMMYFUNCTION("""COMPUTED_VALUE"""),"　桜庭潤子(石原さとみ)は、正社員昇格試験に不合格となったのが、潤子をニューヨークに行かせたくない星川高嶺(山下智久)の策略だったと知り、呆然とする。高嶺は、そんな潤子を抱きしめるが、潤子はそれを振りほどくと、何があってもあなたを好きになることはない、と言って立ち去った。  　道を歩く潤子の脳裏には、高嶺との思い出がフラッシュバックする。涙をこらえようとするが、涙は止まらず、それを振り払うかのように潤子は足早になる。潤子が来たのは、ハロウィーンムード一色の「フォーティーナイナーズ」だった。そこには、清宮真"&amp;"言(田中圭)、山渕百絵(高梨臨)らがいた。潤子は、テーブルに並んだ料理を見ると、片っ端から食べまくる。事情を察した清宮は、気分を替えさせようと、翌週に開催されるハロウィーンパーティーの責任者に潤子を任命する。  　その頃、高嶺は一心不乱に読経を続け、その姿を那覇三休(寺田心)が見つめていた。　一方、ホテルのベッドで目覚めた三嶋聡(古川雄輝)は、隣に毛利まさこ(紗栄子)がいることに驚愕する。しかも、スマホには潤子からの着信が残っていた。  　翌日、潤子は「ELA」に出勤する。そこに高嶺も来て、潤子に話しかけ"&amp;"ようとするが、里中由希や蜂屋蓮司(長妻怜央)に邪魔されてしまう。始業のベルが鳴り、潤子は生徒たちを教室に入るよう促した。高嶺だけがロビーに残ったが、潤子はそのまま扉を閉めてしまう。")</f>
        <v>　桜庭潤子(石原さとみ)は、正社員昇格試験に不合格となったのが、潤子をニューヨークに行かせたくない星川高嶺(山下智久)の策略だったと知り、呆然とする。高嶺は、そんな潤子を抱きしめるが、潤子はそれを振りほどくと、何があってもあなたを好きになることはない、と言って立ち去った。  　道を歩く潤子の脳裏には、高嶺との思い出がフラッシュバックする。涙をこらえようとするが、涙は止まらず、それを振り払うかのように潤子は足早になる。潤子が来たのは、ハロウィーンムード一色の「フォーティーナイナーズ」だった。そこには、清宮真言(田中圭)、山渕百絵(高梨臨)らがいた。潤子は、テーブルに並んだ料理を見ると、片っ端から食べまくる。事情を察した清宮は、気分を替えさせようと、翌週に開催されるハロウィーンパーティーの責任者に潤子を任命する。  　その頃、高嶺は一心不乱に読経を続け、その姿を那覇三休(寺田心)が見つめていた。　一方、ホテルのベッドで目覚めた三嶋聡(古川雄輝)は、隣に毛利まさこ(紗栄子)がいることに驚愕する。しかも、スマホには潤子からの着信が残っていた。  　翌日、潤子は「ELA」に出勤する。そこに高嶺も来て、潤子に話しかけようとするが、里中由希や蜂屋蓮司(長妻怜央)に邪魔されてしまう。始業のベルが鳴り、潤子は生徒たちを教室に入るよう促した。高嶺だけがロビーに残ったが、潤子はそのまま扉を閉めてしまう。</v>
      </c>
      <c r="O495" s="2"/>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row>
    <row r="496" ht="204.75" customHeight="1">
      <c r="A496" s="1">
        <v>1874.0</v>
      </c>
      <c r="B496" s="2" t="s">
        <v>1583</v>
      </c>
      <c r="C496" s="2">
        <f>IFERROR(__xludf.DUMMYFUNCTION("split(B496,""_"")"),1510.0)</f>
        <v>1510</v>
      </c>
      <c r="D496" s="2" t="str">
        <f>IFERROR(__xludf.DUMMYFUNCTION("""COMPUTED_VALUE"""),"CX")</f>
        <v>CX</v>
      </c>
      <c r="E496" s="2" t="str">
        <f>IFERROR(__xludf.DUMMYFUNCTION("""COMPUTED_VALUE"""),"月21")</f>
        <v>月21</v>
      </c>
      <c r="F496" s="2" t="s">
        <v>1584</v>
      </c>
      <c r="G496" s="2" t="s">
        <v>1594</v>
      </c>
      <c r="H496" s="1">
        <v>4.0</v>
      </c>
      <c r="I496" s="1" t="s">
        <v>14</v>
      </c>
      <c r="J496" s="1" t="s">
        <v>11</v>
      </c>
      <c r="K496" s="2" t="s">
        <v>1595</v>
      </c>
      <c r="L496" s="2" t="s">
        <v>1596</v>
      </c>
      <c r="M496" s="2" t="str">
        <f>IFERROR(__xludf.DUMMYFUNCTION("split(split(K496,""石原さとみ　"",false),""で検索してね!"",false)"),"★5→9公式番組ホームページ★　  http://www.fujitv.co.jp/5ji9ji/　    ★公式twitter★　  @5ji9ji　")</f>
        <v>★5→9公式番組ホームページ★　  http://www.fujitv.co.jp/5ji9ji/　    ★公式twitter★　  @5ji9ji　</v>
      </c>
      <c r="N496" s="2" t="str">
        <f>IFERROR(__xludf.DUMMYFUNCTION("""COMPUTED_VALUE"""),"　桜庭潤子(石原さとみ)の両親の結婚のきっかけが“お泊り""だったと聞いた星川高嶺(山下智久)は、一橋寺を宿坊にしようと思いつく。星川ひばり(加賀まりこ)は、元総理の大事な法要が控えている時期だから、と反対するが、高嶺は計画を進めてしまう。  　宿坊体験の日、一橋寺に潤子と山渕百絵(高梨臨)がやってくる。高嶺は、潤子と百絵を別々の部屋へ案内。潤子とお泊まりをして結婚のきっかけを作ろうというのだ。潤子があきれていると、百絵と木村アーサー(速水もこみち)が部屋に駆け込んで来る。  　その頃、ELAでは、三嶋聡"&amp;"(古川雄輝)が、潤子とキスしていたことを毛利まさこ(紗栄子)に責められていた。泣きじゃくるまさこに、三嶋はオロオロするしかない。そんなまさこに、蜂屋蓮司(長妻怜央)が声をかける。一方、校長室にいた清宮真言(田中圭)は、2年前、ニューヨーク勤務時に潤子から届いたクリスマスカードを見つめていた。さらにそこには、清宮が出せなかった潤子へのカードもあった。  　後日、ELAに高嶺が倒れたと連絡が入る。法要を前にしながら、潤子たちをもてなすために働いた疲れが出たのでは、と心配になった潤子は寺に向かう決心をする。同じ"&amp;"頃、熱でうなされる高嶺を、足利香織(吉本実憂)が看病していた。  　やがて寺に着いた潤子は、苦しそうに寝ている高嶺のそばに座る。そんな潤子に気づいた高嶺は、手を握ってくれと頼む。")</f>
        <v>　桜庭潤子(石原さとみ)の両親の結婚のきっかけが“お泊り"だったと聞いた星川高嶺(山下智久)は、一橋寺を宿坊にしようと思いつく。星川ひばり(加賀まりこ)は、元総理の大事な法要が控えている時期だから、と反対するが、高嶺は計画を進めてしまう。  　宿坊体験の日、一橋寺に潤子と山渕百絵(高梨臨)がやってくる。高嶺は、潤子と百絵を別々の部屋へ案内。潤子とお泊まりをして結婚のきっかけを作ろうというのだ。潤子があきれていると、百絵と木村アーサー(速水もこみち)が部屋に駆け込んで来る。  　その頃、ELAでは、三嶋聡(古川雄輝)が、潤子とキスしていたことを毛利まさこ(紗栄子)に責められていた。泣きじゃくるまさこに、三嶋はオロオロするしかない。そんなまさこに、蜂屋蓮司(長妻怜央)が声をかける。一方、校長室にいた清宮真言(田中圭)は、2年前、ニューヨーク勤務時に潤子から届いたクリスマスカードを見つめていた。さらにそこには、清宮が出せなかった潤子へのカードもあった。  　後日、ELAに高嶺が倒れたと連絡が入る。法要を前にしながら、潤子たちをもてなすために働いた疲れが出たのでは、と心配になった潤子は寺に向かう決心をする。同じ頃、熱でうなされる高嶺を、足利香織(吉本実憂)が看病していた。  　やがて寺に着いた潤子は、苦しそうに寝ている高嶺のそばに座る。そんな潤子に気づいた高嶺は、手を握ってくれと頼む。</v>
      </c>
      <c r="O496" s="2"/>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row>
    <row r="497" ht="204.75" customHeight="1">
      <c r="A497" s="1">
        <v>1875.0</v>
      </c>
      <c r="B497" s="2" t="s">
        <v>1583</v>
      </c>
      <c r="C497" s="2">
        <f>IFERROR(__xludf.DUMMYFUNCTION("split(B497,""_"")"),1510.0)</f>
        <v>1510</v>
      </c>
      <c r="D497" s="2" t="str">
        <f>IFERROR(__xludf.DUMMYFUNCTION("""COMPUTED_VALUE"""),"CX")</f>
        <v>CX</v>
      </c>
      <c r="E497" s="2" t="str">
        <f>IFERROR(__xludf.DUMMYFUNCTION("""COMPUTED_VALUE"""),"月21")</f>
        <v>月21</v>
      </c>
      <c r="F497" s="2" t="s">
        <v>1584</v>
      </c>
      <c r="G497" s="2" t="s">
        <v>1597</v>
      </c>
      <c r="H497" s="1">
        <v>5.0</v>
      </c>
      <c r="I497" s="1" t="s">
        <v>17</v>
      </c>
      <c r="J497" s="1" t="s">
        <v>11</v>
      </c>
      <c r="K497" s="2" t="s">
        <v>1598</v>
      </c>
      <c r="L497" s="2" t="s">
        <v>1599</v>
      </c>
      <c r="M497" s="2" t="str">
        <f>IFERROR(__xludf.DUMMYFUNCTION("split(split(K497,""石原さとみ　"",false),""で検索してね!"",false)"),"★5→9公式番組ホームページ★　  http://www.fujitv.co.jp/5ji9ji/　    ★公式twitter★　  @5ji9ji　")</f>
        <v>★5→9公式番組ホームページ★　  http://www.fujitv.co.jp/5ji9ji/　    ★公式twitter★　  @5ji9ji　</v>
      </c>
      <c r="N497" s="2" t="str">
        <f>IFERROR(__xludf.DUMMYFUNCTION("""COMPUTED_VALUE"""),"　桜庭潤子(石原さとみ)とデートがしたい星川高嶺(山下智久)は、潤子の家族や一橋寺の住職たちに意見を求め、潤子が喜ぶデートプラン作りにまい進する。  　一方の潤子は、ビジネス英語のクラスの兼任が決まり、一層仕事にやる気が出る。さらに清宮真言(田中圭)から一緒にニューヨークに行ってほしい、と告白され、浮足立つ。そんな潤子を見て、山渕百絵(高梨臨)は良いことがあったのか、とツッコミを入れる。潤子が早速、ビジネス英語のクラスに入ると、そこに高嶺と三嶋聡(古川雄輝)がいた。潤子の脳裏に、三嶋とのキスの記憶がよみが"&amp;"えるが、それを振り払い授業を始めた。すると、高嶺と三嶋の、潤子を巡る英語でのトークバトルが勃発。それぞれがいかに潤子と親しいかをアピールするバトルに、潤子はへきえきとなる。　潤子がレッスンを終えてロビーに戻ると、そこに里中由希がいた。よく来たね、と頭をなでると由希は、先日、潤子に告白した件を謝った。そんな由希の側には、蜂屋蓮司(長妻怜央)がいた。  　高嶺が着々とデートの準備を進める一方、潤子は清宮との距離を縮めていた。ニューヨーク行きが現実味を帯びる中、潤子は高嶺との交際を正式に断ろうと決めた。ところが"&amp;"、タイミングが合わず話を切り出せない。そんな折、ELAに足利香織(吉本実憂)がやってくる。香織は潤子に、高嶺と結婚する気がないのなら思わせぶりな態度を取らないでくれ、と忠告する。")</f>
        <v>　桜庭潤子(石原さとみ)とデートがしたい星川高嶺(山下智久)は、潤子の家族や一橋寺の住職たちに意見を求め、潤子が喜ぶデートプラン作りにまい進する。  　一方の潤子は、ビジネス英語のクラスの兼任が決まり、一層仕事にやる気が出る。さらに清宮真言(田中圭)から一緒にニューヨークに行ってほしい、と告白され、浮足立つ。そんな潤子を見て、山渕百絵(高梨臨)は良いことがあったのか、とツッコミを入れる。潤子が早速、ビジネス英語のクラスに入ると、そこに高嶺と三嶋聡(古川雄輝)がいた。潤子の脳裏に、三嶋とのキスの記憶がよみがえるが、それを振り払い授業を始めた。すると、高嶺と三嶋の、潤子を巡る英語でのトークバトルが勃発。それぞれがいかに潤子と親しいかをアピールするバトルに、潤子はへきえきとなる。　潤子がレッスンを終えてロビーに戻ると、そこに里中由希がいた。よく来たね、と頭をなでると由希は、先日、潤子に告白した件を謝った。そんな由希の側には、蜂屋蓮司(長妻怜央)がいた。  　高嶺が着々とデートの準備を進める一方、潤子は清宮との距離を縮めていた。ニューヨーク行きが現実味を帯びる中、潤子は高嶺との交際を正式に断ろうと決めた。ところが、タイミングが合わず話を切り出せない。そんな折、ELAに足利香織(吉本実憂)がやってくる。香織は潤子に、高嶺と結婚する気がないのなら思わせぶりな態度を取らないでくれ、と忠告する。</v>
      </c>
      <c r="O497" s="2"/>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row>
    <row r="498" ht="204.75" customHeight="1">
      <c r="A498" s="1">
        <v>1876.0</v>
      </c>
      <c r="B498" s="2" t="s">
        <v>1583</v>
      </c>
      <c r="C498" s="2">
        <f>IFERROR(__xludf.DUMMYFUNCTION("split(B498,""_"")"),1510.0)</f>
        <v>1510</v>
      </c>
      <c r="D498" s="2" t="str">
        <f>IFERROR(__xludf.DUMMYFUNCTION("""COMPUTED_VALUE"""),"CX")</f>
        <v>CX</v>
      </c>
      <c r="E498" s="2" t="str">
        <f>IFERROR(__xludf.DUMMYFUNCTION("""COMPUTED_VALUE"""),"月21")</f>
        <v>月21</v>
      </c>
      <c r="F498" s="2" t="s">
        <v>1584</v>
      </c>
      <c r="G498" s="2" t="s">
        <v>1600</v>
      </c>
      <c r="H498" s="1">
        <v>6.0</v>
      </c>
      <c r="I498" s="1" t="s">
        <v>21</v>
      </c>
      <c r="J498" s="1" t="s">
        <v>11</v>
      </c>
      <c r="K498" s="2" t="s">
        <v>1601</v>
      </c>
      <c r="L498" s="2" t="s">
        <v>1602</v>
      </c>
      <c r="M498" s="2" t="str">
        <f>IFERROR(__xludf.DUMMYFUNCTION("split(split(K498,""石原さとみ　"",false),""で検索してね!"",false)"),"★5→9公式番組ホームページ★　  http://www.fujitv.co.jp/5ji9ji/　    ★公式twitter★　  @5ji9ji　")</f>
        <v>★5→9公式番組ホームページ★　  http://www.fujitv.co.jp/5ji9ji/　    ★公式twitter★　  @5ji9ji　</v>
      </c>
      <c r="N498" s="2" t="str">
        <f>IFERROR(__xludf.DUMMYFUNCTION("""COMPUTED_VALUE"""),"　英会話学校ELAの外国人講師同士が結婚することになり、桜庭潤子(石原さとみ)がパーティーの司会に任命される。潤子が引き受けたと知った木村アーサー(速水もこみち)は、もうひとりの司会者である清宮真言(田中圭)に声をかける。目を合わせた潤子と清宮の間に、気まずい空気が漂う。そんな中、アーサーと山渕百絵(高梨臨)は、新郎新婦のなれそめVTR作りを担当することが決まった。　一方、星川高嶺(山下智久)は、潤子の祖母・幸江の十七回忌の法事を取り仕切ることに。そのために、幸江の人柄を知りたいという高嶺は、潤子の家を訪"&amp;"ねて、幼い潤子と幸江が映るホームビデオの映像を食い入るように見る。すると、映像に触発されたのか、高嶺は桜庭満(上島竜兵)のビデオカメラを手にし、これからは自分が潤子の成長記録を残すと言って、潤子を撮り始める。翌日、ELAでも撮り続け、潤子はうんざりするが、そんな様子を清宮が見ていた。そんなところへ、メガネを外しイメージチェンジをした三嶋聡(古川雄輝)がやってくる。三嶋の変化にすぐに気付いた毛利まさこ(紗栄子)が声をかけるが、三嶋は潤子のもとへ行ってしまう。  　終業後、清宮は潤子に、自分が女性と写っていた"&amp;"写真を見たのか、と聞く。その話はもういいんです、と返す潤子に、お前にはちゃんと話したいんだ、と引き留める清宮。しかし、潤子は・・・。")</f>
        <v>　英会話学校ELAの外国人講師同士が結婚することになり、桜庭潤子(石原さとみ)がパーティーの司会に任命される。潤子が引き受けたと知った木村アーサー(速水もこみち)は、もうひとりの司会者である清宮真言(田中圭)に声をかける。目を合わせた潤子と清宮の間に、気まずい空気が漂う。そんな中、アーサーと山渕百絵(高梨臨)は、新郎新婦のなれそめVTR作りを担当することが決まった。　一方、星川高嶺(山下智久)は、潤子の祖母・幸江の十七回忌の法事を取り仕切ることに。そのために、幸江の人柄を知りたいという高嶺は、潤子の家を訪ねて、幼い潤子と幸江が映るホームビデオの映像を食い入るように見る。すると、映像に触発されたのか、高嶺は桜庭満(上島竜兵)のビデオカメラを手にし、これからは自分が潤子の成長記録を残すと言って、潤子を撮り始める。翌日、ELAでも撮り続け、潤子はうんざりするが、そんな様子を清宮が見ていた。そんなところへ、メガネを外しイメージチェンジをした三嶋聡(古川雄輝)がやってくる。三嶋の変化にすぐに気付いた毛利まさこ(紗栄子)が声をかけるが、三嶋は潤子のもとへ行ってしまう。  　終業後、清宮は潤子に、自分が女性と写っていた写真を見たのか、と聞く。その話はもういいんです、と返す潤子に、お前にはちゃんと話したいんだ、と引き留める清宮。しかし、潤子は・・・。</v>
      </c>
      <c r="O498" s="2"/>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row>
    <row r="499" ht="204.75" customHeight="1">
      <c r="A499" s="1">
        <v>1877.0</v>
      </c>
      <c r="B499" s="2" t="s">
        <v>1583</v>
      </c>
      <c r="C499" s="2">
        <f>IFERROR(__xludf.DUMMYFUNCTION("split(B499,""_"")"),1510.0)</f>
        <v>1510</v>
      </c>
      <c r="D499" s="2" t="str">
        <f>IFERROR(__xludf.DUMMYFUNCTION("""COMPUTED_VALUE"""),"CX")</f>
        <v>CX</v>
      </c>
      <c r="E499" s="2" t="str">
        <f>IFERROR(__xludf.DUMMYFUNCTION("""COMPUTED_VALUE"""),"月21")</f>
        <v>月21</v>
      </c>
      <c r="F499" s="2" t="s">
        <v>1584</v>
      </c>
      <c r="G499" s="2" t="s">
        <v>1603</v>
      </c>
      <c r="H499" s="1">
        <v>7.0</v>
      </c>
      <c r="I499" s="1" t="s">
        <v>25</v>
      </c>
      <c r="J499" s="1" t="s">
        <v>11</v>
      </c>
      <c r="K499" s="2" t="s">
        <v>1604</v>
      </c>
      <c r="L499" s="2" t="s">
        <v>1605</v>
      </c>
      <c r="M499" s="2" t="str">
        <f>IFERROR(__xludf.DUMMYFUNCTION("split(split(K499,""石原さとみ　"",false),""で検索してね!"",false)"),"★5→9公式番組ホームページ★　  http://www.fujitv.co.jp/5ji9ji/　    ★公式twitter★　  @5ji9ji　")</f>
        <v>★5→9公式番組ホームページ★　  http://www.fujitv.co.jp/5ji9ji/　    ★公式twitter★　  @5ji9ji　</v>
      </c>
      <c r="N499" s="2" t="str">
        <f>IFERROR(__xludf.DUMMYFUNCTION("""COMPUTED_VALUE"""),"　桜庭潤子(石原さとみ)は、星川高嶺(山下智久)のことを意識するようになるが、それが恋なのかどうか、自分でもよく分からない。一方で、清宮真言(田中圭)のことは避けるようになってしまう。  　そんな折、ELAにパーカー姿でニット帽をかぶった若者が現れる。どことなく近寄りがたい雰囲気に毛利まさこ(紗栄子)らが不安がる中、若者は潤子の前に来ると、上から下までなめるように見つめた。潤子が身構えると、高嶺が若者の肩をつかんだ。若者は、高嶺の弟の天音(志尊淳)だった。京都の寺で修行をしていたはずの天音がなぜ戻ってきた"&amp;"のか。  　同じ頃、桜庭寧々(恒松祐里)の誕生日が近づき、蜂屋蓮司(長妻怜央)と里中由希(高田彪我)がパーティーを開くことを計画。高嶺もはりきって豪勢なプランを考える。  　高嶺を意識すればするほど、潤子の態度はぎこちなくなり、潤子の変化を感じ取った高嶺は不審に思う。そんな潤子に、まさこはやり方がズルいと怒る。高嶺に保険をかけて、清宮を焦らしたままにしているというのだ。思い当たるふしがある潤子は、ちゃんと恋愛するのが久しぶりで自分でも分からないのだ、と明かした。  　別の日、潤子は自分に会いに来た天音と対"&amp;"峙する。天音は潤子に高嶺と結婚するつもりなのか、とぶしつけに聞き、潤子が返答に困ると、それがいかに苦労を伴うことかを力説。そこに踏み込む覚悟があるのか、と詰め寄られた潤子は…。")</f>
        <v>　桜庭潤子(石原さとみ)は、星川高嶺(山下智久)のことを意識するようになるが、それが恋なのかどうか、自分でもよく分からない。一方で、清宮真言(田中圭)のことは避けるようになってしまう。  　そんな折、ELAにパーカー姿でニット帽をかぶった若者が現れる。どことなく近寄りがたい雰囲気に毛利まさこ(紗栄子)らが不安がる中、若者は潤子の前に来ると、上から下までなめるように見つめた。潤子が身構えると、高嶺が若者の肩をつかんだ。若者は、高嶺の弟の天音(志尊淳)だった。京都の寺で修行をしていたはずの天音がなぜ戻ってきたのか。  　同じ頃、桜庭寧々(恒松祐里)の誕生日が近づき、蜂屋蓮司(長妻怜央)と里中由希(高田彪我)がパーティーを開くことを計画。高嶺もはりきって豪勢なプランを考える。  　高嶺を意識すればするほど、潤子の態度はぎこちなくなり、潤子の変化を感じ取った高嶺は不審に思う。そんな潤子に、まさこはやり方がズルいと怒る。高嶺に保険をかけて、清宮を焦らしたままにしているというのだ。思い当たるふしがある潤子は、ちゃんと恋愛するのが久しぶりで自分でも分からないのだ、と明かした。  　別の日、潤子は自分に会いに来た天音と対峙する。天音は潤子に高嶺と結婚するつもりなのか、とぶしつけに聞き、潤子が返答に困ると、それがいかに苦労を伴うことかを力説。そこに踏み込む覚悟があるのか、と詰め寄られた潤子は…。</v>
      </c>
      <c r="O499" s="2"/>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row>
    <row r="500" ht="204.75" customHeight="1">
      <c r="A500" s="1">
        <v>1878.0</v>
      </c>
      <c r="B500" s="2" t="s">
        <v>1583</v>
      </c>
      <c r="C500" s="2">
        <f>IFERROR(__xludf.DUMMYFUNCTION("split(B500,""_"")"),1510.0)</f>
        <v>1510</v>
      </c>
      <c r="D500" s="2" t="str">
        <f>IFERROR(__xludf.DUMMYFUNCTION("""COMPUTED_VALUE"""),"CX")</f>
        <v>CX</v>
      </c>
      <c r="E500" s="2" t="str">
        <f>IFERROR(__xludf.DUMMYFUNCTION("""COMPUTED_VALUE"""),"月21")</f>
        <v>月21</v>
      </c>
      <c r="F500" s="2" t="s">
        <v>1584</v>
      </c>
      <c r="G500" s="2" t="s">
        <v>1606</v>
      </c>
      <c r="H500" s="1">
        <v>8.0</v>
      </c>
      <c r="I500" s="1" t="s">
        <v>29</v>
      </c>
      <c r="J500" s="1" t="s">
        <v>11</v>
      </c>
      <c r="K500" s="2" t="s">
        <v>1607</v>
      </c>
      <c r="L500" s="2" t="s">
        <v>1608</v>
      </c>
      <c r="M500" s="2" t="str">
        <f>IFERROR(__xludf.DUMMYFUNCTION("split(split(K500,""石原さとみ　"",false),""で検索してね!"",false)"),"★5→9公式番組ホームページ★　  http://www.fujitv.co.jp/5ji9ji/　    ★公式twitter★　  @5ji9ji　")</f>
        <v>★5→9公式番組ホームページ★　  http://www.fujitv.co.jp/5ji9ji/　    ★公式twitter★　  @5ji9ji　</v>
      </c>
      <c r="N500" s="2" t="str">
        <f>IFERROR(__xludf.DUMMYFUNCTION("""COMPUTED_VALUE"""),"　桜庭潤子(石原さとみ)は、星川高嶺(山下智久)と交際することを決め、家族に報告。それを喜んだ桜庭恵子(戸田恵子)の発案で、二人は桜庭家で“同棲""することになる。  　その頃、一橋寺では、約束の時間に現れなかった高嶺に失望した星川ひばり(加賀まりこ)が、星川天音(志尊淳)を次期住職として、檀家にお披露目する、と意気込んでいた。さらに、その席で、天音と足利香織(吉本実憂)の婚約を発表するという。その後、一橋寺に戻った高嶺は、約束を破ってしまったことを謝りたいとひばりに面会を求めるが、拒絶される。それどころ"&amp;"か、一橋寺に高嶺の居場所はないとまで言われてしまう。  　英会話学校ELAに出勤した潤子は、山渕百絵(高梨臨)と毛利まさこ(紗栄子)に高嶺とのことを報告。するとまさこが、ニューヨーク行きはあきらめるのか、仕事を辞めて寺に嫁ぐ覚悟はあるのか、と潤子に迫る。そこまで深く考えていなかった潤子は、返答に困ってしまう。さらに、潤子は清宮真言(田中圭)から、受かればニューヨークに行ける正社員採用試験のエントリーシートを受け取った。仕事で認められて、夢をかなえるんだろ、と背中を押してくれる清宮に、潤子は複雑な思いになる"&amp;"。  　その夜、自宅に戻った潤子は、高嶺が着ていた輪袈裟に口紅が付いていることを発見。高嶺に突きつけると、香織のものだと認めた。怒った潤子は…。")</f>
        <v>　桜庭潤子(石原さとみ)は、星川高嶺(山下智久)と交際することを決め、家族に報告。それを喜んだ桜庭恵子(戸田恵子)の発案で、二人は桜庭家で“同棲"することになる。  　その頃、一橋寺では、約束の時間に現れなかった高嶺に失望した星川ひばり(加賀まりこ)が、星川天音(志尊淳)を次期住職として、檀家にお披露目する、と意気込んでいた。さらに、その席で、天音と足利香織(吉本実憂)の婚約を発表するという。その後、一橋寺に戻った高嶺は、約束を破ってしまったことを謝りたいとひばりに面会を求めるが、拒絶される。それどころか、一橋寺に高嶺の居場所はないとまで言われてしまう。  　英会話学校ELAに出勤した潤子は、山渕百絵(高梨臨)と毛利まさこ(紗栄子)に高嶺とのことを報告。するとまさこが、ニューヨーク行きはあきらめるのか、仕事を辞めて寺に嫁ぐ覚悟はあるのか、と潤子に迫る。そこまで深く考えていなかった潤子は、返答に困ってしまう。さらに、潤子は清宮真言(田中圭)から、受かればニューヨークに行ける正社員採用試験のエントリーシートを受け取った。仕事で認められて、夢をかなえるんだろ、と背中を押してくれる清宮に、潤子は複雑な思いになる。  　その夜、自宅に戻った潤子は、高嶺が着ていた輪袈裟に口紅が付いていることを発見。高嶺に突きつけると、香織のものだと認めた。怒った潤子は…。</v>
      </c>
      <c r="O500" s="2"/>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row>
    <row r="501" ht="204.75" customHeight="1">
      <c r="A501" s="1">
        <v>1879.0</v>
      </c>
      <c r="B501" s="2" t="s">
        <v>1583</v>
      </c>
      <c r="C501" s="2">
        <f>IFERROR(__xludf.DUMMYFUNCTION("split(B501,""_"")"),1510.0)</f>
        <v>1510</v>
      </c>
      <c r="D501" s="2" t="str">
        <f>IFERROR(__xludf.DUMMYFUNCTION("""COMPUTED_VALUE"""),"CX")</f>
        <v>CX</v>
      </c>
      <c r="E501" s="2" t="str">
        <f>IFERROR(__xludf.DUMMYFUNCTION("""COMPUTED_VALUE"""),"月21")</f>
        <v>月21</v>
      </c>
      <c r="F501" s="2" t="s">
        <v>1584</v>
      </c>
      <c r="G501" s="2" t="s">
        <v>1609</v>
      </c>
      <c r="H501" s="1">
        <v>9.0</v>
      </c>
      <c r="I501" s="1" t="s">
        <v>33</v>
      </c>
      <c r="J501" s="1" t="s">
        <v>11</v>
      </c>
      <c r="K501" s="2" t="s">
        <v>1610</v>
      </c>
      <c r="L501" s="2" t="s">
        <v>1611</v>
      </c>
      <c r="M501" s="2" t="str">
        <f>IFERROR(__xludf.DUMMYFUNCTION("split(split(K501,""石原さとみ　"",false),""で検索してね!"",false)"),"★5→9公式番組ホームページ★　  http://www.fujitv.co.jp/5ji9ji/　    ★公式twitter★　  @5ji9ji　")</f>
        <v>★5→9公式番組ホームページ★　  http://www.fujitv.co.jp/5ji9ji/　    ★公式twitter★　  @5ji9ji　</v>
      </c>
      <c r="N501" s="2" t="str">
        <f>IFERROR(__xludf.DUMMYFUNCTION("""COMPUTED_VALUE"""),"　桜庭潤子(石原さとみ)は、星川高嶺(山下智久)との結婚を決意し、ELAを辞めることを決断する。潤子が手渡した退職届を清宮真言(田中圭)は無言で受け取った。潤子の突然の退職発表に、山渕百絵(高梨臨)や毛利まさこ(紗栄子)らは、衝撃を受ける。  　自宅に戻った潤子は、高嶺や家族に退職の件を報告。一橋寺の嫁として星川ひばり(加賀まりこ)に認めてもらうためには、仕事をしている場合ではない、と前のめりの潤子に、高嶺は、ひばりのことは自分が何とかするから、退職を考え直してほしい、と言う。  　後日、高嶺は一橋寺に出"&amp;"向くと、星川天音(志尊淳)が企てる「一橋寺解体計画」の計画書をひばりに差し出した。ひばりは、そんな計画通りにはいかないと豪語。さらに、天音も高嶺も住職にするつもりはないと言い放つ。高嶺は、潤子が仕事を辞め一橋寺に嫁ごうとしていることを伝え、結婚を認めてほしい、と頼む。しかし、ひばりは潤子がどれほど努力しても決して認めない、とかたくなな態度を崩さない。  　桜庭家に戻った高嶺は、ひばりのことを潤子に報告。それを聞いてかえってやる気になった潤子は、翌日、高嶺とともにひばりを訪ねるが、ひばりは潤子に会おうともし"&amp;"ない。それでもめげない潤子は、ひばりの出先で待ち伏せをするが・・・。")</f>
        <v>　桜庭潤子(石原さとみ)は、星川高嶺(山下智久)との結婚を決意し、ELAを辞めることを決断する。潤子が手渡した退職届を清宮真言(田中圭)は無言で受け取った。潤子の突然の退職発表に、山渕百絵(高梨臨)や毛利まさこ(紗栄子)らは、衝撃を受ける。  　自宅に戻った潤子は、高嶺や家族に退職の件を報告。一橋寺の嫁として星川ひばり(加賀まりこ)に認めてもらうためには、仕事をしている場合ではない、と前のめりの潤子に、高嶺は、ひばりのことは自分が何とかするから、退職を考え直してほしい、と言う。  　後日、高嶺は一橋寺に出向くと、星川天音(志尊淳)が企てる「一橋寺解体計画」の計画書をひばりに差し出した。ひばりは、そんな計画通りにはいかないと豪語。さらに、天音も高嶺も住職にするつもりはないと言い放つ。高嶺は、潤子が仕事を辞め一橋寺に嫁ごうとしていることを伝え、結婚を認めてほしい、と頼む。しかし、ひばりは潤子がどれほど努力しても決して認めない、とかたくなな態度を崩さない。  　桜庭家に戻った高嶺は、ひばりのことを潤子に報告。それを聞いてかえってやる気になった潤子は、翌日、高嶺とともにひばりを訪ねるが、ひばりは潤子に会おうともしない。それでもめげない潤子は、ひばりの出先で待ち伏せをするが・・・。</v>
      </c>
      <c r="O501" s="2"/>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row>
    <row r="502" ht="204.75" customHeight="1">
      <c r="A502" s="1">
        <v>1880.0</v>
      </c>
      <c r="B502" s="2" t="s">
        <v>1583</v>
      </c>
      <c r="C502" s="2">
        <f>IFERROR(__xludf.DUMMYFUNCTION("split(B502,""_"")"),1510.0)</f>
        <v>1510</v>
      </c>
      <c r="D502" s="2" t="str">
        <f>IFERROR(__xludf.DUMMYFUNCTION("""COMPUTED_VALUE"""),"CX")</f>
        <v>CX</v>
      </c>
      <c r="E502" s="2" t="str">
        <f>IFERROR(__xludf.DUMMYFUNCTION("""COMPUTED_VALUE"""),"月21")</f>
        <v>月21</v>
      </c>
      <c r="F502" s="2" t="s">
        <v>1584</v>
      </c>
      <c r="G502" s="2" t="s">
        <v>1612</v>
      </c>
      <c r="H502" s="1">
        <v>10.0</v>
      </c>
      <c r="I502" s="1" t="s">
        <v>37</v>
      </c>
      <c r="J502" s="1" t="s">
        <v>11</v>
      </c>
      <c r="K502" s="2" t="s">
        <v>1613</v>
      </c>
      <c r="L502" s="2" t="s">
        <v>1614</v>
      </c>
      <c r="M502" s="2" t="str">
        <f>IFERROR(__xludf.DUMMYFUNCTION("split(split(K502,""石原さとみ　"",false),""で検索してね!"",false)"),"★5→9公式番組ホームページ★　  http://www.fujitv.co.jp/5ji9ji/　    ★公式twitter★　  @5ji9ji　")</f>
        <v>★5→9公式番組ホームページ★　  http://www.fujitv.co.jp/5ji9ji/　    ★公式twitter★　  @5ji9ji　</v>
      </c>
      <c r="N502" s="2" t="str">
        <f>IFERROR(__xludf.DUMMYFUNCTION("""COMPUTED_VALUE"""),"　桜庭潤子(石原さとみ)は、星川高嶺(山下智久)と別れることになったと、ELAの人々に報告。清宮真言(田中圭)は、潤子に復職するように言い、潤子もそれを受け入れる。一方、高嶺は足利香織(吉本実憂)との結婚を決意。星川ひばり(加賀まりこ)によって、日取りも決められてしまう。  　その頃、桜庭家では、元気のない潤子を励まそうと家族が必死になる。そこへ、高嶺が合鍵を返却しにやってくる。潤子と別れたと言う高嶺に、ショックを受ける潤子の家族。納得がいかない桜庭満(上島竜兵)は、自宅を後にした高嶺を追うが、目を真っ赤"&amp;"に充血させた高嶺を見て核心を突けなくなる。  　ELAでは、潤子と高嶺を仲直りさせようと、山渕百絵(高梨臨)や木村アーサー(速水もこみち)らが動き始める。高嶺に手料理を食べさせられなかったことが心残りだと言う潤子に、弁当を作らせ、一橋寺に連れて行く。寺に着いた潤子が戸惑っていると、あいさつ回りを終えた高嶺と香織が戻ってくる。潤子を認めた香織は、一礼するとその場を立ち去る。残された高嶺に、潤子は弁当を差し出すが、高嶺は一言も発さず行ってしまう。そこへ、星川天音(志尊淳)が現れた。事情を察した天音は、潤子の弁"&amp;"当を食べ始める。弁当を持ち帰るのが嫌だった潤子は、うまいと言って食べる天音に感謝し、帰っていく。すると、入れ替わりに高嶺がやってきて・・・。")</f>
        <v>　桜庭潤子(石原さとみ)は、星川高嶺(山下智久)と別れることになったと、ELAの人々に報告。清宮真言(田中圭)は、潤子に復職するように言い、潤子もそれを受け入れる。一方、高嶺は足利香織(吉本実憂)との結婚を決意。星川ひばり(加賀まりこ)によって、日取りも決められてしまう。  　その頃、桜庭家では、元気のない潤子を励まそうと家族が必死になる。そこへ、高嶺が合鍵を返却しにやってくる。潤子と別れたと言う高嶺に、ショックを受ける潤子の家族。納得がいかない桜庭満(上島竜兵)は、自宅を後にした高嶺を追うが、目を真っ赤に充血させた高嶺を見て核心を突けなくなる。  　ELAでは、潤子と高嶺を仲直りさせようと、山渕百絵(高梨臨)や木村アーサー(速水もこみち)らが動き始める。高嶺に手料理を食べさせられなかったことが心残りだと言う潤子に、弁当を作らせ、一橋寺に連れて行く。寺に着いた潤子が戸惑っていると、あいさつ回りを終えた高嶺と香織が戻ってくる。潤子を認めた香織は、一礼するとその場を立ち去る。残された高嶺に、潤子は弁当を差し出すが、高嶺は一言も発さず行ってしまう。そこへ、星川天音(志尊淳)が現れた。事情を察した天音は、潤子の弁当を食べ始める。弁当を持ち帰るのが嫌だった潤子は、うまいと言って食べる天音に感謝し、帰っていく。すると、入れ替わりに高嶺がやってきて・・・。</v>
      </c>
      <c r="O502" s="2"/>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row>
    <row r="503" ht="204.75" customHeight="1">
      <c r="A503" s="1">
        <v>1881.0</v>
      </c>
      <c r="B503" s="2" t="s">
        <v>1615</v>
      </c>
      <c r="C503" s="2">
        <f>IFERROR(__xludf.DUMMYFUNCTION("split(B503,""_"")"),1510.0)</f>
        <v>1510</v>
      </c>
      <c r="D503" s="2" t="str">
        <f>IFERROR(__xludf.DUMMYFUNCTION("""COMPUTED_VALUE"""),"CX")</f>
        <v>CX</v>
      </c>
      <c r="E503" s="2" t="str">
        <f>IFERROR(__xludf.DUMMYFUNCTION("""COMPUTED_VALUE"""),"火22")</f>
        <v>火22</v>
      </c>
      <c r="F503" s="2" t="s">
        <v>1616</v>
      </c>
      <c r="G503" s="2" t="s">
        <v>1617</v>
      </c>
      <c r="H503" s="1">
        <v>1.0</v>
      </c>
      <c r="I503" s="1" t="s">
        <v>3</v>
      </c>
      <c r="J503" s="1" t="s">
        <v>4</v>
      </c>
      <c r="K503" s="2" t="s">
        <v>1618</v>
      </c>
      <c r="L503" s="2" t="s">
        <v>1619</v>
      </c>
      <c r="M503" s="2" t="str">
        <f>IFERROR(__xludf.DUMMYFUNCTION("split(split(K503,""松坂桃李　"",false),""公式LINE"",false)"),"警視庁機動捜査隊員の里見偲(松坂桃李)は、先輩で相棒の猪熊夕貴(木村文乃)と周囲には内緒で付き合っている。  ある日2人は変死体発見現場で、橘カラ(菜々緒)に出会う。カラの猪熊に対する異様な視線に不安を覚える里見。翌日カラは里見のアパートを調べ上げ、猪熊の行動を監視すべく向かいのマンションに住む渡公平(光石研)に接触し、部屋に転がり込む。  目的は分からないもののカラのターゲットにされてしまった猪熊。そんな中、口の中に白いソックスが詰められた女性の変死体が発見される。刑事課の速水翔(北山宏光)からの報告を"&amp;"聞き、里見は上司の安藤実(船越英一郎)に「連続殺人事件では?」と進言するが相手にされない。  その夜里見は自宅で『シリアルキラー』という本を読んでいた。「シリアルキラーはしばしば被害者をストーキングする。獲物が決まったら獲物の信頼を得ようとする…」。里見が犯人像を探る中、カラが乗り込んだタクシーが闇へ消えて行く…。  また新たな遺体が発見され、被害者の携帯電話から殺害した女性達の写真が見つかる。そして遺留品には『シリアルキラー』の本が…。自分の推理が当たっていたにも関わらず、どこか腑に落ちない里見は猪熊と"&amp;"居酒屋で“ある香り""を嗅ぐ。「最近よく嗅ぐんだよね。いい香り…」。その言葉を聞いて静かに席を立ったのは、2人を尾行していたカラだった。勘の良い里見に、カラは「邪魔だな…」とつぶやいてー。")</f>
        <v>警視庁機動捜査隊員の里見偲(松坂桃李)は、先輩で相棒の猪熊夕貴(木村文乃)と周囲には内緒で付き合っている。  ある日2人は変死体発見現場で、橘カラ(菜々緒)に出会う。カラの猪熊に対する異様な視線に不安を覚える里見。翌日カラは里見のアパートを調べ上げ、猪熊の行動を監視すべく向かいのマンションに住む渡公平(光石研)に接触し、部屋に転がり込む。  目的は分からないもののカラのターゲットにされてしまった猪熊。そんな中、口の中に白いソックスが詰められた女性の変死体が発見される。刑事課の速水翔(北山宏光)からの報告を聞き、里見は上司の安藤実(船越英一郎)に「連続殺人事件では?」と進言するが相手にされない。  その夜里見は自宅で『シリアルキラー』という本を読んでいた。「シリアルキラーはしばしば被害者をストーキングする。獲物が決まったら獲物の信頼を得ようとする…」。里見が犯人像を探る中、カラが乗り込んだタクシーが闇へ消えて行く…。  また新たな遺体が発見され、被害者の携帯電話から殺害した女性達の写真が見つかる。そして遺留品には『シリアルキラー』の本が…。自分の推理が当たっていたにも関わらず、どこか腑に落ちない里見は猪熊と居酒屋で“ある香り"を嗅ぐ。「最近よく嗅ぐんだよね。いい香り…」。その言葉を聞いて静かに席を立ったのは、2人を尾行していたカラだった。勘の良い里見に、カラは「邪魔だな…」とつぶやいてー。</v>
      </c>
      <c r="N503" s="2"/>
      <c r="O503" s="2"/>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row>
    <row r="504" ht="204.75" customHeight="1">
      <c r="A504" s="1">
        <v>1882.0</v>
      </c>
      <c r="B504" s="2" t="s">
        <v>1615</v>
      </c>
      <c r="C504" s="2">
        <f>IFERROR(__xludf.DUMMYFUNCTION("split(B504,""_"")"),1510.0)</f>
        <v>1510</v>
      </c>
      <c r="D504" s="2" t="str">
        <f>IFERROR(__xludf.DUMMYFUNCTION("""COMPUTED_VALUE"""),"CX")</f>
        <v>CX</v>
      </c>
      <c r="E504" s="2" t="str">
        <f>IFERROR(__xludf.DUMMYFUNCTION("""COMPUTED_VALUE"""),"火22")</f>
        <v>火22</v>
      </c>
      <c r="F504" s="2" t="s">
        <v>1616</v>
      </c>
      <c r="G504" s="2" t="s">
        <v>1620</v>
      </c>
      <c r="H504" s="1">
        <v>2.0</v>
      </c>
      <c r="I504" s="1" t="s">
        <v>7</v>
      </c>
      <c r="J504" s="1" t="s">
        <v>86</v>
      </c>
      <c r="K504" s="2" t="s">
        <v>1621</v>
      </c>
      <c r="L504" s="2" t="s">
        <v>1622</v>
      </c>
      <c r="M504" s="2" t="str">
        <f>IFERROR(__xludf.DUMMYFUNCTION("split(split(K504,""松坂桃李　"",false),""公式LINE"",false)"),"「SMBC　日本シリーズ第3戦　東京ヤクルト×福岡ソフトバンク」延長の際は、放送時間繰り下げの場合あり。管内で起きた2つの事件がきっかけで、里見(松坂桃李)はカラ(菜々緒)の存在が気になり始めるが、自殺した絞殺事件の被疑者とカラの接点が見つからない。  そんなある日、安藤(船越英一郎)の指示で、被疑者が通っていた美容整形外科にカルテを借りに行った里見は、院長の月本(要潤)と対面する。  その晩里見は、酔った勢いで安藤や速水(北山宏光)をカラが働くキャバクラへと案内する。泥酔した里見がトイレで寝ていると、目"&amp;"の前にカラが現れ、いとも簡単に里見の体を抱き起こす。女性とは思えないその腕力に、思わず正気に返る里見。一方のカラは、突然店に来た里見の真意が分からず、いら立ちを覚える。    翌日、里見は以前に猪熊(木村文乃)たちと訪れたカラオケ店で、カラだけでなく、月本にも会ったことを思い出す。自殺した被疑者同様、カラも月本が整形した患者なのでは…と考えた里見は早速、猪熊にも内緒でクリニックを見張り始める。その頃、猪熊を格闘技の試合に誘ったカラは、その距離を急速に縮めようとしていた。  猪熊の家族関係や幼少期の話を聞き"&amp;"出し、上手く懐に入り込むカラ。  その数日後、繁華街で男が無差別に刃物を振り回していると通報が入る。騒ぎを聞きつけたカラは、里見と猪熊が現場に向かっていることを確認して店を飛び出し、犯人の前に立ちはだかる。すると、興奮した男はカラにナイフを向けて襲いかかり…。")</f>
        <v>「SMBC　日本シリーズ第3戦　東京ヤクルト×福岡ソフトバンク」延長の際は、放送時間繰り下げの場合あり。管内で起きた2つの事件がきっかけで、里見(松坂桃李)はカラ(菜々緒)の存在が気になり始めるが、自殺した絞殺事件の被疑者とカラの接点が見つからない。  そんなある日、安藤(船越英一郎)の指示で、被疑者が通っていた美容整形外科にカルテを借りに行った里見は、院長の月本(要潤)と対面する。  その晩里見は、酔った勢いで安藤や速水(北山宏光)をカラが働くキャバクラへと案内する。泥酔した里見がトイレで寝ていると、目の前にカラが現れ、いとも簡単に里見の体を抱き起こす。女性とは思えないその腕力に、思わず正気に返る里見。一方のカラは、突然店に来た里見の真意が分からず、いら立ちを覚える。    翌日、里見は以前に猪熊(木村文乃)たちと訪れたカラオケ店で、カラだけでなく、月本にも会ったことを思い出す。自殺した被疑者同様、カラも月本が整形した患者なのでは…と考えた里見は早速、猪熊にも内緒でクリニックを見張り始める。その頃、猪熊を格闘技の試合に誘ったカラは、その距離を急速に縮めようとしていた。  猪熊の家族関係や幼少期の話を聞き出し、上手く懐に入り込むカラ。  その数日後、繁華街で男が無差別に刃物を振り回していると通報が入る。騒ぎを聞きつけたカラは、里見と猪熊が現場に向かっていることを確認して店を飛び出し、犯人の前に立ちはだかる。すると、興奮した男はカラにナイフを向けて襲いかかり…。</v>
      </c>
      <c r="N504" s="2"/>
      <c r="O504" s="2"/>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row>
    <row r="505" ht="204.75" customHeight="1">
      <c r="A505" s="1">
        <v>1883.0</v>
      </c>
      <c r="B505" s="2" t="s">
        <v>1615</v>
      </c>
      <c r="C505" s="2">
        <f>IFERROR(__xludf.DUMMYFUNCTION("split(B505,""_"")"),1510.0)</f>
        <v>1510</v>
      </c>
      <c r="D505" s="2" t="str">
        <f>IFERROR(__xludf.DUMMYFUNCTION("""COMPUTED_VALUE"""),"CX")</f>
        <v>CX</v>
      </c>
      <c r="E505" s="2" t="str">
        <f>IFERROR(__xludf.DUMMYFUNCTION("""COMPUTED_VALUE"""),"火22")</f>
        <v>火22</v>
      </c>
      <c r="F505" s="2" t="s">
        <v>1616</v>
      </c>
      <c r="G505" s="2" t="s">
        <v>1623</v>
      </c>
      <c r="H505" s="1">
        <v>3.0</v>
      </c>
      <c r="I505" s="1" t="s">
        <v>10</v>
      </c>
      <c r="J505" s="1" t="s">
        <v>86</v>
      </c>
      <c r="K505" s="2" t="s">
        <v>1624</v>
      </c>
      <c r="L505" s="2" t="s">
        <v>1625</v>
      </c>
      <c r="M505" s="2" t="str">
        <f>IFERROR(__xludf.DUMMYFUNCTION("split(split(K505,""松坂桃李　"",false),""公式LINE"",false)"),"通り魔の一件で猪熊(木村文乃)の正義感に強い憧れを抱いたカラ(菜々緒)は、自分もそれを手に入れたいと考えていた。  一方、月本(要潤)こそが一連の事件の黒幕ではないかと考えた里見(松坂桃李)は、その行動をマーク。  月本がとある会員制のクラブに出入りしていることが分かると、自らも高級ブランドに身を包んで変装し周囲に内緒で潜入捜査を開始する。  やがて、クラブからアイ(佐野ひなこ)とレナ(入山杏奈)を紹介された里見は、クラブの実態が売春組織であること、さらに月本とクラブの関係も突き止める。  しかし、その話"&amp;"をライバルの速水(北山宏光)が聞いていた…!  速水は里見に貸した時計に、ひそかに盗聴器を仕掛けて里見の動きを探っていたのだ。  そうとは知らない里見が一人マンションへ帰ると、そこには電話がつながらないことを心配した猪熊の姿が。  猪熊は、里見から香るかすかな香水の匂いに気づき不安を覚えて…。  しばらくして、里見の報告書がきっかけで、署に会員制クラブを摘発するための捜査本部が置かれることに。  里見も猪熊とともに捜査のメンバーに加わるが、突如「捜査中断」の指示が。  どうやら、速水がクラブの客に関する重"&amp;"大な情報をつかんだらしい。  一方、捜査の手が自分に及ぶことを察知した月本は、逃亡を企てていた。  そんな中、カラが突然月本の前に現れる。  猪熊の正義感を追体験するため、カラは新たな計画を実行しようと…。")</f>
        <v>通り魔の一件で猪熊(木村文乃)の正義感に強い憧れを抱いたカラ(菜々緒)は、自分もそれを手に入れたいと考えていた。  一方、月本(要潤)こそが一連の事件の黒幕ではないかと考えた里見(松坂桃李)は、その行動をマーク。  月本がとある会員制のクラブに出入りしていることが分かると、自らも高級ブランドに身を包んで変装し周囲に内緒で潜入捜査を開始する。  やがて、クラブからアイ(佐野ひなこ)とレナ(入山杏奈)を紹介された里見は、クラブの実態が売春組織であること、さらに月本とクラブの関係も突き止める。  しかし、その話をライバルの速水(北山宏光)が聞いていた…!  速水は里見に貸した時計に、ひそかに盗聴器を仕掛けて里見の動きを探っていたのだ。  そうとは知らない里見が一人マンションへ帰ると、そこには電話がつながらないことを心配した猪熊の姿が。  猪熊は、里見から香るかすかな香水の匂いに気づき不安を覚えて…。  しばらくして、里見の報告書がきっかけで、署に会員制クラブを摘発するための捜査本部が置かれることに。  里見も猪熊とともに捜査のメンバーに加わるが、突如「捜査中断」の指示が。  どうやら、速水がクラブの客に関する重大な情報をつかんだらしい。  一方、捜査の手が自分に及ぶことを察知した月本は、逃亡を企てていた。  そんな中、カラが突然月本の前に現れる。  猪熊の正義感を追体験するため、カラは新たな計画を実行しようと…。</v>
      </c>
      <c r="N505" s="2"/>
      <c r="O505" s="2"/>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row>
    <row r="506" ht="204.75" customHeight="1">
      <c r="A506" s="1">
        <v>1884.0</v>
      </c>
      <c r="B506" s="2" t="s">
        <v>1615</v>
      </c>
      <c r="C506" s="2">
        <f>IFERROR(__xludf.DUMMYFUNCTION("split(B506,""_"")"),1510.0)</f>
        <v>1510</v>
      </c>
      <c r="D506" s="2" t="str">
        <f>IFERROR(__xludf.DUMMYFUNCTION("""COMPUTED_VALUE"""),"CX")</f>
        <v>CX</v>
      </c>
      <c r="E506" s="2" t="str">
        <f>IFERROR(__xludf.DUMMYFUNCTION("""COMPUTED_VALUE"""),"火22")</f>
        <v>火22</v>
      </c>
      <c r="F506" s="2" t="s">
        <v>1616</v>
      </c>
      <c r="G506" s="2" t="s">
        <v>1626</v>
      </c>
      <c r="H506" s="1">
        <v>4.0</v>
      </c>
      <c r="I506" s="1" t="s">
        <v>14</v>
      </c>
      <c r="J506" s="1" t="s">
        <v>86</v>
      </c>
      <c r="K506" s="2" t="s">
        <v>1627</v>
      </c>
      <c r="L506" s="2" t="s">
        <v>1628</v>
      </c>
      <c r="M506" s="2" t="str">
        <f>IFERROR(__xludf.DUMMYFUNCTION("split(split(K506,""松坂桃李　"",false),""公式LINE"",false)"),"月本(要潤)が行方をくらませたことで、警察は麻弥(三上紗弥)に手をかけたのが月本だと断定する。  しかし月本のクリニックにカラ(菜々緒)のカルテがなかったことが引っかかる里見(松坂桃李)は、再び調査を開始する。  すると、担当医の証言で、麻弥が病院に運び込まれた際、「助けて」とうわ言をつぶやいていたことが判明。  里見は、麻弥を襲ったのが月本ではなく、第三者である可能性を考えるが、確証は得られず、もはや犯人を見た麻弥の意識が戻るのを祈るしかない。  一方、里見と別行動することが多くなった猪熊(木村文乃)は"&amp;"、里見の背後にたびたび女性の気配を感じ、不安を募らせていた。    その頃、月本に制裁を加えたカラは、渡(光石研)に誘われ田舎の別荘へ行くことに。  渡はカラにプロポーズし、そこを新居に二人で新婚生活を送ろうと考えていたのだ。  しかし、そんな渡の恋心を逆手に取り、カラはその別荘を自分のある計画に使おうともくろみ、渡の決死のプロポーズにも「考えておく」と思わせぶりな返事をする。    翌日、新聞に麻弥が一命を取りとめたことが掲載される。  記事を読んだ犯人が麻弥の口を封じに来るのではと、慌てて病院へ向かう"&amp;"里見。  やがて、麻弥の無事を確認し、署に戻ろうとすると、すれ違った女性から嗅いだことのある香りが。呼び止めると、それは変装したカラだったー!")</f>
        <v>月本(要潤)が行方をくらませたことで、警察は麻弥(三上紗弥)に手をかけたのが月本だと断定する。  しかし月本のクリニックにカラ(菜々緒)のカルテがなかったことが引っかかる里見(松坂桃李)は、再び調査を開始する。  すると、担当医の証言で、麻弥が病院に運び込まれた際、「助けて」とうわ言をつぶやいていたことが判明。  里見は、麻弥を襲ったのが月本ではなく、第三者である可能性を考えるが、確証は得られず、もはや犯人を見た麻弥の意識が戻るのを祈るしかない。  一方、里見と別行動することが多くなった猪熊(木村文乃)は、里見の背後にたびたび女性の気配を感じ、不安を募らせていた。    その頃、月本に制裁を加えたカラは、渡(光石研)に誘われ田舎の別荘へ行くことに。  渡はカラにプロポーズし、そこを新居に二人で新婚生活を送ろうと考えていたのだ。  しかし、そんな渡の恋心を逆手に取り、カラはその別荘を自分のある計画に使おうともくろみ、渡の決死のプロポーズにも「考えておく」と思わせぶりな返事をする。    翌日、新聞に麻弥が一命を取りとめたことが掲載される。  記事を読んだ犯人が麻弥の口を封じに来るのではと、慌てて病院へ向かう里見。  やがて、麻弥の無事を確認し、署に戻ろうとすると、すれ違った女性から嗅いだことのある香りが。呼び止めると、それは変装したカラだったー!</v>
      </c>
      <c r="N506" s="2"/>
      <c r="O506" s="2"/>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row>
    <row r="507" ht="204.75" customHeight="1">
      <c r="A507" s="1">
        <v>1885.0</v>
      </c>
      <c r="B507" s="2" t="s">
        <v>1615</v>
      </c>
      <c r="C507" s="2">
        <f>IFERROR(__xludf.DUMMYFUNCTION("split(B507,""_"")"),1510.0)</f>
        <v>1510</v>
      </c>
      <c r="D507" s="2" t="str">
        <f>IFERROR(__xludf.DUMMYFUNCTION("""COMPUTED_VALUE"""),"CX")</f>
        <v>CX</v>
      </c>
      <c r="E507" s="2" t="str">
        <f>IFERROR(__xludf.DUMMYFUNCTION("""COMPUTED_VALUE"""),"火22")</f>
        <v>火22</v>
      </c>
      <c r="F507" s="2" t="s">
        <v>1616</v>
      </c>
      <c r="G507" s="2" t="s">
        <v>1629</v>
      </c>
      <c r="H507" s="1">
        <v>5.0</v>
      </c>
      <c r="I507" s="1" t="s">
        <v>17</v>
      </c>
      <c r="J507" s="1" t="s">
        <v>86</v>
      </c>
      <c r="K507" s="2" t="s">
        <v>1630</v>
      </c>
      <c r="L507" s="2" t="s">
        <v>1631</v>
      </c>
      <c r="M507" s="2" t="str">
        <f>IFERROR(__xludf.DUMMYFUNCTION("split(split(K507,""松坂桃李　"",false),""公式LINE"",false)"),"カラ(菜々緒)とホテルのエレベーターで接近しているところを猪熊(木村佳乃)に目撃された里見(松坂桃李)。  カラが2人を罠にはめるために送ったメールにおびき寄せられた猪熊に、カラとの関係を誤解された里見は何とか話をしようとするが、露骨に避ける猪熊。2人の間に、明らかな溝ができ始める。    翌朝、安藤(船越英一郎)に呼ばれた猪熊は、本庁捜査一課への異動を命じられるが、「どちらかが捜査一課へ行ったら結婚しよう」と里見と約束していたことが頭をよぎり、ちゅうちょしてしまう。前日の一件で、里見が何か隠し事をしてい"&amp;"ると確信した猪熊は返事を保留。  千歳(山口紗弥加)のアドバイスもあり、里見のことをもっとよく知ろうと、巡査になりたての里見が担当した過去の未解決事件について調べ始める。  一方、猪熊栄転のウワサを聞きつけた速水(北山宏光)は、猪熊が活躍するきっかけになったのはカラだとあたりをつけて、密かにカラに接触して…。    その頃、自分一人でカラと対峙することに限界を感じた里見は、アイ(佐野ひなこ)とレナ(入山杏奈)に協力を依頼していた。アイが会員制クラブの関係者からカラの住所を聞き出し、家の侵入に成功した里見。"&amp;"そこで、カラの過去を暴く思わぬものを発見する!")</f>
        <v>カラ(菜々緒)とホテルのエレベーターで接近しているところを猪熊(木村佳乃)に目撃された里見(松坂桃李)。  カラが2人を罠にはめるために送ったメールにおびき寄せられた猪熊に、カラとの関係を誤解された里見は何とか話をしようとするが、露骨に避ける猪熊。2人の間に、明らかな溝ができ始める。    翌朝、安藤(船越英一郎)に呼ばれた猪熊は、本庁捜査一課への異動を命じられるが、「どちらかが捜査一課へ行ったら結婚しよう」と里見と約束していたことが頭をよぎり、ちゅうちょしてしまう。前日の一件で、里見が何か隠し事をしていると確信した猪熊は返事を保留。  千歳(山口紗弥加)のアドバイスもあり、里見のことをもっとよく知ろうと、巡査になりたての里見が担当した過去の未解決事件について調べ始める。  一方、猪熊栄転のウワサを聞きつけた速水(北山宏光)は、猪熊が活躍するきっかけになったのはカラだとあたりをつけて、密かにカラに接触して…。    その頃、自分一人でカラと対峙することに限界を感じた里見は、アイ(佐野ひなこ)とレナ(入山杏奈)に協力を依頼していた。アイが会員制クラブの関係者からカラの住所を聞き出し、家の侵入に成功した里見。そこで、カラの過去を暴く思わぬものを発見する!</v>
      </c>
      <c r="N507" s="2"/>
      <c r="O507" s="2"/>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row>
    <row r="508" ht="204.75" customHeight="1">
      <c r="A508" s="1">
        <v>1886.0</v>
      </c>
      <c r="B508" s="2" t="s">
        <v>1615</v>
      </c>
      <c r="C508" s="2">
        <f>IFERROR(__xludf.DUMMYFUNCTION("split(B508,""_"")"),1510.0)</f>
        <v>1510</v>
      </c>
      <c r="D508" s="2" t="str">
        <f>IFERROR(__xludf.DUMMYFUNCTION("""COMPUTED_VALUE"""),"CX")</f>
        <v>CX</v>
      </c>
      <c r="E508" s="2" t="str">
        <f>IFERROR(__xludf.DUMMYFUNCTION("""COMPUTED_VALUE"""),"火22")</f>
        <v>火22</v>
      </c>
      <c r="F508" s="2" t="s">
        <v>1616</v>
      </c>
      <c r="G508" s="2" t="s">
        <v>1632</v>
      </c>
      <c r="H508" s="1">
        <v>6.0</v>
      </c>
      <c r="I508" s="1" t="s">
        <v>21</v>
      </c>
      <c r="J508" s="1" t="s">
        <v>86</v>
      </c>
      <c r="K508" s="2" t="s">
        <v>1633</v>
      </c>
      <c r="L508" s="2" t="s">
        <v>1634</v>
      </c>
      <c r="M508" s="2" t="str">
        <f>IFERROR(__xludf.DUMMYFUNCTION("split(split(K508,""松坂桃李　"",false),""公式LINE"",false)"),"猪熊(木村文乃)に拒絶された里見(松坂桃李)は、速水(北山宏光)から猪熊が捜査一課へ異動することを聞かされる。しかも猪熊が返事を保留していると知り、自分との結婚をちゅうちょしているのではと、ショックを受ける。  その頃、里見に自宅アパートを突き止められ、恋人が殺された過去の事件も嗅ぎつけられたカラ(菜々緒)は、少なからず危機感を覚えていた。そして、里見に情報をリークした人物がレナ(入山杏奈)だと分かると、それを逆手にとり、あることを企てる。その一方で、渡(光石研)には警察官にストーカーされていると訴え、里"&amp;"見の写真を見せるカラ。心配した渡はカラの思惑通り、街で偶然見かけた里見を尾行して…。  一方、8年前の事件を追う猪熊は、カラを呼び出して当時の話を聞くことに。するとカラは、ある場所に事件の資料を保管してあると告げ、誰にも言わないことを条件に、信用する猪熊にだけ、それを見せるという。そんな約束を知る由もない里見は、結婚の意思を確かめようと猪熊と居酒屋で待ち合わせる。しかし、近頃の里見の不審な行動が原因で、2人は再び言い争いに。怒った猪熊が店を出て行くと、そこへレナから呼び出しのメールが届く。猪熊のことを気に"&amp;"しながらも、指定されたホテルへと急ぐ里見。その様子を物陰から見ていた猪熊も、こっそり後を追う。しかし、到着した里見が部屋に入ると、突然、何者かが襲いかかってきてーー!?")</f>
        <v>猪熊(木村文乃)に拒絶された里見(松坂桃李)は、速水(北山宏光)から猪熊が捜査一課へ異動することを聞かされる。しかも猪熊が返事を保留していると知り、自分との結婚をちゅうちょしているのではと、ショックを受ける。  その頃、里見に自宅アパートを突き止められ、恋人が殺された過去の事件も嗅ぎつけられたカラ(菜々緒)は、少なからず危機感を覚えていた。そして、里見に情報をリークした人物がレナ(入山杏奈)だと分かると、それを逆手にとり、あることを企てる。その一方で、渡(光石研)には警察官にストーカーされていると訴え、里見の写真を見せるカラ。心配した渡はカラの思惑通り、街で偶然見かけた里見を尾行して…。  一方、8年前の事件を追う猪熊は、カラを呼び出して当時の話を聞くことに。するとカラは、ある場所に事件の資料を保管してあると告げ、誰にも言わないことを条件に、信用する猪熊にだけ、それを見せるという。そんな約束を知る由もない里見は、結婚の意思を確かめようと猪熊と居酒屋で待ち合わせる。しかし、近頃の里見の不審な行動が原因で、2人は再び言い争いに。怒った猪熊が店を出て行くと、そこへレナから呼び出しのメールが届く。猪熊のことを気にしながらも、指定されたホテルへと急ぐ里見。その様子を物陰から見ていた猪熊も、こっそり後を追う。しかし、到着した里見が部屋に入ると、突然、何者かが襲いかかってきてーー!?</v>
      </c>
      <c r="N508" s="2"/>
      <c r="O508" s="2"/>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row>
    <row r="509" ht="204.75" customHeight="1">
      <c r="A509" s="1">
        <v>1887.0</v>
      </c>
      <c r="B509" s="2" t="s">
        <v>1615</v>
      </c>
      <c r="C509" s="2">
        <f>IFERROR(__xludf.DUMMYFUNCTION("split(B509,""_"")"),1510.0)</f>
        <v>1510</v>
      </c>
      <c r="D509" s="2" t="str">
        <f>IFERROR(__xludf.DUMMYFUNCTION("""COMPUTED_VALUE"""),"CX")</f>
        <v>CX</v>
      </c>
      <c r="E509" s="2" t="str">
        <f>IFERROR(__xludf.DUMMYFUNCTION("""COMPUTED_VALUE"""),"火22")</f>
        <v>火22</v>
      </c>
      <c r="F509" s="2" t="s">
        <v>1616</v>
      </c>
      <c r="G509" s="2" t="s">
        <v>1635</v>
      </c>
      <c r="H509" s="1">
        <v>7.0</v>
      </c>
      <c r="I509" s="1" t="s">
        <v>25</v>
      </c>
      <c r="J509" s="1" t="s">
        <v>86</v>
      </c>
      <c r="K509" s="2" t="s">
        <v>1636</v>
      </c>
      <c r="L509" s="2" t="s">
        <v>1637</v>
      </c>
      <c r="M509" s="2" t="str">
        <f>IFERROR(__xludf.DUMMYFUNCTION("split(split(K509,""松坂桃李　"",false),""公式LINE"",false)"),"カラ(菜々緒)に殴られ意識を失った猪熊(木村文乃)が目を覚ますと、そこは地下室だった。  手足は拘束され、口もふさがれ、助けを呼ぶことは到底できそうにない。  自分を陥れたのがカラだとは想像もしていない猪熊は、姿が見えないカラの安否を気にするが、現れたカラは笑みを浮かべ、「恨みは一切ないです。でも殺します」とついに本性を現す。さらに、状況が飲み込めずぼうぜんとする猪熊に追い打ちをかけるように、自分が犯した殺人の数々について平然と語り出す。  警察官として犯行に気付かなかった自分のふがいなさを責める猪熊は、"&amp;"一方で、唯一、里見だけがカラの正体に気付き、自分を守ろうとしていたことを知り、涙する。  やがて、痛めつけられ、ボロボロになった体を引きずる猪熊に、カラはあることを語り始めて……。その頃、カラの故郷へ向かった里見(松坂桃李)は、出身校や実家を訪ねて回り、カラがいつも特定の友達と2人で遊んでいたことを突き止める。  するとそこへ、レナ(入山杏奈)と連絡がつかないとアイ(佐野ひなこ)から電話が。  さらに、猪熊も所在が分からないという。カラが絡んでいると確信した里見は、焦る気持ちを抑え、カラが働くキャバクラへ"&amp;"と1人で乗り込んでーー!?")</f>
        <v>カラ(菜々緒)に殴られ意識を失った猪熊(木村文乃)が目を覚ますと、そこは地下室だった。  手足は拘束され、口もふさがれ、助けを呼ぶことは到底できそうにない。  自分を陥れたのがカラだとは想像もしていない猪熊は、姿が見えないカラの安否を気にするが、現れたカラは笑みを浮かべ、「恨みは一切ないです。でも殺します」とついに本性を現す。さらに、状況が飲み込めずぼうぜんとする猪熊に追い打ちをかけるように、自分が犯した殺人の数々について平然と語り出す。  警察官として犯行に気付かなかった自分のふがいなさを責める猪熊は、一方で、唯一、里見だけがカラの正体に気付き、自分を守ろうとしていたことを知り、涙する。  やがて、痛めつけられ、ボロボロになった体を引きずる猪熊に、カラはあることを語り始めて……。その頃、カラの故郷へ向かった里見(松坂桃李)は、出身校や実家を訪ねて回り、カラがいつも特定の友達と2人で遊んでいたことを突き止める。  するとそこへ、レナ(入山杏奈)と連絡がつかないとアイ(佐野ひなこ)から電話が。  さらに、猪熊も所在が分からないという。カラが絡んでいると確信した里見は、焦る気持ちを抑え、カラが働くキャバクラへと1人で乗り込んでーー!?</v>
      </c>
      <c r="N509" s="2"/>
      <c r="O509" s="2"/>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row>
    <row r="510" ht="204.75" customHeight="1">
      <c r="A510" s="1">
        <v>1888.0</v>
      </c>
      <c r="B510" s="2" t="s">
        <v>1615</v>
      </c>
      <c r="C510" s="2">
        <f>IFERROR(__xludf.DUMMYFUNCTION("split(B510,""_"")"),1510.0)</f>
        <v>1510</v>
      </c>
      <c r="D510" s="2" t="str">
        <f>IFERROR(__xludf.DUMMYFUNCTION("""COMPUTED_VALUE"""),"CX")</f>
        <v>CX</v>
      </c>
      <c r="E510" s="2" t="str">
        <f>IFERROR(__xludf.DUMMYFUNCTION("""COMPUTED_VALUE"""),"火22")</f>
        <v>火22</v>
      </c>
      <c r="F510" s="2" t="s">
        <v>1616</v>
      </c>
      <c r="G510" s="2" t="s">
        <v>1638</v>
      </c>
      <c r="H510" s="1">
        <v>8.0</v>
      </c>
      <c r="I510" s="1" t="s">
        <v>29</v>
      </c>
      <c r="J510" s="1" t="s">
        <v>86</v>
      </c>
      <c r="K510" s="2" t="s">
        <v>1639</v>
      </c>
      <c r="L510" s="2" t="s">
        <v>1640</v>
      </c>
      <c r="M510" s="2" t="str">
        <f>IFERROR(__xludf.DUMMYFUNCTION("split(split(K510,""松坂桃李　"",false),""公式LINE"",false)"),"渡(光石研)に襲われ、意識不明の重体に陥った里見(松坂桃李)は、懸命の処置が施されるなか、途切れる意識の中で、初めて猪熊(木村文乃)に出会った頃のことを思い出していた。4年前、まだ巡査だった里見は、街中でひったくり犯を捕まえたことがきっかけで、当時交番勤務だった猪熊と出会い、一瞬にしてその笑顔に惹かれる。そして何度か会った後、初めて猪熊を部屋に呼ぶが、あまりに色気のない展開に業を煮やして思わず…逮捕した渡を取り調べた速水(北山宏光)と安藤(船越英一郎)は、渡がカラ(菜々緒)の婚約者と名乗り、カラのストーカ"&amp;"ー被害を訴えていたことから、犯行の動機が里見への復讐ではないかと考える。一方で、猪熊失踪との関連性も調べ始めるが、手がかりは見つからない。    監禁された猪熊のもとには、一連の事件の後に行方をくらませていた月本(要潤)が、憔悴しきった様子で姿を現す。さらに、カラから里見襲撃の話を聞き、深い絶望を味わう猪熊。やがてカラは、高校時代にある女子生徒と仲良くなったこと、その子がきっかけで整形を始めたこと、そして、恐るべきある衝動に駆られたことなどを話し始める。カラはすべてを語ると猪熊のスマホで両親へ「しばらく一"&amp;"人になりたい」と偽装メールを送り、「私の計画に変更は無い」と語って、ついに…!!")</f>
        <v>渡(光石研)に襲われ、意識不明の重体に陥った里見(松坂桃李)は、懸命の処置が施されるなか、途切れる意識の中で、初めて猪熊(木村文乃)に出会った頃のことを思い出していた。4年前、まだ巡査だった里見は、街中でひったくり犯を捕まえたことがきっかけで、当時交番勤務だった猪熊と出会い、一瞬にしてその笑顔に惹かれる。そして何度か会った後、初めて猪熊を部屋に呼ぶが、あまりに色気のない展開に業を煮やして思わず…逮捕した渡を取り調べた速水(北山宏光)と安藤(船越英一郎)は、渡がカラ(菜々緒)の婚約者と名乗り、カラのストーカー被害を訴えていたことから、犯行の動機が里見への復讐ではないかと考える。一方で、猪熊失踪との関連性も調べ始めるが、手がかりは見つからない。    監禁された猪熊のもとには、一連の事件の後に行方をくらませていた月本(要潤)が、憔悴しきった様子で姿を現す。さらに、カラから里見襲撃の話を聞き、深い絶望を味わう猪熊。やがてカラは、高校時代にある女子生徒と仲良くなったこと、その子がきっかけで整形を始めたこと、そして、恐るべきある衝動に駆られたことなどを話し始める。カラはすべてを語ると猪熊のスマホで両親へ「しばらく一人になりたい」と偽装メールを送り、「私の計画に変更は無い」と語って、ついに…!!</v>
      </c>
      <c r="N510" s="2"/>
      <c r="O510" s="2"/>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row>
    <row r="511" ht="204.75" customHeight="1">
      <c r="A511" s="1">
        <v>1889.0</v>
      </c>
      <c r="B511" s="2" t="s">
        <v>1615</v>
      </c>
      <c r="C511" s="2">
        <f>IFERROR(__xludf.DUMMYFUNCTION("split(B511,""_"")"),1510.0)</f>
        <v>1510</v>
      </c>
      <c r="D511" s="2" t="str">
        <f>IFERROR(__xludf.DUMMYFUNCTION("""COMPUTED_VALUE"""),"CX")</f>
        <v>CX</v>
      </c>
      <c r="E511" s="2" t="str">
        <f>IFERROR(__xludf.DUMMYFUNCTION("""COMPUTED_VALUE"""),"火22")</f>
        <v>火22</v>
      </c>
      <c r="F511" s="2" t="s">
        <v>1616</v>
      </c>
      <c r="G511" s="2" t="s">
        <v>1641</v>
      </c>
      <c r="H511" s="1">
        <v>9.0</v>
      </c>
      <c r="I511" s="1" t="s">
        <v>33</v>
      </c>
      <c r="J511" s="1" t="s">
        <v>86</v>
      </c>
      <c r="K511" s="2" t="s">
        <v>1642</v>
      </c>
      <c r="L511" s="2" t="s">
        <v>1643</v>
      </c>
      <c r="M511" s="2" t="str">
        <f>IFERROR(__xludf.DUMMYFUNCTION("split(split(K511,""松坂桃李　"",false),""公式LINE"",false)"),"カラ(菜々緒)との壮絶なバトルの末、地下室で監禁され弱りきった猪熊(木村文乃)を発見した里見(松坂桃李)。しかし、一度は拘束したカラが再び2人に襲いかかり、最後は斧を振りかざすカラに猪熊が発砲。胸を撃ち抜かれたカラは死亡する。そして、燃えさかる別荘から何とか脱出した里見と猪熊は、駆け付けた速水(北山宏光)たちに保護され、焼け跡からはカラの遺体が見つかった。病院で目を覚ました里見が猪熊の病室を訪ねると、そこには無事保護されたアイ(佐野ひなこ)とレナ(入山杏奈)の姿が。猪熊と同じく監禁されていたレナだったが、"&amp;"もう退院できるという。アイとレナが病室を出ていくと、里見は「生きた心地がしなかった」と猪熊を抱きしめる。久しぶりに恋人同士の平穏な時間を取り戻した2人は、自然とキスを交わす…。一方で、里見はまだ、心のどこかで今回の事件のことが引っかかっていた。猪熊の証言によると、カラは里見と猪熊の関係に嫉妬していたというが、これまで幾度となくカラと対峙してきた里見には、完璧な悪女であるカラの犯行動機が、単なる“嫉妬""だとは到底思えなかったのだ。そして、ある疑惑を胸に、もう一度カラの過去を洗い直そうと再び単独捜査を開始。"&amp;"しかしそこには、誰も予想していなかった、驚きの結末が待っていたーーカラの恐ろしい計画は、まだ終わっていなかった!")</f>
        <v>カラ(菜々緒)との壮絶なバトルの末、地下室で監禁され弱りきった猪熊(木村文乃)を発見した里見(松坂桃李)。しかし、一度は拘束したカラが再び2人に襲いかかり、最後は斧を振りかざすカラに猪熊が発砲。胸を撃ち抜かれたカラは死亡する。そして、燃えさかる別荘から何とか脱出した里見と猪熊は、駆け付けた速水(北山宏光)たちに保護され、焼け跡からはカラの遺体が見つかった。病院で目を覚ました里見が猪熊の病室を訪ねると、そこには無事保護されたアイ(佐野ひなこ)とレナ(入山杏奈)の姿が。猪熊と同じく監禁されていたレナだったが、もう退院できるという。アイとレナが病室を出ていくと、里見は「生きた心地がしなかった」と猪熊を抱きしめる。久しぶりに恋人同士の平穏な時間を取り戻した2人は、自然とキスを交わす…。一方で、里見はまだ、心のどこかで今回の事件のことが引っかかっていた。猪熊の証言によると、カラは里見と猪熊の関係に嫉妬していたというが、これまで幾度となくカラと対峙してきた里見には、完璧な悪女であるカラの犯行動機が、単なる“嫉妬"だとは到底思えなかったのだ。そして、ある疑惑を胸に、もう一度カラの過去を洗い直そうと再び単独捜査を開始。しかしそこには、誰も予想していなかった、驚きの結末が待っていたーーカラの恐ろしい計画は、まだ終わっていなかった!</v>
      </c>
      <c r="N511" s="2"/>
      <c r="O511" s="2"/>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row>
    <row r="512" ht="204.75" customHeight="1">
      <c r="A512" s="1">
        <v>1910.0</v>
      </c>
      <c r="B512" s="2" t="s">
        <v>1644</v>
      </c>
      <c r="C512" s="2">
        <f>IFERROR(__xludf.DUMMYFUNCTION("split(B512,""_"")"),1510.0)</f>
        <v>1510</v>
      </c>
      <c r="D512" s="2" t="str">
        <f>IFERROR(__xludf.DUMMYFUNCTION("""COMPUTED_VALUE"""),"CX")</f>
        <v>CX</v>
      </c>
      <c r="E512" s="2" t="str">
        <f>IFERROR(__xludf.DUMMYFUNCTION("""COMPUTED_VALUE"""),"水22")</f>
        <v>水22</v>
      </c>
      <c r="F512" s="2" t="s">
        <v>1645</v>
      </c>
      <c r="G512" s="2" t="s">
        <v>1646</v>
      </c>
      <c r="H512" s="1">
        <v>1.0</v>
      </c>
      <c r="I512" s="1" t="s">
        <v>3</v>
      </c>
      <c r="J512" s="1" t="s">
        <v>1647</v>
      </c>
      <c r="K512" s="2" t="s">
        <v>1648</v>
      </c>
      <c r="L512" s="2" t="s">
        <v>1649</v>
      </c>
      <c r="M512" s="2" t="str">
        <f>IFERROR(__xludf.DUMMYFUNCTION("split(split(K512,""西島秀俊　"",false),""html"",false)"),"番組ホームページはこちら→　http://www.fujitv.co.jp/mutsu/index.")</f>
        <v>番組ホームページはこちら→　http://www.fujitv.co.jp/mutsu/index.</v>
      </c>
      <c r="N512" s="2" t="str">
        <f>IFERROR(__xludf.DUMMYFUNCTION("""COMPUTED_VALUE"""),"　住宅街の片隅で小さな診療所を営む為頼英介(西島秀俊)は、患者の病気を外観から見ただけで判断出来る特殊な能力を持つ。それは一見、素晴らしい能力なのだが、為頼には手の施しようがない患者までわかってしまう。その研ぎ澄まされた診察眼は、為頼に犯罪者特有の徴候“犯因症""をも見せてしまう。  　為頼は診療所の看護師で義姉の井上和枝(浅田美代子)と町を歩いていた。その間も道行く人々の病状が見えてしまいむなしく思う為頼。そんな為頼が和枝と別れた直後、犯因症の徴候を持つ男(小久保寿人)とすれ違う。男が和枝の去った方に行"&amp;"くのを確認した為頼は、和枝の身を案じ警察に通報した後、自身もその男を追う。和枝に危険を報せて付近の人々を安全な店に誘導しようとした矢先、男が暴れ出した。為頼は傷ついた人たちに素早く治療を施し始める。そこに、報告を受けた早瀬順一郎刑事(伊藤淳史)が到着して男に発砲、取り押さえた。　通り魔によるけが人たちは白神陽児(伊藤英明)が経営する病院に運び込まれる。救急隊員から現場での為頼の迅速な処置の様子を聞いた白神も為頼に関心を持った。白神はけがをした和枝のオペを開始。だが、なぜかオペの見学を掃除係のイバラ(中村蒼"&amp;")にも許した。  　事件現場で聞き込みをしていた早瀬は、為頼からの通報が事件発生前だったことを知る。なぜ事件が起きることを為頼が知る事が出来たのか?興味を抱いた早瀬は…。")</f>
        <v>　住宅街の片隅で小さな診療所を営む為頼英介(西島秀俊)は、患者の病気を外観から見ただけで判断出来る特殊な能力を持つ。それは一見、素晴らしい能力なのだが、為頼には手の施しようがない患者までわかってしまう。その研ぎ澄まされた診察眼は、為頼に犯罪者特有の徴候“犯因症"をも見せてしまう。  　為頼は診療所の看護師で義姉の井上和枝(浅田美代子)と町を歩いていた。その間も道行く人々の病状が見えてしまいむなしく思う為頼。そんな為頼が和枝と別れた直後、犯因症の徴候を持つ男(小久保寿人)とすれ違う。男が和枝の去った方に行くのを確認した為頼は、和枝の身を案じ警察に通報した後、自身もその男を追う。和枝に危険を報せて付近の人々を安全な店に誘導しようとした矢先、男が暴れ出した。為頼は傷ついた人たちに素早く治療を施し始める。そこに、報告を受けた早瀬順一郎刑事(伊藤淳史)が到着して男に発砲、取り押さえた。　通り魔によるけが人たちは白神陽児(伊藤英明)が経営する病院に運び込まれる。救急隊員から現場での為頼の迅速な処置の様子を聞いた白神も為頼に関心を持った。白神はけがをした和枝のオペを開始。だが、なぜかオペの見学を掃除係のイバラ(中村蒼)にも許した。  　事件現場で聞き込みをしていた早瀬は、為頼からの通報が事件発生前だったことを知る。なぜ事件が起きることを為頼が知る事が出来たのか?興味を抱いた早瀬は…。</v>
      </c>
      <c r="O512" s="2"/>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row>
    <row r="513" ht="204.75" customHeight="1">
      <c r="A513" s="1">
        <v>1911.0</v>
      </c>
      <c r="B513" s="2" t="s">
        <v>1644</v>
      </c>
      <c r="C513" s="2">
        <f>IFERROR(__xludf.DUMMYFUNCTION("split(B513,""_"")"),1510.0)</f>
        <v>1510</v>
      </c>
      <c r="D513" s="2" t="str">
        <f>IFERROR(__xludf.DUMMYFUNCTION("""COMPUTED_VALUE"""),"CX")</f>
        <v>CX</v>
      </c>
      <c r="E513" s="2" t="str">
        <f>IFERROR(__xludf.DUMMYFUNCTION("""COMPUTED_VALUE"""),"水22")</f>
        <v>水22</v>
      </c>
      <c r="F513" s="2" t="s">
        <v>1645</v>
      </c>
      <c r="G513" s="2" t="s">
        <v>1650</v>
      </c>
      <c r="H513" s="1">
        <v>2.0</v>
      </c>
      <c r="I513" s="1" t="s">
        <v>7</v>
      </c>
      <c r="J513" s="1" t="s">
        <v>86</v>
      </c>
      <c r="K513" s="2" t="s">
        <v>1651</v>
      </c>
      <c r="L513" s="2" t="s">
        <v>1652</v>
      </c>
      <c r="M513" s="2" t="str">
        <f>IFERROR(__xludf.DUMMYFUNCTION("split(split(K513,""西島秀俊　"",false),""html"",false)"),"番組ホームページはこちら→　http://www.fujitv.co.jp/mutsu/index.")</f>
        <v>番組ホームページはこちら→　http://www.fujitv.co.jp/mutsu/index.</v>
      </c>
      <c r="N513" s="2" t="str">
        <f>IFERROR(__xludf.DUMMYFUNCTION("""COMPUTED_VALUE"""),"　為頼英介(西島秀俊)は、通り魔事件で負傷して白神メディカルセンターで治療を受けた義姉、井上和枝(浅田美代子)の退院を手伝いに行く。するとセンターの院長、白神陽児(伊藤英明)が為頼に院内を案内したいと伝えてきた。ためらう為頼だが和枝の勧めもあり、白神のもとへ。  　白神は為頼を歓迎し、最新設備が整った施設を案内。為頼が驚いたのは診療を待つ患者が少ないことだ。白神は裕福な患者に医療保険外のオプションサービスで特別料金を取り、その分、医師の数を増やすことなどで質の高いサービスに務めると言う。為頼は、これからも"&amp;"自分の診療所では手に負えない患者に白神の病院を紹介すると告げた。  　一方、早瀬順一郎刑事(伊藤淳史)は為頼の能力に高い関心を寄せ、ネットなどで調べていた。そんな時、管内で殺人事件が発生。被害者は山田輝久(ジジ・ぶぅ)というアパートの住人で、自室で腹部を刺されて死んでいた。しばらくすると工藤一尊(有薗芳記)という男が挙動不審で逮捕される。工藤は自ら山田殺しを告白するが、何か腑に落ちない早瀬は取り調べを同僚に任せて出かける。  　早瀬が向かったのは、診断学の権威で為頼の恩師、久留米実(津嘉山正種)の家。早瀬"&amp;"は久留米から、為頼には殺人を犯す人間に顕れる犯因症が見えると教えられた。  　果たして工藤は、本当に山田を殺したのか?早瀬は為頼に、工藤の面通しを頼む。早瀬に従い、工藤を診た為頼は…。為頼英介:　")</f>
        <v>　為頼英介(西島秀俊)は、通り魔事件で負傷して白神メディカルセンターで治療を受けた義姉、井上和枝(浅田美代子)の退院を手伝いに行く。するとセンターの院長、白神陽児(伊藤英明)が為頼に院内を案内したいと伝えてきた。ためらう為頼だが和枝の勧めもあり、白神のもとへ。  　白神は為頼を歓迎し、最新設備が整った施設を案内。為頼が驚いたのは診療を待つ患者が少ないことだ。白神は裕福な患者に医療保険外のオプションサービスで特別料金を取り、その分、医師の数を増やすことなどで質の高いサービスに務めると言う。為頼は、これからも自分の診療所では手に負えない患者に白神の病院を紹介すると告げた。  　一方、早瀬順一郎刑事(伊藤淳史)は為頼の能力に高い関心を寄せ、ネットなどで調べていた。そんな時、管内で殺人事件が発生。被害者は山田輝久(ジジ・ぶぅ)というアパートの住人で、自室で腹部を刺されて死んでいた。しばらくすると工藤一尊(有薗芳記)という男が挙動不審で逮捕される。工藤は自ら山田殺しを告白するが、何か腑に落ちない早瀬は取り調べを同僚に任せて出かける。  　早瀬が向かったのは、診断学の権威で為頼の恩師、久留米実(津嘉山正種)の家。早瀬は久留米から、為頼には殺人を犯す人間に顕れる犯因症が見えると教えられた。  　果たして工藤は、本当に山田を殺したのか?早瀬は為頼に、工藤の面通しを頼む。早瀬に従い、工藤を診た為頼は…。為頼英介:　</v>
      </c>
      <c r="O513" s="2"/>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row>
    <row r="514" ht="204.75" customHeight="1">
      <c r="A514" s="1">
        <v>1912.0</v>
      </c>
      <c r="B514" s="2" t="s">
        <v>1644</v>
      </c>
      <c r="C514" s="2">
        <f>IFERROR(__xludf.DUMMYFUNCTION("split(B514,""_"")"),1510.0)</f>
        <v>1510</v>
      </c>
      <c r="D514" s="2" t="str">
        <f>IFERROR(__xludf.DUMMYFUNCTION("""COMPUTED_VALUE"""),"CX")</f>
        <v>CX</v>
      </c>
      <c r="E514" s="2" t="str">
        <f>IFERROR(__xludf.DUMMYFUNCTION("""COMPUTED_VALUE"""),"水22")</f>
        <v>水22</v>
      </c>
      <c r="F514" s="2" t="s">
        <v>1645</v>
      </c>
      <c r="G514" s="2" t="s">
        <v>1653</v>
      </c>
      <c r="H514" s="1">
        <v>3.0</v>
      </c>
      <c r="I514" s="1" t="s">
        <v>10</v>
      </c>
      <c r="J514" s="1" t="s">
        <v>86</v>
      </c>
      <c r="K514" s="2" t="s">
        <v>1654</v>
      </c>
      <c r="L514" s="2" t="s">
        <v>1655</v>
      </c>
      <c r="M514" s="2" t="str">
        <f>IFERROR(__xludf.DUMMYFUNCTION("split(split(K514,""西島秀俊　"",false),""html"",false)"),"番組ホームページはこちら→　http://www.fujitv.co.jp/mutsu/index.")</f>
        <v>番組ホームページはこちら→　http://www.fujitv.co.jp/mutsu/index.</v>
      </c>
      <c r="N514" s="2" t="str">
        <f>IFERROR(__xludf.DUMMYFUNCTION("""COMPUTED_VALUE"""),"　為頼英介(西島秀俊)は井上和枝(浅田美代子)と亡き妻、倫子(相築あきこ)の墓参り。暗くなりそうな為頼を和枝が陽気にサポートする。  　その頃、早瀬順一郎(伊藤淳史)を県警本部の元同僚が訪ねて来た。彼は3年前に早瀬が逮捕した篠崎(松下洸平)の退院を知らせる。篠崎には殺人容疑がかけられたが、妄想型統合失調症と診断され無罪となり、精神病院に入院していた。すぐさま早瀬が病院へと向かうと、母親に付き添われた篠崎が出てきた。  　そんなある日、早瀬に太田武司(馬場徹)が深夜に発生した殺人未遂事件について話す。20代"&amp;"の女性が男に顔を殴られ、首を絞められたというのだ。早瀬は被害者の指の爪が剥がされていなかったかと聞くが…。  　為頼が診療所で診察していると、早瀬がやって来た。太田から聞いた殺人未遂事件について話す早瀬は、よく似た事件が3年前にも発生したと言う。その時は、被害者は殺害され薬指の爪を剥がされていた。犯人は篠崎。早瀬は、無罪となった篠崎は病気を装っていたのではないかと疑っている。そして、為頼に篠崎を診て欲しいと詰め寄る。  　早瀬に付き合い篠崎を診た為頼は、犯因症を確認。すると、即座に早瀬は篠崎の尾行を開始す"&amp;"る。  　一方、白神陽児(伊藤英明)の病院では問題が発生していた。南サトミ(浜辺美波)が病室からいなくなったのだ。焦って探し回る高島菜見子(石橋杏奈)。さらに、菜見子に迫る謎の影が…。為頼英介:　")</f>
        <v>　為頼英介(西島秀俊)は井上和枝(浅田美代子)と亡き妻、倫子(相築あきこ)の墓参り。暗くなりそうな為頼を和枝が陽気にサポートする。  　その頃、早瀬順一郎(伊藤淳史)を県警本部の元同僚が訪ねて来た。彼は3年前に早瀬が逮捕した篠崎(松下洸平)の退院を知らせる。篠崎には殺人容疑がかけられたが、妄想型統合失調症と診断され無罪となり、精神病院に入院していた。すぐさま早瀬が病院へと向かうと、母親に付き添われた篠崎が出てきた。  　そんなある日、早瀬に太田武司(馬場徹)が深夜に発生した殺人未遂事件について話す。20代の女性が男に顔を殴られ、首を絞められたというのだ。早瀬は被害者の指の爪が剥がされていなかったかと聞くが…。  　為頼が診療所で診察していると、早瀬がやって来た。太田から聞いた殺人未遂事件について話す早瀬は、よく似た事件が3年前にも発生したと言う。その時は、被害者は殺害され薬指の爪を剥がされていた。犯人は篠崎。早瀬は、無罪となった篠崎は病気を装っていたのではないかと疑っている。そして、為頼に篠崎を診て欲しいと詰め寄る。  　早瀬に付き合い篠崎を診た為頼は、犯因症を確認。すると、即座に早瀬は篠崎の尾行を開始する。  　一方、白神陽児(伊藤英明)の病院では問題が発生していた。南サトミ(浜辺美波)が病室からいなくなったのだ。焦って探し回る高島菜見子(石橋杏奈)。さらに、菜見子に迫る謎の影が…。為頼英介:　</v>
      </c>
      <c r="O514" s="2"/>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row>
    <row r="515" ht="204.75" customHeight="1">
      <c r="A515" s="1">
        <v>1913.0</v>
      </c>
      <c r="B515" s="2" t="s">
        <v>1644</v>
      </c>
      <c r="C515" s="2">
        <f>IFERROR(__xludf.DUMMYFUNCTION("split(B515,""_"")"),1510.0)</f>
        <v>1510</v>
      </c>
      <c r="D515" s="2" t="str">
        <f>IFERROR(__xludf.DUMMYFUNCTION("""COMPUTED_VALUE"""),"CX")</f>
        <v>CX</v>
      </c>
      <c r="E515" s="2" t="str">
        <f>IFERROR(__xludf.DUMMYFUNCTION("""COMPUTED_VALUE"""),"水22")</f>
        <v>水22</v>
      </c>
      <c r="F515" s="2" t="s">
        <v>1645</v>
      </c>
      <c r="G515" s="2" t="s">
        <v>1656</v>
      </c>
      <c r="H515" s="1">
        <v>4.0</v>
      </c>
      <c r="I515" s="1" t="s">
        <v>14</v>
      </c>
      <c r="J515" s="1" t="s">
        <v>86</v>
      </c>
      <c r="K515" s="2" t="s">
        <v>1657</v>
      </c>
      <c r="L515" s="2" t="s">
        <v>1658</v>
      </c>
      <c r="M515" s="2" t="str">
        <f>IFERROR(__xludf.DUMMYFUNCTION("split(split(K515,""西島秀俊　"",false),""html"",false)"),"「SMBC　日本シリーズ第4戦　東京ヤクルト×福岡ソフトバンク」延長の際は、放送時間繰り下げの場合あり。番組ホームページはこちら→　http://www.fujitv.co.jp/mutsu/index.")</f>
        <v>「SMBC　日本シリーズ第4戦　東京ヤクルト×福岡ソフトバンク」延長の際は、放送時間繰り下げの場合あり。番組ホームページはこちら→　http://www.fujitv.co.jp/mutsu/index.</v>
      </c>
      <c r="N515" s="2" t="str">
        <f>IFERROR(__xludf.DUMMYFUNCTION("""COMPUTED_VALUE"""),"　為頼英介(西島秀俊)は、早瀬順一郎(伊藤淳史)から犯因症の治療を頼まれる。しかし、為頼は自分には症状が見えるだけで、治すことは出来ないと答えた。精神的なアドバイスを与えようとする為頼だが、刑事として常に犯罪と対峙(たいじ)する早瀬はあきらめられない。早瀬は治癒不能な患者に寄り添うというのは、為頼の自己満足だと罵ってしまう。その後、久留米実(津嘉山正種)を往診した為頼は早瀬とのやりとりを話す。すると、久留米から早瀬には為頼の助けが必要だと諭された。  　そんな時、早瀬は野々村涼(奥野瑛太)殺害事件を担当。"&amp;"石で頭部を何度も殴られた惨殺だった。ニュースで事件を知った高島菜見子(石橋杏奈)は驚く。野々村は菜見子がよく行くコンビニの店員で、昨夜も仕事帰りに立ち寄っていたからだ。すると、菜見子の携帯が佐田要造(加藤虎ノ介)からのメールを着信。コンビニでの菜見子と野々村の写真が添付されたメールのテキストは“天罰が下った""。凍りつく菜見子。  　佐田は2年前に菜見子が瀬野愛莉という少女のカウンセリングを担当していた頃に交際していた。愛莉は快方に向かったが、佐田は次第に菜見子への独占欲を露わにしだす。ついに暴力までふる"&amp;"われるようになった菜見子は佐田のもとを去った。  　一方、白神陽児(伊藤英明)は、病院内で騒ぎを起こした南サトミ(浜辺美波)のカルテを取り寄せて会いに行く。為頼英介:　")</f>
        <v>　為頼英介(西島秀俊)は、早瀬順一郎(伊藤淳史)から犯因症の治療を頼まれる。しかし、為頼は自分には症状が見えるだけで、治すことは出来ないと答えた。精神的なアドバイスを与えようとする為頼だが、刑事として常に犯罪と対峙(たいじ)する早瀬はあきらめられない。早瀬は治癒不能な患者に寄り添うというのは、為頼の自己満足だと罵ってしまう。その後、久留米実(津嘉山正種)を往診した為頼は早瀬とのやりとりを話す。すると、久留米から早瀬には為頼の助けが必要だと諭された。  　そんな時、早瀬は野々村涼(奥野瑛太)殺害事件を担当。石で頭部を何度も殴られた惨殺だった。ニュースで事件を知った高島菜見子(石橋杏奈)は驚く。野々村は菜見子がよく行くコンビニの店員で、昨夜も仕事帰りに立ち寄っていたからだ。すると、菜見子の携帯が佐田要造(加藤虎ノ介)からのメールを着信。コンビニでの菜見子と野々村の写真が添付されたメールのテキストは“天罰が下った"。凍りつく菜見子。  　佐田は2年前に菜見子が瀬野愛莉という少女のカウンセリングを担当していた頃に交際していた。愛莉は快方に向かったが、佐田は次第に菜見子への独占欲を露わにしだす。ついに暴力までふるわれるようになった菜見子は佐田のもとを去った。  　一方、白神陽児(伊藤英明)は、病院内で騒ぎを起こした南サトミ(浜辺美波)のカルテを取り寄せて会いに行く。為頼英介:　</v>
      </c>
      <c r="O515" s="2"/>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row>
    <row r="516" ht="204.75" customHeight="1">
      <c r="A516" s="1">
        <v>1914.0</v>
      </c>
      <c r="B516" s="2" t="s">
        <v>1644</v>
      </c>
      <c r="C516" s="2">
        <f>IFERROR(__xludf.DUMMYFUNCTION("split(B516,""_"")"),1510.0)</f>
        <v>1510</v>
      </c>
      <c r="D516" s="2" t="str">
        <f>IFERROR(__xludf.DUMMYFUNCTION("""COMPUTED_VALUE"""),"CX")</f>
        <v>CX</v>
      </c>
      <c r="E516" s="2" t="str">
        <f>IFERROR(__xludf.DUMMYFUNCTION("""COMPUTED_VALUE"""),"水22")</f>
        <v>水22</v>
      </c>
      <c r="F516" s="2" t="s">
        <v>1645</v>
      </c>
      <c r="G516" s="2" t="s">
        <v>1659</v>
      </c>
      <c r="H516" s="1">
        <v>5.0</v>
      </c>
      <c r="I516" s="1" t="s">
        <v>17</v>
      </c>
      <c r="J516" s="1" t="s">
        <v>86</v>
      </c>
      <c r="K516" s="2" t="s">
        <v>1660</v>
      </c>
      <c r="L516" s="2" t="s">
        <v>1661</v>
      </c>
      <c r="M516" s="2" t="str">
        <f>IFERROR(__xludf.DUMMYFUNCTION("split(split(K516,""西島秀俊　"",false),""html"",false)"),"番組ホームページはこちら→　http://www.fujitv.co.jp/mutsu/index.")</f>
        <v>番組ホームページはこちら→　http://www.fujitv.co.jp/mutsu/index.</v>
      </c>
      <c r="N516" s="2" t="str">
        <f>IFERROR(__xludf.DUMMYFUNCTION("""COMPUTED_VALUE"""),"　為頼英介(西島秀俊)の診療所に、頭痛を訴えてある男がやってくる。佐田要造(加藤虎ノ介)というその男は、自分が高島菜見子(石橋杏奈)の婚約者だと話す。井上和枝(浅田美代子)は半ば信用していなかったが、為頼は祝辞を述べ、いつものように診察した。  　為頼は白神陽児(伊藤英明)からの申し出を受け、白神メディカルセンターで患者の診察を行うことになった。その初日、為頼は病院内で早瀬順一郎(伊藤淳史)を発見。石川家一家惨殺事件の真相を追う早瀬は、病院内でよく絵を描いている患者はいないかと為頼に尋ねる。為頼には思い当"&amp;"たる人物がいた。南サトミ(浜辺美波)だ。絵を描いた人物から話を聞きたいと訴える早瀬に、為頼はサトミの名を伏せたまま協力することに。  　早速、為頼は菜見子を訪ねた。菜見子によると、サトミは自分が絵に描いた家族を殺害したと思っているらしい。しかし、サトミに殺人など出来るはずがないと菜見子は否定する。そんな菜見子に為頼は、思い出したように自分の診療所へ彼女の婚約者だと佐田が来たことを伝える。  　為頼は早瀬に絵の件を報告。中学生の女子と聞いた早瀬には思い当たることがあった。現場に残された遺留品の中に、金髪の毛"&amp;"が付着した子供か女性用の帽子があったのだ。また、早瀬は病院で金髪の少女…サトミとすれ違っていた。  　そんな折、菜見子は為頼の診療所を訪ね、佐田にストーキングされていることを打ち明ける。為頼英介:　")</f>
        <v>　為頼英介(西島秀俊)の診療所に、頭痛を訴えてある男がやってくる。佐田要造(加藤虎ノ介)というその男は、自分が高島菜見子(石橋杏奈)の婚約者だと話す。井上和枝(浅田美代子)は半ば信用していなかったが、為頼は祝辞を述べ、いつものように診察した。  　為頼は白神陽児(伊藤英明)からの申し出を受け、白神メディカルセンターで患者の診察を行うことになった。その初日、為頼は病院内で早瀬順一郎(伊藤淳史)を発見。石川家一家惨殺事件の真相を追う早瀬は、病院内でよく絵を描いている患者はいないかと為頼に尋ねる。為頼には思い当たる人物がいた。南サトミ(浜辺美波)だ。絵を描いた人物から話を聞きたいと訴える早瀬に、為頼はサトミの名を伏せたまま協力することに。  　早速、為頼は菜見子を訪ねた。菜見子によると、サトミは自分が絵に描いた家族を殺害したと思っているらしい。しかし、サトミに殺人など出来るはずがないと菜見子は否定する。そんな菜見子に為頼は、思い出したように自分の診療所へ彼女の婚約者だと佐田が来たことを伝える。  　為頼は早瀬に絵の件を報告。中学生の女子と聞いた早瀬には思い当たることがあった。現場に残された遺留品の中に、金髪の毛が付着した子供か女性用の帽子があったのだ。また、早瀬は病院で金髪の少女…サトミとすれ違っていた。  　そんな折、菜見子は為頼の診療所を訪ね、佐田にストーキングされていることを打ち明ける。為頼英介:　</v>
      </c>
      <c r="O516" s="2"/>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row>
    <row r="517" ht="204.75" customHeight="1">
      <c r="A517" s="1">
        <v>1915.0</v>
      </c>
      <c r="B517" s="2" t="s">
        <v>1644</v>
      </c>
      <c r="C517" s="2">
        <f>IFERROR(__xludf.DUMMYFUNCTION("split(B517,""_"")"),1510.0)</f>
        <v>1510</v>
      </c>
      <c r="D517" s="2" t="str">
        <f>IFERROR(__xludf.DUMMYFUNCTION("""COMPUTED_VALUE"""),"CX")</f>
        <v>CX</v>
      </c>
      <c r="E517" s="2" t="str">
        <f>IFERROR(__xludf.DUMMYFUNCTION("""COMPUTED_VALUE"""),"水22")</f>
        <v>水22</v>
      </c>
      <c r="F517" s="2" t="s">
        <v>1645</v>
      </c>
      <c r="G517" s="2" t="s">
        <v>1662</v>
      </c>
      <c r="H517" s="1">
        <v>6.0</v>
      </c>
      <c r="I517" s="1" t="s">
        <v>21</v>
      </c>
      <c r="J517" s="1" t="s">
        <v>86</v>
      </c>
      <c r="K517" s="2" t="s">
        <v>1663</v>
      </c>
      <c r="L517" s="2" t="s">
        <v>1664</v>
      </c>
      <c r="M517" s="2" t="str">
        <f>IFERROR(__xludf.DUMMYFUNCTION("split(split(K517,""西島秀俊　"",false),""html"",false)"),"番組ホームページはこちら→　http://www.fujitv.co.jp/mutsu/index.")</f>
        <v>番組ホームページはこちら→　http://www.fujitv.co.jp/mutsu/index.</v>
      </c>
      <c r="N517" s="2" t="str">
        <f>IFERROR(__xludf.DUMMYFUNCTION("""COMPUTED_VALUE"""),"　為頼英介(西島秀俊)は、かかってきた電話に高島菜見子(石橋杏奈)のストーカー・佐田要造(加藤虎ノ介)の気配を感じ、菜見子のマンションへ急いだ。室内に入ると、ビニール袋を被せられた菜見子が倒れていた。  　為頼は搬送される菜見子に付き添い、白神メディカルセンターへ。パニック状態ながらも、出迎えた白神陽児(伊藤英明)に菜見子の症状を伝える為頼。  　通報を受けた早瀬順一郎(伊藤淳史)は太田武司(馬場徹)とともに菜見子のマンションを検証する。頭に被せられたビニール袋、残されたプリンの容器…未解決の一家殺害現場"&amp;"との酷似に早瀬は憤る。  　為頼が菜見子の手術の無事を祈りながら待っていると早瀬が現れた。早瀬は為頼に佐田との面識がありながら野放しにしていたことを責める。為頼なら佐田の犯因症を診てとれたはず。今回の事件と一家殺害の酷似を早瀬に知らされた為頼は、佐田に犯因症が見えなかったことにショックを受ける。　科学捜査を進めると、菜見子のマンションに残された佐田の足跡が、一家殺害現場のものと一致。さらに、一家殺害現場に落ちていた毛髪が、南サトミ(浜辺美波)のものであることを知る早瀬は、関連性を追おうと意気込むが、暴走を"&amp;"案じた上司によって捜査から外されてしまう。  　サトミは菜見子の体を心配してメールを打つが、返事は来ない。菜見子の携帯は事件で紛失していた。イバラ(中村蒼)も菜見子の身を案じていて…。為頼英介:　")</f>
        <v>　為頼英介(西島秀俊)は、かかってきた電話に高島菜見子(石橋杏奈)のストーカー・佐田要造(加藤虎ノ介)の気配を感じ、菜見子のマンションへ急いだ。室内に入ると、ビニール袋を被せられた菜見子が倒れていた。  　為頼は搬送される菜見子に付き添い、白神メディカルセンターへ。パニック状態ながらも、出迎えた白神陽児(伊藤英明)に菜見子の症状を伝える為頼。  　通報を受けた早瀬順一郎(伊藤淳史)は太田武司(馬場徹)とともに菜見子のマンションを検証する。頭に被せられたビニール袋、残されたプリンの容器…未解決の一家殺害現場との酷似に早瀬は憤る。  　為頼が菜見子の手術の無事を祈りながら待っていると早瀬が現れた。早瀬は為頼に佐田との面識がありながら野放しにしていたことを責める。為頼なら佐田の犯因症を診てとれたはず。今回の事件と一家殺害の酷似を早瀬に知らされた為頼は、佐田に犯因症が見えなかったことにショックを受ける。　科学捜査を進めると、菜見子のマンションに残された佐田の足跡が、一家殺害現場のものと一致。さらに、一家殺害現場に落ちていた毛髪が、南サトミ(浜辺美波)のものであることを知る早瀬は、関連性を追おうと意気込むが、暴走を案じた上司によって捜査から外されてしまう。  　サトミは菜見子の体を心配してメールを打つが、返事は来ない。菜見子の携帯は事件で紛失していた。イバラ(中村蒼)も菜見子の身を案じていて…。為頼英介:　</v>
      </c>
      <c r="O517" s="2"/>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row>
    <row r="518" ht="204.75" customHeight="1">
      <c r="A518" s="1">
        <v>1916.0</v>
      </c>
      <c r="B518" s="2" t="s">
        <v>1644</v>
      </c>
      <c r="C518" s="2">
        <f>IFERROR(__xludf.DUMMYFUNCTION("split(B518,""_"")"),1510.0)</f>
        <v>1510</v>
      </c>
      <c r="D518" s="2" t="str">
        <f>IFERROR(__xludf.DUMMYFUNCTION("""COMPUTED_VALUE"""),"CX")</f>
        <v>CX</v>
      </c>
      <c r="E518" s="2" t="str">
        <f>IFERROR(__xludf.DUMMYFUNCTION("""COMPUTED_VALUE"""),"水22")</f>
        <v>水22</v>
      </c>
      <c r="F518" s="2" t="s">
        <v>1645</v>
      </c>
      <c r="G518" s="2" t="s">
        <v>1665</v>
      </c>
      <c r="H518" s="1">
        <v>7.0</v>
      </c>
      <c r="I518" s="1" t="s">
        <v>25</v>
      </c>
      <c r="J518" s="1" t="s">
        <v>86</v>
      </c>
      <c r="K518" s="2" t="s">
        <v>1666</v>
      </c>
      <c r="L518" s="2" t="s">
        <v>1667</v>
      </c>
      <c r="M518" s="2" t="str">
        <f>IFERROR(__xludf.DUMMYFUNCTION("split(split(K518,""西島秀俊　"",false),""html"",false)"),"番組ホームページはこちら→　http://www.fujitv.co.jp/mutsu/index.")</f>
        <v>番組ホームページはこちら→　http://www.fujitv.co.jp/mutsu/index.</v>
      </c>
      <c r="N518" s="2" t="str">
        <f>IFERROR(__xludf.DUMMYFUNCTION("""COMPUTED_VALUE"""),"　  原作本プレゼント実施中!原作『無痛』、続編『第五番　無痛II』をセットにして30人にプレゼントします。締切は11月17日夜11時59分。  詳しくはこちらまで→　http://www.fujitv.co.jp/mutsu/present/　久留米実(津嘉山正種)の往診に出かけた為頼英介(西島秀俊)は、白神陽児(伊藤英明)の無痛治療の新薬研究に携わるつもりだと話す。もし新薬が出来ても服用しないと首をふる久留米は、痛みは私だ、孫の手が一番の癒しだと為頼に告げた。  　『白神メディカルセンター』では、高島"&amp;"菜見子(石橋杏奈)のロッカーから切断された手首が発見されたことで騒然としている。駆けつけた早瀬順一郎(伊藤淳史)に心当たりを尋ねられた菜見子は、怯えながら佐田要造(加藤虎ノ介)の名を答える。  　手首と佐田の指紋が一致。港中央署刑事課では、早瀬が仁川康男(兵動大樹)、太田武司(馬場徹)と捜査方針の打ち合わせ。石川一家殺害事件の重要参考人だった佐田が殺されたとしたら、犯人は一家殺害と関係があるのではないかと意気込む早瀬。しかし、早瀬は一家殺害の捜査本部からは外されていた。仁川に釘を刺されている早瀬は、あくま"&amp;"で佐田殺しの捜査だと飛び出して行く。  　白神は秘書の横井清美(宮本真希)から、佐田と手首の件の報告を受ける。続けて菜見子の解雇を申し出る横井。すると白神は、横井に疑いの眼差しを向ける…。白神は横井の今までの行動を全て話すよう促し、なぜか手術器具の管理状況も調べるよう命令した。  　その頃、『白神メディカルセンター』に出勤して来た為頼は、イバラ(中村蒼)とぶつかる。その時、為頼はイバラの右手に異常を診てとる。為頼英介:　")</f>
        <v>　  原作本プレゼント実施中!原作『無痛』、続編『第五番　無痛II』をセットにして30人にプレゼントします。締切は11月17日夜11時59分。  詳しくはこちらまで→　http://www.fujitv.co.jp/mutsu/present/　久留米実(津嘉山正種)の往診に出かけた為頼英介(西島秀俊)は、白神陽児(伊藤英明)の無痛治療の新薬研究に携わるつもりだと話す。もし新薬が出来ても服用しないと首をふる久留米は、痛みは私だ、孫の手が一番の癒しだと為頼に告げた。  　『白神メディカルセンター』では、高島菜見子(石橋杏奈)のロッカーから切断された手首が発見されたことで騒然としている。駆けつけた早瀬順一郎(伊藤淳史)に心当たりを尋ねられた菜見子は、怯えながら佐田要造(加藤虎ノ介)の名を答える。  　手首と佐田の指紋が一致。港中央署刑事課では、早瀬が仁川康男(兵動大樹)、太田武司(馬場徹)と捜査方針の打ち合わせ。石川一家殺害事件の重要参考人だった佐田が殺されたとしたら、犯人は一家殺害と関係があるのではないかと意気込む早瀬。しかし、早瀬は一家殺害の捜査本部からは外されていた。仁川に釘を刺されている早瀬は、あくまで佐田殺しの捜査だと飛び出して行く。  　白神は秘書の横井清美(宮本真希)から、佐田と手首の件の報告を受ける。続けて菜見子の解雇を申し出る横井。すると白神は、横井に疑いの眼差しを向ける…。白神は横井の今までの行動を全て話すよう促し、なぜか手術器具の管理状況も調べるよう命令した。  　その頃、『白神メディカルセンター』に出勤して来た為頼は、イバラ(中村蒼)とぶつかる。その時、為頼はイバラの右手に異常を診てとる。為頼英介:　</v>
      </c>
      <c r="O518" s="2"/>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row>
    <row r="519" ht="204.75" customHeight="1">
      <c r="A519" s="1">
        <v>1917.0</v>
      </c>
      <c r="B519" s="2" t="s">
        <v>1644</v>
      </c>
      <c r="C519" s="2">
        <f>IFERROR(__xludf.DUMMYFUNCTION("split(B519,""_"")"),1510.0)</f>
        <v>1510</v>
      </c>
      <c r="D519" s="2" t="str">
        <f>IFERROR(__xludf.DUMMYFUNCTION("""COMPUTED_VALUE"""),"CX")</f>
        <v>CX</v>
      </c>
      <c r="E519" s="2" t="str">
        <f>IFERROR(__xludf.DUMMYFUNCTION("""COMPUTED_VALUE"""),"水22")</f>
        <v>水22</v>
      </c>
      <c r="F519" s="2" t="s">
        <v>1645</v>
      </c>
      <c r="G519" s="2" t="s">
        <v>1668</v>
      </c>
      <c r="H519" s="1">
        <v>8.0</v>
      </c>
      <c r="I519" s="1" t="s">
        <v>29</v>
      </c>
      <c r="J519" s="1" t="s">
        <v>86</v>
      </c>
      <c r="K519" s="2" t="s">
        <v>1669</v>
      </c>
      <c r="L519" s="2" t="s">
        <v>1670</v>
      </c>
      <c r="M519" s="2" t="str">
        <f>IFERROR(__xludf.DUMMYFUNCTION("split(split(K519,""西島秀俊　"",false),""html"",false)"),"番組ホームページはこちら→　http://www.fujitv.co.jp/mutsu/index.")</f>
        <v>番組ホームページはこちら→　http://www.fujitv.co.jp/mutsu/index.</v>
      </c>
      <c r="N519" s="2" t="str">
        <f>IFERROR(__xludf.DUMMYFUNCTION("""COMPUTED_VALUE"""),"　  挿入歌CDプレゼント実施中!ミソッカス『闇夜のキャラバン』収録CDを30人にプレゼントします。締切は11月24日夜11時59分。詳しくはこちらまで→　http://www.fujitv.co.jp/mutsu/present/　為頼英介(西島秀俊)は、イバラ(中村蒼)が佐田要造(加藤虎ノ介)を殺害したことに疑問を感じる。イバラに犯因症は出ていなかったからだ。しかし、逮捕直前のイバラには突然、犯因症が現れていた。  　白神陽児(伊藤英明)はイバラの事件に少なからず動揺していたが、病院のイメージ失墜を防"&amp;"ごうと事態の収拾に努めていた。一方、職場復帰した高島菜見子(石橋杏奈)は南サトミ(浜辺美波)に、ある提案をする。　為頼の診療所に早瀬順一郎(伊藤淳史)が来た。早瀬によると、イバラは殺害時のことを覚えていないのだという。このままでは精神鑑定に持ち込まれると焦る早瀬に、為頼はイバラとの面会を求める。  　為頼の面会に、イバラは佐田のオペをしたと認めるが殺害は覚えていないと言う。為頼は続けてイバラに、服用していた薬について尋ねた。強くなれる薬だと答えるイバラだが、大量摂取した後のことは覚えていない。反対にイバラ"&amp;"は、為頼に白神の様子を聞く。イバラにとって白神は“大切な人""。さらにイバラは“大切な人、大切な場所…""とつぶやく。  　次の日、菜見子がサトミを連れて為頼を訪ねてくる。菜見子はサトミに温かい家庭を見せたいと井上和枝(浅田美代子)に頼んでいたのだ。和枝の機転で料理を手伝ったりするうちにサトミの表情が少し和らいでいった。料理を食べ終えた頃、菜見子はサトミに、刑事が話を聞きに来ると告げ、為頼にも同席を求めた。為頼英介:　")</f>
        <v>　  挿入歌CDプレゼント実施中!ミソッカス『闇夜のキャラバン』収録CDを30人にプレゼントします。締切は11月24日夜11時59分。詳しくはこちらまで→　http://www.fujitv.co.jp/mutsu/present/　為頼英介(西島秀俊)は、イバラ(中村蒼)が佐田要造(加藤虎ノ介)を殺害したことに疑問を感じる。イバラに犯因症は出ていなかったからだ。しかし、逮捕直前のイバラには突然、犯因症が現れていた。  　白神陽児(伊藤英明)はイバラの事件に少なからず動揺していたが、病院のイメージ失墜を防ごうと事態の収拾に努めていた。一方、職場復帰した高島菜見子(石橋杏奈)は南サトミ(浜辺美波)に、ある提案をする。　為頼の診療所に早瀬順一郎(伊藤淳史)が来た。早瀬によると、イバラは殺害時のことを覚えていないのだという。このままでは精神鑑定に持ち込まれると焦る早瀬に、為頼はイバラとの面会を求める。  　為頼の面会に、イバラは佐田のオペをしたと認めるが殺害は覚えていないと言う。為頼は続けてイバラに、服用していた薬について尋ねた。強くなれる薬だと答えるイバラだが、大量摂取した後のことは覚えていない。反対にイバラは、為頼に白神の様子を聞く。イバラにとって白神は“大切な人"。さらにイバラは“大切な人、大切な場所…"とつぶやく。  　次の日、菜見子がサトミを連れて為頼を訪ねてくる。菜見子はサトミに温かい家庭を見せたいと井上和枝(浅田美代子)に頼んでいたのだ。和枝の機転で料理を手伝ったりするうちにサトミの表情が少し和らいでいった。料理を食べ終えた頃、菜見子はサトミに、刑事が話を聞きに来ると告げ、為頼にも同席を求めた。為頼英介:　</v>
      </c>
      <c r="O519" s="2"/>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row>
    <row r="520" ht="204.75" customHeight="1">
      <c r="A520" s="1">
        <v>1918.0</v>
      </c>
      <c r="B520" s="2" t="s">
        <v>1644</v>
      </c>
      <c r="C520" s="2">
        <f>IFERROR(__xludf.DUMMYFUNCTION("split(B520,""_"")"),1510.0)</f>
        <v>1510</v>
      </c>
      <c r="D520" s="2" t="str">
        <f>IFERROR(__xludf.DUMMYFUNCTION("""COMPUTED_VALUE"""),"CX")</f>
        <v>CX</v>
      </c>
      <c r="E520" s="2" t="str">
        <f>IFERROR(__xludf.DUMMYFUNCTION("""COMPUTED_VALUE"""),"水22")</f>
        <v>水22</v>
      </c>
      <c r="F520" s="2" t="s">
        <v>1645</v>
      </c>
      <c r="G520" s="2" t="s">
        <v>1671</v>
      </c>
      <c r="H520" s="1">
        <v>9.0</v>
      </c>
      <c r="I520" s="1" t="s">
        <v>33</v>
      </c>
      <c r="J520" s="1" t="s">
        <v>86</v>
      </c>
      <c r="K520" s="2" t="s">
        <v>1672</v>
      </c>
      <c r="L520" s="2" t="s">
        <v>1673</v>
      </c>
      <c r="M520" s="2" t="str">
        <f>IFERROR(__xludf.DUMMYFUNCTION("split(split(K520,""西島秀俊　"",false),""html"",false)"),"番組ホームページはこちら→　http://www.fujitv.co.jp/mutsu/index.")</f>
        <v>番組ホームページはこちら→　http://www.fujitv.co.jp/mutsu/index.</v>
      </c>
      <c r="N520" s="2" t="str">
        <f>IFERROR(__xludf.DUMMYFUNCTION("""COMPUTED_VALUE"""),"　為頼英介(西島秀俊)、早瀬順一郎(伊藤淳史)、高島菜見子(石橋杏奈)、白神陽児(伊藤英明)らが院長室に集まっていた。南サトミ(浜辺美波)が、病室に血の付いた携帯電話を残していなくなったのだ。早瀬は、イバラ(中村蒼)がサトミを誘拐したものと判断し、付近の緊急封鎖を要請。為頼と菜見子は、もう一度病院を探すが、2人の姿はない。  　その夜、1人院長室に残った白神は、デスクに付着したイバラの血液に気づく。デスクの引き出しを開けると、保存していたUSBメモリーが消えていた。  　イバラは一家殺害現場で自分を見たと"&amp;"いうサトミに、何を見たのか教えて欲しいと話す。イバラ自身には記憶がないからだ。2人はトラックの荷台に身を隠し、逃走して行く。  　翌朝、診療所にいる為頼と菜見子のもとへ早瀬から連絡が入る。サトミの携帯電話に残された血液がイバラのものと判明したのだ。為頼と井上和枝(浅田美代子)は、やはりイバラがサトミを誘拐したのだろうと話すが、菜見子は疑う。サトミが描く一家殺害の絵と曖昧な記憶に、イバラが関係しているのではないかと菜見子。サトミは記憶を求め、自らイバラに同行したのでは…?と。  　為頼は白神がなぜ無痛治療に"&amp;"こだわっているのかが気になり、早瀬を訪ねる。しかしちょうど同じころ、早瀬は白神に呼び出されたためにすれ違ってしまった。白神が早瀬に伝えようとしていることとは…。為頼英介:　")</f>
        <v>　為頼英介(西島秀俊)、早瀬順一郎(伊藤淳史)、高島菜見子(石橋杏奈)、白神陽児(伊藤英明)らが院長室に集まっていた。南サトミ(浜辺美波)が、病室に血の付いた携帯電話を残していなくなったのだ。早瀬は、イバラ(中村蒼)がサトミを誘拐したものと判断し、付近の緊急封鎖を要請。為頼と菜見子は、もう一度病院を探すが、2人の姿はない。  　その夜、1人院長室に残った白神は、デスクに付着したイバラの血液に気づく。デスクの引き出しを開けると、保存していたUSBメモリーが消えていた。  　イバラは一家殺害現場で自分を見たというサトミに、何を見たのか教えて欲しいと話す。イバラ自身には記憶がないからだ。2人はトラックの荷台に身を隠し、逃走して行く。  　翌朝、診療所にいる為頼と菜見子のもとへ早瀬から連絡が入る。サトミの携帯電話に残された血液がイバラのものと判明したのだ。為頼と井上和枝(浅田美代子)は、やはりイバラがサトミを誘拐したのだろうと話すが、菜見子は疑う。サトミが描く一家殺害の絵と曖昧な記憶に、イバラが関係しているのではないかと菜見子。サトミは記憶を求め、自らイバラに同行したのでは…?と。  　為頼は白神がなぜ無痛治療にこだわっているのかが気になり、早瀬を訪ねる。しかしちょうど同じころ、早瀬は白神に呼び出されたためにすれ違ってしまった。白神が早瀬に伝えようとしていることとは…。為頼英介:　</v>
      </c>
      <c r="O520" s="2"/>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row>
    <row r="521" ht="204.75" customHeight="1">
      <c r="A521" s="1">
        <v>1919.0</v>
      </c>
      <c r="B521" s="2" t="s">
        <v>1644</v>
      </c>
      <c r="C521" s="2">
        <f>IFERROR(__xludf.DUMMYFUNCTION("split(B521,""_"")"),1510.0)</f>
        <v>1510</v>
      </c>
      <c r="D521" s="2" t="str">
        <f>IFERROR(__xludf.DUMMYFUNCTION("""COMPUTED_VALUE"""),"CX")</f>
        <v>CX</v>
      </c>
      <c r="E521" s="2" t="str">
        <f>IFERROR(__xludf.DUMMYFUNCTION("""COMPUTED_VALUE"""),"水22")</f>
        <v>水22</v>
      </c>
      <c r="F521" s="2" t="s">
        <v>1645</v>
      </c>
      <c r="G521" s="2" t="s">
        <v>1674</v>
      </c>
      <c r="H521" s="1">
        <v>10.0</v>
      </c>
      <c r="I521" s="1" t="s">
        <v>37</v>
      </c>
      <c r="J521" s="1" t="s">
        <v>86</v>
      </c>
      <c r="K521" s="2" t="s">
        <v>1675</v>
      </c>
      <c r="L521" s="2" t="s">
        <v>1676</v>
      </c>
      <c r="M521" s="2" t="str">
        <f>IFERROR(__xludf.DUMMYFUNCTION("split(split(K521,""西島秀俊　"",false),""html"",false)"),"番組ホームページはこちら→　http://www.fujitv.co.jp/mutsu/index.")</f>
        <v>番組ホームページはこちら→　http://www.fujitv.co.jp/mutsu/index.</v>
      </c>
      <c r="N521" s="2" t="str">
        <f>IFERROR(__xludf.DUMMYFUNCTION("""COMPUTED_VALUE"""),"　  サウンドトラックCDプレゼント実施中!30人にプレゼントします。締切は12月15日夜11時59分。詳しくはこちらまで→　http://www.fujitv.co.jp/mutsu/present/　診療所に戻った為頼英介(西島秀俊)は、早瀬順一郎(伊藤淳史)がイバラ(中村蒼)に拳銃で発砲したことを高島菜見子(石橋杏奈)、井上和枝(浅田美代子)に話す。イバラは川に転落したまま行方がわからない。和枝は発砲を焦った早瀬の方が危険ではないかと危惧。寝ていたはずの南サトミ(浜辺美波)が話を聞いてしまい、玄関か"&amp;"ら飛び出そうとするのを和枝は必死に抑えた。  　翌日も警察はイバラの捜索を続ける。一方、信用を失った「白神メディカルクリニック」では患者の転院などの整理が進められていた。秘書の横井清美(宮本真希)は今後の相談をしようと院長室へ行くが、白神陽児(伊藤英明)の姿はなく、携帯電話もつながらない。  　為頼の診療所には早瀬が姿を現す。イバラを撃ったことを責める為頼に、早瀬は彼を殺害するしかないと口走る。その発言を聞き、為頼は早瀬に白神から言われたのではないかと問う。為頼は、白神が早瀬にイバラを殺すようそそのかした"&amp;"のでは、と思ったのだ。そして、為頼はイバラの治験データを早瀬に見せる。データはイバラが白神に処方された薬の影響で一家殺害時の記憶の喪失、薬による強暴性の増加を語っていた。早瀬は一家殺害に白神の関与がありそうなことに気づかされる。為頼英介:　")</f>
        <v>　  サウンドトラックCDプレゼント実施中!30人にプレゼントします。締切は12月15日夜11時59分。詳しくはこちらまで→　http://www.fujitv.co.jp/mutsu/present/　診療所に戻った為頼英介(西島秀俊)は、早瀬順一郎(伊藤淳史)がイバラ(中村蒼)に拳銃で発砲したことを高島菜見子(石橋杏奈)、井上和枝(浅田美代子)に話す。イバラは川に転落したまま行方がわからない。和枝は発砲を焦った早瀬の方が危険ではないかと危惧。寝ていたはずの南サトミ(浜辺美波)が話を聞いてしまい、玄関から飛び出そうとするのを和枝は必死に抑えた。  　翌日も警察はイバラの捜索を続ける。一方、信用を失った「白神メディカルクリニック」では患者の転院などの整理が進められていた。秘書の横井清美(宮本真希)は今後の相談をしようと院長室へ行くが、白神陽児(伊藤英明)の姿はなく、携帯電話もつながらない。  　為頼の診療所には早瀬が姿を現す。イバラを撃ったことを責める為頼に、早瀬は彼を殺害するしかないと口走る。その発言を聞き、為頼は早瀬に白神から言われたのではないかと問う。為頼は、白神が早瀬にイバラを殺すようそそのかしたのでは、と思ったのだ。そして、為頼はイバラの治験データを早瀬に見せる。データはイバラが白神に処方された薬の影響で一家殺害時の記憶の喪失、薬による強暴性の増加を語っていた。早瀬は一家殺害に白神の関与がありそうなことに気づかされる。為頼英介:　</v>
      </c>
      <c r="O521" s="2"/>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row>
    <row r="522" ht="204.75" customHeight="1">
      <c r="A522" s="1">
        <v>1929.0</v>
      </c>
      <c r="B522" s="2" t="s">
        <v>1677</v>
      </c>
      <c r="C522" s="2">
        <f>IFERROR(__xludf.DUMMYFUNCTION("split(B522,""_"")"),1510.0)</f>
        <v>1510</v>
      </c>
      <c r="D522" s="2" t="str">
        <f>IFERROR(__xludf.DUMMYFUNCTION("""COMPUTED_VALUE"""),"CX")</f>
        <v>CX</v>
      </c>
      <c r="E522" s="2" t="str">
        <f>IFERROR(__xludf.DUMMYFUNCTION("""COMPUTED_VALUE"""),"木22")</f>
        <v>木22</v>
      </c>
      <c r="F522" s="2" t="s">
        <v>1678</v>
      </c>
      <c r="G522" s="2" t="s">
        <v>1679</v>
      </c>
      <c r="H522" s="1">
        <v>1.0</v>
      </c>
      <c r="I522" s="1" t="s">
        <v>3</v>
      </c>
      <c r="J522" s="1" t="s">
        <v>82</v>
      </c>
      <c r="K522" s="2" t="s">
        <v>1680</v>
      </c>
      <c r="L522" s="2" t="s">
        <v>1681</v>
      </c>
      <c r="M522" s="2" t="str">
        <f>IFERROR(__xludf.DUMMYFUNCTION("split(split(K522,""篠原涼子　"",false),""html"",false)"),"40歳独身の中原亜紀(篠原涼子)は、恋愛アプリを手がける会社のキャリアウーマン。デビューを目指す年下のミュージシャン・伸治、愛猫のちくわと暮らしている。しっかり者だが恋愛では相手に尽くしすぎてしまい、なかなか幸せをつかめないでいた亜紀は、伸治の前では本音を出せない。心を許せるのは、同い年で独身の女友達ーーホレっぽくさまざまな男性にアプローチしているフラワーショップオーナーの大崎萠子(吉瀬美智子)と、バツイチで3人の男の子を女手ひとつで育てている坂田みどり(鈴木砂羽)だけ。亜紀たちは、何かにつけて女子会を開"&amp;"き、気兼ねなく愚痴を言い合っている。  　モバイルコンテンツ部に所属する亜紀は、工藤美和(市川実和子)、立花沙織(平山あや)、前川亮介(吉沢亮)ら年下の部下とともに、アラフォー向けの恋愛アプリに取り組んでいる。この企画には、プレイボーイとして有名な社長の栗田純一(谷原章介)も期待を寄せていた。あるとき亜紀は、10年以上前に何本もの恋愛ドラマをヒットさせた脚本家・高山文夫(江口洋介)にゲームの監修を依頼しようと思いつく。高山の居場所を調べ、彼が入り浸っているカフェを訪れる亜紀。しかし高山は、企画書を見るなり"&amp;"「いい年して胸キュンもない」「40歳は女子とは言わない」と言って取り合わない。そんな高山の態度にカチンときた亜紀は「あなたこそ思春期丸出しの偏屈男だ」と言ってしまい…。")</f>
        <v>40歳独身の中原亜紀(篠原涼子)は、恋愛アプリを手がける会社のキャリアウーマン。デビューを目指す年下のミュージシャン・伸治、愛猫のちくわと暮らしている。しっかり者だが恋愛では相手に尽くしすぎてしまい、なかなか幸せをつかめないでいた亜紀は、伸治の前では本音を出せない。心を許せるのは、同い年で独身の女友達ーーホレっぽくさまざまな男性にアプローチしているフラワーショップオーナーの大崎萠子(吉瀬美智子)と、バツイチで3人の男の子を女手ひとつで育てている坂田みどり(鈴木砂羽)だけ。亜紀たちは、何かにつけて女子会を開き、気兼ねなく愚痴を言い合っている。  　モバイルコンテンツ部に所属する亜紀は、工藤美和(市川実和子)、立花沙織(平山あや)、前川亮介(吉沢亮)ら年下の部下とともに、アラフォー向けの恋愛アプリに取り組んでいる。この企画には、プレイボーイとして有名な社長の栗田純一(谷原章介)も期待を寄せていた。あるとき亜紀は、10年以上前に何本もの恋愛ドラマをヒットさせた脚本家・高山文夫(江口洋介)にゲームの監修を依頼しようと思いつく。高山の居場所を調べ、彼が入り浸っているカフェを訪れる亜紀。しかし高山は、企画書を見るなり「いい年して胸キュンもない」「40歳は女子とは言わない」と言って取り合わない。そんな高山の態度にカチンときた亜紀は「あなたこそ思春期丸出しの偏屈男だ」と言ってしまい…。</v>
      </c>
      <c r="N522" s="2"/>
      <c r="O522" s="2"/>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row>
    <row r="523" ht="204.75" customHeight="1">
      <c r="A523" s="1">
        <v>1930.0</v>
      </c>
      <c r="B523" s="2" t="s">
        <v>1677</v>
      </c>
      <c r="C523" s="2">
        <f>IFERROR(__xludf.DUMMYFUNCTION("split(B523,""_"")"),1510.0)</f>
        <v>1510</v>
      </c>
      <c r="D523" s="2" t="str">
        <f>IFERROR(__xludf.DUMMYFUNCTION("""COMPUTED_VALUE"""),"CX")</f>
        <v>CX</v>
      </c>
      <c r="E523" s="2" t="str">
        <f>IFERROR(__xludf.DUMMYFUNCTION("""COMPUTED_VALUE"""),"木22")</f>
        <v>木22</v>
      </c>
      <c r="F523" s="2" t="s">
        <v>1678</v>
      </c>
      <c r="G523" s="2" t="s">
        <v>1682</v>
      </c>
      <c r="H523" s="1">
        <v>2.0</v>
      </c>
      <c r="I523" s="1" t="s">
        <v>7</v>
      </c>
      <c r="J523" s="1" t="s">
        <v>86</v>
      </c>
      <c r="K523" s="2" t="s">
        <v>1683</v>
      </c>
      <c r="L523" s="2" t="s">
        <v>1684</v>
      </c>
      <c r="M523" s="2" t="str">
        <f>IFERROR(__xludf.DUMMYFUNCTION("split(split(K523,""篠原涼子　"",false),""html"",false)"),"亜紀(篠原涼子)は、脚本家の高山(江口洋介)にアラフォー向け恋愛アプリの監修を引き受けてもらうことに成功する。が、年下の恋人・伸治(斎藤工)に振られたショックからは立ち直れないでいた。萠子(吉瀬美智子)とみどり(鈴木砂羽)は、失恋の特効薬は新しい恋だと亜紀を励ますが…。  　別の日、亜紀の会社『フルテージ』に高山が打ち合わせにやってくる。その席で高山は、独自の恋愛論を展開し、白馬に乗った王子様などいない、夢を見るのはいいがそれにつけ込んで儲けようとするビジネスが発生する、などと主張する。  　萠子は、フラ"&amp;"ワーショップに客としてやってきた栗田(谷原章介)から食事に誘われる。栗田がフルテージの社長だと知らない萠子は、優良物件を引き当てた、と嬉しそうに亜紀に報告する。そのころフルテージ内では、栗田に関する怪しい噂が広まっており…。  　一方、みどりは、進路相談で三男・陵(浦上晟周)が通う中学校を訪れる。そこでみどりは、陵の担任・沢田健太(千葉雄大)に出会う。沢田は、真面目そうでさわやかな印象の青年だった。  　そんな中、亜紀は、社内プレゼン用に高山のコメントをもらいに行く。そこで亜紀は、注文しておいた品物を受け"&amp;"取ってきてほしい、と高山から頼まれる。仕方なく受け取りに行った亜紀は、その帰り道、編集者の池田優(平山浩行)と出会う。それぞれの新しい出会いの行方は!?")</f>
        <v>亜紀(篠原涼子)は、脚本家の高山(江口洋介)にアラフォー向け恋愛アプリの監修を引き受けてもらうことに成功する。が、年下の恋人・伸治(斎藤工)に振られたショックからは立ち直れないでいた。萠子(吉瀬美智子)とみどり(鈴木砂羽)は、失恋の特効薬は新しい恋だと亜紀を励ますが…。  　別の日、亜紀の会社『フルテージ』に高山が打ち合わせにやってくる。その席で高山は、独自の恋愛論を展開し、白馬に乗った王子様などいない、夢を見るのはいいがそれにつけ込んで儲けようとするビジネスが発生する、などと主張する。  　萠子は、フラワーショップに客としてやってきた栗田(谷原章介)から食事に誘われる。栗田がフルテージの社長だと知らない萠子は、優良物件を引き当てた、と嬉しそうに亜紀に報告する。そのころフルテージ内では、栗田に関する怪しい噂が広まっており…。  　一方、みどりは、進路相談で三男・陵(浦上晟周)が通う中学校を訪れる。そこでみどりは、陵の担任・沢田健太(千葉雄大)に出会う。沢田は、真面目そうでさわやかな印象の青年だった。  　そんな中、亜紀は、社内プレゼン用に高山のコメントをもらいに行く。そこで亜紀は、注文しておいた品物を受け取ってきてほしい、と高山から頼まれる。仕方なく受け取りに行った亜紀は、その帰り道、編集者の池田優(平山浩行)と出会う。それぞれの新しい出会いの行方は!?</v>
      </c>
      <c r="N523" s="2"/>
      <c r="O523" s="2"/>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row>
    <row r="524" ht="204.75" customHeight="1">
      <c r="A524" s="1">
        <v>1931.0</v>
      </c>
      <c r="B524" s="2" t="s">
        <v>1677</v>
      </c>
      <c r="C524" s="2">
        <f>IFERROR(__xludf.DUMMYFUNCTION("split(B524,""_"")"),1510.0)</f>
        <v>1510</v>
      </c>
      <c r="D524" s="2" t="str">
        <f>IFERROR(__xludf.DUMMYFUNCTION("""COMPUTED_VALUE"""),"CX")</f>
        <v>CX</v>
      </c>
      <c r="E524" s="2" t="str">
        <f>IFERROR(__xludf.DUMMYFUNCTION("""COMPUTED_VALUE"""),"木22")</f>
        <v>木22</v>
      </c>
      <c r="F524" s="2" t="s">
        <v>1678</v>
      </c>
      <c r="G524" s="2" t="s">
        <v>1685</v>
      </c>
      <c r="H524" s="1">
        <v>3.0</v>
      </c>
      <c r="I524" s="1" t="s">
        <v>10</v>
      </c>
      <c r="J524" s="1" t="s">
        <v>86</v>
      </c>
      <c r="K524" s="2" t="s">
        <v>1686</v>
      </c>
      <c r="L524" s="2" t="s">
        <v>1687</v>
      </c>
      <c r="M524" s="2" t="str">
        <f>IFERROR(__xludf.DUMMYFUNCTION("split(split(K524,""篠原涼子　"",false),""html"",false)"),"「SMBC　日本シリーズ第5戦　東京ヤクルト×福岡ソフトバンク」延長の際は、放送時間繰り下げの場合あり。　亜紀(篠原涼子)は、高山(江口洋介)の担当編集者でもある池田(平山浩行)から地元の秋祭りに誘われる。だが、そこで亜紀が見たのは、子連れの女性と仲良さそうに話す池田の姿だった。亜紀は、萠子(吉瀬美智子)とみどり(鈴木砂羽)に、池田は妻子持ちみたいだと報告するが…。  　一方、みどりの家には、三男の陵(浦上晟周)の担任・沢田(千葉雄大)が家庭訪問にやってくることに。母子家庭だからという偏見を持たれたくない"&amp;"と考えたみどりは、長男・昂(平埜生成)、次男・碧(矢部昌暉)にも協力してもらって対応マニュアルを作成し、沢田を迎える。  　萠子は、「フルテージ」の社長・栗田(谷原章介)との交際を続けていた。彼の前では、物分かりの良いオトナの女性を演じる萠子。ある日、栗田とデートしていた萠子は、元カノらしい若い女性と鉢合わせしてしまう。萠子は、若い元カノからおばさん扱いされるが、真っ向から彼女とやり合って撃退し、栗田を感心させる。  　そんな折、亜紀の前に、元恋人の伸治(斎藤工)が現れる。伸治は、メジャーデビューをきっか"&amp;"けに亜紀を捨て、若い女性のもとへと行ってしまった男だ。亜紀は、話があるといってマンションまでやってきた伸治を無視して部屋に戻るが…。")</f>
        <v>「SMBC　日本シリーズ第5戦　東京ヤクルト×福岡ソフトバンク」延長の際は、放送時間繰り下げの場合あり。　亜紀(篠原涼子)は、高山(江口洋介)の担当編集者でもある池田(平山浩行)から地元の秋祭りに誘われる。だが、そこで亜紀が見たのは、子連れの女性と仲良さそうに話す池田の姿だった。亜紀は、萠子(吉瀬美智子)とみどり(鈴木砂羽)に、池田は妻子持ちみたいだと報告するが…。  　一方、みどりの家には、三男の陵(浦上晟周)の担任・沢田(千葉雄大)が家庭訪問にやってくることに。母子家庭だからという偏見を持たれたくないと考えたみどりは、長男・昂(平埜生成)、次男・碧(矢部昌暉)にも協力してもらって対応マニュアルを作成し、沢田を迎える。  　萠子は、「フルテージ」の社長・栗田(谷原章介)との交際を続けていた。彼の前では、物分かりの良いオトナの女性を演じる萠子。ある日、栗田とデートしていた萠子は、元カノらしい若い女性と鉢合わせしてしまう。萠子は、若い元カノからおばさん扱いされるが、真っ向から彼女とやり合って撃退し、栗田を感心させる。  　そんな折、亜紀の前に、元恋人の伸治(斎藤工)が現れる。伸治は、メジャーデビューをきっかけに亜紀を捨て、若い女性のもとへと行ってしまった男だ。亜紀は、話があるといってマンションまでやってきた伸治を無視して部屋に戻るが…。</v>
      </c>
      <c r="N524" s="2"/>
      <c r="O524" s="2"/>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row>
    <row r="525" ht="204.75" customHeight="1">
      <c r="A525" s="1">
        <v>1932.0</v>
      </c>
      <c r="B525" s="2" t="s">
        <v>1677</v>
      </c>
      <c r="C525" s="2">
        <f>IFERROR(__xludf.DUMMYFUNCTION("split(B525,""_"")"),1510.0)</f>
        <v>1510</v>
      </c>
      <c r="D525" s="2" t="str">
        <f>IFERROR(__xludf.DUMMYFUNCTION("""COMPUTED_VALUE"""),"CX")</f>
        <v>CX</v>
      </c>
      <c r="E525" s="2" t="str">
        <f>IFERROR(__xludf.DUMMYFUNCTION("""COMPUTED_VALUE"""),"木22")</f>
        <v>木22</v>
      </c>
      <c r="F525" s="2" t="s">
        <v>1678</v>
      </c>
      <c r="G525" s="2" t="s">
        <v>1688</v>
      </c>
      <c r="H525" s="1">
        <v>4.0</v>
      </c>
      <c r="I525" s="1" t="s">
        <v>14</v>
      </c>
      <c r="J525" s="1" t="s">
        <v>86</v>
      </c>
      <c r="K525" s="2" t="s">
        <v>1689</v>
      </c>
      <c r="L525" s="2" t="s">
        <v>1690</v>
      </c>
      <c r="M525" s="2" t="str">
        <f>IFERROR(__xludf.DUMMYFUNCTION("split(split(K525,""篠原涼子　"",false),""html"",false)"),"亜紀(篠原涼子)は、高山(江口洋介)の担当編集者・池田(平山浩行)から、結婚を前提とした交際を申し込まれた。それを知った萠子(吉瀬美智子)やみどり(鈴木砂羽)は、体の相性が大事、時間をかけて愛を育む余裕はない、などと勝手なことを言い始める。そんなふたりに対して亜紀は、池田は誠実な人だからゆっくり考えたいと返す。  　亜紀たちが制作を進めているアラフォー向け恋愛アプリのシナリオが上がった。それを読んだ高山は、波乱が足りないと助言する。風がなければヨットが進まないように、恋愛にも適度な波風はあった方が刺激にな"&amp;"るというのだ。  　萠子は、栗田(谷原章介)の自宅で開かれたパーティーに呼ばれる。が、そこで「お花屋さんの大崎さん」と紹介されたことに傷ついた萠子は、他に女性がいてもいいがせめて1番にしてと栗田に迫る。  　みどりは、陵(浦上晟周)の担任・沢田(千葉雄大)から学校に呼び出される。陵が、階段を滑り落ちそうになった生徒を助けようとして軽いケガをしたという。その際、沢田は、またダンスの練習を見学に来てほしいとみどりに伝える。  　池田とのデートのため、カフェで待ち合わせていた亜紀だが、大雨のために外に出られず高"&amp;"山と2人だけカフェに取り残されてしまい。中原亜紀・・・　")</f>
        <v>亜紀(篠原涼子)は、高山(江口洋介)の担当編集者・池田(平山浩行)から、結婚を前提とした交際を申し込まれた。それを知った萠子(吉瀬美智子)やみどり(鈴木砂羽)は、体の相性が大事、時間をかけて愛を育む余裕はない、などと勝手なことを言い始める。そんなふたりに対して亜紀は、池田は誠実な人だからゆっくり考えたいと返す。  　亜紀たちが制作を進めているアラフォー向け恋愛アプリのシナリオが上がった。それを読んだ高山は、波乱が足りないと助言する。風がなければヨットが進まないように、恋愛にも適度な波風はあった方が刺激になるというのだ。  　萠子は、栗田(谷原章介)の自宅で開かれたパーティーに呼ばれる。が、そこで「お花屋さんの大崎さん」と紹介されたことに傷ついた萠子は、他に女性がいてもいいがせめて1番にしてと栗田に迫る。  　みどりは、陵(浦上晟周)の担任・沢田(千葉雄大)から学校に呼び出される。陵が、階段を滑り落ちそうになった生徒を助けようとして軽いケガをしたという。その際、沢田は、またダンスの練習を見学に来てほしいとみどりに伝える。  　池田とのデートのため、カフェで待ち合わせていた亜紀だが、大雨のために外に出られず高山と2人だけカフェに取り残されてしまい。中原亜紀・・・　</v>
      </c>
      <c r="N525" s="2"/>
      <c r="O525" s="2"/>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row>
    <row r="526" ht="204.75" customHeight="1">
      <c r="A526" s="1">
        <v>1933.0</v>
      </c>
      <c r="B526" s="2" t="s">
        <v>1677</v>
      </c>
      <c r="C526" s="2">
        <f>IFERROR(__xludf.DUMMYFUNCTION("split(B526,""_"")"),1510.0)</f>
        <v>1510</v>
      </c>
      <c r="D526" s="2" t="str">
        <f>IFERROR(__xludf.DUMMYFUNCTION("""COMPUTED_VALUE"""),"CX")</f>
        <v>CX</v>
      </c>
      <c r="E526" s="2" t="str">
        <f>IFERROR(__xludf.DUMMYFUNCTION("""COMPUTED_VALUE"""),"木22")</f>
        <v>木22</v>
      </c>
      <c r="F526" s="2" t="s">
        <v>1678</v>
      </c>
      <c r="G526" s="2" t="s">
        <v>1691</v>
      </c>
      <c r="H526" s="1">
        <v>5.0</v>
      </c>
      <c r="I526" s="1" t="s">
        <v>17</v>
      </c>
      <c r="J526" s="1" t="s">
        <v>82</v>
      </c>
      <c r="K526" s="2" t="s">
        <v>1692</v>
      </c>
      <c r="L526" s="2" t="s">
        <v>1693</v>
      </c>
      <c r="M526" s="2" t="str">
        <f>IFERROR(__xludf.DUMMYFUNCTION("split(split(K526,""篠原涼子　"",false),""html"",false)"),"「2018FIFAワールドカップアジア2次予選日本VSシンガポール」延長の際、放送時間繰り下げの場合あり。　亜紀(篠原涼子)と池田(平山浩行)は交際を続けていた。順調すぎで逆に不安を覚えているという池田に、愛とは決して後悔しないこと、前に進むしかないと助言する高山(江口洋介)。  　萠子(吉瀬美智子)のフラワーショップにやってきた栗田(谷原章介)は、以前付き合っていた女の子から、妊娠したので責任を取ってほしいと言われて困っていると相談する。交際していたのは1年以上前なので、つじつまは合わないが、下手に騒が"&amp;"れても困るというのだ。栗田の言動に腹を立てていたはずの萠子は、相談されたことが嬉しくてつい彼を許してしまう。  　一方、三男・陵(浦上晟周)の担任でもある沢田(千葉雄大)とベッドをともにしてしまったみどり(鈴木砂羽)は、亜紀と萠子にその件を告白する。しかも、子どもたちがそれに気づいているかもしれないらしい。そんな話をしている間にも、沢田から「あなたに会いたい」というメールが届き、困惑するみどり。萠子は、「もう会わない」と言って自分を責めるみどりに、お互い独身なのだから何も悪くないと告げる。それに対して亜紀"&amp;"は、子どもたちのことや立場も考えるべきだと言い出し…。  　そんな折、高山のもとを訪ねた亜紀は、どこかしっくりいっていない池田との交際について相談する。高山は、亜紀たちはお互いに気を遣い過ぎだと指摘し、一度思い切り甘えてみてはどうかと提案する。中原亜紀:　")</f>
        <v>「2018FIFAワールドカップアジア2次予選日本VSシンガポール」延長の際、放送時間繰り下げの場合あり。　亜紀(篠原涼子)と池田(平山浩行)は交際を続けていた。順調すぎで逆に不安を覚えているという池田に、愛とは決して後悔しないこと、前に進むしかないと助言する高山(江口洋介)。  　萠子(吉瀬美智子)のフラワーショップにやってきた栗田(谷原章介)は、以前付き合っていた女の子から、妊娠したので責任を取ってほしいと言われて困っていると相談する。交際していたのは1年以上前なので、つじつまは合わないが、下手に騒がれても困るというのだ。栗田の言動に腹を立てていたはずの萠子は、相談されたことが嬉しくてつい彼を許してしまう。  　一方、三男・陵(浦上晟周)の担任でもある沢田(千葉雄大)とベッドをともにしてしまったみどり(鈴木砂羽)は、亜紀と萠子にその件を告白する。しかも、子どもたちがそれに気づいているかもしれないらしい。そんな話をしている間にも、沢田から「あなたに会いたい」というメールが届き、困惑するみどり。萠子は、「もう会わない」と言って自分を責めるみどりに、お互い独身なのだから何も悪くないと告げる。それに対して亜紀は、子どもたちのことや立場も考えるべきだと言い出し…。  　そんな折、高山のもとを訪ねた亜紀は、どこかしっくりいっていない池田との交際について相談する。高山は、亜紀たちはお互いに気を遣い過ぎだと指摘し、一度思い切り甘えてみてはどうかと提案する。中原亜紀:　</v>
      </c>
      <c r="N526" s="2"/>
      <c r="O526" s="2"/>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row>
    <row r="527" ht="204.75" customHeight="1">
      <c r="A527" s="1">
        <v>1934.0</v>
      </c>
      <c r="B527" s="2" t="s">
        <v>1677</v>
      </c>
      <c r="C527" s="2">
        <f>IFERROR(__xludf.DUMMYFUNCTION("split(B527,""_"")"),1510.0)</f>
        <v>1510</v>
      </c>
      <c r="D527" s="2" t="str">
        <f>IFERROR(__xludf.DUMMYFUNCTION("""COMPUTED_VALUE"""),"CX")</f>
        <v>CX</v>
      </c>
      <c r="E527" s="2" t="str">
        <f>IFERROR(__xludf.DUMMYFUNCTION("""COMPUTED_VALUE"""),"木22")</f>
        <v>木22</v>
      </c>
      <c r="F527" s="2" t="s">
        <v>1678</v>
      </c>
      <c r="G527" s="2" t="s">
        <v>1694</v>
      </c>
      <c r="H527" s="1">
        <v>6.0</v>
      </c>
      <c r="I527" s="1" t="s">
        <v>21</v>
      </c>
      <c r="J527" s="1" t="s">
        <v>86</v>
      </c>
      <c r="K527" s="2" t="s">
        <v>1695</v>
      </c>
      <c r="L527" s="2" t="s">
        <v>1696</v>
      </c>
      <c r="M527" s="2" t="str">
        <f>IFERROR(__xludf.DUMMYFUNCTION("split(split(K527,""篠原涼子　"",false),""html"",false)"),"亜紀(篠原涼子)の会社・フルテージに雑誌の取材が入った。がやってきたカメラマン・里中(前川泰之)は、無遠慮な振る舞いで亜紀たちを困惑させる。そこに高山(江口洋介)から、亜紀に会いたいという連絡が入る。亜紀が高山を訪ねてカフェ『caldo』に行くと、入れ違いで彼はフルテージに現れる。高山は、美和(市川実和子)たちにひとしきり恋愛レクチャーをすると、帰り際、亜紀にキスをした件に触れ、「ただの誤作動だった、とだけ伝えてほしい」と伝言を残す。同じころ、みどり(鈴木砂羽)は、次男の碧(矢部昌暉)が怪しげな店でアルバ"&amp;"イトしているのではないかと疑っていた。三男・陵(浦上晟周)のいじめ問題の件で電話してきた沢田(千葉雄大)は、みどりから碧のことを聞くと、「好きな人の役に立ちたい」と言って一緒にその店に行こうと提案する。一方、栗田(谷原章介)とデートしていた萠子(吉瀬美智子)の前には、レンタル彼氏で頼んだ田代(丸山智己)が現れる。そこで田代は、もう一度萠子に会いたかったなどと言い出す。最初は嫌がっていたものの、遠慮なく話しかけてくる田代に、最後は思わず笑ってしまう萠子。その姿を見ていた栗田は、半ば強引に萠子をホテルに誘い…"&amp;"。そんな折、亜紀のマンションに池田(平山浩行)がやってくる。そこで亜紀は、池田から衝撃の告白を受け…。中原亜紀:　")</f>
        <v>亜紀(篠原涼子)の会社・フルテージに雑誌の取材が入った。がやってきたカメラマン・里中(前川泰之)は、無遠慮な振る舞いで亜紀たちを困惑させる。そこに高山(江口洋介)から、亜紀に会いたいという連絡が入る。亜紀が高山を訪ねてカフェ『caldo』に行くと、入れ違いで彼はフルテージに現れる。高山は、美和(市川実和子)たちにひとしきり恋愛レクチャーをすると、帰り際、亜紀にキスをした件に触れ、「ただの誤作動だった、とだけ伝えてほしい」と伝言を残す。同じころ、みどり(鈴木砂羽)は、次男の碧(矢部昌暉)が怪しげな店でアルバイトしているのではないかと疑っていた。三男・陵(浦上晟周)のいじめ問題の件で電話してきた沢田(千葉雄大)は、みどりから碧のことを聞くと、「好きな人の役に立ちたい」と言って一緒にその店に行こうと提案する。一方、栗田(谷原章介)とデートしていた萠子(吉瀬美智子)の前には、レンタル彼氏で頼んだ田代(丸山智己)が現れる。そこで田代は、もう一度萠子に会いたかったなどと言い出す。最初は嫌がっていたものの、遠慮なく話しかけてくる田代に、最後は思わず笑ってしまう萠子。その姿を見ていた栗田は、半ば強引に萠子をホテルに誘い…。そんな折、亜紀のマンションに池田(平山浩行)がやってくる。そこで亜紀は、池田から衝撃の告白を受け…。中原亜紀:　</v>
      </c>
      <c r="N527" s="2"/>
      <c r="O527" s="2"/>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row>
    <row r="528" ht="204.75" customHeight="1">
      <c r="A528" s="1">
        <v>1935.0</v>
      </c>
      <c r="B528" s="2" t="s">
        <v>1677</v>
      </c>
      <c r="C528" s="2">
        <f>IFERROR(__xludf.DUMMYFUNCTION("split(B528,""_"")"),1510.0)</f>
        <v>1510</v>
      </c>
      <c r="D528" s="2" t="str">
        <f>IFERROR(__xludf.DUMMYFUNCTION("""COMPUTED_VALUE"""),"CX")</f>
        <v>CX</v>
      </c>
      <c r="E528" s="2" t="str">
        <f>IFERROR(__xludf.DUMMYFUNCTION("""COMPUTED_VALUE"""),"木22")</f>
        <v>木22</v>
      </c>
      <c r="F528" s="2" t="s">
        <v>1678</v>
      </c>
      <c r="G528" s="2" t="s">
        <v>1697</v>
      </c>
      <c r="H528" s="1">
        <v>7.0</v>
      </c>
      <c r="I528" s="1" t="s">
        <v>25</v>
      </c>
      <c r="J528" s="1" t="s">
        <v>86</v>
      </c>
      <c r="K528" s="2" t="s">
        <v>1698</v>
      </c>
      <c r="L528" s="2" t="s">
        <v>1699</v>
      </c>
      <c r="M528" s="2" t="str">
        <f>IFERROR(__xludf.DUMMYFUNCTION("split(split(K528,""篠原涼子　"",false),""html"",false)"),"亜紀(篠原涼子)を心配して温泉宿まで駆けつけた高山(江口洋介)。酔って寝ている亜紀を見て、そのまま立ち去ろうとするが…。翌日、萠子(吉瀬美智子)と電話をした亜紀は、高山が亜紀のメッセージを見て店を飛び出して行ったことを聞く。亜紀は、駆けつけてくれたと聞いた、と高山を問いただすも、「妙な誤解をしているんじゃないか」と言われてしまう。するとそこに池田(平山浩行)がやって来て…。　一方、萠子の店には、連日、田代(丸山智己)が来ていた。嫌がる萠子をよそに話し続ける田代。すると、一度だけでいいから一緒に飲みに行って"&amp;"くれたらもう来ないと言い出し…。  　その頃、みどり(鈴木砂羽)は沢田(千葉雄大)から、次男・碧(矢部昌暉)が年上の女性と腕を組んで歩いているところを見た、と連絡を受ける。後日、バイト終わりの碧をこっそりつけたみどりは…。　ある夜、亜紀は高山に、別の部署に異動して悪戦苦闘していることを話す。その後、高山の話を聞いた亜紀はある決意をして…。中原亜紀:　")</f>
        <v>亜紀(篠原涼子)を心配して温泉宿まで駆けつけた高山(江口洋介)。酔って寝ている亜紀を見て、そのまま立ち去ろうとするが…。翌日、萠子(吉瀬美智子)と電話をした亜紀は、高山が亜紀のメッセージを見て店を飛び出して行ったことを聞く。亜紀は、駆けつけてくれたと聞いた、と高山を問いただすも、「妙な誤解をしているんじゃないか」と言われてしまう。するとそこに池田(平山浩行)がやって来て…。　一方、萠子の店には、連日、田代(丸山智己)が来ていた。嫌がる萠子をよそに話し続ける田代。すると、一度だけでいいから一緒に飲みに行ってくれたらもう来ないと言い出し…。  　その頃、みどり(鈴木砂羽)は沢田(千葉雄大)から、次男・碧(矢部昌暉)が年上の女性と腕を組んで歩いているところを見た、と連絡を受ける。後日、バイト終わりの碧をこっそりつけたみどりは…。　ある夜、亜紀は高山に、別の部署に異動して悪戦苦闘していることを話す。その後、高山の話を聞いた亜紀はある決意をして…。中原亜紀:　</v>
      </c>
      <c r="N528" s="2"/>
      <c r="O528" s="2"/>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row>
    <row r="529" ht="204.75" customHeight="1">
      <c r="A529" s="1">
        <v>1936.0</v>
      </c>
      <c r="B529" s="2" t="s">
        <v>1677</v>
      </c>
      <c r="C529" s="2">
        <f>IFERROR(__xludf.DUMMYFUNCTION("split(B529,""_"")"),1510.0)</f>
        <v>1510</v>
      </c>
      <c r="D529" s="2" t="str">
        <f>IFERROR(__xludf.DUMMYFUNCTION("""COMPUTED_VALUE"""),"CX")</f>
        <v>CX</v>
      </c>
      <c r="E529" s="2" t="str">
        <f>IFERROR(__xludf.DUMMYFUNCTION("""COMPUTED_VALUE"""),"木22")</f>
        <v>木22</v>
      </c>
      <c r="F529" s="2" t="s">
        <v>1678</v>
      </c>
      <c r="G529" s="2" t="s">
        <v>1700</v>
      </c>
      <c r="H529" s="1">
        <v>8.0</v>
      </c>
      <c r="I529" s="1" t="s">
        <v>29</v>
      </c>
      <c r="J529" s="1" t="s">
        <v>86</v>
      </c>
      <c r="K529" s="2" t="s">
        <v>1701</v>
      </c>
      <c r="L529" s="2" t="s">
        <v>1702</v>
      </c>
      <c r="M529" s="2" t="str">
        <f>IFERROR(__xludf.DUMMYFUNCTION("split(split(K529,""篠原涼子　"",false),""html"",false)"),"亜紀(篠原涼子)は、高山(江口洋介)らの助力もあってモバイルコンテンツ部への復帰を果たす。亮介(吉沢亮)も、社長の栗田(谷原章介)に何度も亜紀の復帰を訴えていたらしい。そこに美和(市川実和子)がやってきて、仕事を辞めようと思っていると言い出す。亜紀は、そんな彼女に、相談に乗るからもう一度考えてほしいと告げた。  　萠子(吉瀬美智子)は、母親の絹江(朝加真由美)から栗田と別れたことを責められ、口論になってしまう。そこに現れた田代(丸山智己)は、絹江を上手く外に連れ出し、その場を収める。みどり(鈴木砂羽)は、"&amp;"沢田(千葉雄大)から電話をもらい、陵(浦上晟周)が通う中学校を訪れる。応対した教頭(児玉頼信)は、調査の結果、陵に対するいじめの事実はなかったとみどりに告げるが…。  　一方、小説の執筆を進めていた高山は、主人公が無邪気に喜んでいる描写の参考に、と亜紀の好きなものをリサーチする。亜紀がJAZZ好きだと知った高山は、有名なJAZZミュージシャンのディナー付き演奏会のチケットを入手し、彼女を誘う。演奏会当日、亜紀は、ドレスアップして高山が待つカフェ『caldo』を訪れる。マスター(池田成志)から車を借りた高山"&amp;"は、亜紀をエスコートして会場へと向かうが…。中原亜紀:　")</f>
        <v>亜紀(篠原涼子)は、高山(江口洋介)らの助力もあってモバイルコンテンツ部への復帰を果たす。亮介(吉沢亮)も、社長の栗田(谷原章介)に何度も亜紀の復帰を訴えていたらしい。そこに美和(市川実和子)がやってきて、仕事を辞めようと思っていると言い出す。亜紀は、そんな彼女に、相談に乗るからもう一度考えてほしいと告げた。  　萠子(吉瀬美智子)は、母親の絹江(朝加真由美)から栗田と別れたことを責められ、口論になってしまう。そこに現れた田代(丸山智己)は、絹江を上手く外に連れ出し、その場を収める。みどり(鈴木砂羽)は、沢田(千葉雄大)から電話をもらい、陵(浦上晟周)が通う中学校を訪れる。応対した教頭(児玉頼信)は、調査の結果、陵に対するいじめの事実はなかったとみどりに告げるが…。  　一方、小説の執筆を進めていた高山は、主人公が無邪気に喜んでいる描写の参考に、と亜紀の好きなものをリサーチする。亜紀がJAZZ好きだと知った高山は、有名なJAZZミュージシャンのディナー付き演奏会のチケットを入手し、彼女を誘う。演奏会当日、亜紀は、ドレスアップして高山が待つカフェ『caldo』を訪れる。マスター(池田成志)から車を借りた高山は、亜紀をエスコートして会場へと向かうが…。中原亜紀:　</v>
      </c>
      <c r="N529" s="2"/>
      <c r="O529" s="2"/>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row>
    <row r="530" ht="204.75" customHeight="1">
      <c r="A530" s="1">
        <v>1937.0</v>
      </c>
      <c r="B530" s="2" t="s">
        <v>1677</v>
      </c>
      <c r="C530" s="2">
        <f>IFERROR(__xludf.DUMMYFUNCTION("split(B530,""_"")"),1510.0)</f>
        <v>1510</v>
      </c>
      <c r="D530" s="2" t="str">
        <f>IFERROR(__xludf.DUMMYFUNCTION("""COMPUTED_VALUE"""),"CX")</f>
        <v>CX</v>
      </c>
      <c r="E530" s="2" t="str">
        <f>IFERROR(__xludf.DUMMYFUNCTION("""COMPUTED_VALUE"""),"木22")</f>
        <v>木22</v>
      </c>
      <c r="F530" s="2" t="s">
        <v>1678</v>
      </c>
      <c r="G530" s="2" t="s">
        <v>1703</v>
      </c>
      <c r="H530" s="1">
        <v>9.0</v>
      </c>
      <c r="I530" s="1" t="s">
        <v>33</v>
      </c>
      <c r="J530" s="1" t="s">
        <v>86</v>
      </c>
      <c r="K530" s="2" t="s">
        <v>1704</v>
      </c>
      <c r="L530" s="2" t="s">
        <v>1705</v>
      </c>
      <c r="M530" s="2" t="str">
        <f>IFERROR(__xludf.DUMMYFUNCTION("split(split(K530,""篠原涼子　"",false),""html"",false)"),"亜紀(篠原涼子)のマンションに、いきなり高山(江口洋介)がやってくる。応対した亜紀に、「会いたくて…」という高山。亜紀は、戸惑いながらも高山を迎え入れるが…。  　萠子(吉瀬美智子)は、店にやってきた母・絹江(朝加真由美)に、ひとり暮らしをするために部屋を借りようと思っていることを告げる。しかし絹江は、それを認めようとはせず、「私のこと、捨てるつもりなの?」と言い出す。  　同じころ、とあるネット掲示板に、栗田(谷原章介)と関係を持ったという女性たちが集まり、彼に関する書き込みをしていることが判明する。秘"&amp;"書の玲子(東加奈子)からその話を聞いた栗田は、このくらいやられても仕方ないと返す。  　亮介(吉沢亮)は、カフェ『caldo』を訪れ、高山に恋愛相談を持ち掛ける。亮介が亜紀に思いを寄せているとは知らない高山は、相手の趣味や嗜好を知ることの必要性を説き、若いのだから失うことを恐れずにぶつかってみればいい、とアドバイスした。  　一方、みどり(鈴木砂羽)は、もう一度話し合いをするために、三男・陵(浦上晟周)をいじめていた相手の家を訪れる。するとそこに沢田(千葉雄大)もやってくる。しかし、相手側の両親は、みどり"&amp;"が金目当てで騒ぎ立てていると決めつける。  　そんな折、亜紀たちが取り組んでいたアラフォー向け恋愛アプリがとうとう完成する。社内で打ち上げをすることにした亜紀は、高山にも声をかけ…。中原亜紀:　")</f>
        <v>亜紀(篠原涼子)のマンションに、いきなり高山(江口洋介)がやってくる。応対した亜紀に、「会いたくて…」という高山。亜紀は、戸惑いながらも高山を迎え入れるが…。  　萠子(吉瀬美智子)は、店にやってきた母・絹江(朝加真由美)に、ひとり暮らしをするために部屋を借りようと思っていることを告げる。しかし絹江は、それを認めようとはせず、「私のこと、捨てるつもりなの?」と言い出す。  　同じころ、とあるネット掲示板に、栗田(谷原章介)と関係を持ったという女性たちが集まり、彼に関する書き込みをしていることが判明する。秘書の玲子(東加奈子)からその話を聞いた栗田は、このくらいやられても仕方ないと返す。  　亮介(吉沢亮)は、カフェ『caldo』を訪れ、高山に恋愛相談を持ち掛ける。亮介が亜紀に思いを寄せているとは知らない高山は、相手の趣味や嗜好を知ることの必要性を説き、若いのだから失うことを恐れずにぶつかってみればいい、とアドバイスした。  　一方、みどり(鈴木砂羽)は、もう一度話し合いをするために、三男・陵(浦上晟周)をいじめていた相手の家を訪れる。するとそこに沢田(千葉雄大)もやってくる。しかし、相手側の両親は、みどりが金目当てで騒ぎ立てていると決めつける。  　そんな折、亜紀たちが取り組んでいたアラフォー向け恋愛アプリがとうとう完成する。社内で打ち上げをすることにした亜紀は、高山にも声をかけ…。中原亜紀:　</v>
      </c>
      <c r="N530" s="2"/>
      <c r="O530" s="2"/>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row>
    <row r="531" ht="204.75" customHeight="1">
      <c r="A531" s="1">
        <v>1938.0</v>
      </c>
      <c r="B531" s="2" t="s">
        <v>1677</v>
      </c>
      <c r="C531" s="2">
        <f>IFERROR(__xludf.DUMMYFUNCTION("split(B531,""_"")"),1510.0)</f>
        <v>1510</v>
      </c>
      <c r="D531" s="2" t="str">
        <f>IFERROR(__xludf.DUMMYFUNCTION("""COMPUTED_VALUE"""),"CX")</f>
        <v>CX</v>
      </c>
      <c r="E531" s="2" t="str">
        <f>IFERROR(__xludf.DUMMYFUNCTION("""COMPUTED_VALUE"""),"木22")</f>
        <v>木22</v>
      </c>
      <c r="F531" s="2" t="s">
        <v>1678</v>
      </c>
      <c r="G531" s="2" t="s">
        <v>1706</v>
      </c>
      <c r="H531" s="1">
        <v>10.0</v>
      </c>
      <c r="I531" s="1" t="s">
        <v>37</v>
      </c>
      <c r="J531" s="1" t="s">
        <v>86</v>
      </c>
      <c r="K531" s="2" t="s">
        <v>1707</v>
      </c>
      <c r="L531" s="2" t="s">
        <v>1708</v>
      </c>
      <c r="M531" s="2" t="str">
        <f>IFERROR(__xludf.DUMMYFUNCTION("split(split(K531,""篠原涼子　"",false),""html"",false)"),"亜紀(篠原涼子)は、高山(江口洋介)が執筆していた小説を偶然読んでしまい、大きなショックを受ける。そこには、高山と出会ってからの亜紀のことが綴られていた。池田(平山浩行)は、泣きながらカフェ『caldo』を飛び出した亜紀の姿を見つけ、彼女を追いかける。しかし亜紀は、何も話そうとはしなかった。  　あくる日、亮介(吉沢亮)は、徹夜して作った企画書を亜紀に提出する。そのとき、亜紀のようすがどこかおかしいことに気づいた亮介は、何かあれば相談に乗る、と声をかける。そんな中、フルテージに高山がやってきて、亜紀を呼び"&amp;"出す。そこで高山は、小説を書くことを認めてほしい、と言い出し、亜紀を怒らせてしまう。  　萠子(吉瀬美智子)は、母・絹江(朝加真由美)と別居することを田代(丸山智己)に打ち明ける。すると田代は、もっといい解決法があると思う、と告げる。　一方、みどり(鈴木砂羽)は、授業参観で三男・陵(浦上晟周)のクラスを訪れる。そこで陵は、「最近思うこと」というテーマで書いた作文を発表する。  　別の日、亜紀は萠子、みどりと女子会を開く。そこに、池田から「会いたい」という電話が入り…。中原亜紀:　")</f>
        <v>亜紀(篠原涼子)は、高山(江口洋介)が執筆していた小説を偶然読んでしまい、大きなショックを受ける。そこには、高山と出会ってからの亜紀のことが綴られていた。池田(平山浩行)は、泣きながらカフェ『caldo』を飛び出した亜紀の姿を見つけ、彼女を追いかける。しかし亜紀は、何も話そうとはしなかった。  　あくる日、亮介(吉沢亮)は、徹夜して作った企画書を亜紀に提出する。そのとき、亜紀のようすがどこかおかしいことに気づいた亮介は、何かあれば相談に乗る、と声をかける。そんな中、フルテージに高山がやってきて、亜紀を呼び出す。そこで高山は、小説を書くことを認めてほしい、と言い出し、亜紀を怒らせてしまう。  　萠子(吉瀬美智子)は、母・絹江(朝加真由美)と別居することを田代(丸山智己)に打ち明ける。すると田代は、もっといい解決法があると思う、と告げる。　一方、みどり(鈴木砂羽)は、授業参観で三男・陵(浦上晟周)のクラスを訪れる。そこで陵は、「最近思うこと」というテーマで書いた作文を発表する。  　別の日、亜紀は萠子、みどりと女子会を開く。そこに、池田から「会いたい」という電話が入り…。中原亜紀:　</v>
      </c>
      <c r="N531" s="2"/>
      <c r="O531" s="2"/>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row>
    <row r="532" ht="204.75" customHeight="1">
      <c r="A532" s="1">
        <v>1994.0</v>
      </c>
      <c r="B532" s="2" t="s">
        <v>1709</v>
      </c>
      <c r="C532" s="2">
        <f>IFERROR(__xludf.DUMMYFUNCTION("split(B532,""_"")"),1507.0)</f>
        <v>1507</v>
      </c>
      <c r="D532" s="2" t="str">
        <f>IFERROR(__xludf.DUMMYFUNCTION("""COMPUTED_VALUE"""),"CX")</f>
        <v>CX</v>
      </c>
      <c r="E532" s="2" t="str">
        <f>IFERROR(__xludf.DUMMYFUNCTION("""COMPUTED_VALUE"""),"月21")</f>
        <v>月21</v>
      </c>
      <c r="F532" s="2" t="s">
        <v>1710</v>
      </c>
      <c r="G532" s="2" t="s">
        <v>1711</v>
      </c>
      <c r="H532" s="1">
        <v>1.0</v>
      </c>
      <c r="I532" s="1" t="s">
        <v>3</v>
      </c>
      <c r="J532" s="1" t="s">
        <v>4</v>
      </c>
      <c r="K532" s="2" t="s">
        <v>1712</v>
      </c>
      <c r="L532" s="2" t="s">
        <v>1713</v>
      </c>
      <c r="M532" s="2" t="str">
        <f>IFERROR(__xludf.DUMMYFUNCTION("split(split(K532,""福士蒼汰　"",false),"" #恋仲"",false)"),"★「恋仲」公式番組ホームページ　  http://www.fujitv.co.jp/koinaka/　    ★公式twitterも大好評展開中!　 ")</f>
        <v>★「恋仲」公式番組ホームページ　  http://www.fujitv.co.jp/koinaka/　    ★公式twitterも大好評展開中!　 </v>
      </c>
      <c r="N532" s="2" t="str">
        <f>IFERROR(__xludf.DUMMYFUNCTION("""COMPUTED_VALUE"""),"　今からそう遠くない未来ーー。とあるチャペルで結婚式が行われようとしている。ウエディングドレスに身を包んだ新婦・芹沢あかり(本田翼)は不安げだ。夫となる新郎がまだ到着していない。その頃、三浦葵(福士蒼汰)はチャペルへ向かって猛ダッシュをしていた。また、新幹線から駅に降り立った蒼井翔太(野村周平)も急いでいた。これは、2人の“アオイ""のどちらかが芹沢あかりと結婚するまでの物語…。　2015年、東京。葵は建築設計事務所で働いている。建築家という夢の入り口に立った葵だったが、日々の仕事に忙殺され、夢を見失って"&amp;"いた。社長の丹波万里子(吉田羊)にはつまらないと指摘され、仕事同様恋愛も上手くいかない踏んだり蹴ったりの毎日を送っている。ある日、葵の携帯電話が鳴る。高校時代の友人、金沢公平(太賀)から同窓会の連絡。葵は思わず高校時代に想いをはせる…7年間会っていないあかりのことに…。　2008年、富山。幼なじみの葵とあかりは、お互いの家を自由に行き来するような関係。葵は、あかりの父・寛利(小林薫)とも顔なじみだ。互いに想いを寄せる葵とあかりだったが、素直になれず微妙な関係が続いていた。そんな中、翔太が転校してくることに"&amp;"よって2人の関係は変化を迎える…。高校3年の夏、卒業すればあかりと離れ離れになるかもしれないと思った葵は、「あかりを花火大会に誘い告白しよう」と意気込むが…。")</f>
        <v>　今からそう遠くない未来ーー。とあるチャペルで結婚式が行われようとしている。ウエディングドレスに身を包んだ新婦・芹沢あかり(本田翼)は不安げだ。夫となる新郎がまだ到着していない。その頃、三浦葵(福士蒼汰)はチャペルへ向かって猛ダッシュをしていた。また、新幹線から駅に降り立った蒼井翔太(野村周平)も急いでいた。これは、2人の“アオイ"のどちらかが芹沢あかりと結婚するまでの物語…。　2015年、東京。葵は建築設計事務所で働いている。建築家という夢の入り口に立った葵だったが、日々の仕事に忙殺され、夢を見失っていた。社長の丹波万里子(吉田羊)にはつまらないと指摘され、仕事同様恋愛も上手くいかない踏んだり蹴ったりの毎日を送っている。ある日、葵の携帯電話が鳴る。高校時代の友人、金沢公平(太賀)から同窓会の連絡。葵は思わず高校時代に想いをはせる…7年間会っていないあかりのことに…。　2008年、富山。幼なじみの葵とあかりは、お互いの家を自由に行き来するような関係。葵は、あかりの父・寛利(小林薫)とも顔なじみだ。互いに想いを寄せる葵とあかりだったが、素直になれず微妙な関係が続いていた。そんな中、翔太が転校してくることによって2人の関係は変化を迎える…。高校3年の夏、卒業すればあかりと離れ離れになるかもしれないと思った葵は、「あかりを花火大会に誘い告白しよう」と意気込むが…。</v>
      </c>
      <c r="O532" s="2"/>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row>
    <row r="533" ht="204.75" customHeight="1">
      <c r="A533" s="1">
        <v>1995.0</v>
      </c>
      <c r="B533" s="2" t="s">
        <v>1709</v>
      </c>
      <c r="C533" s="2">
        <f>IFERROR(__xludf.DUMMYFUNCTION("split(B533,""_"")"),1507.0)</f>
        <v>1507</v>
      </c>
      <c r="D533" s="2" t="str">
        <f>IFERROR(__xludf.DUMMYFUNCTION("""COMPUTED_VALUE"""),"CX")</f>
        <v>CX</v>
      </c>
      <c r="E533" s="2" t="str">
        <f>IFERROR(__xludf.DUMMYFUNCTION("""COMPUTED_VALUE"""),"月21")</f>
        <v>月21</v>
      </c>
      <c r="F533" s="2" t="s">
        <v>1710</v>
      </c>
      <c r="G533" s="2" t="s">
        <v>1714</v>
      </c>
      <c r="H533" s="1">
        <v>2.0</v>
      </c>
      <c r="I533" s="1" t="s">
        <v>7</v>
      </c>
      <c r="J533" s="1" t="s">
        <v>11</v>
      </c>
      <c r="K533" s="2" t="s">
        <v>1715</v>
      </c>
      <c r="L533" s="2" t="s">
        <v>1716</v>
      </c>
      <c r="M533" s="2" t="str">
        <f>IFERROR(__xludf.DUMMYFUNCTION("split(split(K533,""福士蒼汰　"",false),"" #恋仲"",false)"),"★「恋仲」公式番組ホームページ　  http://www.fujitv.co.jp/koinaka/　    ★公式twitterも大好評展開中!　 ")</f>
        <v>★「恋仲」公式番組ホームページ　  http://www.fujitv.co.jp/koinaka/　    ★公式twitterも大好評展開中!　 </v>
      </c>
      <c r="N533" s="2" t="str">
        <f>IFERROR(__xludf.DUMMYFUNCTION("""COMPUTED_VALUE"""),"　“かつての想い人が親友の恋人""という衝撃的な事実を受け止めきれない三浦葵(福士蒼汰)は、帰り道、思わず金沢公平(太賀)に携帯電話で思いをぶつける。葵が自宅マンションの前まで来ると、目の前には今電話しているはずの公平が…。公平は葵の家にひと夏の居候をしに上京してきたのだった。葵があきれていると、妹の七海(大原櫻子)が帰宅。美しく変貌した七海との再会に、公平の気持ちは高まる。そんな公平の様子に、久しぶりに再会した芹沢あかり(本田翼)への思いを募らせる葵。  　公平が高校の同窓会を企画した日。研修医の蒼井翔"&amp;"太(野村周平)は、優秀で周囲の評価も高く、早くも患者への病状説明を任されていた。そんな翔太の前に公平が現れ、同窓会に誘う。  　一方、葵はあかりの事が気になり仕事に集中出来ない。そんな葵に丹羽万里子(吉田羊)が保育園リフォームの設計を担当してみないかと声をかける。喜ぶ葵だが、任せられたのはウサギ小屋だった。先輩の富永美玲(山本美月)にからかわれながらも、真剣に設計に取り組む葵に公平から同窓会に早く来いと電話が入る。あかりと翔太も来ていると聞いた葵は仕事が終わらないと断る。  　仕事を終えた葵がマンションに"&amp;"帰ると、玄関に見慣れないたくさんの靴が並んでいた。部屋に入ると、あかりと翔太がいた。あかりと翔太の馴れ初めや、自分と翔太のスペックの差を見せつけられ、居たたまれなくなった葵は…。")</f>
        <v>　“かつての想い人が親友の恋人"という衝撃的な事実を受け止めきれない三浦葵(福士蒼汰)は、帰り道、思わず金沢公平(太賀)に携帯電話で思いをぶつける。葵が自宅マンションの前まで来ると、目の前には今電話しているはずの公平が…。公平は葵の家にひと夏の居候をしに上京してきたのだった。葵があきれていると、妹の七海(大原櫻子)が帰宅。美しく変貌した七海との再会に、公平の気持ちは高まる。そんな公平の様子に、久しぶりに再会した芹沢あかり(本田翼)への思いを募らせる葵。  　公平が高校の同窓会を企画した日。研修医の蒼井翔太(野村周平)は、優秀で周囲の評価も高く、早くも患者への病状説明を任されていた。そんな翔太の前に公平が現れ、同窓会に誘う。  　一方、葵はあかりの事が気になり仕事に集中出来ない。そんな葵に丹羽万里子(吉田羊)が保育園リフォームの設計を担当してみないかと声をかける。喜ぶ葵だが、任せられたのはウサギ小屋だった。先輩の富永美玲(山本美月)にからかわれながらも、真剣に設計に取り組む葵に公平から同窓会に早く来いと電話が入る。あかりと翔太も来ていると聞いた葵は仕事が終わらないと断る。  　仕事を終えた葵がマンションに帰ると、玄関に見慣れないたくさんの靴が並んでいた。部屋に入ると、あかりと翔太がいた。あかりと翔太の馴れ初めや、自分と翔太のスペックの差を見せつけられ、居たたまれなくなった葵は…。</v>
      </c>
      <c r="O533" s="2"/>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row>
    <row r="534" ht="204.75" customHeight="1">
      <c r="A534" s="1">
        <v>1996.0</v>
      </c>
      <c r="B534" s="2" t="s">
        <v>1709</v>
      </c>
      <c r="C534" s="2">
        <f>IFERROR(__xludf.DUMMYFUNCTION("split(B534,""_"")"),1507.0)</f>
        <v>1507</v>
      </c>
      <c r="D534" s="2" t="str">
        <f>IFERROR(__xludf.DUMMYFUNCTION("""COMPUTED_VALUE"""),"CX")</f>
        <v>CX</v>
      </c>
      <c r="E534" s="2" t="str">
        <f>IFERROR(__xludf.DUMMYFUNCTION("""COMPUTED_VALUE"""),"月21")</f>
        <v>月21</v>
      </c>
      <c r="F534" s="2" t="s">
        <v>1710</v>
      </c>
      <c r="G534" s="2" t="s">
        <v>1717</v>
      </c>
      <c r="H534" s="1">
        <v>3.0</v>
      </c>
      <c r="I534" s="1" t="s">
        <v>10</v>
      </c>
      <c r="J534" s="1" t="s">
        <v>11</v>
      </c>
      <c r="K534" s="2" t="s">
        <v>1718</v>
      </c>
      <c r="L534" s="2" t="s">
        <v>1719</v>
      </c>
      <c r="M534" s="2" t="str">
        <f>IFERROR(__xludf.DUMMYFUNCTION("split(split(K534,""福士蒼汰　"",false),"" #恋仲"",false)"),"★「恋仲」公式番組ホームページ　  http://www.fujitv.co.jp/koinaka/　    ★公式twitterも大好評展開中!　 ")</f>
        <v>★「恋仲」公式番組ホームページ　  http://www.fujitv.co.jp/koinaka/　    ★公式twitterも大好評展開中!　 </v>
      </c>
      <c r="N534" s="2" t="str">
        <f>IFERROR(__xludf.DUMMYFUNCTION("""COMPUTED_VALUE"""),"　芹沢あかり(本田翼)と期せずして映画館で2人きりの時間を過した三浦葵(福士蒼汰)は、帰宅するなり金沢公平(太賀)にからかわれるも、否定する。だが、確かにあかりへの懐かしい想いを感じていた。一方、あかりは、映画館での出来事を楽しそうに蒼井翔太(野村周平)に話す。そんなあかりの様子に翔太は…。  　アパートに帰ったあかりは、高梨恵里香(馬場園梓)に幼なじみの葵と昔のような仲に戻れたと話す。そして高校時代には恋心を抱いたが結局ふられた、と。恵里香は再燃もあるのではないかと盛り上がるが、あかりは打ち消した。  "&amp;"　葵が新たな仕事の建築予定地へ行くと、建設作業員の中にあかりの父、寛利(小林薫)に似た人物が…。だが見失ってしまう。  　そんなある日、葵はあかりから自宅のラックを作って欲しいと連絡を受ける。日曜日に材料の買い出しにホームセンターへ。ラックが完成すると、葵は寛利の所在をあかりに聞く。あかりは、わからないと答えるも、翔太も探してくれているので、いつか見つかると信じていた。  　葵は恵里香から「東京で出会った頃のあかりはとても暗かったが翔太と付き合いだして変わった、翔太に救われたのだ」と聞く。あかりへの想いが"&amp;"増していた葵は、「あかりの横にいるのは自分ではなく翔太」という現実を突きつけられる。さらに、翔太に呼び出された葵は、そこで衝撃的な事実を告げられ…。")</f>
        <v>　芹沢あかり(本田翼)と期せずして映画館で2人きりの時間を過した三浦葵(福士蒼汰)は、帰宅するなり金沢公平(太賀)にからかわれるも、否定する。だが、確かにあかりへの懐かしい想いを感じていた。一方、あかりは、映画館での出来事を楽しそうに蒼井翔太(野村周平)に話す。そんなあかりの様子に翔太は…。  　アパートに帰ったあかりは、高梨恵里香(馬場園梓)に幼なじみの葵と昔のような仲に戻れたと話す。そして高校時代には恋心を抱いたが結局ふられた、と。恵里香は再燃もあるのではないかと盛り上がるが、あかりは打ち消した。  　葵が新たな仕事の建築予定地へ行くと、建設作業員の中にあかりの父、寛利(小林薫)に似た人物が…。だが見失ってしまう。  　そんなある日、葵はあかりから自宅のラックを作って欲しいと連絡を受ける。日曜日に材料の買い出しにホームセンターへ。ラックが完成すると、葵は寛利の所在をあかりに聞く。あかりは、わからないと答えるも、翔太も探してくれているので、いつか見つかると信じていた。  　葵は恵里香から「東京で出会った頃のあかりはとても暗かったが翔太と付き合いだして変わった、翔太に救われたのだ」と聞く。あかりへの想いが増していた葵は、「あかりの横にいるのは自分ではなく翔太」という現実を突きつけられる。さらに、翔太に呼び出された葵は、そこで衝撃的な事実を告げられ…。</v>
      </c>
      <c r="O534" s="2"/>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row>
    <row r="535" ht="204.75" customHeight="1">
      <c r="A535" s="1">
        <v>1997.0</v>
      </c>
      <c r="B535" s="2" t="s">
        <v>1709</v>
      </c>
      <c r="C535" s="2">
        <f>IFERROR(__xludf.DUMMYFUNCTION("split(B535,""_"")"),1507.0)</f>
        <v>1507</v>
      </c>
      <c r="D535" s="2" t="str">
        <f>IFERROR(__xludf.DUMMYFUNCTION("""COMPUTED_VALUE"""),"CX")</f>
        <v>CX</v>
      </c>
      <c r="E535" s="2" t="str">
        <f>IFERROR(__xludf.DUMMYFUNCTION("""COMPUTED_VALUE"""),"月21")</f>
        <v>月21</v>
      </c>
      <c r="F535" s="2" t="s">
        <v>1710</v>
      </c>
      <c r="G535" s="2" t="s">
        <v>1720</v>
      </c>
      <c r="H535" s="1">
        <v>4.0</v>
      </c>
      <c r="I535" s="1" t="s">
        <v>14</v>
      </c>
      <c r="J535" s="1" t="s">
        <v>11</v>
      </c>
      <c r="K535" s="2" t="s">
        <v>1721</v>
      </c>
      <c r="L535" s="2" t="s">
        <v>1722</v>
      </c>
      <c r="M535" s="2" t="str">
        <f>IFERROR(__xludf.DUMMYFUNCTION("split(split(K535,""福士蒼汰　"",false),"" #恋仲"",false)"),"★「恋仲」公式番組ホームページ　  http://www.fujitv.co.jp/koinaka/　    ★公式twitterも大好評展開中!　 ")</f>
        <v>★「恋仲」公式番組ホームページ　  http://www.fujitv.co.jp/koinaka/　    ★公式twitterも大好評展開中!　 </v>
      </c>
      <c r="N535" s="2" t="str">
        <f>IFERROR(__xludf.DUMMYFUNCTION("""COMPUTED_VALUE"""),"　三浦葵(福士蒼汰)は仕事の成功を祝って、久しぶりに元カノの冴木瑠衣子(市川由衣)と食事をして帰宅。すると、金沢公平(太賀)の様子がおかしい。公平は、七海(大原櫻子)に恋をしてしまったと告白。前のめりな公平に、葵は就活中の七海の気持ちも考えろとくぎを刺す。  　一方、蒼井翔太(野村周平)の家で、葵に送ったラブレターを見つけてしまった芹沢あかり(本田翼)のショックは大きかった。翔太と顔を合わせるのも辛い。その翔太を沢田一葉(新川優愛)が心配していた。翔太が男に金を渡すところを見たからだ。直接聞いてみるが、翔"&amp;"太から一葉には関係ないと言われる。その後、一葉は翔太が金を渡した人が芹沢寛利(小林薫)だと知る。  　葵に建築コンクールへの出品の話が持ち上がる。出品はともかく心躍る葵。さらに、磯原新一(永井大)からは瑠衣子とよりを戻してみないかと言われる。磯原は瑠衣子が葵と別れた事を後悔していると教えた。  　そんな時、公平がバーベキューをしようと言いだす。就活に追われる七海にひとときの癒やしをプレゼントしたいらしい。車ならと言う七海だが公平は免許すらない。と、葵が瑠衣子に車を出してもらおうと助け舟。すると公平は、あか"&amp;"りと翔太も呼ぼうとうっかり口に出す。葵の気持ちを知る七海は公平をたしなめる。だが、葵はあかりへの想いは吹っ切れたと言い、仲間たちで出かけるのだが…。")</f>
        <v>　三浦葵(福士蒼汰)は仕事の成功を祝って、久しぶりに元カノの冴木瑠衣子(市川由衣)と食事をして帰宅。すると、金沢公平(太賀)の様子がおかしい。公平は、七海(大原櫻子)に恋をしてしまったと告白。前のめりな公平に、葵は就活中の七海の気持ちも考えろとくぎを刺す。  　一方、蒼井翔太(野村周平)の家で、葵に送ったラブレターを見つけてしまった芹沢あかり(本田翼)のショックは大きかった。翔太と顔を合わせるのも辛い。その翔太を沢田一葉(新川優愛)が心配していた。翔太が男に金を渡すところを見たからだ。直接聞いてみるが、翔太から一葉には関係ないと言われる。その後、一葉は翔太が金を渡した人が芹沢寛利(小林薫)だと知る。  　葵に建築コンクールへの出品の話が持ち上がる。出品はともかく心躍る葵。さらに、磯原新一(永井大)からは瑠衣子とよりを戻してみないかと言われる。磯原は瑠衣子が葵と別れた事を後悔していると教えた。  　そんな時、公平がバーベキューをしようと言いだす。就活に追われる七海にひとときの癒やしをプレゼントしたいらしい。車ならと言う七海だが公平は免許すらない。と、葵が瑠衣子に車を出してもらおうと助け舟。すると公平は、あかりと翔太も呼ぼうとうっかり口に出す。葵の気持ちを知る七海は公平をたしなめる。だが、葵はあかりへの想いは吹っ切れたと言い、仲間たちで出かけるのだが…。</v>
      </c>
      <c r="O535" s="2"/>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row>
    <row r="536" ht="204.75" customHeight="1">
      <c r="A536" s="1">
        <v>1998.0</v>
      </c>
      <c r="B536" s="2" t="s">
        <v>1709</v>
      </c>
      <c r="C536" s="2">
        <f>IFERROR(__xludf.DUMMYFUNCTION("split(B536,""_"")"),1507.0)</f>
        <v>1507</v>
      </c>
      <c r="D536" s="2" t="str">
        <f>IFERROR(__xludf.DUMMYFUNCTION("""COMPUTED_VALUE"""),"CX")</f>
        <v>CX</v>
      </c>
      <c r="E536" s="2" t="str">
        <f>IFERROR(__xludf.DUMMYFUNCTION("""COMPUTED_VALUE"""),"月21")</f>
        <v>月21</v>
      </c>
      <c r="F536" s="2" t="s">
        <v>1710</v>
      </c>
      <c r="G536" s="2" t="s">
        <v>1723</v>
      </c>
      <c r="H536" s="1">
        <v>5.0</v>
      </c>
      <c r="I536" s="1" t="s">
        <v>17</v>
      </c>
      <c r="J536" s="1" t="s">
        <v>11</v>
      </c>
      <c r="K536" s="2" t="s">
        <v>1724</v>
      </c>
      <c r="L536" s="2" t="s">
        <v>1725</v>
      </c>
      <c r="M536" s="2" t="str">
        <f>IFERROR(__xludf.DUMMYFUNCTION("split(split(K536,""福士蒼汰　"",false),"" #恋仲"",false)"),"★「恋仲」公式番組ホームページ　  http://www.fujitv.co.jp/koinaka/　    ★公式twitterも大好評展開中!　 ")</f>
        <v>★「恋仲」公式番組ホームページ　  http://www.fujitv.co.jp/koinaka/　    ★公式twitterも大好評展開中!　 </v>
      </c>
      <c r="N536" s="2" t="str">
        <f>IFERROR(__xludf.DUMMYFUNCTION("""COMPUTED_VALUE"""),"　高梨恵里香(馬場園梓)から芹沢あかり(本田翼)が帰って来ないと連絡を受けた三浦葵(福士蒼汰)が向かったのは、蒼井翔太(野村周平)のマンションだった。翔太を追及すると、芹沢寛利(小林薫)に金を渡し、2度とあかりに会うなと告げたと言う。そのことを知ったあかりは、部屋から飛び出していってしまったのだ。翔太のあまりにも勝手な言い分に腹を立てる葵だが、あかりの行方は全く分からない。　職場に戻った葵は、あかりと翔太のことを考え仕事が手につかない。そんな葵を冴木瑠衣子(市川由衣)は、明日の休日、美術館に行かないかと誘"&amp;"う。美術館の設計者が、出品しようとしているコンクールの出身者と聞いた葵は行く事にする。  　翌朝、瑠衣子が葵の会社に行くと、徹夜をしていた小谷照吉(前野朋哉)の様子がおかしい。見知らぬ美女が訪ねてきて建築現場の作業員リストを見せてほしいと言われたという。　瑠衣子と美術館デートをする葵に、恵里香からあかりがまだ帰らないと連絡が入る。傍らで様子を見ていた瑠衣子は、葵にあかりが事務所を訪ねて来た事を教える。あかりが向かったであろう場所を知った葵は翔太に連絡をする。しかし翔太から返ってきたのは予想外の言葉だった…"&amp;"。")</f>
        <v>　高梨恵里香(馬場園梓)から芹沢あかり(本田翼)が帰って来ないと連絡を受けた三浦葵(福士蒼汰)が向かったのは、蒼井翔太(野村周平)のマンションだった。翔太を追及すると、芹沢寛利(小林薫)に金を渡し、2度とあかりに会うなと告げたと言う。そのことを知ったあかりは、部屋から飛び出していってしまったのだ。翔太のあまりにも勝手な言い分に腹を立てる葵だが、あかりの行方は全く分からない。　職場に戻った葵は、あかりと翔太のことを考え仕事が手につかない。そんな葵を冴木瑠衣子(市川由衣)は、明日の休日、美術館に行かないかと誘う。美術館の設計者が、出品しようとしているコンクールの出身者と聞いた葵は行く事にする。  　翌朝、瑠衣子が葵の会社に行くと、徹夜をしていた小谷照吉(前野朋哉)の様子がおかしい。見知らぬ美女が訪ねてきて建築現場の作業員リストを見せてほしいと言われたという。　瑠衣子と美術館デートをする葵に、恵里香からあかりがまだ帰らないと連絡が入る。傍らで様子を見ていた瑠衣子は、葵にあかりが事務所を訪ねて来た事を教える。あかりが向かったであろう場所を知った葵は翔太に連絡をする。しかし翔太から返ってきたのは予想外の言葉だった…。</v>
      </c>
      <c r="O536" s="2"/>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row>
    <row r="537" ht="204.75" customHeight="1">
      <c r="A537" s="1">
        <v>1999.0</v>
      </c>
      <c r="B537" s="2" t="s">
        <v>1709</v>
      </c>
      <c r="C537" s="2">
        <f>IFERROR(__xludf.DUMMYFUNCTION("split(B537,""_"")"),1507.0)</f>
        <v>1507</v>
      </c>
      <c r="D537" s="2" t="str">
        <f>IFERROR(__xludf.DUMMYFUNCTION("""COMPUTED_VALUE"""),"CX")</f>
        <v>CX</v>
      </c>
      <c r="E537" s="2" t="str">
        <f>IFERROR(__xludf.DUMMYFUNCTION("""COMPUTED_VALUE"""),"月21")</f>
        <v>月21</v>
      </c>
      <c r="F537" s="2" t="s">
        <v>1710</v>
      </c>
      <c r="G537" s="2" t="s">
        <v>1726</v>
      </c>
      <c r="H537" s="1">
        <v>6.0</v>
      </c>
      <c r="I537" s="1" t="s">
        <v>21</v>
      </c>
      <c r="J537" s="1" t="s">
        <v>11</v>
      </c>
      <c r="K537" s="2" t="s">
        <v>1727</v>
      </c>
      <c r="L537" s="2" t="s">
        <v>1728</v>
      </c>
      <c r="M537" s="2" t="str">
        <f>IFERROR(__xludf.DUMMYFUNCTION("split(split(K537,""福士蒼汰　"",false),"" #恋仲"",false)"),"「ワールドカップバレーボール2015女子　日本×キューバ」延長の際、放送時間繰り下げの場合あり。副音声では、野村周平&amp;太賀の“濃い仲""コンビによる座談会コメントも。ぜひこちらもチェック!　    ★「恋仲」公式番組ホームページ　  http://www.fujitv.co.jp/koinaka/　    ★公式twitterも大好評展開中!　 ")</f>
        <v>「ワールドカップバレーボール2015女子　日本×キューバ」延長の際、放送時間繰り下げの場合あり。副音声では、野村周平&amp;太賀の“濃い仲"コンビによる座談会コメントも。ぜひこちらもチェック!　    ★「恋仲」公式番組ホームページ　  http://www.fujitv.co.jp/koinaka/　    ★公式twitterも大好評展開中!　 </v>
      </c>
      <c r="N537" s="2" t="str">
        <f>IFERROR(__xludf.DUMMYFUNCTION("""COMPUTED_VALUE"""),"　芹沢あかり(本田翼)が思い描いていた父・寛利(小林薫)との再会は、あまりにも受け入れがたい現実だった。そんなあかりに三浦葵(福士蒼汰)は昔のように言いたいことを言い、気が晴れるまであかりのそばにいた。今まで言えなかった想い、お互いが初恋の人だったことも。  　気がつけば夜は明けていた。葵は、自分の肩に寄り添って眠っているあかりにキスをする。7年越しのキスは葵から…。眠っていたあかりはそっと目を覚ます。そんな2人は、互いに胸が高鳴る事を意識しながら帰路につく。  　葵との時間があかりの中に、何かを芽生えさ"&amp;"せていた。  　そんなあかりの気持ちを察してか、蒼井翔太(野村周平)はあかりが間もなく迎える教員採用試験の健闘を陰ながら応援すると告げ、そして側にいる資格がないと別れを切り出す。　一方、葵は仕事に身が入らないまま過ごしていた。そんな葵を翔太が訪ねてくる。葵があかりを迎えに行ってくれたことに感謝する翔太。そして3人の運命を変えた一冊の本を差し出す・・・。")</f>
        <v>　芹沢あかり(本田翼)が思い描いていた父・寛利(小林薫)との再会は、あまりにも受け入れがたい現実だった。そんなあかりに三浦葵(福士蒼汰)は昔のように言いたいことを言い、気が晴れるまであかりのそばにいた。今まで言えなかった想い、お互いが初恋の人だったことも。  　気がつけば夜は明けていた。葵は、自分の肩に寄り添って眠っているあかりにキスをする。7年越しのキスは葵から…。眠っていたあかりはそっと目を覚ます。そんな2人は、互いに胸が高鳴る事を意識しながら帰路につく。  　葵との時間があかりの中に、何かを芽生えさせていた。  　そんなあかりの気持ちを察してか、蒼井翔太(野村周平)はあかりが間もなく迎える教員採用試験の健闘を陰ながら応援すると告げ、そして側にいる資格がないと別れを切り出す。　一方、葵は仕事に身が入らないまま過ごしていた。そんな葵を翔太が訪ねてくる。葵があかりを迎えに行ってくれたことに感謝する翔太。そして3人の運命を変えた一冊の本を差し出す・・・。</v>
      </c>
      <c r="O537" s="2"/>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row>
    <row r="538" ht="204.75" customHeight="1">
      <c r="A538" s="1">
        <v>2000.0</v>
      </c>
      <c r="B538" s="2" t="s">
        <v>1709</v>
      </c>
      <c r="C538" s="2">
        <f>IFERROR(__xludf.DUMMYFUNCTION("split(B538,""_"")"),1507.0)</f>
        <v>1507</v>
      </c>
      <c r="D538" s="2" t="str">
        <f>IFERROR(__xludf.DUMMYFUNCTION("""COMPUTED_VALUE"""),"CX")</f>
        <v>CX</v>
      </c>
      <c r="E538" s="2" t="str">
        <f>IFERROR(__xludf.DUMMYFUNCTION("""COMPUTED_VALUE"""),"月21")</f>
        <v>月21</v>
      </c>
      <c r="F538" s="2" t="s">
        <v>1710</v>
      </c>
      <c r="G538" s="2" t="s">
        <v>1729</v>
      </c>
      <c r="H538" s="1">
        <v>7.0</v>
      </c>
      <c r="I538" s="1" t="s">
        <v>25</v>
      </c>
      <c r="J538" s="1" t="s">
        <v>11</v>
      </c>
      <c r="K538" s="2" t="s">
        <v>1730</v>
      </c>
      <c r="L538" s="2" t="s">
        <v>1731</v>
      </c>
      <c r="M538" s="2" t="str">
        <f>IFERROR(__xludf.DUMMYFUNCTION("split(split(K538,""福士蒼汰　"",false),"" #恋仲"",false)"),"「ワールドカップバレーボール2015女子　日本×韓国」延長の際、放送時間繰り下げの場合あり。★「恋仲」公式番組ホームページ　  http://www.fujitv.co.jp/koinaka/　    ★公式twitterも大好評展開中!　 ")</f>
        <v>「ワールドカップバレーボール2015女子　日本×韓国」延長の際、放送時間繰り下げの場合あり。★「恋仲」公式番組ホームページ　  http://www.fujitv.co.jp/koinaka/　    ★公式twitterも大好評展開中!　 </v>
      </c>
      <c r="N538" s="2" t="str">
        <f>IFERROR(__xludf.DUMMYFUNCTION("""COMPUTED_VALUE"""),"　三浦葵(福士蒼汰)は、教員採用試験に合格した芹沢あかり(本田翼)を祝うため、三浦家特製カレーを作って待っていた。しかし、あかりからは蒼井翔太(野村周平)に会ってから行くと連絡が入ったきり、全く連絡がないまま夜が明けてしまっていた。急いで病院から葵のマンションへ向かったあかりだったが、葵は理由を聞く気にならずあかりを帰す。モヤモヤする気持ちは、葵の仕事に現れる。富永美玲(山本美月)に頼まれた模型作りや図面描きでミスを連発し、葵の大失敗を建築事務所のみんながカバーすることになってしまう。集中力に欠けている様"&amp;"子を磯原新一(永井大)にとがめられ、プロジェクトから抜けろと言われてしまう。そんな葵の様子を見ていた丹羽万里子(吉田羊)には、このまま続けていても建築家にはなれないと言い放ち、転職を勧められてしまう…。仕事もあかりとも上手くいかず、自暴自棄になる葵。  　一方、心音(大友花恋)は恋心を抱く星野悠真(萩原利久)への想いが実らないまま、病院を転院することが決まってしまう。おそらく今年の花火大会が最後になる心音と悠真に残された時間は少ない。翔太は心音の相談に乗って欲しいとあかりに頼む。  　葵がマンションに戻る"&amp;"と、あかりが待ち伏せをしていた。誤解を解こうとわびるあかりに葵は心を許さないままだった…。")</f>
        <v>　三浦葵(福士蒼汰)は、教員採用試験に合格した芹沢あかり(本田翼)を祝うため、三浦家特製カレーを作って待っていた。しかし、あかりからは蒼井翔太(野村周平)に会ってから行くと連絡が入ったきり、全く連絡がないまま夜が明けてしまっていた。急いで病院から葵のマンションへ向かったあかりだったが、葵は理由を聞く気にならずあかりを帰す。モヤモヤする気持ちは、葵の仕事に現れる。富永美玲(山本美月)に頼まれた模型作りや図面描きでミスを連発し、葵の大失敗を建築事務所のみんながカバーすることになってしまう。集中力に欠けている様子を磯原新一(永井大)にとがめられ、プロジェクトから抜けろと言われてしまう。そんな葵の様子を見ていた丹羽万里子(吉田羊)には、このまま続けていても建築家にはなれないと言い放ち、転職を勧められてしまう…。仕事もあかりとも上手くいかず、自暴自棄になる葵。  　一方、心音(大友花恋)は恋心を抱く星野悠真(萩原利久)への想いが実らないまま、病院を転院することが決まってしまう。おそらく今年の花火大会が最後になる心音と悠真に残された時間は少ない。翔太は心音の相談に乗って欲しいとあかりに頼む。  　葵がマンションに戻ると、あかりが待ち伏せをしていた。誤解を解こうとわびるあかりに葵は心を許さないままだった…。</v>
      </c>
      <c r="O538" s="2"/>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row>
    <row r="539" ht="204.75" customHeight="1">
      <c r="A539" s="1">
        <v>2001.0</v>
      </c>
      <c r="B539" s="2" t="s">
        <v>1709</v>
      </c>
      <c r="C539" s="2">
        <f>IFERROR(__xludf.DUMMYFUNCTION("split(B539,""_"")"),1507.0)</f>
        <v>1507</v>
      </c>
      <c r="D539" s="2" t="str">
        <f>IFERROR(__xludf.DUMMYFUNCTION("""COMPUTED_VALUE"""),"CX")</f>
        <v>CX</v>
      </c>
      <c r="E539" s="2" t="str">
        <f>IFERROR(__xludf.DUMMYFUNCTION("""COMPUTED_VALUE"""),"月21")</f>
        <v>月21</v>
      </c>
      <c r="F539" s="2" t="s">
        <v>1710</v>
      </c>
      <c r="G539" s="2" t="s">
        <v>1732</v>
      </c>
      <c r="H539" s="1">
        <v>8.0</v>
      </c>
      <c r="I539" s="1" t="s">
        <v>29</v>
      </c>
      <c r="J539" s="1" t="s">
        <v>11</v>
      </c>
      <c r="K539" s="2" t="s">
        <v>1733</v>
      </c>
      <c r="L539" s="2" t="s">
        <v>1734</v>
      </c>
      <c r="M539" s="2" t="str">
        <f>IFERROR(__xludf.DUMMYFUNCTION("split(split(K539,""福士蒼汰　"",false),"" #恋仲"",false)"),"★「恋仲」公式番組ホームページ　  http://www.fujitv.co.jp/koinaka/　    ★公式twitterも大好評展開中!　 ")</f>
        <v>★「恋仲」公式番組ホームページ　  http://www.fujitv.co.jp/koinaka/　    ★公式twitterも大好評展開中!　 </v>
      </c>
      <c r="N539" s="2" t="str">
        <f>IFERROR(__xludf.DUMMYFUNCTION("""COMPUTED_VALUE"""),"　あかり(本田翼)を抱き締め、結婚してくれないかとプロポーズする翔太(野村周平)。翔太はあかりに、手紙のことを言いだせず5年間うそをついてしまったがあかりを想う気持ちにうそはなかったと言い、今度は葵(福士蒼汰)ではなく俺に会いに来て欲しい、8月31日、7年前あかりが葵に宛てたメモに残したあの場所で待っていると。葵は、そんな光景を目にして、あまりの衝撃に動くことが出来ず…。　あかりの将来を支え続けるとプロポーズする翔太を見たことで、自分にそんな覚悟はまだないと自信を失った葵。仕事から帰宅すると公平(太賀)が"&amp;"、七海(大原櫻子)の就職祝いのために、パーティーの準備をしていた。そこへ七海が、あかりの教員採用試験合格も一緒に祝おうと言って、あかりと一緒に帰ってくる。葵はあかりを前にすると翔太のことがあって、気まずさを感じてしまい…。葵と2人きりになったあかりは葵に、翔太からプロポーズされていることを相談する。そんなあかりを葵は引き留めることができず…。")</f>
        <v>　あかり(本田翼)を抱き締め、結婚してくれないかとプロポーズする翔太(野村周平)。翔太はあかりに、手紙のことを言いだせず5年間うそをついてしまったがあかりを想う気持ちにうそはなかったと言い、今度は葵(福士蒼汰)ではなく俺に会いに来て欲しい、8月31日、7年前あかりが葵に宛てたメモに残したあの場所で待っていると。葵は、そんな光景を目にして、あまりの衝撃に動くことが出来ず…。　あかりの将来を支え続けるとプロポーズする翔太を見たことで、自分にそんな覚悟はまだないと自信を失った葵。仕事から帰宅すると公平(太賀)が、七海(大原櫻子)の就職祝いのために、パーティーの準備をしていた。そこへ七海が、あかりの教員採用試験合格も一緒に祝おうと言って、あかりと一緒に帰ってくる。葵はあかりを前にすると翔太のことがあって、気まずさを感じてしまい…。葵と2人きりになったあかりは葵に、翔太からプロポーズされていることを相談する。そんなあかりを葵は引き留めることができず…。</v>
      </c>
      <c r="O539" s="2"/>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row>
    <row r="540" ht="204.75" customHeight="1">
      <c r="A540" s="1">
        <v>2002.0</v>
      </c>
      <c r="B540" s="2" t="s">
        <v>1709</v>
      </c>
      <c r="C540" s="2">
        <f>IFERROR(__xludf.DUMMYFUNCTION("split(B540,""_"")"),1507.0)</f>
        <v>1507</v>
      </c>
      <c r="D540" s="2" t="str">
        <f>IFERROR(__xludf.DUMMYFUNCTION("""COMPUTED_VALUE"""),"CX")</f>
        <v>CX</v>
      </c>
      <c r="E540" s="2" t="str">
        <f>IFERROR(__xludf.DUMMYFUNCTION("""COMPUTED_VALUE"""),"月21")</f>
        <v>月21</v>
      </c>
      <c r="F540" s="2" t="s">
        <v>1710</v>
      </c>
      <c r="G540" s="2" t="s">
        <v>1735</v>
      </c>
      <c r="H540" s="1">
        <v>9.0</v>
      </c>
      <c r="I540" s="1" t="s">
        <v>33</v>
      </c>
      <c r="J540" s="1" t="s">
        <v>4</v>
      </c>
      <c r="K540" s="2" t="s">
        <v>1736</v>
      </c>
      <c r="L540" s="2" t="s">
        <v>1737</v>
      </c>
      <c r="M540" s="2" t="str">
        <f>IFERROR(__xludf.DUMMYFUNCTION("split(split(K540,""福士蒼汰　"",false),"" #恋仲"",false)"),"★「恋仲」公式番組ホームページ　  http://www.fujitv.co.jp/koinaka/　    ★公式twitterも大好評展開中!　 ")</f>
        <v>★「恋仲」公式番組ホームページ　  http://www.fujitv.co.jp/koinaka/　    ★公式twitterも大好評展開中!　 </v>
      </c>
      <c r="N540" s="2" t="str">
        <f>IFERROR(__xludf.DUMMYFUNCTION("""COMPUTED_VALUE"""),"　新人建築設計コンクールで審査員賞を受賞した三浦葵(福士蒼汰)は、自分の作品説明をするうちに、芹沢あかり(本田翼)がどれだけ自分にとって大切な存在だったのか気付く。そして受賞式のさなかに飛び出し、蒼井翔太(野村周平)のもとへ向かったあかりを追いかける。しかし、あかりが乗った新幹線には間に合いそうもなく…。  　7年ぶりに富山に降り立ったあかりが見た風景は、すっかり変わっていた。葵や翔太、金沢公平(太賀)と無邪気に笑い合っていた高校時代。通学に使っていた駅。いつもみんなが一緒にいた“あの頃""は永遠に続くの"&amp;"だと思っていたが…。  　あかりが翔太との待ち合わせ場所に着くと、そこには葵の姿が…。あかりは、葵から今の思いを打ち明けられる。不器用だが正直で素直な気持ちを告白した葵は、もしあかりも同じ気持ちなら約束の場所で待っていると伝える。葵と翔太、あかりが選んだのは…。")</f>
        <v>　新人建築設計コンクールで審査員賞を受賞した三浦葵(福士蒼汰)は、自分の作品説明をするうちに、芹沢あかり(本田翼)がどれだけ自分にとって大切な存在だったのか気付く。そして受賞式のさなかに飛び出し、蒼井翔太(野村周平)のもとへ向かったあかりを追いかける。しかし、あかりが乗った新幹線には間に合いそうもなく…。  　7年ぶりに富山に降り立ったあかりが見た風景は、すっかり変わっていた。葵や翔太、金沢公平(太賀)と無邪気に笑い合っていた高校時代。通学に使っていた駅。いつもみんなが一緒にいた“あの頃"は永遠に続くのだと思っていたが…。  　あかりが翔太との待ち合わせ場所に着くと、そこには葵の姿が…。あかりは、葵から今の思いを打ち明けられる。不器用だが正直で素直な気持ちを告白した葵は、もしあかりも同じ気持ちなら約束の場所で待っていると伝える。葵と翔太、あかりが選んだのは…。</v>
      </c>
      <c r="O540" s="2"/>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row>
    <row r="541" ht="204.75" customHeight="1">
      <c r="A541" s="1">
        <v>2003.0</v>
      </c>
      <c r="B541" s="2" t="s">
        <v>1738</v>
      </c>
      <c r="C541" s="2">
        <f>IFERROR(__xludf.DUMMYFUNCTION("split(B541,""_"")"),1507.0)</f>
        <v>1507</v>
      </c>
      <c r="D541" s="2" t="str">
        <f>IFERROR(__xludf.DUMMYFUNCTION("""COMPUTED_VALUE"""),"CX")</f>
        <v>CX</v>
      </c>
      <c r="E541" s="2" t="str">
        <f>IFERROR(__xludf.DUMMYFUNCTION("""COMPUTED_VALUE"""),"火22")</f>
        <v>火22</v>
      </c>
      <c r="F541" s="2" t="s">
        <v>1739</v>
      </c>
      <c r="G541" s="2" t="s">
        <v>1740</v>
      </c>
      <c r="H541" s="1">
        <v>1.0</v>
      </c>
      <c r="I541" s="1" t="s">
        <v>3</v>
      </c>
      <c r="J541" s="1" t="s">
        <v>4</v>
      </c>
      <c r="K541" s="2" t="s">
        <v>1741</v>
      </c>
      <c r="L541" s="2" t="s">
        <v>1742</v>
      </c>
      <c r="M541" s="2" t="str">
        <f>IFERROR(__xludf.DUMMYFUNCTION("split(split(K541,""AKIRA　"",false),""公式LINE"",false)"),"大手不動産会社にヘッドハンティングされた池上タツヤ(AKIRA)は、大型都市再開発プロジェクトの準備に奔走していた。ある日、消防隊員の注意を無視して勝手な行動をとったタツヤは、隊長の合田篤志(佐藤隆太)からいさめられてしまう。    そんな折、準備を進めていた再開発候補地をライバルの同僚・濱田直紀(田中圭)に横取りされてしまう。タツヤは立地は申し分ないが住民の反対が強く、誰もが敬遠してきた幸多市を新たな候補地に選ぶ。    偵察に向かったタツヤは「幸多市消防団・第十一分団」のリーダー・安住咲良(栗山千明)"&amp;"に出会い、素性を隠して入団することを決意。住民と密に関わる消防団員なら、地権者たちの個人情報が手に入ると目論んだのだ。    社長の日比野仁(稲垣吾郎)は、タツヤと濱田のどちらか今後2カ月間でより多くの成果を上げた方を最終候補地に決めると言い出した。対抗心に燃えるタツヤはさっそく「第十一分団」に入団。ところがそこにいたのは、本業が幼稚園教諭の咲良をはじめ6人だけ。第十一分団は、とある理由から住民たちの信頼を失っており、深刻な団員不足に悩む弱小集団だったのだ。    入団早々、うんざりするタツヤだったが、用"&amp;"地取得のため地元の大地主・相良絹江(銀粉蝶)の逃げた愛犬の捜索には張り切り、咲良を不審がらせる。そんな中、近所で火災が発生。駆けつけたタツヤが真っ先に放水しようとすると、それを遮る人物が…。")</f>
        <v>大手不動産会社にヘッドハンティングされた池上タツヤ(AKIRA)は、大型都市再開発プロジェクトの準備に奔走していた。ある日、消防隊員の注意を無視して勝手な行動をとったタツヤは、隊長の合田篤志(佐藤隆太)からいさめられてしまう。    そんな折、準備を進めていた再開発候補地をライバルの同僚・濱田直紀(田中圭)に横取りされてしまう。タツヤは立地は申し分ないが住民の反対が強く、誰もが敬遠してきた幸多市を新たな候補地に選ぶ。    偵察に向かったタツヤは「幸多市消防団・第十一分団」のリーダー・安住咲良(栗山千明)に出会い、素性を隠して入団することを決意。住民と密に関わる消防団員なら、地権者たちの個人情報が手に入ると目論んだのだ。    社長の日比野仁(稲垣吾郎)は、タツヤと濱田のどちらか今後2カ月間でより多くの成果を上げた方を最終候補地に決めると言い出した。対抗心に燃えるタツヤはさっそく「第十一分団」に入団。ところがそこにいたのは、本業が幼稚園教諭の咲良をはじめ6人だけ。第十一分団は、とある理由から住民たちの信頼を失っており、深刻な団員不足に悩む弱小集団だったのだ。    入団早々、うんざりするタツヤだったが、用地取得のため地元の大地主・相良絹江(銀粉蝶)の逃げた愛犬の捜索には張り切り、咲良を不審がらせる。そんな中、近所で火災が発生。駆けつけたタツヤが真っ先に放水しようとすると、それを遮る人物が…。</v>
      </c>
      <c r="N541" s="2"/>
      <c r="O541" s="2"/>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row>
    <row r="542" ht="204.75" customHeight="1">
      <c r="A542" s="1">
        <v>2004.0</v>
      </c>
      <c r="B542" s="2" t="s">
        <v>1738</v>
      </c>
      <c r="C542" s="2">
        <f>IFERROR(__xludf.DUMMYFUNCTION("split(B542,""_"")"),1507.0)</f>
        <v>1507</v>
      </c>
      <c r="D542" s="2" t="str">
        <f>IFERROR(__xludf.DUMMYFUNCTION("""COMPUTED_VALUE"""),"CX")</f>
        <v>CX</v>
      </c>
      <c r="E542" s="2" t="str">
        <f>IFERROR(__xludf.DUMMYFUNCTION("""COMPUTED_VALUE"""),"火22")</f>
        <v>火22</v>
      </c>
      <c r="F542" s="2" t="s">
        <v>1739</v>
      </c>
      <c r="G542" s="2" t="s">
        <v>1743</v>
      </c>
      <c r="H542" s="1">
        <v>2.0</v>
      </c>
      <c r="I542" s="1" t="s">
        <v>7</v>
      </c>
      <c r="J542" s="1" t="s">
        <v>86</v>
      </c>
      <c r="K542" s="2" t="s">
        <v>1744</v>
      </c>
      <c r="L542" s="2" t="s">
        <v>1745</v>
      </c>
      <c r="M542" s="2" t="str">
        <f>IFERROR(__xludf.DUMMYFUNCTION("split(split(K542,""AKIRA　"",false),""公式LINE"",false)"),"消防団を利用し、再開発計画の準備を進めてきたタツヤ(AKIRA)を慌てさせる話が。プロジェクトに欠かせない重要な土地を幸多市が買い取ったというのだ。公共事業の計画が進行しているとすれば、これまでの努力も水の泡に!?真相を探るため、市長の星野周一郎(国広富之)に接触を試みる。    そのころ「幸多市消防団第十一分団」では、咲良(栗山千明)らが開催の迫った防災教室のPRに悪戦苦闘。住民に防災を呼びかける毎年恒例のイベントだが、昨年は消火剤をぶちまけるなど大失敗の連続でひんしゅくを買い、参加者が集まるのかさえ危"&amp;"ういのだ。タツヤは防災教室で担当するAED(自動体外式除細動器)の体験コーナーを任されるが、張り切る団員たちをよそにやる気を見せず…。    そんな折、タツヤはエリ(菜々緒)の口利きで星野が出席するパーティーに潜入。星野が人気取りのため市民にアピールできるイベントに出席したがっていると知る。星野に近づくチャンスと踏んだタツヤは、防災教室に急に熱心になり、事前に人気ゆるキャラを招くPRイベントを計画。当日、ハプニングに見舞われるが、なんとか切り抜け、防災教室には参加希望者が殺到する。    いよいよイベント"&amp;"の日、大盛況の会場に星野を呼び寄せたタツヤは、公共事業の話を聞き出そうと躍起に。そんななか、突然場内に非常ベルの音が鳴り響き…。")</f>
        <v>消防団を利用し、再開発計画の準備を進めてきたタツヤ(AKIRA)を慌てさせる話が。プロジェクトに欠かせない重要な土地を幸多市が買い取ったというのだ。公共事業の計画が進行しているとすれば、これまでの努力も水の泡に!?真相を探るため、市長の星野周一郎(国広富之)に接触を試みる。    そのころ「幸多市消防団第十一分団」では、咲良(栗山千明)らが開催の迫った防災教室のPRに悪戦苦闘。住民に防災を呼びかける毎年恒例のイベントだが、昨年は消火剤をぶちまけるなど大失敗の連続でひんしゅくを買い、参加者が集まるのかさえ危ういのだ。タツヤは防災教室で担当するAED(自動体外式除細動器)の体験コーナーを任されるが、張り切る団員たちをよそにやる気を見せず…。    そんな折、タツヤはエリ(菜々緒)の口利きで星野が出席するパーティーに潜入。星野が人気取りのため市民にアピールできるイベントに出席したがっていると知る。星野に近づくチャンスと踏んだタツヤは、防災教室に急に熱心になり、事前に人気ゆるキャラを招くPRイベントを計画。当日、ハプニングに見舞われるが、なんとか切り抜け、防災教室には参加希望者が殺到する。    いよいよイベントの日、大盛況の会場に星野を呼び寄せたタツヤは、公共事業の話を聞き出そうと躍起に。そんななか、突然場内に非常ベルの音が鳴り響き…。</v>
      </c>
      <c r="N542" s="2"/>
      <c r="O542" s="2"/>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row>
    <row r="543" ht="204.75" customHeight="1">
      <c r="A543" s="1">
        <v>2005.0</v>
      </c>
      <c r="B543" s="2" t="s">
        <v>1738</v>
      </c>
      <c r="C543" s="2">
        <f>IFERROR(__xludf.DUMMYFUNCTION("split(B543,""_"")"),1507.0)</f>
        <v>1507</v>
      </c>
      <c r="D543" s="2" t="str">
        <f>IFERROR(__xludf.DUMMYFUNCTION("""COMPUTED_VALUE"""),"CX")</f>
        <v>CX</v>
      </c>
      <c r="E543" s="2" t="str">
        <f>IFERROR(__xludf.DUMMYFUNCTION("""COMPUTED_VALUE"""),"火22")</f>
        <v>火22</v>
      </c>
      <c r="F543" s="2" t="s">
        <v>1739</v>
      </c>
      <c r="G543" s="2" t="s">
        <v>1746</v>
      </c>
      <c r="H543" s="1">
        <v>3.0</v>
      </c>
      <c r="I543" s="1" t="s">
        <v>10</v>
      </c>
      <c r="J543" s="1" t="s">
        <v>86</v>
      </c>
      <c r="K543" s="2" t="s">
        <v>1747</v>
      </c>
      <c r="L543" s="2" t="s">
        <v>1748</v>
      </c>
      <c r="M543" s="2" t="str">
        <f>IFERROR(__xludf.DUMMYFUNCTION("split(split(K543,""AKIRA　"",false),""公式LINE"",false)"),"再開発プロジェクトで濱田(田中圭)を出し抜きたいタツヤ(AKIRA)は、次なる用地取得のターゲットを幸多市内の大型総合病院「幸多病院」に定める。そんな折、近所で火災発生との通報が相次いでいた。    タツヤは、消防団の活動服のまま幸多病院に潜入。院内の事情にくわしい入院患者の少年・藤井カイト(藤本哉汰)の言葉をヒントに院長に接触し、再開発の交渉にこぎ着ける。    そんなある日、エリ(菜々緒)が気になる話を持ちかけてきた。幸多市長とつながりの深い国会議員の秘書が、金と引き替えに市の再開発計画で便宜を図るよ"&amp;"う口を利いてやるというのだ。最初は、不正献金だと退けるタツヤだったが、病院長に再開発計画への同意を断られ、社長の日比野(稲垣吾郎)に痛烈な言葉を浴びせられて追い詰められ、この申し出を受けることに。    一方、第十一分団のメンバーは、消防士にあこがれているカイトの病状を知る。カイトは、リハビリをしても治る可能性はわずか。  リハビリにも身が入らず、「どんなに頑張っても、無理なものは無理」と絶望していた…。    そんなカイトを励まそうと、咲良(栗山千明)らは消防士の仕事を体験させるサプライズを計画。  そ"&amp;"の当日にエリの仲介で議員秘書と会う約束をしていたタツヤは参加を断ると、「アイツに夢だけ見せるのは残酷」と咲良を批難するが…。")</f>
        <v>再開発プロジェクトで濱田(田中圭)を出し抜きたいタツヤ(AKIRA)は、次なる用地取得のターゲットを幸多市内の大型総合病院「幸多病院」に定める。そんな折、近所で火災発生との通報が相次いでいた。    タツヤは、消防団の活動服のまま幸多病院に潜入。院内の事情にくわしい入院患者の少年・藤井カイト(藤本哉汰)の言葉をヒントに院長に接触し、再開発の交渉にこぎ着ける。    そんなある日、エリ(菜々緒)が気になる話を持ちかけてきた。幸多市長とつながりの深い国会議員の秘書が、金と引き替えに市の再開発計画で便宜を図るよう口を利いてやるというのだ。最初は、不正献金だと退けるタツヤだったが、病院長に再開発計画への同意を断られ、社長の日比野(稲垣吾郎)に痛烈な言葉を浴びせられて追い詰められ、この申し出を受けることに。    一方、第十一分団のメンバーは、消防士にあこがれているカイトの病状を知る。カイトは、リハビリをしても治る可能性はわずか。  リハビリにも身が入らず、「どんなに頑張っても、無理なものは無理」と絶望していた…。    そんなカイトを励まそうと、咲良(栗山千明)らは消防士の仕事を体験させるサプライズを計画。  その当日にエリの仲介で議員秘書と会う約束をしていたタツヤは参加を断ると、「アイツに夢だけ見せるのは残酷」と咲良を批難するが…。</v>
      </c>
      <c r="N543" s="2"/>
      <c r="O543" s="2"/>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row>
    <row r="544" ht="204.75" customHeight="1">
      <c r="A544" s="1">
        <v>2006.0</v>
      </c>
      <c r="B544" s="2" t="s">
        <v>1738</v>
      </c>
      <c r="C544" s="2">
        <f>IFERROR(__xludf.DUMMYFUNCTION("split(B544,""_"")"),1507.0)</f>
        <v>1507</v>
      </c>
      <c r="D544" s="2" t="str">
        <f>IFERROR(__xludf.DUMMYFUNCTION("""COMPUTED_VALUE"""),"CX")</f>
        <v>CX</v>
      </c>
      <c r="E544" s="2" t="str">
        <f>IFERROR(__xludf.DUMMYFUNCTION("""COMPUTED_VALUE"""),"火22")</f>
        <v>火22</v>
      </c>
      <c r="F544" s="2" t="s">
        <v>1739</v>
      </c>
      <c r="G544" s="2" t="s">
        <v>1749</v>
      </c>
      <c r="H544" s="1">
        <v>4.0</v>
      </c>
      <c r="I544" s="1" t="s">
        <v>14</v>
      </c>
      <c r="J544" s="1" t="s">
        <v>86</v>
      </c>
      <c r="K544" s="2" t="s">
        <v>1750</v>
      </c>
      <c r="L544" s="2" t="s">
        <v>1751</v>
      </c>
      <c r="M544" s="2" t="str">
        <f>IFERROR(__xludf.DUMMYFUNCTION("split(split(K544,""AKIRA　"",false),""公式LINE"",false)"),"タツヤ(AKIRA)と濱田(田中圭)が競い合う再開発プロジェクトの最終候補地決定まで、期限は残り一週間。タツヤは日比野(稲垣吾郎)から、これまで勝つことだけにこだわってきたタツヤが「今は少し変わっているように思える」と指摘され、焦りを覚える。そしてエリ(菜々緒)もまた、そんなタツヤの変化に気づいていた。  そんな折、咲良(栗山千明)が入院することになり、第十一分団の分団長代理を任されたタツヤは、近所に住む老人・蓮見シズ(高林由紀子)に出会う。認知症のシズはタツヤを5年前に亡くした夫と思い込み、そばを離れよ"&amp;"うとしないばかりか、タツヤが経営コンサルタントと素性を偽って借りた事務所にまで押し掛けてきてしまう。  ひとり暮らしのシズを心配する恭子(堀内敬子)から、大規模な老人ホーム「健朗園」が改築を検討していると知ったタツヤは、さっそく理事長のもとへ。建設予定の大型商業施設にホームを移転させる話を持ちかける。難なく承諾を取りつけ、新たな土地が手に入ったと喜ぶタツヤ。だが同じ頃、濱田に接触したエリが重要な秘密を伝えていようとは知るよしもなく…。  翌日、幸多市に大型台風が接近。第十一分団は危険な場所の見回りや住民へ"&amp;"の警告などに追われ、分団長代理を渋々引き受けたタツヤもかり出されるが、期限の迫った再開発プロジェクトに夢中で団の仕事に身が入らない。  そんなとき、タツヤの事務所に不審な無言電話が入り…。")</f>
        <v>タツヤ(AKIRA)と濱田(田中圭)が競い合う再開発プロジェクトの最終候補地決定まで、期限は残り一週間。タツヤは日比野(稲垣吾郎)から、これまで勝つことだけにこだわってきたタツヤが「今は少し変わっているように思える」と指摘され、焦りを覚える。そしてエリ(菜々緒)もまた、そんなタツヤの変化に気づいていた。  そんな折、咲良(栗山千明)が入院することになり、第十一分団の分団長代理を任されたタツヤは、近所に住む老人・蓮見シズ(高林由紀子)に出会う。認知症のシズはタツヤを5年前に亡くした夫と思い込み、そばを離れようとしないばかりか、タツヤが経営コンサルタントと素性を偽って借りた事務所にまで押し掛けてきてしまう。  ひとり暮らしのシズを心配する恭子(堀内敬子)から、大規模な老人ホーム「健朗園」が改築を検討していると知ったタツヤは、さっそく理事長のもとへ。建設予定の大型商業施設にホームを移転させる話を持ちかける。難なく承諾を取りつけ、新たな土地が手に入ったと喜ぶタツヤ。だが同じ頃、濱田に接触したエリが重要な秘密を伝えていようとは知るよしもなく…。  翌日、幸多市に大型台風が接近。第十一分団は危険な場所の見回りや住民への警告などに追われ、分団長代理を渋々引き受けたタツヤもかり出されるが、期限の迫った再開発プロジェクトに夢中で団の仕事に身が入らない。  そんなとき、タツヤの事務所に不審な無言電話が入り…。</v>
      </c>
      <c r="N544" s="2"/>
      <c r="O544" s="2"/>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row>
    <row r="545" ht="204.75" customHeight="1">
      <c r="A545" s="1">
        <v>2007.0</v>
      </c>
      <c r="B545" s="2" t="s">
        <v>1738</v>
      </c>
      <c r="C545" s="2">
        <f>IFERROR(__xludf.DUMMYFUNCTION("split(B545,""_"")"),1507.0)</f>
        <v>1507</v>
      </c>
      <c r="D545" s="2" t="str">
        <f>IFERROR(__xludf.DUMMYFUNCTION("""COMPUTED_VALUE"""),"CX")</f>
        <v>CX</v>
      </c>
      <c r="E545" s="2" t="str">
        <f>IFERROR(__xludf.DUMMYFUNCTION("""COMPUTED_VALUE"""),"火22")</f>
        <v>火22</v>
      </c>
      <c r="F545" s="2" t="s">
        <v>1739</v>
      </c>
      <c r="G545" s="2" t="s">
        <v>1752</v>
      </c>
      <c r="H545" s="1">
        <v>5.0</v>
      </c>
      <c r="I545" s="1" t="s">
        <v>17</v>
      </c>
      <c r="J545" s="1" t="s">
        <v>82</v>
      </c>
      <c r="K545" s="2" t="s">
        <v>1753</v>
      </c>
      <c r="L545" s="2" t="s">
        <v>1754</v>
      </c>
      <c r="M545" s="2" t="str">
        <f>IFERROR(__xludf.DUMMYFUNCTION("split(split(K545,""AKIRA　"",false),""公式LINE"",false)"),"ついに日比野(稲垣吾郎)が再開発プロジェクトの最終候補地を決定。タツヤ(AKIRA)と濱田(田中圭)の争いに決着がつく。負けた一方は、勝者のチームのサポートに加わり、決定した候補地との折衝をともに進めることに。その指示の裏には、なにか思惑があるようで…。    プロジェクトが本格始動し、仕事に追われるタツヤ。エリ(菜々緒)から、「もう消防団の活動を続ける必要はない」と言われ、日比野からも「消防団をまだ続けるつもりなのか」と問われて退団の潮時だと悟るが、辞めることを迷っている自分に気づいて戸惑う。    そ"&amp;"のころ、第十一分団のメンバーは夏祭りの準備に大ハリキリ。出店する露天商たちへの指導や当日の見回りなどを任されている夏祭りは、消防団の活動の中でも一、二を争うほど忙しくなる一大イベント。タツヤも加わり、頼もしいと喜ぶ咲良(栗山千明)に、タツヤは退団を切り出すことができない。    そんなある日エリが咲良を訪ねてきた。エリは消防団の活動がタツヤの本業に支障をきたし、負担を強いていると告げ、「彼を解放してもらえませんか?」と辞めさせるよう咲良に詰め寄る。この言葉にショックを受けた咲良は、タツヤに退団を勧め、タツ"&amp;"ヤも夏祭りを最後に辞めることを決意。複雑な思いを抱えたまま、当日を迎える。  互いの思いが交錯する夏祭りがいよいよ始まる中、タツヤたちが想像していなかったトラブルが起きてしまうー。")</f>
        <v>ついに日比野(稲垣吾郎)が再開発プロジェクトの最終候補地を決定。タツヤ(AKIRA)と濱田(田中圭)の争いに決着がつく。負けた一方は、勝者のチームのサポートに加わり、決定した候補地との折衝をともに進めることに。その指示の裏には、なにか思惑があるようで…。    プロジェクトが本格始動し、仕事に追われるタツヤ。エリ(菜々緒)から、「もう消防団の活動を続ける必要はない」と言われ、日比野からも「消防団をまだ続けるつもりなのか」と問われて退団の潮時だと悟るが、辞めることを迷っている自分に気づいて戸惑う。    そのころ、第十一分団のメンバーは夏祭りの準備に大ハリキリ。出店する露天商たちへの指導や当日の見回りなどを任されている夏祭りは、消防団の活動の中でも一、二を争うほど忙しくなる一大イベント。タツヤも加わり、頼もしいと喜ぶ咲良(栗山千明)に、タツヤは退団を切り出すことができない。    そんなある日エリが咲良を訪ねてきた。エリは消防団の活動がタツヤの本業に支障をきたし、負担を強いていると告げ、「彼を解放してもらえませんか?」と辞めさせるよう咲良に詰め寄る。この言葉にショックを受けた咲良は、タツヤに退団を勧め、タツヤも夏祭りを最後に辞めることを決意。複雑な思いを抱えたまま、当日を迎える。  互いの思いが交錯する夏祭りがいよいよ始まる中、タツヤたちが想像していなかったトラブルが起きてしまうー。</v>
      </c>
      <c r="N545" s="2"/>
      <c r="O545" s="2"/>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row>
    <row r="546" ht="204.75" customHeight="1">
      <c r="A546" s="1">
        <v>2008.0</v>
      </c>
      <c r="B546" s="2" t="s">
        <v>1738</v>
      </c>
      <c r="C546" s="2">
        <f>IFERROR(__xludf.DUMMYFUNCTION("split(B546,""_"")"),1507.0)</f>
        <v>1507</v>
      </c>
      <c r="D546" s="2" t="str">
        <f>IFERROR(__xludf.DUMMYFUNCTION("""COMPUTED_VALUE"""),"CX")</f>
        <v>CX</v>
      </c>
      <c r="E546" s="2" t="str">
        <f>IFERROR(__xludf.DUMMYFUNCTION("""COMPUTED_VALUE"""),"火22")</f>
        <v>火22</v>
      </c>
      <c r="F546" s="2" t="s">
        <v>1739</v>
      </c>
      <c r="G546" s="2" t="s">
        <v>1755</v>
      </c>
      <c r="H546" s="1">
        <v>6.0</v>
      </c>
      <c r="I546" s="1" t="s">
        <v>21</v>
      </c>
      <c r="J546" s="1" t="s">
        <v>86</v>
      </c>
      <c r="K546" s="2" t="s">
        <v>1756</v>
      </c>
      <c r="L546" s="2" t="s">
        <v>1757</v>
      </c>
      <c r="M546" s="2" t="str">
        <f>IFERROR(__xludf.DUMMYFUNCTION("split(split(K546,""AKIRA　"",false),""公式LINE"",false)"),"消防団の活動を続けながら再開発プロジェクトの仕事を進める決意をしたタツヤ(AKIRA)。再開発に賛成する地権者を着々と増やす中、かたくなに反対を貫く地権者・菅井武雄(斉木しげる)に頭を悩ませていた。  一方、就活中の大学生団員・松山(吉沢亮)は、面接で消防団の活動をアピールするが不採用ばかり。イライラを募らせる松山は、第十一分団のメンバーに八つ当たりし、会社で成績不振にあえぐ鳴海(正名僕蔵)に「鳴海さんみたいになりたくない」と言い放つ。  翌日、第十一分団と幸多消防署の合同訓練が行われたが、松山のやる気の"&amp;"ない態度に等々力(鈴木伸之)が憤慨。「就活に有利って聞いたから入ったのに。全然役に立たない」と消防団をバカにする松山につかみかかり、2人は大ゲンカに。その揚げ句、「就活に集中したい」と団の活動を休むと言い出した松山を、咲良(栗山千明)は複雑な思いで送り出す。  同じ頃、菅井に手を焼いていたタツヤはエリ(菜々緒)に相談しようとするが、エリは電話に出ようとしない。そして、タツヤと力を合わせてプロジェクトを進めるはずの濱田(田中圭)にもあやしい動きが…。    そんな折、鳴海が取引先との商談をすっぽかし、リスト"&amp;"ラの危機に追い込まれてしまった。幸多市にある会社をクビになれば、消防団も続けられなくなる鳴海を案じる第十一分団の面々。そんな咲良らに追い打ちをかけるように、松山も団を辞めると言い出して…。")</f>
        <v>消防団の活動を続けながら再開発プロジェクトの仕事を進める決意をしたタツヤ(AKIRA)。再開発に賛成する地権者を着々と増やす中、かたくなに反対を貫く地権者・菅井武雄(斉木しげる)に頭を悩ませていた。  一方、就活中の大学生団員・松山(吉沢亮)は、面接で消防団の活動をアピールするが不採用ばかり。イライラを募らせる松山は、第十一分団のメンバーに八つ当たりし、会社で成績不振にあえぐ鳴海(正名僕蔵)に「鳴海さんみたいになりたくない」と言い放つ。  翌日、第十一分団と幸多消防署の合同訓練が行われたが、松山のやる気のない態度に等々力(鈴木伸之)が憤慨。「就活に有利って聞いたから入ったのに。全然役に立たない」と消防団をバカにする松山につかみかかり、2人は大ゲンカに。その揚げ句、「就活に集中したい」と団の活動を休むと言い出した松山を、咲良(栗山千明)は複雑な思いで送り出す。  同じ頃、菅井に手を焼いていたタツヤはエリ(菜々緒)に相談しようとするが、エリは電話に出ようとしない。そして、タツヤと力を合わせてプロジェクトを進めるはずの濱田(田中圭)にもあやしい動きが…。    そんな折、鳴海が取引先との商談をすっぽかし、リストラの危機に追い込まれてしまった。幸多市にある会社をクビになれば、消防団も続けられなくなる鳴海を案じる第十一分団の面々。そんな咲良らに追い打ちをかけるように、松山も団を辞めると言い出して…。</v>
      </c>
      <c r="N546" s="2"/>
      <c r="O546" s="2"/>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row>
    <row r="547" ht="204.75" customHeight="1">
      <c r="A547" s="1">
        <v>2009.0</v>
      </c>
      <c r="B547" s="2" t="s">
        <v>1738</v>
      </c>
      <c r="C547" s="2">
        <f>IFERROR(__xludf.DUMMYFUNCTION("split(B547,""_"")"),1507.0)</f>
        <v>1507</v>
      </c>
      <c r="D547" s="2" t="str">
        <f>IFERROR(__xludf.DUMMYFUNCTION("""COMPUTED_VALUE"""),"CX")</f>
        <v>CX</v>
      </c>
      <c r="E547" s="2" t="str">
        <f>IFERROR(__xludf.DUMMYFUNCTION("""COMPUTED_VALUE"""),"火22")</f>
        <v>火22</v>
      </c>
      <c r="F547" s="2" t="s">
        <v>1739</v>
      </c>
      <c r="G547" s="2" t="s">
        <v>1758</v>
      </c>
      <c r="H547" s="1">
        <v>7.0</v>
      </c>
      <c r="I547" s="1" t="s">
        <v>25</v>
      </c>
      <c r="J547" s="1" t="s">
        <v>86</v>
      </c>
      <c r="K547" s="2" t="s">
        <v>1759</v>
      </c>
      <c r="L547" s="2" t="s">
        <v>1760</v>
      </c>
      <c r="M547" s="2" t="str">
        <f>IFERROR(__xludf.DUMMYFUNCTION("split(split(K547,""AKIRA　"",false),""公式LINE"",false)"),"住民の笑顔を守る町を作りたいーーそんな思いからタツヤ(AKIRA)が練り直した再開発プロジェクトの新しいプランを破り捨てた日比野(稲垣吾郎)は、別のプランでプロジェクトを進めるようタツヤに命じる。日比野は密かに濱田(田中圭)を動かし、会社の利益を最優先するプランを準備させていたのだ。この計画に異論があるならプロジェクトの全権を濱田に任せると非情に言い放つ日比野に、返す言葉もないタツヤは激しく葛藤するが…。    一方、幸多市では住宅街や商店街に空き家が増え始め、スプレーで落書きされるトラブルが頻発。治安の"&amp;"悪化を案じる第十一分団のメンバーは、落書きを消す作業や町の見回りなどの対策に追われていた。咲良(栗山千明)はタツヤにも手助けを頼もうとするが、タツヤは呼び出しにまったく応じず、詰所にも顔を出そうとしない。そんなある日、住民説明会の開催を告知するポスターが町中に貼られ、ついに大規模な再開発計画が明るみになる。    そんななか、咲良らは再開発を推進するクローバー都市開発の気になるうわさを知る。もともと住んでいた人々を町から追い出し、住民を丸ごと富裕層に入れ替える強引な手法で莫大な利益を上げている危険な会社だ"&amp;"というのだ。不安を募らせた団員たちは、真相を確かめようと住民説明会に参加。ところが、クローバー都市開発の担当者として壇上に現れたのは、他ならぬタツヤだった…。")</f>
        <v>住民の笑顔を守る町を作りたいーーそんな思いからタツヤ(AKIRA)が練り直した再開発プロジェクトの新しいプランを破り捨てた日比野(稲垣吾郎)は、別のプランでプロジェクトを進めるようタツヤに命じる。日比野は密かに濱田(田中圭)を動かし、会社の利益を最優先するプランを準備させていたのだ。この計画に異論があるならプロジェクトの全権を濱田に任せると非情に言い放つ日比野に、返す言葉もないタツヤは激しく葛藤するが…。    一方、幸多市では住宅街や商店街に空き家が増え始め、スプレーで落書きされるトラブルが頻発。治安の悪化を案じる第十一分団のメンバーは、落書きを消す作業や町の見回りなどの対策に追われていた。咲良(栗山千明)はタツヤにも手助けを頼もうとするが、タツヤは呼び出しにまったく応じず、詰所にも顔を出そうとしない。そんなある日、住民説明会の開催を告知するポスターが町中に貼られ、ついに大規模な再開発計画が明るみになる。    そんななか、咲良らは再開発を推進するクローバー都市開発の気になるうわさを知る。もともと住んでいた人々を町から追い出し、住民を丸ごと富裕層に入れ替える強引な手法で莫大な利益を上げている危険な会社だというのだ。不安を募らせた団員たちは、真相を確かめようと住民説明会に参加。ところが、クローバー都市開発の担当者として壇上に現れたのは、他ならぬタツヤだった…。</v>
      </c>
      <c r="N547" s="2"/>
      <c r="O547" s="2"/>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row>
    <row r="548" ht="204.75" customHeight="1">
      <c r="A548" s="1">
        <v>2010.0</v>
      </c>
      <c r="B548" s="2" t="s">
        <v>1738</v>
      </c>
      <c r="C548" s="2">
        <f>IFERROR(__xludf.DUMMYFUNCTION("split(B548,""_"")"),1507.0)</f>
        <v>1507</v>
      </c>
      <c r="D548" s="2" t="str">
        <f>IFERROR(__xludf.DUMMYFUNCTION("""COMPUTED_VALUE"""),"CX")</f>
        <v>CX</v>
      </c>
      <c r="E548" s="2" t="str">
        <f>IFERROR(__xludf.DUMMYFUNCTION("""COMPUTED_VALUE"""),"火22")</f>
        <v>火22</v>
      </c>
      <c r="F548" s="2" t="s">
        <v>1739</v>
      </c>
      <c r="G548" s="2" t="s">
        <v>1761</v>
      </c>
      <c r="H548" s="1">
        <v>8.0</v>
      </c>
      <c r="I548" s="1" t="s">
        <v>29</v>
      </c>
      <c r="J548" s="1" t="s">
        <v>86</v>
      </c>
      <c r="K548" s="2" t="s">
        <v>1762</v>
      </c>
      <c r="L548" s="2" t="s">
        <v>1763</v>
      </c>
      <c r="M548" s="2" t="str">
        <f>IFERROR(__xludf.DUMMYFUNCTION("split(split(K548,""AKIRA　"",false),""公式LINE"",false)"),"火事を起こそうとしていた少年に刺され重傷を負ったタツヤ(AKIRA)は、榊(井出卓也)に発見され、一命を取り留めた。咲良(栗山千明)は病院に駆けつけるが、「タツヤはもう消防団とは関係ない」とエリ(菜々緒)に追い返されてしまう。  同じ頃、事件は思わぬ騒動に。タツヤを襲ったのは再開発反対派の住民だとのうわさが流れたことから、賛成派が暴力に屈さず計画を推し進めるべきだと声を挙げ、具体案を決定する準備組合総会が一週間後に行われることになったのだ。そんななか、等々力(鈴木伸之)が真犯人を突き止め、タツヤが火災の発"&amp;"生を防ごうと少年を注意していたことを知る。    一方、咲良は榊から、タツヤが住民に寄り添った「災害に強い町」を目指すプランを提案するも日比野(稲垣吾郎)に握りつぶされ、葛藤していたことを打ち明けられる。消防団員として必死に町を守ろうとしていたタツヤの思いを知った第十一分団の面々は病院へ。悩み、苦しんでいたタツヤは、仲間たちのやさしさにふれ、和解し、笑顔が戻る。    「もう一度俺にチャンスをくれませんか」と咲良らに告げたタツヤは、日比野のもとへ。住民の意向を無視した強引な再開発に異論を唱えると、準備組合"&amp;"総会に自らも出席し、計画に反対すると宣言する。総会までのわずか一週間で、日比野の計画を覆す無謀な戦いに身を投じたタツヤ。再開発をめぐるある疑惑を胸に、日比野が起用した建設会社に接触を図り…。")</f>
        <v>火事を起こそうとしていた少年に刺され重傷を負ったタツヤ(AKIRA)は、榊(井出卓也)に発見され、一命を取り留めた。咲良(栗山千明)は病院に駆けつけるが、「タツヤはもう消防団とは関係ない」とエリ(菜々緒)に追い返されてしまう。  同じ頃、事件は思わぬ騒動に。タツヤを襲ったのは再開発反対派の住民だとのうわさが流れたことから、賛成派が暴力に屈さず計画を推し進めるべきだと声を挙げ、具体案を決定する準備組合総会が一週間後に行われることになったのだ。そんななか、等々力(鈴木伸之)が真犯人を突き止め、タツヤが火災の発生を防ごうと少年を注意していたことを知る。    一方、咲良は榊から、タツヤが住民に寄り添った「災害に強い町」を目指すプランを提案するも日比野(稲垣吾郎)に握りつぶされ、葛藤していたことを打ち明けられる。消防団員として必死に町を守ろうとしていたタツヤの思いを知った第十一分団の面々は病院へ。悩み、苦しんでいたタツヤは、仲間たちのやさしさにふれ、和解し、笑顔が戻る。    「もう一度俺にチャンスをくれませんか」と咲良らに告げたタツヤは、日比野のもとへ。住民の意向を無視した強引な再開発に異論を唱えると、準備組合総会に自らも出席し、計画に反対すると宣言する。総会までのわずか一週間で、日比野の計画を覆す無謀な戦いに身を投じたタツヤ。再開発をめぐるある疑惑を胸に、日比野が起用した建設会社に接触を図り…。</v>
      </c>
      <c r="N548" s="2"/>
      <c r="O548" s="2"/>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row>
    <row r="549" ht="204.75" customHeight="1">
      <c r="A549" s="1">
        <v>2011.0</v>
      </c>
      <c r="B549" s="2" t="s">
        <v>1738</v>
      </c>
      <c r="C549" s="2">
        <f>IFERROR(__xludf.DUMMYFUNCTION("split(B549,""_"")"),1507.0)</f>
        <v>1507</v>
      </c>
      <c r="D549" s="2" t="str">
        <f>IFERROR(__xludf.DUMMYFUNCTION("""COMPUTED_VALUE"""),"CX")</f>
        <v>CX</v>
      </c>
      <c r="E549" s="2" t="str">
        <f>IFERROR(__xludf.DUMMYFUNCTION("""COMPUTED_VALUE"""),"火22")</f>
        <v>火22</v>
      </c>
      <c r="F549" s="2" t="s">
        <v>1739</v>
      </c>
      <c r="G549" s="2" t="s">
        <v>1764</v>
      </c>
      <c r="H549" s="1">
        <v>9.0</v>
      </c>
      <c r="I549" s="1" t="s">
        <v>33</v>
      </c>
      <c r="J549" s="1" t="s">
        <v>86</v>
      </c>
      <c r="K549" s="2" t="s">
        <v>1765</v>
      </c>
      <c r="L549" s="2" t="s">
        <v>1766</v>
      </c>
      <c r="M549" s="2" t="str">
        <f>IFERROR(__xludf.DUMMYFUNCTION("split(split(K549,""AKIRA　"",false),""公式LINE"",false)"),"「ワールドカップバレーボール2015女子　日本×セルビア」延長の際、放送時間繰り下げの場合あり。再開発準備組合の総会でタツヤ(AKIRA)が告発した星乃市長(国広富之)の収賄容疑に組合員たちが騒然となる中、会場となった建物の別棟で火災が発生。改装工事中の作業場から上がった炎は勢いを増し、立ち上る煙は会場をも覆い尽くそうとしていた。  タツヤと咲良(栗山千明)は避難を誘導するが、パニックに陥った組合員たちは出口扉に殺到。日比野(稲垣吾郎)は混乱を避けるようにひとり別の扉から会場を出るが、煙に巻かれ動けなくな"&amp;"ってしまう…。  まもなく、通報を受けた第十一分団のメンバーと合田(佐藤隆太)ら消防隊も現場に到着。そのころ、タツヤは出火元の建物に向かい、逃げ遅れた作業員を救い出そうとしていた。だが、完治していなかった腹の傷が開き、痛みと充満する煙の息苦しさで立ち往生してしまう。  そのとき、煙の向こうから合田が救助に現れた。合田に励まされながら出口へと急ぐタツヤ。だが次の瞬間、現場で爆発が起こり、吹き飛ばされた合田が資材の下敷きに。タツヤは助け出そうとするが、「早く行け!」と一刻も早い作業員の救助を命じる合田にうなが"&amp;"され、現場を後にする。  「必ず助けに来るからな!」と合田に誓ったタツヤは建物の中に戻ろうとするが、団員たちに押しとどめられる。現場はまたいつ爆発が起こってもおかしくない危険な状況にあったのだ。「まだ中に合田がいるんだ!」と必死に救出を訴えるタツヤ。そのとき、無線機から合田の声が…。")</f>
        <v>「ワールドカップバレーボール2015女子　日本×セルビア」延長の際、放送時間繰り下げの場合あり。再開発準備組合の総会でタツヤ(AKIRA)が告発した星乃市長(国広富之)の収賄容疑に組合員たちが騒然となる中、会場となった建物の別棟で火災が発生。改装工事中の作業場から上がった炎は勢いを増し、立ち上る煙は会場をも覆い尽くそうとしていた。  タツヤと咲良(栗山千明)は避難を誘導するが、パニックに陥った組合員たちは出口扉に殺到。日比野(稲垣吾郎)は混乱を避けるようにひとり別の扉から会場を出るが、煙に巻かれ動けなくなってしまう…。  まもなく、通報を受けた第十一分団のメンバーと合田(佐藤隆太)ら消防隊も現場に到着。そのころ、タツヤは出火元の建物に向かい、逃げ遅れた作業員を救い出そうとしていた。だが、完治していなかった腹の傷が開き、痛みと充満する煙の息苦しさで立ち往生してしまう。  そのとき、煙の向こうから合田が救助に現れた。合田に励まされながら出口へと急ぐタツヤ。だが次の瞬間、現場で爆発が起こり、吹き飛ばされた合田が資材の下敷きに。タツヤは助け出そうとするが、「早く行け!」と一刻も早い作業員の救助を命じる合田にうながされ、現場を後にする。  「必ず助けに来るからな!」と合田に誓ったタツヤは建物の中に戻ろうとするが、団員たちに押しとどめられる。現場はまたいつ爆発が起こってもおかしくない危険な状況にあったのだ。「まだ中に合田がいるんだ!」と必死に救出を訴えるタツヤ。そのとき、無線機から合田の声が…。</v>
      </c>
      <c r="N549" s="2"/>
      <c r="O549" s="2"/>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row>
    <row r="550" ht="204.75" customHeight="1">
      <c r="A550" s="1">
        <v>2033.0</v>
      </c>
      <c r="B550" s="2" t="s">
        <v>1767</v>
      </c>
      <c r="C550" s="2">
        <f>IFERROR(__xludf.DUMMYFUNCTION("split(B550,""_"")"),1507.0)</f>
        <v>1507</v>
      </c>
      <c r="D550" s="2" t="str">
        <f>IFERROR(__xludf.DUMMYFUNCTION("""COMPUTED_VALUE"""),"CX")</f>
        <v>CX</v>
      </c>
      <c r="E550" s="2" t="str">
        <f>IFERROR(__xludf.DUMMYFUNCTION("""COMPUTED_VALUE"""),"水22")</f>
        <v>水22</v>
      </c>
      <c r="F550" s="2" t="s">
        <v>1768</v>
      </c>
      <c r="G550" s="2" t="s">
        <v>1769</v>
      </c>
      <c r="H550" s="1">
        <v>1.0</v>
      </c>
      <c r="I550" s="1" t="s">
        <v>3</v>
      </c>
      <c r="J550" s="1" t="s">
        <v>82</v>
      </c>
      <c r="K550" s="2" t="s">
        <v>1770</v>
      </c>
      <c r="L550" s="2" t="s">
        <v>1771</v>
      </c>
      <c r="M550" s="2" t="str">
        <f>IFERROR(__xludf.DUMMYFUNCTION("split(split(K550,""西行寺智:"",false),""公式LINE"",false)"),"西行寺智(堤真一)は、これまで数々のトラブルを解決してきた伝説的な危機管理専門家。日本最大の商社・サンライズ物産社長の坂手光輝(吉田鋼太郎)にその手腕を見込まれた西行寺は、同社の危機対策室長に迎え入れられ、久しぶりに帰国する。  　その頃、サンライズ物産では、電機メーカー・生島電機とともに新素材を使った次世代型バッテリー「LIFE」を共同開発し、注目を集めていた。その開発責任者は、東大卒の帰国子女で電機部主任の神狩かおり(戸田恵梨香)だ。サンライズ物産と生島電機は、新会社ライフパワー社を設立し、社長には生"&amp;"島電機専務の生島徹(風間トオル)が就任、かおりも商品開発担当役員に抜てきされる。  　ある夜、かおりは、サンライズ物産専務・白川誠一郎(小日向文世)の呼びかけで始まった若手社員の勉強会に出席する。そこには、広報部主任の橘由香(山口紗弥加)、薬品部主任でかおりの恋人の原田清志(満島真之介)らも顔をそろえた。その席で白川は、社長の坂手が危機対策室を立ち上げ、業界内で“the　God　of　risk""とウワサされる西行寺を引き抜いてきたことを明かす。  　そんな折、ある家庭で、「LIFE」バッテリーを内蔵した"&amp;"自走式掃除機が発火し、子どもがやけどを負ったという苦情が入った。生島は、メーカーには悪質なクレーマーがつきものだからこちらで対処しておく、とかおりに伝えるが。")</f>
        <v>西行寺智(堤真一)は、これまで数々のトラブルを解決してきた伝説的な危機管理専門家。日本最大の商社・サンライズ物産社長の坂手光輝(吉田鋼太郎)にその手腕を見込まれた西行寺は、同社の危機対策室長に迎え入れられ、久しぶりに帰国する。  　その頃、サンライズ物産では、電機メーカー・生島電機とともに新素材を使った次世代型バッテリー「LIFE」を共同開発し、注目を集めていた。その開発責任者は、東大卒の帰国子女で電機部主任の神狩かおり(戸田恵梨香)だ。サンライズ物産と生島電機は、新会社ライフパワー社を設立し、社長には生島電機専務の生島徹(風間トオル)が就任、かおりも商品開発担当役員に抜てきされる。  　ある夜、かおりは、サンライズ物産専務・白川誠一郎(小日向文世)の呼びかけで始まった若手社員の勉強会に出席する。そこには、広報部主任の橘由香(山口紗弥加)、薬品部主任でかおりの恋人の原田清志(満島真之介)らも顔をそろえた。その席で白川は、社長の坂手が危機対策室を立ち上げ、業界内で“the　God　of　risk"とウワサされる西行寺を引き抜いてきたことを明かす。  　そんな折、ある家庭で、「LIFE」バッテリーを内蔵した自走式掃除機が発火し、子どもがやけどを負ったという苦情が入った。生島は、メーカーには悪質なクレーマーがつきものだからこちらで対処しておく、とかおりに伝えるが。</v>
      </c>
      <c r="N550" s="2"/>
      <c r="O550" s="2"/>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row>
    <row r="551" ht="204.75" customHeight="1">
      <c r="A551" s="1">
        <v>2034.0</v>
      </c>
      <c r="B551" s="2" t="s">
        <v>1767</v>
      </c>
      <c r="C551" s="2">
        <f>IFERROR(__xludf.DUMMYFUNCTION("split(B551,""_"")"),1507.0)</f>
        <v>1507</v>
      </c>
      <c r="D551" s="2" t="str">
        <f>IFERROR(__xludf.DUMMYFUNCTION("""COMPUTED_VALUE"""),"CX")</f>
        <v>CX</v>
      </c>
      <c r="E551" s="2" t="str">
        <f>IFERROR(__xludf.DUMMYFUNCTION("""COMPUTED_VALUE"""),"水22")</f>
        <v>水22</v>
      </c>
      <c r="F551" s="2" t="s">
        <v>1768</v>
      </c>
      <c r="G551" s="2" t="s">
        <v>1772</v>
      </c>
      <c r="H551" s="1">
        <v>2.0</v>
      </c>
      <c r="I551" s="1" t="s">
        <v>7</v>
      </c>
      <c r="J551" s="1" t="s">
        <v>86</v>
      </c>
      <c r="K551" s="2" t="s">
        <v>1773</v>
      </c>
      <c r="L551" s="2" t="s">
        <v>1774</v>
      </c>
      <c r="M551" s="2" t="str">
        <f>IFERROR(__xludf.DUMMYFUNCTION("split(split(K551,""西行寺智:"",false),""公式LINE"",false)"),"サンライズ物産危機対策室室長の西行寺智(堤真一)は、次世代型バッテリー『LIFE』のリコール問題の責任を負って同部署への異動を命じられた神狩かおり(戸田恵梨香)らとともに、傘下の食品会社・豊川フーズで発生した異物混入事件に対処する。  　事件は、豊川フーズの主力商品・カップマカロニに小さなネジが混入していたというものだった。気づかずにその商品を食べ、口の中を切る被害者もいた。しかし、同社社長の天野昭雄(飯田基祐)は、相次ぐ異物混入事件に便乗した愉快犯の仕業だとして返金などに応じようとはしなかった。するとネ"&amp;"ット上には豊川フーズを非難する書き込みが溢れ、不買運動の呼びかけが始まる。  　対応に苦慮した豊川フーズは、総務部長の麻生次郎(岡本信人)が謝罪会見を行った。が、会見に社長が不在だったこと、質問に対して狼狽する麻生の姿が報じられたことで、株価下落や小売店からの取り引き中止という事態にまで発展してしまう。  　天野のもとを訪れた西行寺たちは豊川フーズ側の初期対応のミスを指摘し、信頼回復のためには思い切った対応が必要だと訴えた。それでも天野は自分たちは被害者だと主張し、謝罪広告や商品回収に反対する。  　危機"&amp;"対策室に戻った西行寺は、かおりや結城実(森田剛)らにネット投稿された製品の番号解析や、豊川フーズの社内事情の調査を指示し、こう続けた。「時間との戦いだ。3度目の失敗は許されない」と。")</f>
        <v>サンライズ物産危機対策室室長の西行寺智(堤真一)は、次世代型バッテリー『LIFE』のリコール問題の責任を負って同部署への異動を命じられた神狩かおり(戸田恵梨香)らとともに、傘下の食品会社・豊川フーズで発生した異物混入事件に対処する。  　事件は、豊川フーズの主力商品・カップマカロニに小さなネジが混入していたというものだった。気づかずにその商品を食べ、口の中を切る被害者もいた。しかし、同社社長の天野昭雄(飯田基祐)は、相次ぐ異物混入事件に便乗した愉快犯の仕業だとして返金などに応じようとはしなかった。するとネット上には豊川フーズを非難する書き込みが溢れ、不買運動の呼びかけが始まる。  　対応に苦慮した豊川フーズは、総務部長の麻生次郎(岡本信人)が謝罪会見を行った。が、会見に社長が不在だったこと、質問に対して狼狽する麻生の姿が報じられたことで、株価下落や小売店からの取り引き中止という事態にまで発展してしまう。  　天野のもとを訪れた西行寺たちは豊川フーズ側の初期対応のミスを指摘し、信頼回復のためには思い切った対応が必要だと訴えた。それでも天野は自分たちは被害者だと主張し、謝罪広告や商品回収に反対する。  　危機対策室に戻った西行寺は、かおりや結城実(森田剛)らにネット投稿された製品の番号解析や、豊川フーズの社内事情の調査を指示し、こう続けた。「時間との戦いだ。3度目の失敗は許されない」と。</v>
      </c>
      <c r="N551" s="2"/>
      <c r="O551" s="2"/>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row>
    <row r="552" ht="204.75" customHeight="1">
      <c r="A552" s="1">
        <v>2035.0</v>
      </c>
      <c r="B552" s="2" t="s">
        <v>1767</v>
      </c>
      <c r="C552" s="2">
        <f>IFERROR(__xludf.DUMMYFUNCTION("split(B552,""_"")"),1507.0)</f>
        <v>1507</v>
      </c>
      <c r="D552" s="2" t="str">
        <f>IFERROR(__xludf.DUMMYFUNCTION("""COMPUTED_VALUE"""),"CX")</f>
        <v>CX</v>
      </c>
      <c r="E552" s="2" t="str">
        <f>IFERROR(__xludf.DUMMYFUNCTION("""COMPUTED_VALUE"""),"水22")</f>
        <v>水22</v>
      </c>
      <c r="F552" s="2" t="s">
        <v>1768</v>
      </c>
      <c r="G552" s="2" t="s">
        <v>1775</v>
      </c>
      <c r="H552" s="1">
        <v>3.0</v>
      </c>
      <c r="I552" s="1" t="s">
        <v>10</v>
      </c>
      <c r="J552" s="1" t="s">
        <v>86</v>
      </c>
      <c r="K552" s="2" t="s">
        <v>1776</v>
      </c>
      <c r="L552" s="2" t="s">
        <v>1777</v>
      </c>
      <c r="M552" s="2" t="str">
        <f>IFERROR(__xludf.DUMMYFUNCTION("split(split(K552,""西行寺智:"",false),""公式LINE"",false)"),"サンライズ物産が所有するクルーザーが座礁事故を起こした。西行寺智(堤真一)は、神狩かおり(戸田恵梨香)、結城実(森田剛)とともに現場に向かい、極秘裏に事故処理をする。クルーザーに乗っていたのは、次期総裁候補の民自党代議士・薮谷虎之助(名高達男)と若い女性(エミ　レナータ)だった。薮谷らが収容された病院に現れたサンライズ物産社長・坂手光輝(吉田鋼太郎)は、薮谷と女性の密会そのものをなかったことにするよう、西行寺に指示した。  　同じころ、広報部の橘由香(山口紗弥加)は、公私ともに親しいトップアイドルの北条ち"&amp;"なみ(新川優愛)から、友人が血を吐いて倒れているとの連絡を受ける。由香が向かったのは、ちなみの知り合いだという映画スタッフ・高原(若林誠)のマンションだった。無名だったちなみをCMに抜擢して以来、姉妹のように親しく付き合っていた由香は、ちなみの痕跡を消して彼女を帰すと、高原を病院に連れていく。幸い高原は命に別状はなかった。  　翌日ちなみの前にライターを名乗る男・大友(岡部たかし)が現れ、高原の件を切り出す。知らせを受けた由香は大友に会った。すると大友は、高原には危険ドラッグの常習者という噂もあると言い出"&amp;"し2000万円を要求する。  　西行寺たちは、薮谷と密会していた女性の素性を追っていた。が、薮谷は、女性と一緒だったことすら認めない。そんな中、問題の女性が病室から姿を消し…。")</f>
        <v>サンライズ物産が所有するクルーザーが座礁事故を起こした。西行寺智(堤真一)は、神狩かおり(戸田恵梨香)、結城実(森田剛)とともに現場に向かい、極秘裏に事故処理をする。クルーザーに乗っていたのは、次期総裁候補の民自党代議士・薮谷虎之助(名高達男)と若い女性(エミ　レナータ)だった。薮谷らが収容された病院に現れたサンライズ物産社長・坂手光輝(吉田鋼太郎)は、薮谷と女性の密会そのものをなかったことにするよう、西行寺に指示した。  　同じころ、広報部の橘由香(山口紗弥加)は、公私ともに親しいトップアイドルの北条ちなみ(新川優愛)から、友人が血を吐いて倒れているとの連絡を受ける。由香が向かったのは、ちなみの知り合いだという映画スタッフ・高原(若林誠)のマンションだった。無名だったちなみをCMに抜擢して以来、姉妹のように親しく付き合っていた由香は、ちなみの痕跡を消して彼女を帰すと、高原を病院に連れていく。幸い高原は命に別状はなかった。  　翌日ちなみの前にライターを名乗る男・大友(岡部たかし)が現れ、高原の件を切り出す。知らせを受けた由香は大友に会った。すると大友は、高原には危険ドラッグの常習者という噂もあると言い出し2000万円を要求する。  　西行寺たちは、薮谷と密会していた女性の素性を追っていた。が、薮谷は、女性と一緒だったことすら認めない。そんな中、問題の女性が病室から姿を消し…。</v>
      </c>
      <c r="N552" s="2"/>
      <c r="O552" s="2"/>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row>
    <row r="553" ht="204.75" customHeight="1">
      <c r="A553" s="1">
        <v>2036.0</v>
      </c>
      <c r="B553" s="2" t="s">
        <v>1767</v>
      </c>
      <c r="C553" s="2">
        <f>IFERROR(__xludf.DUMMYFUNCTION("split(B553,""_"")"),1507.0)</f>
        <v>1507</v>
      </c>
      <c r="D553" s="2" t="str">
        <f>IFERROR(__xludf.DUMMYFUNCTION("""COMPUTED_VALUE"""),"CX")</f>
        <v>CX</v>
      </c>
      <c r="E553" s="2" t="str">
        <f>IFERROR(__xludf.DUMMYFUNCTION("""COMPUTED_VALUE"""),"水22")</f>
        <v>水22</v>
      </c>
      <c r="F553" s="2" t="s">
        <v>1768</v>
      </c>
      <c r="G553" s="2" t="s">
        <v>1778</v>
      </c>
      <c r="H553" s="1">
        <v>4.0</v>
      </c>
      <c r="I553" s="1" t="s">
        <v>14</v>
      </c>
      <c r="J553" s="1" t="s">
        <v>82</v>
      </c>
      <c r="K553" s="2" t="s">
        <v>1779</v>
      </c>
      <c r="L553" s="2" t="s">
        <v>1780</v>
      </c>
      <c r="M553" s="2" t="str">
        <f>IFERROR(__xludf.DUMMYFUNCTION("split(split(K553,""西行寺智:"",false),""公式LINE"",false)"),"サンライズ物産のグループ企業である波丘樹脂の工業薬品倉庫で火災が発生した。西行寺(堤真一)は、サンライズ物産社長・坂手(吉田鋼太郎)の指示で、かおり(戸田恵梨香)、結城(森田剛)とともに現地に向かった。西行寺らを出迎えた波丘樹脂社長の塚原(浅野和之)は、特殊な薬品を扱っているため専門知識が必要であることを理由に、対応は自分たちに任せてほしいと告げる。マスコミ対応も、塚原自身が行うという。実は塚原は、過去に会社の危機を何度も救い、危機対策のプロという異名を持つ人物だった。  　消防署による現場検証の結果、出"&amp;"火の原因は出入り業者によるタバコの火の不始末であることが判明した。倉庫近くの河川へ薬品が流出した可能性もあるため、塚原は、倉庫内の薬品に関するデータはすべて公表し、川の水が流れ込む湾内の漁業停止および遊泳禁止を依頼するとともに、水質検査の実施も行うと発表する。  　そんななか、西行寺らは遊泳禁止のはずの波丘湾で泳いでいた子どものひとりが浜辺で倒れているのを発見し、病院に運ぶ。倒れていたのは波丘樹脂工場で働く有田俊介(坂田聡)と水産加工場で働く水江(西尾まり)夫妻の息子・剛(藤本哉汰)。海岸には、子どもたち"&amp;"が貝や魚をたき火で焼いて食べたあとも残っていた。医師による診察の結果、剛は軽い食中毒とのことだった。西行寺は、念のため市の保健所に剛たちが食べた貝の検査を依頼するが…。")</f>
        <v>サンライズ物産のグループ企業である波丘樹脂の工業薬品倉庫で火災が発生した。西行寺(堤真一)は、サンライズ物産社長・坂手(吉田鋼太郎)の指示で、かおり(戸田恵梨香)、結城(森田剛)とともに現地に向かった。西行寺らを出迎えた波丘樹脂社長の塚原(浅野和之)は、特殊な薬品を扱っているため専門知識が必要であることを理由に、対応は自分たちに任せてほしいと告げる。マスコミ対応も、塚原自身が行うという。実は塚原は、過去に会社の危機を何度も救い、危機対策のプロという異名を持つ人物だった。  　消防署による現場検証の結果、出火の原因は出入り業者によるタバコの火の不始末であることが判明した。倉庫近くの河川へ薬品が流出した可能性もあるため、塚原は、倉庫内の薬品に関するデータはすべて公表し、川の水が流れ込む湾内の漁業停止および遊泳禁止を依頼するとともに、水質検査の実施も行うと発表する。  　そんななか、西行寺らは遊泳禁止のはずの波丘湾で泳いでいた子どものひとりが浜辺で倒れているのを発見し、病院に運ぶ。倒れていたのは波丘樹脂工場で働く有田俊介(坂田聡)と水産加工場で働く水江(西尾まり)夫妻の息子・剛(藤本哉汰)。海岸には、子どもたちが貝や魚をたき火で焼いて食べたあとも残っていた。医師による診察の結果、剛は軽い食中毒とのことだった。西行寺は、念のため市の保健所に剛たちが食べた貝の検査を依頼するが…。</v>
      </c>
      <c r="N553" s="2"/>
      <c r="O553" s="2"/>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row>
    <row r="554" ht="204.75" customHeight="1">
      <c r="A554" s="1">
        <v>2037.0</v>
      </c>
      <c r="B554" s="2" t="s">
        <v>1767</v>
      </c>
      <c r="C554" s="2">
        <f>IFERROR(__xludf.DUMMYFUNCTION("split(B554,""_"")"),1507.0)</f>
        <v>1507</v>
      </c>
      <c r="D554" s="2" t="str">
        <f>IFERROR(__xludf.DUMMYFUNCTION("""COMPUTED_VALUE"""),"CX")</f>
        <v>CX</v>
      </c>
      <c r="E554" s="2" t="str">
        <f>IFERROR(__xludf.DUMMYFUNCTION("""COMPUTED_VALUE"""),"水22")</f>
        <v>水22</v>
      </c>
      <c r="F554" s="2" t="s">
        <v>1768</v>
      </c>
      <c r="G554" s="2" t="s">
        <v>1781</v>
      </c>
      <c r="H554" s="1">
        <v>5.0</v>
      </c>
      <c r="I554" s="1" t="s">
        <v>17</v>
      </c>
      <c r="J554" s="1" t="s">
        <v>86</v>
      </c>
      <c r="K554" s="2" t="s">
        <v>1782</v>
      </c>
      <c r="L554" s="2" t="s">
        <v>1783</v>
      </c>
      <c r="M554" s="2" t="str">
        <f>IFERROR(__xludf.DUMMYFUNCTION("split(split(K554,""西行寺智:"",false),""公式LINE"",false)"),"西行寺(堤真一)は、父・関口孝雄(田中泯)の主治医に会った。脳梗塞を患って以来、脳血管性認知症が急速に進行していた関口が西行寺の言葉に反応したことを知った医師は、今後も辛抱強く話しかけることで何か思い出すかもしれない、と告げる。  　一方、かおり(戸田恵梨香)は、天然ゴムの産地であるマーレーンに置かれたサンライズ物産の駐在所から、所長の袴田明(桜井聖)と昨日から連絡が取れないという知らせを受ける。あくる日、サンライズ物産社長・坂手(吉田鋼太郎)宛ての国際郵便が届いた。その中身は、ひび割れたメガネと袴田の写"&amp;"真。写真の裏にはわざわざ日本時間で記された撮影日時があり、制限時間は72時間と書かれていた。日本で暮らす袴田の妻・美沙(田中美里)に連絡を取り、メガネが袴田のものだと確認した西行寺は、彼が誘拐された可能性が高いこと、また誘拐犯が共産ゲリラだった場合、現地警察も信用できないことから、危機対策室を中心に非常時態勢で臨むよう指示。ブラジルに向かう機内にいる社長の坂手、京都に向かっていた専務の白川(小日向文世)に連絡を取るよう命じ、種子島(古田新太)を現地に向かわせる。  　そんな中、誘拐犯からのメールが届く。犯"&amp;"人の要求は、身代金とマーレーン駐在所の撤退だった。西行寺は、出来る限り要求に応える意思があることを伝え、袴田の無事を確認できる映像を送るよう交渉しろ、とかおりに指示するが。")</f>
        <v>西行寺(堤真一)は、父・関口孝雄(田中泯)の主治医に会った。脳梗塞を患って以来、脳血管性認知症が急速に進行していた関口が西行寺の言葉に反応したことを知った医師は、今後も辛抱強く話しかけることで何か思い出すかもしれない、と告げる。  　一方、かおり(戸田恵梨香)は、天然ゴムの産地であるマーレーンに置かれたサンライズ物産の駐在所から、所長の袴田明(桜井聖)と昨日から連絡が取れないという知らせを受ける。あくる日、サンライズ物産社長・坂手(吉田鋼太郎)宛ての国際郵便が届いた。その中身は、ひび割れたメガネと袴田の写真。写真の裏にはわざわざ日本時間で記された撮影日時があり、制限時間は72時間と書かれていた。日本で暮らす袴田の妻・美沙(田中美里)に連絡を取り、メガネが袴田のものだと確認した西行寺は、彼が誘拐された可能性が高いこと、また誘拐犯が共産ゲリラだった場合、現地警察も信用できないことから、危機対策室を中心に非常時態勢で臨むよう指示。ブラジルに向かう機内にいる社長の坂手、京都に向かっていた専務の白川(小日向文世)に連絡を取るよう命じ、種子島(古田新太)を現地に向かわせる。  　そんな中、誘拐犯からのメールが届く。犯人の要求は、身代金とマーレーン駐在所の撤退だった。西行寺は、出来る限り要求に応える意思があることを伝え、袴田の無事を確認できる映像を送るよう交渉しろ、とかおりに指示するが。</v>
      </c>
      <c r="N554" s="2"/>
      <c r="O554" s="2"/>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row>
    <row r="555" ht="204.75" customHeight="1">
      <c r="A555" s="1">
        <v>2038.0</v>
      </c>
      <c r="B555" s="2" t="s">
        <v>1767</v>
      </c>
      <c r="C555" s="2">
        <f>IFERROR(__xludf.DUMMYFUNCTION("split(B555,""_"")"),1507.0)</f>
        <v>1507</v>
      </c>
      <c r="D555" s="2" t="str">
        <f>IFERROR(__xludf.DUMMYFUNCTION("""COMPUTED_VALUE"""),"CX")</f>
        <v>CX</v>
      </c>
      <c r="E555" s="2" t="str">
        <f>IFERROR(__xludf.DUMMYFUNCTION("""COMPUTED_VALUE"""),"水22")</f>
        <v>水22</v>
      </c>
      <c r="F555" s="2" t="s">
        <v>1768</v>
      </c>
      <c r="G555" s="2" t="s">
        <v>1784</v>
      </c>
      <c r="H555" s="1">
        <v>6.0</v>
      </c>
      <c r="I555" s="1" t="s">
        <v>21</v>
      </c>
      <c r="J555" s="1" t="s">
        <v>86</v>
      </c>
      <c r="K555" s="2" t="s">
        <v>1785</v>
      </c>
      <c r="L555" s="2" t="s">
        <v>1786</v>
      </c>
      <c r="M555" s="2" t="str">
        <f>IFERROR(__xludf.DUMMYFUNCTION("split(split(K555,""西行寺智:"",false),""公式LINE"",false)"),"サンライズ物産と新陽薬品は、共同開発した花粉症治療新薬の特許を出願した。だが、全く同じ製法の新薬特許が他社からすでに出願されており、認可されなかった。西行寺(堤真一)は、この一件は機密情報の漏えいだと判断し、新薬開発プロジェクトに関わっていた薬品部主任の原田(満島真之介)から事情を聴く。原田によれば、機密情報にアクセスできる人間は新薬開発プロジェクトのメンバーに限られているという。西行寺は、かおり(戸田恵梨香)、結城(森田剛)らに極秘で内部調査を行うよう指示した。  　新陽薬品の進藤社長(中丸新将)は、危"&amp;"機対策室による内部調査に同意し、プロジェクトリーダーの望月貴子(中山忍)に調査への協力を命じる。望月の案内でプロジェクトルームを訪れた西行寺たちは、入室用ナンバーキーや、製剤機密へアクセスするためのパスワードを定期的に変更していなかったことを知る。そこでかおりは、機密データへのアクセス履歴やプロジェクトの全記録を提出してほしいと貴子に依頼した。  　ほどなく新陽薬品の役員室から盗聴器が発見される。さらに、プロジェクトメンバー全員が研修出張していた昨年の4月10日に何者かが機密にアクセスした記録もあった。プ"&amp;"ロジェクトメンバーに原田を加えた関係者11人の調査を進めていた西行寺たちは、社長の進藤と、プロジェクト総責任者・大鷹取締役(筒井真理子)の関係が上手くいっていないことを知るが…。")</f>
        <v>サンライズ物産と新陽薬品は、共同開発した花粉症治療新薬の特許を出願した。だが、全く同じ製法の新薬特許が他社からすでに出願されており、認可されなかった。西行寺(堤真一)は、この一件は機密情報の漏えいだと判断し、新薬開発プロジェクトに関わっていた薬品部主任の原田(満島真之介)から事情を聴く。原田によれば、機密情報にアクセスできる人間は新薬開発プロジェクトのメンバーに限られているという。西行寺は、かおり(戸田恵梨香)、結城(森田剛)らに極秘で内部調査を行うよう指示した。  　新陽薬品の進藤社長(中丸新将)は、危機対策室による内部調査に同意し、プロジェクトリーダーの望月貴子(中山忍)に調査への協力を命じる。望月の案内でプロジェクトルームを訪れた西行寺たちは、入室用ナンバーキーや、製剤機密へアクセスするためのパスワードを定期的に変更していなかったことを知る。そこでかおりは、機密データへのアクセス履歴やプロジェクトの全記録を提出してほしいと貴子に依頼した。  　ほどなく新陽薬品の役員室から盗聴器が発見される。さらに、プロジェクトメンバー全員が研修出張していた昨年の4月10日に何者かが機密にアクセスした記録もあった。プロジェクトメンバーに原田を加えた関係者11人の調査を進めていた西行寺たちは、社長の進藤と、プロジェクト総責任者・大鷹取締役(筒井真理子)の関係が上手くいっていないことを知るが…。</v>
      </c>
      <c r="N555" s="2"/>
      <c r="O555" s="2"/>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row>
    <row r="556" ht="204.75" customHeight="1">
      <c r="A556" s="1">
        <v>2039.0</v>
      </c>
      <c r="B556" s="2" t="s">
        <v>1767</v>
      </c>
      <c r="C556" s="2">
        <f>IFERROR(__xludf.DUMMYFUNCTION("split(B556,""_"")"),1507.0)</f>
        <v>1507</v>
      </c>
      <c r="D556" s="2" t="str">
        <f>IFERROR(__xludf.DUMMYFUNCTION("""COMPUTED_VALUE"""),"CX")</f>
        <v>CX</v>
      </c>
      <c r="E556" s="2" t="str">
        <f>IFERROR(__xludf.DUMMYFUNCTION("""COMPUTED_VALUE"""),"水22")</f>
        <v>水22</v>
      </c>
      <c r="F556" s="2" t="s">
        <v>1768</v>
      </c>
      <c r="G556" s="2" t="s">
        <v>1787</v>
      </c>
      <c r="H556" s="1">
        <v>7.0</v>
      </c>
      <c r="I556" s="1" t="s">
        <v>25</v>
      </c>
      <c r="J556" s="1" t="s">
        <v>86</v>
      </c>
      <c r="K556" s="2" t="s">
        <v>1788</v>
      </c>
      <c r="L556" s="2" t="s">
        <v>1789</v>
      </c>
      <c r="M556" s="2" t="str">
        <f>IFERROR(__xludf.DUMMYFUNCTION("split(split(K556,""西行寺智:"",false),""公式LINE"",false)"),"「ワールドカップバレーボール2015女子　日本×ケニア」延長の際、放送時間繰り下げの場合あり。　西行寺(堤真一)は、呉服店からスタートし、百貨店、スーパー、ホテルと事業を拡大してきた烏丸屋ホールディングスが乗っ取りの危機にあることを知る。事の起こりは、1年前、社長の岡崎竜太郎(小野武彦)を、息子である大樹(中村俊介)が解任し、自ら新社長に就任したお家騒動だった。その後、買収した日陽ホテルがわずか3カ月で経営破たんしたこともあって烏丸屋の株価は下がり続けていた。サンライズ物産は竜太郎と並ぶ筆頭株主でもあった"&amp;"。  　大樹を訪ねた西行寺とかおり(戸田恵梨香)は、監査役の花村(大谷亮介)という男が日陽ホテルの負債を意図的に見逃した上、突然姿を消したことを知る。日陽ホテルの買収自体が烏丸屋乗っ取りを狙ったわなだと判断した西行寺は、竜太郎に会いに行く。そもそも日陽ホテルの買収は、竜太郎が持ち込んだ話だった。しかし竜太郎は、その経緯を明かそうとはしなかった。  　そんな折、投資会社代表の片山(手塚とおる)が烏丸屋株の10%を購入したと報道される。市場では、2週間後の株主総会へ向けた、経営権を巡る動きとの見方が広がってい"&amp;"た。大樹の前に現れた片山は、竜太郎を経営トップに復帰させることを提案、それが拒まれた場合は敵対的買収も辞さないと宣言する。  　西行寺の指示で花村と片山の関係を追っていた結城(森田剛)は、両者がつながっており、片山の背後にはある外資系ファンドがついていることをつかむが…。")</f>
        <v>「ワールドカップバレーボール2015女子　日本×ケニア」延長の際、放送時間繰り下げの場合あり。　西行寺(堤真一)は、呉服店からスタートし、百貨店、スーパー、ホテルと事業を拡大してきた烏丸屋ホールディングスが乗っ取りの危機にあることを知る。事の起こりは、1年前、社長の岡崎竜太郎(小野武彦)を、息子である大樹(中村俊介)が解任し、自ら新社長に就任したお家騒動だった。その後、買収した日陽ホテルがわずか3カ月で経営破たんしたこともあって烏丸屋の株価は下がり続けていた。サンライズ物産は竜太郎と並ぶ筆頭株主でもあった。  　大樹を訪ねた西行寺とかおり(戸田恵梨香)は、監査役の花村(大谷亮介)という男が日陽ホテルの負債を意図的に見逃した上、突然姿を消したことを知る。日陽ホテルの買収自体が烏丸屋乗っ取りを狙ったわなだと判断した西行寺は、竜太郎に会いに行く。そもそも日陽ホテルの買収は、竜太郎が持ち込んだ話だった。しかし竜太郎は、その経緯を明かそうとはしなかった。  　そんな折、投資会社代表の片山(手塚とおる)が烏丸屋株の10%を購入したと報道される。市場では、2週間後の株主総会へ向けた、経営権を巡る動きとの見方が広がっていた。大樹の前に現れた片山は、竜太郎を経営トップに復帰させることを提案、それが拒まれた場合は敵対的買収も辞さないと宣言する。  　西行寺の指示で花村と片山の関係を追っていた結城(森田剛)は、両者がつながっており、片山の背後にはある外資系ファンドがついていることをつかむが…。</v>
      </c>
      <c r="N556" s="2"/>
      <c r="O556" s="2"/>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row>
    <row r="557" ht="204.75" customHeight="1">
      <c r="A557" s="1">
        <v>2040.0</v>
      </c>
      <c r="B557" s="2" t="s">
        <v>1767</v>
      </c>
      <c r="C557" s="2">
        <f>IFERROR(__xludf.DUMMYFUNCTION("split(B557,""_"")"),1507.0)</f>
        <v>1507</v>
      </c>
      <c r="D557" s="2" t="str">
        <f>IFERROR(__xludf.DUMMYFUNCTION("""COMPUTED_VALUE"""),"CX")</f>
        <v>CX</v>
      </c>
      <c r="E557" s="2" t="str">
        <f>IFERROR(__xludf.DUMMYFUNCTION("""COMPUTED_VALUE"""),"水22")</f>
        <v>水22</v>
      </c>
      <c r="F557" s="2" t="s">
        <v>1768</v>
      </c>
      <c r="G557" s="2" t="s">
        <v>1790</v>
      </c>
      <c r="H557" s="1">
        <v>8.0</v>
      </c>
      <c r="I557" s="1" t="s">
        <v>29</v>
      </c>
      <c r="J557" s="1" t="s">
        <v>86</v>
      </c>
      <c r="K557" s="2" t="s">
        <v>1791</v>
      </c>
      <c r="L557" s="2" t="s">
        <v>1792</v>
      </c>
      <c r="M557" s="2" t="str">
        <f>IFERROR(__xludf.DUMMYFUNCTION("split(split(K557,""西行寺智:"",false),""公式LINE"",false)"),"西行寺(堤真一)は、サンライズ物産専務の白川(小日向文世)から、かおり(戸田恵梨香)を希望する部署に戻してやりたいとの提案を受ける。白川は、LIFE事業失敗の責任をかおりだけに負わせたやり方に納得していないらしい。続けて白川は、社長の坂手(吉田鋼太郎)が進めるメタンハイドレート開発プロジェクトなどの資料を提示し、坂手の独断的な経営がこれ以上続けば会社にとって大きな危機になるかもしれない、と西行寺に告げる。  　そんな折、グループ企業の社員を名乗る人物から内部告発のメールが届く。サンライズ物産創設期から取引"&amp;"がある総合衣料メーカーのトウセンが、不正会計を行って黒字を計上しているという告発だった。西行寺は、かおりや結城(森田剛)らに内密で調査をするよう指示する。財務諸表からは問題は見つからなかったが、トウセンがこの5年間、常に同じ割合で業績を伸ばしていることに不審を抱いたかおりは、繊維事業部を統括する白川に相談を持ちかけ、調査に協力してくれそうな取引先企業をあたってもらうことにする。  　ほどなく、調査した結果、帳簿上では仕入れているはずの商品在庫が倉庫にないことが判明する。するとそこに、危機対策室の動きを察知"&amp;"したトウセン側から抗議が入った。秘密裏に動けなくなった西行寺たちは、トウセンの高中桐子社長(高橋ひとみ)と小松史郎経理部長(阿南健治)に会い、不正会計疑惑の真偽を探ろうとするが…。")</f>
        <v>西行寺(堤真一)は、サンライズ物産専務の白川(小日向文世)から、かおり(戸田恵梨香)を希望する部署に戻してやりたいとの提案を受ける。白川は、LIFE事業失敗の責任をかおりだけに負わせたやり方に納得していないらしい。続けて白川は、社長の坂手(吉田鋼太郎)が進めるメタンハイドレート開発プロジェクトなどの資料を提示し、坂手の独断的な経営がこれ以上続けば会社にとって大きな危機になるかもしれない、と西行寺に告げる。  　そんな折、グループ企業の社員を名乗る人物から内部告発のメールが届く。サンライズ物産創設期から取引がある総合衣料メーカーのトウセンが、不正会計を行って黒字を計上しているという告発だった。西行寺は、かおりや結城(森田剛)らに内密で調査をするよう指示する。財務諸表からは問題は見つからなかったが、トウセンがこの5年間、常に同じ割合で業績を伸ばしていることに不審を抱いたかおりは、繊維事業部を統括する白川に相談を持ちかけ、調査に協力してくれそうな取引先企業をあたってもらうことにする。  　ほどなく、調査した結果、帳簿上では仕入れているはずの商品在庫が倉庫にないことが判明する。するとそこに、危機対策室の動きを察知したトウセン側から抗議が入った。秘密裏に動けなくなった西行寺たちは、トウセンの高中桐子社長(高橋ひとみ)と小松史郎経理部長(阿南健治)に会い、不正会計疑惑の真偽を探ろうとするが…。</v>
      </c>
      <c r="N557" s="2"/>
      <c r="O557" s="2"/>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row>
    <row r="558" ht="204.75" customHeight="1">
      <c r="A558" s="1">
        <v>2041.0</v>
      </c>
      <c r="B558" s="2" t="s">
        <v>1767</v>
      </c>
      <c r="C558" s="2">
        <f>IFERROR(__xludf.DUMMYFUNCTION("split(B558,""_"")"),1507.0)</f>
        <v>1507</v>
      </c>
      <c r="D558" s="2" t="str">
        <f>IFERROR(__xludf.DUMMYFUNCTION("""COMPUTED_VALUE"""),"CX")</f>
        <v>CX</v>
      </c>
      <c r="E558" s="2" t="str">
        <f>IFERROR(__xludf.DUMMYFUNCTION("""COMPUTED_VALUE"""),"水22")</f>
        <v>水22</v>
      </c>
      <c r="F558" s="2" t="s">
        <v>1768</v>
      </c>
      <c r="G558" s="2" t="s">
        <v>1793</v>
      </c>
      <c r="H558" s="1">
        <v>9.0</v>
      </c>
      <c r="I558" s="1" t="s">
        <v>33</v>
      </c>
      <c r="J558" s="1" t="s">
        <v>86</v>
      </c>
      <c r="K558" s="2" t="s">
        <v>1794</v>
      </c>
      <c r="L558" s="2" t="s">
        <v>1795</v>
      </c>
      <c r="M558" s="2" t="str">
        <f>IFERROR(__xludf.DUMMYFUNCTION("split(split(K558,""西行寺智:"",false),""公式LINE"",false)"),"「ワールドカップバレーボール2015男子　日本×アメリカ」延長の際、放送時間繰り下げの場合あり。　西行寺(堤真一)は、メタンハイドレート開発事業の会計資料を調べていた。そこに、シャツや手を血に染めた坂手社長(吉田鋼太郎)が現れ、一緒にいた相手が吐血して倒れたと言ってホテルのルームキーを取り出す。西行寺は、別件の調査報告で連絡をしてきた結城(森田剛)に、坂手の件も対処するよう指示する。  　同じころ、かおり(戸田恵梨香)は、サンエナジーに出向中の由香(山口紗弥加)と会っていた。由香が、危機対策室からの聞き取"&amp;"り調査で帰国したことを知らなかったかおりは、戸惑いを隠せない。  　深夜、対策室に呼び戻されたかおりは、サンライズ物産が100%出資した事業会社サンエアーズが、工業用硫化水素除去装置の認可を通すために検査数値を改ざんしていたことを告げられる。調査を開始した西行寺らは、環境事業部長の峰岸(伊藤正之)が、サンエアーズ開発部主任ののぞみ(黒坂真美)に「どんな工夫をしても成功させろ」と強く要求していたことを知る。  　そんな中、坂手の還暦を祝うパーティーが開かれ、民自党総務会長の薮谷(名高達男)らそうそうたるメン"&amp;"バーが顔をそろえる。会場を訪れた西行寺は、坂手にサンエアーズの件を報告した後、密かに薮谷にも接触する。  　あくる日、西行寺は、坂手や環境事業担当常務の永嶋(羽場裕一)らと話し合い、株価下落を最小限に抑えられる週末の東京市場終了後に、サンエアーズの件を公表することにするが…。")</f>
        <v>「ワールドカップバレーボール2015男子　日本×アメリカ」延長の際、放送時間繰り下げの場合あり。　西行寺(堤真一)は、メタンハイドレート開発事業の会計資料を調べていた。そこに、シャツや手を血に染めた坂手社長(吉田鋼太郎)が現れ、一緒にいた相手が吐血して倒れたと言ってホテルのルームキーを取り出す。西行寺は、別件の調査報告で連絡をしてきた結城(森田剛)に、坂手の件も対処するよう指示する。  　同じころ、かおり(戸田恵梨香)は、サンエナジーに出向中の由香(山口紗弥加)と会っていた。由香が、危機対策室からの聞き取り調査で帰国したことを知らなかったかおりは、戸惑いを隠せない。  　深夜、対策室に呼び戻されたかおりは、サンライズ物産が100%出資した事業会社サンエアーズが、工業用硫化水素除去装置の認可を通すために検査数値を改ざんしていたことを告げられる。調査を開始した西行寺らは、環境事業部長の峰岸(伊藤正之)が、サンエアーズ開発部主任ののぞみ(黒坂真美)に「どんな工夫をしても成功させろ」と強く要求していたことを知る。  　そんな中、坂手の還暦を祝うパーティーが開かれ、民自党総務会長の薮谷(名高達男)らそうそうたるメンバーが顔をそろえる。会場を訪れた西行寺は、坂手にサンエアーズの件を報告した後、密かに薮谷にも接触する。  　あくる日、西行寺は、坂手や環境事業担当常務の永嶋(羽場裕一)らと話し合い、株価下落を最小限に抑えられる週末の東京市場終了後に、サンエアーズの件を公表することにするが…。</v>
      </c>
      <c r="N558" s="2"/>
      <c r="O558" s="2"/>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row>
    <row r="559" ht="204.75" customHeight="1">
      <c r="A559" s="1">
        <v>2042.0</v>
      </c>
      <c r="B559" s="2" t="s">
        <v>1767</v>
      </c>
      <c r="C559" s="2">
        <f>IFERROR(__xludf.DUMMYFUNCTION("split(B559,""_"")"),1507.0)</f>
        <v>1507</v>
      </c>
      <c r="D559" s="2" t="str">
        <f>IFERROR(__xludf.DUMMYFUNCTION("""COMPUTED_VALUE"""),"CX")</f>
        <v>CX</v>
      </c>
      <c r="E559" s="2" t="str">
        <f>IFERROR(__xludf.DUMMYFUNCTION("""COMPUTED_VALUE"""),"水22")</f>
        <v>水22</v>
      </c>
      <c r="F559" s="2" t="s">
        <v>1768</v>
      </c>
      <c r="G559" s="2" t="s">
        <v>1796</v>
      </c>
      <c r="H559" s="1">
        <v>10.0</v>
      </c>
      <c r="I559" s="1" t="s">
        <v>37</v>
      </c>
      <c r="J559" s="1" t="s">
        <v>86</v>
      </c>
      <c r="K559" s="2" t="s">
        <v>1797</v>
      </c>
      <c r="L559" s="2" t="s">
        <v>1798</v>
      </c>
      <c r="M559" s="2" t="str">
        <f>IFERROR(__xludf.DUMMYFUNCTION("split(split(K559,""西行寺智:"",false),""公式LINE"",false)"),"「ワールドカップバレーボール2015男子　日本×チュニジア」延長の際、放送時間繰り下げの場合あり。　サンライズ物産の役員会で坂手社長(吉田鋼太郎)解任の緊急動議が賛成多数で可決され、新社長には専務の白川(小日向文世)が就任した。西行寺(堤真一)は、白川の指示を受け、組織再編に伴い危機対策室が解散になることをかおり(戸田恵梨香)たちに報告する。今後は、各部署に危機対策担当を配置することになったという。かおりは、西行寺が坂手を裏切って白川社長を誕生させた真意がわからず、ますます疑念を深めていた。　あくる朝、か"&amp;"おりは、由香(山口紗弥加)から、西行寺が社長室長に就任したことを聞かされる。すでに西行寺は、白川が掲げた積極的な経営戦略の一環として3社の買収を提案し、役員会で承認されていた。西行寺が父親を見捨てたサンライズ物産に復讐をしようとしていると考えたかおりは、それを阻止すべく彼の行動をマーク。西行寺が、アジアグローバル証券代表のフォー(木下ほうか)と会っているのを目撃する。だが、ふたりを追おうとすると、突然現れた結城(森田剛)に止められてしまう。  　危機対策室に戻ったかおりは、西行寺のデスクに残されていた資料"&amp;"を調べ、18社もの系列企業で実態の伴わない取引が行われていることを知る。去年1年で100億円近い資金が流出しており、そのほとんどはケイマン諸島にある3つの会社に集中していた。かおりは、坂手の自宅に押しかけ、資金流出の件を切り出すが…。")</f>
        <v>「ワールドカップバレーボール2015男子　日本×チュニジア」延長の際、放送時間繰り下げの場合あり。　サンライズ物産の役員会で坂手社長(吉田鋼太郎)解任の緊急動議が賛成多数で可決され、新社長には専務の白川(小日向文世)が就任した。西行寺(堤真一)は、白川の指示を受け、組織再編に伴い危機対策室が解散になることをかおり(戸田恵梨香)たちに報告する。今後は、各部署に危機対策担当を配置することになったという。かおりは、西行寺が坂手を裏切って白川社長を誕生させた真意がわからず、ますます疑念を深めていた。　あくる朝、かおりは、由香(山口紗弥加)から、西行寺が社長室長に就任したことを聞かされる。すでに西行寺は、白川が掲げた積極的な経営戦略の一環として3社の買収を提案し、役員会で承認されていた。西行寺が父親を見捨てたサンライズ物産に復讐をしようとしていると考えたかおりは、それを阻止すべく彼の行動をマーク。西行寺が、アジアグローバル証券代表のフォー(木下ほうか)と会っているのを目撃する。だが、ふたりを追おうとすると、突然現れた結城(森田剛)に止められてしまう。  　危機対策室に戻ったかおりは、西行寺のデスクに残されていた資料を調べ、18社もの系列企業で実態の伴わない取引が行われていることを知る。去年1年で100億円近い資金が流出しており、そのほとんどはケイマン諸島にある3つの会社に集中していた。かおりは、坂手の自宅に押しかけ、資金流出の件を切り出すが…。</v>
      </c>
      <c r="N559" s="2"/>
      <c r="O559" s="2"/>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row>
    <row r="560" ht="204.75" customHeight="1">
      <c r="A560" s="1">
        <v>2062.0</v>
      </c>
      <c r="B560" s="2" t="s">
        <v>1799</v>
      </c>
      <c r="C560" s="2">
        <f>IFERROR(__xludf.DUMMYFUNCTION("split(B560,""_"")"),1507.0)</f>
        <v>1507</v>
      </c>
      <c r="D560" s="2" t="str">
        <f>IFERROR(__xludf.DUMMYFUNCTION("""COMPUTED_VALUE"""),"CX")</f>
        <v>CX</v>
      </c>
      <c r="E560" s="2" t="str">
        <f>IFERROR(__xludf.DUMMYFUNCTION("""COMPUTED_VALUE"""),"木22")</f>
        <v>木22</v>
      </c>
      <c r="F560" s="2" t="s">
        <v>1800</v>
      </c>
      <c r="G560" s="2" t="s">
        <v>1801</v>
      </c>
      <c r="H560" s="1">
        <v>1.0</v>
      </c>
      <c r="I560" s="1" t="s">
        <v>3</v>
      </c>
      <c r="J560" s="1" t="s">
        <v>82</v>
      </c>
      <c r="K560" s="2" t="s">
        <v>1802</v>
      </c>
      <c r="L560" s="2" t="s">
        <v>1803</v>
      </c>
      <c r="M560" s="2" t="str">
        <f>IFERROR(__xludf.DUMMYFUNCTION("split(split(K560,""紗崎玲奈:　"",false),""http://www.fujitv.co.jp/tantei/"",false)"),"番組ホームページは『探偵の探偵』で検索!　  ")</f>
        <v>番組ホームページは『探偵の探偵』で検索!　  </v>
      </c>
      <c r="N560" s="2" t="str">
        <f>IFERROR(__xludf.DUMMYFUNCTION("""COMPUTED_VALUE"""),"　紗崎玲奈(北川景子)は、須磨康臣(井浦新)が社長を務める探偵社「スマ・リサーチ」の道場で、ハードなトレーニングに励んでいた。玲奈は、探偵を調査する「対探偵課」のたった一人の探偵だが、そこへ、須磨に連れられて新人の峰森琴葉(川口春奈)がやってくる。琴葉を助手に、と須磨は命じるが、玲奈は自分だけで十分だと言い放つ。その頃、警視庁捜査一課の会議室では、窪塚悠馬(三浦貴大)ら刑事が集まる中、係長の坂東志郎(相島一之)が、腕組みをして座る男にある事件の調査を依頼していた。その男は、探偵の阿比留佳則(ユースケ・サン"&amp;"タマリア)だった。  　玲奈が初めて須磨の元を訪ねたのは、3年前だった。その2年前に当時、高校3年生だった妹の咲良(芳根京子)が何者かにより惨殺。犯人が、探偵を使い咲良の情報を得ていたと知った玲奈は、その探偵を探し出すため、自分も探偵のスキルを習得しようと思い立つ。養成学校での2年間の厳しい訓練を終えた玲奈に、須磨は「対探偵課」の仕事を任命。妹を死に導いた探偵=“死神""に対する復讐心を燃やす玲奈は、自ら大嫌いな探偵になったのだ。  　そんな「探偵の探偵」玲奈の元に、ひとりの依頼人が訪れる。")</f>
        <v>　紗崎玲奈(北川景子)は、須磨康臣(井浦新)が社長を務める探偵社「スマ・リサーチ」の道場で、ハードなトレーニングに励んでいた。玲奈は、探偵を調査する「対探偵課」のたった一人の探偵だが、そこへ、須磨に連れられて新人の峰森琴葉(川口春奈)がやってくる。琴葉を助手に、と須磨は命じるが、玲奈は自分だけで十分だと言い放つ。その頃、警視庁捜査一課の会議室では、窪塚悠馬(三浦貴大)ら刑事が集まる中、係長の坂東志郎(相島一之)が、腕組みをして座る男にある事件の調査を依頼していた。その男は、探偵の阿比留佳則(ユースケ・サンタマリア)だった。  　玲奈が初めて須磨の元を訪ねたのは、3年前だった。その2年前に当時、高校3年生だった妹の咲良(芳根京子)が何者かにより惨殺。犯人が、探偵を使い咲良の情報を得ていたと知った玲奈は、その探偵を探し出すため、自分も探偵のスキルを習得しようと思い立つ。養成学校での2年間の厳しい訓練を終えた玲奈に、須磨は「対探偵課」の仕事を任命。妹を死に導いた探偵=“死神"に対する復讐心を燃やす玲奈は、自ら大嫌いな探偵になったのだ。  　そんな「探偵の探偵」玲奈の元に、ひとりの依頼人が訪れる。</v>
      </c>
      <c r="O560" s="2"/>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row>
    <row r="561" ht="204.75" customHeight="1">
      <c r="A561" s="1">
        <v>2063.0</v>
      </c>
      <c r="B561" s="2" t="s">
        <v>1799</v>
      </c>
      <c r="C561" s="2">
        <f>IFERROR(__xludf.DUMMYFUNCTION("split(B561,""_"")"),1507.0)</f>
        <v>1507</v>
      </c>
      <c r="D561" s="2" t="str">
        <f>IFERROR(__xludf.DUMMYFUNCTION("""COMPUTED_VALUE"""),"CX")</f>
        <v>CX</v>
      </c>
      <c r="E561" s="2" t="str">
        <f>IFERROR(__xludf.DUMMYFUNCTION("""COMPUTED_VALUE"""),"木22")</f>
        <v>木22</v>
      </c>
      <c r="F561" s="2" t="s">
        <v>1800</v>
      </c>
      <c r="G561" s="2" t="s">
        <v>1804</v>
      </c>
      <c r="H561" s="1">
        <v>2.0</v>
      </c>
      <c r="I561" s="1" t="s">
        <v>7</v>
      </c>
      <c r="J561" s="1" t="s">
        <v>86</v>
      </c>
      <c r="K561" s="2" t="s">
        <v>1805</v>
      </c>
      <c r="L561" s="2" t="s">
        <v>1806</v>
      </c>
      <c r="M561" s="2" t="str">
        <f>IFERROR(__xludf.DUMMYFUNCTION("split(split(K561,""紗崎玲奈:　"",false),""http://www.fujitv.co.jp/tantei/"",false)"),"番組ホームページは『探偵の探偵』で検索!　  ")</f>
        <v>番組ホームページは『探偵の探偵』で検索!　  </v>
      </c>
      <c r="N561" s="2" t="str">
        <f>IFERROR(__xludf.DUMMYFUNCTION("""COMPUTED_VALUE"""),"　紗崎玲奈(北川景子)の留守中、「スマ・リサーチ社」に阿比留佳則(ユースケ・サンタマリア)が現れた。阿比留は須磨康臣(井浦新)と峰森琴葉(川口春奈)にリボンの付いた小箱を見せると、これを玲奈に渡して欲しいと言い立ち去った。箱の中身が盗聴器かもしれないと疑った琴葉は電波を確認するも、盗聴器ではないと分かる。  　琴葉は電話で玲奈に状況を説明すると、玲奈は自分がいる場所まで来いと言う。琴葉が着いたのは中華街で、玲奈は行き交う人たちを撮影していた。外国人が多く住む地域は、悪徳探偵の寄生率が高いから片っ端から撮影"&amp;"し、画像を検証するのだという。そんな玲奈に感心しながら、琴葉は例の箱を差し出した。それを見た玲奈は驚き、琴葉にマンションへ直帰しろと命じる。箱の中身はGPS発信機だという。箱を奪った玲奈は車で走り去った。取り残された琴葉に、桐嶋颯太(DEAN　FUJIOKA)が声をかける。  　その頃、警視庁に日銀総裁の孫娘(玉野るな)が誘拐されたという一報が入る。誘拐事件対策室が設けられ、窪塚悠馬(三浦貴大)、坂東志郎(相島一之)、船瀬卓(阪田マサノブ)、長谷部憲保(渋谷謙人)ら捜査一課の刑事たちが集まる。  　車で埠"&amp;"頭へやってきた玲奈は、立ち入り禁止区域でライトを消しエンジンを切った。そこで箱を開け、GPS発信機を確認するが追っ手が来る気配はない。すると、ごう音とともにブルドーザーが突進して来て…。")</f>
        <v>　紗崎玲奈(北川景子)の留守中、「スマ・リサーチ社」に阿比留佳則(ユースケ・サンタマリア)が現れた。阿比留は須磨康臣(井浦新)と峰森琴葉(川口春奈)にリボンの付いた小箱を見せると、これを玲奈に渡して欲しいと言い立ち去った。箱の中身が盗聴器かもしれないと疑った琴葉は電波を確認するも、盗聴器ではないと分かる。  　琴葉は電話で玲奈に状況を説明すると、玲奈は自分がいる場所まで来いと言う。琴葉が着いたのは中華街で、玲奈は行き交う人たちを撮影していた。外国人が多く住む地域は、悪徳探偵の寄生率が高いから片っ端から撮影し、画像を検証するのだという。そんな玲奈に感心しながら、琴葉は例の箱を差し出した。それを見た玲奈は驚き、琴葉にマンションへ直帰しろと命じる。箱の中身はGPS発信機だという。箱を奪った玲奈は車で走り去った。取り残された琴葉に、桐嶋颯太(DEAN　FUJIOKA)が声をかける。  　その頃、警視庁に日銀総裁の孫娘(玉野るな)が誘拐されたという一報が入る。誘拐事件対策室が設けられ、窪塚悠馬(三浦貴大)、坂東志郎(相島一之)、船瀬卓(阪田マサノブ)、長谷部憲保(渋谷謙人)ら捜査一課の刑事たちが集まる。  　車で埠頭へやってきた玲奈は、立ち入り禁止区域でライトを消しエンジンを切った。そこで箱を開け、GPS発信機を確認するが追っ手が来る気配はない。すると、ごう音とともにブルドーザーが突進して来て…。</v>
      </c>
      <c r="O561" s="2"/>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row>
    <row r="562" ht="204.75" customHeight="1">
      <c r="A562" s="1">
        <v>2064.0</v>
      </c>
      <c r="B562" s="2" t="s">
        <v>1799</v>
      </c>
      <c r="C562" s="2">
        <f>IFERROR(__xludf.DUMMYFUNCTION("split(B562,""_"")"),1507.0)</f>
        <v>1507</v>
      </c>
      <c r="D562" s="2" t="str">
        <f>IFERROR(__xludf.DUMMYFUNCTION("""COMPUTED_VALUE"""),"CX")</f>
        <v>CX</v>
      </c>
      <c r="E562" s="2" t="str">
        <f>IFERROR(__xludf.DUMMYFUNCTION("""COMPUTED_VALUE"""),"木22")</f>
        <v>木22</v>
      </c>
      <c r="F562" s="2" t="s">
        <v>1800</v>
      </c>
      <c r="G562" s="2" t="s">
        <v>1807</v>
      </c>
      <c r="H562" s="1">
        <v>3.0</v>
      </c>
      <c r="I562" s="1" t="s">
        <v>10</v>
      </c>
      <c r="J562" s="1" t="s">
        <v>86</v>
      </c>
      <c r="K562" s="2" t="s">
        <v>1808</v>
      </c>
      <c r="L562" s="2" t="s">
        <v>1809</v>
      </c>
      <c r="M562" s="2" t="str">
        <f>IFERROR(__xludf.DUMMYFUNCTION("split(split(K562,""紗崎玲奈:　"",false),""http://www.fujitv.co.jp/tantei/"",false)"),"番組ホームページは『探偵の探偵』で検索!　  ")</f>
        <v>番組ホームページは『探偵の探偵』で検索!　  </v>
      </c>
      <c r="N562" s="2" t="str">
        <f>IFERROR(__xludf.DUMMYFUNCTION("""COMPUTED_VALUE"""),"　紗崎玲奈(北川景子)は5年前に紗崎咲良(芳根京子)のDNA鑑定を受け持った医師・矢吹洋子(高岡早紀)から、咲良とともに死亡したはずの被疑者・岡尾芯也(岡田義徳)が生きていると聞かされる。しかも、先日発生した女児誘拐事件に関与している疑いがあり、現在、警察が探偵と協力して調査を進めているという。玲奈は、その探偵のことを尋ねるが、矢吹は知らないと答える。  　その後、玲奈は探偵・藪沼(宅間孝行)から、阿比留佳則(ユースケ・サンタマリア)が、警察の信頼を得ようとする裏に意外な野望があることを聞く。「スマ・リサ"&amp;"ーチ社」に戻ると、玲奈は須磨康臣(井浦新)と峰森琴葉(川口春奈)にそのことを報告。今回の誘拐事件も警察の信頼を得るために阿比留が企てた自作自演かもしれない、と話した。しかも、警察がマークさえしていない岡尾を犯人として挙げられれば、警察の阿比留への信頼は絶大なものになる、と言う。阿比留と岡尾がつながっているとすれば、咲良の情報を岡尾に流した探偵は阿比留である可能性が高まる。玲奈は、何としても真相に迫りたかった。  　同じ頃、誘拐事件対策室では、阿比留が捜査の実権を握っていることに不信感を募らせた窪塚悠馬(三"&amp;"浦貴大)が、阿比留に不満をぶつける。  　その夜、玲奈は矢吹から、明朝、誘拐事件に関する家宅捜索が行われるとの情報を得る。玲奈と一緒に行きたいと譲らない琴葉の口から意外な事実が語られる。北川景子　  川口春奈　  三浦貴大　  DEAN　FUJIOKA　  伊藤正之　  六角慎司　  高山侑子　  渋谷謙人　  阪田マサノブ　  芳根京子  　　・　　  相島一之　  中村ゆり　  佐戸井けん太  　　・　　  ユースケ・サンタマリア  　　・　　  高岡早紀　  井浦新　    他【原作】  松岡圭祐「"&amp;"探偵の探偵」「探偵の探偵II」「探偵の探偵III」(講談社文庫刊)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f>
        <v>　紗崎玲奈(北川景子)は5年前に紗崎咲良(芳根京子)のDNA鑑定を受け持った医師・矢吹洋子(高岡早紀)から、咲良とともに死亡したはずの被疑者・岡尾芯也(岡田義徳)が生きていると聞かされる。しかも、先日発生した女児誘拐事件に関与している疑いがあり、現在、警察が探偵と協力して調査を進めているという。玲奈は、その探偵のことを尋ねるが、矢吹は知らないと答える。  　その後、玲奈は探偵・藪沼(宅間孝行)から、阿比留佳則(ユースケ・サンタマリア)が、警察の信頼を得ようとする裏に意外な野望があることを聞く。「スマ・リサーチ社」に戻ると、玲奈は須磨康臣(井浦新)と峰森琴葉(川口春奈)にそのことを報告。今回の誘拐事件も警察の信頼を得るために阿比留が企てた自作自演かもしれない、と話した。しかも、警察がマークさえしていない岡尾を犯人として挙げられれば、警察の阿比留への信頼は絶大なものになる、と言う。阿比留と岡尾がつながっているとすれば、咲良の情報を岡尾に流した探偵は阿比留である可能性が高まる。玲奈は、何としても真相に迫りたかった。  　同じ頃、誘拐事件対策室では、阿比留が捜査の実権を握っていることに不信感を募らせた窪塚悠馬(三浦貴大)が、阿比留に不満をぶつける。  　その夜、玲奈は矢吹から、明朝、誘拐事件に関する家宅捜索が行われるとの情報を得る。玲奈と一緒に行きたいと譲らない琴葉の口から意外な事実が語られる。北川景子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v>
      </c>
      <c r="O562" s="2"/>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row>
    <row r="563" ht="204.75" customHeight="1">
      <c r="A563" s="1">
        <v>2065.0</v>
      </c>
      <c r="B563" s="2" t="s">
        <v>1799</v>
      </c>
      <c r="C563" s="2">
        <f>IFERROR(__xludf.DUMMYFUNCTION("split(B563,""_"")"),1507.0)</f>
        <v>1507</v>
      </c>
      <c r="D563" s="2" t="str">
        <f>IFERROR(__xludf.DUMMYFUNCTION("""COMPUTED_VALUE"""),"CX")</f>
        <v>CX</v>
      </c>
      <c r="E563" s="2" t="str">
        <f>IFERROR(__xludf.DUMMYFUNCTION("""COMPUTED_VALUE"""),"木22")</f>
        <v>木22</v>
      </c>
      <c r="F563" s="2" t="s">
        <v>1800</v>
      </c>
      <c r="G563" s="2" t="s">
        <v>1810</v>
      </c>
      <c r="H563" s="1">
        <v>4.0</v>
      </c>
      <c r="I563" s="1" t="s">
        <v>14</v>
      </c>
      <c r="J563" s="1" t="s">
        <v>86</v>
      </c>
      <c r="K563" s="2" t="s">
        <v>1811</v>
      </c>
      <c r="L563" s="2" t="s">
        <v>1812</v>
      </c>
      <c r="M563" s="2" t="str">
        <f>IFERROR(__xludf.DUMMYFUNCTION("split(split(K563,""紗崎玲奈:　"",false),""http://www.fujitv.co.jp/tantei/"",false)"),"番組ホームページは『探偵の探偵』で検索!　  ")</f>
        <v>番組ホームページは『探偵の探偵』で検索!　  </v>
      </c>
      <c r="N563" s="2" t="str">
        <f>IFERROR(__xludf.DUMMYFUNCTION("""COMPUTED_VALUE"""),"　女児誘拐犯が潜伏しているとされる工場に、阿比留佳則(ユースケ・サンタマリア)を筆頭に、坂東志郎(相島一之)ら捜査員たちが続々と入っていく。そこには、捜査から外された窪塚悠馬(三浦貴大)も紛れ込んでいた。  　一同は、阿比留の指示に従い、犯人がいると思われる場所へと向かう。すると、張り詰めた空気の中、コツコツという靴音が。身構える捜査員たちがその方向を見つめると、全身傷だらけの紗崎玲奈(北川景子)が鉄パイプを手に立っていた。玲奈は阿比留の前まで来ると、視線を隣の矢吹洋子(高岡早紀)に移す。そして、妹と峰森"&amp;"琴葉(川口春奈)が世話になったな、と言うと、鉄パイプを洋子の頭めがけて振りかざした。突然のことに、あ然とする捜査員たちを前に、玲奈は身をひるがえして走り去る。その後を窪塚が追いーー。  　それから1カ月。玲奈は、桐嶋颯太(DEAN　FUJIOKA)の後押しもあり、それまで避けていた琴葉の見舞いに向かう。病室の前まで来た玲奈は、中から聞こえてくる楽しそうな声を聞く。そんなところへ、須磨康臣(井浦新)から連絡が入り、「対探偵課」に回したい仕事が来たが1人で対応できるか、と聞かれる。1人ではない、と言った玲奈の"&amp;"手には、琴葉から渡された白熊のポーレット(キーホルダー)が握られていた。  　さらに1年後、対探偵課には変わらず2つのデスクがあったが、琴葉が使っていたデスクは片付けられていて…。北川景子　  川口春奈　  三浦貴大　  DEAN　FUJIOKA　  伊藤正之　  六角慎司　  高山侑子　  渋谷謙人　  阪田マサノブ　  芳根京子  　　・　　  相島一之　  中村ゆり　  佐戸井けん太  　　・　　  ユースケ・サンタマリア  　　・　　  高岡早紀　  井浦新　    他【原作】  松岡圭祐「探偵の"&amp;"探偵」「探偵の探偵II」「探偵の探偵III」(講談社文庫刊)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f>
        <v>　女児誘拐犯が潜伏しているとされる工場に、阿比留佳則(ユースケ・サンタマリア)を筆頭に、坂東志郎(相島一之)ら捜査員たちが続々と入っていく。そこには、捜査から外された窪塚悠馬(三浦貴大)も紛れ込んでいた。  　一同は、阿比留の指示に従い、犯人がいると思われる場所へと向かう。すると、張り詰めた空気の中、コツコツという靴音が。身構える捜査員たちがその方向を見つめると、全身傷だらけの紗崎玲奈(北川景子)が鉄パイプを手に立っていた。玲奈は阿比留の前まで来ると、視線を隣の矢吹洋子(高岡早紀)に移す。そして、妹と峰森琴葉(川口春奈)が世話になったな、と言うと、鉄パイプを洋子の頭めがけて振りかざした。突然のことに、あ然とする捜査員たちを前に、玲奈は身をひるがえして走り去る。その後を窪塚が追いーー。  　それから1カ月。玲奈は、桐嶋颯太(DEAN　FUJIOKA)の後押しもあり、それまで避けていた琴葉の見舞いに向かう。病室の前まで来た玲奈は、中から聞こえてくる楽しそうな声を聞く。そんなところへ、須磨康臣(井浦新)から連絡が入り、「対探偵課」に回したい仕事が来たが1人で対応できるか、と聞かれる。1人ではない、と言った玲奈の手には、琴葉から渡された白熊のポーレット(キーホルダー)が握られていた。  　さらに1年後、対探偵課には変わらず2つのデスクがあったが、琴葉が使っていたデスクは片付けられていて…。北川景子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v>
      </c>
      <c r="O563" s="2"/>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row>
    <row r="564" ht="204.75" customHeight="1">
      <c r="A564" s="1">
        <v>2066.0</v>
      </c>
      <c r="B564" s="2" t="s">
        <v>1799</v>
      </c>
      <c r="C564" s="2">
        <f>IFERROR(__xludf.DUMMYFUNCTION("split(B564,""_"")"),1507.0)</f>
        <v>1507</v>
      </c>
      <c r="D564" s="2" t="str">
        <f>IFERROR(__xludf.DUMMYFUNCTION("""COMPUTED_VALUE"""),"CX")</f>
        <v>CX</v>
      </c>
      <c r="E564" s="2" t="str">
        <f>IFERROR(__xludf.DUMMYFUNCTION("""COMPUTED_VALUE"""),"木22")</f>
        <v>木22</v>
      </c>
      <c r="F564" s="2" t="s">
        <v>1800</v>
      </c>
      <c r="G564" s="2" t="s">
        <v>1813</v>
      </c>
      <c r="H564" s="1">
        <v>5.0</v>
      </c>
      <c r="I564" s="1" t="s">
        <v>17</v>
      </c>
      <c r="J564" s="1" t="s">
        <v>86</v>
      </c>
      <c r="K564" s="2" t="s">
        <v>1814</v>
      </c>
      <c r="L564" s="2" t="s">
        <v>1815</v>
      </c>
      <c r="M564" s="2" t="str">
        <f>IFERROR(__xludf.DUMMYFUNCTION("split(split(K564,""紗崎玲奈:　"",false),""http://www.fujitv.co.jp/tantei/"",false)"),"番組ホームページは『探偵の探偵』で検索!　  ")</f>
        <v>番組ホームページは『探偵の探偵』で検索!　  </v>
      </c>
      <c r="N564" s="2" t="str">
        <f>IFERROR(__xludf.DUMMYFUNCTION("""COMPUTED_VALUE"""),"　紗崎玲奈(北川景子)は、病院で意識を取り戻した檜池(尾上寛之)に会いに行くことを決める。かつて、檜池がストーキングの果てに殺害した女性の調査報告書が、紗崎咲良(芳根京子)の調査報告書に酷似していることが判明。報告書が作成された時期も前後していることから、玲奈は2通の報告書を作成したのが“死神""ではないかと疑い、真相を檜池から聞き出そうと考えたのだ。病院には警察関係者もいることから、須磨康臣(井浦新)は無謀だと止めるが、玲奈の意志は固い。やがて、単身で病院に現れた玲奈は、堂々と正面玄関から入っていく。そ"&amp;"の姿を認めた坂東志郎(相島一之)は、窪塚悠馬(三浦貴大)らに包囲網を敷くよう指示を出す。  　同じ頃、郊外にあるDV被害者を保護する施設から、入所者の女性たち11名が失踪するという事件が起こった。報告を受けた坂東は、窪塚に長谷部憲保(渋谷謙人)とともに事件を捜査するよう命じる。窪塚と長谷部が施設に出向き、スタッフに話を聞くとスタッフは、11名は自主的に出ていったように感じると話した。  　一方、姉の織田彩音(中村ゆり)のマンションで暮らす峰森琴葉(川口春奈)は、偶然目にした傷だらけの玲奈が映っていた映像を"&amp;"見ようと、彩音のパソコンを探すが、映像はすでに削除されていた。琴葉はソフトを使い、その映像を復元することに成功。  　病院から戻った玲奈は、須磨に檜池に関する衝撃の事実を告げ…。北川景子　  川口春奈　  三浦貴大　  DEAN　FUJIOKA　  伊藤正之　  六角慎司　  高山侑子　  渋谷謙人　  阪田マサノブ　  芳根京子  　　・　　  相島一之　  中村ゆり　  佐戸井けん太  　　・　　  ユースケ・サンタマリア  　　・　　  高岡早紀　  井浦新　    他【原作】  松岡圭祐「探偵の探"&amp;"偵」「探偵の探偵II」「探偵の探偵III」(講談社文庫刊)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f>
        <v>　紗崎玲奈(北川景子)は、病院で意識を取り戻した檜池(尾上寛之)に会いに行くことを決める。かつて、檜池がストーキングの果てに殺害した女性の調査報告書が、紗崎咲良(芳根京子)の調査報告書に酷似していることが判明。報告書が作成された時期も前後していることから、玲奈は2通の報告書を作成したのが“死神"ではないかと疑い、真相を檜池から聞き出そうと考えたのだ。病院には警察関係者もいることから、須磨康臣(井浦新)は無謀だと止めるが、玲奈の意志は固い。やがて、単身で病院に現れた玲奈は、堂々と正面玄関から入っていく。その姿を認めた坂東志郎(相島一之)は、窪塚悠馬(三浦貴大)らに包囲網を敷くよう指示を出す。  　同じ頃、郊外にあるDV被害者を保護する施設から、入所者の女性たち11名が失踪するという事件が起こった。報告を受けた坂東は、窪塚に長谷部憲保(渋谷謙人)とともに事件を捜査するよう命じる。窪塚と長谷部が施設に出向き、スタッフに話を聞くとスタッフは、11名は自主的に出ていったように感じると話した。  　一方、姉の織田彩音(中村ゆり)のマンションで暮らす峰森琴葉(川口春奈)は、偶然目にした傷だらけの玲奈が映っていた映像を見ようと、彩音のパソコンを探すが、映像はすでに削除されていた。琴葉はソフトを使い、その映像を復元することに成功。  　病院から戻った玲奈は、須磨に檜池に関する衝撃の事実を告げ…。北川景子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v>
      </c>
      <c r="O564" s="2"/>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row>
    <row r="565" ht="204.75" customHeight="1">
      <c r="A565" s="1">
        <v>2067.0</v>
      </c>
      <c r="B565" s="2" t="s">
        <v>1799</v>
      </c>
      <c r="C565" s="2">
        <f>IFERROR(__xludf.DUMMYFUNCTION("split(B565,""_"")"),1507.0)</f>
        <v>1507</v>
      </c>
      <c r="D565" s="2" t="str">
        <f>IFERROR(__xludf.DUMMYFUNCTION("""COMPUTED_VALUE"""),"CX")</f>
        <v>CX</v>
      </c>
      <c r="E565" s="2" t="str">
        <f>IFERROR(__xludf.DUMMYFUNCTION("""COMPUTED_VALUE"""),"木22")</f>
        <v>木22</v>
      </c>
      <c r="F565" s="2" t="s">
        <v>1800</v>
      </c>
      <c r="G565" s="2" t="s">
        <v>1816</v>
      </c>
      <c r="H565" s="1">
        <v>6.0</v>
      </c>
      <c r="I565" s="1" t="s">
        <v>21</v>
      </c>
      <c r="J565" s="1" t="s">
        <v>86</v>
      </c>
      <c r="K565" s="2" t="s">
        <v>1817</v>
      </c>
      <c r="L565" s="2" t="s">
        <v>1818</v>
      </c>
      <c r="M565" s="2" t="str">
        <f>IFERROR(__xludf.DUMMYFUNCTION("split(split(K565,""紗崎玲奈:　"",false),""http://www.fujitv.co.jp/tantei/"",false)"),"番組ホームページは『探偵の探偵』で検索!　  ")</f>
        <v>番組ホームページは『探偵の探偵』で検索!　  </v>
      </c>
      <c r="N565" s="2" t="str">
        <f>IFERROR(__xludf.DUMMYFUNCTION("""COMPUTED_VALUE"""),"　紗崎玲奈(北川景子)は、DVシェルターから失踪した芦原遥香(西原亜希)の夫・升瀬淳史(中野裕太)のアパートの前で、窪塚悠馬(三浦貴大)と対峙(たいじ)していた。窪塚は、警察が先日病院で死亡した檜池(尾上寛之)を殺害したのは玲奈だと疑い捜査を進めていると明かし、目立つ行動を控えるよう忠告する。窪塚が立ち去ると、玲奈は峰森琴葉(川口春奈)にスマ・リサーチ社に戻り、升瀬が使っている銀行を調べるように命じた。  　同じ頃、琴葉の姉・織田彩音(中村ゆり)は、夫・哲哉(柏原収史)を会社の前で待っていた。やがて、出て"&amp;"きた哲哉に声をかけると、琴葉に謝ってほしいと言う。玲奈の元にいる琴葉が心配だという彩音に、もう子供じゃないんだから、と返す哲哉。彩音は声を荒らげ、琴葉には自分がいないとダメなのだ、と怒りをあらわにする。  　一方、升瀬の銀行口座を突き止めた琴葉は玲奈に報告。玲奈は、それをもとに升瀬に連絡を取り、彼が潜伏しているホテルを割り出す。早速、ホテルに向かった玲奈は、升瀬が滞在している部屋の隣室を取る。その後、升瀬が留守にした隙を狙い部屋に侵入、充電中だった升瀬の携帯電話を手に取った。そこには、「野放図」という“半"&amp;"グレ""グループからの呼び出しのメールがあった。さらに、探偵が書いたと思われる遥香の調査報告書を見つける。それは、死神が書いた紗崎咲良(芳根京子)の調査報告書の書式と一致していた…。北川景子　  川口春奈　  三浦貴大　  DEAN　FUJIOKA　  伊藤正之　  六角慎司　  高山侑子　  渋谷謙人　  阪田マサノブ　  芳根京子  　　・　　  相島一之　  中村ゆり　  佐戸井けん太  　　・　　  ユースケ・サンタマリア  　　・　　  高岡早紀　  井浦新　    他【原作】  松岡圭祐「探偵"&amp;"の探偵」「探偵の探偵II」「探偵の探偵III」(講談社文庫刊)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f>
        <v>　紗崎玲奈(北川景子)は、DVシェルターから失踪した芦原遥香(西原亜希)の夫・升瀬淳史(中野裕太)のアパートの前で、窪塚悠馬(三浦貴大)と対峙(たいじ)していた。窪塚は、警察が先日病院で死亡した檜池(尾上寛之)を殺害したのは玲奈だと疑い捜査を進めていると明かし、目立つ行動を控えるよう忠告する。窪塚が立ち去ると、玲奈は峰森琴葉(川口春奈)にスマ・リサーチ社に戻り、升瀬が使っている銀行を調べるように命じた。  　同じ頃、琴葉の姉・織田彩音(中村ゆり)は、夫・哲哉(柏原収史)を会社の前で待っていた。やがて、出てきた哲哉に声をかけると、琴葉に謝ってほしいと言う。玲奈の元にいる琴葉が心配だという彩音に、もう子供じゃないんだから、と返す哲哉。彩音は声を荒らげ、琴葉には自分がいないとダメなのだ、と怒りをあらわにする。  　一方、升瀬の銀行口座を突き止めた琴葉は玲奈に報告。玲奈は、それをもとに升瀬に連絡を取り、彼が潜伏しているホテルを割り出す。早速、ホテルに向かった玲奈は、升瀬が滞在している部屋の隣室を取る。その後、升瀬が留守にした隙を狙い部屋に侵入、充電中だった升瀬の携帯電話を手に取った。そこには、「野放図」という“半グレ"グループからの呼び出しのメールがあった。さらに、探偵が書いたと思われる遥香の調査報告書を見つける。それは、死神が書いた紗崎咲良(芳根京子)の調査報告書の書式と一致していた…。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v>
      </c>
      <c r="O565" s="2"/>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row>
    <row r="566" ht="204.75" customHeight="1">
      <c r="A566" s="1">
        <v>2068.0</v>
      </c>
      <c r="B566" s="2" t="s">
        <v>1799</v>
      </c>
      <c r="C566" s="2">
        <f>IFERROR(__xludf.DUMMYFUNCTION("split(B566,""_"")"),1507.0)</f>
        <v>1507</v>
      </c>
      <c r="D566" s="2" t="str">
        <f>IFERROR(__xludf.DUMMYFUNCTION("""COMPUTED_VALUE"""),"CX")</f>
        <v>CX</v>
      </c>
      <c r="E566" s="2" t="str">
        <f>IFERROR(__xludf.DUMMYFUNCTION("""COMPUTED_VALUE"""),"木22")</f>
        <v>木22</v>
      </c>
      <c r="F566" s="2" t="s">
        <v>1800</v>
      </c>
      <c r="G566" s="2" t="s">
        <v>1819</v>
      </c>
      <c r="H566" s="1">
        <v>7.0</v>
      </c>
      <c r="I566" s="1" t="s">
        <v>25</v>
      </c>
      <c r="J566" s="1" t="s">
        <v>86</v>
      </c>
      <c r="K566" s="2" t="s">
        <v>1820</v>
      </c>
      <c r="L566" s="2" t="s">
        <v>1821</v>
      </c>
      <c r="M566" s="2" t="str">
        <f>IFERROR(__xludf.DUMMYFUNCTION("split(split(K566,""紗崎玲奈:　"",false),""http://www.fujitv.co.jp/tantei/"",false)"),"番組ホームページは『探偵の探偵』で検索!　  ")</f>
        <v>番組ホームページは『探偵の探偵』で検索!　  </v>
      </c>
      <c r="N566" s="2" t="str">
        <f>IFERROR(__xludf.DUMMYFUNCTION("""COMPUTED_VALUE"""),"　“半グレ""集団「野放図」に連れ去られた紗崎玲奈(北川景子)は、目覚めると薄暗いスナックのようなところにいた。周囲には、升瀬淳史(中野裕太)らDV男たちが、身を寄せ合うように立っている。そこへ淀野瑛斗(丸山智己)が現れて、玲奈を見下ろすと、お前は誰だ、と聞く。玲奈はそれに答えずに、DV被害者の女性たちが保護されていた場所を突き止めるために探偵を使っただろうと聞き、その探偵に用があると言った。すると、淀野が1人の女に視線を向け、その女・宇佐美秋子(今村美乃)は、自分がその探偵とのパイプ役になっていると明か"&amp;"す。その探偵こそが「死神」だと疑う玲奈は、探偵を連れて来てくれと頼むが、淀野はそれを遮ると、玲奈を処分すると言う。  　その頃、峰森琴葉(川口春奈)は、社員寮のリビングで玲奈からの電話を待ちわびていた。  　一方、スマ・リサーチ社では、探偵課の伊根涼子(高山侑子)が、病院で殺害された檜池(尾上寛之)の事件以来、会社に姿を見せない玲奈に対して不満を爆発させていた。そこへ須磨康臣(井浦新)がやってくると、涼子は須磨に食ってかかる。さらに、佐伯祐司(六角慎司)が同調するのを桐嶋颯太(DEAN　FUJIOKA)が"&amp;"制す。探偵たちの怒りを受け止めた須磨は、玲奈が何をしているのか調べてみるといいと言い放つ。  　その頃、琴葉から連絡を受けた窪塚悠馬(三浦貴大)は、玲奈を救出すべく車を走らせて…。北川景子　  川口春奈　  三浦貴大　  DEAN　FUJIOKA　  伊藤正之　  六角慎司　  高山侑子　  渋谷謙人　  阪田マサノブ　  芳根京子  　　・　　  相島一之　  中村ゆり　  佐戸井けん太  　　・　　  ユースケ・サンタマリア  　　・　　  高岡早紀　  井浦新　    他【原作】  松岡圭祐「探偵の"&amp;"探偵」「探偵の探偵II」「探偵の探偵III」(講談社文庫刊)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f>
        <v>　“半グレ"集団「野放図」に連れ去られた紗崎玲奈(北川景子)は、目覚めると薄暗いスナックのようなところにいた。周囲には、升瀬淳史(中野裕太)らDV男たちが、身を寄せ合うように立っている。そこへ淀野瑛斗(丸山智己)が現れて、玲奈を見下ろすと、お前は誰だ、と聞く。玲奈はそれに答えずに、DV被害者の女性たちが保護されていた場所を突き止めるために探偵を使っただろうと聞き、その探偵に用があると言った。すると、淀野が1人の女に視線を向け、その女・宇佐美秋子(今村美乃)は、自分がその探偵とのパイプ役になっていると明かす。その探偵こそが「死神」だと疑う玲奈は、探偵を連れて来てくれと頼むが、淀野はそれを遮ると、玲奈を処分すると言う。  　その頃、峰森琴葉(川口春奈)は、社員寮のリビングで玲奈からの電話を待ちわびていた。  　一方、スマ・リサーチ社では、探偵課の伊根涼子(高山侑子)が、病院で殺害された檜池(尾上寛之)の事件以来、会社に姿を見せない玲奈に対して不満を爆発させていた。そこへ須磨康臣(井浦新)がやってくると、涼子は須磨に食ってかかる。さらに、佐伯祐司(六角慎司)が同調するのを桐嶋颯太(DEAN　FUJIOKA)が制す。探偵たちの怒りを受け止めた須磨は、玲奈が何をしているのか調べてみるといいと言い放つ。  　その頃、琴葉から連絡を受けた窪塚悠馬(三浦貴大)は、玲奈を救出すべく車を走らせて…。北川景子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v>
      </c>
      <c r="O566" s="2"/>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row>
    <row r="567" ht="204.75" customHeight="1">
      <c r="A567" s="1">
        <v>2069.0</v>
      </c>
      <c r="B567" s="2" t="s">
        <v>1799</v>
      </c>
      <c r="C567" s="2">
        <f>IFERROR(__xludf.DUMMYFUNCTION("split(B567,""_"")"),1507.0)</f>
        <v>1507</v>
      </c>
      <c r="D567" s="2" t="str">
        <f>IFERROR(__xludf.DUMMYFUNCTION("""COMPUTED_VALUE"""),"CX")</f>
        <v>CX</v>
      </c>
      <c r="E567" s="2" t="str">
        <f>IFERROR(__xludf.DUMMYFUNCTION("""COMPUTED_VALUE"""),"木22")</f>
        <v>木22</v>
      </c>
      <c r="F567" s="2" t="s">
        <v>1800</v>
      </c>
      <c r="G567" s="2" t="s">
        <v>1822</v>
      </c>
      <c r="H567" s="1">
        <v>8.0</v>
      </c>
      <c r="I567" s="1" t="s">
        <v>29</v>
      </c>
      <c r="J567" s="1" t="s">
        <v>86</v>
      </c>
      <c r="K567" s="2" t="s">
        <v>1823</v>
      </c>
      <c r="L567" s="2" t="s">
        <v>1824</v>
      </c>
      <c r="M567" s="2" t="str">
        <f>IFERROR(__xludf.DUMMYFUNCTION("split(split(K567,""紗崎玲奈:　"",false),""http://www.fujitv.co.jp/tantei/"",false)"),"「ワールドカップバレーボール2015女子　日本×ドミニカ共和国」延長の際、放送時間繰り下げの場合あり。番組ホームページは『探偵の探偵』で検索!　  ")</f>
        <v>「ワールドカップバレーボール2015女子　日本×ドミニカ共和国」延長の際、放送時間繰り下げの場合あり。番組ホームページは『探偵の探偵』で検索!　  </v>
      </c>
      <c r="N567" s="2" t="str">
        <f>IFERROR(__xludf.DUMMYFUNCTION("""COMPUTED_VALUE"""),"　DV被害女性救出劇における惨劇の末、瀕死の重傷を負った窪塚悠馬(三浦貴大)は病院へと運ばれた。紗崎玲奈(北川景子)は、迎えに来た峰森琴葉(川口春奈)の車に乗り込むと、飛行場へ行くよう指示。玲奈は、窪塚に「傷害罪」という不名誉を残さないため、県警が上空から撮っていた映像を消去しようと考えたのだ。  　同じ頃、窪塚の容態を心配して東京から駆け付けた坂東志郎(相島一之)、長谷部憲保(渋谷謙人)、船瀬卓(阪田マサノブ)は、窪塚を巻き込んだことを許さない、と玲奈への怒りを新たにする。  　数日後、玲奈は取り調べを"&amp;"受けるために警察にいた。担当した船瀬と長谷部は、事件について知っていることをすべて話せと迫るが、玲奈は答えない。  　一方の琴葉は、探偵として単独で仕事をこなしていた。琴葉は、自由に動けない玲奈の分まで「対探偵」の仕事に取り組んでいたが、須磨康臣(井浦新)の指示で桐嶋颯太(DEAN　FUJIOKA)と組んで潜入捜査を行うことに。精神科の医師と看護師に扮(ふん)したふたりがやってきたのは、野放図の中心メンバーである宇佐美秋子(今村美乃)の自宅だった。本名を「さわやなぎなな」という「死神」についての情報を得る"&amp;"べく潜入したが…。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【音楽】"&amp;"  Nima　Fakhrara　    【主題歌】  「Beautiful　Chaser」超特急　feat.マーティー・フリードマン(SDR)　    【演出】  石井祐介　  品田俊介　  森脇智延　    【制作】  フジテレビドラマ制作センター")</f>
        <v>　DV被害女性救出劇における惨劇の末、瀕死の重傷を負った窪塚悠馬(三浦貴大)は病院へと運ばれた。紗崎玲奈(北川景子)は、迎えに来た峰森琴葉(川口春奈)の車に乗り込むと、飛行場へ行くよう指示。玲奈は、窪塚に「傷害罪」という不名誉を残さないため、県警が上空から撮っていた映像を消去しようと考えたのだ。  　同じ頃、窪塚の容態を心配して東京から駆け付けた坂東志郎(相島一之)、長谷部憲保(渋谷謙人)、船瀬卓(阪田マサノブ)は、窪塚を巻き込んだことを許さない、と玲奈への怒りを新たにする。  　数日後、玲奈は取り調べを受けるために警察にいた。担当した船瀬と長谷部は、事件について知っていることをすべて話せと迫るが、玲奈は答えない。  　一方の琴葉は、探偵として単独で仕事をこなしていた。琴葉は、自由に動けない玲奈の分まで「対探偵」の仕事に取り組んでいたが、須磨康臣(井浦新)の指示で桐嶋颯太(DEAN　FUJIOKA)と組んで潜入捜査を行うことに。精神科の医師と看護師に扮(ふん)したふたりがやってきたのは、野放図の中心メンバーである宇佐美秋子(今村美乃)の自宅だった。本名を「さわやなぎなな」という「死神」についての情報を得るべく潜入したが…。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v>
      </c>
      <c r="O567" s="2"/>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row>
    <row r="568" ht="204.75" customHeight="1">
      <c r="A568" s="1">
        <v>2070.0</v>
      </c>
      <c r="B568" s="2" t="s">
        <v>1799</v>
      </c>
      <c r="C568" s="2">
        <f>IFERROR(__xludf.DUMMYFUNCTION("split(B568,""_"")"),1507.0)</f>
        <v>1507</v>
      </c>
      <c r="D568" s="2" t="str">
        <f>IFERROR(__xludf.DUMMYFUNCTION("""COMPUTED_VALUE"""),"CX")</f>
        <v>CX</v>
      </c>
      <c r="E568" s="2" t="str">
        <f>IFERROR(__xludf.DUMMYFUNCTION("""COMPUTED_VALUE"""),"木22")</f>
        <v>木22</v>
      </c>
      <c r="F568" s="2" t="s">
        <v>1800</v>
      </c>
      <c r="G568" s="2" t="s">
        <v>1825</v>
      </c>
      <c r="H568" s="1">
        <v>9.0</v>
      </c>
      <c r="I568" s="1" t="s">
        <v>33</v>
      </c>
      <c r="J568" s="1" t="s">
        <v>86</v>
      </c>
      <c r="K568" s="2" t="s">
        <v>1826</v>
      </c>
      <c r="L568" s="2" t="s">
        <v>1827</v>
      </c>
      <c r="M568" s="2" t="str">
        <f>IFERROR(__xludf.DUMMYFUNCTION("split(split(K568,""紗崎玲奈:　"",false),""http://www.fujitv.co.jp/tantei/"",false)"),"番組ホームページは『探偵の探偵』で検索!　  ")</f>
        <v>番組ホームページは『探偵の探偵』で検索!　  </v>
      </c>
      <c r="N568" s="2" t="str">
        <f>IFERROR(__xludf.DUMMYFUNCTION("""COMPUTED_VALUE"""),"　紗崎玲奈(北川景子)は、峰森琴葉(川口春奈)とともに、高橋理佳(陽月華)という女性を訪ねる。理佳の兄は「澤柳菜々」と結婚したが、その8日後に不審死。疑念を抱いた理佳が「阿比留綜合探偵社」に相談に行ったことがあったからだ。玲奈は、澤柳に関する調査報告書を見る。そこには、高校の卒業アルバムのコピーがあり、当時の澤柳の写真が載っていた。琴葉は、写真を手がかりに澤柳の旧友をあたるが、同級生たちは澤柳を記憶していなかった。  　同じ頃、とある商工会議所で、探偵社の代表が集まる会議が開かれ、須磨康臣(井浦新)と桐嶋"&amp;"颯太(DEAN　FUJIOKA)が出席していた。そこで、玲奈が関わった事件に関して警察からクレームが来ていることが議題にあがる。須磨は事情説明を求められるが、関知していないと白を切る。  　玲奈と琴葉が「スマ・リサーチ社」で澤柳について調べていると、伊根涼子(高山侑子)が女性を連れて駆け込んでくる。女性は、先日の事件で窪塚悠馬(三浦貴大)が助けた市村凜(門脇麦)だった。暴力を振るう夫・沼園賢治(姜暢雄)から逃げて来たという。その後、玲奈は、凜にスマ・リサーチ社に来た理由を聞くと、凜はバッグから封筒を取り出"&amp;"した。そこには、玲奈の名前で、何かトラブルがあったらいつでも連絡して良い、と書かれていた。さらに、同じ書類が他のDV被害者の女性にも届いていることが発覚。身に覚えのない玲奈は…。北川景子　  川口春奈　  三浦貴大　  DEAN　FUJIOKA　  伊藤正之　  六角慎司　  高山侑子　  渋谷謙人　  阪田マサノブ　  芳根京子  　　・　　  相島一之　  中村ゆり　  佐戸井けん太  　　・　　  ユースケ・サンタマリア  　　・　　  高岡早紀　  井浦新　    他【原作】  松岡圭祐「探偵の探"&amp;"偵」「探偵の探偵II」「探偵の探偵III」(講談社文庫刊)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f>
        <v>　紗崎玲奈(北川景子)は、峰森琴葉(川口春奈)とともに、高橋理佳(陽月華)という女性を訪ねる。理佳の兄は「澤柳菜々」と結婚したが、その8日後に不審死。疑念を抱いた理佳が「阿比留綜合探偵社」に相談に行ったことがあったからだ。玲奈は、澤柳に関する調査報告書を見る。そこには、高校の卒業アルバムのコピーがあり、当時の澤柳の写真が載っていた。琴葉は、写真を手がかりに澤柳の旧友をあたるが、同級生たちは澤柳を記憶していなかった。  　同じ頃、とある商工会議所で、探偵社の代表が集まる会議が開かれ、須磨康臣(井浦新)と桐嶋颯太(DEAN　FUJIOKA)が出席していた。そこで、玲奈が関わった事件に関して警察からクレームが来ていることが議題にあがる。須磨は事情説明を求められるが、関知していないと白を切る。  　玲奈と琴葉が「スマ・リサーチ社」で澤柳について調べていると、伊根涼子(高山侑子)が女性を連れて駆け込んでくる。女性は、先日の事件で窪塚悠馬(三浦貴大)が助けた市村凜(門脇麦)だった。暴力を振るう夫・沼園賢治(姜暢雄)から逃げて来たという。その後、玲奈は、凜にスマ・リサーチ社に来た理由を聞くと、凜はバッグから封筒を取り出した。そこには、玲奈の名前で、何かトラブルがあったらいつでも連絡して良い、と書かれていた。さらに、同じ書類が他のDV被害者の女性にも届いていることが発覚。身に覚えのない玲奈は…。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v>
      </c>
      <c r="O568" s="2"/>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row>
    <row r="569" ht="204.75" customHeight="1">
      <c r="A569" s="1">
        <v>2071.0</v>
      </c>
      <c r="B569" s="2" t="s">
        <v>1799</v>
      </c>
      <c r="C569" s="2">
        <f>IFERROR(__xludf.DUMMYFUNCTION("split(B569,""_"")"),1507.0)</f>
        <v>1507</v>
      </c>
      <c r="D569" s="2" t="str">
        <f>IFERROR(__xludf.DUMMYFUNCTION("""COMPUTED_VALUE"""),"CX")</f>
        <v>CX</v>
      </c>
      <c r="E569" s="2" t="str">
        <f>IFERROR(__xludf.DUMMYFUNCTION("""COMPUTED_VALUE"""),"木22")</f>
        <v>木22</v>
      </c>
      <c r="F569" s="2" t="s">
        <v>1800</v>
      </c>
      <c r="G569" s="2" t="s">
        <v>1828</v>
      </c>
      <c r="H569" s="1">
        <v>10.0</v>
      </c>
      <c r="I569" s="1" t="s">
        <v>37</v>
      </c>
      <c r="J569" s="1" t="s">
        <v>86</v>
      </c>
      <c r="K569" s="2" t="s">
        <v>1829</v>
      </c>
      <c r="L569" s="2" t="s">
        <v>1830</v>
      </c>
      <c r="M569" s="2" t="str">
        <f>IFERROR(__xludf.DUMMYFUNCTION("split(split(K569,""紗崎玲奈:　"",false),""http://www.fujitv.co.jp/tantei/"",false)"),"「ワールドカップバレーボール2015男子　日本×オーストラリア」延長の際、放送時間繰り下げの場合あり。番組ホームページは『探偵の探偵』で検索!　  ")</f>
        <v>「ワールドカップバレーボール2015男子　日本×オーストラリア」延長の際、放送時間繰り下げの場合あり。番組ホームページは『探偵の探偵』で検索!　  </v>
      </c>
      <c r="N569" s="2" t="str">
        <f>IFERROR(__xludf.DUMMYFUNCTION("""COMPUTED_VALUE"""),"　紗崎玲奈(北川景子)が、スタンガンで倒した男は鴨居秀一(梶原善)という探偵だった。なぜ、正規の探偵事務所が自分をマークしているのか、と聞く玲奈に、狙っているのは自分だけではない、と答える。事実、児玉庄治(葛山信吾)、黒川勇介(袴田吉彦)というふたりの探偵も玲奈の前に姿を現した。3人は、別の探偵事務所の「対探偵課」に所属する探偵だという。そんな玲奈と男たちのやりとりを、密かに見つめる人影がいた。　その頃、織田彩音(中村ゆり)から自殺をほのめかすメールを受け取った峰森琴葉(川口春奈)は、市村凜(門脇麦)を潜"&amp;"伏先に残して彩音の元に駆けつけた。そこは踏み切りで、彩音はやって来た琴葉をぼんやりと見つめる。姉の無事に安堵(あんど)した琴葉に、彩音は「菜々」という名前を口にした。  　同じ頃、「スマ・リサーチ社」に公安委員会から15日間の営業停止命令が下ったことが、須磨康臣(井浦新)により報告された。土井修三(伊藤正之)は、警察が玲奈の逮捕に向けて本腰を入れてきたのだろう、との見解を明かした。  　一方、玲奈はウィークリーマンションで「死神」を待っていた。そこへ、リュックを背負いゴーグルとマスクをした男が入って来る。"&amp;"凜に暴力を振るっていた沼園賢治(姜暢雄)だった。沼園は、背負った噴霧器から玲奈に向かってガスを噴射。激しい呼吸困難に陥った玲奈に向かい、凜の居場所を教えろ、と迫る。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松岡圭祐「探偵の探偵」「探偵の探"&amp;"偵II」「探偵の探偵III」(講談社文庫刊)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f>
        <v>　紗崎玲奈(北川景子)が、スタンガンで倒した男は鴨居秀一(梶原善)という探偵だった。なぜ、正規の探偵事務所が自分をマークしているのか、と聞く玲奈に、狙っているのは自分だけではない、と答える。事実、児玉庄治(葛山信吾)、黒川勇介(袴田吉彦)というふたりの探偵も玲奈の前に姿を現した。3人は、別の探偵事務所の「対探偵課」に所属する探偵だという。そんな玲奈と男たちのやりとりを、密かに見つめる人影がいた。　その頃、織田彩音(中村ゆり)から自殺をほのめかすメールを受け取った峰森琴葉(川口春奈)は、市村凜(門脇麦)を潜伏先に残して彩音の元に駆けつけた。そこは踏み切りで、彩音はやって来た琴葉をぼんやりと見つめる。姉の無事に安堵(あんど)した琴葉に、彩音は「菜々」という名前を口にした。  　同じ頃、「スマ・リサーチ社」に公安委員会から15日間の営業停止命令が下ったことが、須磨康臣(井浦新)により報告された。土井修三(伊藤正之)は、警察が玲奈の逮捕に向けて本腰を入れてきたのだろう、との見解を明かした。  　一方、玲奈はウィークリーマンションで「死神」を待っていた。そこへ、リュックを背負いゴーグルとマスクをした男が入って来る。凜に暴力を振るっていた沼園賢治(姜暢雄)だった。沼園は、背負った噴霧器から玲奈に向かってガスを噴射。激しい呼吸困難に陥った玲奈に向かい、凜の居場所を教えろ、と迫る。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v>
      </c>
      <c r="O569" s="2"/>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row>
    <row r="570" ht="204.75" customHeight="1">
      <c r="A570" s="1">
        <v>2072.0</v>
      </c>
      <c r="B570" s="2" t="s">
        <v>1799</v>
      </c>
      <c r="C570" s="2">
        <f>IFERROR(__xludf.DUMMYFUNCTION("split(B570,""_"")"),1507.0)</f>
        <v>1507</v>
      </c>
      <c r="D570" s="2" t="str">
        <f>IFERROR(__xludf.DUMMYFUNCTION("""COMPUTED_VALUE"""),"CX")</f>
        <v>CX</v>
      </c>
      <c r="E570" s="2" t="str">
        <f>IFERROR(__xludf.DUMMYFUNCTION("""COMPUTED_VALUE"""),"木22")</f>
        <v>木22</v>
      </c>
      <c r="F570" s="2" t="s">
        <v>1800</v>
      </c>
      <c r="G570" s="2" t="s">
        <v>1831</v>
      </c>
      <c r="H570" s="1">
        <v>11.0</v>
      </c>
      <c r="I570" s="1" t="s">
        <v>41</v>
      </c>
      <c r="J570" s="1" t="s">
        <v>86</v>
      </c>
      <c r="K570" s="2" t="s">
        <v>1832</v>
      </c>
      <c r="L570" s="2" t="s">
        <v>1833</v>
      </c>
      <c r="M570" s="2" t="str">
        <f>IFERROR(__xludf.DUMMYFUNCTION("split(split(K570,""紗崎玲奈:　"",false),""http://www.fujitv.co.jp/tantei/"",false)"),"「ワールドカップバレーボール2015男子　日本×ベネズエラ」延長の際、放送時間繰り下げの場合あり。番組ホームページは『探偵の探偵』で検索!　  ")</f>
        <v>「ワールドカップバレーボール2015男子　日本×ベネズエラ」延長の際、放送時間繰り下げの場合あり。番組ホームページは『探偵の探偵』で検索!　  </v>
      </c>
      <c r="N570" s="2" t="str">
        <f>IFERROR(__xludf.DUMMYFUNCTION("""COMPUTED_VALUE"""),"　紗崎玲奈(北川景子)は、目の前に立つ市村凜(門脇麦)に、あなたが死神なのか、と尋ねた。凜はそれに答えず、自分の偽装工作を見抜けなかったことが悔しいか、と玲奈に言う。そこで、峰森琴葉(川口春奈)が口をはさむと、凜は以前とは別人のような口調で、お前は黙っていろ、と怒鳴りつける。凜は、これまでに自分が犯した数々の犯罪について、饒舌(じょうぜつ)に話す。それを冷静に聞く玲奈に凜は、いつもはすぐに手を出すのに、なぜ襲って来ないのだ、と挑発。玲奈は、もしも自分が凜を襲えば、拘束している琴葉か織田彩音(中村ゆり)を傷"&amp;"つけるつもりだろう、と答えた。  　凜は、「スマ・リサーチ社」社内の監視カメラにも、通報装置にも細工をしたので、管理会社が異変に気づくのは明日の朝になるだろうし、さらに、筋弛緩剤を打たれた彩音はあと20分ほどで呼吸が止まるだろう、と言った。  　玲奈は、核心に迫る思いで、紗崎咲良(芳根京子)を殺害したストーカーの岡尾芯也(岡田義徳)の依頼を受けたことに罪はないと思っているのか、と聞くと、凜は平然と、ないと思っていると答え、さらに、岡尾が咲良を殺害する様を見ていたことを明かした。ケラケラと笑いながら咲良の最"&amp;"期の様子を話す凜に、玲奈の中で何かが切れた。デスクの上にあった工具を手に取ると、凜に向かって突進する・・・。北川景子　  川口春奈　  三浦貴大　  DEAN　FUJIOKA　  伊藤正之　  六角慎司　  高山侑子　  渋谷謙人　  阪田マサノブ　  芳根京子  　　・　　  相島一之　  中村ゆり　  佐戸井けん太  　　・　　  門脇麦  　　・　　  井浦新　    他【原作】  松岡圭祐「探偵の探偵」「探偵の探偵II」「探偵の探偵III」(講談社文庫刊)　    【脚本】  徳永友一　    【"&amp;"プロデュース】  渡辺恒也　  草ヶ谷大輔　    【音楽】  Nima　Fakhrara　    【主題歌】  「Beautiful　Chaser」超特急　feat.マーティー・フリードマン(SDR)　    【演出】  石井祐介　  品田俊介　  森脇智延　    【制作】  フジテレビドラマ制作センター")</f>
        <v>　紗崎玲奈(北川景子)は、目の前に立つ市村凜(門脇麦)に、あなたが死神なのか、と尋ねた。凜はそれに答えず、自分の偽装工作を見抜けなかったことが悔しいか、と玲奈に言う。そこで、峰森琴葉(川口春奈)が口をはさむと、凜は以前とは別人のような口調で、お前は黙っていろ、と怒鳴りつける。凜は、これまでに自分が犯した数々の犯罪について、饒舌(じょうぜつ)に話す。それを冷静に聞く玲奈に凜は、いつもはすぐに手を出すのに、なぜ襲って来ないのだ、と挑発。玲奈は、もしも自分が凜を襲えば、拘束している琴葉か織田彩音(中村ゆり)を傷つけるつもりだろう、と答えた。  　凜は、「スマ・リサーチ社」社内の監視カメラにも、通報装置にも細工をしたので、管理会社が異変に気づくのは明日の朝になるだろうし、さらに、筋弛緩剤を打たれた彩音はあと20分ほどで呼吸が止まるだろう、と言った。  　玲奈は、核心に迫る思いで、紗崎咲良(芳根京子)を殺害したストーカーの岡尾芯也(岡田義徳)の依頼を受けたことに罪はないと思っているのか、と聞くと、凜は平然と、ないと思っていると答え、さらに、岡尾が咲良を殺害する様を見ていたことを明かした。ケラケラと笑いながら咲良の最期の様子を話す凜に、玲奈の中で何かが切れた。デスクの上にあった工具を手に取ると、凜に向かって突進する・・・。北川景子　  川口春奈　  三浦貴大　  DEAN　FUJIOKA　  伊藤正之　  六角慎司　  高山侑子　  渋谷謙人　  阪田マサノブ　  芳根京子  　　・　　  相島一之　  中村ゆり　  佐戸井けん太  　　・　　  門脇麦  　　・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v>
      </c>
      <c r="O570" s="2"/>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row>
    <row r="571" ht="204.75" customHeight="1">
      <c r="A571" s="1">
        <v>2130.0</v>
      </c>
      <c r="B571" s="2" t="s">
        <v>1834</v>
      </c>
      <c r="C571" s="2">
        <f>IFERROR(__xludf.DUMMYFUNCTION("split(B571,""_"")"),1504.0)</f>
        <v>1504</v>
      </c>
      <c r="D571" s="2" t="str">
        <f>IFERROR(__xludf.DUMMYFUNCTION("""COMPUTED_VALUE"""),"CX")</f>
        <v>CX</v>
      </c>
      <c r="E571" s="2" t="str">
        <f>IFERROR(__xludf.DUMMYFUNCTION("""COMPUTED_VALUE"""),"月21")</f>
        <v>月21</v>
      </c>
      <c r="F571" s="2" t="s">
        <v>1835</v>
      </c>
      <c r="G571" s="2" t="s">
        <v>1836</v>
      </c>
      <c r="H571" s="1">
        <v>1.0</v>
      </c>
      <c r="I571" s="1" t="s">
        <v>3</v>
      </c>
      <c r="J571" s="1" t="s">
        <v>4</v>
      </c>
      <c r="K571" s="4" t="s">
        <v>1837</v>
      </c>
      <c r="L571" s="2" t="s">
        <v>1838</v>
      </c>
      <c r="M571" s="2" t="str">
        <f>IFERROR(__xludf.DUMMYFUNCTION("split(split(K571,""相葉雅紀　"",false),""wagayae/"",false)"),"ドラマを生で見よう!各ドラマ総額100万円が当たる『DRAMA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詳しくは各ドラマのHPをご覧ください!【番組公式ホームページ】  http://www.fujitv.co.jp/")</f>
        <v>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詳しくは各ドラマのHPをご覧ください!【番組公式ホームページ】  http://www.fujitv.co.jp/</v>
      </c>
      <c r="N571" s="2" t="str">
        <f>IFERROR(__xludf.DUMMYFUNCTION("""COMPUTED_VALUE"""),"　とある郊外の一軒家。そこには長男の倉田健太(相葉雅紀)、父親の太一(寺尾聰)、長女の七菜(有村架純)、母親の珪子(南果歩)の家族4人が暮らしている。  　健太は人と争うのが苦手で、つい相手に合わせてしまう気弱な青年。職業はデザイナーだが自己主張のない作品ばかりで売れていない。太一は健太とそっくりな気弱な男性。勤めている大手都市銀行の出世レースから脱落し、今は取引先の中小企業に出向中だ。七菜は大学生で今は就活中。元カレに追い回されていることに悩んでいる。専業主婦の珪子は子育ても一段落し、自分の時間を作ろう"&amp;"と陶芸教室に通っている。  　幸せとは言い切れないが不幸せではない、平凡な家族の日々。それは突然、終わりを告げた。  　ある日のこと、健太は駅のホームで割り込み乗車をしようとした男を注意する。たまたま居合わせた神取明日香(沢尻エリカ)は「とても立派だったと思います」と声を掛けた。誇らしさが込み上げる健太だが、注意された男は、なんと健太を尾行してくる。自宅付近でまくことができたが翌朝、家の花壇の花が無残にもすべて引き抜かれていた。  　あの男がやったのだろうかー?疑惑が頭から離れない健太は、駅のホームでまた"&amp;"しても明日香と出くわし、明日香の意外な正体が明らかに…。  　時を同じくして太一は会社で不正の疑惑を見つける。よもや、それが姿の見えない謀略との闘いの始まりとは知らずに…。")</f>
        <v>　とある郊外の一軒家。そこには長男の倉田健太(相葉雅紀)、父親の太一(寺尾聰)、長女の七菜(有村架純)、母親の珪子(南果歩)の家族4人が暮らしている。  　健太は人と争うのが苦手で、つい相手に合わせてしまう気弱な青年。職業はデザイナーだが自己主張のない作品ばかりで売れていない。太一は健太とそっくりな気弱な男性。勤めている大手都市銀行の出世レースから脱落し、今は取引先の中小企業に出向中だ。七菜は大学生で今は就活中。元カレに追い回されていることに悩んでいる。専業主婦の珪子は子育ても一段落し、自分の時間を作ろうと陶芸教室に通っている。  　幸せとは言い切れないが不幸せではない、平凡な家族の日々。それは突然、終わりを告げた。  　ある日のこと、健太は駅のホームで割り込み乗車をしようとした男を注意する。たまたま居合わせた神取明日香(沢尻エリカ)は「とても立派だったと思います」と声を掛けた。誇らしさが込み上げる健太だが、注意された男は、なんと健太を尾行してくる。自宅付近でまくことができたが翌朝、家の花壇の花が無残にもすべて引き抜かれていた。  　あの男がやったのだろうかー?疑惑が頭から離れない健太は、駅のホームでまたしても明日香と出くわし、明日香の意外な正体が明らかに…。  　時を同じくして太一は会社で不正の疑惑を見つける。よもや、それが姿の見えない謀略との闘いの始まりとは知らずに…。</v>
      </c>
      <c r="O571" s="2"/>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row>
    <row r="572" ht="204.75" customHeight="1">
      <c r="A572" s="1">
        <v>2131.0</v>
      </c>
      <c r="B572" s="2" t="s">
        <v>1834</v>
      </c>
      <c r="C572" s="2">
        <f>IFERROR(__xludf.DUMMYFUNCTION("split(B572,""_"")"),1504.0)</f>
        <v>1504</v>
      </c>
      <c r="D572" s="2" t="str">
        <f>IFERROR(__xludf.DUMMYFUNCTION("""COMPUTED_VALUE"""),"CX")</f>
        <v>CX</v>
      </c>
      <c r="E572" s="2" t="str">
        <f>IFERROR(__xludf.DUMMYFUNCTION("""COMPUTED_VALUE"""),"月21")</f>
        <v>月21</v>
      </c>
      <c r="F572" s="2" t="s">
        <v>1835</v>
      </c>
      <c r="G572" s="2" t="s">
        <v>1839</v>
      </c>
      <c r="H572" s="1">
        <v>2.0</v>
      </c>
      <c r="I572" s="1" t="s">
        <v>7</v>
      </c>
      <c r="J572" s="1" t="s">
        <v>4</v>
      </c>
      <c r="K572" s="2" t="s">
        <v>1840</v>
      </c>
      <c r="L572" s="2" t="s">
        <v>1841</v>
      </c>
      <c r="M572" s="2" t="str">
        <f>IFERROR(__xludf.DUMMYFUNCTION("split(split(K572,""相葉雅紀　"",false),""wagayae/"",false)"),"ドラマを生で見よう!各ドラマ総額100万円が当たる『DRAMA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詳しくは各ドラマのHPをご覧ください!【番組公式ホームページ】  http://www.fujitv.co.jp/")</f>
        <v>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詳しくは各ドラマのHPをご覧ください!【番組公式ホームページ】  http://www.fujitv.co.jp/</v>
      </c>
      <c r="N572" s="2" t="str">
        <f>IFERROR(__xludf.DUMMYFUNCTION("""COMPUTED_VALUE"""),"　ある日、突然、理不尽な悪意にさらされることとなった倉田家。ポストに傷つけられた猫が入れられ、不気味なFAXを自宅に送りつけられた健太(相葉雅紀)は、警察に通報する。やってきた警官に父の太一(寺尾聰)は、家に届いたFAXから犯人を突き止められないか要請。一方、傷ついた猫は治療を受け、七菜(有村架純)の提案から倉田家で飼う事になった。　太一が『ナカノ電子部品』に出社すると、先日、不正を指摘しながら返り討ちにされた営業部長・真瀬博樹(竹中直人)にやゆされる。そんな真瀬の新たな不正の疑惑を、部下の西沢摂子(山口"&amp;"紗弥加)から報告される。今度は接待費の横領だった。  　陶芸教室に通う珪子(南果歩)は、講師の波戸清治(眞島秀和)からお茶に誘われる。断ろうとする珪子だが、主婦仲間の下村民子(堀内敬子)の勧めもあり行く事にした。　健太は、ひょんなことから知り合った女性記者・神取明日香(沢尻エリカ)に会うため、勤めている出版社へ。そして健太は明日香に、あれから自宅に起こった出来事を話す。")</f>
        <v>　ある日、突然、理不尽な悪意にさらされることとなった倉田家。ポストに傷つけられた猫が入れられ、不気味なFAXを自宅に送りつけられた健太(相葉雅紀)は、警察に通報する。やってきた警官に父の太一(寺尾聰)は、家に届いたFAXから犯人を突き止められないか要請。一方、傷ついた猫は治療を受け、七菜(有村架純)の提案から倉田家で飼う事になった。　太一が『ナカノ電子部品』に出社すると、先日、不正を指摘しながら返り討ちにされた営業部長・真瀬博樹(竹中直人)にやゆされる。そんな真瀬の新たな不正の疑惑を、部下の西沢摂子(山口紗弥加)から報告される。今度は接待費の横領だった。  　陶芸教室に通う珪子(南果歩)は、講師の波戸清治(眞島秀和)からお茶に誘われる。断ろうとする珪子だが、主婦仲間の下村民子(堀内敬子)の勧めもあり行く事にした。　健太は、ひょんなことから知り合った女性記者・神取明日香(沢尻エリカ)に会うため、勤めている出版社へ。そして健太は明日香に、あれから自宅に起こった出来事を話す。</v>
      </c>
      <c r="O572" s="2"/>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row>
    <row r="573" ht="204.75" customHeight="1">
      <c r="A573" s="1">
        <v>2132.0</v>
      </c>
      <c r="B573" s="2" t="s">
        <v>1834</v>
      </c>
      <c r="C573" s="2">
        <f>IFERROR(__xludf.DUMMYFUNCTION("split(B573,""_"")"),1504.0)</f>
        <v>1504</v>
      </c>
      <c r="D573" s="2" t="str">
        <f>IFERROR(__xludf.DUMMYFUNCTION("""COMPUTED_VALUE"""),"CX")</f>
        <v>CX</v>
      </c>
      <c r="E573" s="2" t="str">
        <f>IFERROR(__xludf.DUMMYFUNCTION("""COMPUTED_VALUE"""),"月21")</f>
        <v>月21</v>
      </c>
      <c r="F573" s="2" t="s">
        <v>1835</v>
      </c>
      <c r="G573" s="2" t="s">
        <v>1842</v>
      </c>
      <c r="H573" s="1">
        <v>3.0</v>
      </c>
      <c r="I573" s="1" t="s">
        <v>10</v>
      </c>
      <c r="J573" s="1" t="s">
        <v>11</v>
      </c>
      <c r="K573" s="2" t="s">
        <v>1843</v>
      </c>
      <c r="L573" s="2" t="s">
        <v>1844</v>
      </c>
      <c r="M573" s="2" t="str">
        <f>IFERROR(__xludf.DUMMYFUNCTION("split(split(K573,""相葉雅紀　"",false),""wagayae/"",false)"),"【番組公式ホームページ】  http://www.fujitv.co.jp/")</f>
        <v>【番組公式ホームページ】  http://www.fujitv.co.jp/</v>
      </c>
      <c r="N573" s="2" t="str">
        <f>IFERROR(__xludf.DUMMYFUNCTION("""COMPUTED_VALUE"""),"　倉田家の自動車が深夜、何者かに傷つけられた。健太(相葉雅紀)は、『円タウン出版社』で神取明日香(沢尻エリカ)と、自宅に取り付けておいた防犯カメラが捉えた映像を検証する。すると、深夜に自動車に近寄る人物が映っていた。しかし、その人物はカメラの存在を知っていたかのように体を隠している。明日香は倉田家の誰かが、カメラのことを第三者に話したのではないかと疑う。そのまま映像を見ていると、明け方に不審な車が倉田家の前に停まっていた事も判明した。  　太一(寺尾聰)は、会社にFAXで送られた西沢摂子(山口紗弥加)との"&amp;"密会をほのめかす怪文書を社長の持川徹(近藤芳正)に釈明。持川は怪文書の内容は意に介さなかったが、太一と摂子に注意するようにと伝えた。社長室を出た2人は真瀬博樹(竹中直人)が怪文書の犯人ではないかと疑う。  　その夜、倉田家に新たな嫌がらせが行われた。七菜(有村架純)がアナウンサー試験の4次面接に受かった事を健太に報告していると、自宅前にバイクが止まる。宅配のピザが大量に届いたのだ。珪子(南果歩)が受け取りを拒まなかったため、家族の夕食はピザに。そんな夕食を食べながら、健太は防犯カメラの映像を家族に見せる。"&amp;"そして、カメラの話を他人にしたかと聞くが、妹の七菜を含め誰も心当たりがない。すると、倉田家の不安を見透かしたかのようにリビングに無言電話が…。")</f>
        <v>　倉田家の自動車が深夜、何者かに傷つけられた。健太(相葉雅紀)は、『円タウン出版社』で神取明日香(沢尻エリカ)と、自宅に取り付けておいた防犯カメラが捉えた映像を検証する。すると、深夜に自動車に近寄る人物が映っていた。しかし、その人物はカメラの存在を知っていたかのように体を隠している。明日香は倉田家の誰かが、カメラのことを第三者に話したのではないかと疑う。そのまま映像を見ていると、明け方に不審な車が倉田家の前に停まっていた事も判明した。  　太一(寺尾聰)は、会社にFAXで送られた西沢摂子(山口紗弥加)との密会をほのめかす怪文書を社長の持川徹(近藤芳正)に釈明。持川は怪文書の内容は意に介さなかったが、太一と摂子に注意するようにと伝えた。社長室を出た2人は真瀬博樹(竹中直人)が怪文書の犯人ではないかと疑う。  　その夜、倉田家に新たな嫌がらせが行われた。七菜(有村架純)がアナウンサー試験の4次面接に受かった事を健太に報告していると、自宅前にバイクが止まる。宅配のピザが大量に届いたのだ。珪子(南果歩)が受け取りを拒まなかったため、家族の夕食はピザに。そんな夕食を食べながら、健太は防犯カメラの映像を家族に見せる。そして、カメラの話を他人にしたかと聞くが、妹の七菜を含め誰も心当たりがない。すると、倉田家の不安を見透かしたかのようにリビングに無言電話が…。</v>
      </c>
      <c r="O573" s="2"/>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row>
    <row r="574" ht="204.75" customHeight="1">
      <c r="A574" s="1">
        <v>2133.0</v>
      </c>
      <c r="B574" s="2" t="s">
        <v>1834</v>
      </c>
      <c r="C574" s="2">
        <f>IFERROR(__xludf.DUMMYFUNCTION("split(B574,""_"")"),1504.0)</f>
        <v>1504</v>
      </c>
      <c r="D574" s="2" t="str">
        <f>IFERROR(__xludf.DUMMYFUNCTION("""COMPUTED_VALUE"""),"CX")</f>
        <v>CX</v>
      </c>
      <c r="E574" s="2" t="str">
        <f>IFERROR(__xludf.DUMMYFUNCTION("""COMPUTED_VALUE"""),"月21")</f>
        <v>月21</v>
      </c>
      <c r="F574" s="2" t="s">
        <v>1835</v>
      </c>
      <c r="G574" s="2" t="s">
        <v>1845</v>
      </c>
      <c r="H574" s="1">
        <v>4.0</v>
      </c>
      <c r="I574" s="1" t="s">
        <v>14</v>
      </c>
      <c r="J574" s="1" t="s">
        <v>11</v>
      </c>
      <c r="K574" s="2" t="s">
        <v>1846</v>
      </c>
      <c r="L574" s="2" t="s">
        <v>1847</v>
      </c>
      <c r="M574" s="2" t="str">
        <f>IFERROR(__xludf.DUMMYFUNCTION("split(split(K574,""相葉雅紀　"",false),""wagayae/"",false)"),"【番組公式ホームページ】  http://www.fujitv.co.jp/")</f>
        <v>【番組公式ホームページ】  http://www.fujitv.co.jp/</v>
      </c>
      <c r="N574" s="2" t="str">
        <f>IFERROR(__xludf.DUMMYFUNCTION("""COMPUTED_VALUE"""),"　相次ぐストーカーからの嫌がらせに悩む倉田家。ついに何者かが家の中に忍び込んだ。飼い猫、ガスの首輪に「おじゃましました」というメモが巻かれていたのだ。健太(相葉雅紀)は、防犯カメラの映像を確認するも、忍び込む姿はどこにも写っていない…。  　その夜、健太は太一(寺尾聰)と就寝前に自宅の周辺を見回りに行く。太一は珪子(南果歩)と七菜(有村架純)には、これ以上怖い思いをさせたくないと話す。そんな太一に健太はスマートフォンで撮影した、ある画像を見せた。  　翌日、『ナカノ電子部品』に出社した太一は、西沢摂子(山"&amp;"口紗弥加)を会議室に呼ぶ。太一は『アサヒ電子』の件で、なぜ不正の疑惑のある真瀬博樹(竹中直人)をかばったのかを尋ねる。答えようとしない摂子に、太一は健太が撮った画像を見せた。それは、熟女パブで摂子が働き、さらに真瀬を接待している姿だった。摂子は母親の介護医療費を捻出するために副業として働いているのだが、『ナカノ電子部品』ではアルバイトは禁止されている。そのため、真瀬に脅されていたのだ。太一は摂子に、このピンチを乗り切る方法を探そうと提案。すると摂子はアイデアを思いつく。  　健太は神取明日香(沢尻エリカ)"&amp;"に、昨日の出来事を話す。そしてあることに気づく。ストーカーは、家に誰もいないことを知っていたのではないだろうか。つまり、家の中に盗聴器が仕掛けられているのではないだろうか、と…。")</f>
        <v>　相次ぐストーカーからの嫌がらせに悩む倉田家。ついに何者かが家の中に忍び込んだ。飼い猫、ガスの首輪に「おじゃましました」というメモが巻かれていたのだ。健太(相葉雅紀)は、防犯カメラの映像を確認するも、忍び込む姿はどこにも写っていない…。  　その夜、健太は太一(寺尾聰)と就寝前に自宅の周辺を見回りに行く。太一は珪子(南果歩)と七菜(有村架純)には、これ以上怖い思いをさせたくないと話す。そんな太一に健太はスマートフォンで撮影した、ある画像を見せた。  　翌日、『ナカノ電子部品』に出社した太一は、西沢摂子(山口紗弥加)を会議室に呼ぶ。太一は『アサヒ電子』の件で、なぜ不正の疑惑のある真瀬博樹(竹中直人)をかばったのかを尋ねる。答えようとしない摂子に、太一は健太が撮った画像を見せた。それは、熟女パブで摂子が働き、さらに真瀬を接待している姿だった。摂子は母親の介護医療費を捻出するために副業として働いているのだが、『ナカノ電子部品』ではアルバイトは禁止されている。そのため、真瀬に脅されていたのだ。太一は摂子に、このピンチを乗り切る方法を探そうと提案。すると摂子はアイデアを思いつく。  　健太は神取明日香(沢尻エリカ)に、昨日の出来事を話す。そしてあることに気づく。ストーカーは、家に誰もいないことを知っていたのではないだろうか。つまり、家の中に盗聴器が仕掛けられているのではないだろうか、と…。</v>
      </c>
      <c r="O574" s="2"/>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row>
    <row r="575" ht="204.75" customHeight="1">
      <c r="A575" s="1">
        <v>2134.0</v>
      </c>
      <c r="B575" s="2" t="s">
        <v>1834</v>
      </c>
      <c r="C575" s="2">
        <f>IFERROR(__xludf.DUMMYFUNCTION("split(B575,""_"")"),1504.0)</f>
        <v>1504</v>
      </c>
      <c r="D575" s="2" t="str">
        <f>IFERROR(__xludf.DUMMYFUNCTION("""COMPUTED_VALUE"""),"CX")</f>
        <v>CX</v>
      </c>
      <c r="E575" s="2" t="str">
        <f>IFERROR(__xludf.DUMMYFUNCTION("""COMPUTED_VALUE"""),"月21")</f>
        <v>月21</v>
      </c>
      <c r="F575" s="2" t="s">
        <v>1835</v>
      </c>
      <c r="G575" s="2" t="s">
        <v>1848</v>
      </c>
      <c r="H575" s="1">
        <v>5.0</v>
      </c>
      <c r="I575" s="1" t="s">
        <v>17</v>
      </c>
      <c r="J575" s="1" t="s">
        <v>11</v>
      </c>
      <c r="K575" s="2" t="s">
        <v>1849</v>
      </c>
      <c r="L575" s="2" t="s">
        <v>1850</v>
      </c>
      <c r="M575" s="2" t="str">
        <f>IFERROR(__xludf.DUMMYFUNCTION("split(split(K575,""相葉雅紀　"",false),""wagayae/"",false)"),"【番組公式ホームページ】  http://www.fujitv.co.jp/")</f>
        <v>【番組公式ホームページ】  http://www.fujitv.co.jp/</v>
      </c>
      <c r="N575" s="2" t="str">
        <f>IFERROR(__xludf.DUMMYFUNCTION("""COMPUTED_VALUE"""),"　  第5話の放送はプレゼント告知あります!　倉田家で、また金が盗まれた。リビングに仕掛けた防犯カメラの映像から健太(相葉雅紀)は、意外な犯人に驚く。そこに珪子(南果歩)が来て、盗まれた金が戻っていたと告げた。珪子は、盗まれたと思ったのは勘違いで、金は七菜(有村架純)が見つけたと言うのだ。しかし、健太は金をとった人物を知っている。その人物と話した健太は、何者かに脅されての行動だったことを聞かされる。そんな時、健太に蟹江秀太朗(佐藤二朗)から電話がかかってくる。神取明日香(沢尻エリカ)が、誰かに階段で突き飛"&amp;"ばされて落下したという。明日香の容体は、果たして…。健太は、脱兎のごとく家を飛び出した。  　一方、『ナカノ電子部品』では、太一(寺尾聰)が西沢摂子(山口紗弥加)から、新たな問題の報告を受ける。今度は商品の在庫が合わないと言うのだ。商品の担当は真瀬博樹(竹中直人)だった。太一は真瀬に尋ねるが、また勘違いではないかと取りつく島もなく…。")</f>
        <v>　  第5話の放送はプレゼント告知あります!　倉田家で、また金が盗まれた。リビングに仕掛けた防犯カメラの映像から健太(相葉雅紀)は、意外な犯人に驚く。そこに珪子(南果歩)が来て、盗まれた金が戻っていたと告げた。珪子は、盗まれたと思ったのは勘違いで、金は七菜(有村架純)が見つけたと言うのだ。しかし、健太は金をとった人物を知っている。その人物と話した健太は、何者かに脅されての行動だったことを聞かされる。そんな時、健太に蟹江秀太朗(佐藤二朗)から電話がかかってくる。神取明日香(沢尻エリカ)が、誰かに階段で突き飛ばされて落下したという。明日香の容体は、果たして…。健太は、脱兎のごとく家を飛び出した。  　一方、『ナカノ電子部品』では、太一(寺尾聰)が西沢摂子(山口紗弥加)から、新たな問題の報告を受ける。今度は商品の在庫が合わないと言うのだ。商品の担当は真瀬博樹(竹中直人)だった。太一は真瀬に尋ねるが、また勘違いではないかと取りつく島もなく…。</v>
      </c>
      <c r="O575" s="2"/>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row>
    <row r="576" ht="204.75" customHeight="1">
      <c r="A576" s="1">
        <v>2135.0</v>
      </c>
      <c r="B576" s="2" t="s">
        <v>1834</v>
      </c>
      <c r="C576" s="2">
        <f>IFERROR(__xludf.DUMMYFUNCTION("split(B576,""_"")"),1504.0)</f>
        <v>1504</v>
      </c>
      <c r="D576" s="2" t="str">
        <f>IFERROR(__xludf.DUMMYFUNCTION("""COMPUTED_VALUE"""),"CX")</f>
        <v>CX</v>
      </c>
      <c r="E576" s="2" t="str">
        <f>IFERROR(__xludf.DUMMYFUNCTION("""COMPUTED_VALUE"""),"月21")</f>
        <v>月21</v>
      </c>
      <c r="F576" s="2" t="s">
        <v>1835</v>
      </c>
      <c r="G576" s="2" t="s">
        <v>1851</v>
      </c>
      <c r="H576" s="1">
        <v>6.0</v>
      </c>
      <c r="I576" s="1" t="s">
        <v>21</v>
      </c>
      <c r="J576" s="1" t="s">
        <v>11</v>
      </c>
      <c r="K576" s="2" t="s">
        <v>1852</v>
      </c>
      <c r="L576" s="2" t="s">
        <v>1853</v>
      </c>
      <c r="M576" s="2" t="str">
        <f>IFERROR(__xludf.DUMMYFUNCTION("split(split(K576,""相葉雅紀　"",false),""wagayae/"",false)"),"【番組公式ホームページ】  http://www.fujitv.co.jp/")</f>
        <v>【番組公式ホームページ】  http://www.fujitv.co.jp/</v>
      </c>
      <c r="N576" s="2" t="str">
        <f>IFERROR(__xludf.DUMMYFUNCTION("""COMPUTED_VALUE"""),"　    第6話プレゼント告知あります!　倉田健太(相葉雅紀)は神取明日香(沢尻エリカ)の事件からヒントを得て、ストーカーの足取りを追うことを思いつく。最初に健太が駅で注意して、自宅までつけて来た人物のその後の行動だ。明日香とともに手がかりを探す健太へ、タクシー会社から、倉田家付近で怪しい人物を乗せたと情報が入る。  　健太たちは、その人物が降車した場所へ。すると見覚えのある人物を発見。七菜(有村架純)の元カレ、辻本正輝(藤井流星)だ。健太と明日香は、倉田家への嫌がらせと七菜へのストーカー行為を止めるよう"&amp;"辻本に詰め寄る。だが、辻本は意外なことを健太に告げる。  　その頃、『ナカノ電子部品』では、在庫数の合わなかった商品が見つかっていた。太一(寺尾聰)と西沢摂子(山口紗弥加)は、確認したときにはなかった商品を平井光雄(戸田昌宏)に見せられる。見落としたと平井は言うが、摂子は真瀬博樹(竹中直人)が裏で糸を引いていると太一に告げた。　健太と明日香は、七菜に辻本の話を聞く。しかし、健太は辻本にストーカーの疑いがあることは、七菜に話さなかった。アナウンサー面接も大詰めを迎えようとしている七菜に余計な心配をさせたくな"&amp;"かったのだ。その夜、珪子(南果歩)が波戸清治(眞島秀和)たち陶芸教室の仲間と一泊旅行に行って良いかと太一に聞く。その話を聞いて、健太の胸中はさざめく。以前、波戸から「君のお母さんが好きだ」と告げられていたからだ…。")</f>
        <v>　    第6話プレゼント告知あります!　倉田健太(相葉雅紀)は神取明日香(沢尻エリカ)の事件からヒントを得て、ストーカーの足取りを追うことを思いつく。最初に健太が駅で注意して、自宅までつけて来た人物のその後の行動だ。明日香とともに手がかりを探す健太へ、タクシー会社から、倉田家付近で怪しい人物を乗せたと情報が入る。  　健太たちは、その人物が降車した場所へ。すると見覚えのある人物を発見。七菜(有村架純)の元カレ、辻本正輝(藤井流星)だ。健太と明日香は、倉田家への嫌がらせと七菜へのストーカー行為を止めるよう辻本に詰め寄る。だが、辻本は意外なことを健太に告げる。  　その頃、『ナカノ電子部品』では、在庫数の合わなかった商品が見つかっていた。太一(寺尾聰)と西沢摂子(山口紗弥加)は、確認したときにはなかった商品を平井光雄(戸田昌宏)に見せられる。見落としたと平井は言うが、摂子は真瀬博樹(竹中直人)が裏で糸を引いていると太一に告げた。　健太と明日香は、七菜に辻本の話を聞く。しかし、健太は辻本にストーカーの疑いがあることは、七菜に話さなかった。アナウンサー面接も大詰めを迎えようとしている七菜に余計な心配をさせたくなかったのだ。その夜、珪子(南果歩)が波戸清治(眞島秀和)たち陶芸教室の仲間と一泊旅行に行って良いかと太一に聞く。その話を聞いて、健太の胸中はさざめく。以前、波戸から「君のお母さんが好きだ」と告げられていたからだ…。</v>
      </c>
      <c r="O576" s="2"/>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row>
    <row r="577" ht="204.75" customHeight="1">
      <c r="A577" s="1">
        <v>2136.0</v>
      </c>
      <c r="B577" s="2" t="s">
        <v>1834</v>
      </c>
      <c r="C577" s="2">
        <f>IFERROR(__xludf.DUMMYFUNCTION("split(B577,""_"")"),1504.0)</f>
        <v>1504</v>
      </c>
      <c r="D577" s="2" t="str">
        <f>IFERROR(__xludf.DUMMYFUNCTION("""COMPUTED_VALUE"""),"CX")</f>
        <v>CX</v>
      </c>
      <c r="E577" s="2" t="str">
        <f>IFERROR(__xludf.DUMMYFUNCTION("""COMPUTED_VALUE"""),"月21")</f>
        <v>月21</v>
      </c>
      <c r="F577" s="2" t="s">
        <v>1835</v>
      </c>
      <c r="G577" s="2" t="s">
        <v>1854</v>
      </c>
      <c r="H577" s="1">
        <v>7.0</v>
      </c>
      <c r="I577" s="1" t="s">
        <v>25</v>
      </c>
      <c r="J577" s="1" t="s">
        <v>11</v>
      </c>
      <c r="K577" s="2" t="s">
        <v>1855</v>
      </c>
      <c r="L577" s="2" t="s">
        <v>1856</v>
      </c>
      <c r="M577" s="2" t="str">
        <f>IFERROR(__xludf.DUMMYFUNCTION("split(split(K577,""相葉雅紀　"",false),""wagayae/"",false)"),"【番組公式ホームページ】  http://www.fujitv.co.jp/")</f>
        <v>【番組公式ホームページ】  http://www.fujitv.co.jp/</v>
      </c>
      <c r="N577" s="2" t="str">
        <f>IFERROR(__xludf.DUMMYFUNCTION("""COMPUTED_VALUE"""),"　倉田家に次々と嫌がらせを繰り返すストーカー。健太(相葉雅紀)は、家に仕掛けられた盗聴器を逆に利用しようと思いつく。家族全員の留守を装ってストーカーをおびき出し、顔を確認しようと考えたのだ。  　決行当日。健太が七菜(有村架純)と身を潜ませていると、ストーカーが現れた。しかし、健太たちはストーカーに気づかれてしまう。逃げるストーカーを追う健太と七菜。だが、ストーカーの逆襲に遭い、七菜を庇おうとした健太が刺されてしまった。様子を見に来た神取明日香(沢尻エリカ)の通報で、健太は病院に搬送。ストーカーは逃走して"&amp;"しまった。  　家路を急いでいた太一(寺尾聰)は自宅前の騒然とした雰囲気にぼうぜん。木下巡査(夙川アトム)から健太が刺されたことを知らされた太一は、明日香から状況を聞き、動揺する七菜を落ち着かせる。そして、太一は珪子(南果歩)に連絡。  　珪子は一緒に行くはずだった下村民子(堀内敬子)にキャンセルされたため、波戸清治(眞島秀和)と旅先で2人きりの夜を過ごそうとしていた。すると、そんな状況からか波戸は珪子に自分の想いを告白。その時、珪子の携帯電話が鳴る。太一から健太の急を知らされた珪子は病院へと急ぐ。  　"&amp;"病院で倉田家の面々、明日香が健太の緊急手術を不安の中で待つ。そこで七菜は、元カレの辻本正輝(藤井流星)にストーキングされていることを家族に打ち明ける中、家族の前に辻本が姿を現し…。")</f>
        <v>　倉田家に次々と嫌がらせを繰り返すストーカー。健太(相葉雅紀)は、家に仕掛けられた盗聴器を逆に利用しようと思いつく。家族全員の留守を装ってストーカーをおびき出し、顔を確認しようと考えたのだ。  　決行当日。健太が七菜(有村架純)と身を潜ませていると、ストーカーが現れた。しかし、健太たちはストーカーに気づかれてしまう。逃げるストーカーを追う健太と七菜。だが、ストーカーの逆襲に遭い、七菜を庇おうとした健太が刺されてしまった。様子を見に来た神取明日香(沢尻エリカ)の通報で、健太は病院に搬送。ストーカーは逃走してしまった。  　家路を急いでいた太一(寺尾聰)は自宅前の騒然とした雰囲気にぼうぜん。木下巡査(夙川アトム)から健太が刺されたことを知らされた太一は、明日香から状況を聞き、動揺する七菜を落ち着かせる。そして、太一は珪子(南果歩)に連絡。  　珪子は一緒に行くはずだった下村民子(堀内敬子)にキャンセルされたため、波戸清治(眞島秀和)と旅先で2人きりの夜を過ごそうとしていた。すると、そんな状況からか波戸は珪子に自分の想いを告白。その時、珪子の携帯電話が鳴る。太一から健太の急を知らされた珪子は病院へと急ぐ。  　病院で倉田家の面々、明日香が健太の緊急手術を不安の中で待つ。そこで七菜は、元カレの辻本正輝(藤井流星)にストーキングされていることを家族に打ち明ける中、家族の前に辻本が姿を現し…。</v>
      </c>
      <c r="O577" s="2"/>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row>
    <row r="578" ht="204.75" customHeight="1">
      <c r="A578" s="1">
        <v>2137.0</v>
      </c>
      <c r="B578" s="2" t="s">
        <v>1834</v>
      </c>
      <c r="C578" s="2">
        <f>IFERROR(__xludf.DUMMYFUNCTION("split(B578,""_"")"),1504.0)</f>
        <v>1504</v>
      </c>
      <c r="D578" s="2" t="str">
        <f>IFERROR(__xludf.DUMMYFUNCTION("""COMPUTED_VALUE"""),"CX")</f>
        <v>CX</v>
      </c>
      <c r="E578" s="2" t="str">
        <f>IFERROR(__xludf.DUMMYFUNCTION("""COMPUTED_VALUE"""),"月21")</f>
        <v>月21</v>
      </c>
      <c r="F578" s="2" t="s">
        <v>1835</v>
      </c>
      <c r="G578" s="2" t="s">
        <v>1857</v>
      </c>
      <c r="H578" s="1">
        <v>8.0</v>
      </c>
      <c r="I578" s="1" t="s">
        <v>29</v>
      </c>
      <c r="J578" s="1" t="s">
        <v>11</v>
      </c>
      <c r="K578" s="2" t="s">
        <v>1858</v>
      </c>
      <c r="L578" s="2" t="s">
        <v>1859</v>
      </c>
      <c r="M578" s="2" t="str">
        <f>IFERROR(__xludf.DUMMYFUNCTION("split(split(K578,""相葉雅紀　"",false),""wagayae/"",false)"),"【番組公式ホームページ】  http://www.fujitv.co.jp/")</f>
        <v>【番組公式ホームページ】  http://www.fujitv.co.jp/</v>
      </c>
      <c r="N578" s="2" t="str">
        <f>IFERROR(__xludf.DUMMYFUNCTION("""COMPUTED_VALUE"""),"　    第8話プレゼント告知あります!　倉田家では、健太(相葉雅紀)の退院祝いが行われようとしていた。パーティーには神取明日香(沢尻エリカ)も参加。そんな倉田家に、刑事の枚方(乃木涼介)と尾村(俵山峻)が来た。なんと住居侵入と窃盗の容疑で、珪子(南果歩)を警察署で取り調べると言う。明日香の機転で珪子の出頭は回避され、取り調べは自宅で行われることとなった。  　刑事たちによると、ここのところ倉田家周辺の所轄管内で空き巣被害が連続。珪子が通う陶芸教室の仲間たちも被害に遭っていた。しかもその日の朝、狙われた中"&amp;"嶋家には、珪子の指紋がついたペットボトルと波戸清治(眞島秀和)からもらったブローチが落ちていたという。珪子を疑わざるを得ないと話す刑事に、明日香は他の家では発見されなかった犯人の遺留品が、中嶋家だけに残されたのはおかしいと疑問を投げる。  　翌日、健太と明日香は、珪子が返したというブローチの行方を波戸に確認。波戸は施錠せずに駐めておいた車から盗まれたと答える。その頃、倉田家に珪子の主婦仲間が集まっていた。主婦たちにつるし上げられそうになる珪子。そんな珪子を下村民子(堀内敬子)がかばい、主婦たちは帰って行っ"&amp;"た。  　しかし、珪子への疑いは晴れない。健太と七菜(有村架純)が帰宅すると珪子を誹謗(ひぼう)するメモがポストに入っていた。防犯カメラの映像には、主婦の中嶋(歌川椎子)が映っていた。次の日、健太は明日香と中嶋宅へ…。")</f>
        <v>　    第8話プレゼント告知あります!　倉田家では、健太(相葉雅紀)の退院祝いが行われようとしていた。パーティーには神取明日香(沢尻エリカ)も参加。そんな倉田家に、刑事の枚方(乃木涼介)と尾村(俵山峻)が来た。なんと住居侵入と窃盗の容疑で、珪子(南果歩)を警察署で取り調べると言う。明日香の機転で珪子の出頭は回避され、取り調べは自宅で行われることとなった。  　刑事たちによると、ここのところ倉田家周辺の所轄管内で空き巣被害が連続。珪子が通う陶芸教室の仲間たちも被害に遭っていた。しかもその日の朝、狙われた中嶋家には、珪子の指紋がついたペットボトルと波戸清治(眞島秀和)からもらったブローチが落ちていたという。珪子を疑わざるを得ないと話す刑事に、明日香は他の家では発見されなかった犯人の遺留品が、中嶋家だけに残されたのはおかしいと疑問を投げる。  　翌日、健太と明日香は、珪子が返したというブローチの行方を波戸に確認。波戸は施錠せずに駐めておいた車から盗まれたと答える。その頃、倉田家に珪子の主婦仲間が集まっていた。主婦たちにつるし上げられそうになる珪子。そんな珪子を下村民子(堀内敬子)がかばい、主婦たちは帰って行った。  　しかし、珪子への疑いは晴れない。健太と七菜(有村架純)が帰宅すると珪子を誹謗(ひぼう)するメモがポストに入っていた。防犯カメラの映像には、主婦の中嶋(歌川椎子)が映っていた。次の日、健太は明日香と中嶋宅へ…。</v>
      </c>
      <c r="O578" s="2"/>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row>
    <row r="579" ht="204.75" customHeight="1">
      <c r="A579" s="1">
        <v>2138.0</v>
      </c>
      <c r="B579" s="2" t="s">
        <v>1834</v>
      </c>
      <c r="C579" s="2">
        <f>IFERROR(__xludf.DUMMYFUNCTION("split(B579,""_"")"),1504.0)</f>
        <v>1504</v>
      </c>
      <c r="D579" s="2" t="str">
        <f>IFERROR(__xludf.DUMMYFUNCTION("""COMPUTED_VALUE"""),"CX")</f>
        <v>CX</v>
      </c>
      <c r="E579" s="2" t="str">
        <f>IFERROR(__xludf.DUMMYFUNCTION("""COMPUTED_VALUE"""),"月21")</f>
        <v>月21</v>
      </c>
      <c r="F579" s="2" t="s">
        <v>1835</v>
      </c>
      <c r="G579" s="2" t="s">
        <v>1860</v>
      </c>
      <c r="H579" s="1">
        <v>9.0</v>
      </c>
      <c r="I579" s="1" t="s">
        <v>33</v>
      </c>
      <c r="J579" s="1" t="s">
        <v>11</v>
      </c>
      <c r="K579" s="2" t="s">
        <v>1861</v>
      </c>
      <c r="L579" s="2" t="s">
        <v>1862</v>
      </c>
      <c r="M579" s="2" t="str">
        <f>IFERROR(__xludf.DUMMYFUNCTION("split(split(K579,""相葉雅紀　"",false),""wagayae/"",false)"),"【番組公式ホームページ】  http://www.fujitv.co.jp/")</f>
        <v>【番組公式ホームページ】  http://www.fujitv.co.jp/</v>
      </c>
      <c r="N579" s="2" t="str">
        <f>IFERROR(__xludf.DUMMYFUNCTION("""COMPUTED_VALUE"""),"　倉田健太(相葉雅紀)は、下村民子(堀内敬子)が危険な人物であることを伝えようと珪子(南果歩)に電話。しかし、珪子は民子とともにいると言い、通話は不自然に切れてしまった。  　健太が急いで自宅に戻ると、民子に殴られた珪子がリビングに倒れている。室内には灯油がまかれていた。健太が珪子に駆け寄ると、目の前に火を灯したライターが突きつけられる。民子だった。健太は、なぜこんなことをするのかと民子に問い、説得を試みようとするが、民子の瞳に宿った恐ろしい炎は消えようとしない。  　その頃、『ナカノ電子部品』への残留が"&amp;"かかっている太一(寺尾聰)は『イーグル精密』の不渡りを確認するため奔走していた。自社の持川徹社長(近藤芳正)に連絡し、担当の真瀬博樹(竹中直人)への確認を依頼。すると、やはり『イーグル精密』の不渡りは確実なものと判明してしまう。真瀬は持川に謝罪するが、その責任を太一にかぶせようとし始めた。太一は『イーグル精密』の危機的状況を話していたのだが、真瀬は知らないと言い張る。太一は、同じことを報告書として上げていたのだが、持川も読んでいないと言うのだ。そして、社長の閲覧印が押されて戻っていたはずの報告書は、太一の"&amp;"デスクから消えていた。  　もはやこれまでと、真瀬と持川に頭を下げる太一。持川はあきれ顔で去っていく。そんな太一を見ていた西沢摂子(山口紗弥加)は、ある夜の出来事を思い出した。")</f>
        <v>　倉田健太(相葉雅紀)は、下村民子(堀内敬子)が危険な人物であることを伝えようと珪子(南果歩)に電話。しかし、珪子は民子とともにいると言い、通話は不自然に切れてしまった。  　健太が急いで自宅に戻ると、民子に殴られた珪子がリビングに倒れている。室内には灯油がまかれていた。健太が珪子に駆け寄ると、目の前に火を灯したライターが突きつけられる。民子だった。健太は、なぜこんなことをするのかと民子に問い、説得を試みようとするが、民子の瞳に宿った恐ろしい炎は消えようとしない。  　その頃、『ナカノ電子部品』への残留がかかっている太一(寺尾聰)は『イーグル精密』の不渡りを確認するため奔走していた。自社の持川徹社長(近藤芳正)に連絡し、担当の真瀬博樹(竹中直人)への確認を依頼。すると、やはり『イーグル精密』の不渡りは確実なものと判明してしまう。真瀬は持川に謝罪するが、その責任を太一にかぶせようとし始めた。太一は『イーグル精密』の危機的状況を話していたのだが、真瀬は知らないと言い張る。太一は、同じことを報告書として上げていたのだが、持川も読んでいないと言うのだ。そして、社長の閲覧印が押されて戻っていたはずの報告書は、太一のデスクから消えていた。  　もはやこれまでと、真瀬と持川に頭を下げる太一。持川はあきれ顔で去っていく。そんな太一を見ていた西沢摂子(山口紗弥加)は、ある夜の出来事を思い出した。</v>
      </c>
      <c r="O579" s="2"/>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row>
    <row r="580" ht="204.75" customHeight="1">
      <c r="A580" s="1">
        <v>2139.0</v>
      </c>
      <c r="B580" s="2" t="s">
        <v>1834</v>
      </c>
      <c r="C580" s="2">
        <f>IFERROR(__xludf.DUMMYFUNCTION("split(B580,""_"")"),1504.0)</f>
        <v>1504</v>
      </c>
      <c r="D580" s="2" t="str">
        <f>IFERROR(__xludf.DUMMYFUNCTION("""COMPUTED_VALUE"""),"CX")</f>
        <v>CX</v>
      </c>
      <c r="E580" s="2" t="str">
        <f>IFERROR(__xludf.DUMMYFUNCTION("""COMPUTED_VALUE"""),"月21")</f>
        <v>月21</v>
      </c>
      <c r="F580" s="2" t="s">
        <v>1835</v>
      </c>
      <c r="G580" s="2" t="s">
        <v>1863</v>
      </c>
      <c r="H580" s="1">
        <v>10.0</v>
      </c>
      <c r="I580" s="1" t="s">
        <v>37</v>
      </c>
      <c r="J580" s="1" t="s">
        <v>4</v>
      </c>
      <c r="K580" s="2" t="s">
        <v>1864</v>
      </c>
      <c r="L580" s="2" t="s">
        <v>1865</v>
      </c>
      <c r="M580" s="2" t="str">
        <f>IFERROR(__xludf.DUMMYFUNCTION("split(split(K580,""相葉雅紀　"",false),""wagayae/"",false)"),"【番組公式ホームページ】  http://www.fujitv.co.jp/")</f>
        <v>【番組公式ホームページ】  http://www.fujitv.co.jp/</v>
      </c>
      <c r="N580" s="2" t="str">
        <f>IFERROR(__xludf.DUMMYFUNCTION("""COMPUTED_VALUE"""),"　    最終回プレゼント告知あります!　倉田健太(相葉雅紀)はニット帽の男と再会。しかし逃げられてしまう。太一(寺尾聰)は深追いするなと健太に注意。しかし、ニット帽の男が始めた倉田家への嫌がらせをきっかけに、七菜(有村架純)や珪子(南果歩)が傷つき、太一の仕事場にも少なからず影響があった。健太の、ニット帽の男と決着をつけようとする意思は固い。  　その矢先、倉田家の表の壁や門に派手な落書きがされた。家族は警察に通報、防犯カメラの映像で犯人は段ボールで身を隠していた。落書きがニット帽の男の仕業だとしたら、"&amp;"なぜ防犯カメラの存在を知っていたのだろうか…?  　『円タウン出版』で、健太はニット帽の男に会ったことと落書きの経緯を神取明日香(沢尻エリカ)と蟹江秀太朗(佐藤二朗)に話す。さらに、健太はもみ合った時に、ニット帽の男がしていたネックレスの詳細を覚えていた。健太は明日香とともに、このネックレスから男の身元を確かめようと出版社を出る。そんな2人を、何者かが見つめていた…。  　太一も西沢摂子(山口紗弥加)とともに、『ナカノ電子部品』で不正を繰り返す真瀬博樹(竹中直人)との戦いにけりをつけようとしていた。  　"&amp;"ついに決着する、ひきょう者たちと平凡な家族の壮絶な闘い。そして倉田家が狙われた真の理由が判明したとき、明らかになる「ようこそ、わが家へ」に込められた意味。その意味を知ったとき、誰もが身震いせずにはいられない!")</f>
        <v>　    最終回プレゼント告知あります!　倉田健太(相葉雅紀)はニット帽の男と再会。しかし逃げられてしまう。太一(寺尾聰)は深追いするなと健太に注意。しかし、ニット帽の男が始めた倉田家への嫌がらせをきっかけに、七菜(有村架純)や珪子(南果歩)が傷つき、太一の仕事場にも少なからず影響があった。健太の、ニット帽の男と決着をつけようとする意思は固い。  　その矢先、倉田家の表の壁や門に派手な落書きがされた。家族は警察に通報、防犯カメラの映像で犯人は段ボールで身を隠していた。落書きがニット帽の男の仕業だとしたら、なぜ防犯カメラの存在を知っていたのだろうか…?  　『円タウン出版』で、健太はニット帽の男に会ったことと落書きの経緯を神取明日香(沢尻エリカ)と蟹江秀太朗(佐藤二朗)に話す。さらに、健太はもみ合った時に、ニット帽の男がしていたネックレスの詳細を覚えていた。健太は明日香とともに、このネックレスから男の身元を確かめようと出版社を出る。そんな2人を、何者かが見つめていた…。  　太一も西沢摂子(山口紗弥加)とともに、『ナカノ電子部品』で不正を繰り返す真瀬博樹(竹中直人)との戦いにけりをつけようとしていた。  　ついに決着する、ひきょう者たちと平凡な家族の壮絶な闘い。そして倉田家が狙われた真の理由が判明したとき、明らかになる「ようこそ、わが家へ」に込められた意味。その意味を知ったとき、誰もが身震いせずにはいられない!</v>
      </c>
      <c r="O580" s="2"/>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row>
    <row r="581" ht="204.75" customHeight="1">
      <c r="A581" s="1">
        <v>2160.0</v>
      </c>
      <c r="B581" s="2" t="s">
        <v>1866</v>
      </c>
      <c r="C581" s="2">
        <f>IFERROR(__xludf.DUMMYFUNCTION("split(B581,""_"")"),1504.0)</f>
        <v>1504</v>
      </c>
      <c r="D581" s="2" t="str">
        <f>IFERROR(__xludf.DUMMYFUNCTION("""COMPUTED_VALUE"""),"CX")</f>
        <v>CX</v>
      </c>
      <c r="E581" s="2" t="str">
        <f>IFERROR(__xludf.DUMMYFUNCTION("""COMPUTED_VALUE"""),"水22")</f>
        <v>水22</v>
      </c>
      <c r="F581" s="2" t="s">
        <v>1867</v>
      </c>
      <c r="G581" s="2" t="s">
        <v>1868</v>
      </c>
      <c r="H581" s="1">
        <v>1.0</v>
      </c>
      <c r="I581" s="1" t="s">
        <v>3</v>
      </c>
      <c r="J581" s="1" t="s">
        <v>82</v>
      </c>
      <c r="K581" s="4" t="s">
        <v>1869</v>
      </c>
      <c r="L581" s="2" t="s">
        <v>1870</v>
      </c>
      <c r="M581" s="2" t="str">
        <f>IFERROR(__xludf.DUMMYFUNCTION("split(split(K581,""小島春太:　"",false),""kokopoki/"",false)"),"ドラマを生で見よう!各ドラマ総額100万円が当たる『DRAMA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対象ドラマ:月9『ようこそ、わが家へ』火10『戦う!書店ガール』水10『心がポキッとね』木10『医師たちの恋愛事情』★公式HPも要チェック!  劇中にも出てくる「静のブログ」や、若手俳優たちによる「現場レポート」など、HPでしか見られないコンテンツがいっぱい!  URL:　http://www.fujitv"&amp;".co.jp/")</f>
        <v>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対象ドラマ:月9『ようこそ、わが家へ』火10『戦う!書店ガール』水10『心がポキッとね』木10『医師たちの恋愛事情』★公式HPも要チェック!  劇中にも出てくる「静のブログ」や、若手俳優たちによる「現場レポート」など、HPでしか見られないコンテンツがいっぱい!  URL:　http://www.fujitv.co.jp/</v>
      </c>
      <c r="N581" s="2" t="str">
        <f>IFERROR(__xludf.DUMMYFUNCTION("""COMPUTED_VALUE"""),"　小島春太(阿部サダヲ)は、アンティーク家具店の倉庫の一角に作った居住スペースで目を覚ました。いつもの通り深呼吸をすると、身支度を整えて出かけていく。春太が着いたのは、大竹心(藤木直人)が社長を勤める家具店「リオ　ボニート!」だ。修理担当として働く春太に、店員の糸山扶美(徳永えり)が声をかける。一見、癒やし系だが、自分におせっかいを焼く扶美が春太は苦手だった。店にはほかに、富田涼(永瀬匡)、庄司加代子(池津祥子)もいた。  　同じ頃、葉山みやこ(水原希子)は、悪態をついてアパートを出るとアルバイト先へやっ"&amp;"て来るが、店長からクビを通達されてしまう。  　仕事を終えた春太は、思い切って「白神メンタル相談所」のドアをたたく。春太を迎えたのは、所長の白神(山西惇)。  　その頃、空間コーディネーターの鴨田静(山口智子)は、完璧な夕食を用意すると、テレビでスポーツ観戦中の心に声をかける。一瞬迷いながらも、心はテレビを消すと、料理を絶賛。うれしい静は、料理を写真に撮るとブログにアップする。  　カウンセリングを終えた春太は、公園の大きな桜の木に目を留める。そこには桜を見つめるみやこがいて、そのあまりの美しさに春太は見"&amp;"とれてしまう。すると突然、みやこが堤防に登り始めた。そこへ、牧野江里子(山下リオ)が走って来る。ここにヘンな女がいただろう、と聞かれた春太は…。")</f>
        <v>　小島春太(阿部サダヲ)は、アンティーク家具店の倉庫の一角に作った居住スペースで目を覚ました。いつもの通り深呼吸をすると、身支度を整えて出かけていく。春太が着いたのは、大竹心(藤木直人)が社長を勤める家具店「リオ　ボニート!」だ。修理担当として働く春太に、店員の糸山扶美(徳永えり)が声をかける。一見、癒やし系だが、自分におせっかいを焼く扶美が春太は苦手だった。店にはほかに、富田涼(永瀬匡)、庄司加代子(池津祥子)もいた。  　同じ頃、葉山みやこ(水原希子)は、悪態をついてアパートを出るとアルバイト先へやって来るが、店長からクビを通達されてしまう。  　仕事を終えた春太は、思い切って「白神メンタル相談所」のドアをたたく。春太を迎えたのは、所長の白神(山西惇)。  　その頃、空間コーディネーターの鴨田静(山口智子)は、完璧な夕食を用意すると、テレビでスポーツ観戦中の心に声をかける。一瞬迷いながらも、心はテレビを消すと、料理を絶賛。うれしい静は、料理を写真に撮るとブログにアップする。  　カウンセリングを終えた春太は、公園の大きな桜の木に目を留める。そこには桜を見つめるみやこがいて、そのあまりの美しさに春太は見とれてしまう。すると突然、みやこが堤防に登り始めた。そこへ、牧野江里子(山下リオ)が走って来る。ここにヘンな女がいただろう、と聞かれた春太は…。</v>
      </c>
      <c r="O581" s="2"/>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row>
    <row r="582" ht="204.75" customHeight="1">
      <c r="A582" s="1">
        <v>2161.0</v>
      </c>
      <c r="B582" s="2" t="s">
        <v>1866</v>
      </c>
      <c r="C582" s="2">
        <f>IFERROR(__xludf.DUMMYFUNCTION("split(B582,""_"")"),1504.0)</f>
        <v>1504</v>
      </c>
      <c r="D582" s="2" t="str">
        <f>IFERROR(__xludf.DUMMYFUNCTION("""COMPUTED_VALUE"""),"CX")</f>
        <v>CX</v>
      </c>
      <c r="E582" s="2" t="str">
        <f>IFERROR(__xludf.DUMMYFUNCTION("""COMPUTED_VALUE"""),"水22")</f>
        <v>水22</v>
      </c>
      <c r="F582" s="2" t="s">
        <v>1867</v>
      </c>
      <c r="G582" s="2" t="s">
        <v>1871</v>
      </c>
      <c r="H582" s="1">
        <v>2.0</v>
      </c>
      <c r="I582" s="1" t="s">
        <v>7</v>
      </c>
      <c r="J582" s="1" t="s">
        <v>82</v>
      </c>
      <c r="K582" s="2" t="s">
        <v>1872</v>
      </c>
      <c r="L582" s="2" t="s">
        <v>1873</v>
      </c>
      <c r="M582" s="2" t="str">
        <f>IFERROR(__xludf.DUMMYFUNCTION("split(split(K582,""小島春太:　"",false),""kokopoki/"",false)"),"ドラマを生で見よう!各ドラマ総額100万円が当たる『DRAMA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詳しくは各ドラマのHPをご覧ください!★公式HPも要チェック!  劇中にも出てくる「静のブログ」や、若手俳優たちによる「現場レポート」など、HPでしか見られないコンテンツがいっぱい!  U"&amp;"RL:　http://www.fujitv.co.jp/")</f>
        <v>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詳しくは各ドラマのHPをご覧ください!★公式HPも要チェック!  劇中にも出てくる「静のブログ」や、若手俳優たちによる「現場レポート」など、HPでしか見られないコンテンツがいっぱい!  URL:　http://www.fujitv.co.jp/</v>
      </c>
      <c r="N582" s="2" t="str">
        <f>IFERROR(__xludf.DUMMYFUNCTION("""COMPUTED_VALUE"""),"　小島春太(阿部サダヲ)は、元妻の鴨田静(山口智子)に再会するも、別人になり切っている静にあわせて、初対面を装い続けた。そんな中、大竹心(藤木直人)を神とあがめる葉山みやこ(水原希子)が、心に静との関係を尋ねる。心は、愛し合っている関係だと、屈託もなく答えた。すると、みやこは静に敵意をあらわにし、静の過去の結婚歴や年齢についてズバズバと質問を続ける。一方で、静がみやこの身上について尋ねると、自分のことを話すのは嫌いだ、と口をつぐむ。  　心と静の住居スペースから、階下の自分たちのスペースに戻った春太とみや"&amp;"こ。みやこは、心と静の関係には違和感がある、春太と静が付き合った方がお似合いだ、などと勝手なことを言う。さらにみやこは、心を思うあまり暴走しそうだから、そんな自分を見張ってくれ、と頼む。  　翌朝、春太は睡眠不足のまま家具店「リオ　ボニート!」に出勤する。そんな春太を見た糸山扶美(徳永えり)は顔色が悪いことを異常に心配し、救急車を呼ぼうか、などと言う。へきえきとする春太の気も知らずに突っ走る扶美。そのやりとりを、富田涼(永瀬匡)と庄司加代子(池津祥子)が見ていた。  　昼休憩になり、1人の時間を取り戻した"&amp;"春太。公園でくつろいでいると、静が現れて、ちょっと付き合って欲しいと言う。驚きながらも、静の後ろを付いて歩く春太。さらにその後を、牧野江里子(山下リオ)が付いて行き…。")</f>
        <v>　小島春太(阿部サダヲ)は、元妻の鴨田静(山口智子)に再会するも、別人になり切っている静にあわせて、初対面を装い続けた。そんな中、大竹心(藤木直人)を神とあがめる葉山みやこ(水原希子)が、心に静との関係を尋ねる。心は、愛し合っている関係だと、屈託もなく答えた。すると、みやこは静に敵意をあらわにし、静の過去の結婚歴や年齢についてズバズバと質問を続ける。一方で、静がみやこの身上について尋ねると、自分のことを話すのは嫌いだ、と口をつぐむ。  　心と静の住居スペースから、階下の自分たちのスペースに戻った春太とみやこ。みやこは、心と静の関係には違和感がある、春太と静が付き合った方がお似合いだ、などと勝手なことを言う。さらにみやこは、心を思うあまり暴走しそうだから、そんな自分を見張ってくれ、と頼む。  　翌朝、春太は睡眠不足のまま家具店「リオ　ボニート!」に出勤する。そんな春太を見た糸山扶美(徳永えり)は顔色が悪いことを異常に心配し、救急車を呼ぼうか、などと言う。へきえきとする春太の気も知らずに突っ走る扶美。そのやりとりを、富田涼(永瀬匡)と庄司加代子(池津祥子)が見ていた。  　昼休憩になり、1人の時間を取り戻した春太。公園でくつろいでいると、静が現れて、ちょっと付き合って欲しいと言う。驚きながらも、静の後ろを付いて歩く春太。さらにその後を、牧野江里子(山下リオ)が付いて行き…。</v>
      </c>
      <c r="O582" s="2"/>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row>
    <row r="583" ht="204.75" customHeight="1">
      <c r="A583" s="1">
        <v>2162.0</v>
      </c>
      <c r="B583" s="2" t="s">
        <v>1866</v>
      </c>
      <c r="C583" s="2">
        <f>IFERROR(__xludf.DUMMYFUNCTION("split(B583,""_"")"),1504.0)</f>
        <v>1504</v>
      </c>
      <c r="D583" s="2" t="str">
        <f>IFERROR(__xludf.DUMMYFUNCTION("""COMPUTED_VALUE"""),"CX")</f>
        <v>CX</v>
      </c>
      <c r="E583" s="2" t="str">
        <f>IFERROR(__xludf.DUMMYFUNCTION("""COMPUTED_VALUE"""),"水22")</f>
        <v>水22</v>
      </c>
      <c r="F583" s="2" t="s">
        <v>1867</v>
      </c>
      <c r="G583" s="2" t="s">
        <v>1874</v>
      </c>
      <c r="H583" s="1">
        <v>3.0</v>
      </c>
      <c r="I583" s="1" t="s">
        <v>10</v>
      </c>
      <c r="J583" s="1" t="s">
        <v>86</v>
      </c>
      <c r="K583" s="2" t="s">
        <v>1875</v>
      </c>
      <c r="L583" s="2" t="s">
        <v>1876</v>
      </c>
      <c r="M583" s="2" t="str">
        <f>IFERROR(__xludf.DUMMYFUNCTION("split(split(K583,""小島春太:　"",false),""kokopoki/"",false)"),"★公式HPも要チェック!  劇中にも出てくる「静のブログ」や、若手俳優たちによる「現場レポート」など、HPでしか見られないコンテンツがいっぱい!  URL:　http://www.fujitv.co.jp/")</f>
        <v>★公式HPも要チェック!  劇中にも出てくる「静のブログ」や、若手俳優たちによる「現場レポート」など、HPでしか見られないコンテンツがいっぱい!  URL:　http://www.fujitv.co.jp/</v>
      </c>
      <c r="N583" s="2" t="str">
        <f>IFERROR(__xludf.DUMMYFUNCTION("""COMPUTED_VALUE"""),"　雑誌の撮影が中止となった翌朝、小島春太(阿部サダヲ)は一人で店へ出かけていく。鴨田静(山口智子)は、葉山みやこ(水原希子)と大竹心(藤木直人)に指示しながら、片付けを始める。そんな中、撮影用に作ったが手を付けられていない料理を見た心は、それを「リオ　ボニート!」に運んでパーティーをしよう、と提案する。  　心に誘われ渋々パーティーに参加することを決めたみやこは、静が支度をしている間に春太の居住スペースで時間をつぶす。そこで見つけた、春太の古い携帯電話。裏側には、春太と静のプリクラが貼られていて、それを見"&amp;"たみやこは機嫌が悪くなる。  　その頃、春太は「リオ　ボニート!」の作業場にいたが、疲れたため長椅子で休憩することに。携帯電話を広げ、静のブログをチェックしたり、保存していた新婚時代の自分と静の写真を見たりするうち寝入ってしまう。  　そこへ、料理を持ったみやこ、心、静がやってくる。みやこが来たことに反応した糸山扶美(徳永えり)に、心はみやこが倉庫で暮らしていることを明かす。扶美は驚くが、状況が分からない富田涼(永瀬匡)と庄司加代子(池津祥子)は、顔を見合わせる。  　やがて、春太を呼びに加代子が作業場に"&amp;"入ってくる。床に落ちていた春太の携帯を見つけ、拾いあげた加代子は、ロックを解除して画面を見る。そこで目を覚ました春太は…。")</f>
        <v>　雑誌の撮影が中止となった翌朝、小島春太(阿部サダヲ)は一人で店へ出かけていく。鴨田静(山口智子)は、葉山みやこ(水原希子)と大竹心(藤木直人)に指示しながら、片付けを始める。そんな中、撮影用に作ったが手を付けられていない料理を見た心は、それを「リオ　ボニート!」に運んでパーティーをしよう、と提案する。  　心に誘われ渋々パーティーに参加することを決めたみやこは、静が支度をしている間に春太の居住スペースで時間をつぶす。そこで見つけた、春太の古い携帯電話。裏側には、春太と静のプリクラが貼られていて、それを見たみやこは機嫌が悪くなる。  　その頃、春太は「リオ　ボニート!」の作業場にいたが、疲れたため長椅子で休憩することに。携帯電話を広げ、静のブログをチェックしたり、保存していた新婚時代の自分と静の写真を見たりするうち寝入ってしまう。  　そこへ、料理を持ったみやこ、心、静がやってくる。みやこが来たことに反応した糸山扶美(徳永えり)に、心はみやこが倉庫で暮らしていることを明かす。扶美は驚くが、状況が分からない富田涼(永瀬匡)と庄司加代子(池津祥子)は、顔を見合わせる。  　やがて、春太を呼びに加代子が作業場に入ってくる。床に落ちていた春太の携帯を見つけ、拾いあげた加代子は、ロックを解除して画面を見る。そこで目を覚ました春太は…。</v>
      </c>
      <c r="O583" s="2"/>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row>
    <row r="584" ht="204.75" customHeight="1">
      <c r="A584" s="1">
        <v>2163.0</v>
      </c>
      <c r="B584" s="2" t="s">
        <v>1866</v>
      </c>
      <c r="C584" s="2">
        <f>IFERROR(__xludf.DUMMYFUNCTION("split(B584,""_"")"),1504.0)</f>
        <v>1504</v>
      </c>
      <c r="D584" s="2" t="str">
        <f>IFERROR(__xludf.DUMMYFUNCTION("""COMPUTED_VALUE"""),"CX")</f>
        <v>CX</v>
      </c>
      <c r="E584" s="2" t="str">
        <f>IFERROR(__xludf.DUMMYFUNCTION("""COMPUTED_VALUE"""),"水22")</f>
        <v>水22</v>
      </c>
      <c r="F584" s="2" t="s">
        <v>1867</v>
      </c>
      <c r="G584" s="2" t="s">
        <v>1877</v>
      </c>
      <c r="H584" s="1">
        <v>4.0</v>
      </c>
      <c r="I584" s="1" t="s">
        <v>14</v>
      </c>
      <c r="J584" s="1" t="s">
        <v>86</v>
      </c>
      <c r="K584" s="2" t="s">
        <v>1878</v>
      </c>
      <c r="L584" s="2" t="s">
        <v>1879</v>
      </c>
      <c r="M584" s="2" t="str">
        <f>IFERROR(__xludf.DUMMYFUNCTION("split(split(K584,""小島春太:　"",false),""kokopoki/"",false)"),"★公式HPも要チェック!  劇中にも出てくる「静のブログ」や、若手俳優たちによる「現場レポート」など、HPでしか見られないコンテンツがいっぱい!  URL:　http://www.fujitv.co.jp/")</f>
        <v>★公式HPも要チェック!  劇中にも出てくる「静のブログ」や、若手俳優たちによる「現場レポート」など、HPでしか見られないコンテンツがいっぱい!  URL:　http://www.fujitv.co.jp/</v>
      </c>
      <c r="N584" s="2" t="str">
        <f>IFERROR(__xludf.DUMMYFUNCTION("""COMPUTED_VALUE"""),"　春太(阿部サダヲ)と静(山口智子)が、夜中にこそこそと2人で会っていたのではないか、と誤解したみやこ(水原希子)によって、川に突き落とされ、ずぶぬれになってしまった3人。なぜそんな目に遭わされないといけないのか理解できない静がみやこに詰め寄ると、ただ殴ろうとしただけなのに、春太のせいで川に落ちてしまったのだと言う。とんでもない責任転嫁に驚がくの春太を尻目に、何も出来なかった自分が悪いのだ、男として情けない、と心(藤木直人)は謝り始める。  　偶然会っただけだと事情を説明する春太と静に、みやこは「偶然会う"&amp;"な」と理不尽なことを言い出す。それならば心とみやこはどうなのかと、逆に静が詰め寄ると、偶然だ、と平然と答えるみやこ。元夫婦であることを隠していた2人を許してくれた心に、少しは気を遣うべきだと言い、感情をあらわにするみやこに心は…。  　その後、春太と倉庫の1階に戻ったみやこは、今回の件は自分を1人にした春太が悪いのだ、と言い、自分が危ない時に1人にしないでくれ、と頼む。春太がそれを了承すると、喜んだみやこは春太を抱きしめ、春太は思わずキュンとしてしまう。さらに翌朝、みやこが用意してくれた朝食をとり、春太は"&amp;"ちょっと幸せな時間を満喫する。しかし、そのことで逆に精神状態が乱されてしまい、足早に「白神メンタル相談所」へと向う。だが、そこには静が先客として来ていた。")</f>
        <v>　春太(阿部サダヲ)と静(山口智子)が、夜中にこそこそと2人で会っていたのではないか、と誤解したみやこ(水原希子)によって、川に突き落とされ、ずぶぬれになってしまった3人。なぜそんな目に遭わされないといけないのか理解できない静がみやこに詰め寄ると、ただ殴ろうとしただけなのに、春太のせいで川に落ちてしまったのだと言う。とんでもない責任転嫁に驚がくの春太を尻目に、何も出来なかった自分が悪いのだ、男として情けない、と心(藤木直人)は謝り始める。  　偶然会っただけだと事情を説明する春太と静に、みやこは「偶然会うな」と理不尽なことを言い出す。それならば心とみやこはどうなのかと、逆に静が詰め寄ると、偶然だ、と平然と答えるみやこ。元夫婦であることを隠していた2人を許してくれた心に、少しは気を遣うべきだと言い、感情をあらわにするみやこに心は…。  　その後、春太と倉庫の1階に戻ったみやこは、今回の件は自分を1人にした春太が悪いのだ、と言い、自分が危ない時に1人にしないでくれ、と頼む。春太がそれを了承すると、喜んだみやこは春太を抱きしめ、春太は思わずキュンとしてしまう。さらに翌朝、みやこが用意してくれた朝食をとり、春太はちょっと幸せな時間を満喫する。しかし、そのことで逆に精神状態が乱されてしまい、足早に「白神メンタル相談所」へと向う。だが、そこには静が先客として来ていた。</v>
      </c>
      <c r="O584" s="2"/>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row>
    <row r="585" ht="204.75" customHeight="1">
      <c r="A585" s="1">
        <v>2164.0</v>
      </c>
      <c r="B585" s="2" t="s">
        <v>1866</v>
      </c>
      <c r="C585" s="2">
        <f>IFERROR(__xludf.DUMMYFUNCTION("split(B585,""_"")"),1504.0)</f>
        <v>1504</v>
      </c>
      <c r="D585" s="2" t="str">
        <f>IFERROR(__xludf.DUMMYFUNCTION("""COMPUTED_VALUE"""),"CX")</f>
        <v>CX</v>
      </c>
      <c r="E585" s="2" t="str">
        <f>IFERROR(__xludf.DUMMYFUNCTION("""COMPUTED_VALUE"""),"水22")</f>
        <v>水22</v>
      </c>
      <c r="F585" s="2" t="s">
        <v>1867</v>
      </c>
      <c r="G585" s="2" t="s">
        <v>1880</v>
      </c>
      <c r="H585" s="1">
        <v>5.0</v>
      </c>
      <c r="I585" s="1" t="s">
        <v>17</v>
      </c>
      <c r="J585" s="1" t="s">
        <v>86</v>
      </c>
      <c r="K585" s="2" t="s">
        <v>1881</v>
      </c>
      <c r="L585" s="2" t="s">
        <v>1882</v>
      </c>
      <c r="M585" s="2" t="str">
        <f>IFERROR(__xludf.DUMMYFUNCTION("split(split(K585,""小島春太:　"",false),""kokopoki/"",false)"),"★公式HPも要チェック!  劇中にも出てくる「静のブログ」や、若手俳優たちによる「現場レポート」など、HPでしか見られないコンテンツがいっぱい!  URL:　http://www.fujitv.co.jp/")</f>
        <v>★公式HPも要チェック!  劇中にも出てくる「静のブログ」や、若手俳優たちによる「現場レポート」など、HPでしか見られないコンテンツがいっぱい!  URL:　http://www.fujitv.co.jp/</v>
      </c>
      <c r="N585" s="2" t="str">
        <f>IFERROR(__xludf.DUMMYFUNCTION("""COMPUTED_VALUE"""),"　大竹心(藤木直人)を殴ってしまった小島春太(阿部サダヲ)は、自分がまた壊れてしまったのではないかと怖くなり、混乱しながら倉庫を出ていく。鴨田静(山口智子)は、心を気遣うが、心はなぜかポカンとしている。  　春太は、公園をぼんやりと歩きながら、ベンチに座っていた葉山みやこ(水原希子)を見つけた。いつものように一方的にしゃべりながらも、みやこは春太の様子がおかしいことに気づき、何かあったのか、と聞く。春太が心を殴ったことを明かすと、みやこは意外にも春太を気遣った。春太は、そんなみやこの優しさが嬉しくて、切な"&amp;"い。  　そこへ、心が2人を迎えに来る。春太もみやこもまともに心の顔を見られないが、心はいつもの笑顔だった。心にうながされて歩き始めるふたり。道すがら、春太は心に謝ろうとするが、心は、帰るまで今日あったことについてしゃべってはいけない、と静に釘を刺されているという。そんなことを素直に明かす心にツッコミを入れているうち、3人は和んだ雰囲気で帰宅する。そんな3人を迎えた静は、軽く不機嫌になりつつも、部屋に入るように指示する。  　春太、みやこ、心を前にした静は、みやこのストーカー問題と、春太による心の殴打事件"&amp;"について、中立の立場の自分が仕切るのが適任だと言って、冷静に問題点を挙げ、解決方法を理路整然と提示していく静。やがて、みやこの問題になったとき、春太がみやこを擁護する発言をし…。")</f>
        <v>　大竹心(藤木直人)を殴ってしまった小島春太(阿部サダヲ)は、自分がまた壊れてしまったのではないかと怖くなり、混乱しながら倉庫を出ていく。鴨田静(山口智子)は、心を気遣うが、心はなぜかポカンとしている。  　春太は、公園をぼんやりと歩きながら、ベンチに座っていた葉山みやこ(水原希子)を見つけた。いつものように一方的にしゃべりながらも、みやこは春太の様子がおかしいことに気づき、何かあったのか、と聞く。春太が心を殴ったことを明かすと、みやこは意外にも春太を気遣った。春太は、そんなみやこの優しさが嬉しくて、切ない。  　そこへ、心が2人を迎えに来る。春太もみやこもまともに心の顔を見られないが、心はいつもの笑顔だった。心にうながされて歩き始めるふたり。道すがら、春太は心に謝ろうとするが、心は、帰るまで今日あったことについてしゃべってはいけない、と静に釘を刺されているという。そんなことを素直に明かす心にツッコミを入れているうち、3人は和んだ雰囲気で帰宅する。そんな3人を迎えた静は、軽く不機嫌になりつつも、部屋に入るように指示する。  　春太、みやこ、心を前にした静は、みやこのストーカー問題と、春太による心の殴打事件について、中立の立場の自分が仕切るのが適任だと言って、冷静に問題点を挙げ、解決方法を理路整然と提示していく静。やがて、みやこの問題になったとき、春太がみやこを擁護する発言をし…。</v>
      </c>
      <c r="O585" s="2"/>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row>
    <row r="586" ht="204.75" customHeight="1">
      <c r="A586" s="1">
        <v>2165.0</v>
      </c>
      <c r="B586" s="2" t="s">
        <v>1866</v>
      </c>
      <c r="C586" s="2">
        <f>IFERROR(__xludf.DUMMYFUNCTION("split(B586,""_"")"),1504.0)</f>
        <v>1504</v>
      </c>
      <c r="D586" s="2" t="str">
        <f>IFERROR(__xludf.DUMMYFUNCTION("""COMPUTED_VALUE"""),"CX")</f>
        <v>CX</v>
      </c>
      <c r="E586" s="2" t="str">
        <f>IFERROR(__xludf.DUMMYFUNCTION("""COMPUTED_VALUE"""),"水22")</f>
        <v>水22</v>
      </c>
      <c r="F586" s="2" t="s">
        <v>1867</v>
      </c>
      <c r="G586" s="2" t="s">
        <v>1883</v>
      </c>
      <c r="H586" s="1">
        <v>6.0</v>
      </c>
      <c r="I586" s="1" t="s">
        <v>21</v>
      </c>
      <c r="J586" s="1" t="s">
        <v>86</v>
      </c>
      <c r="K586" s="2" t="s">
        <v>1884</v>
      </c>
      <c r="L586" s="2" t="s">
        <v>1885</v>
      </c>
      <c r="M586" s="2" t="str">
        <f>IFERROR(__xludf.DUMMYFUNCTION("split(split(K586,""小島春太:　"",false),""kokopoki/"",false)"),"★公式HPも要チェック!  劇中にも出てくる「静のブログ」や、若手俳優たちによる「現場レポート」など、HPでしか見られないコンテンツがいっぱい!  URL:　http://www.fujitv.co.jp/")</f>
        <v>★公式HPも要チェック!  劇中にも出てくる「静のブログ」や、若手俳優たちによる「現場レポート」など、HPでしか見られないコンテンツがいっぱい!  URL:　http://www.fujitv.co.jp/</v>
      </c>
      <c r="N586" s="2" t="str">
        <f>IFERROR(__xludf.DUMMYFUNCTION("""COMPUTED_VALUE"""),"　小島春太(阿部サダヲ)と結婚する、と言い出した葉山みやこ(水原希子)に、春太は慌てるが、みやこは冗談で言っているのではない、自分と結婚するのは嫌なのか、と春太に迫る。  　その頃、鴨田静(山口智子)は、大竹心(藤木直人)に連れられて心の友人宅のパーティーに参加していた。初めて心の友人に会う静は、気合い十分でドレスアップしていたが、そこは予想に反してカジュアルな会だった。Tシャツにジーンズ姿の人たちの中、セレブのような出で立ちの静は完全に浮いてしまう。そんなとき、「圭子」と静の昔の名前を呼ぶ人がいた。静の"&amp;"同級生で、今や時の人となっている空間コーディネーターの波野栞(渡辺美奈代)だった。静と2人きりになった栞は、同業者の先輩として、と前置きをしながら、静に痛烈な言葉をお見舞いする。それが次々と心に刺さった静は、言い返すことが出来ない。  　一方春太はみやこに、結婚ではなく付き合うのではダメなのかと妥協案を出すが一蹴されてしまう。その後も、次々と正論をぶつける春太に怒ったみやこは、もう、結婚はしない、と言って出て行く。置き捨てられた婚姻届を見て複雑な思いになった春太は、みやこを追いかけるが、どこを探しても見つ"&amp;"からない。商店街へ入りゲームセンターをのぞくと、そこには静がいた。1人で黙々とモグラたたきをする静。やがて春太に気づいた静は、お願いがあると言う。みやこが気になりながらも、春太は…。")</f>
        <v>　小島春太(阿部サダヲ)と結婚する、と言い出した葉山みやこ(水原希子)に、春太は慌てるが、みやこは冗談で言っているのではない、自分と結婚するのは嫌なのか、と春太に迫る。  　その頃、鴨田静(山口智子)は、大竹心(藤木直人)に連れられて心の友人宅のパーティーに参加していた。初めて心の友人に会う静は、気合い十分でドレスアップしていたが、そこは予想に反してカジュアルな会だった。Tシャツにジーンズ姿の人たちの中、セレブのような出で立ちの静は完全に浮いてしまう。そんなとき、「圭子」と静の昔の名前を呼ぶ人がいた。静の同級生で、今や時の人となっている空間コーディネーターの波野栞(渡辺美奈代)だった。静と2人きりになった栞は、同業者の先輩として、と前置きをしながら、静に痛烈な言葉をお見舞いする。それが次々と心に刺さった静は、言い返すことが出来ない。  　一方春太はみやこに、結婚ではなく付き合うのではダメなのかと妥協案を出すが一蹴されてしまう。その後も、次々と正論をぶつける春太に怒ったみやこは、もう、結婚はしない、と言って出て行く。置き捨てられた婚姻届を見て複雑な思いになった春太は、みやこを追いかけるが、どこを探しても見つからない。商店街へ入りゲームセンターをのぞくと、そこには静がいた。1人で黙々とモグラたたきをする静。やがて春太に気づいた静は、お願いがあると言う。みやこが気になりながらも、春太は…。</v>
      </c>
      <c r="O586" s="2"/>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row>
    <row r="587" ht="204.75" customHeight="1">
      <c r="A587" s="1">
        <v>2166.0</v>
      </c>
      <c r="B587" s="2" t="s">
        <v>1866</v>
      </c>
      <c r="C587" s="2">
        <f>IFERROR(__xludf.DUMMYFUNCTION("split(B587,""_"")"),1504.0)</f>
        <v>1504</v>
      </c>
      <c r="D587" s="2" t="str">
        <f>IFERROR(__xludf.DUMMYFUNCTION("""COMPUTED_VALUE"""),"CX")</f>
        <v>CX</v>
      </c>
      <c r="E587" s="2" t="str">
        <f>IFERROR(__xludf.DUMMYFUNCTION("""COMPUTED_VALUE"""),"水22")</f>
        <v>水22</v>
      </c>
      <c r="F587" s="2" t="s">
        <v>1867</v>
      </c>
      <c r="G587" s="2" t="s">
        <v>1886</v>
      </c>
      <c r="H587" s="1">
        <v>7.0</v>
      </c>
      <c r="I587" s="1" t="s">
        <v>25</v>
      </c>
      <c r="J587" s="1" t="s">
        <v>86</v>
      </c>
      <c r="K587" s="2" t="s">
        <v>1887</v>
      </c>
      <c r="L587" s="2" t="s">
        <v>1888</v>
      </c>
      <c r="M587" s="2" t="str">
        <f>IFERROR(__xludf.DUMMYFUNCTION("split(split(K587,""小島春太:　"",false),""kokopoki/"",false)"),"★公式HPも要チェック!  劇中にも出てくる「静のブログ」や、若手俳優たちによる「現場レポート」など、HPでしか見られないコンテンツがいっぱい!  URL:　http://www.fujitv.co.jp/")</f>
        <v>★公式HPも要チェック!  劇中にも出てくる「静のブログ」や、若手俳優たちによる「現場レポート」など、HPでしか見られないコンテンツがいっぱい!  URL:　http://www.fujitv.co.jp/</v>
      </c>
      <c r="N587" s="2" t="str">
        <f>IFERROR(__xludf.DUMMYFUNCTION("""COMPUTED_VALUE"""),"　倉庫で目を覚ました小島春太(阿部サダヲ)は、そばにいた大竹心(藤木直人)から、春太と心が一階に、葉山みやこ(水原希子)と鴨田静(山口智子)が二階に住むことになったと聞く。酒に酔った自分が何かひどいことをしたのでは、と不安になる春太に「ぶっちゃけていた」と心は明かすが、詳細は話してくれない。  　同じ頃、みやこと静は朝食をとりながら、みやこがキスをされた心にドキドキしなかった原因について分析していた。  　「最低」と言われ、何かケジメをつけなければと息巻く心をよそに、不安を抱えながらも部屋を出た春太は、い"&amp;"つもの公園で牧野江里子(山下リオ)に出会う。昨日、江里子も海に来ていたことを思い出した春太があいさつをすると、江里子は、昨日は面白いものを見せてもらったと言い、春太の暴走の様子を収録した音声を聞かせる。  　江里子と別れた春太が「リオ　ボニート!」への道を歩いていると、春太を見かけて驚く女性がいた。その女性ー野村郁子(岡本玲)は、春太を追って「リオ　ボニート!」までやってくる。  　疲れ切った春太が店に入ると、春太を待っていた糸山扶美(徳永えり)が声をかけてくる。しかし、いつもと様子の違う扶美に、春太は逆"&amp;"にペースを乱される。さらに、庄司加代子(池津祥子)、富田涼(永瀬匡)にも心を乱された春太は、一人になりたくて公園へ。ところが、そこで静に会ってしまう。春太は昨日のことを謝るが…。")</f>
        <v>　倉庫で目を覚ました小島春太(阿部サダヲ)は、そばにいた大竹心(藤木直人)から、春太と心が一階に、葉山みやこ(水原希子)と鴨田静(山口智子)が二階に住むことになったと聞く。酒に酔った自分が何かひどいことをしたのでは、と不安になる春太に「ぶっちゃけていた」と心は明かすが、詳細は話してくれない。  　同じ頃、みやこと静は朝食をとりながら、みやこがキスをされた心にドキドキしなかった原因について分析していた。  　「最低」と言われ、何かケジメをつけなければと息巻く心をよそに、不安を抱えながらも部屋を出た春太は、いつもの公園で牧野江里子(山下リオ)に出会う。昨日、江里子も海に来ていたことを思い出した春太があいさつをすると、江里子は、昨日は面白いものを見せてもらったと言い、春太の暴走の様子を収録した音声を聞かせる。  　江里子と別れた春太が「リオ　ボニート!」への道を歩いていると、春太を見かけて驚く女性がいた。その女性ー野村郁子(岡本玲)は、春太を追って「リオ　ボニート!」までやってくる。  　疲れ切った春太が店に入ると、春太を待っていた糸山扶美(徳永えり)が声をかけてくる。しかし、いつもと様子の違う扶美に、春太は逆にペースを乱される。さらに、庄司加代子(池津祥子)、富田涼(永瀬匡)にも心を乱された春太は、一人になりたくて公園へ。ところが、そこで静に会ってしまう。春太は昨日のことを謝るが…。</v>
      </c>
      <c r="O587" s="2"/>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row>
    <row r="588" ht="204.75" customHeight="1">
      <c r="A588" s="1">
        <v>2167.0</v>
      </c>
      <c r="B588" s="2" t="s">
        <v>1866</v>
      </c>
      <c r="C588" s="2">
        <f>IFERROR(__xludf.DUMMYFUNCTION("split(B588,""_"")"),1504.0)</f>
        <v>1504</v>
      </c>
      <c r="D588" s="2" t="str">
        <f>IFERROR(__xludf.DUMMYFUNCTION("""COMPUTED_VALUE"""),"CX")</f>
        <v>CX</v>
      </c>
      <c r="E588" s="2" t="str">
        <f>IFERROR(__xludf.DUMMYFUNCTION("""COMPUTED_VALUE"""),"水22")</f>
        <v>水22</v>
      </c>
      <c r="F588" s="2" t="s">
        <v>1867</v>
      </c>
      <c r="G588" s="2" t="s">
        <v>1889</v>
      </c>
      <c r="H588" s="1">
        <v>8.0</v>
      </c>
      <c r="I588" s="1" t="s">
        <v>29</v>
      </c>
      <c r="J588" s="1" t="s">
        <v>86</v>
      </c>
      <c r="K588" s="2" t="s">
        <v>1890</v>
      </c>
      <c r="L588" s="2" t="s">
        <v>1891</v>
      </c>
      <c r="M588" s="2" t="str">
        <f>IFERROR(__xludf.DUMMYFUNCTION("split(split(K588,""小島春太:　"",false),""kokopoki/"",false)"),"★公式HPも要チェック!  劇中にも出てくる「静のブログ」や、若手俳優たちによる「現場レポート」など、HPでしか見られないコンテンツがいっぱい!  URL:　http://www.fujitv.co.jp/")</f>
        <v>★公式HPも要チェック!  劇中にも出てくる「静のブログ」や、若手俳優たちによる「現場レポート」など、HPでしか見られないコンテンツがいっぱい!  URL:　http://www.fujitv.co.jp/</v>
      </c>
      <c r="N588" s="2" t="str">
        <f>IFERROR(__xludf.DUMMYFUNCTION("""COMPUTED_VALUE"""),"　小島春太(阿部サダヲ)と大竹心(藤木直人)が倉庫の1階に、葉山みやこ(水原希子)と鴨田静(山口智子)が2階に暮らし始めて数日、春太は心と、みやこは静と穏やかな時間を過ごしながら、それぞれの恋愛観や家族などについて、突っ込んだ話をするようになる。そんななか、みやこの母親と静が同い年であることが発覚し、静は驚がくする。  　「リオ　ボニート!」では、一夜を共に過ごした富田涼(永瀬匡)と庄司加代子(池津祥子)が気まずい雰囲気のなか、黙り込んでいた。その頃、作業場にいた春太は、みやこに頼まれたオルゴールの修理に"&amp;"没頭していた。そこへ、糸山扶美(徳永えり)がひとりの女性を連れて店内へ戻ってくる。女性は、春太の母親の久江(市毛良枝)だった。知人の見舞いのついでに顔を見に来た、という母親との久しぶりの再会に、春太は複雑な思いになる。すると再び扶美が来て、あれこれとおせっかいを焼いたため、結局、春太は母親を倉庫に案内するはめになる。  　その頃、みやこ、静、心は一緒に倉庫に戻ってくるが、2階から物音がしたため警戒する。そんなところへ、春太と久江がやってくる。春太の元妻である静を見た久江は驚き、春太が事情を説明しようとした"&amp;"とき、部屋からある女性が出てきた。「マリさん!」と心が声をかけた女性は、心の母親のマリ(烏丸せつこ)だった。まったく予期せぬ状況に春太は…。")</f>
        <v>　小島春太(阿部サダヲ)と大竹心(藤木直人)が倉庫の1階に、葉山みやこ(水原希子)と鴨田静(山口智子)が2階に暮らし始めて数日、春太は心と、みやこは静と穏やかな時間を過ごしながら、それぞれの恋愛観や家族などについて、突っ込んだ話をするようになる。そんななか、みやこの母親と静が同い年であることが発覚し、静は驚がくする。  　「リオ　ボニート!」では、一夜を共に過ごした富田涼(永瀬匡)と庄司加代子(池津祥子)が気まずい雰囲気のなか、黙り込んでいた。その頃、作業場にいた春太は、みやこに頼まれたオルゴールの修理に没頭していた。そこへ、糸山扶美(徳永えり)がひとりの女性を連れて店内へ戻ってくる。女性は、春太の母親の久江(市毛良枝)だった。知人の見舞いのついでに顔を見に来た、という母親との久しぶりの再会に、春太は複雑な思いになる。すると再び扶美が来て、あれこれとおせっかいを焼いたため、結局、春太は母親を倉庫に案内するはめになる。  　その頃、みやこ、静、心は一緒に倉庫に戻ってくるが、2階から物音がしたため警戒する。そんなところへ、春太と久江がやってくる。春太の元妻である静を見た久江は驚き、春太が事情を説明しようとしたとき、部屋からある女性が出てきた。「マリさん!」と心が声をかけた女性は、心の母親のマリ(烏丸せつこ)だった。まったく予期せぬ状況に春太は…。</v>
      </c>
      <c r="O588" s="2"/>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row>
    <row r="589" ht="204.75" customHeight="1">
      <c r="A589" s="1">
        <v>2168.0</v>
      </c>
      <c r="B589" s="2" t="s">
        <v>1866</v>
      </c>
      <c r="C589" s="2">
        <f>IFERROR(__xludf.DUMMYFUNCTION("split(B589,""_"")"),1504.0)</f>
        <v>1504</v>
      </c>
      <c r="D589" s="2" t="str">
        <f>IFERROR(__xludf.DUMMYFUNCTION("""COMPUTED_VALUE"""),"CX")</f>
        <v>CX</v>
      </c>
      <c r="E589" s="2" t="str">
        <f>IFERROR(__xludf.DUMMYFUNCTION("""COMPUTED_VALUE"""),"水22")</f>
        <v>水22</v>
      </c>
      <c r="F589" s="2" t="s">
        <v>1867</v>
      </c>
      <c r="G589" s="2" t="s">
        <v>1892</v>
      </c>
      <c r="H589" s="1">
        <v>9.0</v>
      </c>
      <c r="I589" s="1" t="s">
        <v>33</v>
      </c>
      <c r="J589" s="1" t="s">
        <v>86</v>
      </c>
      <c r="K589" s="2" t="s">
        <v>1893</v>
      </c>
      <c r="L589" s="2" t="s">
        <v>1894</v>
      </c>
      <c r="M589" s="2" t="str">
        <f>IFERROR(__xludf.DUMMYFUNCTION("split(split(K589,""小島春太:　"",false),""kokopoki/"",false)"),"★公式HPも要チェック!  劇中にも出てくる「静のブログ」や、若手俳優たちによる「現場レポート」など、HPでしか見られないコンテンツがいっぱい!  URL:　http://www.fujitv.co.jp/")</f>
        <v>★公式HPも要チェック!  劇中にも出てくる「静のブログ」や、若手俳優たちによる「現場レポート」など、HPでしか見られないコンテンツがいっぱい!  URL:　http://www.fujitv.co.jp/</v>
      </c>
      <c r="N589" s="2" t="str">
        <f>IFERROR(__xludf.DUMMYFUNCTION("""COMPUTED_VALUE"""),"　小島春太(阿部サダヲ)と葉山みやこ(水原希子)が倉庫の1階、鴨田静(山口智子)と大竹心(藤木直人)が2階と、4人は再び元どおりの組み合わせで暮らすことになった。春太は、一人にしないと約束したみやこに「世界で一番都合がいい男」と呼ばれながらも、穏やかに過ぎる時間に幸せを感じていた。  　一方、改めて恋を始めた静と心は、恋人らしい関係を築きつつあった。そんな折、心は春太に、恋人とうまくいくようになったら、次のステップは結婚なのか、結婚となればどれほど大変なことがあるのか教えて欲しい、と教えを請いに来る。  "&amp;"　その後、家に戻った春太を、ご機嫌なみやこと静が迎える。何か良いことがあったのか、と聞く春太に、静がウエディングに関する本を出版できることになった、と伝えた。とはいえ、リアリティーを追求した本のため、モデルとなる新郎新婦は、実際に近々挙式するカップルに頼むという。そこで、ひらめいたみやこが、富田涼(永瀬匡)と庄司加代子(池津祥子)を推薦する。  　さらに、みやこは、仕事で知り合ったカメラマンからモデルにスカウトされたことを春太に明かす。みやこは大変そうだから、と誘いを断ったという。春太はそんなみやこを説得"&amp;"し、ついに、もう一度カメラマンと連絡を取ると約束した。しかし、みやこが仕事より、自分との暮らしを大事に思っていると気づいた春太は…。")</f>
        <v>　小島春太(阿部サダヲ)と葉山みやこ(水原希子)が倉庫の1階、鴨田静(山口智子)と大竹心(藤木直人)が2階と、4人は再び元どおりの組み合わせで暮らすことになった。春太は、一人にしないと約束したみやこに「世界で一番都合がいい男」と呼ばれながらも、穏やかに過ぎる時間に幸せを感じていた。  　一方、改めて恋を始めた静と心は、恋人らしい関係を築きつつあった。そんな折、心は春太に、恋人とうまくいくようになったら、次のステップは結婚なのか、結婚となればどれほど大変なことがあるのか教えて欲しい、と教えを請いに来る。  　その後、家に戻った春太を、ご機嫌なみやこと静が迎える。何か良いことがあったのか、と聞く春太に、静がウエディングに関する本を出版できることになった、と伝えた。とはいえ、リアリティーを追求した本のため、モデルとなる新郎新婦は、実際に近々挙式するカップルに頼むという。そこで、ひらめいたみやこが、富田涼(永瀬匡)と庄司加代子(池津祥子)を推薦する。  　さらに、みやこは、仕事で知り合ったカメラマンからモデルにスカウトされたことを春太に明かす。みやこは大変そうだから、と誘いを断ったという。春太はそんなみやこを説得し、ついに、もう一度カメラマンと連絡を取ると約束した。しかし、みやこが仕事より、自分との暮らしを大事に思っていると気づいた春太は…。</v>
      </c>
      <c r="O589" s="2"/>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row>
    <row r="590" ht="204.75" customHeight="1">
      <c r="A590" s="1">
        <v>2169.0</v>
      </c>
      <c r="B590" s="2" t="s">
        <v>1866</v>
      </c>
      <c r="C590" s="2">
        <f>IFERROR(__xludf.DUMMYFUNCTION("split(B590,""_"")"),1504.0)</f>
        <v>1504</v>
      </c>
      <c r="D590" s="2" t="str">
        <f>IFERROR(__xludf.DUMMYFUNCTION("""COMPUTED_VALUE"""),"CX")</f>
        <v>CX</v>
      </c>
      <c r="E590" s="2" t="str">
        <f>IFERROR(__xludf.DUMMYFUNCTION("""COMPUTED_VALUE"""),"水22")</f>
        <v>水22</v>
      </c>
      <c r="F590" s="2" t="s">
        <v>1867</v>
      </c>
      <c r="G590" s="2" t="s">
        <v>1895</v>
      </c>
      <c r="H590" s="1">
        <v>10.0</v>
      </c>
      <c r="I590" s="1" t="s">
        <v>37</v>
      </c>
      <c r="J590" s="1" t="s">
        <v>86</v>
      </c>
      <c r="K590" s="2" t="s">
        <v>1896</v>
      </c>
      <c r="L590" s="2" t="s">
        <v>1897</v>
      </c>
      <c r="M590" s="2" t="str">
        <f>IFERROR(__xludf.DUMMYFUNCTION("split(split(K590,""小島春太:　"",false),""kokopoki/"",false)"),"★公式HPも要チェック!  劇中にも出てくる「静のブログ」や、若手俳優たちによる「現場レポート」など、HPでしか見られないコンテンツがいっぱい!  URL:　http://www.fujitv.co.jp/")</f>
        <v>★公式HPも要チェック!  劇中にも出てくる「静のブログ」や、若手俳優たちによる「現場レポート」など、HPでしか見られないコンテンツがいっぱい!  URL:　http://www.fujitv.co.jp/</v>
      </c>
      <c r="N590" s="2" t="str">
        <f>IFERROR(__xludf.DUMMYFUNCTION("""COMPUTED_VALUE"""),"　大竹心(藤木直人)が、何も言わずに旅に出たのは、自分が強引に結婚の話を進めたからだ、と鴨田静(山口智子)は責任を感じていた。小島春太(阿部サダヲ)は、心は静との結婚にあたり、考えていることがあると言っていたから静に責任はない、と明かし、むしろ、自分が結婚について幻滅させるような話をしたからではないか、と謝罪する。静は、相手が帰ってくるかどうかもわからないようでは仕方がない、とウエディングの本の出版を断ることを決めた。  　そんな静を見ていた葉山みやこ(水原希子)は、突然のことにも取り乱さず気丈に振る舞え"&amp;"る静はかっこいい、と感心する。しかし付き合いの長い春太は、内心では取り乱しているだろうけれど、必死で持ちこたえようとしているのでは、と静の気持ちを察していた。みやこは、そんな憂いを含んだ春太の表情が妙に気になり…。  　その頃、心は人知れず暗い洞窟の中にいた。真剣な表情で、奥へと進んで行く…。  　翌日、春太は「リオ　ボニート!」の糸山扶美(徳永えり)に電話をかけ、心の交友関係について聞いた。静のために、と必死になって心の行方を探す春太を見たみやこは、少し複雑な思いになる。  　静が心配な春太は、静を夕食"&amp;"に誘うと、台所でみやこを含めた3人分の食事の用意を始める。そこへ、みやこ、静が帰ってきて…。")</f>
        <v>　大竹心(藤木直人)が、何も言わずに旅に出たのは、自分が強引に結婚の話を進めたからだ、と鴨田静(山口智子)は責任を感じていた。小島春太(阿部サダヲ)は、心は静との結婚にあたり、考えていることがあると言っていたから静に責任はない、と明かし、むしろ、自分が結婚について幻滅させるような話をしたからではないか、と謝罪する。静は、相手が帰ってくるかどうかもわからないようでは仕方がない、とウエディングの本の出版を断ることを決めた。  　そんな静を見ていた葉山みやこ(水原希子)は、突然のことにも取り乱さず気丈に振る舞える静はかっこいい、と感心する。しかし付き合いの長い春太は、内心では取り乱しているだろうけれど、必死で持ちこたえようとしているのでは、と静の気持ちを察していた。みやこは、そんな憂いを含んだ春太の表情が妙に気になり…。  　その頃、心は人知れず暗い洞窟の中にいた。真剣な表情で、奥へと進んで行く…。  　翌日、春太は「リオ　ボニート!」の糸山扶美(徳永えり)に電話をかけ、心の交友関係について聞いた。静のために、と必死になって心の行方を探す春太を見たみやこは、少し複雑な思いになる。  　静が心配な春太は、静を夕食に誘うと、台所でみやこを含めた3人分の食事の用意を始める。そこへ、みやこ、静が帰ってきて…。</v>
      </c>
      <c r="O590" s="2"/>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row>
    <row r="591" ht="204.75" customHeight="1">
      <c r="A591" s="1">
        <v>2190.0</v>
      </c>
      <c r="B591" s="2" t="s">
        <v>1898</v>
      </c>
      <c r="C591" s="2">
        <f>IFERROR(__xludf.DUMMYFUNCTION("split(B591,""_"")"),1504.0)</f>
        <v>1504</v>
      </c>
      <c r="D591" s="2" t="str">
        <f>IFERROR(__xludf.DUMMYFUNCTION("""COMPUTED_VALUE"""),"CX")</f>
        <v>CX</v>
      </c>
      <c r="E591" s="2" t="str">
        <f>IFERROR(__xludf.DUMMYFUNCTION("""COMPUTED_VALUE"""),"木22")</f>
        <v>木22</v>
      </c>
      <c r="F591" s="2" t="s">
        <v>1899</v>
      </c>
      <c r="G591" s="2" t="s">
        <v>1900</v>
      </c>
      <c r="H591" s="1">
        <v>1.0</v>
      </c>
      <c r="I591" s="1" t="s">
        <v>3</v>
      </c>
      <c r="J591" s="1" t="s">
        <v>82</v>
      </c>
      <c r="K591" s="4" t="s">
        <v>1901</v>
      </c>
      <c r="L591" s="2"/>
      <c r="M591" s="2" t="str">
        <f>IFERROR(__xludf.DUMMYFUNCTION("split(split(K591,""守田春樹:　"",false),""HPをご覧ください!　"",false)"),"ドラマを生で見よう!各ドラマ総額100万円が当たる『DRAMA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f>
        <v>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v>
      </c>
      <c r="N591" s="2" t="str">
        <f>IFERROR(__xludf.DUMMYFUNCTION("""COMPUTED_VALUE"""),"外科医の守田春樹(斎藤工)は、腕を磨くために、江洋医科大学附属病院の第一外科准教授の先輩・仁志祐介(伊原剛志)を頼り、同病院に移籍することになった。ホテルで仁志と会っていた春樹は、披露宴会場で来客のひとりが吐血して倒れたことを知り、現場に駆けつける。すでにそこでは、披露宴に出席していた江洋医科大学附属病院の外科医・近藤千鶴(石田ゆり子)が処置にあたっていた。ところがそこに、千鶴の担当患者の容体が急変したとの知らせが入る。春樹は、ここは自分が引き継ぐと千鶴に申し出る。  　あくる日、江洋医科大学附属病院を訪"&amp;"れた春樹は、千鶴と再会し、一緒に働くことになったことを伝える。朝、カンファレンスルームでは、シングルマザーの麻酔医・河合奈々(相武紗季)、第一外科講師の高橋宗太郎(平山浩行)、内科医・市川友子(板谷由夏)らスタッフの前で、経営本部長の渡辺幹夫(生瀬勝久)が話をしていた。渡辺は、不貞行為を働いた医局長を退職させたことを報告し、今後は院内の恋愛トラブルに厳しく対処すると宣言する。春樹は、先輩医師の大根良太(三宅弘城)から、紹介状に書いてあること以外は診るなとの忠告を受け、さっそく外来患者の診察にあたる。しかし"&amp;"春樹は、紹介オペの患者を自分の判断で帰してしまい、大根と衝突してしまう。そんな折、春樹は、千鶴の担当患者で、間もなく退院予定だった三浦が体の不調を訴えていることを知り・・・。")</f>
        <v>外科医の守田春樹(斎藤工)は、腕を磨くために、江洋医科大学附属病院の第一外科准教授の先輩・仁志祐介(伊原剛志)を頼り、同病院に移籍することになった。ホテルで仁志と会っていた春樹は、披露宴会場で来客のひとりが吐血して倒れたことを知り、現場に駆けつける。すでにそこでは、披露宴に出席していた江洋医科大学附属病院の外科医・近藤千鶴(石田ゆり子)が処置にあたっていた。ところがそこに、千鶴の担当患者の容体が急変したとの知らせが入る。春樹は、ここは自分が引き継ぐと千鶴に申し出る。  　あくる日、江洋医科大学附属病院を訪れた春樹は、千鶴と再会し、一緒に働くことになったことを伝える。朝、カンファレンスルームでは、シングルマザーの麻酔医・河合奈々(相武紗季)、第一外科講師の高橋宗太郎(平山浩行)、内科医・市川友子(板谷由夏)らスタッフの前で、経営本部長の渡辺幹夫(生瀬勝久)が話をしていた。渡辺は、不貞行為を働いた医局長を退職させたことを報告し、今後は院内の恋愛トラブルに厳しく対処すると宣言する。春樹は、先輩医師の大根良太(三宅弘城)から、紹介状に書いてあること以外は診るなとの忠告を受け、さっそく外来患者の診察にあたる。しかし春樹は、紹介オペの患者を自分の判断で帰してしまい、大根と衝突してしまう。そんな折、春樹は、千鶴の担当患者で、間もなく退院予定だった三浦が体の不調を訴えていることを知り・・・。</v>
      </c>
      <c r="O591" s="2"/>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row>
    <row r="592" ht="204.75" customHeight="1">
      <c r="A592" s="1">
        <v>2191.0</v>
      </c>
      <c r="B592" s="2" t="s">
        <v>1898</v>
      </c>
      <c r="C592" s="2">
        <f>IFERROR(__xludf.DUMMYFUNCTION("split(B592,""_"")"),1504.0)</f>
        <v>1504</v>
      </c>
      <c r="D592" s="2" t="str">
        <f>IFERROR(__xludf.DUMMYFUNCTION("""COMPUTED_VALUE"""),"CX")</f>
        <v>CX</v>
      </c>
      <c r="E592" s="2" t="str">
        <f>IFERROR(__xludf.DUMMYFUNCTION("""COMPUTED_VALUE"""),"木22")</f>
        <v>木22</v>
      </c>
      <c r="F592" s="2" t="s">
        <v>1899</v>
      </c>
      <c r="G592" s="2" t="s">
        <v>1902</v>
      </c>
      <c r="H592" s="1">
        <v>2.0</v>
      </c>
      <c r="I592" s="1" t="s">
        <v>7</v>
      </c>
      <c r="J592" s="1" t="s">
        <v>82</v>
      </c>
      <c r="K592" s="2" t="s">
        <v>1903</v>
      </c>
      <c r="L592" s="2"/>
      <c r="M592" s="2" t="str">
        <f>IFERROR(__xludf.DUMMYFUNCTION("split(split(K592,""守田春樹:　"",false),""HPをご覧ください!　"",false)"),"ドラマを生で見よう!各ドラマ総額100万円が当たる『DRAMA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f>
        <v>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v>
      </c>
      <c r="N592" s="2" t="str">
        <f>IFERROR(__xludf.DUMMYFUNCTION("""COMPUTED_VALUE"""),"守田春樹(斎藤工)は、担当だった患者の死にショックを受けている近藤千鶴(石田ゆり子)を抱きしめた。だが、その姿を高橋宗太郎(平山浩行)に見られていたことには気づかなかった。千鶴は、ルール違反のオペをしたことに対するペナルティで、通常より多くの仕事をこなさなければならなくなっていた。ある夜、春樹とともに当直になった千鶴は、この間のことは忘れるからと告げる。続けて、優しすぎる医者はここではやっていけないと忠告する千鶴。すると春樹は、優しいから抱きしめたのではない「千鶴先生だから」だと答え・・・。  　そのころ"&amp;"、春樹たちが勤務する江洋医科大学附属病院の第一外科では、千鶴と宗太郎のどちらが次期医局長になるか注目を集めていた。千鶴の親友で内科医の市川友子(板谷由夏)や、麻酔医の河合奈々(相武紗季)は、千鶴に医局長になってほしいという。実は、准教授の仁志(伊原剛志)や病院の実権を握る経営本部長の渡辺(生瀬勝久)も、あるもくろみがあって千鶴を医局長に推していた。  　そんなある夜、春樹は、疲れて眠ってしまった千鶴に代わって、腹痛を訴えていた患者の処置をする。目を覚まし、事情を知った千鶴から、お礼をすると言われた春樹は、"&amp;"お礼の代わりに今度食事に行きましょうと誘う。そこに、春樹がかつて交際していた女性・由梨絵(小松彩夏)から、助けを求める電話が入る。")</f>
        <v>守田春樹(斎藤工)は、担当だった患者の死にショックを受けている近藤千鶴(石田ゆり子)を抱きしめた。だが、その姿を高橋宗太郎(平山浩行)に見られていたことには気づかなかった。千鶴は、ルール違反のオペをしたことに対するペナルティで、通常より多くの仕事をこなさなければならなくなっていた。ある夜、春樹とともに当直になった千鶴は、この間のことは忘れるからと告げる。続けて、優しすぎる医者はここではやっていけないと忠告する千鶴。すると春樹は、優しいから抱きしめたのではない「千鶴先生だから」だと答え・・・。  　そのころ、春樹たちが勤務する江洋医科大学附属病院の第一外科では、千鶴と宗太郎のどちらが次期医局長になるか注目を集めていた。千鶴の親友で内科医の市川友子(板谷由夏)や、麻酔医の河合奈々(相武紗季)は、千鶴に医局長になってほしいという。実は、准教授の仁志(伊原剛志)や病院の実権を握る経営本部長の渡辺(生瀬勝久)も、あるもくろみがあって千鶴を医局長に推していた。  　そんなある夜、春樹は、疲れて眠ってしまった千鶴に代わって、腹痛を訴えていた患者の処置をする。目を覚まし、事情を知った千鶴から、お礼をすると言われた春樹は、お礼の代わりに今度食事に行きましょうと誘う。そこに、春樹がかつて交際していた女性・由梨絵(小松彩夏)から、助けを求める電話が入る。</v>
      </c>
      <c r="O592" s="2"/>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row>
    <row r="593" ht="204.75" customHeight="1">
      <c r="A593" s="1">
        <v>2192.0</v>
      </c>
      <c r="B593" s="2" t="s">
        <v>1898</v>
      </c>
      <c r="C593" s="2">
        <f>IFERROR(__xludf.DUMMYFUNCTION("split(B593,""_"")"),1504.0)</f>
        <v>1504</v>
      </c>
      <c r="D593" s="2" t="str">
        <f>IFERROR(__xludf.DUMMYFUNCTION("""COMPUTED_VALUE"""),"CX")</f>
        <v>CX</v>
      </c>
      <c r="E593" s="2" t="str">
        <f>IFERROR(__xludf.DUMMYFUNCTION("""COMPUTED_VALUE"""),"木22")</f>
        <v>木22</v>
      </c>
      <c r="F593" s="2" t="s">
        <v>1899</v>
      </c>
      <c r="G593" s="2" t="s">
        <v>1904</v>
      </c>
      <c r="H593" s="1">
        <v>3.0</v>
      </c>
      <c r="I593" s="1" t="s">
        <v>10</v>
      </c>
      <c r="J593" s="1" t="s">
        <v>86</v>
      </c>
      <c r="K593" s="4" t="s">
        <v>1905</v>
      </c>
      <c r="L593" s="2" t="s">
        <v>1906</v>
      </c>
      <c r="M593" s="2" t="str">
        <f>IFERROR(__xludf.DUMMYFUNCTION("split(split(K593,""守田春樹:　"",false),""HPをご覧ください!　"",false)"),"守田春樹(斎藤工)は近藤千鶴(石田ゆり子)と高橋宗太郎(平山浩行)がキスしているところを目撃する。宗太郎は春樹に気づいたが千鶴は気づいていなかった。そこへ術後の患者の容体が急変したとの知らせが入る。3人は病室へと駆けつけ処置にあたった。  　あくる朝、医局に見知らぬ女性・白石久仁子(床嶋佳子)が現れる。寝袋で寝ていた春樹に声をかけると、医局を出ていく久仁子。入れ違いでやってきた大根良太(三宅弘城)は、春樹が年上の女性を連れ込んだと千鶴に告げ口した。そこに、急患2名が運び込まれる。解体中の建物の倒壊に巻き込"&amp;"まれた菊池正文(今野浩喜)と10歳年上の妻・なつみ(須藤理彩)だ。なつみは、妊娠12週だった。春樹は正文の、千鶴は産科医とともになつみの処置にあたる。正文は左肩を脱臼していたが、なつみのケガは軽く、お腹の子も無事だった。カンファレンスルームでは、経営本部長の渡辺幹夫(生瀬勝久)が、第一外科教授の永島淳三(金田明夫)の退職をみんなに報告する。研究費の不正流用があったらしい。大根は、さんざん教授にゴマをすっていたのに残念だったなと宗太郎をからかった。永島は、仁志祐介(伊原剛志)に、自分がいなくなれば次の教授は"&amp;"君だろうと告げる。そんな中、春樹は、宗太郎が宿直室に看護師を連れ込んでいるところを目撃し、彼と口論になる。千鶴の唇は柔らかかったと挑発された春樹は、思わず宗太郎につかみかかり…。")</f>
        <v>守田春樹(斎藤工)は近藤千鶴(石田ゆり子)と高橋宗太郎(平山浩行)がキスしているところを目撃する。宗太郎は春樹に気づいたが千鶴は気づいていなかった。そこへ術後の患者の容体が急変したとの知らせが入る。3人は病室へと駆けつけ処置にあたった。  　あくる朝、医局に見知らぬ女性・白石久仁子(床嶋佳子)が現れる。寝袋で寝ていた春樹に声をかけると、医局を出ていく久仁子。入れ違いでやってきた大根良太(三宅弘城)は、春樹が年上の女性を連れ込んだと千鶴に告げ口した。そこに、急患2名が運び込まれる。解体中の建物の倒壊に巻き込まれた菊池正文(今野浩喜)と10歳年上の妻・なつみ(須藤理彩)だ。なつみは、妊娠12週だった。春樹は正文の、千鶴は産科医とともになつみの処置にあたる。正文は左肩を脱臼していたが、なつみのケガは軽く、お腹の子も無事だった。カンファレンスルームでは、経営本部長の渡辺幹夫(生瀬勝久)が、第一外科教授の永島淳三(金田明夫)の退職をみんなに報告する。研究費の不正流用があったらしい。大根は、さんざん教授にゴマをすっていたのに残念だったなと宗太郎をからかった。永島は、仁志祐介(伊原剛志)に、自分がいなくなれば次の教授は君だろうと告げる。そんな中、春樹は、宗太郎が宿直室に看護師を連れ込んでいるところを目撃し、彼と口論になる。千鶴の唇は柔らかかったと挑発された春樹は、思わず宗太郎につかみかかり…。</v>
      </c>
      <c r="N593" s="2"/>
      <c r="O593" s="2"/>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row>
    <row r="594" ht="204.75" customHeight="1">
      <c r="A594" s="1">
        <v>2193.0</v>
      </c>
      <c r="B594" s="2" t="s">
        <v>1898</v>
      </c>
      <c r="C594" s="2">
        <f>IFERROR(__xludf.DUMMYFUNCTION("split(B594,""_"")"),1504.0)</f>
        <v>1504</v>
      </c>
      <c r="D594" s="2" t="str">
        <f>IFERROR(__xludf.DUMMYFUNCTION("""COMPUTED_VALUE"""),"CX")</f>
        <v>CX</v>
      </c>
      <c r="E594" s="2" t="str">
        <f>IFERROR(__xludf.DUMMYFUNCTION("""COMPUTED_VALUE"""),"木22")</f>
        <v>木22</v>
      </c>
      <c r="F594" s="2" t="s">
        <v>1899</v>
      </c>
      <c r="G594" s="2" t="s">
        <v>1907</v>
      </c>
      <c r="H594" s="1">
        <v>4.0</v>
      </c>
      <c r="I594" s="1" t="s">
        <v>14</v>
      </c>
      <c r="J594" s="1" t="s">
        <v>86</v>
      </c>
      <c r="K594" s="2" t="s">
        <v>1908</v>
      </c>
      <c r="L594" s="2" t="s">
        <v>1909</v>
      </c>
      <c r="M594" s="2" t="str">
        <f>IFERROR(__xludf.DUMMYFUNCTION("split(split(K594,""守田春樹:　"",false),""HPをご覧ください!　"",false)"),"守田春樹(斎藤工)は、乳頭部がんの手術を受けるために転院してきた患者・柏木誠司(鶴見辰吾)が、近藤千鶴(石田ゆり子)の婚約者だったことを知る。仁志祐介(伊原剛志)から、柏木がかつて江洋医科大学附属病院に勤務していた医師であること、ある出来事がきっかけで婚約が破談になったことを聞き、千鶴のようすが気になる春樹。柏木の手術は、彼の希望で千鶴が執刀医を務めることになった。春樹は、千鶴の助手をやらせてほしいと第一外科医局長の高橋宗太郎(平山浩行)に申し出る。経営本部長の渡辺幹夫(生瀬勝久)は、古い知り合いでも特別"&amp;"な感情移入はしないよう、千鶴にくぎを刺した。その夜、千鶴は、河合奈々(相武紗季)や市川友子(板谷由夏)と食事に出かける。そこで、友子が妊娠したこと、しかも父親が仁志であることを知り、驚く千鶴たち。奈々は、たくさんの人を傷つけてしまうから産まない方がいい、と言う友子に、最低だと怒りをぶつけ、店を飛び出した。千鶴は、感情に流されないでもう一度考えてみてほしい、と友子に助言するが・・・。そんなある日、外来に来ていた患者が倒れるという騒ぎが起きる。その患者とは、春樹の母・和佳子(根岸季衣)だった。")</f>
        <v>守田春樹(斎藤工)は、乳頭部がんの手術を受けるために転院してきた患者・柏木誠司(鶴見辰吾)が、近藤千鶴(石田ゆり子)の婚約者だったことを知る。仁志祐介(伊原剛志)から、柏木がかつて江洋医科大学附属病院に勤務していた医師であること、ある出来事がきっかけで婚約が破談になったことを聞き、千鶴のようすが気になる春樹。柏木の手術は、彼の希望で千鶴が執刀医を務めることになった。春樹は、千鶴の助手をやらせてほしいと第一外科医局長の高橋宗太郎(平山浩行)に申し出る。経営本部長の渡辺幹夫(生瀬勝久)は、古い知り合いでも特別な感情移入はしないよう、千鶴にくぎを刺した。その夜、千鶴は、河合奈々(相武紗季)や市川友子(板谷由夏)と食事に出かける。そこで、友子が妊娠したこと、しかも父親が仁志であることを知り、驚く千鶴たち。奈々は、たくさんの人を傷つけてしまうから産まない方がいい、と言う友子に、最低だと怒りをぶつけ、店を飛び出した。千鶴は、感情に流されないでもう一度考えてみてほしい、と友子に助言するが・・・。そんなある日、外来に来ていた患者が倒れるという騒ぎが起きる。その患者とは、春樹の母・和佳子(根岸季衣)だった。</v>
      </c>
      <c r="N594" s="2"/>
      <c r="O594" s="2"/>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row>
    <row r="595" ht="204.75" customHeight="1">
      <c r="A595" s="1">
        <v>2194.0</v>
      </c>
      <c r="B595" s="2" t="s">
        <v>1898</v>
      </c>
      <c r="C595" s="2">
        <f>IFERROR(__xludf.DUMMYFUNCTION("split(B595,""_"")"),1504.0)</f>
        <v>1504</v>
      </c>
      <c r="D595" s="2" t="str">
        <f>IFERROR(__xludf.DUMMYFUNCTION("""COMPUTED_VALUE"""),"CX")</f>
        <v>CX</v>
      </c>
      <c r="E595" s="2" t="str">
        <f>IFERROR(__xludf.DUMMYFUNCTION("""COMPUTED_VALUE"""),"木22")</f>
        <v>木22</v>
      </c>
      <c r="F595" s="2" t="s">
        <v>1899</v>
      </c>
      <c r="G595" s="2" t="s">
        <v>1910</v>
      </c>
      <c r="H595" s="1">
        <v>5.0</v>
      </c>
      <c r="I595" s="1" t="s">
        <v>17</v>
      </c>
      <c r="J595" s="1" t="s">
        <v>86</v>
      </c>
      <c r="K595" s="2" t="s">
        <v>1911</v>
      </c>
      <c r="L595" s="2" t="s">
        <v>1912</v>
      </c>
      <c r="M595" s="2" t="str">
        <f>IFERROR(__xludf.DUMMYFUNCTION("split(split(K595,""守田春樹:　"",false),""HPをご覧ください!　"",false)"),"守田春樹(斎藤工)たちが勤務する江洋医科大附属病院の第一外科に、医大生4人が研修体験にやってきた。そのなかのひとり、あずさ(東加奈子)は、案内役を務めていた近藤千鶴(石田ゆり子)に対して、仕事と恋愛は両立できるかと尋ねる。千鶴は、思いがけない質問に驚きながらも、外科医はプライベートを犠牲にしなければならない職業だと返す。  　高橋宗太郎(平山浩行)は、VIP患者・伊崎(平岳大)の退院を見送る。その際、伊崎は、河合奈々(相武紗季)に渡してほしいと言って名刺を手渡した。だが、それを預かった宗太郎は、なぜか名刺"&amp;"を握りつぶしてしまう。千鶴を訪ねて第一外科の医局にやってきた市川友子(板谷由夏)は、そこで仁志祐介(伊原剛志)に出会う。仁志から、お腹の子のことを尋ねられ、もういないと答える友子。偶然その会話を聞いてしまった春樹は、友子に真相を尋ねるが・・・。  　一方、経営本部長の渡辺幹夫(生瀬勝久)は、第一外科の売り上げ停滞を問題視し、顧客単価を上げるために、通常の開腹手術よりも点数の高い内視鏡手術の件数を増やすよう指示する。春樹はその提案に反発したが、体への負担が少ない内視鏡手術の方が患者のためになるのではないか、"&amp;"と渡辺に指摘され、反論できない。  　そんな折、手術予定時刻になっても麻酔医の奈々が現れないという騒動が起きる。春樹は、責任は自分がとると言って、奈々の代わりを務める。")</f>
        <v>守田春樹(斎藤工)たちが勤務する江洋医科大附属病院の第一外科に、医大生4人が研修体験にやってきた。そのなかのひとり、あずさ(東加奈子)は、案内役を務めていた近藤千鶴(石田ゆり子)に対して、仕事と恋愛は両立できるかと尋ねる。千鶴は、思いがけない質問に驚きながらも、外科医はプライベートを犠牲にしなければならない職業だと返す。  　高橋宗太郎(平山浩行)は、VIP患者・伊崎(平岳大)の退院を見送る。その際、伊崎は、河合奈々(相武紗季)に渡してほしいと言って名刺を手渡した。だが、それを預かった宗太郎は、なぜか名刺を握りつぶしてしまう。千鶴を訪ねて第一外科の医局にやってきた市川友子(板谷由夏)は、そこで仁志祐介(伊原剛志)に出会う。仁志から、お腹の子のことを尋ねられ、もういないと答える友子。偶然その会話を聞いてしまった春樹は、友子に真相を尋ねるが・・・。  　一方、経営本部長の渡辺幹夫(生瀬勝久)は、第一外科の売り上げ停滞を問題視し、顧客単価を上げるために、通常の開腹手術よりも点数の高い内視鏡手術の件数を増やすよう指示する。春樹はその提案に反発したが、体への負担が少ない内視鏡手術の方が患者のためになるのではないか、と渡辺に指摘され、反論できない。  　そんな折、手術予定時刻になっても麻酔医の奈々が現れないという騒動が起きる。春樹は、責任は自分がとると言って、奈々の代わりを務める。</v>
      </c>
      <c r="N595" s="2"/>
      <c r="O595" s="2"/>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row>
    <row r="596" ht="204.75" customHeight="1">
      <c r="A596" s="1">
        <v>2195.0</v>
      </c>
      <c r="B596" s="2" t="s">
        <v>1898</v>
      </c>
      <c r="C596" s="2">
        <f>IFERROR(__xludf.DUMMYFUNCTION("split(B596,""_"")"),1504.0)</f>
        <v>1504</v>
      </c>
      <c r="D596" s="2" t="str">
        <f>IFERROR(__xludf.DUMMYFUNCTION("""COMPUTED_VALUE"""),"CX")</f>
        <v>CX</v>
      </c>
      <c r="E596" s="2" t="str">
        <f>IFERROR(__xludf.DUMMYFUNCTION("""COMPUTED_VALUE"""),"木22")</f>
        <v>木22</v>
      </c>
      <c r="F596" s="2" t="s">
        <v>1899</v>
      </c>
      <c r="G596" s="2" t="s">
        <v>1913</v>
      </c>
      <c r="H596" s="1">
        <v>6.0</v>
      </c>
      <c r="I596" s="1" t="s">
        <v>21</v>
      </c>
      <c r="J596" s="1" t="s">
        <v>86</v>
      </c>
      <c r="K596" s="2" t="s">
        <v>1914</v>
      </c>
      <c r="L596" s="2" t="s">
        <v>1915</v>
      </c>
      <c r="M596" s="2" t="str">
        <f>IFERROR(__xludf.DUMMYFUNCTION("split(split(K596,""守田春樹:　"",false),""HPをご覧ください!　"",false)"),"守田春樹(斎藤工)のもとに、かつての恋人・由梨絵(小松彩夏)が助けを求めてやってきた。腹痛を訴え、春樹に抱きつく由梨絵。その光景を見てしまった近藤千鶴(石田ゆり子)は、複雑な心境だった。以前から痛みを我慢していた由梨絵は、春樹のそばにいたい、と懇願した。彼女は、暴力を振るう恋人の貴也(加藤厚成)と別れたくても、逃げることができないのだという。春樹は、ここにいればみんなが守ってくれるから、と言って優しく由梨絵にほほ笑んだ。  　同じころ、市川友子(板谷由夏)は、病院の屋上で仁志祐介(伊原剛志)の妻・恵美(櫻"&amp;"井淳子)と対峙(たいじ)していた。恵美は、金が入った封筒を差し出し、主人と別れてほしい、と友子に切り出す。そのとき、ふいに気分が悪くなり、その場にうずくまってしまう友子。物陰からふたりのようすを見守っていた仁志は、友子に駆け寄って手を貸そうとした。しかし友子は、その手を振り払うと、仁志とは別れる、と言い残して立ち去ってしまう。残された仁志は、友子が自分の子を身ごもっていることを恵美に告げ…。春樹と由梨絵が近しい間柄ということで、彼女の担当医は千鶴になった。春樹を呼び出した医局長の高橋宗太郎(平山浩行)は、"&amp;"由梨絵に関わるのを止めろ、と忠告する。それに対して春樹は、いま由梨絵をひとりにすることはできない、と返す。宗太郎は、そういう態度が千鶴を傷つけている、と言って春樹に怒りをぶつけ…。")</f>
        <v>守田春樹(斎藤工)のもとに、かつての恋人・由梨絵(小松彩夏)が助けを求めてやってきた。腹痛を訴え、春樹に抱きつく由梨絵。その光景を見てしまった近藤千鶴(石田ゆり子)は、複雑な心境だった。以前から痛みを我慢していた由梨絵は、春樹のそばにいたい、と懇願した。彼女は、暴力を振るう恋人の貴也(加藤厚成)と別れたくても、逃げることができないのだという。春樹は、ここにいればみんなが守ってくれるから、と言って優しく由梨絵にほほ笑んだ。  　同じころ、市川友子(板谷由夏)は、病院の屋上で仁志祐介(伊原剛志)の妻・恵美(櫻井淳子)と対峙(たいじ)していた。恵美は、金が入った封筒を差し出し、主人と別れてほしい、と友子に切り出す。そのとき、ふいに気分が悪くなり、その場にうずくまってしまう友子。物陰からふたりのようすを見守っていた仁志は、友子に駆け寄って手を貸そうとした。しかし友子は、その手を振り払うと、仁志とは別れる、と言い残して立ち去ってしまう。残された仁志は、友子が自分の子を身ごもっていることを恵美に告げ…。春樹と由梨絵が近しい間柄ということで、彼女の担当医は千鶴になった。春樹を呼び出した医局長の高橋宗太郎(平山浩行)は、由梨絵に関わるのを止めろ、と忠告する。それに対して春樹は、いま由梨絵をひとりにすることはできない、と返す。宗太郎は、そういう態度が千鶴を傷つけている、と言って春樹に怒りをぶつけ…。</v>
      </c>
      <c r="N596" s="2"/>
      <c r="O596" s="2"/>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row>
    <row r="597" ht="204.75" customHeight="1">
      <c r="A597" s="1">
        <v>2196.0</v>
      </c>
      <c r="B597" s="2" t="s">
        <v>1898</v>
      </c>
      <c r="C597" s="2">
        <f>IFERROR(__xludf.DUMMYFUNCTION("split(B597,""_"")"),1504.0)</f>
        <v>1504</v>
      </c>
      <c r="D597" s="2" t="str">
        <f>IFERROR(__xludf.DUMMYFUNCTION("""COMPUTED_VALUE"""),"CX")</f>
        <v>CX</v>
      </c>
      <c r="E597" s="2" t="str">
        <f>IFERROR(__xludf.DUMMYFUNCTION("""COMPUTED_VALUE"""),"木22")</f>
        <v>木22</v>
      </c>
      <c r="F597" s="2" t="s">
        <v>1899</v>
      </c>
      <c r="G597" s="2" t="s">
        <v>1916</v>
      </c>
      <c r="H597" s="1">
        <v>7.0</v>
      </c>
      <c r="I597" s="1" t="s">
        <v>25</v>
      </c>
      <c r="J597" s="1" t="s">
        <v>86</v>
      </c>
      <c r="K597" s="2" t="s">
        <v>1917</v>
      </c>
      <c r="L597" s="2" t="s">
        <v>1918</v>
      </c>
      <c r="M597" s="2" t="str">
        <f>IFERROR(__xludf.DUMMYFUNCTION("split(split(K597,""守田春樹:　"",false),""HPをご覧ください!　"",false)"),"守田春樹(斎藤工)は、関連病院からの紹介でやってきた男性患者・星野(笠原秀幸)を診察する。星野は、進行胃ガンで腹膜播種も疑われており、前の病院では手に負えないとさじを投げられたという。春樹は、いろいろな可能性を探るから一緒に頑張ろうと言って星野を励ました。しかし近藤千鶴(石田ゆり子)は、無責任に希望を抱かせるような言動はどうなのかと春樹を責めた。具体的な治療方法が見つからない限り、「可能性」という言葉は言うべきではないというのだ。話を聞いていた高橋宗太郎(平山浩行)は、わざと厳しく言ったのではないかと千鶴"&amp;"に言うが。カンファレンスでも星野の治療を巡って春樹と経営本部長の渡辺幹夫(生瀬勝久)が対立する。病院の方針に逆らうのならそれなりの措置をとると春樹に告げる渡辺。助け船を出した仁志祐介(伊原剛志)は、原発巣をとる手術だけでも行おうと提案し、教授の白石久仁子(床嶋佳子)の了承を得る。千鶴は、入院中の春樹の母・和佳子(根岸季衣)が、春樹と元恋人の由梨絵(小松彩夏)の復縁を望んでいることを知る。和佳子は、春樹に、早く一緒に生きていく家族を見つけてほしいと強く願っていた。一方、市川友子(板谷由夏)は、仁志との間にで"&amp;"きた子を産むことにしたと河合奈々(相武紗季)に打ち明ける。奈々は、全力で応援すると友子に伝えた。そんな折、春樹は、星野の治療に関して、千鶴にある方法を提案するが・・・。")</f>
        <v>守田春樹(斎藤工)は、関連病院からの紹介でやってきた男性患者・星野(笠原秀幸)を診察する。星野は、進行胃ガンで腹膜播種も疑われており、前の病院では手に負えないとさじを投げられたという。春樹は、いろいろな可能性を探るから一緒に頑張ろうと言って星野を励ました。しかし近藤千鶴(石田ゆり子)は、無責任に希望を抱かせるような言動はどうなのかと春樹を責めた。具体的な治療方法が見つからない限り、「可能性」という言葉は言うべきではないというのだ。話を聞いていた高橋宗太郎(平山浩行)は、わざと厳しく言ったのではないかと千鶴に言うが。カンファレンスでも星野の治療を巡って春樹と経営本部長の渡辺幹夫(生瀬勝久)が対立する。病院の方針に逆らうのならそれなりの措置をとると春樹に告げる渡辺。助け船を出した仁志祐介(伊原剛志)は、原発巣をとる手術だけでも行おうと提案し、教授の白石久仁子(床嶋佳子)の了承を得る。千鶴は、入院中の春樹の母・和佳子(根岸季衣)が、春樹と元恋人の由梨絵(小松彩夏)の復縁を望んでいることを知る。和佳子は、春樹に、早く一緒に生きていく家族を見つけてほしいと強く願っていた。一方、市川友子(板谷由夏)は、仁志との間にできた子を産むことにしたと河合奈々(相武紗季)に打ち明ける。奈々は、全力で応援すると友子に伝えた。そんな折、春樹は、星野の治療に関して、千鶴にある方法を提案するが・・・。</v>
      </c>
      <c r="N597" s="2"/>
      <c r="O597" s="2"/>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row>
    <row r="598" ht="204.75" customHeight="1">
      <c r="A598" s="1">
        <v>2197.0</v>
      </c>
      <c r="B598" s="2" t="s">
        <v>1898</v>
      </c>
      <c r="C598" s="2">
        <f>IFERROR(__xludf.DUMMYFUNCTION("split(B598,""_"")"),1504.0)</f>
        <v>1504</v>
      </c>
      <c r="D598" s="2" t="str">
        <f>IFERROR(__xludf.DUMMYFUNCTION("""COMPUTED_VALUE"""),"CX")</f>
        <v>CX</v>
      </c>
      <c r="E598" s="2" t="str">
        <f>IFERROR(__xludf.DUMMYFUNCTION("""COMPUTED_VALUE"""),"木22")</f>
        <v>木22</v>
      </c>
      <c r="F598" s="2" t="s">
        <v>1899</v>
      </c>
      <c r="G598" s="2" t="s">
        <v>1919</v>
      </c>
      <c r="H598" s="1">
        <v>8.0</v>
      </c>
      <c r="I598" s="1" t="s">
        <v>29</v>
      </c>
      <c r="J598" s="1" t="s">
        <v>86</v>
      </c>
      <c r="K598" s="2" t="s">
        <v>1920</v>
      </c>
      <c r="L598" s="2" t="s">
        <v>1921</v>
      </c>
      <c r="M598" s="2" t="str">
        <f>IFERROR(__xludf.DUMMYFUNCTION("split(split(K598,""守田春樹:　"",false),""HPをご覧ください!　"",false)"),"守田春樹(斎藤工)は、整形外科から転科してきた岩瀬重雄(岩松了)の担当になり、手術の日程を相談しにいく。だが岩瀬は、死んでも構わないと言ってなぜか手術を拒む。同じころ、近藤千鶴(石田ゆり子)も、仕事中毒のキャリアウーマン・朝倉貴子(MEGUMI)から手術を拒否される。さらに高橋宗太郎(平山浩行)も、幼い3人の子どもを抱えるシングルマザーでキャバクラ嬢の前川留美(岩佐真悠子)から、金がないという理由で手術を断られていた。  　別の日、春樹の元恋人・由梨絵(小松彩夏)が退院する。駅まで春樹に送ってもらうことに"&amp;"なった由梨絵は、いまでも好きだと告白する。一方、河合奈々(相武紗季)は、宗太郎の息子・悠馬(矢村央希)が骨髄移植を受けなければならないことを知る。しかし、悠馬と母親の菜穂(上野なつひ)とはHLA=ヒト白血球抗原が適応せず、いま宗太郎と適合するかどうかを調べているのだという。泣いている菜穂の姿を目の当たりにした奈々は、千鶴や市川友子(板谷由夏)にその複雑な胸の内を告白する。その際、奈々から春樹との関係を問われた千鶴は、もう止めたと答えるが…。  　岩瀬は、壊死(えし)した右足を切断しなければ命にかかわる状態"&amp;"だった。改めて岩瀬の説得を試みた春樹は、家族にも相談してはどうかと話す。しかし岩瀬は、家族なんかいないといって背を向けてしまう。そんな中、留美、そして貴子の容体が相次いで急変し…。")</f>
        <v>守田春樹(斎藤工)は、整形外科から転科してきた岩瀬重雄(岩松了)の担当になり、手術の日程を相談しにいく。だが岩瀬は、死んでも構わないと言ってなぜか手術を拒む。同じころ、近藤千鶴(石田ゆり子)も、仕事中毒のキャリアウーマン・朝倉貴子(MEGUMI)から手術を拒否される。さらに高橋宗太郎(平山浩行)も、幼い3人の子どもを抱えるシングルマザーでキャバクラ嬢の前川留美(岩佐真悠子)から、金がないという理由で手術を断られていた。  　別の日、春樹の元恋人・由梨絵(小松彩夏)が退院する。駅まで春樹に送ってもらうことになった由梨絵は、いまでも好きだと告白する。一方、河合奈々(相武紗季)は、宗太郎の息子・悠馬(矢村央希)が骨髄移植を受けなければならないことを知る。しかし、悠馬と母親の菜穂(上野なつひ)とはHLA=ヒト白血球抗原が適応せず、いま宗太郎と適合するかどうかを調べているのだという。泣いている菜穂の姿を目の当たりにした奈々は、千鶴や市川友子(板谷由夏)にその複雑な胸の内を告白する。その際、奈々から春樹との関係を問われた千鶴は、もう止めたと答えるが…。  　岩瀬は、壊死(えし)した右足を切断しなければ命にかかわる状態だった。改めて岩瀬の説得を試みた春樹は、家族にも相談してはどうかと話す。しかし岩瀬は、家族なんかいないといって背を向けてしまう。そんな中、留美、そして貴子の容体が相次いで急変し…。</v>
      </c>
      <c r="N598" s="2"/>
      <c r="O598" s="2"/>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row>
    <row r="599" ht="204.75" customHeight="1">
      <c r="A599" s="1">
        <v>2198.0</v>
      </c>
      <c r="B599" s="2" t="s">
        <v>1898</v>
      </c>
      <c r="C599" s="2">
        <f>IFERROR(__xludf.DUMMYFUNCTION("split(B599,""_"")"),1504.0)</f>
        <v>1504</v>
      </c>
      <c r="D599" s="2" t="str">
        <f>IFERROR(__xludf.DUMMYFUNCTION("""COMPUTED_VALUE"""),"CX")</f>
        <v>CX</v>
      </c>
      <c r="E599" s="2" t="str">
        <f>IFERROR(__xludf.DUMMYFUNCTION("""COMPUTED_VALUE"""),"木22")</f>
        <v>木22</v>
      </c>
      <c r="F599" s="2" t="s">
        <v>1899</v>
      </c>
      <c r="G599" s="2" t="s">
        <v>1922</v>
      </c>
      <c r="H599" s="1">
        <v>9.0</v>
      </c>
      <c r="I599" s="1" t="s">
        <v>33</v>
      </c>
      <c r="J599" s="1" t="s">
        <v>86</v>
      </c>
      <c r="K599" s="2" t="s">
        <v>1923</v>
      </c>
      <c r="L599" s="2" t="s">
        <v>1924</v>
      </c>
      <c r="M599" s="2" t="str">
        <f>IFERROR(__xludf.DUMMYFUNCTION("split(split(K599,""守田春樹:　"",false),""HPをご覧ください!　"",false)"),"守田春樹(斎藤工)は、近藤千鶴(石田ゆり子)の元婚約者・柏木誠司(鶴見辰吾)と再会する。手術後の経過を診てもらった誠司は、話があると春樹に切り出し、勤めていた病院を辞めて開業すること、その病院に千鶴を誘ったことを伝える。「フェアにいきたい」と誠司はそう春樹に告げた。別の日、新しいナビゲーションシステムの導入を要望していた千鶴は、カンファレンスの最後に、その件は検討してくれているのかと切り出した。すると経営本部長の渡辺幹夫(生瀬勝久)は、費用対効果が得られないと判断し見送ったと答える。異議を唱える春樹や仁志"&amp;"祐介(伊原剛志)に対して、教授の白石久仁子(床嶋佳子)や渡辺は、予算には限りがあるのだから購入費用をねん出するには人件費を削るしかないと言い出す。その発言がきっかけとなり、病院内では第一外科でリストラがあるかもしれないといううわさが広がる。  　一方、医局長の高橋宗太郎(平山浩行)は、息子・悠馬(矢村央希)の骨髄移植のドナーになるため、シフトを変更する。その際、宗太郎は、悠馬の父親は死んだことになっているから気を付けてほしいとスタッフに頼んだ。だが、春樹だけは、なぜうそをつかなければいけないのかと納得がい"&amp;"かない。そんな折、白石と渡辺は、辣腕(らつわん)経営者として知られる超VIP患者・辺見義剛(名高達男)の主治医に、仁志ではなく春樹を指名し・・・。")</f>
        <v>守田春樹(斎藤工)は、近藤千鶴(石田ゆり子)の元婚約者・柏木誠司(鶴見辰吾)と再会する。手術後の経過を診てもらった誠司は、話があると春樹に切り出し、勤めていた病院を辞めて開業すること、その病院に千鶴を誘ったことを伝える。「フェアにいきたい」と誠司はそう春樹に告げた。別の日、新しいナビゲーションシステムの導入を要望していた千鶴は、カンファレンスの最後に、その件は検討してくれているのかと切り出した。すると経営本部長の渡辺幹夫(生瀬勝久)は、費用対効果が得られないと判断し見送ったと答える。異議を唱える春樹や仁志祐介(伊原剛志)に対して、教授の白石久仁子(床嶋佳子)や渡辺は、予算には限りがあるのだから購入費用をねん出するには人件費を削るしかないと言い出す。その発言がきっかけとなり、病院内では第一外科でリストラがあるかもしれないといううわさが広がる。  　一方、医局長の高橋宗太郎(平山浩行)は、息子・悠馬(矢村央希)の骨髄移植のドナーになるため、シフトを変更する。その際、宗太郎は、悠馬の父親は死んだことになっているから気を付けてほしいとスタッフに頼んだ。だが、春樹だけは、なぜうそをつかなければいけないのかと納得がいかない。そんな折、白石と渡辺は、辣腕(らつわん)経営者として知られる超VIP患者・辺見義剛(名高達男)の主治医に、仁志ではなく春樹を指名し・・・。</v>
      </c>
      <c r="N599" s="2"/>
      <c r="O599" s="2"/>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row>
    <row r="600" ht="204.75" customHeight="1">
      <c r="A600" s="1">
        <v>2199.0</v>
      </c>
      <c r="B600" s="2" t="s">
        <v>1898</v>
      </c>
      <c r="C600" s="2">
        <f>IFERROR(__xludf.DUMMYFUNCTION("split(B600,""_"")"),1504.0)</f>
        <v>1504</v>
      </c>
      <c r="D600" s="2" t="str">
        <f>IFERROR(__xludf.DUMMYFUNCTION("""COMPUTED_VALUE"""),"CX")</f>
        <v>CX</v>
      </c>
      <c r="E600" s="2" t="str">
        <f>IFERROR(__xludf.DUMMYFUNCTION("""COMPUTED_VALUE"""),"木22")</f>
        <v>木22</v>
      </c>
      <c r="F600" s="2" t="s">
        <v>1899</v>
      </c>
      <c r="G600" s="2" t="s">
        <v>1925</v>
      </c>
      <c r="H600" s="1">
        <v>10.0</v>
      </c>
      <c r="I600" s="1" t="s">
        <v>37</v>
      </c>
      <c r="J600" s="1" t="s">
        <v>86</v>
      </c>
      <c r="K600" s="2" t="s">
        <v>1926</v>
      </c>
      <c r="L600" s="2" t="s">
        <v>1927</v>
      </c>
      <c r="M600" s="2" t="str">
        <f>IFERROR(__xludf.DUMMYFUNCTION("split(split(K600,""守田春樹:　"",false),""HPをご覧ください!　"",false)"),"守田春樹(斎藤工)は、これまでの度重なるルール違反行為を理由に、経営本部長の渡辺幹夫(生瀬勝久)と第一外科教授の白石久仁子(床嶋佳子)から退職勧告を言い渡される。すると近藤千鶴(石田ゆり子)は、人件費削減が目的ならば春樹の代わりに自分が辞めると言い出す。その夜、春樹は千鶴に謝罪した。千鶴は、ちょうどいいタイミングだったから気にする必要はないと返すと母親の肝臓移植を執刀したいという思いを諦めないでほしいと春樹に告げる。  　そんなある日、思わぬ事件が起きる。渡辺が、病院内で意識を失って倒れていたのだ。発見者"&amp;"だった春樹は、渡辺の検査を行い、彼が末期の肝臓がんであることを知る。高橋宗太郎(平山浩行)ら第一外科のスタッフもショックを隠せなかった。しかし渡辺は、治る見込みのない顧客がベッドを埋めるのは無駄だと主張し、ただちに退院手続きをするよう春樹に命じる。春樹は、せめて食事が取れるようになるまでは入院してほしいと説得するが。  　別の日、千鶴と市川友子(板谷由夏)は、河合奈々(相武紗季)と彼女の息子・真人(加藤瑛斗)に付き合って公園を訪れる。実は、奈々、そして友子も、それぞれ大きな決断をしていた。ふたりから話を聞"&amp;"いた千鶴は・・・。")</f>
        <v>守田春樹(斎藤工)は、これまでの度重なるルール違反行為を理由に、経営本部長の渡辺幹夫(生瀬勝久)と第一外科教授の白石久仁子(床嶋佳子)から退職勧告を言い渡される。すると近藤千鶴(石田ゆり子)は、人件費削減が目的ならば春樹の代わりに自分が辞めると言い出す。その夜、春樹は千鶴に謝罪した。千鶴は、ちょうどいいタイミングだったから気にする必要はないと返すと母親の肝臓移植を執刀したいという思いを諦めないでほしいと春樹に告げる。  　そんなある日、思わぬ事件が起きる。渡辺が、病院内で意識を失って倒れていたのだ。発見者だった春樹は、渡辺の検査を行い、彼が末期の肝臓がんであることを知る。高橋宗太郎(平山浩行)ら第一外科のスタッフもショックを隠せなかった。しかし渡辺は、治る見込みのない顧客がベッドを埋めるのは無駄だと主張し、ただちに退院手続きをするよう春樹に命じる。春樹は、せめて食事が取れるようになるまでは入院してほしいと説得するが。  　別の日、千鶴と市川友子(板谷由夏)は、河合奈々(相武紗季)と彼女の息子・真人(加藤瑛斗)に付き合って公園を訪れる。実は、奈々、そして友子も、それぞれ大きな決断をしていた。ふたりから話を聞いた千鶴は・・・。</v>
      </c>
      <c r="N600" s="2"/>
      <c r="O600" s="2"/>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row>
    <row r="601" ht="204.75" customHeight="1">
      <c r="A601" s="1">
        <v>2200.0</v>
      </c>
      <c r="B601" s="2" t="s">
        <v>1898</v>
      </c>
      <c r="C601" s="2">
        <f>IFERROR(__xludf.DUMMYFUNCTION("split(B601,""_"")"),1504.0)</f>
        <v>1504</v>
      </c>
      <c r="D601" s="2" t="str">
        <f>IFERROR(__xludf.DUMMYFUNCTION("""COMPUTED_VALUE"""),"CX")</f>
        <v>CX</v>
      </c>
      <c r="E601" s="2" t="str">
        <f>IFERROR(__xludf.DUMMYFUNCTION("""COMPUTED_VALUE"""),"木22")</f>
        <v>木22</v>
      </c>
      <c r="F601" s="2" t="s">
        <v>1899</v>
      </c>
      <c r="G601" s="2" t="s">
        <v>1928</v>
      </c>
      <c r="H601" s="1">
        <v>11.0</v>
      </c>
      <c r="I601" s="1" t="s">
        <v>41</v>
      </c>
      <c r="J601" s="1" t="s">
        <v>86</v>
      </c>
      <c r="K601" s="2" t="s">
        <v>1929</v>
      </c>
      <c r="L601" s="2" t="s">
        <v>1930</v>
      </c>
      <c r="M601" s="2" t="str">
        <f>IFERROR(__xludf.DUMMYFUNCTION("split(split(K601,""守田春樹:　"",false),""HPをご覧ください!　"",false)"),"守田春樹(斎藤工)と近藤千鶴(石田ゆり子)はお互いの気持ちを確認し合った。ある朝、千鶴は、いつものように自宅に帰らず、医局で眠っていた春樹に朝食を差し入れる。春樹の提案で、病院の屋上で“朝食デート""をするふたり。誰かに見られそうと落ち着かないようすの千鶴に、春樹は、本当のデートをしようと言ってほほ笑んだ。  　高橋宗太郎(平山浩行)は、河合奈々(相武紗季)にプロポーズしたものの「OK」の返事はもらえずにいた。宗太郎は、「お前には俺を後押しする義務がある」と言って春樹に相談を持ちかける。  　一方、市川友"&amp;"子(板谷由夏)は、実家に戻って出産することを仁志祐介(伊原剛志)に話す。すると仁志は、離婚が決まったこと、そして本部長の渡辺幹夫(生瀬勝久)に辞表を提出したことを告げる。驚いた友子は、自分の思いを仁志に伝える。  　別の日、春樹は、仕事を終えて帰宅する千鶴を途中まで送りに行く。職場の同僚たちに見られたら何かと面倒だなどという千鶴に、ふいに結婚を申し込む春樹。それに対して千鶴は・・・。")</f>
        <v>守田春樹(斎藤工)と近藤千鶴(石田ゆり子)はお互いの気持ちを確認し合った。ある朝、千鶴は、いつものように自宅に帰らず、医局で眠っていた春樹に朝食を差し入れる。春樹の提案で、病院の屋上で“朝食デート"をするふたり。誰かに見られそうと落ち着かないようすの千鶴に、春樹は、本当のデートをしようと言ってほほ笑んだ。  　高橋宗太郎(平山浩行)は、河合奈々(相武紗季)にプロポーズしたものの「OK」の返事はもらえずにいた。宗太郎は、「お前には俺を後押しする義務がある」と言って春樹に相談を持ちかける。  　一方、市川友子(板谷由夏)は、実家に戻って出産することを仁志祐介(伊原剛志)に話す。すると仁志は、離婚が決まったこと、そして本部長の渡辺幹夫(生瀬勝久)に辞表を提出したことを告げる。驚いた友子は、自分の思いを仁志に伝える。  　別の日、春樹は、仕事を終えて帰宅する千鶴を途中まで送りに行く。職場の同僚たちに見られたら何かと面倒だなどという千鶴に、ふいに結婚を申し込む春樹。それに対して千鶴は・・・。</v>
      </c>
      <c r="N601" s="2"/>
      <c r="O601" s="2"/>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row>
    <row r="602" ht="204.75" customHeight="1">
      <c r="A602" s="1">
        <v>2273.0</v>
      </c>
      <c r="B602" s="2" t="s">
        <v>1931</v>
      </c>
      <c r="C602" s="2">
        <f>IFERROR(__xludf.DUMMYFUNCTION("split(B602,""_"")"),1501.0)</f>
        <v>1501</v>
      </c>
      <c r="D602" s="2" t="str">
        <f>IFERROR(__xludf.DUMMYFUNCTION("""COMPUTED_VALUE"""),"CX")</f>
        <v>CX</v>
      </c>
      <c r="E602" s="2" t="str">
        <f>IFERROR(__xludf.DUMMYFUNCTION("""COMPUTED_VALUE"""),"月21")</f>
        <v>月21</v>
      </c>
      <c r="F602" s="2" t="s">
        <v>1932</v>
      </c>
      <c r="G602" s="2" t="s">
        <v>1933</v>
      </c>
      <c r="H602" s="1">
        <v>1.0</v>
      </c>
      <c r="I602" s="1" t="s">
        <v>3</v>
      </c>
      <c r="J602" s="1" t="s">
        <v>4</v>
      </c>
      <c r="K602" s="4" t="s">
        <v>1934</v>
      </c>
      <c r="L602" s="2" t="s">
        <v>1935</v>
      </c>
      <c r="M602" s="2" t="str">
        <f>IFERROR(__xludf.DUMMYFUNCTION("split(split(K602,""藪下依子:　"",false),""公式LINE"",false)"),"東大大学院を卒業し、内閣府の研究所で働く藪下依子(杏)は、徹底的に効率を重視する超合理主義者。そんな依子が、30歳を目前にして父親の俊雄(松重豊)から見合いをすすめられる。今まで男性と付き合ったことはないが、亡くなった母親の小夜子(和久井映見)が29歳の時には結婚も出産もしていたこと、子供が生まれれば国の少子化対策にも貢献できると考えてそれを承諾。しかし、結婚を相手との「契約」ととらえる依子は、ことごとく見合いに失敗してしまう。  　一方、「高等遊民」を自称するが、実際はニートと変わらない日々を送る谷口巧"&amp;"(長谷川博己)は、自宅で美術教室を営む母親の留美(風吹ジュン)と2人暮らし。昼過ぎに目覚めると、新聞を読みながら食事を済ませ、ソファに座り気取ったポーズで小説を読み始める。無職のため当然収入はなく、すべてを留美に頼っているが、働く代わりに文学や芸術の世界に好きなだけ触れられる自分の生き方に誇りを持っている。  　そんな巧を心配して幼なじみの島田宗太郎(松尾諭)が、結婚相談所の資料を持ってくるが、巧は猛反発。それでも内心では、母親に万一のことがあれば路頭に迷ってしまう自分を不安に感じていた。  　一度は結婚"&amp;"をあきらめた依子だが、俊雄が責任を感じていることを知り、結婚相談所に登録。そこで、一目ぼれした人とデートをすることにした、と報告する。その相手こそ、出版社勤務と経歴を偽った巧で…。")</f>
        <v>東大大学院を卒業し、内閣府の研究所で働く藪下依子(杏)は、徹底的に効率を重視する超合理主義者。そんな依子が、30歳を目前にして父親の俊雄(松重豊)から見合いをすすめられる。今まで男性と付き合ったことはないが、亡くなった母親の小夜子(和久井映見)が29歳の時には結婚も出産もしていたこと、子供が生まれれば国の少子化対策にも貢献できると考えてそれを承諾。しかし、結婚を相手との「契約」ととらえる依子は、ことごとく見合いに失敗してしまう。  　一方、「高等遊民」を自称するが、実際はニートと変わらない日々を送る谷口巧(長谷川博己)は、自宅で美術教室を営む母親の留美(風吹ジュン)と2人暮らし。昼過ぎに目覚めると、新聞を読みながら食事を済ませ、ソファに座り気取ったポーズで小説を読み始める。無職のため当然収入はなく、すべてを留美に頼っているが、働く代わりに文学や芸術の世界に好きなだけ触れられる自分の生き方に誇りを持っている。  　そんな巧を心配して幼なじみの島田宗太郎(松尾諭)が、結婚相談所の資料を持ってくるが、巧は猛反発。それでも内心では、母親に万一のことがあれば路頭に迷ってしまう自分を不安に感じていた。  　一度は結婚をあきらめた依子だが、俊雄が責任を感じていることを知り、結婚相談所に登録。そこで、一目ぼれした人とデートをすることにした、と報告する。その相手こそ、出版社勤務と経歴を偽った巧で…。</v>
      </c>
      <c r="N602" s="2"/>
      <c r="O602" s="2"/>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row>
    <row r="603" ht="204.75" customHeight="1">
      <c r="A603" s="1">
        <v>2274.0</v>
      </c>
      <c r="B603" s="2" t="s">
        <v>1931</v>
      </c>
      <c r="C603" s="2">
        <f>IFERROR(__xludf.DUMMYFUNCTION("split(B603,""_"")"),1501.0)</f>
        <v>1501</v>
      </c>
      <c r="D603" s="2" t="str">
        <f>IFERROR(__xludf.DUMMYFUNCTION("""COMPUTED_VALUE"""),"CX")</f>
        <v>CX</v>
      </c>
      <c r="E603" s="2" t="str">
        <f>IFERROR(__xludf.DUMMYFUNCTION("""COMPUTED_VALUE"""),"月21")</f>
        <v>月21</v>
      </c>
      <c r="F603" s="2" t="s">
        <v>1932</v>
      </c>
      <c r="G603" s="2" t="s">
        <v>1936</v>
      </c>
      <c r="H603" s="1">
        <v>2.0</v>
      </c>
      <c r="I603" s="1" t="s">
        <v>7</v>
      </c>
      <c r="J603" s="1" t="s">
        <v>11</v>
      </c>
      <c r="K603" s="2" t="s">
        <v>1937</v>
      </c>
      <c r="L603" s="2" t="s">
        <v>1938</v>
      </c>
      <c r="M603" s="2" t="str">
        <f>IFERROR(__xludf.DUMMYFUNCTION("split(split(K603,""藪下依子:　"",false),""公式LINE"",false)"),"藪下依子(杏)は、一度のデートで谷口巧(長谷川博己)との結婚を決めたが、困惑する父親の俊雄(松重豊)を思いやり、二度目のデートを決行することに。前回の反省を踏まえ、「楽しむこと」を目的に掲げた2人はテーマパークを訪れるも、家族連れやカップルでにぎわう雰囲気に巧が拒否反応を示す。しかし、俊雄に納得してもらうため、と奮起し、人混みの中へ。それでもどうしていいかわからず、2人はいかにも楽しそうにはしゃいでいたカップルの行動をマネすることにする。  　順番待ちにうんざりしながらも、アトラクションに乗ったり、お化け"&amp;"屋敷を回ったりと、一見普通のデートをする2人。そんな中、依子はもう少しお互いのことを話そう、と巧に声をかける。実は数日前、巧の経歴に疑いを持つ鷲尾豊(中島裕翔)から、巧に隠し事がないか調査したほうがいいと忠告を受けていた。それを断ったものの、亡き母親の小夜子(和久井映見)からも豊の言うことが正論だと指摘され、依子は揺れていた。同じ頃、豊は巧の母の留美(風吹ジュン)が美術教室を営む自宅を探していた。  　やがてデートも終盤を迎えた頃、巧が依子を引き留めた。巧は、宗太郎(松尾諭)と佳織(国仲涼子)とともにある"&amp;"サプライズ計画を立てていたのだ。その時間までなんとか引き延ばそうと、必死に話をつなぐ巧。ところがそこへ、豊が現れてあろうことか巧のうそを暴露してしまう。それを聞いた依子は…。")</f>
        <v>藪下依子(杏)は、一度のデートで谷口巧(長谷川博己)との結婚を決めたが、困惑する父親の俊雄(松重豊)を思いやり、二度目のデートを決行することに。前回の反省を踏まえ、「楽しむこと」を目的に掲げた2人はテーマパークを訪れるも、家族連れやカップルでにぎわう雰囲気に巧が拒否反応を示す。しかし、俊雄に納得してもらうため、と奮起し、人混みの中へ。それでもどうしていいかわからず、2人はいかにも楽しそうにはしゃいでいたカップルの行動をマネすることにする。  　順番待ちにうんざりしながらも、アトラクションに乗ったり、お化け屋敷を回ったりと、一見普通のデートをする2人。そんな中、依子はもう少しお互いのことを話そう、と巧に声をかける。実は数日前、巧の経歴に疑いを持つ鷲尾豊(中島裕翔)から、巧に隠し事がないか調査したほうがいいと忠告を受けていた。それを断ったものの、亡き母親の小夜子(和久井映見)からも豊の言うことが正論だと指摘され、依子は揺れていた。同じ頃、豊は巧の母の留美(風吹ジュン)が美術教室を営む自宅を探していた。  　やがてデートも終盤を迎えた頃、巧が依子を引き留めた。巧は、宗太郎(松尾諭)と佳織(国仲涼子)とともにあるサプライズ計画を立てていたのだ。その時間までなんとか引き延ばそうと、必死に話をつなぐ巧。ところがそこへ、豊が現れてあろうことか巧のうそを暴露してしまう。それを聞いた依子は…。</v>
      </c>
      <c r="N603" s="2"/>
      <c r="O603" s="2"/>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row>
    <row r="604" ht="204.75" customHeight="1">
      <c r="A604" s="1">
        <v>2275.0</v>
      </c>
      <c r="B604" s="2" t="s">
        <v>1931</v>
      </c>
      <c r="C604" s="2">
        <f>IFERROR(__xludf.DUMMYFUNCTION("split(B604,""_"")"),1501.0)</f>
        <v>1501</v>
      </c>
      <c r="D604" s="2" t="str">
        <f>IFERROR(__xludf.DUMMYFUNCTION("""COMPUTED_VALUE"""),"CX")</f>
        <v>CX</v>
      </c>
      <c r="E604" s="2" t="str">
        <f>IFERROR(__xludf.DUMMYFUNCTION("""COMPUTED_VALUE"""),"月21")</f>
        <v>月21</v>
      </c>
      <c r="F604" s="2" t="s">
        <v>1932</v>
      </c>
      <c r="G604" s="2" t="s">
        <v>1939</v>
      </c>
      <c r="H604" s="1">
        <v>3.0</v>
      </c>
      <c r="I604" s="1" t="s">
        <v>10</v>
      </c>
      <c r="J604" s="1" t="s">
        <v>11</v>
      </c>
      <c r="K604" s="2" t="s">
        <v>1940</v>
      </c>
      <c r="L604" s="2" t="s">
        <v>1941</v>
      </c>
      <c r="M604" s="2" t="str">
        <f>IFERROR(__xludf.DUMMYFUNCTION("split(split(K604,""藪下依子:　"",false),""公式LINE"",false)"),"谷口巧(長谷川博己)との交際終了を決めた藪下依子(杏)は、ホテルで開催されたお見合いパーティーに参加する。そこには、なぜか巧と島田宗太郎(松尾諭)も来ていたが、依子は気にせず新しい出会いを探し始める。ところが、ストレート過ぎる言動が災いし、依子は誰からも連絡先を聞き出せない。一方の巧は、宗太郎から「唯一可能性がある」と言われた会社経営者のみどり(杉本彩)に声をかける。  　巧を援護射撃すると言って参加した宗太郎は、既婚者にもかかわらず秀子(三倉茉奈)と意気投合。巧を置き去りにする。  　1人でいた依子の元"&amp;"へ巧がやって来る。依子は巧にある質問を切り出そうとするが、そこへ、榊原まゆ(吉谷彩子)が割り込んで来る。マンガが大好きだというまゆは、巧と盛り上がる。  　同じ頃、島田佳織(国仲涼子)は、谷口留美(風吹ジュン)の美術教室で子供たちに絵を教えていた。その陰で、薬を飲む留美を佳織は心配する。また、藪下俊雄(松重豊)から、依子がお見合いパーティーに参加すると聞いていた鷲尾豊(中島裕翔)は気が気ではない。  　1人になった依子の元に藪下小夜子(和久井映見)が現れ、依子の現状を皮肉る。イラついた依子が小夜子を消そう"&amp;"とチョップすると、その手が見ず知らずの岡島(岡田浩暉)に当たってしまう。依子は、謝罪をしようとホテルのバーで岡島に酒をおごる。心理カウンセラーだという岡島とグラスを傾けた依子は…。")</f>
        <v>谷口巧(長谷川博己)との交際終了を決めた藪下依子(杏)は、ホテルで開催されたお見合いパーティーに参加する。そこには、なぜか巧と島田宗太郎(松尾諭)も来ていたが、依子は気にせず新しい出会いを探し始める。ところが、ストレート過ぎる言動が災いし、依子は誰からも連絡先を聞き出せない。一方の巧は、宗太郎から「唯一可能性がある」と言われた会社経営者のみどり(杉本彩)に声をかける。  　巧を援護射撃すると言って参加した宗太郎は、既婚者にもかかわらず秀子(三倉茉奈)と意気投合。巧を置き去りにする。  　1人でいた依子の元へ巧がやって来る。依子は巧にある質問を切り出そうとするが、そこへ、榊原まゆ(吉谷彩子)が割り込んで来る。マンガが大好きだというまゆは、巧と盛り上がる。  　同じ頃、島田佳織(国仲涼子)は、谷口留美(風吹ジュン)の美術教室で子供たちに絵を教えていた。その陰で、薬を飲む留美を佳織は心配する。また、藪下俊雄(松重豊)から、依子がお見合いパーティーに参加すると聞いていた鷲尾豊(中島裕翔)は気が気ではない。  　1人になった依子の元に藪下小夜子(和久井映見)が現れ、依子の現状を皮肉る。イラついた依子が小夜子を消そうとチョップすると、その手が見ず知らずの岡島(岡田浩暉)に当たってしまう。依子は、謝罪をしようとホテルのバーで岡島に酒をおごる。心理カウンセラーだという岡島とグラスを傾けた依子は…。</v>
      </c>
      <c r="N604" s="2"/>
      <c r="O604" s="2"/>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row>
    <row r="605" ht="204.75" customHeight="1">
      <c r="A605" s="1">
        <v>2276.0</v>
      </c>
      <c r="B605" s="2" t="s">
        <v>1931</v>
      </c>
      <c r="C605" s="2">
        <f>IFERROR(__xludf.DUMMYFUNCTION("split(B605,""_"")"),1501.0)</f>
        <v>1501</v>
      </c>
      <c r="D605" s="2" t="str">
        <f>IFERROR(__xludf.DUMMYFUNCTION("""COMPUTED_VALUE"""),"CX")</f>
        <v>CX</v>
      </c>
      <c r="E605" s="2" t="str">
        <f>IFERROR(__xludf.DUMMYFUNCTION("""COMPUTED_VALUE"""),"月21")</f>
        <v>月21</v>
      </c>
      <c r="F605" s="2" t="s">
        <v>1932</v>
      </c>
      <c r="G605" s="2" t="s">
        <v>1942</v>
      </c>
      <c r="H605" s="1">
        <v>4.0</v>
      </c>
      <c r="I605" s="1" t="s">
        <v>14</v>
      </c>
      <c r="J605" s="1" t="s">
        <v>11</v>
      </c>
      <c r="K605" s="2" t="s">
        <v>1943</v>
      </c>
      <c r="L605" s="2" t="s">
        <v>1944</v>
      </c>
      <c r="M605" s="2" t="str">
        <f>IFERROR(__xludf.DUMMYFUNCTION("split(split(K605,""藪下依子:　"",false),""公式LINE"",false)"),"藪下依子(杏)と谷口巧(長谷川博己)は、クリスマスイブにデートをすることになった。本来なら受け入れないふたりだが、依子は藪下俊雄(松重豊)と小夜子(和久井映見)の、巧は谷口留美(風吹ジュン)の過干渉に辟易として、イブの直前に約束をする。  　デート当日、なぜかサンタクロースの格好をした依子と普段着の巧は、カップルでにぎわう商業施設にやってくる。ところが、巧が高熱を出してしまったためデートは中止となり、依子は巧を自宅まで送り届けることに。  　その頃、谷口家はクリスマス会の最中で、留美の美術教室の生徒や、島"&amp;"田佳織(国仲涼子)、宗太郎(松尾諭)らが盛り上がっていた。巧は自室に倒れ込んでしまったが、依子はクリスマス会に参加させられる。  　同じ頃、藪下家の俊雄を、鷲尾豊(中島裕翔)が訪ねてくる。一人でいるのが辛いという鷲尾に、俊雄は酒を付き合ってやる。やがて、酔いが回った俊雄は、押し入れからサンタクロースの衣装を引っ張り出す。それを着て幼い依子のサンタクロースになったのか、と聞く鷲尾に、俊雄は依子の幼少時代のエピソードを明かす。  　一方、谷口家では、留美が依子に、巧の子供時代の話をしていた。クリスマスが大好き"&amp;"で、サンタクロースの存在も信じ、両親にプレゼントも贈っていたという幼い巧の話を、依子は意外な思いで聞いていた。さらに、巧が「高等遊民」になったきっかけを話し始め…。")</f>
        <v>藪下依子(杏)と谷口巧(長谷川博己)は、クリスマスイブにデートをすることになった。本来なら受け入れないふたりだが、依子は藪下俊雄(松重豊)と小夜子(和久井映見)の、巧は谷口留美(風吹ジュン)の過干渉に辟易として、イブの直前に約束をする。  　デート当日、なぜかサンタクロースの格好をした依子と普段着の巧は、カップルでにぎわう商業施設にやってくる。ところが、巧が高熱を出してしまったためデートは中止となり、依子は巧を自宅まで送り届けることに。  　その頃、谷口家はクリスマス会の最中で、留美の美術教室の生徒や、島田佳織(国仲涼子)、宗太郎(松尾諭)らが盛り上がっていた。巧は自室に倒れ込んでしまったが、依子はクリスマス会に参加させられる。  　同じ頃、藪下家の俊雄を、鷲尾豊(中島裕翔)が訪ねてくる。一人でいるのが辛いという鷲尾に、俊雄は酒を付き合ってやる。やがて、酔いが回った俊雄は、押し入れからサンタクロースの衣装を引っ張り出す。それを着て幼い依子のサンタクロースになったのか、と聞く鷲尾に、俊雄は依子の幼少時代のエピソードを明かす。  　一方、谷口家では、留美が依子に、巧の子供時代の話をしていた。クリスマスが大好きで、サンタクロースの存在も信じ、両親にプレゼントも贈っていたという幼い巧の話を、依子は意外な思いで聞いていた。さらに、巧が「高等遊民」になったきっかけを話し始め…。</v>
      </c>
      <c r="N605" s="2"/>
      <c r="O605" s="2"/>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row>
    <row r="606" ht="204.75" customHeight="1">
      <c r="A606" s="1">
        <v>2277.0</v>
      </c>
      <c r="B606" s="2" t="s">
        <v>1931</v>
      </c>
      <c r="C606" s="2">
        <f>IFERROR(__xludf.DUMMYFUNCTION("split(B606,""_"")"),1501.0)</f>
        <v>1501</v>
      </c>
      <c r="D606" s="2" t="str">
        <f>IFERROR(__xludf.DUMMYFUNCTION("""COMPUTED_VALUE"""),"CX")</f>
        <v>CX</v>
      </c>
      <c r="E606" s="2" t="str">
        <f>IFERROR(__xludf.DUMMYFUNCTION("""COMPUTED_VALUE"""),"月21")</f>
        <v>月21</v>
      </c>
      <c r="F606" s="2" t="s">
        <v>1932</v>
      </c>
      <c r="G606" s="2" t="s">
        <v>1945</v>
      </c>
      <c r="H606" s="1">
        <v>5.0</v>
      </c>
      <c r="I606" s="1" t="s">
        <v>17</v>
      </c>
      <c r="J606" s="1" t="s">
        <v>11</v>
      </c>
      <c r="K606" s="2" t="s">
        <v>1946</v>
      </c>
      <c r="L606" s="2" t="s">
        <v>1947</v>
      </c>
      <c r="M606" s="2" t="str">
        <f>IFERROR(__xludf.DUMMYFUNCTION("split(split(K606,""藪下依子:　"",false),""公式LINE"",false)"),"年の瀬が迫る頃、谷口巧(長谷川博己)は、島田佳織(国仲涼子)からカウントダウンパーティーに誘われる。新年を迎えた瞬間に、参加者同士がキスをするのが目玉のイベントで、仮装での参加が条件だという。佳織は巧に、藪下依子(杏)を誘って参加しろと言うが、巧は難色を示す。そんな巧に、島田宗太郎(松尾諭)は、交際して1カ月が経つのにキスすらしていない依子と巧にとって、イベントは絶好のチャンスだとけしかける。　同じ頃、依子も交際の進展について考えていた。藪下小夜子(和久井映見)も、4回もデートを重ねているのに何も経験して"&amp;"いないのは異常だ、と依子を責める。気になった依子は、藪下俊雄(松重豊)に、小夜子との関係はどうだったのかと聞く。俊雄は5回目のデートで、キスから性交渉まで行ったことを明かした。  　がぜんやる気になった依子は巧に電話をかけ、その時が来た、と宣言。自分がデートプランをすべて立てるから、身一つで来てくれ、と言うと電話を切った。事情を悟った巧はおじけづくが、谷口留美(風吹ジュン)のためにも結婚は譲れないのだ、と思い直す。  　決戦の日、すっぽん料理店で落ち合った依子と巧は、黙々と鍋を食べる。やがて、やってきたタ"&amp;"クシーに乗り、2人は依子の官舎へ。  　その頃、依子の部屋には、合鍵で入った鷲尾豊(中島裕翔)がいた。何も知らない2人は、官舎に到着。巧を部屋に招き入れた依子は…。")</f>
        <v>年の瀬が迫る頃、谷口巧(長谷川博己)は、島田佳織(国仲涼子)からカウントダウンパーティーに誘われる。新年を迎えた瞬間に、参加者同士がキスをするのが目玉のイベントで、仮装での参加が条件だという。佳織は巧に、藪下依子(杏)を誘って参加しろと言うが、巧は難色を示す。そんな巧に、島田宗太郎(松尾諭)は、交際して1カ月が経つのにキスすらしていない依子と巧にとって、イベントは絶好のチャンスだとけしかける。　同じ頃、依子も交際の進展について考えていた。藪下小夜子(和久井映見)も、4回もデートを重ねているのに何も経験していないのは異常だ、と依子を責める。気になった依子は、藪下俊雄(松重豊)に、小夜子との関係はどうだったのかと聞く。俊雄は5回目のデートで、キスから性交渉まで行ったことを明かした。  　がぜんやる気になった依子は巧に電話をかけ、その時が来た、と宣言。自分がデートプランをすべて立てるから、身一つで来てくれ、と言うと電話を切った。事情を悟った巧はおじけづくが、谷口留美(風吹ジュン)のためにも結婚は譲れないのだ、と思い直す。  　決戦の日、すっぽん料理店で落ち合った依子と巧は、黙々と鍋を食べる。やがて、やってきたタクシーに乗り、2人は依子の官舎へ。  　その頃、依子の部屋には、合鍵で入った鷲尾豊(中島裕翔)がいた。何も知らない2人は、官舎に到着。巧を部屋に招き入れた依子は…。</v>
      </c>
      <c r="N606" s="2"/>
      <c r="O606" s="2"/>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row>
    <row r="607" ht="204.75" customHeight="1">
      <c r="A607" s="1">
        <v>2278.0</v>
      </c>
      <c r="B607" s="2" t="s">
        <v>1931</v>
      </c>
      <c r="C607" s="2">
        <f>IFERROR(__xludf.DUMMYFUNCTION("split(B607,""_"")"),1501.0)</f>
        <v>1501</v>
      </c>
      <c r="D607" s="2" t="str">
        <f>IFERROR(__xludf.DUMMYFUNCTION("""COMPUTED_VALUE"""),"CX")</f>
        <v>CX</v>
      </c>
      <c r="E607" s="2" t="str">
        <f>IFERROR(__xludf.DUMMYFUNCTION("""COMPUTED_VALUE"""),"月21")</f>
        <v>月21</v>
      </c>
      <c r="F607" s="2" t="s">
        <v>1932</v>
      </c>
      <c r="G607" s="2" t="s">
        <v>1948</v>
      </c>
      <c r="H607" s="1">
        <v>6.0</v>
      </c>
      <c r="I607" s="1" t="s">
        <v>21</v>
      </c>
      <c r="J607" s="1" t="s">
        <v>11</v>
      </c>
      <c r="K607" s="2" t="s">
        <v>1949</v>
      </c>
      <c r="L607" s="2" t="s">
        <v>1950</v>
      </c>
      <c r="M607" s="2" t="str">
        <f>IFERROR(__xludf.DUMMYFUNCTION("split(split(K607,""藪下依子:　"",false),""公式LINE"",false)"),"新年を迎えた1月3日、藪下依子(杏)の実家に谷口巧(長谷川博己)がやってくる。そこには、依子の叔母の富田初枝(田島令子)と、叔父の富田康行(田口主将)も来ていたが、巧は横浜から慣れない東京への移動と緊張で絶不調だった。  　数日前、巧を、新年恒例の行事に誘ってはどうか、と依子に進言したのは藪下俊雄(松重豊)だった。ところが、巧はその誘いをあっさりと断ってしまう。怒った依子は、自分の家族に会おうとしないのは結婚の意志がないからだ、と交際終了を宣言。慌てた巧は、島田宗太郎(松尾諭)と佳織(国仲涼子)に相談。す"&amp;"るとそこに依子が現れる。谷口留美(風吹ジュン)も巻き込んで話し合った結果、行事に参加すべく、依子の指導の下、対策が練られることになった。  　そして迎えた1月3日、行事はまず「あいさつ」から始まった。1人ずつ順番に姿勢を正して前年の総括と今年の抱負を述べ、終わると一同で礼をするというものだが、あまりの迫力に巧は萎縮してしまう。  　そんな頃、あろうことか和装でキメた鷲尾豊(中島裕翔)が訪ねてくる。早速、スマートかつ爽やかにあいさつをする豊に、初枝と康行は拍手喝さい。さらに、豊は俊雄とも盛り上がり始め、巧は"&amp;"一層、居心地が悪い。豊を気にいった初枝は、依子に豊と付き合ってみたらどうか、と猛烈にプッシュする。今まで考えたことがなかったという依子は悩み始め…。")</f>
        <v>新年を迎えた1月3日、藪下依子(杏)の実家に谷口巧(長谷川博己)がやってくる。そこには、依子の叔母の富田初枝(田島令子)と、叔父の富田康行(田口主将)も来ていたが、巧は横浜から慣れない東京への移動と緊張で絶不調だった。  　数日前、巧を、新年恒例の行事に誘ってはどうか、と依子に進言したのは藪下俊雄(松重豊)だった。ところが、巧はその誘いをあっさりと断ってしまう。怒った依子は、自分の家族に会おうとしないのは結婚の意志がないからだ、と交際終了を宣言。慌てた巧は、島田宗太郎(松尾諭)と佳織(国仲涼子)に相談。するとそこに依子が現れる。谷口留美(風吹ジュン)も巻き込んで話し合った結果、行事に参加すべく、依子の指導の下、対策が練られることになった。  　そして迎えた1月3日、行事はまず「あいさつ」から始まった。1人ずつ順番に姿勢を正して前年の総括と今年の抱負を述べ、終わると一同で礼をするというものだが、あまりの迫力に巧は萎縮してしまう。  　そんな頃、あろうことか和装でキメた鷲尾豊(中島裕翔)が訪ねてくる。早速、スマートかつ爽やかにあいさつをする豊に、初枝と康行は拍手喝さい。さらに、豊は俊雄とも盛り上がり始め、巧は一層、居心地が悪い。豊を気にいった初枝は、依子に豊と付き合ってみたらどうか、と猛烈にプッシュする。今まで考えたことがなかったという依子は悩み始め…。</v>
      </c>
      <c r="N607" s="2"/>
      <c r="O607" s="2"/>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row>
    <row r="608" ht="204.75" customHeight="1">
      <c r="A608" s="1">
        <v>2279.0</v>
      </c>
      <c r="B608" s="2" t="s">
        <v>1931</v>
      </c>
      <c r="C608" s="2">
        <f>IFERROR(__xludf.DUMMYFUNCTION("split(B608,""_"")"),1501.0)</f>
        <v>1501</v>
      </c>
      <c r="D608" s="2" t="str">
        <f>IFERROR(__xludf.DUMMYFUNCTION("""COMPUTED_VALUE"""),"CX")</f>
        <v>CX</v>
      </c>
      <c r="E608" s="2" t="str">
        <f>IFERROR(__xludf.DUMMYFUNCTION("""COMPUTED_VALUE"""),"月21")</f>
        <v>月21</v>
      </c>
      <c r="F608" s="2" t="s">
        <v>1932</v>
      </c>
      <c r="G608" s="2" t="s">
        <v>1951</v>
      </c>
      <c r="H608" s="1">
        <v>7.0</v>
      </c>
      <c r="I608" s="1" t="s">
        <v>25</v>
      </c>
      <c r="J608" s="1" t="s">
        <v>11</v>
      </c>
      <c r="K608" s="2" t="s">
        <v>1952</v>
      </c>
      <c r="L608" s="2" t="s">
        <v>1953</v>
      </c>
      <c r="M608" s="2" t="str">
        <f>IFERROR(__xludf.DUMMYFUNCTION("split(split(K608,""藪下依子:　"",false),""公式LINE"",false)"),"藪下依子(杏)と谷口巧(長谷川博己)は、「結婚契約書」の作成を急ピッチで進めていた。ふたりが急ぐのは、谷口留美(風吹ジュン)が体調を崩したからだった。以前の検査では異常はないと言われたが、最近、貧血と体重の減少があると言う。依子に紹介された病院で検査を受けた留美は、胃潰瘍と診断され手術が行われることになった。  　結果を聞いた巧、島田佳織(国仲涼子)、島田宗太郎(松尾諭)も安堵するが、不安がよぎった依子は、藪下俊雄(松重豊)に胃がんで亡くなった藪下小夜子(和久井映見)の当時の症状を尋ねる。  　そんな日の"&amp;"深夜、巧がリビングに下りてくると、留美が読んでいた書類を引き出しに片づけて去っていった。巧が取り出して見ると、それは、家や土地の権利書だった。さらに、佳織や宗太郎も、留美が身辺整理らしいことをしている言動を目撃。小夜子のことで後悔がある依子は、自分たちが出来ることを速やかに実行しよう、と巧らに呼びかける。  　その裏で宗太郎は、鷲尾豊(中島裕翔)に、依子と巧が結婚を合意するタイムリミットが迫っている、とハッパをかける。  　ある日、谷口家で「結婚契約書」の作成をしていた依子がリビングに下りると、留美が不要"&amp;"品の整理をしていた。そこで依子は、巧の父親の写真を目にする。留美の夫でもあるこの男性がいつ亡くなったのか、と依子が尋ねると、留美は意外な事実を告げた。それを聞いた依子は…。")</f>
        <v>藪下依子(杏)と谷口巧(長谷川博己)は、「結婚契約書」の作成を急ピッチで進めていた。ふたりが急ぐのは、谷口留美(風吹ジュン)が体調を崩したからだった。以前の検査では異常はないと言われたが、最近、貧血と体重の減少があると言う。依子に紹介された病院で検査を受けた留美は、胃潰瘍と診断され手術が行われることになった。  　結果を聞いた巧、島田佳織(国仲涼子)、島田宗太郎(松尾諭)も安堵するが、不安がよぎった依子は、藪下俊雄(松重豊)に胃がんで亡くなった藪下小夜子(和久井映見)の当時の症状を尋ねる。  　そんな日の深夜、巧がリビングに下りてくると、留美が読んでいた書類を引き出しに片づけて去っていった。巧が取り出して見ると、それは、家や土地の権利書だった。さらに、佳織や宗太郎も、留美が身辺整理らしいことをしている言動を目撃。小夜子のことで後悔がある依子は、自分たちが出来ることを速やかに実行しよう、と巧らに呼びかける。  　その裏で宗太郎は、鷲尾豊(中島裕翔)に、依子と巧が結婚を合意するタイムリミットが迫っている、とハッパをかける。  　ある日、谷口家で「結婚契約書」の作成をしていた依子がリビングに下りると、留美が不要品の整理をしていた。そこで依子は、巧の父親の写真を目にする。留美の夫でもあるこの男性がいつ亡くなったのか、と依子が尋ねると、留美は意外な事実を告げた。それを聞いた依子は…。</v>
      </c>
      <c r="N608" s="2"/>
      <c r="O608" s="2"/>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row>
    <row r="609" ht="204.75" customHeight="1">
      <c r="A609" s="1">
        <v>2280.0</v>
      </c>
      <c r="B609" s="2" t="s">
        <v>1931</v>
      </c>
      <c r="C609" s="2">
        <f>IFERROR(__xludf.DUMMYFUNCTION("split(B609,""_"")"),1501.0)</f>
        <v>1501</v>
      </c>
      <c r="D609" s="2" t="str">
        <f>IFERROR(__xludf.DUMMYFUNCTION("""COMPUTED_VALUE"""),"CX")</f>
        <v>CX</v>
      </c>
      <c r="E609" s="2" t="str">
        <f>IFERROR(__xludf.DUMMYFUNCTION("""COMPUTED_VALUE"""),"月21")</f>
        <v>月21</v>
      </c>
      <c r="F609" s="2" t="s">
        <v>1932</v>
      </c>
      <c r="G609" s="2" t="s">
        <v>1954</v>
      </c>
      <c r="H609" s="1">
        <v>8.0</v>
      </c>
      <c r="I609" s="1" t="s">
        <v>29</v>
      </c>
      <c r="J609" s="1" t="s">
        <v>11</v>
      </c>
      <c r="K609" s="4" t="s">
        <v>1955</v>
      </c>
      <c r="L609" s="2" t="s">
        <v>1956</v>
      </c>
      <c r="M609" s="2" t="str">
        <f>IFERROR(__xludf.DUMMYFUNCTION("split(split(K609,""藪下依子:　"",false),""で検索!!　"",false)"),"【公式HP】  http://www.fujitv.co.jp/date/index.html　    【モバイルコンテンツ】  恋愛不適合度診断・キャスト待受けなど、オリジナルコンテンツ好評配信中!「デート　コンテンツストア」")</f>
        <v>【公式HP】  http://www.fujitv.co.jp/date/index.html　    【モバイルコンテンツ】  恋愛不適合度診断・キャスト待受けなど、オリジナルコンテンツ好評配信中!「デート　コンテンツストア」</v>
      </c>
      <c r="N609" s="2" t="str">
        <f>IFERROR(__xludf.DUMMYFUNCTION("""COMPUTED_VALUE"""),"ついに、藪下依子(杏)と谷口巧(長谷川博己)の結納が執り行われることになり、藪下家に両家が集まった。厳かな雰囲気の中、儀式は始まるが、藪下俊雄(松重豊)と谷口努(平田満)の口上がしどろもどろで、谷口留美(風吹ジュン)は笑いが止まらない。そんな中、依子は、沈んだ様子の巧のことが気にかかる。  　その1週間前、依子と巧のお祝いパーティーが開かれ、島田佳織(国仲涼子)、島田宗太郎(松尾諭)、鷲尾豊(中島裕翔)が谷口家にそろった。結納が2月14日だと聞いた佳織はロマンティックだと言い、依子にバレンタインデーの思い"&amp;"出を聞くが、依子は今まで一度もチョコを渡したことがないと答える。それを聞いた巧は賢明だと依子をほめ、バレンタインデーなど製菓業界が仕組んだイベントに過ぎない、とさげすむように言う。豊は、依子の心のどこかには誰かにチョコをあげたいという気持ちがあるのでは、と食い下がるが、依子に否定されてしまう。  　依子が席を外すと、豊は、自分はもう依子のことは諦めたが、依子はきっと誰かにチョコをあげたいはずだし、恋もしたいはずだから依子と恋をしてあげてほしい、と巧に頼む。  　今から19年前、10歳の頃の依子(内田愛)は"&amp;"、バレンタインデーに藪下小夜子(和久井映見)からある予言をされていた。")</f>
        <v>ついに、藪下依子(杏)と谷口巧(長谷川博己)の結納が執り行われることになり、藪下家に両家が集まった。厳かな雰囲気の中、儀式は始まるが、藪下俊雄(松重豊)と谷口努(平田満)の口上がしどろもどろで、谷口留美(風吹ジュン)は笑いが止まらない。そんな中、依子は、沈んだ様子の巧のことが気にかかる。  　その1週間前、依子と巧のお祝いパーティーが開かれ、島田佳織(国仲涼子)、島田宗太郎(松尾諭)、鷲尾豊(中島裕翔)が谷口家にそろった。結納が2月14日だと聞いた佳織はロマンティックだと言い、依子にバレンタインデーの思い出を聞くが、依子は今まで一度もチョコを渡したことがないと答える。それを聞いた巧は賢明だと依子をほめ、バレンタインデーなど製菓業界が仕組んだイベントに過ぎない、とさげすむように言う。豊は、依子の心のどこかには誰かにチョコをあげたいという気持ちがあるのでは、と食い下がるが、依子に否定されてしまう。  　依子が席を外すと、豊は、自分はもう依子のことは諦めたが、依子はきっと誰かにチョコをあげたいはずだし、恋もしたいはずだから依子と恋をしてあげてほしい、と巧に頼む。  　今から19年前、10歳の頃の依子(内田愛)は、バレンタインデーに藪下小夜子(和久井映見)からある予言をされていた。</v>
      </c>
      <c r="O609" s="2"/>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row>
    <row r="610" ht="204.75" customHeight="1">
      <c r="A610" s="1">
        <v>2281.0</v>
      </c>
      <c r="B610" s="2" t="s">
        <v>1931</v>
      </c>
      <c r="C610" s="2">
        <f>IFERROR(__xludf.DUMMYFUNCTION("split(B610,""_"")"),1501.0)</f>
        <v>1501</v>
      </c>
      <c r="D610" s="2" t="str">
        <f>IFERROR(__xludf.DUMMYFUNCTION("""COMPUTED_VALUE"""),"CX")</f>
        <v>CX</v>
      </c>
      <c r="E610" s="2" t="str">
        <f>IFERROR(__xludf.DUMMYFUNCTION("""COMPUTED_VALUE"""),"月21")</f>
        <v>月21</v>
      </c>
      <c r="F610" s="2" t="s">
        <v>1932</v>
      </c>
      <c r="G610" s="2" t="s">
        <v>1957</v>
      </c>
      <c r="H610" s="1">
        <v>9.0</v>
      </c>
      <c r="I610" s="1" t="s">
        <v>33</v>
      </c>
      <c r="J610" s="1" t="s">
        <v>4</v>
      </c>
      <c r="K610" s="2" t="s">
        <v>1958</v>
      </c>
      <c r="L610" s="2" t="s">
        <v>1959</v>
      </c>
      <c r="M610" s="2" t="str">
        <f>IFERROR(__xludf.DUMMYFUNCTION("split(split(K610,""藪下依子:　"",false),""で検索!!　"",false)"),"【公式HP】  http://www.fujitv.co.jp/date/index.html　    【モバイルコンテンツ】  恋愛不適合度診断・キャスト待受けなど、オリジナルコンテンツ好評配信中!「デート　コンテンツストア」")</f>
        <v>【公式HP】  http://www.fujitv.co.jp/date/index.html　    【モバイルコンテンツ】  恋愛不適合度診断・キャスト待受けなど、オリジナルコンテンツ好評配信中!「デート　コンテンツストア」</v>
      </c>
      <c r="N610" s="2" t="str">
        <f>IFERROR(__xludf.DUMMYFUNCTION("""COMPUTED_VALUE"""),"藪下依子(杏)と谷口巧(長谷川博己)の結納が取り止めになってから1カ月後の3月15日、依子、島田佳織(国仲涼子)、鷲尾豊(中島裕翔)、島田宗太郎(松尾諭)、藪下俊雄(松重豊)、谷口留美(風吹ジュン)、谷口努(平田満)は、結婚式場にいた。この日が無事に迎えられてよかった、と喜ぶ俊雄に、留美も努も安堵の表情を見せた。ところが、スタッフの女性がウエディングドレスを持って入室してくると、そこに巧がいないことが発覚。全員で手分けをして探すが見当たらない。努は巧抜きでやるか、と言うが、依子は一蹴。心当たりがあるという"&amp;"依子は、部屋を飛び出していく。  　その1カ月前の2月14日、結納が取り止めになった後、依子は豊に、佳織は巧にバレンタインチョコレートを渡し、それぞれの交際が始まった。依子は巧に電話をかけ、豊とデートをすることになったと報告。すると、巧も佳織とデートの予定があると話した。2人はお互いの恋の成就を祈り、今後これ以上話はしないほうがいいと確認し、電話を切った。  　巧からありのままの自分でデートに行くことが大事だ、と忠告されていた依子は、部屋着にぼさぼさの頭で出かけていく。それを見た豊は、最高だと喜び、依子を"&amp;"美容院やショップへと連れていく。やがて、美しくドレスアップされた自分に、依子もまんざらではなく…。一方の巧は、佳織と自宅で映画とマンガ鑑賞という自分らしいデートを満喫していた。")</f>
        <v>藪下依子(杏)と谷口巧(長谷川博己)の結納が取り止めになってから1カ月後の3月15日、依子、島田佳織(国仲涼子)、鷲尾豊(中島裕翔)、島田宗太郎(松尾諭)、藪下俊雄(松重豊)、谷口留美(風吹ジュン)、谷口努(平田満)は、結婚式場にいた。この日が無事に迎えられてよかった、と喜ぶ俊雄に、留美も努も安堵の表情を見せた。ところが、スタッフの女性がウエディングドレスを持って入室してくると、そこに巧がいないことが発覚。全員で手分けをして探すが見当たらない。努は巧抜きでやるか、と言うが、依子は一蹴。心当たりがあるという依子は、部屋を飛び出していく。  　その1カ月前の2月14日、結納が取り止めになった後、依子は豊に、佳織は巧にバレンタインチョコレートを渡し、それぞれの交際が始まった。依子は巧に電話をかけ、豊とデートをすることになったと報告。すると、巧も佳織とデートの予定があると話した。2人はお互いの恋の成就を祈り、今後これ以上話はしないほうがいいと確認し、電話を切った。  　巧からありのままの自分でデートに行くことが大事だ、と忠告されていた依子は、部屋着にぼさぼさの頭で出かけていく。それを見た豊は、最高だと喜び、依子を美容院やショップへと連れていく。やがて、美しくドレスアップされた自分に、依子もまんざらではなく…。一方の巧は、佳織と自宅で映画とマンガ鑑賞という自分らしいデートを満喫していた。</v>
      </c>
      <c r="O610" s="2"/>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row>
    <row r="611" ht="204.75" customHeight="1">
      <c r="A611" s="1">
        <v>2282.0</v>
      </c>
      <c r="B611" s="2" t="s">
        <v>1931</v>
      </c>
      <c r="C611" s="2">
        <f>IFERROR(__xludf.DUMMYFUNCTION("split(B611,""_"")"),1501.0)</f>
        <v>1501</v>
      </c>
      <c r="D611" s="2" t="str">
        <f>IFERROR(__xludf.DUMMYFUNCTION("""COMPUTED_VALUE"""),"CX")</f>
        <v>CX</v>
      </c>
      <c r="E611" s="2" t="str">
        <f>IFERROR(__xludf.DUMMYFUNCTION("""COMPUTED_VALUE"""),"月21")</f>
        <v>月21</v>
      </c>
      <c r="F611" s="2" t="s">
        <v>1932</v>
      </c>
      <c r="G611" s="2" t="s">
        <v>1960</v>
      </c>
      <c r="H611" s="1">
        <v>10.0</v>
      </c>
      <c r="I611" s="1" t="s">
        <v>37</v>
      </c>
      <c r="J611" s="1" t="s">
        <v>4</v>
      </c>
      <c r="K611" s="2" t="s">
        <v>1961</v>
      </c>
      <c r="L611" s="2" t="s">
        <v>1962</v>
      </c>
      <c r="M611" s="2" t="str">
        <f>IFERROR(__xludf.DUMMYFUNCTION("split(split(K611,""藪下依子:　"",false),""で検索!!　"",false)"),"【公式HP】  http://www.fujitv.co.jp/date/index.html　    【モバイルコンテンツ】  恋愛不適合度診断・キャスト待受けなど、オリジナルコンテンツ好評配信中!「デート　コンテンツストア」")</f>
        <v>【公式HP】  http://www.fujitv.co.jp/date/index.html　    【モバイルコンテンツ】  恋愛不適合度診断・キャスト待受けなど、オリジナルコンテンツ好評配信中!「デート　コンテンツストア」</v>
      </c>
      <c r="N611" s="2" t="str">
        <f>IFERROR(__xludf.DUMMYFUNCTION("""COMPUTED_VALUE"""),"3月22日、藪下依子(杏)は30歳の誕生日を迎えた。いつもの時間に起床し、いつものように日課をこなしながらも、依子はチラチラと鳴らない携帯電話を見る。やがて、自分から鷲尾豊(中島裕翔)に電話をかけて今日の予定を聞くが、大事な商談が入ったため会えないと言われてしまう。気を取り直して、藪下俊雄(松重豊)にかけると、あろうことか俊雄にも振られてしまう。そんな依子を見て、藪下小夜子(和久井映見)は笑い出す。  　暇を持て余した依子は、大好きな路線バスに乗り、横浜市内を巡ることにした。すると、谷口巧(長谷川博己)が"&amp;"乗り込んでくる。突然のことにとまどいながらも、隣同士に座った2人はいつものように会話の応酬を始める。しかし、議論が白熱し過ぎた結果、巧が依子の手を踏み、依子の頭が巧の鼻を直撃し、巧が鼻血を出すというハプニングが起こる。そんなとき、依子と巧のことを見ていた上品な老婦人(白石加代子)が声をかけてくる。  　やがて、老婦人が誕生日プレゼントだと言って、依子にリンゴを1個手渡して降りていくと、巧の携帯が鳴った。島田佳織(国仲涼子)からだったが、依子と一緒にいると言うと切れてしまう。すると今度は、依子の携帯に佳織か"&amp;"ら電話がかかってくる。依子が出ると、佳織は谷口留美(風吹ジュン)が倒れたと伝える。慌てた2人は、巧の自宅へと駆け出し…。")</f>
        <v>3月22日、藪下依子(杏)は30歳の誕生日を迎えた。いつもの時間に起床し、いつものように日課をこなしながらも、依子はチラチラと鳴らない携帯電話を見る。やがて、自分から鷲尾豊(中島裕翔)に電話をかけて今日の予定を聞くが、大事な商談が入ったため会えないと言われてしまう。気を取り直して、藪下俊雄(松重豊)にかけると、あろうことか俊雄にも振られてしまう。そんな依子を見て、藪下小夜子(和久井映見)は笑い出す。  　暇を持て余した依子は、大好きな路線バスに乗り、横浜市内を巡ることにした。すると、谷口巧(長谷川博己)が乗り込んでくる。突然のことにとまどいながらも、隣同士に座った2人はいつものように会話の応酬を始める。しかし、議論が白熱し過ぎた結果、巧が依子の手を踏み、依子の頭が巧の鼻を直撃し、巧が鼻血を出すというハプニングが起こる。そんなとき、依子と巧のことを見ていた上品な老婦人(白石加代子)が声をかけてくる。  　やがて、老婦人が誕生日プレゼントだと言って、依子にリンゴを1個手渡して降りていくと、巧の携帯が鳴った。島田佳織(国仲涼子)からだったが、依子と一緒にいると言うと切れてしまう。すると今度は、依子の携帯に佳織から電話がかかってくる。依子が出ると、佳織は谷口留美(風吹ジュン)が倒れたと伝える。慌てた2人は、巧の自宅へと駆け出し…。</v>
      </c>
      <c r="O611" s="2"/>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row>
    <row r="612" ht="204.75" customHeight="1">
      <c r="A612" s="1">
        <v>2283.0</v>
      </c>
      <c r="B612" s="2" t="s">
        <v>1963</v>
      </c>
      <c r="C612" s="2">
        <f>IFERROR(__xludf.DUMMYFUNCTION("split(B612,""_"")"),1501.0)</f>
        <v>1501</v>
      </c>
      <c r="D612" s="2" t="str">
        <f>IFERROR(__xludf.DUMMYFUNCTION("""COMPUTED_VALUE"""),"CX")</f>
        <v>CX</v>
      </c>
      <c r="E612" s="2" t="str">
        <f>IFERROR(__xludf.DUMMYFUNCTION("""COMPUTED_VALUE"""),"火21")</f>
        <v>火21</v>
      </c>
      <c r="F612" s="2" t="s">
        <v>1964</v>
      </c>
      <c r="G612" s="2" t="s">
        <v>1965</v>
      </c>
      <c r="H612" s="1">
        <v>1.0</v>
      </c>
      <c r="I612" s="1" t="s">
        <v>3</v>
      </c>
      <c r="J612" s="1" t="s">
        <v>4</v>
      </c>
      <c r="K612" s="4" t="s">
        <v>1966</v>
      </c>
      <c r="L612" s="2" t="s">
        <v>1967</v>
      </c>
      <c r="M612" s="2" t="str">
        <f>IFERROR(__xludf.DUMMYFUNCTION("split(split(K612,""【"",false),""田中哲司　"",false)"),"遠野リサ(女流小説家):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石橋凌"&amp;"　    神崎雄司(文芸雑誌編集長):　")</f>
        <v>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v>
      </c>
      <c r="N612" s="2" t="str">
        <f>IFERROR(__xludf.DUMMYFUNCTION("""COMPUTED_VALUE"""),"会場では、ある新人賞授賞式の準備が進んでいた。たぐいまれな才能と美貌とを兼ね備えた遠野リサ(中谷美紀)は授賞式の目玉となる存在。その頃、出版社・駿峰社の一室ではリサの作品の映画化が決定されようとしていた。幹部たちに説明をしているのが、やり手編集マン・神崎雄司(田中哲司)。リサの作品はこの7年間で映像化された10作品全て大ヒット、文庫も300万部を売り上げた作品もある。誰から見ても順風満帆そのもののリサだったが実は既に行き詰まりを感じていた。  　小説家を夢見て東京にやってきた川原由樹(水川あさみ)。田舎で"&amp;"待つ婚約者には1年限りという約束をして最後の挑戦と意気込み東京へやってきた。いくつもの新人賞に応募を続けたが結果を出すことなく1年が経ってしまった。故郷に戻り結婚することを心に決める。はずだったが、由樹はまだあきらめきれなかった。手元に残していた原稿を持って出版社を訪れる。プロの編集者から「君には才能がない」そう言ってもらえればきっぱりあきらめがつく。由樹が向かったのは大手出版社・駿峰社。由樹と受付係のやりとりを偶然耳にした新人編集マン・小田颯人(三浦翔平)は由樹に声をかける。「遠野リサのアシスタントを探"&amp;"しているんですが…」。憧れの大作家のアシスタントの仕事に由樹の心は揺れた。田舎に帰って結婚するはずの由樹の人生が今、大きな転換点を迎えようとしていた。  　そしてリサの作家人生も…。")</f>
        <v>会場では、ある新人賞授賞式の準備が進んでいた。たぐいまれな才能と美貌とを兼ね備えた遠野リサ(中谷美紀)は授賞式の目玉となる存在。その頃、出版社・駿峰社の一室ではリサの作品の映画化が決定されようとしていた。幹部たちに説明をしているのが、やり手編集マン・神崎雄司(田中哲司)。リサの作品はこの7年間で映像化された10作品全て大ヒット、文庫も300万部を売り上げた作品もある。誰から見ても順風満帆そのもののリサだったが実は既に行き詰まりを感じていた。  　小説家を夢見て東京にやってきた川原由樹(水川あさみ)。田舎で待つ婚約者には1年限りという約束をして最後の挑戦と意気込み東京へやってきた。いくつもの新人賞に応募を続けたが結果を出すことなく1年が経ってしまった。故郷に戻り結婚することを心に決める。はずだったが、由樹はまだあきらめきれなかった。手元に残していた原稿を持って出版社を訪れる。プロの編集者から「君には才能がない」そう言ってもらえればきっぱりあきらめがつく。由樹が向かったのは大手出版社・駿峰社。由樹と受付係のやりとりを偶然耳にした新人編集マン・小田颯人(三浦翔平)は由樹に声をかける。「遠野リサのアシスタントを探しているんですが…」。憧れの大作家のアシスタントの仕事に由樹の心は揺れた。田舎に帰って結婚するはずの由樹の人生が今、大きな転換点を迎えようとしていた。  　そしてリサの作家人生も…。</v>
      </c>
      <c r="O612" s="2"/>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row>
    <row r="613" ht="204.75" customHeight="1">
      <c r="A613" s="1">
        <v>2284.0</v>
      </c>
      <c r="B613" s="2" t="s">
        <v>1963</v>
      </c>
      <c r="C613" s="2">
        <f>IFERROR(__xludf.DUMMYFUNCTION("split(B613,""_"")"),1501.0)</f>
        <v>1501</v>
      </c>
      <c r="D613" s="2" t="str">
        <f>IFERROR(__xludf.DUMMYFUNCTION("""COMPUTED_VALUE"""),"CX")</f>
        <v>CX</v>
      </c>
      <c r="E613" s="2" t="str">
        <f>IFERROR(__xludf.DUMMYFUNCTION("""COMPUTED_VALUE"""),"火21")</f>
        <v>火21</v>
      </c>
      <c r="F613" s="2" t="s">
        <v>1964</v>
      </c>
      <c r="G613" s="2" t="s">
        <v>1968</v>
      </c>
      <c r="H613" s="1">
        <v>2.0</v>
      </c>
      <c r="I613" s="1" t="s">
        <v>7</v>
      </c>
      <c r="J613" s="1" t="s">
        <v>11</v>
      </c>
      <c r="K613" s="2" t="s">
        <v>1969</v>
      </c>
      <c r="L613" s="2" t="s">
        <v>1970</v>
      </c>
      <c r="M613" s="2" t="str">
        <f>IFERROR(__xludf.DUMMYFUNCTION("split(split(K613,""【"",false),""田中哲司　"",false)"),"遠野リサ(女流小説家):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石橋凌"&amp;"　    神崎雄司(文芸雑誌編集長):　")</f>
        <v>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v>
      </c>
      <c r="N613" s="2" t="str">
        <f>IFERROR(__xludf.DUMMYFUNCTION("""COMPUTED_VALUE"""),"遠野リサ(中谷美紀)は、川原由樹(水川あさみ)を正式にアシスタントとして採用する。由樹は、婚約者の尾崎浩康(小柳友)にそれを報告し、すぐに辞めることを約束する。  　あくる日、リサは、やってきた由樹にいきなり連載中の小説のプロットを書くように言い渡す。有無を言わさぬリサの口調に、由樹は辞めることを切り出せないまま引き受ける。  　神崎雄司(田中哲司)は、プレゼンしていたリサの小説の映画化が決まり、出世に手応えを感じる。そんな矢先、これまで一度も締切りを落としたことのないリサが、別会社の連載を落としたと報告"&amp;"が入った。  　映画化する新作の取材のためウエディングサロンへ向かったリサは、助手席に座る由樹に対し、提出したプロットのダメ出しをして書き直しを命じる。サロンで合流した神崎に、差し替え前の追悼文を書いた人だと由樹を紹介するリサ。さして気にした様子のない神崎は、リサに原稿を落とさないように念を押した。  　由樹は、書き直したプロットをリサに渡し、アシスタントを続けられないことを告げる。リサは一瞬の沈黙の後了承するが、再びプロットの書き直しを命じ、代わりのアシスタントを探す手配をしようとする秘書の田浦美鈴(キ"&amp;"ムラ緑子)をなぜか制した。  　その夜、執筆中のリサのもとに、母親の元子(江波杏子)が入所している施設から元子がいなくなったと連絡が入り…。")</f>
        <v>遠野リサ(中谷美紀)は、川原由樹(水川あさみ)を正式にアシスタントとして採用する。由樹は、婚約者の尾崎浩康(小柳友)にそれを報告し、すぐに辞めることを約束する。  　あくる日、リサは、やってきた由樹にいきなり連載中の小説のプロットを書くように言い渡す。有無を言わさぬリサの口調に、由樹は辞めることを切り出せないまま引き受ける。  　神崎雄司(田中哲司)は、プレゼンしていたリサの小説の映画化が決まり、出世に手応えを感じる。そんな矢先、これまで一度も締切りを落としたことのないリサが、別会社の連載を落としたと報告が入った。  　映画化する新作の取材のためウエディングサロンへ向かったリサは、助手席に座る由樹に対し、提出したプロットのダメ出しをして書き直しを命じる。サロンで合流した神崎に、差し替え前の追悼文を書いた人だと由樹を紹介するリサ。さして気にした様子のない神崎は、リサに原稿を落とさないように念を押した。  　由樹は、書き直したプロットをリサに渡し、アシスタントを続けられないことを告げる。リサは一瞬の沈黙の後了承するが、再びプロットの書き直しを命じ、代わりのアシスタントを探す手配をしようとする秘書の田浦美鈴(キムラ緑子)をなぜか制した。  　その夜、執筆中のリサのもとに、母親の元子(江波杏子)が入所している施設から元子がいなくなったと連絡が入り…。</v>
      </c>
      <c r="O613" s="2"/>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row>
    <row r="614" ht="204.75" customHeight="1">
      <c r="A614" s="1">
        <v>2285.0</v>
      </c>
      <c r="B614" s="2" t="s">
        <v>1963</v>
      </c>
      <c r="C614" s="2">
        <f>IFERROR(__xludf.DUMMYFUNCTION("split(B614,""_"")"),1501.0)</f>
        <v>1501</v>
      </c>
      <c r="D614" s="2" t="str">
        <f>IFERROR(__xludf.DUMMYFUNCTION("""COMPUTED_VALUE"""),"CX")</f>
        <v>CX</v>
      </c>
      <c r="E614" s="2" t="str">
        <f>IFERROR(__xludf.DUMMYFUNCTION("""COMPUTED_VALUE"""),"火21")</f>
        <v>火21</v>
      </c>
      <c r="F614" s="2" t="s">
        <v>1964</v>
      </c>
      <c r="G614" s="2" t="s">
        <v>1971</v>
      </c>
      <c r="H614" s="1">
        <v>3.0</v>
      </c>
      <c r="I614" s="1" t="s">
        <v>10</v>
      </c>
      <c r="J614" s="1" t="s">
        <v>11</v>
      </c>
      <c r="K614" s="2" t="s">
        <v>1972</v>
      </c>
      <c r="L614" s="2" t="s">
        <v>1973</v>
      </c>
      <c r="M614" s="2" t="str">
        <f>IFERROR(__xludf.DUMMYFUNCTION("split(split(K614,""【"",false),""田中哲司　"",false)"),"遠野リサ(女流小説家):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石橋凌"&amp;"　    神崎雄司(文芸雑誌編集長):　")</f>
        <v>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v>
      </c>
      <c r="N614" s="2" t="str">
        <f>IFERROR(__xludf.DUMMYFUNCTION("""COMPUTED_VALUE"""),"    向井七恵:　山本未來　小説執筆に行き詰った遠野リサ(中谷美紀)に代わり、川原由樹(水川あさみ)がプロットを書くようになってから連載小説の評判が上がり始めた。リサは罪悪感を抱えながらも、由樹のために彼女の才能の扉を開いただけだと自分に言い聞かせてプロットを書かせ続ける。  　事情を知らない小田颯人(三浦翔平)は、再び神崎雄司(田中哲司)に由樹の原稿を読んで欲しいとお願いする。耳を貸そうとしない神崎だったが、由樹の名前を聞くと原稿を受け取る。  　リサは、由樹に豪華な仕事部屋を与えた。恐縮する由樹に、"&amp;"リサは駿峰社で始まる新連載のプロットは設定からストーリーまで自由に書いていいと告げる。  　神崎がリサの事務所にやって来た。対応した由樹に神崎は、新連載はプロットだけでなく小説を書いてみないかと持ちかけた。突然のことに戸惑う由樹。  　リサはテレビ局の廊下で、同時期に新人賞を受賞して以来ライバルと言われていた女性作家の向井七恵(山本未來)とすれ違う。人気作家となったリサとは反対に数年で姿を消した七恵は、10年ぶりにエッセイ本を出すことになったという。事務所に戻ったリサは、神崎から七恵のエッセイ本と自分のエ"&amp;"ッセイ本の発売日が同日であると知らされる。  　数日後、由樹が新連載『おとぎの国の住人』のプロットを提出した。それを基に小説を書き始めるリサだったが、由樹もまたひそかに『おとぎの国の住人』の小説を書き始めていた…。")</f>
        <v>    向井七恵:　山本未來　小説執筆に行き詰った遠野リサ(中谷美紀)に代わり、川原由樹(水川あさみ)がプロットを書くようになってから連載小説の評判が上がり始めた。リサは罪悪感を抱えながらも、由樹のために彼女の才能の扉を開いただけだと自分に言い聞かせてプロットを書かせ続ける。  　事情を知らない小田颯人(三浦翔平)は、再び神崎雄司(田中哲司)に由樹の原稿を読んで欲しいとお願いする。耳を貸そうとしない神崎だったが、由樹の名前を聞くと原稿を受け取る。  　リサは、由樹に豪華な仕事部屋を与えた。恐縮する由樹に、リサは駿峰社で始まる新連載のプロットは設定からストーリーまで自由に書いていいと告げる。  　神崎がリサの事務所にやって来た。対応した由樹に神崎は、新連載はプロットだけでなく小説を書いてみないかと持ちかけた。突然のことに戸惑う由樹。  　リサはテレビ局の廊下で、同時期に新人賞を受賞して以来ライバルと言われていた女性作家の向井七恵(山本未來)とすれ違う。人気作家となったリサとは反対に数年で姿を消した七恵は、10年ぶりにエッセイ本を出すことになったという。事務所に戻ったリサは、神崎から七恵のエッセイ本と自分のエッセイ本の発売日が同日であると知らされる。  　数日後、由樹が新連載『おとぎの国の住人』のプロットを提出した。それを基に小説を書き始めるリサだったが、由樹もまたひそかに『おとぎの国の住人』の小説を書き始めていた…。</v>
      </c>
      <c r="O614" s="2"/>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row>
    <row r="615" ht="204.75" customHeight="1">
      <c r="A615" s="1">
        <v>2286.0</v>
      </c>
      <c r="B615" s="2" t="s">
        <v>1963</v>
      </c>
      <c r="C615" s="2">
        <f>IFERROR(__xludf.DUMMYFUNCTION("split(B615,""_"")"),1501.0)</f>
        <v>1501</v>
      </c>
      <c r="D615" s="2" t="str">
        <f>IFERROR(__xludf.DUMMYFUNCTION("""COMPUTED_VALUE"""),"CX")</f>
        <v>CX</v>
      </c>
      <c r="E615" s="2" t="str">
        <f>IFERROR(__xludf.DUMMYFUNCTION("""COMPUTED_VALUE"""),"火21")</f>
        <v>火21</v>
      </c>
      <c r="F615" s="2" t="s">
        <v>1964</v>
      </c>
      <c r="G615" s="2" t="s">
        <v>1974</v>
      </c>
      <c r="H615" s="1">
        <v>4.0</v>
      </c>
      <c r="I615" s="1" t="s">
        <v>14</v>
      </c>
      <c r="J615" s="1" t="s">
        <v>11</v>
      </c>
      <c r="K615" s="2" t="s">
        <v>1975</v>
      </c>
      <c r="L615" s="8" t="s">
        <v>1976</v>
      </c>
      <c r="M615" s="2" t="str">
        <f>IFERROR(__xludf.DUMMYFUNCTION("split(split(K615,""【"",false),""田中哲司　"",false)"),"遠野リサ(女流小説家):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石橋凌"&amp;"　    神崎雄司(文芸雑誌編集長):　田中哲司http://www.fujitv.co.jp/ghostwriter/　  ホームページで予告動画や新垣隆氏による特別解説を公開中　いまやリサ(中谷美紀)が抱えている連載小説3本は、すべて由樹(水川あさみ)が書くようになっていた。神崎(田中哲司)から映画の原作小説はどうするのかと問われたリサは、せめてそれだけは自分で書きたいと申し出る。  　由樹が自らの名前で出した小説「二番目のわたしへ」のほとんどが駿峰社へ返本されてきた。努めて明るく振る舞う由樹に、小田"&amp;"(三浦翔平)は、最初は誰でもこんなものだと励ましの言葉をかける。一方、真奈美(菜々緒)は、最近のリサの作風と、「二番目のわたしへ」が似ている、と言い出し、由樹の反応をうかがっていた。  　リサのサイン会で書店へ来た由樹は、本当は自分が書いた小説がベストセラーコーナーに積み上げられているのをじっと見つめる。リサは、そんな由樹に、私たちは共犯者だと告げた。  　常務室に呼び出された神崎は、鳥飼(石橋凌)から映画原作の遅れを指摘される。由樹ではなくリサに書かせようとしている神崎の意図に気付き苦笑いする鳥飼。神崎"&amp;"は、映画は必ず大ヒットさせる、とだけ鳥飼に返す。  　リサのもとを訪れた神崎は、映画原作の進行具合を尋ねる。まだタイトルだけしか決まっていないと知った神崎は、もうこれ以上待たせるわけにはいかない状況だと、リサに告げ…。")</f>
        <v>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田中哲司http://www.fujitv.co.jp/ghostwriter/　  ホームページで予告動画や新垣隆氏による特別解説を公開中　いまやリサ(中谷美紀)が抱えている連載小説3本は、すべて由樹(水川あさみ)が書くようになっていた。神崎(田中哲司)から映画の原作小説はどうするのかと問われたリサは、せめてそれだけは自分で書きたいと申し出る。  　由樹が自らの名前で出した小説「二番目のわたしへ」のほとんどが駿峰社へ返本されてきた。努めて明るく振る舞う由樹に、小田(三浦翔平)は、最初は誰でもこんなものだと励ましの言葉をかける。一方、真奈美(菜々緒)は、最近のリサの作風と、「二番目のわたしへ」が似ている、と言い出し、由樹の反応をうかがっていた。  　リサのサイン会で書店へ来た由樹は、本当は自分が書いた小説がベストセラーコーナーに積み上げられているのをじっと見つめる。リサは、そんな由樹に、私たちは共犯者だと告げた。  　常務室に呼び出された神崎は、鳥飼(石橋凌)から映画原作の遅れを指摘される。由樹ではなくリサに書かせようとしている神崎の意図に気付き苦笑いする鳥飼。神崎は、映画は必ず大ヒットさせる、とだけ鳥飼に返す。  　リサのもとを訪れた神崎は、映画原作の進行具合を尋ねる。まだタイトルだけしか決まっていないと知った神崎は、もうこれ以上待たせるわけにはいかない状況だと、リサに告げ…。</v>
      </c>
      <c r="N615" s="2"/>
      <c r="O615" s="2"/>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row>
    <row r="616" ht="204.75" customHeight="1">
      <c r="A616" s="1">
        <v>2287.0</v>
      </c>
      <c r="B616" s="2" t="s">
        <v>1963</v>
      </c>
      <c r="C616" s="2">
        <f>IFERROR(__xludf.DUMMYFUNCTION("split(B616,""_"")"),1501.0)</f>
        <v>1501</v>
      </c>
      <c r="D616" s="2" t="str">
        <f>IFERROR(__xludf.DUMMYFUNCTION("""COMPUTED_VALUE"""),"CX")</f>
        <v>CX</v>
      </c>
      <c r="E616" s="2" t="str">
        <f>IFERROR(__xludf.DUMMYFUNCTION("""COMPUTED_VALUE"""),"火21")</f>
        <v>火21</v>
      </c>
      <c r="F616" s="2" t="s">
        <v>1964</v>
      </c>
      <c r="G616" s="2" t="s">
        <v>1977</v>
      </c>
      <c r="H616" s="1">
        <v>5.0</v>
      </c>
      <c r="I616" s="1" t="s">
        <v>17</v>
      </c>
      <c r="J616" s="1" t="s">
        <v>11</v>
      </c>
      <c r="K616" s="2" t="s">
        <v>1978</v>
      </c>
      <c r="L616" s="8" t="s">
        <v>1979</v>
      </c>
      <c r="M616" s="2" t="str">
        <f>IFERROR(__xludf.DUMMYFUNCTION("split(split(K616,""【"",false),""田中哲司　"",false)"),"遠野リサ(女流小説家):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石橋凌"&amp;"　    神崎雄司(文芸雑誌編集長):　")</f>
        <v>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v>
      </c>
      <c r="N616" s="2" t="str">
        <f>IFERROR(__xludf.DUMMYFUNCTION("""COMPUTED_VALUE"""),"映画の原作となる小説「エターナルレシピ」が書きあがり、リサ(中谷美紀)は主演の女優・菅原可奈(西内ひろ)とのトークショーに出席する。帰宅したリサは、連載小説を書いていた由樹(水川あさみ)に、トークショーで受けた拍手の半分は由樹のものであり、私たちはふたりで遠野リサだと話す。  　編集部で、リサの連載小説「窓際の席で待っています」の原稿を読んでいた小田(三浦翔平)は、文中にあったある言葉に目を留め、疑念を抱く。  　由樹を食事に誘った小田は、「窓際の席で待っています」のキャラクターを批判する。ムキになって反"&amp;"論する由樹を見て、疑惑が確信に変わった小田は、小説を書いているのはリサではなく由樹ではないかと切り出した。助けになりたいと申し出る小田に由樹は…。  　そんななか、編集部にリサの担当者宛ての荷物が届いた。小田が荷物を開けると、そこには手りゅう弾が入っていた。すぐに手りゅう弾は偽物であることが判明するが、警察に呼び出されたリサは、同封されていた脅迫文ともとれるメッセージを見て顔色を変え…。番組ホームページで予告動画など公開中!　  http://www.fujitv.co.jp/ghostwriter/")</f>
        <v>映画の原作となる小説「エターナルレシピ」が書きあがり、リサ(中谷美紀)は主演の女優・菅原可奈(西内ひろ)とのトークショーに出席する。帰宅したリサは、連載小説を書いていた由樹(水川あさみ)に、トークショーで受けた拍手の半分は由樹のものであり、私たちはふたりで遠野リサだと話す。  　編集部で、リサの連載小説「窓際の席で待っています」の原稿を読んでいた小田(三浦翔平)は、文中にあったある言葉に目を留め、疑念を抱く。  　由樹を食事に誘った小田は、「窓際の席で待っています」のキャラクターを批判する。ムキになって反論する由樹を見て、疑惑が確信に変わった小田は、小説を書いているのはリサではなく由樹ではないかと切り出した。助けになりたいと申し出る小田に由樹は…。  　そんななか、編集部にリサの担当者宛ての荷物が届いた。小田が荷物を開けると、そこには手りゅう弾が入っていた。すぐに手りゅう弾は偽物であることが判明するが、警察に呼び出されたリサは、同封されていた脅迫文ともとれるメッセージを見て顔色を変え…。番組ホームページで予告動画など公開中!　  http://www.fujitv.co.jp/ghostwriter/</v>
      </c>
      <c r="O616" s="2"/>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row>
    <row r="617" ht="204.75" customHeight="1">
      <c r="A617" s="1">
        <v>2288.0</v>
      </c>
      <c r="B617" s="2" t="s">
        <v>1963</v>
      </c>
      <c r="C617" s="2">
        <f>IFERROR(__xludf.DUMMYFUNCTION("split(B617,""_"")"),1501.0)</f>
        <v>1501</v>
      </c>
      <c r="D617" s="2" t="str">
        <f>IFERROR(__xludf.DUMMYFUNCTION("""COMPUTED_VALUE"""),"CX")</f>
        <v>CX</v>
      </c>
      <c r="E617" s="2" t="str">
        <f>IFERROR(__xludf.DUMMYFUNCTION("""COMPUTED_VALUE"""),"火21")</f>
        <v>火21</v>
      </c>
      <c r="F617" s="2" t="s">
        <v>1964</v>
      </c>
      <c r="G617" s="2" t="s">
        <v>1980</v>
      </c>
      <c r="H617" s="1">
        <v>6.0</v>
      </c>
      <c r="I617" s="1" t="s">
        <v>21</v>
      </c>
      <c r="J617" s="1" t="s">
        <v>11</v>
      </c>
      <c r="K617" s="2" t="s">
        <v>1981</v>
      </c>
      <c r="L617" s="8" t="s">
        <v>1982</v>
      </c>
      <c r="M617" s="2" t="str">
        <f>IFERROR(__xludf.DUMMYFUNCTION("split(split(K617,""【"",false),""田中哲司　"",false)"),"遠野リサ(女流小説家):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石橋凌"&amp;"　    神崎雄司(文芸雑誌編集長):　")</f>
        <v>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v>
      </c>
      <c r="N617" s="2" t="str">
        <f>IFERROR(__xludf.DUMMYFUNCTION("""COMPUTED_VALUE"""),"映画「エターナルレシピ」の完成披露試写会でリサ(中谷美紀)が挨拶をしようとしたその時、会場にリサと同じ髪型と服装の由樹(水川あさみ)が現れた。平然とステージに上がった由樹は、リサのマイクを奪うと、「エターナルレシピ」を書いたのはリサのゴーストライターである自分だと言い放つ。  　会場は騒然となり、試写会は一時中断される。神崎(田中哲司)は、激しく動揺して控室に戻ってきたリサをなだめると舞台挨拶の続行を求める。そんなことはできないと拒むリサ。  　自らの運転で試写会場の駐車場から出てきたリサの車に、由樹が乗"&amp;"り込んできた。ふてぶてしい態度で話しかけてくる由樹に、努めて冷静に対応しようとしていたリサだが、やがて…。  　あくる朝、由樹はスポーツ新聞を全紙買ってくる。芸能面を開くと、そこには昨日の試写会の記事が大きく載っていた。会社には内緒で由樹をサポートしている小田(三浦翔平)は、真奈美(菜々緒)に、行き場のなくなった由樹を居候させて欲しいと頼む。真奈美は面倒なことに巻き込まれたくないと言いつつも、ゴーストライターの件は一切話題にしないという条件で許可をした。  　「エターナルレシピ」の大ヒットを祝うパーティー"&amp;"が開催された。神崎は、これまでの功績が認められて取締役になっていた。上機嫌で挨拶に回っていた神崎だが、そこで携帯電話にある連絡が入る…。予告動画や、新垣隆氏による特別動画をホームページにて公開中。　  http://www.fujitv.co.jp/ghostwriter/")</f>
        <v>映画「エターナルレシピ」の完成披露試写会でリサ(中谷美紀)が挨拶をしようとしたその時、会場にリサと同じ髪型と服装の由樹(水川あさみ)が現れた。平然とステージに上がった由樹は、リサのマイクを奪うと、「エターナルレシピ」を書いたのはリサのゴーストライターである自分だと言い放つ。  　会場は騒然となり、試写会は一時中断される。神崎(田中哲司)は、激しく動揺して控室に戻ってきたリサをなだめると舞台挨拶の続行を求める。そんなことはできないと拒むリサ。  　自らの運転で試写会場の駐車場から出てきたリサの車に、由樹が乗り込んできた。ふてぶてしい態度で話しかけてくる由樹に、努めて冷静に対応しようとしていたリサだが、やがて…。  　あくる朝、由樹はスポーツ新聞を全紙買ってくる。芸能面を開くと、そこには昨日の試写会の記事が大きく載っていた。会社には内緒で由樹をサポートしている小田(三浦翔平)は、真奈美(菜々緒)に、行き場のなくなった由樹を居候させて欲しいと頼む。真奈美は面倒なことに巻き込まれたくないと言いつつも、ゴーストライターの件は一切話題にしないという条件で許可をした。  　「エターナルレシピ」の大ヒットを祝うパーティーが開催された。神崎は、これまでの功績が認められて取締役になっていた。上機嫌で挨拶に回っていた神崎だが、そこで携帯電話にある連絡が入る…。予告動画や、新垣隆氏による特別動画をホームページにて公開中。　  http://www.fujitv.co.jp/ghostwriter/</v>
      </c>
      <c r="O617" s="2"/>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row>
    <row r="618" ht="204.75" customHeight="1">
      <c r="A618" s="1">
        <v>2289.0</v>
      </c>
      <c r="B618" s="2" t="s">
        <v>1963</v>
      </c>
      <c r="C618" s="2">
        <f>IFERROR(__xludf.DUMMYFUNCTION("split(B618,""_"")"),1501.0)</f>
        <v>1501</v>
      </c>
      <c r="D618" s="2" t="str">
        <f>IFERROR(__xludf.DUMMYFUNCTION("""COMPUTED_VALUE"""),"CX")</f>
        <v>CX</v>
      </c>
      <c r="E618" s="2" t="str">
        <f>IFERROR(__xludf.DUMMYFUNCTION("""COMPUTED_VALUE"""),"火21")</f>
        <v>火21</v>
      </c>
      <c r="F618" s="2" t="s">
        <v>1964</v>
      </c>
      <c r="G618" s="2" t="s">
        <v>1983</v>
      </c>
      <c r="H618" s="1">
        <v>7.0</v>
      </c>
      <c r="I618" s="1" t="s">
        <v>25</v>
      </c>
      <c r="J618" s="1" t="s">
        <v>11</v>
      </c>
      <c r="K618" s="2" t="s">
        <v>1984</v>
      </c>
      <c r="L618" s="8" t="s">
        <v>1985</v>
      </c>
      <c r="M618" s="2" t="str">
        <f>IFERROR(__xludf.DUMMYFUNCTION("split(split(K618,""【"",false),""田中哲司　"",false)"),"遠野リサ(女流小説家):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石橋凌"&amp;"　    神崎雄司(文芸雑誌編集長):　")</f>
        <v>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v>
      </c>
      <c r="N618" s="2" t="str">
        <f>IFERROR(__xludf.DUMMYFUNCTION("""COMPUTED_VALUE"""),"ゴーストライター裁判はリサ(中谷美紀)の勝訴に終わり、世間やマスコミからバッシングを受けた由樹(水川あさみ)は心労で倒れ、入院する。  　退院した由樹は小田(三浦翔平)に付き添われて真奈美(菜々緒)の部屋に戻る。テレビの情報番組では、レポーターが由樹の実家に押し寄せている映像が流れていた。由樹は、食欲もなく、婚約者だった尾崎(小柳友)からの電話にも出られず…。  　一方、リサは引退を決意していた。神崎(田中哲司)は、このタイミングでの引退発表は余計な臆測をよぶと難色を示すが、リサは“切り札がある""と言い"&amp;"切る。  　後日、リサの記者会見が行われることとなった。小田から連絡を受けた由樹は、テレビで会見の様子を見つめる。そして会見が始まった…!  　会見の付き添いを終えて編集部に戻ってきた神崎のもとへ小田がやってきた。由樹を傷つけたことを責める小田に、神崎は原因は小田にもあると冷静に返す。　騒動がひと段落すると、神崎は鳥飼(石橋凌)から休暇を与えられた。その休暇を利用して旅行に行かないかという神崎の誘いに、リサは戸惑いながらも了承するが…。特別動画や予告動画はホームページにて　  http://www.fuj"&amp;"itv.co.jp/ghostwriter/")</f>
        <v>ゴーストライター裁判はリサ(中谷美紀)の勝訴に終わり、世間やマスコミからバッシングを受けた由樹(水川あさみ)は心労で倒れ、入院する。  　退院した由樹は小田(三浦翔平)に付き添われて真奈美(菜々緒)の部屋に戻る。テレビの情報番組では、レポーターが由樹の実家に押し寄せている映像が流れていた。由樹は、食欲もなく、婚約者だった尾崎(小柳友)からの電話にも出られず…。  　一方、リサは引退を決意していた。神崎(田中哲司)は、このタイミングでの引退発表は余計な臆測をよぶと難色を示すが、リサは“切り札がある"と言い切る。  　後日、リサの記者会見が行われることとなった。小田から連絡を受けた由樹は、テレビで会見の様子を見つめる。そして会見が始まった…!  　会見の付き添いを終えて編集部に戻ってきた神崎のもとへ小田がやってきた。由樹を傷つけたことを責める小田に、神崎は原因は小田にもあると冷静に返す。　騒動がひと段落すると、神崎は鳥飼(石橋凌)から休暇を与えられた。その休暇を利用して旅行に行かないかという神崎の誘いに、リサは戸惑いながらも了承するが…。特別動画や予告動画はホームページにて　  http://www.fujitv.co.jp/ghostwriter/</v>
      </c>
      <c r="O618" s="2"/>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row>
    <row r="619" ht="204.75" customHeight="1">
      <c r="A619" s="1">
        <v>2290.0</v>
      </c>
      <c r="B619" s="2" t="s">
        <v>1963</v>
      </c>
      <c r="C619" s="2">
        <f>IFERROR(__xludf.DUMMYFUNCTION("split(B619,""_"")"),1501.0)</f>
        <v>1501</v>
      </c>
      <c r="D619" s="2" t="str">
        <f>IFERROR(__xludf.DUMMYFUNCTION("""COMPUTED_VALUE"""),"CX")</f>
        <v>CX</v>
      </c>
      <c r="E619" s="2" t="str">
        <f>IFERROR(__xludf.DUMMYFUNCTION("""COMPUTED_VALUE"""),"火21")</f>
        <v>火21</v>
      </c>
      <c r="F619" s="2" t="s">
        <v>1964</v>
      </c>
      <c r="G619" s="2" t="s">
        <v>1986</v>
      </c>
      <c r="H619" s="1">
        <v>8.0</v>
      </c>
      <c r="I619" s="1" t="s">
        <v>29</v>
      </c>
      <c r="J619" s="1" t="s">
        <v>11</v>
      </c>
      <c r="K619" s="2" t="s">
        <v>1987</v>
      </c>
      <c r="L619" s="8" t="s">
        <v>1988</v>
      </c>
      <c r="M619" s="2" t="str">
        <f>IFERROR(__xludf.DUMMYFUNCTION("split(split(K619,""【"",false),""田中哲司　"",false)"),"遠野リサ(女流小説家):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石橋凌"&amp;"　    神崎雄司(文芸雑誌編集長):　")</f>
        <v>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v>
      </c>
      <c r="N619" s="2" t="str">
        <f>IFERROR(__xludf.DUMMYFUNCTION("""COMPUTED_VALUE"""),"リサ(中谷美紀)は生放送の情報番組でゴーストライターの存在を認め、真実を話した。仕事場に押し寄せてきたマスコミにも堂々と対応し、後日謝罪会見を開くと告げる。  　駿峰社もまた、マスコミや読者からの電話対応に追われていた。そんな中、神崎(田中哲司)は小田(三浦翔平)に由樹(水川あさみ)に会わせて欲しいと頼む。  　神崎は、会議室にやって来た由樹に頭を下げ、これまでのことを謝罪する。さらに由樹がリサの名前で書いた本はすべて回収して川原由樹の名前に刷り直すといい、今後は駿峰社が全面的にバックアップしたいと申し出"&amp;"る。そのうえで早急に描き下ろしを1冊書いて欲しいと言い出した。神崎の真意がわからず不信感を抱いた由樹は、返事をしないまま駿峰社を後にする。  　神崎は鳥飼(石橋凌)に、ゴーストライターの件はリサの独断であり、駿峰社は何も知らなかった被害者であると公式発表することを告げる。そして渦中の人となった由樹の本を出版する計画を話す。  　リサの会見が始まった。マスコミから矢継ぎ早に飛んでくる厳しい質問にもきちんと答えていき、すべては自分ひとりがやったことだと謝罪するリサ。  　後日、由樹はリサの仕事場を訪れる。玄関"&amp;"先まで来たものの、ためらい、踵(きびす)を返した由樹にリサが声をかけた。うながされ部屋に入った由樹は、リサにある問いかけをする…。特別動画や予告動画をホームページにて公開中。　http://www.fujitv.co.jp/ghostwriter/")</f>
        <v>リサ(中谷美紀)は生放送の情報番組でゴーストライターの存在を認め、真実を話した。仕事場に押し寄せてきたマスコミにも堂々と対応し、後日謝罪会見を開くと告げる。  　駿峰社もまた、マスコミや読者からの電話対応に追われていた。そんな中、神崎(田中哲司)は小田(三浦翔平)に由樹(水川あさみ)に会わせて欲しいと頼む。  　神崎は、会議室にやって来た由樹に頭を下げ、これまでのことを謝罪する。さらに由樹がリサの名前で書いた本はすべて回収して川原由樹の名前に刷り直すといい、今後は駿峰社が全面的にバックアップしたいと申し出る。そのうえで早急に描き下ろしを1冊書いて欲しいと言い出した。神崎の真意がわからず不信感を抱いた由樹は、返事をしないまま駿峰社を後にする。  　神崎は鳥飼(石橋凌)に、ゴーストライターの件はリサの独断であり、駿峰社は何も知らなかった被害者であると公式発表することを告げる。そして渦中の人となった由樹の本を出版する計画を話す。  　リサの会見が始まった。マスコミから矢継ぎ早に飛んでくる厳しい質問にもきちんと答えていき、すべては自分ひとりがやったことだと謝罪するリサ。  　後日、由樹はリサの仕事場を訪れる。玄関先まで来たものの、ためらい、踵(きびす)を返した由樹にリサが声をかけた。うながされ部屋に入った由樹は、リサにある問いかけをする…。特別動画や予告動画をホームページにて公開中。　http://www.fujitv.co.jp/ghostwriter/</v>
      </c>
      <c r="O619" s="2"/>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row>
    <row r="620" ht="204.75" customHeight="1">
      <c r="A620" s="1">
        <v>2291.0</v>
      </c>
      <c r="B620" s="2" t="s">
        <v>1963</v>
      </c>
      <c r="C620" s="2">
        <f>IFERROR(__xludf.DUMMYFUNCTION("split(B620,""_"")"),1501.0)</f>
        <v>1501</v>
      </c>
      <c r="D620" s="2" t="str">
        <f>IFERROR(__xludf.DUMMYFUNCTION("""COMPUTED_VALUE"""),"CX")</f>
        <v>CX</v>
      </c>
      <c r="E620" s="2" t="str">
        <f>IFERROR(__xludf.DUMMYFUNCTION("""COMPUTED_VALUE"""),"火21")</f>
        <v>火21</v>
      </c>
      <c r="F620" s="2" t="s">
        <v>1964</v>
      </c>
      <c r="G620" s="2" t="s">
        <v>1989</v>
      </c>
      <c r="H620" s="1">
        <v>9.0</v>
      </c>
      <c r="I620" s="1" t="s">
        <v>33</v>
      </c>
      <c r="J620" s="1" t="s">
        <v>11</v>
      </c>
      <c r="K620" s="2" t="s">
        <v>1990</v>
      </c>
      <c r="L620" s="8" t="s">
        <v>1991</v>
      </c>
      <c r="M620" s="2" t="str">
        <f>IFERROR(__xludf.DUMMYFUNCTION("split(split(K620,""【"",false),""田中哲司　"",false)"),"遠野リサ(女流小説家):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石橋凌"&amp;"　    神崎雄司(文芸雑誌編集長):　")</f>
        <v>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v>
      </c>
      <c r="N620" s="2" t="str">
        <f>IFERROR(__xludf.DUMMYFUNCTION("""COMPUTED_VALUE"""),"小説家を辞めたリサ(中谷美紀)は、家事にいそしみ、元子(江波杏子)の介護にもさらに力を入れる。荷物を取るために家に立ち寄った大樹(高杉真宙)はそんなリサの姿を見てもぶっきらぼうな態度を貫く。  　一方、由樹(水川あさみ)は小説を書きながら、雑誌の取材やトークショーの仕事を精力的にこなしていた。話題性もあり小説の売れ行きは順調だった。  　編集部にいた小田(三浦翔平)のもとに、岡野(羽場裕一)が由樹の次回作の表紙サンプルを持ってきた。小田は帯に書かれた“元ゴーストライター""の文字を外せないかと神崎(田中哲"&amp;"司)に打診するが、一蹴されてしまう。  　リサにけがを負わせた美鈴(キムラ緑子)は精神科に入院していた。美鈴は、見舞いに来たリサに、由樹への謝罪の手紙を書いたことを告げる。リサはついでに出しておくと言って手紙を預かると、後日、由樹の家を訪れる。帰り際、由樹からもう小説は書かないのかと問われたリサは…。  　ある日、由樹と真奈美(菜々緒)が居酒屋で飲んでいると、酔ったサラリーマンが声をかけてきた。ゴーストライターと言われて一瞬顔を曇らせる由樹だが、すぐに笑顔に戻り丁寧に対応する。そんななか、小田が新作の本を"&amp;"届けにくるが…。特別動画や予告動画はホームページにて　  http://www.fujitv.co.jp/ghostwriter/")</f>
        <v>小説家を辞めたリサ(中谷美紀)は、家事にいそしみ、元子(江波杏子)の介護にもさらに力を入れる。荷物を取るために家に立ち寄った大樹(高杉真宙)はそんなリサの姿を見てもぶっきらぼうな態度を貫く。  　一方、由樹(水川あさみ)は小説を書きながら、雑誌の取材やトークショーの仕事を精力的にこなしていた。話題性もあり小説の売れ行きは順調だった。  　編集部にいた小田(三浦翔平)のもとに、岡野(羽場裕一)が由樹の次回作の表紙サンプルを持ってきた。小田は帯に書かれた“元ゴーストライター"の文字を外せないかと神崎(田中哲司)に打診するが、一蹴されてしまう。  　リサにけがを負わせた美鈴(キムラ緑子)は精神科に入院していた。美鈴は、見舞いに来たリサに、由樹への謝罪の手紙を書いたことを告げる。リサはついでに出しておくと言って手紙を預かると、後日、由樹の家を訪れる。帰り際、由樹からもう小説は書かないのかと問われたリサは…。  　ある日、由樹と真奈美(菜々緒)が居酒屋で飲んでいると、酔ったサラリーマンが声をかけてきた。ゴーストライターと言われて一瞬顔を曇らせる由樹だが、すぐに笑顔に戻り丁寧に対応する。そんななか、小田が新作の本を届けにくるが…。特別動画や予告動画はホームページにて　  http://www.fujitv.co.jp/ghostwriter/</v>
      </c>
      <c r="O620" s="2"/>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row>
    <row r="621" ht="204.75" customHeight="1">
      <c r="A621" s="1">
        <v>2292.0</v>
      </c>
      <c r="B621" s="2" t="s">
        <v>1963</v>
      </c>
      <c r="C621" s="2">
        <f>IFERROR(__xludf.DUMMYFUNCTION("split(B621,""_"")"),1501.0)</f>
        <v>1501</v>
      </c>
      <c r="D621" s="2" t="str">
        <f>IFERROR(__xludf.DUMMYFUNCTION("""COMPUTED_VALUE"""),"CX")</f>
        <v>CX</v>
      </c>
      <c r="E621" s="2" t="str">
        <f>IFERROR(__xludf.DUMMYFUNCTION("""COMPUTED_VALUE"""),"火21")</f>
        <v>火21</v>
      </c>
      <c r="F621" s="2" t="s">
        <v>1964</v>
      </c>
      <c r="G621" s="2" t="s">
        <v>1992</v>
      </c>
      <c r="H621" s="1">
        <v>10.0</v>
      </c>
      <c r="I621" s="1" t="s">
        <v>37</v>
      </c>
      <c r="J621" s="1" t="s">
        <v>11</v>
      </c>
      <c r="K621" s="2" t="s">
        <v>1993</v>
      </c>
      <c r="L621" s="8" t="s">
        <v>1994</v>
      </c>
      <c r="M621" s="2" t="str">
        <f>IFERROR(__xludf.DUMMYFUNCTION("split(split(K621,""【"",false),""田中哲司　"",false)"),"遠野リサ(女流小説家):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石橋凌"&amp;"　    神崎雄司(文芸雑誌編集長):　")</f>
        <v>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v>
      </c>
      <c r="N621" s="2" t="str">
        <f>IFERROR(__xludf.DUMMYFUNCTION("""COMPUTED_VALUE"""),"リサ(中谷美紀)は、新たに書きあげた小説「私の愛しい人」のデータを由樹(水川あさみ)に手渡した。小説を読んだ由樹は、一度はリサにそれを返そうとするが、思い直して神崎(田中哲司)を訪ねる。由樹はリサの原稿を差し出して書籍にしてほしいと頼む。しかし神崎は、出せないの一点張りで聞く耳を持たない。  　原稿を置いて帰る由樹を、小田(三浦翔平)が追いかけてきた。小田は小説が書けなくなっている由樹を心配しつつ、リサとは関わらないように助言する。  　ビジネス雑誌で絶賛される神崎をわずらわしく感じていた鳥飼(石橋凌)の"&amp;"もとに小田がやってきた。小田はリサの原稿を差し出してなんとかしたいと訴えた。リサと由樹に共同執筆させて話題性を出すことを提案するが…。  　元子(江波杏子)のもとを訪ねていたリサは、元子が遠野リサという名前すらわからなくなっていることを知りショックを受ける。そんな中、小田から会いたいと連絡が入った。  　待ち合わせ場所にやってきたリサの前に小田と由樹が現れた。小田は、リサと由樹の共同執筆で新しく小説を書いて自費出版で本を出さないかと提案する。それを聞いたリサは…。予告動画や特別動画はホームページで　  h"&amp;"ttp://www.fujitv.co.jp/ghostwriter/")</f>
        <v>リサ(中谷美紀)は、新たに書きあげた小説「私の愛しい人」のデータを由樹(水川あさみ)に手渡した。小説を読んだ由樹は、一度はリサにそれを返そうとするが、思い直して神崎(田中哲司)を訪ねる。由樹はリサの原稿を差し出して書籍にしてほしいと頼む。しかし神崎は、出せないの一点張りで聞く耳を持たない。  　原稿を置いて帰る由樹を、小田(三浦翔平)が追いかけてきた。小田は小説が書けなくなっている由樹を心配しつつ、リサとは関わらないように助言する。  　ビジネス雑誌で絶賛される神崎をわずらわしく感じていた鳥飼(石橋凌)のもとに小田がやってきた。小田はリサの原稿を差し出してなんとかしたいと訴えた。リサと由樹に共同執筆させて話題性を出すことを提案するが…。  　元子(江波杏子)のもとを訪ねていたリサは、元子が遠野リサという名前すらわからなくなっていることを知りショックを受ける。そんな中、小田から会いたいと連絡が入った。  　待ち合わせ場所にやってきたリサの前に小田と由樹が現れた。小田は、リサと由樹の共同執筆で新しく小説を書いて自費出版で本を出さないかと提案する。それを聞いたリサは…。予告動画や特別動画はホームページで　  http://www.fujitv.co.jp/ghostwriter/</v>
      </c>
      <c r="O621" s="2"/>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row>
    <row r="622" ht="204.75" customHeight="1">
      <c r="A622" s="1">
        <v>2293.0</v>
      </c>
      <c r="B622" s="2" t="s">
        <v>1995</v>
      </c>
      <c r="C622" s="2">
        <f>IFERROR(__xludf.DUMMYFUNCTION("split(B622,""_"")"),1501.0)</f>
        <v>1501</v>
      </c>
      <c r="D622" s="2" t="str">
        <f>IFERROR(__xludf.DUMMYFUNCTION("""COMPUTED_VALUE"""),"CX")</f>
        <v>CX</v>
      </c>
      <c r="E622" s="2" t="str">
        <f>IFERROR(__xludf.DUMMYFUNCTION("""COMPUTED_VALUE"""),"火22")</f>
        <v>火22</v>
      </c>
      <c r="F622" s="2" t="s">
        <v>1996</v>
      </c>
      <c r="G622" s="2" t="s">
        <v>1997</v>
      </c>
      <c r="H622" s="1">
        <v>1.0</v>
      </c>
      <c r="I622" s="1" t="s">
        <v>3</v>
      </c>
      <c r="J622" s="1" t="s">
        <v>4</v>
      </c>
      <c r="K622" s="4" t="s">
        <v>1998</v>
      </c>
      <c r="L622" s="2" t="s">
        <v>1999</v>
      </c>
      <c r="M622" s="2" t="str">
        <f>IFERROR(__xludf.DUMMYFUNCTION("split(split(K622,""草ナギ剛　 "",false),""公式LINE"",false)"),"外資系証券会社で、日々巨額の金を動かす白石富生(草ナギ剛)は、恋人・青池梢(木村文乃)と婚約し、順風満帆な毎日を送っていた。ある日、母の三保子(木野花)から、実家の工場が不渡りを出し、社長である父の孝夫(志賀廣太郎)が行方不明だと連絡が入る。その後、孝夫が悪質な業者からも多額の借金をしていたことが判明し、孝夫の連帯保証人になっていた富生は借金地獄に陥る。そんななか、心労を重ねた三保子が倒れてしまう。更には借金まみれである事を知った会社から退社に追い込まれる富生。    その頃、富生の恩師で高校教師の紺野("&amp;"大杉漣)も赤松金融の赤松(渡部篤郎)から親戚の借金を肩代わりさせられ、苦しんでいた。一人娘・未央(大島優子)には本当のことを言えず…。数日後、富生は梢の祖母で大手金融グループの会長でもある早和子(ジュディ・オング)に呼び出され、1千万円で梢と別れてほしいと言われる。そこへ弟の光太郎(玉森裕太)から電話がかかってきて…。")</f>
        <v>外資系証券会社で、日々巨額の金を動かす白石富生(草ナギ剛)は、恋人・青池梢(木村文乃)と婚約し、順風満帆な毎日を送っていた。ある日、母の三保子(木野花)から、実家の工場が不渡りを出し、社長である父の孝夫(志賀廣太郎)が行方不明だと連絡が入る。その後、孝夫が悪質な業者からも多額の借金をしていたことが判明し、孝夫の連帯保証人になっていた富生は借金地獄に陥る。そんななか、心労を重ねた三保子が倒れてしまう。更には借金まみれである事を知った会社から退社に追い込まれる富生。    その頃、富生の恩師で高校教師の紺野(大杉漣)も赤松金融の赤松(渡部篤郎)から親戚の借金を肩代わりさせられ、苦しんでいた。一人娘・未央(大島優子)には本当のことを言えず…。数日後、富生は梢の祖母で大手金融グループの会長でもある早和子(ジュディ・オング)に呼び出され、1千万円で梢と別れてほしいと言われる。そこへ弟の光太郎(玉森裕太)から電話がかかってきて…。</v>
      </c>
      <c r="N622" s="2"/>
      <c r="O622" s="2"/>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row>
    <row r="623" ht="204.75" customHeight="1">
      <c r="A623" s="1">
        <v>2294.0</v>
      </c>
      <c r="B623" s="2" t="s">
        <v>1995</v>
      </c>
      <c r="C623" s="2">
        <f>IFERROR(__xludf.DUMMYFUNCTION("split(B623,""_"")"),1501.0)</f>
        <v>1501</v>
      </c>
      <c r="D623" s="2" t="str">
        <f>IFERROR(__xludf.DUMMYFUNCTION("""COMPUTED_VALUE"""),"CX")</f>
        <v>CX</v>
      </c>
      <c r="E623" s="2" t="str">
        <f>IFERROR(__xludf.DUMMYFUNCTION("""COMPUTED_VALUE"""),"火22")</f>
        <v>火22</v>
      </c>
      <c r="F623" s="2" t="s">
        <v>1996</v>
      </c>
      <c r="G623" s="2" t="s">
        <v>2000</v>
      </c>
      <c r="H623" s="1">
        <v>2.0</v>
      </c>
      <c r="I623" s="1" t="s">
        <v>7</v>
      </c>
      <c r="J623" s="1" t="s">
        <v>82</v>
      </c>
      <c r="K623" s="2" t="s">
        <v>2001</v>
      </c>
      <c r="L623" s="2" t="s">
        <v>2002</v>
      </c>
      <c r="M623" s="2" t="str">
        <f>IFERROR(__xludf.DUMMYFUNCTION("split(split(K623,""草ナギ剛　 "",false),""公式LINE"",false)"),"亡くなった父・孝夫(志賀廣太郎)の葬儀で、「金で失くしたもの全て、金で取り戻す」と宣言した富生(草ナギ剛)だったが、住所不定とあって再就職先はなかなか見つからない。行く当てのない富生は紺野洋(大杉漣)の家を訪ねる。しかし未央(大島優子)が洋の借金を知ってしまい、親子げんかを繰り広げていた。あきれながらも、そんな洋の温かさに救われる富生。それから数日後、手応えがあった会社からも不採用を告げられた富生は、路上生活を余儀なくされてしまう。しかし、ルールを知らないためホームレスたちとトラブルを起こし、紅谷(津川雅"&amp;"彦)という謎の老人に助けられる。聞けばホームレスから300億を動かす金貸しにまで上り詰めた男だと知り、借金を申し込むが、紅谷は取り合わず。そんな富生の様子を祖母の早和子(ジュディ・オング)から聞いて心配になった元婚約者・梢(木村文乃)は富生に会いに公園へ行き…。    一方、自分も金貸しを始めようと考えた富生は、紅谷について回るがノウハウを教えてもらうどころか、食い逃げ犯に仕立て上げられる始末。それでもあきらめない富生に対し、紅谷は「お前に、借金の取り立てができるか?」と、食い逃げした定食屋への借金取り立"&amp;"てを任すが…?")</f>
        <v>亡くなった父・孝夫(志賀廣太郎)の葬儀で、「金で失くしたもの全て、金で取り戻す」と宣言した富生(草ナギ剛)だったが、住所不定とあって再就職先はなかなか見つからない。行く当てのない富生は紺野洋(大杉漣)の家を訪ねる。しかし未央(大島優子)が洋の借金を知ってしまい、親子げんかを繰り広げていた。あきれながらも、そんな洋の温かさに救われる富生。それから数日後、手応えがあった会社からも不採用を告げられた富生は、路上生活を余儀なくされてしまう。しかし、ルールを知らないためホームレスたちとトラブルを起こし、紅谷(津川雅彦)という謎の老人に助けられる。聞けばホームレスから300億を動かす金貸しにまで上り詰めた男だと知り、借金を申し込むが、紅谷は取り合わず。そんな富生の様子を祖母の早和子(ジュディ・オング)から聞いて心配になった元婚約者・梢(木村文乃)は富生に会いに公園へ行き…。    一方、自分も金貸しを始めようと考えた富生は、紅谷について回るがノウハウを教えてもらうどころか、食い逃げ犯に仕立て上げられる始末。それでもあきらめない富生に対し、紅谷は「お前に、借金の取り立てができるか?」と、食い逃げした定食屋への借金取り立てを任すが…?</v>
      </c>
      <c r="N623" s="2"/>
      <c r="O623" s="2"/>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row>
    <row r="624" ht="204.75" customHeight="1">
      <c r="A624" s="1">
        <v>2295.0</v>
      </c>
      <c r="B624" s="2" t="s">
        <v>1995</v>
      </c>
      <c r="C624" s="2">
        <f>IFERROR(__xludf.DUMMYFUNCTION("split(B624,""_"")"),1501.0)</f>
        <v>1501</v>
      </c>
      <c r="D624" s="2" t="str">
        <f>IFERROR(__xludf.DUMMYFUNCTION("""COMPUTED_VALUE"""),"CX")</f>
        <v>CX</v>
      </c>
      <c r="E624" s="2" t="str">
        <f>IFERROR(__xludf.DUMMYFUNCTION("""COMPUTED_VALUE"""),"火22")</f>
        <v>火22</v>
      </c>
      <c r="F624" s="2" t="s">
        <v>1996</v>
      </c>
      <c r="G624" s="2" t="s">
        <v>2003</v>
      </c>
      <c r="H624" s="1">
        <v>3.0</v>
      </c>
      <c r="I624" s="1" t="s">
        <v>10</v>
      </c>
      <c r="J624" s="1" t="s">
        <v>86</v>
      </c>
      <c r="K624" s="2" t="s">
        <v>2004</v>
      </c>
      <c r="L624" s="2" t="s">
        <v>2005</v>
      </c>
      <c r="M624" s="2" t="str">
        <f>IFERROR(__xludf.DUMMYFUNCTION("split(split(K624,""草ナギ剛　 "",false),""公式LINE"",false)"),"紺野家へ向かった富生(草ナギ剛)は、洋(大杉漣)と未央(大島優子)に金貸しになったことを告げ、借金の返済を迫る。そして金がないことが分かると、洋が大事にしている古書を古本業者に売り、金を作らせるのだった。    数日後、富生は赤松金融社長の赤松(渡部篤郎)に連れられ会員制のレストランへ向かう。そこでは、早和子(ジュディ・オング)をはじめとする金融業界の大物たちが集まる懇親会が開かれていた。二人は梢(木村文乃)の計らいで何とか会場に入ったものの、当然、招かれざる客。早和子は露骨な態度で赤松を追い払おうとする"&amp;"が、そこで富生が思いもよらぬ行動を起こし……。    同じ頃、契約が切れて次の派遣先が見つからない未央は、再び植草(丸山智己)から食事に誘われ、そこで突然のプロポーズをされる。しかも、結納金として洋の借金を肩代わりしてくれるという。複雑な思いのまま家に帰った未央は、早速そのことを洋に伝えるが、「好きでもない相手とお金のために結婚するなんてダメだ」と反対され、思わず家を飛び出す。そんな未央を追いかけて話を聞いた富生は、結婚を祝福し、まだ迷っている未央に自分の境遇を話す。そして、富生の胸中を思って涙を流す未央"&amp;"に「どん底からやり直すには、泣いてる暇なんかない」と言葉をかけ、その背中を押す。富生の本当の姿を知った未央に笑顔が戻り、二人の距離は縮まるが、その様子を少し離れたところから梢が見ていて……。")</f>
        <v>紺野家へ向かった富生(草ナギ剛)は、洋(大杉漣)と未央(大島優子)に金貸しになったことを告げ、借金の返済を迫る。そして金がないことが分かると、洋が大事にしている古書を古本業者に売り、金を作らせるのだった。    数日後、富生は赤松金融社長の赤松(渡部篤郎)に連れられ会員制のレストランへ向かう。そこでは、早和子(ジュディ・オング)をはじめとする金融業界の大物たちが集まる懇親会が開かれていた。二人は梢(木村文乃)の計らいで何とか会場に入ったものの、当然、招かれざる客。早和子は露骨な態度で赤松を追い払おうとするが、そこで富生が思いもよらぬ行動を起こし……。    同じ頃、契約が切れて次の派遣先が見つからない未央は、再び植草(丸山智己)から食事に誘われ、そこで突然のプロポーズをされる。しかも、結納金として洋の借金を肩代わりしてくれるという。複雑な思いのまま家に帰った未央は、早速そのことを洋に伝えるが、「好きでもない相手とお金のために結婚するなんてダメだ」と反対され、思わず家を飛び出す。そんな未央を追いかけて話を聞いた富生は、結婚を祝福し、まだ迷っている未央に自分の境遇を話す。そして、富生の胸中を思って涙を流す未央に「どん底からやり直すには、泣いてる暇なんかない」と言葉をかけ、その背中を押す。富生の本当の姿を知った未央に笑顔が戻り、二人の距離は縮まるが、その様子を少し離れたところから梢が見ていて……。</v>
      </c>
      <c r="N624" s="2"/>
      <c r="O624" s="2"/>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row>
    <row r="625" ht="204.75" customHeight="1">
      <c r="A625" s="1">
        <v>2296.0</v>
      </c>
      <c r="B625" s="2" t="s">
        <v>1995</v>
      </c>
      <c r="C625" s="2">
        <f>IFERROR(__xludf.DUMMYFUNCTION("split(B625,""_"")"),1501.0)</f>
        <v>1501</v>
      </c>
      <c r="D625" s="2" t="str">
        <f>IFERROR(__xludf.DUMMYFUNCTION("""COMPUTED_VALUE"""),"CX")</f>
        <v>CX</v>
      </c>
      <c r="E625" s="2" t="str">
        <f>IFERROR(__xludf.DUMMYFUNCTION("""COMPUTED_VALUE"""),"火22")</f>
        <v>火22</v>
      </c>
      <c r="F625" s="2" t="s">
        <v>1996</v>
      </c>
      <c r="G625" s="2" t="s">
        <v>2006</v>
      </c>
      <c r="H625" s="1">
        <v>4.0</v>
      </c>
      <c r="I625" s="1" t="s">
        <v>14</v>
      </c>
      <c r="J625" s="1" t="s">
        <v>86</v>
      </c>
      <c r="K625" s="2" t="s">
        <v>2007</v>
      </c>
      <c r="L625" s="2" t="s">
        <v>2008</v>
      </c>
      <c r="M625" s="2" t="str">
        <f>IFERROR(__xludf.DUMMYFUNCTION("split(split(K625,""草ナギ剛　 "",false),""公式LINE"",false)"),"結婚式当日、富生(草ナギ剛)に手を引かれて式場を飛び出した未央(大島優子)は、結婚相手の植草(丸山智己)から式の費用や慰謝料など多額の金を請求される。2人は借金が増えたことを洋(大杉漣)に謝るが、それでも未央が結婚するより良かったと笑顔を見せる洋。翌日、洋の借金を回収し損ねたことを赤松(渡部篤郎)に報告した富生は、代わりに赤松金融で取り立て不能になっている債権を回収すると言い出す。未回収金額は占めて8750万円。しかし相手はタチの悪いヤクザで、命を落としかねない危険な取り立てになることは間違いない。そこで"&amp;"富生は、赤松にある条件を出す。    一方、借金返済のためひそかにアルバイトを始めた洋が、腰を痛めて入院してしまう。困った未央が、式場で何とか披露宴の残金を分割払いにしてほしいと頼み込んでいると、そこへ騒ぎを聞きつけた梢(木村文乃)が現れる。富生と未央の関係が気になる梢は、それとなく探りを入れつつ、未央の申し出に対して少し考えさせてほしいと返答する。そして数日後、未央にある提案を持ちかけて…。    その頃、富生は、回収相手であるヤクザの大黒(高杉亘)から手ひどい暴行を受け、ボロボロになっていた。しかし、"&amp;"大黒が投資詐欺でもうけていると知り、富生はその手口を逆手にとった回収方法を思いつき……。")</f>
        <v>結婚式当日、富生(草ナギ剛)に手を引かれて式場を飛び出した未央(大島優子)は、結婚相手の植草(丸山智己)から式の費用や慰謝料など多額の金を請求される。2人は借金が増えたことを洋(大杉漣)に謝るが、それでも未央が結婚するより良かったと笑顔を見せる洋。翌日、洋の借金を回収し損ねたことを赤松(渡部篤郎)に報告した富生は、代わりに赤松金融で取り立て不能になっている債権を回収すると言い出す。未回収金額は占めて8750万円。しかし相手はタチの悪いヤクザで、命を落としかねない危険な取り立てになることは間違いない。そこで富生は、赤松にある条件を出す。    一方、借金返済のためひそかにアルバイトを始めた洋が、腰を痛めて入院してしまう。困った未央が、式場で何とか披露宴の残金を分割払いにしてほしいと頼み込んでいると、そこへ騒ぎを聞きつけた梢(木村文乃)が現れる。富生と未央の関係が気になる梢は、それとなく探りを入れつつ、未央の申し出に対して少し考えさせてほしいと返答する。そして数日後、未央にある提案を持ちかけて…。    その頃、富生は、回収相手であるヤクザの大黒(高杉亘)から手ひどい暴行を受け、ボロボロになっていた。しかし、大黒が投資詐欺でもうけていると知り、富生はその手口を逆手にとった回収方法を思いつき……。</v>
      </c>
      <c r="N625" s="2"/>
      <c r="O625" s="2"/>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row>
    <row r="626" ht="204.75" customHeight="1">
      <c r="A626" s="1">
        <v>2297.0</v>
      </c>
      <c r="B626" s="2" t="s">
        <v>1995</v>
      </c>
      <c r="C626" s="2">
        <f>IFERROR(__xludf.DUMMYFUNCTION("split(B626,""_"")"),1501.0)</f>
        <v>1501</v>
      </c>
      <c r="D626" s="2" t="str">
        <f>IFERROR(__xludf.DUMMYFUNCTION("""COMPUTED_VALUE"""),"CX")</f>
        <v>CX</v>
      </c>
      <c r="E626" s="2" t="str">
        <f>IFERROR(__xludf.DUMMYFUNCTION("""COMPUTED_VALUE"""),"火22")</f>
        <v>火22</v>
      </c>
      <c r="F626" s="2" t="s">
        <v>1996</v>
      </c>
      <c r="G626" s="2" t="s">
        <v>2009</v>
      </c>
      <c r="H626" s="1">
        <v>5.0</v>
      </c>
      <c r="I626" s="1" t="s">
        <v>17</v>
      </c>
      <c r="J626" s="1" t="s">
        <v>86</v>
      </c>
      <c r="K626" s="2" t="s">
        <v>2010</v>
      </c>
      <c r="L626" s="2" t="s">
        <v>2011</v>
      </c>
      <c r="M626" s="2" t="str">
        <f>IFERROR(__xludf.DUMMYFUNCTION("split(split(K626,""草ナギ剛　 "",false),""公式LINE"",false)"),"自分が自殺に追いやったホワイト化学の社長の息子が富生(草ナギ剛)だと知った赤松(渡部篤郎)は、身の危険を感じて富生の周辺を探り始める。さらに、富生から借りた金で借金を返済しに来た未央(大島優子)にも揺さぶりをかけ、富生の動向を把握しようと画策する。    一方、赤松に素性を知られているとは気づいていない富生は、元カリスマ美容師の藍沢(坪倉由幸)の取り立てを任され、店の景気を調べるため、未央を藍沢の美容室へ偵察に行かせる。すると、休日にもかかわらず店内はガラガラ。近いうちに店がつぶれて金が回収できなくなると"&amp;"予想した赤松は、藍沢を追い詰めた末にトバシ携帯を大量に買わせる。しかし、その手口を見た富生は何かに引っかかり……。    その頃、梢(木村文乃)に近づいた赤松は、早和子(ジュディ・オング)がホワイト化学と関係していたことを耳打ちする。疑念を抱いた梢が独自に調べると、ホワイト化学が青池グループの傘下に入っていたことが判明。梢は早和子を問いただすが、早和子は会社の価値を知って助けただけだと答えるだけで…。    紺野家に居候し、未央と生活を共にするようになった富生は、未央が職場の顧客情報を持ち出したことをネタ"&amp;"に、赤松から脅されていることを知る。赤松の不穏な動きに不安を覚え富生を心配する未央。富生は赤松の動きに注意を払うが、赤松金融で、父・孝夫(志賀廣太郎)の死にまつわる、ある資料を発見してしまう…!")</f>
        <v>自分が自殺に追いやったホワイト化学の社長の息子が富生(草ナギ剛)だと知った赤松(渡部篤郎)は、身の危険を感じて富生の周辺を探り始める。さらに、富生から借りた金で借金を返済しに来た未央(大島優子)にも揺さぶりをかけ、富生の動向を把握しようと画策する。    一方、赤松に素性を知られているとは気づいていない富生は、元カリスマ美容師の藍沢(坪倉由幸)の取り立てを任され、店の景気を調べるため、未央を藍沢の美容室へ偵察に行かせる。すると、休日にもかかわらず店内はガラガラ。近いうちに店がつぶれて金が回収できなくなると予想した赤松は、藍沢を追い詰めた末にトバシ携帯を大量に買わせる。しかし、その手口を見た富生は何かに引っかかり……。    その頃、梢(木村文乃)に近づいた赤松は、早和子(ジュディ・オング)がホワイト化学と関係していたことを耳打ちする。疑念を抱いた梢が独自に調べると、ホワイト化学が青池グループの傘下に入っていたことが判明。梢は早和子を問いただすが、早和子は会社の価値を知って助けただけだと答えるだけで…。    紺野家に居候し、未央と生活を共にするようになった富生は、未央が職場の顧客情報を持ち出したことをネタに、赤松から脅されていることを知る。赤松の不穏な動きに不安を覚え富生を心配する未央。富生は赤松の動きに注意を払うが、赤松金融で、父・孝夫(志賀廣太郎)の死にまつわる、ある資料を発見してしまう…!</v>
      </c>
      <c r="N626" s="2"/>
      <c r="O626" s="2"/>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row>
    <row r="627" ht="204.75" customHeight="1">
      <c r="A627" s="1">
        <v>2298.0</v>
      </c>
      <c r="B627" s="2" t="s">
        <v>1995</v>
      </c>
      <c r="C627" s="2">
        <f>IFERROR(__xludf.DUMMYFUNCTION("split(B627,""_"")"),1501.0)</f>
        <v>1501</v>
      </c>
      <c r="D627" s="2" t="str">
        <f>IFERROR(__xludf.DUMMYFUNCTION("""COMPUTED_VALUE"""),"CX")</f>
        <v>CX</v>
      </c>
      <c r="E627" s="2" t="str">
        <f>IFERROR(__xludf.DUMMYFUNCTION("""COMPUTED_VALUE"""),"火22")</f>
        <v>火22</v>
      </c>
      <c r="F627" s="2" t="s">
        <v>1996</v>
      </c>
      <c r="G627" s="2" t="s">
        <v>2012</v>
      </c>
      <c r="H627" s="1">
        <v>6.0</v>
      </c>
      <c r="I627" s="1" t="s">
        <v>21</v>
      </c>
      <c r="J627" s="1" t="s">
        <v>86</v>
      </c>
      <c r="K627" s="2" t="s">
        <v>2013</v>
      </c>
      <c r="L627" s="2" t="s">
        <v>2014</v>
      </c>
      <c r="M627" s="2" t="str">
        <f>IFERROR(__xludf.DUMMYFUNCTION("split(split(K627,""草ナギ剛　 "",false),""公式LINE"",false)"),"富生(草ナギ剛)が父親を死に追いやった男のもとで働いているとは知る由もない光太郎(玉森裕太)。富生が金貸しになったと聞き、軽蔑する一方、母親の治療費さえも工面できない自分の無力さに、悔しい気持ちがこみ上げていた。そんなある日、バイト仲間から「金になる仕事がある」と持ちかけられた光太郎は、危険な香りのする雑居ビルに足を踏み入れて……。    一方、早和子(ジュディ・オング)の許しを得てホワイト化学の再建に乗り出した梢(木村文乃)は、早速工場へ。「いかにも町工場的な体質を変える」と断言する梢に対し、専務の金原"&amp;"(おかやまはじめ)らは戸惑い、反発するが、梢は青池ファイナンスが株を所有していることを理由に、工員たちを解雇する可能性もあると非情な宣告を突きつける。    その頃、未央(大島優子)は赤松(渡部篤郎)を襲撃した後に行方をくらませた富生を探していた。赤松金融、ホワイト化学、思い当たる場所を方々探し回っていると、偶然、梢と再会する。富生が行方不明だと告げ、なぜ彼を支えてあげなかったのかと梢に尋ねる未央。すると梢は、ずっと心の内に秘めていた想いを打ち明ける。  とある場所を訪れていた富生は、生前の父の姿を思い出"&amp;"し、一人静かに物思いにふけっていた。果たして、富生が考える、這い上がるための次なる野望とは…?  するとそこへ1本の電話がかかってくる。出ると、相手は警察で……。")</f>
        <v>富生(草ナギ剛)が父親を死に追いやった男のもとで働いているとは知る由もない光太郎(玉森裕太)。富生が金貸しになったと聞き、軽蔑する一方、母親の治療費さえも工面できない自分の無力さに、悔しい気持ちがこみ上げていた。そんなある日、バイト仲間から「金になる仕事がある」と持ちかけられた光太郎は、危険な香りのする雑居ビルに足を踏み入れて……。    一方、早和子(ジュディ・オング)の許しを得てホワイト化学の再建に乗り出した梢(木村文乃)は、早速工場へ。「いかにも町工場的な体質を変える」と断言する梢に対し、専務の金原(おかやまはじめ)らは戸惑い、反発するが、梢は青池ファイナンスが株を所有していることを理由に、工員たちを解雇する可能性もあると非情な宣告を突きつける。    その頃、未央(大島優子)は赤松(渡部篤郎)を襲撃した後に行方をくらませた富生を探していた。赤松金融、ホワイト化学、思い当たる場所を方々探し回っていると、偶然、梢と再会する。富生が行方不明だと告げ、なぜ彼を支えてあげなかったのかと梢に尋ねる未央。すると梢は、ずっと心の内に秘めていた想いを打ち明ける。  とある場所を訪れていた富生は、生前の父の姿を思い出し、一人静かに物思いにふけっていた。果たして、富生が考える、這い上がるための次なる野望とは…?  するとそこへ1本の電話がかかってくる。出ると、相手は警察で……。</v>
      </c>
      <c r="N627" s="2"/>
      <c r="O627" s="2"/>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row>
    <row r="628" ht="204.75" customHeight="1">
      <c r="A628" s="1">
        <v>2299.0</v>
      </c>
      <c r="B628" s="2" t="s">
        <v>1995</v>
      </c>
      <c r="C628" s="2">
        <f>IFERROR(__xludf.DUMMYFUNCTION("split(B628,""_"")"),1501.0)</f>
        <v>1501</v>
      </c>
      <c r="D628" s="2" t="str">
        <f>IFERROR(__xludf.DUMMYFUNCTION("""COMPUTED_VALUE"""),"CX")</f>
        <v>CX</v>
      </c>
      <c r="E628" s="2" t="str">
        <f>IFERROR(__xludf.DUMMYFUNCTION("""COMPUTED_VALUE"""),"火22")</f>
        <v>火22</v>
      </c>
      <c r="F628" s="2" t="s">
        <v>1996</v>
      </c>
      <c r="G628" s="2" t="s">
        <v>2015</v>
      </c>
      <c r="H628" s="1">
        <v>7.0</v>
      </c>
      <c r="I628" s="1" t="s">
        <v>25</v>
      </c>
      <c r="J628" s="1" t="s">
        <v>86</v>
      </c>
      <c r="K628" s="2" t="s">
        <v>2016</v>
      </c>
      <c r="L628" s="2" t="s">
        <v>2017</v>
      </c>
      <c r="M628" s="2" t="str">
        <f>IFERROR(__xludf.DUMMYFUNCTION("split(split(K628,""草ナギ剛　 "",false),""公式LINE"",false)"),"赤松金融の地下に現金の隠し部屋があることを突き止めた富生(草ナギ剛)。しかし、監視カメラが設置されていることに気付き、不用意には近づけない。そこへ、未央(大島優子)から「赤松が戻ってきた」とメールが届く。機転を利かせた未央のおかげで、その日は赤松(渡部篤郎)にバレず事なきを得たものの、翌朝、出社した赤松は事務所の雰囲気に違和感を覚え、一人密かに地下室に設置した監視カメラの映像をチェックする。その晩、紺野家では未央から富生の話を聞いた洋(大杉漣)が計画を何とか阻止しようと説得を試みるが、あえなく失敗。それど"&amp;"ころか富生は、隠し部屋の鍵の暗証番号を解読しようと、ある仕掛けを考え、さらに監視カメラの目を欺くための作戦も実行しようとする。  しかし、自分の動きを赤松に勘付かれることを恐れ、焦った富生は、ある晩、正解が分からないまま金庫破りに挑むことを決意。それを知った未央もまた、「あの人には、大きな借りがあるから」と洋の制止も聞かず、富生の後を追い、赤松金融へと向かっていく!  果たして、父親を自殺に追い込んだ赤松への復讐(ふくしゅう)のため、金庫破りに挑む富生は、赤松にバレずに大金を奪うことができるのか!?")</f>
        <v>赤松金融の地下に現金の隠し部屋があることを突き止めた富生(草ナギ剛)。しかし、監視カメラが設置されていることに気付き、不用意には近づけない。そこへ、未央(大島優子)から「赤松が戻ってきた」とメールが届く。機転を利かせた未央のおかげで、その日は赤松(渡部篤郎)にバレず事なきを得たものの、翌朝、出社した赤松は事務所の雰囲気に違和感を覚え、一人密かに地下室に設置した監視カメラの映像をチェックする。その晩、紺野家では未央から富生の話を聞いた洋(大杉漣)が計画を何とか阻止しようと説得を試みるが、あえなく失敗。それどころか富生は、隠し部屋の鍵の暗証番号を解読しようと、ある仕掛けを考え、さらに監視カメラの目を欺くための作戦も実行しようとする。  しかし、自分の動きを赤松に勘付かれることを恐れ、焦った富生は、ある晩、正解が分からないまま金庫破りに挑むことを決意。それを知った未央もまた、「あの人には、大きな借りがあるから」と洋の制止も聞かず、富生の後を追い、赤松金融へと向かっていく!  果たして、父親を自殺に追い込んだ赤松への復讐(ふくしゅう)のため、金庫破りに挑む富生は、赤松にバレずに大金を奪うことができるのか!?</v>
      </c>
      <c r="N628" s="2"/>
      <c r="O628" s="2"/>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row>
    <row r="629" ht="204.75" customHeight="1">
      <c r="A629" s="1">
        <v>2300.0</v>
      </c>
      <c r="B629" s="2" t="s">
        <v>1995</v>
      </c>
      <c r="C629" s="2">
        <f>IFERROR(__xludf.DUMMYFUNCTION("split(B629,""_"")"),1501.0)</f>
        <v>1501</v>
      </c>
      <c r="D629" s="2" t="str">
        <f>IFERROR(__xludf.DUMMYFUNCTION("""COMPUTED_VALUE"""),"CX")</f>
        <v>CX</v>
      </c>
      <c r="E629" s="2" t="str">
        <f>IFERROR(__xludf.DUMMYFUNCTION("""COMPUTED_VALUE"""),"火22")</f>
        <v>火22</v>
      </c>
      <c r="F629" s="2" t="s">
        <v>1996</v>
      </c>
      <c r="G629" s="2" t="s">
        <v>2018</v>
      </c>
      <c r="H629" s="1">
        <v>8.0</v>
      </c>
      <c r="I629" s="1" t="s">
        <v>29</v>
      </c>
      <c r="J629" s="1" t="s">
        <v>86</v>
      </c>
      <c r="K629" s="2" t="s">
        <v>2019</v>
      </c>
      <c r="L629" s="2" t="s">
        <v>2020</v>
      </c>
      <c r="M629" s="2" t="str">
        <f>IFERROR(__xludf.DUMMYFUNCTION("split(split(K629,""草ナギ剛　 "",false),""公式LINE"",false)"),"ホワイト化学が経営難に陥った裏に、早和子(ジュディ・オング)の思惑があったことを知った富生(草ナギ剛)は怒りを抑えきれない。赤松(渡部篤郎)は、そんな富生をけしかけるかのように、早和子と特許庁の水越(浅野和之)という男が手を組み、ホワイト化学が出願した特許が下りないよう、画策していたことを教える。    翌日、青池ファイナンスの人間を装い水越を訪ねた富生は、ホワイト化学の件で捜査が入るかもしれないと揺さぶりをかけ、さらに、水越が早和子から金を受け取った証拠をつかもうと、彼の行動を徹底的に調べ始める。赤松と"&amp;"手を組むことに反対しながらも、富生が再び無茶をしないか心配な未央(大島優子)もまた、ある場所へと潜入して……。    同じ頃、富生から話を聞いて早和子を信じられなくなった梢(木村文乃)は、独自に社内の金の流れを調べ始める。そして、早和子が隠してきた重大な秘密を知り、がくぜんとする。    そんなある日、富生のもとに水越と青池ファイナンスが接触するとの情報が入るが、何者かに尾行されていることに気付いた水越は接触直前に姿を消してしまう。あきらめかけたその時、富生の携帯が鳴り、出ると相手は未央。「今、水越を追い"&amp;"かけてる」ーー。その声を聞いた富生は、「水越には近づくな!」と告げ、慌ててその後を追うが……。")</f>
        <v>ホワイト化学が経営難に陥った裏に、早和子(ジュディ・オング)の思惑があったことを知った富生(草ナギ剛)は怒りを抑えきれない。赤松(渡部篤郎)は、そんな富生をけしかけるかのように、早和子と特許庁の水越(浅野和之)という男が手を組み、ホワイト化学が出願した特許が下りないよう、画策していたことを教える。    翌日、青池ファイナンスの人間を装い水越を訪ねた富生は、ホワイト化学の件で捜査が入るかもしれないと揺さぶりをかけ、さらに、水越が早和子から金を受け取った証拠をつかもうと、彼の行動を徹底的に調べ始める。赤松と手を組むことに反対しながらも、富生が再び無茶をしないか心配な未央(大島優子)もまた、ある場所へと潜入して……。    同じ頃、富生から話を聞いて早和子を信じられなくなった梢(木村文乃)は、独自に社内の金の流れを調べ始める。そして、早和子が隠してきた重大な秘密を知り、がくぜんとする。    そんなある日、富生のもとに水越と青池ファイナンスが接触するとの情報が入るが、何者かに尾行されていることに気付いた水越は接触直前に姿を消してしまう。あきらめかけたその時、富生の携帯が鳴り、出ると相手は未央。「今、水越を追いかけてる」ーー。その声を聞いた富生は、「水越には近づくな!」と告げ、慌ててその後を追うが……。</v>
      </c>
      <c r="N629" s="2"/>
      <c r="O629" s="2"/>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row>
    <row r="630" ht="204.75" customHeight="1">
      <c r="A630" s="1">
        <v>2301.0</v>
      </c>
      <c r="B630" s="2" t="s">
        <v>1995</v>
      </c>
      <c r="C630" s="2">
        <f>IFERROR(__xludf.DUMMYFUNCTION("split(B630,""_"")"),1501.0)</f>
        <v>1501</v>
      </c>
      <c r="D630" s="2" t="str">
        <f>IFERROR(__xludf.DUMMYFUNCTION("""COMPUTED_VALUE"""),"CX")</f>
        <v>CX</v>
      </c>
      <c r="E630" s="2" t="str">
        <f>IFERROR(__xludf.DUMMYFUNCTION("""COMPUTED_VALUE"""),"火22")</f>
        <v>火22</v>
      </c>
      <c r="F630" s="2" t="s">
        <v>1996</v>
      </c>
      <c r="G630" s="2" t="s">
        <v>2021</v>
      </c>
      <c r="H630" s="1">
        <v>9.0</v>
      </c>
      <c r="I630" s="1" t="s">
        <v>33</v>
      </c>
      <c r="J630" s="1" t="s">
        <v>86</v>
      </c>
      <c r="K630" s="2" t="s">
        <v>2022</v>
      </c>
      <c r="L630" s="2" t="s">
        <v>2023</v>
      </c>
      <c r="M630" s="2" t="str">
        <f>IFERROR(__xludf.DUMMYFUNCTION("split(split(K630,""草ナギ剛　 "",false),""公式LINE"",false)"),"赤松(渡部篤郎)が青池グループの株の51%を手に入れた。しかし、その買い取り額はわずか20億円と破格。富生(草ナギ剛)は早和子(ジュディ・オング)が赤松に弱みを握られていると察知し、突然の事態に動転する梢(木村文乃)に「青池を守る方法が一つだけある」とささやく。一方で、赤松を挑発し、20億円の在りかをさも知っているかのような素振りを見せる富生。  警戒した赤松は桜田(高田翔)に富生をマークさせるが、それこそが富生の狙いだった…!    その晩、富生を訪ねて梢が紺野家にやって来る。ホワイト化学を赤松に渡した"&amp;"くない富生と青池グループを守りたい梢。利害が一致した二人は赤松の動きを阻止すべく作戦を練るが、そんな二人の様子を近くで見ていた未央(大島優子)は胸がざわつく。そのうえ、梢からこれまでのことを謝罪され、複雑な気持ちに。  翌日、富生が自分に何も話してくれないことに耐えられなくなった未央は、赤松相手に何か無茶をしようとしている富生に手伝わせてほしいと願い出る。しかし、「危ないから巻きこめない」と断られ、思わず富生への想いを告白してしまう。その時、富生の携帯電話に梢から連絡が入る。梢と今後の作戦を確認した富生は"&amp;"電話を切って……。")</f>
        <v>赤松(渡部篤郎)が青池グループの株の51%を手に入れた。しかし、その買い取り額はわずか20億円と破格。富生(草ナギ剛)は早和子(ジュディ・オング)が赤松に弱みを握られていると察知し、突然の事態に動転する梢(木村文乃)に「青池を守る方法が一つだけある」とささやく。一方で、赤松を挑発し、20億円の在りかをさも知っているかのような素振りを見せる富生。  警戒した赤松は桜田(高田翔)に富生をマークさせるが、それこそが富生の狙いだった…!    その晩、富生を訪ねて梢が紺野家にやって来る。ホワイト化学を赤松に渡したくない富生と青池グループを守りたい梢。利害が一致した二人は赤松の動きを阻止すべく作戦を練るが、そんな二人の様子を近くで見ていた未央(大島優子)は胸がざわつく。そのうえ、梢からこれまでのことを謝罪され、複雑な気持ちに。  翌日、富生が自分に何も話してくれないことに耐えられなくなった未央は、赤松相手に何か無茶をしようとしている富生に手伝わせてほしいと願い出る。しかし、「危ないから巻きこめない」と断られ、思わず富生への想いを告白してしまう。その時、富生の携帯電話に梢から連絡が入る。梢と今後の作戦を確認した富生は電話を切って……。</v>
      </c>
      <c r="N630" s="2"/>
      <c r="O630" s="2"/>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row>
    <row r="631" ht="204.75" customHeight="1">
      <c r="A631" s="1">
        <v>2302.0</v>
      </c>
      <c r="B631" s="2" t="s">
        <v>1995</v>
      </c>
      <c r="C631" s="2">
        <f>IFERROR(__xludf.DUMMYFUNCTION("split(B631,""_"")"),1501.0)</f>
        <v>1501</v>
      </c>
      <c r="D631" s="2" t="str">
        <f>IFERROR(__xludf.DUMMYFUNCTION("""COMPUTED_VALUE"""),"CX")</f>
        <v>CX</v>
      </c>
      <c r="E631" s="2" t="str">
        <f>IFERROR(__xludf.DUMMYFUNCTION("""COMPUTED_VALUE"""),"火22")</f>
        <v>火22</v>
      </c>
      <c r="F631" s="2" t="s">
        <v>1996</v>
      </c>
      <c r="G631" s="2" t="s">
        <v>2024</v>
      </c>
      <c r="H631" s="1">
        <v>10.0</v>
      </c>
      <c r="I631" s="1" t="s">
        <v>37</v>
      </c>
      <c r="J631" s="1" t="s">
        <v>82</v>
      </c>
      <c r="K631" s="2" t="s">
        <v>2025</v>
      </c>
      <c r="L631" s="2" t="s">
        <v>2026</v>
      </c>
      <c r="M631" s="2" t="str">
        <f>IFERROR(__xludf.DUMMYFUNCTION("split(split(K631,""草ナギ剛　 "",false),""公式LINE"",false)"),"赤松(渡部篤郎)から奪った20億にもかかわらず、その金を増やそうと考えた富生(草ナギ剛)は、かつての上司・黒田(飯田基祐)を訪ね、利益の一部を渡すことを条件にインサイダー取引をもちかける。一方、怒りに震える赤松は、桜田(高田翔)たちを紺野家やホワイト化学に向かわせ、血眼になって金の在り処を探していた。そんななか、ふと富生の経歴を思い出した赤松は黒田に接触。富生が金を増やそうとしていることを知り、不敵な笑みを浮かべて…。    その頃、早和子(ジュディ・オング)の自首により脱税が明らかになった青池ファイナン"&amp;"スでは、弁護士から追徴課税が50億円に上ると聞いた梢(木村文乃)が頭をかかえていた。今すぐ現金が必要な梢は、富生に40億円でホワイト化学を売ってほしいと提案され、その提案を受け入れる。数日後、喫茶店に呼び出された富生は、黒田から株価が確実に上がる会社の情報を教えてもらうが、少し離れたところでその話を赤松が聞いていた。そうとは知らず、紺野家に戻り、黒田から聞いた情報を元に株を買おうとする富生。しかし、話を聞いた未央(大島優子)は、今まさに犯罪行為に手を出そうとしている富生を見ていられず、思わず頬を叩いてしま"&amp;"う。")</f>
        <v>赤松(渡部篤郎)から奪った20億にもかかわらず、その金を増やそうと考えた富生(草ナギ剛)は、かつての上司・黒田(飯田基祐)を訪ね、利益の一部を渡すことを条件にインサイダー取引をもちかける。一方、怒りに震える赤松は、桜田(高田翔)たちを紺野家やホワイト化学に向かわせ、血眼になって金の在り処を探していた。そんななか、ふと富生の経歴を思い出した赤松は黒田に接触。富生が金を増やそうとしていることを知り、不敵な笑みを浮かべて…。    その頃、早和子(ジュディ・オング)の自首により脱税が明らかになった青池ファイナンスでは、弁護士から追徴課税が50億円に上ると聞いた梢(木村文乃)が頭をかかえていた。今すぐ現金が必要な梢は、富生に40億円でホワイト化学を売ってほしいと提案され、その提案を受け入れる。数日後、喫茶店に呼び出された富生は、黒田から株価が確実に上がる会社の情報を教えてもらうが、少し離れたところでその話を赤松が聞いていた。そうとは知らず、紺野家に戻り、黒田から聞いた情報を元に株を買おうとする富生。しかし、話を聞いた未央(大島優子)は、今まさに犯罪行為に手を出そうとしている富生を見ていられず、思わず頬を叩いてしまう。</v>
      </c>
      <c r="N631" s="2"/>
      <c r="O631" s="2"/>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row>
    <row r="632" ht="204.75" customHeight="1">
      <c r="A632" s="1">
        <v>2303.0</v>
      </c>
      <c r="B632" s="2" t="s">
        <v>1995</v>
      </c>
      <c r="C632" s="2">
        <f>IFERROR(__xludf.DUMMYFUNCTION("split(B632,""_"")"),1501.0)</f>
        <v>1501</v>
      </c>
      <c r="D632" s="2" t="str">
        <f>IFERROR(__xludf.DUMMYFUNCTION("""COMPUTED_VALUE"""),"CX")</f>
        <v>CX</v>
      </c>
      <c r="E632" s="2" t="str">
        <f>IFERROR(__xludf.DUMMYFUNCTION("""COMPUTED_VALUE"""),"火22")</f>
        <v>火22</v>
      </c>
      <c r="F632" s="2" t="s">
        <v>1996</v>
      </c>
      <c r="G632" s="2" t="s">
        <v>2027</v>
      </c>
      <c r="H632" s="1">
        <v>11.0</v>
      </c>
      <c r="I632" s="1" t="s">
        <v>41</v>
      </c>
      <c r="J632" s="1" t="s">
        <v>82</v>
      </c>
      <c r="K632" s="2" t="s">
        <v>2028</v>
      </c>
      <c r="L632" s="2" t="s">
        <v>2029</v>
      </c>
      <c r="M632" s="2" t="str">
        <f>IFERROR(__xludf.DUMMYFUNCTION("split(split(K632,""草ナギ剛　 "",false),""公式LINE"",false)"),"未央(大島優子)を助けに向かった先で赤松(渡部篤郎)と対峙(たいじ)した富生(草ナギ剛)は、未央と引き換えに20億円を返すよう迫られる。一日の猶予をもらった富生は、洋(大杉漣)の言葉をヒントに、ある方法で20億円を返すため、再び灰谷(中林大樹)や桃子(朝倉えりか)らに声をかけ……。    一方、20億円が手元に戻ることを確信した赤松は、早和子(ジュディ・オング)の保釈金5億を用意できず苦しむ梢(木村文乃)に電話をかけ、金を援助する代わりに自分を青池ファイナンスの役員に加えるよう持ちかける。    そして、"&amp;"すべての準備を整えた富生が、20億円の受け渡し場所に選んだのは赤松金融。    待ち構える赤松に、富生は一体どんな方法で20億円を返すのか!?  未央、梢、光太郎(玉森裕太)、ホワイト化学、それぞれの行方は…?  金に人生を翻弄(ほんろう)された富生の闘いが、ついに幕を閉じる…!")</f>
        <v>未央(大島優子)を助けに向かった先で赤松(渡部篤郎)と対峙(たいじ)した富生(草ナギ剛)は、未央と引き換えに20億円を返すよう迫られる。一日の猶予をもらった富生は、洋(大杉漣)の言葉をヒントに、ある方法で20億円を返すため、再び灰谷(中林大樹)や桃子(朝倉えりか)らに声をかけ……。    一方、20億円が手元に戻ることを確信した赤松は、早和子(ジュディ・オング)の保釈金5億を用意できず苦しむ梢(木村文乃)に電話をかけ、金を援助する代わりに自分を青池ファイナンスの役員に加えるよう持ちかける。    そして、すべての準備を整えた富生が、20億円の受け渡し場所に選んだのは赤松金融。    待ち構える赤松に、富生は一体どんな方法で20億円を返すのか!?  未央、梢、光太郎(玉森裕太)、ホワイト化学、それぞれの行方は…?  金に人生を翻弄(ほんろう)された富生の闘いが、ついに幕を閉じる…!</v>
      </c>
      <c r="N632" s="2"/>
      <c r="O632" s="2"/>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row>
    <row r="633" ht="204.75" customHeight="1">
      <c r="A633" s="1">
        <v>2324.0</v>
      </c>
      <c r="B633" s="2" t="s">
        <v>2030</v>
      </c>
      <c r="C633" s="2">
        <f>IFERROR(__xludf.DUMMYFUNCTION("split(B633,""_"")"),1501.0)</f>
        <v>1501</v>
      </c>
      <c r="D633" s="2" t="str">
        <f>IFERROR(__xludf.DUMMYFUNCTION("""COMPUTED_VALUE"""),"CX")</f>
        <v>CX</v>
      </c>
      <c r="E633" s="2" t="str">
        <f>IFERROR(__xludf.DUMMYFUNCTION("""COMPUTED_VALUE"""),"水22")</f>
        <v>水22</v>
      </c>
      <c r="F633" s="2" t="s">
        <v>2031</v>
      </c>
      <c r="G633" s="2" t="s">
        <v>2032</v>
      </c>
      <c r="H633" s="1">
        <v>1.0</v>
      </c>
      <c r="I633" s="1" t="s">
        <v>3</v>
      </c>
      <c r="J633" s="1" t="s">
        <v>82</v>
      </c>
      <c r="K633" s="4" t="s">
        <v>2033</v>
      </c>
      <c r="L633" s="2" t="s">
        <v>2034</v>
      </c>
      <c r="M633" s="2" t="str">
        <f>IFERROR(__xludf.DUMMYFUNCTION("split(split(K633,""榛野陽一(34)"",false),""稼働中!"",false)"),"★フジテレビHP内で、ドラマ公式ページ公開中!  オリジナルコンテンツもチェック!    ★公式twitter")</f>
        <v>★フジテレビHP内で、ドラマ公式ページ公開中!  オリジナルコンテンツもチェック!    ★公式twitter</v>
      </c>
      <c r="N633" s="2" t="str">
        <f>IFERROR(__xludf.DUMMYFUNCTION("""COMPUTED_VALUE"""),"  残念な夫。で検索!オリジナル画像多数公開中!　榛野陽一(玉木宏)と知里(倉科カナ)夫婦は、温かくて明るい、“理想の家庭""を夢見て結婚。しかし、その夢は知里の出産を期に変化しようとしていた。  　育児に追われる知里は、新婚の頃のような初々しさをなくし、少しイライラ気味。陽一は育児を手伝うどころか、独身時代からの趣味グッズの収集を続け、なぜ知里がイライラしているのかは全くわからない。  　ある日の朝、陽一は出社途中に会社の先輩、細井茂(岸谷五朗)に相談。すると、家庭での地位が落ちているのではないかと言わ"&amp;"れてしまう。そんな陽一は仕事が出来て、他人には親切…。知里はそれを理解しているからこそ、陽一が育児を手伝わないことにイライラが増しているのだが…。  　育児にお金がかかることを知った知里は、趣味などに浪費する陽一に小遣い制導入を宣言。阻止しようと陽一が再び茂に相談すると、妻の扱い方なるものを伝授される。陽一は早速、知里に試してみるが上手くいかない。実は、茂も家庭内では地位を失っている夫のひとり。さらに、陽一と茂は、お互いの妻、知里と美和子(大塚寧々)が知り合っていることなど気づいていない。  　陽一の地位"&amp;"失墜はさらに加速。リビングに陽一が飾っている趣味グッズも知里に片付けられてしまう始末。そんな時、陽一は客の須藤俊也(黒木啓司)から夫婦円満の秘訣を聞く。いわく、贈り物、新婚時の初心に戻ること。この言葉で、陽一はあることを思いつく。")</f>
        <v>  残念な夫。で検索!オリジナル画像多数公開中!　榛野陽一(玉木宏)と知里(倉科カナ)夫婦は、温かくて明るい、“理想の家庭"を夢見て結婚。しかし、その夢は知里の出産を期に変化しようとしていた。  　育児に追われる知里は、新婚の頃のような初々しさをなくし、少しイライラ気味。陽一は育児を手伝うどころか、独身時代からの趣味グッズの収集を続け、なぜ知里がイライラしているのかは全くわからない。  　ある日の朝、陽一は出社途中に会社の先輩、細井茂(岸谷五朗)に相談。すると、家庭での地位が落ちているのではないかと言われてしまう。そんな陽一は仕事が出来て、他人には親切…。知里はそれを理解しているからこそ、陽一が育児を手伝わないことにイライラが増しているのだが…。  　育児にお金がかかることを知った知里は、趣味などに浪費する陽一に小遣い制導入を宣言。阻止しようと陽一が再び茂に相談すると、妻の扱い方なるものを伝授される。陽一は早速、知里に試してみるが上手くいかない。実は、茂も家庭内では地位を失っている夫のひとり。さらに、陽一と茂は、お互いの妻、知里と美和子(大塚寧々)が知り合っていることなど気づいていない。  　陽一の地位失墜はさらに加速。リビングに陽一が飾っている趣味グッズも知里に片付けられてしまう始末。そんな時、陽一は客の須藤俊也(黒木啓司)から夫婦円満の秘訣を聞く。いわく、贈り物、新婚時の初心に戻ること。この言葉で、陽一はあることを思いつく。</v>
      </c>
      <c r="O633" s="2"/>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row>
    <row r="634" ht="204.75" customHeight="1">
      <c r="A634" s="1">
        <v>2325.0</v>
      </c>
      <c r="B634" s="2" t="s">
        <v>2030</v>
      </c>
      <c r="C634" s="2">
        <f>IFERROR(__xludf.DUMMYFUNCTION("split(B634,""_"")"),1501.0)</f>
        <v>1501</v>
      </c>
      <c r="D634" s="2" t="str">
        <f>IFERROR(__xludf.DUMMYFUNCTION("""COMPUTED_VALUE"""),"CX")</f>
        <v>CX</v>
      </c>
      <c r="E634" s="2" t="str">
        <f>IFERROR(__xludf.DUMMYFUNCTION("""COMPUTED_VALUE"""),"水22")</f>
        <v>水22</v>
      </c>
      <c r="F634" s="2" t="s">
        <v>2031</v>
      </c>
      <c r="G634" s="2" t="s">
        <v>2035</v>
      </c>
      <c r="H634" s="1">
        <v>2.0</v>
      </c>
      <c r="I634" s="1" t="s">
        <v>7</v>
      </c>
      <c r="J634" s="1" t="s">
        <v>86</v>
      </c>
      <c r="K634" s="2" t="s">
        <v>2036</v>
      </c>
      <c r="L634" s="2" t="s">
        <v>2037</v>
      </c>
      <c r="M634" s="2" t="str">
        <f>IFERROR(__xludf.DUMMYFUNCTION("split(split(K634,""榛野陽一(34)"",false),""稼働中!"",false)"),"★フジテレビHP内で、ドラマ公式ページ公開中!  オリジナルコンテンツもチェック!    ★公式twitter")</f>
        <v>★フジテレビHP内で、ドラマ公式ページ公開中!  オリジナルコンテンツもチェック!    ★公式twitter</v>
      </c>
      <c r="N634" s="2" t="str">
        <f>IFERROR(__xludf.DUMMYFUNCTION("""COMPUTED_VALUE"""),"  残念な夫。で検索!オリジナル画像多数公開中!　榛野陽一(玉木宏)は、知里(倉科カナ)がつけている育児日記に離婚届が挟まっているのを見つけてしまう。信じられない陽一はオロオロするばかり。  　翌日、不安を抱えながら出社した陽一は、細井茂(岸谷五朗)とクライアントを出迎える。約束の時間に遅れてやって来たクライアントは、家を建てられなくなったと切り出す。妻に離婚を切り出されたのだ。話を聞いた陽一は、我がことのように動揺する。  　茂は、そんな陽一も妻の離婚届を発見したのではないかと見抜く。妻の気持ちをハッキ"&amp;"リ聞くと言う陽一を制した茂は、知里が産後鬱(うつ)になっているのではないかと指摘する。  　家に帰った陽一は、知里が大学時代の友人の結婚式に招待されたが、育児のために断ったことを知る。どうやら行きたそうだった知里に、陽一は出席するよう勧める。陽一は茂の言った産後鬱(うつ)で、離婚まで考え始めた知里を気分転換させようと思ったのだ。代休をとってまで面倒をみるという陽一に、知里は結婚式への出席を決意。  　まず、知里は子供を陽一に預けて美容院に出かける。ほんの数時間だが陽一は初めてひとりで赤ちゃんの世話。知里が"&amp;"帰ると、陽一は赤ちゃんを膝に乗せてビールを飲んでいた。知里に飲酒をたしなめられる陽一。さらに、陽一は面倒を見るのは大変だったので気晴らしに…と出て行ってしまう。  　結婚式の日、知里は陽一への不安が残るものの出かけて行く。")</f>
        <v>  残念な夫。で検索!オリジナル画像多数公開中!　榛野陽一(玉木宏)は、知里(倉科カナ)がつけている育児日記に離婚届が挟まっているのを見つけてしまう。信じられない陽一はオロオロするばかり。  　翌日、不安を抱えながら出社した陽一は、細井茂(岸谷五朗)とクライアントを出迎える。約束の時間に遅れてやって来たクライアントは、家を建てられなくなったと切り出す。妻に離婚を切り出されたのだ。話を聞いた陽一は、我がことのように動揺する。  　茂は、そんな陽一も妻の離婚届を発見したのではないかと見抜く。妻の気持ちをハッキリ聞くと言う陽一を制した茂は、知里が産後鬱(うつ)になっているのではないかと指摘する。  　家に帰った陽一は、知里が大学時代の友人の結婚式に招待されたが、育児のために断ったことを知る。どうやら行きたそうだった知里に、陽一は出席するよう勧める。陽一は茂の言った産後鬱(うつ)で、離婚まで考え始めた知里を気分転換させようと思ったのだ。代休をとってまで面倒をみるという陽一に、知里は結婚式への出席を決意。  　まず、知里は子供を陽一に預けて美容院に出かける。ほんの数時間だが陽一は初めてひとりで赤ちゃんの世話。知里が帰ると、陽一は赤ちゃんを膝に乗せてビールを飲んでいた。知里に飲酒をたしなめられる陽一。さらに、陽一は面倒を見るのは大変だったので気晴らしに…と出て行ってしまう。  　結婚式の日、知里は陽一への不安が残るものの出かけて行く。</v>
      </c>
      <c r="O634" s="2"/>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row>
    <row r="635" ht="204.75" customHeight="1">
      <c r="A635" s="1">
        <v>2326.0</v>
      </c>
      <c r="B635" s="2" t="s">
        <v>2030</v>
      </c>
      <c r="C635" s="2">
        <f>IFERROR(__xludf.DUMMYFUNCTION("split(B635,""_"")"),1501.0)</f>
        <v>1501</v>
      </c>
      <c r="D635" s="2" t="str">
        <f>IFERROR(__xludf.DUMMYFUNCTION("""COMPUTED_VALUE"""),"CX")</f>
        <v>CX</v>
      </c>
      <c r="E635" s="2" t="str">
        <f>IFERROR(__xludf.DUMMYFUNCTION("""COMPUTED_VALUE"""),"水22")</f>
        <v>水22</v>
      </c>
      <c r="F635" s="2" t="s">
        <v>2031</v>
      </c>
      <c r="G635" s="2" t="s">
        <v>2038</v>
      </c>
      <c r="H635" s="1">
        <v>3.0</v>
      </c>
      <c r="I635" s="1" t="s">
        <v>10</v>
      </c>
      <c r="J635" s="1" t="s">
        <v>86</v>
      </c>
      <c r="K635" s="2" t="s">
        <v>2039</v>
      </c>
      <c r="L635" s="2" t="s">
        <v>2040</v>
      </c>
      <c r="M635" s="2" t="str">
        <f>IFERROR(__xludf.DUMMYFUNCTION("split(split(K635,""榛野陽一(34)"",false),""稼働中!"",false)"),"★フジテレビHP内で、ドラマ公式ページ公開中!  オリジナルコンテンツもチェック!    ★公式twitter")</f>
        <v>★フジテレビHP内で、ドラマ公式ページ公開中!  オリジナルコンテンツもチェック!    ★公式twitter</v>
      </c>
      <c r="N635" s="2" t="str">
        <f>IFERROR(__xludf.DUMMYFUNCTION("""COMPUTED_VALUE"""),"  残念な夫。で検索!オリジナル画像多数公開中!    ★youtubeにて、オリジナル動画「温水洋一、謝ります」公開中!　非行少女が父親をバットで殴ったとの雑誌記事を読んだ榛野陽一(玉木宏)は、娘の将来を思って不安になる。そんな時、陽一は子育てに自信満々のクライアント、須藤俊也(黒木啓司)に子供は乳幼児から英才教育した方が良いと言われる。細井茂(岸谷五朗)も俊也の意見にうなずいた。陽一は早速、知育グッズを買って帰るが、知里(倉科カナ)は大反対。知里は英才教育よりも娘には心豊かに育ってもらいたかったのだ。"&amp;"  　一方、茂の家庭では高校生の娘、美香(生田絵梨花)の将来を真剣に考える時期が来ていた。自立出来る女性になって欲しいと願う美和子(大塚寧々)は、茂の意見など聞こうともしないで、美香にピアノを辞めさせて普通大学への受験を課そうとしている。美和子と仲の良い美香も、素直に従っているように思えたのだが…。  　陽一は浜中遼(林遣都)がセッティングした大石かおり(笛木優子)の着任歓迎会に参加。そこで、陽一は、かおりがかつてNBAのチアリーダーをしていたと聞く。親の影響でチアを始めたと言うかおりに、陽一は娘の教育方"&amp;"針を変更。家に帰った陽一はあきれる知里をよそに、娘にチアやバスケットボールの教育を始めた。  　知里は陽一のイクメンとして張り切る姿勢が迷惑だと美和子と由衣(高橋メアリージュン)に愚痴る。陽一のことを考えると体がかゆくなると知里が話すと、2人から夫病だと言われてしまう・・・。")</f>
        <v>  残念な夫。で検索!オリジナル画像多数公開中!    ★youtubeにて、オリジナル動画「温水洋一、謝ります」公開中!　非行少女が父親をバットで殴ったとの雑誌記事を読んだ榛野陽一(玉木宏)は、娘の将来を思って不安になる。そんな時、陽一は子育てに自信満々のクライアント、須藤俊也(黒木啓司)に子供は乳幼児から英才教育した方が良いと言われる。細井茂(岸谷五朗)も俊也の意見にうなずいた。陽一は早速、知育グッズを買って帰るが、知里(倉科カナ)は大反対。知里は英才教育よりも娘には心豊かに育ってもらいたかったのだ。  　一方、茂の家庭では高校生の娘、美香(生田絵梨花)の将来を真剣に考える時期が来ていた。自立出来る女性になって欲しいと願う美和子(大塚寧々)は、茂の意見など聞こうともしないで、美香にピアノを辞めさせて普通大学への受験を課そうとしている。美和子と仲の良い美香も、素直に従っているように思えたのだが…。  　陽一は浜中遼(林遣都)がセッティングした大石かおり(笛木優子)の着任歓迎会に参加。そこで、陽一は、かおりがかつてNBAのチアリーダーをしていたと聞く。親の影響でチアを始めたと言うかおりに、陽一は娘の教育方針を変更。家に帰った陽一はあきれる知里をよそに、娘にチアやバスケットボールの教育を始めた。  　知里は陽一のイクメンとして張り切る姿勢が迷惑だと美和子と由衣(高橋メアリージュン)に愚痴る。陽一のことを考えると体がかゆくなると知里が話すと、2人から夫病だと言われてしまう・・・。</v>
      </c>
      <c r="O635" s="2"/>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row>
    <row r="636" ht="204.75" customHeight="1">
      <c r="A636" s="1">
        <v>2327.0</v>
      </c>
      <c r="B636" s="2" t="s">
        <v>2030</v>
      </c>
      <c r="C636" s="2">
        <f>IFERROR(__xludf.DUMMYFUNCTION("split(B636,""_"")"),1501.0)</f>
        <v>1501</v>
      </c>
      <c r="D636" s="2" t="str">
        <f>IFERROR(__xludf.DUMMYFUNCTION("""COMPUTED_VALUE"""),"CX")</f>
        <v>CX</v>
      </c>
      <c r="E636" s="2" t="str">
        <f>IFERROR(__xludf.DUMMYFUNCTION("""COMPUTED_VALUE"""),"水22")</f>
        <v>水22</v>
      </c>
      <c r="F636" s="2" t="s">
        <v>2031</v>
      </c>
      <c r="G636" s="2" t="s">
        <v>2041</v>
      </c>
      <c r="H636" s="1">
        <v>4.0</v>
      </c>
      <c r="I636" s="1" t="s">
        <v>14</v>
      </c>
      <c r="J636" s="1" t="s">
        <v>86</v>
      </c>
      <c r="K636" s="2" t="s">
        <v>2042</v>
      </c>
      <c r="L636" s="2" t="s">
        <v>2043</v>
      </c>
      <c r="M636" s="2" t="str">
        <f>IFERROR(__xludf.DUMMYFUNCTION("split(split(K636,""榛野陽一(34)"",false),""稼働中!"",false)"),"★フジテレビHP内で、ドラマ公式ページ公開中!  オリジナルコンテンツもチェック!    ★公式twitter")</f>
        <v>★フジテレビHP内で、ドラマ公式ページ公開中!  オリジナルコンテンツもチェック!    ★公式twitter</v>
      </c>
      <c r="N636" s="2" t="str">
        <f>IFERROR(__xludf.DUMMYFUNCTION("""COMPUTED_VALUE"""),"  残念な夫。で検索!オリジナル画像多数公開中!　#残念な夫    ★YouTubeにて、オリジナル動画「温水洋一、謝ります」公開中!　榛野陽一(玉木宏)が出勤しようとしていると、知里(倉科カナ)がハガキを見ながらうらやましがっている。ハガキは、知里の友人が新婚旅行先のハワイから送ったものだった。知里は近くで良いから華と3人でレジャーに行きたいと陽一におねだり。気乗りしない陽一だが、知里の機嫌が悪くなるのを危惧して、2月3日の節分に家族で出かけることを約束した。  　出社した陽一は、細井茂(岸谷五朗)から"&amp;"新規でのモデルハウスデザインの仕事を任される。ただし、今回は建築資材メーカーとのコラボレーションで、先方の社長に認めてもらえるものでなくてはならない。しかも、デザインの提出期限は2月3日。それまでに社長に認めてもらえなければ、他社に契約が移ってしまう。陽一は了解するのだが、期限が知里とレジャーに行く約束をした日だと気づく。  　仕事を終えた陽一は、茂、須藤俊也(黒木啓司)とスーパー銭湯へ。仕事か家族サービスかで悩む陽一に、俊也は男なら家族を黙らせてでも仕事だと言い切る。陽一もその気になり、家族サービス中止"&amp;"を宣言。  　家に帰ると陽一は、さっそくレジャー中止の話を切り出そうとするが、すでに知里は“お出かけプラン""まで作って大はしゃぎ。やはり機嫌を損ねたくない陽一は、話すことが出来ない。それなら3日以前にコラボ相手の社長にデザインを認めてもらえば良い。しかし、陽一は社長のお眼鏡にかなう作品がなかなか出来ずに…。")</f>
        <v>  残念な夫。で検索!オリジナル画像多数公開中!　#残念な夫    ★YouTubeにて、オリジナル動画「温水洋一、謝ります」公開中!　榛野陽一(玉木宏)が出勤しようとしていると、知里(倉科カナ)がハガキを見ながらうらやましがっている。ハガキは、知里の友人が新婚旅行先のハワイから送ったものだった。知里は近くで良いから華と3人でレジャーに行きたいと陽一におねだり。気乗りしない陽一だが、知里の機嫌が悪くなるのを危惧して、2月3日の節分に家族で出かけることを約束した。  　出社した陽一は、細井茂(岸谷五朗)から新規でのモデルハウスデザインの仕事を任される。ただし、今回は建築資材メーカーとのコラボレーションで、先方の社長に認めてもらえるものでなくてはならない。しかも、デザインの提出期限は2月3日。それまでに社長に認めてもらえなければ、他社に契約が移ってしまう。陽一は了解するのだが、期限が知里とレジャーに行く約束をした日だと気づく。  　仕事を終えた陽一は、茂、須藤俊也(黒木啓司)とスーパー銭湯へ。仕事か家族サービスかで悩む陽一に、俊也は男なら家族を黙らせてでも仕事だと言い切る。陽一もその気になり、家族サービス中止を宣言。  　家に帰ると陽一は、さっそくレジャー中止の話を切り出そうとするが、すでに知里は“お出かけプラン"まで作って大はしゃぎ。やはり機嫌を損ねたくない陽一は、話すことが出来ない。それなら3日以前にコラボ相手の社長にデザインを認めてもらえば良い。しかし、陽一は社長のお眼鏡にかなう作品がなかなか出来ずに…。</v>
      </c>
      <c r="O636" s="2"/>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row>
    <row r="637" ht="204.75" customHeight="1">
      <c r="A637" s="1">
        <v>2328.0</v>
      </c>
      <c r="B637" s="2" t="s">
        <v>2030</v>
      </c>
      <c r="C637" s="2">
        <f>IFERROR(__xludf.DUMMYFUNCTION("split(B637,""_"")"),1501.0)</f>
        <v>1501</v>
      </c>
      <c r="D637" s="2" t="str">
        <f>IFERROR(__xludf.DUMMYFUNCTION("""COMPUTED_VALUE"""),"CX")</f>
        <v>CX</v>
      </c>
      <c r="E637" s="2" t="str">
        <f>IFERROR(__xludf.DUMMYFUNCTION("""COMPUTED_VALUE"""),"水22")</f>
        <v>水22</v>
      </c>
      <c r="F637" s="2" t="s">
        <v>2031</v>
      </c>
      <c r="G637" s="2" t="s">
        <v>2044</v>
      </c>
      <c r="H637" s="1">
        <v>5.0</v>
      </c>
      <c r="I637" s="1" t="s">
        <v>17</v>
      </c>
      <c r="J637" s="1" t="s">
        <v>86</v>
      </c>
      <c r="K637" s="2" t="s">
        <v>2045</v>
      </c>
      <c r="L637" s="2" t="s">
        <v>2046</v>
      </c>
      <c r="M637" s="2" t="str">
        <f>IFERROR(__xludf.DUMMYFUNCTION("split(split(K637,""榛野陽一(34)"",false),""稼働中!"",false)"),"★フジテレビHP内で、ドラマ公式ページ公開中!  オリジナルコンテンツもチェック!    ★公式twitter")</f>
        <v>★フジテレビHP内で、ドラマ公式ページ公開中!  オリジナルコンテンツもチェック!    ★公式twitter</v>
      </c>
      <c r="N637" s="2" t="str">
        <f>IFERROR(__xludf.DUMMYFUNCTION("""COMPUTED_VALUE"""),"  残念な夫。で検索!オリジナル画像多数公開中!　#残念な夫    ★YouTubeにて、オリジナル動画「温水洋一、謝ります」公開中!　榛野陽一(玉木宏)は細井茂(岸谷五朗)と、須藤俊也(黒木啓司)宅設計の打ち合わせをしていたが、この日の俊也は陽一に鋭い視線を飛ばしている。俊也は妻の由衣(高橋メアリージュン)と陽一が会話しているのを目撃し、2人の関係を疑っていたのだ。陽一は見られていたこと、また俊也と由衣が夫婦だということは知らなかった。  　知里(倉科カナ)は、以前働いていた職場の先輩に声をかけられ、イ"&amp;"ンテリアデザインの仕事を頼まれる。反対する陽一に対し、知里は自分が働けば陽一の欲しがっていた趣味のNBAグッズが買えると説得する。  　知里は働くために、華を預ける保育施設を探すもののどこもいっぱい。父、牧田仁輔(石倉三郎)と義母の明美(浅田美代子)にも頼めそうもない。美和子(大塚寧々)と由衣に相談したところ、美和子は陽一を細井家に連れて来るよう促す。「奥さんの気持ちを分かってあげて」という美和子の厳しい指摘に、あらがえない陽一。茂は陽一に加担するどころか、すぐに美和子側に寝返ってしまう。  　残すは華を"&amp;"預かってくれる場所。そんな時、知里は保育所に空きが出来たとママ友から連絡をもらう。知里は陽一に迷惑はかけないと約束して働きに出ることになった。  　一方、茂は美香(生田絵梨花)がピアノバーで働いていることを知ってしまう。また俊也は、前回の仕事をミスしたことで職を失ってしまうかもしれない瀬戸際に立たされていた。")</f>
        <v>  残念な夫。で検索!オリジナル画像多数公開中!　#残念な夫    ★YouTubeにて、オリジナル動画「温水洋一、謝ります」公開中!　榛野陽一(玉木宏)は細井茂(岸谷五朗)と、須藤俊也(黒木啓司)宅設計の打ち合わせをしていたが、この日の俊也は陽一に鋭い視線を飛ばしている。俊也は妻の由衣(高橋メアリージュン)と陽一が会話しているのを目撃し、2人の関係を疑っていたのだ。陽一は見られていたこと、また俊也と由衣が夫婦だということは知らなかった。  　知里(倉科カナ)は、以前働いていた職場の先輩に声をかけられ、インテリアデザインの仕事を頼まれる。反対する陽一に対し、知里は自分が働けば陽一の欲しがっていた趣味のNBAグッズが買えると説得する。  　知里は働くために、華を預ける保育施設を探すもののどこもいっぱい。父、牧田仁輔(石倉三郎)と義母の明美(浅田美代子)にも頼めそうもない。美和子(大塚寧々)と由衣に相談したところ、美和子は陽一を細井家に連れて来るよう促す。「奥さんの気持ちを分かってあげて」という美和子の厳しい指摘に、あらがえない陽一。茂は陽一に加担するどころか、すぐに美和子側に寝返ってしまう。  　残すは華を預かってくれる場所。そんな時、知里は保育所に空きが出来たとママ友から連絡をもらう。知里は陽一に迷惑はかけないと約束して働きに出ることになった。  　一方、茂は美香(生田絵梨花)がピアノバーで働いていることを知ってしまう。また俊也は、前回の仕事をミスしたことで職を失ってしまうかもしれない瀬戸際に立たされていた。</v>
      </c>
      <c r="O637" s="2"/>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row>
    <row r="638" ht="204.75" customHeight="1">
      <c r="A638" s="1">
        <v>2329.0</v>
      </c>
      <c r="B638" s="2" t="s">
        <v>2030</v>
      </c>
      <c r="C638" s="2">
        <f>IFERROR(__xludf.DUMMYFUNCTION("split(B638,""_"")"),1501.0)</f>
        <v>1501</v>
      </c>
      <c r="D638" s="2" t="str">
        <f>IFERROR(__xludf.DUMMYFUNCTION("""COMPUTED_VALUE"""),"CX")</f>
        <v>CX</v>
      </c>
      <c r="E638" s="2" t="str">
        <f>IFERROR(__xludf.DUMMYFUNCTION("""COMPUTED_VALUE"""),"水22")</f>
        <v>水22</v>
      </c>
      <c r="F638" s="2" t="s">
        <v>2031</v>
      </c>
      <c r="G638" s="2" t="s">
        <v>2047</v>
      </c>
      <c r="H638" s="1">
        <v>6.0</v>
      </c>
      <c r="I638" s="1" t="s">
        <v>21</v>
      </c>
      <c r="J638" s="1" t="s">
        <v>86</v>
      </c>
      <c r="K638" s="2" t="s">
        <v>2048</v>
      </c>
      <c r="L638" s="2" t="s">
        <v>2049</v>
      </c>
      <c r="M638" s="2" t="str">
        <f>IFERROR(__xludf.DUMMYFUNCTION("split(split(K638,""榛野陽一(34)"",false),""稼働中!"",false)"),"★YouTubeにて、かわいい赤ちゃん動画「今週の華ちゃん」公開開始!    ★フジテレビHP内で、ドラマ公式ページ公開中!  オリジナルコンテンツもチェック!    ★公式twitter")</f>
        <v>★YouTubeにて、かわいい赤ちゃん動画「今週の華ちゃん」公開開始!    ★フジテレビHP内で、ドラマ公式ページ公開中!  オリジナルコンテンツもチェック!    ★公式twitter</v>
      </c>
      <c r="N638" s="2" t="str">
        <f>IFERROR(__xludf.DUMMYFUNCTION("""COMPUTED_VALUE"""),"  残念な夫。で検索!オリジナル画像多数公開中!　#残念な夫    ★YouTubeにて、オリジナル動画「温水洋一、謝ります」公開中!　榛野陽一(玉木宏)は、須藤俊也(黒木啓司)の妻、由衣(高橋メアリージュン)との写真を知里(倉科カナ)に見られてしまう。陽一は由衣がサークルの後輩で、一時期交際していたことを素直に告白。知里は、今は何もないと正直に語る陽一を信じるものの、ママ友の由衣とどう向き合うか悩まなくてはいけないのは陽一のせいだと言う。  　細井茂(岸谷五朗)の家では、美和子(大塚寧々)と美香(生田絵"&amp;"梨花)の対立が深刻化。そんな中、美香をピアノに真剣に向き合わせたきっかけが、陽一だったことが判明していた。  　出社した陽一は、由衣の件を茂に伝え、須藤家新居の設計担当から外して欲しいと頼んで了承された。さらに、陽一の営業推進部兼任が決定。早速、デスクを移す陽一の指導係として大石かおり(笛木優子)が待っていた。そんな時、陽一は美香に呼び出され、美和子を説得して欲しいと頼まれてしまう。  　一方知里は美和子から、陽一が美香の進路に口出ししたと知らされ、陽一に余計なことをしないようにさせると約束。そして、知里"&amp;"は陽一と由衣の件を相談する。  　陽一と茂は俊也と打ち合わせの際に陽一の設計担当替えを切り出すが、俊也は即座に断る。サウナ仲間、パパ友として昔のことなど気にしないと寛大さを見せる俊也。ホッとした陽一は、3家族そろって鍋パーティーをしようと口走る。すると俊也が即座に応じ、細井家での開催が決定してしまった。")</f>
        <v>  残念な夫。で検索!オリジナル画像多数公開中!　#残念な夫    ★YouTubeにて、オリジナル動画「温水洋一、謝ります」公開中!　榛野陽一(玉木宏)は、須藤俊也(黒木啓司)の妻、由衣(高橋メアリージュン)との写真を知里(倉科カナ)に見られてしまう。陽一は由衣がサークルの後輩で、一時期交際していたことを素直に告白。知里は、今は何もないと正直に語る陽一を信じるものの、ママ友の由衣とどう向き合うか悩まなくてはいけないのは陽一のせいだと言う。  　細井茂(岸谷五朗)の家では、美和子(大塚寧々)と美香(生田絵梨花)の対立が深刻化。そんな中、美香をピアノに真剣に向き合わせたきっかけが、陽一だったことが判明していた。  　出社した陽一は、由衣の件を茂に伝え、須藤家新居の設計担当から外して欲しいと頼んで了承された。さらに、陽一の営業推進部兼任が決定。早速、デスクを移す陽一の指導係として大石かおり(笛木優子)が待っていた。そんな時、陽一は美香に呼び出され、美和子を説得して欲しいと頼まれてしまう。  　一方知里は美和子から、陽一が美香の進路に口出ししたと知らされ、陽一に余計なことをしないようにさせると約束。そして、知里は陽一と由衣の件を相談する。  　陽一と茂は俊也と打ち合わせの際に陽一の設計担当替えを切り出すが、俊也は即座に断る。サウナ仲間、パパ友として昔のことなど気にしないと寛大さを見せる俊也。ホッとした陽一は、3家族そろって鍋パーティーをしようと口走る。すると俊也が即座に応じ、細井家での開催が決定してしまった。</v>
      </c>
      <c r="O638" s="2"/>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row>
    <row r="639" ht="204.75" customHeight="1">
      <c r="A639" s="1">
        <v>2330.0</v>
      </c>
      <c r="B639" s="2" t="s">
        <v>2030</v>
      </c>
      <c r="C639" s="2">
        <f>IFERROR(__xludf.DUMMYFUNCTION("split(B639,""_"")"),1501.0)</f>
        <v>1501</v>
      </c>
      <c r="D639" s="2" t="str">
        <f>IFERROR(__xludf.DUMMYFUNCTION("""COMPUTED_VALUE"""),"CX")</f>
        <v>CX</v>
      </c>
      <c r="E639" s="2" t="str">
        <f>IFERROR(__xludf.DUMMYFUNCTION("""COMPUTED_VALUE"""),"水22")</f>
        <v>水22</v>
      </c>
      <c r="F639" s="2" t="s">
        <v>2031</v>
      </c>
      <c r="G639" s="2" t="s">
        <v>2050</v>
      </c>
      <c r="H639" s="1">
        <v>7.0</v>
      </c>
      <c r="I639" s="1" t="s">
        <v>25</v>
      </c>
      <c r="J639" s="1" t="s">
        <v>86</v>
      </c>
      <c r="K639" s="2" t="s">
        <v>2051</v>
      </c>
      <c r="L639" s="2" t="s">
        <v>2052</v>
      </c>
      <c r="M639" s="2" t="str">
        <f>IFERROR(__xludf.DUMMYFUNCTION("split(split(K639,""榛野陽一(34)"",false),""稼働中!"",false)"),"★YouTubeにて、かわいい赤ちゃん動画「今週の華ちゃん」公開中!    ★フジテレビHP内で、ドラマ公式ページ公開中!  オリジナルコンテンツもチェック!    ★公式twitter")</f>
        <v>★YouTubeにて、かわいい赤ちゃん動画「今週の華ちゃん」公開中!    ★フジテレビHP内で、ドラマ公式ページ公開中!  オリジナルコンテンツもチェック!    ★公式twitter</v>
      </c>
      <c r="N639" s="2" t="str">
        <f>IFERROR(__xludf.DUMMYFUNCTION("""COMPUTED_VALUE"""),"  残念な夫。で検索!オリジナル画像多数公開中!　#残念な夫    ★YouTubeにて、オリジナル動画「温水洋一、謝ります」公開中!　榛野陽一(玉木宏)宅に、知里(倉科カナ)が須藤由衣(高橋メアリージュン)、優斗(高村佳偉人)母子を連れて来て、由衣たちを泊めたいと言う。由衣が夫の俊也(黒木啓司)から時折、DV(家庭内暴力)を受けているという事情を知った陽一は承諾する。  　翌日、由衣母子は陽一たちに心配されながらも帰宅。出社した陽一は、昨夜の出来事を細井茂(岸谷五朗)に話す。理想の夫婦と思えた須藤家の問"&amp;"題に2人とも驚いていた。茂自身も妻の美和子(大塚寧々)と娘の美香(生田絵梨花)の衝突が解決していない。茂は、夫婦関係を良好にするためにも、もう1人子どもを作ったらどうかと陽一に勧める。  　茂の勧めを考えている陽一に、大石かおり(笛木優子)が知里とセックスレスになっているのではないのかとささやいた。かおりは自分の離婚原因がセックスレスだったと話す。離婚への発展を避けるため知里に接近するが良いタイミングがつかめない。　知里が陽一の意味深な行動を友人の桐島楓(西原亜希)に相談すると、求められていたのではないか"&amp;"と言われる。楓は産後セックスレス夫婦の危機を特集した雑誌を知里に見せた。そこに知里の元カレ、向井和之(田中圭)が現れる。話の流れを知った和之に、妻との関係がなくなったら自分なら浮気に走るかもしれないと言われ驚く知里。  　その頃、陽一はNBAの試合観戦をしようと、かおりからスポーツバーに誘われていた。")</f>
        <v>  残念な夫。で検索!オリジナル画像多数公開中!　#残念な夫    ★YouTubeにて、オリジナル動画「温水洋一、謝ります」公開中!　榛野陽一(玉木宏)宅に、知里(倉科カナ)が須藤由衣(高橋メアリージュン)、優斗(高村佳偉人)母子を連れて来て、由衣たちを泊めたいと言う。由衣が夫の俊也(黒木啓司)から時折、DV(家庭内暴力)を受けているという事情を知った陽一は承諾する。  　翌日、由衣母子は陽一たちに心配されながらも帰宅。出社した陽一は、昨夜の出来事を細井茂(岸谷五朗)に話す。理想の夫婦と思えた須藤家の問題に2人とも驚いていた。茂自身も妻の美和子(大塚寧々)と娘の美香(生田絵梨花)の衝突が解決していない。茂は、夫婦関係を良好にするためにも、もう1人子どもを作ったらどうかと陽一に勧める。  　茂の勧めを考えている陽一に、大石かおり(笛木優子)が知里とセックスレスになっているのではないのかとささやいた。かおりは自分の離婚原因がセックスレスだったと話す。離婚への発展を避けるため知里に接近するが良いタイミングがつかめない。　知里が陽一の意味深な行動を友人の桐島楓(西原亜希)に相談すると、求められていたのではないかと言われる。楓は産後セックスレス夫婦の危機を特集した雑誌を知里に見せた。そこに知里の元カレ、向井和之(田中圭)が現れる。話の流れを知った和之に、妻との関係がなくなったら自分なら浮気に走るかもしれないと言われ驚く知里。  　その頃、陽一はNBAの試合観戦をしようと、かおりからスポーツバーに誘われていた。</v>
      </c>
      <c r="O639" s="2"/>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row>
    <row r="640" ht="204.75" customHeight="1">
      <c r="A640" s="1">
        <v>2331.0</v>
      </c>
      <c r="B640" s="2" t="s">
        <v>2030</v>
      </c>
      <c r="C640" s="2">
        <f>IFERROR(__xludf.DUMMYFUNCTION("split(B640,""_"")"),1501.0)</f>
        <v>1501</v>
      </c>
      <c r="D640" s="2" t="str">
        <f>IFERROR(__xludf.DUMMYFUNCTION("""COMPUTED_VALUE"""),"CX")</f>
        <v>CX</v>
      </c>
      <c r="E640" s="2" t="str">
        <f>IFERROR(__xludf.DUMMYFUNCTION("""COMPUTED_VALUE"""),"水22")</f>
        <v>水22</v>
      </c>
      <c r="F640" s="2" t="s">
        <v>2031</v>
      </c>
      <c r="G640" s="2" t="s">
        <v>2053</v>
      </c>
      <c r="H640" s="1">
        <v>8.0</v>
      </c>
      <c r="I640" s="1" t="s">
        <v>29</v>
      </c>
      <c r="J640" s="1" t="s">
        <v>86</v>
      </c>
      <c r="K640" s="2" t="s">
        <v>2054</v>
      </c>
      <c r="L640" s="2" t="s">
        <v>2055</v>
      </c>
      <c r="M640" s="2" t="str">
        <f>IFERROR(__xludf.DUMMYFUNCTION("split(split(K640,""榛野陽一(34)"",false),""稼働中!"",false)"),"★YouTubeにて、かわいい赤ちゃん動画「今週の華ちゃん」公開中!!    ★フジテレビHP内で、ドラマ公式ページ公開中!  オリジナルコンテンツもチェック!    ★公式twitter")</f>
        <v>★YouTubeにて、かわいい赤ちゃん動画「今週の華ちゃん」公開中!!    ★フジテレビHP内で、ドラマ公式ページ公開中!  オリジナルコンテンツもチェック!    ★公式twitter</v>
      </c>
      <c r="N640" s="2" t="str">
        <f>IFERROR(__xludf.DUMMYFUNCTION("""COMPUTED_VALUE"""),"  残念な夫。で検索!オリジナル画像多数公開中!　#残念な夫    ★YouTubeにて、オリジナル動画「温水洋一、謝ります」公開中!　榛野陽一(玉木宏)は、大石かおり(笛木優子)とホテルで一晩過ごして朝帰り。酔っていたためホテルで何があったか覚えていない陽一は、怪しむ知里(倉科カナ)に苦しい言い訳をするも雰囲気に耐えられず、すぐに出社する。  　会社に着いても、陽一はソワソワ。なぜなら、会社にはかおりがいるのだ。細井茂(岸谷五朗)から声をかけられ、陽一は簡単に昨晩の出来事を話す。すると茂は、浮気は墓場ま"&amp;"で持って行くつもりで妻に隠せとアドバイス。  　その頃、陽一の朝帰りに疑いを持つ知里は、美和子(大塚寧々)に相談。美和子は、陽一が浮気をするような男ではないと言い切り、安心できないなら陽一を観察してみるよう促す。美和子によると、浮気をしている男は携帯を気にし、口数が増え、急に家族思いになるのだそうだ。  　退社時、かおりに待ち伏せされた陽一は昨夜のことを謝り、ホテルで何かあったかと尋ねる。すると、かおりは携帯電話で撮影した陽一の寝姿を見せ、私の宝物にすると意味深にほほ笑んだ。  　帰宅した陽一を知里が観察"&amp;"。陽一の口数は明らかに多くなり、急に華のひな祭りをやろうと言いだし、携帯電話を握りしめ、バスルームへ…。知里は陽一が何かを隠していると確信する。  　ひな祭りの日、陽一はかおりから最後の思い出にしたいので、今夜デートして欲しいとのメールを受信。浮気が清算出来ると思った陽一は、誘いを受けてしまい・・・。")</f>
        <v>  残念な夫。で検索!オリジナル画像多数公開中!　#残念な夫    ★YouTubeにて、オリジナル動画「温水洋一、謝ります」公開中!　榛野陽一(玉木宏)は、大石かおり(笛木優子)とホテルで一晩過ごして朝帰り。酔っていたためホテルで何があったか覚えていない陽一は、怪しむ知里(倉科カナ)に苦しい言い訳をするも雰囲気に耐えられず、すぐに出社する。  　会社に着いても、陽一はソワソワ。なぜなら、会社にはかおりがいるのだ。細井茂(岸谷五朗)から声をかけられ、陽一は簡単に昨晩の出来事を話す。すると茂は、浮気は墓場まで持って行くつもりで妻に隠せとアドバイス。  　その頃、陽一の朝帰りに疑いを持つ知里は、美和子(大塚寧々)に相談。美和子は、陽一が浮気をするような男ではないと言い切り、安心できないなら陽一を観察してみるよう促す。美和子によると、浮気をしている男は携帯を気にし、口数が増え、急に家族思いになるのだそうだ。  　退社時、かおりに待ち伏せされた陽一は昨夜のことを謝り、ホテルで何かあったかと尋ねる。すると、かおりは携帯電話で撮影した陽一の寝姿を見せ、私の宝物にすると意味深にほほ笑んだ。  　帰宅した陽一を知里が観察。陽一の口数は明らかに多くなり、急に華のひな祭りをやろうと言いだし、携帯電話を握りしめ、バスルームへ…。知里は陽一が何かを隠していると確信する。  　ひな祭りの日、陽一はかおりから最後の思い出にしたいので、今夜デートして欲しいとのメールを受信。浮気が清算出来ると思った陽一は、誘いを受けてしまい・・・。</v>
      </c>
      <c r="O640" s="2"/>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row>
    <row r="641" ht="204.75" customHeight="1">
      <c r="A641" s="1">
        <v>2332.0</v>
      </c>
      <c r="B641" s="2" t="s">
        <v>2030</v>
      </c>
      <c r="C641" s="2">
        <f>IFERROR(__xludf.DUMMYFUNCTION("split(B641,""_"")"),1501.0)</f>
        <v>1501</v>
      </c>
      <c r="D641" s="2" t="str">
        <f>IFERROR(__xludf.DUMMYFUNCTION("""COMPUTED_VALUE"""),"CX")</f>
        <v>CX</v>
      </c>
      <c r="E641" s="2" t="str">
        <f>IFERROR(__xludf.DUMMYFUNCTION("""COMPUTED_VALUE"""),"水22")</f>
        <v>水22</v>
      </c>
      <c r="F641" s="2" t="s">
        <v>2031</v>
      </c>
      <c r="G641" s="2" t="s">
        <v>2056</v>
      </c>
      <c r="H641" s="1">
        <v>9.0</v>
      </c>
      <c r="I641" s="1" t="s">
        <v>33</v>
      </c>
      <c r="J641" s="1" t="s">
        <v>86</v>
      </c>
      <c r="K641" s="2" t="s">
        <v>2057</v>
      </c>
      <c r="L641" s="2" t="s">
        <v>2058</v>
      </c>
      <c r="M641" s="2" t="str">
        <f>IFERROR(__xludf.DUMMYFUNCTION("split(split(K641,""榛野陽一(34)"",false),""稼働中!"",false)"),"★前回の第8話をフジテレビ+7(プラスセブン)で無料配信中!    ★YouTubeにて、かわいい赤ちゃん動画「今週の華ちゃん」公開中!!    ★公式HPでオリジナル企画実施中!    ★公式twitter")</f>
        <v>★前回の第8話をフジテレビ+7(プラスセブン)で無料配信中!    ★YouTubeにて、かわいい赤ちゃん動画「今週の華ちゃん」公開中!!    ★公式HPでオリジナル企画実施中!    ★公式twitter</v>
      </c>
      <c r="N641" s="2" t="str">
        <f>IFERROR(__xludf.DUMMYFUNCTION("""COMPUTED_VALUE"""),"  残念な夫。で検索!オリジナル画像多数公開中!　#残念な夫    ★YouTubeにて、オリジナル動画「温水洋一、謝ります」公開中!　榛野陽一(玉木宏)は知里(倉科カナ)に会うため、彼女の実家がある新潟へ。知里は、父親の牧田仁輔(石倉三郎)に伴われて現れた。離婚の真偽を尋ねる陽一に、知里は黙ってうなずく。信じられない陽一に、知里はもう話もしたくないと告げる。知里は陽一が結婚した時に“嘘つかない、隠し事しない、浮気しない""と交わした約束をすべて破ったと、取りつく島もなかった。  　数日後、陽一のもとに知"&amp;"里が申し立てた離婚調停の書類が届く。第三者が間に入ることで知里も冷静になるかもしれないという仁輔の計らいだが、陽一の衝撃は大きい。そんな陽一を細井茂(岸谷五朗)が心配する。  　同じ頃、須藤俊也(黒木啓司)は由衣(高橋メアリージュン)から誓約書を渡される。由衣は俊也が心療内科に通うことと、次に自分に暴力をふるったら即離婚という条件で、家族としてやり直そうとしていた。  　陽一、茂、俊也が久しぶりにサウナで顔を合わす。そこで俊也は3組に1組の夫婦が離婚するらしいと口にする。現在、一番離婚に近い距離にいるのは"&amp;"陽一だった。  　浮気を確かめたい陽一だが、大石かおり(笛木優子)にはハッキリと事実だと言われてしまう。部下の渡辺聡(末原拓馬)に陽一が貸した金も知里が浮気を疑う一因。ところが、浜中遼(林遣都)によると渡辺は姿をくらましていた。  　陽一が浮気の疑いを晴らす材料を見つけられないまま、知里との離婚調停が始まってしまう。")</f>
        <v>  残念な夫。で検索!オリジナル画像多数公開中!　#残念な夫    ★YouTubeにて、オリジナル動画「温水洋一、謝ります」公開中!　榛野陽一(玉木宏)は知里(倉科カナ)に会うため、彼女の実家がある新潟へ。知里は、父親の牧田仁輔(石倉三郎)に伴われて現れた。離婚の真偽を尋ねる陽一に、知里は黙ってうなずく。信じられない陽一に、知里はもう話もしたくないと告げる。知里は陽一が結婚した時に“嘘つかない、隠し事しない、浮気しない"と交わした約束をすべて破ったと、取りつく島もなかった。  　数日後、陽一のもとに知里が申し立てた離婚調停の書類が届く。第三者が間に入ることで知里も冷静になるかもしれないという仁輔の計らいだが、陽一の衝撃は大きい。そんな陽一を細井茂(岸谷五朗)が心配する。  　同じ頃、須藤俊也(黒木啓司)は由衣(高橋メアリージュン)から誓約書を渡される。由衣は俊也が心療内科に通うことと、次に自分に暴力をふるったら即離婚という条件で、家族としてやり直そうとしていた。  　陽一、茂、俊也が久しぶりにサウナで顔を合わす。そこで俊也は3組に1組の夫婦が離婚するらしいと口にする。現在、一番離婚に近い距離にいるのは陽一だった。  　浮気を確かめたい陽一だが、大石かおり(笛木優子)にはハッキリと事実だと言われてしまう。部下の渡辺聡(末原拓馬)に陽一が貸した金も知里が浮気を疑う一因。ところが、浜中遼(林遣都)によると渡辺は姿をくらましていた。  　陽一が浮気の疑いを晴らす材料を見つけられないまま、知里との離婚調停が始まってしまう。</v>
      </c>
      <c r="O641" s="2"/>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row>
    <row r="642" ht="204.75" customHeight="1">
      <c r="A642" s="1">
        <v>2333.0</v>
      </c>
      <c r="B642" s="2" t="s">
        <v>2030</v>
      </c>
      <c r="C642" s="2">
        <f>IFERROR(__xludf.DUMMYFUNCTION("split(B642,""_"")"),1501.0)</f>
        <v>1501</v>
      </c>
      <c r="D642" s="2" t="str">
        <f>IFERROR(__xludf.DUMMYFUNCTION("""COMPUTED_VALUE"""),"CX")</f>
        <v>CX</v>
      </c>
      <c r="E642" s="2" t="str">
        <f>IFERROR(__xludf.DUMMYFUNCTION("""COMPUTED_VALUE"""),"水22")</f>
        <v>水22</v>
      </c>
      <c r="F642" s="2" t="s">
        <v>2031</v>
      </c>
      <c r="G642" s="2" t="s">
        <v>2059</v>
      </c>
      <c r="H642" s="1">
        <v>10.0</v>
      </c>
      <c r="I642" s="1" t="s">
        <v>37</v>
      </c>
      <c r="J642" s="1" t="s">
        <v>86</v>
      </c>
      <c r="K642" s="2" t="s">
        <v>2060</v>
      </c>
      <c r="L642" s="2" t="s">
        <v>2061</v>
      </c>
      <c r="M642" s="2" t="str">
        <f>IFERROR(__xludf.DUMMYFUNCTION("split(split(K642,""榛野陽一(34)"",false),""稼働中!"",false)"),"★前回の第9話をフジテレビ+7(プラスセブン)で無料配信中!    ★YouTubeにて、かわいい赤ちゃん動画「今週の華ちゃん」公開中!!    ★公式HPでオリジナル企画実施中!    ★公式Twitter")</f>
        <v>★前回の第9話をフジテレビ+7(プラスセブン)で無料配信中!    ★YouTubeにて、かわいい赤ちゃん動画「今週の華ちゃん」公開中!!    ★公式HPでオリジナル企画実施中!    ★公式Twitter</v>
      </c>
      <c r="N642" s="2" t="str">
        <f>IFERROR(__xludf.DUMMYFUNCTION("""COMPUTED_VALUE"""),"  残念な夫。で検索!オリジナル画像多数公開中!　#残念な夫    ★YouTubeにて、オリジナル動画「温水洋一、謝ります」公開中!　榛野陽一(玉木宏)は調停で、知里(倉科カナ)の要求を全て認め、離婚に同意した。最終的な離婚届の提出も、知里に任せることも承諾する。  　新潟の実家に戻った知里は、父の牧田仁輔(石倉三郎)、母の京子(角替和枝)に本当にこれでよかったのかと心配される。うなずく知里だが、離婚届を目の前に、まだどこか迷っていた。  　一方、陽一の家には、細井茂(岸谷五朗)と月島博(温水洋一)が訪"&amp;"ねて来た。自分の非を全て認め、離婚にも同意の上で、娘の華に恥じることのない父親になるという陽一の決意に、月島と茂は感心する。  　条件付きで須藤俊也(黒木啓司)に、やり直すことを認めた由衣(高橋メアリージュン)。しかし、俊也の方が離婚を求めていた。由衣は、心療内科のカウンセラーを訪ねる。  　知里との離婚の引き金となった陽一の浮気相手、大石かおり(笛木優子)がヘッドハンティングで会社を辞めるという。陽一があいさつに行くと、かおりは知里と会ったと意外なことを話し出した。必死に家族を守ろうとする知里の姿を見て"&amp;"、陽一をあきらめることにしたと言うかおり。  　細井家では、美香(生田絵梨花)のピアノコンクールが一週間後に迫っていた。美和子(大塚寧々)は知里に会うため新潟に向かう。やんわりと離婚を思いとどまらせようとする美和子だが、知里の陽一への幻滅は重かった。  　その頃、陽一は今までの自分を変えようと必死になっていて…。")</f>
        <v>  残念な夫。で検索!オリジナル画像多数公開中!　#残念な夫    ★YouTubeにて、オリジナル動画「温水洋一、謝ります」公開中!　榛野陽一(玉木宏)は調停で、知里(倉科カナ)の要求を全て認め、離婚に同意した。最終的な離婚届の提出も、知里に任せることも承諾する。  　新潟の実家に戻った知里は、父の牧田仁輔(石倉三郎)、母の京子(角替和枝)に本当にこれでよかったのかと心配される。うなずく知里だが、離婚届を目の前に、まだどこか迷っていた。  　一方、陽一の家には、細井茂(岸谷五朗)と月島博(温水洋一)が訪ねて来た。自分の非を全て認め、離婚にも同意の上で、娘の華に恥じることのない父親になるという陽一の決意に、月島と茂は感心する。  　条件付きで須藤俊也(黒木啓司)に、やり直すことを認めた由衣(高橋メアリージュン)。しかし、俊也の方が離婚を求めていた。由衣は、心療内科のカウンセラーを訪ねる。  　知里との離婚の引き金となった陽一の浮気相手、大石かおり(笛木優子)がヘッドハンティングで会社を辞めるという。陽一があいさつに行くと、かおりは知里と会ったと意外なことを話し出した。必死に家族を守ろうとする知里の姿を見て、陽一をあきらめることにしたと言うかおり。  　細井家では、美香(生田絵梨花)のピアノコンクールが一週間後に迫っていた。美和子(大塚寧々)は知里に会うため新潟に向かう。やんわりと離婚を思いとどまらせようとする美和子だが、知里の陽一への幻滅は重かった。  　その頃、陽一は今までの自分を変えようと必死になっていて…。</v>
      </c>
      <c r="O642" s="2"/>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row>
    <row r="643" ht="204.75" customHeight="1">
      <c r="A643" s="1">
        <v>2353.0</v>
      </c>
      <c r="B643" s="2" t="s">
        <v>2062</v>
      </c>
      <c r="C643" s="2">
        <f>IFERROR(__xludf.DUMMYFUNCTION("split(B643,""_"")"),1501.0)</f>
        <v>1501</v>
      </c>
      <c r="D643" s="2" t="str">
        <f>IFERROR(__xludf.DUMMYFUNCTION("""COMPUTED_VALUE"""),"CX")</f>
        <v>CX</v>
      </c>
      <c r="E643" s="2" t="str">
        <f>IFERROR(__xludf.DUMMYFUNCTION("""COMPUTED_VALUE"""),"木22")</f>
        <v>木22</v>
      </c>
      <c r="F643" s="2" t="s">
        <v>2063</v>
      </c>
      <c r="G643" s="2" t="s">
        <v>2064</v>
      </c>
      <c r="H643" s="1">
        <v>1.0</v>
      </c>
      <c r="I643" s="1" t="s">
        <v>3</v>
      </c>
      <c r="J643" s="1" t="s">
        <v>82</v>
      </c>
      <c r="K643" s="4" t="s">
        <v>2065</v>
      </c>
      <c r="L643" s="2" t="s">
        <v>2066</v>
      </c>
      <c r="M643" s="9" t="str">
        <f>IFERROR(__xludf.DUMMYFUNCTION("split(split(K643,""真木よう子　"",false),""html"",false)"),"http://www.fujitv.co.jp/mondainoaru_restaurant/index.")</f>
        <v>http://www.fujitv.co.jp/mondainoaru_restaurant/index.</v>
      </c>
      <c r="N643" s="2" t="str">
        <f>IFERROR(__xludf.DUMMYFUNCTION("""COMPUTED_VALUE"""),"　田中たま子(真木よう子)は、真面目で働くことが大好きな独身女性。小さな仕出し会社に勤めていたたま子は、その会社がカリスマ社長・雨木太郎(杉本哲太)率いる大手飲食会社『ライクダイニングサービス』に吸収合併されたのを機に、全国展開を見据えた新規店舗のプロジェクトに参加することになった。だが『ライクダイニングサービス』は極端なほど男性偏重で、手柄はすべて男たちのもの。おまけにセクハラ、パワハラが日常的に横行していた。それでもたま子は、物件や料理人探しに奔走し、やがて優れた腕を持つシェフ・門司誠人(東出昌大)と"&amp;"出会う。  　そんな折、たま子は高校時代の友人でもある同僚・藤村五月(菊池亜希子)が、屈辱的ともいえるひどいセクハラを受けた上に異動させられたことを知り、ある復讐を決行する。職を失ったたま子は、元同僚でプライドばかり高い東大卒の新田結実(二階堂ふみ)、家出中のフリーターで人間嫌いの雨木千佳(松岡茉優)、高校時代の同級生で子どもを連れて家を出た専業主婦・森村鏡子(臼田あさ美)、前の会社の同僚だが謎の多い烏森奈々美(YOU)、女装好きのゲイという理由で仕事を得られなかった一流パティシエの几ハイジ(安田顕)に声"&amp;"をかける。  　『ライクダイニングサービス』が門司をシェフに起用し、表参道にオープンさせるビストロ『シンフォニック表参道』のすぐそばにあるビルの屋上で、一緒にビストロを始めようと…。")</f>
        <v>　田中たま子(真木よう子)は、真面目で働くことが大好きな独身女性。小さな仕出し会社に勤めていたたま子は、その会社がカリスマ社長・雨木太郎(杉本哲太)率いる大手飲食会社『ライクダイニングサービス』に吸収合併されたのを機に、全国展開を見据えた新規店舗のプロジェクトに参加することになった。だが『ライクダイニングサービス』は極端なほど男性偏重で、手柄はすべて男たちのもの。おまけにセクハラ、パワハラが日常的に横行していた。それでもたま子は、物件や料理人探しに奔走し、やがて優れた腕を持つシェフ・門司誠人(東出昌大)と出会う。  　そんな折、たま子は高校時代の友人でもある同僚・藤村五月(菊池亜希子)が、屈辱的ともいえるひどいセクハラを受けた上に異動させられたことを知り、ある復讐を決行する。職を失ったたま子は、元同僚でプライドばかり高い東大卒の新田結実(二階堂ふみ)、家出中のフリーターで人間嫌いの雨木千佳(松岡茉優)、高校時代の同級生で子どもを連れて家を出た専業主婦・森村鏡子(臼田あさ美)、前の会社の同僚だが謎の多い烏森奈々美(YOU)、女装好きのゲイという理由で仕事を得られなかった一流パティシエの几ハイジ(安田顕)に声をかける。  　『ライクダイニングサービス』が門司をシェフに起用し、表参道にオープンさせるビストロ『シンフォニック表参道』のすぐそばにあるビルの屋上で、一緒にビストロを始めようと…。</v>
      </c>
      <c r="O643" s="2"/>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row>
    <row r="644" ht="204.75" customHeight="1">
      <c r="A644" s="1">
        <v>2354.0</v>
      </c>
      <c r="B644" s="2" t="s">
        <v>2062</v>
      </c>
      <c r="C644" s="2">
        <f>IFERROR(__xludf.DUMMYFUNCTION("split(B644,""_"")"),1501.0)</f>
        <v>1501</v>
      </c>
      <c r="D644" s="2" t="str">
        <f>IFERROR(__xludf.DUMMYFUNCTION("""COMPUTED_VALUE"""),"CX")</f>
        <v>CX</v>
      </c>
      <c r="E644" s="2" t="str">
        <f>IFERROR(__xludf.DUMMYFUNCTION("""COMPUTED_VALUE"""),"木22")</f>
        <v>木22</v>
      </c>
      <c r="F644" s="2" t="s">
        <v>2063</v>
      </c>
      <c r="G644" s="2" t="s">
        <v>2067</v>
      </c>
      <c r="H644" s="1">
        <v>2.0</v>
      </c>
      <c r="I644" s="1" t="s">
        <v>7</v>
      </c>
      <c r="J644" s="1" t="s">
        <v>86</v>
      </c>
      <c r="K644" s="2" t="s">
        <v>2068</v>
      </c>
      <c r="L644" s="2" t="s">
        <v>2069</v>
      </c>
      <c r="M644" s="9" t="str">
        <f>IFERROR(__xludf.DUMMYFUNCTION("split(split(K644,""真木よう子　"",false),""html"",false)"),"http://www.fujitv.co.jp/mondainoaru_restaurant/index.")</f>
        <v>http://www.fujitv.co.jp/mondainoaru_restaurant/index.</v>
      </c>
      <c r="N644" s="2" t="str">
        <f>IFERROR(__xludf.DUMMYFUNCTION("""COMPUTED_VALUE"""),"　たま子(真木よう子)は、ビストロをオープンさせるべく、表参道にある『獅子丸ビル』屋上の格安ペントハウスを借りた。たま子は、パティシエのハイジ(安田顕)、シェフの千佳(松岡茉優)と店の階下で共同生活を送りながら、経費節減のため、可能な限り自分たちの力で準備を進めようとしていた。だが、千佳だけは何も手伝わずに、ひたすら漫画を読んでいた。  　同じころ、息子の洋武(庵原匠悟)を連れてファミレスを訪れた離婚調停中の専業主婦・鏡子(臼田あさ美)は、そこで奈々美(YOU)と出会う。奈々美は、東大卒の結実(二階堂ふみ"&amp;")はともかく、鏡子はたま子の店に参加すると思った、と告げた。すると鏡子は、一度も働いたことがなければ料理もできない自分は不良品だと言い出し…。  　たま子たちが、資材を搬入していると、それに気づいた門司(東出昌大)や藍里(高畑充希)、土田(吹越満)ら、ライクダイニングサービス社の面々が近づいてきた。たま子たちが、門司がシェフを務める新店舗『シンフォニック表参道』のすぐそばでビストロをオープンさせることを知った土田たちは、口では応援しているなどと言いながらも完全にバカにしていた。  　そんな折、鏡子は、夫の"&amp;"森村真三(丸山智己)から、洋武の親権と養育権はこちらが持つ、と一方的に告げられてしまい…。")</f>
        <v>　たま子(真木よう子)は、ビストロをオープンさせるべく、表参道にある『獅子丸ビル』屋上の格安ペントハウスを借りた。たま子は、パティシエのハイジ(安田顕)、シェフの千佳(松岡茉優)と店の階下で共同生活を送りながら、経費節減のため、可能な限り自分たちの力で準備を進めようとしていた。だが、千佳だけは何も手伝わずに、ひたすら漫画を読んでいた。  　同じころ、息子の洋武(庵原匠悟)を連れてファミレスを訪れた離婚調停中の専業主婦・鏡子(臼田あさ美)は、そこで奈々美(YOU)と出会う。奈々美は、東大卒の結実(二階堂ふみ)はともかく、鏡子はたま子の店に参加すると思った、と告げた。すると鏡子は、一度も働いたことがなければ料理もできない自分は不良品だと言い出し…。  　たま子たちが、資材を搬入していると、それに気づいた門司(東出昌大)や藍里(高畑充希)、土田(吹越満)ら、ライクダイニングサービス社の面々が近づいてきた。たま子たちが、門司がシェフを務める新店舗『シンフォニック表参道』のすぐそばでビストロをオープンさせることを知った土田たちは、口では応援しているなどと言いながらも完全にバカにしていた。  　そんな折、鏡子は、夫の森村真三(丸山智己)から、洋武の親権と養育権はこちらが持つ、と一方的に告げられてしまい…。</v>
      </c>
      <c r="O644" s="2"/>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row>
    <row r="645" ht="204.75" customHeight="1">
      <c r="A645" s="1">
        <v>2355.0</v>
      </c>
      <c r="B645" s="2" t="s">
        <v>2062</v>
      </c>
      <c r="C645" s="2">
        <f>IFERROR(__xludf.DUMMYFUNCTION("split(B645,""_"")"),1501.0)</f>
        <v>1501</v>
      </c>
      <c r="D645" s="2" t="str">
        <f>IFERROR(__xludf.DUMMYFUNCTION("""COMPUTED_VALUE"""),"CX")</f>
        <v>CX</v>
      </c>
      <c r="E645" s="2" t="str">
        <f>IFERROR(__xludf.DUMMYFUNCTION("""COMPUTED_VALUE"""),"木22")</f>
        <v>木22</v>
      </c>
      <c r="F645" s="2" t="s">
        <v>2063</v>
      </c>
      <c r="G645" s="2" t="s">
        <v>2070</v>
      </c>
      <c r="H645" s="1">
        <v>3.0</v>
      </c>
      <c r="I645" s="1" t="s">
        <v>10</v>
      </c>
      <c r="J645" s="1" t="s">
        <v>86</v>
      </c>
      <c r="K645" s="2" t="s">
        <v>2071</v>
      </c>
      <c r="L645" s="2" t="s">
        <v>2072</v>
      </c>
      <c r="M645" s="9" t="str">
        <f>IFERROR(__xludf.DUMMYFUNCTION("split(split(K645,""真木よう子　"",false),""html"",false)"),"http://www.fujitv.co.jp/mondainoaru_restaurant/index.")</f>
        <v>http://www.fujitv.co.jp/mondainoaru_restaurant/index.</v>
      </c>
      <c r="N645" s="2" t="str">
        <f>IFERROR(__xludf.DUMMYFUNCTION("""COMPUTED_VALUE"""),"　たま子(真木よう子)たちは、『ビストロ　フー』のオープンに向けて準備を続けていた。ところがその矢先、シェフを務める千佳(松岡茉優)が、荷物をまとめてたま子たちのもとから出ていこうとする。理由を問われ、料理をするのが嫌だ、面倒くさい、と答える千佳。たま子は、出ていくにしてもひと晩考えてからにしてはどうか、と提案し、千佳のために用意したコックコートを手渡した。千佳の料理の腕は宝物だから、出ていくにしてもコックコートを持っていってほしいーーたま子は、そう千佳に告げる。  　あくる日、たま子が千佳の部屋を訪れる"&amp;"と、そこに彼女の姿はなかった。たま子は、遅れてやってきた結実(二階堂ふみ)やハイジ(安田顕)たちに、千佳が戻ってきたいと思える店にしよう、と言ってほほ笑んだ。  　別の日、たま子は、結実、鏡子(臼田あさ美)、ハイジとともに、魚の卸売市場を訪れる。が、その際に立ち寄った回転寿司店で、門司(東出昌大)や藍里(高畑充希)らライバル店『シンフォニック表参道』のスタッフと鉢合わせしてしまう。たま子を店の外に連れ出した門司は、『ビストロ　フー』が『シンフォニック表参道』と同じレシピのフォンを使うことに触れ、同じレシピ"&amp;"で勝てると思っているのか、と言い放つ。そもそも門司は、たま子の同級生が作ったフォンなど使いたくなかったのだという。そんな門司に、たま子は「勝ちます」と宣言し…。")</f>
        <v>　たま子(真木よう子)たちは、『ビストロ　フー』のオープンに向けて準備を続けていた。ところがその矢先、シェフを務める千佳(松岡茉優)が、荷物をまとめてたま子たちのもとから出ていこうとする。理由を問われ、料理をするのが嫌だ、面倒くさい、と答える千佳。たま子は、出ていくにしてもひと晩考えてからにしてはどうか、と提案し、千佳のために用意したコックコートを手渡した。千佳の料理の腕は宝物だから、出ていくにしてもコックコートを持っていってほしいーーたま子は、そう千佳に告げる。  　あくる日、たま子が千佳の部屋を訪れると、そこに彼女の姿はなかった。たま子は、遅れてやってきた結実(二階堂ふみ)やハイジ(安田顕)たちに、千佳が戻ってきたいと思える店にしよう、と言ってほほ笑んだ。  　別の日、たま子は、結実、鏡子(臼田あさ美)、ハイジとともに、魚の卸売市場を訪れる。が、その際に立ち寄った回転寿司店で、門司(東出昌大)や藍里(高畑充希)らライバル店『シンフォニック表参道』のスタッフと鉢合わせしてしまう。たま子を店の外に連れ出した門司は、『ビストロ　フー』が『シンフォニック表参道』と同じレシピのフォンを使うことに触れ、同じレシピで勝てると思っているのか、と言い放つ。そもそも門司は、たま子の同級生が作ったフォンなど使いたくなかったのだという。そんな門司に、たま子は「勝ちます」と宣言し…。</v>
      </c>
      <c r="O645" s="2"/>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row>
    <row r="646" ht="204.75" customHeight="1">
      <c r="A646" s="1">
        <v>2356.0</v>
      </c>
      <c r="B646" s="2" t="s">
        <v>2062</v>
      </c>
      <c r="C646" s="2">
        <f>IFERROR(__xludf.DUMMYFUNCTION("split(B646,""_"")"),1501.0)</f>
        <v>1501</v>
      </c>
      <c r="D646" s="2" t="str">
        <f>IFERROR(__xludf.DUMMYFUNCTION("""COMPUTED_VALUE"""),"CX")</f>
        <v>CX</v>
      </c>
      <c r="E646" s="2" t="str">
        <f>IFERROR(__xludf.DUMMYFUNCTION("""COMPUTED_VALUE"""),"木22")</f>
        <v>木22</v>
      </c>
      <c r="F646" s="2" t="s">
        <v>2063</v>
      </c>
      <c r="G646" s="2" t="s">
        <v>2073</v>
      </c>
      <c r="H646" s="1">
        <v>4.0</v>
      </c>
      <c r="I646" s="1" t="s">
        <v>14</v>
      </c>
      <c r="J646" s="1" t="s">
        <v>86</v>
      </c>
      <c r="K646" s="2" t="s">
        <v>2074</v>
      </c>
      <c r="L646" s="2" t="s">
        <v>2075</v>
      </c>
      <c r="M646" s="9" t="str">
        <f>IFERROR(__xludf.DUMMYFUNCTION("split(split(K646,""真木よう子　"",false),""html"",false)"),"http://www.fujitv.co.jp/mondainoaru_restaurant/index.")</f>
        <v>http://www.fujitv.co.jp/mondainoaru_restaurant/index.</v>
      </c>
      <c r="N646" s="2" t="str">
        <f>IFERROR(__xludf.DUMMYFUNCTION("""COMPUTED_VALUE"""),"　たま子(真木よう子)たちの店『ビストロフー』はしばらくの間営業を停止する。採算を度外視して食材にこだわるシェフの千佳(松岡茉優)がハイジ(安田顕)と衝突し、メニューの見直しが進まないのだ。たま子は、シェフが作りたいものを作ってもらおうと提案してみんなを納得させ、試作に取り組む。  　再オープンの前日、たま子は、店で身につけるために用意した6色のスカーフをみんなに手渡す。それぞれが自分の好きな色を手にする中、いまも就職活動を続けていた結実(二階堂ふみ)も、最後に残った赤と緑から緑を選ぶ。  　ところが、運"&amp;"悪くオープンの日もその翌日も雨に見舞われ、3日目はとうとう雪が降ってしまう。たま子は、集客のために鏡子(臼田あさ美)たちとウェブサイトを作った。その際、結実は、古めかしいデザインをあざ笑い、ビラを配った方がましだと発言したため、本当にビラ配りをするはめに。するとそこに藍里(高畑充希)が現れ、結実を合コンに誘う。藍里とともにカラオケ店を訪れた結実は、そこで『シンフォニック表参道』の見習い料理人・星野(菅田将暉)と出会い…。  　同じころ、『ビストロフー』には、原宿ファッション界の著名人・伊達和美(銀粉蝶)が"&amp;"訪れていた。料理を気に入った和美は、金曜日に大切な友人の誕生会を開きたい、といって、『シンフォニック表参道』から『ビストロフー』に予約を変更する。それを知った門司(東出昌大)は…。")</f>
        <v>　たま子(真木よう子)たちの店『ビストロフー』はしばらくの間営業を停止する。採算を度外視して食材にこだわるシェフの千佳(松岡茉優)がハイジ(安田顕)と衝突し、メニューの見直しが進まないのだ。たま子は、シェフが作りたいものを作ってもらおうと提案してみんなを納得させ、試作に取り組む。  　再オープンの前日、たま子は、店で身につけるために用意した6色のスカーフをみんなに手渡す。それぞれが自分の好きな色を手にする中、いまも就職活動を続けていた結実(二階堂ふみ)も、最後に残った赤と緑から緑を選ぶ。  　ところが、運悪くオープンの日もその翌日も雨に見舞われ、3日目はとうとう雪が降ってしまう。たま子は、集客のために鏡子(臼田あさ美)たちとウェブサイトを作った。その際、結実は、古めかしいデザインをあざ笑い、ビラを配った方がましだと発言したため、本当にビラ配りをするはめに。するとそこに藍里(高畑充希)が現れ、結実を合コンに誘う。藍里とともにカラオケ店を訪れた結実は、そこで『シンフォニック表参道』の見習い料理人・星野(菅田将暉)と出会い…。  　同じころ、『ビストロフー』には、原宿ファッション界の著名人・伊達和美(銀粉蝶)が訪れていた。料理を気に入った和美は、金曜日に大切な友人の誕生会を開きたい、といって、『シンフォニック表参道』から『ビストロフー』に予約を変更する。それを知った門司(東出昌大)は…。</v>
      </c>
      <c r="O646" s="2"/>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row>
    <row r="647" ht="204.75" customHeight="1">
      <c r="A647" s="1">
        <v>2357.0</v>
      </c>
      <c r="B647" s="2" t="s">
        <v>2062</v>
      </c>
      <c r="C647" s="2">
        <f>IFERROR(__xludf.DUMMYFUNCTION("split(B647,""_"")"),1501.0)</f>
        <v>1501</v>
      </c>
      <c r="D647" s="2" t="str">
        <f>IFERROR(__xludf.DUMMYFUNCTION("""COMPUTED_VALUE"""),"CX")</f>
        <v>CX</v>
      </c>
      <c r="E647" s="2" t="str">
        <f>IFERROR(__xludf.DUMMYFUNCTION("""COMPUTED_VALUE"""),"木22")</f>
        <v>木22</v>
      </c>
      <c r="F647" s="2" t="s">
        <v>2063</v>
      </c>
      <c r="G647" s="2" t="s">
        <v>2076</v>
      </c>
      <c r="H647" s="1">
        <v>5.0</v>
      </c>
      <c r="I647" s="1" t="s">
        <v>17</v>
      </c>
      <c r="J647" s="1" t="s">
        <v>86</v>
      </c>
      <c r="K647" s="2" t="s">
        <v>2077</v>
      </c>
      <c r="L647" s="2" t="s">
        <v>2078</v>
      </c>
      <c r="M647" s="9" t="str">
        <f>IFERROR(__xludf.DUMMYFUNCTION("split(split(K647,""真木よう子　"",false),""html"",false)"),"http://www.fujitv.co.jp/mondainoaru_restaurant/index.")</f>
        <v>http://www.fujitv.co.jp/mondainoaru_restaurant/index.</v>
      </c>
      <c r="N647" s="2" t="str">
        <f>IFERROR(__xludf.DUMMYFUNCTION("""COMPUTED_VALUE"""),"　たま子(真木よう子)たちは、客のいない『ビストロフー』の店内でヒマを持て余していた。そこにやってきた奈々美(YOU)は、六本木ヒルズで結実(二階堂ふみ)を見かけたことをたま子たちに伝える。  　『フー』とは対照的に、ライバル店『シンフォニック表参道』には客の行列ができていた。門司(東出昌大)が新たに開発したポトフがテレビで紹介されたからだった。  　たま子たちは、店をより多くの人に知ってもらうためにどうすればいいか話し合う。そこでたま子は、街角でお弁当を売ろうと提案する。そこに突然、ライクダイニングサー"&amp;"ビス社長の雨木(杉本哲太)が、部下の土田(吹越満)を伴ってやってくる。雨木は、料理を注文すると、娘の千佳(松岡茉優)の話を聞きたい、といってたま子を自分たちの席に座らせた。すると雨木は、屈辱的な仕打ちを受けて会社を辞めたたま子の友人・五月のことを侮辱するような発言をした上、たま子に向かって愛人にならないかと言い出す。たま子は、そんな雨木に、五月の無念を晴らすためにこの店を始めたと告げ、ふたりを追い出すが…。  　一方、藍里(高畑充希)は、同僚の池辺(川口覚)のことで悩んでいた。藍里には何の覚えもないのに付"&amp;"き合っていると思い込んだ池辺の行動がどんどんエスカレートしていたのだ。  　そんな中、たま子たちはお弁当の販売を開始する。が、思うような成果を上げることができず…。")</f>
        <v>　たま子(真木よう子)たちは、客のいない『ビストロフー』の店内でヒマを持て余していた。そこにやってきた奈々美(YOU)は、六本木ヒルズで結実(二階堂ふみ)を見かけたことをたま子たちに伝える。  　『フー』とは対照的に、ライバル店『シンフォニック表参道』には客の行列ができていた。門司(東出昌大)が新たに開発したポトフがテレビで紹介されたからだった。  　たま子たちは、店をより多くの人に知ってもらうためにどうすればいいか話し合う。そこでたま子は、街角でお弁当を売ろうと提案する。そこに突然、ライクダイニングサービス社長の雨木(杉本哲太)が、部下の土田(吹越満)を伴ってやってくる。雨木は、料理を注文すると、娘の千佳(松岡茉優)の話を聞きたい、といってたま子を自分たちの席に座らせた。すると雨木は、屈辱的な仕打ちを受けて会社を辞めたたま子の友人・五月のことを侮辱するような発言をした上、たま子に向かって愛人にならないかと言い出す。たま子は、そんな雨木に、五月の無念を晴らすためにこの店を始めたと告げ、ふたりを追い出すが…。  　一方、藍里(高畑充希)は、同僚の池辺(川口覚)のことで悩んでいた。藍里には何の覚えもないのに付き合っていると思い込んだ池辺の行動がどんどんエスカレートしていたのだ。  　そんな中、たま子たちはお弁当の販売を開始する。が、思うような成果を上げることができず…。</v>
      </c>
      <c r="O647" s="2"/>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row>
    <row r="648" ht="204.75" customHeight="1">
      <c r="A648" s="1">
        <v>2358.0</v>
      </c>
      <c r="B648" s="2" t="s">
        <v>2062</v>
      </c>
      <c r="C648" s="2">
        <f>IFERROR(__xludf.DUMMYFUNCTION("split(B648,""_"")"),1501.0)</f>
        <v>1501</v>
      </c>
      <c r="D648" s="2" t="str">
        <f>IFERROR(__xludf.DUMMYFUNCTION("""COMPUTED_VALUE"""),"CX")</f>
        <v>CX</v>
      </c>
      <c r="E648" s="2" t="str">
        <f>IFERROR(__xludf.DUMMYFUNCTION("""COMPUTED_VALUE"""),"木22")</f>
        <v>木22</v>
      </c>
      <c r="F648" s="2" t="s">
        <v>2063</v>
      </c>
      <c r="G648" s="2" t="s">
        <v>2079</v>
      </c>
      <c r="H648" s="1">
        <v>6.0</v>
      </c>
      <c r="I648" s="1" t="s">
        <v>21</v>
      </c>
      <c r="J648" s="1" t="s">
        <v>86</v>
      </c>
      <c r="K648" s="2" t="s">
        <v>2080</v>
      </c>
      <c r="L648" s="2" t="s">
        <v>2081</v>
      </c>
      <c r="M648" s="9" t="str">
        <f>IFERROR(__xludf.DUMMYFUNCTION("split(split(K648,""真木よう子　"",false),""html"",false)"),"http://www.fujitv.co.jp/mondainoaru_restaurant/index.")</f>
        <v>http://www.fujitv.co.jp/mondainoaru_restaurant/index.</v>
      </c>
      <c r="N648" s="2" t="str">
        <f>IFERROR(__xludf.DUMMYFUNCTION("""COMPUTED_VALUE"""),"　たま子(真木よう子)に会うために『ビストロフー』にやってきた門司(東出昌大)は、持参したポトフを差し出し、「店を辞めて俺の嫁になれ」と告げる。たま子にポトフを食べるよう促した門司は、心のこもった温かい味がするかどうか尋ねた。門司は、料理に心がこもっていない、とたま子に言われたことをずっと気にしていたらしい。  　同じころ、結実(二階堂ふみ)は、星野(菅田将暉)とともに、とあるタワーマンションを訪れていた。ベンチャー企業の融資の相談に乗ってもらえると、星野から紹介されたのだ。だが、そこで結実が目にしたのは"&amp;"、水着姿やバニーガール姿で待機している女性たちだった。しかも星野は、部屋にいた米田(加藤慶祐)という男から10万円ほど受け取ると、結実を残して帰ってしまう。  　一方、千佳(松岡茉優)や鏡子(臼田あさ美)は、ハイジ(安田顕)がロビン(ジョナサン・シガー)という客に恋をしてしいることに気づく。ハイジは注文も受けていないのに愛情たっぷりのかわいいデザートをロビンのために作っていた。  　ある日、開店準備をしていたたま子は、通りであたりを見回していた結実の姿を見つけ、強引に店まで引っ張っていく。そんな結実を温か"&amp;"く迎え入れるハイジたち。するとそこへ、結実がタワーマンションで出会った米田たちが客として現れ…。")</f>
        <v>　たま子(真木よう子)に会うために『ビストロフー』にやってきた門司(東出昌大)は、持参したポトフを差し出し、「店を辞めて俺の嫁になれ」と告げる。たま子にポトフを食べるよう促した門司は、心のこもった温かい味がするかどうか尋ねた。門司は、料理に心がこもっていない、とたま子に言われたことをずっと気にしていたらしい。  　同じころ、結実(二階堂ふみ)は、星野(菅田将暉)とともに、とあるタワーマンションを訪れていた。ベンチャー企業の融資の相談に乗ってもらえると、星野から紹介されたのだ。だが、そこで結実が目にしたのは、水着姿やバニーガール姿で待機している女性たちだった。しかも星野は、部屋にいた米田(加藤慶祐)という男から10万円ほど受け取ると、結実を残して帰ってしまう。  　一方、千佳(松岡茉優)や鏡子(臼田あさ美)は、ハイジ(安田顕)がロビン(ジョナサン・シガー)という客に恋をしてしいることに気づく。ハイジは注文も受けていないのに愛情たっぷりのかわいいデザートをロビンのために作っていた。  　ある日、開店準備をしていたたま子は、通りであたりを見回していた結実の姿を見つけ、強引に店まで引っ張っていく。そんな結実を温かく迎え入れるハイジたち。するとそこへ、結実がタワーマンションで出会った米田たちが客として現れ…。</v>
      </c>
      <c r="O648" s="2"/>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row>
    <row r="649" ht="204.75" customHeight="1">
      <c r="A649" s="1">
        <v>2359.0</v>
      </c>
      <c r="B649" s="2" t="s">
        <v>2062</v>
      </c>
      <c r="C649" s="2">
        <f>IFERROR(__xludf.DUMMYFUNCTION("split(B649,""_"")"),1501.0)</f>
        <v>1501</v>
      </c>
      <c r="D649" s="2" t="str">
        <f>IFERROR(__xludf.DUMMYFUNCTION("""COMPUTED_VALUE"""),"CX")</f>
        <v>CX</v>
      </c>
      <c r="E649" s="2" t="str">
        <f>IFERROR(__xludf.DUMMYFUNCTION("""COMPUTED_VALUE"""),"木22")</f>
        <v>木22</v>
      </c>
      <c r="F649" s="2" t="s">
        <v>2063</v>
      </c>
      <c r="G649" s="2" t="s">
        <v>2082</v>
      </c>
      <c r="H649" s="1">
        <v>7.0</v>
      </c>
      <c r="I649" s="1" t="s">
        <v>25</v>
      </c>
      <c r="J649" s="1" t="s">
        <v>86</v>
      </c>
      <c r="K649" s="2" t="s">
        <v>2083</v>
      </c>
      <c r="L649" s="2" t="s">
        <v>2084</v>
      </c>
      <c r="M649" s="9" t="str">
        <f>IFERROR(__xludf.DUMMYFUNCTION("split(split(K649,""真木よう子　"",false),""html"",false)"),"http://www.fujitv.co.jp/mondainoaru_restaurant/index.")</f>
        <v>http://www.fujitv.co.jp/mondainoaru_restaurant/index.</v>
      </c>
      <c r="N649" s="2" t="str">
        <f>IFERROR(__xludf.DUMMYFUNCTION("""COMPUTED_VALUE"""),"　たま子(真木よう子)や結実(二階堂ふみ)、千佳(松岡茉優)らが共同生活を送っている部屋に、いきなり藍里(高畑充希)が引っ越してきた。藍里は、寝起きでぼうぜんとしているたま子たちなどお構いなしに大声で自己紹介をすると、引っ越し業者とともに荷物を運び込む。  　藍里は、仕事中も一方的にしゃべり続けていたが、誰よりもよく動き、客ともすぐに打ち解けた。それを見たたま子やハイジ(安田顕)は、藍里は『ビストロフー』の戦力になると認める。1週間連続で黒字を記録するなど着実に客を増やしてきたたま子たちは、このチャンスを"&amp;"ものにしようと動画サイトにレシピも公開する。  　フーとは対照的に、『シンフォニック表参道』は客足が落ちていた。本社から新しいメニューを押し付けられた門司(東出昌大)は不満を隠せない。  　ある日、ランチタイムを終えた千佳は、母親の奏子(堀内敬子)と再会する。奏子は、宇宙ロケットの開発をしているという恋人の寺川草輔(菅原大吉)と一緒だった。寺川の仕事の都合で北海道に引っ越すことになった奏子は、一緒に暮そう、と千佳に持ちかけるが…。  　そんな折、たま子たちは、限定販売されているまぼろしのベーコンに目をつけ"&amp;"る。その生産者を訪ねて、とある牧場を訪れたたま子らは、そこで門司たちと遭遇。ベーコンの契約をめぐって、どちらがおいしい料理を作れるか対決することになってしまう。")</f>
        <v>　たま子(真木よう子)や結実(二階堂ふみ)、千佳(松岡茉優)らが共同生活を送っている部屋に、いきなり藍里(高畑充希)が引っ越してきた。藍里は、寝起きでぼうぜんとしているたま子たちなどお構いなしに大声で自己紹介をすると、引っ越し業者とともに荷物を運び込む。  　藍里は、仕事中も一方的にしゃべり続けていたが、誰よりもよく動き、客ともすぐに打ち解けた。それを見たたま子やハイジ(安田顕)は、藍里は『ビストロフー』の戦力になると認める。1週間連続で黒字を記録するなど着実に客を増やしてきたたま子たちは、このチャンスをものにしようと動画サイトにレシピも公開する。  　フーとは対照的に、『シンフォニック表参道』は客足が落ちていた。本社から新しいメニューを押し付けられた門司(東出昌大)は不満を隠せない。  　ある日、ランチタイムを終えた千佳は、母親の奏子(堀内敬子)と再会する。奏子は、宇宙ロケットの開発をしているという恋人の寺川草輔(菅原大吉)と一緒だった。寺川の仕事の都合で北海道に引っ越すことになった奏子は、一緒に暮そう、と千佳に持ちかけるが…。  　そんな折、たま子たちは、限定販売されているまぼろしのベーコンに目をつける。その生産者を訪ねて、とある牧場を訪れたたま子らは、そこで門司たちと遭遇。ベーコンの契約をめぐって、どちらがおいしい料理を作れるか対決することになってしまう。</v>
      </c>
      <c r="O649" s="2"/>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row>
    <row r="650" ht="204.75" customHeight="1">
      <c r="A650" s="1">
        <v>2360.0</v>
      </c>
      <c r="B650" s="2" t="s">
        <v>2062</v>
      </c>
      <c r="C650" s="2">
        <f>IFERROR(__xludf.DUMMYFUNCTION("split(B650,""_"")"),1501.0)</f>
        <v>1501</v>
      </c>
      <c r="D650" s="2" t="str">
        <f>IFERROR(__xludf.DUMMYFUNCTION("""COMPUTED_VALUE"""),"CX")</f>
        <v>CX</v>
      </c>
      <c r="E650" s="2" t="str">
        <f>IFERROR(__xludf.DUMMYFUNCTION("""COMPUTED_VALUE"""),"木22")</f>
        <v>木22</v>
      </c>
      <c r="F650" s="2" t="s">
        <v>2063</v>
      </c>
      <c r="G650" s="2" t="s">
        <v>2085</v>
      </c>
      <c r="H650" s="1">
        <v>8.0</v>
      </c>
      <c r="I650" s="1" t="s">
        <v>29</v>
      </c>
      <c r="J650" s="1" t="s">
        <v>86</v>
      </c>
      <c r="K650" s="2" t="s">
        <v>2086</v>
      </c>
      <c r="L650" s="2" t="s">
        <v>2087</v>
      </c>
      <c r="M650" s="9" t="str">
        <f>IFERROR(__xludf.DUMMYFUNCTION("split(split(K650,""真木よう子　"",false),""html"",false)"),"http://www.fujitv.co.jp/mondainoaru_restaurant/index.")</f>
        <v>http://www.fujitv.co.jp/mondainoaru_restaurant/index.</v>
      </c>
      <c r="N650" s="2" t="str">
        <f>IFERROR(__xludf.DUMMYFUNCTION("""COMPUTED_VALUE"""),"　たま子(真木よう子)たちの店『ビストロ　フー』に、五月(菊池亜希子)がやってきた。五月は、恋人の高村新(風間俊介)と一緒だった。雨木(杉本哲太)による屈辱的なパワハラのせいで会社を辞め、福井の実家に戻っていた五月は、東京の旅行代理店に勤務し、北陸新幹線の開業に合わせたツアーの視察できていた高村と知り合ったのだという。高村は五月にプロポーズしていたが、五月はまだ返事をしていないらしい。  　同じころハイジ(安田顕)を訪ねて、彼の弟・恭平(矢野聖人)がやってくる。間もなく結婚する予定の恭平は、親戚から疎まれ"&amp;"ていることもあって欠席のはがきを出していたハイジを、どうしても結婚式に出席させたいという。式に出ないなら二次会を『フー』でやる、とまで言う恭平の思いを受け止めたハイジは、弟のために最高のウエディングケーキを作ってあげたい、と言って、結実(二階堂ふみ)や千佳(松岡茉優)たちに頭を下げる。　一方、門司(東出昌大)がシェフを務める『シンフォニック表参道』では土田(吹越満)が担当から外されていた。『フー』に負けたことを認め、料理への取り組み方を見直した門司は、みんなで力を合わせて頑張ろう、とスタッフを鼓舞した。 "&amp;" 　そんな折、たま子たちのもとに、五月の母・静子(藤田弓子)がやってくる。たま子や鏡子(臼田あさ美)たちと楽しいひと時を過ごす静子。五月は、そんな静子にある重大な決意を伝える…。")</f>
        <v>　たま子(真木よう子)たちの店『ビストロ　フー』に、五月(菊池亜希子)がやってきた。五月は、恋人の高村新(風間俊介)と一緒だった。雨木(杉本哲太)による屈辱的なパワハラのせいで会社を辞め、福井の実家に戻っていた五月は、東京の旅行代理店に勤務し、北陸新幹線の開業に合わせたツアーの視察できていた高村と知り合ったのだという。高村は五月にプロポーズしていたが、五月はまだ返事をしていないらしい。  　同じころハイジ(安田顕)を訪ねて、彼の弟・恭平(矢野聖人)がやってくる。間もなく結婚する予定の恭平は、親戚から疎まれていることもあって欠席のはがきを出していたハイジを、どうしても結婚式に出席させたいという。式に出ないなら二次会を『フー』でやる、とまで言う恭平の思いを受け止めたハイジは、弟のために最高のウエディングケーキを作ってあげたい、と言って、結実(二階堂ふみ)や千佳(松岡茉優)たちに頭を下げる。　一方、門司(東出昌大)がシェフを務める『シンフォニック表参道』では土田(吹越満)が担当から外されていた。『フー』に負けたことを認め、料理への取り組み方を見直した門司は、みんなで力を合わせて頑張ろう、とスタッフを鼓舞した。  　そんな折、たま子たちのもとに、五月の母・静子(藤田弓子)がやってくる。たま子や鏡子(臼田あさ美)たちと楽しいひと時を過ごす静子。五月は、そんな静子にある重大な決意を伝える…。</v>
      </c>
      <c r="O650" s="2"/>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row>
    <row r="651" ht="204.75" customHeight="1">
      <c r="A651" s="1">
        <v>2361.0</v>
      </c>
      <c r="B651" s="2" t="s">
        <v>2062</v>
      </c>
      <c r="C651" s="2">
        <f>IFERROR(__xludf.DUMMYFUNCTION("split(B651,""_"")"),1501.0)</f>
        <v>1501</v>
      </c>
      <c r="D651" s="2" t="str">
        <f>IFERROR(__xludf.DUMMYFUNCTION("""COMPUTED_VALUE"""),"CX")</f>
        <v>CX</v>
      </c>
      <c r="E651" s="2" t="str">
        <f>IFERROR(__xludf.DUMMYFUNCTION("""COMPUTED_VALUE"""),"木22")</f>
        <v>木22</v>
      </c>
      <c r="F651" s="2" t="s">
        <v>2063</v>
      </c>
      <c r="G651" s="2" t="s">
        <v>2088</v>
      </c>
      <c r="H651" s="1">
        <v>9.0</v>
      </c>
      <c r="I651" s="1" t="s">
        <v>33</v>
      </c>
      <c r="J651" s="1" t="s">
        <v>86</v>
      </c>
      <c r="K651" s="2" t="s">
        <v>2089</v>
      </c>
      <c r="L651" s="2" t="s">
        <v>2090</v>
      </c>
      <c r="M651" s="9" t="str">
        <f>IFERROR(__xludf.DUMMYFUNCTION("split(split(K651,""真木よう子　"",false),""html"",false)"),"http://www.fujitv.co.jp/mondainoaru_restaurant/index.")</f>
        <v>http://www.fujitv.co.jp/mondainoaru_restaurant/index.</v>
      </c>
      <c r="N651" s="2" t="str">
        <f>IFERROR(__xludf.DUMMYFUNCTION("""COMPUTED_VALUE"""),"　たま子(真木よう子)は、奈々美(YOU)の手伝いをするため、しばらくの間、『ビストロフー』を休むことになった。奈々美は、元社員の五月(菊池亜希子)に対するセクハラに関して、ライクダイニングサービス社長の雨木(杉本哲太)に謝罪と慰謝料の支払いを要求する通知書を送っていた。回答期限は5日間。その間、たま子は裁判になったときのために証人探しを開始する。  　一方、五月の一件を知った門司(東出昌大)は、店にやってきた雨木にその話を切り出し、相手にきちんと謝ってほしい、と訴える。すると雨木は、会社として対応してい"&amp;"るので心配しなくても店がつぶれるようなことはない、と返す。  　『ビストロフー』は、たま子だけでなく、離婚調停が始まる鏡子(臼田あさ美)も休んでいるため、ハイジ(安田顕)を中心に、結実(二階堂ふみ)、藍里(高畑充希)、千佳(松岡茉優)がたま子たちの仕事を分担して営業していた。  　証人探しを続けていたたま子は、ライクダイニングサービスの本社前で土田(吹越満)に出会う。そば店で昼食をともにしたたま子は、証人になってほしい、と土田に頭を下げるが…。  　そんな折、奈々美のもとに、ライクダイニングサービス社側か"&amp;"らの回答書が届く。")</f>
        <v>　たま子(真木よう子)は、奈々美(YOU)の手伝いをするため、しばらくの間、『ビストロフー』を休むことになった。奈々美は、元社員の五月(菊池亜希子)に対するセクハラに関して、ライクダイニングサービス社長の雨木(杉本哲太)に謝罪と慰謝料の支払いを要求する通知書を送っていた。回答期限は5日間。その間、たま子は裁判になったときのために証人探しを開始する。  　一方、五月の一件を知った門司(東出昌大)は、店にやってきた雨木にその話を切り出し、相手にきちんと謝ってほしい、と訴える。すると雨木は、会社として対応しているので心配しなくても店がつぶれるようなことはない、と返す。  　『ビストロフー』は、たま子だけでなく、離婚調停が始まる鏡子(臼田あさ美)も休んでいるため、ハイジ(安田顕)を中心に、結実(二階堂ふみ)、藍里(高畑充希)、千佳(松岡茉優)がたま子たちの仕事を分担して営業していた。  　証人探しを続けていたたま子は、ライクダイニングサービスの本社前で土田(吹越満)に出会う。そば店で昼食をともにしたたま子は、証人になってほしい、と土田に頭を下げるが…。  　そんな折、奈々美のもとに、ライクダイニングサービス社側からの回答書が届く。</v>
      </c>
      <c r="O651" s="2"/>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row>
    <row r="652" ht="204.75" customHeight="1">
      <c r="A652" s="1">
        <v>2362.0</v>
      </c>
      <c r="B652" s="2" t="s">
        <v>2062</v>
      </c>
      <c r="C652" s="2">
        <f>IFERROR(__xludf.DUMMYFUNCTION("split(B652,""_"")"),1501.0)</f>
        <v>1501</v>
      </c>
      <c r="D652" s="2" t="str">
        <f>IFERROR(__xludf.DUMMYFUNCTION("""COMPUTED_VALUE"""),"CX")</f>
        <v>CX</v>
      </c>
      <c r="E652" s="2" t="str">
        <f>IFERROR(__xludf.DUMMYFUNCTION("""COMPUTED_VALUE"""),"木22")</f>
        <v>木22</v>
      </c>
      <c r="F652" s="2" t="s">
        <v>2063</v>
      </c>
      <c r="G652" s="2" t="s">
        <v>2091</v>
      </c>
      <c r="H652" s="1">
        <v>10.0</v>
      </c>
      <c r="I652" s="1" t="s">
        <v>37</v>
      </c>
      <c r="J652" s="1" t="s">
        <v>86</v>
      </c>
      <c r="K652" s="2" t="s">
        <v>2092</v>
      </c>
      <c r="L652" s="2" t="s">
        <v>2093</v>
      </c>
      <c r="M652" s="9" t="str">
        <f>IFERROR(__xludf.DUMMYFUNCTION("split(split(K652,""真木よう子　"",false),""html"",false)"),"http://www.fujitv.co.jp/mondainoaru_restaurant/index.")</f>
        <v>http://www.fujitv.co.jp/mondainoaru_restaurant/index.</v>
      </c>
      <c r="N652" s="2" t="str">
        <f>IFERROR(__xludf.DUMMYFUNCTION("""COMPUTED_VALUE"""),"　たま子(真木よう子)たちの店『ビストロ　フー』は、今日も大勢の客でにぎわっていた。海外転勤を前に恋人にプロポーズしようとしている常連客、結実(二階堂ふみ)の元同級生で東大卒であることをひけらかす女性、鏡子(臼田あさ美)の息子・洋武(庵原匠悟)の初恋相手だという女の子もいた。店には、予約の電話もひっきりなしにかかっていた。だが、何故かたま子は翌日以降の予約を受けなかった。  　そこへ門司(東出昌大)が星野(菅田将暉)とともに“まかない""を持って現れる。門司は、雨木(杉本哲太)を殴ったことが原因でシンフォ"&amp;"ニック表参道をクビになっていた。が、ライクダイニングサービスも、雨木がセクハラ事件の責任を取って辞任に追い込まれ、シンフォニック表参道も休業を余儀なくされていた。  　門司の持ってきた“まかない""を食べるたま子たち。千佳(松岡茉優)は、門司とオムレツ作りで対決することに。一方、結実は、洗い場で星野と一緒になり…。  　そんな中、門司は、『ビストロ　フー』が直面しているある問題についてたま子から話を聞く。門司は、「俺と店をやろうよ」とたま子に告げるが…。")</f>
        <v>　たま子(真木よう子)たちの店『ビストロ　フー』は、今日も大勢の客でにぎわっていた。海外転勤を前に恋人にプロポーズしようとしている常連客、結実(二階堂ふみ)の元同級生で東大卒であることをひけらかす女性、鏡子(臼田あさ美)の息子・洋武(庵原匠悟)の初恋相手だという女の子もいた。店には、予約の電話もひっきりなしにかかっていた。だが、何故かたま子は翌日以降の予約を受けなかった。  　そこへ門司(東出昌大)が星野(菅田将暉)とともに“まかない"を持って現れる。門司は、雨木(杉本哲太)を殴ったことが原因でシンフォニック表参道をクビになっていた。が、ライクダイニングサービスも、雨木がセクハラ事件の責任を取って辞任に追い込まれ、シンフォニック表参道も休業を余儀なくされていた。  　門司の持ってきた“まかない"を食べるたま子たち。千佳(松岡茉優)は、門司とオムレツ作りで対決することに。一方、結実は、洗い場で星野と一緒になり…。  　そんな中、門司は、『ビストロ　フー』が直面しているある問題についてたま子から話を聞く。門司は、「俺と店をやろうよ」とたま子に告げるが…。</v>
      </c>
      <c r="O652" s="2"/>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row>
    <row r="653" ht="204.75" customHeight="1">
      <c r="A653" s="1">
        <v>2422.0</v>
      </c>
      <c r="B653" s="2" t="s">
        <v>2094</v>
      </c>
      <c r="C653" s="2">
        <f>IFERROR(__xludf.DUMMYFUNCTION("split(B653,""_"")"),1410.0)</f>
        <v>1410</v>
      </c>
      <c r="D653" s="2" t="str">
        <f>IFERROR(__xludf.DUMMYFUNCTION("""COMPUTED_VALUE"""),"CX")</f>
        <v>CX</v>
      </c>
      <c r="E653" s="2" t="str">
        <f>IFERROR(__xludf.DUMMYFUNCTION("""COMPUTED_VALUE"""),"月21")</f>
        <v>月21</v>
      </c>
      <c r="F653" s="2" t="s">
        <v>2095</v>
      </c>
      <c r="G653" s="2" t="s">
        <v>2096</v>
      </c>
      <c r="H653" s="1">
        <v>1.0</v>
      </c>
      <c r="I653" s="1" t="s">
        <v>3</v>
      </c>
      <c r="J653" s="1" t="s">
        <v>4</v>
      </c>
      <c r="K653" s="4" t="s">
        <v>2097</v>
      </c>
      <c r="L653" s="2" t="s">
        <v>2098</v>
      </c>
      <c r="M653" s="2" t="str">
        <f>IFERROR(__xludf.DUMMYFUNCTION("split(split(K653,""小栗旬　"",false),""公式LINE"",false)"),"修学旅行で時代村にやって来た高校生のサブロー(小栗旬)は、武士や町人に扮したアトラクションキャストが行き交う中、同級生の女子に告白。良い返事がもらえそうにないと感じると、電話がかかってきたふりをして逃げ出した。仲間の男子たちに、フラれたわけではないと強がるサブロー。だが、男子たちは過去のさまざまな例を挙げ、サブローは逃げ癖があると責める。そんな時、サブローが転ぶ。足下には“戦国武将体験コース""などと書かれた看板。見回すと友人の姿がない。ひとりでアトラクションに迷い込んだと思ったサブローは、抜け出そうと高"&amp;"い壁に登るが落下してしまう。  　サブローが目を覚ますと、建物など何もない自然風景。携帯電話も圏外。そこに馬に乗った2人の侍が来た。声をかけたサブローはビックリ。片方の侍が自分そっくりなのだ。サブローのそっくりさんは、織田信長(小栗旬・二役)と名乗る。そして、「自分の代わりに織田信長として生きてくれないか?」とサブローに問う。アトラクションだと疑わないサブローは、刀を受け取って承諾した。  　信長たちが去ると、新たに3人の侍が出現。侍たちは、サブローを信長と疑わずに那古野城へ連れて行く。そこに今川勢が攻め"&amp;"て来たとの報せ。すぐに戦場へと向かうことになるサブロー。まだ、アトラクションと思い込むサブローだが、戦場で繰り広げられる命のやりとりに、ようやくここが本物の戦国だと気づいて…。")</f>
        <v>修学旅行で時代村にやって来た高校生のサブロー(小栗旬)は、武士や町人に扮したアトラクションキャストが行き交う中、同級生の女子に告白。良い返事がもらえそうにないと感じると、電話がかかってきたふりをして逃げ出した。仲間の男子たちに、フラれたわけではないと強がるサブロー。だが、男子たちは過去のさまざまな例を挙げ、サブローは逃げ癖があると責める。そんな時、サブローが転ぶ。足下には“戦国武将体験コース"などと書かれた看板。見回すと友人の姿がない。ひとりでアトラクションに迷い込んだと思ったサブローは、抜け出そうと高い壁に登るが落下してしまう。  　サブローが目を覚ますと、建物など何もない自然風景。携帯電話も圏外。そこに馬に乗った2人の侍が来た。声をかけたサブローはビックリ。片方の侍が自分そっくりなのだ。サブローのそっくりさんは、織田信長(小栗旬・二役)と名乗る。そして、「自分の代わりに織田信長として生きてくれないか?」とサブローに問う。アトラクションだと疑わないサブローは、刀を受け取って承諾した。  　信長たちが去ると、新たに3人の侍が出現。侍たちは、サブローを信長と疑わずに那古野城へ連れて行く。そこに今川勢が攻めて来たとの報せ。すぐに戦場へと向かうことになるサブロー。まだ、アトラクションと思い込むサブローだが、戦場で繰り広げられる命のやりとりに、ようやくここが本物の戦国だと気づいて…。</v>
      </c>
      <c r="N653" s="2"/>
      <c r="O653" s="2"/>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row>
    <row r="654" ht="204.75" customHeight="1">
      <c r="A654" s="1">
        <v>2423.0</v>
      </c>
      <c r="B654" s="2" t="s">
        <v>2094</v>
      </c>
      <c r="C654" s="2">
        <f>IFERROR(__xludf.DUMMYFUNCTION("split(B654,""_"")"),1410.0)</f>
        <v>1410</v>
      </c>
      <c r="D654" s="2" t="str">
        <f>IFERROR(__xludf.DUMMYFUNCTION("""COMPUTED_VALUE"""),"CX")</f>
        <v>CX</v>
      </c>
      <c r="E654" s="2" t="str">
        <f>IFERROR(__xludf.DUMMYFUNCTION("""COMPUTED_VALUE"""),"月21")</f>
        <v>月21</v>
      </c>
      <c r="F654" s="2" t="s">
        <v>2095</v>
      </c>
      <c r="G654" s="2" t="s">
        <v>2099</v>
      </c>
      <c r="H654" s="1">
        <v>2.0</v>
      </c>
      <c r="I654" s="1" t="s">
        <v>7</v>
      </c>
      <c r="J654" s="1" t="s">
        <v>4</v>
      </c>
      <c r="K654" s="2" t="s">
        <v>2100</v>
      </c>
      <c r="L654" s="2" t="s">
        <v>2101</v>
      </c>
      <c r="M654" s="2" t="str">
        <f>IFERROR(__xludf.DUMMYFUNCTION("split(split(K654,""小栗旬　"",false),""公式LINE"",false)"),"「信長協奏曲」公式番組ホームページ　  http://www.fujitv.co.jp/nobunaga-concerto-drama/　戦国時代に迷い込んだサブロー(小栗旬)は、織田信長(小栗旬・二役)に容姿がそっくりなことを理由に身代わりを頼まれてしまう。折しも織田家は家督争いの真っ最中。本物の戦、醜い争いに辟易しながらも、サブローは織田家当主地位を勝ち取った。だが、信長の妻、帰蝶(柴咲コウ)は美人だがどうにも気が強く、なかなかサブローに打ち解けようとしない。  　そんな時、帰蝶の父、斎藤道三(西田敏"&amp;"行)が会見を申し込んでくる。美濃の蝮と恐れられる道三の申し込みに、サブローは逃げ回るが池田恒興(向井理)らに捕まる。最後の頼みと帰蝶に同行を頼むサブローだが、潔く斬られてこいと言われる始末。だが、帰蝶は道三に会いたくない理由も…。  　その頃、今川義元(生瀬勝久)は、引き続き織田の内情を探るよう、伝次郎(山田孝之)ら密偵に命じていた。  　織田家をつぶしてはならないという家臣らの願いで、サブローは道三と会見。しかし、衣装が気に入らないと道三に戦を仕掛けられた国があると聞いたサブローは、自分なりの正装をして"&amp;"みた。それは、タイムスリップした時に着ていた学生服。戦国時代としては何とも珍妙な服だ。恒興たちの不安は尋常ではない。ところがサブローの姿を見た道三は、家臣たちを遠ざけ二人きりになると宣言。待たされるサブローの前に、服装を整えた道三が現れる。道三は、現代の警察官の制服を着ていた。道三もタイムスリップして来た男だった。サブロー/織田信長(一人二役):　")</f>
        <v>「信長協奏曲」公式番組ホームページ　  http://www.fujitv.co.jp/nobunaga-concerto-drama/　戦国時代に迷い込んだサブロー(小栗旬)は、織田信長(小栗旬・二役)に容姿がそっくりなことを理由に身代わりを頼まれてしまう。折しも織田家は家督争いの真っ最中。本物の戦、醜い争いに辟易しながらも、サブローは織田家当主地位を勝ち取った。だが、信長の妻、帰蝶(柴咲コウ)は美人だがどうにも気が強く、なかなかサブローに打ち解けようとしない。  　そんな時、帰蝶の父、斎藤道三(西田敏行)が会見を申し込んでくる。美濃の蝮と恐れられる道三の申し込みに、サブローは逃げ回るが池田恒興(向井理)らに捕まる。最後の頼みと帰蝶に同行を頼むサブローだが、潔く斬られてこいと言われる始末。だが、帰蝶は道三に会いたくない理由も…。  　その頃、今川義元(生瀬勝久)は、引き続き織田の内情を探るよう、伝次郎(山田孝之)ら密偵に命じていた。  　織田家をつぶしてはならないという家臣らの願いで、サブローは道三と会見。しかし、衣装が気に入らないと道三に戦を仕掛けられた国があると聞いたサブローは、自分なりの正装をしてみた。それは、タイムスリップした時に着ていた学生服。戦国時代としては何とも珍妙な服だ。恒興たちの不安は尋常ではない。ところがサブローの姿を見た道三は、家臣たちを遠ざけ二人きりになると宣言。待たされるサブローの前に、服装を整えた道三が現れる。道三は、現代の警察官の制服を着ていた。道三もタイムスリップして来た男だった。サブロー/織田信長(一人二役):　</v>
      </c>
      <c r="N654" s="2"/>
      <c r="O654" s="2"/>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row>
    <row r="655" ht="204.75" customHeight="1">
      <c r="A655" s="1">
        <v>2424.0</v>
      </c>
      <c r="B655" s="2" t="s">
        <v>2094</v>
      </c>
      <c r="C655" s="2">
        <f>IFERROR(__xludf.DUMMYFUNCTION("split(B655,""_"")"),1410.0)</f>
        <v>1410</v>
      </c>
      <c r="D655" s="2" t="str">
        <f>IFERROR(__xludf.DUMMYFUNCTION("""COMPUTED_VALUE"""),"CX")</f>
        <v>CX</v>
      </c>
      <c r="E655" s="2" t="str">
        <f>IFERROR(__xludf.DUMMYFUNCTION("""COMPUTED_VALUE"""),"月21")</f>
        <v>月21</v>
      </c>
      <c r="F655" s="2" t="s">
        <v>2095</v>
      </c>
      <c r="G655" s="2" t="s">
        <v>2102</v>
      </c>
      <c r="H655" s="1">
        <v>3.0</v>
      </c>
      <c r="I655" s="1" t="s">
        <v>10</v>
      </c>
      <c r="J655" s="1" t="s">
        <v>11</v>
      </c>
      <c r="K655" s="2" t="s">
        <v>2103</v>
      </c>
      <c r="L655" s="8" t="s">
        <v>2104</v>
      </c>
      <c r="M655" s="2" t="str">
        <f>IFERROR(__xludf.DUMMYFUNCTION("split(split(K655,""小栗旬　"",false),""公式LINE"",false)"),"サブロー(小栗旬)は、村人を集めて相撲を楽しんでいる。サブロー自ら軍配らしきものを握り、家臣の前田犬千代(藤ヶ谷太輔)と佐々成政(阿部進之介)の取り組みをさばこうとした時、池田恒興(向井理)が馬で駆け込んで来た。なんと今川勢が尾張に向けて軍を発したと言うのだ。  　那古野城に戻ったサブローは軍議を開くが、真っ向勝負を唱える柴田勝家(高嶋政宏)派と、ろう城を良しとする恒興派と家臣の意見はまっぷたつ。戦わずに済ます方法はないのかと家臣に問うサブローだが、勝利以外は自分の首が刎ねられると言われてしまう。おびえる"&amp;"サブローは、帰蝶(柴咲コウ)からも勝つための算段を考えろと尻を叩かれる。答えが出せないサブローは、城から逃げ出した。今川軍から遠ざかろうとするサブローだが、道に迷ってしまう。そんな時、馬の前に村娘が飛び出し、サブローは落馬。一方、主君逃亡を知った那古野城の家臣たちは大騒ぎ。犬千代と成政が捜索に向かう。  　サブローが目を覚ましたのは、先ほど飛び出した村娘、お春(前田敦子)の家。サブローはお春から、ここが今川領の田楽村だと教えられる。そんなところに、今川の同心頭が侍たちを引き連れて戦用物資の調達に来た。もう"&amp;"何もないと懇願する村長(前田吟)に、同心頭は女衆を差し出すよう命じる。止めようとするサブローだが、お春はこれが自分たちの使命と家から出て行き…。サブロー/織田信長(一人二役):　")</f>
        <v>サブロー(小栗旬)は、村人を集めて相撲を楽しんでいる。サブロー自ら軍配らしきものを握り、家臣の前田犬千代(藤ヶ谷太輔)と佐々成政(阿部進之介)の取り組みをさばこうとした時、池田恒興(向井理)が馬で駆け込んで来た。なんと今川勢が尾張に向けて軍を発したと言うのだ。  　那古野城に戻ったサブローは軍議を開くが、真っ向勝負を唱える柴田勝家(高嶋政宏)派と、ろう城を良しとする恒興派と家臣の意見はまっぷたつ。戦わずに済ます方法はないのかと家臣に問うサブローだが、勝利以外は自分の首が刎ねられると言われてしまう。おびえるサブローは、帰蝶(柴咲コウ)からも勝つための算段を考えろと尻を叩かれる。答えが出せないサブローは、城から逃げ出した。今川軍から遠ざかろうとするサブローだが、道に迷ってしまう。そんな時、馬の前に村娘が飛び出し、サブローは落馬。一方、主君逃亡を知った那古野城の家臣たちは大騒ぎ。犬千代と成政が捜索に向かう。  　サブローが目を覚ましたのは、先ほど飛び出した村娘、お春(前田敦子)の家。サブローはお春から、ここが今川領の田楽村だと教えられる。そんなところに、今川の同心頭が侍たちを引き連れて戦用物資の調達に来た。もう何もないと懇願する村長(前田吟)に、同心頭は女衆を差し出すよう命じる。止めようとするサブローだが、お春はこれが自分たちの使命と家から出て行き…。サブロー/織田信長(一人二役):　</v>
      </c>
      <c r="N655" s="2"/>
      <c r="O655" s="2"/>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row>
    <row r="656" ht="204.75" customHeight="1">
      <c r="A656" s="1">
        <v>2425.0</v>
      </c>
      <c r="B656" s="2" t="s">
        <v>2094</v>
      </c>
      <c r="C656" s="2">
        <f>IFERROR(__xludf.DUMMYFUNCTION("split(B656,""_"")"),1410.0)</f>
        <v>1410</v>
      </c>
      <c r="D656" s="2" t="str">
        <f>IFERROR(__xludf.DUMMYFUNCTION("""COMPUTED_VALUE"""),"CX")</f>
        <v>CX</v>
      </c>
      <c r="E656" s="2" t="str">
        <f>IFERROR(__xludf.DUMMYFUNCTION("""COMPUTED_VALUE"""),"月21")</f>
        <v>月21</v>
      </c>
      <c r="F656" s="2" t="s">
        <v>2095</v>
      </c>
      <c r="G656" s="2" t="s">
        <v>2105</v>
      </c>
      <c r="H656" s="1">
        <v>4.0</v>
      </c>
      <c r="I656" s="1" t="s">
        <v>14</v>
      </c>
      <c r="J656" s="1" t="s">
        <v>11</v>
      </c>
      <c r="K656" s="2" t="s">
        <v>2106</v>
      </c>
      <c r="L656" s="8" t="s">
        <v>2107</v>
      </c>
      <c r="M656" s="2" t="str">
        <f>IFERROR(__xludf.DUMMYFUNCTION("split(split(K656,""小栗旬　"",false),""公式LINE"",false)"),"信長として暮らすサブロー(小栗旬)の居城に、松平元康(濱田岳)が同盟のために訪ねて来た。先の戦で今川勢として戦ったことを詫びる元康は織田家への帰順を示し、自らは徳川家康と改名すると言う。名を聞いたサブローは歴史上の人物とまではわかるのだが、何を成し遂げたかは思い至らない。  　家康が何者かを知ろうと、サブローは居室で教科書を探すが見あたらない。そんなサブローに突然声をかける女性が…。サブローが驚いていると、池田恒興(向井理)が妹の市(水原希子)だと教える。信長に妹がいると知ったサブローは大喜び。早速、市と"&amp;"遊び始める。そこに木下藤吉郎(山田孝之)が現れ、初陣を覚えているかとサブローに問う。  　家臣に聞くと、信長の初陣は13歳。サブローは子供が戦場に行くのは良くないので、早く自分が天下を獲って戦を無くそうと思い立つ。家臣らによると天下を獲るには、京都に行く必要があるらしい。しかし京に上るためには斎藤が治める美濃を通らなければならない。方法を探るサブローは斎藤龍興(間宮祥太朗)に通行許可をもらおうと提案。だが、通りがかった帰蝶(柴咲コウ)に気性の荒い龍興には通じないとバッサリ。また、恒興は斎藤の軍師、竹中半兵"&amp;"衛(藤木直人)も一筋縄ではいかないと告げる。そんな話をしていると前田利家(藤ヶ谷太輔)が、サブローへの面会を求める者がいると伝えに来た。なんと、その男は半兵衛で…。サブロー/織田信長(一人二役):　")</f>
        <v>信長として暮らすサブロー(小栗旬)の居城に、松平元康(濱田岳)が同盟のために訪ねて来た。先の戦で今川勢として戦ったことを詫びる元康は織田家への帰順を示し、自らは徳川家康と改名すると言う。名を聞いたサブローは歴史上の人物とまではわかるのだが、何を成し遂げたかは思い至らない。  　家康が何者かを知ろうと、サブローは居室で教科書を探すが見あたらない。そんなサブローに突然声をかける女性が…。サブローが驚いていると、池田恒興(向井理)が妹の市(水原希子)だと教える。信長に妹がいると知ったサブローは大喜び。早速、市と遊び始める。そこに木下藤吉郎(山田孝之)が現れ、初陣を覚えているかとサブローに問う。  　家臣に聞くと、信長の初陣は13歳。サブローは子供が戦場に行くのは良くないので、早く自分が天下を獲って戦を無くそうと思い立つ。家臣らによると天下を獲るには、京都に行く必要があるらしい。しかし京に上るためには斎藤が治める美濃を通らなければならない。方法を探るサブローは斎藤龍興(間宮祥太朗)に通行許可をもらおうと提案。だが、通りがかった帰蝶(柴咲コウ)に気性の荒い龍興には通じないとバッサリ。また、恒興は斎藤の軍師、竹中半兵衛(藤木直人)も一筋縄ではいかないと告げる。そんな話をしていると前田利家(藤ヶ谷太輔)が、サブローへの面会を求める者がいると伝えに来た。なんと、その男は半兵衛で…。サブロー/織田信長(一人二役):　</v>
      </c>
      <c r="N656" s="2"/>
      <c r="O656" s="2"/>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row>
    <row r="657" ht="204.75" customHeight="1">
      <c r="A657" s="1">
        <v>2426.0</v>
      </c>
      <c r="B657" s="2" t="s">
        <v>2094</v>
      </c>
      <c r="C657" s="2">
        <f>IFERROR(__xludf.DUMMYFUNCTION("split(B657,""_"")"),1410.0)</f>
        <v>1410</v>
      </c>
      <c r="D657" s="2" t="str">
        <f>IFERROR(__xludf.DUMMYFUNCTION("""COMPUTED_VALUE"""),"CX")</f>
        <v>CX</v>
      </c>
      <c r="E657" s="2" t="str">
        <f>IFERROR(__xludf.DUMMYFUNCTION("""COMPUTED_VALUE"""),"月21")</f>
        <v>月21</v>
      </c>
      <c r="F657" s="2" t="s">
        <v>2095</v>
      </c>
      <c r="G657" s="2" t="s">
        <v>2108</v>
      </c>
      <c r="H657" s="1">
        <v>5.0</v>
      </c>
      <c r="I657" s="1" t="s">
        <v>17</v>
      </c>
      <c r="J657" s="1" t="s">
        <v>11</v>
      </c>
      <c r="K657" s="2" t="s">
        <v>2109</v>
      </c>
      <c r="L657" s="8" t="s">
        <v>2110</v>
      </c>
      <c r="M657" s="2" t="str">
        <f>IFERROR(__xludf.DUMMYFUNCTION("split(split(K657,""小栗旬　"",false),""公式LINE"",false)"),"「日米野球壮行試合侍ジャパンvs福岡ソフトバンク・北海道日本ハム連合チーム」延長の際は、放送時間繰り下げの場合あり。　サブロー(小栗旬)は帰蝶(柴咲コウ)と斎藤道三(西田敏行)の墓参り。その帰り、ひとりきりになったサブローの前に、本物の織田信長(小栗旬・二役)が現れた。恨み言をぶつけるサブローに、信長は明智光秀と名乗っていることを告げる。そして、罪滅ぼしとして、今後はサブローの天下取りに利用して欲しいと言う。と、そこに前田利家(藤ヶ谷太輔)が信長を捜しに来た。サブローと信長は身を隠す。しかし、利家は見つけ"&amp;"た…それは本物の信長。利家は、そのまま信長を城に連れ帰ってしまう。  　本物の信長は、家臣たちと句会や軍議。軍議での目下の問題は上洛最後の難所、近江の浅井領をどう抜けるか。竹中半兵衛(藤木直人)は、市(水原希子)を浅井家に嫁がせ、同盟を結ぶことを提案。信長は承諾してしまう。軍議を終えた信長は、帰蝶と会う。帰蝶の変化に驚く信長。そこに信長の従者、沢彦(でんでん)が迎えに来た。信長は、そのまま城を抜け出す。　一方、利家は信長がいつもと違うことに気づいた様子。だが、柴田勝家(高嶋政宏)たちは意に介さず、輿入れの"&amp;"話を市に告げる役を池田恒興(向井理)に託す。恒興が伝えると、市は明るく承知した。  　その夜、サブローがこっそり帰城。利家から市の輿入れ話を聞いたサブローは猛反対。すると勝家は、浅井家と同盟を結ばない以上、戦をするしかないと言いだす。サブローは、浅井に赴き無条件での同盟を頼むことにするが…。サブロー/織田信長(一人二役):　")</f>
        <v>「日米野球壮行試合侍ジャパンvs福岡ソフトバンク・北海道日本ハム連合チーム」延長の際は、放送時間繰り下げの場合あり。　サブロー(小栗旬)は帰蝶(柴咲コウ)と斎藤道三(西田敏行)の墓参り。その帰り、ひとりきりになったサブローの前に、本物の織田信長(小栗旬・二役)が現れた。恨み言をぶつけるサブローに、信長は明智光秀と名乗っていることを告げる。そして、罪滅ぼしとして、今後はサブローの天下取りに利用して欲しいと言う。と、そこに前田利家(藤ヶ谷太輔)が信長を捜しに来た。サブローと信長は身を隠す。しかし、利家は見つけた…それは本物の信長。利家は、そのまま信長を城に連れ帰ってしまう。  　本物の信長は、家臣たちと句会や軍議。軍議での目下の問題は上洛最後の難所、近江の浅井領をどう抜けるか。竹中半兵衛(藤木直人)は、市(水原希子)を浅井家に嫁がせ、同盟を結ぶことを提案。信長は承諾してしまう。軍議を終えた信長は、帰蝶と会う。帰蝶の変化に驚く信長。そこに信長の従者、沢彦(でんでん)が迎えに来た。信長は、そのまま城を抜け出す。　一方、利家は信長がいつもと違うことに気づいた様子。だが、柴田勝家(高嶋政宏)たちは意に介さず、輿入れの話を市に告げる役を池田恒興(向井理)に託す。恒興が伝えると、市は明るく承知した。  　その夜、サブローがこっそり帰城。利家から市の輿入れ話を聞いたサブローは猛反対。すると勝家は、浅井家と同盟を結ばない以上、戦をするしかないと言いだす。サブローは、浅井に赴き無条件での同盟を頼むことにするが…。サブロー/織田信長(一人二役):　</v>
      </c>
      <c r="N657" s="2"/>
      <c r="O657" s="2"/>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row>
    <row r="658" ht="204.75" customHeight="1">
      <c r="A658" s="1">
        <v>2427.0</v>
      </c>
      <c r="B658" s="2" t="s">
        <v>2094</v>
      </c>
      <c r="C658" s="2">
        <f>IFERROR(__xludf.DUMMYFUNCTION("split(B658,""_"")"),1410.0)</f>
        <v>1410</v>
      </c>
      <c r="D658" s="2" t="str">
        <f>IFERROR(__xludf.DUMMYFUNCTION("""COMPUTED_VALUE"""),"CX")</f>
        <v>CX</v>
      </c>
      <c r="E658" s="2" t="str">
        <f>IFERROR(__xludf.DUMMYFUNCTION("""COMPUTED_VALUE"""),"月21")</f>
        <v>月21</v>
      </c>
      <c r="F658" s="2" t="s">
        <v>2095</v>
      </c>
      <c r="G658" s="2" t="s">
        <v>2111</v>
      </c>
      <c r="H658" s="1">
        <v>6.0</v>
      </c>
      <c r="I658" s="1" t="s">
        <v>21</v>
      </c>
      <c r="J658" s="1" t="s">
        <v>11</v>
      </c>
      <c r="K658" s="2" t="s">
        <v>2112</v>
      </c>
      <c r="L658" s="8" t="s">
        <v>2113</v>
      </c>
      <c r="M658" s="2" t="str">
        <f>IFERROR(__xludf.DUMMYFUNCTION("split(split(K658,""小栗旬　"",false),""公式LINE"",false)"),"サブロー(小栗旬)の居城に明智光秀(小栗旬・二役)が家臣になるとやって来た。光秀は他の家臣たちに信長だと悟られぬよう覆面姿で、彼の手土産は上洛の良案だった。足利義昭(堀部圭亮)を将軍と擁立するという大義名分をもって織田の上洛を朝廷に了承させようと言うのだ。竹中半兵衛(藤木直人)もこの策を認めたため、家臣一同了承。しかし池田恒興(向井理)が問題点を指摘。それは織田の人々が京での作法を知らないこと。さっそくサブローは家臣たちと作法を学ぼうとするが上手くいかない。すると、光秀が妙案を持ちかけた。  　京に上った"&amp;"織田勢だが、サブローはのんきに街でお買い物。義昭とともにみかどと対面したのは、覆面を取って信長に戻った光秀だった。思い通りに征夷大将軍をみかどから拝命した義昭は、光秀と再度“信長""を入れ替わったサブローに副将軍を任命する。だがサブローは断り、さらには自分が天下を獲ると宣言した。  　京からの帰り道、サブローたちは市(水原希子)が嫁いだ浅井長政(高橋一生)の小谷城に立ち寄ってから自身の城へと帰った。  　サブローが帰蝶(柴咲コウ)に京土産を渡していると、家臣たちが鬼が来たと騒ぎだす。サブローがのぞきにいく"&amp;"と、背中に鬼を背負った松永弾正久秀(古田新太)がいた。松永は義昭が信長を討伐するよう全国の大名に布令を出したと教える。サブローは念願の上洛を果たしたものの義昭の怒りを買ってしまったのだ。サブロー/織田信長(一人二役):　")</f>
        <v>サブロー(小栗旬)の居城に明智光秀(小栗旬・二役)が家臣になるとやって来た。光秀は他の家臣たちに信長だと悟られぬよう覆面姿で、彼の手土産は上洛の良案だった。足利義昭(堀部圭亮)を将軍と擁立するという大義名分をもって織田の上洛を朝廷に了承させようと言うのだ。竹中半兵衛(藤木直人)もこの策を認めたため、家臣一同了承。しかし池田恒興(向井理)が問題点を指摘。それは織田の人々が京での作法を知らないこと。さっそくサブローは家臣たちと作法を学ぼうとするが上手くいかない。すると、光秀が妙案を持ちかけた。  　京に上った織田勢だが、サブローはのんきに街でお買い物。義昭とともにみかどと対面したのは、覆面を取って信長に戻った光秀だった。思い通りに征夷大将軍をみかどから拝命した義昭は、光秀と再度“信長"を入れ替わったサブローに副将軍を任命する。だがサブローは断り、さらには自分が天下を獲ると宣言した。  　京からの帰り道、サブローたちは市(水原希子)が嫁いだ浅井長政(高橋一生)の小谷城に立ち寄ってから自身の城へと帰った。  　サブローが帰蝶(柴咲コウ)に京土産を渡していると、家臣たちが鬼が来たと騒ぎだす。サブローがのぞきにいくと、背中に鬼を背負った松永弾正久秀(古田新太)がいた。松永は義昭が信長を討伐するよう全国の大名に布令を出したと教える。サブローは念願の上洛を果たしたものの義昭の怒りを買ってしまったのだ。サブロー/織田信長(一人二役):　</v>
      </c>
      <c r="N658" s="2"/>
      <c r="O658" s="2"/>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row>
    <row r="659" ht="204.75" customHeight="1">
      <c r="A659" s="1">
        <v>2428.0</v>
      </c>
      <c r="B659" s="2" t="s">
        <v>2094</v>
      </c>
      <c r="C659" s="2">
        <f>IFERROR(__xludf.DUMMYFUNCTION("split(B659,""_"")"),1410.0)</f>
        <v>1410</v>
      </c>
      <c r="D659" s="2" t="str">
        <f>IFERROR(__xludf.DUMMYFUNCTION("""COMPUTED_VALUE"""),"CX")</f>
        <v>CX</v>
      </c>
      <c r="E659" s="2" t="str">
        <f>IFERROR(__xludf.DUMMYFUNCTION("""COMPUTED_VALUE"""),"月21")</f>
        <v>月21</v>
      </c>
      <c r="F659" s="2" t="s">
        <v>2095</v>
      </c>
      <c r="G659" s="2" t="s">
        <v>2114</v>
      </c>
      <c r="H659" s="1">
        <v>7.0</v>
      </c>
      <c r="I659" s="1" t="s">
        <v>25</v>
      </c>
      <c r="J659" s="1" t="s">
        <v>11</v>
      </c>
      <c r="K659" s="2" t="s">
        <v>2115</v>
      </c>
      <c r="L659" s="8" t="s">
        <v>2116</v>
      </c>
      <c r="M659" s="2" t="str">
        <f>IFERROR(__xludf.DUMMYFUNCTION("split(split(K659,""小栗旬　"",false),""公式LINE"",false)"),"サブロー(小栗旬)たちは、市(水原希子)から浅井長政(高橋一生)の裏切りを伝えられて退却を始める。木下藤吉郎(山田孝之)は、自ら最後尾で浅井勢を抑えると申し出た。それは浅井の追っ手に加担し、憎き信長を討とうとする藤吉郎の策だった。しかし、手なずけた蜂須賀小六(勝矢)らの兵とともに藤吉郎が最後尾に向かおうとすると、竹中半兵衛(藤木直人)たちが加えて欲しいと現れる。藤吉郎は自分の真意を半兵衛らに気づかれるわけにもいかず、意に反して浅井勢と戦うはめになった。  　一方、次々と切り崩される兵の犠牲をともないながら"&amp;"も、サブローはわずかな手勢とともになんとか帰城。出迎えた帰蝶(柴咲コウ)に安堵の笑みを浮かべるサブロー。だが、次の瞬間、銃声が轟く。何者かがサブローを撃ったのだ。駆けつける帰蝶の腕の中で血に染まるサブロー。遅れて帰城した池田恒興(向井理)も顔色を失ってしまう。  　そのころ、長政は市にサブローに急を報せたのだろうと尋ねていた。夫と兄が戦わなければならないことを悲しむ市。サブローが逃げ切ったことを知る市だが、久政(村井國夫)から朝倉義景(小市慢太郎)の間者に撃たれたと聞かされ絶句する。  　一命は取り留めた"&amp;"が、意識の戻らないサブローを帰蝶とゆき(夏帆)が必死に看病する。だが、ゆきの様子はどこかおかしい。なぜならゆきこそが朝倉の間者。ゆきは信長の命を必ず奪うことを命じられているのだ。サブロー/織田信長(一人二役):　")</f>
        <v>サブロー(小栗旬)たちは、市(水原希子)から浅井長政(高橋一生)の裏切りを伝えられて退却を始める。木下藤吉郎(山田孝之)は、自ら最後尾で浅井勢を抑えると申し出た。それは浅井の追っ手に加担し、憎き信長を討とうとする藤吉郎の策だった。しかし、手なずけた蜂須賀小六(勝矢)らの兵とともに藤吉郎が最後尾に向かおうとすると、竹中半兵衛(藤木直人)たちが加えて欲しいと現れる。藤吉郎は自分の真意を半兵衛らに気づかれるわけにもいかず、意に反して浅井勢と戦うはめになった。  　一方、次々と切り崩される兵の犠牲をともないながらも、サブローはわずかな手勢とともになんとか帰城。出迎えた帰蝶(柴咲コウ)に安堵の笑みを浮かべるサブロー。だが、次の瞬間、銃声が轟く。何者かがサブローを撃ったのだ。駆けつける帰蝶の腕の中で血に染まるサブロー。遅れて帰城した池田恒興(向井理)も顔色を失ってしまう。  　そのころ、長政は市にサブローに急を報せたのだろうと尋ねていた。夫と兄が戦わなければならないことを悲しむ市。サブローが逃げ切ったことを知る市だが、久政(村井國夫)から朝倉義景(小市慢太郎)の間者に撃たれたと聞かされ絶句する。  　一命は取り留めたが、意識の戻らないサブローを帰蝶とゆき(夏帆)が必死に看病する。だが、ゆきの様子はどこかおかしい。なぜならゆきこそが朝倉の間者。ゆきは信長の命を必ず奪うことを命じられているのだ。サブロー/織田信長(一人二役):　</v>
      </c>
      <c r="N659" s="2"/>
      <c r="O659" s="2"/>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row>
    <row r="660" ht="204.75" customHeight="1">
      <c r="A660" s="1">
        <v>2429.0</v>
      </c>
      <c r="B660" s="2" t="s">
        <v>2094</v>
      </c>
      <c r="C660" s="2">
        <f>IFERROR(__xludf.DUMMYFUNCTION("split(B660,""_"")"),1410.0)</f>
        <v>1410</v>
      </c>
      <c r="D660" s="2" t="str">
        <f>IFERROR(__xludf.DUMMYFUNCTION("""COMPUTED_VALUE"""),"CX")</f>
        <v>CX</v>
      </c>
      <c r="E660" s="2" t="str">
        <f>IFERROR(__xludf.DUMMYFUNCTION("""COMPUTED_VALUE"""),"月21")</f>
        <v>月21</v>
      </c>
      <c r="F660" s="2" t="s">
        <v>2095</v>
      </c>
      <c r="G660" s="2" t="s">
        <v>2117</v>
      </c>
      <c r="H660" s="1">
        <v>8.0</v>
      </c>
      <c r="I660" s="1" t="s">
        <v>29</v>
      </c>
      <c r="J660" s="1" t="s">
        <v>11</v>
      </c>
      <c r="K660" s="2" t="s">
        <v>2118</v>
      </c>
      <c r="L660" s="8" t="s">
        <v>2119</v>
      </c>
      <c r="M660" s="2" t="str">
        <f>IFERROR(__xludf.DUMMYFUNCTION("split(split(K660,""小栗旬　"",false),""公式LINE"",false)"),"サブロー(小栗旬)は、浅井、朝倉らと戦いを繰り広げた。そして、姉川の戦いで横山城を落とし、ひとまず浅井らを退ける。その勝利で松永弾正久秀(古田新太)も織田勢に加わるとサブローと約束。また、松永はサブローに一国の主としての政治をするよう進言し、領民の声を聞くことから始めるよう促した。ちょうどその時、領民が年貢を下げるよう城門に押し寄せてくる。  　森可成(森下能幸)が領民を押しとどめていると、サブローが現れて自ら話を聞きその場を治める。サブローは、そのまま帰蝶(柴咲コウ)を連れて城下町へ。そこで、サブローは"&amp;"町には座と言う制度があって、自由にものの売り買いが出来ないことを知る。座は商いを独占するための商人組合で、新たに加わるためには多額の金が必要だった。  　サブローは木下藤吉郎(山田孝之)と商人頭に直談判。藤吉郎の機転で、自由な売買を認めさせることに成功。この楽市楽座、関所の撤廃をもって織田領内の経済は活性化。藤吉郎は、この功で名を羽柴秀吉に改めた。さらにサブローは織田領までの街道沿いにある宇佐山城下に、もうひとつ楽市楽座の町を作ることにして、名乗り出た森を責任者に任命する。  　織田家の繁栄を見過ごせない"&amp;"のが浅井長政(高橋一生)たち敵対勢力。摂津、三好と交戦中の松永不利を匂わせ、サブロー率いる織田の主力を援軍に向かわせる。しかし、浅井の真の狙いは町作りを進める宇佐山城にあった。サブロー/織田信長(一人二役):　")</f>
        <v>サブロー(小栗旬)は、浅井、朝倉らと戦いを繰り広げた。そして、姉川の戦いで横山城を落とし、ひとまず浅井らを退ける。その勝利で松永弾正久秀(古田新太)も織田勢に加わるとサブローと約束。また、松永はサブローに一国の主としての政治をするよう進言し、領民の声を聞くことから始めるよう促した。ちょうどその時、領民が年貢を下げるよう城門に押し寄せてくる。  　森可成(森下能幸)が領民を押しとどめていると、サブローが現れて自ら話を聞きその場を治める。サブローは、そのまま帰蝶(柴咲コウ)を連れて城下町へ。そこで、サブローは町には座と言う制度があって、自由にものの売り買いが出来ないことを知る。座は商いを独占するための商人組合で、新たに加わるためには多額の金が必要だった。  　サブローは木下藤吉郎(山田孝之)と商人頭に直談判。藤吉郎の機転で、自由な売買を認めさせることに成功。この楽市楽座、関所の撤廃をもって織田領内の経済は活性化。藤吉郎は、この功で名を羽柴秀吉に改めた。さらにサブローは織田領までの街道沿いにある宇佐山城下に、もうひとつ楽市楽座の町を作ることにして、名乗り出た森を責任者に任命する。  　織田家の繁栄を見過ごせないのが浅井長政(高橋一生)たち敵対勢力。摂津、三好と交戦中の松永不利を匂わせ、サブロー率いる織田の主力を援軍に向かわせる。しかし、浅井の真の狙いは町作りを進める宇佐山城にあった。サブロー/織田信長(一人二役):　</v>
      </c>
      <c r="N660" s="2"/>
      <c r="O660" s="2"/>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row>
    <row r="661" ht="204.75" customHeight="1">
      <c r="A661" s="1">
        <v>2430.0</v>
      </c>
      <c r="B661" s="2" t="s">
        <v>2094</v>
      </c>
      <c r="C661" s="2">
        <f>IFERROR(__xludf.DUMMYFUNCTION("split(B661,""_"")"),1410.0)</f>
        <v>1410</v>
      </c>
      <c r="D661" s="2" t="str">
        <f>IFERROR(__xludf.DUMMYFUNCTION("""COMPUTED_VALUE"""),"CX")</f>
        <v>CX</v>
      </c>
      <c r="E661" s="2" t="str">
        <f>IFERROR(__xludf.DUMMYFUNCTION("""COMPUTED_VALUE"""),"月21")</f>
        <v>月21</v>
      </c>
      <c r="F661" s="2" t="s">
        <v>2095</v>
      </c>
      <c r="G661" s="2" t="s">
        <v>2120</v>
      </c>
      <c r="H661" s="1">
        <v>9.0</v>
      </c>
      <c r="I661" s="1" t="s">
        <v>33</v>
      </c>
      <c r="J661" s="1" t="s">
        <v>11</v>
      </c>
      <c r="K661" s="2" t="s">
        <v>2121</v>
      </c>
      <c r="L661" s="8" t="s">
        <v>2122</v>
      </c>
      <c r="M661" s="2" t="str">
        <f>IFERROR(__xludf.DUMMYFUNCTION("split(split(K661,""小栗旬　"",false),""公式LINE"",false)"),"サブロー(小栗旬)は楽市楽座に続いて、領内での異国人によるキリスト教の布教を認める。明智光秀(小栗旬・二役)は延暦寺の僧たちの反対を心配するが、サブローは大丈夫だと答えた。そんな会話をする2人を、羽柴秀吉(山田孝之)がうかがっていた。秀吉はサブローと光秀がうり二つの顔を持つことを知り、その関係に疑いを抱いている。  　そんな時、徳川家康(濱田岳)が織田の城に急を報せに来た。武田信玄が全国の武将たちに織田討伐を訴えたのだ。すでに武田勢は織田領に向かって進軍を開始していた。動揺する織田家臣たちの心配をぬぐうか"&amp;"のように、家康は自分が浜松で食い止めると三方ヶ原に軍を出す。ところが、武田の激しい攻めに即座に退却。これを知ったサブローは松永弾正久秀(古田新太)に援軍を求める。しかし、松永はすでに武田に寝返っていた。  　織田の軍議で、サブローは武田の最強と言われる騎馬隊に鉄砲で対抗しようと提案。さらにサブローは単発の鉄砲が連射出来る用兵を思いつくのだが、もはや武田勢は目前に迫っていた。連射するための用兵に必要な鉄砲の数をそろえる暇もない。予想をはるかに超えた迅速な武田の攻めに、あきらめようとする家臣たち。すると、サブ"&amp;"ローは家臣たちを鼓舞して武田と戦うことを決意する。そして、サブローは城を秀吉と光秀に任せて出陣した。突き進んでくる武田軍を、援軍のない乏しい手勢で迎え撃とうとするが…。サブロー/織田信長(一人二役):　")</f>
        <v>サブロー(小栗旬)は楽市楽座に続いて、領内での異国人によるキリスト教の布教を認める。明智光秀(小栗旬・二役)は延暦寺の僧たちの反対を心配するが、サブローは大丈夫だと答えた。そんな会話をする2人を、羽柴秀吉(山田孝之)がうかがっていた。秀吉はサブローと光秀がうり二つの顔を持つことを知り、その関係に疑いを抱いている。  　そんな時、徳川家康(濱田岳)が織田の城に急を報せに来た。武田信玄が全国の武将たちに織田討伐を訴えたのだ。すでに武田勢は織田領に向かって進軍を開始していた。動揺する織田家臣たちの心配をぬぐうかのように、家康は自分が浜松で食い止めると三方ヶ原に軍を出す。ところが、武田の激しい攻めに即座に退却。これを知ったサブローは松永弾正久秀(古田新太)に援軍を求める。しかし、松永はすでに武田に寝返っていた。  　織田の軍議で、サブローは武田の最強と言われる騎馬隊に鉄砲で対抗しようと提案。さらにサブローは単発の鉄砲が連射出来る用兵を思いつくのだが、もはや武田勢は目前に迫っていた。連射するための用兵に必要な鉄砲の数をそろえる暇もない。予想をはるかに超えた迅速な武田の攻めに、あきらめようとする家臣たち。すると、サブローは家臣たちを鼓舞して武田と戦うことを決意する。そして、サブローは城を秀吉と光秀に任せて出陣した。突き進んでくる武田軍を、援軍のない乏しい手勢で迎え撃とうとするが…。サブロー/織田信長(一人二役):　</v>
      </c>
      <c r="N661" s="2"/>
      <c r="O661" s="2"/>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row>
    <row r="662" ht="204.75" customHeight="1">
      <c r="A662" s="1">
        <v>2431.0</v>
      </c>
      <c r="B662" s="2" t="s">
        <v>2094</v>
      </c>
      <c r="C662" s="2">
        <f>IFERROR(__xludf.DUMMYFUNCTION("split(B662,""_"")"),1410.0)</f>
        <v>1410</v>
      </c>
      <c r="D662" s="2" t="str">
        <f>IFERROR(__xludf.DUMMYFUNCTION("""COMPUTED_VALUE"""),"CX")</f>
        <v>CX</v>
      </c>
      <c r="E662" s="2" t="str">
        <f>IFERROR(__xludf.DUMMYFUNCTION("""COMPUTED_VALUE"""),"月21")</f>
        <v>月21</v>
      </c>
      <c r="F662" s="2" t="s">
        <v>2095</v>
      </c>
      <c r="G662" s="2" t="s">
        <v>2123</v>
      </c>
      <c r="H662" s="1">
        <v>10.0</v>
      </c>
      <c r="I662" s="1" t="s">
        <v>37</v>
      </c>
      <c r="J662" s="1" t="s">
        <v>11</v>
      </c>
      <c r="K662" s="2" t="s">
        <v>2124</v>
      </c>
      <c r="L662" s="8" t="s">
        <v>2125</v>
      </c>
      <c r="M662" s="2" t="str">
        <f>IFERROR(__xludf.DUMMYFUNCTION("split(split(K662,""小栗旬　"",false),""公式LINE"",false)"),"延暦寺の一件で、サブロー(小栗旬)はもう信長を続けられないと明智光秀(小栗旬・二役)に話す。家臣たちにどう説明すればよいのかと訴えるサブローに、光秀は代わりに自分が申し開きをすると言う。しかし、サブローは光秀にこれ以上余計なマネはしないで欲しいと遮り、説明は自分が行うと決意した。  　家臣たちを前にしたサブローは、延暦寺攻めが間違っていたと頭を下げる。だが家臣たちは織田家を守るためには仕方なかったという見解で一致していた。それでもサブローは、二度と同じ行為はしないと誓い、家臣たちにも念を押す。サブローが大"&amp;"広間を後にすると、光秀も出て行った。その時、池田恒興(向井理)は光秀が忘れた扇子に気づく。拾い上げて開いた扇子の柄は、恒興を驚かせた。  　羽柴秀吉(山田孝之)に疑いを抱く竹中半兵衛(藤木直人)は、重矩(上山竜治)に木下藤吉郎の素性を調べるよう命令する。藤吉郎は秀吉が改名する前に名乗っていた名前。一方、秀吉は蜂須賀小六(勝矢)に、面白いものを見せてやると不気味な予告をしていた。  　帰蝶(柴咲コウ)は、ゆき(夏帆)の将来を憂い、サブローに相談。サブローは前田利家(藤ヶ谷太輔)に、ゆきとデートするよう薦める"&amp;"。だが、サブローは他人の心配をしている場合ではなかった。信頼していた恒興が、光秀が本当の信長ではないかと気づいたのだ。恒興は、光秀、沢彦(でんでん)と密談。ついに恒興は真実を知る。サブロー/織田信長(一人二役):　")</f>
        <v>延暦寺の一件で、サブロー(小栗旬)はもう信長を続けられないと明智光秀(小栗旬・二役)に話す。家臣たちにどう説明すればよいのかと訴えるサブローに、光秀は代わりに自分が申し開きをすると言う。しかし、サブローは光秀にこれ以上余計なマネはしないで欲しいと遮り、説明は自分が行うと決意した。  　家臣たちを前にしたサブローは、延暦寺攻めが間違っていたと頭を下げる。だが家臣たちは織田家を守るためには仕方なかったという見解で一致していた。それでもサブローは、二度と同じ行為はしないと誓い、家臣たちにも念を押す。サブローが大広間を後にすると、光秀も出て行った。その時、池田恒興(向井理)は光秀が忘れた扇子に気づく。拾い上げて開いた扇子の柄は、恒興を驚かせた。  　羽柴秀吉(山田孝之)に疑いを抱く竹中半兵衛(藤木直人)は、重矩(上山竜治)に木下藤吉郎の素性を調べるよう命令する。藤吉郎は秀吉が改名する前に名乗っていた名前。一方、秀吉は蜂須賀小六(勝矢)に、面白いものを見せてやると不気味な予告をしていた。  　帰蝶(柴咲コウ)は、ゆき(夏帆)の将来を憂い、サブローに相談。サブローは前田利家(藤ヶ谷太輔)に、ゆきとデートするよう薦める。だが、サブローは他人の心配をしている場合ではなかった。信頼していた恒興が、光秀が本当の信長ではないかと気づいたのだ。恒興は、光秀、沢彦(でんでん)と密談。ついに恒興は真実を知る。サブロー/織田信長(一人二役):　</v>
      </c>
      <c r="N662" s="2"/>
      <c r="O662" s="2"/>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row>
    <row r="663" ht="204.75" customHeight="1">
      <c r="A663" s="1">
        <v>2432.0</v>
      </c>
      <c r="B663" s="2" t="s">
        <v>2094</v>
      </c>
      <c r="C663" s="2">
        <f>IFERROR(__xludf.DUMMYFUNCTION("split(B663,""_"")"),1410.0)</f>
        <v>1410</v>
      </c>
      <c r="D663" s="2" t="str">
        <f>IFERROR(__xludf.DUMMYFUNCTION("""COMPUTED_VALUE"""),"CX")</f>
        <v>CX</v>
      </c>
      <c r="E663" s="2" t="str">
        <f>IFERROR(__xludf.DUMMYFUNCTION("""COMPUTED_VALUE"""),"月21")</f>
        <v>月21</v>
      </c>
      <c r="F663" s="2" t="s">
        <v>2095</v>
      </c>
      <c r="G663" s="2" t="s">
        <v>2126</v>
      </c>
      <c r="H663" s="1">
        <v>11.0</v>
      </c>
      <c r="I663" s="1" t="s">
        <v>41</v>
      </c>
      <c r="J663" s="1" t="s">
        <v>4</v>
      </c>
      <c r="K663" s="2" t="s">
        <v>2127</v>
      </c>
      <c r="L663" s="8" t="s">
        <v>2128</v>
      </c>
      <c r="M663" s="2" t="str">
        <f>IFERROR(__xludf.DUMMYFUNCTION("split(split(K663,""小栗旬　"",false),""公式LINE"",false)"),"サブロー(小栗旬)は本物の信長でないことを池田恒興(向井理)に知られ、織田家から出て行けと突きつけられる。そんな時、浅井、朝倉軍が合流し、攻めてくるとの報がもたらされた。いざ開戦とはやる家臣たちだが、サブローは両家との和睦を主張。憎しみの連鎖を断ち切りたいと告げるサブローに、家臣たちも納得した。サブローは、竹中半兵衛(藤木直人)を和睦の使者に任命し、浅井と会見の約束を取り付けるよう頼む。だが、羽柴秀吉(山田孝之)が危険だと遮ったため、書状を送ることに。  　軍議後、サブローはこの件が終わったら城を去ると恒"&amp;"興と約束。恒興は、サブローの決意を明智光秀(小栗旬・二役)に報告する。今や家臣たちの信頼はサブローが一身に集めていると語る光秀。すると沢彦(でんでん)は、サブローが去った時こそ実権を取り戻さなくてはならないと諭す。  　半兵衛は秀吉に疑念を抱いていた。秀吉は、浅井に通じていることを伏せたかったのはもちろん、すでに一計を案じている様子。一方、織田の書状が届いた浅井家は揺れる。やはり身内を亡くした家臣たちの恨みは根深かった。それでも会見に応じようとする長政(高橋一生)だが、思いがけない事件が起きてしまう。  "&amp;"　サブローは帰蝶(柴咲コウ)に全てを打ち明けようとするが、上手く話すことが出来なかった。そんな中、サブローは同じ思いを持つ友と信じる長政との会見に臨むが…。サブロー/織田信長(一人二役):　")</f>
        <v>サブロー(小栗旬)は本物の信長でないことを池田恒興(向井理)に知られ、織田家から出て行けと突きつけられる。そんな時、浅井、朝倉軍が合流し、攻めてくるとの報がもたらされた。いざ開戦とはやる家臣たちだが、サブローは両家との和睦を主張。憎しみの連鎖を断ち切りたいと告げるサブローに、家臣たちも納得した。サブローは、竹中半兵衛(藤木直人)を和睦の使者に任命し、浅井と会見の約束を取り付けるよう頼む。だが、羽柴秀吉(山田孝之)が危険だと遮ったため、書状を送ることに。  　軍議後、サブローはこの件が終わったら城を去ると恒興と約束。恒興は、サブローの決意を明智光秀(小栗旬・二役)に報告する。今や家臣たちの信頼はサブローが一身に集めていると語る光秀。すると沢彦(でんでん)は、サブローが去った時こそ実権を取り戻さなくてはならないと諭す。  　半兵衛は秀吉に疑念を抱いていた。秀吉は、浅井に通じていることを伏せたかったのはもちろん、すでに一計を案じている様子。一方、織田の書状が届いた浅井家は揺れる。やはり身内を亡くした家臣たちの恨みは根深かった。それでも会見に応じようとする長政(高橋一生)だが、思いがけない事件が起きてしまう。  　サブローは帰蝶(柴咲コウ)に全てを打ち明けようとするが、上手く話すことが出来なかった。そんな中、サブローは同じ思いを持つ友と信じる長政との会見に臨むが…。サブロー/織田信長(一人二役):　</v>
      </c>
      <c r="N663" s="2"/>
      <c r="O663" s="2"/>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row>
    <row r="664" ht="204.75" customHeight="1">
      <c r="A664" s="1">
        <v>2433.0</v>
      </c>
      <c r="B664" s="2" t="s">
        <v>2129</v>
      </c>
      <c r="C664" s="2">
        <f>IFERROR(__xludf.DUMMYFUNCTION("split(B664,""_"")"),1410.0)</f>
        <v>1410</v>
      </c>
      <c r="D664" s="2" t="str">
        <f>IFERROR(__xludf.DUMMYFUNCTION("""COMPUTED_VALUE"""),"CX")</f>
        <v>CX</v>
      </c>
      <c r="E664" s="2" t="str">
        <f>IFERROR(__xludf.DUMMYFUNCTION("""COMPUTED_VALUE"""),"火21")</f>
        <v>火21</v>
      </c>
      <c r="F664" s="2" t="s">
        <v>2130</v>
      </c>
      <c r="G664" s="2" t="s">
        <v>2131</v>
      </c>
      <c r="H664" s="1">
        <v>1.0</v>
      </c>
      <c r="I664" s="1" t="s">
        <v>3</v>
      </c>
      <c r="J664" s="1" t="s">
        <v>4</v>
      </c>
      <c r="K664" s="4" t="s">
        <v>2132</v>
      </c>
      <c r="L664" s="2" t="s">
        <v>2133</v>
      </c>
      <c r="M664" s="2" t="str">
        <f>IFERROR(__xludf.DUMMYFUNCTION("split(split(K664,""武井咲　"",false),""公式LINE"",false)"),"神南大学工学部建築学科3年の西之園萌絵(武井咲)は、同学科の准教授の犀川創平(綾野剛)に、ある報告をした。“もっとも神に近い人間""と犀川も絶賛する天才プログラマーの真賀田四季(早見あかり)に、面会して来たというのだ。四季は、事情により幽閉されているが、萌絵は、県知事の叔母に頼んで面会にこぎつけた。  　犀川がそれをうらやんでいると、助教の国枝桃子(水沢エレナ)がやって来る。犀川は国枝に、これから同大学の極地環境研究センターに出かけると話す。犀川に好意を持つ萌絵は、一緒に付いて行く。  　ふたりを迎えた工"&amp;"学部土木工学科准教授の喜多北斗(小澤征悦)の案内で、萌絵と犀川はマイナス20度の低温実験室を見学する。その後、萌絵の先輩の服部珠子(吉谷彩子)に誘われ、ふたりは実験終了の打ち上げに参加。そこには、土木工学科教授の木熊京介(平田満)や助教の市ノ瀬里佳(市川由衣)を始め、複数の学生もいた。  　打ち上げは始まったが、なんと実験室の隣室で珠子が、さらにその隣室で丹羽健二郎(菊田大輔)が殺害されていた。  　駆けつけた警察により、喜多らは事情を聞かれる。萌絵と犀川もそこにいたが、刑事の鵜飼大介(戸次重幸)によって"&amp;"帰宅を許される。驚く現場の刑事に鵜飼は、萌絵が県警本部長の西之園捷輔(吉田鋼太郎)の姪だと明かす。すると、突然萌絵が、犯人の逃走経路について話し始め…。")</f>
        <v>神南大学工学部建築学科3年の西之園萌絵(武井咲)は、同学科の准教授の犀川創平(綾野剛)に、ある報告をした。“もっとも神に近い人間"と犀川も絶賛する天才プログラマーの真賀田四季(早見あかり)に、面会して来たというのだ。四季は、事情により幽閉されているが、萌絵は、県知事の叔母に頼んで面会にこぎつけた。  　犀川がそれをうらやんでいると、助教の国枝桃子(水沢エレナ)がやって来る。犀川は国枝に、これから同大学の極地環境研究センターに出かけると話す。犀川に好意を持つ萌絵は、一緒に付いて行く。  　ふたりを迎えた工学部土木工学科准教授の喜多北斗(小澤征悦)の案内で、萌絵と犀川はマイナス20度の低温実験室を見学する。その後、萌絵の先輩の服部珠子(吉谷彩子)に誘われ、ふたりは実験終了の打ち上げに参加。そこには、土木工学科教授の木熊京介(平田満)や助教の市ノ瀬里佳(市川由衣)を始め、複数の学生もいた。  　打ち上げは始まったが、なんと実験室の隣室で珠子が、さらにその隣室で丹羽健二郎(菊田大輔)が殺害されていた。  　駆けつけた警察により、喜多らは事情を聞かれる。萌絵と犀川もそこにいたが、刑事の鵜飼大介(戸次重幸)によって帰宅を許される。驚く現場の刑事に鵜飼は、萌絵が県警本部長の西之園捷輔(吉田鋼太郎)の姪だと明かす。すると、突然萌絵が、犯人の逃走経路について話し始め…。</v>
      </c>
      <c r="N664" s="2"/>
      <c r="O664" s="2"/>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row>
    <row r="665" ht="204.75" customHeight="1">
      <c r="A665" s="1">
        <v>2434.0</v>
      </c>
      <c r="B665" s="2" t="s">
        <v>2129</v>
      </c>
      <c r="C665" s="2">
        <f>IFERROR(__xludf.DUMMYFUNCTION("split(B665,""_"")"),1410.0)</f>
        <v>1410</v>
      </c>
      <c r="D665" s="2" t="str">
        <f>IFERROR(__xludf.DUMMYFUNCTION("""COMPUTED_VALUE"""),"CX")</f>
        <v>CX</v>
      </c>
      <c r="E665" s="2" t="str">
        <f>IFERROR(__xludf.DUMMYFUNCTION("""COMPUTED_VALUE"""),"火21")</f>
        <v>火21</v>
      </c>
      <c r="F665" s="2" t="s">
        <v>2130</v>
      </c>
      <c r="G665" s="2" t="s">
        <v>2134</v>
      </c>
      <c r="H665" s="1">
        <v>2.0</v>
      </c>
      <c r="I665" s="1" t="s">
        <v>7</v>
      </c>
      <c r="J665" s="1" t="s">
        <v>11</v>
      </c>
      <c r="K665" s="2" t="s">
        <v>2135</v>
      </c>
      <c r="L665" s="2" t="s">
        <v>2136</v>
      </c>
      <c r="M665" s="2" t="str">
        <f>IFERROR(__xludf.DUMMYFUNCTION("split(split(K665,""武井咲　"",false),""公式LINE"",false)"),"何者かにより低温実験室に閉じ込められた萌絵(武井咲)は、犀川(綾野剛)に救助され一命を取り留める。集中治療室に運ばれた萌絵の元へ、叔父の捷輔(吉田鋼太郎)がやってくる。捷輔は犀川に、萌絵が事件のことを調べているのは、犀川に認められたいからだろう、と話した。  　翌朝、一般病棟に移った萌絵のそばには犀川がいた。犀川は萌絵に、犯人の目星が付いているだろう、誰だと思うか、と聞く。萌絵は、犀川の推察と同じだと答え、自分の代わりにそれを確かめて来てほしいと頼む。  　同じ頃、極地環境研究センターに里佳(市川由衣)が"&amp;"出勤して来る。早い出勤に驚く守衛に里佳は、出張先から直接戻ったのだ、と明かした。  　その頃、研究センターに着いた犀川は、悲鳴を聞いて建物に駆け込む。なんと木熊(平田満)が倒れていて、隣では里佳が震えていた。  　刑事の鵜飼(戸次重幸)は、同じ場所から4つも遺体が出るとはと、ため息をもらす。犀川は、そんな鵜飼から情報を収集し考察を重ねる。さらに喜多(小澤征悦)に、亡くなった増田のパソコンに残された「shika」というフォルダについて聞くと、喜多は、誰かの登録名では、と答える。  　研究室に戻った犀川は、桃"&amp;"子(水沢エレナ)から、犀川のパソコンのセキュリティーが何者かによって破られていたことを聞く。やがて犀川は誰かにメールを打つ。手法はすべて自明ーー、と書き始めた相手は、shikaだった。")</f>
        <v>何者かにより低温実験室に閉じ込められた萌絵(武井咲)は、犀川(綾野剛)に救助され一命を取り留める。集中治療室に運ばれた萌絵の元へ、叔父の捷輔(吉田鋼太郎)がやってくる。捷輔は犀川に、萌絵が事件のことを調べているのは、犀川に認められたいからだろう、と話した。  　翌朝、一般病棟に移った萌絵のそばには犀川がいた。犀川は萌絵に、犯人の目星が付いているだろう、誰だと思うか、と聞く。萌絵は、犀川の推察と同じだと答え、自分の代わりにそれを確かめて来てほしいと頼む。  　同じ頃、極地環境研究センターに里佳(市川由衣)が出勤して来る。早い出勤に驚く守衛に里佳は、出張先から直接戻ったのだ、と明かした。  　その頃、研究センターに着いた犀川は、悲鳴を聞いて建物に駆け込む。なんと木熊(平田満)が倒れていて、隣では里佳が震えていた。  　刑事の鵜飼(戸次重幸)は、同じ場所から4つも遺体が出るとはと、ため息をもらす。犀川は、そんな鵜飼から情報を収集し考察を重ねる。さらに喜多(小澤征悦)に、亡くなった増田のパソコンに残された「shika」というフォルダについて聞くと、喜多は、誰かの登録名では、と答える。  　研究室に戻った犀川は、桃子(水沢エレナ)から、犀川のパソコンのセキュリティーが何者かによって破られていたことを聞く。やがて犀川は誰かにメールを打つ。手法はすべて自明ーー、と書き始めた相手は、shikaだった。</v>
      </c>
      <c r="N665" s="2"/>
      <c r="O665" s="2"/>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row>
    <row r="666" ht="204.75" customHeight="1">
      <c r="A666" s="1">
        <v>2435.0</v>
      </c>
      <c r="B666" s="2" t="s">
        <v>2129</v>
      </c>
      <c r="C666" s="2">
        <f>IFERROR(__xludf.DUMMYFUNCTION("split(B666,""_"")"),1410.0)</f>
        <v>1410</v>
      </c>
      <c r="D666" s="2" t="str">
        <f>IFERROR(__xludf.DUMMYFUNCTION("""COMPUTED_VALUE"""),"CX")</f>
        <v>CX</v>
      </c>
      <c r="E666" s="2" t="str">
        <f>IFERROR(__xludf.DUMMYFUNCTION("""COMPUTED_VALUE"""),"火21")</f>
        <v>火21</v>
      </c>
      <c r="F666" s="2" t="s">
        <v>2130</v>
      </c>
      <c r="G666" s="2" t="s">
        <v>2137</v>
      </c>
      <c r="H666" s="1">
        <v>3.0</v>
      </c>
      <c r="I666" s="1" t="s">
        <v>10</v>
      </c>
      <c r="J666" s="1" t="s">
        <v>11</v>
      </c>
      <c r="K666" s="2" t="s">
        <v>2138</v>
      </c>
      <c r="L666" s="2" t="s">
        <v>2139</v>
      </c>
      <c r="M666" s="2" t="str">
        <f>IFERROR(__xludf.DUMMYFUNCTION("split(split(K666,""武井咲　"",false),""公式LINE"",false)"),"萌絵(武井咲)は犀川(綾野剛)を誘い、香山という一家が暮らす日本家屋にやってくる。名目は「歴史的建造物の調査」だが、萌絵の興味は香山家に伝わる壺と匣(はこ)にあった。鍵のかかった匣には対となる壺があり、中に鍵らしきものが入っているがそれを取り出すことはできない。50年前、当主で仏画師の香山風采の死亡事件が起こったとき、壺に風采の血痕が付着していた。それを見た警察が匣を開けようとしたが、息子で同じく仏画師の林水がそれを拒んだという。  　いわく付きの壺と匣を見たい萌絵は犀川とともにそれが置かれている蔵まで来"&amp;"るが使用人に制される。それでも粘る萌絵を現在の当主・香山林水(横内正)の妻であるフミ(真野響子)が厳しく制した。  　別の日、萌絵、犀川、萌絵の叔父・捷輔(吉田鋼太郎)がレストランにいると、林水の長女で漫画家のマリモ(原田夏希)がやってくる。捷輔の妻が風采の画が好きだったことから、捷輔はマリモと知り合ったという。  　マリモの取り計らいで再び香山家を訪ねた萌絵と犀川は通された客間でマリモを待つが、約束の時間を過ぎてもマリモは帰宅しない。やがて萌絵が部屋を出ようと襖を開けると、蔵の方から叫び声がした。萌絵と"&amp;"犀川が駆けつけると、フミら一族が集まっていた。蔵の中に大量の血痕があったが、そこにいるはずの林水の姿はなかった。しかし、そばにはあの壺と匣があり、白い壺の表面には血痕が…。")</f>
        <v>萌絵(武井咲)は犀川(綾野剛)を誘い、香山という一家が暮らす日本家屋にやってくる。名目は「歴史的建造物の調査」だが、萌絵の興味は香山家に伝わる壺と匣(はこ)にあった。鍵のかかった匣には対となる壺があり、中に鍵らしきものが入っているがそれを取り出すことはできない。50年前、当主で仏画師の香山風采の死亡事件が起こったとき、壺に風采の血痕が付着していた。それを見た警察が匣を開けようとしたが、息子で同じく仏画師の林水がそれを拒んだという。  　いわく付きの壺と匣を見たい萌絵は犀川とともにそれが置かれている蔵まで来るが使用人に制される。それでも粘る萌絵を現在の当主・香山林水(横内正)の妻であるフミ(真野響子)が厳しく制した。  　別の日、萌絵、犀川、萌絵の叔父・捷輔(吉田鋼太郎)がレストランにいると、林水の長女で漫画家のマリモ(原田夏希)がやってくる。捷輔の妻が風采の画が好きだったことから、捷輔はマリモと知り合ったという。  　マリモの取り計らいで再び香山家を訪ねた萌絵と犀川は通された客間でマリモを待つが、約束の時間を過ぎてもマリモは帰宅しない。やがて萌絵が部屋を出ようと襖を開けると、蔵の方から叫び声がした。萌絵と犀川が駆けつけると、フミら一族が集まっていた。蔵の中に大量の血痕があったが、そこにいるはずの林水の姿はなかった。しかし、そばにはあの壺と匣があり、白い壺の表面には血痕が…。</v>
      </c>
      <c r="N666" s="2"/>
      <c r="O666" s="2"/>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row>
    <row r="667" ht="204.75" customHeight="1">
      <c r="A667" s="1">
        <v>2436.0</v>
      </c>
      <c r="B667" s="2" t="s">
        <v>2129</v>
      </c>
      <c r="C667" s="2">
        <f>IFERROR(__xludf.DUMMYFUNCTION("split(B667,""_"")"),1410.0)</f>
        <v>1410</v>
      </c>
      <c r="D667" s="2" t="str">
        <f>IFERROR(__xludf.DUMMYFUNCTION("""COMPUTED_VALUE"""),"CX")</f>
        <v>CX</v>
      </c>
      <c r="E667" s="2" t="str">
        <f>IFERROR(__xludf.DUMMYFUNCTION("""COMPUTED_VALUE"""),"火21")</f>
        <v>火21</v>
      </c>
      <c r="F667" s="2" t="s">
        <v>2130</v>
      </c>
      <c r="G667" s="2" t="s">
        <v>2140</v>
      </c>
      <c r="H667" s="1">
        <v>4.0</v>
      </c>
      <c r="I667" s="1" t="s">
        <v>14</v>
      </c>
      <c r="J667" s="1" t="s">
        <v>11</v>
      </c>
      <c r="K667" s="2" t="s">
        <v>2141</v>
      </c>
      <c r="L667" s="2" t="s">
        <v>2142</v>
      </c>
      <c r="M667" s="2" t="str">
        <f>IFERROR(__xludf.DUMMYFUNCTION("split(split(K667,""武井咲　"",false),""公式LINE"",false)"),"萌絵(武井咲)は、大広間に集まった香山家の人々に病院から失踪したマリモ(原田夏希)が、林水(横内正)の死に関連している可能性があると切り出した。一方、犀川(綾野剛)は一人、部屋の隅にいた。  　また、刑事の鵜飼(戸次重幸)は、屋敷の裏門付近にマリモのタバコの吸い殻が落ちていたこと、さらに、林水の息子・多可志(高橋洋)が屋敷を売却しようとして林水に反対されていたことを挙げ、疑いの目を向ける。多可志は、この家は呪われているから売却したほうがいいのだ、とつぶやく。  　その後、萌絵と犀川は、ヒーローのおもちゃで"&amp;"遊ぶ多可志の息子・祐介(高橋來)に声をかける。ヒーローは強いのかと聞く萌絵に、祐介は「もういない」と答える。不思議に思った萌絵は外れていた電池をヒーローにはめてやる。動き出したヒーローを見た祐介は「いた」と答えた。そのやりとりを見ていた犀川は、何かに気づく。　後日、萌絵が再び香山家にやって来ると、犀川が蔵を観察していた。犀川は萌絵に、蔵がウェザリングという技法で古く見えるように塗装されているが、内部にはシリコン素材が使われていて密閉空間になることを教えた。画を湿気から守るためとはいえ、かなりの手間がかかる"&amp;"改装をした理由を、芸術家だからだろう、と犀川は推測した。  　そんな時、中庭から悲鳴が聞こえた。萌絵と犀川が駆け寄ると…。")</f>
        <v>萌絵(武井咲)は、大広間に集まった香山家の人々に病院から失踪したマリモ(原田夏希)が、林水(横内正)の死に関連している可能性があると切り出した。一方、犀川(綾野剛)は一人、部屋の隅にいた。  　また、刑事の鵜飼(戸次重幸)は、屋敷の裏門付近にマリモのタバコの吸い殻が落ちていたこと、さらに、林水の息子・多可志(高橋洋)が屋敷を売却しようとして林水に反対されていたことを挙げ、疑いの目を向ける。多可志は、この家は呪われているから売却したほうがいいのだ、とつぶやく。  　その後、萌絵と犀川は、ヒーローのおもちゃで遊ぶ多可志の息子・祐介(高橋來)に声をかける。ヒーローは強いのかと聞く萌絵に、祐介は「もういない」と答える。不思議に思った萌絵は外れていた電池をヒーローにはめてやる。動き出したヒーローを見た祐介は「いた」と答えた。そのやりとりを見ていた犀川は、何かに気づく。　後日、萌絵が再び香山家にやって来ると、犀川が蔵を観察していた。犀川は萌絵に、蔵がウェザリングという技法で古く見えるように塗装されているが、内部にはシリコン素材が使われていて密閉空間になることを教えた。画を湿気から守るためとはいえ、かなりの手間がかかる改装をした理由を、芸術家だからだろう、と犀川は推測した。  　そんな時、中庭から悲鳴が聞こえた。萌絵と犀川が駆け寄ると…。</v>
      </c>
      <c r="N667" s="2"/>
      <c r="O667" s="2"/>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row>
    <row r="668" ht="204.75" customHeight="1">
      <c r="A668" s="1">
        <v>2437.0</v>
      </c>
      <c r="B668" s="2" t="s">
        <v>2129</v>
      </c>
      <c r="C668" s="2">
        <f>IFERROR(__xludf.DUMMYFUNCTION("split(B668,""_"")"),1410.0)</f>
        <v>1410</v>
      </c>
      <c r="D668" s="2" t="str">
        <f>IFERROR(__xludf.DUMMYFUNCTION("""COMPUTED_VALUE"""),"CX")</f>
        <v>CX</v>
      </c>
      <c r="E668" s="2" t="str">
        <f>IFERROR(__xludf.DUMMYFUNCTION("""COMPUTED_VALUE"""),"火21")</f>
        <v>火21</v>
      </c>
      <c r="F668" s="2" t="s">
        <v>2130</v>
      </c>
      <c r="G668" s="2" t="s">
        <v>2143</v>
      </c>
      <c r="H668" s="1">
        <v>5.0</v>
      </c>
      <c r="I668" s="1" t="s">
        <v>17</v>
      </c>
      <c r="J668" s="1" t="s">
        <v>4</v>
      </c>
      <c r="K668" s="2" t="s">
        <v>2144</v>
      </c>
      <c r="L668" s="2" t="s">
        <v>2145</v>
      </c>
      <c r="M668" s="2" t="str">
        <f>IFERROR(__xludf.DUMMYFUNCTION("split(split(K668,""武井咲　"",false),""公式LINE"",false)"),"西之園萌絵(武井咲)と犀川創平(綾野剛)は、ゼミ旅行と称して真賀田四季(早見あかり)の研究所がある島へやってくる。  　15年前、当時14歳だった四季は両親を殺害した容疑で裁判にかけられるが、心神喪失が認められ無罪となっていた。天才プログラマーとしてその名を馳せた四季の事件は、世間を大きく騒がせた。以来、四季は研究所にこもり、一度も外出していないという。  　特別な許可を得て研究所を訪ねた萌絵と犀川は、不在の所長・新藤清二(冨家規政)に代わり副所長の山根幸宏(利重剛)から最新鋭の管理システムについて説明を"&amp;"受ける。そこへ、四季からの緊急コールが入った。地下にいる四季の部屋へと駆けだした山根に続き、萌絵と犀川も走り出した。  　四季の部屋の前室は、警報音が鳴り響きパニック状態に陥っていた。部屋に入りたいが、システムエラーで扉が開かないという。そこへ、清二の妻で四季の叔母の新藤裕見子(藤吉久美子)が現われる。扉を壊して進入するしかないというスタッフに、裕見子は清二の許可がいるとちゅうちょする。  　そのとき、警報音が止んで照明が明滅し始める。主任プログラマーの島田文子(山田真歩)が確認するが原因はわからない。す"&amp;"ると今度は、ロックが自動で解除されゆっくりと扉が開き始めた。暗闇の中、萌絵らが目を凝らすと、ウエディングドレスのような白い服を着た人影がいて…。")</f>
        <v>西之園萌絵(武井咲)と犀川創平(綾野剛)は、ゼミ旅行と称して真賀田四季(早見あかり)の研究所がある島へやってくる。  　15年前、当時14歳だった四季は両親を殺害した容疑で裁判にかけられるが、心神喪失が認められ無罪となっていた。天才プログラマーとしてその名を馳せた四季の事件は、世間を大きく騒がせた。以来、四季は研究所にこもり、一度も外出していないという。  　特別な許可を得て研究所を訪ねた萌絵と犀川は、不在の所長・新藤清二(冨家規政)に代わり副所長の山根幸宏(利重剛)から最新鋭の管理システムについて説明を受ける。そこへ、四季からの緊急コールが入った。地下にいる四季の部屋へと駆けだした山根に続き、萌絵と犀川も走り出した。  　四季の部屋の前室は、警報音が鳴り響きパニック状態に陥っていた。部屋に入りたいが、システムエラーで扉が開かないという。そこへ、清二の妻で四季の叔母の新藤裕見子(藤吉久美子)が現われる。扉を壊して進入するしかないというスタッフに、裕見子は清二の許可がいるとちゅうちょする。  　そのとき、警報音が止んで照明が明滅し始める。主任プログラマーの島田文子(山田真歩)が確認するが原因はわからない。すると今度は、ロックが自動で解除されゆっくりと扉が開き始めた。暗闇の中、萌絵らが目を凝らすと、ウエディングドレスのような白い服を着た人影がいて…。</v>
      </c>
      <c r="N668" s="2"/>
      <c r="O668" s="2"/>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row>
    <row r="669" ht="204.75" customHeight="1">
      <c r="A669" s="1">
        <v>2438.0</v>
      </c>
      <c r="B669" s="2" t="s">
        <v>2129</v>
      </c>
      <c r="C669" s="2">
        <f>IFERROR(__xludf.DUMMYFUNCTION("split(B669,""_"")"),1410.0)</f>
        <v>1410</v>
      </c>
      <c r="D669" s="2" t="str">
        <f>IFERROR(__xludf.DUMMYFUNCTION("""COMPUTED_VALUE"""),"CX")</f>
        <v>CX</v>
      </c>
      <c r="E669" s="2" t="str">
        <f>IFERROR(__xludf.DUMMYFUNCTION("""COMPUTED_VALUE"""),"火21")</f>
        <v>火21</v>
      </c>
      <c r="F669" s="2" t="s">
        <v>2130</v>
      </c>
      <c r="G669" s="2" t="s">
        <v>2146</v>
      </c>
      <c r="H669" s="1">
        <v>6.0</v>
      </c>
      <c r="I669" s="1" t="s">
        <v>21</v>
      </c>
      <c r="J669" s="1" t="s">
        <v>11</v>
      </c>
      <c r="K669" s="2" t="s">
        <v>2147</v>
      </c>
      <c r="L669" s="2" t="s">
        <v>2148</v>
      </c>
      <c r="M669" s="2" t="str">
        <f>IFERROR(__xludf.DUMMYFUNCTION("split(split(K669,""武井咲　"",false),""公式LINE"",false)"),"西之園萌絵(武井咲)と犀川創平(綾野剛)は、真賀田四季(早見あかり)を殺害した犯人がコンピュータシステムで厳重に監視されている研究所の中にどうやって侵入しどこへ消えたのか、手がかりをつかめずにいた。  　そんな折、主任プログラマーの島田文子(山田真歩)が、翌朝10時に記者が所長の新藤清二(冨家規政)を訪ねて来る約束になっていることを突き止める。記者は船で来るためその時間に港に行けば外部と連絡を取ることができる。しかし、副所長の山根幸宏(利重剛)は明日を待たずにコンピュータのオペレーションを別のシステムに切"&amp;"り替え通信を復旧させることを決めた。そうすればすぐに警察にも通報できるが、山根は萌絵と犀川に四季が殺害されたことは黙っていてほしいと頼む。四季の死は研究所の死を意味するから、四季の妹の未来(早見あかり)を代役に仕立てることで研究所を維持するつもりだと言う。  　その後、監視室のモニターで監視カメラの映像を見ていた萌絵があることに気づく。四季の遺体が台車ロボットに乗って現われた時、エレベーターの階数表示は萌絵らがいた地下の「B1」になっていたが、その直後、システムの強制再起動が行われた時の映像では屋上を示す"&amp;"「R」になっていた。それはつまり、あの場にいた全員がパニックに陥るなか、誰かが四季の部屋を出て屋上へと向かった可能性を示していた。しかし映像には誰も映っていない。そのことに萌絵は…。")</f>
        <v>西之園萌絵(武井咲)と犀川創平(綾野剛)は、真賀田四季(早見あかり)を殺害した犯人がコンピュータシステムで厳重に監視されている研究所の中にどうやって侵入しどこへ消えたのか、手がかりをつかめずにいた。  　そんな折、主任プログラマーの島田文子(山田真歩)が、翌朝10時に記者が所長の新藤清二(冨家規政)を訪ねて来る約束になっていることを突き止める。記者は船で来るためその時間に港に行けば外部と連絡を取ることができる。しかし、副所長の山根幸宏(利重剛)は明日を待たずにコンピュータのオペレーションを別のシステムに切り替え通信を復旧させることを決めた。そうすればすぐに警察にも通報できるが、山根は萌絵と犀川に四季が殺害されたことは黙っていてほしいと頼む。四季の死は研究所の死を意味するから、四季の妹の未来(早見あかり)を代役に仕立てることで研究所を維持するつもりだと言う。  　その後、監視室のモニターで監視カメラの映像を見ていた萌絵があることに気づく。四季の遺体が台車ロボットに乗って現われた時、エレベーターの階数表示は萌絵らがいた地下の「B1」になっていたが、その直後、システムの強制再起動が行われた時の映像では屋上を示す「R」になっていた。それはつまり、あの場にいた全員がパニックに陥るなか、誰かが四季の部屋を出て屋上へと向かった可能性を示していた。しかし映像には誰も映っていない。そのことに萌絵は…。</v>
      </c>
      <c r="N669" s="2"/>
      <c r="O669" s="2"/>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row>
    <row r="670" ht="204.75" customHeight="1">
      <c r="A670" s="1">
        <v>2439.0</v>
      </c>
      <c r="B670" s="2" t="s">
        <v>2129</v>
      </c>
      <c r="C670" s="2">
        <f>IFERROR(__xludf.DUMMYFUNCTION("split(B670,""_"")"),1410.0)</f>
        <v>1410</v>
      </c>
      <c r="D670" s="2" t="str">
        <f>IFERROR(__xludf.DUMMYFUNCTION("""COMPUTED_VALUE"""),"CX")</f>
        <v>CX</v>
      </c>
      <c r="E670" s="2" t="str">
        <f>IFERROR(__xludf.DUMMYFUNCTION("""COMPUTED_VALUE"""),"火21")</f>
        <v>火21</v>
      </c>
      <c r="F670" s="2" t="s">
        <v>2130</v>
      </c>
      <c r="G670" s="2" t="s">
        <v>2149</v>
      </c>
      <c r="H670" s="1">
        <v>7.0</v>
      </c>
      <c r="I670" s="1" t="s">
        <v>25</v>
      </c>
      <c r="J670" s="1" t="s">
        <v>11</v>
      </c>
      <c r="K670" s="2" t="s">
        <v>2150</v>
      </c>
      <c r="L670" s="2" t="s">
        <v>2151</v>
      </c>
      <c r="M670" s="2" t="str">
        <f>IFERROR(__xludf.DUMMYFUNCTION("split(split(K670,""武井咲　"",false),""公式LINE"",false)"),"西之園萌絵(武井咲)は、従兄で有名作家の大御坊安朋(小松和重)から緊急事態だと連絡を受け、彼が主催するイベント会場にやってくる。そこは模型とフィギュアが展示された「モデラーズフェス」で、有名モデラーや造形師が作った作品にマニアが集まり、雑誌記者の儀同世津子(臼田あさ美)も取材に来ていた。  　そんな会場の控室で大御坊は萌絵に、SFのコスプレスーツを着てくれと頼む。それを着るはずだった筒見明日香(山川紗弥)と連絡が取れなくなったため、萌絵に代役としてイベントに出てほしいと言う。  　同じ頃、犀川創平(綾野剛"&amp;")も喜多北斗(小澤征悦)と会場にいた。ふたりは大御坊の中学高校の同級生で招待されていたのだ。  　大御坊の頼みを断り切れなかった萌絵は、渋々スーツを着ることに。するとそこへ、明日香の兄の紀世都(中島歩)が来て「寺林」を知らないか、と大御坊に尋ねる。寺林が第二控室の鍵を持ったまま連絡が取れないので、みんなが困っていると言う。  　そんな時、廊下から悲鳴が聞こえ駆けだした萌絵は、守衛によって開けられた第二控室をのぞく。そこには、頭部が切断された明日香の遺体があった。さらに近くには出血して倒れている男ーー寺林高"&amp;"司(山本耕史)がいた。  　そこへ、鵜飼大介(戸次重幸)と片桐誠人(坂本真)が駆け込んでくる。鵜飼は別の事件の容疑者となっている寺林を探していたのだ。一方、萌絵は…。")</f>
        <v>西之園萌絵(武井咲)は、従兄で有名作家の大御坊安朋(小松和重)から緊急事態だと連絡を受け、彼が主催するイベント会場にやってくる。そこは模型とフィギュアが展示された「モデラーズフェス」で、有名モデラーや造形師が作った作品にマニアが集まり、雑誌記者の儀同世津子(臼田あさ美)も取材に来ていた。  　そんな会場の控室で大御坊は萌絵に、SFのコスプレスーツを着てくれと頼む。それを着るはずだった筒見明日香(山川紗弥)と連絡が取れなくなったため、萌絵に代役としてイベントに出てほしいと言う。  　同じ頃、犀川創平(綾野剛)も喜多北斗(小澤征悦)と会場にいた。ふたりは大御坊の中学高校の同級生で招待されていたのだ。  　大御坊の頼みを断り切れなかった萌絵は、渋々スーツを着ることに。するとそこへ、明日香の兄の紀世都(中島歩)が来て「寺林」を知らないか、と大御坊に尋ねる。寺林が第二控室の鍵を持ったまま連絡が取れないので、みんなが困っていると言う。  　そんな時、廊下から悲鳴が聞こえ駆けだした萌絵は、守衛によって開けられた第二控室をのぞく。そこには、頭部が切断された明日香の遺体があった。さらに近くには出血して倒れている男ーー寺林高司(山本耕史)がいた。  　そこへ、鵜飼大介(戸次重幸)と片桐誠人(坂本真)が駆け込んでくる。鵜飼は別の事件の容疑者となっている寺林を探していたのだ。一方、萌絵は…。</v>
      </c>
      <c r="N670" s="2"/>
      <c r="O670" s="2"/>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row>
    <row r="671" ht="204.75" customHeight="1">
      <c r="A671" s="1">
        <v>2440.0</v>
      </c>
      <c r="B671" s="2" t="s">
        <v>2129</v>
      </c>
      <c r="C671" s="2">
        <f>IFERROR(__xludf.DUMMYFUNCTION("split(B671,""_"")"),1410.0)</f>
        <v>1410</v>
      </c>
      <c r="D671" s="2" t="str">
        <f>IFERROR(__xludf.DUMMYFUNCTION("""COMPUTED_VALUE"""),"CX")</f>
        <v>CX</v>
      </c>
      <c r="E671" s="2" t="str">
        <f>IFERROR(__xludf.DUMMYFUNCTION("""COMPUTED_VALUE"""),"火21")</f>
        <v>火21</v>
      </c>
      <c r="F671" s="2" t="s">
        <v>2130</v>
      </c>
      <c r="G671" s="2" t="s">
        <v>2152</v>
      </c>
      <c r="H671" s="1">
        <v>8.0</v>
      </c>
      <c r="I671" s="1" t="s">
        <v>29</v>
      </c>
      <c r="J671" s="1" t="s">
        <v>11</v>
      </c>
      <c r="K671" s="2" t="s">
        <v>2153</v>
      </c>
      <c r="L671" s="2" t="s">
        <v>2154</v>
      </c>
      <c r="M671" s="2" t="str">
        <f>IFERROR(__xludf.DUMMYFUNCTION("split(split(K671,""武井咲　"",false),""公式LINE"",false)"),"西之園萌絵(武井咲)は、筒見紀世都(中島歩)のアトリエに明日香(山川紗弥)の等身大のフィギュアがあったこと、異常としか思えない一面を目撃したことから、明日香を偏愛する紀世都が彼女を殺害したのでは、と犀川創平(綾野剛)に話す。  　そこへ、儀同世津子(臼田あさ美)がやってくる。犀川に対する世津子の親しげな態度にいらだち萌絵は研究室を出る。すると、浜中深志(岡山天音)が来て封筒を手渡した。紀世都から送られたその手紙を読んだ萌絵はどこかへと向かうが、そのとき、寺林高司(山本耕史)から連絡が入る。寺林はどうしても"&amp;"調べたいことがあり病院を抜け出したという。萌絵が問い詰めると、紀世都のところに行くつもりだと明かした。  　萌絵と寺林が紀世都のアトリエの前に来ると、喜多北斗(小澤征悦)と大御坊安朋(小松和重)に声をかけられる。紀世都と連絡が取れないため、心配して来たのだと大御坊は言う。4人でアトリエに入ると、そこはロウソクの光が蛍のように点灯する幻想的な空間だった。紀世都の姿は見当たらないが、大御坊は、紀世都はこれを自分たちに見せようとしているのでは、と鑑賞し始める。そのとき、大きな機械音が響き、アトリエに置かれたペッ"&amp;"トボトルのロケットが四方に発射される。ペットボトル内の液体が雨のように巻き散らかされるが、それはアルコールでロウソクに引火し炎が上がる。煙が立ちこめるなか萌絵が紀世都を探すと…。")</f>
        <v>西之園萌絵(武井咲)は、筒見紀世都(中島歩)のアトリエに明日香(山川紗弥)の等身大のフィギュアがあったこと、異常としか思えない一面を目撃したことから、明日香を偏愛する紀世都が彼女を殺害したのでは、と犀川創平(綾野剛)に話す。  　そこへ、儀同世津子(臼田あさ美)がやってくる。犀川に対する世津子の親しげな態度にいらだち萌絵は研究室を出る。すると、浜中深志(岡山天音)が来て封筒を手渡した。紀世都から送られたその手紙を読んだ萌絵はどこかへと向かうが、そのとき、寺林高司(山本耕史)から連絡が入る。寺林はどうしても調べたいことがあり病院を抜け出したという。萌絵が問い詰めると、紀世都のところに行くつもりだと明かした。  　萌絵と寺林が紀世都のアトリエの前に来ると、喜多北斗(小澤征悦)と大御坊安朋(小松和重)に声をかけられる。紀世都と連絡が取れないため、心配して来たのだと大御坊は言う。4人でアトリエに入ると、そこはロウソクの光が蛍のように点灯する幻想的な空間だった。紀世都の姿は見当たらないが、大御坊は、紀世都はこれを自分たちに見せようとしているのでは、と鑑賞し始める。そのとき、大きな機械音が響き、アトリエに置かれたペットボトルのロケットが四方に発射される。ペットボトル内の液体が雨のように巻き散らかされるが、それはアルコールでロウソクに引火し炎が上がる。煙が立ちこめるなか萌絵が紀世都を探すと…。</v>
      </c>
      <c r="N671" s="2"/>
      <c r="O671" s="2"/>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row>
    <row r="672" ht="204.75" customHeight="1">
      <c r="A672" s="1">
        <v>2441.0</v>
      </c>
      <c r="B672" s="2" t="s">
        <v>2129</v>
      </c>
      <c r="C672" s="2">
        <f>IFERROR(__xludf.DUMMYFUNCTION("split(B672,""_"")"),1410.0)</f>
        <v>1410</v>
      </c>
      <c r="D672" s="2" t="str">
        <f>IFERROR(__xludf.DUMMYFUNCTION("""COMPUTED_VALUE"""),"CX")</f>
        <v>CX</v>
      </c>
      <c r="E672" s="2" t="str">
        <f>IFERROR(__xludf.DUMMYFUNCTION("""COMPUTED_VALUE"""),"火21")</f>
        <v>火21</v>
      </c>
      <c r="F672" s="2" t="s">
        <v>2130</v>
      </c>
      <c r="G672" s="2" t="s">
        <v>2155</v>
      </c>
      <c r="H672" s="1">
        <v>9.0</v>
      </c>
      <c r="I672" s="1" t="s">
        <v>33</v>
      </c>
      <c r="J672" s="1" t="s">
        <v>11</v>
      </c>
      <c r="K672" s="2" t="s">
        <v>2156</v>
      </c>
      <c r="L672" s="2" t="s">
        <v>2157</v>
      </c>
      <c r="M672" s="2" t="str">
        <f>IFERROR(__xludf.DUMMYFUNCTION("split(split(K672,""武井咲　"",false),""公式LINE"",false)"),"スーツケースを手にした西之園萌絵(武井咲)は、「ユーロパーク」に到着した。パーク内の貸別荘で犀川ゼミの旅行が計画されていたが、大株主である萌絵は前乗りしてパークを運営するナノクラフト社長の塙理生哉(城田優)と食事の約束をしていた。塙は現在のIT業界で一番の成功者と言われる人物で、萌絵との縁談が浮上したこともあった。  　事情を知った儀同世津子(臼田あさ美)は、犀川創平(綾野剛)に萌絵が心配ではないのか、と聞く。  　萌絵を出迎えたのは、塙の秘書の新庄久美子(青山倫子)だった。萌絵は久美子にパーク内のホテル"&amp;"に案内され、早速、部屋に入った萌絵は、電話の横のメモに書かれた不可思議なメッセージに目を留める。すぐに犀川に電話をし、それが自分の死を予告するものではないか、と話すが、犀川は単なるいたずらで気にすることはないと答える。  　塙との会食の時間になり、萌絵は久美子とエレベーターに乗り込む。久美子がエレベーターにカードキーを差し込むと、表示パネルにはなかった「B1」のボタンが現われた。地下にナノクラフトの研究施設があるが、その存在を知っているのは社内でも限られた人間だけだ、と久美子は話した。地下に着くと通路を歩"&amp;"き、さらに別のエレベーターで今度は1階に上がる。地上に戻ったと思いきや、エレベーターホールの外に出ると、そこは教会の内部だった。すると、塙が現われて…。")</f>
        <v>スーツケースを手にした西之園萌絵(武井咲)は、「ユーロパーク」に到着した。パーク内の貸別荘で犀川ゼミの旅行が計画されていたが、大株主である萌絵は前乗りしてパークを運営するナノクラフト社長の塙理生哉(城田優)と食事の約束をしていた。塙は現在のIT業界で一番の成功者と言われる人物で、萌絵との縁談が浮上したこともあった。  　事情を知った儀同世津子(臼田あさ美)は、犀川創平(綾野剛)に萌絵が心配ではないのか、と聞く。  　萌絵を出迎えたのは、塙の秘書の新庄久美子(青山倫子)だった。萌絵は久美子にパーク内のホテルに案内され、早速、部屋に入った萌絵は、電話の横のメモに書かれた不可思議なメッセージに目を留める。すぐに犀川に電話をし、それが自分の死を予告するものではないか、と話すが、犀川は単なるいたずらで気にすることはないと答える。  　塙との会食の時間になり、萌絵は久美子とエレベーターに乗り込む。久美子がエレベーターにカードキーを差し込むと、表示パネルにはなかった「B1」のボタンが現われた。地下にナノクラフトの研究施設があるが、その存在を知っているのは社内でも限られた人間だけだ、と久美子は話した。地下に着くと通路を歩き、さらに別のエレベーターで今度は1階に上がる。地上に戻ったと思いきや、エレベーターホールの外に出ると、そこは教会の内部だった。すると、塙が現われて…。</v>
      </c>
      <c r="N672" s="2"/>
      <c r="O672" s="2"/>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row>
    <row r="673" ht="204.75" customHeight="1">
      <c r="A673" s="1">
        <v>2442.0</v>
      </c>
      <c r="B673" s="2" t="s">
        <v>2129</v>
      </c>
      <c r="C673" s="2">
        <f>IFERROR(__xludf.DUMMYFUNCTION("split(B673,""_"")"),1410.0)</f>
        <v>1410</v>
      </c>
      <c r="D673" s="2" t="str">
        <f>IFERROR(__xludf.DUMMYFUNCTION("""COMPUTED_VALUE"""),"CX")</f>
        <v>CX</v>
      </c>
      <c r="E673" s="2" t="str">
        <f>IFERROR(__xludf.DUMMYFUNCTION("""COMPUTED_VALUE"""),"火21")</f>
        <v>火21</v>
      </c>
      <c r="F673" s="2" t="s">
        <v>2130</v>
      </c>
      <c r="G673" s="2" t="s">
        <v>2158</v>
      </c>
      <c r="H673" s="1">
        <v>10.0</v>
      </c>
      <c r="I673" s="1" t="s">
        <v>37</v>
      </c>
      <c r="J673" s="1" t="s">
        <v>11</v>
      </c>
      <c r="K673" s="4" t="s">
        <v>2159</v>
      </c>
      <c r="L673" s="2" t="s">
        <v>2160</v>
      </c>
      <c r="M673" s="2" t="str">
        <f>IFERROR(__xludf.DUMMYFUNCTION("split(split(K673,""武井咲　"",false),""公式LINE"",false)"),"西之園萌絵(武井咲)はホテルの自室のベッドで目を覚ますと、ふらつきながら教会へとやってくる。警察の規制線をくぐって見上げた天井のガラスは割れたままだった。萌絵は、犀川創平(綾野剛)に会いに行くと、自分は夢を見ているのではない、と確認するようにつぶやいた。  　ホテルに戻った萌絵は、鵜飼大介(戸次重幸)に電話し「ユーロパーク」に真賀田四季(早見あかり)が潜伏しているから捜索要請をしてくれ、と頼む。やがて、鵜飼から連絡を受けた愛知県警の芝池護(小林隆)がやってくる。萌絵は芝池に、自分とともに塙理生哉(城田優)"&amp;"のところへ行き、四季の居場所を聞き出して欲しいと言う。  　萌絵と芝池はナノクラフト社で塙と藤原博(鈴木一真)と面会する。萌絵は、自分に睡眠薬を飲ませ四季のいる場所に連れていったはずだ、と塙を問いただすが、塙は萌絵の妄想だと言って取り合わない。  　同じ頃、犀川はホテルの公衆電話から国枝桃子(水沢エレナ)に電話をかけると、他愛もない話をして電話を切る。すると、ほどなくその電話が鳴った。受話器を取った犀川が名乗ると、相手は四季だった。  　塙に相手にされなかった萌絵がロビーに戻ると、藤原がやって来る。藤原は"&amp;"、ナノクラフトを世界一のソフトウェア会社に成長させた塙が、ユーロパークを作ったのは、ここで萌絵に会いたかったからだと話す。さらに、いい物を見せると言って、萌絵を地下へと案内し…。")</f>
        <v>西之園萌絵(武井咲)はホテルの自室のベッドで目を覚ますと、ふらつきながら教会へとやってくる。警察の規制線をくぐって見上げた天井のガラスは割れたままだった。萌絵は、犀川創平(綾野剛)に会いに行くと、自分は夢を見ているのではない、と確認するようにつぶやいた。  　ホテルに戻った萌絵は、鵜飼大介(戸次重幸)に電話し「ユーロパーク」に真賀田四季(早見あかり)が潜伏しているから捜索要請をしてくれ、と頼む。やがて、鵜飼から連絡を受けた愛知県警の芝池護(小林隆)がやってくる。萌絵は芝池に、自分とともに塙理生哉(城田優)のところへ行き、四季の居場所を聞き出して欲しいと言う。  　萌絵と芝池はナノクラフト社で塙と藤原博(鈴木一真)と面会する。萌絵は、自分に睡眠薬を飲ませ四季のいる場所に連れていったはずだ、と塙を問いただすが、塙は萌絵の妄想だと言って取り合わない。  　同じ頃、犀川はホテルの公衆電話から国枝桃子(水沢エレナ)に電話をかけると、他愛もない話をして電話を切る。すると、ほどなくその電話が鳴った。受話器を取った犀川が名乗ると、相手は四季だった。  　塙に相手にされなかった萌絵がロビーに戻ると、藤原がやって来る。藤原は、ナノクラフトを世界一のソフトウェア会社に成長させた塙が、ユーロパークを作ったのは、ここで萌絵に会いたかったからだと話す。さらに、いい物を見せると言って、萌絵を地下へと案内し…。</v>
      </c>
      <c r="N673" s="2"/>
      <c r="O673" s="2"/>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row>
    <row r="674" ht="204.75" customHeight="1">
      <c r="A674" s="1">
        <v>2443.0</v>
      </c>
      <c r="B674" s="2" t="s">
        <v>2161</v>
      </c>
      <c r="C674" s="2">
        <f>IFERROR(__xludf.DUMMYFUNCTION("split(B674,""_"")"),1410.0)</f>
        <v>1410</v>
      </c>
      <c r="D674" s="2" t="str">
        <f>IFERROR(__xludf.DUMMYFUNCTION("""COMPUTED_VALUE"""),"CX")</f>
        <v>CX</v>
      </c>
      <c r="E674" s="2" t="str">
        <f>IFERROR(__xludf.DUMMYFUNCTION("""COMPUTED_VALUE"""),"火22")</f>
        <v>火22</v>
      </c>
      <c r="F674" s="2" t="s">
        <v>2162</v>
      </c>
      <c r="G674" s="2" t="s">
        <v>2163</v>
      </c>
      <c r="H674" s="1">
        <v>1.0</v>
      </c>
      <c r="I674" s="1" t="s">
        <v>3</v>
      </c>
      <c r="J674" s="1" t="s">
        <v>82</v>
      </c>
      <c r="K674" s="4" t="s">
        <v>2164</v>
      </c>
      <c r="L674" s="2" t="s">
        <v>2165</v>
      </c>
      <c r="M674" s="2" t="str">
        <f>IFERROR(__xludf.DUMMYFUNCTION("split(split(K674,""竹野内豊  "",false),""公式LINE"",false)"),"「もしもあの時、別の道を選んでいたら…」。人生にそんな後悔はつきもの。選TAXIは、過去に戻って人生の選択をやり直すことができる不思議なタクシー。話好きでおせっかいな運転手の枝分(竹野内豊)が、あなたの人生の再生をお手伝いします。最初のお客様は、売れない俳優!!村上秀樹(安田顕)は、恋人の浦沢香(小西真奈美)にプロポーズしようと待ち合わせ高級レストランへ急いでいた。しかし店に着くと、二人は些細なことで喧嘩に。村上は香から別れを告げられてしまう。店を飛び出した香を追いかけようと、慌ててタクシーに乗り込む村上"&amp;"。しばらくすると、運転手の枝分から「彼女がいた時の店に戻りましょうか?」と持ちかけられる。村上が乗った選TAXIは、乗客がやり直したい分岐点に戻ることができるタクシーだという。半信半疑ながら30分前に戻ることを選択し、1万円で枝分に戻してもらった村上は、今度こそ揉めないように気をつけながら香にプロポーズ。ところが香が村上に内緒で合コンに参加し、村上の愚痴をこぼしていたことが判明。怒りを抑えられない村上は、香の制止を振り切って再び選TAXIに乗るが、思いとどまって再度30分前の店へ戻る選択をする。香とのわだ"&amp;"かまりが消え、幸せな気分に浸ったのも束の間、店内に突如銃声が響き渡りーー!?はたして、将来を誓った村上と香にハッピーエンドは訪れるのか!?選TAXIの乗客を待ち受ける予想外の結末とは!?")</f>
        <v>「もしもあの時、別の道を選んでいたら…」。人生にそんな後悔はつきもの。選TAXIは、過去に戻って人生の選択をやり直すことができる不思議なタクシー。話好きでおせっかいな運転手の枝分(竹野内豊)が、あなたの人生の再生をお手伝いします。最初のお客様は、売れない俳優!!村上秀樹(安田顕)は、恋人の浦沢香(小西真奈美)にプロポーズしようと待ち合わせ高級レストランへ急いでいた。しかし店に着くと、二人は些細なことで喧嘩に。村上は香から別れを告げられてしまう。店を飛び出した香を追いかけようと、慌ててタクシーに乗り込む村上。しばらくすると、運転手の枝分から「彼女がいた時の店に戻りましょうか?」と持ちかけられる。村上が乗った選TAXIは、乗客がやり直したい分岐点に戻ることができるタクシーだという。半信半疑ながら30分前に戻ることを選択し、1万円で枝分に戻してもらった村上は、今度こそ揉めないように気をつけながら香にプロポーズ。ところが香が村上に内緒で合コンに参加し、村上の愚痴をこぼしていたことが判明。怒りを抑えられない村上は、香の制止を振り切って再び選TAXIに乗るが、思いとどまって再度30分前の店へ戻る選択をする。香とのわだかまりが消え、幸せな気分に浸ったのも束の間、店内に突如銃声が響き渡りーー!?はたして、将来を誓った村上と香にハッピーエンドは訪れるのか!?選TAXIの乗客を待ち受ける予想外の結末とは!?</v>
      </c>
      <c r="N674" s="2"/>
      <c r="O674" s="2"/>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row>
    <row r="675" ht="204.75" customHeight="1">
      <c r="A675" s="1">
        <v>2444.0</v>
      </c>
      <c r="B675" s="2" t="s">
        <v>2161</v>
      </c>
      <c r="C675" s="2">
        <f>IFERROR(__xludf.DUMMYFUNCTION("split(B675,""_"")"),1410.0)</f>
        <v>1410</v>
      </c>
      <c r="D675" s="2" t="str">
        <f>IFERROR(__xludf.DUMMYFUNCTION("""COMPUTED_VALUE"""),"CX")</f>
        <v>CX</v>
      </c>
      <c r="E675" s="2" t="str">
        <f>IFERROR(__xludf.DUMMYFUNCTION("""COMPUTED_VALUE"""),"火22")</f>
        <v>火22</v>
      </c>
      <c r="F675" s="2" t="s">
        <v>2162</v>
      </c>
      <c r="G675" s="2" t="s">
        <v>2166</v>
      </c>
      <c r="H675" s="1">
        <v>2.0</v>
      </c>
      <c r="I675" s="1" t="s">
        <v>7</v>
      </c>
      <c r="J675" s="1" t="s">
        <v>82</v>
      </c>
      <c r="K675" s="2" t="s">
        <v>2167</v>
      </c>
      <c r="L675" s="2" t="s">
        <v>2168</v>
      </c>
      <c r="M675" s="2" t="str">
        <f>IFERROR(__xludf.DUMMYFUNCTION("split(split(K675,""竹野内豊  "",false),""公式LINE"",false)"),"海辺の田舎町で町長の娘が誘拐された。警察は、犯人が選挙カーで逃走しているとの情報を入手する。その頃、民宿を営む平野(仲村トオル)は、枝分(竹野内豊)の頼みで“選TAXI""に同乗し、この町に古くから伝わるカップルに人気のスポットまで道案内をすることに。しかしその道中、一台の選挙カーとすれ違い、誘拐事件のことを思い出した平野は慌てて警察に通報する。やがて、人質の娘は無事に保護される。平野が警察署を訪れると、そこには学生時代の恋人で、今は町長の妻となった高橋加奈子(霧島れいか)の姿が。久しぶりに加奈子と再会し"&amp;"た平野は、かつて見合いが決まった加奈子を引き止められなかった苦い過去を思い出す。さらに誘拐された加奈子の娘と、犯人として捕まった若者を見た平野は、自分が二人の駆け落ちを邪魔したことに気付く。  話を聞いた枝分は、呆然とする平野に「だったら戻ればいい」と提案し、“選TAXI""がやり直したいと思った分岐点まで戻れることを説明する。選挙カーとすれ違う前の時点に戻って、19500円を支払った平野。選挙カーの前に立ちはだかり、若い二人の話を聞こうとするが、車はなおも逃げ続ける。平野もあきらめず、枝分に「追って!」"&amp;"とお願いし、“選TAXI""で選挙カーを追いかけるが…。")</f>
        <v>海辺の田舎町で町長の娘が誘拐された。警察は、犯人が選挙カーで逃走しているとの情報を入手する。その頃、民宿を営む平野(仲村トオル)は、枝分(竹野内豊)の頼みで“選TAXI"に同乗し、この町に古くから伝わるカップルに人気のスポットまで道案内をすることに。しかしその道中、一台の選挙カーとすれ違い、誘拐事件のことを思い出した平野は慌てて警察に通報する。やがて、人質の娘は無事に保護される。平野が警察署を訪れると、そこには学生時代の恋人で、今は町長の妻となった高橋加奈子(霧島れいか)の姿が。久しぶりに加奈子と再会した平野は、かつて見合いが決まった加奈子を引き止められなかった苦い過去を思い出す。さらに誘拐された加奈子の娘と、犯人として捕まった若者を見た平野は、自分が二人の駆け落ちを邪魔したことに気付く。  話を聞いた枝分は、呆然とする平野に「だったら戻ればいい」と提案し、“選TAXI"がやり直したいと思った分岐点まで戻れることを説明する。選挙カーとすれ違う前の時点に戻って、19500円を支払った平野。選挙カーの前に立ちはだかり、若い二人の話を聞こうとするが、車はなおも逃げ続ける。平野もあきらめず、枝分に「追って!」とお願いし、“選TAXI"で選挙カーを追いかけるが…。</v>
      </c>
      <c r="N675" s="2"/>
      <c r="O675" s="2"/>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row>
    <row r="676" ht="204.75" customHeight="1">
      <c r="A676" s="1">
        <v>2445.0</v>
      </c>
      <c r="B676" s="2" t="s">
        <v>2161</v>
      </c>
      <c r="C676" s="2">
        <f>IFERROR(__xludf.DUMMYFUNCTION("split(B676,""_"")"),1410.0)</f>
        <v>1410</v>
      </c>
      <c r="D676" s="2" t="str">
        <f>IFERROR(__xludf.DUMMYFUNCTION("""COMPUTED_VALUE"""),"CX")</f>
        <v>CX</v>
      </c>
      <c r="E676" s="2" t="str">
        <f>IFERROR(__xludf.DUMMYFUNCTION("""COMPUTED_VALUE"""),"火22")</f>
        <v>火22</v>
      </c>
      <c r="F676" s="2" t="s">
        <v>2162</v>
      </c>
      <c r="G676" s="2" t="s">
        <v>2169</v>
      </c>
      <c r="H676" s="1">
        <v>3.0</v>
      </c>
      <c r="I676" s="1" t="s">
        <v>10</v>
      </c>
      <c r="J676" s="1" t="s">
        <v>86</v>
      </c>
      <c r="K676" s="2" t="s">
        <v>2170</v>
      </c>
      <c r="L676" s="2" t="s">
        <v>2171</v>
      </c>
      <c r="M676" s="2" t="str">
        <f>IFERROR(__xludf.DUMMYFUNCTION("split(split(K676,""竹野内豊  "",false),""公式LINE"",false)"),"運転手の枝分(竹野内豊)が不倫の恋に悩む女と傷心ドライブ!?今週のお客さんは、社長秘書の麻里奈(木村文乃)。IT会社社長の野々山(中村俊介)と不倫関係にある秘書の麻里奈は、「奥さんと別れて、私と結婚して」と野々山に迫り、妊娠したことを告げる。しかし、その言葉に興ざめした野々山は離婚を考えるどころか金目当ての嘘だと麻里奈を拒絶。別れを告げて去って行く。ショックを受けた麻里奈は泣きながら、停まっていた“選TAXI""に乗り込み、様子を心配した運転手の枝分に事情を話す。すると枝分は、「このタクシーなら、やり直し"&amp;"たい分岐点に戻ることができる」と“選TAXI""のシステムを説明。麻里奈は野々山と言い合いになる前に戻り、今度は慎重に妊娠の話を切り出すタイミングを計ることにする。そのお代は60000円。ところが、過去に戻った麻里奈が見たものは、密かに男性と会っている野々山の妻・明歩(笛木優子)の姿。「そっちも不倫してるじゃん」ーー。明歩の浮気を確信した麻里奈が次にとった行動とは!?選択し直すことで野々山との関係は、はたしてどうなる!?")</f>
        <v>運転手の枝分(竹野内豊)が不倫の恋に悩む女と傷心ドライブ!?今週のお客さんは、社長秘書の麻里奈(木村文乃)。IT会社社長の野々山(中村俊介)と不倫関係にある秘書の麻里奈は、「奥さんと別れて、私と結婚して」と野々山に迫り、妊娠したことを告げる。しかし、その言葉に興ざめした野々山は離婚を考えるどころか金目当ての嘘だと麻里奈を拒絶。別れを告げて去って行く。ショックを受けた麻里奈は泣きながら、停まっていた“選TAXI"に乗り込み、様子を心配した運転手の枝分に事情を話す。すると枝分は、「このタクシーなら、やり直したい分岐点に戻ることができる」と“選TAXI"のシステムを説明。麻里奈は野々山と言い合いになる前に戻り、今度は慎重に妊娠の話を切り出すタイミングを計ることにする。そのお代は60000円。ところが、過去に戻った麻里奈が見たものは、密かに男性と会っている野々山の妻・明歩(笛木優子)の姿。「そっちも不倫してるじゃん」ーー。明歩の浮気を確信した麻里奈が次にとった行動とは!?選択し直すことで野々山との関係は、はたしてどうなる!?</v>
      </c>
      <c r="N676" s="2"/>
      <c r="O676" s="2"/>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row>
    <row r="677" ht="204.75" customHeight="1">
      <c r="A677" s="1">
        <v>2446.0</v>
      </c>
      <c r="B677" s="2" t="s">
        <v>2161</v>
      </c>
      <c r="C677" s="2">
        <f>IFERROR(__xludf.DUMMYFUNCTION("split(B677,""_"")"),1410.0)</f>
        <v>1410</v>
      </c>
      <c r="D677" s="2" t="str">
        <f>IFERROR(__xludf.DUMMYFUNCTION("""COMPUTED_VALUE"""),"CX")</f>
        <v>CX</v>
      </c>
      <c r="E677" s="2" t="str">
        <f>IFERROR(__xludf.DUMMYFUNCTION("""COMPUTED_VALUE"""),"火22")</f>
        <v>火22</v>
      </c>
      <c r="F677" s="2" t="s">
        <v>2162</v>
      </c>
      <c r="G677" s="2" t="s">
        <v>2172</v>
      </c>
      <c r="H677" s="1">
        <v>4.0</v>
      </c>
      <c r="I677" s="1" t="s">
        <v>14</v>
      </c>
      <c r="J677" s="1" t="s">
        <v>86</v>
      </c>
      <c r="K677" s="2" t="s">
        <v>2173</v>
      </c>
      <c r="L677" s="2" t="s">
        <v>2174</v>
      </c>
      <c r="M677" s="2" t="str">
        <f>IFERROR(__xludf.DUMMYFUNCTION("split(split(K677,""竹野内豊  "",false),""公式LINE"",false)"),"町工場で働く朝倉(勝地涼)は、会社からクビを宣告された帰り道、バスの中で偶然拾った宝くじが1億円の当選くじだと気付く。早速、停まっていた“選TAXI""に乗り込み、銀行へ換金しに行くが、途中で窓口が閉まる午後3時を過ぎてしまう。さらに、拾った宝くじが去年のもので、支払い期限も今日までと判明。「あと30分早ければ…」と肩を落とす朝倉に、運転手の枝分(竹野内豊)は「このタクシーなら、やり直したい過去の分岐点に戻れる」と説明。朝倉はバスに乗る前へ戻ることに。再び宝くじを拾い、今度は脇目も振らず銀行へ向かった朝倉"&amp;"。しかし、窓口で身分証と印鑑が必要だと告げられ、印鑑を取りに大慌てで自宅へ戻り、夫の怪しい行動に気付いた妻・明日香(真野恵里菜)の制止をも振り切って、再び銀行へ猛ダッシュするが、またしても間に合わない。諦めきれない朝倉は、“選TAXI""でもう一度、バスに乗る前へ戻る。ところが、バスの中で思いもかけない事件に巻き込まれてしまう。犯人に吊し上げられた朝倉は、警察に連れて行かれそうになり…。朝倉の運命は果たして!?そして当選金1億円の行方は!?")</f>
        <v>町工場で働く朝倉(勝地涼)は、会社からクビを宣告された帰り道、バスの中で偶然拾った宝くじが1億円の当選くじだと気付く。早速、停まっていた“選TAXI"に乗り込み、銀行へ換金しに行くが、途中で窓口が閉まる午後3時を過ぎてしまう。さらに、拾った宝くじが去年のもので、支払い期限も今日までと判明。「あと30分早ければ…」と肩を落とす朝倉に、運転手の枝分(竹野内豊)は「このタクシーなら、やり直したい過去の分岐点に戻れる」と説明。朝倉はバスに乗る前へ戻ることに。再び宝くじを拾い、今度は脇目も振らず銀行へ向かった朝倉。しかし、窓口で身分証と印鑑が必要だと告げられ、印鑑を取りに大慌てで自宅へ戻り、夫の怪しい行動に気付いた妻・明日香(真野恵里菜)の制止をも振り切って、再び銀行へ猛ダッシュするが、またしても間に合わない。諦めきれない朝倉は、“選TAXI"でもう一度、バスに乗る前へ戻る。ところが、バスの中で思いもかけない事件に巻き込まれてしまう。犯人に吊し上げられた朝倉は、警察に連れて行かれそうになり…。朝倉の運命は果たして!?そして当選金1億円の行方は!?</v>
      </c>
      <c r="N677" s="2"/>
      <c r="O677" s="2"/>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row>
    <row r="678" ht="204.75" customHeight="1">
      <c r="A678" s="1">
        <v>2447.0</v>
      </c>
      <c r="B678" s="2" t="s">
        <v>2161</v>
      </c>
      <c r="C678" s="2">
        <f>IFERROR(__xludf.DUMMYFUNCTION("split(B678,""_"")"),1410.0)</f>
        <v>1410</v>
      </c>
      <c r="D678" s="2" t="str">
        <f>IFERROR(__xludf.DUMMYFUNCTION("""COMPUTED_VALUE"""),"CX")</f>
        <v>CX</v>
      </c>
      <c r="E678" s="2" t="str">
        <f>IFERROR(__xludf.DUMMYFUNCTION("""COMPUTED_VALUE"""),"火22")</f>
        <v>火22</v>
      </c>
      <c r="F678" s="2" t="s">
        <v>2162</v>
      </c>
      <c r="G678" s="2" t="s">
        <v>2175</v>
      </c>
      <c r="H678" s="1">
        <v>5.0</v>
      </c>
      <c r="I678" s="1" t="s">
        <v>17</v>
      </c>
      <c r="J678" s="1" t="s">
        <v>86</v>
      </c>
      <c r="K678" s="2" t="s">
        <v>2176</v>
      </c>
      <c r="L678" s="2" t="s">
        <v>2177</v>
      </c>
      <c r="M678" s="2" t="str">
        <f>IFERROR(__xludf.DUMMYFUNCTION("split(split(K678,""竹野内豊  "",false),""公式LINE"",false)"),"アラフォー独身女医の美佐子(吉田羊)は、婚活パーティーで結婚相手を見つけたという友人の話がきっかけで、自分も婚活目的のクッキングパーティーに参加。早速、大手商社に勤める工藤(袴田吉彦)に狙いを定めるが、なかなか近付くチャンスがない。そんななか、セクシーなボディーを武器に工藤に猛アピールしていた参加女性が調理中にミスをする。すかさず、看護師の知美(浅見れいな)が美佐子に絶妙なアシストをしてくれるものの、結果的に工藤は知美を選び、美佐子は敗北してしまう。  帰り道、疲れた美佐子は停まっていた選TAXIに乗車。"&amp;"知美の行動がすべて計算だと気づき悔しがる美佐子に対し、枝分(竹野内豊)は「リベンジします?」と持ちかけ、選TAXIのシステムを説明。それを聞いた美佐子は再びパーティー会場へと戻り、前回と違う展開を目論むが…。新しい選択肢を選んだことで、美佐子は意中の工藤をオトすことができるのか!?女医VS看護師のバトルの行方はいかに!?")</f>
        <v>アラフォー独身女医の美佐子(吉田羊)は、婚活パーティーで結婚相手を見つけたという友人の話がきっかけで、自分も婚活目的のクッキングパーティーに参加。早速、大手商社に勤める工藤(袴田吉彦)に狙いを定めるが、なかなか近付くチャンスがない。そんななか、セクシーなボディーを武器に工藤に猛アピールしていた参加女性が調理中にミスをする。すかさず、看護師の知美(浅見れいな)が美佐子に絶妙なアシストをしてくれるものの、結果的に工藤は知美を選び、美佐子は敗北してしまう。  帰り道、疲れた美佐子は停まっていた選TAXIに乗車。知美の行動がすべて計算だと気づき悔しがる美佐子に対し、枝分(竹野内豊)は「リベンジします?」と持ちかけ、選TAXIのシステムを説明。それを聞いた美佐子は再びパーティー会場へと戻り、前回と違う展開を目論むが…。新しい選択肢を選んだことで、美佐子は意中の工藤をオトすことができるのか!?女医VS看護師のバトルの行方はいかに!?</v>
      </c>
      <c r="N678" s="2"/>
      <c r="O678" s="2"/>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row>
    <row r="679" ht="204.75" customHeight="1">
      <c r="A679" s="1">
        <v>2448.0</v>
      </c>
      <c r="B679" s="2" t="s">
        <v>2161</v>
      </c>
      <c r="C679" s="2">
        <f>IFERROR(__xludf.DUMMYFUNCTION("split(B679,""_"")"),1410.0)</f>
        <v>1410</v>
      </c>
      <c r="D679" s="2" t="str">
        <f>IFERROR(__xludf.DUMMYFUNCTION("""COMPUTED_VALUE"""),"CX")</f>
        <v>CX</v>
      </c>
      <c r="E679" s="2" t="str">
        <f>IFERROR(__xludf.DUMMYFUNCTION("""COMPUTED_VALUE"""),"火22")</f>
        <v>火22</v>
      </c>
      <c r="F679" s="2" t="s">
        <v>2162</v>
      </c>
      <c r="G679" s="2" t="s">
        <v>2178</v>
      </c>
      <c r="H679" s="1">
        <v>6.0</v>
      </c>
      <c r="I679" s="1" t="s">
        <v>21</v>
      </c>
      <c r="J679" s="1" t="s">
        <v>82</v>
      </c>
      <c r="K679" s="2" t="s">
        <v>2179</v>
      </c>
      <c r="L679" s="2" t="s">
        <v>2180</v>
      </c>
      <c r="M679" s="2" t="str">
        <f>IFERROR(__xludf.DUMMYFUNCTION("split(split(K679,""竹野内豊  "",false),""公式LINE"",false)"),"人気漫画『おひとよしトレジャー』を担当する編集者の美空(栗山千明)は、締め切り当日になってもあがらない原稿を待ち続けていた。原作者の虫海暗(三宅弘城)がストーリーに悩み、ペンを止めてしまったのだ。すでに3週休載し、もう後がない美空。しかし虫海はあっさり逃亡し、失意の美空は停まっていた選TAXIに乗り込む。  事情を聞いた枝分(竹野内豊)は、大ファンの『おひトレ』が次回も休載になると知り、早速「戻りましょう!」と提案。虫海が逃げる前に戻り、逃亡を阻止しようと奮闘する美空だったが、そこへ友人の佑香(臼田あさ美"&amp;")から「彼氏が浮気している」と電話が。「今から来て」という頼みを断ると、しばらくして佑香が自殺を図ったと警察から連絡が入る。未遂に終わったものの、ショックを受けた美空は枝分を呼び出し、佑香を助けるために再び過去に戻りたいと頼む。しかし、それでは『おひトレ』をあきらめなければならない。何とか漫画の続きを読みたい枝分は、原稿と友人のどちらも救えばいいと、ある提案をして…?はたして美空は大切な友達を救うことができるのか?そして枝分は待ちに待った『おひトレ』の続きを読むことができるのか!?")</f>
        <v>人気漫画『おひとよしトレジャー』を担当する編集者の美空(栗山千明)は、締め切り当日になってもあがらない原稿を待ち続けていた。原作者の虫海暗(三宅弘城)がストーリーに悩み、ペンを止めてしまったのだ。すでに3週休載し、もう後がない美空。しかし虫海はあっさり逃亡し、失意の美空は停まっていた選TAXIに乗り込む。  事情を聞いた枝分(竹野内豊)は、大ファンの『おひトレ』が次回も休載になると知り、早速「戻りましょう!」と提案。虫海が逃げる前に戻り、逃亡を阻止しようと奮闘する美空だったが、そこへ友人の佑香(臼田あさ美)から「彼氏が浮気している」と電話が。「今から来て」という頼みを断ると、しばらくして佑香が自殺を図ったと警察から連絡が入る。未遂に終わったものの、ショックを受けた美空は枝分を呼び出し、佑香を助けるために再び過去に戻りたいと頼む。しかし、それでは『おひトレ』をあきらめなければならない。何とか漫画の続きを読みたい枝分は、原稿と友人のどちらも救えばいいと、ある提案をして…?はたして美空は大切な友達を救うことができるのか?そして枝分は待ちに待った『おひトレ』の続きを読むことができるのか!?</v>
      </c>
      <c r="N679" s="2"/>
      <c r="O679" s="2"/>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row>
    <row r="680" ht="204.75" customHeight="1">
      <c r="A680" s="1">
        <v>2449.0</v>
      </c>
      <c r="B680" s="2" t="s">
        <v>2161</v>
      </c>
      <c r="C680" s="2">
        <f>IFERROR(__xludf.DUMMYFUNCTION("split(B680,""_"")"),1410.0)</f>
        <v>1410</v>
      </c>
      <c r="D680" s="2" t="str">
        <f>IFERROR(__xludf.DUMMYFUNCTION("""COMPUTED_VALUE"""),"CX")</f>
        <v>CX</v>
      </c>
      <c r="E680" s="2" t="str">
        <f>IFERROR(__xludf.DUMMYFUNCTION("""COMPUTED_VALUE"""),"火22")</f>
        <v>火22</v>
      </c>
      <c r="F680" s="2" t="s">
        <v>2162</v>
      </c>
      <c r="G680" s="2" t="s">
        <v>2181</v>
      </c>
      <c r="H680" s="1">
        <v>7.0</v>
      </c>
      <c r="I680" s="1" t="s">
        <v>25</v>
      </c>
      <c r="J680" s="1" t="s">
        <v>86</v>
      </c>
      <c r="K680" s="2" t="s">
        <v>2182</v>
      </c>
      <c r="L680" s="2" t="s">
        <v>2183</v>
      </c>
      <c r="M680" s="2" t="str">
        <f>IFERROR(__xludf.DUMMYFUNCTION("split(split(K680,""竹野内豊  "",false),""公式LINE"",false)"),"今週のお客さんは、聡明な美人OL・真理(貫地谷しほり)!大手企業のCEOで、恋人の彰(葛山信吾)と結婚が決まった真理は、ある日、彰から両親に挨拶に行きたいと言われる。ある理由から、どうしても実家に帰りたくない真理は、暴力的な父親と遊びほうけている母親から逃げるために家出したとウソをつくが、彰からは「だったら親子の関係修復を」と言われ、渋々、彰を連れて故郷へと戻ることに。駅に着いた二人は、そこで枝分(竹野内豊)が地元のレディースにからまれている現場に遭遇する。彰が間に入るも、かえって事態が悪化。「女同士の方"&amp;"がいいから」と真理が一人で話をしに行くと、レディースはなぜかあっさり退散。実は、真理こそがそのレディースの初代総長であり、当時両親に散々迷惑をかけた挙句、自ら家を飛び出したのだ。全てを知った彰は怒って帰ってしまい、追いかけようとした真理は選TAXIを呼ぶ。事情を聞いた枝分は早速、「戻ります?」と選TAXIのシステムを説明。実家に到着した時刻に戻った真理は、まずは両親にこれまでのことを謝ろうと、彰を家の前で待たせて一人で家の中へと入っていき…。真理は両親と和解して、晴れて彰と結婚できるのか!?真理の決断は、"&amp;"どんなエンディングを迎えるのか!?")</f>
        <v>今週のお客さんは、聡明な美人OL・真理(貫地谷しほり)!大手企業のCEOで、恋人の彰(葛山信吾)と結婚が決まった真理は、ある日、彰から両親に挨拶に行きたいと言われる。ある理由から、どうしても実家に帰りたくない真理は、暴力的な父親と遊びほうけている母親から逃げるために家出したとウソをつくが、彰からは「だったら親子の関係修復を」と言われ、渋々、彰を連れて故郷へと戻ることに。駅に着いた二人は、そこで枝分(竹野内豊)が地元のレディースにからまれている現場に遭遇する。彰が間に入るも、かえって事態が悪化。「女同士の方がいいから」と真理が一人で話をしに行くと、レディースはなぜかあっさり退散。実は、真理こそがそのレディースの初代総長であり、当時両親に散々迷惑をかけた挙句、自ら家を飛び出したのだ。全てを知った彰は怒って帰ってしまい、追いかけようとした真理は選TAXIを呼ぶ。事情を聞いた枝分は早速、「戻ります?」と選TAXIのシステムを説明。実家に到着した時刻に戻った真理は、まずは両親にこれまでのことを謝ろうと、彰を家の前で待たせて一人で家の中へと入っていき…。真理は両親と和解して、晴れて彰と結婚できるのか!?真理の決断は、どんなエンディングを迎えるのか!?</v>
      </c>
      <c r="N680" s="2"/>
      <c r="O680" s="2"/>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row>
    <row r="681" ht="204.75" customHeight="1">
      <c r="A681" s="1">
        <v>2450.0</v>
      </c>
      <c r="B681" s="2" t="s">
        <v>2161</v>
      </c>
      <c r="C681" s="2">
        <f>IFERROR(__xludf.DUMMYFUNCTION("split(B681,""_"")"),1410.0)</f>
        <v>1410</v>
      </c>
      <c r="D681" s="2" t="str">
        <f>IFERROR(__xludf.DUMMYFUNCTION("""COMPUTED_VALUE"""),"CX")</f>
        <v>CX</v>
      </c>
      <c r="E681" s="2" t="str">
        <f>IFERROR(__xludf.DUMMYFUNCTION("""COMPUTED_VALUE"""),"火22")</f>
        <v>火22</v>
      </c>
      <c r="F681" s="2" t="s">
        <v>2162</v>
      </c>
      <c r="G681" s="2" t="s">
        <v>2184</v>
      </c>
      <c r="H681" s="1">
        <v>8.0</v>
      </c>
      <c r="I681" s="1" t="s">
        <v>29</v>
      </c>
      <c r="J681" s="1" t="s">
        <v>86</v>
      </c>
      <c r="K681" s="2" t="s">
        <v>2185</v>
      </c>
      <c r="L681" s="2" t="s">
        <v>2186</v>
      </c>
      <c r="M681" s="2" t="str">
        <f>IFERROR(__xludf.DUMMYFUNCTION("split(split(K681,""竹野内豊  "",false),""公式LINE"",false)"),"とある病院の一室で、佑香(臼田あさ美)はベッドに横たわる祖父・泰三(津嘉山正種)と、傍らで涙を流す祖母の六実(左時枝)を見つめていた。入院中の泰三の見舞いに訪れた佑香だったが、わずかな差で祖父の最期に立ち会うことができなかったのだ。「こんな事ならもっと早く来ればよかった」ーー。佑香はふと、かつて友人の美空(栗山千明)と一緒に選TAXIで過去に戻ったことを思い出し、枝分(竹野内豊)に電話する。話を聞いた枝分は、「せめて亡くなる前に一目会いたい」という佑香を乗せて1時間前へ。過去に戻った佑香が急いで病院へ向か"&amp;"うと、本当に泰三はまだ生きていた。穏やかに泰三と最後の時を過ごす佑香。しばらくすると泰三は眠るように静かに息を引き取る。しかしその後、祖母の六実が、泰三が亡くなる前、六実が作ったいなりずしを食べたいと言っていたのに食べさせてあげられなかったことを後悔していると知る。佑香は六実のために再び枝分に連絡。夫の最後の願いを叶えたいという一心から、六実も選TAXIに乗り込んで…。愛する者の最期に向き合う家族たちの心温まる物語。佑香と六実、二人の想いが届いたとき、泰三は…!?")</f>
        <v>とある病院の一室で、佑香(臼田あさ美)はベッドに横たわる祖父・泰三(津嘉山正種)と、傍らで涙を流す祖母の六実(左時枝)を見つめていた。入院中の泰三の見舞いに訪れた佑香だったが、わずかな差で祖父の最期に立ち会うことができなかったのだ。「こんな事ならもっと早く来ればよかった」ーー。佑香はふと、かつて友人の美空(栗山千明)と一緒に選TAXIで過去に戻ったことを思い出し、枝分(竹野内豊)に電話する。話を聞いた枝分は、「せめて亡くなる前に一目会いたい」という佑香を乗せて1時間前へ。過去に戻った佑香が急いで病院へ向かうと、本当に泰三はまだ生きていた。穏やかに泰三と最後の時を過ごす佑香。しばらくすると泰三は眠るように静かに息を引き取る。しかしその後、祖母の六実が、泰三が亡くなる前、六実が作ったいなりずしを食べたいと言っていたのに食べさせてあげられなかったことを後悔していると知る。佑香は六実のために再び枝分に連絡。夫の最後の願いを叶えたいという一心から、六実も選TAXIに乗り込んで…。愛する者の最期に向き合う家族たちの心温まる物語。佑香と六実、二人の想いが届いたとき、泰三は…!?</v>
      </c>
      <c r="N681" s="2"/>
      <c r="O681" s="2"/>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row>
    <row r="682" ht="204.75" customHeight="1">
      <c r="A682" s="1">
        <v>2451.0</v>
      </c>
      <c r="B682" s="2" t="s">
        <v>2161</v>
      </c>
      <c r="C682" s="2">
        <f>IFERROR(__xludf.DUMMYFUNCTION("split(B682,""_"")"),1410.0)</f>
        <v>1410</v>
      </c>
      <c r="D682" s="2" t="str">
        <f>IFERROR(__xludf.DUMMYFUNCTION("""COMPUTED_VALUE"""),"CX")</f>
        <v>CX</v>
      </c>
      <c r="E682" s="2" t="str">
        <f>IFERROR(__xludf.DUMMYFUNCTION("""COMPUTED_VALUE"""),"火22")</f>
        <v>火22</v>
      </c>
      <c r="F682" s="2" t="s">
        <v>2162</v>
      </c>
      <c r="G682" s="2" t="s">
        <v>2187</v>
      </c>
      <c r="H682" s="1">
        <v>9.0</v>
      </c>
      <c r="I682" s="1" t="s">
        <v>33</v>
      </c>
      <c r="J682" s="1" t="s">
        <v>86</v>
      </c>
      <c r="K682" s="2" t="s">
        <v>2188</v>
      </c>
      <c r="L682" s="2" t="s">
        <v>2189</v>
      </c>
      <c r="M682" s="2" t="str">
        <f>IFERROR(__xludf.DUMMYFUNCTION("split(split(K682,""竹野内豊  "",false),""公式LINE"",false)"),"競輪で大負けし、自分の人生ツイてないことだらけだと嘆く久保(高橋努)は、やけを起こしてコンビニへ押し入るも強盗失敗、慌てて選TAXIに乗り込み逃走を図る。    久保同様、今日はツイてない日だと苛立ち気味の枝分(竹野内豊)は、乗せた客がまさかコンビニ強盗だとは思わず、自分のツイてない話をペラペラと喋り出す。すると久保も応戦し、二人は自分のツイてない自慢合戦に。ところが、話の内容から久保が逃走中の強盗だと発覚!と同時に、枝分は凶器を突きつけられてしまう。    やがて選TAXIのシステムを知った久保は、競輪"&amp;"で負ける前に戻れと枝分に命じる。そうすれば、すでに勝敗を知っている競輪で大儲けができ、強盗もチャラになる。だが、枝分は「道徳的に無理」と断り二人で押し問答に。すると突然、そこへ一人の男(梶原善)が乗り込んできて……。")</f>
        <v>競輪で大負けし、自分の人生ツイてないことだらけだと嘆く久保(高橋努)は、やけを起こしてコンビニへ押し入るも強盗失敗、慌てて選TAXIに乗り込み逃走を図る。    久保同様、今日はツイてない日だと苛立ち気味の枝分(竹野内豊)は、乗せた客がまさかコンビニ強盗だとは思わず、自分のツイてない話をペラペラと喋り出す。すると久保も応戦し、二人は自分のツイてない自慢合戦に。ところが、話の内容から久保が逃走中の強盗だと発覚!と同時に、枝分は凶器を突きつけられてしまう。    やがて選TAXIのシステムを知った久保は、競輪で負ける前に戻れと枝分に命じる。そうすれば、すでに勝敗を知っている競輪で大儲けができ、強盗もチャラになる。だが、枝分は「道徳的に無理」と断り二人で押し問答に。すると突然、そこへ一人の男(梶原善)が乗り込んできて……。</v>
      </c>
      <c r="N682" s="2"/>
      <c r="O682" s="2"/>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row>
    <row r="683" ht="204.75" customHeight="1">
      <c r="A683" s="1">
        <v>2452.0</v>
      </c>
      <c r="B683" s="2" t="s">
        <v>2161</v>
      </c>
      <c r="C683" s="2">
        <f>IFERROR(__xludf.DUMMYFUNCTION("split(B683,""_"")"),1410.0)</f>
        <v>1410</v>
      </c>
      <c r="D683" s="2" t="str">
        <f>IFERROR(__xludf.DUMMYFUNCTION("""COMPUTED_VALUE"""),"CX")</f>
        <v>CX</v>
      </c>
      <c r="E683" s="2" t="str">
        <f>IFERROR(__xludf.DUMMYFUNCTION("""COMPUTED_VALUE"""),"火22")</f>
        <v>火22</v>
      </c>
      <c r="F683" s="2" t="s">
        <v>2162</v>
      </c>
      <c r="G683" s="2" t="s">
        <v>2190</v>
      </c>
      <c r="H683" s="1">
        <v>10.0</v>
      </c>
      <c r="I683" s="1" t="s">
        <v>37</v>
      </c>
      <c r="J683" s="1" t="s">
        <v>86</v>
      </c>
      <c r="K683" s="2" t="s">
        <v>2191</v>
      </c>
      <c r="L683" s="2" t="s">
        <v>2192</v>
      </c>
      <c r="M683" s="2" t="str">
        <f>IFERROR(__xludf.DUMMYFUNCTION("split(split(K683,""竹野内豊  "",false),""公式LINE"",false)"),"枝分(竹野内豊)が選TAXIの運転手を引退する事態が発生!?謎に包まれた運転手の知られざる過去が、ついに明らかになる!はたして枝分が最後に選ぶ選択肢とは?  「枝さん、3カ月間、お疲れ様でした」。カフェ『choice』でいつものようにメニューを迷っていた枝分は、店にやってきた標(升毅)に声をかけられる。それを聞き、「え?…あ、そっか」と何かに気付く枝分。過去の分岐点へ戻り、人生をやり直すことができる不思議な乗り物“選TAXI""。その運転手として、これまで様々な事情を抱えた客を乗せ、少々お節介ながらも彼ら"&amp;"の人生を応援してきた枝分。なぜ枝分は選TAXIの運転手をやめなければならないのか?標の言葉の意味とは?そもそもどうして枝分は選TAXIの運転手になったのか?驚きの真実が次々と明らかになるなか、はたして枝分はどんな分岐点に立ち、どんな選択を最後にするのか、その結末はまさに予測不可能!さよなら枝分さん!  やはり、人生は選択肢の連続だ!")</f>
        <v>枝分(竹野内豊)が選TAXIの運転手を引退する事態が発生!?謎に包まれた運転手の知られざる過去が、ついに明らかになる!はたして枝分が最後に選ぶ選択肢とは?  「枝さん、3カ月間、お疲れ様でした」。カフェ『choice』でいつものようにメニューを迷っていた枝分は、店にやってきた標(升毅)に声をかけられる。それを聞き、「え?…あ、そっか」と何かに気付く枝分。過去の分岐点へ戻り、人生をやり直すことができる不思議な乗り物“選TAXI"。その運転手として、これまで様々な事情を抱えた客を乗せ、少々お節介ながらも彼らの人生を応援してきた枝分。なぜ枝分は選TAXIの運転手をやめなければならないのか?標の言葉の意味とは?そもそもどうして枝分は選TAXIの運転手になったのか?驚きの真実が次々と明らかになるなか、はたして枝分はどんな分岐点に立ち、どんな選択を最後にするのか、その結末はまさに予測不可能!さよなら枝分さん!  やはり、人生は選択肢の連続だ!</v>
      </c>
      <c r="N683" s="2"/>
      <c r="O683" s="2"/>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row>
    <row r="684" ht="204.75" customHeight="1">
      <c r="A684" s="1">
        <v>2473.0</v>
      </c>
      <c r="B684" s="2" t="s">
        <v>2193</v>
      </c>
      <c r="C684" s="2">
        <f>IFERROR(__xludf.DUMMYFUNCTION("split(B684,""_"")"),1410.0)</f>
        <v>1410</v>
      </c>
      <c r="D684" s="2" t="str">
        <f>IFERROR(__xludf.DUMMYFUNCTION("""COMPUTED_VALUE"""),"CX")</f>
        <v>CX</v>
      </c>
      <c r="E684" s="2" t="str">
        <f>IFERROR(__xludf.DUMMYFUNCTION("""COMPUTED_VALUE"""),"水22")</f>
        <v>水22</v>
      </c>
      <c r="F684" s="2" t="s">
        <v>2194</v>
      </c>
      <c r="G684" s="2" t="s">
        <v>2195</v>
      </c>
      <c r="H684" s="1">
        <v>1.0</v>
      </c>
      <c r="I684" s="1" t="s">
        <v>3</v>
      </c>
      <c r="J684" s="1" t="s">
        <v>82</v>
      </c>
      <c r="K684" s="4" t="s">
        <v>2196</v>
      </c>
      <c r="L684" s="2" t="s">
        <v>2197</v>
      </c>
      <c r="M684" s="2" t="str">
        <f>IFERROR(__xludf.DUMMYFUNCTION("split(split(K684,""沢尻エリカ　"",false),""公式LINE"",false)"),"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雑誌「FIRST　CLASS」を辞めて、ファッションブランドという新たな世界へ足を踏み入れた吉成ちなみ(沢尻エリカ)。そのファッションブランド"&amp;"は、経営危機にある「TATSUKO　YANO」。社長・矢野竜子(夏木マリ)は、その状況を打破すべく、クリエーティブディレクターの廣木リカ(木村佳乃)を雇う。リカは着任早々に今年の秋冬コレクションを1週間後に発表すると宣言。デザイナーの多武峰凪子(ともさかりえ)と川島ナミ絵(シシド・カフカ)、アシスタントデザイナーの須賀さくら(倉科カナ)、冴木大五郎(中村倫也)を集め、早急に新規デザインを提出するよう指示。チーフデザイナーも決定するという社内コンペに、ちなみは突如加わることとなる…。そんなビッグイベントを前"&amp;"に、プレスチームの荒巻千冬(小島聖)とアシスタントの向井山華(鈴木ちなみ)は、ちなみのことを気にしつつ発表方法と段どりを考え始める。　また、竜子とリカ、竜子の息子で専務の矢野隆太郎(淵上泰史)は、数々のブランドを吸収合併しているNGSホールディングスのパーティーに出席。1年前に竜子のもとから去ってNGSホールディングスのCEOとなった瀧川蘭子(余貴美子)は、笑顔で竜子に接しながら片腕である間宮充(青柳翔)に「TATSUKO　YANO」の資産状況を調べるよう命じる。同じころ、誰もいないオフィスには大五郎の姿"&amp;"が…。")</f>
        <v>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雑誌「FIRST　CLASS」を辞めて、ファッションブランドという新たな世界へ足を踏み入れた吉成ちなみ(沢尻エリカ)。そのファッションブランドは、経営危機にある「TATSUKO　YANO」。社長・矢野竜子(夏木マリ)は、その状況を打破すべく、クリエーティブディレクターの廣木リカ(木村佳乃)を雇う。リカは着任早々に今年の秋冬コレクションを1週間後に発表すると宣言。デザイナーの多武峰凪子(ともさかりえ)と川島ナミ絵(シシド・カフカ)、アシスタントデザイナーの須賀さくら(倉科カナ)、冴木大五郎(中村倫也)を集め、早急に新規デザインを提出するよう指示。チーフデザイナーも決定するという社内コンペに、ちなみは突如加わることとなる…。そんなビッグイベントを前に、プレスチームの荒巻千冬(小島聖)とアシスタントの向井山華(鈴木ちなみ)は、ちなみのことを気にしつつ発表方法と段どりを考え始める。　また、竜子とリカ、竜子の息子で専務の矢野隆太郎(淵上泰史)は、数々のブランドを吸収合併しているNGSホールディングスのパーティーに出席。1年前に竜子のもとから去ってNGSホールディングスのCEOとなった瀧川蘭子(余貴美子)は、笑顔で竜子に接しながら片腕である間宮充(青柳翔)に「TATSUKO　YANO」の資産状況を調べるよう命じる。同じころ、誰もいないオフィスには大五郎の姿が…。</v>
      </c>
      <c r="N684" s="2"/>
      <c r="O684" s="2"/>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row>
    <row r="685" ht="204.75" customHeight="1">
      <c r="A685" s="1">
        <v>2474.0</v>
      </c>
      <c r="B685" s="2" t="s">
        <v>2193</v>
      </c>
      <c r="C685" s="2">
        <f>IFERROR(__xludf.DUMMYFUNCTION("split(B685,""_"")"),1410.0)</f>
        <v>1410</v>
      </c>
      <c r="D685" s="2" t="str">
        <f>IFERROR(__xludf.DUMMYFUNCTION("""COMPUTED_VALUE"""),"CX")</f>
        <v>CX</v>
      </c>
      <c r="E685" s="2" t="str">
        <f>IFERROR(__xludf.DUMMYFUNCTION("""COMPUTED_VALUE"""),"水22")</f>
        <v>水22</v>
      </c>
      <c r="F685" s="2" t="s">
        <v>2194</v>
      </c>
      <c r="G685" s="2" t="s">
        <v>2198</v>
      </c>
      <c r="H685" s="1">
        <v>2.0</v>
      </c>
      <c r="I685" s="1" t="s">
        <v>7</v>
      </c>
      <c r="J685" s="1" t="s">
        <v>86</v>
      </c>
      <c r="K685" s="2" t="s">
        <v>2199</v>
      </c>
      <c r="L685" s="2" t="s">
        <v>2200</v>
      </c>
      <c r="M685" s="2" t="str">
        <f>IFERROR(__xludf.DUMMYFUNCTION("split(split(K685,""沢尻エリカ　"",false),""公式LINE"",false)"),"雑誌編集部で成り上がっていくシンデレラストーリー「ファーストクラス」が衝撃度100倍で還って来た!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地獄!どの話から見ても分かる悪女バトルドラマ!　セレブに自分のデザインした洋服を着せて話題を呼んだ吉成ちなみ(沢尻エリカ)。その効果は絶大で「TATSUKO　"&amp;"YANO」に、注文が殺到。廣木リカ(木村佳乃)は2週間後に販売を開始すると発表するなど販売計画は順調に動き出したかに見えた。しかし、製造を依頼していた工場から突然断りの連絡が入り、デザイナーチームを含めちなみも対処に追われる。ちなみは、渉外を担当する専務の矢野隆太郎(淵上泰史)と工場へ向かい、なんとかしようと直談判するも解決の糸口を見つけることができない・・・。  　さらに「TATSUKO　YANO」が、瀧川蘭子(余貴美子)がトップに君臨するNGSホールディングスに買収されるというニュースも飛び込み、プレ"&amp;"スチームも対処に追われる。そんなトラブルが続く中、ちなみは何とか当初の計画を立て直そうとある行動にでる・・・。")</f>
        <v>雑誌編集部で成り上がっていくシンデレラストーリー「ファーストクラス」が衝撃度100倍で還って来た!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地獄!どの話から見ても分かる悪女バトルドラマ!　セレブに自分のデザインした洋服を着せて話題を呼んだ吉成ちなみ(沢尻エリカ)。その効果は絶大で「TATSUKO　YANO」に、注文が殺到。廣木リカ(木村佳乃)は2週間後に販売を開始すると発表するなど販売計画は順調に動き出したかに見えた。しかし、製造を依頼していた工場から突然断りの連絡が入り、デザイナーチームを含めちなみも対処に追われる。ちなみは、渉外を担当する専務の矢野隆太郎(淵上泰史)と工場へ向かい、なんとかしようと直談判するも解決の糸口を見つけることができない・・・。  　さらに「TATSUKO　YANO」が、瀧川蘭子(余貴美子)がトップに君臨するNGSホールディングスに買収されるというニュースも飛び込み、プレスチームも対処に追われる。そんなトラブルが続く中、ちなみは何とか当初の計画を立て直そうとある行動にでる・・・。</v>
      </c>
      <c r="N685" s="2"/>
      <c r="O685" s="2"/>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row>
    <row r="686" ht="204.75" customHeight="1">
      <c r="A686" s="1">
        <v>2475.0</v>
      </c>
      <c r="B686" s="2" t="s">
        <v>2193</v>
      </c>
      <c r="C686" s="2">
        <f>IFERROR(__xludf.DUMMYFUNCTION("split(B686,""_"")"),1410.0)</f>
        <v>1410</v>
      </c>
      <c r="D686" s="2" t="str">
        <f>IFERROR(__xludf.DUMMYFUNCTION("""COMPUTED_VALUE"""),"CX")</f>
        <v>CX</v>
      </c>
      <c r="E686" s="2" t="str">
        <f>IFERROR(__xludf.DUMMYFUNCTION("""COMPUTED_VALUE"""),"水22")</f>
        <v>水22</v>
      </c>
      <c r="F686" s="2" t="s">
        <v>2194</v>
      </c>
      <c r="G686" s="2" t="s">
        <v>2201</v>
      </c>
      <c r="H686" s="1">
        <v>3.0</v>
      </c>
      <c r="I686" s="1" t="s">
        <v>10</v>
      </c>
      <c r="J686" s="1" t="s">
        <v>86</v>
      </c>
      <c r="K686" s="2" t="s">
        <v>2202</v>
      </c>
      <c r="L686" s="2" t="s">
        <v>2203</v>
      </c>
      <c r="M686" s="2" t="str">
        <f>IFERROR(__xludf.DUMMYFUNCTION("split(split(K686,""沢尻エリカ　"",false),""公式LINE"",false)"),"「SMBC日本シリーズ2014第4戦　ソフトバンク×阪神」延長の際は、放送時間繰り下げの場合あり。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吉成ちなみ(沢尻エリカ)がデザインした服がよ"&amp;"うやく完成した矢先“TATSUKO　YANO""に一通の告訴状が届く。それは、ファストファッションブランドがすでに店頭販売している服が、ちなみの新作とそっくりという内容・・・。社内にスパイがいると確信した廣木リカ(木村佳乃)は犯人を見つけ出し、それを話題に記者会見を開いて広告代わりにしようと画策する。多武峰凪子(ともさかりえ)が犯人であるとにらんだ冴木大五郎(中村倫也)は、国木田久志(岡本圭人)と手を組んで証拠をそろえ出す。しかし弱みを握られた凪子が黙っているわけもなく・・・。そんななか、久志はリカに犯人"&amp;"を密告することに。  　一方、社内スキャンダルを広告代わりにしようとするリカの方針がふに落ちないちなみは、ある行動にでる・・・。")</f>
        <v>「SMBC日本シリーズ2014第4戦　ソフトバンク×阪神」延長の際は、放送時間繰り下げの場合あり。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吉成ちなみ(沢尻エリカ)がデザインした服がようやく完成した矢先“TATSUKO　YANO"に一通の告訴状が届く。それは、ファストファッションブランドがすでに店頭販売している服が、ちなみの新作とそっくりという内容・・・。社内にスパイがいると確信した廣木リカ(木村佳乃)は犯人を見つけ出し、それを話題に記者会見を開いて広告代わりにしようと画策する。多武峰凪子(ともさかりえ)が犯人であるとにらんだ冴木大五郎(中村倫也)は、国木田久志(岡本圭人)と手を組んで証拠をそろえ出す。しかし弱みを握られた凪子が黙っているわけもなく・・・。そんななか、久志はリカに犯人を密告することに。  　一方、社内スキャンダルを広告代わりにしようとするリカの方針がふに落ちないちなみは、ある行動にでる・・・。</v>
      </c>
      <c r="N686" s="2"/>
      <c r="O686" s="2"/>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row>
    <row r="687" ht="204.75" customHeight="1">
      <c r="A687" s="1">
        <v>2476.0</v>
      </c>
      <c r="B687" s="2" t="s">
        <v>2193</v>
      </c>
      <c r="C687" s="2">
        <f>IFERROR(__xludf.DUMMYFUNCTION("split(B687,""_"")"),1410.0)</f>
        <v>1410</v>
      </c>
      <c r="D687" s="2" t="str">
        <f>IFERROR(__xludf.DUMMYFUNCTION("""COMPUTED_VALUE"""),"CX")</f>
        <v>CX</v>
      </c>
      <c r="E687" s="2" t="str">
        <f>IFERROR(__xludf.DUMMYFUNCTION("""COMPUTED_VALUE"""),"水22")</f>
        <v>水22</v>
      </c>
      <c r="F687" s="2" t="s">
        <v>2194</v>
      </c>
      <c r="G687" s="2" t="s">
        <v>2204</v>
      </c>
      <c r="H687" s="1">
        <v>4.0</v>
      </c>
      <c r="I687" s="1" t="s">
        <v>14</v>
      </c>
      <c r="J687" s="1" t="s">
        <v>86</v>
      </c>
      <c r="K687" s="2" t="s">
        <v>2205</v>
      </c>
      <c r="L687" s="2" t="s">
        <v>2206</v>
      </c>
      <c r="M687" s="2" t="str">
        <f>IFERROR(__xludf.DUMMYFUNCTION("split(split(K687,""沢尻エリカ　"",false),""公式LINE"",false)"),"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「TATSUKO　YANO」が買収され、責任をとる形でNGSホールディングスの受付嬢となった吉成ちなみ(沢尻エリカ)。ちなみのことをあざ笑いな"&amp;"がらも、この先もリストラが続くと感じた「TATSUKO　YANO」のスタッフたちは、オフィスへやって来たCEOである瀧川蘭子(余貴美子)に必死でこびを売る。そんな女たちの姿に、佐丹野結衣(山谷花純)だけは怪しいほほ笑みを浮かべ・・・。  　そんな中、ちなみは受付嬢の先輩から「TATSUKO　YANO」への届け物を頼まれる。渡された荷物は、ちなみがデザインして返品された洋服の山だった。制服姿で現れたちなみに、ここぞとばかりに嫌味をぶつける川島ナミ絵(シシド・カフカ)や多武峰凪子(ともさかりえ)たち。一方で、"&amp;"それぞれが「TATSUKO　YANO」で生き残るための策略を練り始める・・・。")</f>
        <v>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「TATSUKO　YANO」が買収され、責任をとる形でNGSホールディングスの受付嬢となった吉成ちなみ(沢尻エリカ)。ちなみのことをあざ笑いながらも、この先もリストラが続くと感じた「TATSUKO　YANO」のスタッフたちは、オフィスへやって来たCEOである瀧川蘭子(余貴美子)に必死でこびを売る。そんな女たちの姿に、佐丹野結衣(山谷花純)だけは怪しいほほ笑みを浮かべ・・・。  　そんな中、ちなみは受付嬢の先輩から「TATSUKO　YANO」への届け物を頼まれる。渡された荷物は、ちなみがデザインして返品された洋服の山だった。制服姿で現れたちなみに、ここぞとばかりに嫌味をぶつける川島ナミ絵(シシド・カフカ)や多武峰凪子(ともさかりえ)たち。一方で、それぞれが「TATSUKO　YANO」で生き残るための策略を練り始める・・・。</v>
      </c>
      <c r="N687" s="2"/>
      <c r="O687" s="2"/>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row>
    <row r="688" ht="204.75" customHeight="1">
      <c r="A688" s="1">
        <v>2477.0</v>
      </c>
      <c r="B688" s="2" t="s">
        <v>2193</v>
      </c>
      <c r="C688" s="2">
        <f>IFERROR(__xludf.DUMMYFUNCTION("split(B688,""_"")"),1410.0)</f>
        <v>1410</v>
      </c>
      <c r="D688" s="2" t="str">
        <f>IFERROR(__xludf.DUMMYFUNCTION("""COMPUTED_VALUE"""),"CX")</f>
        <v>CX</v>
      </c>
      <c r="E688" s="2" t="str">
        <f>IFERROR(__xludf.DUMMYFUNCTION("""COMPUTED_VALUE"""),"水22")</f>
        <v>水22</v>
      </c>
      <c r="F688" s="2" t="s">
        <v>2194</v>
      </c>
      <c r="G688" s="2" t="s">
        <v>2207</v>
      </c>
      <c r="H688" s="1">
        <v>5.0</v>
      </c>
      <c r="I688" s="1" t="s">
        <v>17</v>
      </c>
      <c r="J688" s="1" t="s">
        <v>86</v>
      </c>
      <c r="K688" s="2" t="s">
        <v>2208</v>
      </c>
      <c r="L688" s="2" t="s">
        <v>2209</v>
      </c>
      <c r="M688" s="2" t="str">
        <f>IFERROR(__xludf.DUMMYFUNCTION("split(split(K688,""沢尻エリカ　"",false),""公式LINE"",false)"),"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大久保円香(知念里奈)から伝言を受けてNGSホールディングスの倉庫にやってきた吉成ちなみ(沢尻エリカ)の前に、佐野議員秘書の西村(近江谷太朗)"&amp;"が現れる。倉庫から逃げ道を失い、ちなみはその身が危険にさらされ・・・。  　一方、「TATSUKO　YANO」のオフィスは穏やかではない。廣木リカ(木村佳乃)からスタッフの人事異動が発表になり、これまでとはまったく畑違いのNGSホールディングスの各部署へスタッフは異動させられる衝撃の人事が!!新しい部署で、年下の社員たちから下働きをさせられる屈辱的な仕打ちに、怒りを抑えながら働く「TATSUKO　YANO」の元スタッフたち・・・。そのNGSホールディングスの商品開発部では、トップモデルのERENA(石田ニ"&amp;"コル)が自分のプロデュースブランドを展開していて・・・。  　そんな人事異動をよそに、またしても新しいプロジェクトを携えて、瀧川蘭子(余貴美子)と間宮充(青柳翔)の元にやってくるリカ。そして蘭子の背後には、なんとちなみの姿が・・・!?")</f>
        <v>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大久保円香(知念里奈)から伝言を受けてNGSホールディングスの倉庫にやってきた吉成ちなみ(沢尻エリカ)の前に、佐野議員秘書の西村(近江谷太朗)が現れる。倉庫から逃げ道を失い、ちなみはその身が危険にさらされ・・・。  　一方、「TATSUKO　YANO」のオフィスは穏やかではない。廣木リカ(木村佳乃)からスタッフの人事異動が発表になり、これまでとはまったく畑違いのNGSホールディングスの各部署へスタッフは異動させられる衝撃の人事が!!新しい部署で、年下の社員たちから下働きをさせられる屈辱的な仕打ちに、怒りを抑えながら働く「TATSUKO　YANO」の元スタッフたち・・・。そのNGSホールディングスの商品開発部では、トップモデルのERENA(石田ニコル)が自分のプロデュースブランドを展開していて・・・。  　そんな人事異動をよそに、またしても新しいプロジェクトを携えて、瀧川蘭子(余貴美子)と間宮充(青柳翔)の元にやってくるリカ。そして蘭子の背後には、なんとちなみの姿が・・・!?</v>
      </c>
      <c r="N688" s="2"/>
      <c r="O688" s="2"/>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row>
    <row r="689" ht="204.75" customHeight="1">
      <c r="A689" s="1">
        <v>2478.0</v>
      </c>
      <c r="B689" s="2" t="s">
        <v>2193</v>
      </c>
      <c r="C689" s="2">
        <f>IFERROR(__xludf.DUMMYFUNCTION("split(B689,""_"")"),1410.0)</f>
        <v>1410</v>
      </c>
      <c r="D689" s="2" t="str">
        <f>IFERROR(__xludf.DUMMYFUNCTION("""COMPUTED_VALUE"""),"CX")</f>
        <v>CX</v>
      </c>
      <c r="E689" s="2" t="str">
        <f>IFERROR(__xludf.DUMMYFUNCTION("""COMPUTED_VALUE"""),"水22")</f>
        <v>水22</v>
      </c>
      <c r="F689" s="2" t="s">
        <v>2194</v>
      </c>
      <c r="G689" s="2" t="s">
        <v>2210</v>
      </c>
      <c r="H689" s="1">
        <v>6.0</v>
      </c>
      <c r="I689" s="1" t="s">
        <v>21</v>
      </c>
      <c r="J689" s="1" t="s">
        <v>86</v>
      </c>
      <c r="K689" s="2" t="s">
        <v>2211</v>
      </c>
      <c r="L689" s="2" t="s">
        <v>2212</v>
      </c>
      <c r="M689" s="2" t="str">
        <f>IFERROR(__xludf.DUMMYFUNCTION("split(split(K689,""沢尻エリカ　"",false),""公式LINE"",false)"),"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吉成ちなみ(沢尻エリカ)の働きかけで全員が協力して作り上げたラインが海外で買い付けられた。「TATSUKO　YANO　JAPAN」として、新た"&amp;"な道が開けそうになった矢先、ERENA(石田ニコル)ブランドのゴーストデザイナーを告発する週刊誌の原稿が廣木リカ(木村佳乃)に届く・・・。妹のレミ絵(菜々緒)の仕業と察した川島ナミ絵(シシド・カフカ)は・・・。  　そんな中、瀧川蘭子(余貴美子)と間宮充(青柳翔)によって「TATSUKO　YANO　JAPAN」へ、女子校の制服デザインの仕事が舞い込んでくる。その学校とは、リカが隠し通している娘でモデルのYURINAこと山内友梨菜(中川可菜)が通っている高校でもある。また、制服デザインで選ばれたデザイナーを"&amp;"、実質上のトップとなるクリエイティブディレクターにするというリカの言葉に色めき立つ多武峰凪子(ともさかりえ)とナミ絵。デザインの打ち合わせのために、早速学校へと向かうちなみ、凪子、荒巻千冬(小島聖)は・・・。")</f>
        <v>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吉成ちなみ(沢尻エリカ)の働きかけで全員が協力して作り上げたラインが海外で買い付けられた。「TATSUKO　YANO　JAPAN」として、新たな道が開けそうになった矢先、ERENA(石田ニコル)ブランドのゴーストデザイナーを告発する週刊誌の原稿が廣木リカ(木村佳乃)に届く・・・。妹のレミ絵(菜々緒)の仕業と察した川島ナミ絵(シシド・カフカ)は・・・。  　そんな中、瀧川蘭子(余貴美子)と間宮充(青柳翔)によって「TATSUKO　YANO　JAPAN」へ、女子校の制服デザインの仕事が舞い込んでくる。その学校とは、リカが隠し通している娘でモデルのYURINAこと山内友梨菜(中川可菜)が通っている高校でもある。また、制服デザインで選ばれたデザイナーを、実質上のトップとなるクリエイティブディレクターにするというリカの言葉に色めき立つ多武峰凪子(ともさかりえ)とナミ絵。デザインの打ち合わせのために、早速学校へと向かうちなみ、凪子、荒巻千冬(小島聖)は・・・。</v>
      </c>
      <c r="N689" s="2"/>
      <c r="O689" s="2"/>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row>
    <row r="690" ht="204.75" customHeight="1">
      <c r="A690" s="1">
        <v>2479.0</v>
      </c>
      <c r="B690" s="2" t="s">
        <v>2193</v>
      </c>
      <c r="C690" s="2">
        <f>IFERROR(__xludf.DUMMYFUNCTION("split(B690,""_"")"),1410.0)</f>
        <v>1410</v>
      </c>
      <c r="D690" s="2" t="str">
        <f>IFERROR(__xludf.DUMMYFUNCTION("""COMPUTED_VALUE"""),"CX")</f>
        <v>CX</v>
      </c>
      <c r="E690" s="2" t="str">
        <f>IFERROR(__xludf.DUMMYFUNCTION("""COMPUTED_VALUE"""),"水22")</f>
        <v>水22</v>
      </c>
      <c r="F690" s="2" t="s">
        <v>2194</v>
      </c>
      <c r="G690" s="2" t="s">
        <v>2213</v>
      </c>
      <c r="H690" s="1">
        <v>7.0</v>
      </c>
      <c r="I690" s="1" t="s">
        <v>25</v>
      </c>
      <c r="J690" s="1" t="s">
        <v>86</v>
      </c>
      <c r="K690" s="2" t="s">
        <v>2214</v>
      </c>
      <c r="L690" s="2" t="s">
        <v>2215</v>
      </c>
      <c r="M690" s="2" t="str">
        <f>IFERROR(__xludf.DUMMYFUNCTION("split(split(K690,""沢尻エリカ　"",false),""公式LINE"",false)"),"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全員が協力して仕上げた女子校の制服が無事採用され、吉成ちなみ(沢尻エリカ)は多武峰凪子(ともさかりえ)の指名により「TATSUKO　YANO　"&amp;"JAPAN」のクリエイティブディレクターに就任。目的を達成したことで団結力が生まれたように思えたが、ちなみたちに新たな試練が・・・!  　そんな中、株主総会が開かれたNGSホールディングス。CEOの瀧川蘭子(余貴美子)が檀上に立つと、株主席にいた矢野竜子(夏木マリ)が突然手を挙げ、驚きの発言を始める。動揺する蘭子を尻目に、素早く説明に立った間宮充(青柳翔)。しかし、そこで間宮がとった行動は・・・・。  　NGSホールディングスと「TATSUKO　YANO」は、新たな局面を迎えて大きく動き出す・・・。")</f>
        <v>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全員が協力して仕上げた女子校の制服が無事採用され、吉成ちなみ(沢尻エリカ)は多武峰凪子(ともさかりえ)の指名により「TATSUKO　YANO　JAPAN」のクリエイティブディレクターに就任。目的を達成したことで団結力が生まれたように思えたが、ちなみたちに新たな試練が・・・!  　そんな中、株主総会が開かれたNGSホールディングス。CEOの瀧川蘭子(余貴美子)が檀上に立つと、株主席にいた矢野竜子(夏木マリ)が突然手を挙げ、驚きの発言を始める。動揺する蘭子を尻目に、素早く説明に立った間宮充(青柳翔)。しかし、そこで間宮がとった行動は・・・・。  　NGSホールディングスと「TATSUKO　YANO」は、新たな局面を迎えて大きく動き出す・・・。</v>
      </c>
      <c r="N690" s="2"/>
      <c r="O690" s="2"/>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row>
    <row r="691" ht="204.75" customHeight="1">
      <c r="A691" s="1">
        <v>2480.0</v>
      </c>
      <c r="B691" s="2" t="s">
        <v>2193</v>
      </c>
      <c r="C691" s="2">
        <f>IFERROR(__xludf.DUMMYFUNCTION("split(B691,""_"")"),1410.0)</f>
        <v>1410</v>
      </c>
      <c r="D691" s="2" t="str">
        <f>IFERROR(__xludf.DUMMYFUNCTION("""COMPUTED_VALUE"""),"CX")</f>
        <v>CX</v>
      </c>
      <c r="E691" s="2" t="str">
        <f>IFERROR(__xludf.DUMMYFUNCTION("""COMPUTED_VALUE"""),"水22")</f>
        <v>水22</v>
      </c>
      <c r="F691" s="2" t="s">
        <v>2194</v>
      </c>
      <c r="G691" s="2" t="s">
        <v>2216</v>
      </c>
      <c r="H691" s="1">
        <v>8.0</v>
      </c>
      <c r="I691" s="1" t="s">
        <v>29</v>
      </c>
      <c r="J691" s="1" t="s">
        <v>86</v>
      </c>
      <c r="K691" s="2" t="s">
        <v>2217</v>
      </c>
      <c r="L691" s="2" t="s">
        <v>2218</v>
      </c>
      <c r="M691" s="2" t="str">
        <f>IFERROR(__xludf.DUMMYFUNCTION("split(split(K691,""沢尻エリカ　"",false),""公式LINE"",false)"),"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Tシャツの販売対決は、吉成ちなみ(沢尻エリカ)、須賀さくら(倉科カナ)、国木田久志(岡本圭人)の「TATSUKO　YANO　JAPAN」が勝利"&amp;"。間宮充(青柳翔)の裏工作を見抜いた廣木リカ(木村佳乃)だが、それを口外しない代わりにちなみのブランドトップ就任と、自分を除くスタッフの残留という条件をだす。そしてリカは姿を消してしまい・・・。  　そんな折り、セレクトショップに来たちなみたちは、若いカップルに遭遇。「TATSUKO　YANO　JAPAN」が好きだという女性から欲しいアイテムを聞き出したちなみは、なんとウエディングドレス制作を決める。このカップルには結婚を急いでいる事情があることがわかり、スタッフはウエディングドレス制作に一層力を注ぎ、早"&amp;"速ドレスを試着したりリサーチを開始する。そんなちなみたちを横目に、影で動き出す矢野隆太郎(淵上泰史)。  　さらに、リエコ(LiLiCo)が社長を務めるファスベンダー&amp;マッカートニー・ジャパンにも新たな動きが・・・。")</f>
        <v>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Tシャツの販売対決は、吉成ちなみ(沢尻エリカ)、須賀さくら(倉科カナ)、国木田久志(岡本圭人)の「TATSUKO　YANO　JAPAN」が勝利。間宮充(青柳翔)の裏工作を見抜いた廣木リカ(木村佳乃)だが、それを口外しない代わりにちなみのブランドトップ就任と、自分を除くスタッフの残留という条件をだす。そしてリカは姿を消してしまい・・・。  　そんな折り、セレクトショップに来たちなみたちは、若いカップルに遭遇。「TATSUKO　YANO　JAPAN」が好きだという女性から欲しいアイテムを聞き出したちなみは、なんとウエディングドレス制作を決める。このカップルには結婚を急いでいる事情があることがわかり、スタッフはウエディングドレス制作に一層力を注ぎ、早速ドレスを試着したりリサーチを開始する。そんなちなみたちを横目に、影で動き出す矢野隆太郎(淵上泰史)。  　さらに、リエコ(LiLiCo)が社長を務めるファスベンダー&amp;マッカートニー・ジャパンにも新たな動きが・・・。</v>
      </c>
      <c r="N691" s="2"/>
      <c r="O691" s="2"/>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row>
    <row r="692" ht="204.75" customHeight="1">
      <c r="A692" s="1">
        <v>2481.0</v>
      </c>
      <c r="B692" s="2" t="s">
        <v>2193</v>
      </c>
      <c r="C692" s="2">
        <f>IFERROR(__xludf.DUMMYFUNCTION("split(B692,""_"")"),1410.0)</f>
        <v>1410</v>
      </c>
      <c r="D692" s="2" t="str">
        <f>IFERROR(__xludf.DUMMYFUNCTION("""COMPUTED_VALUE"""),"CX")</f>
        <v>CX</v>
      </c>
      <c r="E692" s="2" t="str">
        <f>IFERROR(__xludf.DUMMYFUNCTION("""COMPUTED_VALUE"""),"水22")</f>
        <v>水22</v>
      </c>
      <c r="F692" s="2" t="s">
        <v>2194</v>
      </c>
      <c r="G692" s="2" t="s">
        <v>2219</v>
      </c>
      <c r="H692" s="1">
        <v>9.0</v>
      </c>
      <c r="I692" s="1" t="s">
        <v>33</v>
      </c>
      <c r="J692" s="1" t="s">
        <v>86</v>
      </c>
      <c r="K692" s="2" t="s">
        <v>2220</v>
      </c>
      <c r="L692" s="2" t="s">
        <v>2221</v>
      </c>
      <c r="M692" s="2" t="str">
        <f>IFERROR(__xludf.DUMMYFUNCTION("split(split(K692,""沢尻エリカ　"",false),""公式LINE"",false)"),"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「TATSUKO　YANO　ORIGINAL」の設立により、スタッフはすべて引き抜かれ、ひとりになってしまった吉成ちなみ(沢尻エリカ)。また、"&amp;"多額の負債を抱えていたNGSホールディングスは間宮充(青柳翔)の手によってファスベンダー&amp;マッカートニー・ジャパンに売却され、充も職を失っていた・・・。そんな充だが、売却時に唯一手放さなかった「TATSUKO　YANO　JAPAN」の登記簿を、おちこんでいるちなみに差し出す。しかしちなみは、受け取らず去っていく・・・。その一部始終を見ていた川島レミ絵(菜々緒)は、ちなみに近づき・・・。  　一方、矢野竜子(夏木マリ)の下で再び働くことになった多武峰凪子(ともさかりえ)たちデザイナーチームだが、デザインはさ"&amp;"せてもらえず竜子の書いたデザインを清書するだけになっていた。そんな竜子もまたリエコ(LiLiCo)にデザインを全否定されて・・・。")</f>
        <v>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「TATSUKO　YANO　ORIGINAL」の設立により、スタッフはすべて引き抜かれ、ひとりになってしまった吉成ちなみ(沢尻エリカ)。また、多額の負債を抱えていたNGSホールディングスは間宮充(青柳翔)の手によってファスベンダー&amp;マッカートニー・ジャパンに売却され、充も職を失っていた・・・。そんな充だが、売却時に唯一手放さなかった「TATSUKO　YANO　JAPAN」の登記簿を、おちこんでいるちなみに差し出す。しかしちなみは、受け取らず去っていく・・・。その一部始終を見ていた川島レミ絵(菜々緒)は、ちなみに近づき・・・。  　一方、矢野竜子(夏木マリ)の下で再び働くことになった多武峰凪子(ともさかりえ)たちデザイナーチームだが、デザインはさせてもらえず竜子の書いたデザインを清書するだけになっていた。そんな竜子もまたリエコ(LiLiCo)にデザインを全否定されて・・・。</v>
      </c>
      <c r="N692" s="2"/>
      <c r="O692" s="2"/>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row>
    <row r="693" ht="204.75" customHeight="1">
      <c r="A693" s="1">
        <v>2482.0</v>
      </c>
      <c r="B693" s="2" t="s">
        <v>2193</v>
      </c>
      <c r="C693" s="2">
        <f>IFERROR(__xludf.DUMMYFUNCTION("split(B693,""_"")"),1410.0)</f>
        <v>1410</v>
      </c>
      <c r="D693" s="2" t="str">
        <f>IFERROR(__xludf.DUMMYFUNCTION("""COMPUTED_VALUE"""),"CX")</f>
        <v>CX</v>
      </c>
      <c r="E693" s="2" t="str">
        <f>IFERROR(__xludf.DUMMYFUNCTION("""COMPUTED_VALUE"""),"水22")</f>
        <v>水22</v>
      </c>
      <c r="F693" s="2" t="s">
        <v>2194</v>
      </c>
      <c r="G693" s="2" t="s">
        <v>2222</v>
      </c>
      <c r="H693" s="1">
        <v>10.0</v>
      </c>
      <c r="I693" s="1" t="s">
        <v>37</v>
      </c>
      <c r="J693" s="1" t="s">
        <v>86</v>
      </c>
      <c r="K693" s="2" t="s">
        <v>2223</v>
      </c>
      <c r="L693" s="2" t="s">
        <v>2224</v>
      </c>
      <c r="M693" s="2" t="str">
        <f>IFERROR(__xludf.DUMMYFUNCTION("split(split(K693,""沢尻エリカ　"",false),""公式LINE"",false)"),"「TATSUKO　YANO　JAPAN」でたったひとり受注生産を始めた吉成ちなみ(沢尻エリカ)だったが、「TATSUKO　YANO　ORIGINAL」からの妨害工作により、業者から生地が届かず作業が止まってしまう。手を下したのは・・・。  　洋服を作ることもできず、顧客の信頼も失い、激しく落ち込むちなみに間宮充(青柳翔)は、冴木大五郎(中村倫也)から届いた一通の手紙を差し出した。その手紙に書かれていた場所を訪ねたちなみ。そこには、子供たちと遊びながら写真を撮っている西原樹(中丸雄一)の姿が!!  　一方「"&amp;"TATSUKO　YANO」オフィスでは、リエコ(LiLiCo)の要望だけを押し付けてくるファスベンダー&amp;マッカートニー・ジャパンの方針に多武峰凪子(ともさかりえ)らのスタッフは不満をかかえ、瀧川蘭子(余貴美子)は突如ある行動にでる。個々の衝撃的な発言や行動により、もはや予測不能・・・。ちなみは?リカ(木村佳乃)は?“悪女軍団""はどうなる!?  　最終回『ファーストクラス』の結末はいかに・・・!?")</f>
        <v>「TATSUKO　YANO　JAPAN」でたったひとり受注生産を始めた吉成ちなみ(沢尻エリカ)だったが、「TATSUKO　YANO　ORIGINAL」からの妨害工作により、業者から生地が届かず作業が止まってしまう。手を下したのは・・・。  　洋服を作ることもできず、顧客の信頼も失い、激しく落ち込むちなみに間宮充(青柳翔)は、冴木大五郎(中村倫也)から届いた一通の手紙を差し出した。その手紙に書かれていた場所を訪ねたちなみ。そこには、子供たちと遊びながら写真を撮っている西原樹(中丸雄一)の姿が!!  　一方「TATSUKO　YANO」オフィスでは、リエコ(LiLiCo)の要望だけを押し付けてくるファスベンダー&amp;マッカートニー・ジャパンの方針に多武峰凪子(ともさかりえ)らのスタッフは不満をかかえ、瀧川蘭子(余貴美子)は突如ある行動にでる。個々の衝撃的な発言や行動により、もはや予測不能・・・。ちなみは?リカ(木村佳乃)は?“悪女軍団"はどうなる!?  　最終回『ファーストクラス』の結末はいかに・・・!?</v>
      </c>
      <c r="N693" s="2"/>
      <c r="O693" s="2"/>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row>
    <row r="694" ht="204.75" customHeight="1">
      <c r="A694" s="1">
        <v>2499.0</v>
      </c>
      <c r="B694" s="2" t="s">
        <v>2225</v>
      </c>
      <c r="C694" s="2">
        <f>IFERROR(__xludf.DUMMYFUNCTION("split(B694,""_"")"),1410.0)</f>
        <v>1410</v>
      </c>
      <c r="D694" s="2" t="str">
        <f>IFERROR(__xludf.DUMMYFUNCTION("""COMPUTED_VALUE"""),"CX")</f>
        <v>CX</v>
      </c>
      <c r="E694" s="2" t="str">
        <f>IFERROR(__xludf.DUMMYFUNCTION("""COMPUTED_VALUE"""),"木22")</f>
        <v>木22</v>
      </c>
      <c r="F694" s="2" t="s">
        <v>2226</v>
      </c>
      <c r="G694" s="2" t="s">
        <v>2227</v>
      </c>
      <c r="H694" s="1">
        <v>1.0</v>
      </c>
      <c r="I694" s="1" t="s">
        <v>3</v>
      </c>
      <c r="J694" s="1" t="s">
        <v>82</v>
      </c>
      <c r="K694" s="4" t="s">
        <v>2228</v>
      </c>
      <c r="L694" s="2" t="s">
        <v>2229</v>
      </c>
      <c r="M694" s="2" t="str">
        <f>IFERROR(__xludf.DUMMYFUNCTION("split(split(K694,""石原さとみ　"",false),""/　"",false)"),"★「ディア・シスター」公式番組ホームページ-　http://www.fujitv.co.jp/dearsister")</f>
        <v>★「ディア・シスター」公式番組ホームページ-　http://www.fujitv.co.jp/dearsister</v>
      </c>
      <c r="N694" s="2" t="str">
        <f>IFERROR(__xludf.DUMMYFUNCTION("""COMPUTED_VALUE"""),"  出演者の皆様からの動画メッセージや、番組関連情報を随時アップ中!  ★「ディア・シスター」公式Twitterも大好評展開中!　#ディアシスター　高校卒業から音信不通状態だった深沢家の2人姉妹の妹・美咲(石原さとみ)が、姉・葉月(松下奈緒)の前に突然姿を現したー。  　区役所で働く葉月は隣の課で働く恋人・吉村達也(平岡祐太)と、萩原陽平(平山浩行)と姉の上杉香織(堀内敬子)が営む行きつけのオーガニックカフェ『APPLESEED』でランチをする。30歳の誕生日を翌日に控えた葉月は、それとなく結婚の話題を持"&amp;"ち出すが、達也は乗ってこない。するとそこに、葉月の母・七重(片平なぎさ)から電話が入る。だが、日頃から折り合いの悪い母に意見した葉月は電話を切られてしまう。  　その夜、葉月が帰宅すると部屋に妹の美咲がいた。人生の大事なイベントを美咲のせいで何度も台無しにされてきた葉月は、身勝手な美咲に怒りをぶつけるが、美咲は葉月の好きな焼酎で機嫌をとる。そして葉月が酔いつぶれた後、葉月の持ち物や部屋をチェックするのだった。翌朝、葉月は親友の佐藤和子(森カンナ)と日課のジョギングをする。美咲を知る和子は1日でも早く追い出"&amp;"すべきと忠告する。  　昼過ぎに目覚めた美咲は、高校時代の担任・櫻庭宗一郎(田辺誠一)からの着信に気づく。だが美咲は宗一郎の弟で親友の永人(岩田剛典)に電話をかける。永人から依頼していた調査の報告を聞いた美咲はある計画を進める…。  　一方、誕生日に達也と会う約束ができなかった葉月は和子と飲みに行く。だが、店に入った葉月の前には…。")</f>
        <v>  出演者の皆様からの動画メッセージや、番組関連情報を随時アップ中!  ★「ディア・シスター」公式Twitterも大好評展開中!　#ディアシスター　高校卒業から音信不通状態だった深沢家の2人姉妹の妹・美咲(石原さとみ)が、姉・葉月(松下奈緒)の前に突然姿を現したー。  　区役所で働く葉月は隣の課で働く恋人・吉村達也(平岡祐太)と、萩原陽平(平山浩行)と姉の上杉香織(堀内敬子)が営む行きつけのオーガニックカフェ『APPLESEED』でランチをする。30歳の誕生日を翌日に控えた葉月は、それとなく結婚の話題を持ち出すが、達也は乗ってこない。するとそこに、葉月の母・七重(片平なぎさ)から電話が入る。だが、日頃から折り合いの悪い母に意見した葉月は電話を切られてしまう。  　その夜、葉月が帰宅すると部屋に妹の美咲がいた。人生の大事なイベントを美咲のせいで何度も台無しにされてきた葉月は、身勝手な美咲に怒りをぶつけるが、美咲は葉月の好きな焼酎で機嫌をとる。そして葉月が酔いつぶれた後、葉月の持ち物や部屋をチェックするのだった。翌朝、葉月は親友の佐藤和子(森カンナ)と日課のジョギングをする。美咲を知る和子は1日でも早く追い出すべきと忠告する。  　昼過ぎに目覚めた美咲は、高校時代の担任・櫻庭宗一郎(田辺誠一)からの着信に気づく。だが美咲は宗一郎の弟で親友の永人(岩田剛典)に電話をかける。永人から依頼していた調査の報告を聞いた美咲はある計画を進める…。  　一方、誕生日に達也と会う約束ができなかった葉月は和子と飲みに行く。だが、店に入った葉月の前には…。</v>
      </c>
      <c r="O694" s="2"/>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row>
    <row r="695" ht="204.75" customHeight="1">
      <c r="A695" s="1">
        <v>2500.0</v>
      </c>
      <c r="B695" s="2" t="s">
        <v>2225</v>
      </c>
      <c r="C695" s="2">
        <f>IFERROR(__xludf.DUMMYFUNCTION("split(B695,""_"")"),1410.0)</f>
        <v>1410</v>
      </c>
      <c r="D695" s="2" t="str">
        <f>IFERROR(__xludf.DUMMYFUNCTION("""COMPUTED_VALUE"""),"CX")</f>
        <v>CX</v>
      </c>
      <c r="E695" s="2" t="str">
        <f>IFERROR(__xludf.DUMMYFUNCTION("""COMPUTED_VALUE"""),"木22")</f>
        <v>木22</v>
      </c>
      <c r="F695" s="2" t="s">
        <v>2226</v>
      </c>
      <c r="G695" s="2" t="s">
        <v>2230</v>
      </c>
      <c r="H695" s="1">
        <v>2.0</v>
      </c>
      <c r="I695" s="1" t="s">
        <v>7</v>
      </c>
      <c r="J695" s="1" t="s">
        <v>86</v>
      </c>
      <c r="K695" s="2" t="s">
        <v>2231</v>
      </c>
      <c r="L695" s="2" t="s">
        <v>2232</v>
      </c>
      <c r="M695" s="2" t="str">
        <f>IFERROR(__xludf.DUMMYFUNCTION("split(split(K695,""石原さとみ　"",false),""/　"",false)"),"番組ホームページでは、あらすじ・インタビュー・Vine動画・YouTubeなど配信中!詳しくは「ディア・シスター」で検索!　  http://www.fujitv.co.jp/dearsister")</f>
        <v>番組ホームページでは、あらすじ・インタビュー・Vine動画・YouTubeなど配信中!詳しくは「ディア・シスター」で検索!　  http://www.fujitv.co.jp/dearsister</v>
      </c>
      <c r="N695" s="2" t="str">
        <f>IFERROR(__xludf.DUMMYFUNCTION("""COMPUTED_VALUE"""),"美咲(石原さとみ)が姉・葉月(松下奈緒)のマンションに転がり込んでから一週間。ふたりは、朝のトイレを取り合ったり、小競り合いを繰り返す。生活のペースを完全に美咲に握られてしまった葉月は、イライラが募り、朝から親友の和子(森カンナ)に愚痴る。同じ頃、美咲のもとには、再び宗一郎(田辺誠一)から電話が入るが、美咲はかたくなに出ようとしない。  　弟・永人(岩田剛典)のトレーラーハウスに泊まっていた宗一郎は、不動産業者を訪れて新居を決める。静岡で塾の講師をしていたのだが、急な人事で都内の教室に移ることになったのだ"&amp;"。やがて転居の手続きのために区役所を訪れた宗一郎は、そこで高校教師時代の教え子だった葉月と再会する。葉月は高校時代、宗一郎に憧れていた。  　一方、キャバクラで働き始めた美咲は、その愛されキャラぶりをいかんなく発揮。客からの注目はもちろん、他のキャバクラ嬢からも嫉妬と羨望(せんぼう)の眼差しを向けられる。  　その夜、美咲が仕事を終えて帰宅すると、葉月の部屋には宗一郎の姿が…。高校時代、宗一郎と問題を起こしたことのある美咲はいたたまれなくなって席を立ち、永人に助けを求めるが…。")</f>
        <v>美咲(石原さとみ)が姉・葉月(松下奈緒)のマンションに転がり込んでから一週間。ふたりは、朝のトイレを取り合ったり、小競り合いを繰り返す。生活のペースを完全に美咲に握られてしまった葉月は、イライラが募り、朝から親友の和子(森カンナ)に愚痴る。同じ頃、美咲のもとには、再び宗一郎(田辺誠一)から電話が入るが、美咲はかたくなに出ようとしない。  　弟・永人(岩田剛典)のトレーラーハウスに泊まっていた宗一郎は、不動産業者を訪れて新居を決める。静岡で塾の講師をしていたのだが、急な人事で都内の教室に移ることになったのだ。やがて転居の手続きのために区役所を訪れた宗一郎は、そこで高校教師時代の教え子だった葉月と再会する。葉月は高校時代、宗一郎に憧れていた。  　一方、キャバクラで働き始めた美咲は、その愛されキャラぶりをいかんなく発揮。客からの注目はもちろん、他のキャバクラ嬢からも嫉妬と羨望(せんぼう)の眼差しを向けられる。  　その夜、美咲が仕事を終えて帰宅すると、葉月の部屋には宗一郎の姿が…。高校時代、宗一郎と問題を起こしたことのある美咲はいたたまれなくなって席を立ち、永人に助けを求めるが…。</v>
      </c>
      <c r="O695" s="2"/>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row>
    <row r="696" ht="204.75" customHeight="1">
      <c r="A696" s="1">
        <v>2501.0</v>
      </c>
      <c r="B696" s="2" t="s">
        <v>2225</v>
      </c>
      <c r="C696" s="2">
        <f>IFERROR(__xludf.DUMMYFUNCTION("split(B696,""_"")"),1410.0)</f>
        <v>1410</v>
      </c>
      <c r="D696" s="2" t="str">
        <f>IFERROR(__xludf.DUMMYFUNCTION("""COMPUTED_VALUE"""),"CX")</f>
        <v>CX</v>
      </c>
      <c r="E696" s="2" t="str">
        <f>IFERROR(__xludf.DUMMYFUNCTION("""COMPUTED_VALUE"""),"木22")</f>
        <v>木22</v>
      </c>
      <c r="F696" s="2" t="s">
        <v>2226</v>
      </c>
      <c r="G696" s="2" t="s">
        <v>2233</v>
      </c>
      <c r="H696" s="1">
        <v>3.0</v>
      </c>
      <c r="I696" s="1" t="s">
        <v>10</v>
      </c>
      <c r="J696" s="1" t="s">
        <v>86</v>
      </c>
      <c r="K696" s="2" t="s">
        <v>2234</v>
      </c>
      <c r="L696" s="2" t="s">
        <v>2235</v>
      </c>
      <c r="M696" s="2" t="str">
        <f>IFERROR(__xludf.DUMMYFUNCTION("split(split(K696,""石原さとみ　"",false),""/　"",false)"),"★「ディア・シスター」公式番組ホームページ-　http://www.fujitv.co.jp/dearsister")</f>
        <v>★「ディア・シスター」公式番組ホームページ-　http://www.fujitv.co.jp/dearsister</v>
      </c>
      <c r="N696" s="2" t="str">
        <f>IFERROR(__xludf.DUMMYFUNCTION("""COMPUTED_VALUE"""),"  出演者の皆様からの動画メッセージや、番組関連情報を随時アップ中!  ★「ディア・シスター」公式Twitterも大好評展開中!　#ディアシスター　日光アレルギーで赤い湿疹が出てしまった美咲(石原さとみ)は、姉の葉月(松下奈緒)に余計な心配をかけたくない、と永人(岩田剛典)が住むトレーラーハウスに泊まる。美咲の寝顔を見つめていた永人は彼女に顔を近づけ・・・。  　一方、区役所に出勤した葉月は、結婚が破談になったため辞職願を取り下げてもらおうと考えていた。ところが、そこで思わぬ事件が起きる。課内のファックス"&amp;"に「深沢葉月は妹に婚約者を寝取られた」「深沢葉月の婚約者には本命の恋人がいた」などと、葉月を中傷する怪文書が次々と送り付けられてきたのだ。困惑した葉月は、宗一郎(田辺誠一)に相談しようとしたが予定があって会えないという。  　その夜、葉月は『APPLESEED』で親友の和子(森カンナ)と会う。和子は、犯人は元婚約者の達也(平岡祐太)らに違いないと憤る。偶然その紙を見てしまった陽平(平山浩行)も葉月が心配でたまらない。  　葉月が帰宅すると母・七重(片平なぎさ)が美咲と酒盛りをしていた。七重の婚約者・渋川("&amp;"渡辺裕之)が、日曜日に葉月、美咲と一緒に食事をしたいと言っているからスケジュールを空けておいてほしい、と伝える七重。しかし葉月は、今はそんな気分ではないと返し七重と口論になってしまう。  　七重が帰った後、美咲は例の怪文書のことを知る。すると美咲は、いい機会だからドレスデザイナーになる夢にチャレンジしてみるべきだと言い出し・・・。")</f>
        <v>  出演者の皆様からの動画メッセージや、番組関連情報を随時アップ中!  ★「ディア・シスター」公式Twitterも大好評展開中!　#ディアシスター　日光アレルギーで赤い湿疹が出てしまった美咲(石原さとみ)は、姉の葉月(松下奈緒)に余計な心配をかけたくない、と永人(岩田剛典)が住むトレーラーハウスに泊まる。美咲の寝顔を見つめていた永人は彼女に顔を近づけ・・・。  　一方、区役所に出勤した葉月は、結婚が破談になったため辞職願を取り下げてもらおうと考えていた。ところが、そこで思わぬ事件が起きる。課内のファックスに「深沢葉月は妹に婚約者を寝取られた」「深沢葉月の婚約者には本命の恋人がいた」などと、葉月を中傷する怪文書が次々と送り付けられてきたのだ。困惑した葉月は、宗一郎(田辺誠一)に相談しようとしたが予定があって会えないという。  　その夜、葉月は『APPLESEED』で親友の和子(森カンナ)と会う。和子は、犯人は元婚約者の達也(平岡祐太)らに違いないと憤る。偶然その紙を見てしまった陽平(平山浩行)も葉月が心配でたまらない。  　葉月が帰宅すると母・七重(片平なぎさ)が美咲と酒盛りをしていた。七重の婚約者・渋川(渡辺裕之)が、日曜日に葉月、美咲と一緒に食事をしたいと言っているからスケジュールを空けておいてほしい、と伝える七重。しかし葉月は、今はそんな気分ではないと返し七重と口論になってしまう。  　七重が帰った後、美咲は例の怪文書のことを知る。すると美咲は、いい機会だからドレスデザイナーになる夢にチャレンジしてみるべきだと言い出し・・・。</v>
      </c>
      <c r="O696" s="2"/>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row>
    <row r="697" ht="204.75" customHeight="1">
      <c r="A697" s="1">
        <v>2502.0</v>
      </c>
      <c r="B697" s="2" t="s">
        <v>2225</v>
      </c>
      <c r="C697" s="2">
        <f>IFERROR(__xludf.DUMMYFUNCTION("split(B697,""_"")"),1410.0)</f>
        <v>1410</v>
      </c>
      <c r="D697" s="2" t="str">
        <f>IFERROR(__xludf.DUMMYFUNCTION("""COMPUTED_VALUE"""),"CX")</f>
        <v>CX</v>
      </c>
      <c r="E697" s="2" t="str">
        <f>IFERROR(__xludf.DUMMYFUNCTION("""COMPUTED_VALUE"""),"木22")</f>
        <v>木22</v>
      </c>
      <c r="F697" s="2" t="s">
        <v>2226</v>
      </c>
      <c r="G697" s="2" t="s">
        <v>2236</v>
      </c>
      <c r="H697" s="1">
        <v>4.0</v>
      </c>
      <c r="I697" s="1" t="s">
        <v>14</v>
      </c>
      <c r="J697" s="1" t="s">
        <v>86</v>
      </c>
      <c r="K697" s="2" t="s">
        <v>2237</v>
      </c>
      <c r="L697" s="2" t="s">
        <v>2238</v>
      </c>
      <c r="M697" s="2" t="str">
        <f>IFERROR(__xludf.DUMMYFUNCTION("split(split(K697,""石原さとみ　"",false),""/　"",false)"),"★「ディア・シスター」公式番組ホームページ-　http://www.fujitv.co.jp/dearsister")</f>
        <v>★「ディア・シスター」公式番組ホームページ-　http://www.fujitv.co.jp/dearsister</v>
      </c>
      <c r="N697" s="2" t="str">
        <f>IFERROR(__xludf.DUMMYFUNCTION("""COMPUTED_VALUE"""),"  出演者の皆様からの動画メッセージや、番組関連情報を随時アップ中!  ★「ディア・シスター」公式Twitterも大好評展開中!　#ディアシスター　キャバクラの仕事を終えた美咲(石原さとみ)は、帰り道、ふいに誰かの視線を感じる。が、振り返っても誰もいない・・・。  　一方、宗一郎(田辺誠一)と食事をした葉月(松下奈緒)は、朝からご機嫌でジョギングに出かける。宗一郎に会い、改めて彼への思いを強くする葉月。葉月が家に戻ると、七重(片平なぎさ)が待ち構えていた。葉月が区役所を辞めたことに怒った七重は、葉月を公務"&amp;"員にするまでどれほど苦労してきたかをまくしたて、辞表を取り下げてもらえと言い出す。しかし葉月は、なりたくて公務員になったわけではないのだからこの機会にやりたいことを見つける、と返す…。  　その夜、美咲は上客の清水(前川泰之)と同伴出勤する。美咲は、清水からもらったばかりの高価なペンダントをそのまま質店にもっていき、彼の目の前で金に換える。2400万円ためるのが目標ーー美咲は、清水にそう告げた。  　そんな中、美咲は、葉月に節約をするよう指示する。葉月の生活を見て以前から気になっていたらしい。風呂やトイレ"&amp;"の使い方から待機電力のことまで細かく口出しする美咲。続けて美咲は、銀行もネットバンキングにした方が得だと言うと、期日が迫っているマンションの更新手続きもやっておくと葉月に告げる。  　別の日、葉月は、手引書に従ってネットバンクの登録をする。が、そこで葉月は、口座から100万円が引き出されていることに気づき…。")</f>
        <v>  出演者の皆様からの動画メッセージや、番組関連情報を随時アップ中!  ★「ディア・シスター」公式Twitterも大好評展開中!　#ディアシスター　キャバクラの仕事を終えた美咲(石原さとみ)は、帰り道、ふいに誰かの視線を感じる。が、振り返っても誰もいない・・・。  　一方、宗一郎(田辺誠一)と食事をした葉月(松下奈緒)は、朝からご機嫌でジョギングに出かける。宗一郎に会い、改めて彼への思いを強くする葉月。葉月が家に戻ると、七重(片平なぎさ)が待ち構えていた。葉月が区役所を辞めたことに怒った七重は、葉月を公務員にするまでどれほど苦労してきたかをまくしたて、辞表を取り下げてもらえと言い出す。しかし葉月は、なりたくて公務員になったわけではないのだからこの機会にやりたいことを見つける、と返す…。  　その夜、美咲は上客の清水(前川泰之)と同伴出勤する。美咲は、清水からもらったばかりの高価なペンダントをそのまま質店にもっていき、彼の目の前で金に換える。2400万円ためるのが目標ーー美咲は、清水にそう告げた。  　そんな中、美咲は、葉月に節約をするよう指示する。葉月の生活を見て以前から気になっていたらしい。風呂やトイレの使い方から待機電力のことまで細かく口出しする美咲。続けて美咲は、銀行もネットバンキングにした方が得だと言うと、期日が迫っているマンションの更新手続きもやっておくと葉月に告げる。  　別の日、葉月は、手引書に従ってネットバンクの登録をする。が、そこで葉月は、口座から100万円が引き出されていることに気づき…。</v>
      </c>
      <c r="O697" s="2"/>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row>
    <row r="698" ht="204.75" customHeight="1">
      <c r="A698" s="1">
        <v>2503.0</v>
      </c>
      <c r="B698" s="2" t="s">
        <v>2225</v>
      </c>
      <c r="C698" s="2">
        <f>IFERROR(__xludf.DUMMYFUNCTION("split(B698,""_"")"),1410.0)</f>
        <v>1410</v>
      </c>
      <c r="D698" s="2" t="str">
        <f>IFERROR(__xludf.DUMMYFUNCTION("""COMPUTED_VALUE"""),"CX")</f>
        <v>CX</v>
      </c>
      <c r="E698" s="2" t="str">
        <f>IFERROR(__xludf.DUMMYFUNCTION("""COMPUTED_VALUE"""),"木22")</f>
        <v>木22</v>
      </c>
      <c r="F698" s="2" t="s">
        <v>2226</v>
      </c>
      <c r="G698" s="2" t="s">
        <v>2239</v>
      </c>
      <c r="H698" s="1">
        <v>5.0</v>
      </c>
      <c r="I698" s="1" t="s">
        <v>17</v>
      </c>
      <c r="J698" s="1" t="s">
        <v>86</v>
      </c>
      <c r="K698" s="2" t="s">
        <v>2240</v>
      </c>
      <c r="L698" s="2" t="s">
        <v>2241</v>
      </c>
      <c r="M698" s="2" t="str">
        <f>IFERROR(__xludf.DUMMYFUNCTION("split(split(K698,""石原さとみ　"",false),""/　"",false)"),"美咲(石原さとみ)が紛失し慌てていたのは、母子手帳だった。同じ頃、葉月(松下奈緒)の部屋でその母子手帳を偶然見つけた宗一郎(田辺誠一)は顔色を変え、葉月を置いて帰ってしまう。  　慌てた美咲が永人(岩田剛典)のトレーラーハウスを飛び出すと、宗一郎が現れ、誰の子どもなのか、と問い詰める。美咲は、とっさに永人の子どもだと返すが、そこに、何も知らない永人が帰ってきてしまう。美咲はその場をしのぐために永人に…。  　一方、宗一郎が突然帰ってしまったことにショックを受けた葉月は、彼に好きな相手がいることを察する。自"&amp;"分も陽平(平山浩行)に対して同じことをしてしまった、と反省した葉月は、APPLESEEDの農場を訪れて陽平に謝ると、もう宗一郎のことは諦めると告げるが…。  　そして週末、永人のスケートボードの大会がやってきた。久しぶりの出場、そして優勝候補と言われ、気合十分でウォーミングアップする永人。そこに宗一郎が激励の差し入れを持ってくる。てっきり美咲と永人が付き合っていると思い「二人を邪魔する気はない」と言う宗一郎に、永人は「自分と美咲は付き合っていない」と断りを入れる。その言葉に混乱した宗一郎は思わず永人に衝撃"&amp;"の事実を告げてしまう…。")</f>
        <v>美咲(石原さとみ)が紛失し慌てていたのは、母子手帳だった。同じ頃、葉月(松下奈緒)の部屋でその母子手帳を偶然見つけた宗一郎(田辺誠一)は顔色を変え、葉月を置いて帰ってしまう。  　慌てた美咲が永人(岩田剛典)のトレーラーハウスを飛び出すと、宗一郎が現れ、誰の子どもなのか、と問い詰める。美咲は、とっさに永人の子どもだと返すが、そこに、何も知らない永人が帰ってきてしまう。美咲はその場をしのぐために永人に…。  　一方、宗一郎が突然帰ってしまったことにショックを受けた葉月は、彼に好きな相手がいることを察する。自分も陽平(平山浩行)に対して同じことをしてしまった、と反省した葉月は、APPLESEEDの農場を訪れて陽平に謝ると、もう宗一郎のことは諦めると告げるが…。  　そして週末、永人のスケートボードの大会がやってきた。久しぶりの出場、そして優勝候補と言われ、気合十分でウォーミングアップする永人。そこに宗一郎が激励の差し入れを持ってくる。てっきり美咲と永人が付き合っていると思い「二人を邪魔する気はない」と言う宗一郎に、永人は「自分と美咲は付き合っていない」と断りを入れる。その言葉に混乱した宗一郎は思わず永人に衝撃の事実を告げてしまう…。</v>
      </c>
      <c r="N698" s="2"/>
      <c r="O698" s="2"/>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row>
    <row r="699" ht="204.75" customHeight="1">
      <c r="A699" s="1">
        <v>2504.0</v>
      </c>
      <c r="B699" s="2" t="s">
        <v>2225</v>
      </c>
      <c r="C699" s="2">
        <f>IFERROR(__xludf.DUMMYFUNCTION("split(B699,""_"")"),1410.0)</f>
        <v>1410</v>
      </c>
      <c r="D699" s="2" t="str">
        <f>IFERROR(__xludf.DUMMYFUNCTION("""COMPUTED_VALUE"""),"CX")</f>
        <v>CX</v>
      </c>
      <c r="E699" s="2" t="str">
        <f>IFERROR(__xludf.DUMMYFUNCTION("""COMPUTED_VALUE"""),"木22")</f>
        <v>木22</v>
      </c>
      <c r="F699" s="2" t="s">
        <v>2226</v>
      </c>
      <c r="G699" s="2" t="s">
        <v>2242</v>
      </c>
      <c r="H699" s="1">
        <v>6.0</v>
      </c>
      <c r="I699" s="1" t="s">
        <v>21</v>
      </c>
      <c r="J699" s="1" t="s">
        <v>86</v>
      </c>
      <c r="K699" s="2" t="s">
        <v>2243</v>
      </c>
      <c r="L699" s="2" t="s">
        <v>2244</v>
      </c>
      <c r="M699" s="2" t="str">
        <f>IFERROR(__xludf.DUMMYFUNCTION("split(split(K699,""石原さとみ　"",false),""/　"",false)"),"美咲(石原さとみ)は、現在妊娠15週目で、子どもの父親は宗一郎(田辺誠一)だと永人(岩田剛典)に告白した。さらに美咲は、もうひとつ話しておきたいことがある、と続け、自身に関するある秘密を打ち明ける…。  　一方、葉月(松下奈緒)は、陽平(平山浩行)からアプローチを受けていた。一緒に畑仕事をしたことや、料理を教えてもらったことを親友の和子(森カンナ)に報告する。  　別の日、美咲は、永人を誘って両親学級に参加する。楽しそうに沐浴(もくよく)指導や沐浴(もくよく)後のお手入れ指導を受けるふたり。帰り道、永人は"&amp;"、転んだら大変だから、と言って美咲に手を差し出した。美咲は、その手を握り、彼と手をつないで歩きだす。  　大ゲンカをして以来、美咲と葉月はまだどこかぎくしゃくしたままの状態が続いていたが、そんな折、美咲の提案で葉月・七重(片平なぎさ)と毎年家族旅行していた熱海に行くことになった。さらにこれも美咲の提案で永人のみならず、陽平も誘おうという話になり慌てる葉月だったが、逆に七重に陽平が新しい彼氏だと誤解される始末。  　そして旅行当日。美咲と葉月が玄関を開けると、そこには永人と…陽平。したり顔の美咲を思いっきり"&amp;"つねる葉月。結局5人で熱海に向い、早速浴衣に着替え、露天風呂に行こうと舞い上がる一同だったが…。")</f>
        <v>美咲(石原さとみ)は、現在妊娠15週目で、子どもの父親は宗一郎(田辺誠一)だと永人(岩田剛典)に告白した。さらに美咲は、もうひとつ話しておきたいことがある、と続け、自身に関するある秘密を打ち明ける…。  　一方、葉月(松下奈緒)は、陽平(平山浩行)からアプローチを受けていた。一緒に畑仕事をしたことや、料理を教えてもらったことを親友の和子(森カンナ)に報告する。  　別の日、美咲は、永人を誘って両親学級に参加する。楽しそうに沐浴(もくよく)指導や沐浴(もくよく)後のお手入れ指導を受けるふたり。帰り道、永人は、転んだら大変だから、と言って美咲に手を差し出した。美咲は、その手を握り、彼と手をつないで歩きだす。  　大ゲンカをして以来、美咲と葉月はまだどこかぎくしゃくしたままの状態が続いていたが、そんな折、美咲の提案で葉月・七重(片平なぎさ)と毎年家族旅行していた熱海に行くことになった。さらにこれも美咲の提案で永人のみならず、陽平も誘おうという話になり慌てる葉月だったが、逆に七重に陽平が新しい彼氏だと誤解される始末。  　そして旅行当日。美咲と葉月が玄関を開けると、そこには永人と…陽平。したり顔の美咲を思いっきりつねる葉月。結局5人で熱海に向い、早速浴衣に着替え、露天風呂に行こうと舞い上がる一同だったが…。</v>
      </c>
      <c r="N699" s="2"/>
      <c r="O699" s="2"/>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row>
    <row r="700" ht="204.75" customHeight="1">
      <c r="A700" s="1">
        <v>2505.0</v>
      </c>
      <c r="B700" s="2" t="s">
        <v>2225</v>
      </c>
      <c r="C700" s="2">
        <f>IFERROR(__xludf.DUMMYFUNCTION("split(B700,""_"")"),1410.0)</f>
        <v>1410</v>
      </c>
      <c r="D700" s="2" t="str">
        <f>IFERROR(__xludf.DUMMYFUNCTION("""COMPUTED_VALUE"""),"CX")</f>
        <v>CX</v>
      </c>
      <c r="E700" s="2" t="str">
        <f>IFERROR(__xludf.DUMMYFUNCTION("""COMPUTED_VALUE"""),"木22")</f>
        <v>木22</v>
      </c>
      <c r="F700" s="2" t="s">
        <v>2226</v>
      </c>
      <c r="G700" s="2" t="s">
        <v>2245</v>
      </c>
      <c r="H700" s="1">
        <v>7.0</v>
      </c>
      <c r="I700" s="1" t="s">
        <v>25</v>
      </c>
      <c r="J700" s="1" t="s">
        <v>86</v>
      </c>
      <c r="K700" s="2" t="s">
        <v>2246</v>
      </c>
      <c r="L700" s="2" t="s">
        <v>2247</v>
      </c>
      <c r="M700" s="2" t="str">
        <f>IFERROR(__xludf.DUMMYFUNCTION("split(split(K700,""石原さとみ　"",false),""/　"",false)"),"美咲(石原さとみ)の前に現れた宗一郎(田辺誠一)が、おなかの子どものDNA鑑定を要求してきた。宗一郎は「もし自分の子なら一緒に育てたい」と美咲に告げる。  　一方、葉月(松下奈緒)は陽平(平山浩行)からプロポーズされて…。  　そして、宗一郎に迫られた美咲は、永人(岩田剛典)に相談する。頼ってばっかりで恐縮する美咲に、永人は「俺は美咲にとって唯一無二の存在になると決意したから」と力強く宣言、弁護士の友人に連絡を取りつける。  　後日、美咲と永人は、永人の友人の弁護士を訪ね、親権についての助言を受ける。美咲"&amp;"の「母親が死んだ場合はどうなるのか」という質問に、不安を抱く永人。  　その夜、美咲が帰宅すると、そこにはなんと宗一郎の姿が…。そして葉月は、宗一郎から美咲の妊娠を聞かされていた…。")</f>
        <v>美咲(石原さとみ)の前に現れた宗一郎(田辺誠一)が、おなかの子どものDNA鑑定を要求してきた。宗一郎は「もし自分の子なら一緒に育てたい」と美咲に告げる。  　一方、葉月(松下奈緒)は陽平(平山浩行)からプロポーズされて…。  　そして、宗一郎に迫られた美咲は、永人(岩田剛典)に相談する。頼ってばっかりで恐縮する美咲に、永人は「俺は美咲にとって唯一無二の存在になると決意したから」と力強く宣言、弁護士の友人に連絡を取りつける。  　後日、美咲と永人は、永人の友人の弁護士を訪ね、親権についての助言を受ける。美咲の「母親が死んだ場合はどうなるのか」という質問に、不安を抱く永人。  　その夜、美咲が帰宅すると、そこにはなんと宗一郎の姿が…。そして葉月は、宗一郎から美咲の妊娠を聞かされていた…。</v>
      </c>
      <c r="N700" s="2"/>
      <c r="O700" s="2"/>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row>
    <row r="701" ht="204.75" customHeight="1">
      <c r="A701" s="1">
        <v>2506.0</v>
      </c>
      <c r="B701" s="2" t="s">
        <v>2225</v>
      </c>
      <c r="C701" s="2">
        <f>IFERROR(__xludf.DUMMYFUNCTION("split(B701,""_"")"),1410.0)</f>
        <v>1410</v>
      </c>
      <c r="D701" s="2" t="str">
        <f>IFERROR(__xludf.DUMMYFUNCTION("""COMPUTED_VALUE"""),"CX")</f>
        <v>CX</v>
      </c>
      <c r="E701" s="2" t="str">
        <f>IFERROR(__xludf.DUMMYFUNCTION("""COMPUTED_VALUE"""),"木22")</f>
        <v>木22</v>
      </c>
      <c r="F701" s="2" t="s">
        <v>2226</v>
      </c>
      <c r="G701" s="2" t="s">
        <v>2248</v>
      </c>
      <c r="H701" s="1">
        <v>8.0</v>
      </c>
      <c r="I701" s="1" t="s">
        <v>29</v>
      </c>
      <c r="J701" s="1" t="s">
        <v>86</v>
      </c>
      <c r="K701" s="2" t="s">
        <v>2249</v>
      </c>
      <c r="L701" s="2" t="s">
        <v>2250</v>
      </c>
      <c r="M701" s="2" t="str">
        <f>IFERROR(__xludf.DUMMYFUNCTION("split(split(K701,""石原さとみ　"",false),""/　"",false)"),"美咲(石原さとみ)は、永人(岩田剛典)のトレーラーハウス内で高熱を出して倒れてしまう。スケートボードの練習を終えて帰宅した永人は、倒れている美咲の姿に気付き驚いて…。  　一方、美咲の姉・葉月(松下奈緒)は、ドレスデザイナーになる夢を実現させるため、大手メーカーの面接を次々と受ける。結果は全て不採用。しかし、めげずに就職活動を続けた葉月は、やがて小さなドレス工房に仮採用される。そんな葉月のもとに、陽平(平山浩行)の姉・香織(堀内敬子)が訪ねてきて…。  　ある日、葉月が家に戻ると、テーブルの上に美咲からの"&amp;"置手紙が残されていることに気付く。そして、いつまでたっても音沙汰のない美咲が心配になり、葉月は美咲を探しに行くことにする…。")</f>
        <v>美咲(石原さとみ)は、永人(岩田剛典)のトレーラーハウス内で高熱を出して倒れてしまう。スケートボードの練習を終えて帰宅した永人は、倒れている美咲の姿に気付き驚いて…。  　一方、美咲の姉・葉月(松下奈緒)は、ドレスデザイナーになる夢を実現させるため、大手メーカーの面接を次々と受ける。結果は全て不採用。しかし、めげずに就職活動を続けた葉月は、やがて小さなドレス工房に仮採用される。そんな葉月のもとに、陽平(平山浩行)の姉・香織(堀内敬子)が訪ねてきて…。  　ある日、葉月が家に戻ると、テーブルの上に美咲からの置手紙が残されていることに気付く。そして、いつまでたっても音沙汰のない美咲が心配になり、葉月は美咲を探しに行くことにする…。</v>
      </c>
      <c r="N701" s="2"/>
      <c r="O701" s="2"/>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row>
    <row r="702" ht="204.75" customHeight="1">
      <c r="A702" s="1">
        <v>2507.0</v>
      </c>
      <c r="B702" s="2" t="s">
        <v>2225</v>
      </c>
      <c r="C702" s="2">
        <f>IFERROR(__xludf.DUMMYFUNCTION("split(B702,""_"")"),1410.0)</f>
        <v>1410</v>
      </c>
      <c r="D702" s="2" t="str">
        <f>IFERROR(__xludf.DUMMYFUNCTION("""COMPUTED_VALUE"""),"CX")</f>
        <v>CX</v>
      </c>
      <c r="E702" s="2" t="str">
        <f>IFERROR(__xludf.DUMMYFUNCTION("""COMPUTED_VALUE"""),"木22")</f>
        <v>木22</v>
      </c>
      <c r="F702" s="2" t="s">
        <v>2226</v>
      </c>
      <c r="G702" s="2" t="s">
        <v>2251</v>
      </c>
      <c r="H702" s="1">
        <v>9.0</v>
      </c>
      <c r="I702" s="1" t="s">
        <v>33</v>
      </c>
      <c r="J702" s="1" t="s">
        <v>86</v>
      </c>
      <c r="K702" s="2" t="s">
        <v>2252</v>
      </c>
      <c r="L702" s="2" t="s">
        <v>2253</v>
      </c>
      <c r="M702" s="2" t="str">
        <f>IFERROR(__xludf.DUMMYFUNCTION("split(split(K702,""石原さとみ　"",false),""/　"",false)"),"美咲(石原さとみ)は産婦人科へ健診に行く。次は性別がわかるかも、と聞いていたことを思い出した永人(岩田剛典)は、「一緒に行く」と言って大慌てで支度する。子どもの名前を考え始める気が早い永人に、「自分の子どもみたい」と言って笑う美咲。すると永人は、「俺はそのくらい大事に思ってる」と返し「今度の大会で優勝したら…」と言いかけるが…。  　宗一郎(田辺誠一)は、別れた妻の貴子(音月桂)と会っていた。美咲が妊娠したことを知った貴子は、「自分の人生はあの子のせいで全てが狂った」と憤る。  　一方、葉月(松下奈緒)は"&amp;"、クビになったドレス工房「RYO」の展示会に招待される。ひとりで行く勇気がない葉月は、陽平(平山浩行)を誘う。会場には「RYO」オーナー兼デザイナーの柴田亮(鈴木一真)もいて、そこで葉月は、意外なものを目にする。  　そんな中、永人が出場するスケートボードの大会が開かれる。応援に駆け付けた美咲だったが、その背後には怪しい人影があり…。")</f>
        <v>美咲(石原さとみ)は産婦人科へ健診に行く。次は性別がわかるかも、と聞いていたことを思い出した永人(岩田剛典)は、「一緒に行く」と言って大慌てで支度する。子どもの名前を考え始める気が早い永人に、「自分の子どもみたい」と言って笑う美咲。すると永人は、「俺はそのくらい大事に思ってる」と返し「今度の大会で優勝したら…」と言いかけるが…。  　宗一郎(田辺誠一)は、別れた妻の貴子(音月桂)と会っていた。美咲が妊娠したことを知った貴子は、「自分の人生はあの子のせいで全てが狂った」と憤る。  　一方、葉月(松下奈緒)は、クビになったドレス工房「RYO」の展示会に招待される。ひとりで行く勇気がない葉月は、陽平(平山浩行)を誘う。会場には「RYO」オーナー兼デザイナーの柴田亮(鈴木一真)もいて、そこで葉月は、意外なものを目にする。  　そんな中、永人が出場するスケートボードの大会が開かれる。応援に駆け付けた美咲だったが、その背後には怪しい人影があり…。</v>
      </c>
      <c r="N702" s="2"/>
      <c r="O702" s="2"/>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row>
    <row r="703" ht="204.75" customHeight="1">
      <c r="A703" s="1">
        <v>2508.0</v>
      </c>
      <c r="B703" s="2" t="s">
        <v>2225</v>
      </c>
      <c r="C703" s="2">
        <f>IFERROR(__xludf.DUMMYFUNCTION("split(B703,""_"")"),1410.0)</f>
        <v>1410</v>
      </c>
      <c r="D703" s="2" t="str">
        <f>IFERROR(__xludf.DUMMYFUNCTION("""COMPUTED_VALUE"""),"CX")</f>
        <v>CX</v>
      </c>
      <c r="E703" s="2" t="str">
        <f>IFERROR(__xludf.DUMMYFUNCTION("""COMPUTED_VALUE"""),"木22")</f>
        <v>木22</v>
      </c>
      <c r="F703" s="2" t="s">
        <v>2226</v>
      </c>
      <c r="G703" s="2" t="s">
        <v>2254</v>
      </c>
      <c r="H703" s="1">
        <v>10.0</v>
      </c>
      <c r="I703" s="1" t="s">
        <v>37</v>
      </c>
      <c r="J703" s="1" t="s">
        <v>86</v>
      </c>
      <c r="K703" s="2" t="s">
        <v>2255</v>
      </c>
      <c r="L703" s="2" t="s">
        <v>2256</v>
      </c>
      <c r="M703" s="2" t="str">
        <f>IFERROR(__xludf.DUMMYFUNCTION("split(split(K703,""石原さとみ　"",false),""/　"",false)"),"美咲(石原さとみ)は、永人(岩田剛典)からプロポーズされた。荷物を取りに来た際に偶然話を聞いてしまった葉月(松下奈緒)は、永人に返事はしたのか、と美咲に尋ねる。しかし美咲は、いろいろなことが起こりすぎて永人のことをどう思っているのか、自分自身でもわからない、と答え…。  　そんな折、永人は美咲にプロポーズのことを再度切り出そうとするが、永人と宗一郎(田辺誠一)の父・永一郎(清水紘治)の突然の訪問を受けてしまう。事情を知った永一郎は、「息子の人生を考えたら、親としてこんな結婚は認めるわけにはいかない」と怒り"&amp;"、美咲を追い返してしまい…。  　そして、出産予定日まで1カ月を切った4月のある夜、無事に産んでほしいという葉月と七重(片平なぎさ)の願いもむなしく、美咲の容体が急変してしまう。ストレッチャーに乗せられ手術室に運ばれる道中で、美咲は、葉月に対し「もしものときはお願いね…」と後を託し…。")</f>
        <v>美咲(石原さとみ)は、永人(岩田剛典)からプロポーズされた。荷物を取りに来た際に偶然話を聞いてしまった葉月(松下奈緒)は、永人に返事はしたのか、と美咲に尋ねる。しかし美咲は、いろいろなことが起こりすぎて永人のことをどう思っているのか、自分自身でもわからない、と答え…。  　そんな折、永人は美咲にプロポーズのことを再度切り出そうとするが、永人と宗一郎(田辺誠一)の父・永一郎(清水紘治)の突然の訪問を受けてしまう。事情を知った永一郎は、「息子の人生を考えたら、親としてこんな結婚は認めるわけにはいかない」と怒り、美咲を追い返してしまい…。  　そして、出産予定日まで1カ月を切った4月のある夜、無事に産んでほしいという葉月と七重(片平なぎさ)の願いもむなしく、美咲の容体が急変してしまう。ストレッチャーに乗せられ手術室に運ばれる道中で、美咲は、葉月に対し「もしものときはお願いね…」と後を託し…。</v>
      </c>
      <c r="N703" s="2"/>
      <c r="O703" s="2"/>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row>
    <row r="704" ht="204.75" customHeight="1">
      <c r="A704" s="1">
        <v>2568.0</v>
      </c>
      <c r="B704" s="2" t="s">
        <v>2257</v>
      </c>
      <c r="C704" s="2">
        <f>IFERROR(__xludf.DUMMYFUNCTION("split(B704,""_"")"),1407.0)</f>
        <v>1407</v>
      </c>
      <c r="D704" s="2" t="str">
        <f>IFERROR(__xludf.DUMMYFUNCTION("""COMPUTED_VALUE"""),"CX")</f>
        <v>CX</v>
      </c>
      <c r="E704" s="2" t="str">
        <f>IFERROR(__xludf.DUMMYFUNCTION("""COMPUTED_VALUE"""),"月21")</f>
        <v>月21</v>
      </c>
      <c r="F704" s="2" t="s">
        <v>2258</v>
      </c>
      <c r="G704" s="2" t="s">
        <v>2259</v>
      </c>
      <c r="H704" s="1">
        <v>1.0</v>
      </c>
      <c r="I704" s="1" t="s">
        <v>3</v>
      </c>
      <c r="J704" s="1" t="s">
        <v>4</v>
      </c>
      <c r="K704" s="4" t="s">
        <v>2260</v>
      </c>
      <c r="L704" s="2" t="s">
        <v>2261</v>
      </c>
      <c r="M704" s="2" t="str">
        <f>IFERROR(__xludf.DUMMYFUNCTION("split(split(K704,""久利生公平(東京"",false),""公式LINE"",false)"),"いつものように城西支部の1日が始まる。ひとつだけいつもと違うのは久利生公平(木村拓哉)が新たに着任するということ。久利生には麻木千佳(北川景子)が担当事務官として付くことが発表される。いきなりジーパン姿で登場した久利生を一目見た瞬間、千佳はめまいを覚える。  　久利生は居酒屋で起きた傷害事件を担当することとなり、早速取り調べを始める。すると驚きの事実が発覚する。傷害事件の被疑者大西祐二(森山直太朗)と、15年前に起きた宝石強盗事件の現場に残っていた指紋が一致したというのだ。しかも時効成立の3日前。被害が5"&amp;"0カラット時価13億円相当と、強盗事件では史上最高額で、一気に世間の注目の的となる。城西支部の他の検事たちは、いきなり“おいしい""事件を担当することになった久利生をうらやましがる。だが久利生の本当の“怖さ""を忘れていた。大西は宝石を盗んだということを一切認めない。周りが時間がないといくらせかそうとも、久利生はいつものスタイルを変えず、まずは宝石強盗事件の現場に向かうのだった。  　ついには嫌疑を否認し続ける大西を前に久利生は「起訴はできない」と言い始める。時効まであと2日。次席の牛丸豊(角野卓造)、部"&amp;"長の川尻健三郎(松重豊)をはじめ城西支部の皆は頭を抱える。時効までに真相解明にいたるのか…!?")</f>
        <v>いつものように城西支部の1日が始まる。ひとつだけいつもと違うのは久利生公平(木村拓哉)が新たに着任するということ。久利生には麻木千佳(北川景子)が担当事務官として付くことが発表される。いきなりジーパン姿で登場した久利生を一目見た瞬間、千佳はめまいを覚える。  　久利生は居酒屋で起きた傷害事件を担当することとなり、早速取り調べを始める。すると驚きの事実が発覚する。傷害事件の被疑者大西祐二(森山直太朗)と、15年前に起きた宝石強盗事件の現場に残っていた指紋が一致したというのだ。しかも時効成立の3日前。被害が50カラット時価13億円相当と、強盗事件では史上最高額で、一気に世間の注目の的となる。城西支部の他の検事たちは、いきなり“おいしい"事件を担当することになった久利生をうらやましがる。だが久利生の本当の“怖さ"を忘れていた。大西は宝石を盗んだということを一切認めない。周りが時間がないといくらせかそうとも、久利生はいつものスタイルを変えず、まずは宝石強盗事件の現場に向かうのだった。  　ついには嫌疑を否認し続ける大西を前に久利生は「起訴はできない」と言い始める。時効まであと2日。次席の牛丸豊(角野卓造)、部長の川尻健三郎(松重豊)をはじめ城西支部の皆は頭を抱える。時効までに真相解明にいたるのか…!?</v>
      </c>
      <c r="N704" s="2"/>
      <c r="O704" s="2"/>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row>
    <row r="705" ht="204.75" customHeight="1">
      <c r="A705" s="1">
        <v>2569.0</v>
      </c>
      <c r="B705" s="2" t="s">
        <v>2257</v>
      </c>
      <c r="C705" s="2">
        <f>IFERROR(__xludf.DUMMYFUNCTION("split(B705,""_"")"),1407.0)</f>
        <v>1407</v>
      </c>
      <c r="D705" s="2" t="str">
        <f>IFERROR(__xludf.DUMMYFUNCTION("""COMPUTED_VALUE"""),"CX")</f>
        <v>CX</v>
      </c>
      <c r="E705" s="2" t="str">
        <f>IFERROR(__xludf.DUMMYFUNCTION("""COMPUTED_VALUE"""),"月21")</f>
        <v>月21</v>
      </c>
      <c r="F705" s="2" t="s">
        <v>2258</v>
      </c>
      <c r="G705" s="2" t="s">
        <v>2262</v>
      </c>
      <c r="H705" s="1">
        <v>2.0</v>
      </c>
      <c r="I705" s="1" t="s">
        <v>7</v>
      </c>
      <c r="J705" s="1" t="s">
        <v>4</v>
      </c>
      <c r="K705" s="2" t="s">
        <v>2263</v>
      </c>
      <c r="L705" s="2" t="s">
        <v>2264</v>
      </c>
      <c r="M705" s="2" t="str">
        <f>IFERROR(__xludf.DUMMYFUNCTION("split(split(K705,""久利生公平(東京"",false),""公式LINE"",false)"),"この日久利生公平(木村拓哉)が担当したのは、エリートサラリーマンの勝俣大毅(岩瀬亮)の痴漢事件。久利生の取り調べに、勝俣は素直に容疑を認める。しかし事務官の麻木千佳(北川景子)は、勝俣の身勝手な動機に我慢ならない。  　久利生と千佳が勝俣の取り調べを終えると、桜井丈太郎弁護士(谷原章介)が訪ねてきた。勝俣の弁護人だ。桜井は勝俣の一時帰宅を求める。また、今回被害に遭った女性と示談交渉をしたいと相談。さらに桜井は、勝俣が警察での取り調べを録音していたと、久利生たちに聞かせた。そこには、取り調べた刑事の恫喝(ど"&amp;"うかつ)まがいの声と、怯えた様子の勝俣の声。桜井は違法な取り調べを盾に、要求を飲ませようという構え。久利生は冷静に話を聞くが、千佳は悪いのは勝俣だと言ってしまう。すると千佳は桜井から、事務官は検事のサポート役で法律には素人なので黙っていて欲しいと一蹴された。  　結局、久利生は勝俣を釈放。腹立ちが納まらない千佳は、勝俣を取り調べた警察署に抗議の電話をするが、ここでも事務官と相手にされずイジけてしまう。そんな千佳に、久利生は自分の最終学歴を話す。茫然としてしまう千佳。久利生は、そんな千佳を促して勝俣の被害者"&amp;"、宮原祥子(大谷英子)のもとへ。  　祥子は、桜井から示談のコンタクトがあったが応じるつもりはないとキッパリ。ところが後日、久利生のもとに祥子との示談が成立したと桜井が現れる。")</f>
        <v>この日久利生公平(木村拓哉)が担当したのは、エリートサラリーマンの勝俣大毅(岩瀬亮)の痴漢事件。久利生の取り調べに、勝俣は素直に容疑を認める。しかし事務官の麻木千佳(北川景子)は、勝俣の身勝手な動機に我慢ならない。  　久利生と千佳が勝俣の取り調べを終えると、桜井丈太郎弁護士(谷原章介)が訪ねてきた。勝俣の弁護人だ。桜井は勝俣の一時帰宅を求める。また、今回被害に遭った女性と示談交渉をしたいと相談。さらに桜井は、勝俣が警察での取り調べを録音していたと、久利生たちに聞かせた。そこには、取り調べた刑事の恫喝(どうかつ)まがいの声と、怯えた様子の勝俣の声。桜井は違法な取り調べを盾に、要求を飲ませようという構え。久利生は冷静に話を聞くが、千佳は悪いのは勝俣だと言ってしまう。すると千佳は桜井から、事務官は検事のサポート役で法律には素人なので黙っていて欲しいと一蹴された。  　結局、久利生は勝俣を釈放。腹立ちが納まらない千佳は、勝俣を取り調べた警察署に抗議の電話をするが、ここでも事務官と相手にされずイジけてしまう。そんな千佳に、久利生は自分の最終学歴を話す。茫然としてしまう千佳。久利生は、そんな千佳を促して勝俣の被害者、宮原祥子(大谷英子)のもとへ。  　祥子は、桜井から示談のコンタクトがあったが応じるつもりはないとキッパリ。ところが後日、久利生のもとに祥子との示談が成立したと桜井が現れる。</v>
      </c>
      <c r="N705" s="2"/>
      <c r="O705" s="2"/>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row>
    <row r="706" ht="204.75" customHeight="1">
      <c r="A706" s="1">
        <v>2570.0</v>
      </c>
      <c r="B706" s="2" t="s">
        <v>2257</v>
      </c>
      <c r="C706" s="2">
        <f>IFERROR(__xludf.DUMMYFUNCTION("split(B706,""_"")"),1407.0)</f>
        <v>1407</v>
      </c>
      <c r="D706" s="2" t="str">
        <f>IFERROR(__xludf.DUMMYFUNCTION("""COMPUTED_VALUE"""),"CX")</f>
        <v>CX</v>
      </c>
      <c r="E706" s="2" t="str">
        <f>IFERROR(__xludf.DUMMYFUNCTION("""COMPUTED_VALUE"""),"月21")</f>
        <v>月21</v>
      </c>
      <c r="F706" s="2" t="s">
        <v>2258</v>
      </c>
      <c r="G706" s="2" t="s">
        <v>2265</v>
      </c>
      <c r="H706" s="1">
        <v>3.0</v>
      </c>
      <c r="I706" s="1" t="s">
        <v>10</v>
      </c>
      <c r="J706" s="1" t="s">
        <v>4</v>
      </c>
      <c r="K706" s="2" t="s">
        <v>2266</v>
      </c>
      <c r="L706" s="2" t="s">
        <v>2267</v>
      </c>
      <c r="M706" s="2" t="str">
        <f>IFERROR(__xludf.DUMMYFUNCTION("split(split(K706,""久利生公平(東京"",false),""公式LINE"",false)"),"久利生公平(木村拓哉)の担当事務官は、多忙な毎日。他の検事たちより取り調べに時間がかかるからだ。もちろん、麻木千佳(北川景子)も例外ではない。その日の夜も、久しぶりに仕事が早く終わったので、大好きな食べ歩きをしようと店に入って、注文した料理が来たところに久利生から電話。久利生が城西支部の夜当番の日だった。千佳は仕方なく料理をテイクアウトして、久利生に呼び出された城西署へ向かう。　城西署では、取調中の被疑者、佐伯亘(山崎画大)が留置場で亡くなっていた。立ち会った医師は、心筋梗塞と判断。久利生と千佳は、佐伯の"&amp;"死に事件性がないことを確認して城西署を後にする。  　翌日の城西支部で、佐伯を取り調べていた田村雅史(杉本哲太)が、もう少しで起訴出来たと悔しがっていると長谷川洋介という人物から電話がかかってきた。その名に驚く田村と遠藤賢司(八嶋智人)。なぜなら、洋介は佐伯に殺害された被害者なのだ。電話を受けていた千佳が確認すると、相手は洋介の父、誠一(前田吟)と判明。誠一は佐伯の裁判がいつ始まるかを知りたかった。電話を代わった遠藤が被疑者死亡で起訴されないと説明すると、誠一は絶句してしまう。  　この日から、誠一が城西"&amp;"支部を何度も訪ねたり、電話をかけてくるようになってしまう。担当検事に会わせて欲しいと訴える誠一。だが、当の田村は相手をしようとせず、遠藤に応対を押し付けてしまう。")</f>
        <v>久利生公平(木村拓哉)の担当事務官は、多忙な毎日。他の検事たちより取り調べに時間がかかるからだ。もちろん、麻木千佳(北川景子)も例外ではない。その日の夜も、久しぶりに仕事が早く終わったので、大好きな食べ歩きをしようと店に入って、注文した料理が来たところに久利生から電話。久利生が城西支部の夜当番の日だった。千佳は仕方なく料理をテイクアウトして、久利生に呼び出された城西署へ向かう。　城西署では、取調中の被疑者、佐伯亘(山崎画大)が留置場で亡くなっていた。立ち会った医師は、心筋梗塞と判断。久利生と千佳は、佐伯の死に事件性がないことを確認して城西署を後にする。  　翌日の城西支部で、佐伯を取り調べていた田村雅史(杉本哲太)が、もう少しで起訴出来たと悔しがっていると長谷川洋介という人物から電話がかかってきた。その名に驚く田村と遠藤賢司(八嶋智人)。なぜなら、洋介は佐伯に殺害された被害者なのだ。電話を受けていた千佳が確認すると、相手は洋介の父、誠一(前田吟)と判明。誠一は佐伯の裁判がいつ始まるかを知りたかった。電話を代わった遠藤が被疑者死亡で起訴されないと説明すると、誠一は絶句してしまう。  　この日から、誠一が城西支部を何度も訪ねたり、電話をかけてくるようになってしまう。担当検事に会わせて欲しいと訴える誠一。だが、当の田村は相手をしようとせず、遠藤に応対を押し付けてしまう。</v>
      </c>
      <c r="N706" s="2"/>
      <c r="O706" s="2"/>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row>
    <row r="707" ht="204.75" customHeight="1">
      <c r="A707" s="1">
        <v>2571.0</v>
      </c>
      <c r="B707" s="2" t="s">
        <v>2257</v>
      </c>
      <c r="C707" s="2">
        <f>IFERROR(__xludf.DUMMYFUNCTION("split(B707,""_"")"),1407.0)</f>
        <v>1407</v>
      </c>
      <c r="D707" s="2" t="str">
        <f>IFERROR(__xludf.DUMMYFUNCTION("""COMPUTED_VALUE"""),"CX")</f>
        <v>CX</v>
      </c>
      <c r="E707" s="2" t="str">
        <f>IFERROR(__xludf.DUMMYFUNCTION("""COMPUTED_VALUE"""),"月21")</f>
        <v>月21</v>
      </c>
      <c r="F707" s="2" t="s">
        <v>2258</v>
      </c>
      <c r="G707" s="2" t="s">
        <v>2268</v>
      </c>
      <c r="H707" s="1">
        <v>4.0</v>
      </c>
      <c r="I707" s="1" t="s">
        <v>14</v>
      </c>
      <c r="J707" s="1" t="s">
        <v>11</v>
      </c>
      <c r="K707" s="2" t="s">
        <v>2269</v>
      </c>
      <c r="L707" s="2" t="s">
        <v>2270</v>
      </c>
      <c r="M707" s="2" t="str">
        <f>IFERROR(__xludf.DUMMYFUNCTION("split(split(K707,""久利生公平(東京"",false),""公式LINE"",false)"),"城西支部に京都地検から女性検事が出張してくる。その検事は、久利生公平(木村拓哉)や遠藤賢司(八嶋智人)、末次隆之(小日向文世)には懐かしい仲間、中村美鈴(大塚寧々)だった。美鈴には事務官の小金沢克雄(温水洋一)が同行している。宇野大介(濱田岳)が取り調べている健康器具詐欺の被疑者、土井垣次郎(西村和彦)が、関西でも同じ犯罪を行っていたため、美鈴はそちらの件での取り調べを行うことになる。  　一方、久利生は麻木千佳(北川景子)とマンホールの蓋を盗もうとして逮捕された飛田丞治(阿部亮平)を取り調べ。飛田は素直"&amp;"に犯行を認めた。しかし、久利生は逮捕から3日しか経過していないのに、飛田に寄せられた多くの減刑嘆願書が気にかかる。そんな取り調べ中、飛田がいきなり千佳を呼び捨て。千佳と飛田はかつての知り合いだった。  　宇野は口八丁な土井垣の取り調べに大苦戦。ところが、美鈴が土井垣を取り調べると、あっさりと詐欺を認めさせてしまった。美鈴の華麗な取り調べに、宇野は負けたとショックを受ける。  　久利生と千佳はマンホール窃盗の捜査。案内の警察官によると、付近では他にもマンホールの盗難があり、公園からは金属性の滑り台も盗まれて"&amp;"いた。久利生は共犯者を疑い、飛田の嘆願書を書いた人に話を聞きに行く。その中にも、かつての仲間がいたため千佳の素性は次々と明るみに。そんな捜査中、久利生と別れた千佳が何者かに襲われ…。")</f>
        <v>城西支部に京都地検から女性検事が出張してくる。その検事は、久利生公平(木村拓哉)や遠藤賢司(八嶋智人)、末次隆之(小日向文世)には懐かしい仲間、中村美鈴(大塚寧々)だった。美鈴には事務官の小金沢克雄(温水洋一)が同行している。宇野大介(濱田岳)が取り調べている健康器具詐欺の被疑者、土井垣次郎(西村和彦)が、関西でも同じ犯罪を行っていたため、美鈴はそちらの件での取り調べを行うことになる。  　一方、久利生は麻木千佳(北川景子)とマンホールの蓋を盗もうとして逮捕された飛田丞治(阿部亮平)を取り調べ。飛田は素直に犯行を認めた。しかし、久利生は逮捕から3日しか経過していないのに、飛田に寄せられた多くの減刑嘆願書が気にかかる。そんな取り調べ中、飛田がいきなり千佳を呼び捨て。千佳と飛田はかつての知り合いだった。  　宇野は口八丁な土井垣の取り調べに大苦戦。ところが、美鈴が土井垣を取り調べると、あっさりと詐欺を認めさせてしまった。美鈴の華麗な取り調べに、宇野は負けたとショックを受ける。  　久利生と千佳はマンホール窃盗の捜査。案内の警察官によると、付近では他にもマンホールの盗難があり、公園からは金属性の滑り台も盗まれていた。久利生は共犯者を疑い、飛田の嘆願書を書いた人に話を聞きに行く。その中にも、かつての仲間がいたため千佳の素性は次々と明るみに。そんな捜査中、久利生と別れた千佳が何者かに襲われ…。</v>
      </c>
      <c r="N707" s="2"/>
      <c r="O707" s="2"/>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row>
    <row r="708" ht="204.75" customHeight="1">
      <c r="A708" s="1">
        <v>2572.0</v>
      </c>
      <c r="B708" s="2" t="s">
        <v>2257</v>
      </c>
      <c r="C708" s="2">
        <f>IFERROR(__xludf.DUMMYFUNCTION("split(B708,""_"")"),1407.0)</f>
        <v>1407</v>
      </c>
      <c r="D708" s="2" t="str">
        <f>IFERROR(__xludf.DUMMYFUNCTION("""COMPUTED_VALUE"""),"CX")</f>
        <v>CX</v>
      </c>
      <c r="E708" s="2" t="str">
        <f>IFERROR(__xludf.DUMMYFUNCTION("""COMPUTED_VALUE"""),"月21")</f>
        <v>月21</v>
      </c>
      <c r="F708" s="2" t="s">
        <v>2258</v>
      </c>
      <c r="G708" s="2" t="s">
        <v>2271</v>
      </c>
      <c r="H708" s="1">
        <v>5.0</v>
      </c>
      <c r="I708" s="1" t="s">
        <v>17</v>
      </c>
      <c r="J708" s="1" t="s">
        <v>11</v>
      </c>
      <c r="K708" s="2" t="s">
        <v>2272</v>
      </c>
      <c r="L708" s="2" t="s">
        <v>2273</v>
      </c>
      <c r="M708" s="2" t="str">
        <f>IFERROR(__xludf.DUMMYFUNCTION("split(split(K708,""久利生公平(東京"",false),""公式LINE"",false)"),"城西支部で健康診断の結果が出た。健康だったのは久利生公平(木村拓哉)だけ。体脂肪が増加した麻木千佳(北川景子)は、仕事量の多すぎる久利生に付き合わされているからだと嘆く。川尻健三郎(松重豊)は、ほぼ全ての数値が昨年を下回ったことで、朝から不機嫌になってしまう。  　キレ気味の川尻は新たに加わった多くの案件を八つ当たりのように振り分ける。久利生も珍しく新規案件の引き受けを躊躇。久利生はゴルフ場の吊り橋崩落でキャディーが怪我をした事件を抱えていた。取り調べを確実なものにするために、久利生は吊り橋の構造から勉強"&amp;"しようとしていたのだ。それでも、久利生は川尻の要請を断ろうとしないが、千佳が遮る。  　結局、川尻の手元に置き引き事件が残った。久利生と千佳は、川尻が調べれば良いと言い出す。城西支部メンバーも、川尻の仕事を見てみたいと賛同。川尻は特捜部に籍を置いたこともあり、かつては“鬼の川尻""と異名を持った凄腕だったのだ。部下の期待に、川尻は自ら取り調べることに。  　早速、川尻は置き引き事件の被疑者、小茂田繁樹(矢崎広)と対面。しかし、どうにも歯切れが悪い。否認する小茂田に鋭い追求をしないのだ。落胆する城西支部メン"&amp;"バー。少し自信を失った川尻は、目撃者の事情聴取を始めた。ところが、事件が午後の公園で発生したため目撃者は子供ばかり。強面かつ子供が苦手な川尻は、こちらでも大苦戦を強いられることに…。")</f>
        <v>城西支部で健康診断の結果が出た。健康だったのは久利生公平(木村拓哉)だけ。体脂肪が増加した麻木千佳(北川景子)は、仕事量の多すぎる久利生に付き合わされているからだと嘆く。川尻健三郎(松重豊)は、ほぼ全ての数値が昨年を下回ったことで、朝から不機嫌になってしまう。  　キレ気味の川尻は新たに加わった多くの案件を八つ当たりのように振り分ける。久利生も珍しく新規案件の引き受けを躊躇。久利生はゴルフ場の吊り橋崩落でキャディーが怪我をした事件を抱えていた。取り調べを確実なものにするために、久利生は吊り橋の構造から勉強しようとしていたのだ。それでも、久利生は川尻の要請を断ろうとしないが、千佳が遮る。  　結局、川尻の手元に置き引き事件が残った。久利生と千佳は、川尻が調べれば良いと言い出す。城西支部メンバーも、川尻の仕事を見てみたいと賛同。川尻は特捜部に籍を置いたこともあり、かつては“鬼の川尻"と異名を持った凄腕だったのだ。部下の期待に、川尻は自ら取り調べることに。  　早速、川尻は置き引き事件の被疑者、小茂田繁樹(矢崎広)と対面。しかし、どうにも歯切れが悪い。否認する小茂田に鋭い追求をしないのだ。落胆する城西支部メンバー。少し自信を失った川尻は、目撃者の事情聴取を始めた。ところが、事件が午後の公園で発生したため目撃者は子供ばかり。強面かつ子供が苦手な川尻は、こちらでも大苦戦を強いられることに…。</v>
      </c>
      <c r="N708" s="2"/>
      <c r="O708" s="2"/>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row>
    <row r="709" ht="204.75" customHeight="1">
      <c r="A709" s="1">
        <v>2573.0</v>
      </c>
      <c r="B709" s="2" t="s">
        <v>2257</v>
      </c>
      <c r="C709" s="2">
        <f>IFERROR(__xludf.DUMMYFUNCTION("split(B709,""_"")"),1407.0)</f>
        <v>1407</v>
      </c>
      <c r="D709" s="2" t="str">
        <f>IFERROR(__xludf.DUMMYFUNCTION("""COMPUTED_VALUE"""),"CX")</f>
        <v>CX</v>
      </c>
      <c r="E709" s="2" t="str">
        <f>IFERROR(__xludf.DUMMYFUNCTION("""COMPUTED_VALUE"""),"月21")</f>
        <v>月21</v>
      </c>
      <c r="F709" s="2" t="s">
        <v>2258</v>
      </c>
      <c r="G709" s="2" t="s">
        <v>2274</v>
      </c>
      <c r="H709" s="1">
        <v>6.0</v>
      </c>
      <c r="I709" s="1" t="s">
        <v>21</v>
      </c>
      <c r="J709" s="1" t="s">
        <v>11</v>
      </c>
      <c r="K709" s="2" t="s">
        <v>2275</v>
      </c>
      <c r="L709" s="2" t="s">
        <v>2276</v>
      </c>
      <c r="M709" s="2" t="str">
        <f>IFERROR(__xludf.DUMMYFUNCTION("split(split(K709,""久利生公平(東京"",false),""公式LINE"",false)"),"いつものような城西支部の朝。寝不足気味で登庁した久利生公平(木村拓哉)は、麻木千佳(北川景子)にネット通販のやり過ぎを指摘され、田村雅史(杉本哲太)は妻が勝手に飼い犬を増やしたことを嘆く。ところが、いつもとは違うことが起きていた。遠藤賢司(八嶋智人)がいない。その時、電話に応対していた川尻健三郎(松重豊)の驚がくの声が響く。牛丸豊(角野卓造)からの連絡で、なんと遠藤は殺人未遂で逮捕されていた。　城西支部には特捜部が乗り込み、遠藤の身の回りの品物が押収される。そして、特捜部検事の首藤礼二(石黒賢)が、遠藤の"&amp;"取り調べは自分たちで行うと宣言した。  　首藤は神田川事務官(渋川清彦)を伴って取り調べを始める。遠藤にかけられた嫌疑は、ダイニングバーで発生した男性の刺傷。合コン中、たまたま事件に巻き込まれたと主張する遠藤だが首藤は納得しない。遠藤の私物から、自らを検事とする名刺が発見されたことも信用を失っていた。  　久利生と千佳は、別の案件でお出かけ捜査。その帰り、遠藤に刺されたという被害者が入院する病院へ。しかし、被害者の病室には検察官が張り付いていた。それでも、久利生と千佳は看護師から、被害者は代議士の私設秘書"&amp;"だという情報を得る。  　川尻は牛丸に被害者の身元を確認するが、何かを隠している様子。首藤の取り調べも進む気配がない。本当に遠藤の犯行なのか?久利生たちは事件の真実を捜し始める。")</f>
        <v>いつものような城西支部の朝。寝不足気味で登庁した久利生公平(木村拓哉)は、麻木千佳(北川景子)にネット通販のやり過ぎを指摘され、田村雅史(杉本哲太)は妻が勝手に飼い犬を増やしたことを嘆く。ところが、いつもとは違うことが起きていた。遠藤賢司(八嶋智人)がいない。その時、電話に応対していた川尻健三郎(松重豊)の驚がくの声が響く。牛丸豊(角野卓造)からの連絡で、なんと遠藤は殺人未遂で逮捕されていた。　城西支部には特捜部が乗り込み、遠藤の身の回りの品物が押収される。そして、特捜部検事の首藤礼二(石黒賢)が、遠藤の取り調べは自分たちで行うと宣言した。  　首藤は神田川事務官(渋川清彦)を伴って取り調べを始める。遠藤にかけられた嫌疑は、ダイニングバーで発生した男性の刺傷。合コン中、たまたま事件に巻き込まれたと主張する遠藤だが首藤は納得しない。遠藤の私物から、自らを検事とする名刺が発見されたことも信用を失っていた。  　久利生と千佳は、別の案件でお出かけ捜査。その帰り、遠藤に刺されたという被害者が入院する病院へ。しかし、被害者の病室には検察官が張り付いていた。それでも、久利生と千佳は看護師から、被害者は代議士の私設秘書だという情報を得る。  　川尻は牛丸に被害者の身元を確認するが、何かを隠している様子。首藤の取り調べも進む気配がない。本当に遠藤の犯行なのか?久利生たちは事件の真実を捜し始める。</v>
      </c>
      <c r="N709" s="2"/>
      <c r="O709" s="2"/>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row>
    <row r="710" ht="204.75" customHeight="1">
      <c r="A710" s="1">
        <v>2574.0</v>
      </c>
      <c r="B710" s="2" t="s">
        <v>2257</v>
      </c>
      <c r="C710" s="2">
        <f>IFERROR(__xludf.DUMMYFUNCTION("split(B710,""_"")"),1407.0)</f>
        <v>1407</v>
      </c>
      <c r="D710" s="2" t="str">
        <f>IFERROR(__xludf.DUMMYFUNCTION("""COMPUTED_VALUE"""),"CX")</f>
        <v>CX</v>
      </c>
      <c r="E710" s="2" t="str">
        <f>IFERROR(__xludf.DUMMYFUNCTION("""COMPUTED_VALUE"""),"月21")</f>
        <v>月21</v>
      </c>
      <c r="F710" s="2" t="s">
        <v>2258</v>
      </c>
      <c r="G710" s="2" t="s">
        <v>2277</v>
      </c>
      <c r="H710" s="1">
        <v>7.0</v>
      </c>
      <c r="I710" s="1" t="s">
        <v>25</v>
      </c>
      <c r="J710" s="1" t="s">
        <v>11</v>
      </c>
      <c r="K710" s="2" t="s">
        <v>2278</v>
      </c>
      <c r="L710" s="2" t="s">
        <v>2279</v>
      </c>
      <c r="M710" s="2" t="str">
        <f>IFERROR(__xludf.DUMMYFUNCTION("split(split(K710,""久利生公平(東京"",false),""公式LINE"",false)"),"久利生公平(木村拓哉)と馬場礼子(吉田羊)が『St.George's　Tavern』で飲んでいる。さばき切れない案件を頼んだ礼子が、申し送りを兼ね、お礼として久利生に飲み代をおごることに。酔って昔付き合っていた男の愚痴をこぼしだす礼子。ついには、礼子の口から久利生もビックリの男の名が飛び出した。  　次の日、久利生は礼子に頼まれた事件の取り調べを始める。被疑者は城山圭吾(竹財輝之助)。城山には同居中の恋人、綾野さくら(中村ゆり)への暴力による傷害容疑がかけられていた。城山は、別れを切り出されてカッとなった"&amp;"と素直に容疑を認める。  　取り調べを終えた久利生は、川尻健三郎(松重豊)に熱海への出張を申し出る。城山の被害者、さくらの事情聴取のためだ。もちろん、麻木千佳(北川景子)も同行を申し出るが、1泊2日の2人きりの出張と聞いた宇野大介(濱田岳)は気が気ではない。  　そんな城西支部に、検察官請求予定証拠の閲覧のため梶原洋人(戸次重幸)が来ていた。顔を合わせた礼子と梶原は驚く。2人は元夫婦だった。この話に、田村雅史(杉本哲太)、末次隆之(小日向文世)の胸が騒ぎ出す。遠藤賢司(八嶋智人)たちも興味津々。  　久利"&amp;"生は千佳と熱海へ。だが千佳の風邪が悪化し、久利生は千佳をホテルに残して、さくらに会いに行く。母親に伴われて久利生と面会したさくら。母親は城山の処罰を求めるが…。")</f>
        <v>久利生公平(木村拓哉)と馬場礼子(吉田羊)が『St.George's　Tavern』で飲んでいる。さばき切れない案件を頼んだ礼子が、申し送りを兼ね、お礼として久利生に飲み代をおごることに。酔って昔付き合っていた男の愚痴をこぼしだす礼子。ついには、礼子の口から久利生もビックリの男の名が飛び出した。  　次の日、久利生は礼子に頼まれた事件の取り調べを始める。被疑者は城山圭吾(竹財輝之助)。城山には同居中の恋人、綾野さくら(中村ゆり)への暴力による傷害容疑がかけられていた。城山は、別れを切り出されてカッとなったと素直に容疑を認める。  　取り調べを終えた久利生は、川尻健三郎(松重豊)に熱海への出張を申し出る。城山の被害者、さくらの事情聴取のためだ。もちろん、麻木千佳(北川景子)も同行を申し出るが、1泊2日の2人きりの出張と聞いた宇野大介(濱田岳)は気が気ではない。  　そんな城西支部に、検察官請求予定証拠の閲覧のため梶原洋人(戸次重幸)が来ていた。顔を合わせた礼子と梶原は驚く。2人は元夫婦だった。この話に、田村雅史(杉本哲太)、末次隆之(小日向文世)の胸が騒ぎ出す。遠藤賢司(八嶋智人)たちも興味津々。  　久利生は千佳と熱海へ。だが千佳の風邪が悪化し、久利生は千佳をホテルに残して、さくらに会いに行く。母親に伴われて久利生と面会したさくら。母親は城山の処罰を求めるが…。</v>
      </c>
      <c r="N710" s="2"/>
      <c r="O710" s="2"/>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row>
    <row r="711" ht="204.75" customHeight="1">
      <c r="A711" s="1">
        <v>2575.0</v>
      </c>
      <c r="B711" s="2" t="s">
        <v>2257</v>
      </c>
      <c r="C711" s="2">
        <f>IFERROR(__xludf.DUMMYFUNCTION("split(B711,""_"")"),1407.0)</f>
        <v>1407</v>
      </c>
      <c r="D711" s="2" t="str">
        <f>IFERROR(__xludf.DUMMYFUNCTION("""COMPUTED_VALUE"""),"CX")</f>
        <v>CX</v>
      </c>
      <c r="E711" s="2" t="str">
        <f>IFERROR(__xludf.DUMMYFUNCTION("""COMPUTED_VALUE"""),"月21")</f>
        <v>月21</v>
      </c>
      <c r="F711" s="2" t="s">
        <v>2258</v>
      </c>
      <c r="G711" s="2" t="s">
        <v>2280</v>
      </c>
      <c r="H711" s="1">
        <v>8.0</v>
      </c>
      <c r="I711" s="1" t="s">
        <v>29</v>
      </c>
      <c r="J711" s="1" t="s">
        <v>11</v>
      </c>
      <c r="K711" s="2" t="s">
        <v>2281</v>
      </c>
      <c r="L711" s="2" t="s">
        <v>2282</v>
      </c>
      <c r="M711" s="2" t="str">
        <f>IFERROR(__xludf.DUMMYFUNCTION("split(split(K711,""久利生公平(東京"",false),""公式LINE"",false)"),"城西支部に、暴力団幹部を襲撃し殺害したと警察に出頭した被疑者が送致されてくることになる。検事たちは、暴力団員同士の事件で面倒に巻き込まれることを敬遠したため、結局、久利生公平(木村拓哉)が担当となった。  　被疑者、権藤明(池内博之)の到着より先に、城西支部を小此木誠(鶴見辰吾)という弁護士が訪ねてきた。小此木は暴力団の顧問弁護士で、権藤の弁護人。見るからに強面の小此木は、久利生に速やかに検察での取り調べを終わらせようと促す。そんな時、権藤が警察官とともに現れた。帰ろうとした小此木は、宇野大介(濱田岳)、"&amp;"末次隆之(小日向文世)と会う。すると小此木が宇野に声をかけた。小此木と言葉を交わす宇野に、末次は関係を尋ねる。宇野は、小此木は自分が司法修習生の時の先生だったと末次に答えた。  　久利生による権藤の取り調べが始まる。よどみなく事件の経緯を語る権藤に、久利生は身代わりではないかと疑問を持った。久利生は麻木千佳(北川景子)と一緒に警察署に向かい、担当した警察官に、権藤が身代わりではないかと尋ねる。すると、警察官はあっさりうなずいた。  　宇野は再会した小此木と飲みに行く。そこで宇野は、なぜ小此木が暴力団の顧問"&amp;"になったのかと問う。すると、小此木は弁護士の正当性を解き、検事の正義を否定した。  　久利生の権藤への取り調べは続く。だが、権藤は身代わりであることを認めようとしない。")</f>
        <v>城西支部に、暴力団幹部を襲撃し殺害したと警察に出頭した被疑者が送致されてくることになる。検事たちは、暴力団員同士の事件で面倒に巻き込まれることを敬遠したため、結局、久利生公平(木村拓哉)が担当となった。  　被疑者、権藤明(池内博之)の到着より先に、城西支部を小此木誠(鶴見辰吾)という弁護士が訪ねてきた。小此木は暴力団の顧問弁護士で、権藤の弁護人。見るからに強面の小此木は、久利生に速やかに検察での取り調べを終わらせようと促す。そんな時、権藤が警察官とともに現れた。帰ろうとした小此木は、宇野大介(濱田岳)、末次隆之(小日向文世)と会う。すると小此木が宇野に声をかけた。小此木と言葉を交わす宇野に、末次は関係を尋ねる。宇野は、小此木は自分が司法修習生の時の先生だったと末次に答えた。  　久利生による権藤の取り調べが始まる。よどみなく事件の経緯を語る権藤に、久利生は身代わりではないかと疑問を持った。久利生は麻木千佳(北川景子)と一緒に警察署に向かい、担当した警察官に、権藤が身代わりではないかと尋ねる。すると、警察官はあっさりうなずいた。  　宇野は再会した小此木と飲みに行く。そこで宇野は、なぜ小此木が暴力団の顧問になったのかと問う。すると、小此木は弁護士の正当性を解き、検事の正義を否定した。  　久利生の権藤への取り調べは続く。だが、権藤は身代わりであることを認めようとしない。</v>
      </c>
      <c r="N711" s="2"/>
      <c r="O711" s="2"/>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row>
    <row r="712" ht="204.75" customHeight="1">
      <c r="A712" s="1">
        <v>2576.0</v>
      </c>
      <c r="B712" s="2" t="s">
        <v>2257</v>
      </c>
      <c r="C712" s="2">
        <f>IFERROR(__xludf.DUMMYFUNCTION("split(B712,""_"")"),1407.0)</f>
        <v>1407</v>
      </c>
      <c r="D712" s="2" t="str">
        <f>IFERROR(__xludf.DUMMYFUNCTION("""COMPUTED_VALUE"""),"CX")</f>
        <v>CX</v>
      </c>
      <c r="E712" s="2" t="str">
        <f>IFERROR(__xludf.DUMMYFUNCTION("""COMPUTED_VALUE"""),"月21")</f>
        <v>月21</v>
      </c>
      <c r="F712" s="2" t="s">
        <v>2258</v>
      </c>
      <c r="G712" s="2" t="s">
        <v>2283</v>
      </c>
      <c r="H712" s="1">
        <v>9.0</v>
      </c>
      <c r="I712" s="1" t="s">
        <v>33</v>
      </c>
      <c r="J712" s="1" t="s">
        <v>11</v>
      </c>
      <c r="K712" s="2" t="s">
        <v>2284</v>
      </c>
      <c r="L712" s="2" t="s">
        <v>2285</v>
      </c>
      <c r="M712" s="2" t="str">
        <f>IFERROR(__xludf.DUMMYFUNCTION("split(split(K712,""久利生公平(東京"",false),""公式LINE"",false)"),"登庁途中の久利生公平(木村拓哉)たちは、顔が合うとおしゃべりに花が咲く。今日は、末次隆之(小日向文世)が背中を痛めた話や、麻木千佳(北川景子)の取り寄せたDVDが届かないというぼやきを話題に、職場に着いた。  　この日、そんな久利生たちを待っていたのは、大学生4人による暴行致死容疑。仲間のひとりを集団暴行によって死なせてしまったのだ。しかし、最終的な死因となった凶器は発見されておらず、凶器を使った大学生も特定されていない。川尻健三郎(松重豊)は、久利生、田村雅史(杉本哲太)、宇野大介(濱田岳)、馬場礼子("&amp;"吉田羊)それぞれに被疑者1人を担当させ事件を調べるよう促す。  　だが、大学生たちの口は重く、事件について語ろうとしない。分かったのは被害者を含めた5人がフットサル仲間だということだけ。久利生と千佳は、5人の関係を探るため、通っている大学で聞き込み。いつも5人が集まっていた食堂を突き止めるがその日は休業していた。  　次の日、再び久利生たちは食堂へ。女店主、カルロス玉恵(片桐はいり)から有力な情報を得る。5人は、いつも大学教授のような人物と店で話をしていたと言うのだ。殺害現場の指紋調査を警察に依頼した久利"&amp;"生は、ある男を特定して検察庁に呼び出す。久利生は担当していた大学生の取り調べを川尻に預け、自らは呼び出した男を担当。4人別々の大学生と同時に、男に話を聞くという形で事件の真相に迫る。")</f>
        <v>登庁途中の久利生公平(木村拓哉)たちは、顔が合うとおしゃべりに花が咲く。今日は、末次隆之(小日向文世)が背中を痛めた話や、麻木千佳(北川景子)の取り寄せたDVDが届かないというぼやきを話題に、職場に着いた。  　この日、そんな久利生たちを待っていたのは、大学生4人による暴行致死容疑。仲間のひとりを集団暴行によって死なせてしまったのだ。しかし、最終的な死因となった凶器は発見されておらず、凶器を使った大学生も特定されていない。川尻健三郎(松重豊)は、久利生、田村雅史(杉本哲太)、宇野大介(濱田岳)、馬場礼子(吉田羊)それぞれに被疑者1人を担当させ事件を調べるよう促す。  　だが、大学生たちの口は重く、事件について語ろうとしない。分かったのは被害者を含めた5人がフットサル仲間だということだけ。久利生と千佳は、5人の関係を探るため、通っている大学で聞き込み。いつも5人が集まっていた食堂を突き止めるがその日は休業していた。  　次の日、再び久利生たちは食堂へ。女店主、カルロス玉恵(片桐はいり)から有力な情報を得る。5人は、いつも大学教授のような人物と店で話をしていたと言うのだ。殺害現場の指紋調査を警察に依頼した久利生は、ある男を特定して検察庁に呼び出す。久利生は担当していた大学生の取り調べを川尻に預け、自らは呼び出した男を担当。4人別々の大学生と同時に、男に話を聞くという形で事件の真相に迫る。</v>
      </c>
      <c r="N712" s="2"/>
      <c r="O712" s="2"/>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row>
    <row r="713" ht="204.75" customHeight="1">
      <c r="A713" s="1">
        <v>2577.0</v>
      </c>
      <c r="B713" s="2" t="s">
        <v>2257</v>
      </c>
      <c r="C713" s="2">
        <f>IFERROR(__xludf.DUMMYFUNCTION("split(B713,""_"")"),1407.0)</f>
        <v>1407</v>
      </c>
      <c r="D713" s="2" t="str">
        <f>IFERROR(__xludf.DUMMYFUNCTION("""COMPUTED_VALUE"""),"CX")</f>
        <v>CX</v>
      </c>
      <c r="E713" s="2" t="str">
        <f>IFERROR(__xludf.DUMMYFUNCTION("""COMPUTED_VALUE"""),"月21")</f>
        <v>月21</v>
      </c>
      <c r="F713" s="2" t="s">
        <v>2258</v>
      </c>
      <c r="G713" s="2" t="s">
        <v>2286</v>
      </c>
      <c r="H713" s="1">
        <v>10.0</v>
      </c>
      <c r="I713" s="1" t="s">
        <v>37</v>
      </c>
      <c r="J713" s="1" t="s">
        <v>4</v>
      </c>
      <c r="K713" s="2" t="s">
        <v>2287</v>
      </c>
      <c r="L713" s="2" t="s">
        <v>2288</v>
      </c>
      <c r="M713" s="2" t="str">
        <f>IFERROR(__xludf.DUMMYFUNCTION("split(split(K713,""久利生公平(東京"",false),""公式LINE"",false)"),"久利生公平(木村拓哉)と麻木千佳(北川景子)は、川尻健三郎(松重豊)に東京地検特捜部のサポートを命じられる。特捜部は現職大臣と建設会社の贈収賄を裏付けるため、人手不足になっていたのだ。千佳は特捜部と色めき立つが、久利生は淡々と応じる。  　特捜部で、久利生たちを迎えたのは江上達夫(勝村政信)。早速、江上は久利生と千佳に仕事を説明するが、それは地味な作業だった。久利生の活躍をサポート出来ると張り切っていた千佳は、がっかり。  　しかし、江上が胃潰瘍で入院。急きょ、久利生は江上が担当していた建設会社運転手の取"&amp;"り調べを引き継ぐ。早速、久利生は運転手に事実確認。すると、運転手は現職大臣に金を運んだ日は休んでいて車の運転はしていないと主張。久利生は、もう一度運転手の行動を調べ直すことにする。  　一方、城西支部には南雲尊之(加藤虎ノ介)という被疑者が殺人容疑で送致された。田村雅史(杉本哲太)が担当するが、南雲は黙秘。また、南雲には大手事務所の弁護人、松平一臣(羽場裕一)がついていた。何か裏が…。遠藤賢司(八嶋智人)が警察の過去の捜査資料を調べると、南雲が容疑者として浮上した事件を見つける。傷害事件だが、今回の事件と"&amp;"地域が近接しているため城西支部は南雲の犯行を疑う。それらの事件はいずれも容疑者逮捕に至っていない。だが、1件だけ別の男が起訴され、判決直後に亡くなっていた。")</f>
        <v>久利生公平(木村拓哉)と麻木千佳(北川景子)は、川尻健三郎(松重豊)に東京地検特捜部のサポートを命じられる。特捜部は現職大臣と建設会社の贈収賄を裏付けるため、人手不足になっていたのだ。千佳は特捜部と色めき立つが、久利生は淡々と応じる。  　特捜部で、久利生たちを迎えたのは江上達夫(勝村政信)。早速、江上は久利生と千佳に仕事を説明するが、それは地味な作業だった。久利生の活躍をサポート出来ると張り切っていた千佳は、がっかり。  　しかし、江上が胃潰瘍で入院。急きょ、久利生は江上が担当していた建設会社運転手の取り調べを引き継ぐ。早速、久利生は運転手に事実確認。すると、運転手は現職大臣に金を運んだ日は休んでいて車の運転はしていないと主張。久利生は、もう一度運転手の行動を調べ直すことにする。  　一方、城西支部には南雲尊之(加藤虎ノ介)という被疑者が殺人容疑で送致された。田村雅史(杉本哲太)が担当するが、南雲は黙秘。また、南雲には大手事務所の弁護人、松平一臣(羽場裕一)がついていた。何か裏が…。遠藤賢司(八嶋智人)が警察の過去の捜査資料を調べると、南雲が容疑者として浮上した事件を見つける。傷害事件だが、今回の事件と地域が近接しているため城西支部は南雲の犯行を疑う。それらの事件はいずれも容疑者逮捕に至っていない。だが、1件だけ別の男が起訴され、判決直後に亡くなっていた。</v>
      </c>
      <c r="N713" s="2"/>
      <c r="O713" s="2"/>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row>
    <row r="714" ht="204.75" customHeight="1">
      <c r="A714" s="1">
        <v>2578.0</v>
      </c>
      <c r="B714" s="2" t="s">
        <v>2257</v>
      </c>
      <c r="C714" s="2">
        <f>IFERROR(__xludf.DUMMYFUNCTION("split(B714,""_"")"),1407.0)</f>
        <v>1407</v>
      </c>
      <c r="D714" s="2" t="str">
        <f>IFERROR(__xludf.DUMMYFUNCTION("""COMPUTED_VALUE"""),"CX")</f>
        <v>CX</v>
      </c>
      <c r="E714" s="2" t="str">
        <f>IFERROR(__xludf.DUMMYFUNCTION("""COMPUTED_VALUE"""),"月21")</f>
        <v>月21</v>
      </c>
      <c r="F714" s="2" t="s">
        <v>2258</v>
      </c>
      <c r="G714" s="2" t="s">
        <v>2289</v>
      </c>
      <c r="H714" s="1">
        <v>11.0</v>
      </c>
      <c r="I714" s="1" t="s">
        <v>41</v>
      </c>
      <c r="J714" s="1" t="s">
        <v>4</v>
      </c>
      <c r="K714" s="2" t="s">
        <v>2290</v>
      </c>
      <c r="L714" s="2" t="s">
        <v>2291</v>
      </c>
      <c r="M714" s="2" t="str">
        <f>IFERROR(__xludf.DUMMYFUNCTION("split(split(K714,""久利生公平(東京"",false),""公式LINE"",false)"),"特捜部の捜査から外された久利生公平(木村拓哉)が、麻木千佳(北川景子)と戻った城西支部は揺れている。殺人容疑で送致された南雲尊之(加藤虎ノ介)が担当検事の田村雅史(杉本哲太)と事務官の遠藤賢司(八嶋智人)の調べにより過去にも同じような傷害事件を犯していた可能性が浮上したからだ。そのうちの1件では、別の被疑者が逮捕、起訴され、刑罰が確定した直後、病気で他界している。もし、南雲の犯罪であれば、検察は冤罪(えんざい)を自ら認めることになってしまうからだ。  　そんな中、南雲の第1回公判が開かれ、久利生が過去の事"&amp;"件を追求し始める。  　一方、城西支部のメンバーは手分けして、過去の事件を検証し始める。当時の関係者として元検事の、国分秀雄(井上順)を訪ねて捜査への協力を求める。しかし、国分は頑として応じようとしない。　過去の事件を含めた南雲の裁判が始まる。未だ決め手を欠くままの久利生たちに対し、南雲の弁護士、松平一臣(羽場裕一)は驚くべき手段をこうじてくるのだった。")</f>
        <v>特捜部の捜査から外された久利生公平(木村拓哉)が、麻木千佳(北川景子)と戻った城西支部は揺れている。殺人容疑で送致された南雲尊之(加藤虎ノ介)が担当検事の田村雅史(杉本哲太)と事務官の遠藤賢司(八嶋智人)の調べにより過去にも同じような傷害事件を犯していた可能性が浮上したからだ。そのうちの1件では、別の被疑者が逮捕、起訴され、刑罰が確定した直後、病気で他界している。もし、南雲の犯罪であれば、検察は冤罪(えんざい)を自ら認めることになってしまうからだ。  　そんな中、南雲の第1回公判が開かれ、久利生が過去の事件を追求し始める。  　一方、城西支部のメンバーは手分けして、過去の事件を検証し始める。当時の関係者として元検事の、国分秀雄(井上順)を訪ねて捜査への協力を求める。しかし、国分は頑として応じようとしない。　過去の事件を含めた南雲の裁判が始まる。未だ決め手を欠くままの久利生たちに対し、南雲の弁護士、松平一臣(羽場裕一)は驚くべき手段をこうじてくるのだった。</v>
      </c>
      <c r="N714" s="2"/>
      <c r="O714" s="2"/>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row>
    <row r="715" ht="204.75" customHeight="1">
      <c r="A715" s="1">
        <v>2588.0</v>
      </c>
      <c r="B715" s="2" t="s">
        <v>2292</v>
      </c>
      <c r="C715" s="2">
        <f>IFERROR(__xludf.DUMMYFUNCTION("split(B715,""_"")"),1407.0)</f>
        <v>1407</v>
      </c>
      <c r="D715" s="2" t="str">
        <f>IFERROR(__xludf.DUMMYFUNCTION("""COMPUTED_VALUE"""),"CX")</f>
        <v>CX</v>
      </c>
      <c r="E715" s="2" t="str">
        <f>IFERROR(__xludf.DUMMYFUNCTION("""COMPUTED_VALUE"""),"火21")</f>
        <v>火21</v>
      </c>
      <c r="F715" s="2" t="s">
        <v>2293</v>
      </c>
      <c r="G715" s="2" t="s">
        <v>2294</v>
      </c>
      <c r="H715" s="1">
        <v>1.0</v>
      </c>
      <c r="I715" s="1" t="s">
        <v>3</v>
      </c>
      <c r="J715" s="1" t="s">
        <v>4</v>
      </c>
      <c r="K715" s="4" t="s">
        <v>2295</v>
      </c>
      <c r="L715" s="2" t="s">
        <v>2296</v>
      </c>
      <c r="M715" s="2" t="str">
        <f>IFERROR(__xludf.DUMMYFUNCTION("split(split(K715,""藤巻大介:　"",false),""公式LINE"",false)"),"藤巻大介(柳葉敏郎)は、エール物産で総務部課長を務めるサラリーマン。  　ある休日、娘の美紀(飯豊まりえ)の恋人が遊びに来るとはしゃぐ妻の広子(菊池桃子)を見て、1人面白くない大介。家にやって来た保阪翔(風間俊介)の、金髪ピアス姿、そして敬語を使えずチャラチャラしている様子に腹を立てる。  　とあるホテルで開かれている旧・世田谷商科大学応援団のOB会。今はエール物産で社長をしている幹事長の荒川剛(西田敏行)をはじめとしたOBの齊藤裕一(反町隆史)、山下正人(ほんこん)らは、10年前に女子大と合併して翌檜("&amp;"あすなろ)大学と名前を変えて以来、応援団が衰退の一途をたどっていることを嘆く。  　数日後、社長室に呼び出された大介。荒川から、翌檜大学へ社会人入学をして廃部寸前の応援団を立て直してほしいと頼み込まれる。荒川は大介がリストラ候補であることを告げ、強引に了承させる。  　3月。翌檜大学の応援団室へ向かった大介は、チアリーダー部部長の葉月玲奈(高畑充希)と出会い、新歓ステージの存在を教えられる。そこへ齊藤と山下がやって来て、大介を河原へ連れ出す。多摩川の土手を学ラン姿で走らされ、応援団の特訓を受ける大介。その"&amp;"様子を遠くから観察している謎の女子大生・松下沙耶(剛力彩芽)。  　翌檜大学入学式。講堂では新歓ステージが始まり、大介は新入生勧誘のため必死で覚えたてのエールを披露するが・・・。")</f>
        <v>藤巻大介(柳葉敏郎)は、エール物産で総務部課長を務めるサラリーマン。  　ある休日、娘の美紀(飯豊まりえ)の恋人が遊びに来るとはしゃぐ妻の広子(菊池桃子)を見て、1人面白くない大介。家にやって来た保阪翔(風間俊介)の、金髪ピアス姿、そして敬語を使えずチャラチャラしている様子に腹を立てる。  　とあるホテルで開かれている旧・世田谷商科大学応援団のOB会。今はエール物産で社長をしている幹事長の荒川剛(西田敏行)をはじめとしたOBの齊藤裕一(反町隆史)、山下正人(ほんこん)らは、10年前に女子大と合併して翌檜(あすなろ)大学と名前を変えて以来、応援団が衰退の一途をたどっていることを嘆く。  　数日後、社長室に呼び出された大介。荒川から、翌檜大学へ社会人入学をして廃部寸前の応援団を立て直してほしいと頼み込まれる。荒川は大介がリストラ候補であることを告げ、強引に了承させる。  　3月。翌檜大学の応援団室へ向かった大介は、チアリーダー部部長の葉月玲奈(高畑充希)と出会い、新歓ステージの存在を教えられる。そこへ齊藤と山下がやって来て、大介を河原へ連れ出す。多摩川の土手を学ラン姿で走らされ、応援団の特訓を受ける大介。その様子を遠くから観察している謎の女子大生・松下沙耶(剛力彩芽)。  　翌檜大学入学式。講堂では新歓ステージが始まり、大介は新入生勧誘のため必死で覚えたてのエールを披露するが・・・。</v>
      </c>
      <c r="N715" s="2"/>
      <c r="O715" s="2"/>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row>
    <row r="716" ht="204.75" customHeight="1">
      <c r="A716" s="1">
        <v>2589.0</v>
      </c>
      <c r="B716" s="2" t="s">
        <v>2292</v>
      </c>
      <c r="C716" s="2">
        <f>IFERROR(__xludf.DUMMYFUNCTION("split(B716,""_"")"),1407.0)</f>
        <v>1407</v>
      </c>
      <c r="D716" s="2" t="str">
        <f>IFERROR(__xludf.DUMMYFUNCTION("""COMPUTED_VALUE"""),"CX")</f>
        <v>CX</v>
      </c>
      <c r="E716" s="2" t="str">
        <f>IFERROR(__xludf.DUMMYFUNCTION("""COMPUTED_VALUE"""),"火21")</f>
        <v>火21</v>
      </c>
      <c r="F716" s="2" t="s">
        <v>2293</v>
      </c>
      <c r="G716" s="2" t="s">
        <v>2297</v>
      </c>
      <c r="H716" s="1">
        <v>2.0</v>
      </c>
      <c r="I716" s="1" t="s">
        <v>7</v>
      </c>
      <c r="J716" s="1" t="s">
        <v>11</v>
      </c>
      <c r="K716" s="2" t="s">
        <v>2298</v>
      </c>
      <c r="L716" s="2" t="s">
        <v>2299</v>
      </c>
      <c r="M716" s="2" t="str">
        <f>IFERROR(__xludf.DUMMYFUNCTION("split(split(K716,""藤巻大介:　"",false),""公式LINE"",false)"),"翌檜(あすなろ)大学の応援団長となった藤巻大介(柳葉敏郎)は、OBの齊藤裕一(反町隆史)、山下正人(ほんこん)と新歓ステージでエールを披露した。団室に戻ると、入団を希望する1年生の野口健太(大内田悠平)と3年生の松下沙耶(剛力彩芽)がやって来る。沙耶に戸惑う齊藤と山下だが、部員を増やした方がいいという大介の提案を受け、彼女の入団は許可される。  　デート中に、大介の娘・美紀(飯豊まりえ)は、恋人の保阪翔(風間俊介)から応援団の件を聞き、ショックを受ける。翔はなぐさめるつもりで美紀の頬にキスをするが、それを"&amp;"帰宅中だった大介が目撃。怒り心頭の大介は、美紀と付き合う条件として応援団に入るよう翔に言い渡す。  　応援団顧問の准教授・原智子(森口瑤子)は大介を呼び出し、応援団に否定的な自らの立場を告げつつ、団室に案内させる。大介と原と沙耶が団室へ行くと、翔のチャラチャラした出で立ちに怒った齊藤が彼の上に馬乗りになっていた。原はそんな齊藤を激しく非難する。  　すると、団室の電話が鳴る。相手は“ケイガク""こと京浜学院大学応援団指導部の副団長・江本慎也(塩野瑛久)だった。毎年恒例の定期戦の打ち合わせも含めた“顔合わせ"&amp;"""の日程を決めたいと言う。大介が電話を切ると、齊藤と山下はケイガクは永遠のライバル校であると話し、“顔合わせ""に向けて特訓を始めると言い出し…。")</f>
        <v>翌檜(あすなろ)大学の応援団長となった藤巻大介(柳葉敏郎)は、OBの齊藤裕一(反町隆史)、山下正人(ほんこん)と新歓ステージでエールを披露した。団室に戻ると、入団を希望する1年生の野口健太(大内田悠平)と3年生の松下沙耶(剛力彩芽)がやって来る。沙耶に戸惑う齊藤と山下だが、部員を増やした方がいいという大介の提案を受け、彼女の入団は許可される。  　デート中に、大介の娘・美紀(飯豊まりえ)は、恋人の保阪翔(風間俊介)から応援団の件を聞き、ショックを受ける。翔はなぐさめるつもりで美紀の頬にキスをするが、それを帰宅中だった大介が目撃。怒り心頭の大介は、美紀と付き合う条件として応援団に入るよう翔に言い渡す。  　応援団顧問の准教授・原智子(森口瑤子)は大介を呼び出し、応援団に否定的な自らの立場を告げつつ、団室に案内させる。大介と原と沙耶が団室へ行くと、翔のチャラチャラした出で立ちに怒った齊藤が彼の上に馬乗りになっていた。原はそんな齊藤を激しく非難する。  　すると、団室の電話が鳴る。相手は“ケイガク"こと京浜学院大学応援団指導部の副団長・江本慎也(塩野瑛久)だった。毎年恒例の定期戦の打ち合わせも含めた“顔合わせ"の日程を決めたいと言う。大介が電話を切ると、齊藤と山下はケイガクは永遠のライバル校であると話し、“顔合わせ"に向けて特訓を始めると言い出し…。</v>
      </c>
      <c r="N716" s="2"/>
      <c r="O716" s="2"/>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row>
    <row r="717" ht="204.75" customHeight="1">
      <c r="A717" s="1">
        <v>2590.0</v>
      </c>
      <c r="B717" s="2" t="s">
        <v>2292</v>
      </c>
      <c r="C717" s="2">
        <f>IFERROR(__xludf.DUMMYFUNCTION("split(B717,""_"")"),1407.0)</f>
        <v>1407</v>
      </c>
      <c r="D717" s="2" t="str">
        <f>IFERROR(__xludf.DUMMYFUNCTION("""COMPUTED_VALUE"""),"CX")</f>
        <v>CX</v>
      </c>
      <c r="E717" s="2" t="str">
        <f>IFERROR(__xludf.DUMMYFUNCTION("""COMPUTED_VALUE"""),"火21")</f>
        <v>火21</v>
      </c>
      <c r="F717" s="2" t="s">
        <v>2293</v>
      </c>
      <c r="G717" s="2" t="s">
        <v>2300</v>
      </c>
      <c r="H717" s="1">
        <v>3.0</v>
      </c>
      <c r="I717" s="1" t="s">
        <v>10</v>
      </c>
      <c r="J717" s="1" t="s">
        <v>11</v>
      </c>
      <c r="K717" s="2" t="s">
        <v>2301</v>
      </c>
      <c r="L717" s="2" t="s">
        <v>2302</v>
      </c>
      <c r="M717" s="2" t="str">
        <f>IFERROR(__xludf.DUMMYFUNCTION("split(split(K717,""藤巻大介:　"",false),""公式LINE"",false)"),"ゴールデンウィークになり、翌檜(あすなろ)大学応援団は合宿を行うことになった。駅前に集合した藤巻大介(柳葉敏郎)、松下沙耶(剛力彩芽)、保阪翔(風間俊介)、野口健太(大内田悠平)とOBの齊藤裕一(反町隆史)は、電車に乗り込む。  　デッキに団旗や太鼓を置いて座席に向かおうとする大介たちを齊藤が呼び止めた。齋藤は、大介に直立不動で団の魂である団旗と太鼓を守るように言い渡し、沙耶たちには座席の上に正座をさせる。  　合宿地に着いた大介たちは、チアリーダー部や吹奏楽部が使用するきれいなセミナーハウスではなく朽ち"&amp;"かけた山荘に連れていかれる。  　ほどなく、齊藤による“地獄の合宿""が始まった。声出しの練習では、太鼓を叩く健太のリズムが悪いと全員に腹筋が命じられる。責任を感じる健太。夜練習が終わると、自宅に電話をするため山荘の外へ出ていた大介は、母親を心配して電話をするという健太に優しく声をかける。　合宿2日目。齊藤のダメ出しで何時間もエールの練習が続いた。健太は、自分が原因ではないかと思い、罰の腕立て伏せ100回をひとりでやると申し出る。しかし齊藤は、団は家族だからという理由で全員にやるように命じる。  　その夜"&amp;"、責任を感じて眠れないでいた健太に、大介は気にしないようにと励ます。しかし、夜明けに物音で目を覚ました大介が部屋を見回すと、健太の姿がなく…。")</f>
        <v>ゴールデンウィークになり、翌檜(あすなろ)大学応援団は合宿を行うことになった。駅前に集合した藤巻大介(柳葉敏郎)、松下沙耶(剛力彩芽)、保阪翔(風間俊介)、野口健太(大内田悠平)とOBの齊藤裕一(反町隆史)は、電車に乗り込む。  　デッキに団旗や太鼓を置いて座席に向かおうとする大介たちを齊藤が呼び止めた。齋藤は、大介に直立不動で団の魂である団旗と太鼓を守るように言い渡し、沙耶たちには座席の上に正座をさせる。  　合宿地に着いた大介たちは、チアリーダー部や吹奏楽部が使用するきれいなセミナーハウスではなく朽ちかけた山荘に連れていかれる。  　ほどなく、齊藤による“地獄の合宿"が始まった。声出しの練習では、太鼓を叩く健太のリズムが悪いと全員に腹筋が命じられる。責任を感じる健太。夜練習が終わると、自宅に電話をするため山荘の外へ出ていた大介は、母親を心配して電話をするという健太に優しく声をかける。　合宿2日目。齊藤のダメ出しで何時間もエールの練習が続いた。健太は、自分が原因ではないかと思い、罰の腕立て伏せ100回をひとりでやると申し出る。しかし齊藤は、団は家族だからという理由で全員にやるように命じる。  　その夜、責任を感じて眠れないでいた健太に、大介は気にしないようにと励ます。しかし、夜明けに物音で目を覚ました大介が部屋を見回すと、健太の姿がなく…。</v>
      </c>
      <c r="N717" s="2"/>
      <c r="O717" s="2"/>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row>
    <row r="718" ht="204.75" customHeight="1">
      <c r="A718" s="1">
        <v>2591.0</v>
      </c>
      <c r="B718" s="2" t="s">
        <v>2292</v>
      </c>
      <c r="C718" s="2">
        <f>IFERROR(__xludf.DUMMYFUNCTION("split(B718,""_"")"),1407.0)</f>
        <v>1407</v>
      </c>
      <c r="D718" s="2" t="str">
        <f>IFERROR(__xludf.DUMMYFUNCTION("""COMPUTED_VALUE"""),"CX")</f>
        <v>CX</v>
      </c>
      <c r="E718" s="2" t="str">
        <f>IFERROR(__xludf.DUMMYFUNCTION("""COMPUTED_VALUE"""),"火21")</f>
        <v>火21</v>
      </c>
      <c r="F718" s="2" t="s">
        <v>2293</v>
      </c>
      <c r="G718" s="2" t="s">
        <v>2303</v>
      </c>
      <c r="H718" s="1">
        <v>4.0</v>
      </c>
      <c r="I718" s="1" t="s">
        <v>14</v>
      </c>
      <c r="J718" s="1" t="s">
        <v>11</v>
      </c>
      <c r="K718" s="2" t="s">
        <v>2304</v>
      </c>
      <c r="L718" s="2" t="s">
        <v>2305</v>
      </c>
      <c r="M718" s="2" t="str">
        <f>IFERROR(__xludf.DUMMYFUNCTION("split(split(K718,""藤巻大介:　"",false),""公式LINE"",false)"),"合宿中の藤巻大介(柳葉敏郎)ら翌檜大学応援団は駆け付けた荒川剛(西田敏行)らOBに松下沙耶(剛力彩芽)を男だと偽って紹介する。最終日の宴会中OBのひとりから、男なら裸になってみろと言われた沙耶は…。  　そんな中、齊藤裕一(反町隆史)は野口健太(大内田悠平)が同期の野球部のエースだった野口康夫(三浦誠己)の息子であることを思い出す。健太から家には母親ひとりだと聞いていた大介は不思議に思うが、直後、腰を痛め動けなくなってしまう。翌日、沙耶や保阪翔(風間俊介)らが応援団室にやってくると電話が鳴った。大介からだ"&amp;"と思い込んで出た翔は、相手は京浜学院大学応援団の副団長・江本慎也(塩野瑛久)だとわかると驚いて思わず電話を切ってしまう。  　病院に来ていた大介は、看護師から野口康夫と呼ばれていた入院患者を見かけて声をかける。帰宅後、大介は見舞いに来た健太に父親に会いに行くよう勧めるが、健太は会いたくないと言う。  　沙耶、翔、健太は電話の一件を謝罪するため京浜学院大学の応援団室を訪れる。謝罪とともに一升瓶を差し出す沙耶にお酌をするよう要求する江本。腹を立てた沙耶が向けられた杯を払いのけると、その杯が当たった“応援指導部"&amp;"訓""の書のガラスが割れてしまう。怒った江本は、間近に迫る野球部の定期戦のボイコットを宣言。翌檜大学の野球部員がこの定期戦に向けて必死で練習していることを知る沙耶たちは激しく落ち込み…。")</f>
        <v>合宿中の藤巻大介(柳葉敏郎)ら翌檜大学応援団は駆け付けた荒川剛(西田敏行)らOBに松下沙耶(剛力彩芽)を男だと偽って紹介する。最終日の宴会中OBのひとりから、男なら裸になってみろと言われた沙耶は…。  　そんな中、齊藤裕一(反町隆史)は野口健太(大内田悠平)が同期の野球部のエースだった野口康夫(三浦誠己)の息子であることを思い出す。健太から家には母親ひとりだと聞いていた大介は不思議に思うが、直後、腰を痛め動けなくなってしまう。翌日、沙耶や保阪翔(風間俊介)らが応援団室にやってくると電話が鳴った。大介からだと思い込んで出た翔は、相手は京浜学院大学応援団の副団長・江本慎也(塩野瑛久)だとわかると驚いて思わず電話を切ってしまう。  　病院に来ていた大介は、看護師から野口康夫と呼ばれていた入院患者を見かけて声をかける。帰宅後、大介は見舞いに来た健太に父親に会いに行くよう勧めるが、健太は会いたくないと言う。  　沙耶、翔、健太は電話の一件を謝罪するため京浜学院大学の応援団室を訪れる。謝罪とともに一升瓶を差し出す沙耶にお酌をするよう要求する江本。腹を立てた沙耶が向けられた杯を払いのけると、その杯が当たった“応援指導部訓"の書のガラスが割れてしまう。怒った江本は、間近に迫る野球部の定期戦のボイコットを宣言。翌檜大学の野球部員がこの定期戦に向けて必死で練習していることを知る沙耶たちは激しく落ち込み…。</v>
      </c>
      <c r="N718" s="2"/>
      <c r="O718" s="2"/>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row>
    <row r="719" ht="204.75" customHeight="1">
      <c r="A719" s="1">
        <v>2592.0</v>
      </c>
      <c r="B719" s="2" t="s">
        <v>2292</v>
      </c>
      <c r="C719" s="2">
        <f>IFERROR(__xludf.DUMMYFUNCTION("split(B719,""_"")"),1407.0)</f>
        <v>1407</v>
      </c>
      <c r="D719" s="2" t="str">
        <f>IFERROR(__xludf.DUMMYFUNCTION("""COMPUTED_VALUE"""),"CX")</f>
        <v>CX</v>
      </c>
      <c r="E719" s="2" t="str">
        <f>IFERROR(__xludf.DUMMYFUNCTION("""COMPUTED_VALUE"""),"火21")</f>
        <v>火21</v>
      </c>
      <c r="F719" s="2" t="s">
        <v>2293</v>
      </c>
      <c r="G719" s="2" t="s">
        <v>2306</v>
      </c>
      <c r="H719" s="1">
        <v>5.0</v>
      </c>
      <c r="I719" s="1" t="s">
        <v>17</v>
      </c>
      <c r="J719" s="1" t="s">
        <v>11</v>
      </c>
      <c r="K719" s="2" t="s">
        <v>2307</v>
      </c>
      <c r="L719" s="2" t="s">
        <v>2308</v>
      </c>
      <c r="M719" s="2" t="str">
        <f>IFERROR(__xludf.DUMMYFUNCTION("split(split(K719,""藤巻大介:　"",false),""公式LINE"",false)"),"藤巻大介(柳葉敏郎)と保阪翔(風間俊介)は、翌檜(あすなろ)大学と京浜学院大学の伝統の定期戦に向けた準備に追われていた。松下沙耶(剛力彩芽)は、原智子(森口瑤子)の公開授業の手伝いで地方の大学へ。野口健太(大内田悠平)は、病院で余命いくばくもないと診断された父親・康夫(三浦誠己)の付き添いをしていた。ゆえに、2人で準備を進めなければならない状況で、遅刻と早退を繰り返す翔に大介はあきれるばかり。　大介は、大学時代に野球部のエースとしてマウンドに立つ康夫にスタンドからエールをおくっていた齊藤裕一(反町隆史)と"&amp;"山下正人(ほんこん)に、康夫の病状を伝える。康夫が病気と戦っている“マウンド""に自分たちが足を踏み入れてはいけないと、齊藤たちは病院へ駆けつけたい思いを必死で抑える。  　そんな中、チアリーダー部部長・葉月玲奈(高畑充希)から、定期戦にチア部は参加できないと告げられる。不安を抱く大介を励まそうと、翔は応援が選手に届いているかわからないし、勝敗に応援は関係ないと軽口を叩く。その言葉を聞いた大介は、翔に応援団を辞めるように言い渡した。  　定期戦前日、健太から康夫は今夜が最期かもしれないと連絡が入る。大介は"&amp;"すぐに齊藤と山下に連絡し、3人で病院へ向かった。健太は、昨晩一度目を覚ました康夫と少しだけ話ができたと言い、その内容を大介と齊藤と山下に聞かせ…。")</f>
        <v>藤巻大介(柳葉敏郎)と保阪翔(風間俊介)は、翌檜(あすなろ)大学と京浜学院大学の伝統の定期戦に向けた準備に追われていた。松下沙耶(剛力彩芽)は、原智子(森口瑤子)の公開授業の手伝いで地方の大学へ。野口健太(大内田悠平)は、病院で余命いくばくもないと診断された父親・康夫(三浦誠己)の付き添いをしていた。ゆえに、2人で準備を進めなければならない状況で、遅刻と早退を繰り返す翔に大介はあきれるばかり。　大介は、大学時代に野球部のエースとしてマウンドに立つ康夫にスタンドからエールをおくっていた齊藤裕一(反町隆史)と山下正人(ほんこん)に、康夫の病状を伝える。康夫が病気と戦っている“マウンド"に自分たちが足を踏み入れてはいけないと、齊藤たちは病院へ駆けつけたい思いを必死で抑える。  　そんな中、チアリーダー部部長・葉月玲奈(高畑充希)から、定期戦にチア部は参加できないと告げられる。不安を抱く大介を励まそうと、翔は応援が選手に届いているかわからないし、勝敗に応援は関係ないと軽口を叩く。その言葉を聞いた大介は、翔に応援団を辞めるように言い渡した。  　定期戦前日、健太から康夫は今夜が最期かもしれないと連絡が入る。大介はすぐに齊藤と山下に連絡し、3人で病院へ向かった。健太は、昨晩一度目を覚ました康夫と少しだけ話ができたと言い、その内容を大介と齊藤と山下に聞かせ…。</v>
      </c>
      <c r="N719" s="2"/>
      <c r="O719" s="2"/>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row>
    <row r="720" ht="204.75" customHeight="1">
      <c r="A720" s="1">
        <v>2593.0</v>
      </c>
      <c r="B720" s="2" t="s">
        <v>2292</v>
      </c>
      <c r="C720" s="2">
        <f>IFERROR(__xludf.DUMMYFUNCTION("split(B720,""_"")"),1407.0)</f>
        <v>1407</v>
      </c>
      <c r="D720" s="2" t="str">
        <f>IFERROR(__xludf.DUMMYFUNCTION("""COMPUTED_VALUE"""),"CX")</f>
        <v>CX</v>
      </c>
      <c r="E720" s="2" t="str">
        <f>IFERROR(__xludf.DUMMYFUNCTION("""COMPUTED_VALUE"""),"火21")</f>
        <v>火21</v>
      </c>
      <c r="F720" s="2" t="s">
        <v>2293</v>
      </c>
      <c r="G720" s="2" t="s">
        <v>2309</v>
      </c>
      <c r="H720" s="1">
        <v>6.0</v>
      </c>
      <c r="I720" s="1" t="s">
        <v>21</v>
      </c>
      <c r="J720" s="1" t="s">
        <v>11</v>
      </c>
      <c r="K720" s="2" t="s">
        <v>2310</v>
      </c>
      <c r="L720" s="2" t="s">
        <v>2311</v>
      </c>
      <c r="M720" s="2" t="str">
        <f>IFERROR(__xludf.DUMMYFUNCTION("split(split(K720,""藤巻大介:　"",false),""公式LINE"",false)"),"翌檜(あすなろ)大学と京浜学院大学の定期戦当日。藤巻大介(柳葉敏郎)の家へやってきた保阪翔(風間俊介)は、高熱を出し玄関で倒れ込んでしまう。美紀(飯豊まりえ)は、翔が応援団に入ったことにより、学費を稼ぐためのバイトの時間でかなり無理をしていたと大介を責め立てる。事情を知った大介は、定期戦に行こうとする翔を止め、球場へ向かう。  　大介と松下沙耶(剛力彩芽)が球場で準備をしていると、齊藤裕一(反町隆史)と山下正人(ほんこん)たちセタショー応援団OBがやってきた。大介は齊藤と山下に応援に加わってもらえないかと"&amp;"頼んだ。が、正式な試合でOBが応援するわけにはいかないと一蹴される。すると、チアリーダー部部長の葉月玲奈(高畑充希)が現れ、太鼓を担当すると申し出る。  　様子を見に来た原智子(森口瑤子)は閑散としたスタンドを見てあきれ、メール連絡だけで手伝いを抜け出した沙耶を叱責する。帰ろうとする原を、美紀に付き添われてやってきた翔が引き止めた。続いて、野口健太(大内田悠平)も姿を見せる。必死の思いでかけつけたふたりに胸を熱くした大介は、学生たちの“初陣""を見て欲しいと原に頭を下げる。  　いよいよ試合が始まった。エ"&amp;"ール交換で声を張り上げた大介だが、緊張のあまり声が裏返ってしまう。その緊張は沙耶たちにも伝わり…。")</f>
        <v>翌檜(あすなろ)大学と京浜学院大学の定期戦当日。藤巻大介(柳葉敏郎)の家へやってきた保阪翔(風間俊介)は、高熱を出し玄関で倒れ込んでしまう。美紀(飯豊まりえ)は、翔が応援団に入ったことにより、学費を稼ぐためのバイトの時間でかなり無理をしていたと大介を責め立てる。事情を知った大介は、定期戦に行こうとする翔を止め、球場へ向かう。  　大介と松下沙耶(剛力彩芽)が球場で準備をしていると、齊藤裕一(反町隆史)と山下正人(ほんこん)たちセタショー応援団OBがやってきた。大介は齊藤と山下に応援に加わってもらえないかと頼んだ。が、正式な試合でOBが応援するわけにはいかないと一蹴される。すると、チアリーダー部部長の葉月玲奈(高畑充希)が現れ、太鼓を担当すると申し出る。  　様子を見に来た原智子(森口瑤子)は閑散としたスタンドを見てあきれ、メール連絡だけで手伝いを抜け出した沙耶を叱責する。帰ろうとする原を、美紀に付き添われてやってきた翔が引き止めた。続いて、野口健太(大内田悠平)も姿を見せる。必死の思いでかけつけたふたりに胸を熱くした大介は、学生たちの“初陣"を見て欲しいと原に頭を下げる。  　いよいよ試合が始まった。エール交換で声を張り上げた大介だが、緊張のあまり声が裏返ってしまう。その緊張は沙耶たちにも伝わり…。</v>
      </c>
      <c r="N720" s="2"/>
      <c r="O720" s="2"/>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row>
    <row r="721" ht="204.75" customHeight="1">
      <c r="A721" s="1">
        <v>2594.0</v>
      </c>
      <c r="B721" s="2" t="s">
        <v>2292</v>
      </c>
      <c r="C721" s="2">
        <f>IFERROR(__xludf.DUMMYFUNCTION("split(B721,""_"")"),1407.0)</f>
        <v>1407</v>
      </c>
      <c r="D721" s="2" t="str">
        <f>IFERROR(__xludf.DUMMYFUNCTION("""COMPUTED_VALUE"""),"CX")</f>
        <v>CX</v>
      </c>
      <c r="E721" s="2" t="str">
        <f>IFERROR(__xludf.DUMMYFUNCTION("""COMPUTED_VALUE"""),"火21")</f>
        <v>火21</v>
      </c>
      <c r="F721" s="2" t="s">
        <v>2293</v>
      </c>
      <c r="G721" s="2" t="s">
        <v>2312</v>
      </c>
      <c r="H721" s="1">
        <v>7.0</v>
      </c>
      <c r="I721" s="1" t="s">
        <v>25</v>
      </c>
      <c r="J721" s="1" t="s">
        <v>11</v>
      </c>
      <c r="K721" s="2" t="s">
        <v>2313</v>
      </c>
      <c r="L721" s="2" t="s">
        <v>2314</v>
      </c>
      <c r="M721" s="2" t="str">
        <f>IFERROR(__xludf.DUMMYFUNCTION("split(split(K721,""藤巻大介:　"",false),""公式LINE"",false)"),"朝、目を覚ました藤巻大介(柳葉敏郎)がリビングへ行くと、昨晩けんかした広子(菊池桃子)の姿がなかった。保阪翔(風間俊介)の看病から帰宅した美紀(飯豊まりえ)は、家出すると記された広子のメモを大介に突きつける。  　ゼミ室にいた松下沙耶(剛力彩芽)は、原智子(森口瑤子)から夏のゼミ合宿への出席を促される。しかし沙耶は応援団の夏合宿と日程が重なっていることを理由に不参加を告げると、逃げるようにゼミ室を出ていく。  　応援団室にやってきた沙耶は、大介と翔の会話から広子が家出したことを知る。応援団に原因があると聞"&amp;"いた沙耶は、なぜか激しく動揺する。  　齊藤裕一(反町隆史)は、担当作家で京浜学院大学応援団名誉顧問である森田幸作(長谷川初範)を訪ねて京浜学院大学に来ていた。森田は原が嫌いだと言い放つと、何かあった際には翌檜(あすなろ)よりケイガク側に付くよう齊藤に強要する。その帰り道、齊藤は無言で後をつけてきたケイガク応援団団長・渡辺啓治(一ノ瀬ワタル)に物影に引っ張り込まれ…。  　一方、家出中の広子は、翔の家に滞在していた。翔は広子の止まらない大介への愚痴を笑顔で聞いていた。  　大介、沙耶、翔、野口健太(大内田"&amp;"悠平)が団室にいると、齊藤が渡辺を連れてやってくる。突然の訪問に一同は身構えるが、渡辺は沙耶に話があると言い…。")</f>
        <v>朝、目を覚ました藤巻大介(柳葉敏郎)がリビングへ行くと、昨晩けんかした広子(菊池桃子)の姿がなかった。保阪翔(風間俊介)の看病から帰宅した美紀(飯豊まりえ)は、家出すると記された広子のメモを大介に突きつける。  　ゼミ室にいた松下沙耶(剛力彩芽)は、原智子(森口瑤子)から夏のゼミ合宿への出席を促される。しかし沙耶は応援団の夏合宿と日程が重なっていることを理由に不参加を告げると、逃げるようにゼミ室を出ていく。  　応援団室にやってきた沙耶は、大介と翔の会話から広子が家出したことを知る。応援団に原因があると聞いた沙耶は、なぜか激しく動揺する。  　齊藤裕一(反町隆史)は、担当作家で京浜学院大学応援団名誉顧問である森田幸作(長谷川初範)を訪ねて京浜学院大学に来ていた。森田は原が嫌いだと言い放つと、何かあった際には翌檜(あすなろ)よりケイガク側に付くよう齊藤に強要する。その帰り道、齊藤は無言で後をつけてきたケイガク応援団団長・渡辺啓治(一ノ瀬ワタル)に物影に引っ張り込まれ…。  　一方、家出中の広子は、翔の家に滞在していた。翔は広子の止まらない大介への愚痴を笑顔で聞いていた。  　大介、沙耶、翔、野口健太(大内田悠平)が団室にいると、齊藤が渡辺を連れてやってくる。突然の訪問に一同は身構えるが、渡辺は沙耶に話があると言い…。</v>
      </c>
      <c r="N721" s="2"/>
      <c r="O721" s="2"/>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row>
    <row r="722" ht="204.75" customHeight="1">
      <c r="A722" s="1">
        <v>2595.0</v>
      </c>
      <c r="B722" s="2" t="s">
        <v>2292</v>
      </c>
      <c r="C722" s="2">
        <f>IFERROR(__xludf.DUMMYFUNCTION("split(B722,""_"")"),1407.0)</f>
        <v>1407</v>
      </c>
      <c r="D722" s="2" t="str">
        <f>IFERROR(__xludf.DUMMYFUNCTION("""COMPUTED_VALUE"""),"CX")</f>
        <v>CX</v>
      </c>
      <c r="E722" s="2" t="str">
        <f>IFERROR(__xludf.DUMMYFUNCTION("""COMPUTED_VALUE"""),"火21")</f>
        <v>火21</v>
      </c>
      <c r="F722" s="2" t="s">
        <v>2293</v>
      </c>
      <c r="G722" s="2" t="s">
        <v>2315</v>
      </c>
      <c r="H722" s="1">
        <v>8.0</v>
      </c>
      <c r="I722" s="1" t="s">
        <v>29</v>
      </c>
      <c r="J722" s="1" t="s">
        <v>11</v>
      </c>
      <c r="K722" s="2" t="s">
        <v>2316</v>
      </c>
      <c r="L722" s="8" t="s">
        <v>2317</v>
      </c>
      <c r="M722" s="2" t="str">
        <f>IFERROR(__xludf.DUMMYFUNCTION("split(split(K722,""藤巻大介:　"",false),""公式LINE"",false)"),"夏休み明け、秋の首都圏大学野球連盟杯の応援に行っていた藤巻大介(柳葉敏郎)たち応援団は野球部の勝利を喜び上機嫌で団室に戻ってくる。齊藤裕一(反町隆史)は団員たちの成長を褒めて焼き肉をおごると言い出す。ところが球場に来られなかった山下正人(ほんこん)が現れると急に不機嫌になって帰ってしまう。  　後日、山下に誘われた大介はふたりで居酒屋へ行く。山下は具合の悪い母親の面倒をみるために次の日曜日に単身で大阪へ戻ることを決意していた。齊藤が怒っているのは、それを早く相談しなかったからだという。大事な“連れ""だか"&amp;"らこそなかなか言い出せなかったという山下の言葉を大介は静かに聞く。大介は仲直りのきっかけにと山下の送別会を開こうと齊藤に電話するが、行かないと一蹴される。  　一方、チアリーダー部では練習中、小泉紫乃(長谷川ニイナ)を支えようとした葉月玲奈(高畑充希)がケガをしてしまう。駆けつけた大介と保阪翔(風間俊介)、吹奏楽部の園田善彦(山本涼介)に玲奈は自分が悪いと言い続ける。すると紫乃はいつも自分だけで責任を取ろうとする玲奈の態度は仲間として寂しいと言って飛び出していく。驚きながらもショックを受ける玲奈。  　山"&amp;"下の帰郷を翌日に控え、大介は齊藤と話すため齊藤が担当する作家・森田幸作(長谷川初範)の新刊発売イベント会場へ足を運ぶ。イベント会場には森田と犬猿の仲である原智子(森口瑤子)も来ていて…。“エール動画""を投稿しよう!くわしくは番組HP(http://www.fujitv.co.jp/asunaro337/)へ。  番組公式Twitter(@asunaro337)もチェック!  撮影現場の様子や他ではわからない情報満載です。  主題歌はスピッツの19年前の名曲「愛のことば」(「愛のことば-2014mix-」"&amp;")")</f>
        <v>夏休み明け、秋の首都圏大学野球連盟杯の応援に行っていた藤巻大介(柳葉敏郎)たち応援団は野球部の勝利を喜び上機嫌で団室に戻ってくる。齊藤裕一(反町隆史)は団員たちの成長を褒めて焼き肉をおごると言い出す。ところが球場に来られなかった山下正人(ほんこん)が現れると急に不機嫌になって帰ってしまう。  　後日、山下に誘われた大介はふたりで居酒屋へ行く。山下は具合の悪い母親の面倒をみるために次の日曜日に単身で大阪へ戻ることを決意していた。齊藤が怒っているのは、それを早く相談しなかったからだという。大事な“連れ"だからこそなかなか言い出せなかったという山下の言葉を大介は静かに聞く。大介は仲直りのきっかけにと山下の送別会を開こうと齊藤に電話するが、行かないと一蹴される。  　一方、チアリーダー部では練習中、小泉紫乃(長谷川ニイナ)を支えようとした葉月玲奈(高畑充希)がケガをしてしまう。駆けつけた大介と保阪翔(風間俊介)、吹奏楽部の園田善彦(山本涼介)に玲奈は自分が悪いと言い続ける。すると紫乃はいつも自分だけで責任を取ろうとする玲奈の態度は仲間として寂しいと言って飛び出していく。驚きながらもショックを受ける玲奈。  　山下の帰郷を翌日に控え、大介は齊藤と話すため齊藤が担当する作家・森田幸作(長谷川初範)の新刊発売イベント会場へ足を運ぶ。イベント会場には森田と犬猿の仲である原智子(森口瑤子)も来ていて…。“エール動画"を投稿しよう!くわしくは番組HP(http://www.fujitv.co.jp/asunaro337/)へ。  番組公式Twitter(@asunaro337)もチェック!  撮影現場の様子や他ではわからない情報満載です。  主題歌はスピッツの19年前の名曲「愛のことば」(「愛のことば-2014mix-」)</v>
      </c>
      <c r="N722" s="2"/>
      <c r="O722" s="2"/>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row>
    <row r="723" ht="204.75" customHeight="1">
      <c r="A723" s="1">
        <v>2596.0</v>
      </c>
      <c r="B723" s="2" t="s">
        <v>2292</v>
      </c>
      <c r="C723" s="2">
        <f>IFERROR(__xludf.DUMMYFUNCTION("split(B723,""_"")"),1407.0)</f>
        <v>1407</v>
      </c>
      <c r="D723" s="2" t="str">
        <f>IFERROR(__xludf.DUMMYFUNCTION("""COMPUTED_VALUE"""),"CX")</f>
        <v>CX</v>
      </c>
      <c r="E723" s="2" t="str">
        <f>IFERROR(__xludf.DUMMYFUNCTION("""COMPUTED_VALUE"""),"火21")</f>
        <v>火21</v>
      </c>
      <c r="F723" s="2" t="s">
        <v>2293</v>
      </c>
      <c r="G723" s="2" t="s">
        <v>2318</v>
      </c>
      <c r="H723" s="1">
        <v>9.0</v>
      </c>
      <c r="I723" s="1" t="s">
        <v>33</v>
      </c>
      <c r="J723" s="1" t="s">
        <v>11</v>
      </c>
      <c r="K723" s="2" t="s">
        <v>2319</v>
      </c>
      <c r="L723" s="8" t="s">
        <v>2320</v>
      </c>
      <c r="M723" s="2" t="str">
        <f>IFERROR(__xludf.DUMMYFUNCTION("split(split(K723,""藤巻大介:　"",false),""公式LINE"",false)"),"首都圏大学野球連盟杯で翌檜(あすなろ)大学と京浜学院大学の対決が決まり、藤巻大介(柳葉敏郎)たち応援団の練習にもますます力が入る。大介は再び吹奏楽部の園田善彦(山本涼介)に、試合の日だけでも協力して欲しいと頼むが、その日はコンテストと重なっているため無理だと言われる。  　松下沙耶(剛力彩芽)は原智子(森口瑤子)のゼミを辞める決意をする。退ゼミ届の提出に向かった沙耶は、事務局から出てきた原から、大介と一緒にゼミ室に来るよう指示される。原は、ネット上にあがった、大介が不良に絡まれた時の写真を見せて事情を聞く"&amp;"。  　大介が、不良との乱闘は事実だと認めた数日後、応援団に無期限の活動停止処分が下る。ケイガク戦が応援できないどころか、事実上廃部に等しい処分に沙耶、保阪翔(風間俊介)、野口健太(大内田悠平)は激しく落ち込んだ。  　別の日、大介と齊藤裕一(反町隆史)は、荒川剛(西田敏行)に処分を報告するためエール物産に向かう。野球部が勝ち進んでいることに上機嫌な荒川は、ふたりを満面の笑顔で迎える。さらに、ここまでの大介の努力を認め、ケイガク戦が終わったら会社に戻すとまで言い出した。ますます言い出しづらくなる中、齊藤は"&amp;"恐る恐る活動停止処分について荒川に切り出し…。皆さま、これまで応援ありがとうございました!番組の終わりに素敵なプレゼントのお知らせがありますのでお見逃しなく!　    番組HP(http://www.fujitv.co.jp/asunaro337/)や番組公式Twitter(@asunaro337)もチェック!  撮影現場の様子や他ではわからない情報満載です。")</f>
        <v>首都圏大学野球連盟杯で翌檜(あすなろ)大学と京浜学院大学の対決が決まり、藤巻大介(柳葉敏郎)たち応援団の練習にもますます力が入る。大介は再び吹奏楽部の園田善彦(山本涼介)に、試合の日だけでも協力して欲しいと頼むが、その日はコンテストと重なっているため無理だと言われる。  　松下沙耶(剛力彩芽)は原智子(森口瑤子)のゼミを辞める決意をする。退ゼミ届の提出に向かった沙耶は、事務局から出てきた原から、大介と一緒にゼミ室に来るよう指示される。原は、ネット上にあがった、大介が不良に絡まれた時の写真を見せて事情を聞く。  　大介が、不良との乱闘は事実だと認めた数日後、応援団に無期限の活動停止処分が下る。ケイガク戦が応援できないどころか、事実上廃部に等しい処分に沙耶、保阪翔(風間俊介)、野口健太(大内田悠平)は激しく落ち込んだ。  　別の日、大介と齊藤裕一(反町隆史)は、荒川剛(西田敏行)に処分を報告するためエール物産に向かう。野球部が勝ち進んでいることに上機嫌な荒川は、ふたりを満面の笑顔で迎える。さらに、ここまでの大介の努力を認め、ケイガク戦が終わったら会社に戻すとまで言い出した。ますます言い出しづらくなる中、齊藤は恐る恐る活動停止処分について荒川に切り出し…。皆さま、これまで応援ありがとうございました!番組の終わりに素敵なプレゼントのお知らせがありますのでお見逃しなく!　    番組HP(http://www.fujitv.co.jp/asunaro337/)や番組公式Twitter(@asunaro337)もチェック!  撮影現場の様子や他ではわからない情報満載です。</v>
      </c>
      <c r="N723" s="2"/>
      <c r="O723" s="2"/>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row>
    <row r="724" ht="204.75" customHeight="1">
      <c r="A724" s="1">
        <v>2597.0</v>
      </c>
      <c r="B724" s="2" t="s">
        <v>2321</v>
      </c>
      <c r="C724" s="2">
        <f>IFERROR(__xludf.DUMMYFUNCTION("split(B724,""_"")"),1407.0)</f>
        <v>1407</v>
      </c>
      <c r="D724" s="2" t="str">
        <f>IFERROR(__xludf.DUMMYFUNCTION("""COMPUTED_VALUE"""),"CX")</f>
        <v>CX</v>
      </c>
      <c r="E724" s="2" t="str">
        <f>IFERROR(__xludf.DUMMYFUNCTION("""COMPUTED_VALUE"""),"火22")</f>
        <v>火22</v>
      </c>
      <c r="F724" s="2" t="s">
        <v>2322</v>
      </c>
      <c r="G724" s="2" t="s">
        <v>2323</v>
      </c>
      <c r="H724" s="1">
        <v>1.0</v>
      </c>
      <c r="I724" s="1" t="s">
        <v>3</v>
      </c>
      <c r="J724" s="1" t="s">
        <v>82</v>
      </c>
      <c r="K724" s="4" t="s">
        <v>2324</v>
      </c>
      <c r="L724" s="2" t="s">
        <v>2325</v>
      </c>
      <c r="M724" s="2" t="str">
        <f>IFERROR(__xludf.DUMMYFUNCTION("split(split(K724,""AKIRA　"",false),""公式LINE"",false)"),"高校教師の鬼塚英吉(AKIRA)は、明修学苑の傘下に入った地元・湘南の母校に赴任。職員として学校に残るかつての担任教師・富士宮司(小野武彦)に再会。母校を懐かしむ鬼塚に、理事長の桜井良子(黒木瞳)は大いに暴れて欲しいと頼む。    　鬼塚は、藤川ほなみ(比嘉愛未)が担任を務める2年A組の副担任に。学級委員の葛木隆一(菊池風磨)や志条あゆな(松岡茉優)をはじめ、一見にぎやかなクラスだが、不登校の宮地めいり(三吉彩花)のことになると空気が変わる。放課後、鬼塚は読者モデルをしている女子生徒・波多野麻理子(松浦雅"&amp;")が、トイレでのどに指を突っ込んで昼食を吐いているのを目撃する。    　その夜、親友の弾間龍二(城田優)が湘南で始めたカフェに鬼塚が向かうと、冴島俊行(山本裕典)が「彼女ができた」と大喜びで生徒の麻理子を連れてくる。しかし鬼塚を見て逃げ出した麻理子は、その後さらに別の男とラブホテルへ。読者モデルの人気投票イベントで何としても勝ちたい麻理子は、ライバルを蹴落とす捏造写真をでっちあげようとしていたのだが、追ってきた鬼塚に踏み込まれ再び逃げ出す。    　翌日、ラブホテルから出てきた鬼塚と麻理子の写真が匿名で"&amp;"ばらまかれ、芹澤航平(竜星涼)や成瀬つぐみ(小芝風花)を始め、校内は騒然!副校長として赴任してきた内山田ひろし(田山涼成)は鬼塚にクビを宣告、麻理子も鬼塚との仲を疑われ…。")</f>
        <v>高校教師の鬼塚英吉(AKIRA)は、明修学苑の傘下に入った地元・湘南の母校に赴任。職員として学校に残るかつての担任教師・富士宮司(小野武彦)に再会。母校を懐かしむ鬼塚に、理事長の桜井良子(黒木瞳)は大いに暴れて欲しいと頼む。    　鬼塚は、藤川ほなみ(比嘉愛未)が担任を務める2年A組の副担任に。学級委員の葛木隆一(菊池風磨)や志条あゆな(松岡茉優)をはじめ、一見にぎやかなクラスだが、不登校の宮地めいり(三吉彩花)のことになると空気が変わる。放課後、鬼塚は読者モデルをしている女子生徒・波多野麻理子(松浦雅)が、トイレでのどに指を突っ込んで昼食を吐いているのを目撃する。    　その夜、親友の弾間龍二(城田優)が湘南で始めたカフェに鬼塚が向かうと、冴島俊行(山本裕典)が「彼女ができた」と大喜びで生徒の麻理子を連れてくる。しかし鬼塚を見て逃げ出した麻理子は、その後さらに別の男とラブホテルへ。読者モデルの人気投票イベントで何としても勝ちたい麻理子は、ライバルを蹴落とす捏造写真をでっちあげようとしていたのだが、追ってきた鬼塚に踏み込まれ再び逃げ出す。    　翌日、ラブホテルから出てきた鬼塚と麻理子の写真が匿名でばらまかれ、芹澤航平(竜星涼)や成瀬つぐみ(小芝風花)を始め、校内は騒然!副校長として赴任してきた内山田ひろし(田山涼成)は鬼塚にクビを宣告、麻理子も鬼塚との仲を疑われ…。</v>
      </c>
      <c r="N724" s="2"/>
      <c r="O724" s="2"/>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row>
    <row r="725" ht="204.75" customHeight="1">
      <c r="A725" s="1">
        <v>2598.0</v>
      </c>
      <c r="B725" s="2" t="s">
        <v>2321</v>
      </c>
      <c r="C725" s="2">
        <f>IFERROR(__xludf.DUMMYFUNCTION("split(B725,""_"")"),1407.0)</f>
        <v>1407</v>
      </c>
      <c r="D725" s="2" t="str">
        <f>IFERROR(__xludf.DUMMYFUNCTION("""COMPUTED_VALUE"""),"CX")</f>
        <v>CX</v>
      </c>
      <c r="E725" s="2" t="str">
        <f>IFERROR(__xludf.DUMMYFUNCTION("""COMPUTED_VALUE"""),"火22")</f>
        <v>火22</v>
      </c>
      <c r="F725" s="2" t="s">
        <v>2322</v>
      </c>
      <c r="G725" s="2" t="s">
        <v>2326</v>
      </c>
      <c r="H725" s="1">
        <v>2.0</v>
      </c>
      <c r="I725" s="1" t="s">
        <v>7</v>
      </c>
      <c r="J725" s="1" t="s">
        <v>82</v>
      </c>
      <c r="K725" s="2" t="s">
        <v>2327</v>
      </c>
      <c r="L725" s="2" t="s">
        <v>2328</v>
      </c>
      <c r="M725" s="2" t="str">
        <f>IFERROR(__xludf.DUMMYFUNCTION("split(split(K725,""AKIRA　"",false),""公式LINE"",false)"),"鬼塚(AKIRA)のクラスの生徒・宇佐美太一(佐野玲於)が病院で、ある障害を持つと診断された。太一を心配していた父親の雅史(奥田達士)、母親の美代子(山下容莉枝)はショックを受ける。  太一は学校でもとっぴな行動を繰り返し、クラスメイトにからかわれていた。ある日、授業中にいなくなった太一を探していた鬼塚は、砂浜で太一を発見。太一は、受験を控えた弟・佑二(横山幸汰)の合格を願い、望みが叶うお守りといわれているイルカの耳骨を集めていた。鬼塚は、太一の優しさに心を動かされ、一緒に耳骨を探し始めるが、同様に太一を"&amp;"探しに来たほなみ(比嘉愛未)に見つかり、授業に戻れとブチ切れられる。  翌日、雅史が学校に現れ、障害支援のある高校に太一を転校させると言い出す。その学校には寮があり、太一は家族と離れて暮らすという。雅史が太一に相談もせず、勝手に転校を決めたと聞いた鬼塚は猛反対するが、雅史は聞く耳を持たない。まもなく、転校を知った太一が家族と離れたくないと教室で暴れ出し、クラスメイトに殴りかかる。転校を阻止してやりたい鬼塚は桜井(黒木瞳)にかけ合うが、親の決断に従うしかないと諭され、どうすることもできない。  そんな折、太"&amp;"一は自分のせいで佑二が同級生にイジメられていたことを知ってがく然。その日から、教室で自分の腕をつねって衝動を抑え、動き出したいのを我慢するようになった。太一の様子が気になった鬼塚は…。")</f>
        <v>鬼塚(AKIRA)のクラスの生徒・宇佐美太一(佐野玲於)が病院で、ある障害を持つと診断された。太一を心配していた父親の雅史(奥田達士)、母親の美代子(山下容莉枝)はショックを受ける。  太一は学校でもとっぴな行動を繰り返し、クラスメイトにからかわれていた。ある日、授業中にいなくなった太一を探していた鬼塚は、砂浜で太一を発見。太一は、受験を控えた弟・佑二(横山幸汰)の合格を願い、望みが叶うお守りといわれているイルカの耳骨を集めていた。鬼塚は、太一の優しさに心を動かされ、一緒に耳骨を探し始めるが、同様に太一を探しに来たほなみ(比嘉愛未)に見つかり、授業に戻れとブチ切れられる。  翌日、雅史が学校に現れ、障害支援のある高校に太一を転校させると言い出す。その学校には寮があり、太一は家族と離れて暮らすという。雅史が太一に相談もせず、勝手に転校を決めたと聞いた鬼塚は猛反対するが、雅史は聞く耳を持たない。まもなく、転校を知った太一が家族と離れたくないと教室で暴れ出し、クラスメイトに殴りかかる。転校を阻止してやりたい鬼塚は桜井(黒木瞳)にかけ合うが、親の決断に従うしかないと諭され、どうすることもできない。  そんな折、太一は自分のせいで佑二が同級生にイジメられていたことを知ってがく然。その日から、教室で自分の腕をつねって衝動を抑え、動き出したいのを我慢するようになった。太一の様子が気になった鬼塚は…。</v>
      </c>
      <c r="N725" s="2"/>
      <c r="O725" s="2"/>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row>
    <row r="726" ht="204.75" customHeight="1">
      <c r="A726" s="1">
        <v>2599.0</v>
      </c>
      <c r="B726" s="2" t="s">
        <v>2321</v>
      </c>
      <c r="C726" s="2">
        <f>IFERROR(__xludf.DUMMYFUNCTION("split(B726,""_"")"),1407.0)</f>
        <v>1407</v>
      </c>
      <c r="D726" s="2" t="str">
        <f>IFERROR(__xludf.DUMMYFUNCTION("""COMPUTED_VALUE"""),"CX")</f>
        <v>CX</v>
      </c>
      <c r="E726" s="2" t="str">
        <f>IFERROR(__xludf.DUMMYFUNCTION("""COMPUTED_VALUE"""),"火22")</f>
        <v>火22</v>
      </c>
      <c r="F726" s="2" t="s">
        <v>2322</v>
      </c>
      <c r="G726" s="2" t="s">
        <v>2329</v>
      </c>
      <c r="H726" s="1">
        <v>3.0</v>
      </c>
      <c r="I726" s="1" t="s">
        <v>10</v>
      </c>
      <c r="J726" s="1" t="s">
        <v>86</v>
      </c>
      <c r="K726" s="2" t="s">
        <v>2330</v>
      </c>
      <c r="L726" s="2" t="s">
        <v>2331</v>
      </c>
      <c r="M726" s="2" t="str">
        <f>IFERROR(__xludf.DUMMYFUNCTION("split(split(K726,""AKIRA　"",false),""公式LINE"",false)"),"2年A組の百合原さつき(木崎ゆりあ)がビーチで出会ったイケメンのノリ(平沼紀久)にひと目ぼれ。彼氏だったクラスメイトの徳山宏尚(堀井新太)をあっさりと振ったことから、2人は学校で大ゲンカに。事情を聞いた鬼塚(AKIRA)は、さつきに未練タラタラで別れ話に納得できない徳山を慰める。    一方、さつきは徳山の気持ちなど気にも留めず、バイト先のファストフード店でいつもと変わらぬ様子で笑顔を振りまいていた。店のサイトでブログを書いているさつきはファンの客も多く、アイドルのようにチヤホヤされることを楽しんでいたの"&amp;"だ。さらに、ノリが仲間と暮らすシェアハウスにも通い始め、2人の仲は急接近していく。そして数日後、ついにノリとキスをしたさつきに、徳山から中傷メールが届く。追い打ちをかけるように、家の外にはさつきの様子をうかがう徳山の姿が…。    さらに翌日、さつきに似たキャラクターが惨殺される残酷なゲームがネットに投稿され、殺人予告だと校内は騒然となる。姿を消した徳山を犯人だと疑う大前(風見しんご)は、徳山をかばった鬼塚を批難。内山田(田山涼成)も「場合によっては警察に通報する」と強硬な態度を見せ、徳山の行方を追う。 "&amp;" とうとう、さつきの母親が学校に乗り込んできて、ストーカー生徒を退学させろと迫る騒動にまで発展し、ほなみ(比嘉愛未)もなすすべもなく…。")</f>
        <v>2年A組の百合原さつき(木崎ゆりあ)がビーチで出会ったイケメンのノリ(平沼紀久)にひと目ぼれ。彼氏だったクラスメイトの徳山宏尚(堀井新太)をあっさりと振ったことから、2人は学校で大ゲンカに。事情を聞いた鬼塚(AKIRA)は、さつきに未練タラタラで別れ話に納得できない徳山を慰める。    一方、さつきは徳山の気持ちなど気にも留めず、バイト先のファストフード店でいつもと変わらぬ様子で笑顔を振りまいていた。店のサイトでブログを書いているさつきはファンの客も多く、アイドルのようにチヤホヤされることを楽しんでいたのだ。さらに、ノリが仲間と暮らすシェアハウスにも通い始め、2人の仲は急接近していく。そして数日後、ついにノリとキスをしたさつきに、徳山から中傷メールが届く。追い打ちをかけるように、家の外にはさつきの様子をうかがう徳山の姿が…。    さらに翌日、さつきに似たキャラクターが惨殺される残酷なゲームがネットに投稿され、殺人予告だと校内は騒然となる。姿を消した徳山を犯人だと疑う大前(風見しんご)は、徳山をかばった鬼塚を批難。内山田(田山涼成)も「場合によっては警察に通報する」と強硬な態度を見せ、徳山の行方を追う。  とうとう、さつきの母親が学校に乗り込んできて、ストーカー生徒を退学させろと迫る騒動にまで発展し、ほなみ(比嘉愛未)もなすすべもなく…。</v>
      </c>
      <c r="N726" s="2"/>
      <c r="O726" s="2"/>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row>
    <row r="727" ht="204.75" customHeight="1">
      <c r="A727" s="1">
        <v>2600.0</v>
      </c>
      <c r="B727" s="2" t="s">
        <v>2321</v>
      </c>
      <c r="C727" s="2">
        <f>IFERROR(__xludf.DUMMYFUNCTION("split(B727,""_"")"),1407.0)</f>
        <v>1407</v>
      </c>
      <c r="D727" s="2" t="str">
        <f>IFERROR(__xludf.DUMMYFUNCTION("""COMPUTED_VALUE"""),"CX")</f>
        <v>CX</v>
      </c>
      <c r="E727" s="2" t="str">
        <f>IFERROR(__xludf.DUMMYFUNCTION("""COMPUTED_VALUE"""),"火22")</f>
        <v>火22</v>
      </c>
      <c r="F727" s="2" t="s">
        <v>2322</v>
      </c>
      <c r="G727" s="2" t="s">
        <v>2332</v>
      </c>
      <c r="H727" s="1">
        <v>4.0</v>
      </c>
      <c r="I727" s="1" t="s">
        <v>14</v>
      </c>
      <c r="J727" s="1" t="s">
        <v>86</v>
      </c>
      <c r="K727" s="2" t="s">
        <v>2333</v>
      </c>
      <c r="L727" s="2" t="s">
        <v>2334</v>
      </c>
      <c r="M727" s="2" t="str">
        <f>IFERROR(__xludf.DUMMYFUNCTION("split(split(K727,""AKIRA　"",false),""公式LINE"",false)"),"生徒の桐谷優(片寄涼太)は芹澤(竜星涼)とともに、バスケ部のエースと期待されていたが、突然、部活動を辞めて不良グループとつき合い始め、かつてのチームメイトと険悪な仲に。鬼塚(AKIRA)は退部の理由を探ろうと桐谷の父親・徹也(嶋田久作)を訪ねるが、そこに桐谷がケンカをして補導されたと連絡が入る。    　鬼塚、ほなみ(比嘉愛未)とともに警察に駆けつけた徹也に、桐谷は「俺はあんたの子じゃないんだろ」と吐き捨てる。桐谷は徹也とは血縁のない養子だった。その事実を偶然知ってしまい、だまされていたと怒りをぶつける桐"&amp;"谷に徹也は動揺を隠しきれない。    　問題を起こした桐谷は停学処分に。鬼塚が桐谷家を訪ねると、桐谷がグレたのは自分のせいだと徹也が苦しんでいた。徹也は妻を亡くした後、得意のバスケを教えながら男手一つで桐谷を育ててきたという。親子の心をつないでいたバスケも「うんざりだ」と拒絶され、徹也は親としての自信をなくしていた。    　一方、不良グループのもとに身を寄せていた桐谷は、頼まれたものを取りに公園へ。公衆トイレに隠されていた怪しい包みを持ち去ろうとしたとき、後をつけてきた鬼塚に踏み込まれる。桐谷を校内の自"&amp;"分の部屋に連れ帰り、徹也の思いを伝える鬼塚。そんな中、何気なく開けた包みの中にとんでもないものを発見して…。")</f>
        <v>生徒の桐谷優(片寄涼太)は芹澤(竜星涼)とともに、バスケ部のエースと期待されていたが、突然、部活動を辞めて不良グループとつき合い始め、かつてのチームメイトと険悪な仲に。鬼塚(AKIRA)は退部の理由を探ろうと桐谷の父親・徹也(嶋田久作)を訪ねるが、そこに桐谷がケンカをして補導されたと連絡が入る。    　鬼塚、ほなみ(比嘉愛未)とともに警察に駆けつけた徹也に、桐谷は「俺はあんたの子じゃないんだろ」と吐き捨てる。桐谷は徹也とは血縁のない養子だった。その事実を偶然知ってしまい、だまされていたと怒りをぶつける桐谷に徹也は動揺を隠しきれない。    　問題を起こした桐谷は停学処分に。鬼塚が桐谷家を訪ねると、桐谷がグレたのは自分のせいだと徹也が苦しんでいた。徹也は妻を亡くした後、得意のバスケを教えながら男手一つで桐谷を育ててきたという。親子の心をつないでいたバスケも「うんざりだ」と拒絶され、徹也は親としての自信をなくしていた。    　一方、不良グループのもとに身を寄せていた桐谷は、頼まれたものを取りに公園へ。公衆トイレに隠されていた怪しい包みを持ち去ろうとしたとき、後をつけてきた鬼塚に踏み込まれる。桐谷を校内の自分の部屋に連れ帰り、徹也の思いを伝える鬼塚。そんな中、何気なく開けた包みの中にとんでもないものを発見して…。</v>
      </c>
      <c r="N727" s="2"/>
      <c r="O727" s="2"/>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row>
    <row r="728" ht="204.75" customHeight="1">
      <c r="A728" s="1">
        <v>2601.0</v>
      </c>
      <c r="B728" s="2" t="s">
        <v>2321</v>
      </c>
      <c r="C728" s="2">
        <f>IFERROR(__xludf.DUMMYFUNCTION("split(B728,""_"")"),1407.0)</f>
        <v>1407</v>
      </c>
      <c r="D728" s="2" t="str">
        <f>IFERROR(__xludf.DUMMYFUNCTION("""COMPUTED_VALUE"""),"CX")</f>
        <v>CX</v>
      </c>
      <c r="E728" s="2" t="str">
        <f>IFERROR(__xludf.DUMMYFUNCTION("""COMPUTED_VALUE"""),"火22")</f>
        <v>火22</v>
      </c>
      <c r="F728" s="2" t="s">
        <v>2322</v>
      </c>
      <c r="G728" s="2" t="s">
        <v>2335</v>
      </c>
      <c r="H728" s="1">
        <v>5.0</v>
      </c>
      <c r="I728" s="1" t="s">
        <v>17</v>
      </c>
      <c r="J728" s="1" t="s">
        <v>86</v>
      </c>
      <c r="K728" s="2" t="s">
        <v>2336</v>
      </c>
      <c r="L728" s="2" t="s">
        <v>2337</v>
      </c>
      <c r="M728" s="2" t="str">
        <f>IFERROR(__xludf.DUMMYFUNCTION("split(split(K728,""AKIRA　"",false),""公式LINE"",false)"),"クラス劇で優勝を競う恒例行事「演劇祭」が近づいてきた。ほなみ(比嘉愛未)から昨年のA組の様子を聞いた鬼塚(AKIRA)は、演劇部のつぐみ(小芝風花)が先頭に立ってクラスを引っ張っていたと知る。    　そんなある日、智美(宮武美桜)と加奈子(伊藤沙莉)が、エアガンで撃ち抜かれた自分たちの写真を見つけて憤慨。ミリタリー好きの沼尻圭(武井証)の仕業と決めつけ、沼尻のエアガンを悪質なイタズラで台無しにした。復讐すると息巻く沼尻をなだめたつぐみは、大前(風見しんご)に事情を話す。    　その結果、智美らは大前に"&amp;"大目玉を食らい、大学推薦の取り消しをほのめかされてしまう。つぐみを逆恨みする智美たちは、クラス劇の演目に「シンデレラ」を提案し、主役につぐみを推薦。継母や姉の役を買って出ると、練習にかこつけてつぐみを突き飛ばし、陰湿なイジメを始める。　これを耳にした鬼塚はつぐみを救おうとするが、つぐみはイジメを否定。事実確認ができないからと、内山田(田山涼成)ら職員は様子見の姿勢。そんななか、つぐみがイジメに耐え抜く姿に心痛めていた鬼塚は、桜井理事長(黒木瞳)の“イジメは犯罪""という言葉に、何事かひらめいて…")</f>
        <v>クラス劇で優勝を競う恒例行事「演劇祭」が近づいてきた。ほなみ(比嘉愛未)から昨年のA組の様子を聞いた鬼塚(AKIRA)は、演劇部のつぐみ(小芝風花)が先頭に立ってクラスを引っ張っていたと知る。    　そんなある日、智美(宮武美桜)と加奈子(伊藤沙莉)が、エアガンで撃ち抜かれた自分たちの写真を見つけて憤慨。ミリタリー好きの沼尻圭(武井証)の仕業と決めつけ、沼尻のエアガンを悪質なイタズラで台無しにした。復讐すると息巻く沼尻をなだめたつぐみは、大前(風見しんご)に事情を話す。    　その結果、智美らは大前に大目玉を食らい、大学推薦の取り消しをほのめかされてしまう。つぐみを逆恨みする智美たちは、クラス劇の演目に「シンデレラ」を提案し、主役につぐみを推薦。継母や姉の役を買って出ると、練習にかこつけてつぐみを突き飛ばし、陰湿なイジメを始める。　これを耳にした鬼塚はつぐみを救おうとするが、つぐみはイジメを否定。事実確認ができないからと、内山田(田山涼成)ら職員は様子見の姿勢。そんななか、つぐみがイジメに耐え抜く姿に心痛めていた鬼塚は、桜井理事長(黒木瞳)の“イジメは犯罪"という言葉に、何事かひらめいて…</v>
      </c>
      <c r="N728" s="2"/>
      <c r="O728" s="2"/>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row>
    <row r="729" ht="204.75" customHeight="1">
      <c r="A729" s="1">
        <v>2602.0</v>
      </c>
      <c r="B729" s="2" t="s">
        <v>2321</v>
      </c>
      <c r="C729" s="2">
        <f>IFERROR(__xludf.DUMMYFUNCTION("split(B729,""_"")"),1407.0)</f>
        <v>1407</v>
      </c>
      <c r="D729" s="2" t="str">
        <f>IFERROR(__xludf.DUMMYFUNCTION("""COMPUTED_VALUE"""),"CX")</f>
        <v>CX</v>
      </c>
      <c r="E729" s="2" t="str">
        <f>IFERROR(__xludf.DUMMYFUNCTION("""COMPUTED_VALUE"""),"火22")</f>
        <v>火22</v>
      </c>
      <c r="F729" s="2" t="s">
        <v>2322</v>
      </c>
      <c r="G729" s="2" t="s">
        <v>2338</v>
      </c>
      <c r="H729" s="1">
        <v>6.0</v>
      </c>
      <c r="I729" s="1" t="s">
        <v>21</v>
      </c>
      <c r="J729" s="1" t="s">
        <v>86</v>
      </c>
      <c r="K729" s="2" t="s">
        <v>2339</v>
      </c>
      <c r="L729" s="2" t="s">
        <v>2340</v>
      </c>
      <c r="M729" s="2" t="str">
        <f>IFERROR(__xludf.DUMMYFUNCTION("split(split(K729,""AKIRA　"",false),""公式LINE"",false)"),"ネットの動画サイトでギターを片手に歌う、話題の“謎の女性シンガー""が2年A組の柊佐奈(岡本夏美)だったとわかり、クラスは大騒ぎに。佐奈は4人兄弟の長女で早くに父親を亡くし、仕事で留守がちな母親・久美子(船木幸)に代わって幼い妹と弟たちの面倒を見ながら、アルバイトで家計を助けるがんばり屋。忙しい日々の合間に撮った歌の動画を多くの人に見てもらうことが、密かな楽しみだったのだ。佐奈の歌の才能を知った鬼塚(AKIRA)は麻理子(松浦雅)らクラスの生徒に声をかけ、プロシンガーのオーディションに合格させるプロジェク"&amp;"トを始動!発声やメイク、体力作りのジョギングなど、生徒たちがそれぞれの得意分野を生かして特訓につき合い、クラスを挙げて佐奈をサポートする。  オーディションも一次審査を見事突破し、盛り上がる鬼塚プロジェクトメンバー。そんな折、佐奈は大切にしていた父親の形見のギターが壊され、捨てられているのを発見する。さらには、とっくに届いているはずの二次審査の結果も来ず、失意のどん底に突き落とされる。    そのころ、鬼塚と生徒たちは特訓に来るはずの佐奈を待っていた。ところが、佐奈は現れず、携帯も繋がらなくなって…。")</f>
        <v>ネットの動画サイトでギターを片手に歌う、話題の“謎の女性シンガー"が2年A組の柊佐奈(岡本夏美)だったとわかり、クラスは大騒ぎに。佐奈は4人兄弟の長女で早くに父親を亡くし、仕事で留守がちな母親・久美子(船木幸)に代わって幼い妹と弟たちの面倒を見ながら、アルバイトで家計を助けるがんばり屋。忙しい日々の合間に撮った歌の動画を多くの人に見てもらうことが、密かな楽しみだったのだ。佐奈の歌の才能を知った鬼塚(AKIRA)は麻理子(松浦雅)らクラスの生徒に声をかけ、プロシンガーのオーディションに合格させるプロジェクトを始動!発声やメイク、体力作りのジョギングなど、生徒たちがそれぞれの得意分野を生かして特訓につき合い、クラスを挙げて佐奈をサポートする。  オーディションも一次審査を見事突破し、盛り上がる鬼塚プロジェクトメンバー。そんな折、佐奈は大切にしていた父親の形見のギターが壊され、捨てられているのを発見する。さらには、とっくに届いているはずの二次審査の結果も来ず、失意のどん底に突き落とされる。    そのころ、鬼塚と生徒たちは特訓に来るはずの佐奈を待っていた。ところが、佐奈は現れず、携帯も繋がらなくなって…。</v>
      </c>
      <c r="N729" s="2"/>
      <c r="O729" s="2"/>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row>
    <row r="730" ht="204.75" customHeight="1">
      <c r="A730" s="1">
        <v>2603.0</v>
      </c>
      <c r="B730" s="2" t="s">
        <v>2321</v>
      </c>
      <c r="C730" s="2">
        <f>IFERROR(__xludf.DUMMYFUNCTION("split(B730,""_"")"),1407.0)</f>
        <v>1407</v>
      </c>
      <c r="D730" s="2" t="str">
        <f>IFERROR(__xludf.DUMMYFUNCTION("""COMPUTED_VALUE"""),"CX")</f>
        <v>CX</v>
      </c>
      <c r="E730" s="2" t="str">
        <f>IFERROR(__xludf.DUMMYFUNCTION("""COMPUTED_VALUE"""),"火22")</f>
        <v>火22</v>
      </c>
      <c r="F730" s="2" t="s">
        <v>2322</v>
      </c>
      <c r="G730" s="2" t="s">
        <v>2341</v>
      </c>
      <c r="H730" s="1">
        <v>7.0</v>
      </c>
      <c r="I730" s="1" t="s">
        <v>25</v>
      </c>
      <c r="J730" s="1" t="s">
        <v>86</v>
      </c>
      <c r="K730" s="2" t="s">
        <v>2342</v>
      </c>
      <c r="L730" s="2" t="s">
        <v>2343</v>
      </c>
      <c r="M730" s="2" t="str">
        <f>IFERROR(__xludf.DUMMYFUNCTION("split(split(K730,""AKIRA　"",false),""公式LINE"",false)"),"鬼塚(AKIRA)を中心にまとまりを見せ始めた2年A組の中で、生徒たちとの距離が縮められないことを気に病むほなみ(比嘉愛未)。そんな折、ほなみは思い詰めた様子で海辺に佇む葛木(菊池風磨)を見かけ、心配になって声をかける。だが、葛木は足早に立ち去ってしまった。あゆな(松岡茉優)から妊娠を告げられた葛木は、誰にも相談できず、動揺していた。  翌日、ほなみは葛木の様子を鬼塚に報告する。すると鬼塚は、その理由をなぜ葛木に直接聞かないのかとほなみを問いただし、生徒の問題から逃げていると指摘。ほなみは怒り出すが、鬼塚"&amp;"の言葉が鋭く胸に突き刺さっていた。  そんなある夜、夏祭りで葛木が他校の生徒・木内圭輔(高橋龍輝)とケンカをする騒ぎを起こした。ほなみは葛木から事情を聞くが、生徒に関心もないのに心配するふりをするなと突っぱねられてしまう。  明くる日、圭輔の父親で市議会議員の木内剛(佐戸井けん太)が学校に現れ葛木が一方的に因縁をつけ、暴力を振るったと主張。葛木に処分を下すよう内山田(田山涼成)に迫る。鬼塚は、葛木をかばうが、ほなみは反論もせず、木内の要求を受け入れてしまう。  納得できない鬼塚に対し、ほなみは学校の雑事に"&amp;"忙殺される教師にすべての生徒の問題と向き合う時間などないと反発。これに激怒した鬼塚は「教師ならしっかり踏みとどまって生徒と向き合え」と厳しく非難し、立ち去る。一人残されたほなみは…。")</f>
        <v>鬼塚(AKIRA)を中心にまとまりを見せ始めた2年A組の中で、生徒たちとの距離が縮められないことを気に病むほなみ(比嘉愛未)。そんな折、ほなみは思い詰めた様子で海辺に佇む葛木(菊池風磨)を見かけ、心配になって声をかける。だが、葛木は足早に立ち去ってしまった。あゆな(松岡茉優)から妊娠を告げられた葛木は、誰にも相談できず、動揺していた。  翌日、ほなみは葛木の様子を鬼塚に報告する。すると鬼塚は、その理由をなぜ葛木に直接聞かないのかとほなみを問いただし、生徒の問題から逃げていると指摘。ほなみは怒り出すが、鬼塚の言葉が鋭く胸に突き刺さっていた。  そんなある夜、夏祭りで葛木が他校の生徒・木内圭輔(高橋龍輝)とケンカをする騒ぎを起こした。ほなみは葛木から事情を聞くが、生徒に関心もないのに心配するふりをするなと突っぱねられてしまう。  明くる日、圭輔の父親で市議会議員の木内剛(佐戸井けん太)が学校に現れ葛木が一方的に因縁をつけ、暴力を振るったと主張。葛木に処分を下すよう内山田(田山涼成)に迫る。鬼塚は、葛木をかばうが、ほなみは反論もせず、木内の要求を受け入れてしまう。  納得できない鬼塚に対し、ほなみは学校の雑事に忙殺される教師にすべての生徒の問題と向き合う時間などないと反発。これに激怒した鬼塚は「教師ならしっかり踏みとどまって生徒と向き合え」と厳しく非難し、立ち去る。一人残されたほなみは…。</v>
      </c>
      <c r="N730" s="2"/>
      <c r="O730" s="2"/>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row>
    <row r="731" ht="204.75" customHeight="1">
      <c r="A731" s="1">
        <v>2604.0</v>
      </c>
      <c r="B731" s="2" t="s">
        <v>2321</v>
      </c>
      <c r="C731" s="2">
        <f>IFERROR(__xludf.DUMMYFUNCTION("split(B731,""_"")"),1407.0)</f>
        <v>1407</v>
      </c>
      <c r="D731" s="2" t="str">
        <f>IFERROR(__xludf.DUMMYFUNCTION("""COMPUTED_VALUE"""),"CX")</f>
        <v>CX</v>
      </c>
      <c r="E731" s="2" t="str">
        <f>IFERROR(__xludf.DUMMYFUNCTION("""COMPUTED_VALUE"""),"火22")</f>
        <v>火22</v>
      </c>
      <c r="F731" s="2" t="s">
        <v>2322</v>
      </c>
      <c r="G731" s="2" t="s">
        <v>2344</v>
      </c>
      <c r="H731" s="1">
        <v>8.0</v>
      </c>
      <c r="I731" s="1" t="s">
        <v>29</v>
      </c>
      <c r="J731" s="1" t="s">
        <v>86</v>
      </c>
      <c r="K731" s="2" t="s">
        <v>2345</v>
      </c>
      <c r="L731" s="2" t="s">
        <v>2346</v>
      </c>
      <c r="M731" s="2" t="str">
        <f>IFERROR(__xludf.DUMMYFUNCTION("split(split(K731,""AKIRA　"",false),""公式LINE"",false)"),"バスケ部のエース・芹澤(竜星涼)は、慢性硬膜下血腫と診断された。頭を打ったときに傷ついた血管から出血していたようだが、処置が早かったのが幸いし、大事には至らないと聞いた鬼塚(AKIRA)とほなみ(比嘉愛未)はホッと胸をなで下ろす。  バスケ部の全国制覇がかかった大切な試合が近づき、一日も早く復帰したい芹澤だったが思うように体が動かない。遊沢(荒井敦史)らチームメイトや顧問の神谷(丸山智己)に迷惑をかけたくないと、無理を押して練習に戻ろうとする芹澤を心配した鬼塚は、焦らずゆっくり治していこうとなだめる。  "&amp;"ところが、芹澤は完治を待たずに練習を再開。転倒して頭を打ち、病院に運ばれてしまう。その結果、治りかけていた血管の傷が再び出血し、脳が重いダメージを受けてしまったため、バスケはおろか立って歩くことすらできない深刻な障害が残ることに。  バスケでアメリカに留学することが決まり、夢だったプロ選手への道が開けようとしていた矢先、二度とバスケができないと宣告された芹澤は自暴自棄に。見舞いに来た遊沢らに当たり散らし、医師にはなんとしても治して欲しいと泣きすがる。一方、司令塔だった芹澤のいないバスケ部はチームプレーもま"&amp;"まならず、イライラを募らせる部員たちも険悪なムードに。  一方、あゆな(松岡茉優)から、二人をつなぐ赤ちゃんはもういなくなったので、普通の友達に戻ろうと告げられた葛木(菊池風磨)は…。")</f>
        <v>バスケ部のエース・芹澤(竜星涼)は、慢性硬膜下血腫と診断された。頭を打ったときに傷ついた血管から出血していたようだが、処置が早かったのが幸いし、大事には至らないと聞いた鬼塚(AKIRA)とほなみ(比嘉愛未)はホッと胸をなで下ろす。  バスケ部の全国制覇がかかった大切な試合が近づき、一日も早く復帰したい芹澤だったが思うように体が動かない。遊沢(荒井敦史)らチームメイトや顧問の神谷(丸山智己)に迷惑をかけたくないと、無理を押して練習に戻ろうとする芹澤を心配した鬼塚は、焦らずゆっくり治していこうとなだめる。  ところが、芹澤は完治を待たずに練習を再開。転倒して頭を打ち、病院に運ばれてしまう。その結果、治りかけていた血管の傷が再び出血し、脳が重いダメージを受けてしまったため、バスケはおろか立って歩くことすらできない深刻な障害が残ることに。  バスケでアメリカに留学することが決まり、夢だったプロ選手への道が開けようとしていた矢先、二度とバスケができないと宣告された芹澤は自暴自棄に。見舞いに来た遊沢らに当たり散らし、医師にはなんとしても治して欲しいと泣きすがる。一方、司令塔だった芹澤のいないバスケ部はチームプレーもままならず、イライラを募らせる部員たちも険悪なムードに。  一方、あゆな(松岡茉優)から、二人をつなぐ赤ちゃんはもういなくなったので、普通の友達に戻ろうと告げられた葛木(菊池風磨)は…。</v>
      </c>
      <c r="N731" s="2"/>
      <c r="O731" s="2"/>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row>
    <row r="732" ht="204.75" customHeight="1">
      <c r="A732" s="1">
        <v>2605.0</v>
      </c>
      <c r="B732" s="2" t="s">
        <v>2321</v>
      </c>
      <c r="C732" s="2">
        <f>IFERROR(__xludf.DUMMYFUNCTION("split(B732,""_"")"),1407.0)</f>
        <v>1407</v>
      </c>
      <c r="D732" s="2" t="str">
        <f>IFERROR(__xludf.DUMMYFUNCTION("""COMPUTED_VALUE"""),"CX")</f>
        <v>CX</v>
      </c>
      <c r="E732" s="2" t="str">
        <f>IFERROR(__xludf.DUMMYFUNCTION("""COMPUTED_VALUE"""),"火22")</f>
        <v>火22</v>
      </c>
      <c r="F732" s="2" t="s">
        <v>2322</v>
      </c>
      <c r="G732" s="2" t="s">
        <v>2347</v>
      </c>
      <c r="H732" s="1">
        <v>9.0</v>
      </c>
      <c r="I732" s="1" t="s">
        <v>33</v>
      </c>
      <c r="J732" s="1" t="s">
        <v>86</v>
      </c>
      <c r="K732" s="2" t="s">
        <v>2348</v>
      </c>
      <c r="L732" s="2" t="s">
        <v>2349</v>
      </c>
      <c r="M732" s="2" t="str">
        <f>IFERROR(__xludf.DUMMYFUNCTION("split(split(K732,""AKIRA　"",false),""公式LINE"",false)"),"めいり(三吉彩花)の不審な行動に気づき始めていた鬼塚(AKIRA)は、教室にめいりが姿を現さない理由をほなみ(比嘉愛未)に直撃。前の担任教師・木原元一(竹財輝之助)とめいりが禁断の恋愛関係にあったと聞かされる。木原は人気教師だったが、このことをきっかけに校内で激しいバッシングを受け、心を病んで休職に追い込まれたという。この話を鬼塚がめいりに向けると、めいりは鬼塚が赴任してからA組で起こったトラブルは、自分が火付け役だったと白状。以前、皆が自分や木原にしたのと同じ、ちょっとした実験だと明かし、「学校もクラス"&amp;"のやつらも許せない」と恨みを口にする。鬼塚は「俺が絶対におめぇをクラスに戻す」とめいりに心を開かせようとするが…。    翌朝、校内の壁に「志条あゆなは葛木隆一の子供を妊娠している」という怪文書と産婦人科から出て来るあゆな(松岡茉優)の写真が無数に貼られ、職員や生徒たちは騒然。内山田(田山涼成)らはあゆなと葛木(菊池風磨)を問いただすが、すでに中絶手術を受けたとあゆなに打ち明けられ、この問題を隠匿しようとする。    翌日、鬼塚にめいりからメールが届く。そこに書かれたURLを開くと、「今から1時間後に…自"&amp;"殺します」と自殺をネットで生中継しようとするめいりの姿が…!")</f>
        <v>めいり(三吉彩花)の不審な行動に気づき始めていた鬼塚(AKIRA)は、教室にめいりが姿を現さない理由をほなみ(比嘉愛未)に直撃。前の担任教師・木原元一(竹財輝之助)とめいりが禁断の恋愛関係にあったと聞かされる。木原は人気教師だったが、このことをきっかけに校内で激しいバッシングを受け、心を病んで休職に追い込まれたという。この話を鬼塚がめいりに向けると、めいりは鬼塚が赴任してからA組で起こったトラブルは、自分が火付け役だったと白状。以前、皆が自分や木原にしたのと同じ、ちょっとした実験だと明かし、「学校もクラスのやつらも許せない」と恨みを口にする。鬼塚は「俺が絶対におめぇをクラスに戻す」とめいりに心を開かせようとするが…。    翌朝、校内の壁に「志条あゆなは葛木隆一の子供を妊娠している」という怪文書と産婦人科から出て来るあゆな(松岡茉優)の写真が無数に貼られ、職員や生徒たちは騒然。内山田(田山涼成)らはあゆなと葛木(菊池風磨)を問いただすが、すでに中絶手術を受けたとあゆなに打ち明けられ、この問題を隠匿しようとする。    翌日、鬼塚にめいりからメールが届く。そこに書かれたURLを開くと、「今から1時間後に…自殺します」と自殺をネットで生中継しようとするめいりの姿が…!</v>
      </c>
      <c r="N732" s="2"/>
      <c r="O732" s="2"/>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row>
    <row r="733" ht="204.75" customHeight="1">
      <c r="A733" s="1">
        <v>2606.0</v>
      </c>
      <c r="B733" s="2" t="s">
        <v>2321</v>
      </c>
      <c r="C733" s="2">
        <f>IFERROR(__xludf.DUMMYFUNCTION("split(B733,""_"")"),1407.0)</f>
        <v>1407</v>
      </c>
      <c r="D733" s="2" t="str">
        <f>IFERROR(__xludf.DUMMYFUNCTION("""COMPUTED_VALUE"""),"CX")</f>
        <v>CX</v>
      </c>
      <c r="E733" s="2" t="str">
        <f>IFERROR(__xludf.DUMMYFUNCTION("""COMPUTED_VALUE"""),"火22")</f>
        <v>火22</v>
      </c>
      <c r="F733" s="2" t="s">
        <v>2322</v>
      </c>
      <c r="G733" s="2" t="s">
        <v>2350</v>
      </c>
      <c r="H733" s="1">
        <v>10.0</v>
      </c>
      <c r="I733" s="1" t="s">
        <v>37</v>
      </c>
      <c r="J733" s="1" t="s">
        <v>86</v>
      </c>
      <c r="K733" s="2" t="s">
        <v>2351</v>
      </c>
      <c r="L733" s="2" t="s">
        <v>2352</v>
      </c>
      <c r="M733" s="2" t="str">
        <f>IFERROR(__xludf.DUMMYFUNCTION("split(split(K733,""AKIRA　"",false),""公式LINE"",false)"),"突然の腹痛に襲われたあゆな(松岡茉優)。病院に運んだ桜井理事長(黒木瞳)は、あゆなが鬼塚(AKIRA)や葛木(菊池風磨)らにはウソをついてまで、妊娠を継続していたことに驚く。一方、ほなみ(比嘉愛未)は、10年前に亡くなった兄・沢村(金井勇太)が鬼塚の高校時代の親友だったと富士宮(小野武彦)から聞かされ、思わぬ偶然に驚いていた。    翌朝、桐谷(片寄涼太)と遊沢(荒井敦史)が見知らぬ男たちにリンチを受け、校門の前に放置される騒ぎが起こった。前代未聞の事件に内山田(田山涼成)や大前(風見しんご)は動揺。ほな"&amp;"みは桐谷の体に鬼塚の過去を告発する怪文書が貼られているのを見つけるが、その驚くべき内容に衝撃を受け、とっさに文書を隠してしまう。    放課後、ほなみは鬼塚につきまとう男・瀧澤(阿部亮平)に声をかけられる。瀧澤は「鬼塚英吉は人殺しだ」と告げると、「沢村はあいつに殺されたようなもんだ」と言って立ち去った。捨てられないでいた怪文書を思わず見返すほなみ。そこには、生徒へのリンチは10年前に人を殺した鬼塚への「復讐」と書かれていた。    この件を龍二(城田優)に問いただしたほなみは、兄の死の真相を聞いてがく然と"&amp;"なる。翌日、ほなみは自分が沢村の妹であることを鬼塚に告白。「あなたがいなければ、兄は、死ぬことはなかった!」とあふれ出す感情をぶつけて…。")</f>
        <v>突然の腹痛に襲われたあゆな(松岡茉優)。病院に運んだ桜井理事長(黒木瞳)は、あゆなが鬼塚(AKIRA)や葛木(菊池風磨)らにはウソをついてまで、妊娠を継続していたことに驚く。一方、ほなみ(比嘉愛未)は、10年前に亡くなった兄・沢村(金井勇太)が鬼塚の高校時代の親友だったと富士宮(小野武彦)から聞かされ、思わぬ偶然に驚いていた。    翌朝、桐谷(片寄涼太)と遊沢(荒井敦史)が見知らぬ男たちにリンチを受け、校門の前に放置される騒ぎが起こった。前代未聞の事件に内山田(田山涼成)や大前(風見しんご)は動揺。ほなみは桐谷の体に鬼塚の過去を告発する怪文書が貼られているのを見つけるが、その驚くべき内容に衝撃を受け、とっさに文書を隠してしまう。    放課後、ほなみは鬼塚につきまとう男・瀧澤(阿部亮平)に声をかけられる。瀧澤は「鬼塚英吉は人殺しだ」と告げると、「沢村はあいつに殺されたようなもんだ」と言って立ち去った。捨てられないでいた怪文書を思わず見返すほなみ。そこには、生徒へのリンチは10年前に人を殺した鬼塚への「復讐」と書かれていた。    この件を龍二(城田優)に問いただしたほなみは、兄の死の真相を聞いてがく然となる。翌日、ほなみは自分が沢村の妹であることを鬼塚に告白。「あなたがいなければ、兄は、死ぬことはなかった!」とあふれ出す感情をぶつけて…。</v>
      </c>
      <c r="N733" s="2"/>
      <c r="O733" s="2"/>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row>
    <row r="734" ht="204.75" customHeight="1">
      <c r="A734" s="1">
        <v>2607.0</v>
      </c>
      <c r="B734" s="2" t="s">
        <v>2321</v>
      </c>
      <c r="C734" s="2">
        <f>IFERROR(__xludf.DUMMYFUNCTION("split(B734,""_"")"),1407.0)</f>
        <v>1407</v>
      </c>
      <c r="D734" s="2" t="str">
        <f>IFERROR(__xludf.DUMMYFUNCTION("""COMPUTED_VALUE"""),"CX")</f>
        <v>CX</v>
      </c>
      <c r="E734" s="2" t="str">
        <f>IFERROR(__xludf.DUMMYFUNCTION("""COMPUTED_VALUE"""),"火22")</f>
        <v>火22</v>
      </c>
      <c r="F734" s="2" t="s">
        <v>2322</v>
      </c>
      <c r="G734" s="2" t="s">
        <v>2353</v>
      </c>
      <c r="H734" s="1">
        <v>11.0</v>
      </c>
      <c r="I734" s="1" t="s">
        <v>41</v>
      </c>
      <c r="J734" s="1" t="s">
        <v>86</v>
      </c>
      <c r="K734" s="2" t="s">
        <v>2354</v>
      </c>
      <c r="L734" s="2" t="s">
        <v>2355</v>
      </c>
      <c r="M734" s="2" t="str">
        <f>IFERROR(__xludf.DUMMYFUNCTION("split(split(K734,""AKIRA　"",false),""公式LINE"",false)"),"子どもを産むと決心したあゆな(松岡茉優)を案じる鬼塚(AKIRA)とほなみ(比嘉愛未)。だが、大前(風見しんご)は学校の評判に関わるという理由で、産むならあゆなを退学させるという。改めて意思を確かめる鬼塚に、あゆなは自分に宿った命を守り抜くといい、子どもを育てるために学校も辞めると宣言。その覚悟を聞いた桜井(黒木瞳)に、ある思いが…。    そんな折、家出をした葛木(菊池風磨)があゆなの前に現れ、子どもと3人で暮らそうと駆け落ちを持ちかけた。だが、あゆなは「何もわかってない」と拒絶。その理由がわからず、混"&amp;"乱する葛木は鬼塚の手で家に連れ戻されてしまう。    さっそく母親の一美(床嶋佳子)と口論になった葛木は、2人の仲を認めてくれなければ死ぬと自分に刃物を向ける。そんな葛木を鬼塚は「それがてめぇの覚悟か」と一喝。銀行へ連れて行くと、あゆなと子どもとの生活のため、現金輸送車を襲って金を奪えと葛木をけしかけ、包丁を持って駆け出す!    一方、妊娠の噂は広まり、ネット上にあゆなや葛木の実名までさらされ、学校や葛木家にマスコミが押しかける事態に。PTA会長の一美は、葛木の関与をもみ消して騒動をおさめるよう学校に圧"&amp;"力をかけるが、桜井はあゆなと葛木の双方を退学処分にすると宣告。桜井の思わぬ決断に職員らも驚く中、あゆなが出血して病院に運ばれたと知らせが入り…。")</f>
        <v>子どもを産むと決心したあゆな(松岡茉優)を案じる鬼塚(AKIRA)とほなみ(比嘉愛未)。だが、大前(風見しんご)は学校の評判に関わるという理由で、産むならあゆなを退学させるという。改めて意思を確かめる鬼塚に、あゆなは自分に宿った命を守り抜くといい、子どもを育てるために学校も辞めると宣言。その覚悟を聞いた桜井(黒木瞳)に、ある思いが…。    そんな折、家出をした葛木(菊池風磨)があゆなの前に現れ、子どもと3人で暮らそうと駆け落ちを持ちかけた。だが、あゆなは「何もわかってない」と拒絶。その理由がわからず、混乱する葛木は鬼塚の手で家に連れ戻されてしまう。    さっそく母親の一美(床嶋佳子)と口論になった葛木は、2人の仲を認めてくれなければ死ぬと自分に刃物を向ける。そんな葛木を鬼塚は「それがてめぇの覚悟か」と一喝。銀行へ連れて行くと、あゆなと子どもとの生活のため、現金輸送車を襲って金を奪えと葛木をけしかけ、包丁を持って駆け出す!    一方、妊娠の噂は広まり、ネット上にあゆなや葛木の実名までさらされ、学校や葛木家にマスコミが押しかける事態に。PTA会長の一美は、葛木の関与をもみ消して騒動をおさめるよう学校に圧力をかけるが、桜井はあゆなと葛木の双方を退学処分にすると宣告。桜井の思わぬ決断に職員らも驚く中、あゆなが出血して病院に運ばれたと知らせが入り…。</v>
      </c>
      <c r="N734" s="2"/>
      <c r="O734" s="2"/>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row>
    <row r="735" ht="204.75" customHeight="1">
      <c r="A735" s="1">
        <v>2612.0</v>
      </c>
      <c r="B735" s="2" t="s">
        <v>2356</v>
      </c>
      <c r="C735" s="2">
        <f>IFERROR(__xludf.DUMMYFUNCTION("split(B735,""_"")"),1407.0)</f>
        <v>1407</v>
      </c>
      <c r="D735" s="2" t="str">
        <f>IFERROR(__xludf.DUMMYFUNCTION("""COMPUTED_VALUE"""),"CX")</f>
        <v>CX</v>
      </c>
      <c r="E735" s="2" t="str">
        <f>IFERROR(__xludf.DUMMYFUNCTION("""COMPUTED_VALUE"""),"水22")</f>
        <v>水22</v>
      </c>
      <c r="F735" s="2" t="s">
        <v>2357</v>
      </c>
      <c r="G735" s="2" t="s">
        <v>2358</v>
      </c>
      <c r="H735" s="1">
        <v>1.0</v>
      </c>
      <c r="I735" s="1" t="s">
        <v>3</v>
      </c>
      <c r="J735" s="1" t="s">
        <v>82</v>
      </c>
      <c r="K735" s="4" t="s">
        <v>2359</v>
      </c>
      <c r="L735" s="2" t="s">
        <v>2360</v>
      </c>
      <c r="M735" s="2" t="str">
        <f>IFERROR(__xludf.DUMMYFUNCTION("split(split(K735,""佐藤旭:　"",false),""公式LINE"",false)"),"佐藤旭(妻夫木聡)、ひかり(満島ひかり)、陽(柄本佑)、旦(野村周平)の兄弟は、東京・下町の年季が入った一軒家に暮らしている。4人のほかに、次男の暁(瑛太)もいるが、ある事情により家を離れていた。彼らは早くに両親を亡くしているため、長男の旭が親代わりとして兄弟たちを育ててきた。昔かたぎで頑固な旭は、お前たちを養ってきたのは自分だ、と口癖のように言うが、兄弟たちにはそれが煩わしい。  　工事現場で働く旭が昼食を買いに通う総菜店では、澤辺梓(蒼井優)が働いていた。  　長女のひかりは、大学病院の新生児集中治療"&amp;"室(NICU)で看護師として勤務していた。そこには、以前佐藤家の近くに住んでいたこともあり、兄弟が信頼している医師の新城正臣(吉岡秀隆)も勤務していた。  　大学で勉強よりも芝居に打ち込む陽は、座長として劇団を引っ張るが、自分と団員たちの熱量の違いにイライラを募らせる。  　事情により高校を中退した旦は、高校卒業の資格“高卒認定""を取るために予備校に通う日々を送る。そこには、謎めいた美少女の永原香澄(橋本愛)も通っていた。  　一方、ある場所から出てきた暁に、タバコを吸い作業着を着た屋代多香子(長澤まさ"&amp;"み)が声をかけてきた。突然、「あなたが母を殺したんだろう」と言われた暁は…。  　兄弟5人がさまざまな事情や問題を抱える佐藤家に、やがて思いも寄らない出来事が起こりーー。")</f>
        <v>佐藤旭(妻夫木聡)、ひかり(満島ひかり)、陽(柄本佑)、旦(野村周平)の兄弟は、東京・下町の年季が入った一軒家に暮らしている。4人のほかに、次男の暁(瑛太)もいるが、ある事情により家を離れていた。彼らは早くに両親を亡くしているため、長男の旭が親代わりとして兄弟たちを育ててきた。昔かたぎで頑固な旭は、お前たちを養ってきたのは自分だ、と口癖のように言うが、兄弟たちにはそれが煩わしい。  　工事現場で働く旭が昼食を買いに通う総菜店では、澤辺梓(蒼井優)が働いていた。  　長女のひかりは、大学病院の新生児集中治療室(NICU)で看護師として勤務していた。そこには、以前佐藤家の近くに住んでいたこともあり、兄弟が信頼している医師の新城正臣(吉岡秀隆)も勤務していた。  　大学で勉強よりも芝居に打ち込む陽は、座長として劇団を引っ張るが、自分と団員たちの熱量の違いにイライラを募らせる。  　事情により高校を中退した旦は、高校卒業の資格“高卒認定"を取るために予備校に通う日々を送る。そこには、謎めいた美少女の永原香澄(橋本愛)も通っていた。  　一方、ある場所から出てきた暁に、タバコを吸い作業着を着た屋代多香子(長澤まさみ)が声をかけてきた。突然、「あなたが母を殺したんだろう」と言われた暁は…。  　兄弟5人がさまざまな事情や問題を抱える佐藤家に、やがて思いも寄らない出来事が起こりーー。</v>
      </c>
      <c r="N735" s="2"/>
      <c r="O735" s="2"/>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row>
    <row r="736" ht="204.75" customHeight="1">
      <c r="A736" s="1">
        <v>2613.0</v>
      </c>
      <c r="B736" s="2" t="s">
        <v>2356</v>
      </c>
      <c r="C736" s="2">
        <f>IFERROR(__xludf.DUMMYFUNCTION("split(B736,""_"")"),1407.0)</f>
        <v>1407</v>
      </c>
      <c r="D736" s="2" t="str">
        <f>IFERROR(__xludf.DUMMYFUNCTION("""COMPUTED_VALUE"""),"CX")</f>
        <v>CX</v>
      </c>
      <c r="E736" s="2" t="str">
        <f>IFERROR(__xludf.DUMMYFUNCTION("""COMPUTED_VALUE"""),"水22")</f>
        <v>水22</v>
      </c>
      <c r="F736" s="2" t="s">
        <v>2357</v>
      </c>
      <c r="G736" s="2" t="s">
        <v>2361</v>
      </c>
      <c r="H736" s="1">
        <v>2.0</v>
      </c>
      <c r="I736" s="1" t="s">
        <v>7</v>
      </c>
      <c r="J736" s="1" t="s">
        <v>86</v>
      </c>
      <c r="K736" s="2" t="s">
        <v>2362</v>
      </c>
      <c r="L736" s="2" t="s">
        <v>2363</v>
      </c>
      <c r="M736" s="2" t="str">
        <f>IFERROR(__xludf.DUMMYFUNCTION("split(split(K736,""佐藤旭:　"",false),""公式LINE"",false)"),"出所した佐藤暁(瑛太)が戻ってきたことで、佐藤家は大混乱となる。旭(妻夫木聡)と陽(柄本佑)は同居は認めないと言い、旦(野村周平)は暁のせいで高校を中退するはめになった、と怒りをあらわにする。ひかり(満島ひかり)はそんなやりとりを見つめていた。  　そのうち陽が、問題はまるで罪を悔いている様子がない暁の態度だと指摘。それに対して暁は、陽の言う罪を悔いる様子とは何なのか、自分は2年刑務所にいて十分罪は償っている、と言い返す。すると旭が暁に、まず3000万円をだまし取った後に亡くなった屋代昌江(根岸季衣)の家"&amp;"族に謝罪に行けと命じる。しかし、暁は聞き流すと旭のへそくりを手にして家を出て行く。  　その後、屋代家を訪ねたのは旭だった。昌江の遺影の前で手を合わせた旭に、娘の多香子(長澤まさみ)は、なぜ暁が来ないのか、と文句を言う。そんな多香子と部屋を見回した旭は、ある違和感を抱く。")</f>
        <v>出所した佐藤暁(瑛太)が戻ってきたことで、佐藤家は大混乱となる。旭(妻夫木聡)と陽(柄本佑)は同居は認めないと言い、旦(野村周平)は暁のせいで高校を中退するはめになった、と怒りをあらわにする。ひかり(満島ひかり)はそんなやりとりを見つめていた。  　そのうち陽が、問題はまるで罪を悔いている様子がない暁の態度だと指摘。それに対して暁は、陽の言う罪を悔いる様子とは何なのか、自分は2年刑務所にいて十分罪は償っている、と言い返す。すると旭が暁に、まず3000万円をだまし取った後に亡くなった屋代昌江(根岸季衣)の家族に謝罪に行けと命じる。しかし、暁は聞き流すと旭のへそくりを手にして家を出て行く。  　その後、屋代家を訪ねたのは旭だった。昌江の遺影の前で手を合わせた旭に、娘の多香子(長澤まさみ)は、なぜ暁が来ないのか、と文句を言う。そんな多香子と部屋を見回した旭は、ある違和感を抱く。</v>
      </c>
      <c r="N736" s="2"/>
      <c r="O736" s="2"/>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row>
    <row r="737" ht="204.75" customHeight="1">
      <c r="A737" s="1">
        <v>2614.0</v>
      </c>
      <c r="B737" s="2" t="s">
        <v>2356</v>
      </c>
      <c r="C737" s="2">
        <f>IFERROR(__xludf.DUMMYFUNCTION("split(B737,""_"")"),1407.0)</f>
        <v>1407</v>
      </c>
      <c r="D737" s="2" t="str">
        <f>IFERROR(__xludf.DUMMYFUNCTION("""COMPUTED_VALUE"""),"CX")</f>
        <v>CX</v>
      </c>
      <c r="E737" s="2" t="str">
        <f>IFERROR(__xludf.DUMMYFUNCTION("""COMPUTED_VALUE"""),"水22")</f>
        <v>水22</v>
      </c>
      <c r="F737" s="2" t="s">
        <v>2357</v>
      </c>
      <c r="G737" s="2" t="s">
        <v>2364</v>
      </c>
      <c r="H737" s="1">
        <v>3.0</v>
      </c>
      <c r="I737" s="1" t="s">
        <v>10</v>
      </c>
      <c r="J737" s="1" t="s">
        <v>86</v>
      </c>
      <c r="K737" s="2" t="s">
        <v>2365</v>
      </c>
      <c r="L737" s="2" t="s">
        <v>2366</v>
      </c>
      <c r="M737" s="2" t="str">
        <f>IFERROR(__xludf.DUMMYFUNCTION("split(split(K737,""佐藤旭:　"",false),""公式LINE"",false)"),"佐藤家に戻った暁(瑛太)は、仕事もせず夜な夜なナンパを繰り返す自分を正当化する理由をまくし立てる。金持ちの女性と知り合い逆玉の輿を狙っていると自慢げに話す暁を、旭(妻夫木聡)は痛烈に批判。どれだけ大変でも人間は働く者なんだ、と暁の主張を退けるが、陽(柄本佑)は、我慢してまで働くのはアイデンティティーの喪失につながりかねない、などと反論する。そこにひかり(満島ひかり)や旦(野村周平)も加わり、いつものように言い争いが始まった。  　旭は、そんな弟妹たちを、社会に出ていない半人前の考えだ、と決めつけたように言"&amp;"う。すると暁が、10年前に自分がこの家を出た理由を弟妹たちに教えても同じことが言えるのか、と詰め寄り、10年前のことを謝罪するまで、旭を兄だとは認めない、と言い放つ。旭は、ならば家には来るな、と怒りをあらわにするが、暁はこの家は父親が子供たちに残してくれたものだから、当然自分にも住む権利があると言う。そんな弟に旭は…。")</f>
        <v>佐藤家に戻った暁(瑛太)は、仕事もせず夜な夜なナンパを繰り返す自分を正当化する理由をまくし立てる。金持ちの女性と知り合い逆玉の輿を狙っていると自慢げに話す暁を、旭(妻夫木聡)は痛烈に批判。どれだけ大変でも人間は働く者なんだ、と暁の主張を退けるが、陽(柄本佑)は、我慢してまで働くのはアイデンティティーの喪失につながりかねない、などと反論する。そこにひかり(満島ひかり)や旦(野村周平)も加わり、いつものように言い争いが始まった。  　旭は、そんな弟妹たちを、社会に出ていない半人前の考えだ、と決めつけたように言う。すると暁が、10年前に自分がこの家を出た理由を弟妹たちに教えても同じことが言えるのか、と詰め寄り、10年前のことを謝罪するまで、旭を兄だとは認めない、と言い放つ。旭は、ならば家には来るな、と怒りをあらわにするが、暁はこの家は父親が子供たちに残してくれたものだから、当然自分にも住む権利があると言う。そんな弟に旭は…。</v>
      </c>
      <c r="N737" s="2"/>
      <c r="O737" s="2"/>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row>
    <row r="738" ht="204.75" customHeight="1">
      <c r="A738" s="1">
        <v>2615.0</v>
      </c>
      <c r="B738" s="2" t="s">
        <v>2356</v>
      </c>
      <c r="C738" s="2">
        <f>IFERROR(__xludf.DUMMYFUNCTION("split(B738,""_"")"),1407.0)</f>
        <v>1407</v>
      </c>
      <c r="D738" s="2" t="str">
        <f>IFERROR(__xludf.DUMMYFUNCTION("""COMPUTED_VALUE"""),"CX")</f>
        <v>CX</v>
      </c>
      <c r="E738" s="2" t="str">
        <f>IFERROR(__xludf.DUMMYFUNCTION("""COMPUTED_VALUE"""),"水22")</f>
        <v>水22</v>
      </c>
      <c r="F738" s="2" t="s">
        <v>2357</v>
      </c>
      <c r="G738" s="2" t="s">
        <v>2367</v>
      </c>
      <c r="H738" s="1">
        <v>4.0</v>
      </c>
      <c r="I738" s="1" t="s">
        <v>14</v>
      </c>
      <c r="J738" s="1" t="s">
        <v>82</v>
      </c>
      <c r="K738" s="2" t="s">
        <v>2368</v>
      </c>
      <c r="L738" s="2" t="s">
        <v>2369</v>
      </c>
      <c r="M738" s="2" t="str">
        <f>IFERROR(__xludf.DUMMYFUNCTION("split(split(K738,""佐藤旭:　"",false),""公式LINE"",false)"),"佐藤旭(妻夫木聡)と澤辺梓(蒼井優)は暁(瑛太)ら弟妹に見守られながら、婚姻届けにサインをした。  　1カ月後、陽(柄本佑)が演出を手がける舞台「飛龍伝」のチケットとチラシが出来上がってきた。しかし、旭は苦しい家計を助けるために芝居など辞めて就職しろ、と文句を言う。自分の就職が決まらないから、夢を諦めろというのは筋違いだ、と言い返す陽に、暁もひかり(満島ひかり)も旦(野村周平)も賛同する。　そんななか、劇団の資金30万円を劇団員の斉藤昌伸(小久保寿人)が持ち逃げするという事件が起こる。舞台の上演のために必"&amp;"要な経費がなくなり、陽たちは途方に暮れるが、今や女優として芝居に打ち込む永原香澄(橋本愛)は、斉藤を探そう、と諦めない。  　病院にいたひかりは、同僚の内海弘喜(馬場徹)から新城正臣(吉岡秀隆)が不倫をしているらしいと聞きドキリとするが、その証拠だと言って新城のデスクから取り出した写真には自分ではない女性が写っていた。ひかりはそこに書かれた「キッカワミズキ」という名前が気にかかる。  　斉藤が見つからず、資金繰りに苦労し劇団の統制も失われた陽は舞台の中止を決める。弟妹たちは仕方がないと励ますが、それを聞い"&amp;"た旭は、お前に覚悟がないからこうなったのだと怒り、舞台を上演しろ、と命じる。しなければ家から出て行け、と怒る旭に、弟妹たちはあ然とする。")</f>
        <v>佐藤旭(妻夫木聡)と澤辺梓(蒼井優)は暁(瑛太)ら弟妹に見守られながら、婚姻届けにサインをした。  　1カ月後、陽(柄本佑)が演出を手がける舞台「飛龍伝」のチケットとチラシが出来上がってきた。しかし、旭は苦しい家計を助けるために芝居など辞めて就職しろ、と文句を言う。自分の就職が決まらないから、夢を諦めろというのは筋違いだ、と言い返す陽に、暁もひかり(満島ひかり)も旦(野村周平)も賛同する。　そんななか、劇団の資金30万円を劇団員の斉藤昌伸(小久保寿人)が持ち逃げするという事件が起こる。舞台の上演のために必要な経費がなくなり、陽たちは途方に暮れるが、今や女優として芝居に打ち込む永原香澄(橋本愛)は、斉藤を探そう、と諦めない。  　病院にいたひかりは、同僚の内海弘喜(馬場徹)から新城正臣(吉岡秀隆)が不倫をしているらしいと聞きドキリとするが、その証拠だと言って新城のデスクから取り出した写真には自分ではない女性が写っていた。ひかりはそこに書かれた「キッカワミズキ」という名前が気にかかる。  　斉藤が見つからず、資金繰りに苦労し劇団の統制も失われた陽は舞台の中止を決める。弟妹たちは仕方がないと励ますが、それを聞いた旭は、お前に覚悟がないからこうなったのだと怒り、舞台を上演しろ、と命じる。しなければ家から出て行け、と怒る旭に、弟妹たちはあ然とする。</v>
      </c>
      <c r="N738" s="2"/>
      <c r="O738" s="2"/>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row>
    <row r="739" ht="204.75" customHeight="1">
      <c r="A739" s="1">
        <v>2616.0</v>
      </c>
      <c r="B739" s="2" t="s">
        <v>2356</v>
      </c>
      <c r="C739" s="2">
        <f>IFERROR(__xludf.DUMMYFUNCTION("split(B739,""_"")"),1407.0)</f>
        <v>1407</v>
      </c>
      <c r="D739" s="2" t="str">
        <f>IFERROR(__xludf.DUMMYFUNCTION("""COMPUTED_VALUE"""),"CX")</f>
        <v>CX</v>
      </c>
      <c r="E739" s="2" t="str">
        <f>IFERROR(__xludf.DUMMYFUNCTION("""COMPUTED_VALUE"""),"水22")</f>
        <v>水22</v>
      </c>
      <c r="F739" s="2" t="s">
        <v>2357</v>
      </c>
      <c r="G739" s="2" t="s">
        <v>2370</v>
      </c>
      <c r="H739" s="1">
        <v>5.0</v>
      </c>
      <c r="I739" s="1" t="s">
        <v>17</v>
      </c>
      <c r="J739" s="1" t="s">
        <v>82</v>
      </c>
      <c r="K739" s="2" t="s">
        <v>2371</v>
      </c>
      <c r="L739" s="2" t="s">
        <v>2372</v>
      </c>
      <c r="M739" s="2" t="str">
        <f>IFERROR(__xludf.DUMMYFUNCTION("split(split(K739,""佐藤旭:　"",false),""公式LINE"",false)"),"家の前で倒れていた妻・梓(蒼井優)を慌てて救急病院に連れて行く旭(妻夫木聡)。医師の診断によると前置胎盤による貧血だという。旭は、お腹の子が早産の超低出生体重児の可能性があると聞いて焦るが、普通に出産できるケースもあると聞いてひとまず安心する。  　医者の言葉にすっかり安心して、早産についても前向きに考えるようになった旭に対し、そんな軽く考えるな、と激怒するひかり(満島ひかり)。旭がどれほど兄弟たちの「親代わり」となってきたか言い張るうちに、兄弟の間で「本当の親とはなにか」について、相変わらずの言い合いと"&amp;"なる。  　転院した赤ん坊を引き連れ、改めて新城正臣(吉岡秀隆)のもとで診てもらいたいと訪ねてくる仲川志保(中村優子)。以前からひかりが作っていた赤ん坊のアルバムを見せると、「育てる自信がないんです。…産まなきゃよかった…」と思わず漏らす。　その頃、陽(柄本佑)と永原香澄(橋本愛)は初公演の成功を祝って劇団員たちと飲んでいた。そこへやってきた旦(野村周平)は、香澄を呼ぶと、勇気を振り絞って「つきあってほしい」と告白する。そこへ陽がやってきて、香澄は…。")</f>
        <v>家の前で倒れていた妻・梓(蒼井優)を慌てて救急病院に連れて行く旭(妻夫木聡)。医師の診断によると前置胎盤による貧血だという。旭は、お腹の子が早産の超低出生体重児の可能性があると聞いて焦るが、普通に出産できるケースもあると聞いてひとまず安心する。  　医者の言葉にすっかり安心して、早産についても前向きに考えるようになった旭に対し、そんな軽く考えるな、と激怒するひかり(満島ひかり)。旭がどれほど兄弟たちの「親代わり」となってきたか言い張るうちに、兄弟の間で「本当の親とはなにか」について、相変わらずの言い合いとなる。  　転院した赤ん坊を引き連れ、改めて新城正臣(吉岡秀隆)のもとで診てもらいたいと訪ねてくる仲川志保(中村優子)。以前からひかりが作っていた赤ん坊のアルバムを見せると、「育てる自信がないんです。…産まなきゃよかった…」と思わず漏らす。　その頃、陽(柄本佑)と永原香澄(橋本愛)は初公演の成功を祝って劇団員たちと飲んでいた。そこへやってきた旦(野村周平)は、香澄を呼ぶと、勇気を振り絞って「つきあってほしい」と告白する。そこへ陽がやってきて、香澄は…。</v>
      </c>
      <c r="N739" s="2"/>
      <c r="O739" s="2"/>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row>
    <row r="740" ht="204.75" customHeight="1">
      <c r="A740" s="1">
        <v>2617.0</v>
      </c>
      <c r="B740" s="2" t="s">
        <v>2356</v>
      </c>
      <c r="C740" s="2">
        <f>IFERROR(__xludf.DUMMYFUNCTION("split(B740,""_"")"),1407.0)</f>
        <v>1407</v>
      </c>
      <c r="D740" s="2" t="str">
        <f>IFERROR(__xludf.DUMMYFUNCTION("""COMPUTED_VALUE"""),"CX")</f>
        <v>CX</v>
      </c>
      <c r="E740" s="2" t="str">
        <f>IFERROR(__xludf.DUMMYFUNCTION("""COMPUTED_VALUE"""),"水22")</f>
        <v>水22</v>
      </c>
      <c r="F740" s="2" t="s">
        <v>2357</v>
      </c>
      <c r="G740" s="2" t="s">
        <v>2373</v>
      </c>
      <c r="H740" s="1">
        <v>6.0</v>
      </c>
      <c r="I740" s="1" t="s">
        <v>21</v>
      </c>
      <c r="J740" s="1" t="s">
        <v>82</v>
      </c>
      <c r="K740" s="2" t="s">
        <v>2374</v>
      </c>
      <c r="L740" s="2" t="s">
        <v>2375</v>
      </c>
      <c r="M740" s="2" t="str">
        <f>IFERROR(__xludf.DUMMYFUNCTION("split(split(K740,""佐藤旭:　"",false),""公式LINE"",false)"),"「女子バレーボールワールドグランプリ2014日本×ロシア」延長の際、放送時間繰り下げの場合あり。　永原香澄(橋本愛)と付き合うことになった佐藤旦(野村周平)は浮かれまくる。それを見た陽(柄本佑)は、受験でつまずかなければいいが、と皮肉を言う。  　ひかり(満島ひかり)は、新城正臣(吉岡秀隆)からリサ・ローブのライブに誘われる。リサ・ローブは新城が学生時代から好きだったシンガー・ソングライターだという。嬉しいひかりは、大量のCDを買い込んで予習を始める。旭(妻夫木聡)は、そんなひかりを黙認する。　同じ頃、屋"&amp;"代多香子(長澤まさみ)の家の倉庫でギターを見つけた暁(瑛太)は、それをつま弾く。そこへ来た多香子は、ギターを弾くのも見るのもつらいから捨ててくれ、と頼む。暁がひかりの影響で最近ずっと聴いていたリサ・ローブの曲を弾くと、多香子は彼女の曲を聴いてギターを始めたのだ、と明かした。  　ライブ当日、会場には「チケット譲ってください」と書かれたボードを持った暁がいた。チケットを取っていないにも関わらず、多香子が行きたいと言い出したのだ。そこへ遅れて多香子がやってくる。ライブ用にドレスアップした彼女に暁は目を奪われる"&amp;"。さらに、ひかりと新城もやってくる。そこで新城の携帯が鳴った。相手は妻の美穂(斉藤由貴)で、新城のマンションにいて、そばには旭もいると言う。後で連絡すると言うと、新城はチケットをひかりに渡してその場を去る。それを見送るしかないひかり。暁はひかりが手にしたチケットを取り上げ…。")</f>
        <v>「女子バレーボールワールドグランプリ2014日本×ロシア」延長の際、放送時間繰り下げの場合あり。　永原香澄(橋本愛)と付き合うことになった佐藤旦(野村周平)は浮かれまくる。それを見た陽(柄本佑)は、受験でつまずかなければいいが、と皮肉を言う。  　ひかり(満島ひかり)は、新城正臣(吉岡秀隆)からリサ・ローブのライブに誘われる。リサ・ローブは新城が学生時代から好きだったシンガー・ソングライターだという。嬉しいひかりは、大量のCDを買い込んで予習を始める。旭(妻夫木聡)は、そんなひかりを黙認する。　同じ頃、屋代多香子(長澤まさみ)の家の倉庫でギターを見つけた暁(瑛太)は、それをつま弾く。そこへ来た多香子は、ギターを弾くのも見るのもつらいから捨ててくれ、と頼む。暁がひかりの影響で最近ずっと聴いていたリサ・ローブの曲を弾くと、多香子は彼女の曲を聴いてギターを始めたのだ、と明かした。  　ライブ当日、会場には「チケット譲ってください」と書かれたボードを持った暁がいた。チケットを取っていないにも関わらず、多香子が行きたいと言い出したのだ。そこへ遅れて多香子がやってくる。ライブ用にドレスアップした彼女に暁は目を奪われる。さらに、ひかりと新城もやってくる。そこで新城の携帯が鳴った。相手は妻の美穂(斉藤由貴)で、新城のマンションにいて、そばには旭もいると言う。後で連絡すると言うと、新城はチケットをひかりに渡してその場を去る。それを見送るしかないひかり。暁はひかりが手にしたチケットを取り上げ…。</v>
      </c>
      <c r="N740" s="2"/>
      <c r="O740" s="2"/>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row>
    <row r="741" ht="204.75" customHeight="1">
      <c r="A741" s="1">
        <v>2618.0</v>
      </c>
      <c r="B741" s="2" t="s">
        <v>2356</v>
      </c>
      <c r="C741" s="2">
        <f>IFERROR(__xludf.DUMMYFUNCTION("split(B741,""_"")"),1407.0)</f>
        <v>1407</v>
      </c>
      <c r="D741" s="2" t="str">
        <f>IFERROR(__xludf.DUMMYFUNCTION("""COMPUTED_VALUE"""),"CX")</f>
        <v>CX</v>
      </c>
      <c r="E741" s="2" t="str">
        <f>IFERROR(__xludf.DUMMYFUNCTION("""COMPUTED_VALUE"""),"水22")</f>
        <v>水22</v>
      </c>
      <c r="F741" s="2" t="s">
        <v>2357</v>
      </c>
      <c r="G741" s="2" t="s">
        <v>2376</v>
      </c>
      <c r="H741" s="1">
        <v>7.0</v>
      </c>
      <c r="I741" s="1" t="s">
        <v>25</v>
      </c>
      <c r="J741" s="1" t="s">
        <v>86</v>
      </c>
      <c r="K741" s="2" t="s">
        <v>2377</v>
      </c>
      <c r="L741" s="2" t="s">
        <v>2378</v>
      </c>
      <c r="M741" s="2" t="str">
        <f>IFERROR(__xludf.DUMMYFUNCTION("split(split(K741,""佐藤旭:　"",false),""公式LINE"",false)"),"ある朝、旭(妻夫木聡)と梓(蒼井優)は、子供に付ける名前をめぐって口論していた。旭のアイデアにあきれた梓は、旭ら兄弟のように「太陽」をイメージした名前にしてみては、と提案。旭は、旭と梓のように「あ」から始まって、太陽をイメージする名前を考え始める。  　その頃、旦(野村周平)は、陽(柄本佑)がしていたバングルが香澄(橋本愛)のものと同じだと気づき、ショックを受ける。  　一方、新城(吉岡秀隆)からメールを受け取ったひかり(満島ひかり)は、大事な話があるので今夜会いたい、という文面に、よくない話を切り出され"&amp;"るのではと不安に陥る。そんな中、朝食当番である暁(瑛太)は、朝食にカップ麺を用意。暁の無精に激怒する旭。  　夜になり、ひかりは新城と会う。行き場を失った2人の関係に、ひかりは…。  　翌朝、旭の出勤後に、梓がやってくる。洗濯物を片付けようと旭の部屋にあがった梓に、ひかりが声をかけるが、反応がない。ひかりが部屋をのぞくと、梓が倒れていた。救急車を手配し、自分が勤める病院へ梓を連れていくひかり。慌てて駆けつけた旭は、帝王切開の手術が行われると聞かされ…。")</f>
        <v>ある朝、旭(妻夫木聡)と梓(蒼井優)は、子供に付ける名前をめぐって口論していた。旭のアイデアにあきれた梓は、旭ら兄弟のように「太陽」をイメージした名前にしてみては、と提案。旭は、旭と梓のように「あ」から始まって、太陽をイメージする名前を考え始める。  　その頃、旦(野村周平)は、陽(柄本佑)がしていたバングルが香澄(橋本愛)のものと同じだと気づき、ショックを受ける。  　一方、新城(吉岡秀隆)からメールを受け取ったひかり(満島ひかり)は、大事な話があるので今夜会いたい、という文面に、よくない話を切り出されるのではと不安に陥る。そんな中、朝食当番である暁(瑛太)は、朝食にカップ麺を用意。暁の無精に激怒する旭。  　夜になり、ひかりは新城と会う。行き場を失った2人の関係に、ひかりは…。  　翌朝、旭の出勤後に、梓がやってくる。洗濯物を片付けようと旭の部屋にあがった梓に、ひかりが声をかけるが、反応がない。ひかりが部屋をのぞくと、梓が倒れていた。救急車を手配し、自分が勤める病院へ梓を連れていくひかり。慌てて駆けつけた旭は、帝王切開の手術が行われると聞かされ…。</v>
      </c>
      <c r="N741" s="2"/>
      <c r="O741" s="2"/>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row>
    <row r="742" ht="204.75" customHeight="1">
      <c r="A742" s="1">
        <v>2619.0</v>
      </c>
      <c r="B742" s="2" t="s">
        <v>2356</v>
      </c>
      <c r="C742" s="2">
        <f>IFERROR(__xludf.DUMMYFUNCTION("split(B742,""_"")"),1407.0)</f>
        <v>1407</v>
      </c>
      <c r="D742" s="2" t="str">
        <f>IFERROR(__xludf.DUMMYFUNCTION("""COMPUTED_VALUE"""),"CX")</f>
        <v>CX</v>
      </c>
      <c r="E742" s="2" t="str">
        <f>IFERROR(__xludf.DUMMYFUNCTION("""COMPUTED_VALUE"""),"水22")</f>
        <v>水22</v>
      </c>
      <c r="F742" s="2" t="s">
        <v>2357</v>
      </c>
      <c r="G742" s="2" t="s">
        <v>2379</v>
      </c>
      <c r="H742" s="1">
        <v>8.0</v>
      </c>
      <c r="I742" s="1" t="s">
        <v>29</v>
      </c>
      <c r="J742" s="1" t="s">
        <v>86</v>
      </c>
      <c r="K742" s="2" t="s">
        <v>2380</v>
      </c>
      <c r="L742" s="2" t="s">
        <v>2381</v>
      </c>
      <c r="M742" s="2" t="str">
        <f>IFERROR(__xludf.DUMMYFUNCTION("split(split(K742,""佐藤旭:　"",false),""公式LINE"",false)"),"佐藤旭(妻夫木聡)は、娘・あかりの容態が安定したことに安堵する。嬉しくてあかりにあれこれ話しかける旭を、梓(蒼井優)はほほ笑ましく見る。  　そんな折、香澄(橋本愛)の裸の画像がインターネット上に流出するという事件が起こる。陽(柄本佑)に事情を聞かれた香澄は、旦(野村周平)の携帯カメラで撮ったものだと明かした。  　陽が問いただすと、旦はそれを認め、1枚載せたくらいじゃ誰も気付かない、と開き直る。その態度に怒りが爆発した陽は、自分のやったことの意味が分かっているのか、と旦を責め立てる。  　画像はすでに香"&amp;"澄の学校でも話題となっていて、香澄は追い込まれる。芝居の稽古を休んだ香澄を心配して陽が自宅を訪ねると、香澄は部屋に閉じこもっているという。  　陽から事情を聞いた旭が血相を変えて自宅に戻ってきた。そんな旭にひかり(満島ひかり)は、旦は追い詰められたら何をするかわからないから、叱る前に話し合おうと提案。何をするのか、と聞いた暁(瑛太)に、陽は旦が高校を退学するきっかけになったある出来事を話す。  　押し入れに閉じこもる旦を引っ張り出した旭は、香澄の自宅に連れていく。応対した父(鶴見辰吾)と母(山下容莉枝)の"&amp;"後ろから、香澄が現れた。")</f>
        <v>佐藤旭(妻夫木聡)は、娘・あかりの容態が安定したことに安堵する。嬉しくてあかりにあれこれ話しかける旭を、梓(蒼井優)はほほ笑ましく見る。  　そんな折、香澄(橋本愛)の裸の画像がインターネット上に流出するという事件が起こる。陽(柄本佑)に事情を聞かれた香澄は、旦(野村周平)の携帯カメラで撮ったものだと明かした。  　陽が問いただすと、旦はそれを認め、1枚載せたくらいじゃ誰も気付かない、と開き直る。その態度に怒りが爆発した陽は、自分のやったことの意味が分かっているのか、と旦を責め立てる。  　画像はすでに香澄の学校でも話題となっていて、香澄は追い込まれる。芝居の稽古を休んだ香澄を心配して陽が自宅を訪ねると、香澄は部屋に閉じこもっているという。  　陽から事情を聞いた旭が血相を変えて自宅に戻ってきた。そんな旭にひかり(満島ひかり)は、旦は追い詰められたら何をするかわからないから、叱る前に話し合おうと提案。何をするのか、と聞いた暁(瑛太)に、陽は旦が高校を退学するきっかけになったある出来事を話す。  　押し入れに閉じこもる旦を引っ張り出した旭は、香澄の自宅に連れていく。応対した父(鶴見辰吾)と母(山下容莉枝)の後ろから、香澄が現れた。</v>
      </c>
      <c r="N742" s="2"/>
      <c r="O742" s="2"/>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row>
    <row r="743" ht="204.75" customHeight="1">
      <c r="A743" s="1">
        <v>2620.0</v>
      </c>
      <c r="B743" s="2" t="s">
        <v>2356</v>
      </c>
      <c r="C743" s="2">
        <f>IFERROR(__xludf.DUMMYFUNCTION("split(B743,""_"")"),1407.0)</f>
        <v>1407</v>
      </c>
      <c r="D743" s="2" t="str">
        <f>IFERROR(__xludf.DUMMYFUNCTION("""COMPUTED_VALUE"""),"CX")</f>
        <v>CX</v>
      </c>
      <c r="E743" s="2" t="str">
        <f>IFERROR(__xludf.DUMMYFUNCTION("""COMPUTED_VALUE"""),"水22")</f>
        <v>水22</v>
      </c>
      <c r="F743" s="2" t="s">
        <v>2357</v>
      </c>
      <c r="G743" s="2" t="s">
        <v>2382</v>
      </c>
      <c r="H743" s="1">
        <v>9.0</v>
      </c>
      <c r="I743" s="1" t="s">
        <v>33</v>
      </c>
      <c r="J743" s="1" t="s">
        <v>86</v>
      </c>
      <c r="K743" s="2" t="s">
        <v>2383</v>
      </c>
      <c r="L743" s="2" t="s">
        <v>2384</v>
      </c>
      <c r="M743" s="2" t="str">
        <f>IFERROR(__xludf.DUMMYFUNCTION("split(split(K743,""佐藤旭:　"",false),""公式LINE"",false)"),"暁(瑛太)は、最近、多香子(長澤まさみ)が携帯メールを受け取る度に顔を曇らせていることが気にかかる。  　そんな折、暁が自宅に戻ると顔を腫らした旭(妻夫木聡)が、梓(蒼井優)に手当てをしてもらっていた。警備の仕事中、手を出してきた客と殴り合いになったのだという。  　別の日、旭と梓は新城(吉岡秀隆)からあかりの容態について説明を受けていた。気道が炎症を起こしているものの深刻な状況ではないと言われるが、梓は不安が晴れない。そんなふたりを、ひかり(満島ひかり)が見ていた。  　一方、暁と多香子が農作業を終えた"&amp;"頃、多香子の携帯に「土居正登」という人物から着信があった。暁は、電話に出ずおびえる多香子に、メールの送り主と同じか、と尋ねる。多香子は、土居(鈴木一真)は著名な音楽プロデューサーで以前接点があったのだ、と答える。  　同じ頃、自宅で台本の直しをしていた陽(柄本佑)は、旦(野村周平)に書き直したせりふの感想を聞く。旦は、自分のせいで香澄(橋本愛)が劇団を辞めざるを得なくなったことを謝る。  　その頃、旭は夕食の支度をしていた梓に買い物を頼まれ家を出る。旭に付き合った暁は、コンビニの雑誌コーナーで土居が特集さ"&amp;"れた雑誌を見つける。  　ふたりが自宅に戻ると、ひかり、陽、旦、梓が食事を始めていた。多香子の不在に気づいた暁が聞くと、電話をしに行ったという。嫌な予感がした暁は…。")</f>
        <v>暁(瑛太)は、最近、多香子(長澤まさみ)が携帯メールを受け取る度に顔を曇らせていることが気にかかる。  　そんな折、暁が自宅に戻ると顔を腫らした旭(妻夫木聡)が、梓(蒼井優)に手当てをしてもらっていた。警備の仕事中、手を出してきた客と殴り合いになったのだという。  　別の日、旭と梓は新城(吉岡秀隆)からあかりの容態について説明を受けていた。気道が炎症を起こしているものの深刻な状況ではないと言われるが、梓は不安が晴れない。そんなふたりを、ひかり(満島ひかり)が見ていた。  　一方、暁と多香子が農作業を終えた頃、多香子の携帯に「土居正登」という人物から着信があった。暁は、電話に出ずおびえる多香子に、メールの送り主と同じか、と尋ねる。多香子は、土居(鈴木一真)は著名な音楽プロデューサーで以前接点があったのだ、と答える。  　同じ頃、自宅で台本の直しをしていた陽(柄本佑)は、旦(野村周平)に書き直したせりふの感想を聞く。旦は、自分のせいで香澄(橋本愛)が劇団を辞めざるを得なくなったことを謝る。  　その頃、旭は夕食の支度をしていた梓に買い物を頼まれ家を出る。旭に付き合った暁は、コンビニの雑誌コーナーで土居が特集された雑誌を見つける。  　ふたりが自宅に戻ると、ひかり、陽、旦、梓が食事を始めていた。多香子の不在に気づいた暁が聞くと、電話をしに行ったという。嫌な予感がした暁は…。</v>
      </c>
      <c r="N743" s="2"/>
      <c r="O743" s="2"/>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row>
    <row r="744" ht="204.75" customHeight="1">
      <c r="A744" s="1">
        <v>2621.0</v>
      </c>
      <c r="B744" s="2" t="s">
        <v>2356</v>
      </c>
      <c r="C744" s="2">
        <f>IFERROR(__xludf.DUMMYFUNCTION("split(B744,""_"")"),1407.0)</f>
        <v>1407</v>
      </c>
      <c r="D744" s="2" t="str">
        <f>IFERROR(__xludf.DUMMYFUNCTION("""COMPUTED_VALUE"""),"CX")</f>
        <v>CX</v>
      </c>
      <c r="E744" s="2" t="str">
        <f>IFERROR(__xludf.DUMMYFUNCTION("""COMPUTED_VALUE"""),"水22")</f>
        <v>水22</v>
      </c>
      <c r="F744" s="2" t="s">
        <v>2357</v>
      </c>
      <c r="G744" s="2" t="s">
        <v>2385</v>
      </c>
      <c r="H744" s="1">
        <v>10.0</v>
      </c>
      <c r="I744" s="1" t="s">
        <v>37</v>
      </c>
      <c r="J744" s="1" t="s">
        <v>86</v>
      </c>
      <c r="K744" s="2" t="s">
        <v>2386</v>
      </c>
      <c r="L744" s="2" t="s">
        <v>2387</v>
      </c>
      <c r="M744" s="2" t="str">
        <f>IFERROR(__xludf.DUMMYFUNCTION("split(split(K744,""佐藤旭:　"",false),""公式LINE"",false)"),"旭(妻夫木聡)は、ひかり(満島ひかり)や梓(蒼井優)が見守る中、容態の安定したあかりを抱き上げて男泣きする。  　1カ月後、佐藤家のリビングで旭がはしゃいでいた。そろそろあかりの退院が決まる頃だが、そこへ新城(吉岡秀隆)から呼び出しがあったため、これは間違いない、と言うのだ。暁(瑛太)らはいぶかしがるが、旭は聞く耳を持たない。  　その後、梓とともに病院を訪ねた旭に、新城はあかりの精密検査の結果を伝える。  　夕方、陽(柄本佑)と旦(野村周平)は、旭が寿司を買って帰ってくるのを待っていたが、帰宅したのはひ"&amp;"かりだった。ひかりは、兄弟たちにあかりの検査結果について話した。そこへ、寿司を手にした旭と梓が帰ってくる。  　そんな頃、新城に、ある大学病院の教授職への推薦話が舞い込む。上司からそれを伝えられた新城は、少し考えさせてほしいと頼む。  　同じ頃、意を決して学校へやってきた香澄(橋本愛)は、同級生に声を掛けられる。明るいその態度に安堵(あんど)したのもつかの間、香澄の机のなかから裸の画像のコピーが出てくる。  　一方、仕事場にいた旭にひかりから電話がかかってくる。搾乳に来るはずの梓が病院に来ていないという。"&amp;"それを聞いた旭は…。")</f>
        <v>旭(妻夫木聡)は、ひかり(満島ひかり)や梓(蒼井優)が見守る中、容態の安定したあかりを抱き上げて男泣きする。  　1カ月後、佐藤家のリビングで旭がはしゃいでいた。そろそろあかりの退院が決まる頃だが、そこへ新城(吉岡秀隆)から呼び出しがあったため、これは間違いない、と言うのだ。暁(瑛太)らはいぶかしがるが、旭は聞く耳を持たない。  　その後、梓とともに病院を訪ねた旭に、新城はあかりの精密検査の結果を伝える。  　夕方、陽(柄本佑)と旦(野村周平)は、旭が寿司を買って帰ってくるのを待っていたが、帰宅したのはひかりだった。ひかりは、兄弟たちにあかりの検査結果について話した。そこへ、寿司を手にした旭と梓が帰ってくる。  　そんな頃、新城に、ある大学病院の教授職への推薦話が舞い込む。上司からそれを伝えられた新城は、少し考えさせてほしいと頼む。  　同じ頃、意を決して学校へやってきた香澄(橋本愛)は、同級生に声を掛けられる。明るいその態度に安堵(あんど)したのもつかの間、香澄の机のなかから裸の画像のコピーが出てくる。  　一方、仕事場にいた旭にひかりから電話がかかってくる。搾乳に来るはずの梓が病院に来ていないという。それを聞いた旭は…。</v>
      </c>
      <c r="N744" s="2"/>
      <c r="O744" s="2"/>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row>
    <row r="745" ht="204.75" customHeight="1">
      <c r="A745" s="1">
        <v>2622.0</v>
      </c>
      <c r="B745" s="2" t="s">
        <v>2356</v>
      </c>
      <c r="C745" s="2">
        <f>IFERROR(__xludf.DUMMYFUNCTION("split(B745,""_"")"),1407.0)</f>
        <v>1407</v>
      </c>
      <c r="D745" s="2" t="str">
        <f>IFERROR(__xludf.DUMMYFUNCTION("""COMPUTED_VALUE"""),"CX")</f>
        <v>CX</v>
      </c>
      <c r="E745" s="2" t="str">
        <f>IFERROR(__xludf.DUMMYFUNCTION("""COMPUTED_VALUE"""),"水22")</f>
        <v>水22</v>
      </c>
      <c r="F745" s="2" t="s">
        <v>2357</v>
      </c>
      <c r="G745" s="2" t="s">
        <v>2388</v>
      </c>
      <c r="H745" s="1">
        <v>11.0</v>
      </c>
      <c r="I745" s="1" t="s">
        <v>41</v>
      </c>
      <c r="J745" s="1" t="s">
        <v>86</v>
      </c>
      <c r="K745" s="2" t="s">
        <v>2389</v>
      </c>
      <c r="L745" s="2" t="s">
        <v>2390</v>
      </c>
      <c r="M745" s="2" t="str">
        <f>IFERROR(__xludf.DUMMYFUNCTION("split(split(K745,""佐藤旭:　"",false),""公式LINE"",false)"),"多香子(長澤まさみ)から、佐藤家の土地に買い手が付いたと聞かされた旭(妻夫木聡)は、土地を手放す決心をする。その決断に暁(瑛太)らは猛反発するが、旭は自分が売ると言ったら売るんだ、と譲らない。  　その後、梓(蒼井優)とともに病院に行った旭は、そこで会った新城(吉岡秀隆)に土地の話をする。新たな一歩を踏み出すために売るんだろう、と新城は旭の心情を察する。  　同じ頃、劇団の稽古場に向かって歩いていた陽(柄本佑)と旦(野村周平)は、自分たちの将来の不安を口にする。そんななか、稽古場の扉を開けると、そこに香澄"&amp;"(橋本愛)がいた。  　暁は多香子とともに、多香子の兄・正一(小林高鹿)に会いに行き、土地の権利書の返却を頼むが断られる。証券マンの正一は、土地を売った金の使い道はすでに決まっているため、その代わりになる金がなければ無理だと言う。暁は、自分が多香子の母から奪った3000万円が手つかずだと切り出した。  　そんな夜、旭は、ひかり(満島ひかり)、陽、旦に、土地を売ることは自分たちが旅立つきっかけになる、と話していた。そこへ、暁が帰ってきて3000万円のことを明かした。旭が、金があるなら今すぐに持ってこい、と言"&amp;"うと、暁はシャベルを持って家を出ていく。そのあとを旭が付いて来て…。")</f>
        <v>多香子(長澤まさみ)から、佐藤家の土地に買い手が付いたと聞かされた旭(妻夫木聡)は、土地を手放す決心をする。その決断に暁(瑛太)らは猛反発するが、旭は自分が売ると言ったら売るんだ、と譲らない。  　その後、梓(蒼井優)とともに病院に行った旭は、そこで会った新城(吉岡秀隆)に土地の話をする。新たな一歩を踏み出すために売るんだろう、と新城は旭の心情を察する。  　同じ頃、劇団の稽古場に向かって歩いていた陽(柄本佑)と旦(野村周平)は、自分たちの将来の不安を口にする。そんななか、稽古場の扉を開けると、そこに香澄(橋本愛)がいた。  　暁は多香子とともに、多香子の兄・正一(小林高鹿)に会いに行き、土地の権利書の返却を頼むが断られる。証券マンの正一は、土地を売った金の使い道はすでに決まっているため、その代わりになる金がなければ無理だと言う。暁は、自分が多香子の母から奪った3000万円が手つかずだと切り出した。  　そんな夜、旭は、ひかり(満島ひかり)、陽、旦に、土地を売ることは自分たちが旅立つきっかけになる、と話していた。そこへ、暁が帰ってきて3000万円のことを明かした。旭が、金があるなら今すぐに持ってこい、と言うと、暁はシャベルを持って家を出ていく。そのあとを旭が付いて来て…。</v>
      </c>
      <c r="N745" s="2"/>
      <c r="O745" s="2"/>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row>
    <row r="746" ht="204.75" customHeight="1">
      <c r="A746" s="1">
        <v>2649.0</v>
      </c>
      <c r="B746" s="2" t="s">
        <v>2391</v>
      </c>
      <c r="C746" s="2">
        <f>IFERROR(__xludf.DUMMYFUNCTION("split(B746,""_"")"),1407.0)</f>
        <v>1407</v>
      </c>
      <c r="D746" s="2" t="str">
        <f>IFERROR(__xludf.DUMMYFUNCTION("""COMPUTED_VALUE"""),"CX")</f>
        <v>CX</v>
      </c>
      <c r="E746" s="2" t="str">
        <f>IFERROR(__xludf.DUMMYFUNCTION("""COMPUTED_VALUE"""),"木22")</f>
        <v>木22</v>
      </c>
      <c r="F746" s="2" t="s">
        <v>2392</v>
      </c>
      <c r="G746" s="2" t="s">
        <v>2393</v>
      </c>
      <c r="H746" s="1">
        <v>1.0</v>
      </c>
      <c r="I746" s="1" t="s">
        <v>3</v>
      </c>
      <c r="J746" s="1" t="s">
        <v>82</v>
      </c>
      <c r="K746" s="4" t="s">
        <v>2394</v>
      </c>
      <c r="L746" s="2" t="s">
        <v>2395</v>
      </c>
      <c r="M746" s="2" t="str">
        <f>IFERROR(__xludf.DUMMYFUNCTION("split(split(K746,""笹本紗和:　"",false),""公式LINE"",false)"),"笹本紗和(上戸彩)は、結婚5年目の主婦。家具メーカーに勤務する夫・俊介(鈴木浩介)と平凡ながら幸せな日々を送っている。ある日、スーパーのパートを終えた紗和は、客として店に来ていた滝川利佳子(吉瀬美智子)から不倫のアリバイ作りへの協力を頼まれる。利佳子は最近この街に引っ越してきたばかりで、大手出版社の女性誌編集長をしている夫の徹(木下ほうか)、ふたりの娘と新築の一軒家で裕福な暮らしをしている。だが、実は彼女は、平日の昼間に不倫を繰り返している、いわゆる“平日昼顔妻""だった。この日も萩原智也(淵上泰史)と不"&amp;"倫をしていた利佳子は、スーパーの駐車場で車上荒らしに遭ってしまい、とっさに紗和を利用したのだ。利佳子にある弱みを握られていた紗和は、警察の事情聴取で、利佳子とは友人で仕事の後に彼女と会う約束をしていたと嘘をつく。そこに、車上荒らしをした高校生・木下啓太(健太郎)が、担任教師の北野裕一郎(斎藤工)と一緒にやってくる。北野の謝罪を受けた利佳子は、示談でいいと彼に告げた。数日後紗和は、利佳子とともに北野に会う。北野は、事件を起こした生徒の家庭には事情があるため、自分が対応するとふたりに説明した。そんな北野に、誠"&amp;"意が感じられないと示談書を突き返す利佳子。それでも北野が説得しようとすると利佳子は、デートしてくれるなら考えてもいいと言い出し・・・。")</f>
        <v>笹本紗和(上戸彩)は、結婚5年目の主婦。家具メーカーに勤務する夫・俊介(鈴木浩介)と平凡ながら幸せな日々を送っている。ある日、スーパーのパートを終えた紗和は、客として店に来ていた滝川利佳子(吉瀬美智子)から不倫のアリバイ作りへの協力を頼まれる。利佳子は最近この街に引っ越してきたばかりで、大手出版社の女性誌編集長をしている夫の徹(木下ほうか)、ふたりの娘と新築の一軒家で裕福な暮らしをしている。だが、実は彼女は、平日の昼間に不倫を繰り返している、いわゆる“平日昼顔妻"だった。この日も萩原智也(淵上泰史)と不倫をしていた利佳子は、スーパーの駐車場で車上荒らしに遭ってしまい、とっさに紗和を利用したのだ。利佳子にある弱みを握られていた紗和は、警察の事情聴取で、利佳子とは友人で仕事の後に彼女と会う約束をしていたと嘘をつく。そこに、車上荒らしをした高校生・木下啓太(健太郎)が、担任教師の北野裕一郎(斎藤工)と一緒にやってくる。北野の謝罪を受けた利佳子は、示談でいいと彼に告げた。数日後紗和は、利佳子とともに北野に会う。北野は、事件を起こした生徒の家庭には事情があるため、自分が対応するとふたりに説明した。そんな北野に、誠意が感じられないと示談書を突き返す利佳子。それでも北野が説得しようとすると利佳子は、デートしてくれるなら考えてもいいと言い出し・・・。</v>
      </c>
      <c r="N746" s="2"/>
      <c r="O746" s="2"/>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row>
    <row r="747" ht="204.75" customHeight="1">
      <c r="A747" s="1">
        <v>2650.0</v>
      </c>
      <c r="B747" s="2" t="s">
        <v>2391</v>
      </c>
      <c r="C747" s="2">
        <f>IFERROR(__xludf.DUMMYFUNCTION("split(B747,""_"")"),1407.0)</f>
        <v>1407</v>
      </c>
      <c r="D747" s="2" t="str">
        <f>IFERROR(__xludf.DUMMYFUNCTION("""COMPUTED_VALUE"""),"CX")</f>
        <v>CX</v>
      </c>
      <c r="E747" s="2" t="str">
        <f>IFERROR(__xludf.DUMMYFUNCTION("""COMPUTED_VALUE"""),"木22")</f>
        <v>木22</v>
      </c>
      <c r="F747" s="2" t="s">
        <v>2392</v>
      </c>
      <c r="G747" s="2" t="s">
        <v>2396</v>
      </c>
      <c r="H747" s="1">
        <v>2.0</v>
      </c>
      <c r="I747" s="1" t="s">
        <v>7</v>
      </c>
      <c r="J747" s="1" t="s">
        <v>86</v>
      </c>
      <c r="K747" s="2" t="s">
        <v>2397</v>
      </c>
      <c r="L747" s="2" t="s">
        <v>2398</v>
      </c>
      <c r="M747" s="2" t="str">
        <f>IFERROR(__xludf.DUMMYFUNCTION("split(split(K747,""笹本紗和:　"",false),""公式LINE"",false)"),"笹本紗和(上戸彩)のもとに姑の慶子(高畑淳子)がやってきた。慶子は、紗和が滝川利佳子(吉瀬美智子)の元不倫相手・萩原智也(淵上泰史)と立ち話をしているところを目撃し、浮気をしているのではないかと疑っていた。北野裕一郎(斎藤工)と会って以来、彼のことばかり考えるようになっていた紗和は、慶子の言葉に内心動揺しながらも、智也とはただの知り合いだと説明する。一方、利佳子は、画家の加藤修(北村一輝)に自分の肖像画を描いてもらう。しかし、出来上がった絵はグロテスクなものだった。利佳子は、夫の徹(木下ほうか)に、もう一"&amp;"度加藤に頼んでほしいと話す。しかし徹は、加藤は俺にケンカを売っているだけだと言って、利佳子の絵を捨ててしまう。紗和のパート先にやってきた利佳子は、仕事が終わったら会おうと彼女を誘った。紗和が利佳子との待ち合わせ場所に行くと、そこにいたのは北野だった。北野は、利佳子から示談の件について話したいと連絡をもらったのだという。そのころ利佳子は、徹に内緒で加藤のアトリエを訪れていた。そこで利佳子は、もう一度私を描いてほしいと頼む。しかし加藤は、あなたには美しさを感じないと言って断ってしまう。紗和と北野は、お互いに結"&amp;"婚していること、子どもがいないことなどを話した。北野の笑顔に心惹かれながらも、夕飯の支度があると言ってその場を後にする紗和。だがそんなふたりの姿をまたもや慶子が目撃してしまい…。")</f>
        <v>笹本紗和(上戸彩)のもとに姑の慶子(高畑淳子)がやってきた。慶子は、紗和が滝川利佳子(吉瀬美智子)の元不倫相手・萩原智也(淵上泰史)と立ち話をしているところを目撃し、浮気をしているのではないかと疑っていた。北野裕一郎(斎藤工)と会って以来、彼のことばかり考えるようになっていた紗和は、慶子の言葉に内心動揺しながらも、智也とはただの知り合いだと説明する。一方、利佳子は、画家の加藤修(北村一輝)に自分の肖像画を描いてもらう。しかし、出来上がった絵はグロテスクなものだった。利佳子は、夫の徹(木下ほうか)に、もう一度加藤に頼んでほしいと話す。しかし徹は、加藤は俺にケンカを売っているだけだと言って、利佳子の絵を捨ててしまう。紗和のパート先にやってきた利佳子は、仕事が終わったら会おうと彼女を誘った。紗和が利佳子との待ち合わせ場所に行くと、そこにいたのは北野だった。北野は、利佳子から示談の件について話したいと連絡をもらったのだという。そのころ利佳子は、徹に内緒で加藤のアトリエを訪れていた。そこで利佳子は、もう一度私を描いてほしいと頼む。しかし加藤は、あなたには美しさを感じないと言って断ってしまう。紗和と北野は、お互いに結婚していること、子どもがいないことなどを話した。北野の笑顔に心惹かれながらも、夕飯の支度があると言ってその場を後にする紗和。だがそんなふたりの姿をまたもや慶子が目撃してしまい…。</v>
      </c>
      <c r="N747" s="2"/>
      <c r="O747" s="2"/>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row>
    <row r="748" ht="204.75" customHeight="1">
      <c r="A748" s="1">
        <v>2651.0</v>
      </c>
      <c r="B748" s="2" t="s">
        <v>2391</v>
      </c>
      <c r="C748" s="2">
        <f>IFERROR(__xludf.DUMMYFUNCTION("split(B748,""_"")"),1407.0)</f>
        <v>1407</v>
      </c>
      <c r="D748" s="2" t="str">
        <f>IFERROR(__xludf.DUMMYFUNCTION("""COMPUTED_VALUE"""),"CX")</f>
        <v>CX</v>
      </c>
      <c r="E748" s="2" t="str">
        <f>IFERROR(__xludf.DUMMYFUNCTION("""COMPUTED_VALUE"""),"木22")</f>
        <v>木22</v>
      </c>
      <c r="F748" s="2" t="s">
        <v>2392</v>
      </c>
      <c r="G748" s="2" t="s">
        <v>2399</v>
      </c>
      <c r="H748" s="1">
        <v>3.0</v>
      </c>
      <c r="I748" s="1" t="s">
        <v>10</v>
      </c>
      <c r="J748" s="1" t="s">
        <v>86</v>
      </c>
      <c r="K748" s="2" t="s">
        <v>2400</v>
      </c>
      <c r="L748" s="2" t="s">
        <v>2401</v>
      </c>
      <c r="M748" s="2" t="str">
        <f>IFERROR(__xludf.DUMMYFUNCTION("split(split(K748,""笹本紗和:　"",false),""公式LINE"",false)"),"紗和(上戸彩)は、北野(斎藤工)にキスしようとするが拒まれてしまう。激しい自己嫌悪に陥った紗和は、降りしきる雨の中、ずぶ濡れになりながら帰宅する。同じころ利佳子(吉瀬美智子)は、肖像画を描いてもらうために加藤(北村一輝)のアトリエを訪れていた。だが、服を脱ぐように指示されたものの、どうしても最後まで脱ぐことができない利佳子。加藤は、そんな利佳子に、暇を持て余している奥様の相手をしている時間はない、と言い放つ。  　その夜、紗和が食事の支度をしていると、帰宅した夫・俊介(鈴木浩介)が、パソコンで作ったという"&amp;"ハムスターの迷子チラシを見せた。紗和は北野から拒絶されたいら立ちから、ハムスターを逃がした私へのあてつけなのかとつい俊介に怒りをぶつけてしまう。  　数日後、紗和のもとに利佳子から電話が入る。利佳子も男に振られてしまったらしい。紗和は、周囲に不倫がばれてしまえばすべて終わりなのだから、上手くいかなくてよかったのではないかと利佳子に告げる。それに対して利佳子は、ばれなければいいのなら、ほんの少し行動に気を付ければ大丈夫だと返す。続けて利佳子は、自分を見てくれる人がいなければ何のために生きているのかわからない"&amp;"、それは紗和も同じ気持ちのはずだ、と彼女に告げる。紗和は、利佳子の言葉を否定し、もう二度と北野にも会うつもりもないと言って電話を切るが・・・。")</f>
        <v>紗和(上戸彩)は、北野(斎藤工)にキスしようとするが拒まれてしまう。激しい自己嫌悪に陥った紗和は、降りしきる雨の中、ずぶ濡れになりながら帰宅する。同じころ利佳子(吉瀬美智子)は、肖像画を描いてもらうために加藤(北村一輝)のアトリエを訪れていた。だが、服を脱ぐように指示されたものの、どうしても最後まで脱ぐことができない利佳子。加藤は、そんな利佳子に、暇を持て余している奥様の相手をしている時間はない、と言い放つ。  　その夜、紗和が食事の支度をしていると、帰宅した夫・俊介(鈴木浩介)が、パソコンで作ったというハムスターの迷子チラシを見せた。紗和は北野から拒絶されたいら立ちから、ハムスターを逃がした私へのあてつけなのかとつい俊介に怒りをぶつけてしまう。  　数日後、紗和のもとに利佳子から電話が入る。利佳子も男に振られてしまったらしい。紗和は、周囲に不倫がばれてしまえばすべて終わりなのだから、上手くいかなくてよかったのではないかと利佳子に告げる。それに対して利佳子は、ばれなければいいのなら、ほんの少し行動に気を付ければ大丈夫だと返す。続けて利佳子は、自分を見てくれる人がいなければ何のために生きているのかわからない、それは紗和も同じ気持ちのはずだ、と彼女に告げる。紗和は、利佳子の言葉を否定し、もう二度と北野にも会うつもりもないと言って電話を切るが・・・。</v>
      </c>
      <c r="N748" s="2"/>
      <c r="O748" s="2"/>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row>
    <row r="749" ht="204.75" customHeight="1">
      <c r="A749" s="1">
        <v>2652.0</v>
      </c>
      <c r="B749" s="2" t="s">
        <v>2391</v>
      </c>
      <c r="C749" s="2">
        <f>IFERROR(__xludf.DUMMYFUNCTION("split(B749,""_"")"),1407.0)</f>
        <v>1407</v>
      </c>
      <c r="D749" s="2" t="str">
        <f>IFERROR(__xludf.DUMMYFUNCTION("""COMPUTED_VALUE"""),"CX")</f>
        <v>CX</v>
      </c>
      <c r="E749" s="2" t="str">
        <f>IFERROR(__xludf.DUMMYFUNCTION("""COMPUTED_VALUE"""),"木22")</f>
        <v>木22</v>
      </c>
      <c r="F749" s="2" t="s">
        <v>2392</v>
      </c>
      <c r="G749" s="2" t="s">
        <v>2402</v>
      </c>
      <c r="H749" s="1">
        <v>4.0</v>
      </c>
      <c r="I749" s="1" t="s">
        <v>14</v>
      </c>
      <c r="J749" s="1" t="s">
        <v>86</v>
      </c>
      <c r="K749" s="2" t="s">
        <v>2403</v>
      </c>
      <c r="L749" s="2" t="s">
        <v>2404</v>
      </c>
      <c r="M749" s="2" t="str">
        <f>IFERROR(__xludf.DUMMYFUNCTION("split(split(K749,""笹本紗和:　"",false),""公式LINE"",false)"),"紗和(上戸彩)は、北野(斎藤工)と一緒に昆虫採集をするために森林公園を訪れる。最初は会話もぎこちなかったものの、次第に距離が近づいていくふたり。紗和にカマキリの生殖活動の話をした北野は、自分はこんな話しかできない面白味のない男だと続けた。紗和は、そんな北野にそっと手を差し出し、彼と手をつなぐ。が、そのとき紗和たちは、北野の教え子、啓太(健太郎)とまなみ(田中日奈子)がこっそり後をつけてきていることに気づいていなかった。  　同じころ、加藤(北村一輝)との情事を終えた利佳子(吉瀬美智子)は、手慣れた様子で身"&amp;"支度をしていた。帰り際、利佳子はテーブルの上に何枚かの1万円札を置くと、お互いの生活は壊さない、どちらかが関係を終わらせたいと言ったときは理由を問わずに精算するという条件で時々会わないかと彼に告げる。しかし加藤は、そんな金をもらうくらいなら餓死した方がましだといって利佳子のバッグに金をつっこみ、彼女を追い返してしまう。  　あくる日、仕事中の紗和のところに智也(淵上泰史)がやってくる。心配なことがあるのだという。そこで紗和は、利佳子と思われる女性が出会い系サイトで不倫相手を募っていることを知る。実は智也も"&amp;"、このサイトで利佳子と知り合ったのだという。心配になった紗和は利佳子を訪ね、危ないことは止めた方がいいと忠告するが・・・。")</f>
        <v>紗和(上戸彩)は、北野(斎藤工)と一緒に昆虫採集をするために森林公園を訪れる。最初は会話もぎこちなかったものの、次第に距離が近づいていくふたり。紗和にカマキリの生殖活動の話をした北野は、自分はこんな話しかできない面白味のない男だと続けた。紗和は、そんな北野にそっと手を差し出し、彼と手をつなぐ。が、そのとき紗和たちは、北野の教え子、啓太(健太郎)とまなみ(田中日奈子)がこっそり後をつけてきていることに気づいていなかった。  　同じころ、加藤(北村一輝)との情事を終えた利佳子(吉瀬美智子)は、手慣れた様子で身支度をしていた。帰り際、利佳子はテーブルの上に何枚かの1万円札を置くと、お互いの生活は壊さない、どちらかが関係を終わらせたいと言ったときは理由を問わずに精算するという条件で時々会わないかと彼に告げる。しかし加藤は、そんな金をもらうくらいなら餓死した方がましだといって利佳子のバッグに金をつっこみ、彼女を追い返してしまう。  　あくる日、仕事中の紗和のところに智也(淵上泰史)がやってくる。心配なことがあるのだという。そこで紗和は、利佳子と思われる女性が出会い系サイトで不倫相手を募っていることを知る。実は智也も、このサイトで利佳子と知り合ったのだという。心配になった紗和は利佳子を訪ね、危ないことは止めた方がいいと忠告するが・・・。</v>
      </c>
      <c r="N749" s="2"/>
      <c r="O749" s="2"/>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row>
    <row r="750" ht="204.75" customHeight="1">
      <c r="A750" s="1">
        <v>2653.0</v>
      </c>
      <c r="B750" s="2" t="s">
        <v>2391</v>
      </c>
      <c r="C750" s="2">
        <f>IFERROR(__xludf.DUMMYFUNCTION("split(B750,""_"")"),1407.0)</f>
        <v>1407</v>
      </c>
      <c r="D750" s="2" t="str">
        <f>IFERROR(__xludf.DUMMYFUNCTION("""COMPUTED_VALUE"""),"CX")</f>
        <v>CX</v>
      </c>
      <c r="E750" s="2" t="str">
        <f>IFERROR(__xludf.DUMMYFUNCTION("""COMPUTED_VALUE"""),"木22")</f>
        <v>木22</v>
      </c>
      <c r="F750" s="2" t="s">
        <v>2392</v>
      </c>
      <c r="G750" s="2" t="s">
        <v>2405</v>
      </c>
      <c r="H750" s="1">
        <v>5.0</v>
      </c>
      <c r="I750" s="1" t="s">
        <v>17</v>
      </c>
      <c r="J750" s="1" t="s">
        <v>86</v>
      </c>
      <c r="K750" s="2" t="s">
        <v>2406</v>
      </c>
      <c r="L750" s="2" t="s">
        <v>2407</v>
      </c>
      <c r="M750" s="2" t="str">
        <f>IFERROR(__xludf.DUMMYFUNCTION("split(split(K750,""笹本紗和:　"",false),""公式LINE"",false)"),"森林公園で出会った紗和(上戸彩)と北野(斎藤工)は、海辺の小さなホテルに入る。しかし、お互いを求める気持ちとは裏腹に一線を越えることができないふたり。北野は、これ以上進んだら後戻りできなくなるから帰ろうと紗和に告げる。紗和は、そんな北野に賭けを持ちかけた。窓下に見える道を次に通るのが女性だったら友だちのままでいる、男性だったら結ばれると・・・。  　同じころ、利佳子(吉瀬美智子)は、智也(淵上泰史)とともにホテルの一室にいた。利佳子への思いを抑えることができなかった智也は、彼女が利用している出会い系サイト"&amp;"を使って誘い出したのだ。智也は、旦那のことは我慢できるが他の男とは許せないと言うと、電話をしてきた相手・加藤(北村一輝)と別れるよう命じる。智也から、加藤にリダイヤルした携帯電話を手渡された利佳子は、ホテルに監禁されていることを打ち明け、自分とは関係ないことを説明してほしいと加藤に頼む。すると加藤は、利佳子は自分の女だと智也に言い放ち、いまから会って話をつけようと提案する。  　そんな中、紗和のもとに利佳子の夫・滝川(木下ほうか)から電話が入る。自宅に電話した際に利佳子がまだ帰宅していないことを知ったらし"&amp;"い。利佳子に何かあったのではないかと心配になった紗和は、一緒に行くという北野の申し出を断り、利佳子から聞いたホテルへと向かうが・・・。")</f>
        <v>森林公園で出会った紗和(上戸彩)と北野(斎藤工)は、海辺の小さなホテルに入る。しかし、お互いを求める気持ちとは裏腹に一線を越えることができないふたり。北野は、これ以上進んだら後戻りできなくなるから帰ろうと紗和に告げる。紗和は、そんな北野に賭けを持ちかけた。窓下に見える道を次に通るのが女性だったら友だちのままでいる、男性だったら結ばれると・・・。  　同じころ、利佳子(吉瀬美智子)は、智也(淵上泰史)とともにホテルの一室にいた。利佳子への思いを抑えることができなかった智也は、彼女が利用している出会い系サイトを使って誘い出したのだ。智也は、旦那のことは我慢できるが他の男とは許せないと言うと、電話をしてきた相手・加藤(北村一輝)と別れるよう命じる。智也から、加藤にリダイヤルした携帯電話を手渡された利佳子は、ホテルに監禁されていることを打ち明け、自分とは関係ないことを説明してほしいと加藤に頼む。すると加藤は、利佳子は自分の女だと智也に言い放ち、いまから会って話をつけようと提案する。  　そんな中、紗和のもとに利佳子の夫・滝川(木下ほうか)から電話が入る。自宅に電話した際に利佳子がまだ帰宅していないことを知ったらしい。利佳子に何かあったのではないかと心配になった紗和は、一緒に行くという北野の申し出を断り、利佳子から聞いたホテルへと向かうが・・・。</v>
      </c>
      <c r="N750" s="2"/>
      <c r="O750" s="2"/>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row>
    <row r="751" ht="204.75" customHeight="1">
      <c r="A751" s="1">
        <v>2654.0</v>
      </c>
      <c r="B751" s="2" t="s">
        <v>2391</v>
      </c>
      <c r="C751" s="2">
        <f>IFERROR(__xludf.DUMMYFUNCTION("split(B751,""_"")"),1407.0)</f>
        <v>1407</v>
      </c>
      <c r="D751" s="2" t="str">
        <f>IFERROR(__xludf.DUMMYFUNCTION("""COMPUTED_VALUE"""),"CX")</f>
        <v>CX</v>
      </c>
      <c r="E751" s="2" t="str">
        <f>IFERROR(__xludf.DUMMYFUNCTION("""COMPUTED_VALUE"""),"木22")</f>
        <v>木22</v>
      </c>
      <c r="F751" s="2" t="s">
        <v>2392</v>
      </c>
      <c r="G751" s="2" t="s">
        <v>2408</v>
      </c>
      <c r="H751" s="1">
        <v>6.0</v>
      </c>
      <c r="I751" s="1" t="s">
        <v>21</v>
      </c>
      <c r="J751" s="1" t="s">
        <v>86</v>
      </c>
      <c r="K751" s="2" t="s">
        <v>2409</v>
      </c>
      <c r="L751" s="2" t="s">
        <v>2410</v>
      </c>
      <c r="M751" s="2" t="str">
        <f>IFERROR(__xludf.DUMMYFUNCTION("split(split(K751,""笹本紗和:　"",false),""公式LINE"",false)"),"「女子バレーボールワールドグランプリ2014日本×トルコ」延長の際、放送時間繰り下げの場合あり。　花火大会の日、紗和(上戸彩)は、動物園で北野(斎藤工)とデートする。夫の俊介(鈴木浩介)は、滝川(木下ほうか)に誘われて、部下の美鈴(木南晴夏)と一緒に花火大会に行っていた。途中、紗和は、北野とはぐれてしまった。北野を探していると、向こうからやってきた彼の携帯電話に妻の乃里子(伊藤歩)から着信があった。しかし北野は電話には出ず、紗和を探す。隠れてその姿を見ていた紗和は…。  　利佳子(吉瀬美智子)は、加藤(北"&amp;"村一輝)と一緒に海へ行く。子どもたちと一緒じゃない海は久しぶり、と言ってはしゃぐ利佳子。一方、急な仕事ができたと俊介に伝えて花火大会に行かなかった滝川は、利佳子の車に仕掛けたGPS機器で彼女を追っていた。それに気づいた利佳子は、一旦ホテルの駐車場に車を止め、タクシーを使って移動していた。だが、滝川は、何故か利佳子の居場所を突き止め、怒りに震えながら加藤と一緒にいるところを写真に収める。  　月曜日の朝、利佳子は、娘たちを夏期講習に送り出す。出勤の支度をしてやってきた滝川は、ふいに床の掃除をするよう利佳子に"&amp;"頼む。海の砂のようなものが落ちているというのだ。さらに滝川は、契約プランを変えたいからと利佳子のスマートフォンを預かり、家を出ていく。紗和を訪ねた利佳子は、花火大会の件は滝川が仕組んだ罠で、加藤とのことはすべてバレてしまったことを告げる。そこに乃里子がやってきて…。")</f>
        <v>「女子バレーボールワールドグランプリ2014日本×トルコ」延長の際、放送時間繰り下げの場合あり。　花火大会の日、紗和(上戸彩)は、動物園で北野(斎藤工)とデートする。夫の俊介(鈴木浩介)は、滝川(木下ほうか)に誘われて、部下の美鈴(木南晴夏)と一緒に花火大会に行っていた。途中、紗和は、北野とはぐれてしまった。北野を探していると、向こうからやってきた彼の携帯電話に妻の乃里子(伊藤歩)から着信があった。しかし北野は電話には出ず、紗和を探す。隠れてその姿を見ていた紗和は…。  　利佳子(吉瀬美智子)は、加藤(北村一輝)と一緒に海へ行く。子どもたちと一緒じゃない海は久しぶり、と言ってはしゃぐ利佳子。一方、急な仕事ができたと俊介に伝えて花火大会に行かなかった滝川は、利佳子の車に仕掛けたGPS機器で彼女を追っていた。それに気づいた利佳子は、一旦ホテルの駐車場に車を止め、タクシーを使って移動していた。だが、滝川は、何故か利佳子の居場所を突き止め、怒りに震えながら加藤と一緒にいるところを写真に収める。  　月曜日の朝、利佳子は、娘たちを夏期講習に送り出す。出勤の支度をしてやってきた滝川は、ふいに床の掃除をするよう利佳子に頼む。海の砂のようなものが落ちているというのだ。さらに滝川は、契約プランを変えたいからと利佳子のスマートフォンを預かり、家を出ていく。紗和を訪ねた利佳子は、花火大会の件は滝川が仕組んだ罠で、加藤とのことはすべてバレてしまったことを告げる。そこに乃里子がやってきて…。</v>
      </c>
      <c r="N751" s="2"/>
      <c r="O751" s="2"/>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row>
    <row r="752" ht="204.75" customHeight="1">
      <c r="A752" s="1">
        <v>2655.0</v>
      </c>
      <c r="B752" s="2" t="s">
        <v>2391</v>
      </c>
      <c r="C752" s="2">
        <f>IFERROR(__xludf.DUMMYFUNCTION("split(B752,""_"")"),1407.0)</f>
        <v>1407</v>
      </c>
      <c r="D752" s="2" t="str">
        <f>IFERROR(__xludf.DUMMYFUNCTION("""COMPUTED_VALUE"""),"CX")</f>
        <v>CX</v>
      </c>
      <c r="E752" s="2" t="str">
        <f>IFERROR(__xludf.DUMMYFUNCTION("""COMPUTED_VALUE"""),"木22")</f>
        <v>木22</v>
      </c>
      <c r="F752" s="2" t="s">
        <v>2392</v>
      </c>
      <c r="G752" s="2" t="s">
        <v>2411</v>
      </c>
      <c r="H752" s="1">
        <v>7.0</v>
      </c>
      <c r="I752" s="1" t="s">
        <v>25</v>
      </c>
      <c r="J752" s="1" t="s">
        <v>86</v>
      </c>
      <c r="K752" s="2" t="s">
        <v>2412</v>
      </c>
      <c r="L752" s="2" t="s">
        <v>2413</v>
      </c>
      <c r="M752" s="2" t="str">
        <f>IFERROR(__xludf.DUMMYFUNCTION("split(split(K752,""笹本紗和:　"",false),""公式LINE"",false)"),"紗和(上戸彩)は北野(斎藤工)と別れた。乃里子(伊藤歩)が北野の妻だと知ったことが大きな理由だった。利佳子(吉瀬美智子)は、涙を浮かべながら事情を話す紗和に、目を腫らして帰ったら疑われるから泣いてはいけないと告げる。不倫の恋は、別れた後ですら人に知られるわけにはいかないというのだ。紗和は、それでもこらえ切れず、利佳子に抱きついて泣いた。  　加藤(北村一輝)は、『BONITO』編集部の滝川(木下ほうか)を訪ねる。と、スタッフたちが拍手で加藤を出迎えた。加藤が描いたWEB版『BONITO』の絵が大変な評判を"&amp;"呼んでいるのだという。加藤は、画家紹介のページ用に、滝川と握手をして写真に納まる。そんな折、紗和の元に乃里子がやってくる。乃里子は、夫に好きな女性がいたことは間違いないが、もう気にするのは止めたという。その際紗和は、秘密の恋はどうなったのかと尋ねられた。紗和は、自分ひとりが盛り上がっていただけで始まってもいない感じだと返すが…。  　一方、利佳子は、スマートフォンを返してほしいと滝川に頼む。しかし滝川はそれには応えず、クレジットカードを止めたことを告げ、気に入らなければ出て行ってもいいと言い出す。そんな滝"&amp;"川に対して利佳子は、自分がなぜ一生懸命、家事や子育てをしていられたかわかるかと問いかけ、加藤だけでなく、出会い系サイトで知り合った男たちと不倫をしていたことをぶちまけてしまう。")</f>
        <v>紗和(上戸彩)は北野(斎藤工)と別れた。乃里子(伊藤歩)が北野の妻だと知ったことが大きな理由だった。利佳子(吉瀬美智子)は、涙を浮かべながら事情を話す紗和に、目を腫らして帰ったら疑われるから泣いてはいけないと告げる。不倫の恋は、別れた後ですら人に知られるわけにはいかないというのだ。紗和は、それでもこらえ切れず、利佳子に抱きついて泣いた。  　加藤(北村一輝)は、『BONITO』編集部の滝川(木下ほうか)を訪ねる。と、スタッフたちが拍手で加藤を出迎えた。加藤が描いたWEB版『BONITO』の絵が大変な評判を呼んでいるのだという。加藤は、画家紹介のページ用に、滝川と握手をして写真に納まる。そんな折、紗和の元に乃里子がやってくる。乃里子は、夫に好きな女性がいたことは間違いないが、もう気にするのは止めたという。その際紗和は、秘密の恋はどうなったのかと尋ねられた。紗和は、自分ひとりが盛り上がっていただけで始まってもいない感じだと返すが…。  　一方、利佳子は、スマートフォンを返してほしいと滝川に頼む。しかし滝川はそれには応えず、クレジットカードを止めたことを告げ、気に入らなければ出て行ってもいいと言い出す。そんな滝川に対して利佳子は、自分がなぜ一生懸命、家事や子育てをしていられたかわかるかと問いかけ、加藤だけでなく、出会い系サイトで知り合った男たちと不倫をしていたことをぶちまけてしまう。</v>
      </c>
      <c r="N752" s="2"/>
      <c r="O752" s="2"/>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row>
    <row r="753" ht="204.75" customHeight="1">
      <c r="A753" s="1">
        <v>2656.0</v>
      </c>
      <c r="B753" s="2" t="s">
        <v>2391</v>
      </c>
      <c r="C753" s="2">
        <f>IFERROR(__xludf.DUMMYFUNCTION("split(B753,""_"")"),1407.0)</f>
        <v>1407</v>
      </c>
      <c r="D753" s="2" t="str">
        <f>IFERROR(__xludf.DUMMYFUNCTION("""COMPUTED_VALUE"""),"CX")</f>
        <v>CX</v>
      </c>
      <c r="E753" s="2" t="str">
        <f>IFERROR(__xludf.DUMMYFUNCTION("""COMPUTED_VALUE"""),"木22")</f>
        <v>木22</v>
      </c>
      <c r="F753" s="2" t="s">
        <v>2392</v>
      </c>
      <c r="G753" s="2" t="s">
        <v>2414</v>
      </c>
      <c r="H753" s="1">
        <v>8.0</v>
      </c>
      <c r="I753" s="1" t="s">
        <v>29</v>
      </c>
      <c r="J753" s="1" t="s">
        <v>86</v>
      </c>
      <c r="K753" s="2" t="s">
        <v>2415</v>
      </c>
      <c r="L753" s="2" t="s">
        <v>2416</v>
      </c>
      <c r="M753" s="2" t="str">
        <f>IFERROR(__xludf.DUMMYFUNCTION("split(split(K753,""笹本紗和:　"",false),""公式LINE"",false)"),"紗和(上戸彩)と俊介(鈴木浩介)は、スーパーで出会った北野(斎藤工)と乃里子(伊藤歩)夫妻を自宅に招き入れた。俊介が家具会社に勤務していると知った乃里子は、俊介の案内で室内を見て回る。その際、乃里子は、紗和が鏡台の引き出しにしまっておいたゴリラのマスコットに気づく。  　離婚届を置いて家を出た利佳子(吉瀬美智子)は、加藤(北村一輝)のもとに身を寄せる。加藤から、子どものことはどうするのか、と問われた利佳子は、引き取りたいがついてくるはずはないと答えた。加藤は、そんな利佳子に「あんたの人生は背負えない」と言"&amp;"い、離婚歴があることを明かす。  　帰り際、乃里子は、なぜ主人の苗字を知っていたのかと紗和に尋ねる。そこで北野は、教え子が車上荒らしをした際、その車に乗っていたのが紗和だとうそをつく。とっさに紗和も、その生徒のために黙っていた方がいいと思ったから知り合いだと言わなかったと話を合わせた。　あくる日出勤した紗和のもとに、滝川(木下ほうか)がやってくる。滝川は、利佳子が家を出たことを紗和に打ち明け、すべてを水に流すから戻って来いと伝えてほしいと頼み、金が入った封筒と加藤のアトリエの住所を記したメモを差し出す。 "&amp;" 　加藤のアトリエを訪れた紗和は、利佳子が子どもたちと会えるようにすると申し出る。しかし利佳子はそれを拒否し、他人のおせっかいよりも北野とのことがばれないようにすべきだと返し…。")</f>
        <v>紗和(上戸彩)と俊介(鈴木浩介)は、スーパーで出会った北野(斎藤工)と乃里子(伊藤歩)夫妻を自宅に招き入れた。俊介が家具会社に勤務していると知った乃里子は、俊介の案内で室内を見て回る。その際、乃里子は、紗和が鏡台の引き出しにしまっておいたゴリラのマスコットに気づく。  　離婚届を置いて家を出た利佳子(吉瀬美智子)は、加藤(北村一輝)のもとに身を寄せる。加藤から、子どものことはどうするのか、と問われた利佳子は、引き取りたいがついてくるはずはないと答えた。加藤は、そんな利佳子に「あんたの人生は背負えない」と言い、離婚歴があることを明かす。  　帰り際、乃里子は、なぜ主人の苗字を知っていたのかと紗和に尋ねる。そこで北野は、教え子が車上荒らしをした際、その車に乗っていたのが紗和だとうそをつく。とっさに紗和も、その生徒のために黙っていた方がいいと思ったから知り合いだと言わなかったと話を合わせた。　あくる日出勤した紗和のもとに、滝川(木下ほうか)がやってくる。滝川は、利佳子が家を出たことを紗和に打ち明け、すべてを水に流すから戻って来いと伝えてほしいと頼み、金が入った封筒と加藤のアトリエの住所を記したメモを差し出す。  　加藤のアトリエを訪れた紗和は、利佳子が子どもたちと会えるようにすると申し出る。しかし利佳子はそれを拒否し、他人のおせっかいよりも北野とのことがばれないようにすべきだと返し…。</v>
      </c>
      <c r="N753" s="2"/>
      <c r="O753" s="2"/>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row>
    <row r="754" ht="204.75" customHeight="1">
      <c r="A754" s="1">
        <v>2657.0</v>
      </c>
      <c r="B754" s="2" t="s">
        <v>2391</v>
      </c>
      <c r="C754" s="2">
        <f>IFERROR(__xludf.DUMMYFUNCTION("split(B754,""_"")"),1407.0)</f>
        <v>1407</v>
      </c>
      <c r="D754" s="2" t="str">
        <f>IFERROR(__xludf.DUMMYFUNCTION("""COMPUTED_VALUE"""),"CX")</f>
        <v>CX</v>
      </c>
      <c r="E754" s="2" t="str">
        <f>IFERROR(__xludf.DUMMYFUNCTION("""COMPUTED_VALUE"""),"木22")</f>
        <v>木22</v>
      </c>
      <c r="F754" s="2" t="s">
        <v>2392</v>
      </c>
      <c r="G754" s="2" t="s">
        <v>2417</v>
      </c>
      <c r="H754" s="1">
        <v>9.0</v>
      </c>
      <c r="I754" s="1" t="s">
        <v>33</v>
      </c>
      <c r="J754" s="1" t="s">
        <v>86</v>
      </c>
      <c r="K754" s="2" t="s">
        <v>2418</v>
      </c>
      <c r="L754" s="2" t="s">
        <v>2419</v>
      </c>
      <c r="M754" s="2" t="str">
        <f>IFERROR(__xludf.DUMMYFUNCTION("split(split(K754,""笹本紗和:　"",false),""公式LINE"",false)"),"図書館で密会していた紗和(上戸彩)と北野(斎藤工)の前に、北野の妻・乃里子(伊藤歩)が現れる。そこで、逆上した乃里子が紗和につかみかかるなど大きな騒ぎになり、3人は警察から任意同行を求められる。乃里子は不倫のことをぶちまけ、絶対に紗和を許さないと声を荒げた。  　利佳子(吉瀬美智子)は、ホステスの面接を受け採用される。利佳子が加藤(北村一輝)のアトリエに戻ると、佐倉亜紀(高橋かおり)という女性が訪ねてきていた。亜紀は、国内のアート作品を海外に売り込む仕事をしており、滝川(木下ほうか)が編集長を務める『BO"&amp;"NITO』の紹介でやってきたのだという。それを聞いて嫌な予感がする利佳子。そこに、紗和の件で警察から連絡が入る。  　紗和を迎えに行った利佳子は、一緒に笹本家へ行く。経緯を知った利佳子は、俊介(鈴木浩介)と別れて北野と一緒になりたいという紗和に、気持ちはわかるが無理だと返す。するとそこに俊介が帰ってくる。俊介は、北野夫妻との食事会のためにマンションを訪ねたが、中止になったと聞かされて戻ってきたのだという。俊介は、帰ろうとしていた利佳子に、もう紗和とは付き合わないでほしいと告げる。  　あくる日、パートに出"&amp;"かけた紗和は、店長に呼び出される。乃里子から、夫を誘惑されたというクレームがあったというのだ。一方、北野も、校長の高橋茂子(りりィ)と増沢教頭(螢雪次朗)から転任を勧められるが…。")</f>
        <v>図書館で密会していた紗和(上戸彩)と北野(斎藤工)の前に、北野の妻・乃里子(伊藤歩)が現れる。そこで、逆上した乃里子が紗和につかみかかるなど大きな騒ぎになり、3人は警察から任意同行を求められる。乃里子は不倫のことをぶちまけ、絶対に紗和を許さないと声を荒げた。  　利佳子(吉瀬美智子)は、ホステスの面接を受け採用される。利佳子が加藤(北村一輝)のアトリエに戻ると、佐倉亜紀(高橋かおり)という女性が訪ねてきていた。亜紀は、国内のアート作品を海外に売り込む仕事をしており、滝川(木下ほうか)が編集長を務める『BONITO』の紹介でやってきたのだという。それを聞いて嫌な予感がする利佳子。そこに、紗和の件で警察から連絡が入る。  　紗和を迎えに行った利佳子は、一緒に笹本家へ行く。経緯を知った利佳子は、俊介(鈴木浩介)と別れて北野と一緒になりたいという紗和に、気持ちはわかるが無理だと返す。するとそこに俊介が帰ってくる。俊介は、北野夫妻との食事会のためにマンションを訪ねたが、中止になったと聞かされて戻ってきたのだという。俊介は、帰ろうとしていた利佳子に、もう紗和とは付き合わないでほしいと告げる。  　あくる日、パートに出かけた紗和は、店長に呼び出される。乃里子から、夫を誘惑されたというクレームがあったというのだ。一方、北野も、校長の高橋茂子(りりィ)と増沢教頭(螢雪次朗)から転任を勧められるが…。</v>
      </c>
      <c r="N754" s="2"/>
      <c r="O754" s="2"/>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row>
    <row r="755" ht="204.75" customHeight="1">
      <c r="A755" s="1">
        <v>2658.0</v>
      </c>
      <c r="B755" s="2" t="s">
        <v>2391</v>
      </c>
      <c r="C755" s="2">
        <f>IFERROR(__xludf.DUMMYFUNCTION("split(B755,""_"")"),1407.0)</f>
        <v>1407</v>
      </c>
      <c r="D755" s="2" t="str">
        <f>IFERROR(__xludf.DUMMYFUNCTION("""COMPUTED_VALUE"""),"CX")</f>
        <v>CX</v>
      </c>
      <c r="E755" s="2" t="str">
        <f>IFERROR(__xludf.DUMMYFUNCTION("""COMPUTED_VALUE"""),"木22")</f>
        <v>木22</v>
      </c>
      <c r="F755" s="2" t="s">
        <v>2392</v>
      </c>
      <c r="G755" s="2" t="s">
        <v>2420</v>
      </c>
      <c r="H755" s="1">
        <v>10.0</v>
      </c>
      <c r="I755" s="1" t="s">
        <v>37</v>
      </c>
      <c r="J755" s="1" t="s">
        <v>86</v>
      </c>
      <c r="K755" s="2" t="s">
        <v>2421</v>
      </c>
      <c r="L755" s="2" t="s">
        <v>2422</v>
      </c>
      <c r="M755" s="2" t="str">
        <f>IFERROR(__xludf.DUMMYFUNCTION("split(split(K755,""笹本紗和:　"",false),""公式LINE"",false)"),"家を飛び出した紗和(上戸彩)は、北野(斎藤工)とともに湖畔の貸別荘に身を寄せる。そこは、北野が学生時代に滞在したことがある場所だった。北野の妻・乃里子(伊藤歩)は、俊介(鈴木浩介)に電話し、こうなった原因は俊介にあるのだからふたりを探して引き離してほしいと叫んだ。  　ホステスとして働き始めた利佳子(吉瀬美智子)は、給料を前借してスマートフォンを購入し、真っ先にバルセロナに旅立った加藤(北村一輝)に連絡する。しかし加藤は電話に出なかった。出勤しようとした利佳子の前に現れた智也(淵上泰史)は、紗和がパートを"&amp;"無断欠勤していることを伝える。利佳子は紗和に連絡するが、紗和は電源を切っていた。あくる朝、スマホの電源を入れた紗和のもとに見知らぬ番号から着信がある。利佳子だった。どうするつもりなのか、と利佳子から問われた紗和は、もう少しだけ夢を見させてほしいと返す。利佳子は、そんな紗和に、気持ちだけで突っ走ってしまったら終わりは早いと告げる。  　一方、ショックで会社を休んでいた俊介のもとに美鈴(木南晴夏)が訪ねてくる。俊介のことが心配になって会社を抜け出してきたらしい。俊介は、そんな美鈴の優しさにすがり、彼女を抱きし"&amp;"める。北野とピクニックに出かけた紗和は、いままで言えなかった言葉を彼に伝える。しかし、紗和の薬指の指輪が目に入った北野は、それに応えることができず・・・。")</f>
        <v>家を飛び出した紗和(上戸彩)は、北野(斎藤工)とともに湖畔の貸別荘に身を寄せる。そこは、北野が学生時代に滞在したことがある場所だった。北野の妻・乃里子(伊藤歩)は、俊介(鈴木浩介)に電話し、こうなった原因は俊介にあるのだからふたりを探して引き離してほしいと叫んだ。  　ホステスとして働き始めた利佳子(吉瀬美智子)は、給料を前借してスマートフォンを購入し、真っ先にバルセロナに旅立った加藤(北村一輝)に連絡する。しかし加藤は電話に出なかった。出勤しようとした利佳子の前に現れた智也(淵上泰史)は、紗和がパートを無断欠勤していることを伝える。利佳子は紗和に連絡するが、紗和は電源を切っていた。あくる朝、スマホの電源を入れた紗和のもとに見知らぬ番号から着信がある。利佳子だった。どうするつもりなのか、と利佳子から問われた紗和は、もう少しだけ夢を見させてほしいと返す。利佳子は、そんな紗和に、気持ちだけで突っ走ってしまったら終わりは早いと告げる。  　一方、ショックで会社を休んでいた俊介のもとに美鈴(木南晴夏)が訪ねてくる。俊介のことが心配になって会社を抜け出してきたらしい。俊介は、そんな美鈴の優しさにすがり、彼女を抱きしめる。北野とピクニックに出かけた紗和は、いままで言えなかった言葉を彼に伝える。しかし、紗和の薬指の指輪が目に入った北野は、それに応えることができず・・・。</v>
      </c>
      <c r="N755" s="2"/>
      <c r="O755" s="2"/>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row>
    <row r="756" ht="204.75" customHeight="1">
      <c r="A756" s="1">
        <v>2659.0</v>
      </c>
      <c r="B756" s="2" t="s">
        <v>2391</v>
      </c>
      <c r="C756" s="2">
        <f>IFERROR(__xludf.DUMMYFUNCTION("split(B756,""_"")"),1407.0)</f>
        <v>1407</v>
      </c>
      <c r="D756" s="2" t="str">
        <f>IFERROR(__xludf.DUMMYFUNCTION("""COMPUTED_VALUE"""),"CX")</f>
        <v>CX</v>
      </c>
      <c r="E756" s="2" t="str">
        <f>IFERROR(__xludf.DUMMYFUNCTION("""COMPUTED_VALUE"""),"木22")</f>
        <v>木22</v>
      </c>
      <c r="F756" s="2" t="s">
        <v>2392</v>
      </c>
      <c r="G756" s="2" t="s">
        <v>2423</v>
      </c>
      <c r="H756" s="1">
        <v>11.0</v>
      </c>
      <c r="I756" s="1" t="s">
        <v>41</v>
      </c>
      <c r="J756" s="1" t="s">
        <v>82</v>
      </c>
      <c r="K756" s="2" t="s">
        <v>2424</v>
      </c>
      <c r="L756" s="2" t="s">
        <v>2425</v>
      </c>
      <c r="M756" s="2" t="str">
        <f>IFERROR(__xludf.DUMMYFUNCTION("split(split(K756,""笹本紗和:　"",false),""公式LINE"",false)"),"紗和(上戸彩)は、貸別荘で北野(斎藤工)の帰りを待っていた。紗和の夫・俊介(鈴木浩介)、妻の乃里子(伊藤歩)と会って思いを伝えた北野は、約束通り紗和の元へと戻る。ところがその夜、紗和たちの元に探偵会社の調査員(神農直隆)とともに俊介や乃里子、慶子(高畑淳子)らが現れ、ふたりは無理矢理引き離され、連れ戻されてしまう。  　数日後、紗和は利佳子(吉瀬美智子)と再会する。紗和が北野を諦められずにいることを知った利佳子は、ここまできたら自分の意思で決めるしかないと助言する。しかし、利佳子自身は、加藤(北村一輝)と"&amp;"別れるべきかどうか悩んでいるという。スポットライトを浴びる加藤の隣に立つのは、離婚でもめている子持ちの人妻ではないと言うのだ。  　そんな中、加藤がバルセロナから帰国する。一方、笹本家と北野家は、弁護士を間に入れて話し合うが・・・。")</f>
        <v>紗和(上戸彩)は、貸別荘で北野(斎藤工)の帰りを待っていた。紗和の夫・俊介(鈴木浩介)、妻の乃里子(伊藤歩)と会って思いを伝えた北野は、約束通り紗和の元へと戻る。ところがその夜、紗和たちの元に探偵会社の調査員(神農直隆)とともに俊介や乃里子、慶子(高畑淳子)らが現れ、ふたりは無理矢理引き離され、連れ戻されてしまう。  　数日後、紗和は利佳子(吉瀬美智子)と再会する。紗和が北野を諦められずにいることを知った利佳子は、ここまできたら自分の意思で決めるしかないと助言する。しかし、利佳子自身は、加藤(北村一輝)と別れるべきかどうか悩んでいるという。スポットライトを浴びる加藤の隣に立つのは、離婚でもめている子持ちの人妻ではないと言うのだ。  　そんな中、加藤がバルセロナから帰国する。一方、笹本家と北野家は、弁護士を間に入れて話し合うが・・・。</v>
      </c>
      <c r="N756" s="2"/>
      <c r="O756" s="2"/>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row>
    <row r="757" ht="204.75" customHeight="1">
      <c r="A757" s="1">
        <v>2679.0</v>
      </c>
      <c r="B757" s="2" t="s">
        <v>2426</v>
      </c>
      <c r="C757" s="2">
        <f>IFERROR(__xludf.DUMMYFUNCTION("split(B757,""_"")"),1407.0)</f>
        <v>1407</v>
      </c>
      <c r="D757" s="2" t="str">
        <f>IFERROR(__xludf.DUMMYFUNCTION("""COMPUTED_VALUE"""),"CX")</f>
        <v>CX</v>
      </c>
      <c r="E757" s="2" t="str">
        <f>IFERROR(__xludf.DUMMYFUNCTION("""COMPUTED_VALUE"""),"土23")</f>
        <v>土23</v>
      </c>
      <c r="F757" s="2" t="s">
        <v>2427</v>
      </c>
      <c r="G757" s="2" t="s">
        <v>2428</v>
      </c>
      <c r="H757" s="1">
        <v>1.0</v>
      </c>
      <c r="I757" s="1" t="s">
        <v>3</v>
      </c>
      <c r="J757" s="1" t="s">
        <v>2429</v>
      </c>
      <c r="K757" s="4" t="s">
        <v>2430</v>
      </c>
      <c r="L757" s="2" t="s">
        <v>2431</v>
      </c>
      <c r="M757" s="2" t="str">
        <f>IFERROR(__xludf.DUMMYFUNCTION("split(split(K757,""中島裕翔(Hey!Say!JUMP)"",false),""公式LINE"",false)"),"稲葉尚弥(中島裕翔)と幼なじみで名門私立・水蘭高校女子水球部マネージャーの岩崎渚(大原櫻子)は10年ぶりに尚弥と再会し、その姿を見て絶句してしまう。胸に抱いていた淡い期待は完全に裏切られていた。  　霞野工業高校、通称・カス高の職員室では、水蘭高校の帰国子女枠を断ってカス高への入学を希望した尚弥の話題でもちきりに。カス高3年A組の3バカトリオの木村朋生(千葉雄大)、志村公平(中川大志)、加東慎介(吉沢亮)も尚弥の話題で盛り上がっていると、ついに尚弥が教室に姿を見せた。その姿にクラス全員があぜんとしてしまう"&amp;"。  　尚弥はカス高のてっぺんをとるべく、番長の指定席である窓際の1番後ろの席を奪取しようとするが、その席に座っている三船龍二(山崎賢人)の鋭い眼を見て龍二を番長と決めつけ果たし状を叩きつける。その後渚は、尚弥が龍二に果たし状を叩きつけたことを知り、家に帰ってきた尚弥を問い詰め、そしてカス高が廃校になることを告げる。  　カス高の廃校を阻止するため町内に貼り紙をしていた尚弥は、偶然会った龍二に休戦を告げ、手伝わせようとする。そこへ水蘭高校水球部のキャプテン北島虎雄(高木雄也)が現れ、尚弥とつるんでいる龍二"&amp;"に罵声を浴びせる。龍二と虎雄の間には何やら因縁めいたものがあるようだ。さらにその場に現れた郷田剛(鈴木伸之)からもカス高をバカにされた尚弥は意を決して走り出した。")</f>
        <v>稲葉尚弥(中島裕翔)と幼なじみで名門私立・水蘭高校女子水球部マネージャーの岩崎渚(大原櫻子)は10年ぶりに尚弥と再会し、その姿を見て絶句してしまう。胸に抱いていた淡い期待は完全に裏切られていた。  　霞野工業高校、通称・カス高の職員室では、水蘭高校の帰国子女枠を断ってカス高への入学を希望した尚弥の話題でもちきりに。カス高3年A組の3バカトリオの木村朋生(千葉雄大)、志村公平(中川大志)、加東慎介(吉沢亮)も尚弥の話題で盛り上がっていると、ついに尚弥が教室に姿を見せた。その姿にクラス全員があぜんとしてしまう。  　尚弥はカス高のてっぺんをとるべく、番長の指定席である窓際の1番後ろの席を奪取しようとするが、その席に座っている三船龍二(山崎賢人)の鋭い眼を見て龍二を番長と決めつけ果たし状を叩きつける。その後渚は、尚弥が龍二に果たし状を叩きつけたことを知り、家に帰ってきた尚弥を問い詰め、そしてカス高が廃校になることを告げる。  　カス高の廃校を阻止するため町内に貼り紙をしていた尚弥は、偶然会った龍二に休戦を告げ、手伝わせようとする。そこへ水蘭高校水球部のキャプテン北島虎雄(高木雄也)が現れ、尚弥とつるんでいる龍二に罵声を浴びせる。龍二と虎雄の間には何やら因縁めいたものがあるようだ。さらにその場に現れた郷田剛(鈴木伸之)からもカス高をバカにされた尚弥は意を決して走り出した。</v>
      </c>
      <c r="N757" s="2"/>
      <c r="O757" s="2"/>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row>
    <row r="758" ht="204.75" customHeight="1">
      <c r="A758" s="1">
        <v>2680.0</v>
      </c>
      <c r="B758" s="2" t="s">
        <v>2426</v>
      </c>
      <c r="C758" s="2">
        <f>IFERROR(__xludf.DUMMYFUNCTION("split(B758,""_"")"),1407.0)</f>
        <v>1407</v>
      </c>
      <c r="D758" s="2" t="str">
        <f>IFERROR(__xludf.DUMMYFUNCTION("""COMPUTED_VALUE"""),"CX")</f>
        <v>CX</v>
      </c>
      <c r="E758" s="2" t="str">
        <f>IFERROR(__xludf.DUMMYFUNCTION("""COMPUTED_VALUE"""),"土23")</f>
        <v>土23</v>
      </c>
      <c r="F758" s="2" t="s">
        <v>2427</v>
      </c>
      <c r="G758" s="2" t="s">
        <v>2432</v>
      </c>
      <c r="H758" s="1">
        <v>2.0</v>
      </c>
      <c r="I758" s="1" t="s">
        <v>7</v>
      </c>
      <c r="J758" s="1" t="s">
        <v>2429</v>
      </c>
      <c r="K758" s="2" t="s">
        <v>2433</v>
      </c>
      <c r="L758" s="2" t="s">
        <v>2434</v>
      </c>
      <c r="M758" s="2" t="str">
        <f>IFERROR(__xludf.DUMMYFUNCTION("split(split(K758,""中島裕翔(Hey!Say!JUMP)"",false),""公式LINE"",false)"),"カス高の廃校を阻止するため、水球で水蘭を倒すことを決意した稲葉尚弥(中島裕翔)は水球部員集めに奔走するが、マイルドヤンキーたちのモチベーションは低く、誰一人として入部を希望する者はでてこない。それでも男気をもったヤツが必ずいると信じる尚弥はプールへと向かったが、誰一人いない泥水とゴミで埋まったプールを前に言葉を失ってしまう。  　水球部の発足に反対する教頭の桑原半蔵(北村有起哉)に条件付きながら顧問になることを承諾させた英語教師の青山千春(大政絢)は、尚弥の強い覚悟を知り、かたい握手を交わす。  　そんな"&amp;"2人の姿を見ていたのは、千春に好意を持つ千秋亮(間宮祥太朗)とその舎弟の宮口幸喜(矢本悠馬)。一度は尚弥の誘いを断った千秋と幸喜だったが…。  　水球経験者の三船龍二(山崎賢人)をなんとかして入部させたい尚弥は、まず龍二と幼なじみの3バカトリオ・木村朋生(千葉雄大)、志村公平(中川大志)、加東慎介(吉沢亮)を入部させようとするがまったく相手にされない。ところが、千春の顧問就任により、最初の態度とは打って変わってなんとか入部しようと画策する千秋と幸喜から「これをお使いください」と渡されたものを見せると、3バ"&amp;"カトリオの態度は一転。3人の入部は決まったかに思えたが、そのことで水球部発足を阻止したい教頭の桑原や水蘭高校水球部員の郷田剛(鈴木伸之)たちから様々な妨害を受けることになる。")</f>
        <v>カス高の廃校を阻止するため、水球で水蘭を倒すことを決意した稲葉尚弥(中島裕翔)は水球部員集めに奔走するが、マイルドヤンキーたちのモチベーションは低く、誰一人として入部を希望する者はでてこない。それでも男気をもったヤツが必ずいると信じる尚弥はプールへと向かったが、誰一人いない泥水とゴミで埋まったプールを前に言葉を失ってしまう。  　水球部の発足に反対する教頭の桑原半蔵(北村有起哉)に条件付きながら顧問になることを承諾させた英語教師の青山千春(大政絢)は、尚弥の強い覚悟を知り、かたい握手を交わす。  　そんな2人の姿を見ていたのは、千春に好意を持つ千秋亮(間宮祥太朗)とその舎弟の宮口幸喜(矢本悠馬)。一度は尚弥の誘いを断った千秋と幸喜だったが…。  　水球経験者の三船龍二(山崎賢人)をなんとかして入部させたい尚弥は、まず龍二と幼なじみの3バカトリオ・木村朋生(千葉雄大)、志村公平(中川大志)、加東慎介(吉沢亮)を入部させようとするがまったく相手にされない。ところが、千春の顧問就任により、最初の態度とは打って変わってなんとか入部しようと画策する千秋と幸喜から「これをお使いください」と渡されたものを見せると、3バカトリオの態度は一転。3人の入部は決まったかに思えたが、そのことで水球部発足を阻止したい教頭の桑原や水蘭高校水球部員の郷田剛(鈴木伸之)たちから様々な妨害を受けることになる。</v>
      </c>
      <c r="N758" s="2"/>
      <c r="O758" s="2"/>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row>
    <row r="759" ht="204.75" customHeight="1">
      <c r="A759" s="1">
        <v>2681.0</v>
      </c>
      <c r="B759" s="2" t="s">
        <v>2426</v>
      </c>
      <c r="C759" s="2">
        <f>IFERROR(__xludf.DUMMYFUNCTION("split(B759,""_"")"),1407.0)</f>
        <v>1407</v>
      </c>
      <c r="D759" s="2" t="str">
        <f>IFERROR(__xludf.DUMMYFUNCTION("""COMPUTED_VALUE"""),"CX")</f>
        <v>CX</v>
      </c>
      <c r="E759" s="2" t="str">
        <f>IFERROR(__xludf.DUMMYFUNCTION("""COMPUTED_VALUE"""),"土23")</f>
        <v>土23</v>
      </c>
      <c r="F759" s="2" t="s">
        <v>2427</v>
      </c>
      <c r="G759" s="2" t="s">
        <v>2435</v>
      </c>
      <c r="H759" s="1">
        <v>3.0</v>
      </c>
      <c r="I759" s="1" t="s">
        <v>10</v>
      </c>
      <c r="J759" s="1" t="s">
        <v>2429</v>
      </c>
      <c r="K759" s="2" t="s">
        <v>2436</v>
      </c>
      <c r="L759" s="2" t="s">
        <v>2437</v>
      </c>
      <c r="M759" s="2" t="str">
        <f>IFERROR(__xludf.DUMMYFUNCTION("split(split(K759,""中島裕翔(Hey!Say!JUMP)"",false),""公式LINE"",false)"),"稲葉尚弥(中島裕翔)の真っ直ぐでバカ正直な行動と言葉に心を動かされ、ついにカス高水球部に入部した3バカトリオの木村朋生(千葉雄大)、志村公平(中川大志)、加東慎介(吉沢亮)。青山千春(大政絢)の顧問就任をきっかけに結局は自ら志願して入部した千秋亮(間宮祥太朗)と宮口幸喜(矢本悠馬)。総勢6人となった水球部員だが、水球部の正式な発足にはあと1人部員が必要だった。そして、その1人は三船龍二(山崎賢人)以外にはいないと、尚弥と3バカトリオは龍二の説得に乗り出す。  　教頭の桑原半蔵(北村有起哉)は尚弥たちが練習"&amp;"する姿にふと足を止める龍二の姿を目撃する。水蘭高校水球部顧問・庄司真冬(倉科カナ)の電話での言葉が気にはなっていたが、あくまでも水球部発足に反対の桑原は龍二を問い詰め、尚弥たちの妨害をしようとする。  　自分たちが水球部に入ったことを告げ、その勢いで龍二を入部させようと試みる3バカトリオだったが、3人の入部には反対しないものの、自分の入部だけは頑なに拒否をする龍二。尚弥の作戦も功を奏さず、龍二はますます態度を硬化させる。  　追い詰められた尚弥と3バカトリオは、龍二に果たし状を叩きつける。相手にしようとも"&amp;"しない龍二に対し、公平が果たし状を見るように促す。果たし状を開ける龍二。そこには朋生、公平、慎介の大きな決断の文字が記されていた。")</f>
        <v>稲葉尚弥(中島裕翔)の真っ直ぐでバカ正直な行動と言葉に心を動かされ、ついにカス高水球部に入部した3バカトリオの木村朋生(千葉雄大)、志村公平(中川大志)、加東慎介(吉沢亮)。青山千春(大政絢)の顧問就任をきっかけに結局は自ら志願して入部した千秋亮(間宮祥太朗)と宮口幸喜(矢本悠馬)。総勢6人となった水球部員だが、水球部の正式な発足にはあと1人部員が必要だった。そして、その1人は三船龍二(山崎賢人)以外にはいないと、尚弥と3バカトリオは龍二の説得に乗り出す。  　教頭の桑原半蔵(北村有起哉)は尚弥たちが練習する姿にふと足を止める龍二の姿を目撃する。水蘭高校水球部顧問・庄司真冬(倉科カナ)の電話での言葉が気にはなっていたが、あくまでも水球部発足に反対の桑原は龍二を問い詰め、尚弥たちの妨害をしようとする。  　自分たちが水球部に入ったことを告げ、その勢いで龍二を入部させようと試みる3バカトリオだったが、3人の入部には反対しないものの、自分の入部だけは頑なに拒否をする龍二。尚弥の作戦も功を奏さず、龍二はますます態度を硬化させる。  　追い詰められた尚弥と3バカトリオは、龍二に果たし状を叩きつける。相手にしようともしない龍二に対し、公平が果たし状を見るように促す。果たし状を開ける龍二。そこには朋生、公平、慎介の大きな決断の文字が記されていた。</v>
      </c>
      <c r="N759" s="2"/>
      <c r="O759" s="2"/>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row>
    <row r="760" ht="204.75" customHeight="1">
      <c r="A760" s="1">
        <v>2682.0</v>
      </c>
      <c r="B760" s="2" t="s">
        <v>2426</v>
      </c>
      <c r="C760" s="2">
        <f>IFERROR(__xludf.DUMMYFUNCTION("split(B760,""_"")"),1407.0)</f>
        <v>1407</v>
      </c>
      <c r="D760" s="2" t="str">
        <f>IFERROR(__xludf.DUMMYFUNCTION("""COMPUTED_VALUE"""),"CX")</f>
        <v>CX</v>
      </c>
      <c r="E760" s="2" t="str">
        <f>IFERROR(__xludf.DUMMYFUNCTION("""COMPUTED_VALUE"""),"土23")</f>
        <v>土23</v>
      </c>
      <c r="F760" s="2" t="s">
        <v>2427</v>
      </c>
      <c r="G760" s="2" t="s">
        <v>2438</v>
      </c>
      <c r="H760" s="1">
        <v>4.0</v>
      </c>
      <c r="I760" s="1" t="s">
        <v>14</v>
      </c>
      <c r="J760" s="1" t="s">
        <v>2429</v>
      </c>
      <c r="K760" s="2" t="s">
        <v>2439</v>
      </c>
      <c r="L760" s="2" t="s">
        <v>2440</v>
      </c>
      <c r="M760" s="2" t="str">
        <f>IFERROR(__xludf.DUMMYFUNCTION("split(split(K760,""中島裕翔(Hey!Say!JUMP)"",false),""公式LINE"",false)"),"三船龍二(山崎賢人)の入部が決まり、正式に活動を開始したカス高水球部。それぞれの決意を胸に「てっぺん」を目指し一致団結して・・・と思いきや、フローターの座をめぐって早速、稲葉尚弥(中島裕翔)と千秋亮(間宮祥太朗)が火花を散らしていた。そんな2人を見兼ねた顧問の青山千春(大政絢)はフローター、そしてキャプテンに龍二を任命し1カ月後に水蘭高校と練習試合をすることになったと告げる。　どうにかこうにか水球部を発足させた尚弥たちだったが、問題は山積みだった。水蘭との練習試合に向けて、まずは水球専用の水着とキャップを"&amp;"人数分そろえる必要がある。ところが教頭の桑原半蔵(北村有起哉)は千春の嘆願を受け入れず、部活動予算を出そうとはしない。打開策を図るため、いつものようにお好み焼き屋「かとちゃん」に集合した尚弥たちだったが、そこに現れた水蘭水球部の郷田剛(鈴木伸之)と前畑涼子(筧美和子)により、千秋の思いもよらぬ過去を知ることになる。  　千秋が学校をサボるようになって数日後。窃盗の被害にあったという女性からカス高に電話が掛かってくる。犯人の名前は千秋だという。桑原に廃部を言い渡され反論すらできない部員たち。だが、宮口幸喜("&amp;"矢本悠馬)だけは千秋を信じていた。絶対に千秋ではないと信じる理由が幸喜にはあった。")</f>
        <v>三船龍二(山崎賢人)の入部が決まり、正式に活動を開始したカス高水球部。それぞれの決意を胸に「てっぺん」を目指し一致団結して・・・と思いきや、フローターの座をめぐって早速、稲葉尚弥(中島裕翔)と千秋亮(間宮祥太朗)が火花を散らしていた。そんな2人を見兼ねた顧問の青山千春(大政絢)はフローター、そしてキャプテンに龍二を任命し1カ月後に水蘭高校と練習試合をすることになったと告げる。　どうにかこうにか水球部を発足させた尚弥たちだったが、問題は山積みだった。水蘭との練習試合に向けて、まずは水球専用の水着とキャップを人数分そろえる必要がある。ところが教頭の桑原半蔵(北村有起哉)は千春の嘆願を受け入れず、部活動予算を出そうとはしない。打開策を図るため、いつものようにお好み焼き屋「かとちゃん」に集合した尚弥たちだったが、そこに現れた水蘭水球部の郷田剛(鈴木伸之)と前畑涼子(筧美和子)により、千秋の思いもよらぬ過去を知ることになる。  　千秋が学校をサボるようになって数日後。窃盗の被害にあったという女性からカス高に電話が掛かってくる。犯人の名前は千秋だという。桑原に廃部を言い渡され反論すらできない部員たち。だが、宮口幸喜(矢本悠馬)だけは千秋を信じていた。絶対に千秋ではないと信じる理由が幸喜にはあった。</v>
      </c>
      <c r="N760" s="2"/>
      <c r="O760" s="2"/>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row>
    <row r="761" ht="204.75" customHeight="1">
      <c r="A761" s="1">
        <v>2683.0</v>
      </c>
      <c r="B761" s="2" t="s">
        <v>2426</v>
      </c>
      <c r="C761" s="2">
        <f>IFERROR(__xludf.DUMMYFUNCTION("split(B761,""_"")"),1407.0)</f>
        <v>1407</v>
      </c>
      <c r="D761" s="2" t="str">
        <f>IFERROR(__xludf.DUMMYFUNCTION("""COMPUTED_VALUE"""),"CX")</f>
        <v>CX</v>
      </c>
      <c r="E761" s="2" t="str">
        <f>IFERROR(__xludf.DUMMYFUNCTION("""COMPUTED_VALUE"""),"土23")</f>
        <v>土23</v>
      </c>
      <c r="F761" s="2" t="s">
        <v>2427</v>
      </c>
      <c r="G761" s="2" t="s">
        <v>2441</v>
      </c>
      <c r="H761" s="1">
        <v>5.0</v>
      </c>
      <c r="I761" s="1" t="s">
        <v>17</v>
      </c>
      <c r="J761" s="1" t="s">
        <v>2429</v>
      </c>
      <c r="K761" s="2" t="s">
        <v>2442</v>
      </c>
      <c r="L761" s="2" t="s">
        <v>2443</v>
      </c>
      <c r="M761" s="2" t="str">
        <f>IFERROR(__xludf.DUMMYFUNCTION("split(split(K761,""中島裕翔(Hey!Say!JUMP)"",false),""公式LINE"",false)"),"練習試合の為、血気盛んに水蘭高校に乗り込んだ稲葉尚弥(中島裕翔)らカス高水球部員たちだったが、相手が藤崎玲(新川優愛)率いる女子水球部だと知って激怒する。ただ1人、三船龍二(山崎賢人)を除いては…。  　龍二の言葉に一念発起した部員は改めて水蘭高校女子水球部との練習試合に挑むことになった。第1ピリオドは華麗な連携プレイでリードしたカス高だったが、第2ピリオドは水蘭女子のパス回しに翻弄(ほんろう)され、逆転を許す。第3ピリオド、部員たちの体力が奪われ、勝機がないと判断した龍二は、連携プレイを諦めて個人プレイ"&amp;"に徹しゴールラッシュ。やはり女子では龍二を止められない。そう思った水蘭のエース・北島虎雄(高木雄也)は顧問の庄司真冬(倉科カナ)に出場を直訴、ついに尚弥、龍二らカス高水球部が虎雄と相まみえることに。  　気合の入る尚弥らだったが、いざ試合が始まると実力の差は歴然…。カス高水球部員たちはショックを隠せない。おまけに龍二の個人プレイに不満をあらわにする千秋亮(間宮祥太朗)と龍二の間では内紛も勃発。そんな最中、龍二は真冬から「水蘭水球部に来てほしい」と告げられる。  　水蘭との練習試合後、龍二の動向が気になって"&amp;"仕方がないカス高部員たちは険悪な雰囲気で崩壊寸前。そしてその翌日から、龍二は練習に姿を見せなくなってしまう。")</f>
        <v>練習試合の為、血気盛んに水蘭高校に乗り込んだ稲葉尚弥(中島裕翔)らカス高水球部員たちだったが、相手が藤崎玲(新川優愛)率いる女子水球部だと知って激怒する。ただ1人、三船龍二(山崎賢人)を除いては…。  　龍二の言葉に一念発起した部員は改めて水蘭高校女子水球部との練習試合に挑むことになった。第1ピリオドは華麗な連携プレイでリードしたカス高だったが、第2ピリオドは水蘭女子のパス回しに翻弄(ほんろう)され、逆転を許す。第3ピリオド、部員たちの体力が奪われ、勝機がないと判断した龍二は、連携プレイを諦めて個人プレイに徹しゴールラッシュ。やはり女子では龍二を止められない。そう思った水蘭のエース・北島虎雄(高木雄也)は顧問の庄司真冬(倉科カナ)に出場を直訴、ついに尚弥、龍二らカス高水球部が虎雄と相まみえることに。  　気合の入る尚弥らだったが、いざ試合が始まると実力の差は歴然…。カス高水球部員たちはショックを隠せない。おまけに龍二の個人プレイに不満をあらわにする千秋亮(間宮祥太朗)と龍二の間では内紛も勃発。そんな最中、龍二は真冬から「水蘭水球部に来てほしい」と告げられる。  　水蘭との練習試合後、龍二の動向が気になって仕方がないカス高部員たちは険悪な雰囲気で崩壊寸前。そしてその翌日から、龍二は練習に姿を見せなくなってしまう。</v>
      </c>
      <c r="N761" s="2"/>
      <c r="O761" s="2"/>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row>
    <row r="762" ht="204.75" customHeight="1">
      <c r="A762" s="1">
        <v>2684.0</v>
      </c>
      <c r="B762" s="2" t="s">
        <v>2426</v>
      </c>
      <c r="C762" s="2">
        <f>IFERROR(__xludf.DUMMYFUNCTION("split(B762,""_"")"),1407.0)</f>
        <v>1407</v>
      </c>
      <c r="D762" s="2" t="str">
        <f>IFERROR(__xludf.DUMMYFUNCTION("""COMPUTED_VALUE"""),"CX")</f>
        <v>CX</v>
      </c>
      <c r="E762" s="2" t="str">
        <f>IFERROR(__xludf.DUMMYFUNCTION("""COMPUTED_VALUE"""),"土23")</f>
        <v>土23</v>
      </c>
      <c r="F762" s="2" t="s">
        <v>2427</v>
      </c>
      <c r="G762" s="2" t="s">
        <v>2444</v>
      </c>
      <c r="H762" s="1">
        <v>6.0</v>
      </c>
      <c r="I762" s="1" t="s">
        <v>21</v>
      </c>
      <c r="J762" s="1" t="s">
        <v>2429</v>
      </c>
      <c r="K762" s="2" t="s">
        <v>2445</v>
      </c>
      <c r="L762" s="2" t="s">
        <v>2446</v>
      </c>
      <c r="M762" s="2" t="str">
        <f>IFERROR(__xludf.DUMMYFUNCTION("split(split(K762,""中島裕翔(Hey!Say!JUMP)"",false),""公式LINE"",false)"),"「女子バレーボールワールドグランプリ2014日本×ベルギー」延長の際、放送時間繰り下げの場合あり。　水蘭高校との練習試合に大敗し、落ち込む部員たちに追い打ちをかけるように三船龍二(山崎賢人)が水蘭水球部に引き抜かれ、崩壊寸前のカス高水球部。しかし他の部員が誰1人練習に姿を見せないプールで稲葉尚弥(中島裕翔)は仲間を信じ、黙々と練習を続けていた。そんな尚弥の傍らでボンヤリとしている顧問の青山千春(大政絢)に尚弥は「強化合宿をしよう」と言い出す。  　お手製の旅のしおりを持って部員たちを強化合宿に誘う尚弥だっ"&amp;"たが、まるで相手にされない。一方、龍二は水蘭高校水球部顧問の庄司真冬(倉科カナ)のもとを訪れていた。尚弥たちを密かに応援していた岩崎渚(大原櫻子)は、そんな龍二の姿を見て複雑な心境。  　強化合宿当日。部員たちが集まることを信じて家を出る尚弥。しかしもう龍二の足を引っ張りたくない、そんな気持ちを抱く3バカトリオはRev.　from　DVLのコンサート会場に来ていた。大ファンの橋本環奈(橋本環奈)が水球インターハイの応援ツアーで蓮水町に来ているのだ。その橋本は開演前に散歩に出てみたのは良いが途中で迷子になっ"&amp;"てしまう。そこで偶然にも合宿に向かう尚弥と遭遇し…。  　水蘭水球部の練習に初めて参加することになった龍二。龍二も含めた新しいフォーメーションを発表しようとする真冬に対し、水蘭のエース・北島虎雄(高木雄也)はどっちが水蘭のエースにふさわしいか、龍二と勝負したいと申し出る。")</f>
        <v>「女子バレーボールワールドグランプリ2014日本×ベルギー」延長の際、放送時間繰り下げの場合あり。　水蘭高校との練習試合に大敗し、落ち込む部員たちに追い打ちをかけるように三船龍二(山崎賢人)が水蘭水球部に引き抜かれ、崩壊寸前のカス高水球部。しかし他の部員が誰1人練習に姿を見せないプールで稲葉尚弥(中島裕翔)は仲間を信じ、黙々と練習を続けていた。そんな尚弥の傍らでボンヤリとしている顧問の青山千春(大政絢)に尚弥は「強化合宿をしよう」と言い出す。  　お手製の旅のしおりを持って部員たちを強化合宿に誘う尚弥だったが、まるで相手にされない。一方、龍二は水蘭高校水球部顧問の庄司真冬(倉科カナ)のもとを訪れていた。尚弥たちを密かに応援していた岩崎渚(大原櫻子)は、そんな龍二の姿を見て複雑な心境。  　強化合宿当日。部員たちが集まることを信じて家を出る尚弥。しかしもう龍二の足を引っ張りたくない、そんな気持ちを抱く3バカトリオはRev.　from　DVLのコンサート会場に来ていた。大ファンの橋本環奈(橋本環奈)が水球インターハイの応援ツアーで蓮水町に来ているのだ。その橋本は開演前に散歩に出てみたのは良いが途中で迷子になってしまう。そこで偶然にも合宿に向かう尚弥と遭遇し…。  　水蘭水球部の練習に初めて参加することになった龍二。龍二も含めた新しいフォーメーションを発表しようとする真冬に対し、水蘭のエース・北島虎雄(高木雄也)はどっちが水蘭のエースにふさわしいか、龍二と勝負したいと申し出る。</v>
      </c>
      <c r="N762" s="2"/>
      <c r="O762" s="2"/>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row>
    <row r="763" ht="204.75" customHeight="1">
      <c r="A763" s="1">
        <v>2685.0</v>
      </c>
      <c r="B763" s="2" t="s">
        <v>2426</v>
      </c>
      <c r="C763" s="2">
        <f>IFERROR(__xludf.DUMMYFUNCTION("split(B763,""_"")"),1407.0)</f>
        <v>1407</v>
      </c>
      <c r="D763" s="2" t="str">
        <f>IFERROR(__xludf.DUMMYFUNCTION("""COMPUTED_VALUE"""),"CX")</f>
        <v>CX</v>
      </c>
      <c r="E763" s="2" t="str">
        <f>IFERROR(__xludf.DUMMYFUNCTION("""COMPUTED_VALUE"""),"土23")</f>
        <v>土23</v>
      </c>
      <c r="F763" s="2" t="s">
        <v>2427</v>
      </c>
      <c r="G763" s="2" t="s">
        <v>2447</v>
      </c>
      <c r="H763" s="1">
        <v>7.0</v>
      </c>
      <c r="I763" s="1" t="s">
        <v>25</v>
      </c>
      <c r="J763" s="1" t="s">
        <v>2429</v>
      </c>
      <c r="K763" s="2" t="s">
        <v>2448</v>
      </c>
      <c r="L763" s="2" t="s">
        <v>2449</v>
      </c>
      <c r="M763" s="2" t="str">
        <f>IFERROR(__xludf.DUMMYFUNCTION("split(split(K763,""中島裕翔(Hey!Say!JUMP)"",false),""公式LINE"",false)"),"それぞれの思いを胸に、再び結束を固めたカス高水球部員たちだったが、またしても彼らに試練が襲いかかる。商店街に掲げられていた水蘭水球部を応援するポスターやのぼりが破り捨てられ、シャッターには『カス高ミズタマ部　夜露死苦』と派手な落書きがされていた。そして、荒らされた現場には稲葉尚弥(中島裕翔)の生徒手帳が…。  　尚弥を犯人と決めつける教頭の桑原半蔵(北村有起哉)は、水球部の活動停止を言い渡す。水球部を温かく見守ってきた校長の荒川重信(森本レオ)も、今回ばかりはうなずくしかない。顧問の青山千春(大政絢)から"&amp;"尚弥の自宅謹慎と水球部の活動停止を聞いた部員たちは激高するが、三船龍二(山崎賢人)は「ハメられた」と感じていた。  　尚弥を信じる部員たちが商店街で犯人の手がかりを探していると、またしてもシャッターに『カス高参上!』などと落書きされているのを見つける。ところが落書きを消そうとしているところを目撃され、再びカス高水球部員たちが犯人だと疑われてしまう。商店街の人には何を言っても信じてもらえず、桑原からは廃部を検討すると告げられ、なす術のない水球部員たち。  　部員たちから事の次第を聞いた尚弥は、カス高水球部を"&amp;"守るため、自分を信じてくれた仲間の思いをつぶさないため、辛く苦しい決断をすることになる。しかし、そんな尚弥の思いを知った部員たちは…。")</f>
        <v>それぞれの思いを胸に、再び結束を固めたカス高水球部員たちだったが、またしても彼らに試練が襲いかかる。商店街に掲げられていた水蘭水球部を応援するポスターやのぼりが破り捨てられ、シャッターには『カス高ミズタマ部　夜露死苦』と派手な落書きがされていた。そして、荒らされた現場には稲葉尚弥(中島裕翔)の生徒手帳が…。  　尚弥を犯人と決めつける教頭の桑原半蔵(北村有起哉)は、水球部の活動停止を言い渡す。水球部を温かく見守ってきた校長の荒川重信(森本レオ)も、今回ばかりはうなずくしかない。顧問の青山千春(大政絢)から尚弥の自宅謹慎と水球部の活動停止を聞いた部員たちは激高するが、三船龍二(山崎賢人)は「ハメられた」と感じていた。  　尚弥を信じる部員たちが商店街で犯人の手がかりを探していると、またしてもシャッターに『カス高参上!』などと落書きされているのを見つける。ところが落書きを消そうとしているところを目撃され、再びカス高水球部員たちが犯人だと疑われてしまう。商店街の人には何を言っても信じてもらえず、桑原からは廃部を検討すると告げられ、なす術のない水球部員たち。  　部員たちから事の次第を聞いた尚弥は、カス高水球部を守るため、自分を信じてくれた仲間の思いをつぶさないため、辛く苦しい決断をすることになる。しかし、そんな尚弥の思いを知った部員たちは…。</v>
      </c>
      <c r="N763" s="2"/>
      <c r="O763" s="2"/>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row>
    <row r="764" ht="204.75" customHeight="1">
      <c r="A764" s="1">
        <v>2686.0</v>
      </c>
      <c r="B764" s="2" t="s">
        <v>2426</v>
      </c>
      <c r="C764" s="2">
        <f>IFERROR(__xludf.DUMMYFUNCTION("split(B764,""_"")"),1407.0)</f>
        <v>1407</v>
      </c>
      <c r="D764" s="2" t="str">
        <f>IFERROR(__xludf.DUMMYFUNCTION("""COMPUTED_VALUE"""),"CX")</f>
        <v>CX</v>
      </c>
      <c r="E764" s="2" t="str">
        <f>IFERROR(__xludf.DUMMYFUNCTION("""COMPUTED_VALUE"""),"土23")</f>
        <v>土23</v>
      </c>
      <c r="F764" s="2" t="s">
        <v>2427</v>
      </c>
      <c r="G764" s="2" t="s">
        <v>2450</v>
      </c>
      <c r="H764" s="1">
        <v>8.0</v>
      </c>
      <c r="I764" s="1" t="s">
        <v>29</v>
      </c>
      <c r="J764" s="1" t="s">
        <v>2429</v>
      </c>
      <c r="K764" s="2" t="s">
        <v>2451</v>
      </c>
      <c r="L764" s="2" t="s">
        <v>2452</v>
      </c>
      <c r="M764" s="2" t="str">
        <f>IFERROR(__xludf.DUMMYFUNCTION("split(split(K764,""中島裕翔(Hey!Say!JUMP)"",false),""公式LINE"",false)"),"インターハイ予選に向け強化合宿を組んだカス高水球部だったが、ここでも水蘭高校との格差が露呈する。プールを使えるのは水蘭の練習がない時間だけ。そして宿舎は水蘭のそれとは比較にならないボロボロな民宿。それでもヤル気まんまんの稲葉尚弥(中島裕翔)をはじめ水球部員一同は宿に着くなり水着に着替えるが、民宿のオーナー・鮫島仁(宇梶剛士)にプールとは違う場所に連れていかれて…。  　3バカトリオの木村朋生(千葉雄大)、志村公平(中川大志)、加東慎介(吉沢亮)と千秋亮(間宮祥太朗)、宮口幸喜(矢本悠馬)の5人は合宿の楽し"&amp;"みはこれからとばかりに何か良からぬ相談をしている。尚弥は水球の練習ができない鬱憤(うっぷん)が爆発して、民宿のツボを壊してしまう。そして、三船龍二(山崎賢人)は海岸で水蘭の女子水球部キャプテン・藤崎玲(新川優愛)と会っていた。2人とも水蘭の水球部キャプテン・北島虎雄(高木雄也)のことを気にかけているようだ。  　一方、虎雄は夜のプールでただ1人、無心にシュートの練習を続けていた。そこへ片づけに現れた水蘭の水球部マネージャー・岩崎渚(大原櫻子)は練習する虎雄の姿を見て、虎雄の身に異変があることに気づく。  "&amp;"　翌日、プールサイドに集合し円陣を組むカス高水球部。いよいよ水球の練習が始まる。と思いきや、またしても鮫島が現れ、ツボを割ったと白状した尚弥をプールの表に引きずり出してしまう。")</f>
        <v>インターハイ予選に向け強化合宿を組んだカス高水球部だったが、ここでも水蘭高校との格差が露呈する。プールを使えるのは水蘭の練習がない時間だけ。そして宿舎は水蘭のそれとは比較にならないボロボロな民宿。それでもヤル気まんまんの稲葉尚弥(中島裕翔)をはじめ水球部員一同は宿に着くなり水着に着替えるが、民宿のオーナー・鮫島仁(宇梶剛士)にプールとは違う場所に連れていかれて…。  　3バカトリオの木村朋生(千葉雄大)、志村公平(中川大志)、加東慎介(吉沢亮)と千秋亮(間宮祥太朗)、宮口幸喜(矢本悠馬)の5人は合宿の楽しみはこれからとばかりに何か良からぬ相談をしている。尚弥は水球の練習ができない鬱憤(うっぷん)が爆発して、民宿のツボを壊してしまう。そして、三船龍二(山崎賢人)は海岸で水蘭の女子水球部キャプテン・藤崎玲(新川優愛)と会っていた。2人とも水蘭の水球部キャプテン・北島虎雄(高木雄也)のことを気にかけているようだ。  　一方、虎雄は夜のプールでただ1人、無心にシュートの練習を続けていた。そこへ片づけに現れた水蘭の水球部マネージャー・岩崎渚(大原櫻子)は練習する虎雄の姿を見て、虎雄の身に異変があることに気づく。  　翌日、プールサイドに集合し円陣を組むカス高水球部。いよいよ水球の練習が始まる。と思いきや、またしても鮫島が現れ、ツボを割ったと白状した尚弥をプールの表に引きずり出してしまう。</v>
      </c>
      <c r="N764" s="2"/>
      <c r="O764" s="2"/>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row>
    <row r="765" ht="204.75" customHeight="1">
      <c r="A765" s="1">
        <v>2687.0</v>
      </c>
      <c r="B765" s="2" t="s">
        <v>2426</v>
      </c>
      <c r="C765" s="2">
        <f>IFERROR(__xludf.DUMMYFUNCTION("split(B765,""_"")"),1407.0)</f>
        <v>1407</v>
      </c>
      <c r="D765" s="2" t="str">
        <f>IFERROR(__xludf.DUMMYFUNCTION("""COMPUTED_VALUE"""),"CX")</f>
        <v>CX</v>
      </c>
      <c r="E765" s="2" t="str">
        <f>IFERROR(__xludf.DUMMYFUNCTION("""COMPUTED_VALUE"""),"土23")</f>
        <v>土23</v>
      </c>
      <c r="F765" s="2" t="s">
        <v>2427</v>
      </c>
      <c r="G765" s="2" t="s">
        <v>2453</v>
      </c>
      <c r="H765" s="1">
        <v>9.0</v>
      </c>
      <c r="I765" s="1" t="s">
        <v>33</v>
      </c>
      <c r="J765" s="1" t="s">
        <v>2429</v>
      </c>
      <c r="K765" s="2" t="s">
        <v>2454</v>
      </c>
      <c r="L765" s="2" t="s">
        <v>2455</v>
      </c>
      <c r="M765" s="2" t="str">
        <f>IFERROR(__xludf.DUMMYFUNCTION("split(split(K765,""中島裕翔(Hey!Say!JUMP)"",false),""公式LINE"",false)"),"強化合宿を無事に終えたカス高水球部。部員たちを乗せたバスは見慣れた街並みに差し掛かっていた。部員一同がぐっすりと眠る中、ひとり目を覚ました稲葉尚弥(中島裕翔)は何気なく視線を送った先にいた1人の男に目を奪われる。尚弥が10年間憧れ続け、誇りに思ってきたその男の名は黒澤義男(横山裕)。尚弥、そしてもう1人、青山千春(大政絢)の人生を変えたカス高の元番長だった。　バスを止め、道路に飛び出した尚弥は黒澤に声を掛ける。「黒澤さんですよね」。しかし黒澤は尚弥から顔を背け、社名の入ったワゴン車に乗り込み、走り去ってし"&amp;"まう。それでも残された尚弥は興奮冷めやらず「やっと会えた…!」  　ワゴン車に書かれていた社名を足掛かりに、黒澤の会社を訪れた尚弥。ビルの中から作業着姿の黒澤が出て来るのを見つけ、10年間の思いの丈を打ち明ける。しかし、黒澤の口からこぼれたのは尚弥が想像すらしていなかった言葉だった。ショックで言葉の出ない尚弥。そんな2人をぼうぜんと見つめる千春。  　姿を消した尚弥を心配し岩崎渚(大原櫻子)の家に集まった部員たち。渚は黒澤と出会った日から尚弥がどんなふうに生きていたのかを語り始めるが、尚弥への思いが込み上"&amp;"げてきて動揺をあらわにする。")</f>
        <v>強化合宿を無事に終えたカス高水球部。部員たちを乗せたバスは見慣れた街並みに差し掛かっていた。部員一同がぐっすりと眠る中、ひとり目を覚ました稲葉尚弥(中島裕翔)は何気なく視線を送った先にいた1人の男に目を奪われる。尚弥が10年間憧れ続け、誇りに思ってきたその男の名は黒澤義男(横山裕)。尚弥、そしてもう1人、青山千春(大政絢)の人生を変えたカス高の元番長だった。　バスを止め、道路に飛び出した尚弥は黒澤に声を掛ける。「黒澤さんですよね」。しかし黒澤は尚弥から顔を背け、社名の入ったワゴン車に乗り込み、走り去ってしまう。それでも残された尚弥は興奮冷めやらず「やっと会えた…!」  　ワゴン車に書かれていた社名を足掛かりに、黒澤の会社を訪れた尚弥。ビルの中から作業着姿の黒澤が出て来るのを見つけ、10年間の思いの丈を打ち明ける。しかし、黒澤の口からこぼれたのは尚弥が想像すらしていなかった言葉だった。ショックで言葉の出ない尚弥。そんな2人をぼうぜんと見つめる千春。  　姿を消した尚弥を心配し岩崎渚(大原櫻子)の家に集まった部員たち。渚は黒澤と出会った日から尚弥がどんなふうに生きていたのかを語り始めるが、尚弥への思いが込み上げてきて動揺をあらわにする。</v>
      </c>
      <c r="N765" s="2"/>
      <c r="O765" s="2"/>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row>
    <row r="766" ht="204.75" customHeight="1">
      <c r="A766" s="1">
        <v>2688.0</v>
      </c>
      <c r="B766" s="2" t="s">
        <v>2426</v>
      </c>
      <c r="C766" s="2">
        <f>IFERROR(__xludf.DUMMYFUNCTION("split(B766,""_"")"),1407.0)</f>
        <v>1407</v>
      </c>
      <c r="D766" s="2" t="str">
        <f>IFERROR(__xludf.DUMMYFUNCTION("""COMPUTED_VALUE"""),"CX")</f>
        <v>CX</v>
      </c>
      <c r="E766" s="2" t="str">
        <f>IFERROR(__xludf.DUMMYFUNCTION("""COMPUTED_VALUE"""),"土23")</f>
        <v>土23</v>
      </c>
      <c r="F766" s="2" t="s">
        <v>2427</v>
      </c>
      <c r="G766" s="2" t="s">
        <v>2456</v>
      </c>
      <c r="H766" s="1">
        <v>10.0</v>
      </c>
      <c r="I766" s="1" t="s">
        <v>37</v>
      </c>
      <c r="J766" s="1" t="s">
        <v>2429</v>
      </c>
      <c r="K766" s="2" t="s">
        <v>2457</v>
      </c>
      <c r="L766" s="2" t="s">
        <v>2458</v>
      </c>
      <c r="M766" s="2" t="str">
        <f>IFERROR(__xludf.DUMMYFUNCTION("split(split(K766,""中島裕翔(Hey!Say!JUMP)"",false),""公式LINE"",false)"),"いよいよ水蘭との決勝戦を迎えたカス高水球部。試合前の控室では大事な一戦を目前にした部員たちが緊張で固くなっている。そんな中、稲葉尚弥(中島裕翔)の右肩を三船龍二(山崎賢人)は気に掛けていた。昨夜、何者かによって尚弥が襲われたのだ。  　とあるオフィス。黒澤義男(横山裕)はポケットから取り出した大会のチラシを眺めていた。尚弥と出会って10年…、自分から誇りを奪い去るには十分な時間だった。カス高での栄光も、番長としての誇りも、社会に出れば一切通用しなかった。いつしか自分は過去から逃れながら生きるようになった。"&amp;"そんな時、あの時の少年が高校生になって、突然自分の前に現れた。それが尚弥だった。  　客席は水蘭を応援する人たちで埋まっていた。カス高にとっては完全にアウェイな状況の中、運命の笛が鳴った。中央に浮かぶボールに向かい、両校の選手たちが一斉に泳ぎだす。真っ先にボールをつかみ取った尚弥はフローターバックの龍二にパスを出す。龍二との1対1の勝負を挑む水蘭のエース・北島虎雄(高木雄也)。しかし龍二は前線に泳ぐ木村朋生(千葉雄大)にパスを出す。それぞれが体を張ったブロックでパスコースを作りチームプレイに徹するカス高。"&amp;"それに対し強引な攻めの目立つ水蘭。一進一退の激しい攻防が続くなか、尚弥の肩が遂に悲鳴をあげる。")</f>
        <v>いよいよ水蘭との決勝戦を迎えたカス高水球部。試合前の控室では大事な一戦を目前にした部員たちが緊張で固くなっている。そんな中、稲葉尚弥(中島裕翔)の右肩を三船龍二(山崎賢人)は気に掛けていた。昨夜、何者かによって尚弥が襲われたのだ。  　とあるオフィス。黒澤義男(横山裕)はポケットから取り出した大会のチラシを眺めていた。尚弥と出会って10年…、自分から誇りを奪い去るには十分な時間だった。カス高での栄光も、番長としての誇りも、社会に出れば一切通用しなかった。いつしか自分は過去から逃れながら生きるようになった。そんな時、あの時の少年が高校生になって、突然自分の前に現れた。それが尚弥だった。  　客席は水蘭を応援する人たちで埋まっていた。カス高にとっては完全にアウェイな状況の中、運命の笛が鳴った。中央に浮かぶボールに向かい、両校の選手たちが一斉に泳ぎだす。真っ先にボールをつかみ取った尚弥はフローターバックの龍二にパスを出す。龍二との1対1の勝負を挑む水蘭のエース・北島虎雄(高木雄也)。しかし龍二は前線に泳ぐ木村朋生(千葉雄大)にパスを出す。それぞれが体を張ったブロックでパスコースを作りチームプレイに徹するカス高。それに対し強引な攻めの目立つ水蘭。一進一退の激しい攻防が続くなか、尚弥の肩が遂に悲鳴をあげる。</v>
      </c>
      <c r="N766" s="2"/>
      <c r="O766" s="2"/>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row>
    <row r="767" ht="204.75" customHeight="1">
      <c r="A767" s="1">
        <v>2710.0</v>
      </c>
      <c r="B767" s="2" t="s">
        <v>2459</v>
      </c>
      <c r="C767" s="2">
        <f>IFERROR(__xludf.DUMMYFUNCTION("split(B767,""_"")"),1404.0)</f>
        <v>1404</v>
      </c>
      <c r="D767" s="2" t="str">
        <f>IFERROR(__xludf.DUMMYFUNCTION("""COMPUTED_VALUE"""),"CX")</f>
        <v>CX</v>
      </c>
      <c r="E767" s="2" t="str">
        <f>IFERROR(__xludf.DUMMYFUNCTION("""COMPUTED_VALUE"""),"月21")</f>
        <v>月21</v>
      </c>
      <c r="F767" s="2" t="s">
        <v>2460</v>
      </c>
      <c r="G767" s="2" t="s">
        <v>2461</v>
      </c>
      <c r="H767" s="1">
        <v>1.0</v>
      </c>
      <c r="I767" s="1" t="s">
        <v>3</v>
      </c>
      <c r="J767" s="1" t="s">
        <v>4</v>
      </c>
      <c r="K767" s="4" t="s">
        <v>2462</v>
      </c>
      <c r="L767" s="2" t="s">
        <v>2463</v>
      </c>
      <c r="M767" s="2" t="str">
        <f>IFERROR(__xludf.DUMMYFUNCTION("split(split(K767,""尾野真千子　"",false),""公式LINE"",false)"),"フリーターの神崎薫(尾野真千子)は、ファミレスの店内で怒突工事(中野英雄)に迷惑料の200万円を払えとすごまれていた。元カレの茸本和磨(三浦翔平)が、怒突のクレジットカードを偽造し金を作ったのがばれたのだ。ところが、茸本が雲隠れしたため、薫はとばっちりで怒突と対面するはめになった。そこへ金子千秋(三浦友和)と夏目大作(竹内力)が入ってくる。さらに巻上輝男(宇梶剛士)が、矢敷聡美(夏菜)を連れて来た。聡美も借金があるという。怒突に代わりその場を仕切り始めた金子は、「小清水経営コンサルタント」と書かれた名刺を"&amp;"差し出した。「小清水経営コンサルタント」ではその頃、所長の小清水元(小林薫)が冬月啓(椎名桔平)を呼び一通の公正証書を手渡すと、不良債権の回収を指示した。その傍には弁護士の豊臣嫌太郎(宮藤官九郎)と会計士の抜道琢己(板尾創路)もいた。金子は、薫と聡美に札束を見せ、この金を怒突らに渡し誓約書を取り戻せば手が切れると説明。提案を受け入れた薫らは新たな借用書にサインし、怒突らに金を返す。新たに借りた金の返済はどうすればいいのかと聞く薫らを、金子は真矢樫キリコ(仲里依紗)のいるスナックに案内。そこである島で住み込"&amp;"みで働くコンパニオンの仕事を紹介。いかにも怪しげな仕事をいぶかしがる薫らに金子は、これなら3カ月で200万円を稼げると断言。明日の出発までに答えを出せと言われた薫は…。")</f>
        <v>フリーターの神崎薫(尾野真千子)は、ファミレスの店内で怒突工事(中野英雄)に迷惑料の200万円を払えとすごまれていた。元カレの茸本和磨(三浦翔平)が、怒突のクレジットカードを偽造し金を作ったのがばれたのだ。ところが、茸本が雲隠れしたため、薫はとばっちりで怒突と対面するはめになった。そこへ金子千秋(三浦友和)と夏目大作(竹内力)が入ってくる。さらに巻上輝男(宇梶剛士)が、矢敷聡美(夏菜)を連れて来た。聡美も借金があるという。怒突に代わりその場を仕切り始めた金子は、「小清水経営コンサルタント」と書かれた名刺を差し出した。「小清水経営コンサルタント」ではその頃、所長の小清水元(小林薫)が冬月啓(椎名桔平)を呼び一通の公正証書を手渡すと、不良債権の回収を指示した。その傍には弁護士の豊臣嫌太郎(宮藤官九郎)と会計士の抜道琢己(板尾創路)もいた。金子は、薫と聡美に札束を見せ、この金を怒突らに渡し誓約書を取り戻せば手が切れると説明。提案を受け入れた薫らは新たな借用書にサインし、怒突らに金を返す。新たに借りた金の返済はどうすればいいのかと聞く薫らを、金子は真矢樫キリコ(仲里依紗)のいるスナックに案内。そこである島で住み込みで働くコンパニオンの仕事を紹介。いかにも怪しげな仕事をいぶかしがる薫らに金子は、これなら3カ月で200万円を稼げると断言。明日の出発までに答えを出せと言われた薫は…。</v>
      </c>
      <c r="N767" s="2"/>
      <c r="O767" s="2"/>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row>
    <row r="768" ht="204.75" customHeight="1">
      <c r="A768" s="1">
        <v>2711.0</v>
      </c>
      <c r="B768" s="2" t="s">
        <v>2459</v>
      </c>
      <c r="C768" s="2">
        <f>IFERROR(__xludf.DUMMYFUNCTION("split(B768,""_"")"),1404.0)</f>
        <v>1404</v>
      </c>
      <c r="D768" s="2" t="str">
        <f>IFERROR(__xludf.DUMMYFUNCTION("""COMPUTED_VALUE"""),"CX")</f>
        <v>CX</v>
      </c>
      <c r="E768" s="2" t="str">
        <f>IFERROR(__xludf.DUMMYFUNCTION("""COMPUTED_VALUE"""),"月21")</f>
        <v>月21</v>
      </c>
      <c r="F768" s="2" t="s">
        <v>2460</v>
      </c>
      <c r="G768" s="2" t="s">
        <v>2464</v>
      </c>
      <c r="H768" s="1">
        <v>2.0</v>
      </c>
      <c r="I768" s="1" t="s">
        <v>7</v>
      </c>
      <c r="J768" s="1" t="s">
        <v>11</v>
      </c>
      <c r="K768" s="2" t="s">
        <v>2465</v>
      </c>
      <c r="L768" s="2" t="s">
        <v>2466</v>
      </c>
      <c r="M768" s="2" t="str">
        <f>IFERROR(__xludf.DUMMYFUNCTION("split(split(K768,""尾野真千子　"",false),""公式LINE"",false)"),"ある日、神崎薫(尾野真千子)は金子千秋(三浦友和)の命令で、とある予備校から運ばれたテレビ、パソコン、コピー機などを倉庫に収めていた。金子は予備校代表の沌面(田窪一世)にそれらを売って出来た金を借金返済に充てろと指示。薫は、借金を踏み倒して夜逃げしようとする沌面の片棒を担ぐことに不快感を示すが、金子に一蹴される。  そのころ、無人の予備校には、印刷会社の社長・橋呉(笹野高史)ら、沌面に金を貸している債権者たちが集まり激怒していた。  一方「小清水経営コンサルタント」では、小清水元(小林薫)が、冬月啓(椎名"&amp;"桔平)に薫が事務所に払う看板料2千万円を立て替えてやってほしいと頼む。そこへ真矢樫キリコ(仲里依紗)が営むスナック「まやかし」で働き始めた茸本和磨(三浦翔平)が、店のメニューを持ってくる。金子に言われ予備校の様子を見に来た薫は、そこで刑事の伊集院保(オダギリ　ジョー)に尋問される橋呉を目撃。予備校の様子が知りたかった橋呉は、無断でドアを破って中に入ったのだ。橋呉は、沌面から400万円以上の未払いがあり、それが回収できなければ自分が倒産してしまうと訴えるが…。  事務所に戻った薫は、沌面が債権者たちから詐欺"&amp;"罪で訴えられるのではと金子に進言。そんな薫に冬月は、看板料を立て替えた借用書を差し出した。内容を見た薫は、利息が月10%、つまり200万円の支払いになると書かれていたことに驚愕する。")</f>
        <v>ある日、神崎薫(尾野真千子)は金子千秋(三浦友和)の命令で、とある予備校から運ばれたテレビ、パソコン、コピー機などを倉庫に収めていた。金子は予備校代表の沌面(田窪一世)にそれらを売って出来た金を借金返済に充てろと指示。薫は、借金を踏み倒して夜逃げしようとする沌面の片棒を担ぐことに不快感を示すが、金子に一蹴される。  そのころ、無人の予備校には、印刷会社の社長・橋呉(笹野高史)ら、沌面に金を貸している債権者たちが集まり激怒していた。  一方「小清水経営コンサルタント」では、小清水元(小林薫)が、冬月啓(椎名桔平)に薫が事務所に払う看板料2千万円を立て替えてやってほしいと頼む。そこへ真矢樫キリコ(仲里依紗)が営むスナック「まやかし」で働き始めた茸本和磨(三浦翔平)が、店のメニューを持ってくる。金子に言われ予備校の様子を見に来た薫は、そこで刑事の伊集院保(オダギリ　ジョー)に尋問される橋呉を目撃。予備校の様子が知りたかった橋呉は、無断でドアを破って中に入ったのだ。橋呉は、沌面から400万円以上の未払いがあり、それが回収できなければ自分が倒産してしまうと訴えるが…。  事務所に戻った薫は、沌面が債権者たちから詐欺罪で訴えられるのではと金子に進言。そんな薫に冬月は、看板料を立て替えた借用書を差し出した。内容を見た薫は、利息が月10%、つまり200万円の支払いになると書かれていたことに驚愕する。</v>
      </c>
      <c r="N768" s="2"/>
      <c r="O768" s="2"/>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row>
    <row r="769" ht="204.75" customHeight="1">
      <c r="A769" s="1">
        <v>2712.0</v>
      </c>
      <c r="B769" s="2" t="s">
        <v>2459</v>
      </c>
      <c r="C769" s="2">
        <f>IFERROR(__xludf.DUMMYFUNCTION("split(B769,""_"")"),1404.0)</f>
        <v>1404</v>
      </c>
      <c r="D769" s="2" t="str">
        <f>IFERROR(__xludf.DUMMYFUNCTION("""COMPUTED_VALUE"""),"CX")</f>
        <v>CX</v>
      </c>
      <c r="E769" s="2" t="str">
        <f>IFERROR(__xludf.DUMMYFUNCTION("""COMPUTED_VALUE"""),"月21")</f>
        <v>月21</v>
      </c>
      <c r="F769" s="2" t="s">
        <v>2460</v>
      </c>
      <c r="G769" s="2" t="s">
        <v>2467</v>
      </c>
      <c r="H769" s="1">
        <v>3.0</v>
      </c>
      <c r="I769" s="1" t="s">
        <v>10</v>
      </c>
      <c r="J769" s="1" t="s">
        <v>11</v>
      </c>
      <c r="K769" s="2" t="s">
        <v>2468</v>
      </c>
      <c r="L769" s="2" t="s">
        <v>2469</v>
      </c>
      <c r="M769" s="2" t="str">
        <f>IFERROR(__xludf.DUMMYFUNCTION("split(split(K769,""尾野真千子　"",false),""公式LINE"",false)"),"★「極悪がんぼ」公式番組ホームページ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総額1800万円にまで膨れあがった借金に頭を抱えていた。それを見た夏目大作(竹内力)や抜道琢己(板尾"&amp;"創路)は、冬月啓(椎名桔平)のような人間から金を借りるからだとあきれ返る。  　そんな折「小清水経営コンサルタント」に不動産会社の地揚四郎(ラサール石井)がやってくる。開発工事のため土地買収を行っているエリアで、古い集合住宅に住む飛騨という夫婦が立ち退きに合意せず困っているという。夫の林五郎(要潤)は、大手の建設会社勤務のエリート、年上の妻の満利子(猫背椿)は有力な県会議員の娘だという夫婦は、立ち退き料をつり上げる目的で居座り続けていると地揚は話した。  　話を聞いた金子千秋(三浦友和)は、薫にこの件に噛"&amp;"んでみろと指示。知恵も経験もない薫が、唯一使える武器があると金子は言った。  　薫は早速、林五郎の勤務先や立ち寄り先で捜査を始める。そのうち、林五郎が愛妻家で真面目なサラリーマンだと知り、強制撤去させることに疑問を持ち始める。一方、夏目は飛騨家のゴミ箱から大量のセレブ女性の名刺を発見。金子も林五郎はまともに立ち向かって勝てる相手ではないと言う。金子が言う薫が使える武器とは、色仕掛けで林五郎に迫りシッポを掴むことだった。気乗りがしない薫は、真矢樫キリコ(仲里依紗)に相談。キリコが、林五郎はセレブが集まって行"&amp;"われるパーティーの常連だと教える。それを聞いた薫は…。神崎薫:　")</f>
        <v>★「極悪がんぼ」公式番組ホームページ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神崎薫(尾野真千子)は、総額1800万円にまで膨れあがった借金に頭を抱えていた。それを見た夏目大作(竹内力)や抜道琢己(板尾創路)は、冬月啓(椎名桔平)のような人間から金を借りるからだとあきれ返る。  　そんな折「小清水経営コンサルタント」に不動産会社の地揚四郎(ラサール石井)がやってくる。開発工事のため土地買収を行っているエリアで、古い集合住宅に住む飛騨という夫婦が立ち退きに合意せず困っているという。夫の林五郎(要潤)は、大手の建設会社勤務のエリート、年上の妻の満利子(猫背椿)は有力な県会議員の娘だという夫婦は、立ち退き料をつり上げる目的で居座り続けていると地揚は話した。  　話を聞いた金子千秋(三浦友和)は、薫にこの件に噛んでみろと指示。知恵も経験もない薫が、唯一使える武器があると金子は言った。  　薫は早速、林五郎の勤務先や立ち寄り先で捜査を始める。そのうち、林五郎が愛妻家で真面目なサラリーマンだと知り、強制撤去させることに疑問を持ち始める。一方、夏目は飛騨家のゴミ箱から大量のセレブ女性の名刺を発見。金子も林五郎はまともに立ち向かって勝てる相手ではないと言う。金子が言う薫が使える武器とは、色仕掛けで林五郎に迫りシッポを掴むことだった。気乗りがしない薫は、真矢樫キリコ(仲里依紗)に相談。キリコが、林五郎はセレブが集まって行われるパーティーの常連だと教える。それを聞いた薫は…。神崎薫:　</v>
      </c>
      <c r="N769" s="2"/>
      <c r="O769" s="2"/>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row>
    <row r="770" ht="204.75" customHeight="1">
      <c r="A770" s="1">
        <v>2713.0</v>
      </c>
      <c r="B770" s="2" t="s">
        <v>2459</v>
      </c>
      <c r="C770" s="2">
        <f>IFERROR(__xludf.DUMMYFUNCTION("split(B770,""_"")"),1404.0)</f>
        <v>1404</v>
      </c>
      <c r="D770" s="2" t="str">
        <f>IFERROR(__xludf.DUMMYFUNCTION("""COMPUTED_VALUE"""),"CX")</f>
        <v>CX</v>
      </c>
      <c r="E770" s="2" t="str">
        <f>IFERROR(__xludf.DUMMYFUNCTION("""COMPUTED_VALUE"""),"月21")</f>
        <v>月21</v>
      </c>
      <c r="F770" s="2" t="s">
        <v>2460</v>
      </c>
      <c r="G770" s="2" t="s">
        <v>2470</v>
      </c>
      <c r="H770" s="1">
        <v>4.0</v>
      </c>
      <c r="I770" s="1" t="s">
        <v>14</v>
      </c>
      <c r="J770" s="1" t="s">
        <v>11</v>
      </c>
      <c r="K770" s="2" t="s">
        <v>2471</v>
      </c>
      <c r="L770" s="2" t="s">
        <v>2472</v>
      </c>
      <c r="M770" s="2" t="str">
        <f>IFERROR(__xludf.DUMMYFUNCTION("split(split(K770,""尾野真千子　"",false),""公式LINE"",false)"),"★「極悪がんぼ」公式番組ホームページ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金子千秋(三浦友和)と豊臣嫌太郎(宮藤官九郎)への借金が膨らみ返済のめどが立たなくなってしまう"&amp;"。困り果てた薫は、ついに「大安ローン」というヤミ金へ足を踏み入れる。連帯保証人がいない薫に、社長の高利十一(マキタスポーツ)と事務員の桃尻花瑠子(井上和香)は、保証人の代行をしてくれる「ハイエナ保証」を紹介。恐る恐る訪ねた薫は、そこで夏目大作(竹内力)と鉢合わせする。夏目は、社長の跳田鉄男(石井正則)と幼なじみだという。薫が夏目と同じ「小清水経営コンサルタント」の所属だと知った跳田は、実は「大安ローン」と「ハイエナ保証」はグルで、保証人代行という名目で「大安ローン」の客から高利で借金の取立てを行っていると"&amp;"明かす。驚く薫に、跳田は、借金を踏み倒して逃げている藤原(酒井敏也)という男を、夏目と一緒に探してほしいと依頼。金に困っている薫は、夏目を説得して共に引き受ける。　薫と夏目は、藤原の個人情報を得るために、真矢樫キリコ(仲里依紗)に協力を要請。そんな時、金子がやってくる。茸本和磨(三浦翔平)は笑顔で迎えるが、薫と夏目は気まずい雰囲気に。仕方なく、薫は夏目と仕事をしていることを報告する。金子は、二人が何かを企んでいるのではと疑う。後日、仕事を終えた薫と夏目が、跳田とともに「ハイエナ保証」に戻ると、金子が鎮座し"&amp;"、跳田に挨拶に来たという。突然のことに戸惑う薫は…。神崎薫:　")</f>
        <v>★「極悪がんぼ」公式番組ホームページ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金子千秋(三浦友和)と豊臣嫌太郎(宮藤官九郎)への借金が膨らみ返済のめどが立たなくなってしまう。困り果てた薫は、ついに「大安ローン」というヤミ金へ足を踏み入れる。連帯保証人がいない薫に、社長の高利十一(マキタスポーツ)と事務員の桃尻花瑠子(井上和香)は、保証人の代行をしてくれる「ハイエナ保証」を紹介。恐る恐る訪ねた薫は、そこで夏目大作(竹内力)と鉢合わせする。夏目は、社長の跳田鉄男(石井正則)と幼なじみだという。薫が夏目と同じ「小清水経営コンサルタント」の所属だと知った跳田は、実は「大安ローン」と「ハイエナ保証」はグルで、保証人代行という名目で「大安ローン」の客から高利で借金の取立てを行っていると明かす。驚く薫に、跳田は、借金を踏み倒して逃げている藤原(酒井敏也)という男を、夏目と一緒に探してほしいと依頼。金に困っている薫は、夏目を説得して共に引き受ける。　薫と夏目は、藤原の個人情報を得るために、真矢樫キリコ(仲里依紗)に協力を要請。そんな時、金子がやってくる。茸本和磨(三浦翔平)は笑顔で迎えるが、薫と夏目は気まずい雰囲気に。仕方なく、薫は夏目と仕事をしていることを報告する。金子は、二人が何かを企んでいるのではと疑う。後日、仕事を終えた薫と夏目が、跳田とともに「ハイエナ保証」に戻ると、金子が鎮座し、跳田に挨拶に来たという。突然のことに戸惑う薫は…。神崎薫:　</v>
      </c>
      <c r="N770" s="2"/>
      <c r="O770" s="2"/>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row>
    <row r="771" ht="204.75" customHeight="1">
      <c r="A771" s="1">
        <v>2714.0</v>
      </c>
      <c r="B771" s="2" t="s">
        <v>2459</v>
      </c>
      <c r="C771" s="2">
        <f>IFERROR(__xludf.DUMMYFUNCTION("split(B771,""_"")"),1404.0)</f>
        <v>1404</v>
      </c>
      <c r="D771" s="2" t="str">
        <f>IFERROR(__xludf.DUMMYFUNCTION("""COMPUTED_VALUE"""),"CX")</f>
        <v>CX</v>
      </c>
      <c r="E771" s="2" t="str">
        <f>IFERROR(__xludf.DUMMYFUNCTION("""COMPUTED_VALUE"""),"月21")</f>
        <v>月21</v>
      </c>
      <c r="F771" s="2" t="s">
        <v>2460</v>
      </c>
      <c r="G771" s="2" t="s">
        <v>2473</v>
      </c>
      <c r="H771" s="1">
        <v>5.0</v>
      </c>
      <c r="I771" s="1" t="s">
        <v>17</v>
      </c>
      <c r="J771" s="1" t="s">
        <v>11</v>
      </c>
      <c r="K771" s="2" t="s">
        <v>2474</v>
      </c>
      <c r="L771" s="2" t="s">
        <v>2475</v>
      </c>
      <c r="M771" s="2" t="str">
        <f>IFERROR(__xludf.DUMMYFUNCTION("split(split(K771,""尾野真千子　"",false),""公式LINE"",false)"),"★「極悪がんぼ」公式番組ホームページ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小清水経営コンサルタント」で小清水元(小林薫)による内部監査が行われることになり、金子千秋(三浦友和)らは狼狽する。そ"&amp;"んな折、会社社長の名真津(ビートきよし)が金子を訪ねて来るが、金子は監査を理由に断ってしまう。そこで、神崎薫(尾野真千子)が名乗り出るが、金子に一蹴される。最近、勉強を積んでいる薫は、名真津が話していた手形絡みの仕事がしたかったのだ。薫は仕事をさせてもらえなかったことを真矢樫キリコ(仲里依紗)や茸本和磨(三浦翔平)にグチる。そこへ、夏目大作(竹内力)が来て薫に仕事を譲ってやると1000万円の手形を取り出す。金を支払う振出人が、金を用意できなくなったため、受取人から取り立てを頼まれたと言う。回収できたら50"&amp;"0万円の報酬になると聞いた薫は引き受ける。薫が、振出人に会いに行くと、相手は名真津だった。株で大損した名真津は、3日以内に手形を取り戻さないと会社が倒産してしまうと手形の返却を迫る。薫は、それならば1000万円を払えと譲らない。ふたりがもめていると、鬼切虎子(室井滋)が現れた。同じころ、冬月啓(椎名桔平)、金子らは最近自分たちの顧客に格安で営業をかけている鬼切について話していた。もし、顧客を取られてそれが小清水に知られたら、自分たちは破滅するかもしれないと言う冬月に、金子は返す言葉がない。一方、薫は、名真"&amp;"津から相談を受けていると話す鬼切と対面し…。神崎薫:　")</f>
        <v>★「極悪がんぼ」公式番組ホームページ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小清水経営コンサルタント」で小清水元(小林薫)による内部監査が行われることになり、金子千秋(三浦友和)らは狼狽する。そんな折、会社社長の名真津(ビートきよし)が金子を訪ねて来るが、金子は監査を理由に断ってしまう。そこで、神崎薫(尾野真千子)が名乗り出るが、金子に一蹴される。最近、勉強を積んでいる薫は、名真津が話していた手形絡みの仕事がしたかったのだ。薫は仕事をさせてもらえなかったことを真矢樫キリコ(仲里依紗)や茸本和磨(三浦翔平)にグチる。そこへ、夏目大作(竹内力)が来て薫に仕事を譲ってやると1000万円の手形を取り出す。金を支払う振出人が、金を用意できなくなったため、受取人から取り立てを頼まれたと言う。回収できたら500万円の報酬になると聞いた薫は引き受ける。薫が、振出人に会いに行くと、相手は名真津だった。株で大損した名真津は、3日以内に手形を取り戻さないと会社が倒産してしまうと手形の返却を迫る。薫は、それならば1000万円を払えと譲らない。ふたりがもめていると、鬼切虎子(室井滋)が現れた。同じころ、冬月啓(椎名桔平)、金子らは最近自分たちの顧客に格安で営業をかけている鬼切について話していた。もし、顧客を取られてそれが小清水に知られたら、自分たちは破滅するかもしれないと言う冬月に、金子は返す言葉がない。一方、薫は、名真津から相談を受けていると話す鬼切と対面し…。神崎薫:　</v>
      </c>
      <c r="N771" s="2"/>
      <c r="O771" s="2"/>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row>
    <row r="772" ht="204.75" customHeight="1">
      <c r="A772" s="1">
        <v>2715.0</v>
      </c>
      <c r="B772" s="2" t="s">
        <v>2459</v>
      </c>
      <c r="C772" s="2">
        <f>IFERROR(__xludf.DUMMYFUNCTION("split(B772,""_"")"),1404.0)</f>
        <v>1404</v>
      </c>
      <c r="D772" s="2" t="str">
        <f>IFERROR(__xludf.DUMMYFUNCTION("""COMPUTED_VALUE"""),"CX")</f>
        <v>CX</v>
      </c>
      <c r="E772" s="2" t="str">
        <f>IFERROR(__xludf.DUMMYFUNCTION("""COMPUTED_VALUE"""),"月21")</f>
        <v>月21</v>
      </c>
      <c r="F772" s="2" t="s">
        <v>2460</v>
      </c>
      <c r="G772" s="2" t="s">
        <v>2476</v>
      </c>
      <c r="H772" s="1">
        <v>6.0</v>
      </c>
      <c r="I772" s="1" t="s">
        <v>21</v>
      </c>
      <c r="J772" s="1" t="s">
        <v>11</v>
      </c>
      <c r="K772" s="2" t="s">
        <v>2477</v>
      </c>
      <c r="L772" s="2" t="s">
        <v>2478</v>
      </c>
      <c r="M772" s="2" t="str">
        <f>IFERROR(__xludf.DUMMYFUNCTION("split(split(K772,""尾野真千子　"",false),""公式LINE"",false)"),"★「極悪がんぼ」公式番組ホームページ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相変わらず金策に頭を痛める神崎薫(尾野真千子)の前に、冬月啓(椎名桔平)が「投遣警備保障」という会社の株券60株を置い"&amp;"た。それは2000万円の借金の担保として社長の投遣(今井雅之)が冬月に渡したもので、総株数の30%に相当した。冬月は薫にこれで投遣警備保障を乗っ取れと言う。合法的に乗っ取るには、51%以上の株券が必要なので残りは自分が集めるから、まずは投遣の会社に乗り込んで株主総会の開催を要求しろと命じた。  　金子千秋(三浦友和)や夏目大作(竹内力)には無理だとバカにされたが、薫は投遣を訪ねると、株券を提示し株主総会を開いてくれと頼んだ。ところが、投遣はそれを受け入れるどころか薫の胸ぐらを掴んでどう喝する。そんなところ"&amp;"へ冬月から電話が入り、この件から今すぐに撤退しろと命じられる。  　何が起きたのかわからないまま投遣警備保障を後にした薫は、冬月と伊集院保(オダギリジョー)が話しているところに遭遇する。伊集院は、投遣のバックには金暮県警の犬神(國村隼)がついていると明かしていた。  　別の日、スナック「まやかし」に顔を出した薫に、茸本和磨(三浦翔平)が会社は乗っ取れたかと声をかける。会社のバックに警察がいて中止になったと話す薫に真矢樫キリコ(仲里依紗)は、公務員の副職は違法だからそこを突けばいいと教える。神崎薫:　")</f>
        <v>★「極悪がんぼ」公式番組ホームページ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相変わらず金策に頭を痛める神崎薫(尾野真千子)の前に、冬月啓(椎名桔平)が「投遣警備保障」という会社の株券60株を置いた。それは2000万円の借金の担保として社長の投遣(今井雅之)が冬月に渡したもので、総株数の30%に相当した。冬月は薫にこれで投遣警備保障を乗っ取れと言う。合法的に乗っ取るには、51%以上の株券が必要なので残りは自分が集めるから、まずは投遣の会社に乗り込んで株主総会の開催を要求しろと命じた。  　金子千秋(三浦友和)や夏目大作(竹内力)には無理だとバカにされたが、薫は投遣を訪ねると、株券を提示し株主総会を開いてくれと頼んだ。ところが、投遣はそれを受け入れるどころか薫の胸ぐらを掴んでどう喝する。そんなところへ冬月から電話が入り、この件から今すぐに撤退しろと命じられる。  　何が起きたのかわからないまま投遣警備保障を後にした薫は、冬月と伊集院保(オダギリジョー)が話しているところに遭遇する。伊集院は、投遣のバックには金暮県警の犬神(國村隼)がついていると明かしていた。  　別の日、スナック「まやかし」に顔を出した薫に、茸本和磨(三浦翔平)が会社は乗っ取れたかと声をかける。会社のバックに警察がいて中止になったと話す薫に真矢樫キリコ(仲里依紗)は、公務員の副職は違法だからそこを突けばいいと教える。神崎薫:　</v>
      </c>
      <c r="N772" s="2"/>
      <c r="O772" s="2"/>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row>
    <row r="773" ht="204.75" customHeight="1">
      <c r="A773" s="1">
        <v>2716.0</v>
      </c>
      <c r="B773" s="2" t="s">
        <v>2459</v>
      </c>
      <c r="C773" s="2">
        <f>IFERROR(__xludf.DUMMYFUNCTION("split(B773,""_"")"),1404.0)</f>
        <v>1404</v>
      </c>
      <c r="D773" s="2" t="str">
        <f>IFERROR(__xludf.DUMMYFUNCTION("""COMPUTED_VALUE"""),"CX")</f>
        <v>CX</v>
      </c>
      <c r="E773" s="2" t="str">
        <f>IFERROR(__xludf.DUMMYFUNCTION("""COMPUTED_VALUE"""),"月21")</f>
        <v>月21</v>
      </c>
      <c r="F773" s="2" t="s">
        <v>2460</v>
      </c>
      <c r="G773" s="2" t="s">
        <v>2479</v>
      </c>
      <c r="H773" s="1">
        <v>7.0</v>
      </c>
      <c r="I773" s="1" t="s">
        <v>25</v>
      </c>
      <c r="J773" s="1" t="s">
        <v>11</v>
      </c>
      <c r="K773" s="2" t="s">
        <v>2480</v>
      </c>
      <c r="L773" s="2" t="s">
        <v>2481</v>
      </c>
      <c r="M773" s="2" t="str">
        <f>IFERROR(__xludf.DUMMYFUNCTION("split(split(K773,""尾野真千子　"",false),""公式LINE"",false)"),"★「極悪がんぼ」公式番組ホームページ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金子千秋(三浦友和)、夏目大作(竹内力)は、不渡り手形を出して逃亡中だった鼠商事社長の鼠(半海一"&amp;"晃)を捕まえ、鼠に3000万円を貸していた本真商事社長の本真(平田満)に引き渡す。金子は、旧友の本真の頼みということもあり、捜索を引き受けていた。一件落着した薫と金子はスナック「まやかし」にやってくる。すると、代金を支払っていた女(小泉今日子)が、去り際に薫と金子に会釈をした。それを見た茸本和磨(三浦翔平)は、女が誰かに似ていることが気にかかる。真矢樫キリコ(仲里依紗)は、女は東京の人間のようだと言うが…。  　そんな夜、本真の誘いで薫は金子とともに高級クラブで飲むことになった。本真は上機嫌で、金子の高校"&amp;"時代の恋愛の失敗談を薫やホステスらに暴露。一方の金子も、同級生でその後、本真の妻となる志保(朝加真由美)とのことを暴露した。  　別の日、冬月啓(椎名桔平)の使いで巻上金融に行った薫は、そこで社長の巻上(宇梶剛士)から本真商事が払えもしない手形を乱発しており倒産の危機にあるという情報を入手。薫から報告を受けた金子が本真に会いに行くと本真は銀行から融資を受けた金の返済を迫られる「貸し剥がし」をされていると明かした。すでに5000万円を返済したが、さらに5億円の借金があるという。金子は、資金繰りができなくなっ"&amp;"ていると嘆く本真の胸ぐらをつかむ。それを見た薫は…。神崎薫:　")</f>
        <v>★「極悪がんぼ」公式番組ホームページ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金子千秋(三浦友和)、夏目大作(竹内力)は、不渡り手形を出して逃亡中だった鼠商事社長の鼠(半海一晃)を捕まえ、鼠に3000万円を貸していた本真商事社長の本真(平田満)に引き渡す。金子は、旧友の本真の頼みということもあり、捜索を引き受けていた。一件落着した薫と金子はスナック「まやかし」にやってくる。すると、代金を支払っていた女(小泉今日子)が、去り際に薫と金子に会釈をした。それを見た茸本和磨(三浦翔平)は、女が誰かに似ていることが気にかかる。真矢樫キリコ(仲里依紗)は、女は東京の人間のようだと言うが…。  　そんな夜、本真の誘いで薫は金子とともに高級クラブで飲むことになった。本真は上機嫌で、金子の高校時代の恋愛の失敗談を薫やホステスらに暴露。一方の金子も、同級生でその後、本真の妻となる志保(朝加真由美)とのことを暴露した。  　別の日、冬月啓(椎名桔平)の使いで巻上金融に行った薫は、そこで社長の巻上(宇梶剛士)から本真商事が払えもしない手形を乱発しており倒産の危機にあるという情報を入手。薫から報告を受けた金子が本真に会いに行くと本真は銀行から融資を受けた金の返済を迫られる「貸し剥がし」をされていると明かした。すでに5000万円を返済したが、さらに5億円の借金があるという。金子は、資金繰りができなくなっていると嘆く本真の胸ぐらをつかむ。それを見た薫は…。神崎薫:　</v>
      </c>
      <c r="N773" s="2"/>
      <c r="O773" s="2"/>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row>
    <row r="774" ht="204.75" customHeight="1">
      <c r="A774" s="1">
        <v>2717.0</v>
      </c>
      <c r="B774" s="2" t="s">
        <v>2459</v>
      </c>
      <c r="C774" s="2">
        <f>IFERROR(__xludf.DUMMYFUNCTION("split(B774,""_"")"),1404.0)</f>
        <v>1404</v>
      </c>
      <c r="D774" s="2" t="str">
        <f>IFERROR(__xludf.DUMMYFUNCTION("""COMPUTED_VALUE"""),"CX")</f>
        <v>CX</v>
      </c>
      <c r="E774" s="2" t="str">
        <f>IFERROR(__xludf.DUMMYFUNCTION("""COMPUTED_VALUE"""),"月21")</f>
        <v>月21</v>
      </c>
      <c r="F774" s="2" t="s">
        <v>2460</v>
      </c>
      <c r="G774" s="2" t="s">
        <v>2482</v>
      </c>
      <c r="H774" s="1">
        <v>8.0</v>
      </c>
      <c r="I774" s="1" t="s">
        <v>29</v>
      </c>
      <c r="J774" s="1" t="s">
        <v>11</v>
      </c>
      <c r="K774" s="2" t="s">
        <v>2483</v>
      </c>
      <c r="L774" s="8" t="s">
        <v>2484</v>
      </c>
      <c r="M774" s="2" t="str">
        <f>IFERROR(__xludf.DUMMYFUNCTION("split(split(K774,""尾野真千子　"",false),""公式LINE"",false)"),"★「極悪がんぼ」公式番組ホームページ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金子千秋(三浦友和)の指示で、自殺した本真(平田満)に最後に電話をかけてきた人物を探し始める。"&amp;"真矢樫キリコ(仲里依紗)に協力を依頼し調査すると、本真に借金の返済を迫っていた破綻銀行・課長の吉良(袴田吉彦)が浮上した。薫は早速、吉良に会うと電話の件を問い詰める。吉良は、常務の破綻(佐野史郎)の指示に従っただけだと明かした。本真商事の再建をすべく薫が動き始めると、破綻銀行からすぐに手を引け、と冬月啓(椎名桔平)に命じられる。破綻銀行は、「小清水経営コンサルタント」所長の小清水元(小林薫)のクライアントだからだという。しかしそれは、小清水が本真商事の一件に関係している可能性があることを暗示している。夏目"&amp;"大作(竹内力)や抜道琢己(板尾創路)からも手を引けと言われた薫だが…。  　薫から報告を受けた金子は、破綻の徹底調査を行い、破綻の親戚が経営している会社の経理部長・狸(春海四方)に目を付ける。金子は、茸本和磨(三浦翔平)に狸の行きつけのクラブへの潜入を指示。クラブにやってきた茸本は、そこで「大安ローン」の事務員だった桃尻花瑠子(井上和香)に遭遇する。「大安ローン」倒産後、花瑠子はクラブで働いているという。茸本に気がある花瑠子は、求められるままに狸の情報を教えてしまう。着々と情報が集まる中、金子と薫は意を決"&amp;"して破綻銀行に乗り込むが…。神崎薫:　")</f>
        <v>★「極悪がんぼ」公式番組ホームページ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金子千秋(三浦友和)の指示で、自殺した本真(平田満)に最後に電話をかけてきた人物を探し始める。真矢樫キリコ(仲里依紗)に協力を依頼し調査すると、本真に借金の返済を迫っていた破綻銀行・課長の吉良(袴田吉彦)が浮上した。薫は早速、吉良に会うと電話の件を問い詰める。吉良は、常務の破綻(佐野史郎)の指示に従っただけだと明かした。本真商事の再建をすべく薫が動き始めると、破綻銀行からすぐに手を引け、と冬月啓(椎名桔平)に命じられる。破綻銀行は、「小清水経営コンサルタント」所長の小清水元(小林薫)のクライアントだからだという。しかしそれは、小清水が本真商事の一件に関係している可能性があることを暗示している。夏目大作(竹内力)や抜道琢己(板尾創路)からも手を引けと言われた薫だが…。  　薫から報告を受けた金子は、破綻の徹底調査を行い、破綻の親戚が経営している会社の経理部長・狸(春海四方)に目を付ける。金子は、茸本和磨(三浦翔平)に狸の行きつけのクラブへの潜入を指示。クラブにやってきた茸本は、そこで「大安ローン」の事務員だった桃尻花瑠子(井上和香)に遭遇する。「大安ローン」倒産後、花瑠子はクラブで働いているという。茸本に気がある花瑠子は、求められるままに狸の情報を教えてしまう。着々と情報が集まる中、金子と薫は意を決して破綻銀行に乗り込むが…。神崎薫:　</v>
      </c>
      <c r="N774" s="2"/>
      <c r="O774" s="2"/>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row>
    <row r="775" ht="204.75" customHeight="1">
      <c r="A775" s="1">
        <v>2718.0</v>
      </c>
      <c r="B775" s="2" t="s">
        <v>2459</v>
      </c>
      <c r="C775" s="2">
        <f>IFERROR(__xludf.DUMMYFUNCTION("split(B775,""_"")"),1404.0)</f>
        <v>1404</v>
      </c>
      <c r="D775" s="2" t="str">
        <f>IFERROR(__xludf.DUMMYFUNCTION("""COMPUTED_VALUE"""),"CX")</f>
        <v>CX</v>
      </c>
      <c r="E775" s="2" t="str">
        <f>IFERROR(__xludf.DUMMYFUNCTION("""COMPUTED_VALUE"""),"月21")</f>
        <v>月21</v>
      </c>
      <c r="F775" s="2" t="s">
        <v>2460</v>
      </c>
      <c r="G775" s="2" t="s">
        <v>2485</v>
      </c>
      <c r="H775" s="1">
        <v>9.0</v>
      </c>
      <c r="I775" s="1" t="s">
        <v>33</v>
      </c>
      <c r="J775" s="1" t="s">
        <v>11</v>
      </c>
      <c r="K775" s="2" t="s">
        <v>2486</v>
      </c>
      <c r="L775" s="8" t="s">
        <v>2487</v>
      </c>
      <c r="M775" s="2" t="str">
        <f>IFERROR(__xludf.DUMMYFUNCTION("split(split(K775,""尾野真千子　"",false),""公式LINE"",false)"),"★「極悪がんぼ」公式番組ホームページ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小清水元(小林薫)による監査結果が発表され、神崎薫(尾野真千子)は、薫にしかできない仕事を見つけるようにと通達される。"&amp;"一方、金子千秋(三浦友和)は、東京に進出した際には事務所を任せると言われる。冬月啓(椎名桔平)や夏目大作(竹内力)は、それが左遷を意味するのではと気にするが、金子は意に介さない。  　そんな時、薫は借金返済ができずに困っている天枝太郎(六角慎司)と出会う。天枝は、200年ほど続く寺の一人息子だが、住職の父親・史郎(片岡鶴太郎)とは絶縁状態のため借金の相談はできないと明かす。薫は、史郎から金を引き出せたら寺の経営に参画することを条件に、太郎の支援を約束する。薫は早速、太郎を連れて寺を訪ねるが、史郎は10年ぶ"&amp;"りの再会を懐かしがるどころか、ほうきで息子をめった打ちにする。寺の金に手を付け事業に失敗した息子が許せない史郎は、薫にまで罵詈(ばり)雑言を浴びせる。  　史郎の態度に怒った薫は、寺が所有するという重要文化財を奪う計画を立てる。茸本和磨(三浦翔平)に頼み、バールを用意した薫は、太郎とともに寺の蔵に忍び込む。そこには情報通り、重要文化財の指定書が付いた骨董品が置かれていた。  　別の日、薫が寺の経営について夏目らに聞いていると、抜道琢己(板尾創路)が自分にも手伝わせてほしいという。薫の初仕事の邪魔はしない、"&amp;"手間賃だけもらえればいいという抜道に、薫は応援を頼み…。神崎薫:　")</f>
        <v>★「極悪がんぼ」公式番組ホームページ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小清水元(小林薫)による監査結果が発表され、神崎薫(尾野真千子)は、薫にしかできない仕事を見つけるようにと通達される。一方、金子千秋(三浦友和)は、東京に進出した際には事務所を任せると言われる。冬月啓(椎名桔平)や夏目大作(竹内力)は、それが左遷を意味するのではと気にするが、金子は意に介さない。  　そんな時、薫は借金返済ができずに困っている天枝太郎(六角慎司)と出会う。天枝は、200年ほど続く寺の一人息子だが、住職の父親・史郎(片岡鶴太郎)とは絶縁状態のため借金の相談はできないと明かす。薫は、史郎から金を引き出せたら寺の経営に参画することを条件に、太郎の支援を約束する。薫は早速、太郎を連れて寺を訪ねるが、史郎は10年ぶりの再会を懐かしがるどころか、ほうきで息子をめった打ちにする。寺の金に手を付け事業に失敗した息子が許せない史郎は、薫にまで罵詈(ばり)雑言を浴びせる。  　史郎の態度に怒った薫は、寺が所有するという重要文化財を奪う計画を立てる。茸本和磨(三浦翔平)に頼み、バールを用意した薫は、太郎とともに寺の蔵に忍び込む。そこには情報通り、重要文化財の指定書が付いた骨董品が置かれていた。  　別の日、薫が寺の経営について夏目らに聞いていると、抜道琢己(板尾創路)が自分にも手伝わせてほしいという。薫の初仕事の邪魔はしない、手間賃だけもらえればいいという抜道に、薫は応援を頼み…。神崎薫:　</v>
      </c>
      <c r="N775" s="2"/>
      <c r="O775" s="2"/>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row>
    <row r="776" ht="204.75" customHeight="1">
      <c r="A776" s="1">
        <v>2719.0</v>
      </c>
      <c r="B776" s="2" t="s">
        <v>2459</v>
      </c>
      <c r="C776" s="2">
        <f>IFERROR(__xludf.DUMMYFUNCTION("split(B776,""_"")"),1404.0)</f>
        <v>1404</v>
      </c>
      <c r="D776" s="2" t="str">
        <f>IFERROR(__xludf.DUMMYFUNCTION("""COMPUTED_VALUE"""),"CX")</f>
        <v>CX</v>
      </c>
      <c r="E776" s="2" t="str">
        <f>IFERROR(__xludf.DUMMYFUNCTION("""COMPUTED_VALUE"""),"月21")</f>
        <v>月21</v>
      </c>
      <c r="F776" s="2" t="s">
        <v>2460</v>
      </c>
      <c r="G776" s="2" t="s">
        <v>2488</v>
      </c>
      <c r="H776" s="1">
        <v>10.0</v>
      </c>
      <c r="I776" s="1" t="s">
        <v>37</v>
      </c>
      <c r="J776" s="1" t="s">
        <v>11</v>
      </c>
      <c r="K776" s="2" t="s">
        <v>2489</v>
      </c>
      <c r="L776" s="8" t="s">
        <v>2490</v>
      </c>
      <c r="M776" s="2" t="str">
        <f>IFERROR(__xludf.DUMMYFUNCTION("split(split(K776,""尾野真千子　"",false),""公式LINE"",false)"),"★「極悪がんぼ」公式番組ホームページ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金暮市に西日本最大級のアウトレットモールが建設されることになったが、地元選出の大物議員・銭山貞夫(武田鉄矢)がそれに反"&amp;"対する声明を発表しニュースになる。  　そんな折、神崎薫(尾野真千子)は、東京に向かう金子千秋(三浦友和)に本当に行くつもりかと意思を確認する。金子は、小清水元(小林薫)の命令だから仕方がないと答え、薫には、冬月啓(椎名桔平)への借金を返済したら、事件屋から足を洗うようにと命じる。しかし、仕事は辞めないという薫に、金子は20年前、借金のカタに取られた薫の実家のことについて話し始める。それは、薫が思いもよらない事実で…。  　別の日の朝、小清水の指示で事務所に、薫、冬月、夏目大作(竹内力)、抜道琢己(板尾創"&amp;"路)が集まっていた。一同を前に小清水は、例のアウトレットモールのことを話し始める。運営するのが外資系企業のため、地元の政治家でも利権に食い込めないのだが、なぜか「金市商事」という無名の会社が食い込んでいるのだと明かした。しかも、金市商事が受け取る利権は、年間で10億円にもなるという。そこに裏がありそうだと睨んだ冬月は、その利権を自分たちが手に入れると小清水に宣言する。ところが小清水は、この件は薫が担当し、抜道がバックアップに付けと命じた。小清水直々の案件に失敗したらクビが飛ぶ…。恐怖を感じながらも薫は、二"&amp;"度とないチャンスだとと腹をくくる。神崎薫:　")</f>
        <v>★「極悪がんぼ」公式番組ホームページ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金暮市に西日本最大級のアウトレットモールが建設されることになったが、地元選出の大物議員・銭山貞夫(武田鉄矢)がそれに反対する声明を発表しニュースになる。  　そんな折、神崎薫(尾野真千子)は、東京に向かう金子千秋(三浦友和)に本当に行くつもりかと意思を確認する。金子は、小清水元(小林薫)の命令だから仕方がないと答え、薫には、冬月啓(椎名桔平)への借金を返済したら、事件屋から足を洗うようにと命じる。しかし、仕事は辞めないという薫に、金子は20年前、借金のカタに取られた薫の実家のことについて話し始める。それは、薫が思いもよらない事実で…。  　別の日の朝、小清水の指示で事務所に、薫、冬月、夏目大作(竹内力)、抜道琢己(板尾創路)が集まっていた。一同を前に小清水は、例のアウトレットモールのことを話し始める。運営するのが外資系企業のため、地元の政治家でも利権に食い込めないのだが、なぜか「金市商事」という無名の会社が食い込んでいるのだと明かした。しかも、金市商事が受け取る利権は、年間で10億円にもなるという。そこに裏がありそうだと睨んだ冬月は、その利権を自分たちが手に入れると小清水に宣言する。ところが小清水は、この件は薫が担当し、抜道がバックアップに付けと命じた。小清水直々の案件に失敗したらクビが飛ぶ…。恐怖を感じながらも薫は、二度とないチャンスだとと腹をくくる。神崎薫:　</v>
      </c>
      <c r="N776" s="2"/>
      <c r="O776" s="2"/>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row>
    <row r="777" ht="204.75" customHeight="1">
      <c r="A777" s="1">
        <v>2720.0</v>
      </c>
      <c r="B777" s="2" t="s">
        <v>2459</v>
      </c>
      <c r="C777" s="2">
        <f>IFERROR(__xludf.DUMMYFUNCTION("split(B777,""_"")"),1404.0)</f>
        <v>1404</v>
      </c>
      <c r="D777" s="2" t="str">
        <f>IFERROR(__xludf.DUMMYFUNCTION("""COMPUTED_VALUE"""),"CX")</f>
        <v>CX</v>
      </c>
      <c r="E777" s="2" t="str">
        <f>IFERROR(__xludf.DUMMYFUNCTION("""COMPUTED_VALUE"""),"月21")</f>
        <v>月21</v>
      </c>
      <c r="F777" s="2" t="s">
        <v>2460</v>
      </c>
      <c r="G777" s="2" t="s">
        <v>2491</v>
      </c>
      <c r="H777" s="1">
        <v>11.0</v>
      </c>
      <c r="I777" s="1" t="s">
        <v>41</v>
      </c>
      <c r="J777" s="1" t="s">
        <v>11</v>
      </c>
      <c r="K777" s="2" t="s">
        <v>2492</v>
      </c>
      <c r="L777" s="8" t="s">
        <v>2493</v>
      </c>
      <c r="M777" s="2" t="str">
        <f>IFERROR(__xludf.DUMMYFUNCTION("split(split(K777,""尾野真千子　"",false),""公式LINE"",false)"),"★「極悪がんぼ」公式番組ホームページ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神崎薫(尾野真千子)は、公安警察から小清水元(小林薫)について取り調べを受け、事件屋としてやっていきたいのなら、公安に"&amp;"協力したほうがいいと言われる。  　別の日、薫を訪ねて「禿高コーポレーション」社長の禿高(武田義晴)がやってくる。禿高は、薫がアウトレットモールの利権を手に入れた「金市商事」を引き継ぐように小清水に指示されたと言い、手数料として1000万円を差し出した。納得がいかない薫は、入院中の小清水を訪ね事情を聞くが、小清水ははぐらかすような物言いしかしない。いら立った薫は、銭山議員(武田鉄矢)が絡んでいるのかと詰め寄る。公安が小清水を調べるのは、かつて銭山の影で汚れた仕事を小清水が仕切ってきたが、銭山が総裁候補とな"&amp;"ったことで、裏の事情を知る小清水を切ろうとしているからだと冬月啓(椎名桔平)は薫らに話した。さらに、禿高コーポレーションの背後にも銭山がいるらしいと言う抜道琢己(板尾創路)に、金子千秋(三浦友和)は、銭山が表向きはアウトレットモールの建設に反対しながらも、裏では建設を推し進め利権を手にしようとしているのだと教える。  　そんな折、薫は豊臣嫌太郎(宮藤官九郎)から、ある資料を渡される。もしものことがあったら薫に託してほしいと小清水に頼まれていたと言う。それは、小清水が関わった金暮市のスキャンダルの一部始終を"&amp;"記録したものだった。ファイルを手にした薫は…。神崎薫:　")</f>
        <v>★「極悪がんぼ」公式番組ホームページ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神崎薫(尾野真千子)は、公安警察から小清水元(小林薫)について取り調べを受け、事件屋としてやっていきたいのなら、公安に協力したほうがいいと言われる。  　別の日、薫を訪ねて「禿高コーポレーション」社長の禿高(武田義晴)がやってくる。禿高は、薫がアウトレットモールの利権を手に入れた「金市商事」を引き継ぐように小清水に指示されたと言い、手数料として1000万円を差し出した。納得がいかない薫は、入院中の小清水を訪ね事情を聞くが、小清水ははぐらかすような物言いしかしない。いら立った薫は、銭山議員(武田鉄矢)が絡んでいるのかと詰め寄る。公安が小清水を調べるのは、かつて銭山の影で汚れた仕事を小清水が仕切ってきたが、銭山が総裁候補となったことで、裏の事情を知る小清水を切ろうとしているからだと冬月啓(椎名桔平)は薫らに話した。さらに、禿高コーポレーションの背後にも銭山がいるらしいと言う抜道琢己(板尾創路)に、金子千秋(三浦友和)は、銭山が表向きはアウトレットモールの建設に反対しながらも、裏では建設を推し進め利権を手にしようとしているのだと教える。  　そんな折、薫は豊臣嫌太郎(宮藤官九郎)から、ある資料を渡される。もしものことがあったら薫に託してほしいと小清水に頼まれていたと言う。それは、小清水が関わった金暮市のスキャンダルの一部始終を記録したものだった。ファイルを手にした薫は…。神崎薫:　</v>
      </c>
      <c r="N777" s="2"/>
      <c r="O777" s="2"/>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row>
    <row r="778" ht="204.75" customHeight="1">
      <c r="A778" s="1">
        <v>2731.0</v>
      </c>
      <c r="B778" s="2" t="s">
        <v>2494</v>
      </c>
      <c r="C778" s="2">
        <f>IFERROR(__xludf.DUMMYFUNCTION("split(B778,""_"")"),1404.0)</f>
        <v>1404</v>
      </c>
      <c r="D778" s="2" t="str">
        <f>IFERROR(__xludf.DUMMYFUNCTION("""COMPUTED_VALUE"""),"CX")</f>
        <v>CX</v>
      </c>
      <c r="E778" s="2" t="str">
        <f>IFERROR(__xludf.DUMMYFUNCTION("""COMPUTED_VALUE"""),"火21")</f>
        <v>火21</v>
      </c>
      <c r="F778" s="2" t="s">
        <v>2495</v>
      </c>
      <c r="G778" s="2" t="s">
        <v>2496</v>
      </c>
      <c r="H778" s="1">
        <v>1.0</v>
      </c>
      <c r="I778" s="1" t="s">
        <v>3</v>
      </c>
      <c r="J778" s="1" t="s">
        <v>4</v>
      </c>
      <c r="K778" s="4" t="s">
        <v>2497</v>
      </c>
      <c r="L778" s="2" t="s">
        <v>2498</v>
      </c>
      <c r="M778" s="2" t="str">
        <f>IFERROR(__xludf.DUMMYFUNCTION("split(split(K778,""佐藤健　"",false),""続々公開中★"",false)"),"番組ホームページは〈ビター・ブラッド〉で検索!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f>
        <v>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v>
      </c>
      <c r="N778" s="2" t="str">
        <f>IFERROR(__xludf.DUMMYFUNCTION("""COMPUTED_VALUE"""),"　佐原夏輝(佐藤健)は銀座署の新人刑事。出勤初日に職場へ向かう途中、老女を狙ったひったくり現場に遭遇する。逃げた犯人の男ともみあいになる夏輝、とそこに突然現れた女性が男を華麗に投げ飛ばす。それは、偶然通りかかった新人刑事・前田瞳(忽那汐里)だった。  　夏輝と瞳が配属された銀座署刑事課捜査第一係・鍵山班には、班長の鍵山謙介(高橋克実)以下、尾行の達人・稲木俊文(吹越満)、結婚願望の強い独身・古雅久志(田中哲司)、口臭がクサい富樫薫(皆川猿時)、刑事ドラマおたくであだ名付けの達人・鷹野浩次(KEIJI)、そ"&amp;"して夏輝の実父・島尾明村(渡部篤郎)がいた。幼い頃に両親が離婚して以来、明村とは犬猿の仲だった夏輝は、父との再会に頭を抱える。が、鍵山は明村を夏輝の指導係に任命し、いきなり2人はバディを組む羽目に…。  　殺人事件の容疑者の近隣住民への聞きこみ捜査へ向かう途中、明村は、自分とバディを組むのなら上質のジャケットを着るように、と夏輝に命令する。ほどなく容疑者の死体が自宅アパートで発見される。第一発見者である娘の事情聴取を行った夏輝は、思わず感情移入してしまい涙をこぼす。  　そんなある日、銀行強盗が発生。たま"&amp;"たま行内のトイレにいた夏輝は、現場にいることを電話で報告する。明村はその場を動かず状況を報告するよう夏輝に指示した。が、子どもが犯人の標的にされそうになるのを目撃した夏輝は…。")</f>
        <v>　佐原夏輝(佐藤健)は銀座署の新人刑事。出勤初日に職場へ向かう途中、老女を狙ったひったくり現場に遭遇する。逃げた犯人の男ともみあいになる夏輝、とそこに突然現れた女性が男を華麗に投げ飛ばす。それは、偶然通りかかった新人刑事・前田瞳(忽那汐里)だった。  　夏輝と瞳が配属された銀座署刑事課捜査第一係・鍵山班には、班長の鍵山謙介(高橋克実)以下、尾行の達人・稲木俊文(吹越満)、結婚願望の強い独身・古雅久志(田中哲司)、口臭がクサい富樫薫(皆川猿時)、刑事ドラマおたくであだ名付けの達人・鷹野浩次(KEIJI)、そして夏輝の実父・島尾明村(渡部篤郎)がいた。幼い頃に両親が離婚して以来、明村とは犬猿の仲だった夏輝は、父との再会に頭を抱える。が、鍵山は明村を夏輝の指導係に任命し、いきなり2人はバディを組む羽目に…。  　殺人事件の容疑者の近隣住民への聞きこみ捜査へ向かう途中、明村は、自分とバディを組むのなら上質のジャケットを着るように、と夏輝に命令する。ほどなく容疑者の死体が自宅アパートで発見される。第一発見者である娘の事情聴取を行った夏輝は、思わず感情移入してしまい涙をこぼす。  　そんなある日、銀行強盗が発生。たまたま行内のトイレにいた夏輝は、現場にいることを電話で報告する。明村はその場を動かず状況を報告するよう夏輝に指示した。が、子どもが犯人の標的にされそうになるのを目撃した夏輝は…。</v>
      </c>
      <c r="O778" s="2"/>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row>
    <row r="779" ht="204.75" customHeight="1">
      <c r="A779" s="1">
        <v>2732.0</v>
      </c>
      <c r="B779" s="2" t="s">
        <v>2494</v>
      </c>
      <c r="C779" s="2">
        <f>IFERROR(__xludf.DUMMYFUNCTION("split(B779,""_"")"),1404.0)</f>
        <v>1404</v>
      </c>
      <c r="D779" s="2" t="str">
        <f>IFERROR(__xludf.DUMMYFUNCTION("""COMPUTED_VALUE"""),"CX")</f>
        <v>CX</v>
      </c>
      <c r="E779" s="2" t="str">
        <f>IFERROR(__xludf.DUMMYFUNCTION("""COMPUTED_VALUE"""),"火21")</f>
        <v>火21</v>
      </c>
      <c r="F779" s="2" t="s">
        <v>2495</v>
      </c>
      <c r="G779" s="2" t="s">
        <v>2499</v>
      </c>
      <c r="H779" s="1">
        <v>2.0</v>
      </c>
      <c r="I779" s="1" t="s">
        <v>7</v>
      </c>
      <c r="J779" s="1" t="s">
        <v>11</v>
      </c>
      <c r="K779" s="2" t="s">
        <v>2500</v>
      </c>
      <c r="L779" s="2" t="s">
        <v>2501</v>
      </c>
      <c r="M779" s="2" t="str">
        <f>IFERROR(__xludf.DUMMYFUNCTION("split(split(K779,""佐藤健　"",false),""続々公開中★"",false)"),"番組ホームページは〈ビター・ブラッド〉で検索!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f>
        <v>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v>
      </c>
      <c r="N779" s="2" t="str">
        <f>IFERROR(__xludf.DUMMYFUNCTION("""COMPUTED_VALUE"""),"　佐原夏輝(佐藤健)のもとへ事件発生を知らせるメールが届く。が、慌てて現場に向かうと、それは古雅久志(田中哲司)と鷹野浩次(KEIJI)が合コンに夏輝を呼び出したメールだった。呆れつつも合コンに参加する夏輝。そこへ今度は誘拐事件が発生したとの連絡が入る。  　誘拐されたのは、高級住宅地に住む今村洋一(デビット伊東)と優子(奥貫薫)夫妻の長男で10歳の和道(土師野隆之介)だった。島尾明村(渡部篤郎)が現場の指揮をとることになり、夏輝、前田瞳(忽那汐里)、稲木俊文(吹越満)、古雅らとともに今村家へと向かった。"&amp;"  　明け方、誘拐犯から電話が入る。犯人は、身代金5000万円を要求すると同時に、家の窓を開けるように指示してきた。夏輝たちはとっさに物影に隠れるが、窓からカメラを搭載したラジコンヘリが室内まで入ってきて警察の存在がばれてしまう。犯人は交渉決裂を告げ、電話を切った。夏輝はラジコンの操作のために犯人が近くにいると判断し、家を飛び出した。急発進するワゴン車を発見した夏輝は銃を構えるが…。  　泣き崩れる優子に、古雅たちは犯人から再度連絡があるはずだから身代金を用意しておくように話す。そんな中、洋一が会社に行く"&amp;"という。夏輝はそんな洋一を責めるが、明村に止められる。  　数時間後、犯人はネット上に拘束した和道の映像を公開する。そこに覆面姿で現れた犯人は、24時間以内に1億円を用意するよう告げる。")</f>
        <v>　佐原夏輝(佐藤健)のもとへ事件発生を知らせるメールが届く。が、慌てて現場に向かうと、それは古雅久志(田中哲司)と鷹野浩次(KEIJI)が合コンに夏輝を呼び出したメールだった。呆れつつも合コンに参加する夏輝。そこへ今度は誘拐事件が発生したとの連絡が入る。  　誘拐されたのは、高級住宅地に住む今村洋一(デビット伊東)と優子(奥貫薫)夫妻の長男で10歳の和道(土師野隆之介)だった。島尾明村(渡部篤郎)が現場の指揮をとることになり、夏輝、前田瞳(忽那汐里)、稲木俊文(吹越満)、古雅らとともに今村家へと向かった。  　明け方、誘拐犯から電話が入る。犯人は、身代金5000万円を要求すると同時に、家の窓を開けるように指示してきた。夏輝たちはとっさに物影に隠れるが、窓からカメラを搭載したラジコンヘリが室内まで入ってきて警察の存在がばれてしまう。犯人は交渉決裂を告げ、電話を切った。夏輝はラジコンの操作のために犯人が近くにいると判断し、家を飛び出した。急発進するワゴン車を発見した夏輝は銃を構えるが…。  　泣き崩れる優子に、古雅たちは犯人から再度連絡があるはずだから身代金を用意しておくように話す。そんな中、洋一が会社に行くという。夏輝はそんな洋一を責めるが、明村に止められる。  　数時間後、犯人はネット上に拘束した和道の映像を公開する。そこに覆面姿で現れた犯人は、24時間以内に1億円を用意するよう告げる。</v>
      </c>
      <c r="O779" s="2"/>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row>
    <row r="780" ht="204.75" customHeight="1">
      <c r="A780" s="1">
        <v>2733.0</v>
      </c>
      <c r="B780" s="2" t="s">
        <v>2494</v>
      </c>
      <c r="C780" s="2">
        <f>IFERROR(__xludf.DUMMYFUNCTION("split(B780,""_"")"),1404.0)</f>
        <v>1404</v>
      </c>
      <c r="D780" s="2" t="str">
        <f>IFERROR(__xludf.DUMMYFUNCTION("""COMPUTED_VALUE"""),"CX")</f>
        <v>CX</v>
      </c>
      <c r="E780" s="2" t="str">
        <f>IFERROR(__xludf.DUMMYFUNCTION("""COMPUTED_VALUE"""),"火21")</f>
        <v>火21</v>
      </c>
      <c r="F780" s="2" t="s">
        <v>2495</v>
      </c>
      <c r="G780" s="2" t="s">
        <v>2502</v>
      </c>
      <c r="H780" s="1">
        <v>3.0</v>
      </c>
      <c r="I780" s="1" t="s">
        <v>10</v>
      </c>
      <c r="J780" s="1" t="s">
        <v>11</v>
      </c>
      <c r="K780" s="2" t="s">
        <v>2503</v>
      </c>
      <c r="L780" s="2" t="s">
        <v>2504</v>
      </c>
      <c r="M780" s="2" t="str">
        <f>IFERROR(__xludf.DUMMYFUNCTION("split(split(K780,""佐藤健　"",false),""続々公開中★"",false)"),"佐原夏輝(佐藤健)と島尾明村(渡部篤郎)は、銀座署署長(山田明郷)に愛犬のチャッピーを数日間預かるよう頼まれる。だが、犬が苦手な明村は、夏輝にチャッピーを強引に押し付ける。  　目を離した隙に逃げ出したチャッピーを追いかけて資料室にやってきた夏輝は、父親の前田修一(鈴木一真)が殺害された12年前の事件資料を見ている前田瞳(忽那汐里)と遭遇する。瞳は、犯人がみつかるかもしれないと夏輝に話す。　瞳にはなつくが、すぐに夏輝のもとから逃げ出すチャッピー。見かねた鍵山謙介(高橋克実)はゲージを買ってくるように提案す"&amp;"る。夏輝は、瞳と買い物に出ることに。だが、瞳は父親殺しの情報を握っている情報屋に会うと言って、どこかへ行ってしまう。  　ホームセンターを訪れた夏輝は、偶然、店内で万引きをしていた少年・元気(山崎光)を発見する。夏輝が元気を捕まえると、彼は遠くにいた挙動不審な中年男性に逃げるように叫び・・・。  　情報屋の男と会っている瞳。男は事件の資料を見せ、重要な証拠を握っている人物を追いかけている最中であると告げる。  　ある日、その男から見せたい資料があると連絡を受けた瞳は、単身、男の部屋へと向かった。何の疑いも"&amp;"なく室内に足を踏み入れた瞳は、部屋の壁に切り裂かれた自分の写真があるのを発見してしまい・・・。")</f>
        <v>佐原夏輝(佐藤健)と島尾明村(渡部篤郎)は、銀座署署長(山田明郷)に愛犬のチャッピーを数日間預かるよう頼まれる。だが、犬が苦手な明村は、夏輝にチャッピーを強引に押し付ける。  　目を離した隙に逃げ出したチャッピーを追いかけて資料室にやってきた夏輝は、父親の前田修一(鈴木一真)が殺害された12年前の事件資料を見ている前田瞳(忽那汐里)と遭遇する。瞳は、犯人がみつかるかもしれないと夏輝に話す。　瞳にはなつくが、すぐに夏輝のもとから逃げ出すチャッピー。見かねた鍵山謙介(高橋克実)はゲージを買ってくるように提案する。夏輝は、瞳と買い物に出ることに。だが、瞳は父親殺しの情報を握っている情報屋に会うと言って、どこかへ行ってしまう。  　ホームセンターを訪れた夏輝は、偶然、店内で万引きをしていた少年・元気(山崎光)を発見する。夏輝が元気を捕まえると、彼は遠くにいた挙動不審な中年男性に逃げるように叫び・・・。  　情報屋の男と会っている瞳。男は事件の資料を見せ、重要な証拠を握っている人物を追いかけている最中であると告げる。  　ある日、その男から見せたい資料があると連絡を受けた瞳は、単身、男の部屋へと向かった。何の疑いもなく室内に足を踏み入れた瞳は、部屋の壁に切り裂かれた自分の写真があるのを発見してしまい・・・。</v>
      </c>
      <c r="N780" s="2"/>
      <c r="O780" s="2"/>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row>
    <row r="781" ht="204.75" customHeight="1">
      <c r="A781" s="1">
        <v>2734.0</v>
      </c>
      <c r="B781" s="2" t="s">
        <v>2494</v>
      </c>
      <c r="C781" s="2">
        <f>IFERROR(__xludf.DUMMYFUNCTION("split(B781,""_"")"),1404.0)</f>
        <v>1404</v>
      </c>
      <c r="D781" s="2" t="str">
        <f>IFERROR(__xludf.DUMMYFUNCTION("""COMPUTED_VALUE"""),"CX")</f>
        <v>CX</v>
      </c>
      <c r="E781" s="2" t="str">
        <f>IFERROR(__xludf.DUMMYFUNCTION("""COMPUTED_VALUE"""),"火21")</f>
        <v>火21</v>
      </c>
      <c r="F781" s="2" t="s">
        <v>2495</v>
      </c>
      <c r="G781" s="2" t="s">
        <v>2505</v>
      </c>
      <c r="H781" s="1">
        <v>4.0</v>
      </c>
      <c r="I781" s="1" t="s">
        <v>14</v>
      </c>
      <c r="J781" s="1" t="s">
        <v>11</v>
      </c>
      <c r="K781" s="2" t="s">
        <v>2506</v>
      </c>
      <c r="L781" s="2" t="s">
        <v>2507</v>
      </c>
      <c r="M781" s="2" t="str">
        <f>IFERROR(__xludf.DUMMYFUNCTION("split(split(K781,""佐藤健　"",false),""続々公開中★"",false)"),"番組ホームページは〈ビター・ブラッド〉で検索!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f>
        <v>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v>
      </c>
      <c r="N781" s="2" t="str">
        <f>IFERROR(__xludf.DUMMYFUNCTION("""COMPUTED_VALUE"""),"　夏輝(佐藤健)や明村(渡部篤郎)ら鍵山班の面々は、“銀座署春のレクリエーション大会""の企画会議を開く。採用者には金一封が出るため、さまざまな案が出されるが、結局何も決まらず、一同はそれを夏輝に押し付ける。  　鍵山(高橋克実)の息子・功太(小関裕太)は、帰宅途中に見知らぬ男・鮫島(渋川清彦)が男性をナイフで刺すところを目撃する。功太に気づいて追いかけてきた鮫島は、誰かに話したら殺す、と叫ぶ。男をまいて家に戻った功太は、警察に通報しようとするが怖くなって電話を切ってしまう。  　一方、瞳(忽那汐里)は、"&amp;"貝塚(及川光博)の件で迷惑をかけたお詫びに食事をご馳走すると、夏輝に待ち合わせの時間と店を告げる。  　仕事を終え、瞳と約束した店へ向かっていた夏輝は、功太が同級生たちに殴られているのを目撃する。夏輝は、止めに入り功太を救ったが、そのせいで待ち合わせに遅刻してしまう。　翌日、レクリエーション企画を考えるために書店を訪れた夏輝は功太を見つける。功太が持っていた問題集を見た夏輝は、妹の忍(広瀬すず)が使っていた問題集を譲るともちかけた。断ろうとした功太だが、書店内で鮫島の姿を見つけたため書店を飛び出す。  　"&amp;"そんな折、銀座署に夏輝宛ての荷物が届く。明村は、不在の夏輝に代わってバイク便業者(坂本真)から荷物を受け取ろうとするが、ナゼか人質に取られてしまい・・・。")</f>
        <v>　夏輝(佐藤健)や明村(渡部篤郎)ら鍵山班の面々は、“銀座署春のレクリエーション大会"の企画会議を開く。採用者には金一封が出るため、さまざまな案が出されるが、結局何も決まらず、一同はそれを夏輝に押し付ける。  　鍵山(高橋克実)の息子・功太(小関裕太)は、帰宅途中に見知らぬ男・鮫島(渋川清彦)が男性をナイフで刺すところを目撃する。功太に気づいて追いかけてきた鮫島は、誰かに話したら殺す、と叫ぶ。男をまいて家に戻った功太は、警察に通報しようとするが怖くなって電話を切ってしまう。  　一方、瞳(忽那汐里)は、貝塚(及川光博)の件で迷惑をかけたお詫びに食事をご馳走すると、夏輝に待ち合わせの時間と店を告げる。  　仕事を終え、瞳と約束した店へ向かっていた夏輝は、功太が同級生たちに殴られているのを目撃する。夏輝は、止めに入り功太を救ったが、そのせいで待ち合わせに遅刻してしまう。　翌日、レクリエーション企画を考えるために書店を訪れた夏輝は功太を見つける。功太が持っていた問題集を見た夏輝は、妹の忍(広瀬すず)が使っていた問題集を譲るともちかけた。断ろうとした功太だが、書店内で鮫島の姿を見つけたため書店を飛び出す。  　そんな折、銀座署に夏輝宛ての荷物が届く。明村は、不在の夏輝に代わってバイク便業者(坂本真)から荷物を受け取ろうとするが、ナゼか人質に取られてしまい・・・。</v>
      </c>
      <c r="O781" s="2"/>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row>
    <row r="782" ht="204.75" customHeight="1">
      <c r="A782" s="1">
        <v>2735.0</v>
      </c>
      <c r="B782" s="2" t="s">
        <v>2494</v>
      </c>
      <c r="C782" s="2">
        <f>IFERROR(__xludf.DUMMYFUNCTION("split(B782,""_"")"),1404.0)</f>
        <v>1404</v>
      </c>
      <c r="D782" s="2" t="str">
        <f>IFERROR(__xludf.DUMMYFUNCTION("""COMPUTED_VALUE"""),"CX")</f>
        <v>CX</v>
      </c>
      <c r="E782" s="2" t="str">
        <f>IFERROR(__xludf.DUMMYFUNCTION("""COMPUTED_VALUE"""),"火21")</f>
        <v>火21</v>
      </c>
      <c r="F782" s="2" t="s">
        <v>2495</v>
      </c>
      <c r="G782" s="2" t="s">
        <v>2508</v>
      </c>
      <c r="H782" s="1">
        <v>5.0</v>
      </c>
      <c r="I782" s="1" t="s">
        <v>17</v>
      </c>
      <c r="J782" s="1" t="s">
        <v>11</v>
      </c>
      <c r="K782" s="2" t="s">
        <v>2509</v>
      </c>
      <c r="L782" s="2" t="s">
        <v>2510</v>
      </c>
      <c r="M782" s="2" t="str">
        <f>IFERROR(__xludf.DUMMYFUNCTION("split(split(K782,""佐藤健　"",false),""続々公開中★"",false)"),"番組ホームページは〈ビター・ブラッド〉で検索!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f>
        <v>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v>
      </c>
      <c r="N782" s="2" t="str">
        <f>IFERROR(__xludf.DUMMYFUNCTION("""COMPUTED_VALUE"""),"　銀座署前にいた佐原夏輝(佐藤健)や島尾明村(渡部篤郎)ら鍵山班の前に、血だらけの男が倒れ込んだ。男は、夏輝の祖父で元刑事の佐原富成(伊武雅刀)だった。　  　富成を刺したのは3年前に現金輸送車から2億円を強奪し、警備員2名を殺害した城之内利也(山中聡)だと言う。海外逃亡中だった城之内を銀座で発見した富成が、声をかけたところを刺されたのだった。城之内が銀座に現れたのは、当時付き合っていた関根綾子(野波麻帆)が原因であると推測した富成は、銀座周辺で城之内の捜索を指示。同時に、夏輝と明村には綾子の24時間監視"&amp;"を言い渡す。  　綾子の部屋が見える廃屋で張り込みを始めた夏輝と明村。綾子の留守を狙って部屋の前にやってきた夏輝は、水道のバルブに細工を施し、偽の水道修理業者のチラシをポストに入れる。  　帰宅した綾子は、夏輝と明村の思惑通りに水道が故障していると勘違いし、修理を依頼する電話をかける。修理業者に変装した夏輝は、綾子の部屋に向かい、水道を直すふりをして部屋に盗聴器を仕掛けた。夏輝の退出後、すぐに綾子の携帯が鳴る。綾子は言葉少なに電話を切ると、激しく動揺する。  　やがて、部屋の前に取り付けていた監視カメラの"&amp;"映像にニット帽を深くかぶった男が現れた。男が部屋に入るのを見た夏輝は、修理業者の格好のまま駆け出していく。部屋に飛び込むと、綾子はその男に押し倒されていて…。")</f>
        <v>　銀座署前にいた佐原夏輝(佐藤健)や島尾明村(渡部篤郎)ら鍵山班の前に、血だらけの男が倒れ込んだ。男は、夏輝の祖父で元刑事の佐原富成(伊武雅刀)だった。　  　富成を刺したのは3年前に現金輸送車から2億円を強奪し、警備員2名を殺害した城之内利也(山中聡)だと言う。海外逃亡中だった城之内を銀座で発見した富成が、声をかけたところを刺されたのだった。城之内が銀座に現れたのは、当時付き合っていた関根綾子(野波麻帆)が原因であると推測した富成は、銀座周辺で城之内の捜索を指示。同時に、夏輝と明村には綾子の24時間監視を言い渡す。  　綾子の部屋が見える廃屋で張り込みを始めた夏輝と明村。綾子の留守を狙って部屋の前にやってきた夏輝は、水道のバルブに細工を施し、偽の水道修理業者のチラシをポストに入れる。  　帰宅した綾子は、夏輝と明村の思惑通りに水道が故障していると勘違いし、修理を依頼する電話をかける。修理業者に変装した夏輝は、綾子の部屋に向かい、水道を直すふりをして部屋に盗聴器を仕掛けた。夏輝の退出後、すぐに綾子の携帯が鳴る。綾子は言葉少なに電話を切ると、激しく動揺する。  　やがて、部屋の前に取り付けていた監視カメラの映像にニット帽を深くかぶった男が現れた。男が部屋に入るのを見た夏輝は、修理業者の格好のまま駆け出していく。部屋に飛び込むと、綾子はその男に押し倒されていて…。</v>
      </c>
      <c r="O782" s="2"/>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row>
    <row r="783" ht="204.75" customHeight="1">
      <c r="A783" s="1">
        <v>2736.0</v>
      </c>
      <c r="B783" s="2" t="s">
        <v>2494</v>
      </c>
      <c r="C783" s="2">
        <f>IFERROR(__xludf.DUMMYFUNCTION("split(B783,""_"")"),1404.0)</f>
        <v>1404</v>
      </c>
      <c r="D783" s="2" t="str">
        <f>IFERROR(__xludf.DUMMYFUNCTION("""COMPUTED_VALUE"""),"CX")</f>
        <v>CX</v>
      </c>
      <c r="E783" s="2" t="str">
        <f>IFERROR(__xludf.DUMMYFUNCTION("""COMPUTED_VALUE"""),"火21")</f>
        <v>火21</v>
      </c>
      <c r="F783" s="2" t="s">
        <v>2495</v>
      </c>
      <c r="G783" s="2" t="s">
        <v>2511</v>
      </c>
      <c r="H783" s="1">
        <v>6.0</v>
      </c>
      <c r="I783" s="1" t="s">
        <v>21</v>
      </c>
      <c r="J783" s="1" t="s">
        <v>11</v>
      </c>
      <c r="K783" s="2" t="s">
        <v>2512</v>
      </c>
      <c r="L783" s="2" t="s">
        <v>2513</v>
      </c>
      <c r="M783" s="2" t="str">
        <f>IFERROR(__xludf.DUMMYFUNCTION("split(split(K783,""佐藤健　"",false),""続々公開中★"",false)"),"番組ホームページは〈ビター・ブラッド〉で検索!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f>
        <v>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v>
      </c>
      <c r="N783" s="2" t="str">
        <f>IFERROR(__xludf.DUMMYFUNCTION("""COMPUTED_VALUE"""),"　出勤中の佐原夏輝(佐藤健)の前に一台の車が止まる。夏輝は、その車から降りてきた男たちに強引に車に押し込まれてしまう…。  　夏輝が連れてこられたのは銀座署の大会議室だった。そこには島尾明村(渡部篤郎)や前田瞳(忽那汐里)ら鍵山班をはじめ、大勢の署員が集められていた。そこへ警視庁警務部人事一課の木暮竜也(西村雅彦)がやってきた。木暮は、全員に許可なく外出することを禁止すると告げると、鍵山班だけを刑事課へ連れ出す。  　刑事課の床には血だまりがあり、すでに捜査が始まっていた。驚く夏輝たちに、昨晩、鍵山謙介("&amp;"高橋克実)が何者かにナイフで刺されたことが告げられた。非常に危険な状態であると聞き、病院に行こうとする夏輝たちの前に木暮が立ちふさがる。昨晩、鍵山は部下と会うと話していたという家族の証言から、鍵山班全員が容疑者となっていたのだ。  　納得できず、捜査のために部屋を出ようとした富樫薫(皆川猿時)に、木暮は拳銃を向ける。そんな木暮に詰め寄ろうとした夏輝にまで拳銃が向けられる。木暮は鍵山班の面々に対し、今後、部屋から出ようとした場合は逃亡とみなし、場合によっては拳銃の使用も辞さないと宣告する。  　監視を付けら"&amp;"れ、刑事課に軟禁される鍵山班の面々。やがて木暮による取り調べが始まった。最初に呼ばれた夏輝と瞳は、容疑者から外す代わりに、他の鍵山班メンバーの内偵をするように命じられるが…。")</f>
        <v>　出勤中の佐原夏輝(佐藤健)の前に一台の車が止まる。夏輝は、その車から降りてきた男たちに強引に車に押し込まれてしまう…。  　夏輝が連れてこられたのは銀座署の大会議室だった。そこには島尾明村(渡部篤郎)や前田瞳(忽那汐里)ら鍵山班をはじめ、大勢の署員が集められていた。そこへ警視庁警務部人事一課の木暮竜也(西村雅彦)がやってきた。木暮は、全員に許可なく外出することを禁止すると告げると、鍵山班だけを刑事課へ連れ出す。  　刑事課の床には血だまりがあり、すでに捜査が始まっていた。驚く夏輝たちに、昨晩、鍵山謙介(高橋克実)が何者かにナイフで刺されたことが告げられた。非常に危険な状態であると聞き、病院に行こうとする夏輝たちの前に木暮が立ちふさがる。昨晩、鍵山は部下と会うと話していたという家族の証言から、鍵山班全員が容疑者となっていたのだ。  　納得できず、捜査のために部屋を出ようとした富樫薫(皆川猿時)に、木暮は拳銃を向ける。そんな木暮に詰め寄ろうとした夏輝にまで拳銃が向けられる。木暮は鍵山班の面々に対し、今後、部屋から出ようとした場合は逃亡とみなし、場合によっては拳銃の使用も辞さないと宣告する。  　監視を付けられ、刑事課に軟禁される鍵山班の面々。やがて木暮による取り調べが始まった。最初に呼ばれた夏輝と瞳は、容疑者から外す代わりに、他の鍵山班メンバーの内偵をするように命じられるが…。</v>
      </c>
      <c r="O783" s="2"/>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row>
    <row r="784" ht="204.75" customHeight="1">
      <c r="A784" s="1">
        <v>2737.0</v>
      </c>
      <c r="B784" s="2" t="s">
        <v>2494</v>
      </c>
      <c r="C784" s="2">
        <f>IFERROR(__xludf.DUMMYFUNCTION("split(B784,""_"")"),1404.0)</f>
        <v>1404</v>
      </c>
      <c r="D784" s="2" t="str">
        <f>IFERROR(__xludf.DUMMYFUNCTION("""COMPUTED_VALUE"""),"CX")</f>
        <v>CX</v>
      </c>
      <c r="E784" s="2" t="str">
        <f>IFERROR(__xludf.DUMMYFUNCTION("""COMPUTED_VALUE"""),"火21")</f>
        <v>火21</v>
      </c>
      <c r="F784" s="2" t="s">
        <v>2495</v>
      </c>
      <c r="G784" s="2" t="s">
        <v>2514</v>
      </c>
      <c r="H784" s="1">
        <v>7.0</v>
      </c>
      <c r="I784" s="1" t="s">
        <v>25</v>
      </c>
      <c r="J784" s="1" t="s">
        <v>11</v>
      </c>
      <c r="K784" s="2" t="s">
        <v>2515</v>
      </c>
      <c r="L784" s="2" t="s">
        <v>2516</v>
      </c>
      <c r="M784" s="2" t="str">
        <f>IFERROR(__xludf.DUMMYFUNCTION("split(split(K784,""佐藤健　"",false),""続々公開中★"",false)"),"番組ホームページは〈ビター・ブラッド〉で検索!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f>
        <v>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v>
      </c>
      <c r="N784" s="2" t="str">
        <f>IFERROR(__xludf.DUMMYFUNCTION("""COMPUTED_VALUE"""),"　朝、佐原夏輝(佐藤健)がベッドで目を覚ますと、隣りに前田瞳(忽那汐里)がいた。驚き、飛び起きる夏輝。直後、瞳も目を覚まし…。  　日々婚活にいそしんでいた古雅久志(田中哲司)の結婚が決まった。古雅の突然の報告に、驚きつつも盛大に祝福する鍵山班の面々。相手の佐藤真琴(上原多香子)とは10日前にお見合いパーティーで知り合ったという。古雅は、真琴にねだられ、運転免許を取るための教習所費用を渡したことや、200万円の指輪を買う約束をしたことをうれしそうに話す。  　そこへ、結婚詐欺にあったかもしれないという男性"&amp;"が相談にやってきた。夏輝と島尾明村(渡部篤郎)が事情を聞くと、指輪を買ったとたん連絡がとれなくなったという相手の女性の手口が古雅の話と一致した。  　夏輝は刑事課に戻るが、古雅は指輪を買いに出た後だった。宝石店へ走り、ギリギリのところで指輪の購入を止めた夏輝は、古雅を刑事課に連れて帰る。夏輝と明村は結婚詐欺の可能性が高いことを訴えるが、古雅は耳を貸そうとしない。  　そんな中、瞳に冷たくされて落ち込む夏輝を見た明村は、捜査と偽って夏輝をキャバクラに連れて行く。明村と共にキャバクラ嬢・ユナ(小蜜)らと座って"&amp;"いた夏輝は、店のキャバ嬢の中に真琴を発見して明村に報告する。  　捜査を続け、真琴があるお見合いパーティーに出席することを突き止めた夏輝は、潜入捜査をすることに…。")</f>
        <v>　朝、佐原夏輝(佐藤健)がベッドで目を覚ますと、隣りに前田瞳(忽那汐里)がいた。驚き、飛び起きる夏輝。直後、瞳も目を覚まし…。  　日々婚活にいそしんでいた古雅久志(田中哲司)の結婚が決まった。古雅の突然の報告に、驚きつつも盛大に祝福する鍵山班の面々。相手の佐藤真琴(上原多香子)とは10日前にお見合いパーティーで知り合ったという。古雅は、真琴にねだられ、運転免許を取るための教習所費用を渡したことや、200万円の指輪を買う約束をしたことをうれしそうに話す。  　そこへ、結婚詐欺にあったかもしれないという男性が相談にやってきた。夏輝と島尾明村(渡部篤郎)が事情を聞くと、指輪を買ったとたん連絡がとれなくなったという相手の女性の手口が古雅の話と一致した。  　夏輝は刑事課に戻るが、古雅は指輪を買いに出た後だった。宝石店へ走り、ギリギリのところで指輪の購入を止めた夏輝は、古雅を刑事課に連れて帰る。夏輝と明村は結婚詐欺の可能性が高いことを訴えるが、古雅は耳を貸そうとしない。  　そんな中、瞳に冷たくされて落ち込む夏輝を見た明村は、捜査と偽って夏輝をキャバクラに連れて行く。明村と共にキャバクラ嬢・ユナ(小蜜)らと座っていた夏輝は、店のキャバ嬢の中に真琴を発見して明村に報告する。  　捜査を続け、真琴があるお見合いパーティーに出席することを突き止めた夏輝は、潜入捜査をすることに…。</v>
      </c>
      <c r="O784" s="2"/>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row>
    <row r="785" ht="204.75" customHeight="1">
      <c r="A785" s="1">
        <v>2738.0</v>
      </c>
      <c r="B785" s="2" t="s">
        <v>2494</v>
      </c>
      <c r="C785" s="2">
        <f>IFERROR(__xludf.DUMMYFUNCTION("split(B785,""_"")"),1404.0)</f>
        <v>1404</v>
      </c>
      <c r="D785" s="2" t="str">
        <f>IFERROR(__xludf.DUMMYFUNCTION("""COMPUTED_VALUE"""),"CX")</f>
        <v>CX</v>
      </c>
      <c r="E785" s="2" t="str">
        <f>IFERROR(__xludf.DUMMYFUNCTION("""COMPUTED_VALUE"""),"火21")</f>
        <v>火21</v>
      </c>
      <c r="F785" s="2" t="s">
        <v>2495</v>
      </c>
      <c r="G785" s="2" t="s">
        <v>2517</v>
      </c>
      <c r="H785" s="1">
        <v>8.0</v>
      </c>
      <c r="I785" s="1" t="s">
        <v>29</v>
      </c>
      <c r="J785" s="1" t="s">
        <v>11</v>
      </c>
      <c r="K785" s="2" t="s">
        <v>2518</v>
      </c>
      <c r="L785" s="2" t="s">
        <v>2519</v>
      </c>
      <c r="M785" s="2" t="str">
        <f>IFERROR(__xludf.DUMMYFUNCTION("split(split(K785,""佐藤健　"",false),""続々公開中★"",false)"),"番組ホームページは〈ビター・ブラッド〉で検索!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f>
        <v>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v>
      </c>
      <c r="N785" s="2" t="str">
        <f>IFERROR(__xludf.DUMMYFUNCTION("""COMPUTED_VALUE"""),"　佐原夏輝(佐藤健)は、前田瞳(忽那汐里)から島尾明村(渡部篤郎)が好きだと相談を受け、言葉を失う。自分の席に戻ってからも、つい明村と瞳に目線がいってしまう夏輝。そんな夏輝の態度をみかねた瞳は、鍵山謙介(高橋克実)に頼まれ買い出しに出かける夏輝の後を追いかける。そこへ偶然やってきた明村も含め、3人はコンビニへ向かった。  　一方、銀座署の取調べ室では、富樫薫(皆川猿時)が公務執行妨害で捕まえた相模修吾(中野裕太)の取調べを行っていた。すると、相模が電話で背を向けた富樫にイスを武器にして襲い掛かる。さらに、"&amp;"差し入れのカツ丼を運んできた鷹野浩次(KEIJI)にも襲いかかり逃走を図る。  　鷹野からの報告を受け、鍵山はすぐに銀座署全出入口の完全封鎖を指示する。直後、電源室に向かった相模が機械を壊したことで署内中が停電となる。予備電源で主要機器はかろうじて動いていたが、コンビニから戻って署内のエレベーターに乗っていた夏輝と明村と瞳は閉じ込められてしまう。管理会社に連絡をするが、銀座署が封鎖されているため入ることができないと分かる。  　やがて、医務室で目を覚ました富樫が相模の腕に入れ墨があったことを報告。総動員で"&amp;"相模の捜索にあたる中、古雅久志(田中哲司)は見覚えのない制服警官に声をかけるが…。")</f>
        <v>　佐原夏輝(佐藤健)は、前田瞳(忽那汐里)から島尾明村(渡部篤郎)が好きだと相談を受け、言葉を失う。自分の席に戻ってからも、つい明村と瞳に目線がいってしまう夏輝。そんな夏輝の態度をみかねた瞳は、鍵山謙介(高橋克実)に頼まれ買い出しに出かける夏輝の後を追いかける。そこへ偶然やってきた明村も含め、3人はコンビニへ向かった。  　一方、銀座署の取調べ室では、富樫薫(皆川猿時)が公務執行妨害で捕まえた相模修吾(中野裕太)の取調べを行っていた。すると、相模が電話で背を向けた富樫にイスを武器にして襲い掛かる。さらに、差し入れのカツ丼を運んできた鷹野浩次(KEIJI)にも襲いかかり逃走を図る。  　鷹野からの報告を受け、鍵山はすぐに銀座署全出入口の完全封鎖を指示する。直後、電源室に向かった相模が機械を壊したことで署内中が停電となる。予備電源で主要機器はかろうじて動いていたが、コンビニから戻って署内のエレベーターに乗っていた夏輝と明村と瞳は閉じ込められてしまう。管理会社に連絡をするが、銀座署が封鎖されているため入ることができないと分かる。  　やがて、医務室で目を覚ました富樫が相模の腕に入れ墨があったことを報告。総動員で相模の捜索にあたる中、古雅久志(田中哲司)は見覚えのない制服警官に声をかけるが…。</v>
      </c>
      <c r="O785" s="2"/>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row>
    <row r="786" ht="204.75" customHeight="1">
      <c r="A786" s="1">
        <v>2739.0</v>
      </c>
      <c r="B786" s="2" t="s">
        <v>2494</v>
      </c>
      <c r="C786" s="2">
        <f>IFERROR(__xludf.DUMMYFUNCTION("split(B786,""_"")"),1404.0)</f>
        <v>1404</v>
      </c>
      <c r="D786" s="2" t="str">
        <f>IFERROR(__xludf.DUMMYFUNCTION("""COMPUTED_VALUE"""),"CX")</f>
        <v>CX</v>
      </c>
      <c r="E786" s="2" t="str">
        <f>IFERROR(__xludf.DUMMYFUNCTION("""COMPUTED_VALUE"""),"火21")</f>
        <v>火21</v>
      </c>
      <c r="F786" s="2" t="s">
        <v>2495</v>
      </c>
      <c r="G786" s="2" t="s">
        <v>2520</v>
      </c>
      <c r="H786" s="1">
        <v>9.0</v>
      </c>
      <c r="I786" s="1" t="s">
        <v>33</v>
      </c>
      <c r="J786" s="1" t="s">
        <v>11</v>
      </c>
      <c r="K786" s="4" t="s">
        <v>2521</v>
      </c>
      <c r="L786" s="2" t="s">
        <v>2522</v>
      </c>
      <c r="M786" s="2" t="str">
        <f>IFERROR(__xludf.DUMMYFUNCTION("split(split(K786,""佐藤健　"",false),""続々公開中★"",false)"),"佐原夏輝(佐藤健)たち鍵山班は、暴力団の青竜会が麻薬売買を行うという情報を得て、港近くの倉庫へやって来た。正面入口に島尾明村(渡部篤郎)と鷹野浩次(KEIJI)、裏口は夏輝と前田瞳(忽那汐里)、窓には古雅久志(田中哲司)と富樫薫(皆川猿時)がそれぞれ配置され、突入準備を整える。明村の合図で一斉に倉庫へ突入するが、トラブルにより青竜会を逃がしてしまう。  　同じ頃、私用で捜査に参加していなかった稲木俊文(吹越満)は、夜の公園でひとり佇んでいた。  　麻薬が青竜会に渡ったことを受け、夏輝と明村は事務所を張り込"&amp;"む。すると、幹部の藤崎達雄(嶋田久作)が出てきた。藤崎が麻薬を売るとにらんだ夏輝と明村は、後をつけてカフェに行く。  　やがて、ひとりの男がやって来て藤崎のテーブルについた。男は藤崎から小さな紙袋を受け取ると、代わりに現金が入った封筒を差し出す。取引現場を目撃した夏輝と明村が確保しようと近づいたその時、男の顔が見えて稲木であることがわかる。とっさに物影に隠れ、その場をやり過ごすふたり。  　後日、夏輝は稲木が電話でクスリを入手したと話しているのを聞いてしまい…。")</f>
        <v>佐原夏輝(佐藤健)たち鍵山班は、暴力団の青竜会が麻薬売買を行うという情報を得て、港近くの倉庫へやって来た。正面入口に島尾明村(渡部篤郎)と鷹野浩次(KEIJI)、裏口は夏輝と前田瞳(忽那汐里)、窓には古雅久志(田中哲司)と富樫薫(皆川猿時)がそれぞれ配置され、突入準備を整える。明村の合図で一斉に倉庫へ突入するが、トラブルにより青竜会を逃がしてしまう。  　同じ頃、私用で捜査に参加していなかった稲木俊文(吹越満)は、夜の公園でひとり佇んでいた。  　麻薬が青竜会に渡ったことを受け、夏輝と明村は事務所を張り込む。すると、幹部の藤崎達雄(嶋田久作)が出てきた。藤崎が麻薬を売るとにらんだ夏輝と明村は、後をつけてカフェに行く。  　やがて、ひとりの男がやって来て藤崎のテーブルについた。男は藤崎から小さな紙袋を受け取ると、代わりに現金が入った封筒を差し出す。取引現場を目撃した夏輝と明村が確保しようと近づいたその時、男の顔が見えて稲木であることがわかる。とっさに物影に隠れ、その場をやり過ごすふたり。  　後日、夏輝は稲木が電話でクスリを入手したと話しているのを聞いてしまい…。</v>
      </c>
      <c r="N786" s="2"/>
      <c r="O786" s="2"/>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row>
    <row r="787" ht="204.75" customHeight="1">
      <c r="A787" s="1">
        <v>2740.0</v>
      </c>
      <c r="B787" s="2" t="s">
        <v>2494</v>
      </c>
      <c r="C787" s="2">
        <f>IFERROR(__xludf.DUMMYFUNCTION("split(B787,""_"")"),1404.0)</f>
        <v>1404</v>
      </c>
      <c r="D787" s="2" t="str">
        <f>IFERROR(__xludf.DUMMYFUNCTION("""COMPUTED_VALUE"""),"CX")</f>
        <v>CX</v>
      </c>
      <c r="E787" s="2" t="str">
        <f>IFERROR(__xludf.DUMMYFUNCTION("""COMPUTED_VALUE"""),"火21")</f>
        <v>火21</v>
      </c>
      <c r="F787" s="2" t="s">
        <v>2495</v>
      </c>
      <c r="G787" s="2" t="s">
        <v>2523</v>
      </c>
      <c r="H787" s="1">
        <v>10.0</v>
      </c>
      <c r="I787" s="1" t="s">
        <v>37</v>
      </c>
      <c r="J787" s="1" t="s">
        <v>11</v>
      </c>
      <c r="K787" s="2" t="s">
        <v>2524</v>
      </c>
      <c r="L787" s="2" t="s">
        <v>2525</v>
      </c>
      <c r="M787" s="2" t="str">
        <f>IFERROR(__xludf.DUMMYFUNCTION("split(split(K787,""佐藤健　"",false),""続々公開中★"",false)"),"番組ホームページは〈ビター・ブラッド〉で検索!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f>
        <v>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v>
      </c>
      <c r="N787" s="2" t="str">
        <f>IFERROR(__xludf.DUMMYFUNCTION("""COMPUTED_VALUE"""),"　研修を終えて、東京行きのバスに乗っていた佐原夏輝(佐藤健)と前田瞳(忽那汐里)。すると、乗客のひとり、大村国男(東根作寿英)が立ち上がり、夏輝に拳銃を突きつける。大村は、悲鳴をあげる乗客たちを怒鳴りつけて黙らせた。  　同じころ、島尾明村(渡部篤郎)は警視庁人事一課の木暮竜也(西村雅彦)に呼び出されて喫茶店へ来ていた。木暮は、明村に警視庁捜査一課への栄転の話が出ていることを話し、翌日、人事課へ来るように告げる。木暮と別れ、上機嫌で歩いていた明村だが、背後から鼻歌が聞こえ振り向くとそこには…。  　出動要"&amp;"請を受け、ビルの屋上へやってきた鍵山謙介(高橋克実)、稲木俊文(吹越満)、古雅久志(田中哲司)、富樫薫(皆川猿時)、鷹野浩次(KEIJI)。屋上では、飛び降りようとする本田加奈子(平岩紙)を滑川(古川雄輝)と竹田(敦士)が説得していた。しかし、まったく耳を貸そうとしない加奈子に、鍵山班が説得に乗り出す。  　一方、バスジャックされた車中では、逃げ出そうとした乗客のひとりが足を撃たれた。怯える乗客を見た夏輝は、老人と子どもだけでも解放して欲しいと願い出るが聞き入れてもらえず…。")</f>
        <v>　研修を終えて、東京行きのバスに乗っていた佐原夏輝(佐藤健)と前田瞳(忽那汐里)。すると、乗客のひとり、大村国男(東根作寿英)が立ち上がり、夏輝に拳銃を突きつける。大村は、悲鳴をあげる乗客たちを怒鳴りつけて黙らせた。  　同じころ、島尾明村(渡部篤郎)は警視庁人事一課の木暮竜也(西村雅彦)に呼び出されて喫茶店へ来ていた。木暮は、明村に警視庁捜査一課への栄転の話が出ていることを話し、翌日、人事課へ来るように告げる。木暮と別れ、上機嫌で歩いていた明村だが、背後から鼻歌が聞こえ振り向くとそこには…。  　出動要請を受け、ビルの屋上へやってきた鍵山謙介(高橋克実)、稲木俊文(吹越満)、古雅久志(田中哲司)、富樫薫(皆川猿時)、鷹野浩次(KEIJI)。屋上では、飛び降りようとする本田加奈子(平岩紙)を滑川(古川雄輝)と竹田(敦士)が説得していた。しかし、まったく耳を貸そうとしない加奈子に、鍵山班が説得に乗り出す。  　一方、バスジャックされた車中では、逃げ出そうとした乗客のひとりが足を撃たれた。怯える乗客を見た夏輝は、老人と子どもだけでも解放して欲しいと願い出るが聞き入れてもらえず…。</v>
      </c>
      <c r="O787" s="2"/>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row>
    <row r="788" ht="204.75" customHeight="1">
      <c r="A788" s="1">
        <v>2741.0</v>
      </c>
      <c r="B788" s="2" t="s">
        <v>2494</v>
      </c>
      <c r="C788" s="2">
        <f>IFERROR(__xludf.DUMMYFUNCTION("split(B788,""_"")"),1404.0)</f>
        <v>1404</v>
      </c>
      <c r="D788" s="2" t="str">
        <f>IFERROR(__xludf.DUMMYFUNCTION("""COMPUTED_VALUE"""),"CX")</f>
        <v>CX</v>
      </c>
      <c r="E788" s="2" t="str">
        <f>IFERROR(__xludf.DUMMYFUNCTION("""COMPUTED_VALUE"""),"火21")</f>
        <v>火21</v>
      </c>
      <c r="F788" s="2" t="s">
        <v>2495</v>
      </c>
      <c r="G788" s="2" t="s">
        <v>2526</v>
      </c>
      <c r="H788" s="1">
        <v>11.0</v>
      </c>
      <c r="I788" s="1" t="s">
        <v>41</v>
      </c>
      <c r="J788" s="1" t="s">
        <v>11</v>
      </c>
      <c r="K788" s="4" t="s">
        <v>2527</v>
      </c>
      <c r="L788" s="2" t="s">
        <v>2528</v>
      </c>
      <c r="M788" s="2" t="str">
        <f>IFERROR(__xludf.DUMMYFUNCTION("split(split(K788,""佐藤健　"",false),""続々公開中★"",false)"),"番組ホームページは〈ビター・ブラッド〉で検索!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f>
        <v>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v>
      </c>
      <c r="N788" s="2" t="str">
        <f>IFERROR(__xludf.DUMMYFUNCTION("""COMPUTED_VALUE"""),"　佐原夏輝(佐藤健)は、遊園地で貝塚剛久(及川光博)と対峙(たいじ)する。貝塚は、遊園地内にある廃屋で逆さ吊りにされた島尾明村(渡部篤郎)の映像を見せた後、客でにぎわう遊園地の観覧車に爆弾を仕掛けたことを告げる。どちらかしか救えない状況の中、選択を迫られた夏輝が向かったのは観覧車だった。  　観覧車に到着した夏輝は、係員に事情を話して客を避難させるように指示を出すと、爆弾のもとへ走る。稲木俊文(吹越満)へ画像を送り、電話で爆弾の解除方法を聞いた夏輝は説明された通りに操作を行う。最後に解除スイッチを押すが…"&amp;"。  　同じころ、廃屋へやってきた貝塚は明村に向かって殺すのは自分ではなく夏輝だ、と話す。夏輝が爆弾の解除スイッチだと思って押したのは、明村の体に装着された爆弾のタイマー起動のスイッチだったのだ。  　明村の爆弾のタイマーが動き出したことを確認した貝塚は、その場を離れる。そして、バスジャックから解放されて銀座署へ戻っていた前田瞳(忽那汐里)に電話をする。電話は一方的にURLが読み上げられるだけだったが、瞳は背後に流れていた音楽で相手が貝塚であることに気付く。瞳がメモしたURLに稲木がアクセスすると、傷だら"&amp;"けで拘束されている明村の動画が映し出され…。")</f>
        <v>　佐原夏輝(佐藤健)は、遊園地で貝塚剛久(及川光博)と対峙(たいじ)する。貝塚は、遊園地内にある廃屋で逆さ吊りにされた島尾明村(渡部篤郎)の映像を見せた後、客でにぎわう遊園地の観覧車に爆弾を仕掛けたことを告げる。どちらかしか救えない状況の中、選択を迫られた夏輝が向かったのは観覧車だった。  　観覧車に到着した夏輝は、係員に事情を話して客を避難させるように指示を出すと、爆弾のもとへ走る。稲木俊文(吹越満)へ画像を送り、電話で爆弾の解除方法を聞いた夏輝は説明された通りに操作を行う。最後に解除スイッチを押すが…。  　同じころ、廃屋へやってきた貝塚は明村に向かって殺すのは自分ではなく夏輝だ、と話す。夏輝が爆弾の解除スイッチだと思って押したのは、明村の体に装着された爆弾のタイマー起動のスイッチだったのだ。  　明村の爆弾のタイマーが動き出したことを確認した貝塚は、その場を離れる。そして、バスジャックから解放されて銀座署へ戻っていた前田瞳(忽那汐里)に電話をする。電話は一方的にURLが読み上げられるだけだったが、瞳は背後に流れていた音楽で相手が貝塚であることに気付く。瞳がメモしたURLに稲木がアクセスすると、傷だらけで拘束されている明村の動画が映し出され…。</v>
      </c>
      <c r="O788" s="2"/>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row>
    <row r="789" ht="204.75" customHeight="1">
      <c r="A789" s="1">
        <v>2742.0</v>
      </c>
      <c r="B789" s="2" t="s">
        <v>2529</v>
      </c>
      <c r="C789" s="2">
        <f>IFERROR(__xludf.DUMMYFUNCTION("split(B789,""_"")"),1404.0)</f>
        <v>1404</v>
      </c>
      <c r="D789" s="2" t="str">
        <f>IFERROR(__xludf.DUMMYFUNCTION("""COMPUTED_VALUE"""),"CX")</f>
        <v>CX</v>
      </c>
      <c r="E789" s="2" t="str">
        <f>IFERROR(__xludf.DUMMYFUNCTION("""COMPUTED_VALUE"""),"火22")</f>
        <v>火22</v>
      </c>
      <c r="F789" s="2" t="s">
        <v>2530</v>
      </c>
      <c r="G789" s="2" t="s">
        <v>2531</v>
      </c>
      <c r="H789" s="1">
        <v>1.0</v>
      </c>
      <c r="I789" s="1" t="s">
        <v>3</v>
      </c>
      <c r="J789" s="1" t="s">
        <v>82</v>
      </c>
      <c r="K789" s="4" t="s">
        <v>2532</v>
      </c>
      <c r="L789" s="2" t="s">
        <v>2533</v>
      </c>
      <c r="M789" s="2" t="str">
        <f>IFERROR(__xludf.DUMMYFUNCTION("split(split(K789,""沢村一樹　"",false),""続々公開中★"",false)"),"第1話『自分の値段を考えろ!』    三田村幸雄(沢村一樹)は、急成長を遂げたアパレル会社の創業社長。会社の利益のためなら、社員を酷使することも当然と考えるワンマン経営者だ。    そんな三田村がある日「俺、大学行くから」と言い出し、秘書の冴島真理(国仲涼子)と専務の明智志郎(永井大)を驚かせる。会社の経営が安定し余裕ができたことから、経営学を本格的に学ぼうと大学に通うのだという。    通学初日、三田村は経営学の新米講師・秋山杏子(黒木メイサ)の講義に出席。三田村が有名企業の社長と知った杏子は、講義にケ"&amp;"チをつける気ではないかと警戒する。また、たまたま勧誘のチラシをもらった映画サークル「アルゴノーツ」にも入部するが、新入生の中年男に、岡島百合(門脇麦)、工藤亮介(永瀬匡)、前川健太(高田翔)らサークルの面々は戸惑うばかり。    そんな中、サークルに問題が勃発。上映会の会場から15万円もの使用料を要求されたのだ。困ったサークルの一同はサークルOBでもある杏子に相談する。同じ頃、三田村の会社にも問題が発生。買収交渉を進めていた企業が、売却額を吊り上げてきたのだ。それだけの金額を払うからには役員や株主を納得さ"&amp;"せるだけの理由がいると明智に言われ、買収をあきらめたくない三田村は頭を悩ませる。    お金の問題を巡り、意見の食い違う三田村と杏子は大ゲンカに。さらに、会社が“ブラック企業""として訴えられて…。")</f>
        <v>第1話『自分の値段を考えろ!』    三田村幸雄(沢村一樹)は、急成長を遂げたアパレル会社の創業社長。会社の利益のためなら、社員を酷使することも当然と考えるワンマン経営者だ。    そんな三田村がある日「俺、大学行くから」と言い出し、秘書の冴島真理(国仲涼子)と専務の明智志郎(永井大)を驚かせる。会社の経営が安定し余裕ができたことから、経営学を本格的に学ぼうと大学に通うのだという。    通学初日、三田村は経営学の新米講師・秋山杏子(黒木メイサ)の講義に出席。三田村が有名企業の社長と知った杏子は、講義にケチをつける気ではないかと警戒する。また、たまたま勧誘のチラシをもらった映画サークル「アルゴノーツ」にも入部するが、新入生の中年男に、岡島百合(門脇麦)、工藤亮介(永瀬匡)、前川健太(高田翔)らサークルの面々は戸惑うばかり。    そんな中、サークルに問題が勃発。上映会の会場から15万円もの使用料を要求されたのだ。困ったサークルの一同はサークルOBでもある杏子に相談する。同じ頃、三田村の会社にも問題が発生。買収交渉を進めていた企業が、売却額を吊り上げてきたのだ。それだけの金額を払うからには役員や株主を納得させるだけの理由がいると明智に言われ、買収をあきらめたくない三田村は頭を悩ませる。    お金の問題を巡り、意見の食い違う三田村と杏子は大ゲンカに。さらに、会社が“ブラック企業"として訴えられて…。</v>
      </c>
      <c r="N789" s="2"/>
      <c r="O789" s="2"/>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row>
    <row r="790" ht="204.75" customHeight="1">
      <c r="A790" s="1">
        <v>2743.0</v>
      </c>
      <c r="B790" s="2" t="s">
        <v>2529</v>
      </c>
      <c r="C790" s="2">
        <f>IFERROR(__xludf.DUMMYFUNCTION("split(B790,""_"")"),1404.0)</f>
        <v>1404</v>
      </c>
      <c r="D790" s="2" t="str">
        <f>IFERROR(__xludf.DUMMYFUNCTION("""COMPUTED_VALUE"""),"CX")</f>
        <v>CX</v>
      </c>
      <c r="E790" s="2" t="str">
        <f>IFERROR(__xludf.DUMMYFUNCTION("""COMPUTED_VALUE"""),"火22")</f>
        <v>火22</v>
      </c>
      <c r="F790" s="2" t="s">
        <v>2530</v>
      </c>
      <c r="G790" s="2" t="s">
        <v>2534</v>
      </c>
      <c r="H790" s="1">
        <v>2.0</v>
      </c>
      <c r="I790" s="1" t="s">
        <v>7</v>
      </c>
      <c r="J790" s="1" t="s">
        <v>82</v>
      </c>
      <c r="K790" s="2" t="s">
        <v>2535</v>
      </c>
      <c r="L790" s="2" t="s">
        <v>2536</v>
      </c>
      <c r="M790" s="2" t="str">
        <f>IFERROR(__xludf.DUMMYFUNCTION("split(split(K790,""沢村一樹　"",false),""続々公開中★"",false)"),"【第2話】～サビ残は預金だ!～    三田村(沢村一樹)の会社が、過剰な労働でサービス残業を強いているとして社員に訴えを起こされ、弁護士の美穂(田中美奈子)が会社に乗り込んでくる。納得がいかない三田村だが、「ブラック企業」と非難されることを危惧する明智(永井大)や真理(国仲涼子)の説得もあり、残業代の全額を払う和解案と謝罪文の発表を受け入れる。    一方、大学の映画サークルでは、学生たちに言いたい放題の三田村に、亮介(永瀬匡)や健太(高田翔)らは迷惑顔だ。あきれた杏子(黒木メイサ)が、何のために大学に来"&amp;"ているのか?と問い詰めると、三田村は遠い記憶をたぐり寄せるような表情でふと口ごもる。    高慢な三田村に反感を抱きながらも、なぜかその存在が気にかかる杏子。そして、三田村について調べていくうちに、思いがけない“過去""を知ることになり…。    そんな中、思わぬトラブルが発生。健太が監督を務める映画の撮影で、主演の百合(門脇麦)が着ていた脚も露わなミニスカートの衣装に、人権研究サークルの学生が「女性の人権をおとしめている」と抗議してきたのだ。これを突っぱねた三田村は、ファッションの自由について熱弁を振る"&amp;"い、クレームを取り下げさせてしまう。    だが、この騒ぎをきっかけに健太と百合は気まずいムードに。責任を感じた三田村は、杏子に頼んで2人のデートを仕掛けるが…。")</f>
        <v>【第2話】～サビ残は預金だ!～    三田村(沢村一樹)の会社が、過剰な労働でサービス残業を強いているとして社員に訴えを起こされ、弁護士の美穂(田中美奈子)が会社に乗り込んでくる。納得がいかない三田村だが、「ブラック企業」と非難されることを危惧する明智(永井大)や真理(国仲涼子)の説得もあり、残業代の全額を払う和解案と謝罪文の発表を受け入れる。    一方、大学の映画サークルでは、学生たちに言いたい放題の三田村に、亮介(永瀬匡)や健太(高田翔)らは迷惑顔だ。あきれた杏子(黒木メイサ)が、何のために大学に来ているのか?と問い詰めると、三田村は遠い記憶をたぐり寄せるような表情でふと口ごもる。    高慢な三田村に反感を抱きながらも、なぜかその存在が気にかかる杏子。そして、三田村について調べていくうちに、思いがけない“過去"を知ることになり…。    そんな中、思わぬトラブルが発生。健太が監督を務める映画の撮影で、主演の百合(門脇麦)が着ていた脚も露わなミニスカートの衣装に、人権研究サークルの学生が「女性の人権をおとしめている」と抗議してきたのだ。これを突っぱねた三田村は、ファッションの自由について熱弁を振るい、クレームを取り下げさせてしまう。    だが、この騒ぎをきっかけに健太と百合は気まずいムードに。責任を感じた三田村は、杏子に頼んで2人のデートを仕掛けるが…。</v>
      </c>
      <c r="N790" s="2"/>
      <c r="O790" s="2"/>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row>
    <row r="791" ht="204.75" customHeight="1">
      <c r="A791" s="1">
        <v>2744.0</v>
      </c>
      <c r="B791" s="2" t="s">
        <v>2529</v>
      </c>
      <c r="C791" s="2">
        <f>IFERROR(__xludf.DUMMYFUNCTION("split(B791,""_"")"),1404.0)</f>
        <v>1404</v>
      </c>
      <c r="D791" s="2" t="str">
        <f>IFERROR(__xludf.DUMMYFUNCTION("""COMPUTED_VALUE"""),"CX")</f>
        <v>CX</v>
      </c>
      <c r="E791" s="2" t="str">
        <f>IFERROR(__xludf.DUMMYFUNCTION("""COMPUTED_VALUE"""),"火22")</f>
        <v>火22</v>
      </c>
      <c r="F791" s="2" t="s">
        <v>2530</v>
      </c>
      <c r="G791" s="2" t="s">
        <v>2537</v>
      </c>
      <c r="H791" s="1">
        <v>3.0</v>
      </c>
      <c r="I791" s="1" t="s">
        <v>10</v>
      </c>
      <c r="J791" s="1" t="s">
        <v>86</v>
      </c>
      <c r="K791" s="2" t="s">
        <v>2538</v>
      </c>
      <c r="L791" s="2" t="s">
        <v>2539</v>
      </c>
      <c r="M791" s="2" t="str">
        <f>IFERROR(__xludf.DUMMYFUNCTION("split(split(K791,""沢村一樹　"",false),""続々公開中★"",false)"),"    黒木メイサ　    国仲涼子　    門脇麦　  永瀬匡　  高田翔　  高月彩良    　・　    壇蜜　  澤部佑(ハライチ)    　/　    青木さやか　  永井大　  白川由美　    ほか　    【第3話ゲスト】  萬田久子【第3話】  急成長中のアパレル企業の社長・三田村幸雄(沢村一樹)は、会社の利益を第一に考え、そのための過酷な労働は当然のことだと思っている…。そんな三田村が、経営学を勉強しようと大学に入学。映画サークルにも入った。しかし、会社がブラック企業だと社員から訴えら"&amp;"れてしまった。    「心にもない謝罪はできません!」と社員との和解をひっくり返し、弁護士を怒らせてしまった三田村。明智(永井大)と真理(国仲涼子)の尽力でなんとか和解交渉は続けられることになったものの、ブラック企業という風評は広まるばかり。    一方、杏子(黒木メイサ)は三田村をブラック社長として告発する本を出版しようと大ハリキリ。そんな折、ブライダル会社の社長・篠崎佳代子(萬田久子)が大学に招かれ、杏子の特別講義にゲストとして登場。佳代子は“ホワイト企業""の経営者として有名であり、杏子はまさに正反"&amp;"対の三田村と対決させようともくろむ。学生達を前に佳代子は、会社経営に一番大切なことは「社員を愛すること」で、ブラック企業は問題外だと痛烈な批判をする。しかし、ひょんな事から佳代子が三田村の会社を訪問することに…。    翌日、佳代子と杏子が三田村の会社に現れた。佳代子を利用して会社のイメージアップを図ろうと、明智は三田村との対談を決行。そんなとき、会社を訴えた2人の社員が、直接話がしたいと三田村の元を訪ねてきて…。【脚本】  尾崎将也　    【音楽】  仲西匡　    【主題歌】  コブクロ『陽だまりの"&amp;"道』(ワーナーミュージック・ジャパン)　    【演出】  白木啓一郎　    【プロデューサー】  安藤和久　  山下有為　  木曽貴美子　  伊藤達哉　    【協力プロデューサー】  東城祐司　    【制作】  関西テレビ　  MMJ【HP】  http://www.ktv.jp/black/  【データ放送】  リモコンのdボタンを押してアクセス!特製QUOカードが当たるプレゼントクイズを実施中!!  【Twitter】  @blackpresident8にて最新情報つぶやき中!  【お知らせ】"&amp;"  ドラマポスターの待ち受け画像を無料配信!  詳しくはPC/携帯/スマートフォンから「ブラック・プレジデント」で検索!")</f>
        <v>    黒木メイサ　    国仲涼子　    門脇麦　  永瀬匡　  高田翔　  高月彩良    　・　    壇蜜　  澤部佑(ハライチ)    　/　    青木さやか　  永井大　  白川由美　    ほか　    【第3話ゲスト】  萬田久子【第3話】  急成長中のアパレル企業の社長・三田村幸雄(沢村一樹)は、会社の利益を第一に考え、そのための過酷な労働は当然のことだと思っている…。そんな三田村が、経営学を勉強しようと大学に入学。映画サークルにも入った。しかし、会社がブラック企業だと社員から訴えられてしまった。    「心にもない謝罪はできません!」と社員との和解をひっくり返し、弁護士を怒らせてしまった三田村。明智(永井大)と真理(国仲涼子)の尽力でなんとか和解交渉は続けられることになったものの、ブラック企業という風評は広まるばかり。    一方、杏子(黒木メイサ)は三田村をブラック社長として告発する本を出版しようと大ハリキリ。そんな折、ブライダル会社の社長・篠崎佳代子(萬田久子)が大学に招かれ、杏子の特別講義にゲストとして登場。佳代子は“ホワイト企業"の経営者として有名であり、杏子はまさに正反対の三田村と対決させようともくろむ。学生達を前に佳代子は、会社経営に一番大切なことは「社員を愛すること」で、ブラック企業は問題外だと痛烈な批判をする。しかし、ひょんな事から佳代子が三田村の会社を訪問することに…。    翌日、佳代子と杏子が三田村の会社に現れた。佳代子を利用して会社のイメージアップを図ろうと、明智は三田村との対談を決行。そんなとき、会社を訴えた2人の社員が、直接話がしたいと三田村の元を訪ねてきて…。【脚本】  尾崎将也　    【音楽】  仲西匡　    【主題歌】  コブクロ『陽だまりの道』(ワーナーミュージック・ジャパン)　    【演出】  白木啓一郎　    【プロデューサー】  安藤和久　  山下有為　  木曽貴美子　  伊藤達哉　    【協力プロデューサー】  東城祐司　    【制作】  関西テレビ　  MMJ【HP】  http://www.ktv.jp/black/  【データ放送】  リモコンのdボタンを押してアクセス!特製QUOカードが当たるプレゼントクイズを実施中!!  【Twitter】  @blackpresident8にて最新情報つぶやき中!  【お知らせ】  ドラマポスターの待ち受け画像を無料配信!  詳しくはPC/携帯/スマートフォンから「ブラック・プレジデント」で検索!</v>
      </c>
      <c r="N791" s="2"/>
      <c r="O791" s="2"/>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row>
    <row r="792" ht="204.75" customHeight="1">
      <c r="A792" s="1">
        <v>2745.0</v>
      </c>
      <c r="B792" s="2" t="s">
        <v>2529</v>
      </c>
      <c r="C792" s="2">
        <f>IFERROR(__xludf.DUMMYFUNCTION("split(B792,""_"")"),1404.0)</f>
        <v>1404</v>
      </c>
      <c r="D792" s="2" t="str">
        <f>IFERROR(__xludf.DUMMYFUNCTION("""COMPUTED_VALUE"""),"CX")</f>
        <v>CX</v>
      </c>
      <c r="E792" s="2" t="str">
        <f>IFERROR(__xludf.DUMMYFUNCTION("""COMPUTED_VALUE"""),"火22")</f>
        <v>火22</v>
      </c>
      <c r="F792" s="2" t="s">
        <v>2530</v>
      </c>
      <c r="G792" s="2" t="s">
        <v>2540</v>
      </c>
      <c r="H792" s="1">
        <v>4.0</v>
      </c>
      <c r="I792" s="1" t="s">
        <v>14</v>
      </c>
      <c r="J792" s="1" t="s">
        <v>86</v>
      </c>
      <c r="K792" s="2" t="s">
        <v>2541</v>
      </c>
      <c r="L792" s="2" t="s">
        <v>2542</v>
      </c>
      <c r="M792" s="2" t="str">
        <f>IFERROR(__xludf.DUMMYFUNCTION("split(split(K792,""沢村一樹　"",false),""続々公開中★"",false)"),"ブラック社長がまさかの大学入学!!毒舌男に翻弄される社員や若者たちの運命は!?モヤモヤを抱えたあなたに贈る、世代を超えた異色の痛快人間ドラマ!!    【第4話】ムリは負け犬の言葉だ!    大学は学園祭シーズン。大学生活の一大イベントに盛り上がる三田村(沢村一樹)は、映画サークルで模擬店を出そうと提案するが「手間がかかるわりに儲からない」と相手にしてもらえない。    「この“ゆとり君""どもが…」とムカつく三田村を、学生たちの協力もなしに模擬店など出来るわけがないと鼻で笑う杏子(黒木メイサ)。しかし三"&amp;"田村は「出来ないとか無理とか言った瞬間が負けるときだ」と言い放つと、亮介(永瀬匡)や健太(高田翔)らを巧みに丸め込み、出店に賛成させてしまう。三田村に乗せられ、模擬店の準備に励む映画サークルのメンバーたち。杏子は「よくないことが起こりそうな気がする」と不安を覚えるが…。    一方、三田村の会社では、倉庫に積まれた返品の山に明智(永井大)が頭を抱えていた。発注ミスで、ある商品が先方に突き返されてしまったのだ。追い込まれた三田村は、ピンチを乗り切る極秘プロジェクトを計画。それは、学園祭を利用して問題を解決す"&amp;"るというものだった!    いよいよ迎えた学園祭の朝。三田村と学生たち、そしてなぜか手伝わされた杏子が徹夜で作った模擬店も完成し、あとは開店を待つばかり。その時、学園祭の実行委員が突然乗り込んできて…。")</f>
        <v>ブラック社長がまさかの大学入学!!毒舌男に翻弄される社員や若者たちの運命は!?モヤモヤを抱えたあなたに贈る、世代を超えた異色の痛快人間ドラマ!!    【第4話】ムリは負け犬の言葉だ!    大学は学園祭シーズン。大学生活の一大イベントに盛り上がる三田村(沢村一樹)は、映画サークルで模擬店を出そうと提案するが「手間がかかるわりに儲からない」と相手にしてもらえない。    「この“ゆとり君"どもが…」とムカつく三田村を、学生たちの協力もなしに模擬店など出来るわけがないと鼻で笑う杏子(黒木メイサ)。しかし三田村は「出来ないとか無理とか言った瞬間が負けるときだ」と言い放つと、亮介(永瀬匡)や健太(高田翔)らを巧みに丸め込み、出店に賛成させてしまう。三田村に乗せられ、模擬店の準備に励む映画サークルのメンバーたち。杏子は「よくないことが起こりそうな気がする」と不安を覚えるが…。    一方、三田村の会社では、倉庫に積まれた返品の山に明智(永井大)が頭を抱えていた。発注ミスで、ある商品が先方に突き返されてしまったのだ。追い込まれた三田村は、ピンチを乗り切る極秘プロジェクトを計画。それは、学園祭を利用して問題を解決するというものだった!    いよいよ迎えた学園祭の朝。三田村と学生たち、そしてなぜか手伝わされた杏子が徹夜で作った模擬店も完成し、あとは開店を待つばかり。その時、学園祭の実行委員が突然乗り込んできて…。</v>
      </c>
      <c r="N792" s="2"/>
      <c r="O792" s="2"/>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row>
    <row r="793" ht="204.75" customHeight="1">
      <c r="A793" s="1">
        <v>2746.0</v>
      </c>
      <c r="B793" s="2" t="s">
        <v>2529</v>
      </c>
      <c r="C793" s="2">
        <f>IFERROR(__xludf.DUMMYFUNCTION("split(B793,""_"")"),1404.0)</f>
        <v>1404</v>
      </c>
      <c r="D793" s="2" t="str">
        <f>IFERROR(__xludf.DUMMYFUNCTION("""COMPUTED_VALUE"""),"CX")</f>
        <v>CX</v>
      </c>
      <c r="E793" s="2" t="str">
        <f>IFERROR(__xludf.DUMMYFUNCTION("""COMPUTED_VALUE"""),"火22")</f>
        <v>火22</v>
      </c>
      <c r="F793" s="2" t="s">
        <v>2530</v>
      </c>
      <c r="G793" s="2" t="s">
        <v>2543</v>
      </c>
      <c r="H793" s="1">
        <v>5.0</v>
      </c>
      <c r="I793" s="1" t="s">
        <v>17</v>
      </c>
      <c r="J793" s="1" t="s">
        <v>86</v>
      </c>
      <c r="K793" s="2" t="s">
        <v>2544</v>
      </c>
      <c r="L793" s="2" t="s">
        <v>2545</v>
      </c>
      <c r="M793" s="2" t="str">
        <f>IFERROR(__xludf.DUMMYFUNCTION("split(split(K793,""沢村一樹　"",false),""続々公開中★"",false)"),"言いたい放題のわがまま社長・三田村(沢村一樹)がまさかの大学入学!現代社会のモヤモヤを毒舌でぶった斬る、痛快人間ドラマ!    三田村の会社が社内のセクハラ防止に乗り出すことに。コンプライアンス部の坂田玲子(金谷真由美)は、セクハラ発言を連発している社長がそもそも問題だというが、当の三田村はまったく反省する様子がない。  その夜、映画サークルの面々と居酒屋で飲む三田村。口から飛び出すのは、相変わらずセクハラ発言ばかり。そんな中「どんな男がタイプなの?」と三田村にからかわれた百合(門脇麦)が、突然店を飛び出"&amp;"していってしまう。  翌日、百合は連絡もつかない状態に。健太(高田翔)に「お前のせいだ!」と責められ、杏子(黒木メイサ)からも「彼女を傷つけた」と説教され、腑に落ちないながらも珍しく落ち込む三田村。それからというもの、三田村は会社のセクハラ対策に人が変わったように熱心になり、明智(永井大)や真理(国仲涼子)を驚かせる。  そんな折、杏子の研究室に百合がひょっこり現れ、店を飛び出した本当の理由を打ち明けた。思わぬ真相にあ然とする杏子は、三田村には決して話さないよう百合に口止めする。  一方、三田村のところに"&amp;"、大学の女性人権サークルから講演して欲しいとの依頼が舞い込んできた。テーマはなんと「セクハラ防止」。「今の社長なら話せるでしょう」と明智に説得され、三田村はシンポジウムへの登壇を決めるが…。")</f>
        <v>言いたい放題のわがまま社長・三田村(沢村一樹)がまさかの大学入学!現代社会のモヤモヤを毒舌でぶった斬る、痛快人間ドラマ!    三田村の会社が社内のセクハラ防止に乗り出すことに。コンプライアンス部の坂田玲子(金谷真由美)は、セクハラ発言を連発している社長がそもそも問題だというが、当の三田村はまったく反省する様子がない。  その夜、映画サークルの面々と居酒屋で飲む三田村。口から飛び出すのは、相変わらずセクハラ発言ばかり。そんな中「どんな男がタイプなの?」と三田村にからかわれた百合(門脇麦)が、突然店を飛び出していってしまう。  翌日、百合は連絡もつかない状態に。健太(高田翔)に「お前のせいだ!」と責められ、杏子(黒木メイサ)からも「彼女を傷つけた」と説教され、腑に落ちないながらも珍しく落ち込む三田村。それからというもの、三田村は会社のセクハラ対策に人が変わったように熱心になり、明智(永井大)や真理(国仲涼子)を驚かせる。  そんな折、杏子の研究室に百合がひょっこり現れ、店を飛び出した本当の理由を打ち明けた。思わぬ真相にあ然とする杏子は、三田村には決して話さないよう百合に口止めする。  一方、三田村のところに、大学の女性人権サークルから講演して欲しいとの依頼が舞い込んできた。テーマはなんと「セクハラ防止」。「今の社長なら話せるでしょう」と明智に説得され、三田村はシンポジウムへの登壇を決めるが…。</v>
      </c>
      <c r="N793" s="2"/>
      <c r="O793" s="2"/>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row>
    <row r="794" ht="204.75" customHeight="1">
      <c r="A794" s="1">
        <v>2747.0</v>
      </c>
      <c r="B794" s="2" t="s">
        <v>2529</v>
      </c>
      <c r="C794" s="2">
        <f>IFERROR(__xludf.DUMMYFUNCTION("split(B794,""_"")"),1404.0)</f>
        <v>1404</v>
      </c>
      <c r="D794" s="2" t="str">
        <f>IFERROR(__xludf.DUMMYFUNCTION("""COMPUTED_VALUE"""),"CX")</f>
        <v>CX</v>
      </c>
      <c r="E794" s="2" t="str">
        <f>IFERROR(__xludf.DUMMYFUNCTION("""COMPUTED_VALUE"""),"火22")</f>
        <v>火22</v>
      </c>
      <c r="F794" s="2" t="s">
        <v>2530</v>
      </c>
      <c r="G794" s="2" t="s">
        <v>2546</v>
      </c>
      <c r="H794" s="1">
        <v>6.0</v>
      </c>
      <c r="I794" s="1" t="s">
        <v>21</v>
      </c>
      <c r="J794" s="1" t="s">
        <v>86</v>
      </c>
      <c r="K794" s="2" t="s">
        <v>2547</v>
      </c>
      <c r="L794" s="2" t="s">
        <v>2548</v>
      </c>
      <c r="M794" s="2" t="str">
        <f>IFERROR(__xludf.DUMMYFUNCTION("split(split(K794,""沢村一樹　"",false),""続々公開中★"",false)"),"言いたい放題の社長・三田村が大学に入学!現代ニッポンにズバリ物申す、異色の痛快人間ドラマ!    数日後に誕生日を迎える三田村(沢村一樹)のもとに、パーティーの席で開けてはどうかと、なじみの業者が100万円の高級ワインを持ち込む。三田村はパーティーなんか時間のムダだと言いながらもワインを購入する。三田村の景気のよさとは裏腹に、金欠ぞろいの学生たち。アパートの更新料10万円が払えないと悩む百合(門脇麦)を、亮介(永瀬匡)や健太(高田翔)らが助けてやれるはずもない。そんな折、三田村がぶち上げた“金もうけの極意"&amp;"""を聞いた百合は、10万円を稼ぐ方法を思いつく。  一方、杏子(黒木メイサ)は、三田村の会社にアルバイトとして送り込んでいた増山(澤部佑)から、厳しい経費削減のせいで従業員がさらにこき使われていることを聞く。告発本のネタ探しに躍起になる杏子はニンマリ。ここぞとばかりに真理(国仲涼子)から内情を探ろうとするが…。  ある夜、キャバクラに出かけた三田村は、新人のキャバクラ嬢を紹介されてビックリ。なんと、三田村の言葉に刺激された百合が、「てっとり早く稼げる」とキャバクラで働いていたのだ。そんな百合に、「合理的"&amp;"な考え方だ」と感心した三田村は、次の日も店に明智(永井大)を送り込み、百合の売り上げアップに協力する。  ところが翌日、なぜか浮かない表情の百合が三田村の会社に乗り込んできて…。")</f>
        <v>言いたい放題の社長・三田村が大学に入学!現代ニッポンにズバリ物申す、異色の痛快人間ドラマ!    数日後に誕生日を迎える三田村(沢村一樹)のもとに、パーティーの席で開けてはどうかと、なじみの業者が100万円の高級ワインを持ち込む。三田村はパーティーなんか時間のムダだと言いながらもワインを購入する。三田村の景気のよさとは裏腹に、金欠ぞろいの学生たち。アパートの更新料10万円が払えないと悩む百合(門脇麦)を、亮介(永瀬匡)や健太(高田翔)らが助けてやれるはずもない。そんな折、三田村がぶち上げた“金もうけの極意"を聞いた百合は、10万円を稼ぐ方法を思いつく。  一方、杏子(黒木メイサ)は、三田村の会社にアルバイトとして送り込んでいた増山(澤部佑)から、厳しい経費削減のせいで従業員がさらにこき使われていることを聞く。告発本のネタ探しに躍起になる杏子はニンマリ。ここぞとばかりに真理(国仲涼子)から内情を探ろうとするが…。  ある夜、キャバクラに出かけた三田村は、新人のキャバクラ嬢を紹介されてビックリ。なんと、三田村の言葉に刺激された百合が、「てっとり早く稼げる」とキャバクラで働いていたのだ。そんな百合に、「合理的な考え方だ」と感心した三田村は、次の日も店に明智(永井大)を送り込み、百合の売り上げアップに協力する。  ところが翌日、なぜか浮かない表情の百合が三田村の会社に乗り込んできて…。</v>
      </c>
      <c r="N794" s="2"/>
      <c r="O794" s="2"/>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row>
    <row r="795" ht="204.75" customHeight="1">
      <c r="A795" s="1">
        <v>2748.0</v>
      </c>
      <c r="B795" s="2" t="s">
        <v>2529</v>
      </c>
      <c r="C795" s="2">
        <f>IFERROR(__xludf.DUMMYFUNCTION("split(B795,""_"")"),1404.0)</f>
        <v>1404</v>
      </c>
      <c r="D795" s="2" t="str">
        <f>IFERROR(__xludf.DUMMYFUNCTION("""COMPUTED_VALUE"""),"CX")</f>
        <v>CX</v>
      </c>
      <c r="E795" s="2" t="str">
        <f>IFERROR(__xludf.DUMMYFUNCTION("""COMPUTED_VALUE"""),"火22")</f>
        <v>火22</v>
      </c>
      <c r="F795" s="2" t="s">
        <v>2530</v>
      </c>
      <c r="G795" s="2" t="s">
        <v>2549</v>
      </c>
      <c r="H795" s="1">
        <v>7.0</v>
      </c>
      <c r="I795" s="1" t="s">
        <v>25</v>
      </c>
      <c r="J795" s="1" t="s">
        <v>86</v>
      </c>
      <c r="K795" s="2" t="s">
        <v>2550</v>
      </c>
      <c r="L795" s="2" t="s">
        <v>2551</v>
      </c>
      <c r="M795" s="2" t="str">
        <f>IFERROR(__xludf.DUMMYFUNCTION("split(split(K795,""沢村一樹　"",false),""続々公開中★"",false)"),"言いたい放題の社長・三田村が大学に入学!現代ニッポンにズバリ物申す、異色の痛快人間ドラマ!    三田村(沢村一樹)は大学で経営学部4年の高岡まゆみ(足立梨花)に声をかけられる。三田村がトレスフィールズの社長であることを杏子(黒木メイサ)から聞き、話を聞かせて欲しいというのだ。「三田村社長の経営理念に共感しているんです」と目を輝かせるまゆみに三田村はまんざらでもない。  その日から、三田村とまゆみはベッタリ。三田村の話を熱心に聞くまゆみと、まゆみに鼻の下をのばす三田村。急接近する2人に百合(門脇麦)は気が"&amp;"気でない。そんな百合の気持ちを察した杏子は三田村に意見しようとするが、女性に服を売る会社の社長として市場調査をしているだけだとうそぶかれてしまう。  だが、まゆみと知り合ってからというもの、三田村が浮かれているのは誰が見ても明らか。仕事中にもいそいそと携帯をチェックする三田村に「もしかして恋?」と勘ぐる明智(永井大)と真理(国仲涼子)。そんな折、三田村がまゆみを会社に連れてくる。まるで恋人同士のように仲むつまじい様子に、明智は2人の関係を怪しむが…。  その夜、食事に出かけた三田村とまゆみはいいムードに。"&amp;"やがて、まゆみが「これから三田村さんの家に行っちゃダメですか?」と誘いをかけてくる。一方、ブラック企業の告発本のネタを探していた杏子は、まゆみが三田村に近づく理由に気付いてしまい…")</f>
        <v>言いたい放題の社長・三田村が大学に入学!現代ニッポンにズバリ物申す、異色の痛快人間ドラマ!    三田村(沢村一樹)は大学で経営学部4年の高岡まゆみ(足立梨花)に声をかけられる。三田村がトレスフィールズの社長であることを杏子(黒木メイサ)から聞き、話を聞かせて欲しいというのだ。「三田村社長の経営理念に共感しているんです」と目を輝かせるまゆみに三田村はまんざらでもない。  その日から、三田村とまゆみはベッタリ。三田村の話を熱心に聞くまゆみと、まゆみに鼻の下をのばす三田村。急接近する2人に百合(門脇麦)は気が気でない。そんな百合の気持ちを察した杏子は三田村に意見しようとするが、女性に服を売る会社の社長として市場調査をしているだけだとうそぶかれてしまう。  だが、まゆみと知り合ってからというもの、三田村が浮かれているのは誰が見ても明らか。仕事中にもいそいそと携帯をチェックする三田村に「もしかして恋?」と勘ぐる明智(永井大)と真理(国仲涼子)。そんな折、三田村がまゆみを会社に連れてくる。まるで恋人同士のように仲むつまじい様子に、明智は2人の関係を怪しむが…。  その夜、食事に出かけた三田村とまゆみはいいムードに。やがて、まゆみが「これから三田村さんの家に行っちゃダメですか?」と誘いをかけてくる。一方、ブラック企業の告発本のネタを探していた杏子は、まゆみが三田村に近づく理由に気付いてしまい…</v>
      </c>
      <c r="N795" s="2"/>
      <c r="O795" s="2"/>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row>
    <row r="796" ht="204.75" customHeight="1">
      <c r="A796" s="1">
        <v>2749.0</v>
      </c>
      <c r="B796" s="2" t="s">
        <v>2529</v>
      </c>
      <c r="C796" s="2">
        <f>IFERROR(__xludf.DUMMYFUNCTION("split(B796,""_"")"),1404.0)</f>
        <v>1404</v>
      </c>
      <c r="D796" s="2" t="str">
        <f>IFERROR(__xludf.DUMMYFUNCTION("""COMPUTED_VALUE"""),"CX")</f>
        <v>CX</v>
      </c>
      <c r="E796" s="2" t="str">
        <f>IFERROR(__xludf.DUMMYFUNCTION("""COMPUTED_VALUE"""),"火22")</f>
        <v>火22</v>
      </c>
      <c r="F796" s="2" t="s">
        <v>2530</v>
      </c>
      <c r="G796" s="2" t="s">
        <v>2552</v>
      </c>
      <c r="H796" s="1">
        <v>8.0</v>
      </c>
      <c r="I796" s="1" t="s">
        <v>29</v>
      </c>
      <c r="J796" s="1" t="s">
        <v>86</v>
      </c>
      <c r="K796" s="2" t="s">
        <v>2553</v>
      </c>
      <c r="L796" s="2" t="s">
        <v>2554</v>
      </c>
      <c r="M796" s="2" t="str">
        <f>IFERROR(__xludf.DUMMYFUNCTION("split(split(K796,""沢村一樹　"",false),""続々公開中★"",false)"),"言いたい放題のわがまま社長・三田村が大学に入学!現代ニッポンにズバリ物申す、異色の痛快人間ドラマ!    いつものように社長・三田村(沢村一樹)に振り回されていた秘書の真理(国仲涼子)は、ねぎらいの言葉ひとつない三田村に不満をぶつける。ところが、「女はこれだから」と暴言を吐かれ、ついにブチ切れ!溜まっていた有給休暇を一気に取り、仕事をボイコットする。  「思う存分休んでくれ」と強気の三田村だったが、真理がいないことで仕事は滞るばかり。さらに「女性活用」をテーマに依頼されていた寄稿文の締め切りが明後日に迫っ"&amp;"ていることが判明。面倒な原稿はいつも真理に丸投げしていた三田村は、代わりに杏子(黒木メイサ)に頼もうとするがキッパリと断られ、仕方なく自分で書くことに。そうして迎えた締め切り日の朝、風邪をひいて寝込んでしまう。    同じ頃、大学に真理が現れる。休みは取ったものの、やはり会社のことが気になっていた真理は、自分が書いた原稿を三田村に渡してほしいと杏子に託しに来たのだ。杏子は「これを渡すかどうかは、三田村さんの態度次第ってことにしません?」とある提案をして…。  会社を休んだ三田村を杏子が訪ねると、百合(門脇"&amp;"麦)が見舞いに来ていた。原稿もなんとかまとまり、締め切りに間に合いそうだという三田村だが、そんな時、最悪の事態が!百合がパソコンの操作を誤り、三田村が書いた原稿を消してしまったと言い出して…")</f>
        <v>言いたい放題のわがまま社長・三田村が大学に入学!現代ニッポンにズバリ物申す、異色の痛快人間ドラマ!    いつものように社長・三田村(沢村一樹)に振り回されていた秘書の真理(国仲涼子)は、ねぎらいの言葉ひとつない三田村に不満をぶつける。ところが、「女はこれだから」と暴言を吐かれ、ついにブチ切れ!溜まっていた有給休暇を一気に取り、仕事をボイコットする。  「思う存分休んでくれ」と強気の三田村だったが、真理がいないことで仕事は滞るばかり。さらに「女性活用」をテーマに依頼されていた寄稿文の締め切りが明後日に迫っていることが判明。面倒な原稿はいつも真理に丸投げしていた三田村は、代わりに杏子(黒木メイサ)に頼もうとするがキッパリと断られ、仕方なく自分で書くことに。そうして迎えた締め切り日の朝、風邪をひいて寝込んでしまう。    同じ頃、大学に真理が現れる。休みは取ったものの、やはり会社のことが気になっていた真理は、自分が書いた原稿を三田村に渡してほしいと杏子に託しに来たのだ。杏子は「これを渡すかどうかは、三田村さんの態度次第ってことにしません?」とある提案をして…。  会社を休んだ三田村を杏子が訪ねると、百合(門脇麦)が見舞いに来ていた。原稿もなんとかまとまり、締め切りに間に合いそうだという三田村だが、そんな時、最悪の事態が!百合がパソコンの操作を誤り、三田村が書いた原稿を消してしまったと言い出して…</v>
      </c>
      <c r="N796" s="2"/>
      <c r="O796" s="2"/>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row>
    <row r="797" ht="204.75" customHeight="1">
      <c r="A797" s="1">
        <v>2750.0</v>
      </c>
      <c r="B797" s="2" t="s">
        <v>2529</v>
      </c>
      <c r="C797" s="2">
        <f>IFERROR(__xludf.DUMMYFUNCTION("split(B797,""_"")"),1404.0)</f>
        <v>1404</v>
      </c>
      <c r="D797" s="2" t="str">
        <f>IFERROR(__xludf.DUMMYFUNCTION("""COMPUTED_VALUE"""),"CX")</f>
        <v>CX</v>
      </c>
      <c r="E797" s="2" t="str">
        <f>IFERROR(__xludf.DUMMYFUNCTION("""COMPUTED_VALUE"""),"火22")</f>
        <v>火22</v>
      </c>
      <c r="F797" s="2" t="s">
        <v>2530</v>
      </c>
      <c r="G797" s="2" t="s">
        <v>2555</v>
      </c>
      <c r="H797" s="1">
        <v>9.0</v>
      </c>
      <c r="I797" s="1" t="s">
        <v>33</v>
      </c>
      <c r="J797" s="1" t="s">
        <v>86</v>
      </c>
      <c r="K797" s="2" t="s">
        <v>2556</v>
      </c>
      <c r="L797" s="2" t="s">
        <v>2557</v>
      </c>
      <c r="M797" s="2" t="str">
        <f>IFERROR(__xludf.DUMMYFUNCTION("split(split(K797,""沢村一樹　"",false),""続々公開中★"",false)"),"言いたい放題のわがまま社長・三田村が大学に入学!現代ニッポンにズバリ物申す異色の痛快人間ドラマ!    【第9話】  就職活動中の先輩が内定をもらえずに悩んでいると知り、就活を来年に控えた百合(門脇麦)や亮介(永瀬匡)らサークルの面々は不安に。一方、杏子(黒木メイサ)は大学が講師をリストラしようとしているとの噂を聞く。生き残るには三田村(沢村一樹)の告発本を出版し名をあげるしかないが、執筆は一向に進まない。そんな折、杏子はゼミの同級生だった田島(大東駿介)と再会。田島は就活を支援する会社を立ち上げ、学生の"&amp;"立場に立った情報提供で評判を得ていた。杏子は田島を映画サークルのメンバーに紹介し、就活のアドバイスをもらうことに。しかし、三田村は助言が気にいらず田島に食ってかかり、一同のひんしゅくを買う。  ある日、田島の会社が運営する就活サイトの掲示板に、トレスフィールズの悪評が投稿される。このことから、田島の会社を調べるうちにある事実を発見した三田村は、企業の弱みにつけこんで利益をあげようとする田島の裏の顔に気づく…。同じころ田島は杏子に、学生時代に好意を持っていたと告白。さらに「うちで働かない?」と持ちかけ…。 "&amp;" 数日後、杏子とサークルの面々は、田島の会社の就活セミナーに参加。実際の就活を想定した、田島が面接官を務める模擬面接を受けたいと名乗り出た男に杏子らは仰天。それは、なんと三田村だった!")</f>
        <v>言いたい放題のわがまま社長・三田村が大学に入学!現代ニッポンにズバリ物申す異色の痛快人間ドラマ!    【第9話】  就職活動中の先輩が内定をもらえずに悩んでいると知り、就活を来年に控えた百合(門脇麦)や亮介(永瀬匡)らサークルの面々は不安に。一方、杏子(黒木メイサ)は大学が講師をリストラしようとしているとの噂を聞く。生き残るには三田村(沢村一樹)の告発本を出版し名をあげるしかないが、執筆は一向に進まない。そんな折、杏子はゼミの同級生だった田島(大東駿介)と再会。田島は就活を支援する会社を立ち上げ、学生の立場に立った情報提供で評判を得ていた。杏子は田島を映画サークルのメンバーに紹介し、就活のアドバイスをもらうことに。しかし、三田村は助言が気にいらず田島に食ってかかり、一同のひんしゅくを買う。  ある日、田島の会社が運営する就活サイトの掲示板に、トレスフィールズの悪評が投稿される。このことから、田島の会社を調べるうちにある事実を発見した三田村は、企業の弱みにつけこんで利益をあげようとする田島の裏の顔に気づく…。同じころ田島は杏子に、学生時代に好意を持っていたと告白。さらに「うちで働かない?」と持ちかけ…。  数日後、杏子とサークルの面々は、田島の会社の就活セミナーに参加。実際の就活を想定した、田島が面接官を務める模擬面接を受けたいと名乗り出た男に杏子らは仰天。それは、なんと三田村だった!</v>
      </c>
      <c r="N797" s="2"/>
      <c r="O797" s="2"/>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row>
    <row r="798" ht="204.75" customHeight="1">
      <c r="A798" s="1">
        <v>2751.0</v>
      </c>
      <c r="B798" s="2" t="s">
        <v>2529</v>
      </c>
      <c r="C798" s="2">
        <f>IFERROR(__xludf.DUMMYFUNCTION("split(B798,""_"")"),1404.0)</f>
        <v>1404</v>
      </c>
      <c r="D798" s="2" t="str">
        <f>IFERROR(__xludf.DUMMYFUNCTION("""COMPUTED_VALUE"""),"CX")</f>
        <v>CX</v>
      </c>
      <c r="E798" s="2" t="str">
        <f>IFERROR(__xludf.DUMMYFUNCTION("""COMPUTED_VALUE"""),"火22")</f>
        <v>火22</v>
      </c>
      <c r="F798" s="2" t="s">
        <v>2530</v>
      </c>
      <c r="G798" s="2" t="s">
        <v>2558</v>
      </c>
      <c r="H798" s="1">
        <v>10.0</v>
      </c>
      <c r="I798" s="1" t="s">
        <v>37</v>
      </c>
      <c r="J798" s="1" t="s">
        <v>86</v>
      </c>
      <c r="K798" s="2" t="s">
        <v>2559</v>
      </c>
      <c r="L798" s="2" t="s">
        <v>2560</v>
      </c>
      <c r="M798" s="2" t="str">
        <f>IFERROR(__xludf.DUMMYFUNCTION("split(split(K798,""沢村一樹　"",false),""続々公開中★"",false)"),"言いたい放題の社長・三田村が大学に入学!現代ニッポンに物申す異色の痛快人間ドラマ!  【第10話】  三田村(沢村一樹)が杏子(黒木メイサ)が書いている本に協力すると言い出した。さっそく三田村を飲みに誘い、話を進めようと急かす杏子。    深夜、酔った杏子を三田村が家に送り届けると、そこには杏子の母・彩子(戸田恵子)が。実は杏子は新潟の由緒ある寺のひとり娘で、杏子に養子を迎えて寺を継がせたい彩子が、見合いをさせようと乗り込んできたのだ。三田村と杏子を男女の仲だと誤解する彩子だが、いつも通り金の話ばかりする"&amp;"三田村にあきれ顔。「煩悩を断ち切りさえすれば、心安らかに生きていける」と仏教の教えを持ち出して諭すも、三田村は聞く耳を持たない。    そんな折、健康診断で問題が見つかり、再検査の結果を聞くために病院を訪れた三田村は「人間いつ死んでもおかしくない」と医師から言われ、ふと人生を省みる気に。これまで興味すら持ったことのなかった仏教の本を読んですっかり感化され、別人のように温和な性格に豹変して真理(国仲涼子)や百合(門脇麦)ら周囲を面食らわせる。    一方、渋々見合いをした杏子は、仕事にかける自分の情熱に自信"&amp;"が持てず、結婚に心が傾き始めていた。しかし、「この本だけはちゃんと形にしたい」と本の原稿を三田村に託す。杏子の原稿を読んだ三田村は…。    そして、見合い相手を前に返事を迫られた杏子の答えとは…?")</f>
        <v>言いたい放題の社長・三田村が大学に入学!現代ニッポンに物申す異色の痛快人間ドラマ!  【第10話】  三田村(沢村一樹)が杏子(黒木メイサ)が書いている本に協力すると言い出した。さっそく三田村を飲みに誘い、話を進めようと急かす杏子。    深夜、酔った杏子を三田村が家に送り届けると、そこには杏子の母・彩子(戸田恵子)が。実は杏子は新潟の由緒ある寺のひとり娘で、杏子に養子を迎えて寺を継がせたい彩子が、見合いをさせようと乗り込んできたのだ。三田村と杏子を男女の仲だと誤解する彩子だが、いつも通り金の話ばかりする三田村にあきれ顔。「煩悩を断ち切りさえすれば、心安らかに生きていける」と仏教の教えを持ち出して諭すも、三田村は聞く耳を持たない。    そんな折、健康診断で問題が見つかり、再検査の結果を聞くために病院を訪れた三田村は「人間いつ死んでもおかしくない」と医師から言われ、ふと人生を省みる気に。これまで興味すら持ったことのなかった仏教の本を読んですっかり感化され、別人のように温和な性格に豹変して真理(国仲涼子)や百合(門脇麦)ら周囲を面食らわせる。    一方、渋々見合いをした杏子は、仕事にかける自分の情熱に自信が持てず、結婚に心が傾き始めていた。しかし、「この本だけはちゃんと形にしたい」と本の原稿を三田村に託す。杏子の原稿を読んだ三田村は…。    そして、見合い相手を前に返事を迫られた杏子の答えとは…?</v>
      </c>
      <c r="N798" s="2"/>
      <c r="O798" s="2"/>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row>
    <row r="799" ht="204.75" customHeight="1">
      <c r="A799" s="1">
        <v>2752.0</v>
      </c>
      <c r="B799" s="2" t="s">
        <v>2529</v>
      </c>
      <c r="C799" s="2">
        <f>IFERROR(__xludf.DUMMYFUNCTION("split(B799,""_"")"),1404.0)</f>
        <v>1404</v>
      </c>
      <c r="D799" s="2" t="str">
        <f>IFERROR(__xludf.DUMMYFUNCTION("""COMPUTED_VALUE"""),"CX")</f>
        <v>CX</v>
      </c>
      <c r="E799" s="2" t="str">
        <f>IFERROR(__xludf.DUMMYFUNCTION("""COMPUTED_VALUE"""),"火22")</f>
        <v>火22</v>
      </c>
      <c r="F799" s="2" t="s">
        <v>2530</v>
      </c>
      <c r="G799" s="2" t="s">
        <v>2561</v>
      </c>
      <c r="H799" s="1">
        <v>11.0</v>
      </c>
      <c r="I799" s="1" t="s">
        <v>41</v>
      </c>
      <c r="J799" s="1" t="s">
        <v>86</v>
      </c>
      <c r="K799" s="2" t="s">
        <v>2562</v>
      </c>
      <c r="L799" s="2" t="s">
        <v>2563</v>
      </c>
      <c r="M799" s="2" t="str">
        <f>IFERROR(__xludf.DUMMYFUNCTION("split(split(K799,""沢村一樹　"",false),""続々公開中★"",false)"),"言いたい放題の社長・三田村が大学に入学!現代ニッポンに物申す異色の痛快人間ドラマ!    【最終話】  杏子(黒木メイサ)が書いた三田村(沢村一樹)の暴露本がついに出版され、売れ行きは好調。だが、杏子は機嫌が悪い。三田村と出版社が、杏子と三田村の共著ではなく三田村が著者だということにしてしまったのだ。杏子は「許せない!」とかみつくが、三田村は「資本主義がどういうものか、勉強させてやった」と高笑い。そんな折、三田村の会社にアメリカの企業との提携話が持ち上がる。先方の条件は、ニューヨークに新設する合弁会社の社"&amp;"長として、三田村がアメリカに5年間赴任すること。三田村は乗り気だが、専務の明智(永井大)は5年も社長が不在では会社が潰れてしまうと猛反対。「行くと仰るのなら、私は辞表を提出します」と三田村に反発する。  三田村と明智が険悪なムードになり、困り果てる真理(国仲涼子)。杏子は「私が言ってやります」と三田村を呼び出すと、三田村の自分勝手な行動が周囲を傷つけていると責め、「ブラックなのは、あなた自身です!」と糾弾する。反省し、アメリカ行きをあきらめたかのように思われた三田村だが…。  数日後、契約交渉の席で「喜ん"&amp;"で参ります」と三田村はアメリカ赴任を承諾。「辞めさせていただくと申し上げたはず」と辞表を叩きつけ、会社を去ろうとする明智を「俺がお前の言葉を忘れるわけないだろ」と三田村は引き留め…。")</f>
        <v>言いたい放題の社長・三田村が大学に入学!現代ニッポンに物申す異色の痛快人間ドラマ!    【最終話】  杏子(黒木メイサ)が書いた三田村(沢村一樹)の暴露本がついに出版され、売れ行きは好調。だが、杏子は機嫌が悪い。三田村と出版社が、杏子と三田村の共著ではなく三田村が著者だということにしてしまったのだ。杏子は「許せない!」とかみつくが、三田村は「資本主義がどういうものか、勉強させてやった」と高笑い。そんな折、三田村の会社にアメリカの企業との提携話が持ち上がる。先方の条件は、ニューヨークに新設する合弁会社の社長として、三田村がアメリカに5年間赴任すること。三田村は乗り気だが、専務の明智(永井大)は5年も社長が不在では会社が潰れてしまうと猛反対。「行くと仰るのなら、私は辞表を提出します」と三田村に反発する。  三田村と明智が険悪なムードになり、困り果てる真理(国仲涼子)。杏子は「私が言ってやります」と三田村を呼び出すと、三田村の自分勝手な行動が周囲を傷つけていると責め、「ブラックなのは、あなた自身です!」と糾弾する。反省し、アメリカ行きをあきらめたかのように思われた三田村だが…。  数日後、契約交渉の席で「喜んで参ります」と三田村はアメリカ赴任を承諾。「辞めさせていただくと申し上げたはず」と辞表を叩きつけ、会社を去ろうとする明智を「俺がお前の言葉を忘れるわけないだろ」と三田村は引き留め…。</v>
      </c>
      <c r="N799" s="2"/>
      <c r="O799" s="2"/>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row>
    <row r="800" ht="204.75" customHeight="1">
      <c r="A800" s="1">
        <v>2797.0</v>
      </c>
      <c r="B800" s="2" t="s">
        <v>2564</v>
      </c>
      <c r="C800" s="2">
        <f>IFERROR(__xludf.DUMMYFUNCTION("split(B800,""_"")"),1404.0)</f>
        <v>1404</v>
      </c>
      <c r="D800" s="2" t="str">
        <f>IFERROR(__xludf.DUMMYFUNCTION("""COMPUTED_VALUE"""),"CX")</f>
        <v>CX</v>
      </c>
      <c r="E800" s="2" t="str">
        <f>IFERROR(__xludf.DUMMYFUNCTION("""COMPUTED_VALUE"""),"木22")</f>
        <v>木22</v>
      </c>
      <c r="F800" s="2" t="s">
        <v>2565</v>
      </c>
      <c r="G800" s="2" t="s">
        <v>2566</v>
      </c>
      <c r="H800" s="1">
        <v>1.0</v>
      </c>
      <c r="I800" s="1" t="s">
        <v>3</v>
      </c>
      <c r="J800" s="1" t="s">
        <v>82</v>
      </c>
      <c r="K800" s="4" t="s">
        <v>2567</v>
      </c>
      <c r="L800" s="2" t="s">
        <v>2568</v>
      </c>
      <c r="M800" s="2" t="str">
        <f>IFERROR(__xludf.DUMMYFUNCTION("split(split(K800,""吉野千明:　"",false),""公式LINE"",false)"),"JMTテレビに勤務する吉野千明(小泉今日子)は、鎌倉の古民家で暮らす独身女性。ドラマプロデューサーとして数々の作品を手がけてきた千明は、副部長に昇進し、制作現場を離れて後輩の指導育成をする立場になっていた。  　鎌倉市役所観光推進課課長の長倉和平(中井貴一)は、世界遺産の登録に失敗した責任を押し付けられた上、秘書課長も兼務させられる。新しい女性市長・伊佐山良子(柴田理恵)が和平を指名したらしい。　和平の弟で、自宅1階を改装したカフェを営む長倉真平(坂口憲二)は、大橋知美(佐津川愛美)と順調に交際中。和平の"&amp;"妹で専業主婦の水谷典子(飯島直子)は、夫・広行(浅野和之)の浮気を疑い、さっそく和平や千明らに相談を持ち掛けていた。  　ある夜、仕事を終えて帰宅した和平は、極楽寺駅で、娘のえりな(白本彩奈)が1歳年上のボーイフレンド・原田蒼太(中島凱斗)と一緒にいるところを目撃する。その際、和平は、蒼太と一緒にえりなを送ってきた母親・薫子(長谷川京子)と知り合った。  　そんな折、和平は、市長に同行して、急きょ鎌倉の姉妹都市であるフランスのニースまで行くことになる。同じころ、千明は、長倉万理子(内田有紀)やAP三井さん"&amp;"(久保田磨希)たちがある作家の作品をドラマ化するのに苦労していることを知り、パリにいるというその作家に直談判して原作権を取ってくると宣言。帰国後、千明の前に現れたのは…。")</f>
        <v>JMTテレビに勤務する吉野千明(小泉今日子)は、鎌倉の古民家で暮らす独身女性。ドラマプロデューサーとして数々の作品を手がけてきた千明は、副部長に昇進し、制作現場を離れて後輩の指導育成をする立場になっていた。  　鎌倉市役所観光推進課課長の長倉和平(中井貴一)は、世界遺産の登録に失敗した責任を押し付けられた上、秘書課長も兼務させられる。新しい女性市長・伊佐山良子(柴田理恵)が和平を指名したらしい。　和平の弟で、自宅1階を改装したカフェを営む長倉真平(坂口憲二)は、大橋知美(佐津川愛美)と順調に交際中。和平の妹で専業主婦の水谷典子(飯島直子)は、夫・広行(浅野和之)の浮気を疑い、さっそく和平や千明らに相談を持ち掛けていた。  　ある夜、仕事を終えて帰宅した和平は、極楽寺駅で、娘のえりな(白本彩奈)が1歳年上のボーイフレンド・原田蒼太(中島凱斗)と一緒にいるところを目撃する。その際、和平は、蒼太と一緒にえりなを送ってきた母親・薫子(長谷川京子)と知り合った。  　そんな折、和平は、市長に同行して、急きょ鎌倉の姉妹都市であるフランスのニースまで行くことになる。同じころ、千明は、長倉万理子(内田有紀)やAP三井さん(久保田磨希)たちがある作家の作品をドラマ化するのに苦労していることを知り、パリにいるというその作家に直談判して原作権を取ってくると宣言。帰国後、千明の前に現れたのは…。</v>
      </c>
      <c r="N800" s="2"/>
      <c r="O800" s="2"/>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row>
    <row r="801" ht="204.75" customHeight="1">
      <c r="A801" s="1">
        <v>2798.0</v>
      </c>
      <c r="B801" s="2" t="s">
        <v>2564</v>
      </c>
      <c r="C801" s="2">
        <f>IFERROR(__xludf.DUMMYFUNCTION("split(B801,""_"")"),1404.0)</f>
        <v>1404</v>
      </c>
      <c r="D801" s="2" t="str">
        <f>IFERROR(__xludf.DUMMYFUNCTION("""COMPUTED_VALUE"""),"CX")</f>
        <v>CX</v>
      </c>
      <c r="E801" s="2" t="str">
        <f>IFERROR(__xludf.DUMMYFUNCTION("""COMPUTED_VALUE"""),"木22")</f>
        <v>木22</v>
      </c>
      <c r="F801" s="2" t="s">
        <v>2565</v>
      </c>
      <c r="G801" s="2" t="s">
        <v>2569</v>
      </c>
      <c r="H801" s="1">
        <v>2.0</v>
      </c>
      <c r="I801" s="1" t="s">
        <v>7</v>
      </c>
      <c r="J801" s="1" t="s">
        <v>86</v>
      </c>
      <c r="K801" s="2" t="s">
        <v>2570</v>
      </c>
      <c r="L801" s="2" t="s">
        <v>2571</v>
      </c>
      <c r="M801" s="2" t="str">
        <f>IFERROR(__xludf.DUMMYFUNCTION("split(split(K801,""吉野千明:　"",false),""公式LINE"",false)"),"千明(小泉今日子)の前に、かつての恋人でもある脚本家の高山涼太(加瀬亮)が突然現れる。涼太は、千明と暮らし始めて3日目に、「ごめん、無理」とだけ書いた付箋をマンションのドアに貼りつけて姿を消した相手だ。そんな涼太が、住む場所もなく、仕事も上手くいっていないと知った千明は、食事をおごり、もし困っているなら来てもいい、といって鎌倉の自宅住所を教える。  　一方、和平(中井貴一)は、伊佐山市長(柴田理恵)に呼び出され、ゴルフ練習のお供をする。その際伊佐山は、和平の荷物の中に、50代のセックスについて特集している"&amp;"男性週刊誌が入っていることに気づく。それは、一条さん(織本順吉)が原因で買う羽目になった雑誌で、グラビアページには、娘・えりな(白本彩奈)の彼氏の母親ということで知り合った原田薫子(長谷川京子)によく似た女性が載っていた。  　あくる朝、千明は、涼太と付き合っていた当時の服を着てカフェ『ナガクラ』を訪れる。それに反応し、つい「今日は若作りだ」と言ってしまう和平。そこへ、典子(飯島直子)がやってきた。夫・広行(浅野和之)が浮気をしているのではないかと疑っていた典子は、彼の後を尾行したのだという。と、そのとき"&amp;"、千明は、イスの上にあった男性週刊誌に気づく。それを覗き見たえりなは、グラビアのモデルを見て「彼氏のママにそっくり」と言い出し…。")</f>
        <v>千明(小泉今日子)の前に、かつての恋人でもある脚本家の高山涼太(加瀬亮)が突然現れる。涼太は、千明と暮らし始めて3日目に、「ごめん、無理」とだけ書いた付箋をマンションのドアに貼りつけて姿を消した相手だ。そんな涼太が、住む場所もなく、仕事も上手くいっていないと知った千明は、食事をおごり、もし困っているなら来てもいい、といって鎌倉の自宅住所を教える。  　一方、和平(中井貴一)は、伊佐山市長(柴田理恵)に呼び出され、ゴルフ練習のお供をする。その際伊佐山は、和平の荷物の中に、50代のセックスについて特集している男性週刊誌が入っていることに気づく。それは、一条さん(織本順吉)が原因で買う羽目になった雑誌で、グラビアページには、娘・えりな(白本彩奈)の彼氏の母親ということで知り合った原田薫子(長谷川京子)によく似た女性が載っていた。  　あくる朝、千明は、涼太と付き合っていた当時の服を着てカフェ『ナガクラ』を訪れる。それに反応し、つい「今日は若作りだ」と言ってしまう和平。そこへ、典子(飯島直子)がやってきた。夫・広行(浅野和之)が浮気をしているのではないかと疑っていた典子は、彼の後を尾行したのだという。と、そのとき、千明は、イスの上にあった男性週刊誌に気づく。それを覗き見たえりなは、グラビアのモデルを見て「彼氏のママにそっくり」と言い出し…。</v>
      </c>
      <c r="N801" s="2"/>
      <c r="O801" s="2"/>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row>
    <row r="802" ht="204.75" customHeight="1">
      <c r="A802" s="1">
        <v>2799.0</v>
      </c>
      <c r="B802" s="2" t="s">
        <v>2564</v>
      </c>
      <c r="C802" s="2">
        <f>IFERROR(__xludf.DUMMYFUNCTION("split(B802,""_"")"),1404.0)</f>
        <v>1404</v>
      </c>
      <c r="D802" s="2" t="str">
        <f>IFERROR(__xludf.DUMMYFUNCTION("""COMPUTED_VALUE"""),"CX")</f>
        <v>CX</v>
      </c>
      <c r="E802" s="2" t="str">
        <f>IFERROR(__xludf.DUMMYFUNCTION("""COMPUTED_VALUE"""),"木22")</f>
        <v>木22</v>
      </c>
      <c r="F802" s="2" t="s">
        <v>2565</v>
      </c>
      <c r="G802" s="2" t="s">
        <v>2572</v>
      </c>
      <c r="H802" s="1">
        <v>3.0</v>
      </c>
      <c r="I802" s="1" t="s">
        <v>10</v>
      </c>
      <c r="J802" s="1" t="s">
        <v>86</v>
      </c>
      <c r="K802" s="2" t="s">
        <v>2573</v>
      </c>
      <c r="L802" s="2" t="s">
        <v>2574</v>
      </c>
      <c r="M802" s="2" t="str">
        <f>IFERROR(__xludf.DUMMYFUNCTION("split(split(K802,""吉野千明:　"",false),""公式LINE"",false)"),"千明(小泉今日子)は、自分の前から姿を消した理由を涼太(加瀬亮)から聞き、大きなショックを受けていた。あくる朝、千明は、涼太とともに『ナガクラ』を訪れる。そこで、和平(中井貴一)や真平(坂口憲二)たち長倉家の面々を涼太に紹介する千明。万理子(内田有紀)は、涼太がかつて千明を奈落の底に突き落とした男だと付け加えた。千明は、涼太とよりを戻したと勘違いした典子(飯島直子)に、単なる友人としての同居だと説明する。が、典子や和平にはそれが理解できないらしい。すると、それまで千明たちの話を聞いていたえりな(白本彩奈)"&amp;"が、和平と薫子(長谷川京子)が友だちになる約束をしたことを皆にバラしてしまう。和平は、隠しているところがいやらしい、などと千明や典子から責められるが…。  　そんな折、千明は現場復帰を果たすことになる。隣のチームがやるはずだった連続ドラマが主役の都合で先送りになったため、急きょ、空いた枠を埋めなければならなくなったからだった。主役も内容も何も決まっていない状態で連続ドラマを作ることになった千明は、万理子や武田(坂本真)、AP三井さん(久保田磨希)たちが取り組んでいたドラマをいったん保留にし、元・チーム千明"&amp;"を再結集させる。  　同じころ、和平は、市長の伊佐山(柴田理恵)から呼び出される。そこで伊佐山は、「あなたはどういう女性が嫌いですか?」と和平に問いかけ…。")</f>
        <v>千明(小泉今日子)は、自分の前から姿を消した理由を涼太(加瀬亮)から聞き、大きなショックを受けていた。あくる朝、千明は、涼太とともに『ナガクラ』を訪れる。そこで、和平(中井貴一)や真平(坂口憲二)たち長倉家の面々を涼太に紹介する千明。万理子(内田有紀)は、涼太がかつて千明を奈落の底に突き落とした男だと付け加えた。千明は、涼太とよりを戻したと勘違いした典子(飯島直子)に、単なる友人としての同居だと説明する。が、典子や和平にはそれが理解できないらしい。すると、それまで千明たちの話を聞いていたえりな(白本彩奈)が、和平と薫子(長谷川京子)が友だちになる約束をしたことを皆にバラしてしまう。和平は、隠しているところがいやらしい、などと千明や典子から責められるが…。  　そんな折、千明は現場復帰を果たすことになる。隣のチームがやるはずだった連続ドラマが主役の都合で先送りになったため、急きょ、空いた枠を埋めなければならなくなったからだった。主役も内容も何も決まっていない状態で連続ドラマを作ることになった千明は、万理子や武田(坂本真)、AP三井さん(久保田磨希)たちが取り組んでいたドラマをいったん保留にし、元・チーム千明を再結集させる。  　同じころ、和平は、市長の伊佐山(柴田理恵)から呼び出される。そこで伊佐山は、「あなたはどういう女性が嫌いですか?」と和平に問いかけ…。</v>
      </c>
      <c r="N802" s="2"/>
      <c r="O802" s="2"/>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row>
    <row r="803" ht="204.75" customHeight="1">
      <c r="A803" s="1">
        <v>2800.0</v>
      </c>
      <c r="B803" s="2" t="s">
        <v>2564</v>
      </c>
      <c r="C803" s="2">
        <f>IFERROR(__xludf.DUMMYFUNCTION("split(B803,""_"")"),1404.0)</f>
        <v>1404</v>
      </c>
      <c r="D803" s="2" t="str">
        <f>IFERROR(__xludf.DUMMYFUNCTION("""COMPUTED_VALUE"""),"CX")</f>
        <v>CX</v>
      </c>
      <c r="E803" s="2" t="str">
        <f>IFERROR(__xludf.DUMMYFUNCTION("""COMPUTED_VALUE"""),"木22")</f>
        <v>木22</v>
      </c>
      <c r="F803" s="2" t="s">
        <v>2565</v>
      </c>
      <c r="G803" s="2" t="s">
        <v>2575</v>
      </c>
      <c r="H803" s="1">
        <v>4.0</v>
      </c>
      <c r="I803" s="1" t="s">
        <v>14</v>
      </c>
      <c r="J803" s="1" t="s">
        <v>86</v>
      </c>
      <c r="K803" s="2" t="s">
        <v>2576</v>
      </c>
      <c r="L803" s="2" t="s">
        <v>2577</v>
      </c>
      <c r="M803" s="2" t="str">
        <f>IFERROR(__xludf.DUMMYFUNCTION("split(split(K803,""吉野千明:　"",false),""公式LINE"",false)"),"千明(小泉今日子)の家に上がり込んだ典子(飯島直子)は、涼太(加瀬亮)に興味を抱く。夫の広行(浅野和之)ともめて家を飛び出した典子は、その腹いせに自分も涼太と遊んでやろうなどと考えたらしい。困った千明は、新ドラマの企画打ち合わせをするためにやってきた万理子(内田有紀)に涼太を任せ、ふたりでどこかに行って企画を考えるよう指示する。  　同じころ、和平(中井貴一)は、薫子(長谷川京子)と一緒にそば打ち教室に参加していた。そこで和平は、薫子から、鎌倉にいるという寂しい女性を癒してくれる“天使""に会えた、と聞か"&amp;"される。それが真平(坂口憲二)のことだと確信した和平は、動揺し、そば打ちにも集中できない。  　千明は、典子から広行とケンカした理由を聞く。広行は、不動産業者のアンケートに答えたことがきっかけでその店の若い女性に惹かれ、彼女と話がしたくて新築プランの相談をすることにして通い詰めていたらしい。事情を知った千明は、それくらいは普通のことだ、と言って典子を諭すが…。  　和平が家に戻ると、真平の婚約者・知美(佐津川愛美)が来ていた。ほどなく典子、千明も現れ、一同は、和平から薫とのそば打ちデートの話を聞き出そうと"&amp;"する。するとそこに、薫子が息子の蒼太(中島凱斗)を連れてやってくる。そこで薫子は、“鎌倉の天使""こと真平と再会し…。")</f>
        <v>千明(小泉今日子)の家に上がり込んだ典子(飯島直子)は、涼太(加瀬亮)に興味を抱く。夫の広行(浅野和之)ともめて家を飛び出した典子は、その腹いせに自分も涼太と遊んでやろうなどと考えたらしい。困った千明は、新ドラマの企画打ち合わせをするためにやってきた万理子(内田有紀)に涼太を任せ、ふたりでどこかに行って企画を考えるよう指示する。  　同じころ、和平(中井貴一)は、薫子(長谷川京子)と一緒にそば打ち教室に参加していた。そこで和平は、薫子から、鎌倉にいるという寂しい女性を癒してくれる“天使"に会えた、と聞かされる。それが真平(坂口憲二)のことだと確信した和平は、動揺し、そば打ちにも集中できない。  　千明は、典子から広行とケンカした理由を聞く。広行は、不動産業者のアンケートに答えたことがきっかけでその店の若い女性に惹かれ、彼女と話がしたくて新築プランの相談をすることにして通い詰めていたらしい。事情を知った千明は、それくらいは普通のことだ、と言って典子を諭すが…。  　和平が家に戻ると、真平の婚約者・知美(佐津川愛美)が来ていた。ほどなく典子、千明も現れ、一同は、和平から薫とのそば打ちデートの話を聞き出そうとする。するとそこに、薫子が息子の蒼太(中島凱斗)を連れてやってくる。そこで薫子は、“鎌倉の天使"こと真平と再会し…。</v>
      </c>
      <c r="N803" s="2"/>
      <c r="O803" s="2"/>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row>
    <row r="804" ht="204.75" customHeight="1">
      <c r="A804" s="1">
        <v>2801.0</v>
      </c>
      <c r="B804" s="2" t="s">
        <v>2564</v>
      </c>
      <c r="C804" s="2">
        <f>IFERROR(__xludf.DUMMYFUNCTION("split(B804,""_"")"),1404.0)</f>
        <v>1404</v>
      </c>
      <c r="D804" s="2" t="str">
        <f>IFERROR(__xludf.DUMMYFUNCTION("""COMPUTED_VALUE"""),"CX")</f>
        <v>CX</v>
      </c>
      <c r="E804" s="2" t="str">
        <f>IFERROR(__xludf.DUMMYFUNCTION("""COMPUTED_VALUE"""),"木22")</f>
        <v>木22</v>
      </c>
      <c r="F804" s="2" t="s">
        <v>2565</v>
      </c>
      <c r="G804" s="2" t="s">
        <v>2578</v>
      </c>
      <c r="H804" s="1">
        <v>5.0</v>
      </c>
      <c r="I804" s="1" t="s">
        <v>17</v>
      </c>
      <c r="J804" s="1" t="s">
        <v>86</v>
      </c>
      <c r="K804" s="2" t="s">
        <v>2579</v>
      </c>
      <c r="L804" s="2" t="s">
        <v>2580</v>
      </c>
      <c r="M804" s="2" t="str">
        <f>IFERROR(__xludf.DUMMYFUNCTION("split(split(K804,""吉野千明:　"",false),""公式LINE"",false)"),"急きょ、連続ドラマを制作することになった千明(小泉今日子)は、涼太(加瀬亮)と万理子(内田有紀)に脚本を書かせる。だが、涼太が書いてきた脚本は、千明を満足させるには程遠いレベルーー千明いわく「いままで読んだ本の中で一番つまらない」というほどの内容だった。千明は、事情を知った友人の祥子(渡辺真起子)、啓子(森口博子)に諭され、彼女たちとの飲み会を止めて涼太と話をするために帰宅する。  　一方、和平(中井貴一)は、薫子(長谷川京子)から、セックスフレンドを前提とした友人関係を求められる。困惑した和平は、帰宅途"&amp;"中にバーに立ち寄った。するとそこに、典子(飯島直子)の夫・広行(浅野和之)が現れる。広行は、不動産会社の若い女性・詩織(中西美帆)に恋していることを和平に打ち明けると、こともあろうに応援してほしいなどと言い出す。  　千明が帰宅すると、万理子と涼太が泥酔状態の典子に手を焼いていた。万理子たちが帰ってきたときには、すでに典子はこの状態だったらしい。典子は、千明に抱きついて泣き出したりしていたが、やがて倒れるように眠ってしまう。万理子は、千明が涼太に話があることを察し、その場を後にした。そこで千明は、脚本を読"&amp;"んだ感想を涼太に切り出そうとするが…。")</f>
        <v>急きょ、連続ドラマを制作することになった千明(小泉今日子)は、涼太(加瀬亮)と万理子(内田有紀)に脚本を書かせる。だが、涼太が書いてきた脚本は、千明を満足させるには程遠いレベルーー千明いわく「いままで読んだ本の中で一番つまらない」というほどの内容だった。千明は、事情を知った友人の祥子(渡辺真起子)、啓子(森口博子)に諭され、彼女たちとの飲み会を止めて涼太と話をするために帰宅する。  　一方、和平(中井貴一)は、薫子(長谷川京子)から、セックスフレンドを前提とした友人関係を求められる。困惑した和平は、帰宅途中にバーに立ち寄った。するとそこに、典子(飯島直子)の夫・広行(浅野和之)が現れる。広行は、不動産会社の若い女性・詩織(中西美帆)に恋していることを和平に打ち明けると、こともあろうに応援してほしいなどと言い出す。  　千明が帰宅すると、万理子と涼太が泥酔状態の典子に手を焼いていた。万理子たちが帰ってきたときには、すでに典子はこの状態だったらしい。典子は、千明に抱きついて泣き出したりしていたが、やがて倒れるように眠ってしまう。万理子は、千明が涼太に話があることを察し、その場を後にした。そこで千明は、脚本を読んだ感想を涼太に切り出そうとするが…。</v>
      </c>
      <c r="N804" s="2"/>
      <c r="O804" s="2"/>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row>
    <row r="805" ht="204.75" customHeight="1">
      <c r="A805" s="1">
        <v>2802.0</v>
      </c>
      <c r="B805" s="2" t="s">
        <v>2564</v>
      </c>
      <c r="C805" s="2">
        <f>IFERROR(__xludf.DUMMYFUNCTION("split(B805,""_"")"),1404.0)</f>
        <v>1404</v>
      </c>
      <c r="D805" s="2" t="str">
        <f>IFERROR(__xludf.DUMMYFUNCTION("""COMPUTED_VALUE"""),"CX")</f>
        <v>CX</v>
      </c>
      <c r="E805" s="2" t="str">
        <f>IFERROR(__xludf.DUMMYFUNCTION("""COMPUTED_VALUE"""),"木22")</f>
        <v>木22</v>
      </c>
      <c r="F805" s="2" t="s">
        <v>2565</v>
      </c>
      <c r="G805" s="2" t="s">
        <v>2581</v>
      </c>
      <c r="H805" s="1">
        <v>6.0</v>
      </c>
      <c r="I805" s="1" t="s">
        <v>21</v>
      </c>
      <c r="J805" s="1" t="s">
        <v>86</v>
      </c>
      <c r="K805" s="2" t="s">
        <v>2582</v>
      </c>
      <c r="L805" s="2" t="s">
        <v>2583</v>
      </c>
      <c r="M805" s="2" t="str">
        <f>IFERROR(__xludf.DUMMYFUNCTION("split(split(K805,""吉野千明:　"",false),""公式LINE"",false)"),"千明(小泉今日子)は、早朝の海岸で、知美(佐津川愛美)との結婚を明日に控えている真平(坂口憲二)を見かける。真平は、持病のことや、両親の死後、苦労して一家を支えてきた和平(中井貴一)の姿を見てきたこともあって、親になれないかもしれないと悩んでいた。いままで知美と関係を持たなかったのはそのせいだった。そんな真平の気持ちを知った千明は、未来を信じよう、と励ます。  　その日、和平たち長倉家の面々は、知美を連れて墓参りに行く。そこで、墓前に結婚の報告をする真平と知美。真平の様子を気にかけていた和平は、知美と楽し"&amp;"そうにしている真平の姿に安心する。  　千明は、万理子(内田有紀)、典子(飯島直子)、えりな(白本彩奈)とともに、知美の独身生活最後の夜をともに過ごす、バチェロレッテ・パーティーを開く。そこで千明は、典子に行方不明中の夫・広行(浅野和之)のことを尋ねた。すると典子は、結婚生活を放棄したのは広行の方なのだから自分は婚活を始める、などと言い出す。  　一方、和平と真平は、カフェ『ながくら』で開かれる結婚式の準備に追われていた。するとそこに、広行が現れる。たまたま玄関先に出てきた真平と出くわした広行は、紙に包ん"&amp;"だお祝い金を手渡すと、幸せな結婚生活を送ってくれと言い残してその場から立ち去ってしまい…。")</f>
        <v>千明(小泉今日子)は、早朝の海岸で、知美(佐津川愛美)との結婚を明日に控えている真平(坂口憲二)を見かける。真平は、持病のことや、両親の死後、苦労して一家を支えてきた和平(中井貴一)の姿を見てきたこともあって、親になれないかもしれないと悩んでいた。いままで知美と関係を持たなかったのはそのせいだった。そんな真平の気持ちを知った千明は、未来を信じよう、と励ます。  　その日、和平たち長倉家の面々は、知美を連れて墓参りに行く。そこで、墓前に結婚の報告をする真平と知美。真平の様子を気にかけていた和平は、知美と楽しそうにしている真平の姿に安心する。  　千明は、万理子(内田有紀)、典子(飯島直子)、えりな(白本彩奈)とともに、知美の独身生活最後の夜をともに過ごす、バチェロレッテ・パーティーを開く。そこで千明は、典子に行方不明中の夫・広行(浅野和之)のことを尋ねた。すると典子は、結婚生活を放棄したのは広行の方なのだから自分は婚活を始める、などと言い出す。  　一方、和平と真平は、カフェ『ながくら』で開かれる結婚式の準備に追われていた。するとそこに、広行が現れる。たまたま玄関先に出てきた真平と出くわした広行は、紙に包んだお祝い金を手渡すと、幸せな結婚生活を送ってくれと言い残してその場から立ち去ってしまい…。</v>
      </c>
      <c r="N805" s="2"/>
      <c r="O805" s="2"/>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row>
    <row r="806" ht="204.75" customHeight="1">
      <c r="A806" s="1">
        <v>2803.0</v>
      </c>
      <c r="B806" s="2" t="s">
        <v>2564</v>
      </c>
      <c r="C806" s="2">
        <f>IFERROR(__xludf.DUMMYFUNCTION("split(B806,""_"")"),1404.0)</f>
        <v>1404</v>
      </c>
      <c r="D806" s="2" t="str">
        <f>IFERROR(__xludf.DUMMYFUNCTION("""COMPUTED_VALUE"""),"CX")</f>
        <v>CX</v>
      </c>
      <c r="E806" s="2" t="str">
        <f>IFERROR(__xludf.DUMMYFUNCTION("""COMPUTED_VALUE"""),"木22")</f>
        <v>木22</v>
      </c>
      <c r="F806" s="2" t="s">
        <v>2565</v>
      </c>
      <c r="G806" s="2" t="s">
        <v>2584</v>
      </c>
      <c r="H806" s="1">
        <v>7.0</v>
      </c>
      <c r="I806" s="1" t="s">
        <v>25</v>
      </c>
      <c r="J806" s="1" t="s">
        <v>86</v>
      </c>
      <c r="K806" s="2" t="s">
        <v>2585</v>
      </c>
      <c r="L806" s="2" t="s">
        <v>2586</v>
      </c>
      <c r="M806" s="2" t="str">
        <f>IFERROR(__xludf.DUMMYFUNCTION("split(split(K806,""吉野千明:　"",false),""公式LINE"",false)"),"千明(小泉今日子)は、和平(中井貴一)とえりな(白本彩奈)が、薫子(長谷川京子)親子と仲むつまじく食卓を囲んでいる姿を目撃し、何故か心がざわつく。和平は、そんな千明を気にかけていたが、彼女が万理子(内田有紀)らとともに連続ドラマの台本入稿作業に追われていたこともあって、なかなか会えずにいた。  　そんな折、鎌倉市役所内では、伊佐山市長(柴田理恵)が和平に対してハラスメントをしているという噂が立っていた。それを知った伊佐山は、秘書課長の解任を和平に提案する。しかし和平は、くだらない噂のせいで仕事を投げ出すの"&amp;"は嫌だと反対し、自分が市長を守ると宣言する。  　和平は、多忙な伊佐山に気分転換をしてもらうため、田所(松尾諭)、知美(佐津川愛美)とともに彼女を展望台に連れていく。するとそこに、一条さん(織本順吉)が現れた。一条さんと伊佐山が親しい間柄だと知って驚く和平。一条さんは、和平がキャバクラ仲間で、母娘と同時にお見合いしたことも伊佐山に話していた。そこに、友人と散歩に来た薫子も現れて話はさらにややこしくなり…。  　一方、脚本家・栗山ハルカ(益若つばさ)の子どもの面倒を見ていた典子(飯島直子)は、そのシッターぶ"&amp;"りを評価されて喜んでいた。千明は、生活のために働く必要があるなどと言う典子のことが心配で…。")</f>
        <v>千明(小泉今日子)は、和平(中井貴一)とえりな(白本彩奈)が、薫子(長谷川京子)親子と仲むつまじく食卓を囲んでいる姿を目撃し、何故か心がざわつく。和平は、そんな千明を気にかけていたが、彼女が万理子(内田有紀)らとともに連続ドラマの台本入稿作業に追われていたこともあって、なかなか会えずにいた。  　そんな折、鎌倉市役所内では、伊佐山市長(柴田理恵)が和平に対してハラスメントをしているという噂が立っていた。それを知った伊佐山は、秘書課長の解任を和平に提案する。しかし和平は、くだらない噂のせいで仕事を投げ出すのは嫌だと反対し、自分が市長を守ると宣言する。  　和平は、多忙な伊佐山に気分転換をしてもらうため、田所(松尾諭)、知美(佐津川愛美)とともに彼女を展望台に連れていく。するとそこに、一条さん(織本順吉)が現れた。一条さんと伊佐山が親しい間柄だと知って驚く和平。一条さんは、和平がキャバクラ仲間で、母娘と同時にお見合いしたことも伊佐山に話していた。そこに、友人と散歩に来た薫子も現れて話はさらにややこしくなり…。  　一方、脚本家・栗山ハルカ(益若つばさ)の子どもの面倒を見ていた典子(飯島直子)は、そのシッターぶりを評価されて喜んでいた。千明は、生活のために働く必要があるなどと言う典子のことが心配で…。</v>
      </c>
      <c r="N806" s="2"/>
      <c r="O806" s="2"/>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row>
    <row r="807" ht="204.75" customHeight="1">
      <c r="A807" s="1">
        <v>2804.0</v>
      </c>
      <c r="B807" s="2" t="s">
        <v>2564</v>
      </c>
      <c r="C807" s="2">
        <f>IFERROR(__xludf.DUMMYFUNCTION("split(B807,""_"")"),1404.0)</f>
        <v>1404</v>
      </c>
      <c r="D807" s="2" t="str">
        <f>IFERROR(__xludf.DUMMYFUNCTION("""COMPUTED_VALUE"""),"CX")</f>
        <v>CX</v>
      </c>
      <c r="E807" s="2" t="str">
        <f>IFERROR(__xludf.DUMMYFUNCTION("""COMPUTED_VALUE"""),"木22")</f>
        <v>木22</v>
      </c>
      <c r="F807" s="2" t="s">
        <v>2565</v>
      </c>
      <c r="G807" s="2" t="s">
        <v>2587</v>
      </c>
      <c r="H807" s="1">
        <v>8.0</v>
      </c>
      <c r="I807" s="1" t="s">
        <v>29</v>
      </c>
      <c r="J807" s="1" t="s">
        <v>86</v>
      </c>
      <c r="K807" s="2" t="s">
        <v>2588</v>
      </c>
      <c r="L807" s="2" t="s">
        <v>2589</v>
      </c>
      <c r="M807" s="2" t="str">
        <f>IFERROR(__xludf.DUMMYFUNCTION("split(split(K807,""吉野千明:　"",false),""公式LINE"",false)"),"上司から呼び出された千明(小泉今日子)は、ふたつの指示を受ける。ひとつは、千明たちが現在取り組んでいる連続ドラマの初回放送が2時間スペシャルになったこと。そしてもうひとつは、JMTテレビが社運をかけて制作するという映画の脚本家に、万理子(内田有紀)が抜てきされたことだった。千明は、万理子を抱きしめて祝福するが…。  　一方、伊佐山市長(柴田理恵)とともに、広報誌の取材を兼ねた海岸清掃に向かっていた和平(中井貴一)は、失踪中の典子(飯島直子)の夫・広行(浅野和之)を見かける。広行は、女性と一緒だった。  　"&amp;"同じころ、カフェ『ながくら』では、真平(坂口憲二)が薫子(長谷川京子)の助けを得て混雑する時間帯を切り抜けていた。その際、真平は不意に体の異変に気づき、不安に襲われる。  　JMTテレビでベビーシッターの仕事をしていた典子は、和平から電話をもらい、広行の件を知る。海岸のベンチで寝そべっていた広行を発見した典子は、逃げようとした彼を捕まえ、長倉家まで引っ張ってくるが…。")</f>
        <v>上司から呼び出された千明(小泉今日子)は、ふたつの指示を受ける。ひとつは、千明たちが現在取り組んでいる連続ドラマの初回放送が2時間スペシャルになったこと。そしてもうひとつは、JMTテレビが社運をかけて制作するという映画の脚本家に、万理子(内田有紀)が抜てきされたことだった。千明は、万理子を抱きしめて祝福するが…。  　一方、伊佐山市長(柴田理恵)とともに、広報誌の取材を兼ねた海岸清掃に向かっていた和平(中井貴一)は、失踪中の典子(飯島直子)の夫・広行(浅野和之)を見かける。広行は、女性と一緒だった。  　同じころ、カフェ『ながくら』では、真平(坂口憲二)が薫子(長谷川京子)の助けを得て混雑する時間帯を切り抜けていた。その際、真平は不意に体の異変に気づき、不安に襲われる。  　JMTテレビでベビーシッターの仕事をしていた典子は、和平から電話をもらい、広行の件を知る。海岸のベンチで寝そべっていた広行を発見した典子は、逃げようとした彼を捕まえ、長倉家まで引っ張ってくるが…。</v>
      </c>
      <c r="N807" s="2"/>
      <c r="O807" s="2"/>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row>
    <row r="808" ht="204.75" customHeight="1">
      <c r="A808" s="1">
        <v>2805.0</v>
      </c>
      <c r="B808" s="2" t="s">
        <v>2564</v>
      </c>
      <c r="C808" s="2">
        <f>IFERROR(__xludf.DUMMYFUNCTION("split(B808,""_"")"),1404.0)</f>
        <v>1404</v>
      </c>
      <c r="D808" s="2" t="str">
        <f>IFERROR(__xludf.DUMMYFUNCTION("""COMPUTED_VALUE"""),"CX")</f>
        <v>CX</v>
      </c>
      <c r="E808" s="2" t="str">
        <f>IFERROR(__xludf.DUMMYFUNCTION("""COMPUTED_VALUE"""),"木22")</f>
        <v>木22</v>
      </c>
      <c r="F808" s="2" t="s">
        <v>2565</v>
      </c>
      <c r="G808" s="2" t="s">
        <v>2590</v>
      </c>
      <c r="H808" s="1">
        <v>9.0</v>
      </c>
      <c r="I808" s="1" t="s">
        <v>33</v>
      </c>
      <c r="J808" s="1" t="s">
        <v>86</v>
      </c>
      <c r="K808" s="2" t="s">
        <v>2591</v>
      </c>
      <c r="L808" s="2" t="s">
        <v>2592</v>
      </c>
      <c r="M808" s="2" t="str">
        <f>IFERROR(__xludf.DUMMYFUNCTION("split(split(K808,""吉野千明:　"",false),""公式LINE"",false)"),"千明(小泉今日子)は、薫子(長谷川京子)と一緒に酒を飲みに行く。極楽寺駅で偶然出会った薫子から、ふたりで話したいと誘われたのだ。千明と薫子は、お互いに苦手なタイプであることを認識しながらも、大人なのだから親友にはなれなくても認め合うことぐらいはできる、と納得して飲み続けた。  　同じころ、和平(中井貴一)は、娘のえりな(白本彩奈)とふたりだけで夕食をとっていた。何か会話の糸口を探そうとあれこれ考える和平。しかし、それを察したえりなに、面倒くさい空気が伝わるから止めてほしい、と言われてしまう。そんなえりなに"&amp;"、和平は、父親らしいことを何もしてやれなかった、と謝り…。  　飲み続けていた千明たちの話題は、男の前で泣いたことがあるかどうかに。計算して泣くわけではないが我慢はしない、という薫子に対し、男の前で泣いたら負けだと思って生きてきた、という千明。そんな話をしているうちに、和平の話になった。千明は、和平とは恋愛しないのか、と薫子から問われるが、はっきり答えられない。薫子も、和平が自分のことをどう思っているのか知りたいらしい。そこで千明は、和平をこの場に呼びつけて直接問い詰めようと提案。さらに、ふたりで同時に電"&amp;"話してどちらが先につながるか、どちらに先に折り返しがあるか、やってみようということになり…。")</f>
        <v>千明(小泉今日子)は、薫子(長谷川京子)と一緒に酒を飲みに行く。極楽寺駅で偶然出会った薫子から、ふたりで話したいと誘われたのだ。千明と薫子は、お互いに苦手なタイプであることを認識しながらも、大人なのだから親友にはなれなくても認め合うことぐらいはできる、と納得して飲み続けた。  　同じころ、和平(中井貴一)は、娘のえりな(白本彩奈)とふたりだけで夕食をとっていた。何か会話の糸口を探そうとあれこれ考える和平。しかし、それを察したえりなに、面倒くさい空気が伝わるから止めてほしい、と言われてしまう。そんなえりなに、和平は、父親らしいことを何もしてやれなかった、と謝り…。  　飲み続けていた千明たちの話題は、男の前で泣いたことがあるかどうかに。計算して泣くわけではないが我慢はしない、という薫子に対し、男の前で泣いたら負けだと思って生きてきた、という千明。そんな話をしているうちに、和平の話になった。千明は、和平とは恋愛しないのか、と薫子から問われるが、はっきり答えられない。薫子も、和平が自分のことをどう思っているのか知りたいらしい。そこで千明は、和平をこの場に呼びつけて直接問い詰めようと提案。さらに、ふたりで同時に電話してどちらが先につながるか、どちらに先に折り返しがあるか、やってみようということになり…。</v>
      </c>
      <c r="N808" s="2"/>
      <c r="O808" s="2"/>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row>
    <row r="809" ht="204.75" customHeight="1">
      <c r="A809" s="1">
        <v>2806.0</v>
      </c>
      <c r="B809" s="2" t="s">
        <v>2564</v>
      </c>
      <c r="C809" s="2">
        <f>IFERROR(__xludf.DUMMYFUNCTION("split(B809,""_"")"),1404.0)</f>
        <v>1404</v>
      </c>
      <c r="D809" s="2" t="str">
        <f>IFERROR(__xludf.DUMMYFUNCTION("""COMPUTED_VALUE"""),"CX")</f>
        <v>CX</v>
      </c>
      <c r="E809" s="2" t="str">
        <f>IFERROR(__xludf.DUMMYFUNCTION("""COMPUTED_VALUE"""),"木22")</f>
        <v>木22</v>
      </c>
      <c r="F809" s="2" t="s">
        <v>2565</v>
      </c>
      <c r="G809" s="2" t="s">
        <v>2593</v>
      </c>
      <c r="H809" s="1">
        <v>10.0</v>
      </c>
      <c r="I809" s="1" t="s">
        <v>37</v>
      </c>
      <c r="J809" s="1" t="s">
        <v>86</v>
      </c>
      <c r="K809" s="2" t="s">
        <v>2594</v>
      </c>
      <c r="L809" s="2" t="s">
        <v>2595</v>
      </c>
      <c r="M809" s="2" t="str">
        <f>IFERROR(__xludf.DUMMYFUNCTION("split(split(K809,""吉野千明:　"",false),""公式LINE"",false)"),"千明(小泉今日子)は、人間ドックに行くよう、AP三井さん(久保田磨希)に詰め寄られる。会社から人間ドックを受けるよう命じられていた千明は、三井さんから何度も念押しされていたにもかかわらず、多忙を理由にいまだに行っていなかった。が、人間ドックに行ってほしいというのがスタッフ全員の総意だ、と万理子(内田有紀)たちからも言われた千明はしぶしぶ了承し、早速明日病院に行くことになる。  　あくる朝、和平(中井貴一)がいつものように海岸で桜貝を探していると、千明がやってくる。千明は、人間ドックに向けて、気合を入れるた"&amp;"めにジョギングしているのだという。千明が人間ドックに行くと知った和平は驚いた。実は和平も、半年に一度休みをとって人間ドックを受けており今日、病院に行く予定になっていた。しかも、千明が行くという病院は和平と同じところだった。  　千明と和平は、そろって病院を訪れる。現実を知りたくないから怖い、という千明を、まだ若いから心配しなくても大丈夫だと言って励ます和平。ふたりは、さまざまな検査を受けた後、医師のカウンセリングを受けるが…。")</f>
        <v>千明(小泉今日子)は、人間ドックに行くよう、AP三井さん(久保田磨希)に詰め寄られる。会社から人間ドックを受けるよう命じられていた千明は、三井さんから何度も念押しされていたにもかかわらず、多忙を理由にいまだに行っていなかった。が、人間ドックに行ってほしいというのがスタッフ全員の総意だ、と万理子(内田有紀)たちからも言われた千明はしぶしぶ了承し、早速明日病院に行くことになる。  　あくる朝、和平(中井貴一)がいつものように海岸で桜貝を探していると、千明がやってくる。千明は、人間ドックに向けて、気合を入れるためにジョギングしているのだという。千明が人間ドックに行くと知った和平は驚いた。実は和平も、半年に一度休みをとって人間ドックを受けており今日、病院に行く予定になっていた。しかも、千明が行くという病院は和平と同じところだった。  　千明と和平は、そろって病院を訪れる。現実を知りたくないから怖い、という千明を、まだ若いから心配しなくても大丈夫だと言って励ます和平。ふたりは、さまざまな検査を受けた後、医師のカウンセリングを受けるが…。</v>
      </c>
      <c r="N809" s="2"/>
      <c r="O809" s="2"/>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row>
    <row r="810" ht="204.75" customHeight="1">
      <c r="A810" s="1">
        <v>2807.0</v>
      </c>
      <c r="B810" s="2" t="s">
        <v>2564</v>
      </c>
      <c r="C810" s="2">
        <f>IFERROR(__xludf.DUMMYFUNCTION("split(B810,""_"")"),1404.0)</f>
        <v>1404</v>
      </c>
      <c r="D810" s="2" t="str">
        <f>IFERROR(__xludf.DUMMYFUNCTION("""COMPUTED_VALUE"""),"CX")</f>
        <v>CX</v>
      </c>
      <c r="E810" s="2" t="str">
        <f>IFERROR(__xludf.DUMMYFUNCTION("""COMPUTED_VALUE"""),"木22")</f>
        <v>木22</v>
      </c>
      <c r="F810" s="2" t="s">
        <v>2565</v>
      </c>
      <c r="G810" s="2" t="s">
        <v>2596</v>
      </c>
      <c r="H810" s="1">
        <v>11.0</v>
      </c>
      <c r="I810" s="1" t="s">
        <v>41</v>
      </c>
      <c r="J810" s="1" t="s">
        <v>82</v>
      </c>
      <c r="K810" s="2" t="s">
        <v>2597</v>
      </c>
      <c r="L810" s="2" t="s">
        <v>2598</v>
      </c>
      <c r="M810" s="2" t="str">
        <f>IFERROR(__xludf.DUMMYFUNCTION("split(split(K810,""吉野千明:　"",false),""公式LINE"",false)"),"新作ドラマのロケを千明(小泉今日子)の家で行うことになった関係で、千明は長倉家に居候することになった。撮影期間中、千明はホテルなどに宿泊するつもりでいたが、和平(中井貴一)が「ウチにくればいい」と誘ってくれたのだ。  　長倉家での最初の朝、千明は、ノーメイクの素顔を和平に見られてしまう。それがきっかけで、いつものように言いたことを言い合うふたり。その際、千明は、「もうずっと一緒に暮らしますか」という和平の言葉に一瞬ドキッとして…。  　撮影に向けて、真平(坂口憲二)や万理子(内田有紀)は早朝からケータリン"&amp;"グの準備などに追われる。千明もえりな(白本彩奈)と一緒に、朝食の準備を手伝った。するとそこに、宅配ピザの制服を着た典子(飯島直子)が現れる。典子は、千明や万理子にはバレないように監督に接触し、宅配ピザの店員役をもらっていたのだ。典子は、ドラマの主人公を演じる俳優のファンらしい。  　撮影が始まると、知美(佐津川愛美)、薫子(長谷川京子)と息子の蒼太(中島凱斗)もやってきて真平の手伝いをする。そんな折、撮影が中断するトラブルが起こり…。")</f>
        <v>新作ドラマのロケを千明(小泉今日子)の家で行うことになった関係で、千明は長倉家に居候することになった。撮影期間中、千明はホテルなどに宿泊するつもりでいたが、和平(中井貴一)が「ウチにくればいい」と誘ってくれたのだ。  　長倉家での最初の朝、千明は、ノーメイクの素顔を和平に見られてしまう。それがきっかけで、いつものように言いたことを言い合うふたり。その際、千明は、「もうずっと一緒に暮らしますか」という和平の言葉に一瞬ドキッとして…。  　撮影に向けて、真平(坂口憲二)や万理子(内田有紀)は早朝からケータリングの準備などに追われる。千明もえりな(白本彩奈)と一緒に、朝食の準備を手伝った。するとそこに、宅配ピザの制服を着た典子(飯島直子)が現れる。典子は、千明や万理子にはバレないように監督に接触し、宅配ピザの店員役をもらっていたのだ。典子は、ドラマの主人公を演じる俳優のファンらしい。  　撮影が始まると、知美(佐津川愛美)、薫子(長谷川京子)と息子の蒼太(中島凱斗)もやってきて真平の手伝いをする。そんな折、撮影が中断するトラブルが起こり…。</v>
      </c>
      <c r="N810" s="2"/>
      <c r="O810" s="2"/>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row>
    <row r="811" ht="204.75" customHeight="1">
      <c r="A811" s="1">
        <v>2849.0</v>
      </c>
      <c r="B811" s="2" t="s">
        <v>2599</v>
      </c>
      <c r="C811" s="2">
        <f>IFERROR(__xludf.DUMMYFUNCTION("split(B811,""_"")"),1404.0)</f>
        <v>1404</v>
      </c>
      <c r="D811" s="2" t="str">
        <f>IFERROR(__xludf.DUMMYFUNCTION("""COMPUTED_VALUE"""),"CX")</f>
        <v>CX</v>
      </c>
      <c r="E811" s="2" t="str">
        <f>IFERROR(__xludf.DUMMYFUNCTION("""COMPUTED_VALUE"""),"土23")</f>
        <v>土23</v>
      </c>
      <c r="F811" s="2" t="s">
        <v>2600</v>
      </c>
      <c r="G811" s="2" t="s">
        <v>2601</v>
      </c>
      <c r="H811" s="1">
        <v>1.0</v>
      </c>
      <c r="I811" s="1" t="s">
        <v>3</v>
      </c>
      <c r="J811" s="1" t="s">
        <v>2429</v>
      </c>
      <c r="K811" s="4" t="s">
        <v>2602</v>
      </c>
      <c r="L811" s="2" t="s">
        <v>2603</v>
      </c>
      <c r="M811" s="2" t="str">
        <f>IFERROR(__xludf.DUMMYFUNCTION("split(split(K811,""沢尻エリカ　"",false),""公式LINE"",false)"),"ファッション業界で働くことを夢見ながら、下町の衣料材料店で日々地味にボタンや生地を売っていた主人公、吉成ちなみ(沢尻エリカ)は、ふとしたことから自分には縁のない世界だと思っていたファッション雑誌の編集部で働くことになった。見たことのないキラキラした世界・・・。そんな期待を胸に新たな世界の扉を開けたが、そこにあったのは日々女たちがお互いを捕食しあう恐ろしき伏魔殿だった・・・。一生雑用の底辺から雑誌や広告を自由自在に操る最高層まで、高低差が激しい業界。  　ファッション業界のトップに君臨する鬼編集長の大沢留美"&amp;"(板谷由夏)以下、社員エディター川島レミ絵(菜々緒)と契約社員エディター木村白雪(田畑智子)の編集部内をはじめとし、MIINA(佐々木希)とERENA(石田ニコル)のトップモデル同士の争いが繰り広げられる・・・。そんな日々ランキングが変わる滑稽な女の世界“マウンティング""=“人間の格付け""の世界に引きずり込まれることになったちなみは・・・。")</f>
        <v>ファッション業界で働くことを夢見ながら、下町の衣料材料店で日々地味にボタンや生地を売っていた主人公、吉成ちなみ(沢尻エリカ)は、ふとしたことから自分には縁のない世界だと思っていたファッション雑誌の編集部で働くことになった。見たことのないキラキラした世界・・・。そんな期待を胸に新たな世界の扉を開けたが、そこにあったのは日々女たちがお互いを捕食しあう恐ろしき伏魔殿だった・・・。一生雑用の底辺から雑誌や広告を自由自在に操る最高層まで、高低差が激しい業界。  　ファッション業界のトップに君臨する鬼編集長の大沢留美(板谷由夏)以下、社員エディター川島レミ絵(菜々緒)と契約社員エディター木村白雪(田畑智子)の編集部内をはじめとし、MIINA(佐々木希)とERENA(石田ニコル)のトップモデル同士の争いが繰り広げられる・・・。そんな日々ランキングが変わる滑稽な女の世界“マウンティング"=“人間の格付け"の世界に引きずり込まれることになったちなみは・・・。</v>
      </c>
      <c r="N811" s="2"/>
      <c r="O811" s="2"/>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row>
    <row r="812" ht="204.75" customHeight="1">
      <c r="A812" s="1">
        <v>2850.0</v>
      </c>
      <c r="B812" s="2" t="s">
        <v>2599</v>
      </c>
      <c r="C812" s="2">
        <f>IFERROR(__xludf.DUMMYFUNCTION("split(B812,""_"")"),1404.0)</f>
        <v>1404</v>
      </c>
      <c r="D812" s="2" t="str">
        <f>IFERROR(__xludf.DUMMYFUNCTION("""COMPUTED_VALUE"""),"CX")</f>
        <v>CX</v>
      </c>
      <c r="E812" s="2" t="str">
        <f>IFERROR(__xludf.DUMMYFUNCTION("""COMPUTED_VALUE"""),"土23")</f>
        <v>土23</v>
      </c>
      <c r="F812" s="2" t="s">
        <v>2600</v>
      </c>
      <c r="G812" s="2" t="s">
        <v>2604</v>
      </c>
      <c r="H812" s="1">
        <v>2.0</v>
      </c>
      <c r="I812" s="1" t="s">
        <v>7</v>
      </c>
      <c r="J812" s="1" t="s">
        <v>2429</v>
      </c>
      <c r="K812" s="2" t="s">
        <v>2605</v>
      </c>
      <c r="L812" s="2" t="s">
        <v>2606</v>
      </c>
      <c r="M812" s="2" t="str">
        <f>IFERROR(__xludf.DUMMYFUNCTION("split(split(K812,""沢尻エリカ　"",false),""公式LINE"",false)"),"憧れだったファッション雑誌の編集部であらたな一歩を踏み出した吉成ちなみ(沢尻エリカ)。先輩エディターの木村白雪(田畑智子)に早くも嫌がらせをうけるも、めげずに一刻も早く仕事内容を覚えようと川島レミ絵(菜々緒)と白雪の2人の先輩と共に展示会へ積極的に出かけていく。  　そこには「ファースト・クラス」のトップモデルの1人で、熱愛スキャンダルで時の人となっているERENA(石田ニコル)の姿も。そんな彼女とライバル関係にある現在ナンバーワンモデルMIINA(佐々木希)とのモデル同士の争いは激烈…。その余波は、ER"&amp;"ENAと仕事のパートナーのレミ絵、MIINAとパートナーの白雪の間にも広がり、最悪の状況…。  　そんな中、売り上げ部数が減っている「ファースト・クラス」で新企画を募集することになった。レミ絵からも企画提出を勧められたちなみ。意気込んで企画を考えるちなみだが、しかしそこにもまた壮絶な“試練""が待ち受けていた・・・。")</f>
        <v>憧れだったファッション雑誌の編集部であらたな一歩を踏み出した吉成ちなみ(沢尻エリカ)。先輩エディターの木村白雪(田畑智子)に早くも嫌がらせをうけるも、めげずに一刻も早く仕事内容を覚えようと川島レミ絵(菜々緒)と白雪の2人の先輩と共に展示会へ積極的に出かけていく。  　そこには「ファースト・クラス」のトップモデルの1人で、熱愛スキャンダルで時の人となっているERENA(石田ニコル)の姿も。そんな彼女とライバル関係にある現在ナンバーワンモデルMIINA(佐々木希)とのモデル同士の争いは激烈…。その余波は、ERENAと仕事のパートナーのレミ絵、MIINAとパートナーの白雪の間にも広がり、最悪の状況…。  　そんな中、売り上げ部数が減っている「ファースト・クラス」で新企画を募集することになった。レミ絵からも企画提出を勧められたちなみ。意気込んで企画を考えるちなみだが、しかしそこにもまた壮絶な“試練"が待ち受けていた・・・。</v>
      </c>
      <c r="N812" s="2"/>
      <c r="O812" s="2"/>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row>
    <row r="813" ht="204.75" customHeight="1">
      <c r="A813" s="1">
        <v>2851.0</v>
      </c>
      <c r="B813" s="2" t="s">
        <v>2599</v>
      </c>
      <c r="C813" s="2">
        <f>IFERROR(__xludf.DUMMYFUNCTION("split(B813,""_"")"),1404.0)</f>
        <v>1404</v>
      </c>
      <c r="D813" s="2" t="str">
        <f>IFERROR(__xludf.DUMMYFUNCTION("""COMPUTED_VALUE"""),"CX")</f>
        <v>CX</v>
      </c>
      <c r="E813" s="2" t="str">
        <f>IFERROR(__xludf.DUMMYFUNCTION("""COMPUTED_VALUE"""),"土23")</f>
        <v>土23</v>
      </c>
      <c r="F813" s="2" t="s">
        <v>2600</v>
      </c>
      <c r="G813" s="2" t="s">
        <v>2607</v>
      </c>
      <c r="H813" s="1">
        <v>3.0</v>
      </c>
      <c r="I813" s="1" t="s">
        <v>10</v>
      </c>
      <c r="J813" s="1" t="s">
        <v>2429</v>
      </c>
      <c r="K813" s="2" t="s">
        <v>2608</v>
      </c>
      <c r="L813" s="2" t="s">
        <v>2609</v>
      </c>
      <c r="M813" s="2" t="str">
        <f>IFERROR(__xludf.DUMMYFUNCTION("split(split(K813,""沢尻エリカ　"",false),""公式LINE"",false)"),"吉成ちなみ(沢尻エリカ)の企画書を消した犯人が、木村白雪(田畑智子)だと判明し、編集部の状況は一転する。次号の目玉企画『ミランダインタビュー企画』は、副編集長の八巻小夏(三浦理恵子)とちなみが担当し、さらに白雪の企画だった『MIINA(佐々木希)企画』も、ちなみが担当するようにと編集長の大沢留美(板谷由夏)は指示を出す。  　ちなみは八巻と共に、企画を成功させるべく準備を始めるが、そのアシスタントについたのは白雪・・・。やりにくさを感じながらも、仕事をこなしていくちなみ。  　また、売り上げ部数が伸び悩ん"&amp;"でいる雑誌「ファースト・クラス」は、センターモデルを読者投票で選ぶ、“総選挙""の実施を決定。編集長の大沢によって売り上げV字回復を狙う方針がたてられる。センターモデルはMIINAか・・・それともERENA(石田ニコル)か・・・。気持ちが穏やかでないMIINAに対し、“時の人""で余裕が見られるERENA。  　そんな中迎えた『ミランダインタビュー企画』当日。またしても白雪による嫌がらせでピンチを迎えることになったちなみは・・・。")</f>
        <v>吉成ちなみ(沢尻エリカ)の企画書を消した犯人が、木村白雪(田畑智子)だと判明し、編集部の状況は一転する。次号の目玉企画『ミランダインタビュー企画』は、副編集長の八巻小夏(三浦理恵子)とちなみが担当し、さらに白雪の企画だった『MIINA(佐々木希)企画』も、ちなみが担当するようにと編集長の大沢留美(板谷由夏)は指示を出す。  　ちなみは八巻と共に、企画を成功させるべく準備を始めるが、そのアシスタントについたのは白雪・・・。やりにくさを感じながらも、仕事をこなしていくちなみ。  　また、売り上げ部数が伸び悩んでいる雑誌「ファースト・クラス」は、センターモデルを読者投票で選ぶ、“総選挙"の実施を決定。編集長の大沢によって売り上げV字回復を狙う方針がたてられる。センターモデルはMIINAか・・・それともERENA(石田ニコル)か・・・。気持ちが穏やかでないMIINAに対し、“時の人"で余裕が見られるERENA。  　そんな中迎えた『ミランダインタビュー企画』当日。またしても白雪による嫌がらせでピンチを迎えることになったちなみは・・・。</v>
      </c>
      <c r="N813" s="2"/>
      <c r="O813" s="2"/>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row>
    <row r="814" ht="204.75" customHeight="1">
      <c r="A814" s="1">
        <v>2852.0</v>
      </c>
      <c r="B814" s="2" t="s">
        <v>2599</v>
      </c>
      <c r="C814" s="2">
        <f>IFERROR(__xludf.DUMMYFUNCTION("split(B814,""_"")"),1404.0)</f>
        <v>1404</v>
      </c>
      <c r="D814" s="2" t="str">
        <f>IFERROR(__xludf.DUMMYFUNCTION("""COMPUTED_VALUE"""),"CX")</f>
        <v>CX</v>
      </c>
      <c r="E814" s="2" t="str">
        <f>IFERROR(__xludf.DUMMYFUNCTION("""COMPUTED_VALUE"""),"土23")</f>
        <v>土23</v>
      </c>
      <c r="F814" s="2" t="s">
        <v>2600</v>
      </c>
      <c r="G814" s="2" t="s">
        <v>2610</v>
      </c>
      <c r="H814" s="1">
        <v>4.0</v>
      </c>
      <c r="I814" s="1" t="s">
        <v>14</v>
      </c>
      <c r="J814" s="1" t="s">
        <v>2429</v>
      </c>
      <c r="K814" s="2" t="s">
        <v>2611</v>
      </c>
      <c r="L814" s="2" t="s">
        <v>2612</v>
      </c>
      <c r="M814" s="2" t="str">
        <f>IFERROR(__xludf.DUMMYFUNCTION("split(split(K814,""沢尻エリカ　"",false),""公式LINE"",false)"),"雑誌「ファースト・クラス」のセンターモデル投票のトップ3には、MIINA(佐々木希)、ERENA(石田ニコル)、のツートップの他、“リメイク企画""で自分自身が紙面に登場した“編集者モデル""吉成ちなみ(沢尻エリカ)の名前もあがっている。そんな中、MIINAを起用した新たなプロジェクトが立ち上がり、現場の仕切りを任されることになったちなみ。編集部のメンバーも、ちなみの起用に驚きを隠せない。一方で、川島レミ絵(菜々緒)や木村白雪(田畑智子)からは、ねたみをかってしまうことに…。しかしその起用も実は、プロジェ"&amp;"クトのトップである副編集長の八巻小夏(三浦理恵子)の下心が…。  　そんなこととは知らず、仕事を精一杯頑張るちなみだが、ちなみ自身は、偶然目にしてしまったダイエットピルを服用しているMIINAのことが気になってしかたがない…。")</f>
        <v>雑誌「ファースト・クラス」のセンターモデル投票のトップ3には、MIINA(佐々木希)、ERENA(石田ニコル)、のツートップの他、“リメイク企画"で自分自身が紙面に登場した“編集者モデル"吉成ちなみ(沢尻エリカ)の名前もあがっている。そんな中、MIINAを起用した新たなプロジェクトが立ち上がり、現場の仕切りを任されることになったちなみ。編集部のメンバーも、ちなみの起用に驚きを隠せない。一方で、川島レミ絵(菜々緒)や木村白雪(田畑智子)からは、ねたみをかってしまうことに…。しかしその起用も実は、プロジェクトのトップである副編集長の八巻小夏(三浦理恵子)の下心が…。  　そんなこととは知らず、仕事を精一杯頑張るちなみだが、ちなみ自身は、偶然目にしてしまったダイエットピルを服用しているMIINAのことが気になってしかたがない…。</v>
      </c>
      <c r="N814" s="2"/>
      <c r="O814" s="2"/>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row>
    <row r="815" ht="204.75" customHeight="1">
      <c r="A815" s="1">
        <v>2853.0</v>
      </c>
      <c r="B815" s="2" t="s">
        <v>2599</v>
      </c>
      <c r="C815" s="2">
        <f>IFERROR(__xludf.DUMMYFUNCTION("split(B815,""_"")"),1404.0)</f>
        <v>1404</v>
      </c>
      <c r="D815" s="2" t="str">
        <f>IFERROR(__xludf.DUMMYFUNCTION("""COMPUTED_VALUE"""),"CX")</f>
        <v>CX</v>
      </c>
      <c r="E815" s="2" t="str">
        <f>IFERROR(__xludf.DUMMYFUNCTION("""COMPUTED_VALUE"""),"土23")</f>
        <v>土23</v>
      </c>
      <c r="F815" s="2" t="s">
        <v>2600</v>
      </c>
      <c r="G815" s="2" t="s">
        <v>2613</v>
      </c>
      <c r="H815" s="1">
        <v>5.0</v>
      </c>
      <c r="I815" s="1" t="s">
        <v>17</v>
      </c>
      <c r="J815" s="1" t="s">
        <v>2429</v>
      </c>
      <c r="K815" s="2" t="s">
        <v>2614</v>
      </c>
      <c r="L815" s="2" t="s">
        <v>2615</v>
      </c>
      <c r="M815" s="2" t="str">
        <f>IFERROR(__xludf.DUMMYFUNCTION("split(split(K815,""沢尻エリカ　"",false),""公式LINE"",false)"),"毎回大好評を博している白雪(田畑智子)&amp;レミ絵(菜々緒)の最凶悪口コンビの心の声が、今回副音声にて全編解説に挑みます!キツイ嫌味から笑える説明まで、2人のキレッキレの心の声が楽しめる副音声もご期待ください!　MIINA(佐々木希)の一件で、連載も契約も白紙になった吉成ちなみ(沢尻エリカ)は、再び木村白雪(田畑智子)のアシスタントにまわることになる。そんなちなみと白雪の構図を、おもしろがる川島レミ絵(菜々緒)とERENA(石田ニコル)。ちなみ自身は編集部での居場所がなくなり、助けてくれる同僚もいない。しかし"&amp;"、下心のある副編集長の八巻小夏(三浦理恵子)だけは、ちなみに対して恩を売ろうと必死に優しい言葉をかけている。窮地に追い込まれたちなみは、立場が逆転した白雪に再びワナをしかけられ、嫌がらせをされる…。  　一方、張り切って仕事をする白雪の姿が面白くないレミ絵は、白雪を陥れる嫌がらせを思いつく…。白雪はちなみを、レミ絵は白雪を…。そのしわ寄せは最終的に、下働きを強いられるちなみのピンチへと繋がってしまう。そんな中、あるアクシデントも重なって、事態は編集部だけでなくカメラアシスタントの西原樹(中丸雄一)まで巻き"&amp;"込んでいくことに…。")</f>
        <v>毎回大好評を博している白雪(田畑智子)&amp;レミ絵(菜々緒)の最凶悪口コンビの心の声が、今回副音声にて全編解説に挑みます!キツイ嫌味から笑える説明まで、2人のキレッキレの心の声が楽しめる副音声もご期待ください!　MIINA(佐々木希)の一件で、連載も契約も白紙になった吉成ちなみ(沢尻エリカ)は、再び木村白雪(田畑智子)のアシスタントにまわることになる。そんなちなみと白雪の構図を、おもしろがる川島レミ絵(菜々緒)とERENA(石田ニコル)。ちなみ自身は編集部での居場所がなくなり、助けてくれる同僚もいない。しかし、下心のある副編集長の八巻小夏(三浦理恵子)だけは、ちなみに対して恩を売ろうと必死に優しい言葉をかけている。窮地に追い込まれたちなみは、立場が逆転した白雪に再びワナをしかけられ、嫌がらせをされる…。  　一方、張り切って仕事をする白雪の姿が面白くないレミ絵は、白雪を陥れる嫌がらせを思いつく…。白雪はちなみを、レミ絵は白雪を…。そのしわ寄せは最終的に、下働きを強いられるちなみのピンチへと繋がってしまう。そんな中、あるアクシデントも重なって、事態は編集部だけでなくカメラアシスタントの西原樹(中丸雄一)まで巻き込んでいくことに…。</v>
      </c>
      <c r="N815" s="2"/>
      <c r="O815" s="2"/>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row>
    <row r="816" ht="204.75" customHeight="1">
      <c r="A816" s="1">
        <v>2854.0</v>
      </c>
      <c r="B816" s="2" t="s">
        <v>2599</v>
      </c>
      <c r="C816" s="2">
        <f>IFERROR(__xludf.DUMMYFUNCTION("split(B816,""_"")"),1404.0)</f>
        <v>1404</v>
      </c>
      <c r="D816" s="2" t="str">
        <f>IFERROR(__xludf.DUMMYFUNCTION("""COMPUTED_VALUE"""),"CX")</f>
        <v>CX</v>
      </c>
      <c r="E816" s="2" t="str">
        <f>IFERROR(__xludf.DUMMYFUNCTION("""COMPUTED_VALUE"""),"土23")</f>
        <v>土23</v>
      </c>
      <c r="F816" s="2" t="s">
        <v>2600</v>
      </c>
      <c r="G816" s="2" t="s">
        <v>2616</v>
      </c>
      <c r="H816" s="1">
        <v>6.0</v>
      </c>
      <c r="I816" s="1" t="s">
        <v>21</v>
      </c>
      <c r="J816" s="1" t="s">
        <v>2429</v>
      </c>
      <c r="K816" s="2" t="s">
        <v>2617</v>
      </c>
      <c r="L816" s="2" t="s">
        <v>2618</v>
      </c>
      <c r="M816" s="2" t="str">
        <f>IFERROR(__xludf.DUMMYFUNCTION("split(split(K816,""沢尻エリカ　"",false),""公式LINE"",false)"),"吉成ちなみ(沢尻エリカ)は、木村白雪(田畑智子)と一緒にMIINA(佐々木希)が入院する病院を訪ねる。しかし、病室にはMIINAの姿はない。MIINAを追い込んでしまったと、今更ながら責任を感じてしまう白雪もまた姿を消してしまう。そんな中でも雑誌の校了は待ってはくれない。本来の仕事はもちろん、白雪の企画も担当することになる川島レミ絵(菜々緒)、そしてちなみも1人で業務をこなすよう副編集長の八巻小夏(三浦理恵子)から指示が出る。あらゆるところにしわ寄せが及ぶ編集部…。  　そんなトラブル続きの編集部だが、一"&amp;"方水面下では、あるプロジェクトも動き出している…。姿を消したMIINAと白雪…。2人を探すちなみ…。いつもポジティブなちなみも、今回は自分のせいだと落ち込む。そんな弱気になったちなみに手を差し伸べたのは…。")</f>
        <v>吉成ちなみ(沢尻エリカ)は、木村白雪(田畑智子)と一緒にMIINA(佐々木希)が入院する病院を訪ねる。しかし、病室にはMIINAの姿はない。MIINAを追い込んでしまったと、今更ながら責任を感じてしまう白雪もまた姿を消してしまう。そんな中でも雑誌の校了は待ってはくれない。本来の仕事はもちろん、白雪の企画も担当することになる川島レミ絵(菜々緒)、そしてちなみも1人で業務をこなすよう副編集長の八巻小夏(三浦理恵子)から指示が出る。あらゆるところにしわ寄せが及ぶ編集部…。  　そんなトラブル続きの編集部だが、一方水面下では、あるプロジェクトも動き出している…。姿を消したMIINAと白雪…。2人を探すちなみ…。いつもポジティブなちなみも、今回は自分のせいだと落ち込む。そんな弱気になったちなみに手を差し伸べたのは…。</v>
      </c>
      <c r="N816" s="2"/>
      <c r="O816" s="2"/>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row>
    <row r="817" ht="204.75" customHeight="1">
      <c r="A817" s="1">
        <v>2855.0</v>
      </c>
      <c r="B817" s="2" t="s">
        <v>2599</v>
      </c>
      <c r="C817" s="2">
        <f>IFERROR(__xludf.DUMMYFUNCTION("split(B817,""_"")"),1404.0)</f>
        <v>1404</v>
      </c>
      <c r="D817" s="2" t="str">
        <f>IFERROR(__xludf.DUMMYFUNCTION("""COMPUTED_VALUE"""),"CX")</f>
        <v>CX</v>
      </c>
      <c r="E817" s="2" t="str">
        <f>IFERROR(__xludf.DUMMYFUNCTION("""COMPUTED_VALUE"""),"土23")</f>
        <v>土23</v>
      </c>
      <c r="F817" s="2" t="s">
        <v>2600</v>
      </c>
      <c r="G817" s="2" t="s">
        <v>2619</v>
      </c>
      <c r="H817" s="1">
        <v>7.0</v>
      </c>
      <c r="I817" s="1" t="s">
        <v>25</v>
      </c>
      <c r="J817" s="1" t="s">
        <v>2429</v>
      </c>
      <c r="K817" s="2" t="s">
        <v>2620</v>
      </c>
      <c r="L817" s="2" t="s">
        <v>2621</v>
      </c>
      <c r="M817" s="2" t="str">
        <f>IFERROR(__xludf.DUMMYFUNCTION("split(split(K817,""沢尻エリカ　"",false),""公式LINE"",false)"),"「ファースト・クラス」のライバル雑誌として「プエルト」が創刊されることが決定。満を持して八巻小夏(三浦理恵子)が編集長となり、「ファースト・クラス」編集長の大沢留美(板谷由夏)と、ついにライバル関係に…。編集部内のエディターが振り分けられ、この時を待っていたとばかりに、豹変(ひょうへん)する編集長の八巻。さらに川島レミ絵(菜々緒)、吉成ちなみ(沢尻エリカ)をはじめ、驚きの“マウンティング""構図が出来上がった新体制…。  　新たな“マウンティング""が構築される一方、いくつもの波乱を乗り越えたちなみは、木"&amp;"村白雪(田畑智子)、MIINA(佐々木希)と新たな友好関係を築き、次の一歩を踏み出していた。  　しかしその翌日、その関係にまさかの展開が待ち受ける…。そんな中「プエルト」の創刊に伴い、あるインタビューが目玉企画として進んでいく。その人物は、八巻をはじめ、大沢、磯貝拓海(平山浩行)のよく知る人物だという。この企画から、ちなみはある過去の秘密を知ることに…。")</f>
        <v>「ファースト・クラス」のライバル雑誌として「プエルト」が創刊されることが決定。満を持して八巻小夏(三浦理恵子)が編集長となり、「ファースト・クラス」編集長の大沢留美(板谷由夏)と、ついにライバル関係に…。編集部内のエディターが振り分けられ、この時を待っていたとばかりに、豹変(ひょうへん)する編集長の八巻。さらに川島レミ絵(菜々緒)、吉成ちなみ(沢尻エリカ)をはじめ、驚きの“マウンティング"構図が出来上がった新体制…。  　新たな“マウンティング"が構築される一方、いくつもの波乱を乗り越えたちなみは、木村白雪(田畑智子)、MIINA(佐々木希)と新たな友好関係を築き、次の一歩を踏み出していた。  　しかしその翌日、その関係にまさかの展開が待ち受ける…。そんな中「プエルト」の創刊に伴い、あるインタビューが目玉企画として進んでいく。その人物は、八巻をはじめ、大沢、磯貝拓海(平山浩行)のよく知る人物だという。この企画から、ちなみはある過去の秘密を知ることに…。</v>
      </c>
      <c r="N817" s="2"/>
      <c r="O817" s="2"/>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row>
    <row r="818" ht="204.75" customHeight="1">
      <c r="A818" s="1">
        <v>2856.0</v>
      </c>
      <c r="B818" s="2" t="s">
        <v>2599</v>
      </c>
      <c r="C818" s="2">
        <f>IFERROR(__xludf.DUMMYFUNCTION("split(B818,""_"")"),1404.0)</f>
        <v>1404</v>
      </c>
      <c r="D818" s="2" t="str">
        <f>IFERROR(__xludf.DUMMYFUNCTION("""COMPUTED_VALUE"""),"CX")</f>
        <v>CX</v>
      </c>
      <c r="E818" s="2" t="str">
        <f>IFERROR(__xludf.DUMMYFUNCTION("""COMPUTED_VALUE"""),"土23")</f>
        <v>土23</v>
      </c>
      <c r="F818" s="2" t="s">
        <v>2600</v>
      </c>
      <c r="G818" s="2" t="s">
        <v>2622</v>
      </c>
      <c r="H818" s="1">
        <v>8.0</v>
      </c>
      <c r="I818" s="1" t="s">
        <v>29</v>
      </c>
      <c r="J818" s="1" t="s">
        <v>2429</v>
      </c>
      <c r="K818" s="2" t="s">
        <v>2623</v>
      </c>
      <c r="L818" s="2" t="s">
        <v>2624</v>
      </c>
      <c r="M818" s="2" t="str">
        <f>IFERROR(__xludf.DUMMYFUNCTION("split(split(K818,""沢尻エリカ　"",false),""公式LINE"",false)"),"大沢留美(板谷由夏)が編集長を退き、退職することを決意。吉成ちなみ(沢尻エリカ)は大沢から後任の編集長に任命される。引き継ぎを受け、「ファースト・クラス」編集長のちなみ、「プエルト」編集長の八巻小夏(三浦理恵子)の新たな対立関係が生まれる。そんな中、両編集長は詢香社の社長(高知東生)から、驚きの計画を発表される。編集部では、編集長に成り上がったちなみをねたみ、アシスタントのころから嫌がらせを続けてきた川島レミ絵(菜々緒)の“マウンティング""がエスカレート。さらには、新編集長のお披露目会でも各ファッション"&amp;"雑誌編集長から思いもよらない仕打ちをうけ、編集長の洗礼を受けるちなみ…。それでも、スタイリストの磯貝拓海(平山浩行)やカメラマンの松田静香(遊井亮子)をはじめ、ちなみの昇格を喜んでくれるメンバーも。しかし、カメラアシスタントの西原樹(中丸雄一)とレミ絵がキスしていたのを偶然見てしまったちなみ。樹との関係は、ぎくしゃくしたままに…。  　そんな激動の中で、ちなみは編集長としての第一歩を踏み出すものの、新たな問題が勃発し…。")</f>
        <v>大沢留美(板谷由夏)が編集長を退き、退職することを決意。吉成ちなみ(沢尻エリカ)は大沢から後任の編集長に任命される。引き継ぎを受け、「ファースト・クラス」編集長のちなみ、「プエルト」編集長の八巻小夏(三浦理恵子)の新たな対立関係が生まれる。そんな中、両編集長は詢香社の社長(高知東生)から、驚きの計画を発表される。編集部では、編集長に成り上がったちなみをねたみ、アシスタントのころから嫌がらせを続けてきた川島レミ絵(菜々緒)の“マウンティング"がエスカレート。さらには、新編集長のお披露目会でも各ファッション雑誌編集長から思いもよらない仕打ちをうけ、編集長の洗礼を受けるちなみ…。それでも、スタイリストの磯貝拓海(平山浩行)やカメラマンの松田静香(遊井亮子)をはじめ、ちなみの昇格を喜んでくれるメンバーも。しかし、カメラアシスタントの西原樹(中丸雄一)とレミ絵がキスしていたのを偶然見てしまったちなみ。樹との関係は、ぎくしゃくしたままに…。  　そんな激動の中で、ちなみは編集長としての第一歩を踏み出すものの、新たな問題が勃発し…。</v>
      </c>
      <c r="N818" s="2"/>
      <c r="O818" s="2"/>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row>
    <row r="819" ht="204.75" customHeight="1">
      <c r="A819" s="1">
        <v>2857.0</v>
      </c>
      <c r="B819" s="2" t="s">
        <v>2599</v>
      </c>
      <c r="C819" s="2">
        <f>IFERROR(__xludf.DUMMYFUNCTION("split(B819,""_"")"),1404.0)</f>
        <v>1404</v>
      </c>
      <c r="D819" s="2" t="str">
        <f>IFERROR(__xludf.DUMMYFUNCTION("""COMPUTED_VALUE"""),"CX")</f>
        <v>CX</v>
      </c>
      <c r="E819" s="2" t="str">
        <f>IFERROR(__xludf.DUMMYFUNCTION("""COMPUTED_VALUE"""),"土23")</f>
        <v>土23</v>
      </c>
      <c r="F819" s="2" t="s">
        <v>2600</v>
      </c>
      <c r="G819" s="2" t="s">
        <v>2625</v>
      </c>
      <c r="H819" s="1">
        <v>9.0</v>
      </c>
      <c r="I819" s="1" t="s">
        <v>33</v>
      </c>
      <c r="J819" s="1" t="s">
        <v>1435</v>
      </c>
      <c r="K819" s="2" t="s">
        <v>2626</v>
      </c>
      <c r="L819" s="2" t="s">
        <v>2627</v>
      </c>
      <c r="M819" s="2" t="str">
        <f>IFERROR(__xludf.DUMMYFUNCTION("split(split(K819,""沢尻エリカ　"",false),""公式LINE"",false)"),"突然起こった「詢香社」の買収…。超大企業の外資系出版社の面々が「詢香社」にのり込んでくる。そこにいたのは、なんと「ファースト・クラス」の元編集長・大沢留美(板谷由夏)と、「プエルト」編集長・八巻小夏(三浦理恵子)。状況を理解できない現編集長の吉成ちなみ(沢尻エリカ)や、川島レミ絵(菜々緒)そして編集部員たち…。  　そんな中、ちなみは今後ファッション編集部門が、再編・縮小を余儀なくされるという方針を大沢から伝えられる。ちなみに課せられたミッションは、各編集部の部員を3分の1に減らすリストラだ。  　モデル"&amp;"のMIINA(佐々木希)をはじめ、事あるごとにちなみを助けてくれた西原樹(中丸雄一)、カメラマン松田静香(遊井亮子)、スタイリストの磯貝拓海(平山浩行)にも「詢香社」の状況はすぐに伝わり、ちなみの心配をする。リストラという最大の課題と向きあうことになったちなみ。一方、自分の今後が心配でしかたがない編集部員たち。もはや編集部は崩壊寸前だ。  　そんな中、ちなみは大沢と八巻、そして新社長のリエコ(LiLiCo)に対し、ある宣言をすることに…。")</f>
        <v>突然起こった「詢香社」の買収…。超大企業の外資系出版社の面々が「詢香社」にのり込んでくる。そこにいたのは、なんと「ファースト・クラス」の元編集長・大沢留美(板谷由夏)と、「プエルト」編集長・八巻小夏(三浦理恵子)。状況を理解できない現編集長の吉成ちなみ(沢尻エリカ)や、川島レミ絵(菜々緒)そして編集部員たち…。  　そんな中、ちなみは今後ファッション編集部門が、再編・縮小を余儀なくされるという方針を大沢から伝えられる。ちなみに課せられたミッションは、各編集部の部員を3分の1に減らすリストラだ。  　モデルのMIINA(佐々木希)をはじめ、事あるごとにちなみを助けてくれた西原樹(中丸雄一)、カメラマン松田静香(遊井亮子)、スタイリストの磯貝拓海(平山浩行)にも「詢香社」の状況はすぐに伝わり、ちなみの心配をする。リストラという最大の課題と向きあうことになったちなみ。一方、自分の今後が心配でしかたがない編集部員たち。もはや編集部は崩壊寸前だ。  　そんな中、ちなみは大沢と八巻、そして新社長のリエコ(LiLiCo)に対し、ある宣言をすることに…。</v>
      </c>
      <c r="N819" s="2"/>
      <c r="O819" s="2"/>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row>
    <row r="820" ht="204.75" customHeight="1">
      <c r="A820" s="1">
        <v>2858.0</v>
      </c>
      <c r="B820" s="2" t="s">
        <v>2599</v>
      </c>
      <c r="C820" s="2">
        <f>IFERROR(__xludf.DUMMYFUNCTION("split(B820,""_"")"),1404.0)</f>
        <v>1404</v>
      </c>
      <c r="D820" s="2" t="str">
        <f>IFERROR(__xludf.DUMMYFUNCTION("""COMPUTED_VALUE"""),"CX")</f>
        <v>CX</v>
      </c>
      <c r="E820" s="2" t="str">
        <f>IFERROR(__xludf.DUMMYFUNCTION("""COMPUTED_VALUE"""),"土23")</f>
        <v>土23</v>
      </c>
      <c r="F820" s="2" t="s">
        <v>2600</v>
      </c>
      <c r="G820" s="2" t="s">
        <v>2628</v>
      </c>
      <c r="H820" s="1">
        <v>10.0</v>
      </c>
      <c r="I820" s="1" t="s">
        <v>37</v>
      </c>
      <c r="J820" s="1" t="s">
        <v>1435</v>
      </c>
      <c r="K820" s="2" t="s">
        <v>2629</v>
      </c>
      <c r="L820" s="2" t="s">
        <v>2630</v>
      </c>
      <c r="M820" s="2" t="str">
        <f>IFERROR(__xludf.DUMMYFUNCTION("split(split(K820,""沢尻エリカ　"",false),""公式LINE"",false)"),"突然起こった「詢香社」の買収。これまでとは大きく経営方針が変わり、吉成ちなみ(沢尻エリカ)に課せられたのは大幅なリストラ…。しかし、ちなみは編集部員を何とか守ろうと試行錯誤を繰り返し、ついに「ファースト・クラス」の売り上げを2倍にすると大沢留美(板谷由夏)、八巻小夏(三浦理恵子)そして新社長のリエコ(LiLiCo)に公言。ちなみは最後の賭けにでる。　そんな中、暴走を続ける川島レミ絵(菜々緒)は、これまで“仲良しごっこ""を演じていたERENA(石田ニコル)にまで牙をむき、編集部はもはや崩壊寸前…。ちなみに"&amp;"「ファースト・クラス」を立て直す術は残されているのだろうか!?ちなみが下した決断は!?ちなみの幸せは!?ちなみの今後、そして「ファースト・クラス」はどうなるのか!?")</f>
        <v>突然起こった「詢香社」の買収。これまでとは大きく経営方針が変わり、吉成ちなみ(沢尻エリカ)に課せられたのは大幅なリストラ…。しかし、ちなみは編集部員を何とか守ろうと試行錯誤を繰り返し、ついに「ファースト・クラス」の売り上げを2倍にすると大沢留美(板谷由夏)、八巻小夏(三浦理恵子)そして新社長のリエコ(LiLiCo)に公言。ちなみは最後の賭けにでる。　そんな中、暴走を続ける川島レミ絵(菜々緒)は、これまで“仲良しごっこ"を演じていたERENA(石田ニコル)にまで牙をむき、編集部はもはや崩壊寸前…。ちなみに「ファースト・クラス」を立て直す術は残されているのだろうか!?ちなみが下した決断は!?ちなみの幸せは!?ちなみの今後、そして「ファースト・クラス」はどうなるのか!?</v>
      </c>
      <c r="N820" s="2"/>
      <c r="O820" s="2"/>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row>
    <row r="821" ht="204.75" customHeight="1">
      <c r="A821" s="1">
        <v>2879.0</v>
      </c>
      <c r="B821" s="2" t="s">
        <v>2631</v>
      </c>
      <c r="C821" s="2">
        <f>IFERROR(__xludf.DUMMYFUNCTION("split(B821,""_"")"),1401.0)</f>
        <v>1401</v>
      </c>
      <c r="D821" s="2" t="str">
        <f>IFERROR(__xludf.DUMMYFUNCTION("""COMPUTED_VALUE"""),"CX")</f>
        <v>CX</v>
      </c>
      <c r="E821" s="2" t="str">
        <f>IFERROR(__xludf.DUMMYFUNCTION("""COMPUTED_VALUE"""),"月21")</f>
        <v>月21</v>
      </c>
      <c r="F821" s="2" t="s">
        <v>2632</v>
      </c>
      <c r="G821" s="2" t="s">
        <v>2633</v>
      </c>
      <c r="H821" s="1">
        <v>1.0</v>
      </c>
      <c r="I821" s="1" t="s">
        <v>3</v>
      </c>
      <c r="J821" s="1" t="s">
        <v>4</v>
      </c>
      <c r="K821" s="4" t="s">
        <v>2634</v>
      </c>
      <c r="L821" s="2" t="s">
        <v>2635</v>
      </c>
      <c r="M821" s="2" t="str">
        <f>IFERROR(__xludf.DUMMYFUNCTION("split(split(K821,""松本潤　"",false),""#失恋ショコラティエ"",false)"),"★番組内で、豪華賞品が抽選で当たる「失恋じゃんけん」をデータ放送で毎回実施します　  ★番組HPは、こちら!　⇒　http://www.fujitv.co.jp/chocolatier/index.html　  ★失恋ショコラティエ公式Twitter展開中　")</f>
        <v>★番組内で、豪華賞品が抽選で当たる「失恋じゃんけん」をデータ放送で毎回実施します　  ★番組HPは、こちら!　⇒　http://www.fujitv.co.jp/chocolatier/index.html　  ★失恋ショコラティエ公式Twitter展開中　</v>
      </c>
      <c r="N821" s="2" t="str">
        <f>IFERROR(__xludf.DUMMYFUNCTION("""COMPUTED_VALUE"""),"　パリの有名チョコレート専門店「ラトゥリエ・ド・ボネール」に、小動爽太(松本潤)がやってきた。製菓学校出身だがチョコレート専門店で働いた経験もなく、フランス語も話せない。それでも「ボネール」を訪ねた爽太は、働かせてくれ、と懇願する。  　彼をパリまで連れてきたのは、高橋紗絵子(石原さとみ)への恋心だった。高校時代から紗絵子に片思い中の爽太は、無類のチョコレート好き、特に「ボネール」が大好きな彼女を、ショコラティエになって振り向かせたかった。  　6年後の2013年秋。爽太は「ボネール」で知り合ったオリヴィ"&amp;"エ・トレルイエ(溝端淳平)とともに帰国し開店準備に追われていた。するとそこに紗絵子が現れた。今や「チョコレート王子」として有名になった爽太のことを、紗絵子はテレビで知ったのだ。再会に胸が高鳴るも、クールに振る舞う爽太。オリヴィエは紗絵子から来たことが進歩だと喜ぶ。そのオリヴィエは、爽太、妹のまつり(有村架純)、父親の誠(竹中直人)とともに暮らしスタッフの井上薫子(水川あさみ)とも打ち解けていた。  　そんな折、爽太は紗絵子に呼び出された。告白でもされるのか、と期待する爽太に紗絵子は、結婚することを告げる。"&amp;"  　同じ頃、爽太が載った雑誌をショコラティエの六道誠之助(佐藤隆太)が見ていた。側にはモデルの加藤えれな(水原希子)がいた。やがて、爽太の店「ショコラ・ヴィ」が開店の日を迎え…。")</f>
        <v>　パリの有名チョコレート専門店「ラトゥリエ・ド・ボネール」に、小動爽太(松本潤)がやってきた。製菓学校出身だがチョコレート専門店で働いた経験もなく、フランス語も話せない。それでも「ボネール」を訪ねた爽太は、働かせてくれ、と懇願する。  　彼をパリまで連れてきたのは、高橋紗絵子(石原さとみ)への恋心だった。高校時代から紗絵子に片思い中の爽太は、無類のチョコレート好き、特に「ボネール」が大好きな彼女を、ショコラティエになって振り向かせたかった。  　6年後の2013年秋。爽太は「ボネール」で知り合ったオリヴィエ・トレルイエ(溝端淳平)とともに帰国し開店準備に追われていた。するとそこに紗絵子が現れた。今や「チョコレート王子」として有名になった爽太のことを、紗絵子はテレビで知ったのだ。再会に胸が高鳴るも、クールに振る舞う爽太。オリヴィエは紗絵子から来たことが進歩だと喜ぶ。そのオリヴィエは、爽太、妹のまつり(有村架純)、父親の誠(竹中直人)とともに暮らしスタッフの井上薫子(水川あさみ)とも打ち解けていた。  　そんな折、爽太は紗絵子に呼び出された。告白でもされるのか、と期待する爽太に紗絵子は、結婚することを告げる。  　同じ頃、爽太が載った雑誌をショコラティエの六道誠之助(佐藤隆太)が見ていた。側にはモデルの加藤えれな(水原希子)がいた。やがて、爽太の店「ショコラ・ヴィ」が開店の日を迎え…。</v>
      </c>
      <c r="O821" s="2"/>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row>
    <row r="822" ht="204.75" customHeight="1">
      <c r="A822" s="1">
        <v>2880.0</v>
      </c>
      <c r="B822" s="2" t="s">
        <v>2631</v>
      </c>
      <c r="C822" s="2">
        <f>IFERROR(__xludf.DUMMYFUNCTION("split(B822,""_"")"),1401.0)</f>
        <v>1401</v>
      </c>
      <c r="D822" s="2" t="str">
        <f>IFERROR(__xludf.DUMMYFUNCTION("""COMPUTED_VALUE"""),"CX")</f>
        <v>CX</v>
      </c>
      <c r="E822" s="2" t="str">
        <f>IFERROR(__xludf.DUMMYFUNCTION("""COMPUTED_VALUE"""),"月21")</f>
        <v>月21</v>
      </c>
      <c r="F822" s="2" t="s">
        <v>2632</v>
      </c>
      <c r="G822" s="2" t="s">
        <v>2636</v>
      </c>
      <c r="H822" s="1">
        <v>2.0</v>
      </c>
      <c r="I822" s="1" t="s">
        <v>7</v>
      </c>
      <c r="J822" s="1" t="s">
        <v>4</v>
      </c>
      <c r="K822" s="2" t="s">
        <v>2637</v>
      </c>
      <c r="L822" s="2" t="s">
        <v>2638</v>
      </c>
      <c r="M822" s="2" t="str">
        <f>IFERROR(__xludf.DUMMYFUNCTION("split(split(K822,""松本潤　"",false),""#失恋ショコラティエ"",false)"),"★番組内で、豪華賞品が抽選で当たる「失恋じゃんけん」をデータ放送で毎回実施します　  ★番組HPは、こちら!　⇒　http://www.fujitv.co.jp/chocolatier/index.html　  ★失恋ショコラティエ公式Twitter展開中　")</f>
        <v>★番組内で、豪華賞品が抽選で当たる「失恋じゃんけん」をデータ放送で毎回実施します　  ★番組HPは、こちら!　⇒　http://www.fujitv.co.jp/chocolatier/index.html　  ★失恋ショコラティエ公式Twitter展開中　</v>
      </c>
      <c r="N822" s="2" t="str">
        <f>IFERROR(__xludf.DUMMYFUNCTION("""COMPUTED_VALUE"""),"　念願のチョコレート専門店「ショコラ・ヴィ」をオープンさせた爽太(松本潤)は、初日から賑わう店内を見回し幸せな気分に浸っていた。そこに祝いの花を持った紗絵子(石原さとみ)がやってくる。紗絵子の来店に爽太はテンションが上がり、一方の紗絵子は華やかなチョコレートやスイーツに目を輝かせる。異常に盛り上がるふたりに薫子(水川あさみ)はあきれてしまう。  　そんな頃、テレビで「リクドー」のショコラティエの六道(佐藤隆太)が紹介される。まつり(有村架純)が見ていると爽太がやってきた。まつりは慌てるが、爽太は気にしてい"&amp;"ないようだった。そこへ紗絵子が現れ「リクドー」からの帰りだと言い購入してきたチョコレートを見せびらかす。さらに、六道が男前だったと褒めちぎり、本物に出会ってしまったかも、と絶賛。爽太は打ちのめされる。  　1カ月ほど経ったある日、「ショコラ・ヴィ」に「リクドー」の従業員の関谷(加藤シゲアキ)が訪ねてくる。関谷は六道の誕生日パーティーの招待券を手にしていた。後日、爽太は薫子、オリヴィエ(溝端淳平)とともにパーティーにやってくる。初対面の六道は以前から爽太のことが気になっていたと親しげに声をかける。そこにはモ"&amp;"デルのえれな(水原希子)もいて、爽太は話すうちに、えれなも自分と同じ片想い中であることを知り親近感を覚える。その日の夜、えれなは自宅に爽太を招き、爽太もそれを受け入れ…。")</f>
        <v>　念願のチョコレート専門店「ショコラ・ヴィ」をオープンさせた爽太(松本潤)は、初日から賑わう店内を見回し幸せな気分に浸っていた。そこに祝いの花を持った紗絵子(石原さとみ)がやってくる。紗絵子の来店に爽太はテンションが上がり、一方の紗絵子は華やかなチョコレートやスイーツに目を輝かせる。異常に盛り上がるふたりに薫子(水川あさみ)はあきれてしまう。  　そんな頃、テレビで「リクドー」のショコラティエの六道(佐藤隆太)が紹介される。まつり(有村架純)が見ていると爽太がやってきた。まつりは慌てるが、爽太は気にしていないようだった。そこへ紗絵子が現れ「リクドー」からの帰りだと言い購入してきたチョコレートを見せびらかす。さらに、六道が男前だったと褒めちぎり、本物に出会ってしまったかも、と絶賛。爽太は打ちのめされる。  　1カ月ほど経ったある日、「ショコラ・ヴィ」に「リクドー」の従業員の関谷(加藤シゲアキ)が訪ねてくる。関谷は六道の誕生日パーティーの招待券を手にしていた。後日、爽太は薫子、オリヴィエ(溝端淳平)とともにパーティーにやってくる。初対面の六道は以前から爽太のことが気になっていたと親しげに声をかける。そこにはモデルのえれな(水原希子)もいて、爽太は話すうちに、えれなも自分と同じ片想い中であることを知り親近感を覚える。その日の夜、えれなは自宅に爽太を招き、爽太もそれを受け入れ…。</v>
      </c>
      <c r="O822" s="2"/>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row>
    <row r="823" ht="204.75" customHeight="1">
      <c r="A823" s="1">
        <v>2881.0</v>
      </c>
      <c r="B823" s="2" t="s">
        <v>2631</v>
      </c>
      <c r="C823" s="2">
        <f>IFERROR(__xludf.DUMMYFUNCTION("split(B823,""_"")"),1401.0)</f>
        <v>1401</v>
      </c>
      <c r="D823" s="2" t="str">
        <f>IFERROR(__xludf.DUMMYFUNCTION("""COMPUTED_VALUE"""),"CX")</f>
        <v>CX</v>
      </c>
      <c r="E823" s="2" t="str">
        <f>IFERROR(__xludf.DUMMYFUNCTION("""COMPUTED_VALUE"""),"月21")</f>
        <v>月21</v>
      </c>
      <c r="F823" s="2" t="s">
        <v>2632</v>
      </c>
      <c r="G823" s="2" t="s">
        <v>2639</v>
      </c>
      <c r="H823" s="1">
        <v>3.0</v>
      </c>
      <c r="I823" s="1" t="s">
        <v>10</v>
      </c>
      <c r="J823" s="1" t="s">
        <v>11</v>
      </c>
      <c r="K823" s="2" t="s">
        <v>2640</v>
      </c>
      <c r="L823" s="2" t="s">
        <v>2641</v>
      </c>
      <c r="M823" s="2" t="str">
        <f>IFERROR(__xludf.DUMMYFUNCTION("split(split(K823,""松本潤　"",false),""#失恋ショコラティエ"",false)"),"★番組内で、豪華賞品が抽選で当たる「失恋じゃんけん」をデータ放送で毎回実施します　  ★番組HPは、こちら!　⇒　http://www.fujitv.co.jp/chocolatier/index.html　  ★失恋ショコラティエ公式Twitter展開中　")</f>
        <v>★番組内で、豪華賞品が抽選で当たる「失恋じゃんけん」をデータ放送で毎回実施します　  ★番組HPは、こちら!　⇒　http://www.fujitv.co.jp/chocolatier/index.html　  ★失恋ショコラティエ公式Twitter展開中　</v>
      </c>
      <c r="N823" s="2" t="str">
        <f>IFERROR(__xludf.DUMMYFUNCTION("""COMPUTED_VALUE"""),"　紗絵子(石原さとみ)が「ショコラ・ヴィ」に姿を見せなくなって1カ月半、爽太(松本潤)は、紗絵子に会いたい気持ちをショコラ作りにぶつけていた。  　その頃、「ショコラ・ヴィ」に海外ロケから戻ったえれな(水原希子)がやってくる。爽太に会いたくて空港から直行したというえれなは、爽太にまとわりつく。恋人同士のようにいちゃつくふたりを、薫子(水川あさみ)が冷たい目で見ていた。さらにもうひとり、ふたりを凝視する人物がいた。紗絵子だった。  　爽太は内心激しく動揺しながらも、平静を装いえれなを帰らせる。すると、紗絵子"&amp;"がえれなのことを聞いてきた。えれなと自分の関係を気にしているのかと思うと、爽太は主導権を握った気分になる。  　その夜、オリヴィエ(溝端淳平)が帰宅すると、まつり(有村架純)が出かけるところだった。彼氏に会いに行くのか、と聞くオリヴィエに、友達の彼氏と付き合っている自分は最低だがそれでも会いたいのだ、と言いまつりは出ていく。  　別の日、相変わらず紗絵子のことばかり考えている爽太に薫子は、男性受けを意識したり自己演出しているのが明白な紗絵子をいつまで好きでいるのか、と毒づく。すると爽太は、その頑張っている"&amp;"なと思えるところが可愛いのだと答え、薫子を閉口させる。  　数日後、爽太は紗絵子から買い物に付き合ってほしい、と頼まれる。「付き合って」という言葉に妄想は膨らむが、爽太はそれを断ってしまう。")</f>
        <v>　紗絵子(石原さとみ)が「ショコラ・ヴィ」に姿を見せなくなって1カ月半、爽太(松本潤)は、紗絵子に会いたい気持ちをショコラ作りにぶつけていた。  　その頃、「ショコラ・ヴィ」に海外ロケから戻ったえれな(水原希子)がやってくる。爽太に会いたくて空港から直行したというえれなは、爽太にまとわりつく。恋人同士のようにいちゃつくふたりを、薫子(水川あさみ)が冷たい目で見ていた。さらにもうひとり、ふたりを凝視する人物がいた。紗絵子だった。  　爽太は内心激しく動揺しながらも、平静を装いえれなを帰らせる。すると、紗絵子がえれなのことを聞いてきた。えれなと自分の関係を気にしているのかと思うと、爽太は主導権を握った気分になる。  　その夜、オリヴィエ(溝端淳平)が帰宅すると、まつり(有村架純)が出かけるところだった。彼氏に会いに行くのか、と聞くオリヴィエに、友達の彼氏と付き合っている自分は最低だがそれでも会いたいのだ、と言いまつりは出ていく。  　別の日、相変わらず紗絵子のことばかり考えている爽太に薫子は、男性受けを意識したり自己演出しているのが明白な紗絵子をいつまで好きでいるのか、と毒づく。すると爽太は、その頑張っているなと思えるところが可愛いのだと答え、薫子を閉口させる。  　数日後、爽太は紗絵子から買い物に付き合ってほしい、と頼まれる。「付き合って」という言葉に妄想は膨らむが、爽太はそれを断ってしまう。</v>
      </c>
      <c r="O823" s="2"/>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row>
    <row r="824" ht="204.75" customHeight="1">
      <c r="A824" s="1">
        <v>2882.0</v>
      </c>
      <c r="B824" s="2" t="s">
        <v>2631</v>
      </c>
      <c r="C824" s="2">
        <f>IFERROR(__xludf.DUMMYFUNCTION("split(B824,""_"")"),1401.0)</f>
        <v>1401</v>
      </c>
      <c r="D824" s="2" t="str">
        <f>IFERROR(__xludf.DUMMYFUNCTION("""COMPUTED_VALUE"""),"CX")</f>
        <v>CX</v>
      </c>
      <c r="E824" s="2" t="str">
        <f>IFERROR(__xludf.DUMMYFUNCTION("""COMPUTED_VALUE"""),"月21")</f>
        <v>月21</v>
      </c>
      <c r="F824" s="2" t="s">
        <v>2632</v>
      </c>
      <c r="G824" s="2" t="s">
        <v>2642</v>
      </c>
      <c r="H824" s="1">
        <v>4.0</v>
      </c>
      <c r="I824" s="1" t="s">
        <v>14</v>
      </c>
      <c r="J824" s="1" t="s">
        <v>11</v>
      </c>
      <c r="K824" s="2" t="s">
        <v>2643</v>
      </c>
      <c r="L824" s="2" t="s">
        <v>2644</v>
      </c>
      <c r="M824" s="2" t="str">
        <f>IFERROR(__xludf.DUMMYFUNCTION("split(split(K824,""松本潤　"",false),""#失恋ショコラティエ"",false)"),"★番組内で、豪華賞品が抽選で当たる「失恋じゃんけん」をデータ放送で毎回実施します　  ★番組HPは、こちら!　⇒　http://www.fujitv.co.jp/chocolatier/index.html　  ★失恋ショコラティエ公式Twitter展開中　")</f>
        <v>★番組内で、豪華賞品が抽選で当たる「失恋じゃんけん」をデータ放送で毎回実施します　  ★番組HPは、こちら!　⇒　http://www.fujitv.co.jp/chocolatier/index.html　  ★失恋ショコラティエ公式Twitter展開中　</v>
      </c>
      <c r="N824" s="2" t="str">
        <f>IFERROR(__xludf.DUMMYFUNCTION("""COMPUTED_VALUE"""),"　爽太(松本潤)は、紗絵子(石原さとみ)と約束した買い物デートのことを考えすぎて疲れ切っていた。そんな折、「ショコラ・ヴィ」に「リクドー」の関谷(加藤シゲアキ)がやってくる。爽太が聞くと、薫子(水川あさみ)を食事に誘いに来たという。爽太は誘いを受けるよう促すが、薫子は断ってしまう。よく知らない人と食事には行けないと言う薫子。爽太は、関谷の上司である六道(佐藤隆太)にメールで関谷の人柄を尋ねてみる。爽太に気がある六道は、爽太が関谷に興味を持ったのかと疑う。  　同じ頃、オリヴィエ(溝端淳平)は対面したまつり"&amp;"(有村架純)にキスしたことを謝罪。さらに、まつりが誰と付き合おうとも自分はまつりが好きだと告白する。  　別の日、爽太と薫子は、「リクドー」が出店するチョコレートフェアにやってくる。爽太は薫子と関谷を引き合わせたかったが、関谷はそこに来ていなかった。そんな爽太を見つけた六道は、爽太を連れ出すと、自分のことをどう思うか、と迫る。  　デート当日。いつも以上におしゃれでかわいい紗絵子にテンションが上がりっぱなしの爽太は、買い物中も幸せな気分だった。ところが、紗絵子が異常に至近距離で接してくることに激しく動揺、"&amp;"やがて、そこまで動揺する自分が悲しくなってしまう。その後、紗絵子に褒められたり自宅に誘われたりもするが気は滅入る一方で、ついにはえれな(水原希子)の部屋のドアを叩いてしまう。")</f>
        <v>　爽太(松本潤)は、紗絵子(石原さとみ)と約束した買い物デートのことを考えすぎて疲れ切っていた。そんな折、「ショコラ・ヴィ」に「リクドー」の関谷(加藤シゲアキ)がやってくる。爽太が聞くと、薫子(水川あさみ)を食事に誘いに来たという。爽太は誘いを受けるよう促すが、薫子は断ってしまう。よく知らない人と食事には行けないと言う薫子。爽太は、関谷の上司である六道(佐藤隆太)にメールで関谷の人柄を尋ねてみる。爽太に気がある六道は、爽太が関谷に興味を持ったのかと疑う。  　同じ頃、オリヴィエ(溝端淳平)は対面したまつり(有村架純)にキスしたことを謝罪。さらに、まつりが誰と付き合おうとも自分はまつりが好きだと告白する。  　別の日、爽太と薫子は、「リクドー」が出店するチョコレートフェアにやってくる。爽太は薫子と関谷を引き合わせたかったが、関谷はそこに来ていなかった。そんな爽太を見つけた六道は、爽太を連れ出すと、自分のことをどう思うか、と迫る。  　デート当日。いつも以上におしゃれでかわいい紗絵子にテンションが上がりっぱなしの爽太は、買い物中も幸せな気分だった。ところが、紗絵子が異常に至近距離で接してくることに激しく動揺、やがて、そこまで動揺する自分が悲しくなってしまう。その後、紗絵子に褒められたり自宅に誘われたりもするが気は滅入る一方で、ついにはえれな(水原希子)の部屋のドアを叩いてしまう。</v>
      </c>
      <c r="O824" s="2"/>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row>
    <row r="825" ht="204.75" customHeight="1">
      <c r="A825" s="1">
        <v>2883.0</v>
      </c>
      <c r="B825" s="2" t="s">
        <v>2631</v>
      </c>
      <c r="C825" s="2">
        <f>IFERROR(__xludf.DUMMYFUNCTION("split(B825,""_"")"),1401.0)</f>
        <v>1401</v>
      </c>
      <c r="D825" s="2" t="str">
        <f>IFERROR(__xludf.DUMMYFUNCTION("""COMPUTED_VALUE"""),"CX")</f>
        <v>CX</v>
      </c>
      <c r="E825" s="2" t="str">
        <f>IFERROR(__xludf.DUMMYFUNCTION("""COMPUTED_VALUE"""),"月21")</f>
        <v>月21</v>
      </c>
      <c r="F825" s="2" t="s">
        <v>2632</v>
      </c>
      <c r="G825" s="2" t="s">
        <v>2645</v>
      </c>
      <c r="H825" s="1">
        <v>5.0</v>
      </c>
      <c r="I825" s="1" t="s">
        <v>17</v>
      </c>
      <c r="J825" s="1" t="s">
        <v>11</v>
      </c>
      <c r="K825" s="2" t="s">
        <v>2646</v>
      </c>
      <c r="L825" s="2" t="s">
        <v>2647</v>
      </c>
      <c r="M825" s="2" t="str">
        <f>IFERROR(__xludf.DUMMYFUNCTION("split(split(K825,""松本潤　"",false),""#失恋ショコラティエ"",false)"),"★番組内で、豪華賞品が抽選で当たる「失恋じゃんけん」をデータ放送で毎回実施します　  ★番組HPは、こちら!　⇒　http://www.fujitv.co.jp/chocolatier/index.html　  ★失恋ショコラティエ公式Twitter展開中　")</f>
        <v>★番組内で、豪華賞品が抽選で当たる「失恋じゃんけん」をデータ放送で毎回実施します　  ★番組HPは、こちら!　⇒　http://www.fujitv.co.jp/chocolatier/index.html　  ★失恋ショコラティエ公式Twitter展開中　</v>
      </c>
      <c r="N825" s="2" t="str">
        <f>IFERROR(__xludf.DUMMYFUNCTION("""COMPUTED_VALUE"""),"　爽太(松本潤)は、紗絵子(石原さとみ)の誕生日が近づくにつれ、紗絵子と過ごす記念日を妄想し、薫子(水川あさみ)に呆れられる。一方、紗絵子は夫の吉岡(眞島秀和)に不満を抱えていた。自分の都合ですべてを決めてしまう夫に納得がいかなかった。  　そんな折、紗絵子が「ショコラ・ヴィ」にやって来る。紗絵子は日持ちのするショコラや洋菓子を大量に購入する。さらに、自分のバースデーケーキを注文すると帰っていく。いつもとは違う決意を秘めたような表情に爽太は胸騒ぎを覚える。  　別の日、爽太は薫子とオリヴィエ(溝端淳平)に"&amp;"ケーキのデザイン画を見せる。それは蝶のモチーフが飾られたかわいくもシックなケーキだった。蝶には爽太の紗絵子への歪んだ愛情が表現されていて、それを聞いた薫子は苦笑するが、爽太は真剣だった。  　「ショコラ・ヴィ」で飲み会が開かれることになり、薫子は日程を紗絵子の誕生日に決めた。紗絵子にケーキを渡したあとひとりでいるのは辛いのでは、との配慮からで、オリヴィエ、まつり(有村架純)も参加することになった。その時爽太はえれな(水原希子)と電話中で、何気なく側を通った薫子に会話が聞こえてしまう。そこからふたりの関係を"&amp;"察知した薫子は言葉を失う。  　紗絵子の誕生日当日。爽太は紗絵子の来店を心待ちにするが紗絵子は現れない。やがて閉店間際、やって来たのは吉岡だった。動揺を隠しつつケーキを渡した爽太は…。")</f>
        <v>　爽太(松本潤)は、紗絵子(石原さとみ)の誕生日が近づくにつれ、紗絵子と過ごす記念日を妄想し、薫子(水川あさみ)に呆れられる。一方、紗絵子は夫の吉岡(眞島秀和)に不満を抱えていた。自分の都合ですべてを決めてしまう夫に納得がいかなかった。  　そんな折、紗絵子が「ショコラ・ヴィ」にやって来る。紗絵子は日持ちのするショコラや洋菓子を大量に購入する。さらに、自分のバースデーケーキを注文すると帰っていく。いつもとは違う決意を秘めたような表情に爽太は胸騒ぎを覚える。  　別の日、爽太は薫子とオリヴィエ(溝端淳平)にケーキのデザイン画を見せる。それは蝶のモチーフが飾られたかわいくもシックなケーキだった。蝶には爽太の紗絵子への歪んだ愛情が表現されていて、それを聞いた薫子は苦笑するが、爽太は真剣だった。  　「ショコラ・ヴィ」で飲み会が開かれることになり、薫子は日程を紗絵子の誕生日に決めた。紗絵子にケーキを渡したあとひとりでいるのは辛いのでは、との配慮からで、オリヴィエ、まつり(有村架純)も参加することになった。その時爽太はえれな(水原希子)と電話中で、何気なく側を通った薫子に会話が聞こえてしまう。そこからふたりの関係を察知した薫子は言葉を失う。  　紗絵子の誕生日当日。爽太は紗絵子の来店を心待ちにするが紗絵子は現れない。やがて閉店間際、やって来たのは吉岡だった。動揺を隠しつつケーキを渡した爽太は…。</v>
      </c>
      <c r="O825" s="2"/>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row>
    <row r="826" ht="204.75" customHeight="1">
      <c r="A826" s="1">
        <v>2884.0</v>
      </c>
      <c r="B826" s="2" t="s">
        <v>2631</v>
      </c>
      <c r="C826" s="2">
        <f>IFERROR(__xludf.DUMMYFUNCTION("split(B826,""_"")"),1401.0)</f>
        <v>1401</v>
      </c>
      <c r="D826" s="2" t="str">
        <f>IFERROR(__xludf.DUMMYFUNCTION("""COMPUTED_VALUE"""),"CX")</f>
        <v>CX</v>
      </c>
      <c r="E826" s="2" t="str">
        <f>IFERROR(__xludf.DUMMYFUNCTION("""COMPUTED_VALUE"""),"月21")</f>
        <v>月21</v>
      </c>
      <c r="F826" s="2" t="s">
        <v>2632</v>
      </c>
      <c r="G826" s="2" t="s">
        <v>2648</v>
      </c>
      <c r="H826" s="1">
        <v>6.0</v>
      </c>
      <c r="I826" s="1" t="s">
        <v>21</v>
      </c>
      <c r="J826" s="1" t="s">
        <v>11</v>
      </c>
      <c r="K826" s="2" t="s">
        <v>2649</v>
      </c>
      <c r="L826" s="2" t="s">
        <v>2650</v>
      </c>
      <c r="M826" s="2" t="str">
        <f>IFERROR(__xludf.DUMMYFUNCTION("split(split(K826,""松本潤　"",false),""#失恋ショコラティエ"",false)"),"★番組内で、豪華賞品が抽選で当たる「失恋じゃんけん」をデータ放送で毎回実施します　  ★番組HPは、こちら!　⇒　http://www.fujitv.co.jp/chocolatier/index.html　  ★失恋ショコラティエ公式Twitter展開中　")</f>
        <v>★番組内で、豪華賞品が抽選で当たる「失恋じゃんけん」をデータ放送で毎回実施します　  ★番組HPは、こちら!　⇒　http://www.fujitv.co.jp/chocolatier/index.html　  ★失恋ショコラティエ公式Twitter展開中　</v>
      </c>
      <c r="N826" s="2" t="str">
        <f>IFERROR(__xludf.DUMMYFUNCTION("""COMPUTED_VALUE"""),"　爽太(松本潤)はえれな(水原希子)の部屋に駆け込むが、そこに人の気配はなかった。えれなに何かあったのでは、と不安になるが、えれなは思わぬところに身を潜めていた。安堵した爽太にえれなは、倉科(佐藤祐基)への告白の一部始終を再現して聞かせ、恋は終わったと言い放つ。倉科に妻子がいることがわかったからだという。それを聞いた爽太は、自分はなぜ人妻である紗絵子(石原さとみ)を思い続けているのだろうか、と自問する。  　その頃、自宅にひとりきりの紗絵子は、爽太が作ったバースデーケーキを食べていた。その姿は、頭には包帯"&amp;"、目には眼帯という痛々しいものだった。心細い紗絵子は爽太からの連絡を期待するが、メールさえ届いていなかった。  　翌日、「ショコラ・ヴィ」に戻った爽太にオリヴィエ(溝端淳平)とまつり(有村架純)が声をかけるが、爽太にいつもの覇気はなかった。しかし爽太は薫子(水川あさみ)に会うと、前日の発言を謝罪。自分は薫子が好きだから、好きな人の口から人の悪口を聞きたくなかったんだ、と説明した。「好き」という言葉が薫子に突き刺さる。  　その後爽太は薫子、オリヴィエ、まつりに向き合うと、失恋することにした、と宣言する。自"&amp;"分は本当に紗絵子が好きだが、どうやっても手に入らないから、今度のバレンタインデーに、ちゃんと振られて恋を終わりにするという。薫子らはあっけに取られるが、爽太は吹っ切れたような表情で…。")</f>
        <v>　爽太(松本潤)はえれな(水原希子)の部屋に駆け込むが、そこに人の気配はなかった。えれなに何かあったのでは、と不安になるが、えれなは思わぬところに身を潜めていた。安堵した爽太にえれなは、倉科(佐藤祐基)への告白の一部始終を再現して聞かせ、恋は終わったと言い放つ。倉科に妻子がいることがわかったからだという。それを聞いた爽太は、自分はなぜ人妻である紗絵子(石原さとみ)を思い続けているのだろうか、と自問する。  　その頃、自宅にひとりきりの紗絵子は、爽太が作ったバースデーケーキを食べていた。その姿は、頭には包帯、目には眼帯という痛々しいものだった。心細い紗絵子は爽太からの連絡を期待するが、メールさえ届いていなかった。  　翌日、「ショコラ・ヴィ」に戻った爽太にオリヴィエ(溝端淳平)とまつり(有村架純)が声をかけるが、爽太にいつもの覇気はなかった。しかし爽太は薫子(水川あさみ)に会うと、前日の発言を謝罪。自分は薫子が好きだから、好きな人の口から人の悪口を聞きたくなかったんだ、と説明した。「好き」という言葉が薫子に突き刺さる。  　その後爽太は薫子、オリヴィエ、まつりに向き合うと、失恋することにした、と宣言する。自分は本当に紗絵子が好きだが、どうやっても手に入らないから、今度のバレンタインデーに、ちゃんと振られて恋を終わりにするという。薫子らはあっけに取られるが、爽太は吹っ切れたような表情で…。</v>
      </c>
      <c r="O826" s="2"/>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row>
    <row r="827" ht="204.75" customHeight="1">
      <c r="A827" s="1">
        <v>2885.0</v>
      </c>
      <c r="B827" s="2" t="s">
        <v>2631</v>
      </c>
      <c r="C827" s="2">
        <f>IFERROR(__xludf.DUMMYFUNCTION("split(B827,""_"")"),1401.0)</f>
        <v>1401</v>
      </c>
      <c r="D827" s="2" t="str">
        <f>IFERROR(__xludf.DUMMYFUNCTION("""COMPUTED_VALUE"""),"CX")</f>
        <v>CX</v>
      </c>
      <c r="E827" s="2" t="str">
        <f>IFERROR(__xludf.DUMMYFUNCTION("""COMPUTED_VALUE"""),"月21")</f>
        <v>月21</v>
      </c>
      <c r="F827" s="2" t="s">
        <v>2632</v>
      </c>
      <c r="G827" s="2" t="s">
        <v>2651</v>
      </c>
      <c r="H827" s="1">
        <v>7.0</v>
      </c>
      <c r="I827" s="1" t="s">
        <v>25</v>
      </c>
      <c r="J827" s="1" t="s">
        <v>11</v>
      </c>
      <c r="K827" s="2" t="s">
        <v>2652</v>
      </c>
      <c r="L827" s="2" t="s">
        <v>2653</v>
      </c>
      <c r="M827" s="2" t="str">
        <f>IFERROR(__xludf.DUMMYFUNCTION("split(split(K827,""松本潤　"",false),""#失恋ショコラティエ"",false)"),"★番組内で、豪華賞品が抽選で当たる「失恋じゃんけん」をデータ放送で毎回実施します　  ★番組HPは、こちら!　⇒　http://www.fujitv.co.jp/chocolatier/index.html　  ★失恋ショコラティエ公式Twitter展開中　")</f>
        <v>★番組内で、豪華賞品が抽選で当たる「失恋じゃんけん」をデータ放送で毎回実施します　  ★番組HPは、こちら!　⇒　http://www.fujitv.co.jp/chocolatier/index.html　  ★失恋ショコラティエ公式Twitter展開中　</v>
      </c>
      <c r="N827" s="2" t="str">
        <f>IFERROR(__xludf.DUMMYFUNCTION("""COMPUTED_VALUE"""),"　バレンタインの季節が近づき、「ショコラ・ヴィ」は一層賑わい、爽太(松本潤)らは多忙を極めていた。特に爽太は、紗絵子(石原さとみ)に贈るショコラを同時に準備していたため睡眠時間も激減していた。  　それでも、このバレンタインに紗絵子に最後の告白をして振られ、長い片想いを終わらせようと決めた爽太は気合いをみなぎらせる。えれな(水原希子)との関係を修正させたい気持ちも後押ししていた。  　そんな折、紗絵子が「ショコラ・ヴィ」にやってくる。混雑する店内から厨房の爽太を見つめるが、爽太は気づかない。紗絵子は薫子("&amp;"水川あさみ)から商品を受け取ると帰っていく。  　その日の夜、オリヴィエ(溝端淳平)は、携帯電話を見ていたまつり(有村架純)の表情が曇ったのを見逃さなかった。まつりは、元カレの部屋に残っている私物を取りに行くことになったと明かす。その様子に疑念を感じたオリヴィエは、一緒に行くと主張する。　同じ頃、紗絵子は吉岡(眞島秀和)とペットショップにいた。猫が飼いたいと言う紗絵子に当初は反対していたものの、猫を買ってやる。紗絵子は吉岡に笑顔を向ける。  　バレンタインデー前日。ついに爽太は紗絵子に贈るショコラを完成さ"&amp;"せた。この日、爽太は紗絵子を呼び出して不意打ちで告白をする計画だった。自分が計画の主導権を握っていることで冷静を保っていた。しかし突然、「ショコラ・ヴィ」に現れた紗絵子を見ると…。")</f>
        <v>　バレンタインの季節が近づき、「ショコラ・ヴィ」は一層賑わい、爽太(松本潤)らは多忙を極めていた。特に爽太は、紗絵子(石原さとみ)に贈るショコラを同時に準備していたため睡眠時間も激減していた。  　それでも、このバレンタインに紗絵子に最後の告白をして振られ、長い片想いを終わらせようと決めた爽太は気合いをみなぎらせる。えれな(水原希子)との関係を修正させたい気持ちも後押ししていた。  　そんな折、紗絵子が「ショコラ・ヴィ」にやってくる。混雑する店内から厨房の爽太を見つめるが、爽太は気づかない。紗絵子は薫子(水川あさみ)から商品を受け取ると帰っていく。  　その日の夜、オリヴィエ(溝端淳平)は、携帯電話を見ていたまつり(有村架純)の表情が曇ったのを見逃さなかった。まつりは、元カレの部屋に残っている私物を取りに行くことになったと明かす。その様子に疑念を感じたオリヴィエは、一緒に行くと主張する。　同じ頃、紗絵子は吉岡(眞島秀和)とペットショップにいた。猫が飼いたいと言う紗絵子に当初は反対していたものの、猫を買ってやる。紗絵子は吉岡に笑顔を向ける。  　バレンタインデー前日。ついに爽太は紗絵子に贈るショコラを完成させた。この日、爽太は紗絵子を呼び出して不意打ちで告白をする計画だった。自分が計画の主導権を握っていることで冷静を保っていた。しかし突然、「ショコラ・ヴィ」に現れた紗絵子を見ると…。</v>
      </c>
      <c r="O827" s="2"/>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row>
    <row r="828" ht="204.75" customHeight="1">
      <c r="A828" s="1">
        <v>2886.0</v>
      </c>
      <c r="B828" s="2" t="s">
        <v>2631</v>
      </c>
      <c r="C828" s="2">
        <f>IFERROR(__xludf.DUMMYFUNCTION("split(B828,""_"")"),1401.0)</f>
        <v>1401</v>
      </c>
      <c r="D828" s="2" t="str">
        <f>IFERROR(__xludf.DUMMYFUNCTION("""COMPUTED_VALUE"""),"CX")</f>
        <v>CX</v>
      </c>
      <c r="E828" s="2" t="str">
        <f>IFERROR(__xludf.DUMMYFUNCTION("""COMPUTED_VALUE"""),"月21")</f>
        <v>月21</v>
      </c>
      <c r="F828" s="2" t="s">
        <v>2632</v>
      </c>
      <c r="G828" s="2" t="s">
        <v>2654</v>
      </c>
      <c r="H828" s="1">
        <v>8.0</v>
      </c>
      <c r="I828" s="1" t="s">
        <v>29</v>
      </c>
      <c r="J828" s="1" t="s">
        <v>11</v>
      </c>
      <c r="K828" s="2" t="s">
        <v>2655</v>
      </c>
      <c r="L828" s="2" t="s">
        <v>2656</v>
      </c>
      <c r="M828" s="2" t="str">
        <f>IFERROR(__xludf.DUMMYFUNCTION("split(split(K828,""松本潤　"",false),""#失恋ショコラティエ"",false)"),"★番組内で、豪華賞品が抽選で当たる「失恋じゃんけん」をデータ放送で毎回実施します　  ★番組HPは、こちら!　⇒　http://www.fujitv.co.jp/chocolatier/index.html　  ★失恋ショコラティエ公式Twitter展開中　")</f>
        <v>★番組内で、豪華賞品が抽選で当たる「失恋じゃんけん」をデータ放送で毎回実施します　  ★番組HPは、こちら!　⇒　http://www.fujitv.co.jp/chocolatier/index.html　  ★失恋ショコラティエ公式Twitter展開中　</v>
      </c>
      <c r="N828" s="2" t="str">
        <f>IFERROR(__xludf.DUMMYFUNCTION("""COMPUTED_VALUE"""),"　爽太(松本潤)は、紗絵子(石原さとみ)が自分とキスしたことが信じられず、その理由をあれこれ想像するもわからずに困惑する。  　一方、自宅に戻った紗絵子は、爽太から贈られた美しいショコラを眺めていた。やがて、爽太へメールを打ち始めるが、途中ですべてを削除してしまう。  　別の日、爽太から相談を受けたえれな(水原希子)は、ホワイトデーまでには紗絵子からリアクションがあるのでは、と励ました。  　バレンタインデーが終わり、「ショコラ・ヴィ」は平穏を取り戻す。薫子(水川あさみ)やオリヴィエ(溝端淳平)は平和な日"&amp;"々を喜ぶが、爽太は余裕があると紗絵子のことを考えてしまうため疲労を募らせる。そんな爽太を心配するえれなに、爽太はホワイトデーの夜の予定を聞く。ホワイトデーまでに紗絵子から返事がもらえなければ、えれなと新しい関係を始めようと、爽太は心に決めていた。  　ホワイトデー当日、「ショコラ・ヴィ」の営業が終わっても紗絵子は現れなかった。オリヴィエはこれからまつり(有村架純)とデートだと言い、爽太もえれなと来ないかと誘う。えれなを「彼女」と呼ぶオリヴィエに、爽太はこれから彼女になるのだ、と指摘。そんな爽太に薫子は、本"&amp;"当にそれでいいのか、と確認するが、爽太は、うんと答える。  　その直後、爽太が閉店の準備をしに外へ出ると、通りに紗絵子が立っていた。大きなトランクとカバンを抱えた紗絵子に爽太は…。")</f>
        <v>　爽太(松本潤)は、紗絵子(石原さとみ)が自分とキスしたことが信じられず、その理由をあれこれ想像するもわからずに困惑する。  　一方、自宅に戻った紗絵子は、爽太から贈られた美しいショコラを眺めていた。やがて、爽太へメールを打ち始めるが、途中ですべてを削除してしまう。  　別の日、爽太から相談を受けたえれな(水原希子)は、ホワイトデーまでには紗絵子からリアクションがあるのでは、と励ました。  　バレンタインデーが終わり、「ショコラ・ヴィ」は平穏を取り戻す。薫子(水川あさみ)やオリヴィエ(溝端淳平)は平和な日々を喜ぶが、爽太は余裕があると紗絵子のことを考えてしまうため疲労を募らせる。そんな爽太を心配するえれなに、爽太はホワイトデーの夜の予定を聞く。ホワイトデーまでに紗絵子から返事がもらえなければ、えれなと新しい関係を始めようと、爽太は心に決めていた。  　ホワイトデー当日、「ショコラ・ヴィ」の営業が終わっても紗絵子は現れなかった。オリヴィエはこれからまつり(有村架純)とデートだと言い、爽太もえれなと来ないかと誘う。えれなを「彼女」と呼ぶオリヴィエに、爽太はこれから彼女になるのだ、と指摘。そんな爽太に薫子は、本当にそれでいいのか、と確認するが、爽太は、うんと答える。  　その直後、爽太が閉店の準備をしに外へ出ると、通りに紗絵子が立っていた。大きなトランクとカバンを抱えた紗絵子に爽太は…。</v>
      </c>
      <c r="O828" s="2"/>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row>
    <row r="829" ht="204.75" customHeight="1">
      <c r="A829" s="1">
        <v>2887.0</v>
      </c>
      <c r="B829" s="2" t="s">
        <v>2631</v>
      </c>
      <c r="C829" s="2">
        <f>IFERROR(__xludf.DUMMYFUNCTION("split(B829,""_"")"),1401.0)</f>
        <v>1401</v>
      </c>
      <c r="D829" s="2" t="str">
        <f>IFERROR(__xludf.DUMMYFUNCTION("""COMPUTED_VALUE"""),"CX")</f>
        <v>CX</v>
      </c>
      <c r="E829" s="2" t="str">
        <f>IFERROR(__xludf.DUMMYFUNCTION("""COMPUTED_VALUE"""),"月21")</f>
        <v>月21</v>
      </c>
      <c r="F829" s="2" t="s">
        <v>2632</v>
      </c>
      <c r="G829" s="2" t="s">
        <v>2657</v>
      </c>
      <c r="H829" s="1">
        <v>9.0</v>
      </c>
      <c r="I829" s="1" t="s">
        <v>33</v>
      </c>
      <c r="J829" s="1" t="s">
        <v>11</v>
      </c>
      <c r="K829" s="2" t="s">
        <v>2658</v>
      </c>
      <c r="L829" s="2" t="s">
        <v>2659</v>
      </c>
      <c r="M829" s="2" t="str">
        <f>IFERROR(__xludf.DUMMYFUNCTION("split(split(K829,""松本潤　"",false),""#失恋ショコラティエ"",false)"),"★番組内で、豪華賞品が抽選で当たる「失恋じゃんけん」をデータ放送で毎回実施します　  ★番組HPは、こちら!　⇒　http://www.fujitv.co.jp/chocolatier/index.html　  ★失恋ショコラティエ公式Twitter展開中　")</f>
        <v>★番組内で、豪華賞品が抽選で当たる「失恋じゃんけん」をデータ放送で毎回実施します　  ★番組HPは、こちら!　⇒　http://www.fujitv.co.jp/chocolatier/index.html　  ★失恋ショコラティエ公式Twitter展開中　</v>
      </c>
      <c r="N829" s="2" t="str">
        <f>IFERROR(__xludf.DUMMYFUNCTION("""COMPUTED_VALUE"""),"　爽太(松本潤)は、「ショコラ・ヴィ」の2階に暮らし始めた紗絵子(石原さとみ)と恋人同士のような甘い時間を過ごしていた。ふたりの関係に不快感を持つ薫子(水川あさみ)は、イライラを募らせる。爽太から連絡が途絶えたえれな(水原希子)は、連絡が来ない理由がわからず傷ついていた。  　そんな朝、薫子が店の前を掃除していると、えれなが立っていた。自分が出演するファッションショーの招待状を爽太に渡したいというえれなに、薫子は爽太の現状を話してしまう。きつい口調で、えれなさえも非難するように話す薫子に、言いにくいことを"&amp;"教えてくれてありがとう、とえれなは頭を下げる。  　店に戻った薫子は、正しいことをしたと自分を納得させようとするが内心では落ち込む。オリヴィエ(溝端淳平)は、自分が正しいと思うのならそれでいいのでは、と声をかける。その頃、爽太は、紗絵子からのリクエストで新作の構想を練り始める。一方、紗絵子は掃除や洗濯を手伝うが、健気に働く姿が薫子は気に入らず、まつり(有村架純)に文句を言う。  　そんな日の夜、爽太が試作品のイラストを描いていると、紗絵子の携帯電話が鳴る。爽太は着信が紗絵子の夫・吉岡(眞島秀和)だと確認、"&amp;"バスルームにいる紗絵子に声をかけた。紗絵子は着信を見ると顔を曇らせるが、すぐにいつもの顔に戻り爽太に甘えてくる。爽太は、これまで家出の理由を説明しようとしない紗絵子の態度に困惑し…。")</f>
        <v>　爽太(松本潤)は、「ショコラ・ヴィ」の2階に暮らし始めた紗絵子(石原さとみ)と恋人同士のような甘い時間を過ごしていた。ふたりの関係に不快感を持つ薫子(水川あさみ)は、イライラを募らせる。爽太から連絡が途絶えたえれな(水原希子)は、連絡が来ない理由がわからず傷ついていた。  　そんな朝、薫子が店の前を掃除していると、えれなが立っていた。自分が出演するファッションショーの招待状を爽太に渡したいというえれなに、薫子は爽太の現状を話してしまう。きつい口調で、えれなさえも非難するように話す薫子に、言いにくいことを教えてくれてありがとう、とえれなは頭を下げる。  　店に戻った薫子は、正しいことをしたと自分を納得させようとするが内心では落ち込む。オリヴィエ(溝端淳平)は、自分が正しいと思うのならそれでいいのでは、と声をかける。その頃、爽太は、紗絵子からのリクエストで新作の構想を練り始める。一方、紗絵子は掃除や洗濯を手伝うが、健気に働く姿が薫子は気に入らず、まつり(有村架純)に文句を言う。  　そんな日の夜、爽太が試作品のイラストを描いていると、紗絵子の携帯電話が鳴る。爽太は着信が紗絵子の夫・吉岡(眞島秀和)だと確認、バスルームにいる紗絵子に声をかけた。紗絵子は着信を見ると顔を曇らせるが、すぐにいつもの顔に戻り爽太に甘えてくる。爽太は、これまで家出の理由を説明しようとしない紗絵子の態度に困惑し…。</v>
      </c>
      <c r="O829" s="2"/>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row>
    <row r="830" ht="204.75" customHeight="1">
      <c r="A830" s="1">
        <v>2888.0</v>
      </c>
      <c r="B830" s="2" t="s">
        <v>2631</v>
      </c>
      <c r="C830" s="2">
        <f>IFERROR(__xludf.DUMMYFUNCTION("split(B830,""_"")"),1401.0)</f>
        <v>1401</v>
      </c>
      <c r="D830" s="2" t="str">
        <f>IFERROR(__xludf.DUMMYFUNCTION("""COMPUTED_VALUE"""),"CX")</f>
        <v>CX</v>
      </c>
      <c r="E830" s="2" t="str">
        <f>IFERROR(__xludf.DUMMYFUNCTION("""COMPUTED_VALUE"""),"月21")</f>
        <v>月21</v>
      </c>
      <c r="F830" s="2" t="s">
        <v>2632</v>
      </c>
      <c r="G830" s="2" t="s">
        <v>2660</v>
      </c>
      <c r="H830" s="1">
        <v>10.0</v>
      </c>
      <c r="I830" s="1" t="s">
        <v>37</v>
      </c>
      <c r="J830" s="1" t="s">
        <v>11</v>
      </c>
      <c r="K830" s="2" t="s">
        <v>2661</v>
      </c>
      <c r="L830" s="2" t="s">
        <v>2662</v>
      </c>
      <c r="M830" s="2" t="str">
        <f>IFERROR(__xludf.DUMMYFUNCTION("split(split(K830,""松本潤　"",false),""#失恋ショコラティエ"",false)"),"★番組内で、豪華賞品が抽選で当たる「失恋じゃんけん」をデータ放送で毎回実施します　  ★番組HPは、こちら!　⇒　http://www.fujitv.co.jp/chocolatier/index.html　  ★失恋ショコラティエ公式Twitter展開中　")</f>
        <v>★番組内で、豪華賞品が抽選で当たる「失恋じゃんけん」をデータ放送で毎回実施します　  ★番組HPは、こちら!　⇒　http://www.fujitv.co.jp/chocolatier/index.html　  ★失恋ショコラティエ公式Twitter展開中　</v>
      </c>
      <c r="N830" s="2" t="str">
        <f>IFERROR(__xludf.DUMMYFUNCTION("""COMPUTED_VALUE"""),"　爽太(松本潤)は、紗絵子(石原さとみ)に恋い焦がれながらも、ふたりの関係に行き詰まりを感じ始めていた。そんな折、かつて爽太が修行したフランスの老舗ショコラティエ「ボネール」からエアメールが届く。オリヴィエ(溝端淳平)は、「ボネール」が探しているというチーフショコラティエの候補に、爽太の名前が挙がったのでは、と話す。  　もしも、「ボネール」のショコラティエになれたら、紗絵子との未来を切り開くことができるかもしれない、爽太は祈るような思いを抱く。  　その頃、薫子(水川あさみ)は、関谷(加藤シゲアキ)から"&amp;"の「くわしく」とだけ書かれたメールへの返信に頭を抱えていた。困った薫子は、紗絵子に相談。紗絵子は、薫子が想像すらしなかった返信を提案する。  　同じ頃、えれな(水原希子)は念願のショーへの出演を終えた。そこに爽太の姿はなかったが、六道(佐藤隆太)が見守ってくれていた。　後日、軽井沢に滞在中のボネールに招かれた爽太は、自作のショコラを携えて出かけていく。オリヴィエとまつり(有村架純)は京都旅行に出かけ、「ショコラ・ヴィ」には紗絵子がいるだけだった。そんな夜、「ショコラ・ヴィ」が停電してしまい、困った紗絵子は"&amp;"薫子に電話をする。冷蔵庫や冷凍庫にあるショコラの材料が心配だという紗絵子。薫子はタクシーで店にかけつけた。まさにその頃、爽太はボネールの部屋をノックし…。")</f>
        <v>　爽太(松本潤)は、紗絵子(石原さとみ)に恋い焦がれながらも、ふたりの関係に行き詰まりを感じ始めていた。そんな折、かつて爽太が修行したフランスの老舗ショコラティエ「ボネール」からエアメールが届く。オリヴィエ(溝端淳平)は、「ボネール」が探しているというチーフショコラティエの候補に、爽太の名前が挙がったのでは、と話す。  　もしも、「ボネール」のショコラティエになれたら、紗絵子との未来を切り開くことができるかもしれない、爽太は祈るような思いを抱く。  　その頃、薫子(水川あさみ)は、関谷(加藤シゲアキ)からの「くわしく」とだけ書かれたメールへの返信に頭を抱えていた。困った薫子は、紗絵子に相談。紗絵子は、薫子が想像すらしなかった返信を提案する。  　同じ頃、えれな(水原希子)は念願のショーへの出演を終えた。そこに爽太の姿はなかったが、六道(佐藤隆太)が見守ってくれていた。　後日、軽井沢に滞在中のボネールに招かれた爽太は、自作のショコラを携えて出かけていく。オリヴィエとまつり(有村架純)は京都旅行に出かけ、「ショコラ・ヴィ」には紗絵子がいるだけだった。そんな夜、「ショコラ・ヴィ」が停電してしまい、困った紗絵子は薫子に電話をする。冷蔵庫や冷凍庫にあるショコラの材料が心配だという紗絵子。薫子はタクシーで店にかけつけた。まさにその頃、爽太はボネールの部屋をノックし…。</v>
      </c>
      <c r="O830" s="2"/>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row>
    <row r="831" ht="204.75" customHeight="1">
      <c r="A831" s="1">
        <v>2889.0</v>
      </c>
      <c r="B831" s="2" t="s">
        <v>2631</v>
      </c>
      <c r="C831" s="2">
        <f>IFERROR(__xludf.DUMMYFUNCTION("split(B831,""_"")"),1401.0)</f>
        <v>1401</v>
      </c>
      <c r="D831" s="2" t="str">
        <f>IFERROR(__xludf.DUMMYFUNCTION("""COMPUTED_VALUE"""),"CX")</f>
        <v>CX</v>
      </c>
      <c r="E831" s="2" t="str">
        <f>IFERROR(__xludf.DUMMYFUNCTION("""COMPUTED_VALUE"""),"月21")</f>
        <v>月21</v>
      </c>
      <c r="F831" s="2" t="s">
        <v>2632</v>
      </c>
      <c r="G831" s="2" t="s">
        <v>2663</v>
      </c>
      <c r="H831" s="1">
        <v>11.0</v>
      </c>
      <c r="I831" s="1" t="s">
        <v>41</v>
      </c>
      <c r="J831" s="1" t="s">
        <v>4</v>
      </c>
      <c r="K831" s="2" t="s">
        <v>2664</v>
      </c>
      <c r="L831" s="2" t="s">
        <v>2665</v>
      </c>
      <c r="M831" s="2" t="str">
        <f>IFERROR(__xludf.DUMMYFUNCTION("split(split(K831,""松本潤　"",false),""#失恋ショコラティエ"",false)"),"★番組内で、豪華賞品が抽選で当たる「失恋じゃんけん」をデータ放送で毎回実施します　  ★番組HPは、こちら!　⇒　http://www.fujitv.co.jp/chocolatier/index.html　  ★失恋ショコラティエ公式Twitter展開中　")</f>
        <v>★番組内で、豪華賞品が抽選で当たる「失恋じゃんけん」をデータ放送で毎回実施します　  ★番組HPは、こちら!　⇒　http://www.fujitv.co.jp/chocolatier/index.html　  ★失恋ショコラティエ公式Twitter展開中　</v>
      </c>
      <c r="N831" s="2" t="str">
        <f>IFERROR(__xludf.DUMMYFUNCTION("""COMPUTED_VALUE"""),"　爽太(松本潤)は、紗絵子(石原さとみ)のリクエストに応えるべくチョコバーの試作を重ねるが、どうしてもうまくいかない。紗絵子は、創作に励む爽太を心配するが、爽太は取り繕うように自信を見せる。  　そんなところへ、えれな(水原希子)が現れる。久しぶりの再会に爽太は言葉が出ないが、えれなは話はすぐに済むという。爽太があれこれ想像するうち、えれなは爽太のことが好きだと告白。さらに、自分のことが好きなら見に来てほしい、とファッションショーのチケットを手渡すと「ショコラ・ヴィ」を後にする。潔く思いを伝えるえれなを前"&amp;"に、立ち尽くすしかなかった爽太。その様子を紗絵子が見ていた。  　その頃、薫子(水川あさみ)は紗絵子に言われ、関谷(加藤シゲアキ)を食事に誘うメールを送った。プライベートな相談に乗ってもらううち、薫子と紗絵子は意気投合。一緒に買い物に出かけるようにもなる。  　一方の爽太は相変わらず創作に苦戦していた。紗絵子を思うとショコラ作りのインスピレーションがわき上がっていた頃の気持ちを取り戻そうとするが、出口を見いだせないでいた。そんなとき、紗絵子が帰ってくる。紗絵子は爽太に声をかけ、バックヤードへ行こうとするが"&amp;"、突然、倒れ込んでしまう。紗絵子を病院へ運んだ爽太は、医師から貧血を起こしたようだと告げられた。目を覚ました紗絵子を心配そうに見つめる爽太。紗絵子は、爽太が思いもよらない事実を告げた。")</f>
        <v>　爽太(松本潤)は、紗絵子(石原さとみ)のリクエストに応えるべくチョコバーの試作を重ねるが、どうしてもうまくいかない。紗絵子は、創作に励む爽太を心配するが、爽太は取り繕うように自信を見せる。  　そんなところへ、えれな(水原希子)が現れる。久しぶりの再会に爽太は言葉が出ないが、えれなは話はすぐに済むという。爽太があれこれ想像するうち、えれなは爽太のことが好きだと告白。さらに、自分のことが好きなら見に来てほしい、とファッションショーのチケットを手渡すと「ショコラ・ヴィ」を後にする。潔く思いを伝えるえれなを前に、立ち尽くすしかなかった爽太。その様子を紗絵子が見ていた。  　その頃、薫子(水川あさみ)は紗絵子に言われ、関谷(加藤シゲアキ)を食事に誘うメールを送った。プライベートな相談に乗ってもらううち、薫子と紗絵子は意気投合。一緒に買い物に出かけるようにもなる。  　一方の爽太は相変わらず創作に苦戦していた。紗絵子を思うとショコラ作りのインスピレーションがわき上がっていた頃の気持ちを取り戻そうとするが、出口を見いだせないでいた。そんなとき、紗絵子が帰ってくる。紗絵子は爽太に声をかけ、バックヤードへ行こうとするが、突然、倒れ込んでしまう。紗絵子を病院へ運んだ爽太は、医師から貧血を起こしたようだと告げられた。目を覚ました紗絵子を心配そうに見つめる爽太。紗絵子は、爽太が思いもよらない事実を告げた。</v>
      </c>
      <c r="O831" s="2"/>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row>
    <row r="832" ht="204.75" customHeight="1">
      <c r="A832" s="1">
        <v>2890.0</v>
      </c>
      <c r="B832" s="2" t="s">
        <v>2666</v>
      </c>
      <c r="C832" s="2">
        <f>IFERROR(__xludf.DUMMYFUNCTION("split(B832,""_"")"),1401.0)</f>
        <v>1401</v>
      </c>
      <c r="D832" s="2" t="str">
        <f>IFERROR(__xludf.DUMMYFUNCTION("""COMPUTED_VALUE"""),"CX")</f>
        <v>CX</v>
      </c>
      <c r="E832" s="2" t="str">
        <f>IFERROR(__xludf.DUMMYFUNCTION("""COMPUTED_VALUE"""),"火21")</f>
        <v>火21</v>
      </c>
      <c r="F832" s="2" t="s">
        <v>2667</v>
      </c>
      <c r="G832" s="2" t="s">
        <v>2668</v>
      </c>
      <c r="H832" s="1">
        <v>1.0</v>
      </c>
      <c r="I832" s="1" t="s">
        <v>3</v>
      </c>
      <c r="J832" s="1" t="s">
        <v>4</v>
      </c>
      <c r="K832" s="4" t="s">
        <v>2669</v>
      </c>
      <c r="L832" s="2" t="s">
        <v>2670</v>
      </c>
      <c r="M832" s="2" t="str">
        <f>IFERROR(__xludf.DUMMYFUNCTION("split(split(K832,""福家警部補(強行犯第十三"",false),""公式LINE"",false)"),"人気脚本家・藤堂昌也(反町隆史)は、三室勘司(小林且弥)を呼び出して自分の別荘へ。三室は藤堂に頼まれた拳銃とロープを用意していた。藤堂は三室に誘拐犯の役を与えると役作りを始める。しかし、しばらくすると藤堂は三室に睡眠薬を飲ませて眠らせてしまう。三室が眠っている間に藤堂は自分の事務所に電話。事務員の大城加奈子(水崎綾女)が出ると、三室に読ませて録音した脅迫文を再生した。  　次に藤堂は骨董商の辻伸彦(有薗芳記)の家へ。藤堂は辻から古い原稿の取引を持ちかけられていた。原稿は藤堂の脚本家としてのキャリアを脅かす"&amp;"もの。藤堂は応じるそぶりをして辻を殺し、家に火をつけて別荘に戻る。  　その頃、藤堂の事務所には石松和夫警部(稲垣吾郎)ら警官たちが詰めていた。そこにまた脅迫電話が入る。大城は声の主が三室だと気づいた。  　電話を終えた藤堂は三室を起こす。全ては辻殺害を完全犯罪にするための策略だった。仕上げは三室を消すこと。それを知った三室は逆上して藤堂に襲いかかる。もみ合いの中、藤堂の撃った銃弾が三室を貫く。直後、警官たちが突入するが、傷だらけの藤堂が誘拐されていたことを疑うものはいなかった。  　ただ1人、福家警部補"&amp;"(檀れい)を除いては…。福家は石松から辻の放火殺人事件の担当を命じられていたが、なぜか藤堂の誘拐事件を調べ始める。福家は鑑識係の二岡友成(柄本時生)に車を出させて藤堂の別荘へと向かった。")</f>
        <v>人気脚本家・藤堂昌也(反町隆史)は、三室勘司(小林且弥)を呼び出して自分の別荘へ。三室は藤堂に頼まれた拳銃とロープを用意していた。藤堂は三室に誘拐犯の役を与えると役作りを始める。しかし、しばらくすると藤堂は三室に睡眠薬を飲ませて眠らせてしまう。三室が眠っている間に藤堂は自分の事務所に電話。事務員の大城加奈子(水崎綾女)が出ると、三室に読ませて録音した脅迫文を再生した。  　次に藤堂は骨董商の辻伸彦(有薗芳記)の家へ。藤堂は辻から古い原稿の取引を持ちかけられていた。原稿は藤堂の脚本家としてのキャリアを脅かすもの。藤堂は応じるそぶりをして辻を殺し、家に火をつけて別荘に戻る。  　その頃、藤堂の事務所には石松和夫警部(稲垣吾郎)ら警官たちが詰めていた。そこにまた脅迫電話が入る。大城は声の主が三室だと気づいた。  　電話を終えた藤堂は三室を起こす。全ては辻殺害を完全犯罪にするための策略だった。仕上げは三室を消すこと。それを知った三室は逆上して藤堂に襲いかかる。もみ合いの中、藤堂の撃った銃弾が三室を貫く。直後、警官たちが突入するが、傷だらけの藤堂が誘拐されていたことを疑うものはいなかった。  　ただ1人、福家警部補(檀れい)を除いては…。福家は石松から辻の放火殺人事件の担当を命じられていたが、なぜか藤堂の誘拐事件を調べ始める。福家は鑑識係の二岡友成(柄本時生)に車を出させて藤堂の別荘へと向かった。</v>
      </c>
      <c r="N832" s="2"/>
      <c r="O832" s="2"/>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row>
    <row r="833" ht="204.75" customHeight="1">
      <c r="A833" s="1">
        <v>2891.0</v>
      </c>
      <c r="B833" s="2" t="s">
        <v>2666</v>
      </c>
      <c r="C833" s="2">
        <f>IFERROR(__xludf.DUMMYFUNCTION("split(B833,""_"")"),1401.0)</f>
        <v>1401</v>
      </c>
      <c r="D833" s="2" t="str">
        <f>IFERROR(__xludf.DUMMYFUNCTION("""COMPUTED_VALUE"""),"CX")</f>
        <v>CX</v>
      </c>
      <c r="E833" s="2" t="str">
        <f>IFERROR(__xludf.DUMMYFUNCTION("""COMPUTED_VALUE"""),"火21")</f>
        <v>火21</v>
      </c>
      <c r="F833" s="2" t="s">
        <v>2667</v>
      </c>
      <c r="G833" s="2" t="s">
        <v>2671</v>
      </c>
      <c r="H833" s="1">
        <v>2.0</v>
      </c>
      <c r="I833" s="1" t="s">
        <v>7</v>
      </c>
      <c r="J833" s="1" t="s">
        <v>11</v>
      </c>
      <c r="K833" s="2" t="s">
        <v>2672</v>
      </c>
      <c r="L833" s="2" t="s">
        <v>2673</v>
      </c>
      <c r="M833" s="2" t="str">
        <f>IFERROR(__xludf.DUMMYFUNCTION("split(split(K833,""福家警部補(強行犯第十三"",false),""公式LINE"",false)"),"漫画家の河出みどり(富田靖子)は、大御所漫画家・細田理恵子(銀粉蝶)のパーティーに出席。帰り道、タクシーに同乗した出版社「湧泉舎」の少女漫画雑誌『ルル』の編集部員、馬場康之(石井智也)から、みどりは不穏な話を聞く。湧泉舎の三浦真理子営業部長(渡辺真起子)が、『ルル』のリニューアルに文句をつけ、連載のラインアップを変えるよう渡辺良進編集長(橋沢進一)に詰め寄っているらしい。リニューアル後の新連載が予定されているみどりには、聞き流すことが出来なかった。  　馬場と別れたみどりは、真理子のマンションへ。真理子の"&amp;"みどりへの態度は横柄。屈辱感に苛まれながらもみどりは従い、自分の新連載を切るつもりなのかと真理子に聞く。すると真理子は、みどりが書いた新連載用のネームをバッサリと切り捨てた。さらに、考えの甘さを指摘し、漫画家を辞めたらとまで突きつける真理子の頭を、みどりは文鎮で殴りつけてしまう。倒れた真理子をバスルームに運んだみどりは、真理子をバスタブに落とした。足にケガをしている真理子が、自ら倒れ込んだかのように見せかけて…。  　翌日、真理子の不審死が発見され警察の現場検証が始まる。やって来たのは福家警部補(檀れい)"&amp;"。鑑識係の二岡友成(柄本時生)から現状報告を受け、バスルームを検証した福家は、第一発見者の話を聞く。その話から、福家はバスルームのドアが開いていたことに引っかかる。")</f>
        <v>漫画家の河出みどり(富田靖子)は、大御所漫画家・細田理恵子(銀粉蝶)のパーティーに出席。帰り道、タクシーに同乗した出版社「湧泉舎」の少女漫画雑誌『ルル』の編集部員、馬場康之(石井智也)から、みどりは不穏な話を聞く。湧泉舎の三浦真理子営業部長(渡辺真起子)が、『ルル』のリニューアルに文句をつけ、連載のラインアップを変えるよう渡辺良進編集長(橋沢進一)に詰め寄っているらしい。リニューアル後の新連載が予定されているみどりには、聞き流すことが出来なかった。  　馬場と別れたみどりは、真理子のマンションへ。真理子のみどりへの態度は横柄。屈辱感に苛まれながらもみどりは従い、自分の新連載を切るつもりなのかと真理子に聞く。すると真理子は、みどりが書いた新連載用のネームをバッサリと切り捨てた。さらに、考えの甘さを指摘し、漫画家を辞めたらとまで突きつける真理子の頭を、みどりは文鎮で殴りつけてしまう。倒れた真理子をバスルームに運んだみどりは、真理子をバスタブに落とした。足にケガをしている真理子が、自ら倒れ込んだかのように見せかけて…。  　翌日、真理子の不審死が発見され警察の現場検証が始まる。やって来たのは福家警部補(檀れい)。鑑識係の二岡友成(柄本時生)から現状報告を受け、バスルームを検証した福家は、第一発見者の話を聞く。その話から、福家はバスルームのドアが開いていたことに引っかかる。</v>
      </c>
      <c r="N833" s="2"/>
      <c r="O833" s="2"/>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row>
    <row r="834" ht="204.75" customHeight="1">
      <c r="A834" s="1">
        <v>2892.0</v>
      </c>
      <c r="B834" s="2" t="s">
        <v>2666</v>
      </c>
      <c r="C834" s="2">
        <f>IFERROR(__xludf.DUMMYFUNCTION("split(B834,""_"")"),1401.0)</f>
        <v>1401</v>
      </c>
      <c r="D834" s="2" t="str">
        <f>IFERROR(__xludf.DUMMYFUNCTION("""COMPUTED_VALUE"""),"CX")</f>
        <v>CX</v>
      </c>
      <c r="E834" s="2" t="str">
        <f>IFERROR(__xludf.DUMMYFUNCTION("""COMPUTED_VALUE"""),"火21")</f>
        <v>火21</v>
      </c>
      <c r="F834" s="2" t="s">
        <v>2667</v>
      </c>
      <c r="G834" s="2" t="s">
        <v>2674</v>
      </c>
      <c r="H834" s="1">
        <v>3.0</v>
      </c>
      <c r="I834" s="1" t="s">
        <v>10</v>
      </c>
      <c r="J834" s="1" t="s">
        <v>11</v>
      </c>
      <c r="K834" s="2" t="s">
        <v>2675</v>
      </c>
      <c r="L834" s="2" t="s">
        <v>2676</v>
      </c>
      <c r="M834" s="2" t="str">
        <f>IFERROR(__xludf.DUMMYFUNCTION("split(split(K834,""福家警部補(強行犯第十三"",false),""公式LINE"",false)"),"『スワンプ・インプ』社長で、フィギュア造型家の新井信弘(北村有起哉)は、大手玩具メーカー『丸吉』とコラボ企画を進めている。それは『丸吉』が販売する『銀河戦士ブルーマン』の新フィギュアの造型を新井が製作するという大きなプロジェクト。新井の会社に品物を納める塗料会社の小寺浩二(中山祐一朗)も興味津々。『ブルーマン』のデザインが決定し試作品を急ぐ『丸吉』に、新井は一晩で作ると約束。しかし、新井はフリーの造型家・西村浩(片桐仁)の作業場へ向かった。  　十数年前、『丸吉』が限定品で販売し、マニア間では高値で売買さ"&amp;"れる『ミリバール』というロボットフィギュアの贋作が出回る事件があった。西村は、贋作を作り売ったのが新井だというのを嗅ぎ付け、その事実を『丸吉』にばらすと新井をゆすりにかかる。  　新井は持参した本物の『ミリバール』と偽物の交換でけりをつけようとする。だが、あくまで金を要求する西村を思い余って撲殺。そこに小寺が西村の発注した塗料を届けに来た。西村の死体を発見し、パニックで立ち去ってしまう小寺。物陰に身を潜めていた新井はあることを思いつく。  　翌早朝、臨場する石松和夫警部(稲垣吾郎)たち。後から現れた福家警"&amp;"部補(檀れい)に、石松は苦い顔。二岡友成(柄本時生)から殺害状況を聞いた福家の頭の中には多くの疑問が浮かぶのだった。一方、石松たちは西村が最後に電話した小寺に容疑者の目星をつけた。")</f>
        <v>『スワンプ・インプ』社長で、フィギュア造型家の新井信弘(北村有起哉)は、大手玩具メーカー『丸吉』とコラボ企画を進めている。それは『丸吉』が販売する『銀河戦士ブルーマン』の新フィギュアの造型を新井が製作するという大きなプロジェクト。新井の会社に品物を納める塗料会社の小寺浩二(中山祐一朗)も興味津々。『ブルーマン』のデザインが決定し試作品を急ぐ『丸吉』に、新井は一晩で作ると約束。しかし、新井はフリーの造型家・西村浩(片桐仁)の作業場へ向かった。  　十数年前、『丸吉』が限定品で販売し、マニア間では高値で売買される『ミリバール』というロボットフィギュアの贋作が出回る事件があった。西村は、贋作を作り売ったのが新井だというのを嗅ぎ付け、その事実を『丸吉』にばらすと新井をゆすりにかかる。  　新井は持参した本物の『ミリバール』と偽物の交換でけりをつけようとする。だが、あくまで金を要求する西村を思い余って撲殺。そこに小寺が西村の発注した塗料を届けに来た。西村の死体を発見し、パニックで立ち去ってしまう小寺。物陰に身を潜めていた新井はあることを思いつく。  　翌早朝、臨場する石松和夫警部(稲垣吾郎)たち。後から現れた福家警部補(檀れい)に、石松は苦い顔。二岡友成(柄本時生)から殺害状況を聞いた福家の頭の中には多くの疑問が浮かぶのだった。一方、石松たちは西村が最後に電話した小寺に容疑者の目星をつけた。</v>
      </c>
      <c r="N834" s="2"/>
      <c r="O834" s="2"/>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row>
    <row r="835" ht="204.75" customHeight="1">
      <c r="A835" s="1">
        <v>2893.0</v>
      </c>
      <c r="B835" s="2" t="s">
        <v>2666</v>
      </c>
      <c r="C835" s="2">
        <f>IFERROR(__xludf.DUMMYFUNCTION("split(B835,""_"")"),1401.0)</f>
        <v>1401</v>
      </c>
      <c r="D835" s="2" t="str">
        <f>IFERROR(__xludf.DUMMYFUNCTION("""COMPUTED_VALUE"""),"CX")</f>
        <v>CX</v>
      </c>
      <c r="E835" s="2" t="str">
        <f>IFERROR(__xludf.DUMMYFUNCTION("""COMPUTED_VALUE"""),"火21")</f>
        <v>火21</v>
      </c>
      <c r="F835" s="2" t="s">
        <v>2667</v>
      </c>
      <c r="G835" s="2" t="s">
        <v>2677</v>
      </c>
      <c r="H835" s="1">
        <v>4.0</v>
      </c>
      <c r="I835" s="1" t="s">
        <v>14</v>
      </c>
      <c r="J835" s="1" t="s">
        <v>11</v>
      </c>
      <c r="K835" s="2" t="s">
        <v>2678</v>
      </c>
      <c r="L835" s="2" t="s">
        <v>2679</v>
      </c>
      <c r="M835" s="2" t="str">
        <f>IFERROR(__xludf.DUMMYFUNCTION("split(split(K835,""福家警部補(強行犯第十三"",false),""公式LINE"",false)"),"谷元酒造社長・谷元雫(片平なぎさ)はその日、佐藤酒造社長・佐藤一成(清水こう治)を助手席に乗せて車を走らせていた。到着したのは谷元酒造の酒蔵。先祖から受け継いだ酒「月の雫」を守り抜くため雫が心血を注いで守ってきた酒蔵だ。谷元酒造は一切の妥協を許さず、効率よりも品質にこだわり続ける酒造りにこだわってきたが、佐藤酒造から徹底した値引き攻勢にあい、経営は逼迫(ひっぱく)していた。佐藤は谷元酒造を窮地に追い込み、吸収合併してしまおうともくろんでいたのだった。  　雫はそんな佐藤の計画を阻止し、先祖伝来の酒を守るた"&amp;"め佐藤を酒蔵に呼びだし、水がはられたタンクへと突き落とし殺害してしまうのだった。遺体が発見され、鑑識の結果から佐藤は足場から転落し側頭部を強打の後、溺死したと見られていた。が、福家警部補(檀れい)は現場を訪れた時から事故と判断を下すにはおかしい点に気づくのだった。　福家は雫に何度も会い捜査を続ける中で、二人の間には男性社会で闘いながらも、自分の信念のもとプロとしての仕事に徹するという点で、共感のような感情が芽生えていた。福家は雫の真実に迫ることが出来るのか。")</f>
        <v>谷元酒造社長・谷元雫(片平なぎさ)はその日、佐藤酒造社長・佐藤一成(清水こう治)を助手席に乗せて車を走らせていた。到着したのは谷元酒造の酒蔵。先祖から受け継いだ酒「月の雫」を守り抜くため雫が心血を注いで守ってきた酒蔵だ。谷元酒造は一切の妥協を許さず、効率よりも品質にこだわり続ける酒造りにこだわってきたが、佐藤酒造から徹底した値引き攻勢にあい、経営は逼迫(ひっぱく)していた。佐藤は谷元酒造を窮地に追い込み、吸収合併してしまおうともくろんでいたのだった。  　雫はそんな佐藤の計画を阻止し、先祖伝来の酒を守るため佐藤を酒蔵に呼びだし、水がはられたタンクへと突き落とし殺害してしまうのだった。遺体が発見され、鑑識の結果から佐藤は足場から転落し側頭部を強打の後、溺死したと見られていた。が、福家警部補(檀れい)は現場を訪れた時から事故と判断を下すにはおかしい点に気づくのだった。　福家は雫に何度も会い捜査を続ける中で、二人の間には男性社会で闘いながらも、自分の信念のもとプロとしての仕事に徹するという点で、共感のような感情が芽生えていた。福家は雫の真実に迫ることが出来るのか。</v>
      </c>
      <c r="N835" s="2"/>
      <c r="O835" s="2"/>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row>
    <row r="836" ht="204.75" customHeight="1">
      <c r="A836" s="1">
        <v>2894.0</v>
      </c>
      <c r="B836" s="2" t="s">
        <v>2666</v>
      </c>
      <c r="C836" s="2">
        <f>IFERROR(__xludf.DUMMYFUNCTION("split(B836,""_"")"),1401.0)</f>
        <v>1401</v>
      </c>
      <c r="D836" s="2" t="str">
        <f>IFERROR(__xludf.DUMMYFUNCTION("""COMPUTED_VALUE"""),"CX")</f>
        <v>CX</v>
      </c>
      <c r="E836" s="2" t="str">
        <f>IFERROR(__xludf.DUMMYFUNCTION("""COMPUTED_VALUE"""),"火21")</f>
        <v>火21</v>
      </c>
      <c r="F836" s="2" t="s">
        <v>2667</v>
      </c>
      <c r="G836" s="2" t="s">
        <v>2680</v>
      </c>
      <c r="H836" s="1">
        <v>5.0</v>
      </c>
      <c r="I836" s="1" t="s">
        <v>17</v>
      </c>
      <c r="J836" s="1" t="s">
        <v>11</v>
      </c>
      <c r="K836" s="2" t="s">
        <v>2681</v>
      </c>
      <c r="L836" s="2" t="s">
        <v>2682</v>
      </c>
      <c r="M836" s="2" t="str">
        <f>IFERROR(__xludf.DUMMYFUNCTION("split(split(K836,""福家警部補(強行犯第十三"",false),""公式LINE"",false)"),"ベテラン漫才コンビ、京阪のぼり・くだりは、かつてのような人気を失っていた。原因はボケ担当のくだりこと内海珠雄(ほんこん)が“天才""と呼ばれた精彩を欠いたこと。反対に相方の、のぼりこと立石浩二(板尾創路)には、単独仕事の話も来ていた。酔ったまま舞台に上がる内海の傍若無人ぶりに、事務所社長(笑福亭鶴光)やマネジャーの浜本雅志(福田転球)もあきれ果てている。  　ある日、立石は内海にコンビを解散して欲しいと頼む。だが内海は半年待てと強い口調で答える。立石は何か内海に負い目がある様子で、それ以上解散を迫れない。"&amp;"すると立石は漫才を続けるのならば練習をしようと内海をある場所に誘う。  　その夜、郊外の一軒家で立石は内海を待っていた。そこに内海がやってくる。内海は玄関を開けようとするがカギがない。立石があらかじめかすめ取っていたのだ。仕方なく、内海は塀を伝い木に移って2階のベランダの手すりに飛び移る。と、そこに立石がいた。立石は手すりから内海を突き落した。すぐさま立石が様子を見に行くと、内海は虫の息。大きな石をつかみ、とどめを刺そうとする立石に内海は「捨てな」と言い残して息を引き取った。  　翌日、内海の死体が見つか"&amp;"り、警察が状況検分。石松和夫警部(稲垣吾郎)らは事故による転落死と見るのだが、福家警部補(檀れい)は玄関内に落ちていたチラシ、そして玄関先の植木鉢の下に隠してあった合鍵に疑問を持つ。")</f>
        <v>ベテラン漫才コンビ、京阪のぼり・くだりは、かつてのような人気を失っていた。原因はボケ担当のくだりこと内海珠雄(ほんこん)が“天才"と呼ばれた精彩を欠いたこと。反対に相方の、のぼりこと立石浩二(板尾創路)には、単独仕事の話も来ていた。酔ったまま舞台に上がる内海の傍若無人ぶりに、事務所社長(笑福亭鶴光)やマネジャーの浜本雅志(福田転球)もあきれ果てている。  　ある日、立石は内海にコンビを解散して欲しいと頼む。だが内海は半年待てと強い口調で答える。立石は何か内海に負い目がある様子で、それ以上解散を迫れない。すると立石は漫才を続けるのならば練習をしようと内海をある場所に誘う。  　その夜、郊外の一軒家で立石は内海を待っていた。そこに内海がやってくる。内海は玄関を開けようとするがカギがない。立石があらかじめかすめ取っていたのだ。仕方なく、内海は塀を伝い木に移って2階のベランダの手すりに飛び移る。と、そこに立石がいた。立石は手すりから内海を突き落した。すぐさま立石が様子を見に行くと、内海は虫の息。大きな石をつかみ、とどめを刺そうとする立石に内海は「捨てな」と言い残して息を引き取った。  　翌日、内海の死体が見つかり、警察が状況検分。石松和夫警部(稲垣吾郎)らは事故による転落死と見るのだが、福家警部補(檀れい)は玄関内に落ちていたチラシ、そして玄関先の植木鉢の下に隠してあった合鍵に疑問を持つ。</v>
      </c>
      <c r="N836" s="2"/>
      <c r="O836" s="2"/>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row>
    <row r="837" ht="204.75" customHeight="1">
      <c r="A837" s="1">
        <v>2895.0</v>
      </c>
      <c r="B837" s="2" t="s">
        <v>2666</v>
      </c>
      <c r="C837" s="2">
        <f>IFERROR(__xludf.DUMMYFUNCTION("split(B837,""_"")"),1401.0)</f>
        <v>1401</v>
      </c>
      <c r="D837" s="2" t="str">
        <f>IFERROR(__xludf.DUMMYFUNCTION("""COMPUTED_VALUE"""),"CX")</f>
        <v>CX</v>
      </c>
      <c r="E837" s="2" t="str">
        <f>IFERROR(__xludf.DUMMYFUNCTION("""COMPUTED_VALUE"""),"火21")</f>
        <v>火21</v>
      </c>
      <c r="F837" s="2" t="s">
        <v>2667</v>
      </c>
      <c r="G837" s="2" t="s">
        <v>2683</v>
      </c>
      <c r="H837" s="1">
        <v>6.0</v>
      </c>
      <c r="I837" s="1" t="s">
        <v>21</v>
      </c>
      <c r="J837" s="1" t="s">
        <v>11</v>
      </c>
      <c r="K837" s="2" t="s">
        <v>2684</v>
      </c>
      <c r="L837" s="2" t="s">
        <v>2685</v>
      </c>
      <c r="M837" s="2" t="str">
        <f>IFERROR(__xludf.DUMMYFUNCTION("split(split(K837,""福家警部補(強行犯第十三"",false),""公式LINE"",false)"),"映画『東京ローズ』の出演者オーディションを間近に控えたある日。女優の小野木マリ(若村麻由美)は、同じく女優の柿沼恵美(黒沢あすか)のマンションにいた。恵美はマリに数枚の写真を見せる。写真には『東京ローズ』のプロデューサー二階堂道義(アラキマキヒコ)とマリの熱愛現場が写っていた。恵美はこの写真を公にすると脅し、『東京ローズ』オーディションから降りるようマリに迫るのだった。追いつめられたマリは恵美を自殺に見せかけ殺害してしまう。  　恵美のマンション下を通りかかったカップルが転落する恵美を目撃し、彼らの通報で"&amp;"警察が駆けつける。二岡友成(柄本時生)が鑑識作業をしていると福家警部補(檀れい)が現れた。恵美の部屋に遺書があり、部屋には鍵がかかっていた。自殺のように思われるが福家は、恵美の部屋に残されたさまざまな痕跡や恵美が飼っている文鳥、さらにはテレビの下にあるレコーダーの録画検索ワードに、小野木マリの名前が登録されていることを確認し自殺に疑問を持つのだった・・・。")</f>
        <v>映画『東京ローズ』の出演者オーディションを間近に控えたある日。女優の小野木マリ(若村麻由美)は、同じく女優の柿沼恵美(黒沢あすか)のマンションにいた。恵美はマリに数枚の写真を見せる。写真には『東京ローズ』のプロデューサー二階堂道義(アラキマキヒコ)とマリの熱愛現場が写っていた。恵美はこの写真を公にすると脅し、『東京ローズ』オーディションから降りるようマリに迫るのだった。追いつめられたマリは恵美を自殺に見せかけ殺害してしまう。  　恵美のマンション下を通りかかったカップルが転落する恵美を目撃し、彼らの通報で警察が駆けつける。二岡友成(柄本時生)が鑑識作業をしていると福家警部補(檀れい)が現れた。恵美の部屋に遺書があり、部屋には鍵がかかっていた。自殺のように思われるが福家は、恵美の部屋に残されたさまざまな痕跡や恵美が飼っている文鳥、さらにはテレビの下にあるレコーダーの録画検索ワードに、小野木マリの名前が登録されていることを確認し自殺に疑問を持つのだった・・・。</v>
      </c>
      <c r="N837" s="2"/>
      <c r="O837" s="2"/>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row>
    <row r="838" ht="204.75" customHeight="1">
      <c r="A838" s="1">
        <v>2896.0</v>
      </c>
      <c r="B838" s="2" t="s">
        <v>2666</v>
      </c>
      <c r="C838" s="2">
        <f>IFERROR(__xludf.DUMMYFUNCTION("split(B838,""_"")"),1401.0)</f>
        <v>1401</v>
      </c>
      <c r="D838" s="2" t="str">
        <f>IFERROR(__xludf.DUMMYFUNCTION("""COMPUTED_VALUE"""),"CX")</f>
        <v>CX</v>
      </c>
      <c r="E838" s="2" t="str">
        <f>IFERROR(__xludf.DUMMYFUNCTION("""COMPUTED_VALUE"""),"火21")</f>
        <v>火21</v>
      </c>
      <c r="F838" s="2" t="s">
        <v>2667</v>
      </c>
      <c r="G838" s="2" t="s">
        <v>2686</v>
      </c>
      <c r="H838" s="1">
        <v>7.0</v>
      </c>
      <c r="I838" s="1" t="s">
        <v>25</v>
      </c>
      <c r="J838" s="1" t="s">
        <v>11</v>
      </c>
      <c r="K838" s="2" t="s">
        <v>2687</v>
      </c>
      <c r="L838" s="2" t="s">
        <v>2688</v>
      </c>
      <c r="M838" s="2" t="str">
        <f>IFERROR(__xludf.DUMMYFUNCTION("split(split(K838,""福家警部補(強行犯第十三"",false),""公式LINE"",false)"),"城北大学の近辺で、黒ずくめの服装で被害者を襲う強盗事件が多発。大学でも学生や教授に事件に対する注意を喚起していた。  　そんなある日、城北法科学科特任教授の柳田嘉文(古谷一行)は、元教え子で同じ大学の講師、池内国雄(みのすけ)の研究室を訪ねる。柳田は、池内に弱みを握られ、警察庁科学警察研究所への推薦を頼まれていた。約束通り推薦したことを伝える柳田。しかし、池内は今後も柳田を利用するため、柳田の弱みの証拠のディスクを返さなかった。その夜、柳田は黒ずくめの衣装で池内を待ち伏せ、殺害してしまう。  　池内の死体"&amp;"は、数時間後に発見され警察の捜査が始まる。陣頭指揮に立つ石松和夫警部(稲垣吾郎)たちは、これまでに発生した一連の強盗事件容疑者による犯行と目星をつけた。しかし、福家警部補(檀れい)は石松の指示に従わず、どこかへ向かってしまう。  　福家は城北大学にある池内の研究室へ。そこに、柳田がやって来る。福家は池内の所持品のキーリングに「自宅」とシールが貼られた鍵が1本だけがあったことに疑問を持っていた。「自宅」と区別する以上は、同じような鍵が別にあったのではないかと、思い当たる。  　その件をはじめ、不審な点を見つ"&amp;"けた福家は池内を教えていた柳田に直接話を聞くことにする。そして、福家は何者かが池内の研究室に寸前に入った痕跡に気づく。実は直前まで柳田が証拠を隠滅していたのだった。")</f>
        <v>城北大学の近辺で、黒ずくめの服装で被害者を襲う強盗事件が多発。大学でも学生や教授に事件に対する注意を喚起していた。  　そんなある日、城北法科学科特任教授の柳田嘉文(古谷一行)は、元教え子で同じ大学の講師、池内国雄(みのすけ)の研究室を訪ねる。柳田は、池内に弱みを握られ、警察庁科学警察研究所への推薦を頼まれていた。約束通り推薦したことを伝える柳田。しかし、池内は今後も柳田を利用するため、柳田の弱みの証拠のディスクを返さなかった。その夜、柳田は黒ずくめの衣装で池内を待ち伏せ、殺害してしまう。  　池内の死体は、数時間後に発見され警察の捜査が始まる。陣頭指揮に立つ石松和夫警部(稲垣吾郎)たちは、これまでに発生した一連の強盗事件容疑者による犯行と目星をつけた。しかし、福家警部補(檀れい)は石松の指示に従わず、どこかへ向かってしまう。  　福家は城北大学にある池内の研究室へ。そこに、柳田がやって来る。福家は池内の所持品のキーリングに「自宅」とシールが貼られた鍵が1本だけがあったことに疑問を持っていた。「自宅」と区別する以上は、同じような鍵が別にあったのではないかと、思い当たる。  　その件をはじめ、不審な点を見つけた福家は池内を教えていた柳田に直接話を聞くことにする。そして、福家は何者かが池内の研究室に寸前に入った痕跡に気づく。実は直前まで柳田が証拠を隠滅していたのだった。</v>
      </c>
      <c r="N838" s="2"/>
      <c r="O838" s="2"/>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row>
    <row r="839" ht="204.75" customHeight="1">
      <c r="A839" s="1">
        <v>2897.0</v>
      </c>
      <c r="B839" s="2" t="s">
        <v>2666</v>
      </c>
      <c r="C839" s="2">
        <f>IFERROR(__xludf.DUMMYFUNCTION("split(B839,""_"")"),1401.0)</f>
        <v>1401</v>
      </c>
      <c r="D839" s="2" t="str">
        <f>IFERROR(__xludf.DUMMYFUNCTION("""COMPUTED_VALUE"""),"CX")</f>
        <v>CX</v>
      </c>
      <c r="E839" s="2" t="str">
        <f>IFERROR(__xludf.DUMMYFUNCTION("""COMPUTED_VALUE"""),"火21")</f>
        <v>火21</v>
      </c>
      <c r="F839" s="2" t="s">
        <v>2667</v>
      </c>
      <c r="G839" s="2" t="s">
        <v>2689</v>
      </c>
      <c r="H839" s="1">
        <v>8.0</v>
      </c>
      <c r="I839" s="1" t="s">
        <v>29</v>
      </c>
      <c r="J839" s="1" t="s">
        <v>11</v>
      </c>
      <c r="K839" s="2" t="s">
        <v>2690</v>
      </c>
      <c r="L839" s="8" t="s">
        <v>2691</v>
      </c>
      <c r="M839" s="2" t="str">
        <f>IFERROR(__xludf.DUMMYFUNCTION("split(split(K839,""福家警部補(強行犯第十三"",false),""公式LINE"",false)"),"4件の連続強盗事件が続くなか、ついに5件目で、死亡者が出たとあって警察の威信にかけた捜査が続いていた。  　福家警部補(檀れい)は真犯人は、城北大学法科学科特任教授・柳田嘉文(古谷一行)と見て捜査を続けていたが確証が得られないまま、5件すべての事件の犯人は今井圭三(柳憂怜)と断定される。しかし彼は遺体で発見され、事件は終着する。  　福家は捜査を継続しようとするが、これ以上同事件に関わることを許さないと石松警部(稲垣吾郎)に言われてしまう。  　一方、石松も今井が犯人であることを証明する揺るぎない物証が次"&amp;"々と出てくるため、逆に今井が犯人であるのか疑問を持ち始めていた。  　福家が捜査から離れ、二岡鑑識係(柄本時生)らは、福家が警察を辞めてしまうのではと心配しながら、今井の所持品の捜査を続けていた。  　だが、福家がここで引き下がるはずはなかった。福家は柳田教授が徹底して証拠を隠滅しているはずで、殺害された被害者・池内国雄の研究室には証拠はないと考える。そして福家は23年前に亡くなった柳田の妻の実家を訪れ、話を聞いていたのだった。毎週「番組特製グッズが当たる!オンエアクイズ」を実施します!  詳しくは番組ホ"&amp;"ームページをご覧ください。  http://www.fujitv.co.jp/fukuie/index.html")</f>
        <v>4件の連続強盗事件が続くなか、ついに5件目で、死亡者が出たとあって警察の威信にかけた捜査が続いていた。  　福家警部補(檀れい)は真犯人は、城北大学法科学科特任教授・柳田嘉文(古谷一行)と見て捜査を続けていたが確証が得られないまま、5件すべての事件の犯人は今井圭三(柳憂怜)と断定される。しかし彼は遺体で発見され、事件は終着する。  　福家は捜査を継続しようとするが、これ以上同事件に関わることを許さないと石松警部(稲垣吾郎)に言われてしまう。  　一方、石松も今井が犯人であることを証明する揺るぎない物証が次々と出てくるため、逆に今井が犯人であるのか疑問を持ち始めていた。  　福家が捜査から離れ、二岡鑑識係(柄本時生)らは、福家が警察を辞めてしまうのではと心配しながら、今井の所持品の捜査を続けていた。  　だが、福家がここで引き下がるはずはなかった。福家は柳田教授が徹底して証拠を隠滅しているはずで、殺害された被害者・池内国雄の研究室には証拠はないと考える。そして福家は23年前に亡くなった柳田の妻の実家を訪れ、話を聞いていたのだった。毎週「番組特製グッズが当たる!オンエアクイズ」を実施します!  詳しくは番組ホームページをご覧ください。  http://www.fujitv.co.jp/fukuie/index.html</v>
      </c>
      <c r="N839" s="2"/>
      <c r="O839" s="2"/>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row>
    <row r="840" ht="204.75" customHeight="1">
      <c r="A840" s="1">
        <v>2898.0</v>
      </c>
      <c r="B840" s="2" t="s">
        <v>2666</v>
      </c>
      <c r="C840" s="2">
        <f>IFERROR(__xludf.DUMMYFUNCTION("split(B840,""_"")"),1401.0)</f>
        <v>1401</v>
      </c>
      <c r="D840" s="2" t="str">
        <f>IFERROR(__xludf.DUMMYFUNCTION("""COMPUTED_VALUE"""),"CX")</f>
        <v>CX</v>
      </c>
      <c r="E840" s="2" t="str">
        <f>IFERROR(__xludf.DUMMYFUNCTION("""COMPUTED_VALUE"""),"火21")</f>
        <v>火21</v>
      </c>
      <c r="F840" s="2" t="s">
        <v>2667</v>
      </c>
      <c r="G840" s="2" t="s">
        <v>2692</v>
      </c>
      <c r="H840" s="1">
        <v>9.0</v>
      </c>
      <c r="I840" s="1" t="s">
        <v>33</v>
      </c>
      <c r="J840" s="1" t="s">
        <v>11</v>
      </c>
      <c r="K840" s="2" t="s">
        <v>2693</v>
      </c>
      <c r="L840" s="2" t="s">
        <v>2694</v>
      </c>
      <c r="M840" s="2" t="str">
        <f>IFERROR(__xludf.DUMMYFUNCTION("split(split(K840,""福家警部補(強行犯第十三"",false),""公式LINE"",false)"),"ここは聖南総合病院救命センターの初療室。今は稼働しておらず、備品置き場になっている。  　ある晩、その場所に入ってきたのは、聖南総合病院・外科部長の森本和弘(長谷川公彦)。しかし、彼はこの後死体となって発見されることになる。  　同じ備品置き場にやってきたのは先日、同病院に配属されたばかりと語る眼科医の木原幸信(林遣都)、そして丸山陽子(室井滋)。さらに少し時間をおいて荒川勉(きたろう)が黒い大きなかばんを持って入ってきた。お互い不審人物ではと疑う中、ふいにその隅に、白い布を被った森本医師の死体を発見する"&amp;"。驚きおののく3人のところへさらに福家警部補(檀れい)が入ってくる。遺体に驚きながらも皆に現場を保持するべく動かないよう指示を出す。しかし、刑事であることを証明するものを福家は持っていなかった。同僚の見舞いに来て手洗いに出た後、迷いこんでしまったと説明するが、警察手帳も持たず、いつも通り全く刑事らしくないいでたちのため、誰も福家が刑事だと信じてくれない。かばんを置いてきてしまったため福家は携帯電話も持っていない。その場で唯一携帯電話を持っていた木原が警察に連絡をする。しかし、一向に警察は現れない。福家は3"&amp;"人に質問を重ね、推理を始めるが、他の3人は刑事であるとは信じず、福家は妄想の激しい人間と扱われてしまう。  　福家はこの前代未聞の事態をどうやって切り抜け、真実に迫ることができるのか。")</f>
        <v>ここは聖南総合病院救命センターの初療室。今は稼働しておらず、備品置き場になっている。  　ある晩、その場所に入ってきたのは、聖南総合病院・外科部長の森本和弘(長谷川公彦)。しかし、彼はこの後死体となって発見されることになる。  　同じ備品置き場にやってきたのは先日、同病院に配属されたばかりと語る眼科医の木原幸信(林遣都)、そして丸山陽子(室井滋)。さらに少し時間をおいて荒川勉(きたろう)が黒い大きなかばんを持って入ってきた。お互い不審人物ではと疑う中、ふいにその隅に、白い布を被った森本医師の死体を発見する。驚きおののく3人のところへさらに福家警部補(檀れい)が入ってくる。遺体に驚きながらも皆に現場を保持するべく動かないよう指示を出す。しかし、刑事であることを証明するものを福家は持っていなかった。同僚の見舞いに来て手洗いに出た後、迷いこんでしまったと説明するが、警察手帳も持たず、いつも通り全く刑事らしくないいでたちのため、誰も福家が刑事だと信じてくれない。かばんを置いてきてしまったため福家は携帯電話も持っていない。その場で唯一携帯電話を持っていた木原が警察に連絡をする。しかし、一向に警察は現れない。福家は3人に質問を重ね、推理を始めるが、他の3人は刑事であるとは信じず、福家は妄想の激しい人間と扱われてしまう。  　福家はこの前代未聞の事態をどうやって切り抜け、真実に迫ることができるのか。</v>
      </c>
      <c r="N840" s="2"/>
      <c r="O840" s="2"/>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row>
    <row r="841" ht="204.75" customHeight="1">
      <c r="A841" s="1">
        <v>2899.0</v>
      </c>
      <c r="B841" s="2" t="s">
        <v>2666</v>
      </c>
      <c r="C841" s="2">
        <f>IFERROR(__xludf.DUMMYFUNCTION("split(B841,""_"")"),1401.0)</f>
        <v>1401</v>
      </c>
      <c r="D841" s="2" t="str">
        <f>IFERROR(__xludf.DUMMYFUNCTION("""COMPUTED_VALUE"""),"CX")</f>
        <v>CX</v>
      </c>
      <c r="E841" s="2" t="str">
        <f>IFERROR(__xludf.DUMMYFUNCTION("""COMPUTED_VALUE"""),"火21")</f>
        <v>火21</v>
      </c>
      <c r="F841" s="2" t="s">
        <v>2667</v>
      </c>
      <c r="G841" s="2" t="s">
        <v>2695</v>
      </c>
      <c r="H841" s="1">
        <v>10.0</v>
      </c>
      <c r="I841" s="1" t="s">
        <v>37</v>
      </c>
      <c r="J841" s="1" t="s">
        <v>11</v>
      </c>
      <c r="K841" s="2" t="s">
        <v>2696</v>
      </c>
      <c r="L841" s="2" t="s">
        <v>2697</v>
      </c>
      <c r="M841" s="2" t="str">
        <f>IFERROR(__xludf.DUMMYFUNCTION("split(split(K841,""福家警部補(強行犯第十三"",false),""公式LINE"",false)"),"菅村巽(岩城滉一)はかつて菅村組三代目組長の婿養子として四代目組長を務めていたが、三代目の娘でもある自身の妻が組同士の抗争に巻き込まれ、失ってしまう。娘を失った三代目は組を解散することを決定。その言葉に従い菅村は組をたたみ、警備会社をたちあげ組員たちを社員として働かせて1年が経とうとしていた。  　そんな四代目を不甲斐なく思った元組員たちがいた。そのひとり、元若頭の遠藤次郎(デビット伊東)は組の復活という要求を菅村にのませるために菅村の長女・菅村比奈(吉田里琴)を誘拐してしまう。だが、遠藤の本当の狙いは組"&amp;"復活によって麻薬の販売ルートを確保することだった。  　菅村は娘とカタギとなった元組員たちを守るため、ある手段をとる。菅村は遠藤とつながる元組員・金沢肇(米村亮太朗)を利用して遠藤に会いに行き、そこで一気に遠藤と金沢を殺害。菅村は、誘拐犯たちが仲間割れにより起こした殺害事件と見せかけることに成功した、はずだった。  　事件現場に駆けつけた福家警部補(檀れい)を石松和夫警部(稲垣吾郎)は制止することなく事件の担当を命じる。というのも、田所勉警部補(中本賢)が凄惨を極める事件現場を正視することもできない状況だ"&amp;"ったからだ。悲惨な状況に福家は一切動じない。そんな福家の様子を見るにつけ石松は彼女の過去に何があったのかを探らずにはいられないのだった。福家の過去がついに明らかになる時がくるのか…。")</f>
        <v>菅村巽(岩城滉一)はかつて菅村組三代目組長の婿養子として四代目組長を務めていたが、三代目の娘でもある自身の妻が組同士の抗争に巻き込まれ、失ってしまう。娘を失った三代目は組を解散することを決定。その言葉に従い菅村は組をたたみ、警備会社をたちあげ組員たちを社員として働かせて1年が経とうとしていた。  　そんな四代目を不甲斐なく思った元組員たちがいた。そのひとり、元若頭の遠藤次郎(デビット伊東)は組の復活という要求を菅村にのませるために菅村の長女・菅村比奈(吉田里琴)を誘拐してしまう。だが、遠藤の本当の狙いは組復活によって麻薬の販売ルートを確保することだった。  　菅村は娘とカタギとなった元組員たちを守るため、ある手段をとる。菅村は遠藤とつながる元組員・金沢肇(米村亮太朗)を利用して遠藤に会いに行き、そこで一気に遠藤と金沢を殺害。菅村は、誘拐犯たちが仲間割れにより起こした殺害事件と見せかけることに成功した、はずだった。  　事件現場に駆けつけた福家警部補(檀れい)を石松和夫警部(稲垣吾郎)は制止することなく事件の担当を命じる。というのも、田所勉警部補(中本賢)が凄惨を極める事件現場を正視することもできない状況だったからだ。悲惨な状況に福家は一切動じない。そんな福家の様子を見るにつけ石松は彼女の過去に何があったのかを探らずにはいられないのだった。福家の過去がついに明らかになる時がくるのか…。</v>
      </c>
      <c r="N841" s="2"/>
      <c r="O841" s="2"/>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row>
    <row r="842" ht="204.75" customHeight="1">
      <c r="A842" s="1">
        <v>2900.0</v>
      </c>
      <c r="B842" s="2" t="s">
        <v>2666</v>
      </c>
      <c r="C842" s="2">
        <f>IFERROR(__xludf.DUMMYFUNCTION("split(B842,""_"")"),1401.0)</f>
        <v>1401</v>
      </c>
      <c r="D842" s="2" t="str">
        <f>IFERROR(__xludf.DUMMYFUNCTION("""COMPUTED_VALUE"""),"CX")</f>
        <v>CX</v>
      </c>
      <c r="E842" s="2" t="str">
        <f>IFERROR(__xludf.DUMMYFUNCTION("""COMPUTED_VALUE"""),"火21")</f>
        <v>火21</v>
      </c>
      <c r="F842" s="2" t="s">
        <v>2667</v>
      </c>
      <c r="G842" s="2" t="s">
        <v>2698</v>
      </c>
      <c r="H842" s="1">
        <v>11.0</v>
      </c>
      <c r="I842" s="1" t="s">
        <v>41</v>
      </c>
      <c r="J842" s="1" t="s">
        <v>11</v>
      </c>
      <c r="K842" s="2" t="s">
        <v>2699</v>
      </c>
      <c r="L842" s="2" t="s">
        <v>2700</v>
      </c>
      <c r="M842" s="2" t="str">
        <f>IFERROR(__xludf.DUMMYFUNCTION("split(split(K842,""福家警部補(強行犯第十三"",false),""公式LINE"",false)"),"車椅子の老女、後藤喜子(八千草薫)がミカンを落とし、通りがかりの男、網山聡(松本実)に拾ってもらう。その間に、老人、後藤秀治(山本學)が網山の持っていた黒かばんと用意していた黒かばんをすり替えた。その後、合流した喜子と秀治。二人は実は夫婦であった。二人は静かに近くの喫茶店へ場所を移す。  　一方、網山は宝石店強盗殺人事件の犯人グループの一人で、この黒かばんを持ったまま、仲間と次の犯罪計画を練っていた。そのとき、すり替えられたかばんに入っていた爆弾がさく裂する。犯人たちは、この爆発で全員即死してしまった。 "&amp;" 　野次馬でごった返す爆発現場に駆けつけた福家警部補(檀れい)は、車いすに乗った喜子とぶつかってしまう。この出会いがすべての始まりだった。福家は爆破が起きた際、近くの喫茶店に老夫婦がいたとの証言を得て後藤夫婦の家を訪ねる。この老夫婦に違和感を覚えていたのだ。そんな福家の訪問を夫の秀治はいぶかしむ。だが、喜子はどこかうれしそうに応対していた。  　一方、石松和夫警部(稲垣吾郎)は、福家のこれまでの経歴を把握し、処遇についてある決断をし、告げる。福家は意外な反応をするが…。なぜ自ら捜査一課に異動して来たのか。"&amp;"自身の口から、あることが語られようとしていた。  　福家自らの過去と重なる老夫婦の悲しき犯行。彼女にとって過去最大の捜査が始まろうとしていた。")</f>
        <v>車椅子の老女、後藤喜子(八千草薫)がミカンを落とし、通りがかりの男、網山聡(松本実)に拾ってもらう。その間に、老人、後藤秀治(山本學)が網山の持っていた黒かばんと用意していた黒かばんをすり替えた。その後、合流した喜子と秀治。二人は実は夫婦であった。二人は静かに近くの喫茶店へ場所を移す。  　一方、網山は宝石店強盗殺人事件の犯人グループの一人で、この黒かばんを持ったまま、仲間と次の犯罪計画を練っていた。そのとき、すり替えられたかばんに入っていた爆弾がさく裂する。犯人たちは、この爆発で全員即死してしまった。  　野次馬でごった返す爆発現場に駆けつけた福家警部補(檀れい)は、車いすに乗った喜子とぶつかってしまう。この出会いがすべての始まりだった。福家は爆破が起きた際、近くの喫茶店に老夫婦がいたとの証言を得て後藤夫婦の家を訪ねる。この老夫婦に違和感を覚えていたのだ。そんな福家の訪問を夫の秀治はいぶかしむ。だが、喜子はどこかうれしそうに応対していた。  　一方、石松和夫警部(稲垣吾郎)は、福家のこれまでの経歴を把握し、処遇についてある決断をし、告げる。福家は意外な反応をするが…。なぜ自ら捜査一課に異動して来たのか。自身の口から、あることが語られようとしていた。  　福家自らの過去と重なる老夫婦の悲しき犯行。彼女にとって過去最大の捜査が始まろうとしていた。</v>
      </c>
      <c r="N842" s="2"/>
      <c r="O842" s="2"/>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row>
    <row r="843" ht="204.75" customHeight="1">
      <c r="A843" s="1">
        <v>2901.0</v>
      </c>
      <c r="B843" s="2" t="s">
        <v>2701</v>
      </c>
      <c r="C843" s="2">
        <f>IFERROR(__xludf.DUMMYFUNCTION("split(B843,""_"")"),1401.0)</f>
        <v>1401</v>
      </c>
      <c r="D843" s="2" t="str">
        <f>IFERROR(__xludf.DUMMYFUNCTION("""COMPUTED_VALUE"""),"CX")</f>
        <v>CX</v>
      </c>
      <c r="E843" s="2" t="str">
        <f>IFERROR(__xludf.DUMMYFUNCTION("""COMPUTED_VALUE"""),"火22")</f>
        <v>火22</v>
      </c>
      <c r="F843" s="2" t="s">
        <v>2702</v>
      </c>
      <c r="G843" s="2" t="s">
        <v>2703</v>
      </c>
      <c r="H843" s="1">
        <v>1.0</v>
      </c>
      <c r="I843" s="1" t="s">
        <v>3</v>
      </c>
      <c r="J843" s="1" t="s">
        <v>82</v>
      </c>
      <c r="K843" s="4" t="s">
        <v>2704</v>
      </c>
      <c r="L843" s="2" t="s">
        <v>2705</v>
      </c>
      <c r="M843" s="2" t="str">
        <f>IFERROR(__xludf.DUMMYFUNCTION("split(split(K843,""伊藤淳史　"",false),""公式LINE"",false)"),"東城医大病院心療内科の特別愁訴外来担当医・田口公平(伊藤淳史)は、ある日、病院長の高階権太(林隆三)の命を受け、地方の総合病院「碧翠院」へ派遣される。碧翠院では、回復の見込みがない患者の痛みを緩和し、積極的延命治療よりQOL(生活の質)を高めることを尊重する“終末期医療""に取り組んでおり、院長の桜宮巌雄(柳葉敏郎)は周辺の死因不明遺体の検死を一手に引き受ける警察医も兼務。2人の娘とともに患者たちから絶大な信頼を得ており、碧翠院を町の人にとってなくてはならない病院に築き上げた。  　到着した田口を出迎えた"&amp;"のは、巌雄の長女で、同院の緩和ケア医でもある桜宮小百合(水野美紀)。そして、次女で産婦人科医の桜宮すみれ(栗山千明)。さらに、そこにはなぜか、厚生労働省の官僚である自らの立場を隠し、皮膚科医として患者を治療する白衣の白鳥圭輔(仲村トオル)の姿もあった。　驚く田口をよそに、ある思惑を抱いて病院に潜入していた白鳥は、久しぶりに碧翠院を訪れたという放射線科医の立花善次(宅間孝行)に声をかけられる。これから桜宮一族に会いに行くという立花は、「この病院で行われていることは重罪だ」と白鳥に告げ、2人は後ほど会う約束を"&amp;"交わす。しかし、時間になっても一向に姿を見せない立花。不思議に思った白鳥が立花について調べると、思わぬ事実が発覚して…。")</f>
        <v>東城医大病院心療内科の特別愁訴外来担当医・田口公平(伊藤淳史)は、ある日、病院長の高階権太(林隆三)の命を受け、地方の総合病院「碧翠院」へ派遣される。碧翠院では、回復の見込みがない患者の痛みを緩和し、積極的延命治療よりQOL(生活の質)を高めることを尊重する“終末期医療"に取り組んでおり、院長の桜宮巌雄(柳葉敏郎)は周辺の死因不明遺体の検死を一手に引き受ける警察医も兼務。2人の娘とともに患者たちから絶大な信頼を得ており、碧翠院を町の人にとってなくてはならない病院に築き上げた。  　到着した田口を出迎えたのは、巌雄の長女で、同院の緩和ケア医でもある桜宮小百合(水野美紀)。そして、次女で産婦人科医の桜宮すみれ(栗山千明)。さらに、そこにはなぜか、厚生労働省の官僚である自らの立場を隠し、皮膚科医として患者を治療する白衣の白鳥圭輔(仲村トオル)の姿もあった。　驚く田口をよそに、ある思惑を抱いて病院に潜入していた白鳥は、久しぶりに碧翠院を訪れたという放射線科医の立花善次(宅間孝行)に声をかけられる。これから桜宮一族に会いに行くという立花は、「この病院で行われていることは重罪だ」と白鳥に告げ、2人は後ほど会う約束を交わす。しかし、時間になっても一向に姿を見せない立花。不思議に思った白鳥が立花について調べると、思わぬ事実が発覚して…。</v>
      </c>
      <c r="N843" s="2"/>
      <c r="O843" s="2"/>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row>
    <row r="844" ht="204.75" customHeight="1">
      <c r="A844" s="1">
        <v>2902.0</v>
      </c>
      <c r="B844" s="2" t="s">
        <v>2701</v>
      </c>
      <c r="C844" s="2">
        <f>IFERROR(__xludf.DUMMYFUNCTION("split(B844,""_"")"),1401.0)</f>
        <v>1401</v>
      </c>
      <c r="D844" s="2" t="str">
        <f>IFERROR(__xludf.DUMMYFUNCTION("""COMPUTED_VALUE"""),"CX")</f>
        <v>CX</v>
      </c>
      <c r="E844" s="2" t="str">
        <f>IFERROR(__xludf.DUMMYFUNCTION("""COMPUTED_VALUE"""),"火22")</f>
        <v>火22</v>
      </c>
      <c r="F844" s="2" t="s">
        <v>2702</v>
      </c>
      <c r="G844" s="2" t="s">
        <v>2706</v>
      </c>
      <c r="H844" s="1">
        <v>2.0</v>
      </c>
      <c r="I844" s="1" t="s">
        <v>7</v>
      </c>
      <c r="J844" s="1" t="s">
        <v>82</v>
      </c>
      <c r="K844" s="2" t="s">
        <v>2707</v>
      </c>
      <c r="L844" s="2" t="s">
        <v>2708</v>
      </c>
      <c r="M844" s="2" t="str">
        <f>IFERROR(__xludf.DUMMYFUNCTION("split(split(K844,""伊藤淳史　"",false),""公式LINE"",false)"),"田口(伊藤淳史)は、碧翠院に「螺鈿の部屋」という、死が迫った患者のみ入れる特別な部屋があることを入院患者たちから聞き出す。巌雄(柳葉敏郎)が家族ぐるみで、その部屋に失踪した立花(宅間孝行)を隠しているのではと考えた白鳥(仲村トオル)は、小百合(水野美紀)に疑心を突き付けて鍵を開けさせ、部屋の中へ。するとそこには、黙々と螺鈿細工を作る小百合の母・華緒(相築あきこ)の姿があった。やがて、部屋を出た白鳥の携帯電話に一通のメールが届く。差出人は“タチバナ""と名乗る人物。メールには、太股と手のCT画像が添付されて"&amp;"おり、東城医大放射線科の島津(安田顕)に見てもらうと、画像はおそらく死後に撮影されたもので、男性の可能性が高いという。はたして失踪中の立花からのメールか、それとも誰かが立花になりすまして送ってきているのか…?その頃、碧翠院では入院患者のトク(佐々木すみ江)の容体が悪化。トクは苦しみに耐えながらも、立花と小百合が会っていたのを目撃したことは秘密にすると小百合に告げる。一方、白鳥は長野に出向き、立花の自宅で古い写真を発見。そこには、立花と小百合、すみれ(栗山千明)のほかに、見知らぬ少年が写っていてーー。")</f>
        <v>田口(伊藤淳史)は、碧翠院に「螺鈿の部屋」という、死が迫った患者のみ入れる特別な部屋があることを入院患者たちから聞き出す。巌雄(柳葉敏郎)が家族ぐるみで、その部屋に失踪した立花(宅間孝行)を隠しているのではと考えた白鳥(仲村トオル)は、小百合(水野美紀)に疑心を突き付けて鍵を開けさせ、部屋の中へ。するとそこには、黙々と螺鈿細工を作る小百合の母・華緒(相築あきこ)の姿があった。やがて、部屋を出た白鳥の携帯電話に一通のメールが届く。差出人は“タチバナ"と名乗る人物。メールには、太股と手のCT画像が添付されており、東城医大放射線科の島津(安田顕)に見てもらうと、画像はおそらく死後に撮影されたもので、男性の可能性が高いという。はたして失踪中の立花からのメールか、それとも誰かが立花になりすまして送ってきているのか…?その頃、碧翠院では入院患者のトク(佐々木すみ江)の容体が悪化。トクは苦しみに耐えながらも、立花と小百合が会っていたのを目撃したことは秘密にすると小百合に告げる。一方、白鳥は長野に出向き、立花の自宅で古い写真を発見。そこには、立花と小百合、すみれ(栗山千明)のほかに、見知らぬ少年が写っていてーー。</v>
      </c>
      <c r="N844" s="2"/>
      <c r="O844" s="2"/>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row>
    <row r="845" ht="204.75" customHeight="1">
      <c r="A845" s="1">
        <v>2903.0</v>
      </c>
      <c r="B845" s="2" t="s">
        <v>2701</v>
      </c>
      <c r="C845" s="2">
        <f>IFERROR(__xludf.DUMMYFUNCTION("split(B845,""_"")"),1401.0)</f>
        <v>1401</v>
      </c>
      <c r="D845" s="2" t="str">
        <f>IFERROR(__xludf.DUMMYFUNCTION("""COMPUTED_VALUE"""),"CX")</f>
        <v>CX</v>
      </c>
      <c r="E845" s="2" t="str">
        <f>IFERROR(__xludf.DUMMYFUNCTION("""COMPUTED_VALUE"""),"火22")</f>
        <v>火22</v>
      </c>
      <c r="F845" s="2" t="s">
        <v>2702</v>
      </c>
      <c r="G845" s="2" t="s">
        <v>2709</v>
      </c>
      <c r="H845" s="1">
        <v>3.0</v>
      </c>
      <c r="I845" s="1" t="s">
        <v>10</v>
      </c>
      <c r="J845" s="1" t="s">
        <v>86</v>
      </c>
      <c r="K845" s="2" t="s">
        <v>2710</v>
      </c>
      <c r="L845" s="2" t="s">
        <v>2711</v>
      </c>
      <c r="M845" s="2" t="str">
        <f>IFERROR(__xludf.DUMMYFUNCTION("split(split(K845,""伊藤淳史　"",false),""公式LINE"",false)"),"白鳥(仲村トオル)が、再び送られてきたCT画像を島津(安田顕)に見せると、画像の撮影者が専門家ではない“素人""だと判明。さらに、島津から遺体の推定年齢と骨格の特徴を聞いた白鳥は、心当たりで表情を曇らせ、撮影された場所は碧翠院ではないかと田口(伊藤淳史)に告げる。  一方、碧翠院には、すい臓がんを宣告された25歳の中学校教師・菊池日菜(南沢奈央)が転院してくる。死を間近に感じ、自暴自棄になった日菜は、治療や検査、食事までも一切拒否。そんな日菜に対し、田口は「一緒に頑張っていきましょう」と励ましの言葉をかけ"&amp;"るが、かえって日菜を怒らせてしまう。母親をがんで亡くした日菜は、治療に伴う苦しみを十分に知っているため、自分は痛みや苦しみを味わうことなく早く楽に死にたいと考えていたのだ。しかし、消灯後の病室には、おえつをもらしながら、ひそかに涙する日菜の姿があり…。その頃、白鳥の元には“タチバナ""から3通目のメールが届く。1通目には太股と手、2通目には胸と腹のバラバラのCT画像。そして、今回添付されていたのは頭部の画像。後頭部に皮下出血があることに気付いた白鳥は、島津に転送して死因の特定を急ぐ。そして「画像の送り主は"&amp;"、そろそろ明かす気になったみたいだね」と、それが誰の遺体なのか、死因は何なのか、特定に思いをめぐらせ…。")</f>
        <v>白鳥(仲村トオル)が、再び送られてきたCT画像を島津(安田顕)に見せると、画像の撮影者が専門家ではない“素人"だと判明。さらに、島津から遺体の推定年齢と骨格の特徴を聞いた白鳥は、心当たりで表情を曇らせ、撮影された場所は碧翠院ではないかと田口(伊藤淳史)に告げる。  一方、碧翠院には、すい臓がんを宣告された25歳の中学校教師・菊池日菜(南沢奈央)が転院してくる。死を間近に感じ、自暴自棄になった日菜は、治療や検査、食事までも一切拒否。そんな日菜に対し、田口は「一緒に頑張っていきましょう」と励ましの言葉をかけるが、かえって日菜を怒らせてしまう。母親をがんで亡くした日菜は、治療に伴う苦しみを十分に知っているため、自分は痛みや苦しみを味わうことなく早く楽に死にたいと考えていたのだ。しかし、消灯後の病室には、おえつをもらしながら、ひそかに涙する日菜の姿があり…。その頃、白鳥の元には“タチバナ"から3通目のメールが届く。1通目には太股と手、2通目には胸と腹のバラバラのCT画像。そして、今回添付されていたのは頭部の画像。後頭部に皮下出血があることに気付いた白鳥は、島津に転送して死因の特定を急ぐ。そして「画像の送り主は、そろそろ明かす気になったみたいだね」と、それが誰の遺体なのか、死因は何なのか、特定に思いをめぐらせ…。</v>
      </c>
      <c r="N845" s="2"/>
      <c r="O845" s="2"/>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row>
    <row r="846" ht="204.75" customHeight="1">
      <c r="A846" s="1">
        <v>2904.0</v>
      </c>
      <c r="B846" s="2" t="s">
        <v>2701</v>
      </c>
      <c r="C846" s="2">
        <f>IFERROR(__xludf.DUMMYFUNCTION("split(B846,""_"")"),1401.0)</f>
        <v>1401</v>
      </c>
      <c r="D846" s="2" t="str">
        <f>IFERROR(__xludf.DUMMYFUNCTION("""COMPUTED_VALUE"""),"CX")</f>
        <v>CX</v>
      </c>
      <c r="E846" s="2" t="str">
        <f>IFERROR(__xludf.DUMMYFUNCTION("""COMPUTED_VALUE"""),"火22")</f>
        <v>火22</v>
      </c>
      <c r="F846" s="2" t="s">
        <v>2702</v>
      </c>
      <c r="G846" s="2" t="s">
        <v>2712</v>
      </c>
      <c r="H846" s="1">
        <v>4.0</v>
      </c>
      <c r="I846" s="1" t="s">
        <v>14</v>
      </c>
      <c r="J846" s="1" t="s">
        <v>86</v>
      </c>
      <c r="K846" s="2" t="s">
        <v>2713</v>
      </c>
      <c r="L846" s="2" t="s">
        <v>2714</v>
      </c>
      <c r="M846" s="2" t="str">
        <f>IFERROR(__xludf.DUMMYFUNCTION("split(split(K846,""伊藤淳史　"",false),""公式LINE"",false)"),"白鳥(仲村トオル)は立花(宅間孝行)の死を確信し、巌雄(柳葉敏郎)を追及するが、巌雄は「さっぱり分からない」と答えるのみ。遺体が見つからない以上、警察は動いてはくれず、完全に行く手を阻まれた白鳥は、碧翠院での立花の目撃者を探すことに。しかし、患者たちから「これ以上、碧翠院を調べ回るのはよしな」と忠告を受ける。そこで、立花のAi画像が碧翠院で撮られたのではと疑う白鳥は、放射線技師の戸山(渡部豪太)に揺さぶりをかける。  　一方、碧翠院では、入院患者のうめ(丘みつ子)の誕生日に、本人の希望で生前葬を行うことに"&amp;"なる。乗り気ではない田口(伊藤淳史)とすみれ(栗山千明)をよそに、死は特別な恐怖ではないと教えるのも医者の仕事だと前向きな巌雄。生前葬の前日、田口はうめに夫の墓参りを頼まれ出向くと、そこで、うめの隣人だった男性と出会う。　数日後、戸山にこっそり呼び出された白鳥は、立花から自分宛てにメールが届いていたと打ち明けられる。勤務先の長野の病院の医療ミスを告発しようとしていた立花は、その患者を巌雄が解剖すると知り、事前にAi画像を送ってきていたのだった。しかし、巌雄は、画像を処分するよう指示したという。そして、問題"&amp;"の画像は、自分のパソコンに内緒で保存してあると明かし…。")</f>
        <v>白鳥(仲村トオル)は立花(宅間孝行)の死を確信し、巌雄(柳葉敏郎)を追及するが、巌雄は「さっぱり分からない」と答えるのみ。遺体が見つからない以上、警察は動いてはくれず、完全に行く手を阻まれた白鳥は、碧翠院での立花の目撃者を探すことに。しかし、患者たちから「これ以上、碧翠院を調べ回るのはよしな」と忠告を受ける。そこで、立花のAi画像が碧翠院で撮られたのではと疑う白鳥は、放射線技師の戸山(渡部豪太)に揺さぶりをかける。  　一方、碧翠院では、入院患者のうめ(丘みつ子)の誕生日に、本人の希望で生前葬を行うことになる。乗り気ではない田口(伊藤淳史)とすみれ(栗山千明)をよそに、死は特別な恐怖ではないと教えるのも医者の仕事だと前向きな巌雄。生前葬の前日、田口はうめに夫の墓参りを頼まれ出向くと、そこで、うめの隣人だった男性と出会う。　数日後、戸山にこっそり呼び出された白鳥は、立花から自分宛てにメールが届いていたと打ち明けられる。勤務先の長野の病院の医療ミスを告発しようとしていた立花は、その患者を巌雄が解剖すると知り、事前にAi画像を送ってきていたのだった。しかし、巌雄は、画像を処分するよう指示したという。そして、問題の画像は、自分のパソコンに内緒で保存してあると明かし…。</v>
      </c>
      <c r="N846" s="2"/>
      <c r="O846" s="2"/>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row>
    <row r="847" ht="204.75" customHeight="1">
      <c r="A847" s="1">
        <v>2905.0</v>
      </c>
      <c r="B847" s="2" t="s">
        <v>2701</v>
      </c>
      <c r="C847" s="2">
        <f>IFERROR(__xludf.DUMMYFUNCTION("split(B847,""_"")"),1401.0)</f>
        <v>1401</v>
      </c>
      <c r="D847" s="2" t="str">
        <f>IFERROR(__xludf.DUMMYFUNCTION("""COMPUTED_VALUE"""),"CX")</f>
        <v>CX</v>
      </c>
      <c r="E847" s="2" t="str">
        <f>IFERROR(__xludf.DUMMYFUNCTION("""COMPUTED_VALUE"""),"火22")</f>
        <v>火22</v>
      </c>
      <c r="F847" s="2" t="s">
        <v>2702</v>
      </c>
      <c r="G847" s="2" t="s">
        <v>2715</v>
      </c>
      <c r="H847" s="1">
        <v>5.0</v>
      </c>
      <c r="I847" s="1" t="s">
        <v>17</v>
      </c>
      <c r="J847" s="1" t="s">
        <v>86</v>
      </c>
      <c r="K847" s="2" t="s">
        <v>2716</v>
      </c>
      <c r="L847" s="2" t="s">
        <v>2717</v>
      </c>
      <c r="M847" s="2" t="str">
        <f>IFERROR(__xludf.DUMMYFUNCTION("split(split(K847,""伊藤淳史　"",false),""公式LINE"",false)"),"CT室ですみれ(栗山千明)を追い詰めている最中に背後から殴られ、意識を失った白鳥(仲村トオル)。階段の下で倒れているところを救助された白鳥は、自分を殴った人物を探すため、記憶を失くしたふりをすることに。  　すみれは、消されたはずのCT画像が白鳥の手に渡っていると知り激しく動揺するが、姉の小百合(水野美紀)があくまで落ち着いていることにも、いら立ちを覚えていた。そんな中、患者の美智(左時枝)の容体が急変。原因は薬の過剰投与で、処方したのはすみれだった。白鳥は、美智が何かの秘密を知っているが故に、すみれが処"&amp;"方ミスと見せかけて美智を殺そうとしたのではと追及するが、すみれはいつになく感情を高ぶらせ否定。そんなすみれの様子を見た田口(伊藤淳史)は、薬の過剰投与の原因が別にあることを見抜き…。　その頃、入手したCT画像を見ていた白鳥は、画像の、ある箇所に違和感を抱く。ついに巌雄(柳葉敏郎)らを呼び集めた白鳥は、「立花先生が訴えたかった真実が分かった」と切り出し…。")</f>
        <v>CT室ですみれ(栗山千明)を追い詰めている最中に背後から殴られ、意識を失った白鳥(仲村トオル)。階段の下で倒れているところを救助された白鳥は、自分を殴った人物を探すため、記憶を失くしたふりをすることに。  　すみれは、消されたはずのCT画像が白鳥の手に渡っていると知り激しく動揺するが、姉の小百合(水野美紀)があくまで落ち着いていることにも、いら立ちを覚えていた。そんな中、患者の美智(左時枝)の容体が急変。原因は薬の過剰投与で、処方したのはすみれだった。白鳥は、美智が何かの秘密を知っているが故に、すみれが処方ミスと見せかけて美智を殺そうとしたのではと追及するが、すみれはいつになく感情を高ぶらせ否定。そんなすみれの様子を見た田口(伊藤淳史)は、薬の過剰投与の原因が別にあることを見抜き…。　その頃、入手したCT画像を見ていた白鳥は、画像の、ある箇所に違和感を抱く。ついに巌雄(柳葉敏郎)らを呼び集めた白鳥は、「立花先生が訴えたかった真実が分かった」と切り出し…。</v>
      </c>
      <c r="N847" s="2"/>
      <c r="O847" s="2"/>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row>
    <row r="848" ht="204.75" customHeight="1">
      <c r="A848" s="1">
        <v>2906.0</v>
      </c>
      <c r="B848" s="2" t="s">
        <v>2701</v>
      </c>
      <c r="C848" s="2">
        <f>IFERROR(__xludf.DUMMYFUNCTION("split(B848,""_"")"),1401.0)</f>
        <v>1401</v>
      </c>
      <c r="D848" s="2" t="str">
        <f>IFERROR(__xludf.DUMMYFUNCTION("""COMPUTED_VALUE"""),"CX")</f>
        <v>CX</v>
      </c>
      <c r="E848" s="2" t="str">
        <f>IFERROR(__xludf.DUMMYFUNCTION("""COMPUTED_VALUE"""),"火22")</f>
        <v>火22</v>
      </c>
      <c r="F848" s="2" t="s">
        <v>2702</v>
      </c>
      <c r="G848" s="2" t="s">
        <v>2718</v>
      </c>
      <c r="H848" s="1">
        <v>6.0</v>
      </c>
      <c r="I848" s="1" t="s">
        <v>21</v>
      </c>
      <c r="J848" s="1" t="s">
        <v>86</v>
      </c>
      <c r="K848" s="2" t="s">
        <v>2719</v>
      </c>
      <c r="L848" s="2" t="s">
        <v>2720</v>
      </c>
      <c r="M848" s="2" t="str">
        <f>IFERROR(__xludf.DUMMYFUNCTION("split(split(K848,""伊藤淳史　"",false),""公式LINE"",false)"),"巌雄(柳葉敏郎)に立花(宅間孝行)殺害への関与を否定された白鳥(仲村トオル)は、桜宮一族と立花の関係を調べ始める。そんな中、患者の神岡(神保悟志)が「病院から出せ」と暴れ出す。すると、神岡の体を支えきれずに倒れ込んだ小百合(水野美紀)は、突然何かを思い出したようにおびえ出し、動けなくなってしまう。田口(伊藤淳史)から、その様子が恋人から暴力を受けた女性の症状に似ていると聞いた白鳥は、小百合が過去に何者かに暴力を振るわれたのではないかと推測し、8年前のある事件にたどりつく。そして、立花殺害は小百合による復讐"&amp;"(ふくしゅう)のための犯行だとして田口やすみれ(栗山千明)の前で小百合を追及するが…。  　その晩、白鳥は小百合の事件と葵(山崎賢人)の死亡事故が、いずれも8年前に起きていることに気付く。同時期に、桜宮家で悲劇が連続して起こったのは偶然なのか?と違和感を覚える田口と白鳥。一方、天馬(上遠野太洸)は桜宮家の重大な秘密を知り、さらに放射線技師の戸山(渡部豪太)は夜、CT室で驚きの光景を目にして……。")</f>
        <v>巌雄(柳葉敏郎)に立花(宅間孝行)殺害への関与を否定された白鳥(仲村トオル)は、桜宮一族と立花の関係を調べ始める。そんな中、患者の神岡(神保悟志)が「病院から出せ」と暴れ出す。すると、神岡の体を支えきれずに倒れ込んだ小百合(水野美紀)は、突然何かを思い出したようにおびえ出し、動けなくなってしまう。田口(伊藤淳史)から、その様子が恋人から暴力を受けた女性の症状に似ていると聞いた白鳥は、小百合が過去に何者かに暴力を振るわれたのではないかと推測し、8年前のある事件にたどりつく。そして、立花殺害は小百合による復讐(ふくしゅう)のための犯行だとして田口やすみれ(栗山千明)の前で小百合を追及するが…。  　その晩、白鳥は小百合の事件と葵(山崎賢人)の死亡事故が、いずれも8年前に起きていることに気付く。同時期に、桜宮家で悲劇が連続して起こったのは偶然なのか?と違和感を覚える田口と白鳥。一方、天馬(上遠野太洸)は桜宮家の重大な秘密を知り、さらに放射線技師の戸山(渡部豪太)は夜、CT室で驚きの光景を目にして……。</v>
      </c>
      <c r="N848" s="2"/>
      <c r="O848" s="2"/>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row>
    <row r="849" ht="204.75" customHeight="1">
      <c r="A849" s="1">
        <v>2907.0</v>
      </c>
      <c r="B849" s="2" t="s">
        <v>2701</v>
      </c>
      <c r="C849" s="2">
        <f>IFERROR(__xludf.DUMMYFUNCTION("split(B849,""_"")"),1401.0)</f>
        <v>1401</v>
      </c>
      <c r="D849" s="2" t="str">
        <f>IFERROR(__xludf.DUMMYFUNCTION("""COMPUTED_VALUE"""),"CX")</f>
        <v>CX</v>
      </c>
      <c r="E849" s="2" t="str">
        <f>IFERROR(__xludf.DUMMYFUNCTION("""COMPUTED_VALUE"""),"火22")</f>
        <v>火22</v>
      </c>
      <c r="F849" s="2" t="s">
        <v>2702</v>
      </c>
      <c r="G849" s="2" t="s">
        <v>2721</v>
      </c>
      <c r="H849" s="1">
        <v>7.0</v>
      </c>
      <c r="I849" s="1" t="s">
        <v>25</v>
      </c>
      <c r="J849" s="1" t="s">
        <v>86</v>
      </c>
      <c r="K849" s="2" t="s">
        <v>2722</v>
      </c>
      <c r="L849" s="2" t="s">
        <v>2723</v>
      </c>
      <c r="M849" s="2" t="str">
        <f>IFERROR(__xludf.DUMMYFUNCTION("split(split(K849,""伊藤淳史　"",false),""公式LINE"",false)"),"放射線技師・戸山(渡部豪太)が遺体で発見され、白鳥(仲村トオル)は「殺人の可能性が高く、碧翠院の関係者は全員容疑者だ」として、碧翠院と利害関係のない東城医大に解剖を依頼。さらに、田口(伊藤淳史)や刑事の小幡(池内万作)とともに、小百合(水野美紀)の案内で碧翠院の中を詳しく調べ始める。すると、「螺鈿の部屋」の奥にも部屋が設置されていることや、解剖室や桜宮家の住居、病院棟をつなぐ地下通路など、碧翠院は桜宮家の人々が人目につかず敷地内を自由に移動できる構造になっていた。白鳥は、早速、巌雄(柳葉敏郎)らに戸山殺害"&amp;"時のアリバイを確認するが、どれも偽装できそうなものばかり。しかし、巌雄に恩義を感じる警察は、必要以上の捜査をしようとしない。そこで白鳥は、亡くなる2日前の夜、戸山がCT室で密かに遺体を撮影している人物の姿を目撃していたことから、その時に撮影された画像を自ら復元。すると、その特徴が、立花(宅間孝行)の遺体を撮影した人間と同じものだと気付く。やがて、戸山の死因が溺死だと判明するが、同時に睡眠薬も検出され、桜宮一族への疑いはますます強まる。  　一方、戸山が亡くなった晩に、天馬(上遠野太洸)とすみれ(栗山千明)"&amp;"が二人で病院を出て行ったことが明らかに。白鳥が、再び病院を抜け出す二人を見つけ、尾行すると……。")</f>
        <v>放射線技師・戸山(渡部豪太)が遺体で発見され、白鳥(仲村トオル)は「殺人の可能性が高く、碧翠院の関係者は全員容疑者だ」として、碧翠院と利害関係のない東城医大に解剖を依頼。さらに、田口(伊藤淳史)や刑事の小幡(池内万作)とともに、小百合(水野美紀)の案内で碧翠院の中を詳しく調べ始める。すると、「螺鈿の部屋」の奥にも部屋が設置されていることや、解剖室や桜宮家の住居、病院棟をつなぐ地下通路など、碧翠院は桜宮家の人々が人目につかず敷地内を自由に移動できる構造になっていた。白鳥は、早速、巌雄(柳葉敏郎)らに戸山殺害時のアリバイを確認するが、どれも偽装できそうなものばかり。しかし、巌雄に恩義を感じる警察は、必要以上の捜査をしようとしない。そこで白鳥は、亡くなる2日前の夜、戸山がCT室で密かに遺体を撮影している人物の姿を目撃していたことから、その時に撮影された画像を自ら復元。すると、その特徴が、立花(宅間孝行)の遺体を撮影した人間と同じものだと気付く。やがて、戸山の死因が溺死だと判明するが、同時に睡眠薬も検出され、桜宮一族への疑いはますます強まる。  　一方、戸山が亡くなった晩に、天馬(上遠野太洸)とすみれ(栗山千明)が二人で病院を出て行ったことが明らかに。白鳥が、再び病院を抜け出す二人を見つけ、尾行すると……。</v>
      </c>
      <c r="N849" s="2"/>
      <c r="O849" s="2"/>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row>
    <row r="850" ht="204.75" customHeight="1">
      <c r="A850" s="1">
        <v>2908.0</v>
      </c>
      <c r="B850" s="2" t="s">
        <v>2701</v>
      </c>
      <c r="C850" s="2">
        <f>IFERROR(__xludf.DUMMYFUNCTION("split(B850,""_"")"),1401.0)</f>
        <v>1401</v>
      </c>
      <c r="D850" s="2" t="str">
        <f>IFERROR(__xludf.DUMMYFUNCTION("""COMPUTED_VALUE"""),"CX")</f>
        <v>CX</v>
      </c>
      <c r="E850" s="2" t="str">
        <f>IFERROR(__xludf.DUMMYFUNCTION("""COMPUTED_VALUE"""),"火22")</f>
        <v>火22</v>
      </c>
      <c r="F850" s="2" t="s">
        <v>2702</v>
      </c>
      <c r="G850" s="2" t="s">
        <v>2724</v>
      </c>
      <c r="H850" s="1">
        <v>8.0</v>
      </c>
      <c r="I850" s="1" t="s">
        <v>29</v>
      </c>
      <c r="J850" s="1" t="s">
        <v>86</v>
      </c>
      <c r="K850" s="2" t="s">
        <v>2725</v>
      </c>
      <c r="L850" s="2" t="s">
        <v>2726</v>
      </c>
      <c r="M850" s="2" t="str">
        <f>IFERROR(__xludf.DUMMYFUNCTION("split(split(K850,""伊藤淳史　"",false),""公式LINE"",false)"),"すみれ(栗山千明)と天馬(上遠野太洸)が何者かと密会していたコテージから、こっそりティーカップを持ち帰った白鳥(仲村トオル)は、刑事の小幡(池内万作)に指紋を調べてほしいと依頼。すると、8年前に起きた連続レイプ事件の容疑者の死亡現場に残されていた指紋と一致する。  小幡によると、容疑者の遺体発見当初、警察は現場の状況から殺人事件と見立てたが、検死を担当した巌雄(柳葉敏郎)が“病死""と判断したため、それ以上の捜査は行われず、残された指紋の持ち主も分からないままだったという。それを聞いた白鳥は、巌雄が何者か"&amp;"をかばって殺人を隠ぺいしたのでは…と推理する。  一方の田口(伊藤淳史)は、事故から8年経った今も、息子・葵(山崎賢人)の死を受け入れられずにいる華緒(相築あきこ)の様子が気になっていた。田口から、華緒が葵のことを話すとき、まるで今も生きているかのように話すと聞いた白鳥は、「葵くんは、本当に生きているのかもしれない」と言い出しーー。")</f>
        <v>すみれ(栗山千明)と天馬(上遠野太洸)が何者かと密会していたコテージから、こっそりティーカップを持ち帰った白鳥(仲村トオル)は、刑事の小幡(池内万作)に指紋を調べてほしいと依頼。すると、8年前に起きた連続レイプ事件の容疑者の死亡現場に残されていた指紋と一致する。  小幡によると、容疑者の遺体発見当初、警察は現場の状況から殺人事件と見立てたが、検死を担当した巌雄(柳葉敏郎)が“病死"と判断したため、それ以上の捜査は行われず、残された指紋の持ち主も分からないままだったという。それを聞いた白鳥は、巌雄が何者かをかばって殺人を隠ぺいしたのでは…と推理する。  一方の田口(伊藤淳史)は、事故から8年経った今も、息子・葵(山崎賢人)の死を受け入れられずにいる華緒(相築あきこ)の様子が気になっていた。田口から、華緒が葵のことを話すとき、まるで今も生きているかのように話すと聞いた白鳥は、「葵くんは、本当に生きているのかもしれない」と言い出しーー。</v>
      </c>
      <c r="N850" s="2"/>
      <c r="O850" s="2"/>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row>
    <row r="851" ht="204.75" customHeight="1">
      <c r="A851" s="1">
        <v>2909.0</v>
      </c>
      <c r="B851" s="2" t="s">
        <v>2701</v>
      </c>
      <c r="C851" s="2">
        <f>IFERROR(__xludf.DUMMYFUNCTION("split(B851,""_"")"),1401.0)</f>
        <v>1401</v>
      </c>
      <c r="D851" s="2" t="str">
        <f>IFERROR(__xludf.DUMMYFUNCTION("""COMPUTED_VALUE"""),"CX")</f>
        <v>CX</v>
      </c>
      <c r="E851" s="2" t="str">
        <f>IFERROR(__xludf.DUMMYFUNCTION("""COMPUTED_VALUE"""),"火22")</f>
        <v>火22</v>
      </c>
      <c r="F851" s="2" t="s">
        <v>2702</v>
      </c>
      <c r="G851" s="2" t="s">
        <v>2727</v>
      </c>
      <c r="H851" s="1">
        <v>9.0</v>
      </c>
      <c r="I851" s="1" t="s">
        <v>33</v>
      </c>
      <c r="J851" s="1" t="s">
        <v>86</v>
      </c>
      <c r="K851" s="2" t="s">
        <v>2728</v>
      </c>
      <c r="L851" s="2" t="s">
        <v>2729</v>
      </c>
      <c r="M851" s="2" t="str">
        <f>IFERROR(__xludf.DUMMYFUNCTION("split(split(K851,""伊藤淳史　"",false),""公式LINE"",false)"),"「螺鈿の部屋」に入った患者が、皆あまりにも“理想的""に亡くなっていることに違和感を覚えた白鳥(仲村トオル)は、碧翠院で安楽死が行われているのではないかと田口(伊藤淳史)に告げる。にわかには信じがたい田口は、巌雄(柳葉敏郎)のルーツをたどるべく、かつて同じ病棟で働いていた東城医大の藤原(名取裕子)の元を訪ねる。  そこで、20年前に外科医として第一線で活躍しながらも過剰な延命治療に反対し、周囲とぶつかっていた巌雄の話を聞く田口。さらに、巌雄のかつての上司だった加賀(山本圭)と出会う。  　その頃、姿を消し"&amp;"た葵(山崎賢人)と華緒(相築あきこ)の行方を追う白鳥は、小幡(池内万作)とともに碧翠院の地下通路を探索していた。すると、解剖室や桜宮家とは別に、ある所につながっている通路を発見。  そこには、車椅子が通ったとみられる車輪の跡と、ボタンが一つ落ちていてーー。")</f>
        <v>「螺鈿の部屋」に入った患者が、皆あまりにも“理想的"に亡くなっていることに違和感を覚えた白鳥(仲村トオル)は、碧翠院で安楽死が行われているのではないかと田口(伊藤淳史)に告げる。にわかには信じがたい田口は、巌雄(柳葉敏郎)のルーツをたどるべく、かつて同じ病棟で働いていた東城医大の藤原(名取裕子)の元を訪ねる。  そこで、20年前に外科医として第一線で活躍しながらも過剰な延命治療に反対し、周囲とぶつかっていた巌雄の話を聞く田口。さらに、巌雄のかつての上司だった加賀(山本圭)と出会う。  　その頃、姿を消した葵(山崎賢人)と華緒(相築あきこ)の行方を追う白鳥は、小幡(池内万作)とともに碧翠院の地下通路を探索していた。すると、解剖室や桜宮家とは別に、ある所につながっている通路を発見。  そこには、車椅子が通ったとみられる車輪の跡と、ボタンが一つ落ちていてーー。</v>
      </c>
      <c r="N851" s="2"/>
      <c r="O851" s="2"/>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row>
    <row r="852" ht="204.75" customHeight="1">
      <c r="A852" s="1">
        <v>2910.0</v>
      </c>
      <c r="B852" s="2" t="s">
        <v>2701</v>
      </c>
      <c r="C852" s="2">
        <f>IFERROR(__xludf.DUMMYFUNCTION("split(B852,""_"")"),1401.0)</f>
        <v>1401</v>
      </c>
      <c r="D852" s="2" t="str">
        <f>IFERROR(__xludf.DUMMYFUNCTION("""COMPUTED_VALUE"""),"CX")</f>
        <v>CX</v>
      </c>
      <c r="E852" s="2" t="str">
        <f>IFERROR(__xludf.DUMMYFUNCTION("""COMPUTED_VALUE"""),"火22")</f>
        <v>火22</v>
      </c>
      <c r="F852" s="2" t="s">
        <v>2702</v>
      </c>
      <c r="G852" s="2" t="s">
        <v>2730</v>
      </c>
      <c r="H852" s="1">
        <v>10.0</v>
      </c>
      <c r="I852" s="1" t="s">
        <v>37</v>
      </c>
      <c r="J852" s="1" t="s">
        <v>86</v>
      </c>
      <c r="K852" s="2" t="s">
        <v>2731</v>
      </c>
      <c r="L852" s="2" t="s">
        <v>2732</v>
      </c>
      <c r="M852" s="2" t="str">
        <f>IFERROR(__xludf.DUMMYFUNCTION("split(split(K852,""伊藤淳史　"",false),""公式LINE"",false)"),"加賀(山本圭)が「螺鈿の部屋」に入り、田口(伊藤淳史)は安楽死を疑う白鳥(仲村トオル)の指示でみとりに立ち会うことに。しかし、加賀が息を引き取るその瞬間まで、巌雄(柳葉敏郎)や小百合(水野美紀)に不審な点は一切見当たらない。疑惑を拭えず、さらに加賀の遺体を調べようと東城医大から島津(安田顕)を呼ぶ白鳥。しかし、安らかな最期をみとった田口は、そんな白鳥について行けず2人は衝突する。　そんな中、巌雄の携帯電話に華緒(相築あきこ)からの着信が。電話をかけてきたのは葵(山崎賢人)で、発作を起こした葵が華緒に重傷を"&amp;"負わせたらしい。小百合やすみれ(栗山千明)は、ひそかに碧翠院に戻った華緒を懸命に処置するが、その様子を田口に見られてしまう。  　ついに葵と向き合う田口と白鳥。しかし、立花殺害、そして戸山殺害の真相は思いもよらないものだったーー。")</f>
        <v>加賀(山本圭)が「螺鈿の部屋」に入り、田口(伊藤淳史)は安楽死を疑う白鳥(仲村トオル)の指示でみとりに立ち会うことに。しかし、加賀が息を引き取るその瞬間まで、巌雄(柳葉敏郎)や小百合(水野美紀)に不審な点は一切見当たらない。疑惑を拭えず、さらに加賀の遺体を調べようと東城医大から島津(安田顕)を呼ぶ白鳥。しかし、安らかな最期をみとった田口は、そんな白鳥について行けず2人は衝突する。　そんな中、巌雄の携帯電話に華緒(相築あきこ)からの着信が。電話をかけてきたのは葵(山崎賢人)で、発作を起こした葵が華緒に重傷を負わせたらしい。小百合やすみれ(栗山千明)は、ひそかに碧翠院に戻った華緒を懸命に処置するが、その様子を田口に見られてしまう。  　ついに葵と向き合う田口と白鳥。しかし、立花殺害、そして戸山殺害の真相は思いもよらないものだったーー。</v>
      </c>
      <c r="N852" s="2"/>
      <c r="O852" s="2"/>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row>
    <row r="853" ht="204.75" customHeight="1">
      <c r="A853" s="1">
        <v>2911.0</v>
      </c>
      <c r="B853" s="2" t="s">
        <v>2701</v>
      </c>
      <c r="C853" s="2">
        <f>IFERROR(__xludf.DUMMYFUNCTION("split(B853,""_"")"),1401.0)</f>
        <v>1401</v>
      </c>
      <c r="D853" s="2" t="str">
        <f>IFERROR(__xludf.DUMMYFUNCTION("""COMPUTED_VALUE"""),"CX")</f>
        <v>CX</v>
      </c>
      <c r="E853" s="2" t="str">
        <f>IFERROR(__xludf.DUMMYFUNCTION("""COMPUTED_VALUE"""),"火22")</f>
        <v>火22</v>
      </c>
      <c r="F853" s="2" t="s">
        <v>2702</v>
      </c>
      <c r="G853" s="2" t="s">
        <v>2733</v>
      </c>
      <c r="H853" s="1">
        <v>11.0</v>
      </c>
      <c r="I853" s="1" t="s">
        <v>41</v>
      </c>
      <c r="J853" s="1" t="s">
        <v>82</v>
      </c>
      <c r="K853" s="2" t="s">
        <v>2734</v>
      </c>
      <c r="L853" s="2" t="s">
        <v>2735</v>
      </c>
      <c r="M853" s="2" t="str">
        <f>IFERROR(__xludf.DUMMYFUNCTION("split(split(K853,""伊藤淳史　"",false),""公式LINE"",false)"),"長野の放射線科医・立花(宅間孝行)と碧翠院の放射線技師・戸山(渡部豪太)を殺害した犯人が明らかになる一方で、碧翠院の患者が皆、不自然なほど穏やかな最期を迎えることに違和感を覚えていた田口(伊藤淳史)と白鳥(仲村トオル)。院長の巌雄(柳葉敏郎)が安楽死を行っているのではと疑いを抱き、田口は看取りに立ち会うが、不審な点は何一つ見つからずにいた。　そんな中、亡くなった患者のAi(死亡時画像診断)画像を見ていた白鳥は、ついに「螺鈿の部屋」で行われている看取りの“からくり""に気付く。証拠を突きつけようと、巌雄を探"&amp;"す2人。だがその頃、「螺鈿の部屋」では既に美智(左時枝)が最期の時を迎えようとしていた。田口と白鳥の動きに気付いた小百合(水野美紀)は、部屋の内側から鍵をかけてしまうーー。　はたして、碧翠院で行われている終末期医療の秘密とは?そして、患者の美智から語られる驚きの真相と、桜宮一族の運命は…!?　いよいよ、田口と白鳥の最後の謎解きが始まる!")</f>
        <v>長野の放射線科医・立花(宅間孝行)と碧翠院の放射線技師・戸山(渡部豪太)を殺害した犯人が明らかになる一方で、碧翠院の患者が皆、不自然なほど穏やかな最期を迎えることに違和感を覚えていた田口(伊藤淳史)と白鳥(仲村トオル)。院長の巌雄(柳葉敏郎)が安楽死を行っているのではと疑いを抱き、田口は看取りに立ち会うが、不審な点は何一つ見つからずにいた。　そんな中、亡くなった患者のAi(死亡時画像診断)画像を見ていた白鳥は、ついに「螺鈿の部屋」で行われている看取りの“からくり"に気付く。証拠を突きつけようと、巌雄を探す2人。だがその頃、「螺鈿の部屋」では既に美智(左時枝)が最期の時を迎えようとしていた。田口と白鳥の動きに気付いた小百合(水野美紀)は、部屋の内側から鍵をかけてしまうーー。　はたして、碧翠院で行われている終末期医療の秘密とは?そして、患者の美智から語られる驚きの真相と、桜宮一族の運命は…!?　いよいよ、田口と白鳥の最後の謎解きが始まる!</v>
      </c>
      <c r="N853" s="2"/>
      <c r="O853" s="2"/>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row>
    <row r="854" ht="204.75" customHeight="1">
      <c r="A854" s="1">
        <v>2921.0</v>
      </c>
      <c r="B854" s="2" t="s">
        <v>2736</v>
      </c>
      <c r="C854" s="2">
        <f>IFERROR(__xludf.DUMMYFUNCTION("split(B854,""_"")"),1401.0)</f>
        <v>1401</v>
      </c>
      <c r="D854" s="2" t="str">
        <f>IFERROR(__xludf.DUMMYFUNCTION("""COMPUTED_VALUE"""),"CX")</f>
        <v>CX</v>
      </c>
      <c r="E854" s="2" t="str">
        <f>IFERROR(__xludf.DUMMYFUNCTION("""COMPUTED_VALUE"""),"水22")</f>
        <v>水22</v>
      </c>
      <c r="F854" s="2" t="s">
        <v>2737</v>
      </c>
      <c r="G854" s="2" t="s">
        <v>2738</v>
      </c>
      <c r="H854" s="1">
        <v>1.0</v>
      </c>
      <c r="I854" s="1" t="s">
        <v>3</v>
      </c>
      <c r="J854" s="1" t="s">
        <v>82</v>
      </c>
      <c r="K854" s="4" t="s">
        <v>2739</v>
      </c>
      <c r="L854" s="2" t="s">
        <v>2740</v>
      </c>
      <c r="M854" s="2" t="str">
        <f>IFERROR(__xludf.DUMMYFUNCTION("split(split(K854,""三浦春馬　"",false),""公式LINE"",false)"),"澤田拓人(三浦春馬)は就職活動中の大学生。実家は山梨で総合病院を営んでおり、母親の佐和子(原田美枝子)や父親の昭夫(小市慢太郎)からは医者になることを期待されていたが、いつからかその期待は4歳下の弟・陸人(野村周平)に向けられるようになっていた。本郷恵(多部未華子)も、ファミレスでアルバイトをしながら懸命に就職活動をしていた。ある商社の集団面接中、電源を切り忘れていた恵の携帯が突然鳴り響いた。母・祥子(浅田美代子)からの電話だった。その時とっさに立ちあがり、自分のせいにして恵をかばったのは、同じ会社を受け"&amp;"ていた拓人だった。  拓人が同級生の水島守(風間俊介)と大学内のカフェテリアにいると、そこに、恵が友人の村山陽菜(山本美月)とやってきた。そこで初めて拓人が同じ大学だったということを知り、驚く恵。拓人も例の商社の面接で落ちたと知った恵は、彼に謝った。拓人はそんな恵に、落ちた理由を直接聞きに行こうと言い出す。当たり障りのない回答をされて商社から追い返されてしまった拓人と恵は、1日だけ現実逃避をしようと決め、海へ遊びに行く。シャンパンを飲みながら楽しいひと時を過ごしたふたりは、3年後の自分に向けた手紙を書き、"&amp;"空のボトルに詰めて砂浜に埋めた。拓人は、サークルの先輩で大学院生の向井繁之(斎藤工)に気晴らしに付き合ってもらったりしながら就職活動を続けていたが…。")</f>
        <v>澤田拓人(三浦春馬)は就職活動中の大学生。実家は山梨で総合病院を営んでおり、母親の佐和子(原田美枝子)や父親の昭夫(小市慢太郎)からは医者になることを期待されていたが、いつからかその期待は4歳下の弟・陸人(野村周平)に向けられるようになっていた。本郷恵(多部未華子)も、ファミレスでアルバイトをしながら懸命に就職活動をしていた。ある商社の集団面接中、電源を切り忘れていた恵の携帯が突然鳴り響いた。母・祥子(浅田美代子)からの電話だった。その時とっさに立ちあがり、自分のせいにして恵をかばったのは、同じ会社を受けていた拓人だった。  拓人が同級生の水島守(風間俊介)と大学内のカフェテリアにいると、そこに、恵が友人の村山陽菜(山本美月)とやってきた。そこで初めて拓人が同じ大学だったということを知り、驚く恵。拓人も例の商社の面接で落ちたと知った恵は、彼に謝った。拓人はそんな恵に、落ちた理由を直接聞きに行こうと言い出す。当たり障りのない回答をされて商社から追い返されてしまった拓人と恵は、1日だけ現実逃避をしようと決め、海へ遊びに行く。シャンパンを飲みながら楽しいひと時を過ごしたふたりは、3年後の自分に向けた手紙を書き、空のボトルに詰めて砂浜に埋めた。拓人は、サークルの先輩で大学院生の向井繁之(斎藤工)に気晴らしに付き合ってもらったりしながら就職活動を続けていたが…。</v>
      </c>
      <c r="N854" s="2"/>
      <c r="O854" s="2"/>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row>
    <row r="855" ht="204.75" customHeight="1">
      <c r="A855" s="1">
        <v>2922.0</v>
      </c>
      <c r="B855" s="2" t="s">
        <v>2736</v>
      </c>
      <c r="C855" s="2">
        <f>IFERROR(__xludf.DUMMYFUNCTION("split(B855,""_"")"),1401.0)</f>
        <v>1401</v>
      </c>
      <c r="D855" s="2" t="str">
        <f>IFERROR(__xludf.DUMMYFUNCTION("""COMPUTED_VALUE"""),"CX")</f>
        <v>CX</v>
      </c>
      <c r="E855" s="2" t="str">
        <f>IFERROR(__xludf.DUMMYFUNCTION("""COMPUTED_VALUE"""),"水22")</f>
        <v>水22</v>
      </c>
      <c r="F855" s="2" t="s">
        <v>2737</v>
      </c>
      <c r="G855" s="2" t="s">
        <v>2741</v>
      </c>
      <c r="H855" s="1">
        <v>2.0</v>
      </c>
      <c r="I855" s="1" t="s">
        <v>7</v>
      </c>
      <c r="J855" s="1" t="s">
        <v>86</v>
      </c>
      <c r="K855" s="2" t="s">
        <v>2742</v>
      </c>
      <c r="L855" s="2" t="s">
        <v>2743</v>
      </c>
      <c r="M855" s="2" t="str">
        <f>IFERROR(__xludf.DUMMYFUNCTION("split(split(K855,""三浦春馬　"",false),""公式LINE"",false)"),"澤田拓人(三浦春馬)は、家具販売会社で正社員として働き始める。拓人は、年上のアルバイト店員から仕事を教えられるが覚えなければならないことも多く、懸命についていくような毎日だった。一方、就職活動に失敗した本郷恵(多部未華子)は、卒業後もファミリーレストランでアルバイトをしながら、正社員採用を目指して就活を続けていた。  　ある日、拓人は恵を食事に誘う。久しぶりの再会を果たしたふたりは、お互いの近況を報告しあい、今度は水島守(風間俊介)や村山陽菜(山本美月)も誘って拓人の家で食事をしようと約束して別れる。食事"&amp;"会の日、陽菜とともに拓人のマンションを訪れた恵は、拓人の弟・陸人(野村周平)と初めて顔を合わせる。拓人はまだ仕事から戻っていなかったが、すでに守が来ていた。そこで恵は、守から拓人たちの父親が開業医で、医大に通う陸人がその後を継ぐ予定であることを耳にする。しばらくして拓人が帰宅すると、気を遣って、拓人と恵をふたりだけにしてやる守と陽菜。食事を終えた拓人と恵は、一緒に後片付けをする。しかしその際、恵は新入社員の教育係を押し付けられたことへの不満を口にして拓人とぶつかり、つい彼を傷つけるようなことを言ってしまう"&amp;"。そんな折、寝室で家具の勉強をしていた拓人は、ペットボトルのふたを開けようとした際に、左手に力が入らないことに不安を抱く。")</f>
        <v>澤田拓人(三浦春馬)は、家具販売会社で正社員として働き始める。拓人は、年上のアルバイト店員から仕事を教えられるが覚えなければならないことも多く、懸命についていくような毎日だった。一方、就職活動に失敗した本郷恵(多部未華子)は、卒業後もファミリーレストランでアルバイトをしながら、正社員採用を目指して就活を続けていた。  　ある日、拓人は恵を食事に誘う。久しぶりの再会を果たしたふたりは、お互いの近況を報告しあい、今度は水島守(風間俊介)や村山陽菜(山本美月)も誘って拓人の家で食事をしようと約束して別れる。食事会の日、陽菜とともに拓人のマンションを訪れた恵は、拓人の弟・陸人(野村周平)と初めて顔を合わせる。拓人はまだ仕事から戻っていなかったが、すでに守が来ていた。そこで恵は、守から拓人たちの父親が開業医で、医大に通う陸人がその後を継ぐ予定であることを耳にする。しばらくして拓人が帰宅すると、気を遣って、拓人と恵をふたりだけにしてやる守と陽菜。食事を終えた拓人と恵は、一緒に後片付けをする。しかしその際、恵は新入社員の教育係を押し付けられたことへの不満を口にして拓人とぶつかり、つい彼を傷つけるようなことを言ってしまう。そんな折、寝室で家具の勉強をしていた拓人は、ペットボトルのふたを開けようとした際に、左手に力が入らないことに不安を抱く。</v>
      </c>
      <c r="N855" s="2"/>
      <c r="O855" s="2"/>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row>
    <row r="856" ht="204.75" customHeight="1">
      <c r="A856" s="1">
        <v>2923.0</v>
      </c>
      <c r="B856" s="2" t="s">
        <v>2736</v>
      </c>
      <c r="C856" s="2">
        <f>IFERROR(__xludf.DUMMYFUNCTION("split(B856,""_"")"),1401.0)</f>
        <v>1401</v>
      </c>
      <c r="D856" s="2" t="str">
        <f>IFERROR(__xludf.DUMMYFUNCTION("""COMPUTED_VALUE"""),"CX")</f>
        <v>CX</v>
      </c>
      <c r="E856" s="2" t="str">
        <f>IFERROR(__xludf.DUMMYFUNCTION("""COMPUTED_VALUE"""),"水22")</f>
        <v>水22</v>
      </c>
      <c r="F856" s="2" t="s">
        <v>2737</v>
      </c>
      <c r="G856" s="2" t="s">
        <v>2744</v>
      </c>
      <c r="H856" s="1">
        <v>3.0</v>
      </c>
      <c r="I856" s="1" t="s">
        <v>10</v>
      </c>
      <c r="J856" s="1" t="s">
        <v>86</v>
      </c>
      <c r="K856" s="2" t="s">
        <v>2745</v>
      </c>
      <c r="L856" s="2" t="s">
        <v>2746</v>
      </c>
      <c r="M856" s="2" t="str">
        <f>IFERROR(__xludf.DUMMYFUNCTION("split(split(K856,""三浦春馬　"",false),""公式LINE"",false)"),"突然左腕が動かせなくなった澤田拓人(三浦春馬)は、整形外科を訪ねる。診察をした医師は、頚椎症だと思われるがしばらく様子をみよう、と拓人に告げる。一方、介護施設でボランティアを始めた本郷恵(多部未華子)は、施設の職員から、これからはアルバイトとして来てほしいと誘われる。長年アルバイトを続けてきたファミリーレストランに近ごろ居心地の悪さを感じていた恵は、それを承諾。そんなある日、拓人は恵の家に招待される。恵の母・翔子(浅田美代子)はすっかり拓人のことを気に入った様子だった。仕事中、腕に力が入らず、商品を落とし"&amp;"て傷をつけてしまった拓人は、再び整形外科を訪れる。医師は、拓人に大学病院の神経内科を紹介した。そこで拓人の診察をしたのは、神経内科医の谷本和志(吹越満)だった。検査の結果を受け、谷本は今後の治療方針を相談するために家族と一緒に病院に来てほしいと拓人に伝えた。だが拓人は、家族はいないとウソをつき、自分ひとりで話を聞くと返す。そこで谷本が拓人に告げた病名は、難病のひとつに指定されているALS=筋萎縮性側索硬化症(きんいしゅくせいそくさくこうかしょう)だった。一睡もできずに朝を迎えた拓人は、そのまま仕事に出かけ"&amp;"る。その夜、拓人は総合病院の院長を務める父・昭夫(小市慢太郎)に電話するが・・・。")</f>
        <v>突然左腕が動かせなくなった澤田拓人(三浦春馬)は、整形外科を訪ねる。診察をした医師は、頚椎症だと思われるがしばらく様子をみよう、と拓人に告げる。一方、介護施設でボランティアを始めた本郷恵(多部未華子)は、施設の職員から、これからはアルバイトとして来てほしいと誘われる。長年アルバイトを続けてきたファミリーレストランに近ごろ居心地の悪さを感じていた恵は、それを承諾。そんなある日、拓人は恵の家に招待される。恵の母・翔子(浅田美代子)はすっかり拓人のことを気に入った様子だった。仕事中、腕に力が入らず、商品を落として傷をつけてしまった拓人は、再び整形外科を訪れる。医師は、拓人に大学病院の神経内科を紹介した。そこで拓人の診察をしたのは、神経内科医の谷本和志(吹越満)だった。検査の結果を受け、谷本は今後の治療方針を相談するために家族と一緒に病院に来てほしいと拓人に伝えた。だが拓人は、家族はいないとウソをつき、自分ひとりで話を聞くと返す。そこで谷本が拓人に告げた病名は、難病のひとつに指定されているALS=筋萎縮性側索硬化症(きんいしゅくせいそくさくこうかしょう)だった。一睡もできずに朝を迎えた拓人は、そのまま仕事に出かける。その夜、拓人は総合病院の院長を務める父・昭夫(小市慢太郎)に電話するが・・・。</v>
      </c>
      <c r="N856" s="2"/>
      <c r="O856" s="2"/>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row>
    <row r="857" ht="204.75" customHeight="1">
      <c r="A857" s="1">
        <v>2924.0</v>
      </c>
      <c r="B857" s="2" t="s">
        <v>2736</v>
      </c>
      <c r="C857" s="2">
        <f>IFERROR(__xludf.DUMMYFUNCTION("split(B857,""_"")"),1401.0)</f>
        <v>1401</v>
      </c>
      <c r="D857" s="2" t="str">
        <f>IFERROR(__xludf.DUMMYFUNCTION("""COMPUTED_VALUE"""),"CX")</f>
        <v>CX</v>
      </c>
      <c r="E857" s="2" t="str">
        <f>IFERROR(__xludf.DUMMYFUNCTION("""COMPUTED_VALUE"""),"水22")</f>
        <v>水22</v>
      </c>
      <c r="F857" s="2" t="s">
        <v>2737</v>
      </c>
      <c r="G857" s="2" t="s">
        <v>2747</v>
      </c>
      <c r="H857" s="1">
        <v>4.0</v>
      </c>
      <c r="I857" s="1" t="s">
        <v>14</v>
      </c>
      <c r="J857" s="1" t="s">
        <v>86</v>
      </c>
      <c r="K857" s="2" t="s">
        <v>2748</v>
      </c>
      <c r="L857" s="2" t="s">
        <v>2749</v>
      </c>
      <c r="M857" s="2" t="str">
        <f>IFERROR(__xludf.DUMMYFUNCTION("split(split(K857,""三浦春馬　"",false),""公式LINE"",false)"),"フットサルをしていた拓人(三浦春馬)と繁之(斎藤工)のところに、恵(多部未華子)がやってきた。恵は、繁之に温泉旅行の土産を差し出し、介護のアルバイトをしながら資格を取るための勉強を始めることにした、と報告する。ある夜、拓人のもとに母・佐和子(原田美枝子)から電話が入る。拓人の弟・陸人(野村周平)から、電子ピアノを送ってほしい、と連絡があったという。陸人には何かうまくいかないことがあるとピアノに向かうクセがあることを知る佐和子は、心配でたまらないらしい。そんな母に拓人は、心配なら陸人に直接聞けばいい、と言っ"&amp;"て電話を切ってしまう。  　別の日、拓人は、神経内科医の谷本(吹越満)を訪ねる。谷本は、役所に特定疾患の申請をするためにも家族には病気のことを話すべきだと勧めた。続けて谷本は、友人や職場の仲間に拓人の気持ちを受け止めてもらえる相手はいるのか、と尋ねる。その言葉に恵のことを思い浮かべた拓人は、大切な人ほど早く話さなければいけないことはわかっている、と返す。拓人は、恵、守(風間俊介)、陽菜(山本美月)を呼んで鍋パーティーを開く。守と陽菜が帰った後、拓人は、病気のことは告げずに、「もしこのまま左手がずっと動かな"&amp;"くなったらどうする?」と恵に尋ねる。すると恵は、「どうもしないよ。ずっと拓人のそばにいるだけ」と答える。そんなある日拓人は恵の母・翔子(浅田美代子)が働いている弁当店を訪ねるが…。")</f>
        <v>フットサルをしていた拓人(三浦春馬)と繁之(斎藤工)のところに、恵(多部未華子)がやってきた。恵は、繁之に温泉旅行の土産を差し出し、介護のアルバイトをしながら資格を取るための勉強を始めることにした、と報告する。ある夜、拓人のもとに母・佐和子(原田美枝子)から電話が入る。拓人の弟・陸人(野村周平)から、電子ピアノを送ってほしい、と連絡があったという。陸人には何かうまくいかないことがあるとピアノに向かうクセがあることを知る佐和子は、心配でたまらないらしい。そんな母に拓人は、心配なら陸人に直接聞けばいい、と言って電話を切ってしまう。  　別の日、拓人は、神経内科医の谷本(吹越満)を訪ねる。谷本は、役所に特定疾患の申請をするためにも家族には病気のことを話すべきだと勧めた。続けて谷本は、友人や職場の仲間に拓人の気持ちを受け止めてもらえる相手はいるのか、と尋ねる。その言葉に恵のことを思い浮かべた拓人は、大切な人ほど早く話さなければいけないことはわかっている、と返す。拓人は、恵、守(風間俊介)、陽菜(山本美月)を呼んで鍋パーティーを開く。守と陽菜が帰った後、拓人は、病気のことは告げずに、「もしこのまま左手がずっと動かなくなったらどうする?」と恵に尋ねる。すると恵は、「どうもしないよ。ずっと拓人のそばにいるだけ」と答える。そんなある日拓人は恵の母・翔子(浅田美代子)が働いている弁当店を訪ねるが…。</v>
      </c>
      <c r="N857" s="2"/>
      <c r="O857" s="2"/>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row>
    <row r="858" ht="204.75" customHeight="1">
      <c r="A858" s="1">
        <v>2925.0</v>
      </c>
      <c r="B858" s="2" t="s">
        <v>2736</v>
      </c>
      <c r="C858" s="2">
        <f>IFERROR(__xludf.DUMMYFUNCTION("split(B858,""_"")"),1401.0)</f>
        <v>1401</v>
      </c>
      <c r="D858" s="2" t="str">
        <f>IFERROR(__xludf.DUMMYFUNCTION("""COMPUTED_VALUE"""),"CX")</f>
        <v>CX</v>
      </c>
      <c r="E858" s="2" t="str">
        <f>IFERROR(__xludf.DUMMYFUNCTION("""COMPUTED_VALUE"""),"水22")</f>
        <v>水22</v>
      </c>
      <c r="F858" s="2" t="s">
        <v>2737</v>
      </c>
      <c r="G858" s="2" t="s">
        <v>2750</v>
      </c>
      <c r="H858" s="1">
        <v>5.0</v>
      </c>
      <c r="I858" s="1" t="s">
        <v>17</v>
      </c>
      <c r="J858" s="1" t="s">
        <v>86</v>
      </c>
      <c r="K858" s="2" t="s">
        <v>2751</v>
      </c>
      <c r="L858" s="2" t="s">
        <v>2752</v>
      </c>
      <c r="M858" s="2" t="str">
        <f>IFERROR(__xludf.DUMMYFUNCTION("split(split(K858,""三浦春馬　"",false),""公式LINE"",false)"),"拓人(三浦春馬)は、恋人の恵(多部未華子)に別れを告げた。ALSを発症したことは言わなかった。拓人から病気のことを打ち明けられた守(風間俊介)も、恵のことを気にかけていた。しかし拓人は、彼女には絶対に知られたくない、という。同じころ恵は繁之(斎藤工)と会っていた。恵がウォーキングを始めたことを知った繁之は、あくる朝から一緒に歩くことにする。恵は母親の翔子(浅田美代子)にも拓人と別れたことを伝えた。振られたのは、翔子と拓人が一緒に食事した後のことだという。翔子は、拓人が何故自分に会いに来たのか気になっていた"&amp;"。  ある夜、拓人が帰宅すると、母・佐和子(原田美枝子)が来ていた。拓人の弟・陸人(野村周平)が大学に行っていないことを知り、心配してやってきたらしい。佐和子は、陸人の変化に気づかなかったのか、と拓人を責めた。そこに陸人が帰ってきた。陸人に休んでいる理由を尋ねる佐和子。しかし陸人は、これからは行くと言うだけだった。  次の日、佐和子は大学に行くという陸人を見送ると、彼のことを拓人に頼む。そんな佐和子に拓人は、放っておけばいい、と返す。陸人には医者になって跡を継いでもらわないと困る、という佐和子に対し、陸人"&amp;"は医者に向いていない、と言う拓人。すると佐和子は、陸人のことより自分の将来をもっと考えた方がいい、と言い放つ。別の日、拓人は職場の仲間たちにALSであることを告白しようと決意し・・・。")</f>
        <v>拓人(三浦春馬)は、恋人の恵(多部未華子)に別れを告げた。ALSを発症したことは言わなかった。拓人から病気のことを打ち明けられた守(風間俊介)も、恵のことを気にかけていた。しかし拓人は、彼女には絶対に知られたくない、という。同じころ恵は繁之(斎藤工)と会っていた。恵がウォーキングを始めたことを知った繁之は、あくる朝から一緒に歩くことにする。恵は母親の翔子(浅田美代子)にも拓人と別れたことを伝えた。振られたのは、翔子と拓人が一緒に食事した後のことだという。翔子は、拓人が何故自分に会いに来たのか気になっていた。  ある夜、拓人が帰宅すると、母・佐和子(原田美枝子)が来ていた。拓人の弟・陸人(野村周平)が大学に行っていないことを知り、心配してやってきたらしい。佐和子は、陸人の変化に気づかなかったのか、と拓人を責めた。そこに陸人が帰ってきた。陸人に休んでいる理由を尋ねる佐和子。しかし陸人は、これからは行くと言うだけだった。  次の日、佐和子は大学に行くという陸人を見送ると、彼のことを拓人に頼む。そんな佐和子に拓人は、放っておけばいい、と返す。陸人には医者になって跡を継いでもらわないと困る、という佐和子に対し、陸人は医者に向いていない、と言う拓人。すると佐和子は、陸人のことより自分の将来をもっと考えた方がいい、と言い放つ。別の日、拓人は職場の仲間たちにALSであることを告白しようと決意し・・・。</v>
      </c>
      <c r="N858" s="2"/>
      <c r="O858" s="2"/>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row>
    <row r="859" ht="204.75" customHeight="1">
      <c r="A859" s="1">
        <v>2926.0</v>
      </c>
      <c r="B859" s="2" t="s">
        <v>2736</v>
      </c>
      <c r="C859" s="2">
        <f>IFERROR(__xludf.DUMMYFUNCTION("split(B859,""_"")"),1401.0)</f>
        <v>1401</v>
      </c>
      <c r="D859" s="2" t="str">
        <f>IFERROR(__xludf.DUMMYFUNCTION("""COMPUTED_VALUE"""),"CX")</f>
        <v>CX</v>
      </c>
      <c r="E859" s="2" t="str">
        <f>IFERROR(__xludf.DUMMYFUNCTION("""COMPUTED_VALUE"""),"水22")</f>
        <v>水22</v>
      </c>
      <c r="F859" s="2" t="s">
        <v>2737</v>
      </c>
      <c r="G859" s="2" t="s">
        <v>2753</v>
      </c>
      <c r="H859" s="1">
        <v>6.0</v>
      </c>
      <c r="I859" s="1" t="s">
        <v>21</v>
      </c>
      <c r="J859" s="1" t="s">
        <v>86</v>
      </c>
      <c r="K859" s="2" t="s">
        <v>2754</v>
      </c>
      <c r="L859" s="2" t="s">
        <v>2755</v>
      </c>
      <c r="M859" s="2" t="str">
        <f>IFERROR(__xludf.DUMMYFUNCTION("split(split(K859,""三浦春馬　"",false),""公式LINE"",false)"),"拓人(三浦春馬)が恵(多部未華子)と別れてから1年半以上の月日が流れた。病状が進行した拓人は、電動車椅子を使って生活をしていた。親友の守(風間俊介)は、拓人のもとを度々訪れ、行動をともにしている。拓人の母・佐和子(原田美枝子)は、そんな守に感謝しながらも、大学に行かなくなった次男・陸人(野村周平)のことも心配でならない。一方恵は、介護施設の正社員になり、ALS患者の訪問介護などにも取り組んでいた。ある日恵は、交際している繁之(斎藤工)と相談して、母・翔子(浅田美代子)の誕生日にサプライズで花束を贈る。感激"&amp;"した翔子は、恵のことを頼むと繁之に告げた。拓人は、勤務先の家具屋で病状に合わせた仕事を用意してもらっていた。指先を動かすことが難しくなったいまは、パソコンのマウス操作で出来るレイアウトの仕事をしている。拓人の父・昭夫(小市慢太郎)は、ALSの治療について海外の論文なども調べ、拓人の主治医である谷本(吹越満)を訪ねる。谷本は、拓人に会えずにいる昭夫に、拓人が周囲の理解を得ながら自分に出来ることに懸命に取り組んでいることを伝える。そんなある日、守は、拓人と陸人を誘って電動車椅子サッカーの練習を見学に行く。チー"&amp;"ムのメンバーから手ほどきを受けながら練習に参加する拓人。その姿を見ていた陸人は、ふいになぜ兄と付き合っているのか、なぜ兄は楽しそうなのか、と守に問いかける。")</f>
        <v>拓人(三浦春馬)が恵(多部未華子)と別れてから1年半以上の月日が流れた。病状が進行した拓人は、電動車椅子を使って生活をしていた。親友の守(風間俊介)は、拓人のもとを度々訪れ、行動をともにしている。拓人の母・佐和子(原田美枝子)は、そんな守に感謝しながらも、大学に行かなくなった次男・陸人(野村周平)のことも心配でならない。一方恵は、介護施設の正社員になり、ALS患者の訪問介護などにも取り組んでいた。ある日恵は、交際している繁之(斎藤工)と相談して、母・翔子(浅田美代子)の誕生日にサプライズで花束を贈る。感激した翔子は、恵のことを頼むと繁之に告げた。拓人は、勤務先の家具屋で病状に合わせた仕事を用意してもらっていた。指先を動かすことが難しくなったいまは、パソコンのマウス操作で出来るレイアウトの仕事をしている。拓人の父・昭夫(小市慢太郎)は、ALSの治療について海外の論文なども調べ、拓人の主治医である谷本(吹越満)を訪ねる。谷本は、拓人に会えずにいる昭夫に、拓人が周囲の理解を得ながら自分に出来ることに懸命に取り組んでいることを伝える。そんなある日、守は、拓人と陸人を誘って電動車椅子サッカーの練習を見学に行く。チームのメンバーから手ほどきを受けながら練習に参加する拓人。その姿を見ていた陸人は、ふいになぜ兄と付き合っているのか、なぜ兄は楽しそうなのか、と守に問いかける。</v>
      </c>
      <c r="N859" s="2"/>
      <c r="O859" s="2"/>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row>
    <row r="860" ht="204.75" customHeight="1">
      <c r="A860" s="1">
        <v>2927.0</v>
      </c>
      <c r="B860" s="2" t="s">
        <v>2736</v>
      </c>
      <c r="C860" s="2">
        <f>IFERROR(__xludf.DUMMYFUNCTION("split(B860,""_"")"),1401.0)</f>
        <v>1401</v>
      </c>
      <c r="D860" s="2" t="str">
        <f>IFERROR(__xludf.DUMMYFUNCTION("""COMPUTED_VALUE"""),"CX")</f>
        <v>CX</v>
      </c>
      <c r="E860" s="2" t="str">
        <f>IFERROR(__xludf.DUMMYFUNCTION("""COMPUTED_VALUE"""),"水22")</f>
        <v>水22</v>
      </c>
      <c r="F860" s="2" t="s">
        <v>2737</v>
      </c>
      <c r="G860" s="2" t="s">
        <v>2756</v>
      </c>
      <c r="H860" s="1">
        <v>7.0</v>
      </c>
      <c r="I860" s="1" t="s">
        <v>25</v>
      </c>
      <c r="J860" s="1" t="s">
        <v>86</v>
      </c>
      <c r="K860" s="2" t="s">
        <v>2757</v>
      </c>
      <c r="L860" s="2" t="s">
        <v>2758</v>
      </c>
      <c r="M860" s="2" t="str">
        <f>IFERROR(__xludf.DUMMYFUNCTION("split(split(K860,""三浦春馬　"",false),""公式LINE"",false)"),"拓人(三浦春馬)は電動車椅子サッカーの練習中に、恵(多部未華子)と偶然再会した。ある日、恵は、陽菜(山本美月)から電話をもらう。近ごろ守(風間俊介)の様子がおかしいから尾行したいという。つき合わされた恵は、こっそり守の後をつけた。守が向かった先は、拓人が待つ公園だった。恵の手をとって拓人たちの元へと向かう陽菜。拓人は、慌てる守に、サッカーの練習中に恵と会ったことを伝え、せっかくだから4人で食事をしようと提案する。拓人のマンションを訪れた恵たちは、陸人(野村周平)も交えて一緒に食事をする。その途中陽菜は、守"&amp;"と陸人を誘って買い物に出かける。拓人とふたりきりになった恵は、借りていたマフラーを返し忘れていたことを謝った。そのとき、恵の携帯電話に繁之(斎藤工)から電話が入る。恵は、拓人の部屋にいることを打ち明け、帰宅したら事情を話すと繁之に伝える。日曜日、拓人たちのもとに母・佐和子(原田美枝子)と発病以来初めて父・昭夫(小市慢太郎)がやってきた。陸人は父と母に、大学には戻れないと伝えた。佐和子は、辞めることはいつでもできるのだからいま決める必要はない、と主張し、拓人も一度家に戻ろうと提案する。それに対し拓人は、仕事"&amp;"もあるからここに残りたいと返し、介護ヘルパーの利用時間を増やしてほしいと頼む。ひとり暮らしを始めた拓人は、宮前家具の店長から広告の仕事を任せられる。一方守は、恵と繁之の元を訪れ…")</f>
        <v>拓人(三浦春馬)は電動車椅子サッカーの練習中に、恵(多部未華子)と偶然再会した。ある日、恵は、陽菜(山本美月)から電話をもらう。近ごろ守(風間俊介)の様子がおかしいから尾行したいという。つき合わされた恵は、こっそり守の後をつけた。守が向かった先は、拓人が待つ公園だった。恵の手をとって拓人たちの元へと向かう陽菜。拓人は、慌てる守に、サッカーの練習中に恵と会ったことを伝え、せっかくだから4人で食事をしようと提案する。拓人のマンションを訪れた恵たちは、陸人(野村周平)も交えて一緒に食事をする。その途中陽菜は、守と陸人を誘って買い物に出かける。拓人とふたりきりになった恵は、借りていたマフラーを返し忘れていたことを謝った。そのとき、恵の携帯電話に繁之(斎藤工)から電話が入る。恵は、拓人の部屋にいることを打ち明け、帰宅したら事情を話すと繁之に伝える。日曜日、拓人たちのもとに母・佐和子(原田美枝子)と発病以来初めて父・昭夫(小市慢太郎)がやってきた。陸人は父と母に、大学には戻れないと伝えた。佐和子は、辞めることはいつでもできるのだからいま決める必要はない、と主張し、拓人も一度家に戻ろうと提案する。それに対し拓人は、仕事もあるからここに残りたいと返し、介護ヘルパーの利用時間を増やしてほしいと頼む。ひとり暮らしを始めた拓人は、宮前家具の店長から広告の仕事を任せられる。一方守は、恵と繁之の元を訪れ…</v>
      </c>
      <c r="N860" s="2"/>
      <c r="O860" s="2"/>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row>
    <row r="861" ht="204.75" customHeight="1">
      <c r="A861" s="1">
        <v>2928.0</v>
      </c>
      <c r="B861" s="2" t="s">
        <v>2736</v>
      </c>
      <c r="C861" s="2">
        <f>IFERROR(__xludf.DUMMYFUNCTION("split(B861,""_"")"),1401.0)</f>
        <v>1401</v>
      </c>
      <c r="D861" s="2" t="str">
        <f>IFERROR(__xludf.DUMMYFUNCTION("""COMPUTED_VALUE"""),"CX")</f>
        <v>CX</v>
      </c>
      <c r="E861" s="2" t="str">
        <f>IFERROR(__xludf.DUMMYFUNCTION("""COMPUTED_VALUE"""),"水22")</f>
        <v>水22</v>
      </c>
      <c r="F861" s="2" t="s">
        <v>2737</v>
      </c>
      <c r="G861" s="2" t="s">
        <v>2759</v>
      </c>
      <c r="H861" s="1">
        <v>8.0</v>
      </c>
      <c r="I861" s="1" t="s">
        <v>29</v>
      </c>
      <c r="J861" s="1" t="s">
        <v>86</v>
      </c>
      <c r="K861" s="2" t="s">
        <v>2760</v>
      </c>
      <c r="L861" s="2" t="s">
        <v>2761</v>
      </c>
      <c r="M861" s="2" t="str">
        <f>IFERROR(__xludf.DUMMYFUNCTION("split(split(K861,""三浦春馬　"",false),""公式LINE"",false)"),"拓人(三浦春馬)は、恵(多部未華子)が何度か自宅に手伝いに来てくれたことを守(風間俊介)に話す。恵と繁之(斎藤工)に会いに行き、拓人の手伝いを頼んだのは守だった。一方、恵は「一緒に暮らすことはできない」と繁之に伝える。恵とともに恵の自宅に戻った繁之は、「急ぎ過ぎたのかもしれない」と恵の母・翔子(浅田美代子)に話す。  　主治医の谷本(吹越満)を訪ねた拓人は、広告の仕事で一定の成果を上げたことを報告する。拓人自身は、できるだけ長くいまの職場で働くことを望んでいたが、パソコンのマウスを動かすことができなくなっ"&amp;"たら仕事を辞めて山梨の実家に帰ることも考えていた。拓人が家に戻ると、陸人(野村周平)が来ていた。実家にいても大学に戻れとしか言われないため、出てきてしまったのだという。  　そんな折、拓人のもとに翔子がやってくる。そこで翔子は、恵が「繁之とは一緒に暮らせない」と言い出したことを拓人に打ち明ける。拓人は、「会って話がしたい」と恵にメールを送った。恵に会った拓人は、「早く繁之と一緒に暮らした方が良いのではないか」と助言する。恵は、そんな拓人に、「一緒にいたい」と自分の気持ちを伝える。しかし拓人は、「生きている"&amp;"だけで精一杯の自分は、誰かの役に立てなくなり、誰かのために何もしてあげられない」と返し・・・。")</f>
        <v>拓人(三浦春馬)は、恵(多部未華子)が何度か自宅に手伝いに来てくれたことを守(風間俊介)に話す。恵と繁之(斎藤工)に会いに行き、拓人の手伝いを頼んだのは守だった。一方、恵は「一緒に暮らすことはできない」と繁之に伝える。恵とともに恵の自宅に戻った繁之は、「急ぎ過ぎたのかもしれない」と恵の母・翔子(浅田美代子)に話す。  　主治医の谷本(吹越満)を訪ねた拓人は、広告の仕事で一定の成果を上げたことを報告する。拓人自身は、できるだけ長くいまの職場で働くことを望んでいたが、パソコンのマウスを動かすことができなくなったら仕事を辞めて山梨の実家に帰ることも考えていた。拓人が家に戻ると、陸人(野村周平)が来ていた。実家にいても大学に戻れとしか言われないため、出てきてしまったのだという。  　そんな折、拓人のもとに翔子がやってくる。そこで翔子は、恵が「繁之とは一緒に暮らせない」と言い出したことを拓人に打ち明ける。拓人は、「会って話がしたい」と恵にメールを送った。恵に会った拓人は、「早く繁之と一緒に暮らした方が良いのではないか」と助言する。恵は、そんな拓人に、「一緒にいたい」と自分の気持ちを伝える。しかし拓人は、「生きているだけで精一杯の自分は、誰かの役に立てなくなり、誰かのために何もしてあげられない」と返し・・・。</v>
      </c>
      <c r="N861" s="2"/>
      <c r="O861" s="2"/>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row>
    <row r="862" ht="204.75" customHeight="1">
      <c r="A862" s="1">
        <v>2929.0</v>
      </c>
      <c r="B862" s="2" t="s">
        <v>2736</v>
      </c>
      <c r="C862" s="2">
        <f>IFERROR(__xludf.DUMMYFUNCTION("split(B862,""_"")"),1401.0)</f>
        <v>1401</v>
      </c>
      <c r="D862" s="2" t="str">
        <f>IFERROR(__xludf.DUMMYFUNCTION("""COMPUTED_VALUE"""),"CX")</f>
        <v>CX</v>
      </c>
      <c r="E862" s="2" t="str">
        <f>IFERROR(__xludf.DUMMYFUNCTION("""COMPUTED_VALUE"""),"水22")</f>
        <v>水22</v>
      </c>
      <c r="F862" s="2" t="s">
        <v>2737</v>
      </c>
      <c r="G862" s="2" t="s">
        <v>2762</v>
      </c>
      <c r="H862" s="1">
        <v>9.0</v>
      </c>
      <c r="I862" s="1" t="s">
        <v>33</v>
      </c>
      <c r="J862" s="1" t="s">
        <v>86</v>
      </c>
      <c r="K862" s="2" t="s">
        <v>2763</v>
      </c>
      <c r="L862" s="2" t="s">
        <v>2764</v>
      </c>
      <c r="M862" s="2" t="str">
        <f>IFERROR(__xludf.DUMMYFUNCTION("split(split(K862,""三浦春馬　"",false),""公式LINE"",false)"),"拓人(三浦春馬)は、母・佐和子(原田美枝子)に恵(多部未華子)のことを紹介する。その後、本郷家を訪れた拓人は、恵の母・翔子(浅田美代子)に、また恵と親しくさせてもらうことになったと報告した。拓人が帰った後、翔子は、繁之(斎藤工)は納得しているのかと恵に問いかけ、こんなことは許されない、と告げる。  　拓人は、恵とともに主治医の谷本(吹越満)を訪ねる。谷本は、病状が進行し呼吸筋の麻痺が強くなった場合は人工呼吸器を装着することになるが、命に関わる問題でもあるため、そのときは家族も含めて一緒に考えていくことにな"&amp;"ると拓人と恵に伝える。  　別の日、拓人のマンションに、恵、守(風間俊介)、陽菜(山本美月)が集まり、一緒に食事をすることになった。守は、以前、拓人から捨てるよう頼まれていたペアのマグカップを拓人に返す。その席で、守は陽菜に交際を申し込むが・・・。  　そんなある日、拓人たちの元に、両親がやってくる。陸人(野村周平)が人間関係への不安などから食欲不振に陥っていることを知った父・昭夫(小市慢太郎)は、ただの甘えだと非難した。拓人は、家族だからこそ、陸人の苦しみを理解してやるべきだと昭夫に告げる。  　その夜"&amp;"、拓人の元に、ALS患者の今井保(河原健二)からメールが届く。病状が進み、しゃべることもできなくなった今井がある決断をしたことを知った拓人は・・・。")</f>
        <v>拓人(三浦春馬)は、母・佐和子(原田美枝子)に恵(多部未華子)のことを紹介する。その後、本郷家を訪れた拓人は、恵の母・翔子(浅田美代子)に、また恵と親しくさせてもらうことになったと報告した。拓人が帰った後、翔子は、繁之(斎藤工)は納得しているのかと恵に問いかけ、こんなことは許されない、と告げる。  　拓人は、恵とともに主治医の谷本(吹越満)を訪ねる。谷本は、病状が進行し呼吸筋の麻痺が強くなった場合は人工呼吸器を装着することになるが、命に関わる問題でもあるため、そのときは家族も含めて一緒に考えていくことになると拓人と恵に伝える。  　別の日、拓人のマンションに、恵、守(風間俊介)、陽菜(山本美月)が集まり、一緒に食事をすることになった。守は、以前、拓人から捨てるよう頼まれていたペアのマグカップを拓人に返す。その席で、守は陽菜に交際を申し込むが・・・。  　そんなある日、拓人たちの元に、両親がやってくる。陸人(野村周平)が人間関係への不安などから食欲不振に陥っていることを知った父・昭夫(小市慢太郎)は、ただの甘えだと非難した。拓人は、家族だからこそ、陸人の苦しみを理解してやるべきだと昭夫に告げる。  　その夜、拓人の元に、ALS患者の今井保(河原健二)からメールが届く。病状が進み、しゃべることもできなくなった今井がある決断をしたことを知った拓人は・・・。</v>
      </c>
      <c r="N862" s="2"/>
      <c r="O862" s="2"/>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row>
    <row r="863" ht="204.75" customHeight="1">
      <c r="A863" s="1">
        <v>2930.0</v>
      </c>
      <c r="B863" s="2" t="s">
        <v>2736</v>
      </c>
      <c r="C863" s="2">
        <f>IFERROR(__xludf.DUMMYFUNCTION("split(B863,""_"")"),1401.0)</f>
        <v>1401</v>
      </c>
      <c r="D863" s="2" t="str">
        <f>IFERROR(__xludf.DUMMYFUNCTION("""COMPUTED_VALUE"""),"CX")</f>
        <v>CX</v>
      </c>
      <c r="E863" s="2" t="str">
        <f>IFERROR(__xludf.DUMMYFUNCTION("""COMPUTED_VALUE"""),"水22")</f>
        <v>水22</v>
      </c>
      <c r="F863" s="2" t="s">
        <v>2737</v>
      </c>
      <c r="G863" s="2" t="s">
        <v>2765</v>
      </c>
      <c r="H863" s="1">
        <v>10.0</v>
      </c>
      <c r="I863" s="1" t="s">
        <v>37</v>
      </c>
      <c r="J863" s="1" t="s">
        <v>86</v>
      </c>
      <c r="K863" s="2" t="s">
        <v>2766</v>
      </c>
      <c r="L863" s="8" t="s">
        <v>2767</v>
      </c>
      <c r="M863" s="2" t="str">
        <f>IFERROR(__xludf.DUMMYFUNCTION("split(split(K863,""三浦春馬　"",false),""公式LINE"",false)"),"『僕のいた時間』公式HPは、http://www.fujitv.co.jp/bokunoitajikan/　拓人(三浦春馬)は、母・佐和子(原田美枝子)に、恵(多部未華子)と一緒に暮らしたいと話す。佐和子は、恵の母・翔子(浅田美代子)のことを気づかいながらも、ふたりの気持ちを尊重する。恵は実家に戻り、必要な荷物をまとめる。そんな恵に対して翔子は、二度とこの家に戻らない覚悟があるなら行きなさい、と告げる。  　一方、医学部を目指して勉強を始めた拓人は、恵や弟・陸人(野村周平)に支えられながら、充実した日々を"&amp;"送る。“メグとたくさん笑った""“メグとシャボン玉をした""と、拓人のノートには、恵と一緒にしたことがいくつもつづられるようになっていた。  　ある日、拓人たちのもとに守(風間俊介)と陽菜(山本美月)がやってくる。拓人と恵は、結婚する守たちに手作りのアロマキャンドルをプレゼントした。そこで拓人は、医学部を受験することを守たちにも打ち明ける。  　一方、陸人は、アルバイトをしようと思っていると拓人に告げる。人と接する仕事はまだ不安があるため、ホームセンターの商品管理をするつもりだという。しかし、商品管理でも"&amp;"人との関わりは避けられない、という拓人の言葉に不安を覚える陸人。すると拓人は、自分も会社の同僚たちに病気のことを知られたらどう思われるか不安に思い、ALS(筋萎縮性側索硬化症)についてのプリントを配るときは緊張した、と話し・・・。  　そんな折、守と陽菜の結婚式が行われる。")</f>
        <v>『僕のいた時間』公式HPは、http://www.fujitv.co.jp/bokunoitajikan/　拓人(三浦春馬)は、母・佐和子(原田美枝子)に、恵(多部未華子)と一緒に暮らしたいと話す。佐和子は、恵の母・翔子(浅田美代子)のことを気づかいながらも、ふたりの気持ちを尊重する。恵は実家に戻り、必要な荷物をまとめる。そんな恵に対して翔子は、二度とこの家に戻らない覚悟があるなら行きなさい、と告げる。  　一方、医学部を目指して勉強を始めた拓人は、恵や弟・陸人(野村周平)に支えられながら、充実した日々を送る。“メグとたくさん笑った"“メグとシャボン玉をした"と、拓人のノートには、恵と一緒にしたことがいくつもつづられるようになっていた。  　ある日、拓人たちのもとに守(風間俊介)と陽菜(山本美月)がやってくる。拓人と恵は、結婚する守たちに手作りのアロマキャンドルをプレゼントした。そこで拓人は、医学部を受験することを守たちにも打ち明ける。  　一方、陸人は、アルバイトをしようと思っていると拓人に告げる。人と接する仕事はまだ不安があるため、ホームセンターの商品管理をするつもりだという。しかし、商品管理でも人との関わりは避けられない、という拓人の言葉に不安を覚える陸人。すると拓人は、自分も会社の同僚たちに病気のことを知られたらどう思われるか不安に思い、ALS(筋萎縮性側索硬化症)についてのプリントを配るときは緊張した、と話し・・・。  　そんな折、守と陽菜の結婚式が行われる。</v>
      </c>
      <c r="N863" s="2"/>
      <c r="O863" s="2"/>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row>
    <row r="864" ht="204.75" customHeight="1">
      <c r="A864" s="1">
        <v>2931.0</v>
      </c>
      <c r="B864" s="2" t="s">
        <v>2736</v>
      </c>
      <c r="C864" s="2">
        <f>IFERROR(__xludf.DUMMYFUNCTION("split(B864,""_"")"),1401.0)</f>
        <v>1401</v>
      </c>
      <c r="D864" s="2" t="str">
        <f>IFERROR(__xludf.DUMMYFUNCTION("""COMPUTED_VALUE"""),"CX")</f>
        <v>CX</v>
      </c>
      <c r="E864" s="2" t="str">
        <f>IFERROR(__xludf.DUMMYFUNCTION("""COMPUTED_VALUE"""),"水22")</f>
        <v>水22</v>
      </c>
      <c r="F864" s="2" t="s">
        <v>2737</v>
      </c>
      <c r="G864" s="2" t="s">
        <v>2768</v>
      </c>
      <c r="H864" s="1">
        <v>11.0</v>
      </c>
      <c r="I864" s="1" t="s">
        <v>41</v>
      </c>
      <c r="J864" s="1" t="s">
        <v>86</v>
      </c>
      <c r="K864" s="2" t="s">
        <v>2769</v>
      </c>
      <c r="L864" s="8" t="s">
        <v>2770</v>
      </c>
      <c r="M864" s="2" t="str">
        <f>IFERROR(__xludf.DUMMYFUNCTION("split(split(K864,""三浦春馬　"",false),""公式LINE"",false)"),"『僕のいた時間』公式HPは、http://www.fujitv.co.jp/bokunoitajikan/　死にたいわけじゃない、生きるのが怖いんだ・・・。  　突然姿を消した拓人(三浦春馬)は、降りしきる雨の中、車椅子ごと転倒し病院に収容される。病院へかけつける恵(多部未華子)、守(風間俊介)、弟の陸人(野村周平)、母の佐和子(原田美枝子)、父の昭夫(小市慢太郎)。「今は、拓人さんが周りの人たちと一緒に生きている幸せを実感できるよう、1日、1日を積み重ねていくことに専念しましょう」と、主治医の谷本(吹越"&amp;"満)は、恵たちにそう伝える・・・。  　生きる意味とは?自分が自分であり続けるためには?  　恋人、友人、家族・・・大切な人たちの思いの中で、拓人が見つけた答えとは・・・。")</f>
        <v>『僕のいた時間』公式HPは、http://www.fujitv.co.jp/bokunoitajikan/　死にたいわけじゃない、生きるのが怖いんだ・・・。  　突然姿を消した拓人(三浦春馬)は、降りしきる雨の中、車椅子ごと転倒し病院に収容される。病院へかけつける恵(多部未華子)、守(風間俊介)、弟の陸人(野村周平)、母の佐和子(原田美枝子)、父の昭夫(小市慢太郎)。「今は、拓人さんが周りの人たちと一緒に生きている幸せを実感できるよう、1日、1日を積み重ねていくことに専念しましょう」と、主治医の谷本(吹越満)は、恵たちにそう伝える・・・。  　生きる意味とは?自分が自分であり続けるためには?  　恋人、友人、家族・・・大切な人たちの思いの中で、拓人が見つけた答えとは・・・。</v>
      </c>
      <c r="N864" s="2"/>
      <c r="O864" s="2"/>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row>
    <row r="865" ht="204.75" customHeight="1">
      <c r="A865" s="1">
        <v>2952.0</v>
      </c>
      <c r="B865" s="2" t="s">
        <v>2771</v>
      </c>
      <c r="C865" s="2">
        <f>IFERROR(__xludf.DUMMYFUNCTION("split(B865,""_"")"),1401.0)</f>
        <v>1401</v>
      </c>
      <c r="D865" s="2" t="str">
        <f>IFERROR(__xludf.DUMMYFUNCTION("""COMPUTED_VALUE"""),"CX")</f>
        <v>CX</v>
      </c>
      <c r="E865" s="2" t="str">
        <f>IFERROR(__xludf.DUMMYFUNCTION("""COMPUTED_VALUE"""),"木22")</f>
        <v>木22</v>
      </c>
      <c r="F865" s="2" t="s">
        <v>2772</v>
      </c>
      <c r="G865" s="2" t="s">
        <v>2773</v>
      </c>
      <c r="H865" s="1">
        <v>1.0</v>
      </c>
      <c r="I865" s="1" t="s">
        <v>3</v>
      </c>
      <c r="J865" s="1" t="s">
        <v>4</v>
      </c>
      <c r="K865" s="4" t="s">
        <v>2774</v>
      </c>
      <c r="L865" s="10" t="s">
        <v>2775</v>
      </c>
      <c r="M865" s="2" t="str">
        <f>IFERROR(__xludf.DUMMYFUNCTION("split(split(K865,""坂口憲二　"",false),""TMD_PR"",false)"),"新シリーズ『医龍4』がいよいよ始まります。今回は『世界か日本か』をテーマに、新キャストに高橋克典、平幹二朗らを加え、かつてない壮大なスケールで幕を開けます。■http://www.fujitv.co.jp/iryu4/■FB:https://www.facebook.com/fujitv.iryu■ツイッターアカウント:@iryu4_")</f>
        <v>新シリーズ『医龍4』がいよいよ始まります。今回は『世界か日本か』をテーマに、新キャストに高橋克典、平幹二朗らを加え、かつてない壮大なスケールで幕を開けます。■http://www.fujitv.co.jp/iryu4/■FB:https://www.facebook.com/fujitv.iryu■ツイッターアカウント:@iryu4_</v>
      </c>
      <c r="N865" s="2" t="str">
        <f>IFERROR(__xludf.DUMMYFUNCTION("""COMPUTED_VALUE"""),"　とある紛争地帯でMSAP(万人のための医師団)の一員として活動している朝田龍太郎(坂口憲二)は、治療道具が十分でない中、大けがをした少年のオペに挑んでいた。一方、経営コンサルタントの岡村征(高橋克典)は、海外で商談を成立させると日本の“ある男""に電話をするー。大病院「L&amp;P病院」では、外科部長の木原毅彦(池田鉄洋)が早川昭吾(柄本佑)ら研修医に院内にある最先端設備を誇らしげに紹介していた。同じ地区にありながら古びた「桜井総合病院」は研修医も来ず、医師は院長である桜井修三(平幹二朗)のみという状況。患者"&amp;"の流出も避けられず、肺を患って手術が必要な患者の森本(上條恒彦)も、成功率の低い手術をこの病院で受けるのは不安だと手術を拒んでいた。  　ある日、「L&amp;P病院」のERに救急患者・中原がやってきた。自動検査システムを終えオペが始まる直前になり、検査データを受け取っていた岡村から木原にオペ中止の指示が入る。受け入れを拒否され「L&amp;P病院」を出された中原は、自らの希望もあり「桜井総合病院」に運ばれた。すぐにオペ室に運ばれるが、症状悪化でできる処置がないとの判断が。一同があきらめかけたその時、朝田がやってきた…!"&amp;"自分の恩師である桜井の元で働くことになった朝田は、それぞれの病院で働いている加藤晶(稲森いずみ)、伊集院登(小池徹平)、荒瀬門次(阿部サダヲ)、藤吉圭介(佐々木蔵之介)の元を訪ねる。")</f>
        <v>　とある紛争地帯でMSAP(万人のための医師団)の一員として活動している朝田龍太郎(坂口憲二)は、治療道具が十分でない中、大けがをした少年のオペに挑んでいた。一方、経営コンサルタントの岡村征(高橋克典)は、海外で商談を成立させると日本の“ある男"に電話をするー。大病院「L&amp;P病院」では、外科部長の木原毅彦(池田鉄洋)が早川昭吾(柄本佑)ら研修医に院内にある最先端設備を誇らしげに紹介していた。同じ地区にありながら古びた「桜井総合病院」は研修医も来ず、医師は院長である桜井修三(平幹二朗)のみという状況。患者の流出も避けられず、肺を患って手術が必要な患者の森本(上條恒彦)も、成功率の低い手術をこの病院で受けるのは不安だと手術を拒んでいた。  　ある日、「L&amp;P病院」のERに救急患者・中原がやってきた。自動検査システムを終えオペが始まる直前になり、検査データを受け取っていた岡村から木原にオペ中止の指示が入る。受け入れを拒否され「L&amp;P病院」を出された中原は、自らの希望もあり「桜井総合病院」に運ばれた。すぐにオペ室に運ばれるが、症状悪化でできる処置がないとの判断が。一同があきらめかけたその時、朝田がやってきた…!自分の恩師である桜井の元で働くことになった朝田は、それぞれの病院で働いている加藤晶(稲森いずみ)、伊集院登(小池徹平)、荒瀬門次(阿部サダヲ)、藤吉圭介(佐々木蔵之介)の元を訪ねる。</v>
      </c>
      <c r="O865" s="2"/>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row>
    <row r="866" ht="204.75" customHeight="1">
      <c r="A866" s="1">
        <v>2953.0</v>
      </c>
      <c r="B866" s="2" t="s">
        <v>2771</v>
      </c>
      <c r="C866" s="2">
        <f>IFERROR(__xludf.DUMMYFUNCTION("split(B866,""_"")"),1401.0)</f>
        <v>1401</v>
      </c>
      <c r="D866" s="2" t="str">
        <f>IFERROR(__xludf.DUMMYFUNCTION("""COMPUTED_VALUE"""),"CX")</f>
        <v>CX</v>
      </c>
      <c r="E866" s="2" t="str">
        <f>IFERROR(__xludf.DUMMYFUNCTION("""COMPUTED_VALUE"""),"木22")</f>
        <v>木22</v>
      </c>
      <c r="F866" s="2" t="s">
        <v>2772</v>
      </c>
      <c r="G866" s="2" t="s">
        <v>2776</v>
      </c>
      <c r="H866" s="1">
        <v>2.0</v>
      </c>
      <c r="I866" s="1" t="s">
        <v>7</v>
      </c>
      <c r="J866" s="1" t="s">
        <v>86</v>
      </c>
      <c r="K866" s="2" t="s">
        <v>2777</v>
      </c>
      <c r="L866" s="2" t="s">
        <v>2778</v>
      </c>
      <c r="M866" s="2" t="str">
        <f>IFERROR(__xludf.DUMMYFUNCTION("split(split(K866,""坂口憲二　"",false),""TMD_PR"",false)"),"新シリーズ『医龍4』がいよいよ始まります。今回は『世界か日本か』をテーマに、新キャストに高橋克典、平幹二朗らを加え、かつてない壮大なスケールで幕を開けます。■http://www.fujitv.co.jp/iryu4/■FB:https://www.facebook.com/fujitv.iryu■ツイッターアカウント:@iryu4_")</f>
        <v>新シリーズ『医龍4』がいよいよ始まります。今回は『世界か日本か』をテーマに、新キャストに高橋克典、平幹二朗らを加え、かつてない壮大なスケールで幕を開けます。■http://www.fujitv.co.jp/iryu4/■FB:https://www.facebook.com/fujitv.iryu■ツイッターアカウント:@iryu4_</v>
      </c>
      <c r="N866" s="2" t="str">
        <f>IFERROR(__xludf.DUMMYFUNCTION("""COMPUTED_VALUE"""),"　朝田龍太郎(坂口憲二)の呼びかけにより、桜井総合病院に加藤晶(稲森いずみ)、伊集院登(小池徹平)、荒瀬門次(阿部サダヲ)が集結した。朝田はもう1人のチームドラゴンのメンバーである藤吉圭介(佐々木蔵之介)を訪ねてある国立病院へ向かう。しかし、藤吉は最先端医療である心筋シートの研究を行いながら拡張型心筋症を患っている6歳の富田加奈(玉野るな)の治療にあたっているため、桜井総合病院へ移るのは難しい。　一方、L&amp;P病院では、ER部長に鬼頭笙子(夏木マリ)が就任したことで受け入れ率がアップしていた。その実績にとも"&amp;"ない、L&amp;P病院の顧問である野口賢雄(岸部一徳)と経営コンサルタントの岡村征(高橋克典)は、目論んでいる医療特区構想が着々と進行していることに満足する。  　藤吉が桜井総合病院を訪ねて来た。加奈の病状が悪化していて、心筋シートが使えるようになるまでの間、弱った心臓をなんとか持たせるためのオペを依頼するためだった。難しいオペではあるがチームドラゴンでなら成し遂げられると判断するが、いざオペを行うとなると、桜井総合病院の設備が不十分なことが指摘される。打ち合わせに参加していた桜井修三(平幹二朗)は、L&amp;P病院"&amp;"へ協力を要請することを決める。チームドラゴンがL&amp;P病院に来ると聞いて、ほくそ笑む野口と岡村。  　加奈の転院に合わせて朝田たちもやって来た。偶然、廊下で対峙した朝田と岡村は…。")</f>
        <v>　朝田龍太郎(坂口憲二)の呼びかけにより、桜井総合病院に加藤晶(稲森いずみ)、伊集院登(小池徹平)、荒瀬門次(阿部サダヲ)が集結した。朝田はもう1人のチームドラゴンのメンバーである藤吉圭介(佐々木蔵之介)を訪ねてある国立病院へ向かう。しかし、藤吉は最先端医療である心筋シートの研究を行いながら拡張型心筋症を患っている6歳の富田加奈(玉野るな)の治療にあたっているため、桜井総合病院へ移るのは難しい。　一方、L&amp;P病院では、ER部長に鬼頭笙子(夏木マリ)が就任したことで受け入れ率がアップしていた。その実績にともない、L&amp;P病院の顧問である野口賢雄(岸部一徳)と経営コンサルタントの岡村征(高橋克典)は、目論んでいる医療特区構想が着々と進行していることに満足する。  　藤吉が桜井総合病院を訪ねて来た。加奈の病状が悪化していて、心筋シートが使えるようになるまでの間、弱った心臓をなんとか持たせるためのオペを依頼するためだった。難しいオペではあるがチームドラゴンでなら成し遂げられると判断するが、いざオペを行うとなると、桜井総合病院の設備が不十分なことが指摘される。打ち合わせに参加していた桜井修三(平幹二朗)は、L&amp;P病院へ協力を要請することを決める。チームドラゴンがL&amp;P病院に来ると聞いて、ほくそ笑む野口と岡村。  　加奈の転院に合わせて朝田たちもやって来た。偶然、廊下で対峙した朝田と岡村は…。</v>
      </c>
      <c r="O866" s="2"/>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row>
    <row r="867" ht="204.75" customHeight="1">
      <c r="A867" s="1">
        <v>2954.0</v>
      </c>
      <c r="B867" s="2" t="s">
        <v>2771</v>
      </c>
      <c r="C867" s="2">
        <f>IFERROR(__xludf.DUMMYFUNCTION("split(B867,""_"")"),1401.0)</f>
        <v>1401</v>
      </c>
      <c r="D867" s="2" t="str">
        <f>IFERROR(__xludf.DUMMYFUNCTION("""COMPUTED_VALUE"""),"CX")</f>
        <v>CX</v>
      </c>
      <c r="E867" s="2" t="str">
        <f>IFERROR(__xludf.DUMMYFUNCTION("""COMPUTED_VALUE"""),"木22")</f>
        <v>木22</v>
      </c>
      <c r="F867" s="2" t="s">
        <v>2772</v>
      </c>
      <c r="G867" s="2" t="s">
        <v>2779</v>
      </c>
      <c r="H867" s="1">
        <v>3.0</v>
      </c>
      <c r="I867" s="1" t="s">
        <v>10</v>
      </c>
      <c r="J867" s="1" t="s">
        <v>86</v>
      </c>
      <c r="K867" s="2" t="s">
        <v>2780</v>
      </c>
      <c r="L867" s="2" t="s">
        <v>2781</v>
      </c>
      <c r="M867" s="2" t="str">
        <f>IFERROR(__xludf.DUMMYFUNCTION("split(split(K867,""坂口憲二　"",false),""TMD_PR"",false)"),"新シリーズ『医龍4』がいよいよ始まります。今回は『世界か日本か』をテーマに、新キャストに高橋克典、平幹二朗らを加え、かつてない壮大なスケールで幕を開けます。■http://www.fujitv.co.jp/iryu4/■FB:https://www.facebook.com/fujitv.iryu■ツイッターアカウント:@iryu4_")</f>
        <v>新シリーズ『医龍4』がいよいよ始まります。今回は『世界か日本か』をテーマに、新キャストに高橋克典、平幹二朗らを加え、かつてない壮大なスケールで幕を開けます。■http://www.fujitv.co.jp/iryu4/■FB:https://www.facebook.com/fujitv.iryu■ツイッターアカウント:@iryu4_</v>
      </c>
      <c r="N867" s="2" t="str">
        <f>IFERROR(__xludf.DUMMYFUNCTION("""COMPUTED_VALUE"""),"　朝田龍太郎(坂口憲二)、加藤晶(稲森いずみ)、伊集院登(小池徹平)、荒瀬門次(阿部サダヲ)がL&amp;P病院の施設を借りて手術を予定していた拡張型心筋症の小児患者・富田加奈(玉野るな)だが、手術に必要となる薬が使えないことが判明した。藤吉圭介(佐々木蔵之介)が研究中の心筋シートを使えば手術は可能だが、まだ認可が下りていなかった。  　そんな中、L&amp;P病院に入院中の加奈の様態が急変する。緊急手術が必要となり、朝田は苦渋の決断で救命のための最小限の手術を行うことを提案するが、藤吉はあまりにもリスクが高すぎると反対"&amp;"する。打つ手をなくして黙り込むチームドラゴン。そこへ桜井修三(平幹二朗)がやってきてヒルジンを使うようにと指示を出す。ヒルジンは、加奈が使用できない薬の代用にはなるが、日本では未認可の薬だった。患者のためにベストを尽くすのが医者だという桜井の言葉を聞き、ヒルジンを使う決意をする朝田たち。カンファレンスルームでの朝田たちの会話を廊下で立ち聞きしていた木原毅彦(池田鉄洋)は、慌てて岡村征(高橋克典)に報告に向かう。朝田たちが手術に向かおうとカンファレンスルームを出ると、目の前に岡村が立ちはだかり…。  　朝田"&amp;"たちによる加奈の緊急手術が始まった。見学室には藤吉、岡村のほかL&amp;P病院の医師や研修医たちが集まってくる。そんな中、手術を行っていた朝田の手が急に止まってしまう。")</f>
        <v>　朝田龍太郎(坂口憲二)、加藤晶(稲森いずみ)、伊集院登(小池徹平)、荒瀬門次(阿部サダヲ)がL&amp;P病院の施設を借りて手術を予定していた拡張型心筋症の小児患者・富田加奈(玉野るな)だが、手術に必要となる薬が使えないことが判明した。藤吉圭介(佐々木蔵之介)が研究中の心筋シートを使えば手術は可能だが、まだ認可が下りていなかった。  　そんな中、L&amp;P病院に入院中の加奈の様態が急変する。緊急手術が必要となり、朝田は苦渋の決断で救命のための最小限の手術を行うことを提案するが、藤吉はあまりにもリスクが高すぎると反対する。打つ手をなくして黙り込むチームドラゴン。そこへ桜井修三(平幹二朗)がやってきてヒルジンを使うようにと指示を出す。ヒルジンは、加奈が使用できない薬の代用にはなるが、日本では未認可の薬だった。患者のためにベストを尽くすのが医者だという桜井の言葉を聞き、ヒルジンを使う決意をする朝田たち。カンファレンスルームでの朝田たちの会話を廊下で立ち聞きしていた木原毅彦(池田鉄洋)は、慌てて岡村征(高橋克典)に報告に向かう。朝田たちが手術に向かおうとカンファレンスルームを出ると、目の前に岡村が立ちはだかり…。  　朝田たちによる加奈の緊急手術が始まった。見学室には藤吉、岡村のほかL&amp;P病院の医師や研修医たちが集まってくる。そんな中、手術を行っていた朝田の手が急に止まってしまう。</v>
      </c>
      <c r="O867" s="2"/>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row>
    <row r="868" ht="204.75" customHeight="1">
      <c r="A868" s="1">
        <v>2955.0</v>
      </c>
      <c r="B868" s="2" t="s">
        <v>2771</v>
      </c>
      <c r="C868" s="2">
        <f>IFERROR(__xludf.DUMMYFUNCTION("split(B868,""_"")"),1401.0)</f>
        <v>1401</v>
      </c>
      <c r="D868" s="2" t="str">
        <f>IFERROR(__xludf.DUMMYFUNCTION("""COMPUTED_VALUE"""),"CX")</f>
        <v>CX</v>
      </c>
      <c r="E868" s="2" t="str">
        <f>IFERROR(__xludf.DUMMYFUNCTION("""COMPUTED_VALUE"""),"木22")</f>
        <v>木22</v>
      </c>
      <c r="F868" s="2" t="s">
        <v>2772</v>
      </c>
      <c r="G868" s="2" t="s">
        <v>2782</v>
      </c>
      <c r="H868" s="1">
        <v>4.0</v>
      </c>
      <c r="I868" s="1" t="s">
        <v>14</v>
      </c>
      <c r="J868" s="1" t="s">
        <v>86</v>
      </c>
      <c r="K868" s="2" t="s">
        <v>2783</v>
      </c>
      <c r="L868" s="2" t="s">
        <v>2784</v>
      </c>
      <c r="M868" s="2" t="str">
        <f>IFERROR(__xludf.DUMMYFUNCTION("split(split(K868,""坂口憲二　"",false),""TMD_PR"",false)"),"新シリーズ『医龍4』がいよいよ始まります。今回は『世界か日本か』をテーマに、新キャストに高橋克典、平幹二朗らを加え、かつてない壮大なスケールで幕を開けます。■http://www.fujitv.co.jp/iryu4/■FB:https://www.facebook.com/fujitv.iryu■ツイッターアカウント:@iryu4_")</f>
        <v>新シリーズ『医龍4』がいよいよ始まります。今回は『世界か日本か』をテーマに、新キャストに高橋克典、平幹二朗らを加え、かつてない壮大なスケールで幕を開けます。■http://www.fujitv.co.jp/iryu4/■FB:https://www.facebook.com/fujitv.iryu■ツイッターアカウント:@iryu4_</v>
      </c>
      <c r="N868" s="2" t="str">
        <f>IFERROR(__xludf.DUMMYFUNCTION("""COMPUTED_VALUE"""),"　朝田龍太郎(坂口憲二)たちチームドラゴンで挑んだ拡張型心筋症の富田加奈(玉野るな)の手術は、藤吉圭介(佐々木蔵之介)が研究していた心筋シートが使用できたことで無事に終了した。野口賢雄(岸部一徳)と岡村征(高橋克典)はそれを大々的に報道。世界最先端の治療を臨床試験として行える“スーパー医療特区""となったL&amp;P病院が世界進出を果たすための手段の一つとして利用していた。  　心筋シートを使う代わりにL&amp;P病院の研究員となった藤吉の研究室に岡村がやってきた。岡村は、藤吉により多くの患者を救うためにアメリカに渡"&amp;"って欲しいと打診する。戸惑う藤吉は…。  　野口が「世界エネルギーサミット」の会場にやってくると、サミット後にL&amp;P病院に視察に来る予定のアフマド大臣が腹痛を訴えていた。虫垂炎と診断した野口はL&amp;P病院に運ばせる。同じころ、桜井総合病院に出前を持ってきたアフリカ人のカビルが腹痛を訴えて倒れた。虫垂炎だとわかり手術を勧めるが、お金も時間もないと断る彼のため、朝田たちは術後の負担が少なくなるように最小限の麻酔や切開で手術を行うことにする。一方、L&amp;P病院へ運ばれたアフマドはロボットによる手術を受けていた。虫垂"&amp;"炎の手術は無事に成功するが、術前検査で異常が発見され…。  　そんな折、岡村は研修医の早川昭吾(柄本佑)に桜井総合病院へ研修に行くよう勧める。さらに岡村は加藤晶(稲森いずみ)も呼び出し…。")</f>
        <v>　朝田龍太郎(坂口憲二)たちチームドラゴンで挑んだ拡張型心筋症の富田加奈(玉野るな)の手術は、藤吉圭介(佐々木蔵之介)が研究していた心筋シートが使用できたことで無事に終了した。野口賢雄(岸部一徳)と岡村征(高橋克典)はそれを大々的に報道。世界最先端の治療を臨床試験として行える“スーパー医療特区"となったL&amp;P病院が世界進出を果たすための手段の一つとして利用していた。  　心筋シートを使う代わりにL&amp;P病院の研究員となった藤吉の研究室に岡村がやってきた。岡村は、藤吉により多くの患者を救うためにアメリカに渡って欲しいと打診する。戸惑う藤吉は…。  　野口が「世界エネルギーサミット」の会場にやってくると、サミット後にL&amp;P病院に視察に来る予定のアフマド大臣が腹痛を訴えていた。虫垂炎と診断した野口はL&amp;P病院に運ばせる。同じころ、桜井総合病院に出前を持ってきたアフリカ人のカビルが腹痛を訴えて倒れた。虫垂炎だとわかり手術を勧めるが、お金も時間もないと断る彼のため、朝田たちは術後の負担が少なくなるように最小限の麻酔や切開で手術を行うことにする。一方、L&amp;P病院へ運ばれたアフマドはロボットによる手術を受けていた。虫垂炎の手術は無事に成功するが、術前検査で異常が発見され…。  　そんな折、岡村は研修医の早川昭吾(柄本佑)に桜井総合病院へ研修に行くよう勧める。さらに岡村は加藤晶(稲森いずみ)も呼び出し…。</v>
      </c>
      <c r="O868" s="2"/>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row>
    <row r="869" ht="204.75" customHeight="1">
      <c r="A869" s="1">
        <v>2956.0</v>
      </c>
      <c r="B869" s="2" t="s">
        <v>2771</v>
      </c>
      <c r="C869" s="2">
        <f>IFERROR(__xludf.DUMMYFUNCTION("split(B869,""_"")"),1401.0)</f>
        <v>1401</v>
      </c>
      <c r="D869" s="2" t="str">
        <f>IFERROR(__xludf.DUMMYFUNCTION("""COMPUTED_VALUE"""),"CX")</f>
        <v>CX</v>
      </c>
      <c r="E869" s="2" t="str">
        <f>IFERROR(__xludf.DUMMYFUNCTION("""COMPUTED_VALUE"""),"木22")</f>
        <v>木22</v>
      </c>
      <c r="F869" s="2" t="s">
        <v>2772</v>
      </c>
      <c r="G869" s="2" t="s">
        <v>2785</v>
      </c>
      <c r="H869" s="1">
        <v>5.0</v>
      </c>
      <c r="I869" s="1" t="s">
        <v>17</v>
      </c>
      <c r="J869" s="1" t="s">
        <v>86</v>
      </c>
      <c r="K869" s="2" t="s">
        <v>2786</v>
      </c>
      <c r="L869" s="2" t="s">
        <v>2787</v>
      </c>
      <c r="M869" s="2" t="str">
        <f>IFERROR(__xludf.DUMMYFUNCTION("split(split(K869,""坂口憲二　"",false),""TMD_PR"",false)"),"今回は『世界か日本か』をテーマに、新キャストに高橋克典、平幹二朗らを加え、かつてない壮大なスケールでお送りしています。  ■http://www.fujitv.co.jp/iryu4/■FB:https://www.facebook.com/fujitv.iryu■ツイッターアカウント:@iryu4_")</f>
        <v>今回は『世界か日本か』をテーマに、新キャストに高橋克典、平幹二朗らを加え、かつてない壮大なスケールでお送りしています。  ■http://www.fujitv.co.jp/iryu4/■FB:https://www.facebook.com/fujitv.iryu■ツイッターアカウント:@iryu4_</v>
      </c>
      <c r="N869" s="2" t="str">
        <f>IFERROR(__xludf.DUMMYFUNCTION("""COMPUTED_VALUE"""),"　朝田龍太郎(坂口憲二)は、荒瀬門次(阿部サダヲ)から桜井修三(平幹二朗)の体重が急速に落ちていることを指摘され、検査を勧めることにする。一方、岡村征(高橋克典)の誘いでL&amp;P病院へ移った加藤晶(稲森いずみ)のところへやってきた鬼頭笙子(夏木マリ)は、岡村には秘密があると告げる。  　同じころ、野口賢雄(岸部一徳)は岡村を呼び出していた。桜井総合病院に患者が移りつつあることを危惧した羽垣院長(藤木孝)が、最短時間を目指して行うオペに最高のスタッフを用意するように指示を出す。やがて岡村がオペのメンバーを報告"&amp;"に行くと、羽垣は麻酔科医を、優秀だと評判の「桜井総合病院の麻酔科医」にするように命令する。  　桜井総合病院では、朝田を中心に次のオペのカンファレンスが行われていた。そんな中、荒瀬と朝田を呼び出した桜井は、岡村の要請を告げる。断ろうとした荒瀬だが、執刀医が羽垣と聞き驚く。  　15年前、羽垣は荒瀬の忠告に耳を貸さずに患者を死亡させたあげく責任を麻酔科医に押し付けていたのだ。話を聞いた朝田は今の荒瀬なら患者を救えるはずだと助言。荒瀬はオペに参加することを決意する。  　患者である7歳の山城蓮の経食道エコーを"&amp;"見ていた荒瀬は、重大な症状を発見。予定しているオペでは蓮を救えないと木原毅彦(池田鉄洋)に訴えるが、院長の診断に異論は唱えられないと一蹴されてしまう。荒瀬は蓮の母親のもとへ行き…。")</f>
        <v>　朝田龍太郎(坂口憲二)は、荒瀬門次(阿部サダヲ)から桜井修三(平幹二朗)の体重が急速に落ちていることを指摘され、検査を勧めることにする。一方、岡村征(高橋克典)の誘いでL&amp;P病院へ移った加藤晶(稲森いずみ)のところへやってきた鬼頭笙子(夏木マリ)は、岡村には秘密があると告げる。  　同じころ、野口賢雄(岸部一徳)は岡村を呼び出していた。桜井総合病院に患者が移りつつあることを危惧した羽垣院長(藤木孝)が、最短時間を目指して行うオペに最高のスタッフを用意するように指示を出す。やがて岡村がオペのメンバーを報告に行くと、羽垣は麻酔科医を、優秀だと評判の「桜井総合病院の麻酔科医」にするように命令する。  　桜井総合病院では、朝田を中心に次のオペのカンファレンスが行われていた。そんな中、荒瀬と朝田を呼び出した桜井は、岡村の要請を告げる。断ろうとした荒瀬だが、執刀医が羽垣と聞き驚く。  　15年前、羽垣は荒瀬の忠告に耳を貸さずに患者を死亡させたあげく責任を麻酔科医に押し付けていたのだ。話を聞いた朝田は今の荒瀬なら患者を救えるはずだと助言。荒瀬はオペに参加することを決意する。  　患者である7歳の山城蓮の経食道エコーを見ていた荒瀬は、重大な症状を発見。予定しているオペでは蓮を救えないと木原毅彦(池田鉄洋)に訴えるが、院長の診断に異論は唱えられないと一蹴されてしまう。荒瀬は蓮の母親のもとへ行き…。</v>
      </c>
      <c r="O869" s="2"/>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row>
    <row r="870" ht="204.75" customHeight="1">
      <c r="A870" s="1">
        <v>2957.0</v>
      </c>
      <c r="B870" s="2" t="s">
        <v>2771</v>
      </c>
      <c r="C870" s="2">
        <f>IFERROR(__xludf.DUMMYFUNCTION("split(B870,""_"")"),1401.0)</f>
        <v>1401</v>
      </c>
      <c r="D870" s="2" t="str">
        <f>IFERROR(__xludf.DUMMYFUNCTION("""COMPUTED_VALUE"""),"CX")</f>
        <v>CX</v>
      </c>
      <c r="E870" s="2" t="str">
        <f>IFERROR(__xludf.DUMMYFUNCTION("""COMPUTED_VALUE"""),"木22")</f>
        <v>木22</v>
      </c>
      <c r="F870" s="2" t="s">
        <v>2772</v>
      </c>
      <c r="G870" s="2" t="s">
        <v>2788</v>
      </c>
      <c r="H870" s="1">
        <v>6.0</v>
      </c>
      <c r="I870" s="1" t="s">
        <v>21</v>
      </c>
      <c r="J870" s="1" t="s">
        <v>86</v>
      </c>
      <c r="K870" s="2" t="s">
        <v>2789</v>
      </c>
      <c r="L870" s="2" t="s">
        <v>2790</v>
      </c>
      <c r="M870" s="2" t="str">
        <f>IFERROR(__xludf.DUMMYFUNCTION("split(split(K870,""坂口憲二　"",false),""TMD_PR"",false)"),"今回は『世界か日本か』をテーマに、新キャストに高橋克典、平幹二朗らを加え、かつてない壮大なスケールでお送りしています。  ■http://www.fujitv.co.jp/iryu4/■FB:https://www.facebook.com/fujitv.iryu■ツイッターアカウント:@iryu4_")</f>
        <v>今回は『世界か日本か』をテーマに、新キャストに高橋克典、平幹二朗らを加え、かつてない壮大なスケールでお送りしています。  ■http://www.fujitv.co.jp/iryu4/■FB:https://www.facebook.com/fujitv.iryu■ツイッターアカウント:@iryu4_</v>
      </c>
      <c r="N870" s="2" t="str">
        <f>IFERROR(__xludf.DUMMYFUNCTION("""COMPUTED_VALUE"""),"　朝田龍太郎(坂口憲二)は桜井修三(平幹二朗)の検査に立ち会うためL&amp;P病院へやってきた。L&amp;P病院では、新院長の荒瀬門次(阿部サダヲ)が病院内の地位や面子を取り払い、患者にとって最善のオペができる執刀医を決めるようになっていた。実績をあげていることを岡村征(高橋克典)から報告された野口賢雄(岸部一徳)はおもしろくない。  　同じころ、桜井総合病院では衣料品メーカーに勤務する平山千尋(李千鶴)が、桜井に誤診されたと抗議に来ていた。桜井に心臓病と診断されたが、後にL&amp;Pで再検査をしたところ気管支ぜんそくだっ"&amp;"たという。様子を見ていた早川昭吾(柄本佑)はすぐに岡村に報告。早川の話を聞いていた野口は「誤診は当然」と言い、意味深な笑顔を浮かべる。  　翌日、朝田はもう一度診察させて欲しいと申し出るが、千尋はそれを拒否。正式な謝罪がない場合は訴えると言って帰って行く。帰り道突然声をかけられて千尋が振り向くと、野口が立っていた。  　桜井の検査結果が出た。心臓と脳に動脈瘤(りゅう)が発見され、かなり難しいオペが必要だとわかる。桜井総合病院に戻った朝田は加藤晶(稲森いずみ)、伊集院登(小池徹平)らに検査結果を告げる。病気"&amp;"や過労が千尋の誤診を招いたのではという早川の言葉を否定しきれない加藤たち。  　翌朝、桜井総合病院に抜き打ちで厚労省の医療監査が入る。突然のことに戸惑う一同の前に千尋を連れた野口が現れ…。")</f>
        <v>　朝田龍太郎(坂口憲二)は桜井修三(平幹二朗)の検査に立ち会うためL&amp;P病院へやってきた。L&amp;P病院では、新院長の荒瀬門次(阿部サダヲ)が病院内の地位や面子を取り払い、患者にとって最善のオペができる執刀医を決めるようになっていた。実績をあげていることを岡村征(高橋克典)から報告された野口賢雄(岸部一徳)はおもしろくない。  　同じころ、桜井総合病院では衣料品メーカーに勤務する平山千尋(李千鶴)が、桜井に誤診されたと抗議に来ていた。桜井に心臓病と診断されたが、後にL&amp;Pで再検査をしたところ気管支ぜんそくだったという。様子を見ていた早川昭吾(柄本佑)はすぐに岡村に報告。早川の話を聞いていた野口は「誤診は当然」と言い、意味深な笑顔を浮かべる。  　翌日、朝田はもう一度診察させて欲しいと申し出るが、千尋はそれを拒否。正式な謝罪がない場合は訴えると言って帰って行く。帰り道突然声をかけられて千尋が振り向くと、野口が立っていた。  　桜井の検査結果が出た。心臓と脳に動脈瘤(りゅう)が発見され、かなり難しいオペが必要だとわかる。桜井総合病院に戻った朝田は加藤晶(稲森いずみ)、伊集院登(小池徹平)らに検査結果を告げる。病気や過労が千尋の誤診を招いたのではという早川の言葉を否定しきれない加藤たち。  　翌朝、桜井総合病院に抜き打ちで厚労省の医療監査が入る。突然のことに戸惑う一同の前に千尋を連れた野口が現れ…。</v>
      </c>
      <c r="O870" s="2"/>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row>
    <row r="871" ht="204.75" customHeight="1">
      <c r="A871" s="1">
        <v>2958.0</v>
      </c>
      <c r="B871" s="2" t="s">
        <v>2771</v>
      </c>
      <c r="C871" s="2">
        <f>IFERROR(__xludf.DUMMYFUNCTION("split(B871,""_"")"),1401.0)</f>
        <v>1401</v>
      </c>
      <c r="D871" s="2" t="str">
        <f>IFERROR(__xludf.DUMMYFUNCTION("""COMPUTED_VALUE"""),"CX")</f>
        <v>CX</v>
      </c>
      <c r="E871" s="2" t="str">
        <f>IFERROR(__xludf.DUMMYFUNCTION("""COMPUTED_VALUE"""),"木22")</f>
        <v>木22</v>
      </c>
      <c r="F871" s="2" t="s">
        <v>2772</v>
      </c>
      <c r="G871" s="2" t="s">
        <v>2791</v>
      </c>
      <c r="H871" s="1">
        <v>7.0</v>
      </c>
      <c r="I871" s="1" t="s">
        <v>25</v>
      </c>
      <c r="J871" s="1" t="s">
        <v>86</v>
      </c>
      <c r="K871" s="2" t="s">
        <v>2792</v>
      </c>
      <c r="L871" s="2" t="s">
        <v>2793</v>
      </c>
      <c r="M871" s="2" t="str">
        <f>IFERROR(__xludf.DUMMYFUNCTION("split(split(K871,""坂口憲二　"",false),""TMD_PR"",false)"),"今回は『世界か日本か』をテーマに、新キャストに高橋克典、平幹二朗らを加え、かつてない壮大なスケールでお送りしています。  ■http://www.fujitv.co.jp/iryu4/■FB:https://www.facebook.com/fujitv.iryu■ツイッターアカウント:@iryu4_")</f>
        <v>今回は『世界か日本か』をテーマに、新キャストに高橋克典、平幹二朗らを加え、かつてない壮大なスケールでお送りしています。  ■http://www.fujitv.co.jp/iryu4/■FB:https://www.facebook.com/fujitv.iryu■ツイッターアカウント:@iryu4_</v>
      </c>
      <c r="N871" s="2" t="str">
        <f>IFERROR(__xludf.DUMMYFUNCTION("""COMPUTED_VALUE"""),"　L&amp;P病院に入院中の桜井修三(平幹二朗)に検査結果を聞かれた朝田龍太郎(坂口憲二)は、脳に発見された巨大な動脈瘤のことは伏せて胸部大動脈瘤とだけ告げる。  　岡村征(高橋克典)は、野口賢雄(岸部一徳)に次のターゲットは朝田ではなく伊集院登(小池徹平)であると話す。そのころ、伊集院は婚約中の樋口美雪(中村ゆり)に呼び出されていた。明真を辞めたことがばれてしまい、伊集院は桜井総合病院には自分が求めている医療があると必死で訴えるが、美雪は泣き崩れてしまう。  　朝田と加藤晶(稲森いずみ)と荒瀬門次(阿部サダヲ"&amp;")は、桜井を救うためには脳と心臓の同時オペが必要と判断。朝田と同時にオペのできる優秀な脳外科医を早急に探すことを決めた。帰ろうとする朝田の前に鬼頭笙子(夏木マリ)が現れ、アメリカの脳外科医を探すように助言する。  　美雪から父親の豊(斉木しげる)が末期ガンで余命3カ月と宣告されたと聞いた伊集院。そのことで2人が気まずくなることを心配した豊が桜井総合病院にやってきた。治療を拒否し、ホスピスを探すつもりだと言う豊に伊集院は桜井総合病院への入院を勧める。朝田に豊のオペを打診するが、患者の体に負担がかかるだけでガ"&amp;"ンを完全に排除することはできないと断られてしまう。うちひしがれる伊集院に、朝田は患者にできることは切ることだけじゃないと話す。  　一方、朝田たちの脳外科医探しも困難を極めていた…。")</f>
        <v>　L&amp;P病院に入院中の桜井修三(平幹二朗)に検査結果を聞かれた朝田龍太郎(坂口憲二)は、脳に発見された巨大な動脈瘤のことは伏せて胸部大動脈瘤とだけ告げる。  　岡村征(高橋克典)は、野口賢雄(岸部一徳)に次のターゲットは朝田ではなく伊集院登(小池徹平)であると話す。そのころ、伊集院は婚約中の樋口美雪(中村ゆり)に呼び出されていた。明真を辞めたことがばれてしまい、伊集院は桜井総合病院には自分が求めている医療があると必死で訴えるが、美雪は泣き崩れてしまう。  　朝田と加藤晶(稲森いずみ)と荒瀬門次(阿部サダヲ)は、桜井を救うためには脳と心臓の同時オペが必要と判断。朝田と同時にオペのできる優秀な脳外科医を早急に探すことを決めた。帰ろうとする朝田の前に鬼頭笙子(夏木マリ)が現れ、アメリカの脳外科医を探すように助言する。  　美雪から父親の豊(斉木しげる)が末期ガンで余命3カ月と宣告されたと聞いた伊集院。そのことで2人が気まずくなることを心配した豊が桜井総合病院にやってきた。治療を拒否し、ホスピスを探すつもりだと言う豊に伊集院は桜井総合病院への入院を勧める。朝田に豊のオペを打診するが、患者の体に負担がかかるだけでガンを完全に排除することはできないと断られてしまう。うちひしがれる伊集院に、朝田は患者にできることは切ることだけじゃないと話す。  　一方、朝田たちの脳外科医探しも困難を極めていた…。</v>
      </c>
      <c r="O871" s="2"/>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row>
    <row r="872" ht="204.75" customHeight="1">
      <c r="A872" s="1">
        <v>2959.0</v>
      </c>
      <c r="B872" s="2" t="s">
        <v>2771</v>
      </c>
      <c r="C872" s="2">
        <f>IFERROR(__xludf.DUMMYFUNCTION("split(B872,""_"")"),1401.0)</f>
        <v>1401</v>
      </c>
      <c r="D872" s="2" t="str">
        <f>IFERROR(__xludf.DUMMYFUNCTION("""COMPUTED_VALUE"""),"CX")</f>
        <v>CX</v>
      </c>
      <c r="E872" s="2" t="str">
        <f>IFERROR(__xludf.DUMMYFUNCTION("""COMPUTED_VALUE"""),"木22")</f>
        <v>木22</v>
      </c>
      <c r="F872" s="2" t="s">
        <v>2772</v>
      </c>
      <c r="G872" s="2" t="s">
        <v>2794</v>
      </c>
      <c r="H872" s="1">
        <v>8.0</v>
      </c>
      <c r="I872" s="1" t="s">
        <v>29</v>
      </c>
      <c r="J872" s="1" t="s">
        <v>86</v>
      </c>
      <c r="K872" s="2" t="s">
        <v>2795</v>
      </c>
      <c r="L872" s="2" t="s">
        <v>2796</v>
      </c>
      <c r="M872" s="2" t="str">
        <f>IFERROR(__xludf.DUMMYFUNCTION("split(split(K872,""坂口憲二　"",false),""TMD_PR"",false)"),"今回は『世界か日本か』をテーマに、新キャストに高橋克典、平幹二朗らを加え、かつてない壮大なスケールでお送りしています。  ■http://www.fujitv.co.jp/iryu4/■FB:https://www.facebook.com/fujitv.iryu■ツイッターアカウント:@iryu4_")</f>
        <v>今回は『世界か日本か』をテーマに、新キャストに高橋克典、平幹二朗らを加え、かつてない壮大なスケールでお送りしています。  ■http://www.fujitv.co.jp/iryu4/■FB:https://www.facebook.com/fujitv.iryu■ツイッターアカウント:@iryu4_</v>
      </c>
      <c r="N872" s="2" t="str">
        <f>IFERROR(__xludf.DUMMYFUNCTION("""COMPUTED_VALUE"""),"　看護師に呼ばれた朝田龍太郎(坂口憲二)が診察室へ向かうと、中から患者の母親である前原好美の抗議する声が聞こえてきた。診察にあたった早川昭吾(柄本佑)の対応に不満を訴える好美に、朝田は診察を代わる。  　その後、猪原薫(キムラ緑子)に言われて渋々やっていた採血やバイタル測定でも、患者に文句を言われてイライラを募らせていく早川。岡村征(高橋克典)に電話をしてL&amp;P病院へ戻して欲しいと訴えるが、朝田から学ぶことがあるはずだと有無を言わせず切られてしまう。  　L&amp;P病院に移った伊集院登(小池徹平)は、自ら提案"&amp;"した研修医が全部の科を回る新しい研修プログラムを実行していた。早川にも研修プログラムを渡し、時間がある時に受けるように勧めるが、早川は時間がなくプログラムも無意味だと一蹴する。  　一方、加藤晶(稲森いずみ)は桜井修三(平幹二朗)のオペができる医師を探し出した。アメリカで一番と言われている脳外科医のマイク・ボールドウィンで、交渉に入るという加藤に、朝田は症状を考慮して2カ月以内にオペがしたいと言う。  　桜井総合病院に、足のむくみを訴える長沼芳江がやってきた。早川は簡単に診察を済ませ下肢静脈瘤と診断。立ち"&amp;"仕事をしている女性にはよくある症状だと説明し、帰宅させた。  　翌日、呼吸困難で倒れた芳江が運ばれてきた。朝田を呼ぼうとする猪原を止めて早川が治療にあたるが、芳江は意識を失ってしまう。")</f>
        <v>　看護師に呼ばれた朝田龍太郎(坂口憲二)が診察室へ向かうと、中から患者の母親である前原好美の抗議する声が聞こえてきた。診察にあたった早川昭吾(柄本佑)の対応に不満を訴える好美に、朝田は診察を代わる。  　その後、猪原薫(キムラ緑子)に言われて渋々やっていた採血やバイタル測定でも、患者に文句を言われてイライラを募らせていく早川。岡村征(高橋克典)に電話をしてL&amp;P病院へ戻して欲しいと訴えるが、朝田から学ぶことがあるはずだと有無を言わせず切られてしまう。  　L&amp;P病院に移った伊集院登(小池徹平)は、自ら提案した研修医が全部の科を回る新しい研修プログラムを実行していた。早川にも研修プログラムを渡し、時間がある時に受けるように勧めるが、早川は時間がなくプログラムも無意味だと一蹴する。  　一方、加藤晶(稲森いずみ)は桜井修三(平幹二朗)のオペができる医師を探し出した。アメリカで一番と言われている脳外科医のマイク・ボールドウィンで、交渉に入るという加藤に、朝田は症状を考慮して2カ月以内にオペがしたいと言う。  　桜井総合病院に、足のむくみを訴える長沼芳江がやってきた。早川は簡単に診察を済ませ下肢静脈瘤と診断。立ち仕事をしている女性にはよくある症状だと説明し、帰宅させた。  　翌日、呼吸困難で倒れた芳江が運ばれてきた。朝田を呼ぼうとする猪原を止めて早川が治療にあたるが、芳江は意識を失ってしまう。</v>
      </c>
      <c r="O872" s="2"/>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row>
    <row r="873" ht="204.75" customHeight="1">
      <c r="A873" s="1">
        <v>2960.0</v>
      </c>
      <c r="B873" s="2" t="s">
        <v>2771</v>
      </c>
      <c r="C873" s="2">
        <f>IFERROR(__xludf.DUMMYFUNCTION("split(B873,""_"")"),1401.0)</f>
        <v>1401</v>
      </c>
      <c r="D873" s="2" t="str">
        <f>IFERROR(__xludf.DUMMYFUNCTION("""COMPUTED_VALUE"""),"CX")</f>
        <v>CX</v>
      </c>
      <c r="E873" s="2" t="str">
        <f>IFERROR(__xludf.DUMMYFUNCTION("""COMPUTED_VALUE"""),"木22")</f>
        <v>木22</v>
      </c>
      <c r="F873" s="2" t="s">
        <v>2772</v>
      </c>
      <c r="G873" s="2" t="s">
        <v>2797</v>
      </c>
      <c r="H873" s="1">
        <v>9.0</v>
      </c>
      <c r="I873" s="1" t="s">
        <v>33</v>
      </c>
      <c r="J873" s="1" t="s">
        <v>86</v>
      </c>
      <c r="K873" s="2" t="s">
        <v>2798</v>
      </c>
      <c r="L873" s="2" t="s">
        <v>2799</v>
      </c>
      <c r="M873" s="2" t="str">
        <f>IFERROR(__xludf.DUMMYFUNCTION("split(split(K873,""坂口憲二　"",false),""TMD_PR"",false)"),"今回は『世界か日本か』をテーマに、新キャストに高橋克典、平幹二朗らを加え、かつてない壮大なスケールでお送りしています。  ■http://www.fujitv.co.jp/iryu4/■FB:https://www.facebook.com/fujitv.iryu■ツイッターアカウント:@iryu4_")</f>
        <v>今回は『世界か日本か』をテーマに、新キャストに高橋克典、平幹二朗らを加え、かつてない壮大なスケールでお送りしています。  ■http://www.fujitv.co.jp/iryu4/■FB:https://www.facebook.com/fujitv.iryu■ツイッターアカウント:@iryu4_</v>
      </c>
      <c r="N873" s="2" t="str">
        <f>IFERROR(__xludf.DUMMYFUNCTION("""COMPUTED_VALUE"""),"　朝田龍太郎(坂口憲二)と同時進行で桜井修三(平幹二朗)のオペを行える脳外科医がみつかった。アメリカの医師のマイク・ボールドウィン(Don　J)で、オペは可能だが2年先でしかも莫大な金額がかかるとの返事に、朝田たちは別の医師を探すことに。  　L&amp;P病院の顧問室に呼び出された加藤晶(稲森いずみ)、伊集院登(小池徹平)、荒瀬門次(阿部サダヲ)は、野口賢雄(岸部一徳)に1週間後に5歳の男児・脇坂将のオペを依頼される。さほど難しいオペではないが、親会社の副社長の息子であるため万全を期してのためだった。  　同じ"&amp;"ころ、桜井総合病院の朝田を訪ねてきた岡村征(高橋克典)は、古い知人であるマイクにひと月後に桜井のオペを引き受けさせたことを告げる。朝田がL&amp;P病院へ移るのが交換条件だという岡村に朝田は…。  　L&amp;P病院に急患で妊婦の桐山恵美が運ばれてきた。難しい症例であることから受け入れを断ろうとする木原毅彦(池田鉄洋)を制し、岡村は強引に受け入れるように指示を出す。野口が見守る中、加藤、伊集院、荒瀬による将のオペが始まった。その時、恵美の容態が急変した。岡村は、オペ室の伊集院に恵美のオペに回るように訴える。しかし伊集"&amp;"院は手が離せない状態であるうえに、野口の猛抗議にあう。せめて母体だけでも助けようと木原がオペを申し出るが、岡村は母子共に助けると言い張り、朝田を呼ぶために桜井総合病院へ走る。")</f>
        <v>　朝田龍太郎(坂口憲二)と同時進行で桜井修三(平幹二朗)のオペを行える脳外科医がみつかった。アメリカの医師のマイク・ボールドウィン(Don　J)で、オペは可能だが2年先でしかも莫大な金額がかかるとの返事に、朝田たちは別の医師を探すことに。  　L&amp;P病院の顧問室に呼び出された加藤晶(稲森いずみ)、伊集院登(小池徹平)、荒瀬門次(阿部サダヲ)は、野口賢雄(岸部一徳)に1週間後に5歳の男児・脇坂将のオペを依頼される。さほど難しいオペではないが、親会社の副社長の息子であるため万全を期してのためだった。  　同じころ、桜井総合病院の朝田を訪ねてきた岡村征(高橋克典)は、古い知人であるマイクにひと月後に桜井のオペを引き受けさせたことを告げる。朝田がL&amp;P病院へ移るのが交換条件だという岡村に朝田は…。  　L&amp;P病院に急患で妊婦の桐山恵美が運ばれてきた。難しい症例であることから受け入れを断ろうとする木原毅彦(池田鉄洋)を制し、岡村は強引に受け入れるように指示を出す。野口が見守る中、加藤、伊集院、荒瀬による将のオペが始まった。その時、恵美の容態が急変した。岡村は、オペ室の伊集院に恵美のオペに回るように訴える。しかし伊集院は手が離せない状態であるうえに、野口の猛抗議にあう。せめて母体だけでも助けようと木原がオペを申し出るが、岡村は母子共に助けると言い張り、朝田を呼ぶために桜井総合病院へ走る。</v>
      </c>
      <c r="O873" s="2"/>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row>
    <row r="874" ht="204.75" customHeight="1">
      <c r="A874" s="1">
        <v>2961.0</v>
      </c>
      <c r="B874" s="2" t="s">
        <v>2771</v>
      </c>
      <c r="C874" s="2">
        <f>IFERROR(__xludf.DUMMYFUNCTION("split(B874,""_"")"),1401.0)</f>
        <v>1401</v>
      </c>
      <c r="D874" s="2" t="str">
        <f>IFERROR(__xludf.DUMMYFUNCTION("""COMPUTED_VALUE"""),"CX")</f>
        <v>CX</v>
      </c>
      <c r="E874" s="2" t="str">
        <f>IFERROR(__xludf.DUMMYFUNCTION("""COMPUTED_VALUE"""),"木22")</f>
        <v>木22</v>
      </c>
      <c r="F874" s="2" t="s">
        <v>2772</v>
      </c>
      <c r="G874" s="2" t="s">
        <v>2800</v>
      </c>
      <c r="H874" s="1">
        <v>10.0</v>
      </c>
      <c r="I874" s="1" t="s">
        <v>37</v>
      </c>
      <c r="J874" s="1" t="s">
        <v>86</v>
      </c>
      <c r="K874" s="2" t="s">
        <v>2801</v>
      </c>
      <c r="L874" s="2" t="s">
        <v>2802</v>
      </c>
      <c r="M874" s="2" t="str">
        <f>IFERROR(__xludf.DUMMYFUNCTION("split(split(K874,""坂口憲二　"",false),""TMD_PR"",false)"),"今回は『世界か日本か』をテーマに、新キャストに高橋克典、平幹二朗らを加え、かつてない壮大なスケールでお送りしています。  ■http://www.fujitv.co.jp/iryu4/■FB:https://www.facebook.com/fujitv.iryu■ツイッターアカウント:@iryu4_")</f>
        <v>今回は『世界か日本か』をテーマに、新キャストに高橋克典、平幹二朗らを加え、かつてない壮大なスケールでお送りしています。  ■http://www.fujitv.co.jp/iryu4/■FB:https://www.facebook.com/fujitv.iryu■ツイッターアカウント:@iryu4_</v>
      </c>
      <c r="N874" s="2" t="str">
        <f>IFERROR(__xludf.DUMMYFUNCTION("""COMPUTED_VALUE"""),"　朝田龍太郎(坂口憲二)をL&amp;P病院へ呼ぶのは桜井修三(平幹二朗)の復帰後にするという岡村征(高橋克典)の判断が不満な野口賢雄(岸部一徳)は、自ら桜井総合病院へ出向き朝田が病院を移らなければオペはやらせないと言い放つ。  　30年前、桜井が心臓に人工弁を埋め込むオペをした佐久間邦夫(岡本信人)が桜井総合病院へやってきた。高齢を理由に人工弁交換のオペを断ろうとした佐久間に桜井は自分を待つ患者のため、そして助けようとしてくれる医師たちのために自分も心臓と脳のオペを受けることを話す。佐久間はオペを決断し、それを"&amp;"聞いていた朝田もL&amp;P病院へ移ることを決め、桜井に“佐久間はL&amp;P病院で受け入れる""と話す。  　岡村が野口のもとへ行く。強引な朝田の引き抜き方法を非難する岡村に野口は…。  　朝田がL&amp;P病院へ出勤してきた。顧問室を訪れた朝田は、桜井総合病院との協力関係を続ける約束を確認すると、野口からL&amp;P病院のバッジのついた白衣を受け取る。  　後日、桜井が佐久間を連れてL&amp;P病院に来る。桜井は佐久間を伊集院登(小池徹平)に託すと、顧問室へ向かう。46年ぶりの対面を果たす野口と桜井。桜井は野口にL&amp;P病院を学生時"&amp;"代に思い描いていた理想の病院にして欲しいと言葉をかける。  　そんな中、野口は鬼頭笙子(夏木マリ)に桜井のオペ1週間前のタイミングでチームドラゴンのインド派遣を大々的に発表する予定だと告げ…。")</f>
        <v>　朝田龍太郎(坂口憲二)をL&amp;P病院へ呼ぶのは桜井修三(平幹二朗)の復帰後にするという岡村征(高橋克典)の判断が不満な野口賢雄(岸部一徳)は、自ら桜井総合病院へ出向き朝田が病院を移らなければオペはやらせないと言い放つ。  　30年前、桜井が心臓に人工弁を埋め込むオペをした佐久間邦夫(岡本信人)が桜井総合病院へやってきた。高齢を理由に人工弁交換のオペを断ろうとした佐久間に桜井は自分を待つ患者のため、そして助けようとしてくれる医師たちのために自分も心臓と脳のオペを受けることを話す。佐久間はオペを決断し、それを聞いていた朝田もL&amp;P病院へ移ることを決め、桜井に“佐久間はL&amp;P病院で受け入れる"と話す。  　岡村が野口のもとへ行く。強引な朝田の引き抜き方法を非難する岡村に野口は…。  　朝田がL&amp;P病院へ出勤してきた。顧問室を訪れた朝田は、桜井総合病院との協力関係を続ける約束を確認すると、野口からL&amp;P病院のバッジのついた白衣を受け取る。  　後日、桜井が佐久間を連れてL&amp;P病院に来る。桜井は佐久間を伊集院登(小池徹平)に託すと、顧問室へ向かう。46年ぶりの対面を果たす野口と桜井。桜井は野口にL&amp;P病院を学生時代に思い描いていた理想の病院にして欲しいと言葉をかける。  　そんな中、野口は鬼頭笙子(夏木マリ)に桜井のオペ1週間前のタイミングでチームドラゴンのインド派遣を大々的に発表する予定だと告げ…。</v>
      </c>
      <c r="O874" s="2"/>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row>
    <row r="875" ht="204.75" customHeight="1">
      <c r="A875" s="1">
        <v>2962.0</v>
      </c>
      <c r="B875" s="2" t="s">
        <v>2771</v>
      </c>
      <c r="C875" s="2">
        <f>IFERROR(__xludf.DUMMYFUNCTION("split(B875,""_"")"),1401.0)</f>
        <v>1401</v>
      </c>
      <c r="D875" s="2" t="str">
        <f>IFERROR(__xludf.DUMMYFUNCTION("""COMPUTED_VALUE"""),"CX")</f>
        <v>CX</v>
      </c>
      <c r="E875" s="2" t="str">
        <f>IFERROR(__xludf.DUMMYFUNCTION("""COMPUTED_VALUE"""),"木22")</f>
        <v>木22</v>
      </c>
      <c r="F875" s="2" t="s">
        <v>2772</v>
      </c>
      <c r="G875" s="2" t="s">
        <v>2803</v>
      </c>
      <c r="H875" s="1">
        <v>11.0</v>
      </c>
      <c r="I875" s="1" t="s">
        <v>41</v>
      </c>
      <c r="J875" s="1" t="s">
        <v>82</v>
      </c>
      <c r="K875" s="2" t="s">
        <v>2804</v>
      </c>
      <c r="L875" s="2" t="s">
        <v>2805</v>
      </c>
      <c r="M875" s="2" t="str">
        <f>IFERROR(__xludf.DUMMYFUNCTION("split(split(K875,""坂口憲二　"",false),""TMD_PR"",false)"),"今回は『世界か日本か』をテーマに、新キャストに高橋克典、平幹二朗らを加え、かつてない壮大なスケールでお送りしています。  ■http://www.fujitv.co.jp/iryu4/■FB:https://www.facebook.com/fujitv.iryu■ツイッターアカウント:@iryu4_")</f>
        <v>今回は『世界か日本か』をテーマに、新キャストに高橋克典、平幹二朗らを加え、かつてない壮大なスケールでお送りしています。  ■http://www.fujitv.co.jp/iryu4/■FB:https://www.facebook.com/fujitv.iryu■ツイッターアカウント:@iryu4_</v>
      </c>
      <c r="N875" s="2" t="str">
        <f>IFERROR(__xludf.DUMMYFUNCTION("""COMPUTED_VALUE"""),"　桜井修三(平幹二朗)が倒れた。すぐに朝田龍太郎(坂口憲二)、加藤晶(稲森いずみ)、伊集院登(小池徹平)、荒瀬門次(阿部サダヲ)が待つL&amp;P病院へ救急搬送される。  　検査の結果、心臓と脳の同時オペを決断せざるを得ない危険な状況だった。荒瀬にL&amp;P病院の脳外科医を当たらせるが、あまりにも難易度が高いため全員に不可能だと断られてしまう。朝田は自分が脳の手術も、と言い出すが、荒瀬に反対される。そこへ状況を聞いた藤吉圭介(佐々木蔵之介)から電話が入った。藤吉は、桜井のオペができる脳外科医が日本に1人だけいると告"&amp;"げる。  　桜井のオペが始まった。医師や研修医たちがモニタールームへ急ぐ様子から、桜井のオペが行われているのを知った野口賢雄(岸部一徳)は慌てて見学室に駆け込む。オペを止めようと受話器を取るが、その手を鬼頭笙子(夏木マリ)が阻んだ。一方、モニタールームでオペの様子を見守っていた早川昭吾(柄本佑)は突然部屋を飛び出して行く。  　そんな中、桜井の脳に想定外の症状が発見される。命を救うための術式が提案されるが、朝田はそれを止めた。命を救うだけではなく、桜井を医師として復帰させるのが目的であることを告げ、難易度"&amp;"が跳ね上がる別の術式を提示する。全員が了承し、すぐにオペを再開させるが、残り時間は迫り…。  　野口は黙って見学室を出ていく。残った鬼頭は、ある人物に視線を送るが…。")</f>
        <v>　桜井修三(平幹二朗)が倒れた。すぐに朝田龍太郎(坂口憲二)、加藤晶(稲森いずみ)、伊集院登(小池徹平)、荒瀬門次(阿部サダヲ)が待つL&amp;P病院へ救急搬送される。  　検査の結果、心臓と脳の同時オペを決断せざるを得ない危険な状況だった。荒瀬にL&amp;P病院の脳外科医を当たらせるが、あまりにも難易度が高いため全員に不可能だと断られてしまう。朝田は自分が脳の手術も、と言い出すが、荒瀬に反対される。そこへ状況を聞いた藤吉圭介(佐々木蔵之介)から電話が入った。藤吉は、桜井のオペができる脳外科医が日本に1人だけいると告げる。  　桜井のオペが始まった。医師や研修医たちがモニタールームへ急ぐ様子から、桜井のオペが行われているのを知った野口賢雄(岸部一徳)は慌てて見学室に駆け込む。オペを止めようと受話器を取るが、その手を鬼頭笙子(夏木マリ)が阻んだ。一方、モニタールームでオペの様子を見守っていた早川昭吾(柄本佑)は突然部屋を飛び出して行く。  　そんな中、桜井の脳に想定外の症状が発見される。命を救うための術式が提案されるが、朝田はそれを止めた。命を救うだけではなく、桜井を医師として復帰させるのが目的であることを告げ、難易度が跳ね上がる別の術式を提示する。全員が了承し、すぐにオペを再開させるが、残り時間は迫り…。  　野口は黙って見学室を出ていく。残った鬼頭は、ある人物に視線を送るが…。</v>
      </c>
      <c r="O875" s="2"/>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row>
    <row r="876" ht="204.75" customHeight="1">
      <c r="A876" s="1">
        <v>2975.0</v>
      </c>
      <c r="B876" s="2" t="s">
        <v>2806</v>
      </c>
      <c r="C876" s="2">
        <f>IFERROR(__xludf.DUMMYFUNCTION("split(B876,""_"")"),1401.0)</f>
        <v>1401</v>
      </c>
      <c r="D876" s="2" t="str">
        <f>IFERROR(__xludf.DUMMYFUNCTION("""COMPUTED_VALUE"""),"CX")</f>
        <v>CX</v>
      </c>
      <c r="E876" s="2" t="str">
        <f>IFERROR(__xludf.DUMMYFUNCTION("""COMPUTED_VALUE"""),"金20")</f>
        <v>金20</v>
      </c>
      <c r="F876" s="2" t="s">
        <v>2807</v>
      </c>
      <c r="G876" s="2" t="s">
        <v>2808</v>
      </c>
      <c r="H876" s="1">
        <v>1.0</v>
      </c>
      <c r="I876" s="1" t="s">
        <v>3</v>
      </c>
      <c r="J876" s="1" t="s">
        <v>2809</v>
      </c>
      <c r="K876" s="4" t="s">
        <v>2810</v>
      </c>
      <c r="L876" s="2" t="s">
        <v>2811</v>
      </c>
      <c r="M876" s="2" t="str">
        <f>IFERROR(__xludf.DUMMYFUNCTION("split(split(K876,""サナ:　"",false),""公式動画をチェック!"",false)"),"番組HPでは、“あらすじ""や“スペシャルコンテンツ""など公開中。  詳しくはこちら　http://www.fujitv.co.jp/tenchu/index.html　  またYouTubeで")</f>
        <v>番組HPでは、“あらすじ"や“スペシャルコンテンツ"など公開中。  詳しくはこちら　http://www.fujitv.co.jp/tenchu/index.html　  またYouTubeで</v>
      </c>
      <c r="N876" s="2" t="str">
        <f>IFERROR(__xludf.DUMMYFUNCTION("""COMPUTED_VALUE"""),"　買い物客でにぎわう商店街。突然、柳刃包丁を持った男が飛び出し、通行人に次々と襲いかかる。「ちょっとおやめよ!」逃げ惑う人々に逆流し、村田正子(泉ピン子)は犯人の前に出て行こうとする。するとフードをかぶった、みすぼらしい格好の女(小野ゆり子)が突然現れ、「殺すなら、私を殺せ…」と犯人の前に立ちはだかる。襲いかかる犯人に女は容赦なくとどめを刺そうとするが、正子に止められ立ち去る…。その後、正子は、道端で女が気を失い倒れているのを見つけ、家に連れて帰る。背中に大きな傷のあるサナと名乗るその女は、食べるために人"&amp;"と“契約""をし、命令されれば、人殺しでも厭(いと)わないという壮絶な人生を送っていたという。正子は、そんなサナを放っておけず、しばらくの間面倒をみることにする。  　ある日正子は、サナと行った松田竜次(京本政樹)が指導する古武術介護教室で、オネエのスナックのママ・東条ミツ子(三ツ矢雄二)から、近所の善灯寺で起きた事件のことを聞く。真由美(真飛聖)は、夫・直樹(丸山智己)から激しいDVを受け善灯寺に避難していたのだが、居場所を突き止められてしまう。その後もDV夫のストーカー行為はエスカレート…。真由美は、"&amp;"命までも狙われ、偶然通りかかった弁当配達員の八巻辰(柳沢慎吾)に助けられる。真由美の夫がどうしても許せない正子は、サナとある契約を交わし、“天誅""を命令する。")</f>
        <v>　買い物客でにぎわう商店街。突然、柳刃包丁を持った男が飛び出し、通行人に次々と襲いかかる。「ちょっとおやめよ!」逃げ惑う人々に逆流し、村田正子(泉ピン子)は犯人の前に出て行こうとする。するとフードをかぶった、みすぼらしい格好の女(小野ゆり子)が突然現れ、「殺すなら、私を殺せ…」と犯人の前に立ちはだかる。襲いかかる犯人に女は容赦なくとどめを刺そうとするが、正子に止められ立ち去る…。その後、正子は、道端で女が気を失い倒れているのを見つけ、家に連れて帰る。背中に大きな傷のあるサナと名乗るその女は、食べるために人と“契約"をし、命令されれば、人殺しでも厭(いと)わないという壮絶な人生を送っていたという。正子は、そんなサナを放っておけず、しばらくの間面倒をみることにする。  　ある日正子は、サナと行った松田竜次(京本政樹)が指導する古武術介護教室で、オネエのスナックのママ・東条ミツ子(三ツ矢雄二)から、近所の善灯寺で起きた事件のことを聞く。真由美(真飛聖)は、夫・直樹(丸山智己)から激しいDVを受け善灯寺に避難していたのだが、居場所を突き止められてしまう。その後もDV夫のストーカー行為はエスカレート…。真由美は、命までも狙われ、偶然通りかかった弁当配達員の八巻辰(柳沢慎吾)に助けられる。真由美の夫がどうしても許せない正子は、サナとある契約を交わし、“天誅"を命令する。</v>
      </c>
      <c r="O876" s="2"/>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row>
    <row r="877" ht="204.75" customHeight="1">
      <c r="A877" s="1">
        <v>2976.0</v>
      </c>
      <c r="B877" s="2" t="s">
        <v>2806</v>
      </c>
      <c r="C877" s="2">
        <f>IFERROR(__xludf.DUMMYFUNCTION("split(B877,""_"")"),1401.0)</f>
        <v>1401</v>
      </c>
      <c r="D877" s="2" t="str">
        <f>IFERROR(__xludf.DUMMYFUNCTION("""COMPUTED_VALUE"""),"CX")</f>
        <v>CX</v>
      </c>
      <c r="E877" s="2" t="str">
        <f>IFERROR(__xludf.DUMMYFUNCTION("""COMPUTED_VALUE"""),"金20")</f>
        <v>金20</v>
      </c>
      <c r="F877" s="2" t="s">
        <v>2807</v>
      </c>
      <c r="G877" s="2" t="s">
        <v>2812</v>
      </c>
      <c r="H877" s="1">
        <v>2.0</v>
      </c>
      <c r="I877" s="1" t="s">
        <v>7</v>
      </c>
      <c r="J877" s="1" t="s">
        <v>2809</v>
      </c>
      <c r="K877" s="2" t="s">
        <v>2813</v>
      </c>
      <c r="L877" s="2" t="s">
        <v>2814</v>
      </c>
      <c r="M877" s="2" t="str">
        <f>IFERROR(__xludf.DUMMYFUNCTION("split(split(K877,""サナ:　"",false),""公式動画をチェック!"",false)"),"番組HPでは、“あらすじ""や“スペシャルコンテンツ""など公開中。  詳しくはこちら　http://www.fujitv.co.jp/tenchu/index.html　  またYouTubeで")</f>
        <v>番組HPでは、“あらすじ"や“スペシャルコンテンツ"など公開中。  詳しくはこちら　http://www.fujitv.co.jp/tenchu/index.html　  またYouTubeで</v>
      </c>
      <c r="N877" s="2" t="str">
        <f>IFERROR(__xludf.DUMMYFUNCTION("""COMPUTED_VALUE"""),"　突如、正子(泉ピン子)の前に現れた背中に傷のある謎の女・サナ(小野ゆり子)。サナはかつて戦国時代の世で忍者として雇い主と契約をし、その命令には逆らわずに生きてきた。正子はサナが天涯孤独だと知り、嫁・恭子(白石美帆)の反対を押し切り家に置くことにする。  　ある日、おネエのスナックママ・ミツ子(三ツ矢雄二)の店「天守閣」に、正子、サナ、松田(京本政樹)が集まっている時、正子の親友・弥生(鷲尾真知子)がやって来て、「自宅にオレオレ詐欺の電話があり引っかかったふりをしたのだが、警察が来られなくなり、助けてくれ"&amp;"ないか」と皆に持ちかける。　  　面白がったミツ子が犯人を捕まえるため、サナを引き連れ弥生の家で隠れていると、そこに現れたのは、なんと、ミツ子の息子・慎司(森永悠希)だった。慎司は高校生だというのに、オレオレ詐欺の「受け子」という金の集金役をしていたのだ。慎司の姿を見たミツ子は思わず慎司をかばい、慎司はその場を逃げ去る。  　実はミツ子は数年前までは普通のサラリーマンとして家族と暮らしていたのだが、ミツ子がおネエだったことが明らかになり、家族は崩壊。ミツ子は家を追い出され、妻も家を去り、今は祖母(佐々木す"&amp;"み江)と慎司が2人で暮らしていた。後日、慎司を訪ねたミツ子は、息子が犯罪の道に入ってしまったのは自分のせいだと知り、何とかして慎司を詐欺グループから抜けさせようと、直談判をするのだが…。")</f>
        <v>　突如、正子(泉ピン子)の前に現れた背中に傷のある謎の女・サナ(小野ゆり子)。サナはかつて戦国時代の世で忍者として雇い主と契約をし、その命令には逆らわずに生きてきた。正子はサナが天涯孤独だと知り、嫁・恭子(白石美帆)の反対を押し切り家に置くことにする。  　ある日、おネエのスナックママ・ミツ子(三ツ矢雄二)の店「天守閣」に、正子、サナ、松田(京本政樹)が集まっている時、正子の親友・弥生(鷲尾真知子)がやって来て、「自宅にオレオレ詐欺の電話があり引っかかったふりをしたのだが、警察が来られなくなり、助けてくれないか」と皆に持ちかける。　  　面白がったミツ子が犯人を捕まえるため、サナを引き連れ弥生の家で隠れていると、そこに現れたのは、なんと、ミツ子の息子・慎司(森永悠希)だった。慎司は高校生だというのに、オレオレ詐欺の「受け子」という金の集金役をしていたのだ。慎司の姿を見たミツ子は思わず慎司をかばい、慎司はその場を逃げ去る。  　実はミツ子は数年前までは普通のサラリーマンとして家族と暮らしていたのだが、ミツ子がおネエだったことが明らかになり、家族は崩壊。ミツ子は家を追い出され、妻も家を去り、今は祖母(佐々木すみ江)と慎司が2人で暮らしていた。後日、慎司を訪ねたミツ子は、息子が犯罪の道に入ってしまったのは自分のせいだと知り、何とかして慎司を詐欺グループから抜けさせようと、直談判をするのだが…。</v>
      </c>
      <c r="O877" s="2"/>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row>
    <row r="878" ht="204.75" customHeight="1">
      <c r="A878" s="1">
        <v>2977.0</v>
      </c>
      <c r="B878" s="2" t="s">
        <v>2806</v>
      </c>
      <c r="C878" s="2">
        <f>IFERROR(__xludf.DUMMYFUNCTION("split(B878,""_"")"),1401.0)</f>
        <v>1401</v>
      </c>
      <c r="D878" s="2" t="str">
        <f>IFERROR(__xludf.DUMMYFUNCTION("""COMPUTED_VALUE"""),"CX")</f>
        <v>CX</v>
      </c>
      <c r="E878" s="2" t="str">
        <f>IFERROR(__xludf.DUMMYFUNCTION("""COMPUTED_VALUE"""),"金20")</f>
        <v>金20</v>
      </c>
      <c r="F878" s="2" t="s">
        <v>2807</v>
      </c>
      <c r="G878" s="2" t="s">
        <v>2815</v>
      </c>
      <c r="H878" s="1">
        <v>3.0</v>
      </c>
      <c r="I878" s="1" t="s">
        <v>10</v>
      </c>
      <c r="J878" s="1" t="s">
        <v>2809</v>
      </c>
      <c r="K878" s="2" t="s">
        <v>2816</v>
      </c>
      <c r="L878" s="2" t="s">
        <v>2817</v>
      </c>
      <c r="M878" s="2" t="str">
        <f>IFERROR(__xludf.DUMMYFUNCTION("split(split(K878,""サナ:　"",false),""公式動画をチェック!"",false)"),"番組HPでは、“あらすじ""や“スペシャルコンテンツ""など公開中。  詳しくはこちら　http://www.fujitv.co.jp/tenchu/index.html　  またYouTubeで")</f>
        <v>番組HPでは、“あらすじ"や“スペシャルコンテンツ"など公開中。  詳しくはこちら　http://www.fujitv.co.jp/tenchu/index.html　  またYouTubeで</v>
      </c>
      <c r="N878" s="2" t="str">
        <f>IFERROR(__xludf.DUMMYFUNCTION("""COMPUTED_VALUE"""),"  今なら、第三話をもっと楽しむための予習復習スペシャル動画が見られます!　突如、正子(泉ピン子)の前に現れた背中に傷のある謎の女・サナ(小野ゆり子)。かつて戦国時代の世で忍者として雇い主と契約、その命令に逆らわずに生きてきた。サナは命の恩人正子と契約を結び、互いに心に闇を抱えた仲間として世直しが始まる。  　正子とサナはミツ子(三ツ矢雄二)と知世子(茅島成美)と行った松田(京本政樹)の古武術介護教室で、宅配弁当の配達にやってきた八巻辰(柳沢慎吾)に出会う。軽快なギャグを飛ばす八巻、だが彼には前科があり、"&amp;"今、近所で起きているピッキングによる連続空き巣事件の犯人だと疑われているらしいと知世子は正子に告げる。八巻は、仕事場でも前科のことで仲間から疎んじられていた。  　そんな中、とうとう空き巣事件が殺人事件に発展する。正子たちは、警察などあてにならないと考え、自分たちの身を守るために独自に捜査を始める。サナとパトロールに出た松田はサナの言動や、身のこなしから、サナは忍者で違う時代から『タイムスリップ』してきたのではと冗談めかしてサナに告げる。  　ある夜、サナは、谷原綾音(西原亜希)が、車にひかれそうになった"&amp;"ところを助ける。綾音は、娘の麻衣(須田琥珀)が、行方不明になっているために、憔悴(しょうすい)しきっていたのだった。サナは、綾音が一緒に暮らしている睦橋涼(陳内将)の存在を知り、綾音と娘の麻衣の間になにか問題があることに気づくが…。")</f>
        <v>  今なら、第三話をもっと楽しむための予習復習スペシャル動画が見られます!　突如、正子(泉ピン子)の前に現れた背中に傷のある謎の女・サナ(小野ゆり子)。かつて戦国時代の世で忍者として雇い主と契約、その命令に逆らわずに生きてきた。サナは命の恩人正子と契約を結び、互いに心に闇を抱えた仲間として世直しが始まる。  　正子とサナはミツ子(三ツ矢雄二)と知世子(茅島成美)と行った松田(京本政樹)の古武術介護教室で、宅配弁当の配達にやってきた八巻辰(柳沢慎吾)に出会う。軽快なギャグを飛ばす八巻、だが彼には前科があり、今、近所で起きているピッキングによる連続空き巣事件の犯人だと疑われているらしいと知世子は正子に告げる。八巻は、仕事場でも前科のことで仲間から疎んじられていた。  　そんな中、とうとう空き巣事件が殺人事件に発展する。正子たちは、警察などあてにならないと考え、自分たちの身を守るために独自に捜査を始める。サナとパトロールに出た松田はサナの言動や、身のこなしから、サナは忍者で違う時代から『タイムスリップ』してきたのではと冗談めかしてサナに告げる。  　ある夜、サナは、谷原綾音(西原亜希)が、車にひかれそうになったところを助ける。綾音は、娘の麻衣(須田琥珀)が、行方不明になっているために、憔悴(しょうすい)しきっていたのだった。サナは、綾音が一緒に暮らしている睦橋涼(陳内将)の存在を知り、綾音と娘の麻衣の間になにか問題があることに気づくが…。</v>
      </c>
      <c r="O878" s="2"/>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row>
    <row r="879" ht="204.75" customHeight="1">
      <c r="A879" s="1">
        <v>2978.0</v>
      </c>
      <c r="B879" s="2" t="s">
        <v>2806</v>
      </c>
      <c r="C879" s="2">
        <f>IFERROR(__xludf.DUMMYFUNCTION("split(B879,""_"")"),1401.0)</f>
        <v>1401</v>
      </c>
      <c r="D879" s="2" t="str">
        <f>IFERROR(__xludf.DUMMYFUNCTION("""COMPUTED_VALUE"""),"CX")</f>
        <v>CX</v>
      </c>
      <c r="E879" s="2" t="str">
        <f>IFERROR(__xludf.DUMMYFUNCTION("""COMPUTED_VALUE"""),"金20")</f>
        <v>金20</v>
      </c>
      <c r="F879" s="2" t="s">
        <v>2807</v>
      </c>
      <c r="G879" s="2" t="s">
        <v>2818</v>
      </c>
      <c r="H879" s="1">
        <v>4.0</v>
      </c>
      <c r="I879" s="1" t="s">
        <v>14</v>
      </c>
      <c r="J879" s="1" t="s">
        <v>2809</v>
      </c>
      <c r="K879" s="2" t="s">
        <v>2819</v>
      </c>
      <c r="L879" s="2" t="s">
        <v>2820</v>
      </c>
      <c r="M879" s="2" t="str">
        <f>IFERROR(__xludf.DUMMYFUNCTION("split(split(K879,""サナ:　"",false),""公式動画をチェック!"",false)"),"番組HPでは、“あらすじ""や“スペシャルコンテンツ""など公開中。  詳しくはこちら　http://www.fujitv.co.jp/tenchu/index.html　  またYouTubeで")</f>
        <v>番組HPでは、“あらすじ"や“スペシャルコンテンツ"など公開中。  詳しくはこちら　http://www.fujitv.co.jp/tenchu/index.html　  またYouTubeで</v>
      </c>
      <c r="N879" s="2" t="str">
        <f>IFERROR(__xludf.DUMMYFUNCTION("""COMPUTED_VALUE"""),"  第四話の「みどころ」と「サキドリ」スペシャル動画を絶賛配信中!　突如、現代に現れた謎の女・サナ(小野ゆり子)は、命の恩人正子(泉ピン子)と契約を結び、古武術師範・松田(京本政樹)と七色の声を持つミツ子(三ツ矢雄二)、鍵師の八巻(柳沢慎吾)と共に「闇の仕置人」となる。刑事の一之瀬(竹財輝之助)はサナが最近世をにぎわしている「フードマン」事件の当事者であると確信し、サナを問い詰める…。  　八巻が勝手に「ヘルプ天使～トラブル解決します～」という「闇の仕置人」のホームページを立ち上げた。最初の依頼は「三也2"&amp;"96」と書かれた謎の暗号メール。八巻とミツ子はそれについて調べ始める。一方、村田家では、嫁の恭子(白石美帆)が娘の加奈子(葵わかな)が高額なお小遣いを要求してきた事を心配していた。正子も不安を感じ、サナに探らせることにする。サナと買い物に出かけた加奈子は、自分は足が不自由なせいでなかなか友達ができず、最近できたミサという友人に合わせるために、色々欲しいものがあるのだと嬉しそうに語る。  　そんな時、再び「ヘルプ天使」のホームページにメールが来る。そこには、「この子、援交しそう、止めて!」という文面と加奈子"&amp;"の画像が…!ミサのバックには援助交際を仕切っているグループの大元締め・秋葉(加藤虎ノ介)がいて、加奈子に援交をさせようとしていた。クラスメートの芹菜(森迫永依)はそれを知り、加奈子を救おうとメールを送ってきていたのだ。")</f>
        <v>  第四話の「みどころ」と「サキドリ」スペシャル動画を絶賛配信中!　突如、現代に現れた謎の女・サナ(小野ゆり子)は、命の恩人正子(泉ピン子)と契約を結び、古武術師範・松田(京本政樹)と七色の声を持つミツ子(三ツ矢雄二)、鍵師の八巻(柳沢慎吾)と共に「闇の仕置人」となる。刑事の一之瀬(竹財輝之助)はサナが最近世をにぎわしている「フードマン」事件の当事者であると確信し、サナを問い詰める…。  　八巻が勝手に「ヘルプ天使～トラブル解決します～」という「闇の仕置人」のホームページを立ち上げた。最初の依頼は「三也296」と書かれた謎の暗号メール。八巻とミツ子はそれについて調べ始める。一方、村田家では、嫁の恭子(白石美帆)が娘の加奈子(葵わかな)が高額なお小遣いを要求してきた事を心配していた。正子も不安を感じ、サナに探らせることにする。サナと買い物に出かけた加奈子は、自分は足が不自由なせいでなかなか友達ができず、最近できたミサという友人に合わせるために、色々欲しいものがあるのだと嬉しそうに語る。  　そんな時、再び「ヘルプ天使」のホームページにメールが来る。そこには、「この子、援交しそう、止めて!」という文面と加奈子の画像が…!ミサのバックには援助交際を仕切っているグループの大元締め・秋葉(加藤虎ノ介)がいて、加奈子に援交をさせようとしていた。クラスメートの芹菜(森迫永依)はそれを知り、加奈子を救おうとメールを送ってきていたのだ。</v>
      </c>
      <c r="O879" s="2"/>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row>
    <row r="880" ht="204.75" customHeight="1">
      <c r="A880" s="1">
        <v>2979.0</v>
      </c>
      <c r="B880" s="2" t="s">
        <v>2806</v>
      </c>
      <c r="C880" s="2">
        <f>IFERROR(__xludf.DUMMYFUNCTION("split(B880,""_"")"),1401.0)</f>
        <v>1401</v>
      </c>
      <c r="D880" s="2" t="str">
        <f>IFERROR(__xludf.DUMMYFUNCTION("""COMPUTED_VALUE"""),"CX")</f>
        <v>CX</v>
      </c>
      <c r="E880" s="2" t="str">
        <f>IFERROR(__xludf.DUMMYFUNCTION("""COMPUTED_VALUE"""),"金20")</f>
        <v>金20</v>
      </c>
      <c r="F880" s="2" t="s">
        <v>2807</v>
      </c>
      <c r="G880" s="2" t="s">
        <v>2821</v>
      </c>
      <c r="H880" s="1">
        <v>5.0</v>
      </c>
      <c r="I880" s="1" t="s">
        <v>17</v>
      </c>
      <c r="J880" s="1" t="s">
        <v>2809</v>
      </c>
      <c r="K880" s="2" t="s">
        <v>2822</v>
      </c>
      <c r="L880" s="2" t="s">
        <v>2823</v>
      </c>
      <c r="M880" s="2" t="str">
        <f>IFERROR(__xludf.DUMMYFUNCTION("split(split(K880,""サナ:　"",false),""公式動画をチェック!"",false)"),"番組HPでは、“あらすじ""や“スペシャルコンテンツ""など公開中。  詳しくはこちら　http://www.fujitv.co.jp/tenchu/index.html　  またYouTubeで")</f>
        <v>番組HPでは、“あらすじ"や“スペシャルコンテンツ"など公開中。  詳しくはこちら　http://www.fujitv.co.jp/tenchu/index.html　  またYouTubeで</v>
      </c>
      <c r="N880" s="2" t="str">
        <f>IFERROR(__xludf.DUMMYFUNCTION("""COMPUTED_VALUE"""),"　突如、現代に現れた背中に傷のある謎の女・サナ(小野ゆり子)。サナは命の恩人・正子(泉ピン子)と契約を結び、古武術師範の松田(京本政樹)、七色の声を持つミツ子(三ツ矢雄二)、どんな鍵でも開けてしまう八巻(柳沢慎吾)と共に世直しを始める。刑事の一之瀬(竹財輝之助)はサナに頼まれた24年前の正子の娘・ゆかり(南乃彩希)の失踪事件を調べるが、上司の首藤(嶋田久作)に妨害される…。　抽選で当たった老人ホームの一泊二日の体験入居に参加することになった正子と弥生(鷲尾真知子)と知世子(茅島成美)。フレンチのフルコース"&amp;"付き、しかも理事長の桜井(合田雅吏)はかなりのイケメンと評判でノリノリで参加した3人だが、正子はホームで働く雪乃(吉井怜)が、入居者から冷たくされているのが気になり、スナック「天守閣」の名刺を渡す。  　ある日「天守閣」を訪れた雪乃は正子たちに、自分の担当する入居者が目を離したすきに次々と不審な死を遂げ、“死神""と呼ばれている悩みを打ち明ける。雪乃の思いつめた様子が気になっていた正子だが数日後、雪乃が自殺を図り病院に運ばれたと連絡が入る。雪乃は桜井理事長から“入居者の死は雪乃のせい""と言われ解雇を言い"&amp;"渡され、自分を責め自殺を図ったのである。入居者の死の裏には何かある。もしや、この老人ホームは「ブラック企業」ではないかと思った正子たち仕置人は、調査を始める。")</f>
        <v>　突如、現代に現れた背中に傷のある謎の女・サナ(小野ゆり子)。サナは命の恩人・正子(泉ピン子)と契約を結び、古武術師範の松田(京本政樹)、七色の声を持つミツ子(三ツ矢雄二)、どんな鍵でも開けてしまう八巻(柳沢慎吾)と共に世直しを始める。刑事の一之瀬(竹財輝之助)はサナに頼まれた24年前の正子の娘・ゆかり(南乃彩希)の失踪事件を調べるが、上司の首藤(嶋田久作)に妨害される…。　抽選で当たった老人ホームの一泊二日の体験入居に参加することになった正子と弥生(鷲尾真知子)と知世子(茅島成美)。フレンチのフルコース付き、しかも理事長の桜井(合田雅吏)はかなりのイケメンと評判でノリノリで参加した3人だが、正子はホームで働く雪乃(吉井怜)が、入居者から冷たくされているのが気になり、スナック「天守閣」の名刺を渡す。  　ある日「天守閣」を訪れた雪乃は正子たちに、自分の担当する入居者が目を離したすきに次々と不審な死を遂げ、“死神"と呼ばれている悩みを打ち明ける。雪乃の思いつめた様子が気になっていた正子だが数日後、雪乃が自殺を図り病院に運ばれたと連絡が入る。雪乃は桜井理事長から“入居者の死は雪乃のせい"と言われ解雇を言い渡され、自分を責め自殺を図ったのである。入居者の死の裏には何かある。もしや、この老人ホームは「ブラック企業」ではないかと思った正子たち仕置人は、調査を始める。</v>
      </c>
      <c r="O880" s="2"/>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row>
    <row r="881" ht="204.75" customHeight="1">
      <c r="A881" s="1">
        <v>2980.0</v>
      </c>
      <c r="B881" s="2" t="s">
        <v>2806</v>
      </c>
      <c r="C881" s="2">
        <f>IFERROR(__xludf.DUMMYFUNCTION("split(B881,""_"")"),1401.0)</f>
        <v>1401</v>
      </c>
      <c r="D881" s="2" t="str">
        <f>IFERROR(__xludf.DUMMYFUNCTION("""COMPUTED_VALUE"""),"CX")</f>
        <v>CX</v>
      </c>
      <c r="E881" s="2" t="str">
        <f>IFERROR(__xludf.DUMMYFUNCTION("""COMPUTED_VALUE"""),"金20")</f>
        <v>金20</v>
      </c>
      <c r="F881" s="2" t="s">
        <v>2807</v>
      </c>
      <c r="G881" s="2" t="s">
        <v>2824</v>
      </c>
      <c r="H881" s="1">
        <v>6.0</v>
      </c>
      <c r="I881" s="1" t="s">
        <v>21</v>
      </c>
      <c r="J881" s="1" t="s">
        <v>2809</v>
      </c>
      <c r="K881" s="2" t="s">
        <v>2825</v>
      </c>
      <c r="L881" s="2" t="s">
        <v>2826</v>
      </c>
      <c r="M881" s="2" t="str">
        <f>IFERROR(__xludf.DUMMYFUNCTION("split(split(K881,""サナ:　"",false),""公式動画をチェック!"",false)"),"突如、現代に現れた謎の女・サナ(小野ゆり子)。サナは正子(泉ピン子)、松田(京本政樹)、八巻(柳沢慎吾)、ミツ子(三ツ矢雄二)らと闇の仕置人となる。スナック「天守閣」に会社員の安藤尊(阪田マサノブ)がやってきて、妻の夏帆(小林綾子)が4歳の息子の育児を放棄し家事もせず、しかも300万円の借金をしたらしいので離婚したい、そのための証拠を集めてほしいと依頼してくる。どうも興信所と勘違いしている安藤の態度に納得がいかない正子たちだが、子供が心配なので調査を始めることに…。調査の結果、夏帆の息子が通う幼稚園はママ"&amp;"友の山田雅江(紫吹淳)と仲間が牛耳っており、ママ友に高価なブランドバッグが安く手に入ると勧め、夏帆はそのバッグを買うために借金したらしいと判明する。正子が水道屋のふりをして夏帆の家を訪問すると、荒れ果てた部屋に疲れ切った夏帆とお腹をすかせた長男の姿があった。しかも夏帆は外に出ること、特に幼稚園に行くことに異常に怯えていた。夏帆はただの買い物依存症ではなく何か裏があると考えた正子たちは聞き込みを始め、信じられない真実にたどりつく。  　一方、首藤刑事(嶋田久作)はサナたちの正体を突き止めつつあった。それを知"&amp;"った一之瀬(竹財輝之助)は「定年まであと1カ月なのに24年前の連続少女失踪事件はこのままでいいのか?」と首藤を問い詰める。そんな中、サナは敵対関係にある一之瀬にひかれ始めていた。")</f>
        <v>突如、現代に現れた謎の女・サナ(小野ゆり子)。サナは正子(泉ピン子)、松田(京本政樹)、八巻(柳沢慎吾)、ミツ子(三ツ矢雄二)らと闇の仕置人となる。スナック「天守閣」に会社員の安藤尊(阪田マサノブ)がやってきて、妻の夏帆(小林綾子)が4歳の息子の育児を放棄し家事もせず、しかも300万円の借金をしたらしいので離婚したい、そのための証拠を集めてほしいと依頼してくる。どうも興信所と勘違いしている安藤の態度に納得がいかない正子たちだが、子供が心配なので調査を始めることに…。調査の結果、夏帆の息子が通う幼稚園はママ友の山田雅江(紫吹淳)と仲間が牛耳っており、ママ友に高価なブランドバッグが安く手に入ると勧め、夏帆はそのバッグを買うために借金したらしいと判明する。正子が水道屋のふりをして夏帆の家を訪問すると、荒れ果てた部屋に疲れ切った夏帆とお腹をすかせた長男の姿があった。しかも夏帆は外に出ること、特に幼稚園に行くことに異常に怯えていた。夏帆はただの買い物依存症ではなく何か裏があると考えた正子たちは聞き込みを始め、信じられない真実にたどりつく。  　一方、首藤刑事(嶋田久作)はサナたちの正体を突き止めつつあった。それを知った一之瀬(竹財輝之助)は「定年まであと1カ月なのに24年前の連続少女失踪事件はこのままでいいのか?」と首藤を問い詰める。そんな中、サナは敵対関係にある一之瀬にひかれ始めていた。</v>
      </c>
      <c r="N881" s="2"/>
      <c r="O881" s="2"/>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row>
    <row r="882" ht="204.75" customHeight="1">
      <c r="A882" s="1">
        <v>2981.0</v>
      </c>
      <c r="B882" s="2" t="s">
        <v>2806</v>
      </c>
      <c r="C882" s="2">
        <f>IFERROR(__xludf.DUMMYFUNCTION("split(B882,""_"")"),1401.0)</f>
        <v>1401</v>
      </c>
      <c r="D882" s="2" t="str">
        <f>IFERROR(__xludf.DUMMYFUNCTION("""COMPUTED_VALUE"""),"CX")</f>
        <v>CX</v>
      </c>
      <c r="E882" s="2" t="str">
        <f>IFERROR(__xludf.DUMMYFUNCTION("""COMPUTED_VALUE"""),"金20")</f>
        <v>金20</v>
      </c>
      <c r="F882" s="2" t="s">
        <v>2807</v>
      </c>
      <c r="G882" s="2" t="s">
        <v>2827</v>
      </c>
      <c r="H882" s="1">
        <v>7.0</v>
      </c>
      <c r="I882" s="1" t="s">
        <v>25</v>
      </c>
      <c r="J882" s="1" t="s">
        <v>2809</v>
      </c>
      <c r="K882" s="2" t="s">
        <v>2828</v>
      </c>
      <c r="L882" s="2" t="s">
        <v>2829</v>
      </c>
      <c r="M882" s="2" t="str">
        <f>IFERROR(__xludf.DUMMYFUNCTION("split(split(K882,""サナ:　"",false),""公式動画をチェック!"",false)"),"正子(泉ピン子)の家に「娘の事件の真相を知っている…」と書かれた怪文書が届く。怪文書が届いてから様子のおかしい正子を心配するサナ(小野ゆり子)に、正子は24年前に娘・ゆかり(南乃紗希)が失踪した事件のことをゆっくりと語りだす。正子の苦しみを知ったサナは怪文書を一之瀬刑事(竹財輝之助)に託し調査を依頼する。  　スナック「天守閣」に森山佳織(雛形あきこ)が怯えた様子で駆け込んできた。佳織は半年前に会社経営の森山(秋山真太郎)と結婚し、幸せな日々を送っていたが半月ほど前から誰かに命を狙われていて、このままだと"&amp;"殺されてしまうと正子たちに助けを求める。八巻(柳沢慎吾)とミツ子(三ツ矢雄二)が佳織の勤める陶芸教室で聞き込みを始めると、生徒の一人から森山が浮気しているとの目撃情報が入る。森山の周囲を潜入調査した八巻は森山の会社の事務所でとんでもないものを見つける。一方、佳織の身辺警護をしていたサナは佳織が命を狙われる場面に出くわす。犯人は大人しそうな女性・野倉冬実(吉村涼)だった。  　村田家でも騒ぎが起きていた。正子の息子・丈朗(乃木涼介)が喫茶店で女性の肩を抱いているところを妻・恭子(白石美帆)が目撃、浮気だと思"&amp;"い込み家出したのである。恭子の留守に息子と孫の世話ができてウキウキの正子だったが、恭子が家出して酔いつぶれた店はなんとミツ子の「天守閣」。そこでアルバイトしていた恭子と鉢合わせる。")</f>
        <v>正子(泉ピン子)の家に「娘の事件の真相を知っている…」と書かれた怪文書が届く。怪文書が届いてから様子のおかしい正子を心配するサナ(小野ゆり子)に、正子は24年前に娘・ゆかり(南乃紗希)が失踪した事件のことをゆっくりと語りだす。正子の苦しみを知ったサナは怪文書を一之瀬刑事(竹財輝之助)に託し調査を依頼する。  　スナック「天守閣」に森山佳織(雛形あきこ)が怯えた様子で駆け込んできた。佳織は半年前に会社経営の森山(秋山真太郎)と結婚し、幸せな日々を送っていたが半月ほど前から誰かに命を狙われていて、このままだと殺されてしまうと正子たちに助けを求める。八巻(柳沢慎吾)とミツ子(三ツ矢雄二)が佳織の勤める陶芸教室で聞き込みを始めると、生徒の一人から森山が浮気しているとの目撃情報が入る。森山の周囲を潜入調査した八巻は森山の会社の事務所でとんでもないものを見つける。一方、佳織の身辺警護をしていたサナは佳織が命を狙われる場面に出くわす。犯人は大人しそうな女性・野倉冬実(吉村涼)だった。  　村田家でも騒ぎが起きていた。正子の息子・丈朗(乃木涼介)が喫茶店で女性の肩を抱いているところを妻・恭子(白石美帆)が目撃、浮気だと思い込み家出したのである。恭子の留守に息子と孫の世話ができてウキウキの正子だったが、恭子が家出して酔いつぶれた店はなんとミツ子の「天守閣」。そこでアルバイトしていた恭子と鉢合わせる。</v>
      </c>
      <c r="N882" s="2"/>
      <c r="O882" s="2"/>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row>
    <row r="883" ht="204.75" customHeight="1">
      <c r="A883" s="1">
        <v>2982.0</v>
      </c>
      <c r="B883" s="2" t="s">
        <v>2806</v>
      </c>
      <c r="C883" s="2">
        <f>IFERROR(__xludf.DUMMYFUNCTION("split(B883,""_"")"),1401.0)</f>
        <v>1401</v>
      </c>
      <c r="D883" s="2" t="str">
        <f>IFERROR(__xludf.DUMMYFUNCTION("""COMPUTED_VALUE"""),"CX")</f>
        <v>CX</v>
      </c>
      <c r="E883" s="2" t="str">
        <f>IFERROR(__xludf.DUMMYFUNCTION("""COMPUTED_VALUE"""),"金20")</f>
        <v>金20</v>
      </c>
      <c r="F883" s="2" t="s">
        <v>2807</v>
      </c>
      <c r="G883" s="2" t="s">
        <v>2830</v>
      </c>
      <c r="H883" s="1">
        <v>8.0</v>
      </c>
      <c r="I883" s="1" t="s">
        <v>29</v>
      </c>
      <c r="J883" s="1" t="s">
        <v>2809</v>
      </c>
      <c r="K883" s="2" t="s">
        <v>2831</v>
      </c>
      <c r="L883" s="2" t="s">
        <v>2832</v>
      </c>
      <c r="M883" s="2" t="str">
        <f>IFERROR(__xludf.DUMMYFUNCTION("split(split(K883,""サナ:　"",false),""公式動画をチェック!"",false)"),"発見された白骨は24年前の連続少女失踪事件の少女のものだと判明した。おそらく、正子(泉ピン子)の娘・ゆかりの骨もその中にあるだろう…と聞き、ショックを受けた正子はふさぎ込む。そんな正子の家に首藤刑事(嶋田久作)が訪ねてきて、24年前の事件の捜査がある人物の圧力で打ち切られたことを告白、正子に新聞記事の切り抜きを渡しその人物が犯人であると告げる。記事には、滝崎元官房長官とその息子・滝崎哲彦(岡田浩暉)の記述があった。  　スナック「天守閣」にも首藤刑事がやってきた。八巻(柳沢慎吾)とミツ子(三ツ矢雄二)ら「"&amp;"仕置人」の力を借りて正子の娘の事件を解明するためだ。首藤刑事は、24年前の事件は、おそらく当時警察庁のキャリアで今は外務省に出向している哲彦が犯人だということ、哲彦の父親が事件をもみ消したことを告げる。そこに一之瀬刑事(竹財輝之助)も参加、滝崎の犯罪の証拠をつかむための計画を立てる。  　一方、正子は自分だけで滝崎に事実を確かめようとしていた。正子のそんな様子を不安に思っていたサナ(小野ゆり子)は、正子をトイレに閉じ込め、正子に出会ってからの自分の思い、妹・ユウと正子の娘・ゆかりが瓜二つだということを告げ"&amp;"、「自分は戦国時代の忍者で、ここにいてはいけない人間だから、滝崎は自分が殺す」と言い、正子を残して家を飛び出す。")</f>
        <v>発見された白骨は24年前の連続少女失踪事件の少女のものだと判明した。おそらく、正子(泉ピン子)の娘・ゆかりの骨もその中にあるだろう…と聞き、ショックを受けた正子はふさぎ込む。そんな正子の家に首藤刑事(嶋田久作)が訪ねてきて、24年前の事件の捜査がある人物の圧力で打ち切られたことを告白、正子に新聞記事の切り抜きを渡しその人物が犯人であると告げる。記事には、滝崎元官房長官とその息子・滝崎哲彦(岡田浩暉)の記述があった。  　スナック「天守閣」にも首藤刑事がやってきた。八巻(柳沢慎吾)とミツ子(三ツ矢雄二)ら「仕置人」の力を借りて正子の娘の事件を解明するためだ。首藤刑事は、24年前の事件は、おそらく当時警察庁のキャリアで今は外務省に出向している哲彦が犯人だということ、哲彦の父親が事件をもみ消したことを告げる。そこに一之瀬刑事(竹財輝之助)も参加、滝崎の犯罪の証拠をつかむための計画を立てる。  　一方、正子は自分だけで滝崎に事実を確かめようとしていた。正子のそんな様子を不安に思っていたサナ(小野ゆり子)は、正子をトイレに閉じ込め、正子に出会ってからの自分の思い、妹・ユウと正子の娘・ゆかりが瓜二つだということを告げ、「自分は戦国時代の忍者で、ここにいてはいけない人間だから、滝崎は自分が殺す」と言い、正子を残して家を飛び出す。</v>
      </c>
      <c r="N883" s="2"/>
      <c r="O883" s="2"/>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row>
    <row r="884" ht="204.75" customHeight="1">
      <c r="A884" s="1">
        <v>3011.0</v>
      </c>
      <c r="B884" s="2" t="s">
        <v>2833</v>
      </c>
      <c r="C884" s="2">
        <f>IFERROR(__xludf.DUMMYFUNCTION("split(B884,""_"")"),1401.0)</f>
        <v>1401</v>
      </c>
      <c r="D884" s="2" t="str">
        <f>IFERROR(__xludf.DUMMYFUNCTION("""COMPUTED_VALUE"""),"CX")</f>
        <v>CX</v>
      </c>
      <c r="E884" s="2" t="str">
        <f>IFERROR(__xludf.DUMMYFUNCTION("""COMPUTED_VALUE"""),"土23")</f>
        <v>土23</v>
      </c>
      <c r="F884" s="2" t="s">
        <v>2834</v>
      </c>
      <c r="G884" s="2" t="s">
        <v>2835</v>
      </c>
      <c r="H884" s="1">
        <v>1.0</v>
      </c>
      <c r="I884" s="1" t="s">
        <v>3</v>
      </c>
      <c r="J884" s="1" t="s">
        <v>2429</v>
      </c>
      <c r="K884" s="4" t="s">
        <v>2836</v>
      </c>
      <c r="L884" s="2" t="s">
        <v>2837</v>
      </c>
      <c r="M884" s="2" t="str">
        <f>IFERROR(__xludf.DUMMYFUNCTION("split(split(K884,""篠裕太:"",false),""index.html"",false)"),"番組公式フェイスブックとツイッターで、番組制作裏話やキャスト情報を配信中です!またパラレルドラマ「ロストデイズのひみつ」も実施中!詳しくは番組HPをチェック!　  http://www.fujitv.co.jp/lostdays/")</f>
        <v>番組公式フェイスブックとツイッターで、番組制作裏話やキャスト情報を配信中です!またパラレルドラマ「ロストデイズのひみつ」も実施中!詳しくは番組HPをチェック!　  http://www.fujitv.co.jp/lostdays/</v>
      </c>
      <c r="N884" s="2" t="str">
        <f>IFERROR(__xludf.DUMMYFUNCTION("""COMPUTED_VALUE"""),"　城慶大学4年生でテニスサークル部長の篠裕太(瀬戸康史)は、同じサークルのメンバー6人での卒業旅行に向かう。早朝にゲレンデに到着してスノーボードをするため、深夜に出発する車の運転手役を買って出た篠。待ち合わせ場所に着くと、篠が想いを寄せる桜田美希(石橋杏奈)をはじめ、佐々木梨花(トリンドル玲奈)、笛木茉奈(小島藤子)、そして唯一の後輩・立花五月(三吉彩花)が車に乗り込んでくる。遅刻魔の高野ナツ(吉沢亮)も合流し、一路ゲレンデへ。  　スポーツ万能のナツが華麗な滑りを披露するなど、篠たちはスノーボードを存分"&amp;"に楽しむ。その後ゲレンデをバックに笑顔で集合写真を撮る6人。テレビのニュースから流れる、近くで起きた殺人事件のことは全く気にも留めない。  　温泉から上がった女子メンバーの前で、美希は身に付けているブレスレットをナツからもらったと明かす。2人の交際を知らなかった梨花は教えてもらえなかったことに小さなショックを受ける。そんな梨花に1本の電話がかかってくるのだが…。  　美希の親が所有する別荘に到着し、一同がその広さに感銘を受けていたところ、不意に玄関でドアの開く音がする。6人の前に現れたのは美希の兄・桜田亘"&amp;"(桐山漣)であった。美希が不満そうな表情を浮かべる一方、亘のカッコよさに五月は一目惚れをする。  　そして夜、キッチンで夕食の準備をしているとき、突然別荘の電気が消えて…。")</f>
        <v>　城慶大学4年生でテニスサークル部長の篠裕太(瀬戸康史)は、同じサークルのメンバー6人での卒業旅行に向かう。早朝にゲレンデに到着してスノーボードをするため、深夜に出発する車の運転手役を買って出た篠。待ち合わせ場所に着くと、篠が想いを寄せる桜田美希(石橋杏奈)をはじめ、佐々木梨花(トリンドル玲奈)、笛木茉奈(小島藤子)、そして唯一の後輩・立花五月(三吉彩花)が車に乗り込んでくる。遅刻魔の高野ナツ(吉沢亮)も合流し、一路ゲレンデへ。  　スポーツ万能のナツが華麗な滑りを披露するなど、篠たちはスノーボードを存分に楽しむ。その後ゲレンデをバックに笑顔で集合写真を撮る6人。テレビのニュースから流れる、近くで起きた殺人事件のことは全く気にも留めない。  　温泉から上がった女子メンバーの前で、美希は身に付けているブレスレットをナツからもらったと明かす。2人の交際を知らなかった梨花は教えてもらえなかったことに小さなショックを受ける。そんな梨花に1本の電話がかかってくるのだが…。  　美希の親が所有する別荘に到着し、一同がその広さに感銘を受けていたところ、不意に玄関でドアの開く音がする。6人の前に現れたのは美希の兄・桜田亘(桐山漣)であった。美希が不満そうな表情を浮かべる一方、亘のカッコよさに五月は一目惚れをする。  　そして夜、キッチンで夕食の準備をしているとき、突然別荘の電気が消えて…。</v>
      </c>
      <c r="O884" s="2"/>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row>
    <row r="885" ht="204.75" customHeight="1">
      <c r="A885" s="1">
        <v>3012.0</v>
      </c>
      <c r="B885" s="2" t="s">
        <v>2833</v>
      </c>
      <c r="C885" s="2">
        <f>IFERROR(__xludf.DUMMYFUNCTION("split(B885,""_"")"),1401.0)</f>
        <v>1401</v>
      </c>
      <c r="D885" s="2" t="str">
        <f>IFERROR(__xludf.DUMMYFUNCTION("""COMPUTED_VALUE"""),"CX")</f>
        <v>CX</v>
      </c>
      <c r="E885" s="2" t="str">
        <f>IFERROR(__xludf.DUMMYFUNCTION("""COMPUTED_VALUE"""),"土23")</f>
        <v>土23</v>
      </c>
      <c r="F885" s="2" t="s">
        <v>2834</v>
      </c>
      <c r="G885" s="2" t="s">
        <v>2838</v>
      </c>
      <c r="H885" s="1">
        <v>2.0</v>
      </c>
      <c r="I885" s="1" t="s">
        <v>7</v>
      </c>
      <c r="J885" s="1" t="s">
        <v>2429</v>
      </c>
      <c r="K885" s="2" t="s">
        <v>2839</v>
      </c>
      <c r="L885" s="2" t="s">
        <v>2840</v>
      </c>
      <c r="M885" s="2" t="str">
        <f>IFERROR(__xludf.DUMMYFUNCTION("split(split(K885,""篠裕太:"",false),""index.html"",false)"),"ドラマ「ロストデイズ」の公式ホームページは、http://www.fujitv.co.jp/lostdays/")</f>
        <v>ドラマ「ロストデイズ」の公式ホームページは、http://www.fujitv.co.jp/lostdays/</v>
      </c>
      <c r="N885" s="2" t="str">
        <f>IFERROR(__xludf.DUMMYFUNCTION("""COMPUTED_VALUE"""),"。  　公式フェイスブックや公式ツイッターでもドラマの最新情報をお届けしています!　篠裕太(瀬戸康史)ら6人が卒業旅行で桜田美希(石橋杏奈)の別荘に来て2日目。  　今日は全員で、高野ナツ(吉沢亮)のサプライズバースデーを企画していた。佐々木梨花(トリンドル玲奈)がナツを外に連れ出している間に、篠、美希、笛木茉奈(小島藤子)、立花五月(三吉彩花)の4人が別荘でパーティーの準備をする計画である。朝食時、「スノボに行きたい」と言い出したナツに対し、それぞれ予定通りの反応を示す。しかしそこに現れた桜田亘(桐山漣"&amp;")が「俺が車で2人を連れていく」と言い出し、亘に一目惚れをした五月も「一緒に行きます!」と予定外の行動を取る。  　梨花から「予定外の行動を取らないで」と言われた五月は、「ナツさんと2人になりたかったんですか?」と返す。実は前夜、酔っ払って倒れていた五月は、梨花が衝動的にナツにキスしたところを目撃していたのだった。意味深な言葉で梨花の反応を試す五月。梨花はそんな五月に優しい態度を取る美希に対しても、小さないら立ちを感じる。  　亘はカーラジオで、別荘近くで起きている殺人事件のニュースを聞いていたが、篠とナ"&amp;"ツが荷物を運んで近づいてくるとサッとラジオを消す。  　ナツたち4人がスキー場へ出発したあと、篠は、部屋のドアを開けようとした時の亘の怒りの表情や、人為的に切られていた配電盤のコードをいとも簡単に修理した亘の行動を思い出し、少し違和感を覚え始めるが・・・。")</f>
        <v>。  　公式フェイスブックや公式ツイッターでもドラマの最新情報をお届けしています!　篠裕太(瀬戸康史)ら6人が卒業旅行で桜田美希(石橋杏奈)の別荘に来て2日目。  　今日は全員で、高野ナツ(吉沢亮)のサプライズバースデーを企画していた。佐々木梨花(トリンドル玲奈)がナツを外に連れ出している間に、篠、美希、笛木茉奈(小島藤子)、立花五月(三吉彩花)の4人が別荘でパーティーの準備をする計画である。朝食時、「スノボに行きたい」と言い出したナツに対し、それぞれ予定通りの反応を示す。しかしそこに現れた桜田亘(桐山漣)が「俺が車で2人を連れていく」と言い出し、亘に一目惚れをした五月も「一緒に行きます!」と予定外の行動を取る。  　梨花から「予定外の行動を取らないで」と言われた五月は、「ナツさんと2人になりたかったんですか?」と返す。実は前夜、酔っ払って倒れていた五月は、梨花が衝動的にナツにキスしたところを目撃していたのだった。意味深な言葉で梨花の反応を試す五月。梨花はそんな五月に優しい態度を取る美希に対しても、小さないら立ちを感じる。  　亘はカーラジオで、別荘近くで起きている殺人事件のニュースを聞いていたが、篠とナツが荷物を運んで近づいてくるとサッとラジオを消す。  　ナツたち4人がスキー場へ出発したあと、篠は、部屋のドアを開けようとした時の亘の怒りの表情や、人為的に切られていた配電盤のコードをいとも簡単に修理した亘の行動を思い出し、少し違和感を覚え始めるが・・・。</v>
      </c>
      <c r="O885" s="2"/>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row>
    <row r="886" ht="204.75" customHeight="1">
      <c r="A886" s="1">
        <v>3013.0</v>
      </c>
      <c r="B886" s="2" t="s">
        <v>2833</v>
      </c>
      <c r="C886" s="2">
        <f>IFERROR(__xludf.DUMMYFUNCTION("split(B886,""_"")"),1401.0)</f>
        <v>1401</v>
      </c>
      <c r="D886" s="2" t="str">
        <f>IFERROR(__xludf.DUMMYFUNCTION("""COMPUTED_VALUE"""),"CX")</f>
        <v>CX</v>
      </c>
      <c r="E886" s="2" t="str">
        <f>IFERROR(__xludf.DUMMYFUNCTION("""COMPUTED_VALUE"""),"土23")</f>
        <v>土23</v>
      </c>
      <c r="F886" s="2" t="s">
        <v>2834</v>
      </c>
      <c r="G886" s="2" t="s">
        <v>2841</v>
      </c>
      <c r="H886" s="1">
        <v>3.0</v>
      </c>
      <c r="I886" s="1" t="s">
        <v>10</v>
      </c>
      <c r="J886" s="1" t="s">
        <v>2429</v>
      </c>
      <c r="K886" s="2" t="s">
        <v>2842</v>
      </c>
      <c r="L886" s="8" t="s">
        <v>2843</v>
      </c>
      <c r="M886" s="2" t="str">
        <f>IFERROR(__xludf.DUMMYFUNCTION("split(split(K886,""篠裕太:"",false),""index.html"",false)"),"番組公式フェイスブックとツイッターでは、撮影現場の裏情報やキャストのバラエティー稼働情報やオフショット写真を定期的に配信中!  詳しくは「ロストデイズ」を検索!　篠裕太(瀬戸康史)ら6人が卒業旅行で桜田美希(石橋杏奈)の別荘に来て3日目。  　篠は前日、スマートフォンに届いた差出人不明の音声ファイルに、佐々木梨花(トリンドル玲奈)と高野ナツ(吉沢亮)が急接近している様子が入っていたことに驚き、美希に惹かれながらもナツとの交際を見守ることに決めた自分の気持ちの行き場を失ってしまう。  　美希と笛木茉奈(小島"&amp;"藤子)の部屋に、立花五月(三吉彩花)が自分の部屋に来て欲しいと慌てた表情で呼びに来る。五月が自分の部屋で見せたゴミ箱には、美希がナツからもらって大事にしていたブレスレットがバラバラになって入っていた。  　昼食に梨花の作ったパスタを食べる6人。それぞれ楽しく会話するなか、一人浮かない顔をしていた美希の目から突然涙がこぼれる。涙が止まらない美希は席を立ち自分の部屋へ立ち去る。その様子を廊下で見ていた桜田亘(桐山漣)。  　ダイニングでは五月が、美希が泣いていた理由について説明する。篠はナツに「行ってやれば?"&amp;"」と声をかけるが、ナツは美希を気に掛けるそぶりを見せない。  　篠は心配になり美希の部屋に温かい紅茶を持って行くが、美希の落ち込む様子に何も言えず、部屋を出て行く。  　少し時間が経ち、美希がリビングに戻ってくる。6人で人生ゲームを始めようとするが、五月が「私と梨花さんの部屋のゴミ箱からブレスレットが出てきたのはおかしい」と話を蒸し返し・・・。")</f>
        <v>番組公式フェイスブックとツイッターでは、撮影現場の裏情報やキャストのバラエティー稼働情報やオフショット写真を定期的に配信中!  詳しくは「ロストデイズ」を検索!　篠裕太(瀬戸康史)ら6人が卒業旅行で桜田美希(石橋杏奈)の別荘に来て3日目。  　篠は前日、スマートフォンに届いた差出人不明の音声ファイルに、佐々木梨花(トリンドル玲奈)と高野ナツ(吉沢亮)が急接近している様子が入っていたことに驚き、美希に惹かれながらもナツとの交際を見守ることに決めた自分の気持ちの行き場を失ってしまう。  　美希と笛木茉奈(小島藤子)の部屋に、立花五月(三吉彩花)が自分の部屋に来て欲しいと慌てた表情で呼びに来る。五月が自分の部屋で見せたゴミ箱には、美希がナツからもらって大事にしていたブレスレットがバラバラになって入っていた。  　昼食に梨花の作ったパスタを食べる6人。それぞれ楽しく会話するなか、一人浮かない顔をしていた美希の目から突然涙がこぼれる。涙が止まらない美希は席を立ち自分の部屋へ立ち去る。その様子を廊下で見ていた桜田亘(桐山漣)。  　ダイニングでは五月が、美希が泣いていた理由について説明する。篠はナツに「行ってやれば?」と声をかけるが、ナツは美希を気に掛けるそぶりを見せない。  　篠は心配になり美希の部屋に温かい紅茶を持って行くが、美希の落ち込む様子に何も言えず、部屋を出て行く。  　少し時間が経ち、美希がリビングに戻ってくる。6人で人生ゲームを始めようとするが、五月が「私と梨花さんの部屋のゴミ箱からブレスレットが出てきたのはおかしい」と話を蒸し返し・・・。</v>
      </c>
      <c r="N886" s="2"/>
      <c r="O886" s="2"/>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row>
    <row r="887" ht="204.75" customHeight="1">
      <c r="A887" s="1">
        <v>3014.0</v>
      </c>
      <c r="B887" s="2" t="s">
        <v>2833</v>
      </c>
      <c r="C887" s="2">
        <f>IFERROR(__xludf.DUMMYFUNCTION("split(B887,""_"")"),1401.0)</f>
        <v>1401</v>
      </c>
      <c r="D887" s="2" t="str">
        <f>IFERROR(__xludf.DUMMYFUNCTION("""COMPUTED_VALUE"""),"CX")</f>
        <v>CX</v>
      </c>
      <c r="E887" s="2" t="str">
        <f>IFERROR(__xludf.DUMMYFUNCTION("""COMPUTED_VALUE"""),"土23")</f>
        <v>土23</v>
      </c>
      <c r="F887" s="2" t="s">
        <v>2834</v>
      </c>
      <c r="G887" s="2" t="s">
        <v>2844</v>
      </c>
      <c r="H887" s="1">
        <v>4.0</v>
      </c>
      <c r="I887" s="1" t="s">
        <v>14</v>
      </c>
      <c r="J887" s="1" t="s">
        <v>2429</v>
      </c>
      <c r="K887" s="2" t="s">
        <v>2845</v>
      </c>
      <c r="L887" s="8" t="s">
        <v>2846</v>
      </c>
      <c r="M887" s="2" t="str">
        <f>IFERROR(__xludf.DUMMYFUNCTION("split(split(K887,""篠裕太:"",false),""index.html"",false)"),"ドラマ「ロストデイズ」の公式ホームページは、http://www.fujitv.co.jp/lostdays/")</f>
        <v>ドラマ「ロストデイズ」の公式ホームページは、http://www.fujitv.co.jp/lostdays/</v>
      </c>
      <c r="N887" s="2" t="str">
        <f>IFERROR(__xludf.DUMMYFUNCTION("""COMPUTED_VALUE"""),"。  　公式フェイスブックや公式ツイッターでもドラマの最新情報をお届けしています!篠裕太(瀬戸康史)ら6人が卒業旅行で桜田美希(石橋杏奈)の別荘に来て4日目。  朝を迎えた篠は、差出人不明の音声ファイルと写真から佐々木梨花(トリンドル玲奈)と高野ナツ(吉沢亮)の浮気を確信し、ナツを問い詰めた昨晩を思い出して気が重くなる。開き直りの態度を見せるナツを思わず殴ってしまった篠だったが、駆けつけた美希に、「篠くんの顔なんかもう見たくない!」と言われてしまったのだった。  喧嘩をした本当の理由を明かせない篠は、全員"&amp;"の前で、ナツに留年のことで説教していたら熱が入った、とごまかす。そしてコーヒーを淹れるのを手伝おうとする梨花を、つい強く拒んでしまう。  そんな篠の様子に何かを感じた梨花はナツを呼び出し、昨日の喧嘩の理由を問いただす。車中での会話が録音され、2人が抱き合う姿が撮影され、それがもとで篠と喧嘩になったと聞かされた梨花は、篠に知られたことにショックを受ける。  ナツが去った後、背後で足音がし、振り返るとそこにいたのは桜田亘(桐山漣)であった。亘は「あまりコソコソしない方がいいよ」と言って立ち去る。  篠が美希の"&amp;"様子について笛木茉奈(小島藤子)に聞いたところ、洞察力の鋭い茉奈に、逆に喧嘩の理由を見抜かれてしまう。  梨花は、自分とナツの車中での会話を録音したのは、そのとき一緒に居た立花五月(三吉彩花)しかいないと思い、五月のスマホを手に取り音声データを探そうとするが・・・。")</f>
        <v>。  　公式フェイスブックや公式ツイッターでもドラマの最新情報をお届けしています!篠裕太(瀬戸康史)ら6人が卒業旅行で桜田美希(石橋杏奈)の別荘に来て4日目。  朝を迎えた篠は、差出人不明の音声ファイルと写真から佐々木梨花(トリンドル玲奈)と高野ナツ(吉沢亮)の浮気を確信し、ナツを問い詰めた昨晩を思い出して気が重くなる。開き直りの態度を見せるナツを思わず殴ってしまった篠だったが、駆けつけた美希に、「篠くんの顔なんかもう見たくない!」と言われてしまったのだった。  喧嘩をした本当の理由を明かせない篠は、全員の前で、ナツに留年のことで説教していたら熱が入った、とごまかす。そしてコーヒーを淹れるのを手伝おうとする梨花を、つい強く拒んでしまう。  そんな篠の様子に何かを感じた梨花はナツを呼び出し、昨日の喧嘩の理由を問いただす。車中での会話が録音され、2人が抱き合う姿が撮影され、それがもとで篠と喧嘩になったと聞かされた梨花は、篠に知られたことにショックを受ける。  ナツが去った後、背後で足音がし、振り返るとそこにいたのは桜田亘(桐山漣)であった。亘は「あまりコソコソしない方がいいよ」と言って立ち去る。  篠が美希の様子について笛木茉奈(小島藤子)に聞いたところ、洞察力の鋭い茉奈に、逆に喧嘩の理由を見抜かれてしまう。  梨花は、自分とナツの車中での会話を録音したのは、そのとき一緒に居た立花五月(三吉彩花)しかいないと思い、五月のスマホを手に取り音声データを探そうとするが・・・。</v>
      </c>
      <c r="O887" s="2"/>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row>
    <row r="888" ht="204.75" customHeight="1">
      <c r="A888" s="1">
        <v>3015.0</v>
      </c>
      <c r="B888" s="2" t="s">
        <v>2833</v>
      </c>
      <c r="C888" s="2">
        <f>IFERROR(__xludf.DUMMYFUNCTION("split(B888,""_"")"),1401.0)</f>
        <v>1401</v>
      </c>
      <c r="D888" s="2" t="str">
        <f>IFERROR(__xludf.DUMMYFUNCTION("""COMPUTED_VALUE"""),"CX")</f>
        <v>CX</v>
      </c>
      <c r="E888" s="2" t="str">
        <f>IFERROR(__xludf.DUMMYFUNCTION("""COMPUTED_VALUE"""),"土23")</f>
        <v>土23</v>
      </c>
      <c r="F888" s="2" t="s">
        <v>2834</v>
      </c>
      <c r="G888" s="2" t="s">
        <v>2847</v>
      </c>
      <c r="H888" s="1">
        <v>5.0</v>
      </c>
      <c r="I888" s="1" t="s">
        <v>17</v>
      </c>
      <c r="J888" s="1" t="s">
        <v>1435</v>
      </c>
      <c r="K888" s="2" t="s">
        <v>2848</v>
      </c>
      <c r="L888" s="2" t="s">
        <v>2849</v>
      </c>
      <c r="M888" s="2" t="str">
        <f>IFERROR(__xludf.DUMMYFUNCTION("split(split(K888,""篠裕太:"",false),""index.html"",false)"),"番組公式フェイスブックやツイッターでは、「ロストデイズ」の番組情報やキャスト情報を配信しています!詳しくは「ロストデイズ」を検索!  　ドラマ「ロストデイズ」の公式ホームページは、http://www.fujitv.co.jp/lostdays/")</f>
        <v>番組公式フェイスブックやツイッターでは、「ロストデイズ」の番組情報やキャスト情報を配信しています!詳しくは「ロストデイズ」を検索!  　ドラマ「ロストデイズ」の公式ホームページは、http://www.fujitv.co.jp/lostdays/</v>
      </c>
      <c r="N888" s="2" t="str">
        <f>IFERROR(__xludf.DUMMYFUNCTION("""COMPUTED_VALUE"""),"。　篠裕太(瀬戸康史)ら6人が卒業旅行で桜田美希(石橋杏奈)の別荘に来て4日目の夜。  　立花五月(三吉彩花)によって、佐々木梨花(トリンドル玲奈)と高野ナツ(吉沢亮)の浮気の証拠が暴露され、あまりのショックで部屋にこもった美希。しかし笛木茉奈(小島藤子)が様子を見に行くと部屋から美希の姿は消えていて、篠、ナツ、桜田亘(桐山漣)が探しに行く。その途中、狩猟小屋へ入ったナツは何者かに閉じ込められてしまう。  　梨花、茉奈、五月が別荘で美希と3人の帰りを待ちわびていると、亘が美希を背負って帰ってくる。足をくじ"&amp;"いた美希を優しくいたわる亘。同時に帰ってきた篠は、亘が美希を見つけた時に異常なほど感情を露わにしていた様子を思い出す。  　一方、携帯電話を別荘に置いたままのナツと連絡が取れない状況の中、篠がナツを心配して探しに出かけようとしたところ、亘が「俺が行くから」と言う。「二手に分かれた方が」と篠が言いかけると、亘は「いいって!」と強い調子で篠の申し出を突っぱねる。  　そして5日目の朝を迎える。ナツも亘も戻って来ない状況に、いよいよ篠は自分で探しに行くことを決める。その様子を見た茉奈は、何かを感じて亘に電話をか"&amp;"ける。  　別荘の外を歩く篠に茉奈が合流し、2人はある分かれ道にナツの手袋が落ちているのを見つけるが・・・。")</f>
        <v>。　篠裕太(瀬戸康史)ら6人が卒業旅行で桜田美希(石橋杏奈)の別荘に来て4日目の夜。  　立花五月(三吉彩花)によって、佐々木梨花(トリンドル玲奈)と高野ナツ(吉沢亮)の浮気の証拠が暴露され、あまりのショックで部屋にこもった美希。しかし笛木茉奈(小島藤子)が様子を見に行くと部屋から美希の姿は消えていて、篠、ナツ、桜田亘(桐山漣)が探しに行く。その途中、狩猟小屋へ入ったナツは何者かに閉じ込められてしまう。  　梨花、茉奈、五月が別荘で美希と3人の帰りを待ちわびていると、亘が美希を背負って帰ってくる。足をくじいた美希を優しくいたわる亘。同時に帰ってきた篠は、亘が美希を見つけた時に異常なほど感情を露わにしていた様子を思い出す。  　一方、携帯電話を別荘に置いたままのナツと連絡が取れない状況の中、篠がナツを心配して探しに出かけようとしたところ、亘が「俺が行くから」と言う。「二手に分かれた方が」と篠が言いかけると、亘は「いいって!」と強い調子で篠の申し出を突っぱねる。  　そして5日目の朝を迎える。ナツも亘も戻って来ない状況に、いよいよ篠は自分で探しに行くことを決める。その様子を見た茉奈は、何かを感じて亘に電話をかける。  　別荘の外を歩く篠に茉奈が合流し、2人はある分かれ道にナツの手袋が落ちているのを見つけるが・・・。</v>
      </c>
      <c r="O888" s="2"/>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row>
    <row r="889" ht="204.75" customHeight="1">
      <c r="A889" s="1">
        <v>3016.0</v>
      </c>
      <c r="B889" s="2" t="s">
        <v>2833</v>
      </c>
      <c r="C889" s="2">
        <f>IFERROR(__xludf.DUMMYFUNCTION("split(B889,""_"")"),1401.0)</f>
        <v>1401</v>
      </c>
      <c r="D889" s="2" t="str">
        <f>IFERROR(__xludf.DUMMYFUNCTION("""COMPUTED_VALUE"""),"CX")</f>
        <v>CX</v>
      </c>
      <c r="E889" s="2" t="str">
        <f>IFERROR(__xludf.DUMMYFUNCTION("""COMPUTED_VALUE"""),"土23")</f>
        <v>土23</v>
      </c>
      <c r="F889" s="2" t="s">
        <v>2834</v>
      </c>
      <c r="G889" s="2" t="s">
        <v>2850</v>
      </c>
      <c r="H889" s="1">
        <v>6.0</v>
      </c>
      <c r="I889" s="1" t="s">
        <v>21</v>
      </c>
      <c r="J889" s="1" t="s">
        <v>2429</v>
      </c>
      <c r="K889" s="2" t="s">
        <v>2851</v>
      </c>
      <c r="L889" s="8" t="s">
        <v>2852</v>
      </c>
      <c r="M889" s="2" t="str">
        <f>IFERROR(__xludf.DUMMYFUNCTION("split(split(K889,""篠裕太:"",false),""index.html"",false)"),"ドラマ「ロストデイズ」の公式ホームページは、http://www.fujitv.co.jp/lostdays/")</f>
        <v>ドラマ「ロストデイズ」の公式ホームページは、http://www.fujitv.co.jp/lostdays/</v>
      </c>
      <c r="N889" s="2" t="str">
        <f>IFERROR(__xludf.DUMMYFUNCTION("""COMPUTED_VALUE"""),"。  　公式フェイスブックや公式ツイッターでもドラマの最新情報をお届けしています!　篠裕太(瀬戸康史)ら6人が卒業旅行で桜田美希(石橋杏奈)の別荘に来て5日目の夜。予定通り東京へ帰ろうとした6人だが、リビングのカゴに置いていたはずのレンタカーの鍵がなくなっており、探しても見つからない。予備のキーが届く2日後まで別荘に滞在することになる。バイトをしているキャバクラのことが気がかりな佐々木梨花(トリンドル玲奈)。  　高野ナツ(吉沢亮)は桜田亘(桐山漣)から、「美希の前から消えろ」と言われたことを篠に相談し、"&amp;"車のキーを隠したのは亘に違いない、と話すが、それを聞いていた笛木茉奈(小島藤子)が否定する。一方梨花は美希に、鍵紛失は立花五月(三吉彩花)が怪しいという自分の考えを話す。五月をかばう発言をする美希に、いら立ちを感じる梨花。  　それぞれが疑心暗鬼にかられるなか、6日目の朝を迎える。朝食の席で浮かない表情の梨花とナツ。梨花はバイト先から続々と届く、出勤を求める旨のメールを見て美希にどうしても帰りたいと相談する。  　茉奈は自分の不安を確かめるために亘の部屋へ行くが、ドアを開けてもらえない。そこへ美希が来て声"&amp;"をかけると、ドアを開いて顔を出す亘。梨花を近くの駅まで送ってほしい、という美希の頼みごとを了承する。その様子をそばで見つめる茉奈。  　一足先に帰る梨花を5人で見送り、女子3人が散歩に出かけたところで、篠とナツはレンタカーの鍵を見つけるため亘の部屋へ向かうが・・・。")</f>
        <v>。  　公式フェイスブックや公式ツイッターでもドラマの最新情報をお届けしています!　篠裕太(瀬戸康史)ら6人が卒業旅行で桜田美希(石橋杏奈)の別荘に来て5日目の夜。予定通り東京へ帰ろうとした6人だが、リビングのカゴに置いていたはずのレンタカーの鍵がなくなっており、探しても見つからない。予備のキーが届く2日後まで別荘に滞在することになる。バイトをしているキャバクラのことが気がかりな佐々木梨花(トリンドル玲奈)。  　高野ナツ(吉沢亮)は桜田亘(桐山漣)から、「美希の前から消えろ」と言われたことを篠に相談し、車のキーを隠したのは亘に違いない、と話すが、それを聞いていた笛木茉奈(小島藤子)が否定する。一方梨花は美希に、鍵紛失は立花五月(三吉彩花)が怪しいという自分の考えを話す。五月をかばう発言をする美希に、いら立ちを感じる梨花。  　それぞれが疑心暗鬼にかられるなか、6日目の朝を迎える。朝食の席で浮かない表情の梨花とナツ。梨花はバイト先から続々と届く、出勤を求める旨のメールを見て美希にどうしても帰りたいと相談する。  　茉奈は自分の不安を確かめるために亘の部屋へ行くが、ドアを開けてもらえない。そこへ美希が来て声をかけると、ドアを開いて顔を出す亘。梨花を近くの駅まで送ってほしい、という美希の頼みごとを了承する。その様子をそばで見つめる茉奈。  　一足先に帰る梨花を5人で見送り、女子3人が散歩に出かけたところで、篠とナツはレンタカーの鍵を見つけるため亘の部屋へ向かうが・・・。</v>
      </c>
      <c r="O889" s="2"/>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row>
    <row r="890" ht="204.75" customHeight="1">
      <c r="A890" s="1">
        <v>3017.0</v>
      </c>
      <c r="B890" s="2" t="s">
        <v>2833</v>
      </c>
      <c r="C890" s="2">
        <f>IFERROR(__xludf.DUMMYFUNCTION("split(B890,""_"")"),1401.0)</f>
        <v>1401</v>
      </c>
      <c r="D890" s="2" t="str">
        <f>IFERROR(__xludf.DUMMYFUNCTION("""COMPUTED_VALUE"""),"CX")</f>
        <v>CX</v>
      </c>
      <c r="E890" s="2" t="str">
        <f>IFERROR(__xludf.DUMMYFUNCTION("""COMPUTED_VALUE"""),"土23")</f>
        <v>土23</v>
      </c>
      <c r="F890" s="2" t="s">
        <v>2834</v>
      </c>
      <c r="G890" s="2" t="s">
        <v>2853</v>
      </c>
      <c r="H890" s="1">
        <v>7.0</v>
      </c>
      <c r="I890" s="1" t="s">
        <v>25</v>
      </c>
      <c r="J890" s="1" t="s">
        <v>2429</v>
      </c>
      <c r="K890" s="2" t="s">
        <v>2854</v>
      </c>
      <c r="L890" s="8" t="s">
        <v>2855</v>
      </c>
      <c r="M890" s="2" t="str">
        <f>IFERROR(__xludf.DUMMYFUNCTION("split(split(K890,""篠裕太:"",false),""index.html"",false)"),"「BOXINGダイヤモンドグローブSP」延長の際、放送時間繰り下げの場合あり。　ドラマ「ロストデイズ」の公式ホームページは、http://www.fujitv.co.jp/lostdays/")</f>
        <v>「BOXINGダイヤモンドグローブSP」延長の際、放送時間繰り下げの場合あり。　ドラマ「ロストデイズ」の公式ホームページは、http://www.fujitv.co.jp/lostdays/</v>
      </c>
      <c r="N890" s="2" t="str">
        <f>IFERROR(__xludf.DUMMYFUNCTION("""COMPUTED_VALUE"""),"。  　公式フェイスブックや公式ツイッターでもドラマの最新情報をお届けしています!　篠裕太(瀬戸康史)ら6人が卒業旅行で桜田美希(石橋杏奈)の別荘に来て6日目の夜。高野ナツ(吉沢亮)が全員の前で笛木茉奈(小島藤子)に対し、桜田亘(桐山漣)との関係について問い詰める。茉奈は今まで抑えてきた自分の怒りを篠、美希、佐々木梨花(トリンドル玲奈)、ナツ、立花五月(三吉彩花)にぶつける。いつも冷静で落ち着いている茉奈の、見たことのない姿に言葉を失う5人。  　篠は美希に、自分たちの関係を壊そうと仕向けているのは亘かも"&amp;"しれないという考えを話す。その会話を盗聴している亘。そんな亘の隣に立っている梨花。  　そして7日目の朝を迎える。  　1人キッチンで朝食の準備をする茉奈にナツが話しかけるが無視されてしまう。一方、「茉奈さんがブチキレてんの超ウケましたね」と、自分たちを引っかき回したことは棚に上げた発言をする五月に、梨花は怒りを覚えてしまう。  　篠が、亘の部屋を物色したときに見つけたCD‐Rを再生してみると、旅行中リビングで会話する6人の声が入っていた。亘が盗聴しているという事実を全員に話す篠とナツ。しかし兄を疑いたく"&amp;"ない美希、彼氏を信じたいと言う五月、今さらどうでもいいと突き放す茉奈、無断で亘の部屋に入ったことをとがめる梨花、と女子たちはバラバラの反応を示す。  　「お兄ちゃんに確かめる」という美希に篠も付き添い、2人で亘の部屋へ行って盗聴の件を直接問いただすが・・・。")</f>
        <v>。  　公式フェイスブックや公式ツイッターでもドラマの最新情報をお届けしています!　篠裕太(瀬戸康史)ら6人が卒業旅行で桜田美希(石橋杏奈)の別荘に来て6日目の夜。高野ナツ(吉沢亮)が全員の前で笛木茉奈(小島藤子)に対し、桜田亘(桐山漣)との関係について問い詰める。茉奈は今まで抑えてきた自分の怒りを篠、美希、佐々木梨花(トリンドル玲奈)、ナツ、立花五月(三吉彩花)にぶつける。いつも冷静で落ち着いている茉奈の、見たことのない姿に言葉を失う5人。  　篠は美希に、自分たちの関係を壊そうと仕向けているのは亘かもしれないという考えを話す。その会話を盗聴している亘。そんな亘の隣に立っている梨花。  　そして7日目の朝を迎える。  　1人キッチンで朝食の準備をする茉奈にナツが話しかけるが無視されてしまう。一方、「茉奈さんがブチキレてんの超ウケましたね」と、自分たちを引っかき回したことは棚に上げた発言をする五月に、梨花は怒りを覚えてしまう。  　篠が、亘の部屋を物色したときに見つけたCD‐Rを再生してみると、旅行中リビングで会話する6人の声が入っていた。亘が盗聴しているという事実を全員に話す篠とナツ。しかし兄を疑いたくない美希、彼氏を信じたいと言う五月、今さらどうでもいいと突き放す茉奈、無断で亘の部屋に入ったことをとがめる梨花、と女子たちはバラバラの反応を示す。  　「お兄ちゃんに確かめる」という美希に篠も付き添い、2人で亘の部屋へ行って盗聴の件を直接問いただすが・・・。</v>
      </c>
      <c r="O890" s="2"/>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row>
    <row r="891" ht="204.75" customHeight="1">
      <c r="A891" s="1">
        <v>3018.0</v>
      </c>
      <c r="B891" s="2" t="s">
        <v>2833</v>
      </c>
      <c r="C891" s="2">
        <f>IFERROR(__xludf.DUMMYFUNCTION("split(B891,""_"")"),1401.0)</f>
        <v>1401</v>
      </c>
      <c r="D891" s="2" t="str">
        <f>IFERROR(__xludf.DUMMYFUNCTION("""COMPUTED_VALUE"""),"CX")</f>
        <v>CX</v>
      </c>
      <c r="E891" s="2" t="str">
        <f>IFERROR(__xludf.DUMMYFUNCTION("""COMPUTED_VALUE"""),"土23")</f>
        <v>土23</v>
      </c>
      <c r="F891" s="2" t="s">
        <v>2834</v>
      </c>
      <c r="G891" s="2" t="s">
        <v>2856</v>
      </c>
      <c r="H891" s="1">
        <v>8.0</v>
      </c>
      <c r="I891" s="1" t="s">
        <v>29</v>
      </c>
      <c r="J891" s="1" t="s">
        <v>2429</v>
      </c>
      <c r="K891" s="2" t="s">
        <v>2857</v>
      </c>
      <c r="L891" s="8" t="s">
        <v>2858</v>
      </c>
      <c r="M891" s="2" t="str">
        <f>IFERROR(__xludf.DUMMYFUNCTION("split(split(K891,""篠裕太:"",false),""index.html"",false)"),"ドラマ「ロストデイズ」の公式ホームページは、http://www.fujitv.co.jp/lostdays/")</f>
        <v>ドラマ「ロストデイズ」の公式ホームページは、http://www.fujitv.co.jp/lostdays/</v>
      </c>
      <c r="N891" s="2" t="str">
        <f>IFERROR(__xludf.DUMMYFUNCTION("""COMPUTED_VALUE"""),"。  　公式フェイスブックや公式ツイッターでもドラマの最新情報をお届けしています!　篠裕太(瀬戸康史)ら6人が卒業旅行で桜田美希(石橋杏奈)の別荘に来て7日目の夜。  佐々木梨花(トリンドル玲奈)は桜田亘(桐山漣)から脅されていることを篠に打ち明けようとするが、逆に篠からキャバクラのバイトの件で全員に嘘をついていたことをとがめられてしまう。  　そして8日目の朝を迎える。  気まずい雰囲気の篠と梨花を見て、高野ナツ(吉沢亮)が話を聞こうとするが、バイトのことで皆から軽蔑されたと思い込む梨花は聞く耳を持たな"&amp;"い。  立花五月(三吉彩花)が、亘の部屋にある布のかかった絵の存在について笛木茉奈(小島藤子)に聞いたところ、茉奈は動揺した様子をみせる。  梨花との昨晩のいきさつを聞いた美希は、梨花は今でも篠のことを想っているという事実を篠に話す。  　一方、「これ以上みんなに嘘をつきたくない」と、レンタカーのキーを返すよう亘に直談判しに行った梨花だが、亘は冷たく突き放す。  リビングに仕掛けられた盗聴器を見つけた美希。亘を呼び出し、この旅行中、6人の仲を引き裂くさまざまな事件を起こしたのは亘ではないかと問い詰める。全"&amp;"て自分がやったことだと認めつつも「ただ美希を守りたかった」という言葉を繰り返す亘。そんな兄の姿に失望した美希は、「いますぐここから出てって!」と拒絶する態度をみせる。  全員に頭を下げ謝罪する亘だが、自分の思いを美希に理解してもらえないことに、怒りと悔しさが収まらず…。")</f>
        <v>。  　公式フェイスブックや公式ツイッターでもドラマの最新情報をお届けしています!　篠裕太(瀬戸康史)ら6人が卒業旅行で桜田美希(石橋杏奈)の別荘に来て7日目の夜。  佐々木梨花(トリンドル玲奈)は桜田亘(桐山漣)から脅されていることを篠に打ち明けようとするが、逆に篠からキャバクラのバイトの件で全員に嘘をついていたことをとがめられてしまう。  　そして8日目の朝を迎える。  気まずい雰囲気の篠と梨花を見て、高野ナツ(吉沢亮)が話を聞こうとするが、バイトのことで皆から軽蔑されたと思い込む梨花は聞く耳を持たない。  立花五月(三吉彩花)が、亘の部屋にある布のかかった絵の存在について笛木茉奈(小島藤子)に聞いたところ、茉奈は動揺した様子をみせる。  梨花との昨晩のいきさつを聞いた美希は、梨花は今でも篠のことを想っているという事実を篠に話す。  　一方、「これ以上みんなに嘘をつきたくない」と、レンタカーのキーを返すよう亘に直談判しに行った梨花だが、亘は冷たく突き放す。  リビングに仕掛けられた盗聴器を見つけた美希。亘を呼び出し、この旅行中、6人の仲を引き裂くさまざまな事件を起こしたのは亘ではないかと問い詰める。全て自分がやったことだと認めつつも「ただ美希を守りたかった」という言葉を繰り返す亘。そんな兄の姿に失望した美希は、「いますぐここから出てって!」と拒絶する態度をみせる。  全員に頭を下げ謝罪する亘だが、自分の思いを美希に理解してもらえないことに、怒りと悔しさが収まらず…。</v>
      </c>
      <c r="O891" s="2"/>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row>
    <row r="892" ht="204.75" customHeight="1">
      <c r="A892" s="1">
        <v>3019.0</v>
      </c>
      <c r="B892" s="2" t="s">
        <v>2833</v>
      </c>
      <c r="C892" s="2">
        <f>IFERROR(__xludf.DUMMYFUNCTION("split(B892,""_"")"),1401.0)</f>
        <v>1401</v>
      </c>
      <c r="D892" s="2" t="str">
        <f>IFERROR(__xludf.DUMMYFUNCTION("""COMPUTED_VALUE"""),"CX")</f>
        <v>CX</v>
      </c>
      <c r="E892" s="2" t="str">
        <f>IFERROR(__xludf.DUMMYFUNCTION("""COMPUTED_VALUE"""),"土23")</f>
        <v>土23</v>
      </c>
      <c r="F892" s="2" t="s">
        <v>2834</v>
      </c>
      <c r="G892" s="2" t="s">
        <v>2859</v>
      </c>
      <c r="H892" s="1">
        <v>9.0</v>
      </c>
      <c r="I892" s="1" t="s">
        <v>33</v>
      </c>
      <c r="J892" s="1" t="s">
        <v>2429</v>
      </c>
      <c r="K892" s="2" t="s">
        <v>2860</v>
      </c>
      <c r="L892" s="8" t="s">
        <v>2861</v>
      </c>
      <c r="M892" s="2" t="str">
        <f>IFERROR(__xludf.DUMMYFUNCTION("split(split(K892,""篠裕太:"",false),""index.html"",false)"),"ドラマ「ロストデイズ」の公式ホームページは、http://www.fujitv.co.jp/lostdays/")</f>
        <v>ドラマ「ロストデイズ」の公式ホームページは、http://www.fujitv.co.jp/lostdays/</v>
      </c>
      <c r="N892" s="2" t="str">
        <f>IFERROR(__xludf.DUMMYFUNCTION("""COMPUTED_VALUE"""),"。  　公式フェイスブックや公式ツイッターでもドラマの最新情報をお届けしています!　篠裕太(瀬戸康史)らが卒業旅行で桜田美希(石橋杏奈)の別荘に来て8日目の夕方。  　桜田亘(桐山漣)は自分の描いている絵を見られたことに怒り狂い、立花五月(三吉彩花)を追いかけて殴りかかる。恐怖でパニック状態の五月は別荘を飛び出し、心配した美希が後を追う。  　笛木茉奈(小島藤子)から事情を聞いた篠は嫌な胸騒ぎをおぼえ、美希と五月を探しに外へ出ていく。佐々木梨花(トリンドル玲奈)と高野ナツ(吉沢亮)も亘の豹変(ひょうへん)"&amp;"ぶりに驚きを隠せない。  　篠が2人を探していると、手に血を付けてぼう然と座り込んでいる美希を見つける。そばには頭から血を流して倒れている仲間の姿が。信じられない光景を前に急いで警察に連絡しようとする篠を、震えながら全力で止める美希。一体何があったのか問い詰める篠に対し、美希はただ首を横に振るだけで何も話さない。  　美希と一緒に別荘に戻ってきた篠だが、他のメンバーに何も伝えられずごまかしてしまう。そんな5人の前を無表情で通り過ぎる亘。  　そして9日目の朝を迎える。篠は、昨日崖の下で目にした事実を告白す"&amp;"る。憔悴(しょうすい)した表情の美希、「誰かに突き落とされたの?」と聞く人、無言の人、全員に殺すタイミングがあったと指摘する人・・・。疑心暗鬼にかられる5人。  　仲間の死に美希が関わっているかもしれないという不安を抱え、1人思い悩む篠だが・・・。")</f>
        <v>。  　公式フェイスブックや公式ツイッターでもドラマの最新情報をお届けしています!　篠裕太(瀬戸康史)らが卒業旅行で桜田美希(石橋杏奈)の別荘に来て8日目の夕方。  　桜田亘(桐山漣)は自分の描いている絵を見られたことに怒り狂い、立花五月(三吉彩花)を追いかけて殴りかかる。恐怖でパニック状態の五月は別荘を飛び出し、心配した美希が後を追う。  　笛木茉奈(小島藤子)から事情を聞いた篠は嫌な胸騒ぎをおぼえ、美希と五月を探しに外へ出ていく。佐々木梨花(トリンドル玲奈)と高野ナツ(吉沢亮)も亘の豹変(ひょうへん)ぶりに驚きを隠せない。  　篠が2人を探していると、手に血を付けてぼう然と座り込んでいる美希を見つける。そばには頭から血を流して倒れている仲間の姿が。信じられない光景を前に急いで警察に連絡しようとする篠を、震えながら全力で止める美希。一体何があったのか問い詰める篠に対し、美希はただ首を横に振るだけで何も話さない。  　美希と一緒に別荘に戻ってきた篠だが、他のメンバーに何も伝えられずごまかしてしまう。そんな5人の前を無表情で通り過ぎる亘。  　そして9日目の朝を迎える。篠は、昨日崖の下で目にした事実を告白する。憔悴(しょうすい)した表情の美希、「誰かに突き落とされたの?」と聞く人、無言の人、全員に殺すタイミングがあったと指摘する人・・・。疑心暗鬼にかられる5人。  　仲間の死に美希が関わっているかもしれないという不安を抱え、1人思い悩む篠だが・・・。</v>
      </c>
      <c r="O892" s="2"/>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row>
    <row r="893" ht="204.75" customHeight="1">
      <c r="A893" s="1">
        <v>3020.0</v>
      </c>
      <c r="B893" s="2" t="s">
        <v>2833</v>
      </c>
      <c r="C893" s="2">
        <f>IFERROR(__xludf.DUMMYFUNCTION("split(B893,""_"")"),1401.0)</f>
        <v>1401</v>
      </c>
      <c r="D893" s="2" t="str">
        <f>IFERROR(__xludf.DUMMYFUNCTION("""COMPUTED_VALUE"""),"CX")</f>
        <v>CX</v>
      </c>
      <c r="E893" s="2" t="str">
        <f>IFERROR(__xludf.DUMMYFUNCTION("""COMPUTED_VALUE"""),"土23")</f>
        <v>土23</v>
      </c>
      <c r="F893" s="2" t="s">
        <v>2834</v>
      </c>
      <c r="G893" s="2" t="s">
        <v>2862</v>
      </c>
      <c r="H893" s="1">
        <v>10.0</v>
      </c>
      <c r="I893" s="1" t="s">
        <v>37</v>
      </c>
      <c r="J893" s="1" t="s">
        <v>1435</v>
      </c>
      <c r="K893" s="2" t="s">
        <v>2863</v>
      </c>
      <c r="L893" s="8" t="s">
        <v>2864</v>
      </c>
      <c r="M893" s="2" t="str">
        <f>IFERROR(__xludf.DUMMYFUNCTION("split(split(K893,""篠裕太:"",false),""index.html"",false)"),"ドラマ「ロストデイズ」の公式ホームページは、http://www.fujitv.co.jp/lostdays/")</f>
        <v>ドラマ「ロストデイズ」の公式ホームページは、http://www.fujitv.co.jp/lostdays/</v>
      </c>
      <c r="N893" s="2" t="str">
        <f>IFERROR(__xludf.DUMMYFUNCTION("""COMPUTED_VALUE"""),"。  　公式フェイスブックや公式ツイッターでもドラマの最新情報をお届けしています!　篠裕太(瀬戸康史)らが卒業旅行で桜田美希(石橋杏奈)の別荘に来て9日目の夜。  キッチンから大きな物音が聞こえて駆けつけると、佐々木梨花(トリンドル玲奈)が手首から血を流し倒れていた。意識がもうろうとしている梨花に急いで処置を施すが、立花五月(三吉彩花)の死に続き、梨花が自殺を図ったという事実に驚きを隠せない篠たち。  　美希は、五月を探していたときに梨花の姿を目撃したと伝えたことで、追い詰めてしまったかもしれないと自分を"&amp;"責める。高野ナツ(吉沢亮)は、桜田亘(桐山漣)に脅され仲間を裏切ってしまったことを後悔していた梨花の様子を思い出す。篠は、8日目に亘が五月に殴りかかっていた理由を笛木茉奈(小島藤子)に聞く。しかし「私は何も知らない」と言い張る茉奈。  　そして10日目を迎える。  　美希は、自分たちの仲を崩壊させる原因をつくってきた亘が関わっているのでは、という不安について篠に打ち明ける。亘の、妹に対する歪んだ愛情を知っている篠は、全てをはっきりさせようと決意して、美希と共に亘の部屋へ。  　部屋に来た茉奈に、「美希を説"&amp;"得してくれ」と懇願する亘。そこに篠と美希が現れ、真実を話すように厳しく問いただすが・・・。  　果たして誰が五月を殺したのか?亘の部屋にある「布のかかった絵」の秘密とは?意識を取り戻した梨花は一体何を語るのか?篠たちの運命は?  　物語の結末に最後まで目が離せない!!")</f>
        <v>。  　公式フェイスブックや公式ツイッターでもドラマの最新情報をお届けしています!　篠裕太(瀬戸康史)らが卒業旅行で桜田美希(石橋杏奈)の別荘に来て9日目の夜。  キッチンから大きな物音が聞こえて駆けつけると、佐々木梨花(トリンドル玲奈)が手首から血を流し倒れていた。意識がもうろうとしている梨花に急いで処置を施すが、立花五月(三吉彩花)の死に続き、梨花が自殺を図ったという事実に驚きを隠せない篠たち。  　美希は、五月を探していたときに梨花の姿を目撃したと伝えたことで、追い詰めてしまったかもしれないと自分を責める。高野ナツ(吉沢亮)は、桜田亘(桐山漣)に脅され仲間を裏切ってしまったことを後悔していた梨花の様子を思い出す。篠は、8日目に亘が五月に殴りかかっていた理由を笛木茉奈(小島藤子)に聞く。しかし「私は何も知らない」と言い張る茉奈。  　そして10日目を迎える。  　美希は、自分たちの仲を崩壊させる原因をつくってきた亘が関わっているのでは、という不安について篠に打ち明ける。亘の、妹に対する歪んだ愛情を知っている篠は、全てをはっきりさせようと決意して、美希と共に亘の部屋へ。  　部屋に来た茉奈に、「美希を説得してくれ」と懇願する亘。そこに篠と美希が現れ、真実を話すように厳しく問いただすが・・・。  　果たして誰が五月を殺したのか?亘の部屋にある「布のかかった絵」の秘密とは?意識を取り戻した梨花は一体何を語るのか?篠たちの運命は?  　物語の結末に最後まで目が離せない!!</v>
      </c>
      <c r="O893" s="2"/>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row>
    <row r="894" ht="204.75" customHeight="1">
      <c r="A894" s="1">
        <v>3032.0</v>
      </c>
      <c r="B894" s="2" t="s">
        <v>2865</v>
      </c>
      <c r="C894" s="2">
        <f>IFERROR(__xludf.DUMMYFUNCTION("split(B894,""_"")"),1310.0)</f>
        <v>1310</v>
      </c>
      <c r="D894" s="2" t="str">
        <f>IFERROR(__xludf.DUMMYFUNCTION("""COMPUTED_VALUE"""),"CX")</f>
        <v>CX</v>
      </c>
      <c r="E894" s="2" t="str">
        <f>IFERROR(__xludf.DUMMYFUNCTION("""COMPUTED_VALUE"""),"月21")</f>
        <v>月21</v>
      </c>
      <c r="F894" s="2" t="s">
        <v>2866</v>
      </c>
      <c r="G894" s="2" t="s">
        <v>2867</v>
      </c>
      <c r="H894" s="1">
        <v>1.0</v>
      </c>
      <c r="I894" s="1" t="s">
        <v>2868</v>
      </c>
      <c r="J894" s="1" t="s">
        <v>4</v>
      </c>
      <c r="K894" s="4" t="s">
        <v>2869</v>
      </c>
      <c r="L894" s="8" t="s">
        <v>2870</v>
      </c>
      <c r="M894" s="2" t="str">
        <f>IFERROR(__xludf.DUMMYFUNCTION("split(split(K894,""瀬崎航太:　"",false),""html"",false)"),"「海の上の診療所」公式番組ホームページ　  http://www.fujitv.co.jp/uminoueno_shinryojo/index.")</f>
        <v>「海の上の診療所」公式番組ホームページ　  http://www.fujitv.co.jp/uminoueno_shinryojo/index.</v>
      </c>
      <c r="N894" s="2" t="str">
        <f>IFERROR(__xludf.DUMMYFUNCTION("""COMPUTED_VALUE"""),"　  出演者からのメッセージやスタッフブログ等様々なコンテンツをご用意しています!!　『海診丸』は、瀬戸内海の無医島を巡り、医療サービスを提供する診療船。医師やスタッフたちは、この船で共同生活を送りながら島々を回っていた。ある日、海診丸に瀬崎航太(松田翔太)という、北海道出身の総合診療医がやってくることになった。看護師の戸神眞子(武井咲)、内科医の内村葵(藤原紀香)、看護師の三崎昇(福士蒼汰)、事務員で葵の夫でもある日内晃(荒川良々)、船長兼料理長の海藤剛(寺島進)ら海診丸のスタッフは、航太の歓迎会の準備"&amp;"をする。が、約束の時間より大幅に遅れてやってきた航太は、風呂上がりの眞子に出くわし、不審者に間違われて蹴り飛ばされてしまう。あくる朝、改めて皆に自己紹介をした航太は、さっそく実務に就いた。今回、海診丸が訪れたのは千登勢島だ。午前中、航太は集まってきた島民たちの診察をした。しかし眞子は、そのいい加減とも思える診察ぶりに呆れていた。午後、航太は眞子とともに往診に出かける。明日は島の祭りがあるらしく、太鼓の練習をしている男の姿もあった。往診の帰り、航太は墓石の前で涙を流していた女性・村上美月(加藤あい)に気づき"&amp;"、その美しい姿に心を奪われる。美月は、この島で造船業を営む道則(片岡鶴太郎)の娘だった。廃業しようとしている道則と、亡き母の思い出が残る家を守りたいという思いからそれに反対している美月のことを知った航太は、美月と結婚して道則の後を継ごうと決意するが…。")</f>
        <v>　  出演者からのメッセージやスタッフブログ等様々なコンテンツをご用意しています!!　『海診丸』は、瀬戸内海の無医島を巡り、医療サービスを提供する診療船。医師やスタッフたちは、この船で共同生活を送りながら島々を回っていた。ある日、海診丸に瀬崎航太(松田翔太)という、北海道出身の総合診療医がやってくることになった。看護師の戸神眞子(武井咲)、内科医の内村葵(藤原紀香)、看護師の三崎昇(福士蒼汰)、事務員で葵の夫でもある日内晃(荒川良々)、船長兼料理長の海藤剛(寺島進)ら海診丸のスタッフは、航太の歓迎会の準備をする。が、約束の時間より大幅に遅れてやってきた航太は、風呂上がりの眞子に出くわし、不審者に間違われて蹴り飛ばされてしまう。あくる朝、改めて皆に自己紹介をした航太は、さっそく実務に就いた。今回、海診丸が訪れたのは千登勢島だ。午前中、航太は集まってきた島民たちの診察をした。しかし眞子は、そのいい加減とも思える診察ぶりに呆れていた。午後、航太は眞子とともに往診に出かける。明日は島の祭りがあるらしく、太鼓の練習をしている男の姿もあった。往診の帰り、航太は墓石の前で涙を流していた女性・村上美月(加藤あい)に気づき、その美しい姿に心を奪われる。美月は、この島で造船業を営む道則(片岡鶴太郎)の娘だった。廃業しようとしている道則と、亡き母の思い出が残る家を守りたいという思いからそれに反対している美月のことを知った航太は、美月と結婚して道則の後を継ごうと決意するが…。</v>
      </c>
      <c r="O894" s="2"/>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row>
    <row r="895" ht="204.75" customHeight="1">
      <c r="A895" s="1">
        <v>3033.0</v>
      </c>
      <c r="B895" s="2" t="s">
        <v>2865</v>
      </c>
      <c r="C895" s="2">
        <f>IFERROR(__xludf.DUMMYFUNCTION("split(B895,""_"")"),1310.0)</f>
        <v>1310</v>
      </c>
      <c r="D895" s="2" t="str">
        <f>IFERROR(__xludf.DUMMYFUNCTION("""COMPUTED_VALUE"""),"CX")</f>
        <v>CX</v>
      </c>
      <c r="E895" s="2" t="str">
        <f>IFERROR(__xludf.DUMMYFUNCTION("""COMPUTED_VALUE"""),"月21")</f>
        <v>月21</v>
      </c>
      <c r="F895" s="2" t="s">
        <v>2866</v>
      </c>
      <c r="G895" s="2" t="s">
        <v>2871</v>
      </c>
      <c r="H895" s="1">
        <v>2.0</v>
      </c>
      <c r="I895" s="1" t="s">
        <v>2872</v>
      </c>
      <c r="J895" s="1" t="s">
        <v>11</v>
      </c>
      <c r="K895" s="2" t="s">
        <v>2873</v>
      </c>
      <c r="L895" s="8" t="s">
        <v>2874</v>
      </c>
      <c r="M895" s="2" t="str">
        <f>IFERROR(__xludf.DUMMYFUNCTION("split(split(K895,""瀬崎航太:　"",false),""html"",false)"),"「海の上の診療所」公式番組ホームページ　  http://www.fujitv.co.jp/uminoueno_shinryojo/index.")</f>
        <v>「海の上の診療所」公式番組ホームページ　  http://www.fujitv.co.jp/uminoueno_shinryojo/index.</v>
      </c>
      <c r="N895" s="2" t="str">
        <f>IFERROR(__xludf.DUMMYFUNCTION("""COMPUTED_VALUE"""),"　  出演者からのメッセージやスタッフブログ等様々なコンテンツをご用意しています!!　海診丸では、朝から騒動が持ち上がっていた。航太(松田翔太)が、冷蔵庫にあった眞子(武井咲)のプリンを勝手に食べてしまったのだ。それを知った葵(藤原紀香)や昇(福士蒼汰)、日内(荒川良々)は、眞子の反応を恐れ、航太を厳しく非難する。  　そんな中、海診丸は人口150人ほどの小さな島・美沖島を訪れる。そこで航太の前に現れたのが、健康検診のために児童を連れてやってきた立花薫(篠田麻里子)だった。　薫は、この島にある美沖小中学校"&amp;"の教師。といっても、中学校は生徒がおらず休校になっており、現在はたったひとり、10歳の片山遼(高木星来)が通っているだけだった。薫は以前、本土で教師をしていたが、持病のぜんそくが悪化し、教師を止めるべきかと悩んでいたところ、美沖島の役場に勤める増田潔(八十田勇一)に声をかけられてこの島に来たのだという。しかし、島に来てからも病気はひどくなる一方で、授業や学校行事を休まなければならないことが続いているらしい。村長で、遼の祖父でもある憲造(勝部演之)は、そんな薫に見切りをつけ、別の教師を探すよう増田に命じてい"&amp;"た。待合室でも発作を起こした薫は、明日行われる予定だった遠足が憲造の反対で中止になるのでは、と心配していた。薫にひと目ぼれしてしまった航太は、自分も遠足に同行するから、と言って何とか憲造の了解を得るが…。")</f>
        <v>　  出演者からのメッセージやスタッフブログ等様々なコンテンツをご用意しています!!　海診丸では、朝から騒動が持ち上がっていた。航太(松田翔太)が、冷蔵庫にあった眞子(武井咲)のプリンを勝手に食べてしまったのだ。それを知った葵(藤原紀香)や昇(福士蒼汰)、日内(荒川良々)は、眞子の反応を恐れ、航太を厳しく非難する。  　そんな中、海診丸は人口150人ほどの小さな島・美沖島を訪れる。そこで航太の前に現れたのが、健康検診のために児童を連れてやってきた立花薫(篠田麻里子)だった。　薫は、この島にある美沖小中学校の教師。といっても、中学校は生徒がおらず休校になっており、現在はたったひとり、10歳の片山遼(高木星来)が通っているだけだった。薫は以前、本土で教師をしていたが、持病のぜんそくが悪化し、教師を止めるべきかと悩んでいたところ、美沖島の役場に勤める増田潔(八十田勇一)に声をかけられてこの島に来たのだという。しかし、島に来てからも病気はひどくなる一方で、授業や学校行事を休まなければならないことが続いているらしい。村長で、遼の祖父でもある憲造(勝部演之)は、そんな薫に見切りをつけ、別の教師を探すよう増田に命じていた。待合室でも発作を起こした薫は、明日行われる予定だった遠足が憲造の反対で中止になるのでは、と心配していた。薫にひと目ぼれしてしまった航太は、自分も遠足に同行するから、と言って何とか憲造の了解を得るが…。</v>
      </c>
      <c r="O895" s="2"/>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row>
    <row r="896" ht="204.75" customHeight="1">
      <c r="A896" s="1">
        <v>3034.0</v>
      </c>
      <c r="B896" s="2" t="s">
        <v>2865</v>
      </c>
      <c r="C896" s="2">
        <f>IFERROR(__xludf.DUMMYFUNCTION("split(B896,""_"")"),1310.0)</f>
        <v>1310</v>
      </c>
      <c r="D896" s="2" t="str">
        <f>IFERROR(__xludf.DUMMYFUNCTION("""COMPUTED_VALUE"""),"CX")</f>
        <v>CX</v>
      </c>
      <c r="E896" s="2" t="str">
        <f>IFERROR(__xludf.DUMMYFUNCTION("""COMPUTED_VALUE"""),"月21")</f>
        <v>月21</v>
      </c>
      <c r="F896" s="2" t="s">
        <v>2866</v>
      </c>
      <c r="G896" s="2" t="s">
        <v>2875</v>
      </c>
      <c r="H896" s="1">
        <v>3.0</v>
      </c>
      <c r="I896" s="1" t="s">
        <v>2876</v>
      </c>
      <c r="J896" s="1" t="s">
        <v>11</v>
      </c>
      <c r="K896" s="2" t="s">
        <v>2877</v>
      </c>
      <c r="L896" s="8" t="s">
        <v>2878</v>
      </c>
      <c r="M896" s="2" t="str">
        <f>IFERROR(__xludf.DUMMYFUNCTION("split(split(K896,""瀬崎航太:　"",false),""html"",false)"),"「海の上の診療所」公式番組ホームページ　  http://www.fujitv.co.jp/uminoueno_shinryojo/index.")</f>
        <v>「海の上の診療所」公式番組ホームページ　  http://www.fujitv.co.jp/uminoueno_shinryojo/index.</v>
      </c>
      <c r="N896" s="2" t="str">
        <f>IFERROR(__xludf.DUMMYFUNCTION("""COMPUTED_VALUE"""),"　  出演者からのメッセージやスタッフブログ等様々なコンテンツをご用意しています!!　航太(松田翔太)ら海診丸の面々は、浮之島を訪れる。航太や海藤(寺島進)らがラジオから流れる「瀬戸の花嫁」の話で盛り上がっていると、昇(福士蒼汰)が慌てたようすで飛び込んできた。葵(藤原紀香)と日内(荒川良々)がケンカしているという。葵が結婚記念日を忘れていたのが原因だった。  　そんな中、航太と眞子(武井咲)は、去年大腸ガンの手術を受けていたが外来にこなかった塩見千鶴(いしだあゆみ)の家に往診に行く。そこで航太が出会った"&amp;"のが、千鶴の娘・里花(夏帆)だった。航太たちは、千鶴が認知症を発症していることを里花から教えられる。実は里花は、千鶴と折り合いが悪く、5年ぶりに帰郷したばかりで、ヘルパーから認知症のことを聞かされたという。その際、眞子は白無垢姿で渡し船に乗っている千鶴の写真に気づく。それは、千鶴が隣の島から嫁いでいたときの写真だった。この辺りの島では、嫁いでいく女性は白無垢姿で渡し船に乗って出ていく習わしがあるのだという。千鶴の血液検査の結果を聞くために航太たちとともに海診丸に向かった里花は、結婚して母が夢見ていた白無垢"&amp;"姿を見せてあげたかった、とこぼす。航太はそんな里花に、力になりたいから手伝えることがあったら言ってほしい、と申し出る。検査の結果、千鶴は貧血気味だということがわかった。それを聞いた里花は、話があると言って航太を連れ出すと、「私と結婚してください」と切り出し…。")</f>
        <v>　  出演者からのメッセージやスタッフブログ等様々なコンテンツをご用意しています!!　航太(松田翔太)ら海診丸の面々は、浮之島を訪れる。航太や海藤(寺島進)らがラジオから流れる「瀬戸の花嫁」の話で盛り上がっていると、昇(福士蒼汰)が慌てたようすで飛び込んできた。葵(藤原紀香)と日内(荒川良々)がケンカしているという。葵が結婚記念日を忘れていたのが原因だった。  　そんな中、航太と眞子(武井咲)は、去年大腸ガンの手術を受けていたが外来にこなかった塩見千鶴(いしだあゆみ)の家に往診に行く。そこで航太が出会ったのが、千鶴の娘・里花(夏帆)だった。航太たちは、千鶴が認知症を発症していることを里花から教えられる。実は里花は、千鶴と折り合いが悪く、5年ぶりに帰郷したばかりで、ヘルパーから認知症のことを聞かされたという。その際、眞子は白無垢姿で渡し船に乗っている千鶴の写真に気づく。それは、千鶴が隣の島から嫁いでいたときの写真だった。この辺りの島では、嫁いでいく女性は白無垢姿で渡し船に乗って出ていく習わしがあるのだという。千鶴の血液検査の結果を聞くために航太たちとともに海診丸に向かった里花は、結婚して母が夢見ていた白無垢姿を見せてあげたかった、とこぼす。航太はそんな里花に、力になりたいから手伝えることがあったら言ってほしい、と申し出る。検査の結果、千鶴は貧血気味だということがわかった。それを聞いた里花は、話があると言って航太を連れ出すと、「私と結婚してください」と切り出し…。</v>
      </c>
      <c r="O896" s="2"/>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row>
    <row r="897" ht="204.75" customHeight="1">
      <c r="A897" s="1">
        <v>3035.0</v>
      </c>
      <c r="B897" s="2" t="s">
        <v>2865</v>
      </c>
      <c r="C897" s="2">
        <f>IFERROR(__xludf.DUMMYFUNCTION("split(B897,""_"")"),1310.0)</f>
        <v>1310</v>
      </c>
      <c r="D897" s="2" t="str">
        <f>IFERROR(__xludf.DUMMYFUNCTION("""COMPUTED_VALUE"""),"CX")</f>
        <v>CX</v>
      </c>
      <c r="E897" s="2" t="str">
        <f>IFERROR(__xludf.DUMMYFUNCTION("""COMPUTED_VALUE"""),"月21")</f>
        <v>月21</v>
      </c>
      <c r="F897" s="2" t="s">
        <v>2866</v>
      </c>
      <c r="G897" s="2" t="s">
        <v>2879</v>
      </c>
      <c r="H897" s="1">
        <v>4.0</v>
      </c>
      <c r="I897" s="1" t="s">
        <v>2880</v>
      </c>
      <c r="J897" s="1" t="s">
        <v>11</v>
      </c>
      <c r="K897" s="2" t="s">
        <v>2881</v>
      </c>
      <c r="L897" s="8" t="s">
        <v>2882</v>
      </c>
      <c r="M897" s="2" t="str">
        <f>IFERROR(__xludf.DUMMYFUNCTION("split(split(K897,""瀬崎航太:　"",false),""html"",false)"),"「海の上の診療所」公式番組ホームページ　  http://www.fujitv.co.jp/uminoueno_shinryojo/index.")</f>
        <v>「海の上の診療所」公式番組ホームページ　  http://www.fujitv.co.jp/uminoueno_shinryojo/index.</v>
      </c>
      <c r="N897" s="2" t="str">
        <f>IFERROR(__xludf.DUMMYFUNCTION("""COMPUTED_VALUE"""),"　  出演者からのメッセージやスタッフブログ等様々なコンテンツをご用意しています!!　航太(松田翔太)や眞子(武井咲)らを乗せた海診丸は、阿岐之島を訪れる。その朝、事務長の日内(荒川良々)のもとに、海診丸を運営する本院から電話が入った。本院で研修医をしている理事長の娘・藤井みちる(瀧本美織)が、研修医生活最後の1カ月を海診丸で過ごすことになったというのだ。みちるは、“美人過ぎる研修医""として雑誌にも載ったことがある女性だった。  　海診丸にやってきたみちるは、いきなり船内の医療設備不足を指摘し、ここに重"&amp;"症で運ばれた患者は死んでくださいと言われたようなものだ、と言い出す。が、何故か航太には興味を示し、指導医は葵(藤原紀香)ではなく航太にしてほしい、と日内に頼む。そんなみちるにひと目ぼれしてしまった航太は、診察中も彼女を意識する。みちるは、海診丸の活動を批判するような発言を繰り返し、眞子の怒りを買っていた。眞子は、日内に詰め寄り、彼女が海診丸に来た本当の理由を聞きだす。実はみちるは、当直中に医療事故を起こし、それ以来、患者の処置が怖くなってしまったらしい。  　その夜、みちるの歓迎会が開かれる。が、その席で"&amp;"みちると衝突した眞子は、医療事故の話に触れ、医師として半人前のくせに偉そうなことばかり言って、と彼女を非難する。みちるは、患者の前に立つのが怖い、と航太に打ち明けた。芸能事務所からタレントにならないかと誘われていたみちるは、一緒に東京に行かないか、と航太を誘い…。")</f>
        <v>　  出演者からのメッセージやスタッフブログ等様々なコンテンツをご用意しています!!　航太(松田翔太)や眞子(武井咲)らを乗せた海診丸は、阿岐之島を訪れる。その朝、事務長の日内(荒川良々)のもとに、海診丸を運営する本院から電話が入った。本院で研修医をしている理事長の娘・藤井みちる(瀧本美織)が、研修医生活最後の1カ月を海診丸で過ごすことになったというのだ。みちるは、“美人過ぎる研修医"として雑誌にも載ったことがある女性だった。  　海診丸にやってきたみちるは、いきなり船内の医療設備不足を指摘し、ここに重症で運ばれた患者は死んでくださいと言われたようなものだ、と言い出す。が、何故か航太には興味を示し、指導医は葵(藤原紀香)ではなく航太にしてほしい、と日内に頼む。そんなみちるにひと目ぼれしてしまった航太は、診察中も彼女を意識する。みちるは、海診丸の活動を批判するような発言を繰り返し、眞子の怒りを買っていた。眞子は、日内に詰め寄り、彼女が海診丸に来た本当の理由を聞きだす。実はみちるは、当直中に医療事故を起こし、それ以来、患者の処置が怖くなってしまったらしい。  　その夜、みちるの歓迎会が開かれる。が、その席でみちると衝突した眞子は、医療事故の話に触れ、医師として半人前のくせに偉そうなことばかり言って、と彼女を非難する。みちるは、患者の前に立つのが怖い、と航太に打ち明けた。芸能事務所からタレントにならないかと誘われていたみちるは、一緒に東京に行かないか、と航太を誘い…。</v>
      </c>
      <c r="O897" s="2"/>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row>
    <row r="898" ht="204.75" customHeight="1">
      <c r="A898" s="1">
        <v>3036.0</v>
      </c>
      <c r="B898" s="2" t="s">
        <v>2865</v>
      </c>
      <c r="C898" s="2">
        <f>IFERROR(__xludf.DUMMYFUNCTION("split(B898,""_"")"),1310.0)</f>
        <v>1310</v>
      </c>
      <c r="D898" s="2" t="str">
        <f>IFERROR(__xludf.DUMMYFUNCTION("""COMPUTED_VALUE"""),"CX")</f>
        <v>CX</v>
      </c>
      <c r="E898" s="2" t="str">
        <f>IFERROR(__xludf.DUMMYFUNCTION("""COMPUTED_VALUE"""),"月21")</f>
        <v>月21</v>
      </c>
      <c r="F898" s="2" t="s">
        <v>2866</v>
      </c>
      <c r="G898" s="2" t="s">
        <v>2883</v>
      </c>
      <c r="H898" s="1">
        <v>5.0</v>
      </c>
      <c r="I898" s="1" t="s">
        <v>2884</v>
      </c>
      <c r="J898" s="1" t="s">
        <v>11</v>
      </c>
      <c r="K898" s="2" t="s">
        <v>2885</v>
      </c>
      <c r="L898" s="8" t="s">
        <v>2886</v>
      </c>
      <c r="M898" s="2" t="str">
        <f>IFERROR(__xludf.DUMMYFUNCTION("split(split(K898,""瀬崎航太:　"",false),""html"",false)"),"「海の上の診療所」公式番組ホームページ　  http://www.fujitv.co.jp/uminoueno_shinryojo/index.")</f>
        <v>「海の上の診療所」公式番組ホームページ　  http://www.fujitv.co.jp/uminoueno_shinryojo/index.</v>
      </c>
      <c r="N898" s="2" t="str">
        <f>IFERROR(__xludf.DUMMYFUNCTION("""COMPUTED_VALUE"""),"　  出演者からのメッセージやスタッフブログ等様々なコンテンツをご用意しています!!　宮母島を訪れた航太(松田翔太)ら海診丸の面々は、東京のテレビ局から取材を受けることになった。その番組は、宮母島出身でもある人気フリーアナウンサー・上村絵里子(安達祐実)がリポーターを務め、海診丸の活動や故郷のみかん畑などを紹介するというものだった。事務長の日内(荒川良々)は、本院の理事長から、航太に取材を受けさせるよう指示されていた。しかし航太は、何故か取材を了承しない。あくる朝、絵里子と取材クルーがやってきた。航太を取"&amp;"材できないと知った絵里子は落胆しながらも、風邪をひいているという彼の体調を気遣った。そんな絵里子に魅了されてしまった航太は、急に取材を受けると言い出す。航太たちが往診に行くと知った絵里子は、父親の繁(田村亮)を診察する予定はあるか、と尋ねた。繁は半年ほど前に脳梗塞で倒れて入院していた。が、妻の芳江(浅田美代子)は、医者は信用できないと言って、繁を本土の病院から島に連れ帰ってしまったのだという。事情を知った航太は、眞子(武井咲)とともに絵里子の実家を訪れた。力になりたい、という航太に、みかん畑の手入れを命じ"&amp;"る芳江。そこにやってきた絵里子は、芳江と激しい口論になってしまう。そんな母娘の姿を見た航太は、海診丸の仲間たちに、絵里子と結婚し、この島でみかん畑を守りながら診療所を営む、と言い出し…。")</f>
        <v>　  出演者からのメッセージやスタッフブログ等様々なコンテンツをご用意しています!!　宮母島を訪れた航太(松田翔太)ら海診丸の面々は、東京のテレビ局から取材を受けることになった。その番組は、宮母島出身でもある人気フリーアナウンサー・上村絵里子(安達祐実)がリポーターを務め、海診丸の活動や故郷のみかん畑などを紹介するというものだった。事務長の日内(荒川良々)は、本院の理事長から、航太に取材を受けさせるよう指示されていた。しかし航太は、何故か取材を了承しない。あくる朝、絵里子と取材クルーがやってきた。航太を取材できないと知った絵里子は落胆しながらも、風邪をひいているという彼の体調を気遣った。そんな絵里子に魅了されてしまった航太は、急に取材を受けると言い出す。航太たちが往診に行くと知った絵里子は、父親の繁(田村亮)を診察する予定はあるか、と尋ねた。繁は半年ほど前に脳梗塞で倒れて入院していた。が、妻の芳江(浅田美代子)は、医者は信用できないと言って、繁を本土の病院から島に連れ帰ってしまったのだという。事情を知った航太は、眞子(武井咲)とともに絵里子の実家を訪れた。力になりたい、という航太に、みかん畑の手入れを命じる芳江。そこにやってきた絵里子は、芳江と激しい口論になってしまう。そんな母娘の姿を見た航太は、海診丸の仲間たちに、絵里子と結婚し、この島でみかん畑を守りながら診療所を営む、と言い出し…。</v>
      </c>
      <c r="O898" s="2"/>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row>
    <row r="899" ht="204.75" customHeight="1">
      <c r="A899" s="1">
        <v>3037.0</v>
      </c>
      <c r="B899" s="2" t="s">
        <v>2865</v>
      </c>
      <c r="C899" s="2">
        <f>IFERROR(__xludf.DUMMYFUNCTION("split(B899,""_"")"),1310.0)</f>
        <v>1310</v>
      </c>
      <c r="D899" s="2" t="str">
        <f>IFERROR(__xludf.DUMMYFUNCTION("""COMPUTED_VALUE"""),"CX")</f>
        <v>CX</v>
      </c>
      <c r="E899" s="2" t="str">
        <f>IFERROR(__xludf.DUMMYFUNCTION("""COMPUTED_VALUE"""),"月21")</f>
        <v>月21</v>
      </c>
      <c r="F899" s="2" t="s">
        <v>2866</v>
      </c>
      <c r="G899" s="2" t="s">
        <v>2887</v>
      </c>
      <c r="H899" s="1">
        <v>6.0</v>
      </c>
      <c r="I899" s="1" t="s">
        <v>2888</v>
      </c>
      <c r="J899" s="1" t="s">
        <v>11</v>
      </c>
      <c r="K899" s="2" t="s">
        <v>2889</v>
      </c>
      <c r="L899" s="8" t="s">
        <v>2890</v>
      </c>
      <c r="M899" s="2" t="str">
        <f>IFERROR(__xludf.DUMMYFUNCTION("split(split(K899,""瀬崎航太:　"",false),""html"",false)"),"「海の上の診療所」公式番組ホームページ　  http://www.fujitv.co.jp/uminoueno_shinryojo/index.")</f>
        <v>「海の上の診療所」公式番組ホームページ　  http://www.fujitv.co.jp/uminoueno_shinryojo/index.</v>
      </c>
      <c r="N899" s="2" t="str">
        <f>IFERROR(__xludf.DUMMYFUNCTION("""COMPUTED_VALUE"""),"　  出演者からのメッセージやスタッフブログ等様々なコンテンツをご用意しています!!　鳴美島を訪れた航太(松田翔太)ら海診丸のスタッフは、事務長の日内(荒川良々)から呼び出しを受ける。介護士をしている眞子(武井咲)の友人が、勉強のために海診丸に来ることになったのだ。しかし、その友人は、元レディースの総長なのだという。  　ほどなく、眞子の友人、岡崎泉(北乃きい)と樋口萌絵(小林きな子)が海診丸にやってくる。泉と萌絵は、鳴美島で訪問介護の仕事をしていた。  　航太は、眞子とともに、沖田登美子(草村礼子)の家"&amp;"へ往診に行く。泉たちも、眞子に頼んで往診に同行した。が、何故か登美子の前に顔を出せない泉たち。するとそこに、登美子の息子・和俊(菊池均也)が現れ、カバンから土地の売買契約書を取り出して登美子に渡す。その際、泉たちの姿に気づいた和俊は、出て行けと泉に怒鳴るのだった。実は泉は、前の訪問介護中に登美子に火傷を負わせてしまったのだという。怒った和俊は、泉の会社との契約を解除し、登美子を施設に入れることにしたらしい。しかも、和俊が泉たちの悪い噂を島中に流したため、会社は解約解除が相次いでいるのだという。当の登美子は"&amp;"、泉たちに迷惑をかけてしまったことを悔やんでいた。  　事情を知った航太は、泉たちを励まそうと、船長であり料理長でもある海藤(寺島進)に頼んで特別メニューを用意してもらう。その際、泉と萌絵が、航太にひと目ぼれした、と話しているのを偶然聞いてしまった航太は…。")</f>
        <v>　  出演者からのメッセージやスタッフブログ等様々なコンテンツをご用意しています!!　鳴美島を訪れた航太(松田翔太)ら海診丸のスタッフは、事務長の日内(荒川良々)から呼び出しを受ける。介護士をしている眞子(武井咲)の友人が、勉強のために海診丸に来ることになったのだ。しかし、その友人は、元レディースの総長なのだという。  　ほどなく、眞子の友人、岡崎泉(北乃きい)と樋口萌絵(小林きな子)が海診丸にやってくる。泉と萌絵は、鳴美島で訪問介護の仕事をしていた。  　航太は、眞子とともに、沖田登美子(草村礼子)の家へ往診に行く。泉たちも、眞子に頼んで往診に同行した。が、何故か登美子の前に顔を出せない泉たち。するとそこに、登美子の息子・和俊(菊池均也)が現れ、カバンから土地の売買契約書を取り出して登美子に渡す。その際、泉たちの姿に気づいた和俊は、出て行けと泉に怒鳴るのだった。実は泉は、前の訪問介護中に登美子に火傷を負わせてしまったのだという。怒った和俊は、泉の会社との契約を解除し、登美子を施設に入れることにしたらしい。しかも、和俊が泉たちの悪い噂を島中に流したため、会社は解約解除が相次いでいるのだという。当の登美子は、泉たちに迷惑をかけてしまったことを悔やんでいた。  　事情を知った航太は、泉たちを励まそうと、船長であり料理長でもある海藤(寺島進)に頼んで特別メニューを用意してもらう。その際、泉と萌絵が、航太にひと目ぼれした、と話しているのを偶然聞いてしまった航太は…。</v>
      </c>
      <c r="O899" s="2"/>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row>
    <row r="900" ht="204.75" customHeight="1">
      <c r="A900" s="1">
        <v>3038.0</v>
      </c>
      <c r="B900" s="2" t="s">
        <v>2865</v>
      </c>
      <c r="C900" s="2">
        <f>IFERROR(__xludf.DUMMYFUNCTION("split(B900,""_"")"),1310.0)</f>
        <v>1310</v>
      </c>
      <c r="D900" s="2" t="str">
        <f>IFERROR(__xludf.DUMMYFUNCTION("""COMPUTED_VALUE"""),"CX")</f>
        <v>CX</v>
      </c>
      <c r="E900" s="2" t="str">
        <f>IFERROR(__xludf.DUMMYFUNCTION("""COMPUTED_VALUE"""),"月21")</f>
        <v>月21</v>
      </c>
      <c r="F900" s="2" t="s">
        <v>2866</v>
      </c>
      <c r="G900" s="2" t="s">
        <v>2891</v>
      </c>
      <c r="H900" s="1">
        <v>7.0</v>
      </c>
      <c r="I900" s="1" t="s">
        <v>2892</v>
      </c>
      <c r="J900" s="1" t="s">
        <v>11</v>
      </c>
      <c r="K900" s="2" t="s">
        <v>2893</v>
      </c>
      <c r="L900" s="8" t="s">
        <v>2894</v>
      </c>
      <c r="M900" s="2" t="str">
        <f>IFERROR(__xludf.DUMMYFUNCTION("split(split(K900,""瀬崎航太:　"",false),""html"",false)"),"「海の上の診療所」公式番組ホームページ　  http://www.fujitv.co.jp/uminoueno_shinryojo/index.")</f>
        <v>「海の上の診療所」公式番組ホームページ　  http://www.fujitv.co.jp/uminoueno_shinryojo/index.</v>
      </c>
      <c r="N900" s="2" t="str">
        <f>IFERROR(__xludf.DUMMYFUNCTION("""COMPUTED_VALUE"""),"　  出演者からのメッセージやスタッフブログ等様々なコンテンツをご用意しています!!　航太(松田翔太)の行方を追い続けていた謎の女性・羽鳥輝(戸田恵梨香)が海診丸にやってきた。輝の姿を見た航太は慌てふためき、眞子(武井咲)や葵(藤原紀香)たちに事情を話して助けを求める。  　航太が輝と出会ったのはとある企業の健康診断のときだった。勤務先の病院からその企業に派遣された航太は、診察中に突然逃げ出した女性のことが気になって追いかけたのだという。それが輝だった。恋人と別れた直後だった輝は、診察中に泣きそうになり逃"&amp;"げだしたらしい。事情を知った航太は、輝を慰めようと食事に誘った。そのとき、輝と意気投合し、彼女の方から結婚を申し込まれたというのだ。  　航太は、輝と結婚することを北海道に住む母・玲子(麻生祐未)に報告、彼女を紹介するために寝台列車で北海道に向かった。その道中、航太は輝から、本当は男だという衝撃の告白をされて激しく混乱し、彼女のもとから逃げだしたのだという。それ以来、航太は輝から逃れるために各地の病院を転々とし、海診丸にたどり着いたらしい。  　海診丸を降りたくない、という航太の気持ちに打たれた日内(荒川"&amp;"良々)は、ある作戦を思いつく。それは、航太と眞子が交際していることにしようというものだった。日内は、輝やスタッフたちの前で、航太と眞子が交際することになったと発表した。が、証拠を見せるためにキスするよう指示された眞子は、思わず航太をスリッパで叩いてしまい…。")</f>
        <v>　  出演者からのメッセージやスタッフブログ等様々なコンテンツをご用意しています!!　航太(松田翔太)の行方を追い続けていた謎の女性・羽鳥輝(戸田恵梨香)が海診丸にやってきた。輝の姿を見た航太は慌てふためき、眞子(武井咲)や葵(藤原紀香)たちに事情を話して助けを求める。  　航太が輝と出会ったのはとある企業の健康診断のときだった。勤務先の病院からその企業に派遣された航太は、診察中に突然逃げ出した女性のことが気になって追いかけたのだという。それが輝だった。恋人と別れた直後だった輝は、診察中に泣きそうになり逃げだしたらしい。事情を知った航太は、輝を慰めようと食事に誘った。そのとき、輝と意気投合し、彼女の方から結婚を申し込まれたというのだ。  　航太は、輝と結婚することを北海道に住む母・玲子(麻生祐未)に報告、彼女を紹介するために寝台列車で北海道に向かった。その道中、航太は輝から、本当は男だという衝撃の告白をされて激しく混乱し、彼女のもとから逃げだしたのだという。それ以来、航太は輝から逃れるために各地の病院を転々とし、海診丸にたどり着いたらしい。  　海診丸を降りたくない、という航太の気持ちに打たれた日内(荒川良々)は、ある作戦を思いつく。それは、航太と眞子が交際していることにしようというものだった。日内は、輝やスタッフたちの前で、航太と眞子が交際することになったと発表した。が、証拠を見せるためにキスするよう指示された眞子は、思わず航太をスリッパで叩いてしまい…。</v>
      </c>
      <c r="O900" s="2"/>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row>
    <row r="901" ht="204.75" customHeight="1">
      <c r="A901" s="1">
        <v>3039.0</v>
      </c>
      <c r="B901" s="2" t="s">
        <v>2865</v>
      </c>
      <c r="C901" s="2">
        <f>IFERROR(__xludf.DUMMYFUNCTION("split(B901,""_"")"),1310.0)</f>
        <v>1310</v>
      </c>
      <c r="D901" s="2" t="str">
        <f>IFERROR(__xludf.DUMMYFUNCTION("""COMPUTED_VALUE"""),"CX")</f>
        <v>CX</v>
      </c>
      <c r="E901" s="2" t="str">
        <f>IFERROR(__xludf.DUMMYFUNCTION("""COMPUTED_VALUE"""),"月21")</f>
        <v>月21</v>
      </c>
      <c r="F901" s="2" t="s">
        <v>2866</v>
      </c>
      <c r="G901" s="2" t="s">
        <v>2895</v>
      </c>
      <c r="H901" s="1">
        <v>8.0</v>
      </c>
      <c r="I901" s="1" t="s">
        <v>2896</v>
      </c>
      <c r="J901" s="1" t="s">
        <v>11</v>
      </c>
      <c r="K901" s="2" t="s">
        <v>2897</v>
      </c>
      <c r="L901" s="8" t="s">
        <v>2898</v>
      </c>
      <c r="M901" s="2" t="str">
        <f>IFERROR(__xludf.DUMMYFUNCTION("split(split(K901,""瀬崎航太:　"",false),""html"",false)"),"「海の上の診療所」公式番組ホームページ　  http://www.fujitv.co.jp/uminoueno_shinryojo/index.")</f>
        <v>「海の上の診療所」公式番組ホームページ　  http://www.fujitv.co.jp/uminoueno_shinryojo/index.</v>
      </c>
      <c r="N901" s="2" t="str">
        <f>IFERROR(__xludf.DUMMYFUNCTION("""COMPUTED_VALUE"""),"　  出演者からのメッセージやスタッフブログ等様々なコンテンツをご用意しています!!　航太(松田翔太)たち海診丸のスタッフは伊久島を訪れる。が、眞子(武井咲)が風邪をひいて寝込んでしまう。事務長の日内(荒川良々)から看病担当を命ぜられた航太が眞子を診察していると、そこに昇(福士蒼汰)がやってきた。診察の様子を、2人がキスをしていると勘違いした昇は、ショックを受け、葵(藤原紀香)にそのことを打ち明ける。  　すっかり勘違いした昇のもとに、学生時代のバイト仲間だった白井亜希(佐々木希)が訪問してくる。いつもの"&amp;"ようにひと目ぼれしてしまう航太を思わずスリッパではたいてしまった昇は、仕事終わりに亜希に連絡をすると告げ、航太を引っ張って往診に出かける。往診を終えた航太は、亜希に連絡を取るようにと昇を急かした。が、亜希には3年以上付き合っている婚約者が本土にいることを昇に教えられ、がっかりしながら海診丸へひとり戻る。  　海診丸では亜希の妹・美和(吉田里琴)が待っていた。美和は、かつて昇と亜希は両思いの仲だったが、昇が告白しなかったために付き合うまでに至らなかったこと、昇が言っていた彼氏がいるという情報は過去のものであ"&amp;"ることを航太に打ち明け、最近、亜希はまた昇のことが気になっている様子だから、今度こそ昇がちゃんと告白するように航太からも後押ししてほしい、と頼む。  　一方その頃、昇が眞子に失恋してしまったことを知った亜希は、好きな人には言葉にして気持ちを伝えないと、と告げるが…。")</f>
        <v>　  出演者からのメッセージやスタッフブログ等様々なコンテンツをご用意しています!!　航太(松田翔太)たち海診丸のスタッフは伊久島を訪れる。が、眞子(武井咲)が風邪をひいて寝込んでしまう。事務長の日内(荒川良々)から看病担当を命ぜられた航太が眞子を診察していると、そこに昇(福士蒼汰)がやってきた。診察の様子を、2人がキスをしていると勘違いした昇は、ショックを受け、葵(藤原紀香)にそのことを打ち明ける。  　すっかり勘違いした昇のもとに、学生時代のバイト仲間だった白井亜希(佐々木希)が訪問してくる。いつものようにひと目ぼれしてしまう航太を思わずスリッパではたいてしまった昇は、仕事終わりに亜希に連絡をすると告げ、航太を引っ張って往診に出かける。往診を終えた航太は、亜希に連絡を取るようにと昇を急かした。が、亜希には3年以上付き合っている婚約者が本土にいることを昇に教えられ、がっかりしながら海診丸へひとり戻る。  　海診丸では亜希の妹・美和(吉田里琴)が待っていた。美和は、かつて昇と亜希は両思いの仲だったが、昇が告白しなかったために付き合うまでに至らなかったこと、昇が言っていた彼氏がいるという情報は過去のものであることを航太に打ち明け、最近、亜希はまた昇のことが気になっている様子だから、今度こそ昇がちゃんと告白するように航太からも後押ししてほしい、と頼む。  　一方その頃、昇が眞子に失恋してしまったことを知った亜希は、好きな人には言葉にして気持ちを伝えないと、と告げるが…。</v>
      </c>
      <c r="O901" s="2"/>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row>
    <row r="902" ht="204.75" customHeight="1">
      <c r="A902" s="1">
        <v>3040.0</v>
      </c>
      <c r="B902" s="2" t="s">
        <v>2865</v>
      </c>
      <c r="C902" s="2">
        <f>IFERROR(__xludf.DUMMYFUNCTION("split(B902,""_"")"),1310.0)</f>
        <v>1310</v>
      </c>
      <c r="D902" s="2" t="str">
        <f>IFERROR(__xludf.DUMMYFUNCTION("""COMPUTED_VALUE"""),"CX")</f>
        <v>CX</v>
      </c>
      <c r="E902" s="2" t="str">
        <f>IFERROR(__xludf.DUMMYFUNCTION("""COMPUTED_VALUE"""),"月21")</f>
        <v>月21</v>
      </c>
      <c r="F902" s="2" t="s">
        <v>2866</v>
      </c>
      <c r="G902" s="2" t="s">
        <v>2899</v>
      </c>
      <c r="H902" s="1">
        <v>9.0</v>
      </c>
      <c r="I902" s="1" t="s">
        <v>2900</v>
      </c>
      <c r="J902" s="1" t="s">
        <v>11</v>
      </c>
      <c r="K902" s="2" t="s">
        <v>2901</v>
      </c>
      <c r="L902" s="8" t="s">
        <v>2902</v>
      </c>
      <c r="M902" s="2" t="str">
        <f>IFERROR(__xludf.DUMMYFUNCTION("split(split(K902,""瀬崎航太:　"",false),""html"",false)"),"「海の上の診療所」公式番組ホームページ　  http://www.fujitv.co.jp/uminoueno_shinryojo/index.")</f>
        <v>「海の上の診療所」公式番組ホームページ　  http://www.fujitv.co.jp/uminoueno_shinryojo/index.</v>
      </c>
      <c r="N902" s="2" t="str">
        <f>IFERROR(__xludf.DUMMYFUNCTION("""COMPUTED_VALUE"""),"　  出演者からのメッセージやスタッフブログ等様々なコンテンツをご用意しています!!　海診丸は細女島を訪れる。その朝、航太(松田翔太)ら海診丸のメンバーは、事務長の日内(荒川良々)のようすがおかしいことに不審を抱く。こそこそショートメールをしていたかと思えば、急用ができたと言って出かけてしまったのだ。  　眞子(武井咲)に命じられて、昇(福士蒼汰)とともに日内の後を追った航太は、彼が旅館で若い妊婦と密会しているところを目撃する。驚いた航太たちは、何も見なかったことにしようと決め、葵(藤原紀香)にウソの報告"&amp;"をした。しかし葵には通用せず、事情を知った葵は、怒りに震えながらその旅館に乗り込む。  　するとそこにいたのは、葵の妹・巴(榮倉奈々)だった。巴は、親元を飛び出し、恋人の星野武宏(石黒英雄)と同棲していて妊娠したらしい。だが、その恋人とケンカして家を飛び出してしまい、お金に困って日内に連絡してきたのだ。葵は、そんな巴を厳しく非難した。それに反発した巴は、航太を頼り、彼を味方につける。航太は、葵と巴の間に入ってその仲を取り持とうとしたが、上手くいかない。巴は航太に、母親になる自信がない、と打ち明けた。それを"&amp;"聞いた日内は困った挙句、巴と結婚してほしい、と航太に頼むが…。")</f>
        <v>　  出演者からのメッセージやスタッフブログ等様々なコンテンツをご用意しています!!　海診丸は細女島を訪れる。その朝、航太(松田翔太)ら海診丸のメンバーは、事務長の日内(荒川良々)のようすがおかしいことに不審を抱く。こそこそショートメールをしていたかと思えば、急用ができたと言って出かけてしまったのだ。  　眞子(武井咲)に命じられて、昇(福士蒼汰)とともに日内の後を追った航太は、彼が旅館で若い妊婦と密会しているところを目撃する。驚いた航太たちは、何も見なかったことにしようと決め、葵(藤原紀香)にウソの報告をした。しかし葵には通用せず、事情を知った葵は、怒りに震えながらその旅館に乗り込む。  　するとそこにいたのは、葵の妹・巴(榮倉奈々)だった。巴は、親元を飛び出し、恋人の星野武宏(石黒英雄)と同棲していて妊娠したらしい。だが、その恋人とケンカして家を飛び出してしまい、お金に困って日内に連絡してきたのだ。葵は、そんな巴を厳しく非難した。それに反発した巴は、航太を頼り、彼を味方につける。航太は、葵と巴の間に入ってその仲を取り持とうとしたが、上手くいかない。巴は航太に、母親になる自信がない、と打ち明けた。それを聞いた日内は困った挙句、巴と結婚してほしい、と航太に頼むが…。</v>
      </c>
      <c r="O902" s="2"/>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row>
    <row r="903" ht="204.75" customHeight="1">
      <c r="A903" s="1">
        <v>3041.0</v>
      </c>
      <c r="B903" s="2" t="s">
        <v>2865</v>
      </c>
      <c r="C903" s="2">
        <f>IFERROR(__xludf.DUMMYFUNCTION("split(B903,""_"")"),1310.0)</f>
        <v>1310</v>
      </c>
      <c r="D903" s="2" t="str">
        <f>IFERROR(__xludf.DUMMYFUNCTION("""COMPUTED_VALUE"""),"CX")</f>
        <v>CX</v>
      </c>
      <c r="E903" s="2" t="str">
        <f>IFERROR(__xludf.DUMMYFUNCTION("""COMPUTED_VALUE"""),"月21")</f>
        <v>月21</v>
      </c>
      <c r="F903" s="2" t="s">
        <v>2866</v>
      </c>
      <c r="G903" s="2" t="s">
        <v>2903</v>
      </c>
      <c r="H903" s="1">
        <v>10.0</v>
      </c>
      <c r="I903" s="1" t="s">
        <v>37</v>
      </c>
      <c r="J903" s="1" t="s">
        <v>11</v>
      </c>
      <c r="K903" s="2" t="s">
        <v>2904</v>
      </c>
      <c r="L903" s="8" t="s">
        <v>2905</v>
      </c>
      <c r="M903" s="2" t="str">
        <f>IFERROR(__xludf.DUMMYFUNCTION("split(split(K903,""瀬崎航太:　"",false),""html"",false)"),"「海の上の診療所」公式番組ホームページ　  http://www.fujitv.co.jp/uminoueno_shinryojo/index.")</f>
        <v>「海の上の診療所」公式番組ホームページ　  http://www.fujitv.co.jp/uminoueno_shinryojo/index.</v>
      </c>
      <c r="N903" s="2" t="str">
        <f>IFERROR(__xludf.DUMMYFUNCTION("""COMPUTED_VALUE"""),"　  出演者からのメッセージやスタッフブログ等様々なコンテンツをご用意しています!!　航太(松田翔太)は、事務長の日内(荒川良々)から「船を降ります」宣言を禁じられる。さらに日内は、海診丸のメンバーに徹底した経費削減を指示。メンバーは混乱するが、日内はその理由をメンバーに言わなかった。  　釈然としない中、航太と眞子(武井咲)は、来年から海診丸の巡回ルートとなる誉島の診療所を訪れる。海診丸がこの島の集団検診を受け持つことになり、患者の情報共有をするためだった。　その診療所で、航太は研修医時代の指導医・瀧山"&amp;"晴子(水野美紀)と再会する。誉島の出身でもある晴子は、以前から故郷の島で診療所を開くことを夢見ていた。が、医師としての腕を買われ、間もなく東京にある病院の血管外科に赴任することになったのだという。それが原因で、晴子は、両親を亡くしてからずっと面倒を見てくれていた漁協長の久松靖男(清水紘治)から厳しく非難されていた。　事情を知った航太は、夢を実現させた晴子が東京の病院に戻ることに疑問を抱き、彼女に会いに行くが…。")</f>
        <v>　  出演者からのメッセージやスタッフブログ等様々なコンテンツをご用意しています!!　航太(松田翔太)は、事務長の日内(荒川良々)から「船を降ります」宣言を禁じられる。さらに日内は、海診丸のメンバーに徹底した経費削減を指示。メンバーは混乱するが、日内はその理由をメンバーに言わなかった。  　釈然としない中、航太と眞子(武井咲)は、来年から海診丸の巡回ルートとなる誉島の診療所を訪れる。海診丸がこの島の集団検診を受け持つことになり、患者の情報共有をするためだった。　その診療所で、航太は研修医時代の指導医・瀧山晴子(水野美紀)と再会する。誉島の出身でもある晴子は、以前から故郷の島で診療所を開くことを夢見ていた。が、医師としての腕を買われ、間もなく東京にある病院の血管外科に赴任することになったのだという。それが原因で、晴子は、両親を亡くしてからずっと面倒を見てくれていた漁協長の久松靖男(清水紘治)から厳しく非難されていた。　事情を知った航太は、夢を実現させた晴子が東京の病院に戻ることに疑問を抱き、彼女に会いに行くが…。</v>
      </c>
      <c r="O903" s="2"/>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row>
    <row r="904" ht="204.75" customHeight="1">
      <c r="A904" s="1">
        <v>3042.0</v>
      </c>
      <c r="B904" s="2" t="s">
        <v>2865</v>
      </c>
      <c r="C904" s="2">
        <f>IFERROR(__xludf.DUMMYFUNCTION("split(B904,""_"")"),1310.0)</f>
        <v>1310</v>
      </c>
      <c r="D904" s="2" t="str">
        <f>IFERROR(__xludf.DUMMYFUNCTION("""COMPUTED_VALUE"""),"CX")</f>
        <v>CX</v>
      </c>
      <c r="E904" s="2" t="str">
        <f>IFERROR(__xludf.DUMMYFUNCTION("""COMPUTED_VALUE"""),"月21")</f>
        <v>月21</v>
      </c>
      <c r="F904" s="2" t="s">
        <v>2866</v>
      </c>
      <c r="G904" s="2" t="s">
        <v>2906</v>
      </c>
      <c r="H904" s="1">
        <v>11.0</v>
      </c>
      <c r="I904" s="1" t="s">
        <v>41</v>
      </c>
      <c r="J904" s="1" t="s">
        <v>4</v>
      </c>
      <c r="K904" s="2" t="s">
        <v>2907</v>
      </c>
      <c r="L904" s="8" t="s">
        <v>2908</v>
      </c>
      <c r="M904" s="2" t="str">
        <f>IFERROR(__xludf.DUMMYFUNCTION("split(split(K904,""瀬崎航太:　"",false),""html"",false)"),"「海の上の診療所」公式番組ホームページ　  http://www.fujitv.co.jp/uminoueno_shinryojo/index.")</f>
        <v>「海の上の診療所」公式番組ホームページ　  http://www.fujitv.co.jp/uminoueno_shinryojo/index.</v>
      </c>
      <c r="N904" s="2" t="str">
        <f>IFERROR(__xludf.DUMMYFUNCTION("""COMPUTED_VALUE"""),"　  出演者からのメッセージやスタッフブログ等様々なコンテンツをご用意しています!!　クリスマスを前日に控えた海診丸はいつものにぎやかさが影を潜め、静まりかえっていた。原因は航太(松田翔太)が何も言わず、皆の前から姿を消して数日が経過していたため。海診丸のメンバーはそれぞれに航太のことを心配するが、連絡もつかないままだった。  　何かを隠していそうな日内(荒川良々)の部屋から葵(藤原紀香)が人事通達書を発見する。海診丸のメンバーは一斉に日内を問い詰め、そこでコストカッターとして有名な副理事長・藤井真希(高"&amp;"橋ひとみ)の指示で、日内は契約期間満了に伴い、航太を退去させていたことが判明するのだった。口々に日内を非難するメンバーたち。特に眞子(武井咲)は副理事長と直接話をしたいと日内に詰めよる。が、日内はそもそも海診丸の運営に反対な副理事長を今刺激してしまっては存続すら危ぶまれると語る。そして、そのことを航太は理解し、自らが立ち去ることで海診丸を守ってくれたのだとメンバーへ説得を試みる。と、そこへ副理事長が海診丸に乗り込んでくるのだった。  　その頃航太は、眞子に憧れ将来は海診丸で看護師として働きたいという中澤歩"&amp;"(須田琥珀)という少女とその祖父・典夫(中丸新将)の自宅で具合が悪い典夫の診察を行っており…。")</f>
        <v>　  出演者からのメッセージやスタッフブログ等様々なコンテンツをご用意しています!!　クリスマスを前日に控えた海診丸はいつものにぎやかさが影を潜め、静まりかえっていた。原因は航太(松田翔太)が何も言わず、皆の前から姿を消して数日が経過していたため。海診丸のメンバーはそれぞれに航太のことを心配するが、連絡もつかないままだった。  　何かを隠していそうな日内(荒川良々)の部屋から葵(藤原紀香)が人事通達書を発見する。海診丸のメンバーは一斉に日内を問い詰め、そこでコストカッターとして有名な副理事長・藤井真希(高橋ひとみ)の指示で、日内は契約期間満了に伴い、航太を退去させていたことが判明するのだった。口々に日内を非難するメンバーたち。特に眞子(武井咲)は副理事長と直接話をしたいと日内に詰めよる。が、日内はそもそも海診丸の運営に反対な副理事長を今刺激してしまっては存続すら危ぶまれると語る。そして、そのことを航太は理解し、自らが立ち去ることで海診丸を守ってくれたのだとメンバーへ説得を試みる。と、そこへ副理事長が海診丸に乗り込んでくるのだった。  　その頃航太は、眞子に憧れ将来は海診丸で看護師として働きたいという中澤歩(須田琥珀)という少女とその祖父・典夫(中丸新将)の自宅で具合が悪い典夫の診察を行っており…。</v>
      </c>
      <c r="O904" s="2"/>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row>
    <row r="905" ht="204.75" customHeight="1">
      <c r="A905" s="1">
        <v>3043.0</v>
      </c>
      <c r="B905" s="2" t="s">
        <v>2909</v>
      </c>
      <c r="C905" s="2">
        <f>IFERROR(__xludf.DUMMYFUNCTION("split(B905,""_"")"),1310.0)</f>
        <v>1310</v>
      </c>
      <c r="D905" s="2" t="str">
        <f>IFERROR(__xludf.DUMMYFUNCTION("""COMPUTED_VALUE"""),"CX")</f>
        <v>CX</v>
      </c>
      <c r="E905" s="2" t="str">
        <f>IFERROR(__xludf.DUMMYFUNCTION("""COMPUTED_VALUE"""),"火21")</f>
        <v>火21</v>
      </c>
      <c r="F905" s="2" t="s">
        <v>2910</v>
      </c>
      <c r="G905" s="2" t="s">
        <v>2911</v>
      </c>
      <c r="H905" s="1">
        <v>1.0</v>
      </c>
      <c r="I905" s="1" t="s">
        <v>3</v>
      </c>
      <c r="J905" s="1" t="s">
        <v>11</v>
      </c>
      <c r="K905" s="4" t="s">
        <v>2912</v>
      </c>
      <c r="L905" s="2" t="s">
        <v>2913</v>
      </c>
      <c r="M905" s="2" t="str">
        <f>IFERROR(__xludf.DUMMYFUNCTION("split(split(K905,""堀北真希　"",false),""公式LINE"",false)"),"東京・蒲田にある居酒屋の娘、手塚晴(てづか・はる　堀北真希)は、就職活動中の大学生。特に夢もなく、就職活動に苦戦し万策尽きた晴の目に飛び込んできたのは、ANAの自社養成パイロットの募集要項だった。晴は考えもしなかった航空業界の会社説明会で、長年パイロットを夢見てきた小田千里(おだ・ちさと　相武紗季)と出会う。100倍以上の倍率にもかかわらず、パイロット一本で勝負をする東大大学院エリート才女の千里とは正反対の晴だが、採用試験が進むにつれて2人は会話を交わす仲になる。晴はパイロット採用試験を受ける傍ら、さまざ"&amp;"まな会社にエントリーするも、手にするのは不合格通知ばかり。一方で、そんな晴の天真らんまん、素直な性格がANAパイロットの採用試験面接官の国木田孝之助(くにきだ・こうのすけ　斎藤工)と、現役機長でパイロットを束ねる総責任者・篠崎一豊(しのざき・かずとよ　岩城滉一)の目にとまる。順調に選考を突破していく晴だったが、ここぞという所でしくじってしまう。追い打ちをかけるように千里から、何百人の命を預かるパイロットという職業に対する気持ちの甘さを指摘された晴はすっかり自信を無くす。そんな折、晴は小さな製作所から内定を"&amp;"もらい・・・。")</f>
        <v>東京・蒲田にある居酒屋の娘、手塚晴(てづか・はる　堀北真希)は、就職活動中の大学生。特に夢もなく、就職活動に苦戦し万策尽きた晴の目に飛び込んできたのは、ANAの自社養成パイロットの募集要項だった。晴は考えもしなかった航空業界の会社説明会で、長年パイロットを夢見てきた小田千里(おだ・ちさと　相武紗季)と出会う。100倍以上の倍率にもかかわらず、パイロット一本で勝負をする東大大学院エリート才女の千里とは正反対の晴だが、採用試験が進むにつれて2人は会話を交わす仲になる。晴はパイロット採用試験を受ける傍ら、さまざまな会社にエントリーするも、手にするのは不合格通知ばかり。一方で、そんな晴の天真らんまん、素直な性格がANAパイロットの採用試験面接官の国木田孝之助(くにきだ・こうのすけ　斎藤工)と、現役機長でパイロットを束ねる総責任者・篠崎一豊(しのざき・かずとよ　岩城滉一)の目にとまる。順調に選考を突破していく晴だったが、ここぞという所でしくじってしまう。追い打ちをかけるように千里から、何百人の命を預かるパイロットという職業に対する気持ちの甘さを指摘された晴はすっかり自信を無くす。そんな折、晴は小さな製作所から内定をもらい・・・。</v>
      </c>
      <c r="N905" s="2"/>
      <c r="O905" s="2"/>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row>
    <row r="906" ht="204.75" customHeight="1">
      <c r="A906" s="1">
        <v>3044.0</v>
      </c>
      <c r="B906" s="2" t="s">
        <v>2909</v>
      </c>
      <c r="C906" s="2">
        <f>IFERROR(__xludf.DUMMYFUNCTION("split(B906,""_"")"),1310.0)</f>
        <v>1310</v>
      </c>
      <c r="D906" s="2" t="str">
        <f>IFERROR(__xludf.DUMMYFUNCTION("""COMPUTED_VALUE"""),"CX")</f>
        <v>CX</v>
      </c>
      <c r="E906" s="2" t="str">
        <f>IFERROR(__xludf.DUMMYFUNCTION("""COMPUTED_VALUE"""),"火21")</f>
        <v>火21</v>
      </c>
      <c r="F906" s="2" t="s">
        <v>2910</v>
      </c>
      <c r="G906" s="2" t="s">
        <v>2914</v>
      </c>
      <c r="H906" s="1">
        <v>2.0</v>
      </c>
      <c r="I906" s="1" t="s">
        <v>7</v>
      </c>
      <c r="J906" s="1" t="s">
        <v>11</v>
      </c>
      <c r="K906" s="2" t="s">
        <v>2915</v>
      </c>
      <c r="L906" s="2" t="s">
        <v>2916</v>
      </c>
      <c r="M906" s="2" t="str">
        <f>IFERROR(__xludf.DUMMYFUNCTION("split(split(K906,""堀北真希　"",false),""公式LINE"",false)"),"ANAのパイロット採用試験に合格し、グループAのメンバーになった手塚晴(堀北真希)は、同じチームとなった小田千里(相武紗季)、岸井泰治(間宮祥太朗)、小鳥翔(小柳友)、山田一男(藤井流星)、諸星麻也(庄野崎謙)らとともにパイロット寮に入り、訓練生としての生活を始める。  　まず地上訓練に臨んだ晴たちは、グランドスタッフの制服に研修生のバッジを付けて羽田空港のフロアに向かう。1億円のバイオリンを持ち込む音楽家、大幅に重量オーバーの荷物を持ち込む中年女性などにそれぞれが悪戦苦闘する中、晴は酔っぱらい客の佐藤寅"&amp;"雄(野添義弘)に出会う。聞けば、寅雄はひとり娘の結婚式に向かう予定で、娘が嫁ぐ寂しさから深酒をしたとのこと。晴は搭乗時間までベンチで休むよう寅雄に勧めた。やがて、寅雄に急いで搭乗ゲートに向かうようにうながす館内放送が流れる。晴は慌てて、寅雄が休んでいた所に行くが、寅雄の姿は無い。晴は、持ち場でないと制する千里の声も聞かず、探しに出る。  　さらに数日後、晴たちに「羽田で千歳行き最終便に乗り換えする便が遅れる」という連絡が入る。高齢の旅行客が多いため、短時間での乗り換えは無理と判断したグランドスタッフの鈴木"&amp;"倫子(菜々緒)は翌日の乗り換え便を手配する。しかし、悲しむ乗客の姿を見た晴は、倫子の指示を突然無視して・・・。")</f>
        <v>ANAのパイロット採用試験に合格し、グループAのメンバーになった手塚晴(堀北真希)は、同じチームとなった小田千里(相武紗季)、岸井泰治(間宮祥太朗)、小鳥翔(小柳友)、山田一男(藤井流星)、諸星麻也(庄野崎謙)らとともにパイロット寮に入り、訓練生としての生活を始める。  　まず地上訓練に臨んだ晴たちは、グランドスタッフの制服に研修生のバッジを付けて羽田空港のフロアに向かう。1億円のバイオリンを持ち込む音楽家、大幅に重量オーバーの荷物を持ち込む中年女性などにそれぞれが悪戦苦闘する中、晴は酔っぱらい客の佐藤寅雄(野添義弘)に出会う。聞けば、寅雄はひとり娘の結婚式に向かう予定で、娘が嫁ぐ寂しさから深酒をしたとのこと。晴は搭乗時間までベンチで休むよう寅雄に勧めた。やがて、寅雄に急いで搭乗ゲートに向かうようにうながす館内放送が流れる。晴は慌てて、寅雄が休んでいた所に行くが、寅雄の姿は無い。晴は、持ち場でないと制する千里の声も聞かず、探しに出る。  　さらに数日後、晴たちに「羽田で千歳行き最終便に乗り換えする便が遅れる」という連絡が入る。高齢の旅行客が多いため、短時間での乗り換えは無理と判断したグランドスタッフの鈴木倫子(菜々緒)は翌日の乗り換え便を手配する。しかし、悲しむ乗客の姿を見た晴は、倫子の指示を突然無視して・・・。</v>
      </c>
      <c r="N906" s="2"/>
      <c r="O906" s="2"/>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row>
    <row r="907" ht="204.75" customHeight="1">
      <c r="A907" s="1">
        <v>3045.0</v>
      </c>
      <c r="B907" s="2" t="s">
        <v>2909</v>
      </c>
      <c r="C907" s="2">
        <f>IFERROR(__xludf.DUMMYFUNCTION("split(B907,""_"")"),1310.0)</f>
        <v>1310</v>
      </c>
      <c r="D907" s="2" t="str">
        <f>IFERROR(__xludf.DUMMYFUNCTION("""COMPUTED_VALUE"""),"CX")</f>
        <v>CX</v>
      </c>
      <c r="E907" s="2" t="str">
        <f>IFERROR(__xludf.DUMMYFUNCTION("""COMPUTED_VALUE"""),"火21")</f>
        <v>火21</v>
      </c>
      <c r="F907" s="2" t="s">
        <v>2910</v>
      </c>
      <c r="G907" s="2" t="s">
        <v>2917</v>
      </c>
      <c r="H907" s="1">
        <v>3.0</v>
      </c>
      <c r="I907" s="1" t="s">
        <v>10</v>
      </c>
      <c r="J907" s="1" t="s">
        <v>11</v>
      </c>
      <c r="K907" s="2" t="s">
        <v>2918</v>
      </c>
      <c r="L907" s="2" t="s">
        <v>2919</v>
      </c>
      <c r="M907" s="2" t="str">
        <f>IFERROR(__xludf.DUMMYFUNCTION("split(split(K907,""堀北真希　"",false),""公式LINE"",false)"),"手塚晴(堀北真希)たちパイロット訓練生チームAは、グランドスタッフとしての接客研修を終えたのも束の間、もう1つの地上勤務である整備部に配属された。晴たちは、整備士たちが素早く機体を整備し、送り出すのを目の当たりにして圧倒される。  　整備資格のないパイロット訓練生に任されたのは部品管理の仕事だった。未だに空を飛べなく、地味で細かい作業を命じられ、いら立ちが募る訓練生達。たまに先輩整備士の手伝いをしても、その度にこっぴどく怒られる始末。教官の国木田孝之助(斎藤工)は、個人プレーが多く協力姿勢のない6人を見て"&amp;"、誰か脱落しないか懸念し・・・。")</f>
        <v>手塚晴(堀北真希)たちパイロット訓練生チームAは、グランドスタッフとしての接客研修を終えたのも束の間、もう1つの地上勤務である整備部に配属された。晴たちは、整備士たちが素早く機体を整備し、送り出すのを目の当たりにして圧倒される。  　整備資格のないパイロット訓練生に任されたのは部品管理の仕事だった。未だに空を飛べなく、地味で細かい作業を命じられ、いら立ちが募る訓練生達。たまに先輩整備士の手伝いをしても、その度にこっぴどく怒られる始末。教官の国木田孝之助(斎藤工)は、個人プレーが多く協力姿勢のない6人を見て、誰か脱落しないか懸念し・・・。</v>
      </c>
      <c r="N907" s="2"/>
      <c r="O907" s="2"/>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row>
    <row r="908" ht="204.75" customHeight="1">
      <c r="A908" s="1">
        <v>3046.0</v>
      </c>
      <c r="B908" s="2" t="s">
        <v>2909</v>
      </c>
      <c r="C908" s="2">
        <f>IFERROR(__xludf.DUMMYFUNCTION("split(B908,""_"")"),1310.0)</f>
        <v>1310</v>
      </c>
      <c r="D908" s="2" t="str">
        <f>IFERROR(__xludf.DUMMYFUNCTION("""COMPUTED_VALUE"""),"CX")</f>
        <v>CX</v>
      </c>
      <c r="E908" s="2" t="str">
        <f>IFERROR(__xludf.DUMMYFUNCTION("""COMPUTED_VALUE"""),"火21")</f>
        <v>火21</v>
      </c>
      <c r="F908" s="2" t="s">
        <v>2910</v>
      </c>
      <c r="G908" s="2" t="s">
        <v>2920</v>
      </c>
      <c r="H908" s="1">
        <v>4.0</v>
      </c>
      <c r="I908" s="1" t="s">
        <v>14</v>
      </c>
      <c r="J908" s="1" t="s">
        <v>11</v>
      </c>
      <c r="K908" s="2" t="s">
        <v>2921</v>
      </c>
      <c r="L908" s="2" t="s">
        <v>2922</v>
      </c>
      <c r="M908" s="2" t="str">
        <f>IFERROR(__xludf.DUMMYFUNCTION("split(split(K908,""堀北真希　"",false),""公式LINE"",false)"),"ラインの入っていない訓練生用のパイロット制服に身を包んだ、手塚晴(堀北真希)たちチームAが羽田空港にやってきた。実際のフライトでコックピットに同乗し、体験搭乗をするためだ。晴は篠崎一豊(岩城滉一)が機長を務める便に乗り込む。これまで一度も飛行機に乗ったことがない晴は、初フライトに胸を躍らせながら操縦席後方にあるジャンプシートに座った。だが、コックピットでの高度なやり取りに、晴は圧倒されすっかり自信を無くしてしまう。  　一方、他の同期は体験搭乗で学んだことや感じたことを興奮気味に話し、自分が操縦するイメー"&amp;"ジをつかめたと自信満々に話す。それを聞いた晴は、一層落ち込む。そして、ついに晴は国木田孝之助(斎藤工)にパイロット訓練生をやめたいと告げ…。")</f>
        <v>ラインの入っていない訓練生用のパイロット制服に身を包んだ、手塚晴(堀北真希)たちチームAが羽田空港にやってきた。実際のフライトでコックピットに同乗し、体験搭乗をするためだ。晴は篠崎一豊(岩城滉一)が機長を務める便に乗り込む。これまで一度も飛行機に乗ったことがない晴は、初フライトに胸を躍らせながら操縦席後方にあるジャンプシートに座った。だが、コックピットでの高度なやり取りに、晴は圧倒されすっかり自信を無くしてしまう。  　一方、他の同期は体験搭乗で学んだことや感じたことを興奮気味に話し、自分が操縦するイメージをつかめたと自信満々に話す。それを聞いた晴は、一層落ち込む。そして、ついに晴は国木田孝之助(斎藤工)にパイロット訓練生をやめたいと告げ…。</v>
      </c>
      <c r="N908" s="2"/>
      <c r="O908" s="2"/>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row>
    <row r="909" ht="204.75" customHeight="1">
      <c r="A909" s="1">
        <v>3047.0</v>
      </c>
      <c r="B909" s="2" t="s">
        <v>2909</v>
      </c>
      <c r="C909" s="2">
        <f>IFERROR(__xludf.DUMMYFUNCTION("split(B909,""_"")"),1310.0)</f>
        <v>1310</v>
      </c>
      <c r="D909" s="2" t="str">
        <f>IFERROR(__xludf.DUMMYFUNCTION("""COMPUTED_VALUE"""),"CX")</f>
        <v>CX</v>
      </c>
      <c r="E909" s="2" t="str">
        <f>IFERROR(__xludf.DUMMYFUNCTION("""COMPUTED_VALUE"""),"火21")</f>
        <v>火21</v>
      </c>
      <c r="F909" s="2" t="s">
        <v>2910</v>
      </c>
      <c r="G909" s="2" t="s">
        <v>2923</v>
      </c>
      <c r="H909" s="1">
        <v>5.0</v>
      </c>
      <c r="I909" s="1" t="s">
        <v>17</v>
      </c>
      <c r="J909" s="1" t="s">
        <v>4</v>
      </c>
      <c r="K909" s="2" t="s">
        <v>2924</v>
      </c>
      <c r="L909" s="2" t="s">
        <v>2925</v>
      </c>
      <c r="M909" s="2" t="str">
        <f>IFERROR(__xludf.DUMMYFUNCTION("split(split(K909,""堀北真希　"",false),""公式LINE"",false)"),"いよいよ1年半のアメリカ訓練へ行くことになった手塚晴(堀北真希)たち。6人は国木田孝之助(斎藤工)とともにアメリカへと出発する。  　アメリカの寮に到着した晴たちがリビングに集まると、国木田がアメリカ訓練で習得すべきミッション表を貼り出していた。そこには膨大な数のミッションが書き込まれており、段階ごとに試験があるという。試験に2回落ちるとパイロット不適正とみなされ、日本へ帰されて別部署に配置換えになると聞いた6人からは笑顔が消えていた。  　外国人講師による英語の授業や試験を経た晴たちは、実機訓練に入る。"&amp;"外国人教官とバディ(相棒)とともにセスナ機に搭乗し、実際に操縦することになった晴は、極度の緊張で頭が真っ白になってしまい…。")</f>
        <v>いよいよ1年半のアメリカ訓練へ行くことになった手塚晴(堀北真希)たち。6人は国木田孝之助(斎藤工)とともにアメリカへと出発する。  　アメリカの寮に到着した晴たちがリビングに集まると、国木田がアメリカ訓練で習得すべきミッション表を貼り出していた。そこには膨大な数のミッションが書き込まれており、段階ごとに試験があるという。試験に2回落ちるとパイロット不適正とみなされ、日本へ帰されて別部署に配置換えになると聞いた6人からは笑顔が消えていた。  　外国人講師による英語の授業や試験を経た晴たちは、実機訓練に入る。外国人教官とバディ(相棒)とともにセスナ機に搭乗し、実際に操縦することになった晴は、極度の緊張で頭が真っ白になってしまい…。</v>
      </c>
      <c r="N909" s="2"/>
      <c r="O909" s="2"/>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row>
    <row r="910" ht="204.75" customHeight="1">
      <c r="A910" s="1">
        <v>3048.0</v>
      </c>
      <c r="B910" s="2" t="s">
        <v>2909</v>
      </c>
      <c r="C910" s="2">
        <f>IFERROR(__xludf.DUMMYFUNCTION("split(B910,""_"")"),1310.0)</f>
        <v>1310</v>
      </c>
      <c r="D910" s="2" t="str">
        <f>IFERROR(__xludf.DUMMYFUNCTION("""COMPUTED_VALUE"""),"CX")</f>
        <v>CX</v>
      </c>
      <c r="E910" s="2" t="str">
        <f>IFERROR(__xludf.DUMMYFUNCTION("""COMPUTED_VALUE"""),"火21")</f>
        <v>火21</v>
      </c>
      <c r="F910" s="2" t="s">
        <v>2910</v>
      </c>
      <c r="G910" s="2" t="s">
        <v>2926</v>
      </c>
      <c r="H910" s="1">
        <v>6.0</v>
      </c>
      <c r="I910" s="1" t="s">
        <v>21</v>
      </c>
      <c r="J910" s="1" t="s">
        <v>11</v>
      </c>
      <c r="K910" s="2" t="s">
        <v>2927</v>
      </c>
      <c r="L910" s="2" t="s">
        <v>2928</v>
      </c>
      <c r="M910" s="2" t="str">
        <f>IFERROR(__xludf.DUMMYFUNCTION("split(split(K910,""堀北真希　"",false),""公式LINE"",false)"),"手塚晴(堀北真希)たちがアメリカに渡ってから10カ月が過ぎた。6人は正規ミッションには含まれていない低酸素訓練を自ら進んで行うなど、精力的に訓練に励む。そんな中、アメリカの宿舎に阿倍野すず(桜庭ななみ)、鈴木倫子(菜々緒)、三枝かのこ(藤澤恵麻)がやってきた。彼女たちは、晴たち6人の成長に驚く。晴たちの訓練は、計器飛行のステージへと進む。夜間などの視界が悪い時のために、飛行中の機体にフードをつけて視界を遮り、計器だけを見て飛行する訓練だ。難度の高い訓練に苦戦する6人。  　3カ月後、計器飛行試験が行われる"&amp;"。2回失敗すると「パイロット脱落」の重圧を乗り越え、6人はなんとか試験を終える。  　緊張の面持ちで結果を待つ6人の前に国木田(斎藤工)がやってきた。国木田は、不合格者が1名だけいると告げ…。")</f>
        <v>手塚晴(堀北真希)たちがアメリカに渡ってから10カ月が過ぎた。6人は正規ミッションには含まれていない低酸素訓練を自ら進んで行うなど、精力的に訓練に励む。そんな中、アメリカの宿舎に阿倍野すず(桜庭ななみ)、鈴木倫子(菜々緒)、三枝かのこ(藤澤恵麻)がやってきた。彼女たちは、晴たち6人の成長に驚く。晴たちの訓練は、計器飛行のステージへと進む。夜間などの視界が悪い時のために、飛行中の機体にフードをつけて視界を遮り、計器だけを見て飛行する訓練だ。難度の高い訓練に苦戦する6人。  　3カ月後、計器飛行試験が行われる。2回失敗すると「パイロット脱落」の重圧を乗り越え、6人はなんとか試験を終える。  　緊張の面持ちで結果を待つ6人の前に国木田(斎藤工)がやってきた。国木田は、不合格者が1名だけいると告げ…。</v>
      </c>
      <c r="N910" s="2"/>
      <c r="O910" s="2"/>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row>
    <row r="911" ht="204.75" customHeight="1">
      <c r="A911" s="1">
        <v>3049.0</v>
      </c>
      <c r="B911" s="2" t="s">
        <v>2909</v>
      </c>
      <c r="C911" s="2">
        <f>IFERROR(__xludf.DUMMYFUNCTION("split(B911,""_"")"),1310.0)</f>
        <v>1310</v>
      </c>
      <c r="D911" s="2" t="str">
        <f>IFERROR(__xludf.DUMMYFUNCTION("""COMPUTED_VALUE"""),"CX")</f>
        <v>CX</v>
      </c>
      <c r="E911" s="2" t="str">
        <f>IFERROR(__xludf.DUMMYFUNCTION("""COMPUTED_VALUE"""),"火21")</f>
        <v>火21</v>
      </c>
      <c r="F911" s="2" t="s">
        <v>2910</v>
      </c>
      <c r="G911" s="2" t="s">
        <v>2929</v>
      </c>
      <c r="H911" s="1">
        <v>7.0</v>
      </c>
      <c r="I911" s="1" t="s">
        <v>25</v>
      </c>
      <c r="J911" s="1" t="s">
        <v>11</v>
      </c>
      <c r="K911" s="2" t="s">
        <v>2930</v>
      </c>
      <c r="L911" s="2" t="s">
        <v>2931</v>
      </c>
      <c r="M911" s="2" t="str">
        <f>IFERROR(__xludf.DUMMYFUNCTION("split(split(K911,""堀北真希　"",false),""公式LINE"",false)"),"小田千里(相武紗季)がパイロット試験でフェール(脱落)。国木田孝之助(斎藤工)から告げられた結果にぼう然とする晴(堀北真希)たち。  　その夜、千里の部屋の前には帰国のための荷物が積み上げられていた。晴は、千里に声をかけることができず、部屋で眠れない夜を過ごす。あくる朝、千里のジョギングに同行した晴は、夢を諦めずに別の会社のパイロットを目指せばいいと説得する。千里はコックピットに乗って空を飛ぶ夢は訓練で叶えられたから満足していると、それを拒否した。最後くらいは楽しく過ごしたいという千里の要望に、晴はパーテ"&amp;"ィーを企画するが…。")</f>
        <v>小田千里(相武紗季)がパイロット試験でフェール(脱落)。国木田孝之助(斎藤工)から告げられた結果にぼう然とする晴(堀北真希)たち。  　その夜、千里の部屋の前には帰国のための荷物が積み上げられていた。晴は、千里に声をかけることができず、部屋で眠れない夜を過ごす。あくる朝、千里のジョギングに同行した晴は、夢を諦めずに別の会社のパイロットを目指せばいいと説得する。千里はコックピットに乗って空を飛ぶ夢は訓練で叶えられたから満足していると、それを拒否した。最後くらいは楽しく過ごしたいという千里の要望に、晴はパーティーを企画するが…。</v>
      </c>
      <c r="N911" s="2"/>
      <c r="O911" s="2"/>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row>
    <row r="912" ht="204.75" customHeight="1">
      <c r="A912" s="1">
        <v>3050.0</v>
      </c>
      <c r="B912" s="2" t="s">
        <v>2909</v>
      </c>
      <c r="C912" s="2">
        <f>IFERROR(__xludf.DUMMYFUNCTION("split(B912,""_"")"),1310.0)</f>
        <v>1310</v>
      </c>
      <c r="D912" s="2" t="str">
        <f>IFERROR(__xludf.DUMMYFUNCTION("""COMPUTED_VALUE"""),"CX")</f>
        <v>CX</v>
      </c>
      <c r="E912" s="2" t="str">
        <f>IFERROR(__xludf.DUMMYFUNCTION("""COMPUTED_VALUE"""),"火21")</f>
        <v>火21</v>
      </c>
      <c r="F912" s="2" t="s">
        <v>2910</v>
      </c>
      <c r="G912" s="2" t="s">
        <v>2932</v>
      </c>
      <c r="H912" s="1">
        <v>8.0</v>
      </c>
      <c r="I912" s="1" t="s">
        <v>29</v>
      </c>
      <c r="J912" s="1" t="s">
        <v>11</v>
      </c>
      <c r="K912" s="2" t="s">
        <v>2933</v>
      </c>
      <c r="L912" s="2" t="s">
        <v>2934</v>
      </c>
      <c r="M912" s="2" t="str">
        <f>IFERROR(__xludf.DUMMYFUNCTION("split(split(K912,""堀北真希　"",false),""公式LINE"",false)"),"手塚晴(堀北真希)、岸井泰治(間宮祥太朗)、小鳥翔(小柳友)、山田一男(藤井流星)、諸星麻也(庄野崎謙)らが、アメリカでの訓練を無事すべて終えて帰国した。久しぶりの日本に喜びながらも、行方がわからなくなった小田千里(相武紗季)を心配する5人。  　晴は、同じく千里を心配して寮にやってきた国木田孝之助(斎藤工)に千里を探すと告げるが、休暇後に始まる訓練に備えてゆっくり休むように諭される。　そんな中、帰宅しようとしていた国木田の前に千里が現れるが…。")</f>
        <v>手塚晴(堀北真希)、岸井泰治(間宮祥太朗)、小鳥翔(小柳友)、山田一男(藤井流星)、諸星麻也(庄野崎謙)らが、アメリカでの訓練を無事すべて終えて帰国した。久しぶりの日本に喜びながらも、行方がわからなくなった小田千里(相武紗季)を心配する5人。  　晴は、同じく千里を心配して寮にやってきた国木田孝之助(斎藤工)に千里を探すと告げるが、休暇後に始まる訓練に備えてゆっくり休むように諭される。　そんな中、帰宅しようとしていた国木田の前に千里が現れるが…。</v>
      </c>
      <c r="N912" s="2"/>
      <c r="O912" s="2"/>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row>
    <row r="913" ht="204.75" customHeight="1">
      <c r="A913" s="1">
        <v>3051.0</v>
      </c>
      <c r="B913" s="2" t="s">
        <v>2909</v>
      </c>
      <c r="C913" s="2">
        <f>IFERROR(__xludf.DUMMYFUNCTION("split(B913,""_"")"),1310.0)</f>
        <v>1310</v>
      </c>
      <c r="D913" s="2" t="str">
        <f>IFERROR(__xludf.DUMMYFUNCTION("""COMPUTED_VALUE"""),"CX")</f>
        <v>CX</v>
      </c>
      <c r="E913" s="2" t="str">
        <f>IFERROR(__xludf.DUMMYFUNCTION("""COMPUTED_VALUE"""),"火21")</f>
        <v>火21</v>
      </c>
      <c r="F913" s="2" t="s">
        <v>2910</v>
      </c>
      <c r="G913" s="2" t="s">
        <v>2935</v>
      </c>
      <c r="H913" s="1">
        <v>9.0</v>
      </c>
      <c r="I913" s="1" t="s">
        <v>33</v>
      </c>
      <c r="J913" s="1" t="s">
        <v>11</v>
      </c>
      <c r="K913" s="2" t="s">
        <v>2936</v>
      </c>
      <c r="L913" s="2" t="s">
        <v>2937</v>
      </c>
      <c r="M913" s="2" t="str">
        <f>IFERROR(__xludf.DUMMYFUNCTION("split(split(K913,""堀北真希　"",false),""公式LINE"",false)"),"日本での訓練が再開し、シミュレータ訓練を行う手塚晴(堀北真希)たち訓練生5人。初めて乗るシミュレータを楽しみにしていた晴だったが、そのあまりのスピード感に圧倒されてしまう。  　そんな中、晴に父親の手塚茂雄(石倉三郎)から電話が入る。週末にでも帰ると話す晴の言葉を聞き、茂雄は電話でいいと重い口を開いた。それは、晴の渡米中に母親のよし美(根岸季衣)の病気が発覚、それが悪化しているとの知らせだった。呆然(ぼうぜん)と立ち尽くす晴…。  　一方、小田千里(相武紗季)はフライトオペレーションセンターで働きつつ、デ"&amp;"ィスパッチャー〈運行管理〉の資格取得を目指して勉強をし始めていた。  　訓練に集中できていない様子の晴を心配した国木田孝之助(斎藤工)は千里を訪ね、晴の話を聞いてあげてほしいとお願いする。同じく晴の様子が気になっていた千里はそれを引き受けつつ、用事は晴のことだけかと逆に国木田に問いかけ…。")</f>
        <v>日本での訓練が再開し、シミュレータ訓練を行う手塚晴(堀北真希)たち訓練生5人。初めて乗るシミュレータを楽しみにしていた晴だったが、そのあまりのスピード感に圧倒されてしまう。  　そんな中、晴に父親の手塚茂雄(石倉三郎)から電話が入る。週末にでも帰ると話す晴の言葉を聞き、茂雄は電話でいいと重い口を開いた。それは、晴の渡米中に母親のよし美(根岸季衣)の病気が発覚、それが悪化しているとの知らせだった。呆然(ぼうぜん)と立ち尽くす晴…。  　一方、小田千里(相武紗季)はフライトオペレーションセンターで働きつつ、ディスパッチャー〈運行管理〉の資格取得を目指して勉強をし始めていた。  　訓練に集中できていない様子の晴を心配した国木田孝之助(斎藤工)は千里を訪ね、晴の話を聞いてあげてほしいとお願いする。同じく晴の様子が気になっていた千里はそれを引き受けつつ、用事は晴のことだけかと逆に国木田に問いかけ…。</v>
      </c>
      <c r="N913" s="2"/>
      <c r="O913" s="2"/>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row>
    <row r="914" ht="204.75" customHeight="1">
      <c r="A914" s="1">
        <v>3052.0</v>
      </c>
      <c r="B914" s="2" t="s">
        <v>2909</v>
      </c>
      <c r="C914" s="2">
        <f>IFERROR(__xludf.DUMMYFUNCTION("split(B914,""_"")"),1310.0)</f>
        <v>1310</v>
      </c>
      <c r="D914" s="2" t="str">
        <f>IFERROR(__xludf.DUMMYFUNCTION("""COMPUTED_VALUE"""),"CX")</f>
        <v>CX</v>
      </c>
      <c r="E914" s="2" t="str">
        <f>IFERROR(__xludf.DUMMYFUNCTION("""COMPUTED_VALUE"""),"火21")</f>
        <v>火21</v>
      </c>
      <c r="F914" s="2" t="s">
        <v>2910</v>
      </c>
      <c r="G914" s="2" t="s">
        <v>2938</v>
      </c>
      <c r="H914" s="1">
        <v>10.0</v>
      </c>
      <c r="I914" s="1" t="s">
        <v>37</v>
      </c>
      <c r="J914" s="1" t="s">
        <v>11</v>
      </c>
      <c r="K914" s="2" t="s">
        <v>2939</v>
      </c>
      <c r="L914" s="2" t="s">
        <v>2940</v>
      </c>
      <c r="M914" s="2" t="str">
        <f>IFERROR(__xludf.DUMMYFUNCTION("split(split(K914,""堀北真希　"",false),""公式LINE"",false)"),"小田千里(相武紗季)から国木田孝之助(斎藤工)が好きだと告げられた手塚晴(堀北真希)は驚いて言葉を失う。  　晴がやや遅れを取りながらもシミュレータ訓練が進み、岸井泰治(間宮祥太朗)、小鳥翔(小柳友)、山田一男(藤井流星)、諸星麻也(庄野崎謙)の最終試験日が2日後に決まった。ドクターストップの期間があった晴だけは1週間後になり、その間に遅れを取り戻すように国木田から発破を掛けられる。　ある夜、訓練生寮に食事にやって来た国木田は、三枝かのこ(藤澤恵麻)に「晴を見ていると“弦太""を思い出す」と切なげに話す。"&amp;"翌日のシミュレータでの訓練中、晴の操作ミスに“弦太""との出来事が重なった国木田は思わず声を荒げてしまい…。")</f>
        <v>小田千里(相武紗季)から国木田孝之助(斎藤工)が好きだと告げられた手塚晴(堀北真希)は驚いて言葉を失う。  　晴がやや遅れを取りながらもシミュレータ訓練が進み、岸井泰治(間宮祥太朗)、小鳥翔(小柳友)、山田一男(藤井流星)、諸星麻也(庄野崎謙)の最終試験日が2日後に決まった。ドクターストップの期間があった晴だけは1週間後になり、その間に遅れを取り戻すように国木田から発破を掛けられる。　ある夜、訓練生寮に食事にやって来た国木田は、三枝かのこ(藤澤恵麻)に「晴を見ていると“弦太"を思い出す」と切なげに話す。翌日のシミュレータでの訓練中、晴の操作ミスに“弦太"との出来事が重なった国木田は思わず声を荒げてしまい…。</v>
      </c>
      <c r="N914" s="2"/>
      <c r="O914" s="2"/>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row>
    <row r="915" ht="204.75" customHeight="1">
      <c r="A915" s="1">
        <v>3053.0</v>
      </c>
      <c r="B915" s="2" t="s">
        <v>2909</v>
      </c>
      <c r="C915" s="2">
        <f>IFERROR(__xludf.DUMMYFUNCTION("split(B915,""_"")"),1310.0)</f>
        <v>1310</v>
      </c>
      <c r="D915" s="2" t="str">
        <f>IFERROR(__xludf.DUMMYFUNCTION("""COMPUTED_VALUE"""),"CX")</f>
        <v>CX</v>
      </c>
      <c r="E915" s="2" t="str">
        <f>IFERROR(__xludf.DUMMYFUNCTION("""COMPUTED_VALUE"""),"火21")</f>
        <v>火21</v>
      </c>
      <c r="F915" s="2" t="s">
        <v>2910</v>
      </c>
      <c r="G915" s="2" t="s">
        <v>2941</v>
      </c>
      <c r="H915" s="1">
        <v>11.0</v>
      </c>
      <c r="I915" s="1" t="s">
        <v>41</v>
      </c>
      <c r="J915" s="1" t="s">
        <v>11</v>
      </c>
      <c r="K915" s="2" t="s">
        <v>2942</v>
      </c>
      <c r="L915" s="2" t="s">
        <v>2943</v>
      </c>
      <c r="M915" s="2" t="str">
        <f>IFERROR(__xludf.DUMMYFUNCTION("split(split(K915,""堀北真希　"",false),""公式LINE"",false)"),"シミュレータ課程、実機訓練を修了した手塚晴(堀北真希)、岸井泰治(間宮祥太朗)、小鳥翔(小柳友)、山田一男(藤井流星)、諸星麻也(庄野崎謙)に、腕に3本ラインの入った新しい制服が支給された。ここまでの訓練を思い出し感慨にひたりながらも、翌日からOJT(On　The　Job　Training/新人が実際の職場で、実務経験を積んだり経験者の指導を受けて職務内容を学ぶこと)が始まると聞き、気を引き締める5人。その晩、小田千里(相武紗季)を含めた6人は訓練生寮で最後の食事を取る。4年間寝食を共にしたチームの解散と"&amp;"国木田孝之助(斎藤工)からの卒業を目の当たりにし、ますます独り立ちの実感を強める晴たち。  　そして12月24日、クリスマスイブ、晴は遂にファーストフライトを迎えた。行先は新千歳空港、そして機長は国木田。その頃、千歳では大雪が降り積もり…。")</f>
        <v>シミュレータ課程、実機訓練を修了した手塚晴(堀北真希)、岸井泰治(間宮祥太朗)、小鳥翔(小柳友)、山田一男(藤井流星)、諸星麻也(庄野崎謙)に、腕に3本ラインの入った新しい制服が支給された。ここまでの訓練を思い出し感慨にひたりながらも、翌日からOJT(On　The　Job　Training/新人が実際の職場で、実務経験を積んだり経験者の指導を受けて職務内容を学ぶこと)が始まると聞き、気を引き締める5人。その晩、小田千里(相武紗季)を含めた6人は訓練生寮で最後の食事を取る。4年間寝食を共にしたチームの解散と国木田孝之助(斎藤工)からの卒業を目の当たりにし、ますます独り立ちの実感を強める晴たち。  　そして12月24日、クリスマスイブ、晴は遂にファーストフライトを迎えた。行先は新千歳空港、そして機長は国木田。その頃、千歳では大雪が降り積もり…。</v>
      </c>
      <c r="N915" s="2"/>
      <c r="O915" s="2"/>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row>
    <row r="916" ht="204.75" customHeight="1">
      <c r="A916" s="1">
        <v>3054.0</v>
      </c>
      <c r="B916" s="2" t="s">
        <v>2944</v>
      </c>
      <c r="C916" s="2">
        <f>IFERROR(__xludf.DUMMYFUNCTION("split(B916,""_"")"),1310.0)</f>
        <v>1310</v>
      </c>
      <c r="D916" s="2" t="str">
        <f>IFERROR(__xludf.DUMMYFUNCTION("""COMPUTED_VALUE"""),"CX")</f>
        <v>CX</v>
      </c>
      <c r="E916" s="2" t="str">
        <f>IFERROR(__xludf.DUMMYFUNCTION("""COMPUTED_VALUE"""),"火22")</f>
        <v>火22</v>
      </c>
      <c r="F916" s="2" t="s">
        <v>2945</v>
      </c>
      <c r="G916" s="2" t="s">
        <v>2946</v>
      </c>
      <c r="H916" s="1">
        <v>1.0</v>
      </c>
      <c r="I916" s="1" t="s">
        <v>3</v>
      </c>
      <c r="J916" s="1" t="s">
        <v>82</v>
      </c>
      <c r="K916" s="4" t="s">
        <v>2947</v>
      </c>
      <c r="L916" s="2" t="s">
        <v>2948</v>
      </c>
      <c r="M916" s="2" t="str">
        <f>IFERROR(__xludf.DUMMYFUNCTION("split(split(K916,""錦戸亮(関ジャニ∞)"",false),""公式LINE"",false)"),"東京都北区王子の下町風情ただよう商店街。  高校1年の沢崎瞬太(知念侑李)は、担任の只野路子(倉科カナ)から留年確実と宣告された帰り、占い好きの母親・みどり(南野陽子)に連れられて新しく出来た怪しい占いの店『陰陽屋』を訪れる。店主・安倍祥明(錦戸亮)のルックスと巧みな話術にすっかり魅了され、身の上相談を始めるみどりに、祥明は除霊を行い、代金1万円を請求。あまりのインチキぶりに激怒した瞬太は、祥明に殴りかかり、高価な占いの盆を割ってしまう。結果、店で雑用係のアルバイトをするはめに。    その夜、路子の祖父"&amp;"・内藤源次郎(杉良太郎)が営む居酒屋『狐火』では、祥明の話題で持ちきりに。近くの神社の巫女・鮎川珠希(柏木由紀)の証言で、祥明がかつてNo.1ホストだったことも判明すると、路子の嫌悪感はますます強まり、商店街の連中は、『陰陽屋』の立ち退き運動を始めることを決意。    翌日、祥明は里見由実香(鈴木梨央)という少女から、父親の“狐つき""を治してほしいと依頼される。狐がついたせいで、母親は父親から暴力を振るわれているという。乗り気ではない祥明だったが、ふいに店に現れた源次郎に促され、しぶしぶ里見家に向かう。"&amp;"すると突然、家の中から女性の叫び声が!祥明、瞬太、路子が踏み込むと、そこには思わぬ光景が広がっていた。果たして“狐つき""の正体とは?そして、祥明はどうやって“狐つき""を解決するのか…?")</f>
        <v>東京都北区王子の下町風情ただよう商店街。  高校1年の沢崎瞬太(知念侑李)は、担任の只野路子(倉科カナ)から留年確実と宣告された帰り、占い好きの母親・みどり(南野陽子)に連れられて新しく出来た怪しい占いの店『陰陽屋』を訪れる。店主・安倍祥明(錦戸亮)のルックスと巧みな話術にすっかり魅了され、身の上相談を始めるみどりに、祥明は除霊を行い、代金1万円を請求。あまりのインチキぶりに激怒した瞬太は、祥明に殴りかかり、高価な占いの盆を割ってしまう。結果、店で雑用係のアルバイトをするはめに。    その夜、路子の祖父・内藤源次郎(杉良太郎)が営む居酒屋『狐火』では、祥明の話題で持ちきりに。近くの神社の巫女・鮎川珠希(柏木由紀)の証言で、祥明がかつてNo.1ホストだったことも判明すると、路子の嫌悪感はますます強まり、商店街の連中は、『陰陽屋』の立ち退き運動を始めることを決意。    翌日、祥明は里見由実香(鈴木梨央)という少女から、父親の“狐つき"を治してほしいと依頼される。狐がついたせいで、母親は父親から暴力を振るわれているという。乗り気ではない祥明だったが、ふいに店に現れた源次郎に促され、しぶしぶ里見家に向かう。すると突然、家の中から女性の叫び声が!祥明、瞬太、路子が踏み込むと、そこには思わぬ光景が広がっていた。果たして“狐つき"の正体とは?そして、祥明はどうやって“狐つき"を解決するのか…?</v>
      </c>
      <c r="N916" s="2"/>
      <c r="O916" s="2"/>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row>
    <row r="917" ht="204.75" customHeight="1">
      <c r="A917" s="1">
        <v>3055.0</v>
      </c>
      <c r="B917" s="2" t="s">
        <v>2944</v>
      </c>
      <c r="C917" s="2">
        <f>IFERROR(__xludf.DUMMYFUNCTION("split(B917,""_"")"),1310.0)</f>
        <v>1310</v>
      </c>
      <c r="D917" s="2" t="str">
        <f>IFERROR(__xludf.DUMMYFUNCTION("""COMPUTED_VALUE"""),"CX")</f>
        <v>CX</v>
      </c>
      <c r="E917" s="2" t="str">
        <f>IFERROR(__xludf.DUMMYFUNCTION("""COMPUTED_VALUE"""),"火22")</f>
        <v>火22</v>
      </c>
      <c r="F917" s="2" t="s">
        <v>2945</v>
      </c>
      <c r="G917" s="2" t="s">
        <v>2949</v>
      </c>
      <c r="H917" s="1">
        <v>2.0</v>
      </c>
      <c r="I917" s="1" t="s">
        <v>7</v>
      </c>
      <c r="J917" s="1" t="s">
        <v>86</v>
      </c>
      <c r="K917" s="2" t="s">
        <v>2950</v>
      </c>
      <c r="L917" s="2" t="s">
        <v>2951</v>
      </c>
      <c r="M917" s="2" t="str">
        <f>IFERROR(__xludf.DUMMYFUNCTION("split(split(K917,""錦戸亮(関ジャニ∞)"",false),""公式LINE"",false)"),"陰陽屋に、中華料理店『上海亭』の女将・金井江美子(濱田マリ)が相談にやって来る。最近、客足が突然ぴたりと途絶え、「店が呪われているのではないか」と言う江美子。店の前には、触った者は必ず呪われると古くから言い伝えられている狐石が置いてあったという。話を聞いた祥明(錦戸亮)は、陰陽屋の存続をちらつかせる江美子に協力するため、手っ取り早くパソコンの口コミサイトにべた褒めのコメントを書こうと提案。ところが、そこにうそ八百の書き込みがあるのを発見した江美子はますます怒り、半分脅される形で、祥明は店で張り込むことにな"&amp;"る。    一方、路子(倉科カナ)は、インターネットの掲示板に瞬太(知念侑李)が捨て子だと書き込まれていることを知り、胸を痛める。自宅を訪ね、両親のみどり(南野陽子)と吾郎(見栄晴)に瞬太の捨て子騒動の真相を尋ねる路子。しかし、2人は「大したことではない」と、あっけらかんとした態度で真相を語り、路子を驚かせる。    翌日、祥明の仕掛けた罠に掛かった犯人が、グルメサイトの掲示板に、店で撮影したハエ入りラーメンの証拠写真を新たにアップ。それを知った江美子はますます落ち込むが、祥明に促され写真を見ると、突然、"&amp;"犯人捜しをやめると言い出し…。")</f>
        <v>陰陽屋に、中華料理店『上海亭』の女将・金井江美子(濱田マリ)が相談にやって来る。最近、客足が突然ぴたりと途絶え、「店が呪われているのではないか」と言う江美子。店の前には、触った者は必ず呪われると古くから言い伝えられている狐石が置いてあったという。話を聞いた祥明(錦戸亮)は、陰陽屋の存続をちらつかせる江美子に協力するため、手っ取り早くパソコンの口コミサイトにべた褒めのコメントを書こうと提案。ところが、そこにうそ八百の書き込みがあるのを発見した江美子はますます怒り、半分脅される形で、祥明は店で張り込むことになる。    一方、路子(倉科カナ)は、インターネットの掲示板に瞬太(知念侑李)が捨て子だと書き込まれていることを知り、胸を痛める。自宅を訪ね、両親のみどり(南野陽子)と吾郎(見栄晴)に瞬太の捨て子騒動の真相を尋ねる路子。しかし、2人は「大したことではない」と、あっけらかんとした態度で真相を語り、路子を驚かせる。    翌日、祥明の仕掛けた罠に掛かった犯人が、グルメサイトの掲示板に、店で撮影したハエ入りラーメンの証拠写真を新たにアップ。それを知った江美子はますます落ち込むが、祥明に促され写真を見ると、突然、犯人捜しをやめると言い出し…。</v>
      </c>
      <c r="N917" s="2"/>
      <c r="O917" s="2"/>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row>
    <row r="918" ht="204.75" customHeight="1">
      <c r="A918" s="1">
        <v>3056.0</v>
      </c>
      <c r="B918" s="2" t="s">
        <v>2944</v>
      </c>
      <c r="C918" s="2">
        <f>IFERROR(__xludf.DUMMYFUNCTION("split(B918,""_"")"),1310.0)</f>
        <v>1310</v>
      </c>
      <c r="D918" s="2" t="str">
        <f>IFERROR(__xludf.DUMMYFUNCTION("""COMPUTED_VALUE"""),"CX")</f>
        <v>CX</v>
      </c>
      <c r="E918" s="2" t="str">
        <f>IFERROR(__xludf.DUMMYFUNCTION("""COMPUTED_VALUE"""),"火22")</f>
        <v>火22</v>
      </c>
      <c r="F918" s="2" t="s">
        <v>2945</v>
      </c>
      <c r="G918" s="2" t="s">
        <v>2952</v>
      </c>
      <c r="H918" s="1">
        <v>3.0</v>
      </c>
      <c r="I918" s="1" t="s">
        <v>10</v>
      </c>
      <c r="J918" s="1" t="s">
        <v>86</v>
      </c>
      <c r="K918" s="2" t="s">
        <v>2953</v>
      </c>
      <c r="L918" s="2" t="s">
        <v>2954</v>
      </c>
      <c r="M918" s="2" t="str">
        <f>IFERROR(__xludf.DUMMYFUNCTION("split(split(K918,""錦戸亮(関ジャニ∞)"",false),""公式LINE"",false)"),"『上海亭』を陥れた犯人だと勘違いして、商店街のメンバーが陰陽屋に連れてきたのは、祥明(錦戸亮)の幼なじみ・槙原(駿河太郎)だった。祥明の正体を明かそうとする槙原をなぜか必死で制する祥明。すると翌日、槙原は再び陰陽屋へやって来て、バイト先の後輩・宮内夏央(波瑠)の相談に乗ってやってほしいと持ちかける。ひと月ほど前に亡くなった祖母の遺言状を探してほしいというのだ。最初は興味のなさそうな祥明だったが、広い田畑を持ち、一人暮らしをしていた祖母の遺産が相当なものだと聞くや、がぜんやる気を見せる。弁護士が発表した祖母"&amp;"の遺言は、『“本物の遺言状""は一番大切なものの中にある。探し出した親族に全財産を譲る』というもの。期日までに見つけられなければ、遺産はすべて慈善団体へ寄付されるらしい。夏央の叔父・叔母らは、遺産を独り占めしようと血まなこになって遺言状を探しているという。遺言状の期日当日。祥明と瞬太(知念侑李)とともに、路子(倉科カナ)もなぜか、祥明の口車に乗せられ、群馬へ向かうことに。祖母の家は既に遺産目当ての親族らが荒らしており、それでも遺言状はまだ見つかっていないという。路子と瞬太は必死で探し始めるが、祥明はなぜか"&amp;"、「身を清める」と言ってのこのこと温泉に出かけてしまう。時間は刻一刻と過ぎる中、果たして遺言状は見つかるのか?祖母が遺した言葉の本当の意味とは…?")</f>
        <v>『上海亭』を陥れた犯人だと勘違いして、商店街のメンバーが陰陽屋に連れてきたのは、祥明(錦戸亮)の幼なじみ・槙原(駿河太郎)だった。祥明の正体を明かそうとする槙原をなぜか必死で制する祥明。すると翌日、槙原は再び陰陽屋へやって来て、バイト先の後輩・宮内夏央(波瑠)の相談に乗ってやってほしいと持ちかける。ひと月ほど前に亡くなった祖母の遺言状を探してほしいというのだ。最初は興味のなさそうな祥明だったが、広い田畑を持ち、一人暮らしをしていた祖母の遺産が相当なものだと聞くや、がぜんやる気を見せる。弁護士が発表した祖母の遺言は、『“本物の遺言状"は一番大切なものの中にある。探し出した親族に全財産を譲る』というもの。期日までに見つけられなければ、遺産はすべて慈善団体へ寄付されるらしい。夏央の叔父・叔母らは、遺産を独り占めしようと血まなこになって遺言状を探しているという。遺言状の期日当日。祥明と瞬太(知念侑李)とともに、路子(倉科カナ)もなぜか、祥明の口車に乗せられ、群馬へ向かうことに。祖母の家は既に遺産目当ての親族らが荒らしており、それでも遺言状はまだ見つかっていないという。路子と瞬太は必死で探し始めるが、祥明はなぜか、「身を清める」と言ってのこのこと温泉に出かけてしまう。時間は刻一刻と過ぎる中、果たして遺言状は見つかるのか?祖母が遺した言葉の本当の意味とは…?</v>
      </c>
      <c r="N918" s="2"/>
      <c r="O918" s="2"/>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row>
    <row r="919" ht="204.75" customHeight="1">
      <c r="A919" s="1">
        <v>3057.0</v>
      </c>
      <c r="B919" s="2" t="s">
        <v>2944</v>
      </c>
      <c r="C919" s="2">
        <f>IFERROR(__xludf.DUMMYFUNCTION("split(B919,""_"")"),1310.0)</f>
        <v>1310</v>
      </c>
      <c r="D919" s="2" t="str">
        <f>IFERROR(__xludf.DUMMYFUNCTION("""COMPUTED_VALUE"""),"CX")</f>
        <v>CX</v>
      </c>
      <c r="E919" s="2" t="str">
        <f>IFERROR(__xludf.DUMMYFUNCTION("""COMPUTED_VALUE"""),"火22")</f>
        <v>火22</v>
      </c>
      <c r="F919" s="2" t="s">
        <v>2945</v>
      </c>
      <c r="G919" s="2" t="s">
        <v>2955</v>
      </c>
      <c r="H919" s="1">
        <v>4.0</v>
      </c>
      <c r="I919" s="1" t="s">
        <v>14</v>
      </c>
      <c r="J919" s="1" t="s">
        <v>86</v>
      </c>
      <c r="K919" s="2" t="s">
        <v>2956</v>
      </c>
      <c r="L919" s="2" t="s">
        <v>2957</v>
      </c>
      <c r="M919" s="2" t="str">
        <f>IFERROR(__xludf.DUMMYFUNCTION("split(split(K919,""錦戸亮(関ジャニ∞)"",false),""公式LINE"",false)"),"ある日、祥明(錦戸亮)のホスト時代の客・細川季実子(関めぐみ)が陰陽屋にやって来る。一年前、祥明に手相を見てもらい、「20代で結婚できる」と言われたが、あと3日で30歳になるのに相手がいないという。3日後までに結婚できなかったら、占いが外れた責任をとって自分と結婚しろと祥明に迫る季実子。あまりの迫力に、瞬太(知念侑李)も花婿探しに乗り出し、たまたまやって来た槙原(駿河太郎)を薦める。すると、槙原は突然、路子(倉科カナ)に告白。路子は、とっさに祥明と付き合っているとウソをついてしまう。    翌朝、近くの公"&amp;"園で呪いのわら人形が発見され、商店街の人々は騒然となる。しかも、中から出てきた紙には路子の名前が。季実子は「祥明と路子が恋人同士だという証拠を見せろ」と言い出し、2人は季実子が見守るなか、遊園地でデートをするはめに…。迎えた季実子の誕生日当日ー。  30歳まで残り数時間となり、季実子から再び「相手が見つからなかったら責任をとってもらう」と迫られた祥明は、ついに季実子にプロポーズする。果たして、祥明の真意はいかに…?")</f>
        <v>ある日、祥明(錦戸亮)のホスト時代の客・細川季実子(関めぐみ)が陰陽屋にやって来る。一年前、祥明に手相を見てもらい、「20代で結婚できる」と言われたが、あと3日で30歳になるのに相手がいないという。3日後までに結婚できなかったら、占いが外れた責任をとって自分と結婚しろと祥明に迫る季実子。あまりの迫力に、瞬太(知念侑李)も花婿探しに乗り出し、たまたまやって来た槙原(駿河太郎)を薦める。すると、槙原は突然、路子(倉科カナ)に告白。路子は、とっさに祥明と付き合っているとウソをついてしまう。    翌朝、近くの公園で呪いのわら人形が発見され、商店街の人々は騒然となる。しかも、中から出てきた紙には路子の名前が。季実子は「祥明と路子が恋人同士だという証拠を見せろ」と言い出し、2人は季実子が見守るなか、遊園地でデートをするはめに…。迎えた季実子の誕生日当日ー。  30歳まで残り数時間となり、季実子から再び「相手が見つからなかったら責任をとってもらう」と迫られた祥明は、ついに季実子にプロポーズする。果たして、祥明の真意はいかに…?</v>
      </c>
      <c r="N919" s="2"/>
      <c r="O919" s="2"/>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row>
    <row r="920" ht="204.75" customHeight="1">
      <c r="A920" s="1">
        <v>3058.0</v>
      </c>
      <c r="B920" s="2" t="s">
        <v>2944</v>
      </c>
      <c r="C920" s="2">
        <f>IFERROR(__xludf.DUMMYFUNCTION("split(B920,""_"")"),1310.0)</f>
        <v>1310</v>
      </c>
      <c r="D920" s="2" t="str">
        <f>IFERROR(__xludf.DUMMYFUNCTION("""COMPUTED_VALUE"""),"CX")</f>
        <v>CX</v>
      </c>
      <c r="E920" s="2" t="str">
        <f>IFERROR(__xludf.DUMMYFUNCTION("""COMPUTED_VALUE"""),"火22")</f>
        <v>火22</v>
      </c>
      <c r="F920" s="2" t="s">
        <v>2945</v>
      </c>
      <c r="G920" s="2" t="s">
        <v>2958</v>
      </c>
      <c r="H920" s="1">
        <v>5.0</v>
      </c>
      <c r="I920" s="1" t="s">
        <v>17</v>
      </c>
      <c r="J920" s="1" t="s">
        <v>86</v>
      </c>
      <c r="K920" s="2" t="s">
        <v>2959</v>
      </c>
      <c r="L920" s="2" t="s">
        <v>2960</v>
      </c>
      <c r="M920" s="2" t="str">
        <f>IFERROR(__xludf.DUMMYFUNCTION("split(split(K920,""錦戸亮(関ジャニ∞)"",false),""公式LINE"",false)"),"みどり(南野陽子)が勤める病院で「幽霊を見た」と看護師たちの間で騒ぎが持ち上がり、病院事務長から相談を受けた祥明(錦戸亮)は、おはらいをして幽霊騒動を収めることを請け負う。瞬太(知念侑李)とともに、子どもたちと遊ぶボランティアメンバーのふりをして病院に現れる祥明。  しかし、問題の病室で祥明が儀式の準備をしていると、入院患者の少女・真央(久家心)が「エミ姉ちゃんの幽霊に会わせてください」とやって来る。真央いわく、その病室で亡くなった江見(吉倉あおい)が、一緒に入院していた青年・祐輔(落合モトキ)を恨んで幽"&amp;"霊となって出てきたのだという。  さらに、『狐火』で幽霊騒動の話を聞いた路子(倉科カナ)が、「幽霊なんて非科学的なもの、この世に存在するはずがない」とバカにした直後、何かを見て階段から足を踏み外してしまい、問題の病院に運ばれてしまう。まさか、これも幽霊のしわざ…!?  その夜、源次郎(杉良太郎)と二人きりになった祥明は、源次郎に瞬太の生みの親について探りをいれる。しかし源次郎もまた、祥明の過去を聞きだそうとして…。  一方、同じ頃、路子もついに、問題の病室で幽霊らしきものを目撃!そこには真央の姿も。興奮状"&amp;"態で「今すぐ来てください!」と祥明を呼び出す路子。しかし、祥明は「面倒くさいから明日行く」と電話を切ってしまう。はたして祥明は幽霊騒動をどう解き明かすのか?意外な事件の真相とは…?")</f>
        <v>みどり(南野陽子)が勤める病院で「幽霊を見た」と看護師たちの間で騒ぎが持ち上がり、病院事務長から相談を受けた祥明(錦戸亮)は、おはらいをして幽霊騒動を収めることを請け負う。瞬太(知念侑李)とともに、子どもたちと遊ぶボランティアメンバーのふりをして病院に現れる祥明。  しかし、問題の病室で祥明が儀式の準備をしていると、入院患者の少女・真央(久家心)が「エミ姉ちゃんの幽霊に会わせてください」とやって来る。真央いわく、その病室で亡くなった江見(吉倉あおい)が、一緒に入院していた青年・祐輔(落合モトキ)を恨んで幽霊となって出てきたのだという。  さらに、『狐火』で幽霊騒動の話を聞いた路子(倉科カナ)が、「幽霊なんて非科学的なもの、この世に存在するはずがない」とバカにした直後、何かを見て階段から足を踏み外してしまい、問題の病院に運ばれてしまう。まさか、これも幽霊のしわざ…!?  その夜、源次郎(杉良太郎)と二人きりになった祥明は、源次郎に瞬太の生みの親について探りをいれる。しかし源次郎もまた、祥明の過去を聞きだそうとして…。  一方、同じ頃、路子もついに、問題の病室で幽霊らしきものを目撃!そこには真央の姿も。興奮状態で「今すぐ来てください!」と祥明を呼び出す路子。しかし、祥明は「面倒くさいから明日行く」と電話を切ってしまう。はたして祥明は幽霊騒動をどう解き明かすのか?意外な事件の真相とは…?</v>
      </c>
      <c r="N920" s="2"/>
      <c r="O920" s="2"/>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row>
    <row r="921" ht="204.75" customHeight="1">
      <c r="A921" s="1">
        <v>3059.0</v>
      </c>
      <c r="B921" s="2" t="s">
        <v>2944</v>
      </c>
      <c r="C921" s="2">
        <f>IFERROR(__xludf.DUMMYFUNCTION("split(B921,""_"")"),1310.0)</f>
        <v>1310</v>
      </c>
      <c r="D921" s="2" t="str">
        <f>IFERROR(__xludf.DUMMYFUNCTION("""COMPUTED_VALUE"""),"CX")</f>
        <v>CX</v>
      </c>
      <c r="E921" s="2" t="str">
        <f>IFERROR(__xludf.DUMMYFUNCTION("""COMPUTED_VALUE"""),"火22")</f>
        <v>火22</v>
      </c>
      <c r="F921" s="2" t="s">
        <v>2945</v>
      </c>
      <c r="G921" s="2" t="s">
        <v>2961</v>
      </c>
      <c r="H921" s="1">
        <v>6.0</v>
      </c>
      <c r="I921" s="1" t="s">
        <v>21</v>
      </c>
      <c r="J921" s="1" t="s">
        <v>82</v>
      </c>
      <c r="K921" s="2" t="s">
        <v>2962</v>
      </c>
      <c r="L921" s="2" t="s">
        <v>2963</v>
      </c>
      <c r="M921" s="2" t="str">
        <f>IFERROR(__xludf.DUMMYFUNCTION("split(split(K921,""錦戸亮(関ジャニ∞)"",false),""公式LINE"",false)"),"ある日、祥明(錦戸亮)のもとに、「うちの家に呪いをかけてほしい」と門倉百合江(島かおり)がやって来る。百合江によると、自宅の古民家が“猫カフェプランナー""の神林(ミスターちん)に狙われているという。呪われた家なら神林も諦めるはずというのだ。しかも百合江の息子と娘は家を売ることに賛成しているらしい。  　瞬太(知念侑李)と路子(倉科カナ)が百合江の家を訪ねると、息子たちは百合江を気遣う気立ての良い人たち。そこへ、隣家の矢下純子(赤座美代子)が大音量でカラオケを始める。毎日の騒音に困惑しながらも、頑なに立ち"&amp;"退きたくないと言う百合江。  　百合江が家を離れたくないのは、何か深い理由があるはずだという源次郎(杉良太郎)の言葉を受け、瞬太は神林を追っ払うため、商店街のメンバーたちと百合江の家が呪われているという大芝居をうつことに。祥明も巻き込まれるかたちで、陰陽師役として参加。　しかし、翌日、百合江の家が落書きや生ごみで汚されており、事態はいよいよ立ち退くのが良いのでは、という方向に。すると、祥明は突然、「あなた、化け猫に祟られてます」と、ある人物に向かって言い始める。一体、誰が?そして、百合江が家を立ち退きたく"&amp;"ないと言い張る、本当の理由とはー?  　一方、祥明を実家に連れ戻したい槙原(駿河太郎)は、祥明が王子に来た理由を探ろうと、珠希(柏木由紀)とともに、祥明が働いていたホストクラブへ行き…。")</f>
        <v>ある日、祥明(錦戸亮)のもとに、「うちの家に呪いをかけてほしい」と門倉百合江(島かおり)がやって来る。百合江によると、自宅の古民家が“猫カフェプランナー"の神林(ミスターちん)に狙われているという。呪われた家なら神林も諦めるはずというのだ。しかも百合江の息子と娘は家を売ることに賛成しているらしい。  　瞬太(知念侑李)と路子(倉科カナ)が百合江の家を訪ねると、息子たちは百合江を気遣う気立ての良い人たち。そこへ、隣家の矢下純子(赤座美代子)が大音量でカラオケを始める。毎日の騒音に困惑しながらも、頑なに立ち退きたくないと言う百合江。  　百合江が家を離れたくないのは、何か深い理由があるはずだという源次郎(杉良太郎)の言葉を受け、瞬太は神林を追っ払うため、商店街のメンバーたちと百合江の家が呪われているという大芝居をうつことに。祥明も巻き込まれるかたちで、陰陽師役として参加。　しかし、翌日、百合江の家が落書きや生ごみで汚されており、事態はいよいよ立ち退くのが良いのでは、という方向に。すると、祥明は突然、「あなた、化け猫に祟られてます」と、ある人物に向かって言い始める。一体、誰が?そして、百合江が家を立ち退きたくないと言い張る、本当の理由とはー?  　一方、祥明を実家に連れ戻したい槙原(駿河太郎)は、祥明が王子に来た理由を探ろうと、珠希(柏木由紀)とともに、祥明が働いていたホストクラブへ行き…。</v>
      </c>
      <c r="N921" s="2"/>
      <c r="O921" s="2"/>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row>
    <row r="922" ht="204.75" customHeight="1">
      <c r="A922" s="1">
        <v>3060.0</v>
      </c>
      <c r="B922" s="2" t="s">
        <v>2944</v>
      </c>
      <c r="C922" s="2">
        <f>IFERROR(__xludf.DUMMYFUNCTION("split(B922,""_"")"),1310.0)</f>
        <v>1310</v>
      </c>
      <c r="D922" s="2" t="str">
        <f>IFERROR(__xludf.DUMMYFUNCTION("""COMPUTED_VALUE"""),"CX")</f>
        <v>CX</v>
      </c>
      <c r="E922" s="2" t="str">
        <f>IFERROR(__xludf.DUMMYFUNCTION("""COMPUTED_VALUE"""),"火22")</f>
        <v>火22</v>
      </c>
      <c r="F922" s="2" t="s">
        <v>2945</v>
      </c>
      <c r="G922" s="2" t="s">
        <v>2964</v>
      </c>
      <c r="H922" s="1">
        <v>7.0</v>
      </c>
      <c r="I922" s="1" t="s">
        <v>25</v>
      </c>
      <c r="J922" s="1" t="s">
        <v>86</v>
      </c>
      <c r="K922" s="2" t="s">
        <v>2965</v>
      </c>
      <c r="L922" s="2" t="s">
        <v>2966</v>
      </c>
      <c r="M922" s="2" t="str">
        <f>IFERROR(__xludf.DUMMYFUNCTION("split(split(K922,""錦戸亮(関ジャニ∞)"",false),""公式LINE"",false)"),"陰陽屋に「今夜だけ店を貸してほしい」という一人の男が現れる。男は、以前この場所でイタリア料理の店を経営していた山田清志(永井大)で、瞬太(知念侑李)と源次郎(杉良太郎)は久しぶりの再会を喜ぶ。借金を返し終わったので、3年前に離婚した妻や別れた娘と、やり直したいという清志。しかし、店が潰れたことを娘には言えずにいるため、今夜一晩だけここでレストランを復活したいというのだ。ウソの芝居につきあうのを反対するかと思いきや、意外なことに、祥明(錦戸亮)は承諾。旧知の仲だった商店街のメンバーも「家族とヨリを戻したいな"&amp;"ら」と協力を申し出る。    　路子(倉科カナ)らが着々とレストランの準備を進めていると、祥明のホスト時代の仲間らがやってきて、陰陽屋は大騒ぎに。失踪した六本木のカリスマホスト・雅人の行方を探してほしいと言われ、気乗りしないものの筮竹(ぜいちく)を使って方位を占ってやる祥明。早速、祥明の占いをもとに雅人を探し始めたホストたちは、雅人が意外な場所に通っていたことを知り…。    　夜、ついに清志の別れた妻と娘がレストランにやってくる。二人のために作った煮込みハンバーグをテーブルに運ぶ清志。その時、厨房(ちゅ"&amp;"うぼう)で、たまたまソースを味見した瞬太たちは、ソースが驚くほどマズいことに気づき…!?")</f>
        <v>陰陽屋に「今夜だけ店を貸してほしい」という一人の男が現れる。男は、以前この場所でイタリア料理の店を経営していた山田清志(永井大)で、瞬太(知念侑李)と源次郎(杉良太郎)は久しぶりの再会を喜ぶ。借金を返し終わったので、3年前に離婚した妻や別れた娘と、やり直したいという清志。しかし、店が潰れたことを娘には言えずにいるため、今夜一晩だけここでレストランを復活したいというのだ。ウソの芝居につきあうのを反対するかと思いきや、意外なことに、祥明(錦戸亮)は承諾。旧知の仲だった商店街のメンバーも「家族とヨリを戻したいなら」と協力を申し出る。    　路子(倉科カナ)らが着々とレストランの準備を進めていると、祥明のホスト時代の仲間らがやってきて、陰陽屋は大騒ぎに。失踪した六本木のカリスマホスト・雅人の行方を探してほしいと言われ、気乗りしないものの筮竹(ぜいちく)を使って方位を占ってやる祥明。早速、祥明の占いをもとに雅人を探し始めたホストたちは、雅人が意外な場所に通っていたことを知り…。    　夜、ついに清志の別れた妻と娘がレストランにやってくる。二人のために作った煮込みハンバーグをテーブルに運ぶ清志。その時、厨房(ちゅうぼう)で、たまたまソースを味見した瞬太たちは、ソースが驚くほどマズいことに気づき…!?</v>
      </c>
      <c r="N922" s="2"/>
      <c r="O922" s="2"/>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row>
    <row r="923" ht="204.75" customHeight="1">
      <c r="A923" s="1">
        <v>3061.0</v>
      </c>
      <c r="B923" s="2" t="s">
        <v>2944</v>
      </c>
      <c r="C923" s="2">
        <f>IFERROR(__xludf.DUMMYFUNCTION("split(B923,""_"")"),1310.0)</f>
        <v>1310</v>
      </c>
      <c r="D923" s="2" t="str">
        <f>IFERROR(__xludf.DUMMYFUNCTION("""COMPUTED_VALUE"""),"CX")</f>
        <v>CX</v>
      </c>
      <c r="E923" s="2" t="str">
        <f>IFERROR(__xludf.DUMMYFUNCTION("""COMPUTED_VALUE"""),"火22")</f>
        <v>火22</v>
      </c>
      <c r="F923" s="2" t="s">
        <v>2945</v>
      </c>
      <c r="G923" s="2" t="s">
        <v>2967</v>
      </c>
      <c r="H923" s="1">
        <v>8.0</v>
      </c>
      <c r="I923" s="1" t="s">
        <v>29</v>
      </c>
      <c r="J923" s="1" t="s">
        <v>86</v>
      </c>
      <c r="K923" s="2" t="s">
        <v>2968</v>
      </c>
      <c r="L923" s="2" t="s">
        <v>2969</v>
      </c>
      <c r="M923" s="2" t="str">
        <f>IFERROR(__xludf.DUMMYFUNCTION("split(split(K923,""錦戸亮(関ジャニ∞)"",false),""公式LINE"",false)"),"王子稲荷商店街で恒例の『ミス女狐総選挙』が行われることになり、祥明(錦戸亮)のもとへ、自称アイドルの織田友紀奈(岡本玲)が「あたしを1位にして」とやって来る。するとそこへ、珠希(柏木由紀)が現れる。二人は昔から何かにつけ争ってきた、言わば生涯のライバルで、去年の総選挙でも1位を争った仲らしい。友紀奈から「珠希に草履を隠されて負けた」と言われた珠希は、今回の総選挙に人生をかけると宣言し、「私が優勝したら付き合って」と強引に祥明を巻き込む。    　二人が商店街の人々に派手な選挙運動を繰り広げる中、ある日、呪"&amp;"いのわら人形が発見され、中には友紀奈の名前が。一方、珠希も、自転車に呪いの札が貼られ転倒するという事件が起き、事態は二人の呪い合戦の様相を帯びてくる。    　二人から「相手を蹴落とす強力な呪いを教えて」と詰め寄られた祥明は、「人を呪うなら死をも辞さない覚悟が必要だ」と脅す。そして、その覚悟が本当にあるならば、と前置きしたうえで、相手を呪い殺すことができるという“キツネの呪い歌""を伝授。「ただし、一度歌ったら最後、歌うのをやめたら呪いが返ってくる」とくぎをさす。    “キツネの呪い歌""を必死で練習す"&amp;"る友紀奈と珠希。  ついに迎えた総選挙当日。水着審査の時に、祥明が突然、驚きの発言をして…?珠希と友紀奈に一体何が起きるのか。祥明の狙いとは?")</f>
        <v>王子稲荷商店街で恒例の『ミス女狐総選挙』が行われることになり、祥明(錦戸亮)のもとへ、自称アイドルの織田友紀奈(岡本玲)が「あたしを1位にして」とやって来る。するとそこへ、珠希(柏木由紀)が現れる。二人は昔から何かにつけ争ってきた、言わば生涯のライバルで、去年の総選挙でも1位を争った仲らしい。友紀奈から「珠希に草履を隠されて負けた」と言われた珠希は、今回の総選挙に人生をかけると宣言し、「私が優勝したら付き合って」と強引に祥明を巻き込む。    　二人が商店街の人々に派手な選挙運動を繰り広げる中、ある日、呪いのわら人形が発見され、中には友紀奈の名前が。一方、珠希も、自転車に呪いの札が貼られ転倒するという事件が起き、事態は二人の呪い合戦の様相を帯びてくる。    　二人から「相手を蹴落とす強力な呪いを教えて」と詰め寄られた祥明は、「人を呪うなら死をも辞さない覚悟が必要だ」と脅す。そして、その覚悟が本当にあるならば、と前置きしたうえで、相手を呪い殺すことができるという“キツネの呪い歌"を伝授。「ただし、一度歌ったら最後、歌うのをやめたら呪いが返ってくる」とくぎをさす。    “キツネの呪い歌"を必死で練習する友紀奈と珠希。  ついに迎えた総選挙当日。水着審査の時に、祥明が突然、驚きの発言をして…?珠希と友紀奈に一体何が起きるのか。祥明の狙いとは?</v>
      </c>
      <c r="N923" s="2"/>
      <c r="O923" s="2"/>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row>
    <row r="924" ht="204.75" customHeight="1">
      <c r="A924" s="1">
        <v>3062.0</v>
      </c>
      <c r="B924" s="2" t="s">
        <v>2944</v>
      </c>
      <c r="C924" s="2">
        <f>IFERROR(__xludf.DUMMYFUNCTION("split(B924,""_"")"),1310.0)</f>
        <v>1310</v>
      </c>
      <c r="D924" s="2" t="str">
        <f>IFERROR(__xludf.DUMMYFUNCTION("""COMPUTED_VALUE"""),"CX")</f>
        <v>CX</v>
      </c>
      <c r="E924" s="2" t="str">
        <f>IFERROR(__xludf.DUMMYFUNCTION("""COMPUTED_VALUE"""),"火22")</f>
        <v>火22</v>
      </c>
      <c r="F924" s="2" t="s">
        <v>2945</v>
      </c>
      <c r="G924" s="2" t="s">
        <v>2970</v>
      </c>
      <c r="H924" s="1">
        <v>9.0</v>
      </c>
      <c r="I924" s="1" t="s">
        <v>33</v>
      </c>
      <c r="J924" s="1" t="s">
        <v>86</v>
      </c>
      <c r="K924" s="2" t="s">
        <v>2971</v>
      </c>
      <c r="L924" s="2" t="s">
        <v>2972</v>
      </c>
      <c r="M924" s="2" t="str">
        <f>IFERROR(__xludf.DUMMYFUNCTION("split(split(K924,""錦戸亮(関ジャニ∞)"",false),""公式LINE"",false)"),"祥明(錦戸亮)のもとに、路子(倉科カナ)の憧れの先輩で大学准教授の唐沢数彦(田中幸太朗)がやって来る。路子を自分の研究室に来ないかと誘った唐沢は、研究職に未練があるはずの路子が返事を迷っているため、路子の心の謎を解いてほしいと祥明に依頼する。    　ところが、学校へ向かった祥明は、教頭たちへのあいさつも早々に、路子のクラスのホームルームに乱入。「路子先生の心の謎が解けた」と告げ、「このクラスは盛大に祟られている」と言い出す。路子が転職を決断できないのは、今のクラスが落ちこぼれで、何をやってもビリだからだ"&amp;"とたきつけられた瞬太(知念侑李)たちは、クラス対抗駅伝で一位をとり、路子を気持ちよく送り出そうと一致団結する。    　一方その頃、祥明が王子にやってきたのは目が光る化け物を探すためだと聞いていた槙原(駿河太郎)は、瞬太にキツネの耳が生えているところを目撃し、祥明が瞬太の命を狙っているのではと、二人の動向をいよいよ注意深く観察していた。    　ついに駅伝がスタートする。みどり(南野陽子)や吾郎(見栄晴)が見守る中、アンカーの瞬太はトップを快走。そこへ瞬太の身を案じて駆け付けた槙原は、瞬太の背中に怪しいお"&amp;"札が張ってあるのを目撃する!そしてゴール直前、誰も予想できなかった事件が起きてしまう…。果たして、瞬太らは路子に花道を用意することができるのか?祥明の不可解な行動の目的とは…?")</f>
        <v>祥明(錦戸亮)のもとに、路子(倉科カナ)の憧れの先輩で大学准教授の唐沢数彦(田中幸太朗)がやって来る。路子を自分の研究室に来ないかと誘った唐沢は、研究職に未練があるはずの路子が返事を迷っているため、路子の心の謎を解いてほしいと祥明に依頼する。    　ところが、学校へ向かった祥明は、教頭たちへのあいさつも早々に、路子のクラスのホームルームに乱入。「路子先生の心の謎が解けた」と告げ、「このクラスは盛大に祟られている」と言い出す。路子が転職を決断できないのは、今のクラスが落ちこぼれで、何をやってもビリだからだとたきつけられた瞬太(知念侑李)たちは、クラス対抗駅伝で一位をとり、路子を気持ちよく送り出そうと一致団結する。    　一方その頃、祥明が王子にやってきたのは目が光る化け物を探すためだと聞いていた槙原(駿河太郎)は、瞬太にキツネの耳が生えているところを目撃し、祥明が瞬太の命を狙っているのではと、二人の動向をいよいよ注意深く観察していた。    　ついに駅伝がスタートする。みどり(南野陽子)や吾郎(見栄晴)が見守る中、アンカーの瞬太はトップを快走。そこへ瞬太の身を案じて駆け付けた槙原は、瞬太の背中に怪しいお札が張ってあるのを目撃する!そしてゴール直前、誰も予想できなかった事件が起きてしまう…。果たして、瞬太らは路子に花道を用意することができるのか?祥明の不可解な行動の目的とは…?</v>
      </c>
      <c r="N924" s="2"/>
      <c r="O924" s="2"/>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row>
    <row r="925" ht="204.75" customHeight="1">
      <c r="A925" s="1">
        <v>3063.0</v>
      </c>
      <c r="B925" s="2" t="s">
        <v>2944</v>
      </c>
      <c r="C925" s="2">
        <f>IFERROR(__xludf.DUMMYFUNCTION("split(B925,""_"")"),1310.0)</f>
        <v>1310</v>
      </c>
      <c r="D925" s="2" t="str">
        <f>IFERROR(__xludf.DUMMYFUNCTION("""COMPUTED_VALUE"""),"CX")</f>
        <v>CX</v>
      </c>
      <c r="E925" s="2" t="str">
        <f>IFERROR(__xludf.DUMMYFUNCTION("""COMPUTED_VALUE"""),"火22")</f>
        <v>火22</v>
      </c>
      <c r="F925" s="2" t="s">
        <v>2945</v>
      </c>
      <c r="G925" s="2" t="s">
        <v>2973</v>
      </c>
      <c r="H925" s="1">
        <v>10.0</v>
      </c>
      <c r="I925" s="1" t="s">
        <v>37</v>
      </c>
      <c r="J925" s="1" t="s">
        <v>86</v>
      </c>
      <c r="K925" s="2" t="s">
        <v>2974</v>
      </c>
      <c r="L925" s="2" t="s">
        <v>2975</v>
      </c>
      <c r="M925" s="2" t="str">
        <f>IFERROR(__xludf.DUMMYFUNCTION("split(split(K925,""錦戸亮(関ジャニ∞)"",false),""公式LINE"",false)"),"祥明(錦戸亮)のもとに路子(倉科カナ)の父・寛和(中村まこと)がやって来る。25年前、「一流の小説家になる!」と大口をたたき、源次郎(杉良太郎)の反対を押し切って、路子を身ごもった照子(横山めぐみ)と結婚したが、全く芽が出ず、以来、夫婦そろって源次郎とは絶縁状態。ところが最近、照子が源次郎のことをいまだに気にしていることを知り、源次郎に結婚を認めてもらえれば親子関係が修復できると祥明に相談に来たのだった。照子が大事に取っていた、16年前に届いた「ゲンジロウ・キトク」と書かれた謎の手紙から「パンジーの匂いが"&amp;"する」という瞬太(知念侑李)の言葉を聞いた祥明は、なぜか源次郎と照子の親子関係修復に全力を尽くすことに。  一方、街にはジャーナリストの乗鞍(テイ龍進)がやって来て、「王子に化け狐の子供がいるとネットで話題になっている」と、瞬太の周りをかぎまわっていた。ついに、瞬太の妖狐姿がスクープされてしまうのか!?源次郎と娘夫婦とのわだかまりは?そして16年前の手紙の差出人はいったい誰…?")</f>
        <v>祥明(錦戸亮)のもとに路子(倉科カナ)の父・寛和(中村まこと)がやって来る。25年前、「一流の小説家になる!」と大口をたたき、源次郎(杉良太郎)の反対を押し切って、路子を身ごもった照子(横山めぐみ)と結婚したが、全く芽が出ず、以来、夫婦そろって源次郎とは絶縁状態。ところが最近、照子が源次郎のことをいまだに気にしていることを知り、源次郎に結婚を認めてもらえれば親子関係が修復できると祥明に相談に来たのだった。照子が大事に取っていた、16年前に届いた「ゲンジロウ・キトク」と書かれた謎の手紙から「パンジーの匂いがする」という瞬太(知念侑李)の言葉を聞いた祥明は、なぜか源次郎と照子の親子関係修復に全力を尽くすことに。  一方、街にはジャーナリストの乗鞍(テイ龍進)がやって来て、「王子に化け狐の子供がいるとネットで話題になっている」と、瞬太の周りをかぎまわっていた。ついに、瞬太の妖狐姿がスクープされてしまうのか!?源次郎と娘夫婦とのわだかまりは?そして16年前の手紙の差出人はいったい誰…?</v>
      </c>
      <c r="N925" s="2"/>
      <c r="O925" s="2"/>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row>
    <row r="926" ht="204.75" customHeight="1">
      <c r="A926" s="1">
        <v>3064.0</v>
      </c>
      <c r="B926" s="2" t="s">
        <v>2944</v>
      </c>
      <c r="C926" s="2">
        <f>IFERROR(__xludf.DUMMYFUNCTION("split(B926,""_"")"),1310.0)</f>
        <v>1310</v>
      </c>
      <c r="D926" s="2" t="str">
        <f>IFERROR(__xludf.DUMMYFUNCTION("""COMPUTED_VALUE"""),"CX")</f>
        <v>CX</v>
      </c>
      <c r="E926" s="2" t="str">
        <f>IFERROR(__xludf.DUMMYFUNCTION("""COMPUTED_VALUE"""),"火22")</f>
        <v>火22</v>
      </c>
      <c r="F926" s="2" t="s">
        <v>2945</v>
      </c>
      <c r="G926" s="2" t="s">
        <v>2976</v>
      </c>
      <c r="H926" s="1">
        <v>11.0</v>
      </c>
      <c r="I926" s="1" t="s">
        <v>41</v>
      </c>
      <c r="J926" s="1" t="s">
        <v>86</v>
      </c>
      <c r="K926" s="2" t="s">
        <v>2977</v>
      </c>
      <c r="L926" s="2" t="s">
        <v>2978</v>
      </c>
      <c r="M926" s="2" t="str">
        <f>IFERROR(__xludf.DUMMYFUNCTION("split(split(K926,""錦戸亮(関ジャニ∞)"",false),""公式LINE"",false)"),"瞬太(知念侑李)は祥明(錦戸亮)の叔母・咲月(山田麻衣子)の息子であることが判明。覚悟を決めた源次郎(杉良太郎)は、瞬太出生の秘密を祥明に語り始める。    　翌日、槙原(駿河太郎)が、祥明の祖母・春代(香山美子)を連れて陰陽屋へやって来る。安倍家の跡継ぎは見つかったのかと催促する春代に、「まだだ」と答える祥明。しかし、そこに現れた瞬太を見て何かを察した春代は、「書庫の片付けのバイトに」と瞬太を安倍家へ呼び出す。祥明は瞬太が妖狐だとばれないよう、路子(倉科カナ)に同行を依頼する。    　その頃、瞬太の家"&amp;"に“王子に化け狐の少年が棲む""という記事を書いた雑誌記者が、押しかけてくる。事態を聞いた珠希(柏木由紀)が祥明を連れて行くが、あろうことか祥明は「化け狐を退治する儀式を独占取材させてやる」と、記者に対して提案。商店街のメンバーたちは色めくが、実は瞬太を守るための罠だと聞き、皆で協力してウソの儀式を執り行うことに。    　しかし、儀式の直前、槙原が「祥明が裏切ろうとしている!」と血相を変えて商店街のメンバーのもとに駆け込んできた。祥明は、本当は瞬太が化け狐だとバラすつもりだというのだ。いざ儀式が始まると"&amp;"、祥明の唱える呪文が練習と違うことに気付き、一同は騒然!    　祥明の狙いはいったい何なのか?そして、祥明が最後に下した決断とは…?")</f>
        <v>瞬太(知念侑李)は祥明(錦戸亮)の叔母・咲月(山田麻衣子)の息子であることが判明。覚悟を決めた源次郎(杉良太郎)は、瞬太出生の秘密を祥明に語り始める。    　翌日、槙原(駿河太郎)が、祥明の祖母・春代(香山美子)を連れて陰陽屋へやって来る。安倍家の跡継ぎは見つかったのかと催促する春代に、「まだだ」と答える祥明。しかし、そこに現れた瞬太を見て何かを察した春代は、「書庫の片付けのバイトに」と瞬太を安倍家へ呼び出す。祥明は瞬太が妖狐だとばれないよう、路子(倉科カナ)に同行を依頼する。    　その頃、瞬太の家に“王子に化け狐の少年が棲む"という記事を書いた雑誌記者が、押しかけてくる。事態を聞いた珠希(柏木由紀)が祥明を連れて行くが、あろうことか祥明は「化け狐を退治する儀式を独占取材させてやる」と、記者に対して提案。商店街のメンバーたちは色めくが、実は瞬太を守るための罠だと聞き、皆で協力してウソの儀式を執り行うことに。    　しかし、儀式の直前、槙原が「祥明が裏切ろうとしている!」と血相を変えて商店街のメンバーのもとに駆け込んできた。祥明は、本当は瞬太が化け狐だとバラすつもりだというのだ。いざ儀式が始まると、祥明の唱える呪文が練習と違うことに気付き、一同は騒然!    　祥明の狙いはいったい何なのか?そして、祥明が最後に下した決断とは…?</v>
      </c>
      <c r="N926" s="2"/>
      <c r="O926" s="2"/>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row>
    <row r="927" ht="204.75" customHeight="1">
      <c r="A927" s="1">
        <v>3076.0</v>
      </c>
      <c r="B927" s="2" t="s">
        <v>2979</v>
      </c>
      <c r="C927" s="2">
        <f>IFERROR(__xludf.DUMMYFUNCTION("split(B927,""_"")"),1310.0)</f>
        <v>1310</v>
      </c>
      <c r="D927" s="2" t="str">
        <f>IFERROR(__xludf.DUMMYFUNCTION("""COMPUTED_VALUE"""),"CX")</f>
        <v>CX</v>
      </c>
      <c r="E927" s="2" t="str">
        <f>IFERROR(__xludf.DUMMYFUNCTION("""COMPUTED_VALUE"""),"水22")</f>
        <v>水22</v>
      </c>
      <c r="F927" s="2" t="s">
        <v>2980</v>
      </c>
      <c r="G927" s="2" t="s">
        <v>2981</v>
      </c>
      <c r="H927" s="1">
        <v>1.0</v>
      </c>
      <c r="I927" s="1" t="s">
        <v>3</v>
      </c>
      <c r="J927" s="1" t="s">
        <v>82</v>
      </c>
      <c r="K927" s="4" t="s">
        <v>2982</v>
      </c>
      <c r="L927" s="2" t="s">
        <v>2983</v>
      </c>
      <c r="M927" s="2" t="str">
        <f>IFERROR(__xludf.DUMMYFUNCTION("split(split(K927,""古美門研介:　"",false),""公式LINE"",false)"),"古美門研介(堺雅人)と黛真知子(新垣結衣)は、恋愛問題が発覚したアイドル相手に騙されたと訴えるファンたちを弁護。ハチャメチャな論理で被告を追い詰める古美門は、黛ではなく羽生晴樹(岡田将生)を指名して交代。羽生は人情に訴えて、アイドルに罪を認めさせた。  　その夜、古美門法律事務所で祝勝会。検察官の羽生は、弁護士職務経験として古美門法律事務所にいたのだが、この日で終了。古美門は、羽生にほれ込んでいた様子で検察官を辞めて自分の事務所に入るよう誘う。しかし、羽生は自分の道を模索すると古美門に別れを告げた。  　"&amp;"その頃、古美門のライバル三木長一郎(生瀬勝久)は、事務所のベテラン弁護士、磯貝邦光(古舘寛治)から担当案件から降りたいと頼まれていた。三木は許さないが、そのクライアントの無実を勝ち取るのは不可能と考えていた。  　黛が古美門に骨のある案件が来たと報告。実は磯貝が放り投げた案件で、そのクライアントとは運輸会社社長の殺害と、その娘の殺害未遂容疑で死刑を宣告された安藤貴和(小雪)だった。2審が進行中の貴和には2度の離婚歴があり、元夫たちの不審死から保険金目当ての疑惑も持たれている。黛と拘置所を訪ねた古美門は、や"&amp;"る気は無かったものの貴和のある提案で引き受けることに。  　さらに2人は、羽生の計らいで裁判の担当検事に会うことに。羽生が紹介したのは醍醐実(松平健)という一風変わった主任検事だった。")</f>
        <v>古美門研介(堺雅人)と黛真知子(新垣結衣)は、恋愛問題が発覚したアイドル相手に騙されたと訴えるファンたちを弁護。ハチャメチャな論理で被告を追い詰める古美門は、黛ではなく羽生晴樹(岡田将生)を指名して交代。羽生は人情に訴えて、アイドルに罪を認めさせた。  　その夜、古美門法律事務所で祝勝会。検察官の羽生は、弁護士職務経験として古美門法律事務所にいたのだが、この日で終了。古美門は、羽生にほれ込んでいた様子で検察官を辞めて自分の事務所に入るよう誘う。しかし、羽生は自分の道を模索すると古美門に別れを告げた。  　その頃、古美門のライバル三木長一郎(生瀬勝久)は、事務所のベテラン弁護士、磯貝邦光(古舘寛治)から担当案件から降りたいと頼まれていた。三木は許さないが、そのクライアントの無実を勝ち取るのは不可能と考えていた。  　黛が古美門に骨のある案件が来たと報告。実は磯貝が放り投げた案件で、そのクライアントとは運輸会社社長の殺害と、その娘の殺害未遂容疑で死刑を宣告された安藤貴和(小雪)だった。2審が進行中の貴和には2度の離婚歴があり、元夫たちの不審死から保険金目当ての疑惑も持たれている。黛と拘置所を訪ねた古美門は、やる気は無かったものの貴和のある提案で引き受けることに。  　さらに2人は、羽生の計らいで裁判の担当検事に会うことに。羽生が紹介したのは醍醐実(松平健)という一風変わった主任検事だった。</v>
      </c>
      <c r="N927" s="2"/>
      <c r="O927" s="2"/>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row>
    <row r="928" ht="204.75" customHeight="1">
      <c r="A928" s="1">
        <v>3077.0</v>
      </c>
      <c r="B928" s="2" t="s">
        <v>2979</v>
      </c>
      <c r="C928" s="2">
        <f>IFERROR(__xludf.DUMMYFUNCTION("split(B928,""_"")"),1310.0)</f>
        <v>1310</v>
      </c>
      <c r="D928" s="2" t="str">
        <f>IFERROR(__xludf.DUMMYFUNCTION("""COMPUTED_VALUE"""),"CX")</f>
        <v>CX</v>
      </c>
      <c r="E928" s="2" t="str">
        <f>IFERROR(__xludf.DUMMYFUNCTION("""COMPUTED_VALUE"""),"水22")</f>
        <v>水22</v>
      </c>
      <c r="F928" s="2" t="s">
        <v>2980</v>
      </c>
      <c r="G928" s="2" t="s">
        <v>2984</v>
      </c>
      <c r="H928" s="1">
        <v>2.0</v>
      </c>
      <c r="I928" s="1" t="s">
        <v>7</v>
      </c>
      <c r="J928" s="1" t="s">
        <v>86</v>
      </c>
      <c r="K928" s="2" t="s">
        <v>2985</v>
      </c>
      <c r="L928" s="2" t="s">
        <v>2986</v>
      </c>
      <c r="M928" s="2" t="str">
        <f>IFERROR(__xludf.DUMMYFUNCTION("split(split(K928,""古美門研介:　"",false),""公式LINE"",false)"),"古美門研介(堺雅人)は黛真知子(新垣結衣)とともに安藤貴和(小雪)を訪ねる。黛は被告人尋問の前に拘置所に来た吉永慶子なる人物に何かを言われたのではないかと聞くが、貴和は判決の承諾は自分の意思だと言う。それでも古美門は執拗に上告を迫るが、はぐらかされてしまった。  　事務所に戻った古美門と黛は服部(里見浩太朗)に動画サイトを見せられる。それは、若くして会社を創設、一流会社を次々と買収し“時代が生んだ天才""とうたわれた鮎川光(佐藤隆太)のインタビュー番組。インサイダー取引などの容疑で実刑判決を受け出所したば"&amp;"かりの鮎川は、自分を誹謗中傷したマスコミらを訴えると息巻く。服部は、鮎川が起こす訴訟に絡んで法律事務所に依頼が飛び交っていると古美門たちに教えた。  　早速、古美門と黛は鮎川の下に行き、訴訟代理人の売り込み。得意の冗舌で鮎川を持ち上げ、仕事を獲ろうとする古美門だが、あっさり断られる。鮎川は自分自身で全ての訴訟を闘うと宣言し、法廷で闘いたいと古美門を挑発した。  　挑発に乗ることを促すかのように古美門法律事務所に、鮎川に訴えられたブロガーが弁護依頼に来た。しかし、古美門は黛に任せてしまう。そこに、『NEXU"&amp;"S』の羽生晴樹(岡田将生)と本田ジェーン(黒木華)が現れた。鮎川に訴えられた漫画家の玉川たま(谷村美月)の代理人となった羽生たちは、共同弁護を頼みに来たのだ。断ろうとする古美門だが…。")</f>
        <v>古美門研介(堺雅人)は黛真知子(新垣結衣)とともに安藤貴和(小雪)を訪ねる。黛は被告人尋問の前に拘置所に来た吉永慶子なる人物に何かを言われたのではないかと聞くが、貴和は判決の承諾は自分の意思だと言う。それでも古美門は執拗に上告を迫るが、はぐらかされてしまった。  　事務所に戻った古美門と黛は服部(里見浩太朗)に動画サイトを見せられる。それは、若くして会社を創設、一流会社を次々と買収し“時代が生んだ天才"とうたわれた鮎川光(佐藤隆太)のインタビュー番組。インサイダー取引などの容疑で実刑判決を受け出所したばかりの鮎川は、自分を誹謗中傷したマスコミらを訴えると息巻く。服部は、鮎川が起こす訴訟に絡んで法律事務所に依頼が飛び交っていると古美門たちに教えた。  　早速、古美門と黛は鮎川の下に行き、訴訟代理人の売り込み。得意の冗舌で鮎川を持ち上げ、仕事を獲ろうとする古美門だが、あっさり断られる。鮎川は自分自身で全ての訴訟を闘うと宣言し、法廷で闘いたいと古美門を挑発した。  　挑発に乗ることを促すかのように古美門法律事務所に、鮎川に訴えられたブロガーが弁護依頼に来た。しかし、古美門は黛に任せてしまう。そこに、『NEXUS』の羽生晴樹(岡田将生)と本田ジェーン(黒木華)が現れた。鮎川に訴えられた漫画家の玉川たま(谷村美月)の代理人となった羽生たちは、共同弁護を頼みに来たのだ。断ろうとする古美門だが…。</v>
      </c>
      <c r="N928" s="2"/>
      <c r="O928" s="2"/>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row>
    <row r="929" ht="204.75" customHeight="1">
      <c r="A929" s="1">
        <v>3078.0</v>
      </c>
      <c r="B929" s="2" t="s">
        <v>2979</v>
      </c>
      <c r="C929" s="2">
        <f>IFERROR(__xludf.DUMMYFUNCTION("split(B929,""_"")"),1310.0)</f>
        <v>1310</v>
      </c>
      <c r="D929" s="2" t="str">
        <f>IFERROR(__xludf.DUMMYFUNCTION("""COMPUTED_VALUE"""),"CX")</f>
        <v>CX</v>
      </c>
      <c r="E929" s="2" t="str">
        <f>IFERROR(__xludf.DUMMYFUNCTION("""COMPUTED_VALUE"""),"水22")</f>
        <v>水22</v>
      </c>
      <c r="F929" s="2" t="s">
        <v>2980</v>
      </c>
      <c r="G929" s="2" t="s">
        <v>2987</v>
      </c>
      <c r="H929" s="1">
        <v>3.0</v>
      </c>
      <c r="I929" s="1" t="s">
        <v>10</v>
      </c>
      <c r="J929" s="1" t="s">
        <v>86</v>
      </c>
      <c r="K929" s="2" t="s">
        <v>2988</v>
      </c>
      <c r="L929" s="2" t="s">
        <v>2989</v>
      </c>
      <c r="M929" s="2" t="str">
        <f>IFERROR(__xludf.DUMMYFUNCTION("split(split(K929,""古美門研介:　"",false),""公式LINE"",false)"),"古美門研介(堺雅人)と黛真知子(新垣結衣)は、安藤貴和(小雪)に上告させて弁護人になりたいのだが、上手くいかない。弁護人になるための条件として、古美門は貴和から毎朝5キロ走るよう言われるが体力が持たない。黛に至っては、貴和からブスとののしられ、化粧の仕方ぐらい覚えろと命令されてしまう。  　弁護依頼が少なくなった古美門法律事務所は火の車。服部(里見浩太朗)は羽生晴樹(岡田将生)の事務所に行ってみたらと言いだす。古美門にその気はないが、服部から事務所運営のアドバイスと言われて…。  　羽生の事務所『NEXU"&amp;"S』は古美門も茫然とするほど相談者であふれていた。そんな時、羽生の紹介パネルに目を留めた古美門は“悪徳弁護士Kに見事な勝利?""なる文を発見。怒った古美門は羽生に宣戦布告して帰ってしまう。  　黛は仕事に結びつくかもしれないと高校の同窓会に出席。思惑通り同じクラスだった熊井健悟(塚地武雅)が相談を持ちかけてきた。熊井は妻、ほのか(美波)との離婚訴訟の代理人を古美門に依頼。ほのかが離婚に応じないのだ。しかし、熊井の離婚理由を聞いた黛は唖然。美人だと思って結婚したほのかが整形美人だったと言うのだ。黛は受けられ"&amp;"ないと告げるが、古美門は高額の弁護費用に熊井が応じたため了承。  　そんな時、熊井の携帯に着信。ほのかの代理人からと言う熊井から電話を代わった黛は驚く。その相手は羽生だった。")</f>
        <v>古美門研介(堺雅人)と黛真知子(新垣結衣)は、安藤貴和(小雪)に上告させて弁護人になりたいのだが、上手くいかない。弁護人になるための条件として、古美門は貴和から毎朝5キロ走るよう言われるが体力が持たない。黛に至っては、貴和からブスとののしられ、化粧の仕方ぐらい覚えろと命令されてしまう。  　弁護依頼が少なくなった古美門法律事務所は火の車。服部(里見浩太朗)は羽生晴樹(岡田将生)の事務所に行ってみたらと言いだす。古美門にその気はないが、服部から事務所運営のアドバイスと言われて…。  　羽生の事務所『NEXUS』は古美門も茫然とするほど相談者であふれていた。そんな時、羽生の紹介パネルに目を留めた古美門は“悪徳弁護士Kに見事な勝利?"なる文を発見。怒った古美門は羽生に宣戦布告して帰ってしまう。  　黛は仕事に結びつくかもしれないと高校の同窓会に出席。思惑通り同じクラスだった熊井健悟(塚地武雅)が相談を持ちかけてきた。熊井は妻、ほのか(美波)との離婚訴訟の代理人を古美門に依頼。ほのかが離婚に応じないのだ。しかし、熊井の離婚理由を聞いた黛は唖然。美人だと思って結婚したほのかが整形美人だったと言うのだ。黛は受けられないと告げるが、古美門は高額の弁護費用に熊井が応じたため了承。  　そんな時、熊井の携帯に着信。ほのかの代理人からと言う熊井から電話を代わった黛は驚く。その相手は羽生だった。</v>
      </c>
      <c r="N929" s="2"/>
      <c r="O929" s="2"/>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row>
    <row r="930" ht="204.75" customHeight="1">
      <c r="A930" s="1">
        <v>3079.0</v>
      </c>
      <c r="B930" s="2" t="s">
        <v>2979</v>
      </c>
      <c r="C930" s="2">
        <f>IFERROR(__xludf.DUMMYFUNCTION("split(B930,""_"")"),1310.0)</f>
        <v>1310</v>
      </c>
      <c r="D930" s="2" t="str">
        <f>IFERROR(__xludf.DUMMYFUNCTION("""COMPUTED_VALUE"""),"CX")</f>
        <v>CX</v>
      </c>
      <c r="E930" s="2" t="str">
        <f>IFERROR(__xludf.DUMMYFUNCTION("""COMPUTED_VALUE"""),"水22")</f>
        <v>水22</v>
      </c>
      <c r="F930" s="2" t="s">
        <v>2980</v>
      </c>
      <c r="G930" s="2" t="s">
        <v>2990</v>
      </c>
      <c r="H930" s="1">
        <v>4.0</v>
      </c>
      <c r="I930" s="1" t="s">
        <v>14</v>
      </c>
      <c r="J930" s="1" t="s">
        <v>86</v>
      </c>
      <c r="K930" s="2" t="s">
        <v>2991</v>
      </c>
      <c r="L930" s="2" t="s">
        <v>2992</v>
      </c>
      <c r="M930" s="2" t="str">
        <f>IFERROR(__xludf.DUMMYFUNCTION("split(split(K930,""古美門研介:　"",false),""公式LINE"",false)"),"ご近所様と言えども、些細なことでもめ事が起こる昨今。古美門研介(堺雅人)と黛真知子(新垣結衣)も毎度のことだがもめている。古美門の奏でる麗しいとは決して言えないバイオリンの音に、黛がクレームをつけたのだ。黛は自分だけではなく、近所からもクレームが来ると言うのだが、服部(里見浩太朗)は一度もないと否定する。  　そんな古美門法律事務所に、近隣訴訟が持ち込まれる。依頼に来たのは東山冬海(猫背椿)。最近もめ事が多かった隣家の西平なつ(佐藤仁美)にハサミで腹を刺されたのだ。幸い命に別状はなかったものの、先に冬海が"&amp;"ゴルフクラブで殴り掛かったという経緯から刑事裁判で、なつは無罪となる。この判決に不服の冬海は民事裁判を起こすことにしたのだ。  　冬海の慰謝料を全額弁護費用に充てるという申し出に、古美門は了承。なつの弁護人が羽生晴樹(岡田将生)であることも意に介さない古美門だったが、裁判の日程の連絡を受けた服部から、裁判長の名を聞くと黛とともに驚く。その裁判長とは、かつて法廷を侮辱したとして古美門を牢屋にぶち込んだ別府敏子(広末涼子)だった。  　民事法廷が開廷する。やはり別府は、古美門のお世辞に眉ひとつ動かさない。それ"&amp;"どころか、古美門の劇場型の意見陳述は厳しく注意される始末。反対に、別府は羽生の柔らかな物腰には好感を持った様子。勝負あったと感じる黛だが、別府は詳細な説明を古美門に求めてくる。")</f>
        <v>ご近所様と言えども、些細なことでもめ事が起こる昨今。古美門研介(堺雅人)と黛真知子(新垣結衣)も毎度のことだがもめている。古美門の奏でる麗しいとは決して言えないバイオリンの音に、黛がクレームをつけたのだ。黛は自分だけではなく、近所からもクレームが来ると言うのだが、服部(里見浩太朗)は一度もないと否定する。  　そんな古美門法律事務所に、近隣訴訟が持ち込まれる。依頼に来たのは東山冬海(猫背椿)。最近もめ事が多かった隣家の西平なつ(佐藤仁美)にハサミで腹を刺されたのだ。幸い命に別状はなかったものの、先に冬海がゴルフクラブで殴り掛かったという経緯から刑事裁判で、なつは無罪となる。この判決に不服の冬海は民事裁判を起こすことにしたのだ。  　冬海の慰謝料を全額弁護費用に充てるという申し出に、古美門は了承。なつの弁護人が羽生晴樹(岡田将生)であることも意に介さない古美門だったが、裁判の日程の連絡を受けた服部から、裁判長の名を聞くと黛とともに驚く。その裁判長とは、かつて法廷を侮辱したとして古美門を牢屋にぶち込んだ別府敏子(広末涼子)だった。  　民事法廷が開廷する。やはり別府は、古美門のお世辞に眉ひとつ動かさない。それどころか、古美門の劇場型の意見陳述は厳しく注意される始末。反対に、別府は羽生の柔らかな物腰には好感を持った様子。勝負あったと感じる黛だが、別府は詳細な説明を古美門に求めてくる。</v>
      </c>
      <c r="N930" s="2"/>
      <c r="O930" s="2"/>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row>
    <row r="931" ht="204.75" customHeight="1">
      <c r="A931" s="1">
        <v>3080.0</v>
      </c>
      <c r="B931" s="2" t="s">
        <v>2979</v>
      </c>
      <c r="C931" s="2">
        <f>IFERROR(__xludf.DUMMYFUNCTION("split(B931,""_"")"),1310.0)</f>
        <v>1310</v>
      </c>
      <c r="D931" s="2" t="str">
        <f>IFERROR(__xludf.DUMMYFUNCTION("""COMPUTED_VALUE"""),"CX")</f>
        <v>CX</v>
      </c>
      <c r="E931" s="2" t="str">
        <f>IFERROR(__xludf.DUMMYFUNCTION("""COMPUTED_VALUE"""),"水22")</f>
        <v>水22</v>
      </c>
      <c r="F931" s="2" t="s">
        <v>2980</v>
      </c>
      <c r="G931" s="2" t="s">
        <v>2993</v>
      </c>
      <c r="H931" s="1">
        <v>5.0</v>
      </c>
      <c r="I931" s="1" t="s">
        <v>17</v>
      </c>
      <c r="J931" s="1" t="s">
        <v>86</v>
      </c>
      <c r="K931" s="2" t="s">
        <v>2994</v>
      </c>
      <c r="L931" s="2" t="s">
        <v>2995</v>
      </c>
      <c r="M931" s="2" t="str">
        <f>IFERROR(__xludf.DUMMYFUNCTION("split(split(K931,""古美門研介:　"",false),""公式LINE"",false)"),"今回、古美門研介(堺雅人)と黛真知子(新垣結衣)が扱うのは、著作権侵害問題。16年前、零細文具メーカーの「あじさい文具」は、倒産の危機にひんしていた。しかし当時、30歳の田向学(野村将希)が、何気なく落書きで書いた犬のキャラクター「おやじいぬ」が空前の大ヒットとなり、現在では社名も「AJISAIカンパニー」に変え、巨大なビルにオフィスを構えるほどに急成長を遂げた。  　一方、古美門法律事務所には珍客が現れる。男は、長年勤めた会社を定年退職したが、現役のころ職場環境の改善に取り組んできたため、人権を無視した"&amp;"職場を看過できないと古美門に訴える。てっきり、ブラック企業を訴えたいという依頼かと思った古美門は、帰ってきた黛をいつものように罵倒する。しかし、その男は黛の父親の素夫(國村隼)だった…。  　会社が大きくなった現在でも、「おやじいぬ」の生みの親で、会社を復興させた功労者の田向は、社内の部署をたらい回しにされるなど、冷遇されていた。田向自身も、その温厚な性格から、会社からの処遇に反発したり、「おやじいぬ」開発の対価を求めるなどせず、淡々と職務を全うしていた。  　しかし、そんな田向に金になりそうと目をつけた"&amp;"古美門は、黛には内緒で加賀蘭丸(田口淳之介)を田向に接触させる。蘭丸は、あらゆる手法で田向をたきつけ、会社を訴える決意をさせる。案の定、会社側の弁護士は、羽生晴樹(岡田将生)だった…。")</f>
        <v>今回、古美門研介(堺雅人)と黛真知子(新垣結衣)が扱うのは、著作権侵害問題。16年前、零細文具メーカーの「あじさい文具」は、倒産の危機にひんしていた。しかし当時、30歳の田向学(野村将希)が、何気なく落書きで書いた犬のキャラクター「おやじいぬ」が空前の大ヒットとなり、現在では社名も「AJISAIカンパニー」に変え、巨大なビルにオフィスを構えるほどに急成長を遂げた。  　一方、古美門法律事務所には珍客が現れる。男は、長年勤めた会社を定年退職したが、現役のころ職場環境の改善に取り組んできたため、人権を無視した職場を看過できないと古美門に訴える。てっきり、ブラック企業を訴えたいという依頼かと思った古美門は、帰ってきた黛をいつものように罵倒する。しかし、その男は黛の父親の素夫(國村隼)だった…。  　会社が大きくなった現在でも、「おやじいぬ」の生みの親で、会社を復興させた功労者の田向は、社内の部署をたらい回しにされるなど、冷遇されていた。田向自身も、その温厚な性格から、会社からの処遇に反発したり、「おやじいぬ」開発の対価を求めるなどせず、淡々と職務を全うしていた。  　しかし、そんな田向に金になりそうと目をつけた古美門は、黛には内緒で加賀蘭丸(田口淳之介)を田向に接触させる。蘭丸は、あらゆる手法で田向をたきつけ、会社を訴える決意をさせる。案の定、会社側の弁護士は、羽生晴樹(岡田将生)だった…。</v>
      </c>
      <c r="N931" s="2"/>
      <c r="O931" s="2"/>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row>
    <row r="932" ht="204.75" customHeight="1">
      <c r="A932" s="1">
        <v>3081.0</v>
      </c>
      <c r="B932" s="2" t="s">
        <v>2979</v>
      </c>
      <c r="C932" s="2">
        <f>IFERROR(__xludf.DUMMYFUNCTION("split(B932,""_"")"),1310.0)</f>
        <v>1310</v>
      </c>
      <c r="D932" s="2" t="str">
        <f>IFERROR(__xludf.DUMMYFUNCTION("""COMPUTED_VALUE"""),"CX")</f>
        <v>CX</v>
      </c>
      <c r="E932" s="2" t="str">
        <f>IFERROR(__xludf.DUMMYFUNCTION("""COMPUTED_VALUE"""),"水22")</f>
        <v>水22</v>
      </c>
      <c r="F932" s="2" t="s">
        <v>2980</v>
      </c>
      <c r="G932" s="2" t="s">
        <v>2996</v>
      </c>
      <c r="H932" s="1">
        <v>6.0</v>
      </c>
      <c r="I932" s="1" t="s">
        <v>21</v>
      </c>
      <c r="J932" s="1" t="s">
        <v>86</v>
      </c>
      <c r="K932" s="2" t="s">
        <v>2997</v>
      </c>
      <c r="L932" s="2" t="s">
        <v>2998</v>
      </c>
      <c r="M932" s="2" t="str">
        <f>IFERROR(__xludf.DUMMYFUNCTION("split(split(K932,""古美門研介:　"",false),""公式LINE"",false)"),"古美門研介(堺雅人)が、まだ眠りから覚めやらぬ朝、古美門法律事務所を嶋澄江(高林由紀子)という婦人が訪ねてきた。応対する黛真知子(新垣結衣)に、澄江は嫁の愛子(鈴木保奈美)についての相談をする。  　澄江によると、愛子は息子の悟(林泰文)のほかに複数の夫を持つ“一妻多夫""を営んでいるらしい。しかも、その事実は悟も了承済み。だが、澄江には理解できないため相談に来たのだ。  　話を聞いていた服部(里見浩太朗)は、古美門が面白がりそうな案件とうなずく。しかし、黛は古美門が面白がる案件は危険と判断。しかも、年金"&amp;"暮しの澄江に古美門への高額な弁護費用の出費は無理と、黛は羽生晴樹(岡田将生)を紹介する。  　ようやく起きてきた古美門を置いて、黛は安藤貴和(小雪)の接見に向かい上告への決断を迫る。しかし、逆に貴和から決めかねているのは黛ではないかと、はぐらかされてしまった。確かに黛は、古美門のもとで働き続けたいのだが、羽生からも事務所に誘われて迷っている。貴和から揺れる心を見事に言い当てられたのだ。  　黛が事務所に戻ると相談者が来る。朝方、相談に来た澄江が問題にする嫁の愛子だった。愛子は悟を含めた3人の男性と一緒で、"&amp;"澄江が弁護士に相談したことを知って来たのだ。愛子は誰とも婚姻関係を結ばずに、内縁関係のまま幸せに暮らしていると言う。話を聞いた古美門は黛の不安通りに興味を持ち愛子たちの弁護人を引き受けた。")</f>
        <v>古美門研介(堺雅人)が、まだ眠りから覚めやらぬ朝、古美門法律事務所を嶋澄江(高林由紀子)という婦人が訪ねてきた。応対する黛真知子(新垣結衣)に、澄江は嫁の愛子(鈴木保奈美)についての相談をする。  　澄江によると、愛子は息子の悟(林泰文)のほかに複数の夫を持つ“一妻多夫"を営んでいるらしい。しかも、その事実は悟も了承済み。だが、澄江には理解できないため相談に来たのだ。  　話を聞いていた服部(里見浩太朗)は、古美門が面白がりそうな案件とうなずく。しかし、黛は古美門が面白がる案件は危険と判断。しかも、年金暮しの澄江に古美門への高額な弁護費用の出費は無理と、黛は羽生晴樹(岡田将生)を紹介する。  　ようやく起きてきた古美門を置いて、黛は安藤貴和(小雪)の接見に向かい上告への決断を迫る。しかし、逆に貴和から決めかねているのは黛ではないかと、はぐらかされてしまった。確かに黛は、古美門のもとで働き続けたいのだが、羽生からも事務所に誘われて迷っている。貴和から揺れる心を見事に言い当てられたのだ。  　黛が事務所に戻ると相談者が来る。朝方、相談に来た澄江が問題にする嫁の愛子だった。愛子は悟を含めた3人の男性と一緒で、澄江が弁護士に相談したことを知って来たのだ。愛子は誰とも婚姻関係を結ばずに、内縁関係のまま幸せに暮らしていると言う。話を聞いた古美門は黛の不安通りに興味を持ち愛子たちの弁護人を引き受けた。</v>
      </c>
      <c r="N932" s="2"/>
      <c r="O932" s="2"/>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row>
    <row r="933" ht="204.75" customHeight="1">
      <c r="A933" s="1">
        <v>3082.0</v>
      </c>
      <c r="B933" s="2" t="s">
        <v>2979</v>
      </c>
      <c r="C933" s="2">
        <f>IFERROR(__xludf.DUMMYFUNCTION("split(B933,""_"")"),1310.0)</f>
        <v>1310</v>
      </c>
      <c r="D933" s="2" t="str">
        <f>IFERROR(__xludf.DUMMYFUNCTION("""COMPUTED_VALUE"""),"CX")</f>
        <v>CX</v>
      </c>
      <c r="E933" s="2" t="str">
        <f>IFERROR(__xludf.DUMMYFUNCTION("""COMPUTED_VALUE"""),"水22")</f>
        <v>水22</v>
      </c>
      <c r="F933" s="2" t="s">
        <v>2980</v>
      </c>
      <c r="G933" s="2" t="s">
        <v>2999</v>
      </c>
      <c r="H933" s="1">
        <v>7.0</v>
      </c>
      <c r="I933" s="1" t="s">
        <v>25</v>
      </c>
      <c r="J933" s="1" t="s">
        <v>86</v>
      </c>
      <c r="K933" s="2" t="s">
        <v>3000</v>
      </c>
      <c r="L933" s="2" t="s">
        <v>3001</v>
      </c>
      <c r="M933" s="2" t="str">
        <f>IFERROR(__xludf.DUMMYFUNCTION("split(split(K933,""古美門研介:　"",false),""公式LINE"",false)"),"ついに古美門研介(堺雅人)と袂を分かった黛真知子(新垣結衣)は、かねてより誘われていた羽生晴樹(岡田将生)の事務所『NEXUS』に入る。黛は本田ジェーン(黒木華)や磯貝邦光(古舘寛治)にも快く迎えられた。  　しかし、黛は自分が去ったあとの古美門法律事務所が少し心配。羽生から古美門が助手を探しているらしいと聞いた黛は、こっそりと様子を見に行く。しかし、すぐに加賀蘭丸(田口淳之介)に見つかってしまった。蘭丸も黛が抜けたことで古美門が困っていると言うのだが…。古美門が困っていたのは助手の選考方法。芸能事務所の"&amp;"オーディションまがいに美女を集め、誰を選ぶか悩んでいただけ。黛は呆れて帰ってしまう。すると蘭丸は、古美門に黛が『NEXUS』で担当することになった案件を教える。  　黛が代理人になったのは、アニメ制作会社で働いていた穂積孝(近藤公園)。穂積は、劣悪な環境と常軌を逸した労働時間、低賃金、そしてスタッフに非人道的な仕打ちを繰り返したと、代表であり監督の宇都宮仁平(伊東四朗)を訴えたのだ。きつい労働に堪えかねた穂積は、職場を飛び出して行方不明になり、現在も自宅療養中。黛は穂積への慰謝料と治療費を宇都宮に求める。"&amp;"しかし、宇都宮の代理人となったのは古美門。古美門は、黛の主張に異を唱える。さらに古美門は、この裁判のほかにも、黛が担当した案件に対立する側の弁護人として、ことごとく顔を出す…。")</f>
        <v>ついに古美門研介(堺雅人)と袂を分かった黛真知子(新垣結衣)は、かねてより誘われていた羽生晴樹(岡田将生)の事務所『NEXUS』に入る。黛は本田ジェーン(黒木華)や磯貝邦光(古舘寛治)にも快く迎えられた。  　しかし、黛は自分が去ったあとの古美門法律事務所が少し心配。羽生から古美門が助手を探しているらしいと聞いた黛は、こっそりと様子を見に行く。しかし、すぐに加賀蘭丸(田口淳之介)に見つかってしまった。蘭丸も黛が抜けたことで古美門が困っていると言うのだが…。古美門が困っていたのは助手の選考方法。芸能事務所のオーディションまがいに美女を集め、誰を選ぶか悩んでいただけ。黛は呆れて帰ってしまう。すると蘭丸は、古美門に黛が『NEXUS』で担当することになった案件を教える。  　黛が代理人になったのは、アニメ制作会社で働いていた穂積孝(近藤公園)。穂積は、劣悪な環境と常軌を逸した労働時間、低賃金、そしてスタッフに非人道的な仕打ちを繰り返したと、代表であり監督の宇都宮仁平(伊東四朗)を訴えたのだ。きつい労働に堪えかねた穂積は、職場を飛び出して行方不明になり、現在も自宅療養中。黛は穂積への慰謝料と治療費を宇都宮に求める。しかし、宇都宮の代理人となったのは古美門。古美門は、黛の主張に異を唱える。さらに古美門は、この裁判のほかにも、黛が担当した案件に対立する側の弁護人として、ことごとく顔を出す…。</v>
      </c>
      <c r="N933" s="2"/>
      <c r="O933" s="2"/>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row>
    <row r="934" ht="204.75" customHeight="1">
      <c r="A934" s="1">
        <v>3083.0</v>
      </c>
      <c r="B934" s="2" t="s">
        <v>2979</v>
      </c>
      <c r="C934" s="2">
        <f>IFERROR(__xludf.DUMMYFUNCTION("split(B934,""_"")"),1310.0)</f>
        <v>1310</v>
      </c>
      <c r="D934" s="2" t="str">
        <f>IFERROR(__xludf.DUMMYFUNCTION("""COMPUTED_VALUE"""),"CX")</f>
        <v>CX</v>
      </c>
      <c r="E934" s="2" t="str">
        <f>IFERROR(__xludf.DUMMYFUNCTION("""COMPUTED_VALUE"""),"水22")</f>
        <v>水22</v>
      </c>
      <c r="F934" s="2" t="s">
        <v>2980</v>
      </c>
      <c r="G934" s="2" t="s">
        <v>3002</v>
      </c>
      <c r="H934" s="1">
        <v>8.0</v>
      </c>
      <c r="I934" s="1" t="s">
        <v>29</v>
      </c>
      <c r="J934" s="1" t="s">
        <v>86</v>
      </c>
      <c r="K934" s="2" t="s">
        <v>3003</v>
      </c>
      <c r="L934" s="2" t="s">
        <v>3004</v>
      </c>
      <c r="M934" s="2" t="str">
        <f>IFERROR(__xludf.DUMMYFUNCTION("split(split(K934,""古美門研介:　"",false),""公式LINE"",false)"),"古美門研介(堺雅人)を、黛真知子(新垣結衣)と羽生晴樹(岡田将生)が訪ねて来る。『NEXUS』で受けた案件の共同弁護を古美門に頼みに来たのだ。古美門は、即座に断るのだがすでに服部(里見浩太朗)は黛たちについて行くことになっているらしい。ひとり残されるのがイヤな古美門は、しぶしぶ同行することにした。  　『NEXUS』が受けたのは、奥蟹頭にある“おざおざの森""を世界遺産に推奨する地元住民と反対派の訴訟。黛と羽生は、推奨派の赤松鈴子(角替和枝)たちの依頼だった。鈴子の案内で、反対派に会いに行く黛たち。反対派"&amp;"の代表は、赤松麻里奈(遠野なぎこ)。同姓の鈴子と麻里奈には、何か因縁がありそう。だが、それより先に波乱を起こしたのが古美門。なんと、古美門は麻里奈の代理人になっていたのだ。  　とにもかくにも、地方の小さな簡易裁判所で双方の調停が始まる。早くも火花を散らそうとする古美門と、黛&amp;羽生たち。ところが、調停員たちと一緒に現れたのは別府敏子(広末涼子)だった。驚く古美門たち。別府本人によると、この地への異動が決まったばかりらしい。だが、性格は相変わらず。古美門どころか、黛たち『NEXUS』チームにも厳しい“別府ル"&amp;"ール""が適用されてしまう。しかも、古美門たちには難解な奥蟹頭弁も、別府はしっかり理解している様子。さらに、別府の希望で古美門たちは“おざおざの森""に現場検証に向かうことになり…。")</f>
        <v>古美門研介(堺雅人)を、黛真知子(新垣結衣)と羽生晴樹(岡田将生)が訪ねて来る。『NEXUS』で受けた案件の共同弁護を古美門に頼みに来たのだ。古美門は、即座に断るのだがすでに服部(里見浩太朗)は黛たちについて行くことになっているらしい。ひとり残されるのがイヤな古美門は、しぶしぶ同行することにした。  　『NEXUS』が受けたのは、奥蟹頭にある“おざおざの森"を世界遺産に推奨する地元住民と反対派の訴訟。黛と羽生は、推奨派の赤松鈴子(角替和枝)たちの依頼だった。鈴子の案内で、反対派に会いに行く黛たち。反対派の代表は、赤松麻里奈(遠野なぎこ)。同姓の鈴子と麻里奈には、何か因縁がありそう。だが、それより先に波乱を起こしたのが古美門。なんと、古美門は麻里奈の代理人になっていたのだ。  　とにもかくにも、地方の小さな簡易裁判所で双方の調停が始まる。早くも火花を散らそうとする古美門と、黛&amp;羽生たち。ところが、調停員たちと一緒に現れたのは別府敏子(広末涼子)だった。驚く古美門たち。別府本人によると、この地への異動が決まったばかりらしい。だが、性格は相変わらず。古美門どころか、黛たち『NEXUS』チームにも厳しい“別府ルール"が適用されてしまう。しかも、古美門たちには難解な奥蟹頭弁も、別府はしっかり理解している様子。さらに、別府の希望で古美門たちは“おざおざの森"に現場検証に向かうことになり…。</v>
      </c>
      <c r="N934" s="2"/>
      <c r="O934" s="2"/>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row>
    <row r="935" ht="204.75" customHeight="1">
      <c r="A935" s="1">
        <v>3084.0</v>
      </c>
      <c r="B935" s="2" t="s">
        <v>2979</v>
      </c>
      <c r="C935" s="2">
        <f>IFERROR(__xludf.DUMMYFUNCTION("split(B935,""_"")"),1310.0)</f>
        <v>1310</v>
      </c>
      <c r="D935" s="2" t="str">
        <f>IFERROR(__xludf.DUMMYFUNCTION("""COMPUTED_VALUE"""),"CX")</f>
        <v>CX</v>
      </c>
      <c r="E935" s="2" t="str">
        <f>IFERROR(__xludf.DUMMYFUNCTION("""COMPUTED_VALUE"""),"水22")</f>
        <v>水22</v>
      </c>
      <c r="F935" s="2" t="s">
        <v>2980</v>
      </c>
      <c r="G935" s="2" t="s">
        <v>3005</v>
      </c>
      <c r="H935" s="1">
        <v>9.0</v>
      </c>
      <c r="I935" s="1" t="s">
        <v>33</v>
      </c>
      <c r="J935" s="1" t="s">
        <v>86</v>
      </c>
      <c r="K935" s="2" t="s">
        <v>3006</v>
      </c>
      <c r="L935" s="2" t="s">
        <v>3007</v>
      </c>
      <c r="M935" s="2" t="str">
        <f>IFERROR(__xludf.DUMMYFUNCTION("split(split(K935,""古美門研介:　"",false),""公式LINE"",false)"),"古美門研介(堺雅人)と黛真知子(新垣結衣)は、上告を決めた安藤貴和(小雪)に面会。貴和は、殺人容疑については否定しない。また、地裁での判決前に面会に来た吉永慶子は、昔世話になった近所のおばさんと話す。それでも古美門は、最高裁では貴和の無罪を勝ち取ると言い放った。貴和が真実を何も話してくれないことを気にする黛に、古美門は打つ手をすべて打って無罪にすると、あくまで強気。だが、古美門のこだわりは、裁判の勝率を100%に戻すことの様子。  　手段を選ばない古美門は、マスコミを招いて貴和のイメージを向上させる報道を"&amp;"依頼。しかし、大手マスコミには無視され、招いた記者たちにも金をばらまく始末。挙句、古美門は黛に、移籍先の『NEXUS』の羽生晴樹(岡田将生)と本田ジェーン(黒木華)から検事時代に担当していた貴和事件について、検察のねつ造情報を盗み取れと言い出す。しぶしぶ従おうとする黛だが、羽生たちから情報を得ることは出来なかった。  　そんな状態で、古美門たちは公判初日を迎えてしまう。貴和への死刑判決を求めて裁判所前に群がる民衆を横目に入廷する古美門も、さすがに緊張の色は隠せない。傍聴には羽生も駆けつけていた。黛は、検察"&amp;"側に醍醐実検事(松平健)がいることが不安。醍醐は都合良く最高検へ異動になったのだが、それは古美門にとどめを刺すためではないかと思ってしまう。古美門自身は、好都合だと強がるが…。")</f>
        <v>古美門研介(堺雅人)と黛真知子(新垣結衣)は、上告を決めた安藤貴和(小雪)に面会。貴和は、殺人容疑については否定しない。また、地裁での判決前に面会に来た吉永慶子は、昔世話になった近所のおばさんと話す。それでも古美門は、最高裁では貴和の無罪を勝ち取ると言い放った。貴和が真実を何も話してくれないことを気にする黛に、古美門は打つ手をすべて打って無罪にすると、あくまで強気。だが、古美門のこだわりは、裁判の勝率を100%に戻すことの様子。  　手段を選ばない古美門は、マスコミを招いて貴和のイメージを向上させる報道を依頼。しかし、大手マスコミには無視され、招いた記者たちにも金をばらまく始末。挙句、古美門は黛に、移籍先の『NEXUS』の羽生晴樹(岡田将生)と本田ジェーン(黒木華)から検事時代に担当していた貴和事件について、検察のねつ造情報を盗み取れと言い出す。しぶしぶ従おうとする黛だが、羽生たちから情報を得ることは出来なかった。  　そんな状態で、古美門たちは公判初日を迎えてしまう。貴和への死刑判決を求めて裁判所前に群がる民衆を横目に入廷する古美門も、さすがに緊張の色は隠せない。傍聴には羽生も駆けつけていた。黛は、検察側に醍醐実検事(松平健)がいることが不安。醍醐は都合良く最高検へ異動になったのだが、それは古美門にとどめを刺すためではないかと思ってしまう。古美門自身は、好都合だと強がるが…。</v>
      </c>
      <c r="N935" s="2"/>
      <c r="O935" s="2"/>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row>
    <row r="936" ht="204.75" customHeight="1">
      <c r="A936" s="1">
        <v>3085.0</v>
      </c>
      <c r="B936" s="2" t="s">
        <v>2979</v>
      </c>
      <c r="C936" s="2">
        <f>IFERROR(__xludf.DUMMYFUNCTION("split(B936,""_"")"),1310.0)</f>
        <v>1310</v>
      </c>
      <c r="D936" s="2" t="str">
        <f>IFERROR(__xludf.DUMMYFUNCTION("""COMPUTED_VALUE"""),"CX")</f>
        <v>CX</v>
      </c>
      <c r="E936" s="2" t="str">
        <f>IFERROR(__xludf.DUMMYFUNCTION("""COMPUTED_VALUE"""),"水22")</f>
        <v>水22</v>
      </c>
      <c r="F936" s="2" t="s">
        <v>2980</v>
      </c>
      <c r="G936" s="2" t="s">
        <v>3008</v>
      </c>
      <c r="H936" s="1">
        <v>10.0</v>
      </c>
      <c r="I936" s="1" t="s">
        <v>37</v>
      </c>
      <c r="J936" s="1" t="s">
        <v>82</v>
      </c>
      <c r="K936" s="2" t="s">
        <v>3009</v>
      </c>
      <c r="L936" s="2" t="s">
        <v>3010</v>
      </c>
      <c r="M936" s="2" t="str">
        <f>IFERROR(__xludf.DUMMYFUNCTION("split(split(K936,""古美門研介:　"",false),""公式LINE"",false)"),"古美門研介(堺雅人)と黛真知子(新垣結衣)は、最高裁判所で安藤貴和(小雪)の差し戻し判決を得ることに成功。しかし、直後に古美門たちは貴和から弁護代理人を解雇されてしまう。古美門は、これまでの流れの裏に前回の高裁判決前、貴和と面会した吉永慶子なる人物が関与していたことに気づいた。その吉永が羽生晴樹(岡田将生)であることにも…。  　黛が『NEXUS』に行くと、磯貝邦光(古舘寛治)しかいない。羽生と本田ジェーン(黒木華)は姿を消している。その頃、拘置所の貴和に三木長一郎(生瀬勝久)と井手孝雄(矢野聖人)が面会"&amp;"していた。そこには、沢地君江(小池栄子)の姿も。三木たちを差し向けたのは羽生だった。  　貴和の差し戻し審が始まる。検察側には羽生と本田の姿があった。羽生は貴和に死刑ではなく、無期懲役を求刑。三木は情状酌量を訴える。つまり全ては、争いを譲り合いで丸く収めようとする羽生の策略だった。　その夜、古美門と黛は、磯貝を利用して『NEXUS』に羽生と本田を呼び出す。怒りをぶつける古美門。羽生はすでに古美門には何も出来ないと応えた。黛も事実を追求せずにねじ曲げる羽生のやり方に不満をぶつける。しかし、羽生は愚かな民衆は"&amp;"誰かが導かなくてはいけないと悠然と構えていた。  　それでも古美門は、引き下がろうとはしない。なぜ、貴和が羽生の言いなりになったのか?古美門と黛は、事件の真実を探り始める。")</f>
        <v>古美門研介(堺雅人)と黛真知子(新垣結衣)は、最高裁判所で安藤貴和(小雪)の差し戻し判決を得ることに成功。しかし、直後に古美門たちは貴和から弁護代理人を解雇されてしまう。古美門は、これまでの流れの裏に前回の高裁判決前、貴和と面会した吉永慶子なる人物が関与していたことに気づいた。その吉永が羽生晴樹(岡田将生)であることにも…。  　黛が『NEXUS』に行くと、磯貝邦光(古舘寛治)しかいない。羽生と本田ジェーン(黒木華)は姿を消している。その頃、拘置所の貴和に三木長一郎(生瀬勝久)と井手孝雄(矢野聖人)が面会していた。そこには、沢地君江(小池栄子)の姿も。三木たちを差し向けたのは羽生だった。  　貴和の差し戻し審が始まる。検察側には羽生と本田の姿があった。羽生は貴和に死刑ではなく、無期懲役を求刑。三木は情状酌量を訴える。つまり全ては、争いを譲り合いで丸く収めようとする羽生の策略だった。　その夜、古美門と黛は、磯貝を利用して『NEXUS』に羽生と本田を呼び出す。怒りをぶつける古美門。羽生はすでに古美門には何も出来ないと応えた。黛も事実を追求せずにねじ曲げる羽生のやり方に不満をぶつける。しかし、羽生は愚かな民衆は誰かが導かなくてはいけないと悠然と構えていた。  　それでも古美門は、引き下がろうとはしない。なぜ、貴和が羽生の言いなりになったのか?古美門と黛は、事件の真実を探り始める。</v>
      </c>
      <c r="N936" s="2"/>
      <c r="O936" s="2"/>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row>
    <row r="937" ht="204.75" customHeight="1">
      <c r="A937" s="1">
        <v>3103.0</v>
      </c>
      <c r="B937" s="2" t="s">
        <v>3011</v>
      </c>
      <c r="C937" s="2">
        <f>IFERROR(__xludf.DUMMYFUNCTION("split(B937,""_"")"),1310.0)</f>
        <v>1310</v>
      </c>
      <c r="D937" s="2" t="str">
        <f>IFERROR(__xludf.DUMMYFUNCTION("""COMPUTED_VALUE"""),"CX")</f>
        <v>CX</v>
      </c>
      <c r="E937" s="2" t="str">
        <f>IFERROR(__xludf.DUMMYFUNCTION("""COMPUTED_VALUE"""),"木22")</f>
        <v>木22</v>
      </c>
      <c r="F937" s="2" t="s">
        <v>3012</v>
      </c>
      <c r="G937" s="2" t="s">
        <v>3013</v>
      </c>
      <c r="H937" s="1">
        <v>1.0</v>
      </c>
      <c r="I937" s="1" t="s">
        <v>3</v>
      </c>
      <c r="J937" s="1" t="s">
        <v>82</v>
      </c>
      <c r="K937" s="4" t="s">
        <v>3014</v>
      </c>
      <c r="L937" s="2" t="s">
        <v>3015</v>
      </c>
      <c r="M937" s="9" t="str">
        <f>IFERROR(__xludf.DUMMYFUNCTION("split(split(K937,""草ナギ剛　"",false),""html"",false)"),"http://www.fujitv.co.jp/dokusinkizoku/index.")</f>
        <v>http://www.fujitv.co.jp/dokusinkizoku/index.</v>
      </c>
      <c r="N937" s="2" t="str">
        <f>IFERROR(__xludf.DUMMYFUNCTION("""COMPUTED_VALUE"""),"　映画制作会社「キネマ・エトワール」社長の星野守(草ナギ剛)は、美食と高級ファッション、そして何よりも映画を愛する独身貴族。叔母の指示で、配給会社の会長令嬢の現王園玲子(平岩紙)とお見合いするも、結婚する気は皆無だった。一方、守の弟で「キネマ・エトワール」の専務である星野進(伊藤英明)は、離婚調停を抱えながらも、恋愛に忙しい日々を送る。弁護士の小林征嗣(篠井英介)は、そんな進を苦々しく見ていた。　同じ頃、脚本家を夢見ながらも一向に芽が出ない春野ゆき(北川景子)は、ある男性からプロポーズを受ける。しかし、そ"&amp;"こに男性の家族が同席、ゆきに家政婦のような役割を求めていることが発覚し幻滅する。  　ある日、「キネマ・エトワール」の社内で、進と守が激しく口論を交わしていた。次回作のために依頼している大御所脚本家(津川雅彦)の脚本が来ないのだ。脚本が上がらないことには予算が通らない。締切りが迫るも脚本家を信じて待つ守に、進はイライラが募る。ラインプロデューサーの川越裕太(藤ヶ谷太輔)や秘書の緒方須美花(蓮佛美沙子)も、動向を見守っていた。  　またしても脚本コンクールに落選したゆきは、貯金も底をついたため、親友の小原沙"&amp;"織(西原亜希)の紹介で、沙織とともにハウスクリーニングのアルバイトを始める。  　その頃、出資先の配給会社から脚本の進行状況を聞かれた守は、完成間近だと言ってしまう。")</f>
        <v>　映画制作会社「キネマ・エトワール」社長の星野守(草ナギ剛)は、美食と高級ファッション、そして何よりも映画を愛する独身貴族。叔母の指示で、配給会社の会長令嬢の現王園玲子(平岩紙)とお見合いするも、結婚する気は皆無だった。一方、守の弟で「キネマ・エトワール」の専務である星野進(伊藤英明)は、離婚調停を抱えながらも、恋愛に忙しい日々を送る。弁護士の小林征嗣(篠井英介)は、そんな進を苦々しく見ていた。　同じ頃、脚本家を夢見ながらも一向に芽が出ない春野ゆき(北川景子)は、ある男性からプロポーズを受ける。しかし、そこに男性の家族が同席、ゆきに家政婦のような役割を求めていることが発覚し幻滅する。  　ある日、「キネマ・エトワール」の社内で、進と守が激しく口論を交わしていた。次回作のために依頼している大御所脚本家(津川雅彦)の脚本が来ないのだ。脚本が上がらないことには予算が通らない。締切りが迫るも脚本家を信じて待つ守に、進はイライラが募る。ラインプロデューサーの川越裕太(藤ヶ谷太輔)や秘書の緒方須美花(蓮佛美沙子)も、動向を見守っていた。  　またしても脚本コンクールに落選したゆきは、貯金も底をついたため、親友の小原沙織(西原亜希)の紹介で、沙織とともにハウスクリーニングのアルバイトを始める。  　その頃、出資先の配給会社から脚本の進行状況を聞かれた守は、完成間近だと言ってしまう。</v>
      </c>
      <c r="O937" s="2"/>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row>
    <row r="938" ht="204.75" customHeight="1">
      <c r="A938" s="1">
        <v>3104.0</v>
      </c>
      <c r="B938" s="2" t="s">
        <v>3011</v>
      </c>
      <c r="C938" s="2">
        <f>IFERROR(__xludf.DUMMYFUNCTION("split(B938,""_"")"),1310.0)</f>
        <v>1310</v>
      </c>
      <c r="D938" s="2" t="str">
        <f>IFERROR(__xludf.DUMMYFUNCTION("""COMPUTED_VALUE"""),"CX")</f>
        <v>CX</v>
      </c>
      <c r="E938" s="2" t="str">
        <f>IFERROR(__xludf.DUMMYFUNCTION("""COMPUTED_VALUE"""),"木22")</f>
        <v>木22</v>
      </c>
      <c r="F938" s="2" t="s">
        <v>3012</v>
      </c>
      <c r="G938" s="2" t="s">
        <v>3016</v>
      </c>
      <c r="H938" s="1">
        <v>2.0</v>
      </c>
      <c r="I938" s="1" t="s">
        <v>7</v>
      </c>
      <c r="J938" s="1" t="s">
        <v>86</v>
      </c>
      <c r="K938" s="2" t="s">
        <v>3017</v>
      </c>
      <c r="L938" s="8" t="s">
        <v>3018</v>
      </c>
      <c r="M938" s="2" t="str">
        <f>IFERROR(__xludf.DUMMYFUNCTION("split(split(K938,""草ナギ剛　"",false),""html"",false)"),"【番組ホームページ】  http://www.fujitv.co.jp/dokusinkizoku/　星野守(草ナギ剛)は、春野ゆき(北川景子)が書いた脚本を、手直ししていけばよくなる原石だと評価。脚本を待つ日本映画の水島浩一(梶原善)にそう伝えて渡すように、と星野進(伊藤英明)に指示した。ところが翌日、水島に面会した進は表紙を差し替え、高倉雄二(津川雅彦)が書いた脚本だと言ってしまう。  　その頃、守は現王園玲子(平岩紙)と気乗りがしないデート中だった。そこへ進から電話が入り、水島にゆきの脚本を渡したと"&amp;"報告を受けた。これで会社が救われ、結婚もせずに済むと確信した守は、密かに喜びを爆発させる。  　後日、守は叔母の亜希子(デヴィ・スカルノ)から、玲子を自宅に招待すると約束しただろうと連絡を受ける。どうやら先日のデート中に約束をしてしまったらしい。  　一方、弁護士の小林征嗣(篠井英介)と面会していた進は、妻から請求された慰謝料があまりに高額なことに驚愕する。  　映画の撮影現場で働き始めたゆきは、慣れないながらも雑用をこなそうとするが、現場を仕切る川越裕太(藤ヶ谷太輔)から厳しく扱われていた。そんなゆきの"&amp;"姿を、緒方須美花(蓮佛美沙子)が嬉しそうに見ていた。  　そして大量の食材を買い込んだ玲子が守の自宅にやってくる。将来ここに住むかもしれないからまずは部屋を案内してくれ、という玲子に守は辟易する。さらに、料理を始めた玲子を見て、自分とはあまりに違う大ざっぱぶりに気が遠くなり…。")</f>
        <v>【番組ホームページ】  http://www.fujitv.co.jp/dokusinkizoku/　星野守(草ナギ剛)は、春野ゆき(北川景子)が書いた脚本を、手直ししていけばよくなる原石だと評価。脚本を待つ日本映画の水島浩一(梶原善)にそう伝えて渡すように、と星野進(伊藤英明)に指示した。ところが翌日、水島に面会した進は表紙を差し替え、高倉雄二(津川雅彦)が書いた脚本だと言ってしまう。  　その頃、守は現王園玲子(平岩紙)と気乗りがしないデート中だった。そこへ進から電話が入り、水島にゆきの脚本を渡したと報告を受けた。これで会社が救われ、結婚もせずに済むと確信した守は、密かに喜びを爆発させる。  　後日、守は叔母の亜希子(デヴィ・スカルノ)から、玲子を自宅に招待すると約束しただろうと連絡を受ける。どうやら先日のデート中に約束をしてしまったらしい。  　一方、弁護士の小林征嗣(篠井英介)と面会していた進は、妻から請求された慰謝料があまりに高額なことに驚愕する。  　映画の撮影現場で働き始めたゆきは、慣れないながらも雑用をこなそうとするが、現場を仕切る川越裕太(藤ヶ谷太輔)から厳しく扱われていた。そんなゆきの姿を、緒方須美花(蓮佛美沙子)が嬉しそうに見ていた。  　そして大量の食材を買い込んだ玲子が守の自宅にやってくる。将来ここに住むかもしれないからまずは部屋を案内してくれ、という玲子に守は辟易する。さらに、料理を始めた玲子を見て、自分とはあまりに違う大ざっぱぶりに気が遠くなり…。</v>
      </c>
      <c r="N938" s="2"/>
      <c r="O938" s="2"/>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row>
    <row r="939" ht="204.75" customHeight="1">
      <c r="A939" s="1">
        <v>3105.0</v>
      </c>
      <c r="B939" s="2" t="s">
        <v>3011</v>
      </c>
      <c r="C939" s="2">
        <f>IFERROR(__xludf.DUMMYFUNCTION("split(B939,""_"")"),1310.0)</f>
        <v>1310</v>
      </c>
      <c r="D939" s="2" t="str">
        <f>IFERROR(__xludf.DUMMYFUNCTION("""COMPUTED_VALUE"""),"CX")</f>
        <v>CX</v>
      </c>
      <c r="E939" s="2" t="str">
        <f>IFERROR(__xludf.DUMMYFUNCTION("""COMPUTED_VALUE"""),"木22")</f>
        <v>木22</v>
      </c>
      <c r="F939" s="2" t="s">
        <v>3012</v>
      </c>
      <c r="G939" s="2" t="s">
        <v>3019</v>
      </c>
      <c r="H939" s="1">
        <v>3.0</v>
      </c>
      <c r="I939" s="1" t="s">
        <v>10</v>
      </c>
      <c r="J939" s="1" t="s">
        <v>86</v>
      </c>
      <c r="K939" s="2" t="s">
        <v>3020</v>
      </c>
      <c r="L939" s="2" t="s">
        <v>3021</v>
      </c>
      <c r="M939" s="2" t="str">
        <f>IFERROR(__xludf.DUMMYFUNCTION("split(split(K939,""草ナギ剛　"",false),""html"",false)"),"日本映画から春野ゆき(北川景子)の脚本を取り戻した星野守(草ナギ剛)は、脚本の表紙に再びゆきの名前を入れ本人に返した。ゆきは喜ぶが、星野進(伊藤英明)は、今後「キネマ・エトワール」が立ちゆかなくなると不満をあらわにする。さらに、進は今夜ゆきを食事に誘おうと思っている、と守に宣言。守は一瞬、固まるが、どうぞご自由に、と冷静に返した。  　一連の報告を受けた星野亜希子(デヴィ・スカルノ)は激怒。責任を取って現王園玲子(平岩紙)にプロポーズしなさい、と守に迫り、自分で玲子に電話をかけてしまう。  　同じ頃、進は"&amp;"日本映画の制作部部長・水島浩一(梶原善)に頭を下げ、守の無礼を謝罪していた。  　その日の夜、社長室にいた守をゆきが訪ね、脚本を手直ししたから見てほしい、と言う。その後、会社に戻ってきた進は、ゆきに仕事を命じる川越裕太(藤ヶ谷太輔)や自分にアプローチをしてくる緒方須美花(蓮佛美沙子)にも構わず、仕事中のゆきを外に連れ出す。ふたりがやってきたのは、高級レストランだった。楽しげに食事する様子を小林征嗣(篠井英介)が見ていた。  　小原沙織(西原亜希)のアパートに戻ったゆきは、進との食事の件を報告。楽しそうに話"&amp;"すゆきを見た沙織は、進とゆきはお互いに好意を持っているのでは、と指摘する。  　別の日、自宅でゆきの脚本を手にしていた守は、ゆきに電話をかけると…。")</f>
        <v>日本映画から春野ゆき(北川景子)の脚本を取り戻した星野守(草ナギ剛)は、脚本の表紙に再びゆきの名前を入れ本人に返した。ゆきは喜ぶが、星野進(伊藤英明)は、今後「キネマ・エトワール」が立ちゆかなくなると不満をあらわにする。さらに、進は今夜ゆきを食事に誘おうと思っている、と守に宣言。守は一瞬、固まるが、どうぞご自由に、と冷静に返した。  　一連の報告を受けた星野亜希子(デヴィ・スカルノ)は激怒。責任を取って現王園玲子(平岩紙)にプロポーズしなさい、と守に迫り、自分で玲子に電話をかけてしまう。  　同じ頃、進は日本映画の制作部部長・水島浩一(梶原善)に頭を下げ、守の無礼を謝罪していた。  　その日の夜、社長室にいた守をゆきが訪ね、脚本を手直ししたから見てほしい、と言う。その後、会社に戻ってきた進は、ゆきに仕事を命じる川越裕太(藤ヶ谷太輔)や自分にアプローチをしてくる緒方須美花(蓮佛美沙子)にも構わず、仕事中のゆきを外に連れ出す。ふたりがやってきたのは、高級レストランだった。楽しげに食事する様子を小林征嗣(篠井英介)が見ていた。  　小原沙織(西原亜希)のアパートに戻ったゆきは、進との食事の件を報告。楽しそうに話すゆきを見た沙織は、進とゆきはお互いに好意を持っているのでは、と指摘する。  　別の日、自宅でゆきの脚本を手にしていた守は、ゆきに電話をかけると…。</v>
      </c>
      <c r="N939" s="2"/>
      <c r="O939" s="2"/>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row>
    <row r="940" ht="204.75" customHeight="1">
      <c r="A940" s="1">
        <v>3106.0</v>
      </c>
      <c r="B940" s="2" t="s">
        <v>3011</v>
      </c>
      <c r="C940" s="2">
        <f>IFERROR(__xludf.DUMMYFUNCTION("split(B940,""_"")"),1310.0)</f>
        <v>1310</v>
      </c>
      <c r="D940" s="2" t="str">
        <f>IFERROR(__xludf.DUMMYFUNCTION("""COMPUTED_VALUE"""),"CX")</f>
        <v>CX</v>
      </c>
      <c r="E940" s="2" t="str">
        <f>IFERROR(__xludf.DUMMYFUNCTION("""COMPUTED_VALUE"""),"木22")</f>
        <v>木22</v>
      </c>
      <c r="F940" s="2" t="s">
        <v>3012</v>
      </c>
      <c r="G940" s="2" t="s">
        <v>3022</v>
      </c>
      <c r="H940" s="1">
        <v>4.0</v>
      </c>
      <c r="I940" s="1" t="s">
        <v>14</v>
      </c>
      <c r="J940" s="1" t="s">
        <v>86</v>
      </c>
      <c r="K940" s="2" t="s">
        <v>3023</v>
      </c>
      <c r="L940" s="2" t="s">
        <v>3024</v>
      </c>
      <c r="M940" s="2" t="str">
        <f>IFERROR(__xludf.DUMMYFUNCTION("split(split(K940,""草ナギ剛　"",false),""html"",false)"),"春野ゆき(北川景子)と星野進(伊藤英明)が食事に行った翌朝、ふたりが一夜をともにしたのでは、との噂が「キネマ・エトワール」に広がった。星野守(草ナギ剛)も、前夜に自宅に戻らなかった進のことが気にかかる。  　そんな折、星野亜希子(デヴィ・スカルノ)が守の自宅へやって来て、猛烈な勢いで探しものを始める。亜希子が探していたのは星野家代々に受け継がれているネックレスで、次にその持ち主になるのは、守の妻だと言う。これを現王園玲子(平岩紙)に渡せ、と命じられ守は凍りつく。  　「キネマ・エトワール」では、翌日に控え"&amp;"た映画『太陽の食堂』の完成披露試写パーティーの打ち合わせが始まり、進、ゆき、川越裕太(藤ヶ谷太輔)や緒方須美花(蓮佛美沙子)らがその準備に追われていた。ホテルで開催されるパーティーには、社員たちもフォーマルな装いで参加するように、との通達があった。しかし、着ていけるような服を持っていないゆきは、進に相談してみることに。  　その頃、進は須美花と食事中だったが、ゆきからの電話を受けると、食事を中断。ゆきに、1時間後に会社に来るように、と指示する。  　翌日、パーティーが華やかに開催されゲストとして有名脚本家"&amp;"の小野寺秀作(斉木しげる)がやってくる。ゆきに興味を持った小野寺は、自分のファンだというゆきをホテルの自分の部屋に誘う。何も疑わないゆきは小野寺についていってしまい…。")</f>
        <v>春野ゆき(北川景子)と星野進(伊藤英明)が食事に行った翌朝、ふたりが一夜をともにしたのでは、との噂が「キネマ・エトワール」に広がった。星野守(草ナギ剛)も、前夜に自宅に戻らなかった進のことが気にかかる。  　そんな折、星野亜希子(デヴィ・スカルノ)が守の自宅へやって来て、猛烈な勢いで探しものを始める。亜希子が探していたのは星野家代々に受け継がれているネックレスで、次にその持ち主になるのは、守の妻だと言う。これを現王園玲子(平岩紙)に渡せ、と命じられ守は凍りつく。  　「キネマ・エトワール」では、翌日に控えた映画『太陽の食堂』の完成披露試写パーティーの打ち合わせが始まり、進、ゆき、川越裕太(藤ヶ谷太輔)や緒方須美花(蓮佛美沙子)らがその準備に追われていた。ホテルで開催されるパーティーには、社員たちもフォーマルな装いで参加するように、との通達があった。しかし、着ていけるような服を持っていないゆきは、進に相談してみることに。  　その頃、進は須美花と食事中だったが、ゆきからの電話を受けると、食事を中断。ゆきに、1時間後に会社に来るように、と指示する。  　翌日、パーティーが華やかに開催されゲストとして有名脚本家の小野寺秀作(斉木しげる)がやってくる。ゆきに興味を持った小野寺は、自分のファンだというゆきをホテルの自分の部屋に誘う。何も疑わないゆきは小野寺についていってしまい…。</v>
      </c>
      <c r="N940" s="2"/>
      <c r="O940" s="2"/>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row>
    <row r="941" ht="204.75" customHeight="1">
      <c r="A941" s="1">
        <v>3107.0</v>
      </c>
      <c r="B941" s="2" t="s">
        <v>3011</v>
      </c>
      <c r="C941" s="2">
        <f>IFERROR(__xludf.DUMMYFUNCTION("split(B941,""_"")"),1310.0)</f>
        <v>1310</v>
      </c>
      <c r="D941" s="2" t="str">
        <f>IFERROR(__xludf.DUMMYFUNCTION("""COMPUTED_VALUE"""),"CX")</f>
        <v>CX</v>
      </c>
      <c r="E941" s="2" t="str">
        <f>IFERROR(__xludf.DUMMYFUNCTION("""COMPUTED_VALUE"""),"木22")</f>
        <v>木22</v>
      </c>
      <c r="F941" s="2" t="s">
        <v>3012</v>
      </c>
      <c r="G941" s="2" t="s">
        <v>3025</v>
      </c>
      <c r="H941" s="1">
        <v>5.0</v>
      </c>
      <c r="I941" s="1" t="s">
        <v>17</v>
      </c>
      <c r="J941" s="1" t="s">
        <v>86</v>
      </c>
      <c r="K941" s="2" t="s">
        <v>3026</v>
      </c>
      <c r="L941" s="2" t="s">
        <v>3027</v>
      </c>
      <c r="M941" s="2" t="str">
        <f>IFERROR(__xludf.DUMMYFUNCTION("split(split(K941,""草ナギ剛　"",false),""html"",false)"),"ある日、女性誌のインタビューを受けていた星野守(草ナギ剛)は、結婚について聞かれると、誰かと生活を共にするのは苦行でしかない、と言い放つ。ところが、結婚は不要なものなのか、と問われると、ひどく動揺する。守の脳裏には、春野ゆき(北川景子)の顔が浮かんでいた。  　同じ頃、「キネマ・エトワール」の映画に出演が決まっていたある俳優が、出演を断ってきた。撮影開始直前のキャンセルに星野進(伊藤英明)も困惑するが、ゆきは別の大物俳優のスケジュールが空いていることを確認、所属事務所に交渉に行くと言う。それを聞いた進や川"&amp;"越裕太(藤ヶ谷太輔)は絶対に無理だ、と止めるが、ゆきは言うことをきかない。  　一方、守は緒方須美花(蓮佛美沙子)から手渡された、今月に誕生日を迎える社員のリストを見ていた。「キネマ・エトワール」では、誕生日を迎える社員に社長がプレゼントを渡す慣例があるのだ。守はそこに、ゆきの名前を見つける。　その後、進を訪ねて星野亜希子(デヴィ・スカルノ)が「キネマ・エトワール」にやってくる。亜希子は、現王園玲子(平岩紙)と結婚するという約束を果たさない守に怒り、会社を売ることにした、と進に告げる。  　ゆきに贈るプレ"&amp;"ゼントを探すため街にやってきた守は、そこでゆきに出くわす。作品の企画で20代の女性が欲しがっている物を探している、と誤魔化した守は、ゆきなら何が欲しいか、と聞く。しばらく考えたゆきは…。")</f>
        <v>ある日、女性誌のインタビューを受けていた星野守(草ナギ剛)は、結婚について聞かれると、誰かと生活を共にするのは苦行でしかない、と言い放つ。ところが、結婚は不要なものなのか、と問われると、ひどく動揺する。守の脳裏には、春野ゆき(北川景子)の顔が浮かんでいた。  　同じ頃、「キネマ・エトワール」の映画に出演が決まっていたある俳優が、出演を断ってきた。撮影開始直前のキャンセルに星野進(伊藤英明)も困惑するが、ゆきは別の大物俳優のスケジュールが空いていることを確認、所属事務所に交渉に行くと言う。それを聞いた進や川越裕太(藤ヶ谷太輔)は絶対に無理だ、と止めるが、ゆきは言うことをきかない。  　一方、守は緒方須美花(蓮佛美沙子)から手渡された、今月に誕生日を迎える社員のリストを見ていた。「キネマ・エトワール」では、誕生日を迎える社員に社長がプレゼントを渡す慣例があるのだ。守はそこに、ゆきの名前を見つける。　その後、進を訪ねて星野亜希子(デヴィ・スカルノ)が「キネマ・エトワール」にやってくる。亜希子は、現王園玲子(平岩紙)と結婚するという約束を果たさない守に怒り、会社を売ることにした、と進に告げる。  　ゆきに贈るプレゼントを探すため街にやってきた守は、そこでゆきに出くわす。作品の企画で20代の女性が欲しがっている物を探している、と誤魔化した守は、ゆきなら何が欲しいか、と聞く。しばらく考えたゆきは…。</v>
      </c>
      <c r="N941" s="2"/>
      <c r="O941" s="2"/>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row>
    <row r="942" ht="204.75" customHeight="1">
      <c r="A942" s="1">
        <v>3108.0</v>
      </c>
      <c r="B942" s="2" t="s">
        <v>3011</v>
      </c>
      <c r="C942" s="2">
        <f>IFERROR(__xludf.DUMMYFUNCTION("split(B942,""_"")"),1310.0)</f>
        <v>1310</v>
      </c>
      <c r="D942" s="2" t="str">
        <f>IFERROR(__xludf.DUMMYFUNCTION("""COMPUTED_VALUE"""),"CX")</f>
        <v>CX</v>
      </c>
      <c r="E942" s="2" t="str">
        <f>IFERROR(__xludf.DUMMYFUNCTION("""COMPUTED_VALUE"""),"木22")</f>
        <v>木22</v>
      </c>
      <c r="F942" s="2" t="s">
        <v>3012</v>
      </c>
      <c r="G942" s="2" t="s">
        <v>3028</v>
      </c>
      <c r="H942" s="1">
        <v>6.0</v>
      </c>
      <c r="I942" s="1" t="s">
        <v>21</v>
      </c>
      <c r="J942" s="1" t="s">
        <v>86</v>
      </c>
      <c r="K942" s="2" t="s">
        <v>3029</v>
      </c>
      <c r="L942" s="2" t="s">
        <v>3030</v>
      </c>
      <c r="M942" s="2" t="str">
        <f>IFERROR(__xludf.DUMMYFUNCTION("split(split(K942,""草ナギ剛　"",false),""html"",false)"),"春野ゆき(北川景子)と星野進(伊藤英明)のキスを目撃した翌日、星野守(草ナギ剛)はいつもよりも明るかった。進はそんな守の様子が気になるが、守は自分から見てもゆきと進はお似合いだと思う、などと屈託なく話す。  　その後、守は星野亜希子(デヴィ・スカルノ)の自宅を訪ねると、現王園玲子(平岩紙)と結婚することにしたと宣言。しかも、結婚前に生活を共にしてみると言う。  　一方、ゆきは休日で誰もいない「キネマ・エトワール」で脚本の直しをしていた。すると、そこへ守がやってくる。ゆきは、脚本を見てほしいと頼むが、守は興"&amp;"味がなさそうに机の上に置いておいてくれ、と返す。ゆきは、ハイテンションなのによそよそしい態度に違和感を覚える。  　そんな折、進に呼び出されたゆきは指定されたカフェへとやってくる。ゆきは守の様子がおかしいことを進に話すが、進は気にすることはないと言って、ゆきにブーケを差し出した。今日はデートで自分たちは付き合っているのだから、と笑顔の進にゆきは…。  　「キネマ・エトワール」に戻ったゆきは、社長室の机の上に置かれたままの脚本を見つけ、ため息をつく。  　後日進が自宅に戻ると、玲子が新妻のように守の世話を焼"&amp;"いていた。驚いた進が詰め寄ると、守はこれで会社を売られなくて済むと言う。無理して芝居をしているんだろう、と怒りをあらわにする進に守は、実際に玲子と暮らしてみると案外嫌ではなかった、と答える。")</f>
        <v>春野ゆき(北川景子)と星野進(伊藤英明)のキスを目撃した翌日、星野守(草ナギ剛)はいつもよりも明るかった。進はそんな守の様子が気になるが、守は自分から見てもゆきと進はお似合いだと思う、などと屈託なく話す。  　その後、守は星野亜希子(デヴィ・スカルノ)の自宅を訪ねると、現王園玲子(平岩紙)と結婚することにしたと宣言。しかも、結婚前に生活を共にしてみると言う。  　一方、ゆきは休日で誰もいない「キネマ・エトワール」で脚本の直しをしていた。すると、そこへ守がやってくる。ゆきは、脚本を見てほしいと頼むが、守は興味がなさそうに机の上に置いておいてくれ、と返す。ゆきは、ハイテンションなのによそよそしい態度に違和感を覚える。  　そんな折、進に呼び出されたゆきは指定されたカフェへとやってくる。ゆきは守の様子がおかしいことを進に話すが、進は気にすることはないと言って、ゆきにブーケを差し出した。今日はデートで自分たちは付き合っているのだから、と笑顔の進にゆきは…。  　「キネマ・エトワール」に戻ったゆきは、社長室の机の上に置かれたままの脚本を見つけ、ため息をつく。  　後日進が自宅に戻ると、玲子が新妻のように守の世話を焼いていた。驚いた進が詰め寄ると、守はこれで会社を売られなくて済むと言う。無理して芝居をしているんだろう、と怒りをあらわにする進に守は、実際に玲子と暮らしてみると案外嫌ではなかった、と答える。</v>
      </c>
      <c r="N942" s="2"/>
      <c r="O942" s="2"/>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row>
    <row r="943" ht="204.75" customHeight="1">
      <c r="A943" s="1">
        <v>3109.0</v>
      </c>
      <c r="B943" s="2" t="s">
        <v>3011</v>
      </c>
      <c r="C943" s="2">
        <f>IFERROR(__xludf.DUMMYFUNCTION("split(B943,""_"")"),1310.0)</f>
        <v>1310</v>
      </c>
      <c r="D943" s="2" t="str">
        <f>IFERROR(__xludf.DUMMYFUNCTION("""COMPUTED_VALUE"""),"CX")</f>
        <v>CX</v>
      </c>
      <c r="E943" s="2" t="str">
        <f>IFERROR(__xludf.DUMMYFUNCTION("""COMPUTED_VALUE"""),"木22")</f>
        <v>木22</v>
      </c>
      <c r="F943" s="2" t="s">
        <v>3012</v>
      </c>
      <c r="G943" s="2" t="s">
        <v>3031</v>
      </c>
      <c r="H943" s="1">
        <v>7.0</v>
      </c>
      <c r="I943" s="1" t="s">
        <v>25</v>
      </c>
      <c r="J943" s="1" t="s">
        <v>86</v>
      </c>
      <c r="K943" s="2" t="s">
        <v>3032</v>
      </c>
      <c r="L943" s="2" t="s">
        <v>3033</v>
      </c>
      <c r="M943" s="2" t="str">
        <f>IFERROR(__xludf.DUMMYFUNCTION("split(split(K943,""草ナギ剛　"",false),""html"",false)"),"星野守(草ナギ剛)は、星野進(伊藤英明)から春野ゆき(北川景子)と正式に付き合うことになったと報告を受ける。  　その後、進とゆきは日本映画の水島浩一(梶原善)を訪ね、脚本にはまだ直しが必要なため、「8月のボレロ」の映画化を延期してほしいと頭を下げる。水島は、脚本は完成されていると言い、すでにある人気俳優に脚本を見せていて、それを気に入った俳優が出演を検討している段階だと明かした。ただし、俳優のスケジュールの都合で撮影は来年になるので、脚本を直す時間は十分にあるとも言う。進からそのことを聞いた守は、今後、"&amp;"「8月のボレロ」は進が仕切るようにと命じる。守とゆきでやってきた脚本の打ち合わせも、進とゆきでやることになる。  　「8月のボレロ」が人気俳優主演で映画化される可能性が濃厚になったというニュースは、「キネマ・エトワール」のオフィスでも明かされ、ゆきが通常業務から外れ脚本に専念することになったとも発表された。  　そんな折、水島から俳優の都合で「8月のボレロ」の脚本の直しを数日以内に提出してほしいとの連絡が入る。進との打ち合わせが守のときのようには進まず、ゆきは不安を抱えていた。ついに追い込まれたゆきは、守"&amp;"にメールを打つ。  　ゆきからのメールを受け取った守は、返信をしようとするが思いとどまる。そこへ、進が来て脚本がうまく進んでいないことを明かす。それを聞いた守は…。")</f>
        <v>星野守(草ナギ剛)は、星野進(伊藤英明)から春野ゆき(北川景子)と正式に付き合うことになったと報告を受ける。  　その後、進とゆきは日本映画の水島浩一(梶原善)を訪ね、脚本にはまだ直しが必要なため、「8月のボレロ」の映画化を延期してほしいと頭を下げる。水島は、脚本は完成されていると言い、すでにある人気俳優に脚本を見せていて、それを気に入った俳優が出演を検討している段階だと明かした。ただし、俳優のスケジュールの都合で撮影は来年になるので、脚本を直す時間は十分にあるとも言う。進からそのことを聞いた守は、今後、「8月のボレロ」は進が仕切るようにと命じる。守とゆきでやってきた脚本の打ち合わせも、進とゆきでやることになる。  　「8月のボレロ」が人気俳優主演で映画化される可能性が濃厚になったというニュースは、「キネマ・エトワール」のオフィスでも明かされ、ゆきが通常業務から外れ脚本に専念することになったとも発表された。  　そんな折、水島から俳優の都合で「8月のボレロ」の脚本の直しを数日以内に提出してほしいとの連絡が入る。進との打ち合わせが守のときのようには進まず、ゆきは不安を抱えていた。ついに追い込まれたゆきは、守にメールを打つ。  　ゆきからのメールを受け取った守は、返信をしようとするが思いとどまる。そこへ、進が来て脚本がうまく進んでいないことを明かす。それを聞いた守は…。</v>
      </c>
      <c r="N943" s="2"/>
      <c r="O943" s="2"/>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row>
    <row r="944" ht="204.75" customHeight="1">
      <c r="A944" s="1">
        <v>3110.0</v>
      </c>
      <c r="B944" s="2" t="s">
        <v>3011</v>
      </c>
      <c r="C944" s="2">
        <f>IFERROR(__xludf.DUMMYFUNCTION("split(B944,""_"")"),1310.0)</f>
        <v>1310</v>
      </c>
      <c r="D944" s="2" t="str">
        <f>IFERROR(__xludf.DUMMYFUNCTION("""COMPUTED_VALUE"""),"CX")</f>
        <v>CX</v>
      </c>
      <c r="E944" s="2" t="str">
        <f>IFERROR(__xludf.DUMMYFUNCTION("""COMPUTED_VALUE"""),"木22")</f>
        <v>木22</v>
      </c>
      <c r="F944" s="2" t="s">
        <v>3012</v>
      </c>
      <c r="G944" s="2" t="s">
        <v>3034</v>
      </c>
      <c r="H944" s="1">
        <v>8.0</v>
      </c>
      <c r="I944" s="1" t="s">
        <v>29</v>
      </c>
      <c r="J944" s="1" t="s">
        <v>86</v>
      </c>
      <c r="K944" s="2" t="s">
        <v>3035</v>
      </c>
      <c r="L944" s="2" t="s">
        <v>3036</v>
      </c>
      <c r="M944" s="2" t="str">
        <f>IFERROR(__xludf.DUMMYFUNCTION("split(split(K944,""草ナギ剛　"",false),""html"",false)"),"「日本映画」の社長が交代し、新社長の方針で「8月のボレロ」の制作中止が濃厚になる。それを聞いた星野守(草ナギ剛)は、制作を先に延ばしたほうがいいと言うが、星野進(伊藤英明)は、出資してくれるスポンサーを自分で探すと意気込む。  　進の指示で川越裕太(藤ヶ谷太輔)、緒方須美花(蓮佛美沙子)ら社員も総出でスポンサーを探すが、なかなか見つからない。  　そんな中、進は春野ゆき(北川景子)の脚本の直しにも付き合っていた。ゆきは、自分の初作品のため奔走してくれる進の気持ちが嬉しい。  　その日の深夜、マンションに戻"&amp;"ってきた進に守が声をかける。強引に頼み込むとスポンサーは様々な条件を付けてきて、映画制作に支障が出ることになるから無理はするな、とアドバイスするが進は聞き流す。  　そんな折、ある携帯ゲーム会社の社長が「8月のボレロ」の出資を申し出てきた。喜ぶ進に社長は条件だといって、親会社である谷中リゾートの会長に会うようにと日程を伝えた。進は離婚調停と重なってしまったため、代わりに守とゆきが会長に会いに行く。守らを迎えた会長は豪傑な人物で、仕事の話は明日にしようと言って、酒を勧めてきた。その勢いに負け、守とゆきは宴会"&amp;"に引き込まれてしまう。  　その後、守は進に電話で事情を説明、一泊することになったと報告。進は一抹の不安を感じながらも電話を切る。守とゆきは、用意された部屋へと歩き始め…。")</f>
        <v>「日本映画」の社長が交代し、新社長の方針で「8月のボレロ」の制作中止が濃厚になる。それを聞いた星野守(草ナギ剛)は、制作を先に延ばしたほうがいいと言うが、星野進(伊藤英明)は、出資してくれるスポンサーを自分で探すと意気込む。  　進の指示で川越裕太(藤ヶ谷太輔)、緒方須美花(蓮佛美沙子)ら社員も総出でスポンサーを探すが、なかなか見つからない。  　そんな中、進は春野ゆき(北川景子)の脚本の直しにも付き合っていた。ゆきは、自分の初作品のため奔走してくれる進の気持ちが嬉しい。  　その日の深夜、マンションに戻ってきた進に守が声をかける。強引に頼み込むとスポンサーは様々な条件を付けてきて、映画制作に支障が出ることになるから無理はするな、とアドバイスするが進は聞き流す。  　そんな折、ある携帯ゲーム会社の社長が「8月のボレロ」の出資を申し出てきた。喜ぶ進に社長は条件だといって、親会社である谷中リゾートの会長に会うようにと日程を伝えた。進は離婚調停と重なってしまったため、代わりに守とゆきが会長に会いに行く。守らを迎えた会長は豪傑な人物で、仕事の話は明日にしようと言って、酒を勧めてきた。その勢いに負け、守とゆきは宴会に引き込まれてしまう。  　その後、守は進に電話で事情を説明、一泊することになったと報告。進は一抹の不安を感じながらも電話を切る。守とゆきは、用意された部屋へと歩き始め…。</v>
      </c>
      <c r="N944" s="2"/>
      <c r="O944" s="2"/>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row>
    <row r="945" ht="204.75" customHeight="1">
      <c r="A945" s="1">
        <v>3111.0</v>
      </c>
      <c r="B945" s="2" t="s">
        <v>3011</v>
      </c>
      <c r="C945" s="2">
        <f>IFERROR(__xludf.DUMMYFUNCTION("split(B945,""_"")"),1310.0)</f>
        <v>1310</v>
      </c>
      <c r="D945" s="2" t="str">
        <f>IFERROR(__xludf.DUMMYFUNCTION("""COMPUTED_VALUE"""),"CX")</f>
        <v>CX</v>
      </c>
      <c r="E945" s="2" t="str">
        <f>IFERROR(__xludf.DUMMYFUNCTION("""COMPUTED_VALUE"""),"木22")</f>
        <v>木22</v>
      </c>
      <c r="F945" s="2" t="s">
        <v>3012</v>
      </c>
      <c r="G945" s="2" t="s">
        <v>3037</v>
      </c>
      <c r="H945" s="1">
        <v>9.0</v>
      </c>
      <c r="I945" s="1" t="s">
        <v>33</v>
      </c>
      <c r="J945" s="1" t="s">
        <v>86</v>
      </c>
      <c r="K945" s="2" t="s">
        <v>3038</v>
      </c>
      <c r="L945" s="2" t="s">
        <v>3039</v>
      </c>
      <c r="M945" s="2" t="str">
        <f>IFERROR(__xludf.DUMMYFUNCTION("split(split(K945,""草ナギ剛　"",false),""html"",false)"),"星野守(草ナギ剛)は、現王園玲子(平岩紙)との結婚を決意。玲子の希望で、1週間後に式を執り行うことになった。急な話なので身内だけで式を行うと聞いた星野進(伊藤英明)は、春野ゆき(北川景子)を同伴してもいいか、と守に尋ねる。  　そんな折、川越裕太(藤ヶ谷太輔)がプロデューサーに昇格し、進とともに『8月のボレロ』をプロデュースすることが決まった。  　ゆきは、進から守の結婚のことを聞かされ、自分のパートナーとして式に出席してほしいと言われるが、動揺を隠せない。  　『8月のボレロ』の制作が動き出し、撮影場所"&amp;"を探す「ロケハン」が行われることに。脚本家としてそれに同行したゆきは、重要なシーンの撮影予定場所が自分のイメージ通りだったことに感動する。  　「ロケハン」から戻ったゆきは、社長室の守に祝いの言葉を述べるとともに、「ロケハン」の報告をし、脚本についてのアドバイスを求める。しかし、守は自分ではなく進と川越に相談しろ、と返答する。  　後日、星野家、現王園家の食事会が開かれ、進にエスコートされたゆきも出席する。食事が終わった後、ゆきは玲子の父で「日本映画」の会長(梅野泰靖)に『8月のボレロ』の制作を引き受けて"&amp;"くれた礼を言う。すると、会長は守の熱意が自分を動かしたのだから、礼なら守に言うべきだと返す。  　その頃、守は玲子と数日後に迫った式について打ち合わせをしていて…。")</f>
        <v>星野守(草ナギ剛)は、現王園玲子(平岩紙)との結婚を決意。玲子の希望で、1週間後に式を執り行うことになった。急な話なので身内だけで式を行うと聞いた星野進(伊藤英明)は、春野ゆき(北川景子)を同伴してもいいか、と守に尋ねる。  　そんな折、川越裕太(藤ヶ谷太輔)がプロデューサーに昇格し、進とともに『8月のボレロ』をプロデュースすることが決まった。  　ゆきは、進から守の結婚のことを聞かされ、自分のパートナーとして式に出席してほしいと言われるが、動揺を隠せない。  　『8月のボレロ』の制作が動き出し、撮影場所を探す「ロケハン」が行われることに。脚本家としてそれに同行したゆきは、重要なシーンの撮影予定場所が自分のイメージ通りだったことに感動する。  　「ロケハン」から戻ったゆきは、社長室の守に祝いの言葉を述べるとともに、「ロケハン」の報告をし、脚本についてのアドバイスを求める。しかし、守は自分ではなく進と川越に相談しろ、と返答する。  　後日、星野家、現王園家の食事会が開かれ、進にエスコートされたゆきも出席する。食事が終わった後、ゆきは玲子の父で「日本映画」の会長(梅野泰靖)に『8月のボレロ』の制作を引き受けてくれた礼を言う。すると、会長は守の熱意が自分を動かしたのだから、礼なら守に言うべきだと返す。  　その頃、守は玲子と数日後に迫った式について打ち合わせをしていて…。</v>
      </c>
      <c r="N945" s="2"/>
      <c r="O945" s="2"/>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row>
    <row r="946" ht="204.75" customHeight="1">
      <c r="A946" s="1">
        <v>3112.0</v>
      </c>
      <c r="B946" s="2" t="s">
        <v>3011</v>
      </c>
      <c r="C946" s="2">
        <f>IFERROR(__xludf.DUMMYFUNCTION("split(B946,""_"")"),1310.0)</f>
        <v>1310</v>
      </c>
      <c r="D946" s="2" t="str">
        <f>IFERROR(__xludf.DUMMYFUNCTION("""COMPUTED_VALUE"""),"CX")</f>
        <v>CX</v>
      </c>
      <c r="E946" s="2" t="str">
        <f>IFERROR(__xludf.DUMMYFUNCTION("""COMPUTED_VALUE"""),"木22")</f>
        <v>木22</v>
      </c>
      <c r="F946" s="2" t="s">
        <v>3012</v>
      </c>
      <c r="G946" s="2" t="s">
        <v>3040</v>
      </c>
      <c r="H946" s="1">
        <v>10.0</v>
      </c>
      <c r="I946" s="1" t="s">
        <v>37</v>
      </c>
      <c r="J946" s="1" t="s">
        <v>86</v>
      </c>
      <c r="K946" s="2" t="s">
        <v>3041</v>
      </c>
      <c r="L946" s="2" t="s">
        <v>3042</v>
      </c>
      <c r="M946" s="2" t="str">
        <f>IFERROR(__xludf.DUMMYFUNCTION("split(split(K946,""草ナギ剛　"",false),""html"",false)"),"星野守(草ナギ剛)と現王園玲子(平岩紙)の結婚式当日、教会には星野進(伊藤英明)、春野ゆき(北川景子)、星野亜希子(デヴィ・スカルノ)、玲子の父親(梅野泰靖)が集まった。守は自分の気持ちを振り切るように明るく振る舞い、1人でチャペルにやってきたゆきは、守から送られたエンパイア・ステート・ビルのチャームを見つめていた。  そんな中、ウエディングドレスを身にまとい支度をしていた玲子が控え室から姿を消してしまう。  　後日、小原沙織(西原亜希)のアパートにいたゆきに、玲子から電話がかかってくる。2人きりで話がし"&amp;"たいという玲子に呼び出され、ゆきはホテルにやってくる。ゆきと対面した玲子は、守のことを教えてほしいと言い…。  　同じ頃、水島浩一(梶原善)から『8月のボレロ』の脚本を2日以内に完成させてほしいと連絡が入る。進と川越裕太(藤ヶ谷太輔)は了承するが、脚本はゆきが必死に修正を続けているところだった。そのゆきは執筆に行き詰まっていて、相談に乗るという進にいらだった態度を取ってしまう。  　一方の守は、玲子に会うために海辺にある玲子の別荘を訪ねる。結婚式での一件を謝罪する玲子に、来年改めてイタリアで挙式をしようと"&amp;"提案する守。玲子は、そんな守に星野家の長男の嫁が代々持つというネックレスがほしいと頼む。守の脳裏にネックレスを保管しているゆきのことが頭をよぎる中、守はそれを了承するのだが・・・。")</f>
        <v>星野守(草ナギ剛)と現王園玲子(平岩紙)の結婚式当日、教会には星野進(伊藤英明)、春野ゆき(北川景子)、星野亜希子(デヴィ・スカルノ)、玲子の父親(梅野泰靖)が集まった。守は自分の気持ちを振り切るように明るく振る舞い、1人でチャペルにやってきたゆきは、守から送られたエンパイア・ステート・ビルのチャームを見つめていた。  そんな中、ウエディングドレスを身にまとい支度をしていた玲子が控え室から姿を消してしまう。  　後日、小原沙織(西原亜希)のアパートにいたゆきに、玲子から電話がかかってくる。2人きりで話がしたいという玲子に呼び出され、ゆきはホテルにやってくる。ゆきと対面した玲子は、守のことを教えてほしいと言い…。  　同じ頃、水島浩一(梶原善)から『8月のボレロ』の脚本を2日以内に完成させてほしいと連絡が入る。進と川越裕太(藤ヶ谷太輔)は了承するが、脚本はゆきが必死に修正を続けているところだった。そのゆきは執筆に行き詰まっていて、相談に乗るという進にいらだった態度を取ってしまう。  　一方の守は、玲子に会うために海辺にある玲子の別荘を訪ねる。結婚式での一件を謝罪する玲子に、来年改めてイタリアで挙式をしようと提案する守。玲子は、そんな守に星野家の長男の嫁が代々持つというネックレスがほしいと頼む。守の脳裏にネックレスを保管しているゆきのことが頭をよぎる中、守はそれを了承するのだが・・・。</v>
      </c>
      <c r="N946" s="2"/>
      <c r="O946" s="2"/>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row>
    <row r="947" ht="204.75" customHeight="1">
      <c r="A947" s="1">
        <v>3113.0</v>
      </c>
      <c r="B947" s="2" t="s">
        <v>3011</v>
      </c>
      <c r="C947" s="2">
        <f>IFERROR(__xludf.DUMMYFUNCTION("split(B947,""_"")"),1310.0)</f>
        <v>1310</v>
      </c>
      <c r="D947" s="2" t="str">
        <f>IFERROR(__xludf.DUMMYFUNCTION("""COMPUTED_VALUE"""),"CX")</f>
        <v>CX</v>
      </c>
      <c r="E947" s="2" t="str">
        <f>IFERROR(__xludf.DUMMYFUNCTION("""COMPUTED_VALUE"""),"木22")</f>
        <v>木22</v>
      </c>
      <c r="F947" s="2" t="s">
        <v>3012</v>
      </c>
      <c r="G947" s="2" t="s">
        <v>3043</v>
      </c>
      <c r="H947" s="1">
        <v>11.0</v>
      </c>
      <c r="I947" s="1" t="s">
        <v>41</v>
      </c>
      <c r="J947" s="1" t="s">
        <v>86</v>
      </c>
      <c r="K947" s="2" t="s">
        <v>3044</v>
      </c>
      <c r="L947" s="2" t="s">
        <v>3045</v>
      </c>
      <c r="M947" s="2" t="str">
        <f>IFERROR(__xludf.DUMMYFUNCTION("split(split(K947,""草ナギ剛　"",false),""html"",false)"),"完成した『8月のボレロ』の脚本を残して星野守(草ナギ剛)や星野進(伊藤英明)の前から姿を消した春野ゆき(北川景子)から「キネマ・エトワール」に退職願が届く。川越裕太(藤ヶ谷太輔)や緒方須美花(蓮佛美沙子)らは驚くが、退職願を受け取った守は、ゆきの意志だから仕方がないと平然と言う。  　同じ頃、現王園玲子(平岩紙)と対面した進は、玲子から星野家の長男の嫁に受け継がれるネックレスのありかを聞かれ、ゆきが持っていることを明かす。  　一方、ゆきは青森の実家に帰っていた。明るく振る舞う娘に、母親の春野さち(市毛良"&amp;"枝)は心配が募る。そこへ、玲子がやってくる。  　その頃、守は進から『8月のボレロ』のクランクイン目前にして主演の山下智久(山下智久)が、セリフにクレームをつけ、ゆきとの面会を求めていると報告を受ける。うまく断れないのか、と言う守に、すでに雰囲気が悪くなっていて断れそうにない、と進は返す。  　ゆきが自分からの電話に出ないことを知る守は、小原沙織(西原亜希)の携帯からゆきに電話をする。守は事情を説明し、ゆきが書いた脚本なのだから山下と話すべきでは、と諭す。  　東京に戻ったゆきを迎えたのは進だった。進は、"&amp;"話があると言うゆきを遮って、自分の話を聞いてくれと言う。  　別の日、ゆきは『8月のボレロ』の撮影が行われるスタジオへ。山下が来るまで待機していてくれと言われたゆきは、守と2人きりになり…。")</f>
        <v>完成した『8月のボレロ』の脚本を残して星野守(草ナギ剛)や星野進(伊藤英明)の前から姿を消した春野ゆき(北川景子)から「キネマ・エトワール」に退職願が届く。川越裕太(藤ヶ谷太輔)や緒方須美花(蓮佛美沙子)らは驚くが、退職願を受け取った守は、ゆきの意志だから仕方がないと平然と言う。  　同じ頃、現王園玲子(平岩紙)と対面した進は、玲子から星野家の長男の嫁に受け継がれるネックレスのありかを聞かれ、ゆきが持っていることを明かす。  　一方、ゆきは青森の実家に帰っていた。明るく振る舞う娘に、母親の春野さち(市毛良枝)は心配が募る。そこへ、玲子がやってくる。  　その頃、守は進から『8月のボレロ』のクランクイン目前にして主演の山下智久(山下智久)が、セリフにクレームをつけ、ゆきとの面会を求めていると報告を受ける。うまく断れないのか、と言う守に、すでに雰囲気が悪くなっていて断れそうにない、と進は返す。  　ゆきが自分からの電話に出ないことを知る守は、小原沙織(西原亜希)の携帯からゆきに電話をする。守は事情を説明し、ゆきが書いた脚本なのだから山下と話すべきでは、と諭す。  　東京に戻ったゆきを迎えたのは進だった。進は、話があると言うゆきを遮って、自分の話を聞いてくれと言う。  　別の日、ゆきは『8月のボレロ』の撮影が行われるスタジオへ。山下が来るまで待機していてくれと言われたゆきは、守と2人きりになり…。</v>
      </c>
      <c r="N947" s="2"/>
      <c r="O947" s="2"/>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row>
    <row r="948" ht="204.75" customHeight="1">
      <c r="A948" s="1">
        <v>3124.0</v>
      </c>
      <c r="B948" s="2" t="s">
        <v>3046</v>
      </c>
      <c r="C948" s="2">
        <f>IFERROR(__xludf.DUMMYFUNCTION("split(B948,""_"")"),1310.0)</f>
        <v>1310</v>
      </c>
      <c r="D948" s="2" t="str">
        <f>IFERROR(__xludf.DUMMYFUNCTION("""COMPUTED_VALUE"""),"CX")</f>
        <v>CX</v>
      </c>
      <c r="E948" s="2" t="str">
        <f>IFERROR(__xludf.DUMMYFUNCTION("""COMPUTED_VALUE"""),"金20")</f>
        <v>金20</v>
      </c>
      <c r="F948" s="2" t="s">
        <v>3047</v>
      </c>
      <c r="G948" s="2" t="s">
        <v>3048</v>
      </c>
      <c r="H948" s="1">
        <v>1.0</v>
      </c>
      <c r="I948" s="1" t="s">
        <v>3</v>
      </c>
      <c r="J948" s="1" t="s">
        <v>2809</v>
      </c>
      <c r="K948" s="4" t="s">
        <v>3049</v>
      </c>
      <c r="L948" s="2" t="s">
        <v>3050</v>
      </c>
      <c r="M948" s="2" t="str">
        <f>IFERROR(__xludf.DUMMYFUNCTION("split(split(K948,""財前直見　"",false),""公式LINE"",false)"),"クリスマスイブの夜。「定食いさわ屋」店主・石和泰彦(沢村一樹)は、突然行方不明になった妻・縁(財前直見)を必死に探し回っている。そこに、泰彦の父で「いさわ屋」先代主人・尚彦(小野寺昭)、石和家長男・晴彦(松下洸平)、次男・雅彦(鈴木勝大)、長女・千代美(水谷果穂)も合流。その時、近くをパトカーが通り過ぎる。嫌な予感がした石和一家。パトカーが走り去った方向に進むと…。  　3カ月前のある早朝。2020年東京五輪開催が決定して喜びを爆発させた縁は、家族みんなで祝杯を上げる。朝の食卓を家族全員で囲む石和家。その"&amp;"後、子供3人を送り出した縁は、泰彦と開店準備を始める。昼時になり客も増えてくるが、満席にはならない。ある理由から雀町商店街には閉店する店が多く出てきていた。  　一方、尚彦におねだりして友達とお揃いのスパイクを買う小遣いをもらった千代美。サッカー部の練習試合後、友達から買い物に誘われるが、友達がもう次のお目当ての話題になっていて取り残された心地に…。  　就活が間近に迫る雅彦は、バイト先の塾長から進路を聞かれるが、ある悩みを抱えていて曖昧な返事しかできない。  　日曜出勤した晴彦。携帯が鳴ると、周囲に聞か"&amp;"れたくないのか小声で話して…。  　そんなある日、仕事を終えた縁、泰彦、尚彦が晴彦、雅彦、千代美がいる居間に帰ってきた。と、突然、晴彦が「実は俺、結婚するんだよね」と言い出して…。")</f>
        <v>クリスマスイブの夜。「定食いさわ屋」店主・石和泰彦(沢村一樹)は、突然行方不明になった妻・縁(財前直見)を必死に探し回っている。そこに、泰彦の父で「いさわ屋」先代主人・尚彦(小野寺昭)、石和家長男・晴彦(松下洸平)、次男・雅彦(鈴木勝大)、長女・千代美(水谷果穂)も合流。その時、近くをパトカーが通り過ぎる。嫌な予感がした石和一家。パトカーが走り去った方向に進むと…。  　3カ月前のある早朝。2020年東京五輪開催が決定して喜びを爆発させた縁は、家族みんなで祝杯を上げる。朝の食卓を家族全員で囲む石和家。その後、子供3人を送り出した縁は、泰彦と開店準備を始める。昼時になり客も増えてくるが、満席にはならない。ある理由から雀町商店街には閉店する店が多く出てきていた。  　一方、尚彦におねだりして友達とお揃いのスパイクを買う小遣いをもらった千代美。サッカー部の練習試合後、友達から買い物に誘われるが、友達がもう次のお目当ての話題になっていて取り残された心地に…。  　就活が間近に迫る雅彦は、バイト先の塾長から進路を聞かれるが、ある悩みを抱えていて曖昧な返事しかできない。  　日曜出勤した晴彦。携帯が鳴ると、周囲に聞かれたくないのか小声で話して…。  　そんなある日、仕事を終えた縁、泰彦、尚彦が晴彦、雅彦、千代美がいる居間に帰ってきた。と、突然、晴彦が「実は俺、結婚するんだよね」と言い出して…。</v>
      </c>
      <c r="N948" s="2"/>
      <c r="O948" s="2"/>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row>
    <row r="949" ht="204.75" customHeight="1">
      <c r="A949" s="1">
        <v>3125.0</v>
      </c>
      <c r="B949" s="2" t="s">
        <v>3046</v>
      </c>
      <c r="C949" s="2">
        <f>IFERROR(__xludf.DUMMYFUNCTION("split(B949,""_"")"),1310.0)</f>
        <v>1310</v>
      </c>
      <c r="D949" s="2" t="str">
        <f>IFERROR(__xludf.DUMMYFUNCTION("""COMPUTED_VALUE"""),"CX")</f>
        <v>CX</v>
      </c>
      <c r="E949" s="2" t="str">
        <f>IFERROR(__xludf.DUMMYFUNCTION("""COMPUTED_VALUE"""),"金20")</f>
        <v>金20</v>
      </c>
      <c r="F949" s="2" t="s">
        <v>3047</v>
      </c>
      <c r="G949" s="2" t="s">
        <v>3051</v>
      </c>
      <c r="H949" s="1">
        <v>2.0</v>
      </c>
      <c r="I949" s="1" t="s">
        <v>7</v>
      </c>
      <c r="J949" s="1" t="s">
        <v>2809</v>
      </c>
      <c r="K949" s="2" t="s">
        <v>3052</v>
      </c>
      <c r="L949" s="2" t="s">
        <v>3053</v>
      </c>
      <c r="M949" s="2" t="str">
        <f>IFERROR(__xludf.DUMMYFUNCTION("split(split(K949,""財前直見　"",false),""公式LINE"",false)"),"28年ぶりに娘・縁(財前直見)の元へと帰ってきた華江(真野響子)。華江は、旧知の仲である石和尚彦(小野寺昭)のツイッターで石和家の近況をチェックしていたのだった。浮気した男を選び、自分と兄・三松太一(佐藤二朗)、父を捨てた華江をそう簡単には許せない縁は神社に行き、平穏な家庭状況を返して欲しいと手を合わせる。  　その帰り、太一が嫁のすず(MEGUMI)と一緒に店を継いだ、実家の「三松漬物」に立ち寄った縁は、華江が突然帰ってきたことを太一たちに伝える。昔から母親に頭が上がらない太一は、ひどく動揺しつつも「来"&amp;"たらすぐに追い返すから!」と華江の面倒を見ることに反対するが、背後に華江が立っていて…。  　一方、長男・晴彦(松下洸平)が、職場の仲本製作所で働いていると、次男・雅彦(鈴木勝大)が母親に頼まれて弁当を持ってくる。昨晩、雅彦と言い合いになったことを謝りたい晴彦は「一緒に食う?」と雅彦を誘う。部活練習を終えた千代美(水谷果穂)は、チームメイトからあるチラシを見せられる。それは、海外のクラブチームが主催している短期のサッカー留学の話で…。  　「いさわ屋」店内。厨房で泰彦(沢村一樹)が料理を作っていると戸部哲"&amp;"史(高杉亘)が入ってきた。戸部は、泰彦がホテルシェフとして働いていた時代の上司。その戸部から「後で少し話せないか」と言われた泰彦は、休憩中に戸部から“ある話""を持ちかけられて…。")</f>
        <v>28年ぶりに娘・縁(財前直見)の元へと帰ってきた華江(真野響子)。華江は、旧知の仲である石和尚彦(小野寺昭)のツイッターで石和家の近況をチェックしていたのだった。浮気した男を選び、自分と兄・三松太一(佐藤二朗)、父を捨てた華江をそう簡単には許せない縁は神社に行き、平穏な家庭状況を返して欲しいと手を合わせる。  　その帰り、太一が嫁のすず(MEGUMI)と一緒に店を継いだ、実家の「三松漬物」に立ち寄った縁は、華江が突然帰ってきたことを太一たちに伝える。昔から母親に頭が上がらない太一は、ひどく動揺しつつも「来たらすぐに追い返すから!」と華江の面倒を見ることに反対するが、背後に華江が立っていて…。  　一方、長男・晴彦(松下洸平)が、職場の仲本製作所で働いていると、次男・雅彦(鈴木勝大)が母親に頼まれて弁当を持ってくる。昨晩、雅彦と言い合いになったことを謝りたい晴彦は「一緒に食う?」と雅彦を誘う。部活練習を終えた千代美(水谷果穂)は、チームメイトからあるチラシを見せられる。それは、海外のクラブチームが主催している短期のサッカー留学の話で…。  　「いさわ屋」店内。厨房で泰彦(沢村一樹)が料理を作っていると戸部哲史(高杉亘)が入ってきた。戸部は、泰彦がホテルシェフとして働いていた時代の上司。その戸部から「後で少し話せないか」と言われた泰彦は、休憩中に戸部から“ある話"を持ちかけられて…。</v>
      </c>
      <c r="N949" s="2"/>
      <c r="O949" s="2"/>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row>
    <row r="950" ht="204.75" customHeight="1">
      <c r="A950" s="1">
        <v>3126.0</v>
      </c>
      <c r="B950" s="2" t="s">
        <v>3046</v>
      </c>
      <c r="C950" s="2">
        <f>IFERROR(__xludf.DUMMYFUNCTION("split(B950,""_"")"),1310.0)</f>
        <v>1310</v>
      </c>
      <c r="D950" s="2" t="str">
        <f>IFERROR(__xludf.DUMMYFUNCTION("""COMPUTED_VALUE"""),"CX")</f>
        <v>CX</v>
      </c>
      <c r="E950" s="2" t="str">
        <f>IFERROR(__xludf.DUMMYFUNCTION("""COMPUTED_VALUE"""),"金20")</f>
        <v>金20</v>
      </c>
      <c r="F950" s="2" t="s">
        <v>3047</v>
      </c>
      <c r="G950" s="2" t="s">
        <v>3054</v>
      </c>
      <c r="H950" s="1">
        <v>3.0</v>
      </c>
      <c r="I950" s="1" t="s">
        <v>10</v>
      </c>
      <c r="J950" s="1" t="s">
        <v>2809</v>
      </c>
      <c r="K950" s="2" t="s">
        <v>3055</v>
      </c>
      <c r="L950" s="2" t="s">
        <v>3056</v>
      </c>
      <c r="M950" s="2" t="str">
        <f>IFERROR(__xludf.DUMMYFUNCTION("split(split(K950,""財前直見　"",false),""公式LINE"",false)"),"「この家に私を置いてください!」長男・晴彦(松下洸平)の婚約者・高城累(谷村美月)から突然お願いされた石和家。突然の発言に驚いた縁(財前直見)は立ちくらみを起こして倒れてしまう。寝室で休んでいる縁。その様子を見てから居間にきた泰彦(沢村一樹)は、累に、縁と昼間2人っきりで話したことを聞く。縁から「結婚は紙切れひとつだけの話ではない。」と言われたことが心に響いた累は、居ても立ってもいられず石和家に“同居したい""と先走ってしまったらしい。そんな累を、晴彦は「2人で話そっか!」と外に連れ出す。  　翌朝。朝食"&amp;"後、縁と泰彦が台所にいると長女の千代美(水谷果穂)が、サッカースクールのチラシを持って入ってくる。サッカーが上達するためにスクールからスカウトされたら…という仮の話をしつつ、「例えば60万かかるとしたら…」と伝えると、縁は「さすがにそんな大金はない!」と即答。両親を気遣い「ちょっと聞いてみただけだから!」と立ち去る千代美。  　一方、累は昨晩お世話になった御礼に「いさわ屋」を手伝いたい、と申し出る。店の手伝い方が良く分からない累は縁の邪魔になったり割り箸ケースを落としたり、と最初こそ迷惑をかけるが、縁が電"&amp;"卓で会計を計算するのに手こずっていると…。  　そんな中、晴彦と累から、それぞれ個別になれ初め話を聞いた次男・雅彦(鈴木勝大)と千代美。そこにはなぜか微妙な食い違いが…!?")</f>
        <v>「この家に私を置いてください!」長男・晴彦(松下洸平)の婚約者・高城累(谷村美月)から突然お願いされた石和家。突然の発言に驚いた縁(財前直見)は立ちくらみを起こして倒れてしまう。寝室で休んでいる縁。その様子を見てから居間にきた泰彦(沢村一樹)は、累に、縁と昼間2人っきりで話したことを聞く。縁から「結婚は紙切れひとつだけの話ではない。」と言われたことが心に響いた累は、居ても立ってもいられず石和家に“同居したい"と先走ってしまったらしい。そんな累を、晴彦は「2人で話そっか!」と外に連れ出す。  　翌朝。朝食後、縁と泰彦が台所にいると長女の千代美(水谷果穂)が、サッカースクールのチラシを持って入ってくる。サッカーが上達するためにスクールからスカウトされたら…という仮の話をしつつ、「例えば60万かかるとしたら…」と伝えると、縁は「さすがにそんな大金はない!」と即答。両親を気遣い「ちょっと聞いてみただけだから!」と立ち去る千代美。  　一方、累は昨晩お世話になった御礼に「いさわ屋」を手伝いたい、と申し出る。店の手伝い方が良く分からない累は縁の邪魔になったり割り箸ケースを落としたり、と最初こそ迷惑をかけるが、縁が電卓で会計を計算するのに手こずっていると…。  　そんな中、晴彦と累から、それぞれ個別になれ初め話を聞いた次男・雅彦(鈴木勝大)と千代美。そこにはなぜか微妙な食い違いが…!?</v>
      </c>
      <c r="N950" s="2"/>
      <c r="O950" s="2"/>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row>
    <row r="951" ht="204.75" customHeight="1">
      <c r="A951" s="1">
        <v>3127.0</v>
      </c>
      <c r="B951" s="2" t="s">
        <v>3046</v>
      </c>
      <c r="C951" s="2">
        <f>IFERROR(__xludf.DUMMYFUNCTION("split(B951,""_"")"),1310.0)</f>
        <v>1310</v>
      </c>
      <c r="D951" s="2" t="str">
        <f>IFERROR(__xludf.DUMMYFUNCTION("""COMPUTED_VALUE"""),"CX")</f>
        <v>CX</v>
      </c>
      <c r="E951" s="2" t="str">
        <f>IFERROR(__xludf.DUMMYFUNCTION("""COMPUTED_VALUE"""),"金20")</f>
        <v>金20</v>
      </c>
      <c r="F951" s="2" t="s">
        <v>3047</v>
      </c>
      <c r="G951" s="2" t="s">
        <v>3057</v>
      </c>
      <c r="H951" s="1">
        <v>4.0</v>
      </c>
      <c r="I951" s="1" t="s">
        <v>14</v>
      </c>
      <c r="J951" s="1" t="s">
        <v>2809</v>
      </c>
      <c r="K951" s="2" t="s">
        <v>3058</v>
      </c>
      <c r="L951" s="2" t="s">
        <v>3059</v>
      </c>
      <c r="M951" s="2" t="str">
        <f>IFERROR(__xludf.DUMMYFUNCTION("split(split(K951,""財前直見　"",false),""公式LINE"",false)"),"会社に向かい歩いていく高城累(谷村美月)を尾行する人物…それは、帽子にマスクという怪しい姿の縁(財前直見)であった。長男・晴彦(松下洸平)と累が、お互いに名字で呼び合っていたのを偶然聞いてしまった縁は、妙によそよそしい2人の関係が気になっていた。母・華江(真野響子)も「あの2人、男と女の匂いが全然してこないのよねえ」と疑いはじめていて…。  　累の勤務先を訪れた帰り、縁は晴彦が勤める仲本製作所に立ち寄る。こっそり中を覗き込んでいた縁は、社長の仲本幸吉(小杉幸彦)に見つかってしまい、流れで晴彦の近況を尋ねた"&amp;"ところ…。  　石和家に戻ってきた縁。玄関に入っていくと電話で話している泰彦(沢村一樹)の声が聞こえてくる。その様子から、泰彦が断ったと話していた先輩シェフ・戸部(高杉亘)からの転職の誘いの話だと判り、縁は困惑する。  　年齢をごまかしてネットカフェでのバイトを始めた千代美(水谷果穂)。あることで店長からとがめられてしまう…。そのバイト帰り、自宅に戻ると“いさわ家""を覗き込む華江がいて「ちょっと付き合いなさいよ」と誘われる。  　親に内緒で塾のバイトを辞め、演芸ホールで呼び込みの手伝いをしている雅彦(鈴"&amp;"木勝大)。我慢できなくなり、中の寄席を見に行く。高座には雅彦が尊敬する秋月亭唐楽(春風亭小柳枝)の姿。雅彦は何かを決意した表情で…。")</f>
        <v>会社に向かい歩いていく高城累(谷村美月)を尾行する人物…それは、帽子にマスクという怪しい姿の縁(財前直見)であった。長男・晴彦(松下洸平)と累が、お互いに名字で呼び合っていたのを偶然聞いてしまった縁は、妙によそよそしい2人の関係が気になっていた。母・華江(真野響子)も「あの2人、男と女の匂いが全然してこないのよねえ」と疑いはじめていて…。  　累の勤務先を訪れた帰り、縁は晴彦が勤める仲本製作所に立ち寄る。こっそり中を覗き込んでいた縁は、社長の仲本幸吉(小杉幸彦)に見つかってしまい、流れで晴彦の近況を尋ねたところ…。  　石和家に戻ってきた縁。玄関に入っていくと電話で話している泰彦(沢村一樹)の声が聞こえてくる。その様子から、泰彦が断ったと話していた先輩シェフ・戸部(高杉亘)からの転職の誘いの話だと判り、縁は困惑する。  　年齢をごまかしてネットカフェでのバイトを始めた千代美(水谷果穂)。あることで店長からとがめられてしまう…。そのバイト帰り、自宅に戻ると“いさわ家"を覗き込む華江がいて「ちょっと付き合いなさいよ」と誘われる。  　親に内緒で塾のバイトを辞め、演芸ホールで呼び込みの手伝いをしている雅彦(鈴木勝大)。我慢できなくなり、中の寄席を見に行く。高座には雅彦が尊敬する秋月亭唐楽(春風亭小柳枝)の姿。雅彦は何かを決意した表情で…。</v>
      </c>
      <c r="N951" s="2"/>
      <c r="O951" s="2"/>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row>
    <row r="952" ht="204.75" customHeight="1">
      <c r="A952" s="1">
        <v>3128.0</v>
      </c>
      <c r="B952" s="2" t="s">
        <v>3046</v>
      </c>
      <c r="C952" s="2">
        <f>IFERROR(__xludf.DUMMYFUNCTION("split(B952,""_"")"),1310.0)</f>
        <v>1310</v>
      </c>
      <c r="D952" s="2" t="str">
        <f>IFERROR(__xludf.DUMMYFUNCTION("""COMPUTED_VALUE"""),"CX")</f>
        <v>CX</v>
      </c>
      <c r="E952" s="2" t="str">
        <f>IFERROR(__xludf.DUMMYFUNCTION("""COMPUTED_VALUE"""),"金20")</f>
        <v>金20</v>
      </c>
      <c r="F952" s="2" t="s">
        <v>3047</v>
      </c>
      <c r="G952" s="2" t="s">
        <v>3060</v>
      </c>
      <c r="H952" s="1">
        <v>5.0</v>
      </c>
      <c r="I952" s="1" t="s">
        <v>17</v>
      </c>
      <c r="J952" s="1" t="s">
        <v>2809</v>
      </c>
      <c r="K952" s="2" t="s">
        <v>3061</v>
      </c>
      <c r="L952" s="2" t="s">
        <v>3062</v>
      </c>
      <c r="M952" s="2" t="str">
        <f>IFERROR(__xludf.DUMMYFUNCTION("split(split(K952,""財前直見　"",false),""公式LINE"",false)"),"長男・晴彦(松下洸平)と高城累(谷村美月)の結婚動機が累の母親の入院費用を捻出するためと知ってしまった縁(財前直見)。2人と話をしても納得できなかった縁と泰彦(沢村一樹)は2人を家から追い出してしまう。  　翌朝、晴彦も累もいない食卓。縁は昨晩の出来事で頭がいっぱいでどこか上の空。尚彦(小野寺昭)が食卓の淋しい雰囲気を変えようと、千代美(水谷果穂)が縁に内緒で祖母・華江(真野響子)に買ってもらったシュシュのことや次男・雅彦(鈴木勝大)が家族に内緒で落語家を目指していることに触れてしまい、逆に微妙な空気を作"&amp;"ってしまう…。そんな中、縁は戸部(高杉亘)との約束に行こうとしない泰彦に行くようにと促す。  　ネットカフェで一晩過ごした晴彦と累。朝になって隣の個室にいる累に声をかけるも累は既にいなくなっていた。  　戸部が経営する会社“TETSUSHI　TOBE""の研修施設を見学に訪れた泰彦。銀座大手デパートとのコラボメニューを検討している場でついつい口を挟んでしまい…。  　部活を最近休んでいる千代美は、友達に誘われた海外サッカースクールの件を聞かれたが費用の問題が解決しておらず歯切れが悪い。  　一方、落語家に"&amp;"なりたいという夢がある雅彦は、秋月亭唐丸(清水伸)が講師を務める落語教室を訪れる。  　縁、泰彦、尚彦の3人だけでとる夕食。突然、尚彦が「いさわ屋は明日から3日間休み!」と言い出して…。")</f>
        <v>長男・晴彦(松下洸平)と高城累(谷村美月)の結婚動機が累の母親の入院費用を捻出するためと知ってしまった縁(財前直見)。2人と話をしても納得できなかった縁と泰彦(沢村一樹)は2人を家から追い出してしまう。  　翌朝、晴彦も累もいない食卓。縁は昨晩の出来事で頭がいっぱいでどこか上の空。尚彦(小野寺昭)が食卓の淋しい雰囲気を変えようと、千代美(水谷果穂)が縁に内緒で祖母・華江(真野響子)に買ってもらったシュシュのことや次男・雅彦(鈴木勝大)が家族に内緒で落語家を目指していることに触れてしまい、逆に微妙な空気を作ってしまう…。そんな中、縁は戸部(高杉亘)との約束に行こうとしない泰彦に行くようにと促す。  　ネットカフェで一晩過ごした晴彦と累。朝になって隣の個室にいる累に声をかけるも累は既にいなくなっていた。  　戸部が経営する会社“TETSUSHI　TOBE"の研修施設を見学に訪れた泰彦。銀座大手デパートとのコラボメニューを検討している場でついつい口を挟んでしまい…。  　部活を最近休んでいる千代美は、友達に誘われた海外サッカースクールの件を聞かれたが費用の問題が解決しておらず歯切れが悪い。  　一方、落語家になりたいという夢がある雅彦は、秋月亭唐丸(清水伸)が講師を務める落語教室を訪れる。  　縁、泰彦、尚彦の3人だけでとる夕食。突然、尚彦が「いさわ屋は明日から3日間休み!」と言い出して…。</v>
      </c>
      <c r="N952" s="2"/>
      <c r="O952" s="2"/>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row>
    <row r="953" ht="204.75" customHeight="1">
      <c r="A953" s="1">
        <v>3129.0</v>
      </c>
      <c r="B953" s="2" t="s">
        <v>3046</v>
      </c>
      <c r="C953" s="2">
        <f>IFERROR(__xludf.DUMMYFUNCTION("split(B953,""_"")"),1310.0)</f>
        <v>1310</v>
      </c>
      <c r="D953" s="2" t="str">
        <f>IFERROR(__xludf.DUMMYFUNCTION("""COMPUTED_VALUE"""),"CX")</f>
        <v>CX</v>
      </c>
      <c r="E953" s="2" t="str">
        <f>IFERROR(__xludf.DUMMYFUNCTION("""COMPUTED_VALUE"""),"金20")</f>
        <v>金20</v>
      </c>
      <c r="F953" s="2" t="s">
        <v>3047</v>
      </c>
      <c r="G953" s="2" t="s">
        <v>3063</v>
      </c>
      <c r="H953" s="1">
        <v>6.0</v>
      </c>
      <c r="I953" s="1" t="s">
        <v>21</v>
      </c>
      <c r="J953" s="1" t="s">
        <v>2809</v>
      </c>
      <c r="K953" s="2" t="s">
        <v>3064</v>
      </c>
      <c r="L953" s="2" t="s">
        <v>3065</v>
      </c>
      <c r="M953" s="2" t="str">
        <f>IFERROR(__xludf.DUMMYFUNCTION("split(split(K953,""財前直見　"",false),""公式LINE"",false)"),"警察に補導された長女・千代美(水谷果穂)を迎えに行く石和縁(財前直見)と夫・泰彦(沢村一樹)と長男・晴彦(松下洸平)。地元の警察官で“いさわ家""の常連でもある杉田竜次(小松利昌)が警ら中に、ネットカフェの制服を着て歩いていた千代美を見かけて、店の店長に事情を聴いたところアルバイトしていたというので保護したという。  　警察署から帰宅後、バイトしていた理由を聞くと、千代美は「サッカースクールに通いたかった」と説明するが、バイトで部活を休むことは本末転倒、と縁に責められる。感情が爆発した千代美は縁に…。  "&amp;"　警察署から一緒に戻ってきた晴彦。千代美と縁のやり取りを見届けると、「俺、行くから」と家を出ていこうとする。晴彦のことも気がかりな縁は、「一度きちんと話そう」と声をかけるが、高城累(谷村美月)とのことをちゃんとするまでは帰らない、と言い出ていく。  　一人残された次男・雅彦(鈴木勝大)もその場から逃げるように部屋に行き、落語の練習を始めるが家族のことが気になり集中できず…。  　数日後、“いさわ家""の昼営業を終えると、戸部哲史(高杉亘)が店にやってきた。泰彦が提案したディナーメニューが取引先の興味を引き"&amp;"、追加のバリエーションが欲しいので泰彦の力を貸してほしい、と戸部は頭を下げる。自分の店のこともあるので、何て返答しようかためらっていたしていた泰彦。そこに話を聞いていた縁がやってきて…。")</f>
        <v>警察に補導された長女・千代美(水谷果穂)を迎えに行く石和縁(財前直見)と夫・泰彦(沢村一樹)と長男・晴彦(松下洸平)。地元の警察官で“いさわ家"の常連でもある杉田竜次(小松利昌)が警ら中に、ネットカフェの制服を着て歩いていた千代美を見かけて、店の店長に事情を聴いたところアルバイトしていたというので保護したという。  　警察署から帰宅後、バイトしていた理由を聞くと、千代美は「サッカースクールに通いたかった」と説明するが、バイトで部活を休むことは本末転倒、と縁に責められる。感情が爆発した千代美は縁に…。  　警察署から一緒に戻ってきた晴彦。千代美と縁のやり取りを見届けると、「俺、行くから」と家を出ていこうとする。晴彦のことも気がかりな縁は、「一度きちんと話そう」と声をかけるが、高城累(谷村美月)とのことをちゃんとするまでは帰らない、と言い出ていく。  　一人残された次男・雅彦(鈴木勝大)もその場から逃げるように部屋に行き、落語の練習を始めるが家族のことが気になり集中できず…。  　数日後、“いさわ家"の昼営業を終えると、戸部哲史(高杉亘)が店にやってきた。泰彦が提案したディナーメニューが取引先の興味を引き、追加のバリエーションが欲しいので泰彦の力を貸してほしい、と戸部は頭を下げる。自分の店のこともあるので、何て返答しようかためらっていたしていた泰彦。そこに話を聞いていた縁がやってきて…。</v>
      </c>
      <c r="N953" s="2"/>
      <c r="O953" s="2"/>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row>
    <row r="954" ht="204.75" customHeight="1">
      <c r="A954" s="1">
        <v>3130.0</v>
      </c>
      <c r="B954" s="2" t="s">
        <v>3046</v>
      </c>
      <c r="C954" s="2">
        <f>IFERROR(__xludf.DUMMYFUNCTION("split(B954,""_"")"),1310.0)</f>
        <v>1310</v>
      </c>
      <c r="D954" s="2" t="str">
        <f>IFERROR(__xludf.DUMMYFUNCTION("""COMPUTED_VALUE"""),"CX")</f>
        <v>CX</v>
      </c>
      <c r="E954" s="2" t="str">
        <f>IFERROR(__xludf.DUMMYFUNCTION("""COMPUTED_VALUE"""),"金20")</f>
        <v>金20</v>
      </c>
      <c r="F954" s="2" t="s">
        <v>3047</v>
      </c>
      <c r="G954" s="2" t="s">
        <v>3066</v>
      </c>
      <c r="H954" s="1">
        <v>7.0</v>
      </c>
      <c r="I954" s="1" t="s">
        <v>25</v>
      </c>
      <c r="J954" s="1" t="s">
        <v>2809</v>
      </c>
      <c r="K954" s="2" t="s">
        <v>3067</v>
      </c>
      <c r="L954" s="2" t="s">
        <v>3068</v>
      </c>
      <c r="M954" s="2" t="str">
        <f>IFERROR(__xludf.DUMMYFUNCTION("split(split(K954,""財前直見　"",false),""公式LINE"",false)"),"三松華江(真野響子)から28年前に浮気したのは父親の方だったという真実を告げられた縁(財前直見)と三松太一(佐藤二朗)は複雑な心境でいた。  　一方、泰彦(沢村一樹)は縁に背中を押されて、戸部哲史(高杉亘)からの転職話を前向きに考える。そんなある日、戸部の会社の研究施設に行くと、先にいた近田美咲(松下由樹)と2人っきりに。22年前に泰彦との間にできた子供を泰彦に預け、パティシエールになるためにパリへ1人で旅立ったきり音信不通だった美咲に、泰彦は子供を手放したときの本当の気持ちを教えて欲しい、と話す。美咲が"&amp;"口にした言葉は・・・。  　秋月亭唐丸(清水伸)から落語指導を受ける次男・雅彦(鈴木勝大)。落語のお題から「親の気持ちを知りなさい」と言われて・・・。  　長男・晴彦(松下洸平)は、高城累(谷村美月)と正式に交際することになり、2人で石和家に報告しに行く決心をする。  　下町グランプリも間近に迫ったある日、太一は雀町商店街キャラクターのスズメンだけでは頼りないと、ふなっしーをPR特別講師として招くが何故か大騒動になり・・・。  　雅彦は唐丸に言われて自分のルーツを探そうと、両親の寝室にあるアルバムを開く。"&amp;"そこには兄妹の赤ん坊時代の写真などが貼ってあり懐かしむ。と、アルバムの奥に縁と泰彦の結婚記念日が記されたマグカップがあるのに気付く。その記念日の日付を見た雅彦は、ある疑念を抱いて・・・。")</f>
        <v>三松華江(真野響子)から28年前に浮気したのは父親の方だったという真実を告げられた縁(財前直見)と三松太一(佐藤二朗)は複雑な心境でいた。  　一方、泰彦(沢村一樹)は縁に背中を押されて、戸部哲史(高杉亘)からの転職話を前向きに考える。そんなある日、戸部の会社の研究施設に行くと、先にいた近田美咲(松下由樹)と2人っきりに。22年前に泰彦との間にできた子供を泰彦に預け、パティシエールになるためにパリへ1人で旅立ったきり音信不通だった美咲に、泰彦は子供を手放したときの本当の気持ちを教えて欲しい、と話す。美咲が口にした言葉は・・・。  　秋月亭唐丸(清水伸)から落語指導を受ける次男・雅彦(鈴木勝大)。落語のお題から「親の気持ちを知りなさい」と言われて・・・。  　長男・晴彦(松下洸平)は、高城累(谷村美月)と正式に交際することになり、2人で石和家に報告しに行く決心をする。  　下町グランプリも間近に迫ったある日、太一は雀町商店街キャラクターのスズメンだけでは頼りないと、ふなっしーをPR特別講師として招くが何故か大騒動になり・・・。  　雅彦は唐丸に言われて自分のルーツを探そうと、両親の寝室にあるアルバムを開く。そこには兄妹の赤ん坊時代の写真などが貼ってあり懐かしむ。と、アルバムの奥に縁と泰彦の結婚記念日が記されたマグカップがあるのに気付く。その記念日の日付を見た雅彦は、ある疑念を抱いて・・・。</v>
      </c>
      <c r="N954" s="2"/>
      <c r="O954" s="2"/>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row>
    <row r="955" ht="204.75" customHeight="1">
      <c r="A955" s="1">
        <v>3131.0</v>
      </c>
      <c r="B955" s="2" t="s">
        <v>3046</v>
      </c>
      <c r="C955" s="2">
        <f>IFERROR(__xludf.DUMMYFUNCTION("split(B955,""_"")"),1310.0)</f>
        <v>1310</v>
      </c>
      <c r="D955" s="2" t="str">
        <f>IFERROR(__xludf.DUMMYFUNCTION("""COMPUTED_VALUE"""),"CX")</f>
        <v>CX</v>
      </c>
      <c r="E955" s="2" t="str">
        <f>IFERROR(__xludf.DUMMYFUNCTION("""COMPUTED_VALUE"""),"金20")</f>
        <v>金20</v>
      </c>
      <c r="F955" s="2" t="s">
        <v>3047</v>
      </c>
      <c r="G955" s="2" t="s">
        <v>3069</v>
      </c>
      <c r="H955" s="1">
        <v>8.0</v>
      </c>
      <c r="I955" s="1" t="s">
        <v>29</v>
      </c>
      <c r="J955" s="1" t="s">
        <v>2809</v>
      </c>
      <c r="K955" s="2" t="s">
        <v>3070</v>
      </c>
      <c r="L955" s="2" t="s">
        <v>3071</v>
      </c>
      <c r="M955" s="2" t="str">
        <f>IFERROR(__xludf.DUMMYFUNCTION("split(split(K955,""財前直見　"",false),""公式LINE"",false)"),"近所の神社で鉢合わせしてしまった縁(財前直見)と泰彦(沢村一樹)、美咲(松下由樹)、晴彦(松下洸平)。泰彦の口から、ここにいる女性(美咲)が実の母親だと聞かされた晴彦は、美咲を睨むように一瞥して無言で立ち去る。その場に残された3人も無言だったが、美咲が「失礼します」とその場を立ち去る。縁は泰彦に「晴彦だけは傷つけたくなかった」と言い残して…。  　その夜、縁は母・華江(真野響子)がいるホテルを訪ねて、浴びるように酒を飲む。「私は神様との勝負に負けたんだ」と弱音を吐く縁。泣きながら「母さんも同じ気持ちだった"&amp;"?」と質問するが…。  　一方、実母と対面してしまった晴彦は混乱していた。正式に“彼女""となった高城累(谷村美月)は「自分を娘だと認識できなくなっても共に生きた時間があるから大丈夫」と自らの母親との関係を語り、間接的に晴彦を励ます。  　一方、雅彦(鈴木勝大)と千代美(水谷果穂)と話す尚彦(小野寺昭)。「父さん母さんは家族を守るためウソを突き通すことを決めたんだ」という尚彦の言葉に2人はそれぞれ思いを巡らせる。  　夜になって石和家に華江から電話がかかってくる。「(縁を)だいぶ前にホテルを追い出したけど"&amp;"帰宅してるか心配になって」と。そこに太一(佐藤二朗)がやってきて「夕方、縁を見かけた時に目が据わってたから心配になって!」と。帰ってこない縁を家族全員で探すことになったのだが…。")</f>
        <v>近所の神社で鉢合わせしてしまった縁(財前直見)と泰彦(沢村一樹)、美咲(松下由樹)、晴彦(松下洸平)。泰彦の口から、ここにいる女性(美咲)が実の母親だと聞かされた晴彦は、美咲を睨むように一瞥して無言で立ち去る。その場に残された3人も無言だったが、美咲が「失礼します」とその場を立ち去る。縁は泰彦に「晴彦だけは傷つけたくなかった」と言い残して…。  　その夜、縁は母・華江(真野響子)がいるホテルを訪ねて、浴びるように酒を飲む。「私は神様との勝負に負けたんだ」と弱音を吐く縁。泣きながら「母さんも同じ気持ちだった?」と質問するが…。  　一方、実母と対面してしまった晴彦は混乱していた。正式に“彼女"となった高城累(谷村美月)は「自分を娘だと認識できなくなっても共に生きた時間があるから大丈夫」と自らの母親との関係を語り、間接的に晴彦を励ます。  　一方、雅彦(鈴木勝大)と千代美(水谷果穂)と話す尚彦(小野寺昭)。「父さん母さんは家族を守るためウソを突き通すことを決めたんだ」という尚彦の言葉に2人はそれぞれ思いを巡らせる。  　夜になって石和家に華江から電話がかかってくる。「(縁を)だいぶ前にホテルを追い出したけど帰宅してるか心配になって」と。そこに太一(佐藤二朗)がやってきて「夕方、縁を見かけた時に目が据わってたから心配になって!」と。帰ってこない縁を家族全員で探すことになったのだが…。</v>
      </c>
      <c r="N955" s="2"/>
      <c r="O955" s="2"/>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row>
    <row r="956" ht="204.75" customHeight="1">
      <c r="A956" s="1">
        <v>3159.0</v>
      </c>
      <c r="B956" s="2" t="s">
        <v>3072</v>
      </c>
      <c r="C956" s="2">
        <f>IFERROR(__xludf.DUMMYFUNCTION("split(B956,""_"")"),1310.0)</f>
        <v>1310</v>
      </c>
      <c r="D956" s="2" t="str">
        <f>IFERROR(__xludf.DUMMYFUNCTION("""COMPUTED_VALUE"""),"CX")</f>
        <v>CX</v>
      </c>
      <c r="E956" s="2" t="str">
        <f>IFERROR(__xludf.DUMMYFUNCTION("""COMPUTED_VALUE"""),"土23")</f>
        <v>土23</v>
      </c>
      <c r="F956" s="2" t="s">
        <v>3073</v>
      </c>
      <c r="G956" s="2" t="s">
        <v>3074</v>
      </c>
      <c r="H956" s="1">
        <v>1.0</v>
      </c>
      <c r="I956" s="1" t="s">
        <v>3</v>
      </c>
      <c r="J956" s="1" t="s">
        <v>2429</v>
      </c>
      <c r="K956" s="4" t="s">
        <v>3075</v>
      </c>
      <c r="L956" s="8" t="s">
        <v>3076</v>
      </c>
      <c r="M956" s="2" t="str">
        <f>IFERROR(__xludf.DUMMYFUNCTION("split(split(K956,""美山悠一:"",false),""html)"",false)"),"AKIRAほか豪華キャストや、手に汗握るストーリーの紹介はオフィシャルサイト(http://www.fujitv.co.jp/honey-trap/index.")</f>
        <v>AKIRAほか豪華キャストや、手に汗握るストーリーの紹介はオフィシャルサイト(http://www.fujitv.co.jp/honey-trap/index.</v>
      </c>
      <c r="N956" s="2" t="str">
        <f>IFERROR(__xludf.DUMMYFUNCTION("""COMPUTED_VALUE"""),"へ!　一流商社・総和物産の先端材料事業部で働く美山悠一(AKIRA)は、同じ会社の経理部で働く心優しい妻・なつみ(仲間由紀恵)との結婚式を控え、熱心に仕事に打ち込む日々を送っていた。  　悠一が開発を進めていた“奇跡の素材""と呼ばれる繊維プロジェクトについて、上司の折田忠(神尾佑)から、全社を挙げてバックアップすること、そしてその素材の研究者である小野寺教授(長谷川初範)を顧問に招き、悠一にプロジェクトの責任者として新会社を任せることを伝えられる。小野寺は20年前に亡くなった悠一の母の葬儀以来、姿を消し"&amp;"た悠一の父だった。複雑な思いを抑え、あくまでも仕事の相手としてふるまう悠一。  　そんなある日、出社した悠一はライバル社のミレ・パシフィックが総和物産と同じ方法で同じ繊維プロジェクトの実験を始めた、と知らされる。ミレ・パシフィックからヘッドハンティングを受けていた悠一は、社内で情報漏洩を疑われ、一方的に謹慎を言い渡される。混乱の中、小野寺の研究室へ向かうと、父の姿はなく、開発中の重要なデータが入っているパソコンがなくなっている様子を目にして驚く。さらに悠一は何者かに襲われ、車に連れ込まれてしまう。")</f>
        <v>へ!　一流商社・総和物産の先端材料事業部で働く美山悠一(AKIRA)は、同じ会社の経理部で働く心優しい妻・なつみ(仲間由紀恵)との結婚式を控え、熱心に仕事に打ち込む日々を送っていた。  　悠一が開発を進めていた“奇跡の素材"と呼ばれる繊維プロジェクトについて、上司の折田忠(神尾佑)から、全社を挙げてバックアップすること、そしてその素材の研究者である小野寺教授(長谷川初範)を顧問に招き、悠一にプロジェクトの責任者として新会社を任せることを伝えられる。小野寺は20年前に亡くなった悠一の母の葬儀以来、姿を消した悠一の父だった。複雑な思いを抑え、あくまでも仕事の相手としてふるまう悠一。  　そんなある日、出社した悠一はライバル社のミレ・パシフィックが総和物産と同じ方法で同じ繊維プロジェクトの実験を始めた、と知らされる。ミレ・パシフィックからヘッドハンティングを受けていた悠一は、社内で情報漏洩を疑われ、一方的に謹慎を言い渡される。混乱の中、小野寺の研究室へ向かうと、父の姿はなく、開発中の重要なデータが入っているパソコンがなくなっている様子を目にして驚く。さらに悠一は何者かに襲われ、車に連れ込まれてしまう。</v>
      </c>
      <c r="O956" s="2"/>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row>
    <row r="957" ht="204.75" customHeight="1">
      <c r="A957" s="1">
        <v>3160.0</v>
      </c>
      <c r="B957" s="2" t="s">
        <v>3072</v>
      </c>
      <c r="C957" s="2">
        <f>IFERROR(__xludf.DUMMYFUNCTION("split(B957,""_"")"),1310.0)</f>
        <v>1310</v>
      </c>
      <c r="D957" s="2" t="str">
        <f>IFERROR(__xludf.DUMMYFUNCTION("""COMPUTED_VALUE"""),"CX")</f>
        <v>CX</v>
      </c>
      <c r="E957" s="2" t="str">
        <f>IFERROR(__xludf.DUMMYFUNCTION("""COMPUTED_VALUE"""),"土23")</f>
        <v>土23</v>
      </c>
      <c r="F957" s="2" t="s">
        <v>3073</v>
      </c>
      <c r="G957" s="2" t="s">
        <v>3077</v>
      </c>
      <c r="H957" s="1">
        <v>2.0</v>
      </c>
      <c r="I957" s="1" t="s">
        <v>7</v>
      </c>
      <c r="J957" s="1" t="s">
        <v>2429</v>
      </c>
      <c r="K957" s="2" t="s">
        <v>3078</v>
      </c>
      <c r="L957" s="8" t="s">
        <v>3079</v>
      </c>
      <c r="M957" s="2" t="str">
        <f>IFERROR(__xludf.DUMMYFUNCTION("split(split(K957,""美山悠一:"",false),""html)"",false)"),"AKIRAほか豪華キャストや、手に汗握るストーリーの紹介はオフィシャルサイト(http://www.fujitv.co.jp/honey-trap/index.")</f>
        <v>AKIRAほか豪華キャストや、手に汗握るストーリーの紹介はオフィシャルサイト(http://www.fujitv.co.jp/honey-trap/index.</v>
      </c>
      <c r="N957" s="2" t="str">
        <f>IFERROR(__xludf.DUMMYFUNCTION("""COMPUTED_VALUE"""),"へ!　美山悠一(AKIRA)は、突然知らないアドレスから届いたメールに従い、なつみ(仲間由紀恵)のバッグから鍵を探し出してマンションの隣室に向かう。そこで盗聴器やなつみの顔写真入りの偽造パスポート数冊を発見する。悠一はなつみを信じたい気持ちと膨らむ疑念にさいなまれるなか、教会で2人だけの結婚式を挙げる。その直後、悠一は警察を装った怪しい男たちに再び狙われるが、そんな危機を救ってくれたのはなつみだった。悠一は、思い切ってパスポートにあった「次原明日香」という別名のことや、隣の部屋のことをなつみにぶつけるが・"&amp;"・・。  　一方、悠一が勤めていた総和物産では大洋国際特許事務所の小林恭助(高嶋政伸)が繊維プロジェクトの情報漏洩の件について関係者に調査を行っていた。謹慎処分中の悠一は会社から呼び出され、信じていた上司の折田忠(神尾佑)や安藤眞一(森岡豊)らから、犯人と断定する数々の証拠を突きつけられ、窮地に追い込まれて・・・。")</f>
        <v>へ!　美山悠一(AKIRA)は、突然知らないアドレスから届いたメールに従い、なつみ(仲間由紀恵)のバッグから鍵を探し出してマンションの隣室に向かう。そこで盗聴器やなつみの顔写真入りの偽造パスポート数冊を発見する。悠一はなつみを信じたい気持ちと膨らむ疑念にさいなまれるなか、教会で2人だけの結婚式を挙げる。その直後、悠一は警察を装った怪しい男たちに再び狙われるが、そんな危機を救ってくれたのはなつみだった。悠一は、思い切ってパスポートにあった「次原明日香」という別名のことや、隣の部屋のことをなつみにぶつけるが・・・。  　一方、悠一が勤めていた総和物産では大洋国際特許事務所の小林恭助(高嶋政伸)が繊維プロジェクトの情報漏洩の件について関係者に調査を行っていた。謹慎処分中の悠一は会社から呼び出され、信じていた上司の折田忠(神尾佑)や安藤眞一(森岡豊)らから、犯人と断定する数々の証拠を突きつけられ、窮地に追い込まれて・・・。</v>
      </c>
      <c r="O957" s="2"/>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row>
    <row r="958" ht="204.75" customHeight="1">
      <c r="A958" s="1">
        <v>3161.0</v>
      </c>
      <c r="B958" s="2" t="s">
        <v>3072</v>
      </c>
      <c r="C958" s="2">
        <f>IFERROR(__xludf.DUMMYFUNCTION("split(B958,""_"")"),1310.0)</f>
        <v>1310</v>
      </c>
      <c r="D958" s="2" t="str">
        <f>IFERROR(__xludf.DUMMYFUNCTION("""COMPUTED_VALUE"""),"CX")</f>
        <v>CX</v>
      </c>
      <c r="E958" s="2" t="str">
        <f>IFERROR(__xludf.DUMMYFUNCTION("""COMPUTED_VALUE"""),"土23")</f>
        <v>土23</v>
      </c>
      <c r="F958" s="2" t="s">
        <v>3073</v>
      </c>
      <c r="G958" s="2" t="s">
        <v>3080</v>
      </c>
      <c r="H958" s="1">
        <v>3.0</v>
      </c>
      <c r="I958" s="1" t="s">
        <v>10</v>
      </c>
      <c r="J958" s="1" t="s">
        <v>2429</v>
      </c>
      <c r="K958" s="2" t="s">
        <v>3081</v>
      </c>
      <c r="L958" s="8" t="s">
        <v>3082</v>
      </c>
      <c r="M958" s="2" t="str">
        <f>IFERROR(__xludf.DUMMYFUNCTION("split(split(K958,""美山悠一:"",false),""html)"",false)"),"AKIRAほか豪華キャストや、手に汗握るストーリーの紹介はオフィシャルサイト(http://www.fujitv.co.jp/honey-trap/index.")</f>
        <v>AKIRAほか豪華キャストや、手に汗握るストーリーの紹介はオフィシャルサイト(http://www.fujitv.co.jp/honey-trap/index.</v>
      </c>
      <c r="N958" s="2" t="str">
        <f>IFERROR(__xludf.DUMMYFUNCTION("""COMPUTED_VALUE"""),"へ!　美山悠一(AKIRA)は、自らが開発を進めていた新素材・グラフェンの情報が何者かに盗まれ、会社からも疑われ、窮地に立たされる。そこへ、妻のなつみ(仲間由紀恵)から「グラフェンデータを盗んだのは日下部(丸山智己)」というメールが届く。悠一は、同じ部署の課長・日下部のパソコンから証拠となるデータを抜き出し、執行役員の折田忠(神尾祐)に告発する。　いつ、どんな時もそばで支えてくれたなつみを信じると決めた悠一だが、一緒にコーヒーを飲んだ直後に意識が薄れてしまう。目が覚めると家からなつみの姿が消えており、呆然"&amp;"自失となる。  　悠一が勤めていた総和物産では、日下部が上司の折田や安藤眞一(森岡豊)、そして大洋国際特許事務所の小林恭助(高嶋政伸)から、自らのやったことを白状するよう詰問されていた。小林に呼ばれてやって来た悠一は、全てなつみにはめられたと主張する日下部と対面するが・・・。  　その後、悠一は小林になつみを探すのを手伝わせて欲しい、と言うが、個人的感情は捨てろ、と拒否されて・・・。")</f>
        <v>へ!　美山悠一(AKIRA)は、自らが開発を進めていた新素材・グラフェンの情報が何者かに盗まれ、会社からも疑われ、窮地に立たされる。そこへ、妻のなつみ(仲間由紀恵)から「グラフェンデータを盗んだのは日下部(丸山智己)」というメールが届く。悠一は、同じ部署の課長・日下部のパソコンから証拠となるデータを抜き出し、執行役員の折田忠(神尾祐)に告発する。　いつ、どんな時もそばで支えてくれたなつみを信じると決めた悠一だが、一緒にコーヒーを飲んだ直後に意識が薄れてしまう。目が覚めると家からなつみの姿が消えており、呆然自失となる。  　悠一が勤めていた総和物産では、日下部が上司の折田や安藤眞一(森岡豊)、そして大洋国際特許事務所の小林恭助(高嶋政伸)から、自らのやったことを白状するよう詰問されていた。小林に呼ばれてやって来た悠一は、全てなつみにはめられたと主張する日下部と対面するが・・・。  　その後、悠一は小林になつみを探すのを手伝わせて欲しい、と言うが、個人的感情は捨てろ、と拒否されて・・・。</v>
      </c>
      <c r="O958" s="2"/>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row>
    <row r="959" ht="204.75" customHeight="1">
      <c r="A959" s="1">
        <v>3162.0</v>
      </c>
      <c r="B959" s="2" t="s">
        <v>3072</v>
      </c>
      <c r="C959" s="2">
        <f>IFERROR(__xludf.DUMMYFUNCTION("split(B959,""_"")"),1310.0)</f>
        <v>1310</v>
      </c>
      <c r="D959" s="2" t="str">
        <f>IFERROR(__xludf.DUMMYFUNCTION("""COMPUTED_VALUE"""),"CX")</f>
        <v>CX</v>
      </c>
      <c r="E959" s="2" t="str">
        <f>IFERROR(__xludf.DUMMYFUNCTION("""COMPUTED_VALUE"""),"土23")</f>
        <v>土23</v>
      </c>
      <c r="F959" s="2" t="s">
        <v>3073</v>
      </c>
      <c r="G959" s="2" t="s">
        <v>3083</v>
      </c>
      <c r="H959" s="1">
        <v>4.0</v>
      </c>
      <c r="I959" s="1" t="s">
        <v>14</v>
      </c>
      <c r="J959" s="1" t="s">
        <v>1435</v>
      </c>
      <c r="K959" s="2" t="s">
        <v>3084</v>
      </c>
      <c r="L959" s="8" t="s">
        <v>3085</v>
      </c>
      <c r="M959" s="2" t="str">
        <f>IFERROR(__xludf.DUMMYFUNCTION("split(split(K959,""美山悠一:"",false),""html)"",false)"),"YouTubeにて第1話から第3話までの完全振り返りダイジェストを公開中!　  http://www.youtube.com/watch?v=YbZ2cpVpGw4&amp;list=PLh4aJSJaObrZ1PbYlZegvJ-kTHLlVYbhw　留置場に入れられた美山悠一(AKIRA)は、面会しに来た妻・なつみ(仲間由紀恵)から離婚届を差し出される。そしてなつみは「信じてくれてありがとう」という言葉を残して去っていった。悠一の胸には怒り、哀しみ、絶望といった感情が一気にこみあげ、あまりのショックに愕然とし"&amp;"てしまう。  　また留置場で謎の男(武田真治)から声を掛けられる。父親の死について、また悠一の置かれている状況について、何かを知っている様子の男。  　父親が亡くなった時のアリバイが証明され、釈放された悠一を待っていた大洋国際特許事務所の小林恭助(高嶋政伸)は1枚の写真を手渡す。そこには父親の小野寺(長谷川初範)となつみが一緒に写っていた。ますますなつみに対する疑念が膨らみ、混乱する悠一。  　監禁された恐怖のストレスで入院中の宮原杏奈(野波麻帆)を見舞いに、悠一が病院を訪れると、同じ部署の後輩の早川由加"&amp;"利(篠原真衣)がそばについていた。「私は大丈夫」と無理に笑顔を作る杏奈に、悠一は「もう関わらない方がいい」と告げる。  　一方、小林と部下の荒井和人(池内博之)、中川薫(内山理名)は総和物産と同じ方法で繊維プロジェクトの実験を始めたミレ・パシフィックについて調査していた。悠一もヘッドハンティングを受けていた穂積宗広(小澤征悦)に直接会いに行き、グラフェンデータの流失について問いただすが…。")</f>
        <v>YouTubeにて第1話から第3話までの完全振り返りダイジェストを公開中!　  http://www.youtube.com/watch?v=YbZ2cpVpGw4&amp;list=PLh4aJSJaObrZ1PbYlZegvJ-kTHLlVYbhw　留置場に入れられた美山悠一(AKIRA)は、面会しに来た妻・なつみ(仲間由紀恵)から離婚届を差し出される。そしてなつみは「信じてくれてありがとう」という言葉を残して去っていった。悠一の胸には怒り、哀しみ、絶望といった感情が一気にこみあげ、あまりのショックに愕然としてしまう。  　また留置場で謎の男(武田真治)から声を掛けられる。父親の死について、また悠一の置かれている状況について、何かを知っている様子の男。  　父親が亡くなった時のアリバイが証明され、釈放された悠一を待っていた大洋国際特許事務所の小林恭助(高嶋政伸)は1枚の写真を手渡す。そこには父親の小野寺(長谷川初範)となつみが一緒に写っていた。ますますなつみに対する疑念が膨らみ、混乱する悠一。  　監禁された恐怖のストレスで入院中の宮原杏奈(野波麻帆)を見舞いに、悠一が病院を訪れると、同じ部署の後輩の早川由加利(篠原真衣)がそばについていた。「私は大丈夫」と無理に笑顔を作る杏奈に、悠一は「もう関わらない方がいい」と告げる。  　一方、小林と部下の荒井和人(池内博之)、中川薫(内山理名)は総和物産と同じ方法で繊維プロジェクトの実験を始めたミレ・パシフィックについて調査していた。悠一もヘッドハンティングを受けていた穂積宗広(小澤征悦)に直接会いに行き、グラフェンデータの流失について問いただすが…。</v>
      </c>
      <c r="N959" s="2"/>
      <c r="O959" s="2"/>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row>
    <row r="960" ht="204.75" customHeight="1">
      <c r="A960" s="1">
        <v>3163.0</v>
      </c>
      <c r="B960" s="2" t="s">
        <v>3072</v>
      </c>
      <c r="C960" s="2">
        <f>IFERROR(__xludf.DUMMYFUNCTION("split(B960,""_"")"),1310.0)</f>
        <v>1310</v>
      </c>
      <c r="D960" s="2" t="str">
        <f>IFERROR(__xludf.DUMMYFUNCTION("""COMPUTED_VALUE"""),"CX")</f>
        <v>CX</v>
      </c>
      <c r="E960" s="2" t="str">
        <f>IFERROR(__xludf.DUMMYFUNCTION("""COMPUTED_VALUE"""),"土23")</f>
        <v>土23</v>
      </c>
      <c r="F960" s="2" t="s">
        <v>3073</v>
      </c>
      <c r="G960" s="2" t="s">
        <v>3086</v>
      </c>
      <c r="H960" s="1">
        <v>5.0</v>
      </c>
      <c r="I960" s="1" t="s">
        <v>17</v>
      </c>
      <c r="J960" s="1" t="s">
        <v>2429</v>
      </c>
      <c r="K960" s="2" t="s">
        <v>3087</v>
      </c>
      <c r="L960" s="8" t="s">
        <v>3088</v>
      </c>
      <c r="M960" s="2" t="str">
        <f>IFERROR(__xludf.DUMMYFUNCTION("split(split(K960,""美山悠一:"",false),""html)"",false)"),"AKIRAほか豪華キャストや、手に汗握るストーリーの紹介はオフィシャルサイト(http://www.fujitv.co.jp/honey-trap/index.")</f>
        <v>AKIRAほか豪華キャストや、手に汗握るストーリーの紹介はオフィシャルサイト(http://www.fujitv.co.jp/honey-trap/index.</v>
      </c>
      <c r="N960" s="2" t="str">
        <f>IFERROR(__xludf.DUMMYFUNCTION("""COMPUTED_VALUE"""),"へ!　美山悠一(AKIRA)はミレ・パシフィックの穂積宗広(小澤征悦)の部下・山中塔子(音月桂)に呼び出され、レストランに向かう。そこに現れたのは穂積となつみ(仲間由紀恵)であった。父親の小野寺(長谷川初範)から譲り受けたグラフェン技術レポートへのアクセスキーである“トークン""を悠一の目の前で踏みつぶし、冷たい態度でその場を去るなつみ。  　悠一は、大洋国際特許事務所へ向かい、所長の小林恭助(高嶋政伸)らに潰れたトークンを見せ、亡き父の夢だったグラフェンの大量形成をなんとしてでも実現しなければならない、"&amp;"と訴える。その後、小野寺の研究室があった大学のデータサーバー管理者・田崎(津村知与支)に直接会いに行き、グラフェンデータを引き渡してもらえるよう掛け合うが拒否される。落ち込む悠一に、総和物産がグラフェン開発から手を引くという連絡が入る。執行役員の折田忠(神尾佑)に事業再開を訴える悠一だったが、「無駄な投資はできない」と言われてしまう。急に事業中止を決めた判断には悠一の同期・宮原杏奈(野波麻帆)も疑問を持っており、部下の早川由加利(篠原真衣)とともに真相を突き止めようとする。  　悠一は再び田崎に会い、何と"&amp;"してもグラフェンの研究に賭けてきた小野寺の思いを実現したい、とその決意をぶつけ、データの引き渡しを頼みこむが・・・。")</f>
        <v>へ!　美山悠一(AKIRA)はミレ・パシフィックの穂積宗広(小澤征悦)の部下・山中塔子(音月桂)に呼び出され、レストランに向かう。そこに現れたのは穂積となつみ(仲間由紀恵)であった。父親の小野寺(長谷川初範)から譲り受けたグラフェン技術レポートへのアクセスキーである“トークン"を悠一の目の前で踏みつぶし、冷たい態度でその場を去るなつみ。  　悠一は、大洋国際特許事務所へ向かい、所長の小林恭助(高嶋政伸)らに潰れたトークンを見せ、亡き父の夢だったグラフェンの大量形成をなんとしてでも実現しなければならない、と訴える。その後、小野寺の研究室があった大学のデータサーバー管理者・田崎(津村知与支)に直接会いに行き、グラフェンデータを引き渡してもらえるよう掛け合うが拒否される。落ち込む悠一に、総和物産がグラフェン開発から手を引くという連絡が入る。執行役員の折田忠(神尾佑)に事業再開を訴える悠一だったが、「無駄な投資はできない」と言われてしまう。急に事業中止を決めた判断には悠一の同期・宮原杏奈(野波麻帆)も疑問を持っており、部下の早川由加利(篠原真衣)とともに真相を突き止めようとする。  　悠一は再び田崎に会い、何としてもグラフェンの研究に賭けてきた小野寺の思いを実現したい、とその決意をぶつけ、データの引き渡しを頼みこむが・・・。</v>
      </c>
      <c r="O960" s="2"/>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row>
    <row r="961" ht="204.75" customHeight="1">
      <c r="A961" s="1">
        <v>3164.0</v>
      </c>
      <c r="B961" s="2" t="s">
        <v>3072</v>
      </c>
      <c r="C961" s="2">
        <f>IFERROR(__xludf.DUMMYFUNCTION("split(B961,""_"")"),1310.0)</f>
        <v>1310</v>
      </c>
      <c r="D961" s="2" t="str">
        <f>IFERROR(__xludf.DUMMYFUNCTION("""COMPUTED_VALUE"""),"CX")</f>
        <v>CX</v>
      </c>
      <c r="E961" s="2" t="str">
        <f>IFERROR(__xludf.DUMMYFUNCTION("""COMPUTED_VALUE"""),"土23")</f>
        <v>土23</v>
      </c>
      <c r="F961" s="2" t="s">
        <v>3073</v>
      </c>
      <c r="G961" s="2" t="s">
        <v>3089</v>
      </c>
      <c r="H961" s="1">
        <v>6.0</v>
      </c>
      <c r="I961" s="1" t="s">
        <v>21</v>
      </c>
      <c r="J961" s="1" t="s">
        <v>2429</v>
      </c>
      <c r="K961" s="2" t="s">
        <v>3090</v>
      </c>
      <c r="L961" s="8" t="s">
        <v>3091</v>
      </c>
      <c r="M961" s="2" t="str">
        <f>IFERROR(__xludf.DUMMYFUNCTION("split(split(K961,""美山悠一:"",false),""html)"",false)"),"AKIRAほか豪華キャストや、手に汗握るストーリーの紹介はオフィシャルサイト(http://www.fujitv.co.jp/honey-trap/index.")</f>
        <v>AKIRAほか豪華キャストや、手に汗握るストーリーの紹介はオフィシャルサイト(http://www.fujitv.co.jp/honey-trap/index.</v>
      </c>
      <c r="N961" s="2" t="str">
        <f>IFERROR(__xludf.DUMMYFUNCTION("""COMPUTED_VALUE"""),"へ!　美山悠一(AKIRA)は亡くなった父・小野寺正隆(長谷川初範)が勤めていた大学のサーバー管理者からグラフェンデータを引き渡してもらい、総和物産の先端材料事業部員たちに指示を出してグラフェン事業の特許出願を急ぐ。そんななか、会社に隠し口座を作りミレ・パシフィックから1000万円を受け取っていた事実から、悠一を陥れた張本人と思われた執行役員の折田忠(神尾佑)が自殺したという知らせが入る。突然のことに驚く悠一だが、部長の安藤眞一(森岡豊)や同期の宮原杏奈(野波麻帆)の協力もあり、絶対にグラフェン事業を成功"&amp;"させようと思いを新たに持つ。  　一方、大洋国際特許事務所には穂積宗広(小澤征悦)が現れ、中川薫(内山理名)がミレ・パシフィックに潜入している映像を証拠に、総和物産からグラフェンデータを奪い渡すように、小林恭助(高嶋政伸)に迫っていた。荒井和人(池内博之)が自分に近づいた目的を見透かしていた穂積。  　悠一は安藤と共にグラフェン研究への協力に手を挙げてくれた医療メーカー担当者と打ち合わせをしていたとき、突然何者かに襲われ連れ去られる。目が覚めた悠一は意外な人物と顔を合わせる。そしてその人物からなつみ(仲間"&amp;"由紀恵)の驚くべき事実を聞いて・・・。")</f>
        <v>へ!　美山悠一(AKIRA)は亡くなった父・小野寺正隆(長谷川初範)が勤めていた大学のサーバー管理者からグラフェンデータを引き渡してもらい、総和物産の先端材料事業部員たちに指示を出してグラフェン事業の特許出願を急ぐ。そんななか、会社に隠し口座を作りミレ・パシフィックから1000万円を受け取っていた事実から、悠一を陥れた張本人と思われた執行役員の折田忠(神尾佑)が自殺したという知らせが入る。突然のことに驚く悠一だが、部長の安藤眞一(森岡豊)や同期の宮原杏奈(野波麻帆)の協力もあり、絶対にグラフェン事業を成功させようと思いを新たに持つ。  　一方、大洋国際特許事務所には穂積宗広(小澤征悦)が現れ、中川薫(内山理名)がミレ・パシフィックに潜入している映像を証拠に、総和物産からグラフェンデータを奪い渡すように、小林恭助(高嶋政伸)に迫っていた。荒井和人(池内博之)が自分に近づいた目的を見透かしていた穂積。  　悠一は安藤と共にグラフェン研究への協力に手を挙げてくれた医療メーカー担当者と打ち合わせをしていたとき、突然何者かに襲われ連れ去られる。目が覚めた悠一は意外な人物と顔を合わせる。そしてその人物からなつみ(仲間由紀恵)の驚くべき事実を聞いて・・・。</v>
      </c>
      <c r="O961" s="2"/>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row>
    <row r="962" ht="204.75" customHeight="1">
      <c r="A962" s="1">
        <v>3165.0</v>
      </c>
      <c r="B962" s="2" t="s">
        <v>3072</v>
      </c>
      <c r="C962" s="2">
        <f>IFERROR(__xludf.DUMMYFUNCTION("split(B962,""_"")"),1310.0)</f>
        <v>1310</v>
      </c>
      <c r="D962" s="2" t="str">
        <f>IFERROR(__xludf.DUMMYFUNCTION("""COMPUTED_VALUE"""),"CX")</f>
        <v>CX</v>
      </c>
      <c r="E962" s="2" t="str">
        <f>IFERROR(__xludf.DUMMYFUNCTION("""COMPUTED_VALUE"""),"土23")</f>
        <v>土23</v>
      </c>
      <c r="F962" s="2" t="s">
        <v>3073</v>
      </c>
      <c r="G962" s="2" t="s">
        <v>3092</v>
      </c>
      <c r="H962" s="1">
        <v>7.0</v>
      </c>
      <c r="I962" s="1" t="s">
        <v>25</v>
      </c>
      <c r="J962" s="1" t="s">
        <v>2429</v>
      </c>
      <c r="K962" s="2" t="s">
        <v>3093</v>
      </c>
      <c r="L962" s="8" t="s">
        <v>3094</v>
      </c>
      <c r="M962" s="2" t="str">
        <f>IFERROR(__xludf.DUMMYFUNCTION("split(split(K962,""美山悠一:"",false),""html)"",false)"),"AKIRAほか豪華キャストや、手に汗握るストーリーの紹介はオフィシャルサイト(http://www.fujitv.co.jp/honey-trap/index.")</f>
        <v>AKIRAほか豪華キャストや、手に汗握るストーリーの紹介はオフィシャルサイト(http://www.fujitv.co.jp/honey-trap/index.</v>
      </c>
      <c r="N962" s="2" t="str">
        <f>IFERROR(__xludf.DUMMYFUNCTION("""COMPUTED_VALUE"""),"へ!　美山悠一(AKIRA)は拷問場所から逃げ出した森の中でなつみ(仲間由紀恵)と向き合うが、途中で意識を失ってしまう。病院で目を覚ました悠一は刑事の永田(高杉亘)から、なつみと思われる女性が崖から転落し、遺体を捜索中だと知らされる。さらに、なつみこそが、グラフェンを奪うために小野寺正隆(長谷川初範)を殺害し、悠一や杏奈(野波麻帆)を監禁し、専務の折田忠(神尾佑)を自殺に追い込んだ張本人だろうという話を聞かされる。呆然とする悠一だが、今までのなつみの言動を思い出し、「なつみじゃない!」という思いを強く持つ"&amp;"。警察に届いたなつみの犯行を示す告発文を見せられた悠一は、今までの経緯に関係しているミレ・パシフィックの穂積宗広(小澤征悦)を調べてもらうよう頼みこむ。  　一方、大洋国際特許事務所では中川薫(内山理名)が韓国の企業に機密情報を漏らした疑いで逮捕され、小林恭助(高嶋政伸)、荒井和人(池内博之)も警察によって調べられていた。告発文から荒井の指紋が検出されたことを永田から聞かされ、荒井は最近まで親しい関係性にあった穂積に仕組まれたものだと主張する。  　悠一は穂積を探して秘書の山中塔子(音月桂)に会うが、居場"&amp;"所は知らないと突き放される。大切な人を奪われ、何としてでも真実を知りたいという悠一の必死の訴えに足を止めた塔子は、穂積がいつもどんなやり方をする男なのか一言残してその場を立ち去る…。")</f>
        <v>へ!　美山悠一(AKIRA)は拷問場所から逃げ出した森の中でなつみ(仲間由紀恵)と向き合うが、途中で意識を失ってしまう。病院で目を覚ました悠一は刑事の永田(高杉亘)から、なつみと思われる女性が崖から転落し、遺体を捜索中だと知らされる。さらに、なつみこそが、グラフェンを奪うために小野寺正隆(長谷川初範)を殺害し、悠一や杏奈(野波麻帆)を監禁し、専務の折田忠(神尾佑)を自殺に追い込んだ張本人だろうという話を聞かされる。呆然とする悠一だが、今までのなつみの言動を思い出し、「なつみじゃない!」という思いを強く持つ。警察に届いたなつみの犯行を示す告発文を見せられた悠一は、今までの経緯に関係しているミレ・パシフィックの穂積宗広(小澤征悦)を調べてもらうよう頼みこむ。  　一方、大洋国際特許事務所では中川薫(内山理名)が韓国の企業に機密情報を漏らした疑いで逮捕され、小林恭助(高嶋政伸)、荒井和人(池内博之)も警察によって調べられていた。告発文から荒井の指紋が検出されたことを永田から聞かされ、荒井は最近まで親しい関係性にあった穂積に仕組まれたものだと主張する。  　悠一は穂積を探して秘書の山中塔子(音月桂)に会うが、居場所は知らないと突き放される。大切な人を奪われ、何としてでも真実を知りたいという悠一の必死の訴えに足を止めた塔子は、穂積がいつもどんなやり方をする男なのか一言残してその場を立ち去る…。</v>
      </c>
      <c r="O962" s="2"/>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row>
    <row r="963" ht="204.75" customHeight="1">
      <c r="A963" s="1">
        <v>3166.0</v>
      </c>
      <c r="B963" s="2" t="s">
        <v>3072</v>
      </c>
      <c r="C963" s="2">
        <f>IFERROR(__xludf.DUMMYFUNCTION("split(B963,""_"")"),1310.0)</f>
        <v>1310</v>
      </c>
      <c r="D963" s="2" t="str">
        <f>IFERROR(__xludf.DUMMYFUNCTION("""COMPUTED_VALUE"""),"CX")</f>
        <v>CX</v>
      </c>
      <c r="E963" s="2" t="str">
        <f>IFERROR(__xludf.DUMMYFUNCTION("""COMPUTED_VALUE"""),"土23")</f>
        <v>土23</v>
      </c>
      <c r="F963" s="2" t="s">
        <v>3073</v>
      </c>
      <c r="G963" s="2" t="s">
        <v>3095</v>
      </c>
      <c r="H963" s="1">
        <v>8.0</v>
      </c>
      <c r="I963" s="1" t="s">
        <v>29</v>
      </c>
      <c r="J963" s="1" t="s">
        <v>2429</v>
      </c>
      <c r="K963" s="2" t="s">
        <v>3096</v>
      </c>
      <c r="L963" s="8" t="s">
        <v>3097</v>
      </c>
      <c r="M963" s="2" t="str">
        <f>IFERROR(__xludf.DUMMYFUNCTION("split(split(K963,""美山悠一:"",false),""html)"",false)"),"AKIRAほか豪華キャストや、手に汗握るストーリーの紹介はオフィシャルサイト(http://www.fujitv.co.jp/honey-trap/index.")</f>
        <v>AKIRAほか豪華キャストや、手に汗握るストーリーの紹介はオフィシャルサイト(http://www.fujitv.co.jp/honey-trap/index.</v>
      </c>
      <c r="N963" s="2" t="str">
        <f>IFERROR(__xludf.DUMMYFUNCTION("""COMPUTED_VALUE"""),"へ!　美山悠一(AKIRA)は、穂積宗広(小澤征悦)の指示で日下部秀平(丸山智己)に監禁されていたなつみ(仲間由紀恵)が無事に救助されたところに駆けつけ、なつみをしっかりと抱きしめた。穂積はいら立ちを隠せないままグラフェンのデータが入ったUSBを天音(武田真治)に手渡した。なつみは、これまでのすべては天音がやったことで、ジミーウォンという中国の会社がグラフェンを軍事利用しようとしていると悠一に話す。自分の想像を超える次元の問題だということを知らされ、途方に暮れる悠一。  　なつみが次原明日香という名前で悠"&amp;"一の父・小野寺教授(長谷川初範)の研究室がある大学にいたこと、そして悠一が勤める総和物産のライバル社、ミレ・パシフィックの子会社のナルミテックにも在籍し、その後、総和物産の経理部で遠藤なつみとして働き、なぜ悠一に近づいたのか?さらに、拉致されたというなつみの母のこと、なつみが天音の言いなりにならざるを得ない理由とは…、など、これまでのすべてをなつみは悠一に打ち明ける。なつみの本当の思いを知った悠一は、お母さんを救いに行こう、と決意するが…。  　その頃、大洋国際特許事務所の小林恭助(高嶋政伸)は、今回の情"&amp;"報漏洩沙汰で経済産業省から謹慎を言い渡されるが、自らのなかにある正義を捨てられず、ジミーウォンに対抗する手を考えていた。まだ自分の大切な家族に危険が近づいているとは知らずに…。")</f>
        <v>へ!　美山悠一(AKIRA)は、穂積宗広(小澤征悦)の指示で日下部秀平(丸山智己)に監禁されていたなつみ(仲間由紀恵)が無事に救助されたところに駆けつけ、なつみをしっかりと抱きしめた。穂積はいら立ちを隠せないままグラフェンのデータが入ったUSBを天音(武田真治)に手渡した。なつみは、これまでのすべては天音がやったことで、ジミーウォンという中国の会社がグラフェンを軍事利用しようとしていると悠一に話す。自分の想像を超える次元の問題だということを知らされ、途方に暮れる悠一。  　なつみが次原明日香という名前で悠一の父・小野寺教授(長谷川初範)の研究室がある大学にいたこと、そして悠一が勤める総和物産のライバル社、ミレ・パシフィックの子会社のナルミテックにも在籍し、その後、総和物産の経理部で遠藤なつみとして働き、なぜ悠一に近づいたのか?さらに、拉致されたというなつみの母のこと、なつみが天音の言いなりにならざるを得ない理由とは…、など、これまでのすべてをなつみは悠一に打ち明ける。なつみの本当の思いを知った悠一は、お母さんを救いに行こう、と決意するが…。  　その頃、大洋国際特許事務所の小林恭助(高嶋政伸)は、今回の情報漏洩沙汰で経済産業省から謹慎を言い渡されるが、自らのなかにある正義を捨てられず、ジミーウォンに対抗する手を考えていた。まだ自分の大切な家族に危険が近づいているとは知らずに…。</v>
      </c>
      <c r="O963" s="2"/>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row>
    <row r="964" ht="204.75" customHeight="1">
      <c r="A964" s="1">
        <v>3167.0</v>
      </c>
      <c r="B964" s="2" t="s">
        <v>3072</v>
      </c>
      <c r="C964" s="2">
        <f>IFERROR(__xludf.DUMMYFUNCTION("split(B964,""_"")"),1310.0)</f>
        <v>1310</v>
      </c>
      <c r="D964" s="2" t="str">
        <f>IFERROR(__xludf.DUMMYFUNCTION("""COMPUTED_VALUE"""),"CX")</f>
        <v>CX</v>
      </c>
      <c r="E964" s="2" t="str">
        <f>IFERROR(__xludf.DUMMYFUNCTION("""COMPUTED_VALUE"""),"土23")</f>
        <v>土23</v>
      </c>
      <c r="F964" s="2" t="s">
        <v>3073</v>
      </c>
      <c r="G964" s="2" t="s">
        <v>3098</v>
      </c>
      <c r="H964" s="1">
        <v>9.0</v>
      </c>
      <c r="I964" s="1" t="s">
        <v>33</v>
      </c>
      <c r="J964" s="1" t="s">
        <v>1435</v>
      </c>
      <c r="K964" s="2" t="s">
        <v>3099</v>
      </c>
      <c r="L964" s="8" t="s">
        <v>3100</v>
      </c>
      <c r="M964" s="2" t="str">
        <f>IFERROR(__xludf.DUMMYFUNCTION("split(split(K964,""美山悠一:"",false),""html)"",false)"),"AKIRAほか豪華キャストや、手に汗握るストーリーの紹介はオフィシャルサイト(http://www.fujitv.co.jp/honey-trap/index.")</f>
        <v>AKIRAほか豪華キャストや、手に汗握るストーリーの紹介はオフィシャルサイト(http://www.fujitv.co.jp/honey-trap/index.</v>
      </c>
      <c r="N964" s="2" t="str">
        <f>IFERROR(__xludf.DUMMYFUNCTION("""COMPUTED_VALUE"""),"へ!　美山悠一(AKIRA)は、中国企業・ジミーウォンの組織に拉致されたなつみ(仲間由紀恵)の母親・志倉寿美代(芝村洋子)を探してなつみとともに実家へ行き、近くの病院にいるかもしれないというところまで突き止めた。その頃、大洋国際特許事務所の小林恭助(高嶋政伸)は、天音(武田真治)から、小林の家族の安全と引き替えに手を組むよう強要されていた。  　悠一は母親のことを警察に話そう、となつみに提案する。「騒ぎになったら相手は何をするかわからない」と不安がるなつみだが、悠一は刑事の永田(高杉亘)に協力を依頼し、病"&amp;"院へ救出に向かってもらう。  　一方、小林は総和物産で取締役会の面々を前にしていた。小林はそこでジミーウォンがグラフェンの大量形成技術を手に入れた今、特許をジミーウォンに譲渡し、その代わりにグラフェン製品流通の仲買に総和物産を指名することを約束させる、と提案する。しかしそれは、天音の手によって自分の家族に危険が近づいている小林の苦渋の選択だった。  　悠一の上司の安藤眞一(森岡豊)から、総和物産がジミーウォンに特許を譲渡しようとしているという状況を知らされた悠一に、なつみは、ジミーウォンを食い止める方法が"&amp;"一つだけある、と言い・・・。")</f>
        <v>へ!　美山悠一(AKIRA)は、中国企業・ジミーウォンの組織に拉致されたなつみ(仲間由紀恵)の母親・志倉寿美代(芝村洋子)を探してなつみとともに実家へ行き、近くの病院にいるかもしれないというところまで突き止めた。その頃、大洋国際特許事務所の小林恭助(高嶋政伸)は、天音(武田真治)から、小林の家族の安全と引き替えに手を組むよう強要されていた。  　悠一は母親のことを警察に話そう、となつみに提案する。「騒ぎになったら相手は何をするかわからない」と不安がるなつみだが、悠一は刑事の永田(高杉亘)に協力を依頼し、病院へ救出に向かってもらう。  　一方、小林は総和物産で取締役会の面々を前にしていた。小林はそこでジミーウォンがグラフェンの大量形成技術を手に入れた今、特許をジミーウォンに譲渡し、その代わりにグラフェン製品流通の仲買に総和物産を指名することを約束させる、と提案する。しかしそれは、天音の手によって自分の家族に危険が近づいている小林の苦渋の選択だった。  　悠一の上司の安藤眞一(森岡豊)から、総和物産がジミーウォンに特許を譲渡しようとしているという状況を知らされた悠一に、なつみは、ジミーウォンを食い止める方法が一つだけある、と言い・・・。</v>
      </c>
      <c r="O964" s="2"/>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row>
    <row r="965" ht="204.75" customHeight="1">
      <c r="A965" s="1">
        <v>3168.0</v>
      </c>
      <c r="B965" s="2" t="s">
        <v>3072</v>
      </c>
      <c r="C965" s="2">
        <f>IFERROR(__xludf.DUMMYFUNCTION("split(B965,""_"")"),1310.0)</f>
        <v>1310</v>
      </c>
      <c r="D965" s="2" t="str">
        <f>IFERROR(__xludf.DUMMYFUNCTION("""COMPUTED_VALUE"""),"CX")</f>
        <v>CX</v>
      </c>
      <c r="E965" s="2" t="str">
        <f>IFERROR(__xludf.DUMMYFUNCTION("""COMPUTED_VALUE"""),"土23")</f>
        <v>土23</v>
      </c>
      <c r="F965" s="2" t="s">
        <v>3073</v>
      </c>
      <c r="G965" s="2" t="s">
        <v>3101</v>
      </c>
      <c r="H965" s="1">
        <v>10.0</v>
      </c>
      <c r="I965" s="1" t="s">
        <v>37</v>
      </c>
      <c r="J965" s="1" t="s">
        <v>2429</v>
      </c>
      <c r="K965" s="4" t="s">
        <v>3102</v>
      </c>
      <c r="L965" s="8" t="s">
        <v>3103</v>
      </c>
      <c r="M965" s="2" t="str">
        <f>IFERROR(__xludf.DUMMYFUNCTION("split(split(K965,""美山悠一:"",false),""html)"",false)"),"「ソチ五輪日本代表最終選考会　全日本フィギュアスケート男子ショート」延長の際、放送時間繰り下げの場合あり。　悠一(AKIRA)は、グラフェンを軍事利用しようとしているジミーウォンを食い止めるために、中国の新興繊維メーカーのファグワンコープと手を組むため、テレビ電話で交渉する。その矢先、ファグワンコープの株価が大暴落する。愕然とする悠一と、上海にいるなつみ(仲間由紀恵)の携帯に、なつみの母親・寿美代(芝村洋子)の衝撃的な動画が送りつけられてきた。　大洋国際特許事務所の荒井和人(池内博之)、中川薫(内山理名)"&amp;"と、永田刑事(高杉亘)は、寿美代の監禁場所の割り出しを急ぐ。  　いよいよファグワンコープのシュー代表が総和物産との契約の話をするため、来日することとなった。ジミーウォンの妨害から逃れるため、悠一は安藤眞一(森岡豊)や、宮原杏奈(野波麻帆)、早川由加利(篠原真衣)らと、ある作戦を考えるが・・・。　悠一はグラフェンの情報を死守し、ファグワンコープとの契約成立までこぎつけることができるのか?そして、悠一となつみの運命は・・・?")</f>
        <v>「ソチ五輪日本代表最終選考会　全日本フィギュアスケート男子ショート」延長の際、放送時間繰り下げの場合あり。　悠一(AKIRA)は、グラフェンを軍事利用しようとしているジミーウォンを食い止めるために、中国の新興繊維メーカーのファグワンコープと手を組むため、テレビ電話で交渉する。その矢先、ファグワンコープの株価が大暴落する。愕然とする悠一と、上海にいるなつみ(仲間由紀恵)の携帯に、なつみの母親・寿美代(芝村洋子)の衝撃的な動画が送りつけられてきた。　大洋国際特許事務所の荒井和人(池内博之)、中川薫(内山理名)と、永田刑事(高杉亘)は、寿美代の監禁場所の割り出しを急ぐ。  　いよいよファグワンコープのシュー代表が総和物産との契約の話をするため、来日することとなった。ジミーウォンの妨害から逃れるため、悠一は安藤眞一(森岡豊)や、宮原杏奈(野波麻帆)、早川由加利(篠原真衣)らと、ある作戦を考えるが・・・。　悠一はグラフェンの情報を死守し、ファグワンコープとの契約成立までこぎつけることができるのか?そして、悠一となつみの運命は・・・?</v>
      </c>
      <c r="N965" s="2"/>
      <c r="O965" s="2"/>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row>
    <row r="966" ht="204.75" customHeight="1">
      <c r="A966" s="1">
        <v>3190.0</v>
      </c>
      <c r="B966" s="2" t="s">
        <v>3104</v>
      </c>
      <c r="C966" s="2">
        <f>IFERROR(__xludf.DUMMYFUNCTION("split(B966,""_"")"),1307.0)</f>
        <v>1307</v>
      </c>
      <c r="D966" s="2" t="str">
        <f>IFERROR(__xludf.DUMMYFUNCTION("""COMPUTED_VALUE"""),"CX")</f>
        <v>CX</v>
      </c>
      <c r="E966" s="2" t="str">
        <f>IFERROR(__xludf.DUMMYFUNCTION("""COMPUTED_VALUE"""),"火21")</f>
        <v>火21</v>
      </c>
      <c r="F966" s="2" t="s">
        <v>3105</v>
      </c>
      <c r="G966" s="2" t="s">
        <v>3106</v>
      </c>
      <c r="H966" s="1">
        <v>1.0</v>
      </c>
      <c r="I966" s="1" t="s">
        <v>3</v>
      </c>
      <c r="J966" s="1" t="s">
        <v>4</v>
      </c>
      <c r="K966" s="4" t="s">
        <v>3107</v>
      </c>
      <c r="L966" s="11" t="s">
        <v>3108</v>
      </c>
      <c r="M966" s="2" t="str">
        <f>IFERROR(__xludf.DUMMYFUNCTION("split(split(K966,""【"",false),""ほか　"",false)"),"松嶋菜々子　  佐々木蔵之介　  風間俊介　  芦名星　  波瑠　  柏原収史　  児嶋一哉　  岡本玲　  山田真歩　  夙川アトム  　○　  伊藤裕子　  手塚とおる  　○　  安寿ミラ　  段田安則　  時任三郎　    ")</f>
        <v>松嶋菜々子　  佐々木蔵之介　  風間俊介　  芦名星　  波瑠　  柏原収史　  児嶋一哉　  岡本玲　  山田真歩　  夙川アトム  　○　  伊藤裕子　  手塚とおる  　○　  安寿ミラ　  段田安則　  時任三郎　    </v>
      </c>
      <c r="N966" s="2" t="str">
        <f>IFERROR(__xludf.DUMMYFUNCTION("""COMPUTED_VALUE"""),"国立湊大学附属病院救命救急センターの医局長としてチームを率いることになった小島楓(松嶋菜々子)は、国立大学病院という「救命の最後の壁」を舞台に、最新の設備と最高の医療スタッフとともに、日夜鳴り続けるコールに応え、1人でも多くの命を救うため働き続ける。しかし、急ごしらえの雇い兵部隊である湊大救命センターの医局員たちは、救命医の本庄雅晴(佐々木蔵之介)を筆頭に、それぞれ腕は立つがくせ者ぞろい。楓は淡々と正確に仕事をこなすが、どこか他人を寄せつけない雰囲気があるため、医局員たちとの関係はぎこちない。楓自身も、救"&amp;"命医としての実力は誰よりも勝っているがゆえに、チームを率いることに自信を持てないでおり、院長の最上透(段田安則)が楓を医局長に据えた理由も不明だった。  　そんな中、臓器移植法改正後一例の臓器提供例も出ていない救命センターに業を煮やした病院幹部らは、トップクラスの救命率と脳死臓器提供数を両立させ、「看取りの医療」と呼ばれる試みを行ってきた異色の救命医・夏目衛(時任三郎)を迎えることを決定する。  　日々の業務に追われそれどころではない楓だったが、夏目の初赴任日を前に、東京で史上最悪の大事件が勃発し…。")</f>
        <v>国立湊大学附属病院救命救急センターの医局長としてチームを率いることになった小島楓(松嶋菜々子)は、国立大学病院という「救命の最後の壁」を舞台に、最新の設備と最高の医療スタッフとともに、日夜鳴り続けるコールに応え、1人でも多くの命を救うため働き続ける。しかし、急ごしらえの雇い兵部隊である湊大救命センターの医局員たちは、救命医の本庄雅晴(佐々木蔵之介)を筆頭に、それぞれ腕は立つがくせ者ぞろい。楓は淡々と正確に仕事をこなすが、どこか他人を寄せつけない雰囲気があるため、医局員たちとの関係はぎこちない。楓自身も、救命医としての実力は誰よりも勝っているがゆえに、チームを率いることに自信を持てないでおり、院長の最上透(段田安則)が楓を医局長に据えた理由も不明だった。  　そんな中、臓器移植法改正後一例の臓器提供例も出ていない救命センターに業を煮やした病院幹部らは、トップクラスの救命率と脳死臓器提供数を両立させ、「看取りの医療」と呼ばれる試みを行ってきた異色の救命医・夏目衛(時任三郎)を迎えることを決定する。  　日々の業務に追われそれどころではない楓だったが、夏目の初赴任日を前に、東京で史上最悪の大事件が勃発し…。</v>
      </c>
      <c r="O966" s="2"/>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row>
    <row r="967" ht="204.75" customHeight="1">
      <c r="A967" s="1">
        <v>3191.0</v>
      </c>
      <c r="B967" s="2" t="s">
        <v>3104</v>
      </c>
      <c r="C967" s="2">
        <f>IFERROR(__xludf.DUMMYFUNCTION("split(B967,""_"")"),1307.0)</f>
        <v>1307</v>
      </c>
      <c r="D967" s="2" t="str">
        <f>IFERROR(__xludf.DUMMYFUNCTION("""COMPUTED_VALUE"""),"CX")</f>
        <v>CX</v>
      </c>
      <c r="E967" s="2" t="str">
        <f>IFERROR(__xludf.DUMMYFUNCTION("""COMPUTED_VALUE"""),"火21")</f>
        <v>火21</v>
      </c>
      <c r="F967" s="2" t="s">
        <v>3105</v>
      </c>
      <c r="G967" s="2" t="s">
        <v>3109</v>
      </c>
      <c r="H967" s="1">
        <v>2.0</v>
      </c>
      <c r="I967" s="1" t="s">
        <v>7</v>
      </c>
      <c r="J967" s="1" t="s">
        <v>11</v>
      </c>
      <c r="K967" s="2" t="s">
        <v>3110</v>
      </c>
      <c r="L967" s="10" t="s">
        <v>3111</v>
      </c>
      <c r="M967" s="2" t="str">
        <f>IFERROR(__xludf.DUMMYFUNCTION("split(split(K967,""【"",false),""ほか　"",false)"),"番組公式ホームページ　  http://www.fujitv.co.jp/kyumei24/　同時多発的に発生した事件に巻き込まれた多くの被害者が搬送されたため、小島楓(松嶋菜々子)は夜間の当直にもつかざるを得なくなる。しかも、昨日は警察官に伴われたいわくありげな薬物中毒患者、坂本篤(玉置玲央)も運び込まれていた。  　当直明けの楓が、ICUの個室に入った篤の様子を見に行くと、夏目衛(時任三郎)に話しかけられる。すると夏目は、篤が自分を刺した犯人だとそっと楓に教えた。2人の会話を広瀬斎(風間俊介)が聞いて"&amp;"しまう。  　そんな中行われたカンファレンスでは広瀬が入院患者や新たに搬送された患者の病状や容態を説明するが、篤について漏らす事はなかった。しかし、本庄雅晴(佐々木蔵之介)は警察に付き添われて来た篤について正確な情報が欲しいと憤っていた。また、本庄は昨日、楓が麻酔医の安藤直利(児嶋一哉)を帰してしまったことへの不満もぶつける。持論をぶつけ合う医局員たちを鎮めたのは夏目だった。冷静に楓の正当性を説く夏目に、本庄も口をつぐんでしまう。そのカンファレンスに、珍しく奈良さやか(芦名星)が遅刻してきていた。  　事"&amp;"故で緊急搬送され、帝王切開で出産した井口美穂(大谷みつほ)の夫、友明(小林高鹿)への連絡が入院から丸一日でようやく取れた。しかし、本庄は無事に子供を授かったのに井口夫婦の仲が上手くいっていないことに気づく。そして、ついに本庄は仕事だけにかまけている友明にキレてしまった。松嶋菜々子　  佐々木蔵之介　  風間俊介　  芦名星　  波瑠　  柏原収史　  児嶋一哉　  岡本玲　  山田真歩　  夙川アトム  　○　  伊藤裕子　  手塚とおる  　○　  安寿ミラ　  段田安則　  時任三郎　    ほか")</f>
        <v>番組公式ホームページ　  http://www.fujitv.co.jp/kyumei24/　同時多発的に発生した事件に巻き込まれた多くの被害者が搬送されたため、小島楓(松嶋菜々子)は夜間の当直にもつかざるを得なくなる。しかも、昨日は警察官に伴われたいわくありげな薬物中毒患者、坂本篤(玉置玲央)も運び込まれていた。  　当直明けの楓が、ICUの個室に入った篤の様子を見に行くと、夏目衛(時任三郎)に話しかけられる。すると夏目は、篤が自分を刺した犯人だとそっと楓に教えた。2人の会話を広瀬斎(風間俊介)が聞いてしまう。  　そんな中行われたカンファレンスでは広瀬が入院患者や新たに搬送された患者の病状や容態を説明するが、篤について漏らす事はなかった。しかし、本庄雅晴(佐々木蔵之介)は警察に付き添われて来た篤について正確な情報が欲しいと憤っていた。また、本庄は昨日、楓が麻酔医の安藤直利(児嶋一哉)を帰してしまったことへの不満もぶつける。持論をぶつけ合う医局員たちを鎮めたのは夏目だった。冷静に楓の正当性を説く夏目に、本庄も口をつぐんでしまう。そのカンファレンスに、珍しく奈良さやか(芦名星)が遅刻してきていた。  　事故で緊急搬送され、帝王切開で出産した井口美穂(大谷みつほ)の夫、友明(小林高鹿)への連絡が入院から丸一日でようやく取れた。しかし、本庄は無事に子供を授かったのに井口夫婦の仲が上手くいっていないことに気づく。そして、ついに本庄は仕事だけにかまけている友明にキレてしまった。松嶋菜々子　  佐々木蔵之介　  風間俊介　  芦名星　  波瑠　  柏原収史　  児嶋一哉　  岡本玲　  山田真歩　  夙川アトム  　○　  伊藤裕子　  手塚とおる  　○　  安寿ミラ　  段田安則　  時任三郎　    ほか</v>
      </c>
      <c r="N967" s="2"/>
      <c r="O967" s="2"/>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row>
    <row r="968" ht="204.75" customHeight="1">
      <c r="A968" s="1">
        <v>3192.0</v>
      </c>
      <c r="B968" s="2" t="s">
        <v>3104</v>
      </c>
      <c r="C968" s="2">
        <f>IFERROR(__xludf.DUMMYFUNCTION("split(B968,""_"")"),1307.0)</f>
        <v>1307</v>
      </c>
      <c r="D968" s="2" t="str">
        <f>IFERROR(__xludf.DUMMYFUNCTION("""COMPUTED_VALUE"""),"CX")</f>
        <v>CX</v>
      </c>
      <c r="E968" s="2" t="str">
        <f>IFERROR(__xludf.DUMMYFUNCTION("""COMPUTED_VALUE"""),"火21")</f>
        <v>火21</v>
      </c>
      <c r="F968" s="2" t="s">
        <v>3105</v>
      </c>
      <c r="G968" s="2" t="s">
        <v>3112</v>
      </c>
      <c r="H968" s="1">
        <v>3.0</v>
      </c>
      <c r="I968" s="1" t="s">
        <v>10</v>
      </c>
      <c r="J968" s="1" t="s">
        <v>11</v>
      </c>
      <c r="K968" s="2" t="s">
        <v>3113</v>
      </c>
      <c r="L968" s="10" t="s">
        <v>3114</v>
      </c>
      <c r="M968" s="2" t="str">
        <f>IFERROR(__xludf.DUMMYFUNCTION("split(split(K968,""【"",false),""ほか　"",false)"),"番組公式ホームページ　  http://www.fujitv.co.jp/kyumei24/　小島楓(松嶋菜々子)は、かつて一緒に働いた看護師の高橋〈旧姓・伊坂〉千秋(田村たがめ)と再会。結婚して子供も授かった千秋に医局長としての仕事を応援されて、楓の心は和む。だが、救命センターのメンバーは、まだまだまとまるどころではなかった。  　そんな時、最上透院長(段田安則)の思惑で、後期研修医の広瀬斎(風間俊介)と奈良さやか(芦名星)の指導医が変更される。広瀬は本庄雅晴(佐々木蔵之介)から夏目衛(時任三郎)に、さ"&amp;"やかは片岡仁志(柏原収史)から楓となった。研修医たちは少なからず動揺。さやかは楓に憧れているのだが仕事を任せてくれないことに不満を持ち、広瀬は他の医局員同様、夏目という人物そのものがわからなかった。  　そんな中、広瀬は夏目と桑田章市(花王おさむ)という患者を、さやかは楓と認知症を患う小野寺節子(茅島成美)を診る事になる。ともに高齢の患者だ。夏目は章市に退院後の歩行が困難になると告知。すると、章市は家族には連絡しないで欲しいと頼む。夏目は広瀬にもはや感覚のない章市の足に毎日ホットタオルをあてるよう指示する"&amp;"。疑問を持つ広瀬だが、素直に従った。一方、さやかは節子の症状を楓より早く察知したことに自信を持ち、積極的に患者にアプローチしようと決心。そして、自分たちを信用していないと楓に突きつけた。そんなさやかの慢心が、節子を危険な状態に陥れてしまう。松嶋菜々子　  佐々木蔵之介　  風間俊介　  芦名星　  波瑠　  柏原収史　  児嶋一哉　  岡本玲　  山田真歩　  夙川アトム  　○　  伊藤裕子　  手塚とおる  　○　  安寿ミラ　  段田安則　  時任三郎　    ほか")</f>
        <v>番組公式ホームページ　  http://www.fujitv.co.jp/kyumei24/　小島楓(松嶋菜々子)は、かつて一緒に働いた看護師の高橋〈旧姓・伊坂〉千秋(田村たがめ)と再会。結婚して子供も授かった千秋に医局長としての仕事を応援されて、楓の心は和む。だが、救命センターのメンバーは、まだまだまとまるどころではなかった。  　そんな時、最上透院長(段田安則)の思惑で、後期研修医の広瀬斎(風間俊介)と奈良さやか(芦名星)の指導医が変更される。広瀬は本庄雅晴(佐々木蔵之介)から夏目衛(時任三郎)に、さやかは片岡仁志(柏原収史)から楓となった。研修医たちは少なからず動揺。さやかは楓に憧れているのだが仕事を任せてくれないことに不満を持ち、広瀬は他の医局員同様、夏目という人物そのものがわからなかった。  　そんな中、広瀬は夏目と桑田章市(花王おさむ)という患者を、さやかは楓と認知症を患う小野寺節子(茅島成美)を診る事になる。ともに高齢の患者だ。夏目は章市に退院後の歩行が困難になると告知。すると、章市は家族には連絡しないで欲しいと頼む。夏目は広瀬にもはや感覚のない章市の足に毎日ホットタオルをあてるよう指示する。疑問を持つ広瀬だが、素直に従った。一方、さやかは節子の症状を楓より早く察知したことに自信を持ち、積極的に患者にアプローチしようと決心。そして、自分たちを信用していないと楓に突きつけた。そんなさやかの慢心が、節子を危険な状態に陥れてしまう。松嶋菜々子　  佐々木蔵之介　  風間俊介　  芦名星　  波瑠　  柏原収史　  児嶋一哉　  岡本玲　  山田真歩　  夙川アトム  　○　  伊藤裕子　  手塚とおる  　○　  安寿ミラ　  段田安則　  時任三郎　    ほか</v>
      </c>
      <c r="N968" s="2"/>
      <c r="O968" s="2"/>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row>
    <row r="969" ht="204.75" customHeight="1">
      <c r="A969" s="1">
        <v>3193.0</v>
      </c>
      <c r="B969" s="2" t="s">
        <v>3104</v>
      </c>
      <c r="C969" s="2">
        <f>IFERROR(__xludf.DUMMYFUNCTION("split(B969,""_"")"),1307.0)</f>
        <v>1307</v>
      </c>
      <c r="D969" s="2" t="str">
        <f>IFERROR(__xludf.DUMMYFUNCTION("""COMPUTED_VALUE"""),"CX")</f>
        <v>CX</v>
      </c>
      <c r="E969" s="2" t="str">
        <f>IFERROR(__xludf.DUMMYFUNCTION("""COMPUTED_VALUE"""),"火21")</f>
        <v>火21</v>
      </c>
      <c r="F969" s="2" t="s">
        <v>3105</v>
      </c>
      <c r="G969" s="2" t="s">
        <v>3115</v>
      </c>
      <c r="H969" s="1">
        <v>4.0</v>
      </c>
      <c r="I969" s="1" t="s">
        <v>14</v>
      </c>
      <c r="J969" s="1" t="s">
        <v>11</v>
      </c>
      <c r="K969" s="2" t="s">
        <v>3116</v>
      </c>
      <c r="L969" s="2" t="s">
        <v>3117</v>
      </c>
      <c r="M969" s="2" t="str">
        <f>IFERROR(__xludf.DUMMYFUNCTION("split(split(K969,""【"",false),""ほか　"",false)"),"松嶋菜々子　  佐々木蔵之介　  風間俊介　  芦名星　  波瑠　  柏原収史　  児嶋一哉　  岡本玲　  山田真歩　  夙川アトム  　○　  伊藤裕子　  手塚とおる  　○　  安寿ミラ　  段田安則　  時任三郎　    ")</f>
        <v>松嶋菜々子　  佐々木蔵之介　  風間俊介　  芦名星　  波瑠　  柏原収史　  児嶋一哉　  岡本玲　  山田真歩　  夙川アトム  　○　  伊藤裕子　  手塚とおる  　○　  安寿ミラ　  段田安則　  時任三郎　    </v>
      </c>
      <c r="N969" s="2" t="str">
        <f>IFERROR(__xludf.DUMMYFUNCTION("""COMPUTED_VALUE"""),"小島楓(松嶋菜々子)が杉吉康弘センター長(手塚とおる)に呼び出される。救急搬送された岩渕達也(森下亮)から、気管挿管時に歯を折られたとクレームをつけられたのだ。杉吉は病院に責任が及ばないよう、問題を上手くまとめるよう楓に指示。楓は詳しい話を聞こうと麻酔科医の安藤直利(児嶋一哉)を探すが、姿が見えない。結局、安藤の話が聞けなかった楓は、桜庭睦子看護師長(安寿ミラ)と一緒に岩渕と対面する。しかし、岩渕はすでに弁護士と相談しているらしく、自分の歯を折った麻酔科医としか話をしないと息巻いた。岩渕との話を終えると、"&amp;"睦子は楓にやはり安藤ときちんと話して欲しいと頼む。今回の件は別として、安藤の目つきや動きが怪しいと、患者たちからナースにクレームも入っていたのだ。その後も安藤は手術などの時にはいるのだが、楓が話をしようとすると、避けるようにどこかへ行ってしまう。そんな楓にナースの中澤千秋(山田真歩)が、安藤は誤解されやすいが悪いドクターではないと擁護。その言葉から楓はあることに気づいて、確かめる事に…。  　救命センターに、サンバカーニバルの衣装を身に着けたブラジル人たちが押し寄せる。カーニバルの練習中に仲間が倒れて搬送"&amp;"されたのだ。肝心の患者とは言葉が通じず、困惑するナースたち。だが、その様子を見ていた安藤が自ら患者に接近し、言葉の壁を克服して体の具合を伝えてもらうことに成功する。")</f>
        <v>小島楓(松嶋菜々子)が杉吉康弘センター長(手塚とおる)に呼び出される。救急搬送された岩渕達也(森下亮)から、気管挿管時に歯を折られたとクレームをつけられたのだ。杉吉は病院に責任が及ばないよう、問題を上手くまとめるよう楓に指示。楓は詳しい話を聞こうと麻酔科医の安藤直利(児嶋一哉)を探すが、姿が見えない。結局、安藤の話が聞けなかった楓は、桜庭睦子看護師長(安寿ミラ)と一緒に岩渕と対面する。しかし、岩渕はすでに弁護士と相談しているらしく、自分の歯を折った麻酔科医としか話をしないと息巻いた。岩渕との話を終えると、睦子は楓にやはり安藤ときちんと話して欲しいと頼む。今回の件は別として、安藤の目つきや動きが怪しいと、患者たちからナースにクレームも入っていたのだ。その後も安藤は手術などの時にはいるのだが、楓が話をしようとすると、避けるようにどこかへ行ってしまう。そんな楓にナースの中澤千秋(山田真歩)が、安藤は誤解されやすいが悪いドクターではないと擁護。その言葉から楓はあることに気づいて、確かめる事に…。  　救命センターに、サンバカーニバルの衣装を身に着けたブラジル人たちが押し寄せる。カーニバルの練習中に仲間が倒れて搬送されたのだ。肝心の患者とは言葉が通じず、困惑するナースたち。だが、その様子を見ていた安藤が自ら患者に接近し、言葉の壁を克服して体の具合を伝えてもらうことに成功する。</v>
      </c>
      <c r="O969" s="2"/>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row>
    <row r="970" ht="204.75" customHeight="1">
      <c r="A970" s="1">
        <v>3194.0</v>
      </c>
      <c r="B970" s="2" t="s">
        <v>3104</v>
      </c>
      <c r="C970" s="2">
        <f>IFERROR(__xludf.DUMMYFUNCTION("split(B970,""_"")"),1307.0)</f>
        <v>1307</v>
      </c>
      <c r="D970" s="2" t="str">
        <f>IFERROR(__xludf.DUMMYFUNCTION("""COMPUTED_VALUE"""),"CX")</f>
        <v>CX</v>
      </c>
      <c r="E970" s="2" t="str">
        <f>IFERROR(__xludf.DUMMYFUNCTION("""COMPUTED_VALUE"""),"火21")</f>
        <v>火21</v>
      </c>
      <c r="F970" s="2" t="s">
        <v>3105</v>
      </c>
      <c r="G970" s="2" t="s">
        <v>3118</v>
      </c>
      <c r="H970" s="1">
        <v>5.0</v>
      </c>
      <c r="I970" s="1" t="s">
        <v>17</v>
      </c>
      <c r="J970" s="1" t="s">
        <v>11</v>
      </c>
      <c r="K970" s="4" t="s">
        <v>3119</v>
      </c>
      <c r="L970" s="8" t="s">
        <v>3120</v>
      </c>
      <c r="M970" s="2" t="str">
        <f>IFERROR(__xludf.DUMMYFUNCTION("split(split(K970,""【"",false),""ほか　"",false)"),"番組公式ホームページ　  http://www.fujitv.co.jp/kyumei24/　小島楓(松嶋菜々子)、夏目衛(時任三郎)、本庄雅晴(佐々木蔵之介)らの処置で、劇症型心筋炎で運ばれた小学生の西園美羽(毛利恋子)は一命を取り留めた。本庄は著しく心機能が低下した美羽の経過を診るため、しばらくの入院が必要なことを母親の智子(建みさと)に告げる。広瀬斎(風間俊介)は、医局のファクスに届いた夏目に関する週刊誌の原稿の処分に悩んでいた。結局、楓に報告。記事に目を通した楓は、この件は自分が預かると告げる。広"&amp;"瀬も他言はしないと、楓に応じた。  　救命救急センターでは次々に運び込まれる東京ルール適用の患者が話題になっていた。東京ルールは、重篤な患者のたらい回しを防ぐために設けられたもの。しかし、5つ以上の病院で断られた患者は、地域の拠点病院が最終的な責任を取らなくてはならない。もちろん、重篤な患者に関しては否応無しだが、治療費を払えそうにない患者や救急車をタクシー代わりに使うようなモンスター患者までもが運ばれて来るのだ。  　そんな時、新たな東京ルール適用患者が運び込まれた。路上に倒れていた男で、意識レベルはさ"&amp;"ほど低くはないが混濁している。顔を見た広瀬は驚く。男は広瀬の医学部時代の先輩、添田誠(石垣佑磨)だった。添田が倒れたのは脱法ハーブ使用のため。広瀬によると添田は医学部を中退している。処置が終わり、ICUに入院することになる添田。すると広瀬の様子がどこかおかしくなって…。松嶋菜々子　  佐々木蔵之介　  風間俊介　  芦名星　  波瑠　  柏原収史　  児嶋一哉　  岡本玲　  山田真歩　  夙川アトム  　○　  伊藤裕子　  手塚とおる  　○　  安寿ミラ　  段田安則　  時任三郎　    ほか")</f>
        <v>番組公式ホームページ　  http://www.fujitv.co.jp/kyumei24/　小島楓(松嶋菜々子)、夏目衛(時任三郎)、本庄雅晴(佐々木蔵之介)らの処置で、劇症型心筋炎で運ばれた小学生の西園美羽(毛利恋子)は一命を取り留めた。本庄は著しく心機能が低下した美羽の経過を診るため、しばらくの入院が必要なことを母親の智子(建みさと)に告げる。広瀬斎(風間俊介)は、医局のファクスに届いた夏目に関する週刊誌の原稿の処分に悩んでいた。結局、楓に報告。記事に目を通した楓は、この件は自分が預かると告げる。広瀬も他言はしないと、楓に応じた。  　救命救急センターでは次々に運び込まれる東京ルール適用の患者が話題になっていた。東京ルールは、重篤な患者のたらい回しを防ぐために設けられたもの。しかし、5つ以上の病院で断られた患者は、地域の拠点病院が最終的な責任を取らなくてはならない。もちろん、重篤な患者に関しては否応無しだが、治療費を払えそうにない患者や救急車をタクシー代わりに使うようなモンスター患者までもが運ばれて来るのだ。  　そんな時、新たな東京ルール適用患者が運び込まれた。路上に倒れていた男で、意識レベルはさほど低くはないが混濁している。顔を見た広瀬は驚く。男は広瀬の医学部時代の先輩、添田誠(石垣佑磨)だった。添田が倒れたのは脱法ハーブ使用のため。広瀬によると添田は医学部を中退している。処置が終わり、ICUに入院することになる添田。すると広瀬の様子がどこかおかしくなって…。松嶋菜々子　  佐々木蔵之介　  風間俊介　  芦名星　  波瑠　  柏原収史　  児嶋一哉　  岡本玲　  山田真歩　  夙川アトム  　○　  伊藤裕子　  手塚とおる  　○　  安寿ミラ　  段田安則　  時任三郎　    ほか</v>
      </c>
      <c r="N970" s="2"/>
      <c r="O970" s="2"/>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row>
    <row r="971" ht="204.75" customHeight="1">
      <c r="A971" s="1">
        <v>3195.0</v>
      </c>
      <c r="B971" s="2" t="s">
        <v>3104</v>
      </c>
      <c r="C971" s="2">
        <f>IFERROR(__xludf.DUMMYFUNCTION("split(B971,""_"")"),1307.0)</f>
        <v>1307</v>
      </c>
      <c r="D971" s="2" t="str">
        <f>IFERROR(__xludf.DUMMYFUNCTION("""COMPUTED_VALUE"""),"CX")</f>
        <v>CX</v>
      </c>
      <c r="E971" s="2" t="str">
        <f>IFERROR(__xludf.DUMMYFUNCTION("""COMPUTED_VALUE"""),"火21")</f>
        <v>火21</v>
      </c>
      <c r="F971" s="2" t="s">
        <v>3105</v>
      </c>
      <c r="G971" s="2" t="s">
        <v>3121</v>
      </c>
      <c r="H971" s="1">
        <v>6.0</v>
      </c>
      <c r="I971" s="1" t="s">
        <v>21</v>
      </c>
      <c r="J971" s="1" t="s">
        <v>11</v>
      </c>
      <c r="K971" s="2" t="s">
        <v>3122</v>
      </c>
      <c r="L971" s="2" t="s">
        <v>3123</v>
      </c>
      <c r="M971" s="2" t="str">
        <f>IFERROR(__xludf.DUMMYFUNCTION("split(split(K971,""【"",false),""ほか　"",false)"),"松嶋菜々子　  佐々木蔵之介　  風間俊介　  芦名星　  波瑠　  柏原収史　  児嶋一哉　  岡本玲　  山田真歩　  夙川アトム  　○　  伊藤裕子　  手塚とおる  　○　  安寿ミラ　  段田安則　  時任三郎　    ")</f>
        <v>松嶋菜々子　  佐々木蔵之介　  風間俊介　  芦名星　  波瑠　  柏原収史　  児嶋一哉　  岡本玲　  山田真歩　  夙川アトム  　○　  伊藤裕子　  手塚とおる  　○　  安寿ミラ　  段田安則　  時任三郎　    </v>
      </c>
      <c r="N971" s="2" t="str">
        <f>IFERROR(__xludf.DUMMYFUNCTION("""COMPUTED_VALUE"""),"救命救急センターのカンファレンスで、珍しく医局員に関する嬉しい報告がされていた。小島楓(松嶋菜々子)も喜んでいたのだが、そこに桜庭睦子看護師長(安寿ミラ)が報告に来る。昨夜、くも膜下出血で搬送され、脳外科に回され手術を受けた患者、桂木藍子(伊藤歩)が救命救急センターのICUに戻されると言うのだ。脳外科のICUが満床という理由なのだが、打診をしてきたのは救命センター長の杉吉康弘(手塚とおる)。本庄雅晴(佐々木蔵之介)たちは脳外科教授でもある杉吉の都合良い差配を訝しむが、楓は受け入れを許可する。藍子には父の達"&amp;"央(堀内正美)と母の三津子(川口圭子)が付き添っていた。一代で築いた運送会社の会長である達央は、個室が良いだのと藍子の処遇にいちいち口を出す。片岡仁志(柏原収史)は、達央の存在があるから脳外科が厄介払いをしたのだろうと推測するが、本庄はまだ何かあると考える。  　そんな時、楓の兄、立(山口馬木也)が夕(山崎光)を連れて訪ねてきた。どうやら夕が国友花音(波瑠)に会いたかったらしい。再会した夕に、花音は心疾患で入院中の美羽(毛利恋子)を紹介する。  　藍子が目を覚まし、左手の感覚がないことに気づく。やはり本庄"&amp;"が感じた“何か""があったようだ。同じ頃、美羽の容態が急変。処置にあたろうとする楓たちに、藍子の説明を求める達央が怒号とともに迫る。夏目衛(時任三郎)たちが達央を食い止めるが…。")</f>
        <v>救命救急センターのカンファレンスで、珍しく医局員に関する嬉しい報告がされていた。小島楓(松嶋菜々子)も喜んでいたのだが、そこに桜庭睦子看護師長(安寿ミラ)が報告に来る。昨夜、くも膜下出血で搬送され、脳外科に回され手術を受けた患者、桂木藍子(伊藤歩)が救命救急センターのICUに戻されると言うのだ。脳外科のICUが満床という理由なのだが、打診をしてきたのは救命センター長の杉吉康弘(手塚とおる)。本庄雅晴(佐々木蔵之介)たちは脳外科教授でもある杉吉の都合良い差配を訝しむが、楓は受け入れを許可する。藍子には父の達央(堀内正美)と母の三津子(川口圭子)が付き添っていた。一代で築いた運送会社の会長である達央は、個室が良いだのと藍子の処遇にいちいち口を出す。片岡仁志(柏原収史)は、達央の存在があるから脳外科が厄介払いをしたのだろうと推測するが、本庄はまだ何かあると考える。  　そんな時、楓の兄、立(山口馬木也)が夕(山崎光)を連れて訪ねてきた。どうやら夕が国友花音(波瑠)に会いたかったらしい。再会した夕に、花音は心疾患で入院中の美羽(毛利恋子)を紹介する。  　藍子が目を覚まし、左手の感覚がないことに気づく。やはり本庄が感じた“何か"があったようだ。同じ頃、美羽の容態が急変。処置にあたろうとする楓たちに、藍子の説明を求める達央が怒号とともに迫る。夏目衛(時任三郎)たちが達央を食い止めるが…。</v>
      </c>
      <c r="O971" s="2"/>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row>
    <row r="972" ht="204.75" customHeight="1">
      <c r="A972" s="1">
        <v>3196.0</v>
      </c>
      <c r="B972" s="2" t="s">
        <v>3104</v>
      </c>
      <c r="C972" s="2">
        <f>IFERROR(__xludf.DUMMYFUNCTION("split(B972,""_"")"),1307.0)</f>
        <v>1307</v>
      </c>
      <c r="D972" s="2" t="str">
        <f>IFERROR(__xludf.DUMMYFUNCTION("""COMPUTED_VALUE"""),"CX")</f>
        <v>CX</v>
      </c>
      <c r="E972" s="2" t="str">
        <f>IFERROR(__xludf.DUMMYFUNCTION("""COMPUTED_VALUE"""),"火21")</f>
        <v>火21</v>
      </c>
      <c r="F972" s="2" t="s">
        <v>3105</v>
      </c>
      <c r="G972" s="2" t="s">
        <v>3124</v>
      </c>
      <c r="H972" s="1">
        <v>7.0</v>
      </c>
      <c r="I972" s="1" t="s">
        <v>25</v>
      </c>
      <c r="J972" s="1" t="s">
        <v>4</v>
      </c>
      <c r="K972" s="2" t="s">
        <v>3125</v>
      </c>
      <c r="L972" s="8" t="s">
        <v>3126</v>
      </c>
      <c r="M972" s="2" t="str">
        <f>IFERROR(__xludf.DUMMYFUNCTION("split(split(K972,""【"",false),""ほか　"",false)"),"番組公式ホームページ　  http://www.fujitv.co.jp/kyumei24/　小島楓(松嶋菜々子)の甥、夕(山崎光)が呼吸停止状態で搬送されてきた。夕は父親の立(山口馬木也)が目を離した隙に、川に転落。付き添ってきた立は、楓に夕を助けて欲しいと必死に頼む。夕は一命を取り留めたものの危険な状態。美木麻衣子(岡本玲)は、夕の持ち物の中に臓器提供意思表示カードを見つける。夕と交流を持つ国友花音(波瑠)はショックを隠すことが出来ず、現場を離れてしまった。広瀬斎(風間俊介)は、そんな花音にコーヒーを"&amp;"差し出して、戻ってきて欲しいと頼む。  　その頃、本庄雅晴(佐々木蔵之介)は心臓血管外科医から西園美羽(毛利恋子)の詳しい病状を聞いていた。美羽の心臓は回復の見込みがなく、移植適用となりそうだ。その時、本庄に微かな異変が起きる。  　最上透(段田安則)は桜庭睦子(安寿ミラ)から夕の報告を受ける。夕に同情する最上。しかし、いざと言う時に行うことになるかもしれない臓器提供の準備を始めることにした。  　夕の状態が変わらない中、いつもと変わらない様子で患者たちの治療を進める楓。そばで様子を見る麻衣子も楓の気持ち"&amp;"を計りかねる。  　楓に最上が話しかけた。楓が夕の呼吸状態の改善を伝えると、最上がその後の言葉を引き継ぐ。だが、脳死状態と答えることの出来ない楓に、最上は非情にも夕の家族に臓器提供の話を持ちかけるよう促す。悩む楓に、夏目衛(時任三郎)は辛いだろうが逃げないで欲しいと告げた。松嶋菜々子　  佐々木蔵之介　  風間俊介　  芦名星　  波瑠　  柏原収史　  児嶋一哉　  岡本玲　  山田真歩　  夙川アトム  　○　  伊藤裕子　  手塚とおる  　○　  安寿ミラ　  段田安則　  時任三郎　    ほか")</f>
        <v>番組公式ホームページ　  http://www.fujitv.co.jp/kyumei24/　小島楓(松嶋菜々子)の甥、夕(山崎光)が呼吸停止状態で搬送されてきた。夕は父親の立(山口馬木也)が目を離した隙に、川に転落。付き添ってきた立は、楓に夕を助けて欲しいと必死に頼む。夕は一命を取り留めたものの危険な状態。美木麻衣子(岡本玲)は、夕の持ち物の中に臓器提供意思表示カードを見つける。夕と交流を持つ国友花音(波瑠)はショックを隠すことが出来ず、現場を離れてしまった。広瀬斎(風間俊介)は、そんな花音にコーヒーを差し出して、戻ってきて欲しいと頼む。  　その頃、本庄雅晴(佐々木蔵之介)は心臓血管外科医から西園美羽(毛利恋子)の詳しい病状を聞いていた。美羽の心臓は回復の見込みがなく、移植適用となりそうだ。その時、本庄に微かな異変が起きる。  　最上透(段田安則)は桜庭睦子(安寿ミラ)から夕の報告を受ける。夕に同情する最上。しかし、いざと言う時に行うことになるかもしれない臓器提供の準備を始めることにした。  　夕の状態が変わらない中、いつもと変わらない様子で患者たちの治療を進める楓。そばで様子を見る麻衣子も楓の気持ちを計りかねる。  　楓に最上が話しかけた。楓が夕の呼吸状態の改善を伝えると、最上がその後の言葉を引き継ぐ。だが、脳死状態と答えることの出来ない楓に、最上は非情にも夕の家族に臓器提供の話を持ちかけるよう促す。悩む楓に、夏目衛(時任三郎)は辛いだろうが逃げないで欲しいと告げた。松嶋菜々子　  佐々木蔵之介　  風間俊介　  芦名星　  波瑠　  柏原収史　  児嶋一哉　  岡本玲　  山田真歩　  夙川アトム  　○　  伊藤裕子　  手塚とおる  　○　  安寿ミラ　  段田安則　  時任三郎　    ほか</v>
      </c>
      <c r="N972" s="2"/>
      <c r="O972" s="2"/>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row>
    <row r="973" ht="204.75" customHeight="1">
      <c r="A973" s="1">
        <v>3197.0</v>
      </c>
      <c r="B973" s="2" t="s">
        <v>3104</v>
      </c>
      <c r="C973" s="2">
        <f>IFERROR(__xludf.DUMMYFUNCTION("split(B973,""_"")"),1307.0)</f>
        <v>1307</v>
      </c>
      <c r="D973" s="2" t="str">
        <f>IFERROR(__xludf.DUMMYFUNCTION("""COMPUTED_VALUE"""),"CX")</f>
        <v>CX</v>
      </c>
      <c r="E973" s="2" t="str">
        <f>IFERROR(__xludf.DUMMYFUNCTION("""COMPUTED_VALUE"""),"火21")</f>
        <v>火21</v>
      </c>
      <c r="F973" s="2" t="s">
        <v>3105</v>
      </c>
      <c r="G973" s="2" t="s">
        <v>3127</v>
      </c>
      <c r="H973" s="1">
        <v>8.0</v>
      </c>
      <c r="I973" s="1" t="s">
        <v>29</v>
      </c>
      <c r="J973" s="1" t="s">
        <v>11</v>
      </c>
      <c r="K973" s="2" t="s">
        <v>3128</v>
      </c>
      <c r="L973" s="8" t="s">
        <v>3129</v>
      </c>
      <c r="M973" s="2" t="str">
        <f>IFERROR(__xludf.DUMMYFUNCTION("split(split(K973,""【"",false),""ほか　"",false)"),"番組公式ホームページ　  http://www.fujitv.co.jp/kyumei24/　小島楓(松嶋菜々子)の甥、夕(山崎光)の脳死下臓器提供が行われた。最上透(段田安則)は、経緯を記者会見で発表する。湊大附属病院から念願の臓器移植一例目が出たことをねぎらう桜庭睦子(安寿ミラ)だが、最上はその言葉にトゲがあることを聞き逃さない。それでも、最上は珍しく楓を気にかけている様子。楓は休みを取っていると答え、心配しているのではないか?と、睦子が尋ねる。しかし、最上は、ここで楓につぶれてもらっては困る、と平然"&amp;"と言い放った。  　救命救急センターの面々は、それぞれに楓を心配していた。そんな中、本庄雅晴(佐々木蔵之介)は西園美羽(毛利恋子)を見舞う。美羽は移植待機リストに登録することに決めたと本庄に話す。夕の姿から決心がついたようだった。そんな娘の様子に母の智子(建みさと)は本庄のおかげと感謝する。本庄は智子の感謝に素直に応じられない。  　医局でカンファレンスを始めようとすると、楓が来た。いつもと変わらない楓に、医局員たちはなんと声をかければ良いのかわからない。と、そこに杉吉康弘センター長(手塚とおる)が珍しく"&amp;"顔を出す。杉吉は前期研修医の猿田勇(渡部秀)を連れていて、救命センターで預かることになったと紹介。楓は片岡仁志(柏原収史)を猿田の指導医にあてる。  　いつものように出勤し、カンファレンスを終えた楓。だが、心にはある決意を秘めていた。楓の足は最上の院長執務室へと向かった。松嶋菜々子　  佐々木蔵之介　  風間俊介　  芦名星　  波瑠　  柏原収史　  児嶋一哉　  岡本玲　  山田真歩　  夙川アトム  　○　  伊藤裕子　  手塚とおる  　○　  安寿ミラ　  段田安則　  時任三郎　    ほか")</f>
        <v>番組公式ホームページ　  http://www.fujitv.co.jp/kyumei24/　小島楓(松嶋菜々子)の甥、夕(山崎光)の脳死下臓器提供が行われた。最上透(段田安則)は、経緯を記者会見で発表する。湊大附属病院から念願の臓器移植一例目が出たことをねぎらう桜庭睦子(安寿ミラ)だが、最上はその言葉にトゲがあることを聞き逃さない。それでも、最上は珍しく楓を気にかけている様子。楓は休みを取っていると答え、心配しているのではないか?と、睦子が尋ねる。しかし、最上は、ここで楓につぶれてもらっては困る、と平然と言い放った。  　救命救急センターの面々は、それぞれに楓を心配していた。そんな中、本庄雅晴(佐々木蔵之介)は西園美羽(毛利恋子)を見舞う。美羽は移植待機リストに登録することに決めたと本庄に話す。夕の姿から決心がついたようだった。そんな娘の様子に母の智子(建みさと)は本庄のおかげと感謝する。本庄は智子の感謝に素直に応じられない。  　医局でカンファレンスを始めようとすると、楓が来た。いつもと変わらない楓に、医局員たちはなんと声をかければ良いのかわからない。と、そこに杉吉康弘センター長(手塚とおる)が珍しく顔を出す。杉吉は前期研修医の猿田勇(渡部秀)を連れていて、救命センターで預かることになったと紹介。楓は片岡仁志(柏原収史)を猿田の指導医にあてる。  　いつものように出勤し、カンファレンスを終えた楓。だが、心にはある決意を秘めていた。楓の足は最上の院長執務室へと向かった。松嶋菜々子　  佐々木蔵之介　  風間俊介　  芦名星　  波瑠　  柏原収史　  児嶋一哉　  岡本玲　  山田真歩　  夙川アトム  　○　  伊藤裕子　  手塚とおる  　○　  安寿ミラ　  段田安則　  時任三郎　    ほか</v>
      </c>
      <c r="N973" s="2"/>
      <c r="O973" s="2"/>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row>
    <row r="974" ht="204.75" customHeight="1">
      <c r="A974" s="1">
        <v>3198.0</v>
      </c>
      <c r="B974" s="2" t="s">
        <v>3104</v>
      </c>
      <c r="C974" s="2">
        <f>IFERROR(__xludf.DUMMYFUNCTION("split(B974,""_"")"),1307.0)</f>
        <v>1307</v>
      </c>
      <c r="D974" s="2" t="str">
        <f>IFERROR(__xludf.DUMMYFUNCTION("""COMPUTED_VALUE"""),"CX")</f>
        <v>CX</v>
      </c>
      <c r="E974" s="2" t="str">
        <f>IFERROR(__xludf.DUMMYFUNCTION("""COMPUTED_VALUE"""),"火21")</f>
        <v>火21</v>
      </c>
      <c r="F974" s="2" t="s">
        <v>3105</v>
      </c>
      <c r="G974" s="2" t="s">
        <v>3130</v>
      </c>
      <c r="H974" s="1">
        <v>9.0</v>
      </c>
      <c r="I974" s="1" t="s">
        <v>33</v>
      </c>
      <c r="J974" s="1" t="s">
        <v>11</v>
      </c>
      <c r="K974" s="2" t="s">
        <v>3131</v>
      </c>
      <c r="L974" s="8" t="s">
        <v>3132</v>
      </c>
      <c r="M974" s="2" t="str">
        <f>IFERROR(__xludf.DUMMYFUNCTION("split(split(K974,""【"",false),""ほか　"",false)"),"番組公式ホームページ　  http://www.fujitv.co.jp/kyumei24/　救命救急センター医局で行われたカンファレンス後、小島楓(松嶋菜々子)は医局員たちに本庄雅晴(佐々木蔵之介)が休みをとることを告げる。休む理由は本庄本人が目の手術のためと説明した。手術後もしばらく入院が必要となるので、広瀬斎(風間俊介)は見舞いに行くと言うのだが、本庄はかたくなに拒否する。明るく報告していたから大丈夫だろうと軽く考える猿田勇(渡部秀)。広瀬はそんな猿田に、もし外科医の本庄が視力を失うことがあったら命"&amp;"を失うことに等しいと戒めた。  　楓は広瀬、奈良さやか(芦名星)とNBC災害のシンポジウムを聴講。散会後、楓はパネリストとして参加していた東京消防庁の救急隊長、有村公邦(比留間由哲)に声をかけられる。楓のオペの腕は救急隊員の間で鳴り響いていると持ち上げる有村。さらに、独身なのかと続ける有村に、楓は関係のない質問と答えずに去る。2人の様子をうかがっていた広瀬は、これは事件だとさやかにささやいた。  　そんなことがあった後、湊大救急救命センターを救急隊員が指名して患者を搬送してくることが多くなる。指示は有村が"&amp;"与えているようだ。その有村も患者を運び入れる。その患者は片岡仁志(柏原収史)の知り合いだった。搬送を終えた有村は、スタッフやセンターの設備を褒めるが、楓は違和感を覚える。  　そんな出来事の後、楓は有村から食事に誘われた。そこで楓は、有村に感じた違和感の正体を知る。松嶋菜々子　  佐々木蔵之介　  風間俊介　  芦名星　  波瑠　  柏原収史　  児嶋一哉　  岡本玲　  山田真歩　  夙川アトム  　○　  伊藤裕子　  手塚とおる  　○　  安寿ミラ　  段田安則　  時任三郎　    ほか")</f>
        <v>番組公式ホームページ　  http://www.fujitv.co.jp/kyumei24/　救命救急センター医局で行われたカンファレンス後、小島楓(松嶋菜々子)は医局員たちに本庄雅晴(佐々木蔵之介)が休みをとることを告げる。休む理由は本庄本人が目の手術のためと説明した。手術後もしばらく入院が必要となるので、広瀬斎(風間俊介)は見舞いに行くと言うのだが、本庄はかたくなに拒否する。明るく報告していたから大丈夫だろうと軽く考える猿田勇(渡部秀)。広瀬はそんな猿田に、もし外科医の本庄が視力を失うことがあったら命を失うことに等しいと戒めた。  　楓は広瀬、奈良さやか(芦名星)とNBC災害のシンポジウムを聴講。散会後、楓はパネリストとして参加していた東京消防庁の救急隊長、有村公邦(比留間由哲)に声をかけられる。楓のオペの腕は救急隊員の間で鳴り響いていると持ち上げる有村。さらに、独身なのかと続ける有村に、楓は関係のない質問と答えずに去る。2人の様子をうかがっていた広瀬は、これは事件だとさやかにささやいた。  　そんなことがあった後、湊大救急救命センターを救急隊員が指名して患者を搬送してくることが多くなる。指示は有村が与えているようだ。その有村も患者を運び入れる。その患者は片岡仁志(柏原収史)の知り合いだった。搬送を終えた有村は、スタッフやセンターの設備を褒めるが、楓は違和感を覚える。  　そんな出来事の後、楓は有村から食事に誘われた。そこで楓は、有村に感じた違和感の正体を知る。松嶋菜々子　  佐々木蔵之介　  風間俊介　  芦名星　  波瑠　  柏原収史　  児嶋一哉　  岡本玲　  山田真歩　  夙川アトム  　○　  伊藤裕子　  手塚とおる  　○　  安寿ミラ　  段田安則　  時任三郎　    ほか</v>
      </c>
      <c r="N974" s="2"/>
      <c r="O974" s="2"/>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row>
    <row r="975" ht="204.75" customHeight="1">
      <c r="A975" s="1">
        <v>3199.0</v>
      </c>
      <c r="B975" s="2" t="s">
        <v>3104</v>
      </c>
      <c r="C975" s="2">
        <f>IFERROR(__xludf.DUMMYFUNCTION("split(B975,""_"")"),1307.0)</f>
        <v>1307</v>
      </c>
      <c r="D975" s="2" t="str">
        <f>IFERROR(__xludf.DUMMYFUNCTION("""COMPUTED_VALUE"""),"CX")</f>
        <v>CX</v>
      </c>
      <c r="E975" s="2" t="str">
        <f>IFERROR(__xludf.DUMMYFUNCTION("""COMPUTED_VALUE"""),"火21")</f>
        <v>火21</v>
      </c>
      <c r="F975" s="2" t="s">
        <v>3105</v>
      </c>
      <c r="G975" s="2" t="s">
        <v>3133</v>
      </c>
      <c r="H975" s="1">
        <v>10.0</v>
      </c>
      <c r="I975" s="1" t="s">
        <v>37</v>
      </c>
      <c r="J975" s="1" t="s">
        <v>4</v>
      </c>
      <c r="K975" s="2" t="s">
        <v>3134</v>
      </c>
      <c r="L975" s="8" t="s">
        <v>3135</v>
      </c>
      <c r="M975" s="2" t="str">
        <f>IFERROR(__xludf.DUMMYFUNCTION("split(split(K975,""【"",false),""ほか　"",false)"),"番組公式ホームページ　  http://www.fujitv.co.jp/kyumei24/　小島楓(松嶋菜々子)たちは救命救急センターに来た途端、吐血して倒れた患者の処置にあたった。桜庭睦子(安寿ミラ)は、患者の血液を浴びてしまった国友花音(波瑠)に寄り添い執拗(しつよう)な洗浄を促す。花音はセンターの仮眠室で様子をみることに。  　吐血患者がアフリカから帰国したばかりのフリーカメラマン兵頭明佳(小椋毅)と判明。医局員たちに緊張が走る。楓の報告に最上透(段田安則)も花音の様子を気にかけていた。  　感染"&amp;"症センターの為我井智(やべけんじ)が兵頭の血液検査の結果を持って来る。為我井が示したのは1類感染症(感染した場合、極めて重篤な状態になりうる)マールブルグ病を引き起こすウイルスだった。そこに飛び込んできた美木麻衣子(岡本玲)が、兵頭の容態急変を告げる。兵頭は亡くなった…。  　翌朝、院長執務室では、為我井と今後の相談がなされる。通常通りの勤務を求める楓に為我井は反対しない。しかし、杉吉康弘センター長(手塚とおる)は救命センターの一時隔離を主張。最上がそれを認めた。  　花音は発症してICUの個室に移される"&amp;"。数日後、空気感染の恐れはないため、救命センターの隔離が解かれた。だが、その矢先、マールブルグ病の症状に似た患者が次々と運ばれて来る。かつてない異常事態が、楓と医局員たちを襲う。松嶋菜々子　  佐々木蔵之介　  風間俊介　  芦名星　  波瑠　  柏原収史　  児嶋一哉　  岡本玲　  山田真歩　  夙川アトム  　○　  伊藤裕子　  手塚とおる  　○　  安寿ミラ　  段田安則　  時任三郎　    ほか")</f>
        <v>番組公式ホームページ　  http://www.fujitv.co.jp/kyumei24/　小島楓(松嶋菜々子)たちは救命救急センターに来た途端、吐血して倒れた患者の処置にあたった。桜庭睦子(安寿ミラ)は、患者の血液を浴びてしまった国友花音(波瑠)に寄り添い執拗(しつよう)な洗浄を促す。花音はセンターの仮眠室で様子をみることに。  　吐血患者がアフリカから帰国したばかりのフリーカメラマン兵頭明佳(小椋毅)と判明。医局員たちに緊張が走る。楓の報告に最上透(段田安則)も花音の様子を気にかけていた。  　感染症センターの為我井智(やべけんじ)が兵頭の血液検査の結果を持って来る。為我井が示したのは1類感染症(感染した場合、極めて重篤な状態になりうる)マールブルグ病を引き起こすウイルスだった。そこに飛び込んできた美木麻衣子(岡本玲)が、兵頭の容態急変を告げる。兵頭は亡くなった…。  　翌朝、院長執務室では、為我井と今後の相談がなされる。通常通りの勤務を求める楓に為我井は反対しない。しかし、杉吉康弘センター長(手塚とおる)は救命センターの一時隔離を主張。最上がそれを認めた。  　花音は発症してICUの個室に移される。数日後、空気感染の恐れはないため、救命センターの隔離が解かれた。だが、その矢先、マールブルグ病の症状に似た患者が次々と運ばれて来る。かつてない異常事態が、楓と医局員たちを襲う。松嶋菜々子　  佐々木蔵之介　  風間俊介　  芦名星　  波瑠　  柏原収史　  児嶋一哉　  岡本玲　  山田真歩　  夙川アトム  　○　  伊藤裕子　  手塚とおる  　○　  安寿ミラ　  段田安則　  時任三郎　    ほか</v>
      </c>
      <c r="N975" s="2"/>
      <c r="O975" s="2"/>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row>
    <row r="976" ht="204.75" customHeight="1">
      <c r="A976" s="1">
        <v>3200.0</v>
      </c>
      <c r="B976" s="2" t="s">
        <v>3136</v>
      </c>
      <c r="C976" s="2">
        <f>IFERROR(__xludf.DUMMYFUNCTION("split(B976,""_"")"),1307.0)</f>
        <v>1307</v>
      </c>
      <c r="D976" s="2" t="str">
        <f>IFERROR(__xludf.DUMMYFUNCTION("""COMPUTED_VALUE"""),"CX")</f>
        <v>CX</v>
      </c>
      <c r="E976" s="2" t="str">
        <f>IFERROR(__xludf.DUMMYFUNCTION("""COMPUTED_VALUE"""),"火22")</f>
        <v>火22</v>
      </c>
      <c r="F976" s="2" t="s">
        <v>3137</v>
      </c>
      <c r="G976" s="2" t="s">
        <v>3138</v>
      </c>
      <c r="H976" s="1">
        <v>1.0</v>
      </c>
      <c r="I976" s="1" t="s">
        <v>3</v>
      </c>
      <c r="J976" s="1" t="s">
        <v>82</v>
      </c>
      <c r="K976" s="4" t="s">
        <v>3139</v>
      </c>
      <c r="L976" s="2" t="s">
        <v>3140</v>
      </c>
      <c r="M976" s="2" t="str">
        <f>IFERROR(__xludf.DUMMYFUNCTION("split(split(K976,""広末涼子　"",false),""公式LINE"",false)"),"宇野佐和子(広末涼子)は、夫に逃げられ3人の息子を育てている、肝っ玉シングルマザー。  スーパーマーケットで働き、祖母の美代(吉行和子)に家事を手伝ってもらいながら、平凡だけれど楽しい毎日を過ごしている。  　  そんなある日、仕事帰りの佐和子の車の前に、ひん死状態の青年(福士蒼汰)が現れる。  「ちょっとあんた!死にたかったらね…!」と文句を言おうとするが、男がかなり良い男であることに気づく。青年の美しさに心を奪われ、一瞬で恋に落ちてしまった佐和子。    佐和子の家で目を覚ました青年は、なんと記憶喪失"&amp;"だった。運命的な出会いだと感じた佐和子は、息子たちに「今日からあの人に、あなたたちのお父さんになってもらうことにします」と宣言。夜空の星に興味を示す青年を“星男""と名付け、3人の息子たちの父親だと嘘をつき同居させることに。忘れかけていた乙女心を取り戻した佐和子、3人の息子、おばあちゃん、そして星男のちょっと変わった“疑似家族生活""が始まる。    自分が何者かすら思い出せず、3人の息子たちに「俺の…………子供?」と戸惑う星男。佐和子に言われるがまま宇野家で暮らすが、次第に謎に包まれた過去が明らかになっ"&amp;"ていく。  一方、嘘をついていることに罪の意識を感じながらも、どんどん星男に惹かれていく佐和子。一家族の物語のはずが・・・町中を巻き込んだ予想もつかない展開に!?")</f>
        <v>宇野佐和子(広末涼子)は、夫に逃げられ3人の息子を育てている、肝っ玉シングルマザー。  スーパーマーケットで働き、祖母の美代(吉行和子)に家事を手伝ってもらいながら、平凡だけれど楽しい毎日を過ごしている。  　  そんなある日、仕事帰りの佐和子の車の前に、ひん死状態の青年(福士蒼汰)が現れる。  「ちょっとあんた!死にたかったらね…!」と文句を言おうとするが、男がかなり良い男であることに気づく。青年の美しさに心を奪われ、一瞬で恋に落ちてしまった佐和子。    佐和子の家で目を覚ました青年は、なんと記憶喪失だった。運命的な出会いだと感じた佐和子は、息子たちに「今日からあの人に、あなたたちのお父さんになってもらうことにします」と宣言。夜空の星に興味を示す青年を“星男"と名付け、3人の息子たちの父親だと嘘をつき同居させることに。忘れかけていた乙女心を取り戻した佐和子、3人の息子、おばあちゃん、そして星男のちょっと変わった“疑似家族生活"が始まる。    自分が何者かすら思い出せず、3人の息子たちに「俺の…………子供?」と戸惑う星男。佐和子に言われるがまま宇野家で暮らすが、次第に謎に包まれた過去が明らかになっていく。  一方、嘘をついていることに罪の意識を感じながらも、どんどん星男に惹かれていく佐和子。一家族の物語のはずが・・・町中を巻き込んだ予想もつかない展開に!?</v>
      </c>
      <c r="N976" s="2"/>
      <c r="O976" s="2"/>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row>
    <row r="977" ht="204.75" customHeight="1">
      <c r="A977" s="1">
        <v>3201.0</v>
      </c>
      <c r="B977" s="2" t="s">
        <v>3136</v>
      </c>
      <c r="C977" s="2">
        <f>IFERROR(__xludf.DUMMYFUNCTION("split(B977,""_"")"),1307.0)</f>
        <v>1307</v>
      </c>
      <c r="D977" s="2" t="str">
        <f>IFERROR(__xludf.DUMMYFUNCTION("""COMPUTED_VALUE"""),"CX")</f>
        <v>CX</v>
      </c>
      <c r="E977" s="2" t="str">
        <f>IFERROR(__xludf.DUMMYFUNCTION("""COMPUTED_VALUE"""),"火22")</f>
        <v>火22</v>
      </c>
      <c r="F977" s="2" t="s">
        <v>3137</v>
      </c>
      <c r="G977" s="2" t="s">
        <v>3141</v>
      </c>
      <c r="H977" s="1">
        <v>2.0</v>
      </c>
      <c r="I977" s="1" t="s">
        <v>7</v>
      </c>
      <c r="J977" s="1" t="s">
        <v>86</v>
      </c>
      <c r="K977" s="2" t="s">
        <v>3142</v>
      </c>
      <c r="L977" s="2" t="s">
        <v>3143</v>
      </c>
      <c r="M977" s="2" t="str">
        <f>IFERROR(__xludf.DUMMYFUNCTION("split(split(K977,""広末涼子　"",false),""公式LINE"",false)"),"佐和子(広末涼子)のウソを信じ、自分は佐和子の夫だと思い込む星男(福士蒼汰)。  だましていることに罪の意識を感じ始める佐和子だが、真実を知った星男がいなくなることを恐れ、本当のことを言い出せないでいた。    そんなある朝、車で出かけた佐和子に忘れ物を届けようと家を出た星男は、信じられないスピードで走り出し、あっという間に車に追いついてしまう。自分の中から突然わき出した超人的な身体能力に戸惑い、あぜんとなる星男。    スーパーに出勤した佐和子は、星男に興味津々の前川主任(石井正則)らから質問攻めにあう"&amp;"。  一方、祥子(有村架純)は、星男が自分の夫だという佐和子に疑いの目を向ける。同じく同僚の重田(國村隼)は、星男が星を見るのが好きだという佐和子の言葉に微かな動揺を見せる。同じ頃、街に星男の元彼女・ミチル(木南晴夏)という若い女が現れていた。  星男の行方を探す彼女が遂に、佐和子と星男を目撃する!!    その夜、佐和子と星男は美代(吉行和子)の計らいで2人きりのデートを楽しむことに。レストランで食事をした後、星がよく見える丘の上へ。  見つめ合う2人がいい雰囲気になったとき、星がひとつ強く光った。その"&amp;"瞬間、星男が苦しみ出し、いきなり意識を失ってしまい…。")</f>
        <v>佐和子(広末涼子)のウソを信じ、自分は佐和子の夫だと思い込む星男(福士蒼汰)。  だましていることに罪の意識を感じ始める佐和子だが、真実を知った星男がいなくなることを恐れ、本当のことを言い出せないでいた。    そんなある朝、車で出かけた佐和子に忘れ物を届けようと家を出た星男は、信じられないスピードで走り出し、あっという間に車に追いついてしまう。自分の中から突然わき出した超人的な身体能力に戸惑い、あぜんとなる星男。    スーパーに出勤した佐和子は、星男に興味津々の前川主任(石井正則)らから質問攻めにあう。  一方、祥子(有村架純)は、星男が自分の夫だという佐和子に疑いの目を向ける。同じく同僚の重田(國村隼)は、星男が星を見るのが好きだという佐和子の言葉に微かな動揺を見せる。同じ頃、街に星男の元彼女・ミチル(木南晴夏)という若い女が現れていた。  星男の行方を探す彼女が遂に、佐和子と星男を目撃する!!    その夜、佐和子と星男は美代(吉行和子)の計らいで2人きりのデートを楽しむことに。レストランで食事をした後、星がよく見える丘の上へ。  見つめ合う2人がいい雰囲気になったとき、星がひとつ強く光った。その瞬間、星男が苦しみ出し、いきなり意識を失ってしまい…。</v>
      </c>
      <c r="N977" s="2"/>
      <c r="O977" s="2"/>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row>
    <row r="978" ht="204.75" customHeight="1">
      <c r="A978" s="1">
        <v>3202.0</v>
      </c>
      <c r="B978" s="2" t="s">
        <v>3136</v>
      </c>
      <c r="C978" s="2">
        <f>IFERROR(__xludf.DUMMYFUNCTION("split(B978,""_"")"),1307.0)</f>
        <v>1307</v>
      </c>
      <c r="D978" s="2" t="str">
        <f>IFERROR(__xludf.DUMMYFUNCTION("""COMPUTED_VALUE"""),"CX")</f>
        <v>CX</v>
      </c>
      <c r="E978" s="2" t="str">
        <f>IFERROR(__xludf.DUMMYFUNCTION("""COMPUTED_VALUE"""),"火22")</f>
        <v>火22</v>
      </c>
      <c r="F978" s="2" t="s">
        <v>3137</v>
      </c>
      <c r="G978" s="2" t="s">
        <v>3144</v>
      </c>
      <c r="H978" s="1">
        <v>3.0</v>
      </c>
      <c r="I978" s="1" t="s">
        <v>10</v>
      </c>
      <c r="J978" s="1" t="s">
        <v>86</v>
      </c>
      <c r="K978" s="2" t="s">
        <v>3145</v>
      </c>
      <c r="L978" s="2" t="s">
        <v>3146</v>
      </c>
      <c r="M978" s="2" t="str">
        <f>IFERROR(__xludf.DUMMYFUNCTION("split(split(K978,""広末涼子　"",false),""公式LINE"",false)"),"突然、宇野家に現れ星男(福士蒼汰)を殴りつけたミチル(木南晴夏)に、あ然となる佐和子(広末涼子)たち。派手な私生活が垣間見えるミチルは、なんと東京から星男を追って来た“元カノ""だった。観念した佐和子は、星男をだましていたことをついに白状。混乱する星男は、ミチルから“知ったら絶望するほど""ヒドい男だったという自分の意外な過去を知らされ、ショックを受ける。　結局、星男はミチルが東京に連れて帰ることになり、佐和子は落ち込む。星男に反発していたはずの長男の大(大西流星　関西ジャニーズJr.)も、どこか寂しげな"&amp;"様子。  　それでも職場では気丈に働く佐和子の姿があった。そんな佐和子に総菜売り場の同僚・重田(國村隼)は40年前にこの町に移り住み、瀕死の自分を助けてくれた娘と結婚した事実を告白する。それをなぜか興味津々で話を聞く祥子(有村架純)。同僚たちは佐和子の急展開すぎる恋の終わりに驚きを隠せない。  　そんな佐和子に、追い討ちをかけるようなとんでもない事態が発生。  佐和子の親友・節(小池栄子)が営むスナック「スター」に、身勝手に家を出て音信不通だった佐和子の夫・宇野光一(安田顕)が現れたのだ、さらに「スター」"&amp;"にトラックが猛スピードで突っ込んで来て…!?")</f>
        <v>突然、宇野家に現れ星男(福士蒼汰)を殴りつけたミチル(木南晴夏)に、あ然となる佐和子(広末涼子)たち。派手な私生活が垣間見えるミチルは、なんと東京から星男を追って来た“元カノ"だった。観念した佐和子は、星男をだましていたことをついに白状。混乱する星男は、ミチルから“知ったら絶望するほど"ヒドい男だったという自分の意外な過去を知らされ、ショックを受ける。　結局、星男はミチルが東京に連れて帰ることになり、佐和子は落ち込む。星男に反発していたはずの長男の大(大西流星　関西ジャニーズJr.)も、どこか寂しげな様子。  　それでも職場では気丈に働く佐和子の姿があった。そんな佐和子に総菜売り場の同僚・重田(國村隼)は40年前にこの町に移り住み、瀕死の自分を助けてくれた娘と結婚した事実を告白する。それをなぜか興味津々で話を聞く祥子(有村架純)。同僚たちは佐和子の急展開すぎる恋の終わりに驚きを隠せない。  　そんな佐和子に、追い討ちをかけるようなとんでもない事態が発生。  佐和子の親友・節(小池栄子)が営むスナック「スター」に、身勝手に家を出て音信不通だった佐和子の夫・宇野光一(安田顕)が現れたのだ、さらに「スター」にトラックが猛スピードで突っ込んで来て…!?</v>
      </c>
      <c r="N978" s="2"/>
      <c r="O978" s="2"/>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row>
    <row r="979" ht="204.75" customHeight="1">
      <c r="A979" s="1">
        <v>3203.0</v>
      </c>
      <c r="B979" s="2" t="s">
        <v>3136</v>
      </c>
      <c r="C979" s="2">
        <f>IFERROR(__xludf.DUMMYFUNCTION("split(B979,""_"")"),1307.0)</f>
        <v>1307</v>
      </c>
      <c r="D979" s="2" t="str">
        <f>IFERROR(__xludf.DUMMYFUNCTION("""COMPUTED_VALUE"""),"CX")</f>
        <v>CX</v>
      </c>
      <c r="E979" s="2" t="str">
        <f>IFERROR(__xludf.DUMMYFUNCTION("""COMPUTED_VALUE"""),"火22")</f>
        <v>火22</v>
      </c>
      <c r="F979" s="2" t="s">
        <v>3137</v>
      </c>
      <c r="G979" s="2" t="s">
        <v>3147</v>
      </c>
      <c r="H979" s="1">
        <v>4.0</v>
      </c>
      <c r="I979" s="1" t="s">
        <v>14</v>
      </c>
      <c r="J979" s="1" t="s">
        <v>86</v>
      </c>
      <c r="K979" s="2" t="s">
        <v>3148</v>
      </c>
      <c r="L979" s="2" t="s">
        <v>3149</v>
      </c>
      <c r="M979" s="2" t="str">
        <f>IFERROR(__xludf.DUMMYFUNCTION("split(split(K979,""広末涼子　"",false),""公式LINE"",false)"),"節(小池栄子)の店に突っ込んできた車を素手で止めた星男(福士蒼汰)。人間技とは思えない力に驚く佐和子(広末涼子)だったが、星男は自分でもわけがわからず、うろたえるばかり。そんなとき、店の奥に隠れていた光一(安田顕)が顔を出し、佐和子は厄介な現実に引き戻される。    美代(吉行和子)や大(大西流星)ら息子たちは突然戻った光一に戸惑い、家の中は気まずいムード。だが、光一はそれを気にかける様子もなく、子どもたちになれなれしく接して佐和子をいら立たせる。さらに、俊(五十嵐陽向)が星男にすでに懐いているのを知り、"&amp;"張り合おうとして、かえって子どもたちを困惑させる。美代は「わざと子どもたちに嫌われようとしてる」と指摘し、佐和子に「何しに来たの?」と詰め寄られる光一だが…?一方、星男の体には異変が起こり、とんでもない横暴な人格を持った達也の記憶が戻って…!?")</f>
        <v>節(小池栄子)の店に突っ込んできた車を素手で止めた星男(福士蒼汰)。人間技とは思えない力に驚く佐和子(広末涼子)だったが、星男は自分でもわけがわからず、うろたえるばかり。そんなとき、店の奥に隠れていた光一(安田顕)が顔を出し、佐和子は厄介な現実に引き戻される。    美代(吉行和子)や大(大西流星)ら息子たちは突然戻った光一に戸惑い、家の中は気まずいムード。だが、光一はそれを気にかける様子もなく、子どもたちになれなれしく接して佐和子をいら立たせる。さらに、俊(五十嵐陽向)が星男にすでに懐いているのを知り、張り合おうとして、かえって子どもたちを困惑させる。美代は「わざと子どもたちに嫌われようとしてる」と指摘し、佐和子に「何しに来たの?」と詰め寄られる光一だが…?一方、星男の体には異変が起こり、とんでもない横暴な人格を持った達也の記憶が戻って…!?</v>
      </c>
      <c r="N979" s="2"/>
      <c r="O979" s="2"/>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row>
    <row r="980" ht="204.75" customHeight="1">
      <c r="A980" s="1">
        <v>3204.0</v>
      </c>
      <c r="B980" s="2" t="s">
        <v>3136</v>
      </c>
      <c r="C980" s="2">
        <f>IFERROR(__xludf.DUMMYFUNCTION("split(B980,""_"")"),1307.0)</f>
        <v>1307</v>
      </c>
      <c r="D980" s="2" t="str">
        <f>IFERROR(__xludf.DUMMYFUNCTION("""COMPUTED_VALUE"""),"CX")</f>
        <v>CX</v>
      </c>
      <c r="E980" s="2" t="str">
        <f>IFERROR(__xludf.DUMMYFUNCTION("""COMPUTED_VALUE"""),"火22")</f>
        <v>火22</v>
      </c>
      <c r="F980" s="2" t="s">
        <v>3137</v>
      </c>
      <c r="G980" s="2" t="s">
        <v>3150</v>
      </c>
      <c r="H980" s="1">
        <v>5.0</v>
      </c>
      <c r="I980" s="1" t="s">
        <v>17</v>
      </c>
      <c r="J980" s="1" t="s">
        <v>86</v>
      </c>
      <c r="K980" s="2" t="s">
        <v>3151</v>
      </c>
      <c r="L980" s="2" t="s">
        <v>3152</v>
      </c>
      <c r="M980" s="2" t="str">
        <f>IFERROR(__xludf.DUMMYFUNCTION("split(split(K980,""広末涼子　"",false),""公式LINE"",false)"),"宇野家で目を覚ました星男(福士蒼汰)は、記憶を失う前の本来の姿を取り戻し、やさしかった星男とは似ても似つかない凶暴な男・達也に戻っていた。佐和子(広末涼子)に悪態をつく星男におびえ、ショックを受ける大(大西流星)ら息子たち。そんな星男の態度を見かねた美代(吉行和子)は東京に帰るよう促すが、星男は「どこにも行くとこなんかねぇんだよ!」と出て行こうとしない。佐和子は、あのやさしい星男との甘い生活が戻ってくることはないと悟ってガッカリするものの、ほかに行き場のない星男とこのまま暮らしていこうと決意。「うちにいる"&amp;"つもりなら」と星男の乱暴な言動をたしなめると、星男も渋々ながらこれに従い、宇野家に残ることになった。同じ頃、祥子(有村架純)は「お願い…誰か迎えに来て」と、なおも宇宙に信号を送り続けていた。そして、自宅で古女房(角替和枝)と過ごしていた重田(國村隼)も、夜空を見上げながら「迎えが来たのかもしれん」とつぶやいていた。翌日から、星男はぎこちない手つきで美代の家事を手伝い、「ガキ苦手なんだよな」とぼやきながらも、子どもたちに溶け込もうと奮闘。そんな中、この街にやって来た日の奇妙な体験を美代に打ち明ける星男。船の"&amp;"上で自殺を図って死を覚悟した直後、「何かが俺の体の中に入ってきた」というのだ。「俺の体の中には何かがいる。そいつが目覚めたら、俺は今度こそ死ぬ気がしてる」と話す星男に、美代は…。")</f>
        <v>宇野家で目を覚ました星男(福士蒼汰)は、記憶を失う前の本来の姿を取り戻し、やさしかった星男とは似ても似つかない凶暴な男・達也に戻っていた。佐和子(広末涼子)に悪態をつく星男におびえ、ショックを受ける大(大西流星)ら息子たち。そんな星男の態度を見かねた美代(吉行和子)は東京に帰るよう促すが、星男は「どこにも行くとこなんかねぇんだよ!」と出て行こうとしない。佐和子は、あのやさしい星男との甘い生活が戻ってくることはないと悟ってガッカリするものの、ほかに行き場のない星男とこのまま暮らしていこうと決意。「うちにいるつもりなら」と星男の乱暴な言動をたしなめると、星男も渋々ながらこれに従い、宇野家に残ることになった。同じ頃、祥子(有村架純)は「お願い…誰か迎えに来て」と、なおも宇宙に信号を送り続けていた。そして、自宅で古女房(角替和枝)と過ごしていた重田(國村隼)も、夜空を見上げながら「迎えが来たのかもしれん」とつぶやいていた。翌日から、星男はぎこちない手つきで美代の家事を手伝い、「ガキ苦手なんだよな」とぼやきながらも、子どもたちに溶け込もうと奮闘。そんな中、この街にやって来た日の奇妙な体験を美代に打ち明ける星男。船の上で自殺を図って死を覚悟した直後、「何かが俺の体の中に入ってきた」というのだ。「俺の体の中には何かがいる。そいつが目覚めたら、俺は今度こそ死ぬ気がしてる」と話す星男に、美代は…。</v>
      </c>
      <c r="N980" s="2"/>
      <c r="O980" s="2"/>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row>
    <row r="981" ht="204.75" customHeight="1">
      <c r="A981" s="1">
        <v>3205.0</v>
      </c>
      <c r="B981" s="2" t="s">
        <v>3136</v>
      </c>
      <c r="C981" s="2">
        <f>IFERROR(__xludf.DUMMYFUNCTION("split(B981,""_"")"),1307.0)</f>
        <v>1307</v>
      </c>
      <c r="D981" s="2" t="str">
        <f>IFERROR(__xludf.DUMMYFUNCTION("""COMPUTED_VALUE"""),"CX")</f>
        <v>CX</v>
      </c>
      <c r="E981" s="2" t="str">
        <f>IFERROR(__xludf.DUMMYFUNCTION("""COMPUTED_VALUE"""),"火22")</f>
        <v>火22</v>
      </c>
      <c r="F981" s="2" t="s">
        <v>3137</v>
      </c>
      <c r="G981" s="2" t="s">
        <v>3153</v>
      </c>
      <c r="H981" s="1">
        <v>6.0</v>
      </c>
      <c r="I981" s="1" t="s">
        <v>21</v>
      </c>
      <c r="J981" s="1" t="s">
        <v>86</v>
      </c>
      <c r="K981" s="2" t="s">
        <v>3154</v>
      </c>
      <c r="L981" s="2" t="s">
        <v>3155</v>
      </c>
      <c r="M981" s="2" t="str">
        <f>IFERROR(__xludf.DUMMYFUNCTION("split(split(K981,""広末涼子　"",false),""公式LINE"",false)"),"記憶を取り戻した星男(福士蒼汰)は、不器用ながらも宇野家に溶け込み、大(大西流星)ら子どもたちとも本当の家族のような関係を築き始めていた。朝、子どもたちを引き連れ、野球の練習に出かける星男。その楽しげな様子に、佐和子(広末涼子)はしみじみと幸せを感じる。    だが、星男は記憶が戻って以来、体の中の“何か""が頻繁に暴れ出すようになっていた。「俺の中にいるお前はなんなんだよ。俺をどうするつもりなんだよ」と苦しげに訴える星男を偶然目にしてしまった佐和子は、不安を覚える。    一方、祥子(有村架純)に間違っ"&amp;"てキスをしてしまった重田(國村隼)は、激しく動揺していた。安藤(山田裕貴)から祥子との関係を勘ぐられ、気まずい職場のムードに耐えかねた重田はキスをなかったことにしようと努める。ところが、祥子は「好きになってしまいました」と重田に告白し、混乱は増すばかり。その頃、星男は体内に潜む“何か""が急速に力を増していることに気づき、覚悟を決めていた。佐和子をドライブに連れ出し別れが近いことを告げるが、納得できない佐和子は取り乱す。そんな佐和子を優しく抱きしめほほ笑んだ星男は、全身の力を失ったようにいっきに崩れ落ちて"&amp;"…。")</f>
        <v>記憶を取り戻した星男(福士蒼汰)は、不器用ながらも宇野家に溶け込み、大(大西流星)ら子どもたちとも本当の家族のような関係を築き始めていた。朝、子どもたちを引き連れ、野球の練習に出かける星男。その楽しげな様子に、佐和子(広末涼子)はしみじみと幸せを感じる。    だが、星男は記憶が戻って以来、体の中の“何か"が頻繁に暴れ出すようになっていた。「俺の中にいるお前はなんなんだよ。俺をどうするつもりなんだよ」と苦しげに訴える星男を偶然目にしてしまった佐和子は、不安を覚える。    一方、祥子(有村架純)に間違ってキスをしてしまった重田(國村隼)は、激しく動揺していた。安藤(山田裕貴)から祥子との関係を勘ぐられ、気まずい職場のムードに耐えかねた重田はキスをなかったことにしようと努める。ところが、祥子は「好きになってしまいました」と重田に告白し、混乱は増すばかり。その頃、星男は体内に潜む“何か"が急速に力を増していることに気づき、覚悟を決めていた。佐和子をドライブに連れ出し別れが近いことを告げるが、納得できない佐和子は取り乱す。そんな佐和子を優しく抱きしめほほ笑んだ星男は、全身の力を失ったようにいっきに崩れ落ちて…。</v>
      </c>
      <c r="N981" s="2"/>
      <c r="O981" s="2"/>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row>
    <row r="982" ht="204.75" customHeight="1">
      <c r="A982" s="1">
        <v>3206.0</v>
      </c>
      <c r="B982" s="2" t="s">
        <v>3136</v>
      </c>
      <c r="C982" s="2">
        <f>IFERROR(__xludf.DUMMYFUNCTION("split(B982,""_"")"),1307.0)</f>
        <v>1307</v>
      </c>
      <c r="D982" s="2" t="str">
        <f>IFERROR(__xludf.DUMMYFUNCTION("""COMPUTED_VALUE"""),"CX")</f>
        <v>CX</v>
      </c>
      <c r="E982" s="2" t="str">
        <f>IFERROR(__xludf.DUMMYFUNCTION("""COMPUTED_VALUE"""),"火22")</f>
        <v>火22</v>
      </c>
      <c r="F982" s="2" t="s">
        <v>3137</v>
      </c>
      <c r="G982" s="2" t="s">
        <v>3156</v>
      </c>
      <c r="H982" s="1">
        <v>7.0</v>
      </c>
      <c r="I982" s="1" t="s">
        <v>25</v>
      </c>
      <c r="J982" s="1" t="s">
        <v>82</v>
      </c>
      <c r="K982" s="2" t="s">
        <v>3157</v>
      </c>
      <c r="L982" s="2" t="s">
        <v>3158</v>
      </c>
      <c r="M982" s="2" t="str">
        <f>IFERROR(__xludf.DUMMYFUNCTION("split(split(K982,""広末涼子　"",false),""公式LINE"",false)"),"死んだはずの星男(福士蒼汰)が生き返った!しかも、人間とは思えない不思議な動きを見せ、佐和子(広末涼子)らは驚きのあまり言葉も出ない。重田(國村隼)は自分もまた、宇宙からやってきた星男の仲間だと打ち明ける。そして星男がついに自分の本当の正体について語り始める…。佐和子はあまりにも奇想天外な話に混乱するものの、生まれ変わった星男を受け入れることに。一方、星男のことを、自分を連れ戻しに来た“お迎え""ではなかったと知った重田は、ほっとした様子で古女房(角替和枝)の待つ自宅に帰る。ところが、重田が宇宙に連れて行"&amp;"ってくれるものと思い込む祥子(有村架純)が重田家に転がり込んでくる。そんなとき、街の上空に謎の光が現れた。強さを増していく光を、期待に満ちた顔で見上げる祥子をよそに「私は帰りたくない。嫌だ」と古女房を抱きしめる重田。一方、何かを感じていきなり外に飛び出した星男の姿に、佐和子は別れを覚悟するが…。")</f>
        <v>死んだはずの星男(福士蒼汰)が生き返った!しかも、人間とは思えない不思議な動きを見せ、佐和子(広末涼子)らは驚きのあまり言葉も出ない。重田(國村隼)は自分もまた、宇宙からやってきた星男の仲間だと打ち明ける。そして星男がついに自分の本当の正体について語り始める…。佐和子はあまりにも奇想天外な話に混乱するものの、生まれ変わった星男を受け入れることに。一方、星男のことを、自分を連れ戻しに来た“お迎え"ではなかったと知った重田は、ほっとした様子で古女房(角替和枝)の待つ自宅に帰る。ところが、重田が宇宙に連れて行ってくれるものと思い込む祥子(有村架純)が重田家に転がり込んでくる。そんなとき、街の上空に謎の光が現れた。強さを増していく光を、期待に満ちた顔で見上げる祥子をよそに「私は帰りたくない。嫌だ」と古女房を抱きしめる重田。一方、何かを感じていきなり外に飛び出した星男の姿に、佐和子は別れを覚悟するが…。</v>
      </c>
      <c r="N982" s="2"/>
      <c r="O982" s="2"/>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row>
    <row r="983" ht="204.75" customHeight="1">
      <c r="A983" s="1">
        <v>3207.0</v>
      </c>
      <c r="B983" s="2" t="s">
        <v>3136</v>
      </c>
      <c r="C983" s="2">
        <f>IFERROR(__xludf.DUMMYFUNCTION("split(B983,""_"")"),1307.0)</f>
        <v>1307</v>
      </c>
      <c r="D983" s="2" t="str">
        <f>IFERROR(__xludf.DUMMYFUNCTION("""COMPUTED_VALUE"""),"CX")</f>
        <v>CX</v>
      </c>
      <c r="E983" s="2" t="str">
        <f>IFERROR(__xludf.DUMMYFUNCTION("""COMPUTED_VALUE"""),"火22")</f>
        <v>火22</v>
      </c>
      <c r="F983" s="2" t="s">
        <v>3137</v>
      </c>
      <c r="G983" s="2" t="s">
        <v>3159</v>
      </c>
      <c r="H983" s="1">
        <v>8.0</v>
      </c>
      <c r="I983" s="1" t="s">
        <v>29</v>
      </c>
      <c r="J983" s="1" t="s">
        <v>86</v>
      </c>
      <c r="K983" s="2" t="s">
        <v>3160</v>
      </c>
      <c r="L983" s="2" t="s">
        <v>3161</v>
      </c>
      <c r="M983" s="2" t="str">
        <f>IFERROR(__xludf.DUMMYFUNCTION("split(split(K983,""広末涼子　"",false),""公式LINE"",false)"),"重田(國村隼)が同じ星から来たことを知った星男(福士蒼汰)。地球で家庭を持ち、40年も暮らしてきた先輩として助言を求めると、重田は「能力について一つ注意しなければならないことがある」と、ある衝撃の事実を伝える。その頃、佐和子(広末涼子)も重田の古女房(角替和枝)からアドバイスを受けていた。古女房は佐和子の不安を笑い飛ばすが、「一つだけ、教えといた方がいいことが」と急に真剣な表情に…。一方、重田家に居着いてしまった祥子(有村架純)は、家族との平凡な暮らしになじむ重田に違和感を覚え始めていた。そして、やはり星"&amp;"男こそが宇宙からの使者だと思い込み、「本当は私のところに来たんじゃないですか?」と佐和子に詰め寄る。「星男はね、私のことが好きなの!」と説得しようとする佐和子だが、祥子は聞く耳を持たない。その後、帰宅した佐和子が持病の片頭痛に悩まされていると知った星男は、佐和子の役に立ちたい一心で、禁断の能力を使おうとするが、そこにはとんでもない危険が潜んでいた…。    その夜、節(小池栄子)のスナックに祥子が現れる。そこで店内にいた医者の溝上(モト冬樹)から、自分の驚くべき過去を聞かされた祥子は、慌てて外に飛び出して"&amp;"いく。")</f>
        <v>重田(國村隼)が同じ星から来たことを知った星男(福士蒼汰)。地球で家庭を持ち、40年も暮らしてきた先輩として助言を求めると、重田は「能力について一つ注意しなければならないことがある」と、ある衝撃の事実を伝える。その頃、佐和子(広末涼子)も重田の古女房(角替和枝)からアドバイスを受けていた。古女房は佐和子の不安を笑い飛ばすが、「一つだけ、教えといた方がいいことが」と急に真剣な表情に…。一方、重田家に居着いてしまった祥子(有村架純)は、家族との平凡な暮らしになじむ重田に違和感を覚え始めていた。そして、やはり星男こそが宇宙からの使者だと思い込み、「本当は私のところに来たんじゃないですか?」と佐和子に詰め寄る。「星男はね、私のことが好きなの!」と説得しようとする佐和子だが、祥子は聞く耳を持たない。その後、帰宅した佐和子が持病の片頭痛に悩まされていると知った星男は、佐和子の役に立ちたい一心で、禁断の能力を使おうとするが、そこにはとんでもない危険が潜んでいた…。    その夜、節(小池栄子)のスナックに祥子が現れる。そこで店内にいた医者の溝上(モト冬樹)から、自分の驚くべき過去を聞かされた祥子は、慌てて外に飛び出していく。</v>
      </c>
      <c r="N983" s="2"/>
      <c r="O983" s="2"/>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row>
    <row r="984" ht="204.75" customHeight="1">
      <c r="A984" s="1">
        <v>3208.0</v>
      </c>
      <c r="B984" s="2" t="s">
        <v>3136</v>
      </c>
      <c r="C984" s="2">
        <f>IFERROR(__xludf.DUMMYFUNCTION("split(B984,""_"")"),1307.0)</f>
        <v>1307</v>
      </c>
      <c r="D984" s="2" t="str">
        <f>IFERROR(__xludf.DUMMYFUNCTION("""COMPUTED_VALUE"""),"CX")</f>
        <v>CX</v>
      </c>
      <c r="E984" s="2" t="str">
        <f>IFERROR(__xludf.DUMMYFUNCTION("""COMPUTED_VALUE"""),"火22")</f>
        <v>火22</v>
      </c>
      <c r="F984" s="2" t="s">
        <v>3137</v>
      </c>
      <c r="G984" s="2" t="s">
        <v>3162</v>
      </c>
      <c r="H984" s="1">
        <v>9.0</v>
      </c>
      <c r="I984" s="1" t="s">
        <v>33</v>
      </c>
      <c r="J984" s="1" t="s">
        <v>86</v>
      </c>
      <c r="K984" s="2" t="s">
        <v>3163</v>
      </c>
      <c r="L984" s="2" t="s">
        <v>3164</v>
      </c>
      <c r="M984" s="2" t="str">
        <f>IFERROR(__xludf.DUMMYFUNCTION("split(split(K984,""広末涼子　"",false),""公式LINE"",false)"),"星男(福士蒼汰)は佐和子(広末涼子)に「働きたい」と打ち明け、幸平(KENCHI)や平岡(本田大輔)たちから誘われていた、林業の仕事を始めることにする。    出勤初日の朝、ウキウキと星男の弁当を用意する佐和子だが、息子たちを起こすのを忘れ、大(大西流星)をムッとさせる。まもなく、重田(國村隼)が現れ、星男に「何があっても我々の能力を使ってはダメだ」と強く言い聞かせる。森にやって来た星男は、幸平らに倣って順調に作業をこなしていた。同じ頃、大は、佐和子が間違えて学校に持たせてしまった星男のタオルを見つけ、さ"&amp;"らにいら立つ。そして家に戻ると、ついに荷物をまとめて家を出て行ってしまう。    一方、森の作業場では、幸平が星男にいいところを見せようと張り切るあまり無理をし、大ケガを負う。星男は重田の忠告も忘れ、とっさに超人的な身体能力を発揮しようとするが…。一方、節(小池栄子)の店にいた佐和子のもとに、美代(吉行和子)から「大がいなくなった」と知らせが入る。動揺する宇野家に、クライマックスを予感させる更なる大事件が勃発する…")</f>
        <v>星男(福士蒼汰)は佐和子(広末涼子)に「働きたい」と打ち明け、幸平(KENCHI)や平岡(本田大輔)たちから誘われていた、林業の仕事を始めることにする。    出勤初日の朝、ウキウキと星男の弁当を用意する佐和子だが、息子たちを起こすのを忘れ、大(大西流星)をムッとさせる。まもなく、重田(國村隼)が現れ、星男に「何があっても我々の能力を使ってはダメだ」と強く言い聞かせる。森にやって来た星男は、幸平らに倣って順調に作業をこなしていた。同じ頃、大は、佐和子が間違えて学校に持たせてしまった星男のタオルを見つけ、さらにいら立つ。そして家に戻ると、ついに荷物をまとめて家を出て行ってしまう。    一方、森の作業場では、幸平が星男にいいところを見せようと張り切るあまり無理をし、大ケガを負う。星男は重田の忠告も忘れ、とっさに超人的な身体能力を発揮しようとするが…。一方、節(小池栄子)の店にいた佐和子のもとに、美代(吉行和子)から「大がいなくなった」と知らせが入る。動揺する宇野家に、クライマックスを予感させる更なる大事件が勃発する…</v>
      </c>
      <c r="N984" s="2"/>
      <c r="O984" s="2"/>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row>
    <row r="985" ht="204.75" customHeight="1">
      <c r="A985" s="1">
        <v>3209.0</v>
      </c>
      <c r="B985" s="2" t="s">
        <v>3136</v>
      </c>
      <c r="C985" s="2">
        <f>IFERROR(__xludf.DUMMYFUNCTION("split(B985,""_"")"),1307.0)</f>
        <v>1307</v>
      </c>
      <c r="D985" s="2" t="str">
        <f>IFERROR(__xludf.DUMMYFUNCTION("""COMPUTED_VALUE"""),"CX")</f>
        <v>CX</v>
      </c>
      <c r="E985" s="2" t="str">
        <f>IFERROR(__xludf.DUMMYFUNCTION("""COMPUTED_VALUE"""),"火22")</f>
        <v>火22</v>
      </c>
      <c r="F985" s="2" t="s">
        <v>3137</v>
      </c>
      <c r="G985" s="2" t="s">
        <v>3165</v>
      </c>
      <c r="H985" s="1">
        <v>10.0</v>
      </c>
      <c r="I985" s="1" t="s">
        <v>37</v>
      </c>
      <c r="J985" s="1" t="s">
        <v>82</v>
      </c>
      <c r="K985" s="2" t="s">
        <v>3166</v>
      </c>
      <c r="L985" s="2" t="s">
        <v>3167</v>
      </c>
      <c r="M985" s="2" t="str">
        <f>IFERROR(__xludf.DUMMYFUNCTION("split(split(K985,""広末涼子　"",false),""公式LINE"",false)"),"上空に現れた謎の光は、隕石(いんせき)が落ちたときとは比べものにならないほど強烈なものだった。ついに“お迎え""が来たと悟った星男(福士蒼汰)は、愛する佐和子(広末涼子)のために地球に残ろうと決め、その意思を伝えてくると言い残して光の方へ。重田(國村隼)は、故郷の星に婚約者がいたことを古女房(角替和枝)に告白。一度、星に帰って婚約者にわびを言い、必ず地球に戻ると告げて光の中に向かっていく。祥子(有村架純)も、泣き叫ぶ安藤くん(山田裕貴)に優しい笑みを浮かべ、光を見つめる。  一方、節(小池栄子)は、ついに"&amp;"運命の男性がやってきたと思い、謎の光から節を守ろうとする幸平(KENCHI)をはねのけ、空を仰ぐ…。    光が消えた後、物語は予想もつかないクライマックスを迎えることに!")</f>
        <v>上空に現れた謎の光は、隕石(いんせき)が落ちたときとは比べものにならないほど強烈なものだった。ついに“お迎え"が来たと悟った星男(福士蒼汰)は、愛する佐和子(広末涼子)のために地球に残ろうと決め、その意思を伝えてくると言い残して光の方へ。重田(國村隼)は、故郷の星に婚約者がいたことを古女房(角替和枝)に告白。一度、星に帰って婚約者にわびを言い、必ず地球に戻ると告げて光の中に向かっていく。祥子(有村架純)も、泣き叫ぶ安藤くん(山田裕貴)に優しい笑みを浮かべ、光を見つめる。  一方、節(小池栄子)は、ついに運命の男性がやってきたと思い、謎の光から節を守ろうとする幸平(KENCHI)をはねのけ、空を仰ぐ…。    光が消えた後、物語は予想もつかないクライマックスを迎えることに!</v>
      </c>
      <c r="N985" s="2"/>
      <c r="O985" s="2"/>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row>
    <row r="986" ht="204.75" customHeight="1">
      <c r="A986" s="1">
        <v>3221.0</v>
      </c>
      <c r="B986" s="2" t="s">
        <v>3168</v>
      </c>
      <c r="C986" s="2">
        <f>IFERROR(__xludf.DUMMYFUNCTION("split(B986,""_"")"),1307.0)</f>
        <v>1307</v>
      </c>
      <c r="D986" s="2" t="str">
        <f>IFERROR(__xludf.DUMMYFUNCTION("""COMPUTED_VALUE"""),"CX")</f>
        <v>CX</v>
      </c>
      <c r="E986" s="2" t="str">
        <f>IFERROR(__xludf.DUMMYFUNCTION("""COMPUTED_VALUE"""),"水22")</f>
        <v>水22</v>
      </c>
      <c r="F986" s="2" t="s">
        <v>3169</v>
      </c>
      <c r="G986" s="2" t="s">
        <v>3170</v>
      </c>
      <c r="H986" s="1">
        <v>1.0</v>
      </c>
      <c r="I986" s="1" t="s">
        <v>3</v>
      </c>
      <c r="J986" s="1" t="s">
        <v>82</v>
      </c>
      <c r="K986" s="4" t="s">
        <v>3171</v>
      </c>
      <c r="L986" s="2" t="s">
        <v>3172</v>
      </c>
      <c r="M986" s="2" t="str">
        <f>IFERROR(__xludf.DUMMYFUNCTION("split(split(K986,""坪井千夏:　"",false),""公式LINE"",false)"),"今から10年前、会社から何の役にも立たないゴミ同然の存在だと烙印を押された社員が送り込まれた部署があった…。その名は“庶務二課""。しかし、その薄暗い庶務二課の部屋で、その生活を楽しむ者たちが現れた。彼女たちは欲望のままに行動し、結果的に会社を救い退職していった。そして“ショムニ""は廃止され、坪井千夏(江角マキコ)は消息不明に…。それから10年後…。日本は長い不況に陥りリストラの嵐が吹き荒れる。もちろん、満帆商事にも…。  　オリンピックを期待される棒高跳びの選手だった円山詩織(本田翼)は、広告塔として"&amp;"入社したが、ケガで選手生命を絶たれ、陸上部も廃止になり社内で邪魔扱いされ、悪口のツイッター攻撃も受けていた…。社員食堂にいても詩織には誰も近づかない。そんな中で、彼女にストレートな行動を取るOLたちが現れる。ネットに精通した頭脳明晰女子・三波まどか(ベッキー)、気配を感じさせない不気味女子・安倍麗子(安藤サクラ)、フェロモン全開お色気女子・小島美鈴(森カンナ)、そして健康オタクのおしゃべり女子・福田益代(堀内敬子)だ。  　ある日、落ち込む詩織は1人の女性に出会う。誰かに追われている彼女は、突然詩織の財布"&amp;"からタクシー代として1万円を抜き取り、去っていった…。翌日、出社した詩織は同じ女性の姿を目撃する。彼女こそ“伝説の女""坪井千夏だった!いったいなぜ、彼女は再び満帆商事に姿を現したのか!?")</f>
        <v>今から10年前、会社から何の役にも立たないゴミ同然の存在だと烙印を押された社員が送り込まれた部署があった…。その名は“庶務二課"。しかし、その薄暗い庶務二課の部屋で、その生活を楽しむ者たちが現れた。彼女たちは欲望のままに行動し、結果的に会社を救い退職していった。そして“ショムニ"は廃止され、坪井千夏(江角マキコ)は消息不明に…。それから10年後…。日本は長い不況に陥りリストラの嵐が吹き荒れる。もちろん、満帆商事にも…。  　オリンピックを期待される棒高跳びの選手だった円山詩織(本田翼)は、広告塔として入社したが、ケガで選手生命を絶たれ、陸上部も廃止になり社内で邪魔扱いされ、悪口のツイッター攻撃も受けていた…。社員食堂にいても詩織には誰も近づかない。そんな中で、彼女にストレートな行動を取るOLたちが現れる。ネットに精通した頭脳明晰女子・三波まどか(ベッキー)、気配を感じさせない不気味女子・安倍麗子(安藤サクラ)、フェロモン全開お色気女子・小島美鈴(森カンナ)、そして健康オタクのおしゃべり女子・福田益代(堀内敬子)だ。  　ある日、落ち込む詩織は1人の女性に出会う。誰かに追われている彼女は、突然詩織の財布からタクシー代として1万円を抜き取り、去っていった…。翌日、出社した詩織は同じ女性の姿を目撃する。彼女こそ“伝説の女"坪井千夏だった!いったいなぜ、彼女は再び満帆商事に姿を現したのか!?</v>
      </c>
      <c r="N986" s="2"/>
      <c r="O986" s="2"/>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row>
    <row r="987" ht="204.75" customHeight="1">
      <c r="A987" s="1">
        <v>3222.0</v>
      </c>
      <c r="B987" s="2" t="s">
        <v>3168</v>
      </c>
      <c r="C987" s="2">
        <f>IFERROR(__xludf.DUMMYFUNCTION("split(B987,""_"")"),1307.0)</f>
        <v>1307</v>
      </c>
      <c r="D987" s="2" t="str">
        <f>IFERROR(__xludf.DUMMYFUNCTION("""COMPUTED_VALUE"""),"CX")</f>
        <v>CX</v>
      </c>
      <c r="E987" s="2" t="str">
        <f>IFERROR(__xludf.DUMMYFUNCTION("""COMPUTED_VALUE"""),"水22")</f>
        <v>水22</v>
      </c>
      <c r="F987" s="2" t="s">
        <v>3169</v>
      </c>
      <c r="G987" s="2" t="s">
        <v>3173</v>
      </c>
      <c r="H987" s="1">
        <v>2.0</v>
      </c>
      <c r="I987" s="1" t="s">
        <v>7</v>
      </c>
      <c r="J987" s="1" t="s">
        <v>82</v>
      </c>
      <c r="K987" s="2" t="s">
        <v>3174</v>
      </c>
      <c r="L987" s="2" t="s">
        <v>3175</v>
      </c>
      <c r="M987" s="2" t="str">
        <f>IFERROR(__xludf.DUMMYFUNCTION("split(split(K987,""坪井千夏:　"",false),""公式LINE"",false)"),"坪井千夏(江角マキコ)がショムニへ出社してくると、三波まどか(ベッキー)、円山詩織(本田翼)、安倍麗子(安藤サクラ)、小島美鈴(森カンナ)、福田益代(堀内敬子)が昨日までとは違う席に座っていた。千夏が言った通り、“女の価値=男の数""で席順を決めたという。そこで詩織は、お互いをよく知るために親睦会を開こうと提案する。するとまどかは、調べ上げていた千夏らの経歴を読み上げ、もう十分把握していると言い出す。千夏たちは、そう言いながらも自分のことは何も話そうとしないまどかから恋愛話を聞き出そうとした。しかし、まど"&amp;"かは恋とは愚かな人間が陥るシステムエラーだと言い放つ。  　一方、人事部の星野ケンジ(安田顕)と下落合耕一(鈴木浩介)は、社長の前川進(升毅)が、通勤中も下を向いてスマートフォンをいじり、挨拶すらできない社員たちの態度に腹を立てていることを知る。人事部に戻った星野は、職務中にもネットサーフィンをやっている社員がいることを嘆く下落合には見られないように、こっそりアダルトサイトの履歴を消していく。ところがその時、突然会社中のパソコンからエラー音が鳴り響き、まったく使えなくなってしまう。パニック状態に陥った満帆"&amp;"商事は、天才システムエンジニアと言われている坂巻(眞島秀和)に助けを求めた。が、満帆商事にやってきた坂巻の姿を見たまどかは、何故か激しく動揺し…。")</f>
        <v>坪井千夏(江角マキコ)がショムニへ出社してくると、三波まどか(ベッキー)、円山詩織(本田翼)、安倍麗子(安藤サクラ)、小島美鈴(森カンナ)、福田益代(堀内敬子)が昨日までとは違う席に座っていた。千夏が言った通り、“女の価値=男の数"で席順を決めたという。そこで詩織は、お互いをよく知るために親睦会を開こうと提案する。するとまどかは、調べ上げていた千夏らの経歴を読み上げ、もう十分把握していると言い出す。千夏たちは、そう言いながらも自分のことは何も話そうとしないまどかから恋愛話を聞き出そうとした。しかし、まどかは恋とは愚かな人間が陥るシステムエラーだと言い放つ。  　一方、人事部の星野ケンジ(安田顕)と下落合耕一(鈴木浩介)は、社長の前川進(升毅)が、通勤中も下を向いてスマートフォンをいじり、挨拶すらできない社員たちの態度に腹を立てていることを知る。人事部に戻った星野は、職務中にもネットサーフィンをやっている社員がいることを嘆く下落合には見られないように、こっそりアダルトサイトの履歴を消していく。ところがその時、突然会社中のパソコンからエラー音が鳴り響き、まったく使えなくなってしまう。パニック状態に陥った満帆商事は、天才システムエンジニアと言われている坂巻(眞島秀和)に助けを求めた。が、満帆商事にやってきた坂巻の姿を見たまどかは、何故か激しく動揺し…。</v>
      </c>
      <c r="N987" s="2"/>
      <c r="O987" s="2"/>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row>
    <row r="988" ht="204.75" customHeight="1">
      <c r="A988" s="1">
        <v>3223.0</v>
      </c>
      <c r="B988" s="2" t="s">
        <v>3168</v>
      </c>
      <c r="C988" s="2">
        <f>IFERROR(__xludf.DUMMYFUNCTION("split(B988,""_"")"),1307.0)</f>
        <v>1307</v>
      </c>
      <c r="D988" s="2" t="str">
        <f>IFERROR(__xludf.DUMMYFUNCTION("""COMPUTED_VALUE"""),"CX")</f>
        <v>CX</v>
      </c>
      <c r="E988" s="2" t="str">
        <f>IFERROR(__xludf.DUMMYFUNCTION("""COMPUTED_VALUE"""),"水22")</f>
        <v>水22</v>
      </c>
      <c r="F988" s="2" t="s">
        <v>3169</v>
      </c>
      <c r="G988" s="2" t="s">
        <v>3176</v>
      </c>
      <c r="H988" s="1">
        <v>3.0</v>
      </c>
      <c r="I988" s="1" t="s">
        <v>10</v>
      </c>
      <c r="J988" s="1" t="s">
        <v>86</v>
      </c>
      <c r="K988" s="2" t="s">
        <v>3177</v>
      </c>
      <c r="L988" s="2" t="s">
        <v>3178</v>
      </c>
      <c r="M988" s="2" t="str">
        <f>IFERROR(__xludf.DUMMYFUNCTION("split(split(K988,""坪井千夏:　"",false),""公式LINE"",false)"),"社内を歩いていた坪井千夏(江角マキコ)たちショムニの面々は、誰もいない暗い部屋で奇妙な踊りをしている左門大介(三浦翔平)を見かけあ然となる。数日後、秋葉原の地下劇場で、取引先の社長・三筋(入江雅人)と共に地下アイドルの歌に合わせて一心不乱に踊る左門の姿があった。劇場でアイドルグッズを売っていた千夏と出くわした左門は、これは接待だと説明する。ある日、円山詩織(本田翼)が出社してくると、千夏たち5人がせっせと休暇届を書いていた。提出する課長がいないため、人事部に向かった千夏たちだが、星野ケンジ(安田顕)と下落"&amp;"合耕一(鈴木浩介)に課長代理を立てろと軽くあしらわれたあげく、メンタルヘルス検診の開催準備を一任される。メンタルヘルス検診とは、職場内ストレスにより休職届を出す社員が増えていることに腹を立てている社長の前川進(升毅)に、星野と下落合が提案した改善対策だった。当日の進行や医師の手配まですべてを任せると言い、失敗したらクビをほのめかす発言をされて動き出すショムニ。そんな折、社内に検診のチラシを配っていた詩織は、左門が一度は決まった三筋との事業計画が中止になったと告げられる現場に出くわす。食い下がる左門だが、上"&amp;"司は聞く耳を持たない。そして検診当日、詩織が日時を間違って伝えてしまったため、医師が来られないことが発覚し…。")</f>
        <v>社内を歩いていた坪井千夏(江角マキコ)たちショムニの面々は、誰もいない暗い部屋で奇妙な踊りをしている左門大介(三浦翔平)を見かけあ然となる。数日後、秋葉原の地下劇場で、取引先の社長・三筋(入江雅人)と共に地下アイドルの歌に合わせて一心不乱に踊る左門の姿があった。劇場でアイドルグッズを売っていた千夏と出くわした左門は、これは接待だと説明する。ある日、円山詩織(本田翼)が出社してくると、千夏たち5人がせっせと休暇届を書いていた。提出する課長がいないため、人事部に向かった千夏たちだが、星野ケンジ(安田顕)と下落合耕一(鈴木浩介)に課長代理を立てろと軽くあしらわれたあげく、メンタルヘルス検診の開催準備を一任される。メンタルヘルス検診とは、職場内ストレスにより休職届を出す社員が増えていることに腹を立てている社長の前川進(升毅)に、星野と下落合が提案した改善対策だった。当日の進行や医師の手配まですべてを任せると言い、失敗したらクビをほのめかす発言をされて動き出すショムニ。そんな折、社内に検診のチラシを配っていた詩織は、左門が一度は決まった三筋との事業計画が中止になったと告げられる現場に出くわす。食い下がる左門だが、上司は聞く耳を持たない。そして検診当日、詩織が日時を間違って伝えてしまったため、医師が来られないことが発覚し…。</v>
      </c>
      <c r="N988" s="2"/>
      <c r="O988" s="2"/>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row>
    <row r="989" ht="204.75" customHeight="1">
      <c r="A989" s="1">
        <v>3224.0</v>
      </c>
      <c r="B989" s="2" t="s">
        <v>3168</v>
      </c>
      <c r="C989" s="2">
        <f>IFERROR(__xludf.DUMMYFUNCTION("split(B989,""_"")"),1307.0)</f>
        <v>1307</v>
      </c>
      <c r="D989" s="2" t="str">
        <f>IFERROR(__xludf.DUMMYFUNCTION("""COMPUTED_VALUE"""),"CX")</f>
        <v>CX</v>
      </c>
      <c r="E989" s="2" t="str">
        <f>IFERROR(__xludf.DUMMYFUNCTION("""COMPUTED_VALUE"""),"水22")</f>
        <v>水22</v>
      </c>
      <c r="F989" s="2" t="s">
        <v>3169</v>
      </c>
      <c r="G989" s="2" t="s">
        <v>3179</v>
      </c>
      <c r="H989" s="1">
        <v>4.0</v>
      </c>
      <c r="I989" s="1" t="s">
        <v>14</v>
      </c>
      <c r="J989" s="1" t="s">
        <v>82</v>
      </c>
      <c r="K989" s="2" t="s">
        <v>3180</v>
      </c>
      <c r="L989" s="2" t="s">
        <v>3181</v>
      </c>
      <c r="M989" s="2" t="str">
        <f>IFERROR(__xludf.DUMMYFUNCTION("split(split(K989,""坪井千夏:　"",false),""公式LINE"",false)"),"坪井千夏(江角マキコ)は、福田益代(堀内敬子)の携帯電話にひっきりなしに届くメールに苛立つ。三波まどか(ベッキー)によれば、益代が登録していた婚活サイトのデータが流出したことが原因だった。同じころ、壇上みき(片瀬那奈)は、新たなビジネスパートナーとして満帆商事に来た人気婚活サイト『マッチング・ラブ』運営会社の社長・青柳亮大(前川泰之)にひと目ぼれしていた。青柳自身も『マッチング・ラブ』に登録していると知った壇上は、さっそく自分も登録を済ませる。さらに、まどかに勧められた益代、経営企画室をライバル視する上司"&amp;"から登録を命じられた左門大介(三浦翔平)、そんな左門の姿を見ていた円山詩織(本田翼)も、それぞれ『マッチング・ラブ』に登録する。  　一方、満帆商事社長・前川進(升毅)の甥で、IT事業部課長の錦山博之(高橋光臣)は、密かに想いを寄せている小島美鈴(森カンナ)に振られたという男性社員の話を偶然聞いてしまう。その夜、ショムニメンバーは、美鈴のはからいで合コンに参加する。が、千夏たちは、男性陣のあまりの草食ぶりに呆れていた。  　そんなある日、前川の元に、美鈴が社内中の男をもてあそんでいるという怪文書が届く。前"&amp;"川は、人事部の星野ケンジ(安田顕)と下落合耕一(鈴木浩介)を呼び、事実確認をしたうえで美鈴を処罰するように命じ…。")</f>
        <v>坪井千夏(江角マキコ)は、福田益代(堀内敬子)の携帯電話にひっきりなしに届くメールに苛立つ。三波まどか(ベッキー)によれば、益代が登録していた婚活サイトのデータが流出したことが原因だった。同じころ、壇上みき(片瀬那奈)は、新たなビジネスパートナーとして満帆商事に来た人気婚活サイト『マッチング・ラブ』運営会社の社長・青柳亮大(前川泰之)にひと目ぼれしていた。青柳自身も『マッチング・ラブ』に登録していると知った壇上は、さっそく自分も登録を済ませる。さらに、まどかに勧められた益代、経営企画室をライバル視する上司から登録を命じられた左門大介(三浦翔平)、そんな左門の姿を見ていた円山詩織(本田翼)も、それぞれ『マッチング・ラブ』に登録する。  　一方、満帆商事社長・前川進(升毅)の甥で、IT事業部課長の錦山博之(高橋光臣)は、密かに想いを寄せている小島美鈴(森カンナ)に振られたという男性社員の話を偶然聞いてしまう。その夜、ショムニメンバーは、美鈴のはからいで合コンに参加する。が、千夏たちは、男性陣のあまりの草食ぶりに呆れていた。  　そんなある日、前川の元に、美鈴が社内中の男をもてあそんでいるという怪文書が届く。前川は、人事部の星野ケンジ(安田顕)と下落合耕一(鈴木浩介)を呼び、事実確認をしたうえで美鈴を処罰するように命じ…。</v>
      </c>
      <c r="N989" s="2"/>
      <c r="O989" s="2"/>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row>
    <row r="990" ht="204.75" customHeight="1">
      <c r="A990" s="1">
        <v>3225.0</v>
      </c>
      <c r="B990" s="2" t="s">
        <v>3168</v>
      </c>
      <c r="C990" s="2">
        <f>IFERROR(__xludf.DUMMYFUNCTION("split(B990,""_"")"),1307.0)</f>
        <v>1307</v>
      </c>
      <c r="D990" s="2" t="str">
        <f>IFERROR(__xludf.DUMMYFUNCTION("""COMPUTED_VALUE"""),"CX")</f>
        <v>CX</v>
      </c>
      <c r="E990" s="2" t="str">
        <f>IFERROR(__xludf.DUMMYFUNCTION("""COMPUTED_VALUE"""),"水22")</f>
        <v>水22</v>
      </c>
      <c r="F990" s="2" t="s">
        <v>3169</v>
      </c>
      <c r="G990" s="2" t="s">
        <v>3182</v>
      </c>
      <c r="H990" s="1">
        <v>5.0</v>
      </c>
      <c r="I990" s="1" t="s">
        <v>17</v>
      </c>
      <c r="J990" s="1" t="s">
        <v>86</v>
      </c>
      <c r="K990" s="2" t="s">
        <v>3183</v>
      </c>
      <c r="L990" s="2" t="s">
        <v>3184</v>
      </c>
      <c r="M990" s="2" t="str">
        <f>IFERROR(__xludf.DUMMYFUNCTION("split(split(K990,""坪井千夏:　"",false),""公式LINE"",false)"),"満帆商事の新営業本部長決定を目前に、坪井千夏(江角マキコ)たちショムニが開催した“新本部長ダービー""に社員が殺到する。円山詩織(本田翼)を除くショムニメンバーも参加し、それぞれが有力候補の3人に賭けていた。ところが選ばれたのは冴えないと評判の男で、唯一、彼に投票していた小島美鈴(森カンナ)のひとり勝ちとなる。三波まどか(ベッキー)によると、有力候補の3人は業務違反を犯していたという。その事態を受け、壇上みき(片瀬那奈)は社長の前川進(升毅)に、社員へのコンプライアンスを徹底すべきだと訴えた。前川は、人事"&amp;"部の星野ケンジ(安田顕)と下落合耕一(鈴木浩介)に早急に対応するように命じる。ショムニでは、まどかがこれまで部長や役員に昇格した人たちを調べ、すべて美鈴と付き合っていたことが明らかになる。  　やがて「コンプライアンス委員会」が発足する。会議には各部署の代表が集められ、詩織や左門大介(三浦翔平)も参加する。委員長となった壇上からたくさんの禁止事項が発表された。違反者には処分もあると聞いた総務課長の五十嵐幸一(飯田基祐)は反対するが、賛成多数で決定となる。詩織が会議から戻ると、千夏たちは来週発表になる総務部"&amp;"の“新部長ダービー""を行っていた。詩織は慌てて止めるが、逆に千夏から参加を勧められる。千夏によれば、誰も賭けていない五十嵐は、今、美鈴の一番お気に入りらしく…。")</f>
        <v>満帆商事の新営業本部長決定を目前に、坪井千夏(江角マキコ)たちショムニが開催した“新本部長ダービー"に社員が殺到する。円山詩織(本田翼)を除くショムニメンバーも参加し、それぞれが有力候補の3人に賭けていた。ところが選ばれたのは冴えないと評判の男で、唯一、彼に投票していた小島美鈴(森カンナ)のひとり勝ちとなる。三波まどか(ベッキー)によると、有力候補の3人は業務違反を犯していたという。その事態を受け、壇上みき(片瀬那奈)は社長の前川進(升毅)に、社員へのコンプライアンスを徹底すべきだと訴えた。前川は、人事部の星野ケンジ(安田顕)と下落合耕一(鈴木浩介)に早急に対応するように命じる。ショムニでは、まどかがこれまで部長や役員に昇格した人たちを調べ、すべて美鈴と付き合っていたことが明らかになる。  　やがて「コンプライアンス委員会」が発足する。会議には各部署の代表が集められ、詩織や左門大介(三浦翔平)も参加する。委員長となった壇上からたくさんの禁止事項が発表された。違反者には処分もあると聞いた総務課長の五十嵐幸一(飯田基祐)は反対するが、賛成多数で決定となる。詩織が会議から戻ると、千夏たちは来週発表になる総務部の“新部長ダービー"を行っていた。詩織は慌てて止めるが、逆に千夏から参加を勧められる。千夏によれば、誰も賭けていない五十嵐は、今、美鈴の一番お気に入りらしく…。</v>
      </c>
      <c r="N990" s="2"/>
      <c r="O990" s="2"/>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row>
    <row r="991" ht="204.75" customHeight="1">
      <c r="A991" s="1">
        <v>3226.0</v>
      </c>
      <c r="B991" s="2" t="s">
        <v>3168</v>
      </c>
      <c r="C991" s="2">
        <f>IFERROR(__xludf.DUMMYFUNCTION("split(B991,""_"")"),1307.0)</f>
        <v>1307</v>
      </c>
      <c r="D991" s="2" t="str">
        <f>IFERROR(__xludf.DUMMYFUNCTION("""COMPUTED_VALUE"""),"CX")</f>
        <v>CX</v>
      </c>
      <c r="E991" s="2" t="str">
        <f>IFERROR(__xludf.DUMMYFUNCTION("""COMPUTED_VALUE"""),"水22")</f>
        <v>水22</v>
      </c>
      <c r="F991" s="2" t="s">
        <v>3169</v>
      </c>
      <c r="G991" s="2" t="s">
        <v>3185</v>
      </c>
      <c r="H991" s="1">
        <v>6.0</v>
      </c>
      <c r="I991" s="1" t="s">
        <v>21</v>
      </c>
      <c r="J991" s="1" t="s">
        <v>86</v>
      </c>
      <c r="K991" s="2" t="s">
        <v>3186</v>
      </c>
      <c r="L991" s="2" t="s">
        <v>3187</v>
      </c>
      <c r="M991" s="2" t="str">
        <f>IFERROR(__xludf.DUMMYFUNCTION("split(split(K991,""坪井千夏:　"",false),""公式LINE"",false)"),"安倍麗子(安藤サクラ)がショムニでカメを飼い始めた。「一番高い所から一番低い所へ、ひとり落ちてくる」とのカメのお告げがあったという。  　社長室では、社長の前川進(升毅)、人事部の星野ケンジ(安田顕)と下落合耕一(鈴木浩介)、左門大介(三浦翔平)ら海外事業部、壇上みき(片瀬那奈)ら経営企画室の面々が集まり、アメリカに本社を置くコネチカットバーガーの社長・スミスらと対面していた。前川は、日本での販売権を獲得しようと、親日家のスミスに浴衣をプレゼントする。すると、スミスはお礼にとスミスの故郷の名産品“ツーント"&amp;"セイミング""を取り出す。一同が缶詰を開けると強烈な悪臭が部屋中に充満…平然としているスミスたちを見て、誰もがそれを口に出せずにいたが、そこへ営業推進部の課長・梶山太一(大倉孝二)が入ってきて、臭いと言い放ちゴミ箱に捨てようとする。慌てて止めに入った下落合は、缶詰を食べて美味しいと絶賛し場を取り繕う。  　この一件が元で、梶山は庶務二課へ異動となる。そして、前川は今月の社内目標を「空気を読む」に決定、下落合をプロジェクトリーダーに抜擢し、スミスの接待プランを全部署から募集する。  　ショムニで仕事を始めた"&amp;"梶山は、ことごとく空気を読まない発言や行動を繰り返しメンバーを苛立たせる。怒った千夏(江角マキコ)は梶山をショムニから追い出すべく、出世させることを決意する。")</f>
        <v>安倍麗子(安藤サクラ)がショムニでカメを飼い始めた。「一番高い所から一番低い所へ、ひとり落ちてくる」とのカメのお告げがあったという。  　社長室では、社長の前川進(升毅)、人事部の星野ケンジ(安田顕)と下落合耕一(鈴木浩介)、左門大介(三浦翔平)ら海外事業部、壇上みき(片瀬那奈)ら経営企画室の面々が集まり、アメリカに本社を置くコネチカットバーガーの社長・スミスらと対面していた。前川は、日本での販売権を獲得しようと、親日家のスミスに浴衣をプレゼントする。すると、スミスはお礼にとスミスの故郷の名産品“ツーントセイミング"を取り出す。一同が缶詰を開けると強烈な悪臭が部屋中に充満…平然としているスミスたちを見て、誰もがそれを口に出せずにいたが、そこへ営業推進部の課長・梶山太一(大倉孝二)が入ってきて、臭いと言い放ちゴミ箱に捨てようとする。慌てて止めに入った下落合は、缶詰を食べて美味しいと絶賛し場を取り繕う。  　この一件が元で、梶山は庶務二課へ異動となる。そして、前川は今月の社内目標を「空気を読む」に決定、下落合をプロジェクトリーダーに抜擢し、スミスの接待プランを全部署から募集する。  　ショムニで仕事を始めた梶山は、ことごとく空気を読まない発言や行動を繰り返しメンバーを苛立たせる。怒った千夏(江角マキコ)は梶山をショムニから追い出すべく、出世させることを決意する。</v>
      </c>
      <c r="N991" s="2"/>
      <c r="O991" s="2"/>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row>
    <row r="992" ht="204.75" customHeight="1">
      <c r="A992" s="1">
        <v>3227.0</v>
      </c>
      <c r="B992" s="2" t="s">
        <v>3168</v>
      </c>
      <c r="C992" s="2">
        <f>IFERROR(__xludf.DUMMYFUNCTION("split(B992,""_"")"),1307.0)</f>
        <v>1307</v>
      </c>
      <c r="D992" s="2" t="str">
        <f>IFERROR(__xludf.DUMMYFUNCTION("""COMPUTED_VALUE"""),"CX")</f>
        <v>CX</v>
      </c>
      <c r="E992" s="2" t="str">
        <f>IFERROR(__xludf.DUMMYFUNCTION("""COMPUTED_VALUE"""),"水22")</f>
        <v>水22</v>
      </c>
      <c r="F992" s="2" t="s">
        <v>3169</v>
      </c>
      <c r="G992" s="2" t="s">
        <v>3188</v>
      </c>
      <c r="H992" s="1">
        <v>7.0</v>
      </c>
      <c r="I992" s="1" t="s">
        <v>25</v>
      </c>
      <c r="J992" s="1" t="s">
        <v>86</v>
      </c>
      <c r="K992" s="2" t="s">
        <v>3189</v>
      </c>
      <c r="L992" s="2" t="s">
        <v>3190</v>
      </c>
      <c r="M992" s="2" t="str">
        <f>IFERROR(__xludf.DUMMYFUNCTION("split(split(K992,""坪井千夏:　"",false),""公式LINE"",false)"),"「女子バレーボールワールドグランプリ2013　決勝ラウンド日本×イタリア」延長の際、放送時間繰り下げの場合あり。　庶務二課で坪井千夏(江角マキコ)らが話していると、安倍麗子(安藤サクラ)の幼なじみ・越智いずみ(山下リオ)が訪ねてきた。就職活動で連敗中のいずみは、満帆商事に入りたいと麗子を頼ってきたのだ。人事部の星野ケンジ(安田顕)と下落合耕一(鈴木浩介)は、社長の前川進(升毅)から大学生の就職したい企業ランキングに満帆商事が入っていないことを責められ、インターンの学生たちに良いイメージを与えると宣言する。"&amp;"インターンの説明会で、低姿勢で学生に接する星野たち。そんな態度をネットで冷やかしのコメントを付けて実況している者がいた。  　一方、就職できないのは時代のせいだと嘆くいずみに、千夏はショムニでの研修を提案する。ネットの悪口をみつけた星野と下落合は、書きこんでいるのが大手銀行の頭取の息子である四葉(矢野聖人)だとわかり、やんわりと注意する。四葉は大手企業から内定をもらっているからと平然としていた。　そんな中、左門大介(三浦翔平)のもとに、提携予定のフランスの食品会社から電話が入る。先方は、調印式前に満帆商事"&amp;"の社員食堂の食事を確認したいという。ショムニメンバーが食堂の排水溝のつまりを直していると、星野と下落合が駆け込んできた。ふたりは食堂のスタッフに、明後日の調印式前までにフランス人社長を満足させる新メニューを考えるように命令する。")</f>
        <v>「女子バレーボールワールドグランプリ2013　決勝ラウンド日本×イタリア」延長の際、放送時間繰り下げの場合あり。　庶務二課で坪井千夏(江角マキコ)らが話していると、安倍麗子(安藤サクラ)の幼なじみ・越智いずみ(山下リオ)が訪ねてきた。就職活動で連敗中のいずみは、満帆商事に入りたいと麗子を頼ってきたのだ。人事部の星野ケンジ(安田顕)と下落合耕一(鈴木浩介)は、社長の前川進(升毅)から大学生の就職したい企業ランキングに満帆商事が入っていないことを責められ、インターンの学生たちに良いイメージを与えると宣言する。インターンの説明会で、低姿勢で学生に接する星野たち。そんな態度をネットで冷やかしのコメントを付けて実況している者がいた。  　一方、就職できないのは時代のせいだと嘆くいずみに、千夏はショムニでの研修を提案する。ネットの悪口をみつけた星野と下落合は、書きこんでいるのが大手銀行の頭取の息子である四葉(矢野聖人)だとわかり、やんわりと注意する。四葉は大手企業から内定をもらっているからと平然としていた。　そんな中、左門大介(三浦翔平)のもとに、提携予定のフランスの食品会社から電話が入る。先方は、調印式前に満帆商事の社員食堂の食事を確認したいという。ショムニメンバーが食堂の排水溝のつまりを直していると、星野と下落合が駆け込んできた。ふたりは食堂のスタッフに、明後日の調印式前までにフランス人社長を満足させる新メニューを考えるように命令する。</v>
      </c>
      <c r="N992" s="2"/>
      <c r="O992" s="2"/>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row>
    <row r="993" ht="204.75" customHeight="1">
      <c r="A993" s="1">
        <v>3228.0</v>
      </c>
      <c r="B993" s="2" t="s">
        <v>3168</v>
      </c>
      <c r="C993" s="2">
        <f>IFERROR(__xludf.DUMMYFUNCTION("split(B993,""_"")"),1307.0)</f>
        <v>1307</v>
      </c>
      <c r="D993" s="2" t="str">
        <f>IFERROR(__xludf.DUMMYFUNCTION("""COMPUTED_VALUE"""),"CX")</f>
        <v>CX</v>
      </c>
      <c r="E993" s="2" t="str">
        <f>IFERROR(__xludf.DUMMYFUNCTION("""COMPUTED_VALUE"""),"水22")</f>
        <v>水22</v>
      </c>
      <c r="F993" s="2" t="s">
        <v>3169</v>
      </c>
      <c r="G993" s="2" t="s">
        <v>3191</v>
      </c>
      <c r="H993" s="1">
        <v>8.0</v>
      </c>
      <c r="I993" s="1" t="s">
        <v>29</v>
      </c>
      <c r="J993" s="1" t="s">
        <v>86</v>
      </c>
      <c r="K993" s="2" t="s">
        <v>3192</v>
      </c>
      <c r="L993" s="2" t="s">
        <v>3193</v>
      </c>
      <c r="M993" s="2" t="str">
        <f>IFERROR(__xludf.DUMMYFUNCTION("split(split(K993,""坪井千夏:　"",false),""公式LINE"",false)"),"居酒屋で坪井千夏(江角マキコ)らと飲んでいた円山詩織(本田翼)は、酔って眠ってしまう。左門大介(三浦翔平)と結婚する夢を見ていた詩織が目を覚ますと、ショムニメンバーはすでに帰宅していた。海外事業部では、奈良崎グループとブライダルプロジェクトの提携話が進んでいた。打ち合わせのためにやってくる奈良崎グループの部長を出迎えた左門は、一緒にやってきたプランナーの浦川ナルミ(佐藤江梨子)を見て驚く。新ブランドのお披露目会で模擬結婚式を行うことになり、新郎役は左門が、新婦役は女性社員から選ばれることになった。挙式で使"&amp;"う指輪と特別ボーナスがもらえると聞き、ショムニメンバーはがぜんやる気を出す。しかし人気の高い左門の元には、女性社員たちが押し寄せる。その夜、左門が家に帰るとショムニメンバーがいた。平然と合鍵を使って入ったと言い、かいがいしく世話を焼こうとするショムニメンバーたち。そんな中、アルバムを見ていた千夏は、左門と元恋人の写真を発見する。ひやかされた左門は怒ってショムニメンバーを家から追い出す。しばらくして合鍵を返しにやってきた詩織は、左門に送ってもらう。みんなボーナスが目当てで立候補しているとこぼす左門に、詩織は"&amp;"ボーナス目当てではなく新婦役をやりたいと告げるが…。")</f>
        <v>居酒屋で坪井千夏(江角マキコ)らと飲んでいた円山詩織(本田翼)は、酔って眠ってしまう。左門大介(三浦翔平)と結婚する夢を見ていた詩織が目を覚ますと、ショムニメンバーはすでに帰宅していた。海外事業部では、奈良崎グループとブライダルプロジェクトの提携話が進んでいた。打ち合わせのためにやってくる奈良崎グループの部長を出迎えた左門は、一緒にやってきたプランナーの浦川ナルミ(佐藤江梨子)を見て驚く。新ブランドのお披露目会で模擬結婚式を行うことになり、新郎役は左門が、新婦役は女性社員から選ばれることになった。挙式で使う指輪と特別ボーナスがもらえると聞き、ショムニメンバーはがぜんやる気を出す。しかし人気の高い左門の元には、女性社員たちが押し寄せる。その夜、左門が家に帰るとショムニメンバーがいた。平然と合鍵を使って入ったと言い、かいがいしく世話を焼こうとするショムニメンバーたち。そんな中、アルバムを見ていた千夏は、左門と元恋人の写真を発見する。ひやかされた左門は怒ってショムニメンバーを家から追い出す。しばらくして合鍵を返しにやってきた詩織は、左門に送ってもらう。みんなボーナスが目当てで立候補しているとこぼす左門に、詩織はボーナス目当てではなく新婦役をやりたいと告げるが…。</v>
      </c>
      <c r="N993" s="2"/>
      <c r="O993" s="2"/>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row>
    <row r="994" ht="204.75" customHeight="1">
      <c r="A994" s="1">
        <v>3229.0</v>
      </c>
      <c r="B994" s="2" t="s">
        <v>3168</v>
      </c>
      <c r="C994" s="2">
        <f>IFERROR(__xludf.DUMMYFUNCTION("split(B994,""_"")"),1307.0)</f>
        <v>1307</v>
      </c>
      <c r="D994" s="2" t="str">
        <f>IFERROR(__xludf.DUMMYFUNCTION("""COMPUTED_VALUE"""),"CX")</f>
        <v>CX</v>
      </c>
      <c r="E994" s="2" t="str">
        <f>IFERROR(__xludf.DUMMYFUNCTION("""COMPUTED_VALUE"""),"水22")</f>
        <v>水22</v>
      </c>
      <c r="F994" s="2" t="s">
        <v>3169</v>
      </c>
      <c r="G994" s="2" t="s">
        <v>3194</v>
      </c>
      <c r="H994" s="1">
        <v>9.0</v>
      </c>
      <c r="I994" s="1" t="s">
        <v>33</v>
      </c>
      <c r="J994" s="1" t="s">
        <v>86</v>
      </c>
      <c r="K994" s="2" t="s">
        <v>3195</v>
      </c>
      <c r="L994" s="2" t="s">
        <v>3196</v>
      </c>
      <c r="M994" s="2" t="str">
        <f>IFERROR(__xludf.DUMMYFUNCTION("split(split(K994,""坪井千夏:　"",false),""公式LINE"",false)"),"満帆商事の廊下で1人の男が、ショムニの制服を着た女に脚立で殴られるという事件が発生した。同じころ、坪井千夏(江角マキコ)が不在のショムニに、円山詩織(本田翼)が大きな荷物を抱えて入ってきた。荷物の中身は大量のコスプレ用衣装!満帆商事は、IT企業・フォローウィンドエージェンシーと業務提携の話が進んでおり、夜にはフォローウィンドエージェンシーが満帆商事全社員を招待して、船上コスプレパーティーが行われることになっていたのだ。IT企業といえば、若くイケメンぞろいということで、三波まどか(ベッキー)らは気合い十分!"&amp;"  　傷害事件の被害者は、業務提携先フォローウィンドエージェンシーの剣崎社長(戸次重幸)だった。事件を目撃した左門大介(三浦翔平)によって医務室に運ばれ、治療を受けていたがまだ意識は戻っていない…。左門の目撃証言から、人事部の星野ケンジ(安田顕)と下落合耕一(鈴木浩介)はショムニへ向かい、ショムニメンバーを引き止めて取り調べを行う。結果、星野らは午前中からコスプレ準備で外出している千夏を犯人と断定!社内指名手配をかける。会社に戻ってきた千夏は、自分が社内指名手配されている貼り紙を見てあわてて逃走する。社員"&amp;"がパーティーに向かい、人がいなくなった会社で、ショムニに電話をしてやっと事情を把握した千夏は、すでに船にいる詩織に自分が行くまで出航を遅らせるように指示を出し、真犯人を捜し始める。")</f>
        <v>満帆商事の廊下で1人の男が、ショムニの制服を着た女に脚立で殴られるという事件が発生した。同じころ、坪井千夏(江角マキコ)が不在のショムニに、円山詩織(本田翼)が大きな荷物を抱えて入ってきた。荷物の中身は大量のコスプレ用衣装!満帆商事は、IT企業・フォローウィンドエージェンシーと業務提携の話が進んでおり、夜にはフォローウィンドエージェンシーが満帆商事全社員を招待して、船上コスプレパーティーが行われることになっていたのだ。IT企業といえば、若くイケメンぞろいということで、三波まどか(ベッキー)らは気合い十分!  　傷害事件の被害者は、業務提携先フォローウィンドエージェンシーの剣崎社長(戸次重幸)だった。事件を目撃した左門大介(三浦翔平)によって医務室に運ばれ、治療を受けていたがまだ意識は戻っていない…。左門の目撃証言から、人事部の星野ケンジ(安田顕)と下落合耕一(鈴木浩介)はショムニへ向かい、ショムニメンバーを引き止めて取り調べを行う。結果、星野らは午前中からコスプレ準備で外出している千夏を犯人と断定!社内指名手配をかける。会社に戻ってきた千夏は、自分が社内指名手配されている貼り紙を見てあわてて逃走する。社員がパーティーに向かい、人がいなくなった会社で、ショムニに電話をしてやっと事情を把握した千夏は、すでに船にいる詩織に自分が行くまで出航を遅らせるように指示を出し、真犯人を捜し始める。</v>
      </c>
      <c r="N994" s="2"/>
      <c r="O994" s="2"/>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row>
    <row r="995" ht="204.75" customHeight="1">
      <c r="A995" s="1">
        <v>3230.0</v>
      </c>
      <c r="B995" s="2" t="s">
        <v>3168</v>
      </c>
      <c r="C995" s="2">
        <f>IFERROR(__xludf.DUMMYFUNCTION("split(B995,""_"")"),1307.0)</f>
        <v>1307</v>
      </c>
      <c r="D995" s="2" t="str">
        <f>IFERROR(__xludf.DUMMYFUNCTION("""COMPUTED_VALUE"""),"CX")</f>
        <v>CX</v>
      </c>
      <c r="E995" s="2" t="str">
        <f>IFERROR(__xludf.DUMMYFUNCTION("""COMPUTED_VALUE"""),"水22")</f>
        <v>水22</v>
      </c>
      <c r="F995" s="2" t="s">
        <v>3169</v>
      </c>
      <c r="G995" s="2" t="s">
        <v>3197</v>
      </c>
      <c r="H995" s="1">
        <v>10.0</v>
      </c>
      <c r="I995" s="1" t="s">
        <v>37</v>
      </c>
      <c r="J995" s="1" t="s">
        <v>86</v>
      </c>
      <c r="K995" s="2" t="s">
        <v>3198</v>
      </c>
      <c r="L995" s="8" t="s">
        <v>3199</v>
      </c>
      <c r="M995" s="2" t="str">
        <f>IFERROR(__xludf.DUMMYFUNCTION("split(split(K995,""坪井千夏:　"",false),""公式LINE"",false)"),"公式ホームページ　  http://www.fujitv.co.jp/shomu2/index.html　坪井千夏(江角マキコ)の傷害容疑が晴れ、ショムニメンバーも船上コスプレパーティーに乗り込むことができた。しかし、パーティーはフォローウィンドエージェンシーが、満帆商事を乗っ取るための罠だった。満帆商事の社員たちはバラバラに子会社や系列会社に出向させられる。千夏たちショムニメンバーは、「満帆食品」の豆腐二課、通称「トフニ」に配属されていた。そんな中、工場に剣崎(戸次重幸)たちがやってくる。剣崎は今月いっ"&amp;"ぱいで満帆食品を手放すと一方的に告げて去っていく。  　後日、千夏たちは剣崎に会うために満帆商事へ行くが、剣崎の秘書となった左門大介(三浦翔平)に邪魔をされる。左門は、話なら自分が聞くと千夏たちを強引に庶務二課へ連れて行き、剣崎がやがて満帆食品をはじめとする子会社をすべて売却して、社員たちを解雇する計画であることを話す。そして、この件は手を出さないように千夏たちに念を押して出て行った。　一方、剣崎はさらなる業務提携を進めていた、提携先は右京カンパニー。社長はあの右京友弘(石黒賢)だ。満帆商事のロビーで再会"&amp;"した千夏と右京。右京に「剣崎と関わらない方がいい」と忠告する千夏に、「自分の目で判断する」と告げる右京。  　ある朝、円山詩織(本田翼)が新聞を片手に「トフニ」に駆け込んできた。その新聞には左門が逮捕されたという記事が掲載されていて…。")</f>
        <v>公式ホームページ　  http://www.fujitv.co.jp/shomu2/index.html　坪井千夏(江角マキコ)の傷害容疑が晴れ、ショムニメンバーも船上コスプレパーティーに乗り込むことができた。しかし、パーティーはフォローウィンドエージェンシーが、満帆商事を乗っ取るための罠だった。満帆商事の社員たちはバラバラに子会社や系列会社に出向させられる。千夏たちショムニメンバーは、「満帆食品」の豆腐二課、通称「トフニ」に配属されていた。そんな中、工場に剣崎(戸次重幸)たちがやってくる。剣崎は今月いっぱいで満帆食品を手放すと一方的に告げて去っていく。  　後日、千夏たちは剣崎に会うために満帆商事へ行くが、剣崎の秘書となった左門大介(三浦翔平)に邪魔をされる。左門は、話なら自分が聞くと千夏たちを強引に庶務二課へ連れて行き、剣崎がやがて満帆食品をはじめとする子会社をすべて売却して、社員たちを解雇する計画であることを話す。そして、この件は手を出さないように千夏たちに念を押して出て行った。　一方、剣崎はさらなる業務提携を進めていた、提携先は右京カンパニー。社長はあの右京友弘(石黒賢)だ。満帆商事のロビーで再会した千夏と右京。右京に「剣崎と関わらない方がいい」と忠告する千夏に、「自分の目で判断する」と告げる右京。  　ある朝、円山詩織(本田翼)が新聞を片手に「トフニ」に駆け込んできた。その新聞には左門が逮捕されたという記事が掲載されていて…。</v>
      </c>
      <c r="N995" s="2"/>
      <c r="O995" s="2"/>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row>
    <row r="996" ht="204.75" customHeight="1">
      <c r="A996" s="1">
        <v>3271.0</v>
      </c>
      <c r="B996" s="2" t="s">
        <v>3200</v>
      </c>
      <c r="C996" s="2">
        <f>IFERROR(__xludf.DUMMYFUNCTION("split(B996,""_"")"),1307.0)</f>
        <v>1307</v>
      </c>
      <c r="D996" s="2" t="str">
        <f>IFERROR(__xludf.DUMMYFUNCTION("""COMPUTED_VALUE"""),"CX")</f>
        <v>CX</v>
      </c>
      <c r="E996" s="2" t="str">
        <f>IFERROR(__xludf.DUMMYFUNCTION("""COMPUTED_VALUE"""),"土23")</f>
        <v>土23</v>
      </c>
      <c r="F996" s="2" t="s">
        <v>3201</v>
      </c>
      <c r="G996" s="2" t="s">
        <v>3202</v>
      </c>
      <c r="H996" s="1">
        <v>1.0</v>
      </c>
      <c r="I996" s="1" t="s">
        <v>3</v>
      </c>
      <c r="J996" s="1" t="s">
        <v>2429</v>
      </c>
      <c r="K996" s="4" t="s">
        <v>3203</v>
      </c>
      <c r="L996" s="2" t="s">
        <v>3204</v>
      </c>
      <c r="M996" s="2" t="str">
        <f>IFERROR(__xludf.DUMMYFUNCTION("split(split(K996,""白石うらら:　"",false),""majo　"",false)"),"土ドラアプリも「山田くんと7人の魔女」コンテンツが盛り沢山!イマつぶでもキャスト&amp;スタッフがつぶやくよ!  詳しくは公式番組ホームページ　http://www.fujitv.co.jp/yamadamajo/index.htmlへ!!  公式Facebookも是非「いいね!」してください!　https://www.facebook.com/fujitv.yamada")</f>
        <v>土ドラアプリも「山田くんと7人の魔女」コンテンツが盛り沢山!イマつぶでもキャスト&amp;スタッフがつぶやくよ!  詳しくは公式番組ホームページ　http://www.fujitv.co.jp/yamadamajo/index.htmlへ!!  公式Facebookも是非「いいね!」してください!　https://www.facebook.com/fujitv.yamada</v>
      </c>
      <c r="N996" s="2" t="str">
        <f>IFERROR(__xludf.DUMMYFUNCTION("""COMPUTED_VALUE"""),"校内で白石うらら(西内まりや)と山田竜(山本裕典)がキスしている。ピュアでロマンチックなラブシーンと思いきや、決してそうではない。これにはある事件が関係していた…。  　中学時代ヤンキーだった山田は、楽しい学校生活を夢見て、猛勉強の末、名門進学校・朱咲高校に合格。ところが冷めた生徒ばかりで、すっかり腐ってしまい、勉強もせず進級も危うい状態に。  　そんなある日、教師や生徒たちにバカにされた山田は、階段で学校イチ優等生であるうららの姿を見つけるが、足を滑らせて、うららと階段を転げ落ちて気絶してしまう。  　"&amp;"保健室で目覚めトイレに入った山田は、鏡に映った自分の姿が白石うららだったことに驚がくする!一方、山田竜の姿をしたうららは平然と授業を受けていたが、教室に飛び込んできた、うららの姿をした山田に教室から連れ出されてしまう。  　結局、放課後まで入れ替わった姿のまま過ごすことにした2人だったが、山田は優等生のうららが意外と生きづらい学園生活を送っていることを知る。  　その頃、生徒会室では生徒会長・山崎春馬(徳山秀典)が、白石うららに関するミッションについて、副会長・宮村虎之介(井出卓也)に報告を求めたが、色よ"&amp;"い返事が帰ってこない。同じく副会長・小田切寧々(大野いと)は「自分に任せてほしい」と山崎に訴える。  　うららと山田の様子に違和感を感じた宮村はうらら(山田)にトラップを仕掛けて…。")</f>
        <v>校内で白石うらら(西内まりや)と山田竜(山本裕典)がキスしている。ピュアでロマンチックなラブシーンと思いきや、決してそうではない。これにはある事件が関係していた…。  　中学時代ヤンキーだった山田は、楽しい学校生活を夢見て、猛勉強の末、名門進学校・朱咲高校に合格。ところが冷めた生徒ばかりで、すっかり腐ってしまい、勉強もせず進級も危うい状態に。  　そんなある日、教師や生徒たちにバカにされた山田は、階段で学校イチ優等生であるうららの姿を見つけるが、足を滑らせて、うららと階段を転げ落ちて気絶してしまう。  　保健室で目覚めトイレに入った山田は、鏡に映った自分の姿が白石うららだったことに驚がくする!一方、山田竜の姿をしたうららは平然と授業を受けていたが、教室に飛び込んできた、うららの姿をした山田に教室から連れ出されてしまう。  　結局、放課後まで入れ替わった姿のまま過ごすことにした2人だったが、山田は優等生のうららが意外と生きづらい学園生活を送っていることを知る。  　その頃、生徒会室では生徒会長・山崎春馬(徳山秀典)が、白石うららに関するミッションについて、副会長・宮村虎之介(井出卓也)に報告を求めたが、色よい返事が帰ってこない。同じく副会長・小田切寧々(大野いと)は「自分に任せてほしい」と山崎に訴える。  　うららと山田の様子に違和感を感じた宮村はうらら(山田)にトラップを仕掛けて…。</v>
      </c>
      <c r="O996" s="2"/>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row>
    <row r="997" ht="204.75" customHeight="1">
      <c r="A997" s="1">
        <v>3272.0</v>
      </c>
      <c r="B997" s="2" t="s">
        <v>3200</v>
      </c>
      <c r="C997" s="2">
        <f>IFERROR(__xludf.DUMMYFUNCTION("split(B997,""_"")"),1307.0)</f>
        <v>1307</v>
      </c>
      <c r="D997" s="2" t="str">
        <f>IFERROR(__xludf.DUMMYFUNCTION("""COMPUTED_VALUE"""),"CX")</f>
        <v>CX</v>
      </c>
      <c r="E997" s="2" t="str">
        <f>IFERROR(__xludf.DUMMYFUNCTION("""COMPUTED_VALUE"""),"土23")</f>
        <v>土23</v>
      </c>
      <c r="F997" s="2" t="s">
        <v>3201</v>
      </c>
      <c r="G997" s="2" t="s">
        <v>3205</v>
      </c>
      <c r="H997" s="1">
        <v>2.0</v>
      </c>
      <c r="I997" s="1" t="s">
        <v>7</v>
      </c>
      <c r="J997" s="1" t="s">
        <v>2429</v>
      </c>
      <c r="K997" s="2" t="s">
        <v>3206</v>
      </c>
      <c r="L997" s="2" t="s">
        <v>3207</v>
      </c>
      <c r="M997" s="2" t="str">
        <f>IFERROR(__xludf.DUMMYFUNCTION("split(split(K997,""白石うらら:　"",false),""majo　"",false)"),"土ドラアプリもコンテンツが盛り沢山!イマつぶでもキャスト&amp;スタッフがつぶやいてます!毎週オンエア時のライブツイートもお楽しみに!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f>
        <v>土ドラアプリもコンテンツが盛り沢山!イマつぶでもキャスト&amp;スタッフがつぶやいてます!毎週オンエア時のライブツイートもお楽しみに!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v>
      </c>
      <c r="N997" s="2" t="str">
        <f>IFERROR(__xludf.DUMMYFUNCTION("""COMPUTED_VALUE"""),"朱咲高校の裏庭。宮村(井出卓也)と次期生徒会長の座を争う小田切寧々(大野いと)に呼び出された山田(山本裕典)は、「前から気になってたんだ…」と突然の告白を受ける。困惑する山田に構わずキスしようとする寧々。入れ替わってしまうことを恐れた山田だったが、強引に唇を奪われてしまう。  　翌日、山田は、寧々に告白されて無理矢理キスされたことを宮村に明かす。と、宮村はあることに気づく。山田と寧々の間に起こった不思議な現象を解明する為、超常現象研究部の部室で人目を忍んでキスをする山田と宮村。ところが入部希望と称して突然"&amp;"入って来た伊藤雅(トリンドル玲奈)に現場を目撃されてしまう。誤解を解くために、仕方なく“キスは神聖なる入部の儀式""であるとデタラメな説明をするが、雅は「私は本気よ!」と山田にキスをする。その直後、宮村と雅の山田に対する態度が豹変して…。  　宮村から魔女伝説ノートの存在を聞き出した雅に、手元にない下巻を探そうと『開かずの間』に連れて来られた山田は、偶然、寧々と五十嵐潮(間宮祥太朗)の話を聞いてしまう。潮が寧々の手下になっていることに疑問を感じる山田。何やら山田と潮の間にはただならぬ因縁が…。  　うらら"&amp;"(西内まりや)の分析によって、身の回りに起こる不思議な現象と自分の能力が理解できてきた山田は、宮村や雅にも乗せられて魔女を探すことを決意する…。")</f>
        <v>朱咲高校の裏庭。宮村(井出卓也)と次期生徒会長の座を争う小田切寧々(大野いと)に呼び出された山田(山本裕典)は、「前から気になってたんだ…」と突然の告白を受ける。困惑する山田に構わずキスしようとする寧々。入れ替わってしまうことを恐れた山田だったが、強引に唇を奪われてしまう。  　翌日、山田は、寧々に告白されて無理矢理キスされたことを宮村に明かす。と、宮村はあることに気づく。山田と寧々の間に起こった不思議な現象を解明する為、超常現象研究部の部室で人目を忍んでキスをする山田と宮村。ところが入部希望と称して突然入って来た伊藤雅(トリンドル玲奈)に現場を目撃されてしまう。誤解を解くために、仕方なく“キスは神聖なる入部の儀式"であるとデタラメな説明をするが、雅は「私は本気よ!」と山田にキスをする。その直後、宮村と雅の山田に対する態度が豹変して…。  　宮村から魔女伝説ノートの存在を聞き出した雅に、手元にない下巻を探そうと『開かずの間』に連れて来られた山田は、偶然、寧々と五十嵐潮(間宮祥太朗)の話を聞いてしまう。潮が寧々の手下になっていることに疑問を感じる山田。何やら山田と潮の間にはただならぬ因縁が…。  　うらら(西内まりや)の分析によって、身の回りに起こる不思議な現象と自分の能力が理解できてきた山田は、宮村や雅にも乗せられて魔女を探すことを決意する…。</v>
      </c>
      <c r="O997" s="2"/>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row>
    <row r="998" ht="204.75" customHeight="1">
      <c r="A998" s="1">
        <v>3273.0</v>
      </c>
      <c r="B998" s="2" t="s">
        <v>3200</v>
      </c>
      <c r="C998" s="2">
        <f>IFERROR(__xludf.DUMMYFUNCTION("split(B998,""_"")"),1307.0)</f>
        <v>1307</v>
      </c>
      <c r="D998" s="2" t="str">
        <f>IFERROR(__xludf.DUMMYFUNCTION("""COMPUTED_VALUE"""),"CX")</f>
        <v>CX</v>
      </c>
      <c r="E998" s="2" t="str">
        <f>IFERROR(__xludf.DUMMYFUNCTION("""COMPUTED_VALUE"""),"土23")</f>
        <v>土23</v>
      </c>
      <c r="F998" s="2" t="s">
        <v>3201</v>
      </c>
      <c r="G998" s="2" t="s">
        <v>3208</v>
      </c>
      <c r="H998" s="1">
        <v>3.0</v>
      </c>
      <c r="I998" s="1" t="s">
        <v>10</v>
      </c>
      <c r="J998" s="1" t="s">
        <v>2429</v>
      </c>
      <c r="K998" s="2" t="s">
        <v>3209</v>
      </c>
      <c r="L998" s="2" t="s">
        <v>3210</v>
      </c>
      <c r="M998" s="2" t="str">
        <f>IFERROR(__xludf.DUMMYFUNCTION("split(split(K998,""白石うらら:　"",false),""majo　"",false)"),"土ドラアプリもコンテンツが盛り沢山!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f>
        <v>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v>
      </c>
      <c r="N998" s="2" t="str">
        <f>IFERROR(__xludf.DUMMYFUNCTION("""COMPUTED_VALUE"""),"キスすることで魔女の能力をコピーできることが分かった山田竜(山本裕典)を使い、魔女探しをすることになった超常現象研究部。ところが山田には進級を賭けた補習と追試が迫っていた。前回同様、白石うらら(西内まりや)と入れ替わって追試をパスしようと企んだ山田だったが、うららに一蹴され、止むなく補習を受ける。  　補習中、山田は斜め前にいた大塚芽子(美山加恋)がスケッチブックに何かを描き続けているのに気付く。補習が終わり、芽子のスケッチブックを勝手に見る山田。描かれていた漫画の見事な出来栄えに、思わず「また描いたら見"&amp;"せてよ」と言うと、芽子にいきなりキスされてしまう。「お礼です」という芽子だったが…。  　芽子とキスしても入れ替わらなかったことを不思議に思った山田は、超常現象研究部の面々に報告する。小田切寧々(大野いと)の時と同じで“入れ替わらない""ということは「芽子さんは魔女よ」とうらら。ハッキリさせたい宮村虎之介(井出卓也)は山田の不意を突いてキスをするが、何も変化がない。「魔女じゃないのかな…」とがっかりする伊藤雅(トリンドル玲奈)。すると…  　予想外の方法で芽子からSOSを受けた山田は、芽子の相談に乗ってい"&amp;"るうちに、うららと入れ替わって前回の追試をパスしたことを知られてしまう。魔女探しの為、芽子から情報を聞き出したい宮村は、追試をパスできるように協力を約束するが、思わぬ邪魔が入り…。")</f>
        <v>キスすることで魔女の能力をコピーできることが分かった山田竜(山本裕典)を使い、魔女探しをすることになった超常現象研究部。ところが山田には進級を賭けた補習と追試が迫っていた。前回同様、白石うらら(西内まりや)と入れ替わって追試をパスしようと企んだ山田だったが、うららに一蹴され、止むなく補習を受ける。  　補習中、山田は斜め前にいた大塚芽子(美山加恋)がスケッチブックに何かを描き続けているのに気付く。補習が終わり、芽子のスケッチブックを勝手に見る山田。描かれていた漫画の見事な出来栄えに、思わず「また描いたら見せてよ」と言うと、芽子にいきなりキスされてしまう。「お礼です」という芽子だったが…。  　芽子とキスしても入れ替わらなかったことを不思議に思った山田は、超常現象研究部の面々に報告する。小田切寧々(大野いと)の時と同じで“入れ替わらない"ということは「芽子さんは魔女よ」とうらら。ハッキリさせたい宮村虎之介(井出卓也)は山田の不意を突いてキスをするが、何も変化がない。「魔女じゃないのかな…」とがっかりする伊藤雅(トリンドル玲奈)。すると…  　予想外の方法で芽子からSOSを受けた山田は、芽子の相談に乗っているうちに、うららと入れ替わって前回の追試をパスしたことを知られてしまう。魔女探しの為、芽子から情報を聞き出したい宮村は、追試をパスできるように協力を約束するが、思わぬ邪魔が入り…。</v>
      </c>
      <c r="O998" s="2"/>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row>
    <row r="999" ht="204.75" customHeight="1">
      <c r="A999" s="1">
        <v>3274.0</v>
      </c>
      <c r="B999" s="2" t="s">
        <v>3200</v>
      </c>
      <c r="C999" s="2">
        <f>IFERROR(__xludf.DUMMYFUNCTION("split(B999,""_"")"),1307.0)</f>
        <v>1307</v>
      </c>
      <c r="D999" s="2" t="str">
        <f>IFERROR(__xludf.DUMMYFUNCTION("""COMPUTED_VALUE"""),"CX")</f>
        <v>CX</v>
      </c>
      <c r="E999" s="2" t="str">
        <f>IFERROR(__xludf.DUMMYFUNCTION("""COMPUTED_VALUE"""),"土23")</f>
        <v>土23</v>
      </c>
      <c r="F999" s="2" t="s">
        <v>3201</v>
      </c>
      <c r="G999" s="2" t="s">
        <v>3211</v>
      </c>
      <c r="H999" s="1">
        <v>4.0</v>
      </c>
      <c r="I999" s="1" t="s">
        <v>14</v>
      </c>
      <c r="J999" s="1" t="s">
        <v>2429</v>
      </c>
      <c r="K999" s="2" t="s">
        <v>3212</v>
      </c>
      <c r="L999" s="2" t="s">
        <v>3213</v>
      </c>
      <c r="M999" s="2" t="str">
        <f>IFERROR(__xludf.DUMMYFUNCTION("split(split(K999,""白石うらら:　"",false),""majo　"",false)"),"「女子バレーボールワールドグランプリ2013　決勝ラウンド日本×中国」延長の際、放送時間繰り下げの場合あり。土ドラアプリもコンテンツが盛り沢山!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https://www.facebook.com/fujitv.yamad"&amp;"a")</f>
        <v>「女子バレーボールワールドグランプリ2013　決勝ラウンド日本×中国」延長の際、放送時間繰り下げの場合あり。土ドラアプリもコンテンツが盛り沢山!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v>
      </c>
      <c r="N999" s="2" t="str">
        <f>IFERROR(__xludf.DUMMYFUNCTION("""COMPUTED_VALUE"""),"魔女同士がキスをしても“特殊能力""にかからないことを発見した超常現象研究部。『テレパシー』の能力を持つ大塚芽子(美山加恋)から聞いた、“キスをしたのに気持ちが読み取れなかった""滝川ノア(松井愛莉)は魔女に違いない、そう考えた山田竜(山本裕典)はノアの持つ魔女の能力について調べる為、すぐに行動に移す。  　その頃、生徒会室では校内で最近頻繁に起こっている“ある事件""について対策が練られていた。被害にあった生徒の名簿を見ていた飛鳥美琴(小林涼子)は、被害者がいずれも同じ中学出身の1年生であることに気づく"&amp;"。生徒会長の山崎春馬(徳山秀典)は、次に狙われる可能性が高い同じ中学出身の1年生で残る1人、ノアをマークして事件を未然に防ぐように宮村虎之介(井出卓也)と小田切寧々(大野いと)に命じる。  　次期生徒会長の座を狙う宮村は、同じ超常現象研究部の白石うらら(西内まりや)と伊藤雅(トリンドル玲奈)そして山田に協力を仰ぐ。そんな矢先、うららはノアから呼び出しを受けるが、不審に思った山田はある作戦を立てた…。  　山田の考えた作戦が功を奏し、事件の犯人からノアの能力を聞き出した山田だったが、その能力の使い方に憤りを"&amp;"隠せなかった。山田はノアに詰め寄り、一気にまくしたてるが「じゃあ、教えてあげる」とノアにキスをされた瞬間、動けなくなってしまう…。その時、山田が見たものとは、はたして何なのか!?")</f>
        <v>魔女同士がキスをしても“特殊能力"にかからないことを発見した超常現象研究部。『テレパシー』の能力を持つ大塚芽子(美山加恋)から聞いた、“キスをしたのに気持ちが読み取れなかった"滝川ノア(松井愛莉)は魔女に違いない、そう考えた山田竜(山本裕典)はノアの持つ魔女の能力について調べる為、すぐに行動に移す。  　その頃、生徒会室では校内で最近頻繁に起こっている“ある事件"について対策が練られていた。被害にあった生徒の名簿を見ていた飛鳥美琴(小林涼子)は、被害者がいずれも同じ中学出身の1年生であることに気づく。生徒会長の山崎春馬(徳山秀典)は、次に狙われる可能性が高い同じ中学出身の1年生で残る1人、ノアをマークして事件を未然に防ぐように宮村虎之介(井出卓也)と小田切寧々(大野いと)に命じる。  　次期生徒会長の座を狙う宮村は、同じ超常現象研究部の白石うらら(西内まりや)と伊藤雅(トリンドル玲奈)そして山田に協力を仰ぐ。そんな矢先、うららはノアから呼び出しを受けるが、不審に思った山田はある作戦を立てた…。  　山田の考えた作戦が功を奏し、事件の犯人からノアの能力を聞き出した山田だったが、その能力の使い方に憤りを隠せなかった。山田はノアに詰め寄り、一気にまくしたてるが「じゃあ、教えてあげる」とノアにキスをされた瞬間、動けなくなってしまう…。その時、山田が見たものとは、はたして何なのか!?</v>
      </c>
      <c r="O999" s="2"/>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row>
    <row r="1000" ht="204.75" customHeight="1">
      <c r="A1000" s="1">
        <v>3275.0</v>
      </c>
      <c r="B1000" s="2" t="s">
        <v>3200</v>
      </c>
      <c r="C1000" s="2">
        <f>IFERROR(__xludf.DUMMYFUNCTION("split(B1000,""_"")"),1307.0)</f>
        <v>1307</v>
      </c>
      <c r="D1000" s="2" t="str">
        <f>IFERROR(__xludf.DUMMYFUNCTION("""COMPUTED_VALUE"""),"CX")</f>
        <v>CX</v>
      </c>
      <c r="E1000" s="2" t="str">
        <f>IFERROR(__xludf.DUMMYFUNCTION("""COMPUTED_VALUE"""),"土23")</f>
        <v>土23</v>
      </c>
      <c r="F1000" s="2" t="s">
        <v>3201</v>
      </c>
      <c r="G1000" s="2" t="s">
        <v>3214</v>
      </c>
      <c r="H1000" s="1">
        <v>5.0</v>
      </c>
      <c r="I1000" s="1" t="s">
        <v>17</v>
      </c>
      <c r="J1000" s="1" t="s">
        <v>2429</v>
      </c>
      <c r="K1000" s="2" t="s">
        <v>3215</v>
      </c>
      <c r="L1000" s="2" t="s">
        <v>3216</v>
      </c>
      <c r="M1000" s="2" t="str">
        <f>IFERROR(__xludf.DUMMYFUNCTION("split(split(K1000,""白石うらら:　"",false),""majo　"",false)"),"土ドラアプリもコンテンツが盛り沢山!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f>
        <v>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v>
      </c>
      <c r="N1000" s="2" t="str">
        <f>IFERROR(__xludf.DUMMYFUNCTION("""COMPUTED_VALUE"""),"滝川ノア(松井愛莉)から聞いた『魔女伝説・下巻』のノートがあるという場所に向かっていた山田竜(山本裕典)は猿島マリア(小島藤子)に呼び止められる。一刻も早くノートを手に入れたい山田は「この先、行っちゃダメよ!」というマリアを尻目に目的の場所へ侵入するが、生徒会長の山崎春馬(徳山秀典)に見つかり、罰として海辺のゴミ拾いを命じられる。  　宮村虎之介(井出卓也)は、山田のゴミ拾いに便乗して超常現象研究部の海合宿を企画する。合宿には白石うらら(西内まりや)、伊藤雅(トリンドル玲奈)の他、“海には沢山の水着女子が"&amp;"必要""という思惑の宮村に誘われた大塚芽子(美山加恋)とマリアも参加していた。  　その後、一同は宮村家別荘に移動。そこでマリアは、予定表に書かれていた『魔女伝説』という文字に関心を示す。宮村の説明に驚くマリア。その隣で「あ、こいつ多分魔女」と山田が言い放つ。  　海外生活が長かったマリアにとって“キス""は挨拶代りだったが、能力が原因で辛い経験をしてからは誰ともキスをしたくなかった。しかし、隠し続けていた能力の話をして、気が緩んだのか、部屋に戻ろうとした時、ついつい隣にいた山田にキスをしてしまう!と、そ"&amp;"の瞬間、恐怖で山田とマリアの表情が凍りつく…。  　すぐに別荘を後にする一同。超常現象研究部の部室に戻り、うららの身の危険が回避されたかどうかを確かめようとする山田とマリアだったが…。")</f>
        <v>滝川ノア(松井愛莉)から聞いた『魔女伝説・下巻』のノートがあるという場所に向かっていた山田竜(山本裕典)は猿島マリア(小島藤子)に呼び止められる。一刻も早くノートを手に入れたい山田は「この先、行っちゃダメよ!」というマリアを尻目に目的の場所へ侵入するが、生徒会長の山崎春馬(徳山秀典)に見つかり、罰として海辺のゴミ拾いを命じられる。  　宮村虎之介(井出卓也)は、山田のゴミ拾いに便乗して超常現象研究部の海合宿を企画する。合宿には白石うらら(西内まりや)、伊藤雅(トリンドル玲奈)の他、“海には沢山の水着女子が必要"という思惑の宮村に誘われた大塚芽子(美山加恋)とマリアも参加していた。  　その後、一同は宮村家別荘に移動。そこでマリアは、予定表に書かれていた『魔女伝説』という文字に関心を示す。宮村の説明に驚くマリア。その隣で「あ、こいつ多分魔女」と山田が言い放つ。  　海外生活が長かったマリアにとって“キス"は挨拶代りだったが、能力が原因で辛い経験をしてからは誰ともキスをしたくなかった。しかし、隠し続けていた能力の話をして、気が緩んだのか、部屋に戻ろうとした時、ついつい隣にいた山田にキスをしてしまう!と、その瞬間、恐怖で山田とマリアの表情が凍りつく…。  　すぐに別荘を後にする一同。超常現象研究部の部室に戻り、うららの身の危険が回避されたかどうかを確かめようとする山田とマリアだったが…。</v>
      </c>
      <c r="O1000" s="2"/>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row>
    <row r="1001" ht="204.75" customHeight="1">
      <c r="A1001" s="1">
        <v>3276.0</v>
      </c>
      <c r="B1001" s="2" t="s">
        <v>3200</v>
      </c>
      <c r="C1001" s="2">
        <f>IFERROR(__xludf.DUMMYFUNCTION("split(B1001,""_"")"),1307.0)</f>
        <v>1307</v>
      </c>
      <c r="D1001" s="2" t="str">
        <f>IFERROR(__xludf.DUMMYFUNCTION("""COMPUTED_VALUE"""),"CX")</f>
        <v>CX</v>
      </c>
      <c r="E1001" s="2" t="str">
        <f>IFERROR(__xludf.DUMMYFUNCTION("""COMPUTED_VALUE"""),"土23")</f>
        <v>土23</v>
      </c>
      <c r="F1001" s="2" t="s">
        <v>3201</v>
      </c>
      <c r="G1001" s="2" t="s">
        <v>3217</v>
      </c>
      <c r="H1001" s="1">
        <v>6.0</v>
      </c>
      <c r="I1001" s="1" t="s">
        <v>21</v>
      </c>
      <c r="J1001" s="1" t="s">
        <v>1435</v>
      </c>
      <c r="K1001" s="2" t="s">
        <v>3218</v>
      </c>
      <c r="L1001" s="2" t="s">
        <v>3219</v>
      </c>
      <c r="M1001" s="2" t="str">
        <f>IFERROR(__xludf.DUMMYFUNCTION("split(split(K1001,""白石うらら:　"",false),""majo　"",false)"),"土ドラアプリもコンテンツが盛り沢山!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f>
        <v>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v>
      </c>
      <c r="N1001" s="2" t="str">
        <f>IFERROR(__xludf.DUMMYFUNCTION("""COMPUTED_VALUE"""),"自分の持つ能力に悩んでいる猿島マリア(小島藤子)を放っておけない山田竜(山本裕典)は、滝川ノア(松井愛莉)から魔女伝説ノートの下巻に書かれていたという“魔女殺し""の話を聞き、生徒会長の山崎春馬(徳山秀典)と話をつける為、生徒会室に向かう。  　魔女伝説ノートの下巻を見せて欲しいと頼む山田をのらりくらりとかわす春馬。業を煮やした山田は強行突破を試みるが、生徒会長秘書の飛鳥美琴(小林涼子)が立ちはだかる。  　美琴に拘束されてしまった山田は、この状況から脱出しようと美琴の隙を突いてキスをする。入れ替わって脱"&amp;"出しようという作戦だった。ところが…。  　何も知らず生徒会室を訪れた小田切寧々(大野いと)と五十嵐潮(間宮祥太朗)そして宮村虎之介(井出卓也)のおかげで難を逃れた山田は、白石うらら(西内まりや)と伊藤雅(トリンドル玲奈)が待つ超常現象研究部室に戻り、生徒会室で起こった出来事を話す。美琴が魔女かも知れないという話の内容に興味津々の雅は能力を確かめようと山田にキスをするが…。  　魔女伝説ノートの下巻を手に入れることができず、“魔女殺し""の正体も分からない山田はマリアに「もう少し時間が欲しい」と告げる。そ"&amp;"んな山田の気持ちがうれしいマリアは、ついつい習慣で山田にキスをしてしまう。呆然とする山田、その瞳から流れる涙。山田は初めて自分の気持ちに気付く。山田が見た未来とは…。")</f>
        <v>自分の持つ能力に悩んでいる猿島マリア(小島藤子)を放っておけない山田竜(山本裕典)は、滝川ノア(松井愛莉)から魔女伝説ノートの下巻に書かれていたという“魔女殺し"の話を聞き、生徒会長の山崎春馬(徳山秀典)と話をつける為、生徒会室に向かう。  　魔女伝説ノートの下巻を見せて欲しいと頼む山田をのらりくらりとかわす春馬。業を煮やした山田は強行突破を試みるが、生徒会長秘書の飛鳥美琴(小林涼子)が立ちはだかる。  　美琴に拘束されてしまった山田は、この状況から脱出しようと美琴の隙を突いてキスをする。入れ替わって脱出しようという作戦だった。ところが…。  　何も知らず生徒会室を訪れた小田切寧々(大野いと)と五十嵐潮(間宮祥太朗)そして宮村虎之介(井出卓也)のおかげで難を逃れた山田は、白石うらら(西内まりや)と伊藤雅(トリンドル玲奈)が待つ超常現象研究部室に戻り、生徒会室で起こった出来事を話す。美琴が魔女かも知れないという話の内容に興味津々の雅は能力を確かめようと山田にキスをするが…。  　魔女伝説ノートの下巻を手に入れることができず、“魔女殺し"の正体も分からない山田はマリアに「もう少し時間が欲しい」と告げる。そんな山田の気持ちがうれしいマリアは、ついつい習慣で山田にキスをしてしまう。呆然とする山田、その瞳から流れる涙。山田は初めて自分の気持ちに気付く。山田が見た未来とは…。</v>
      </c>
      <c r="O1001" s="2"/>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row>
    <row r="1002" ht="204.75" customHeight="1">
      <c r="A1002" s="1">
        <v>3277.0</v>
      </c>
      <c r="B1002" s="2" t="s">
        <v>3200</v>
      </c>
      <c r="C1002" s="2">
        <f>IFERROR(__xludf.DUMMYFUNCTION("split(B1002,""_"")"),1307.0)</f>
        <v>1307</v>
      </c>
      <c r="D1002" s="2" t="str">
        <f>IFERROR(__xludf.DUMMYFUNCTION("""COMPUTED_VALUE"""),"CX")</f>
        <v>CX</v>
      </c>
      <c r="E1002" s="2" t="str">
        <f>IFERROR(__xludf.DUMMYFUNCTION("""COMPUTED_VALUE"""),"土23")</f>
        <v>土23</v>
      </c>
      <c r="F1002" s="2" t="s">
        <v>3201</v>
      </c>
      <c r="G1002" s="2" t="s">
        <v>3220</v>
      </c>
      <c r="H1002" s="1">
        <v>7.0</v>
      </c>
      <c r="I1002" s="1" t="s">
        <v>25</v>
      </c>
      <c r="J1002" s="1" t="s">
        <v>1435</v>
      </c>
      <c r="K1002" s="2" t="s">
        <v>3221</v>
      </c>
      <c r="L1002" s="2" t="s">
        <v>3222</v>
      </c>
      <c r="M1002" s="2" t="str">
        <f>IFERROR(__xludf.DUMMYFUNCTION("split(split(K1002,""白石うらら:　"",false),""majo　"",false)"),"土ドラアプリもコンテンツが盛り沢山!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f>
        <v>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v>
      </c>
      <c r="N1002" s="2" t="str">
        <f>IFERROR(__xludf.DUMMYFUNCTION("""COMPUTED_VALUE"""),"裏サイトに掲載された下着泥棒の写真。あたかも山田竜(山本裕典)が下着泥棒であるかのようにデフォルメされた画像は、山田が海でゴミ拾いをしている姿を宮村虎之介(井出卓也)が撮影したものだった。伊藤雅(トリンドル玲奈)は宮村が裏切り者の“二重スパイ""に違いないと白石うらら(西内まりや)と山田に告げる。  　雅の話を信じたくない山田は意気消沈していた。見兼ねたうららは山田にキスをして入れ替わり、宮村に話を聞きに行く。ところが、あることが原因であっけなく“入れ替わり""を見破られてしまったうららは、やはりこういう"&amp;"ことは男同士で話した方が良いと山田に話す。  　超常現象研究部の部室に宮村を訪ねた山田は、“7人目の魔女をみつけること""が生徒会長になる条件で、会長候補に猪瀬潤(永江祐貴)も加わったと聞く。猪瀬が会長になってしまうと未来透視で見た、寂しそうな顔で猪瀬の秘書を務めているうららの姿が現実となってしまう。山田は、是が非でも宮村に会長になってもらいたいところだが、魔女伝説ノート上巻の肝心なところが破れていて7人目の魔女の手掛かりが掴めない。おまけに自分の不注意でジュースまでこぼしてしまっていた。ところが…。  "&amp;"　怪我の功名で得た情報は宮村の表情を一変させる内容だった。山田に「お前に隠していた事がある」と神妙な表情で話し始める。ちょうどその頃、裏庭を歩くうららを呼び止める1人の女子生徒がいた…。")</f>
        <v>裏サイトに掲載された下着泥棒の写真。あたかも山田竜(山本裕典)が下着泥棒であるかのようにデフォルメされた画像は、山田が海でゴミ拾いをしている姿を宮村虎之介(井出卓也)が撮影したものだった。伊藤雅(トリンドル玲奈)は宮村が裏切り者の“二重スパイ"に違いないと白石うらら(西内まりや)と山田に告げる。  　雅の話を信じたくない山田は意気消沈していた。見兼ねたうららは山田にキスをして入れ替わり、宮村に話を聞きに行く。ところが、あることが原因であっけなく“入れ替わり"を見破られてしまったうららは、やはりこういうことは男同士で話した方が良いと山田に話す。  　超常現象研究部の部室に宮村を訪ねた山田は、“7人目の魔女をみつけること"が生徒会長になる条件で、会長候補に猪瀬潤(永江祐貴)も加わったと聞く。猪瀬が会長になってしまうと未来透視で見た、寂しそうな顔で猪瀬の秘書を務めているうららの姿が現実となってしまう。山田は、是が非でも宮村に会長になってもらいたいところだが、魔女伝説ノート上巻の肝心なところが破れていて7人目の魔女の手掛かりが掴めない。おまけに自分の不注意でジュースまでこぼしてしまっていた。ところが…。  　怪我の功名で得た情報は宮村の表情を一変させる内容だった。山田に「お前に隠していた事がある」と神妙な表情で話し始める。ちょうどその頃、裏庭を歩くうららを呼び止める1人の女子生徒がいた…。</v>
      </c>
      <c r="O1002" s="2"/>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row>
    <row r="1003" ht="204.75" customHeight="1">
      <c r="A1003" s="1">
        <v>3278.0</v>
      </c>
      <c r="B1003" s="2" t="s">
        <v>3200</v>
      </c>
      <c r="C1003" s="2">
        <f>IFERROR(__xludf.DUMMYFUNCTION("split(B1003,""_"")"),1307.0)</f>
        <v>1307</v>
      </c>
      <c r="D1003" s="2" t="str">
        <f>IFERROR(__xludf.DUMMYFUNCTION("""COMPUTED_VALUE"""),"CX")</f>
        <v>CX</v>
      </c>
      <c r="E1003" s="2" t="str">
        <f>IFERROR(__xludf.DUMMYFUNCTION("""COMPUTED_VALUE"""),"土23")</f>
        <v>土23</v>
      </c>
      <c r="F1003" s="2" t="s">
        <v>3201</v>
      </c>
      <c r="G1003" s="2" t="s">
        <v>3223</v>
      </c>
      <c r="H1003" s="1">
        <v>8.0</v>
      </c>
      <c r="I1003" s="1" t="s">
        <v>29</v>
      </c>
      <c r="J1003" s="1" t="s">
        <v>1435</v>
      </c>
      <c r="K1003" s="2" t="s">
        <v>3224</v>
      </c>
      <c r="L1003" s="2" t="s">
        <v>3225</v>
      </c>
      <c r="M1003" s="2" t="str">
        <f>IFERROR(__xludf.DUMMYFUNCTION("split(split(K1003,""白石うらら:　"",false),""majo　"",false)"),"土ドラアプリもコンテンツが盛り沢山!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f>
        <v>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v>
      </c>
      <c r="N1003" s="2" t="str">
        <f>IFERROR(__xludf.DUMMYFUNCTION("""COMPUTED_VALUE"""),"何者かによって超常現象研究部の部室に届けられた魔女伝説ノートの下巻。これによって“魔女伝説""の全てが明らかになった。ただひとつ“魔女殺し""が誰なのかということを除いては・・・。  　7つの能力が集まると、絶大な力により、全ての願いが叶えられるという。その“絶大な力を呼ぶ儀式""を行い、魔女の能力をなくして欲しいと願うことで「魔女伝説自体、もう封印しましょう」という白石うらら(西内まりや)。山田竜(山本裕典)はうららを連れて魔女たちに儀式への参加を呼び掛けに行くが・・・。  　一方、宮村虎之介(井出卓也"&amp;")は7人目の魔女を見つけたことを生徒会長の山崎春馬(徳山秀典)に報告し、正式に生徒会長に任命されることとなった。「生徒会長としての最初の仕事は、魔女伝説の封印です」と所信表明する宮村に対し山崎は・・・。　満月の夜。魔女伝説ノートの下巻に記された“絶大な力を呼ぶ儀式""まであと2時間と迫るなか、伊藤雅(トリンドル玲奈)の仕切りでリハーサルが行われていた。しかし、未だ現れない数人の魔女。果たして儀式は無事に行われるのか、そして魔女伝説は封印されるのか・・・?")</f>
        <v>何者かによって超常現象研究部の部室に届けられた魔女伝説ノートの下巻。これによって“魔女伝説"の全てが明らかになった。ただひとつ“魔女殺し"が誰なのかということを除いては・・・。  　7つの能力が集まると、絶大な力により、全ての願いが叶えられるという。その“絶大な力を呼ぶ儀式"を行い、魔女の能力をなくして欲しいと願うことで「魔女伝説自体、もう封印しましょう」という白石うらら(西内まりや)。山田竜(山本裕典)はうららを連れて魔女たちに儀式への参加を呼び掛けに行くが・・・。  　一方、宮村虎之介(井出卓也)は7人目の魔女を見つけたことを生徒会長の山崎春馬(徳山秀典)に報告し、正式に生徒会長に任命されることとなった。「生徒会長としての最初の仕事は、魔女伝説の封印です」と所信表明する宮村に対し山崎は・・・。　満月の夜。魔女伝説ノートの下巻に記された“絶大な力を呼ぶ儀式"まであと2時間と迫るなか、伊藤雅(トリンドル玲奈)の仕切りでリハーサルが行われていた。しかし、未だ現れない数人の魔女。果たして儀式は無事に行われるのか、そして魔女伝説は封印されるのか・・・?</v>
      </c>
      <c r="O1003" s="2"/>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row>
    <row r="1004" ht="204.75" customHeight="1">
      <c r="A1004" s="1">
        <v>3300.0</v>
      </c>
      <c r="B1004" s="2" t="s">
        <v>3226</v>
      </c>
      <c r="C1004" s="2">
        <f>IFERROR(__xludf.DUMMYFUNCTION("split(B1004,""_"")"),1304.0)</f>
        <v>1304</v>
      </c>
      <c r="D1004" s="2" t="str">
        <f>IFERROR(__xludf.DUMMYFUNCTION("""COMPUTED_VALUE"""),"CX")</f>
        <v>CX</v>
      </c>
      <c r="E1004" s="2" t="str">
        <f>IFERROR(__xludf.DUMMYFUNCTION("""COMPUTED_VALUE"""),"月21")</f>
        <v>月21</v>
      </c>
      <c r="F1004" s="2" t="s">
        <v>3227</v>
      </c>
      <c r="G1004" s="2" t="s">
        <v>3228</v>
      </c>
      <c r="H1004" s="1">
        <v>1.0</v>
      </c>
      <c r="I1004" s="1" t="s">
        <v>3</v>
      </c>
      <c r="J1004" s="1" t="s">
        <v>4</v>
      </c>
      <c r="K1004" s="4" t="s">
        <v>3229</v>
      </c>
      <c r="L1004" s="2" t="s">
        <v>3230</v>
      </c>
      <c r="M1004" s="2" t="str">
        <f>IFERROR(__xludf.DUMMYFUNCTION("split(split(K1004,""福山雅治　"",false),""公式LINE"",false)"),"湯川学(福山雅治)は、帝都大学理工学部物理学科の准教授。容姿端麗、頭脳明晰(めいせき)、スポーツ万能な湯川は、女子学生からは圧倒的な人気を得ているが、学問以外のことにほとんど興味を示さないため、“変人ガリレオ""とも呼ばれていた。  　そんな湯川のもとを訪れた貝塚北署の刑事・内海薫(柴咲コウ)は、帝都大の出身で、昨年入庁したばかりの新人刑事・岸谷美砂(吉高由里子)を紹介する。湯川とは大学の同期でもある警視庁の刑事・草薙俊平(北村一輝)の指示だった。  　続けて薫は、蒲田の雑居ビルで起きたある事件のことを話"&amp;"し始めた。それは、5年ほど前にできた新興宗教団体『クアイの会』の信者が、教団の支部になっていた雑居ビルの5階から転落死した事件だったが、転落死の原因は、クアイの会の教祖・連崎至光(大沢たかお)がその信者に念を送ったせいだというのだ。薫は、事件当夜、取材に訪れていた雑誌社のカメラマンが撮影した転落までの連写写真を湯川に見せながら、連崎が信者に指一本触れていないこと、亡くなった信者の眼球が白濁していたことを告げる。連崎がこれまでも送念と呼ばれる行為を行っていたと知った湯川は、再現性の高い現象は必ず科学的に実証"&amp;"できる、と強い興味を示す。  　プライドが高く自信家の美砂は、事件の背景などには一切興味を示さない湯川に戸惑いながらも、彼とともにクアイの会の本拠地に訪れるが・・・。")</f>
        <v>湯川学(福山雅治)は、帝都大学理工学部物理学科の准教授。容姿端麗、頭脳明晰(めいせき)、スポーツ万能な湯川は、女子学生からは圧倒的な人気を得ているが、学問以外のことにほとんど興味を示さないため、“変人ガリレオ"とも呼ばれていた。  　そんな湯川のもとを訪れた貝塚北署の刑事・内海薫(柴咲コウ)は、帝都大の出身で、昨年入庁したばかりの新人刑事・岸谷美砂(吉高由里子)を紹介する。湯川とは大学の同期でもある警視庁の刑事・草薙俊平(北村一輝)の指示だった。  　続けて薫は、蒲田の雑居ビルで起きたある事件のことを話し始めた。それは、5年ほど前にできた新興宗教団体『クアイの会』の信者が、教団の支部になっていた雑居ビルの5階から転落死した事件だったが、転落死の原因は、クアイの会の教祖・連崎至光(大沢たかお)がその信者に念を送ったせいだというのだ。薫は、事件当夜、取材に訪れていた雑誌社のカメラマンが撮影した転落までの連写写真を湯川に見せながら、連崎が信者に指一本触れていないこと、亡くなった信者の眼球が白濁していたことを告げる。連崎がこれまでも送念と呼ばれる行為を行っていたと知った湯川は、再現性の高い現象は必ず科学的に実証できる、と強い興味を示す。  　プライドが高く自信家の美砂は、事件の背景などには一切興味を示さない湯川に戸惑いながらも、彼とともにクアイの会の本拠地に訪れるが・・・。</v>
      </c>
      <c r="N1004" s="2"/>
      <c r="O1004" s="2"/>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row>
    <row r="1005" ht="204.75" customHeight="1">
      <c r="A1005" s="1">
        <v>3301.0</v>
      </c>
      <c r="B1005" s="2" t="s">
        <v>3226</v>
      </c>
      <c r="C1005" s="2">
        <f>IFERROR(__xludf.DUMMYFUNCTION("split(B1005,""_"")"),1304.0)</f>
        <v>1304</v>
      </c>
      <c r="D1005" s="2" t="str">
        <f>IFERROR(__xludf.DUMMYFUNCTION("""COMPUTED_VALUE"""),"CX")</f>
        <v>CX</v>
      </c>
      <c r="E1005" s="2" t="str">
        <f>IFERROR(__xludf.DUMMYFUNCTION("""COMPUTED_VALUE"""),"月21")</f>
        <v>月21</v>
      </c>
      <c r="F1005" s="2" t="s">
        <v>3227</v>
      </c>
      <c r="G1005" s="2" t="s">
        <v>3231</v>
      </c>
      <c r="H1005" s="1">
        <v>2.0</v>
      </c>
      <c r="I1005" s="1" t="s">
        <v>7</v>
      </c>
      <c r="J1005" s="1" t="s">
        <v>11</v>
      </c>
      <c r="K1005" s="2" t="s">
        <v>3232</v>
      </c>
      <c r="L1005" s="2" t="s">
        <v>3233</v>
      </c>
      <c r="M1005" s="2" t="str">
        <f>IFERROR(__xludf.DUMMYFUNCTION("split(split(K1005,""福山雅治　"",false),""公式LINE"",false)"),"湯川学(福山雅治)は、どんなことでも祖母からもらった水晶の振り子に相談して決めているという女子高生・真瀬加奈子(川口春奈)に出会う。そのきっかけは、ひとり暮らしの老婦人が自宅で殺害された事件だった。被害者宅からは隠し財産の金の延べ棒がなくなっているため、強盗殺人事件と思われた。そして、遺体発見当日、被害者宅から数百メートル離れた場所で、彼女の飼い犬の死骸が発見されていた。その死骸を水晶の振り子の力で見つけたのが加奈子だった。  　岸谷美砂(吉高由里子)からこの事件について相談を受けた湯川は、加奈子の行為は"&amp;"ダウジングだと推察する。が、ダウジングはその有効性が認められた事例がいくつもあるにもかかわらず、科学者による立証実験では効果が認められないという代物でもあった。つまり、立証も反証もできないのだ。振り子のダウジングに興味を抱いた湯川は、加奈子が犬の死骸を見つけたときと同じ道をたどり、その正体に迫ろうとするが…。")</f>
        <v>湯川学(福山雅治)は、どんなことでも祖母からもらった水晶の振り子に相談して決めているという女子高生・真瀬加奈子(川口春奈)に出会う。そのきっかけは、ひとり暮らしの老婦人が自宅で殺害された事件だった。被害者宅からは隠し財産の金の延べ棒がなくなっているため、強盗殺人事件と思われた。そして、遺体発見当日、被害者宅から数百メートル離れた場所で、彼女の飼い犬の死骸が発見されていた。その死骸を水晶の振り子の力で見つけたのが加奈子だった。  　岸谷美砂(吉高由里子)からこの事件について相談を受けた湯川は、加奈子の行為はダウジングだと推察する。が、ダウジングはその有効性が認められた事例がいくつもあるにもかかわらず、科学者による立証実験では効果が認められないという代物でもあった。つまり、立証も反証もできないのだ。振り子のダウジングに興味を抱いた湯川は、加奈子が犬の死骸を見つけたときと同じ道をたどり、その正体に迫ろうとするが…。</v>
      </c>
      <c r="N1005" s="2"/>
      <c r="O1005" s="2"/>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row>
    <row r="1006" ht="204.75" customHeight="1">
      <c r="A1006" s="1">
        <v>3302.0</v>
      </c>
      <c r="B1006" s="2" t="s">
        <v>3226</v>
      </c>
      <c r="C1006" s="2">
        <f>IFERROR(__xludf.DUMMYFUNCTION("split(B1006,""_"")"),1304.0)</f>
        <v>1304</v>
      </c>
      <c r="D1006" s="2" t="str">
        <f>IFERROR(__xludf.DUMMYFUNCTION("""COMPUTED_VALUE"""),"CX")</f>
        <v>CX</v>
      </c>
      <c r="E1006" s="2" t="str">
        <f>IFERROR(__xludf.DUMMYFUNCTION("""COMPUTED_VALUE"""),"月21")</f>
        <v>月21</v>
      </c>
      <c r="F1006" s="2" t="s">
        <v>3227</v>
      </c>
      <c r="G1006" s="2" t="s">
        <v>3234</v>
      </c>
      <c r="H1006" s="1">
        <v>3.0</v>
      </c>
      <c r="I1006" s="1" t="s">
        <v>10</v>
      </c>
      <c r="J1006" s="1" t="s">
        <v>11</v>
      </c>
      <c r="K1006" s="2" t="s">
        <v>3235</v>
      </c>
      <c r="L1006" s="2" t="s">
        <v>3236</v>
      </c>
      <c r="M1006" s="2" t="str">
        <f>IFERROR(__xludf.DUMMYFUNCTION("split(split(K1006,""福山雅治　"",false),""公式LINE"",false)"),"湯川学(福山雅治)は、人間を自殺に追い込む“呪いの声""の謎に挑む。事件が起きたのは、貝塚北署刑事・岸谷美砂(吉高由里子)の大学時代の先輩である白井冴子(陽月華)の告別式会場だった。そこで、冴子が勤めていた会社ペンマックスの社長・早見達郎(近江谷太朗)が、突然両耳を押さえて叫び出し、会場から飛び出したのだ。早見は、その翌日に東京湾で遺体となって発見され、目撃者の証言から自殺の可能性が高いと推測された。実は早見は冴子と不倫関係にあり、冴子が自殺したのは早見に捨てられたからだというウワサもあった。  　早見の"&amp;"死に不審を抱いた美砂は、ペンマックス社を訪れる。するとそこで、同社社員の加山幸宏(宮本大誠)が突然暴れ出し、美砂に襲いかかる。美砂は、加山を取り押さえたものの、カッターナイフで臀部(でんぶ)を刺されていた。  　取り調べを受けた加山は、早見が自殺した翌日から「次はお前の番だ」という冴子の声が聞こえ始めたと証言した。それは日に日に激しくなり、耳栓をしてもダメだったという。  　美砂から聞いた加山の話に興味を抱いた湯川は、ペンマックス社を訪れ、社員たちから話を聴く。すると、社員のひとり、脇坂睦美(大島優子)が"&amp;"、加山の事件後、不快な耳鳴りがするようになったと訴える。湯川は、睦美の耳鳴りも一連の事件と関係がある可能性を考慮しつつ、他の人間には聞こえない“声""の謎を解明しようと試みる。")</f>
        <v>湯川学(福山雅治)は、人間を自殺に追い込む“呪いの声"の謎に挑む。事件が起きたのは、貝塚北署刑事・岸谷美砂(吉高由里子)の大学時代の先輩である白井冴子(陽月華)の告別式会場だった。そこで、冴子が勤めていた会社ペンマックスの社長・早見達郎(近江谷太朗)が、突然両耳を押さえて叫び出し、会場から飛び出したのだ。早見は、その翌日に東京湾で遺体となって発見され、目撃者の証言から自殺の可能性が高いと推測された。実は早見は冴子と不倫関係にあり、冴子が自殺したのは早見に捨てられたからだというウワサもあった。  　早見の死に不審を抱いた美砂は、ペンマックス社を訪れる。するとそこで、同社社員の加山幸宏(宮本大誠)が突然暴れ出し、美砂に襲いかかる。美砂は、加山を取り押さえたものの、カッターナイフで臀部(でんぶ)を刺されていた。  　取り調べを受けた加山は、早見が自殺した翌日から「次はお前の番だ」という冴子の声が聞こえ始めたと証言した。それは日に日に激しくなり、耳栓をしてもダメだったという。  　美砂から聞いた加山の話に興味を抱いた湯川は、ペンマックス社を訪れ、社員たちから話を聴く。すると、社員のひとり、脇坂睦美(大島優子)が、加山の事件後、不快な耳鳴りがするようになったと訴える。湯川は、睦美の耳鳴りも一連の事件と関係がある可能性を考慮しつつ、他の人間には聞こえない“声"の謎を解明しようと試みる。</v>
      </c>
      <c r="N1006" s="2"/>
      <c r="O1006" s="2"/>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row>
    <row r="1007" ht="204.75" customHeight="1">
      <c r="A1007" s="1">
        <v>3303.0</v>
      </c>
      <c r="B1007" s="2" t="s">
        <v>3226</v>
      </c>
      <c r="C1007" s="2">
        <f>IFERROR(__xludf.DUMMYFUNCTION("split(B1007,""_"")"),1304.0)</f>
        <v>1304</v>
      </c>
      <c r="D1007" s="2" t="str">
        <f>IFERROR(__xludf.DUMMYFUNCTION("""COMPUTED_VALUE"""),"CX")</f>
        <v>CX</v>
      </c>
      <c r="E1007" s="2" t="str">
        <f>IFERROR(__xludf.DUMMYFUNCTION("""COMPUTED_VALUE"""),"月21")</f>
        <v>月21</v>
      </c>
      <c r="F1007" s="2" t="s">
        <v>3227</v>
      </c>
      <c r="G1007" s="2" t="s">
        <v>3237</v>
      </c>
      <c r="H1007" s="1">
        <v>4.0</v>
      </c>
      <c r="I1007" s="1" t="s">
        <v>14</v>
      </c>
      <c r="J1007" s="1" t="s">
        <v>11</v>
      </c>
      <c r="K1007" s="2" t="s">
        <v>3238</v>
      </c>
      <c r="L1007" s="2" t="s">
        <v>3239</v>
      </c>
      <c r="M1007" s="2" t="str">
        <f>IFERROR(__xludf.DUMMYFUNCTION("split(split(K1007,""福山雅治　"",false),""公式LINE"",false)"),"湯川学(福山雅治)のもとへ、プロ野球選手の柳沢忠正(田辺誠一)と練習パートナーの宗田祐輔がやってきた。柳沢はアースリーズのエースとして活躍していたが、昨年末に戦力外通告を受け、所属球団が決まらないまま浪人生活を送っていた。ふたりが湯川のもとを訪れたのは、バドミントンのシャトルの動きを物理学的に検証した湯川の論文を読んだ宗田が、柳沢を復活させるためのヒントを求めて、協力を要請したからだった。同じころ、柳沢の妻・妙子(中田有紀)の実家で火災があり、ソファで眠っていた妙子が一酸化炭素中毒死するという事件が起きて"&amp;"いた。出火元が物置にしまってあったストーブだったことから事件性も考えられたが、放火だとすれば犯人が何故ストーブを点火したのかなど、不明な点も多かった。貝塚北署の刑事・岸谷美砂(吉高由里子)は、柳沢を呼んで事情を聞いた。柳沢は、妙子が3週間ほど前に自宅マンションを出て行ったこと、そして浮気をしていたのではないかと証言する。美砂は、柳沢にも妻を恨む理由がある、と疑いの目を向けた。が、火事があったとき、柳沢が湯川と一緒にいたと聞いて驚く。物理学によって柳沢をカムバックさせることに情熱を傾ける湯川は、妻の死による"&amp;"心理的な影響がその妨げになっていると考え、自ら美砂に捜査協力を申し出る。")</f>
        <v>湯川学(福山雅治)のもとへ、プロ野球選手の柳沢忠正(田辺誠一)と練習パートナーの宗田祐輔がやってきた。柳沢はアースリーズのエースとして活躍していたが、昨年末に戦力外通告を受け、所属球団が決まらないまま浪人生活を送っていた。ふたりが湯川のもとを訪れたのは、バドミントンのシャトルの動きを物理学的に検証した湯川の論文を読んだ宗田が、柳沢を復活させるためのヒントを求めて、協力を要請したからだった。同じころ、柳沢の妻・妙子(中田有紀)の実家で火災があり、ソファで眠っていた妙子が一酸化炭素中毒死するという事件が起きていた。出火元が物置にしまってあったストーブだったことから事件性も考えられたが、放火だとすれば犯人が何故ストーブを点火したのかなど、不明な点も多かった。貝塚北署の刑事・岸谷美砂(吉高由里子)は、柳沢を呼んで事情を聞いた。柳沢は、妙子が3週間ほど前に自宅マンションを出て行ったこと、そして浮気をしていたのではないかと証言する。美砂は、柳沢にも妻を恨む理由がある、と疑いの目を向けた。が、火事があったとき、柳沢が湯川と一緒にいたと聞いて驚く。物理学によって柳沢をカムバックさせることに情熱を傾ける湯川は、妻の死による心理的な影響がその妨げになっていると考え、自ら美砂に捜査協力を申し出る。</v>
      </c>
      <c r="N1007" s="2"/>
      <c r="O1007" s="2"/>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row>
    <row r="1008" ht="204.75" customHeight="1">
      <c r="A1008" s="1">
        <v>3304.0</v>
      </c>
      <c r="B1008" s="2" t="s">
        <v>3226</v>
      </c>
      <c r="C1008" s="2">
        <f>IFERROR(__xludf.DUMMYFUNCTION("split(B1008,""_"")"),1304.0)</f>
        <v>1304</v>
      </c>
      <c r="D1008" s="2" t="str">
        <f>IFERROR(__xludf.DUMMYFUNCTION("""COMPUTED_VALUE"""),"CX")</f>
        <v>CX</v>
      </c>
      <c r="E1008" s="2" t="str">
        <f>IFERROR(__xludf.DUMMYFUNCTION("""COMPUTED_VALUE"""),"月21")</f>
        <v>月21</v>
      </c>
      <c r="F1008" s="2" t="s">
        <v>3227</v>
      </c>
      <c r="G1008" s="2" t="s">
        <v>3240</v>
      </c>
      <c r="H1008" s="1">
        <v>5.0</v>
      </c>
      <c r="I1008" s="1" t="s">
        <v>17</v>
      </c>
      <c r="J1008" s="1" t="s">
        <v>11</v>
      </c>
      <c r="K1008" s="2" t="s">
        <v>3241</v>
      </c>
      <c r="L1008" s="2" t="s">
        <v>3242</v>
      </c>
      <c r="M1008" s="2" t="str">
        <f>IFERROR(__xludf.DUMMYFUNCTION("split(split(K1008,""福山雅治　"",false),""公式LINE"",false)"),"帝都大学物理学科准教授・湯川学(福山雅治)のもとを訪れた貝塚北署の岸谷美砂(吉高由里子)は、ある殺人未遂事件の捜査協力を求める。  被害に遭ったのは、磯谷若菜(桐谷美玲)。自宅に侵入した何者かにハンマーで頭を殴られた彼女は、一命は取り留めたものの、生死の境をさまよっていた。倒れている若菜を発見したのは、ビジネスコンサルタントをしている若菜の夫・知宏(桐谷健太)と彼の部下の山下慎一(清水優)。事件は、知宏がセミナーで講演中に起きたものだった。が、不思議なのは、長野に住む若菜の双子の妹・春菜(桐谷美玲・2役)"&amp;"が、東京に住む姉の危険を察知し、「若菜を助けて!」と知宏に電話したという点だった。  　話を聞いていた湯川は、双子の間に説明のつかないコミュニケーション能力があるというのはよく聞くが・・・と美砂に告げる。実は美砂は、そんな湯川の反応を予測していたかのように、何組もの双子を連れてきていた。湯川たちの目の前でその不思議な能力について証言する双子たち。湯川は、彼らのケースも双子のシンクロニシティ=意味のある偶然の一致だと返し、何故そこまで双子にこだわるのか、と美砂に問いかけた。すると美砂は、双子の姉が東京で襲わ"&amp;"れた瞬間、長野に住む妹が犯人の顔を見たということを湯川に告げる。この現象に興味を抱いた湯川は・・・。")</f>
        <v>帝都大学物理学科准教授・湯川学(福山雅治)のもとを訪れた貝塚北署の岸谷美砂(吉高由里子)は、ある殺人未遂事件の捜査協力を求める。  被害に遭ったのは、磯谷若菜(桐谷美玲)。自宅に侵入した何者かにハンマーで頭を殴られた彼女は、一命は取り留めたものの、生死の境をさまよっていた。倒れている若菜を発見したのは、ビジネスコンサルタントをしている若菜の夫・知宏(桐谷健太)と彼の部下の山下慎一(清水優)。事件は、知宏がセミナーで講演中に起きたものだった。が、不思議なのは、長野に住む若菜の双子の妹・春菜(桐谷美玲・2役)が、東京に住む姉の危険を察知し、「若菜を助けて!」と知宏に電話したという点だった。  　話を聞いていた湯川は、双子の間に説明のつかないコミュニケーション能力があるというのはよく聞くが・・・と美砂に告げる。実は美砂は、そんな湯川の反応を予測していたかのように、何組もの双子を連れてきていた。湯川たちの目の前でその不思議な能力について証言する双子たち。湯川は、彼らのケースも双子のシンクロニシティ=意味のある偶然の一致だと返し、何故そこまで双子にこだわるのか、と美砂に問いかけた。すると美砂は、双子の姉が東京で襲われた瞬間、長野に住む妹が犯人の顔を見たということを湯川に告げる。この現象に興味を抱いた湯川は・・・。</v>
      </c>
      <c r="N1008" s="2"/>
      <c r="O1008" s="2"/>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row>
    <row r="1009" ht="204.75" customHeight="1">
      <c r="A1009" s="1">
        <v>3305.0</v>
      </c>
      <c r="B1009" s="2" t="s">
        <v>3226</v>
      </c>
      <c r="C1009" s="2">
        <f>IFERROR(__xludf.DUMMYFUNCTION("split(B1009,""_"")"),1304.0)</f>
        <v>1304</v>
      </c>
      <c r="D1009" s="2" t="str">
        <f>IFERROR(__xludf.DUMMYFUNCTION("""COMPUTED_VALUE"""),"CX")</f>
        <v>CX</v>
      </c>
      <c r="E1009" s="2" t="str">
        <f>IFERROR(__xludf.DUMMYFUNCTION("""COMPUTED_VALUE"""),"月21")</f>
        <v>月21</v>
      </c>
      <c r="F1009" s="2" t="s">
        <v>3227</v>
      </c>
      <c r="G1009" s="2" t="s">
        <v>3243</v>
      </c>
      <c r="H1009" s="1">
        <v>6.0</v>
      </c>
      <c r="I1009" s="1" t="s">
        <v>21</v>
      </c>
      <c r="J1009" s="1" t="s">
        <v>11</v>
      </c>
      <c r="K1009" s="2" t="s">
        <v>3244</v>
      </c>
      <c r="L1009" s="2" t="s">
        <v>3245</v>
      </c>
      <c r="M1009" s="2" t="str">
        <f>IFERROR(__xludf.DUMMYFUNCTION("split(split(K1009,""福山雅治　"",false),""公式LINE"",false)"),"帝都大学物理学科准教授・湯川学(福山雅治)のもとを訪れた貝塚北署の岸谷美砂(吉高由里子)は、山歩きのイベントで起きた殺人事件への捜査協力を依頼する。  　事件当日、美砂は、某有名企業の主任研究者・野木祐子(夏川結衣)が主催する山歩きのイベントに参加していた。死亡したのは、イベント参加者のひとりで、祐子の同僚でもある篠田真希(遊井亮子)。美砂に続いて宿泊先のペンションに到着した真希は、美砂やペンションのオーナー・藤村伸一(おかやまはじめ)に挨拶をすると、疲れているからと言ってすぐに部屋にこもり、夕食の時間に"&amp;"なっても姿を現さなかった。心配した祐子は、美砂とともに、ベランダ側に回って真希に声をかけた。だが、窓は施錠されており、返事もなかった。ところがその1時間ほど後、藤村は、真希がベランダから出ていったらしいことに気付く。渓流で真希の死体が発見されたのは、翌朝のことだった。地元警察は、現場の状況から自殺だと判断していた。  　だが美砂は、祐子に疑いの目を向けていた。食事の後、最初に風呂に入ったのは祐子で、その間の20分間、彼女は美砂たちの前から姿を消していたのだ。実は美砂が祐子を疑ったのは、もうひとつ、科学的な"&amp;"ある理由があったからだった。祐子の写真を見て「美人だ」と反応した湯川は、美砂の言う「科学的な理由」に興味を抱き、事件があったペンションを訪れるが…。")</f>
        <v>帝都大学物理学科准教授・湯川学(福山雅治)のもとを訪れた貝塚北署の岸谷美砂(吉高由里子)は、山歩きのイベントで起きた殺人事件への捜査協力を依頼する。  　事件当日、美砂は、某有名企業の主任研究者・野木祐子(夏川結衣)が主催する山歩きのイベントに参加していた。死亡したのは、イベント参加者のひとりで、祐子の同僚でもある篠田真希(遊井亮子)。美砂に続いて宿泊先のペンションに到着した真希は、美砂やペンションのオーナー・藤村伸一(おかやまはじめ)に挨拶をすると、疲れているからと言ってすぐに部屋にこもり、夕食の時間になっても姿を現さなかった。心配した祐子は、美砂とともに、ベランダ側に回って真希に声をかけた。だが、窓は施錠されており、返事もなかった。ところがその1時間ほど後、藤村は、真希がベランダから出ていったらしいことに気付く。渓流で真希の死体が発見されたのは、翌朝のことだった。地元警察は、現場の状況から自殺だと判断していた。  　だが美砂は、祐子に疑いの目を向けていた。食事の後、最初に風呂に入ったのは祐子で、その間の20分間、彼女は美砂たちの前から姿を消していたのだ。実は美砂が祐子を疑ったのは、もうひとつ、科学的なある理由があったからだった。祐子の写真を見て「美人だ」と反応した湯川は、美砂の言う「科学的な理由」に興味を抱き、事件があったペンションを訪れるが…。</v>
      </c>
      <c r="N1009" s="2"/>
      <c r="O1009" s="2"/>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row>
    <row r="1010" ht="204.75" customHeight="1">
      <c r="A1010" s="1">
        <v>3306.0</v>
      </c>
      <c r="B1010" s="2" t="s">
        <v>3226</v>
      </c>
      <c r="C1010" s="2">
        <f>IFERROR(__xludf.DUMMYFUNCTION("split(B1010,""_"")"),1304.0)</f>
        <v>1304</v>
      </c>
      <c r="D1010" s="2" t="str">
        <f>IFERROR(__xludf.DUMMYFUNCTION("""COMPUTED_VALUE"""),"CX")</f>
        <v>CX</v>
      </c>
      <c r="E1010" s="2" t="str">
        <f>IFERROR(__xludf.DUMMYFUNCTION("""COMPUTED_VALUE"""),"月21")</f>
        <v>月21</v>
      </c>
      <c r="F1010" s="2" t="s">
        <v>3227</v>
      </c>
      <c r="G1010" s="2" t="s">
        <v>3246</v>
      </c>
      <c r="H1010" s="1">
        <v>7.0</v>
      </c>
      <c r="I1010" s="1" t="s">
        <v>25</v>
      </c>
      <c r="J1010" s="1" t="s">
        <v>4</v>
      </c>
      <c r="K1010" s="2" t="s">
        <v>3247</v>
      </c>
      <c r="L1010" s="2" t="s">
        <v>3248</v>
      </c>
      <c r="M1010" s="2" t="str">
        <f>IFERROR(__xludf.DUMMYFUNCTION("split(split(K1010,""福山雅治　"",false),""公式LINE"",false)"),"湯川学(福山雅治)は、助手の栗林宏美(渡辺いっけい)、湯川ゼミの学生・遠野みさき(逢沢りな)とともに学会に出席する。その帰り道、湯川たちは、みさきに誘われて、彼女の地元にある神社に奉られているという烏天狗のミイラを見に行くことになった。  　だが、一行がその神社ーー御座位神社に到着すると、みさきの幼なじみだという警察官・合田武彦(渡部豪太)が現れ、捜査協力に対する感謝の言葉を湯川に伝える。実は、御座位神社の神主が、3週間ほど前に烏天狗のミイラが納められている祠をコンクリートで固めてしまったという。烏天狗が"&amp;"ミイラを取り返しにくる、という理由からだった。しかし、その神主は2週間前に白骨死体で見つかっていた。地元警察は、神主には心臓の持病があり、度々発作に襲われていたことから事件性はないと判断していた。だが、もし祠にミイラがなければ、神主は烏天狗に殺されたかもしれない、と合田は言うのだ。この話に興味を抱いた湯川は、みさきが予め用意していた機材を使って、祠の中を調べることにする。するとそこに、小島結衣(香椎由宇)という女性がやってくる。結衣も、みさきたちの幼なじみで、死んだ神主と最後に話をした相手でもあった。  "&amp;"　そんな折、思わぬ事件が起きる。結衣の両親、太一(中丸新将)と啓子(宮田早苗)が自宅で殺害されたのだ。そして、殺害現場の壁には『烏天狗』という文字が書かれており…。")</f>
        <v>湯川学(福山雅治)は、助手の栗林宏美(渡辺いっけい)、湯川ゼミの学生・遠野みさき(逢沢りな)とともに学会に出席する。その帰り道、湯川たちは、みさきに誘われて、彼女の地元にある神社に奉られているという烏天狗のミイラを見に行くことになった。  　だが、一行がその神社ーー御座位神社に到着すると、みさきの幼なじみだという警察官・合田武彦(渡部豪太)が現れ、捜査協力に対する感謝の言葉を湯川に伝える。実は、御座位神社の神主が、3週間ほど前に烏天狗のミイラが納められている祠をコンクリートで固めてしまったという。烏天狗がミイラを取り返しにくる、という理由からだった。しかし、その神主は2週間前に白骨死体で見つかっていた。地元警察は、神主には心臓の持病があり、度々発作に襲われていたことから事件性はないと判断していた。だが、もし祠にミイラがなければ、神主は烏天狗に殺されたかもしれない、と合田は言うのだ。この話に興味を抱いた湯川は、みさきが予め用意していた機材を使って、祠の中を調べることにする。するとそこに、小島結衣(香椎由宇)という女性がやってくる。結衣も、みさきたちの幼なじみで、死んだ神主と最後に話をした相手でもあった。  　そんな折、思わぬ事件が起きる。結衣の両親、太一(中丸新将)と啓子(宮田早苗)が自宅で殺害されたのだ。そして、殺害現場の壁には『烏天狗』という文字が書かれており…。</v>
      </c>
      <c r="N1010" s="2"/>
      <c r="O1010" s="2"/>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row>
    <row r="1011" ht="204.75" customHeight="1">
      <c r="A1011" s="1">
        <v>3307.0</v>
      </c>
      <c r="B1011" s="2" t="s">
        <v>3226</v>
      </c>
      <c r="C1011" s="2">
        <f>IFERROR(__xludf.DUMMYFUNCTION("split(B1011,""_"")"),1304.0)</f>
        <v>1304</v>
      </c>
      <c r="D1011" s="2" t="str">
        <f>IFERROR(__xludf.DUMMYFUNCTION("""COMPUTED_VALUE"""),"CX")</f>
        <v>CX</v>
      </c>
      <c r="E1011" s="2" t="str">
        <f>IFERROR(__xludf.DUMMYFUNCTION("""COMPUTED_VALUE"""),"月21")</f>
        <v>月21</v>
      </c>
      <c r="F1011" s="2" t="s">
        <v>3227</v>
      </c>
      <c r="G1011" s="2" t="s">
        <v>3249</v>
      </c>
      <c r="H1011" s="1">
        <v>8.0</v>
      </c>
      <c r="I1011" s="1" t="s">
        <v>29</v>
      </c>
      <c r="J1011" s="1" t="s">
        <v>4</v>
      </c>
      <c r="K1011" s="2" t="s">
        <v>3250</v>
      </c>
      <c r="L1011" s="2" t="s">
        <v>3251</v>
      </c>
      <c r="M1011" s="2" t="str">
        <f>IFERROR(__xludf.DUMMYFUNCTION("split(split(K1011,""福山雅治　"",false),""公式LINE"",false)"),"湯川学(福山雅治)を訪ねた岸谷美砂(吉高由里子)は、人気劇団の代表・駒田良介(丸山智己)が刺殺された事件について助言を求める。  　駒田の死体が自宅マンションで発見されたのは午後7時50分。殺されたのは、その約20分前だと思われた。なぜならその時間に、駒田は劇団の看板女優・神原敦子(蒼井優)と衣裳係の安部由美子(佐藤仁美)に電話していたのだ。ふたりは、カフェで一緒だった。そのとき駒田が何も話さなかったのは、助けを求めようとしたもののすでに瀕死状態だったためではないかと推察された。駒田からの電話に異変を感じ"&amp;"た敦子と由美子は、彼のマンションを訪れ、敦子が持っていた合鍵で中に入って遺体を発見したのだという。駒田の部屋はマンションの20階にあり、ドアも窓も施錠されていた。  　ほどなく美砂は、敦子が駒田と恋人関係だったことを知る。駒田の部屋は劇団の事務所でもあったから、と合鍵の件を説明していた敦子は、その件を指摘されると、半年ほど前から交際していたことを認めた。またその際、駒田が由美子にも電話したのは何故だと思うか、と問われた敦子は、彼女の名前があ行の最初に登録されていたからではないか、と返していた。  　事件か"&amp;"ら数日後、美砂が湯川の研究室で捜査に進展がないことを嘆いていると、湯川は敦子がある方法でアリバイを作れることを証明して見せようとするが…。")</f>
        <v>湯川学(福山雅治)を訪ねた岸谷美砂(吉高由里子)は、人気劇団の代表・駒田良介(丸山智己)が刺殺された事件について助言を求める。  　駒田の死体が自宅マンションで発見されたのは午後7時50分。殺されたのは、その約20分前だと思われた。なぜならその時間に、駒田は劇団の看板女優・神原敦子(蒼井優)と衣裳係の安部由美子(佐藤仁美)に電話していたのだ。ふたりは、カフェで一緒だった。そのとき駒田が何も話さなかったのは、助けを求めようとしたもののすでに瀕死状態だったためではないかと推察された。駒田からの電話に異変を感じた敦子と由美子は、彼のマンションを訪れ、敦子が持っていた合鍵で中に入って遺体を発見したのだという。駒田の部屋はマンションの20階にあり、ドアも窓も施錠されていた。  　ほどなく美砂は、敦子が駒田と恋人関係だったことを知る。駒田の部屋は劇団の事務所でもあったから、と合鍵の件を説明していた敦子は、その件を指摘されると、半年ほど前から交際していたことを認めた。またその際、駒田が由美子にも電話したのは何故だと思うか、と問われた敦子は、彼女の名前があ行の最初に登録されていたからではないか、と返していた。  　事件から数日後、美砂が湯川の研究室で捜査に進展がないことを嘆いていると、湯川は敦子がある方法でアリバイを作れることを証明して見せようとするが…。</v>
      </c>
      <c r="N1011" s="2"/>
      <c r="O1011" s="2"/>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row>
    <row r="1012" ht="204.75" customHeight="1">
      <c r="A1012" s="1">
        <v>3308.0</v>
      </c>
      <c r="B1012" s="2" t="s">
        <v>3226</v>
      </c>
      <c r="C1012" s="2">
        <f>IFERROR(__xludf.DUMMYFUNCTION("split(B1012,""_"")"),1304.0)</f>
        <v>1304</v>
      </c>
      <c r="D1012" s="2" t="str">
        <f>IFERROR(__xludf.DUMMYFUNCTION("""COMPUTED_VALUE"""),"CX")</f>
        <v>CX</v>
      </c>
      <c r="E1012" s="2" t="str">
        <f>IFERROR(__xludf.DUMMYFUNCTION("""COMPUTED_VALUE"""),"月21")</f>
        <v>月21</v>
      </c>
      <c r="F1012" s="2" t="s">
        <v>3227</v>
      </c>
      <c r="G1012" s="2" t="s">
        <v>3252</v>
      </c>
      <c r="H1012" s="1">
        <v>9.0</v>
      </c>
      <c r="I1012" s="1" t="s">
        <v>33</v>
      </c>
      <c r="J1012" s="1" t="s">
        <v>11</v>
      </c>
      <c r="K1012" s="2" t="s">
        <v>3253</v>
      </c>
      <c r="L1012" s="2" t="s">
        <v>3254</v>
      </c>
      <c r="M1012" s="2" t="str">
        <f>IFERROR(__xludf.DUMMYFUNCTION("split(split(K1012,""福山雅治　"",false),""公式LINE"",false)"),"帝都大学の湯川学(福山雅治)と、岸谷美砂(吉高由里子)を通じて彼に捜査協力を求めている貝塚北署に、『悪魔の手』を名乗る人物から犯行予告が届く。その人物は、『悪魔の手』を使って人を自在に葬ることができるとし、警察の手に負えなければT大学のY准教授に助けてもらえばいい、これはどちらが真の天才科学者かを決める勝負でもある、と挑発していた。  　ほどなく2通目の手紙が届く。犯人は上田重之(岡本正仁)を転落死させた、と記していた。美砂によれば、最初の手紙が届いた日、品川のビル建設現場で建築作業員の上田が転落死したと"&amp;"いう。そして、湯川に届いた手紙には、インターネットのアドレスが記載されていた。それはある映画のサイトで、書き込み欄には「感動のあまり落ちないようにしないと。品川の建設中のビルより愛を込めて」という投稿があった。書き込まれたのは事件の前日だった。  　湯川は、美砂とともに事件のあった建設現場を訪れる。だが、事故に見せかけて人を突き落す方法は存在するものの、犯人がどんな方法を使ったのかはわからなかった。  　一方、栗林宏美(渡辺いっけい)は、友人の物理学者で、いまはカルチャーセンターなどで講義をしている高藤英"&amp;"治(生瀬勝久)と一緒に酒を飲む。その時、湯川が『悪魔の手』の事件に関わっていることを話していた。  　そんな折、20代の男性会社員が電車に接触して死亡するという事件が起こり…。")</f>
        <v>帝都大学の湯川学(福山雅治)と、岸谷美砂(吉高由里子)を通じて彼に捜査協力を求めている貝塚北署に、『悪魔の手』を名乗る人物から犯行予告が届く。その人物は、『悪魔の手』を使って人を自在に葬ることができるとし、警察の手に負えなければT大学のY准教授に助けてもらえばいい、これはどちらが真の天才科学者かを決める勝負でもある、と挑発していた。  　ほどなく2通目の手紙が届く。犯人は上田重之(岡本正仁)を転落死させた、と記していた。美砂によれば、最初の手紙が届いた日、品川のビル建設現場で建築作業員の上田が転落死したという。そして、湯川に届いた手紙には、インターネットのアドレスが記載されていた。それはある映画のサイトで、書き込み欄には「感動のあまり落ちないようにしないと。品川の建設中のビルより愛を込めて」という投稿があった。書き込まれたのは事件の前日だった。  　湯川は、美砂とともに事件のあった建設現場を訪れる。だが、事故に見せかけて人を突き落す方法は存在するものの、犯人がどんな方法を使ったのかはわからなかった。  　一方、栗林宏美(渡辺いっけい)は、友人の物理学者で、いまはカルチャーセンターなどで講義をしている高藤英治(生瀬勝久)と一緒に酒を飲む。その時、湯川が『悪魔の手』の事件に関わっていることを話していた。  　そんな折、20代の男性会社員が電車に接触して死亡するという事件が起こり…。</v>
      </c>
      <c r="N1012" s="2"/>
      <c r="O1012" s="2"/>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row>
    <row r="1013" ht="204.75" customHeight="1">
      <c r="A1013" s="1">
        <v>3309.0</v>
      </c>
      <c r="B1013" s="2" t="s">
        <v>3226</v>
      </c>
      <c r="C1013" s="2">
        <f>IFERROR(__xludf.DUMMYFUNCTION("split(B1013,""_"")"),1304.0)</f>
        <v>1304</v>
      </c>
      <c r="D1013" s="2" t="str">
        <f>IFERROR(__xludf.DUMMYFUNCTION("""COMPUTED_VALUE"""),"CX")</f>
        <v>CX</v>
      </c>
      <c r="E1013" s="2" t="str">
        <f>IFERROR(__xludf.DUMMYFUNCTION("""COMPUTED_VALUE"""),"月21")</f>
        <v>月21</v>
      </c>
      <c r="F1013" s="2" t="s">
        <v>3227</v>
      </c>
      <c r="G1013" s="2" t="s">
        <v>3255</v>
      </c>
      <c r="H1013" s="1">
        <v>10.0</v>
      </c>
      <c r="I1013" s="1" t="s">
        <v>37</v>
      </c>
      <c r="J1013" s="1" t="s">
        <v>11</v>
      </c>
      <c r="K1013" s="2" t="s">
        <v>3256</v>
      </c>
      <c r="L1013" s="2" t="s">
        <v>3257</v>
      </c>
      <c r="M1013" s="2" t="str">
        <f>IFERROR(__xludf.DUMMYFUNCTION("split(split(K1013,""福山雅治　"",false),""公式LINE"",false)"),"帝都大学の湯川学(福山雅治)を訪ねた岸谷美砂(吉高由里子)は、会社社長が毒殺された事件について話し始めた。  　被害者はエムシステムズの社長・真柴義之(堀部圭亮)。事件当日、自宅で仕事をしていた義之は、朝10時のテレビ会議までは元気だったが、夕方4時の会議の際に連絡が取れなくなり、自宅のダイニングで倒れているところをかけつけたホームセキュリティー会社の社員に発見されていた。義之が飲んでいたコーヒーから猛毒の亜ヒ酸ナトリウムが検出されたことから、計画殺人の可能性が高かった。朝10時の会議の際に義之がコーヒー"&amp;"を飲んでいたこと、セキュリティー会社の在宅警備システムがセットされており、義之が外出していないことから、犯人は、義之が自分で入れていたコーヒーの1杯目と2杯目の間に家に侵入し、毒物を仕込んだというのだ。そして、午後2時過ぎに、ひとりの訪問者があったこともわかっていた。しかし、その日は昼過ぎから雨が降っており、女性と思われるその訪問者の顔は、傘で隠れてわからなかった。  　話を聞いていた湯川は、傘の女性を探せばいいだけだ、と美砂に告げた。すると美砂が、事件当日は北海道に里帰りしていた義之の妻が、湯川の中学時"&amp;"代のクラスメイト・綾音(天海祐希)であることを打ち明ける。  　義之の葬儀会場を訪れた湯川は、綾音と20数年ぶりの再会を果たす。そこで湯川は、警察の捜査に協力することを綾音に告げ…。")</f>
        <v>帝都大学の湯川学(福山雅治)を訪ねた岸谷美砂(吉高由里子)は、会社社長が毒殺された事件について話し始めた。  　被害者はエムシステムズの社長・真柴義之(堀部圭亮)。事件当日、自宅で仕事をしていた義之は、朝10時のテレビ会議までは元気だったが、夕方4時の会議の際に連絡が取れなくなり、自宅のダイニングで倒れているところをかけつけたホームセキュリティー会社の社員に発見されていた。義之が飲んでいたコーヒーから猛毒の亜ヒ酸ナトリウムが検出されたことから、計画殺人の可能性が高かった。朝10時の会議の際に義之がコーヒーを飲んでいたこと、セキュリティー会社の在宅警備システムがセットされており、義之が外出していないことから、犯人は、義之が自分で入れていたコーヒーの1杯目と2杯目の間に家に侵入し、毒物を仕込んだというのだ。そして、午後2時過ぎに、ひとりの訪問者があったこともわかっていた。しかし、その日は昼過ぎから雨が降っており、女性と思われるその訪問者の顔は、傘で隠れてわからなかった。  　話を聞いていた湯川は、傘の女性を探せばいいだけだ、と美砂に告げた。すると美砂が、事件当日は北海道に里帰りしていた義之の妻が、湯川の中学時代のクラスメイト・綾音(天海祐希)であることを打ち明ける。  　義之の葬儀会場を訪れた湯川は、綾音と20数年ぶりの再会を果たす。そこで湯川は、警察の捜査に協力することを綾音に告げ…。</v>
      </c>
      <c r="N1013" s="2"/>
      <c r="O1013" s="2"/>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row>
    <row r="1014" ht="204.75" customHeight="1">
      <c r="A1014" s="1">
        <v>3310.0</v>
      </c>
      <c r="B1014" s="2" t="s">
        <v>3226</v>
      </c>
      <c r="C1014" s="2">
        <f>IFERROR(__xludf.DUMMYFUNCTION("split(B1014,""_"")"),1304.0)</f>
        <v>1304</v>
      </c>
      <c r="D1014" s="2" t="str">
        <f>IFERROR(__xludf.DUMMYFUNCTION("""COMPUTED_VALUE"""),"CX")</f>
        <v>CX</v>
      </c>
      <c r="E1014" s="2" t="str">
        <f>IFERROR(__xludf.DUMMYFUNCTION("""COMPUTED_VALUE"""),"月21")</f>
        <v>月21</v>
      </c>
      <c r="F1014" s="2" t="s">
        <v>3227</v>
      </c>
      <c r="G1014" s="2" t="s">
        <v>3258</v>
      </c>
      <c r="H1014" s="1">
        <v>11.0</v>
      </c>
      <c r="I1014" s="1" t="s">
        <v>41</v>
      </c>
      <c r="J1014" s="1" t="s">
        <v>4</v>
      </c>
      <c r="K1014" s="2" t="s">
        <v>3259</v>
      </c>
      <c r="L1014" s="2" t="s">
        <v>3260</v>
      </c>
      <c r="M1014" s="2" t="str">
        <f>IFERROR(__xludf.DUMMYFUNCTION("split(split(K1014,""福山雅治　"",false),""公式LINE"",false)"),"湯川学(福山雅治)は、会社社長の真柴義之(堀部圭亮)毒殺事件を通じて、義之の妻で、中学時代の同級生でもある綾音(天海祐希)と再会する。綾音は妊娠をきっかけに義之と結婚した。が、何者かに自転車で衝突され流産していた。  　湯川は、綾音が営んでいる幼児教室で、子どもたちにある実験を見せた。それは、電気ポットを使って、次々とお湯の色を変えてみせるというものだった。その話を知った貝塚北署の岸谷美砂(吉高由里子)は、その実験が事件に関係あるものだと考え、湯川を訪ねる。そこで湯川は、犯人は義之が自宅にいる時間に侵入し"&amp;"てヤカンの水にヒ素を仕込んだのではなく、あらかじめ何らかの方法で仕込んだのではないか、と美砂に告げる。もしそうならば、事件当日北海道にいた綾音にも犯行は可能だ、と続ける湯川。美砂は、その可能性を否定し、勝手に綾音に接触しないよう、湯川に告げる。　そんな折、美砂は、事件当日義之の家を訪ねている紫色の傘の女性を見つけるが…。")</f>
        <v>湯川学(福山雅治)は、会社社長の真柴義之(堀部圭亮)毒殺事件を通じて、義之の妻で、中学時代の同級生でもある綾音(天海祐希)と再会する。綾音は妊娠をきっかけに義之と結婚した。が、何者かに自転車で衝突され流産していた。  　湯川は、綾音が営んでいる幼児教室で、子どもたちにある実験を見せた。それは、電気ポットを使って、次々とお湯の色を変えてみせるというものだった。その話を知った貝塚北署の岸谷美砂(吉高由里子)は、その実験が事件に関係あるものだと考え、湯川を訪ねる。そこで湯川は、犯人は義之が自宅にいる時間に侵入してヤカンの水にヒ素を仕込んだのではなく、あらかじめ何らかの方法で仕込んだのではないか、と美砂に告げる。もしそうならば、事件当日北海道にいた綾音にも犯行は可能だ、と続ける湯川。美砂は、その可能性を否定し、勝手に綾音に接触しないよう、湯川に告げる。　そんな折、美砂は、事件当日義之の家を訪ねている紫色の傘の女性を見つけるが…。</v>
      </c>
      <c r="N1014" s="2"/>
      <c r="O1014" s="2"/>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row>
    <row r="1015" ht="204.75" customHeight="1">
      <c r="A1015" s="1">
        <v>3311.0</v>
      </c>
      <c r="B1015" s="2" t="s">
        <v>3261</v>
      </c>
      <c r="C1015" s="2">
        <f>IFERROR(__xludf.DUMMYFUNCTION("split(B1015,""_"")"),1304.0)</f>
        <v>1304</v>
      </c>
      <c r="D1015" s="2" t="str">
        <f>IFERROR(__xludf.DUMMYFUNCTION("""COMPUTED_VALUE"""),"CX")</f>
        <v>CX</v>
      </c>
      <c r="E1015" s="2" t="str">
        <f>IFERROR(__xludf.DUMMYFUNCTION("""COMPUTED_VALUE"""),"火21")</f>
        <v>火21</v>
      </c>
      <c r="F1015" s="2" t="s">
        <v>3262</v>
      </c>
      <c r="G1015" s="2" t="s">
        <v>3263</v>
      </c>
      <c r="H1015" s="1">
        <v>1.0</v>
      </c>
      <c r="I1015" s="1" t="s">
        <v>3</v>
      </c>
      <c r="J1015" s="1" t="s">
        <v>4</v>
      </c>
      <c r="K1015" s="4" t="s">
        <v>3264</v>
      </c>
      <c r="L1015" s="2" t="s">
        <v>3265</v>
      </c>
      <c r="M1015" s="2" t="str">
        <f>IFERROR(__xludf.DUMMYFUNCTION("split(split(K1015,""上羽鴨:　"",false),""公式LINE"",false)"),"財務省に勤める上羽鴨(松下奈緒)は、京都の老舗旅館「上羽や」の一人娘だが、京都や老舗旅館独特の風習や作法を嫌い、東大進学で上京して以来、一度も京都には帰っていない。一方、京都の外資系コンサル会社「ワイズ・コンサルティング」では、「上羽や」の買収が進まないことにしびれを切らし、買収のプロ・衣川周平(椎名桔平)を動かす。「上羽や」に偵察に来た衣川は、心筋梗塞で倒れた女将の上羽薫(市毛良枝)が救急車で搬送されるのを目撃し、買収成功を確信する。薫の訃報を受けた鴨は10年ぶりに京都へ帰った。鴨が涙も流さず淡々と葬儀"&amp;"を進める中、仲居頭の塩見鞠子(かたせ梨乃)ら従業員たちは、薫の死を悲しみながらも「上羽や」を守り続ける決意を固める。葬儀が終わり、東京へ戻ろうとしていた鴨に衣川が声をかけてきた。衣川は、自分に任せてくれれば「上羽や」の多額の借金をすべてチャラにすると持ちかける。返事を保留にし、東京へ戻った鴨は、友人から評価額が上がるまで「上羽や」を経営するのも悪くないと提案される。再び京都へやってきた鴨は、「上羽や」に客として泊まり、接客や内装や帳簿などをチェック。翌日、衣川に経営再生のための追加融資を依頼した。「上羽や"&amp;"」に戻り従業員を集めると大幅な改革案を発表する。守り通してきた最上級のおもてなしを根底からくつがえす提案にあ然とする従業員たちに、鴨はその通りに営業するように一方的に告げる。")</f>
        <v>財務省に勤める上羽鴨(松下奈緒)は、京都の老舗旅館「上羽や」の一人娘だが、京都や老舗旅館独特の風習や作法を嫌い、東大進学で上京して以来、一度も京都には帰っていない。一方、京都の外資系コンサル会社「ワイズ・コンサルティング」では、「上羽や」の買収が進まないことにしびれを切らし、買収のプロ・衣川周平(椎名桔平)を動かす。「上羽や」に偵察に来た衣川は、心筋梗塞で倒れた女将の上羽薫(市毛良枝)が救急車で搬送されるのを目撃し、買収成功を確信する。薫の訃報を受けた鴨は10年ぶりに京都へ帰った。鴨が涙も流さず淡々と葬儀を進める中、仲居頭の塩見鞠子(かたせ梨乃)ら従業員たちは、薫の死を悲しみながらも「上羽や」を守り続ける決意を固める。葬儀が終わり、東京へ戻ろうとしていた鴨に衣川が声をかけてきた。衣川は、自分に任せてくれれば「上羽や」の多額の借金をすべてチャラにすると持ちかける。返事を保留にし、東京へ戻った鴨は、友人から評価額が上がるまで「上羽や」を経営するのも悪くないと提案される。再び京都へやってきた鴨は、「上羽や」に客として泊まり、接客や内装や帳簿などをチェック。翌日、衣川に経営再生のための追加融資を依頼した。「上羽や」に戻り従業員を集めると大幅な改革案を発表する。守り通してきた最上級のおもてなしを根底からくつがえす提案にあ然とする従業員たちに、鴨はその通りに営業するように一方的に告げる。</v>
      </c>
      <c r="N1015" s="2"/>
      <c r="O1015" s="2"/>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row>
    <row r="1016" ht="204.75" customHeight="1">
      <c r="A1016" s="1">
        <v>3312.0</v>
      </c>
      <c r="B1016" s="2" t="s">
        <v>3261</v>
      </c>
      <c r="C1016" s="2">
        <f>IFERROR(__xludf.DUMMYFUNCTION("split(B1016,""_"")"),1304.0)</f>
        <v>1304</v>
      </c>
      <c r="D1016" s="2" t="str">
        <f>IFERROR(__xludf.DUMMYFUNCTION("""COMPUTED_VALUE"""),"CX")</f>
        <v>CX</v>
      </c>
      <c r="E1016" s="2" t="str">
        <f>IFERROR(__xludf.DUMMYFUNCTION("""COMPUTED_VALUE"""),"火21")</f>
        <v>火21</v>
      </c>
      <c r="F1016" s="2" t="s">
        <v>3262</v>
      </c>
      <c r="G1016" s="2" t="s">
        <v>3266</v>
      </c>
      <c r="H1016" s="1">
        <v>2.0</v>
      </c>
      <c r="I1016" s="1" t="s">
        <v>7</v>
      </c>
      <c r="J1016" s="1" t="s">
        <v>11</v>
      </c>
      <c r="K1016" s="2" t="s">
        <v>3267</v>
      </c>
      <c r="L1016" s="2" t="s">
        <v>3268</v>
      </c>
      <c r="M1016" s="2" t="str">
        <f>IFERROR(__xludf.DUMMYFUNCTION("split(split(K1016,""上羽鴨:　"",false),""公式LINE"",false)"),"上羽鴨(松下奈緒)の強引な改革案は失敗に終わり、従業員全員が辞めてしまった。鴨は衣川周平(椎名桔平)の提案にのり「上羽や」売却を決める。その矢先、会合のため京都に来ていた財務大臣の仲代公吉(松平健)が「上羽や」にやってきた。常連だった仲代は、先代女将・薫(市毛良枝)をしのび宿泊したいと言い、いつも通りのもてなしをして欲しいと告げて会合に出かける。困った鴨は売却をネタに衣川に風呂掃除をさせる。さらに、ぬか床を心配して厨房に来ていた寺石秀(高杉亘)を発見し、夕食を作るように依頼。寺石は指定した京野菜を揃えられ"&amp;"たら料理を作ると約束をする。柴田優梨愛(岡本あずさ)はそんな鴨と寺石のやりとりを聞き、すぐに間山紗江(堀内敬子)ら仲居たちに報告をする。同じ頃、塩見鞠子(かたせ梨乃)は「ワイズ・コンサルティング」の高瀬裕次郎(伊武雅刀)に呼び出され「上羽や」売却成立後の女将になって欲しいと打診されていた。デパ地下で食材を買いそろえた鴨だが、寺石はこの野菜ではできないと突っぱねる。鴨はかつて取り引きしていた青果店に行き、なんとかいくつかの野菜は購入するが、タケノコは品切れだと言う。タケノコだけが見つからず途方に暮れていると"&amp;"鞠子から電話が入った・・・。")</f>
        <v>上羽鴨(松下奈緒)の強引な改革案は失敗に終わり、従業員全員が辞めてしまった。鴨は衣川周平(椎名桔平)の提案にのり「上羽や」売却を決める。その矢先、会合のため京都に来ていた財務大臣の仲代公吉(松平健)が「上羽や」にやってきた。常連だった仲代は、先代女将・薫(市毛良枝)をしのび宿泊したいと言い、いつも通りのもてなしをして欲しいと告げて会合に出かける。困った鴨は売却をネタに衣川に風呂掃除をさせる。さらに、ぬか床を心配して厨房に来ていた寺石秀(高杉亘)を発見し、夕食を作るように依頼。寺石は指定した京野菜を揃えられたら料理を作ると約束をする。柴田優梨愛(岡本あずさ)はそんな鴨と寺石のやりとりを聞き、すぐに間山紗江(堀内敬子)ら仲居たちに報告をする。同じ頃、塩見鞠子(かたせ梨乃)は「ワイズ・コンサルティング」の高瀬裕次郎(伊武雅刀)に呼び出され「上羽や」売却成立後の女将になって欲しいと打診されていた。デパ地下で食材を買いそろえた鴨だが、寺石はこの野菜ではできないと突っぱねる。鴨はかつて取り引きしていた青果店に行き、なんとかいくつかの野菜は購入するが、タケノコは品切れだと言う。タケノコだけが見つからず途方に暮れていると鞠子から電話が入った・・・。</v>
      </c>
      <c r="N1016" s="2"/>
      <c r="O1016" s="2"/>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row>
    <row r="1017" ht="204.75" customHeight="1">
      <c r="A1017" s="1">
        <v>3313.0</v>
      </c>
      <c r="B1017" s="2" t="s">
        <v>3261</v>
      </c>
      <c r="C1017" s="2">
        <f>IFERROR(__xludf.DUMMYFUNCTION("split(B1017,""_"")"),1304.0)</f>
        <v>1304</v>
      </c>
      <c r="D1017" s="2" t="str">
        <f>IFERROR(__xludf.DUMMYFUNCTION("""COMPUTED_VALUE"""),"CX")</f>
        <v>CX</v>
      </c>
      <c r="E1017" s="2" t="str">
        <f>IFERROR(__xludf.DUMMYFUNCTION("""COMPUTED_VALUE"""),"火21")</f>
        <v>火21</v>
      </c>
      <c r="F1017" s="2" t="s">
        <v>3262</v>
      </c>
      <c r="G1017" s="2" t="s">
        <v>3269</v>
      </c>
      <c r="H1017" s="1">
        <v>3.0</v>
      </c>
      <c r="I1017" s="1" t="s">
        <v>10</v>
      </c>
      <c r="J1017" s="1" t="s">
        <v>11</v>
      </c>
      <c r="K1017" s="2" t="s">
        <v>3270</v>
      </c>
      <c r="L1017" s="2" t="s">
        <v>3271</v>
      </c>
      <c r="M1017" s="2" t="str">
        <f>IFERROR(__xludf.DUMMYFUNCTION("split(split(K1017,""上羽鴨:　"",false),""公式LINE"",false)"),"「上羽や」売却は止めると言い出した上羽鴨(松下奈緒)だが、従業員は誰も戻ってこない。鴨が東京へ帰っている間に峰岸鼓太郎(笹野高史)が週末に2組の予約を受けてしまう。呆れる鴨だが、営業再開を決意。ぬか床を心配して厨房に来た寺石秀(高杉亘)をつかまえ料理をお願いし、腰を痛めた峰岸の代わりに衣川周平(椎名桔平)と加茂京介(大東駿介)に男衆の仕事を押し付ける。さらに職探しをしていた間山紗江(堀内敬子)らの元へ行き、再び「上羽や」で働かないかと声をかける。まず謝罪をするべきだと訴える紗江たちに、鴨はそれなら別を当た"&amp;"るとあっさり去る。「梅垣屋」に行き梅垣鈴風(若村麻由美)に協力を求めるが、週末は無理だという。そこで塩見鞠子(かたせ梨乃)と遭遇した鴨は、戻ってこないかと声をかけた。すぐに断った鞠子だが、今夜来る客が安永真知子(江波杏子)だと聞き、1日だけという条件で「上羽や」に戻る。もう1組の母子、母の大場夏美(いしのようこ)と退屈そうにしている娘の大場弓香(美山加恋)は鴨が仲居として接客することに。金魚の世話のために「上羽や」に来た柴田優梨愛(岡本あずさ)は、鞠子を目撃し紗江たちに報告。紗江たちは、様子を見るために「"&amp;"上羽や」へこっそりやってくる。安永を接客している鞠子を見て驚く紗江たち。さらに仲居として働いているものの、仕事ができていない鴨を見て呆れる。そんな鴨の前にウェーバー伯爵が現れ…。")</f>
        <v>「上羽や」売却は止めると言い出した上羽鴨(松下奈緒)だが、従業員は誰も戻ってこない。鴨が東京へ帰っている間に峰岸鼓太郎(笹野高史)が週末に2組の予約を受けてしまう。呆れる鴨だが、営業再開を決意。ぬか床を心配して厨房に来た寺石秀(高杉亘)をつかまえ料理をお願いし、腰を痛めた峰岸の代わりに衣川周平(椎名桔平)と加茂京介(大東駿介)に男衆の仕事を押し付ける。さらに職探しをしていた間山紗江(堀内敬子)らの元へ行き、再び「上羽や」で働かないかと声をかける。まず謝罪をするべきだと訴える紗江たちに、鴨はそれなら別を当たるとあっさり去る。「梅垣屋」に行き梅垣鈴風(若村麻由美)に協力を求めるが、週末は無理だという。そこで塩見鞠子(かたせ梨乃)と遭遇した鴨は、戻ってこないかと声をかけた。すぐに断った鞠子だが、今夜来る客が安永真知子(江波杏子)だと聞き、1日だけという条件で「上羽や」に戻る。もう1組の母子、母の大場夏美(いしのようこ)と退屈そうにしている娘の大場弓香(美山加恋)は鴨が仲居として接客することに。金魚の世話のために「上羽や」に来た柴田優梨愛(岡本あずさ)は、鞠子を目撃し紗江たちに報告。紗江たちは、様子を見るために「上羽や」へこっそりやってくる。安永を接客している鞠子を見て驚く紗江たち。さらに仲居として働いているものの、仕事ができていない鴨を見て呆れる。そんな鴨の前にウェーバー伯爵が現れ…。</v>
      </c>
      <c r="N1017" s="2"/>
      <c r="O1017" s="2"/>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row>
    <row r="1018" ht="204.75" customHeight="1">
      <c r="A1018" s="1">
        <v>3314.0</v>
      </c>
      <c r="B1018" s="2" t="s">
        <v>3261</v>
      </c>
      <c r="C1018" s="2">
        <f>IFERROR(__xludf.DUMMYFUNCTION("split(B1018,""_"")"),1304.0)</f>
        <v>1304</v>
      </c>
      <c r="D1018" s="2" t="str">
        <f>IFERROR(__xludf.DUMMYFUNCTION("""COMPUTED_VALUE"""),"CX")</f>
        <v>CX</v>
      </c>
      <c r="E1018" s="2" t="str">
        <f>IFERROR(__xludf.DUMMYFUNCTION("""COMPUTED_VALUE"""),"火21")</f>
        <v>火21</v>
      </c>
      <c r="F1018" s="2" t="s">
        <v>3262</v>
      </c>
      <c r="G1018" s="2" t="s">
        <v>3272</v>
      </c>
      <c r="H1018" s="1">
        <v>4.0</v>
      </c>
      <c r="I1018" s="1" t="s">
        <v>14</v>
      </c>
      <c r="J1018" s="1" t="s">
        <v>11</v>
      </c>
      <c r="K1018" s="2" t="s">
        <v>3273</v>
      </c>
      <c r="L1018" s="2" t="s">
        <v>3274</v>
      </c>
      <c r="M1018" s="2" t="str">
        <f>IFERROR(__xludf.DUMMYFUNCTION("split(split(K1018,""上羽鴨:　"",false),""公式LINE"",false)"),"「上羽や」の女将になった上羽鴨(松下奈緒)は、塩見鞠子(かたせ梨乃)から仲居たちの下について仕事を学ぶように言われるが、なにひとつ満足にできずに怒られてばかり。ある日、仕入れ業者たちが月末払いの請求書を置いていく。「ワイズ・コンサルティング」への返済日も月末で、頭を抱える鴨。仲居たちが給料が出ないなら辞めると話しているのを聞き、信頼を得るために従業員と業者への支払いを優先することを決める。そんな中、衣川周平(椎名桔平)と高瀬裕次郎(伊武雅刀)が客としてやってきた。鴨が支払いできないと予想し、「上羽や」がな"&amp;"くなる前に泊まろうとやってきたのだ。衣川を部屋に案内した時に支払い延期をお願いしようとしていた鴨だが、ここぞとばかりに大きな態度をとる衣川に腹を立て何も言わず部屋を出る。  　同じ頃、間山紗江(堀内敬子)は予約客の稲川純一(菅原大吉)と織田睦夫(木下ほうか)を部屋に案内していた。予約は3名だったことを確認すると、もうそろっているから夕食は3人分用意して欲しいと言う。夕食ができあがり、鴨が紗江と一緒に運んでいくことになった。やがて稲川は高校時代に撮った自分と織田ともう1人が写った写真を取り出し、3人目の席に"&amp;"置く。高校卒業時に30年後に「上羽や」に行くことを約束したという話を聞いた鴨は、もう1人が遅れて来るなら作り直すと1人分の料理を片付けようとして紗江に止められる。")</f>
        <v>「上羽や」の女将になった上羽鴨(松下奈緒)は、塩見鞠子(かたせ梨乃)から仲居たちの下について仕事を学ぶように言われるが、なにひとつ満足にできずに怒られてばかり。ある日、仕入れ業者たちが月末払いの請求書を置いていく。「ワイズ・コンサルティング」への返済日も月末で、頭を抱える鴨。仲居たちが給料が出ないなら辞めると話しているのを聞き、信頼を得るために従業員と業者への支払いを優先することを決める。そんな中、衣川周平(椎名桔平)と高瀬裕次郎(伊武雅刀)が客としてやってきた。鴨が支払いできないと予想し、「上羽や」がなくなる前に泊まろうとやってきたのだ。衣川を部屋に案内した時に支払い延期をお願いしようとしていた鴨だが、ここぞとばかりに大きな態度をとる衣川に腹を立て何も言わず部屋を出る。  　同じ頃、間山紗江(堀内敬子)は予約客の稲川純一(菅原大吉)と織田睦夫(木下ほうか)を部屋に案内していた。予約は3名だったことを確認すると、もうそろっているから夕食は3人分用意して欲しいと言う。夕食ができあがり、鴨が紗江と一緒に運んでいくことになった。やがて稲川は高校時代に撮った自分と織田ともう1人が写った写真を取り出し、3人目の席に置く。高校卒業時に30年後に「上羽や」に行くことを約束したという話を聞いた鴨は、もう1人が遅れて来るなら作り直すと1人分の料理を片付けようとして紗江に止められる。</v>
      </c>
      <c r="N1018" s="2"/>
      <c r="O1018" s="2"/>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row>
    <row r="1019" ht="204.75" customHeight="1">
      <c r="A1019" s="1">
        <v>3315.0</v>
      </c>
      <c r="B1019" s="2" t="s">
        <v>3261</v>
      </c>
      <c r="C1019" s="2">
        <f>IFERROR(__xludf.DUMMYFUNCTION("split(B1019,""_"")"),1304.0)</f>
        <v>1304</v>
      </c>
      <c r="D1019" s="2" t="str">
        <f>IFERROR(__xludf.DUMMYFUNCTION("""COMPUTED_VALUE"""),"CX")</f>
        <v>CX</v>
      </c>
      <c r="E1019" s="2" t="str">
        <f>IFERROR(__xludf.DUMMYFUNCTION("""COMPUTED_VALUE"""),"火21")</f>
        <v>火21</v>
      </c>
      <c r="F1019" s="2" t="s">
        <v>3262</v>
      </c>
      <c r="G1019" s="2" t="s">
        <v>3275</v>
      </c>
      <c r="H1019" s="1">
        <v>5.0</v>
      </c>
      <c r="I1019" s="1" t="s">
        <v>17</v>
      </c>
      <c r="J1019" s="1" t="s">
        <v>11</v>
      </c>
      <c r="K1019" s="2" t="s">
        <v>3276</v>
      </c>
      <c r="L1019" s="2" t="s">
        <v>3277</v>
      </c>
      <c r="M1019" s="2" t="str">
        <f>IFERROR(__xludf.DUMMYFUNCTION("split(split(K1019,""上羽鴨:　"",false),""公式LINE"",false)"),"衣川周平(椎名桔平)がコンサルタントとして「上羽や」の支配人になると言い出した。先日、「上羽や」に上司の高瀬裕次郎(伊武雅刀)と宿泊した際、絵画や掛け軸、壺などの美術品が名だたる作家によるものばかりで、「上羽や」は考えていた以上にお宝が眠っていることに気づいた、という。それを調べるためにも衣川は支配人を名乗り出たのだった。衣川は従業員の取りまとめをし、彼らからの信頼も得ている様子で、上羽鴨(松下奈緒)は面白くない。  　そんな時、鴨の財務省の恋人、石黒哲也(丸山智己)が京都まで訪ねてくる。「上羽や」内でも"&amp;"鴨スケのエリート恋人がやってきた、と噂話に花が咲く。そこへ、予約していたお客がやってきた。セリィという人気ファッションブランドの社長夫妻だけに、粗相がないよう仲居たちも気を引き締める。社長の望月啓志(神尾佑)はすぐに仕事に出てしまったが、残った社長夫人の幸子(高岡早紀)は、旅館内の絵画や掛け軸にケチをつけ、飲み物や夕食に使う食材から、アロママッサージのアロマオイルの銘柄まで指定してくる始末。鴨はモンスターカスタマーだと怒るが、塩見鞠子(かたせ梨乃)や間山紗江(堀内敬子)は、お客様の要望に応えるのが務めと、"&amp;"鴨にアロマオイルのおつかいを指示する。  　ブツブツ文句を言いながら、鴨は石黒を連れて京都の街へ。石黒は「2人でデートできるからいいじゃないか」となだめ・・・。")</f>
        <v>衣川周平(椎名桔平)がコンサルタントとして「上羽や」の支配人になると言い出した。先日、「上羽や」に上司の高瀬裕次郎(伊武雅刀)と宿泊した際、絵画や掛け軸、壺などの美術品が名だたる作家によるものばかりで、「上羽や」は考えていた以上にお宝が眠っていることに気づいた、という。それを調べるためにも衣川は支配人を名乗り出たのだった。衣川は従業員の取りまとめをし、彼らからの信頼も得ている様子で、上羽鴨(松下奈緒)は面白くない。  　そんな時、鴨の財務省の恋人、石黒哲也(丸山智己)が京都まで訪ねてくる。「上羽や」内でも鴨スケのエリート恋人がやってきた、と噂話に花が咲く。そこへ、予約していたお客がやってきた。セリィという人気ファッションブランドの社長夫妻だけに、粗相がないよう仲居たちも気を引き締める。社長の望月啓志(神尾佑)はすぐに仕事に出てしまったが、残った社長夫人の幸子(高岡早紀)は、旅館内の絵画や掛け軸にケチをつけ、飲み物や夕食に使う食材から、アロママッサージのアロマオイルの銘柄まで指定してくる始末。鴨はモンスターカスタマーだと怒るが、塩見鞠子(かたせ梨乃)や間山紗江(堀内敬子)は、お客様の要望に応えるのが務めと、鴨にアロマオイルのおつかいを指示する。  　ブツブツ文句を言いながら、鴨は石黒を連れて京都の街へ。石黒は「2人でデートできるからいいじゃないか」となだめ・・・。</v>
      </c>
      <c r="N1019" s="2"/>
      <c r="O1019" s="2"/>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row>
    <row r="1020" ht="204.75" customHeight="1">
      <c r="A1020" s="1">
        <v>3316.0</v>
      </c>
      <c r="B1020" s="2" t="s">
        <v>3261</v>
      </c>
      <c r="C1020" s="2">
        <f>IFERROR(__xludf.DUMMYFUNCTION("split(B1020,""_"")"),1304.0)</f>
        <v>1304</v>
      </c>
      <c r="D1020" s="2" t="str">
        <f>IFERROR(__xludf.DUMMYFUNCTION("""COMPUTED_VALUE"""),"CX")</f>
        <v>CX</v>
      </c>
      <c r="E1020" s="2" t="str">
        <f>IFERROR(__xludf.DUMMYFUNCTION("""COMPUTED_VALUE"""),"火21")</f>
        <v>火21</v>
      </c>
      <c r="F1020" s="2" t="s">
        <v>3262</v>
      </c>
      <c r="G1020" s="2" t="s">
        <v>3278</v>
      </c>
      <c r="H1020" s="1">
        <v>6.0</v>
      </c>
      <c r="I1020" s="1" t="s">
        <v>21</v>
      </c>
      <c r="J1020" s="1" t="s">
        <v>11</v>
      </c>
      <c r="K1020" s="2" t="s">
        <v>3279</v>
      </c>
      <c r="L1020" s="2" t="s">
        <v>3279</v>
      </c>
      <c r="M1020" s="2" t="str">
        <f>IFERROR(__xludf.DUMMYFUNCTION("split(split(K1020,""上羽鴨:　"",false),""公式LINE"",false)"),"鴨(松下奈緒)は、亡き母、薫(市毛良枝)の納骨式に出席、鞠子(かたせ梨乃)や寺石(高杉亘)らも参列していた。その頃、「上羽や」では、峰岸鼓太郎(笹野高史)が客間の掛け軸をかけていた。先々代の女将に仕えていた勘兵衛(山谷初男)という番頭が買ったもので、骨董を見極める眼力のある人だった、と衣川周平(椎名桔平)に話す峰岸。  　「上羽や」近くでは、骨董店に空き巣が入った、という騒動が起きる。すると、サングラスにマスクの怪しい男(佐戸井けん太)が突然、「上羽や」に泊まりたい、とやってくる。経営上、お客様を選り好み"&amp;"できる状況ではない、と紗江(堀内敬子)に豪語したばかりの鴨は、ヤマダと名乗るその客を受け入れるが、ヤマダは「僕がここに泊まっていることは秘密にしてほしい」と頼む。鴨はヤマダが空き巣犯ではないかと疑い、警察に通報した方がいいのでは、と言い出すが、1度迎えたお客様を泥棒扱いするなんて、と鞠子から一喝される。そこへ宿泊客の兄弟、タケル(椙杜翔馬)とサトル(溝口怜冴)がやってきて、「これ、貸してやる」と鴨にあるマンガ雑誌を渡した。  　翌日、梅垣鈴風(若村麻由美)の案内のもと、鴨が呉服展示会を見ていると、「上羽や"&amp;"」から刑事がヤマダを探してやってきた、という連絡が入り、急きょ旅館に戻る。すると、刑事だと勘違いしていた久保という男(石橋保)は、『少年ダッシュ』という有名マンガ雑誌の編集者だった。松下奈緒　    椎名桔平　    若村麻由美　    堀内敬子　  大東駿介　  高杉亘　  小柳友  　・　  笹野高史　    伊武雅刀  　・　  松平健(特別出演)　    市毛良枝　    かたせ梨乃　    佐戸井けん太　    石橋保　    椙杜翔馬　  溝口怜冴　    山谷初男【脚本】  森ハヤシ　  酒"&amp;"井雅秋　  岩下悠子　    【プロデューサー】  手塚治　  妹尾啓太　  中尾亜由子　    【演出】  並木道子　    【主題歌】  「いろはにほへと」椎名林檎　    【制作】  フジテレビ　    【制作著作】  東映")</f>
        <v>鴨(松下奈緒)は、亡き母、薫(市毛良枝)の納骨式に出席、鞠子(かたせ梨乃)や寺石(高杉亘)らも参列していた。その頃、「上羽や」では、峰岸鼓太郎(笹野高史)が客間の掛け軸をかけていた。先々代の女将に仕えていた勘兵衛(山谷初男)という番頭が買ったもので、骨董を見極める眼力のある人だった、と衣川周平(椎名桔平)に話す峰岸。  　「上羽や」近くでは、骨董店に空き巣が入った、という騒動が起きる。すると、サングラスにマスクの怪しい男(佐戸井けん太)が突然、「上羽や」に泊まりたい、とやってくる。経営上、お客様を選り好みできる状況ではない、と紗江(堀内敬子)に豪語したばかりの鴨は、ヤマダと名乗るその客を受け入れるが、ヤマダは「僕がここに泊まっていることは秘密にしてほしい」と頼む。鴨はヤマダが空き巣犯ではないかと疑い、警察に通報した方がいいのでは、と言い出すが、1度迎えたお客様を泥棒扱いするなんて、と鞠子から一喝される。そこへ宿泊客の兄弟、タケル(椙杜翔馬)とサトル(溝口怜冴)がやってきて、「これ、貸してやる」と鴨にあるマンガ雑誌を渡した。  　翌日、梅垣鈴風(若村麻由美)の案内のもと、鴨が呉服展示会を見ていると、「上羽や」から刑事がヤマダを探してやってきた、という連絡が入り、急きょ旅館に戻る。すると、刑事だと勘違いしていた久保という男(石橋保)は、『少年ダッシュ』という有名マンガ雑誌の編集者だった。松下奈緒　    椎名桔平　    若村麻由美　    堀内敬子　  大東駿介　  高杉亘　  小柳友  　・　  笹野高史　    伊武雅刀  　・　  松平健(特別出演)　    市毛良枝　    かたせ梨乃　    佐戸井けん太　    石橋保　    椙杜翔馬　  溝口怜冴　    山谷初男【脚本】  森ハヤシ　  酒井雅秋　  岩下悠子　    【プロデューサー】  手塚治　  妹尾啓太　  中尾亜由子　    【演出】  並木道子　    【主題歌】  「いろはにほへと」椎名林檎　    【制作】  フジテレビ　    【制作著作】  東映</v>
      </c>
      <c r="N1020" s="2"/>
      <c r="O1020" s="2"/>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row>
    <row r="1021" ht="204.75" customHeight="1">
      <c r="A1021" s="1">
        <v>3317.0</v>
      </c>
      <c r="B1021" s="2" t="s">
        <v>3261</v>
      </c>
      <c r="C1021" s="2">
        <f>IFERROR(__xludf.DUMMYFUNCTION("split(B1021,""_"")"),1304.0)</f>
        <v>1304</v>
      </c>
      <c r="D1021" s="2" t="str">
        <f>IFERROR(__xludf.DUMMYFUNCTION("""COMPUTED_VALUE"""),"CX")</f>
        <v>CX</v>
      </c>
      <c r="E1021" s="2" t="str">
        <f>IFERROR(__xludf.DUMMYFUNCTION("""COMPUTED_VALUE"""),"火21")</f>
        <v>火21</v>
      </c>
      <c r="F1021" s="2" t="s">
        <v>3262</v>
      </c>
      <c r="G1021" s="2" t="s">
        <v>3280</v>
      </c>
      <c r="H1021" s="1">
        <v>7.0</v>
      </c>
      <c r="I1021" s="1" t="s">
        <v>25</v>
      </c>
      <c r="J1021" s="1" t="s">
        <v>11</v>
      </c>
      <c r="K1021" s="2" t="s">
        <v>3281</v>
      </c>
      <c r="L1021" s="8" t="s">
        <v>3282</v>
      </c>
      <c r="M1021" s="2" t="str">
        <f>IFERROR(__xludf.DUMMYFUNCTION("split(split(K1021,""上羽鴨:　"",false),""公式LINE"",false)"),"「鴨、京都へ行く。」サウンドトラックCDを抽選で50名様へプレゼント致します!!  番組終了後より受付開始します。  詳しくは番組公式HP(http://www.fujitv.co.jp/kamokyo/index.html　もしくはスマホ・携帯で「メニュー&gt;TV&gt;フジテレビ&gt;鴨、京都へ行く。)まで。締め切りは5月27日(月)23時59分です。当選者の発表は発送をもって代えさせて頂きます。　上羽鴨(松下奈緒)は、目安箱を用意し、旅館「上羽や」の従業員に「上羽や」をより良くするためのアイディアを募集する。鴨"&amp;"は集まった意見や要望の中から、メニューを増やす提案をするが、板長の寺石秀(高杉亘)は、これ以上負担を増やすなと反対。若手の板前・八木飛雄馬(小柳友)が板場を仕切る日を設けたらどうか?という提案も、八木にはまだ早すぎる、と即却下される。  　女将組合では、海外の超VIPの家族が京都観光を希望しており、梅垣鈴風(若村麻由美)が女将を務める「梅垣屋」に宿泊予定だと聞き、微妙な心境の鴨。  　そんな折り、「上羽や」には落語家の東雲亭千雀(三遊亭円楽)と弟子が泊まりにやってきた。落語好きな衣川周平(椎名桔平)は浮き"&amp;"足立つ。弟子の東雲亭千太郎(内野謙太)は、板長から煮物の味をダメ出しされたばかりの八木に、自分も師匠のOKが出ないと人前で落語すらできないのだ、と愚痴をもらす。　「上羽や」のロビーでは、以前訪れた財務大臣の秘書の宮下(瀬野和紀)が来ていた。例の海外VIPの家族を「梅垣屋」ではなく、「上羽や」に泊めてもらいたい、と言うのだ。松下奈緒　  椎名桔平　  若村麻由美　  堀内敬子　  大東駿介　  高杉亘　  小柳友  　・　  笹野高史　  伊武雅刀  　・　  松平健(特別出演)　  市毛良枝　  かたせ梨"&amp;"乃　  三遊亭円楽　  内野謙太　  瀬野和紀　  ほか【脚本】  森ハヤシ　酒井雅秋　岩下悠子　  【プロデューサー】  手塚治　妹尾啓太　中尾亜由子　  【演出】  兼崎涼介　  【主題歌】  「いろはにほへと」椎名林檎(EMI　Records　Japan)　  【制作】  フジテレビ　  【制作著作】  東映")</f>
        <v>「鴨、京都へ行く。」サウンドトラックCDを抽選で50名様へプレゼント致します!!  番組終了後より受付開始します。  詳しくは番組公式HP(http://www.fujitv.co.jp/kamokyo/index.html　もしくはスマホ・携帯で「メニュー&gt;TV&gt;フジテレビ&gt;鴨、京都へ行く。)まで。締め切りは5月27日(月)23時59分です。当選者の発表は発送をもって代えさせて頂きます。　上羽鴨(松下奈緒)は、目安箱を用意し、旅館「上羽や」の従業員に「上羽や」をより良くするためのアイディアを募集する。鴨は集まった意見や要望の中から、メニューを増やす提案をするが、板長の寺石秀(高杉亘)は、これ以上負担を増やすなと反対。若手の板前・八木飛雄馬(小柳友)が板場を仕切る日を設けたらどうか?という提案も、八木にはまだ早すぎる、と即却下される。  　女将組合では、海外の超VIPの家族が京都観光を希望しており、梅垣鈴風(若村麻由美)が女将を務める「梅垣屋」に宿泊予定だと聞き、微妙な心境の鴨。  　そんな折り、「上羽や」には落語家の東雲亭千雀(三遊亭円楽)と弟子が泊まりにやってきた。落語好きな衣川周平(椎名桔平)は浮き足立つ。弟子の東雲亭千太郎(内野謙太)は、板長から煮物の味をダメ出しされたばかりの八木に、自分も師匠のOKが出ないと人前で落語すらできないのだ、と愚痴をもらす。　「上羽や」のロビーでは、以前訪れた財務大臣の秘書の宮下(瀬野和紀)が来ていた。例の海外VIPの家族を「梅垣屋」ではなく、「上羽や」に泊めてもらいたい、と言うのだ。松下奈緒　  椎名桔平　  若村麻由美　  堀内敬子　  大東駿介　  高杉亘　  小柳友  　・　  笹野高史　  伊武雅刀  　・　  松平健(特別出演)　  市毛良枝　  かたせ梨乃　  三遊亭円楽　  内野謙太　  瀬野和紀　  ほか【脚本】  森ハヤシ　酒井雅秋　岩下悠子　  【プロデューサー】  手塚治　妹尾啓太　中尾亜由子　  【演出】  兼崎涼介　  【主題歌】  「いろはにほへと」椎名林檎(EMI　Records　Japan)　  【制作】  フジテレビ　  【制作著作】  東映</v>
      </c>
      <c r="N1021" s="2"/>
      <c r="O1021" s="2"/>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row>
    <row r="1022" ht="204.75" customHeight="1">
      <c r="A1022" s="1">
        <v>3318.0</v>
      </c>
      <c r="B1022" s="2" t="s">
        <v>3261</v>
      </c>
      <c r="C1022" s="2">
        <f>IFERROR(__xludf.DUMMYFUNCTION("split(B1022,""_"")"),1304.0)</f>
        <v>1304</v>
      </c>
      <c r="D1022" s="2" t="str">
        <f>IFERROR(__xludf.DUMMYFUNCTION("""COMPUTED_VALUE"""),"CX")</f>
        <v>CX</v>
      </c>
      <c r="E1022" s="2" t="str">
        <f>IFERROR(__xludf.DUMMYFUNCTION("""COMPUTED_VALUE"""),"火21")</f>
        <v>火21</v>
      </c>
      <c r="F1022" s="2" t="s">
        <v>3262</v>
      </c>
      <c r="G1022" s="2" t="s">
        <v>3283</v>
      </c>
      <c r="H1022" s="1">
        <v>8.0</v>
      </c>
      <c r="I1022" s="1" t="s">
        <v>29</v>
      </c>
      <c r="J1022" s="1" t="s">
        <v>11</v>
      </c>
      <c r="K1022" s="2" t="s">
        <v>3284</v>
      </c>
      <c r="L1022" s="2" t="s">
        <v>3285</v>
      </c>
      <c r="M1022" s="2" t="str">
        <f>IFERROR(__xludf.DUMMYFUNCTION("split(split(K1022,""上羽鴨:　"",false),""公式LINE"",false)"),"「上羽や」の経営も少しずつ軌道に乗り始め、昔からの常連客に先代女将とは違う魅力があると言われて上機嫌の上羽鴨(松下奈緒)に、ある人物から電話が入った…。  　その日の深夜。従業員総出で周辺を見回り、マスコミや怪しい人物はいないと連絡を受けた財務大臣の仲代公吉(松平健)と秘書の宮下晋太郎(瀬野和紀)が、裏口からこっそりと「上羽や」に入って来た。仲代は、政策の相違で総理大臣の殿村克彦(田村亮)との対立が噂されており、常にマスコミに追われている状態だった。部屋に入った仲代は、鴨と衣川周平(椎名桔平)に、別件で京"&amp;"都へ来ている殿村と極秘で会談を予定していることを話し、自分がここにいることを隠して欲しいと頼む。  　翌日、鴨は、仲代が宿泊していることを他言しないよう従業員に告げる。直後、梅垣鈴風(若村麻由美)が「上羽や」にやって来た。鈴風は「梅垣屋」に宿泊している殿村から、明日18時に「梅垣屋」で会談したいという仲代宛ての伝言を告げる。鴨がそれを仲代に告げると、その時間は都合が悪く、別件の時間をずらそうとする仲代だが、宮下は先方の言いなりになるのは仲代を支持する党員たちにも顔が立たないと反対する。  　会談は明日21"&amp;"時に「上羽や」で、との仲代の意向を伝えるため、鴨と衣川は「梅垣屋」を訪ねた。殿村に直接会い、時間と場所の変更をお願いするが・・・。")</f>
        <v>「上羽や」の経営も少しずつ軌道に乗り始め、昔からの常連客に先代女将とは違う魅力があると言われて上機嫌の上羽鴨(松下奈緒)に、ある人物から電話が入った…。  　その日の深夜。従業員総出で周辺を見回り、マスコミや怪しい人物はいないと連絡を受けた財務大臣の仲代公吉(松平健)と秘書の宮下晋太郎(瀬野和紀)が、裏口からこっそりと「上羽や」に入って来た。仲代は、政策の相違で総理大臣の殿村克彦(田村亮)との対立が噂されており、常にマスコミに追われている状態だった。部屋に入った仲代は、鴨と衣川周平(椎名桔平)に、別件で京都へ来ている殿村と極秘で会談を予定していることを話し、自分がここにいることを隠して欲しいと頼む。  　翌日、鴨は、仲代が宿泊していることを他言しないよう従業員に告げる。直後、梅垣鈴風(若村麻由美)が「上羽や」にやって来た。鈴風は「梅垣屋」に宿泊している殿村から、明日18時に「梅垣屋」で会談したいという仲代宛ての伝言を告げる。鴨がそれを仲代に告げると、その時間は都合が悪く、別件の時間をずらそうとする仲代だが、宮下は先方の言いなりになるのは仲代を支持する党員たちにも顔が立たないと反対する。  　会談は明日21時に「上羽や」で、との仲代の意向を伝えるため、鴨と衣川は「梅垣屋」を訪ねた。殿村に直接会い、時間と場所の変更をお願いするが・・・。</v>
      </c>
      <c r="N1022" s="2"/>
      <c r="O1022" s="2"/>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row>
    <row r="1023" ht="204.75" customHeight="1">
      <c r="A1023" s="1">
        <v>3319.0</v>
      </c>
      <c r="B1023" s="2" t="s">
        <v>3261</v>
      </c>
      <c r="C1023" s="2">
        <f>IFERROR(__xludf.DUMMYFUNCTION("split(B1023,""_"")"),1304.0)</f>
        <v>1304</v>
      </c>
      <c r="D1023" s="2" t="str">
        <f>IFERROR(__xludf.DUMMYFUNCTION("""COMPUTED_VALUE"""),"CX")</f>
        <v>CX</v>
      </c>
      <c r="E1023" s="2" t="str">
        <f>IFERROR(__xludf.DUMMYFUNCTION("""COMPUTED_VALUE"""),"火21")</f>
        <v>火21</v>
      </c>
      <c r="F1023" s="2" t="s">
        <v>3262</v>
      </c>
      <c r="G1023" s="2" t="s">
        <v>3286</v>
      </c>
      <c r="H1023" s="1">
        <v>9.0</v>
      </c>
      <c r="I1023" s="1" t="s">
        <v>33</v>
      </c>
      <c r="J1023" s="1" t="s">
        <v>4</v>
      </c>
      <c r="K1023" s="2" t="s">
        <v>3287</v>
      </c>
      <c r="L1023" s="8" t="s">
        <v>3288</v>
      </c>
      <c r="M1023" s="2" t="str">
        <f>IFERROR(__xludf.DUMMYFUNCTION("split(split(K1023,""上羽鴨:　"",false),""公式LINE"",false)"),"今夜の「鴨」は21時20分からです!!  胸が痛くなるような現実があっても、なぜかほっこり暖かい気持ちになれる、鴨史上最も胸震えるストーリーをお楽しみください!　「上羽鴨(松下奈緒)が財務大臣の仲代公吉(松平健)の隠し子!?」という記事が週刊誌に掲載され、「上羽や」に予約が殺到する。仲居たちから冷やかしの客は断るべきとの意見も出るが、鴨は顧客を増やすチャンスだと平然としていた。そんな中、高瀬裕次郎(伊武雅刀)が衣川周平(椎名桔平)を呼び出した。最近、「上羽や」に肩入れし過ぎてる様子の衣川の気持ちに変化がな"&amp;"いか確認した高瀬は、梅垣鈴風(若村麻由美)からある“いい提案""をされたと話し出す…。  　「上羽や」に予約客の園田夫妻が来た。園田夫妻は、ここ数年は来ていなかったが40年来の常連客だった。出迎えた鴨は、自分を先代女将の名前で、夫である孝司(山本圭)を兄と呼ぶ芳子(いしだあゆみ)に戸惑う。孝司は鴨に、芳子が3年前にかかった病気の後遺症で記憶障害があり、記憶を思い出すきっかけになればと思い、「上羽や」に来たと説明する。  　翌朝、芳子の強い要望で朝食に湯豆腐が出された。ところが、豆腐を一口食べた芳子は味が変"&amp;"わったと訴える。鴨と鞠子(かたせ梨乃)は寺石秀(高杉亘)に伝え、豆腐を食べた寺石が、味が落ちていることを認めると、鴨は味を戻してもらうべく、仕入れ店へ行くと言い出した。豆腐店は創業200年の老舗であり、店主の冨田静夫(六平直政)はプライドが高いため、鴨1人では心配だと寺石と衣川がついて行くことに・・・。")</f>
        <v>今夜の「鴨」は21時20分からです!!  胸が痛くなるような現実があっても、なぜかほっこり暖かい気持ちになれる、鴨史上最も胸震えるストーリーをお楽しみください!　「上羽鴨(松下奈緒)が財務大臣の仲代公吉(松平健)の隠し子!?」という記事が週刊誌に掲載され、「上羽や」に予約が殺到する。仲居たちから冷やかしの客は断るべきとの意見も出るが、鴨は顧客を増やすチャンスだと平然としていた。そんな中、高瀬裕次郎(伊武雅刀)が衣川周平(椎名桔平)を呼び出した。最近、「上羽や」に肩入れし過ぎてる様子の衣川の気持ちに変化がないか確認した高瀬は、梅垣鈴風(若村麻由美)からある“いい提案"をされたと話し出す…。  　「上羽や」に予約客の園田夫妻が来た。園田夫妻は、ここ数年は来ていなかったが40年来の常連客だった。出迎えた鴨は、自分を先代女将の名前で、夫である孝司(山本圭)を兄と呼ぶ芳子(いしだあゆみ)に戸惑う。孝司は鴨に、芳子が3年前にかかった病気の後遺症で記憶障害があり、記憶を思い出すきっかけになればと思い、「上羽や」に来たと説明する。  　翌朝、芳子の強い要望で朝食に湯豆腐が出された。ところが、豆腐を一口食べた芳子は味が変わったと訴える。鴨と鞠子(かたせ梨乃)は寺石秀(高杉亘)に伝え、豆腐を食べた寺石が、味が落ちていることを認めると、鴨は味を戻してもらうべく、仕入れ店へ行くと言い出した。豆腐店は創業200年の老舗であり、店主の冨田静夫(六平直政)はプライドが高いため、鴨1人では心配だと寺石と衣川がついて行くことに・・・。</v>
      </c>
      <c r="N1023" s="2"/>
      <c r="O1023" s="2"/>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row>
    <row r="1024" ht="204.75" customHeight="1">
      <c r="A1024" s="1">
        <v>3320.0</v>
      </c>
      <c r="B1024" s="2" t="s">
        <v>3261</v>
      </c>
      <c r="C1024" s="2">
        <f>IFERROR(__xludf.DUMMYFUNCTION("split(B1024,""_"")"),1304.0)</f>
        <v>1304</v>
      </c>
      <c r="D1024" s="2" t="str">
        <f>IFERROR(__xludf.DUMMYFUNCTION("""COMPUTED_VALUE"""),"CX")</f>
        <v>CX</v>
      </c>
      <c r="E1024" s="2" t="str">
        <f>IFERROR(__xludf.DUMMYFUNCTION("""COMPUTED_VALUE"""),"火21")</f>
        <v>火21</v>
      </c>
      <c r="F1024" s="2" t="s">
        <v>3262</v>
      </c>
      <c r="G1024" s="2" t="s">
        <v>3289</v>
      </c>
      <c r="H1024" s="1">
        <v>10.0</v>
      </c>
      <c r="I1024" s="1" t="s">
        <v>37</v>
      </c>
      <c r="J1024" s="1" t="s">
        <v>11</v>
      </c>
      <c r="K1024" s="2" t="s">
        <v>3290</v>
      </c>
      <c r="L1024" s="2" t="s">
        <v>3291</v>
      </c>
      <c r="M1024" s="2" t="str">
        <f>IFERROR(__xludf.DUMMYFUNCTION("split(split(K1024,""上羽鴨:　"",false),""公式LINE"",false)"),"上羽鴨(松下奈緒)と峰岸鼓太郎(笹野高史)が花を生けていると峰岸はそろそろ隠居を考えている、と話すが鴨は冗談と受け流す。  　「上羽や」に松原祐一郎(矢島健一)とジェームス・ハワード(イアン・ムーア)という客がやって来た。松原はレストラン業界の帝王と呼ばれ、40年前「上羽や」で男衆として働いていた。当時、高級ホテルに引き抜かれ、今の地位を手に入れた。実はもう1人、引き抜きの声がかかった男衆がいた。それが峰岸だった。松原は峰岸に、40年前に断ったことを悔いてはいないのか?と尋ねる。  　松原らは、次の日早朝"&amp;"から普段は見られない文化財の鑑賞と人間国宝との会食に出かけるという。「梅垣屋」の女将・梅垣鈴風(若村麻由美)の計らいだった。鈴風は富裕層向けに特別な体験ができる旅行プランに着目していた。鈴風は衣川周平(椎名桔平)に、「梅垣屋」のコンサルタントになってほしいという話を忘れていないかと確かめる。　その日の夜、夕食を終えた松原は、板長と話したい、と寺石秀(高杉亘)を呼ぶ。松原は自分たちのもとで働かないか?と寺石に持ちかける。  　翌日、「しばらく実家に帰らせていただきます」というメモを残して、峰岸が消えた。峰岸"&amp;"には妻も子どももいない、と鞠子(かたせ梨乃)から聞いた鴨は、加茂京介(大東駿介)を引き連れて、実家があるという舞鶴へ向かう。すると、峰岸家の軒先に遠野春子(松坂慶子)の姿があり…。")</f>
        <v>上羽鴨(松下奈緒)と峰岸鼓太郎(笹野高史)が花を生けていると峰岸はそろそろ隠居を考えている、と話すが鴨は冗談と受け流す。  　「上羽や」に松原祐一郎(矢島健一)とジェームス・ハワード(イアン・ムーア)という客がやって来た。松原はレストラン業界の帝王と呼ばれ、40年前「上羽や」で男衆として働いていた。当時、高級ホテルに引き抜かれ、今の地位を手に入れた。実はもう1人、引き抜きの声がかかった男衆がいた。それが峰岸だった。松原は峰岸に、40年前に断ったことを悔いてはいないのか?と尋ねる。  　松原らは、次の日早朝から普段は見られない文化財の鑑賞と人間国宝との会食に出かけるという。「梅垣屋」の女将・梅垣鈴風(若村麻由美)の計らいだった。鈴風は富裕層向けに特別な体験ができる旅行プランに着目していた。鈴風は衣川周平(椎名桔平)に、「梅垣屋」のコンサルタントになってほしいという話を忘れていないかと確かめる。　その日の夜、夕食を終えた松原は、板長と話したい、と寺石秀(高杉亘)を呼ぶ。松原は自分たちのもとで働かないか?と寺石に持ちかける。  　翌日、「しばらく実家に帰らせていただきます」というメモを残して、峰岸が消えた。峰岸には妻も子どももいない、と鞠子(かたせ梨乃)から聞いた鴨は、加茂京介(大東駿介)を引き連れて、実家があるという舞鶴へ向かう。すると、峰岸家の軒先に遠野春子(松坂慶子)の姿があり…。</v>
      </c>
      <c r="N1024" s="2"/>
      <c r="O1024" s="2"/>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row>
    <row r="1025" ht="204.75" customHeight="1">
      <c r="A1025" s="1">
        <v>3321.0</v>
      </c>
      <c r="B1025" s="2" t="s">
        <v>3261</v>
      </c>
      <c r="C1025" s="2">
        <f>IFERROR(__xludf.DUMMYFUNCTION("split(B1025,""_"")"),1304.0)</f>
        <v>1304</v>
      </c>
      <c r="D1025" s="2" t="str">
        <f>IFERROR(__xludf.DUMMYFUNCTION("""COMPUTED_VALUE"""),"CX")</f>
        <v>CX</v>
      </c>
      <c r="E1025" s="2" t="str">
        <f>IFERROR(__xludf.DUMMYFUNCTION("""COMPUTED_VALUE"""),"火21")</f>
        <v>火21</v>
      </c>
      <c r="F1025" s="2" t="s">
        <v>3262</v>
      </c>
      <c r="G1025" s="2" t="s">
        <v>3292</v>
      </c>
      <c r="H1025" s="1">
        <v>11.0</v>
      </c>
      <c r="I1025" s="1" t="s">
        <v>41</v>
      </c>
      <c r="J1025" s="1" t="s">
        <v>11</v>
      </c>
      <c r="K1025" s="2" t="s">
        <v>3293</v>
      </c>
      <c r="L1025" s="2" t="s">
        <v>3294</v>
      </c>
      <c r="M1025" s="2" t="str">
        <f>IFERROR(__xludf.DUMMYFUNCTION("split(split(K1025,""上羽鴨:　"",false),""公式LINE"",false)"),"峰岸鼓太郎(笹野高史)が春子(松坂慶子)と結婚、「上羽や」で披露宴を開き、おめでたい空気の中、衣川周平(椎名桔平)は梅垣鈴風(若村麻由美)とともに上羽鴨(松下奈緒)の元から去って行った。  　鈴風は、海外の富裕層客相手に、京都で特別な体験ができるプランを提供するとともに、海外旅行企業と貸し切り契約を交わし、高い単価で海外セレブを泊める計画を進めていた。すでに鈴風は「上羽や」の債権を買い取っており、鴨が断る選択肢はないという。「上羽や」は一旦閉めて従業員はそのままに、「梅垣屋別館」として営業するという。  "&amp;"　鴨は塩見鞠子(かたせ梨乃)に意見を求めるが、鞠子は女将の思う通りにすればいいと告げる。  　鴨は従業員を集めて「梅垣屋別館」になることを伝える。動揺する従業員たちに立て直しできなかったことを素直に謝る鴨。  　事情を知った仲代公吉(松平健)が「上羽や」に来た。鞠子は鴨に旅館の名前が変わる前に迎えたい顧客リストを渡した。  　招待日になり、新婚旅行も兼ねた峰岸と春子がやってきた。そこへ、鈴風がともに富裕層プランを進めているアントワーヌ・ベルラン(ジュリー・ドレフュス)を連れて「上羽や」の下見に来た。さらに"&amp;"貿易会社社長の葛川克也(宇梶剛士)や、20年前に宿泊した女性3人組もやってきた。その3人は、以前埋めたタイムカプセルを探したいと言い出す。「白河の間」の庭を掘ると聞いた峰岸は動揺する。")</f>
        <v>峰岸鼓太郎(笹野高史)が春子(松坂慶子)と結婚、「上羽や」で披露宴を開き、おめでたい空気の中、衣川周平(椎名桔平)は梅垣鈴風(若村麻由美)とともに上羽鴨(松下奈緒)の元から去って行った。  　鈴風は、海外の富裕層客相手に、京都で特別な体験ができるプランを提供するとともに、海外旅行企業と貸し切り契約を交わし、高い単価で海外セレブを泊める計画を進めていた。すでに鈴風は「上羽や」の債権を買い取っており、鴨が断る選択肢はないという。「上羽や」は一旦閉めて従業員はそのままに、「梅垣屋別館」として営業するという。  　鴨は塩見鞠子(かたせ梨乃)に意見を求めるが、鞠子は女将の思う通りにすればいいと告げる。  　鴨は従業員を集めて「梅垣屋別館」になることを伝える。動揺する従業員たちに立て直しできなかったことを素直に謝る鴨。  　事情を知った仲代公吉(松平健)が「上羽や」に来た。鞠子は鴨に旅館の名前が変わる前に迎えたい顧客リストを渡した。  　招待日になり、新婚旅行も兼ねた峰岸と春子がやってきた。そこへ、鈴風がともに富裕層プランを進めているアントワーヌ・ベルラン(ジュリー・ドレフュス)を連れて「上羽や」の下見に来た。さらに貿易会社社長の葛川克也(宇梶剛士)や、20年前に宿泊した女性3人組もやってきた。その3人は、以前埋めたタイムカプセルを探したいと言い出す。「白河の間」の庭を掘ると聞いた峰岸は動揺する。</v>
      </c>
      <c r="N1025" s="2"/>
      <c r="O1025" s="2"/>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row>
    <row r="1026" ht="204.75" customHeight="1">
      <c r="A1026" s="1">
        <v>3322.0</v>
      </c>
      <c r="B1026" s="2" t="s">
        <v>3295</v>
      </c>
      <c r="C1026" s="2">
        <f>IFERROR(__xludf.DUMMYFUNCTION("split(B1026,""_"")"),1304.0)</f>
        <v>1304</v>
      </c>
      <c r="D1026" s="2" t="str">
        <f>IFERROR(__xludf.DUMMYFUNCTION("""COMPUTED_VALUE"""),"CX")</f>
        <v>CX</v>
      </c>
      <c r="E1026" s="2" t="str">
        <f>IFERROR(__xludf.DUMMYFUNCTION("""COMPUTED_VALUE"""),"火22")</f>
        <v>火22</v>
      </c>
      <c r="F1026" s="2" t="s">
        <v>3296</v>
      </c>
      <c r="G1026" s="2" t="s">
        <v>3297</v>
      </c>
      <c r="H1026" s="1">
        <v>1.0</v>
      </c>
      <c r="I1026" s="1" t="s">
        <v>3</v>
      </c>
      <c r="J1026" s="1" t="s">
        <v>82</v>
      </c>
      <c r="K1026" s="4" t="s">
        <v>3298</v>
      </c>
      <c r="L1026" s="2" t="s">
        <v>3299</v>
      </c>
      <c r="M1026" s="2" t="str">
        <f>IFERROR(__xludf.DUMMYFUNCTION("split(split(K1026,""香取慎吾　"",false),""公式LINE"",false)"),"教育に対する情熱を失いかけた中学教師の神山暁(香取慎吾)は、小原南中学校に赴任。新しい学校でも冷めたスタンスで、生徒、教師、保護者にも“適度な距離""を心がける。そんな暁が引っ越した新居は、同僚の林邦彦(北山宏光)と同じマンション。そしてそこは幽霊が出るとうわさの部屋だった。引っ越した夜、暁はさっそくその部屋の地縛霊・アカネ(杏)に襲われる。だがまったく動じることなく、あっけなくアカネを撃退。実は暁は、幽霊が見え、話もできる“霊感体質""。そのせいで幽霊たちにつきまとわれ、うんざりしていたのだった。だが、"&amp;"自分の姿が暁に見えると知ったアカネは大喜び。構ってもらおうと堂々と姿を現すようになる。一方、小原南中では、新任の副校長・霧澤和泉(真矢みき)に始業式で厳しく注意された生徒の母親が「全校生徒の前で我が子が恥をかかされた」と学校に乗り込む騒ぎが起こる。暁のクラスでも、生徒の相田拓途(神宮寺勇太)の不登校が問題に。暁は副担任の河合千穂(前田敦子)から、拓途が学校を休みがちになった理由を聞かされるが、生徒に深く関わる気はないと、いつもの冷めた態度で対応する。ある日、暁が帰宅すると、アカネが友だちの浮遊霊・吉岡(佐"&amp;"藤二朗)と、その彼女メグミ(上間美緒)を勝手に連れ込んでいた。3人の話から、生前のアカネが熱血教師だったことを知る暁。そんな中、不登校だった拓途の緊急事態を知らせる電話が入り…。")</f>
        <v>教育に対する情熱を失いかけた中学教師の神山暁(香取慎吾)は、小原南中学校に赴任。新しい学校でも冷めたスタンスで、生徒、教師、保護者にも“適度な距離"を心がける。そんな暁が引っ越した新居は、同僚の林邦彦(北山宏光)と同じマンション。そしてそこは幽霊が出るとうわさの部屋だった。引っ越した夜、暁はさっそくその部屋の地縛霊・アカネ(杏)に襲われる。だがまったく動じることなく、あっけなくアカネを撃退。実は暁は、幽霊が見え、話もできる“霊感体質"。そのせいで幽霊たちにつきまとわれ、うんざりしていたのだった。だが、自分の姿が暁に見えると知ったアカネは大喜び。構ってもらおうと堂々と姿を現すようになる。一方、小原南中では、新任の副校長・霧澤和泉(真矢みき)に始業式で厳しく注意された生徒の母親が「全校生徒の前で我が子が恥をかかされた」と学校に乗り込む騒ぎが起こる。暁のクラスでも、生徒の相田拓途(神宮寺勇太)の不登校が問題に。暁は副担任の河合千穂(前田敦子)から、拓途が学校を休みがちになった理由を聞かされるが、生徒に深く関わる気はないと、いつもの冷めた態度で対応する。ある日、暁が帰宅すると、アカネが友だちの浮遊霊・吉岡(佐藤二朗)と、その彼女メグミ(上間美緒)を勝手に連れ込んでいた。3人の話から、生前のアカネが熱血教師だったことを知る暁。そんな中、不登校だった拓途の緊急事態を知らせる電話が入り…。</v>
      </c>
      <c r="N1026" s="2"/>
      <c r="O1026" s="2"/>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row>
    <row r="1027" ht="204.75" customHeight="1">
      <c r="A1027" s="1">
        <v>3342.0</v>
      </c>
      <c r="B1027" s="2" t="s">
        <v>3300</v>
      </c>
      <c r="C1027" s="2">
        <f>IFERROR(__xludf.DUMMYFUNCTION("split(B1027,""_"")"),1304.0)</f>
        <v>1304</v>
      </c>
      <c r="D1027" s="2" t="str">
        <f>IFERROR(__xludf.DUMMYFUNCTION("""COMPUTED_VALUE"""),"CX")</f>
        <v>CX</v>
      </c>
      <c r="E1027" s="2" t="str">
        <f>IFERROR(__xludf.DUMMYFUNCTION("""COMPUTED_VALUE"""),"水22")</f>
        <v>水22</v>
      </c>
      <c r="F1027" s="2" t="s">
        <v>3301</v>
      </c>
      <c r="G1027" s="2" t="s">
        <v>3302</v>
      </c>
      <c r="H1027" s="1">
        <v>1.0</v>
      </c>
      <c r="I1027" s="1" t="s">
        <v>3</v>
      </c>
      <c r="J1027" s="1" t="s">
        <v>82</v>
      </c>
      <c r="K1027" s="4" t="s">
        <v>3303</v>
      </c>
      <c r="L1027" s="2" t="s">
        <v>3304</v>
      </c>
      <c r="M1027" s="2" t="str">
        <f>IFERROR(__xludf.DUMMYFUNCTION("split(split(K1027,""櫻井翔　"",false),""公式LINE"",false)"),"家庭教師の吉本荒野(櫻井翔)が沼田家にやって来る。出来の悪い次男、茂之(浦上晟周)のために、母親の佳代子(鈴木保奈美)がインターネットで見つけた“100%東大合格""をうたう吉本のホームページを見つけて依頼したのだ。  　吉本は、まず家族面談を行うと沼田家一同をリビングに募らせる。しかし、佳代子、父親の一茂(板尾創路)、長男の慎一(神木隆之介)はそろうが、肝心の茂之が顔を出さない。中学3年生の茂之は、登校拒否の引きこもり状態だった。佳代子の呼びかけに、ようやく出てきた茂之は異様な姿で、ふざけてロボットのよ"&amp;"うに振る舞う。それでも、吉本は平気な顔をして家族面談を始めた。そんな中、父・一茂の提案で兄の慎一が通う進学校に茂之を合格させることが、吉本の目標に決まる。吉本は茂之本人に「成績を上げたいか?」と確認するが、まともな答えは返ってこない。すると吉本は家族もあっと驚くような行動に出た。あっけにとられる家族の前で、もう1度、意思を問う吉本に、茂之は呆然としたまま、うなずいた。こうして、吉本は茂之の家庭教師を引き受けることになる。  　面談後、父・一茂は登校拒否の茂之を1週間以内に学校へ連れて行ったら10万円のボー"&amp;"ナスを出すと吉本に提案。5日もあれば十分と答える吉本は、その間、自分のやり方に口出ししないことを条件とした…。")</f>
        <v>家庭教師の吉本荒野(櫻井翔)が沼田家にやって来る。出来の悪い次男、茂之(浦上晟周)のために、母親の佳代子(鈴木保奈美)がインターネットで見つけた“100%東大合格"をうたう吉本のホームページを見つけて依頼したのだ。  　吉本は、まず家族面談を行うと沼田家一同をリビングに募らせる。しかし、佳代子、父親の一茂(板尾創路)、長男の慎一(神木隆之介)はそろうが、肝心の茂之が顔を出さない。中学3年生の茂之は、登校拒否の引きこもり状態だった。佳代子の呼びかけに、ようやく出てきた茂之は異様な姿で、ふざけてロボットのように振る舞う。それでも、吉本は平気な顔をして家族面談を始めた。そんな中、父・一茂の提案で兄の慎一が通う進学校に茂之を合格させることが、吉本の目標に決まる。吉本は茂之本人に「成績を上げたいか?」と確認するが、まともな答えは返ってこない。すると吉本は家族もあっと驚くような行動に出た。あっけにとられる家族の前で、もう1度、意思を問う吉本に、茂之は呆然としたまま、うなずいた。こうして、吉本は茂之の家庭教師を引き受けることになる。  　面談後、父・一茂は登校拒否の茂之を1週間以内に学校へ連れて行ったら10万円のボーナスを出すと吉本に提案。5日もあれば十分と答える吉本は、その間、自分のやり方に口出ししないことを条件とした…。</v>
      </c>
      <c r="N1027" s="2"/>
      <c r="O1027" s="2"/>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row>
    <row r="1028" ht="204.75" customHeight="1">
      <c r="A1028" s="1">
        <v>3343.0</v>
      </c>
      <c r="B1028" s="2" t="s">
        <v>3300</v>
      </c>
      <c r="C1028" s="2">
        <f>IFERROR(__xludf.DUMMYFUNCTION("split(B1028,""_"")"),1304.0)</f>
        <v>1304</v>
      </c>
      <c r="D1028" s="2" t="str">
        <f>IFERROR(__xludf.DUMMYFUNCTION("""COMPUTED_VALUE"""),"CX")</f>
        <v>CX</v>
      </c>
      <c r="E1028" s="2" t="str">
        <f>IFERROR(__xludf.DUMMYFUNCTION("""COMPUTED_VALUE"""),"水22")</f>
        <v>水22</v>
      </c>
      <c r="F1028" s="2" t="s">
        <v>3301</v>
      </c>
      <c r="G1028" s="2" t="s">
        <v>3305</v>
      </c>
      <c r="H1028" s="1">
        <v>2.0</v>
      </c>
      <c r="I1028" s="1" t="s">
        <v>7</v>
      </c>
      <c r="J1028" s="1" t="s">
        <v>86</v>
      </c>
      <c r="K1028" s="2" t="s">
        <v>3306</v>
      </c>
      <c r="L1028" s="12" t="s">
        <v>3307</v>
      </c>
      <c r="M1028" s="2" t="str">
        <f>IFERROR(__xludf.DUMMYFUNCTION("split(split(K1028,""櫻井翔　"",false),""公式LINE"",false)"),"吉本荒野(櫻井翔)は、沼田家次男・茂之(浦上晟周)が1週間続けて学校に通ったら家庭教師を辞めると約束。翌日、吉本は茂之の行動を監視するためか、早朝から沼田家に顔を出した。母・佳代子(鈴木保奈美)は、一刻も早く吉本を辞めさせて欲しいと父・一茂(板尾創路)に訴える。だが、一茂は吉本との契約による違約金1000万円が気になって決断できない。長男・慎一(神木隆之介)にまで「何で中味も確認もしないでサインしたんだ」と言われる始末。そんな険悪な雰囲気の中、茂之が制服姿で部屋から降りてきた。驚きながらも、茂之の登校を単"&amp;"純に喜ぶ一茂。いつの間にか吉本のクビの話もうやむやになってしまい、佳代子の不安は募るばかりだった…。登校中、茂之は吉本が言った「俺、人殺したことがあるんだ…」という言葉がずっと気になっていた。怪しげな吉本を何としても辞めさせなくてはならない。再度、「1週間通学できたら本当に辞めてくれるのか」と吉本に確かめる茂之。吉本は約束は守ると断言するが、逆に出来なかった場合は新たなペナルティーとして「俺の犬になってもらう」と茂之に告げる。教室に入った茂之を待っていたのは、終わることのないイジメだった。それでも茂之は必"&amp;"死に耐える。一方、吉本は放課後にイジメグループを待ち伏せする。吉本は彼らに説教する…と思いきや、意外にも口にした言葉は「君たちの茂之へのイジメのやり方は間違っている!」だった…。")</f>
        <v>吉本荒野(櫻井翔)は、沼田家次男・茂之(浦上晟周)が1週間続けて学校に通ったら家庭教師を辞めると約束。翌日、吉本は茂之の行動を監視するためか、早朝から沼田家に顔を出した。母・佳代子(鈴木保奈美)は、一刻も早く吉本を辞めさせて欲しいと父・一茂(板尾創路)に訴える。だが、一茂は吉本との契約による違約金1000万円が気になって決断できない。長男・慎一(神木隆之介)にまで「何で中味も確認もしないでサインしたんだ」と言われる始末。そんな険悪な雰囲気の中、茂之が制服姿で部屋から降りてきた。驚きながらも、茂之の登校を単純に喜ぶ一茂。いつの間にか吉本のクビの話もうやむやになってしまい、佳代子の不安は募るばかりだった…。登校中、茂之は吉本が言った「俺、人殺したことがあるんだ…」という言葉がずっと気になっていた。怪しげな吉本を何としても辞めさせなくてはならない。再度、「1週間通学できたら本当に辞めてくれるのか」と吉本に確かめる茂之。吉本は約束は守ると断言するが、逆に出来なかった場合は新たなペナルティーとして「俺の犬になってもらう」と茂之に告げる。教室に入った茂之を待っていたのは、終わることのないイジメだった。それでも茂之は必死に耐える。一方、吉本は放課後にイジメグループを待ち伏せする。吉本は彼らに説教する…と思いきや、意外にも口にした言葉は「君たちの茂之へのイジメのやり方は間違っている!」だった…。</v>
      </c>
      <c r="N1028" s="2"/>
      <c r="O1028" s="2"/>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row>
    <row r="1029" ht="204.75" customHeight="1">
      <c r="A1029" s="1">
        <v>3344.0</v>
      </c>
      <c r="B1029" s="2" t="s">
        <v>3300</v>
      </c>
      <c r="C1029" s="2">
        <f>IFERROR(__xludf.DUMMYFUNCTION("split(B1029,""_"")"),1304.0)</f>
        <v>1304</v>
      </c>
      <c r="D1029" s="2" t="str">
        <f>IFERROR(__xludf.DUMMYFUNCTION("""COMPUTED_VALUE"""),"CX")</f>
        <v>CX</v>
      </c>
      <c r="E1029" s="2" t="str">
        <f>IFERROR(__xludf.DUMMYFUNCTION("""COMPUTED_VALUE"""),"水22")</f>
        <v>水22</v>
      </c>
      <c r="F1029" s="2" t="s">
        <v>3301</v>
      </c>
      <c r="G1029" s="2" t="s">
        <v>3308</v>
      </c>
      <c r="H1029" s="1">
        <v>3.0</v>
      </c>
      <c r="I1029" s="1" t="s">
        <v>10</v>
      </c>
      <c r="J1029" s="1" t="s">
        <v>86</v>
      </c>
      <c r="K1029" s="2" t="s">
        <v>3309</v>
      </c>
      <c r="L1029" s="12" t="s">
        <v>3310</v>
      </c>
      <c r="M1029" s="2" t="str">
        <f>IFERROR(__xludf.DUMMYFUNCTION("split(split(K1029,""櫻井翔　"",false),""公式LINE"",false)"),"夜の山道で車を運転する吉本荒野(櫻井翔)。助手席に座る沼田慎一(神木隆之介)は不安が募る。吉本と名乗るこの家庭教師は、東大の卒業アルバムに写っていた人物とは別人だった。吉本は慎一に「自分のストーリーの一部を教えよう…」と告げ、とある病院へと車を走らせていた。訪ねた病室には“吉本荒野""という患者のプレートがあった。吉本は、生命維持装置につながれたこの患者こそが本当の“吉本荒野""であり、自分の弟なのだと、その隠された事実を語って聞かせる。にわかには信じがたい慎一だったが、嘘とも思えない。最後に「あなたの本"&amp;"当の名前は?」と聞く。吉本は「…雄大だ」と答えた。慎一はこの話を弟の茂之(浦上晟周)にだけ伝えた。そんな子供たちをよそに父・一茂(板尾創路)はご機嫌そのもの。浅海舞香(忽那汐里)との出来事を思い出しているのだ。母・佳代子(鈴木保奈美)は、そんな一茂にイライラを募らす。　一方、登校した茂之は、吉本からの「遺書」の脅しが効いて一変したクラスの雰囲気に驚く。吉本は、いっそクラスメイトを招いて茂之の誕生日会をやろうと言い出す。戸惑う茂之だったが、吉本の命令は絶対だ。次の日の夜、舞香が一茂の忘れ物を届けに沼田家にや"&amp;"って来た。一茂は慌てて帰そうとするが、吉本が勝手に家に上げてしまい、夕食を共にすることに。しかも吉本は舞香を誕生日会に誘う。吉本はいったい何を企んでいるのか?")</f>
        <v>夜の山道で車を運転する吉本荒野(櫻井翔)。助手席に座る沼田慎一(神木隆之介)は不安が募る。吉本と名乗るこの家庭教師は、東大の卒業アルバムに写っていた人物とは別人だった。吉本は慎一に「自分のストーリーの一部を教えよう…」と告げ、とある病院へと車を走らせていた。訪ねた病室には“吉本荒野"という患者のプレートがあった。吉本は、生命維持装置につながれたこの患者こそが本当の“吉本荒野"であり、自分の弟なのだと、その隠された事実を語って聞かせる。にわかには信じがたい慎一だったが、嘘とも思えない。最後に「あなたの本当の名前は?」と聞く。吉本は「…雄大だ」と答えた。慎一はこの話を弟の茂之(浦上晟周)にだけ伝えた。そんな子供たちをよそに父・一茂(板尾創路)はご機嫌そのもの。浅海舞香(忽那汐里)との出来事を思い出しているのだ。母・佳代子(鈴木保奈美)は、そんな一茂にイライラを募らす。　一方、登校した茂之は、吉本からの「遺書」の脅しが効いて一変したクラスの雰囲気に驚く。吉本は、いっそクラスメイトを招いて茂之の誕生日会をやろうと言い出す。戸惑う茂之だったが、吉本の命令は絶対だ。次の日の夜、舞香が一茂の忘れ物を届けに沼田家にやって来た。一茂は慌てて帰そうとするが、吉本が勝手に家に上げてしまい、夕食を共にすることに。しかも吉本は舞香を誕生日会に誘う。吉本はいったい何を企んでいるのか?</v>
      </c>
      <c r="N1029" s="2"/>
      <c r="O1029" s="2"/>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row>
    <row r="1030" ht="204.75" customHeight="1">
      <c r="A1030" s="1">
        <v>3345.0</v>
      </c>
      <c r="B1030" s="2" t="s">
        <v>3300</v>
      </c>
      <c r="C1030" s="2">
        <f>IFERROR(__xludf.DUMMYFUNCTION("split(B1030,""_"")"),1304.0)</f>
        <v>1304</v>
      </c>
      <c r="D1030" s="2" t="str">
        <f>IFERROR(__xludf.DUMMYFUNCTION("""COMPUTED_VALUE"""),"CX")</f>
        <v>CX</v>
      </c>
      <c r="E1030" s="2" t="str">
        <f>IFERROR(__xludf.DUMMYFUNCTION("""COMPUTED_VALUE"""),"水22")</f>
        <v>水22</v>
      </c>
      <c r="F1030" s="2" t="s">
        <v>3301</v>
      </c>
      <c r="G1030" s="2" t="s">
        <v>3311</v>
      </c>
      <c r="H1030" s="1">
        <v>4.0</v>
      </c>
      <c r="I1030" s="1" t="s">
        <v>14</v>
      </c>
      <c r="J1030" s="1" t="s">
        <v>82</v>
      </c>
      <c r="K1030" s="2" t="s">
        <v>3312</v>
      </c>
      <c r="L1030" s="12" t="s">
        <v>3313</v>
      </c>
      <c r="M1030" s="2" t="str">
        <f>IFERROR(__xludf.DUMMYFUNCTION("split(split(K1030,""櫻井翔　"",false),""公式LINE"",false)"),"吉本荒野(櫻井翔)への疑いを拭えない沼田慎一(神木隆之介)は、インターネットで『吉本荒野を訴える会』というサイトを見つけた。サイトの管理人に相談があるとメールを送ると返事が来た。慎一は吉本の今までの悪行を訴え、家族を救いたいと伝えるが、管理人に「あなたには頼れる人間がいない」それどころか「茂之(浦上晟周)の心配などしていない」と見抜かれてしまう。そして「本当に孤独なのは慎一自身ではないか?」と。一方、母・佳代子(鈴木保奈美)との関係が悪化する父・一茂(板尾創路)は、その引き金となった浅海舞香(忽那汐里)と"&amp;"の盗聴テープの出所を吉本に尋ねる。吉本は部屋に落ちていたテープを拾ったことを認め、何らかの操作ミスで茂之の映像に重なってしまったのだと詫びた。だが、その一方で佳代子には自分が盗聴して録音したと告白する。旦那さんの浮気が許せず、佳代子の為に取った行動だったと。双方に都合よく振る舞う吉本…。　そんな時、茂之が学校で真野さくらという女の子からラブレターをもらう。それを知った吉本はモーレツな応援を開始。女の子の好みをすべて調べてファイルを茂之に渡し、ラブレターの返事も書き、デートのセッティングまでしてみせる。どう"&amp;"にか茂之がデートの約束を取り付けてくると、次に吉本が取った行動は…またも破天荒だった。吉本は一茂の目の前で佳代子にこう言ってのける。「お母さん、今度、一緒にデートしません?」")</f>
        <v>吉本荒野(櫻井翔)への疑いを拭えない沼田慎一(神木隆之介)は、インターネットで『吉本荒野を訴える会』というサイトを見つけた。サイトの管理人に相談があるとメールを送ると返事が来た。慎一は吉本の今までの悪行を訴え、家族を救いたいと伝えるが、管理人に「あなたには頼れる人間がいない」それどころか「茂之(浦上晟周)の心配などしていない」と見抜かれてしまう。そして「本当に孤独なのは慎一自身ではないか?」と。一方、母・佳代子(鈴木保奈美)との関係が悪化する父・一茂(板尾創路)は、その引き金となった浅海舞香(忽那汐里)との盗聴テープの出所を吉本に尋ねる。吉本は部屋に落ちていたテープを拾ったことを認め、何らかの操作ミスで茂之の映像に重なってしまったのだと詫びた。だが、その一方で佳代子には自分が盗聴して録音したと告白する。旦那さんの浮気が許せず、佳代子の為に取った行動だったと。双方に都合よく振る舞う吉本…。　そんな時、茂之が学校で真野さくらという女の子からラブレターをもらう。それを知った吉本はモーレツな応援を開始。女の子の好みをすべて調べてファイルを茂之に渡し、ラブレターの返事も書き、デートのセッティングまでしてみせる。どうにか茂之がデートの約束を取り付けてくると、次に吉本が取った行動は…またも破天荒だった。吉本は一茂の目の前で佳代子にこう言ってのける。「お母さん、今度、一緒にデートしません?」</v>
      </c>
      <c r="N1030" s="2"/>
      <c r="O1030" s="2"/>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row>
    <row r="1031" ht="204.75" customHeight="1">
      <c r="A1031" s="1">
        <v>3346.0</v>
      </c>
      <c r="B1031" s="2" t="s">
        <v>3300</v>
      </c>
      <c r="C1031" s="2">
        <f>IFERROR(__xludf.DUMMYFUNCTION("split(B1031,""_"")"),1304.0)</f>
        <v>1304</v>
      </c>
      <c r="D1031" s="2" t="str">
        <f>IFERROR(__xludf.DUMMYFUNCTION("""COMPUTED_VALUE"""),"CX")</f>
        <v>CX</v>
      </c>
      <c r="E1031" s="2" t="str">
        <f>IFERROR(__xludf.DUMMYFUNCTION("""COMPUTED_VALUE"""),"水22")</f>
        <v>水22</v>
      </c>
      <c r="F1031" s="2" t="s">
        <v>3301</v>
      </c>
      <c r="G1031" s="2" t="s">
        <v>3314</v>
      </c>
      <c r="H1031" s="1">
        <v>5.0</v>
      </c>
      <c r="I1031" s="1" t="s">
        <v>17</v>
      </c>
      <c r="J1031" s="1" t="s">
        <v>86</v>
      </c>
      <c r="K1031" s="2" t="s">
        <v>3315</v>
      </c>
      <c r="L1031" s="12" t="s">
        <v>3316</v>
      </c>
      <c r="M1031" s="2" t="str">
        <f>IFERROR(__xludf.DUMMYFUNCTION("split(split(K1031,""櫻井翔　"",false),""公式LINE"",false)"),"吉本荒野(櫻井翔)の教え子である沼田茂之(浦上晟周)の成績が著しく上がり始めた。勇気ある愛の告白が成功した真野さくら(有川結女)の存在も影響してか、勉強に積極性が出てきたせいだ。その一方で、兄の慎一(神木隆之介)は成績も下がり気味な上に、部活動も休みがちになっていた。実は、慎一は『吉本荒野を訴える会』なるサイトの管理者、浅海舞香=立花真希(忽那汐里)と頻繁に会っていた。真希は自分の家族がどんな方法で吉本に追い込まれ、家族崩壊に至ったかを慎一に語る。借金苦による一家心中。それはまるで、今の沼田家を彷彿とさせ"&amp;"る内容だった。ショックを隠せない慎一。まさに母・佳代子(鈴木保奈美)がその餌食となりかけていた。父・一茂(板尾創路)への愛情が一気に冷めた佳代子は、急激に株投資へとのめり込んでいた。  　そんな時、茂之はさくらに呼び出されて衝撃の告白を受ける。さくらは幼馴染の園田満(松島海斗)のことも好きだと言う。さくらは自分ではどちらかに決められないので、次回の模試で成績が良かった方と恋人として付き合うのはどうかと提案する。園田はすでに承諾しており、茂之も勝負を受けるしかなかった。早速、茂之は事の成り行きを吉本に話し、"&amp;"「打倒、園田!」と燃える。  　一方、真希と共闘して吉本を攻略することにした慎一だったが、その行動は吉本に見透かされていた…。")</f>
        <v>吉本荒野(櫻井翔)の教え子である沼田茂之(浦上晟周)の成績が著しく上がり始めた。勇気ある愛の告白が成功した真野さくら(有川結女)の存在も影響してか、勉強に積極性が出てきたせいだ。その一方で、兄の慎一(神木隆之介)は成績も下がり気味な上に、部活動も休みがちになっていた。実は、慎一は『吉本荒野を訴える会』なるサイトの管理者、浅海舞香=立花真希(忽那汐里)と頻繁に会っていた。真希は自分の家族がどんな方法で吉本に追い込まれ、家族崩壊に至ったかを慎一に語る。借金苦による一家心中。それはまるで、今の沼田家を彷彿とさせる内容だった。ショックを隠せない慎一。まさに母・佳代子(鈴木保奈美)がその餌食となりかけていた。父・一茂(板尾創路)への愛情が一気に冷めた佳代子は、急激に株投資へとのめり込んでいた。  　そんな時、茂之はさくらに呼び出されて衝撃の告白を受ける。さくらは幼馴染の園田満(松島海斗)のことも好きだと言う。さくらは自分ではどちらかに決められないので、次回の模試で成績が良かった方と恋人として付き合うのはどうかと提案する。園田はすでに承諾しており、茂之も勝負を受けるしかなかった。早速、茂之は事の成り行きを吉本に話し、「打倒、園田!」と燃える。  　一方、真希と共闘して吉本を攻略することにした慎一だったが、その行動は吉本に見透かされていた…。</v>
      </c>
      <c r="N1031" s="2"/>
      <c r="O1031" s="2"/>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row>
    <row r="1032" ht="204.75" customHeight="1">
      <c r="A1032" s="1">
        <v>3347.0</v>
      </c>
      <c r="B1032" s="2" t="s">
        <v>3300</v>
      </c>
      <c r="C1032" s="2">
        <f>IFERROR(__xludf.DUMMYFUNCTION("split(B1032,""_"")"),1304.0)</f>
        <v>1304</v>
      </c>
      <c r="D1032" s="2" t="str">
        <f>IFERROR(__xludf.DUMMYFUNCTION("""COMPUTED_VALUE"""),"CX")</f>
        <v>CX</v>
      </c>
      <c r="E1032" s="2" t="str">
        <f>IFERROR(__xludf.DUMMYFUNCTION("""COMPUTED_VALUE"""),"水22")</f>
        <v>水22</v>
      </c>
      <c r="F1032" s="2" t="s">
        <v>3301</v>
      </c>
      <c r="G1032" s="2" t="s">
        <v>3317</v>
      </c>
      <c r="H1032" s="1">
        <v>6.0</v>
      </c>
      <c r="I1032" s="1" t="s">
        <v>21</v>
      </c>
      <c r="J1032" s="1" t="s">
        <v>86</v>
      </c>
      <c r="K1032" s="2" t="s">
        <v>3318</v>
      </c>
      <c r="L1032" s="2" t="s">
        <v>3319</v>
      </c>
      <c r="M1032" s="2" t="str">
        <f>IFERROR(__xludf.DUMMYFUNCTION("split(split(K1032,""櫻井翔　"",false),""公式LINE"",false)"),"吉本荒野(櫻井翔)の暗躍のおかげで、沼田茂之(浦上晟周)は親友・園田満(松島海斗)との関係を取り戻し、学校でのイジメからも解放されようとしていた。逆に兄・慎一(神木隆之介)はすべての歯車が狂い始め、精神的にも追い詰められていた。その日、沼田家は昼間から怒号が飛び交った。父・一茂(板尾創路)が最近成績の芳しくない慎一に対し、吉本を家庭教師につけると決めたからだ。激しく抵抗する慎一だったが、吉本は万引きの写真やカッターナイフをチラつかせ、なかば強引に承諾させる。しかも、2人を勉強に専念させる為に、夏休みの間、"&amp;"沼田家に住み込むと提案。さすがの一茂もちゅうちょするが、意外にも母・佳代子(鈴木保奈美)が賛成に回り、あれよあれよと同居が決定する。  　翌日から吉本は、朝晩ところかまわず慎一に付きまとい始める。慎一は、立花真希(忽那汐里)へも簡単に連絡が取れない状況に陥り、イライラが募った挙句に「もう自分に構うな!」とキレる。すると吉本はあっさりと引き下がった。お互いのすべてを知り、共感を得た慎一と真希は、本格的に吉本を追い落とす作戦に着手する。まずは、一緒に本物の吉本荒野(忍成修吾)を訪ね、嫌がる母親から“吉本の過去"&amp;"""を知る人物の情報を得る。一方で、一転して慎一を無視し始めた吉本は、別の対抗措置を開始。2人の静かな攻防戦が続くが…")</f>
        <v>吉本荒野(櫻井翔)の暗躍のおかげで、沼田茂之(浦上晟周)は親友・園田満(松島海斗)との関係を取り戻し、学校でのイジメからも解放されようとしていた。逆に兄・慎一(神木隆之介)はすべての歯車が狂い始め、精神的にも追い詰められていた。その日、沼田家は昼間から怒号が飛び交った。父・一茂(板尾創路)が最近成績の芳しくない慎一に対し、吉本を家庭教師につけると決めたからだ。激しく抵抗する慎一だったが、吉本は万引きの写真やカッターナイフをチラつかせ、なかば強引に承諾させる。しかも、2人を勉強に専念させる為に、夏休みの間、沼田家に住み込むと提案。さすがの一茂もちゅうちょするが、意外にも母・佳代子(鈴木保奈美)が賛成に回り、あれよあれよと同居が決定する。  　翌日から吉本は、朝晩ところかまわず慎一に付きまとい始める。慎一は、立花真希(忽那汐里)へも簡単に連絡が取れない状況に陥り、イライラが募った挙句に「もう自分に構うな!」とキレる。すると吉本はあっさりと引き下がった。お互いのすべてを知り、共感を得た慎一と真希は、本格的に吉本を追い落とす作戦に着手する。まずは、一緒に本物の吉本荒野(忍成修吾)を訪ね、嫌がる母親から“吉本の過去"を知る人物の情報を得る。一方で、一転して慎一を無視し始めた吉本は、別の対抗措置を開始。2人の静かな攻防戦が続くが…</v>
      </c>
      <c r="N1032" s="2"/>
      <c r="O1032" s="2"/>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row>
    <row r="1033" ht="204.75" customHeight="1">
      <c r="A1033" s="1">
        <v>3348.0</v>
      </c>
      <c r="B1033" s="2" t="s">
        <v>3300</v>
      </c>
      <c r="C1033" s="2">
        <f>IFERROR(__xludf.DUMMYFUNCTION("split(B1033,""_"")"),1304.0)</f>
        <v>1304</v>
      </c>
      <c r="D1033" s="2" t="str">
        <f>IFERROR(__xludf.DUMMYFUNCTION("""COMPUTED_VALUE"""),"CX")</f>
        <v>CX</v>
      </c>
      <c r="E1033" s="2" t="str">
        <f>IFERROR(__xludf.DUMMYFUNCTION("""COMPUTED_VALUE"""),"水22")</f>
        <v>水22</v>
      </c>
      <c r="F1033" s="2" t="s">
        <v>3301</v>
      </c>
      <c r="G1033" s="2" t="s">
        <v>3320</v>
      </c>
      <c r="H1033" s="1">
        <v>7.0</v>
      </c>
      <c r="I1033" s="1" t="s">
        <v>25</v>
      </c>
      <c r="J1033" s="1" t="s">
        <v>82</v>
      </c>
      <c r="K1033" s="2" t="s">
        <v>3321</v>
      </c>
      <c r="L1033" s="2" t="s">
        <v>3322</v>
      </c>
      <c r="M1033" s="2" t="str">
        <f>IFERROR(__xludf.DUMMYFUNCTION("split(split(K1033,""櫻井翔　"",false),""公式LINE"",false)"),"番組の終わりに素敵なプレゼントのお知らせがあります。最後までお見逃しなく!!!　吉本荒野(櫻井翔)は、長男・慎一(神木隆之介)からの激しい反撃をかわし、何とか家庭教師解雇の危機を逃れた。対して慎一の代償は大きく、完全に家族から孤立してしまう。結果、慎一は同じ境遇の立花真希(忽那汐里)へとどんどん傾倒し、逆に恋人の最上飛鳥(北原里英)への態度は冷たくなった。飛鳥の手に吉本から渡された万引きの証拠写真があることも知らずに。そんな独りよがりな慎一に、吉本は「君にはもっと試練を与えてあげないとな」と言い放つ。  "&amp;"　ある日、慎一が真希と映画館でデートをしていると、突然、吉本が現れた。吉本は、真希に父・一茂(板尾創路)が会いたがっていると伝える。「今更、会えるわけない!」と慎一が拒否するのも聞かず、吉本は「夫婦の仲を悪くした責任があるだろ」と真希を追いつめる。一方、母・佳代子(鈴木保奈美)は株で失敗した自分が情けなく、「自分を変えたい」と願うようになっていた。友達も増え、みるみる変わっていく次男・茂之(浦上晟周)の姿を見て、その想いは募るばかりだった。しかし、あろうことか佳代子は再び株で大損をしてしまう。それも今回は"&amp;"1000万円を超える莫大な損失。吉本は佳代子に実家に頼るしかないとアドバイスするが、佳代子は「できない」と断る。実は、佳代子は一茂のことが原因で実家から縁を切られていたのだ。しかし、背に腹は変えられず、思い切って父を訪ねる佳代子だったが、冷たく断られてしまう…")</f>
        <v>番組の終わりに素敵なプレゼントのお知らせがあります。最後までお見逃しなく!!!　吉本荒野(櫻井翔)は、長男・慎一(神木隆之介)からの激しい反撃をかわし、何とか家庭教師解雇の危機を逃れた。対して慎一の代償は大きく、完全に家族から孤立してしまう。結果、慎一は同じ境遇の立花真希(忽那汐里)へとどんどん傾倒し、逆に恋人の最上飛鳥(北原里英)への態度は冷たくなった。飛鳥の手に吉本から渡された万引きの証拠写真があることも知らずに。そんな独りよがりな慎一に、吉本は「君にはもっと試練を与えてあげないとな」と言い放つ。  　ある日、慎一が真希と映画館でデートをしていると、突然、吉本が現れた。吉本は、真希に父・一茂(板尾創路)が会いたがっていると伝える。「今更、会えるわけない!」と慎一が拒否するのも聞かず、吉本は「夫婦の仲を悪くした責任があるだろ」と真希を追いつめる。一方、母・佳代子(鈴木保奈美)は株で失敗した自分が情けなく、「自分を変えたい」と願うようになっていた。友達も増え、みるみる変わっていく次男・茂之(浦上晟周)の姿を見て、その想いは募るばかりだった。しかし、あろうことか佳代子は再び株で大損をしてしまう。それも今回は1000万円を超える莫大な損失。吉本は佳代子に実家に頼るしかないとアドバイスするが、佳代子は「できない」と断る。実は、佳代子は一茂のことが原因で実家から縁を切られていたのだ。しかし、背に腹は変えられず、思い切って父を訪ねる佳代子だったが、冷たく断られてしまう…</v>
      </c>
      <c r="N1033" s="2"/>
      <c r="O1033" s="2"/>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row>
    <row r="1034" ht="204.75" customHeight="1">
      <c r="A1034" s="1">
        <v>3349.0</v>
      </c>
      <c r="B1034" s="2" t="s">
        <v>3300</v>
      </c>
      <c r="C1034" s="2">
        <f>IFERROR(__xludf.DUMMYFUNCTION("split(B1034,""_"")"),1304.0)</f>
        <v>1304</v>
      </c>
      <c r="D1034" s="2" t="str">
        <f>IFERROR(__xludf.DUMMYFUNCTION("""COMPUTED_VALUE"""),"CX")</f>
        <v>CX</v>
      </c>
      <c r="E1034" s="2" t="str">
        <f>IFERROR(__xludf.DUMMYFUNCTION("""COMPUTED_VALUE"""),"水22")</f>
        <v>水22</v>
      </c>
      <c r="F1034" s="2" t="s">
        <v>3301</v>
      </c>
      <c r="G1034" s="2" t="s">
        <v>3323</v>
      </c>
      <c r="H1034" s="1">
        <v>8.0</v>
      </c>
      <c r="I1034" s="1" t="s">
        <v>29</v>
      </c>
      <c r="J1034" s="1" t="s">
        <v>86</v>
      </c>
      <c r="K1034" s="2" t="s">
        <v>3324</v>
      </c>
      <c r="L1034" s="8" t="s">
        <v>3325</v>
      </c>
      <c r="M1034" s="2" t="str">
        <f>IFERROR(__xludf.DUMMYFUNCTION("split(split(K1034,""櫻井翔　"",false),""公式LINE"",false)"),"番組の終わりに素敵なプレゼントのお知らせがあります。  最後までお見逃しなく!　沼田家の崩壊は、もう誰にも止められない…吉本荒野(櫻井翔)の放った辛辣(しんらつ)な言葉も当の沼田家の面々には届かず、それぞれ勝手な行動をするばかりだった。株の損失で作った借金を前に母・佳代子(鈴木保奈美)は思考停止。父・一茂(板尾創路)は会社の金を横領して穴埋めしようと画策。立花真希(忽那汐里)へ疑惑を感じながらも交際を続ける長男・慎一(神木隆之介)は、恋人の最上飛鳥(北原里英)に冷たく別れを告げた。そして、状況が好転してい"&amp;"た次男・茂之(浦上晟周)ですら、新たな集団イジメに不本意ながらも加担を始めていた。そんな中、吉本は高校を辞めて働くと言い出した慎一に、「だったら俺とゲームしない?」と持ちかける。本当に辞めるか否かで賭けをしようと言うのだ。慎一に学校を辞められたら仕事が減ってしまう吉本としては、もし無事に卒業してくれたら、ご褒美として慎一の言うことを何でも聞くと言う。その代り、逆なら慎一が吉本の命令を聞くというのが条件だ。結局、慎一はその提案に応じてしまう。その後、慎一は真希の正体を探ろうと、再び立花家の跡地へと赴き、衝撃"&amp;"の事実を知る。しかも、帰宅すると今度は学校から不吉な呼び出しが…。新たなイジメに悩む茂之…。不審な動きを会社側に気づかれる一茂…。そして、借金は返したと豪語する一茂に不安がつのる佳代子…。家族それぞれの歯車が軋みをあげ始める…。")</f>
        <v>番組の終わりに素敵なプレゼントのお知らせがあります。  最後までお見逃しなく!　沼田家の崩壊は、もう誰にも止められない…吉本荒野(櫻井翔)の放った辛辣(しんらつ)な言葉も当の沼田家の面々には届かず、それぞれ勝手な行動をするばかりだった。株の損失で作った借金を前に母・佳代子(鈴木保奈美)は思考停止。父・一茂(板尾創路)は会社の金を横領して穴埋めしようと画策。立花真希(忽那汐里)へ疑惑を感じながらも交際を続ける長男・慎一(神木隆之介)は、恋人の最上飛鳥(北原里英)に冷たく別れを告げた。そして、状況が好転していた次男・茂之(浦上晟周)ですら、新たな集団イジメに不本意ながらも加担を始めていた。そんな中、吉本は高校を辞めて働くと言い出した慎一に、「だったら俺とゲームしない?」と持ちかける。本当に辞めるか否かで賭けをしようと言うのだ。慎一に学校を辞められたら仕事が減ってしまう吉本としては、もし無事に卒業してくれたら、ご褒美として慎一の言うことを何でも聞くと言う。その代り、逆なら慎一が吉本の命令を聞くというのが条件だ。結局、慎一はその提案に応じてしまう。その後、慎一は真希の正体を探ろうと、再び立花家の跡地へと赴き、衝撃の事実を知る。しかも、帰宅すると今度は学校から不吉な呼び出しが…。新たなイジメに悩む茂之…。不審な動きを会社側に気づかれる一茂…。そして、借金は返したと豪語する一茂に不安がつのる佳代子…。家族それぞれの歯車が軋みをあげ始める…。</v>
      </c>
      <c r="N1034" s="2"/>
      <c r="O1034" s="2"/>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row>
    <row r="1035" ht="204.75" customHeight="1">
      <c r="A1035" s="1">
        <v>3350.0</v>
      </c>
      <c r="B1035" s="2" t="s">
        <v>3300</v>
      </c>
      <c r="C1035" s="2">
        <f>IFERROR(__xludf.DUMMYFUNCTION("split(B1035,""_"")"),1304.0)</f>
        <v>1304</v>
      </c>
      <c r="D1035" s="2" t="str">
        <f>IFERROR(__xludf.DUMMYFUNCTION("""COMPUTED_VALUE"""),"CX")</f>
        <v>CX</v>
      </c>
      <c r="E1035" s="2" t="str">
        <f>IFERROR(__xludf.DUMMYFUNCTION("""COMPUTED_VALUE"""),"水22")</f>
        <v>水22</v>
      </c>
      <c r="F1035" s="2" t="s">
        <v>3301</v>
      </c>
      <c r="G1035" s="2" t="s">
        <v>3326</v>
      </c>
      <c r="H1035" s="1">
        <v>9.0</v>
      </c>
      <c r="I1035" s="1" t="s">
        <v>33</v>
      </c>
      <c r="J1035" s="1" t="s">
        <v>86</v>
      </c>
      <c r="K1035" s="2" t="s">
        <v>3327</v>
      </c>
      <c r="L1035" s="2" t="s">
        <v>3328</v>
      </c>
      <c r="M1035" s="2" t="str">
        <f>IFERROR(__xludf.DUMMYFUNCTION("split(split(K1035,""櫻井翔　"",false),""公式LINE"",false)"),"吉本荒野(櫻井翔)によって沼田家は完全に崩壊した…。あくる日になっても家族の間には会話ひとつなく、家の中も散らかったまま誰ひとり片付けようともしない…。それぞれが吉本が消えてしまった心の穴を整理できずにいた。母・佳代子(鈴木保奈美)はおもむろに納戸からスーツケースを引っ張り出すと、誰に相談することもなく家を出て行く。父・一茂(板尾創路)はとりあえず再就職先を探し始めるものの、エリートだったプライドが邪魔をしてなかなか決まらない。次男・茂之(浦上晟周)も不登校に逆戻り。友達の園田満(松島海斗)からの連絡で久"&amp;"しぶりに登校するが、またも集団イジメに加担してゆく。高校を辞めた長男・慎一(神木隆之介)もまた怠惰な日々を送り、吉本への憎悪だけが高まっていた。そんなある日、沼田家に慎一を心配して最上飛鳥(北原里英)が訪ねてきた。飛鳥は万引き写真を先生に渡さなかった理由を聞かれ、「好きだから…。きっと吉本もそれを分かっていたはず」と答える。まるで吉本を擁護するようなその言い方に、慎一は激昂し、突然、飛鳥を押し倒し襲いかかった!その後、慎一はナイフ片手に吉本のアパートに向かう。既にそこはもぬけの殻だったが、慎一は立花真希("&amp;"忽那汐里)の写真が載った1枚のチラシを発見する。それを頼りに何とか真希との再会を果たすものの、彼女の本当の姿は驚がくたるものだった…。")</f>
        <v>吉本荒野(櫻井翔)によって沼田家は完全に崩壊した…。あくる日になっても家族の間には会話ひとつなく、家の中も散らかったまま誰ひとり片付けようともしない…。それぞれが吉本が消えてしまった心の穴を整理できずにいた。母・佳代子(鈴木保奈美)はおもむろに納戸からスーツケースを引っ張り出すと、誰に相談することもなく家を出て行く。父・一茂(板尾創路)はとりあえず再就職先を探し始めるものの、エリートだったプライドが邪魔をしてなかなか決まらない。次男・茂之(浦上晟周)も不登校に逆戻り。友達の園田満(松島海斗)からの連絡で久しぶりに登校するが、またも集団イジメに加担してゆく。高校を辞めた長男・慎一(神木隆之介)もまた怠惰な日々を送り、吉本への憎悪だけが高まっていた。そんなある日、沼田家に慎一を心配して最上飛鳥(北原里英)が訪ねてきた。飛鳥は万引き写真を先生に渡さなかった理由を聞かれ、「好きだから…。きっと吉本もそれを分かっていたはず」と答える。まるで吉本を擁護するようなその言い方に、慎一は激昂し、突然、飛鳥を押し倒し襲いかかった!その後、慎一はナイフ片手に吉本のアパートに向かう。既にそこはもぬけの殻だったが、慎一は立花真希(忽那汐里)の写真が載った1枚のチラシを発見する。それを頼りに何とか真希との再会を果たすものの、彼女の本当の姿は驚がくたるものだった…。</v>
      </c>
      <c r="N1035" s="2"/>
      <c r="O1035" s="2"/>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row>
    <row r="1036" ht="204.75" customHeight="1">
      <c r="A1036" s="1">
        <v>3351.0</v>
      </c>
      <c r="B1036" s="2" t="s">
        <v>3300</v>
      </c>
      <c r="C1036" s="2">
        <f>IFERROR(__xludf.DUMMYFUNCTION("split(B1036,""_"")"),1304.0)</f>
        <v>1304</v>
      </c>
      <c r="D1036" s="2" t="str">
        <f>IFERROR(__xludf.DUMMYFUNCTION("""COMPUTED_VALUE"""),"CX")</f>
        <v>CX</v>
      </c>
      <c r="E1036" s="2" t="str">
        <f>IFERROR(__xludf.DUMMYFUNCTION("""COMPUTED_VALUE"""),"水22")</f>
        <v>水22</v>
      </c>
      <c r="F1036" s="2" t="s">
        <v>3301</v>
      </c>
      <c r="G1036" s="2" t="s">
        <v>3329</v>
      </c>
      <c r="H1036" s="1">
        <v>10.0</v>
      </c>
      <c r="I1036" s="1" t="s">
        <v>37</v>
      </c>
      <c r="J1036" s="1" t="s">
        <v>82</v>
      </c>
      <c r="K1036" s="2" t="s">
        <v>3330</v>
      </c>
      <c r="L1036" s="8" t="s">
        <v>3331</v>
      </c>
      <c r="M1036" s="2" t="str">
        <f>IFERROR(__xludf.DUMMYFUNCTION("split(split(K1036,""櫻井翔　"",false),""公式LINE"",false)"),"「呼ばれてないのにジャジャジャジャーン!」と帰ってきた吉本(櫻井翔)。  その時、沼田家ではちょうど母・佳代子(鈴木保奈美)が夫・一茂(板尾創路)ら家族に向かって離婚の意思を伝えていたところだった。吉本はそんなことはお構いなしに『あるモノ』を回収し忘れたと言って勝手に家の中を探し回り、またも家族を驚かせてみせる。離婚届の件もウヤムヤにして、まさに嵐のように過ぎ去ろうとした吉本だったが、帰り際、佳代子に「本当は家族全員で話し合いたかったんですよね…」と離婚を切り出した真意を指摘してみせる。そして長男・慎一("&amp;"神木隆之介)にもギャンブルに負けた約束が残っているからと意外な命令を残していく。  　吉本の言葉が気になる慎一は水上沙良(忽那汐里)ともう1度会い、8年前のストーリーの続きを聞くことを決意する。「なぜ田子雄大が吉本荒野として生きているのか?」  「どうして学校の教師を辞め、家庭教師という道を選んだのか?」  「沼田家がターゲットになった理由は何なのか?」  　沙良から語られる吉本の壮絶な想いに触れ、最後には慎一も涙を禁じ得なかった。一方、その頃、次男・茂之(浦上晟周)もまた一計を案じていた。  　果たして"&amp;"吉本の真のストーリーとは?そして、1度崩壊してしまった沼田家の再生はあり得るのだろうか?番組の終わりに素敵なプレゼントのお知らせがあります。")</f>
        <v>「呼ばれてないのにジャジャジャジャーン!」と帰ってきた吉本(櫻井翔)。  その時、沼田家ではちょうど母・佳代子(鈴木保奈美)が夫・一茂(板尾創路)ら家族に向かって離婚の意思を伝えていたところだった。吉本はそんなことはお構いなしに『あるモノ』を回収し忘れたと言って勝手に家の中を探し回り、またも家族を驚かせてみせる。離婚届の件もウヤムヤにして、まさに嵐のように過ぎ去ろうとした吉本だったが、帰り際、佳代子に「本当は家族全員で話し合いたかったんですよね…」と離婚を切り出した真意を指摘してみせる。そして長男・慎一(神木隆之介)にもギャンブルに負けた約束が残っているからと意外な命令を残していく。  　吉本の言葉が気になる慎一は水上沙良(忽那汐里)ともう1度会い、8年前のストーリーの続きを聞くことを決意する。「なぜ田子雄大が吉本荒野として生きているのか?」  「どうして学校の教師を辞め、家庭教師という道を選んだのか?」  「沼田家がターゲットになった理由は何なのか?」  　沙良から語られる吉本の壮絶な想いに触れ、最後には慎一も涙を禁じ得なかった。一方、その頃、次男・茂之(浦上晟周)もまた一計を案じていた。  　果たして吉本の真のストーリーとは?そして、1度崩壊してしまった沼田家の再生はあり得るのだろうか?番組の終わりに素敵なプレゼントのお知らせがあります。</v>
      </c>
      <c r="N1036" s="2"/>
      <c r="O1036" s="2"/>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row>
    <row r="1037" ht="204.75" customHeight="1">
      <c r="A1037" s="1">
        <v>3397.0</v>
      </c>
      <c r="B1037" s="2" t="s">
        <v>3332</v>
      </c>
      <c r="C1037" s="2">
        <f>IFERROR(__xludf.DUMMYFUNCTION("split(B1037,""_"")"),1304.0)</f>
        <v>1304</v>
      </c>
      <c r="D1037" s="2" t="str">
        <f>IFERROR(__xludf.DUMMYFUNCTION("""COMPUTED_VALUE"""),"CX")</f>
        <v>CX</v>
      </c>
      <c r="E1037" s="2" t="str">
        <f>IFERROR(__xludf.DUMMYFUNCTION("""COMPUTED_VALUE"""),"土23")</f>
        <v>土23</v>
      </c>
      <c r="F1037" s="2" t="s">
        <v>3333</v>
      </c>
      <c r="G1037" s="2" t="s">
        <v>3334</v>
      </c>
      <c r="H1037" s="1">
        <v>1.0</v>
      </c>
      <c r="I1037" s="1" t="s">
        <v>3</v>
      </c>
      <c r="J1037" s="1" t="s">
        <v>2429</v>
      </c>
      <c r="K1037" s="2" t="s">
        <v>3335</v>
      </c>
      <c r="L1037" s="8" t="s">
        <v>3331</v>
      </c>
      <c r="M1037" s="2" t="str">
        <f>IFERROR(__xludf.DUMMYFUNCTION("split(split(K1037,""【"",false),""公式LINE"",false)"),"コソ泥の沢木裕次郎(古田新太)とその舎弟、通称ヤスこと川村靖(中丸雄一)は蔵前にある寿司屋・寿司政に忍び込む。お目当ての風鈴を探し回っていると店内の個室で、沢木は藤原源太(大河内浩)に出くわし、殴られ卒倒。後を追うようにヤスも頭を殴られ気絶してしまう。  　その日の午後、寿司政の次女、大友春子(佐藤めぐみ)はくす玉を作っていた。そのくす玉を持ち長女、秋子(戸田菜穂)の部屋を訪れるが、秋子はあまり元気がない。  　店内では従業員の待場順平(木村了)が掃除中。春子がくす玉の飾り付けに店内に現れるとそこに隣の藤"&amp;"の湯の女将で源太の妻の藤原セツコ(石田えり)がやってくる。春子、順平、セツコの3人はムームーとネグリジェに着替えさせられ、いまだに寝ている沢木とヤスが起きるのを待ちながら、なぜだか宴会の準備を進めていた。  　そこにハセガワフラワーのバイト碓井幸(三倉佳奈)が社長からの贈り物といって花を届けにやってくる。テルが帰ってきたお祝いだという。3人が準備している宴会はテルの歓迎会で、沢木はテルという人物に勘違いされているよう。  　そこへ沢木とヤスが起きてくる。昨夜の記憶は2人ともはっきりしない。くす玉を割って「"&amp;"テルちゃん、お帰り!」と2人を大歓迎する春子と順平とセツコ。ワケのわからない沢木とヤスだったが、やがて沢木が自分のことをテルという人物と勘違いしているらしい3人に話を合わせはじめて…。古田新太　  中丸雄一(KAT‐TUN)　  戸田菜穂　  佐藤めぐみ　  木村了　  三倉佳奈　  大河内浩　  石田えり　  金田明夫　  ほか")</f>
        <v>コソ泥の沢木裕次郎(古田新太)とその舎弟、通称ヤスこと川村靖(中丸雄一)は蔵前にある寿司屋・寿司政に忍び込む。お目当ての風鈴を探し回っていると店内の個室で、沢木は藤原源太(大河内浩)に出くわし、殴られ卒倒。後を追うようにヤスも頭を殴られ気絶してしまう。  　その日の午後、寿司政の次女、大友春子(佐藤めぐみ)はくす玉を作っていた。そのくす玉を持ち長女、秋子(戸田菜穂)の部屋を訪れるが、秋子はあまり元気がない。  　店内では従業員の待場順平(木村了)が掃除中。春子がくす玉の飾り付けに店内に現れるとそこに隣の藤の湯の女将で源太の妻の藤原セツコ(石田えり)がやってくる。春子、順平、セツコの3人はムームーとネグリジェに着替えさせられ、いまだに寝ている沢木とヤスが起きるのを待ちながら、なぜだか宴会の準備を進めていた。  　そこにハセガワフラワーのバイト碓井幸(三倉佳奈)が社長からの贈り物といって花を届けにやってくる。テルが帰ってきたお祝いだという。3人が準備している宴会はテルの歓迎会で、沢木はテルという人物に勘違いされているよう。  　そこへ沢木とヤスが起きてくる。昨夜の記憶は2人ともはっきりしない。くす玉を割って「テルちゃん、お帰り!」と2人を大歓迎する春子と順平とセツコ。ワケのわからない沢木とヤスだったが、やがて沢木が自分のことをテルという人物と勘違いしているらしい3人に話を合わせはじめて…。古田新太　  中丸雄一(KAT‐TUN)　  戸田菜穂　  佐藤めぐみ　  木村了　  三倉佳奈　  大河内浩　  石田えり　  金田明夫　  ほか</v>
      </c>
      <c r="N1037" s="2"/>
      <c r="O1037" s="2"/>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row>
    <row r="1038" ht="204.75" customHeight="1">
      <c r="A1038" s="1">
        <v>3398.0</v>
      </c>
      <c r="B1038" s="2" t="s">
        <v>3332</v>
      </c>
      <c r="C1038" s="2">
        <f>IFERROR(__xludf.DUMMYFUNCTION("split(B1038,""_"")"),1304.0)</f>
        <v>1304</v>
      </c>
      <c r="D1038" s="2" t="str">
        <f>IFERROR(__xludf.DUMMYFUNCTION("""COMPUTED_VALUE"""),"CX")</f>
        <v>CX</v>
      </c>
      <c r="E1038" s="2" t="str">
        <f>IFERROR(__xludf.DUMMYFUNCTION("""COMPUTED_VALUE"""),"土23")</f>
        <v>土23</v>
      </c>
      <c r="F1038" s="2" t="s">
        <v>3333</v>
      </c>
      <c r="G1038" s="2" t="s">
        <v>3336</v>
      </c>
      <c r="H1038" s="1">
        <v>2.0</v>
      </c>
      <c r="I1038" s="1" t="s">
        <v>7</v>
      </c>
      <c r="J1038" s="1" t="s">
        <v>1435</v>
      </c>
      <c r="K1038" s="4" t="s">
        <v>3337</v>
      </c>
      <c r="L1038" s="2" t="s">
        <v>3338</v>
      </c>
      <c r="M1038" s="2" t="str">
        <f>IFERROR(__xludf.DUMMYFUNCTION("split(split(K1038,""沢木裕次郎:"",false),""公式LINE"",false)"),"日付は変わって6月14日。店内では沢木(古田新太)を10年前に行方をくらました腕利きの職人テルと信じて疑わない寿司政の面々による歓迎会がまだ続いていた。テルになりすますために適当なウソをつきながらしっかり場になじんでいる沢木。ムネオと名乗ってしまった舎弟のヤス(中丸雄一)は酔いつぶれて眠っていた。  　仕事柄、あちこちのホテルを点々としていて今は隅田川を挟んだ向こう側の北千住近辺にいると沢木が適当にウソをつくと、何となくの成り行きで、沢木は寿司政の個室に泊まっていくことが決定する。時刻が午前1時半を過ぎた"&amp;"頃、仕事を終えた秋子(戸田菜穂)が戻ってくる。それをキッカケに会はお開きになり、パチリとヤスが目を覚ます。ボロが出て、沢木がテルではないことがバレるんじゃないかと心配するヤスをよそに沢木は秋子の誘いに乗って、2人でお酒を飲むことにする。  　お互いの近況を語り合ううちに、板前の仕事からは遠ざかっているとデタラメを言っていた沢木は秋子の気を引くべく調子に乗って、もう1度板前の仕事に戻ろうと思うと口走る。その言葉を聞いて思わず涙がこぼれる秋子。無理しないでと気遣う秋子を抱きしめようとした瞬間、いつの間にか背後"&amp;"にいた源太(大河内浩)にアタマをはたかれ、春子(佐藤めぐみ)、セツコ(石田えり)、順平(木村了)に非難される沢木。必死に言い訳をする沢木をよそに秋子は、寝るねとその場を去るのだった。")</f>
        <v>日付は変わって6月14日。店内では沢木(古田新太)を10年前に行方をくらました腕利きの職人テルと信じて疑わない寿司政の面々による歓迎会がまだ続いていた。テルになりすますために適当なウソをつきながらしっかり場になじんでいる沢木。ムネオと名乗ってしまった舎弟のヤス(中丸雄一)は酔いつぶれて眠っていた。  　仕事柄、あちこちのホテルを点々としていて今は隅田川を挟んだ向こう側の北千住近辺にいると沢木が適当にウソをつくと、何となくの成り行きで、沢木は寿司政の個室に泊まっていくことが決定する。時刻が午前1時半を過ぎた頃、仕事を終えた秋子(戸田菜穂)が戻ってくる。それをキッカケに会はお開きになり、パチリとヤスが目を覚ます。ボロが出て、沢木がテルではないことがバレるんじゃないかと心配するヤスをよそに沢木は秋子の誘いに乗って、2人でお酒を飲むことにする。  　お互いの近況を語り合ううちに、板前の仕事からは遠ざかっているとデタラメを言っていた沢木は秋子の気を引くべく調子に乗って、もう1度板前の仕事に戻ろうと思うと口走る。その言葉を聞いて思わず涙がこぼれる秋子。無理しないでと気遣う秋子を抱きしめようとした瞬間、いつの間にか背後にいた源太(大河内浩)にアタマをはたかれ、春子(佐藤めぐみ)、セツコ(石田えり)、順平(木村了)に非難される沢木。必死に言い訳をする沢木をよそに秋子は、寝るねとその場を去るのだった。</v>
      </c>
      <c r="N1038" s="2"/>
      <c r="O1038" s="2"/>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row>
    <row r="1039" ht="204.75" customHeight="1">
      <c r="A1039" s="1">
        <v>3399.0</v>
      </c>
      <c r="B1039" s="2" t="s">
        <v>3332</v>
      </c>
      <c r="C1039" s="2">
        <f>IFERROR(__xludf.DUMMYFUNCTION("split(B1039,""_"")"),1304.0)</f>
        <v>1304</v>
      </c>
      <c r="D1039" s="2" t="str">
        <f>IFERROR(__xludf.DUMMYFUNCTION("""COMPUTED_VALUE"""),"CX")</f>
        <v>CX</v>
      </c>
      <c r="E1039" s="2" t="str">
        <f>IFERROR(__xludf.DUMMYFUNCTION("""COMPUTED_VALUE"""),"土23")</f>
        <v>土23</v>
      </c>
      <c r="F1039" s="2" t="s">
        <v>3333</v>
      </c>
      <c r="G1039" s="2" t="s">
        <v>3339</v>
      </c>
      <c r="H1039" s="1">
        <v>3.0</v>
      </c>
      <c r="I1039" s="1" t="s">
        <v>10</v>
      </c>
      <c r="J1039" s="1" t="s">
        <v>2429</v>
      </c>
      <c r="K1039" s="2" t="s">
        <v>3340</v>
      </c>
      <c r="L1039" s="2" t="s">
        <v>3341</v>
      </c>
      <c r="M1039" s="2" t="str">
        <f>IFERROR(__xludf.DUMMYFUNCTION("split(split(K1039,""沢木裕次郎:"",false),""公式LINE"",false)"),"6月15日午前5時。沢木(古田新太)のことを10年前に出て行った職人のテルと信じて疑わないのをいいことにズルズル寿司政に居ついた沢木と舎弟のヤス(中丸雄一)だったが、前夜に店が多額の借金を抱えていることを知り、さらに寿司政の面々が偽者のテル・沢木に寿司政の再建を期待していることを感じ取ったため、明け方の今、2人は店を立ち去ろうとする。  　服をクリーニングに出され、代わりに着せられたネグリジェのままでは逃げ出せないとロッカーから板前服を見つけ出したヤスは、沢木に板前服を着て行こうと促すが沢木の腰は重い。ま"&amp;"だやり残したことがあるような気がするとカッコつける沢木だが、本心は寿司政の長女・秋子(戸田菜穂)への未練。結局ヤス1人で行くことにする。起きてきた秋子に見つからないように外に出るが、源太(大河内浩)に見つかり脱出は失敗に終わる。  　その頃、所属している声優事務所主催の公演で主役の座を射止めた次女・春子(佐藤めぐみ)は、ベッドに横たわりながら何かを決意する。  　セツコ(石田えり)からクリーニングの受け取りが週明けになると聞かされ、逃げ出したいヤスはショックを受ける。焦るヤスの気も知らず、中庭で掃除をして"&amp;"いる秋子を手伝う沢木は、秋子に店の借金額を聞かされショックを受ける。みんながそろった昼食で、沢木は寿司政再建を源太に迫られ、思わず一肌脱ぐかと口走るのだった…。")</f>
        <v>6月15日午前5時。沢木(古田新太)のことを10年前に出て行った職人のテルと信じて疑わないのをいいことにズルズル寿司政に居ついた沢木と舎弟のヤス(中丸雄一)だったが、前夜に店が多額の借金を抱えていることを知り、さらに寿司政の面々が偽者のテル・沢木に寿司政の再建を期待していることを感じ取ったため、明け方の今、2人は店を立ち去ろうとする。  　服をクリーニングに出され、代わりに着せられたネグリジェのままでは逃げ出せないとロッカーから板前服を見つけ出したヤスは、沢木に板前服を着て行こうと促すが沢木の腰は重い。まだやり残したことがあるような気がするとカッコつける沢木だが、本心は寿司政の長女・秋子(戸田菜穂)への未練。結局ヤス1人で行くことにする。起きてきた秋子に見つからないように外に出るが、源太(大河内浩)に見つかり脱出は失敗に終わる。  　その頃、所属している声優事務所主催の公演で主役の座を射止めた次女・春子(佐藤めぐみ)は、ベッドに横たわりながら何かを決意する。  　セツコ(石田えり)からクリーニングの受け取りが週明けになると聞かされ、逃げ出したいヤスはショックを受ける。焦るヤスの気も知らず、中庭で掃除をしている秋子を手伝う沢木は、秋子に店の借金額を聞かされショックを受ける。みんながそろった昼食で、沢木は寿司政再建を源太に迫られ、思わず一肌脱ぐかと口走るのだった…。</v>
      </c>
      <c r="N1039" s="2"/>
      <c r="O1039" s="2"/>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row>
    <row r="1040" ht="204.75" customHeight="1">
      <c r="A1040" s="1">
        <v>3400.0</v>
      </c>
      <c r="B1040" s="2" t="s">
        <v>3332</v>
      </c>
      <c r="C1040" s="2">
        <f>IFERROR(__xludf.DUMMYFUNCTION("split(B1040,""_"")"),1304.0)</f>
        <v>1304</v>
      </c>
      <c r="D1040" s="2" t="str">
        <f>IFERROR(__xludf.DUMMYFUNCTION("""COMPUTED_VALUE"""),"CX")</f>
        <v>CX</v>
      </c>
      <c r="E1040" s="2" t="str">
        <f>IFERROR(__xludf.DUMMYFUNCTION("""COMPUTED_VALUE"""),"土23")</f>
        <v>土23</v>
      </c>
      <c r="F1040" s="2" t="s">
        <v>3333</v>
      </c>
      <c r="G1040" s="2" t="s">
        <v>3342</v>
      </c>
      <c r="H1040" s="1">
        <v>4.0</v>
      </c>
      <c r="I1040" s="1" t="s">
        <v>14</v>
      </c>
      <c r="J1040" s="1" t="s">
        <v>2429</v>
      </c>
      <c r="K1040" s="2" t="s">
        <v>3343</v>
      </c>
      <c r="L1040" s="2" t="s">
        <v>3344</v>
      </c>
      <c r="M1040" s="2" t="str">
        <f>IFERROR(__xludf.DUMMYFUNCTION("split(split(K1040,""沢木裕次郎:"",false),""公式LINE"",false)"),"盗みに入ったコソ泥の沢木(古田新太)のことを10年前に出て行った職人のテルと信じて疑わないのをいいことにズルズル寿司政に居ついた沢木と舎弟のヤス(中丸雄一)。  　日付が変わった6月16日の深夜、浅草署の刑事、小野寺(小木茂光)と香田(伊藤高史)がやってきた。応対したヤスは盗みに入ったことがバレるのではとビビりまくりながら、自分は寿司政の遠い親類筋なので家の者を呼んでくると2人に告げ、春子(佐藤めぐみ)を呼びに行く。春子が宴会の片付け中だったため、まもなく家の者が対応に現れるのでと再度、小野寺と香田に告げ"&amp;"たあとはそそくさとその場をあとにしようとするヤス。だが、そんなヤスを怪しく思ったのか香田はあれこれとヤスに問いかける。ヤスは緊張のあまり、うまくろれつが回らない。何とかその場を取り繕ったヤスは、眠っていた沢木を起こし、刑事に春子が対応している様子をのぞき見ることにする。　小野寺と香田が現れたのは12日から13日にかけての深夜に浅草橋から蔵前一帯にかけて寿司屋ばかりが住居不法侵入と窃盗未遂の被害にあっているという、まさに沢木とヤスが起こしていた事件についての聞き込みだった。寿司政では被害がなかったことを確認"&amp;"し、帰ろうとする小野寺だったが香田はヤスの事がひっかかっていて…。")</f>
        <v>盗みに入ったコソ泥の沢木(古田新太)のことを10年前に出て行った職人のテルと信じて疑わないのをいいことにズルズル寿司政に居ついた沢木と舎弟のヤス(中丸雄一)。  　日付が変わった6月16日の深夜、浅草署の刑事、小野寺(小木茂光)と香田(伊藤高史)がやってきた。応対したヤスは盗みに入ったことがバレるのではとビビりまくりながら、自分は寿司政の遠い親類筋なので家の者を呼んでくると2人に告げ、春子(佐藤めぐみ)を呼びに行く。春子が宴会の片付け中だったため、まもなく家の者が対応に現れるのでと再度、小野寺と香田に告げたあとはそそくさとその場をあとにしようとするヤス。だが、そんなヤスを怪しく思ったのか香田はあれこれとヤスに問いかける。ヤスは緊張のあまり、うまくろれつが回らない。何とかその場を取り繕ったヤスは、眠っていた沢木を起こし、刑事に春子が対応している様子をのぞき見ることにする。　小野寺と香田が現れたのは12日から13日にかけての深夜に浅草橋から蔵前一帯にかけて寿司屋ばかりが住居不法侵入と窃盗未遂の被害にあっているという、まさに沢木とヤスが起こしていた事件についての聞き込みだった。寿司政では被害がなかったことを確認し、帰ろうとする小野寺だったが香田はヤスの事がひっかかっていて…。</v>
      </c>
      <c r="N1040" s="2"/>
      <c r="O1040" s="2"/>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row>
    <row r="1041" ht="204.75" customHeight="1">
      <c r="A1041" s="1">
        <v>3401.0</v>
      </c>
      <c r="B1041" s="2" t="s">
        <v>3332</v>
      </c>
      <c r="C1041" s="2">
        <f>IFERROR(__xludf.DUMMYFUNCTION("split(B1041,""_"")"),1304.0)</f>
        <v>1304</v>
      </c>
      <c r="D1041" s="2" t="str">
        <f>IFERROR(__xludf.DUMMYFUNCTION("""COMPUTED_VALUE"""),"CX")</f>
        <v>CX</v>
      </c>
      <c r="E1041" s="2" t="str">
        <f>IFERROR(__xludf.DUMMYFUNCTION("""COMPUTED_VALUE"""),"土23")</f>
        <v>土23</v>
      </c>
      <c r="F1041" s="2" t="s">
        <v>3333</v>
      </c>
      <c r="G1041" s="2" t="s">
        <v>3345</v>
      </c>
      <c r="H1041" s="1">
        <v>5.0</v>
      </c>
      <c r="I1041" s="1" t="s">
        <v>17</v>
      </c>
      <c r="J1041" s="1" t="s">
        <v>2429</v>
      </c>
      <c r="K1041" s="2" t="s">
        <v>3346</v>
      </c>
      <c r="L1041" s="2" t="s">
        <v>3347</v>
      </c>
      <c r="M1041" s="2" t="str">
        <f>IFERROR(__xludf.DUMMYFUNCTION("split(split(K1041,""沢木裕次郎:"",false),""公式LINE"",false)"),"6月17日。沢木(古田新太)がいつものように寿司政の個室で目を覚ますと、隣にいるはずの舎弟のヤス(中丸雄一)は依然として姿がないままだった。沢木はヤスが急に姿をくらましたのは、元彼女だとヤスが言っていた住吉千穂(大久保佳代子)が逮捕されたというニュースが関連しているのではないかと思う。千穂はいわゆる毒婦で、男から大金を巻き上げてはその男を殺害するという容疑がかかっていた。春子(佐藤めぐみ)の巧みな誘導尋問にひっかかり、沢木は知っている限りのヤスと千穂の関係を寿司政の面々に話し出す。  　ヤスは沢木に出会う"&amp;"前まで、部屋にこもりきりで株取引などをやっていたようで、かなりの稼ぎがあったようだった。が、その稼ぎの一切合財、下手をすると億単位の金を千穂に持っていかれたのではないかということなどを話す。セツコ(石田えり)は沢木がヤスと出会ったとき、ヤスはアパートの一室で練炭自殺を図ろうとしていた話も、実は他の事件と同様に千穂によってヤスは殺されそうになっていたのではないかと指摘する。そんな目にあいながらも、千穂への断ち切れない思いを抱えたヤスのことを口々に心配する寿司政の面々を見てその心の温かさに沢木は感動するのだっ"&amp;"た。  　ヤスの事を心配する一方で、沢木はウキウキで身だしなみを整えはじめる。それは前日に約束した秋子(戸田菜穂)とのランチデートに出かけるためで…。")</f>
        <v>6月17日。沢木(古田新太)がいつものように寿司政の個室で目を覚ますと、隣にいるはずの舎弟のヤス(中丸雄一)は依然として姿がないままだった。沢木はヤスが急に姿をくらましたのは、元彼女だとヤスが言っていた住吉千穂(大久保佳代子)が逮捕されたというニュースが関連しているのではないかと思う。千穂はいわゆる毒婦で、男から大金を巻き上げてはその男を殺害するという容疑がかかっていた。春子(佐藤めぐみ)の巧みな誘導尋問にひっかかり、沢木は知っている限りのヤスと千穂の関係を寿司政の面々に話し出す。  　ヤスは沢木に出会う前まで、部屋にこもりきりで株取引などをやっていたようで、かなりの稼ぎがあったようだった。が、その稼ぎの一切合財、下手をすると億単位の金を千穂に持っていかれたのではないかということなどを話す。セツコ(石田えり)は沢木がヤスと出会ったとき、ヤスはアパートの一室で練炭自殺を図ろうとしていた話も、実は他の事件と同様に千穂によってヤスは殺されそうになっていたのではないかと指摘する。そんな目にあいながらも、千穂への断ち切れない思いを抱えたヤスのことを口々に心配する寿司政の面々を見てその心の温かさに沢木は感動するのだった。  　ヤスの事を心配する一方で、沢木はウキウキで身だしなみを整えはじめる。それは前日に約束した秋子(戸田菜穂)とのランチデートに出かけるためで…。</v>
      </c>
      <c r="N1041" s="2"/>
      <c r="O1041" s="2"/>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row>
    <row r="1042" ht="204.75" customHeight="1">
      <c r="A1042" s="1">
        <v>3402.0</v>
      </c>
      <c r="B1042" s="2" t="s">
        <v>3332</v>
      </c>
      <c r="C1042" s="2">
        <f>IFERROR(__xludf.DUMMYFUNCTION("split(B1042,""_"")"),1304.0)</f>
        <v>1304</v>
      </c>
      <c r="D1042" s="2" t="str">
        <f>IFERROR(__xludf.DUMMYFUNCTION("""COMPUTED_VALUE"""),"CX")</f>
        <v>CX</v>
      </c>
      <c r="E1042" s="2" t="str">
        <f>IFERROR(__xludf.DUMMYFUNCTION("""COMPUTED_VALUE"""),"土23")</f>
        <v>土23</v>
      </c>
      <c r="F1042" s="2" t="s">
        <v>3333</v>
      </c>
      <c r="G1042" s="2" t="s">
        <v>3348</v>
      </c>
      <c r="H1042" s="1">
        <v>6.0</v>
      </c>
      <c r="I1042" s="1" t="s">
        <v>21</v>
      </c>
      <c r="J1042" s="1" t="s">
        <v>1435</v>
      </c>
      <c r="K1042" s="2" t="s">
        <v>3349</v>
      </c>
      <c r="L1042" s="2" t="s">
        <v>3350</v>
      </c>
      <c r="M1042" s="2" t="str">
        <f>IFERROR(__xludf.DUMMYFUNCTION("split(split(K1042,""沢木裕次郎:"",false),""公式LINE"",false)"),"6月18日深夜3時。コソ泥の沢木(古田新太)と舎弟のヤス(中丸雄一)が、腕利きの元寿司職人テルとその仕事仲間の鈴木胸男として居ついた寿司政では、次女の春子(佐藤めぐみ)が築地でのバイトに向かう準備をしていた。春子が出かけようとすると、銀座のホステスのバイトから戻ってきた長女の秋子(戸田菜穂)と鉢合わせる。  　春子は昨日の夕飯時に大阪のヤミ金業者の2人、広岡(阪田マサノブ)とエリカ(ICONIQ)がやってきたと秋子に話し始める。  　春子によると広岡とエリカは、秋子が留守だったためか、春子を相手にエリカと"&amp;"春子が全く同じ生年月日で血液型も同じであるとか、秋子には特定のお客はいなさそうだとか、一方的にどうでもいい話をしたあと、沢木と順平(木村了)に寿司を握らせ、早く新規開店すればいいと喜んで寿司を食べて帰って行ったという。借金の返済に関して具体的な話が出なかったことに、2人は首をかしげる。　そんな2人のやりとりの物音で目を覚ましたヤスは、昨日の春子とのやりとりを思い出し、バイトへ出かける春子を見てモゾモゾしていた。恋の予感かもしれないと沢木に告げるヤス。沢木が詳しく聞くと、ヤスが春子に恋をしているのではなく、"&amp;"春子がヤスに恋をしていて、その春子の気持ちにこたえた方がいいのではないかとヤスは言うのだった。一方の沢木は、秋子との昨日のデートの話をヤスに話し始めるが…。")</f>
        <v>6月18日深夜3時。コソ泥の沢木(古田新太)と舎弟のヤス(中丸雄一)が、腕利きの元寿司職人テルとその仕事仲間の鈴木胸男として居ついた寿司政では、次女の春子(佐藤めぐみ)が築地でのバイトに向かう準備をしていた。春子が出かけようとすると、銀座のホステスのバイトから戻ってきた長女の秋子(戸田菜穂)と鉢合わせる。  　春子は昨日の夕飯時に大阪のヤミ金業者の2人、広岡(阪田マサノブ)とエリカ(ICONIQ)がやってきたと秋子に話し始める。  　春子によると広岡とエリカは、秋子が留守だったためか、春子を相手にエリカと春子が全く同じ生年月日で血液型も同じであるとか、秋子には特定のお客はいなさそうだとか、一方的にどうでもいい話をしたあと、沢木と順平(木村了)に寿司を握らせ、早く新規開店すればいいと喜んで寿司を食べて帰って行ったという。借金の返済に関して具体的な話が出なかったことに、2人は首をかしげる。　そんな2人のやりとりの物音で目を覚ましたヤスは、昨日の春子とのやりとりを思い出し、バイトへ出かける春子を見てモゾモゾしていた。恋の予感かもしれないと沢木に告げるヤス。沢木が詳しく聞くと、ヤスが春子に恋をしているのではなく、春子がヤスに恋をしていて、その春子の気持ちにこたえた方がいいのではないかとヤスは言うのだった。一方の沢木は、秋子との昨日のデートの話をヤスに話し始めるが…。</v>
      </c>
      <c r="N1042" s="2"/>
      <c r="O1042" s="2"/>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row>
    <row r="1043" ht="204.75" customHeight="1">
      <c r="A1043" s="1">
        <v>3403.0</v>
      </c>
      <c r="B1043" s="2" t="s">
        <v>3332</v>
      </c>
      <c r="C1043" s="2">
        <f>IFERROR(__xludf.DUMMYFUNCTION("split(B1043,""_"")"),1304.0)</f>
        <v>1304</v>
      </c>
      <c r="D1043" s="2" t="str">
        <f>IFERROR(__xludf.DUMMYFUNCTION("""COMPUTED_VALUE"""),"CX")</f>
        <v>CX</v>
      </c>
      <c r="E1043" s="2" t="str">
        <f>IFERROR(__xludf.DUMMYFUNCTION("""COMPUTED_VALUE"""),"土23")</f>
        <v>土23</v>
      </c>
      <c r="F1043" s="2" t="s">
        <v>3333</v>
      </c>
      <c r="G1043" s="2" t="s">
        <v>3351</v>
      </c>
      <c r="H1043" s="1">
        <v>7.0</v>
      </c>
      <c r="I1043" s="1" t="s">
        <v>25</v>
      </c>
      <c r="J1043" s="1" t="s">
        <v>2429</v>
      </c>
      <c r="K1043" s="2" t="s">
        <v>3352</v>
      </c>
      <c r="L1043" s="2" t="s">
        <v>3353</v>
      </c>
      <c r="M1043" s="2" t="str">
        <f>IFERROR(__xludf.DUMMYFUNCTION("split(split(K1043,""沢木裕次郎:"",false),""公式LINE"",false)"),"日付が6月19日に変わった頃、寿司政の個室で床につくため布団を敷いていた沢木(古田新太)に舎弟のヤス(中丸雄一)は、源さん(大河内浩)がセツコさん(石田えり)に別れてくれと切り出している場面を偶然目撃したと告げる。みんなが感動した2人の結婚30周年パーティーのあと、誰もいない寿司政の店内で源さんはこのまま一緒にいるとセツコさんに迷惑がかかるから、これ以上迷惑をかけないためにも別れてくれとセツコさんに泣きながら懇願していたのだという。  　その話を聞いた沢木は、いてもたってもいられなくなり包丁を取り出して作"&amp;"業の準備に取りかかる。沢木いわく、源さんがセツコさんにそんなことを言い出したのは、何かとんでもないことをしてでも自分を犠牲にしてでもこの寿司政の窮地を救おうとしているからで、そのためにセツコさんに離婚の話を持ち出したに違いないと言う。もし、自分が沢木ではなく、本当に10年前に飛び出していった腕利きの寿司職人テルだったら、源さんをそこまで追い込むことも、秋子(戸田菜穂)や春子(佐藤めぐみ)に悲しい思いをさせることもなく寿司政を救うことができるのだと、沢木は魚をさばきはじめる。いつになく真剣な沢木の様子を見て"&amp;"、ヤスもシャリを作り始める。  　秋子が銀座でのバイトから疲れて帰ってきた深夜2時半。沢木とヤスの2人はまだ作業を続けていた。必死に寿司を握る2人の姿を見た秋子は…。")</f>
        <v>日付が6月19日に変わった頃、寿司政の個室で床につくため布団を敷いていた沢木(古田新太)に舎弟のヤス(中丸雄一)は、源さん(大河内浩)がセツコさん(石田えり)に別れてくれと切り出している場面を偶然目撃したと告げる。みんなが感動した2人の結婚30周年パーティーのあと、誰もいない寿司政の店内で源さんはこのまま一緒にいるとセツコさんに迷惑がかかるから、これ以上迷惑をかけないためにも別れてくれとセツコさんに泣きながら懇願していたのだという。  　その話を聞いた沢木は、いてもたってもいられなくなり包丁を取り出して作業の準備に取りかかる。沢木いわく、源さんがセツコさんにそんなことを言い出したのは、何かとんでもないことをしてでも自分を犠牲にしてでもこの寿司政の窮地を救おうとしているからで、そのためにセツコさんに離婚の話を持ち出したに違いないと言う。もし、自分が沢木ではなく、本当に10年前に飛び出していった腕利きの寿司職人テルだったら、源さんをそこまで追い込むことも、秋子(戸田菜穂)や春子(佐藤めぐみ)に悲しい思いをさせることもなく寿司政を救うことができるのだと、沢木は魚をさばきはじめる。いつになく真剣な沢木の様子を見て、ヤスもシャリを作り始める。  　秋子が銀座でのバイトから疲れて帰ってきた深夜2時半。沢木とヤスの2人はまだ作業を続けていた。必死に寿司を握る2人の姿を見た秋子は…。</v>
      </c>
      <c r="N1043" s="2"/>
      <c r="O1043" s="2"/>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row>
    <row r="1044" ht="204.75" customHeight="1">
      <c r="A1044" s="1">
        <v>3404.0</v>
      </c>
      <c r="B1044" s="2" t="s">
        <v>3332</v>
      </c>
      <c r="C1044" s="2">
        <f>IFERROR(__xludf.DUMMYFUNCTION("split(B1044,""_"")"),1304.0)</f>
        <v>1304</v>
      </c>
      <c r="D1044" s="2" t="str">
        <f>IFERROR(__xludf.DUMMYFUNCTION("""COMPUTED_VALUE"""),"CX")</f>
        <v>CX</v>
      </c>
      <c r="E1044" s="2" t="str">
        <f>IFERROR(__xludf.DUMMYFUNCTION("""COMPUTED_VALUE"""),"土23")</f>
        <v>土23</v>
      </c>
      <c r="F1044" s="2" t="s">
        <v>3333</v>
      </c>
      <c r="G1044" s="2" t="s">
        <v>3354</v>
      </c>
      <c r="H1044" s="1">
        <v>8.0</v>
      </c>
      <c r="I1044" s="1" t="s">
        <v>29</v>
      </c>
      <c r="J1044" s="1" t="s">
        <v>2429</v>
      </c>
      <c r="K1044" s="2" t="s">
        <v>3355</v>
      </c>
      <c r="L1044" s="2" t="s">
        <v>3356</v>
      </c>
      <c r="M1044" s="2" t="str">
        <f>IFERROR(__xludf.DUMMYFUNCTION("split(split(K1044,""沢木裕次郎:"",false),""公式LINE"",false)"),"寿司政の店内では沢木(古田新太)と舎弟のヤス(中丸雄一)とセツコ(石田えり)の3人がやや酔っ払いながらも深刻な話を続けていた。源さん(大河内浩)がちょっと前に「何も言わずにここを出て行ってくれ」と絶縁を言い渡したことを、気にするなとセツコは繰り返すように沢木とヤスに語る。一方で、10年前に出て行った寿司職人のテルとして寿司政に残り続ける沢木も、源さんと自分との仲だから、源さんが出て行けと言った意図はわかりすぎるぐらいにわかっているので大丈夫だ、と応じるのだった。  　日付が6月20日に変わったのをキッカケ"&amp;"に、3人はお開きにしようと片付けをはじめる。そこで沢木は思い出したように、セツコに源さんと別れちゃダメだよとおどけたように話し出す。源さんは何かとんでもないことをしでかそうとしているかもしれないけど、その行動は俺が止める。俺が寿司政を救いさえすれば全てうまくいく。昼間は胸男(を名乗っているヤス)と2人で金策にまわり、夜は寿司を握り勘を取り戻すからと沢木はセツコに語りかけ、セツコはその言葉に涙ぐむのだった。  　セツコを寿司政から送り出した沢木は、自分が本当にテルで皆に必要とされており、その期待に応えられそ"&amp;"うな気がするとヤスに語ると、寿司政に居座ることに当初反対していたヤスもいつしか沢木と同じような気分になっていて…。")</f>
        <v>寿司政の店内では沢木(古田新太)と舎弟のヤス(中丸雄一)とセツコ(石田えり)の3人がやや酔っ払いながらも深刻な話を続けていた。源さん(大河内浩)がちょっと前に「何も言わずにここを出て行ってくれ」と絶縁を言い渡したことを、気にするなとセツコは繰り返すように沢木とヤスに語る。一方で、10年前に出て行った寿司職人のテルとして寿司政に残り続ける沢木も、源さんと自分との仲だから、源さんが出て行けと言った意図はわかりすぎるぐらいにわかっているので大丈夫だ、と応じるのだった。  　日付が6月20日に変わったのをキッカケに、3人はお開きにしようと片付けをはじめる。そこで沢木は思い出したように、セツコに源さんと別れちゃダメだよとおどけたように話し出す。源さんは何かとんでもないことをしでかそうとしているかもしれないけど、その行動は俺が止める。俺が寿司政を救いさえすれば全てうまくいく。昼間は胸男(を名乗っているヤス)と2人で金策にまわり、夜は寿司を握り勘を取り戻すからと沢木はセツコに語りかけ、セツコはその言葉に涙ぐむのだった。  　セツコを寿司政から送り出した沢木は、自分が本当にテルで皆に必要とされており、その期待に応えられそうな気がするとヤスに語ると、寿司政に居座ることに当初反対していたヤスもいつしか沢木と同じような気分になっていて…。</v>
      </c>
      <c r="N1044" s="2"/>
      <c r="O1044" s="2"/>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row>
    <row r="1045" ht="204.75" customHeight="1">
      <c r="A1045" s="1">
        <v>3405.0</v>
      </c>
      <c r="B1045" s="2" t="s">
        <v>3332</v>
      </c>
      <c r="C1045" s="2">
        <f>IFERROR(__xludf.DUMMYFUNCTION("split(B1045,""_"")"),1304.0)</f>
        <v>1304</v>
      </c>
      <c r="D1045" s="2" t="str">
        <f>IFERROR(__xludf.DUMMYFUNCTION("""COMPUTED_VALUE"""),"CX")</f>
        <v>CX</v>
      </c>
      <c r="E1045" s="2" t="str">
        <f>IFERROR(__xludf.DUMMYFUNCTION("""COMPUTED_VALUE"""),"土23")</f>
        <v>土23</v>
      </c>
      <c r="F1045" s="2" t="s">
        <v>3333</v>
      </c>
      <c r="G1045" s="2" t="s">
        <v>3357</v>
      </c>
      <c r="H1045" s="1">
        <v>9.0</v>
      </c>
      <c r="I1045" s="1" t="s">
        <v>33</v>
      </c>
      <c r="J1045" s="1" t="s">
        <v>2429</v>
      </c>
      <c r="K1045" s="2" t="s">
        <v>3358</v>
      </c>
      <c r="L1045" s="2" t="s">
        <v>3359</v>
      </c>
      <c r="M1045" s="2" t="str">
        <f>IFERROR(__xludf.DUMMYFUNCTION("split(split(K1045,""沢木裕次郎:"",false),""公式LINE"",false)"),"盗みに入ったにもかかわらず、10年前に出て行った腕利きの板前・テルに間違われたことをいいことにそのまま寿司政に居ついていた沢木(古田新太)と舎弟のヤス(中丸雄一)の2人だったが、テルと旧知の仲らしい借金取り立て屋の広岡(阪田マサノブ)にボコボコにされた上に、その様子を順平(木村了)に見られ、直後、25年ぶりに再会するというテルの悪友・八幡山崇(竹山隆範)にテルではないことを見破られ、大騒ぎされてしまう。あまりの状況に沢木はヤスと2人、寿司政を出て行くことに。  　2人が戻ってくることを信じて待っている春子"&amp;"(佐藤めぐみ)と源さん(大河内浩)とセツコ(石田えり)と順平。時刻は夜の12時を回り、日付が6月21日になった頃、とりあえず各自家に帰ることにする。  　1人残された春子は、沢木とヤスが寝起きしていた寿司政の個室に入る。個室には「探さないで下さい」と書かれた紙が残されていた。銀座のバイトから帰ってきた秋子(戸田菜穂)に、春子は沢木とヤスが寿司政を出て行ったことを泣きながら話し出す…。    　10日ほどさかのぼり、6月11日。亡くなった寿司政の大将(金田明夫)のお通夜の席。気丈に振る舞う秋子と泣きはらした"&amp;"春子。  　盗みに入ったはずの沢木が、なぜテルに間違われることになったのか…。全ての謎が、大将のお通夜から沢木とヤスが盗みに入るまでの一部始終をもって明かされる…。")</f>
        <v>盗みに入ったにもかかわらず、10年前に出て行った腕利きの板前・テルに間違われたことをいいことにそのまま寿司政に居ついていた沢木(古田新太)と舎弟のヤス(中丸雄一)の2人だったが、テルと旧知の仲らしい借金取り立て屋の広岡(阪田マサノブ)にボコボコにされた上に、その様子を順平(木村了)に見られ、直後、25年ぶりに再会するというテルの悪友・八幡山崇(竹山隆範)にテルではないことを見破られ、大騒ぎされてしまう。あまりの状況に沢木はヤスと2人、寿司政を出て行くことに。  　2人が戻ってくることを信じて待っている春子(佐藤めぐみ)と源さん(大河内浩)とセツコ(石田えり)と順平。時刻は夜の12時を回り、日付が6月21日になった頃、とりあえず各自家に帰ることにする。  　1人残された春子は、沢木とヤスが寝起きしていた寿司政の個室に入る。個室には「探さないで下さい」と書かれた紙が残されていた。銀座のバイトから帰ってきた秋子(戸田菜穂)に、春子は沢木とヤスが寿司政を出て行ったことを泣きながら話し出す…。    　10日ほどさかのぼり、6月11日。亡くなった寿司政の大将(金田明夫)のお通夜の席。気丈に振る舞う秋子と泣きはらした春子。  　盗みに入ったはずの沢木が、なぜテルに間違われることになったのか…。全ての謎が、大将のお通夜から沢木とヤスが盗みに入るまでの一部始終をもって明かされる…。</v>
      </c>
      <c r="N1045" s="2"/>
      <c r="O1045" s="2"/>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row>
    <row r="1046" ht="204.75" customHeight="1">
      <c r="A1046" s="1">
        <v>3406.0</v>
      </c>
      <c r="B1046" s="2" t="s">
        <v>3332</v>
      </c>
      <c r="C1046" s="2">
        <f>IFERROR(__xludf.DUMMYFUNCTION("split(B1046,""_"")"),1304.0)</f>
        <v>1304</v>
      </c>
      <c r="D1046" s="2" t="str">
        <f>IFERROR(__xludf.DUMMYFUNCTION("""COMPUTED_VALUE"""),"CX")</f>
        <v>CX</v>
      </c>
      <c r="E1046" s="2" t="str">
        <f>IFERROR(__xludf.DUMMYFUNCTION("""COMPUTED_VALUE"""),"土23")</f>
        <v>土23</v>
      </c>
      <c r="F1046" s="2" t="s">
        <v>3333</v>
      </c>
      <c r="G1046" s="2" t="s">
        <v>3360</v>
      </c>
      <c r="H1046" s="1">
        <v>10.0</v>
      </c>
      <c r="I1046" s="1" t="s">
        <v>37</v>
      </c>
      <c r="J1046" s="1" t="s">
        <v>2429</v>
      </c>
      <c r="K1046" s="2" t="s">
        <v>3361</v>
      </c>
      <c r="L1046" s="2" t="s">
        <v>3362</v>
      </c>
      <c r="M1046" s="2" t="str">
        <f>IFERROR(__xludf.DUMMYFUNCTION("split(split(K1046,""沢木裕次郎:"",false),""公式LINE"",false)"),"寿司政を出て行ったはずの沢木(古田新太)と舎弟のヤス(中丸雄一)がふらりと帰ってきた。自分たちがやったことの全てがバレて2人が出て行き、二度と帰ってこないものと半ば思っていた秋子(戸田菜穂)と春子(佐藤めぐみ)は驚きを隠せない。何事もなかったかのように春子をちゃかしながら寝起きしていた寿司政の個室に入り、明日の仕込みだけさせてもらっていいですかと個室から出てくる沢木とヤス。　明日、江戸前の寿司を皆さんに味わってもらうためにと寿司ネタをせっせと仕込む2人に秋子は、自分たちがダマしていたことはわかっているんで"&amp;"しょ?と問いかける。が、沢木は自分が10年前にここを出て行き、寿司政のみんながずっと待ってくれていたテルこと本宮照夫ですと言い張る。本宮照夫は暴力団とつながっていて、いろいろな悪事を働いているから、いずれ2人にも迷惑がかかるからと言う秋子の言葉にも沢木とヤスはおどけたような芝居を見せ、あくまでも自分たちは、テルとその舎弟の胸男だと言い張るのだった。  　早朝、秋子と春子の部屋の電気が消えていることを確認した沢木とヤスは、個室で打合せをはじめる。地図をひろげ、高級マンションの写真の数々をながめるなどしてセキ"&amp;"ュリティー情報などを確認しあう2人。このマンションをターゲットに、盗みに入る計画を立て始める2人。そのマンションというのが実は…。")</f>
        <v>寿司政を出て行ったはずの沢木(古田新太)と舎弟のヤス(中丸雄一)がふらりと帰ってきた。自分たちがやったことの全てがバレて2人が出て行き、二度と帰ってこないものと半ば思っていた秋子(戸田菜穂)と春子(佐藤めぐみ)は驚きを隠せない。何事もなかったかのように春子をちゃかしながら寝起きしていた寿司政の個室に入り、明日の仕込みだけさせてもらっていいですかと個室から出てくる沢木とヤス。　明日、江戸前の寿司を皆さんに味わってもらうためにと寿司ネタをせっせと仕込む2人に秋子は、自分たちがダマしていたことはわかっているんでしょ?と問いかける。が、沢木は自分が10年前にここを出て行き、寿司政のみんながずっと待ってくれていたテルこと本宮照夫ですと言い張る。本宮照夫は暴力団とつながっていて、いろいろな悪事を働いているから、いずれ2人にも迷惑がかかるからと言う秋子の言葉にも沢木とヤスはおどけたような芝居を見せ、あくまでも自分たちは、テルとその舎弟の胸男だと言い張るのだった。  　早朝、秋子と春子の部屋の電気が消えていることを確認した沢木とヤスは、個室で打合せをはじめる。地図をひろげ、高級マンションの写真の数々をながめるなどしてセキュリティー情報などを確認しあう2人。このマンションをターゲットに、盗みに入る計画を立て始める2人。そのマンションというのが実は…。</v>
      </c>
      <c r="N1046" s="2"/>
      <c r="O1046" s="2"/>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row>
    <row r="1047" ht="204.75" customHeight="1">
      <c r="A1047" s="1">
        <v>3407.0</v>
      </c>
      <c r="B1047" s="2" t="s">
        <v>3332</v>
      </c>
      <c r="C1047" s="2">
        <f>IFERROR(__xludf.DUMMYFUNCTION("split(B1047,""_"")"),1304.0)</f>
        <v>1304</v>
      </c>
      <c r="D1047" s="2" t="str">
        <f>IFERROR(__xludf.DUMMYFUNCTION("""COMPUTED_VALUE"""),"CX")</f>
        <v>CX</v>
      </c>
      <c r="E1047" s="2" t="str">
        <f>IFERROR(__xludf.DUMMYFUNCTION("""COMPUTED_VALUE"""),"土23")</f>
        <v>土23</v>
      </c>
      <c r="F1047" s="2" t="s">
        <v>3333</v>
      </c>
      <c r="G1047" s="2" t="s">
        <v>3363</v>
      </c>
      <c r="H1047" s="1">
        <v>11.0</v>
      </c>
      <c r="I1047" s="1" t="s">
        <v>41</v>
      </c>
      <c r="J1047" s="1" t="s">
        <v>2429</v>
      </c>
      <c r="K1047" s="2" t="s">
        <v>3364</v>
      </c>
      <c r="L1047" s="2" t="s">
        <v>3365</v>
      </c>
      <c r="M1047" s="2" t="str">
        <f>IFERROR(__xludf.DUMMYFUNCTION("split(split(K1047,""沢木裕次郎:"",false),""公式LINE"",false)"),"沢木(古田新太)と舎弟のヤス(中丸雄一)は取り残された寿司政の店内にいた。2人は沢木にそっくりで10年前に寿司政を飛び出し、ヤクザのようになった元寿司職人のテルこと本宮照夫の殺害を刑事の小野寺(小木茂光)と香田(伊藤高史)の前で自供し連行された秋子(戸田菜穂)のために、自分たちにできることは何かないかと考えていた。  　時計の針が12時を回った頃、借金取りの広岡(阪田マサノブ)とエリカ(ICONIQ)が現れ、沢木にお前は誰だ?と詰め寄る。広岡の話によると、テルは神戸の暴力団事務所につかまり監禁されていると"&amp;"いう。沢木をテルだと信じこんでいた広岡とエリカは何の目的で沢木がテルを名乗っているのかワケがわからない。が、沢木はあくまでも自分は本宮照夫だと突っぱねる。そこまで言い張るならテルの借金1千万を返せとすごむ広岡に、沢木はその借金を何倍にもして返すと言ったテルの言葉通りに、テルが書いた自筆の借用書と引き替えに明日以降返すと約束する。  　かつてヤスをはじめとする多くの男たちから金を巻き上げ、逮捕されている毒婦・住吉千穂(大久保佳代子)の自宅マンションに盗みに入る準備をしながら、ヤスは沢木に疑問を投げかける。秋"&amp;"子はテルを殺したと言っていたが、広岡の話だと生きているという。生きていたのか、それとも監禁されているのはテルそっくりのもう1人の別人なのか…。沢木はあるところに電話をかけるのだが…。")</f>
        <v>沢木(古田新太)と舎弟のヤス(中丸雄一)は取り残された寿司政の店内にいた。2人は沢木にそっくりで10年前に寿司政を飛び出し、ヤクザのようになった元寿司職人のテルこと本宮照夫の殺害を刑事の小野寺(小木茂光)と香田(伊藤高史)の前で自供し連行された秋子(戸田菜穂)のために、自分たちにできることは何かないかと考えていた。  　時計の針が12時を回った頃、借金取りの広岡(阪田マサノブ)とエリカ(ICONIQ)が現れ、沢木にお前は誰だ?と詰め寄る。広岡の話によると、テルは神戸の暴力団事務所につかまり監禁されているという。沢木をテルだと信じこんでいた広岡とエリカは何の目的で沢木がテルを名乗っているのかワケがわからない。が、沢木はあくまでも自分は本宮照夫だと突っぱねる。そこまで言い張るならテルの借金1千万を返せとすごむ広岡に、沢木はその借金を何倍にもして返すと言ったテルの言葉通りに、テルが書いた自筆の借用書と引き替えに明日以降返すと約束する。  　かつてヤスをはじめとする多くの男たちから金を巻き上げ、逮捕されている毒婦・住吉千穂(大久保佳代子)の自宅マンションに盗みに入る準備をしながら、ヤスは沢木に疑問を投げかける。秋子はテルを殺したと言っていたが、広岡の話だと生きているという。生きていたのか、それとも監禁されているのはテルそっくりのもう1人の別人なのか…。沢木はあるところに電話をかけるのだが…。</v>
      </c>
      <c r="N1047" s="2"/>
      <c r="O1047" s="2"/>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row>
    <row r="1048" ht="204.75" customHeight="1">
      <c r="A1048" s="1">
        <v>3410.0</v>
      </c>
      <c r="B1048" s="2" t="s">
        <v>3366</v>
      </c>
      <c r="C1048" s="2">
        <f>IFERROR(__xludf.DUMMYFUNCTION("split(B1048,""_"")"),1301.0)</f>
        <v>1301</v>
      </c>
      <c r="D1048" s="2" t="str">
        <f>IFERROR(__xludf.DUMMYFUNCTION("""COMPUTED_VALUE"""),"CX")</f>
        <v>CX</v>
      </c>
      <c r="E1048" s="2" t="str">
        <f>IFERROR(__xludf.DUMMYFUNCTION("""COMPUTED_VALUE"""),"月21")</f>
        <v>月21</v>
      </c>
      <c r="F1048" s="2" t="s">
        <v>3367</v>
      </c>
      <c r="G1048" s="2" t="s">
        <v>3368</v>
      </c>
      <c r="H1048" s="1">
        <v>1.0</v>
      </c>
      <c r="I1048" s="1" t="s">
        <v>3</v>
      </c>
      <c r="J1048" s="1" t="s">
        <v>4</v>
      </c>
      <c r="K1048" s="4" t="s">
        <v>3369</v>
      </c>
      <c r="L1048" s="2" t="s">
        <v>3370</v>
      </c>
      <c r="M1048" s="2" t="str">
        <f>IFERROR(__xludf.DUMMYFUNCTION("split(split(K1048,""篠川栞子:　"",false),""公式LINE"",false)"),"「ビブリア古書堂」の店主・篠川栞子(剛力彩芽)のもとに、古書の査定のため五浦大輔(AKIRA)がやってくる。大輔が持ち込んだのは、亡くなった祖母の蔵書『夏目漱石全集』で、その『第八巻　それから』に「夏目漱石」と署名があったため、サインが本物なら高く売れるのでは、と期待した母・恵理(松坂慶子)から頼まれたものだった。  　本を手にじっと考え込んだ栞子は、やがてサインは偽物だと言った。大輔は礼を言い立ち去ろうとするが、栞子はサインを書いたのは祖母自身としか考えられないと話す。唐突な話に、証拠はあるのかと尋ねた"&amp;"大輔に、栞子は祖母にまつわる驚くべき推論を展開していく。  　後日、「ビブリア古書堂」を訪ねた大輔は、恵理に確認した結果、栞子の推論が事実だったと話す。本を見ただけでなぜそこまでわかるのかと興奮気味の大輔に、栞子は困惑し言葉を濁す。  　その数日後、栞子と再会した大輔は再び「ビブリア古書堂」へやってくる。そこで、自分は本を読むと気分が悪くなる体質だと明かすが、栞子は大輔にこの店で働いてみないか、と言う。古書店の人間に必要なのは、本の内容ではなく市場価値の知識だと説く栞子。迷いながらも大輔は、その申し出を受"&amp;"けることに。  　翌日、大輔が「ビブリア古書堂」にいると、志田肇(高橋克実)がやってきた。志田は栞子に小山清の『落ち穂拾ひ』が盗まれたと言った。それを聞いた栞子は…。")</f>
        <v>「ビブリア古書堂」の店主・篠川栞子(剛力彩芽)のもとに、古書の査定のため五浦大輔(AKIRA)がやってくる。大輔が持ち込んだのは、亡くなった祖母の蔵書『夏目漱石全集』で、その『第八巻　それから』に「夏目漱石」と署名があったため、サインが本物なら高く売れるのでは、と期待した母・恵理(松坂慶子)から頼まれたものだった。  　本を手にじっと考え込んだ栞子は、やがてサインは偽物だと言った。大輔は礼を言い立ち去ろうとするが、栞子はサインを書いたのは祖母自身としか考えられないと話す。唐突な話に、証拠はあるのかと尋ねた大輔に、栞子は祖母にまつわる驚くべき推論を展開していく。  　後日、「ビブリア古書堂」を訪ねた大輔は、恵理に確認した結果、栞子の推論が事実だったと話す。本を見ただけでなぜそこまでわかるのかと興奮気味の大輔に、栞子は困惑し言葉を濁す。  　その数日後、栞子と再会した大輔は再び「ビブリア古書堂」へやってくる。そこで、自分は本を読むと気分が悪くなる体質だと明かすが、栞子は大輔にこの店で働いてみないか、と言う。古書店の人間に必要なのは、本の内容ではなく市場価値の知識だと説く栞子。迷いながらも大輔は、その申し出を受けることに。  　翌日、大輔が「ビブリア古書堂」にいると、志田肇(高橋克実)がやってきた。志田は栞子に小山清の『落ち穂拾ひ』が盗まれたと言った。それを聞いた栞子は…。</v>
      </c>
      <c r="N1048" s="2"/>
      <c r="O1048" s="2"/>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row>
    <row r="1049" ht="204.75" customHeight="1">
      <c r="A1049" s="1">
        <v>3411.0</v>
      </c>
      <c r="B1049" s="2" t="s">
        <v>3366</v>
      </c>
      <c r="C1049" s="2">
        <f>IFERROR(__xludf.DUMMYFUNCTION("split(B1049,""_"")"),1301.0)</f>
        <v>1301</v>
      </c>
      <c r="D1049" s="2" t="str">
        <f>IFERROR(__xludf.DUMMYFUNCTION("""COMPUTED_VALUE"""),"CX")</f>
        <v>CX</v>
      </c>
      <c r="E1049" s="2" t="str">
        <f>IFERROR(__xludf.DUMMYFUNCTION("""COMPUTED_VALUE"""),"月21")</f>
        <v>月21</v>
      </c>
      <c r="F1049" s="2" t="s">
        <v>3367</v>
      </c>
      <c r="G1049" s="2" t="s">
        <v>3371</v>
      </c>
      <c r="H1049" s="1">
        <v>2.0</v>
      </c>
      <c r="I1049" s="1" t="s">
        <v>7</v>
      </c>
      <c r="J1049" s="1" t="s">
        <v>11</v>
      </c>
      <c r="K1049" s="2" t="s">
        <v>3372</v>
      </c>
      <c r="L1049" s="2" t="s">
        <v>3373</v>
      </c>
      <c r="M1049" s="2" t="str">
        <f>IFERROR(__xludf.DUMMYFUNCTION("split(split(K1049,""篠川栞子:　"",false),""公式LINE"",false)"),"篠川栞子(剛力彩芽)は、小山清の『落穂拾ひ』を盗まれ気落ちする「せどり屋」の志田肇(高橋克実)を五浦大輔(AKIRA)に紹介した。すると、志田はあいさつもせず本を盗まれたときの状況を話し始めた。  　志田は古書堂へ来る前、ある寺に用があり自転車で向かった。ところが着いたとたんに腹痛がし、荷物を残したままトイレへと駆けだした。そのとき、音がして振り返ると女子高生らしい少女(水野絵梨奈)と自転車が倒れているのが見えたので、戻って声をかけた。しかし、少女は見向きもせず自分の紙袋の中身を確かめていた。志田は気にな"&amp;"ったが、自転車を起こしておいてくれと頼むとその場を立ち去った。トイレから戻ると、『落穂拾ひ』だけが紛失していた。少女が盗ったのは間違いないと志田は言う。  　栞子は、少女が『落穂拾ひ』を盗った理由こそが少女を探す鍵になると言い、自転車とほかの本はどうなっていたのかと聞く。自転車も本もその場に放置されていたが、本は仲間の笠井菊哉(田中圭)が拾い集めてくれていたと志田は答えた。また笠井は、寺からバス停へと走り去る少女を目撃していたという。  　栞子の提言で笠井と会った大輔は、あの日、笠井が少女に頼まれハサミを"&amp;"貸していたと聞く。さらに、バス停まで走った少女が、バスには乗らなかったとの証言も得た。それを聞いた栞子は、少女が盗むのは『落穂拾ひ』でなければならなかったのだと言う。")</f>
        <v>篠川栞子(剛力彩芽)は、小山清の『落穂拾ひ』を盗まれ気落ちする「せどり屋」の志田肇(高橋克実)を五浦大輔(AKIRA)に紹介した。すると、志田はあいさつもせず本を盗まれたときの状況を話し始めた。  　志田は古書堂へ来る前、ある寺に用があり自転車で向かった。ところが着いたとたんに腹痛がし、荷物を残したままトイレへと駆けだした。そのとき、音がして振り返ると女子高生らしい少女(水野絵梨奈)と自転車が倒れているのが見えたので、戻って声をかけた。しかし、少女は見向きもせず自分の紙袋の中身を確かめていた。志田は気になったが、自転車を起こしておいてくれと頼むとその場を立ち去った。トイレから戻ると、『落穂拾ひ』だけが紛失していた。少女が盗ったのは間違いないと志田は言う。  　栞子は、少女が『落穂拾ひ』を盗った理由こそが少女を探す鍵になると言い、自転車とほかの本はどうなっていたのかと聞く。自転車も本もその場に放置されていたが、本は仲間の笠井菊哉(田中圭)が拾い集めてくれていたと志田は答えた。また笠井は、寺からバス停へと走り去る少女を目撃していたという。  　栞子の提言で笠井と会った大輔は、あの日、笠井が少女に頼まれハサミを貸していたと聞く。さらに、バス停まで走った少女が、バスには乗らなかったとの証言も得た。それを聞いた栞子は、少女が盗むのは『落穂拾ひ』でなければならなかったのだと言う。</v>
      </c>
      <c r="N1049" s="2"/>
      <c r="O1049" s="2"/>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row>
    <row r="1050" ht="204.75" customHeight="1">
      <c r="A1050" s="1">
        <v>3412.0</v>
      </c>
      <c r="B1050" s="2" t="s">
        <v>3366</v>
      </c>
      <c r="C1050" s="2">
        <f>IFERROR(__xludf.DUMMYFUNCTION("split(B1050,""_"")"),1301.0)</f>
        <v>1301</v>
      </c>
      <c r="D1050" s="2" t="str">
        <f>IFERROR(__xludf.DUMMYFUNCTION("""COMPUTED_VALUE"""),"CX")</f>
        <v>CX</v>
      </c>
      <c r="E1050" s="2" t="str">
        <f>IFERROR(__xludf.DUMMYFUNCTION("""COMPUTED_VALUE"""),"月21")</f>
        <v>月21</v>
      </c>
      <c r="F1050" s="2" t="s">
        <v>3367</v>
      </c>
      <c r="G1050" s="2" t="s">
        <v>3374</v>
      </c>
      <c r="H1050" s="1">
        <v>3.0</v>
      </c>
      <c r="I1050" s="1" t="s">
        <v>10</v>
      </c>
      <c r="J1050" s="1" t="s">
        <v>11</v>
      </c>
      <c r="K1050" s="2" t="s">
        <v>3375</v>
      </c>
      <c r="L1050" s="2" t="s">
        <v>3376</v>
      </c>
      <c r="M1050" s="2" t="str">
        <f>IFERROR(__xludf.DUMMYFUNCTION("split(split(K1050,""篠川栞子:　"",false),""公式LINE"",false)"),"篠川栞子(剛力彩芽)と五浦大輔(AKIRA)のもとに、ひとりの男(中村獅童)が買い取り希望だとやって来る。手にしていたのは、ヴィノグラードフ・クジミンの『論理学入門』という本だった。買い取り表からはみ出す字で「坂口昌志」と書いた怪しげな男は、明日また来ると言うと店をあとにした。栞子は、最後のページに貼られた「私本閲読許可証」を見つける。それは刑務所の受刑者が私物として刑務所に持ち込んだ、ということを示すものだった。  　そんな折、『ビブリア古書堂』に来ていた藤波明生(鈴木浩介)が、近所の刑務所から受刑者が"&amp;"脱走した、さっきの男がそうなのではと話す。実際、報道された脱走犯の人相は坂口そっくりだったため、心配した志田肇(高橋克実)は栞子に店頭には出ないようにと命じる。  　そこへ、派手な服を着た女性(佐藤江梨子)が来て、自分は坂口の妻でしのぶと言うが、坂口が売りに来た『論理学入門』を返して欲しいと、店番をしていた大輔に言った。ホステスをしているというしのぶは、一方的にまくし立てると本を持って帰ってしまう。大輔からそう報告を受けた栞子は、坂口本人の許可なく本を返してしまったことは問題だと指摘。責任を感じた大輔は志"&amp;"田とともに、クラブにしのぶを訪ね、本を返して欲しいと頼み込む。  　同じ頃、テレビのニュースでは脱走犯が依然逃走中だと伝えていた。弟の文也(ジェシー)とともにそれを見ていた栞子は…。")</f>
        <v>篠川栞子(剛力彩芽)と五浦大輔(AKIRA)のもとに、ひとりの男(中村獅童)が買い取り希望だとやって来る。手にしていたのは、ヴィノグラードフ・クジミンの『論理学入門』という本だった。買い取り表からはみ出す字で「坂口昌志」と書いた怪しげな男は、明日また来ると言うと店をあとにした。栞子は、最後のページに貼られた「私本閲読許可証」を見つける。それは刑務所の受刑者が私物として刑務所に持ち込んだ、ということを示すものだった。  　そんな折、『ビブリア古書堂』に来ていた藤波明生(鈴木浩介)が、近所の刑務所から受刑者が脱走した、さっきの男がそうなのではと話す。実際、報道された脱走犯の人相は坂口そっくりだったため、心配した志田肇(高橋克実)は栞子に店頭には出ないようにと命じる。  　そこへ、派手な服を着た女性(佐藤江梨子)が来て、自分は坂口の妻でしのぶと言うが、坂口が売りに来た『論理学入門』を返して欲しいと、店番をしていた大輔に言った。ホステスをしているというしのぶは、一方的にまくし立てると本を持って帰ってしまう。大輔からそう報告を受けた栞子は、坂口本人の許可なく本を返してしまったことは問題だと指摘。責任を感じた大輔は志田とともに、クラブにしのぶを訪ね、本を返して欲しいと頼み込む。  　同じ頃、テレビのニュースでは脱走犯が依然逃走中だと伝えていた。弟の文也(ジェシー)とともにそれを見ていた栞子は…。</v>
      </c>
      <c r="N1050" s="2"/>
      <c r="O1050" s="2"/>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row>
    <row r="1051" ht="204.75" customHeight="1">
      <c r="A1051" s="1">
        <v>3413.0</v>
      </c>
      <c r="B1051" s="2" t="s">
        <v>3366</v>
      </c>
      <c r="C1051" s="2">
        <f>IFERROR(__xludf.DUMMYFUNCTION("split(B1051,""_"")"),1301.0)</f>
        <v>1301</v>
      </c>
      <c r="D1051" s="2" t="str">
        <f>IFERROR(__xludf.DUMMYFUNCTION("""COMPUTED_VALUE"""),"CX")</f>
        <v>CX</v>
      </c>
      <c r="E1051" s="2" t="str">
        <f>IFERROR(__xludf.DUMMYFUNCTION("""COMPUTED_VALUE"""),"月21")</f>
        <v>月21</v>
      </c>
      <c r="F1051" s="2" t="s">
        <v>3367</v>
      </c>
      <c r="G1051" s="2" t="s">
        <v>3377</v>
      </c>
      <c r="H1051" s="1">
        <v>4.0</v>
      </c>
      <c r="I1051" s="1" t="s">
        <v>14</v>
      </c>
      <c r="J1051" s="1" t="s">
        <v>11</v>
      </c>
      <c r="K1051" s="2" t="s">
        <v>3378</v>
      </c>
      <c r="L1051" s="2" t="s">
        <v>3379</v>
      </c>
      <c r="M1051" s="2" t="str">
        <f>IFERROR(__xludf.DUMMYFUNCTION("split(split(K1051,""篠川栞子:　"",false),""公式LINE"",false)"),"篠川栞子(剛力彩芽)は、客の自宅に出張して本を買い取る「宅買い」に五浦大輔(AKIRA)を連れて行く。依頼者の玉岡聡子(森口瑤子)は、3カ月前に他界した父親の蔵書を処分して欲しいという。　蔵書は主に純文学や詩集で、なかには中原中也の『在りし日の歌』の初版本など貴重なものもあった。聡子は栞子に、買い取りとともに、昨日この書斎から盗まれた宮沢賢治の『春と修羅』の初版本を取り戻して欲しいと依頼。 父親は『春と修羅』の初版本を2冊持っていたが、状態の良くない方が盗まれたのだという。聡子がその消失に気づいたのは、昨"&amp;"夜遺産のことでクレームを付けに来た兄・一郎(大河内浩)と姉・小百合(峯村リエ)が帰宅した直後だった。2人の来訪の直前まで書斎にいて『春と修羅』の存在を確認していた聡子は、帰宅した2人に電話で問い詰めたが、どちらも犯行を否定しているという。それを聞いた栞子は、2人の服装について尋ねる。 　栞子と大輔がビブリア古書堂に戻ると、そこに疲れ切った志田肇(高橋克実)がいた。志田は先日、酔った勢いで仕入れた古書すべてを1000円で売ってしまう、という失態を演じていたのだ。　翌日、栞子と大輔は一郎に事情を聞きに行き、そ"&amp;"の後、小百合とは甘味処で待ち合わせをした。しかしやって来たのは、息子・昴(今井悠貴)だった。小百合に頼まれて来たという昴は、栞子と大輔を自宅へと連れて行き…。 ")</f>
        <v>篠川栞子(剛力彩芽)は、客の自宅に出張して本を買い取る「宅買い」に五浦大輔(AKIRA)を連れて行く。依頼者の玉岡聡子(森口瑤子)は、3カ月前に他界した父親の蔵書を処分して欲しいという。　蔵書は主に純文学や詩集で、なかには中原中也の『在りし日の歌』の初版本など貴重なものもあった。聡子は栞子に、買い取りとともに、昨日この書斎から盗まれた宮沢賢治の『春と修羅』の初版本を取り戻して欲しいと依頼。 父親は『春と修羅』の初版本を2冊持っていたが、状態の良くない方が盗まれたのだという。聡子がその消失に気づいたのは、昨夜遺産のことでクレームを付けに来た兄・一郎(大河内浩)と姉・小百合(峯村リエ)が帰宅した直後だった。2人の来訪の直前まで書斎にいて『春と修羅』の存在を確認していた聡子は、帰宅した2人に電話で問い詰めたが、どちらも犯行を否定しているという。それを聞いた栞子は、2人の服装について尋ねる。 　栞子と大輔がビブリア古書堂に戻ると、そこに疲れ切った志田肇(高橋克実)がいた。志田は先日、酔った勢いで仕入れた古書すべてを1000円で売ってしまう、という失態を演じていたのだ。　翌日、栞子と大輔は一郎に事情を聞きに行き、その後、小百合とは甘味処で待ち合わせをした。しかしやって来たのは、息子・昴(今井悠貴)だった。小百合に頼まれて来たという昴は、栞子と大輔を自宅へと連れて行き…。 </v>
      </c>
      <c r="N1051" s="2"/>
      <c r="O1051" s="2"/>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row>
    <row r="1052" ht="204.75" customHeight="1">
      <c r="A1052" s="1">
        <v>3414.0</v>
      </c>
      <c r="B1052" s="2" t="s">
        <v>3366</v>
      </c>
      <c r="C1052" s="2">
        <f>IFERROR(__xludf.DUMMYFUNCTION("split(B1052,""_"")"),1301.0)</f>
        <v>1301</v>
      </c>
      <c r="D1052" s="2" t="str">
        <f>IFERROR(__xludf.DUMMYFUNCTION("""COMPUTED_VALUE"""),"CX")</f>
        <v>CX</v>
      </c>
      <c r="E1052" s="2" t="str">
        <f>IFERROR(__xludf.DUMMYFUNCTION("""COMPUTED_VALUE"""),"月21")</f>
        <v>月21</v>
      </c>
      <c r="F1052" s="2" t="s">
        <v>3367</v>
      </c>
      <c r="G1052" s="2" t="s">
        <v>3380</v>
      </c>
      <c r="H1052" s="1">
        <v>5.0</v>
      </c>
      <c r="I1052" s="1" t="s">
        <v>17</v>
      </c>
      <c r="J1052" s="1" t="s">
        <v>11</v>
      </c>
      <c r="K1052" s="2" t="s">
        <v>3381</v>
      </c>
      <c r="L1052" s="2" t="s">
        <v>3382</v>
      </c>
      <c r="M1052" s="2" t="str">
        <f>IFERROR(__xludf.DUMMYFUNCTION("split(split(K1052,""篠川栞子:　"",false),""公式LINE"",false)"),"篠川栞子(剛力彩芽)は、書籍を寄贈するため聖桜女学館を訪ねた。栞子を迎えたのは、図書委員の田辺美鈴(生田絵梨花)だった。書籍は、教員の杉浦(阿南敦子)により選別され数冊が「中学生には不適切」という理由で返却されてしまう。栞子は、文学的評価が高く、性描写や暴力描写があるだけで除外するのはもったいないと言うが、杉浦は最近もアントニイ・バージェスの「時計じかけのオレンジ」を読んで学校を批判する感想文を 提出した生徒がいたと話す。　同じ頃、ビブリア古書堂に小菅奈緒(水野絵梨奈)がやってくる。奈緒は、志田肇(高橋克"&amp;"美)に借りた本を返しに来たのだが、志田はどこか沈んだ表情の奈緒を心配する。奈緒は、中学生の妹の結衣(森迫永依)がCDを万引きして捕まり、学校を停学になっていることを明かした。結衣は聖桜女学館に通う生徒だが、先日書いた読書感想文が学校で問題視され、母親が呼び出されることもあったと、五浦大輔 (AKIRA)らに奈緒は話した。　その後、奈緒は学校から戻った栞子、大輔、志田に結衣の感想文を読ませた。それは「時計じかけのオレンジ」を読んで書かれたもので、善悪の常識について疑問を投げかけていた。それを聞いた藤波明生("&amp;"鈴木浩介)は、万引きも本の影響だろう、と意地悪く言う。栞子は奈緒に、結衣はどこで「時計じかけのオレンジ」を購入したのかと聞く。インターネットの通販だと答えた奈緒に栞子は…。 ")</f>
        <v>篠川栞子(剛力彩芽)は、書籍を寄贈するため聖桜女学館を訪ねた。栞子を迎えたのは、図書委員の田辺美鈴(生田絵梨花)だった。書籍は、教員の杉浦(阿南敦子)により選別され数冊が「中学生には不適切」という理由で返却されてしまう。栞子は、文学的評価が高く、性描写や暴力描写があるだけで除外するのはもったいないと言うが、杉浦は最近もアントニイ・バージェスの「時計じかけのオレンジ」を読んで学校を批判する感想文を 提出した生徒がいたと話す。　同じ頃、ビブリア古書堂に小菅奈緒(水野絵梨奈)がやってくる。奈緒は、志田肇(高橋克美)に借りた本を返しに来たのだが、志田はどこか沈んだ表情の奈緒を心配する。奈緒は、中学生の妹の結衣(森迫永依)がCDを万引きして捕まり、学校を停学になっていることを明かした。結衣は聖桜女学館に通う生徒だが、先日書いた読書感想文が学校で問題視され、母親が呼び出されることもあったと、五浦大輔 (AKIRA)らに奈緒は話した。　その後、奈緒は学校から戻った栞子、大輔、志田に結衣の感想文を読ませた。それは「時計じかけのオレンジ」を読んで書かれたもので、善悪の常識について疑問を投げかけていた。それを聞いた藤波明生(鈴木浩介)は、万引きも本の影響だろう、と意地悪く言う。栞子は奈緒に、結衣はどこで「時計じかけのオレンジ」を購入したのかと聞く。インターネットの通販だと答えた奈緒に栞子は…。 </v>
      </c>
      <c r="N1052" s="2"/>
      <c r="O1052" s="2"/>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row>
    <row r="1053" ht="204.75" customHeight="1">
      <c r="A1053" s="1">
        <v>3415.0</v>
      </c>
      <c r="B1053" s="2" t="s">
        <v>3366</v>
      </c>
      <c r="C1053" s="2">
        <f>IFERROR(__xludf.DUMMYFUNCTION("split(B1053,""_"")"),1301.0)</f>
        <v>1301</v>
      </c>
      <c r="D1053" s="2" t="str">
        <f>IFERROR(__xludf.DUMMYFUNCTION("""COMPUTED_VALUE"""),"CX")</f>
        <v>CX</v>
      </c>
      <c r="E1053" s="2" t="str">
        <f>IFERROR(__xludf.DUMMYFUNCTION("""COMPUTED_VALUE"""),"月21")</f>
        <v>月21</v>
      </c>
      <c r="F1053" s="2" t="s">
        <v>3367</v>
      </c>
      <c r="G1053" s="2" t="s">
        <v>3383</v>
      </c>
      <c r="H1053" s="1">
        <v>6.0</v>
      </c>
      <c r="I1053" s="1" t="s">
        <v>21</v>
      </c>
      <c r="J1053" s="1" t="s">
        <v>11</v>
      </c>
      <c r="K1053" s="2" t="s">
        <v>3384</v>
      </c>
      <c r="L1053" s="2" t="s">
        <v>3385</v>
      </c>
      <c r="M1053" s="2" t="str">
        <f>IFERROR(__xludf.DUMMYFUNCTION("split(split(K1053,""篠川栞子:　"",false),""公式LINE"",false)"),"何者かに石段の上から突き落とされた篠川栞子(剛力彩芽)は、救急車で病院に運ばれた。幸いなことに足首の骨折だけで済み、五浦大輔(AKIRA)は安堵する。一方、篠川文也(ジェシー)から倒れていた栞子を見つけ救急車を呼んだのが藤波明生(鈴木浩介)だと聞くと大輔は顔を曇らせた。　志田肇(高橋克実)、文也、藤波が病室を出ると栞子は大輔に、病院に持ち込んだ金庫から1冊の本を取り出すように頼む。それは、 太宰治の『晩年』だった。栞子は、この本を狙う男に突き落とされたのだと明かした。　栞子が祖父の代から引き継いだ『晩年』"&amp;"は、500部ほどしかない初版本の中でも、太宰自身の署名まで入るなどした大変稀少なもので、300万円以上の値が付くという。栞子は『晩年』を母屋で保管していたが、その存在を知った人物から「譲ってほしい」と何度もメールが来るようになり警戒していたところ、今回の事件が起こったという。 　栞子の入院中、大輔はひとりでビブリア古書堂を切り盛りするが、古書の知識がないため苦労する。そんな大輔の様子を見に、小菅奈緒(水野絵梨奈)や藤波がやってくる。そんな折、店の外に出た藤波が大きな声を上げた。大輔と奈緒が駆けつけると、ワ"&amp;"ゴンのなかの本にガソリンがかけられていた。　危機感を覚えた大輔は、『晩年』を売ってしまってはどうかと勧めるが、栞子は本を手放すくらいなら殺された方がましだと譲らず…。 ")</f>
        <v>何者かに石段の上から突き落とされた篠川栞子(剛力彩芽)は、救急車で病院に運ばれた。幸いなことに足首の骨折だけで済み、五浦大輔(AKIRA)は安堵する。一方、篠川文也(ジェシー)から倒れていた栞子を見つけ救急車を呼んだのが藤波明生(鈴木浩介)だと聞くと大輔は顔を曇らせた。　志田肇(高橋克実)、文也、藤波が病室を出ると栞子は大輔に、病院に持ち込んだ金庫から1冊の本を取り出すように頼む。それは、 太宰治の『晩年』だった。栞子は、この本を狙う男に突き落とされたのだと明かした。　栞子が祖父の代から引き継いだ『晩年』は、500部ほどしかない初版本の中でも、太宰自身の署名まで入るなどした大変稀少なもので、300万円以上の値が付くという。栞子は『晩年』を母屋で保管していたが、その存在を知った人物から「譲ってほしい」と何度もメールが来るようになり警戒していたところ、今回の事件が起こったという。 　栞子の入院中、大輔はひとりでビブリア古書堂を切り盛りするが、古書の知識がないため苦労する。そんな大輔の様子を見に、小菅奈緒(水野絵梨奈)や藤波がやってくる。そんな折、店の外に出た藤波が大きな声を上げた。大輔と奈緒が駆けつけると、ワゴンのなかの本にガソリンがかけられていた。　危機感を覚えた大輔は、『晩年』を売ってしまってはどうかと勧めるが、栞子は本を手放すくらいなら殺された方がましだと譲らず…。 </v>
      </c>
      <c r="N1053" s="2"/>
      <c r="O1053" s="2"/>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row>
    <row r="1054" ht="204.75" customHeight="1">
      <c r="A1054" s="1">
        <v>3416.0</v>
      </c>
      <c r="B1054" s="2" t="s">
        <v>3366</v>
      </c>
      <c r="C1054" s="2">
        <f>IFERROR(__xludf.DUMMYFUNCTION("split(B1054,""_"")"),1301.0)</f>
        <v>1301</v>
      </c>
      <c r="D1054" s="2" t="str">
        <f>IFERROR(__xludf.DUMMYFUNCTION("""COMPUTED_VALUE"""),"CX")</f>
        <v>CX</v>
      </c>
      <c r="E1054" s="2" t="str">
        <f>IFERROR(__xludf.DUMMYFUNCTION("""COMPUTED_VALUE"""),"月21")</f>
        <v>月21</v>
      </c>
      <c r="F1054" s="2" t="s">
        <v>3367</v>
      </c>
      <c r="G1054" s="2" t="s">
        <v>3386</v>
      </c>
      <c r="H1054" s="1">
        <v>7.0</v>
      </c>
      <c r="I1054" s="1" t="s">
        <v>25</v>
      </c>
      <c r="J1054" s="1" t="s">
        <v>11</v>
      </c>
      <c r="K1054" s="2" t="s">
        <v>3387</v>
      </c>
      <c r="L1054" s="2" t="s">
        <v>3388</v>
      </c>
      <c r="M1054" s="2" t="str">
        <f>IFERROR(__xludf.DUMMYFUNCTION("split(split(K1054,""篠川栞子:　"",false),""公式LINE"",false)"),"篠川栞子(剛力彩芽)は太宰治の『晩年』を抱えたまま、病院の屋上で笠井菊哉(田中圭)と対峙していた。駆けつけた五浦大輔(AKIRA)はふたりの間に割って入ろうとするが、笠井の手には鋭いハサミが握られていた。笠井は、本は傷つけないが人間には容赦しないから『晩年』を渡せと迫る。  　笠井は『晩年』を手に入れるためならどんな犠牲を払っても構わないと鬼気迫る表情で栞子に詰め寄る。栞子は、自分は笠井とは違う、自分には古い本よりも大事なことがあると言い、ライターを取り出すと、この本がすべての元凶だと火をつけようする。 "&amp;" 　後日、ビブリア古書堂に買い取り希望の須崎(井浦新)がやってきて、髪が短くて物静かな女性店員はいないかと大輔に尋ねる。栞子が戻ってくると、須崎は足塚不二雄の『UTOPIA　最後の世界大戦』はいくらで買い取るか、と聞いた。その言葉に表情を変えた栞子に、鶴書房版の初版でしかも美本だと言う須崎。栞子は、実物を見た上だが、100万円単位になるのでは、と返す。すると、須崎は満足そうな表情を浮かべ、車を移動してくると言って外へ出て行く。しかしその後、何時間経っても須崎は戻ってこなかった。  　その後、栞子と大輔は買"&amp;"い取り表の住所を頼りに須崎を訪ねた。ふたりを部屋に入れた須崎は、膨大な古書漫画のコレクションを見せるとともに、栞子の母・智恵子(安田成美)と自分の接点を語りはじめ…。")</f>
        <v>篠川栞子(剛力彩芽)は太宰治の『晩年』を抱えたまま、病院の屋上で笠井菊哉(田中圭)と対峙していた。駆けつけた五浦大輔(AKIRA)はふたりの間に割って入ろうとするが、笠井の手には鋭いハサミが握られていた。笠井は、本は傷つけないが人間には容赦しないから『晩年』を渡せと迫る。  　笠井は『晩年』を手に入れるためならどんな犠牲を払っても構わないと鬼気迫る表情で栞子に詰め寄る。栞子は、自分は笠井とは違う、自分には古い本よりも大事なことがあると言い、ライターを取り出すと、この本がすべての元凶だと火をつけようする。  　後日、ビブリア古書堂に買い取り希望の須崎(井浦新)がやってきて、髪が短くて物静かな女性店員はいないかと大輔に尋ねる。栞子が戻ってくると、須崎は足塚不二雄の『UTOPIA　最後の世界大戦』はいくらで買い取るか、と聞いた。その言葉に表情を変えた栞子に、鶴書房版の初版でしかも美本だと言う須崎。栞子は、実物を見た上だが、100万円単位になるのでは、と返す。すると、須崎は満足そうな表情を浮かべ、車を移動してくると言って外へ出て行く。しかしその後、何時間経っても須崎は戻ってこなかった。  　その後、栞子と大輔は買い取り表の住所を頼りに須崎を訪ねた。ふたりを部屋に入れた須崎は、膨大な古書漫画のコレクションを見せるとともに、栞子の母・智恵子(安田成美)と自分の接点を語りはじめ…。</v>
      </c>
      <c r="N1054" s="2"/>
      <c r="O1054" s="2"/>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row>
    <row r="1055" ht="204.75" customHeight="1">
      <c r="A1055" s="1">
        <v>3417.0</v>
      </c>
      <c r="B1055" s="2" t="s">
        <v>3366</v>
      </c>
      <c r="C1055" s="2">
        <f>IFERROR(__xludf.DUMMYFUNCTION("split(B1055,""_"")"),1301.0)</f>
        <v>1301</v>
      </c>
      <c r="D1055" s="2" t="str">
        <f>IFERROR(__xludf.DUMMYFUNCTION("""COMPUTED_VALUE"""),"CX")</f>
        <v>CX</v>
      </c>
      <c r="E1055" s="2" t="str">
        <f>IFERROR(__xludf.DUMMYFUNCTION("""COMPUTED_VALUE"""),"月21")</f>
        <v>月21</v>
      </c>
      <c r="F1055" s="2" t="s">
        <v>3367</v>
      </c>
      <c r="G1055" s="2" t="s">
        <v>3389</v>
      </c>
      <c r="H1055" s="1">
        <v>8.0</v>
      </c>
      <c r="I1055" s="1" t="s">
        <v>29</v>
      </c>
      <c r="J1055" s="1" t="s">
        <v>11</v>
      </c>
      <c r="K1055" s="2" t="s">
        <v>3390</v>
      </c>
      <c r="L1055" s="2" t="s">
        <v>3391</v>
      </c>
      <c r="M1055" s="2" t="str">
        <f>IFERROR(__xludf.DUMMYFUNCTION("split(split(K1055,""篠川栞子:　"",false),""公式LINE"",false)"),"篠川栞子(剛力彩芽)とは親の代から付き合いがあるという、古書店店主の滝野蓮杖(柏原収史)がやってくる。志田肇(高橋克実)は、滝野を栞子の幼なじみ兼相談役だと五浦大輔(AKIRA)に紹介。大輔は、本が読めて栞子の役に立っている滝野をうらやましく思う。一方の滝野は、本が読めないのにビブリア古書堂に入った大輔を冷めた様子で見る。　そんな折、常連客の吉見(大倉孝二)が「いい本が少ない」と言った。それに 同調した栞子は大輔に、明日開かれる古書店同士の売買会「古書交換会」に付き合ってほしいと頼む。　翌日、「交換会」に"&amp;"やってきた大輔は、栞子に連れられて会場内を見て歩く。栞子は売り上げを伸ばすため、値段は張るが人気の高い絶版のSF文庫に入札するが、「ヒトリ文庫」店主の井上(佐野史郎)に競り負けてしまう。　その日の夜、栞子は大輔にロバート・F・ヤングの『たんぽぽ娘』を「絶版文庫」の棚に出してくれと 指示する。それは栞子が自宅から持ち込んだもので、タイムマシンに乗り240年後の未来からやってきた女性と彼女に恋をしてしまう既婚男性の物語が書かれているという。文庫なのに8000円の値段をつけたその本に大輔が興味を示していると、店"&amp;"のドアが大きな音を立てて開き、井上が入ってくる。驚く栞子らに井上は、「交換会」で落札した『たんぽぽ娘』を返せと言う。『たんぽぽ娘』という言葉に反応した大輔が栞子を見ると…。 ")</f>
        <v>篠川栞子(剛力彩芽)とは親の代から付き合いがあるという、古書店店主の滝野蓮杖(柏原収史)がやってくる。志田肇(高橋克実)は、滝野を栞子の幼なじみ兼相談役だと五浦大輔(AKIRA)に紹介。大輔は、本が読めて栞子の役に立っている滝野をうらやましく思う。一方の滝野は、本が読めないのにビブリア古書堂に入った大輔を冷めた様子で見る。　そんな折、常連客の吉見(大倉孝二)が「いい本が少ない」と言った。それに 同調した栞子は大輔に、明日開かれる古書店同士の売買会「古書交換会」に付き合ってほしいと頼む。　翌日、「交換会」にやってきた大輔は、栞子に連れられて会場内を見て歩く。栞子は売り上げを伸ばすため、値段は張るが人気の高い絶版のSF文庫に入札するが、「ヒトリ文庫」店主の井上(佐野史郎)に競り負けてしまう。　その日の夜、栞子は大輔にロバート・F・ヤングの『たんぽぽ娘』を「絶版文庫」の棚に出してくれと 指示する。それは栞子が自宅から持ち込んだもので、タイムマシンに乗り240年後の未来からやってきた女性と彼女に恋をしてしまう既婚男性の物語が書かれているという。文庫なのに8000円の値段をつけたその本に大輔が興味を示していると、店のドアが大きな音を立てて開き、井上が入ってくる。驚く栞子らに井上は、「交換会」で落札した『たんぽぽ娘』を返せと言う。『たんぽぽ娘』という言葉に反応した大輔が栞子を見ると…。 </v>
      </c>
      <c r="N1055" s="2"/>
      <c r="O1055" s="2"/>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row>
    <row r="1056" ht="204.75" customHeight="1">
      <c r="A1056" s="1">
        <v>3418.0</v>
      </c>
      <c r="B1056" s="2" t="s">
        <v>3366</v>
      </c>
      <c r="C1056" s="2">
        <f>IFERROR(__xludf.DUMMYFUNCTION("split(B1056,""_"")"),1301.0)</f>
        <v>1301</v>
      </c>
      <c r="D1056" s="2" t="str">
        <f>IFERROR(__xludf.DUMMYFUNCTION("""COMPUTED_VALUE"""),"CX")</f>
        <v>CX</v>
      </c>
      <c r="E1056" s="2" t="str">
        <f>IFERROR(__xludf.DUMMYFUNCTION("""COMPUTED_VALUE"""),"月21")</f>
        <v>月21</v>
      </c>
      <c r="F1056" s="2" t="s">
        <v>3367</v>
      </c>
      <c r="G1056" s="2" t="s">
        <v>3392</v>
      </c>
      <c r="H1056" s="1">
        <v>9.0</v>
      </c>
      <c r="I1056" s="1" t="s">
        <v>33</v>
      </c>
      <c r="J1056" s="1" t="s">
        <v>11</v>
      </c>
      <c r="K1056" s="2" t="s">
        <v>3393</v>
      </c>
      <c r="L1056" s="2" t="s">
        <v>3394</v>
      </c>
      <c r="M1056" s="2" t="str">
        <f>IFERROR(__xludf.DUMMYFUNCTION("split(split(K1056,""篠川栞子:　"",false),""公式LINE"",false)"),"篠川栞子(剛力彩芽)と五浦大輔(AKIRA)は、定休日に古書店巡りをすることを決め、ある日、写真集専門の古書店へやってくる。ギャラリーを併設したその店で2人が写真を見ていると、写真は好きか、と高坂晶穂(矢田亜希子)が声をかける。予期せず再会したが、晶穂は、大輔の高校の同級生で元恋人だった。  　大輔は気まずいながらも、栞子に晶穂を紹介。カメラマンをやっている晶穂は、野上司(望月章男)という気鋭のカメラマンと一緒に写真展を開いていると説明した。一方の栞子が、祖父の代から古書店を営んでいると話すと、晶穂は「タ"&amp;"ヌキの絵本」を探してくれと頼む。タイトルや作者は覚えていないが、舞台は外国でタヌキなどさまざまな動物が出てきてみんなで家を建てる話だったという。覚えている限りの内容を話すと、栞子は知っている話のような気がするがそれ以上はわからないと答える。  　後日、晶穂がビブリア古書堂を訪ねてくる。志田肇(高橋克実)がパンを焼き上げたところだったので試食をすすめると、晶穂はそれを押し戻し、今日来たのはほかに思い出したことがあるからだと言った。ほかに、サイとワニ、それから成績の悪い男の子も出てきたと話すが、栞子は思い当た"&amp;"らない。  　行き詰まった晶穂は、あとは実家を探すしかないと言うが、母親(かとうかず子)との関係が悪くできれば会いたくないので、栞子に同行してほしいと頼む。")</f>
        <v>篠川栞子(剛力彩芽)と五浦大輔(AKIRA)は、定休日に古書店巡りをすることを決め、ある日、写真集専門の古書店へやってくる。ギャラリーを併設したその店で2人が写真を見ていると、写真は好きか、と高坂晶穂(矢田亜希子)が声をかける。予期せず再会したが、晶穂は、大輔の高校の同級生で元恋人だった。  　大輔は気まずいながらも、栞子に晶穂を紹介。カメラマンをやっている晶穂は、野上司(望月章男)という気鋭のカメラマンと一緒に写真展を開いていると説明した。一方の栞子が、祖父の代から古書店を営んでいると話すと、晶穂は「タヌキの絵本」を探してくれと頼む。タイトルや作者は覚えていないが、舞台は外国でタヌキなどさまざまな動物が出てきてみんなで家を建てる話だったという。覚えている限りの内容を話すと、栞子は知っている話のような気がするがそれ以上はわからないと答える。  　後日、晶穂がビブリア古書堂を訪ねてくる。志田肇(高橋克実)がパンを焼き上げたところだったので試食をすすめると、晶穂はそれを押し戻し、今日来たのはほかに思い出したことがあるからだと言った。ほかに、サイとワニ、それから成績の悪い男の子も出てきたと話すが、栞子は思い当たらない。  　行き詰まった晶穂は、あとは実家を探すしかないと言うが、母親(かとうかず子)との関係が悪くできれば会いたくないので、栞子に同行してほしいと頼む。</v>
      </c>
      <c r="N1056" s="2"/>
      <c r="O1056" s="2"/>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row>
    <row r="1057" ht="204.75" customHeight="1">
      <c r="A1057" s="1">
        <v>3419.0</v>
      </c>
      <c r="B1057" s="2" t="s">
        <v>3366</v>
      </c>
      <c r="C1057" s="2">
        <f>IFERROR(__xludf.DUMMYFUNCTION("split(B1057,""_"")"),1301.0)</f>
        <v>1301</v>
      </c>
      <c r="D1057" s="2" t="str">
        <f>IFERROR(__xludf.DUMMYFUNCTION("""COMPUTED_VALUE"""),"CX")</f>
        <v>CX</v>
      </c>
      <c r="E1057" s="2" t="str">
        <f>IFERROR(__xludf.DUMMYFUNCTION("""COMPUTED_VALUE"""),"月21")</f>
        <v>月21</v>
      </c>
      <c r="F1057" s="2" t="s">
        <v>3367</v>
      </c>
      <c r="G1057" s="2" t="s">
        <v>3395</v>
      </c>
      <c r="H1057" s="1">
        <v>10.0</v>
      </c>
      <c r="I1057" s="1" t="s">
        <v>37</v>
      </c>
      <c r="J1057" s="1" t="s">
        <v>11</v>
      </c>
      <c r="K1057" s="2" t="s">
        <v>3396</v>
      </c>
      <c r="L1057" s="2" t="s">
        <v>3397</v>
      </c>
      <c r="M1057" s="2" t="str">
        <f>IFERROR(__xludf.DUMMYFUNCTION("split(split(K1057,""篠川栞子:　"",false),""公式LINE"",false)"),"篠川栞子(剛力彩芽)は、「古書に関する特別な相談がある」と連絡を受け、五浦大輔(AKIRA)とともに、来城慶子(高樹澪)が暮らす洋館にやってくる。車椅子の慶子に代わり栞子と大輔を迎えたのは妹・邦代(松田美由紀)で、案内された書庫は江戸川乱歩の古書コレクションで埋め尽くされていた。  　そのコレクションは昨年死去した慶子の夫のものだが、ある条件が解決されれば、売ってもよいと言う。その条件とは、洋館にある巨大な金庫の暗号を解くことだった。  　栞子は、大輔、志田肇(高橋克実)、篠川文也(ジェシー)に金庫を開け"&amp;"るために必要なのは、鍵、四桁のダイヤル番号、暗証番号の3つだと言った。  　その後、栞子は大輔とともに井上太一郎(佐野史郎)が経営する「ヒトリ書房」を訪ねる。コレクションの中に、「ヒトリ書房」で購入したと思われる本があったためだ。栞子は、外出先から戻った井上に慶子を知っているかと尋ねた。店員の鹿山直美(横山めぐみ)は微かに反応したが、井上は知らないの一点張りだった。  　志田は、直美の存在が気になる大輔に、直美が以前にも「ヒトリ書房」で働いていたこと、父親の鹿山明(須永慶)は昨年のクリスマスに事故死した有"&amp;"名な政治学者だったことを話す。さらに藤波明生(鈴木浩介)が、鹿山が死に際に「1915」というダイイングメッセージを残していたと教えた。それを聞いた栞子は表情を変え…。")</f>
        <v>篠川栞子(剛力彩芽)は、「古書に関する特別な相談がある」と連絡を受け、五浦大輔(AKIRA)とともに、来城慶子(高樹澪)が暮らす洋館にやってくる。車椅子の慶子に代わり栞子と大輔を迎えたのは妹・邦代(松田美由紀)で、案内された書庫は江戸川乱歩の古書コレクションで埋め尽くされていた。  　そのコレクションは昨年死去した慶子の夫のものだが、ある条件が解決されれば、売ってもよいと言う。その条件とは、洋館にある巨大な金庫の暗号を解くことだった。  　栞子は、大輔、志田肇(高橋克実)、篠川文也(ジェシー)に金庫を開けるために必要なのは、鍵、四桁のダイヤル番号、暗証番号の3つだと言った。  　その後、栞子は大輔とともに井上太一郎(佐野史郎)が経営する「ヒトリ書房」を訪ねる。コレクションの中に、「ヒトリ書房」で購入したと思われる本があったためだ。栞子は、外出先から戻った井上に慶子を知っているかと尋ねた。店員の鹿山直美(横山めぐみ)は微かに反応したが、井上は知らないの一点張りだった。  　志田は、直美の存在が気になる大輔に、直美が以前にも「ヒトリ書房」で働いていたこと、父親の鹿山明(須永慶)は昨年のクリスマスに事故死した有名な政治学者だったことを話す。さらに藤波明生(鈴木浩介)が、鹿山が死に際に「1915」というダイイングメッセージを残していたと教えた。それを聞いた栞子は表情を変え…。</v>
      </c>
      <c r="N1057" s="2"/>
      <c r="O1057" s="2"/>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row>
    <row r="1058" ht="204.75" customHeight="1">
      <c r="A1058" s="1">
        <v>3420.0</v>
      </c>
      <c r="B1058" s="2" t="s">
        <v>3366</v>
      </c>
      <c r="C1058" s="2">
        <f>IFERROR(__xludf.DUMMYFUNCTION("split(B1058,""_"")"),1301.0)</f>
        <v>1301</v>
      </c>
      <c r="D1058" s="2" t="str">
        <f>IFERROR(__xludf.DUMMYFUNCTION("""COMPUTED_VALUE"""),"CX")</f>
        <v>CX</v>
      </c>
      <c r="E1058" s="2" t="str">
        <f>IFERROR(__xludf.DUMMYFUNCTION("""COMPUTED_VALUE"""),"月21")</f>
        <v>月21</v>
      </c>
      <c r="F1058" s="2" t="s">
        <v>3367</v>
      </c>
      <c r="G1058" s="2" t="s">
        <v>3398</v>
      </c>
      <c r="H1058" s="1">
        <v>11.0</v>
      </c>
      <c r="I1058" s="1" t="s">
        <v>41</v>
      </c>
      <c r="J1058" s="1" t="s">
        <v>11</v>
      </c>
      <c r="K1058" s="2" t="s">
        <v>3399</v>
      </c>
      <c r="L1058" s="8" t="s">
        <v>3400</v>
      </c>
      <c r="M1058" s="2" t="str">
        <f>IFERROR(__xludf.DUMMYFUNCTION("split(split(K1058,""篠川栞子:　"",false),""公式LINE"",false)"),"母・智恵子(安田成美)に金庫の鍵を奪われたと確信する篠川栞子(剛力彩芽)は、智恵子よりも早く暗号を解いて暗証文字を入手することを目指す。  　その後、栞子と五浦大輔(AKIRA)がビブリア古書堂に戻ると、智恵子がカウンターに座り本を読んでいた。智恵子は栞子に、金庫の中身は何だと思うかと聞く。栞子が、江戸川乱歩の未発表の草稿か何かだろうと答えると、智恵子は「押絵と旅する男」の第一稿だと言った。それは乱歩の代表作のひとつだが、第一稿は乱歩自身の手で破棄されたと言われている。信じられない話だが、智恵子は鹿山明("&amp;"須永慶)の父親と乱歩の接点を明かした。その意外な事実に志田肇(高橋克実)も驚きを隠せない。  　何としても第一稿を読みたい智恵子は、栞子に協力を持ちかける。一緒に暗号を解くなら、第一稿以外の乱歩コレクションは山分けにしてもいいと。栞子は、自分は鹿山が来城慶子(高樹澪)に残したものを本人に届けたいだけだと、智恵子の提案を断る。  　栞子らが、鹿山と慶子の関係を精査するうち、鹿山が乱歩の「少年探偵団」シリーズを、別宅から娘の直美(横山めぐみ)が暮らす本宅に移した時期に、3年の空白が生じる。その間、「少年探偵団"&amp;"」シリーズはどこに置かれていたのか。大輔や志田らが考えを巡らす中、栞子の携帯が鳴る。それは鹿山の本宅にいた直美からで、智恵子が現れたと伝える電話だった。剛力彩芽　  AKIRA　  田中圭　  鈴木浩介　  北川弘美　  ジェシー(ジャニーズJr.)　  水野絵梨奈　  トリンドル玲奈　  内藤理沙　  安田成美　  松坂慶子　  高橋克実【原作】  三上延『ビブリア古書堂の事件手帖』(メディアワークス文庫)　    【脚本】  相沢友子【演出】  松山博昭☆Taku　Takahashi(m-flo/bl"&amp;"ock.fm)　&amp;　ARTIMAGE　CREWフジテレビドラマ制作センター")</f>
        <v>母・智恵子(安田成美)に金庫の鍵を奪われたと確信する篠川栞子(剛力彩芽)は、智恵子よりも早く暗号を解いて暗証文字を入手することを目指す。  　その後、栞子と五浦大輔(AKIRA)がビブリア古書堂に戻ると、智恵子がカウンターに座り本を読んでいた。智恵子は栞子に、金庫の中身は何だと思うかと聞く。栞子が、江戸川乱歩の未発表の草稿か何かだろうと答えると、智恵子は「押絵と旅する男」の第一稿だと言った。それは乱歩の代表作のひとつだが、第一稿は乱歩自身の手で破棄されたと言われている。信じられない話だが、智恵子は鹿山明(須永慶)の父親と乱歩の接点を明かした。その意外な事実に志田肇(高橋克実)も驚きを隠せない。  　何としても第一稿を読みたい智恵子は、栞子に協力を持ちかける。一緒に暗号を解くなら、第一稿以外の乱歩コレクションは山分けにしてもいいと。栞子は、自分は鹿山が来城慶子(高樹澪)に残したものを本人に届けたいだけだと、智恵子の提案を断る。  　栞子らが、鹿山と慶子の関係を精査するうち、鹿山が乱歩の「少年探偵団」シリーズを、別宅から娘の直美(横山めぐみ)が暮らす本宅に移した時期に、3年の空白が生じる。その間、「少年探偵団」シリーズはどこに置かれていたのか。大輔や志田らが考えを巡らす中、栞子の携帯が鳴る。それは鹿山の本宅にいた直美からで、智恵子が現れたと伝える電話だった。剛力彩芽　  AKIRA　  田中圭　  鈴木浩介　  北川弘美　  ジェシー(ジャニーズJr.)　  水野絵梨奈　  トリンドル玲奈　  内藤理沙　  安田成美　  松坂慶子　  高橋克実【原作】  三上延『ビブリア古書堂の事件手帖』(メディアワークス文庫)　    【脚本】  相沢友子【演出】  松山博昭☆Taku　Takahashi(m-flo/block.fm)　&amp;　ARTIMAGE　CREWフジテレビドラマ制作センター</v>
      </c>
      <c r="N1058" s="2"/>
      <c r="O1058" s="2"/>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row>
    <row r="1059" ht="204.75" customHeight="1">
      <c r="A1059" s="1">
        <v>3421.0</v>
      </c>
      <c r="B1059" s="2" t="s">
        <v>3401</v>
      </c>
      <c r="C1059" s="2">
        <f>IFERROR(__xludf.DUMMYFUNCTION("split(B1059,""_"")"),1301.0)</f>
        <v>1301</v>
      </c>
      <c r="D1059" s="2" t="str">
        <f>IFERROR(__xludf.DUMMYFUNCTION("""COMPUTED_VALUE"""),"CX")</f>
        <v>CX</v>
      </c>
      <c r="E1059" s="2" t="str">
        <f>IFERROR(__xludf.DUMMYFUNCTION("""COMPUTED_VALUE"""),"火22")</f>
        <v>火22</v>
      </c>
      <c r="F1059" s="2" t="s">
        <v>3402</v>
      </c>
      <c r="G1059" s="2" t="s">
        <v>3403</v>
      </c>
      <c r="H1059" s="1">
        <v>6.0</v>
      </c>
      <c r="I1059" s="1" t="s">
        <v>3</v>
      </c>
      <c r="J1059" s="1" t="s">
        <v>82</v>
      </c>
      <c r="K1059" s="4" t="s">
        <v>3404</v>
      </c>
      <c r="L1059" s="2" t="s">
        <v>3405</v>
      </c>
      <c r="M1059" s="9" t="str">
        <f>IFERROR(__xludf.DUMMYFUNCTION("split(split(K1059,""仲間由紀恵　"",false),""html"",false)"),"http://www.ktv.jp/saki/index.")</f>
        <v>http://www.ktv.jp/saki/index.</v>
      </c>
      <c r="N1059" s="2" t="str">
        <f>IFERROR(__xludf.DUMMYFUNCTION("""COMPUTED_VALUE"""),"　雑誌社に勤める記者・新田隼人(三浦翔平)は、ある日、初めての署名記事で自分が生き別れた姉を捜していると記す。数日後、隼人の前に突然、姉と名乗る美しい女性が現れた。女の名前は網浜サキ(仲間由紀恵)。  　サキは港南総合病院の小児科で看護師をしているという。姉だとすぐに信じることはできなかったが、生い立ちを話すにつれ、やがて親交を深めていくサキと隼人。　ある時、二人の前に、男が現れ、強引にサキを連れ去ろうとする。男はサキの病院の元患者・中川(姜暢雄)だった。何とか逃げ出すが、ストーカー被害を案じた隼人は、知"&amp;"り合いの弁護士・野村康介(萩原聖人)を紹介すると約束する")</f>
        <v>　雑誌社に勤める記者・新田隼人(三浦翔平)は、ある日、初めての署名記事で自分が生き別れた姉を捜していると記す。数日後、隼人の前に突然、姉と名乗る美しい女性が現れた。女の名前は網浜サキ(仲間由紀恵)。  　サキは港南総合病院の小児科で看護師をしているという。姉だとすぐに信じることはできなかったが、生い立ちを話すにつれ、やがて親交を深めていくサキと隼人。　ある時、二人の前に、男が現れ、強引にサキを連れ去ろうとする。男はサキの病院の元患者・中川(姜暢雄)だった。何とか逃げ出すが、ストーカー被害を案じた隼人は、知り合いの弁護士・野村康介(萩原聖人)を紹介すると約束する</v>
      </c>
      <c r="O1059" s="2"/>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row>
    <row r="1060" ht="204.75" customHeight="1">
      <c r="A1060" s="1">
        <v>3422.0</v>
      </c>
      <c r="B1060" s="2" t="s">
        <v>3401</v>
      </c>
      <c r="C1060" s="2">
        <f>IFERROR(__xludf.DUMMYFUNCTION("split(B1060,""_"")"),1301.0)</f>
        <v>1301</v>
      </c>
      <c r="D1060" s="2" t="str">
        <f>IFERROR(__xludf.DUMMYFUNCTION("""COMPUTED_VALUE"""),"CX")</f>
        <v>CX</v>
      </c>
      <c r="E1060" s="2" t="str">
        <f>IFERROR(__xludf.DUMMYFUNCTION("""COMPUTED_VALUE"""),"火22")</f>
        <v>火22</v>
      </c>
      <c r="F1060" s="2" t="s">
        <v>3402</v>
      </c>
      <c r="G1060" s="2" t="s">
        <v>3406</v>
      </c>
      <c r="H1060" s="1">
        <v>14.0</v>
      </c>
      <c r="I1060" s="1" t="s">
        <v>7</v>
      </c>
      <c r="J1060" s="1" t="s">
        <v>82</v>
      </c>
      <c r="K1060" s="2" t="s">
        <v>3407</v>
      </c>
      <c r="L1060" s="2" t="s">
        <v>3408</v>
      </c>
      <c r="M1060" s="9" t="str">
        <f>IFERROR(__xludf.DUMMYFUNCTION("split(split(K1060,""仲間由紀恵　"",false),""html"",false)"),"http://www.ktv.jp/saki/index.")</f>
        <v>http://www.ktv.jp/saki/index.</v>
      </c>
      <c r="N1060" s="2" t="str">
        <f>IFERROR(__xludf.DUMMYFUNCTION("""COMPUTED_VALUE"""),"サキ(仲間由紀恵)から「あなたのことをもっと知りたい」と好意をほのめかされた弁護士の野村(萩原聖人)は、サキのことが気になり始める。同性愛者の噂がある野村には、「祐樹」という人物から、「離婚したので連絡がほしい」という旨のメールが何度も届いていた。苦悩を振り払うかのように、野村はついにサキの携帯に電話をかける。一方、サキから夕食を作ってあげたいと連絡を受けた隼人(三浦翔平)は、恋人の百合香(黒川芽以)との先約を反故にし、サキと夕食の約束をする。  病院では理事長の須藤(高嶋政伸)が、自分が親睦会に出席しな"&amp;"いのを知ってサキが残念がる様子を見て、他の看護師とは違う好感を抱き始めていた。翌日、サキと連絡がつかない野村は、意を決してサキに会いに行き食事に誘う。受け入れたサキは「断ち切れない恋を忘れる方法は新しい恋をすることだ」と思わせぶりに語り、酔った野村に、「今日野村さんの家に泊まってもいいですか?」と問いかけて…。")</f>
        <v>サキ(仲間由紀恵)から「あなたのことをもっと知りたい」と好意をほのめかされた弁護士の野村(萩原聖人)は、サキのことが気になり始める。同性愛者の噂がある野村には、「祐樹」という人物から、「離婚したので連絡がほしい」という旨のメールが何度も届いていた。苦悩を振り払うかのように、野村はついにサキの携帯に電話をかける。一方、サキから夕食を作ってあげたいと連絡を受けた隼人(三浦翔平)は、恋人の百合香(黒川芽以)との先約を反故にし、サキと夕食の約束をする。  病院では理事長の須藤(高嶋政伸)が、自分が親睦会に出席しないのを知ってサキが残念がる様子を見て、他の看護師とは違う好感を抱き始めていた。翌日、サキと連絡がつかない野村は、意を決してサキに会いに行き食事に誘う。受け入れたサキは「断ち切れない恋を忘れる方法は新しい恋をすることだ」と思わせぶりに語り、酔った野村に、「今日野村さんの家に泊まってもいいですか?」と問いかけて…。</v>
      </c>
      <c r="O1060" s="2"/>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row>
    <row r="1061" ht="204.75" customHeight="1">
      <c r="A1061" s="1">
        <v>3423.0</v>
      </c>
      <c r="B1061" s="2" t="s">
        <v>3401</v>
      </c>
      <c r="C1061" s="2">
        <f>IFERROR(__xludf.DUMMYFUNCTION("split(B1061,""_"")"),1301.0)</f>
        <v>1301</v>
      </c>
      <c r="D1061" s="2" t="str">
        <f>IFERROR(__xludf.DUMMYFUNCTION("""COMPUTED_VALUE"""),"CX")</f>
        <v>CX</v>
      </c>
      <c r="E1061" s="2" t="str">
        <f>IFERROR(__xludf.DUMMYFUNCTION("""COMPUTED_VALUE"""),"火22")</f>
        <v>火22</v>
      </c>
      <c r="F1061" s="2" t="s">
        <v>3402</v>
      </c>
      <c r="G1061" s="2" t="s">
        <v>3409</v>
      </c>
      <c r="H1061" s="1">
        <v>22.0</v>
      </c>
      <c r="I1061" s="1" t="s">
        <v>10</v>
      </c>
      <c r="J1061" s="1" t="s">
        <v>86</v>
      </c>
      <c r="K1061" s="2" t="s">
        <v>3410</v>
      </c>
      <c r="L1061" s="2" t="s">
        <v>3411</v>
      </c>
      <c r="M1061" s="9" t="str">
        <f>IFERROR(__xludf.DUMMYFUNCTION("split(split(K1061,""仲間由紀恵　"",false),""html"",false)"),"http://www.ktv.jp/saki/index.")</f>
        <v>http://www.ktv.jp/saki/index.</v>
      </c>
      <c r="N1061" s="2" t="str">
        <f>IFERROR(__xludf.DUMMYFUNCTION("""COMPUTED_VALUE"""),"野村(萩原聖人)の断ち切れぬ思いの相手・祐樹(原田佳奈)とは、野村の妹だったと知ったサキ(仲間由紀恵)は、祐樹をランチに誘う。聞き上手なサキに徐々に心を開いた祐樹は、野村との生い立ちを打ち明け、離婚を考えているが兄が相談に乗ってくれないと告白。サキは、「私に任せてくれる?」と申し出る。  夜、帰宅した野村は、サキの置き手紙に気づく。野村を傷つけたことをわびる内容に野村は、再び電話でサキを食事に誘う。一方、取材帰りの隼人(三浦翔平)は上司の直美(内田有紀)に、親戚の誕生日プレゼント選びを手伝ってほしいと持ち"&amp;"かける。真剣に品物を選ぶ隼人に、目ざとく恋心を感じ取る直美。しかしその帰り道、二人は野村とサキに出くわす。隼人は思わず無愛想な態度をとってしまい、直美から「ヤキモチ焼いているみたい」とからかわれてしまう。  レストランでサキは、野村に生い立ちを尋ねていた。祐樹から聞いたとは言わず、巧妙に妹の話題に水を向けるサキ。野村が「妹がいるが離婚したがっている」と話すと「野村と夫を比べてしまうから仕方がない、運命の相手は他にいるはず」などと意味あり気に言い、野村を動揺させる。  翌日、港南総合病院の廊下でサキは、理事"&amp;"長の須藤(高嶋政伸)とその妻・恵(富田靖子)と会う。「理事長は愛妻家だって病院中の噂ですよ」と恵をうらやむサキの言葉に、恵は屈託なく応じるが、須藤の胸には何故か複雑な思いがよぎって…。")</f>
        <v>野村(萩原聖人)の断ち切れぬ思いの相手・祐樹(原田佳奈)とは、野村の妹だったと知ったサキ(仲間由紀恵)は、祐樹をランチに誘う。聞き上手なサキに徐々に心を開いた祐樹は、野村との生い立ちを打ち明け、離婚を考えているが兄が相談に乗ってくれないと告白。サキは、「私に任せてくれる?」と申し出る。  夜、帰宅した野村は、サキの置き手紙に気づく。野村を傷つけたことをわびる内容に野村は、再び電話でサキを食事に誘う。一方、取材帰りの隼人(三浦翔平)は上司の直美(内田有紀)に、親戚の誕生日プレゼント選びを手伝ってほしいと持ちかける。真剣に品物を選ぶ隼人に、目ざとく恋心を感じ取る直美。しかしその帰り道、二人は野村とサキに出くわす。隼人は思わず無愛想な態度をとってしまい、直美から「ヤキモチ焼いているみたい」とからかわれてしまう。  レストランでサキは、野村に生い立ちを尋ねていた。祐樹から聞いたとは言わず、巧妙に妹の話題に水を向けるサキ。野村が「妹がいるが離婚したがっている」と話すと「野村と夫を比べてしまうから仕方がない、運命の相手は他にいるはず」などと意味あり気に言い、野村を動揺させる。  翌日、港南総合病院の廊下でサキは、理事長の須藤(高嶋政伸)とその妻・恵(富田靖子)と会う。「理事長は愛妻家だって病院中の噂ですよ」と恵をうらやむサキの言葉に、恵は屈託なく応じるが、須藤の胸には何故か複雑な思いがよぎって…。</v>
      </c>
      <c r="O1061" s="2"/>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row>
    <row r="1062" ht="204.75" customHeight="1">
      <c r="A1062" s="1">
        <v>3424.0</v>
      </c>
      <c r="B1062" s="2" t="s">
        <v>3401</v>
      </c>
      <c r="C1062" s="2">
        <f>IFERROR(__xludf.DUMMYFUNCTION("split(B1062,""_"")"),1301.0)</f>
        <v>1301</v>
      </c>
      <c r="D1062" s="2" t="str">
        <f>IFERROR(__xludf.DUMMYFUNCTION("""COMPUTED_VALUE"""),"CX")</f>
        <v>CX</v>
      </c>
      <c r="E1062" s="2" t="str">
        <f>IFERROR(__xludf.DUMMYFUNCTION("""COMPUTED_VALUE"""),"火22")</f>
        <v>火22</v>
      </c>
      <c r="F1062" s="2" t="s">
        <v>3402</v>
      </c>
      <c r="G1062" s="2" t="s">
        <v>3412</v>
      </c>
      <c r="H1062" s="1">
        <v>30.0</v>
      </c>
      <c r="I1062" s="1" t="s">
        <v>14</v>
      </c>
      <c r="J1062" s="1" t="s">
        <v>86</v>
      </c>
      <c r="K1062" s="2" t="s">
        <v>3413</v>
      </c>
      <c r="L1062" s="2" t="s">
        <v>3414</v>
      </c>
      <c r="M1062" s="9" t="str">
        <f>IFERROR(__xludf.DUMMYFUNCTION("split(split(K1062,""仲間由紀恵　"",false),""html"",false)"),"http://www.ktv.jp/saki/index.")</f>
        <v>http://www.ktv.jp/saki/index.</v>
      </c>
      <c r="N1062" s="2" t="str">
        <f>IFERROR(__xludf.DUMMYFUNCTION("""COMPUTED_VALUE"""),"サキ(仲間由紀恵)に勧められ、野村(萩原聖人)は妹・祐樹(原田佳奈)への秘めた恋心を手紙に書こうと決意するものの、いざとなると筆が進まずにいた。そんな中、サキは、祐樹にも声をかけていることを隠して、週末、伊豆旅行へ行こうと野村を誘う。  一方、誕生祝いの途中でサキが野村とのデートを優先したことに軽い嫉妬を覚えていた隼人(三浦翔平)は、サキから電話で「隼人に祝ってもらえたことが一番嬉しかった」と言われ喜ぶ。ところが、「お礼がしたい」と言われてサキの自宅を訪れると、隼人の恋人・百合香(黒川芽以)も招待されてい"&amp;"た。二人きりだと思い込んでいた隼人はショックを覚え、自分との関係を嬉々としてサキに語る百合香に声を荒げてしまう。その夜、サキとの約束をキャンセルされた野村は、とうとう、決して人には知られたくない、知られてはいけない、妹・祐樹への秘めた思いを手紙に書きつづっていた。  そしてついにきた週末。手紙を書き終え、晴れやかな気持ちでサキと伊豆旅行に訪れた野村を待っていたものは…。")</f>
        <v>サキ(仲間由紀恵)に勧められ、野村(萩原聖人)は妹・祐樹(原田佳奈)への秘めた恋心を手紙に書こうと決意するものの、いざとなると筆が進まずにいた。そんな中、サキは、祐樹にも声をかけていることを隠して、週末、伊豆旅行へ行こうと野村を誘う。  一方、誕生祝いの途中でサキが野村とのデートを優先したことに軽い嫉妬を覚えていた隼人(三浦翔平)は、サキから電話で「隼人に祝ってもらえたことが一番嬉しかった」と言われ喜ぶ。ところが、「お礼がしたい」と言われてサキの自宅を訪れると、隼人の恋人・百合香(黒川芽以)も招待されていた。二人きりだと思い込んでいた隼人はショックを覚え、自分との関係を嬉々としてサキに語る百合香に声を荒げてしまう。その夜、サキとの約束をキャンセルされた野村は、とうとう、決して人には知られたくない、知られてはいけない、妹・祐樹への秘めた思いを手紙に書きつづっていた。  そしてついにきた週末。手紙を書き終え、晴れやかな気持ちでサキと伊豆旅行に訪れた野村を待っていたものは…。</v>
      </c>
      <c r="O1062" s="2"/>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row>
    <row r="1063" ht="204.75" customHeight="1">
      <c r="A1063" s="1">
        <v>3425.0</v>
      </c>
      <c r="B1063" s="2" t="s">
        <v>3401</v>
      </c>
      <c r="C1063" s="2">
        <f>IFERROR(__xludf.DUMMYFUNCTION("split(B1063,""_"")"),1301.0)</f>
        <v>1301</v>
      </c>
      <c r="D1063" s="2" t="str">
        <f>IFERROR(__xludf.DUMMYFUNCTION("""COMPUTED_VALUE"""),"CX")</f>
        <v>CX</v>
      </c>
      <c r="E1063" s="2" t="str">
        <f>IFERROR(__xludf.DUMMYFUNCTION("""COMPUTED_VALUE"""),"火22")</f>
        <v>火22</v>
      </c>
      <c r="F1063" s="2" t="s">
        <v>3402</v>
      </c>
      <c r="G1063" s="2" t="s">
        <v>3415</v>
      </c>
      <c r="H1063" s="1">
        <v>38.0</v>
      </c>
      <c r="I1063" s="1" t="s">
        <v>17</v>
      </c>
      <c r="J1063" s="1" t="s">
        <v>82</v>
      </c>
      <c r="K1063" s="2" t="s">
        <v>3416</v>
      </c>
      <c r="L1063" s="2" t="s">
        <v>3417</v>
      </c>
      <c r="M1063" s="9" t="str">
        <f>IFERROR(__xludf.DUMMYFUNCTION("split(split(K1063,""仲間由紀恵　"",false),""html"",false)"),"http://www.ktv.jp/saki/index.")</f>
        <v>http://www.ktv.jp/saki/index.</v>
      </c>
      <c r="N1063" s="2" t="str">
        <f>IFERROR(__xludf.DUMMYFUNCTION("""COMPUTED_VALUE""")," 野村(萩原聖人)の葬儀がとり行われる中、隼人(三浦翔平)と直美(内田有紀)は、野村のあまりに突然の死が腑に落ちないでいた。するとその夜、サキの自宅を訪れた隼人に、サキは「野村がなぜ死んでしまったか知っている」と切り出し、隼人を愕然とさせる。 一方、空調整備員の本田(岡田義徳)は、サキと偶然再会。手袋を拾った本田にお礼を言うサキの屈託のない笑顔を見て、高揚感を覚える本田。本田は日頃、同僚から馬鹿にされ孤立していたのだった。日曜日、手袋を取りに来たサキと再会した本田は、サキから「お礼がしたい」と食事に誘われ"&amp;"、胸が高鳴る。また、病院理事長の須藤(高嶋政伸)も、無意識に院内でサキの姿を探すようになっていた。 そんな中、隼人は同僚の記者・岩城(石黒英雄)の取材資料の中に、かつてサキにつきまとっていた中川(姜暢雄)の写真を見つけ、中川が自殺していたことを知る。 ")</f>
        <v> 野村(萩原聖人)の葬儀がとり行われる中、隼人(三浦翔平)と直美(内田有紀)は、野村のあまりに突然の死が腑に落ちないでいた。するとその夜、サキの自宅を訪れた隼人に、サキは「野村がなぜ死んでしまったか知っている」と切り出し、隼人を愕然とさせる。 一方、空調整備員の本田(岡田義徳)は、サキと偶然再会。手袋を拾った本田にお礼を言うサキの屈託のない笑顔を見て、高揚感を覚える本田。本田は日頃、同僚から馬鹿にされ孤立していたのだった。日曜日、手袋を取りに来たサキと再会した本田は、サキから「お礼がしたい」と食事に誘われ、胸が高鳴る。また、病院理事長の須藤(高嶋政伸)も、無意識に院内でサキの姿を探すようになっていた。 そんな中、隼人は同僚の記者・岩城(石黒英雄)の取材資料の中に、かつてサキにつきまとっていた中川(姜暢雄)の写真を見つけ、中川が自殺していたことを知る。 </v>
      </c>
      <c r="O1063" s="2"/>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row>
    <row r="1064" ht="204.75" customHeight="1">
      <c r="A1064" s="1">
        <v>3426.0</v>
      </c>
      <c r="B1064" s="2" t="s">
        <v>3401</v>
      </c>
      <c r="C1064" s="2">
        <f>IFERROR(__xludf.DUMMYFUNCTION("split(B1064,""_"")"),1301.0)</f>
        <v>1301</v>
      </c>
      <c r="D1064" s="2" t="str">
        <f>IFERROR(__xludf.DUMMYFUNCTION("""COMPUTED_VALUE"""),"CX")</f>
        <v>CX</v>
      </c>
      <c r="E1064" s="2" t="str">
        <f>IFERROR(__xludf.DUMMYFUNCTION("""COMPUTED_VALUE"""),"火22")</f>
        <v>火22</v>
      </c>
      <c r="F1064" s="2" t="s">
        <v>3402</v>
      </c>
      <c r="G1064" s="2" t="s">
        <v>3418</v>
      </c>
      <c r="H1064" s="1">
        <v>45.0</v>
      </c>
      <c r="I1064" s="1" t="s">
        <v>21</v>
      </c>
      <c r="J1064" s="1" t="s">
        <v>86</v>
      </c>
      <c r="K1064" s="2" t="s">
        <v>3419</v>
      </c>
      <c r="L1064" s="2" t="s">
        <v>3420</v>
      </c>
      <c r="M1064" s="9" t="str">
        <f>IFERROR(__xludf.DUMMYFUNCTION("split(split(K1064,""仲間由紀恵　"",false),""html"",false)"),"http://www.ktv.jp/saki/index.")</f>
        <v>http://www.ktv.jp/saki/index.</v>
      </c>
      <c r="N1064" s="2" t="str">
        <f>IFERROR(__xludf.DUMMYFUNCTION("""COMPUTED_VALUE""")," サキ(仲間由紀恵)の周辺で、野村(萩原聖人)と中川(姜暢雄)の二人が自殺していることを知った隼人(三浦翔平)は、サキが間接的な殺人を犯しているのではないかという疑惑を抱き、ついにサキにぶつける。が、サキから「私を疑っているの?」と機先を制され、言葉に詰まる隼人。疑いを拭いきれない中、「二度あることは三度ある」という上司の濱田直美(内田有紀)の言葉をきっかけに、 隼人は、サキと一緒にいた本田(岡田義徳)という男のことが気にかかり始める。一方、サキに励まされ自信を取り戻した本田は、仕事場で積極的に意見し上司"&amp;"に褒められる。が、同僚の反感を買い、これまで以上にひどく殴られてしまう。サキの元を訪れ、「俺なんて生きてる意味ない…」と弱音を吐く本田。そんな本田をサキは、意外にも本気で叱咤(しった)し勇気づけるのだった。また、病院では、 理事長の須藤(高嶋政伸)が、サキから「職場の人間関係に悩んでいる」と相談を受ける。しかし、小児科から異動することを提案した須藤に対し、突然怒りをあらわにするサキ。誰からも叱られることのなかった須藤は、一層サキのことが脳裏に占め始める。サキの言葉で自信を取り戻し、見違える変貌をとげていく"&amp;"本田。そんな中、仕事場で再び嫌がらせを受けた本田は、思いもよらぬ行動に出て大事件を起こしてしまう。 ")</f>
        <v> サキ(仲間由紀恵)の周辺で、野村(萩原聖人)と中川(姜暢雄)の二人が自殺していることを知った隼人(三浦翔平)は、サキが間接的な殺人を犯しているのではないかという疑惑を抱き、ついにサキにぶつける。が、サキから「私を疑っているの?」と機先を制され、言葉に詰まる隼人。疑いを拭いきれない中、「二度あることは三度ある」という上司の濱田直美(内田有紀)の言葉をきっかけに、 隼人は、サキと一緒にいた本田(岡田義徳)という男のことが気にかかり始める。一方、サキに励まされ自信を取り戻した本田は、仕事場で積極的に意見し上司に褒められる。が、同僚の反感を買い、これまで以上にひどく殴られてしまう。サキの元を訪れ、「俺なんて生きてる意味ない…」と弱音を吐く本田。そんな本田をサキは、意外にも本気で叱咤(しった)し勇気づけるのだった。また、病院では、 理事長の須藤(高嶋政伸)が、サキから「職場の人間関係に悩んでいる」と相談を受ける。しかし、小児科から異動することを提案した須藤に対し、突然怒りをあらわにするサキ。誰からも叱られることのなかった須藤は、一層サキのことが脳裏に占め始める。サキの言葉で自信を取り戻し、見違える変貌をとげていく本田。そんな中、仕事場で再び嫌がらせを受けた本田は、思いもよらぬ行動に出て大事件を起こしてしまう。 </v>
      </c>
      <c r="O1064" s="2"/>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row>
    <row r="1065" ht="204.75" customHeight="1">
      <c r="A1065" s="1">
        <v>3427.0</v>
      </c>
      <c r="B1065" s="2" t="s">
        <v>3401</v>
      </c>
      <c r="C1065" s="2">
        <f>IFERROR(__xludf.DUMMYFUNCTION("split(B1065,""_"")"),1301.0)</f>
        <v>1301</v>
      </c>
      <c r="D1065" s="2" t="str">
        <f>IFERROR(__xludf.DUMMYFUNCTION("""COMPUTED_VALUE"""),"CX")</f>
        <v>CX</v>
      </c>
      <c r="E1065" s="2" t="str">
        <f>IFERROR(__xludf.DUMMYFUNCTION("""COMPUTED_VALUE"""),"火22")</f>
        <v>火22</v>
      </c>
      <c r="F1065" s="2" t="s">
        <v>3402</v>
      </c>
      <c r="G1065" s="2" t="s">
        <v>3421</v>
      </c>
      <c r="H1065" s="1">
        <v>52.0</v>
      </c>
      <c r="I1065" s="1" t="s">
        <v>25</v>
      </c>
      <c r="J1065" s="1" t="s">
        <v>86</v>
      </c>
      <c r="K1065" s="2" t="s">
        <v>3422</v>
      </c>
      <c r="L1065" s="2" t="s">
        <v>3423</v>
      </c>
      <c r="M1065" s="9" t="str">
        <f>IFERROR(__xludf.DUMMYFUNCTION("split(split(K1065,""仲間由紀恵　"",false),""html"",false)"),"http://www.ktv.jp/saki/index.")</f>
        <v>http://www.ktv.jp/saki/index.</v>
      </c>
      <c r="N1065" s="2" t="str">
        <f>IFERROR(__xludf.DUMMYFUNCTION("""COMPUTED_VALUE""")," ホテルでサキ(仲間由紀恵)から「弟と思えない時がある」と告白され、自分がサキに魅かれていることをついに確信する隼人(三浦翔平)。一方、同僚を殴打して逃走していた本田(岡田義徳)は、サキに助けを求めようと電話をかけるが、サキからある患者の意外な話を聞き、自らの行動を決断する。本田の顛末をニュースで見ながら、本田の生まれ年のワインとステーキをひとり味わうサキ。 テーブルに飾られた白いダイヤモンドリリーの花を見たサキの脳裏に、ふと、“母""にまつわる衝撃の過去がよみがえり…。病院理事長の須藤(高嶋政伸)は、サ"&amp;"キから「夢に出てきた理事長は髭がなくて素敵だった」と言われ、サキが自分に好意があるのではと密かに浮足立つ。ところが週末、息子の和繁(庄野崎謙)が恋人候補として自宅に連れてきた女性はなんとサキで…。 その頃、直美(内田有紀)のもとに、本田の同僚だという女性がやってくる。本田の変貌の陰に女性の存在があると聞いた直美は、本田がその女に“人格を壊すスイッチ""を押され、犯罪に走らされたのではと疑念を抱き、事件の真相を追うことに…。 ")</f>
        <v> ホテルでサキ(仲間由紀恵)から「弟と思えない時がある」と告白され、自分がサキに魅かれていることをついに確信する隼人(三浦翔平)。一方、同僚を殴打して逃走していた本田(岡田義徳)は、サキに助けを求めようと電話をかけるが、サキからある患者の意外な話を聞き、自らの行動を決断する。本田の顛末をニュースで見ながら、本田の生まれ年のワインとステーキをひとり味わうサキ。 テーブルに飾られた白いダイヤモンドリリーの花を見たサキの脳裏に、ふと、“母"にまつわる衝撃の過去がよみがえり…。病院理事長の須藤(高嶋政伸)は、サキから「夢に出てきた理事長は髭がなくて素敵だった」と言われ、サキが自分に好意があるのではと密かに浮足立つ。ところが週末、息子の和繁(庄野崎謙)が恋人候補として自宅に連れてきた女性はなんとサキで…。 その頃、直美(内田有紀)のもとに、本田の同僚だという女性がやってくる。本田の変貌の陰に女性の存在があると聞いた直美は、本田がその女に“人格を壊すスイッチ"を押され、犯罪に走らされたのではと疑念を抱き、事件の真相を追うことに…。 </v>
      </c>
      <c r="O1065" s="2"/>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row>
    <row r="1066" ht="204.75" customHeight="1">
      <c r="A1066" s="1">
        <v>3428.0</v>
      </c>
      <c r="B1066" s="2" t="s">
        <v>3401</v>
      </c>
      <c r="C1066" s="2">
        <f>IFERROR(__xludf.DUMMYFUNCTION("split(B1066,""_"")"),1301.0)</f>
        <v>1301</v>
      </c>
      <c r="D1066" s="2" t="str">
        <f>IFERROR(__xludf.DUMMYFUNCTION("""COMPUTED_VALUE"""),"CX")</f>
        <v>CX</v>
      </c>
      <c r="E1066" s="2" t="str">
        <f>IFERROR(__xludf.DUMMYFUNCTION("""COMPUTED_VALUE"""),"火22")</f>
        <v>火22</v>
      </c>
      <c r="F1066" s="2" t="s">
        <v>3402</v>
      </c>
      <c r="G1066" s="2" t="s">
        <v>3424</v>
      </c>
      <c r="H1066" s="1">
        <v>60.0</v>
      </c>
      <c r="I1066" s="1" t="s">
        <v>29</v>
      </c>
      <c r="J1066" s="1" t="s">
        <v>86</v>
      </c>
      <c r="K1066" s="2" t="s">
        <v>3425</v>
      </c>
      <c r="L1066" s="2" t="s">
        <v>3426</v>
      </c>
      <c r="M1066" s="9" t="str">
        <f>IFERROR(__xludf.DUMMYFUNCTION("split(split(K1066,""仲間由紀恵　"",false),""html"",false)"),"http://www.ktv.jp/saki/index.")</f>
        <v>http://www.ktv.jp/saki/index.</v>
      </c>
      <c r="N1066" s="2" t="str">
        <f>IFERROR(__xludf.DUMMYFUNCTION("""COMPUTED_VALUE""")," 　サキ(仲間由紀恵)から実の姉弟ではないと告げられ、「むしずが走る」とまで言い捨てられた隼人(三浦翔平)は、一時、ぼうぜん自失となるも、サキの素性を探ろうと決意。サキが育った土地を訪れた隼人は、自分に語っていた話とは全く異なる、サキの思いもよらぬ過去を知る。　一方、須藤(高嶋政伸)の妻・恵(富田靖子)は、息子が思いを寄せるサキが10歳も年上であることを気にかけ、 サキの本心を確かめようと病院を訪れる。ところが、サキが語り始めた年の差恋愛の話は恵自身の過去と酷似しており、恵はサキが自分たち夫婦の過去を知っ"&amp;"ているのではと疑心暗鬼に陥る。　そんな中、須藤家に招待され泊まることになったサキは、深夜、須藤と2人きりになると、「母は5人の男に殺された」と告白。須藤は、そんなサキに不気味さを感じ始める。 一方、直美(内田有紀)と岩城(石黒英雄)は、殴打事件を起こした本田(岡田義徳)同様、自殺したIT企業社長の中川(姜暢雄)にも、女の影があったことを知る。再び本田の元同僚・道子(伊藤麻実子)のもとを訪れた2人は、道子のある一言から、本田と中川の前に現れた女性が同一人物なのではと思い至って…。 ")</f>
        <v> 　サキ(仲間由紀恵)から実の姉弟ではないと告げられ、「むしずが走る」とまで言い捨てられた隼人(三浦翔平)は、一時、ぼうぜん自失となるも、サキの素性を探ろうと決意。サキが育った土地を訪れた隼人は、自分に語っていた話とは全く異なる、サキの思いもよらぬ過去を知る。　一方、須藤(高嶋政伸)の妻・恵(富田靖子)は、息子が思いを寄せるサキが10歳も年上であることを気にかけ、 サキの本心を確かめようと病院を訪れる。ところが、サキが語り始めた年の差恋愛の話は恵自身の過去と酷似しており、恵はサキが自分たち夫婦の過去を知っているのではと疑心暗鬼に陥る。　そんな中、須藤家に招待され泊まることになったサキは、深夜、須藤と2人きりになると、「母は5人の男に殺された」と告白。須藤は、そんなサキに不気味さを感じ始める。 一方、直美(内田有紀)と岩城(石黒英雄)は、殴打事件を起こした本田(岡田義徳)同様、自殺したIT企業社長の中川(姜暢雄)にも、女の影があったことを知る。再び本田の元同僚・道子(伊藤麻実子)のもとを訪れた2人は、道子のある一言から、本田と中川の前に現れた女性が同一人物なのではと思い至って…。 </v>
      </c>
      <c r="O1066" s="2"/>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row>
    <row r="1067" ht="204.75" customHeight="1">
      <c r="A1067" s="1">
        <v>3429.0</v>
      </c>
      <c r="B1067" s="2" t="s">
        <v>3401</v>
      </c>
      <c r="C1067" s="2">
        <f>IFERROR(__xludf.DUMMYFUNCTION("split(B1067,""_"")"),1301.0)</f>
        <v>1301</v>
      </c>
      <c r="D1067" s="2" t="str">
        <f>IFERROR(__xludf.DUMMYFUNCTION("""COMPUTED_VALUE"""),"CX")</f>
        <v>CX</v>
      </c>
      <c r="E1067" s="2" t="str">
        <f>IFERROR(__xludf.DUMMYFUNCTION("""COMPUTED_VALUE"""),"火22")</f>
        <v>火22</v>
      </c>
      <c r="F1067" s="2" t="s">
        <v>3402</v>
      </c>
      <c r="G1067" s="2" t="s">
        <v>3427</v>
      </c>
      <c r="H1067" s="1">
        <v>69.0</v>
      </c>
      <c r="I1067" s="1" t="s">
        <v>33</v>
      </c>
      <c r="J1067" s="1" t="s">
        <v>86</v>
      </c>
      <c r="K1067" s="2" t="s">
        <v>3428</v>
      </c>
      <c r="L1067" s="2" t="s">
        <v>3429</v>
      </c>
      <c r="M1067" s="9" t="str">
        <f>IFERROR(__xludf.DUMMYFUNCTION("split(split(K1067,""仲間由紀恵　"",false),""html"",false)"),"http://www.ktv.jp/saki/index.")</f>
        <v>http://www.ktv.jp/saki/index.</v>
      </c>
      <c r="N1067" s="2" t="str">
        <f>IFERROR(__xludf.DUMMYFUNCTION("""COMPUTED_VALUE""")," 直美(内田有紀)と岩城(石黒英雄)は、二つの事件に共通する髪の長い女性が、看護師ではないかと推理。そんな二人に、サキ(仲間由紀恵)が共通点だと告げられない隼人(三浦翔平)は、なんとかサキと連絡を取ろうとする。心を許し始めた恵(富田靖子)に、サキは「真っ白な色に黒い点が落ちると、二度と白に戻ることはできないから、白を黒にしないで」と誰かを信じることが大切だと説く。 ところが翌朝、恵は須藤(高嶋政伸)の上着からパールのイヤリングを見つけがくぜん。不安にかられる恵の頭に「二度と白に戻ることはできない」というサ"&amp;"キの言葉がよぎる。サキが風邪で寝込んでいると知った和繁(庄野崎謙)はお見舞いを申し出るも、やんわりと断わられてしまう。一方、サキの欠勤を知った須藤が、お見舞いを申し出ると、和繁の時とは違い、喜んで受け入れるサキ。その顔には怪しげな微笑みが浮かんでいた。 夜、サキの自宅を訪れた須藤は、パールのイヤリングが片方だけ置いてあることに気づく。そんな中、インターフォンが鳴り、モニターには和繁の姿が!父子の鉢合わせの事態にあわてた須藤は…。 ")</f>
        <v> 直美(内田有紀)と岩城(石黒英雄)は、二つの事件に共通する髪の長い女性が、看護師ではないかと推理。そんな二人に、サキ(仲間由紀恵)が共通点だと告げられない隼人(三浦翔平)は、なんとかサキと連絡を取ろうとする。心を許し始めた恵(富田靖子)に、サキは「真っ白な色に黒い点が落ちると、二度と白に戻ることはできないから、白を黒にしないで」と誰かを信じることが大切だと説く。 ところが翌朝、恵は須藤(高嶋政伸)の上着からパールのイヤリングを見つけがくぜん。不安にかられる恵の頭に「二度と白に戻ることはできない」というサキの言葉がよぎる。サキが風邪で寝込んでいると知った和繁(庄野崎謙)はお見舞いを申し出るも、やんわりと断わられてしまう。一方、サキの欠勤を知った須藤が、お見舞いを申し出ると、和繁の時とは違い、喜んで受け入れるサキ。その顔には怪しげな微笑みが浮かんでいた。 夜、サキの自宅を訪れた須藤は、パールのイヤリングが片方だけ置いてあることに気づく。そんな中、インターフォンが鳴り、モニターには和繁の姿が!父子の鉢合わせの事態にあわてた須藤は…。 </v>
      </c>
      <c r="O1067" s="2"/>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row>
    <row r="1068" ht="204.75" customHeight="1">
      <c r="A1068" s="1">
        <v>3430.0</v>
      </c>
      <c r="B1068" s="2" t="s">
        <v>3401</v>
      </c>
      <c r="C1068" s="2">
        <f>IFERROR(__xludf.DUMMYFUNCTION("split(B1068,""_"")"),1301.0)</f>
        <v>1301</v>
      </c>
      <c r="D1068" s="2" t="str">
        <f>IFERROR(__xludf.DUMMYFUNCTION("""COMPUTED_VALUE"""),"CX")</f>
        <v>CX</v>
      </c>
      <c r="E1068" s="2" t="str">
        <f>IFERROR(__xludf.DUMMYFUNCTION("""COMPUTED_VALUE"""),"火22")</f>
        <v>火22</v>
      </c>
      <c r="F1068" s="2" t="s">
        <v>3402</v>
      </c>
      <c r="G1068" s="2" t="s">
        <v>3430</v>
      </c>
      <c r="H1068" s="1">
        <v>78.0</v>
      </c>
      <c r="I1068" s="1" t="s">
        <v>37</v>
      </c>
      <c r="J1068" s="1" t="s">
        <v>86</v>
      </c>
      <c r="K1068" s="2" t="s">
        <v>3431</v>
      </c>
      <c r="L1068" s="2" t="s">
        <v>3432</v>
      </c>
      <c r="M1068" s="9" t="str">
        <f>IFERROR(__xludf.DUMMYFUNCTION("split(split(K1068,""仲間由紀恵　"",false),""html"",false)"),"http://www.ktv.jp/saki/index.")</f>
        <v>http://www.ktv.jp/saki/index.</v>
      </c>
      <c r="N1068" s="2" t="str">
        <f>IFERROR(__xludf.DUMMYFUNCTION("""COMPUTED_VALUE"""),"　妻・恵(富田靖子)にイヤリングを見せられ、サキ(仲間由紀恵)にハメられたと知った須藤(高嶋政伸)は、サキの元へ向かい理由を問い詰める。サキから「母を殺した5人の男のうちの1人」だと突きつけられる須藤。しかし、須藤に心当たりはまるでなかった。  　一方、息子の和繁(庄野崎謙)から、夫・須藤がサキを女として見ており、息子と別れるよう迫ったと聞いた恵は、夫の上着に入っていたイヤリングもサキのものだと知りがく然。サキの自宅へ乗り込むと、激高してサキに襲い掛かる。サキの仕掛けた罠により、見事なまでにバラバラに崩壊"&amp;"してゆく須藤一家。  　隼人(三浦翔平)は、直美(内田有紀)らとともに、サキの復しゅうのターゲットとなった3人の男たちと母・明美(朝加真由美)との接点を探っていた。そんな中、「母は5人の男に殺された」というサキの言葉の真意を探るため、母が搬送された病院で死因を改めて調べていた隼人は、母の死に隠された思いもよらぬ事実に突き当たる。  　その夜、誰もいなくなった家でひとり過ごす須藤のもとにサキが現れる。喪失感に苛まれた須藤は、部屋の中で暴れだし、ついに恐るべき行動に出て…")</f>
        <v>　妻・恵(富田靖子)にイヤリングを見せられ、サキ(仲間由紀恵)にハメられたと知った須藤(高嶋政伸)は、サキの元へ向かい理由を問い詰める。サキから「母を殺した5人の男のうちの1人」だと突きつけられる須藤。しかし、須藤に心当たりはまるでなかった。  　一方、息子の和繁(庄野崎謙)から、夫・須藤がサキを女として見ており、息子と別れるよう迫ったと聞いた恵は、夫の上着に入っていたイヤリングもサキのものだと知りがく然。サキの自宅へ乗り込むと、激高してサキに襲い掛かる。サキの仕掛けた罠により、見事なまでにバラバラに崩壊してゆく須藤一家。  　隼人(三浦翔平)は、直美(内田有紀)らとともに、サキの復しゅうのターゲットとなった3人の男たちと母・明美(朝加真由美)との接点を探っていた。そんな中、「母は5人の男に殺された」というサキの言葉の真意を探るため、母が搬送された病院で死因を改めて調べていた隼人は、母の死に隠された思いもよらぬ事実に突き当たる。  　その夜、誰もいなくなった家でひとり過ごす須藤のもとにサキが現れる。喪失感に苛まれた須藤は、部屋の中で暴れだし、ついに恐るべき行動に出て…</v>
      </c>
      <c r="O1068" s="2"/>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row>
    <row r="1069" ht="204.75" customHeight="1">
      <c r="A1069" s="1">
        <v>3431.0</v>
      </c>
      <c r="B1069" s="2" t="s">
        <v>3401</v>
      </c>
      <c r="C1069" s="2">
        <f>IFERROR(__xludf.DUMMYFUNCTION("split(B1069,""_"")"),1301.0)</f>
        <v>1301</v>
      </c>
      <c r="D1069" s="2" t="str">
        <f>IFERROR(__xludf.DUMMYFUNCTION("""COMPUTED_VALUE"""),"CX")</f>
        <v>CX</v>
      </c>
      <c r="E1069" s="2" t="str">
        <f>IFERROR(__xludf.DUMMYFUNCTION("""COMPUTED_VALUE"""),"火22")</f>
        <v>火22</v>
      </c>
      <c r="F1069" s="2" t="s">
        <v>3402</v>
      </c>
      <c r="G1069" s="2" t="s">
        <v>3433</v>
      </c>
      <c r="H1069" s="1">
        <v>86.0</v>
      </c>
      <c r="I1069" s="1" t="s">
        <v>41</v>
      </c>
      <c r="J1069" s="1" t="s">
        <v>86</v>
      </c>
      <c r="K1069" s="2" t="s">
        <v>3434</v>
      </c>
      <c r="L1069" s="2" t="s">
        <v>3435</v>
      </c>
      <c r="M1069" s="9" t="str">
        <f>IFERROR(__xludf.DUMMYFUNCTION("split(split(K1069,""仲間由紀恵　"",false),""html"",false)"),"http://www.ktv.jp/saki/index.")</f>
        <v>http://www.ktv.jp/saki/index.</v>
      </c>
      <c r="N1069" s="2" t="str">
        <f>IFERROR(__xludf.DUMMYFUNCTION("""COMPUTED_VALUE"""),"　自ら自宅に火を放ち、燃え盛るリビングで倒れる須藤(高嶋政伸)。その頃、須藤がサキ(仲間由紀恵)の4人目のターゲットだと突き止めた隼人(三浦翔平)は、須藤家に急ぎむかう。  　翌朝、隼人と直美(内田有紀)は、須藤からサキが母・明美(朝加真由美)の死に立ち会っていたことを知る。また、その日のある時刻、サキが破滅に追いやった男たちの内の3人が、母が倒れた場所にほど近いある地域に居合わせていたことが判明。「母は5人の男に殺された」というサキの言葉から、直美と岩城(石黒英雄)が最後のターゲットは誰なのかと思い悩む"&amp;"中、隼人は次に狙われるのは自分だと感じていた。  　そんな時、隼人のもとにサキから連絡が入る。意を決してサキの自宅を訪れた隼人は、サキに自分が“母を殺した""のだとついに告白する。すると、2つの内1つに毒の入ったワイングラスから、どちらかを選んで飲むように迫るサキ。選びもせずに幸せな人生を手に入れた隼人への、生死をかけた最後の復しゅうだった。隼人は、ついに、グラスを手に取り…。  　後日、サキが母親に宛てて書きつづった手紙が発見される。隼人は、なぜ狙われたのか?母の死と隼人たち5人の男の関係とは?そして、"&amp;"最後に明かされるサキの本心とは?すべての謎が明らかになる。")</f>
        <v>　自ら自宅に火を放ち、燃え盛るリビングで倒れる須藤(高嶋政伸)。その頃、須藤がサキ(仲間由紀恵)の4人目のターゲットだと突き止めた隼人(三浦翔平)は、須藤家に急ぎむかう。  　翌朝、隼人と直美(内田有紀)は、須藤からサキが母・明美(朝加真由美)の死に立ち会っていたことを知る。また、その日のある時刻、サキが破滅に追いやった男たちの内の3人が、母が倒れた場所にほど近いある地域に居合わせていたことが判明。「母は5人の男に殺された」というサキの言葉から、直美と岩城(石黒英雄)が最後のターゲットは誰なのかと思い悩む中、隼人は次に狙われるのは自分だと感じていた。  　そんな時、隼人のもとにサキから連絡が入る。意を決してサキの自宅を訪れた隼人は、サキに自分が“母を殺した"のだとついに告白する。すると、2つの内1つに毒の入ったワイングラスから、どちらかを選んで飲むように迫るサキ。選びもせずに幸せな人生を手に入れた隼人への、生死をかけた最後の復しゅうだった。隼人は、ついに、グラスを手に取り…。  　後日、サキが母親に宛てて書きつづった手紙が発見される。隼人は、なぜ狙われたのか?母の死と隼人たち5人の男の関係とは?そして、最後に明かされるサキの本心とは?すべての謎が明らかになる。</v>
      </c>
      <c r="O1069" s="2"/>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row>
    <row r="1070" ht="204.75" customHeight="1">
      <c r="A1070" s="1">
        <v>3460.0</v>
      </c>
      <c r="B1070" s="2" t="s">
        <v>3436</v>
      </c>
      <c r="C1070" s="2">
        <f>IFERROR(__xludf.DUMMYFUNCTION("split(B1070,""_"")"),1301.0)</f>
        <v>1301</v>
      </c>
      <c r="D1070" s="2" t="str">
        <f>IFERROR(__xludf.DUMMYFUNCTION("""COMPUTED_VALUE"""),"CX")</f>
        <v>CX</v>
      </c>
      <c r="E1070" s="2" t="str">
        <f>IFERROR(__xludf.DUMMYFUNCTION("""COMPUTED_VALUE"""),"木22")</f>
        <v>木22</v>
      </c>
      <c r="F1070" s="2" t="s">
        <v>3437</v>
      </c>
      <c r="G1070" s="2" t="s">
        <v>3438</v>
      </c>
      <c r="H1070" s="1">
        <v>1.0</v>
      </c>
      <c r="I1070" s="1" t="s">
        <v>3</v>
      </c>
      <c r="J1070" s="1" t="s">
        <v>82</v>
      </c>
      <c r="K1070" s="4" t="s">
        <v>3439</v>
      </c>
      <c r="L1070" s="2" t="s">
        <v>3440</v>
      </c>
      <c r="M1070" s="2" t="str">
        <f>IFERROR(__xludf.DUMMYFUNCTION("split(split(K1070,""【"",false),""公式LINE"",false)"),"濱崎光生(瑛太)は、自動販売機の設置会社で働く営業マン。神経質な性格の彼は、仕事も、人付き合いも、飲み会も辛く、実際、体のあちこちが調子悪かった。そんな光生にとって、実は何よりもつらいのは、妻・結夏(尾野真千子)の存在だ。結夏とは2年前に結婚した。光生の実家であるクリーニング店を引き継いで働いている結夏は、本人いわく、おおらかなタイプ。しかし、光生には、それがただガサツなだけにしか見えない。ゆえに、いまでは、結夏のことを愛しているのかどうかも分からなかった。ある日、光生は、食べるのを楽しみにしていたお菓子"&amp;"を結夏の友人たちに食べられてしまう。それがきっかけで口論になった光生と結夏は、勢いで離婚届をダウンロードして書く。別の日、光生は、得意先から草野球に駆り出される。その帰り、つまずいた拍子にバッグから転がり落ちたボールを拾おうとした光生は、ぎっくり腰になり、動けなくなってしまう。そんな光生が、必死の思いでたどり着いたのはアロママッサージ店だった。本来女性専用の店だったが、店のスタッフは、光生の状態を見かねて腰をマッサージしてくれた。そのスタッフとは、光生が大学時代に付き合っていた上原灯里(真木よう子)だった"&amp;"。灯里は、美大で助手をしている諒(綾野剛)と結婚し、最近、光生の家の近所に引っ越して自宅兼アロママッサージの店を開いていた。偶然の再会に、光生は、なんとなく浮かれてしまうが…")</f>
        <v>濱崎光生(瑛太)は、自動販売機の設置会社で働く営業マン。神経質な性格の彼は、仕事も、人付き合いも、飲み会も辛く、実際、体のあちこちが調子悪かった。そんな光生にとって、実は何よりもつらいのは、妻・結夏(尾野真千子)の存在だ。結夏とは2年前に結婚した。光生の実家であるクリーニング店を引き継いで働いている結夏は、本人いわく、おおらかなタイプ。しかし、光生には、それがただガサツなだけにしか見えない。ゆえに、いまでは、結夏のことを愛しているのかどうかも分からなかった。ある日、光生は、食べるのを楽しみにしていたお菓子を結夏の友人たちに食べられてしまう。それがきっかけで口論になった光生と結夏は、勢いで離婚届をダウンロードして書く。別の日、光生は、得意先から草野球に駆り出される。その帰り、つまずいた拍子にバッグから転がり落ちたボールを拾おうとした光生は、ぎっくり腰になり、動けなくなってしまう。そんな光生が、必死の思いでたどり着いたのはアロママッサージ店だった。本来女性専用の店だったが、店のスタッフは、光生の状態を見かねて腰をマッサージしてくれた。そのスタッフとは、光生が大学時代に付き合っていた上原灯里(真木よう子)だった。灯里は、美大で助手をしている諒(綾野剛)と結婚し、最近、光生の家の近所に引っ越して自宅兼アロママッサージの店を開いていた。偶然の再会に、光生は、なんとなく浮かれてしまうが…</v>
      </c>
      <c r="N1070" s="2"/>
      <c r="O1070" s="2"/>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row>
    <row r="1071" ht="204.75" customHeight="1">
      <c r="A1071" s="1">
        <v>3461.0</v>
      </c>
      <c r="B1071" s="2" t="s">
        <v>3436</v>
      </c>
      <c r="C1071" s="2">
        <f>IFERROR(__xludf.DUMMYFUNCTION("split(B1071,""_"")"),1301.0)</f>
        <v>1301</v>
      </c>
      <c r="D1071" s="2" t="str">
        <f>IFERROR(__xludf.DUMMYFUNCTION("""COMPUTED_VALUE"""),"CX")</f>
        <v>CX</v>
      </c>
      <c r="E1071" s="2" t="str">
        <f>IFERROR(__xludf.DUMMYFUNCTION("""COMPUTED_VALUE"""),"木22")</f>
        <v>木22</v>
      </c>
      <c r="F1071" s="2" t="s">
        <v>3437</v>
      </c>
      <c r="G1071" s="2" t="s">
        <v>3441</v>
      </c>
      <c r="H1071" s="1">
        <v>2.0</v>
      </c>
      <c r="I1071" s="1" t="s">
        <v>7</v>
      </c>
      <c r="J1071" s="1" t="s">
        <v>86</v>
      </c>
      <c r="K1071" s="2" t="s">
        <v>3442</v>
      </c>
      <c r="L1071" s="2" t="s">
        <v>3443</v>
      </c>
      <c r="M1071" s="2" t="str">
        <f>IFERROR(__xludf.DUMMYFUNCTION("split(split(K1071,""【"",false),""公式LINE"",false)"),"「あなたなんかもういらない…」妻・結夏(尾野真千子)に一方的に離婚届を出されてしまった濱崎光生(瑛太)は戸惑いが隠せない…。確かに自分も離婚したいと思っていた…。が、本当に別れることになるなんて…。結夏は、翌日富士宮市にある実家に戻ってしまう…。  　町で大学時代の恋人・灯里(真木よう子)の夫・上原諒(綾野剛)に偶然会う光生。以前、灯里に紹介されて一度会ったが、諒は光生のことを全く覚えていない…。それなのに人懐っこい諒は、どんどん光生に近づいてきて、祖母・亜以子(八千草薫)と姉・瀬田智世(市川実和子)が経"&amp;"営する“金魚カフェ""に連れていくハメに…。あっという間に店に馴染み亜以子のお気に入りになる諒。  　光生は姉・智世の助言で、結夏を迎えに富士宮市の結夏の実家を訪ねるが、そのまま親戚中の大宴会の輪に巻き込まれてしまう。夜、結夏から離婚届を出した決意を聞き、お互いの家族には時間をかけて離婚の説明をしようと決める。特に結夏が大のお気に入りの光生の祖母・亜以子に対しては慎重にと…。  　離婚しても別に良かったはずなのに…。ぽっかりと心に穴が開いたような気持ちになっている光生は、なぜかしら、諒がいろんな女性と親し"&amp;"げにしているシーンに遭遇してしまう。これを灯里は知っているのか?ついおせっかいな気持ちで、またちょっとの下心で灯里にそのことを告げてしまう光生。その時灯里から衝撃的な言葉を言い渡され…。")</f>
        <v>「あなたなんかもういらない…」妻・結夏(尾野真千子)に一方的に離婚届を出されてしまった濱崎光生(瑛太)は戸惑いが隠せない…。確かに自分も離婚したいと思っていた…。が、本当に別れることになるなんて…。結夏は、翌日富士宮市にある実家に戻ってしまう…。  　町で大学時代の恋人・灯里(真木よう子)の夫・上原諒(綾野剛)に偶然会う光生。以前、灯里に紹介されて一度会ったが、諒は光生のことを全く覚えていない…。それなのに人懐っこい諒は、どんどん光生に近づいてきて、祖母・亜以子(八千草薫)と姉・瀬田智世(市川実和子)が経営する“金魚カフェ"に連れていくハメに…。あっという間に店に馴染み亜以子のお気に入りになる諒。  　光生は姉・智世の助言で、結夏を迎えに富士宮市の結夏の実家を訪ねるが、そのまま親戚中の大宴会の輪に巻き込まれてしまう。夜、結夏から離婚届を出した決意を聞き、お互いの家族には時間をかけて離婚の説明をしようと決める。特に結夏が大のお気に入りの光生の祖母・亜以子に対しては慎重にと…。  　離婚しても別に良かったはずなのに…。ぽっかりと心に穴が開いたような気持ちになっている光生は、なぜかしら、諒がいろんな女性と親しげにしているシーンに遭遇してしまう。これを灯里は知っているのか?ついおせっかいな気持ちで、またちょっとの下心で灯里にそのことを告げてしまう光生。その時灯里から衝撃的な言葉を言い渡され…。</v>
      </c>
      <c r="N1071" s="2"/>
      <c r="O1071" s="2"/>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row>
    <row r="1072" ht="204.75" customHeight="1">
      <c r="A1072" s="1">
        <v>3462.0</v>
      </c>
      <c r="B1072" s="2" t="s">
        <v>3436</v>
      </c>
      <c r="C1072" s="2">
        <f>IFERROR(__xludf.DUMMYFUNCTION("split(B1072,""_"")"),1301.0)</f>
        <v>1301</v>
      </c>
      <c r="D1072" s="2" t="str">
        <f>IFERROR(__xludf.DUMMYFUNCTION("""COMPUTED_VALUE"""),"CX")</f>
        <v>CX</v>
      </c>
      <c r="E1072" s="2" t="str">
        <f>IFERROR(__xludf.DUMMYFUNCTION("""COMPUTED_VALUE"""),"木22")</f>
        <v>木22</v>
      </c>
      <c r="F1072" s="2" t="s">
        <v>3437</v>
      </c>
      <c r="G1072" s="2" t="s">
        <v>3444</v>
      </c>
      <c r="H1072" s="1">
        <v>3.0</v>
      </c>
      <c r="I1072" s="1" t="s">
        <v>10</v>
      </c>
      <c r="J1072" s="1" t="s">
        <v>86</v>
      </c>
      <c r="K1072" s="2" t="s">
        <v>3445</v>
      </c>
      <c r="L1072" s="8" t="s">
        <v>3446</v>
      </c>
      <c r="M1072" s="2" t="str">
        <f>IFERROR(__xludf.DUMMYFUNCTION("split(split(K1072,""【"",false),""公式LINE"",false)"),"濱崎光生(瑛太)は、かつての恋人・上原灯里(真木よう子)から、光生との間にはいい思い出なんかひとつもない、と言われ、呆然となる。一方、結夏(尾野真千子)は、友人に誘われて合コンに参加する。そこで結夏は、初島淳之介(窪田正孝)というフリーターや、年上のサラリーマン・大村圭輔(KEIJI)と知り合う。その夜、帰宅した光生と結夏は、すぐに嫌みの言い合いになる。そこで結夏は、同居している間のルールを決めようと光生に提案。「不満を口にしない」「恋愛の自由」といったルールを決める。そんな折、歯科医院を訪れた光生は、海"&amp;"野菜那(芹那)から、ソーシャル・ネットワーキング・サービスなどで連絡を取り合ってヨリを戻すカップルがいる、と聞く。菜那とともに携帯ショップを訪れ、スマートフォンを購入した光生は、さっそく有名なSNSのアカウントを作ってもらう。だが、灯里の名前を入力しても見つからなかった。光生は、試しに結夏の名前も菜那に入力してもらった。すると結夏は、ゴルフ練習場で練習している写真をリアルタイムでアップしていた。実は結夏は、大村と一緒だった。別の日、草野球の練習に駆り出された光生は、ボロボロになりながら祖母・亜以子(八千草"&amp;"薫)の店『金魚カフェ』を訪れる。店には、灯里の夫・諒(綾野剛)が来ていた。同じころ、結夏は、クリーニング店で亜以子とお茶をしていた。そこに、客として灯里がやってきて…。瑛太　  尾野真千子(Wヒロイン)　  真木よう子(Wヒロイン)　  綾野剛　    市川実和子　  松尾諭　  小野ゆり子　  芹那  　・　  八千草薫")</f>
        <v>濱崎光生(瑛太)は、かつての恋人・上原灯里(真木よう子)から、光生との間にはいい思い出なんかひとつもない、と言われ、呆然となる。一方、結夏(尾野真千子)は、友人に誘われて合コンに参加する。そこで結夏は、初島淳之介(窪田正孝)というフリーターや、年上のサラリーマン・大村圭輔(KEIJI)と知り合う。その夜、帰宅した光生と結夏は、すぐに嫌みの言い合いになる。そこで結夏は、同居している間のルールを決めようと光生に提案。「不満を口にしない」「恋愛の自由」といったルールを決める。そんな折、歯科医院を訪れた光生は、海野菜那(芹那)から、ソーシャル・ネットワーキング・サービスなどで連絡を取り合ってヨリを戻すカップルがいる、と聞く。菜那とともに携帯ショップを訪れ、スマートフォンを購入した光生は、さっそく有名なSNSのアカウントを作ってもらう。だが、灯里の名前を入力しても見つからなかった。光生は、試しに結夏の名前も菜那に入力してもらった。すると結夏は、ゴルフ練習場で練習している写真をリアルタイムでアップしていた。実は結夏は、大村と一緒だった。別の日、草野球の練習に駆り出された光生は、ボロボロになりながら祖母・亜以子(八千草薫)の店『金魚カフェ』を訪れる。店には、灯里の夫・諒(綾野剛)が来ていた。同じころ、結夏は、クリーニング店で亜以子とお茶をしていた。そこに、客として灯里がやってきて…。瑛太　  尾野真千子(Wヒロイン)　  真木よう子(Wヒロイン)　  綾野剛　    市川実和子　  松尾諭　  小野ゆり子　  芹那  　・　  八千草薫</v>
      </c>
      <c r="N1072" s="2"/>
      <c r="O1072" s="2"/>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row>
    <row r="1073" ht="204.75" customHeight="1">
      <c r="A1073" s="1">
        <v>3463.0</v>
      </c>
      <c r="B1073" s="2" t="s">
        <v>3436</v>
      </c>
      <c r="C1073" s="2">
        <f>IFERROR(__xludf.DUMMYFUNCTION("split(B1073,""_"")"),1301.0)</f>
        <v>1301</v>
      </c>
      <c r="D1073" s="2" t="str">
        <f>IFERROR(__xludf.DUMMYFUNCTION("""COMPUTED_VALUE"""),"CX")</f>
        <v>CX</v>
      </c>
      <c r="E1073" s="2" t="str">
        <f>IFERROR(__xludf.DUMMYFUNCTION("""COMPUTED_VALUE"""),"木22")</f>
        <v>木22</v>
      </c>
      <c r="F1073" s="2" t="s">
        <v>3437</v>
      </c>
      <c r="G1073" s="2" t="s">
        <v>3447</v>
      </c>
      <c r="H1073" s="1">
        <v>4.0</v>
      </c>
      <c r="I1073" s="1" t="s">
        <v>14</v>
      </c>
      <c r="J1073" s="1" t="s">
        <v>86</v>
      </c>
      <c r="K1073" s="2" t="s">
        <v>3448</v>
      </c>
      <c r="L1073" s="8" t="s">
        <v>3449</v>
      </c>
      <c r="M1073" s="2" t="str">
        <f>IFERROR(__xludf.DUMMYFUNCTION("split(split(K1073,""【"",false),""公式LINE"",false)"),"濱崎光生(瑛太)は、上原諒(綾野剛)と灯里(真木よう子)がまだ婚姻届を出していないことを知る。同じころ、結夏(尾野真千子)は、合コンで知り合った淳之介(窪田正孝)とお互いに静岡県出身ということで意気投合し飲んでいた。が、翌朝目を覚ました結夏はがく然となる。なんとそこは、淳之介の家だった…。  　一方、上原家では、ガールフレンドとホテルに泊まり朝帰りした諒が、「好きなものを選んで」と灯里に温泉旅行のパンフレットを手渡す。灯里はうれしそうに「ありがとう」と答えたが…。  　いろいろな悩みが重なり、光生はなんと"&amp;"“円形脱毛症""になってしまう。食事を作る気もしない光生は、夕飯をとろうと亜以子(八千草薫)の店『金魚カフェ』を訪ねて諒に出会う。光生が「なぜ婚姻届を出さなかったのか?」と諒を問い詰めると、諒は婚姻届をカバンから取り出し光生に見せる。婚姻届の日付は2012年11月11日…。その日、諒は、灯里が熱を出してしまったため、ひとりで区役所に向かい、休日受付の窓口を探していたが、知り合いから「犬が迷子になったから一緒に探してほしい」と電話があり、結局そちらに行ってしまったらしい。光生が諒の話を理解できないでいると、"&amp;"店に灯里が入ってきた!!光生は、とっさに持っていた婚姻届を懐に隠し…。  　同じ夜、結夏は亜以子とプロレスを見に行っていた。試合観戦が終わったら離婚のことを伝えると言うが…。瑛太　  尾野真千子(Wヒロイン)　  真木よう子(Wヒロイン)　  綾野剛　    市川実和子　  松尾諭　  小野ゆり子　  芹那  　・　  八千草薫")</f>
        <v>濱崎光生(瑛太)は、上原諒(綾野剛)と灯里(真木よう子)がまだ婚姻届を出していないことを知る。同じころ、結夏(尾野真千子)は、合コンで知り合った淳之介(窪田正孝)とお互いに静岡県出身ということで意気投合し飲んでいた。が、翌朝目を覚ました結夏はがく然となる。なんとそこは、淳之介の家だった…。  　一方、上原家では、ガールフレンドとホテルに泊まり朝帰りした諒が、「好きなものを選んで」と灯里に温泉旅行のパンフレットを手渡す。灯里はうれしそうに「ありがとう」と答えたが…。  　いろいろな悩みが重なり、光生はなんと“円形脱毛症"になってしまう。食事を作る気もしない光生は、夕飯をとろうと亜以子(八千草薫)の店『金魚カフェ』を訪ねて諒に出会う。光生が「なぜ婚姻届を出さなかったのか?」と諒を問い詰めると、諒は婚姻届をカバンから取り出し光生に見せる。婚姻届の日付は2012年11月11日…。その日、諒は、灯里が熱を出してしまったため、ひとりで区役所に向かい、休日受付の窓口を探していたが、知り合いから「犬が迷子になったから一緒に探してほしい」と電話があり、結局そちらに行ってしまったらしい。光生が諒の話を理解できないでいると、店に灯里が入ってきた!!光生は、とっさに持っていた婚姻届を懐に隠し…。  　同じ夜、結夏は亜以子とプロレスを見に行っていた。試合観戦が終わったら離婚のことを伝えると言うが…。瑛太　  尾野真千子(Wヒロイン)　  真木よう子(Wヒロイン)　  綾野剛　    市川実和子　  松尾諭　  小野ゆり子　  芹那  　・　  八千草薫</v>
      </c>
      <c r="N1073" s="2"/>
      <c r="O1073" s="2"/>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row>
    <row r="1074" ht="204.75" customHeight="1">
      <c r="A1074" s="1">
        <v>3464.0</v>
      </c>
      <c r="B1074" s="2" t="s">
        <v>3436</v>
      </c>
      <c r="C1074" s="2">
        <f>IFERROR(__xludf.DUMMYFUNCTION("split(B1074,""_"")"),1301.0)</f>
        <v>1301</v>
      </c>
      <c r="D1074" s="2" t="str">
        <f>IFERROR(__xludf.DUMMYFUNCTION("""COMPUTED_VALUE"""),"CX")</f>
        <v>CX</v>
      </c>
      <c r="E1074" s="2" t="str">
        <f>IFERROR(__xludf.DUMMYFUNCTION("""COMPUTED_VALUE"""),"木22")</f>
        <v>木22</v>
      </c>
      <c r="F1074" s="2" t="s">
        <v>3437</v>
      </c>
      <c r="G1074" s="2" t="s">
        <v>3450</v>
      </c>
      <c r="H1074" s="1">
        <v>5.0</v>
      </c>
      <c r="I1074" s="1" t="s">
        <v>17</v>
      </c>
      <c r="J1074" s="1" t="s">
        <v>86</v>
      </c>
      <c r="K1074" s="2" t="s">
        <v>3451</v>
      </c>
      <c r="L1074" s="8" t="s">
        <v>3452</v>
      </c>
      <c r="M1074" s="2" t="str">
        <f>IFERROR(__xludf.DUMMYFUNCTION("split(split(K1074,""【"",false),""公式LINE"",false)"),"灯里(真木よう子)と諒(綾野剛)は正式な夫婦ではなかった…。未提出の、諒と自分の婚姻届を見てしまった灯里は呆然自失?な感じで結夏(尾野真千子)とカラオケに行く。一方、結夏の後を追った光生(瑛太)は、灯里を探していた諒と合流する。カラオケ店の前で結夏たちがナンパされているのを目撃した光生は、それを止めようとして、凍った地面で転倒してしまい無残にも肋骨を折り病院に運ばれてしまう。病院では、お見舞いに 来た菜那(芹那)と結夏が鉢合わせて微妙な空気に。一方結夏も合コンで知り合った淳之介(窪田正孝)とまた居酒屋デー"&amp;"ト。こちらは淳之介が結夏に本気モードな気配!　退院後、祖母・亜以子(八千草薫)が経営する『金魚カフェ』を訪れた光生は、店に現れた諒に「婚姻届の件はどうなったのか?」と尋ねたが、灯里は諒に何も言ってこないのだという。ほどなく店にやってきた亜以子は、骨折に効くという熱海の温泉旅館を光生に 勧める。その話を聞いた諒は、「灯里と温泉に行こうと話していた」と言い出し、何故か一緒に行くことになってしまう。　旅行当日、光生たちは、車で熱海へと向かった。灯里と一緒に温泉に入った結夏は、「ちゃんと婚姻届を出した方がいい」と"&amp;"言う。しかし灯里は「好きだからこのままでも幸せなんだ」とこたえる。その夜、諒は幾度も灯里に謝り、「もう一度婚姻届を書いてほしい」と灯里に頼む。灯里は、その申し出に喜ぶが…。 瑛太　尾野真千子(Wヒロイン)　真木よう子(Wヒロイン)　綾野剛　市川実和子　松尾諭　小野ゆり子　芹那　窪田正孝　・　八千草薫 ")</f>
        <v>灯里(真木よう子)と諒(綾野剛)は正式な夫婦ではなかった…。未提出の、諒と自分の婚姻届を見てしまった灯里は呆然自失?な感じで結夏(尾野真千子)とカラオケに行く。一方、結夏の後を追った光生(瑛太)は、灯里を探していた諒と合流する。カラオケ店の前で結夏たちがナンパされているのを目撃した光生は、それを止めようとして、凍った地面で転倒してしまい無残にも肋骨を折り病院に運ばれてしまう。病院では、お見舞いに 来た菜那(芹那)と結夏が鉢合わせて微妙な空気に。一方結夏も合コンで知り合った淳之介(窪田正孝)とまた居酒屋デート。こちらは淳之介が結夏に本気モードな気配!　退院後、祖母・亜以子(八千草薫)が経営する『金魚カフェ』を訪れた光生は、店に現れた諒に「婚姻届の件はどうなったのか?」と尋ねたが、灯里は諒に何も言ってこないのだという。ほどなく店にやってきた亜以子は、骨折に効くという熱海の温泉旅館を光生に 勧める。その話を聞いた諒は、「灯里と温泉に行こうと話していた」と言い出し、何故か一緒に行くことになってしまう。　旅行当日、光生たちは、車で熱海へと向かった。灯里と一緒に温泉に入った結夏は、「ちゃんと婚姻届を出した方がいい」と言う。しかし灯里は「好きだからこのままでも幸せなんだ」とこたえる。その夜、諒は幾度も灯里に謝り、「もう一度婚姻届を書いてほしい」と灯里に頼む。灯里は、その申し出に喜ぶが…。 瑛太　尾野真千子(Wヒロイン)　真木よう子(Wヒロイン)　綾野剛　市川実和子　松尾諭　小野ゆり子　芹那　窪田正孝　・　八千草薫 </v>
      </c>
      <c r="N1074" s="2"/>
      <c r="O1074" s="2"/>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row>
    <row r="1075" ht="204.75" customHeight="1">
      <c r="A1075" s="1">
        <v>3465.0</v>
      </c>
      <c r="B1075" s="2" t="s">
        <v>3436</v>
      </c>
      <c r="C1075" s="2">
        <f>IFERROR(__xludf.DUMMYFUNCTION("split(B1075,""_"")"),1301.0)</f>
        <v>1301</v>
      </c>
      <c r="D1075" s="2" t="str">
        <f>IFERROR(__xludf.DUMMYFUNCTION("""COMPUTED_VALUE"""),"CX")</f>
        <v>CX</v>
      </c>
      <c r="E1075" s="2" t="str">
        <f>IFERROR(__xludf.DUMMYFUNCTION("""COMPUTED_VALUE"""),"木22")</f>
        <v>木22</v>
      </c>
      <c r="F1075" s="2" t="s">
        <v>3437</v>
      </c>
      <c r="G1075" s="2" t="s">
        <v>3453</v>
      </c>
      <c r="H1075" s="1">
        <v>6.0</v>
      </c>
      <c r="I1075" s="1" t="s">
        <v>21</v>
      </c>
      <c r="J1075" s="1" t="s">
        <v>86</v>
      </c>
      <c r="K1075" s="2" t="s">
        <v>3454</v>
      </c>
      <c r="L1075" s="8" t="s">
        <v>3455</v>
      </c>
      <c r="M1075" s="2" t="str">
        <f>IFERROR(__xludf.DUMMYFUNCTION("split(split(K1075,""【"",false),""公式LINE"",false)"),"光生(瑛太)と結夏(尾野真千子)は、婚姻届を出すことになった灯里(真木よう子)と諒(綾野剛)が来るのを待っていた。だが、2人はなぜか姿を見せず連絡もしてこない…。光生はソファーで眠ってしまい風邪をひき、なんとか出勤したところ、ジョギング中の灯里に出会う。「婚姻届をまだ出していないのか?」と灯里に尋ねると、灯里はうなずいてそれを認めたものの、それ以上は何も話さずに立ち去る。　仕事を終えた光生が帰宅すると、結夏も熱を出して寝込んでいた。「明日、クリーニング店を開けられない」と結夏が困っていると、淳之介(窪田正"&amp;"孝)から電話が入り結夏は、淳之介に店番を頼むことに。  　その夜、結夏は、仕事を終えた淳之介を夕食に誘う。食事中、気を遣って話しかけてくる淳之介に対して、いちいちひねくれた返答をする光生に結夏は呆れ「知識があることより、素直でまっすぐ生きている淳之介の方が周りを幸せにできる」と言い放つ。  　翌朝、体調が戻った結夏が開店の準備をしていると、淳之介がやってくる。淳之介は、濱崎家で食事した後、そのままコンビニのアルバイトに行ったらしい。結夏は「そのままバイクで帰ったら危ない」と言って淳之介を家に上げ、ベッドで"&amp;"寝るように言うと、自分はシャワーを浴びる。そこに、結夏への差し入れを持った亜以子(八千草薫)が訪ねてきて…。瑛太　  尾野真千子(Wヒロイン)　  真木よう子(Wヒロイン)　  綾野剛　    市川実和子　  松尾諭　  芹那　    窪田正孝　  遊井亮子　  宮根誠司  　・　  八千草薫")</f>
        <v>光生(瑛太)と結夏(尾野真千子)は、婚姻届を出すことになった灯里(真木よう子)と諒(綾野剛)が来るのを待っていた。だが、2人はなぜか姿を見せず連絡もしてこない…。光生はソファーで眠ってしまい風邪をひき、なんとか出勤したところ、ジョギング中の灯里に出会う。「婚姻届をまだ出していないのか?」と灯里に尋ねると、灯里はうなずいてそれを認めたものの、それ以上は何も話さずに立ち去る。　仕事を終えた光生が帰宅すると、結夏も熱を出して寝込んでいた。「明日、クリーニング店を開けられない」と結夏が困っていると、淳之介(窪田正孝)から電話が入り結夏は、淳之介に店番を頼むことに。  　その夜、結夏は、仕事を終えた淳之介を夕食に誘う。食事中、気を遣って話しかけてくる淳之介に対して、いちいちひねくれた返答をする光生に結夏は呆れ「知識があることより、素直でまっすぐ生きている淳之介の方が周りを幸せにできる」と言い放つ。  　翌朝、体調が戻った結夏が開店の準備をしていると、淳之介がやってくる。淳之介は、濱崎家で食事した後、そのままコンビニのアルバイトに行ったらしい。結夏は「そのままバイクで帰ったら危ない」と言って淳之介を家に上げ、ベッドで寝るように言うと、自分はシャワーを浴びる。そこに、結夏への差し入れを持った亜以子(八千草薫)が訪ねてきて…。瑛太　  尾野真千子(Wヒロイン)　  真木よう子(Wヒロイン)　  綾野剛　    市川実和子　  松尾諭　  芹那　    窪田正孝　  遊井亮子　  宮根誠司  　・　  八千草薫</v>
      </c>
      <c r="N1075" s="2"/>
      <c r="O1075" s="2"/>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row>
    <row r="1076" ht="204.75" customHeight="1">
      <c r="A1076" s="1">
        <v>3466.0</v>
      </c>
      <c r="B1076" s="2" t="s">
        <v>3436</v>
      </c>
      <c r="C1076" s="2">
        <f>IFERROR(__xludf.DUMMYFUNCTION("split(B1076,""_"")"),1301.0)</f>
        <v>1301</v>
      </c>
      <c r="D1076" s="2" t="str">
        <f>IFERROR(__xludf.DUMMYFUNCTION("""COMPUTED_VALUE"""),"CX")</f>
        <v>CX</v>
      </c>
      <c r="E1076" s="2" t="str">
        <f>IFERROR(__xludf.DUMMYFUNCTION("""COMPUTED_VALUE"""),"木22")</f>
        <v>木22</v>
      </c>
      <c r="F1076" s="2" t="s">
        <v>3437</v>
      </c>
      <c r="G1076" s="2" t="s">
        <v>3456</v>
      </c>
      <c r="H1076" s="1">
        <v>7.0</v>
      </c>
      <c r="I1076" s="1" t="s">
        <v>25</v>
      </c>
      <c r="J1076" s="1" t="s">
        <v>86</v>
      </c>
      <c r="K1076" s="2" t="s">
        <v>3457</v>
      </c>
      <c r="L1076" s="8" t="s">
        <v>3458</v>
      </c>
      <c r="M1076" s="2" t="str">
        <f>IFERROR(__xludf.DUMMYFUNCTION("split(split(K1076,""【"",false),""公式LINE"",false)"),"ある朝、結夏(尾野真千子)は、淳之介(窪田正孝)と一緒にいるところを亜以子(八千草薫)に見られて誤解されたことを光生(瑛太)に打ち明ける。隠すのはもう限界だと感じた結夏は、光生とともに亜以子を訪ね、離婚したことを正直に話した。すると亜以子は、「自分が離婚したときは誰からも許してもらえなかったが、いまはその気持ちが分かる」と返し、「離婚なんて絶対に認めない」と言い放つ。 　翌日、結夏がクリーニング店の仕事を始めようとすると、パートの矢萩(宮地雅子)から、本社から男性店員が来たから大丈夫だと言われる。仕方なく"&amp;"金魚カフェをのぞいた結夏は、亜以子から声をかけられる。白髪染めを手伝ってほしいというのだ。亜以子は、作業をしている結夏に「早く気づいてあげれば良かった」と言って謝る。涙があふれる結夏…。亜以子は、そんな結夏に「もう一度だけ考え直せないか」と尋ねる。 　一方、光生は、灯里(真木よう子)と関係を修復できず、家に帰れずにいる諒(綾野剛)から呼び出される。諒は、ネットカフェで寝泊まりしていた。その姿を見た光生は、諒を連れて灯里に会いに行く。灯里は、お節介な光生に対して怒っていた。それでも灯里は、諒とふたりで借りた"&amp;"部屋なのだから家に入れないのは良くないと思い直し、準備が整うまでは割り切ってやっていこうと諒に告げるが…。 瑛太　尾野真千子(Wヒロイン)　真木よう子(Wヒロイン)　綾野剛　市川実和子　松尾諭　宮地雅子　窪田正孝　・　八千草薫 ")</f>
        <v>ある朝、結夏(尾野真千子)は、淳之介(窪田正孝)と一緒にいるところを亜以子(八千草薫)に見られて誤解されたことを光生(瑛太)に打ち明ける。隠すのはもう限界だと感じた結夏は、光生とともに亜以子を訪ね、離婚したことを正直に話した。すると亜以子は、「自分が離婚したときは誰からも許してもらえなかったが、いまはその気持ちが分かる」と返し、「離婚なんて絶対に認めない」と言い放つ。 　翌日、結夏がクリーニング店の仕事を始めようとすると、パートの矢萩(宮地雅子)から、本社から男性店員が来たから大丈夫だと言われる。仕方なく金魚カフェをのぞいた結夏は、亜以子から声をかけられる。白髪染めを手伝ってほしいというのだ。亜以子は、作業をしている結夏に「早く気づいてあげれば良かった」と言って謝る。涙があふれる結夏…。亜以子は、そんな結夏に「もう一度だけ考え直せないか」と尋ねる。 　一方、光生は、灯里(真木よう子)と関係を修復できず、家に帰れずにいる諒(綾野剛)から呼び出される。諒は、ネットカフェで寝泊まりしていた。その姿を見た光生は、諒を連れて灯里に会いに行く。灯里は、お節介な光生に対して怒っていた。それでも灯里は、諒とふたりで借りた部屋なのだから家に入れないのは良くないと思い直し、準備が整うまでは割り切ってやっていこうと諒に告げるが…。 瑛太　尾野真千子(Wヒロイン)　真木よう子(Wヒロイン)　綾野剛　市川実和子　松尾諭　宮地雅子　窪田正孝　・　八千草薫 </v>
      </c>
      <c r="N1076" s="2"/>
      <c r="O1076" s="2"/>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row>
    <row r="1077" ht="204.75" customHeight="1">
      <c r="A1077" s="1">
        <v>3467.0</v>
      </c>
      <c r="B1077" s="2" t="s">
        <v>3436</v>
      </c>
      <c r="C1077" s="2">
        <f>IFERROR(__xludf.DUMMYFUNCTION("split(B1077,""_"")"),1301.0)</f>
        <v>1301</v>
      </c>
      <c r="D1077" s="2" t="str">
        <f>IFERROR(__xludf.DUMMYFUNCTION("""COMPUTED_VALUE"""),"CX")</f>
        <v>CX</v>
      </c>
      <c r="E1077" s="2" t="str">
        <f>IFERROR(__xludf.DUMMYFUNCTION("""COMPUTED_VALUE"""),"木22")</f>
        <v>木22</v>
      </c>
      <c r="F1077" s="2" t="s">
        <v>3437</v>
      </c>
      <c r="G1077" s="2" t="s">
        <v>3459</v>
      </c>
      <c r="H1077" s="1">
        <v>8.0</v>
      </c>
      <c r="I1077" s="1" t="s">
        <v>29</v>
      </c>
      <c r="J1077" s="1" t="s">
        <v>86</v>
      </c>
      <c r="K1077" s="2" t="s">
        <v>3460</v>
      </c>
      <c r="L1077" s="8" t="s">
        <v>3461</v>
      </c>
      <c r="M1077" s="2" t="str">
        <f>IFERROR(__xludf.DUMMYFUNCTION("split(split(K1077,""【"",false),""公式LINE"",false)"),"光生(瑛太)の前から結夏(尾野真千子)が姿を消した。帰宅した光生は、結夏の荷物がなくなっていることに気づき、動揺する。そこに諒(綾野剛)が訪ねてきた。しばらく泊めてほしいのだという。光生は、困惑しながらも、諒を追い返すことはできなかった。あくる日、仕事を終えた光生が帰宅すると、諒が夕食の準備をしていた。するとそこに、結夏の父・健彦(ガッツ石松)が訪ねてくる。健彦は、葬儀のために上京し、その帰りに 立ち寄ったのだ。光生が結夏のことを言い出せないでいると、健彦は夫婦ゲンカで家出したのだろうと勝手に思い込む。　"&amp;"翌日、光生は、健彦に頼まれてスカイツリー観光に出掛ける。その帰り道、これ以上隠し続けることが辛くなった光生は、結夏と離婚したことを正直に打ち明ける。別の日、クリーニング店に灯里(真木よう子)がやってくる。光生は、家に諒がいることを伝え、彼女を祖母・亜以子(八千草薫)の店『金魚カフェ』に 誘った。そこで灯里は、光生に励まされたおかげで諒のことはふっきれた、と伝える。灯里が帰った後、光生が会計をしていると、亜以子が出掛けて行った。が、亜以子は、姉・智世(市川実和子)たちにも行き先を教えていないのだという。不審"&amp;"に思った光生は、亜以子の後を追った。すると亜以子は、プロレスの興行が行われる会場で結夏と待ち合わせをしており…。 瑛太　尾野真千子(Wヒロイン)　真木よう子(Wヒロイン)　綾野剛　市川実和子　松尾諭　芹那　宮地雅子　ガッツ石松　・　八千草薫 ")</f>
        <v>光生(瑛太)の前から結夏(尾野真千子)が姿を消した。帰宅した光生は、結夏の荷物がなくなっていることに気づき、動揺する。そこに諒(綾野剛)が訪ねてきた。しばらく泊めてほしいのだという。光生は、困惑しながらも、諒を追い返すことはできなかった。あくる日、仕事を終えた光生が帰宅すると、諒が夕食の準備をしていた。するとそこに、結夏の父・健彦(ガッツ石松)が訪ねてくる。健彦は、葬儀のために上京し、その帰りに 立ち寄ったのだ。光生が結夏のことを言い出せないでいると、健彦は夫婦ゲンカで家出したのだろうと勝手に思い込む。　翌日、光生は、健彦に頼まれてスカイツリー観光に出掛ける。その帰り道、これ以上隠し続けることが辛くなった光生は、結夏と離婚したことを正直に打ち明ける。別の日、クリーニング店に灯里(真木よう子)がやってくる。光生は、家に諒がいることを伝え、彼女を祖母・亜以子(八千草薫)の店『金魚カフェ』に 誘った。そこで灯里は、光生に励まされたおかげで諒のことはふっきれた、と伝える。灯里が帰った後、光生が会計をしていると、亜以子が出掛けて行った。が、亜以子は、姉・智世(市川実和子)たちにも行き先を教えていないのだという。不審に思った光生は、亜以子の後を追った。すると亜以子は、プロレスの興行が行われる会場で結夏と待ち合わせをしており…。 瑛太　尾野真千子(Wヒロイン)　真木よう子(Wヒロイン)　綾野剛　市川実和子　松尾諭　芹那　宮地雅子　ガッツ石松　・　八千草薫 </v>
      </c>
      <c r="N1077" s="2"/>
      <c r="O1077" s="2"/>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row>
    <row r="1078" ht="204.75" customHeight="1">
      <c r="A1078" s="1">
        <v>3468.0</v>
      </c>
      <c r="B1078" s="2" t="s">
        <v>3436</v>
      </c>
      <c r="C1078" s="2">
        <f>IFERROR(__xludf.DUMMYFUNCTION("split(B1078,""_"")"),1301.0)</f>
        <v>1301</v>
      </c>
      <c r="D1078" s="2" t="str">
        <f>IFERROR(__xludf.DUMMYFUNCTION("""COMPUTED_VALUE"""),"CX")</f>
        <v>CX</v>
      </c>
      <c r="E1078" s="2" t="str">
        <f>IFERROR(__xludf.DUMMYFUNCTION("""COMPUTED_VALUE"""),"木22")</f>
        <v>木22</v>
      </c>
      <c r="F1078" s="2" t="s">
        <v>3437</v>
      </c>
      <c r="G1078" s="2" t="s">
        <v>3462</v>
      </c>
      <c r="H1078" s="1">
        <v>9.0</v>
      </c>
      <c r="I1078" s="1" t="s">
        <v>33</v>
      </c>
      <c r="J1078" s="1" t="s">
        <v>86</v>
      </c>
      <c r="K1078" s="2" t="s">
        <v>3463</v>
      </c>
      <c r="L1078" s="8" t="s">
        <v>3464</v>
      </c>
      <c r="M1078" s="2" t="str">
        <f>IFERROR(__xludf.DUMMYFUNCTION("split(split(K1078,""【"",false),""公式LINE"",false)"),"光生(瑛太)は、灯里(真木よう子)から「寂しくてたまらないのでとりあえず1回寝てみよう」と誘われるが、そんな灯里に「今度は昼間に会って競馬場に行こう」と返す。一方、結夏(尾野真千子)は、諒(綾野剛)と飲みに行き、彼にキスをする。実は結夏はひどく酔っていて、キスしたことなどまったく覚えていなかった。  　ある日、光生は灯里とのデートに備えて代官山のヘアサロンで髪をカットし、洋服を買った。その帰り、祖母・亜以子(八千草薫)の店「金魚カフェ」に立ち寄った光生は、結夏と諒に出会う。結夏たちから髪型のことをからかわ"&amp;"れた光生は「異性を意識してイメージチェンジしたのではない」とうっかり言ってしまう。  　別の日、光生は灯里を誘って競馬場に出かけた。同じころ、結夏は「金魚カフェ」で淳之介(窪田正孝)と会う。そこで淳之介は、結夏がキス魔だと指摘する。するとそこに、諒がやってきた。結夏は、諒からキスのことを聞き、自己嫌悪に陥ってしまう。競馬場を後にした光生と灯里は、灯里の家で夕飯をともにする約束をして別れる。スーパーマーケットまでビールとつまみを買いに行った結夏は、夕飯の買い物をしている灯里と出会い、諒とキスしてしまったこと"&amp;"を打ち明けた。しかし灯里は「別れた相手だから」と返す。その後、灯里と一緒にレジに並んだ結夏は、彼女がポイントカードを探している際に、馬券を持っていることに気づき…。瑛太　  尾野真千子(Wヒロイン)　  真木よう子(Wヒロイン)　  綾野剛　    市川実和子　  松尾諭　  芹那　  窪田正孝  　・　  八千草薫")</f>
        <v>光生(瑛太)は、灯里(真木よう子)から「寂しくてたまらないのでとりあえず1回寝てみよう」と誘われるが、そんな灯里に「今度は昼間に会って競馬場に行こう」と返す。一方、結夏(尾野真千子)は、諒(綾野剛)と飲みに行き、彼にキスをする。実は結夏はひどく酔っていて、キスしたことなどまったく覚えていなかった。  　ある日、光生は灯里とのデートに備えて代官山のヘアサロンで髪をカットし、洋服を買った。その帰り、祖母・亜以子(八千草薫)の店「金魚カフェ」に立ち寄った光生は、結夏と諒に出会う。結夏たちから髪型のことをからかわれた光生は「異性を意識してイメージチェンジしたのではない」とうっかり言ってしまう。  　別の日、光生は灯里を誘って競馬場に出かけた。同じころ、結夏は「金魚カフェ」で淳之介(窪田正孝)と会う。そこで淳之介は、結夏がキス魔だと指摘する。するとそこに、諒がやってきた。結夏は、諒からキスのことを聞き、自己嫌悪に陥ってしまう。競馬場を後にした光生と灯里は、灯里の家で夕飯をともにする約束をして別れる。スーパーマーケットまでビールとつまみを買いに行った結夏は、夕飯の買い物をしている灯里と出会い、諒とキスしてしまったことを打ち明けた。しかし灯里は「別れた相手だから」と返す。その後、灯里と一緒にレジに並んだ結夏は、彼女がポイントカードを探している際に、馬券を持っていることに気づき…。瑛太　  尾野真千子(Wヒロイン)　  真木よう子(Wヒロイン)　  綾野剛　    市川実和子　  松尾諭　  芹那　  窪田正孝  　・　  八千草薫</v>
      </c>
      <c r="N1078" s="2"/>
      <c r="O1078" s="2"/>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row>
    <row r="1079" ht="204.75" customHeight="1">
      <c r="A1079" s="1">
        <v>3469.0</v>
      </c>
      <c r="B1079" s="2" t="s">
        <v>3436</v>
      </c>
      <c r="C1079" s="2">
        <f>IFERROR(__xludf.DUMMYFUNCTION("split(B1079,""_"")"),1301.0)</f>
        <v>1301</v>
      </c>
      <c r="D1079" s="2" t="str">
        <f>IFERROR(__xludf.DUMMYFUNCTION("""COMPUTED_VALUE"""),"CX")</f>
        <v>CX</v>
      </c>
      <c r="E1079" s="2" t="str">
        <f>IFERROR(__xludf.DUMMYFUNCTION("""COMPUTED_VALUE"""),"木22")</f>
        <v>木22</v>
      </c>
      <c r="F1079" s="2" t="s">
        <v>3437</v>
      </c>
      <c r="G1079" s="2" t="s">
        <v>3465</v>
      </c>
      <c r="H1079" s="1">
        <v>10.0</v>
      </c>
      <c r="I1079" s="1" t="s">
        <v>37</v>
      </c>
      <c r="J1079" s="1" t="s">
        <v>86</v>
      </c>
      <c r="K1079" s="2" t="s">
        <v>3466</v>
      </c>
      <c r="L1079" s="8" t="s">
        <v>3467</v>
      </c>
      <c r="M1079" s="2" t="str">
        <f>IFERROR(__xludf.DUMMYFUNCTION("split(split(K1079,""【"",false),""公式LINE"",false)"),"光生(瑛太)は、灯里(真木よう子)が妊娠していることを知る。結夏(尾野真千子)に連絡を取った光生は、灯里の件を打ち明けた。すると結夏は、光生がその子どもの父親になれば丸く収まる、と言い出す。光生は、そんな結夏の言葉に反発した。子どもはいらないと言って結夏を悲しませたことを後悔している光生は、そんなことをしたら結夏を傷つけるだけだし、自分自身も望んでいない、と声を荒げた。あくる日、人材派遣会社の面接に出掛けた結夏は、その帰り道に都並(佐藤祐基)というスカウトマンらしき男から声をかけられる。都並は、結夏に人妻"&amp;"もののDVDを見せ、出演1本なら300万円、3本契約なら1千万円のギャラを出す、と告げる。一方、光生は諒(綾野剛)に連絡を取り、彼に会いに行く。諒は、若い女の子たちとカラオケを楽しんでいた。そこで光生は、灯里のことに触れようとしたものの、諒とケンカになってしまい結局言い出せなかった。その帰り、家の近くで灯里と出会った光生は、彼女を家に招く。灯里は、嘘をつかない人と一緒にいるとホッとする、と言って光生のことをほめた。続けて灯里は、子どもを産んで育てることにした、と光生に告げる。別の日、光生は、諒が勤務してい"&amp;"る美術大学を訪れる。そこで千尋(小野ゆり子)に出会った光生は、諒が酒に酔って3階の窓から落ち、入院したことを知る。病院を訪れた光生は、灯里が妊娠していることを諒に告げるが…。瑛太　  尾野真千子(Wヒロイン)　  真木よう子(Wヒロイン)　  綾野剛　    市川実和子　  松尾諭　  小野ゆり子  　・　  八千草薫")</f>
        <v>光生(瑛太)は、灯里(真木よう子)が妊娠していることを知る。結夏(尾野真千子)に連絡を取った光生は、灯里の件を打ち明けた。すると結夏は、光生がその子どもの父親になれば丸く収まる、と言い出す。光生は、そんな結夏の言葉に反発した。子どもはいらないと言って結夏を悲しませたことを後悔している光生は、そんなことをしたら結夏を傷つけるだけだし、自分自身も望んでいない、と声を荒げた。あくる日、人材派遣会社の面接に出掛けた結夏は、その帰り道に都並(佐藤祐基)というスカウトマンらしき男から声をかけられる。都並は、結夏に人妻もののDVDを見せ、出演1本なら300万円、3本契約なら1千万円のギャラを出す、と告げる。一方、光生は諒(綾野剛)に連絡を取り、彼に会いに行く。諒は、若い女の子たちとカラオケを楽しんでいた。そこで光生は、灯里のことに触れようとしたものの、諒とケンカになってしまい結局言い出せなかった。その帰り、家の近くで灯里と出会った光生は、彼女を家に招く。灯里は、嘘をつかない人と一緒にいるとホッとする、と言って光生のことをほめた。続けて灯里は、子どもを産んで育てることにした、と光生に告げる。別の日、光生は、諒が勤務している美術大学を訪れる。そこで千尋(小野ゆり子)に出会った光生は、諒が酒に酔って3階の窓から落ち、入院したことを知る。病院を訪れた光生は、灯里が妊娠していることを諒に告げるが…。瑛太　  尾野真千子(Wヒロイン)　  真木よう子(Wヒロイン)　  綾野剛　    市川実和子　  松尾諭　  小野ゆり子  　・　  八千草薫</v>
      </c>
      <c r="N1079" s="2"/>
      <c r="O1079" s="2"/>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row>
    <row r="1080" ht="204.75" customHeight="1">
      <c r="A1080" s="1">
        <v>3470.0</v>
      </c>
      <c r="B1080" s="2" t="s">
        <v>3436</v>
      </c>
      <c r="C1080" s="2">
        <f>IFERROR(__xludf.DUMMYFUNCTION("split(B1080,""_"")"),1301.0)</f>
        <v>1301</v>
      </c>
      <c r="D1080" s="2" t="str">
        <f>IFERROR(__xludf.DUMMYFUNCTION("""COMPUTED_VALUE"""),"CX")</f>
        <v>CX</v>
      </c>
      <c r="E1080" s="2" t="str">
        <f>IFERROR(__xludf.DUMMYFUNCTION("""COMPUTED_VALUE"""),"木22")</f>
        <v>木22</v>
      </c>
      <c r="F1080" s="2" t="s">
        <v>3437</v>
      </c>
      <c r="G1080" s="2" t="s">
        <v>3468</v>
      </c>
      <c r="H1080" s="1">
        <v>11.0</v>
      </c>
      <c r="I1080" s="1" t="s">
        <v>41</v>
      </c>
      <c r="J1080" s="1" t="s">
        <v>82</v>
      </c>
      <c r="K1080" s="2" t="s">
        <v>3469</v>
      </c>
      <c r="L1080" s="8" t="s">
        <v>3470</v>
      </c>
      <c r="M1080" s="2" t="str">
        <f>IFERROR(__xludf.DUMMYFUNCTION("split(split(K1080,""【"",false),""公式LINE"",false)"),"光生(瑛太)は、付き合いで参加したことがきっかけで、アキバ系アイドルにすっかりハマってしまう。彼女たちのライブの帰り、「金魚カフェ」に立ち寄った光生は、河口湖の近くで暮らしている父・修一(山崎一)が、明日、亜以子(八千草薫)を迎えにくることを知る。姉の智世(市川実和子)は、そのときに離婚したことを修一に報告するよう光生に告げた。  　帰宅した光生は、猫のマチルダとはっさくが開いていた窓から外に出ていってしまったことを知り、がく然となる。探しに出た光生は、「金魚カフェ」にも立ち寄った。するとそこにはなぜか結"&amp;"夏(尾野真千子)の姿が。結夏は、光生とともにマチルダたちを必死に探す。同じころ、灯里(真木よう子)と諒(綾野剛)は婚姻届を書いていた。そこにやってきた光生たちは、事情を話し、一緒に探してほしいと2人に頼む。4人は近所を探し回ったが、結局マチルダたちは見つからなかった。  　結夏とともに家に戻った光生は、ひどく落ち込んでいる彼女を気遣う。しかし結夏は、明日約束があるからもう帰ると言う。結夏の様子がおかしいことに気づき、引きとめる光生は、結夏の口から人妻モノのDVDの面接に行くことを知る。結夏に対する正直な思"&amp;"いを伝え、結夏を説得する光生…。あくる日、「金魚カフェ」に修一がやってくる。光生たちが離婚したことを知った修一は、いまから結夏の実家に行って両家揃っての家族会議を開くと言い出し…。瑛太　  尾野真千子(Wヒロイン)　  真木よう子(Wヒロイン)　  綾野剛　    市川実和子　  松尾諭　  芹那　    宮地雅子　  窪田正孝　    山崎一　  浅茅陽子　  ガッツ石松　  大島蓉子  　・　  八千草薫")</f>
        <v>光生(瑛太)は、付き合いで参加したことがきっかけで、アキバ系アイドルにすっかりハマってしまう。彼女たちのライブの帰り、「金魚カフェ」に立ち寄った光生は、河口湖の近くで暮らしている父・修一(山崎一)が、明日、亜以子(八千草薫)を迎えにくることを知る。姉の智世(市川実和子)は、そのときに離婚したことを修一に報告するよう光生に告げた。  　帰宅した光生は、猫のマチルダとはっさくが開いていた窓から外に出ていってしまったことを知り、がく然となる。探しに出た光生は、「金魚カフェ」にも立ち寄った。するとそこにはなぜか結夏(尾野真千子)の姿が。結夏は、光生とともにマチルダたちを必死に探す。同じころ、灯里(真木よう子)と諒(綾野剛)は婚姻届を書いていた。そこにやってきた光生たちは、事情を話し、一緒に探してほしいと2人に頼む。4人は近所を探し回ったが、結局マチルダたちは見つからなかった。  　結夏とともに家に戻った光生は、ひどく落ち込んでいる彼女を気遣う。しかし結夏は、明日約束があるからもう帰ると言う。結夏の様子がおかしいことに気づき、引きとめる光生は、結夏の口から人妻モノのDVDの面接に行くことを知る。結夏に対する正直な思いを伝え、結夏を説得する光生…。あくる日、「金魚カフェ」に修一がやってくる。光生たちが離婚したことを知った修一は、いまから結夏の実家に行って両家揃っての家族会議を開くと言い出し…。瑛太　  尾野真千子(Wヒロイン)　  真木よう子(Wヒロイン)　  綾野剛　    市川実和子　  松尾諭　  芹那　    宮地雅子　  窪田正孝　    山崎一　  浅茅陽子　  ガッツ石松　  大島蓉子  　・　  八千草薫</v>
      </c>
      <c r="N1080" s="2"/>
      <c r="O1080" s="2"/>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row>
    <row r="1081" ht="204.75" customHeight="1">
      <c r="A1081" s="1">
        <v>3500.0</v>
      </c>
      <c r="B1081" s="2" t="s">
        <v>3471</v>
      </c>
      <c r="C1081" s="2">
        <f>IFERROR(__xludf.DUMMYFUNCTION("split(B1081,""_"")"),1301.0)</f>
        <v>1301</v>
      </c>
      <c r="D1081" s="2" t="str">
        <f>IFERROR(__xludf.DUMMYFUNCTION("""COMPUTED_VALUE"""),"CX")</f>
        <v>CX</v>
      </c>
      <c r="E1081" s="2" t="str">
        <f>IFERROR(__xludf.DUMMYFUNCTION("""COMPUTED_VALUE"""),"土23")</f>
        <v>土23</v>
      </c>
      <c r="F1081" s="2" t="s">
        <v>3472</v>
      </c>
      <c r="G1081" s="2" t="s">
        <v>3473</v>
      </c>
      <c r="H1081" s="1">
        <v>1.0</v>
      </c>
      <c r="I1081" s="1" t="s">
        <v>3</v>
      </c>
      <c r="J1081" s="1" t="s">
        <v>2429</v>
      </c>
      <c r="K1081" s="4" t="s">
        <v>3474</v>
      </c>
      <c r="L1081" s="2" t="s">
        <v>3475</v>
      </c>
      <c r="M1081" s="2" t="str">
        <f>IFERROR(__xludf.DUMMYFUNCTION("split(split(K1081,""黒澤勲:　"",false),""公式LINE"",false)"),"黒澤家当主・黒澤文蔵(吉田鋼太郎)は、海沿いの町・烏目町一帯に多くの土地を持ち“クロサワ""という会社名で不動産業と建設業を営んでいた。町の経済は“クロサワ""中心に回っており、町内で文蔵に盾突く者はほとんどいなかったが、文蔵のビジネスは利益最優先の自己中心的な取引ばかりで恨みを買うことも多く、文蔵は“クロサワの酒好き、金好き、女好き…""と町中で揶揄されていた。  　その文蔵には3人の息子がいた。前妻・梓との間に生まれた長男・満(斎藤工)と、梓が文蔵に愛想を尽かして出ていった後に結婚した詩織(安藤サクラ"&amp;")との間に生まれた次男・勲(市原隼人)と三男・涼(林遣都)。長男・満は失業中の身で借金も抱えていたが、遠藤加奈子(高梨臨)と同棲しながらヒモのような生活をしていた。次男・勲は東京の一流大学法学部、法科大学院を卒業後、司法試験にも一発で合格して東京の法律事務所で働いていた。三男・涼は医大生で、寮で暮らしながら精神科医の道を目指していた。  　そんなある日、文蔵が自宅の寝室で殺されているのが発見される。死体はなぜか奇妙な形をしていた…。間もなくして3兄弟は“文蔵殺し""の容疑者として連行され、刑事(滝藤賢一)"&amp;"から取り調べを受けることになる。刑事は、3兄弟それぞれに父・文蔵を殺す動機があることをつかんでいた。それは文蔵が殺される2週間ほど前、黒澤家で開催された家族会議が発端だった…。")</f>
        <v>黒澤家当主・黒澤文蔵(吉田鋼太郎)は、海沿いの町・烏目町一帯に多くの土地を持ち“クロサワ"という会社名で不動産業と建設業を営んでいた。町の経済は“クロサワ"中心に回っており、町内で文蔵に盾突く者はほとんどいなかったが、文蔵のビジネスは利益最優先の自己中心的な取引ばかりで恨みを買うことも多く、文蔵は“クロサワの酒好き、金好き、女好き…"と町中で揶揄されていた。  　その文蔵には3人の息子がいた。前妻・梓との間に生まれた長男・満(斎藤工)と、梓が文蔵に愛想を尽かして出ていった後に結婚した詩織(安藤サクラ)との間に生まれた次男・勲(市原隼人)と三男・涼(林遣都)。長男・満は失業中の身で借金も抱えていたが、遠藤加奈子(高梨臨)と同棲しながらヒモのような生活をしていた。次男・勲は東京の一流大学法学部、法科大学院を卒業後、司法試験にも一発で合格して東京の法律事務所で働いていた。三男・涼は医大生で、寮で暮らしながら精神科医の道を目指していた。  　そんなある日、文蔵が自宅の寝室で殺されているのが発見される。死体はなぜか奇妙な形をしていた…。間もなくして3兄弟は“文蔵殺し"の容疑者として連行され、刑事(滝藤賢一)から取り調べを受けることになる。刑事は、3兄弟それぞれに父・文蔵を殺す動機があることをつかんでいた。それは文蔵が殺される2週間ほど前、黒澤家で開催された家族会議が発端だった…。</v>
      </c>
      <c r="N1081" s="2"/>
      <c r="O1081" s="2"/>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row>
    <row r="1082" ht="204.75" customHeight="1">
      <c r="A1082" s="1">
        <v>3501.0</v>
      </c>
      <c r="B1082" s="2" t="s">
        <v>3471</v>
      </c>
      <c r="C1082" s="2">
        <f>IFERROR(__xludf.DUMMYFUNCTION("split(B1082,""_"")"),1301.0)</f>
        <v>1301</v>
      </c>
      <c r="D1082" s="2" t="str">
        <f>IFERROR(__xludf.DUMMYFUNCTION("""COMPUTED_VALUE"""),"CX")</f>
        <v>CX</v>
      </c>
      <c r="E1082" s="2" t="str">
        <f>IFERROR(__xludf.DUMMYFUNCTION("""COMPUTED_VALUE"""),"土23")</f>
        <v>土23</v>
      </c>
      <c r="F1082" s="2" t="s">
        <v>3472</v>
      </c>
      <c r="G1082" s="2" t="s">
        <v>3476</v>
      </c>
      <c r="H1082" s="1">
        <v>2.0</v>
      </c>
      <c r="I1082" s="1" t="s">
        <v>7</v>
      </c>
      <c r="J1082" s="1" t="s">
        <v>2429</v>
      </c>
      <c r="K1082" s="4" t="s">
        <v>3477</v>
      </c>
      <c r="L1082" s="2" t="s">
        <v>3478</v>
      </c>
      <c r="M1082" s="2" t="str">
        <f>IFERROR(__xludf.DUMMYFUNCTION("split(split(K1082,""黒澤勲:　"",false),""公式LINE"",false)"),"「家族会議がある」と呼び出され、久しぶりに黒澤邸に戻って来た次男・勲(市原隼人)だったが、相変わらずの父・文蔵(吉田鋼太郎)の横暴ぶりに嫌気がさしていた。  　朝食後、東京に帰ろうとしていた勲だったが、勲の了解なしに、勤務先である弁護士事務所に休暇を取る連絡をした、と文蔵から聞かされる。これで心置きなく俺のために働けるだろうと、文蔵は勲に言い放つ。　文蔵は取引のある下請け会社、杉卓工務店とトラブルになっていて、勲の力を借りようとしていた。勲は弁護士を目指すために上京する前、学費と生活費を文蔵に借金しており"&amp;"、利子付きの借用書も書いた上に、将来自分が弁護士になった際には文蔵の力になることも約束していたため、何も反論できないでいた。　勲は地元の海岸で、今は兄・満(斎藤工)の恋人である大学の同級生・遠藤加奈子(高梨臨)と久しぶりに再会した。勲は、加奈子と満の仲がうまくいってないのではと心配していたが、加奈子から満とはうまく付き合っている、と聞かされ複雑な心境になった。  　ある夜、勲が黒澤邸大広間に降りてくると、文蔵が女と酒を飲んでいた。その女の顔を見た勲は驚愕する・・・。")</f>
        <v>「家族会議がある」と呼び出され、久しぶりに黒澤邸に戻って来た次男・勲(市原隼人)だったが、相変わらずの父・文蔵(吉田鋼太郎)の横暴ぶりに嫌気がさしていた。  　朝食後、東京に帰ろうとしていた勲だったが、勲の了解なしに、勤務先である弁護士事務所に休暇を取る連絡をした、と文蔵から聞かされる。これで心置きなく俺のために働けるだろうと、文蔵は勲に言い放つ。　文蔵は取引のある下請け会社、杉卓工務店とトラブルになっていて、勲の力を借りようとしていた。勲は弁護士を目指すために上京する前、学費と生活費を文蔵に借金しており、利子付きの借用書も書いた上に、将来自分が弁護士になった際には文蔵の力になることも約束していたため、何も反論できないでいた。　勲は地元の海岸で、今は兄・満(斎藤工)の恋人である大学の同級生・遠藤加奈子(高梨臨)と久しぶりに再会した。勲は、加奈子と満の仲がうまくいってないのではと心配していたが、加奈子から満とはうまく付き合っている、と聞かされ複雑な心境になった。  　ある夜、勲が黒澤邸大広間に降りてくると、文蔵が女と酒を飲んでいた。その女の顔を見た勲は驚愕する・・・。</v>
      </c>
      <c r="N1082" s="2"/>
      <c r="O1082" s="2"/>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row>
    <row r="1083" ht="204.75" customHeight="1">
      <c r="A1083" s="1">
        <v>3502.0</v>
      </c>
      <c r="B1083" s="2" t="s">
        <v>3471</v>
      </c>
      <c r="C1083" s="2">
        <f>IFERROR(__xludf.DUMMYFUNCTION("split(B1083,""_"")"),1301.0)</f>
        <v>1301</v>
      </c>
      <c r="D1083" s="2" t="str">
        <f>IFERROR(__xludf.DUMMYFUNCTION("""COMPUTED_VALUE"""),"CX")</f>
        <v>CX</v>
      </c>
      <c r="E1083" s="2" t="str">
        <f>IFERROR(__xludf.DUMMYFUNCTION("""COMPUTED_VALUE"""),"土23")</f>
        <v>土23</v>
      </c>
      <c r="F1083" s="2" t="s">
        <v>3472</v>
      </c>
      <c r="G1083" s="2" t="s">
        <v>3479</v>
      </c>
      <c r="H1083" s="1">
        <v>3.0</v>
      </c>
      <c r="I1083" s="1" t="s">
        <v>10</v>
      </c>
      <c r="J1083" s="1" t="s">
        <v>2429</v>
      </c>
      <c r="K1083" s="2" t="s">
        <v>3480</v>
      </c>
      <c r="L1083" s="2" t="s">
        <v>3481</v>
      </c>
      <c r="M1083" s="2" t="str">
        <f>IFERROR(__xludf.DUMMYFUNCTION("split(split(K1083,""黒澤勲:　"",false),""公式LINE"",false)"),"～長男・満　棄てられた犬～    　長男・満(斎藤工)は3年前、市長と産廃業者との不正な関係を示す写真を押さえようとしていた。筋の悪い男から依頼された仕事で、金に困っていた満は引き受けることにしたのだった。満が車の中から市長の家を眺めていると、帰宅してくる1人の女性がやってきた。女性は満の知っている顔だった。  　ある夜、黒澤邸に帰宅した満は、父・文蔵(吉田鋼太郎)のコレクションであるウィスキーを持って2階に上がっていく。三男・涼(林遣都)の部屋をノックした満は、一緒に飲まないか?と涼を誘った。涼の部屋で"&amp;"一緒に飲みながら、母親・詩織(安藤サクラ)の思い出話をしていると、ドアがノックされた。次男・勲(市原隼人)が涼から頼まれた本を持って来たのだった。涼から一緒に飲もうと誘われて一旦断った勲だったが、満からも兄弟3人で飲むなんて滅多にないんだからと言われ、勲は仕方なく飲むことにする。話題が、勲が親父の仕事を手伝っていること、満が定職につかないことで遠藤加奈子(高梨臨)を不安にさせていること、になると気まずい雰囲気になり、満は氷を取ってくると言って部屋を出て行った。  　大広間でアイスペールに氷を入れた満は、ち"&amp;"ょうど帰宅した文蔵と出くわす。加奈子のことや、実母・梓のことで文蔵から非難された満は、家を飛び出して・・・。")</f>
        <v>～長男・満　棄てられた犬～    　長男・満(斎藤工)は3年前、市長と産廃業者との不正な関係を示す写真を押さえようとしていた。筋の悪い男から依頼された仕事で、金に困っていた満は引き受けることにしたのだった。満が車の中から市長の家を眺めていると、帰宅してくる1人の女性がやってきた。女性は満の知っている顔だった。  　ある夜、黒澤邸に帰宅した満は、父・文蔵(吉田鋼太郎)のコレクションであるウィスキーを持って2階に上がっていく。三男・涼(林遣都)の部屋をノックした満は、一緒に飲まないか?と涼を誘った。涼の部屋で一緒に飲みながら、母親・詩織(安藤サクラ)の思い出話をしていると、ドアがノックされた。次男・勲(市原隼人)が涼から頼まれた本を持って来たのだった。涼から一緒に飲もうと誘われて一旦断った勲だったが、満からも兄弟3人で飲むなんて滅多にないんだからと言われ、勲は仕方なく飲むことにする。話題が、勲が親父の仕事を手伝っていること、満が定職につかないことで遠藤加奈子(高梨臨)を不安にさせていること、になると気まずい雰囲気になり、満は氷を取ってくると言って部屋を出て行った。  　大広間でアイスペールに氷を入れた満は、ちょうど帰宅した文蔵と出くわす。加奈子のことや、実母・梓のことで文蔵から非難された満は、家を飛び出して・・・。</v>
      </c>
      <c r="N1083" s="2"/>
      <c r="O1083" s="2"/>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row>
    <row r="1084" ht="204.75" customHeight="1">
      <c r="A1084" s="1">
        <v>3503.0</v>
      </c>
      <c r="B1084" s="2" t="s">
        <v>3471</v>
      </c>
      <c r="C1084" s="2">
        <f>IFERROR(__xludf.DUMMYFUNCTION("split(B1084,""_"")"),1301.0)</f>
        <v>1301</v>
      </c>
      <c r="D1084" s="2" t="str">
        <f>IFERROR(__xludf.DUMMYFUNCTION("""COMPUTED_VALUE"""),"CX")</f>
        <v>CX</v>
      </c>
      <c r="E1084" s="2" t="str">
        <f>IFERROR(__xludf.DUMMYFUNCTION("""COMPUTED_VALUE"""),"土23")</f>
        <v>土23</v>
      </c>
      <c r="F1084" s="2" t="s">
        <v>3472</v>
      </c>
      <c r="G1084" s="2" t="s">
        <v>3482</v>
      </c>
      <c r="H1084" s="1">
        <v>4.0</v>
      </c>
      <c r="I1084" s="1" t="s">
        <v>14</v>
      </c>
      <c r="J1084" s="1" t="s">
        <v>2429</v>
      </c>
      <c r="K1084" s="2" t="s">
        <v>3483</v>
      </c>
      <c r="L1084" s="2" t="s">
        <v>3484</v>
      </c>
      <c r="M1084" s="2" t="str">
        <f>IFERROR(__xludf.DUMMYFUNCTION("split(split(K1084,""黒澤勲:　"",false),""公式LINE"",false)"),"～三男・涼　奪われた我～　店を持てるという話が、父・文蔵(吉田鋼太郎)と、文蔵から金で買収された吉岡久留美(芳賀優里亜)による罠だったと知り、茫然自失する長男・満(斎藤工)。以前、次男・勲(市原隼人)が、久留美に深入りするな、と言っていたことを思い出して、勲に詰め寄った満を、三男・涼(林遣都)は暴力ではなく話し合いで解決させようとなだめるが、満はその場から去ってしまう。　2年前のある日、涼が 構内の一角で物思いにふけっていると、大きな荷物を抱えた園田教授(小野寺昭)が歩いてきた。荷物を運ぶのを手伝うため園"&amp;"田について行くと、そこには大勢の子どもたちがいた。園田は、不登校児たちに自信を取り戻してもらうことを目的とした活動をしていたのだった。心の力を信じてる、と精神医学の重要性を話してくれた園田に感銘を受けた涼は、精神医学の道を進むことを考えるようになった。　ある日のこと、涼は砂浜で1人 遊ぶ杉山一郎(樋口海斗)を見かける。以前、いじめられていた一郎を助けた際に、クロサワなんか死んじまえ、と手を噛まれた涼は、少しちゅうちょしながらも、一緒に遊ぼうと、声をかけた。最初はギクシャクしながらも最後には心を許しあえた2"&amp;"人だったが、送り届けた一郎の家が、文蔵とトラブルの渦中にある杉卓工務店だったことを知り、気まずくなる。ちょうどそのとき、中から杉山卓郎(水野智則)と交渉決裂した様子の勲が…。 ")</f>
        <v>～三男・涼　奪われた我～　店を持てるという話が、父・文蔵(吉田鋼太郎)と、文蔵から金で買収された吉岡久留美(芳賀優里亜)による罠だったと知り、茫然自失する長男・満(斎藤工)。以前、次男・勲(市原隼人)が、久留美に深入りするな、と言っていたことを思い出して、勲に詰め寄った満を、三男・涼(林遣都)は暴力ではなく話し合いで解決させようとなだめるが、満はその場から去ってしまう。　2年前のある日、涼が 構内の一角で物思いにふけっていると、大きな荷物を抱えた園田教授(小野寺昭)が歩いてきた。荷物を運ぶのを手伝うため園田について行くと、そこには大勢の子どもたちがいた。園田は、不登校児たちに自信を取り戻してもらうことを目的とした活動をしていたのだった。心の力を信じてる、と精神医学の重要性を話してくれた園田に感銘を受けた涼は、精神医学の道を進むことを考えるようになった。　ある日のこと、涼は砂浜で1人 遊ぶ杉山一郎(樋口海斗)を見かける。以前、いじめられていた一郎を助けた際に、クロサワなんか死んじまえ、と手を噛まれた涼は、少しちゅうちょしながらも、一緒に遊ぼうと、声をかけた。最初はギクシャクしながらも最後には心を許しあえた2人だったが、送り届けた一郎の家が、文蔵とトラブルの渦中にある杉卓工務店だったことを知り、気まずくなる。ちょうどそのとき、中から杉山卓郎(水野智則)と交渉決裂した様子の勲が…。 </v>
      </c>
      <c r="N1084" s="2"/>
      <c r="O1084" s="2"/>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row>
    <row r="1085" ht="204.75" customHeight="1">
      <c r="A1085" s="1">
        <v>3504.0</v>
      </c>
      <c r="B1085" s="2" t="s">
        <v>3471</v>
      </c>
      <c r="C1085" s="2">
        <f>IFERROR(__xludf.DUMMYFUNCTION("split(B1085,""_"")"),1301.0)</f>
        <v>1301</v>
      </c>
      <c r="D1085" s="2" t="str">
        <f>IFERROR(__xludf.DUMMYFUNCTION("""COMPUTED_VALUE"""),"CX")</f>
        <v>CX</v>
      </c>
      <c r="E1085" s="2" t="str">
        <f>IFERROR(__xludf.DUMMYFUNCTION("""COMPUTED_VALUE"""),"土23")</f>
        <v>土23</v>
      </c>
      <c r="F1085" s="2" t="s">
        <v>3472</v>
      </c>
      <c r="G1085" s="2" t="s">
        <v>3485</v>
      </c>
      <c r="H1085" s="1">
        <v>5.0</v>
      </c>
      <c r="I1085" s="1" t="s">
        <v>17</v>
      </c>
      <c r="J1085" s="1" t="s">
        <v>2429</v>
      </c>
      <c r="K1085" s="2" t="s">
        <v>3486</v>
      </c>
      <c r="L1085" s="2" t="s">
        <v>3487</v>
      </c>
      <c r="M1085" s="2" t="str">
        <f>IFERROR(__xludf.DUMMYFUNCTION("split(split(K1085,""黒澤勲:　"",false),""公式LINE"",false)"),"～剥がれる仮面～　町の有力者である黒澤文蔵(吉田鋼太郎)は1月14日に自宅で殺害された。死亡推定時刻は午後4～6時、死因は鈍器で頭部を強打されたことによる脳挫傷および、脳内出血だった。第1発見者は文蔵の三男・黒澤涼(林遣都)で、事件当日午後7時過ぎに自宅に戻ったところ、階段下に倒れていた秘書・小栗晃一(渡辺憲吉)を発見する。さらに文蔵の部屋が半開きになっているのに気づき、遺体を発見したのだった。 　数日前の朝、次男・勲(市原隼人)が1階に下りてくると、涼はまだ食卓についていなかった。「いなくなるべき人は、"&amp;"他にいるのに…」と思い詰めていた涼を、勲は心配になる。文蔵が昨夜連れ込んだ女の悪態をつきながらやってくると、下請け会社の杉卓工務店社長・杉山卓郎(水野智則)が慌てた様子で入ってきた。一方、恩師である園田教授(小野寺昭)の死を受け入れられず途方に暮れていた涼は、黒澤家の庭で卓郎の息子、 杉山一郎(樋口海斗)を見つける。　長男・満(斎藤工)が、バー『メトロポリス』で女と飲んでいると、男性同伴の吉岡久留美(芳賀優里亜)が偶然やってきた。罠にはめられた一件後、初めて顔を合わす2人。お互いの同伴者が席を外したところ"&amp;"で、満から声を掛けた…。　その夜、涼が誰もいない勲の部屋に入ると、机の上に原稿用紙があった。その内容を見てショックを受ける涼。と、そのとき勲が部屋に戻ってきた…。 ")</f>
        <v>～剥がれる仮面～　町の有力者である黒澤文蔵(吉田鋼太郎)は1月14日に自宅で殺害された。死亡推定時刻は午後4～6時、死因は鈍器で頭部を強打されたことによる脳挫傷および、脳内出血だった。第1発見者は文蔵の三男・黒澤涼(林遣都)で、事件当日午後7時過ぎに自宅に戻ったところ、階段下に倒れていた秘書・小栗晃一(渡辺憲吉)を発見する。さらに文蔵の部屋が半開きになっているのに気づき、遺体を発見したのだった。 　数日前の朝、次男・勲(市原隼人)が1階に下りてくると、涼はまだ食卓についていなかった。「いなくなるべき人は、他にいるのに…」と思い詰めていた涼を、勲は心配になる。文蔵が昨夜連れ込んだ女の悪態をつきながらやってくると、下請け会社の杉卓工務店社長・杉山卓郎(水野智則)が慌てた様子で入ってきた。一方、恩師である園田教授(小野寺昭)の死を受け入れられず途方に暮れていた涼は、黒澤家の庭で卓郎の息子、 杉山一郎(樋口海斗)を見つける。　長男・満(斎藤工)が、バー『メトロポリス』で女と飲んでいると、男性同伴の吉岡久留美(芳賀優里亜)が偶然やってきた。罠にはめられた一件後、初めて顔を合わす2人。お互いの同伴者が席を外したところで、満から声を掛けた…。　その夜、涼が誰もいない勲の部屋に入ると、机の上に原稿用紙があった。その内容を見てショックを受ける涼。と、そのとき勲が部屋に戻ってきた…。 </v>
      </c>
      <c r="N1085" s="2"/>
      <c r="O1085" s="2"/>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row>
    <row r="1086" ht="204.75" customHeight="1">
      <c r="A1086" s="1">
        <v>3505.0</v>
      </c>
      <c r="B1086" s="2" t="s">
        <v>3471</v>
      </c>
      <c r="C1086" s="2">
        <f>IFERROR(__xludf.DUMMYFUNCTION("split(B1086,""_"")"),1301.0)</f>
        <v>1301</v>
      </c>
      <c r="D1086" s="2" t="str">
        <f>IFERROR(__xludf.DUMMYFUNCTION("""COMPUTED_VALUE"""),"CX")</f>
        <v>CX</v>
      </c>
      <c r="E1086" s="2" t="str">
        <f>IFERROR(__xludf.DUMMYFUNCTION("""COMPUTED_VALUE"""),"土23")</f>
        <v>土23</v>
      </c>
      <c r="F1086" s="2" t="s">
        <v>3472</v>
      </c>
      <c r="G1086" s="2" t="s">
        <v>3488</v>
      </c>
      <c r="H1086" s="1">
        <v>6.0</v>
      </c>
      <c r="I1086" s="1" t="s">
        <v>21</v>
      </c>
      <c r="J1086" s="1" t="s">
        <v>2429</v>
      </c>
      <c r="K1086" s="2" t="s">
        <v>3489</v>
      </c>
      <c r="L1086" s="2" t="s">
        <v>3490</v>
      </c>
      <c r="M1086" s="2" t="str">
        <f>IFERROR(__xludf.DUMMYFUNCTION("split(split(K1086,""黒澤勲:　"",false),""公式LINE"",false)"),"～死を刻む砂音～　刑事・入江悟史(滝藤賢一)は、黒澤文蔵(吉田鋼太郎)が遺体で発見された際に、近くで倒れていた秘書・小栗晃一(渡辺憲吉)から事件当時の話を聞こうとしていた。それより前、使用人・末松進(松下洸平)からも話を聞いていた入江。末松は、事件当日は忙しく午後3時をまわってようやく昼食を取ったところ、急に気分が悪くなり、屋敷の離れで休んでいたという。一方の小栗は、末松の代わりに用事を済ませる ため外出したが、途中で忘れ物に気づき、屋敷に引き返したところである人物によって階段から突き落とされたという。そ"&amp;"の人物を聞き出そうとする入江。　ある朝、三男・涼(林遣都)は、2階から文蔵と吉岡久留美(芳賀優里亜)が降りてくるのを見かけるが、文蔵が久留美に接吻したため目をそらす。一連の様子を見ていた次男・勲(市原隼人)。勲と涼は、前日に“世の不条理について""激論を交わしたこともあり、気まずい雰囲気に なるが、話が長男・満(斎藤工)の件になると、どちらにも連絡がないことを知り心配になる。　その日の午後、勲と文蔵は、下請け会社・杉卓工務店の件で打ち合わせをしていた。裁判所に、文蔵側に有利な証拠書類を提出して一件落着する"&amp;"と説明した勲に文蔵は、次の仕事も宜しくと話す。この件を片付ければ文蔵の元を離れられると考えていた勲は、息苦しくなる。翌朝、勲はあることを伝えるため、海岸で満を待っていた…。 ")</f>
        <v>～死を刻む砂音～　刑事・入江悟史(滝藤賢一)は、黒澤文蔵(吉田鋼太郎)が遺体で発見された際に、近くで倒れていた秘書・小栗晃一(渡辺憲吉)から事件当時の話を聞こうとしていた。それより前、使用人・末松進(松下洸平)からも話を聞いていた入江。末松は、事件当日は忙しく午後3時をまわってようやく昼食を取ったところ、急に気分が悪くなり、屋敷の離れで休んでいたという。一方の小栗は、末松の代わりに用事を済ませる ため外出したが、途中で忘れ物に気づき、屋敷に引き返したところである人物によって階段から突き落とされたという。その人物を聞き出そうとする入江。　ある朝、三男・涼(林遣都)は、2階から文蔵と吉岡久留美(芳賀優里亜)が降りてくるのを見かけるが、文蔵が久留美に接吻したため目をそらす。一連の様子を見ていた次男・勲(市原隼人)。勲と涼は、前日に“世の不条理について"激論を交わしたこともあり、気まずい雰囲気に なるが、話が長男・満(斎藤工)の件になると、どちらにも連絡がないことを知り心配になる。　その日の午後、勲と文蔵は、下請け会社・杉卓工務店の件で打ち合わせをしていた。裁判所に、文蔵側に有利な証拠書類を提出して一件落着すると説明した勲に文蔵は、次の仕事も宜しくと話す。この件を片付ければ文蔵の元を離れられると考えていた勲は、息苦しくなる。翌朝、勲はあることを伝えるため、海岸で満を待っていた…。 </v>
      </c>
      <c r="N1086" s="2"/>
      <c r="O1086" s="2"/>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row>
    <row r="1087" ht="204.75" customHeight="1">
      <c r="A1087" s="1">
        <v>3506.0</v>
      </c>
      <c r="B1087" s="2" t="s">
        <v>3471</v>
      </c>
      <c r="C1087" s="2">
        <f>IFERROR(__xludf.DUMMYFUNCTION("split(B1087,""_"")"),1301.0)</f>
        <v>1301</v>
      </c>
      <c r="D1087" s="2" t="str">
        <f>IFERROR(__xludf.DUMMYFUNCTION("""COMPUTED_VALUE"""),"CX")</f>
        <v>CX</v>
      </c>
      <c r="E1087" s="2" t="str">
        <f>IFERROR(__xludf.DUMMYFUNCTION("""COMPUTED_VALUE"""),"土23")</f>
        <v>土23</v>
      </c>
      <c r="F1087" s="2" t="s">
        <v>3472</v>
      </c>
      <c r="G1087" s="2" t="s">
        <v>3491</v>
      </c>
      <c r="H1087" s="1">
        <v>7.0</v>
      </c>
      <c r="I1087" s="1" t="s">
        <v>25</v>
      </c>
      <c r="J1087" s="1" t="s">
        <v>2429</v>
      </c>
      <c r="K1087" s="2" t="s">
        <v>3492</v>
      </c>
      <c r="L1087" s="2" t="s">
        <v>3493</v>
      </c>
      <c r="M1087" s="2" t="str">
        <f>IFERROR(__xludf.DUMMYFUNCTION("split(split(K1087,""黒澤勲:　"",false),""公式LINE"",false)"),"～黒く潰された空白～　刑事・入江悟史(滝藤賢一)は、意識が戻った黒澤文蔵(吉田鋼太郎)の秘書・小栗晃一(渡辺憲吉)に、彼を階段から突き落とした人物を聞き出そうと、次男・勲(市原隼人)、長男・満(斎藤工)、三男・涼(林遣都)3兄弟の写真を見せた。戸惑いながらも、その中の1人を指さす小栗…。　文蔵殺害当日19時頃。満は、人目を気にしながら、とある道を走っていた。しばらくして、どこかに連絡をする満。 ところが相手は電話に出ず、すぐに会いたいと留守電にメッセージを残した。　同じ日の22時頃、勲は東京にいた。弁護士"&amp;"事務所に、明日から出勤しますと連絡を入れた直後、見知らぬ番号からの着信に出ると、相手は入江だった。入江から父・文蔵が遺体で発見され、状況から殺害された可能性が高いことを聞かされた勲は、すぐに烏目町に戻ることに…。　一方の涼は19時半頃、遺体の第1発見者として屋敷にいた。 階段下に倒れていた小栗と食中毒で休んでいた末松進(松下洸平)の2人が、救急車で病院に運ばれたことを入江から聞かされた涼は任意同行を求められる。少し前の夕方、涼は黒澤地所の中にいた。昔の黒澤家使用人から“母・詩織(安藤サクラ)が自殺した本当"&amp;"の理由""を聞き出した涼は、“ある決意""を固めたのだった。しばらくして、建物から出て来た涼は、ある人物が黒澤地所に火をつけようとしているのを見つけてしまう…。 ")</f>
        <v>～黒く潰された空白～　刑事・入江悟史(滝藤賢一)は、意識が戻った黒澤文蔵(吉田鋼太郎)の秘書・小栗晃一(渡辺憲吉)に、彼を階段から突き落とした人物を聞き出そうと、次男・勲(市原隼人)、長男・満(斎藤工)、三男・涼(林遣都)3兄弟の写真を見せた。戸惑いながらも、その中の1人を指さす小栗…。　文蔵殺害当日19時頃。満は、人目を気にしながら、とある道を走っていた。しばらくして、どこかに連絡をする満。 ところが相手は電話に出ず、すぐに会いたいと留守電にメッセージを残した。　同じ日の22時頃、勲は東京にいた。弁護士事務所に、明日から出勤しますと連絡を入れた直後、見知らぬ番号からの着信に出ると、相手は入江だった。入江から父・文蔵が遺体で発見され、状況から殺害された可能性が高いことを聞かされた勲は、すぐに烏目町に戻ることに…。　一方の涼は19時半頃、遺体の第1発見者として屋敷にいた。 階段下に倒れていた小栗と食中毒で休んでいた末松進(松下洸平)の2人が、救急車で病院に運ばれたことを入江から聞かされた涼は任意同行を求められる。少し前の夕方、涼は黒澤地所の中にいた。昔の黒澤家使用人から“母・詩織(安藤サクラ)が自殺した本当の理由"を聞き出した涼は、“ある決意"を固めたのだった。しばらくして、建物から出て来た涼は、ある人物が黒澤地所に火をつけようとしているのを見つけてしまう…。 </v>
      </c>
      <c r="N1087" s="2"/>
      <c r="O1087" s="2"/>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row>
    <row r="1088" ht="204.75" customHeight="1">
      <c r="A1088" s="1">
        <v>3507.0</v>
      </c>
      <c r="B1088" s="2" t="s">
        <v>3471</v>
      </c>
      <c r="C1088" s="2">
        <f>IFERROR(__xludf.DUMMYFUNCTION("split(B1088,""_"")"),1301.0)</f>
        <v>1301</v>
      </c>
      <c r="D1088" s="2" t="str">
        <f>IFERROR(__xludf.DUMMYFUNCTION("""COMPUTED_VALUE"""),"CX")</f>
        <v>CX</v>
      </c>
      <c r="E1088" s="2" t="str">
        <f>IFERROR(__xludf.DUMMYFUNCTION("""COMPUTED_VALUE"""),"土23")</f>
        <v>土23</v>
      </c>
      <c r="F1088" s="2" t="s">
        <v>3472</v>
      </c>
      <c r="G1088" s="2" t="s">
        <v>3494</v>
      </c>
      <c r="H1088" s="1">
        <v>8.0</v>
      </c>
      <c r="I1088" s="1" t="s">
        <v>29</v>
      </c>
      <c r="J1088" s="1" t="s">
        <v>2429</v>
      </c>
      <c r="K1088" s="2" t="s">
        <v>3495</v>
      </c>
      <c r="L1088" s="2" t="s">
        <v>3496</v>
      </c>
      <c r="M1088" s="2" t="str">
        <f>IFERROR(__xludf.DUMMYFUNCTION("split(split(K1088,""黒澤勲:　"",false),""公式LINE"",false)"),"～断ち切れない鎖～　朝早くに目覚めた勲(市原隼人)はシャワーを浴びていた。父・文蔵(吉田鋼太郎)がいなくなり、己から不穏なものが洗い流されていくのを実感する。　その頃、涼(林遣都)は大広間にいた。文蔵の遺体を発見した時の衝撃を思い出し、苦悩していた涼は、勲に、父が死んだというのに涙が出ないことを告白する。勲は、そんな涼の肩を抱き、自分を責める必要はないと慰めの言葉をかけた。 　一方、加奈子(高梨臨)は自宅で満(斎藤工)が書いた置き手紙を読み返していた。勲から、満が文蔵殺しの容疑で逮捕されて本人も認めたらし"&amp;"い、と聞いていた加奈子はその手紙のある文面が気になっていた。そこへ、刑事・入江悟史(滝藤賢一)が相棒とやってくる。入江から事情聴取された加奈子は、黒澤邸に勲を訪ねて、満の弁護をして欲しいと頼む。勲は、刑事事件は自分の専門外だからと話すが、加奈子は過去に満との間にあった “ある一件""を語り始めた…。　その晩、勲が部屋で黒澤地所の書類を読んでいると、再び加奈子から電話がかかってきた。加奈子との会話が要領を得ないまま終わったことに不安を感じた勲は、加奈子の部屋を訪れる。加奈子は、満に会いに警察署へ行った際、満"&amp;"が好きになった女、吉岡久留美(芳賀優里亜)を見かけたのだという。加奈子の傷ついた様子を見た勲は…。　翌朝、勲は涼とともに満が拘留されている警察署へ向かった…。 ")</f>
        <v>～断ち切れない鎖～　朝早くに目覚めた勲(市原隼人)はシャワーを浴びていた。父・文蔵(吉田鋼太郎)がいなくなり、己から不穏なものが洗い流されていくのを実感する。　その頃、涼(林遣都)は大広間にいた。文蔵の遺体を発見した時の衝撃を思い出し、苦悩していた涼は、勲に、父が死んだというのに涙が出ないことを告白する。勲は、そんな涼の肩を抱き、自分を責める必要はないと慰めの言葉をかけた。 　一方、加奈子(高梨臨)は自宅で満(斎藤工)が書いた置き手紙を読み返していた。勲から、満が文蔵殺しの容疑で逮捕されて本人も認めたらしい、と聞いていた加奈子はその手紙のある文面が気になっていた。そこへ、刑事・入江悟史(滝藤賢一)が相棒とやってくる。入江から事情聴取された加奈子は、黒澤邸に勲を訪ねて、満の弁護をして欲しいと頼む。勲は、刑事事件は自分の専門外だからと話すが、加奈子は過去に満との間にあった “ある一件"を語り始めた…。　その晩、勲が部屋で黒澤地所の書類を読んでいると、再び加奈子から電話がかかってきた。加奈子との会話が要領を得ないまま終わったことに不安を感じた勲は、加奈子の部屋を訪れる。加奈子は、満に会いに警察署へ行った際、満が好きになった女、吉岡久留美(芳賀優里亜)を見かけたのだという。加奈子の傷ついた様子を見た勲は…。　翌朝、勲は涼とともに満が拘留されている警察署へ向かった…。 </v>
      </c>
      <c r="N1088" s="2"/>
      <c r="O1088" s="2"/>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row>
    <row r="1089" ht="204.75" customHeight="1">
      <c r="A1089" s="1">
        <v>3508.0</v>
      </c>
      <c r="B1089" s="2" t="s">
        <v>3471</v>
      </c>
      <c r="C1089" s="2">
        <f>IFERROR(__xludf.DUMMYFUNCTION("split(B1089,""_"")"),1301.0)</f>
        <v>1301</v>
      </c>
      <c r="D1089" s="2" t="str">
        <f>IFERROR(__xludf.DUMMYFUNCTION("""COMPUTED_VALUE"""),"CX")</f>
        <v>CX</v>
      </c>
      <c r="E1089" s="2" t="str">
        <f>IFERROR(__xludf.DUMMYFUNCTION("""COMPUTED_VALUE"""),"土23")</f>
        <v>土23</v>
      </c>
      <c r="F1089" s="2" t="s">
        <v>3472</v>
      </c>
      <c r="G1089" s="2" t="s">
        <v>3497</v>
      </c>
      <c r="H1089" s="1">
        <v>9.0</v>
      </c>
      <c r="I1089" s="1" t="s">
        <v>33</v>
      </c>
      <c r="J1089" s="1" t="s">
        <v>2429</v>
      </c>
      <c r="K1089" s="2" t="s">
        <v>3498</v>
      </c>
      <c r="L1089" s="2" t="s">
        <v>3499</v>
      </c>
      <c r="M1089" s="2" t="str">
        <f>IFERROR(__xludf.DUMMYFUNCTION("split(split(K1089,""黒澤勲:　"",false),""公式LINE"",false)"),"～引き裂かれた果てに～  　三男・涼(林遣都)が警察署内で座っていると、手錠をかけられた兄・満(斎藤工)が刑事・入江(滝藤賢一)と宮島(今村裕次郎)に連れられて部屋から出て来た。その哀れな姿にショックを隠せない涼。涼は、満に歩み寄り、無実を信じてると声をかけるが、満は無言のまま立ち去ってしまう・・・。　一方、満から、父・文蔵(吉田鋼太郎)にそっくりだと罵倒され、警察署を飛び出した次男・勲(市原隼人)は、黒澤邸に戻った後、死んだはずの文蔵の支配から未だ逃れることができていない感覚に陥ったことで半狂乱になり、"&amp;"大広間に飾られている文蔵の肖像画近くで倒れていた。しばらくして、倒れていた勲を発見した末松(松下洸平)は、勲を部屋へと連れて行く。と、そこへ涼も警察署から戻って来た・・・。　その夜、満の無実を証明する手掛かりを探していた涼は、バー・メトロポリスで“ある人物""を待ち伏せていた。しばらくして、店に姿を現したのは久留美(芳賀優里亜)だった。久留美から“あること""を聞かされた涼は、黒澤邸に戻り、勲の部屋をノックした・・・。  　翌晩もバー・メトロポリスで酒を飲んでいた久留美。ふと気付くと、加奈子(高梨臨)が横"&amp;"に立っていて・・・。")</f>
        <v>～引き裂かれた果てに～  　三男・涼(林遣都)が警察署内で座っていると、手錠をかけられた兄・満(斎藤工)が刑事・入江(滝藤賢一)と宮島(今村裕次郎)に連れられて部屋から出て来た。その哀れな姿にショックを隠せない涼。涼は、満に歩み寄り、無実を信じてると声をかけるが、満は無言のまま立ち去ってしまう・・・。　一方、満から、父・文蔵(吉田鋼太郎)にそっくりだと罵倒され、警察署を飛び出した次男・勲(市原隼人)は、黒澤邸に戻った後、死んだはずの文蔵の支配から未だ逃れることができていない感覚に陥ったことで半狂乱になり、大広間に飾られている文蔵の肖像画近くで倒れていた。しばらくして、倒れていた勲を発見した末松(松下洸平)は、勲を部屋へと連れて行く。と、そこへ涼も警察署から戻って来た・・・。　その夜、満の無実を証明する手掛かりを探していた涼は、バー・メトロポリスで“ある人物"を待ち伏せていた。しばらくして、店に姿を現したのは久留美(芳賀優里亜)だった。久留美から“あること"を聞かされた涼は、黒澤邸に戻り、勲の部屋をノックした・・・。  　翌晩もバー・メトロポリスで酒を飲んでいた久留美。ふと気付くと、加奈子(高梨臨)が横に立っていて・・・。</v>
      </c>
      <c r="N1089" s="2"/>
      <c r="O1089" s="2"/>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row>
    <row r="1090" ht="204.75" customHeight="1">
      <c r="A1090" s="1">
        <v>3509.0</v>
      </c>
      <c r="B1090" s="2" t="s">
        <v>3471</v>
      </c>
      <c r="C1090" s="2">
        <f>IFERROR(__xludf.DUMMYFUNCTION("split(B1090,""_"")"),1301.0)</f>
        <v>1301</v>
      </c>
      <c r="D1090" s="2" t="str">
        <f>IFERROR(__xludf.DUMMYFUNCTION("""COMPUTED_VALUE"""),"CX")</f>
        <v>CX</v>
      </c>
      <c r="E1090" s="2" t="str">
        <f>IFERROR(__xludf.DUMMYFUNCTION("""COMPUTED_VALUE"""),"土23")</f>
        <v>土23</v>
      </c>
      <c r="F1090" s="2" t="s">
        <v>3472</v>
      </c>
      <c r="G1090" s="2" t="s">
        <v>3500</v>
      </c>
      <c r="H1090" s="1">
        <v>10.0</v>
      </c>
      <c r="I1090" s="1" t="s">
        <v>37</v>
      </c>
      <c r="J1090" s="1" t="s">
        <v>1435</v>
      </c>
      <c r="K1090" s="2" t="s">
        <v>3501</v>
      </c>
      <c r="L1090" s="2" t="s">
        <v>3502</v>
      </c>
      <c r="M1090" s="2" t="str">
        <f>IFERROR(__xludf.DUMMYFUNCTION("split(split(K1090,""黒澤勲:　"",false),""公式LINE"",false)"),"～顔の無い仔～  　涼(林遣都)が母・詩織(安藤サクラ)の墓前に来ると、丸谷八重子(山野海)がいた。八重子から、詩織が文蔵(吉田鋼太郎)のために自らの体を犠牲にしていた事実を聞かされて以来、初めて会う2人。その事実を話して良かったものかと気にかけていた八重子に、真実を知ることで自分のあるべき姿に気付けた、と感謝の意を伝える涼。涼の優しさを痛感した八重子は、詩織が存命中にあった“あるエピソード""について話し始めた。  　一方、拘留中の満(斎藤工)との接見を終えた勲(市原隼人)は、警察署の廊下で加奈子(高梨"&amp;"臨)と出くわす。数日前、満が選んだ女性、久留美(芳賀優里亜)の姿を目の当たりにしたことで、傷つき落ち込んでいた加奈子を優しく抱きしめた勲。以前、満への愛を受け入れてもらえない仕返しに、自分の気持ちをもてあそんでいると勲から指摘された加奈子。2人は気まずい雰囲気のまま、当たり障りのない会話だけで、それぞれの方向に歩いて行く…  　勲と別れた加奈子は、満と面会。加奈子との別れを置き手紙で伝えたことを謝る満に、加奈子は2人で住む部屋を引き払うことを伝えた。  　黒澤邸に戻った勲は、部屋で満との接見で得た情報を整"&amp;"理していた。事件当日の内容は、どれも満に不利なものばかりで、兄を無罪にするのは困難と思われた。そのとき、ドアがノックされ部屋に入ってきた涼が、八重子から聞いたという衝撃の新事実を話し始めた。")</f>
        <v>～顔の無い仔～  　涼(林遣都)が母・詩織(安藤サクラ)の墓前に来ると、丸谷八重子(山野海)がいた。八重子から、詩織が文蔵(吉田鋼太郎)のために自らの体を犠牲にしていた事実を聞かされて以来、初めて会う2人。その事実を話して良かったものかと気にかけていた八重子に、真実を知ることで自分のあるべき姿に気付けた、と感謝の意を伝える涼。涼の優しさを痛感した八重子は、詩織が存命中にあった“あるエピソード"について話し始めた。  　一方、拘留中の満(斎藤工)との接見を終えた勲(市原隼人)は、警察署の廊下で加奈子(高梨臨)と出くわす。数日前、満が選んだ女性、久留美(芳賀優里亜)の姿を目の当たりにしたことで、傷つき落ち込んでいた加奈子を優しく抱きしめた勲。以前、満への愛を受け入れてもらえない仕返しに、自分の気持ちをもてあそんでいると勲から指摘された加奈子。2人は気まずい雰囲気のまま、当たり障りのない会話だけで、それぞれの方向に歩いて行く…  　勲と別れた加奈子は、満と面会。加奈子との別れを置き手紙で伝えたことを謝る満に、加奈子は2人で住む部屋を引き払うことを伝えた。  　黒澤邸に戻った勲は、部屋で満との接見で得た情報を整理していた。事件当日の内容は、どれも満に不利なものばかりで、兄を無罪にするのは困難と思われた。そのとき、ドアがノックされ部屋に入ってきた涼が、八重子から聞いたという衝撃の新事実を話し始めた。</v>
      </c>
      <c r="N1090" s="2"/>
      <c r="O1090" s="2"/>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row>
    <row r="1091" ht="204.75" customHeight="1">
      <c r="A1091" s="1">
        <v>3510.0</v>
      </c>
      <c r="B1091" s="2" t="s">
        <v>3471</v>
      </c>
      <c r="C1091" s="2">
        <f>IFERROR(__xludf.DUMMYFUNCTION("split(B1091,""_"")"),1301.0)</f>
        <v>1301</v>
      </c>
      <c r="D1091" s="2" t="str">
        <f>IFERROR(__xludf.DUMMYFUNCTION("""COMPUTED_VALUE"""),"CX")</f>
        <v>CX</v>
      </c>
      <c r="E1091" s="2" t="str">
        <f>IFERROR(__xludf.DUMMYFUNCTION("""COMPUTED_VALUE"""),"土23")</f>
        <v>土23</v>
      </c>
      <c r="F1091" s="2" t="s">
        <v>3472</v>
      </c>
      <c r="G1091" s="2" t="s">
        <v>3503</v>
      </c>
      <c r="H1091" s="1">
        <v>11.0</v>
      </c>
      <c r="I1091" s="1" t="s">
        <v>41</v>
      </c>
      <c r="J1091" s="1" t="s">
        <v>2429</v>
      </c>
      <c r="K1091" s="2" t="s">
        <v>3504</v>
      </c>
      <c r="L1091" s="2" t="s">
        <v>3505</v>
      </c>
      <c r="M1091" s="2" t="str">
        <f>IFERROR(__xludf.DUMMYFUNCTION("split(split(K1091,""黒澤勲:　"",false),""公式LINE"",false)"),"～真実の色～  　次男・勲(市原隼人)は、事件当日の行動に不審な点があった使用人の末松(松下洸平)に、父・黒澤文蔵(吉田鋼太郎)を殺したのはお前か、と詰め寄る。そして、末松こそが三男・涼(林遣都)から聞かされていた「もう1人の兄弟」であることを知る。末松は、文蔵は最低の男だ、と吐き捨て、さらに長男・満(斎藤工)と涼についても否定的に語る一方、勲だけは自分の兄としてふさわしい人間である、と冗舌に話す。　少年時代のある日、自分の父親だと分かった文蔵に会いに行き、自分が息子であることを打ち明けた末松だったが、文"&amp;"蔵から物ごい呼ばわりされ小銭を投げつけられた。その時、末松は文蔵への復讐のために生きていくことを決意したのであった。そして、素性を隠し、使用人として黒澤邸で働き始めた末松は、兄・勲への尊敬が強くなるにつれ、自分のやるべきことが何なのか、明白に自覚したと言う・・・。　そんな折、警察署に駆け込み、刑事・入江(滝藤賢一)に、末松の写真を見せ、真犯人の存在を伝えた涼は、入江と共に黒澤邸に急いで向かっていた。  　一方、勾留中の満には、起訴が着々と迫り・・・。")</f>
        <v>～真実の色～  　次男・勲(市原隼人)は、事件当日の行動に不審な点があった使用人の末松(松下洸平)に、父・黒澤文蔵(吉田鋼太郎)を殺したのはお前か、と詰め寄る。そして、末松こそが三男・涼(林遣都)から聞かされていた「もう1人の兄弟」であることを知る。末松は、文蔵は最低の男だ、と吐き捨て、さらに長男・満(斎藤工)と涼についても否定的に語る一方、勲だけは自分の兄としてふさわしい人間である、と冗舌に話す。　少年時代のある日、自分の父親だと分かった文蔵に会いに行き、自分が息子であることを打ち明けた末松だったが、文蔵から物ごい呼ばわりされ小銭を投げつけられた。その時、末松は文蔵への復讐のために生きていくことを決意したのであった。そして、素性を隠し、使用人として黒澤邸で働き始めた末松は、兄・勲への尊敬が強くなるにつれ、自分のやるべきことが何なのか、明白に自覚したと言う・・・。　そんな折、警察署に駆け込み、刑事・入江(滝藤賢一)に、末松の写真を見せ、真犯人の存在を伝えた涼は、入江と共に黒澤邸に急いで向かっていた。  　一方、勾留中の満には、起訴が着々と迫り・・・。</v>
      </c>
      <c r="N1091" s="2"/>
      <c r="O1091" s="2"/>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row>
    <row r="1092" ht="204.75" customHeight="1">
      <c r="A1092" s="1">
        <v>3521.0</v>
      </c>
      <c r="B1092" s="2" t="s">
        <v>3506</v>
      </c>
      <c r="C1092" s="2">
        <f>IFERROR(__xludf.DUMMYFUNCTION("split(B1092,""_"")"),1301.0)</f>
        <v>1301</v>
      </c>
      <c r="D1092" s="2" t="str">
        <f>IFERROR(__xludf.DUMMYFUNCTION("""COMPUTED_VALUE"""),"CX")</f>
        <v>CX</v>
      </c>
      <c r="E1092" s="2" t="str">
        <f>IFERROR(__xludf.DUMMYFUNCTION("""COMPUTED_VALUE"""),"日21")</f>
        <v>日21</v>
      </c>
      <c r="F1092" s="2" t="s">
        <v>3507</v>
      </c>
      <c r="G1092" s="2" t="s">
        <v>3508</v>
      </c>
      <c r="H1092" s="1">
        <v>1.0</v>
      </c>
      <c r="I1092" s="1" t="s">
        <v>3</v>
      </c>
      <c r="J1092" s="1" t="s">
        <v>4</v>
      </c>
      <c r="K1092" s="2" t="s">
        <v>3509</v>
      </c>
      <c r="L1092" s="8" t="s">
        <v>3510</v>
      </c>
      <c r="M1092" s="2" t="str">
        <f>IFERROR(__xludf.DUMMYFUNCTION("split(split(K1092,""黒澤勲:　"",false),""公式LINE"",false)"),"江崎究(江口洋介)は、小さなイタリアンバルの厨房に立ち、ひとり黙々と料理の下ごしらえをしていた。  　人気イタリア料理店『リストランテ・ロッカビアンカ』は、今夜も大勢の客でにぎわっていた。支配人の辰巳沙織(倉科カナ)は笑顔でお客を迎え、給仕長の瀬川壮一(ユースケ・サンタマリア)が席へ案内する。ホールでは、沙織の父で、この店のオーナーシェフである辰巳日出男(風間杜夫)が常連客のひとりでもある世界的指揮者の湯浅清三(伊武雅刀)の相手をしていた。厨房ではセコンドシェフの今井耕助(松重豊)以下、パスタ・リゾット担"&amp;"当の木村数馬(八嶋智人)と武藤はづき(関めぐみ)、肉・魚料理担当の夏野大樹(袴田吉彦)、前菜担当の浜岡孝太郎(志賀廣太郎)、ドルチェ担当の大塚弥生(池津祥子)たちが、それぞれタイミングを見ながら料理を作りあげていく。  　新人のウエートレス・中野千尋(篠原真衣)は、店内に飾ってある若いころの日出男の写真について湯浅からレクチャーを受けた。そして、彼の写真解説を聞いた千尋は、先輩である本宮恵理子(柴本幸)にも伝えた。そんな中、沙織あてにテレビ局から電話が入る。日出男の番組出演依頼を受け、沙織は『アイアンシェ"&amp;"フ』の収録スタジオを訪れるが、そんな矢先に、日出男が突然倒れてしまう。幸い命はとりとめたものの、意識不明の状態が続いていた…。江口洋介　  倉科カナ　  松重豊  　・　  袴田吉彦　  関めぐみ　  志賀廣太郎　  柴本幸　  池津祥子  　・　  風間杜夫  　・　  八嶋智人　  ユースケ・サンタマリア　    ほか黒岩勉【編成企画】  鹿内植　    【プロデュース】  小椋久雄　  山崎淳子　    【演出】  星護佐橋俊彦フジテレビ　    【制作著作】  共同テレビ")</f>
        <v>江崎究(江口洋介)は、小さなイタリアンバルの厨房に立ち、ひとり黙々と料理の下ごしらえをしていた。  　人気イタリア料理店『リストランテ・ロッカビアンカ』は、今夜も大勢の客でにぎわっていた。支配人の辰巳沙織(倉科カナ)は笑顔でお客を迎え、給仕長の瀬川壮一(ユースケ・サンタマリア)が席へ案内する。ホールでは、沙織の父で、この店のオーナーシェフである辰巳日出男(風間杜夫)が常連客のひとりでもある世界的指揮者の湯浅清三(伊武雅刀)の相手をしていた。厨房ではセコンドシェフの今井耕助(松重豊)以下、パスタ・リゾット担当の木村数馬(八嶋智人)と武藤はづき(関めぐみ)、肉・魚料理担当の夏野大樹(袴田吉彦)、前菜担当の浜岡孝太郎(志賀廣太郎)、ドルチェ担当の大塚弥生(池津祥子)たちが、それぞれタイミングを見ながら料理を作りあげていく。  　新人のウエートレス・中野千尋(篠原真衣)は、店内に飾ってある若いころの日出男の写真について湯浅からレクチャーを受けた。そして、彼の写真解説を聞いた千尋は、先輩である本宮恵理子(柴本幸)にも伝えた。そんな中、沙織あてにテレビ局から電話が入る。日出男の番組出演依頼を受け、沙織は『アイアンシェフ』の収録スタジオを訪れるが、そんな矢先に、日出男が突然倒れてしまう。幸い命はとりとめたものの、意識不明の状態が続いていた…。江口洋介　  倉科カナ　  松重豊  　・　  袴田吉彦　  関めぐみ　  志賀廣太郎　  柴本幸　  池津祥子  　・　  風間杜夫  　・　  八嶋智人　  ユースケ・サンタマリア　    ほか黒岩勉【編成企画】  鹿内植　    【プロデュース】  小椋久雄　  山崎淳子　    【演出】  星護佐橋俊彦フジテレビ　    【制作著作】  共同テレビ</v>
      </c>
      <c r="N1092" s="2"/>
      <c r="O1092" s="2"/>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row>
    <row r="1093" ht="204.75" customHeight="1">
      <c r="A1093" s="1">
        <v>3522.0</v>
      </c>
      <c r="B1093" s="2" t="s">
        <v>3506</v>
      </c>
      <c r="C1093" s="2">
        <f>IFERROR(__xludf.DUMMYFUNCTION("split(B1093,""_"")"),1301.0)</f>
        <v>1301</v>
      </c>
      <c r="D1093" s="2" t="str">
        <f>IFERROR(__xludf.DUMMYFUNCTION("""COMPUTED_VALUE"""),"CX")</f>
        <v>CX</v>
      </c>
      <c r="E1093" s="2" t="str">
        <f>IFERROR(__xludf.DUMMYFUNCTION("""COMPUTED_VALUE"""),"日21")</f>
        <v>日21</v>
      </c>
      <c r="F1093" s="2" t="s">
        <v>3507</v>
      </c>
      <c r="G1093" s="2" t="s">
        <v>3511</v>
      </c>
      <c r="H1093" s="1">
        <v>2.0</v>
      </c>
      <c r="I1093" s="1" t="s">
        <v>7</v>
      </c>
      <c r="J1093" s="1" t="s">
        <v>11</v>
      </c>
      <c r="K1093" s="4" t="s">
        <v>3512</v>
      </c>
      <c r="L1093" s="2" t="s">
        <v>3513</v>
      </c>
      <c r="M1093" s="2" t="str">
        <f>IFERROR(__xludf.DUMMYFUNCTION("split(split(K1093,""江口洋介　"",false),""公式LINE"",false)"),"「ロッカビアンカ」に新しい料理長として迎えられた江崎究(江口洋介)は、就任前日に客として店に行き、料理を食べた上で辛辣(しんらつ)な思いを従業員たちにぶつけ、帰り際には支配人の辰巳沙織(倉科カナ)に対し、このままでは店は潰れると断言して去っていった。翌日、沙織が店に来ると、厨房で江崎が調理のシミュレーションをしながら調理器具や調味料の配置を変えていた。さらにメニューやレシピをチェックすると、出勤してきた従業員たちに辰巳日出男(風間杜夫)が考案して30年間作り続けてきたメニューも見直すと言う。皆が反感を露わ"&amp;"にするが、今井耕助(松重豊)がたしなめ、渋々ながら江崎の言う通りに下準備に取り掛かる。江崎は今井を誘い、メイン料理に使う鳩の肉の仕入れに向かった。精肉店で上質のイノシシ肉を見た江崎は、その場でメニューの変更を決める。連絡を受けた沙織からそれを聞いた従業員たちは、江崎への反感を強めた。店がオープンし、厨房が動き出すと、江崎は1人1人の動きをチェックして的確な指示を与えていく。閉店後、行きつけの居酒屋に沙織と瀬川壮一(ユースケ・サンタマリア)と今井の姿があった。新メニューは好評だったと聞きながらも、メニューを"&amp;"変えることに強い戸惑いを感じている今井に、沙織は日出男が書いていたレシピノートを見せる。倒れる1カ月前に日出男が新メニューを考案していたことに驚く今井に、沙織はノートを差し出し…")</f>
        <v>「ロッカビアンカ」に新しい料理長として迎えられた江崎究(江口洋介)は、就任前日に客として店に行き、料理を食べた上で辛辣(しんらつ)な思いを従業員たちにぶつけ、帰り際には支配人の辰巳沙織(倉科カナ)に対し、このままでは店は潰れると断言して去っていった。翌日、沙織が店に来ると、厨房で江崎が調理のシミュレーションをしながら調理器具や調味料の配置を変えていた。さらにメニューやレシピをチェックすると、出勤してきた従業員たちに辰巳日出男(風間杜夫)が考案して30年間作り続けてきたメニューも見直すと言う。皆が反感を露わにするが、今井耕助(松重豊)がたしなめ、渋々ながら江崎の言う通りに下準備に取り掛かる。江崎は今井を誘い、メイン料理に使う鳩の肉の仕入れに向かった。精肉店で上質のイノシシ肉を見た江崎は、その場でメニューの変更を決める。連絡を受けた沙織からそれを聞いた従業員たちは、江崎への反感を強めた。店がオープンし、厨房が動き出すと、江崎は1人1人の動きをチェックして的確な指示を与えていく。閉店後、行きつけの居酒屋に沙織と瀬川壮一(ユースケ・サンタマリア)と今井の姿があった。新メニューは好評だったと聞きながらも、メニューを変えることに強い戸惑いを感じている今井に、沙織は日出男が書いていたレシピノートを見せる。倒れる1カ月前に日出男が新メニューを考案していたことに驚く今井に、沙織はノートを差し出し…</v>
      </c>
      <c r="N1093" s="2"/>
      <c r="O1093" s="2"/>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row>
    <row r="1094" ht="204.75" customHeight="1">
      <c r="A1094" s="1">
        <v>3523.0</v>
      </c>
      <c r="B1094" s="2" t="s">
        <v>3506</v>
      </c>
      <c r="C1094" s="2">
        <f>IFERROR(__xludf.DUMMYFUNCTION("split(B1094,""_"")"),1301.0)</f>
        <v>1301</v>
      </c>
      <c r="D1094" s="2" t="str">
        <f>IFERROR(__xludf.DUMMYFUNCTION("""COMPUTED_VALUE"""),"CX")</f>
        <v>CX</v>
      </c>
      <c r="E1094" s="2" t="str">
        <f>IFERROR(__xludf.DUMMYFUNCTION("""COMPUTED_VALUE"""),"日21")</f>
        <v>日21</v>
      </c>
      <c r="F1094" s="2" t="s">
        <v>3507</v>
      </c>
      <c r="G1094" s="2" t="s">
        <v>3514</v>
      </c>
      <c r="H1094" s="1">
        <v>3.0</v>
      </c>
      <c r="I1094" s="1" t="s">
        <v>10</v>
      </c>
      <c r="J1094" s="1" t="s">
        <v>11</v>
      </c>
      <c r="K1094" s="2" t="s">
        <v>3515</v>
      </c>
      <c r="L1094" s="2" t="s">
        <v>3516</v>
      </c>
      <c r="M1094" s="2" t="str">
        <f>IFERROR(__xludf.DUMMYFUNCTION("split(split(K1094,""江口洋介　"",false),""公式LINE"",false)"),"開店前の『ロッカビアンカ』厨房では、江崎究(江口洋介)がパスタのゆで時間が5秒長いと、木村数馬(八嶋智人)に作り直しを命じる。憤りながらも仕方なくやり直す数馬。ホールでは辰巳沙織(倉科カナ)が仕込んだグルメ雑誌の取材が行われていたが、新メニューにともなう店の新しいコンセプトを聞かれた沙織は、何も答えられず黙ってしまう。その日の営業でも客足は伸びず、ますます落ち込む沙織に、本宮恵理子(柴本幸)はブログの書き込みが大きな影響を与えるカリスマ美食家・朝倉恭子(真野響子)を招待することを提案する。同じ頃、あるフレ"&amp;"ンチレストランにいた朝倉は、帰り際、支配人からお土産と共に“原稿料""を受け取っていた。  　数日後、招待状を手に朝倉がやって来た。感激する沙織だが、朝倉はいつも座っていた席がいいと、すでに座っている客を移動させるように訴える。困った沙織は瀬川壮一(ユースケ・サンタマリア)に相談するが、朝倉は怒って帰ってしまう。恵理子がその一部始終を厨房スタッフに報告していると、その脇で江崎と数馬の言い合いが始まった。やり直しを命じる江崎に、数馬は怒って厨房を出て行ってしまう。それを見ていた沙織は、閉店後、話がしたいと江"&amp;"崎を食事に誘う。  　後日、朝倉のブログに『ロッカビアンカ』の酷評記事がアップされた。顔面蒼白の沙織に、瀬川は謝罪して改めて誘うことを提案。すると、江崎が突然笑い出して…。")</f>
        <v>開店前の『ロッカビアンカ』厨房では、江崎究(江口洋介)がパスタのゆで時間が5秒長いと、木村数馬(八嶋智人)に作り直しを命じる。憤りながらも仕方なくやり直す数馬。ホールでは辰巳沙織(倉科カナ)が仕込んだグルメ雑誌の取材が行われていたが、新メニューにともなう店の新しいコンセプトを聞かれた沙織は、何も答えられず黙ってしまう。その日の営業でも客足は伸びず、ますます落ち込む沙織に、本宮恵理子(柴本幸)はブログの書き込みが大きな影響を与えるカリスマ美食家・朝倉恭子(真野響子)を招待することを提案する。同じ頃、あるフレンチレストランにいた朝倉は、帰り際、支配人からお土産と共に“原稿料"を受け取っていた。  　数日後、招待状を手に朝倉がやって来た。感激する沙織だが、朝倉はいつも座っていた席がいいと、すでに座っている客を移動させるように訴える。困った沙織は瀬川壮一(ユースケ・サンタマリア)に相談するが、朝倉は怒って帰ってしまう。恵理子がその一部始終を厨房スタッフに報告していると、その脇で江崎と数馬の言い合いが始まった。やり直しを命じる江崎に、数馬は怒って厨房を出て行ってしまう。それを見ていた沙織は、閉店後、話がしたいと江崎を食事に誘う。  　後日、朝倉のブログに『ロッカビアンカ』の酷評記事がアップされた。顔面蒼白の沙織に、瀬川は謝罪して改めて誘うことを提案。すると、江崎が突然笑い出して…。</v>
      </c>
      <c r="N1094" s="2"/>
      <c r="O1094" s="2"/>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row>
    <row r="1095" ht="204.75" customHeight="1">
      <c r="A1095" s="1">
        <v>3524.0</v>
      </c>
      <c r="B1095" s="2" t="s">
        <v>3506</v>
      </c>
      <c r="C1095" s="2">
        <f>IFERROR(__xludf.DUMMYFUNCTION("split(B1095,""_"")"),1301.0)</f>
        <v>1301</v>
      </c>
      <c r="D1095" s="2" t="str">
        <f>IFERROR(__xludf.DUMMYFUNCTION("""COMPUTED_VALUE"""),"CX")</f>
        <v>CX</v>
      </c>
      <c r="E1095" s="2" t="str">
        <f>IFERROR(__xludf.DUMMYFUNCTION("""COMPUTED_VALUE"""),"日21")</f>
        <v>日21</v>
      </c>
      <c r="F1095" s="2" t="s">
        <v>3507</v>
      </c>
      <c r="G1095" s="2" t="s">
        <v>3517</v>
      </c>
      <c r="H1095" s="1">
        <v>4.0</v>
      </c>
      <c r="I1095" s="1" t="s">
        <v>14</v>
      </c>
      <c r="J1095" s="1" t="s">
        <v>11</v>
      </c>
      <c r="K1095" s="2" t="s">
        <v>3518</v>
      </c>
      <c r="L1095" s="2" t="s">
        <v>3519</v>
      </c>
      <c r="M1095" s="2" t="str">
        <f>IFERROR(__xludf.DUMMYFUNCTION("split(split(K1095,""江口洋介　"",false),""公式LINE"",false)"),"少しずつだが活気を取り戻しつつある「ロッカビアンカ」。厨房では、オーダーを受けた江崎究(江口洋介)が木村数馬(八嶋智人)に指示を出すが、それを武藤はづき(関めぐみ)が奪うようにして仕事をこなしていく。はづきの働きぶりが数馬はおもしろくない。閉店後、看板の片付けのために外に出た瀬川壮一(ユースケ・サンタマリア)と中野千尋(篠原真衣)が、路上駐車している車を見つけた。1カ月ほど前からよく店の周りに いると知り、辰巳沙織(倉科カナ)に報告するが、しばらくはそのまま様子を見ることになる。翌日、千尋によって車の存在"&amp;"が従業員たちに知れわたっていた。大塚弥生(池津祥子)が、車の人物が警察手帳を出しているのを目撃したと話し、一同は従業員の誰かが警察に追われているのではないかとざわつく。その場にいなかった江崎に疑いがかかり、否定した沙織が本人に確認することになった。皆がのぞく中、沙織は厨房の江崎に話しかけ …。店がオープンすると、常連客の奥園明美(濱田マリ)もやって来て、「ロッカビアンカ」は日常の風景に戻る。厨房では、はづきが皆の制止も聞かずに重い鍋を持ちあげようとして中身をこぼしてしまう。手にやけどを負ってしまい、病院に"&amp;"行くように言われるが、大丈夫だからと動かないはづきに、江崎はケガをしている人間は邪魔だから厨房から出ていくように言い放つ。翌日、出社してきたはづきに、車に乗っていた刑事が…。 ")</f>
        <v>少しずつだが活気を取り戻しつつある「ロッカビアンカ」。厨房では、オーダーを受けた江崎究(江口洋介)が木村数馬(八嶋智人)に指示を出すが、それを武藤はづき(関めぐみ)が奪うようにして仕事をこなしていく。はづきの働きぶりが数馬はおもしろくない。閉店後、看板の片付けのために外に出た瀬川壮一(ユースケ・サンタマリア)と中野千尋(篠原真衣)が、路上駐車している車を見つけた。1カ月ほど前からよく店の周りに いると知り、辰巳沙織(倉科カナ)に報告するが、しばらくはそのまま様子を見ることになる。翌日、千尋によって車の存在が従業員たちに知れわたっていた。大塚弥生(池津祥子)が、車の人物が警察手帳を出しているのを目撃したと話し、一同は従業員の誰かが警察に追われているのではないかとざわつく。その場にいなかった江崎に疑いがかかり、否定した沙織が本人に確認することになった。皆がのぞく中、沙織は厨房の江崎に話しかけ …。店がオープンすると、常連客の奥園明美(濱田マリ)もやって来て、「ロッカビアンカ」は日常の風景に戻る。厨房では、はづきが皆の制止も聞かずに重い鍋を持ちあげようとして中身をこぼしてしまう。手にやけどを負ってしまい、病院に行くように言われるが、大丈夫だからと動かないはづきに、江崎はケガをしている人間は邪魔だから厨房から出ていくように言い放つ。翌日、出社してきたはづきに、車に乗っていた刑事が…。 </v>
      </c>
      <c r="N1095" s="2"/>
      <c r="O1095" s="2"/>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row>
    <row r="1096" ht="204.75" customHeight="1">
      <c r="A1096" s="1">
        <v>3525.0</v>
      </c>
      <c r="B1096" s="2" t="s">
        <v>3506</v>
      </c>
      <c r="C1096" s="2">
        <f>IFERROR(__xludf.DUMMYFUNCTION("split(B1096,""_"")"),1301.0)</f>
        <v>1301</v>
      </c>
      <c r="D1096" s="2" t="str">
        <f>IFERROR(__xludf.DUMMYFUNCTION("""COMPUTED_VALUE"""),"CX")</f>
        <v>CX</v>
      </c>
      <c r="E1096" s="2" t="str">
        <f>IFERROR(__xludf.DUMMYFUNCTION("""COMPUTED_VALUE"""),"日21")</f>
        <v>日21</v>
      </c>
      <c r="F1096" s="2" t="s">
        <v>3507</v>
      </c>
      <c r="G1096" s="2" t="s">
        <v>3520</v>
      </c>
      <c r="H1096" s="1">
        <v>5.0</v>
      </c>
      <c r="I1096" s="1" t="s">
        <v>17</v>
      </c>
      <c r="J1096" s="1" t="s">
        <v>4</v>
      </c>
      <c r="K1096" s="2" t="s">
        <v>3521</v>
      </c>
      <c r="L1096" s="2" t="s">
        <v>3522</v>
      </c>
      <c r="M1096" s="2" t="str">
        <f>IFERROR(__xludf.DUMMYFUNCTION("split(split(K1096,""江口洋介　"",false),""公式LINE"",false)"),"『ロッカビアンカ』のスタッフたちが、家庭の内情や好きな異性のタイプを話題に賄いを食べていると、仕入れに出かけていた江崎究(江口洋介)が帰ってくる。武藤はづき(関めぐみ)から、奥さんはいるのかを尋ねられた江崎は、いるにはいる、とだけ答えると、仕込みのために厨房に入ってしまう。　ワインセラーでワイン整理をしていた本宮恵理子(柴本幸)の元へ、不倫関係にある夏野大樹(袴田吉彦)がやって来る。 夏野は家庭がうまくいっていないことをアピールし、恵理子を温泉旅行に誘う。OKの返事をもらいワインセラーを出てきた夏野の前に"&amp;"瀬川壮一(ユースケ・サンタマリア)が現れた。焦る夏野に、瀬川は以前から知っていたことを告げ、店に迷惑さえかけなければいい、と口外しない約束をする。　その直後、夏野は妻・愛美(森カンナ)からの電話で、今夜ママ友たちと『ロッカビアンカ』に来ることになったと知らされる。慌てた夏野は 瀬川を呼び出し、愛美が妻であることを恵理子らスタッフたちに秘密にするよう頼む。渋々、最善を尽くすと約束する瀬川に、夏野は妻に自分が新料理長だとウソをついていることを話し、呆れられる。　店がオープンした。厨房が忙しくなるが、夏野は仕事"&amp;"に集中できず、ちょっとしたミスを繰り返す。やがて、愛美たちがやってきた。対応した瀬川が、料理長には救われたと話しているのを聞いた恵理子は、愛美が江崎の妻だと勘違いし… ")</f>
        <v>『ロッカビアンカ』のスタッフたちが、家庭の内情や好きな異性のタイプを話題に賄いを食べていると、仕入れに出かけていた江崎究(江口洋介)が帰ってくる。武藤はづき(関めぐみ)から、奥さんはいるのかを尋ねられた江崎は、いるにはいる、とだけ答えると、仕込みのために厨房に入ってしまう。　ワインセラーでワイン整理をしていた本宮恵理子(柴本幸)の元へ、不倫関係にある夏野大樹(袴田吉彦)がやって来る。 夏野は家庭がうまくいっていないことをアピールし、恵理子を温泉旅行に誘う。OKの返事をもらいワインセラーを出てきた夏野の前に瀬川壮一(ユースケ・サンタマリア)が現れた。焦る夏野に、瀬川は以前から知っていたことを告げ、店に迷惑さえかけなければいい、と口外しない約束をする。　その直後、夏野は妻・愛美(森カンナ)からの電話で、今夜ママ友たちと『ロッカビアンカ』に来ることになったと知らされる。慌てた夏野は 瀬川を呼び出し、愛美が妻であることを恵理子らスタッフたちに秘密にするよう頼む。渋々、最善を尽くすと約束する瀬川に、夏野は妻に自分が新料理長だとウソをついていることを話し、呆れられる。　店がオープンした。厨房が忙しくなるが、夏野は仕事に集中できず、ちょっとしたミスを繰り返す。やがて、愛美たちがやってきた。対応した瀬川が、料理長には救われたと話しているのを聞いた恵理子は、愛美が江崎の妻だと勘違いし… </v>
      </c>
      <c r="N1096" s="2"/>
      <c r="O1096" s="2"/>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row>
    <row r="1097" ht="204.75" customHeight="1">
      <c r="A1097" s="1">
        <v>3526.0</v>
      </c>
      <c r="B1097" s="2" t="s">
        <v>3506</v>
      </c>
      <c r="C1097" s="2">
        <f>IFERROR(__xludf.DUMMYFUNCTION("split(B1097,""_"")"),1301.0)</f>
        <v>1301</v>
      </c>
      <c r="D1097" s="2" t="str">
        <f>IFERROR(__xludf.DUMMYFUNCTION("""COMPUTED_VALUE"""),"CX")</f>
        <v>CX</v>
      </c>
      <c r="E1097" s="2" t="str">
        <f>IFERROR(__xludf.DUMMYFUNCTION("""COMPUTED_VALUE"""),"日21")</f>
        <v>日21</v>
      </c>
      <c r="F1097" s="2" t="s">
        <v>3507</v>
      </c>
      <c r="G1097" s="2" t="s">
        <v>3523</v>
      </c>
      <c r="H1097" s="1">
        <v>6.0</v>
      </c>
      <c r="I1097" s="1" t="s">
        <v>21</v>
      </c>
      <c r="J1097" s="1" t="s">
        <v>11</v>
      </c>
      <c r="K1097" s="2" t="s">
        <v>3524</v>
      </c>
      <c r="L1097" s="2" t="s">
        <v>3525</v>
      </c>
      <c r="M1097" s="2" t="str">
        <f>IFERROR(__xludf.DUMMYFUNCTION("split(split(K1097,""江口洋介　"",false),""公式LINE"",false)"),"『ロッカビアンカ』に有名雑誌から取材依頼がきた。前回の小さな記事とは違い、4ページの大特集だという。スタッフは、江崎究(江口洋介)の横柄な態度が相手を不愉快にさせるのではと不安を抱くが、今回はアンティパストの特集で取材対象が浜岡孝太郎(志賀廣太郎)だと聞いて安心する。ところが浜岡は、取材は断って欲しいという。辰巳沙織(倉科カナ)たちは必死に浜岡を説得したが、同意を得ることはできなかった。 　いつものように、閉店後に辰巳日出男(風間杜夫)が入院している病院を訪れた沙織は、見舞いに来ていた浜岡と遭遇する。沙織"&amp;"は、日出男が戻ってくる時にお客様の笑顔があふれる店にするためにはどんなことでもしたいと訴え、取材を受けて欲しいと再び説得する。数日後、浜岡の取材が行われた。記者の質問に少ない言葉で返す浜岡を不安気に見ていた沙織だが、取材はなんとか無事に終了する。 やがて、掲載誌が発売になると予想以上の反響があり、喜ぶ沙織や瀬川壮一(ユースケ・サンタマリア)。そんな中、ひとりで来ていた男性客(弓削智久)が、出されたアンティパストに手を付けず、作った者を呼べと言い出す。その乱暴な態度に戸惑う沙織に、男は浜岡の写真が掲載されて"&amp;"いる雑誌を開き、この店は人殺しが作った料理を出している、と大声で騒ぎだし…。 ")</f>
        <v>『ロッカビアンカ』に有名雑誌から取材依頼がきた。前回の小さな記事とは違い、4ページの大特集だという。スタッフは、江崎究(江口洋介)の横柄な態度が相手を不愉快にさせるのではと不安を抱くが、今回はアンティパストの特集で取材対象が浜岡孝太郎(志賀廣太郎)だと聞いて安心する。ところが浜岡は、取材は断って欲しいという。辰巳沙織(倉科カナ)たちは必死に浜岡を説得したが、同意を得ることはできなかった。 　いつものように、閉店後に辰巳日出男(風間杜夫)が入院している病院を訪れた沙織は、見舞いに来ていた浜岡と遭遇する。沙織は、日出男が戻ってくる時にお客様の笑顔があふれる店にするためにはどんなことでもしたいと訴え、取材を受けて欲しいと再び説得する。数日後、浜岡の取材が行われた。記者の質問に少ない言葉で返す浜岡を不安気に見ていた沙織だが、取材はなんとか無事に終了する。 やがて、掲載誌が発売になると予想以上の反響があり、喜ぶ沙織や瀬川壮一(ユースケ・サンタマリア)。そんな中、ひとりで来ていた男性客(弓削智久)が、出されたアンティパストに手を付けず、作った者を呼べと言い出す。その乱暴な態度に戸惑う沙織に、男は浜岡の写真が掲載されている雑誌を開き、この店は人殺しが作った料理を出している、と大声で騒ぎだし…。 </v>
      </c>
      <c r="N1097" s="2"/>
      <c r="O1097" s="2"/>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row>
    <row r="1098" ht="204.75" customHeight="1">
      <c r="A1098" s="1">
        <v>3527.0</v>
      </c>
      <c r="B1098" s="2" t="s">
        <v>3506</v>
      </c>
      <c r="C1098" s="2">
        <f>IFERROR(__xludf.DUMMYFUNCTION("split(B1098,""_"")"),1301.0)</f>
        <v>1301</v>
      </c>
      <c r="D1098" s="2" t="str">
        <f>IFERROR(__xludf.DUMMYFUNCTION("""COMPUTED_VALUE"""),"CX")</f>
        <v>CX</v>
      </c>
      <c r="E1098" s="2" t="str">
        <f>IFERROR(__xludf.DUMMYFUNCTION("""COMPUTED_VALUE"""),"日21")</f>
        <v>日21</v>
      </c>
      <c r="F1098" s="2" t="s">
        <v>3507</v>
      </c>
      <c r="G1098" s="2" t="s">
        <v>3526</v>
      </c>
      <c r="H1098" s="1">
        <v>7.0</v>
      </c>
      <c r="I1098" s="1" t="s">
        <v>25</v>
      </c>
      <c r="J1098" s="1" t="s">
        <v>11</v>
      </c>
      <c r="K1098" s="2" t="s">
        <v>3527</v>
      </c>
      <c r="L1098" s="2" t="s">
        <v>3528</v>
      </c>
      <c r="M1098" s="2" t="str">
        <f>IFERROR(__xludf.DUMMYFUNCTION("split(split(K1098,""江口洋介　"",false),""公式LINE"",false)"),"『ロッカビアンカ』の厨房に江崎究(江口洋介)が駆け込んできた。江崎は、通勤中に浮かんだ新しい料理のアイデアを試すために、すぐ古田博巳(町田宏器)に食材の在庫を確認する。ところが、古田の姿はなく、今井耕助(松重豊)から病気で休みだと伝えられた。実は数十分前、仕込みをしていた古田に対して、木村数馬(八嶋智人)と梶信成(越村友一)は仕事が遅いと叱っていた。 その際、“足手まとい""と言われ、傷ついた古田は店を飛び出してしまったのだ。焦った2人から相談を受けた今井は、閉店後に説得に行く約束をした。そして、古田が戻"&amp;"り辛くならないように江崎や他のスタッフたちには病欠だと言ってごまかすことにする。　44歳で現役を続けているサッカー選手の黒木春人(東幹久)が来店した。黒木はざわつく周囲の声を気にとめることなく、先に来ていたテレビ局のスタッフと合流する。 そこへ、料理長から直接おすすめ料理を聞きたいという要望を受けた江崎がテーブルへやって来た。閉店後、江崎と黒木は食事に行くことになった。黒木から誘われて一緒に来た辰巳沙織(倉科カナ)は、そこで2人が20年来の知り合いで、イタリアで出会ったと聞く…。　同じころ、今井は古田を家"&amp;"の近所の喫茶店に呼び出していた。木村と梶が隠れて話を聞く中、今井は古田の説得を始める。 ")</f>
        <v>『ロッカビアンカ』の厨房に江崎究(江口洋介)が駆け込んできた。江崎は、通勤中に浮かんだ新しい料理のアイデアを試すために、すぐ古田博巳(町田宏器)に食材の在庫を確認する。ところが、古田の姿はなく、今井耕助(松重豊)から病気で休みだと伝えられた。実は数十分前、仕込みをしていた古田に対して、木村数馬(八嶋智人)と梶信成(越村友一)は仕事が遅いと叱っていた。 その際、“足手まとい"と言われ、傷ついた古田は店を飛び出してしまったのだ。焦った2人から相談を受けた今井は、閉店後に説得に行く約束をした。そして、古田が戻り辛くならないように江崎や他のスタッフたちには病欠だと言ってごまかすことにする。　44歳で現役を続けているサッカー選手の黒木春人(東幹久)が来店した。黒木はざわつく周囲の声を気にとめることなく、先に来ていたテレビ局のスタッフと合流する。 そこへ、料理長から直接おすすめ料理を聞きたいという要望を受けた江崎がテーブルへやって来た。閉店後、江崎と黒木は食事に行くことになった。黒木から誘われて一緒に来た辰巳沙織(倉科カナ)は、そこで2人が20年来の知り合いで、イタリアで出会ったと聞く…。　同じころ、今井は古田を家の近所の喫茶店に呼び出していた。木村と梶が隠れて話を聞く中、今井は古田の説得を始める。 </v>
      </c>
      <c r="N1098" s="2"/>
      <c r="O1098" s="2"/>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row>
    <row r="1099" ht="204.75" customHeight="1">
      <c r="A1099" s="1">
        <v>3528.0</v>
      </c>
      <c r="B1099" s="2" t="s">
        <v>3506</v>
      </c>
      <c r="C1099" s="2">
        <f>IFERROR(__xludf.DUMMYFUNCTION("split(B1099,""_"")"),1301.0)</f>
        <v>1301</v>
      </c>
      <c r="D1099" s="2" t="str">
        <f>IFERROR(__xludf.DUMMYFUNCTION("""COMPUTED_VALUE"""),"CX")</f>
        <v>CX</v>
      </c>
      <c r="E1099" s="2" t="str">
        <f>IFERROR(__xludf.DUMMYFUNCTION("""COMPUTED_VALUE"""),"日21")</f>
        <v>日21</v>
      </c>
      <c r="F1099" s="2" t="s">
        <v>3507</v>
      </c>
      <c r="G1099" s="2" t="s">
        <v>3529</v>
      </c>
      <c r="H1099" s="1">
        <v>8.0</v>
      </c>
      <c r="I1099" s="1" t="s">
        <v>29</v>
      </c>
      <c r="J1099" s="1" t="s">
        <v>11</v>
      </c>
      <c r="K1099" s="2" t="s">
        <v>3530</v>
      </c>
      <c r="L1099" s="2" t="s">
        <v>3531</v>
      </c>
      <c r="M1099" s="2" t="str">
        <f>IFERROR(__xludf.DUMMYFUNCTION("split(split(K1099,""江口洋介　"",false),""公式LINE"",false)"),"『ロッカビアンカ』で仕込み中の江崎究(江口洋介)の元へ、武藤はづき(関めぐみ)が試作のパスタを持ってきた。修正を加えれば春の新メニューに加えてもいいという、江崎の言葉に驚く厨房スタッフたち。一気にやる気が高まり盛り上がるスタッフたちの中、木村数馬(八嶋智人)だけは淡々と仕事をこなしていた。閉店後も帰ることなく新メニュー開発にいそしむスタッフたちを見た数馬は、 ふてくされて瀬川壮一(ユースケ・サンタマリア)と今井耕助(松重豊)を居酒屋へ誘う。最近の数馬の投げやりな態度が気になっていた今井は、理由を尋ねるが、"&amp;"数馬ははぐらかすばかりだった。その夜、数馬が家に帰ると、息子の翔馬(山田瑛瑠)を連れて実家に戻っていた妻・正美(西田尚美)が居た。父親が入院したから落ち着くまでの数日間だけ、翔馬を預かって欲しいという。ただしこの家に戻るつもりはないと言い切り、 帰っていく。翌朝、数馬は翔馬に『ロッカビアンカ』の人たちには別居中だと言わないように口止めした。いつものように江崎が厨房で新しいメニューを考案していると、学校帰りの翔馬がやってきた。ようやく作り上げた試作品に触ろうとした翔馬を怒鳴りつけた江崎は、辰巳沙織(倉科カナ"&amp;")から責められる。さえぎるように数馬は江崎に謝り、全スタッフの前で事情を話して、翔馬が面倒かけますと頭を下げる…。 ")</f>
        <v>『ロッカビアンカ』で仕込み中の江崎究(江口洋介)の元へ、武藤はづき(関めぐみ)が試作のパスタを持ってきた。修正を加えれば春の新メニューに加えてもいいという、江崎の言葉に驚く厨房スタッフたち。一気にやる気が高まり盛り上がるスタッフたちの中、木村数馬(八嶋智人)だけは淡々と仕事をこなしていた。閉店後も帰ることなく新メニュー開発にいそしむスタッフたちを見た数馬は、 ふてくされて瀬川壮一(ユースケ・サンタマリア)と今井耕助(松重豊)を居酒屋へ誘う。最近の数馬の投げやりな態度が気になっていた今井は、理由を尋ねるが、数馬ははぐらかすばかりだった。その夜、数馬が家に帰ると、息子の翔馬(山田瑛瑠)を連れて実家に戻っていた妻・正美(西田尚美)が居た。父親が入院したから落ち着くまでの数日間だけ、翔馬を預かって欲しいという。ただしこの家に戻るつもりはないと言い切り、 帰っていく。翌朝、数馬は翔馬に『ロッカビアンカ』の人たちには別居中だと言わないように口止めした。いつものように江崎が厨房で新しいメニューを考案していると、学校帰りの翔馬がやってきた。ようやく作り上げた試作品に触ろうとした翔馬を怒鳴りつけた江崎は、辰巳沙織(倉科カナ)から責められる。さえぎるように数馬は江崎に謝り、全スタッフの前で事情を話して、翔馬が面倒かけますと頭を下げる…。 </v>
      </c>
      <c r="N1099" s="2"/>
      <c r="O1099" s="2"/>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row>
    <row r="1100" ht="204.75" customHeight="1">
      <c r="A1100" s="1">
        <v>3529.0</v>
      </c>
      <c r="B1100" s="2" t="s">
        <v>3506</v>
      </c>
      <c r="C1100" s="2">
        <f>IFERROR(__xludf.DUMMYFUNCTION("split(B1100,""_"")"),1301.0)</f>
        <v>1301</v>
      </c>
      <c r="D1100" s="2" t="str">
        <f>IFERROR(__xludf.DUMMYFUNCTION("""COMPUTED_VALUE"""),"CX")</f>
        <v>CX</v>
      </c>
      <c r="E1100" s="2" t="str">
        <f>IFERROR(__xludf.DUMMYFUNCTION("""COMPUTED_VALUE"""),"日21")</f>
        <v>日21</v>
      </c>
      <c r="F1100" s="2" t="s">
        <v>3507</v>
      </c>
      <c r="G1100" s="2" t="s">
        <v>3532</v>
      </c>
      <c r="H1100" s="1">
        <v>9.0</v>
      </c>
      <c r="I1100" s="1" t="s">
        <v>33</v>
      </c>
      <c r="J1100" s="1" t="s">
        <v>11</v>
      </c>
      <c r="K1100" s="2" t="s">
        <v>3533</v>
      </c>
      <c r="L1100" s="2" t="s">
        <v>3534</v>
      </c>
      <c r="M1100" s="2" t="str">
        <f>IFERROR(__xludf.DUMMYFUNCTION("split(split(K1100,""江口洋介　"",false),""公式LINE"",false)"),"江崎究(江口洋介)、木村数馬(八嶋智人)、浜岡孝太郎(志賀廣太郎)、平石雅弘(渡辺邦斗)は、常連客の依頼のケータリングサービスで海辺の別荘へ来ていた。パーティーが終わり、4人は別荘を出発するが、江崎が土産物店へ寄ると言い出した。店内に並んだ魚介類に目を輝かせてはしゃぐ江崎。その頃、『ロッカビアンカ』で仕込みを行っていた今井耕助(松重豊)が、荷物を運ぼうとして腰を痛め、動けなくなってしまった。辰巳沙織(倉科カナ)から連絡を受けた江崎たちは、慌てて土産物店を飛び出すが、国道の渋滞にはまってしまう。抜け道を行く"&amp;"と、しばらく行ったところで通行止めになり、再び国道へ戻ることに。数馬は沙織に、オープンに間に合わないと連絡を入れ、江崎は予約の6組分の料理は今いる厨房スタッフで作るように指示を出す。沙織は瀬川壮一(ユースケ・サンタマリア)と相談し、江崎たちが戻るまでは予約客以外は断ることにする。　店がオープンし、6組の予約客がやってきた。夏野大樹(袴田吉彦)たちが必死で料理を作っていく中、新たな団体客がやって来た。断ろうとするが、実は沙織の記入ミスで、ちゃんと予約がしてあったことがわかり受け入れることに。ところが江崎たち"&amp;"は再び道に迷ってあと1時間はかかるという。沙織から店内と江崎たちの状況を聞いて、困惑しながらも調理に取り掛かる厨房スタッフたち。そんな矢先、江崎たちの乗った車が故障し…。")</f>
        <v>江崎究(江口洋介)、木村数馬(八嶋智人)、浜岡孝太郎(志賀廣太郎)、平石雅弘(渡辺邦斗)は、常連客の依頼のケータリングサービスで海辺の別荘へ来ていた。パーティーが終わり、4人は別荘を出発するが、江崎が土産物店へ寄ると言い出した。店内に並んだ魚介類に目を輝かせてはしゃぐ江崎。その頃、『ロッカビアンカ』で仕込みを行っていた今井耕助(松重豊)が、荷物を運ぼうとして腰を痛め、動けなくなってしまった。辰巳沙織(倉科カナ)から連絡を受けた江崎たちは、慌てて土産物店を飛び出すが、国道の渋滞にはまってしまう。抜け道を行くと、しばらく行ったところで通行止めになり、再び国道へ戻ることに。数馬は沙織に、オープンに間に合わないと連絡を入れ、江崎は予約の6組分の料理は今いる厨房スタッフで作るように指示を出す。沙織は瀬川壮一(ユースケ・サンタマリア)と相談し、江崎たちが戻るまでは予約客以外は断ることにする。　店がオープンし、6組の予約客がやってきた。夏野大樹(袴田吉彦)たちが必死で料理を作っていく中、新たな団体客がやって来た。断ろうとするが、実は沙織の記入ミスで、ちゃんと予約がしてあったことがわかり受け入れることに。ところが江崎たちは再び道に迷ってあと1時間はかかるという。沙織から店内と江崎たちの状況を聞いて、困惑しながらも調理に取り掛かる厨房スタッフたち。そんな矢先、江崎たちの乗った車が故障し…。</v>
      </c>
      <c r="N1100" s="2"/>
      <c r="O1100" s="2"/>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row>
    <row r="1101" ht="204.75" customHeight="1">
      <c r="A1101" s="1">
        <v>3530.0</v>
      </c>
      <c r="B1101" s="2" t="s">
        <v>3506</v>
      </c>
      <c r="C1101" s="2">
        <f>IFERROR(__xludf.DUMMYFUNCTION("split(B1101,""_"")"),1301.0)</f>
        <v>1301</v>
      </c>
      <c r="D1101" s="2" t="str">
        <f>IFERROR(__xludf.DUMMYFUNCTION("""COMPUTED_VALUE"""),"CX")</f>
        <v>CX</v>
      </c>
      <c r="E1101" s="2" t="str">
        <f>IFERROR(__xludf.DUMMYFUNCTION("""COMPUTED_VALUE"""),"日21")</f>
        <v>日21</v>
      </c>
      <c r="F1101" s="2" t="s">
        <v>3507</v>
      </c>
      <c r="G1101" s="2" t="s">
        <v>3535</v>
      </c>
      <c r="H1101" s="1">
        <v>10.0</v>
      </c>
      <c r="I1101" s="1" t="s">
        <v>37</v>
      </c>
      <c r="J1101" s="1" t="s">
        <v>4</v>
      </c>
      <c r="K1101" s="2" t="s">
        <v>3536</v>
      </c>
      <c r="L1101" s="2" t="s">
        <v>3537</v>
      </c>
      <c r="M1101" s="2" t="str">
        <f>IFERROR(__xludf.DUMMYFUNCTION("split(split(K1101,""江口洋介　"",false),""公式LINE"",false)"),"『ロッカビアンカ』の厨房で、仕入れてきた高級な鶏肉を前にご機嫌になっている江崎究(江口洋介)の元へ辰巳沙織(倉科カナ)がやってきた。沙織は遠慮がちに材料費を下げて欲しいとお願いするが、江崎は即答で断った。儲けのために味を落とすわけにはいかないと断固として首を縦に振らない江崎に、沙織は勢いで支配人命令だと言い放つ。江崎はそれならば店を辞めると言い出し、今井耕助(松重豊)と瀬川壮一(ユースケ・サンタマリア)が慌てて止めに入る。瀬川はお金は自分がなんとかすると言って、その場を収めた。閉店後、店を出てきた大塚弥生"&amp;"(池津祥子)は、冬樹恒彦(勝村政信)とぶつかる。知り合いに似ていると、冬樹にじっと見つめられた弥生は胸をときめかせる。弥生が去った後、冬樹は『ロッカビアンカ』の写真を撮り始めた。同じころ、沙織、今井、瀬川は赤字解消のため、ランチを始めることを決める。  　あくる日、今井からランチを始めたいと言われた厨房スタッフは、仕事量が増えると不満を訴えつつ渋々了承する。そこへ江崎が入って来た。反応を恐れつつ、今井がランチの件を切り出すと、江崎は料理が倍作れると快諾する。  　ある日、街を歩いていた梶信成(越村友一)と"&amp;"古田博巳(町田宏器)は、消費者金融店から厳しい顔で出てくる瀬川を見掛け…")</f>
        <v>『ロッカビアンカ』の厨房で、仕入れてきた高級な鶏肉を前にご機嫌になっている江崎究(江口洋介)の元へ辰巳沙織(倉科カナ)がやってきた。沙織は遠慮がちに材料費を下げて欲しいとお願いするが、江崎は即答で断った。儲けのために味を落とすわけにはいかないと断固として首を縦に振らない江崎に、沙織は勢いで支配人命令だと言い放つ。江崎はそれならば店を辞めると言い出し、今井耕助(松重豊)と瀬川壮一(ユースケ・サンタマリア)が慌てて止めに入る。瀬川はお金は自分がなんとかすると言って、その場を収めた。閉店後、店を出てきた大塚弥生(池津祥子)は、冬樹恒彦(勝村政信)とぶつかる。知り合いに似ていると、冬樹にじっと見つめられた弥生は胸をときめかせる。弥生が去った後、冬樹は『ロッカビアンカ』の写真を撮り始めた。同じころ、沙織、今井、瀬川は赤字解消のため、ランチを始めることを決める。  　あくる日、今井からランチを始めたいと言われた厨房スタッフは、仕事量が増えると不満を訴えつつ渋々了承する。そこへ江崎が入って来た。反応を恐れつつ、今井がランチの件を切り出すと、江崎は料理が倍作れると快諾する。  　ある日、街を歩いていた梶信成(越村友一)と古田博巳(町田宏器)は、消費者金融店から厳しい顔で出てくる瀬川を見掛け…</v>
      </c>
      <c r="N1101" s="2"/>
      <c r="O1101" s="2"/>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row>
    <row r="1102" ht="204.75" customHeight="1">
      <c r="A1102" s="1">
        <v>3531.0</v>
      </c>
      <c r="B1102" s="2" t="s">
        <v>3506</v>
      </c>
      <c r="C1102" s="2">
        <f>IFERROR(__xludf.DUMMYFUNCTION("split(B1102,""_"")"),1301.0)</f>
        <v>1301</v>
      </c>
      <c r="D1102" s="2" t="str">
        <f>IFERROR(__xludf.DUMMYFUNCTION("""COMPUTED_VALUE"""),"CX")</f>
        <v>CX</v>
      </c>
      <c r="E1102" s="2" t="str">
        <f>IFERROR(__xludf.DUMMYFUNCTION("""COMPUTED_VALUE"""),"日21")</f>
        <v>日21</v>
      </c>
      <c r="F1102" s="2" t="s">
        <v>3507</v>
      </c>
      <c r="G1102" s="2" t="s">
        <v>3538</v>
      </c>
      <c r="H1102" s="1">
        <v>11.0</v>
      </c>
      <c r="I1102" s="1" t="s">
        <v>41</v>
      </c>
      <c r="J1102" s="1" t="s">
        <v>11</v>
      </c>
      <c r="K1102" s="2" t="s">
        <v>3539</v>
      </c>
      <c r="L1102" s="2" t="s">
        <v>3540</v>
      </c>
      <c r="M1102" s="2" t="str">
        <f>IFERROR(__xludf.DUMMYFUNCTION("split(split(K1102,""江口洋介　"",false),""公式LINE"",false)"),"江崎究(江口洋介)は、以前修業していたイタリアの有名店「テレーザ」から、新しくオープンするシンガポール支店の料理長になって欲しいと誘いを受ける。同じ頃、「ロッカビアンカ」では営業は始まっていて、客からメニューにはないカボチャのトルテッリが食べたいとオーダーが入る。今井耕助(松重豊)は味の決め手となるモスタルダがないからと断る。しかし、どうしても食べたいと再度オーダーが入り、今あるものを使って即席で対応することにした。帰る途中、店に電話を入れた江崎は辰巳沙織(倉科カナ)から状況を聞き、最終的な味の調整は自分"&amp;"がやるからと、料理を出すのは待つように指示を出す。しかし、沙織がそれを伝える前に料理がテーブルに出されてしまった。  　店に着いた江崎は、着替えもせずに厨房に飛び込む。料理がすでに出されたと聞き、残ったものを味見するが、その想像以上のおいしさに驚く。着替えるため厨房を出た江崎は、今井の指示のもと、きびきびと働く厨房スタッフたちを無言で見つめた。  　ある日、ランチ営業後にみんなでくつろいでいると、沙織が「カーザ・トリーノ」から予約が入ったと飛び込んでくる。「カーザ・トリーノ」とは、世界中のイタリアン・レス"&amp;"トランを三ツ星で格付けしているガイドブックで、アジアには星が2つの店はなく、星1つの店でも、日本には「ロッカビアンカ」も含め3軒しかないほど評価が厳しい…。")</f>
        <v>江崎究(江口洋介)は、以前修業していたイタリアの有名店「テレーザ」から、新しくオープンするシンガポール支店の料理長になって欲しいと誘いを受ける。同じ頃、「ロッカビアンカ」では営業は始まっていて、客からメニューにはないカボチャのトルテッリが食べたいとオーダーが入る。今井耕助(松重豊)は味の決め手となるモスタルダがないからと断る。しかし、どうしても食べたいと再度オーダーが入り、今あるものを使って即席で対応することにした。帰る途中、店に電話を入れた江崎は辰巳沙織(倉科カナ)から状況を聞き、最終的な味の調整は自分がやるからと、料理を出すのは待つように指示を出す。しかし、沙織がそれを伝える前に料理がテーブルに出されてしまった。  　店に着いた江崎は、着替えもせずに厨房に飛び込む。料理がすでに出されたと聞き、残ったものを味見するが、その想像以上のおいしさに驚く。着替えるため厨房を出た江崎は、今井の指示のもと、きびきびと働く厨房スタッフたちを無言で見つめた。  　ある日、ランチ営業後にみんなでくつろいでいると、沙織が「カーザ・トリーノ」から予約が入ったと飛び込んでくる。「カーザ・トリーノ」とは、世界中のイタリアン・レストランを三ツ星で格付けしているガイドブックで、アジアには星が2つの店はなく、星1つの店でも、日本には「ロッカビアンカ」も含め3軒しかないほど評価が厳しい…。</v>
      </c>
      <c r="N1102" s="2"/>
      <c r="O1102" s="2"/>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row>
    <row r="1103" ht="204.75" customHeight="1">
      <c r="A1103" s="1">
        <v>3543.0</v>
      </c>
      <c r="B1103" s="2" t="s">
        <v>3541</v>
      </c>
      <c r="C1103" s="2">
        <f>IFERROR(__xludf.DUMMYFUNCTION("split(B1103,""_"")"),1210.0)</f>
        <v>1210</v>
      </c>
      <c r="D1103" s="2" t="str">
        <f>IFERROR(__xludf.DUMMYFUNCTION("""COMPUTED_VALUE"""),"CX")</f>
        <v>CX</v>
      </c>
      <c r="E1103" s="2" t="str">
        <f>IFERROR(__xludf.DUMMYFUNCTION("""COMPUTED_VALUE"""),"月21")</f>
        <v>月21</v>
      </c>
      <c r="F1103" s="2" t="s">
        <v>3542</v>
      </c>
      <c r="G1103" s="2" t="s">
        <v>3543</v>
      </c>
      <c r="H1103" s="1">
        <v>1.0</v>
      </c>
      <c r="I1103" s="1" t="s">
        <v>3</v>
      </c>
      <c r="J1103" s="1" t="s">
        <v>4</v>
      </c>
      <c r="K1103" s="4" t="s">
        <v>3544</v>
      </c>
      <c r="L1103" s="2" t="s">
        <v>3545</v>
      </c>
      <c r="M1103" s="2" t="str">
        <f>IFERROR(__xludf.DUMMYFUNCTION("split(split(K1103,""木村拓哉　:"",false),""公式LINE"",false)"),"金田一二三男(木村拓哉)はミラクル魔法瓶企画開発営業部、課長。会社の後輩、同僚からも愛されていた。社内では、大屋敷巌社長(中村敦夫)が亡くなり息子の統一郎(藤木直人)が社長を引き継ぐことを社内放送が伝えていた。大屋敷巌社長は息を引き取る寸前、息子・統一郎にあることを告げていた。父の最後の言葉を聞きはっと目を開く統一郎。その意外な事実とは。そんな中、金田一に災難がふりかかる。情報漏洩という罪をかぶされ会社を追われることになってしまった。上司の模合謙吾(中井貴一)からも何をしたのかと問い詰められるが全く身に覚"&amp;"えのない金田一。模合も金田一がそんなことをするはずはないと上司に疑問を呈するが黙っていた方が身のためと言われ、それ以上追及しなくなる。金田一を慕う後輩、榎本小太郎(藤ヶ谷太輔)は現実を受け止められない。会社の経理部では、不明金欄にゼロ円が並ぶことを何よりもの生きがいにしている二階堂彩矢(香里奈)の姿が。金田一とは無縁だったはずの彼女もまた、金田一にまつわるある資料の不明点を追及したがために事件に巻き込まれていく・・・。職ばかりか住んでいた家も失い、一気に都会の難民と化す。途方に暮れていた金田一が出会ったの"&amp;"は幼い兄弟、鞠丘貫太(前田旺志郎)と両太(田中奏生)だった。金田一は彼らに無一文で生きていくすべを学ぶことに。金田一二三男のゼロからのスタートが今始まる・・・。")</f>
        <v>金田一二三男(木村拓哉)はミラクル魔法瓶企画開発営業部、課長。会社の後輩、同僚からも愛されていた。社内では、大屋敷巌社長(中村敦夫)が亡くなり息子の統一郎(藤木直人)が社長を引き継ぐことを社内放送が伝えていた。大屋敷巌社長は息を引き取る寸前、息子・統一郎にあることを告げていた。父の最後の言葉を聞きはっと目を開く統一郎。その意外な事実とは。そんな中、金田一に災難がふりかかる。情報漏洩という罪をかぶされ会社を追われることになってしまった。上司の模合謙吾(中井貴一)からも何をしたのかと問い詰められるが全く身に覚えのない金田一。模合も金田一がそんなことをするはずはないと上司に疑問を呈するが黙っていた方が身のためと言われ、それ以上追及しなくなる。金田一を慕う後輩、榎本小太郎(藤ヶ谷太輔)は現実を受け止められない。会社の経理部では、不明金欄にゼロ円が並ぶことを何よりもの生きがいにしている二階堂彩矢(香里奈)の姿が。金田一とは無縁だったはずの彼女もまた、金田一にまつわるある資料の不明点を追及したがために事件に巻き込まれていく・・・。職ばかりか住んでいた家も失い、一気に都会の難民と化す。途方に暮れていた金田一が出会ったのは幼い兄弟、鞠丘貫太(前田旺志郎)と両太(田中奏生)だった。金田一は彼らに無一文で生きていくすべを学ぶことに。金田一二三男のゼロからのスタートが今始まる・・・。</v>
      </c>
      <c r="N1103" s="2"/>
      <c r="O1103" s="2"/>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row>
    <row r="1104" ht="204.75" customHeight="1">
      <c r="A1104" s="1">
        <v>3544.0</v>
      </c>
      <c r="B1104" s="2" t="s">
        <v>3541</v>
      </c>
      <c r="C1104" s="2">
        <f>IFERROR(__xludf.DUMMYFUNCTION("split(B1104,""_"")"),1210.0)</f>
        <v>1210</v>
      </c>
      <c r="D1104" s="2" t="str">
        <f>IFERROR(__xludf.DUMMYFUNCTION("""COMPUTED_VALUE"""),"CX")</f>
        <v>CX</v>
      </c>
      <c r="E1104" s="2" t="str">
        <f>IFERROR(__xludf.DUMMYFUNCTION("""COMPUTED_VALUE"""),"月21")</f>
        <v>月21</v>
      </c>
      <c r="F1104" s="2" t="s">
        <v>3542</v>
      </c>
      <c r="G1104" s="2" t="s">
        <v>3546</v>
      </c>
      <c r="H1104" s="1">
        <v>2.0</v>
      </c>
      <c r="I1104" s="1" t="s">
        <v>7</v>
      </c>
      <c r="J1104" s="1" t="s">
        <v>11</v>
      </c>
      <c r="K1104" s="2" t="s">
        <v>3547</v>
      </c>
      <c r="L1104" s="2" t="s">
        <v>3548</v>
      </c>
      <c r="M1104" s="2" t="str">
        <f>IFERROR(__xludf.DUMMYFUNCTION("split(split(K1104,""木村拓哉　:"",false),""公式LINE"",false)"),"一泊分の家賃を手に入れた金田一二三男(木村拓哉)は、鞠丘寛太(前田旺志郎)、両太(田中奏生)兄弟と幸福荘に戻る。すると、金田一はアパートの住人、豪田武雄(酒井敏也)に窮地を救う女神が現れると占われた。もしや、家賃が…と、思う金田一だが、ようやく稼いだ500円は一厘(夏木マリ)にしっかりと受け取られてしまう。  　次の日も、金田一は寛太、両太から僅かばかりの金を得る方法を指南してもらう。その頃『ミラクル魔法瓶』では、榎本小太郎(藤ヶ谷太輔)が模合謙吾(中井貴一)に金田一の無実を直訴。模合も納得しているわけで"&amp;"はないのだが、榎本が心配することではないと取り合わない。  　金田一たちが幸福荘に戻ると、二階堂彩矢(香里奈)が来た。『ミラクル魔法瓶』の経理課に努める彩矢は、金田一の大阪出張を疑問に思っていた。その日、金田一が本当に出張していたなら、本社から機密情報を持ち出すことは出来ない。彩矢はカラ出張を疑っていたのだが、この証拠は金田一には朗報。ホテルの領収書もあるので、出張を命じた模合の説明があれば、金田一の疑いは晴れる。  　翌日、金田一は『ミラクル魔法瓶』へ。彩矢と一緒に模合を探すが、なかなか見つからない。そ"&amp;"んな時、金田一は社長の大屋敷統一郎(藤木直人)と財前修(イッセー尾形)に見つかってしまう。大阪出張の件を話す金田一に、統一郎は再調査を約束するのだが…。")</f>
        <v>一泊分の家賃を手に入れた金田一二三男(木村拓哉)は、鞠丘寛太(前田旺志郎)、両太(田中奏生)兄弟と幸福荘に戻る。すると、金田一はアパートの住人、豪田武雄(酒井敏也)に窮地を救う女神が現れると占われた。もしや、家賃が…と、思う金田一だが、ようやく稼いだ500円は一厘(夏木マリ)にしっかりと受け取られてしまう。  　次の日も、金田一は寛太、両太から僅かばかりの金を得る方法を指南してもらう。その頃『ミラクル魔法瓶』では、榎本小太郎(藤ヶ谷太輔)が模合謙吾(中井貴一)に金田一の無実を直訴。模合も納得しているわけではないのだが、榎本が心配することではないと取り合わない。  　金田一たちが幸福荘に戻ると、二階堂彩矢(香里奈)が来た。『ミラクル魔法瓶』の経理課に努める彩矢は、金田一の大阪出張を疑問に思っていた。その日、金田一が本当に出張していたなら、本社から機密情報を持ち出すことは出来ない。彩矢はカラ出張を疑っていたのだが、この証拠は金田一には朗報。ホテルの領収書もあるので、出張を命じた模合の説明があれば、金田一の疑いは晴れる。  　翌日、金田一は『ミラクル魔法瓶』へ。彩矢と一緒に模合を探すが、なかなか見つからない。そんな時、金田一は社長の大屋敷統一郎(藤木直人)と財前修(イッセー尾形)に見つかってしまう。大阪出張の件を話す金田一に、統一郎は再調査を約束するのだが…。</v>
      </c>
      <c r="N1104" s="2"/>
      <c r="O1104" s="2"/>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row>
    <row r="1105" ht="204.75" customHeight="1">
      <c r="A1105" s="1">
        <v>3545.0</v>
      </c>
      <c r="B1105" s="2" t="s">
        <v>3541</v>
      </c>
      <c r="C1105" s="2">
        <f>IFERROR(__xludf.DUMMYFUNCTION("split(B1105,""_"")"),1210.0)</f>
        <v>1210</v>
      </c>
      <c r="D1105" s="2" t="str">
        <f>IFERROR(__xludf.DUMMYFUNCTION("""COMPUTED_VALUE"""),"CX")</f>
        <v>CX</v>
      </c>
      <c r="E1105" s="2" t="str">
        <f>IFERROR(__xludf.DUMMYFUNCTION("""COMPUTED_VALUE"""),"月21")</f>
        <v>月21</v>
      </c>
      <c r="F1105" s="2" t="s">
        <v>3542</v>
      </c>
      <c r="G1105" s="2" t="s">
        <v>3549</v>
      </c>
      <c r="H1105" s="1">
        <v>3.0</v>
      </c>
      <c r="I1105" s="1" t="s">
        <v>10</v>
      </c>
      <c r="J1105" s="1" t="s">
        <v>11</v>
      </c>
      <c r="K1105" s="2" t="s">
        <v>3550</v>
      </c>
      <c r="L1105" s="2" t="s">
        <v>3551</v>
      </c>
      <c r="M1105" s="2" t="str">
        <f>IFERROR(__xludf.DUMMYFUNCTION("split(split(K1105,""木村拓哉　:"",false),""公式LINE"",false)"),"金田一二三男(木村拓哉)の無実を証明しようとした二階堂彩矢(香里奈)も『ミラクル魔法瓶』を解雇されてしまった。株で失敗し、貯金もない彩矢は『幸福荘』に転がり込んで来る。しかし『幸福荘』は満室。鞠丘一厘(夏木マリ)は、拾ったものは拾った者の責任と、金田一の部屋に住むようにと告げる。もちろん、お断りの彩矢だが他にあても無いため、金田一の部屋を急造のカーテンで仕切って暮らす事になった。　金田一は彩矢、貫太(前田旺志郎)、両太(田中奏生)と行った中華料理店『青春軒』の店主、佐倉辰彦(木村祐一)に頼み込んで、働き始"&amp;"める。しかし、店は閑古鳥が鳴いていた。近くに人気の店があるのはともかく、『青春軒』のラーメンはまずく、何より佐倉にやる気が無い。以前は、うまかったようだが…。  　その頃、彩矢は模合謙吾(中井貴一)と会っていた。彩矢は自分と金田一に何があったのかを聞き出そうとするが、会社側につくことで出世した模合が教える事はなかった。  　金田一が『幸福荘』に帰ると、コスプレ衣装を着た彩矢が出てきてビックリ。以前から住んでいる路上アイドル、富沢萌(小嶋陽菜)の仕業だ。その姿を見た金田一は、あることを彩矢に頼む。金田一は『"&amp;"青春軒』に、客を呼び戻そうとしていたのだ。")</f>
        <v>金田一二三男(木村拓哉)の無実を証明しようとした二階堂彩矢(香里奈)も『ミラクル魔法瓶』を解雇されてしまった。株で失敗し、貯金もない彩矢は『幸福荘』に転がり込んで来る。しかし『幸福荘』は満室。鞠丘一厘(夏木マリ)は、拾ったものは拾った者の責任と、金田一の部屋に住むようにと告げる。もちろん、お断りの彩矢だが他にあても無いため、金田一の部屋を急造のカーテンで仕切って暮らす事になった。　金田一は彩矢、貫太(前田旺志郎)、両太(田中奏生)と行った中華料理店『青春軒』の店主、佐倉辰彦(木村祐一)に頼み込んで、働き始める。しかし、店は閑古鳥が鳴いていた。近くに人気の店があるのはともかく、『青春軒』のラーメンはまずく、何より佐倉にやる気が無い。以前は、うまかったようだが…。  　その頃、彩矢は模合謙吾(中井貴一)と会っていた。彩矢は自分と金田一に何があったのかを聞き出そうとするが、会社側につくことで出世した模合が教える事はなかった。  　金田一が『幸福荘』に帰ると、コスプレ衣装を着た彩矢が出てきてビックリ。以前から住んでいる路上アイドル、富沢萌(小嶋陽菜)の仕業だ。その姿を見た金田一は、あることを彩矢に頼む。金田一は『青春軒』に、客を呼び戻そうとしていたのだ。</v>
      </c>
      <c r="N1105" s="2"/>
      <c r="O1105" s="2"/>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row>
    <row r="1106" ht="204.75" customHeight="1">
      <c r="A1106" s="1">
        <v>3546.0</v>
      </c>
      <c r="B1106" s="2" t="s">
        <v>3541</v>
      </c>
      <c r="C1106" s="2">
        <f>IFERROR(__xludf.DUMMYFUNCTION("split(B1106,""_"")"),1210.0)</f>
        <v>1210</v>
      </c>
      <c r="D1106" s="2" t="str">
        <f>IFERROR(__xludf.DUMMYFUNCTION("""COMPUTED_VALUE"""),"CX")</f>
        <v>CX</v>
      </c>
      <c r="E1106" s="2" t="str">
        <f>IFERROR(__xludf.DUMMYFUNCTION("""COMPUTED_VALUE"""),"月21")</f>
        <v>月21</v>
      </c>
      <c r="F1106" s="2" t="s">
        <v>3542</v>
      </c>
      <c r="G1106" s="2" t="s">
        <v>3552</v>
      </c>
      <c r="H1106" s="1">
        <v>4.0</v>
      </c>
      <c r="I1106" s="1" t="s">
        <v>14</v>
      </c>
      <c r="J1106" s="1" t="s">
        <v>11</v>
      </c>
      <c r="K1106" s="2" t="s">
        <v>3553</v>
      </c>
      <c r="L1106" s="2" t="s">
        <v>3554</v>
      </c>
      <c r="M1106" s="2" t="str">
        <f>IFERROR(__xludf.DUMMYFUNCTION("split(split(K1106,""木村拓哉　:"",false),""公式LINE"",false)"),"金田一二三男(木村拓哉)が鞠丘貫太(前田旺志郎)、両太(田中奏生)と公園にいると、榎本小太郎(藤ヶ谷太輔)がやって来る。榎本にご飯を奢ると言う金田一。と言っても、いつもの炊き出し。列に並んで食事をもらった金田一は、無一文になった時に段ボールを貸してくれたゲンさん(五頭岳夫)がいないことに気付く。ゲンさんのテントを覗くと、体が弱っている様子。金田一は榎本に薬を買ってこさせ、水と食料も差し入れた。　榎本の用事は、金田一が会社にいた頃に進めていた自分の企画が形になりそうだという報告。コストの問題でもめていたが、"&amp;"下請けの相模川製作所の社長の協力で切り抜けたのだ。榎本は、その会社が人手を必要としているので、金田一に短期で良いなら働いてみないかと勧める。金田一は、もちろん大喜び。  　金田一が『幸福荘』に帰ると、二階堂彩矢(香里奈)と鉢合わせ。彩矢は富沢萌(小嶋陽菜)にキャバクラのバイトの代打をさせられているのだが、金田一には職が見つかったとうそぶく。そこに一厘(夏木マリ)が来て、金田一に客が来ていると教える。金田一の恋人、広瀬瑤子(蓮佛美沙子)だった。  　一方、模合謙吾(中井貴一)は大屋敷統一郎(藤木直人)から企"&amp;"画営業部で進めている新製品企画を全て白紙に戻すよう命令されていた。その中には、榎本が相模川製作所と進めている企画も含まれていて…。")</f>
        <v>金田一二三男(木村拓哉)が鞠丘貫太(前田旺志郎)、両太(田中奏生)と公園にいると、榎本小太郎(藤ヶ谷太輔)がやって来る。榎本にご飯を奢ると言う金田一。と言っても、いつもの炊き出し。列に並んで食事をもらった金田一は、無一文になった時に段ボールを貸してくれたゲンさん(五頭岳夫)がいないことに気付く。ゲンさんのテントを覗くと、体が弱っている様子。金田一は榎本に薬を買ってこさせ、水と食料も差し入れた。　榎本の用事は、金田一が会社にいた頃に進めていた自分の企画が形になりそうだという報告。コストの問題でもめていたが、下請けの相模川製作所の社長の協力で切り抜けたのだ。榎本は、その会社が人手を必要としているので、金田一に短期で良いなら働いてみないかと勧める。金田一は、もちろん大喜び。  　金田一が『幸福荘』に帰ると、二階堂彩矢(香里奈)と鉢合わせ。彩矢は富沢萌(小嶋陽菜)にキャバクラのバイトの代打をさせられているのだが、金田一には職が見つかったとうそぶく。そこに一厘(夏木マリ)が来て、金田一に客が来ていると教える。金田一の恋人、広瀬瑤子(蓮佛美沙子)だった。  　一方、模合謙吾(中井貴一)は大屋敷統一郎(藤木直人)から企画営業部で進めている新製品企画を全て白紙に戻すよう命令されていた。その中には、榎本が相模川製作所と進めている企画も含まれていて…。</v>
      </c>
      <c r="N1106" s="2"/>
      <c r="O1106" s="2"/>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row>
    <row r="1107" ht="204.75" customHeight="1">
      <c r="A1107" s="1">
        <v>3547.0</v>
      </c>
      <c r="B1107" s="2" t="s">
        <v>3541</v>
      </c>
      <c r="C1107" s="2">
        <f>IFERROR(__xludf.DUMMYFUNCTION("split(B1107,""_"")"),1210.0)</f>
        <v>1210</v>
      </c>
      <c r="D1107" s="2" t="str">
        <f>IFERROR(__xludf.DUMMYFUNCTION("""COMPUTED_VALUE"""),"CX")</f>
        <v>CX</v>
      </c>
      <c r="E1107" s="2" t="str">
        <f>IFERROR(__xludf.DUMMYFUNCTION("""COMPUTED_VALUE"""),"月21")</f>
        <v>月21</v>
      </c>
      <c r="F1107" s="2" t="s">
        <v>3542</v>
      </c>
      <c r="G1107" s="2" t="s">
        <v>3555</v>
      </c>
      <c r="H1107" s="1">
        <v>5.0</v>
      </c>
      <c r="I1107" s="1" t="s">
        <v>17</v>
      </c>
      <c r="J1107" s="1" t="s">
        <v>11</v>
      </c>
      <c r="K1107" s="2" t="s">
        <v>3556</v>
      </c>
      <c r="L1107" s="2" t="s">
        <v>3557</v>
      </c>
      <c r="M1107" s="2" t="str">
        <f>IFERROR(__xludf.DUMMYFUNCTION("split(split(K1107,""木村拓哉　:"",false),""公式LINE"",false)"),"金田一二三男(木村拓哉)の部屋に模合謙吾(中井貴一)まで転がり込んできた。すでに二階堂彩矢(香里奈)がいるので、狭い部屋に3人で寝なくてはいけない。早速、部屋の使い方で模合と彩矢がもめだすが、金田一は何やら良い事を思いついたとソワソワしている。金田一は佐倉辰彦(木村祐一)にもらった屋台を使ってホットドッグ屋を開く事を思いついたのだ。金田一から話を聞いた模合と彩矢は反対する。  　模合は鞠丘一厘(夏木マリ)に空いている部屋はないかと聞くのだが、『幸福荘』に空き部屋はなかった。そのため、彩矢が富沢萌(小嶋陽菜"&amp;")の部屋に泊めてもらう事になる。  　翌朝、彩矢は一晩中、萌の悩み相談に付き合わされて寝不足。そんな彩矢と模合を連れて、金田一は『キングスコート』の藤沢健(升毅)のもとへ。金田一は藤沢が作るホットドッグの味を再現した屋台を考えていて、食材も都合してもらったのだ。彩矢は反対していたハズなのに原価計算を始め、模合も他に何か売る物はないかと考えだす。それでも、表面上は屋台経営には大反対の模合と彩矢。準備が済んで屋台を押しながら金田一が告げた販売場所を聞いた2人は、あきれかえってしまう。なんと、その場所は3人がク"&amp;"ビになった『ミラクル魔法瓶』の社屋前だった。  　その頃、『ミラクル魔法瓶』では大屋敷統一郎(藤木直人)と財前修(イッセー尾形)が、さらなるリストラを進めようとしていた。")</f>
        <v>金田一二三男(木村拓哉)の部屋に模合謙吾(中井貴一)まで転がり込んできた。すでに二階堂彩矢(香里奈)がいるので、狭い部屋に3人で寝なくてはいけない。早速、部屋の使い方で模合と彩矢がもめだすが、金田一は何やら良い事を思いついたとソワソワしている。金田一は佐倉辰彦(木村祐一)にもらった屋台を使ってホットドッグ屋を開く事を思いついたのだ。金田一から話を聞いた模合と彩矢は反対する。  　模合は鞠丘一厘(夏木マリ)に空いている部屋はないかと聞くのだが、『幸福荘』に空き部屋はなかった。そのため、彩矢が富沢萌(小嶋陽菜)の部屋に泊めてもらう事になる。  　翌朝、彩矢は一晩中、萌の悩み相談に付き合わされて寝不足。そんな彩矢と模合を連れて、金田一は『キングスコート』の藤沢健(升毅)のもとへ。金田一は藤沢が作るホットドッグの味を再現した屋台を考えていて、食材も都合してもらったのだ。彩矢は反対していたハズなのに原価計算を始め、模合も他に何か売る物はないかと考えだす。それでも、表面上は屋台経営には大反対の模合と彩矢。準備が済んで屋台を押しながら金田一が告げた販売場所を聞いた2人は、あきれかえってしまう。なんと、その場所は3人がクビになった『ミラクル魔法瓶』の社屋前だった。  　その頃、『ミラクル魔法瓶』では大屋敷統一郎(藤木直人)と財前修(イッセー尾形)が、さらなるリストラを進めようとしていた。</v>
      </c>
      <c r="N1107" s="2"/>
      <c r="O1107" s="2"/>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row>
    <row r="1108" ht="204.75" customHeight="1">
      <c r="A1108" s="1">
        <v>3548.0</v>
      </c>
      <c r="B1108" s="2" t="s">
        <v>3541</v>
      </c>
      <c r="C1108" s="2">
        <f>IFERROR(__xludf.DUMMYFUNCTION("split(B1108,""_"")"),1210.0)</f>
        <v>1210</v>
      </c>
      <c r="D1108" s="2" t="str">
        <f>IFERROR(__xludf.DUMMYFUNCTION("""COMPUTED_VALUE"""),"CX")</f>
        <v>CX</v>
      </c>
      <c r="E1108" s="2" t="str">
        <f>IFERROR(__xludf.DUMMYFUNCTION("""COMPUTED_VALUE"""),"月21")</f>
        <v>月21</v>
      </c>
      <c r="F1108" s="2" t="s">
        <v>3542</v>
      </c>
      <c r="G1108" s="2" t="s">
        <v>3558</v>
      </c>
      <c r="H1108" s="1">
        <v>6.0</v>
      </c>
      <c r="I1108" s="1" t="s">
        <v>21</v>
      </c>
      <c r="J1108" s="1" t="s">
        <v>11</v>
      </c>
      <c r="K1108" s="2" t="s">
        <v>3559</v>
      </c>
      <c r="L1108" s="2" t="s">
        <v>3560</v>
      </c>
      <c r="M1108" s="2" t="str">
        <f>IFERROR(__xludf.DUMMYFUNCTION("split(split(K1108,""木村拓哉　:"",false),""公式LINE"",false)"),"金田一二三男(木村拓哉)を広瀬ファンドの社長、広瀬遼一(草刈正雄)が訪ねてきた。名刺をもらった金田一は、広瀬が元恋人の瑤子(蓮佛美沙子)の父親だと気付く。金田一は瑤子と別れたことについて何か言いに来たと思い込む。金田一から瑤子との話を聞いた模合謙吾(中井貴一)と二階堂彩矢(香里奈)も、謝ってしまった方が良いなどとアドバイス。だが、広瀬の目的は別。なんと広瀬は、金田一たちが売っているホットドッグを屋台の権利ごと売って欲しいと言うのだ。金田一はホットドッグを作った藤沢健(升毅)にも相談し、広瀬に権利を売ること"&amp;"にする。  　一方、大屋敷統一郎(藤木直人)は社名を『株式会社ミラクル』に変更すると会見し、魔法瓶の製造からは手を引こうとしていた。  　無事に権利を譲渡して屋台を手放した金田一は、手に入れた金は自分がもらうと模合と彩矢に宣言。そして統一郎に会いに行った金田一は、魔法瓶事業を止めたことで閉鎖されている工場を借りたいと申し出る。金田一は屋台の権利譲渡で得た金で、自分たちで魔法瓶を作って販売しようと考えていた。")</f>
        <v>金田一二三男(木村拓哉)を広瀬ファンドの社長、広瀬遼一(草刈正雄)が訪ねてきた。名刺をもらった金田一は、広瀬が元恋人の瑤子(蓮佛美沙子)の父親だと気付く。金田一は瑤子と別れたことについて何か言いに来たと思い込む。金田一から瑤子との話を聞いた模合謙吾(中井貴一)と二階堂彩矢(香里奈)も、謝ってしまった方が良いなどとアドバイス。だが、広瀬の目的は別。なんと広瀬は、金田一たちが売っているホットドッグを屋台の権利ごと売って欲しいと言うのだ。金田一はホットドッグを作った藤沢健(升毅)にも相談し、広瀬に権利を売ることにする。  　一方、大屋敷統一郎(藤木直人)は社名を『株式会社ミラクル』に変更すると会見し、魔法瓶の製造からは手を引こうとしていた。  　無事に権利を譲渡して屋台を手放した金田一は、手に入れた金は自分がもらうと模合と彩矢に宣言。そして統一郎に会いに行った金田一は、魔法瓶事業を止めたことで閉鎖されている工場を借りたいと申し出る。金田一は屋台の権利譲渡で得た金で、自分たちで魔法瓶を作って販売しようと考えていた。</v>
      </c>
      <c r="N1108" s="2"/>
      <c r="O1108" s="2"/>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row>
    <row r="1109" ht="204.75" customHeight="1">
      <c r="A1109" s="1">
        <v>3549.0</v>
      </c>
      <c r="B1109" s="2" t="s">
        <v>3541</v>
      </c>
      <c r="C1109" s="2">
        <f>IFERROR(__xludf.DUMMYFUNCTION("split(B1109,""_"")"),1210.0)</f>
        <v>1210</v>
      </c>
      <c r="D1109" s="2" t="str">
        <f>IFERROR(__xludf.DUMMYFUNCTION("""COMPUTED_VALUE"""),"CX")</f>
        <v>CX</v>
      </c>
      <c r="E1109" s="2" t="str">
        <f>IFERROR(__xludf.DUMMYFUNCTION("""COMPUTED_VALUE"""),"月21")</f>
        <v>月21</v>
      </c>
      <c r="F1109" s="2" t="s">
        <v>3542</v>
      </c>
      <c r="G1109" s="2" t="s">
        <v>3561</v>
      </c>
      <c r="H1109" s="1">
        <v>7.0</v>
      </c>
      <c r="I1109" s="1" t="s">
        <v>25</v>
      </c>
      <c r="J1109" s="1" t="s">
        <v>4</v>
      </c>
      <c r="K1109" s="2" t="s">
        <v>3562</v>
      </c>
      <c r="L1109" s="2" t="s">
        <v>3563</v>
      </c>
      <c r="M1109" s="2" t="str">
        <f>IFERROR(__xludf.DUMMYFUNCTION("split(split(K1109,""木村拓哉　:"",false),""公式LINE"",false)"),"金田一二三男(木村拓哉)たちの『ハピネス魔法瓶』が作った“究極の魔法瓶""は返品の山。『幸福荘』の金田一、模合謙吾(中井貴一)、二階堂彩矢(香里奈)の狭い部屋に押し込まれてしまう。作った分、全てが戻ってきたかと思われたが、彩矢は1個足りない事に気がついた。  　次の日、金田一たちは魔法瓶をリサイクルショップに売り払うことに。リサイクルショップのトラックに魔法瓶を積み込んでいると、金田一に電話がかかってくる。なんとそれは、魔法瓶の注文だった。実は、その日の経済誌に“究極の魔法瓶""の記事が書かれていた。書い"&amp;"たのは、この男が記事にした商品は売れると言われている能見実(香川照之)。その噂通り“究極の魔法瓶""の注文が殺到する。金田一は、この注文をこなすために元『ミラクル魔法瓶』の下で魔法瓶製作に関わっていた工場の社長たちを集めて業務提携を頼み込む。  　『ミラクルエレクトロニクス』の大屋敷統一郎(藤木直人)は、財前修(イッセー尾形)から金田一たちの動きを知らされるが動じない。統一郎は寄せ集めの経営者での金田一たちの計画は必ず破綻すると読んでいた。それでも財前は榎本小太郎(藤ヶ谷太輔)を呼んで金田一たちを探らせる"&amp;"。  　金田一のもとに能見が来た。今回の記事に感謝する金田一に、能見は“一時的な成功は派閥を生み、その結果組織がバラバラになることもある""と忠告するるのだが…。")</f>
        <v>金田一二三男(木村拓哉)たちの『ハピネス魔法瓶』が作った“究極の魔法瓶"は返品の山。『幸福荘』の金田一、模合謙吾(中井貴一)、二階堂彩矢(香里奈)の狭い部屋に押し込まれてしまう。作った分、全てが戻ってきたかと思われたが、彩矢は1個足りない事に気がついた。  　次の日、金田一たちは魔法瓶をリサイクルショップに売り払うことに。リサイクルショップのトラックに魔法瓶を積み込んでいると、金田一に電話がかかってくる。なんとそれは、魔法瓶の注文だった。実は、その日の経済誌に“究極の魔法瓶"の記事が書かれていた。書いたのは、この男が記事にした商品は売れると言われている能見実(香川照之)。その噂通り“究極の魔法瓶"の注文が殺到する。金田一は、この注文をこなすために元『ミラクル魔法瓶』の下で魔法瓶製作に関わっていた工場の社長たちを集めて業務提携を頼み込む。  　『ミラクルエレクトロニクス』の大屋敷統一郎(藤木直人)は、財前修(イッセー尾形)から金田一たちの動きを知らされるが動じない。統一郎は寄せ集めの経営者での金田一たちの計画は必ず破綻すると読んでいた。それでも財前は榎本小太郎(藤ヶ谷太輔)を呼んで金田一たちを探らせる。  　金田一のもとに能見が来た。今回の記事に感謝する金田一に、能見は“一時的な成功は派閥を生み、その結果組織がバラバラになることもある"と忠告するるのだが…。</v>
      </c>
      <c r="N1109" s="2"/>
      <c r="O1109" s="2"/>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row>
    <row r="1110" ht="204.75" customHeight="1">
      <c r="A1110" s="1">
        <v>3550.0</v>
      </c>
      <c r="B1110" s="2" t="s">
        <v>3541</v>
      </c>
      <c r="C1110" s="2">
        <f>IFERROR(__xludf.DUMMYFUNCTION("split(B1110,""_"")"),1210.0)</f>
        <v>1210</v>
      </c>
      <c r="D1110" s="2" t="str">
        <f>IFERROR(__xludf.DUMMYFUNCTION("""COMPUTED_VALUE"""),"CX")</f>
        <v>CX</v>
      </c>
      <c r="E1110" s="2" t="str">
        <f>IFERROR(__xludf.DUMMYFUNCTION("""COMPUTED_VALUE"""),"月21")</f>
        <v>月21</v>
      </c>
      <c r="F1110" s="2" t="s">
        <v>3542</v>
      </c>
      <c r="G1110" s="2" t="s">
        <v>3564</v>
      </c>
      <c r="H1110" s="1">
        <v>8.0</v>
      </c>
      <c r="I1110" s="1" t="s">
        <v>29</v>
      </c>
      <c r="J1110" s="1" t="s">
        <v>4</v>
      </c>
      <c r="K1110" s="2" t="s">
        <v>3565</v>
      </c>
      <c r="L1110" s="2" t="s">
        <v>3566</v>
      </c>
      <c r="M1110" s="2" t="str">
        <f>IFERROR(__xludf.DUMMYFUNCTION("split(split(K1110,""木村拓哉　:"",false),""公式LINE"",false)"),"『ハピネス魔法瓶』を立ち上げ、オフィスも用意した金田一二三男(木村拓哉)たち。鞠丘貫太(前田旺志郎)、両太(田中奏生)たちもオフィスに来て、模合謙吾(中井貴一)にあきれられながら喜ぶ金田一。だが、そこには二階堂彩矢(香里奈)の姿は無かった。そんなオフィスに辻義人(志賀廣太郎)が訪ねて来る。辻は、古い機械が壊れて魔法瓶の生産が完全にストップしたことを金田一に報告。新しい機械導入にはかなりの資金が必要になる。  　金田一は資金援助を広瀬遼一(草刈正雄)に頼む。しかし、広瀬もすぐさま承諾できる金額ではない。だが"&amp;"、広瀬はベトナムの大企業が日本の家電メーカーとの業務提携を模索しているという情報を金田一に与える。さらに広瀬は、もし金田一たちが業務提携できたら協力を惜しまないと告げ、自分の会社が調整役を行っているレセプションパーティーに金田一を招く。また、そのパーティーには大屋敷統一郎(藤木直人)も出席することを教えた。  　金田一たちが『幸福荘』に帰ると、彩矢が出て行ったと一厘(夏木マリ)に教えられる。金田一は、すぐに帰ってくると動じない。だがその頃、彩矢は統一郎に『ミラクルエレクトロニクス』で働かないかと誘われてい"&amp;"た。")</f>
        <v>『ハピネス魔法瓶』を立ち上げ、オフィスも用意した金田一二三男(木村拓哉)たち。鞠丘貫太(前田旺志郎)、両太(田中奏生)たちもオフィスに来て、模合謙吾(中井貴一)にあきれられながら喜ぶ金田一。だが、そこには二階堂彩矢(香里奈)の姿は無かった。そんなオフィスに辻義人(志賀廣太郎)が訪ねて来る。辻は、古い機械が壊れて魔法瓶の生産が完全にストップしたことを金田一に報告。新しい機械導入にはかなりの資金が必要になる。  　金田一は資金援助を広瀬遼一(草刈正雄)に頼む。しかし、広瀬もすぐさま承諾できる金額ではない。だが、広瀬はベトナムの大企業が日本の家電メーカーとの業務提携を模索しているという情報を金田一に与える。さらに広瀬は、もし金田一たちが業務提携できたら協力を惜しまないと告げ、自分の会社が調整役を行っているレセプションパーティーに金田一を招く。また、そのパーティーには大屋敷統一郎(藤木直人)も出席することを教えた。  　金田一たちが『幸福荘』に帰ると、彩矢が出て行ったと一厘(夏木マリ)に教えられる。金田一は、すぐに帰ってくると動じない。だがその頃、彩矢は統一郎に『ミラクルエレクトロニクス』で働かないかと誘われていた。</v>
      </c>
      <c r="N1110" s="2"/>
      <c r="O1110" s="2"/>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row>
    <row r="1111" ht="204.75" customHeight="1">
      <c r="A1111" s="1">
        <v>3551.0</v>
      </c>
      <c r="B1111" s="2" t="s">
        <v>3541</v>
      </c>
      <c r="C1111" s="2">
        <f>IFERROR(__xludf.DUMMYFUNCTION("split(B1111,""_"")"),1210.0)</f>
        <v>1210</v>
      </c>
      <c r="D1111" s="2" t="str">
        <f>IFERROR(__xludf.DUMMYFUNCTION("""COMPUTED_VALUE"""),"CX")</f>
        <v>CX</v>
      </c>
      <c r="E1111" s="2" t="str">
        <f>IFERROR(__xludf.DUMMYFUNCTION("""COMPUTED_VALUE"""),"月21")</f>
        <v>月21</v>
      </c>
      <c r="F1111" s="2" t="s">
        <v>3542</v>
      </c>
      <c r="G1111" s="2" t="s">
        <v>3567</v>
      </c>
      <c r="H1111" s="1">
        <v>9.0</v>
      </c>
      <c r="I1111" s="1" t="s">
        <v>33</v>
      </c>
      <c r="J1111" s="1" t="s">
        <v>11</v>
      </c>
      <c r="K1111" s="2" t="s">
        <v>3568</v>
      </c>
      <c r="L1111" s="2" t="s">
        <v>3569</v>
      </c>
      <c r="M1111" s="2" t="str">
        <f>IFERROR(__xludf.DUMMYFUNCTION("split(split(K1111,""木村拓哉　:"",false),""公式LINE"",false)"),"究極の魔法瓶は順調に売り上げを伸ばし、金田一二三男(木村拓哉)、模合謙吾(中井貴一)、二階堂彩矢(香里奈)たちの『ハピネス魔法瓶』は、さらに大きなオフィスに引っ越すことが出来るほどに成長した。しかし、模合と彩矢は新オフィスよりも先に『幸福荘』を出たいと言うのだが、金田一は居心地が良いと離れようとしない。　金田一は、設備投資の礼を言うため広瀬遼一(草刈正雄)を訪ねた。すると、広瀬は事業のことよりも、なぜ広島カープファンになったのかなどと金田一の幼い頃のことを尋ねてくる。疑問に思う金田一に、広瀬は自分もカープ"&amp;"のファンなので、今度一緒に観戦に行こうと答えるだけだった。  　その頃、大屋敷統一郎(藤木直人)は、財前修(イッセー尾形)を伴って父・大屋敷巌(中村敦夫)の墓参りをしていた。『ミラクルエレクトロニクス』の改革が成功していることを喜ぶ財前に、統一郎はリストラの続行を命令する。さらに、統一郎は、以前、財前が口にしていた『ハピネス魔法瓶』を叩き潰す方法を直ちに実行するようにとも指図した。  　早朝、『幸福荘』の金田一たちが朝食を食べていると、財前がスーツを着た男とともに現れて…。")</f>
        <v>究極の魔法瓶は順調に売り上げを伸ばし、金田一二三男(木村拓哉)、模合謙吾(中井貴一)、二階堂彩矢(香里奈)たちの『ハピネス魔法瓶』は、さらに大きなオフィスに引っ越すことが出来るほどに成長した。しかし、模合と彩矢は新オフィスよりも先に『幸福荘』を出たいと言うのだが、金田一は居心地が良いと離れようとしない。　金田一は、設備投資の礼を言うため広瀬遼一(草刈正雄)を訪ねた。すると、広瀬は事業のことよりも、なぜ広島カープファンになったのかなどと金田一の幼い頃のことを尋ねてくる。疑問に思う金田一に、広瀬は自分もカープのファンなので、今度一緒に観戦に行こうと答えるだけだった。  　その頃、大屋敷統一郎(藤木直人)は、財前修(イッセー尾形)を伴って父・大屋敷巌(中村敦夫)の墓参りをしていた。『ミラクルエレクトロニクス』の改革が成功していることを喜ぶ財前に、統一郎はリストラの続行を命令する。さらに、統一郎は、以前、財前が口にしていた『ハピネス魔法瓶』を叩き潰す方法を直ちに実行するようにとも指図した。  　早朝、『幸福荘』の金田一たちが朝食を食べていると、財前がスーツを着た男とともに現れて…。</v>
      </c>
      <c r="N1111" s="2"/>
      <c r="O1111" s="2"/>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row>
    <row r="1112" ht="204.75" customHeight="1">
      <c r="A1112" s="1">
        <v>3552.0</v>
      </c>
      <c r="B1112" s="2" t="s">
        <v>3541</v>
      </c>
      <c r="C1112" s="2">
        <f>IFERROR(__xludf.DUMMYFUNCTION("split(B1112,""_"")"),1210.0)</f>
        <v>1210</v>
      </c>
      <c r="D1112" s="2" t="str">
        <f>IFERROR(__xludf.DUMMYFUNCTION("""COMPUTED_VALUE"""),"CX")</f>
        <v>CX</v>
      </c>
      <c r="E1112" s="2" t="str">
        <f>IFERROR(__xludf.DUMMYFUNCTION("""COMPUTED_VALUE"""),"月21")</f>
        <v>月21</v>
      </c>
      <c r="F1112" s="2" t="s">
        <v>3542</v>
      </c>
      <c r="G1112" s="2" t="s">
        <v>3570</v>
      </c>
      <c r="H1112" s="1">
        <v>10.0</v>
      </c>
      <c r="I1112" s="1" t="s">
        <v>37</v>
      </c>
      <c r="J1112" s="1" t="s">
        <v>4</v>
      </c>
      <c r="K1112" s="2" t="s">
        <v>3571</v>
      </c>
      <c r="L1112" s="2" t="s">
        <v>3572</v>
      </c>
      <c r="M1112" s="2" t="str">
        <f>IFERROR(__xludf.DUMMYFUNCTION("split(split(K1112,""木村拓哉　:"",false),""公式LINE"",false)"),"金田一二三男(木村拓哉)、模合謙吾(中井貴一)、二階堂彩矢(香里奈)が暮らす『幸福荘』の前に、榎本小太郎(藤ヶ谷太輔)たち『ミラクルエレクトロニクス』を退職した全社員がやって来た。社員たちは金田一と約束した魔法瓶事業再開を反故にしたばかりでなく、それまでの大屋敷統一郎(藤木直人)の経営方針にも嫌気がさしたのだ。一緒に働きたいと言う『ミラクルエレクトロニクス』元社員たちだが、すでに金田一の『ハピネス魔法瓶』はなくなっている。とりあえず、金田一たちは集まった元社員の名簿を作ることに。  　その頃、『ミラクルエ"&amp;"レクトロニクス』の空になったオフィスには、統一郎と財前修(イッセー尾形)だけがいた。絶望を口にする統一郎を財前は何とか助けたいと思うのだが…。  　模合は統一郎に会いに行くという金田一を『幸福荘』に引き留め、自ら『ミラクルエレクトロニクス』へ。しかし、社長室には財前しかいなかった。統一郎を助けてほしいと懇願する財前に、模合は困惑してしまう。  　模合が『幸福荘』に戻ると、金田一の部屋に統一郎がいた。いったい統一郎は、何をしに金田一を訪ねてきたのだろうか。不安げに見守る模合と彩矢の前で金田一と対峙した統一郎"&amp;"は…。")</f>
        <v>金田一二三男(木村拓哉)、模合謙吾(中井貴一)、二階堂彩矢(香里奈)が暮らす『幸福荘』の前に、榎本小太郎(藤ヶ谷太輔)たち『ミラクルエレクトロニクス』を退職した全社員がやって来た。社員たちは金田一と約束した魔法瓶事業再開を反故にしたばかりでなく、それまでの大屋敷統一郎(藤木直人)の経営方針にも嫌気がさしたのだ。一緒に働きたいと言う『ミラクルエレクトロニクス』元社員たちだが、すでに金田一の『ハピネス魔法瓶』はなくなっている。とりあえず、金田一たちは集まった元社員の名簿を作ることに。  　その頃、『ミラクルエレクトロニクス』の空になったオフィスには、統一郎と財前修(イッセー尾形)だけがいた。絶望を口にする統一郎を財前は何とか助けたいと思うのだが…。  　模合は統一郎に会いに行くという金田一を『幸福荘』に引き留め、自ら『ミラクルエレクトロニクス』へ。しかし、社長室には財前しかいなかった。統一郎を助けてほしいと懇願する財前に、模合は困惑してしまう。  　模合が『幸福荘』に戻ると、金田一の部屋に統一郎がいた。いったい統一郎は、何をしに金田一を訪ねてきたのだろうか。不安げに見守る模合と彩矢の前で金田一と対峙した統一郎は…。</v>
      </c>
      <c r="N1112" s="2"/>
      <c r="O1112" s="2"/>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row>
    <row r="1113" ht="204.75" customHeight="1">
      <c r="A1113" s="1">
        <v>3553.0</v>
      </c>
      <c r="B1113" s="2" t="s">
        <v>3573</v>
      </c>
      <c r="C1113" s="2">
        <f>IFERROR(__xludf.DUMMYFUNCTION("split(B1113,""_"")"),1210.0)</f>
        <v>1210</v>
      </c>
      <c r="D1113" s="2" t="str">
        <f>IFERROR(__xludf.DUMMYFUNCTION("""COMPUTED_VALUE"""),"CX")</f>
        <v>CX</v>
      </c>
      <c r="E1113" s="2" t="str">
        <f>IFERROR(__xludf.DUMMYFUNCTION("""COMPUTED_VALUE"""),"火21")</f>
        <v>火21</v>
      </c>
      <c r="F1113" s="2" t="s">
        <v>3574</v>
      </c>
      <c r="G1113" s="2" t="s">
        <v>3575</v>
      </c>
      <c r="H1113" s="1">
        <v>1.0</v>
      </c>
      <c r="I1113" s="1" t="s">
        <v>3</v>
      </c>
      <c r="J1113" s="1" t="s">
        <v>4</v>
      </c>
      <c r="K1113" s="4" t="s">
        <v>3576</v>
      </c>
      <c r="L1113" s="2" t="s">
        <v>3577</v>
      </c>
      <c r="M1113" s="2" t="str">
        <f>IFERROR(__xludf.DUMMYFUNCTION("split(split(K1113,""生田斗真　"",false),""公式LINE"",false)"),"28歳の派遣社員・小平丈太郎(生田斗真)は、正社員への登用を目前に解雇されてしまう。そして、それが原因で恋人からも別れを切り出される。焦った丈太郎は仕事を探すが、自分を採用してくれそうな会社は見つからない。そんな折、ネット検索で偶然見つけた高知県・四万十市の「地域おこし協力隊」の募集ページに目が止まった。  　同じ頃、大学病院で働く二階堂かほり(真木よう子)は、出身地である四万十の市民病院への異動を打診される。アメリカの研究所で働くことが夢だったが、断ることはできなかった。  　後日、丈太郎とかほりは、同"&amp;"じタイミングで四万十市の駅に降り立った。飛行機の中でかほりを見かけていた丈太郎は声をかけるが、受け流されてしまう。そんな丈太郎を迎えたのは、地元出身で「地域おこし協力隊」の隊長・藤井順一(桐谷健太)だった。一方、かほりには姉の島田さより(国仲涼子)の迎えがあった。  　順一に連れられ市役所の「地域おこし課」にやってきた丈太郎は、課長の日下哲也(松重豊)から地元の高齢者のサポートを頼まれる。そして、案内された住居で、不動産会社の今井春菜(木村文乃)を紹介された。  　翌日、丈太郎は高齢者たちを市民病院へ送っ"&amp;"て行く。すると突然、ひとりの女性の具合が悪くなる。診察室から現れた看護師の森下彩花(香椎由宇)はすぐに、医師に声をかけた。そこにいたのは、かほりだった。お互いを認めた丈太郎とかほりは…。")</f>
        <v>28歳の派遣社員・小平丈太郎(生田斗真)は、正社員への登用を目前に解雇されてしまう。そして、それが原因で恋人からも別れを切り出される。焦った丈太郎は仕事を探すが、自分を採用してくれそうな会社は見つからない。そんな折、ネット検索で偶然見つけた高知県・四万十市の「地域おこし協力隊」の募集ページに目が止まった。  　同じ頃、大学病院で働く二階堂かほり(真木よう子)は、出身地である四万十の市民病院への異動を打診される。アメリカの研究所で働くことが夢だったが、断ることはできなかった。  　後日、丈太郎とかほりは、同じタイミングで四万十市の駅に降り立った。飛行機の中でかほりを見かけていた丈太郎は声をかけるが、受け流されてしまう。そんな丈太郎を迎えたのは、地元出身で「地域おこし協力隊」の隊長・藤井順一(桐谷健太)だった。一方、かほりには姉の島田さより(国仲涼子)の迎えがあった。  　順一に連れられ市役所の「地域おこし課」にやってきた丈太郎は、課長の日下哲也(松重豊)から地元の高齢者のサポートを頼まれる。そして、案内された住居で、不動産会社の今井春菜(木村文乃)を紹介された。  　翌日、丈太郎は高齢者たちを市民病院へ送って行く。すると突然、ひとりの女性の具合が悪くなる。診察室から現れた看護師の森下彩花(香椎由宇)はすぐに、医師に声をかけた。そこにいたのは、かほりだった。お互いを認めた丈太郎とかほりは…。</v>
      </c>
      <c r="N1113" s="2"/>
      <c r="O1113" s="2"/>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row>
    <row r="1114" ht="204.75" customHeight="1">
      <c r="A1114" s="1">
        <v>3554.0</v>
      </c>
      <c r="B1114" s="2" t="s">
        <v>3573</v>
      </c>
      <c r="C1114" s="2">
        <f>IFERROR(__xludf.DUMMYFUNCTION("split(B1114,""_"")"),1210.0)</f>
        <v>1210</v>
      </c>
      <c r="D1114" s="2" t="str">
        <f>IFERROR(__xludf.DUMMYFUNCTION("""COMPUTED_VALUE"""),"CX")</f>
        <v>CX</v>
      </c>
      <c r="E1114" s="2" t="str">
        <f>IFERROR(__xludf.DUMMYFUNCTION("""COMPUTED_VALUE"""),"火21")</f>
        <v>火21</v>
      </c>
      <c r="F1114" s="2" t="s">
        <v>3574</v>
      </c>
      <c r="G1114" s="2" t="s">
        <v>3578</v>
      </c>
      <c r="H1114" s="1">
        <v>2.0</v>
      </c>
      <c r="I1114" s="1" t="s">
        <v>7</v>
      </c>
      <c r="J1114" s="1" t="s">
        <v>11</v>
      </c>
      <c r="K1114" s="2" t="s">
        <v>3579</v>
      </c>
      <c r="L1114" s="8" t="s">
        <v>3580</v>
      </c>
      <c r="M1114" s="2" t="str">
        <f>IFERROR(__xludf.DUMMYFUNCTION("split(split(K1114,""生田斗真　"",false),""公式LINE"",false)"),"小平丈太郎(生田斗真)は二階堂かほり(真木よう子)とカヌーに乗っているときに、四万十川にかかるこいのぼりを見た。それは、藤井順一(桐谷健太)が今井春菜(木村文乃)と丈太郎を東京に帰さないため、四万十のすごさを見せようと準備したものだった。順一は、自分が案内する前に見られてしまったことに落ち込むが、東京に戻るつもりはないという丈太郎の言葉に安心する。  　そんな折、丈太郎は大河内欣治(ミッキー・カーチス)をリハビリテーションセンターへ連れて行く。そこには松本弘樹(柄本佑)がいて、欣治は握手を求めるが、弘樹は"&amp;"応じない。弘樹はかつて、県大会の決勝でエースとして登板。甲子園出場は果たせなかったが、弘樹を四万十のヒーローだという欣治は再び手を差し出す。しかし、弘樹はそれを無視する。  　順一から、少年野球チームのコーチが負傷したと聞いていた丈太郎は、弘樹に臨時のコーチを頼むが、断られてしまう。　そんな日の夜、丈太郎は、道端にバイクを停めていた森下彩花(香椎由宇)に声をかける。バイクが故障し動かなくなったという彩花を自分の車に乗せた丈太郎は、話の流れで地元の名所を教えてくれと頼み、彩花は快諾する。  　その後、サンリ"&amp;"バーにやってきた丈太郎を、かほりが見つける。かほりは丈太郎が上機嫌な理由を見抜ぬく。そんなところへ順一が来て、臨時コーチが見つからないことを嘆く。それを聞いた丈太郎は…。小平丈太郎:　")</f>
        <v>小平丈太郎(生田斗真)は二階堂かほり(真木よう子)とカヌーに乗っているときに、四万十川にかかるこいのぼりを見た。それは、藤井順一(桐谷健太)が今井春菜(木村文乃)と丈太郎を東京に帰さないため、四万十のすごさを見せようと準備したものだった。順一は、自分が案内する前に見られてしまったことに落ち込むが、東京に戻るつもりはないという丈太郎の言葉に安心する。  　そんな折、丈太郎は大河内欣治(ミッキー・カーチス)をリハビリテーションセンターへ連れて行く。そこには松本弘樹(柄本佑)がいて、欣治は握手を求めるが、弘樹は応じない。弘樹はかつて、県大会の決勝でエースとして登板。甲子園出場は果たせなかったが、弘樹を四万十のヒーローだという欣治は再び手を差し出す。しかし、弘樹はそれを無視する。  　順一から、少年野球チームのコーチが負傷したと聞いていた丈太郎は、弘樹に臨時のコーチを頼むが、断られてしまう。　そんな日の夜、丈太郎は、道端にバイクを停めていた森下彩花(香椎由宇)に声をかける。バイクが故障し動かなくなったという彩花を自分の車に乗せた丈太郎は、話の流れで地元の名所を教えてくれと頼み、彩花は快諾する。  　その後、サンリバーにやってきた丈太郎を、かほりが見つける。かほりは丈太郎が上機嫌な理由を見抜ぬく。そんなところへ順一が来て、臨時コーチが見つからないことを嘆く。それを聞いた丈太郎は…。小平丈太郎:　</v>
      </c>
      <c r="N1114" s="2"/>
      <c r="O1114" s="2"/>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row>
    <row r="1115" ht="204.75" customHeight="1">
      <c r="A1115" s="1">
        <v>3555.0</v>
      </c>
      <c r="B1115" s="2" t="s">
        <v>3573</v>
      </c>
      <c r="C1115" s="2">
        <f>IFERROR(__xludf.DUMMYFUNCTION("split(B1115,""_"")"),1210.0)</f>
        <v>1210</v>
      </c>
      <c r="D1115" s="2" t="str">
        <f>IFERROR(__xludf.DUMMYFUNCTION("""COMPUTED_VALUE"""),"CX")</f>
        <v>CX</v>
      </c>
      <c r="E1115" s="2" t="str">
        <f>IFERROR(__xludf.DUMMYFUNCTION("""COMPUTED_VALUE"""),"火21")</f>
        <v>火21</v>
      </c>
      <c r="F1115" s="2" t="s">
        <v>3574</v>
      </c>
      <c r="G1115" s="2" t="s">
        <v>3581</v>
      </c>
      <c r="H1115" s="1">
        <v>3.0</v>
      </c>
      <c r="I1115" s="1" t="s">
        <v>10</v>
      </c>
      <c r="J1115" s="1" t="s">
        <v>11</v>
      </c>
      <c r="K1115" s="2" t="s">
        <v>3582</v>
      </c>
      <c r="L1115" s="8" t="s">
        <v>3583</v>
      </c>
      <c r="M1115" s="2" t="str">
        <f>IFERROR(__xludf.DUMMYFUNCTION("split(split(K1115,""生田斗真　"",false),""公式LINE"",false)"),"ある夜、小平丈太郎(生田斗真)が帰宅すると、今井春菜(木村文乃)がやってくる。家屋に不具合がないかを確認しに来たという春菜は、簡単に点検を済ますと、持参したワインを丈太郎に勧める。勢いに押された丈太郎は酒に付き合うが、そのうち春菜はテーブルに突っ伏して寝てしまう。声をかけても起きない春菜に困った丈太郎は、二階堂かほり(真木よう子)を呼び出す。  　かほりがやってくると、春菜は体を起こす。実は、寝たふりをしていたのだ。自分の来訪を春菜が快く思っていないと感じたかほりは、丈太郎が好きなのかと聞く。すると春菜は"&amp;"、好きというより必要なのだと答える。  　そんな折、丈太郎は子供たちのためにも地元の祭りを復活させてほしい、と日下哲也(松重豊)に頼む。祭りにかかる人手と費用を集められたら開催してもいいか、と聞く丈太郎に、日下は必ず地域住民の同意を得てからやるようにと念を押す。　早速、丈太郎は藤井順一(桐谷健太)らとともに、みこしや太鼓などが保管されている場所に出向く。みこしには修理が必要な上、子供用のみこしは見当たらない。丈太郎は、自分たちで子供用のみこしを作ろうと決め、地域の高齢者からカンパを募り始める。  　夜、丈"&amp;"太郎は、勤務を終え帰ろうとする森下彩花(香椎由宇)に声をかけ、祭りの件を話す。  　自分に手伝えることがあれば言ってくれという彩花に丈太郎は…。小平丈太郎:　")</f>
        <v>ある夜、小平丈太郎(生田斗真)が帰宅すると、今井春菜(木村文乃)がやってくる。家屋に不具合がないかを確認しに来たという春菜は、簡単に点検を済ますと、持参したワインを丈太郎に勧める。勢いに押された丈太郎は酒に付き合うが、そのうち春菜はテーブルに突っ伏して寝てしまう。声をかけても起きない春菜に困った丈太郎は、二階堂かほり(真木よう子)を呼び出す。  　かほりがやってくると、春菜は体を起こす。実は、寝たふりをしていたのだ。自分の来訪を春菜が快く思っていないと感じたかほりは、丈太郎が好きなのかと聞く。すると春菜は、好きというより必要なのだと答える。  　そんな折、丈太郎は子供たちのためにも地元の祭りを復活させてほしい、と日下哲也(松重豊)に頼む。祭りにかかる人手と費用を集められたら開催してもいいか、と聞く丈太郎に、日下は必ず地域住民の同意を得てからやるようにと念を押す。　早速、丈太郎は藤井順一(桐谷健太)らとともに、みこしや太鼓などが保管されている場所に出向く。みこしには修理が必要な上、子供用のみこしは見当たらない。丈太郎は、自分たちで子供用のみこしを作ろうと決め、地域の高齢者からカンパを募り始める。  　夜、丈太郎は、勤務を終え帰ろうとする森下彩花(香椎由宇)に声をかけ、祭りの件を話す。  　自分に手伝えることがあれば言ってくれという彩花に丈太郎は…。小平丈太郎:　</v>
      </c>
      <c r="N1115" s="2"/>
      <c r="O1115" s="2"/>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row>
    <row r="1116" ht="204.75" customHeight="1">
      <c r="A1116" s="1">
        <v>3556.0</v>
      </c>
      <c r="B1116" s="2" t="s">
        <v>3573</v>
      </c>
      <c r="C1116" s="2">
        <f>IFERROR(__xludf.DUMMYFUNCTION("split(B1116,""_"")"),1210.0)</f>
        <v>1210</v>
      </c>
      <c r="D1116" s="2" t="str">
        <f>IFERROR(__xludf.DUMMYFUNCTION("""COMPUTED_VALUE"""),"CX")</f>
        <v>CX</v>
      </c>
      <c r="E1116" s="2" t="str">
        <f>IFERROR(__xludf.DUMMYFUNCTION("""COMPUTED_VALUE"""),"火21")</f>
        <v>火21</v>
      </c>
      <c r="F1116" s="2" t="s">
        <v>3574</v>
      </c>
      <c r="G1116" s="2" t="s">
        <v>3584</v>
      </c>
      <c r="H1116" s="1">
        <v>4.0</v>
      </c>
      <c r="I1116" s="1" t="s">
        <v>14</v>
      </c>
      <c r="J1116" s="1" t="s">
        <v>11</v>
      </c>
      <c r="K1116" s="2" t="s">
        <v>3585</v>
      </c>
      <c r="L1116" s="8" t="s">
        <v>3586</v>
      </c>
      <c r="M1116" s="2" t="str">
        <f>IFERROR(__xludf.DUMMYFUNCTION("split(split(K1116,""生田斗真　"",false),""公式LINE"",false)"),"小平丈太郎(生田斗真)は、ご褒美にキスをしてもらった森下彩花(香椎由宇)と自宅でDVD鑑賞デートをする約束を取り付けた。二階堂かほり(真木よう子)は、彩花が松本弘樹(柄本佑)と暮らしていることを知らずに浮かれる丈太郎を冷静に見ていた。  　そんなかほりは、両親から見合いをすすめられていた。今後も四万十で仕事を続けると決めたわけではないからと断るかほりに、義兄(矢柴俊博)が理解を示す。島田さより(国仲涼子)はそれが面白くない。  　そんな折、藤井順一(桐谷健太)が商店街を復活させるための企画を商店街の会合で"&amp;"発表。しかし、費用がかかり過ぎるなどと、店主たちから反発を受ける。それでも具体的な説明をしようとしたとき、ひとりの男性が、東京の人の意見を聞いてみようと丈太郎に水を向ける。焦った丈太郎は、半ば冗談で“ゆるキャラ""を作ってみてはと提案。それが採用されてしまい、順一はいたたまれない。　夕方、さよりがサンリバーにいると、順一がやってくる。昼間もパート先にやってきた順一に、何か用だったのかとさよりが尋ねると、順一は商店街の会合での一件を打ち明けた。それを聞いたさよりは、パートを終えて一息ついているときに、そんな"&amp;"話は聞きたくない、と言って席を立つ。  　その夜、丈太郎の家に彩花がやってくる。食事を終えDVD鑑賞を始めようとしたとき、誰かがドアをノックした。丈太郎が玄関を開けると…。小平丈太郎:　")</f>
        <v>小平丈太郎(生田斗真)は、ご褒美にキスをしてもらった森下彩花(香椎由宇)と自宅でDVD鑑賞デートをする約束を取り付けた。二階堂かほり(真木よう子)は、彩花が松本弘樹(柄本佑)と暮らしていることを知らずに浮かれる丈太郎を冷静に見ていた。  　そんなかほりは、両親から見合いをすすめられていた。今後も四万十で仕事を続けると決めたわけではないからと断るかほりに、義兄(矢柴俊博)が理解を示す。島田さより(国仲涼子)はそれが面白くない。  　そんな折、藤井順一(桐谷健太)が商店街を復活させるための企画を商店街の会合で発表。しかし、費用がかかり過ぎるなどと、店主たちから反発を受ける。それでも具体的な説明をしようとしたとき、ひとりの男性が、東京の人の意見を聞いてみようと丈太郎に水を向ける。焦った丈太郎は、半ば冗談で“ゆるキャラ"を作ってみてはと提案。それが採用されてしまい、順一はいたたまれない。　夕方、さよりがサンリバーにいると、順一がやってくる。昼間もパート先にやってきた順一に、何か用だったのかとさよりが尋ねると、順一は商店街の会合での一件を打ち明けた。それを聞いたさよりは、パートを終えて一息ついているときに、そんな話は聞きたくない、と言って席を立つ。  　その夜、丈太郎の家に彩花がやってくる。食事を終えDVD鑑賞を始めようとしたとき、誰かがドアをノックした。丈太郎が玄関を開けると…。小平丈太郎:　</v>
      </c>
      <c r="N1116" s="2"/>
      <c r="O1116" s="2"/>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row>
    <row r="1117" ht="204.75" customHeight="1">
      <c r="A1117" s="1">
        <v>3557.0</v>
      </c>
      <c r="B1117" s="2" t="s">
        <v>3573</v>
      </c>
      <c r="C1117" s="2">
        <f>IFERROR(__xludf.DUMMYFUNCTION("split(B1117,""_"")"),1210.0)</f>
        <v>1210</v>
      </c>
      <c r="D1117" s="2" t="str">
        <f>IFERROR(__xludf.DUMMYFUNCTION("""COMPUTED_VALUE"""),"CX")</f>
        <v>CX</v>
      </c>
      <c r="E1117" s="2" t="str">
        <f>IFERROR(__xludf.DUMMYFUNCTION("""COMPUTED_VALUE"""),"火21")</f>
        <v>火21</v>
      </c>
      <c r="F1117" s="2" t="s">
        <v>3574</v>
      </c>
      <c r="G1117" s="2" t="s">
        <v>3587</v>
      </c>
      <c r="H1117" s="1">
        <v>5.0</v>
      </c>
      <c r="I1117" s="1" t="s">
        <v>17</v>
      </c>
      <c r="J1117" s="1" t="s">
        <v>11</v>
      </c>
      <c r="K1117" s="2" t="s">
        <v>3588</v>
      </c>
      <c r="L1117" s="8" t="s">
        <v>3589</v>
      </c>
      <c r="M1117" s="2" t="str">
        <f>IFERROR(__xludf.DUMMYFUNCTION("split(split(K1117,""生田斗真　"",false),""公式LINE"",false)"),"小平丈太郎(生田斗真)が自宅で松本弘樹(柄本佑)、大河内欣治(ミッキー・カーチス)と飲んでいると、藤井順一(桐谷健太)がやってきた。さらにそこへ、日下哲也(松重豊)が呼ばれ宴会は賑やかに盛り上がった。  　同じ頃、今井春菜(木村文乃)がサンリバーにいると、森下彩花(香椎由宇)が入ってくる。その日の朝に、松浦徹(岡田浩暉)といるところを見られていた春菜は気まずいが、彩花は他言するつもりはないと言う。それでも、相手は結婚している人なのかと聞くが、春菜は答えない。  　夜、自宅にいた二階堂かほり(真木よう子)を"&amp;"丈太郎が訪ねてくる。宴会で高校時代にかほりと弘樹が付き合っていたと聞いた丈太郎は、当時の写真を見せろ、とかほりをからかった。  　そんな折、丈太郎が商店街で買い物をしていると、前を歩いていた男性が転倒する。駆け寄った丈太郎に男性は大丈夫だと言ったが、丈太郎は念のため男性を病院に連れて行く。男性は弘樹の父・明彦(日野陽仁)で、診察したかほりになれなれしい態度で接する。  　数日後、順一は島田さより(国仲涼子)に電話をかけると、地域おこし協力隊の仕事を手伝ってほしいと頼む。さよりは、暇ではないと言いつつも時間"&amp;"を作り、順一とともに古民家の掃除にやってくる。  　そんな頃、丈太郎は彩花をサンリバーに呼び出した。丈太郎は、彩花に聞きたいことがあると言い…。小平丈太郎:　")</f>
        <v>小平丈太郎(生田斗真)が自宅で松本弘樹(柄本佑)、大河内欣治(ミッキー・カーチス)と飲んでいると、藤井順一(桐谷健太)がやってきた。さらにそこへ、日下哲也(松重豊)が呼ばれ宴会は賑やかに盛り上がった。  　同じ頃、今井春菜(木村文乃)がサンリバーにいると、森下彩花(香椎由宇)が入ってくる。その日の朝に、松浦徹(岡田浩暉)といるところを見られていた春菜は気まずいが、彩花は他言するつもりはないと言う。それでも、相手は結婚している人なのかと聞くが、春菜は答えない。  　夜、自宅にいた二階堂かほり(真木よう子)を丈太郎が訪ねてくる。宴会で高校時代にかほりと弘樹が付き合っていたと聞いた丈太郎は、当時の写真を見せろ、とかほりをからかった。  　そんな折、丈太郎が商店街で買い物をしていると、前を歩いていた男性が転倒する。駆け寄った丈太郎に男性は大丈夫だと言ったが、丈太郎は念のため男性を病院に連れて行く。男性は弘樹の父・明彦(日野陽仁)で、診察したかほりになれなれしい態度で接する。  　数日後、順一は島田さより(国仲涼子)に電話をかけると、地域おこし協力隊の仕事を手伝ってほしいと頼む。さよりは、暇ではないと言いつつも時間を作り、順一とともに古民家の掃除にやってくる。  　そんな頃、丈太郎は彩花をサンリバーに呼び出した。丈太郎は、彩花に聞きたいことがあると言い…。小平丈太郎:　</v>
      </c>
      <c r="N1117" s="2"/>
      <c r="O1117" s="2"/>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row>
    <row r="1118" ht="204.75" customHeight="1">
      <c r="A1118" s="1">
        <v>3558.0</v>
      </c>
      <c r="B1118" s="2" t="s">
        <v>3573</v>
      </c>
      <c r="C1118" s="2">
        <f>IFERROR(__xludf.DUMMYFUNCTION("split(B1118,""_"")"),1210.0)</f>
        <v>1210</v>
      </c>
      <c r="D1118" s="2" t="str">
        <f>IFERROR(__xludf.DUMMYFUNCTION("""COMPUTED_VALUE"""),"CX")</f>
        <v>CX</v>
      </c>
      <c r="E1118" s="2" t="str">
        <f>IFERROR(__xludf.DUMMYFUNCTION("""COMPUTED_VALUE"""),"火21")</f>
        <v>火21</v>
      </c>
      <c r="F1118" s="2" t="s">
        <v>3574</v>
      </c>
      <c r="G1118" s="2" t="s">
        <v>3590</v>
      </c>
      <c r="H1118" s="1">
        <v>6.0</v>
      </c>
      <c r="I1118" s="1" t="s">
        <v>21</v>
      </c>
      <c r="J1118" s="1" t="s">
        <v>11</v>
      </c>
      <c r="K1118" s="2" t="s">
        <v>3591</v>
      </c>
      <c r="L1118" s="8" t="s">
        <v>3592</v>
      </c>
      <c r="M1118" s="2" t="str">
        <f>IFERROR(__xludf.DUMMYFUNCTION("split(split(K1118,""生田斗真　"",false),""公式LINE"",false)"),"小平丈太郎(生田斗真)は、森下彩花(香椎由宇)の部屋から出てくる松本弘樹(柄本佑)を目撃して以来、落ち着かない。その件を藤井順一(桐谷健太)と日下哲也(松重豊)に相談すると、彩花と弘樹は付き合っているのだろう、と言われさらにショックを受ける。そんなとき、二階堂かほり(真木よう子)が以前から彩花について意味深な発言をしていたのを思い出し、丈太郎はかほりを呼び出した。かほりは、2人が付き合っているのを認めながらも、まずは彩花に自分の気持ちを伝えるのが肝心なのでは、と丈太郎に助言する。  　そんな頃、順一は自分"&amp;"に付き合い古民家の掃除をしている島田さより(国仲涼子)に、無理していないかと声をかけた。さよりは、自分の意志で来ているのだ、と笑顔を見せる。そこへ、さよりに電話がかかってくる。相手がかほりだと確認したさよりは、それを無視する。が、その電話は夫の久志(矢柴俊博)が胆石の発作で救急で運ばれたことを告げる電話だった…。小平丈太郎:　")</f>
        <v>小平丈太郎(生田斗真)は、森下彩花(香椎由宇)の部屋から出てくる松本弘樹(柄本佑)を目撃して以来、落ち着かない。その件を藤井順一(桐谷健太)と日下哲也(松重豊)に相談すると、彩花と弘樹は付き合っているのだろう、と言われさらにショックを受ける。そんなとき、二階堂かほり(真木よう子)が以前から彩花について意味深な発言をしていたのを思い出し、丈太郎はかほりを呼び出した。かほりは、2人が付き合っているのを認めながらも、まずは彩花に自分の気持ちを伝えるのが肝心なのでは、と丈太郎に助言する。  　そんな頃、順一は自分に付き合い古民家の掃除をしている島田さより(国仲涼子)に、無理していないかと声をかけた。さよりは、自分の意志で来ているのだ、と笑顔を見せる。そこへ、さよりに電話がかかってくる。相手がかほりだと確認したさよりは、それを無視する。が、その電話は夫の久志(矢柴俊博)が胆石の発作で救急で運ばれたことを告げる電話だった…。小平丈太郎:　</v>
      </c>
      <c r="N1118" s="2"/>
      <c r="O1118" s="2"/>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row>
    <row r="1119" ht="204.75" customHeight="1">
      <c r="A1119" s="1">
        <v>3559.0</v>
      </c>
      <c r="B1119" s="2" t="s">
        <v>3573</v>
      </c>
      <c r="C1119" s="2">
        <f>IFERROR(__xludf.DUMMYFUNCTION("split(B1119,""_"")"),1210.0)</f>
        <v>1210</v>
      </c>
      <c r="D1119" s="2" t="str">
        <f>IFERROR(__xludf.DUMMYFUNCTION("""COMPUTED_VALUE"""),"CX")</f>
        <v>CX</v>
      </c>
      <c r="E1119" s="2" t="str">
        <f>IFERROR(__xludf.DUMMYFUNCTION("""COMPUTED_VALUE"""),"火21")</f>
        <v>火21</v>
      </c>
      <c r="F1119" s="2" t="s">
        <v>3574</v>
      </c>
      <c r="G1119" s="2" t="s">
        <v>3593</v>
      </c>
      <c r="H1119" s="1">
        <v>7.0</v>
      </c>
      <c r="I1119" s="1" t="s">
        <v>25</v>
      </c>
      <c r="J1119" s="1" t="s">
        <v>11</v>
      </c>
      <c r="K1119" s="2" t="s">
        <v>3594</v>
      </c>
      <c r="L1119" s="8" t="s">
        <v>3595</v>
      </c>
      <c r="M1119" s="2" t="str">
        <f>IFERROR(__xludf.DUMMYFUNCTION("split(split(K1119,""生田斗真　"",false),""公式LINE"",false)"),"小平丈太郎(生田斗真)が、松本弘樹(柄本佑)に呼び出されサンリバーにいると、二階堂かほり(真木よう子)が入ってきた。やがてやってきた弘樹は、自分は森下彩花(香椎由宇)の部屋を出たので彩花とはもう関係がない、と告げる。そんな弘樹に丈太郎は、実は自分も彩花にフラれたと明かすのだった。そんなとき、丈太郎に藤井順一(桐谷健太)から電話が入る。丈太郎の家にやってきた順一は、興奮気味に四万十にテーマパークを作る計画を披露。突拍子もなく現実味のない計画に丈太郎は言葉を継げないが、順一は上機嫌で話し続ける。  　翌日、丈"&amp;"太郎は順一の件を日下哲也(松重豊)に相談。日下は、順一の実家の金物店が年内で店を畳むことになったので焦っているのだろうと話した。  　そんな日の夜、丈太郎は偶然会った彩花とサンリバーにやってくる。そこには順一、島田さより(国仲涼子)、今井春菜(木村文乃)がいて、さらにかほりと弘樹も入ってきた。7人は3つのテーブルに分かれて座っていて、順一たちは、丈太郎やかほりには気づいていない。順一のテーブルでは、春菜が見合い結婚したさよりに、今は幸せか、と聞く。弘樹は、かほりに自分が本当にやりたいと思っていることを明か"&amp;"した。一方、緊張から他愛もない話を続ける丈太郎に、彩花は丈太郎の気持ちは本当に嬉しかったと言った。それなのにきちんと話せない自分を許してくれという彩花に、丈太郎は…。小平丈太郎:　")</f>
        <v>小平丈太郎(生田斗真)が、松本弘樹(柄本佑)に呼び出されサンリバーにいると、二階堂かほり(真木よう子)が入ってきた。やがてやってきた弘樹は、自分は森下彩花(香椎由宇)の部屋を出たので彩花とはもう関係がない、と告げる。そんな弘樹に丈太郎は、実は自分も彩花にフラれたと明かすのだった。そんなとき、丈太郎に藤井順一(桐谷健太)から電話が入る。丈太郎の家にやってきた順一は、興奮気味に四万十にテーマパークを作る計画を披露。突拍子もなく現実味のない計画に丈太郎は言葉を継げないが、順一は上機嫌で話し続ける。  　翌日、丈太郎は順一の件を日下哲也(松重豊)に相談。日下は、順一の実家の金物店が年内で店を畳むことになったので焦っているのだろうと話した。  　そんな日の夜、丈太郎は偶然会った彩花とサンリバーにやってくる。そこには順一、島田さより(国仲涼子)、今井春菜(木村文乃)がいて、さらにかほりと弘樹も入ってきた。7人は3つのテーブルに分かれて座っていて、順一たちは、丈太郎やかほりには気づいていない。順一のテーブルでは、春菜が見合い結婚したさよりに、今は幸せか、と聞く。弘樹は、かほりに自分が本当にやりたいと思っていることを明かした。一方、緊張から他愛もない話を続ける丈太郎に、彩花は丈太郎の気持ちは本当に嬉しかったと言った。それなのにきちんと話せない自分を許してくれという彩花に、丈太郎は…。小平丈太郎:　</v>
      </c>
      <c r="N1119" s="2"/>
      <c r="O1119" s="2"/>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row>
    <row r="1120" ht="204.75" customHeight="1">
      <c r="A1120" s="1">
        <v>3560.0</v>
      </c>
      <c r="B1120" s="2" t="s">
        <v>3573</v>
      </c>
      <c r="C1120" s="2">
        <f>IFERROR(__xludf.DUMMYFUNCTION("split(B1120,""_"")"),1210.0)</f>
        <v>1210</v>
      </c>
      <c r="D1120" s="2" t="str">
        <f>IFERROR(__xludf.DUMMYFUNCTION("""COMPUTED_VALUE"""),"CX")</f>
        <v>CX</v>
      </c>
      <c r="E1120" s="2" t="str">
        <f>IFERROR(__xludf.DUMMYFUNCTION("""COMPUTED_VALUE"""),"火21")</f>
        <v>火21</v>
      </c>
      <c r="F1120" s="2" t="s">
        <v>3574</v>
      </c>
      <c r="G1120" s="2" t="s">
        <v>3596</v>
      </c>
      <c r="H1120" s="1">
        <v>8.0</v>
      </c>
      <c r="I1120" s="1" t="s">
        <v>29</v>
      </c>
      <c r="J1120" s="1" t="s">
        <v>11</v>
      </c>
      <c r="K1120" s="2" t="s">
        <v>3597</v>
      </c>
      <c r="L1120" s="8" t="s">
        <v>3598</v>
      </c>
      <c r="M1120" s="2" t="str">
        <f>IFERROR(__xludf.DUMMYFUNCTION("split(split(K1120,""生田斗真　"",false),""公式LINE"",false)"),"小平丈太郎(生田斗真)は、藤井順一(桐谷健太)だけでなく今井春菜(木村文乃)も行方がわからなくなっていると聞く。二階堂かほり(真木よう子)が、ふたりは付き合っていたのか、と丈太郎に尋ねると、島田さより(国仲涼子)がそれを否定した。さらに森下彩花(香椎由宇)は、春菜には恋人がいてその人物が高知市にいることを明かす。  　順一が辛い思いをしているのに気づかず追い詰めてしまった、と責任を感じる丈太郎は順一の実家を訪ねる。すると、応対した父親の利男(嶋田久作)は、順一はバカだから心配ない、と事もなげに言う。  　"&amp;"同じ頃、かほりと実家に戻ったさよりは、高校の同級生たちに電話をかけるも情報は得られない。落胆するさよりを見たかほりは、順一と何かあったのか、と聞く。  　翌日、丈太郎は、大河内欣治(ミッキー・カーチス)の田んぼの手伝いをするが、気が気ではない。巷では、順一と春菜が駆け落ちしたという噂が流れ始める。  　そんな折、春菜の父で市議会議員の貞夫(大石吾朗)が順一の実家へやって来る。春菜が順一にそそのかされて姿を消していると疑う貞夫は、ぶしつけな態度で利男に接するが、利男は、順一は人を巻き込むようなことはしない、"&amp;"とはねつける。  　丈太郎は、その後も順一と春菜に電話をかけるがつながらない。ふたりを探す手段がなくなった丈太郎は、高知市に行くことを決め…。小平丈太郎:　")</f>
        <v>小平丈太郎(生田斗真)は、藤井順一(桐谷健太)だけでなく今井春菜(木村文乃)も行方がわからなくなっていると聞く。二階堂かほり(真木よう子)が、ふたりは付き合っていたのか、と丈太郎に尋ねると、島田さより(国仲涼子)がそれを否定した。さらに森下彩花(香椎由宇)は、春菜には恋人がいてその人物が高知市にいることを明かす。  　順一が辛い思いをしているのに気づかず追い詰めてしまった、と責任を感じる丈太郎は順一の実家を訪ねる。すると、応対した父親の利男(嶋田久作)は、順一はバカだから心配ない、と事もなげに言う。  　同じ頃、かほりと実家に戻ったさよりは、高校の同級生たちに電話をかけるも情報は得られない。落胆するさよりを見たかほりは、順一と何かあったのか、と聞く。  　翌日、丈太郎は、大河内欣治(ミッキー・カーチス)の田んぼの手伝いをするが、気が気ではない。巷では、順一と春菜が駆け落ちしたという噂が流れ始める。  　そんな折、春菜の父で市議会議員の貞夫(大石吾朗)が順一の実家へやって来る。春菜が順一にそそのかされて姿を消していると疑う貞夫は、ぶしつけな態度で利男に接するが、利男は、順一は人を巻き込むようなことはしない、とはねつける。  　丈太郎は、その後も順一と春菜に電話をかけるがつながらない。ふたりを探す手段がなくなった丈太郎は、高知市に行くことを決め…。小平丈太郎:　</v>
      </c>
      <c r="N1120" s="2"/>
      <c r="O1120" s="2"/>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row>
    <row r="1121" ht="204.75" customHeight="1">
      <c r="A1121" s="1">
        <v>3561.0</v>
      </c>
      <c r="B1121" s="2" t="s">
        <v>3573</v>
      </c>
      <c r="C1121" s="2">
        <f>IFERROR(__xludf.DUMMYFUNCTION("split(B1121,""_"")"),1210.0)</f>
        <v>1210</v>
      </c>
      <c r="D1121" s="2" t="str">
        <f>IFERROR(__xludf.DUMMYFUNCTION("""COMPUTED_VALUE"""),"CX")</f>
        <v>CX</v>
      </c>
      <c r="E1121" s="2" t="str">
        <f>IFERROR(__xludf.DUMMYFUNCTION("""COMPUTED_VALUE"""),"火21")</f>
        <v>火21</v>
      </c>
      <c r="F1121" s="2" t="s">
        <v>3574</v>
      </c>
      <c r="G1121" s="2" t="s">
        <v>3599</v>
      </c>
      <c r="H1121" s="1">
        <v>9.0</v>
      </c>
      <c r="I1121" s="1" t="s">
        <v>33</v>
      </c>
      <c r="J1121" s="1" t="s">
        <v>11</v>
      </c>
      <c r="K1121" s="2" t="s">
        <v>3600</v>
      </c>
      <c r="L1121" s="8" t="s">
        <v>3601</v>
      </c>
      <c r="M1121" s="2" t="str">
        <f>IFERROR(__xludf.DUMMYFUNCTION("split(split(K1121,""生田斗真　"",false),""公式LINE"",false)"),"小平丈太郎(生田斗真)は、森下彩花(香椎由宇)から一緒に高知市に行ってほしいと頼まれ承諾する。丈太郎は、二階堂かほり(真木よう子)に彩花の件を報告。どんな頼みだったのかと聞かれるが、丈太郎は詳しく聞けなかったと答える。その日、彩花とは現地で待ち合わせとなったが、かほり、松本弘樹(柄本佑)の2人も高知市に行く用事があったため、丈太郎は2人を同乗させて高知市へと向かった。  　彩花と落ち合った丈太郎は、彩花に付いて歩き出す。一方かほりは、高知市に来ていた指導教授・岡島(中丸新将)から呼び出されていた。岡島は、"&amp;"かほりに年内に研究室に戻ってもらうつもりだ、と一方的に命じる。弘樹は、父親ががんの手術を受けることになり、それに付き添っていた。  　そんな頃、藤井順一(桐谷健太)は、地元のホームセンターの面接試験を受ける。しかし、実家を手伝った経験しかない順一に面接官たちの目は厳しい。また、自分の意思で結婚相手を探すと決めた今井春菜(木村文乃)は、インターネットの出会い系サイトで相手を探そうとして順一に怒られる。  　その後、順一は島田さより(国仲涼子)が働くスーパーに行く。さよりは、古民家の掃除のボランティアは続けた"&amp;"いと言い、順一も春菜が手伝ってくれることになったと話し、ふたりに笑顔が戻る。  　後日、自転車で山を下っていた丈太郎は、休耕田の横を過ぎたあたりでブレーキをかける。小平丈太郎:　")</f>
        <v>小平丈太郎(生田斗真)は、森下彩花(香椎由宇)から一緒に高知市に行ってほしいと頼まれ承諾する。丈太郎は、二階堂かほり(真木よう子)に彩花の件を報告。どんな頼みだったのかと聞かれるが、丈太郎は詳しく聞けなかったと答える。その日、彩花とは現地で待ち合わせとなったが、かほり、松本弘樹(柄本佑)の2人も高知市に行く用事があったため、丈太郎は2人を同乗させて高知市へと向かった。  　彩花と落ち合った丈太郎は、彩花に付いて歩き出す。一方かほりは、高知市に来ていた指導教授・岡島(中丸新将)から呼び出されていた。岡島は、かほりに年内に研究室に戻ってもらうつもりだ、と一方的に命じる。弘樹は、父親ががんの手術を受けることになり、それに付き添っていた。  　そんな頃、藤井順一(桐谷健太)は、地元のホームセンターの面接試験を受ける。しかし、実家を手伝った経験しかない順一に面接官たちの目は厳しい。また、自分の意思で結婚相手を探すと決めた今井春菜(木村文乃)は、インターネットの出会い系サイトで相手を探そうとして順一に怒られる。  　その後、順一は島田さより(国仲涼子)が働くスーパーに行く。さよりは、古民家の掃除のボランティアは続けたいと言い、順一も春菜が手伝ってくれることになったと話し、ふたりに笑顔が戻る。  　後日、自転車で山を下っていた丈太郎は、休耕田の横を過ぎたあたりでブレーキをかける。小平丈太郎:　</v>
      </c>
      <c r="N1121" s="2"/>
      <c r="O1121" s="2"/>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row>
    <row r="1122" ht="204.75" customHeight="1">
      <c r="A1122" s="1">
        <v>3562.0</v>
      </c>
      <c r="B1122" s="2" t="s">
        <v>3573</v>
      </c>
      <c r="C1122" s="2">
        <f>IFERROR(__xludf.DUMMYFUNCTION("split(B1122,""_"")"),1210.0)</f>
        <v>1210</v>
      </c>
      <c r="D1122" s="2" t="str">
        <f>IFERROR(__xludf.DUMMYFUNCTION("""COMPUTED_VALUE"""),"CX")</f>
        <v>CX</v>
      </c>
      <c r="E1122" s="2" t="str">
        <f>IFERROR(__xludf.DUMMYFUNCTION("""COMPUTED_VALUE"""),"火21")</f>
        <v>火21</v>
      </c>
      <c r="F1122" s="2" t="s">
        <v>3574</v>
      </c>
      <c r="G1122" s="2" t="s">
        <v>3602</v>
      </c>
      <c r="H1122" s="1">
        <v>10.0</v>
      </c>
      <c r="I1122" s="1" t="s">
        <v>37</v>
      </c>
      <c r="J1122" s="1" t="s">
        <v>11</v>
      </c>
      <c r="K1122" s="2" t="s">
        <v>3603</v>
      </c>
      <c r="L1122" s="8" t="s">
        <v>3604</v>
      </c>
      <c r="M1122" s="2" t="str">
        <f>IFERROR(__xludf.DUMMYFUNCTION("split(split(K1122,""生田斗真　"",false),""公式LINE"",false)"),"小平丈太郎(生田斗真)は、藤井順一(桐谷健太)とともに大河内欣治(ミッキー・カーチス)に教えてもらいながら休耕田を利用して米作りをすると決めた。が、田んぼが使えるようになるまで早くても3年かかると聞き、地域おこし協力隊として3年契約で四万十に来ている自分の今後を思いながら雑草取りに励む。  　同じ頃、二階堂かほり(真木よう子)は、東京に戻るか、四万十の病院にとどまるか、決めかねていた。患者たちにずっと病院にいると約束した責任がある、と悩むかほりに、丈太郎は自分のしたいようにすればいい、と事も無げに言う。 "&amp;" 　数日後の夜、丈太郎はかほりをカヌーに誘う。寒空のなかカヌーに乗るうち、ふたりの脳裏にはこれまでのさまざまな出来事がよみがえる。やがてかほりは、自分が研究医を目指そうと思ったきっかけについて話し始める。それを聞いた丈太郎は、そんな思いがあるなら患者たちも責めたりはしない、ここで夢が叶えられないのなら東京へ行くべきでは、と助言する。  　後日、東京行きを決めたかほりの送別会と、理学療法士の学校の入学試験に合格した松本弘樹(柄本佑)を祝う会が開かれ、丈太郎、順一、森下彩花(香椎由宇)、今井春菜(木村文乃)が"&amp;"出席した。一同を前に挨拶した順一が乾杯の音頭を取ろうとしたとき、突然、丈太郎がそれを制した。みんなに報告したいことがあると言う丈太郎は、自分は地域おこし協力隊を辞めた、と発言。小平丈太郎:　")</f>
        <v>小平丈太郎(生田斗真)は、藤井順一(桐谷健太)とともに大河内欣治(ミッキー・カーチス)に教えてもらいながら休耕田を利用して米作りをすると決めた。が、田んぼが使えるようになるまで早くても3年かかると聞き、地域おこし協力隊として3年契約で四万十に来ている自分の今後を思いながら雑草取りに励む。  　同じ頃、二階堂かほり(真木よう子)は、東京に戻るか、四万十の病院にとどまるか、決めかねていた。患者たちにずっと病院にいると約束した責任がある、と悩むかほりに、丈太郎は自分のしたいようにすればいい、と事も無げに言う。  　数日後の夜、丈太郎はかほりをカヌーに誘う。寒空のなかカヌーに乗るうち、ふたりの脳裏にはこれまでのさまざまな出来事がよみがえる。やがてかほりは、自分が研究医を目指そうと思ったきっかけについて話し始める。それを聞いた丈太郎は、そんな思いがあるなら患者たちも責めたりはしない、ここで夢が叶えられないのなら東京へ行くべきでは、と助言する。  　後日、東京行きを決めたかほりの送別会と、理学療法士の学校の入学試験に合格した松本弘樹(柄本佑)を祝う会が開かれ、丈太郎、順一、森下彩花(香椎由宇)、今井春菜(木村文乃)が出席した。一同を前に挨拶した順一が乾杯の音頭を取ろうとしたとき、突然、丈太郎がそれを制した。みんなに報告したいことがあると言う丈太郎は、自分は地域おこし協力隊を辞めた、と発言。小平丈太郎:　</v>
      </c>
      <c r="N1122" s="2"/>
      <c r="O1122" s="2"/>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row>
    <row r="1123" ht="204.75" customHeight="1">
      <c r="A1123" s="1">
        <v>3592.0</v>
      </c>
      <c r="B1123" s="2" t="s">
        <v>3605</v>
      </c>
      <c r="C1123" s="2">
        <f>IFERROR(__xludf.DUMMYFUNCTION("split(B1123,""_"")"),1210.0)</f>
        <v>1210</v>
      </c>
      <c r="D1123" s="2" t="str">
        <f>IFERROR(__xludf.DUMMYFUNCTION("""COMPUTED_VALUE"""),"CX")</f>
        <v>CX</v>
      </c>
      <c r="E1123" s="2" t="str">
        <f>IFERROR(__xludf.DUMMYFUNCTION("""COMPUTED_VALUE"""),"木22")</f>
        <v>木22</v>
      </c>
      <c r="F1123" s="2" t="s">
        <v>3606</v>
      </c>
      <c r="G1123" s="2" t="s">
        <v>3607</v>
      </c>
      <c r="H1123" s="1">
        <v>1.0</v>
      </c>
      <c r="I1123" s="1" t="s">
        <v>3</v>
      </c>
      <c r="J1123" s="1" t="s">
        <v>82</v>
      </c>
      <c r="K1123" s="4" t="s">
        <v>3608</v>
      </c>
      <c r="L1123" s="2" t="s">
        <v>3609</v>
      </c>
      <c r="M1123" s="2" t="str">
        <f>IFERROR(__xludf.DUMMYFUNCTION("split(split(K1123,""菅野美穂　"",false),""公式LINE"",false)"),"旅行代理店の契約社員・田中千春(菅野美穂)は、彼氏いない歴5年で、35歳の誕生日を目前に控えている。44歳独身の優秀な造園プランナー・桐島春子(天海祐希)は、かつて上司の樋口亨(石橋凌)と不倫関係にあった。一方、工藤純平(玉木宏)は、生花店『メゾン・フローラル』でアルバイトをしている32歳の独身男性。美大出身の純平は、画家になることを夢見ていたが上手くいかず、未練を残しつつも絵の道を諦めようとしていた。  　ある日、元カレ・小島圭介(中村俊介)の結婚を知ってショックを受けた千春は、親からも結婚はどうするの"&amp;"かと聞かれてすっかり落ち込み、お気にいりの噴水公園で缶ビールをあおる。そこで出会ったのが、この噴水公園のデザインを手がけた春子だった。そんな中、千春は、大学時代のサークル仲間・久保裕司(袴田吉彦)と再会する。裕司は、圭介から千春のことを聞き、社員旅行の相談に来たという。実は裕司は、お互いに35歳まで独身だったら結婚しよう、と約束した相手でもあった。一方、春子は、樋口から異動を命じられ…。")</f>
        <v>旅行代理店の契約社員・田中千春(菅野美穂)は、彼氏いない歴5年で、35歳の誕生日を目前に控えている。44歳独身の優秀な造園プランナー・桐島春子(天海祐希)は、かつて上司の樋口亨(石橋凌)と不倫関係にあった。一方、工藤純平(玉木宏)は、生花店『メゾン・フローラル』でアルバイトをしている32歳の独身男性。美大出身の純平は、画家になることを夢見ていたが上手くいかず、未練を残しつつも絵の道を諦めようとしていた。  　ある日、元カレ・小島圭介(中村俊介)の結婚を知ってショックを受けた千春は、親からも結婚はどうするのかと聞かれてすっかり落ち込み、お気にいりの噴水公園で缶ビールをあおる。そこで出会ったのが、この噴水公園のデザインを手がけた春子だった。そんな中、千春は、大学時代のサークル仲間・久保裕司(袴田吉彦)と再会する。裕司は、圭介から千春のことを聞き、社員旅行の相談に来たという。実は裕司は、お互いに35歳まで独身だったら結婚しよう、と約束した相手でもあった。一方、春子は、樋口から異動を命じられ…。</v>
      </c>
      <c r="N1123" s="2"/>
      <c r="O1123" s="2"/>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row>
    <row r="1124" ht="204.75" customHeight="1">
      <c r="A1124" s="1">
        <v>3593.0</v>
      </c>
      <c r="B1124" s="2" t="s">
        <v>3605</v>
      </c>
      <c r="C1124" s="2">
        <f>IFERROR(__xludf.DUMMYFUNCTION("split(B1124,""_"")"),1210.0)</f>
        <v>1210</v>
      </c>
      <c r="D1124" s="2" t="str">
        <f>IFERROR(__xludf.DUMMYFUNCTION("""COMPUTED_VALUE"""),"CX")</f>
        <v>CX</v>
      </c>
      <c r="E1124" s="2" t="str">
        <f>IFERROR(__xludf.DUMMYFUNCTION("""COMPUTED_VALUE"""),"木22")</f>
        <v>木22</v>
      </c>
      <c r="F1124" s="2" t="s">
        <v>3606</v>
      </c>
      <c r="G1124" s="2" t="s">
        <v>3610</v>
      </c>
      <c r="H1124" s="1">
        <v>2.0</v>
      </c>
      <c r="I1124" s="1" t="s">
        <v>7</v>
      </c>
      <c r="J1124" s="1" t="s">
        <v>86</v>
      </c>
      <c r="K1124" s="2" t="s">
        <v>3611</v>
      </c>
      <c r="L1124" s="2" t="s">
        <v>3609</v>
      </c>
      <c r="M1124" s="2" t="str">
        <f>IFERROR(__xludf.DUMMYFUNCTION("split(split(K1124,""【"",false),""公式LINE"",false)"),"妹の結婚もあって実家に居づらくなった田中千春(菅野美穂)は、1週間だけでいいからと頼みこんで桐島春子(天海祐希)のマンションに転がり込む。あくる朝、春子は、千春をバイクで会社まで送り届けた後、生花店『メゾン・フローラル』に向かった。そこで春子は、アルバイト店員の工藤純平(玉木宏)と佐倉麻衣(三吉彩花)に、この店の店長になったことを報告する。一方、千春は、母・紀子(市毛良枝)からお見合い写真を渡される。相手は、食品メーカーの研究職に就いている浅井隆史(池内万作)という40歳初婚の男性だった。紀子は、35歳の"&amp;"女性でもいいという男性は少ないのだから前向きに考えてほしい、と千春に告げた。帰宅した千春は、自分が考える『結婚相手に求める条件』を紙に書き出す。そこに春子が帰ってきた。春子にお見合いの件を打ち明けると、結婚しようと思ったことはなかったのか、と尋ねる千春。すると春子は、結婚したいと思う相手がいなかったし、いたとしても生活を変えたくなかったから結婚という選択肢はなかった、と答える。一歩踏み出すことを自らに課していた千春は、お見合いをしてみようと思い始める。そんな折、『メゾン・フローラル』を訪れた千春は、ガーベ"&amp;"ラの花をくれた男性・純平と再会する。千春は、ガーベラのお礼のつもりで、アスターを買い求めた。数日後、千春は浅井とお見合いをする。千春は、浅井の誠実そうな人柄に好感を抱くが…。菅野美穂　  天海祐希　  玉木宏　    小市慢太郎　  三吉彩花　  伊藤歩　  福田彩乃  　・　  石橋凌  　・　  市毛良枝　  梶芽衣子　    ほか")</f>
        <v>妹の結婚もあって実家に居づらくなった田中千春(菅野美穂)は、1週間だけでいいからと頼みこんで桐島春子(天海祐希)のマンションに転がり込む。あくる朝、春子は、千春をバイクで会社まで送り届けた後、生花店『メゾン・フローラル』に向かった。そこで春子は、アルバイト店員の工藤純平(玉木宏)と佐倉麻衣(三吉彩花)に、この店の店長になったことを報告する。一方、千春は、母・紀子(市毛良枝)からお見合い写真を渡される。相手は、食品メーカーの研究職に就いている浅井隆史(池内万作)という40歳初婚の男性だった。紀子は、35歳の女性でもいいという男性は少ないのだから前向きに考えてほしい、と千春に告げた。帰宅した千春は、自分が考える『結婚相手に求める条件』を紙に書き出す。そこに春子が帰ってきた。春子にお見合いの件を打ち明けると、結婚しようと思ったことはなかったのか、と尋ねる千春。すると春子は、結婚したいと思う相手がいなかったし、いたとしても生活を変えたくなかったから結婚という選択肢はなかった、と答える。一歩踏み出すことを自らに課していた千春は、お見合いをしてみようと思い始める。そんな折、『メゾン・フローラル』を訪れた千春は、ガーベラの花をくれた男性・純平と再会する。千春は、ガーベラのお礼のつもりで、アスターを買い求めた。数日後、千春は浅井とお見合いをする。千春は、浅井の誠実そうな人柄に好感を抱くが…。菅野美穂　  天海祐希　  玉木宏　    小市慢太郎　  三吉彩花　  伊藤歩　  福田彩乃  　・　  石橋凌  　・　  市毛良枝　  梶芽衣子　    ほか</v>
      </c>
      <c r="N1124" s="2"/>
      <c r="O1124" s="2"/>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row>
    <row r="1125" ht="204.75" customHeight="1">
      <c r="A1125" s="1">
        <v>3594.0</v>
      </c>
      <c r="B1125" s="2" t="s">
        <v>3605</v>
      </c>
      <c r="C1125" s="2">
        <f>IFERROR(__xludf.DUMMYFUNCTION("split(B1125,""_"")"),1210.0)</f>
        <v>1210</v>
      </c>
      <c r="D1125" s="2" t="str">
        <f>IFERROR(__xludf.DUMMYFUNCTION("""COMPUTED_VALUE"""),"CX")</f>
        <v>CX</v>
      </c>
      <c r="E1125" s="2" t="str">
        <f>IFERROR(__xludf.DUMMYFUNCTION("""COMPUTED_VALUE"""),"木22")</f>
        <v>木22</v>
      </c>
      <c r="F1125" s="2" t="s">
        <v>3606</v>
      </c>
      <c r="G1125" s="2" t="s">
        <v>3612</v>
      </c>
      <c r="H1125" s="1">
        <v>3.0</v>
      </c>
      <c r="I1125" s="1" t="s">
        <v>10</v>
      </c>
      <c r="J1125" s="1" t="s">
        <v>86</v>
      </c>
      <c r="K1125" s="2" t="s">
        <v>3613</v>
      </c>
      <c r="L1125" s="2" t="s">
        <v>3609</v>
      </c>
      <c r="M1125" s="2" t="str">
        <f>IFERROR(__xludf.DUMMYFUNCTION("split(split(K1125,""【"",false),""公式LINE"",false)"),"田中千春(菅野美穂)は、後輩の鈴村真里子(福田彩乃)から半ば強引に誘われて、合コンに参加する。だが、20代ばかりの参加メンバーの中で完全アウェー状態だった千春は、二次会の誘いを断って帰ってしまう。一方、桐島春子(天海祐希)は、異動を命じられる前にデザインを手がけていた庭園の完成披露パーティーのためにスタンド花を届けに行く。そこで、デザイン部部長の樋口亨(石橋凌)と再会する春子。樋口は、必ず本社に戻れるようにする、と改めて春子に約束する。しかし春子は、すでに辞表を提出するつもりでいた。  　そんな折、千春は"&amp;"、元恋人・小島圭介(中村俊介)の結婚がダメになったことを知る。千春からその話を聞かされた春子は、圭介の力になりたいという千春の気持ちに理解を示しながらも、寂しさは連鎖するから気をつけろと忠告する。  　工藤純平(玉木宏)は、美大の後輩・河野瑞希(伊藤歩)の初個展が開かれている画廊まで花を届けに行く。後輩の結婚祝いを買いに行った千春も、春子からチケットをもらったことを思い出し、画廊を訪れていた。純平は、画廊のオーナー・沢井秀雄(山中聡)から、スタッフにならないかと誘われる。沢井いわく、瑞希も純平のことを心配"&amp;"しているという。その会話を聞いてしまった千春は、純平の寂しそうな表情が気にかかり、画廊を後にした彼を追いかける。菅野美穂　  天海祐希　  玉木宏　    小市慢太郎　  三吉彩花　  伊藤歩　  福田彩乃  　・　  石橋凌  　・　  市毛良枝　  梶芽衣子　    ほか")</f>
        <v>田中千春(菅野美穂)は、後輩の鈴村真里子(福田彩乃)から半ば強引に誘われて、合コンに参加する。だが、20代ばかりの参加メンバーの中で完全アウェー状態だった千春は、二次会の誘いを断って帰ってしまう。一方、桐島春子(天海祐希)は、異動を命じられる前にデザインを手がけていた庭園の完成披露パーティーのためにスタンド花を届けに行く。そこで、デザイン部部長の樋口亨(石橋凌)と再会する春子。樋口は、必ず本社に戻れるようにする、と改めて春子に約束する。しかし春子は、すでに辞表を提出するつもりでいた。  　そんな折、千春は、元恋人・小島圭介(中村俊介)の結婚がダメになったことを知る。千春からその話を聞かされた春子は、圭介の力になりたいという千春の気持ちに理解を示しながらも、寂しさは連鎖するから気をつけろと忠告する。  　工藤純平(玉木宏)は、美大の後輩・河野瑞希(伊藤歩)の初個展が開かれている画廊まで花を届けに行く。後輩の結婚祝いを買いに行った千春も、春子からチケットをもらったことを思い出し、画廊を訪れていた。純平は、画廊のオーナー・沢井秀雄(山中聡)から、スタッフにならないかと誘われる。沢井いわく、瑞希も純平のことを心配しているという。その会話を聞いてしまった千春は、純平の寂しそうな表情が気にかかり、画廊を後にした彼を追いかける。菅野美穂　  天海祐希　  玉木宏　    小市慢太郎　  三吉彩花　  伊藤歩　  福田彩乃  　・　  石橋凌  　・　  市毛良枝　  梶芽衣子　    ほか</v>
      </c>
      <c r="N1125" s="2"/>
      <c r="O1125" s="2"/>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row>
    <row r="1126" ht="204.75" customHeight="1">
      <c r="A1126" s="1">
        <v>3595.0</v>
      </c>
      <c r="B1126" s="2" t="s">
        <v>3605</v>
      </c>
      <c r="C1126" s="2">
        <f>IFERROR(__xludf.DUMMYFUNCTION("split(B1126,""_"")"),1210.0)</f>
        <v>1210</v>
      </c>
      <c r="D1126" s="2" t="str">
        <f>IFERROR(__xludf.DUMMYFUNCTION("""COMPUTED_VALUE"""),"CX")</f>
        <v>CX</v>
      </c>
      <c r="E1126" s="2" t="str">
        <f>IFERROR(__xludf.DUMMYFUNCTION("""COMPUTED_VALUE"""),"木22")</f>
        <v>木22</v>
      </c>
      <c r="F1126" s="2" t="s">
        <v>3606</v>
      </c>
      <c r="G1126" s="2" t="s">
        <v>3614</v>
      </c>
      <c r="H1126" s="1">
        <v>4.0</v>
      </c>
      <c r="I1126" s="1" t="s">
        <v>14</v>
      </c>
      <c r="J1126" s="1" t="s">
        <v>86</v>
      </c>
      <c r="K1126" s="2" t="s">
        <v>3615</v>
      </c>
      <c r="L1126" s="2" t="s">
        <v>3609</v>
      </c>
      <c r="M1126" s="2" t="str">
        <f>IFERROR(__xludf.DUMMYFUNCTION("split(split(K1126,""【"",false),""公式LINE"",false)"),"千春(菅野美穂)は、春子(天海祐希)から赤いリボンがついたマンションの合鍵をもらう。千春は、居場所ができた感じがする、と言って大喜びだ。そんな中、仕事中だった千春のもとに、母親の紀子(市毛良枝)から電話が入る。結婚する予定になっている千春の妹・千夏(中村ゆり)が、突然、結婚式はしないと言い出したらしい。するとそこに、思い詰めた顔の千夏が現れる。千春は、千夏から事情を聞いた。友人たちに祝ってもらうだけでいい、という千夏に対し、ちゃんとした結婚式を挙げなければだめだと紀子が反対したのだという。それでも千夏は、"&amp;"月末に友人たちだけを招いて簡単に済ませるつもりでいる、と千春に告げる。同じころ、純平(玉木宏)は、法事のため、実家に帰っていた。そこで純平は、叔父から結婚や仕事のことで意見され、困惑する。そんな純平に助け船を出したのは、商社マンの兄・遼平(眞島秀和)だった。その夜、千夏は、無理を聞いてもらって春子のマンションに泊まる。事情を知った春子は、母親が娘の結婚を喜べないのは良くない、と言って、時間をかけて話し合うことを千春に勧める。あくる日、仕事を終えた千春が帰り支度をしていると、とある病院から電話が入る。診察中"&amp;"に気分が悪くなった千夏を、休ませているという連絡だった。千春は病院に駆けつけるが…。菅野美穂　  天海祐希　  玉木宏　    小市慢太郎　  三吉彩花　  伊藤歩　  福田彩乃  　・　  石橋凌  　・　  市毛良枝　  梶芽衣子　    ほか")</f>
        <v>千春(菅野美穂)は、春子(天海祐希)から赤いリボンがついたマンションの合鍵をもらう。千春は、居場所ができた感じがする、と言って大喜びだ。そんな中、仕事中だった千春のもとに、母親の紀子(市毛良枝)から電話が入る。結婚する予定になっている千春の妹・千夏(中村ゆり)が、突然、結婚式はしないと言い出したらしい。するとそこに、思い詰めた顔の千夏が現れる。千春は、千夏から事情を聞いた。友人たちに祝ってもらうだけでいい、という千夏に対し、ちゃんとした結婚式を挙げなければだめだと紀子が反対したのだという。それでも千夏は、月末に友人たちだけを招いて簡単に済ませるつもりでいる、と千春に告げる。同じころ、純平(玉木宏)は、法事のため、実家に帰っていた。そこで純平は、叔父から結婚や仕事のことで意見され、困惑する。そんな純平に助け船を出したのは、商社マンの兄・遼平(眞島秀和)だった。その夜、千夏は、無理を聞いてもらって春子のマンションに泊まる。事情を知った春子は、母親が娘の結婚を喜べないのは良くない、と言って、時間をかけて話し合うことを千春に勧める。あくる日、仕事を終えた千春が帰り支度をしていると、とある病院から電話が入る。診察中に気分が悪くなった千夏を、休ませているという連絡だった。千春は病院に駆けつけるが…。菅野美穂　  天海祐希　  玉木宏　    小市慢太郎　  三吉彩花　  伊藤歩　  福田彩乃  　・　  石橋凌  　・　  市毛良枝　  梶芽衣子　    ほか</v>
      </c>
      <c r="N1126" s="2"/>
      <c r="O1126" s="2"/>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row>
    <row r="1127" ht="204.75" customHeight="1">
      <c r="A1127" s="1">
        <v>3596.0</v>
      </c>
      <c r="B1127" s="2" t="s">
        <v>3605</v>
      </c>
      <c r="C1127" s="2">
        <f>IFERROR(__xludf.DUMMYFUNCTION("split(B1127,""_"")"),1210.0)</f>
        <v>1210</v>
      </c>
      <c r="D1127" s="2" t="str">
        <f>IFERROR(__xludf.DUMMYFUNCTION("""COMPUTED_VALUE"""),"CX")</f>
        <v>CX</v>
      </c>
      <c r="E1127" s="2" t="str">
        <f>IFERROR(__xludf.DUMMYFUNCTION("""COMPUTED_VALUE"""),"木22")</f>
        <v>木22</v>
      </c>
      <c r="F1127" s="2" t="s">
        <v>3606</v>
      </c>
      <c r="G1127" s="2" t="s">
        <v>3616</v>
      </c>
      <c r="H1127" s="1">
        <v>5.0</v>
      </c>
      <c r="I1127" s="1" t="s">
        <v>17</v>
      </c>
      <c r="J1127" s="1" t="s">
        <v>86</v>
      </c>
      <c r="K1127" s="2" t="s">
        <v>3617</v>
      </c>
      <c r="L1127" s="2" t="s">
        <v>3609</v>
      </c>
      <c r="M1127" s="2" t="str">
        <f>IFERROR(__xludf.DUMMYFUNCTION("split(split(K1127,""【"",false),""公式LINE"",false)"),"千春(菅野美穂)が職場の真里子(福田彩乃)、森田(入江甚儀)とランチを終えたところに、花の配達中の純平(玉木宏)が遭遇する。真里子は純平のイケメンぶりに食いつくが、千春から花屋でバイトしていることを聞いた瞬間、テンションが下がる。バイトでは結婚にはつながらない、と言うのだ。結婚につながる恋をするために避けるべき3カ条を述べる真里子。  　春子(天海祐希)が店長を務めるメゾン・フローラルでは、春子のマンション訪問の話が持ち上がり、純平と麻衣(三吉彩花)が訪ねてくることになった。千春は得意のスイートポテトを作"&amp;"る、と気合いが入る。2人が訪ねて来て、千春が作ったスイートポテトや手料理を囲みながら恋愛話で盛り上がる4人。  　後日、千春は入院している母・紀子(市毛良枝)のお見舞いの花を選びにメゾン・フローラルへ。そこで、純平の後輩の瑞希(伊藤歩)にも偶然会い、あいさつを交わす。  　千春は妹の千夏(中村ゆり)のウエディングパーティーの手伝いをしてくれたお礼を兼ねて、春子が話をつけてくれたレストランに春子を誘う。すると春子は、純平にも声をかけ、3人で行くことに・・・。花屋には大学教授の谷川(小市慢太郎)がやってきた。"&amp;"数日前、母親に花を買って行ったら喜んでくれた、と春子に伝えたかったのだ。その夜、純平が急にレストランに行けなくなった。瑞希の絵を扱っている画廊から連絡が入った、という。菅野美穂　  天海祐希　  玉木宏　    小市慢太郎　  三吉彩花　  伊藤歩　  福田彩乃  　・　  石橋凌  　・　  市毛良枝　  梶芽衣子　    ほか")</f>
        <v>千春(菅野美穂)が職場の真里子(福田彩乃)、森田(入江甚儀)とランチを終えたところに、花の配達中の純平(玉木宏)が遭遇する。真里子は純平のイケメンぶりに食いつくが、千春から花屋でバイトしていることを聞いた瞬間、テンションが下がる。バイトでは結婚にはつながらない、と言うのだ。結婚につながる恋をするために避けるべき3カ条を述べる真里子。  　春子(天海祐希)が店長を務めるメゾン・フローラルでは、春子のマンション訪問の話が持ち上がり、純平と麻衣(三吉彩花)が訪ねてくることになった。千春は得意のスイートポテトを作る、と気合いが入る。2人が訪ねて来て、千春が作ったスイートポテトや手料理を囲みながら恋愛話で盛り上がる4人。  　後日、千春は入院している母・紀子(市毛良枝)のお見舞いの花を選びにメゾン・フローラルへ。そこで、純平の後輩の瑞希(伊藤歩)にも偶然会い、あいさつを交わす。  　千春は妹の千夏(中村ゆり)のウエディングパーティーの手伝いをしてくれたお礼を兼ねて、春子が話をつけてくれたレストランに春子を誘う。すると春子は、純平にも声をかけ、3人で行くことに・・・。花屋には大学教授の谷川(小市慢太郎)がやってきた。数日前、母親に花を買って行ったら喜んでくれた、と春子に伝えたかったのだ。その夜、純平が急にレストランに行けなくなった。瑞希の絵を扱っている画廊から連絡が入った、という。菅野美穂　  天海祐希　  玉木宏　    小市慢太郎　  三吉彩花　  伊藤歩　  福田彩乃  　・　  石橋凌  　・　  市毛良枝　  梶芽衣子　    ほか</v>
      </c>
      <c r="N1127" s="2"/>
      <c r="O1127" s="2"/>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row>
    <row r="1128" ht="204.75" customHeight="1">
      <c r="A1128" s="1">
        <v>3597.0</v>
      </c>
      <c r="B1128" s="2" t="s">
        <v>3605</v>
      </c>
      <c r="C1128" s="2">
        <f>IFERROR(__xludf.DUMMYFUNCTION("split(B1128,""_"")"),1210.0)</f>
        <v>1210</v>
      </c>
      <c r="D1128" s="2" t="str">
        <f>IFERROR(__xludf.DUMMYFUNCTION("""COMPUTED_VALUE"""),"CX")</f>
        <v>CX</v>
      </c>
      <c r="E1128" s="2" t="str">
        <f>IFERROR(__xludf.DUMMYFUNCTION("""COMPUTED_VALUE"""),"木22")</f>
        <v>木22</v>
      </c>
      <c r="F1128" s="2" t="s">
        <v>3606</v>
      </c>
      <c r="G1128" s="2" t="s">
        <v>3618</v>
      </c>
      <c r="H1128" s="1">
        <v>6.0</v>
      </c>
      <c r="I1128" s="1" t="s">
        <v>21</v>
      </c>
      <c r="J1128" s="1" t="s">
        <v>86</v>
      </c>
      <c r="K1128" s="2" t="s">
        <v>3619</v>
      </c>
      <c r="L1128" s="2" t="s">
        <v>3609</v>
      </c>
      <c r="M1128" s="2" t="str">
        <f>IFERROR(__xludf.DUMMYFUNCTION("split(split(K1128,""【"",false),""公式LINE"",false)"),"千春(菅野美穂)は純平(玉木宏)にスイートポテトを差し入れしようと、朝、春子(天海祐希)のバイクに乗せてもらい、春子と純平の仕事場であるメゾン・フローラルを訪れるが、純平は作業場で眠ってしまっていた。千春が純平とわざわざ画廊から取り返した純平の絵が眠っている傍らに置いてあった。その絵のモデルが瑞希(伊藤歩)だったことを知った千春は、黙って差し入れを持ってその場を立ち去る。　すると、同級生の由香里(西山繭子)から電話が入り、相談があるという。会社の近くでランチをしながら由香里の話を聞くと、夫の会社がいよいよ"&amp;"倒産し、福岡の親戚の家まで込み入った話をしに行かなければならないため、一晩5歳の息子を預かってもらえないか?ということだった。千春の実家で妹の千夏(中村ゆり)と一緒にその子を預かれないかと妹に聞くが、母の紀子(市毛良枝)が入院中のため難しい。居候の身で春子のマンションで預かってもいいか聞きづらい千春だったが、春子は了承してくれた。こうして千春は1日ママを務めることになり・・・。菅野美穂　  天海祐希　  玉木宏　    小市慢太郎　  三吉彩花　  伊藤歩　  福田彩乃  　・　  石橋凌  　・　  市"&amp;"毛良枝　  梶芽衣子　    ほか")</f>
        <v>千春(菅野美穂)は純平(玉木宏)にスイートポテトを差し入れしようと、朝、春子(天海祐希)のバイクに乗せてもらい、春子と純平の仕事場であるメゾン・フローラルを訪れるが、純平は作業場で眠ってしまっていた。千春が純平とわざわざ画廊から取り返した純平の絵が眠っている傍らに置いてあった。その絵のモデルが瑞希(伊藤歩)だったことを知った千春は、黙って差し入れを持ってその場を立ち去る。　すると、同級生の由香里(西山繭子)から電話が入り、相談があるという。会社の近くでランチをしながら由香里の話を聞くと、夫の会社がいよいよ倒産し、福岡の親戚の家まで込み入った話をしに行かなければならないため、一晩5歳の息子を預かってもらえないか?ということだった。千春の実家で妹の千夏(中村ゆり)と一緒にその子を預かれないかと妹に聞くが、母の紀子(市毛良枝)が入院中のため難しい。居候の身で春子のマンションで預かってもいいか聞きづらい千春だったが、春子は了承してくれた。こうして千春は1日ママを務めることになり・・・。菅野美穂　  天海祐希　  玉木宏　    小市慢太郎　  三吉彩花　  伊藤歩　  福田彩乃  　・　  石橋凌  　・　  市毛良枝　  梶芽衣子　    ほか</v>
      </c>
      <c r="N1128" s="2"/>
      <c r="O1128" s="2"/>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row>
    <row r="1129" ht="204.75" customHeight="1">
      <c r="A1129" s="1">
        <v>3598.0</v>
      </c>
      <c r="B1129" s="2" t="s">
        <v>3605</v>
      </c>
      <c r="C1129" s="2">
        <f>IFERROR(__xludf.DUMMYFUNCTION("split(B1129,""_"")"),1210.0)</f>
        <v>1210</v>
      </c>
      <c r="D1129" s="2" t="str">
        <f>IFERROR(__xludf.DUMMYFUNCTION("""COMPUTED_VALUE"""),"CX")</f>
        <v>CX</v>
      </c>
      <c r="E1129" s="2" t="str">
        <f>IFERROR(__xludf.DUMMYFUNCTION("""COMPUTED_VALUE"""),"木22")</f>
        <v>木22</v>
      </c>
      <c r="F1129" s="2" t="s">
        <v>3606</v>
      </c>
      <c r="G1129" s="2" t="s">
        <v>3620</v>
      </c>
      <c r="H1129" s="1">
        <v>7.0</v>
      </c>
      <c r="I1129" s="1" t="s">
        <v>25</v>
      </c>
      <c r="J1129" s="1" t="s">
        <v>86</v>
      </c>
      <c r="K1129" s="2" t="s">
        <v>3621</v>
      </c>
      <c r="L1129" s="2" t="s">
        <v>3609</v>
      </c>
      <c r="M1129" s="2" t="str">
        <f>IFERROR(__xludf.DUMMYFUNCTION("split(split(K1129,""【"",false),""公式LINE"",false)"),"千春(菅野美穂)は職場の旅行代理店で、真里子(福田彩乃)がこのまま老後まで1人で生きていくなんて嫌だ、と話しているのを聞いて、自分の老後について考えてもみなかったことに気づく。そこへ、瑞希(伊藤歩)がやってきた。パリに行くためのホテルの手配をしに来た、と言う。さらに、瑞希は純平(玉木宏)と一緒にパリに行くのだ、と千春に告げる。その夜、千春は春子(天海祐希)のマンションで、「おひとり様で生きる技術」という本を読む。そこへ春子が帰宅、老後に向けた準備をしているのか聞くと、春子は保険や貯蓄など、将来のことをちゃ"&amp;"んと考えていた。  　千春が実家に帰ると、妹の千夏(中村ゆり)の夫、陽一郎(青柳翔)が、生まれてくる子どものためのベビーベッドを買ってきた。買ったものの置く場所に困っている様子の家族に、つい「自分の部屋を使えば?」と提案してしまい、ますます居場所がなくなる千春。  　千春はいよいよ将来を見据えて準備しようと、マンションの内覧会に行くことに。付き添ってもらおうと思っていた春子が別の用事があり、不安ながらも1人で行こうとしていた時、純平から連絡が入り、「よかったらつきあいます」と言ってくれた。春子が気を利かせ"&amp;"てくれたのだ。2人で見に行くが、マンションを買うには審査がある、と言われ、契約社員の千春は・・・。その夜、千春が1人でマンションにいると、樋口(石橋凌)が春子を訪ねてきた。菅野美穂　  天海祐希　  玉木宏　    小市慢太郎　  三吉彩花　  伊藤歩　  福田彩乃  　・　  石橋凌  　・　  市毛良枝　  梶芽衣子　    ほか")</f>
        <v>千春(菅野美穂)は職場の旅行代理店で、真里子(福田彩乃)がこのまま老後まで1人で生きていくなんて嫌だ、と話しているのを聞いて、自分の老後について考えてもみなかったことに気づく。そこへ、瑞希(伊藤歩)がやってきた。パリに行くためのホテルの手配をしに来た、と言う。さらに、瑞希は純平(玉木宏)と一緒にパリに行くのだ、と千春に告げる。その夜、千春は春子(天海祐希)のマンションで、「おひとり様で生きる技術」という本を読む。そこへ春子が帰宅、老後に向けた準備をしているのか聞くと、春子は保険や貯蓄など、将来のことをちゃんと考えていた。  　千春が実家に帰ると、妹の千夏(中村ゆり)の夫、陽一郎(青柳翔)が、生まれてくる子どものためのベビーベッドを買ってきた。買ったものの置く場所に困っている様子の家族に、つい「自分の部屋を使えば?」と提案してしまい、ますます居場所がなくなる千春。  　千春はいよいよ将来を見据えて準備しようと、マンションの内覧会に行くことに。付き添ってもらおうと思っていた春子が別の用事があり、不安ながらも1人で行こうとしていた時、純平から連絡が入り、「よかったらつきあいます」と言ってくれた。春子が気を利かせてくれたのだ。2人で見に行くが、マンションを買うには審査がある、と言われ、契約社員の千春は・・・。その夜、千春が1人でマンションにいると、樋口(石橋凌)が春子を訪ねてきた。菅野美穂　  天海祐希　  玉木宏　    小市慢太郎　  三吉彩花　  伊藤歩　  福田彩乃  　・　  石橋凌  　・　  市毛良枝　  梶芽衣子　    ほか</v>
      </c>
      <c r="N1129" s="2"/>
      <c r="O1129" s="2"/>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row>
    <row r="1130" ht="204.75" customHeight="1">
      <c r="A1130" s="1">
        <v>3599.0</v>
      </c>
      <c r="B1130" s="2" t="s">
        <v>3605</v>
      </c>
      <c r="C1130" s="2">
        <f>IFERROR(__xludf.DUMMYFUNCTION("split(B1130,""_"")"),1210.0)</f>
        <v>1210</v>
      </c>
      <c r="D1130" s="2" t="str">
        <f>IFERROR(__xludf.DUMMYFUNCTION("""COMPUTED_VALUE"""),"CX")</f>
        <v>CX</v>
      </c>
      <c r="E1130" s="2" t="str">
        <f>IFERROR(__xludf.DUMMYFUNCTION("""COMPUTED_VALUE"""),"木22")</f>
        <v>木22</v>
      </c>
      <c r="F1130" s="2" t="s">
        <v>3606</v>
      </c>
      <c r="G1130" s="2" t="s">
        <v>3622</v>
      </c>
      <c r="H1130" s="1">
        <v>8.0</v>
      </c>
      <c r="I1130" s="1" t="s">
        <v>29</v>
      </c>
      <c r="J1130" s="1" t="s">
        <v>86</v>
      </c>
      <c r="K1130" s="2" t="s">
        <v>3623</v>
      </c>
      <c r="L1130" s="2" t="s">
        <v>3609</v>
      </c>
      <c r="M1130" s="2" t="str">
        <f>IFERROR(__xludf.DUMMYFUNCTION("split(split(K1130,""【"",false),""公式LINE"",false)"),"千春(菅野美穂)の職場の旅行代理店に、本社からのエリート社員・高原(徳重聡)が配属されてきた。店長から高原のサポート役を頼まれる千春。  　元上司の樋口(石橋凌)から、独立して事務所を立ち上げることにしたので、ついてきてほしい、妻とも別れ、残りの人生を一緒に生きたい、と言われていた春子(天海祐希)は、樋口にある答えを出す。  　瑞希(伊藤歩)からパリ行きの航空券を渡された純平(玉木宏)・・・。　千春は、高原から新しいツアーの企画を一緒に考えて欲しい、と頼まれ、会社で意見を出し合う2人。夜までかかってしまい"&amp;"、高原は千春を夕食に誘う。千春に率直な意見を聞いてくる高原と仕事をしていくうち、千春は今まで感じたことのない仕事へのやりがいも感じ始める。  　春子が勤めるメゾン・フローラルに本社のナチュラルガーデナーの副部長の小林(高杉亘)がやってきた。会社を辞めることになった樋口の後任だという。樋口からの引き継ぎで、春子にデザイン部への復帰をもちかける小林に春子は・・・。  　千春がツアーの企画書を書き上げ、高原を通して店長に提出すると、店長の反応も上々だ。しかし、店長は新企画のプロジェクトメンバーとして、高原のサブ"&amp;"には森田(入江甚儀)はどうかと提案する。菅野美穂　  天海祐希　  玉木宏　    小市慢太郎　  三吉彩花　  伊藤歩　  福田彩乃　  徳重聡  　・　  石橋凌  　・　  市毛良枝　  梶芽衣子　    ほか")</f>
        <v>千春(菅野美穂)の職場の旅行代理店に、本社からのエリート社員・高原(徳重聡)が配属されてきた。店長から高原のサポート役を頼まれる千春。  　元上司の樋口(石橋凌)から、独立して事務所を立ち上げることにしたので、ついてきてほしい、妻とも別れ、残りの人生を一緒に生きたい、と言われていた春子(天海祐希)は、樋口にある答えを出す。  　瑞希(伊藤歩)からパリ行きの航空券を渡された純平(玉木宏)・・・。　千春は、高原から新しいツアーの企画を一緒に考えて欲しい、と頼まれ、会社で意見を出し合う2人。夜までかかってしまい、高原は千春を夕食に誘う。千春に率直な意見を聞いてくる高原と仕事をしていくうち、千春は今まで感じたことのない仕事へのやりがいも感じ始める。  　春子が勤めるメゾン・フローラルに本社のナチュラルガーデナーの副部長の小林(高杉亘)がやってきた。会社を辞めることになった樋口の後任だという。樋口からの引き継ぎで、春子にデザイン部への復帰をもちかける小林に春子は・・・。  　千春がツアーの企画書を書き上げ、高原を通して店長に提出すると、店長の反応も上々だ。しかし、店長は新企画のプロジェクトメンバーとして、高原のサブには森田(入江甚儀)はどうかと提案する。菅野美穂　  天海祐希　  玉木宏　    小市慢太郎　  三吉彩花　  伊藤歩　  福田彩乃　  徳重聡  　・　  石橋凌  　・　  市毛良枝　  梶芽衣子　    ほか</v>
      </c>
      <c r="N1130" s="2"/>
      <c r="O1130" s="2"/>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row>
    <row r="1131" ht="204.75" customHeight="1">
      <c r="A1131" s="1">
        <v>3600.0</v>
      </c>
      <c r="B1131" s="2" t="s">
        <v>3605</v>
      </c>
      <c r="C1131" s="2">
        <f>IFERROR(__xludf.DUMMYFUNCTION("split(B1131,""_"")"),1210.0)</f>
        <v>1210</v>
      </c>
      <c r="D1131" s="2" t="str">
        <f>IFERROR(__xludf.DUMMYFUNCTION("""COMPUTED_VALUE"""),"CX")</f>
        <v>CX</v>
      </c>
      <c r="E1131" s="2" t="str">
        <f>IFERROR(__xludf.DUMMYFUNCTION("""COMPUTED_VALUE"""),"木22")</f>
        <v>木22</v>
      </c>
      <c r="F1131" s="2" t="s">
        <v>3606</v>
      </c>
      <c r="G1131" s="2" t="s">
        <v>3624</v>
      </c>
      <c r="H1131" s="1">
        <v>9.0</v>
      </c>
      <c r="I1131" s="1" t="s">
        <v>33</v>
      </c>
      <c r="J1131" s="1" t="s">
        <v>86</v>
      </c>
      <c r="K1131" s="2" t="s">
        <v>3625</v>
      </c>
      <c r="L1131" s="2" t="s">
        <v>3609</v>
      </c>
      <c r="M1131" s="2" t="str">
        <f>IFERROR(__xludf.DUMMYFUNCTION("split(split(K1131,""【"",false),""公式LINE"",false)"),"田中千春(菅野美穂)は、本社から来たエリート社員の高原誠司(徳重聡)にいきなりキスされ、交際を申し込まれる。帰宅した千春は、桐島春子(天海祐希)に高原のことを報告した。春子から、告白されてどう思ったのか、と問われた千春は、いまの自分を好きになってくれる人もいることを知ってホッとした、と答えた。  　あくる日、出社した千春は、店長(佐伯新)から来月の契約更新はできないと通告される。それを知った高原は大切な人のためならどんなことでも力になる、と千春に申し出る。  　明楓大学教授の谷川修司(小市慢太郎)から、実"&amp;"家の庭のデザインを頼まれていた春子は、それを個人的に引き受けることにする。谷川に電話して会う約束をする春子。谷川の教え子でもある佐倉麻衣(三吉彩花)は、ふたりが会うことを知り、デートだと言って春子をからかった。  　もう一度絵を描き始めた工藤純平(玉木宏)は、後輩の河野瑞希(伊藤歩)から呼び出され、千春が働いている旅行代理店を訪れる。そのとき、純平たちに気づかなかった鈴村真里子(福田彩乃)が、高原の名前を出し、「いよいよ結婚退職?」と千春に話しかけた。それを聞いていた純平は、素敵な彼氏だ、と言って千春を祝"&amp;"福し…。  　春子は、谷川と会うため、資料とポインセチアの花束を持って約束したカフェを訪れる。しかし、約束の時間を過ぎても谷川は現れず、携帯電話にも出なかった…。菅野美穂　  天海祐希　  玉木宏　    小市慢太郎　  三吉彩花　  伊藤歩　  福田彩乃　  徳重聡  　・　  石橋凌　  　・　  市毛良枝　  梶芽衣子　    ほか")</f>
        <v>田中千春(菅野美穂)は、本社から来たエリート社員の高原誠司(徳重聡)にいきなりキスされ、交際を申し込まれる。帰宅した千春は、桐島春子(天海祐希)に高原のことを報告した。春子から、告白されてどう思ったのか、と問われた千春は、いまの自分を好きになってくれる人もいることを知ってホッとした、と答えた。  　あくる日、出社した千春は、店長(佐伯新)から来月の契約更新はできないと通告される。それを知った高原は大切な人のためならどんなことでも力になる、と千春に申し出る。  　明楓大学教授の谷川修司(小市慢太郎)から、実家の庭のデザインを頼まれていた春子は、それを個人的に引き受けることにする。谷川に電話して会う約束をする春子。谷川の教え子でもある佐倉麻衣(三吉彩花)は、ふたりが会うことを知り、デートだと言って春子をからかった。  　もう一度絵を描き始めた工藤純平(玉木宏)は、後輩の河野瑞希(伊藤歩)から呼び出され、千春が働いている旅行代理店を訪れる。そのとき、純平たちに気づかなかった鈴村真里子(福田彩乃)が、高原の名前を出し、「いよいよ結婚退職?」と千春に話しかけた。それを聞いていた純平は、素敵な彼氏だ、と言って千春を祝福し…。  　春子は、谷川と会うため、資料とポインセチアの花束を持って約束したカフェを訪れる。しかし、約束の時間を過ぎても谷川は現れず、携帯電話にも出なかった…。菅野美穂　  天海祐希　  玉木宏　    小市慢太郎　  三吉彩花　  伊藤歩　  福田彩乃　  徳重聡  　・　  石橋凌　  　・　  市毛良枝　  梶芽衣子　    ほか</v>
      </c>
      <c r="N1131" s="2"/>
      <c r="O1131" s="2"/>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row>
    <row r="1132" ht="204.75" customHeight="1">
      <c r="A1132" s="1">
        <v>3601.0</v>
      </c>
      <c r="B1132" s="2" t="s">
        <v>3605</v>
      </c>
      <c r="C1132" s="2">
        <f>IFERROR(__xludf.DUMMYFUNCTION("split(B1132,""_"")"),1210.0)</f>
        <v>1210</v>
      </c>
      <c r="D1132" s="2" t="str">
        <f>IFERROR(__xludf.DUMMYFUNCTION("""COMPUTED_VALUE"""),"CX")</f>
        <v>CX</v>
      </c>
      <c r="E1132" s="2" t="str">
        <f>IFERROR(__xludf.DUMMYFUNCTION("""COMPUTED_VALUE"""),"木22")</f>
        <v>木22</v>
      </c>
      <c r="F1132" s="2" t="s">
        <v>3606</v>
      </c>
      <c r="G1132" s="2" t="s">
        <v>3626</v>
      </c>
      <c r="H1132" s="1">
        <v>10.0</v>
      </c>
      <c r="I1132" s="1" t="s">
        <v>37</v>
      </c>
      <c r="J1132" s="1" t="s">
        <v>86</v>
      </c>
      <c r="K1132" s="2" t="s">
        <v>3627</v>
      </c>
      <c r="L1132" s="2" t="s">
        <v>3609</v>
      </c>
      <c r="M1132" s="2" t="str">
        <f>IFERROR(__xludf.DUMMYFUNCTION("split(split(K1132,""【"",false),""公式LINE"",false)"),"田中千春(菅野美穂)は、桐島春子(天海祐希)とケンカしてマンションを出た。そこに、高原誠司(徳重聡)から電話が入った。高原と会い、そのまま彼と一夜をともにする千春。高原は、結婚を前提に付き合ってほしい、と自分の気持ちを千春に伝える。  　あくる朝、千春が高原に送ってもらって実家に帰ると、母親の紀子(市毛良枝)がちょうど玄関先に出てきた。高原は、千春と交際していることを紀子に打ち明け、改めて挨拶に来る旨を伝える。  　工藤純平(玉木宏)は、後輩の河野瑞希(伊藤歩)をアパートに泊めた。純平が朝食を買いに行った"&amp;"際、瑞希は、彼が描いた野ばらの絵を見つける。そこで瑞希は、キャンバスの裏に千春が書いたメモがあることに気づく。  　メゾン・フローラルでは、明日の定休日に純平の送別会を開くことになった。提案者の佐倉麻衣(三吉彩花)は、春子のマンションに集まって千春も交えて送別会をやりたいという。春子は、千春がマンションを出てしまったとは言えず、仕事が忙しいからいまは実家に戻っている、と嘘をつく。  　夕方、旅行代理店を訪れた麻衣は、千春を純平の送別会に誘う。高原と約束していたこともあって、返事に困る千春。それに気づいた高"&amp;"原は、予定をずらせばいいから送別会に行った方がいい、と千春に告げる。  　そんな折、体調がすぐれなかった春子は、病院を訪れるが…。菅野美穂　  天海祐希　  玉木宏　    小市慢太郎　  三吉彩花　  伊藤歩　  福田彩乃　  徳重聡  　・　  石橋凌  　・　  市毛良枝　  梶芽衣子　    ほか")</f>
        <v>田中千春(菅野美穂)は、桐島春子(天海祐希)とケンカしてマンションを出た。そこに、高原誠司(徳重聡)から電話が入った。高原と会い、そのまま彼と一夜をともにする千春。高原は、結婚を前提に付き合ってほしい、と自分の気持ちを千春に伝える。  　あくる朝、千春が高原に送ってもらって実家に帰ると、母親の紀子(市毛良枝)がちょうど玄関先に出てきた。高原は、千春と交際していることを紀子に打ち明け、改めて挨拶に来る旨を伝える。  　工藤純平(玉木宏)は、後輩の河野瑞希(伊藤歩)をアパートに泊めた。純平が朝食を買いに行った際、瑞希は、彼が描いた野ばらの絵を見つける。そこで瑞希は、キャンバスの裏に千春が書いたメモがあることに気づく。  　メゾン・フローラルでは、明日の定休日に純平の送別会を開くことになった。提案者の佐倉麻衣(三吉彩花)は、春子のマンションに集まって千春も交えて送別会をやりたいという。春子は、千春がマンションを出てしまったとは言えず、仕事が忙しいからいまは実家に戻っている、と嘘をつく。  　夕方、旅行代理店を訪れた麻衣は、千春を純平の送別会に誘う。高原と約束していたこともあって、返事に困る千春。それに気づいた高原は、予定をずらせばいいから送別会に行った方がいい、と千春に告げる。  　そんな折、体調がすぐれなかった春子は、病院を訪れるが…。菅野美穂　  天海祐希　  玉木宏　    小市慢太郎　  三吉彩花　  伊藤歩　  福田彩乃　  徳重聡  　・　  石橋凌  　・　  市毛良枝　  梶芽衣子　    ほか</v>
      </c>
      <c r="N1132" s="2"/>
      <c r="O1132" s="2"/>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row>
    <row r="1133" ht="204.75" customHeight="1">
      <c r="A1133" s="1">
        <v>3602.0</v>
      </c>
      <c r="B1133" s="2" t="s">
        <v>3605</v>
      </c>
      <c r="C1133" s="2">
        <f>IFERROR(__xludf.DUMMYFUNCTION("split(B1133,""_"")"),1210.0)</f>
        <v>1210</v>
      </c>
      <c r="D1133" s="2" t="str">
        <f>IFERROR(__xludf.DUMMYFUNCTION("""COMPUTED_VALUE"""),"CX")</f>
        <v>CX</v>
      </c>
      <c r="E1133" s="2" t="str">
        <f>IFERROR(__xludf.DUMMYFUNCTION("""COMPUTED_VALUE"""),"木22")</f>
        <v>木22</v>
      </c>
      <c r="F1133" s="2" t="s">
        <v>3606</v>
      </c>
      <c r="G1133" s="2" t="s">
        <v>3628</v>
      </c>
      <c r="H1133" s="1">
        <v>11.0</v>
      </c>
      <c r="I1133" s="1" t="s">
        <v>41</v>
      </c>
      <c r="J1133" s="1" t="s">
        <v>86</v>
      </c>
      <c r="K1133" s="2" t="s">
        <v>3629</v>
      </c>
      <c r="L1133" s="2" t="s">
        <v>3609</v>
      </c>
      <c r="M1133" s="2" t="str">
        <f>IFERROR(__xludf.DUMMYFUNCTION("split(split(K1133,""【"",false),""公式LINE"",false)"),"田中千春(菅野美穂)は、職場の上司の高原(徳重聡)から正式にプロポーズされた。  　桐島春子(天海祐希)は、先日母を亡くした谷川教授(小市慢太郎)から、残りの人生を一緒に過ごしてもらえないか?と言われるが、自分にはその自信はない、と答えた。  　一方、工藤純平(玉木宏)は、河野瑞希(伊藤歩)と1週間後に一緒にパリに行く予定だったが、急に早まり、もう今夜旅立つ、と言う。そして、千春に渡してほしい、とスケッチブックを春子に託す純平。春子は、千春に電話し、純平がもう発ってしまうことを告げる。そして、将来の自分が"&amp;"後悔しないよう、素直になれ、と伝える。が、その時、春子の下腹部に激痛が襲い、その場に倒れてしまう・・・。  　千春はどんな道を選ぶのか?春子の病気は・・・?そして、純平は夢を追いかける道を選択するのか・・・?菅野美穂　  天海祐希　  玉木宏　    小市慢太郎　  三吉彩花　  伊藤歩　  福田彩乃　  徳重聡  　・　  石橋凌  　・　  市毛良枝　  梶芽衣子　    ほか")</f>
        <v>田中千春(菅野美穂)は、職場の上司の高原(徳重聡)から正式にプロポーズされた。  　桐島春子(天海祐希)は、先日母を亡くした谷川教授(小市慢太郎)から、残りの人生を一緒に過ごしてもらえないか?と言われるが、自分にはその自信はない、と答えた。  　一方、工藤純平(玉木宏)は、河野瑞希(伊藤歩)と1週間後に一緒にパリに行く予定だったが、急に早まり、もう今夜旅立つ、と言う。そして、千春に渡してほしい、とスケッチブックを春子に託す純平。春子は、千春に電話し、純平がもう発ってしまうことを告げる。そして、将来の自分が後悔しないよう、素直になれ、と伝える。が、その時、春子の下腹部に激痛が襲い、その場に倒れてしまう・・・。  　千春はどんな道を選ぶのか?春子の病気は・・・?そして、純平は夢を追いかける道を選択するのか・・・?菅野美穂　  天海祐希　  玉木宏　    小市慢太郎　  三吉彩花　  伊藤歩　  福田彩乃　  徳重聡  　・　  石橋凌  　・　  市毛良枝　  梶芽衣子　    ほか</v>
      </c>
      <c r="N1133" s="2"/>
      <c r="O1133" s="2"/>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row>
    <row r="1134" ht="204.75" customHeight="1">
      <c r="A1134" s="1">
        <v>3623.0</v>
      </c>
      <c r="B1134" s="2" t="s">
        <v>3630</v>
      </c>
      <c r="C1134" s="2">
        <f>IFERROR(__xludf.DUMMYFUNCTION("split(B1134,""_"")"),1210.0)</f>
        <v>1210</v>
      </c>
      <c r="D1134" s="2" t="str">
        <f>IFERROR(__xludf.DUMMYFUNCTION("""COMPUTED_VALUE"""),"CX")</f>
        <v>CX</v>
      </c>
      <c r="E1134" s="2" t="str">
        <f>IFERROR(__xludf.DUMMYFUNCTION("""COMPUTED_VALUE"""),"土23")</f>
        <v>土23</v>
      </c>
      <c r="F1134" s="2" t="s">
        <v>3631</v>
      </c>
      <c r="G1134" s="2" t="s">
        <v>3632</v>
      </c>
      <c r="H1134" s="1">
        <v>1.0</v>
      </c>
      <c r="I1134" s="1" t="s">
        <v>3</v>
      </c>
      <c r="J1134" s="1" t="s">
        <v>1435</v>
      </c>
      <c r="K1134" s="4" t="s">
        <v>3633</v>
      </c>
      <c r="L1134" s="2" t="s">
        <v>3634</v>
      </c>
      <c r="M1134" s="2" t="str">
        <f>IFERROR(__xludf.DUMMYFUNCTION("split(split(K1134,""春山杏子:　"",false),""公式LINE"",false)"),"県立橘第一高校。通称、一高。学区で一番の進学校として、名高い名門県立高校だ。新任教師の春山杏子(長澤まさみ)は、彼女にとって初めての入試を数日後に控えていた。入試を目前に校内は殺気立っている。  　入試会議のアナウンスが流れ、杏子は会議室へと向かった。入試部長の荻野正夫(斉木しげる)により、入試の全体的な流れが説明されていく。杏子は水野文昭(阪田マサノブ)と村井祐志(篠田光亮)と3人1組となり、試験会場2の試験監督を担当することになった。  　入試会議が終わり、杏子は滝本みどり(南沢奈央)に音楽室に呼び出"&amp;"された。みどりが呼び出したのは、元旅行会社勤務だった杏子に予約が困難だというリゾートホテル「インディゴ」の予約を取ってもらうお願いをするためだった。入試終わりに彼氏と一緒に旅行をする予定なのだ。その彼氏は一高関係者だという。杏子は誰がみどりの彼氏なのか気になりながらも、かつての同僚に「インディゴ」の予約を頼んだ。  　5時になり、英語科準備室で英語教師たちが集まり教科会議が始まった。英語教師の松島崇史(羽場裕一)は、息子が一高受験生のため、今年の採点処理は行わない。松島を信頼している小西俊也(徳山秀典)は"&amp;"松島がいないことに不安がるのだが、松島は「今年は英語科のホープ、春山先生がいるからね」と不安がる小西をたしなめる。期待を寄せられた杏子は「頑張ります!」と、入試にますます気合いを入れ…")</f>
        <v>県立橘第一高校。通称、一高。学区で一番の進学校として、名高い名門県立高校だ。新任教師の春山杏子(長澤まさみ)は、彼女にとって初めての入試を数日後に控えていた。入試を目前に校内は殺気立っている。  　入試会議のアナウンスが流れ、杏子は会議室へと向かった。入試部長の荻野正夫(斉木しげる)により、入試の全体的な流れが説明されていく。杏子は水野文昭(阪田マサノブ)と村井祐志(篠田光亮)と3人1組となり、試験会場2の試験監督を担当することになった。  　入試会議が終わり、杏子は滝本みどり(南沢奈央)に音楽室に呼び出された。みどりが呼び出したのは、元旅行会社勤務だった杏子に予約が困難だというリゾートホテル「インディゴ」の予約を取ってもらうお願いをするためだった。入試終わりに彼氏と一緒に旅行をする予定なのだ。その彼氏は一高関係者だという。杏子は誰がみどりの彼氏なのか気になりながらも、かつての同僚に「インディゴ」の予約を頼んだ。  　5時になり、英語科準備室で英語教師たちが集まり教科会議が始まった。英語教師の松島崇史(羽場裕一)は、息子が一高受験生のため、今年の採点処理は行わない。松島を信頼している小西俊也(徳山秀典)は松島がいないことに不安がるのだが、松島は「今年は英語科のホープ、春山先生がいるからね」と不安がる小西をたしなめる。期待を寄せられた杏子は「頑張ります!」と、入試にますます気合いを入れ…</v>
      </c>
      <c r="N1134" s="2"/>
      <c r="O1134" s="2"/>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row>
    <row r="1135" ht="204.75" customHeight="1">
      <c r="A1135" s="1">
        <v>3624.0</v>
      </c>
      <c r="B1135" s="2" t="s">
        <v>3630</v>
      </c>
      <c r="C1135" s="2">
        <f>IFERROR(__xludf.DUMMYFUNCTION("split(B1135,""_"")"),1210.0)</f>
        <v>1210</v>
      </c>
      <c r="D1135" s="2" t="str">
        <f>IFERROR(__xludf.DUMMYFUNCTION("""COMPUTED_VALUE"""),"CX")</f>
        <v>CX</v>
      </c>
      <c r="E1135" s="2" t="str">
        <f>IFERROR(__xludf.DUMMYFUNCTION("""COMPUTED_VALUE"""),"土23")</f>
        <v>土23</v>
      </c>
      <c r="F1135" s="2" t="s">
        <v>3631</v>
      </c>
      <c r="G1135" s="2" t="s">
        <v>3635</v>
      </c>
      <c r="H1135" s="1">
        <v>2.0</v>
      </c>
      <c r="I1135" s="1" t="s">
        <v>7</v>
      </c>
      <c r="J1135" s="1" t="s">
        <v>2429</v>
      </c>
      <c r="K1135" s="2" t="s">
        <v>3636</v>
      </c>
      <c r="L1135" s="2" t="s">
        <v>3637</v>
      </c>
      <c r="M1135" s="2" t="str">
        <f>IFERROR(__xludf.DUMMYFUNCTION("split(split(K1135,""春山杏子:　"",false),""公式LINE"",false)"),"入試を明日に控え、教師たちは準備に忙しく取りかかっている。春山杏子(長澤まさみ)は、水野文昭(阪田マサノブ)と村井祐志(篠田光亮)と掃除をするため担当の試験会場となる2年B組の教室へと向かった。杏子たちが教室に入ると黒板には「入試をぶっつぶす!」と書かれた貼り紙があり、3人は驚く。そして他の教室にも「入試をぶっつぶす!」と書かれた貼り紙がはられていることがわかった。貼り紙を前に、教師たちはざわつき取り乱す者も現れるが、冷静沈着な水野が教師たちを落ち着かせ、掃除を始めることになった。  　再び教師たちが掃除"&amp;"を始めると、2年A組の黒板の上から「杏子LOVE」と書かれたラブレターが、2年B組の黒板の上からは、坂本多恵子(高橋ひとみ)の携帯電話が見つかった。坂本の携帯を誰が何のために、黒板の上に隠したのか、教師たちは推測し始める。坂本は、2年B組の生徒・石川衣里奈(山崎紘菜)が授業中に携帯を開いていたため彼女の携帯を取り上げたことがあり、そのことについて恨みを持っている衣里奈が自分の携帯を隠したのだと疑い・・・。")</f>
        <v>入試を明日に控え、教師たちは準備に忙しく取りかかっている。春山杏子(長澤まさみ)は、水野文昭(阪田マサノブ)と村井祐志(篠田光亮)と掃除をするため担当の試験会場となる2年B組の教室へと向かった。杏子たちが教室に入ると黒板には「入試をぶっつぶす!」と書かれた貼り紙があり、3人は驚く。そして他の教室にも「入試をぶっつぶす!」と書かれた貼り紙がはられていることがわかった。貼り紙を前に、教師たちはざわつき取り乱す者も現れるが、冷静沈着な水野が教師たちを落ち着かせ、掃除を始めることになった。  　再び教師たちが掃除を始めると、2年A組の黒板の上から「杏子LOVE」と書かれたラブレターが、2年B組の黒板の上からは、坂本多恵子(高橋ひとみ)の携帯電話が見つかった。坂本の携帯を誰が何のために、黒板の上に隠したのか、教師たちは推測し始める。坂本は、2年B組の生徒・石川衣里奈(山崎紘菜)が授業中に携帯を開いていたため彼女の携帯を取り上げたことがあり、そのことについて恨みを持っている衣里奈が自分の携帯を隠したのだと疑い・・・。</v>
      </c>
      <c r="N1135" s="2"/>
      <c r="O1135" s="2"/>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row>
    <row r="1136" ht="204.75" customHeight="1">
      <c r="A1136" s="1">
        <v>3625.0</v>
      </c>
      <c r="B1136" s="2" t="s">
        <v>3630</v>
      </c>
      <c r="C1136" s="2">
        <f>IFERROR(__xludf.DUMMYFUNCTION("split(B1136,""_"")"),1210.0)</f>
        <v>1210</v>
      </c>
      <c r="D1136" s="2" t="str">
        <f>IFERROR(__xludf.DUMMYFUNCTION("""COMPUTED_VALUE"""),"CX")</f>
        <v>CX</v>
      </c>
      <c r="E1136" s="2" t="str">
        <f>IFERROR(__xludf.DUMMYFUNCTION("""COMPUTED_VALUE"""),"土23")</f>
        <v>土23</v>
      </c>
      <c r="F1136" s="2" t="s">
        <v>3631</v>
      </c>
      <c r="G1136" s="2" t="s">
        <v>3638</v>
      </c>
      <c r="H1136" s="1">
        <v>3.0</v>
      </c>
      <c r="I1136" s="1" t="s">
        <v>10</v>
      </c>
      <c r="J1136" s="1" t="s">
        <v>1435</v>
      </c>
      <c r="K1136" s="2" t="s">
        <v>3639</v>
      </c>
      <c r="L1136" s="2" t="s">
        <v>3640</v>
      </c>
      <c r="M1136" s="2" t="str">
        <f>IFERROR(__xludf.DUMMYFUNCTION("split(split(K1136,""春山杏子:　"",false),""公式LINE"",false)"),"ついに入試当日を迎えた一高。受験生が続々と校内へと入ってくる。春山杏子(長澤まさみ)や相田清孝(中尾明慶)、坂本多恵子(高橋ひとみ)は、体育館で受験生を番号順に並ばせている。体育館には、余裕の表情で周囲を見渡す田辺淳一(柾木玲弥)、メールを打つ芝田麻美(美山加恋)、顔色があまり良くない沢村翔太(清水尋也)、翔太をちらちらと見ている松島良隆(高杉真宙)など、さまざまな生徒たちの姿があった。　一方試験会場となる2年B組の教室では、水野文昭(阪田マサノブ)と村井祐志(篠田光亮)が入試時の注意事項の紙を黒板にはっ"&amp;"たり、携帯電話回収袋を用意したりと、準備作業をしている。今回の入試から用意された携帯電話回収袋を見て、水野は「もっと早くからこうしておけばよかったんだ」とつぶやく。毎年、入試中の携帯電話には悩まされていたからだ。  　8時30分になり、杏子らは受験生たちを試験会場へと誘導する。滝本みどり(南沢奈央)の案内により、食堂で待機していた保護者たちは、試験会場へ向かう受験生たちが食堂前を通ると、それぞれの子どもたちに思い思いの言葉を投げかけ応援した。  　受験生たちは受験番号に準じ、それぞれの試験会場へと入り、席"&amp;"に着く。2年B組の教室では、水野が受験生たちに入試に関する注意事項の説明を始めた…。")</f>
        <v>ついに入試当日を迎えた一高。受験生が続々と校内へと入ってくる。春山杏子(長澤まさみ)や相田清孝(中尾明慶)、坂本多恵子(高橋ひとみ)は、体育館で受験生を番号順に並ばせている。体育館には、余裕の表情で周囲を見渡す田辺淳一(柾木玲弥)、メールを打つ芝田麻美(美山加恋)、顔色があまり良くない沢村翔太(清水尋也)、翔太をちらちらと見ている松島良隆(高杉真宙)など、さまざまな生徒たちの姿があった。　一方試験会場となる2年B組の教室では、水野文昭(阪田マサノブ)と村井祐志(篠田光亮)が入試時の注意事項の紙を黒板にはったり、携帯電話回収袋を用意したりと、準備作業をしている。今回の入試から用意された携帯電話回収袋を見て、水野は「もっと早くからこうしておけばよかったんだ」とつぶやく。毎年、入試中の携帯電話には悩まされていたからだ。  　8時30分になり、杏子らは受験生たちを試験会場へと誘導する。滝本みどり(南沢奈央)の案内により、食堂で待機していた保護者たちは、試験会場へ向かう受験生たちが食堂前を通ると、それぞれの子どもたちに思い思いの言葉を投げかけ応援した。  　受験生たちは受験番号に準じ、それぞれの試験会場へと入り、席に着く。2年B組の教室では、水野が受験生たちに入試に関する注意事項の説明を始めた…。</v>
      </c>
      <c r="N1136" s="2"/>
      <c r="O1136" s="2"/>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row>
    <row r="1137" ht="204.75" customHeight="1">
      <c r="A1137" s="1">
        <v>3626.0</v>
      </c>
      <c r="B1137" s="2" t="s">
        <v>3630</v>
      </c>
      <c r="C1137" s="2">
        <f>IFERROR(__xludf.DUMMYFUNCTION("split(B1137,""_"")"),1210.0)</f>
        <v>1210</v>
      </c>
      <c r="D1137" s="2" t="str">
        <f>IFERROR(__xludf.DUMMYFUNCTION("""COMPUTED_VALUE"""),"CX")</f>
        <v>CX</v>
      </c>
      <c r="E1137" s="2" t="str">
        <f>IFERROR(__xludf.DUMMYFUNCTION("""COMPUTED_VALUE"""),"土23")</f>
        <v>土23</v>
      </c>
      <c r="F1137" s="2" t="s">
        <v>3631</v>
      </c>
      <c r="G1137" s="2" t="s">
        <v>3641</v>
      </c>
      <c r="H1137" s="1">
        <v>4.0</v>
      </c>
      <c r="I1137" s="1" t="s">
        <v>14</v>
      </c>
      <c r="J1137" s="1" t="s">
        <v>2429</v>
      </c>
      <c r="K1137" s="2" t="s">
        <v>3642</v>
      </c>
      <c r="L1137" s="2" t="s">
        <v>3643</v>
      </c>
      <c r="M1137" s="2" t="str">
        <f>IFERROR(__xludf.DUMMYFUNCTION("split(split(K1137,""春山杏子:　"",false),""公式LINE"",false)"),"昼休みになり、春山杏子(長澤まさみ)ら教師たちは職員室に集まった。滝本みどり(南沢奈央)が発見した「入試をぶっつぶせ!」という予告や試験問題が書き込まれたサイトについて、宮下輝明(小松利昌)は、いろいろと推測をしている。そこへ荻野正夫(斉木しげる)と教頭の上条勝(清水一彰)が現れ校長からの伝言として、サイトに関しては一高の入試とは無関係と判断した旨を伝える。教頭のその発言に教師たちは不満に思った。　教頭たちが去り、相田清孝(中尾明慶)が弁当を食べていると携帯にメールが届いた。メールを見た相田は慌てて職員室"&amp;"を飛び出す。相田が向かったのはバレー部部室。待ち受けていたのは、中学校のセーラー服を着た石川衣里奈(山崎紘菜)だった。今日が誕生日の衣里奈は、相田に会いたくて、受験生のふりをして学校に忍び込んだのだ。　そして午後になり、理科の試験が始まった。職員室待機担当のみどりが職員室に向かうと、そこには見慣れない男の姿があり・・・。")</f>
        <v>昼休みになり、春山杏子(長澤まさみ)ら教師たちは職員室に集まった。滝本みどり(南沢奈央)が発見した「入試をぶっつぶせ!」という予告や試験問題が書き込まれたサイトについて、宮下輝明(小松利昌)は、いろいろと推測をしている。そこへ荻野正夫(斉木しげる)と教頭の上条勝(清水一彰)が現れ校長からの伝言として、サイトに関しては一高の入試とは無関係と判断した旨を伝える。教頭のその発言に教師たちは不満に思った。　教頭たちが去り、相田清孝(中尾明慶)が弁当を食べていると携帯にメールが届いた。メールを見た相田は慌てて職員室を飛び出す。相田が向かったのはバレー部部室。待ち受けていたのは、中学校のセーラー服を着た石川衣里奈(山崎紘菜)だった。今日が誕生日の衣里奈は、相田に会いたくて、受験生のふりをして学校に忍び込んだのだ。　そして午後になり、理科の試験が始まった。職員室待機担当のみどりが職員室に向かうと、そこには見慣れない男の姿があり・・・。</v>
      </c>
      <c r="N1137" s="2"/>
      <c r="O1137" s="2"/>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row>
    <row r="1138" ht="204.75" customHeight="1">
      <c r="A1138" s="1">
        <v>3627.0</v>
      </c>
      <c r="B1138" s="2" t="s">
        <v>3630</v>
      </c>
      <c r="C1138" s="2">
        <f>IFERROR(__xludf.DUMMYFUNCTION("split(B1138,""_"")"),1210.0)</f>
        <v>1210</v>
      </c>
      <c r="D1138" s="2" t="str">
        <f>IFERROR(__xludf.DUMMYFUNCTION("""COMPUTED_VALUE"""),"CX")</f>
        <v>CX</v>
      </c>
      <c r="E1138" s="2" t="str">
        <f>IFERROR(__xludf.DUMMYFUNCTION("""COMPUTED_VALUE"""),"土23")</f>
        <v>土23</v>
      </c>
      <c r="F1138" s="2" t="s">
        <v>3631</v>
      </c>
      <c r="G1138" s="2" t="s">
        <v>3644</v>
      </c>
      <c r="H1138" s="1">
        <v>5.0</v>
      </c>
      <c r="I1138" s="1" t="s">
        <v>17</v>
      </c>
      <c r="J1138" s="1" t="s">
        <v>1435</v>
      </c>
      <c r="K1138" s="2" t="s">
        <v>3645</v>
      </c>
      <c r="L1138" s="2" t="s">
        <v>3646</v>
      </c>
      <c r="M1138" s="2" t="str">
        <f>IFERROR(__xludf.DUMMYFUNCTION("split(split(K1138,""春山杏子:　"",false),""公式LINE"",false)"),"ついに入試が終了。春山杏子(長澤まさみ)ら教師たちは後片付けを始める。受験中に携帯電話が鳴り、パニックを起こした受験生・芝田麻美(美山加恋)は受験妨害とみなされ失格を言い渡される。納得できない麻美の母、芝田昌子(生田智子)は応接室で校長・的場一郎(山本圭)、入試部長・荻野正夫(斉木しげる)、試験監督・水野文昭(阪田マサノブ)に対して猛抗議をする。そこに、受験妨害の被害者の親として抗議に来ていたはずの沢村幸造(入江雅人)も加わり、親たちは受験妨害が学校側の責任だと言い張る。学校側に落ち度はないと説明する荻野"&amp;"だが、麻美が受験した試験会場2の黒板に貼ってあった注意事項の張り紙には、他の教室に掲示してあった注意事項とは明らかに違う重大な欠落があった。証拠を盾に、学校側に責任を取るようにもとめる沢村と昌子。的場は、どのような結論を出すのか、一同の視線は的場へ集中する。  　一方、採点を始めようとする教師たちの中、村井祐志(篠田光亮)は試験中に見つけた、ある物について口を開く…校舎は再び不穏な空気に包まれる。")</f>
        <v>ついに入試が終了。春山杏子(長澤まさみ)ら教師たちは後片付けを始める。受験中に携帯電話が鳴り、パニックを起こした受験生・芝田麻美(美山加恋)は受験妨害とみなされ失格を言い渡される。納得できない麻美の母、芝田昌子(生田智子)は応接室で校長・的場一郎(山本圭)、入試部長・荻野正夫(斉木しげる)、試験監督・水野文昭(阪田マサノブ)に対して猛抗議をする。そこに、受験妨害の被害者の親として抗議に来ていたはずの沢村幸造(入江雅人)も加わり、親たちは受験妨害が学校側の責任だと言い張る。学校側に落ち度はないと説明する荻野だが、麻美が受験した試験会場2の黒板に貼ってあった注意事項の張り紙には、他の教室に掲示してあった注意事項とは明らかに違う重大な欠落があった。証拠を盾に、学校側に責任を取るようにもとめる沢村と昌子。的場は、どのような結論を出すのか、一同の視線は的場へ集中する。  　一方、採点を始めようとする教師たちの中、村井祐志(篠田光亮)は試験中に見つけた、ある物について口を開く…校舎は再び不穏な空気に包まれる。</v>
      </c>
      <c r="N1138" s="2"/>
      <c r="O1138" s="2"/>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row>
    <row r="1139" ht="204.75" customHeight="1">
      <c r="A1139" s="1">
        <v>3628.0</v>
      </c>
      <c r="B1139" s="2" t="s">
        <v>3630</v>
      </c>
      <c r="C1139" s="2">
        <f>IFERROR(__xludf.DUMMYFUNCTION("split(B1139,""_"")"),1210.0)</f>
        <v>1210</v>
      </c>
      <c r="D1139" s="2" t="str">
        <f>IFERROR(__xludf.DUMMYFUNCTION("""COMPUTED_VALUE"""),"CX")</f>
        <v>CX</v>
      </c>
      <c r="E1139" s="2" t="str">
        <f>IFERROR(__xludf.DUMMYFUNCTION("""COMPUTED_VALUE"""),"土23")</f>
        <v>土23</v>
      </c>
      <c r="F1139" s="2" t="s">
        <v>3631</v>
      </c>
      <c r="G1139" s="2" t="s">
        <v>3647</v>
      </c>
      <c r="H1139" s="1">
        <v>6.0</v>
      </c>
      <c r="I1139" s="1" t="s">
        <v>21</v>
      </c>
      <c r="J1139" s="1" t="s">
        <v>2429</v>
      </c>
      <c r="K1139" s="2" t="s">
        <v>3648</v>
      </c>
      <c r="L1139" s="2" t="s">
        <v>3649</v>
      </c>
      <c r="M1139" s="2" t="str">
        <f>IFERROR(__xludf.DUMMYFUNCTION("split(split(K1139,""春山杏子:　"",false),""公式LINE"",false)"),"教科ごとに担当に分かれ、教師たちによる試験の採点が始まった。英語の採点場となっている会議室では、春山杏子(長澤まさみ)ら5人の教師たちが採点をしている。すると、試験会場2の採点をしていた、宮下輝明(小松利昌)が答案用紙が1枚足りないと言い出す。確認のため杏子も答案用紙の枚数を数えるが、やはり1枚足りない。無くなっていたのは受験番号46の答案用紙だった。教科主任の坂本多恵子(高橋ひとみ)は自分の評価が下がるとイライラする。試験会場2を担当していた杏子は、英語の答案用紙を受験生たちに配布したとき、確かに受験生"&amp;"の人数分ぴったりの答案用紙があったはずだと言う。また、試験が終わり答案用紙を回収する時には、杏子は過呼吸を起こした芝田麻美(美山加恋)を保健室に連れていき不在、水野文昭(阪田マサノブ)も携帯電話の回収袋を取りに行っていて不在だったため、残っていた村井祐志(篠田光亮)が1人で答案用紙を回収していたことを思い出す。坂本は村井の回収ミスではないかと、頭を抱える。  　一方、校長室では的場一郎(山本圭)、上条勝(清水一彰)、荻野正夫(斉木しげる)が、一高の入試について書かれている掲示板を見ながら頭を抱えている。試"&amp;"験中に携帯電話が鳴った麻美が合格したら訴えるという書き込みが掲示板にあったからだ。3人は麻美の採点結果を不安に思いながら待ち続ける…。")</f>
        <v>教科ごとに担当に分かれ、教師たちによる試験の採点が始まった。英語の採点場となっている会議室では、春山杏子(長澤まさみ)ら5人の教師たちが採点をしている。すると、試験会場2の採点をしていた、宮下輝明(小松利昌)が答案用紙が1枚足りないと言い出す。確認のため杏子も答案用紙の枚数を数えるが、やはり1枚足りない。無くなっていたのは受験番号46の答案用紙だった。教科主任の坂本多恵子(高橋ひとみ)は自分の評価が下がるとイライラする。試験会場2を担当していた杏子は、英語の答案用紙を受験生たちに配布したとき、確かに受験生の人数分ぴったりの答案用紙があったはずだと言う。また、試験が終わり答案用紙を回収する時には、杏子は過呼吸を起こした芝田麻美(美山加恋)を保健室に連れていき不在、水野文昭(阪田マサノブ)も携帯電話の回収袋を取りに行っていて不在だったため、残っていた村井祐志(篠田光亮)が1人で答案用紙を回収していたことを思い出す。坂本は村井の回収ミスではないかと、頭を抱える。  　一方、校長室では的場一郎(山本圭)、上条勝(清水一彰)、荻野正夫(斉木しげる)が、一高の入試について書かれている掲示板を見ながら頭を抱えている。試験中に携帯電話が鳴った麻美が合格したら訴えるという書き込みが掲示板にあったからだ。3人は麻美の採点結果を不安に思いながら待ち続ける…。</v>
      </c>
      <c r="N1139" s="2"/>
      <c r="O1139" s="2"/>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row>
    <row r="1140" ht="204.75" customHeight="1">
      <c r="A1140" s="1">
        <v>3629.0</v>
      </c>
      <c r="B1140" s="2" t="s">
        <v>3630</v>
      </c>
      <c r="C1140" s="2">
        <f>IFERROR(__xludf.DUMMYFUNCTION("split(B1140,""_"")"),1210.0)</f>
        <v>1210</v>
      </c>
      <c r="D1140" s="2" t="str">
        <f>IFERROR(__xludf.DUMMYFUNCTION("""COMPUTED_VALUE"""),"CX")</f>
        <v>CX</v>
      </c>
      <c r="E1140" s="2" t="str">
        <f>IFERROR(__xludf.DUMMYFUNCTION("""COMPUTED_VALUE"""),"土23")</f>
        <v>土23</v>
      </c>
      <c r="F1140" s="2" t="s">
        <v>3631</v>
      </c>
      <c r="G1140" s="2" t="s">
        <v>3650</v>
      </c>
      <c r="H1140" s="1">
        <v>7.0</v>
      </c>
      <c r="I1140" s="1" t="s">
        <v>25</v>
      </c>
      <c r="J1140" s="1" t="s">
        <v>2429</v>
      </c>
      <c r="K1140" s="2" t="s">
        <v>3651</v>
      </c>
      <c r="L1140" s="2" t="s">
        <v>3652</v>
      </c>
      <c r="M1140" s="2" t="str">
        <f>IFERROR(__xludf.DUMMYFUNCTION("split(split(K1140,""春山杏子:　"",false),""公式LINE"",false)"),"春山杏子(長澤まさみ)と坂本多恵子(高橋ひとみ)は、試験会場2の英語の答案用紙が1枚足りないことを報告するため、校長室を訪ねた。校長の的場一郎(山本圭)は外部に漏れることを気にし、このことを知っている英語の採点チームと試験会場2を担当した教師たちで、行方不明の答案用紙を探すよう指示する。さらに荻野正夫(斉木しげる)は、試験会場2の英語の答案用紙にかかわった人たちから1人ずつ事情聴取してはどうかと提案した。  　荻野による事情聴取が、1人ずつ順番に始まった。最初に荻野に呼び出されたのは試験会場2を担当してい"&amp;"た村井祐志(篠田光亮)。そして、同じく試験会場2を担当した水野文昭(阪田マサノブ)、続いて村井から答案用紙を受け取った教頭の上条勝(清水一彰)。いずれも、答案用紙を数えたとき、1枚の不足もなくぴったり40枚あったと言う。荻野による事情聴取は、続く…。  　一方、杏子ら教師たちは事情聴取の順番が回ってくるまでの間、行方不明になった受験番号46の答案用紙を校内中探し始めたが、なかなか見つからない。そして杏子、村井、滝本みどり(南沢奈央)が玄関へ向い答案用紙を探し始めると、そこに…。")</f>
        <v>春山杏子(長澤まさみ)と坂本多恵子(高橋ひとみ)は、試験会場2の英語の答案用紙が1枚足りないことを報告するため、校長室を訪ねた。校長の的場一郎(山本圭)は外部に漏れることを気にし、このことを知っている英語の採点チームと試験会場2を担当した教師たちで、行方不明の答案用紙を探すよう指示する。さらに荻野正夫(斉木しげる)は、試験会場2の英語の答案用紙にかかわった人たちから1人ずつ事情聴取してはどうかと提案した。  　荻野による事情聴取が、1人ずつ順番に始まった。最初に荻野に呼び出されたのは試験会場2を担当していた村井祐志(篠田光亮)。そして、同じく試験会場2を担当した水野文昭(阪田マサノブ)、続いて村井から答案用紙を受け取った教頭の上条勝(清水一彰)。いずれも、答案用紙を数えたとき、1枚の不足もなくぴったり40枚あったと言う。荻野による事情聴取は、続く…。  　一方、杏子ら教師たちは事情聴取の順番が回ってくるまでの間、行方不明になった受験番号46の答案用紙を校内中探し始めたが、なかなか見つからない。そして杏子、村井、滝本みどり(南沢奈央)が玄関へ向い答案用紙を探し始めると、そこに…。</v>
      </c>
      <c r="N1140" s="2"/>
      <c r="O1140" s="2"/>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row>
    <row r="1141" ht="204.75" customHeight="1">
      <c r="A1141" s="1">
        <v>3630.0</v>
      </c>
      <c r="B1141" s="2" t="s">
        <v>3630</v>
      </c>
      <c r="C1141" s="2">
        <f>IFERROR(__xludf.DUMMYFUNCTION("split(B1141,""_"")"),1210.0)</f>
        <v>1210</v>
      </c>
      <c r="D1141" s="2" t="str">
        <f>IFERROR(__xludf.DUMMYFUNCTION("""COMPUTED_VALUE"""),"CX")</f>
        <v>CX</v>
      </c>
      <c r="E1141" s="2" t="str">
        <f>IFERROR(__xludf.DUMMYFUNCTION("""COMPUTED_VALUE"""),"土23")</f>
        <v>土23</v>
      </c>
      <c r="F1141" s="2" t="s">
        <v>3631</v>
      </c>
      <c r="G1141" s="2" t="s">
        <v>3653</v>
      </c>
      <c r="H1141" s="1">
        <v>8.0</v>
      </c>
      <c r="I1141" s="1" t="s">
        <v>29</v>
      </c>
      <c r="J1141" s="1" t="s">
        <v>2429</v>
      </c>
      <c r="K1141" s="2" t="s">
        <v>3654</v>
      </c>
      <c r="L1141" s="2" t="s">
        <v>3655</v>
      </c>
      <c r="M1141" s="2" t="str">
        <f>IFERROR(__xludf.DUMMYFUNCTION("split(split(K1141,""春山杏子:　"",false),""公式LINE"",false)"),"受験番号46の英語の答案用紙が行方不明になったことにより、不穏な空気が流れ騒然としている一高。そんな中、春山杏子(長澤まさみ)たちの前に同窓会長の沢村幸造(入江雅人)が現れた。校舎の中庭の壁に英語の答案用紙が貼ってあるのを見つけたというのだ。行方不明になった受験番号46の答案用紙が見つかったと思った杏子たちだったが、よく見るとそれは受験番号55と書かれた答案用紙だった。受験番号55は沢村の息子(清水尋也)の受験番号。沢村は、なぜ息子の答案用紙が中庭にあったのかと杏子たちに詰め寄る。杏子たちは、ますます混乱"&amp;"する。  　坂本多恵子(高橋ひとみ)ら英語チームの教師たちが、沢村によって発見された受験番号55の答案用紙を採点してみると、それは満点だった。すでに採点済みの受験番号55の答案用紙は空欄もあり、満点ではない。2枚存在する受験番号55の答案用紙は、果たしてどちらが沢村の息子の答案用紙なのか、教師たちは頭を悩ます…。")</f>
        <v>受験番号46の英語の答案用紙が行方不明になったことにより、不穏な空気が流れ騒然としている一高。そんな中、春山杏子(長澤まさみ)たちの前に同窓会長の沢村幸造(入江雅人)が現れた。校舎の中庭の壁に英語の答案用紙が貼ってあるのを見つけたというのだ。行方不明になった受験番号46の答案用紙が見つかったと思った杏子たちだったが、よく見るとそれは受験番号55と書かれた答案用紙だった。受験番号55は沢村の息子(清水尋也)の受験番号。沢村は、なぜ息子の答案用紙が中庭にあったのかと杏子たちに詰め寄る。杏子たちは、ますます混乱する。  　坂本多恵子(高橋ひとみ)ら英語チームの教師たちが、沢村によって発見された受験番号55の答案用紙を採点してみると、それは満点だった。すでに採点済みの受験番号55の答案用紙は空欄もあり、満点ではない。2枚存在する受験番号55の答案用紙は、果たしてどちらが沢村の息子の答案用紙なのか、教師たちは頭を悩ます…。</v>
      </c>
      <c r="N1141" s="2"/>
      <c r="O1141" s="2"/>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row>
    <row r="1142" ht="204.75" customHeight="1">
      <c r="A1142" s="1">
        <v>3631.0</v>
      </c>
      <c r="B1142" s="2" t="s">
        <v>3630</v>
      </c>
      <c r="C1142" s="2">
        <f>IFERROR(__xludf.DUMMYFUNCTION("split(B1142,""_"")"),1210.0)</f>
        <v>1210</v>
      </c>
      <c r="D1142" s="2" t="str">
        <f>IFERROR(__xludf.DUMMYFUNCTION("""COMPUTED_VALUE"""),"CX")</f>
        <v>CX</v>
      </c>
      <c r="E1142" s="2" t="str">
        <f>IFERROR(__xludf.DUMMYFUNCTION("""COMPUTED_VALUE"""),"土23")</f>
        <v>土23</v>
      </c>
      <c r="F1142" s="2" t="s">
        <v>3631</v>
      </c>
      <c r="G1142" s="2" t="s">
        <v>3656</v>
      </c>
      <c r="H1142" s="1">
        <v>9.0</v>
      </c>
      <c r="I1142" s="1" t="s">
        <v>33</v>
      </c>
      <c r="J1142" s="1" t="s">
        <v>2429</v>
      </c>
      <c r="K1142" s="2" t="s">
        <v>3657</v>
      </c>
      <c r="L1142" s="2" t="s">
        <v>3658</v>
      </c>
      <c r="M1142" s="2" t="str">
        <f>IFERROR(__xludf.DUMMYFUNCTION("split(split(K1142,""春山杏子:　"",false),""公式LINE"",false)"),"英語の答案用紙が依然見つからないため、春山杏子(長澤まさみ)ら教師たちは職員室で待機し続けている。2枚存在する受験番号55の答案用紙と紛失した受験番号46の答案用紙について、杏子が推測を始め、教師たちは耳を傾ける。　一方、松島崇史(羽場裕一)、村井祐志(篠田光亮)、滝本みどり(南沢奈央)は食料の買い出しにコンビニへとこっそり向かった。そこへ、松島の携帯に息子の良隆(高杉真宙)からメールが届く。勤務中を理由にメールを見ずにしまおうとした松島だったが、みどりが緊急の用かもしれないから見たほうがよいのではと促し"&amp;"、松島はメールを見ることにした。松島はコンビニを出て駐車場の陰で携帯電話を開き、文章を打ち込み始める…。　視聴覚室では、記者会見を開くことを要求してきた芝田昌子(生田智子)と同窓会長の沢村幸造(入江雅人)を、試験会場2の責任者である水野文昭(阪田マサノブ)がなだめていた。水野の説得に納得し、2人は視聴覚室を後にする。  　そんな中、一高での出来事や教師たちの言動は何者かによって事細かく掲示板に書きこまれ続けていて…。")</f>
        <v>英語の答案用紙が依然見つからないため、春山杏子(長澤まさみ)ら教師たちは職員室で待機し続けている。2枚存在する受験番号55の答案用紙と紛失した受験番号46の答案用紙について、杏子が推測を始め、教師たちは耳を傾ける。　一方、松島崇史(羽場裕一)、村井祐志(篠田光亮)、滝本みどり(南沢奈央)は食料の買い出しにコンビニへとこっそり向かった。そこへ、松島の携帯に息子の良隆(高杉真宙)からメールが届く。勤務中を理由にメールを見ずにしまおうとした松島だったが、みどりが緊急の用かもしれないから見たほうがよいのではと促し、松島はメールを見ることにした。松島はコンビニを出て駐車場の陰で携帯電話を開き、文章を打ち込み始める…。　視聴覚室では、記者会見を開くことを要求してきた芝田昌子(生田智子)と同窓会長の沢村幸造(入江雅人)を、試験会場2の責任者である水野文昭(阪田マサノブ)がなだめていた。水野の説得に納得し、2人は視聴覚室を後にする。  　そんな中、一高での出来事や教師たちの言動は何者かによって事細かく掲示板に書きこまれ続けていて…。</v>
      </c>
      <c r="N1142" s="2"/>
      <c r="O1142" s="2"/>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row>
    <row r="1143" ht="204.75" customHeight="1">
      <c r="A1143" s="1">
        <v>3632.0</v>
      </c>
      <c r="B1143" s="2" t="s">
        <v>3630</v>
      </c>
      <c r="C1143" s="2">
        <f>IFERROR(__xludf.DUMMYFUNCTION("split(B1143,""_"")"),1210.0)</f>
        <v>1210</v>
      </c>
      <c r="D1143" s="2" t="str">
        <f>IFERROR(__xludf.DUMMYFUNCTION("""COMPUTED_VALUE"""),"CX")</f>
        <v>CX</v>
      </c>
      <c r="E1143" s="2" t="str">
        <f>IFERROR(__xludf.DUMMYFUNCTION("""COMPUTED_VALUE"""),"土23")</f>
        <v>土23</v>
      </c>
      <c r="F1143" s="2" t="s">
        <v>3631</v>
      </c>
      <c r="G1143" s="2" t="s">
        <v>3659</v>
      </c>
      <c r="H1143" s="1">
        <v>10.0</v>
      </c>
      <c r="I1143" s="1" t="s">
        <v>37</v>
      </c>
      <c r="J1143" s="1" t="s">
        <v>1435</v>
      </c>
      <c r="K1143" s="2" t="s">
        <v>3660</v>
      </c>
      <c r="L1143" s="2" t="s">
        <v>3661</v>
      </c>
      <c r="M1143" s="2" t="str">
        <f>IFERROR(__xludf.DUMMYFUNCTION("split(split(K1143,""春山杏子:　"",false),""公式LINE"",false)"),"校長室に、春山杏子(長澤まさみ)ら教師たちが集められた。紛失した受験番号46の答案用紙と2枚存在する受験番号55の答案用紙をどのように扱うかという話し合いが行われている。また受験番号59つまり松島崇史(羽場裕一)の息子(高杉真宙)の答案用紙に、携帯騒ぎ中に受験番号55が受験番号61の答えをカンニングをしているという告発文が書かれていたことに話が及んだ。試験会場2にいた、杏子や水野文昭(阪田マサノブ)、村井祐志(篠田光亮)らが、試験中に芝田麻美(美山加恋)の携帯電話が鳴ったときの状況を語り始めた。水野は松島"&amp;"に、松島の息子は沢村幸造同窓会長(入江雅人)の息子(清水尋也)にいじめられていたのではないかと問いかけ・・・。  　一方、掲示板には事細かに校長室でのやりとりが随時書き込まれ続けている。")</f>
        <v>校長室に、春山杏子(長澤まさみ)ら教師たちが集められた。紛失した受験番号46の答案用紙と2枚存在する受験番号55の答案用紙をどのように扱うかという話し合いが行われている。また受験番号59つまり松島崇史(羽場裕一)の息子(高杉真宙)の答案用紙に、携帯騒ぎ中に受験番号55が受験番号61の答えをカンニングをしているという告発文が書かれていたことに話が及んだ。試験会場2にいた、杏子や水野文昭(阪田マサノブ)、村井祐志(篠田光亮)らが、試験中に芝田麻美(美山加恋)の携帯電話が鳴ったときの状況を語り始めた。水野は松島に、松島の息子は沢村幸造同窓会長(入江雅人)の息子(清水尋也)にいじめられていたのではないかと問いかけ・・・。  　一方、掲示板には事細かに校長室でのやりとりが随時書き込まれ続けている。</v>
      </c>
      <c r="N1143" s="2"/>
      <c r="O1143" s="2"/>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row>
    <row r="1144" ht="204.75" customHeight="1">
      <c r="A1144" s="1">
        <v>3633.0</v>
      </c>
      <c r="B1144" s="2" t="s">
        <v>3630</v>
      </c>
      <c r="C1144" s="2">
        <f>IFERROR(__xludf.DUMMYFUNCTION("split(B1144,""_"")"),1210.0)</f>
        <v>1210</v>
      </c>
      <c r="D1144" s="2" t="str">
        <f>IFERROR(__xludf.DUMMYFUNCTION("""COMPUTED_VALUE"""),"CX")</f>
        <v>CX</v>
      </c>
      <c r="E1144" s="2" t="str">
        <f>IFERROR(__xludf.DUMMYFUNCTION("""COMPUTED_VALUE"""),"土23")</f>
        <v>土23</v>
      </c>
      <c r="F1144" s="2" t="s">
        <v>3631</v>
      </c>
      <c r="G1144" s="2" t="s">
        <v>3662</v>
      </c>
      <c r="H1144" s="1">
        <v>11.0</v>
      </c>
      <c r="I1144" s="1" t="s">
        <v>41</v>
      </c>
      <c r="J1144" s="1" t="s">
        <v>2429</v>
      </c>
      <c r="K1144" s="2" t="s">
        <v>3663</v>
      </c>
      <c r="L1144" s="2" t="s">
        <v>3664</v>
      </c>
      <c r="M1144" s="2" t="str">
        <f>IFERROR(__xludf.DUMMYFUNCTION("split(split(K1144,""春山杏子:　"",false),""公式LINE"",false)"),"応接室では、春山杏子(長澤まさみ)と相田清孝(中尾明慶)が校内で発見された石川衣里奈(山崎紘菜)から、これまで一体何をしてきたのかを聞き出している。衣里奈は掲示板への書き込みやこれまで行ってきたこと、そして動機を語り始めた。廊下では、滝本みどり(南沢奈央)と村井祐志(篠田光亮)が応接室でのやりとりに聞き耳を立てている。衣里奈の話を聞き、みどりは憤慨し応接室へ飛び込む。校長室にいた教師たちにみどりの怒鳴り散らした声が届き、慌てて教師たちは応接室へ向かう。  　一方、田辺淳一(柾木玲弥)の家では淳一が兄で引き"&amp;"こもりの光一(中村倫也)と散らかった居間でインスタントコーヒーを飲んでいる。光一が淳一に「おまえ、何をしているの?」と尋ねると、淳一は「復讐」と答え・・・。")</f>
        <v>応接室では、春山杏子(長澤まさみ)と相田清孝(中尾明慶)が校内で発見された石川衣里奈(山崎紘菜)から、これまで一体何をしてきたのかを聞き出している。衣里奈は掲示板への書き込みやこれまで行ってきたこと、そして動機を語り始めた。廊下では、滝本みどり(南沢奈央)と村井祐志(篠田光亮)が応接室でのやりとりに聞き耳を立てている。衣里奈の話を聞き、みどりは憤慨し応接室へ飛び込む。校長室にいた教師たちにみどりの怒鳴り散らした声が届き、慌てて教師たちは応接室へ向かう。  　一方、田辺淳一(柾木玲弥)の家では淳一が兄で引きこもりの光一(中村倫也)と散らかった居間でインスタントコーヒーを飲んでいる。光一が淳一に「おまえ、何をしているの?」と尋ねると、淳一は「復讐」と答え・・・。</v>
      </c>
      <c r="N1144" s="2"/>
      <c r="O1144" s="2"/>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row>
    <row r="1145" ht="204.75" customHeight="1">
      <c r="A1145" s="1">
        <v>3634.0</v>
      </c>
      <c r="B1145" s="2" t="s">
        <v>3630</v>
      </c>
      <c r="C1145" s="2">
        <f>IFERROR(__xludf.DUMMYFUNCTION("split(B1145,""_"")"),1210.0)</f>
        <v>1210</v>
      </c>
      <c r="D1145" s="2" t="str">
        <f>IFERROR(__xludf.DUMMYFUNCTION("""COMPUTED_VALUE"""),"CX")</f>
        <v>CX</v>
      </c>
      <c r="E1145" s="2" t="str">
        <f>IFERROR(__xludf.DUMMYFUNCTION("""COMPUTED_VALUE"""),"土23")</f>
        <v>土23</v>
      </c>
      <c r="F1145" s="2" t="s">
        <v>3631</v>
      </c>
      <c r="G1145" s="2" t="s">
        <v>3665</v>
      </c>
      <c r="H1145" s="1">
        <v>12.0</v>
      </c>
      <c r="I1145" s="1" t="s">
        <v>3666</v>
      </c>
      <c r="J1145" s="1" t="s">
        <v>2429</v>
      </c>
      <c r="K1145" s="2" t="s">
        <v>3667</v>
      </c>
      <c r="L1145" s="2" t="s">
        <v>3668</v>
      </c>
      <c r="M1145" s="2" t="str">
        <f>IFERROR(__xludf.DUMMYFUNCTION("split(split(K1145,""春山杏子:　"",false),""公式LINE"",false)"),"応接室では、相田清孝(中尾明慶)をめぐって滝本みどり(南沢奈央)と石川衣里奈(山崎紘菜)が激しくののしりあっていた。春山杏子(長澤まさみ)ら教師たちが必死に2人を止めている。それを見ていた村井祐志(篠田光亮)が突然「いい加減にしろ!」と叫び、応接室はしんと静まりかえった。杏子ら教師たちは村井に注目する。一高出身でない村井は自分の子供時代の一高に対するあこがれや中学時代のつらい思い出、そしてやむなく一高受験を断念した経緯などを語り、入試の大切さを切々と訴えた。そして村井はある人物を指さし、受験をぶちこわそう"&amp;"としている目的を問いかけた。応接室にいた教師たちは驚いた様子で、村井の指さした人物に注目する・・・。")</f>
        <v>応接室では、相田清孝(中尾明慶)をめぐって滝本みどり(南沢奈央)と石川衣里奈(山崎紘菜)が激しくののしりあっていた。春山杏子(長澤まさみ)ら教師たちが必死に2人を止めている。それを見ていた村井祐志(篠田光亮)が突然「いい加減にしろ!」と叫び、応接室はしんと静まりかえった。杏子ら教師たちは村井に注目する。一高出身でない村井は自分の子供時代の一高に対するあこがれや中学時代のつらい思い出、そしてやむなく一高受験を断念した経緯などを語り、入試の大切さを切々と訴えた。そして村井はある人物を指さし、受験をぶちこわそうとしている目的を問いかけた。応接室にいた教師たちは驚いた様子で、村井の指さした人物に注目する・・・。</v>
      </c>
      <c r="N1145" s="2"/>
      <c r="O1145" s="2"/>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row>
    <row r="1146" ht="204.75" customHeight="1">
      <c r="A1146" s="1">
        <v>3635.0</v>
      </c>
      <c r="B1146" s="2" t="s">
        <v>3630</v>
      </c>
      <c r="C1146" s="2">
        <f>IFERROR(__xludf.DUMMYFUNCTION("split(B1146,""_"")"),1210.0)</f>
        <v>1210</v>
      </c>
      <c r="D1146" s="2" t="str">
        <f>IFERROR(__xludf.DUMMYFUNCTION("""COMPUTED_VALUE"""),"CX")</f>
        <v>CX</v>
      </c>
      <c r="E1146" s="2" t="str">
        <f>IFERROR(__xludf.DUMMYFUNCTION("""COMPUTED_VALUE"""),"土23")</f>
        <v>土23</v>
      </c>
      <c r="F1146" s="2" t="s">
        <v>3631</v>
      </c>
      <c r="G1146" s="2" t="s">
        <v>3669</v>
      </c>
      <c r="H1146" s="1">
        <v>13.0</v>
      </c>
      <c r="I1146" s="1" t="s">
        <v>3670</v>
      </c>
      <c r="J1146" s="1" t="s">
        <v>2429</v>
      </c>
      <c r="K1146" s="2" t="s">
        <v>3671</v>
      </c>
      <c r="L1146" s="2" t="s">
        <v>3672</v>
      </c>
      <c r="M1146" s="2" t="str">
        <f>IFERROR(__xludf.DUMMYFUNCTION("split(split(K1146,""春山杏子:　"",false),""公式LINE"",false)"),"村井祐志(篠田光亮)に指摘をされ、語り出す春山杏子(長澤まさみ)。杏子が語り出したのは、過去交際をしていた寺島俊章(姜暢雄)の死の理由と、「なぜ彼が死ななきゃならなかったのか」という疑問を解決するために杏子が教師になることを決意した経緯。そして橘第一高校の教師になってから杏子が感じてきた疑問とフラストレーションを語り出す。そして徐々に明らかになる、杏子の意図。彼女はなぜ、この事件に荷担したのか…杏子は教師たちに、とあるウェブサイトを見せる。それは、杏子が「寺島が死ぬことの原因となった採点ミスがなぜ入試から"&amp;"半年経ったころに発覚したのか」という疑問を調査するうちに行き着いたとあるウェブサイト。そこに残っていた「とある過去」が、この事件には大きく関わっていた。そして杏子は、もう1人の「犯人」を指摘する。")</f>
        <v>村井祐志(篠田光亮)に指摘をされ、語り出す春山杏子(長澤まさみ)。杏子が語り出したのは、過去交際をしていた寺島俊章(姜暢雄)の死の理由と、「なぜ彼が死ななきゃならなかったのか」という疑問を解決するために杏子が教師になることを決意した経緯。そして橘第一高校の教師になってから杏子が感じてきた疑問とフラストレーションを語り出す。そして徐々に明らかになる、杏子の意図。彼女はなぜ、この事件に荷担したのか…杏子は教師たちに、とあるウェブサイトを見せる。それは、杏子が「寺島が死ぬことの原因となった採点ミスがなぜ入試から半年経ったころに発覚したのか」という疑問を調査するうちに行き着いたとあるウェブサイト。そこに残っていた「とある過去」が、この事件には大きく関わっていた。そして杏子は、もう1人の「犯人」を指摘する。</v>
      </c>
      <c r="N1146" s="2"/>
      <c r="O1146" s="2"/>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row>
    <row r="1147" ht="204.75" customHeight="1">
      <c r="A1147" s="1">
        <v>3644.0</v>
      </c>
      <c r="B1147" s="2" t="s">
        <v>3673</v>
      </c>
      <c r="C1147" s="2">
        <f>IFERROR(__xludf.DUMMYFUNCTION("split(B1147,""_"")"),1210.0)</f>
        <v>1210</v>
      </c>
      <c r="D1147" s="2" t="str">
        <f>IFERROR(__xludf.DUMMYFUNCTION("""COMPUTED_VALUE"""),"CX")</f>
        <v>CX</v>
      </c>
      <c r="E1147" s="2" t="str">
        <f>IFERROR(__xludf.DUMMYFUNCTION("""COMPUTED_VALUE"""),"日21")</f>
        <v>日21</v>
      </c>
      <c r="F1147" s="2" t="s">
        <v>3674</v>
      </c>
      <c r="G1147" s="2" t="s">
        <v>3675</v>
      </c>
      <c r="H1147" s="1">
        <v>1.0</v>
      </c>
      <c r="I1147" s="1" t="s">
        <v>3</v>
      </c>
      <c r="J1147" s="1" t="s">
        <v>4</v>
      </c>
      <c r="K1147" s="4" t="s">
        <v>3676</v>
      </c>
      <c r="L1147" s="2" t="s">
        <v>3677</v>
      </c>
      <c r="M1147" s="9" t="str">
        <f>IFERROR(__xludf.DUMMYFUNCTION("split(split(K1147,""篠田香織:　"",false),""airport/"",false)"),"http://www.fujitv.co.jp/tokyo-")</f>
        <v>http://www.fujitv.co.jp/tokyo-</v>
      </c>
      <c r="N1147" s="2" t="str">
        <f>IFERROR(__xludf.DUMMYFUNCTION("""COMPUTED_VALUE"""),"　新任管制官の篠田香織(深田恭子)は、初出勤を翌日に控え、挨拶と下見を兼ねて羽田空港へ向かっていた。途中のモノレールで、スマイルサポートの札を付けた少年・渡辺健太(土師野隆之介)を見かけた香織は、グランドスタッフだった頃の知識と行動力を生かして手際よく健太を搭乗口まで送り届けた。  　管制塔にやってきた香織が、忙しく働く先輩管制官たちの様子を眺めつつ主幹管制官の結城昇(時任三郎)と話していると、にわかに室内が騒がしくなった。離陸したばかりの飛行機のエンジン内に鳥が巻き込まれた可能性があるという。いち早くそ"&amp;"れに気づいた主任管制官の竹内裕美(瀬戸朝香)は、素早く関係各所に連絡を入れ、万が一引き返しても大丈夫なように準備を整え始める。同時に、羽田上空で旋回中の数機の飛行機に指示を出して次々に着陸させていく竹内。やがて引き返してきた飛行機は無事に羽田に着陸。管制官たちがホッと胸をなでおろしていた頃、香織の心配していた通り、到着ゲートではグランドスタッフが乗客の対応に追われていた。  　初出勤の日、香織はブリーフィング中に新人としてメンバーたちに紹介された。指導係となった竹内。  　数日にわたる厳しいシミュレーショ"&amp;"ンが続いたある日、いら立ちを募らせていた香織に竹内から当日の天気資料が渡された。いよいよ実践に移れると喜んだ香織は、管制塔に入ると竹内と共に席に座り飛行機へ指示を出していくが…。")</f>
        <v>　新任管制官の篠田香織(深田恭子)は、初出勤を翌日に控え、挨拶と下見を兼ねて羽田空港へ向かっていた。途中のモノレールで、スマイルサポートの札を付けた少年・渡辺健太(土師野隆之介)を見かけた香織は、グランドスタッフだった頃の知識と行動力を生かして手際よく健太を搭乗口まで送り届けた。  　管制塔にやってきた香織が、忙しく働く先輩管制官たちの様子を眺めつつ主幹管制官の結城昇(時任三郎)と話していると、にわかに室内が騒がしくなった。離陸したばかりの飛行機のエンジン内に鳥が巻き込まれた可能性があるという。いち早くそれに気づいた主任管制官の竹内裕美(瀬戸朝香)は、素早く関係各所に連絡を入れ、万が一引き返しても大丈夫なように準備を整え始める。同時に、羽田上空で旋回中の数機の飛行機に指示を出して次々に着陸させていく竹内。やがて引き返してきた飛行機は無事に羽田に着陸。管制官たちがホッと胸をなでおろしていた頃、香織の心配していた通り、到着ゲートではグランドスタッフが乗客の対応に追われていた。  　初出勤の日、香織はブリーフィング中に新人としてメンバーたちに紹介された。指導係となった竹内。  　数日にわたる厳しいシミュレーションが続いたある日、いら立ちを募らせていた香織に竹内から当日の天気資料が渡された。いよいよ実践に移れると喜んだ香織は、管制塔に入ると竹内と共に席に座り飛行機へ指示を出していくが…。</v>
      </c>
      <c r="O1147" s="2"/>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row>
    <row r="1148" ht="204.75" customHeight="1">
      <c r="A1148" s="1">
        <v>3645.0</v>
      </c>
      <c r="B1148" s="2" t="s">
        <v>3673</v>
      </c>
      <c r="C1148" s="2">
        <f>IFERROR(__xludf.DUMMYFUNCTION("split(B1148,""_"")"),1210.0)</f>
        <v>1210</v>
      </c>
      <c r="D1148" s="2" t="str">
        <f>IFERROR(__xludf.DUMMYFUNCTION("""COMPUTED_VALUE"""),"CX")</f>
        <v>CX</v>
      </c>
      <c r="E1148" s="2" t="str">
        <f>IFERROR(__xludf.DUMMYFUNCTION("""COMPUTED_VALUE"""),"日21")</f>
        <v>日21</v>
      </c>
      <c r="F1148" s="2" t="s">
        <v>3674</v>
      </c>
      <c r="G1148" s="2" t="s">
        <v>3678</v>
      </c>
      <c r="H1148" s="1">
        <v>2.0</v>
      </c>
      <c r="I1148" s="1" t="s">
        <v>7</v>
      </c>
      <c r="J1148" s="1" t="s">
        <v>11</v>
      </c>
      <c r="K1148" s="2" t="s">
        <v>3679</v>
      </c>
      <c r="L1148" s="2" t="s">
        <v>3680</v>
      </c>
      <c r="M1148" s="9" t="str">
        <f>IFERROR(__xludf.DUMMYFUNCTION("split(split(K1148,""篠田香織:　"",false),""airport/"",false)"),"http://www.fujitv.co.jp/tokyo-")</f>
        <v>http://www.fujitv.co.jp/tokyo-</v>
      </c>
      <c r="N1148" s="2" t="str">
        <f>IFERROR(__xludf.DUMMYFUNCTION("""COMPUTED_VALUE"""),"　篠田香織(深田恭子)は、竹内裕美(瀬戸朝香)の開いていたロッカーの内側に息子・空(タイト　ホールドウェイ)の写真をみつける。直後、電話で体調を崩した空の様子を聞く竹内を目撃するが、あえて何も知らないふりをする。  　この日は急な欠員で竹内がターミナルレーダー室のサポートに回ることになり、香織も一緒に行くことになった。そんな中、バードパトロールから滑走路付近で人影を見かけたという情報が入り、空港の全滑走路が一時閉鎖となった。離着陸準備中の飛行機の管制で一気に忙しくなる管制塔内。竹内はそれを見越して香織に管"&amp;"制塔へ行くように指示を出す。滑走路付近で再び人影が目撃された。近くの桟橋に不審船侵入の報告も入り、テロの可能性を疑って警備中隊も動き出した。  　侵入者がつかまらないまま時間が過ぎるが、そこへ羽田上空を旋回している飛行機から、心筋梗塞で乗客が倒れたとメディカルエマージェンシーが入る。合図を受け、竹内はどうにか羽田に着陸させたいと訴えるが、管制部の田辺部長(螢雪次朗)らは安全が確保できない以上は無理だと拒否する。病人の状況を考え、たまらず飛行機を着陸させるべきだと声を張り上げた香織を一喝した結城昇(時任三郎"&amp;")だが、そのまま着陸の段取りを始めた。そんな中、ターミナルレーダー室の統括席にある電話に竹内あてに電話がかかってきた。それは空を預けている母親からで…。")</f>
        <v>　篠田香織(深田恭子)は、竹内裕美(瀬戸朝香)の開いていたロッカーの内側に息子・空(タイト　ホールドウェイ)の写真をみつける。直後、電話で体調を崩した空の様子を聞く竹内を目撃するが、あえて何も知らないふりをする。  　この日は急な欠員で竹内がターミナルレーダー室のサポートに回ることになり、香織も一緒に行くことになった。そんな中、バードパトロールから滑走路付近で人影を見かけたという情報が入り、空港の全滑走路が一時閉鎖となった。離着陸準備中の飛行機の管制で一気に忙しくなる管制塔内。竹内はそれを見越して香織に管制塔へ行くように指示を出す。滑走路付近で再び人影が目撃された。近くの桟橋に不審船侵入の報告も入り、テロの可能性を疑って警備中隊も動き出した。  　侵入者がつかまらないまま時間が過ぎるが、そこへ羽田上空を旋回している飛行機から、心筋梗塞で乗客が倒れたとメディカルエマージェンシーが入る。合図を受け、竹内はどうにか羽田に着陸させたいと訴えるが、管制部の田辺部長(螢雪次朗)らは安全が確保できない以上は無理だと拒否する。病人の状況を考え、たまらず飛行機を着陸させるべきだと声を張り上げた香織を一喝した結城昇(時任三郎)だが、そのまま着陸の段取りを始めた。そんな中、ターミナルレーダー室の統括席にある電話に竹内あてに電話がかかってきた。それは空を預けている母親からで…。</v>
      </c>
      <c r="O1148" s="2"/>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row>
    <row r="1149" ht="204.75" customHeight="1">
      <c r="A1149" s="1">
        <v>3646.0</v>
      </c>
      <c r="B1149" s="2" t="s">
        <v>3673</v>
      </c>
      <c r="C1149" s="2">
        <f>IFERROR(__xludf.DUMMYFUNCTION("split(B1149,""_"")"),1210.0)</f>
        <v>1210</v>
      </c>
      <c r="D1149" s="2" t="str">
        <f>IFERROR(__xludf.DUMMYFUNCTION("""COMPUTED_VALUE"""),"CX")</f>
        <v>CX</v>
      </c>
      <c r="E1149" s="2" t="str">
        <f>IFERROR(__xludf.DUMMYFUNCTION("""COMPUTED_VALUE"""),"日21")</f>
        <v>日21</v>
      </c>
      <c r="F1149" s="2" t="s">
        <v>3674</v>
      </c>
      <c r="G1149" s="2" t="s">
        <v>3681</v>
      </c>
      <c r="H1149" s="1">
        <v>3.0</v>
      </c>
      <c r="I1149" s="1" t="s">
        <v>10</v>
      </c>
      <c r="J1149" s="1" t="s">
        <v>11</v>
      </c>
      <c r="K1149" s="2" t="s">
        <v>3682</v>
      </c>
      <c r="L1149" s="2" t="s">
        <v>3683</v>
      </c>
      <c r="M1149" s="9" t="str">
        <f>IFERROR(__xludf.DUMMYFUNCTION("split(split(K1149,""篠田香織:　"",false),""airport/"",false)"),"http://www.fujitv.co.jp/tokyo-")</f>
        <v>http://www.fujitv.co.jp/tokyo-</v>
      </c>
      <c r="N1149" s="2" t="str">
        <f>IFERROR(__xludf.DUMMYFUNCTION("""COMPUTED_VALUE"""),"　モノレールを途中下車し、走って通勤する篠田香織(深田恭子)を若い女性たちが駆け足で抜かして行く。空港ではさらにたくさんの人数が海外スターの到着を待ちわびていた。一方、ブリーフィングではスターがプライベートジェットでやってくることが話題になっていた。浮かれている酒井真奈(佐々木希)に竹内裕美(瀬戸朝香)は、プライベートジェットはパイロットがルートを間違えやすいからフォローをしっかりしなくてはいけないと注意をする。  　プライベートジェットの管制を山下佑司(瀬戸康史)が任された。風が強くなり、パイロットに細"&amp;"かく指示を出す山下だが、プライベートジェットの後方についていたボーイング機には、パイロットから再三のリクエストがあったにもかかわらず細かな風の情報を知らせるのが遅れる。風に煽られながらもなんとか着陸したボーイング機だが、副操縦士として乗っていた移行訓練中のパイロット・西川俊一(忍成修吾)は、運行が不安定だったという理由で機長から不合格を言い渡された。管制の指示に不満を募らせる西川。  　そんな中、仕事が円滑に進むために管制官やパイロット、CA、整備士などが集まって意見交換をする交流会が行われることになり、"&amp;"香織と酒井と山下が参加することになった。交流会で顔を合わせた山下と西川。会話をしているうちにお互いがあの時のパイロットと管制官だとわかるとケンカが始まってしまう…。")</f>
        <v>　モノレールを途中下車し、走って通勤する篠田香織(深田恭子)を若い女性たちが駆け足で抜かして行く。空港ではさらにたくさんの人数が海外スターの到着を待ちわびていた。一方、ブリーフィングではスターがプライベートジェットでやってくることが話題になっていた。浮かれている酒井真奈(佐々木希)に竹内裕美(瀬戸朝香)は、プライベートジェットはパイロットがルートを間違えやすいからフォローをしっかりしなくてはいけないと注意をする。  　プライベートジェットの管制を山下佑司(瀬戸康史)が任された。風が強くなり、パイロットに細かく指示を出す山下だが、プライベートジェットの後方についていたボーイング機には、パイロットから再三のリクエストがあったにもかかわらず細かな風の情報を知らせるのが遅れる。風に煽られながらもなんとか着陸したボーイング機だが、副操縦士として乗っていた移行訓練中のパイロット・西川俊一(忍成修吾)は、運行が不安定だったという理由で機長から不合格を言い渡された。管制の指示に不満を募らせる西川。  　そんな中、仕事が円滑に進むために管制官やパイロット、CA、整備士などが集まって意見交換をする交流会が行われることになり、香織と酒井と山下が参加することになった。交流会で顔を合わせた山下と西川。会話をしているうちにお互いがあの時のパイロットと管制官だとわかるとケンカが始まってしまう…。</v>
      </c>
      <c r="O1149" s="2"/>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row>
    <row r="1150" ht="204.75" customHeight="1">
      <c r="A1150" s="1">
        <v>3647.0</v>
      </c>
      <c r="B1150" s="2" t="s">
        <v>3673</v>
      </c>
      <c r="C1150" s="2">
        <f>IFERROR(__xludf.DUMMYFUNCTION("split(B1150,""_"")"),1210.0)</f>
        <v>1210</v>
      </c>
      <c r="D1150" s="2" t="str">
        <f>IFERROR(__xludf.DUMMYFUNCTION("""COMPUTED_VALUE"""),"CX")</f>
        <v>CX</v>
      </c>
      <c r="E1150" s="2" t="str">
        <f>IFERROR(__xludf.DUMMYFUNCTION("""COMPUTED_VALUE"""),"日21")</f>
        <v>日21</v>
      </c>
      <c r="F1150" s="2" t="s">
        <v>3674</v>
      </c>
      <c r="G1150" s="2" t="s">
        <v>3684</v>
      </c>
      <c r="H1150" s="1">
        <v>4.0</v>
      </c>
      <c r="I1150" s="1" t="s">
        <v>14</v>
      </c>
      <c r="J1150" s="1" t="s">
        <v>11</v>
      </c>
      <c r="K1150" s="2" t="s">
        <v>3685</v>
      </c>
      <c r="L1150" s="2" t="s">
        <v>3686</v>
      </c>
      <c r="M1150" s="9" t="str">
        <f>IFERROR(__xludf.DUMMYFUNCTION("split(split(K1150,""篠田香織:　"",false),""airport/"",false)"),"http://www.fujitv.co.jp/tokyo-")</f>
        <v>http://www.fujitv.co.jp/tokyo-</v>
      </c>
      <c r="N1150" s="2" t="str">
        <f>IFERROR(__xludf.DUMMYFUNCTION("""COMPUTED_VALUE"""),"　篠田香織(深田恭子)は、変則的なチーム編成で矢野元治(梶原善)の指導を受けながらターミナルレーダー室での管制を行っていた。放任主義の矢野の指導方法に不安を抱く竹内裕美(瀬戸朝香)。  　ある日の終業後、香織は桐島悠(佐藤江梨子)と城之内玲子(山口紗弥加)の待つレストランへ向かった。飯田博之(浅香航大)がワインの飲み過ぎでぐったりとしている中、2人は間近に迫ったボジョレ・ヴィラージュ・ヌーヴォーの解禁イベントの実行委員になり、飲み比べ企画に使用するワインを選んでいることを説明する。桐島が味の違いがわからな"&amp;"いとぼやいていると、同じ店で飲んでいた酒井真奈(佐々木希)がやって来て一口飲んだワインの詳しい解説をした。取得が難しいワインエキスパートの資格を持っていると話す酒井に、様子を見ていた企画の立案者であり、系列会社でワインの買い付けを行っている矢吹典子(木南晴夏)は感激。イベント用に取り寄せているワインが、作り手のこだわりが詰まったいかに素晴らしいワインであるかを力説する。後日、酒井は山下佑司(瀬戸康史)らに矢吹からワインの買い付けスタッフにスカウトされたと嬉しそうに話す。  　一方、出社途中の香織の前には車"&amp;"イスの本上圭介(平岡祐太)が現れた。本上は香織に近づいてくると口を開き…。")</f>
        <v>　篠田香織(深田恭子)は、変則的なチーム編成で矢野元治(梶原善)の指導を受けながらターミナルレーダー室での管制を行っていた。放任主義の矢野の指導方法に不安を抱く竹内裕美(瀬戸朝香)。  　ある日の終業後、香織は桐島悠(佐藤江梨子)と城之内玲子(山口紗弥加)の待つレストランへ向かった。飯田博之(浅香航大)がワインの飲み過ぎでぐったりとしている中、2人は間近に迫ったボジョレ・ヴィラージュ・ヌーヴォーの解禁イベントの実行委員になり、飲み比べ企画に使用するワインを選んでいることを説明する。桐島が味の違いがわからないとぼやいていると、同じ店で飲んでいた酒井真奈(佐々木希)がやって来て一口飲んだワインの詳しい解説をした。取得が難しいワインエキスパートの資格を持っていると話す酒井に、様子を見ていた企画の立案者であり、系列会社でワインの買い付けを行っている矢吹典子(木南晴夏)は感激。イベント用に取り寄せているワインが、作り手のこだわりが詰まったいかに素晴らしいワインであるかを力説する。後日、酒井は山下佑司(瀬戸康史)らに矢吹からワインの買い付けスタッフにスカウトされたと嬉しそうに話す。  　一方、出社途中の香織の前には車イスの本上圭介(平岡祐太)が現れた。本上は香織に近づいてくると口を開き…。</v>
      </c>
      <c r="O1150" s="2"/>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row>
    <row r="1151" ht="204.75" customHeight="1">
      <c r="A1151" s="1">
        <v>3648.0</v>
      </c>
      <c r="B1151" s="2" t="s">
        <v>3673</v>
      </c>
      <c r="C1151" s="2">
        <f>IFERROR(__xludf.DUMMYFUNCTION("split(B1151,""_"")"),1210.0)</f>
        <v>1210</v>
      </c>
      <c r="D1151" s="2" t="str">
        <f>IFERROR(__xludf.DUMMYFUNCTION("""COMPUTED_VALUE"""),"CX")</f>
        <v>CX</v>
      </c>
      <c r="E1151" s="2" t="str">
        <f>IFERROR(__xludf.DUMMYFUNCTION("""COMPUTED_VALUE"""),"日21")</f>
        <v>日21</v>
      </c>
      <c r="F1151" s="2" t="s">
        <v>3674</v>
      </c>
      <c r="G1151" s="2" t="s">
        <v>3687</v>
      </c>
      <c r="H1151" s="1">
        <v>5.0</v>
      </c>
      <c r="I1151" s="1" t="s">
        <v>17</v>
      </c>
      <c r="J1151" s="1" t="s">
        <v>11</v>
      </c>
      <c r="K1151" s="2" t="s">
        <v>3688</v>
      </c>
      <c r="L1151" s="2" t="s">
        <v>3689</v>
      </c>
      <c r="M1151" s="9" t="str">
        <f>IFERROR(__xludf.DUMMYFUNCTION("split(split(K1151,""篠田香織:　"",false),""airport/"",false)"),"http://www.fujitv.co.jp/tokyo-")</f>
        <v>http://www.fujitv.co.jp/tokyo-</v>
      </c>
      <c r="N1151" s="2" t="str">
        <f>IFERROR(__xludf.DUMMYFUNCTION("""COMPUTED_VALUE"""),"　初めての夜勤を終えた篠田香織(深田恭子)の元に氷室一生(別所哲也)がやって来た。氷室は、羽田空港の近くにある病院から問い合わせがあったという、全日空の航空機前でパイロットとCAと子供たちが写っている古い写真を見せ、何か知らないかと尋ねる。  　写真を調べるため「敷島珈琲」にやってきた香織と酒井真奈(佐々木希)。そこへ山下佑司(瀬戸康史)が知り合いの全日空で客室乗務員教育係をやっている田口七美(肘井美佳)を連れて来た。すぐに写真を見せるが、田口もわからないという。しかし「敷島珈琲」のオーナーで元管制技術官"&amp;"の横山博(小野武彦)が、パイロットはすでに亡くなっている小島健吾だと教えてくれた。  　後日、香織と田口が小島の家を訪ねると、妻の鈴子(池田道枝)が写真はホスピスの子供たちを飛行機に乗せてあげるという、小島が5年がかりで実現させたボランティアイベントだと説明してくれた。翌日、2人は写真の返却も兼ねて病院を訪ねた。窓から飛行機が見える病院内では子供たちが飛行機の模型やぬいぐるみで遊んでいた。スタッフから子供たちの様子を聞いた2人は、再び“小島フライト""を実現させるべく動くことを決意する。  　香織と田口が"&amp;"それぞれの場所で準備を進めていたが、順調に進んでいた香織とは反対に、全日空から許可は出せないとの連絡が氷室を通して入った。再度交渉しようとする香織に竹内裕美(瀬戸朝香)はアドバイスを送る。")</f>
        <v>　初めての夜勤を終えた篠田香織(深田恭子)の元に氷室一生(別所哲也)がやって来た。氷室は、羽田空港の近くにある病院から問い合わせがあったという、全日空の航空機前でパイロットとCAと子供たちが写っている古い写真を見せ、何か知らないかと尋ねる。  　写真を調べるため「敷島珈琲」にやってきた香織と酒井真奈(佐々木希)。そこへ山下佑司(瀬戸康史)が知り合いの全日空で客室乗務員教育係をやっている田口七美(肘井美佳)を連れて来た。すぐに写真を見せるが、田口もわからないという。しかし「敷島珈琲」のオーナーで元管制技術官の横山博(小野武彦)が、パイロットはすでに亡くなっている小島健吾だと教えてくれた。  　後日、香織と田口が小島の家を訪ねると、妻の鈴子(池田道枝)が写真はホスピスの子供たちを飛行機に乗せてあげるという、小島が5年がかりで実現させたボランティアイベントだと説明してくれた。翌日、2人は写真の返却も兼ねて病院を訪ねた。窓から飛行機が見える病院内では子供たちが飛行機の模型やぬいぐるみで遊んでいた。スタッフから子供たちの様子を聞いた2人は、再び“小島フライト"を実現させるべく動くことを決意する。  　香織と田口がそれぞれの場所で準備を進めていたが、順調に進んでいた香織とは反対に、全日空から許可は出せないとの連絡が氷室を通して入った。再度交渉しようとする香織に竹内裕美(瀬戸朝香)はアドバイスを送る。</v>
      </c>
      <c r="O1151" s="2"/>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row>
    <row r="1152" ht="204.75" customHeight="1">
      <c r="A1152" s="1">
        <v>3649.0</v>
      </c>
      <c r="B1152" s="2" t="s">
        <v>3673</v>
      </c>
      <c r="C1152" s="2">
        <f>IFERROR(__xludf.DUMMYFUNCTION("split(B1152,""_"")"),1210.0)</f>
        <v>1210</v>
      </c>
      <c r="D1152" s="2" t="str">
        <f>IFERROR(__xludf.DUMMYFUNCTION("""COMPUTED_VALUE"""),"CX")</f>
        <v>CX</v>
      </c>
      <c r="E1152" s="2" t="str">
        <f>IFERROR(__xludf.DUMMYFUNCTION("""COMPUTED_VALUE"""),"日21")</f>
        <v>日21</v>
      </c>
      <c r="F1152" s="2" t="s">
        <v>3674</v>
      </c>
      <c r="G1152" s="2" t="s">
        <v>3690</v>
      </c>
      <c r="H1152" s="1">
        <v>6.0</v>
      </c>
      <c r="I1152" s="1" t="s">
        <v>21</v>
      </c>
      <c r="J1152" s="1" t="s">
        <v>11</v>
      </c>
      <c r="K1152" s="2" t="s">
        <v>3691</v>
      </c>
      <c r="L1152" s="2" t="s">
        <v>3692</v>
      </c>
      <c r="M1152" s="9" t="str">
        <f>IFERROR(__xludf.DUMMYFUNCTION("split(split(K1152,""篠田香織:　"",false),""airport/"",false)"),"http://www.fujitv.co.jp/tokyo-")</f>
        <v>http://www.fujitv.co.jp/tokyo-</v>
      </c>
      <c r="N1152" s="2" t="str">
        <f>IFERROR(__xludf.DUMMYFUNCTION("""COMPUTED_VALUE"""),"　篠田香織(深田恭子)は訓練生からの昇格をかけた試験を控え、「敷島珈琲」で近藤幸宏(要潤)、山下佑司(瀬戸康史)、岡本哲治(長谷川朝晴)に様々なシチュエーションにおける管制の意見を聞いていた。いつまでもコーヒーを飲まない面々に苛立ちを募らせる敷島貴志(野間口徹)だが、香織は話を終えると早々に店を出ていく。途中、復帰して初出勤となる本上圭介(平岡祐太)を出迎え、言葉をかけると自らも羽田空港へ向かう。　国土交通大臣の栗山(橋爪淳)が管制塔の視察にきた。案内役を頼まれた香織は、矢野元治(梶原善)と共に施設や仕事"&amp;"を説明していく。案内が終わると、会議室に移り、結城昇(時任三郎)と氷室一生(別所哲也)との空港運営についての話し合いが始まった。栗山は、管制官の労働環境の改善を訴える結城の意見に耳を傾け、改めて話を聞く約束をする。  　午後になり、国際会議へ出席するため首相と栗山が政府専用機でオーストラリアに出発した。政府専用機は無事に離陸したものの、空港付近は強風のためと、着陸機からオイル漏れがあったことで1本を除くほかの滑走路が一時閉鎖になっていた。  　数十分後、政府専用機が羽田に引き返してくることに。機内で病人が"&amp;"出た模様。同じタイミングで1機の旅客機からエンジントラブルにより緊急着陸の要請が入る。滑走路が1本しかなく、共に一刻を争う中、ターミナルレーダー室で指示を出すことになった近藤は…。")</f>
        <v>　篠田香織(深田恭子)は訓練生からの昇格をかけた試験を控え、「敷島珈琲」で近藤幸宏(要潤)、山下佑司(瀬戸康史)、岡本哲治(長谷川朝晴)に様々なシチュエーションにおける管制の意見を聞いていた。いつまでもコーヒーを飲まない面々に苛立ちを募らせる敷島貴志(野間口徹)だが、香織は話を終えると早々に店を出ていく。途中、復帰して初出勤となる本上圭介(平岡祐太)を出迎え、言葉をかけると自らも羽田空港へ向かう。　国土交通大臣の栗山(橋爪淳)が管制塔の視察にきた。案内役を頼まれた香織は、矢野元治(梶原善)と共に施設や仕事を説明していく。案内が終わると、会議室に移り、結城昇(時任三郎)と氷室一生(別所哲也)との空港運営についての話し合いが始まった。栗山は、管制官の労働環境の改善を訴える結城の意見に耳を傾け、改めて話を聞く約束をする。  　午後になり、国際会議へ出席するため首相と栗山が政府専用機でオーストラリアに出発した。政府専用機は無事に離陸したものの、空港付近は強風のためと、着陸機からオイル漏れがあったことで1本を除くほかの滑走路が一時閉鎖になっていた。  　数十分後、政府専用機が羽田に引き返してくることに。機内で病人が出た模様。同じタイミングで1機の旅客機からエンジントラブルにより緊急着陸の要請が入る。滑走路が1本しかなく、共に一刻を争う中、ターミナルレーダー室で指示を出すことになった近藤は…。</v>
      </c>
      <c r="O1152" s="2"/>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row>
    <row r="1153" ht="204.75" customHeight="1">
      <c r="A1153" s="1">
        <v>3650.0</v>
      </c>
      <c r="B1153" s="2" t="s">
        <v>3673</v>
      </c>
      <c r="C1153" s="2">
        <f>IFERROR(__xludf.DUMMYFUNCTION("split(B1153,""_"")"),1210.0)</f>
        <v>1210</v>
      </c>
      <c r="D1153" s="2" t="str">
        <f>IFERROR(__xludf.DUMMYFUNCTION("""COMPUTED_VALUE"""),"CX")</f>
        <v>CX</v>
      </c>
      <c r="E1153" s="2" t="str">
        <f>IFERROR(__xludf.DUMMYFUNCTION("""COMPUTED_VALUE"""),"日21")</f>
        <v>日21</v>
      </c>
      <c r="F1153" s="2" t="s">
        <v>3674</v>
      </c>
      <c r="G1153" s="2" t="s">
        <v>3693</v>
      </c>
      <c r="H1153" s="1">
        <v>7.0</v>
      </c>
      <c r="I1153" s="1" t="s">
        <v>25</v>
      </c>
      <c r="J1153" s="1" t="s">
        <v>11</v>
      </c>
      <c r="K1153" s="2" t="s">
        <v>3694</v>
      </c>
      <c r="L1153" s="2" t="s">
        <v>3695</v>
      </c>
      <c r="M1153" s="9" t="str">
        <f>IFERROR(__xludf.DUMMYFUNCTION("split(split(K1153,""篠田香織:　"",false),""airport/"",false)"),"http://www.fujitv.co.jp/tokyo-")</f>
        <v>http://www.fujitv.co.jp/tokyo-</v>
      </c>
      <c r="N1153" s="2" t="str">
        <f>IFERROR(__xludf.DUMMYFUNCTION("""COMPUTED_VALUE"""),"　篠田香織(深田恭子)が出勤してくると、空港事務所前には栗山大臣(橋爪淳)の件でたくさんのマスコミが押し寄せていた。急病の栗山を乗せて羽田空港に戻ってきた政府専用機を、燃料重量オーバーのため着陸を遅らせる指示を出した近藤幸宏(要潤)は管制業務から外されていた。また、カナダのICAO行きが決まっている竹内裕美(瀬戸朝香)は、まだみんなには言わないで欲しいと結城昇(時任三郎)に口止めをする。　そんな中、竹内が香織をレーティング試験に推薦すると言い出した。チームに承認をとったところ全員一致で推薦が決まったものの"&amp;"、それぞれの激励の言葉にプレッシャーを感じる香織。その日から香織の猛勉強が始まった。ある日、勉強を終えて廊下を歩いていた香織は、結城と氷室一生(別所哲也)が近藤の管制記録を検証しているのを目撃する。その検証をもとに結城と氷室が田辺明(螢雪次朗)にかけあったことで、近藤が管制業務に戻ることが決まった。  　近藤が管制塔に復帰してきた。さっそく管制卓につくが、判断に迷った山下佑司(瀬戸康史)から質問を振られた近藤は、答えに詰まってしまう。さらに自分でも管制をしようとするが…。一方、香織のレーティング試験も始ま"&amp;"った。試験官の斉藤誠(菅原大吉)が見つめる中、筆記試験と口答試験をこなしていく香織。残すところは実技試験だけになるが…。")</f>
        <v>　篠田香織(深田恭子)が出勤してくると、空港事務所前には栗山大臣(橋爪淳)の件でたくさんのマスコミが押し寄せていた。急病の栗山を乗せて羽田空港に戻ってきた政府専用機を、燃料重量オーバーのため着陸を遅らせる指示を出した近藤幸宏(要潤)は管制業務から外されていた。また、カナダのICAO行きが決まっている竹内裕美(瀬戸朝香)は、まだみんなには言わないで欲しいと結城昇(時任三郎)に口止めをする。　そんな中、竹内が香織をレーティング試験に推薦すると言い出した。チームに承認をとったところ全員一致で推薦が決まったものの、それぞれの激励の言葉にプレッシャーを感じる香織。その日から香織の猛勉強が始まった。ある日、勉強を終えて廊下を歩いていた香織は、結城と氷室一生(別所哲也)が近藤の管制記録を検証しているのを目撃する。その検証をもとに結城と氷室が田辺明(螢雪次朗)にかけあったことで、近藤が管制業務に戻ることが決まった。  　近藤が管制塔に復帰してきた。さっそく管制卓につくが、判断に迷った山下佑司(瀬戸康史)から質問を振られた近藤は、答えに詰まってしまう。さらに自分でも管制をしようとするが…。一方、香織のレーティング試験も始まった。試験官の斉藤誠(菅原大吉)が見つめる中、筆記試験と口答試験をこなしていく香織。残すところは実技試験だけになるが…。</v>
      </c>
      <c r="O1153" s="2"/>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row>
    <row r="1154" ht="204.75" customHeight="1">
      <c r="A1154" s="1">
        <v>3651.0</v>
      </c>
      <c r="B1154" s="2" t="s">
        <v>3673</v>
      </c>
      <c r="C1154" s="2">
        <f>IFERROR(__xludf.DUMMYFUNCTION("split(B1154,""_"")"),1210.0)</f>
        <v>1210</v>
      </c>
      <c r="D1154" s="2" t="str">
        <f>IFERROR(__xludf.DUMMYFUNCTION("""COMPUTED_VALUE"""),"CX")</f>
        <v>CX</v>
      </c>
      <c r="E1154" s="2" t="str">
        <f>IFERROR(__xludf.DUMMYFUNCTION("""COMPUTED_VALUE"""),"日21")</f>
        <v>日21</v>
      </c>
      <c r="F1154" s="2" t="s">
        <v>3674</v>
      </c>
      <c r="G1154" s="2" t="s">
        <v>3696</v>
      </c>
      <c r="H1154" s="1">
        <v>8.0</v>
      </c>
      <c r="I1154" s="1" t="s">
        <v>29</v>
      </c>
      <c r="J1154" s="1" t="s">
        <v>11</v>
      </c>
      <c r="K1154" s="2" t="s">
        <v>3697</v>
      </c>
      <c r="L1154" s="2" t="s">
        <v>3698</v>
      </c>
      <c r="M1154" s="9" t="str">
        <f>IFERROR(__xludf.DUMMYFUNCTION("split(split(K1154,""篠田香織:　"",false),""airport/"",false)"),"http://www.fujitv.co.jp/tokyo-")</f>
        <v>http://www.fujitv.co.jp/tokyo-</v>
      </c>
      <c r="N1154" s="2" t="str">
        <f>IFERROR(__xludf.DUMMYFUNCTION("""COMPUTED_VALUE"""),"　レーティング試験に合格した篠田香織(深田恭子)が、パイロットと同行してコックピットでフライトを経験する搭乗訓練を行うことになった。羽田～福岡間の航空機に乗ることになり、コックピットに挨拶に行った香織を出迎えた副操縦士は、元同僚の西川俊一(忍成修吾)だった。  　香織が乗った航空機が羽田から離陸した。コックピットで、パイロットと矢野元治(梶原善)や酒井真奈(佐々木希)などの管制官との会話を聞いてメモを取りつつ、思わず笑みがこぼれる香織。また、飛行中のパイロット同士の会話から、パイロットがどのようなことを意"&amp;"識してフライトをしているのかを知る。一方、JAL社内を歩いていたパイロット候補生の飯田博之(浅香航大)は、廊下で本上圭介(平岡祐太)を見かけて声をかけようとするが、パイロットたちを黙って見つめている本上にかける言葉を失う。　翌日、ブリーフィングに東京コントロールに勤務していた中島ハル(野波麻帆)がやってきて訓練生と紹介される。来月ICAOに出向になる竹内裕美(瀬戸朝香)の代わりに羽田勤務になるという。そんな中、香織を乗せた航空機が福岡を飛びたった。しばらくすると、突然コックピットにアラーム音が鳴り響いた。"&amp;"モニター画面を見ると、エンジンの回転数はどんどん落ち、やがてエンジン計器が止まってしまい…。")</f>
        <v>　レーティング試験に合格した篠田香織(深田恭子)が、パイロットと同行してコックピットでフライトを経験する搭乗訓練を行うことになった。羽田～福岡間の航空機に乗ることになり、コックピットに挨拶に行った香織を出迎えた副操縦士は、元同僚の西川俊一(忍成修吾)だった。  　香織が乗った航空機が羽田から離陸した。コックピットで、パイロットと矢野元治(梶原善)や酒井真奈(佐々木希)などの管制官との会話を聞いてメモを取りつつ、思わず笑みがこぼれる香織。また、飛行中のパイロット同士の会話から、パイロットがどのようなことを意識してフライトをしているのかを知る。一方、JAL社内を歩いていたパイロット候補生の飯田博之(浅香航大)は、廊下で本上圭介(平岡祐太)を見かけて声をかけようとするが、パイロットたちを黙って見つめている本上にかける言葉を失う。　翌日、ブリーフィングに東京コントロールに勤務していた中島ハル(野波麻帆)がやってきて訓練生と紹介される。来月ICAOに出向になる竹内裕美(瀬戸朝香)の代わりに羽田勤務になるという。そんな中、香織を乗せた航空機が福岡を飛びたった。しばらくすると、突然コックピットにアラーム音が鳴り響いた。モニター画面を見ると、エンジンの回転数はどんどん落ち、やがてエンジン計器が止まってしまい…。</v>
      </c>
      <c r="O1154" s="2"/>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row>
    <row r="1155" ht="204.75" customHeight="1">
      <c r="A1155" s="1">
        <v>3652.0</v>
      </c>
      <c r="B1155" s="2" t="s">
        <v>3673</v>
      </c>
      <c r="C1155" s="2">
        <f>IFERROR(__xludf.DUMMYFUNCTION("split(B1155,""_"")"),1210.0)</f>
        <v>1210</v>
      </c>
      <c r="D1155" s="2" t="str">
        <f>IFERROR(__xludf.DUMMYFUNCTION("""COMPUTED_VALUE"""),"CX")</f>
        <v>CX</v>
      </c>
      <c r="E1155" s="2" t="str">
        <f>IFERROR(__xludf.DUMMYFUNCTION("""COMPUTED_VALUE"""),"日21")</f>
        <v>日21</v>
      </c>
      <c r="F1155" s="2" t="s">
        <v>3674</v>
      </c>
      <c r="G1155" s="2" t="s">
        <v>3699</v>
      </c>
      <c r="H1155" s="1">
        <v>9.0</v>
      </c>
      <c r="I1155" s="1" t="s">
        <v>33</v>
      </c>
      <c r="J1155" s="1" t="s">
        <v>11</v>
      </c>
      <c r="K1155" s="2" t="s">
        <v>3700</v>
      </c>
      <c r="L1155" s="2" t="s">
        <v>3701</v>
      </c>
      <c r="M1155" s="9" t="str">
        <f>IFERROR(__xludf.DUMMYFUNCTION("split(split(K1155,""篠田香織:　"",false),""airport/"",false)"),"http://www.fujitv.co.jp/tokyo-")</f>
        <v>http://www.fujitv.co.jp/tokyo-</v>
      </c>
      <c r="N1155" s="2" t="str">
        <f>IFERROR(__xludf.DUMMYFUNCTION("""COMPUTED_VALUE"""),"　12月23日、クリスマスを目前に賑わう羽田空港。管制官として独り立ちして間もない不安から、指示を出す前に先輩につい確認をとってしまう篠田香織(深田恭子)を、結城昇(時任三郎)は黙って見つめていた。その夜、本上圭介(平岡祐太)から呼び出された香織。本上は再びパイロットを目指すと話し、喜ぶ香織に前向きな気持ちになれたのは香織のおかげだとお礼を言う。そして、パイロット試験を受ける時のためにと、翌日のNY行きの飛行機のジャンプシートに乗ることを話す。  　12月24日。竹内裕美(瀬戸朝香)は、息子を送っていく車"&amp;"でカーナビのGPSが微妙にズレていることに気付くが、特に気に留めることはなかった。その日は西日本では大雪が降っていて、遅延やダイバードが増える可能性があるのに加え、メンバー内に病欠がいて少人数でのシフトになってしまう。  そんな中、本人は隠しているも翌日にカナダへ発ってしまう竹内のために、香織は仲間たちに協力をあおぎながらこっそりと動いていた。  　ターミナルレーダー室で管制を行っていた香織だが、1機が指示したポイントからずれ始めた。続いて後方機もコースからずれていき、酒井真奈(佐々木希)らが担当する飛行"&amp;"機にも同じ現象が起こりだした。それでもなんとか管制を続けていた香織たちだが、GPSに不具合が生じていることが原因だと判明…。")</f>
        <v>　12月23日、クリスマスを目前に賑わう羽田空港。管制官として独り立ちして間もない不安から、指示を出す前に先輩につい確認をとってしまう篠田香織(深田恭子)を、結城昇(時任三郎)は黙って見つめていた。その夜、本上圭介(平岡祐太)から呼び出された香織。本上は再びパイロットを目指すと話し、喜ぶ香織に前向きな気持ちになれたのは香織のおかげだとお礼を言う。そして、パイロット試験を受ける時のためにと、翌日のNY行きの飛行機のジャンプシートに乗ることを話す。  　12月24日。竹内裕美(瀬戸朝香)は、息子を送っていく車でカーナビのGPSが微妙にズレていることに気付くが、特に気に留めることはなかった。その日は西日本では大雪が降っていて、遅延やダイバードが増える可能性があるのに加え、メンバー内に病欠がいて少人数でのシフトになってしまう。  そんな中、本人は隠しているも翌日にカナダへ発ってしまう竹内のために、香織は仲間たちに協力をあおぎながらこっそりと動いていた。  　ターミナルレーダー室で管制を行っていた香織だが、1機が指示したポイントからずれ始めた。続いて後方機もコースからずれていき、酒井真奈(佐々木希)らが担当する飛行機にも同じ現象が起こりだした。それでもなんとか管制を続けていた香織たちだが、GPSに不具合が生じていることが原因だと判明…。</v>
      </c>
      <c r="O1155" s="2"/>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row>
    <row r="1156" ht="204.75" customHeight="1">
      <c r="A1156" s="1">
        <v>3653.0</v>
      </c>
      <c r="B1156" s="2" t="s">
        <v>3673</v>
      </c>
      <c r="C1156" s="2">
        <f>IFERROR(__xludf.DUMMYFUNCTION("split(B1156,""_"")"),1210.0)</f>
        <v>1210</v>
      </c>
      <c r="D1156" s="2" t="str">
        <f>IFERROR(__xludf.DUMMYFUNCTION("""COMPUTED_VALUE"""),"CX")</f>
        <v>CX</v>
      </c>
      <c r="E1156" s="2" t="str">
        <f>IFERROR(__xludf.DUMMYFUNCTION("""COMPUTED_VALUE"""),"日21")</f>
        <v>日21</v>
      </c>
      <c r="F1156" s="2" t="s">
        <v>3674</v>
      </c>
      <c r="G1156" s="2" t="s">
        <v>3702</v>
      </c>
      <c r="H1156" s="1">
        <v>10.0</v>
      </c>
      <c r="I1156" s="1" t="s">
        <v>37</v>
      </c>
      <c r="J1156" s="1" t="s">
        <v>4</v>
      </c>
      <c r="K1156" s="2" t="s">
        <v>3703</v>
      </c>
      <c r="L1156" s="2" t="s">
        <v>3704</v>
      </c>
      <c r="M1156" s="9" t="str">
        <f>IFERROR(__xludf.DUMMYFUNCTION("split(split(K1156,""篠田香織:　"",false),""airport/"",false)"),"http://www.fujitv.co.jp/tokyo-")</f>
        <v>http://www.fujitv.co.jp/tokyo-</v>
      </c>
      <c r="N1156" s="2" t="str">
        <f>IFERROR(__xludf.DUMMYFUNCTION("""COMPUTED_VALUE"""),"　12月24日。GPSの誤作動に加え停電が起こり、空港内は大混乱。この状況に皆が驚き騒然としている。  　この停電がGPSの誤作動の件と関わっていたら・・・。篠田香織(深田恭子)は、NY便に乗っている本上圭介(平岡祐太)を心配するが、気持ちを切り替え、仕事に集中しようと大きく息を吐き出した。　そんな状況の中、日没が迫ってきた。アメリカからの引き返し便や、地方空港の悪天候による滑走路閉鎖で羽田空港にはたくさんの飛行機が着陸予定。しかしこのままでは滑走路の灯火にも影響が出てきて、着陸ができなくなってしまう。香"&amp;"織、竹内裕美(瀬戸朝香)、結城昇(時任三郎)らは窮地に立たされ・・・。")</f>
        <v>　12月24日。GPSの誤作動に加え停電が起こり、空港内は大混乱。この状況に皆が驚き騒然としている。  　この停電がGPSの誤作動の件と関わっていたら・・・。篠田香織(深田恭子)は、NY便に乗っている本上圭介(平岡祐太)を心配するが、気持ちを切り替え、仕事に集中しようと大きく息を吐き出した。　そんな状況の中、日没が迫ってきた。アメリカからの引き返し便や、地方空港の悪天候による滑走路閉鎖で羽田空港にはたくさんの飛行機が着陸予定。しかしこのままでは滑走路の灯火にも影響が出てきて、着陸ができなくなってしまう。香織、竹内裕美(瀬戸朝香)、結城昇(時任三郎)らは窮地に立たされ・・・。</v>
      </c>
      <c r="O1156" s="2"/>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row>
    <row r="1157" ht="204.75" customHeight="1">
      <c r="A1157" s="1">
        <v>3666.0</v>
      </c>
      <c r="B1157" s="2" t="s">
        <v>3705</v>
      </c>
      <c r="C1157" s="2">
        <f>IFERROR(__xludf.DUMMYFUNCTION("split(B1157,""_"")"),1207.0)</f>
        <v>1207</v>
      </c>
      <c r="D1157" s="2" t="str">
        <f>IFERROR(__xludf.DUMMYFUNCTION("""COMPUTED_VALUE"""),"CX")</f>
        <v>CX</v>
      </c>
      <c r="E1157" s="2" t="str">
        <f>IFERROR(__xludf.DUMMYFUNCTION("""COMPUTED_VALUE"""),"月21")</f>
        <v>月21</v>
      </c>
      <c r="F1157" s="2" t="s">
        <v>3706</v>
      </c>
      <c r="G1157" s="2" t="s">
        <v>3707</v>
      </c>
      <c r="H1157" s="1">
        <v>1.0</v>
      </c>
      <c r="I1157" s="1" t="s">
        <v>3</v>
      </c>
      <c r="J1157" s="1" t="s">
        <v>4</v>
      </c>
      <c r="K1157" s="4" t="s">
        <v>3708</v>
      </c>
      <c r="L1157" s="2" t="s">
        <v>3709</v>
      </c>
      <c r="M1157" s="2" t="str">
        <f>IFERROR(__xludf.DUMMYFUNCTION("split(split(K1157,""小栗旬　"",false),""公式LINE"",false)"),"日向徹(小栗旬)は、29歳にして時価総額3000億円とも言われるIT企業「NEXT　INNOVATION」を率いる注目の若手社長。日向に可能性を感じた朝比奈恒介(井浦新)が会社設立を持ちかけて、8年前に大学が開放した古い学生会館の一室から会社をスタート。瞬く間に成功を収めた。  　一方、澤木千尋(石原さとみ)は、東京大学理学部という学歴ながら就職が決まらず面接に奔走する日々を送っていた。そんなある日、面接に向かう途中で、「NEXT　INNOVATION」が入る高層ビルが目に止まった。  　そのころ、日向は"&amp;"朝比奈と取締役の山上芳行(佐野史郎)を前に、戸籍をインターネット上で管理するシステムを作る計画を明かした。日向は、国が着手する前に自分たちがやるんだと意気込むが、山上は、初期投資だけで会社の金が吹き飛んでしまうと難色を示す。  　数日後、千尋は「NEXT　INNOVATION」の会社説明会にやってくる。学生で埋め尽くされた会場の最前列に千尋が座ると、ステージに日向が現れた。  　日向は、自分の話を終えると、学生に質問を始めた。最前列の端から指名する中、ついに千尋の番になった。いきなり内定数を聞かれた千尋は"&amp;"、正直にゼロだと明かした。すると日向は、東大卒でも内定がもらえない時代なのか、それとも千尋によっぽどの欠陥があるのかと、千尋を値踏みするように見て…。")</f>
        <v>日向徹(小栗旬)は、29歳にして時価総額3000億円とも言われるIT企業「NEXT　INNOVATION」を率いる注目の若手社長。日向に可能性を感じた朝比奈恒介(井浦新)が会社設立を持ちかけて、8年前に大学が開放した古い学生会館の一室から会社をスタート。瞬く間に成功を収めた。  　一方、澤木千尋(石原さとみ)は、東京大学理学部という学歴ながら就職が決まらず面接に奔走する日々を送っていた。そんなある日、面接に向かう途中で、「NEXT　INNOVATION」が入る高層ビルが目に止まった。  　そのころ、日向は朝比奈と取締役の山上芳行(佐野史郎)を前に、戸籍をインターネット上で管理するシステムを作る計画を明かした。日向は、国が着手する前に自分たちがやるんだと意気込むが、山上は、初期投資だけで会社の金が吹き飛んでしまうと難色を示す。  　数日後、千尋は「NEXT　INNOVATION」の会社説明会にやってくる。学生で埋め尽くされた会場の最前列に千尋が座ると、ステージに日向が現れた。  　日向は、自分の話を終えると、学生に質問を始めた。最前列の端から指名する中、ついに千尋の番になった。いきなり内定数を聞かれた千尋は、正直にゼロだと明かした。すると日向は、東大卒でも内定がもらえない時代なのか、それとも千尋によっぽどの欠陥があるのかと、千尋を値踏みするように見て…。</v>
      </c>
      <c r="N1157" s="2"/>
      <c r="O1157" s="2"/>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row>
    <row r="1158" ht="204.75" customHeight="1">
      <c r="A1158" s="1">
        <v>3667.0</v>
      </c>
      <c r="B1158" s="2" t="s">
        <v>3705</v>
      </c>
      <c r="C1158" s="2">
        <f>IFERROR(__xludf.DUMMYFUNCTION("split(B1158,""_"")"),1207.0)</f>
        <v>1207</v>
      </c>
      <c r="D1158" s="2" t="str">
        <f>IFERROR(__xludf.DUMMYFUNCTION("""COMPUTED_VALUE"""),"CX")</f>
        <v>CX</v>
      </c>
      <c r="E1158" s="2" t="str">
        <f>IFERROR(__xludf.DUMMYFUNCTION("""COMPUTED_VALUE"""),"月21")</f>
        <v>月21</v>
      </c>
      <c r="F1158" s="2" t="s">
        <v>3706</v>
      </c>
      <c r="G1158" s="2" t="s">
        <v>3710</v>
      </c>
      <c r="H1158" s="1">
        <v>2.0</v>
      </c>
      <c r="I1158" s="1" t="s">
        <v>7</v>
      </c>
      <c r="J1158" s="1" t="s">
        <v>11</v>
      </c>
      <c r="K1158" s="2" t="s">
        <v>3711</v>
      </c>
      <c r="L1158" s="2" t="s">
        <v>3712</v>
      </c>
      <c r="M1158" s="2" t="str">
        <f>IFERROR(__xludf.DUMMYFUNCTION("split(split(K1158,""小栗旬　"",false),""公式LINE"",false)"),"日向徹(小栗旬)は、澤木千尋(石原さとみ)を「NEXT　INNOVATION」に来させると、総務省の藤川事務次官(大地真央)から呼び出しがあったと告げる。藤川がよほど千尋を気に入ったからだ、と徹は言うが、千尋は自分の都合などお構いなしの徹に不満をこぼす。徹は意に介さず、日当と成功報酬を払う、と言い放つ。その後、藤川との面会が無事終わった帰りのタクシーの中で、徹は大量の資料を千尋に渡し来週までに覚えて来い、と命じる。そして、車を停めると自分は用事があるからと言って、千尋を降ろした。そのとき千尋は、昨夜、徹の"&amp;"車中に靴を忘れた事を思い出し、返してほしいと頼む。徹は、財布から1万円札数枚を取ると、あれは捨てたから新しいものを買え、と差し出す。悔しい千尋は「お金があると人は変わるんですね」と言い捨てると、金を受け取らずに立ち去った。  　同じ頃、朝比奈恒介(井浦新)はバーで山上芳行(佐野史郎)のグチを聞いていた。酒に酔った山上は、代表取締役である徹の解任決議を出そう、などと言う。そんなところへ、レストランの仕事を終えた朝比奈燿子(相武紗季)が入ってきて、徹はいないのか、と聞く。  　その頃、徹はなじみの禅寺にいた。"&amp;"僧侶の笛木匡正(中原丈雄)に、自分の母親と同姓同名の人物が現れたと明かしていた。他人とわかりながらも、母と同じように失うのが惜しくて、口実をつけて引き留めているのだ、と言い…。")</f>
        <v>日向徹(小栗旬)は、澤木千尋(石原さとみ)を「NEXT　INNOVATION」に来させると、総務省の藤川事務次官(大地真央)から呼び出しがあったと告げる。藤川がよほど千尋を気に入ったからだ、と徹は言うが、千尋は自分の都合などお構いなしの徹に不満をこぼす。徹は意に介さず、日当と成功報酬を払う、と言い放つ。その後、藤川との面会が無事終わった帰りのタクシーの中で、徹は大量の資料を千尋に渡し来週までに覚えて来い、と命じる。そして、車を停めると自分は用事があるからと言って、千尋を降ろした。そのとき千尋は、昨夜、徹の車中に靴を忘れた事を思い出し、返してほしいと頼む。徹は、財布から1万円札数枚を取ると、あれは捨てたから新しいものを買え、と差し出す。悔しい千尋は「お金があると人は変わるんですね」と言い捨てると、金を受け取らずに立ち去った。  　同じ頃、朝比奈恒介(井浦新)はバーで山上芳行(佐野史郎)のグチを聞いていた。酒に酔った山上は、代表取締役である徹の解任決議を出そう、などと言う。そんなところへ、レストランの仕事を終えた朝比奈燿子(相武紗季)が入ってきて、徹はいないのか、と聞く。  　その頃、徹はなじみの禅寺にいた。僧侶の笛木匡正(中原丈雄)に、自分の母親と同姓同名の人物が現れたと明かしていた。他人とわかりながらも、母と同じように失うのが惜しくて、口実をつけて引き留めているのだ、と言い…。</v>
      </c>
      <c r="N1158" s="2"/>
      <c r="O1158" s="2"/>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row>
    <row r="1159" ht="204.75" customHeight="1">
      <c r="A1159" s="1">
        <v>3668.0</v>
      </c>
      <c r="B1159" s="2" t="s">
        <v>3705</v>
      </c>
      <c r="C1159" s="2">
        <f>IFERROR(__xludf.DUMMYFUNCTION("split(B1159,""_"")"),1207.0)</f>
        <v>1207</v>
      </c>
      <c r="D1159" s="2" t="str">
        <f>IFERROR(__xludf.DUMMYFUNCTION("""COMPUTED_VALUE"""),"CX")</f>
        <v>CX</v>
      </c>
      <c r="E1159" s="2" t="str">
        <f>IFERROR(__xludf.DUMMYFUNCTION("""COMPUTED_VALUE"""),"月21")</f>
        <v>月21</v>
      </c>
      <c r="F1159" s="2" t="s">
        <v>3706</v>
      </c>
      <c r="G1159" s="2" t="s">
        <v>3713</v>
      </c>
      <c r="H1159" s="1">
        <v>3.0</v>
      </c>
      <c r="I1159" s="1" t="s">
        <v>10</v>
      </c>
      <c r="J1159" s="1" t="s">
        <v>11</v>
      </c>
      <c r="K1159" s="2" t="s">
        <v>3714</v>
      </c>
      <c r="L1159" s="2" t="s">
        <v>3715</v>
      </c>
      <c r="M1159" s="2" t="str">
        <f>IFERROR(__xludf.DUMMYFUNCTION("split(split(K1159,""小栗旬　"",false),""公式LINE"",false)"),"日向徹(小栗旬)は、バイクの後ろに朝比奈燿子(相武紗季)を乗せてNEXT　INNOVATIONに戻ってくる。バイクから降りた燿子は、それを目撃した澤木千尋(石原さとみ)に、偶然だと声をかけた。  　そんな折、日向は千尋に名刺が入った箱を差し出す。社員でもないのに、と戸惑いながらも、自分のアバターが印刷された名刺を日向が作ってくれたことが嬉しい。しかし、印字された名前を見た千尋は「澤木千尋」が偽名だとはますます言い出しにくくなる。千尋からそう聞いた親友の小野遙香(野村麻純)は、以前から日向を知っていたのか、"&amp;"と聞く。千尋は、自分が高校生の頃、日向と出会った話を始め…。  　翌日、千尋が定時前に出社すると、社員たちはすでに出社し熱心に仕事をしていた。焦った千尋に、安岡倫哉(浅利陽介)は、今日が「デスメールの日」と呼ばれる契約更新の日だからだと説明。プログラマーらは3カ月ごとに契約を延長するが、契約更新できなければ日向から解雇通知のメールが届くのだという。さらに、会社のホープといわれる坂口(中野裕太)にもデスメールが届く。怒った坂口は、日向と朝比奈に食ってかかるが一蹴されてしまう。  　その後、日向は千尋に解雇し"&amp;"た社員たちの不要書類を廃棄処分させる。その中に、ほとんど使っていない名刺を見つけた千尋は、日向のやり方を悪趣味だと批判。それを聞いた日向は…。")</f>
        <v>日向徹(小栗旬)は、バイクの後ろに朝比奈燿子(相武紗季)を乗せてNEXT　INNOVATIONに戻ってくる。バイクから降りた燿子は、それを目撃した澤木千尋(石原さとみ)に、偶然だと声をかけた。  　そんな折、日向は千尋に名刺が入った箱を差し出す。社員でもないのに、と戸惑いながらも、自分のアバターが印刷された名刺を日向が作ってくれたことが嬉しい。しかし、印字された名前を見た千尋は「澤木千尋」が偽名だとはますます言い出しにくくなる。千尋からそう聞いた親友の小野遙香(野村麻純)は、以前から日向を知っていたのか、と聞く。千尋は、自分が高校生の頃、日向と出会った話を始め…。  　翌日、千尋が定時前に出社すると、社員たちはすでに出社し熱心に仕事をしていた。焦った千尋に、安岡倫哉(浅利陽介)は、今日が「デスメールの日」と呼ばれる契約更新の日だからだと説明。プログラマーらは3カ月ごとに契約を延長するが、契約更新できなければ日向から解雇通知のメールが届くのだという。さらに、会社のホープといわれる坂口(中野裕太)にもデスメールが届く。怒った坂口は、日向と朝比奈に食ってかかるが一蹴されてしまう。  　その後、日向は千尋に解雇した社員たちの不要書類を廃棄処分させる。その中に、ほとんど使っていない名刺を見つけた千尋は、日向のやり方を悪趣味だと批判。それを聞いた日向は…。</v>
      </c>
      <c r="N1159" s="2"/>
      <c r="O1159" s="2"/>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row>
    <row r="1160" ht="204.75" customHeight="1">
      <c r="A1160" s="1">
        <v>3669.0</v>
      </c>
      <c r="B1160" s="2" t="s">
        <v>3705</v>
      </c>
      <c r="C1160" s="2">
        <f>IFERROR(__xludf.DUMMYFUNCTION("split(B1160,""_"")"),1207.0)</f>
        <v>1207</v>
      </c>
      <c r="D1160" s="2" t="str">
        <f>IFERROR(__xludf.DUMMYFUNCTION("""COMPUTED_VALUE"""),"CX")</f>
        <v>CX</v>
      </c>
      <c r="E1160" s="2" t="str">
        <f>IFERROR(__xludf.DUMMYFUNCTION("""COMPUTED_VALUE"""),"月21")</f>
        <v>月21</v>
      </c>
      <c r="F1160" s="2" t="s">
        <v>3706</v>
      </c>
      <c r="G1160" s="2" t="s">
        <v>3716</v>
      </c>
      <c r="H1160" s="1">
        <v>4.0</v>
      </c>
      <c r="I1160" s="1" t="s">
        <v>14</v>
      </c>
      <c r="J1160" s="1" t="s">
        <v>4</v>
      </c>
      <c r="K1160" s="2" t="s">
        <v>3717</v>
      </c>
      <c r="L1160" s="2" t="s">
        <v>3718</v>
      </c>
      <c r="M1160" s="2" t="str">
        <f>IFERROR(__xludf.DUMMYFUNCTION("split(split(K1160,""小栗旬　"",false),""公式LINE"",false)"),"日向徹(小栗旬)が進めるパーソナルファイル管理システムの開発が遅れ、日向はいらだっていた。さらに、大手家電メーカーも同システムへの参入を表明、「NEXT　INNOVATION」は正念場に立たされる。  　一方、日向にクビを宣告され落ち込む澤木千尋(石原さとみ)に、小野遙香(野村麻純)は、日向に謝るなり償いをするなり、何か行動を起こすべきだと忠告する。  　朝比奈恒介(井浦新)は、千尋をクビにしたのはまずかったのでは、と言うが、日向は国民の個人情報を預かろうとしている会社に偽名を使う人間を置いておくことはで"&amp;"きない、と平然と返す。  　そんな折、千尋は区役所に出向くと、そこにいた人々に役所や公的機関で不便に感じていることはないか、数年後に導入される「共通番号制度」に求める機能はないか、と聞き込み調査を行う。  　日向は、自分が望むようなシステムができないことに腹を立て、自ら作成すると言いオフィスに閉じこもる。42時間が過ぎた頃、見かねた安岡倫哉(浅利陽介)が日向を外に連れ出すと、そこで朝比奈燿子(相武紗季)と出くわす。仕事で切羽詰まっていたふたりは、ともに休憩を取ることにし…。  　そんな折、調査を続けていた"&amp;"千尋は、振り込め詐欺を疑われ、警察に連行されてしまう。深夜、警察から連絡を受けた日向はしぶしぶ千尋を迎えに行き、オフィスに連れて帰る。オフィスでふたりきりとなった日向と千尋は…。")</f>
        <v>日向徹(小栗旬)が進めるパーソナルファイル管理システムの開発が遅れ、日向はいらだっていた。さらに、大手家電メーカーも同システムへの参入を表明、「NEXT　INNOVATION」は正念場に立たされる。  　一方、日向にクビを宣告され落ち込む澤木千尋(石原さとみ)に、小野遙香(野村麻純)は、日向に謝るなり償いをするなり、何か行動を起こすべきだと忠告する。  　朝比奈恒介(井浦新)は、千尋をクビにしたのはまずかったのでは、と言うが、日向は国民の個人情報を預かろうとしている会社に偽名を使う人間を置いておくことはできない、と平然と返す。  　そんな折、千尋は区役所に出向くと、そこにいた人々に役所や公的機関で不便に感じていることはないか、数年後に導入される「共通番号制度」に求める機能はないか、と聞き込み調査を行う。  　日向は、自分が望むようなシステムができないことに腹を立て、自ら作成すると言いオフィスに閉じこもる。42時間が過ぎた頃、見かねた安岡倫哉(浅利陽介)が日向を外に連れ出すと、そこで朝比奈燿子(相武紗季)と出くわす。仕事で切羽詰まっていたふたりは、ともに休憩を取ることにし…。  　そんな折、調査を続けていた千尋は、振り込め詐欺を疑われ、警察に連行されてしまう。深夜、警察から連絡を受けた日向はしぶしぶ千尋を迎えに行き、オフィスに連れて帰る。オフィスでふたりきりとなった日向と千尋は…。</v>
      </c>
      <c r="N1160" s="2"/>
      <c r="O1160" s="2"/>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row>
    <row r="1161" ht="204.75" customHeight="1">
      <c r="A1161" s="1">
        <v>3670.0</v>
      </c>
      <c r="B1161" s="2" t="s">
        <v>3705</v>
      </c>
      <c r="C1161" s="2">
        <f>IFERROR(__xludf.DUMMYFUNCTION("split(B1161,""_"")"),1207.0)</f>
        <v>1207</v>
      </c>
      <c r="D1161" s="2" t="str">
        <f>IFERROR(__xludf.DUMMYFUNCTION("""COMPUTED_VALUE"""),"CX")</f>
        <v>CX</v>
      </c>
      <c r="E1161" s="2" t="str">
        <f>IFERROR(__xludf.DUMMYFUNCTION("""COMPUTED_VALUE"""),"月21")</f>
        <v>月21</v>
      </c>
      <c r="F1161" s="2" t="s">
        <v>3706</v>
      </c>
      <c r="G1161" s="2" t="s">
        <v>3719</v>
      </c>
      <c r="H1161" s="1">
        <v>5.0</v>
      </c>
      <c r="I1161" s="1" t="s">
        <v>17</v>
      </c>
      <c r="J1161" s="1" t="s">
        <v>11</v>
      </c>
      <c r="K1161" s="2" t="s">
        <v>3720</v>
      </c>
      <c r="L1161" s="2" t="s">
        <v>3721</v>
      </c>
      <c r="M1161" s="2" t="str">
        <f>IFERROR(__xludf.DUMMYFUNCTION("split(split(K1161,""小栗旬　"",false),""公式LINE"",false)"),"日向徹(小栗旬)がエレベーターに乗ると、そこに夏井真琴(石原さとみ)がいた。沈黙のなか、真琴の脳裏には日向と朝比奈燿子(相武紗季)のキスシーンがよみがえる。途中の階で燿子も乗り込んできて、激しく動揺した真琴は、適当な階で降りてしまう。残された日向と燿子の間にも気まずい空気が…。  　そんな折、日向が進めるパーソナルファイルの運用実験を、ある農村で行うことになった。協力するのは、世界が注目する工業デザイナーでありながら突然引退し、故郷でトマト栽培をしている青山誠人(片岡鶴太郎)という人物。彼は偶然にも真琴の"&amp;"メル友でもあった。  　何者かに尾行されている気配を感じ始めていた朝比奈恒介(井浦新)は、ある日、階段から突き落とされ重傷を負う。病室に朝比奈を見舞った日向は、怪我を気遣いながらも「NEXT　INNOVATION」の社員だった遠野秋洋(綾野剛)に会ったと報告する。  　数日後、日向、真琴、小川智史(中村靖日)により農村で運用実験を開始したが、反応がない。住民たちがパソコン操作を嫌っていたのだ。思わぬ落とし穴に苦心する中、ライバルの大手家電メーカーがNEXT　INNOVATIONを大きく上回る規模のシステム"&amp;"開発チームを立ち上げた、とのニュースが飛び込んでくる。  　そんなある日、朝比奈から燿子に渡すよう頼まれた書類を持ってレストランを訪れた真琴は、燿子の隣にいる笑顔の日向を目撃して…。")</f>
        <v>日向徹(小栗旬)がエレベーターに乗ると、そこに夏井真琴(石原さとみ)がいた。沈黙のなか、真琴の脳裏には日向と朝比奈燿子(相武紗季)のキスシーンがよみがえる。途中の階で燿子も乗り込んできて、激しく動揺した真琴は、適当な階で降りてしまう。残された日向と燿子の間にも気まずい空気が…。  　そんな折、日向が進めるパーソナルファイルの運用実験を、ある農村で行うことになった。協力するのは、世界が注目する工業デザイナーでありながら突然引退し、故郷でトマト栽培をしている青山誠人(片岡鶴太郎)という人物。彼は偶然にも真琴のメル友でもあった。  　何者かに尾行されている気配を感じ始めていた朝比奈恒介(井浦新)は、ある日、階段から突き落とされ重傷を負う。病室に朝比奈を見舞った日向は、怪我を気遣いながらも「NEXT　INNOVATION」の社員だった遠野秋洋(綾野剛)に会ったと報告する。  　数日後、日向、真琴、小川智史(中村靖日)により農村で運用実験を開始したが、反応がない。住民たちがパソコン操作を嫌っていたのだ。思わぬ落とし穴に苦心する中、ライバルの大手家電メーカーがNEXT　INNOVATIONを大きく上回る規模のシステム開発チームを立ち上げた、とのニュースが飛び込んでくる。  　そんなある日、朝比奈から燿子に渡すよう頼まれた書類を持ってレストランを訪れた真琴は、燿子の隣にいる笑顔の日向を目撃して…。</v>
      </c>
      <c r="N1161" s="2"/>
      <c r="O1161" s="2"/>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row>
    <row r="1162" ht="204.75" customHeight="1">
      <c r="A1162" s="1">
        <v>3671.0</v>
      </c>
      <c r="B1162" s="2" t="s">
        <v>3705</v>
      </c>
      <c r="C1162" s="2">
        <f>IFERROR(__xludf.DUMMYFUNCTION("split(B1162,""_"")"),1207.0)</f>
        <v>1207</v>
      </c>
      <c r="D1162" s="2" t="str">
        <f>IFERROR(__xludf.DUMMYFUNCTION("""COMPUTED_VALUE"""),"CX")</f>
        <v>CX</v>
      </c>
      <c r="E1162" s="2" t="str">
        <f>IFERROR(__xludf.DUMMYFUNCTION("""COMPUTED_VALUE"""),"月21")</f>
        <v>月21</v>
      </c>
      <c r="F1162" s="2" t="s">
        <v>3706</v>
      </c>
      <c r="G1162" s="2" t="s">
        <v>3722</v>
      </c>
      <c r="H1162" s="1">
        <v>6.0</v>
      </c>
      <c r="I1162" s="1" t="s">
        <v>21</v>
      </c>
      <c r="J1162" s="1" t="s">
        <v>11</v>
      </c>
      <c r="K1162" s="2" t="s">
        <v>3723</v>
      </c>
      <c r="L1162" s="2" t="s">
        <v>3724</v>
      </c>
      <c r="M1162" s="2" t="str">
        <f>IFERROR(__xludf.DUMMYFUNCTION("split(split(K1162,""小栗旬　"",false),""公式LINE"",false)"),"日向徹(小栗旬)は、個人情報流出の件で会見を開く。流出経路は警察の協力を得て調査中だが、外部侵入の形跡はない、と日向は淡々と報告した。しかし、株主総会が迫る中、株価は下げ続け、社員たちの間に動揺が広がる。  　大量の個人情報を持ち出せたのは、最近「NEXT　INNOVATION」に在籍した者以外ありえないとの結論から、社員たちの検閲が行われることに。監視カメラなどを確認するが、疑わしい人物は浮上しない。  　そんな折、山上芳行(佐野史郎)は、流出騒動が収まるまでパーソナルファイルの件は保留だと発言し、夏井"&amp;"真琴(石原さとみ)に総務省に流出騒動の件の探りを入れるよう指示。すると、朝比奈恒介(井浦新)が、あと2週間で契約が終わる真琴には任せられないと言う。真琴は、自分にやらせて欲しいと頼むが、日向にも一蹴されてしまう。  　一方、レストランの客入りが思わしくない朝比奈燿子(相武紗季)は、余った食材を使った料理教室を発案。ライバルのシェフ・乃木湧太(丸山智己)にメニュー考案を依頼する。  　株主総会の準備に追われる真琴は、そんな燿子と鉢合わせる。日向との関係が気になる真琴は、動揺するあまり燿子が日向の妻となれば鉄"&amp;"壁だ、と口走る。  　株主総会で責任を追求され、自宅で落ち込んでいた日向は、真琴の携帯を鳴らすが、オフィスで朝比奈と2人きりの真琴は気づかない。そのとき、日向の部屋のチャイムが鳴って…。")</f>
        <v>日向徹(小栗旬)は、個人情報流出の件で会見を開く。流出経路は警察の協力を得て調査中だが、外部侵入の形跡はない、と日向は淡々と報告した。しかし、株主総会が迫る中、株価は下げ続け、社員たちの間に動揺が広がる。  　大量の個人情報を持ち出せたのは、最近「NEXT　INNOVATION」に在籍した者以外ありえないとの結論から、社員たちの検閲が行われることに。監視カメラなどを確認するが、疑わしい人物は浮上しない。  　そんな折、山上芳行(佐野史郎)は、流出騒動が収まるまでパーソナルファイルの件は保留だと発言し、夏井真琴(石原さとみ)に総務省に流出騒動の件の探りを入れるよう指示。すると、朝比奈恒介(井浦新)が、あと2週間で契約が終わる真琴には任せられないと言う。真琴は、自分にやらせて欲しいと頼むが、日向にも一蹴されてしまう。  　一方、レストランの客入りが思わしくない朝比奈燿子(相武紗季)は、余った食材を使った料理教室を発案。ライバルのシェフ・乃木湧太(丸山智己)にメニュー考案を依頼する。  　株主総会の準備に追われる真琴は、そんな燿子と鉢合わせる。日向との関係が気になる真琴は、動揺するあまり燿子が日向の妻となれば鉄壁だ、と口走る。  　株主総会で責任を追求され、自宅で落ち込んでいた日向は、真琴の携帯を鳴らすが、オフィスで朝比奈と2人きりの真琴は気づかない。そのとき、日向の部屋のチャイムが鳴って…。</v>
      </c>
      <c r="N1162" s="2"/>
      <c r="O1162" s="2"/>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row>
    <row r="1163" ht="204.75" customHeight="1">
      <c r="A1163" s="1">
        <v>3672.0</v>
      </c>
      <c r="B1163" s="2" t="s">
        <v>3705</v>
      </c>
      <c r="C1163" s="2">
        <f>IFERROR(__xludf.DUMMYFUNCTION("split(B1163,""_"")"),1207.0)</f>
        <v>1207</v>
      </c>
      <c r="D1163" s="2" t="str">
        <f>IFERROR(__xludf.DUMMYFUNCTION("""COMPUTED_VALUE"""),"CX")</f>
        <v>CX</v>
      </c>
      <c r="E1163" s="2" t="str">
        <f>IFERROR(__xludf.DUMMYFUNCTION("""COMPUTED_VALUE"""),"月21")</f>
        <v>月21</v>
      </c>
      <c r="F1163" s="2" t="s">
        <v>3706</v>
      </c>
      <c r="G1163" s="2" t="s">
        <v>3725</v>
      </c>
      <c r="H1163" s="1">
        <v>7.0</v>
      </c>
      <c r="I1163" s="1" t="s">
        <v>25</v>
      </c>
      <c r="J1163" s="1" t="s">
        <v>11</v>
      </c>
      <c r="K1163" s="2" t="s">
        <v>3726</v>
      </c>
      <c r="L1163" s="2" t="s">
        <v>3727</v>
      </c>
      <c r="M1163" s="2" t="str">
        <f>IFERROR(__xludf.DUMMYFUNCTION("split(split(K1163,""小栗旬　"",false),""公式LINE"",false)"),"日向徹(小栗旬)は朝比奈恒介(井浦新)、山上芳行(佐野史郎)とともに業務停止命令を受けた「NEXT　INNOVATION」にいた。倒産の可能性もある中、現金調達方法について議論するも、覇気のない日向。そんな日向に、朝比奈は夏井真琴(石原さとみ)に迫ったがフラれてしまった、などと水を向ける。  　そこへ、休暇を取らされていた社員たちがやってくる。真琴は日向のオフィスを訪ねるが、いきなり「嘘つき女」と言われる。自分が電話に出られなかったことを言っているのだと察して謝罪する真琴。しかし、日向も真琴から折り返しを"&amp;"もらったとき、朝比奈燿子(相武紗季)と抱き合っていたことが脳裏をよぎり、気まずい。そんな日向に真琴は、あなたには敵も多いが、自分たちのような味方もいるのだから、虚勢を張ってでも安心させてほしい、と語る。その言葉に慰められた日向は、自分の株を現金化して個人情報を流失してしまった500万人へ謝罪金を出すことを思いつく。日向はそんな自分のやり方は間違っているのか、と朝比奈に聞く。朝比奈から、お前のやり方を疑った俺が間違っていたと、逆に背中を押された日向は会社の再建を誓う。  　そんな折、真琴のもとに大手製薬会社"&amp;"から研究員としてのオファーが舞い込む。突然の内定に喜びつつも、日向のもとを離れるのが辛い真琴。日向と2人きりになった夜に、あなたのもとで働きたい、と告白してきた真琴に日向は…。")</f>
        <v>日向徹(小栗旬)は朝比奈恒介(井浦新)、山上芳行(佐野史郎)とともに業務停止命令を受けた「NEXT　INNOVATION」にいた。倒産の可能性もある中、現金調達方法について議論するも、覇気のない日向。そんな日向に、朝比奈は夏井真琴(石原さとみ)に迫ったがフラれてしまった、などと水を向ける。  　そこへ、休暇を取らされていた社員たちがやってくる。真琴は日向のオフィスを訪ねるが、いきなり「嘘つき女」と言われる。自分が電話に出られなかったことを言っているのだと察して謝罪する真琴。しかし、日向も真琴から折り返しをもらったとき、朝比奈燿子(相武紗季)と抱き合っていたことが脳裏をよぎり、気まずい。そんな日向に真琴は、あなたには敵も多いが、自分たちのような味方もいるのだから、虚勢を張ってでも安心させてほしい、と語る。その言葉に慰められた日向は、自分の株を現金化して個人情報を流失してしまった500万人へ謝罪金を出すことを思いつく。日向はそんな自分のやり方は間違っているのか、と朝比奈に聞く。朝比奈から、お前のやり方を疑った俺が間違っていたと、逆に背中を押された日向は会社の再建を誓う。  　そんな折、真琴のもとに大手製薬会社から研究員としてのオファーが舞い込む。突然の内定に喜びつつも、日向のもとを離れるのが辛い真琴。日向と2人きりになった夜に、あなたのもとで働きたい、と告白してきた真琴に日向は…。</v>
      </c>
      <c r="N1163" s="2"/>
      <c r="O1163" s="2"/>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row>
    <row r="1164" ht="204.75" customHeight="1">
      <c r="A1164" s="1">
        <v>3673.0</v>
      </c>
      <c r="B1164" s="2" t="s">
        <v>3705</v>
      </c>
      <c r="C1164" s="2">
        <f>IFERROR(__xludf.DUMMYFUNCTION("split(B1164,""_"")"),1207.0)</f>
        <v>1207</v>
      </c>
      <c r="D1164" s="2" t="str">
        <f>IFERROR(__xludf.DUMMYFUNCTION("""COMPUTED_VALUE"""),"CX")</f>
        <v>CX</v>
      </c>
      <c r="E1164" s="2" t="str">
        <f>IFERROR(__xludf.DUMMYFUNCTION("""COMPUTED_VALUE"""),"月21")</f>
        <v>月21</v>
      </c>
      <c r="F1164" s="2" t="s">
        <v>3706</v>
      </c>
      <c r="G1164" s="2" t="s">
        <v>3728</v>
      </c>
      <c r="H1164" s="1">
        <v>8.0</v>
      </c>
      <c r="I1164" s="1" t="s">
        <v>29</v>
      </c>
      <c r="J1164" s="1" t="s">
        <v>11</v>
      </c>
      <c r="K1164" s="2" t="s">
        <v>3729</v>
      </c>
      <c r="L1164" s="2" t="s">
        <v>3730</v>
      </c>
      <c r="M1164" s="2" t="str">
        <f>IFERROR(__xludf.DUMMYFUNCTION("split(split(K1164,""小栗旬　"",false),""公式LINE"",false)"),"辞任会見を終えた日向徹(小栗旬)は、朝比奈恒介(井浦新)に、全部お前がやったことなのか、と詰め寄る。それを認めた朝比奈は、自分が徹を甘やかしすぎた結果こうなったんだ、と冷たく言い放つ。さらに、山上芳行(佐野史郎)からパーソナルファイル事業の所有権は「NEXT　INNOVATION」にあるので手を引いてくれ、と言われた徹だったが、自分が執着した事業は譲れないと、申し出を拒否、社員数名と新会社を設立して事業を引き継ぐ、と宣言する。  　オフィスに出てきた朝比奈は、アイデアとスピードで勝負してきた徹にはこの会社"&amp;"は足手まといだからと、自らの社長就任を宣言する。朝比奈の圧倒的な存在感に敗北感を味わう徹。そんな2人を夏井真琴(石原さとみ)は複雑な心境で見つめていた…。  　オフィスを片付け始めた徹。真琴の動向が気になり、内定が出ている製薬会社について尋ねるが、着々と進展していると報告され、寂しい…。　そんな折、徹の送別会が計画され、真琴は朝比奈燿子(相武紗季)に料理を頼みに行く。燿子から、明日で契約満了になるのは寂しい?と聞かれた真琴は、否定するも、本音は見抜かれていた。  　送別会当日。徹は社員たちを前に、自分から"&amp;"全ての資産を奪った朝比奈への感謝の言葉を述べていた。新会社でパーソナルファイル事業だけは継続していこうと決意した徹。ところが、そこにも朝比奈の策略が待ち受けていて…。")</f>
        <v>辞任会見を終えた日向徹(小栗旬)は、朝比奈恒介(井浦新)に、全部お前がやったことなのか、と詰め寄る。それを認めた朝比奈は、自分が徹を甘やかしすぎた結果こうなったんだ、と冷たく言い放つ。さらに、山上芳行(佐野史郎)からパーソナルファイル事業の所有権は「NEXT　INNOVATION」にあるので手を引いてくれ、と言われた徹だったが、自分が執着した事業は譲れないと、申し出を拒否、社員数名と新会社を設立して事業を引き継ぐ、と宣言する。  　オフィスに出てきた朝比奈は、アイデアとスピードで勝負してきた徹にはこの会社は足手まといだからと、自らの社長就任を宣言する。朝比奈の圧倒的な存在感に敗北感を味わう徹。そんな2人を夏井真琴(石原さとみ)は複雑な心境で見つめていた…。  　オフィスを片付け始めた徹。真琴の動向が気になり、内定が出ている製薬会社について尋ねるが、着々と進展していると報告され、寂しい…。　そんな折、徹の送別会が計画され、真琴は朝比奈燿子(相武紗季)に料理を頼みに行く。燿子から、明日で契約満了になるのは寂しい?と聞かれた真琴は、否定するも、本音は見抜かれていた。  　送別会当日。徹は社員たちを前に、自分から全ての資産を奪った朝比奈への感謝の言葉を述べていた。新会社でパーソナルファイル事業だけは継続していこうと決意した徹。ところが、そこにも朝比奈の策略が待ち受けていて…。</v>
      </c>
      <c r="N1164" s="2"/>
      <c r="O1164" s="2"/>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row>
    <row r="1165" ht="204.75" customHeight="1">
      <c r="A1165" s="1">
        <v>3674.0</v>
      </c>
      <c r="B1165" s="2" t="s">
        <v>3705</v>
      </c>
      <c r="C1165" s="2">
        <f>IFERROR(__xludf.DUMMYFUNCTION("split(B1165,""_"")"),1207.0)</f>
        <v>1207</v>
      </c>
      <c r="D1165" s="2" t="str">
        <f>IFERROR(__xludf.DUMMYFUNCTION("""COMPUTED_VALUE"""),"CX")</f>
        <v>CX</v>
      </c>
      <c r="E1165" s="2" t="str">
        <f>IFERROR(__xludf.DUMMYFUNCTION("""COMPUTED_VALUE"""),"月21")</f>
        <v>月21</v>
      </c>
      <c r="F1165" s="2" t="s">
        <v>3706</v>
      </c>
      <c r="G1165" s="2" t="s">
        <v>3731</v>
      </c>
      <c r="H1165" s="1">
        <v>9.0</v>
      </c>
      <c r="I1165" s="1" t="s">
        <v>33</v>
      </c>
      <c r="J1165" s="1" t="s">
        <v>11</v>
      </c>
      <c r="K1165" s="2" t="s">
        <v>3732</v>
      </c>
      <c r="L1165" s="2" t="s">
        <v>3733</v>
      </c>
      <c r="M1165" s="2" t="str">
        <f>IFERROR(__xludf.DUMMYFUNCTION("split(split(K1165,""小栗旬　"",false),""公式LINE"",false)"),"朝比奈恒介(井浦新)からパーソナルファイル事業までも奪われ、送別会を飛び出した日向徹(小栗旬)。日向の後を追った夏井真琴(石原さとみ)は、あなたについて行きたい、と後部座席に乗り込み、徹はそのままバイクを走らせた。日没後の海辺で目覚めた日向の隣には、真琴が寄り添っていた。気まずい状況のなか、真琴の顔に風でコンビニ袋が張り付き、笑う徹。彼女の顔を見つめながら…。  　NEXT　INNOVATIONでは、新社長となった朝比奈が、記者から取材を受けていた。「真のカリスマ動く!」と賞賛された企画に朝比奈は微笑む。"&amp;"  　そんな中、提携先のJIテックから、現状のパーソナルファイルのインターフェイスはコストがかかり過ぎるとクレームが入る。朝比奈はインターフェイスを改変して、総務省報告会で発表する。事務次官・藤川(大地真央)から、日向が開発した前の方がよかったと指摘されるも、顔色一つ変えない。　そんな折、朝比奈燿子(相武紗季)は、日向を呼び出し、兄のとった行動を謝罪、朝比奈が個人情報流出を仕組んだ証拠が入っているUSBメモリを差し出すが、徹は、謝る必要はない、と興味を示さない。バカが1人ついてきたから…、と真琴への想いま"&amp;"でも伝えられ嫉妬した耀子は、日向を外に連れ出した。そこには、リラックスした感じで談笑する朝比奈と真琴の姿があった。日向は凍り付いたままふたりをじっと見つめ…。")</f>
        <v>朝比奈恒介(井浦新)からパーソナルファイル事業までも奪われ、送別会を飛び出した日向徹(小栗旬)。日向の後を追った夏井真琴(石原さとみ)は、あなたについて行きたい、と後部座席に乗り込み、徹はそのままバイクを走らせた。日没後の海辺で目覚めた日向の隣には、真琴が寄り添っていた。気まずい状況のなか、真琴の顔に風でコンビニ袋が張り付き、笑う徹。彼女の顔を見つめながら…。  　NEXT　INNOVATIONでは、新社長となった朝比奈が、記者から取材を受けていた。「真のカリスマ動く!」と賞賛された企画に朝比奈は微笑む。  　そんな中、提携先のJIテックから、現状のパーソナルファイルのインターフェイスはコストがかかり過ぎるとクレームが入る。朝比奈はインターフェイスを改変して、総務省報告会で発表する。事務次官・藤川(大地真央)から、日向が開発した前の方がよかったと指摘されるも、顔色一つ変えない。　そんな折、朝比奈燿子(相武紗季)は、日向を呼び出し、兄のとった行動を謝罪、朝比奈が個人情報流出を仕組んだ証拠が入っているUSBメモリを差し出すが、徹は、謝る必要はない、と興味を示さない。バカが1人ついてきたから…、と真琴への想いまでも伝えられ嫉妬した耀子は、日向を外に連れ出した。そこには、リラックスした感じで談笑する朝比奈と真琴の姿があった。日向は凍り付いたままふたりをじっと見つめ…。</v>
      </c>
      <c r="N1165" s="2"/>
      <c r="O1165" s="2"/>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row>
    <row r="1166" ht="204.75" customHeight="1">
      <c r="A1166" s="1">
        <v>3675.0</v>
      </c>
      <c r="B1166" s="2" t="s">
        <v>3705</v>
      </c>
      <c r="C1166" s="2">
        <f>IFERROR(__xludf.DUMMYFUNCTION("split(B1166,""_"")"),1207.0)</f>
        <v>1207</v>
      </c>
      <c r="D1166" s="2" t="str">
        <f>IFERROR(__xludf.DUMMYFUNCTION("""COMPUTED_VALUE"""),"CX")</f>
        <v>CX</v>
      </c>
      <c r="E1166" s="2" t="str">
        <f>IFERROR(__xludf.DUMMYFUNCTION("""COMPUTED_VALUE"""),"月21")</f>
        <v>月21</v>
      </c>
      <c r="F1166" s="2" t="s">
        <v>3706</v>
      </c>
      <c r="G1166" s="2" t="s">
        <v>3734</v>
      </c>
      <c r="H1166" s="1">
        <v>10.0</v>
      </c>
      <c r="I1166" s="1" t="s">
        <v>37</v>
      </c>
      <c r="J1166" s="1" t="s">
        <v>11</v>
      </c>
      <c r="K1166" s="2" t="s">
        <v>3735</v>
      </c>
      <c r="L1166" s="2" t="s">
        <v>3736</v>
      </c>
      <c r="M1166" s="2" t="str">
        <f>IFERROR(__xludf.DUMMYFUNCTION("split(split(K1166,""小栗旬　"",false),""公式LINE"",false)"),"日向徹(小栗旬)は、逮捕された朝比奈恒介(井浦新)について東京地検から事情聴取を受けていた。朝比奈が顧客情報を流出させたことを知らなかったと証言した日向に検事は、遠野秋洋(綾野剛)がリークしたことを明かした。  その頃、朝比奈燿子(相武紗季)は、朝比奈のことを聞きだそうとレストランに押しかけるマスコミに悩まされていた。そんな燿子に、乃木湧太(丸山智己)は休職を促す。  「WONDER　WALL」に戻った日向は、夏井真琴(石原さとみ)に笑顔で迎えられるが、直後に「NEXT　INNOVATION」に強制捜査が"&amp;"入り、倒産の可能性もあると聞き心を痛める。それでも、新会社を軌道に乗せるため、地道な営業にまい進する。真琴は、それを身近で支えるうち、社長として人間としてどんどん成長していく日向を、どこか寂しく感じるようになる。  そんな折、日向は山上芳行(佐野史郎)から「NEXT　INNOVATION」に戻ってほしいと頭を下げられる。自分には守りたいものがほかにある、と伝えた日向だったが…。  後日、日向は朝比奈に面会をしようと拘置所を訪ねるが、朝比奈に拒否される。朝比奈は日向だけではなく、燿子や両親との面会も拒んでい"&amp;"た。  同じ頃、日向に真琴から、しばらく休ませてほしい、というメールが届く。気になった日向は真琴に電話をするがつながらない。心配になり自宅を訪ねるが、そこにも真琴の姿はなく…。")</f>
        <v>日向徹(小栗旬)は、逮捕された朝比奈恒介(井浦新)について東京地検から事情聴取を受けていた。朝比奈が顧客情報を流出させたことを知らなかったと証言した日向に検事は、遠野秋洋(綾野剛)がリークしたことを明かした。  その頃、朝比奈燿子(相武紗季)は、朝比奈のことを聞きだそうとレストランに押しかけるマスコミに悩まされていた。そんな燿子に、乃木湧太(丸山智己)は休職を促す。  「WONDER　WALL」に戻った日向は、夏井真琴(石原さとみ)に笑顔で迎えられるが、直後に「NEXT　INNOVATION」に強制捜査が入り、倒産の可能性もあると聞き心を痛める。それでも、新会社を軌道に乗せるため、地道な営業にまい進する。真琴は、それを身近で支えるうち、社長として人間としてどんどん成長していく日向を、どこか寂しく感じるようになる。  そんな折、日向は山上芳行(佐野史郎)から「NEXT　INNOVATION」に戻ってほしいと頭を下げられる。自分には守りたいものがほかにある、と伝えた日向だったが…。  後日、日向は朝比奈に面会をしようと拘置所を訪ねるが、朝比奈に拒否される。朝比奈は日向だけではなく、燿子や両親との面会も拒んでいた。  同じ頃、日向に真琴から、しばらく休ませてほしい、というメールが届く。気になった日向は真琴に電話をするがつながらない。心配になり自宅を訪ねるが、そこにも真琴の姿はなく…。</v>
      </c>
      <c r="N1166" s="2"/>
      <c r="O1166" s="2"/>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row>
    <row r="1167" ht="204.75" customHeight="1">
      <c r="A1167" s="1">
        <v>3676.0</v>
      </c>
      <c r="B1167" s="2" t="s">
        <v>3705</v>
      </c>
      <c r="C1167" s="2">
        <f>IFERROR(__xludf.DUMMYFUNCTION("split(B1167,""_"")"),1207.0)</f>
        <v>1207</v>
      </c>
      <c r="D1167" s="2" t="str">
        <f>IFERROR(__xludf.DUMMYFUNCTION("""COMPUTED_VALUE"""),"CX")</f>
        <v>CX</v>
      </c>
      <c r="E1167" s="2" t="str">
        <f>IFERROR(__xludf.DUMMYFUNCTION("""COMPUTED_VALUE"""),"月21")</f>
        <v>月21</v>
      </c>
      <c r="F1167" s="2" t="s">
        <v>3706</v>
      </c>
      <c r="G1167" s="2" t="s">
        <v>3737</v>
      </c>
      <c r="H1167" s="1">
        <v>11.0</v>
      </c>
      <c r="I1167" s="1" t="s">
        <v>41</v>
      </c>
      <c r="J1167" s="1" t="s">
        <v>11</v>
      </c>
      <c r="K1167" s="2" t="s">
        <v>3738</v>
      </c>
      <c r="L1167" s="2" t="s">
        <v>3739</v>
      </c>
      <c r="M1167" s="2" t="str">
        <f>IFERROR(__xludf.DUMMYFUNCTION("split(split(K1167,""小栗旬　"",false),""公式LINE"",false)"),"「NEXT　INNOVATION」に戻った日向徹(小栗旬)は、会社の変わり果てた光景に言葉を失うも、山上芳行(佐野史郎)に感謝の言葉をかける。職場に復帰した朝比奈燿子(相武紗季)にも会うと、拘置所の朝比奈恒介(井浦新)に再度面会を断られたと話す。そんな日向に燿子は、夏井真琴(石原さとみ)に気持ちを伝えたのか、と聞くが、日向は否定、真琴がそばにいたのは、全てを失っていた自分への同情心からだ、と言って燿子を呆れさせる。  その頃、研究所にいた真琴は、勤務地がブラジルになったと伝えられる。  「NEXT　INN"&amp;"OVATION」社長に復帰した日向は会見を開く。その模様を見た真琴は、思わず会社に来てしまい、逢うのを避けていた日向に遭遇してしまう。久しぶりの再会にも素直になれないふたりは、ぎこちない様子で近況報告をしあう。会社の厳しい現状に、今度ばかりは打つ手がないかもしれない、と日向。真琴は、朝比奈が戻るまで頑張れ、と励まし、自分のブラジル行きを報告する。ショックを受ける日向に真琴は、わざと張り切った様子を見せる。  数日後、真琴に電話をかけた日向は、会社に来てみないか、と誘うが、仕事が忙しいと真琴は断る。仕事が終"&amp;"わってからでいい、自分もずっとここにいるから、と粘る日向に、真琴は迷いつつも行く、と約束する。日向は待ち続けるが、朝になっても真琴は現れなかった。そのとき真琴からの着信が…。")</f>
        <v>「NEXT　INNOVATION」に戻った日向徹(小栗旬)は、会社の変わり果てた光景に言葉を失うも、山上芳行(佐野史郎)に感謝の言葉をかける。職場に復帰した朝比奈燿子(相武紗季)にも会うと、拘置所の朝比奈恒介(井浦新)に再度面会を断られたと話す。そんな日向に燿子は、夏井真琴(石原さとみ)に気持ちを伝えたのか、と聞くが、日向は否定、真琴がそばにいたのは、全てを失っていた自分への同情心からだ、と言って燿子を呆れさせる。  その頃、研究所にいた真琴は、勤務地がブラジルになったと伝えられる。  「NEXT　INNOVATION」社長に復帰した日向は会見を開く。その模様を見た真琴は、思わず会社に来てしまい、逢うのを避けていた日向に遭遇してしまう。久しぶりの再会にも素直になれないふたりは、ぎこちない様子で近況報告をしあう。会社の厳しい現状に、今度ばかりは打つ手がないかもしれない、と日向。真琴は、朝比奈が戻るまで頑張れ、と励まし、自分のブラジル行きを報告する。ショックを受ける日向に真琴は、わざと張り切った様子を見せる。  数日後、真琴に電話をかけた日向は、会社に来てみないか、と誘うが、仕事が忙しいと真琴は断る。仕事が終わってからでいい、自分もずっとここにいるから、と粘る日向に、真琴は迷いつつも行く、と約束する。日向は待ち続けるが、朝になっても真琴は現れなかった。そのとき真琴からの着信が…。</v>
      </c>
      <c r="N1167" s="2"/>
      <c r="O1167" s="2"/>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row>
    <row r="1168" ht="204.75" customHeight="1">
      <c r="A1168" s="1">
        <v>3677.0</v>
      </c>
      <c r="B1168" s="2" t="s">
        <v>3740</v>
      </c>
      <c r="C1168" s="2">
        <f>IFERROR(__xludf.DUMMYFUNCTION("split(B1168,""_"")"),1207.0)</f>
        <v>1207</v>
      </c>
      <c r="D1168" s="2" t="str">
        <f>IFERROR(__xludf.DUMMYFUNCTION("""COMPUTED_VALUE"""),"CX")</f>
        <v>CX</v>
      </c>
      <c r="E1168" s="2" t="str">
        <f>IFERROR(__xludf.DUMMYFUNCTION("""COMPUTED_VALUE"""),"火21")</f>
        <v>火21</v>
      </c>
      <c r="F1168" s="2" t="s">
        <v>3741</v>
      </c>
      <c r="G1168" s="2" t="s">
        <v>3742</v>
      </c>
      <c r="H1168" s="1">
        <v>1.0</v>
      </c>
      <c r="I1168" s="1" t="s">
        <v>3</v>
      </c>
      <c r="J1168" s="1" t="s">
        <v>4</v>
      </c>
      <c r="K1168" s="4" t="s">
        <v>3743</v>
      </c>
      <c r="L1168" s="2" t="s">
        <v>3744</v>
      </c>
      <c r="M1168" s="2" t="str">
        <f>IFERROR(__xludf.DUMMYFUNCTION("split(split(K1168,""武井咲　"",false),""公式LINE"",false)"),"谷崎玲(武井咲)は、洋菓子店でアルバイトをする明るくて元気な18歳の女の子。パティシエになるという夢を持ち、高校時代からアルバイトを続けてきた玲は、真面目な勤務態度や菓子作りのセンスが評価されて、来月から正社員に途用されることになる。  　樹山龍一郎(江口洋介)は、区役所の時間外受付を担当する臨時職員。かつて大手新聞社の社会部記者として活躍していた樹山は、数々のスクープをものにして出世街道を突き進んでいた。だが、ある事件がきっかけで新聞社を去ることになり、以来、誰の邪魔にもならないようひっそりと暮らしてい"&amp;"た。  　玲は、店長の衣里(橋本麗香)から、住民票記載事項証明書など、必要書類を提出するよう指示される。仕事を終えた玲は、さっそく区役所夜間受付を訪ね、書類の申請をする。応対したのは樹山だった・・・。  　玲は、介護士をしている母・葉子(木村佳乃)と、14歳の妹・麻央(小芝風花)と3人暮らし。父親の啓介は14年前に事故で他界していた。帰宅した玲は、健康保険証を探した。だが、見つかったのは葉子と麻央のものだけだった。翌朝、玲は、夜勤明けの葉子に、健康保険証のことを聞こうとする。しかし葉子は仕事の疲れか、目を"&amp;"覚まさなかった。  　その夜、玲は、健康保険証の代わりに、衣里から受け取った在籍証明書を樹山に提出した。そこで樹山は、住民登録がされていないことを玲に告げる・・・。")</f>
        <v>谷崎玲(武井咲)は、洋菓子店でアルバイトをする明るくて元気な18歳の女の子。パティシエになるという夢を持ち、高校時代からアルバイトを続けてきた玲は、真面目な勤務態度や菓子作りのセンスが評価されて、来月から正社員に途用されることになる。  　樹山龍一郎(江口洋介)は、区役所の時間外受付を担当する臨時職員。かつて大手新聞社の社会部記者として活躍していた樹山は、数々のスクープをものにして出世街道を突き進んでいた。だが、ある事件がきっかけで新聞社を去ることになり、以来、誰の邪魔にもならないようひっそりと暮らしていた。  　玲は、店長の衣里(橋本麗香)から、住民票記載事項証明書など、必要書類を提出するよう指示される。仕事を終えた玲は、さっそく区役所夜間受付を訪ね、書類の申請をする。応対したのは樹山だった・・・。  　玲は、介護士をしている母・葉子(木村佳乃)と、14歳の妹・麻央(小芝風花)と3人暮らし。父親の啓介は14年前に事故で他界していた。帰宅した玲は、健康保険証を探した。だが、見つかったのは葉子と麻央のものだけだった。翌朝、玲は、夜勤明けの葉子に、健康保険証のことを聞こうとする。しかし葉子は仕事の疲れか、目を覚まさなかった。  　その夜、玲は、健康保険証の代わりに、衣里から受け取った在籍証明書を樹山に提出した。そこで樹山は、住民登録がされていないことを玲に告げる・・・。</v>
      </c>
      <c r="N1168" s="2"/>
      <c r="O1168" s="2"/>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row>
    <row r="1169" ht="204.75" customHeight="1">
      <c r="A1169" s="1">
        <v>3678.0</v>
      </c>
      <c r="B1169" s="2" t="s">
        <v>3740</v>
      </c>
      <c r="C1169" s="2">
        <f>IFERROR(__xludf.DUMMYFUNCTION("split(B1169,""_"")"),1207.0)</f>
        <v>1207</v>
      </c>
      <c r="D1169" s="2" t="str">
        <f>IFERROR(__xludf.DUMMYFUNCTION("""COMPUTED_VALUE"""),"CX")</f>
        <v>CX</v>
      </c>
      <c r="E1169" s="2" t="str">
        <f>IFERROR(__xludf.DUMMYFUNCTION("""COMPUTED_VALUE"""),"火21")</f>
        <v>火21</v>
      </c>
      <c r="F1169" s="2" t="s">
        <v>3741</v>
      </c>
      <c r="G1169" s="2" t="s">
        <v>3745</v>
      </c>
      <c r="H1169" s="1">
        <v>2.0</v>
      </c>
      <c r="I1169" s="1" t="s">
        <v>7</v>
      </c>
      <c r="J1169" s="1" t="s">
        <v>11</v>
      </c>
      <c r="K1169" s="2" t="s">
        <v>3746</v>
      </c>
      <c r="L1169" s="2" t="s">
        <v>3747</v>
      </c>
      <c r="M1169" s="2" t="str">
        <f>IFERROR(__xludf.DUMMYFUNCTION("split(split(K1169,""武井咲　"",false),""公式LINE"",false)"),"アルバイト先の洋菓子店『パティスリー・シャルロット』を飛び出した玲(武井咲)は、転倒して負傷し、救急車で病院に搬送される。偶然その場に居合わせた樹山(江口洋介)は、救急隊員からの要請で搬送先の病院まで同行した。  　ほどなく、玲の母・葉子(木村佳乃)が病院に駆けつける。が、目を覚ました玲は、顔も見たくない、と葉子に言い放つ。あくる日、退院した玲は自宅に戻る。その夜、玲のもとに、アルバイト仲間の純(清水一希)が訪ねてくる。店を飛び出したまま無断欠勤した玲のことを心配してきたのだ。純に励まされた玲は、翌日、店"&amp;"に出勤した。店長の衣里(橋本麗香)は、玲から事情を聞こうとした。しかし玲は、何も答えることができない。衣里は困惑しながらも、明日の昼に区役所へ行って、正社員採用の手続きに必要な書類をもらってくるよう玲に命じた。  　その夜、玲は、自分と同じように無戸籍に苦しむ人たちが集まるサイト『ひまわり』に、戸籍を作るために必要なものを教えてほしい、と書き込む。そこで玲は、母子手帳や、事実関係や状況経過を記した母親の申述書などが必要だと知る。一方、樹山は、葉子を訪ね、戸籍を作る際の制度が以前とは変わっていることを伝える"&amp;"。樹山は、申請をすれば知られたくないことは隠すことができることを葉子に告げた。しかし葉子は、前の夫に玲の存在を知られることを恐れており・・・。")</f>
        <v>アルバイト先の洋菓子店『パティスリー・シャルロット』を飛び出した玲(武井咲)は、転倒して負傷し、救急車で病院に搬送される。偶然その場に居合わせた樹山(江口洋介)は、救急隊員からの要請で搬送先の病院まで同行した。  　ほどなく、玲の母・葉子(木村佳乃)が病院に駆けつける。が、目を覚ました玲は、顔も見たくない、と葉子に言い放つ。あくる日、退院した玲は自宅に戻る。その夜、玲のもとに、アルバイト仲間の純(清水一希)が訪ねてくる。店を飛び出したまま無断欠勤した玲のことを心配してきたのだ。純に励まされた玲は、翌日、店に出勤した。店長の衣里(橋本麗香)は、玲から事情を聞こうとした。しかし玲は、何も答えることができない。衣里は困惑しながらも、明日の昼に区役所へ行って、正社員採用の手続きに必要な書類をもらってくるよう玲に命じた。  　その夜、玲は、自分と同じように無戸籍に苦しむ人たちが集まるサイト『ひまわり』に、戸籍を作るために必要なものを教えてほしい、と書き込む。そこで玲は、母子手帳や、事実関係や状況経過を記した母親の申述書などが必要だと知る。一方、樹山は、葉子を訪ね、戸籍を作る際の制度が以前とは変わっていることを伝える。樹山は、申請をすれば知られたくないことは隠すことができることを葉子に告げた。しかし葉子は、前の夫に玲の存在を知られることを恐れており・・・。</v>
      </c>
      <c r="N1169" s="2"/>
      <c r="O1169" s="2"/>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row>
    <row r="1170" ht="204.75" customHeight="1">
      <c r="A1170" s="1">
        <v>3679.0</v>
      </c>
      <c r="B1170" s="2" t="s">
        <v>3740</v>
      </c>
      <c r="C1170" s="2">
        <f>IFERROR(__xludf.DUMMYFUNCTION("split(B1170,""_"")"),1207.0)</f>
        <v>1207</v>
      </c>
      <c r="D1170" s="2" t="str">
        <f>IFERROR(__xludf.DUMMYFUNCTION("""COMPUTED_VALUE"""),"CX")</f>
        <v>CX</v>
      </c>
      <c r="E1170" s="2" t="str">
        <f>IFERROR(__xludf.DUMMYFUNCTION("""COMPUTED_VALUE"""),"火21")</f>
        <v>火21</v>
      </c>
      <c r="F1170" s="2" t="s">
        <v>3741</v>
      </c>
      <c r="G1170" s="2" t="s">
        <v>3748</v>
      </c>
      <c r="H1170" s="1">
        <v>3.0</v>
      </c>
      <c r="I1170" s="1" t="s">
        <v>10</v>
      </c>
      <c r="J1170" s="1" t="s">
        <v>11</v>
      </c>
      <c r="K1170" s="2" t="s">
        <v>3749</v>
      </c>
      <c r="L1170" s="2" t="s">
        <v>3750</v>
      </c>
      <c r="M1170" s="2" t="str">
        <f>IFERROR(__xludf.DUMMYFUNCTION("split(split(K1170,""武井咲　"",false),""公式LINE"",false)"),"谷崎玲(武井咲)は、母親の葉子(木村佳乃)と区役所で待ち合わせをする。しかし葉子は、約束の時刻を過ぎても区役所に現れなかった。実は葉子は、区役所に向かうバスの中で、偶然、元夫の鮎川宏基(要潤)の姿を目撃していた。樹山龍一郎(江口洋介)は、葉子を待ち続ける玲の姿をいたたまれない思いで見つめていた。  　諦めて家に戻った玲は、葉子の携帯電話が警察に届けられていることを知る。携帯電話は、勤務先の医療センターから駅に向かうバスの中に落ちていたらしい。葉子の件を知った祖母の香緒里(浅田美代子)は、葉子は周りを狂わせ"&amp;"る人だ、と玲に告げた。続けて香緒里は、玲たちの父親・啓介(神尾佑)が事故死したのも葉子のせいだと言い出す。  　一方、葉子が家を出たまま戻らないことに不審を抱いた麻央(小芝風花)は、玲を問い詰める。玲が何かを隠しているというのだ。麻央は、自分だけが仲間外れだと泣き出し、こんな家にいたくない、と言い残して香緒里の家に行ってしまう。  　ひとり残された玲は、母子手帳や卒業証書などを手に、区役所へと向かった。そこで玲は、もう母には頼らないで自分でできることをやる、と樹山に告げる。樹山の助言に従い、出生証明書を再"&amp;"発行してもらうために、自分が生まれた産婦人科を訪ねる玲。そんな折、樹山のもとに葉子から連絡があり…。")</f>
        <v>谷崎玲(武井咲)は、母親の葉子(木村佳乃)と区役所で待ち合わせをする。しかし葉子は、約束の時刻を過ぎても区役所に現れなかった。実は葉子は、区役所に向かうバスの中で、偶然、元夫の鮎川宏基(要潤)の姿を目撃していた。樹山龍一郎(江口洋介)は、葉子を待ち続ける玲の姿をいたたまれない思いで見つめていた。  　諦めて家に戻った玲は、葉子の携帯電話が警察に届けられていることを知る。携帯電話は、勤務先の医療センターから駅に向かうバスの中に落ちていたらしい。葉子の件を知った祖母の香緒里(浅田美代子)は、葉子は周りを狂わせる人だ、と玲に告げた。続けて香緒里は、玲たちの父親・啓介(神尾佑)が事故死したのも葉子のせいだと言い出す。  　一方、葉子が家を出たまま戻らないことに不審を抱いた麻央(小芝風花)は、玲を問い詰める。玲が何かを隠しているというのだ。麻央は、自分だけが仲間外れだと泣き出し、こんな家にいたくない、と言い残して香緒里の家に行ってしまう。  　ひとり残された玲は、母子手帳や卒業証書などを手に、区役所へと向かった。そこで玲は、もう母には頼らないで自分でできることをやる、と樹山に告げる。樹山の助言に従い、出生証明書を再発行してもらうために、自分が生まれた産婦人科を訪ねる玲。そんな折、樹山のもとに葉子から連絡があり…。</v>
      </c>
      <c r="N1170" s="2"/>
      <c r="O1170" s="2"/>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row>
    <row r="1171" ht="204.75" customHeight="1">
      <c r="A1171" s="1">
        <v>3680.0</v>
      </c>
      <c r="B1171" s="2" t="s">
        <v>3740</v>
      </c>
      <c r="C1171" s="2">
        <f>IFERROR(__xludf.DUMMYFUNCTION("split(B1171,""_"")"),1207.0)</f>
        <v>1207</v>
      </c>
      <c r="D1171" s="2" t="str">
        <f>IFERROR(__xludf.DUMMYFUNCTION("""COMPUTED_VALUE"""),"CX")</f>
        <v>CX</v>
      </c>
      <c r="E1171" s="2" t="str">
        <f>IFERROR(__xludf.DUMMYFUNCTION("""COMPUTED_VALUE"""),"火21")</f>
        <v>火21</v>
      </c>
      <c r="F1171" s="2" t="s">
        <v>3741</v>
      </c>
      <c r="G1171" s="2" t="s">
        <v>3751</v>
      </c>
      <c r="H1171" s="1">
        <v>4.0</v>
      </c>
      <c r="I1171" s="1" t="s">
        <v>14</v>
      </c>
      <c r="J1171" s="1" t="s">
        <v>11</v>
      </c>
      <c r="K1171" s="2" t="s">
        <v>3752</v>
      </c>
      <c r="L1171" s="2" t="s">
        <v>3753</v>
      </c>
      <c r="M1171" s="2" t="str">
        <f>IFERROR(__xludf.DUMMYFUNCTION("split(split(K1171,""武井咲　"",false),""公式LINE"",false)"),"谷崎玲(武井咲)は、母・葉子(木村佳乃)から届いた手紙を樹山龍一郎(江口洋介)に見せた。その手紙で葉子は、申述書を書いて必ず玲のもとに戻る、と綴っていた。  　区役所からの帰り、自転車で自宅へと急いでいた玲は、曲がり角で人影に気づき、バランスを崩して転倒してしまう。そんな玲に手を差しのべたのは鮎川(要潤)だった。鮎川は、散らばった拍子に破れてしまったフランス語のテキストなどを拾ってやり、玲に謝った。  　玲が自宅に戻ると、ネットで知り合った“ウイスキーボンボン""こと草野広太(中村蒼)からメッセージが届い"&amp;"ていた。玲は、心配してくれている広太に、母を待つことにしたと報告し、感謝の気持ちを伝えた。ふたりは、改めて自己紹介し、お互いの名前や年齢などを教え合った。  　あくる日、玲は、先輩の井川さつき(原幹恵)とともに、フリーペーパーの取材を受ける。そこで玲は、初めて母と一緒に作ったアップルパイの思い出を話した。閉店間際、店に広太がやってきた。仕事を終え、彼と一緒にカフェを訪れた玲は、広太が子どものころからひとりで生きてきて、義務教育も受けていないことを知る。  　同じころ、葉子は、港町のホテルで申述書を書いてい"&amp;"た。だが、DVの記憶がフラッシュバックし、書き続けることができず…。")</f>
        <v>谷崎玲(武井咲)は、母・葉子(木村佳乃)から届いた手紙を樹山龍一郎(江口洋介)に見せた。その手紙で葉子は、申述書を書いて必ず玲のもとに戻る、と綴っていた。  　区役所からの帰り、自転車で自宅へと急いでいた玲は、曲がり角で人影に気づき、バランスを崩して転倒してしまう。そんな玲に手を差しのべたのは鮎川(要潤)だった。鮎川は、散らばった拍子に破れてしまったフランス語のテキストなどを拾ってやり、玲に謝った。  　玲が自宅に戻ると、ネットで知り合った“ウイスキーボンボン"こと草野広太(中村蒼)からメッセージが届いていた。玲は、心配してくれている広太に、母を待つことにしたと報告し、感謝の気持ちを伝えた。ふたりは、改めて自己紹介し、お互いの名前や年齢などを教え合った。  　あくる日、玲は、先輩の井川さつき(原幹恵)とともに、フリーペーパーの取材を受ける。そこで玲は、初めて母と一緒に作ったアップルパイの思い出を話した。閉店間際、店に広太がやってきた。仕事を終え、彼と一緒にカフェを訪れた玲は、広太が子どものころからひとりで生きてきて、義務教育も受けていないことを知る。  　同じころ、葉子は、港町のホテルで申述書を書いていた。だが、DVの記憶がフラッシュバックし、書き続けることができず…。</v>
      </c>
      <c r="N1171" s="2"/>
      <c r="O1171" s="2"/>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row>
    <row r="1172" ht="204.75" customHeight="1">
      <c r="A1172" s="1">
        <v>3681.0</v>
      </c>
      <c r="B1172" s="2" t="s">
        <v>3740</v>
      </c>
      <c r="C1172" s="2">
        <f>IFERROR(__xludf.DUMMYFUNCTION("split(B1172,""_"")"),1207.0)</f>
        <v>1207</v>
      </c>
      <c r="D1172" s="2" t="str">
        <f>IFERROR(__xludf.DUMMYFUNCTION("""COMPUTED_VALUE"""),"CX")</f>
        <v>CX</v>
      </c>
      <c r="E1172" s="2" t="str">
        <f>IFERROR(__xludf.DUMMYFUNCTION("""COMPUTED_VALUE"""),"火21")</f>
        <v>火21</v>
      </c>
      <c r="F1172" s="2" t="s">
        <v>3741</v>
      </c>
      <c r="G1172" s="2" t="s">
        <v>3754</v>
      </c>
      <c r="H1172" s="1">
        <v>5.0</v>
      </c>
      <c r="I1172" s="1" t="s">
        <v>17</v>
      </c>
      <c r="J1172" s="1" t="s">
        <v>11</v>
      </c>
      <c r="K1172" s="2" t="s">
        <v>3755</v>
      </c>
      <c r="L1172" s="2" t="s">
        <v>3756</v>
      </c>
      <c r="M1172" s="2" t="str">
        <f>IFERROR(__xludf.DUMMYFUNCTION("split(split(K1172,""武井咲　"",false),""公式LINE"",false)"),"玲(武井咲)は、母・葉子(木村佳乃)の協力の下、戸籍を作るために必要な書類を樹山(江口洋介)に提出する。玲の戸籍は、いったん以前の鮎川姓で作り、その後に現在の谷崎姓に移す形をとるという樹山。すぐに谷崎姓に戻ることに安堵を覚える玲。一方、葉子も笑顔を見せるものの、どこかで不安を感じているのか、玲が席を外した際に、「いったん記録された戸籍はずっと残るのか?」と、当たり前のことを樹山に尋ねる。  　翌朝、「パティスリー・シャルロット」で、戸籍がとれそうだと報告する玲。店長の安倍川衣里(橋本麗香)や、バイト仲間の"&amp;"西川純(清水一希)も、自分のことのように喜んでくれた。嫉妬心から玲につらく当たってきた井川さつき(原幹恵)も、玲を祝福する。  　その日の昼、「パティスリー・シャルロット」の表に鮎川宏基(要潤)がやってくる。店内に働く玲の姿を見つけると不敵に笑う鮎川は、店内へ入っていく。偶然の再会に驚く玲の様子にあわせて、鮎川も驚いた素振りを見せる。  　ある日、しばらく連絡が取れなかった草野広太(中村蒼)から、無戸籍の人たちが集まって情報交換をするオフ会に誘われる玲。オフ会に参加した玲は新しい仲間として紹介される。参加"&amp;"者それぞれが、現在の状況を報告しあう中、1人の女性が、母を苦しめていた男の姓を受け入れられず、裁判で争っている最中だと話す。自分の境遇によく似た話に、玲は深く考えさせられることに。")</f>
        <v>玲(武井咲)は、母・葉子(木村佳乃)の協力の下、戸籍を作るために必要な書類を樹山(江口洋介)に提出する。玲の戸籍は、いったん以前の鮎川姓で作り、その後に現在の谷崎姓に移す形をとるという樹山。すぐに谷崎姓に戻ることに安堵を覚える玲。一方、葉子も笑顔を見せるものの、どこかで不安を感じているのか、玲が席を外した際に、「いったん記録された戸籍はずっと残るのか?」と、当たり前のことを樹山に尋ねる。  　翌朝、「パティスリー・シャルロット」で、戸籍がとれそうだと報告する玲。店長の安倍川衣里(橋本麗香)や、バイト仲間の西川純(清水一希)も、自分のことのように喜んでくれた。嫉妬心から玲につらく当たってきた井川さつき(原幹恵)も、玲を祝福する。  　その日の昼、「パティスリー・シャルロット」の表に鮎川宏基(要潤)がやってくる。店内に働く玲の姿を見つけると不敵に笑う鮎川は、店内へ入っていく。偶然の再会に驚く玲の様子にあわせて、鮎川も驚いた素振りを見せる。  　ある日、しばらく連絡が取れなかった草野広太(中村蒼)から、無戸籍の人たちが集まって情報交換をするオフ会に誘われる玲。オフ会に参加した玲は新しい仲間として紹介される。参加者それぞれが、現在の状況を報告しあう中、1人の女性が、母を苦しめていた男の姓を受け入れられず、裁判で争っている最中だと話す。自分の境遇によく似た話に、玲は深く考えさせられることに。</v>
      </c>
      <c r="N1172" s="2"/>
      <c r="O1172" s="2"/>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row>
    <row r="1173" ht="204.75" customHeight="1">
      <c r="A1173" s="1">
        <v>3682.0</v>
      </c>
      <c r="B1173" s="2" t="s">
        <v>3740</v>
      </c>
      <c r="C1173" s="2">
        <f>IFERROR(__xludf.DUMMYFUNCTION("split(B1173,""_"")"),1207.0)</f>
        <v>1207</v>
      </c>
      <c r="D1173" s="2" t="str">
        <f>IFERROR(__xludf.DUMMYFUNCTION("""COMPUTED_VALUE"""),"CX")</f>
        <v>CX</v>
      </c>
      <c r="E1173" s="2" t="str">
        <f>IFERROR(__xludf.DUMMYFUNCTION("""COMPUTED_VALUE"""),"火21")</f>
        <v>火21</v>
      </c>
      <c r="F1173" s="2" t="s">
        <v>3741</v>
      </c>
      <c r="G1173" s="2" t="s">
        <v>3757</v>
      </c>
      <c r="H1173" s="1">
        <v>6.0</v>
      </c>
      <c r="I1173" s="1" t="s">
        <v>21</v>
      </c>
      <c r="J1173" s="1" t="s">
        <v>11</v>
      </c>
      <c r="K1173" s="2" t="s">
        <v>3758</v>
      </c>
      <c r="L1173" s="2" t="s">
        <v>3759</v>
      </c>
      <c r="M1173" s="2" t="str">
        <f>IFERROR(__xludf.DUMMYFUNCTION("split(split(K1173,""武井咲　"",false),""公式LINE"",false)"),"玲(武井咲)は、鮎川(要潤)と出会い、激しく動揺する葉子(木村佳乃)を目の当たりにする。これまでの行いを謝罪する鮎川を前にしても、震えながら拒絶する葉子に同調する玲。鮎川が家から去って行った後、玲は一時的にせよ鮎川の戸籍には入らないと葉子に謝る。  　鮎川が家に現れたと連絡を受けた香緒里(浅田美代子)は、その旨を夏目周作(北大路欣也)に伝える。玲の家へと急ぐ周作は、家から出てきた鮎川と遭遇する。鮎川につかみかかり、詰問する周作だが、鮎川は「ただ謝りに行っただけ」と答え、さみしそうに去って行った。  　急い"&amp;"で、区役所の夜間受付に向かった玲。樹山(江口洋介)に、やっとの思いで提出したばかりの書類の返却を求める。玲は、鮎川におびえる葉子を見て、葉子を守るためにも鮎川の戸籍には入らずに戸籍を作る裁判を行うという決意を樹山に伝える。  　玲は、樹山の助けもあって、法律事務所を訪れ、弁護士に裁判のことを相談する。弁護士は、玲が望む谷崎姓での戸籍取得には、まず玲が鮎川の子供ではないという「親子関係不存在」が認められる必要があり、その上で発行される「裁判所の謄本」と「確定証明書」を出生届と共に、区役所に提出することで谷崎"&amp;"姓の戸籍を作ることが可能だと話す。  　玲は裁判をするために法律事務所に行ったことを葉子に話す。葉子に悲しい思いをさせたくない一心で考えたことであったが、葉子の反応は意外なものだった。")</f>
        <v>玲(武井咲)は、鮎川(要潤)と出会い、激しく動揺する葉子(木村佳乃)を目の当たりにする。これまでの行いを謝罪する鮎川を前にしても、震えながら拒絶する葉子に同調する玲。鮎川が家から去って行った後、玲は一時的にせよ鮎川の戸籍には入らないと葉子に謝る。  　鮎川が家に現れたと連絡を受けた香緒里(浅田美代子)は、その旨を夏目周作(北大路欣也)に伝える。玲の家へと急ぐ周作は、家から出てきた鮎川と遭遇する。鮎川につかみかかり、詰問する周作だが、鮎川は「ただ謝りに行っただけ」と答え、さみしそうに去って行った。  　急いで、区役所の夜間受付に向かった玲。樹山(江口洋介)に、やっとの思いで提出したばかりの書類の返却を求める。玲は、鮎川におびえる葉子を見て、葉子を守るためにも鮎川の戸籍には入らずに戸籍を作る裁判を行うという決意を樹山に伝える。  　玲は、樹山の助けもあって、法律事務所を訪れ、弁護士に裁判のことを相談する。弁護士は、玲が望む谷崎姓での戸籍取得には、まず玲が鮎川の子供ではないという「親子関係不存在」が認められる必要があり、その上で発行される「裁判所の謄本」と「確定証明書」を出生届と共に、区役所に提出することで谷崎姓の戸籍を作ることが可能だと話す。  　玲は裁判をするために法律事務所に行ったことを葉子に話す。葉子に悲しい思いをさせたくない一心で考えたことであったが、葉子の反応は意外なものだった。</v>
      </c>
      <c r="N1173" s="2"/>
      <c r="O1173" s="2"/>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row>
    <row r="1174" ht="204.75" customHeight="1">
      <c r="A1174" s="1">
        <v>3683.0</v>
      </c>
      <c r="B1174" s="2" t="s">
        <v>3740</v>
      </c>
      <c r="C1174" s="2">
        <f>IFERROR(__xludf.DUMMYFUNCTION("split(B1174,""_"")"),1207.0)</f>
        <v>1207</v>
      </c>
      <c r="D1174" s="2" t="str">
        <f>IFERROR(__xludf.DUMMYFUNCTION("""COMPUTED_VALUE"""),"CX")</f>
        <v>CX</v>
      </c>
      <c r="E1174" s="2" t="str">
        <f>IFERROR(__xludf.DUMMYFUNCTION("""COMPUTED_VALUE"""),"火21")</f>
        <v>火21</v>
      </c>
      <c r="F1174" s="2" t="s">
        <v>3741</v>
      </c>
      <c r="G1174" s="2" t="s">
        <v>3760</v>
      </c>
      <c r="H1174" s="1">
        <v>7.0</v>
      </c>
      <c r="I1174" s="1" t="s">
        <v>25</v>
      </c>
      <c r="J1174" s="1" t="s">
        <v>11</v>
      </c>
      <c r="K1174" s="2" t="s">
        <v>3761</v>
      </c>
      <c r="L1174" s="2" t="s">
        <v>3762</v>
      </c>
      <c r="M1174" s="2" t="str">
        <f>IFERROR(__xludf.DUMMYFUNCTION("split(split(K1174,""武井咲　"",false),""公式LINE"",false)"),"谷崎家に、玲(武井咲)、葉子(木村佳乃)、麻央(小芝風花)、香緒里(浅田美代子)、夏目周作(北大路欣也)、そして鮎川(要潤)が集う。鮎川は、葉子の制止を振り切り、玲に「君は俺の娘だ」と告げる。否定する葉子は、理性を失い、台所にあった包丁を手にして、鮎川に突進する。それを止めようと間に入った周作に包丁が突き刺さる。ぼう然となる一同。周作は玲たちを守るため、自分がケガをしたのはあくまで事故だと皆に言い聞かせる。  　周作は救急車で病院へ運ばれ、玲たちは警察で事情を聞かれることに。警察署に入っていく玲に気付く中"&amp;"津(RIKIYA)。中津は、以前、樹山(江口洋介)から玲を紹介されたことを思い出す。それぞれに事情を聞かれる玲たち。葉子の戻りを署内で待つ玲だったが、刑事から葉子が拘留されることになったことを聞かされる。取調室から刑事たちに挟まれ、別室へと移動する葉子の姿を見て玲は泣きじゃくる。  　ぼう然と警察署を出てくる玲。そこに、中津から連絡を受けた樹山がやってくる。心配して、玲を家まで送る樹山。樹山に事情を話すなかで、玲は鮎川が本当の父親なのではないかと疑心暗鬼になる。「何も分からないうちから思いこむな」と樹山か"&amp;"ら諭される玲だったが、1人になるとパソコンでDNA鑑定について調べ始めてしまう・・・。")</f>
        <v>谷崎家に、玲(武井咲)、葉子(木村佳乃)、麻央(小芝風花)、香緒里(浅田美代子)、夏目周作(北大路欣也)、そして鮎川(要潤)が集う。鮎川は、葉子の制止を振り切り、玲に「君は俺の娘だ」と告げる。否定する葉子は、理性を失い、台所にあった包丁を手にして、鮎川に突進する。それを止めようと間に入った周作に包丁が突き刺さる。ぼう然となる一同。周作は玲たちを守るため、自分がケガをしたのはあくまで事故だと皆に言い聞かせる。  　周作は救急車で病院へ運ばれ、玲たちは警察で事情を聞かれることに。警察署に入っていく玲に気付く中津(RIKIYA)。中津は、以前、樹山(江口洋介)から玲を紹介されたことを思い出す。それぞれに事情を聞かれる玲たち。葉子の戻りを署内で待つ玲だったが、刑事から葉子が拘留されることになったことを聞かされる。取調室から刑事たちに挟まれ、別室へと移動する葉子の姿を見て玲は泣きじゃくる。  　ぼう然と警察署を出てくる玲。そこに、中津から連絡を受けた樹山がやってくる。心配して、玲を家まで送る樹山。樹山に事情を話すなかで、玲は鮎川が本当の父親なのではないかと疑心暗鬼になる。「何も分からないうちから思いこむな」と樹山から諭される玲だったが、1人になるとパソコンでDNA鑑定について調べ始めてしまう・・・。</v>
      </c>
      <c r="N1174" s="2"/>
      <c r="O1174" s="2"/>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row>
    <row r="1175" ht="204.75" customHeight="1">
      <c r="A1175" s="1">
        <v>3684.0</v>
      </c>
      <c r="B1175" s="2" t="s">
        <v>3740</v>
      </c>
      <c r="C1175" s="2">
        <f>IFERROR(__xludf.DUMMYFUNCTION("split(B1175,""_"")"),1207.0)</f>
        <v>1207</v>
      </c>
      <c r="D1175" s="2" t="str">
        <f>IFERROR(__xludf.DUMMYFUNCTION("""COMPUTED_VALUE"""),"CX")</f>
        <v>CX</v>
      </c>
      <c r="E1175" s="2" t="str">
        <f>IFERROR(__xludf.DUMMYFUNCTION("""COMPUTED_VALUE"""),"火21")</f>
        <v>火21</v>
      </c>
      <c r="F1175" s="2" t="s">
        <v>3741</v>
      </c>
      <c r="G1175" s="2" t="s">
        <v>3763</v>
      </c>
      <c r="H1175" s="1">
        <v>8.0</v>
      </c>
      <c r="I1175" s="1" t="s">
        <v>29</v>
      </c>
      <c r="J1175" s="1" t="s">
        <v>11</v>
      </c>
      <c r="K1175" s="2" t="s">
        <v>3764</v>
      </c>
      <c r="L1175" s="2" t="s">
        <v>3765</v>
      </c>
      <c r="M1175" s="2" t="str">
        <f>IFERROR(__xludf.DUMMYFUNCTION("split(split(K1175,""武井咲　"",false),""公式LINE"",false)"),"玲(武井咲)は、先の見えない不安の中にいた。鮎川(要潤)が本当の父親なのではないかという疑念から、仕事にも集中できずミスを連発。さらに、事件のことを聞きつけたお客から心ない噂が広がり、玲は大好きな仕事を休むことに。また、本当のことを知りたいと、周作(北大路欣也)から聞いた鮎川の携帯に何度も連絡をするが、つながらない。持ち前の明るさが影を潜め、不安に押しつぶされそうになる玲を、話を聞くことで支える樹山(江口洋介)。玲は樹山の優しさを改めて実感する。  　しばらくして玲は仕事に復帰するが、事件の影響は、彼女だ"&amp;"けではなく家族にも襲いかかる。麻央(小芝風花)は部活で使用しているテニスラケットのカバーに「殺人鬼の娘」といたずら書きをされ、葉子(木村佳乃)は、仕事をクビになった。しかし、麻央も葉子も玲に心配をかけまいと明るく振る舞う。  　草野(中村蒼)から玲のことを聞いた中津(RIKIYA)は、週刊誌に彼女を題材にした「無戸籍児の現実」というルポを書き、記事は大きな反響を呼ぶ。すぐにネット上に飛び火し、玲の個人情報がさらされてしまう。また、「シャルロット」の店長・安倍川衣里(橋本麗香)には本社から事情を聞きたいと連"&amp;"絡が入る。さらに、葉子はせっかく決まった再就職先から断られ、麻央へのいじめもエスカレートすることに。一度は元気を取り戻した玲は、またもどん底に突き落とされてしまう・・・。")</f>
        <v>玲(武井咲)は、先の見えない不安の中にいた。鮎川(要潤)が本当の父親なのではないかという疑念から、仕事にも集中できずミスを連発。さらに、事件のことを聞きつけたお客から心ない噂が広がり、玲は大好きな仕事を休むことに。また、本当のことを知りたいと、周作(北大路欣也)から聞いた鮎川の携帯に何度も連絡をするが、つながらない。持ち前の明るさが影を潜め、不安に押しつぶされそうになる玲を、話を聞くことで支える樹山(江口洋介)。玲は樹山の優しさを改めて実感する。  　しばらくして玲は仕事に復帰するが、事件の影響は、彼女だけではなく家族にも襲いかかる。麻央(小芝風花)は部活で使用しているテニスラケットのカバーに「殺人鬼の娘」といたずら書きをされ、葉子(木村佳乃)は、仕事をクビになった。しかし、麻央も葉子も玲に心配をかけまいと明るく振る舞う。  　草野(中村蒼)から玲のことを聞いた中津(RIKIYA)は、週刊誌に彼女を題材にした「無戸籍児の現実」というルポを書き、記事は大きな反響を呼ぶ。すぐにネット上に飛び火し、玲の個人情報がさらされてしまう。また、「シャルロット」の店長・安倍川衣里(橋本麗香)には本社から事情を聞きたいと連絡が入る。さらに、葉子はせっかく決まった再就職先から断られ、麻央へのいじめもエスカレートすることに。一度は元気を取り戻した玲は、またもどん底に突き落とされてしまう・・・。</v>
      </c>
      <c r="N1175" s="2"/>
      <c r="O1175" s="2"/>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row>
    <row r="1176" ht="204.75" customHeight="1">
      <c r="A1176" s="1">
        <v>3685.0</v>
      </c>
      <c r="B1176" s="2" t="s">
        <v>3740</v>
      </c>
      <c r="C1176" s="2">
        <f>IFERROR(__xludf.DUMMYFUNCTION("split(B1176,""_"")"),1207.0)</f>
        <v>1207</v>
      </c>
      <c r="D1176" s="2" t="str">
        <f>IFERROR(__xludf.DUMMYFUNCTION("""COMPUTED_VALUE"""),"CX")</f>
        <v>CX</v>
      </c>
      <c r="E1176" s="2" t="str">
        <f>IFERROR(__xludf.DUMMYFUNCTION("""COMPUTED_VALUE"""),"火21")</f>
        <v>火21</v>
      </c>
      <c r="F1176" s="2" t="s">
        <v>3741</v>
      </c>
      <c r="G1176" s="2" t="s">
        <v>3766</v>
      </c>
      <c r="H1176" s="1">
        <v>9.0</v>
      </c>
      <c r="I1176" s="1" t="s">
        <v>33</v>
      </c>
      <c r="J1176" s="1" t="s">
        <v>4</v>
      </c>
      <c r="K1176" s="2" t="s">
        <v>3767</v>
      </c>
      <c r="L1176" s="2" t="s">
        <v>3768</v>
      </c>
      <c r="M1176" s="2" t="str">
        <f>IFERROR(__xludf.DUMMYFUNCTION("split(split(K1176,""武井咲　"",false),""公式LINE"",false)"),"「FIFA　U-20女子ワールドカップ　ジャパン2012　準決勝日本×ドイツ」延長の際、放送時間繰り下げの場合あり。　玲(武井咲)は、周作(北大路欣也)からの提案を受け入れ、北海道で暮らすことを決意し、そのことを樹山(江口洋介)に告げる。これまで幾多の困難を乗り越えてきた玲だったが、葉子(木村佳乃)や麻央(小芝風花)、さらにはシャルロットで働く安倍川衣里(橋本麗香)たちにまで迷惑をかけてしまったことで、心が折れてしまったのだ。樹山はそんな玲を優しく受け止める。  　深夜、携帯の不在着信に気付く玲。何度かけ"&amp;"ても繋がらなかった鮎川(要潤)からだった。玲は緊張しながらも電話をかけ、DNA鑑定について鮎川と話し合う。鮎川の娘でないことを証明したいという玲の思いを受け、鮎川は翌日小樽から東京へ向かうことを約束する。  　翌日、心配して一緒に来てくれた樹山と共に鮎川を待つ玲。しかし、鮎川は到着時間を過ぎても姿を現さない。電話をかけると一旦つながったものの、鮎川の声は聞こえない。鮎川は、羽田空港に到着後、腹部に激痛を覚え、意識を失っていたのだ。玲からの電話に気力を振り絞り出てはみたものの、声を出すことができず再び意識を"&amp;"失ってしまっていた。そのことを知らない玲は、勇気をもって鮎川と真剣に向き合おうと思っていただけに、むなしくてやるせない気持ちになる。  　そんな玲を「飛行機が遅れることもある」と励ます樹山。そんな樹山の支えに助けられる玲。しかし、玲をさらに落ち込ませることになる人物が、玲と樹山の目の前に現れる…。")</f>
        <v>「FIFA　U-20女子ワールドカップ　ジャパン2012　準決勝日本×ドイツ」延長の際、放送時間繰り下げの場合あり。　玲(武井咲)は、周作(北大路欣也)からの提案を受け入れ、北海道で暮らすことを決意し、そのことを樹山(江口洋介)に告げる。これまで幾多の困難を乗り越えてきた玲だったが、葉子(木村佳乃)や麻央(小芝風花)、さらにはシャルロットで働く安倍川衣里(橋本麗香)たちにまで迷惑をかけてしまったことで、心が折れてしまったのだ。樹山はそんな玲を優しく受け止める。  　深夜、携帯の不在着信に気付く玲。何度かけても繋がらなかった鮎川(要潤)からだった。玲は緊張しながらも電話をかけ、DNA鑑定について鮎川と話し合う。鮎川の娘でないことを証明したいという玲の思いを受け、鮎川は翌日小樽から東京へ向かうことを約束する。  　翌日、心配して一緒に来てくれた樹山と共に鮎川を待つ玲。しかし、鮎川は到着時間を過ぎても姿を現さない。電話をかけると一旦つながったものの、鮎川の声は聞こえない。鮎川は、羽田空港に到着後、腹部に激痛を覚え、意識を失っていたのだ。玲からの電話に気力を振り絞り出てはみたものの、声を出すことができず再び意識を失ってしまっていた。そのことを知らない玲は、勇気をもって鮎川と真剣に向き合おうと思っていただけに、むなしくてやるせない気持ちになる。  　そんな玲を「飛行機が遅れることもある」と励ます樹山。そんな樹山の支えに助けられる玲。しかし、玲をさらに落ち込ませることになる人物が、玲と樹山の目の前に現れる…。</v>
      </c>
      <c r="N1176" s="2"/>
      <c r="O1176" s="2"/>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row>
    <row r="1177" ht="204.75" customHeight="1">
      <c r="A1177" s="1">
        <v>3686.0</v>
      </c>
      <c r="B1177" s="2" t="s">
        <v>3740</v>
      </c>
      <c r="C1177" s="2">
        <f>IFERROR(__xludf.DUMMYFUNCTION("split(B1177,""_"")"),1207.0)</f>
        <v>1207</v>
      </c>
      <c r="D1177" s="2" t="str">
        <f>IFERROR(__xludf.DUMMYFUNCTION("""COMPUTED_VALUE"""),"CX")</f>
        <v>CX</v>
      </c>
      <c r="E1177" s="2" t="str">
        <f>IFERROR(__xludf.DUMMYFUNCTION("""COMPUTED_VALUE"""),"火21")</f>
        <v>火21</v>
      </c>
      <c r="F1177" s="2" t="s">
        <v>3741</v>
      </c>
      <c r="G1177" s="2" t="s">
        <v>3769</v>
      </c>
      <c r="H1177" s="1">
        <v>10.0</v>
      </c>
      <c r="I1177" s="1" t="s">
        <v>37</v>
      </c>
      <c r="J1177" s="1" t="s">
        <v>11</v>
      </c>
      <c r="K1177" s="2" t="s">
        <v>3770</v>
      </c>
      <c r="L1177" s="2" t="s">
        <v>3771</v>
      </c>
      <c r="M1177" s="2" t="str">
        <f>IFERROR(__xludf.DUMMYFUNCTION("split(split(K1177,""武井咲　"",false),""公式LINE"",false)"),"玲(武井咲)は、嫉妬に駆られた亜沙美(霧島れいか)の策略により、樹山(江口洋介)の家庭を知ることに。過去の贖罪(しょくざい)のためだけに亜沙美と暮らすようにみえる樹山の姿を見た玲は、言いようのない悲しさを覚え、「もう会いません」と告げた。  　後日、シャルロットを訪れる樹山。近くの公園で樹山は、玲に亜沙美のことを謝る。罪滅ぼしのために亜沙美たちといるわけじゃないと話す樹山。しかし玲は、樹山は亜沙美と同じ方向を向いていないと指摘する。  　樹山のもとから立ち去ろうとする玲の目の前に現れたのは、なんと鮎川(要"&amp;"潤)だった。鮎川は、先日の約束を破ったことを玲に詫び、DNA鑑定に必要な書類などが入った封筒を差し出す。封筒を受け取り去ろうとする玲を見て、ある種の充足感を覚え、微笑みを浮かべる鮎川。しかし、彼の腹部に再び激痛が走る。玲と樹山は鮎川を病院へ運ぶ。そこで玲たちは、医師から鮎川が膵臓(すいぞう)ガンに侵されており、余命が短いことを告げられる。樹山は、今後何かあった際には連絡してほしいと医師に名刺を差し出す。  　一度は決意したDNA鑑定に迷いを覚える玲。その背中を押したのは草野(中村蒼)だった。草野は自分の親"&amp;"の現況すら分からない自らの複雑な境遇を玲に話し、DNA鑑定ができるならばやった方が良いと話す。草野と別れた玲は、意を決しポストに書類を投函する・・・。")</f>
        <v>玲(武井咲)は、嫉妬に駆られた亜沙美(霧島れいか)の策略により、樹山(江口洋介)の家庭を知ることに。過去の贖罪(しょくざい)のためだけに亜沙美と暮らすようにみえる樹山の姿を見た玲は、言いようのない悲しさを覚え、「もう会いません」と告げた。  　後日、シャルロットを訪れる樹山。近くの公園で樹山は、玲に亜沙美のことを謝る。罪滅ぼしのために亜沙美たちといるわけじゃないと話す樹山。しかし玲は、樹山は亜沙美と同じ方向を向いていないと指摘する。  　樹山のもとから立ち去ろうとする玲の目の前に現れたのは、なんと鮎川(要潤)だった。鮎川は、先日の約束を破ったことを玲に詫び、DNA鑑定に必要な書類などが入った封筒を差し出す。封筒を受け取り去ろうとする玲を見て、ある種の充足感を覚え、微笑みを浮かべる鮎川。しかし、彼の腹部に再び激痛が走る。玲と樹山は鮎川を病院へ運ぶ。そこで玲たちは、医師から鮎川が膵臓(すいぞう)ガンに侵されており、余命が短いことを告げられる。樹山は、今後何かあった際には連絡してほしいと医師に名刺を差し出す。  　一度は決意したDNA鑑定に迷いを覚える玲。その背中を押したのは草野(中村蒼)だった。草野は自分の親の現況すら分からない自らの複雑な境遇を玲に話し、DNA鑑定ができるならばやった方が良いと話す。草野と別れた玲は、意を決しポストに書類を投函する・・・。</v>
      </c>
      <c r="N1177" s="2"/>
      <c r="O1177" s="2"/>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row>
    <row r="1178" ht="204.75" customHeight="1">
      <c r="A1178" s="1">
        <v>3687.0</v>
      </c>
      <c r="B1178" s="2" t="s">
        <v>3740</v>
      </c>
      <c r="C1178" s="2">
        <f>IFERROR(__xludf.DUMMYFUNCTION("split(B1178,""_"")"),1207.0)</f>
        <v>1207</v>
      </c>
      <c r="D1178" s="2" t="str">
        <f>IFERROR(__xludf.DUMMYFUNCTION("""COMPUTED_VALUE"""),"CX")</f>
        <v>CX</v>
      </c>
      <c r="E1178" s="2" t="str">
        <f>IFERROR(__xludf.DUMMYFUNCTION("""COMPUTED_VALUE"""),"火21")</f>
        <v>火21</v>
      </c>
      <c r="F1178" s="2" t="s">
        <v>3741</v>
      </c>
      <c r="G1178" s="2" t="s">
        <v>3772</v>
      </c>
      <c r="H1178" s="1">
        <v>11.0</v>
      </c>
      <c r="I1178" s="1" t="s">
        <v>41</v>
      </c>
      <c r="J1178" s="1" t="s">
        <v>11</v>
      </c>
      <c r="K1178" s="2" t="s">
        <v>3773</v>
      </c>
      <c r="L1178" s="2" t="s">
        <v>3774</v>
      </c>
      <c r="M1178" s="2" t="str">
        <f>IFERROR(__xludf.DUMMYFUNCTION("split(split(K1178,""武井咲　"",false),""公式LINE"",false)"),"玲(武井咲)は、失意のどん底にいた。DNA鑑定の結果が出て、99.99%の確率で鮎川(要潤)と親子関係にあると明らかになったのだ。葉子(木村佳乃)、麻央(小芝風花)、香緒里(浅田美代子)の制止を振り切り、1人になるため街をさまよい歩き、気がつけばバイト先の「パティスリー・シャルロット」で、自身の過酷な運命を恨み泣き続けていた。  　そこに、樹山(江口洋介)がやって来る。樹山は、先日鮎川が搬送された病院から彼の容体が急変した連絡を受け、病院に寄った後、玲を探していた。自分が鮎川の子供であったことを樹山に打ち"&amp;"明ける玲。冷静さを失った玲を優しく受け止める樹山は、鮎川が危篤で、玲の名を呼んでいることを告げる。  　玲と樹山は鮎川の病院へ向かう。看護師に促され、玲は危篤状態にある鮎川の側に。玲に気付いた鮎川は、リンゴのガラス細工を手渡そうとする。しかし、玲は「あなたなんて父親じゃない」と病室を飛び出してしまう。  　後日、玲が「パティスリー・シャルロット」に出勤すると、樹山が店の前で待っていた。玲を心配する樹山は鮎川の容体が持ち直したと話す。しかし、玲はもう鮎川のことを忘れたいと話し、DNA鑑定の結果がいまだに整理"&amp;"できていない状況にあった・・・。")</f>
        <v>玲(武井咲)は、失意のどん底にいた。DNA鑑定の結果が出て、99.99%の確率で鮎川(要潤)と親子関係にあると明らかになったのだ。葉子(木村佳乃)、麻央(小芝風花)、香緒里(浅田美代子)の制止を振り切り、1人になるため街をさまよい歩き、気がつけばバイト先の「パティスリー・シャルロット」で、自身の過酷な運命を恨み泣き続けていた。  　そこに、樹山(江口洋介)がやって来る。樹山は、先日鮎川が搬送された病院から彼の容体が急変した連絡を受け、病院に寄った後、玲を探していた。自分が鮎川の子供であったことを樹山に打ち明ける玲。冷静さを失った玲を優しく受け止める樹山は、鮎川が危篤で、玲の名を呼んでいることを告げる。  　玲と樹山は鮎川の病院へ向かう。看護師に促され、玲は危篤状態にある鮎川の側に。玲に気付いた鮎川は、リンゴのガラス細工を手渡そうとする。しかし、玲は「あなたなんて父親じゃない」と病室を飛び出してしまう。  　後日、玲が「パティスリー・シャルロット」に出勤すると、樹山が店の前で待っていた。玲を心配する樹山は鮎川の容体が持ち直したと話す。しかし、玲はもう鮎川のことを忘れたいと話し、DNA鑑定の結果がいまだに整理できていない状況にあった・・・。</v>
      </c>
      <c r="N1178" s="2"/>
      <c r="O1178" s="2"/>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row>
    <row r="1179" ht="204.75" customHeight="1">
      <c r="A1179" s="1">
        <v>3688.0</v>
      </c>
      <c r="B1179" s="2" t="s">
        <v>3775</v>
      </c>
      <c r="C1179" s="2">
        <f>IFERROR(__xludf.DUMMYFUNCTION("split(B1179,""_"")"),1207.0)</f>
        <v>1207</v>
      </c>
      <c r="D1179" s="2" t="str">
        <f>IFERROR(__xludf.DUMMYFUNCTION("""COMPUTED_VALUE"""),"CX")</f>
        <v>CX</v>
      </c>
      <c r="E1179" s="2" t="str">
        <f>IFERROR(__xludf.DUMMYFUNCTION("""COMPUTED_VALUE"""),"火22")</f>
        <v>火22</v>
      </c>
      <c r="F1179" s="2" t="s">
        <v>2322</v>
      </c>
      <c r="G1179" s="2" t="s">
        <v>3776</v>
      </c>
      <c r="H1179" s="1">
        <v>1.0</v>
      </c>
      <c r="I1179" s="1" t="s">
        <v>3</v>
      </c>
      <c r="J1179" s="1" t="s">
        <v>82</v>
      </c>
      <c r="K1179" s="4" t="s">
        <v>3777</v>
      </c>
      <c r="L1179" s="2" t="s">
        <v>3778</v>
      </c>
      <c r="M1179" s="2" t="str">
        <f>IFERROR(__xludf.DUMMYFUNCTION("split(split(K1179,""AKIRA　"",false),""gto/"",false)"),"【番組ホームページ】  http://www.ktv.jp/")</f>
        <v>【番組ホームページ】  http://www.ktv.jp/</v>
      </c>
      <c r="N1179" s="2" t="str">
        <f>IFERROR(__xludf.DUMMYFUNCTION("""COMPUTED_VALUE"""),"　植木職人のアルバイト・鬼塚英吉(AKIRA)が、明修学苑の校庭にある樹木の剪定作業をしていると、明修学苑高校の教師・冬月あずさ(瀧本美織)の生徒・吉川昇(中川大志)が、屋上から飛び降りようとしているところを発見。英吉に声を掛けられた吉川は慌ててその場を去る。吉川は、クラスメイトの上原杏子(新川優愛)を中心とした女子3人からいじめを受けており、授業前に、お金を要求されていた。　そんな中、英吉が校内の売店で、売店のおばさん・桜井良子(黒木瞳)と会話をしていると、同校を不当な理由で退学させられたと主張する3人"&amp;"の元生徒が乱入してくる。激昂する3人に対し、教頭の内山田ひろし(田山涼成)は、腕っ節の強い英吉に協力を仰ぎ、3人を口汚く罵る。そんな内山田を見た英吉は、手助けをするかと思いきや内山田の言動に怒りを覚え、内山田をジャーマンスープレックスで投げ飛ばしてしまう。その様子を吉川、冬月、そして実はこの学苑の理事長である桜井が見つめていた…。  　学苑を後にした英吉は、親友の弾間龍二(城田優)が店長を務めるカフェで、龍二に3人の仕事の世話を依頼していた。そんな中、警察官で英吉の親友・冴島俊行(山本裕典)が、店内をのぞ"&amp;"いていた不審人物として吉川を連れて入ってくる。いじめについて相談された英吉は、吉川とダチになって助けてあげる約束をする。")</f>
        <v>　植木職人のアルバイト・鬼塚英吉(AKIRA)が、明修学苑の校庭にある樹木の剪定作業をしていると、明修学苑高校の教師・冬月あずさ(瀧本美織)の生徒・吉川昇(中川大志)が、屋上から飛び降りようとしているところを発見。英吉に声を掛けられた吉川は慌ててその場を去る。吉川は、クラスメイトの上原杏子(新川優愛)を中心とした女子3人からいじめを受けており、授業前に、お金を要求されていた。　そんな中、英吉が校内の売店で、売店のおばさん・桜井良子(黒木瞳)と会話をしていると、同校を不当な理由で退学させられたと主張する3人の元生徒が乱入してくる。激昂する3人に対し、教頭の内山田ひろし(田山涼成)は、腕っ節の強い英吉に協力を仰ぎ、3人を口汚く罵る。そんな内山田を見た英吉は、手助けをするかと思いきや内山田の言動に怒りを覚え、内山田をジャーマンスープレックスで投げ飛ばしてしまう。その様子を吉川、冬月、そして実はこの学苑の理事長である桜井が見つめていた…。  　学苑を後にした英吉は、親友の弾間龍二(城田優)が店長を務めるカフェで、龍二に3人の仕事の世話を依頼していた。そんな中、警察官で英吉の親友・冴島俊行(山本裕典)が、店内をのぞいていた不審人物として吉川を連れて入ってくる。いじめについて相談された英吉は、吉川とダチになって助けてあげる約束をする。</v>
      </c>
      <c r="O1179" s="2"/>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row>
    <row r="1180" ht="204.75" customHeight="1">
      <c r="A1180" s="1">
        <v>3689.0</v>
      </c>
      <c r="B1180" s="2" t="s">
        <v>3775</v>
      </c>
      <c r="C1180" s="2">
        <f>IFERROR(__xludf.DUMMYFUNCTION("split(B1180,""_"")"),1207.0)</f>
        <v>1207</v>
      </c>
      <c r="D1180" s="2" t="str">
        <f>IFERROR(__xludf.DUMMYFUNCTION("""COMPUTED_VALUE"""),"CX")</f>
        <v>CX</v>
      </c>
      <c r="E1180" s="2" t="str">
        <f>IFERROR(__xludf.DUMMYFUNCTION("""COMPUTED_VALUE"""),"火22")</f>
        <v>火22</v>
      </c>
      <c r="F1180" s="2" t="s">
        <v>2322</v>
      </c>
      <c r="G1180" s="2" t="s">
        <v>3779</v>
      </c>
      <c r="H1180" s="1">
        <v>2.0</v>
      </c>
      <c r="I1180" s="1" t="s">
        <v>7</v>
      </c>
      <c r="J1180" s="1" t="s">
        <v>82</v>
      </c>
      <c r="K1180" s="2" t="s">
        <v>3780</v>
      </c>
      <c r="L1180" s="2" t="s">
        <v>3781</v>
      </c>
      <c r="M1180" s="2" t="str">
        <f>IFERROR(__xludf.DUMMYFUNCTION("split(split(K1180,""AKIRA　"",false),""gto/"",false)"),"【番組ホームページ】  http://www.ktv.jp/")</f>
        <v>【番組ホームページ】  http://www.ktv.jp/</v>
      </c>
      <c r="N1180" s="2" t="str">
        <f>IFERROR(__xludf.DUMMYFUNCTION("""COMPUTED_VALUE"""),"　明修学苑の2年4組の担任教師となった鬼塚英吉(AKIRA)は、クラス委員の相沢雅(川口春奈)の謀略とは知らず、不登校の生徒・葛城美姫(西内まりや)を救うため葛城家へ。  雅から連絡を受けていた美姫は、警察署長の父親から渡されていた緊急通報ボタンを使って、英吉を留置所送りにする。  　一方、英吉が逮捕された事を知った、教頭の内山田ひろし(田山涼成)は「学苑始まって以来の不祥事だ」とわめき散らす。そんな内山田をよそに、理事長兼校長の桜井良子(黒木瞳)は、冷静に2年4組の副担任・冬月あずさ(瀧本美織)に英吉の"&amp;"引き取りを依頼。  警察署を出た英吉は、親友の弾間龍二(城田優)が働くカフェで、2年4組の吉川昇(中川大志)と親友で警察官の冴島俊行(山本裕典)から、一連の出来事は美姫の仕業だと知らされるが、「とにかく、美姫を登校させる」と気に留めない。翌朝、何事もなかったかのように登校した英吉に驚く生徒たち。雅を美姫の親友と信じて疑わない英吉は、雅に「美姫を一緒に説得してほしい」と頼む。  待ち合わせ場所の公園に向かうと、そこには美姫しかおらず、「口先だけで、メンツや世間体のために関わられるのはうざい」と言い放ち、闇サ"&amp;"イトで英吉に懸賞金を掛けたことを告白。英吉は、ゴルフクラブや金属バットなどの凶器を手にした男たちに囲まれてしまう。")</f>
        <v>　明修学苑の2年4組の担任教師となった鬼塚英吉(AKIRA)は、クラス委員の相沢雅(川口春奈)の謀略とは知らず、不登校の生徒・葛城美姫(西内まりや)を救うため葛城家へ。  雅から連絡を受けていた美姫は、警察署長の父親から渡されていた緊急通報ボタンを使って、英吉を留置所送りにする。  　一方、英吉が逮捕された事を知った、教頭の内山田ひろし(田山涼成)は「学苑始まって以来の不祥事だ」とわめき散らす。そんな内山田をよそに、理事長兼校長の桜井良子(黒木瞳)は、冷静に2年4組の副担任・冬月あずさ(瀧本美織)に英吉の引き取りを依頼。  警察署を出た英吉は、親友の弾間龍二(城田優)が働くカフェで、2年4組の吉川昇(中川大志)と親友で警察官の冴島俊行(山本裕典)から、一連の出来事は美姫の仕業だと知らされるが、「とにかく、美姫を登校させる」と気に留めない。翌朝、何事もなかったかのように登校した英吉に驚く生徒たち。雅を美姫の親友と信じて疑わない英吉は、雅に「美姫を一緒に説得してほしい」と頼む。  待ち合わせ場所の公園に向かうと、そこには美姫しかおらず、「口先だけで、メンツや世間体のために関わられるのはうざい」と言い放ち、闇サイトで英吉に懸賞金を掛けたことを告白。英吉は、ゴルフクラブや金属バットなどの凶器を手にした男たちに囲まれてしまう。</v>
      </c>
      <c r="O1180" s="2"/>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row>
    <row r="1181" ht="204.75" customHeight="1">
      <c r="A1181" s="1">
        <v>3690.0</v>
      </c>
      <c r="B1181" s="2" t="s">
        <v>3775</v>
      </c>
      <c r="C1181" s="2">
        <f>IFERROR(__xludf.DUMMYFUNCTION("split(B1181,""_"")"),1207.0)</f>
        <v>1207</v>
      </c>
      <c r="D1181" s="2" t="str">
        <f>IFERROR(__xludf.DUMMYFUNCTION("""COMPUTED_VALUE"""),"CX")</f>
        <v>CX</v>
      </c>
      <c r="E1181" s="2" t="str">
        <f>IFERROR(__xludf.DUMMYFUNCTION("""COMPUTED_VALUE"""),"火22")</f>
        <v>火22</v>
      </c>
      <c r="F1181" s="2" t="s">
        <v>2322</v>
      </c>
      <c r="G1181" s="2" t="s">
        <v>3782</v>
      </c>
      <c r="H1181" s="1">
        <v>3.0</v>
      </c>
      <c r="I1181" s="1" t="s">
        <v>10</v>
      </c>
      <c r="J1181" s="1" t="s">
        <v>86</v>
      </c>
      <c r="K1181" s="2" t="s">
        <v>3783</v>
      </c>
      <c r="L1181" s="2" t="s">
        <v>3784</v>
      </c>
      <c r="M1181" s="2" t="str">
        <f>IFERROR(__xludf.DUMMYFUNCTION("split(split(K1181,""AKIRA　"",false),""gto/"",false)"),"【番組ホームページ】  http://www.ktv.jp/")</f>
        <v>【番組ホームページ】  http://www.ktv.jp/</v>
      </c>
      <c r="N1181" s="2" t="str">
        <f>IFERROR(__xludf.DUMMYFUNCTION("""COMPUTED_VALUE"""),"　明修学苑2年4組の桑江遥(高月彩良)が、隠れてデートクラブでアルバイトをしていることを知ったクラスメイト・村井國男(森本慎太郎)は、遥に忠告するも、拒絶されてしまう。  　村井が帰宅すると、自宅に鬼塚英吉(AKIRA)が家庭訪問に来ていた。母親のつばさ(吉田羊)に対して鼻の下を伸ばす英吉に憤慨した村井は、英吉がSMプレイに興じる合成写真を作成、翌朝、学校の掲示板に貼り出す。　掲示板の前は騒然。写真を見た冬月あずさ(瀧本美織)は驚きを隠せない。合成だと主張する英吉をよそに、教頭の内山田ひろし(田山涼成)は"&amp;"、理事長の桜井良子(黒木瞳)に英吉の処分を直談判する。  　一方、教室に向かった英吉は、村井に詰め寄ると「アイドルとヌードモデルの合成写真を作って欲しい」と頼み込む。英吉の予想外の反応に生徒たちは戸惑う。　放課後、街を歩いていた村井は、遥が恋人に高価なブランド品をプレゼントしているところに遭遇。胸中に複雑な思いが広がり…。  　その晩、英吉は家庭訪問で遥の自宅へ。遥は、家が貧しいことに極度のコンプレックスを抱いていることを明かす。さらに、これから出かけるという遥に英吉が「デートか?」と聞くと、遥はうろたえ"&amp;"る。そんな遥の対応を不審に感じて…。")</f>
        <v>　明修学苑2年4組の桑江遥(高月彩良)が、隠れてデートクラブでアルバイトをしていることを知ったクラスメイト・村井國男(森本慎太郎)は、遥に忠告するも、拒絶されてしまう。  　村井が帰宅すると、自宅に鬼塚英吉(AKIRA)が家庭訪問に来ていた。母親のつばさ(吉田羊)に対して鼻の下を伸ばす英吉に憤慨した村井は、英吉がSMプレイに興じる合成写真を作成、翌朝、学校の掲示板に貼り出す。　掲示板の前は騒然。写真を見た冬月あずさ(瀧本美織)は驚きを隠せない。合成だと主張する英吉をよそに、教頭の内山田ひろし(田山涼成)は、理事長の桜井良子(黒木瞳)に英吉の処分を直談判する。  　一方、教室に向かった英吉は、村井に詰め寄ると「アイドルとヌードモデルの合成写真を作って欲しい」と頼み込む。英吉の予想外の反応に生徒たちは戸惑う。　放課後、街を歩いていた村井は、遥が恋人に高価なブランド品をプレゼントしているところに遭遇。胸中に複雑な思いが広がり…。  　その晩、英吉は家庭訪問で遥の自宅へ。遥は、家が貧しいことに極度のコンプレックスを抱いていることを明かす。さらに、これから出かけるという遥に英吉が「デートか?」と聞くと、遥はうろたえる。そんな遥の対応を不審に感じて…。</v>
      </c>
      <c r="O1181" s="2"/>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row>
    <row r="1182" ht="204.75" customHeight="1">
      <c r="A1182" s="1">
        <v>3691.0</v>
      </c>
      <c r="B1182" s="2" t="s">
        <v>3775</v>
      </c>
      <c r="C1182" s="2">
        <f>IFERROR(__xludf.DUMMYFUNCTION("split(B1182,""_"")"),1207.0)</f>
        <v>1207</v>
      </c>
      <c r="D1182" s="2" t="str">
        <f>IFERROR(__xludf.DUMMYFUNCTION("""COMPUTED_VALUE"""),"CX")</f>
        <v>CX</v>
      </c>
      <c r="E1182" s="2" t="str">
        <f>IFERROR(__xludf.DUMMYFUNCTION("""COMPUTED_VALUE"""),"火22")</f>
        <v>火22</v>
      </c>
      <c r="F1182" s="2" t="s">
        <v>2322</v>
      </c>
      <c r="G1182" s="2" t="s">
        <v>3785</v>
      </c>
      <c r="H1182" s="1">
        <v>4.0</v>
      </c>
      <c r="I1182" s="1" t="s">
        <v>14</v>
      </c>
      <c r="J1182" s="1" t="s">
        <v>86</v>
      </c>
      <c r="K1182" s="2" t="s">
        <v>3786</v>
      </c>
      <c r="L1182" s="2" t="s">
        <v>3787</v>
      </c>
      <c r="M1182" s="2" t="str">
        <f>IFERROR(__xludf.DUMMYFUNCTION("split(split(K1182,""AKIRA　"",false),""gto/"",false)"),"【番組ホームページ】  http://www.ktv.jp/")</f>
        <v>【番組ホームページ】  http://www.ktv.jp/</v>
      </c>
      <c r="N1182" s="2" t="str">
        <f>IFERROR(__xludf.DUMMYFUNCTION("""COMPUTED_VALUE"""),"　2年4組の野村朋子(宮崎香蓮)は、トロくて失敗ばかり。周りからも「トロい」と言われ、自分に自信が持てずにいた。同じく、藤吉晃二(山田裕貴)も、家庭の事情から料理が好きな気持ちを押し殺し、高校を卒業したら就職しようと考えていた。  　冬月あずさ(瀧本美織)と共に生徒たちの進路指導を行った鬼塚英吉(AKIRA)は、生徒たちの現実主義で夢を持たず、周りの環境に流されるような将来の展望に納得がいかない。　そんな中、朋子に歌の才能があることを知った英吉は、賞金100万円を目指し、朋子にアイドルオーディションに参加"&amp;"することを提案する。  　一方、林間学校の集金係を務めることになった藤吉は、集金したお金99万円を英吉に渡そうとするが、その日初めての給料に大興奮の英吉は用件も聞かず走り去ってしまい、渡しそびれる。やむなく帰宅した藤吉は、ほどなくしてかばんに入れておいた集金袋がなくなっていることに気付く。")</f>
        <v>　2年4組の野村朋子(宮崎香蓮)は、トロくて失敗ばかり。周りからも「トロい」と言われ、自分に自信が持てずにいた。同じく、藤吉晃二(山田裕貴)も、家庭の事情から料理が好きな気持ちを押し殺し、高校を卒業したら就職しようと考えていた。  　冬月あずさ(瀧本美織)と共に生徒たちの進路指導を行った鬼塚英吉(AKIRA)は、生徒たちの現実主義で夢を持たず、周りの環境に流されるような将来の展望に納得がいかない。　そんな中、朋子に歌の才能があることを知った英吉は、賞金100万円を目指し、朋子にアイドルオーディションに参加することを提案する。  　一方、林間学校の集金係を務めることになった藤吉は、集金したお金99万円を英吉に渡そうとするが、その日初めての給料に大興奮の英吉は用件も聞かず走り去ってしまい、渡しそびれる。やむなく帰宅した藤吉は、ほどなくしてかばんに入れておいた集金袋がなくなっていることに気付く。</v>
      </c>
      <c r="O1182" s="2"/>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row>
    <row r="1183" ht="204.75" customHeight="1">
      <c r="A1183" s="1">
        <v>3692.0</v>
      </c>
      <c r="B1183" s="2" t="s">
        <v>3775</v>
      </c>
      <c r="C1183" s="2">
        <f>IFERROR(__xludf.DUMMYFUNCTION("split(B1183,""_"")"),1207.0)</f>
        <v>1207</v>
      </c>
      <c r="D1183" s="2" t="str">
        <f>IFERROR(__xludf.DUMMYFUNCTION("""COMPUTED_VALUE"""),"CX")</f>
        <v>CX</v>
      </c>
      <c r="E1183" s="2" t="str">
        <f>IFERROR(__xludf.DUMMYFUNCTION("""COMPUTED_VALUE"""),"火22")</f>
        <v>火22</v>
      </c>
      <c r="F1183" s="2" t="s">
        <v>2322</v>
      </c>
      <c r="G1183" s="2" t="s">
        <v>3788</v>
      </c>
      <c r="H1183" s="1">
        <v>5.0</v>
      </c>
      <c r="I1183" s="1" t="s">
        <v>17</v>
      </c>
      <c r="J1183" s="1" t="s">
        <v>86</v>
      </c>
      <c r="K1183" s="2" t="s">
        <v>3789</v>
      </c>
      <c r="L1183" s="2" t="s">
        <v>3790</v>
      </c>
      <c r="M1183" s="2" t="str">
        <f>IFERROR(__xludf.DUMMYFUNCTION("split(split(K1183,""AKIRA　"",false),""gto/"",false)"),"【番組ホームページ】  http://www.ktv.jp/")</f>
        <v>【番組ホームページ】  http://www.ktv.jp/</v>
      </c>
      <c r="N1183" s="2" t="str">
        <f>IFERROR(__xludf.DUMMYFUNCTION("""COMPUTED_VALUE"""),"　生徒たちの水泳の授業を見に来た鬼塚英吉(AKIRA)は、堂島誠也(白濱亜嵐)が見学しているのを発見。見学している理由が泳げないからだと勘違いした英吉は、「俺が教えてやる」と、強引に堂島の服を脱がしてしまう。すると、生徒たちが騒然。堂島の背中には、一面に入れ墨が入っていた。クラスメイトからの恐怖と好奇の視線にさらされた堂島は、その場から逃走。英吉と村井國男(森本慎太郎)が後を追うが、途中で見失ってしまう。  　水泳の授業後、冬月あずさ(瀧本美織)が2年4組で授業をしていると、堂島の義理の父親だという一之瀬"&amp;"慎治(高杉亘)が乱入してくる。一之瀬は、半年前から家に戻って来ない堂島を血眼になって捜していた。教室で暴れまわったあげく、堂島が不在だと分かると、堂島への伝言を残し、教室を後にする。一方、英吉は、村井から堂島の境遇を聞かされる。　半年前、凶暴で家庭内暴力をふるう一之瀬と付き合っていた堂島の母親は、置き手紙だけを残して失踪。堂島は、母親の失踪の原因となった一之瀬に怒りをぶつけるも返り討ちにあい、気絶させられている間に、背中に一之瀬と同じ入れ墨を入れられていた。  　村井と共に堂島が暮らす養護施設を訪れた英吉"&amp;"は、堂島が一之瀬に対して激しい殺意を抱いていることを知る。")</f>
        <v>　生徒たちの水泳の授業を見に来た鬼塚英吉(AKIRA)は、堂島誠也(白濱亜嵐)が見学しているのを発見。見学している理由が泳げないからだと勘違いした英吉は、「俺が教えてやる」と、強引に堂島の服を脱がしてしまう。すると、生徒たちが騒然。堂島の背中には、一面に入れ墨が入っていた。クラスメイトからの恐怖と好奇の視線にさらされた堂島は、その場から逃走。英吉と村井國男(森本慎太郎)が後を追うが、途中で見失ってしまう。  　水泳の授業後、冬月あずさ(瀧本美織)が2年4組で授業をしていると、堂島の義理の父親だという一之瀬慎治(高杉亘)が乱入してくる。一之瀬は、半年前から家に戻って来ない堂島を血眼になって捜していた。教室で暴れまわったあげく、堂島が不在だと分かると、堂島への伝言を残し、教室を後にする。一方、英吉は、村井から堂島の境遇を聞かされる。　半年前、凶暴で家庭内暴力をふるう一之瀬と付き合っていた堂島の母親は、置き手紙だけを残して失踪。堂島は、母親の失踪の原因となった一之瀬に怒りをぶつけるも返り討ちにあい、気絶させられている間に、背中に一之瀬と同じ入れ墨を入れられていた。  　村井と共に堂島が暮らす養護施設を訪れた英吉は、堂島が一之瀬に対して激しい殺意を抱いていることを知る。</v>
      </c>
      <c r="O1183" s="2"/>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row>
    <row r="1184" ht="204.75" customHeight="1">
      <c r="A1184" s="1">
        <v>3693.0</v>
      </c>
      <c r="B1184" s="2" t="s">
        <v>3775</v>
      </c>
      <c r="C1184" s="2">
        <f>IFERROR(__xludf.DUMMYFUNCTION("split(B1184,""_"")"),1207.0)</f>
        <v>1207</v>
      </c>
      <c r="D1184" s="2" t="str">
        <f>IFERROR(__xludf.DUMMYFUNCTION("""COMPUTED_VALUE"""),"CX")</f>
        <v>CX</v>
      </c>
      <c r="E1184" s="2" t="str">
        <f>IFERROR(__xludf.DUMMYFUNCTION("""COMPUTED_VALUE"""),"火22")</f>
        <v>火22</v>
      </c>
      <c r="F1184" s="2" t="s">
        <v>2322</v>
      </c>
      <c r="G1184" s="2" t="s">
        <v>3791</v>
      </c>
      <c r="H1184" s="1">
        <v>6.0</v>
      </c>
      <c r="I1184" s="1" t="s">
        <v>21</v>
      </c>
      <c r="J1184" s="1" t="s">
        <v>86</v>
      </c>
      <c r="K1184" s="2" t="s">
        <v>3792</v>
      </c>
      <c r="L1184" s="2" t="s">
        <v>3793</v>
      </c>
      <c r="M1184" s="2" t="str">
        <f>IFERROR(__xludf.DUMMYFUNCTION("split(split(K1184,""AKIRA　"",false),""gto/"",false)"),"【番組ホームページ】  http://www.ktv.jp/")</f>
        <v>【番組ホームページ】  http://www.ktv.jp/</v>
      </c>
      <c r="N1184" s="2" t="str">
        <f>IFERROR(__xludf.DUMMYFUNCTION("""COMPUTED_VALUE"""),"夏休みに入り鬼塚英吉(AKIRA)が費用を工面できなかった2年4組は、林間学校を学校で行うことに。  そんななか相沢雅(川口春奈)らは、クラスメイトの鯨川冬美(高良光莉)の悩みを軽くあしらったことをきっかけに、冬月あずさ(瀧本美織)を「担任はずし」の標的にすることに決め、嫌がらせを始める。冬月は、なぜ自分が標的にされたのか分からず悩みながらも、自然に生徒と打ち解けていく英吉を見て、教師としての自信を失いかける。そんな冬月に対し、勅使川原優(矢野聖人)は「教師と生徒は友達じゃない。一定の距離を保つべき」と持"&amp;"論を展開し優しい言葉をかける。しかし、冬月に背を向けた勅使川原の顔には不敵な笑みが浮かんでいて…。  その夜、英吉の提案で肝試し大会を開催。おばけ役を任された冬月は、途中で急な腹痛に襲われる。それは、生徒が冬月の夕食に異物を混入して、引き起こしたものだった。そうとは知らずトイレに向かった冬月は個室に閉じ込められてしまう。焦っていると、何人かの生徒たちの声で「私たちのこと考えてくれるなら、教師辞めてよ!」と罵声を浴びせられ、頭から水を掛けられて、ずぶ濡れに。さらに「生徒を理解するために」と作成していた「生徒"&amp;"のプロフィール帳」も、ボロボロにされた状態で投げ入れられる。ひどい仕打ちに嗚咽を漏らす冬月。個室の外では、鯨川が冬月の嗚咽を聞きながら「全部あんたのせい」とつぶやいてトイレを後にする。")</f>
        <v>夏休みに入り鬼塚英吉(AKIRA)が費用を工面できなかった2年4組は、林間学校を学校で行うことに。  そんななか相沢雅(川口春奈)らは、クラスメイトの鯨川冬美(高良光莉)の悩みを軽くあしらったことをきっかけに、冬月あずさ(瀧本美織)を「担任はずし」の標的にすることに決め、嫌がらせを始める。冬月は、なぜ自分が標的にされたのか分からず悩みながらも、自然に生徒と打ち解けていく英吉を見て、教師としての自信を失いかける。そんな冬月に対し、勅使川原優(矢野聖人)は「教師と生徒は友達じゃない。一定の距離を保つべき」と持論を展開し優しい言葉をかける。しかし、冬月に背を向けた勅使川原の顔には不敵な笑みが浮かんでいて…。  その夜、英吉の提案で肝試し大会を開催。おばけ役を任された冬月は、途中で急な腹痛に襲われる。それは、生徒が冬月の夕食に異物を混入して、引き起こしたものだった。そうとは知らずトイレに向かった冬月は個室に閉じ込められてしまう。焦っていると、何人かの生徒たちの声で「私たちのこと考えてくれるなら、教師辞めてよ!」と罵声を浴びせられ、頭から水を掛けられて、ずぶ濡れに。さらに「生徒を理解するために」と作成していた「生徒のプロフィール帳」も、ボロボロにされた状態で投げ入れられる。ひどい仕打ちに嗚咽を漏らす冬月。個室の外では、鯨川が冬月の嗚咽を聞きながら「全部あんたのせい」とつぶやいてトイレを後にする。</v>
      </c>
      <c r="O1184" s="2"/>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row>
    <row r="1185" ht="204.75" customHeight="1">
      <c r="A1185" s="1">
        <v>3694.0</v>
      </c>
      <c r="B1185" s="2" t="s">
        <v>3775</v>
      </c>
      <c r="C1185" s="2">
        <f>IFERROR(__xludf.DUMMYFUNCTION("split(B1185,""_"")"),1207.0)</f>
        <v>1207</v>
      </c>
      <c r="D1185" s="2" t="str">
        <f>IFERROR(__xludf.DUMMYFUNCTION("""COMPUTED_VALUE"""),"CX")</f>
        <v>CX</v>
      </c>
      <c r="E1185" s="2" t="str">
        <f>IFERROR(__xludf.DUMMYFUNCTION("""COMPUTED_VALUE"""),"火22")</f>
        <v>火22</v>
      </c>
      <c r="F1185" s="2" t="s">
        <v>2322</v>
      </c>
      <c r="G1185" s="2" t="s">
        <v>3794</v>
      </c>
      <c r="H1185" s="1">
        <v>7.0</v>
      </c>
      <c r="I1185" s="1" t="s">
        <v>25</v>
      </c>
      <c r="J1185" s="1" t="s">
        <v>86</v>
      </c>
      <c r="K1185" s="2" t="s">
        <v>3795</v>
      </c>
      <c r="L1185" s="2" t="s">
        <v>3796</v>
      </c>
      <c r="M1185" s="2" t="str">
        <f>IFERROR(__xludf.DUMMYFUNCTION("split(split(K1185,""AKIRA　"",false),""gto/"",false)"),"【番組ホームページ】  http://www.ktv.jp/")</f>
        <v>【番組ホームページ】  http://www.ktv.jp/</v>
      </c>
      <c r="N1185" s="2" t="str">
        <f>IFERROR(__xludf.DUMMYFUNCTION("""COMPUTED_VALUE"""),"IQ200を誇る天才児の神崎麗美(本田翼)は、いつもどこか達観している様子で、何をするにも投げやりな態度をとっていた。  ある日、麗美は、駅のホームから線路の上に飛び降り、電車を止めてしまう。理事長室に連れられ、内山田教頭(田山涼成)から糾弾されるも、「(計算上)私が轢かれる可能性はあり得ない」と涼しい顔で、全く反省の色を見せない。  帰宅した麗美は、母親から「電車を止めるようなことに頭を使わず、私のために使いなさい。そのために選んだ脳なんだから」と言われて、自分の頭脳しか必要とされていないことに傷つく。"&amp;"  そんな中、鬼塚英吉(AKIRA)が暴走族だったという過去を知ったPTAの役員たちが、学苑に抗議にやってくる。鬼塚の即刻解雇を要求する役員たちに対し、勅使川原(矢野聖人)が、英吉の残留の条件として、「一週間後に行われる全国模試で全国1位をとること」を提案。英吉はその条件を快諾する。とりあえず過去問に挑戦した英吉だったが、得点は5教科500点満点中の49点。全国1位などとうてい無理だと悟った英吉は、上原杏子(新川優愛)らに「カンニングの仕方を教えてほしい」と懇願。  杏子たちが幻滅していると、麗美がやって"&amp;"きて「私が家庭教師やってあげる」と申し出る。天才児の思ってもみない提案に英吉は大喜び。一方、杏子らは、急に協力的な態度をとる麗美に、「裏の目論見があるのでは」と疑って…。")</f>
        <v>IQ200を誇る天才児の神崎麗美(本田翼)は、いつもどこか達観している様子で、何をするにも投げやりな態度をとっていた。  ある日、麗美は、駅のホームから線路の上に飛び降り、電車を止めてしまう。理事長室に連れられ、内山田教頭(田山涼成)から糾弾されるも、「(計算上)私が轢かれる可能性はあり得ない」と涼しい顔で、全く反省の色を見せない。  帰宅した麗美は、母親から「電車を止めるようなことに頭を使わず、私のために使いなさい。そのために選んだ脳なんだから」と言われて、自分の頭脳しか必要とされていないことに傷つく。  そんな中、鬼塚英吉(AKIRA)が暴走族だったという過去を知ったPTAの役員たちが、学苑に抗議にやってくる。鬼塚の即刻解雇を要求する役員たちに対し、勅使川原(矢野聖人)が、英吉の残留の条件として、「一週間後に行われる全国模試で全国1位をとること」を提案。英吉はその条件を快諾する。とりあえず過去問に挑戦した英吉だったが、得点は5教科500点満点中の49点。全国1位などとうてい無理だと悟った英吉は、上原杏子(新川優愛)らに「カンニングの仕方を教えてほしい」と懇願。  杏子たちが幻滅していると、麗美がやってきて「私が家庭教師やってあげる」と申し出る。天才児の思ってもみない提案に英吉は大喜び。一方、杏子らは、急に協力的な態度をとる麗美に、「裏の目論見があるのでは」と疑って…。</v>
      </c>
      <c r="O1185" s="2"/>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row>
    <row r="1186" ht="204.75" customHeight="1">
      <c r="A1186" s="1">
        <v>3695.0</v>
      </c>
      <c r="B1186" s="2" t="s">
        <v>3775</v>
      </c>
      <c r="C1186" s="2">
        <f>IFERROR(__xludf.DUMMYFUNCTION("split(B1186,""_"")"),1207.0)</f>
        <v>1207</v>
      </c>
      <c r="D1186" s="2" t="str">
        <f>IFERROR(__xludf.DUMMYFUNCTION("""COMPUTED_VALUE"""),"CX")</f>
        <v>CX</v>
      </c>
      <c r="E1186" s="2" t="str">
        <f>IFERROR(__xludf.DUMMYFUNCTION("""COMPUTED_VALUE"""),"火22")</f>
        <v>火22</v>
      </c>
      <c r="F1186" s="2" t="s">
        <v>2322</v>
      </c>
      <c r="G1186" s="2" t="s">
        <v>3797</v>
      </c>
      <c r="H1186" s="1">
        <v>8.0</v>
      </c>
      <c r="I1186" s="1" t="s">
        <v>29</v>
      </c>
      <c r="J1186" s="1" t="s">
        <v>86</v>
      </c>
      <c r="K1186" s="2" t="s">
        <v>3798</v>
      </c>
      <c r="L1186" s="2" t="s">
        <v>3799</v>
      </c>
      <c r="M1186" s="2" t="str">
        <f>IFERROR(__xludf.DUMMYFUNCTION("split(split(K1186,""AKIRA　"",false),""gto/"",false)"),"【番組ホームページ】  http://www.ktv.jp/")</f>
        <v>【番組ホームページ】  http://www.ktv.jp/</v>
      </c>
      <c r="N1186" s="2" t="str">
        <f>IFERROR(__xludf.DUMMYFUNCTION("""COMPUTED_VALUE"""),"神崎麗美(本田翼)の出生の秘密が明かされ、学苑内は騒然となる。麗美は、暴露した相沢雅(川口春奈)に「この国からあんたの居場所をなくしてやる」と言い放ち、姿を消す。  麗美の身を案じた英吉(AKIRA)は、麗美の自宅へ。だが、麗美の母親・伸子(宮田早苗)は、娘より仕事の心配をしており、愛情が感じられない。麗美の孤独感を知った英吉は切なくて…。一方、2年4組の教室では、村井國男(森本慎太郎)が、雅に対し「やり過ぎだ」とその行動をとがめていた。しかし、雅は一年前に起こった水樹ななこが自殺した事件に触れ、「みんな"&amp;"あの事、忘れたの?」と取り合わない。村井が必死に「鬼塚は今までの大人と違う」と説得するも、「一人になってもななこのカタキをとる」と言って出て行ってしまう。  自宅に戻った雅は、自室のベッドに寝転び、何げなくクマのぬいぐるみを胸に抱く。違和感を感じ、そのぬいぐるみを見ると、お腹の部分に小型のカメラを発見。ぞっとして、部屋中を調べると、次々と盗撮用のカメラが出てくる。訳が分からず動揺していると、麗美からメールが届く。メールを開くと、ホームページが開設されており、そこでは雅の盗撮された画像が公開されるようになっ"&amp;"ていた。すでに公開までのタイマーが作動しているのを知った雅は絶叫する。")</f>
        <v>神崎麗美(本田翼)の出生の秘密が明かされ、学苑内は騒然となる。麗美は、暴露した相沢雅(川口春奈)に「この国からあんたの居場所をなくしてやる」と言い放ち、姿を消す。  麗美の身を案じた英吉(AKIRA)は、麗美の自宅へ。だが、麗美の母親・伸子(宮田早苗)は、娘より仕事の心配をしており、愛情が感じられない。麗美の孤独感を知った英吉は切なくて…。一方、2年4組の教室では、村井國男(森本慎太郎)が、雅に対し「やり過ぎだ」とその行動をとがめていた。しかし、雅は一年前に起こった水樹ななこが自殺した事件に触れ、「みんなあの事、忘れたの?」と取り合わない。村井が必死に「鬼塚は今までの大人と違う」と説得するも、「一人になってもななこのカタキをとる」と言って出て行ってしまう。  自宅に戻った雅は、自室のベッドに寝転び、何げなくクマのぬいぐるみを胸に抱く。違和感を感じ、そのぬいぐるみを見ると、お腹の部分に小型のカメラを発見。ぞっとして、部屋中を調べると、次々と盗撮用のカメラが出てくる。訳が分からず動揺していると、麗美からメールが届く。メールを開くと、ホームページが開設されており、そこでは雅の盗撮された画像が公開されるようになっていた。すでに公開までのタイマーが作動しているのを知った雅は絶叫する。</v>
      </c>
      <c r="O1186" s="2"/>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row>
    <row r="1187" ht="204.75" customHeight="1">
      <c r="A1187" s="1">
        <v>3696.0</v>
      </c>
      <c r="B1187" s="2" t="s">
        <v>3775</v>
      </c>
      <c r="C1187" s="2">
        <f>IFERROR(__xludf.DUMMYFUNCTION("split(B1187,""_"")"),1207.0)</f>
        <v>1207</v>
      </c>
      <c r="D1187" s="2" t="str">
        <f>IFERROR(__xludf.DUMMYFUNCTION("""COMPUTED_VALUE"""),"CX")</f>
        <v>CX</v>
      </c>
      <c r="E1187" s="2" t="str">
        <f>IFERROR(__xludf.DUMMYFUNCTION("""COMPUTED_VALUE"""),"火22")</f>
        <v>火22</v>
      </c>
      <c r="F1187" s="2" t="s">
        <v>2322</v>
      </c>
      <c r="G1187" s="2" t="s">
        <v>3800</v>
      </c>
      <c r="H1187" s="1">
        <v>9.0</v>
      </c>
      <c r="I1187" s="1" t="s">
        <v>33</v>
      </c>
      <c r="J1187" s="1" t="s">
        <v>86</v>
      </c>
      <c r="K1187" s="2" t="s">
        <v>3801</v>
      </c>
      <c r="L1187" s="2" t="s">
        <v>3802</v>
      </c>
      <c r="M1187" s="2" t="str">
        <f>IFERROR(__xludf.DUMMYFUNCTION("split(split(K1187,""AKIRA　"",false),""gto/"",false)"),"【番組ホームページ】  http://www.ktv.jp/")</f>
        <v>【番組ホームページ】  http://www.ktv.jp/</v>
      </c>
      <c r="N1187" s="2" t="str">
        <f>IFERROR(__xludf.DUMMYFUNCTION("""COMPUTED_VALUE"""),"これまでの鬼塚英吉(AKIRA)の破天荒な行いが何者かの仕業でマスコミにリークされた。明修学苑にはマスコミが殺到して大騒ぎに。理事長室に呼び出され内山田教頭(田山涼成)にクビを宣告された英吉は、辞職を受け入れる代わりにもう一日だけ待ってほしいと頼む。それは、不登校となった相沢雅(川口春奈)に最後の授業を行うためだった。2年4組の教室に戻った英吉は、生徒たちから“担任はずし""のきっかけとなったクラスメートの水樹ななこ(谷内里早)が自殺した事件の詳細を聞く。  1年前、文化祭のために集めた準備費用が紛失した"&amp;"。当時の担任・藤森(折井あゆみ)は、文化祭の実行委員だったななこを疑い、厳しく追及。ほどなくして、ななこは、雅の机の中に「信じて欲しかった。藤森先生にだけは」という遺書を残し、学苑の屋上から飛び降りた。その後、生徒たちは大人に復讐するため“担任はずし""を始めていた。率先して“担任はずし""を実行していた雅が、英吉と出会うことで改心していく生徒たちから孤立していき、そのことを知った英吉は雅の自宅へ。冷たい態度を取る雅に「もうすぐクビになるから、最後に教師っぽいことをさせてくれ」と言って雅を連れ出す。  ク"&amp;"ラブに連れて来られた雅は、英吉の後輩の不良たちを目の当たりにする。不良たちは英吉の「たっぷり教えてやってくれ。このお嬢ちゃんにな」との発言を聞き、雅を取り囲む。")</f>
        <v>これまでの鬼塚英吉(AKIRA)の破天荒な行いが何者かの仕業でマスコミにリークされた。明修学苑にはマスコミが殺到して大騒ぎに。理事長室に呼び出され内山田教頭(田山涼成)にクビを宣告された英吉は、辞職を受け入れる代わりにもう一日だけ待ってほしいと頼む。それは、不登校となった相沢雅(川口春奈)に最後の授業を行うためだった。2年4組の教室に戻った英吉は、生徒たちから“担任はずし"のきっかけとなったクラスメートの水樹ななこ(谷内里早)が自殺した事件の詳細を聞く。  1年前、文化祭のために集めた準備費用が紛失した。当時の担任・藤森(折井あゆみ)は、文化祭の実行委員だったななこを疑い、厳しく追及。ほどなくして、ななこは、雅の机の中に「信じて欲しかった。藤森先生にだけは」という遺書を残し、学苑の屋上から飛び降りた。その後、生徒たちは大人に復讐するため“担任はずし"を始めていた。率先して“担任はずし"を実行していた雅が、英吉と出会うことで改心していく生徒たちから孤立していき、そのことを知った英吉は雅の自宅へ。冷たい態度を取る雅に「もうすぐクビになるから、最後に教師っぽいことをさせてくれ」と言って雅を連れ出す。  クラブに連れて来られた雅は、英吉の後輩の不良たちを目の当たりにする。不良たちは英吉の「たっぷり教えてやってくれ。このお嬢ちゃんにな」との発言を聞き、雅を取り囲む。</v>
      </c>
      <c r="O1187" s="2"/>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row>
    <row r="1188" ht="204.75" customHeight="1">
      <c r="A1188" s="1">
        <v>3697.0</v>
      </c>
      <c r="B1188" s="2" t="s">
        <v>3775</v>
      </c>
      <c r="C1188" s="2">
        <f>IFERROR(__xludf.DUMMYFUNCTION("split(B1188,""_"")"),1207.0)</f>
        <v>1207</v>
      </c>
      <c r="D1188" s="2" t="str">
        <f>IFERROR(__xludf.DUMMYFUNCTION("""COMPUTED_VALUE"""),"CX")</f>
        <v>CX</v>
      </c>
      <c r="E1188" s="2" t="str">
        <f>IFERROR(__xludf.DUMMYFUNCTION("""COMPUTED_VALUE"""),"火22")</f>
        <v>火22</v>
      </c>
      <c r="F1188" s="2" t="s">
        <v>2322</v>
      </c>
      <c r="G1188" s="2" t="s">
        <v>3803</v>
      </c>
      <c r="H1188" s="1">
        <v>10.0</v>
      </c>
      <c r="I1188" s="1" t="s">
        <v>37</v>
      </c>
      <c r="J1188" s="1" t="s">
        <v>82</v>
      </c>
      <c r="K1188" s="2" t="s">
        <v>3804</v>
      </c>
      <c r="L1188" s="2" t="s">
        <v>3805</v>
      </c>
      <c r="M1188" s="2" t="str">
        <f>IFERROR(__xludf.DUMMYFUNCTION("split(split(K1188,""AKIRA　"",false),""gto/"",false)"),"「FIFA　U-20女子ワールドカップ　ジャパン2012　準決勝日本×ドイツ」延長の際、放送時間繰り下げの場合あり。    【番組ホームページ】  http://www.ktv.jp/")</f>
        <v>「FIFA　U-20女子ワールドカップ　ジャパン2012　準決勝日本×ドイツ」延長の際、放送時間繰り下げの場合あり。    【番組ホームページ】  http://www.ktv.jp/</v>
      </c>
      <c r="N1188" s="2" t="str">
        <f>IFERROR(__xludf.DUMMYFUNCTION("""COMPUTED_VALUE"""),"明修学苑の校長として赴任してきた大門美鈴(西田尚美)は、徹底的な管理体制のもとで学苑を一流校にしようと考えていた。そんな大門に、鬼塚英吉(AKIRA)の排除をアドバイスする菊地善人(高田翔)。菊地は大門の息子だった。  教師を辞めた英吉が、弾間龍二(城田優)のカフェで働いていると、大門が訪ねて来て「学苑に近づけば、今まで起こした騒動すべてを訴え、2年4組の生徒たちも全員退学にする」と圧力をかけられてしまう。  そんななか、プロボクサーを目指す草野忠明(鈴木伸之)に、付き合っている浅野麻由子(石井杏奈)の母"&amp;"親から連絡が入る。麻由子の母親は「二度と麻由子と会わないでください。ウチの娘はあなたのような野蛮な方とは釣り合いません」と言い放って、一方的に電話を切ってしまう。突然のことで訳が分からない草野は、偶然出会った英吉に助けを求める。草野の自宅を訪れた英吉は、ボクサーになってチャンピオンを目指しているという草野の夢を聞き「適当に将来を考えているわけじゃないのに、このままだと麻由子ちゃんと別れさせられちまう。先生、助けてくれよ!」と懇願される。草野を助けてやりたい英吉だったが、自分が関わることで生徒が退学になって"&amp;"しまうため、申し訳ない気持ちで草野の自宅を後にする…。")</f>
        <v>明修学苑の校長として赴任してきた大門美鈴(西田尚美)は、徹底的な管理体制のもとで学苑を一流校にしようと考えていた。そんな大門に、鬼塚英吉(AKIRA)の排除をアドバイスする菊地善人(高田翔)。菊地は大門の息子だった。  教師を辞めた英吉が、弾間龍二(城田優)のカフェで働いていると、大門が訪ねて来て「学苑に近づけば、今まで起こした騒動すべてを訴え、2年4組の生徒たちも全員退学にする」と圧力をかけられてしまう。  そんななか、プロボクサーを目指す草野忠明(鈴木伸之)に、付き合っている浅野麻由子(石井杏奈)の母親から連絡が入る。麻由子の母親は「二度と麻由子と会わないでください。ウチの娘はあなたのような野蛮な方とは釣り合いません」と言い放って、一方的に電話を切ってしまう。突然のことで訳が分からない草野は、偶然出会った英吉に助けを求める。草野の自宅を訪れた英吉は、ボクサーになってチャンピオンを目指しているという草野の夢を聞き「適当に将来を考えているわけじゃないのに、このままだと麻由子ちゃんと別れさせられちまう。先生、助けてくれよ!」と懇願される。草野を助けてやりたい英吉だったが、自分が関わることで生徒が退学になってしまうため、申し訳ない気持ちで草野の自宅を後にする…。</v>
      </c>
      <c r="O1188" s="2"/>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row>
    <row r="1189" ht="204.75" customHeight="1">
      <c r="A1189" s="1">
        <v>3698.0</v>
      </c>
      <c r="B1189" s="2" t="s">
        <v>3775</v>
      </c>
      <c r="C1189" s="2">
        <f>IFERROR(__xludf.DUMMYFUNCTION("split(B1189,""_"")"),1207.0)</f>
        <v>1207</v>
      </c>
      <c r="D1189" s="2" t="str">
        <f>IFERROR(__xludf.DUMMYFUNCTION("""COMPUTED_VALUE"""),"CX")</f>
        <v>CX</v>
      </c>
      <c r="E1189" s="2" t="str">
        <f>IFERROR(__xludf.DUMMYFUNCTION("""COMPUTED_VALUE"""),"火22")</f>
        <v>火22</v>
      </c>
      <c r="F1189" s="2" t="s">
        <v>2322</v>
      </c>
      <c r="G1189" s="2" t="s">
        <v>3806</v>
      </c>
      <c r="H1189" s="1">
        <v>11.0</v>
      </c>
      <c r="I1189" s="1" t="s">
        <v>41</v>
      </c>
      <c r="J1189" s="1" t="s">
        <v>82</v>
      </c>
      <c r="K1189" s="2" t="s">
        <v>3807</v>
      </c>
      <c r="L1189" s="2" t="s">
        <v>3808</v>
      </c>
      <c r="M1189" s="2" t="str">
        <f>IFERROR(__xludf.DUMMYFUNCTION("split(split(K1189,""AKIRA　"",false),""gto/"",false)"),"【番組ホームページ】  http://www.ktv.jp/")</f>
        <v>【番組ホームページ】  http://www.ktv.jp/</v>
      </c>
      <c r="N1189" s="2" t="str">
        <f>IFERROR(__xludf.DUMMYFUNCTION("""COMPUTED_VALUE"""),"2年4組の担任として復帰した鬼塚英吉(AKIRA)に脳動脈瘤が見つかる。医師からこのまま放置すると命の保証はないと知らされるも、生徒たちのことが心配な英吉は、弾間龍二(城田優)にも病状を明かせない。  一方、学苑の改革を推し進める新校長・大門美鈴(西田尚美)は、教師だけでなく生徒たちにもポイント制の導入を宣言。このポイント制により、文化祭を間近に控えているにも関わらず、学苑の生徒たちから笑顔がなくなってしまう。冬月あずさ(瀧本美織)は、話しかけても校長から配布されたタブレットに集中している生徒たちの姿に、"&amp;"心が見えなくなってしまう危機感を覚える。同じく、職員室内でも自身の評価を上げるため、他の教師のマイナスポイントを報告しあうという足の引っ張り合いのような状況に。  そんななか、2年4組に大門の息子・渋谷翔(野村周平)が編入してくる。英吉らは、翔がクラスを監視する役割を持って編入したことに動揺を隠せない。その日の放課後、中庭で楽しそうに文化祭の準備を進める英吉と生徒たち。その様子を物陰から渋谷が見ていて…。  翌日、渋谷の報告を受けた大門校長が、文化祭の廃止を決定。それを知った英吉は、大門に抗議するが、「学"&amp;"苑再建のために無駄な時間をさく猶予はない」とにべもなく断られ、「(気に入らなければ)別の職場をお探しください」と言われてしまう。")</f>
        <v>2年4組の担任として復帰した鬼塚英吉(AKIRA)に脳動脈瘤が見つかる。医師からこのまま放置すると命の保証はないと知らされるも、生徒たちのことが心配な英吉は、弾間龍二(城田優)にも病状を明かせない。  一方、学苑の改革を推し進める新校長・大門美鈴(西田尚美)は、教師だけでなく生徒たちにもポイント制の導入を宣言。このポイント制により、文化祭を間近に控えているにも関わらず、学苑の生徒たちから笑顔がなくなってしまう。冬月あずさ(瀧本美織)は、話しかけても校長から配布されたタブレットに集中している生徒たちの姿に、心が見えなくなってしまう危機感を覚える。同じく、職員室内でも自身の評価を上げるため、他の教師のマイナスポイントを報告しあうという足の引っ張り合いのような状況に。  そんななか、2年4組に大門の息子・渋谷翔(野村周平)が編入してくる。英吉らは、翔がクラスを監視する役割を持って編入したことに動揺を隠せない。その日の放課後、中庭で楽しそうに文化祭の準備を進める英吉と生徒たち。その様子を物陰から渋谷が見ていて…。  翌日、渋谷の報告を受けた大門校長が、文化祭の廃止を決定。それを知った英吉は、大門に抗議するが、「学苑再建のために無駄な時間をさく猶予はない」とにべもなく断られ、「(気に入らなければ)別の職場をお探しください」と言われてしまう。</v>
      </c>
      <c r="O1189" s="2"/>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row>
    <row r="1190" ht="204.75" customHeight="1">
      <c r="A1190" s="1">
        <v>3727.0</v>
      </c>
      <c r="B1190" s="2" t="s">
        <v>3809</v>
      </c>
      <c r="C1190" s="2">
        <f>IFERROR(__xludf.DUMMYFUNCTION("split(B1190,""_"")"),1207.0)</f>
        <v>1207</v>
      </c>
      <c r="D1190" s="2" t="str">
        <f>IFERROR(__xludf.DUMMYFUNCTION("""COMPUTED_VALUE"""),"CX")</f>
        <v>CX</v>
      </c>
      <c r="E1190" s="2" t="str">
        <f>IFERROR(__xludf.DUMMYFUNCTION("""COMPUTED_VALUE"""),"木22")</f>
        <v>木22</v>
      </c>
      <c r="F1190" s="2" t="s">
        <v>3810</v>
      </c>
      <c r="G1190" s="2" t="s">
        <v>3811</v>
      </c>
      <c r="H1190" s="1">
        <v>1.0</v>
      </c>
      <c r="I1190" s="1" t="s">
        <v>3</v>
      </c>
      <c r="J1190" s="1" t="s">
        <v>82</v>
      </c>
      <c r="K1190" s="4" t="s">
        <v>3812</v>
      </c>
      <c r="L1190" s="2" t="s">
        <v>3813</v>
      </c>
      <c r="M1190" s="2" t="str">
        <f>IFERROR(__xludf.DUMMYFUNCTION("split(split(K1190,""【"",false),""あらすじ)  "",false)"),"7月5日スタートの“木10""は東野圭吾の傑作短篇小説を11話厳選し、週替わりの“主演""と“ストーリー""の1話完結型のミステリードラマをお届けする。11人の豪華主演俳優がズラリと並び、シリアスあり、コメディータッチあり、ホラーテイストあり…とさまざまなミステリーを届ける。東野圭吾ミステリーの魅惑の世界へと視聴者を誘うナビゲーターパートでは、中井貴一が事件に巻き込まれるミステリー雑誌「月刊ホワイダニット」の編集長・倉敷を演じる。第1話は15分拡大スペシャルとしてお届けし、主演として唐沢寿明が登場する。 "&amp;"   　(第1話『さよならコーチ』")</f>
        <v>7月5日スタートの“木10"は東野圭吾の傑作短篇小説を11話厳選し、週替わりの“主演"と“ストーリー"の1話完結型のミステリードラマをお届けする。11人の豪華主演俳優がズラリと並び、シリアスあり、コメディータッチあり、ホラーテイストあり…とさまざまなミステリーを届ける。東野圭吾ミステリーの魅惑の世界へと視聴者を誘うナビゲーターパートでは、中井貴一が事件に巻き込まれるミステリー雑誌「月刊ホワイダニット」の編集長・倉敷を演じる。第1話は15分拡大スペシャルとしてお届けし、主演として唐沢寿明が登場する。    　(第1話『さよならコーチ』</v>
      </c>
      <c r="N1190" s="2" t="str">
        <f>IFERROR(__xludf.DUMMYFUNCTION("""COMPUTED_VALUE"""),"　水木エレクトロニクス、アーチェリー部コーチの石上純一(唐沢)は、指導している望月直美(田中麗奈)の死体を部室で発見する。遺言らしきビデオが残されていたことから、直美の死は自殺とみられた。やって来た鈴木和真(西岡徳馬)警部に、石上は直美の自殺に心当たりがないかと問われる。石上は、直美がオリンピック選考会で落選したことが原因なのではと答えた。  　直美の葬儀も終わり、警察は彼女の死を自殺と認定しようとしていたが、鈴木はどこか腑に落ちずにいる。一方、石上はアーチェリー部の廃部が決まったことから、会社を辞めると"&amp;"妻の陽子(戸田菜穂)に報告。しかし、最近、石上家に不審な電話がかかってくるようになっていた。そんな時、陽子が何者かに襲われて…。唐沢寿明　  田中麗奈　  戸田菜穂　  西岡徳馬  　・　  中井貴一(ナビゲーター)")</f>
        <v>　水木エレクトロニクス、アーチェリー部コーチの石上純一(唐沢)は、指導している望月直美(田中麗奈)の死体を部室で発見する。遺言らしきビデオが残されていたことから、直美の死は自殺とみられた。やって来た鈴木和真(西岡徳馬)警部に、石上は直美の自殺に心当たりがないかと問われる。石上は、直美がオリンピック選考会で落選したことが原因なのではと答えた。  　直美の葬儀も終わり、警察は彼女の死を自殺と認定しようとしていたが、鈴木はどこか腑に落ちずにいる。一方、石上はアーチェリー部の廃部が決まったことから、会社を辞めると妻の陽子(戸田菜穂)に報告。しかし、最近、石上家に不審な電話がかかってくるようになっていた。そんな時、陽子が何者かに襲われて…。唐沢寿明　  田中麗奈　  戸田菜穂　  西岡徳馬  　・　  中井貴一(ナビゲーター)</v>
      </c>
      <c r="O1190" s="2"/>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row>
    <row r="1191" ht="204.75" customHeight="1">
      <c r="A1191" s="1">
        <v>3728.0</v>
      </c>
      <c r="B1191" s="2" t="s">
        <v>3809</v>
      </c>
      <c r="C1191" s="2">
        <f>IFERROR(__xludf.DUMMYFUNCTION("split(B1191,""_"")"),1207.0)</f>
        <v>1207</v>
      </c>
      <c r="D1191" s="2" t="str">
        <f>IFERROR(__xludf.DUMMYFUNCTION("""COMPUTED_VALUE"""),"CX")</f>
        <v>CX</v>
      </c>
      <c r="E1191" s="2" t="str">
        <f>IFERROR(__xludf.DUMMYFUNCTION("""COMPUTED_VALUE"""),"木22")</f>
        <v>木22</v>
      </c>
      <c r="F1191" s="2" t="s">
        <v>3810</v>
      </c>
      <c r="G1191" s="2" t="s">
        <v>3814</v>
      </c>
      <c r="H1191" s="1">
        <v>2.0</v>
      </c>
      <c r="I1191" s="1" t="s">
        <v>7</v>
      </c>
      <c r="J1191" s="1" t="s">
        <v>86</v>
      </c>
      <c r="K1191" s="2" t="s">
        <v>3815</v>
      </c>
      <c r="L1191" s="8" t="s">
        <v>3816</v>
      </c>
      <c r="M1191" s="2" t="str">
        <f>IFERROR(__xludf.DUMMYFUNCTION("split(split(K1191,""【"",false),""あらすじ)  "",false)"),"(第2話『犯人のいない殺人の夜』")</f>
        <v>(第2話『犯人のいない殺人の夜』</v>
      </c>
      <c r="N1191" s="2" t="str">
        <f>IFERROR(__xludf.DUMMYFUNCTION("""COMPUTED_VALUE"""),"　佐藤拓也(坂口憲二)は、大学を中退して家庭教師を仕事に生活している。ある日、勉強を教えに出向いた岸田家で殺人が発生してしまう。拓也と同じく岸田家で家庭教師をしている八木由紀子(八木のぞみ)が、次男の隆夫(吉田憲祐)に刺されて絶命したのだ。建築デザイナーとして名声を馳せる岸田家の主、創介(白井晃)は、拓也に証拠隠滅の協力を依頼する。金を払うという創介の強引な依頼に当初はためらう拓也。だが、あまりに執拗な創介の願いに、拓也は証拠隠滅の方法など全てを自分に一任するという条件で引き受けた。  　拓也は岸田家の長"&amp;"男・正樹(八神蓮)と、由紀子の遺体を運び出し、山奥の林の中に穴を掘って埋める。土をかぶせる前に、拓也は遺体の身元が割れないよう、由紀子の顔と手を薬品で焼いてしまった。そして、拓也は岸田家の人々に由紀子の存在したことを徹底的に知らないものとするよう促す。また、由紀子のアパートに忍び込み、家庭教師をしていた証拠を隠滅。さらに、恋人の河合雅美(関めぐみ)の容姿を由紀子に似せて岸田家に出入りさせるようにした。だが、岸田家に由紀子の写真を携えた男が訪ねて来て…。坂口憲二　  白井晃　  雛形あきこ　  中原丈雄  "&amp;"　・　  中井貴一(ナビゲーター)")</f>
        <v>　佐藤拓也(坂口憲二)は、大学を中退して家庭教師を仕事に生活している。ある日、勉強を教えに出向いた岸田家で殺人が発生してしまう。拓也と同じく岸田家で家庭教師をしている八木由紀子(八木のぞみ)が、次男の隆夫(吉田憲祐)に刺されて絶命したのだ。建築デザイナーとして名声を馳せる岸田家の主、創介(白井晃)は、拓也に証拠隠滅の協力を依頼する。金を払うという創介の強引な依頼に当初はためらう拓也。だが、あまりに執拗な創介の願いに、拓也は証拠隠滅の方法など全てを自分に一任するという条件で引き受けた。  　拓也は岸田家の長男・正樹(八神蓮)と、由紀子の遺体を運び出し、山奥の林の中に穴を掘って埋める。土をかぶせる前に、拓也は遺体の身元が割れないよう、由紀子の顔と手を薬品で焼いてしまった。そして、拓也は岸田家の人々に由紀子の存在したことを徹底的に知らないものとするよう促す。また、由紀子のアパートに忍び込み、家庭教師をしていた証拠を隠滅。さらに、恋人の河合雅美(関めぐみ)の容姿を由紀子に似せて岸田家に出入りさせるようにした。だが、岸田家に由紀子の写真を携えた男が訪ねて来て…。坂口憲二　  白井晃　  雛形あきこ　  中原丈雄  　・　  中井貴一(ナビゲーター)</v>
      </c>
      <c r="O1191" s="2"/>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row>
    <row r="1192" ht="204.75" customHeight="1">
      <c r="A1192" s="1">
        <v>3729.0</v>
      </c>
      <c r="B1192" s="2" t="s">
        <v>3809</v>
      </c>
      <c r="C1192" s="2">
        <f>IFERROR(__xludf.DUMMYFUNCTION("split(B1192,""_"")"),1207.0)</f>
        <v>1207</v>
      </c>
      <c r="D1192" s="2" t="str">
        <f>IFERROR(__xludf.DUMMYFUNCTION("""COMPUTED_VALUE"""),"CX")</f>
        <v>CX</v>
      </c>
      <c r="E1192" s="2" t="str">
        <f>IFERROR(__xludf.DUMMYFUNCTION("""COMPUTED_VALUE"""),"木22")</f>
        <v>木22</v>
      </c>
      <c r="F1192" s="2" t="s">
        <v>3810</v>
      </c>
      <c r="G1192" s="2" t="s">
        <v>3817</v>
      </c>
      <c r="H1192" s="1">
        <v>3.0</v>
      </c>
      <c r="I1192" s="1" t="s">
        <v>10</v>
      </c>
      <c r="J1192" s="1" t="s">
        <v>86</v>
      </c>
      <c r="K1192" s="2" t="s">
        <v>3818</v>
      </c>
      <c r="L1192" s="8" t="s">
        <v>3819</v>
      </c>
      <c r="M1192" s="2" t="str">
        <f>IFERROR(__xludf.DUMMYFUNCTION("split(split(K1192,""【"",false),""あらすじ)  "",false)"),"東野圭吾の傑作短篇小説を11話厳選した1話完結型ミステリー。第3話は、松下奈緒主演の「エンドレス・ナイト」    　東京のマンションで寝ていた田村厚子(松下奈緒)は、電話の鳴る音で起こされる。受話器をとった厚子の耳に飛び込んで来たのは、夫の洋一(田中幸太朗)が殺害されたという警察からの連絡だった。  　洋一はアパレルチェーン社長の御曹司。新しく大阪に立ち上げるブランドの経営を任されたため、単身で現地に行っていた。もちろん、当初は厚子も誘われていた。しかし、厚子は洋裁学校の講師を東京で続けたいこと、また、大"&amp;"阪が肌に合わないとの理由で断ってしまう。  　大阪に着いた厚子を番場十三(大杉漣)たち刑事が出迎えた。洋一の遺体確認を終えた厚子は、自ら殺害現場に連れて行って欲しいと頼む。洋一は自分の店で刺殺されていた。検死報告などを話した番場は、厚子に洋一との最後の接触を尋ねる。厚子は一昨日、洋一から電話があり、大阪に遊びに来ないかと言われたが、断ったと話した。番場は洋一が殺された原因に心当たりはないかと聞くが、厚子はないと答える。厚子は手がかりを調べさせて欲しいと言う番場と、洋一が暮らしていたマンションへ。そこで初め"&amp;"て洋一が亡くなったことを実感し、涙を流す。その夜、洋一のマンションで寝ようとする厚子。と、玄関で物音が…。恐怖する厚子の前に、刃物を手にした男が現れた。松下奈緒　  大杉漣(しんにょうの点2つ)　  田中幸太朗  　・　  中井貴一(ナビゲーター)")</f>
        <v>東野圭吾の傑作短篇小説を11話厳選した1話完結型ミステリー。第3話は、松下奈緒主演の「エンドレス・ナイト」    　東京のマンションで寝ていた田村厚子(松下奈緒)は、電話の鳴る音で起こされる。受話器をとった厚子の耳に飛び込んで来たのは、夫の洋一(田中幸太朗)が殺害されたという警察からの連絡だった。  　洋一はアパレルチェーン社長の御曹司。新しく大阪に立ち上げるブランドの経営を任されたため、単身で現地に行っていた。もちろん、当初は厚子も誘われていた。しかし、厚子は洋裁学校の講師を東京で続けたいこと、また、大阪が肌に合わないとの理由で断ってしまう。  　大阪に着いた厚子を番場十三(大杉漣)たち刑事が出迎えた。洋一の遺体確認を終えた厚子は、自ら殺害現場に連れて行って欲しいと頼む。洋一は自分の店で刺殺されていた。検死報告などを話した番場は、厚子に洋一との最後の接触を尋ねる。厚子は一昨日、洋一から電話があり、大阪に遊びに来ないかと言われたが、断ったと話した。番場は洋一が殺された原因に心当たりはないかと聞くが、厚子はないと答える。厚子は手がかりを調べさせて欲しいと言う番場と、洋一が暮らしていたマンションへ。そこで初めて洋一が亡くなったことを実感し、涙を流す。その夜、洋一のマンションで寝ようとする厚子。と、玄関で物音が…。恐怖する厚子の前に、刃物を手にした男が現れた。松下奈緒　  大杉漣(しんにょうの点2つ)　  田中幸太朗  　・　  中井貴一(ナビゲーター)</v>
      </c>
      <c r="N1192" s="2"/>
      <c r="O1192" s="2"/>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row>
    <row r="1193" ht="204.75" customHeight="1">
      <c r="A1193" s="1">
        <v>3730.0</v>
      </c>
      <c r="B1193" s="2" t="s">
        <v>3809</v>
      </c>
      <c r="C1193" s="2">
        <f>IFERROR(__xludf.DUMMYFUNCTION("split(B1193,""_"")"),1207.0)</f>
        <v>1207</v>
      </c>
      <c r="D1193" s="2" t="str">
        <f>IFERROR(__xludf.DUMMYFUNCTION("""COMPUTED_VALUE"""),"CX")</f>
        <v>CX</v>
      </c>
      <c r="E1193" s="2" t="str">
        <f>IFERROR(__xludf.DUMMYFUNCTION("""COMPUTED_VALUE"""),"木22")</f>
        <v>木22</v>
      </c>
      <c r="F1193" s="2" t="s">
        <v>3810</v>
      </c>
      <c r="G1193" s="2" t="s">
        <v>3820</v>
      </c>
      <c r="H1193" s="1">
        <v>4.0</v>
      </c>
      <c r="I1193" s="1" t="s">
        <v>14</v>
      </c>
      <c r="J1193" s="1" t="s">
        <v>86</v>
      </c>
      <c r="K1193" s="2" t="s">
        <v>3821</v>
      </c>
      <c r="L1193" s="8" t="s">
        <v>3822</v>
      </c>
      <c r="M1193" s="2" t="str">
        <f>IFERROR(__xludf.DUMMYFUNCTION("split(split(K1193,""【"",false),""あらすじ)  "",false)"),"東野圭吾の傑作短篇小説を11話厳選した1話完結型ミステリー。第4話は観月ありさ主演の「レイコと玲子」。    　浅野葉子(観月ありさ)は少年犯罪を専門とする弁護士。この日も殺人を犯した少年の更生を促す判決を勝ち取った。しかし、少年とは言え、殺人犯への風当たりは冷たい。記者会見でも葉子の弁護にマスコミの批判が集中する。会見後、マンションに帰った葉子は駐車場の片隅に少女(大野いと)を発見して声をかける。だが、少女は葉子の問いかけに返事をしない。業を煮やした葉子が少し声を荒らげると、やっと少女が言葉を発する。少"&amp;"女は返事をしない…のではなく、記憶を失っているため“出来なかった""のだ。そんな少女を深夜に放り出すわけにもいかず、葉子は自室に招き入れた。そして、葉子は少女の持ち物にREIKOと書かれているのを見つける。どうやらレイコという名のようだが、少女の記憶は深い闇に包まれていた。  　その夜、葉子のマンションがある地域を管轄する警察は、慌ただしく動いていた。前村哲也(川井つと)という男が殺害されたのだ。捜査に当たった今西警部補(平田満)のもとに、殺害推定時刻の現場に若い女がいたという目撃情報が寄せられる。  　"&amp;"翌朝、葉子はレイコの淡い記憶を頼りにマンションまでの足取りを検証。すると、捜査に当たる警官の姿が…。観月ありさ　  大野いと　  平田満　  吉田栄作  　・　  中井貴一(ナビゲーター)")</f>
        <v>東野圭吾の傑作短篇小説を11話厳選した1話完結型ミステリー。第4話は観月ありさ主演の「レイコと玲子」。    　浅野葉子(観月ありさ)は少年犯罪を専門とする弁護士。この日も殺人を犯した少年の更生を促す判決を勝ち取った。しかし、少年とは言え、殺人犯への風当たりは冷たい。記者会見でも葉子の弁護にマスコミの批判が集中する。会見後、マンションに帰った葉子は駐車場の片隅に少女(大野いと)を発見して声をかける。だが、少女は葉子の問いかけに返事をしない。業を煮やした葉子が少し声を荒らげると、やっと少女が言葉を発する。少女は返事をしない…のではなく、記憶を失っているため“出来なかった"のだ。そんな少女を深夜に放り出すわけにもいかず、葉子は自室に招き入れた。そして、葉子は少女の持ち物にREIKOと書かれているのを見つける。どうやらレイコという名のようだが、少女の記憶は深い闇に包まれていた。  　その夜、葉子のマンションがある地域を管轄する警察は、慌ただしく動いていた。前村哲也(川井つと)という男が殺害されたのだ。捜査に当たった今西警部補(平田満)のもとに、殺害推定時刻の現場に若い女がいたという目撃情報が寄せられる。  　翌朝、葉子はレイコの淡い記憶を頼りにマンションまでの足取りを検証。すると、捜査に当たる警官の姿が…。観月ありさ　  大野いと　  平田満　  吉田栄作  　・　  中井貴一(ナビゲーター)</v>
      </c>
      <c r="N1193" s="2"/>
      <c r="O1193" s="2"/>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row>
    <row r="1194" ht="204.75" customHeight="1">
      <c r="A1194" s="1">
        <v>3731.0</v>
      </c>
      <c r="B1194" s="2" t="s">
        <v>3809</v>
      </c>
      <c r="C1194" s="2">
        <f>IFERROR(__xludf.DUMMYFUNCTION("split(B1194,""_"")"),1207.0)</f>
        <v>1207</v>
      </c>
      <c r="D1194" s="2" t="str">
        <f>IFERROR(__xludf.DUMMYFUNCTION("""COMPUTED_VALUE"""),"CX")</f>
        <v>CX</v>
      </c>
      <c r="E1194" s="2" t="str">
        <f>IFERROR(__xludf.DUMMYFUNCTION("""COMPUTED_VALUE"""),"木22")</f>
        <v>木22</v>
      </c>
      <c r="F1194" s="2" t="s">
        <v>3810</v>
      </c>
      <c r="G1194" s="2" t="s">
        <v>3823</v>
      </c>
      <c r="H1194" s="1">
        <v>5.0</v>
      </c>
      <c r="I1194" s="1" t="s">
        <v>17</v>
      </c>
      <c r="J1194" s="1" t="s">
        <v>86</v>
      </c>
      <c r="K1194" s="2" t="s">
        <v>3824</v>
      </c>
      <c r="L1194" s="8" t="s">
        <v>3825</v>
      </c>
      <c r="M1194" s="2" t="str">
        <f>IFERROR(__xludf.DUMMYFUNCTION("split(split(K1194,""【"",false),""あらすじ)  "",false)"),"中川伸彦(反町隆史)、尚美(加藤あい)夫婦は、遅れた新婚旅行のため沖縄に向かう飛行機に乗っていた。2人の新婚旅行が遅れたのは、伸彦が男手ひとつで育てていた前妻との娘、宏子(信太真妃)が不慮の事故で亡くなっていたため。伸彦は機内で、まだ宏子の一周忌も終わっていないとためらう尚美の薬指に、自分たちも前に進まないといけないと結婚指輪をはめる。そんな2人を初老の藤村重雄(北見敏之)と照恵(大塚良重)夫婦が微笑ましく見つめていた。  　チェックインまでの時間を沖縄観光で費やした伸彦たちが予約済みのホテルに行くと、重"&amp;"雄夫婦と再会。どちらかの部屋でそのうち一杯やろうと、奇遇を喜ぶ重雄は、照恵にたしなめられる。尚美は重雄の誘いを歓迎するのだが、伸彦の表情はさえない。部屋に入ると尚美は宏子の写真を取り出す。3人で来たかったと告げる尚美だが、伸彦は写真を見つめるだけ…。また、伸彦は国内旅行には不似合いの大きなスーツケースを持って来ていた。  　夕食を終えると、いささか酔った尚美はすぐにベッドに横になってしまった。そんな尚美の首に、伸彦の手が伸びる。実は、伸彦は宏子の死の原因が尚美にあると思っていたのだ。目を覚ました尚美に、問"&amp;"いただす伸彦。だが、尚美は何を言われても無言のまま。否定もされないことにいら立つ伸彦に、尚美は「新婚旅行なのに…幸せなはずなのに」とつぶやき、意を決したように目をつむり「殺して…」と反町隆史　  加藤あい　  北見敏之　    中井貴一(ナビゲーター)")</f>
        <v>中川伸彦(反町隆史)、尚美(加藤あい)夫婦は、遅れた新婚旅行のため沖縄に向かう飛行機に乗っていた。2人の新婚旅行が遅れたのは、伸彦が男手ひとつで育てていた前妻との娘、宏子(信太真妃)が不慮の事故で亡くなっていたため。伸彦は機内で、まだ宏子の一周忌も終わっていないとためらう尚美の薬指に、自分たちも前に進まないといけないと結婚指輪をはめる。そんな2人を初老の藤村重雄(北見敏之)と照恵(大塚良重)夫婦が微笑ましく見つめていた。  　チェックインまでの時間を沖縄観光で費やした伸彦たちが予約済みのホテルに行くと、重雄夫婦と再会。どちらかの部屋でそのうち一杯やろうと、奇遇を喜ぶ重雄は、照恵にたしなめられる。尚美は重雄の誘いを歓迎するのだが、伸彦の表情はさえない。部屋に入ると尚美は宏子の写真を取り出す。3人で来たかったと告げる尚美だが、伸彦は写真を見つめるだけ…。また、伸彦は国内旅行には不似合いの大きなスーツケースを持って来ていた。  　夕食を終えると、いささか酔った尚美はすぐにベッドに横になってしまった。そんな尚美の首に、伸彦の手が伸びる。実は、伸彦は宏子の死の原因が尚美にあると思っていたのだ。目を覚ました尚美に、問いただす伸彦。だが、尚美は何を言われても無言のまま。否定もされないことにいら立つ伸彦に、尚美は「新婚旅行なのに…幸せなはずなのに」とつぶやき、意を決したように目をつむり「殺して…」と反町隆史　  加藤あい　  北見敏之　    中井貴一(ナビゲーター)</v>
      </c>
      <c r="N1194" s="2"/>
      <c r="O1194" s="2"/>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row>
    <row r="1195" ht="204.75" customHeight="1">
      <c r="A1195" s="1">
        <v>3732.0</v>
      </c>
      <c r="B1195" s="2" t="s">
        <v>3809</v>
      </c>
      <c r="C1195" s="2">
        <f>IFERROR(__xludf.DUMMYFUNCTION("split(B1195,""_"")"),1207.0)</f>
        <v>1207</v>
      </c>
      <c r="D1195" s="2" t="str">
        <f>IFERROR(__xludf.DUMMYFUNCTION("""COMPUTED_VALUE"""),"CX")</f>
        <v>CX</v>
      </c>
      <c r="E1195" s="2" t="str">
        <f>IFERROR(__xludf.DUMMYFUNCTION("""COMPUTED_VALUE"""),"木22")</f>
        <v>木22</v>
      </c>
      <c r="F1195" s="2" t="s">
        <v>3810</v>
      </c>
      <c r="G1195" s="2" t="s">
        <v>3826</v>
      </c>
      <c r="H1195" s="1">
        <v>6.0</v>
      </c>
      <c r="I1195" s="1" t="s">
        <v>21</v>
      </c>
      <c r="J1195" s="1" t="s">
        <v>86</v>
      </c>
      <c r="K1195" s="2" t="s">
        <v>3827</v>
      </c>
      <c r="L1195" s="8" t="s">
        <v>3828</v>
      </c>
      <c r="M1195" s="2" t="str">
        <f>IFERROR(__xludf.DUMMYFUNCTION("split(split(K1195,""【"",false),""あらすじ)  "",false)"),"青山弥生(長澤まさみ)は、元カレのアパートに、残されていた荷物を返しに行く。部屋のドアの前に荷物だけを置いてさっさと帰ろうと思っていたのだが、何だか様子がおかしい。鍵のかかっていなかったドアを開けて、部屋の中に入り元カレの名前を呼ぶが、返事もない。それもそのはず、部屋の電気を点けると元カレが殺されていた。元カレの手元には、血で“A""が書かれていた。  　弥生の通報で警察官たちが駆けつけた。第一発見者で犯人と疑われる弥生だが、本当に荷物を返しに来ただけ。弥生にも元カレが殺される理由に思い当たる節はない。警"&amp;"察の調べでは、部屋は荒らされていたが、金銭類が残されていた為、強盗の犯行でもなさそうだ。  　後日、弥生は元カレの葬儀に出席。そこで、弥生は元カレの友人で、尾藤茂久(安藤政信)と名乗る男に声をかけられる。また、尾藤は葬儀場に出入りする中瀬家の面々についても詳しい。弥生が中瀬興産社長の公次郎(志賀廣太郎)に書道を教えるために出入りしていたことや、元カレも社長の世話になっていたことも尾藤は知っていた。あまりの詳しさと胡散臭さに、弥生が職業を尋ねると尾藤は探偵だと答える。  　そして、尾藤は弥生の元カレが殺され"&amp;"たのは、中瀬家の遺言状が消えてしまったことと関係すると言い、弥生にも危険が迫る可能性があると指摘。その言葉通り、弥生のマンションも何者かに荒らされていた。長澤まさみ　  安藤政信　  池脇千鶴　  マイコ　    中井貴一(ナビゲーター)原作:東野圭吾  シャレードがいっぱい(「あの頃の誰か」光文社)  脚本:鎌田哲朗　石井克人　山本健介石井克人　    ")</f>
        <v>青山弥生(長澤まさみ)は、元カレのアパートに、残されていた荷物を返しに行く。部屋のドアの前に荷物だけを置いてさっさと帰ろうと思っていたのだが、何だか様子がおかしい。鍵のかかっていなかったドアを開けて、部屋の中に入り元カレの名前を呼ぶが、返事もない。それもそのはず、部屋の電気を点けると元カレが殺されていた。元カレの手元には、血で“A"が書かれていた。  　弥生の通報で警察官たちが駆けつけた。第一発見者で犯人と疑われる弥生だが、本当に荷物を返しに来ただけ。弥生にも元カレが殺される理由に思い当たる節はない。警察の調べでは、部屋は荒らされていたが、金銭類が残されていた為、強盗の犯行でもなさそうだ。  　後日、弥生は元カレの葬儀に出席。そこで、弥生は元カレの友人で、尾藤茂久(安藤政信)と名乗る男に声をかけられる。また、尾藤は葬儀場に出入りする中瀬家の面々についても詳しい。弥生が中瀬興産社長の公次郎(志賀廣太郎)に書道を教えるために出入りしていたことや、元カレも社長の世話になっていたことも尾藤は知っていた。あまりの詳しさと胡散臭さに、弥生が職業を尋ねると尾藤は探偵だと答える。  　そして、尾藤は弥生の元カレが殺されたのは、中瀬家の遺言状が消えてしまったことと関係すると言い、弥生にも危険が迫る可能性があると指摘。その言葉通り、弥生のマンションも何者かに荒らされていた。長澤まさみ　  安藤政信　  池脇千鶴　  マイコ　    中井貴一(ナビゲーター)原作:東野圭吾  シャレードがいっぱい(「あの頃の誰か」光文社)  脚本:鎌田哲朗　石井克人　山本健介石井克人　    </v>
      </c>
      <c r="N1195" s="2"/>
      <c r="O1195" s="2"/>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row>
    <row r="1196" ht="204.75" customHeight="1">
      <c r="A1196" s="1">
        <v>3733.0</v>
      </c>
      <c r="B1196" s="2" t="s">
        <v>3809</v>
      </c>
      <c r="C1196" s="2">
        <f>IFERROR(__xludf.DUMMYFUNCTION("split(B1196,""_"")"),1207.0)</f>
        <v>1207</v>
      </c>
      <c r="D1196" s="2" t="str">
        <f>IFERROR(__xludf.DUMMYFUNCTION("""COMPUTED_VALUE"""),"CX")</f>
        <v>CX</v>
      </c>
      <c r="E1196" s="2" t="str">
        <f>IFERROR(__xludf.DUMMYFUNCTION("""COMPUTED_VALUE"""),"木22")</f>
        <v>木22</v>
      </c>
      <c r="F1196" s="2" t="s">
        <v>3810</v>
      </c>
      <c r="G1196" s="2" t="s">
        <v>3829</v>
      </c>
      <c r="H1196" s="1">
        <v>7.0</v>
      </c>
      <c r="I1196" s="1" t="s">
        <v>25</v>
      </c>
      <c r="J1196" s="1" t="s">
        <v>86</v>
      </c>
      <c r="K1196" s="2" t="s">
        <v>3830</v>
      </c>
      <c r="L1196" s="8" t="s">
        <v>3831</v>
      </c>
      <c r="M1196" s="2" t="str">
        <f>IFERROR(__xludf.DUMMYFUNCTION("split(split(K1196,""【"",false),""あらすじ)  "",false)"),"ある朝、中町由希子(戸田恵梨香)が働く『みかど出版』で事件が起きる。由希子と同じ販売促進部部長の安部孝三(菅原大吉)が、同部のフロアから転落死していたのが見回りの守衛に発見されたのだ。通報で駆けつけた刑事の田宮准一(ユースケ・サンタマリア)は部下の西岡勝(満島真之介)とともに捜査を始める。  　安部の死亡推定時刻は昨夜の9時から11時頃で、残業をしていたらしい。販売促進部で事情聴取する田宮たちは、安部と残業をしていた由希子に話を聞く。由希子によると安部には変わった様子はなかった。また、一緒に残業をしていた"&amp;"森田寿(平岡祐太)は先に帰ったと言う。  　由希子たちの聴取、現場検証から田宮は、安部は自殺ではないと推測。  しかし、他殺だとしたら、どんな手段で巨漢の安部を突き落としたのかがわからなかった。  　その夜、ひとり帰宅する由希子に何者かが迫る。不安を感じて足早になる由希子の前に現れたのは森田だった。森田は、由希子が刑事たちから何を聞かれたのかを気にしている様子。そんな2人を見つめている人影があった。森田が由希子をアパートに送って行くと、男がいる。中町伸治(千賀健永)…由希子は森田に弟だと教えた。  　次の"&amp;"日、『みかど出版』販売促進部を巡る新たな事件が発生。副部長の佐野行男(木下ほうか)が駅ホームから転落し、電車にはねられたのだ。戸田恵梨香　  ユースケ・サンタマリア　  平岡祐太　  千賀健永(Kis-My-Ft2)　    中井貴一(ナビゲーター)")</f>
        <v>ある朝、中町由希子(戸田恵梨香)が働く『みかど出版』で事件が起きる。由希子と同じ販売促進部部長の安部孝三(菅原大吉)が、同部のフロアから転落死していたのが見回りの守衛に発見されたのだ。通報で駆けつけた刑事の田宮准一(ユースケ・サンタマリア)は部下の西岡勝(満島真之介)とともに捜査を始める。  　安部の死亡推定時刻は昨夜の9時から11時頃で、残業をしていたらしい。販売促進部で事情聴取する田宮たちは、安部と残業をしていた由希子に話を聞く。由希子によると安部には変わった様子はなかった。また、一緒に残業をしていた森田寿(平岡祐太)は先に帰ったと言う。  　由希子たちの聴取、現場検証から田宮は、安部は自殺ではないと推測。  しかし、他殺だとしたら、どんな手段で巨漢の安部を突き落としたのかがわからなかった。  　その夜、ひとり帰宅する由希子に何者かが迫る。不安を感じて足早になる由希子の前に現れたのは森田だった。森田は、由希子が刑事たちから何を聞かれたのかを気にしている様子。そんな2人を見つめている人影があった。森田が由希子をアパートに送って行くと、男がいる。中町伸治(千賀健永)…由希子は森田に弟だと教えた。  　次の日、『みかど出版』販売促進部を巡る新たな事件が発生。副部長の佐野行男(木下ほうか)が駅ホームから転落し、電車にはねられたのだ。戸田恵梨香　  ユースケ・サンタマリア　  平岡祐太　  千賀健永(Kis-My-Ft2)　    中井貴一(ナビゲーター)</v>
      </c>
      <c r="N1196" s="2"/>
      <c r="O1196" s="2"/>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row>
    <row r="1197" ht="204.75" customHeight="1">
      <c r="A1197" s="1">
        <v>3734.0</v>
      </c>
      <c r="B1197" s="2" t="s">
        <v>3809</v>
      </c>
      <c r="C1197" s="2">
        <f>IFERROR(__xludf.DUMMYFUNCTION("split(B1197,""_"")"),1207.0)</f>
        <v>1207</v>
      </c>
      <c r="D1197" s="2" t="str">
        <f>IFERROR(__xludf.DUMMYFUNCTION("""COMPUTED_VALUE"""),"CX")</f>
        <v>CX</v>
      </c>
      <c r="E1197" s="2" t="str">
        <f>IFERROR(__xludf.DUMMYFUNCTION("""COMPUTED_VALUE"""),"木22")</f>
        <v>木22</v>
      </c>
      <c r="F1197" s="2" t="s">
        <v>3810</v>
      </c>
      <c r="G1197" s="2" t="s">
        <v>3832</v>
      </c>
      <c r="H1197" s="1">
        <v>8.0</v>
      </c>
      <c r="I1197" s="1" t="s">
        <v>29</v>
      </c>
      <c r="J1197" s="1" t="s">
        <v>82</v>
      </c>
      <c r="K1197" s="2" t="s">
        <v>3833</v>
      </c>
      <c r="L1197" s="8" t="s">
        <v>3834</v>
      </c>
      <c r="M1197" s="2" t="str">
        <f>IFERROR(__xludf.DUMMYFUNCTION("split(split(K1197,""【"",false),""あらすじ)  "",false)"),"「FIFA　U-20女子ワールドカップ　ジャパン2012　準々決勝日本×韓国」延長の際、放送時間繰り下げの場合あり。　高校3年生の中岡良(三浦春馬)、佐伯洋子(波瑠)、行原達也(大野拓朗)は、小学校からずっと同じ学校に通う幼なじみで仲の良い3人組。だが、思春期に入ると関係は微妙に変化。洋子と達也が交際を始めたことで、良は悩んでいた。良も密かに洋子に想いを寄せていたからだ。表面的な関係は変わらないが、良は早く高校を卒業して想いを断ち切りたかった。  　そんなある日。衝撃的な事件が起きる。達也が校舎の屋上から"&amp;"転落死したのだ。目撃した生徒によると、達也はひとりで屋上の縁を歩いていて、急にバランスを崩して落下したらしい。捜査にあたった刑事たちは自殺も視野に入れている。だが、良には事故とも自殺とも考えられない。なぜ、達也は死んだのか?その原因が知りたかった。  　次の日、達也のロッカーが何者かに壊されていた。散乱した達也の私物を片付ける洋子のもとに良が駆けつける。昨日は冷静に対処していた洋子もさすがに動揺は隠せない。そんな2人を伺う、人影が…。  　良は達也が立っていた屋上に行く。すると後を追うように女子生徒がやっ"&amp;"て来て、良に気づかれると慌てて去った。追いかけた良は、担任の井本五郎(近藤公園)に遮られてしまう。事件以来、立ち入り禁止となった屋上の扉の鍵を持ち出したのをとがめられたのだ。だが、良は井本から逃げた女子生徒の名を聞く事が出来た。笠井美代子(三吉彩花)。良は達也の葬儀で気を失った女子生徒を思い出す。三浦春馬　  波瑠　  大野拓朗　  三吉彩花　    中井貴一(ナビゲーター)")</f>
        <v>「FIFA　U-20女子ワールドカップ　ジャパン2012　準々決勝日本×韓国」延長の際、放送時間繰り下げの場合あり。　高校3年生の中岡良(三浦春馬)、佐伯洋子(波瑠)、行原達也(大野拓朗)は、小学校からずっと同じ学校に通う幼なじみで仲の良い3人組。だが、思春期に入ると関係は微妙に変化。洋子と達也が交際を始めたことで、良は悩んでいた。良も密かに洋子に想いを寄せていたからだ。表面的な関係は変わらないが、良は早く高校を卒業して想いを断ち切りたかった。  　そんなある日。衝撃的な事件が起きる。達也が校舎の屋上から転落死したのだ。目撃した生徒によると、達也はひとりで屋上の縁を歩いていて、急にバランスを崩して落下したらしい。捜査にあたった刑事たちは自殺も視野に入れている。だが、良には事故とも自殺とも考えられない。なぜ、達也は死んだのか?その原因が知りたかった。  　次の日、達也のロッカーが何者かに壊されていた。散乱した達也の私物を片付ける洋子のもとに良が駆けつける。昨日は冷静に対処していた洋子もさすがに動揺は隠せない。そんな2人を伺う、人影が…。  　良は達也が立っていた屋上に行く。すると後を追うように女子生徒がやって来て、良に気づかれると慌てて去った。追いかけた良は、担任の井本五郎(近藤公園)に遮られてしまう。事件以来、立ち入り禁止となった屋上の扉の鍵を持ち出したのをとがめられたのだ。だが、良は井本から逃げた女子生徒の名を聞く事が出来た。笠井美代子(三吉彩花)。良は達也の葬儀で気を失った女子生徒を思い出す。三浦春馬　  波瑠　  大野拓朗　  三吉彩花　    中井貴一(ナビゲーター)</v>
      </c>
      <c r="N1197" s="2"/>
      <c r="O1197" s="2"/>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row>
    <row r="1198" ht="204.75" customHeight="1">
      <c r="A1198" s="1">
        <v>3735.0</v>
      </c>
      <c r="B1198" s="2" t="s">
        <v>3809</v>
      </c>
      <c r="C1198" s="2">
        <f>IFERROR(__xludf.DUMMYFUNCTION("split(B1198,""_"")"),1207.0)</f>
        <v>1207</v>
      </c>
      <c r="D1198" s="2" t="str">
        <f>IFERROR(__xludf.DUMMYFUNCTION("""COMPUTED_VALUE"""),"CX")</f>
        <v>CX</v>
      </c>
      <c r="E1198" s="2" t="str">
        <f>IFERROR(__xludf.DUMMYFUNCTION("""COMPUTED_VALUE"""),"木22")</f>
        <v>木22</v>
      </c>
      <c r="F1198" s="2" t="s">
        <v>3810</v>
      </c>
      <c r="G1198" s="2" t="s">
        <v>3835</v>
      </c>
      <c r="H1198" s="1">
        <v>9.0</v>
      </c>
      <c r="I1198" s="1" t="s">
        <v>33</v>
      </c>
      <c r="J1198" s="1" t="s">
        <v>86</v>
      </c>
      <c r="K1198" s="2" t="s">
        <v>3836</v>
      </c>
      <c r="L1198" s="8" t="s">
        <v>3837</v>
      </c>
      <c r="M1198" s="2" t="str">
        <f>IFERROR(__xludf.DUMMYFUNCTION("split(split(K1198,""【"",false),""あらすじ)  "",false)"),"30歳の誕生日を目の前に控えた飯田智美(広末涼子)は現在失業中。3年前に勤めていた出版社がつぶれ、派遣会社に登録して働いていたのだが、その契約も半月前に切られてしまった。派遣会社から新たに回される仕事も希望にそぐわないものばかりで、イライラが募る日々。  　そんな智美に、短大時代の友人、山下典子(山口紗弥加)から封書が届く。それは典子の結婚をしらせる内容だった。妙齢、独身、就活中の智美には、友人の幸福を素直に喜べない。それでも手紙を読み進めると、最後に彼との写真を同封するとの一文。早速、封書から写真を取り"&amp;"出すと…。当然、智美には初見となる男性の隣に写っている典子まで…初見?10年近く会っていないとは言え、友人の顔を忘れてしまう智美ではない。智美は手紙に書かれた典子の携帯番号に電話するが、つながらない。  　その後、3日間…全く連絡がつかない智美は、失業中の暇を生かして、典子に会いに行く。しかし、アパートには不在。智美は、たまたま帰宅した隣家の桜井祐二(平岳大)に写真を見せると、確かに典子夫婦だと答えてくれるが怪しまれてしまう始末。仕方なく、典子宅に連絡先のメモを残してアパートから退散する智美。その時、智美"&amp;"は誰かに見られている嫌な気配を感じる。  　翌日、智美は典子の夫、昌章(大倉孝二)の勤め先を突き止めて電話する。典子のことを尋ねる智美に、昌章は何かを隠している様子で…。広末涼子　  山口紗弥加　  大倉孝二　    中井貴一(ナビゲーター)")</f>
        <v>30歳の誕生日を目の前に控えた飯田智美(広末涼子)は現在失業中。3年前に勤めていた出版社がつぶれ、派遣会社に登録して働いていたのだが、その契約も半月前に切られてしまった。派遣会社から新たに回される仕事も希望にそぐわないものばかりで、イライラが募る日々。  　そんな智美に、短大時代の友人、山下典子(山口紗弥加)から封書が届く。それは典子の結婚をしらせる内容だった。妙齢、独身、就活中の智美には、友人の幸福を素直に喜べない。それでも手紙を読み進めると、最後に彼との写真を同封するとの一文。早速、封書から写真を取り出すと…。当然、智美には初見となる男性の隣に写っている典子まで…初見?10年近く会っていないとは言え、友人の顔を忘れてしまう智美ではない。智美は手紙に書かれた典子の携帯番号に電話するが、つながらない。  　その後、3日間…全く連絡がつかない智美は、失業中の暇を生かして、典子に会いに行く。しかし、アパートには不在。智美は、たまたま帰宅した隣家の桜井祐二(平岳大)に写真を見せると、確かに典子夫婦だと答えてくれるが怪しまれてしまう始末。仕方なく、典子宅に連絡先のメモを残してアパートから退散する智美。その時、智美は誰かに見られている嫌な気配を感じる。  　翌日、智美は典子の夫、昌章(大倉孝二)の勤め先を突き止めて電話する。典子のことを尋ねる智美に、昌章は何かを隠している様子で…。広末涼子　  山口紗弥加　  大倉孝二　    中井貴一(ナビゲーター)</v>
      </c>
      <c r="N1198" s="2"/>
      <c r="O1198" s="2"/>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row>
    <row r="1199" ht="204.75" customHeight="1">
      <c r="A1199" s="1">
        <v>3736.0</v>
      </c>
      <c r="B1199" s="2" t="s">
        <v>3809</v>
      </c>
      <c r="C1199" s="2">
        <f>IFERROR(__xludf.DUMMYFUNCTION("split(B1199,""_"")"),1207.0)</f>
        <v>1207</v>
      </c>
      <c r="D1199" s="2" t="str">
        <f>IFERROR(__xludf.DUMMYFUNCTION("""COMPUTED_VALUE"""),"CX")</f>
        <v>CX</v>
      </c>
      <c r="E1199" s="2" t="str">
        <f>IFERROR(__xludf.DUMMYFUNCTION("""COMPUTED_VALUE"""),"木22")</f>
        <v>木22</v>
      </c>
      <c r="F1199" s="2" t="s">
        <v>3810</v>
      </c>
      <c r="G1199" s="2" t="s">
        <v>3838</v>
      </c>
      <c r="H1199" s="1">
        <v>10.0</v>
      </c>
      <c r="I1199" s="1" t="s">
        <v>37</v>
      </c>
      <c r="J1199" s="1" t="s">
        <v>86</v>
      </c>
      <c r="K1199" s="2" t="s">
        <v>3839</v>
      </c>
      <c r="L1199" s="8" t="s">
        <v>3840</v>
      </c>
      <c r="M1199" s="2" t="str">
        <f>IFERROR(__xludf.DUMMYFUNCTION("split(split(K1199,""【"",false),""あらすじ)  "",false)"),"山岡亜沙子(篠原涼子)は、村上照彦(田辺誠一)と同棲している。2人の間には将来の約束はなく、それぞれの仕事を充実させた自由で幸せな大人の恋愛関係を送っていた。しかし、亜沙子に子宮筋腫が発覚。医師は今のうちに手術してしまえば子供を産む事も出来ると亜沙子に勧める。  　亜沙子は悩みながらも、病気のことを照彦に話せないでいた。そんな折り、亜沙子は照彦から一生自分の子供を持つつもりはないと言われてしまう。個人の自由だと受け止めようとする亜沙子だが病気のこともあり、照彦への疑念が生まれてしまった。さらに、亜沙子は深"&amp;"夜に照彦がうなされているのも見てしまう。何でもないと取り繕う照彦だが…。  　亜沙子は照彦の行動に不安を感じ、何かと疑い深くなってしまう。それでも、2人の関係は変わろうとはしなかったのだが…。そんなある夜、亜沙子は自分に隠れて電話をしている照彦に気づく。どうやら照彦は、誰かと子供のことについての約束がある様子。亜沙子には子供を持つつもりがないと言っていた照彦がなぜ?　  　亜沙子は、電話の相手と会う約束をした照彦を密かに尾行する。照彦が向かったのは地方の喫茶飲食店。亜沙子が伺っていると、照彦は同年輩の男と"&amp;"連れ立って出て来た。2人が向かった先は墓地だった。彼らが去った後、参っていた墓を確認する亜沙子は、女性に声をかけられて…。篠原涼子　  田辺誠一　  平泉成　  キムラ緑子　    中井貴一(ナビゲーター)")</f>
        <v>山岡亜沙子(篠原涼子)は、村上照彦(田辺誠一)と同棲している。2人の間には将来の約束はなく、それぞれの仕事を充実させた自由で幸せな大人の恋愛関係を送っていた。しかし、亜沙子に子宮筋腫が発覚。医師は今のうちに手術してしまえば子供を産む事も出来ると亜沙子に勧める。  　亜沙子は悩みながらも、病気のことを照彦に話せないでいた。そんな折り、亜沙子は照彦から一生自分の子供を持つつもりはないと言われてしまう。個人の自由だと受け止めようとする亜沙子だが病気のこともあり、照彦への疑念が生まれてしまった。さらに、亜沙子は深夜に照彦がうなされているのも見てしまう。何でもないと取り繕う照彦だが…。  　亜沙子は照彦の行動に不安を感じ、何かと疑い深くなってしまう。それでも、2人の関係は変わろうとはしなかったのだが…。そんなある夜、亜沙子は自分に隠れて電話をしている照彦に気づく。どうやら照彦は、誰かと子供のことについての約束がある様子。亜沙子には子供を持つつもりがないと言っていた照彦がなぜ?　  　亜沙子は、電話の相手と会う約束をした照彦を密かに尾行する。照彦が向かったのは地方の喫茶飲食店。亜沙子が伺っていると、照彦は同年輩の男と連れ立って出て来た。2人が向かった先は墓地だった。彼らが去った後、参っていた墓を確認する亜沙子は、女性に声をかけられて…。篠原涼子　  田辺誠一　  平泉成　  キムラ緑子　    中井貴一(ナビゲーター)</v>
      </c>
      <c r="N1199" s="2"/>
      <c r="O1199" s="2"/>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row>
    <row r="1200" ht="204.75" customHeight="1">
      <c r="A1200" s="1">
        <v>3737.0</v>
      </c>
      <c r="B1200" s="2" t="s">
        <v>3809</v>
      </c>
      <c r="C1200" s="2">
        <f>IFERROR(__xludf.DUMMYFUNCTION("split(B1200,""_"")"),1207.0)</f>
        <v>1207</v>
      </c>
      <c r="D1200" s="2" t="str">
        <f>IFERROR(__xludf.DUMMYFUNCTION("""COMPUTED_VALUE"""),"CX")</f>
        <v>CX</v>
      </c>
      <c r="E1200" s="2" t="str">
        <f>IFERROR(__xludf.DUMMYFUNCTION("""COMPUTED_VALUE"""),"木22")</f>
        <v>木22</v>
      </c>
      <c r="F1200" s="2" t="s">
        <v>3810</v>
      </c>
      <c r="G1200" s="2" t="s">
        <v>3841</v>
      </c>
      <c r="H1200" s="1">
        <v>11.0</v>
      </c>
      <c r="I1200" s="1" t="s">
        <v>41</v>
      </c>
      <c r="J1200" s="1" t="s">
        <v>86</v>
      </c>
      <c r="K1200" s="2" t="s">
        <v>3842</v>
      </c>
      <c r="L1200" s="8" t="s">
        <v>3843</v>
      </c>
      <c r="M1200" s="2" t="str">
        <f>IFERROR(__xludf.DUMMYFUNCTION("split(split(K1200,""【"",false),""あらすじ)  "",false)"),"中尾章代(鈴木京香)が院長の「中尾レディースクリニック」に根岸峰和(小澤征悦)、千鶴(西田尚美)夫婦がやって来た。章代は不妊治療に取り組む傍ら、それでも子宝に恵まれない夫婦に、望まれずに産まれた子供の養子縁組も行っている。この日、根岸夫婦は章代が手配した子供に会いに来たのだ。千鶴は手放しで喜ぶのだが、峰和は“特別にお持ちした話""という章代の言葉に引っかかるものを感じる。　『根岸コーポレーション』専務の峰和は、社長の義政(竜雷太)の娘、千鶴と結婚した根岸家の婿養子。他人を蹴落とし、なりふり構わず出世して来"&amp;"た峰和が、章代の言葉に疑問を持つのも無理は無い。義政からも、章代とは後腐れのないようにしておけと釘を刺された。  　そんな時、峰和は章代に呼び出される。そこは、峰和がかつてよく使っていた店だった。章代は峰和に養子縁組の5つの条件を確認。それは、赤ちゃんを愛すること。経済的余裕。家庭内不和がない。夫婦ともに健在。そして、夫婦ともに犯罪歴がないこと…。  　そんな章代に、峰和は特別に世話をしてもらった礼だと小切手を渡そうとするが断られてしまう。章代は自ら調べた峰和の経歴が自分に似ていると話す。章代の話に、峰和"&amp;"は、“特別""の意味が自分に気があるということではないかと思い…。鈴木京香　  小澤征悦　  矢田亜希子　  竜雷太　    中井貴一(ナビゲーター)")</f>
        <v>中尾章代(鈴木京香)が院長の「中尾レディースクリニック」に根岸峰和(小澤征悦)、千鶴(西田尚美)夫婦がやって来た。章代は不妊治療に取り組む傍ら、それでも子宝に恵まれない夫婦に、望まれずに産まれた子供の養子縁組も行っている。この日、根岸夫婦は章代が手配した子供に会いに来たのだ。千鶴は手放しで喜ぶのだが、峰和は“特別にお持ちした話"という章代の言葉に引っかかるものを感じる。　『根岸コーポレーション』専務の峰和は、社長の義政(竜雷太)の娘、千鶴と結婚した根岸家の婿養子。他人を蹴落とし、なりふり構わず出世して来た峰和が、章代の言葉に疑問を持つのも無理は無い。義政からも、章代とは後腐れのないようにしておけと釘を刺された。  　そんな時、峰和は章代に呼び出される。そこは、峰和がかつてよく使っていた店だった。章代は峰和に養子縁組の5つの条件を確認。それは、赤ちゃんを愛すること。経済的余裕。家庭内不和がない。夫婦ともに健在。そして、夫婦ともに犯罪歴がないこと…。  　そんな章代に、峰和は特別に世話をしてもらった礼だと小切手を渡そうとするが断られてしまう。章代は自ら調べた峰和の経歴が自分に似ていると話す。章代の話に、峰和は、“特別"の意味が自分に気があるということではないかと思い…。鈴木京香　  小澤征悦　  矢田亜希子　  竜雷太　    中井貴一(ナビゲーター)</v>
      </c>
      <c r="N1200" s="2"/>
      <c r="O1200" s="2"/>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row>
    <row r="1201" ht="204.75" customHeight="1">
      <c r="A1201" s="1">
        <v>3776.0</v>
      </c>
      <c r="B1201" s="2" t="s">
        <v>3844</v>
      </c>
      <c r="C1201" s="2">
        <f>IFERROR(__xludf.DUMMYFUNCTION("split(B1201,""_"")"),1207.0)</f>
        <v>1207</v>
      </c>
      <c r="D1201" s="2" t="str">
        <f>IFERROR(__xludf.DUMMYFUNCTION("""COMPUTED_VALUE"""),"CX")</f>
        <v>CX</v>
      </c>
      <c r="E1201" s="2" t="str">
        <f>IFERROR(__xludf.DUMMYFUNCTION("""COMPUTED_VALUE"""),"土23")</f>
        <v>土23</v>
      </c>
      <c r="F1201" s="2" t="s">
        <v>3845</v>
      </c>
      <c r="G1201" s="2" t="s">
        <v>3846</v>
      </c>
      <c r="H1201" s="1">
        <v>1.0</v>
      </c>
      <c r="I1201" s="1" t="s">
        <v>3</v>
      </c>
      <c r="J1201" s="1" t="s">
        <v>2429</v>
      </c>
      <c r="K1201" s="4" t="s">
        <v>3847</v>
      </c>
      <c r="L1201" s="2" t="s">
        <v>3848</v>
      </c>
      <c r="M1201" s="2" t="str">
        <f>IFERROR(__xludf.DUMMYFUNCTION("split(split(K1201,""紺野泉:"",false),""公式LINE"",false)"),"紺野泉(菜々緒)は美しすぎて幸せになれない絶世の不幸美人。顔を合わせるすべての男が命がけで交際を迫ってくるため就職もできず、まともな生活も送れないでいる。そんな泉が運命を悲観し死を考えたとき、日本を代表する画家・美大教授の青山仁(風間トオル)に命を救われる。そして妻・由紀子、通称ゆっこ(安達祐実)がいると知りながら仁の愛人となり“Iの肖像""のモデルを務める日々を送る。妻ゆっこは泉が許せず、絵が売れて入ったお金は全て買い物などに使い果たし、泉には1円も渡さない。そんな彼女の生活をタニマチとして支えているの"&amp;"が、絵画教室の生徒ツンデレ中学生・緑川つね(草刈麻有)だ。向島一の料亭の娘であるつねは泉の境遇を理解し、何かと世話をやく。泉にとってそんなつねは唯一の友人。世間から身を隠しトラブルを避けるためのコスプレも全てつねに買ってもらったものだ。そんなある日、仁がイタリアに行っている間の臨時講師として絵画教室に、天然パーマの美大生・赤松啓介(中丸雄一)がやってくる。つねにデッサンを教えないと仁から単位がもらえないのだ。そんな赤松が教室で目にしたのは、なんと“子泣きじじい!!""。「ほぎゃー」と泣く泉に赤松は驚くが、"&amp;"つねは「これはお前(赤松)のためだから」と言う。ふざけたコスプレを止めさせてつねにデッサンしてもらいたい赤松は、思わず「自分は泉に惚れることはない。なぜなら、ゲイだから」と言ってしまう…")</f>
        <v>紺野泉(菜々緒)は美しすぎて幸せになれない絶世の不幸美人。顔を合わせるすべての男が命がけで交際を迫ってくるため就職もできず、まともな生活も送れないでいる。そんな泉が運命を悲観し死を考えたとき、日本を代表する画家・美大教授の青山仁(風間トオル)に命を救われる。そして妻・由紀子、通称ゆっこ(安達祐実)がいると知りながら仁の愛人となり“Iの肖像"のモデルを務める日々を送る。妻ゆっこは泉が許せず、絵が売れて入ったお金は全て買い物などに使い果たし、泉には1円も渡さない。そんな彼女の生活をタニマチとして支えているのが、絵画教室の生徒ツンデレ中学生・緑川つね(草刈麻有)だ。向島一の料亭の娘であるつねは泉の境遇を理解し、何かと世話をやく。泉にとってそんなつねは唯一の友人。世間から身を隠しトラブルを避けるためのコスプレも全てつねに買ってもらったものだ。そんなある日、仁がイタリアに行っている間の臨時講師として絵画教室に、天然パーマの美大生・赤松啓介(中丸雄一)がやってくる。つねにデッサンを教えないと仁から単位がもらえないのだ。そんな赤松が教室で目にしたのは、なんと“子泣きじじい!!"。「ほぎゃー」と泣く泉に赤松は驚くが、つねは「これはお前(赤松)のためだから」と言う。ふざけたコスプレを止めさせてつねにデッサンしてもらいたい赤松は、思わず「自分は泉に惚れることはない。なぜなら、ゲイだから」と言ってしまう…</v>
      </c>
      <c r="N1201" s="2"/>
      <c r="O1201" s="2"/>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row>
    <row r="1202" ht="204.75" customHeight="1">
      <c r="A1202" s="1">
        <v>3777.0</v>
      </c>
      <c r="B1202" s="2" t="s">
        <v>3844</v>
      </c>
      <c r="C1202" s="2">
        <f>IFERROR(__xludf.DUMMYFUNCTION("split(B1202,""_"")"),1207.0)</f>
        <v>1207</v>
      </c>
      <c r="D1202" s="2" t="str">
        <f>IFERROR(__xludf.DUMMYFUNCTION("""COMPUTED_VALUE"""),"CX")</f>
        <v>CX</v>
      </c>
      <c r="E1202" s="2" t="str">
        <f>IFERROR(__xludf.DUMMYFUNCTION("""COMPUTED_VALUE"""),"土23")</f>
        <v>土23</v>
      </c>
      <c r="F1202" s="2" t="s">
        <v>3845</v>
      </c>
      <c r="G1202" s="2" t="s">
        <v>3849</v>
      </c>
      <c r="H1202" s="1">
        <v>2.0</v>
      </c>
      <c r="I1202" s="1" t="s">
        <v>7</v>
      </c>
      <c r="J1202" s="1" t="s">
        <v>1435</v>
      </c>
      <c r="K1202" s="2" t="s">
        <v>3850</v>
      </c>
      <c r="L1202" s="2" t="s">
        <v>3851</v>
      </c>
      <c r="M1202" s="2" t="str">
        <f>IFERROR(__xludf.DUMMYFUNCTION("split(split(K1202,""紺野泉:"",false),""公式LINE"",false)"),"ストーカーに追われ夜逃げすることになった泉(菜々緒)だが、トキばあ(高泉淳子)の“下町ばばあネットワーク""の手違いで住む場所が見つからず、美大生・赤松啓介(中丸雄一)の家に居候することになった。もちろん赤松がゲイだと告白したことが大前提だ。泉をタニマチとして支えるツンデレ中学生の緑川つね(草刈麻有)は、なんとなく赤松がゲイであることが信じられない。そればかりか、つねに対し「美大を目指すならもっとしっかり勉強しなきゃ」と真っ直ぐ向かってくる赤松にほのかな恋心を抱き始めていた。つねの親友で気持ちは乙女・見た"&amp;"目は西郷隆盛の小桃宣親(加藤諒)は、そんなつねの恋心をいち早く察する。だけど小桃も赤松を一目で気に入り、2人はライバル?関係に突入!!  　泉は、赤松のアパートで赤松の世話をしながら、ぽつぽつとつねとの出会いや、今の自分の境遇を語り始める。泉が初めて絵画教室にモデルとしてやってきた時のこと、そこで仁嫁・ゆっこ(安達祐実)に出会い青山仁(風間トオル)が結婚していたことを知ったこと、その直後に教室で起きた恐ろしい事件のこと、そんな時、つねに助けてもらい今の自分があること…。  　つねと泉の年の差を越えたつなが"&amp;"りを知り、泉から改めてつねの指導を頼まれた赤松だが、自分の課題を提出してなかったことを思い出す。思わず泉にモデルを頼んでしまった赤松だが、それを快く思わないツンデレな女子中学生が1人…。")</f>
        <v>ストーカーに追われ夜逃げすることになった泉(菜々緒)だが、トキばあ(高泉淳子)の“下町ばばあネットワーク"の手違いで住む場所が見つからず、美大生・赤松啓介(中丸雄一)の家に居候することになった。もちろん赤松がゲイだと告白したことが大前提だ。泉をタニマチとして支えるツンデレ中学生の緑川つね(草刈麻有)は、なんとなく赤松がゲイであることが信じられない。そればかりか、つねに対し「美大を目指すならもっとしっかり勉強しなきゃ」と真っ直ぐ向かってくる赤松にほのかな恋心を抱き始めていた。つねの親友で気持ちは乙女・見た目は西郷隆盛の小桃宣親(加藤諒)は、そんなつねの恋心をいち早く察する。だけど小桃も赤松を一目で気に入り、2人はライバル?関係に突入!!  　泉は、赤松のアパートで赤松の世話をしながら、ぽつぽつとつねとの出会いや、今の自分の境遇を語り始める。泉が初めて絵画教室にモデルとしてやってきた時のこと、そこで仁嫁・ゆっこ(安達祐実)に出会い青山仁(風間トオル)が結婚していたことを知ったこと、その直後に教室で起きた恐ろしい事件のこと、そんな時、つねに助けてもらい今の自分があること…。  　つねと泉の年の差を越えたつながりを知り、泉から改めてつねの指導を頼まれた赤松だが、自分の課題を提出してなかったことを思い出す。思わず泉にモデルを頼んでしまった赤松だが、それを快く思わないツンデレな女子中学生が1人…。</v>
      </c>
      <c r="N1202" s="2"/>
      <c r="O1202" s="2"/>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row>
    <row r="1203" ht="204.75" customHeight="1">
      <c r="A1203" s="1">
        <v>3778.0</v>
      </c>
      <c r="B1203" s="2" t="s">
        <v>3844</v>
      </c>
      <c r="C1203" s="2">
        <f>IFERROR(__xludf.DUMMYFUNCTION("split(B1203,""_"")"),1207.0)</f>
        <v>1207</v>
      </c>
      <c r="D1203" s="2" t="str">
        <f>IFERROR(__xludf.DUMMYFUNCTION("""COMPUTED_VALUE"""),"CX")</f>
        <v>CX</v>
      </c>
      <c r="E1203" s="2" t="str">
        <f>IFERROR(__xludf.DUMMYFUNCTION("""COMPUTED_VALUE"""),"土23")</f>
        <v>土23</v>
      </c>
      <c r="F1203" s="2" t="s">
        <v>3845</v>
      </c>
      <c r="G1203" s="2" t="s">
        <v>3852</v>
      </c>
      <c r="H1203" s="1">
        <v>3.0</v>
      </c>
      <c r="I1203" s="1" t="s">
        <v>10</v>
      </c>
      <c r="J1203" s="1" t="s">
        <v>2429</v>
      </c>
      <c r="K1203" s="2" t="s">
        <v>3853</v>
      </c>
      <c r="L1203" s="2" t="s">
        <v>3854</v>
      </c>
      <c r="M1203" s="2" t="str">
        <f>IFERROR(__xludf.DUMMYFUNCTION("split(split(K1203,""紺野泉:"",false),""公式LINE"",false)"),"仁先生(風間トオル)がイタリアから戻ってきた。アトリエでは「仁先生おかえりパーティー」で大騒ぎ。愛人である泉(菜々緒)は、いそいそと仁からもらったワンピースを着てかけつけるが、そこで思わぬ攻撃を受けてしまう…。  　ある日の朝、泉は居候している赤松(中丸雄一)のアパートでお弁当を作っていた。赤松が何をしているのか尋ねると、仁に誘われて海に行くのだという。それを聞いた赤松は何となく複雑な気持ちに…。　そんな赤松が大学のキャンパスで、泉についでに作ってもらったお弁当を見つめながらため息をついていた時、仁が女子"&amp;"学生とちゃらちゃらふざけているのを見つける。仁は泉との約束をすっかり忘れていたのだ。　  　一方、泉はアトリエの前で仁を待ち続けていた。そこへ通りがかったのはなんと、本妻・ゆっこ(安達祐実)。お弁当をゆっこに見つけられて問いただされた泉は仕方なく、仁と海へ行く約束だと答える。　激高したゆっこは、そのまま車で泉を拉致。泉と仁の思い出の海へと無理やり案内させる。恐怖におびえる泉…。SOSをつね(草刈麻有)の携帯にメールする。そんな事態を察知したいつもの面々、赤松、つね、トキばあ(高泉淳子)、小桃(加藤諒)、そ"&amp;"して仁は、仁の車に乗り後を追う。一行は果たして、ゆっこから泉を救い出すことができるのだろうか?")</f>
        <v>仁先生(風間トオル)がイタリアから戻ってきた。アトリエでは「仁先生おかえりパーティー」で大騒ぎ。愛人である泉(菜々緒)は、いそいそと仁からもらったワンピースを着てかけつけるが、そこで思わぬ攻撃を受けてしまう…。  　ある日の朝、泉は居候している赤松(中丸雄一)のアパートでお弁当を作っていた。赤松が何をしているのか尋ねると、仁に誘われて海に行くのだという。それを聞いた赤松は何となく複雑な気持ちに…。　そんな赤松が大学のキャンパスで、泉についでに作ってもらったお弁当を見つめながらため息をついていた時、仁が女子学生とちゃらちゃらふざけているのを見つける。仁は泉との約束をすっかり忘れていたのだ。　  　一方、泉はアトリエの前で仁を待ち続けていた。そこへ通りがかったのはなんと、本妻・ゆっこ(安達祐実)。お弁当をゆっこに見つけられて問いただされた泉は仕方なく、仁と海へ行く約束だと答える。　激高したゆっこは、そのまま車で泉を拉致。泉と仁の思い出の海へと無理やり案内させる。恐怖におびえる泉…。SOSをつね(草刈麻有)の携帯にメールする。そんな事態を察知したいつもの面々、赤松、つね、トキばあ(高泉淳子)、小桃(加藤諒)、そして仁は、仁の車に乗り後を追う。一行は果たして、ゆっこから泉を救い出すことができるのだろうか?</v>
      </c>
      <c r="N1203" s="2"/>
      <c r="O1203" s="2"/>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row>
    <row r="1204" ht="204.75" customHeight="1">
      <c r="A1204" s="1">
        <v>3779.0</v>
      </c>
      <c r="B1204" s="2" t="s">
        <v>3844</v>
      </c>
      <c r="C1204" s="2">
        <f>IFERROR(__xludf.DUMMYFUNCTION("split(B1204,""_"")"),1207.0)</f>
        <v>1207</v>
      </c>
      <c r="D1204" s="2" t="str">
        <f>IFERROR(__xludf.DUMMYFUNCTION("""COMPUTED_VALUE"""),"CX")</f>
        <v>CX</v>
      </c>
      <c r="E1204" s="2" t="str">
        <f>IFERROR(__xludf.DUMMYFUNCTION("""COMPUTED_VALUE"""),"土23")</f>
        <v>土23</v>
      </c>
      <c r="F1204" s="2" t="s">
        <v>3845</v>
      </c>
      <c r="G1204" s="2" t="s">
        <v>3855</v>
      </c>
      <c r="H1204" s="1">
        <v>4.0</v>
      </c>
      <c r="I1204" s="1" t="s">
        <v>14</v>
      </c>
      <c r="J1204" s="1" t="s">
        <v>2429</v>
      </c>
      <c r="K1204" s="2" t="s">
        <v>3856</v>
      </c>
      <c r="L1204" s="2" t="s">
        <v>3857</v>
      </c>
      <c r="M1204" s="2" t="str">
        <f>IFERROR(__xludf.DUMMYFUNCTION("split(split(K1204,""紺野泉:"",false),""公式LINE"",false)"),"「ロンドンオリンピック　2012バレーボール女子　3位決定戦」延長の際、放送時間繰り下げの場合あり。　仁嫁・ゆっこ(安達祐実)との悪夢のドライブから、つね(草刈麻有)の助けにより生還した泉(菜々緒)。しかし仁(風間トオル)が嫁とそのまま温泉に行ってしまったことで、泉はさらに落ち込む。そんな泉に追い打ちをかけるように次々に面倒な男たちが現れる。  　向島で有名な老舗の柳寿司の1人息子・柳さん(渋川清彦)は、泉に惚れ込み行方を必死に追っている男の1人だ。喫茶カトレアで、泉を心配した赤松(中丸雄一)が、トキばあ"&amp;"(高泉淳子)や小桃(加藤諒)を巻き込み、なんとか泉に元気になってもらいたいと奮闘していると、カトレアママ(田島令子)の手違いで柳さんが出前に現れ、泉と鉢合わせに…。必死に逃げる泉に、つねは柳さん撃退の絶対的秘策を命じる。  　「向島血の3日間」を必死で追っている勅使河原警官(坪倉由幸)は、この事件の捜査で、唯一得た手がかり「美人」を突き止めるべく、とうとうあるモノに目を付ける。そしてこの事件、泉と一体どんな関係があるのか。勅使河原警官はついに衝撃の真実に直面する!  　一難去ってまた一難、今度は泉の前に国"&amp;"民的人気ロックスター、無敵ソラまさや(ダイアモンド☆ユカイ)が現れる。カリスマスターとはいえ、まさやも泉を一目見た瞬間に恋の虜となり、武装したグルーピー(まさやガールズ)らとともに、泉史上最強のストーカーと化す。面倒な男たちに囲まれ、窮地に陥った泉を救ったのはやはり…!")</f>
        <v>「ロンドンオリンピック　2012バレーボール女子　3位決定戦」延長の際、放送時間繰り下げの場合あり。　仁嫁・ゆっこ(安達祐実)との悪夢のドライブから、つね(草刈麻有)の助けにより生還した泉(菜々緒)。しかし仁(風間トオル)が嫁とそのまま温泉に行ってしまったことで、泉はさらに落ち込む。そんな泉に追い打ちをかけるように次々に面倒な男たちが現れる。  　向島で有名な老舗の柳寿司の1人息子・柳さん(渋川清彦)は、泉に惚れ込み行方を必死に追っている男の1人だ。喫茶カトレアで、泉を心配した赤松(中丸雄一)が、トキばあ(高泉淳子)や小桃(加藤諒)を巻き込み、なんとか泉に元気になってもらいたいと奮闘していると、カトレアママ(田島令子)の手違いで柳さんが出前に現れ、泉と鉢合わせに…。必死に逃げる泉に、つねは柳さん撃退の絶対的秘策を命じる。  　「向島血の3日間」を必死で追っている勅使河原警官(坪倉由幸)は、この事件の捜査で、唯一得た手がかり「美人」を突き止めるべく、とうとうあるモノに目を付ける。そしてこの事件、泉と一体どんな関係があるのか。勅使河原警官はついに衝撃の真実に直面する!  　一難去ってまた一難、今度は泉の前に国民的人気ロックスター、無敵ソラまさや(ダイアモンド☆ユカイ)が現れる。カリスマスターとはいえ、まさやも泉を一目見た瞬間に恋の虜となり、武装したグルーピー(まさやガールズ)らとともに、泉史上最強のストーカーと化す。面倒な男たちに囲まれ、窮地に陥った泉を救ったのはやはり…!</v>
      </c>
      <c r="N1204" s="2"/>
      <c r="O1204" s="2"/>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row>
    <row r="1205" ht="204.75" customHeight="1">
      <c r="A1205" s="1">
        <v>3780.0</v>
      </c>
      <c r="B1205" s="2" t="s">
        <v>3844</v>
      </c>
      <c r="C1205" s="2">
        <f>IFERROR(__xludf.DUMMYFUNCTION("split(B1205,""_"")"),1207.0)</f>
        <v>1207</v>
      </c>
      <c r="D1205" s="2" t="str">
        <f>IFERROR(__xludf.DUMMYFUNCTION("""COMPUTED_VALUE"""),"CX")</f>
        <v>CX</v>
      </c>
      <c r="E1205" s="2" t="str">
        <f>IFERROR(__xludf.DUMMYFUNCTION("""COMPUTED_VALUE"""),"土23")</f>
        <v>土23</v>
      </c>
      <c r="F1205" s="2" t="s">
        <v>3845</v>
      </c>
      <c r="G1205" s="2" t="s">
        <v>3858</v>
      </c>
      <c r="H1205" s="1">
        <v>5.0</v>
      </c>
      <c r="I1205" s="1" t="s">
        <v>17</v>
      </c>
      <c r="J1205" s="1" t="s">
        <v>2429</v>
      </c>
      <c r="K1205" s="2" t="s">
        <v>3859</v>
      </c>
      <c r="L1205" s="2" t="s">
        <v>3860</v>
      </c>
      <c r="M1205" s="2" t="str">
        <f>IFERROR(__xludf.DUMMYFUNCTION("split(split(K1205,""紺野泉:"",false),""公式LINE"",false)"),"赤松(中丸雄一)は仁(風間トオル)の勧めで全画展に応募することになった。しかもモデルは泉(菜々緒)だ。仁に泉を描く許可をもらった赤松は泉にそれを告げる…と、泉は「仁はもう自分を描く気がないのだ…」と泣き、小桃(加藤諒)は「たった一作で赤松にポイ捨てされた…」と泣き、そしてなぜかトキばあ(高泉淳子)が「全画展に自分も出展する」と言い出しアトリエは大騒ぎ!  　そんな赤松につね(草刈麻有)は、コスプレしていない泉を描くと惚れると忠告する。そしてその場合赤松は敵だと…。  　隅田川をバックに赤松が泉の絵を描き始"&amp;"めた時、突然雨が降り落ちてくる。片づけを始めた赤松の手が止まり、その視線の先には雨に打たれる美しい泉の姿が…。5分だけそのままでいて欲しいと泉に頼み、無我夢中で赤松はキャンバスに向かう。  　帰り道、一行は柳寿司の柳さん(渋川清彦)に出会う。あわてて泉を隠すが、絵を見つけられてしまう。柳さんは絵を売ってくれと土下座して頼む。すると20万円でつねが即断で売ってしまう。  　落ち込む赤松…その姿を見たつねは、柳寿司に絵を取り戻しに行くが、結局持ち帰った時には絵はボロボロになってしまっていた。絵を前にしてトキば"&amp;"あと小桃に赤松への恋心を言い当てられてしまったつねは、ツンデレモード最高潮、なんと絵を切り裂いてしまう…。  　果たして、赤松はもう一度泉の絵が描けるのか?ツンデレなつねの初恋の行方は…?")</f>
        <v>赤松(中丸雄一)は仁(風間トオル)の勧めで全画展に応募することになった。しかもモデルは泉(菜々緒)だ。仁に泉を描く許可をもらった赤松は泉にそれを告げる…と、泉は「仁はもう自分を描く気がないのだ…」と泣き、小桃(加藤諒)は「たった一作で赤松にポイ捨てされた…」と泣き、そしてなぜかトキばあ(高泉淳子)が「全画展に自分も出展する」と言い出しアトリエは大騒ぎ!  　そんな赤松につね(草刈麻有)は、コスプレしていない泉を描くと惚れると忠告する。そしてその場合赤松は敵だと…。  　隅田川をバックに赤松が泉の絵を描き始めた時、突然雨が降り落ちてくる。片づけを始めた赤松の手が止まり、その視線の先には雨に打たれる美しい泉の姿が…。5分だけそのままでいて欲しいと泉に頼み、無我夢中で赤松はキャンバスに向かう。  　帰り道、一行は柳寿司の柳さん(渋川清彦)に出会う。あわてて泉を隠すが、絵を見つけられてしまう。柳さんは絵を売ってくれと土下座して頼む。すると20万円でつねが即断で売ってしまう。  　落ち込む赤松…その姿を見たつねは、柳寿司に絵を取り戻しに行くが、結局持ち帰った時には絵はボロボロになってしまっていた。絵を前にしてトキばあと小桃に赤松への恋心を言い当てられてしまったつねは、ツンデレモード最高潮、なんと絵を切り裂いてしまう…。  　果たして、赤松はもう一度泉の絵が描けるのか?ツンデレなつねの初恋の行方は…?</v>
      </c>
      <c r="N1205" s="2"/>
      <c r="O1205" s="2"/>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row>
    <row r="1206" ht="204.75" customHeight="1">
      <c r="A1206" s="1">
        <v>3781.0</v>
      </c>
      <c r="B1206" s="2" t="s">
        <v>3844</v>
      </c>
      <c r="C1206" s="2">
        <f>IFERROR(__xludf.DUMMYFUNCTION("split(B1206,""_"")"),1207.0)</f>
        <v>1207</v>
      </c>
      <c r="D1206" s="2" t="str">
        <f>IFERROR(__xludf.DUMMYFUNCTION("""COMPUTED_VALUE"""),"CX")</f>
        <v>CX</v>
      </c>
      <c r="E1206" s="2" t="str">
        <f>IFERROR(__xludf.DUMMYFUNCTION("""COMPUTED_VALUE"""),"土23")</f>
        <v>土23</v>
      </c>
      <c r="F1206" s="2" t="s">
        <v>3845</v>
      </c>
      <c r="G1206" s="2" t="s">
        <v>3861</v>
      </c>
      <c r="H1206" s="1">
        <v>6.0</v>
      </c>
      <c r="I1206" s="1" t="s">
        <v>21</v>
      </c>
      <c r="J1206" s="1" t="s">
        <v>2429</v>
      </c>
      <c r="K1206" s="2" t="s">
        <v>3862</v>
      </c>
      <c r="L1206" s="2" t="s">
        <v>3863</v>
      </c>
      <c r="M1206" s="2" t="str">
        <f>IFERROR(__xludf.DUMMYFUNCTION("split(split(K1206,""紺野泉:"",false),""公式LINE"",false)"),"向島の恋慕情は嵐の予感…。  赤松(中丸雄一)とTOKIX(高泉淳子)が出展した全画展の審査が行われている。赤松が雨の中、泉(菜々緒)を描いた絵のタイトルはなんと“Iの肖像""…!仁(風間トオル)が描くシリーズと同じタイトルだ。仁に対して攻撃的な赤松を微笑ましく思いながら、審査会場で赤松の絵を見た仁は、言葉を失ってしまう…。  　赤松の絵の完成品が見たくて泉はコスプレをして審査会場に現れる。そこで仁に見つかり、「こんな所に来てはだめだろう」と怒られ、落ち込む。そんな泉を見て、赤松は、「仁先生が泉さんの行動"&amp;"を制限する権利はないと思います」と仁に対し挑戦的に言い放ってしまう。仁は、赤松の態度で何かを確信し…立ち去る。  　新人賞の賞品がフィレンツェ留学と知り、赤松かTOKIXのどちらが新人賞を取るか仲間内で盛り上がる。つね(草刈麻有)は、もし、赤松が受賞してしまったら…、もし泉をフィレンツェに連れていくことを望んでいたら…と気が気ではない。  　そして授賞式の日、泉はつねとともに会場を訪れる。審査員である仁の絵も展示してあるはずで、それを泉は見たかったのだ。そこで泉が目にした仁の描いた“Iの肖像""とは…絵を"&amp;"見た後に泉がとった行動は…。  　泉は、赤松は、つねは、仁は…それぞれの恋の行方は…?")</f>
        <v>向島の恋慕情は嵐の予感…。  赤松(中丸雄一)とTOKIX(高泉淳子)が出展した全画展の審査が行われている。赤松が雨の中、泉(菜々緒)を描いた絵のタイトルはなんと“Iの肖像"…!仁(風間トオル)が描くシリーズと同じタイトルだ。仁に対して攻撃的な赤松を微笑ましく思いながら、審査会場で赤松の絵を見た仁は、言葉を失ってしまう…。  　赤松の絵の完成品が見たくて泉はコスプレをして審査会場に現れる。そこで仁に見つかり、「こんな所に来てはだめだろう」と怒られ、落ち込む。そんな泉を見て、赤松は、「仁先生が泉さんの行動を制限する権利はないと思います」と仁に対し挑戦的に言い放ってしまう。仁は、赤松の態度で何かを確信し…立ち去る。  　新人賞の賞品がフィレンツェ留学と知り、赤松かTOKIXのどちらが新人賞を取るか仲間内で盛り上がる。つね(草刈麻有)は、もし、赤松が受賞してしまったら…、もし泉をフィレンツェに連れていくことを望んでいたら…と気が気ではない。  　そして授賞式の日、泉はつねとともに会場を訪れる。審査員である仁の絵も展示してあるはずで、それを泉は見たかったのだ。そこで泉が目にした仁の描いた“Iの肖像"とは…絵を見た後に泉がとった行動は…。  　泉は、赤松は、つねは、仁は…それぞれの恋の行方は…?</v>
      </c>
      <c r="N1206" s="2"/>
      <c r="O1206" s="2"/>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row>
    <row r="1207" ht="204.75" customHeight="1">
      <c r="A1207" s="1">
        <v>3782.0</v>
      </c>
      <c r="B1207" s="2" t="s">
        <v>3844</v>
      </c>
      <c r="C1207" s="2">
        <f>IFERROR(__xludf.DUMMYFUNCTION("split(B1207,""_"")"),1207.0)</f>
        <v>1207</v>
      </c>
      <c r="D1207" s="2" t="str">
        <f>IFERROR(__xludf.DUMMYFUNCTION("""COMPUTED_VALUE"""),"CX")</f>
        <v>CX</v>
      </c>
      <c r="E1207" s="2" t="str">
        <f>IFERROR(__xludf.DUMMYFUNCTION("""COMPUTED_VALUE"""),"土23")</f>
        <v>土23</v>
      </c>
      <c r="F1207" s="2" t="s">
        <v>3845</v>
      </c>
      <c r="G1207" s="2" t="s">
        <v>3864</v>
      </c>
      <c r="H1207" s="1">
        <v>7.0</v>
      </c>
      <c r="I1207" s="1" t="s">
        <v>25</v>
      </c>
      <c r="J1207" s="1" t="s">
        <v>2429</v>
      </c>
      <c r="K1207" s="2" t="s">
        <v>3865</v>
      </c>
      <c r="L1207" s="2" t="s">
        <v>3866</v>
      </c>
      <c r="M1207" s="2" t="str">
        <f>IFERROR(__xludf.DUMMYFUNCTION("split(split(K1207,""紺野泉:"",false),""公式LINE"",false)"),"アトリエでは、赤松(中丸雄一)、つね(草刈麻有)、トキばあ(高泉淳子)、小桃(加藤諒)によって、仁(風間トオル)に捨てられた泉(菜々緒)をなぐさめる「ふられてBANZAI～愛人だった私にキレイにサヨナラParty～」が行われていた。仁の事が忘れられず泣きっぱなしの泉、そこへ傷口に塩を塗るように現れる仁嫁・ゆっこ(安達祐実)。ゆっこの辛さをひしと感じ、更に死にたくなっていく泉。過去の呪縛に捕われる泉を救うべく、赤松は泉の禁断の過去に踏み込んでいく。  　泉が中学3年の時、落ちぶれた旅館を建て直すために、実の"&amp;"父が泉にあることを強要していた。学校では美人だということでいじめられ、さらに教師に襲われるという事件も起き、追い詰められた泉は郷里を離れ東京に行くしかなかった。その後、泉を更に郷里から遠ざけたのは3年前。妹・のぞみ(田辺愛美)の結婚話を聞いた泉は、ただ一言“おめでとう""が言いたくて式場に駆け付けつける。そこで、のぞみの婚約者・悟史(ナオト・インティライミ)に遭遇…結果は…。またも血の惨劇が起きてしまう。そしてのぞみに決定的な一言を言われてしまう。  　話を聞いた赤松は、泉とのぞみを会わせようとみんなに提"&amp;"案する。  　赤松、つね、トキばあ、小桃、そして勅使河原警官(坪倉由幸)がのぞみの元を訪ねると、そこにはわかりやすく落ちぶれた姿が。果たして、泉とのぞみを仲直りさせることはできるのか?")</f>
        <v>アトリエでは、赤松(中丸雄一)、つね(草刈麻有)、トキばあ(高泉淳子)、小桃(加藤諒)によって、仁(風間トオル)に捨てられた泉(菜々緒)をなぐさめる「ふられてBANZAI～愛人だった私にキレイにサヨナラParty～」が行われていた。仁の事が忘れられず泣きっぱなしの泉、そこへ傷口に塩を塗るように現れる仁嫁・ゆっこ(安達祐実)。ゆっこの辛さをひしと感じ、更に死にたくなっていく泉。過去の呪縛に捕われる泉を救うべく、赤松は泉の禁断の過去に踏み込んでいく。  　泉が中学3年の時、落ちぶれた旅館を建て直すために、実の父が泉にあることを強要していた。学校では美人だということでいじめられ、さらに教師に襲われるという事件も起き、追い詰められた泉は郷里を離れ東京に行くしかなかった。その後、泉を更に郷里から遠ざけたのは3年前。妹・のぞみ(田辺愛美)の結婚話を聞いた泉は、ただ一言“おめでとう"が言いたくて式場に駆け付けつける。そこで、のぞみの婚約者・悟史(ナオト・インティライミ)に遭遇…結果は…。またも血の惨劇が起きてしまう。そしてのぞみに決定的な一言を言われてしまう。  　話を聞いた赤松は、泉とのぞみを会わせようとみんなに提案する。  　赤松、つね、トキばあ、小桃、そして勅使河原警官(坪倉由幸)がのぞみの元を訪ねると、そこにはわかりやすく落ちぶれた姿が。果たして、泉とのぞみを仲直りさせることはできるのか?</v>
      </c>
      <c r="N1207" s="2"/>
      <c r="O1207" s="2"/>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row>
    <row r="1208" ht="204.75" customHeight="1">
      <c r="A1208" s="1">
        <v>3783.0</v>
      </c>
      <c r="B1208" s="2" t="s">
        <v>3844</v>
      </c>
      <c r="C1208" s="2">
        <f>IFERROR(__xludf.DUMMYFUNCTION("split(B1208,""_"")"),1207.0)</f>
        <v>1207</v>
      </c>
      <c r="D1208" s="2" t="str">
        <f>IFERROR(__xludf.DUMMYFUNCTION("""COMPUTED_VALUE"""),"CX")</f>
        <v>CX</v>
      </c>
      <c r="E1208" s="2" t="str">
        <f>IFERROR(__xludf.DUMMYFUNCTION("""COMPUTED_VALUE"""),"土23")</f>
        <v>土23</v>
      </c>
      <c r="F1208" s="2" t="s">
        <v>3845</v>
      </c>
      <c r="G1208" s="2" t="s">
        <v>3867</v>
      </c>
      <c r="H1208" s="1">
        <v>8.0</v>
      </c>
      <c r="I1208" s="1" t="s">
        <v>29</v>
      </c>
      <c r="J1208" s="1" t="s">
        <v>1435</v>
      </c>
      <c r="K1208" s="2" t="s">
        <v>3868</v>
      </c>
      <c r="L1208" s="2" t="s">
        <v>3869</v>
      </c>
      <c r="M1208" s="2" t="str">
        <f>IFERROR(__xludf.DUMMYFUNCTION("split(split(K1208,""紺野泉:"",false),""公式LINE"",false)"),"仁(風間トオル)の身に何かが起きた…。  　泉(菜々緒)と別れても一向に家に戻らない仁に対し、寂しさMAXの仁嫁・ゆっこ(安達祐実)。ある矛盾を抱えつつ、泉のホームグラウンドのアトリエで、赤松(中丸雄一)、トキばあ(高泉淳子)、小桃(加藤諒)、勅使河原警官(坪倉由幸)ら、向島の連中を相手に興奮気味。  　その姿をあざ笑うかのように鳴り続ける携帯電話…でもゆっこは気がつかない…。　赤松たちは、泉の妹・のぞみ(田辺愛美)の元婚約者で吟遊詩人となってしまった悟史(ナオト・インティライミ)を探し、泉とのぞみを会わ"&amp;"せようとする。警官であるテッシーが活躍する出番だ。悟史がいる場所を見つけた一行は、のぞみを連れて行く。そこに現れるヤンママコスプレの泉。悟史の反応は…?のぞみと泉は仲直りすることができるのか?　一方つね(草刈麻有)は、赤松への恋心を封印し泉の幸せについて悩み、赤松にある決意を告げる。果たして、泉の出した結論は?赤松のフィレンツェ行きについていくのだろうか?ツンデレなつねの初恋の行方は?")</f>
        <v>仁(風間トオル)の身に何かが起きた…。  　泉(菜々緒)と別れても一向に家に戻らない仁に対し、寂しさMAXの仁嫁・ゆっこ(安達祐実)。ある矛盾を抱えつつ、泉のホームグラウンドのアトリエで、赤松(中丸雄一)、トキばあ(高泉淳子)、小桃(加藤諒)、勅使河原警官(坪倉由幸)ら、向島の連中を相手に興奮気味。  　その姿をあざ笑うかのように鳴り続ける携帯電話…でもゆっこは気がつかない…。　赤松たちは、泉の妹・のぞみ(田辺愛美)の元婚約者で吟遊詩人となってしまった悟史(ナオト・インティライミ)を探し、泉とのぞみを会わせようとする。警官であるテッシーが活躍する出番だ。悟史がいる場所を見つけた一行は、のぞみを連れて行く。そこに現れるヤンママコスプレの泉。悟史の反応は…?のぞみと泉は仲直りすることができるのか?　一方つね(草刈麻有)は、赤松への恋心を封印し泉の幸せについて悩み、赤松にある決意を告げる。果たして、泉の出した結論は?赤松のフィレンツェ行きについていくのだろうか?ツンデレなつねの初恋の行方は?</v>
      </c>
      <c r="N1208" s="2"/>
      <c r="O1208" s="2"/>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row>
    <row r="1209" ht="204.75" customHeight="1">
      <c r="A1209" s="1">
        <v>3794.0</v>
      </c>
      <c r="B1209" s="2" t="s">
        <v>3870</v>
      </c>
      <c r="C1209" s="2">
        <f>IFERROR(__xludf.DUMMYFUNCTION("split(B1209,""_"")"),1207.0)</f>
        <v>1207</v>
      </c>
      <c r="D1209" s="2" t="str">
        <f>IFERROR(__xludf.DUMMYFUNCTION("""COMPUTED_VALUE"""),"CX")</f>
        <v>CX</v>
      </c>
      <c r="E1209" s="2" t="str">
        <f>IFERROR(__xludf.DUMMYFUNCTION("""COMPUTED_VALUE"""),"日21")</f>
        <v>日21</v>
      </c>
      <c r="F1209" s="2" t="s">
        <v>3871</v>
      </c>
      <c r="G1209" s="2" t="s">
        <v>3872</v>
      </c>
      <c r="H1209" s="1">
        <v>1.0</v>
      </c>
      <c r="I1209" s="1" t="s">
        <v>3</v>
      </c>
      <c r="J1209" s="1" t="s">
        <v>4</v>
      </c>
      <c r="K1209" s="2" t="s">
        <v>3873</v>
      </c>
      <c r="L1209" s="8" t="s">
        <v>3874</v>
      </c>
      <c r="M1209" s="2" t="str">
        <f>IFERROR(__xludf.DUMMYFUNCTION("split(split(K1209,""紺野泉:"",false),""公式LINE"",false)"),"木下圭介(豊川悦司)とひとり娘の美雨(芦田愛菜)は、東京の下町にある小さな金属加工工場『中村産業』の離れで暮らしている。圭介の妻・妙子は8年前、美雨の命と引きかえにこの世を去っていた。大手建設会社に勤務していた圭介は、会社を辞めて中村産業に転職していた。美雨を小学校に送り出した圭介は、彼女の忘れ物に気づき、学校まで届ける。中村産業社長の中村富美夫(蟹江敬三)や妻の千恵子(丘みつ子)、後輩工員の勝田秋生(三浦翔平)らは、過保護過ぎると圭介をからかいつつも、この父娘を温かく見守っていた。そんな折、思わぬ事態が"&amp;"起きる。先輩工員の宗田清(でんでん)に頼まれた秋生が工場内の荷物を動かしたところ、バランスが崩れ、圭介の頭に当たってしまったのだ。意識を失った圭介は病院に運ばれるが、すぐに意識を取り戻した。  　あくる朝、圭介は、遠足に行く美雨の弁当を用意し忘れ、慌てて作り始める。約束していた水筒も買い忘れていることを知った美雨の姿を見た圭介は、金物店に無理を聞いてもらい水筒を購入する。嬉しさとともに遠足に出かけた美雨は、バスの中で友だちの新井小太郎(高木星来)から“口裂けオヤジ""の都市伝説を聞く。  　圭介は、時おり"&amp;"物忘れをしていたが、一時的なものだったため気に留めずにいた。そんな中、圭介は工場を覗きこんでいる女性の姿に気づく。それは、富美夫の娘で、結婚して家を出た西脇アカネ(中谷美紀)だった。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"&amp;"【演出】  水田成英平沢敦士フジテレビ　    【制作著作】  共同テレビ")</f>
        <v>木下圭介(豊川悦司)とひとり娘の美雨(芦田愛菜)は、東京の下町にある小さな金属加工工場『中村産業』の離れで暮らしている。圭介の妻・妙子は8年前、美雨の命と引きかえにこの世を去っていた。大手建設会社に勤務していた圭介は、会社を辞めて中村産業に転職していた。美雨を小学校に送り出した圭介は、彼女の忘れ物に気づき、学校まで届ける。中村産業社長の中村富美夫(蟹江敬三)や妻の千恵子(丘みつ子)、後輩工員の勝田秋生(三浦翔平)らは、過保護過ぎると圭介をからかいつつも、この父娘を温かく見守っていた。そんな折、思わぬ事態が起きる。先輩工員の宗田清(でんでん)に頼まれた秋生が工場内の荷物を動かしたところ、バランスが崩れ、圭介の頭に当たってしまったのだ。意識を失った圭介は病院に運ばれるが、すぐに意識を取り戻した。  　あくる朝、圭介は、遠足に行く美雨の弁当を用意し忘れ、慌てて作り始める。約束していた水筒も買い忘れていることを知った美雨の姿を見た圭介は、金物店に無理を聞いてもらい水筒を購入する。嬉しさとともに遠足に出かけた美雨は、バスの中で友だちの新井小太郎(高木星来)から“口裂けオヤジ"の都市伝説を聞く。  　圭介は、時おり物忘れをしていたが、一時的なものだったため気に留めずにいた。そんな中、圭介は工場を覗きこんでいる女性の姿に気づく。それは、富美夫の娘で、結婚して家を出た西脇アカネ(中谷美紀)だった。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水田成英平沢敦士フジテレビ　    【制作著作】  共同テレビ</v>
      </c>
      <c r="N1209" s="2"/>
      <c r="O1209" s="2"/>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row>
    <row r="1210" ht="204.75" customHeight="1">
      <c r="A1210" s="1">
        <v>3795.0</v>
      </c>
      <c r="B1210" s="2" t="s">
        <v>3870</v>
      </c>
      <c r="C1210" s="2">
        <f>IFERROR(__xludf.DUMMYFUNCTION("split(B1210,""_"")"),1207.0)</f>
        <v>1207</v>
      </c>
      <c r="D1210" s="2" t="str">
        <f>IFERROR(__xludf.DUMMYFUNCTION("""COMPUTED_VALUE"""),"CX")</f>
        <v>CX</v>
      </c>
      <c r="E1210" s="2" t="str">
        <f>IFERROR(__xludf.DUMMYFUNCTION("""COMPUTED_VALUE"""),"日21")</f>
        <v>日21</v>
      </c>
      <c r="F1210" s="2" t="s">
        <v>3871</v>
      </c>
      <c r="G1210" s="2" t="s">
        <v>3875</v>
      </c>
      <c r="H1210" s="1">
        <v>2.0</v>
      </c>
      <c r="I1210" s="1" t="s">
        <v>7</v>
      </c>
      <c r="J1210" s="1" t="s">
        <v>11</v>
      </c>
      <c r="K1210" s="2" t="s">
        <v>3876</v>
      </c>
      <c r="L1210" s="8" t="s">
        <v>3877</v>
      </c>
      <c r="M1210" s="2" t="str">
        <f>IFERROR(__xludf.DUMMYFUNCTION("split(split(K1210,""紺野泉:"",false),""公式LINE"",false)"),"木下圭介(豊川悦司)は、若年性アルツハイマー病と診断されたことを、娘の美雨(芦田愛菜)をはじめ、誰にも言えずにいた。美雨は圭介の様子を友達の新井小太郎(高木星来)に相談する。同じ頃、「中村産業」では社長の中村富美夫(蟹江敬三)が圭介に、翌日行われる大事な取引先との打ち合わせで使う資料を手渡しするついでに、娘の西脇アカネ(中谷美紀)の事情を聞いてないか探りを入れる。しかし妻の千恵子(丘みつ子)にせっつかれて、アカネ本人から聞き出そうと富美夫は声をかけるが、結局、何も聞けずに終わった。アカネが本屋にいると、仕"&amp;"事を終えた圭介が入ってきた。圭介はアカネの存在に気付かず、アルツハイマーの本を手にレジへ向かう。アカネに声をかけられた圭介は人に頼まれたと言いながら本を隠すように持って足早に去っていく。その夜、美雨が寝たのを確認した圭介は、買ってきた本やパソコンで病気の症状や介護施設について、いろいろ調べるのだった。翌日、病気のことが頭から離れない圭介を、勝田秋生(三浦翔平)がからかってきた。そんな中、圭介が打ち合わせ時間を過ぎても来ないと取引先から連絡が入る。思い出せずに呆然とするが、ようやく思い出し慌てて先方の会社へ"&amp;"。その帰り道、昨晩調べた介護施設に立ち寄るが、入居者の現状を見て愕然とする。帰ってきた圭介は、秋生から美雨の誕生日パーティーが始まると聞かされ、慌ててプレゼントを買いに急ぐ。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"&amp;"【演出】  水田成英平沢敦士フジテレビ　    【制作著作】  共同テレビ")</f>
        <v>木下圭介(豊川悦司)は、若年性アルツハイマー病と診断されたことを、娘の美雨(芦田愛菜)をはじめ、誰にも言えずにいた。美雨は圭介の様子を友達の新井小太郎(高木星来)に相談する。同じ頃、「中村産業」では社長の中村富美夫(蟹江敬三)が圭介に、翌日行われる大事な取引先との打ち合わせで使う資料を手渡しするついでに、娘の西脇アカネ(中谷美紀)の事情を聞いてないか探りを入れる。しかし妻の千恵子(丘みつ子)にせっつかれて、アカネ本人から聞き出そうと富美夫は声をかけるが、結局、何も聞けずに終わった。アカネが本屋にいると、仕事を終えた圭介が入ってきた。圭介はアカネの存在に気付かず、アルツハイマーの本を手にレジへ向かう。アカネに声をかけられた圭介は人に頼まれたと言いながら本を隠すように持って足早に去っていく。その夜、美雨が寝たのを確認した圭介は、買ってきた本やパソコンで病気の症状や介護施設について、いろいろ調べるのだった。翌日、病気のことが頭から離れない圭介を、勝田秋生(三浦翔平)がからかってきた。そんな中、圭介が打ち合わせ時間を過ぎても来ないと取引先から連絡が入る。思い出せずに呆然とするが、ようやく思い出し慌てて先方の会社へ。その帰り道、昨晩調べた介護施設に立ち寄るが、入居者の現状を見て愕然とする。帰ってきた圭介は、秋生から美雨の誕生日パーティーが始まると聞かされ、慌ててプレゼントを買いに急ぐ。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水田成英平沢敦士フジテレビ　    【制作著作】  共同テレビ</v>
      </c>
      <c r="N1210" s="2"/>
      <c r="O1210" s="2"/>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row>
    <row r="1211" ht="204.75" customHeight="1">
      <c r="A1211" s="1">
        <v>3796.0</v>
      </c>
      <c r="B1211" s="2" t="s">
        <v>3870</v>
      </c>
      <c r="C1211" s="2">
        <f>IFERROR(__xludf.DUMMYFUNCTION("split(B1211,""_"")"),1207.0)</f>
        <v>1207</v>
      </c>
      <c r="D1211" s="2" t="str">
        <f>IFERROR(__xludf.DUMMYFUNCTION("""COMPUTED_VALUE"""),"CX")</f>
        <v>CX</v>
      </c>
      <c r="E1211" s="2" t="str">
        <f>IFERROR(__xludf.DUMMYFUNCTION("""COMPUTED_VALUE"""),"日21")</f>
        <v>日21</v>
      </c>
      <c r="F1211" s="2" t="s">
        <v>3871</v>
      </c>
      <c r="G1211" s="2" t="s">
        <v>3878</v>
      </c>
      <c r="H1211" s="1">
        <v>3.0</v>
      </c>
      <c r="I1211" s="1" t="s">
        <v>10</v>
      </c>
      <c r="J1211" s="1" t="s">
        <v>11</v>
      </c>
      <c r="K1211" s="2" t="s">
        <v>3879</v>
      </c>
      <c r="L1211" s="8" t="s">
        <v>3880</v>
      </c>
      <c r="M1211" s="2" t="str">
        <f>IFERROR(__xludf.DUMMYFUNCTION("split(split(K1211,""紺野泉:"",false),""公式LINE"",false)"),"病気と向き合うことを決意した木下圭介(豊川悦司)は、医師の古賀豊(安田顕)から受け取った生活の心構えや注意すべき点などが書かれた冊子に従い、禁煙や苦手なカボチャを食べたり、予定をメモに残すなどの行動を始めた。いつもと違う行動をする圭介に何か隠していると勘ぐる美雨(芦田愛菜)の追及に、隠し事はしていないとごまかす圭介。  　小学校で美雨や新井小太郎(高木星来)ら生徒たちに作文書きの宿題が出された。『私の宝物』という題で、翌日に行われる授業参観で発表する作文と聞いて、美雨は何を書けばいいのか困惑する。同じ頃、"&amp;"「中村産業」に、数日前に圭介が打ち合わせをすっぽかしてしまった取引先から注文が入った。ただし、翌朝までに大量に納品しなくてはならず、全員気合いを入れてのハイペースな作業が続く。途中、工場に西脇アカネ(中谷美紀)あてに、夫の西脇拓哉からの荷物が届いた。受け取ったアカネはさっさと自分の部屋に戻ってしまい、何も聞けない中村富美夫(蟹江敬三)と千恵子(丘みつ子)は、心配をする。  　作業の合間で美雨と夕食を食べていた圭介は、翌日の授業参観はスーツで決めて行くと宣言しつつ、今夜は仕事が遅くなるから先に眠っているよう"&amp;"に話す。素直にうなずいた美雨だが、宿題の作文がいまだに書けず、自分の部屋に戻ると白紙の原稿用紙を前に頭を悩ませる。一方、荷物を開封したアカネの手にはアルツハイマーの本があり…。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"&amp;" 【演出】  小林義則平沢敦士フジテレビ　    【制作著作】  共同テレビ")</f>
        <v>病気と向き合うことを決意した木下圭介(豊川悦司)は、医師の古賀豊(安田顕)から受け取った生活の心構えや注意すべき点などが書かれた冊子に従い、禁煙や苦手なカボチャを食べたり、予定をメモに残すなどの行動を始めた。いつもと違う行動をする圭介に何か隠していると勘ぐる美雨(芦田愛菜)の追及に、隠し事はしていないとごまかす圭介。  　小学校で美雨や新井小太郎(高木星来)ら生徒たちに作文書きの宿題が出された。『私の宝物』という題で、翌日に行われる授業参観で発表する作文と聞いて、美雨は何を書けばいいのか困惑する。同じ頃、「中村産業」に、数日前に圭介が打ち合わせをすっぽかしてしまった取引先から注文が入った。ただし、翌朝までに大量に納品しなくてはならず、全員気合いを入れてのハイペースな作業が続く。途中、工場に西脇アカネ(中谷美紀)あてに、夫の西脇拓哉からの荷物が届いた。受け取ったアカネはさっさと自分の部屋に戻ってしまい、何も聞けない中村富美夫(蟹江敬三)と千恵子(丘みつ子)は、心配をする。  　作業の合間で美雨と夕食を食べていた圭介は、翌日の授業参観はスーツで決めて行くと宣言しつつ、今夜は仕事が遅くなるから先に眠っているように話す。素直にうなずいた美雨だが、宿題の作文がいまだに書けず、自分の部屋に戻ると白紙の原稿用紙を前に頭を悩ませる。一方、荷物を開封したアカネの手にはアルツハイマーの本があり…。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小林義則平沢敦士フジテレビ　    【制作著作】  共同テレビ</v>
      </c>
      <c r="N1211" s="2"/>
      <c r="O1211" s="2"/>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row>
    <row r="1212" ht="204.75" customHeight="1">
      <c r="A1212" s="1">
        <v>3797.0</v>
      </c>
      <c r="B1212" s="2" t="s">
        <v>3870</v>
      </c>
      <c r="C1212" s="2">
        <f>IFERROR(__xludf.DUMMYFUNCTION("split(B1212,""_"")"),1207.0)</f>
        <v>1207</v>
      </c>
      <c r="D1212" s="2" t="str">
        <f>IFERROR(__xludf.DUMMYFUNCTION("""COMPUTED_VALUE"""),"CX")</f>
        <v>CX</v>
      </c>
      <c r="E1212" s="2" t="str">
        <f>IFERROR(__xludf.DUMMYFUNCTION("""COMPUTED_VALUE"""),"日21")</f>
        <v>日21</v>
      </c>
      <c r="F1212" s="2" t="s">
        <v>3871</v>
      </c>
      <c r="G1212" s="2" t="s">
        <v>3881</v>
      </c>
      <c r="H1212" s="1">
        <v>4.0</v>
      </c>
      <c r="I1212" s="1" t="s">
        <v>14</v>
      </c>
      <c r="J1212" s="1" t="s">
        <v>11</v>
      </c>
      <c r="K1212" s="2" t="s">
        <v>3882</v>
      </c>
      <c r="L1212" s="8" t="s">
        <v>3883</v>
      </c>
      <c r="M1212" s="2" t="str">
        <f>IFERROR(__xludf.DUMMYFUNCTION("split(split(K1212,""紺野泉:"",false),""公式LINE"",false)"),"木下圭介(豊川悦司)は、病気のことを愛娘の美雨(芦田愛菜)に打ち明けた。しかし、治らない病気だとはどうしても言うことができず、薬を飲んでいればすぐに治ると嘘をついてしまう。小学校が夏休みに入った。圭介は、夏休み中も規則正しい生活を送るよう美雨に話した。その際、圭介は、病気のことは中村富美夫(蟹江敬三)や千恵子(丘みつ子)らに言わないよう口止めをする。  　ラジオ体操に出かけた美雨は、友だちの新井小太郎(高木星来)から四葉のクローバーのキーホルダーを見せられる。四葉のクローバーは“魔法の葉っぱ""で、4つ集"&amp;"めて願い事を書いた紙にはさんでおけばどんな願い事も叶う、と聞かされ驚く美雨。  　家に戻った美雨は、図鑑で四葉のクローバーを調べ、そのページに「父ちゃんのびょうきが早くなおりますように」と書いた紙を挟んで、探しに出かける。圭介は、富美夫には腹痛だと言って病院へと向かう。診察の後、圭介は、主治医の古賀豊(安田顕)に仕事のことを相談した。古賀は、初期段階である現在は仕事を続けることも十分可能としながらも、このまま続けていくためには職場の理解と協力が必要だと告げる。  　一方、炎天下の中で四葉のクローバー探しに"&amp;"夢中になっている美雨。必死で四葉のクローバーを探し続けていた。が、風に飛ばされた帽子を追いかけようとした美雨は、急にめまいを起こし…。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小林義則平沢敦士フジテレビ　"&amp;"    【制作著作】  共同テレビ")</f>
        <v>木下圭介(豊川悦司)は、病気のことを愛娘の美雨(芦田愛菜)に打ち明けた。しかし、治らない病気だとはどうしても言うことができず、薬を飲んでいればすぐに治ると嘘をついてしまう。小学校が夏休みに入った。圭介は、夏休み中も規則正しい生活を送るよう美雨に話した。その際、圭介は、病気のことは中村富美夫(蟹江敬三)や千恵子(丘みつ子)らに言わないよう口止めをする。  　ラジオ体操に出かけた美雨は、友だちの新井小太郎(高木星来)から四葉のクローバーのキーホルダーを見せられる。四葉のクローバーは“魔法の葉っぱ"で、4つ集めて願い事を書いた紙にはさんでおけばどんな願い事も叶う、と聞かされ驚く美雨。  　家に戻った美雨は、図鑑で四葉のクローバーを調べ、そのページに「父ちゃんのびょうきが早くなおりますように」と書いた紙を挟んで、探しに出かける。圭介は、富美夫には腹痛だと言って病院へと向かう。診察の後、圭介は、主治医の古賀豊(安田顕)に仕事のことを相談した。古賀は、初期段階である現在は仕事を続けることも十分可能としながらも、このまま続けていくためには職場の理解と協力が必要だと告げる。  　一方、炎天下の中で四葉のクローバー探しに夢中になっている美雨。必死で四葉のクローバーを探し続けていた。が、風に飛ばされた帽子を追いかけようとした美雨は、急にめまいを起こし…。豊川悦司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小林義則平沢敦士フジテレビ　    【制作著作】  共同テレビ</v>
      </c>
      <c r="N1212" s="2"/>
      <c r="O1212" s="2"/>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row>
    <row r="1213" ht="204.75" customHeight="1">
      <c r="A1213" s="1">
        <v>3798.0</v>
      </c>
      <c r="B1213" s="2" t="s">
        <v>3870</v>
      </c>
      <c r="C1213" s="2">
        <f>IFERROR(__xludf.DUMMYFUNCTION("split(B1213,""_"")"),1207.0)</f>
        <v>1207</v>
      </c>
      <c r="D1213" s="2" t="str">
        <f>IFERROR(__xludf.DUMMYFUNCTION("""COMPUTED_VALUE"""),"CX")</f>
        <v>CX</v>
      </c>
      <c r="E1213" s="2" t="str">
        <f>IFERROR(__xludf.DUMMYFUNCTION("""COMPUTED_VALUE"""),"日21")</f>
        <v>日21</v>
      </c>
      <c r="F1213" s="2" t="s">
        <v>3871</v>
      </c>
      <c r="G1213" s="2" t="s">
        <v>3884</v>
      </c>
      <c r="H1213" s="1">
        <v>5.0</v>
      </c>
      <c r="I1213" s="1" t="s">
        <v>17</v>
      </c>
      <c r="J1213" s="1" t="s">
        <v>11</v>
      </c>
      <c r="K1213" s="2" t="s">
        <v>3885</v>
      </c>
      <c r="L1213" s="8" t="s">
        <v>3886</v>
      </c>
      <c r="M1213" s="2" t="str">
        <f>IFERROR(__xludf.DUMMYFUNCTION("split(split(K1213,""紺野泉:"",false),""公式LINE"",false)"),"木下圭介(豊川悦司)は、中村産業の社長・中村富美夫(蟹江敬三)と妻の千恵子(丘みつ子)に、病気のことを打ち明ける。解雇もやむを得ない、と覚悟してのことだった。若年性アルツハイマー病について詳しく知らなかった富美夫は、困ったときはお互い様だ、と言って圭介を励ました。しかしアカネ(中谷美紀)は、富美夫たちは病気を楽観視している、と指摘し、アルツハイマーのことをしっかり理解して接していかなければダメだと告げる。一方、千恵子やアカネと一緒に商店街の福引に挑戦した美雨(芦田愛菜)は、伊豆大島1泊2日のペア旅行券を引"&amp;"き当てる。美雨は、夏休みを利用して旅行に行くという友だちの話を聞いて寂しい思いをしていたが、圭介のことを気遣って喜べなかった。そんな美雨の思いを知った富美夫と千恵子は、旅行には行けるのか、と圭介に尋ねた。  　すると圭介は、大丈夫だと言って笑顔を見せる。圭介は、主治医の古賀豊(安田顕)に旅行の件を相談する。古賀は、それを許可し、緊急時の連絡先や自分の名刺を手渡して、常に身につけておくよう圭介に指示した。その夜、富美夫は、勝田秋生(三浦翔平)や宗田清(でんでん)を誘って、新井春子(国生さゆり)の店に飲みに行"&amp;"く。しかし富美夫は、秋生たちに圭介のことを切り出せなかった。旅行前日、圭介と美雨は、買い物に出かけ、旅行の準備をするが…。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水田成英平沢敦士フジテレビ　    【制作"&amp;"著作】  共同テレビ")</f>
        <v>木下圭介(豊川悦司)は、中村産業の社長・中村富美夫(蟹江敬三)と妻の千恵子(丘みつ子)に、病気のことを打ち明ける。解雇もやむを得ない、と覚悟してのことだった。若年性アルツハイマー病について詳しく知らなかった富美夫は、困ったときはお互い様だ、と言って圭介を励ました。しかしアカネ(中谷美紀)は、富美夫たちは病気を楽観視している、と指摘し、アルツハイマーのことをしっかり理解して接していかなければダメだと告げる。一方、千恵子やアカネと一緒に商店街の福引に挑戦した美雨(芦田愛菜)は、伊豆大島1泊2日のペア旅行券を引き当てる。美雨は、夏休みを利用して旅行に行くという友だちの話を聞いて寂しい思いをしていたが、圭介のことを気遣って喜べなかった。そんな美雨の思いを知った富美夫と千恵子は、旅行には行けるのか、と圭介に尋ねた。  　すると圭介は、大丈夫だと言って笑顔を見せる。圭介は、主治医の古賀豊(安田顕)に旅行の件を相談する。古賀は、それを許可し、緊急時の連絡先や自分の名刺を手渡して、常に身につけておくよう圭介に指示した。その夜、富美夫は、勝田秋生(三浦翔平)や宗田清(でんでん)を誘って、新井春子(国生さゆり)の店に飲みに行く。しかし富美夫は、秋生たちに圭介のことを切り出せなかった。旅行前日、圭介と美雨は、買い物に出かけ、旅行の準備をするが…。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水田成英平沢敦士フジテレビ　    【制作著作】  共同テレビ</v>
      </c>
      <c r="N1213" s="2"/>
      <c r="O1213" s="2"/>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row>
    <row r="1214" ht="204.75" customHeight="1">
      <c r="A1214" s="1">
        <v>3799.0</v>
      </c>
      <c r="B1214" s="2" t="s">
        <v>3870</v>
      </c>
      <c r="C1214" s="2">
        <f>IFERROR(__xludf.DUMMYFUNCTION("split(B1214,""_"")"),1207.0)</f>
        <v>1207</v>
      </c>
      <c r="D1214" s="2" t="str">
        <f>IFERROR(__xludf.DUMMYFUNCTION("""COMPUTED_VALUE"""),"CX")</f>
        <v>CX</v>
      </c>
      <c r="E1214" s="2" t="str">
        <f>IFERROR(__xludf.DUMMYFUNCTION("""COMPUTED_VALUE"""),"日21")</f>
        <v>日21</v>
      </c>
      <c r="F1214" s="2" t="s">
        <v>3871</v>
      </c>
      <c r="G1214" s="2" t="s">
        <v>3887</v>
      </c>
      <c r="H1214" s="1">
        <v>6.0</v>
      </c>
      <c r="I1214" s="1" t="s">
        <v>21</v>
      </c>
      <c r="J1214" s="1" t="s">
        <v>4</v>
      </c>
      <c r="K1214" s="2" t="s">
        <v>3888</v>
      </c>
      <c r="L1214" s="8" t="s">
        <v>3889</v>
      </c>
      <c r="M1214" s="2" t="str">
        <f>IFERROR(__xludf.DUMMYFUNCTION("split(split(K1214,""紺野泉:"",false),""公式LINE"",false)"),"木下美雨(芦田愛菜)は、自分がいい子にしていれば父・圭介(豊川悦司)の病気が治ると信じる。一方、社長の中村富美夫(蟹江敬三)と圭介のようすがおかしいことに不審を抱いていた宗田清(でんでん)は、何故打ち明けてくれないのか、と怒り出す。宗田は、圭介が手帳ばかり見ていることから、借金に苦しみ、返済日を気にしているものと思い込んでいた。圭介は、そんな宗田に病気のことを打ち明ける。同じ日、中村産業に、アカネ(中谷美紀)の夫・西脇拓哉(山中聡)が突然やってくる。拓哉は、アカネや同席した富美夫、千恵子(丘みつ子)に、離"&amp;"婚するつもりはない、と告げる。アカネとふたりだけで話した拓哉は、アカネが書いた離婚届を破り、明日また来るからそのときに気持ちを聞かせてほしい、と伝える。同じころ、美雨は、少しでも圭介の役に立とうと家事を手伝い始める。が、失敗ばかりで落ち込む美雨。圭介は、美雨の気持ちを尊重しながらも、しっかり勉強して、しっかり遊ぶことが美雨の仕事だ、と話す。  　その夜、ベランダでアカネと話した圭介は、拓哉との話し合いは上手くいったのか、と尋ねる。圭介は、心配している富美夫たちのことに触れ、親はどんなときでも子どもの幸せを"&amp;"願っている、とアカネに告げた。するとアカネは、心配をかけたくないから言いたくても言えないこともある、と返し、美雨も圭介が想像している以上に心配しているかもしれない、と続け…。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【"&amp;"演出】  小林義則平沢敦士フジテレビ　    【制作著作】  共同テレビ")</f>
        <v>木下美雨(芦田愛菜)は、自分がいい子にしていれば父・圭介(豊川悦司)の病気が治ると信じる。一方、社長の中村富美夫(蟹江敬三)と圭介のようすがおかしいことに不審を抱いていた宗田清(でんでん)は、何故打ち明けてくれないのか、と怒り出す。宗田は、圭介が手帳ばかり見ていることから、借金に苦しみ、返済日を気にしているものと思い込んでいた。圭介は、そんな宗田に病気のことを打ち明ける。同じ日、中村産業に、アカネ(中谷美紀)の夫・西脇拓哉(山中聡)が突然やってくる。拓哉は、アカネや同席した富美夫、千恵子(丘みつ子)に、離婚するつもりはない、と告げる。アカネとふたりだけで話した拓哉は、アカネが書いた離婚届を破り、明日また来るからそのときに気持ちを聞かせてほしい、と伝える。同じころ、美雨は、少しでも圭介の役に立とうと家事を手伝い始める。が、失敗ばかりで落ち込む美雨。圭介は、美雨の気持ちを尊重しながらも、しっかり勉強して、しっかり遊ぶことが美雨の仕事だ、と話す。  　その夜、ベランダでアカネと話した圭介は、拓哉との話し合いは上手くいったのか、と尋ねる。圭介は、心配している富美夫たちのことに触れ、親はどんなときでも子どもの幸せを願っている、とアカネに告げた。するとアカネは、心配をかけたくないから言いたくても言えないこともある、と返し、美雨も圭介が想像している以上に心配しているかもしれない、と続け…。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小林義則平沢敦士フジテレビ　    【制作著作】  共同テレビ</v>
      </c>
      <c r="N1214" s="2"/>
      <c r="O1214" s="2"/>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row>
    <row r="1215" ht="204.75" customHeight="1">
      <c r="A1215" s="1">
        <v>3800.0</v>
      </c>
      <c r="B1215" s="2" t="s">
        <v>3870</v>
      </c>
      <c r="C1215" s="2">
        <f>IFERROR(__xludf.DUMMYFUNCTION("split(B1215,""_"")"),1207.0)</f>
        <v>1207</v>
      </c>
      <c r="D1215" s="2" t="str">
        <f>IFERROR(__xludf.DUMMYFUNCTION("""COMPUTED_VALUE"""),"CX")</f>
        <v>CX</v>
      </c>
      <c r="E1215" s="2" t="str">
        <f>IFERROR(__xludf.DUMMYFUNCTION("""COMPUTED_VALUE"""),"日21")</f>
        <v>日21</v>
      </c>
      <c r="F1215" s="2" t="s">
        <v>3871</v>
      </c>
      <c r="G1215" s="2" t="s">
        <v>3890</v>
      </c>
      <c r="H1215" s="1">
        <v>7.0</v>
      </c>
      <c r="I1215" s="1" t="s">
        <v>25</v>
      </c>
      <c r="J1215" s="1" t="s">
        <v>11</v>
      </c>
      <c r="K1215" s="2" t="s">
        <v>3891</v>
      </c>
      <c r="L1215" s="8" t="s">
        <v>3892</v>
      </c>
      <c r="M1215" s="2" t="str">
        <f>IFERROR(__xludf.DUMMYFUNCTION("split(split(K1215,""紺野泉:"",false),""公式LINE"",false)"),"木下圭介(豊川悦司)の義父母、上原一夫(浜田晃)と愛子(岩本多代)が沼津から上京してくることになった。美雨(芦田愛菜)は、一緒にママのお墓参りや遊園地に行く、と大はしゃぎだ。圭介は、義父母たちに病気のことをどう伝えればいいか悩んでいた。相談を受けた中村産業社長の富美夫(蟹江敬三)と妻の千恵子(丘みつ子)は、まだ言わなくてもいいのではないか、と助言する。圭介親子のことを心配している先輩工員の宗田清(でんでん)も同じ意見だった。それに対して富美夫の娘・アカネ(中谷美紀)は、病状を正確に伝えて、今後のこともきち"&amp;"んと話し合っておいた方がいい、と主張する。さらにアカネは、何かが起きてからでは遅いのだから美雨と別居するなら早い方が良い、と付け加えた。するとそこに、勝田秋生(三浦翔平)が血相を変えて飛び込んでくる。秋生がやりかけのままにしておいた仕事の材料が破棄されていたのだ。捨ててしまったのは圭介だった。作業の途中で納品に出掛けなければならなかった秋生は、戻ったら作業を再開するのでこのままにしておいてほしい、と圭介に頼んでいた。秋生から責められる圭介の姿を見かねた富美夫は、秋生を母屋に連れていき、圭介の病気のことを打"&amp;"ち明けた。あくる日、圭介と美雨は、一夫たちと出掛ける。同じころ、富美夫、宗田、秋生の3人は、圭介の主治医・古賀豊(安田顕)を訪ね…。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八十島美也子平沢敦士フジテレビ"&amp;"　    【制作著作】  共同テレビ")</f>
        <v>木下圭介(豊川悦司)の義父母、上原一夫(浜田晃)と愛子(岩本多代)が沼津から上京してくることになった。美雨(芦田愛菜)は、一緒にママのお墓参りや遊園地に行く、と大はしゃぎだ。圭介は、義父母たちに病気のことをどう伝えればいいか悩んでいた。相談を受けた中村産業社長の富美夫(蟹江敬三)と妻の千恵子(丘みつ子)は、まだ言わなくてもいいのではないか、と助言する。圭介親子のことを心配している先輩工員の宗田清(でんでん)も同じ意見だった。それに対して富美夫の娘・アカネ(中谷美紀)は、病状を正確に伝えて、今後のこともきちんと話し合っておいた方がいい、と主張する。さらにアカネは、何かが起きてからでは遅いのだから美雨と別居するなら早い方が良い、と付け加えた。するとそこに、勝田秋生(三浦翔平)が血相を変えて飛び込んでくる。秋生がやりかけのままにしておいた仕事の材料が破棄されていたのだ。捨ててしまったのは圭介だった。作業の途中で納品に出掛けなければならなかった秋生は、戻ったら作業を再開するのでこのままにしておいてほしい、と圭介に頼んでいた。秋生から責められる圭介の姿を見かねた富美夫は、秋生を母屋に連れていき、圭介の病気のことを打ち明けた。あくる日、圭介と美雨は、一夫たちと出掛ける。同じころ、富美夫、宗田、秋生の3人は、圭介の主治医・古賀豊(安田顕)を訪ね…。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八十島美也子平沢敦士フジテレビ　    【制作著作】  共同テレビ</v>
      </c>
      <c r="N1215" s="2"/>
      <c r="O1215" s="2"/>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row>
    <row r="1216" ht="204.75" customHeight="1">
      <c r="A1216" s="1">
        <v>3801.0</v>
      </c>
      <c r="B1216" s="2" t="s">
        <v>3870</v>
      </c>
      <c r="C1216" s="2">
        <f>IFERROR(__xludf.DUMMYFUNCTION("split(B1216,""_"")"),1207.0)</f>
        <v>1207</v>
      </c>
      <c r="D1216" s="2" t="str">
        <f>IFERROR(__xludf.DUMMYFUNCTION("""COMPUTED_VALUE"""),"CX")</f>
        <v>CX</v>
      </c>
      <c r="E1216" s="2" t="str">
        <f>IFERROR(__xludf.DUMMYFUNCTION("""COMPUTED_VALUE"""),"日21")</f>
        <v>日21</v>
      </c>
      <c r="F1216" s="2" t="s">
        <v>3871</v>
      </c>
      <c r="G1216" s="2" t="s">
        <v>3893</v>
      </c>
      <c r="H1216" s="1">
        <v>8.0</v>
      </c>
      <c r="I1216" s="1" t="s">
        <v>29</v>
      </c>
      <c r="J1216" s="1" t="s">
        <v>4</v>
      </c>
      <c r="K1216" s="2" t="s">
        <v>3894</v>
      </c>
      <c r="L1216" s="8" t="s">
        <v>3895</v>
      </c>
      <c r="M1216" s="2" t="str">
        <f>IFERROR(__xludf.DUMMYFUNCTION("split(split(K1216,""紺野泉:"",false),""公式LINE"",false)"),"木下圭介(豊川悦司)は、娘の美雨(芦田愛菜)を沼津に住んでいる義父母に預けるべきかどうか、悩んでいた。義父母の一夫(浜田晃)と愛子(岩本多代)は、圭介と美雨が一緒に沼津に引っ越して来ることを望んでいた。圭介は、そのことを社長の中村富美夫(蟹江敬三)、千恵子(丘みつ子)夫妻やアカネ(中谷美紀)に報告する。  　バレエ発表会の日、美雨とともに会場に向かった圭介は、途中でカメラのフィルムを買い忘れたことに気づく。圭介は、美雨をその場に待たせて近くの店まで買いに行った。が、買い物を終えた圭介は、美雨を待たせている"&amp;"ことを忘れてしまい、ひとりで会場に向かってしまう。そこで思わぬ事態が起きた。圭介を待ち続けていた美雨が、警察官を見つけて駆け寄ろうとした際に、自転車と接触して腰を打ってしまったのだ。騒ぎに気づいて美雨に駆け寄ったのは、一夫と愛子だった。　美雨は、幸い大きなケガはしていなかったが、念のためひと晩入院することになった。一夫たちから連絡を受けた圭介は、アカネ、千恵子とともに病院に駆けつけた。事情を知った一夫と愛子は、引っ越しの話を切り出し、仕事の都合ですぐ引っ越すことができないなら、とりあえず美雨だけでも先に来"&amp;"させてはどうかと提案した。愛子は、いま決断しなければ取り返しのつかないことが起こるかもしれない、と圭介に忠告し…。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水田成英平沢敦士フジテレビ　    【制作著作】"&amp;"  共同テレビ")</f>
        <v>木下圭介(豊川悦司)は、娘の美雨(芦田愛菜)を沼津に住んでいる義父母に預けるべきかどうか、悩んでいた。義父母の一夫(浜田晃)と愛子(岩本多代)は、圭介と美雨が一緒に沼津に引っ越して来ることを望んでいた。圭介は、そのことを社長の中村富美夫(蟹江敬三)、千恵子(丘みつ子)夫妻やアカネ(中谷美紀)に報告する。  　バレエ発表会の日、美雨とともに会場に向かった圭介は、途中でカメラのフィルムを買い忘れたことに気づく。圭介は、美雨をその場に待たせて近くの店まで買いに行った。が、買い物を終えた圭介は、美雨を待たせていることを忘れてしまい、ひとりで会場に向かってしまう。そこで思わぬ事態が起きた。圭介を待ち続けていた美雨が、警察官を見つけて駆け寄ろうとした際に、自転車と接触して腰を打ってしまったのだ。騒ぎに気づいて美雨に駆け寄ったのは、一夫と愛子だった。　美雨は、幸い大きなケガはしていなかったが、念のためひと晩入院することになった。一夫たちから連絡を受けた圭介は、アカネ、千恵子とともに病院に駆けつけた。事情を知った一夫と愛子は、引っ越しの話を切り出し、仕事の都合ですぐ引っ越すことができないなら、とりあえず美雨だけでも先に来させてはどうかと提案した。愛子は、いま決断しなければ取り返しのつかないことが起こるかもしれない、と圭介に忠告し…。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水田成英平沢敦士フジテレビ　    【制作著作】  共同テレビ</v>
      </c>
      <c r="N1216" s="2"/>
      <c r="O1216" s="2"/>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row>
    <row r="1217" ht="204.75" customHeight="1">
      <c r="A1217" s="1">
        <v>3802.0</v>
      </c>
      <c r="B1217" s="2" t="s">
        <v>3870</v>
      </c>
      <c r="C1217" s="2">
        <f>IFERROR(__xludf.DUMMYFUNCTION("split(B1217,""_"")"),1207.0)</f>
        <v>1207</v>
      </c>
      <c r="D1217" s="2" t="str">
        <f>IFERROR(__xludf.DUMMYFUNCTION("""COMPUTED_VALUE"""),"CX")</f>
        <v>CX</v>
      </c>
      <c r="E1217" s="2" t="str">
        <f>IFERROR(__xludf.DUMMYFUNCTION("""COMPUTED_VALUE"""),"日21")</f>
        <v>日21</v>
      </c>
      <c r="F1217" s="2" t="s">
        <v>3871</v>
      </c>
      <c r="G1217" s="2" t="s">
        <v>3896</v>
      </c>
      <c r="H1217" s="1">
        <v>9.0</v>
      </c>
      <c r="I1217" s="1" t="s">
        <v>33</v>
      </c>
      <c r="J1217" s="1" t="s">
        <v>4</v>
      </c>
      <c r="K1217" s="2" t="s">
        <v>3897</v>
      </c>
      <c r="L1217" s="8" t="s">
        <v>3898</v>
      </c>
      <c r="M1217" s="2" t="str">
        <f>IFERROR(__xludf.DUMMYFUNCTION("split(split(K1217,""紺野泉:"",false),""公式LINE"",false)"),"木下美雨(芦田愛菜)は、沼津に住む祖父母のもとへと旅立った。父・圭介(豊川悦司)は、美雨がいない寂しさをかみしめながら、いつも通りの生活を続けた。中村産業の社長・中村富美夫(蟹江敬三)や妻の千恵子(丘みつ子)はもちろん、同僚の勝田秋生(三浦翔平)や宗田清(でんでん)も、そんな圭介の心情を察し、気遣っていた。圭介と美雨のことを家族同然に思っている千恵子は、このままふたりが離れてしまっていいのかと心配する。それを知ったアカネ(中谷美紀)や富美夫は、圭介が決めたことなのだから余計なことは言うな、と釘をさした。 "&amp;" 　数日後、主治医の古賀豊(安田顕)のもとを訪れて診察を受けた圭介は、病状が悪化していることを知る。このまま病気が進行すれば、5年ほどで家族の顔や名前もわからなくなってしまう可能性があるらしい。古賀は、美雨の将来のためにも、いまのうちからいろいろと準備をしておいた方がいい、と圭介に助言する。  　そんなある日、千恵子は、事務所で昼食をとっていた秋生に、圭介親子は本当にこのままでいいと思うか、と話しかける。千恵子は、どんな理由があるにせよ親子が別々に暮らすのは間違っている、というと、もう一度美雨の顔を見れば"&amp;"圭介も考え直すのではないか、と続けた。  　千恵子の言葉を考えていた秋生は、ある決意を固め、圭介をドライブに誘うが…。豊川悦司　  芦田愛菜　    三浦翔平　  でんでん　  安田顕　  国生さゆり　  高木星来　  君嶋麻那　  吉田里琴　    丘みつ子　  蟹江敬三　  中谷美紀　    ほか【脚本】  羽原大介【企画統括】  成河広明　    【編成企画】  鹿内植　  佐藤未郷　    【プロデュース】  貸川聡子　  山崎淳子　    【演出】  小林義則平沢敦士フジテレビ　    【制作著"&amp;"作】  共同テレビ")</f>
        <v>木下美雨(芦田愛菜)は、沼津に住む祖父母のもとへと旅立った。父・圭介(豊川悦司)は、美雨がいない寂しさをかみしめながら、いつも通りの生活を続けた。中村産業の社長・中村富美夫(蟹江敬三)や妻の千恵子(丘みつ子)はもちろん、同僚の勝田秋生(三浦翔平)や宗田清(でんでん)も、そんな圭介の心情を察し、気遣っていた。圭介と美雨のことを家族同然に思っている千恵子は、このままふたりが離れてしまっていいのかと心配する。それを知ったアカネ(中谷美紀)や富美夫は、圭介が決めたことなのだから余計なことは言うな、と釘をさした。  　数日後、主治医の古賀豊(安田顕)のもとを訪れて診察を受けた圭介は、病状が悪化していることを知る。このまま病気が進行すれば、5年ほどで家族の顔や名前もわからなくなってしまう可能性があるらしい。古賀は、美雨の将来のためにも、いまのうちからいろいろと準備をしておいた方がいい、と圭介に助言する。  　そんなある日、千恵子は、事務所で昼食をとっていた秋生に、圭介親子は本当にこのままでいいと思うか、と話しかける。千恵子は、どんな理由があるにせよ親子が別々に暮らすのは間違っている、というと、もう一度美雨の顔を見れば圭介も考え直すのではないか、と続けた。  　千恵子の言葉を考えていた秋生は、ある決意を固め、圭介をドライブに誘うが…。豊川悦司　  芦田愛菜　    三浦翔平　  でんでん　  安田顕　  国生さゆり　  高木星来　  君嶋麻那　  吉田里琴　    丘みつ子　  蟹江敬三　  中谷美紀　    ほか【脚本】  羽原大介【企画統括】  成河広明　    【編成企画】  鹿内植　  佐藤未郷　    【プロデュース】  貸川聡子　  山崎淳子　    【演出】  小林義則平沢敦士フジテレビ　    【制作著作】  共同テレビ</v>
      </c>
      <c r="N1217" s="2"/>
      <c r="O1217" s="2"/>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row>
    <row r="1218" ht="204.75" customHeight="1">
      <c r="A1218" s="1">
        <v>3803.0</v>
      </c>
      <c r="B1218" s="2" t="s">
        <v>3870</v>
      </c>
      <c r="C1218" s="2">
        <f>IFERROR(__xludf.DUMMYFUNCTION("split(B1218,""_"")"),1207.0)</f>
        <v>1207</v>
      </c>
      <c r="D1218" s="2" t="str">
        <f>IFERROR(__xludf.DUMMYFUNCTION("""COMPUTED_VALUE"""),"CX")</f>
        <v>CX</v>
      </c>
      <c r="E1218" s="2" t="str">
        <f>IFERROR(__xludf.DUMMYFUNCTION("""COMPUTED_VALUE"""),"日21")</f>
        <v>日21</v>
      </c>
      <c r="F1218" s="2" t="s">
        <v>3871</v>
      </c>
      <c r="G1218" s="2" t="s">
        <v>3899</v>
      </c>
      <c r="H1218" s="1">
        <v>10.0</v>
      </c>
      <c r="I1218" s="1" t="s">
        <v>37</v>
      </c>
      <c r="J1218" s="1" t="s">
        <v>11</v>
      </c>
      <c r="K1218" s="2" t="s">
        <v>3900</v>
      </c>
      <c r="L1218" s="8" t="s">
        <v>3901</v>
      </c>
      <c r="M1218" s="2" t="str">
        <f>IFERROR(__xludf.DUMMYFUNCTION("split(split(K1218,""紺野泉:"",false),""公式LINE"",false)"),"木下圭介(豊川悦司)は、娘の美雨(芦田愛菜)を預けている沼津の義父母、一夫(浜田晃)と愛子(岩本多代)のもとへ、引越しや転校の手続きに必要な書類を送った。圭介は、その封筒の中に、美雨への手紙も同封した。手紙の中で圭介は、夏休みの最後の日に迎えに行くがそのときに大事な話があるから聞いてほしい、と綴っていた。  　その矢先、圭介の携帯電話に一夫から連絡が入る。美雨が、東京に帰る、と書き置きをして、ひとりでバスに乗ってしまったのだという。前夜、美雨は、一夫と愛子が見ていた書類の中に自分の名前があることに気づき、"&amp;"それは何かと尋ねた。愛子は困惑しながらも、ウソを言うわけにもいかず、美雨はこのまま沼津に住むことを話してしまったらしい。  　バスターミナルに駆けつけた圭介は、美雨を見つけ、とりあえず家に連れ帰る。圭介は、美雨に自分の病気のことを正直に打ち明け、明日の朝、バスで沼津まで送って行く、と告げた。そして、中村産業の社長・中村富美夫(蟹江敬三)と妻の千恵子(丘みつ子)に、美雨が落ち着くまで沼津にいたいから夏休みを取らせてほしい、と申し出る。  　あくる朝、美雨は、部屋の入口にバリケードを作り、沼津行きを拒否した。"&amp;"それを知ったアカネ(中谷美紀)は、説得役を買って出て、美雨に声をかける。部屋に入れてもらったアカネは、圭介と同じ病気にかかった義母を看病していたときの話を美雨に聞かせた。豊川悦司　  芦田愛菜　    三浦翔平　  でんでん　  安田顕　  国生さゆり　  高木星来　  君嶋麻那　  吉田里琴　    丘みつ子　  蟹江敬三　  中谷美紀　    ほか【脚本】  羽原大介【企画統括】  成河広明　    【編成企画】  鹿内植　  佐藤未郷　    【プロデュース】  貸川聡子　  山崎淳子　    【演"&amp;"出】  水田成英平沢敦士フジテレビ　    【制作著作】  共同テレビ")</f>
        <v>木下圭介(豊川悦司)は、娘の美雨(芦田愛菜)を預けている沼津の義父母、一夫(浜田晃)と愛子(岩本多代)のもとへ、引越しや転校の手続きに必要な書類を送った。圭介は、その封筒の中に、美雨への手紙も同封した。手紙の中で圭介は、夏休みの最後の日に迎えに行くがそのときに大事な話があるから聞いてほしい、と綴っていた。  　その矢先、圭介の携帯電話に一夫から連絡が入る。美雨が、東京に帰る、と書き置きをして、ひとりでバスに乗ってしまったのだという。前夜、美雨は、一夫と愛子が見ていた書類の中に自分の名前があることに気づき、それは何かと尋ねた。愛子は困惑しながらも、ウソを言うわけにもいかず、美雨はこのまま沼津に住むことを話してしまったらしい。  　バスターミナルに駆けつけた圭介は、美雨を見つけ、とりあえず家に連れ帰る。圭介は、美雨に自分の病気のことを正直に打ち明け、明日の朝、バスで沼津まで送って行く、と告げた。そして、中村産業の社長・中村富美夫(蟹江敬三)と妻の千恵子(丘みつ子)に、美雨が落ち着くまで沼津にいたいから夏休みを取らせてほしい、と申し出る。  　あくる朝、美雨は、部屋の入口にバリケードを作り、沼津行きを拒否した。それを知ったアカネ(中谷美紀)は、説得役を買って出て、美雨に声をかける。部屋に入れてもらったアカネは、圭介と同じ病気にかかった義母を看病していたときの話を美雨に聞かせた。豊川悦司　  芦田愛菜　    三浦翔平　  でんでん　  安田顕　  国生さゆり　  高木星来　  君嶋麻那　  吉田里琴　    丘みつ子　  蟹江敬三　  中谷美紀　    ほか【脚本】  羽原大介【企画統括】  成河広明　    【編成企画】  鹿内植　  佐藤未郷　    【プロデュース】  貸川聡子　  山崎淳子　    【演出】  水田成英平沢敦士フジテレビ　    【制作著作】  共同テレビ</v>
      </c>
      <c r="N1218" s="2"/>
      <c r="O1218" s="2"/>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row>
    <row r="1219" ht="204.75" customHeight="1">
      <c r="A1219" s="1">
        <v>3804.0</v>
      </c>
      <c r="B1219" s="2" t="s">
        <v>3870</v>
      </c>
      <c r="C1219" s="2">
        <f>IFERROR(__xludf.DUMMYFUNCTION("split(B1219,""_"")"),1207.0)</f>
        <v>1207</v>
      </c>
      <c r="D1219" s="2" t="str">
        <f>IFERROR(__xludf.DUMMYFUNCTION("""COMPUTED_VALUE"""),"CX")</f>
        <v>CX</v>
      </c>
      <c r="E1219" s="2" t="str">
        <f>IFERROR(__xludf.DUMMYFUNCTION("""COMPUTED_VALUE"""),"日21")</f>
        <v>日21</v>
      </c>
      <c r="F1219" s="2" t="s">
        <v>3871</v>
      </c>
      <c r="G1219" s="2" t="s">
        <v>3902</v>
      </c>
      <c r="H1219" s="1">
        <v>11.0</v>
      </c>
      <c r="I1219" s="1" t="s">
        <v>41</v>
      </c>
      <c r="J1219" s="1" t="s">
        <v>11</v>
      </c>
      <c r="K1219" s="2" t="s">
        <v>3903</v>
      </c>
      <c r="L1219" s="8" t="s">
        <v>3904</v>
      </c>
      <c r="M1219" s="2" t="str">
        <f>IFERROR(__xludf.DUMMYFUNCTION("split(split(K1219,""紺野泉:"",false),""公式LINE"",false)"),"木下圭介(豊川悦司)は、娘の美雨(芦田愛菜)と一緒に暮らすことになった。中村産業の社長・中村富美夫(蟹江敬三)や妻の千恵子(丘みつ子)はもちろん、圭介親子が一緒に暮らすことに反対だったアカネ(中谷美紀)も、ふたりを支えていこうと決意していた。  　それを受け、千恵子は、圭介親子にさっそく新しいライフスタイルの提案をする。それは、朝昼晩の食事は中村家で一緒にとり、圭介たちの家の掃除や買い物も千恵子とアカネが分担する、というものだった。一方、後輩工員の勝田秋生(三浦翔平)は、圭介に黒板をプレゼントする。ここに"&amp;"その日の作業について書いておけば、圭介が一々手帳を見る必要がなくなるからだった。  　夏休みも終わり、美雨は、始業式を迎える。が、帰宅するなり、早く頭が良くなる方法はないか、とアカネに尋ねる美雨。アカネは、毎日コツコツ勉強して本をたくさん読めばいい、と美雨にアドバイスした。どうやら美雨は、大学進学を考えているようだった。  　そんなある日、圭介は、富美夫とともに得意先を訪ねる。先方から、取引価格の見直しを迫られたため、交渉に向かったのだ。が、その席で圭介は、先方からの質問に答えられないなどの失態を演じてし"&amp;"まい…。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小林義則平沢敦士フジテレビ　    【制作著作】  共同テレビ")</f>
        <v>木下圭介(豊川悦司)は、娘の美雨(芦田愛菜)と一緒に暮らすことになった。中村産業の社長・中村富美夫(蟹江敬三)や妻の千恵子(丘みつ子)はもちろん、圭介親子が一緒に暮らすことに反対だったアカネ(中谷美紀)も、ふたりを支えていこうと決意していた。  　それを受け、千恵子は、圭介親子にさっそく新しいライフスタイルの提案をする。それは、朝昼晩の食事は中村家で一緒にとり、圭介たちの家の掃除や買い物も千恵子とアカネが分担する、というものだった。一方、後輩工員の勝田秋生(三浦翔平)は、圭介に黒板をプレゼントする。ここにその日の作業について書いておけば、圭介が一々手帳を見る必要がなくなるからだった。  　夏休みも終わり、美雨は、始業式を迎える。が、帰宅するなり、早く頭が良くなる方法はないか、とアカネに尋ねる美雨。アカネは、毎日コツコツ勉強して本をたくさん読めばいい、と美雨にアドバイスした。どうやら美雨は、大学進学を考えているようだった。  　そんなある日、圭介は、富美夫とともに得意先を訪ねる。先方から、取引価格の見直しを迫られたため、交渉に向かったのだ。が、その席で圭介は、先方からの質問に答えられないなどの失態を演じてしまい…。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小林義則平沢敦士フジテレビ　    【制作著作】  共同テレビ</v>
      </c>
      <c r="N1219" s="2"/>
      <c r="O1219" s="2"/>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row>
    <row r="1220" ht="204.75" customHeight="1">
      <c r="A1220" s="1">
        <v>3805.0</v>
      </c>
      <c r="B1220" s="2" t="s">
        <v>3870</v>
      </c>
      <c r="C1220" s="2">
        <f>IFERROR(__xludf.DUMMYFUNCTION("split(B1220,""_"")"),1207.0)</f>
        <v>1207</v>
      </c>
      <c r="D1220" s="2" t="str">
        <f>IFERROR(__xludf.DUMMYFUNCTION("""COMPUTED_VALUE"""),"CX")</f>
        <v>CX</v>
      </c>
      <c r="E1220" s="2" t="str">
        <f>IFERROR(__xludf.DUMMYFUNCTION("""COMPUTED_VALUE"""),"日21")</f>
        <v>日21</v>
      </c>
      <c r="F1220" s="2" t="s">
        <v>3871</v>
      </c>
      <c r="G1220" s="2" t="s">
        <v>3905</v>
      </c>
      <c r="H1220" s="1">
        <v>12.0</v>
      </c>
      <c r="I1220" s="1" t="s">
        <v>3666</v>
      </c>
      <c r="J1220" s="1" t="s">
        <v>11</v>
      </c>
      <c r="K1220" s="2" t="s">
        <v>3906</v>
      </c>
      <c r="L1220" s="8" t="s">
        <v>3907</v>
      </c>
      <c r="M1220" s="2" t="str">
        <f>IFERROR(__xludf.DUMMYFUNCTION("split(split(K1220,""紺野泉:"",false),""公式LINE"",false)"),"木下圭介(豊川悦司)は、未来の美雨(芦田愛菜)のためにプレゼントを用意し、ボイスレコーダーに彼女へのメッセージを録音する。  　そんなある朝、美雨は、父ちゃんの夢は何なのか、と圭介に問いかける。美雨が毎日元気に楽しく大きくなってくれること、と答える圭介。すると美雨は、父ちゃんが父ちゃんのためにしてみたいことはないのか、と返す。もし何かしたいことがあるなら、自分が叶えてあげたいのだという。美雨は、返答に困っている圭介に、今日中に考えておいてほしい、と告げた。  　同じころ、中村家では、富美夫(蟹江敬三)と妻"&amp;"の千恵子(丘みつ子)がケンカをしていた。急病で入院してしまったお祭りの実行委員長の代役を、富美夫が勝手に引き受けてしまったのだ。千恵子は、ことしはバザーの当番なのだから飲食屋台を仕切ることになる実行委員長はできない、と主張する。しかし富美夫は、一度引き受けたものを断るわけにはいかない、と引かなかった。結局、富美夫は実行委員長を、千恵子はバザー当番を担当し、娘のアカネ(中谷美紀)が両方を手伝うということで何とか落ち着く。  　そんな中、圭介は、一緒に旅行に行くことが夢だ、と美雨に話す。箱根で、どうしても美雨"&amp;"に見せたいものがあるらしい。圭介は、その話を富美夫らに伝え、もし可能なら今度の三連休に行きたいと相談する。富美夫や千恵子は、不安を抱きながらも、それを了承した。豊川悦司　  芦田愛菜　    三浦翔平　  でんでん　  安田顕　  国生さゆり　  高木星来　  君嶋麻那　  吉田里琴　    丘みつ子　  蟹江敬三　  中谷美紀　    ほか【脚本】  羽原大介【企画統括】  成河広明　    【編成企画】  鹿内植　  佐藤未郷　　    【プロデュース】  貸川聡子　  山崎淳子　　    【演出】 "&amp;" 水田成英平沢敦士フジテレビ　    【制作著作】  共同テレビ")</f>
        <v>木下圭介(豊川悦司)は、未来の美雨(芦田愛菜)のためにプレゼントを用意し、ボイスレコーダーに彼女へのメッセージを録音する。  　そんなある朝、美雨は、父ちゃんの夢は何なのか、と圭介に問いかける。美雨が毎日元気に楽しく大きくなってくれること、と答える圭介。すると美雨は、父ちゃんが父ちゃんのためにしてみたいことはないのか、と返す。もし何かしたいことがあるなら、自分が叶えてあげたいのだという。美雨は、返答に困っている圭介に、今日中に考えておいてほしい、と告げた。  　同じころ、中村家では、富美夫(蟹江敬三)と妻の千恵子(丘みつ子)がケンカをしていた。急病で入院してしまったお祭りの実行委員長の代役を、富美夫が勝手に引き受けてしまったのだ。千恵子は、ことしはバザーの当番なのだから飲食屋台を仕切ることになる実行委員長はできない、と主張する。しかし富美夫は、一度引き受けたものを断るわけにはいかない、と引かなかった。結局、富美夫は実行委員長を、千恵子はバザー当番を担当し、娘のアカネ(中谷美紀)が両方を手伝うということで何とか落ち着く。  　そんな中、圭介は、一緒に旅行に行くことが夢だ、と美雨に話す。箱根で、どうしても美雨に見せたいものがあるらしい。圭介は、その話を富美夫らに伝え、もし可能なら今度の三連休に行きたいと相談する。富美夫や千恵子は、不安を抱きながらも、それを了承した。豊川悦司　  芦田愛菜　    三浦翔平　  でんでん　  安田顕　  国生さゆり　  高木星来　  君嶋麻那　  吉田里琴　    丘みつ子　  蟹江敬三　  中谷美紀　    ほか【脚本】  羽原大介【企画統括】  成河広明　    【編成企画】  鹿内植　  佐藤未郷　　    【プロデュース】  貸川聡子　  山崎淳子　　    【演出】  水田成英平沢敦士フジテレビ　    【制作著作】  共同テレビ</v>
      </c>
      <c r="N1220" s="2"/>
      <c r="O1220" s="2"/>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row>
    <row r="1221" ht="204.75" customHeight="1">
      <c r="A1221" s="1">
        <v>3806.0</v>
      </c>
      <c r="B1221" s="2" t="s">
        <v>3908</v>
      </c>
      <c r="C1221" s="2">
        <f>IFERROR(__xludf.DUMMYFUNCTION("split(B1221,""_"")"),1204.0)</f>
        <v>1204</v>
      </c>
      <c r="D1221" s="2" t="str">
        <f>IFERROR(__xludf.DUMMYFUNCTION("""COMPUTED_VALUE"""),"CX")</f>
        <v>CX</v>
      </c>
      <c r="E1221" s="2" t="str">
        <f>IFERROR(__xludf.DUMMYFUNCTION("""COMPUTED_VALUE"""),"月21")</f>
        <v>月21</v>
      </c>
      <c r="F1221" s="2" t="s">
        <v>3909</v>
      </c>
      <c r="G1221" s="2" t="s">
        <v>3910</v>
      </c>
      <c r="H1221" s="1">
        <v>1.0</v>
      </c>
      <c r="I1221" s="1" t="s">
        <v>3</v>
      </c>
      <c r="J1221" s="1" t="s">
        <v>4</v>
      </c>
      <c r="K1221" s="4" t="s">
        <v>3911</v>
      </c>
      <c r="L1221" s="2" t="s">
        <v>3912</v>
      </c>
      <c r="M1221" s="2" t="str">
        <f>IFERROR(__xludf.DUMMYFUNCTION("split(split(K1221,""榎本径:　"",false),""公式LINE"",false)"),"東京総合セキュリティに勤める榎本径(大野智)は、弁護士・青砥純子(戸田恵梨香)に頼まれ、先輩弁護士の芹沢豪(佐藤浩市)と密室事件の現場にやってきた。そこは、葬儀会社の社長・大石の遺体が見つかった山荘だった。警察は、山荘が密室だったこと、大石が末期のがんを患っていたことから自殺と断定。しかし、大石の友人・円山(浜田晃)と司法書士・日下部(堀部圭亮)は疑念を抱き、芹沢に調査を依頼したのだ。榎本らを山荘に案内した日下部は、遺体を発見した日の状況を説明し始めた。  その日、日下部は、大石の甥で葬儀会社の専務・池端"&amp;"(風間杜夫)と山荘に赴いた。窓から部屋を覗くと人影が見えたため、窓を破って室内に入ると、大石が部屋のドアを背にして体育座りのような姿勢で死んでいた。脚の前には重厚なテーブルが置かれ、そのテーブルはどっしりとしたソファで固定、また、ドアには天井から床まで白幕が張られ、遺体はそこに座っていた。  　純子が日下部の説明を聞くなか、芹沢は大石は自殺だろう、と榎本に同意を求める。と、榎本はドアとテーブルの間に遺体と同じ姿勢で座っていた。  　後日、純子は、芹沢を連れ、東京総合セキュリティに榎本を訪ねた。「備品倉庫室"&amp;"」と書かれた薄暗い倉庫にいた榎本は、ふたりに山荘を完璧に再現した模型を見せた。一度の入室ですべてを記憶したという榎本は、大石が自殺かどうか、検証すると言い…。")</f>
        <v>東京総合セキュリティに勤める榎本径(大野智)は、弁護士・青砥純子(戸田恵梨香)に頼まれ、先輩弁護士の芹沢豪(佐藤浩市)と密室事件の現場にやってきた。そこは、葬儀会社の社長・大石の遺体が見つかった山荘だった。警察は、山荘が密室だったこと、大石が末期のがんを患っていたことから自殺と断定。しかし、大石の友人・円山(浜田晃)と司法書士・日下部(堀部圭亮)は疑念を抱き、芹沢に調査を依頼したのだ。榎本らを山荘に案内した日下部は、遺体を発見した日の状況を説明し始めた。  その日、日下部は、大石の甥で葬儀会社の専務・池端(風間杜夫)と山荘に赴いた。窓から部屋を覗くと人影が見えたため、窓を破って室内に入ると、大石が部屋のドアを背にして体育座りのような姿勢で死んでいた。脚の前には重厚なテーブルが置かれ、そのテーブルはどっしりとしたソファで固定、また、ドアには天井から床まで白幕が張られ、遺体はそこに座っていた。  　純子が日下部の説明を聞くなか、芹沢は大石は自殺だろう、と榎本に同意を求める。と、榎本はドアとテーブルの間に遺体と同じ姿勢で座っていた。  　後日、純子は、芹沢を連れ、東京総合セキュリティに榎本を訪ねた。「備品倉庫室」と書かれた薄暗い倉庫にいた榎本は、ふたりに山荘を完璧に再現した模型を見せた。一度の入室ですべてを記憶したという榎本は、大石が自殺かどうか、検証すると言い…。</v>
      </c>
      <c r="N1221" s="2"/>
      <c r="O1221" s="2"/>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row>
    <row r="1222" ht="204.75" customHeight="1">
      <c r="A1222" s="1">
        <v>3807.0</v>
      </c>
      <c r="B1222" s="2" t="s">
        <v>3908</v>
      </c>
      <c r="C1222" s="2">
        <f>IFERROR(__xludf.DUMMYFUNCTION("split(B1222,""_"")"),1204.0)</f>
        <v>1204</v>
      </c>
      <c r="D1222" s="2" t="str">
        <f>IFERROR(__xludf.DUMMYFUNCTION("""COMPUTED_VALUE"""),"CX")</f>
        <v>CX</v>
      </c>
      <c r="E1222" s="2" t="str">
        <f>IFERROR(__xludf.DUMMYFUNCTION("""COMPUTED_VALUE"""),"月21")</f>
        <v>月21</v>
      </c>
      <c r="F1222" s="2" t="s">
        <v>3909</v>
      </c>
      <c r="G1222" s="2" t="s">
        <v>3913</v>
      </c>
      <c r="H1222" s="1">
        <v>2.0</v>
      </c>
      <c r="I1222" s="1" t="s">
        <v>7</v>
      </c>
      <c r="J1222" s="1" t="s">
        <v>11</v>
      </c>
      <c r="K1222" s="2" t="s">
        <v>3914</v>
      </c>
      <c r="L1222" s="2" t="s">
        <v>3915</v>
      </c>
      <c r="M1222" s="2" t="str">
        <f>IFERROR(__xludf.DUMMYFUNCTION("split(split(K1222,""榎本径:　"",false),""公式LINE"",false)"),"榎本径(大野智)は、会田愛一郎(中村獅童)を連れ、青砥純子(戸田恵梨香)と芹沢豪(佐藤浩市)を訪ねてきた。甥の大樹が自室で練炭による一酸化炭素中毒で死亡し自殺とされたが、会田は大樹が妹・美樹(福田麻由子)を残して死ぬとは思えないと言うのだ。  　大樹が死亡した日、会田は兄妹の継父で、中学校の科学教師・高澤(高嶋政宏)からの連絡で高澤家にやって来た。大樹の部屋の前では美樹がドアを叩いていたが、反応がない。そこで、高澤が電動ドリルでドアノブの上に穴を開けた。その穴から会田が工具を差し入れ、ついに鍵は開いた。し"&amp;"かし、ドアには隙間を埋めるように内側からビニールテープが貼られ、ドアを開ける際、ベリベリとテープがはがれる音がし、同時に紙テープの切れ端が舞い上がったという。壁には、紙テープで綴られた「サヨナラ」という文字があり、ベッドでは大樹が死亡していた。  　3年前に母親を亡くした兄妹は高澤に育てられていたが、多額の遺産を受け継ぐため高澤に殺されたのでは、と会田は疑っていた。  　榎本は、純子と芹沢にドアと窓に貼られていたのが、ガムテープではなくビニールテープだったことが気にかかると明かした。仮に高澤が犯人だったと"&amp;"して、施錠された窓やドアの内側からどうやってテープを貼ったのか、3人は可能な方法を考えるがどれも決定打にはならない。しかし、榎本はそこに科学を駆使した仕掛けがあるはずだと思い…。")</f>
        <v>榎本径(大野智)は、会田愛一郎(中村獅童)を連れ、青砥純子(戸田恵梨香)と芹沢豪(佐藤浩市)を訪ねてきた。甥の大樹が自室で練炭による一酸化炭素中毒で死亡し自殺とされたが、会田は大樹が妹・美樹(福田麻由子)を残して死ぬとは思えないと言うのだ。  　大樹が死亡した日、会田は兄妹の継父で、中学校の科学教師・高澤(高嶋政宏)からの連絡で高澤家にやって来た。大樹の部屋の前では美樹がドアを叩いていたが、反応がない。そこで、高澤が電動ドリルでドアノブの上に穴を開けた。その穴から会田が工具を差し入れ、ついに鍵は開いた。しかし、ドアには隙間を埋めるように内側からビニールテープが貼られ、ドアを開ける際、ベリベリとテープがはがれる音がし、同時に紙テープの切れ端が舞い上がったという。壁には、紙テープで綴られた「サヨナラ」という文字があり、ベッドでは大樹が死亡していた。  　3年前に母親を亡くした兄妹は高澤に育てられていたが、多額の遺産を受け継ぐため高澤に殺されたのでは、と会田は疑っていた。  　榎本は、純子と芹沢にドアと窓に貼られていたのが、ガムテープではなくビニールテープだったことが気にかかると明かした。仮に高澤が犯人だったとして、施錠された窓やドアの内側からどうやってテープを貼ったのか、3人は可能な方法を考えるがどれも決定打にはならない。しかし、榎本はそこに科学を駆使した仕掛けがあるはずだと思い…。</v>
      </c>
      <c r="N1222" s="2"/>
      <c r="O1222" s="2"/>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row>
    <row r="1223" ht="204.75" customHeight="1">
      <c r="A1223" s="1">
        <v>3808.0</v>
      </c>
      <c r="B1223" s="2" t="s">
        <v>3908</v>
      </c>
      <c r="C1223" s="2">
        <f>IFERROR(__xludf.DUMMYFUNCTION("split(B1223,""_"")"),1204.0)</f>
        <v>1204</v>
      </c>
      <c r="D1223" s="2" t="str">
        <f>IFERROR(__xludf.DUMMYFUNCTION("""COMPUTED_VALUE"""),"CX")</f>
        <v>CX</v>
      </c>
      <c r="E1223" s="2" t="str">
        <f>IFERROR(__xludf.DUMMYFUNCTION("""COMPUTED_VALUE"""),"月21")</f>
        <v>月21</v>
      </c>
      <c r="F1223" s="2" t="s">
        <v>3909</v>
      </c>
      <c r="G1223" s="2" t="s">
        <v>3916</v>
      </c>
      <c r="H1223" s="1">
        <v>3.0</v>
      </c>
      <c r="I1223" s="1" t="s">
        <v>10</v>
      </c>
      <c r="J1223" s="1" t="s">
        <v>11</v>
      </c>
      <c r="K1223" s="2" t="s">
        <v>3917</v>
      </c>
      <c r="L1223" s="2" t="s">
        <v>3918</v>
      </c>
      <c r="M1223" s="2" t="str">
        <f>IFERROR(__xludf.DUMMYFUNCTION("split(split(K1223,""榎本径:　"",false),""公式LINE"",false)"),"榎本径(大野智)は、青砥純子(戸田恵梨香)と刑事・鴻野(宇梶剛士)とともに、プロ棋士・竹脇(ゆうぞう)が殺害されたホテルの一室にやってきた。そこはビジネスホテルで、竹脇は背中を包丁で一突きにされドアを頭にして倒れていたという。現場は、窓もドアも施錠されチェーンまでかけられた密室で、室内には携帯用の将棋盤、棋書、将棋新聞、飲みかけのコーヒーカップが残されていた。  　榎本は、部屋を開けた時ドアが遺体に触れたかどうかを遺体発見者のスタッフに尋ね、スタッフはチェーンがかかっていたため遺体までは届かなかったと証言"&amp;"した。  　そこへ、来栖奈穂子(相武紗季)が入ってきた。鴻野は竹脇の恋人だという奈穂子に遺留品の財布などを見せ、それが竹脇のものだと確認させた。そんなとき、奈穂子は何気ない様子で将棋盤にあった駒をひとつ動かした。遺留品のなかに、携帯電話やパソコンがなかったことを不審に思った鴻野が聞くと、どちらも持っていなかった、と奈穂子は答えた。そんな折、奈穂子が最近話題の棋士だと気づいた純子は盛り上がる。  　竹脇からの最後の通話相手だったことから、芹沢豪(佐藤浩市)が事情聴取されたため、今回の事件の真相を調べることに"&amp;"なったのだ。  　後日、純子と奈穂子が榎本の会社にやってきた。いつもの「備品倉庫室」でホテルの部屋の模型を完成させていた榎本は、事件の最大の謎はドアチェーンがかかっていたことだと話し…。")</f>
        <v>榎本径(大野智)は、青砥純子(戸田恵梨香)と刑事・鴻野(宇梶剛士)とともに、プロ棋士・竹脇(ゆうぞう)が殺害されたホテルの一室にやってきた。そこはビジネスホテルで、竹脇は背中を包丁で一突きにされドアを頭にして倒れていたという。現場は、窓もドアも施錠されチェーンまでかけられた密室で、室内には携帯用の将棋盤、棋書、将棋新聞、飲みかけのコーヒーカップが残されていた。  　榎本は、部屋を開けた時ドアが遺体に触れたかどうかを遺体発見者のスタッフに尋ね、スタッフはチェーンがかかっていたため遺体までは届かなかったと証言した。  　そこへ、来栖奈穂子(相武紗季)が入ってきた。鴻野は竹脇の恋人だという奈穂子に遺留品の財布などを見せ、それが竹脇のものだと確認させた。そんなとき、奈穂子は何気ない様子で将棋盤にあった駒をひとつ動かした。遺留品のなかに、携帯電話やパソコンがなかったことを不審に思った鴻野が聞くと、どちらも持っていなかった、と奈穂子は答えた。そんな折、奈穂子が最近話題の棋士だと気づいた純子は盛り上がる。  　竹脇からの最後の通話相手だったことから、芹沢豪(佐藤浩市)が事情聴取されたため、今回の事件の真相を調べることになったのだ。  　後日、純子と奈穂子が榎本の会社にやってきた。いつもの「備品倉庫室」でホテルの部屋の模型を完成させていた榎本は、事件の最大の謎はドアチェーンがかかっていたことだと話し…。</v>
      </c>
      <c r="N1223" s="2"/>
      <c r="O1223" s="2"/>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row>
    <row r="1224" ht="204.75" customHeight="1">
      <c r="A1224" s="1">
        <v>3809.0</v>
      </c>
      <c r="B1224" s="2" t="s">
        <v>3908</v>
      </c>
      <c r="C1224" s="2">
        <f>IFERROR(__xludf.DUMMYFUNCTION("split(B1224,""_"")"),1204.0)</f>
        <v>1204</v>
      </c>
      <c r="D1224" s="2" t="str">
        <f>IFERROR(__xludf.DUMMYFUNCTION("""COMPUTED_VALUE"""),"CX")</f>
        <v>CX</v>
      </c>
      <c r="E1224" s="2" t="str">
        <f>IFERROR(__xludf.DUMMYFUNCTION("""COMPUTED_VALUE"""),"月21")</f>
        <v>月21</v>
      </c>
      <c r="F1224" s="2" t="s">
        <v>3909</v>
      </c>
      <c r="G1224" s="2" t="s">
        <v>3919</v>
      </c>
      <c r="H1224" s="1">
        <v>4.0</v>
      </c>
      <c r="I1224" s="1" t="s">
        <v>14</v>
      </c>
      <c r="J1224" s="1" t="s">
        <v>11</v>
      </c>
      <c r="K1224" s="2" t="s">
        <v>3920</v>
      </c>
      <c r="L1224" s="2" t="s">
        <v>3921</v>
      </c>
      <c r="M1224" s="2" t="str">
        <f>IFERROR(__xludf.DUMMYFUNCTION("split(split(K1224,""榎本径:　"",false),""公式LINE"",false)"),"榎本径(大野智)は、青砥純子(戸田恵梨香)と芹沢豪(佐藤浩市)から、純子のマンションで起こった事件について聞く。  先日、和菓子店の社長・桑島が亡くなり、桑島が借りていた部屋にペットが残された。  しかし妻の美香(白石美帆)はその世話を拒否、桑島の友人・古溝(松尾諭)が申し出た引き渡しも拒んでいるという。困った古溝は、通りかかった純子に相談を持ちかけたのだ。  純子と芹沢が交渉した結果、美香は古溝が桑島に預けていた2匹については引き渡すと約束した。  後日、純子と芹沢は、美香、古溝とペット部屋にやってきた"&amp;"。そこは窓が閉め切られ、水槽で埋め尽くされた異様な空間だった。  水槽を見てペットが熱帯魚か何かだと早合点した純子の前に、古溝が差し出したのはタランチュラだった。しかも桑島は飼っていた毒グモにかまれて死亡したという。警察は水槽内の土に刺さっていたピンセットから、桑島は猛毒を持つクロドクシボグモにエサをやろうとして指をかまれたと推測した。  それらの話を聞いた榎本は、毒グモを扱うにしては桑島があまりにも不注意なのでは、と話した。芹沢も、毒グモにかまれて慌てて手を引っ込めたはずだから、ピンセットが垂直に土に刺"&amp;"さっていたのはおかしいと疑問を呈す。しかし部屋が密室だったことから、警察は事件性はないと判断したという。  しばらく考えていた榎本は、事故ではなかった可能性があると言い…。")</f>
        <v>榎本径(大野智)は、青砥純子(戸田恵梨香)と芹沢豪(佐藤浩市)から、純子のマンションで起こった事件について聞く。  先日、和菓子店の社長・桑島が亡くなり、桑島が借りていた部屋にペットが残された。  しかし妻の美香(白石美帆)はその世話を拒否、桑島の友人・古溝(松尾諭)が申し出た引き渡しも拒んでいるという。困った古溝は、通りかかった純子に相談を持ちかけたのだ。  純子と芹沢が交渉した結果、美香は古溝が桑島に預けていた2匹については引き渡すと約束した。  後日、純子と芹沢は、美香、古溝とペット部屋にやってきた。そこは窓が閉め切られ、水槽で埋め尽くされた異様な空間だった。  水槽を見てペットが熱帯魚か何かだと早合点した純子の前に、古溝が差し出したのはタランチュラだった。しかも桑島は飼っていた毒グモにかまれて死亡したという。警察は水槽内の土に刺さっていたピンセットから、桑島は猛毒を持つクロドクシボグモにエサをやろうとして指をかまれたと推測した。  それらの話を聞いた榎本は、毒グモを扱うにしては桑島があまりにも不注意なのでは、と話した。芹沢も、毒グモにかまれて慌てて手を引っ込めたはずだから、ピンセットが垂直に土に刺さっていたのはおかしいと疑問を呈す。しかし部屋が密室だったことから、警察は事件性はないと判断したという。  しばらく考えていた榎本は、事故ではなかった可能性があると言い…。</v>
      </c>
      <c r="N1224" s="2"/>
      <c r="O1224" s="2"/>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row>
    <row r="1225" ht="204.75" customHeight="1">
      <c r="A1225" s="1">
        <v>3810.0</v>
      </c>
      <c r="B1225" s="2" t="s">
        <v>3908</v>
      </c>
      <c r="C1225" s="2">
        <f>IFERROR(__xludf.DUMMYFUNCTION("split(B1225,""_"")"),1204.0)</f>
        <v>1204</v>
      </c>
      <c r="D1225" s="2" t="str">
        <f>IFERROR(__xludf.DUMMYFUNCTION("""COMPUTED_VALUE"""),"CX")</f>
        <v>CX</v>
      </c>
      <c r="E1225" s="2" t="str">
        <f>IFERROR(__xludf.DUMMYFUNCTION("""COMPUTED_VALUE"""),"月21")</f>
        <v>月21</v>
      </c>
      <c r="F1225" s="2" t="s">
        <v>3909</v>
      </c>
      <c r="G1225" s="2" t="s">
        <v>3922</v>
      </c>
      <c r="H1225" s="1">
        <v>5.0</v>
      </c>
      <c r="I1225" s="1" t="s">
        <v>17</v>
      </c>
      <c r="J1225" s="1" t="s">
        <v>11</v>
      </c>
      <c r="K1225" s="2" t="s">
        <v>3923</v>
      </c>
      <c r="L1225" s="2" t="s">
        <v>3924</v>
      </c>
      <c r="M1225" s="2" t="str">
        <f>IFERROR(__xludf.DUMMYFUNCTION("split(split(K1225,""榎本径:　"",false),""公式LINE"",false)"),"榎本径(大野智)は、ある新築の家で起こった死亡事件現場にやってきた。その家は、高校教師・杉崎(新井浩文)が結婚を機に建てたものだが、引き渡し直後に起こった震度4の地震で大きく歪んでしまった。杉崎は施工会社に手抜きだとクレームをつけ、社長の竹本(田窪一世)が補修工事を請け負うことになった。その下見の最中に、竹本が亡くなったのだ。  　榎本を呼んだのは、青砥純子(戸田恵梨香)でも芹沢豪(佐藤浩市)でもなく、刑事・鴻野(宇梶剛士)だった。榎本の知識や能力を見て協力を依頼したのだ。現場には、現在手がけている買収契"&amp;"約に施工会社が関係していた芹沢と、偶然、榎本と行動をともにしていた純子も集まった。  　遺体発見現場のリビングも、大きく歪んでいた。ドア枠も歪みまともにドアが開閉できない状態だった。窓は完全に施錠されていたため、逃走経路に使えた可能性があるのは廊下側のドアだけだが、歪んだドアを閉めるには内側からある一定の場所を何度も強い力で叩く必要があった。しかし、閉めてしまえば開けることは困難で、仮に殺人だったとしても犯人は部屋に閉じ込められることになる。  　この部屋は密室だったのか、と尋ねる純子に、榎本は部屋にもう"&amp;"ひとつの開口部があるので断定できないと言った。その穴とは、リビングの壁に開けられたエアコンのダクト用の穴だった。その穴を使い、外からドアを閉めることが可能なのか、榎本は考え込み…。")</f>
        <v>榎本径(大野智)は、ある新築の家で起こった死亡事件現場にやってきた。その家は、高校教師・杉崎(新井浩文)が結婚を機に建てたものだが、引き渡し直後に起こった震度4の地震で大きく歪んでしまった。杉崎は施工会社に手抜きだとクレームをつけ、社長の竹本(田窪一世)が補修工事を請け負うことになった。その下見の最中に、竹本が亡くなったのだ。  　榎本を呼んだのは、青砥純子(戸田恵梨香)でも芹沢豪(佐藤浩市)でもなく、刑事・鴻野(宇梶剛士)だった。榎本の知識や能力を見て協力を依頼したのだ。現場には、現在手がけている買収契約に施工会社が関係していた芹沢と、偶然、榎本と行動をともにしていた純子も集まった。  　遺体発見現場のリビングも、大きく歪んでいた。ドア枠も歪みまともにドアが開閉できない状態だった。窓は完全に施錠されていたため、逃走経路に使えた可能性があるのは廊下側のドアだけだが、歪んだドアを閉めるには内側からある一定の場所を何度も強い力で叩く必要があった。しかし、閉めてしまえば開けることは困難で、仮に殺人だったとしても犯人は部屋に閉じ込められることになる。  　この部屋は密室だったのか、と尋ねる純子に、榎本は部屋にもうひとつの開口部があるので断定できないと言った。その穴とは、リビングの壁に開けられたエアコンのダクト用の穴だった。その穴を使い、外からドアを閉めることが可能なのか、榎本は考え込み…。</v>
      </c>
      <c r="N1225" s="2"/>
      <c r="O1225" s="2"/>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row>
    <row r="1226" ht="204.75" customHeight="1">
      <c r="A1226" s="1">
        <v>3811.0</v>
      </c>
      <c r="B1226" s="2" t="s">
        <v>3908</v>
      </c>
      <c r="C1226" s="2">
        <f>IFERROR(__xludf.DUMMYFUNCTION("split(B1226,""_"")"),1204.0)</f>
        <v>1204</v>
      </c>
      <c r="D1226" s="2" t="str">
        <f>IFERROR(__xludf.DUMMYFUNCTION("""COMPUTED_VALUE"""),"CX")</f>
        <v>CX</v>
      </c>
      <c r="E1226" s="2" t="str">
        <f>IFERROR(__xludf.DUMMYFUNCTION("""COMPUTED_VALUE"""),"月21")</f>
        <v>月21</v>
      </c>
      <c r="F1226" s="2" t="s">
        <v>3909</v>
      </c>
      <c r="G1226" s="2" t="s">
        <v>3925</v>
      </c>
      <c r="H1226" s="1">
        <v>6.0</v>
      </c>
      <c r="I1226" s="1" t="s">
        <v>21</v>
      </c>
      <c r="J1226" s="1" t="s">
        <v>11</v>
      </c>
      <c r="K1226" s="2" t="s">
        <v>3926</v>
      </c>
      <c r="L1226" s="2" t="s">
        <v>3927</v>
      </c>
      <c r="M1226" s="2" t="str">
        <f>IFERROR(__xludf.DUMMYFUNCTION("split(split(K1226,""榎本径:　"",false),""公式LINE"",false)"),"榎本径(大野智)は、青砥純子(戸田恵梨香)に誘われて、水城里奈(能年玲奈)が出演する「密室に囚われた男」という舞台を見に来た。  　観劇後、里奈の楽屋を訪ねると劇団員たちが慌ただしい。純子が聞くと、下手の楽屋で薬師寺(山中聡)という役者が頭から血を流して死んでいたという。薬師寺は、演劇の前のパフォーマンスパートに出演していた。死亡した薬師寺のそばには、凶器と思われる木刀と血に染まった「密室に囚われた男」のチラシがあった。  　事件から3日が経ち、容疑者のひとりに劇団員で里奈の恋人の井岡(桐山照史)が浮上し"&amp;"ていた。  　純子から事件のことを聞いた芹沢豪(佐藤浩市)は、榎本を呼べと指示する。  　劇場では、すでに練習が再開されていた。そこにやってきた榎本、純子、里奈を演出の畑山(堀内敬子)、脚本家兼役者の鬼塚(坂本昌行)が迎えるが、無愛想な畑山はどこかへ行ってしまう。純子は、楽屋には上手と下手があるのに、なぜ薬師寺だけが下手にいたのか、と鬼塚に尋ねる。鬼塚はそこが薬師寺専用になっていたと明かした。  　薬師寺の楽屋に行くには、売店があるロビーを通るか、舞台上を横切るしか方法がない。演劇の上演中で、売店にも人が"&amp;"おり、客席にも300人の観客がいるなか、犯人はどうやって密室状態の薬師寺の楽屋に入り殺害したのか。  　純子、芹沢に聞かれた榎本は、この密室は破れないかもしれないと言い…。")</f>
        <v>榎本径(大野智)は、青砥純子(戸田恵梨香)に誘われて、水城里奈(能年玲奈)が出演する「密室に囚われた男」という舞台を見に来た。  　観劇後、里奈の楽屋を訪ねると劇団員たちが慌ただしい。純子が聞くと、下手の楽屋で薬師寺(山中聡)という役者が頭から血を流して死んでいたという。薬師寺は、演劇の前のパフォーマンスパートに出演していた。死亡した薬師寺のそばには、凶器と思われる木刀と血に染まった「密室に囚われた男」のチラシがあった。  　事件から3日が経ち、容疑者のひとりに劇団員で里奈の恋人の井岡(桐山照史)が浮上していた。  　純子から事件のことを聞いた芹沢豪(佐藤浩市)は、榎本を呼べと指示する。  　劇場では、すでに練習が再開されていた。そこにやってきた榎本、純子、里奈を演出の畑山(堀内敬子)、脚本家兼役者の鬼塚(坂本昌行)が迎えるが、無愛想な畑山はどこかへ行ってしまう。純子は、楽屋には上手と下手があるのに、なぜ薬師寺だけが下手にいたのか、と鬼塚に尋ねる。鬼塚はそこが薬師寺専用になっていたと明かした。  　薬師寺の楽屋に行くには、売店があるロビーを通るか、舞台上を横切るしか方法がない。演劇の上演中で、売店にも人がおり、客席にも300人の観客がいるなか、犯人はどうやって密室状態の薬師寺の楽屋に入り殺害したのか。  　純子、芹沢に聞かれた榎本は、この密室は破れないかもしれないと言い…。</v>
      </c>
      <c r="N1226" s="2"/>
      <c r="O1226" s="2"/>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row>
    <row r="1227" ht="204.75" customHeight="1">
      <c r="A1227" s="1">
        <v>3812.0</v>
      </c>
      <c r="B1227" s="2" t="s">
        <v>3908</v>
      </c>
      <c r="C1227" s="2">
        <f>IFERROR(__xludf.DUMMYFUNCTION("split(B1227,""_"")"),1204.0)</f>
        <v>1204</v>
      </c>
      <c r="D1227" s="2" t="str">
        <f>IFERROR(__xludf.DUMMYFUNCTION("""COMPUTED_VALUE"""),"CX")</f>
        <v>CX</v>
      </c>
      <c r="E1227" s="2" t="str">
        <f>IFERROR(__xludf.DUMMYFUNCTION("""COMPUTED_VALUE"""),"月21")</f>
        <v>月21</v>
      </c>
      <c r="F1227" s="2" t="s">
        <v>3909</v>
      </c>
      <c r="G1227" s="2" t="s">
        <v>3928</v>
      </c>
      <c r="H1227" s="1">
        <v>7.0</v>
      </c>
      <c r="I1227" s="1" t="s">
        <v>25</v>
      </c>
      <c r="J1227" s="1" t="s">
        <v>11</v>
      </c>
      <c r="K1227" s="2" t="s">
        <v>3929</v>
      </c>
      <c r="L1227" s="2" t="s">
        <v>3930</v>
      </c>
      <c r="M1227" s="2" t="str">
        <f>IFERROR(__xludf.DUMMYFUNCTION("split(split(K1227,""榎本径:　"",false),""公式LINE"",false)"),"榎本径(大野智)は、青砥純子(戸田恵梨香)に連れられ、築百年の日本家屋にやってきた。案内したのは、家主・西野真之(吉田鋼太郎)の友人・遠藤晴彦(平田満)だ。ここで西野の中学生の長女・愛美(森迫永依)が死亡したが、顔に殴打の跡があったため警察は他殺と断定、第一発見者の西野が容疑者として連行された。西野を知る遠藤は、犯人は別にいると言い、愛美の兄・猛(郭智博)かもしれない、と明かした。猛は以前、同級生をナイフで刺してケガを負わせ、逃走して現在も行方不明のまま。  　現場が密室だったため、遠藤は芹沢豪(佐藤浩市"&amp;")に調査を依頼したが、芹沢が休暇に入ってしまい、純子が榎本と調査に来た。  　榎本は、玄関のドアの特殊な鍵に注目。泥棒とは無縁の田舎には重装備に思えた。合鍵を持つのは西野と愛美だけだが、西野が愛美の遺体を発見した時、玄関は施錠され、愛美の合鍵は室内にあった。鍵なしで外から施錠することはできない上、犯行時刻に近所のリンゴ園で作業中だった女性も、侵入者は見ていない。  　検証を行う榎本に遠藤は、愛美が帰宅時に室内にすでに誰かがいた可能性がある、と言った。電話をしながら帰宅した愛美の通話相手が、愛美が「誰?」と"&amp;"言った後に切れたと証言したからだ。  　玄関以外の逃走経路として考えられるのは、なぜか1つだけ開け放たれた窓のみ。榎本はここから逃走したのなら、あるはずの足跡がない、と指摘し…。")</f>
        <v>榎本径(大野智)は、青砥純子(戸田恵梨香)に連れられ、築百年の日本家屋にやってきた。案内したのは、家主・西野真之(吉田鋼太郎)の友人・遠藤晴彦(平田満)だ。ここで西野の中学生の長女・愛美(森迫永依)が死亡したが、顔に殴打の跡があったため警察は他殺と断定、第一発見者の西野が容疑者として連行された。西野を知る遠藤は、犯人は別にいると言い、愛美の兄・猛(郭智博)かもしれない、と明かした。猛は以前、同級生をナイフで刺してケガを負わせ、逃走して現在も行方不明のまま。  　現場が密室だったため、遠藤は芹沢豪(佐藤浩市)に調査を依頼したが、芹沢が休暇に入ってしまい、純子が榎本と調査に来た。  　榎本は、玄関のドアの特殊な鍵に注目。泥棒とは無縁の田舎には重装備に思えた。合鍵を持つのは西野と愛美だけだが、西野が愛美の遺体を発見した時、玄関は施錠され、愛美の合鍵は室内にあった。鍵なしで外から施錠することはできない上、犯行時刻に近所のリンゴ園で作業中だった女性も、侵入者は見ていない。  　検証を行う榎本に遠藤は、愛美が帰宅時に室内にすでに誰かがいた可能性がある、と言った。電話をしながら帰宅した愛美の通話相手が、愛美が「誰?」と言った後に切れたと証言したからだ。  　玄関以外の逃走経路として考えられるのは、なぜか1つだけ開け放たれた窓のみ。榎本はここから逃走したのなら、あるはずの足跡がない、と指摘し…。</v>
      </c>
      <c r="N1227" s="2"/>
      <c r="O1227" s="2"/>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row>
    <row r="1228" ht="204.75" customHeight="1">
      <c r="A1228" s="1">
        <v>3813.0</v>
      </c>
      <c r="B1228" s="2" t="s">
        <v>3908</v>
      </c>
      <c r="C1228" s="2">
        <f>IFERROR(__xludf.DUMMYFUNCTION("split(B1228,""_"")"),1204.0)</f>
        <v>1204</v>
      </c>
      <c r="D1228" s="2" t="str">
        <f>IFERROR(__xludf.DUMMYFUNCTION("""COMPUTED_VALUE"""),"CX")</f>
        <v>CX</v>
      </c>
      <c r="E1228" s="2" t="str">
        <f>IFERROR(__xludf.DUMMYFUNCTION("""COMPUTED_VALUE"""),"月21")</f>
        <v>月21</v>
      </c>
      <c r="F1228" s="2" t="s">
        <v>3909</v>
      </c>
      <c r="G1228" s="2" t="s">
        <v>3931</v>
      </c>
      <c r="H1228" s="1">
        <v>8.0</v>
      </c>
      <c r="I1228" s="1" t="s">
        <v>29</v>
      </c>
      <c r="J1228" s="1" t="s">
        <v>11</v>
      </c>
      <c r="K1228" s="2" t="s">
        <v>3932</v>
      </c>
      <c r="L1228" s="2" t="s">
        <v>3933</v>
      </c>
      <c r="M1228" s="2" t="str">
        <f>IFERROR(__xludf.DUMMYFUNCTION("split(split(K1228,""榎本径:　"",false),""公式LINE"",false)"),"榎本径(大野智)は、青砥純子(戸田恵梨香)、芹沢豪(佐藤浩市)とともに、遺体となって発見された人気漫画家・中田文恵(渡辺めぐみ)の自宅にやってくる。玄関でまず榎本らを出迎えたのは激しく吠える犬だった。案内した文恵の姪・友香(志田未来)は、この犬は文恵以外の人間が通ると必ず吠えるのだ、と説明した。  文恵には、橘麻美(岩佐真悠子)と安西理佳子(MEGUMI)というアシスタントがいて、自宅兼作業場の文恵の家に毎日通って来ていた。文恵が亡くなった日、麻美は朝から午後5時頃まで仕事をして帰宅、その後、午後10時頃"&amp;"にやってきた理佳子が作業場で死亡している文恵を発見、通報したという。  現場は、玄関とすべての窓に鍵がかかった密室だった。アシスタントは合鍵を持っているが、犬に吠えられずに入室することは不可能だった。近隣住民の証言で、午後5時に麻美が帰宅してから午後10時に理佳子がやって来るまでの間、犬は一度も吠えなかったとわかった。  警察は、酔った文恵が資料につまずいて転倒、その拍子に棚から落下した置物が頭を直撃し死亡したと推定。純子らが友香から話を聞いていると、自分はやっていないと、麻美が入ってきた。その後、庭で犬"&amp;"が吠える声がして、今度は理佳子がやってきた。犬が苦手だという理佳子は、超音波で犬を撃退する道具を持っていた。  別室での検証を終えた榎本は、もうひとつだけ確認したいことがあると言い…。")</f>
        <v>榎本径(大野智)は、青砥純子(戸田恵梨香)、芹沢豪(佐藤浩市)とともに、遺体となって発見された人気漫画家・中田文恵(渡辺めぐみ)の自宅にやってくる。玄関でまず榎本らを出迎えたのは激しく吠える犬だった。案内した文恵の姪・友香(志田未来)は、この犬は文恵以外の人間が通ると必ず吠えるのだ、と説明した。  文恵には、橘麻美(岩佐真悠子)と安西理佳子(MEGUMI)というアシスタントがいて、自宅兼作業場の文恵の家に毎日通って来ていた。文恵が亡くなった日、麻美は朝から午後5時頃まで仕事をして帰宅、その後、午後10時頃にやってきた理佳子が作業場で死亡している文恵を発見、通報したという。  現場は、玄関とすべての窓に鍵がかかった密室だった。アシスタントは合鍵を持っているが、犬に吠えられずに入室することは不可能だった。近隣住民の証言で、午後5時に麻美が帰宅してから午後10時に理佳子がやって来るまでの間、犬は一度も吠えなかったとわかった。  警察は、酔った文恵が資料につまずいて転倒、その拍子に棚から落下した置物が頭を直撃し死亡したと推定。純子らが友香から話を聞いていると、自分はやっていないと、麻美が入ってきた。その後、庭で犬が吠える声がして、今度は理佳子がやってきた。犬が苦手だという理佳子は、超音波で犬を撃退する道具を持っていた。  別室での検証を終えた榎本は、もうひとつだけ確認したいことがあると言い…。</v>
      </c>
      <c r="N1228" s="2"/>
      <c r="O1228" s="2"/>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row>
    <row r="1229" ht="204.75" customHeight="1">
      <c r="A1229" s="1">
        <v>3814.0</v>
      </c>
      <c r="B1229" s="2" t="s">
        <v>3908</v>
      </c>
      <c r="C1229" s="2">
        <f>IFERROR(__xludf.DUMMYFUNCTION("split(B1229,""_"")"),1204.0)</f>
        <v>1204</v>
      </c>
      <c r="D1229" s="2" t="str">
        <f>IFERROR(__xludf.DUMMYFUNCTION("""COMPUTED_VALUE"""),"CX")</f>
        <v>CX</v>
      </c>
      <c r="E1229" s="2" t="str">
        <f>IFERROR(__xludf.DUMMYFUNCTION("""COMPUTED_VALUE"""),"月21")</f>
        <v>月21</v>
      </c>
      <c r="F1229" s="2" t="s">
        <v>3909</v>
      </c>
      <c r="G1229" s="2" t="s">
        <v>3934</v>
      </c>
      <c r="H1229" s="1">
        <v>9.0</v>
      </c>
      <c r="I1229" s="1" t="s">
        <v>33</v>
      </c>
      <c r="J1229" s="1" t="s">
        <v>11</v>
      </c>
      <c r="K1229" s="2" t="s">
        <v>3935</v>
      </c>
      <c r="L1229" s="2" t="s">
        <v>3936</v>
      </c>
      <c r="M1229" s="2" t="str">
        <f>IFERROR(__xludf.DUMMYFUNCTION("split(split(K1229,""榎本径:　"",false),""公式LINE"",false)"),"榎本径(大野智)は、とある貿易会社の事務所で厳重な鍵と防犯カメラを設置していた。同社長室では、榎本の紹介で法律相談を依頼された青砥純子(戸田恵梨香)と芹沢豪(佐藤浩市)が、社長・富樫(岩松了)と対面中。貿易会社社長とは思えない富樫のいかつい風貌に、芹沢は不安を感じる。  取締役・野々垣(哀川翔)が榎本に知り合いのように声をかける様子に驚いた芹沢が聞くと、3日前に会社で副社長が眉間を撃たれて死亡する事件が起き、壊れたドアの鍵を直すため派遣されたのだという。  警察は、事件を自殺と他殺の両方から調べていたが、"&amp;"榎本は、自殺ならこめかみを撃ち抜くのが自然だと話す。他殺の場合の容疑者は、八田(鈴木亮平)という人物だった。八田は事件当時、別の部屋にいたが、銃声を聞き副社長室に走ると副社長が死んでいたと証言した。  数日後、野々垣は事務所から帰ろうと犬山(佐藤祐基)に車を玄関に回すよう命じると、その夜の電話番を担当する八田を呼び止めた。その後、車を回して煙草を吸いながら待っていた犬山から、禁煙中の野々垣が「一本くれ」、と吸い始めた。同僚の坂口(高杉亘)は「さっさと乗れ」と催促するが…と、その時、事務所から銃声が響いた。"&amp;"  中には八田がいるはずだが、中から施錠され開かない。そこで、榎本が呼ばれ鍵を開けることに。室内には変わり果てた姿となった八田とそばには銃が…。それを見た榎本は…。")</f>
        <v>榎本径(大野智)は、とある貿易会社の事務所で厳重な鍵と防犯カメラを設置していた。同社長室では、榎本の紹介で法律相談を依頼された青砥純子(戸田恵梨香)と芹沢豪(佐藤浩市)が、社長・富樫(岩松了)と対面中。貿易会社社長とは思えない富樫のいかつい風貌に、芹沢は不安を感じる。  取締役・野々垣(哀川翔)が榎本に知り合いのように声をかける様子に驚いた芹沢が聞くと、3日前に会社で副社長が眉間を撃たれて死亡する事件が起き、壊れたドアの鍵を直すため派遣されたのだという。  警察は、事件を自殺と他殺の両方から調べていたが、榎本は、自殺ならこめかみを撃ち抜くのが自然だと話す。他殺の場合の容疑者は、八田(鈴木亮平)という人物だった。八田は事件当時、別の部屋にいたが、銃声を聞き副社長室に走ると副社長が死んでいたと証言した。  数日後、野々垣は事務所から帰ろうと犬山(佐藤祐基)に車を玄関に回すよう命じると、その夜の電話番を担当する八田を呼び止めた。その後、車を回して煙草を吸いながら待っていた犬山から、禁煙中の野々垣が「一本くれ」、と吸い始めた。同僚の坂口(高杉亘)は「さっさと乗れ」と催促するが…と、その時、事務所から銃声が響いた。  中には八田がいるはずだが、中から施錠され開かない。そこで、榎本が呼ばれ鍵を開けることに。室内には変わり果てた姿となった八田とそばには銃が…。それを見た榎本は…。</v>
      </c>
      <c r="N1229" s="2"/>
      <c r="O1229" s="2"/>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row>
    <row r="1230" ht="204.75" customHeight="1">
      <c r="A1230" s="1">
        <v>3815.0</v>
      </c>
      <c r="B1230" s="2" t="s">
        <v>3908</v>
      </c>
      <c r="C1230" s="2">
        <f>IFERROR(__xludf.DUMMYFUNCTION("split(B1230,""_"")"),1204.0)</f>
        <v>1204</v>
      </c>
      <c r="D1230" s="2" t="str">
        <f>IFERROR(__xludf.DUMMYFUNCTION("""COMPUTED_VALUE"""),"CX")</f>
        <v>CX</v>
      </c>
      <c r="E1230" s="2" t="str">
        <f>IFERROR(__xludf.DUMMYFUNCTION("""COMPUTED_VALUE"""),"月21")</f>
        <v>月21</v>
      </c>
      <c r="F1230" s="2" t="s">
        <v>3909</v>
      </c>
      <c r="G1230" s="2" t="s">
        <v>3937</v>
      </c>
      <c r="H1230" s="1">
        <v>10.0</v>
      </c>
      <c r="I1230" s="1" t="s">
        <v>37</v>
      </c>
      <c r="J1230" s="1" t="s">
        <v>11</v>
      </c>
      <c r="K1230" s="2" t="s">
        <v>3938</v>
      </c>
      <c r="L1230" s="2" t="s">
        <v>3939</v>
      </c>
      <c r="M1230" s="2" t="str">
        <f>IFERROR(__xludf.DUMMYFUNCTION("split(split(K1230,""榎本径:　"",false),""公式LINE"",false)"),"榎本径(大野智)は、青砥純子(戸田恵梨香)、芹沢豪(佐藤浩市)とともに芹沢が顧問弁護を務める介護サービス会社「ベイリーフ」にやってくる。同社の社長室や役員室が入る会社最上階のセキュリティー強化を依頼されたのだ。社内を調査した榎本は、社長の穎原昭造(佐々木勝彦)らに必要なシステムを説明、後日、工事が行われることとなった。  　ところが数日後、榎本が工事にやってくると、穎原が社長室で死んでいた。連絡を受け駆け付けた純子と芹沢に、穎原の甥で副社長の穎原雅樹(鈴木一真)は、穎原の死因が頭部打撲による脳出血であるこ"&amp;"と、社長室が密室だったことを明かした。刑事の萬田(丸山智己)は、社長室に唯一入出可能だったという理由で専務の久永(中丸新将)を警察署に連行。しかし、久永が犯行を否認したため、芹沢は榎本に事件の調査を依頼した。  榎本が検証を続ける間、純子と芹沢も事件について考察を重ねた。そんなふたりを、ボロボロのスニーカーを履いた男が付け狙っていた。  　やがて、何かに気づいた榎本が、雅樹らにその事実について説明を始めたとき、刑事の鴻野(宇梶剛士)が入ってきた。さらに、窓の外には、掃除用のゴンドラに乗った清掃会社スタッフ"&amp;"の佐藤学(玉木宏)が現れる。上昇するゴンドラから一瞬見えた学は、あのボロボロのスニーカーを履いていた。榎本と佐藤の視線が交錯、この後、榎本は窮地を迎えることになり…。")</f>
        <v>榎本径(大野智)は、青砥純子(戸田恵梨香)、芹沢豪(佐藤浩市)とともに芹沢が顧問弁護を務める介護サービス会社「ベイリーフ」にやってくる。同社の社長室や役員室が入る会社最上階のセキュリティー強化を依頼されたのだ。社内を調査した榎本は、社長の穎原昭造(佐々木勝彦)らに必要なシステムを説明、後日、工事が行われることとなった。  　ところが数日後、榎本が工事にやってくると、穎原が社長室で死んでいた。連絡を受け駆け付けた純子と芹沢に、穎原の甥で副社長の穎原雅樹(鈴木一真)は、穎原の死因が頭部打撲による脳出血であること、社長室が密室だったことを明かした。刑事の萬田(丸山智己)は、社長室に唯一入出可能だったという理由で専務の久永(中丸新将)を警察署に連行。しかし、久永が犯行を否認したため、芹沢は榎本に事件の調査を依頼した。  榎本が検証を続ける間、純子と芹沢も事件について考察を重ねた。そんなふたりを、ボロボロのスニーカーを履いた男が付け狙っていた。  　やがて、何かに気づいた榎本が、雅樹らにその事実について説明を始めたとき、刑事の鴻野(宇梶剛士)が入ってきた。さらに、窓の外には、掃除用のゴンドラに乗った清掃会社スタッフの佐藤学(玉木宏)が現れる。上昇するゴンドラから一瞬見えた学は、あのボロボロのスニーカーを履いていた。榎本と佐藤の視線が交錯、この後、榎本は窮地を迎えることになり…。</v>
      </c>
      <c r="N1230" s="2"/>
      <c r="O1230" s="2"/>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row>
    <row r="1231" ht="204.75" customHeight="1">
      <c r="A1231" s="1">
        <v>3816.0</v>
      </c>
      <c r="B1231" s="2" t="s">
        <v>3908</v>
      </c>
      <c r="C1231" s="2">
        <f>IFERROR(__xludf.DUMMYFUNCTION("split(B1231,""_"")"),1204.0)</f>
        <v>1204</v>
      </c>
      <c r="D1231" s="2" t="str">
        <f>IFERROR(__xludf.DUMMYFUNCTION("""COMPUTED_VALUE"""),"CX")</f>
        <v>CX</v>
      </c>
      <c r="E1231" s="2" t="str">
        <f>IFERROR(__xludf.DUMMYFUNCTION("""COMPUTED_VALUE"""),"月21")</f>
        <v>月21</v>
      </c>
      <c r="F1231" s="2" t="s">
        <v>3909</v>
      </c>
      <c r="G1231" s="2" t="s">
        <v>3940</v>
      </c>
      <c r="H1231" s="1">
        <v>11.0</v>
      </c>
      <c r="I1231" s="1" t="s">
        <v>41</v>
      </c>
      <c r="J1231" s="1" t="s">
        <v>4</v>
      </c>
      <c r="K1231" s="2" t="s">
        <v>3941</v>
      </c>
      <c r="L1231" s="2" t="s">
        <v>3942</v>
      </c>
      <c r="M1231" s="2" t="str">
        <f>IFERROR(__xludf.DUMMYFUNCTION("split(split(K1231,""榎本径:　"",false),""公式LINE"",false)"),"榎本径(大野智)が不在の中、青砥純子(戸田恵梨香)と芹沢豪(佐藤浩市)は事件の検証を行う。そして、榎本は犯人ではない、と純子が断言したとき、榎本が釈放されたと連絡が入る。専務の久永(中丸新将)が犯行を自認したからだ。拘置所で純子と接見した久永は、睡眠中の無意識のうちに社長を殺害したのかもしれない、と弱気になっていた。  　その後、榎本は、副社長の穎原(えばら)雅樹(鈴木一真)らに、社長が狙撃事件を自作自演したのは、社長室に隠した何かを守るため、窓を防弾ガラスに交換させたかったからだろう、と話す。  　榎本"&amp;"は、自分のことを通報した犯人が自分と社長との因縁を知ったのは、社長室での純子との会話を盗聴していたからだと推測。そんなことが可能な人物は誰か、考えを巡らせた榎本は、第一発見者の窓拭きのスタッフ・佐藤学(玉木宏)に会いたいと雅樹に申し出た。  　やがて榎本と純子の前に佐藤がやってくる。純子は佐藤に、社長が倒れていた場所を尋ねた。佐藤がキャビネットの方を指すと、榎本は窓の外からだとそこは見えないはずだと指摘。佐藤は「ゴンドラが上がったときに見えた」と証言した。  　そんなとき芹沢からの電話で純子が退室。榎本と"&amp;"2人きりになった佐藤は、社長室にいる違和感を口にした。自分はガラス越しに眺めることしかできない存在だ、と話す佐藤。そして、あなたも自分と同じ側の人間だろう、と榎本の様子をうかがい…。")</f>
        <v>榎本径(大野智)が不在の中、青砥純子(戸田恵梨香)と芹沢豪(佐藤浩市)は事件の検証を行う。そして、榎本は犯人ではない、と純子が断言したとき、榎本が釈放されたと連絡が入る。専務の久永(中丸新将)が犯行を自認したからだ。拘置所で純子と接見した久永は、睡眠中の無意識のうちに社長を殺害したのかもしれない、と弱気になっていた。  　その後、榎本は、副社長の穎原(えばら)雅樹(鈴木一真)らに、社長が狙撃事件を自作自演したのは、社長室に隠した何かを守るため、窓を防弾ガラスに交換させたかったからだろう、と話す。  　榎本は、自分のことを通報した犯人が自分と社長との因縁を知ったのは、社長室での純子との会話を盗聴していたからだと推測。そんなことが可能な人物は誰か、考えを巡らせた榎本は、第一発見者の窓拭きのスタッフ・佐藤学(玉木宏)に会いたいと雅樹に申し出た。  　やがて榎本と純子の前に佐藤がやってくる。純子は佐藤に、社長が倒れていた場所を尋ねた。佐藤がキャビネットの方を指すと、榎本は窓の外からだとそこは見えないはずだと指摘。佐藤は「ゴンドラが上がったときに見えた」と証言した。  　そんなとき芹沢からの電話で純子が退室。榎本と2人きりになった佐藤は、社長室にいる違和感を口にした。自分はガラス越しに眺めることしかできない存在だ、と話す佐藤。そして、あなたも自分と同じ側の人間だろう、と榎本の様子をうかがい…。</v>
      </c>
      <c r="N1231" s="2"/>
      <c r="O1231" s="2"/>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row>
    <row r="1232" ht="204.75" customHeight="1">
      <c r="A1232" s="1">
        <v>3817.0</v>
      </c>
      <c r="B1232" s="2" t="s">
        <v>3943</v>
      </c>
      <c r="C1232" s="2">
        <f>IFERROR(__xludf.DUMMYFUNCTION("split(B1232,""_"")"),1204.0)</f>
        <v>1204</v>
      </c>
      <c r="D1232" s="2" t="str">
        <f>IFERROR(__xludf.DUMMYFUNCTION("""COMPUTED_VALUE"""),"CX")</f>
        <v>CX</v>
      </c>
      <c r="E1232" s="2" t="str">
        <f>IFERROR(__xludf.DUMMYFUNCTION("""COMPUTED_VALUE"""),"火21")</f>
        <v>火21</v>
      </c>
      <c r="F1232" s="2" t="s">
        <v>3944</v>
      </c>
      <c r="G1232" s="2" t="s">
        <v>3945</v>
      </c>
      <c r="H1232" s="1">
        <v>1.0</v>
      </c>
      <c r="I1232" s="1" t="s">
        <v>3</v>
      </c>
      <c r="J1232" s="1" t="s">
        <v>4</v>
      </c>
      <c r="K1232" s="4" t="s">
        <v>3946</v>
      </c>
      <c r="L1232" s="2" t="s">
        <v>3947</v>
      </c>
      <c r="M1232" s="2" t="str">
        <f>IFERROR(__xludf.DUMMYFUNCTION("split(split(K1232,""堺雅人　"",false),""公式LINE"",false)"),"報酬さえもらえば、どんな裁判も勝ち取ると公言する弁護士・古美門研介(堺雅人)。そんな彼に、正義感だけは人一倍強い弁護士・黛真知子(新垣結衣)が出会う。  　三木長一郎(生瀬勝久)の法律事務所で働く黛は、殺人の罪に問われた坪倉裕一(中村蒼)を弁護するが敗訴。判決が不当と信じる黛は控訴したいが、三木に反対される。納得できない黛に声をかけたのは秘書の沢地君江(小池栄子)。沢地は、かつて三木法律事務所に在籍した古美門に相談するよう黛を促した。  　黛が訪ねた古美門法律事務所は豪華な民家。黛を迎えた、事務員とは思え"&amp;"ない物腰の服部(里見浩太朗)、部屋の調度品など、とても弁護士事務所とは思えない。肝心の古美門もバイオリンを弾きながら現れた。黛は古美門を見て、数日前、電車で会った不愉快な男だと気づく。古美門も思い出したため、黛の相談を受けようとしない。それでも坪倉の事情を説明する黛に、古美門は弁護費用3000万円を突きつける。さらに相談料まで要求されたため、黛は腹を立てて帰ってしまう。  　三木法律事務所に戻った黛は、沢地から古美門の詳細を聞く。古美門は最低の人間だが弁護能力は抜群で、無敗記録を続けていた。だが、金になる"&amp;"案件を選び、強引に勝ちに持ち込む手法は三木と対立し、古美門は三木法律事務所から追い出されたそうだ。  　そんな話を聞いた黛だが、次の日、3000万円を用意して古美門の事務所へ…。")</f>
        <v>報酬さえもらえば、どんな裁判も勝ち取ると公言する弁護士・古美門研介(堺雅人)。そんな彼に、正義感だけは人一倍強い弁護士・黛真知子(新垣結衣)が出会う。  　三木長一郎(生瀬勝久)の法律事務所で働く黛は、殺人の罪に問われた坪倉裕一(中村蒼)を弁護するが敗訴。判決が不当と信じる黛は控訴したいが、三木に反対される。納得できない黛に声をかけたのは秘書の沢地君江(小池栄子)。沢地は、かつて三木法律事務所に在籍した古美門に相談するよう黛を促した。  　黛が訪ねた古美門法律事務所は豪華な民家。黛を迎えた、事務員とは思えない物腰の服部(里見浩太朗)、部屋の調度品など、とても弁護士事務所とは思えない。肝心の古美門もバイオリンを弾きながら現れた。黛は古美門を見て、数日前、電車で会った不愉快な男だと気づく。古美門も思い出したため、黛の相談を受けようとしない。それでも坪倉の事情を説明する黛に、古美門は弁護費用3000万円を突きつける。さらに相談料まで要求されたため、黛は腹を立てて帰ってしまう。  　三木法律事務所に戻った黛は、沢地から古美門の詳細を聞く。古美門は最低の人間だが弁護能力は抜群で、無敗記録を続けていた。だが、金になる案件を選び、強引に勝ちに持ち込む手法は三木と対立し、古美門は三木法律事務所から追い出されたそうだ。  　そんな話を聞いた黛だが、次の日、3000万円を用意して古美門の事務所へ…。</v>
      </c>
      <c r="N1232" s="2"/>
      <c r="O1232" s="2"/>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row>
    <row r="1233" ht="204.75" customHeight="1">
      <c r="A1233" s="1">
        <v>3818.0</v>
      </c>
      <c r="B1233" s="2" t="s">
        <v>3943</v>
      </c>
      <c r="C1233" s="2">
        <f>IFERROR(__xludf.DUMMYFUNCTION("split(B1233,""_"")"),1204.0)</f>
        <v>1204</v>
      </c>
      <c r="D1233" s="2" t="str">
        <f>IFERROR(__xludf.DUMMYFUNCTION("""COMPUTED_VALUE"""),"CX")</f>
        <v>CX</v>
      </c>
      <c r="E1233" s="2" t="str">
        <f>IFERROR(__xludf.DUMMYFUNCTION("""COMPUTED_VALUE"""),"火21")</f>
        <v>火21</v>
      </c>
      <c r="F1233" s="2" t="s">
        <v>3944</v>
      </c>
      <c r="G1233" s="2" t="s">
        <v>3948</v>
      </c>
      <c r="H1233" s="1">
        <v>2.0</v>
      </c>
      <c r="I1233" s="1" t="s">
        <v>7</v>
      </c>
      <c r="J1233" s="1" t="s">
        <v>11</v>
      </c>
      <c r="K1233" s="2" t="s">
        <v>3949</v>
      </c>
      <c r="L1233" s="2" t="s">
        <v>3950</v>
      </c>
      <c r="M1233" s="2" t="str">
        <f>IFERROR(__xludf.DUMMYFUNCTION("split(split(K1233,""堺雅人　"",false),""公式LINE"",false)"),"古美門研介(堺雅人)は因縁のある古巣の法律事務所のトップ、三木長一郎(生瀬勝久)を怒らせ、収入のほぼ全てを依存していた大手クライアントを失う。さらに古美門の事務所には三木のもとで働いていた黛真知子(新垣結衣)が移籍して来た。  　黛が仕事を持ち帰る。著作権侵害という、勝てば金になる訴訟に期待を寄せる古美門だが、事務所にやって来たのはパンクロッカーの荒川ボニータ(福田沙紀)とジャンゴジャンゴ東久留米(窪田正孝)。2人はダブルミリオンに迫る勢いの大ヒット曲で、柊しずか(友近)が歌う『あれは恋でした』が、自分た"&amp;"ちが作った曲の盗作だと言う。  　とりあえず、ボニータたちのライブで問題の曲を聴く古美門と黛。激しいパンクに顔をしかめる古美門に対して、ノリノリの黛は、確かに『あれは恋でした』がボニータたちの曲の盗作だと言い出す。  　事務所に戻り、報酬を尋ねる古美門に自分たちが出せるのは3万円ぐらいと答えるボニータ。話にならないと言う古美門に、服部(里見浩太朗)が裁判になれば柊しずかに会えるかもしれないと囁く。すると、しずかファンの古美門は着手金はいらないと手のひら返し。ただし、訴訟で勝った場合は賠償金の半額を報酬にも"&amp;"らうと引き受けることにした。  　訴訟の対象となるのは『あれは恋でした』を書いた葛西サトシ(鶴見辰吾)で、顧問弁護は三木法律事務所。しかも、裁判には三木が自ら乗り出して来る。")</f>
        <v>古美門研介(堺雅人)は因縁のある古巣の法律事務所のトップ、三木長一郎(生瀬勝久)を怒らせ、収入のほぼ全てを依存していた大手クライアントを失う。さらに古美門の事務所には三木のもとで働いていた黛真知子(新垣結衣)が移籍して来た。  　黛が仕事を持ち帰る。著作権侵害という、勝てば金になる訴訟に期待を寄せる古美門だが、事務所にやって来たのはパンクロッカーの荒川ボニータ(福田沙紀)とジャンゴジャンゴ東久留米(窪田正孝)。2人はダブルミリオンに迫る勢いの大ヒット曲で、柊しずか(友近)が歌う『あれは恋でした』が、自分たちが作った曲の盗作だと言う。  　とりあえず、ボニータたちのライブで問題の曲を聴く古美門と黛。激しいパンクに顔をしかめる古美門に対して、ノリノリの黛は、確かに『あれは恋でした』がボニータたちの曲の盗作だと言い出す。  　事務所に戻り、報酬を尋ねる古美門に自分たちが出せるのは3万円ぐらいと答えるボニータ。話にならないと言う古美門に、服部(里見浩太朗)が裁判になれば柊しずかに会えるかもしれないと囁く。すると、しずかファンの古美門は着手金はいらないと手のひら返し。ただし、訴訟で勝った場合は賠償金の半額を報酬にもらうと引き受けることにした。  　訴訟の対象となるのは『あれは恋でした』を書いた葛西サトシ(鶴見辰吾)で、顧問弁護は三木法律事務所。しかも、裁判には三木が自ら乗り出して来る。</v>
      </c>
      <c r="N1233" s="2"/>
      <c r="O1233" s="2"/>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row>
    <row r="1234" ht="204.75" customHeight="1">
      <c r="A1234" s="1">
        <v>3819.0</v>
      </c>
      <c r="B1234" s="2" t="s">
        <v>3943</v>
      </c>
      <c r="C1234" s="2">
        <f>IFERROR(__xludf.DUMMYFUNCTION("split(B1234,""_"")"),1204.0)</f>
        <v>1204</v>
      </c>
      <c r="D1234" s="2" t="str">
        <f>IFERROR(__xludf.DUMMYFUNCTION("""COMPUTED_VALUE"""),"CX")</f>
        <v>CX</v>
      </c>
      <c r="E1234" s="2" t="str">
        <f>IFERROR(__xludf.DUMMYFUNCTION("""COMPUTED_VALUE"""),"火21")</f>
        <v>火21</v>
      </c>
      <c r="F1234" s="2" t="s">
        <v>3944</v>
      </c>
      <c r="G1234" s="2" t="s">
        <v>3951</v>
      </c>
      <c r="H1234" s="1">
        <v>3.0</v>
      </c>
      <c r="I1234" s="1" t="s">
        <v>10</v>
      </c>
      <c r="J1234" s="1" t="s">
        <v>11</v>
      </c>
      <c r="K1234" s="2" t="s">
        <v>3952</v>
      </c>
      <c r="L1234" s="2" t="s">
        <v>3953</v>
      </c>
      <c r="M1234" s="2" t="str">
        <f>IFERROR(__xludf.DUMMYFUNCTION("split(split(K1234,""堺雅人　"",false),""公式LINE"",false)"),"古美門研介(堺雅人)の事務所に、テレビのドキュメンタリー番組の取材が入った。古美門はカメラ映りを気にしたり、自分のスマートさだけを撮ってもらいたい様子。そのため、黛真知子(新垣結衣)が持ち込んだ国選弁護の話になど見向きもしない。黛はひとりで、ストーカー規制法違反で訴えられた榎戸信也(永山絢斗)の弁護をすることになる。しかし、古美門も番組ディレクターから訴訟に取り組む様子を撮影したいと頼まれた。黛を手伝う気もなく、さりとて当面、仕事の予定のない古美門。すると、助け舟を出すように服部(里見浩太朗)が、弁護士会"&amp;"からの依頼を話す。  　榎戸は黛に、なかなか思っていることを打ち明けようとしない。仕方なく弁護方針を減刑に持ち込もうとする黛。裁判で原告側につく検察官は、黛が法科大学院時代に教壇に立ったことのある相沢秀臣(東根作寿英)。黛は相沢に、ある思いを秘めていた。  　一方、服部が古美門に持ち込んだのは、汚い野次で球場から強制退去させられたことに怒る望月ミドリ(阿知波悟美)が訴える、球団への賠償請求。なんとも勝ち目のなさそうな訴えだが、古美門は余裕しゃくしゃく。球団側の弁護についた三木長一郎(生瀬勝久)は、若手の井"&amp;"手孝雄(矢野聖人)を古美門にぶつけてきた。  　初公判では、榎戸が突然無罪を主張したことで黛は混乱。反対にミドリを弁護する古美門は、法廷でお得意の弁舌を繰り広げ始めた。")</f>
        <v>古美門研介(堺雅人)の事務所に、テレビのドキュメンタリー番組の取材が入った。古美門はカメラ映りを気にしたり、自分のスマートさだけを撮ってもらいたい様子。そのため、黛真知子(新垣結衣)が持ち込んだ国選弁護の話になど見向きもしない。黛はひとりで、ストーカー規制法違反で訴えられた榎戸信也(永山絢斗)の弁護をすることになる。しかし、古美門も番組ディレクターから訴訟に取り組む様子を撮影したいと頼まれた。黛を手伝う気もなく、さりとて当面、仕事の予定のない古美門。すると、助け舟を出すように服部(里見浩太朗)が、弁護士会からの依頼を話す。  　榎戸は黛に、なかなか思っていることを打ち明けようとしない。仕方なく弁護方針を減刑に持ち込もうとする黛。裁判で原告側につく検察官は、黛が法科大学院時代に教壇に立ったことのある相沢秀臣(東根作寿英)。黛は相沢に、ある思いを秘めていた。  　一方、服部が古美門に持ち込んだのは、汚い野次で球場から強制退去させられたことに怒る望月ミドリ(阿知波悟美)が訴える、球団への賠償請求。なんとも勝ち目のなさそうな訴えだが、古美門は余裕しゃくしゃく。球団側の弁護についた三木長一郎(生瀬勝久)は、若手の井手孝雄(矢野聖人)を古美門にぶつけてきた。  　初公判では、榎戸が突然無罪を主張したことで黛は混乱。反対にミドリを弁護する古美門は、法廷でお得意の弁舌を繰り広げ始めた。</v>
      </c>
      <c r="N1234" s="2"/>
      <c r="O1234" s="2"/>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row>
    <row r="1235" ht="204.75" customHeight="1">
      <c r="A1235" s="1">
        <v>3820.0</v>
      </c>
      <c r="B1235" s="2" t="s">
        <v>3943</v>
      </c>
      <c r="C1235" s="2">
        <f>IFERROR(__xludf.DUMMYFUNCTION("split(B1235,""_"")"),1204.0)</f>
        <v>1204</v>
      </c>
      <c r="D1235" s="2" t="str">
        <f>IFERROR(__xludf.DUMMYFUNCTION("""COMPUTED_VALUE"""),"CX")</f>
        <v>CX</v>
      </c>
      <c r="E1235" s="2" t="str">
        <f>IFERROR(__xludf.DUMMYFUNCTION("""COMPUTED_VALUE"""),"火21")</f>
        <v>火21</v>
      </c>
      <c r="F1235" s="2" t="s">
        <v>3944</v>
      </c>
      <c r="G1235" s="2" t="s">
        <v>3954</v>
      </c>
      <c r="H1235" s="1">
        <v>4.0</v>
      </c>
      <c r="I1235" s="1" t="s">
        <v>14</v>
      </c>
      <c r="J1235" s="1" t="s">
        <v>11</v>
      </c>
      <c r="K1235" s="2" t="s">
        <v>3955</v>
      </c>
      <c r="L1235" s="2" t="s">
        <v>3956</v>
      </c>
      <c r="M1235" s="2" t="str">
        <f>IFERROR(__xludf.DUMMYFUNCTION("split(split(K1235,""堺雅人　"",false),""公式LINE"",false)"),"昼寝中の古美門研介(堺雅人)に、黛真知子(新垣結衣)が持ち込んだのは、日照権を巡る訴訟。近くに建設中の高層マンションのために、自宅が日陰になるという主婦、桑田久美子(村井美樹)の訴えだ。相変わらず、黛の案件に興味を示さない古美門。そんな時、久美子から町内会で弁護士を立てることになったと黛に断りの連絡が入った。  　翌日、黛が事務所に行くと、金になる仕事が入ったと古美門に連れ出される。向かった先は、建設会社。黛には聞き覚えのある会社名。それは久美子が訴えようとしていた建設会社だった。会社の依頼は、まさしく久"&amp;"美子の町内会から訴えられた工事差し止め請求。町内会が選んだ弁護士が、この手の訴訟のプロで企業から多額の賠償金を勝ち取ることで有名な大貫善三(大和田伸也)だった。そのため、多少の費用はかかっても連勝中の古美門に声がかかったのだ。  　黛は久美子の話に親身になっていたため、依頼を引き受ける古美門に文句たらたら。一方、会社側から示談での解決を求められた古美門は、黛を引き連れて住民説明会へ赴く。早速、住民代表の大貫とぶつかり合う古美門。裁判で決着をつけようと言う大貫に、古美門はクライアント無視で応じてしまう。  "&amp;"　ところが、翌日大貫が古美門を訪ねてきて示談に応じると言い出す。大貫の示談金、一世帯当たり500万円の提示に、古美門は5千円で応酬。古美門と大貫。大物弁護士の示談対決は本番に入る。")</f>
        <v>昼寝中の古美門研介(堺雅人)に、黛真知子(新垣結衣)が持ち込んだのは、日照権を巡る訴訟。近くに建設中の高層マンションのために、自宅が日陰になるという主婦、桑田久美子(村井美樹)の訴えだ。相変わらず、黛の案件に興味を示さない古美門。そんな時、久美子から町内会で弁護士を立てることになったと黛に断りの連絡が入った。  　翌日、黛が事務所に行くと、金になる仕事が入ったと古美門に連れ出される。向かった先は、建設会社。黛には聞き覚えのある会社名。それは久美子が訴えようとしていた建設会社だった。会社の依頼は、まさしく久美子の町内会から訴えられた工事差し止め請求。町内会が選んだ弁護士が、この手の訴訟のプロで企業から多額の賠償金を勝ち取ることで有名な大貫善三(大和田伸也)だった。そのため、多少の費用はかかっても連勝中の古美門に声がかかったのだ。  　黛は久美子の話に親身になっていたため、依頼を引き受ける古美門に文句たらたら。一方、会社側から示談での解決を求められた古美門は、黛を引き連れて住民説明会へ赴く。早速、住民代表の大貫とぶつかり合う古美門。裁判で決着をつけようと言う大貫に、古美門はクライアント無視で応じてしまう。  　ところが、翌日大貫が古美門を訪ねてきて示談に応じると言い出す。大貫の示談金、一世帯当たり500万円の提示に、古美門は5千円で応酬。古美門と大貫。大物弁護士の示談対決は本番に入る。</v>
      </c>
      <c r="N1235" s="2"/>
      <c r="O1235" s="2"/>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row>
    <row r="1236" ht="204.75" customHeight="1">
      <c r="A1236" s="1">
        <v>3821.0</v>
      </c>
      <c r="B1236" s="2" t="s">
        <v>3943</v>
      </c>
      <c r="C1236" s="2">
        <f>IFERROR(__xludf.DUMMYFUNCTION("split(B1236,""_"")"),1204.0)</f>
        <v>1204</v>
      </c>
      <c r="D1236" s="2" t="str">
        <f>IFERROR(__xludf.DUMMYFUNCTION("""COMPUTED_VALUE"""),"CX")</f>
        <v>CX</v>
      </c>
      <c r="E1236" s="2" t="str">
        <f>IFERROR(__xludf.DUMMYFUNCTION("""COMPUTED_VALUE"""),"火21")</f>
        <v>火21</v>
      </c>
      <c r="F1236" s="2" t="s">
        <v>3944</v>
      </c>
      <c r="G1236" s="2" t="s">
        <v>3957</v>
      </c>
      <c r="H1236" s="1">
        <v>5.0</v>
      </c>
      <c r="I1236" s="1" t="s">
        <v>17</v>
      </c>
      <c r="J1236" s="1" t="s">
        <v>11</v>
      </c>
      <c r="K1236" s="2" t="s">
        <v>3958</v>
      </c>
      <c r="L1236" s="2" t="s">
        <v>3959</v>
      </c>
      <c r="M1236" s="2" t="str">
        <f>IFERROR(__xludf.DUMMYFUNCTION("split(split(K1236,""堺雅人　"",false),""公式LINE"",false)"),"古美門(堺雅人)と黛(新垣結衣)は、収賄罪で実刑2年5カ月の有罪判決を受けた大物政治家・富樫逸雄(江守徹)から、弁護の依頼を受ける。これまで富樫の窮地を何度も救ってきた彼自慢の国内最強弁護士軍団をして、控訴して確実に勝つ自信がないと言った難しい案件だ。高い報酬を得ることができれば仕事を選ばない古美門も、即答できず考える時間が欲しいと答える。  　正義感が強く、政治家に良い印象を持っていない黛の反対をよそに、古美門は富樫弁護に向けた検討に入る。富樫の収賄事件は、過去に購入したビルの代金が出所不明ということに"&amp;"端を発していた。検察は企業からの不正献金だとして富樫の周辺を捜索し、徹底的に差し押さえを行ったが、金庫番の秘書・浅井信司(藤井宏之)の自殺によって事件は迷宮入りと目されていた。しかし、浅井の部屋から献金を示すメモが発見されたことから、観念した富樫の秘書たちが次々と口を割り、富樫は有罪に追い込まれていた。  　黛は、献金を示すメモと秘書の証言という決定的な物証があり、有罪判決を覆すことは難しいと進言するが、古美門は過去に何度も富樫を有罪にしようとしてできなかった検察が、今回に限ってガードの堅い富樫から、簡単"&amp;"に証拠と証言をつかめたことに違和感を抱く。思い立ったらすぐに行動に移す古美門は、特捜部のエース・辰巳史郎(津田寛治)のもとを訪ねる・・・。")</f>
        <v>古美門(堺雅人)と黛(新垣結衣)は、収賄罪で実刑2年5カ月の有罪判決を受けた大物政治家・富樫逸雄(江守徹)から、弁護の依頼を受ける。これまで富樫の窮地を何度も救ってきた彼自慢の国内最強弁護士軍団をして、控訴して確実に勝つ自信がないと言った難しい案件だ。高い報酬を得ることができれば仕事を選ばない古美門も、即答できず考える時間が欲しいと答える。  　正義感が強く、政治家に良い印象を持っていない黛の反対をよそに、古美門は富樫弁護に向けた検討に入る。富樫の収賄事件は、過去に購入したビルの代金が出所不明ということに端を発していた。検察は企業からの不正献金だとして富樫の周辺を捜索し、徹底的に差し押さえを行ったが、金庫番の秘書・浅井信司(藤井宏之)の自殺によって事件は迷宮入りと目されていた。しかし、浅井の部屋から献金を示すメモが発見されたことから、観念した富樫の秘書たちが次々と口を割り、富樫は有罪に追い込まれていた。  　黛は、献金を示すメモと秘書の証言という決定的な物証があり、有罪判決を覆すことは難しいと進言するが、古美門は過去に何度も富樫を有罪にしようとしてできなかった検察が、今回に限ってガードの堅い富樫から、簡単に証拠と証言をつかめたことに違和感を抱く。思い立ったらすぐに行動に移す古美門は、特捜部のエース・辰巳史郎(津田寛治)のもとを訪ねる・・・。</v>
      </c>
      <c r="N1236" s="2"/>
      <c r="O1236" s="2"/>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row>
    <row r="1237" ht="204.75" customHeight="1">
      <c r="A1237" s="1">
        <v>3822.0</v>
      </c>
      <c r="B1237" s="2" t="s">
        <v>3943</v>
      </c>
      <c r="C1237" s="2">
        <f>IFERROR(__xludf.DUMMYFUNCTION("split(B1237,""_"")"),1204.0)</f>
        <v>1204</v>
      </c>
      <c r="D1237" s="2" t="str">
        <f>IFERROR(__xludf.DUMMYFUNCTION("""COMPUTED_VALUE"""),"CX")</f>
        <v>CX</v>
      </c>
      <c r="E1237" s="2" t="str">
        <f>IFERROR(__xludf.DUMMYFUNCTION("""COMPUTED_VALUE"""),"火21")</f>
        <v>火21</v>
      </c>
      <c r="F1237" s="2" t="s">
        <v>3944</v>
      </c>
      <c r="G1237" s="2" t="s">
        <v>3960</v>
      </c>
      <c r="H1237" s="1">
        <v>6.0</v>
      </c>
      <c r="I1237" s="1" t="s">
        <v>21</v>
      </c>
      <c r="J1237" s="1" t="s">
        <v>11</v>
      </c>
      <c r="K1237" s="2" t="s">
        <v>3961</v>
      </c>
      <c r="L1237" s="2" t="s">
        <v>3962</v>
      </c>
      <c r="M1237" s="2" t="str">
        <f>IFERROR(__xludf.DUMMYFUNCTION("split(split(K1237,""堺雅人　"",false),""公式LINE"",false)"),"「2012ロンドンオリンピックバレーボール世界最終予選　女子　日本×タイ」延長の際、放送時間繰り下げの場合あり。　古美門(堺雅人)、黛(新垣結衣)、服部(里見浩太朗)がテレビを見ていると、芥川賞受賞作家の神林彬(鈴木一真)と、フリーキャスターの岡崎安奈(青山倫子)が出演しているトーク番組が流れる。2人は、「理想の夫婦ランキング」で1位を獲得するほど「おしどり夫婦」として有名。黛も、2人のことをお互い自立し、尊重し合い、支え合っている、自分にとって理想の夫婦像と語るが、古美門は結婚には理想など無いとつれない"&amp;"。　結婚をテーマに、いつも通りの古美門と黛の口論が盛り上がる中、1本の電話がかかってくる。タイムリーに、離婚調停の相談だったが、依頼者はなんと神林だった。事務所を訪れた神林は、妻の安奈にガラス製の置物で殴られたという左手の傷を見せながら、結婚生活は既に破綻しており、性格異常者の安奈と別れたいと切り出す。  　一方、安奈も離婚調停の相談をしていた。彼女が、相談を持ちかけたのは三木(生瀬勝久)だった。安奈の主張は、当然のことながら、神林が古美門に打ち明けた内容とはまるで逆で、彼女は神林の女遊びやDVに絶えきれ"&amp;"ず離婚をしたいと三木に訴える。  　痴話げんかの仲裁に興味はないとして、依頼を受けることに消極的な古美門。服部に諭され、神林の弁護を決心したものの、安奈を弁護するために三木が用意した主任弁護士は古美門の謎に満ちた過去に関係のある最悪な人物だった・・・。")</f>
        <v>「2012ロンドンオリンピックバレーボール世界最終予選　女子　日本×タイ」延長の際、放送時間繰り下げの場合あり。　古美門(堺雅人)、黛(新垣結衣)、服部(里見浩太朗)がテレビを見ていると、芥川賞受賞作家の神林彬(鈴木一真)と、フリーキャスターの岡崎安奈(青山倫子)が出演しているトーク番組が流れる。2人は、「理想の夫婦ランキング」で1位を獲得するほど「おしどり夫婦」として有名。黛も、2人のことをお互い自立し、尊重し合い、支え合っている、自分にとって理想の夫婦像と語るが、古美門は結婚には理想など無いとつれない。　結婚をテーマに、いつも通りの古美門と黛の口論が盛り上がる中、1本の電話がかかってくる。タイムリーに、離婚調停の相談だったが、依頼者はなんと神林だった。事務所を訪れた神林は、妻の安奈にガラス製の置物で殴られたという左手の傷を見せながら、結婚生活は既に破綻しており、性格異常者の安奈と別れたいと切り出す。  　一方、安奈も離婚調停の相談をしていた。彼女が、相談を持ちかけたのは三木(生瀬勝久)だった。安奈の主張は、当然のことながら、神林が古美門に打ち明けた内容とはまるで逆で、彼女は神林の女遊びやDVに絶えきれず離婚をしたいと三木に訴える。  　痴話げんかの仲裁に興味はないとして、依頼を受けることに消極的な古美門。服部に諭され、神林の弁護を決心したものの、安奈を弁護するために三木が用意した主任弁護士は古美門の謎に満ちた過去に関係のある最悪な人物だった・・・。</v>
      </c>
      <c r="N1237" s="2"/>
      <c r="O1237" s="2"/>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row>
    <row r="1238" ht="204.75" customHeight="1">
      <c r="A1238" s="1">
        <v>3823.0</v>
      </c>
      <c r="B1238" s="2" t="s">
        <v>3943</v>
      </c>
      <c r="C1238" s="2">
        <f>IFERROR(__xludf.DUMMYFUNCTION("split(B1238,""_"")"),1204.0)</f>
        <v>1204</v>
      </c>
      <c r="D1238" s="2" t="str">
        <f>IFERROR(__xludf.DUMMYFUNCTION("""COMPUTED_VALUE"""),"CX")</f>
        <v>CX</v>
      </c>
      <c r="E1238" s="2" t="str">
        <f>IFERROR(__xludf.DUMMYFUNCTION("""COMPUTED_VALUE"""),"火21")</f>
        <v>火21</v>
      </c>
      <c r="F1238" s="2" t="s">
        <v>3944</v>
      </c>
      <c r="G1238" s="2" t="s">
        <v>3963</v>
      </c>
      <c r="H1238" s="1">
        <v>7.0</v>
      </c>
      <c r="I1238" s="1" t="s">
        <v>25</v>
      </c>
      <c r="J1238" s="1" t="s">
        <v>11</v>
      </c>
      <c r="K1238" s="2" t="s">
        <v>3964</v>
      </c>
      <c r="L1238" s="2" t="s">
        <v>3965</v>
      </c>
      <c r="M1238" s="2" t="str">
        <f>IFERROR(__xludf.DUMMYFUNCTION("split(split(K1238,""堺雅人　"",false),""公式LINE"",false)"),"古美門(堺雅人)と黛(新垣結衣)のもとに、地方企業の徳松醤油から遺産相続訴訟の依頼が舞い込む。亡くなったのは徳松醤油社長の徳松嘉平(菅登未男)。嘉平のもとで働いていた黛のいとこ・千春(木南晴夏)からの依頼だ。徳松醤油は辺ぴな片田舎にあり、古美門は現地に赴くことを固辞するものの、報酬目当てに結局行くことに。さらに、その話を聞いていた服部(里見浩太朗)も、休暇をとって彼らと共に徳松醤油に向かう。  　現地で、徳松醤油代表取締役の徳松紀介(丸山智己)から至れり尽くせりの歓待を受ける3人。紀介の話によると、亡くな"&amp;"った嘉平には、長男の泰平(皆川猿時)、長女の清江(宍戸美和公)、そして次男の紀介という3人の子供がいるが、嘉平は会社を傾かせた泰平、奔放に生きてきた清江ではなく、紀介にすべての財産を託すという遺言書を遺したという。　しかし、泰平と清江もそれぞれ、ほぼ同じ内容の遺言書を嘉平から遺されたと主張。紀介は、2人に対して証書認否確認訴訟を起こし、すぐに解決するものと思っていたが、泰平、清江もそれぞれに弁護士を雇い、三つ巴の争いに。清江の弁護士は、徳松醤油顧問弁護士の田ノ下(山谷初男)、そして泰平の弁護士は、ことある"&amp;"ごとに古美門と対立する三木(生瀬勝久)、沢地(小池栄子)、井手(矢野聖人)のトリオだった・・・。")</f>
        <v>古美門(堺雅人)と黛(新垣結衣)のもとに、地方企業の徳松醤油から遺産相続訴訟の依頼が舞い込む。亡くなったのは徳松醤油社長の徳松嘉平(菅登未男)。嘉平のもとで働いていた黛のいとこ・千春(木南晴夏)からの依頼だ。徳松醤油は辺ぴな片田舎にあり、古美門は現地に赴くことを固辞するものの、報酬目当てに結局行くことに。さらに、その話を聞いていた服部(里見浩太朗)も、休暇をとって彼らと共に徳松醤油に向かう。  　現地で、徳松醤油代表取締役の徳松紀介(丸山智己)から至れり尽くせりの歓待を受ける3人。紀介の話によると、亡くなった嘉平には、長男の泰平(皆川猿時)、長女の清江(宍戸美和公)、そして次男の紀介という3人の子供がいるが、嘉平は会社を傾かせた泰平、奔放に生きてきた清江ではなく、紀介にすべての財産を託すという遺言書を遺したという。　しかし、泰平と清江もそれぞれ、ほぼ同じ内容の遺言書を嘉平から遺されたと主張。紀介は、2人に対して証書認否確認訴訟を起こし、すぐに解決するものと思っていたが、泰平、清江もそれぞれに弁護士を雇い、三つ巴の争いに。清江の弁護士は、徳松醤油顧問弁護士の田ノ下(山谷初男)、そして泰平の弁護士は、ことあるごとに古美門と対立する三木(生瀬勝久)、沢地(小池栄子)、井手(矢野聖人)のトリオだった・・・。</v>
      </c>
      <c r="N1238" s="2"/>
      <c r="O1238" s="2"/>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row>
    <row r="1239" ht="204.75" customHeight="1">
      <c r="A1239" s="1">
        <v>3824.0</v>
      </c>
      <c r="B1239" s="2" t="s">
        <v>3943</v>
      </c>
      <c r="C1239" s="2">
        <f>IFERROR(__xludf.DUMMYFUNCTION("split(B1239,""_"")"),1204.0)</f>
        <v>1204</v>
      </c>
      <c r="D1239" s="2" t="str">
        <f>IFERROR(__xludf.DUMMYFUNCTION("""COMPUTED_VALUE"""),"CX")</f>
        <v>CX</v>
      </c>
      <c r="E1239" s="2" t="str">
        <f>IFERROR(__xludf.DUMMYFUNCTION("""COMPUTED_VALUE"""),"火21")</f>
        <v>火21</v>
      </c>
      <c r="F1239" s="2" t="s">
        <v>3944</v>
      </c>
      <c r="G1239" s="2" t="s">
        <v>3966</v>
      </c>
      <c r="H1239" s="1">
        <v>8.0</v>
      </c>
      <c r="I1239" s="1" t="s">
        <v>29</v>
      </c>
      <c r="J1239" s="1" t="s">
        <v>11</v>
      </c>
      <c r="K1239" s="2" t="s">
        <v>3967</v>
      </c>
      <c r="L1239" s="2" t="s">
        <v>3968</v>
      </c>
      <c r="M1239" s="2" t="str">
        <f>IFERROR(__xludf.DUMMYFUNCTION("split(split(K1239,""堺雅人　"",false),""公式LINE"",false)"),"「2012ロンドンオリンピックバレーボール世界最終予選　男子　日本×韓国」延長の際、放送時間繰り下げの場合あり。　古美門(堺雅人)、黛(新垣結衣)、服部(里見浩太朗)が事務所でくつろいでいると、テレビに天才子役・安永メイ(吉田里琴)のドラマが流れる。感動的な親子再会のシーンに、素直に涙する黛。しかし、いつものことながら古美門は「成功する子役は、哀れな操り人形か、マセたクソガキのどっちかだ」と冷めている。  　その頃、メイは母親の留美子(小沢真珠)が出かけたのを良いことに、まだ12歳の子供にもかかわらず、ビ"&amp;"ールを飲み、男友達を家に連れ込む。結果、急性アルコール中毒になったメイは病院へ搬送されることに。病院の廊下では留美子とマネジャーの梶原(おかやまはじめ)が、今回の件のマスコミ対応で口論となる。メイは彼らに気付かれることなく、病室から抜け出してしまう。  　マスコミにもメイの荒れた私生活が暴かれるなか、古美門法律事務所に一本の電話が。ホテルのスイートルームに呼び出された古美門と黛。そこに待っていたのは、エステティシャンにマッサージをされながら、ルームサービスを食べるメイだった。ドラマで視聴者の涙をさそう演技"&amp;"を見せるメイとは、かけ離れた印象に面を食らう2人。メイは無敗の古美門の噂を聞いて依頼したという。「マスコミを名誉棄損で訴えるつもり?」と聞く黛。しかし、メイの依頼内容は、想像を超えた驚くべきものだった・・・。")</f>
        <v>「2012ロンドンオリンピックバレーボール世界最終予選　男子　日本×韓国」延長の際、放送時間繰り下げの場合あり。　古美門(堺雅人)、黛(新垣結衣)、服部(里見浩太朗)が事務所でくつろいでいると、テレビに天才子役・安永メイ(吉田里琴)のドラマが流れる。感動的な親子再会のシーンに、素直に涙する黛。しかし、いつものことながら古美門は「成功する子役は、哀れな操り人形か、マセたクソガキのどっちかだ」と冷めている。  　その頃、メイは母親の留美子(小沢真珠)が出かけたのを良いことに、まだ12歳の子供にもかかわらず、ビールを飲み、男友達を家に連れ込む。結果、急性アルコール中毒になったメイは病院へ搬送されることに。病院の廊下では留美子とマネジャーの梶原(おかやまはじめ)が、今回の件のマスコミ対応で口論となる。メイは彼らに気付かれることなく、病室から抜け出してしまう。  　マスコミにもメイの荒れた私生活が暴かれるなか、古美門法律事務所に一本の電話が。ホテルのスイートルームに呼び出された古美門と黛。そこに待っていたのは、エステティシャンにマッサージをされながら、ルームサービスを食べるメイだった。ドラマで視聴者の涙をさそう演技を見せるメイとは、かけ離れた印象に面を食らう2人。メイは無敗の古美門の噂を聞いて依頼したという。「マスコミを名誉棄損で訴えるつもり?」と聞く黛。しかし、メイの依頼内容は、想像を超えた驚くべきものだった・・・。</v>
      </c>
      <c r="N1239" s="2"/>
      <c r="O1239" s="2"/>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row>
    <row r="1240" ht="204.75" customHeight="1">
      <c r="A1240" s="1">
        <v>3825.0</v>
      </c>
      <c r="B1240" s="2" t="s">
        <v>3943</v>
      </c>
      <c r="C1240" s="2">
        <f>IFERROR(__xludf.DUMMYFUNCTION("split(B1240,""_"")"),1204.0)</f>
        <v>1204</v>
      </c>
      <c r="D1240" s="2" t="str">
        <f>IFERROR(__xludf.DUMMYFUNCTION("""COMPUTED_VALUE"""),"CX")</f>
        <v>CX</v>
      </c>
      <c r="E1240" s="2" t="str">
        <f>IFERROR(__xludf.DUMMYFUNCTION("""COMPUTED_VALUE"""),"火21")</f>
        <v>火21</v>
      </c>
      <c r="F1240" s="2" t="s">
        <v>3944</v>
      </c>
      <c r="G1240" s="2" t="s">
        <v>3969</v>
      </c>
      <c r="H1240" s="1">
        <v>9.0</v>
      </c>
      <c r="I1240" s="1" t="s">
        <v>33</v>
      </c>
      <c r="J1240" s="1" t="s">
        <v>11</v>
      </c>
      <c r="K1240" s="2" t="s">
        <v>3970</v>
      </c>
      <c r="L1240" s="2" t="s">
        <v>3971</v>
      </c>
      <c r="M1240" s="2" t="str">
        <f>IFERROR(__xludf.DUMMYFUNCTION("split(split(K1240,""堺雅人　"",false),""公式LINE"",false)"),"古美門(堺雅人)と黛(新垣結衣)は、東京地方裁判所で女性霊媒師(千葉雅子)の弁護をしている。原告の浜村(古澤裕介)は、女性霊媒師に合計500万円近くも支払ったにもかかわらず、見合いは失敗続きで恋人ができないと訴える。いつもの弁舌で浜村の訴えを退け、女性霊媒師に勝利をもたらす古美門。その様子を老人たちが見つめていた。法廷を後にする古美門と黛。そこに現れたのは、春夫(二瓶鮫一)、譲二(丹古母鬼馬二)ら老人たち。譲二は突然、古美門に土下座をし、「俺たちの村をお助け下さい」と懇願する。  　事務所に戻り、老人たち"&amp;"から話を聞く古美門。彼らは南モンブラン市という、昔は絹美村と呼ばれていた山々に囲まれた美しい集落の出身。必死な反対運動にもかかわらず、5年前に仙羽化学という大企業の化学工場ができてから、住民に健康被害が出ており、裁判で戦うために古美門の元を訪れたという。大企業相手の公害問題訴訟、さらには顧問弁護士が三木(生瀬勝久)ということもあり、これまで依頼した弁護士には全て断られていた。  　依頼を受けた古美門は、絶対に勝てない裁判だと断言し、老人たちの依頼をきっぱりと断る。古美門特有の毒の効いた断り方にあぜんとし、"&amp;"怒って席を立つ老人たち。いつもの通り、黛がひとり南モンブラン市に赴くことに。非協力的な古美門を批判する黛だったが、古美門はこの依頼を受けることができない深い理由を抱えていた・・・。")</f>
        <v>古美門(堺雅人)と黛(新垣結衣)は、東京地方裁判所で女性霊媒師(千葉雅子)の弁護をしている。原告の浜村(古澤裕介)は、女性霊媒師に合計500万円近くも支払ったにもかかわらず、見合いは失敗続きで恋人ができないと訴える。いつもの弁舌で浜村の訴えを退け、女性霊媒師に勝利をもたらす古美門。その様子を老人たちが見つめていた。法廷を後にする古美門と黛。そこに現れたのは、春夫(二瓶鮫一)、譲二(丹古母鬼馬二)ら老人たち。譲二は突然、古美門に土下座をし、「俺たちの村をお助け下さい」と懇願する。  　事務所に戻り、老人たちから話を聞く古美門。彼らは南モンブラン市という、昔は絹美村と呼ばれていた山々に囲まれた美しい集落の出身。必死な反対運動にもかかわらず、5年前に仙羽化学という大企業の化学工場ができてから、住民に健康被害が出ており、裁判で戦うために古美門の元を訪れたという。大企業相手の公害問題訴訟、さらには顧問弁護士が三木(生瀬勝久)ということもあり、これまで依頼した弁護士には全て断られていた。  　依頼を受けた古美門は、絶対に勝てない裁判だと断言し、老人たちの依頼をきっぱりと断る。古美門特有の毒の効いた断り方にあぜんとし、怒って席を立つ老人たち。いつもの通り、黛がひとり南モンブラン市に赴くことに。非協力的な古美門を批判する黛だったが、古美門はこの依頼を受けることができない深い理由を抱えていた・・・。</v>
      </c>
      <c r="N1240" s="2"/>
      <c r="O1240" s="2"/>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row>
    <row r="1241" ht="204.75" customHeight="1">
      <c r="A1241" s="1">
        <v>3826.0</v>
      </c>
      <c r="B1241" s="2" t="s">
        <v>3943</v>
      </c>
      <c r="C1241" s="2">
        <f>IFERROR(__xludf.DUMMYFUNCTION("split(B1241,""_"")"),1204.0)</f>
        <v>1204</v>
      </c>
      <c r="D1241" s="2" t="str">
        <f>IFERROR(__xludf.DUMMYFUNCTION("""COMPUTED_VALUE"""),"CX")</f>
        <v>CX</v>
      </c>
      <c r="E1241" s="2" t="str">
        <f>IFERROR(__xludf.DUMMYFUNCTION("""COMPUTED_VALUE"""),"火21")</f>
        <v>火21</v>
      </c>
      <c r="F1241" s="2" t="s">
        <v>3944</v>
      </c>
      <c r="G1241" s="2" t="s">
        <v>3972</v>
      </c>
      <c r="H1241" s="1">
        <v>10.0</v>
      </c>
      <c r="I1241" s="1" t="s">
        <v>37</v>
      </c>
      <c r="J1241" s="1" t="s">
        <v>11</v>
      </c>
      <c r="K1241" s="2" t="s">
        <v>3973</v>
      </c>
      <c r="L1241" s="2" t="s">
        <v>3974</v>
      </c>
      <c r="M1241" s="2" t="str">
        <f>IFERROR(__xludf.DUMMYFUNCTION("split(split(K1241,""堺雅人　"",false),""公式LINE"",false)"),"南モンブラン市の老人たちの戦う姿勢を取り戻させた古美門(堺雅人)と黛(新垣結衣)。彼らと共に戦う決心をした古美門は、仙羽化学から慰謝料として5億円、さらに安全が保障されるまでの工場操業停止を求めることに。  　裁判では、ヘルムート38と呼ばれるクロロタスムハリオサプロピレンという有害物質が、実際に仙羽化学の工場から流出しているのかが争点に。古美門は汚染水が貯水されているプールの水質検査結果からクロロタスムハリオサプロピレンが検出されたことを立証する。しかし、仙羽化学サイドの三木長一郎(生瀬勝久)は、クロロ"&amp;"タスムハリオサプロピレンが本当に人体に有害なのか、そしてそれは本当に仙羽化学の工場が発生源なのかという2点の根拠が稚拙であると対抗する。  　三木に痛いところを突かれた古美門。クロロタスムハリオサプロピレンが研究の進んでいない新物質である以上、それが人体に有害であることを科学的に立証することは非常に困難であることを認識しつつも、裏を返せば科学的な立証ができるのであれば裁判に勝つことができるとし、どんな手を使っても有害であることを認定させると息巻く。加賀蘭丸(田口淳之介)に仙羽化学のリサーチをさせた資料から"&amp;"、クロロタスムハリオサプロピレンが有害であることを立証できる可能性のある1人の人物に注目する・・・。")</f>
        <v>南モンブラン市の老人たちの戦う姿勢を取り戻させた古美門(堺雅人)と黛(新垣結衣)。彼らと共に戦う決心をした古美門は、仙羽化学から慰謝料として5億円、さらに安全が保障されるまでの工場操業停止を求めることに。  　裁判では、ヘルムート38と呼ばれるクロロタスムハリオサプロピレンという有害物質が、実際に仙羽化学の工場から流出しているのかが争点に。古美門は汚染水が貯水されているプールの水質検査結果からクロロタスムハリオサプロピレンが検出されたことを立証する。しかし、仙羽化学サイドの三木長一郎(生瀬勝久)は、クロロタスムハリオサプロピレンが本当に人体に有害なのか、そしてそれは本当に仙羽化学の工場が発生源なのかという2点の根拠が稚拙であると対抗する。  　三木に痛いところを突かれた古美門。クロロタスムハリオサプロピレンが研究の進んでいない新物質である以上、それが人体に有害であることを科学的に立証することは非常に困難であることを認識しつつも、裏を返せば科学的な立証ができるのであれば裁判に勝つことができるとし、どんな手を使っても有害であることを認定させると息巻く。加賀蘭丸(田口淳之介)に仙羽化学のリサーチをさせた資料から、クロロタスムハリオサプロピレンが有害であることを立証できる可能性のある1人の人物に注目する・・・。</v>
      </c>
      <c r="N1241" s="2"/>
      <c r="O1241" s="2"/>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row>
    <row r="1242" ht="204.75" customHeight="1">
      <c r="A1242" s="1">
        <v>3827.0</v>
      </c>
      <c r="B1242" s="2" t="s">
        <v>3943</v>
      </c>
      <c r="C1242" s="2">
        <f>IFERROR(__xludf.DUMMYFUNCTION("split(B1242,""_"")"),1204.0)</f>
        <v>1204</v>
      </c>
      <c r="D1242" s="2" t="str">
        <f>IFERROR(__xludf.DUMMYFUNCTION("""COMPUTED_VALUE"""),"CX")</f>
        <v>CX</v>
      </c>
      <c r="E1242" s="2" t="str">
        <f>IFERROR(__xludf.DUMMYFUNCTION("""COMPUTED_VALUE"""),"火21")</f>
        <v>火21</v>
      </c>
      <c r="F1242" s="2" t="s">
        <v>3944</v>
      </c>
      <c r="G1242" s="2" t="s">
        <v>3975</v>
      </c>
      <c r="H1242" s="1">
        <v>11.0</v>
      </c>
      <c r="I1242" s="1" t="s">
        <v>41</v>
      </c>
      <c r="J1242" s="1" t="s">
        <v>11</v>
      </c>
      <c r="K1242" s="2" t="s">
        <v>3976</v>
      </c>
      <c r="L1242" s="2" t="s">
        <v>3977</v>
      </c>
      <c r="M1242" s="2" t="str">
        <f>IFERROR(__xludf.DUMMYFUNCTION("split(split(K1242,""堺雅人　"",false),""公式LINE"",false)"),"古美門(堺雅人)のもとを去った黛(新垣結衣)が、1年ぶりに古美門法律事務所を訪れる。1年ぶりの再会に花を用意し、黛を歓迎する古美門。以前とは異なり、口調も穏やかに黛と世間話をする。  　黛は現在、黛法律事務所を立ち上げ、個人で仕事をしているという。今回、古美門のもとを訪ねたのは、彼女が準備している訴訟を共にやらないかという相談のためだった。黛の依頼者は、八木沼佳奈(田畑智子)。佳奈は、1年前の仙羽化学の公害訴訟で、古美門と黛に協力した女性で、裁判での証言後、仙羽化学のライバル社・フロンティアケミカルラボに"&amp;"ヘッドハンティングされていた。  　黛によれば、佳奈は長期間、会社に飼い殺された挙句、解雇されたという。仙羽化学とフロンティアケミカルラボはライバル関係と見なされているが、両社の社長は大学の先輩と後輩という間柄で、仙羽化学が佳奈に報復人事を行った疑いがあり、両社を訴えるという。「私たちが一緒にやるべき仕事」と古美門に力説するが、古美門はスケジュールがないと断る。  　裁判当日、仙羽化学の代理人である三木長一郎(生瀬勝久)、井手孝雄(矢野聖人)らと対峙する黛。緊迫感みなぎるなか、開廷間際に原告側のドアから入"&amp;"廷してくる古美門。一緒に戦ってくれるものと信じて笑顔を見せる黛。しかし、古美門は黛を素通りし、被告側へと歩を進め、三木の隣に立ち、フロンティアケミカルラボの代理人だと宣言する・・・。")</f>
        <v>古美門(堺雅人)のもとを去った黛(新垣結衣)が、1年ぶりに古美門法律事務所を訪れる。1年ぶりの再会に花を用意し、黛を歓迎する古美門。以前とは異なり、口調も穏やかに黛と世間話をする。  　黛は現在、黛法律事務所を立ち上げ、個人で仕事をしているという。今回、古美門のもとを訪ねたのは、彼女が準備している訴訟を共にやらないかという相談のためだった。黛の依頼者は、八木沼佳奈(田畑智子)。佳奈は、1年前の仙羽化学の公害訴訟で、古美門と黛に協力した女性で、裁判での証言後、仙羽化学のライバル社・フロンティアケミカルラボにヘッドハンティングされていた。  　黛によれば、佳奈は長期間、会社に飼い殺された挙句、解雇されたという。仙羽化学とフロンティアケミカルラボはライバル関係と見なされているが、両社の社長は大学の先輩と後輩という間柄で、仙羽化学が佳奈に報復人事を行った疑いがあり、両社を訴えるという。「私たちが一緒にやるべき仕事」と古美門に力説するが、古美門はスケジュールがないと断る。  　裁判当日、仙羽化学の代理人である三木長一郎(生瀬勝久)、井手孝雄(矢野聖人)らと対峙する黛。緊迫感みなぎるなか、開廷間際に原告側のドアから入廷してくる古美門。一緒に戦ってくれるものと信じて笑顔を見せる黛。しかし、古美門は黛を素通りし、被告側へと歩を進め、三木の隣に立ち、フロンティアケミカルラボの代理人だと宣言する・・・。</v>
      </c>
      <c r="N1242" s="2"/>
      <c r="O1242" s="2"/>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row>
    <row r="1243" ht="204.75" customHeight="1">
      <c r="A1243" s="1">
        <v>3828.0</v>
      </c>
      <c r="B1243" s="2" t="s">
        <v>3978</v>
      </c>
      <c r="C1243" s="2">
        <f>IFERROR(__xludf.DUMMYFUNCTION("split(B1243,""_"")"),1204.0)</f>
        <v>1204</v>
      </c>
      <c r="D1243" s="2" t="str">
        <f>IFERROR(__xludf.DUMMYFUNCTION("""COMPUTED_VALUE"""),"CX")</f>
        <v>CX</v>
      </c>
      <c r="E1243" s="2" t="str">
        <f>IFERROR(__xludf.DUMMYFUNCTION("""COMPUTED_VALUE"""),"火22")</f>
        <v>火22</v>
      </c>
      <c r="F1243" s="2" t="s">
        <v>3979</v>
      </c>
      <c r="G1243" s="2" t="s">
        <v>3980</v>
      </c>
      <c r="H1243" s="1">
        <v>1.0</v>
      </c>
      <c r="I1243" s="1" t="s">
        <v>3</v>
      </c>
      <c r="J1243" s="1" t="s">
        <v>82</v>
      </c>
      <c r="K1243" s="4" t="s">
        <v>3981</v>
      </c>
      <c r="L1243" s="11" t="s">
        <v>3982</v>
      </c>
      <c r="M1243" s="9" t="str">
        <f>IFERROR(__xludf.DUMMYFUNCTION("split(split(K1243,""草ナギ剛　"",false),""doctor/"",false)"),"http://www.ktv.jp/37")</f>
        <v>http://www.ktv.jp/37</v>
      </c>
      <c r="N1243" s="2" t="str">
        <f>IFERROR(__xludf.DUMMYFUNCTION("""COMPUTED_VALUE"""),"　紺野祐太(草ナギ剛)は食品メーカーに勤めていた元サラリーマン。ある出来事をきっかけに会社を辞めて医学部に入り、37歳でようやく研修医に。東央医科大学病院の総合内科病棟に赴任するが、沢村瑞希(水川あさみ)ら同期の若い研修医たちの中で、37歳の祐太は明らかに目立つ存在だった。    　勤務初日、祐太は内科トップの佐伯毅彦教授(松平健)らが治療方針を話し合うカンファレンスの席で、会議のやり方が効率的ではないと意見し、さっそく指導医の新見悟(斎藤工)から注意を受けるはめに。ようやく初日を終えた祐太は、恋人の葛城"&amp;"すず(ミムラ)からの「無理はしないで」という温かいメールに励まされる。    　そんな折、祐太は担当患者の妻から相談を受ける。夫が脳出血の後遺症で口から食事を摂ることが困難になり、チューブで胃に直接栄養を送れるようにする「胃ろう造設」の手術を受けることになりそうだが、普通の食事がしたい夫はそれを望んでいないというのだ。    　そんな中、新見は手術を決定。祐太は患者の意見を尊重して回復の見込みをくわしく調べるべきだと主張し、新見を怒らせてしまう。さらに、ろくに患者の診察もせず、新見の判断に任せるという佐伯"&amp;"に食ってかかった祐太は、腎臓内科の森下和明准教授(田辺誠一)から呼び出されてしまう。")</f>
        <v>　紺野祐太(草ナギ剛)は食品メーカーに勤めていた元サラリーマン。ある出来事をきっかけに会社を辞めて医学部に入り、37歳でようやく研修医に。東央医科大学病院の総合内科病棟に赴任するが、沢村瑞希(水川あさみ)ら同期の若い研修医たちの中で、37歳の祐太は明らかに目立つ存在だった。    　勤務初日、祐太は内科トップの佐伯毅彦教授(松平健)らが治療方針を話し合うカンファレンスの席で、会議のやり方が効率的ではないと意見し、さっそく指導医の新見悟(斎藤工)から注意を受けるはめに。ようやく初日を終えた祐太は、恋人の葛城すず(ミムラ)からの「無理はしないで」という温かいメールに励まされる。    　そんな折、祐太は担当患者の妻から相談を受ける。夫が脳出血の後遺症で口から食事を摂ることが困難になり、チューブで胃に直接栄養を送れるようにする「胃ろう造設」の手術を受けることになりそうだが、普通の食事がしたい夫はそれを望んでいないというのだ。    　そんな中、新見は手術を決定。祐太は患者の意見を尊重して回復の見込みをくわしく調べるべきだと主張し、新見を怒らせてしまう。さらに、ろくに患者の診察もせず、新見の判断に任せるという佐伯に食ってかかった祐太は、腎臓内科の森下和明准教授(田辺誠一)から呼び出されてしまう。</v>
      </c>
      <c r="O1243" s="2"/>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row>
    <row r="1244" ht="204.75" customHeight="1">
      <c r="A1244" s="1">
        <v>3829.0</v>
      </c>
      <c r="B1244" s="2" t="s">
        <v>3978</v>
      </c>
      <c r="C1244" s="2">
        <f>IFERROR(__xludf.DUMMYFUNCTION("split(B1244,""_"")"),1204.0)</f>
        <v>1204</v>
      </c>
      <c r="D1244" s="2" t="str">
        <f>IFERROR(__xludf.DUMMYFUNCTION("""COMPUTED_VALUE"""),"CX")</f>
        <v>CX</v>
      </c>
      <c r="E1244" s="2" t="str">
        <f>IFERROR(__xludf.DUMMYFUNCTION("""COMPUTED_VALUE"""),"火22")</f>
        <v>火22</v>
      </c>
      <c r="F1244" s="2" t="s">
        <v>3979</v>
      </c>
      <c r="G1244" s="2" t="s">
        <v>3983</v>
      </c>
      <c r="H1244" s="1">
        <v>2.0</v>
      </c>
      <c r="I1244" s="1" t="s">
        <v>7</v>
      </c>
      <c r="J1244" s="1" t="s">
        <v>82</v>
      </c>
      <c r="K1244" s="2" t="s">
        <v>3984</v>
      </c>
      <c r="L1244" s="2" t="s">
        <v>3985</v>
      </c>
      <c r="M1244" s="9" t="str">
        <f>IFERROR(__xludf.DUMMYFUNCTION("split(split(K1244,""草ナギ剛　"",false),""doctor/"",false)"),"http://www.ktv.jp/37")</f>
        <v>http://www.ktv.jp/37</v>
      </c>
      <c r="N1244" s="2" t="str">
        <f>IFERROR(__xludf.DUMMYFUNCTION("""COMPUTED_VALUE"""),"　患者とのコミュニケーションを深めようと、入院患者全員に朝の挨拶回りを始めた祐太(草ナギ剛)。担当外の患者に薬を処方したことから新見(斎藤工)に厳重注意を受けて反省はするものの、挨拶回りをやめようとしない。    　ある日、すず(ミムラ)が祐太の勧めで森下(田辺誠一)の治療を受けることになった。診察にあたった森下は治療の不安を取り除こうと丁寧に話を聞き、すずを安心させる。そんな森下の患者に対する姿勢に、祐太は尊敬の念を抱くのだった。    　翌日、糖尿病患者の桑原拓真(徳井優)が内科病棟に入院し、瑞希(水"&amp;"川あさみ)が担当になった。祐太は、挨拶をしようとさっそく病室を訪ね、不安げな桑原の相談に乗る。    　ところが、そんな祐太に下田(八乙女光)や谷口(桐山漣)、新見が苦情を訴える。祐太が挨拶回りで「何でも相談に乗る」と言ったせいで、患者たちが研修医に使い走りを頼んだり、病状の悪化を勘ぐったりと、誤解が生じているというのだ。瑞希からも「私の患者には近づかないで」と釘を刺されて、祐太は返す言葉もない。  さらには、森下からも「研修医はまず仕事を覚えるのが先」と叱咤される。")</f>
        <v>　患者とのコミュニケーションを深めようと、入院患者全員に朝の挨拶回りを始めた祐太(草ナギ剛)。担当外の患者に薬を処方したことから新見(斎藤工)に厳重注意を受けて反省はするものの、挨拶回りをやめようとしない。    　ある日、すず(ミムラ)が祐太の勧めで森下(田辺誠一)の治療を受けることになった。診察にあたった森下は治療の不安を取り除こうと丁寧に話を聞き、すずを安心させる。そんな森下の患者に対する姿勢に、祐太は尊敬の念を抱くのだった。    　翌日、糖尿病患者の桑原拓真(徳井優)が内科病棟に入院し、瑞希(水川あさみ)が担当になった。祐太は、挨拶をしようとさっそく病室を訪ね、不安げな桑原の相談に乗る。    　ところが、そんな祐太に下田(八乙女光)や谷口(桐山漣)、新見が苦情を訴える。祐太が挨拶回りで「何でも相談に乗る」と言ったせいで、患者たちが研修医に使い走りを頼んだり、病状の悪化を勘ぐったりと、誤解が生じているというのだ。瑞希からも「私の患者には近づかないで」と釘を刺されて、祐太は返す言葉もない。  さらには、森下からも「研修医はまず仕事を覚えるのが先」と叱咤される。</v>
      </c>
      <c r="O1244" s="2"/>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row>
    <row r="1245" ht="204.75" customHeight="1">
      <c r="A1245" s="1">
        <v>3830.0</v>
      </c>
      <c r="B1245" s="2" t="s">
        <v>3978</v>
      </c>
      <c r="C1245" s="2">
        <f>IFERROR(__xludf.DUMMYFUNCTION("split(B1245,""_"")"),1204.0)</f>
        <v>1204</v>
      </c>
      <c r="D1245" s="2" t="str">
        <f>IFERROR(__xludf.DUMMYFUNCTION("""COMPUTED_VALUE"""),"CX")</f>
        <v>CX</v>
      </c>
      <c r="E1245" s="2" t="str">
        <f>IFERROR(__xludf.DUMMYFUNCTION("""COMPUTED_VALUE"""),"火22")</f>
        <v>火22</v>
      </c>
      <c r="F1245" s="2" t="s">
        <v>3979</v>
      </c>
      <c r="G1245" s="2" t="s">
        <v>3986</v>
      </c>
      <c r="H1245" s="1">
        <v>3.0</v>
      </c>
      <c r="I1245" s="1" t="s">
        <v>10</v>
      </c>
      <c r="J1245" s="1" t="s">
        <v>86</v>
      </c>
      <c r="K1245" s="2" t="s">
        <v>3987</v>
      </c>
      <c r="L1245" s="2" t="s">
        <v>3988</v>
      </c>
      <c r="M1245" s="9" t="str">
        <f>IFERROR(__xludf.DUMMYFUNCTION("split(split(K1245,""草ナギ剛　"",false),""doctor/"",false)"),"http://www.ktv.jp/37")</f>
        <v>http://www.ktv.jp/37</v>
      </c>
      <c r="N1245" s="2" t="str">
        <f>IFERROR(__xludf.DUMMYFUNCTION("""COMPUTED_VALUE"""),"名刺を配り始めた祐太(草ナギ剛)は患者たちの人気者に。そんな折、祐太は、中島(鈴木浩介)と新見(斎藤工)が末期の膵がん患者・木島啓一(甲本雅裕)に転院を勧めようとしていることを知る。回復の望めない治療を続けるより、ホスピスで最期のケアを受けさせるべきというのだ。しかし中島らの本当の意図は、助からない患者を追い出してベッドの稼働率を上げることだった。木島に治る見込みはないと宣告し、転院に追い込もうとする新見に反発した祐太は、独自に転院先を見つけようと決意。膵がん治療に実績のある病院を探す中、がん治療の新薬の"&amp;"存在を知り、木島に投与を提案したいとカンファレンスで発言する。しかし、その新薬は副作用も強く日本では未認可。瑞希(水川あさみ)の母校の大学病院で行われている治験では、効果が出ず死亡する例もあった。中島らはリスクが高すぎると反対するが、佐伯(松平健)の反応は意外なものだった。「使うかどうかは患者が決めること」と木島の意思を聞くよう祐太をうながしたのだ。そしてこの後、木島に投与を提案した祐太は「紺野さんが『治る』と言ってくれるなら使う」と言われて言葉に詰まる。")</f>
        <v>名刺を配り始めた祐太(草ナギ剛)は患者たちの人気者に。そんな折、祐太は、中島(鈴木浩介)と新見(斎藤工)が末期の膵がん患者・木島啓一(甲本雅裕)に転院を勧めようとしていることを知る。回復の望めない治療を続けるより、ホスピスで最期のケアを受けさせるべきというのだ。しかし中島らの本当の意図は、助からない患者を追い出してベッドの稼働率を上げることだった。木島に治る見込みはないと宣告し、転院に追い込もうとする新見に反発した祐太は、独自に転院先を見つけようと決意。膵がん治療に実績のある病院を探す中、がん治療の新薬の存在を知り、木島に投与を提案したいとカンファレンスで発言する。しかし、その新薬は副作用も強く日本では未認可。瑞希(水川あさみ)の母校の大学病院で行われている治験では、効果が出ず死亡する例もあった。中島らはリスクが高すぎると反対するが、佐伯(松平健)の反応は意外なものだった。「使うかどうかは患者が決めること」と木島の意思を聞くよう祐太をうながしたのだ。そしてこの後、木島に投与を提案した祐太は「紺野さんが『治る』と言ってくれるなら使う」と言われて言葉に詰まる。</v>
      </c>
      <c r="O1245" s="2"/>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row>
    <row r="1246" ht="204.75" customHeight="1">
      <c r="A1246" s="1">
        <v>3831.0</v>
      </c>
      <c r="B1246" s="2" t="s">
        <v>3978</v>
      </c>
      <c r="C1246" s="2">
        <f>IFERROR(__xludf.DUMMYFUNCTION("split(B1246,""_"")"),1204.0)</f>
        <v>1204</v>
      </c>
      <c r="D1246" s="2" t="str">
        <f>IFERROR(__xludf.DUMMYFUNCTION("""COMPUTED_VALUE"""),"CX")</f>
        <v>CX</v>
      </c>
      <c r="E1246" s="2" t="str">
        <f>IFERROR(__xludf.DUMMYFUNCTION("""COMPUTED_VALUE"""),"火22")</f>
        <v>火22</v>
      </c>
      <c r="F1246" s="2" t="s">
        <v>3979</v>
      </c>
      <c r="G1246" s="2" t="s">
        <v>3989</v>
      </c>
      <c r="H1246" s="1">
        <v>4.0</v>
      </c>
      <c r="I1246" s="1" t="s">
        <v>14</v>
      </c>
      <c r="J1246" s="1" t="s">
        <v>86</v>
      </c>
      <c r="K1246" s="2" t="s">
        <v>3990</v>
      </c>
      <c r="L1246" s="2" t="s">
        <v>3991</v>
      </c>
      <c r="M1246" s="9" t="str">
        <f>IFERROR(__xludf.DUMMYFUNCTION("split(split(K1246,""草ナギ剛　"",false),""doctor/"",false)"),"http://www.ktv.jp/37")</f>
        <v>http://www.ktv.jp/37</v>
      </c>
      <c r="N1246" s="2" t="str">
        <f>IFERROR(__xludf.DUMMYFUNCTION("""COMPUTED_VALUE"""),"木島(甲本雅裕)が亡くなったショックから立ち直れない祐太(草ナギ剛)。そんな折、数年前に引退した大女優・羽山早苗(江波杏子)が内科に入院し、祐太が担当になった。早苗は末期の肝臓がんで、すでに手の施しようがない状況だったが、毎日見舞いに訪れる家族に囲まれ、病状は安定していた。    そんなある日、祐太は見舞いに来た家族に病状を説明しようとするが、家族は話を聞こうとせず、病気のことは本人に話して欲しいと告げて逃げるように帰ってしまった。家族の対応に違和感を覚える祐太。    同じ頃、自殺未遂を起こした大学生・"&amp;"吉野香織(岡野真也)が内科に入院し、下田(八乙女光)が担当に。腎臓疾患の疑いがあったが、香織は治療を拒否。再び自殺を図ってもおかしくない精神状態にもかかわらず、家族も体調不良で引き取りに来られないという。下田は、就職と恋愛に悩んで自殺を図ろうとした香織を非難する言葉を投げかけてしまう。    その直後、香織が病室から姿を消した。必死に香織を探し回る研修医ら。その頃、病室を抜け出してトイレでタバコを吸っていた早苗は、うつろな表情の香織と鉢合わせする。")</f>
        <v>木島(甲本雅裕)が亡くなったショックから立ち直れない祐太(草ナギ剛)。そんな折、数年前に引退した大女優・羽山早苗(江波杏子)が内科に入院し、祐太が担当になった。早苗は末期の肝臓がんで、すでに手の施しようがない状況だったが、毎日見舞いに訪れる家族に囲まれ、病状は安定していた。    そんなある日、祐太は見舞いに来た家族に病状を説明しようとするが、家族は話を聞こうとせず、病気のことは本人に話して欲しいと告げて逃げるように帰ってしまった。家族の対応に違和感を覚える祐太。    同じ頃、自殺未遂を起こした大学生・吉野香織(岡野真也)が内科に入院し、下田(八乙女光)が担当に。腎臓疾患の疑いがあったが、香織は治療を拒否。再び自殺を図ってもおかしくない精神状態にもかかわらず、家族も体調不良で引き取りに来られないという。下田は、就職と恋愛に悩んで自殺を図ろうとした香織を非難する言葉を投げかけてしまう。    その直後、香織が病室から姿を消した。必死に香織を探し回る研修医ら。その頃、病室を抜け出してトイレでタバコを吸っていた早苗は、うつろな表情の香織と鉢合わせする。</v>
      </c>
      <c r="O1246" s="2"/>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row>
    <row r="1247" ht="204.75" customHeight="1">
      <c r="A1247" s="1">
        <v>3832.0</v>
      </c>
      <c r="B1247" s="2" t="s">
        <v>3978</v>
      </c>
      <c r="C1247" s="2">
        <f>IFERROR(__xludf.DUMMYFUNCTION("split(B1247,""_"")"),1204.0)</f>
        <v>1204</v>
      </c>
      <c r="D1247" s="2" t="str">
        <f>IFERROR(__xludf.DUMMYFUNCTION("""COMPUTED_VALUE"""),"CX")</f>
        <v>CX</v>
      </c>
      <c r="E1247" s="2" t="str">
        <f>IFERROR(__xludf.DUMMYFUNCTION("""COMPUTED_VALUE"""),"火22")</f>
        <v>火22</v>
      </c>
      <c r="F1247" s="2" t="s">
        <v>3979</v>
      </c>
      <c r="G1247" s="2" t="s">
        <v>3992</v>
      </c>
      <c r="H1247" s="1">
        <v>5.0</v>
      </c>
      <c r="I1247" s="1" t="s">
        <v>17</v>
      </c>
      <c r="J1247" s="1" t="s">
        <v>86</v>
      </c>
      <c r="K1247" s="2" t="s">
        <v>3993</v>
      </c>
      <c r="L1247" s="2" t="s">
        <v>3994</v>
      </c>
      <c r="M1247" s="9" t="str">
        <f>IFERROR(__xludf.DUMMYFUNCTION("split(split(K1247,""草ナギ剛　"",false),""doctor/"",false)"),"http://www.ktv.jp/37")</f>
        <v>http://www.ktv.jp/37</v>
      </c>
      <c r="N1247" s="2" t="str">
        <f>IFERROR(__xludf.DUMMYFUNCTION("""COMPUTED_VALUE"""),"谷口(桐山漣)が看護師に薬の処方を指示する際、新見(斎藤工)から伝えられた誤った分量をそのまま指示するミスが発生。直美(真飛聖)が間違いに気づいて大事には至らなかったが、谷口と新見が看護師にミスの責任をなすりつけ、一方的にナースのミスとされてしまった。結果、谷口と直美は険悪なムードになってしまう。    直美は看護師がミスを押しつけられることは日常茶飯事だと祐太(草ナギ剛)に話し、医師への不信感を露わに。大病院では、医師-看護師の間には目に見えないヒエラルキーが存在する、と言う。去り際に直美は、祐太の担当"&amp;"患者に肺炎の兆候があることを告げる。そんな折、直美の娘・葵(大出菜々子)が病院にやって来た。葵は直美の離婚した夫に引き取られていたが、再婚を決めた父親に反発して家を飛び出してきたらしい。困り果てた直美は、研修医のいる医師控え室に預けることに。下田(八乙女光)や谷口は迷惑顔。瑞希(水川あさみ)はまだ11歳ながら小生意気な葵にあ然とするばかり。    一方、直美の指摘のおかげで患者の肺炎を発見できた祐太は、改めて看護師の重要性を認識し、日頃から患者の状態をつぶさに観察している看護師と連携する重要性を痛感。  "&amp;"そこで祐太は、直美に頼み込んでカンファレンスに出席させ、佐伯教授にある提案をするのだが・・・。その結果で直美と祐太の間にも深い溝が生まれてしまうことに。")</f>
        <v>谷口(桐山漣)が看護師に薬の処方を指示する際、新見(斎藤工)から伝えられた誤った分量をそのまま指示するミスが発生。直美(真飛聖)が間違いに気づいて大事には至らなかったが、谷口と新見が看護師にミスの責任をなすりつけ、一方的にナースのミスとされてしまった。結果、谷口と直美は険悪なムードになってしまう。    直美は看護師がミスを押しつけられることは日常茶飯事だと祐太(草ナギ剛)に話し、医師への不信感を露わに。大病院では、医師-看護師の間には目に見えないヒエラルキーが存在する、と言う。去り際に直美は、祐太の担当患者に肺炎の兆候があることを告げる。そんな折、直美の娘・葵(大出菜々子)が病院にやって来た。葵は直美の離婚した夫に引き取られていたが、再婚を決めた父親に反発して家を飛び出してきたらしい。困り果てた直美は、研修医のいる医師控え室に預けることに。下田(八乙女光)や谷口は迷惑顔。瑞希(水川あさみ)はまだ11歳ながら小生意気な葵にあ然とするばかり。    一方、直美の指摘のおかげで患者の肺炎を発見できた祐太は、改めて看護師の重要性を認識し、日頃から患者の状態をつぶさに観察している看護師と連携する重要性を痛感。  そこで祐太は、直美に頼み込んでカンファレンスに出席させ、佐伯教授にある提案をするのだが・・・。その結果で直美と祐太の間にも深い溝が生まれてしまうことに。</v>
      </c>
      <c r="O1247" s="2"/>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row>
    <row r="1248" ht="204.75" customHeight="1">
      <c r="A1248" s="1">
        <v>3833.0</v>
      </c>
      <c r="B1248" s="2" t="s">
        <v>3978</v>
      </c>
      <c r="C1248" s="2">
        <f>IFERROR(__xludf.DUMMYFUNCTION("split(B1248,""_"")"),1204.0)</f>
        <v>1204</v>
      </c>
      <c r="D1248" s="2" t="str">
        <f>IFERROR(__xludf.DUMMYFUNCTION("""COMPUTED_VALUE"""),"CX")</f>
        <v>CX</v>
      </c>
      <c r="E1248" s="2" t="str">
        <f>IFERROR(__xludf.DUMMYFUNCTION("""COMPUTED_VALUE"""),"火22")</f>
        <v>火22</v>
      </c>
      <c r="F1248" s="2" t="s">
        <v>3979</v>
      </c>
      <c r="G1248" s="2" t="s">
        <v>3995</v>
      </c>
      <c r="H1248" s="1">
        <v>6.0</v>
      </c>
      <c r="I1248" s="1" t="s">
        <v>21</v>
      </c>
      <c r="J1248" s="1" t="s">
        <v>86</v>
      </c>
      <c r="K1248" s="2" t="s">
        <v>3996</v>
      </c>
      <c r="L1248" s="2" t="s">
        <v>3997</v>
      </c>
      <c r="M1248" s="9" t="str">
        <f>IFERROR(__xludf.DUMMYFUNCTION("split(split(K1248,""草ナギ剛　"",false),""doctor/"",false)"),"http://www.ktv.jp/37")</f>
        <v>http://www.ktv.jp/37</v>
      </c>
      <c r="N1248" s="2" t="str">
        <f>IFERROR(__xludf.DUMMYFUNCTION("""COMPUTED_VALUE"""),"瑞希(水川あさみ)と谷口(桐山漣)が、ショッピングモールで男性が倒れる現場に出くわした。瑞希はすぐに応急処置を行うが、谷口は手をこまねいておろおろするばかり。その様子を撮影したネット動画が公開されたことから、谷口の失態は広く知れ渡ってしまう。    新見(斎藤工)に「恥さらし」と叱責され、医大の学生からも、「仕事ができない」とバカにされて落ち込む谷口。そんな谷口を心配した祐太(草ナギ剛)はなだめようとするが、「僕は紺野先生みたいに立派な人間じゃない」と反発され、とりつく島もない。    その翌日、『紺野祐"&amp;"太先生は人殺し』と書かれた怪文書が院内のいたるところに撒かれた。  すず(ミムラ)の為に、医者になったと思われていた祐太であったが…。彼が、37歳で医者になった本当の理由が明らかになる。")</f>
        <v>瑞希(水川あさみ)と谷口(桐山漣)が、ショッピングモールで男性が倒れる現場に出くわした。瑞希はすぐに応急処置を行うが、谷口は手をこまねいておろおろするばかり。その様子を撮影したネット動画が公開されたことから、谷口の失態は広く知れ渡ってしまう。    新見(斎藤工)に「恥さらし」と叱責され、医大の学生からも、「仕事ができない」とバカにされて落ち込む谷口。そんな谷口を心配した祐太(草ナギ剛)はなだめようとするが、「僕は紺野先生みたいに立派な人間じゃない」と反発され、とりつく島もない。    その翌日、『紺野祐太先生は人殺し』と書かれた怪文書が院内のいたるところに撒かれた。  すず(ミムラ)の為に、医者になったと思われていた祐太であったが…。彼が、37歳で医者になった本当の理由が明らかになる。</v>
      </c>
      <c r="O1248" s="2"/>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row>
    <row r="1249" ht="204.75" customHeight="1">
      <c r="A1249" s="1">
        <v>3834.0</v>
      </c>
      <c r="B1249" s="2" t="s">
        <v>3978</v>
      </c>
      <c r="C1249" s="2">
        <f>IFERROR(__xludf.DUMMYFUNCTION("split(B1249,""_"")"),1204.0)</f>
        <v>1204</v>
      </c>
      <c r="D1249" s="2" t="str">
        <f>IFERROR(__xludf.DUMMYFUNCTION("""COMPUTED_VALUE"""),"CX")</f>
        <v>CX</v>
      </c>
      <c r="E1249" s="2" t="str">
        <f>IFERROR(__xludf.DUMMYFUNCTION("""COMPUTED_VALUE"""),"火22")</f>
        <v>火22</v>
      </c>
      <c r="F1249" s="2" t="s">
        <v>3979</v>
      </c>
      <c r="G1249" s="2" t="s">
        <v>3998</v>
      </c>
      <c r="H1249" s="1">
        <v>7.0</v>
      </c>
      <c r="I1249" s="1" t="s">
        <v>25</v>
      </c>
      <c r="J1249" s="1" t="s">
        <v>86</v>
      </c>
      <c r="K1249" s="2" t="s">
        <v>3999</v>
      </c>
      <c r="L1249" s="2" t="s">
        <v>4000</v>
      </c>
      <c r="M1249" s="2" t="str">
        <f>IFERROR(__xludf.DUMMYFUNCTION("split(split(K1249,""草ナギ剛　"",false),""doctor/"",false)"),"「2012ロンドンオリンピックバレーボール世界最終予選　女子　日本×タイ」延長の際、放送時間繰り下げの場合あり。    http://www.ktv.jp/37")</f>
        <v>「2012ロンドンオリンピックバレーボール世界最終予選　女子　日本×タイ」延長の際、放送時間繰り下げの場合あり。    http://www.ktv.jp/37</v>
      </c>
      <c r="N1249" s="2" t="str">
        <f>IFERROR(__xludf.DUMMYFUNCTION("""COMPUTED_VALUE"""),"祐太(草ナギ剛)のアパートを訪ねてきたすず(ミムラ)は、久しぶりにゆっくり話がしたいと部屋に泊まることに。瑞希(水川あさみ)は2人の様子が気になって仕方がない。    一方、東央医大病院では、利益を上げようとする佐伯(松平健)に圧力をかけられた医師たちが、ベッドの稼働率をあげるため、入院の長引く患者を退院させようとしていた。さらに佐伯は、祐太の影響で患者と親しく話をするようになった研修医たちを問題視。治療にかかる時間を長引かせる原因と考え、患者との交流を控えるよう釘を刺す。    そんな中、祐太は、林田("&amp;"阿部力)から障害を抱える者と健常者の間には越えられない線があると告げられ、祐太もそれを自覚しなければ、すずを苦しめることになると言われる。")</f>
        <v>祐太(草ナギ剛)のアパートを訪ねてきたすず(ミムラ)は、久しぶりにゆっくり話がしたいと部屋に泊まることに。瑞希(水川あさみ)は2人の様子が気になって仕方がない。    一方、東央医大病院では、利益を上げようとする佐伯(松平健)に圧力をかけられた医師たちが、ベッドの稼働率をあげるため、入院の長引く患者を退院させようとしていた。さらに佐伯は、祐太の影響で患者と親しく話をするようになった研修医たちを問題視。治療にかかる時間を長引かせる原因と考え、患者との交流を控えるよう釘を刺す。    そんな中、祐太は、林田(阿部力)から障害を抱える者と健常者の間には越えられない線があると告げられ、祐太もそれを自覚しなければ、すずを苦しめることになると言われる。</v>
      </c>
      <c r="O1249" s="2"/>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row>
    <row r="1250" ht="204.75" customHeight="1">
      <c r="A1250" s="1">
        <v>3835.0</v>
      </c>
      <c r="B1250" s="2" t="s">
        <v>3978</v>
      </c>
      <c r="C1250" s="2">
        <f>IFERROR(__xludf.DUMMYFUNCTION("split(B1250,""_"")"),1204.0)</f>
        <v>1204</v>
      </c>
      <c r="D1250" s="2" t="str">
        <f>IFERROR(__xludf.DUMMYFUNCTION("""COMPUTED_VALUE"""),"CX")</f>
        <v>CX</v>
      </c>
      <c r="E1250" s="2" t="str">
        <f>IFERROR(__xludf.DUMMYFUNCTION("""COMPUTED_VALUE"""),"火22")</f>
        <v>火22</v>
      </c>
      <c r="F1250" s="2" t="s">
        <v>3979</v>
      </c>
      <c r="G1250" s="2" t="s">
        <v>4001</v>
      </c>
      <c r="H1250" s="1">
        <v>8.0</v>
      </c>
      <c r="I1250" s="1" t="s">
        <v>29</v>
      </c>
      <c r="J1250" s="1" t="s">
        <v>86</v>
      </c>
      <c r="K1250" s="2" t="s">
        <v>4002</v>
      </c>
      <c r="L1250" s="2" t="s">
        <v>4003</v>
      </c>
      <c r="M1250" s="9" t="str">
        <f>IFERROR(__xludf.DUMMYFUNCTION("split(split(K1250,""草ナギ剛　"",false),""doctor/"",false)"),"http://www.ktv.jp/37")</f>
        <v>http://www.ktv.jp/37</v>
      </c>
      <c r="N1250" s="2" t="str">
        <f>IFERROR(__xludf.DUMMYFUNCTION("""COMPUTED_VALUE"""),"祐太(草ナギ剛)からプロポーズを受けたすず(ミムラ)は実家を出て祐太のアパートで一緒に暮らし始める。かいがいしく祐太の世話を焼く生活に、すずは充実感を覚えていた。    そんな折、佐伯(松平健)の高校時代の恩師・伊達(竜雷太)が、外来で佐伯の診察を受け、入院することになった。ところが、伊達は事あるごとに「佐伯君を呼べ」と言うばかりで、看護師や担当の下田(八乙女光)を罵倒するなどやりたい放題。検査すら拒否する伊達を、看護師や下田は“モンスターペイシェント""と呼び、困り果てていた。祐太も伊達を説得しようと病"&amp;"室に顔を出すが、「佐伯君を呼んで来い」と相手にもされない。しかし、佐伯の関心事は来月に迫った学部長選挙で、病室に顔を出そうともしない。    祐太は伊達の妻・由美恵(田島令子)から、伊達が出世した教え子を誇りに思い、佐伯の診察を受けるために東央医大病院を訪ねたと聞かされる。翌日、カンファレンスの席で、検査を受けるよう伊達を説得して欲しいと祐太にうながされた佐伯は、ようやく伊達の病室を訪れるが…。")</f>
        <v>祐太(草ナギ剛)からプロポーズを受けたすず(ミムラ)は実家を出て祐太のアパートで一緒に暮らし始める。かいがいしく祐太の世話を焼く生活に、すずは充実感を覚えていた。    そんな折、佐伯(松平健)の高校時代の恩師・伊達(竜雷太)が、外来で佐伯の診察を受け、入院することになった。ところが、伊達は事あるごとに「佐伯君を呼べ」と言うばかりで、看護師や担当の下田(八乙女光)を罵倒するなどやりたい放題。検査すら拒否する伊達を、看護師や下田は“モンスターペイシェント"と呼び、困り果てていた。祐太も伊達を説得しようと病室に顔を出すが、「佐伯君を呼んで来い」と相手にもされない。しかし、佐伯の関心事は来月に迫った学部長選挙で、病室に顔を出そうともしない。    祐太は伊達の妻・由美恵(田島令子)から、伊達が出世した教え子を誇りに思い、佐伯の診察を受けるために東央医大病院を訪ねたと聞かされる。翌日、カンファレンスの席で、検査を受けるよう伊達を説得して欲しいと祐太にうながされた佐伯は、ようやく伊達の病室を訪れるが…。</v>
      </c>
      <c r="O1250" s="2"/>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row>
    <row r="1251" ht="204.75" customHeight="1">
      <c r="A1251" s="1">
        <v>3836.0</v>
      </c>
      <c r="B1251" s="2" t="s">
        <v>3978</v>
      </c>
      <c r="C1251" s="2">
        <f>IFERROR(__xludf.DUMMYFUNCTION("split(B1251,""_"")"),1204.0)</f>
        <v>1204</v>
      </c>
      <c r="D1251" s="2" t="str">
        <f>IFERROR(__xludf.DUMMYFUNCTION("""COMPUTED_VALUE"""),"CX")</f>
        <v>CX</v>
      </c>
      <c r="E1251" s="2" t="str">
        <f>IFERROR(__xludf.DUMMYFUNCTION("""COMPUTED_VALUE"""),"火22")</f>
        <v>火22</v>
      </c>
      <c r="F1251" s="2" t="s">
        <v>3979</v>
      </c>
      <c r="G1251" s="2" t="s">
        <v>4004</v>
      </c>
      <c r="H1251" s="1">
        <v>9.0</v>
      </c>
      <c r="I1251" s="1" t="s">
        <v>33</v>
      </c>
      <c r="J1251" s="1" t="s">
        <v>86</v>
      </c>
      <c r="K1251" s="2" t="s">
        <v>4005</v>
      </c>
      <c r="L1251" s="2" t="s">
        <v>4006</v>
      </c>
      <c r="M1251" s="2" t="str">
        <f>IFERROR(__xludf.DUMMYFUNCTION("split(split(K1251,""草ナギ剛　"",false),""doctor/"",false)"),"「2012ロンドンオリンピックバレーボール世界最終予選　男子　日本×韓国」延長の際、放送時間繰り下げの場合あり。      http://www.ktv.jp/37")</f>
        <v>「2012ロンドンオリンピックバレーボール世界最終予選　男子　日本×韓国」延長の際、放送時間繰り下げの場合あり。      http://www.ktv.jp/37</v>
      </c>
      <c r="N1251" s="2" t="str">
        <f>IFERROR(__xludf.DUMMYFUNCTION("""COMPUTED_VALUE"""),"佐伯教授(松平健)の高校時代の恩師である伊達(竜雷太)が亡くなった。  新しく准教授となった中島(鈴木浩介)のお披露目勉強会に出席していた佐伯は、伊達が亡くなった知らせを受けるが、意に介さず勉強会という名の酒宴を続ける。    祐太(草ナギ剛)は「佐伯の医療ミス」という疑念を持ち、瑞希(水川あさみ)に相談するが、「これ以上この問題に首を突っ込まないように!」と釘をさされる。佐伯教授の医学部長選挙を間近に控え、中島を先頭に伊達に関する情報にかん口令が敷かれる東央医科大学内科病棟。しかし、研修医たちを中心に動"&amp;"揺が走っていた。伊達の担当医であった下田(八乙女光)は、責任の重さに押しつぶされそうになっていた。そして、伊達のお通夜に向かう。    一方、伊達の「死」に心ここにあらずの祐太は、一緒に暮らし始めたすず(ミムラ)の体調まで目が行き届かない。そんな折、すずが東央医科大学病院に緊急入院することとなり、祐太は・・・。")</f>
        <v>佐伯教授(松平健)の高校時代の恩師である伊達(竜雷太)が亡くなった。  新しく准教授となった中島(鈴木浩介)のお披露目勉強会に出席していた佐伯は、伊達が亡くなった知らせを受けるが、意に介さず勉強会という名の酒宴を続ける。    祐太(草ナギ剛)は「佐伯の医療ミス」という疑念を持ち、瑞希(水川あさみ)に相談するが、「これ以上この問題に首を突っ込まないように!」と釘をさされる。佐伯教授の医学部長選挙を間近に控え、中島を先頭に伊達に関する情報にかん口令が敷かれる東央医科大学内科病棟。しかし、研修医たちを中心に動揺が走っていた。伊達の担当医であった下田(八乙女光)は、責任の重さに押しつぶされそうになっていた。そして、伊達のお通夜に向かう。    一方、伊達の「死」に心ここにあらずの祐太は、一緒に暮らし始めたすず(ミムラ)の体調まで目が行き届かない。そんな折、すずが東央医科大学病院に緊急入院することとなり、祐太は・・・。</v>
      </c>
      <c r="O1251" s="2"/>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row>
    <row r="1252" ht="204.75" customHeight="1">
      <c r="A1252" s="1">
        <v>3837.0</v>
      </c>
      <c r="B1252" s="2" t="s">
        <v>3978</v>
      </c>
      <c r="C1252" s="2">
        <f>IFERROR(__xludf.DUMMYFUNCTION("split(B1252,""_"")"),1204.0)</f>
        <v>1204</v>
      </c>
      <c r="D1252" s="2" t="str">
        <f>IFERROR(__xludf.DUMMYFUNCTION("""COMPUTED_VALUE"""),"CX")</f>
        <v>CX</v>
      </c>
      <c r="E1252" s="2" t="str">
        <f>IFERROR(__xludf.DUMMYFUNCTION("""COMPUTED_VALUE"""),"火22")</f>
        <v>火22</v>
      </c>
      <c r="F1252" s="2" t="s">
        <v>3979</v>
      </c>
      <c r="G1252" s="2" t="s">
        <v>4007</v>
      </c>
      <c r="H1252" s="1">
        <v>10.0</v>
      </c>
      <c r="I1252" s="1" t="s">
        <v>37</v>
      </c>
      <c r="J1252" s="1" t="s">
        <v>86</v>
      </c>
      <c r="K1252" s="2" t="s">
        <v>4008</v>
      </c>
      <c r="L1252" s="2" t="s">
        <v>4009</v>
      </c>
      <c r="M1252" s="9" t="str">
        <f>IFERROR(__xludf.DUMMYFUNCTION("split(split(K1252,""草ナギ剛　"",false),""doctor/"",false)"),"http://www.ktv.jp/37")</f>
        <v>http://www.ktv.jp/37</v>
      </c>
      <c r="N1252" s="2" t="str">
        <f>IFERROR(__xludf.DUMMYFUNCTION("""COMPUTED_VALUE"""),"急死した伊達(竜雷太)に誤診があったのではないかという由美恵(田島令子)に対し、中島(鈴木浩介)らは“伊達が検査を拒否していたため病気の発見が遅れた""と説明。病院側に落ち度はないと主張する。一方、祐太(草ナギ剛)ら研修医たちは佐伯(松平健)の医療ミスを疑っていた。    そんな中、下田(八乙女光)が辞表を提出。伊達の担当医として「ちゃんとケリをつけたい」と病院を去る。祐太は、佐伯に入院中のすず(ミムラ)を盾にされて動きを封じられているため何もできず、下田にかける言葉が見つからない。さらに、尊敬していた森"&amp;"下(田辺誠一)が「佐伯の後継者」で、祐太の口を封じようとしたことにショックを受け、混乱していた。    下田は由美恵に会い、裁判で佐伯の医療ミスを証言すると約束。研修医仲間にも、もう医者を続ける気はないと、その決意を伝える。医者の将来を捨ててまで自分の正義を貫こうとする下田の勇気に心を揺らす祐太は、そんな心の葛藤をすずに悟られまいとしていた。そんなある日、瑞希(水川あさみ)はすずから「転院したい」と打ち明けられる。    そしていよいよ、佐伯の医学部長選挙の日がやってきた…。")</f>
        <v>急死した伊達(竜雷太)に誤診があったのではないかという由美恵(田島令子)に対し、中島(鈴木浩介)らは“伊達が検査を拒否していたため病気の発見が遅れた"と説明。病院側に落ち度はないと主張する。一方、祐太(草ナギ剛)ら研修医たちは佐伯(松平健)の医療ミスを疑っていた。    そんな中、下田(八乙女光)が辞表を提出。伊達の担当医として「ちゃんとケリをつけたい」と病院を去る。祐太は、佐伯に入院中のすず(ミムラ)を盾にされて動きを封じられているため何もできず、下田にかける言葉が見つからない。さらに、尊敬していた森下(田辺誠一)が「佐伯の後継者」で、祐太の口を封じようとしたことにショックを受け、混乱していた。    下田は由美恵に会い、裁判で佐伯の医療ミスを証言すると約束。研修医仲間にも、もう医者を続ける気はないと、その決意を伝える。医者の将来を捨ててまで自分の正義を貫こうとする下田の勇気に心を揺らす祐太は、そんな心の葛藤をすずに悟られまいとしていた。そんなある日、瑞希(水川あさみ)はすずから「転院したい」と打ち明けられる。    そしていよいよ、佐伯の医学部長選挙の日がやってきた…。</v>
      </c>
      <c r="O1252" s="2"/>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row>
    <row r="1253" ht="204.75" customHeight="1">
      <c r="A1253" s="1">
        <v>3838.0</v>
      </c>
      <c r="B1253" s="2" t="s">
        <v>3978</v>
      </c>
      <c r="C1253" s="2">
        <f>IFERROR(__xludf.DUMMYFUNCTION("split(B1253,""_"")"),1204.0)</f>
        <v>1204</v>
      </c>
      <c r="D1253" s="2" t="str">
        <f>IFERROR(__xludf.DUMMYFUNCTION("""COMPUTED_VALUE"""),"CX")</f>
        <v>CX</v>
      </c>
      <c r="E1253" s="2" t="str">
        <f>IFERROR(__xludf.DUMMYFUNCTION("""COMPUTED_VALUE"""),"火22")</f>
        <v>火22</v>
      </c>
      <c r="F1253" s="2" t="s">
        <v>3979</v>
      </c>
      <c r="G1253" s="2" t="s">
        <v>4010</v>
      </c>
      <c r="H1253" s="1">
        <v>11.0</v>
      </c>
      <c r="I1253" s="1" t="s">
        <v>41</v>
      </c>
      <c r="J1253" s="1" t="s">
        <v>82</v>
      </c>
      <c r="K1253" s="2" t="s">
        <v>4011</v>
      </c>
      <c r="L1253" s="2" t="s">
        <v>4012</v>
      </c>
      <c r="M1253" s="9" t="str">
        <f>IFERROR(__xludf.DUMMYFUNCTION("split(split(K1253,""草ナギ剛　"",false),""doctor/"",false)"),"http://www.ktv.jp/37")</f>
        <v>http://www.ktv.jp/37</v>
      </c>
      <c r="N1253" s="2" t="str">
        <f>IFERROR(__xludf.DUMMYFUNCTION("""COMPUTED_VALUE"""),"7年ぶりに声を取り戻したすず(ミムラ)の容態が急変し、そのまま危篤状態に陥る。祐太(草ナギ剛)は意識の戻らないすずに付き添いながら、「患者さんが待っていますから」と周囲の反対を押して通常通りの勤務に就く。    一方、佐伯(松平健)は、伊達(竜雷太)の死を巡る医療訴訟問題を力づくで示談にまとめ、晴れて医学部長に就任。そんな折、下田(八乙女光)がカンファレンスの席で、由美恵(田島令子)から託された手紙を佐伯に渡そうとする。    それは、佐伯が若かりし頃、伊達に送った手紙だった。だが、佐伯は下田の行動に激昂"&amp;"し、その場で手紙を破り捨ててしまう。祐太と下田に絶望が広がったそのとき、突然、佐伯が腹部を押さえて倒れ…。")</f>
        <v>7年ぶりに声を取り戻したすず(ミムラ)の容態が急変し、そのまま危篤状態に陥る。祐太(草ナギ剛)は意識の戻らないすずに付き添いながら、「患者さんが待っていますから」と周囲の反対を押して通常通りの勤務に就く。    一方、佐伯(松平健)は、伊達(竜雷太)の死を巡る医療訴訟問題を力づくで示談にまとめ、晴れて医学部長に就任。そんな折、下田(八乙女光)がカンファレンスの席で、由美恵(田島令子)から託された手紙を佐伯に渡そうとする。    それは、佐伯が若かりし頃、伊達に送った手紙だった。だが、佐伯は下田の行動に激昂し、その場で手紙を破り捨ててしまう。祐太と下田に絶望が広がったそのとき、突然、佐伯が腹部を押さえて倒れ…。</v>
      </c>
      <c r="O1253" s="2"/>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row>
    <row r="1254" ht="204.75" customHeight="1">
      <c r="A1254" s="1">
        <v>3865.0</v>
      </c>
      <c r="B1254" s="2" t="s">
        <v>4013</v>
      </c>
      <c r="C1254" s="2">
        <f>IFERROR(__xludf.DUMMYFUNCTION("split(B1254,""_"")"),1204.0)</f>
        <v>1204</v>
      </c>
      <c r="D1254" s="2" t="str">
        <f>IFERROR(__xludf.DUMMYFUNCTION("""COMPUTED_VALUE"""),"CX")</f>
        <v>CX</v>
      </c>
      <c r="E1254" s="2" t="str">
        <f>IFERROR(__xludf.DUMMYFUNCTION("""COMPUTED_VALUE"""),"木22")</f>
        <v>木22</v>
      </c>
      <c r="F1254" s="2" t="s">
        <v>4014</v>
      </c>
      <c r="G1254" s="2" t="s">
        <v>4015</v>
      </c>
      <c r="H1254" s="1">
        <v>1.0</v>
      </c>
      <c r="I1254" s="1" t="s">
        <v>3</v>
      </c>
      <c r="J1254" s="1" t="s">
        <v>82</v>
      </c>
      <c r="K1254" s="4" t="s">
        <v>4016</v>
      </c>
      <c r="L1254" s="2" t="s">
        <v>4017</v>
      </c>
      <c r="M1254" s="2" t="str">
        <f>IFERROR(__xludf.DUMMYFUNCTION("split(split(K1254,""倉坂澪:　"",false),""公式LINE"",false)"),"財政難を理由に隣町と合併寸前の町、由芽市。繁栄を見ることなく寂れてしまったこの町では工場の閉鎖が相次ぎ、町の中心地もシャッター商店街と化していた。  　由芽市出身の倉坂澪(天海祐希)は日本ではミュージカルスターとして活躍、その後ブロードウェイに渡ったがニューヨークでは全く花開かず、ついにエージェントに次のオーディション予定はないと言い渡されてしまう。そんな折、故郷、由芽市の元恩師、森香奈絵(久野綾希子)から日本に来てほしいとの連絡が入る。大舞台が待っているに違いないと期待に胸ふくらませ澪は日本にやってくる"&amp;"。  　由芽市市長の井坂清忠(岸部一徳)は市の合併に向け、シャンソンズの活動拠点でもある町の象徴である練習室を取り壊し、ゴミ処理場を建設しようとしていた。市長の娘、井坂忠子(石田ゆり子)はシャンソンズの復活をめざし香奈絵と共に立ちあがった。彼女は父には内緒で、婿養子で父のいいなりになっている夫の哲郎(小泉孝太郎)には眉をひそめられながらもシャンソンズ復活を目指した。まずは残り少ない現シャンソンズメンバーの馬場みぞれ(大島蓉子)、皆川玉子(菊地美香)らと共に旧メンバー復帰を求めて片っ端から電話をかけるが、一"&amp;"切手応えなし。  　追い込まれた忠子らに香奈絵が紹介したのが倉坂澪だった。")</f>
        <v>財政難を理由に隣町と合併寸前の町、由芽市。繁栄を見ることなく寂れてしまったこの町では工場の閉鎖が相次ぎ、町の中心地もシャッター商店街と化していた。  　由芽市出身の倉坂澪(天海祐希)は日本ではミュージカルスターとして活躍、その後ブロードウェイに渡ったがニューヨークでは全く花開かず、ついにエージェントに次のオーディション予定はないと言い渡されてしまう。そんな折、故郷、由芽市の元恩師、森香奈絵(久野綾希子)から日本に来てほしいとの連絡が入る。大舞台が待っているに違いないと期待に胸ふくらませ澪は日本にやってくる。  　由芽市市長の井坂清忠(岸部一徳)は市の合併に向け、シャンソンズの活動拠点でもある町の象徴である練習室を取り壊し、ゴミ処理場を建設しようとしていた。市長の娘、井坂忠子(石田ゆり子)はシャンソンズの復活をめざし香奈絵と共に立ちあがった。彼女は父には内緒で、婿養子で父のいいなりになっている夫の哲郎(小泉孝太郎)には眉をひそめられながらもシャンソンズ復活を目指した。まずは残り少ない現シャンソンズメンバーの馬場みぞれ(大島蓉子)、皆川玉子(菊地美香)らと共に旧メンバー復帰を求めて片っ端から電話をかけるが、一切手応えなし。  　追い込まれた忠子らに香奈絵が紹介したのが倉坂澪だった。</v>
      </c>
      <c r="N1254" s="2"/>
      <c r="O1254" s="2"/>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row>
    <row r="1255" ht="204.75" customHeight="1">
      <c r="A1255" s="1">
        <v>3866.0</v>
      </c>
      <c r="B1255" s="2" t="s">
        <v>4013</v>
      </c>
      <c r="C1255" s="2">
        <f>IFERROR(__xludf.DUMMYFUNCTION("split(B1255,""_"")"),1204.0)</f>
        <v>1204</v>
      </c>
      <c r="D1255" s="2" t="str">
        <f>IFERROR(__xludf.DUMMYFUNCTION("""COMPUTED_VALUE"""),"CX")</f>
        <v>CX</v>
      </c>
      <c r="E1255" s="2" t="str">
        <f>IFERROR(__xludf.DUMMYFUNCTION("""COMPUTED_VALUE"""),"木22")</f>
        <v>木22</v>
      </c>
      <c r="F1255" s="2" t="s">
        <v>4014</v>
      </c>
      <c r="G1255" s="2" t="s">
        <v>4018</v>
      </c>
      <c r="H1255" s="1">
        <v>2.0</v>
      </c>
      <c r="I1255" s="1" t="s">
        <v>7</v>
      </c>
      <c r="J1255" s="1" t="s">
        <v>86</v>
      </c>
      <c r="K1255" s="2" t="s">
        <v>4019</v>
      </c>
      <c r="L1255" s="2" t="s">
        <v>4020</v>
      </c>
      <c r="M1255" s="2" t="str">
        <f>IFERROR(__xludf.DUMMYFUNCTION("split(split(K1255,""倉坂澪:　"",false),""公式LINE"",false)"),"『シャンソンズ』のコーチを務めることになった澪(天海祐希)は、いままでのような合唱ではなく、ショークワイアをやろうと提案する。それに対してリーダーの忠子(石田ゆり子)は、伝統あるシャンソンズに派手な衣装や踊りは必要ないと反論した。澪は、そんな忠子に、実際に歌ってみて決めよう、と言い出す。忠子は、みぞれ(大島蓉子)、玉子(菊地美香)とともに『春が来た』を練習し、澪たちの前で披露する。一方、澪は、玲奈(片瀬那奈)、南(福原美穂)を引き込んで米米CLUBの『浪漫飛行』を披露。まひる(大島優子)や忍(千葉雄大)だ"&amp;"けでなく、みぞれ、玉子までも魅了してしまう。あくる日、澪は、来週開催される商店街の桜祭りで新生シャンソンズのお披露目をする、とメンバーに告げ、レッスンを開始した。だがその最中、忠子は、再び澪と衝突して練習場を飛び出してしまう。そんな折、忍は、メンバーに加えたい歌い手がいる、と澪に持ちかける。それは、忍と同じ工場で働く一希(玉山鉄二)のことだった。しかし一希は、忍の誘いにまったく興味を示さなかった。同じころ、由芽市市長の清忠(岸部一徳)は、桜祭りにシャンソンズが出演することを知る。安見市との合併の条件として"&amp;"、シャンソンズの活動拠点である音楽堂をゴミ処理センターにする計画を立てている清忠は、忠子の夫・哲郎(小泉孝太郎)に、シャンソンズをつぶすよう命じ…。")</f>
        <v>『シャンソンズ』のコーチを務めることになった澪(天海祐希)は、いままでのような合唱ではなく、ショークワイアをやろうと提案する。それに対してリーダーの忠子(石田ゆり子)は、伝統あるシャンソンズに派手な衣装や踊りは必要ないと反論した。澪は、そんな忠子に、実際に歌ってみて決めよう、と言い出す。忠子は、みぞれ(大島蓉子)、玉子(菊地美香)とともに『春が来た』を練習し、澪たちの前で披露する。一方、澪は、玲奈(片瀬那奈)、南(福原美穂)を引き込んで米米CLUBの『浪漫飛行』を披露。まひる(大島優子)や忍(千葉雄大)だけでなく、みぞれ、玉子までも魅了してしまう。あくる日、澪は、来週開催される商店街の桜祭りで新生シャンソンズのお披露目をする、とメンバーに告げ、レッスンを開始した。だがその最中、忠子は、再び澪と衝突して練習場を飛び出してしまう。そんな折、忍は、メンバーに加えたい歌い手がいる、と澪に持ちかける。それは、忍と同じ工場で働く一希(玉山鉄二)のことだった。しかし一希は、忍の誘いにまったく興味を示さなかった。同じころ、由芽市市長の清忠(岸部一徳)は、桜祭りにシャンソンズが出演することを知る。安見市との合併の条件として、シャンソンズの活動拠点である音楽堂をゴミ処理センターにする計画を立てている清忠は、忠子の夫・哲郎(小泉孝太郎)に、シャンソンズをつぶすよう命じ…。</v>
      </c>
      <c r="N1255" s="2"/>
      <c r="O1255" s="2"/>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row>
    <row r="1256" ht="204.75" customHeight="1">
      <c r="A1256" s="1">
        <v>3867.0</v>
      </c>
      <c r="B1256" s="2" t="s">
        <v>4013</v>
      </c>
      <c r="C1256" s="2">
        <f>IFERROR(__xludf.DUMMYFUNCTION("split(B1256,""_"")"),1204.0)</f>
        <v>1204</v>
      </c>
      <c r="D1256" s="2" t="str">
        <f>IFERROR(__xludf.DUMMYFUNCTION("""COMPUTED_VALUE"""),"CX")</f>
        <v>CX</v>
      </c>
      <c r="E1256" s="2" t="str">
        <f>IFERROR(__xludf.DUMMYFUNCTION("""COMPUTED_VALUE"""),"木22")</f>
        <v>木22</v>
      </c>
      <c r="F1256" s="2" t="s">
        <v>4014</v>
      </c>
      <c r="G1256" s="2" t="s">
        <v>4021</v>
      </c>
      <c r="H1256" s="1">
        <v>3.0</v>
      </c>
      <c r="I1256" s="1" t="s">
        <v>10</v>
      </c>
      <c r="J1256" s="1" t="s">
        <v>86</v>
      </c>
      <c r="K1256" s="2" t="s">
        <v>4022</v>
      </c>
      <c r="L1256" s="2" t="s">
        <v>4023</v>
      </c>
      <c r="M1256" s="2" t="str">
        <f>IFERROR(__xludf.DUMMYFUNCTION("split(split(K1256,""倉坂澪:　"",false),""公式LINE"",false)"),"由芽市桜祭りで初めて歌を披露したシャンソンズの様子が地元新聞にも掲載されたことによりシャンソンズの評判が街中でも少しずつ話題になっていく。これも倉坂澪(天海祐希)の指導のおかげと、メンバーも、意見は対立しながらも井坂忠子(石田ゆり子)も次第に澪に信頼を置くようになってきた。1人1人確実に前向きにチャレンジする勇気を持ち始め、まひる(大島優子)も東京に就職活動に向かう決意をする。さらにはローカル局の取材も入ることが決定。一気に盛り上がるメンバーに澪はさらなる課題を与える。ショークワイアを通じて感情を爆発させ"&amp;"ること、そのためにロックに挑戦するという。  　澪はショークワイアにパンチを効かせるため、男性の歌声が必要と考える。工場で働く忍(千葉雄大)にたずねると、一希(玉山鉄二)は由芽市で一世を風靡(ふうび)し、東京へも進出した経歴を持つロックバンドに所属していたと明かし、澪のスイッチが入る。  　早速、澪は一希を口説きに直接会いに行くが、ロックなんかで何も変わりはしない!という言葉と共に一蹴されてしまう。  　ロックを辞めたのにはなにか深い理由があるらしく、一希を迎え入れることはできるのか。澪は東京にいるまひる"&amp;"を動かし、一希の過去を探り始める。")</f>
        <v>由芽市桜祭りで初めて歌を披露したシャンソンズの様子が地元新聞にも掲載されたことによりシャンソンズの評判が街中でも少しずつ話題になっていく。これも倉坂澪(天海祐希)の指導のおかげと、メンバーも、意見は対立しながらも井坂忠子(石田ゆり子)も次第に澪に信頼を置くようになってきた。1人1人確実に前向きにチャレンジする勇気を持ち始め、まひる(大島優子)も東京に就職活動に向かう決意をする。さらにはローカル局の取材も入ることが決定。一気に盛り上がるメンバーに澪はさらなる課題を与える。ショークワイアを通じて感情を爆発させること、そのためにロックに挑戦するという。  　澪はショークワイアにパンチを効かせるため、男性の歌声が必要と考える。工場で働く忍(千葉雄大)にたずねると、一希(玉山鉄二)は由芽市で一世を風靡(ふうび)し、東京へも進出した経歴を持つロックバンドに所属していたと明かし、澪のスイッチが入る。  　早速、澪は一希を口説きに直接会いに行くが、ロックなんかで何も変わりはしない!という言葉と共に一蹴されてしまう。  　ロックを辞めたのにはなにか深い理由があるらしく、一希を迎え入れることはできるのか。澪は東京にいるまひるを動かし、一希の過去を探り始める。</v>
      </c>
      <c r="N1256" s="2"/>
      <c r="O1256" s="2"/>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row>
    <row r="1257" ht="204.75" customHeight="1">
      <c r="A1257" s="1">
        <v>3868.0</v>
      </c>
      <c r="B1257" s="2" t="s">
        <v>4013</v>
      </c>
      <c r="C1257" s="2">
        <f>IFERROR(__xludf.DUMMYFUNCTION("split(B1257,""_"")"),1204.0)</f>
        <v>1204</v>
      </c>
      <c r="D1257" s="2" t="str">
        <f>IFERROR(__xludf.DUMMYFUNCTION("""COMPUTED_VALUE"""),"CX")</f>
        <v>CX</v>
      </c>
      <c r="E1257" s="2" t="str">
        <f>IFERROR(__xludf.DUMMYFUNCTION("""COMPUTED_VALUE"""),"木22")</f>
        <v>木22</v>
      </c>
      <c r="F1257" s="2" t="s">
        <v>4014</v>
      </c>
      <c r="G1257" s="2" t="s">
        <v>4024</v>
      </c>
      <c r="H1257" s="1">
        <v>4.0</v>
      </c>
      <c r="I1257" s="1" t="s">
        <v>14</v>
      </c>
      <c r="J1257" s="1" t="s">
        <v>86</v>
      </c>
      <c r="K1257" s="2" t="s">
        <v>4025</v>
      </c>
      <c r="L1257" s="2" t="s">
        <v>4026</v>
      </c>
      <c r="M1257" s="2" t="str">
        <f>IFERROR(__xludf.DUMMYFUNCTION("split(split(K1257,""倉坂澪:　"",false),""公式LINE"",false)"),"落ちこぼれミュージカルスターの倉坂澪(天海祐希)による指導のもとショークワイア「シャンソンズ」のメンバーは次第に少しずつながらも自信をつけ始めていた。過去の傷からなかなか立ち上がれない一希(玉山鉄二)の背中を押そうと、皆で歌った歌は確かに一希の心を揺り動かしたが、一歩踏み出せずにいた。一希に声をかけたのはまひる(大島優子)だった。自分もシャンソンズの歌で勇気をもらった。東京で就職試験を受けるために上京した際、恐ろしいほどの孤独感を味わったと告白する。まひるの言葉を聞いた一希に変化は現れるのか。  　そんな"&amp;"中、市民センター館長、香奈絵(久野綾希子)から嬉しいニュースが飛び込む。シャンソンズにローカルテレビ局のテレビ番組「こんにゃくイブニング」から取材依頼が飛び込んだというのだ。澪は最大限にこの機会を利用しようと考える。指導者としての自分がひきたつために選んだのが引っ込み思案で冴えないまひる。目立ちたくてしようがない他のメンバーからは非難ごうごう。忠子(石田ゆり子)も澪の強引なやり方が納得いかない。  　自分がまひるを鍛え直していく姿を映像化してもらおうと、まひるを中心としたショークワイアの構成を考える。澪が"&amp;"選んだ曲とは山口百恵の「ロックンロール・ウィドウ」などの女の魅力を爆発させる曲の数々。はたして澪の思惑通りに進むのか。")</f>
        <v>落ちこぼれミュージカルスターの倉坂澪(天海祐希)による指導のもとショークワイア「シャンソンズ」のメンバーは次第に少しずつながらも自信をつけ始めていた。過去の傷からなかなか立ち上がれない一希(玉山鉄二)の背中を押そうと、皆で歌った歌は確かに一希の心を揺り動かしたが、一歩踏み出せずにいた。一希に声をかけたのはまひる(大島優子)だった。自分もシャンソンズの歌で勇気をもらった。東京で就職試験を受けるために上京した際、恐ろしいほどの孤独感を味わったと告白する。まひるの言葉を聞いた一希に変化は現れるのか。  　そんな中、市民センター館長、香奈絵(久野綾希子)から嬉しいニュースが飛び込む。シャンソンズにローカルテレビ局のテレビ番組「こんにゃくイブニング」から取材依頼が飛び込んだというのだ。澪は最大限にこの機会を利用しようと考える。指導者としての自分がひきたつために選んだのが引っ込み思案で冴えないまひる。目立ちたくてしようがない他のメンバーからは非難ごうごう。忠子(石田ゆり子)も澪の強引なやり方が納得いかない。  　自分がまひるを鍛え直していく姿を映像化してもらおうと、まひるを中心としたショークワイアの構成を考える。澪が選んだ曲とは山口百恵の「ロックンロール・ウィドウ」などの女の魅力を爆発させる曲の数々。はたして澪の思惑通りに進むのか。</v>
      </c>
      <c r="N1257" s="2"/>
      <c r="O1257" s="2"/>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row>
    <row r="1258" ht="204.75" customHeight="1">
      <c r="A1258" s="1">
        <v>3869.0</v>
      </c>
      <c r="B1258" s="2" t="s">
        <v>4013</v>
      </c>
      <c r="C1258" s="2">
        <f>IFERROR(__xludf.DUMMYFUNCTION("split(B1258,""_"")"),1204.0)</f>
        <v>1204</v>
      </c>
      <c r="D1258" s="2" t="str">
        <f>IFERROR(__xludf.DUMMYFUNCTION("""COMPUTED_VALUE"""),"CX")</f>
        <v>CX</v>
      </c>
      <c r="E1258" s="2" t="str">
        <f>IFERROR(__xludf.DUMMYFUNCTION("""COMPUTED_VALUE"""),"木22")</f>
        <v>木22</v>
      </c>
      <c r="F1258" s="2" t="s">
        <v>4014</v>
      </c>
      <c r="G1258" s="2" t="s">
        <v>4027</v>
      </c>
      <c r="H1258" s="1">
        <v>5.0</v>
      </c>
      <c r="I1258" s="1" t="s">
        <v>17</v>
      </c>
      <c r="J1258" s="1" t="s">
        <v>86</v>
      </c>
      <c r="K1258" s="2" t="s">
        <v>4028</v>
      </c>
      <c r="L1258" s="2" t="s">
        <v>4029</v>
      </c>
      <c r="M1258" s="2" t="str">
        <f>IFERROR(__xludf.DUMMYFUNCTION("split(split(K1258,""倉坂澪:　"",false),""公式LINE"",false)"),"倉坂澪(天海祐希)率いるシャンソンズと井坂清忠市長(岸部一徳)と娘婿・井坂哲郎(小泉孝太郎)との対立はいよいよヒートアップ!  　ローカルテレビ局の取材を喜んで受けたシャンソンズだったが、放送当日シャンソンズたちはその目を疑った。歌の収録しかしていないはずが、編集の段階で手が加えられ放送上では勝手にシャンソンズの活動終了が宣言されていた。音楽堂を取り壊し、ゴミ処理場を建設することが隣の安見市との合併の条件ということで、井坂市長は歌の火を再燃させるわけにはいかないとシャンソンズの息の根を完全に止めようと、い"&amp;"よいよ澪への追究の手を強める。澪のブロードウェイでの経歴を徹底調査する。  　テレビ局では不本意な放送のされ方だったが、由芽市では評判を呼び、着実に評価を高め、続いて安見学園大の学園祭への出演依頼が飛び込む。急遽盲腸のためメンバーが来られなくなったグループのピンチヒッターということで乗り気のしない澪だったが、学園祭が全国放送されたこともあると聞いて俄然やる気を出す。  　度胸もつけたシャンソンズに足りないのは「セクシーさ」ということで澪は今回のテーマは「ダンスナンバー」と発表する。ダンスには自信がある玲奈"&amp;"(片瀬那奈)はやる気を出す。その一方で、玲奈は思いを寄せる哲郎のために澪の経歴を探りにかかるが、なかなか決め手になる証拠をつかめずにいた。")</f>
        <v>倉坂澪(天海祐希)率いるシャンソンズと井坂清忠市長(岸部一徳)と娘婿・井坂哲郎(小泉孝太郎)との対立はいよいよヒートアップ!  　ローカルテレビ局の取材を喜んで受けたシャンソンズだったが、放送当日シャンソンズたちはその目を疑った。歌の収録しかしていないはずが、編集の段階で手が加えられ放送上では勝手にシャンソンズの活動終了が宣言されていた。音楽堂を取り壊し、ゴミ処理場を建設することが隣の安見市との合併の条件ということで、井坂市長は歌の火を再燃させるわけにはいかないとシャンソンズの息の根を完全に止めようと、いよいよ澪への追究の手を強める。澪のブロードウェイでの経歴を徹底調査する。  　テレビ局では不本意な放送のされ方だったが、由芽市では評判を呼び、着実に評価を高め、続いて安見学園大の学園祭への出演依頼が飛び込む。急遽盲腸のためメンバーが来られなくなったグループのピンチヒッターということで乗り気のしない澪だったが、学園祭が全国放送されたこともあると聞いて俄然やる気を出す。  　度胸もつけたシャンソンズに足りないのは「セクシーさ」ということで澪は今回のテーマは「ダンスナンバー」と発表する。ダンスには自信がある玲奈(片瀬那奈)はやる気を出す。その一方で、玲奈は思いを寄せる哲郎のために澪の経歴を探りにかかるが、なかなか決め手になる証拠をつかめずにいた。</v>
      </c>
      <c r="N1258" s="2"/>
      <c r="O1258" s="2"/>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row>
    <row r="1259" ht="204.75" customHeight="1">
      <c r="A1259" s="1">
        <v>3870.0</v>
      </c>
      <c r="B1259" s="2" t="s">
        <v>4013</v>
      </c>
      <c r="C1259" s="2">
        <f>IFERROR(__xludf.DUMMYFUNCTION("split(B1259,""_"")"),1204.0)</f>
        <v>1204</v>
      </c>
      <c r="D1259" s="2" t="str">
        <f>IFERROR(__xludf.DUMMYFUNCTION("""COMPUTED_VALUE"""),"CX")</f>
        <v>CX</v>
      </c>
      <c r="E1259" s="2" t="str">
        <f>IFERROR(__xludf.DUMMYFUNCTION("""COMPUTED_VALUE"""),"木22")</f>
        <v>木22</v>
      </c>
      <c r="F1259" s="2" t="s">
        <v>4014</v>
      </c>
      <c r="G1259" s="2" t="s">
        <v>4030</v>
      </c>
      <c r="H1259" s="1">
        <v>6.0</v>
      </c>
      <c r="I1259" s="1" t="s">
        <v>21</v>
      </c>
      <c r="J1259" s="1" t="s">
        <v>86</v>
      </c>
      <c r="K1259" s="2" t="s">
        <v>4031</v>
      </c>
      <c r="L1259" s="2" t="s">
        <v>4032</v>
      </c>
      <c r="M1259" s="2" t="str">
        <f>IFERROR(__xludf.DUMMYFUNCTION("split(split(K1259,""倉坂澪:　"",false),""公式LINE"",false)"),"倉坂澪(天海祐希)に出されたアメリカのエージェントからの解雇通知を発見してしまった玲奈(片瀬那奈)は動揺を隠せない。澪の正体を暴こうと奔走していた哲郎(小泉孝太郎)は義父である市長、井坂清忠(岸部一徳)に澪の正体も暴けない上に玲奈との関係も疑われ、家を出るよう言い渡されてしまった。傷ついた哲郎のためになればと玲奈は解雇通知を哲郎の手に渡してしまうのだった。そうとは知らず、澪のもと結束を固めるシャンソンズは音楽堂廃止の署名集め運動を行い、ブロードウェイスター倉坂澪の名前を売りにして順調に署名を集めていた。人"&amp;"の心に訴えることの難しさを知った忠子(石田ゆり子)はうまく言葉にできない気持ちを歌で伝えたいと、シャンソンズのテーマにメッセージソングをあげる。忠子は曲目も考えてくるのだが、澪も任せていられない、曲は自分が決めると言い張り、2人の曲、どちらが人々の心をより強く打てるかで決めることに。　そんな中、澪の貯金も底をつきパチンコで一攫千金をねらうが大失敗。そこで偶然出会ったパチンコ好きの玉子(菊地美香)に指南されながらとりあえずのお金を手にすることに成功する。玉子頼みだったのに玉子の姿が練習室に見えない。実は夫の"&amp;"小さな裏切りや姑からの言葉に傷つき、歌えなくなってしまったというのだ。  　そして澪、シャンソンズを今までにない事態が襲う。井坂市長が練習室に乗りこんできたのだった。")</f>
        <v>倉坂澪(天海祐希)に出されたアメリカのエージェントからの解雇通知を発見してしまった玲奈(片瀬那奈)は動揺を隠せない。澪の正体を暴こうと奔走していた哲郎(小泉孝太郎)は義父である市長、井坂清忠(岸部一徳)に澪の正体も暴けない上に玲奈との関係も疑われ、家を出るよう言い渡されてしまった。傷ついた哲郎のためになればと玲奈は解雇通知を哲郎の手に渡してしまうのだった。そうとは知らず、澪のもと結束を固めるシャンソンズは音楽堂廃止の署名集め運動を行い、ブロードウェイスター倉坂澪の名前を売りにして順調に署名を集めていた。人の心に訴えることの難しさを知った忠子(石田ゆり子)はうまく言葉にできない気持ちを歌で伝えたいと、シャンソンズのテーマにメッセージソングをあげる。忠子は曲目も考えてくるのだが、澪も任せていられない、曲は自分が決めると言い張り、2人の曲、どちらが人々の心をより強く打てるかで決めることに。　そんな中、澪の貯金も底をつきパチンコで一攫千金をねらうが大失敗。そこで偶然出会ったパチンコ好きの玉子(菊地美香)に指南されながらとりあえずのお金を手にすることに成功する。玉子頼みだったのに玉子の姿が練習室に見えない。実は夫の小さな裏切りや姑からの言葉に傷つき、歌えなくなってしまったというのだ。  　そして澪、シャンソンズを今までにない事態が襲う。井坂市長が練習室に乗りこんできたのだった。</v>
      </c>
      <c r="N1259" s="2"/>
      <c r="O1259" s="2"/>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row>
    <row r="1260" ht="204.75" customHeight="1">
      <c r="A1260" s="1">
        <v>3871.0</v>
      </c>
      <c r="B1260" s="2" t="s">
        <v>4013</v>
      </c>
      <c r="C1260" s="2">
        <f>IFERROR(__xludf.DUMMYFUNCTION("split(B1260,""_"")"),1204.0)</f>
        <v>1204</v>
      </c>
      <c r="D1260" s="2" t="str">
        <f>IFERROR(__xludf.DUMMYFUNCTION("""COMPUTED_VALUE"""),"CX")</f>
        <v>CX</v>
      </c>
      <c r="E1260" s="2" t="str">
        <f>IFERROR(__xludf.DUMMYFUNCTION("""COMPUTED_VALUE"""),"木22")</f>
        <v>木22</v>
      </c>
      <c r="F1260" s="2" t="s">
        <v>4014</v>
      </c>
      <c r="G1260" s="2" t="s">
        <v>4033</v>
      </c>
      <c r="H1260" s="1">
        <v>7.0</v>
      </c>
      <c r="I1260" s="1" t="s">
        <v>25</v>
      </c>
      <c r="J1260" s="1" t="s">
        <v>86</v>
      </c>
      <c r="K1260" s="2" t="s">
        <v>4034</v>
      </c>
      <c r="L1260" s="2" t="s">
        <v>4035</v>
      </c>
      <c r="M1260" s="2" t="str">
        <f>IFERROR(__xludf.DUMMYFUNCTION("split(split(K1260,""倉坂澪:　"",false),""公式LINE"",false)"),"夫・哲郎(小泉孝太郎)と玲奈(片瀬那奈)との過去について知ってしまった忠子(石田ゆり子)は家を出てしまう。あわてふためく哲郎。由芽市では安見市との合併、ゴミ処理場建設市民説明会が行われ、ついに澪(天海祐希)は議会が条例を再検討するために必要な署名2000名分を集めたことを報告する。その場に集った人々の心にも確実に澪の言葉は響いていた。　そんな状況を前に、市長の井坂清忠(岸部一徳)もだまっていない。合唱コンクールの県大会優勝候補である安見市女声合唱団は優勝に向けドイツ・ベルリンから合唱団の指揮者を招請したと"&amp;"伝え、シャンソンズに勝算はあるのかと澪に迫る。市長の挑発にのって澪は県大会で優勝できなければ解散すると断言してしまう。  　実際には何の秘策もなく頭を抱える澪に、追い打ちをかけるように一希(玉山鉄二)の「あんたのせいであいつらは夢や目標を失う」という言葉が突き刺さるのだった。  　そんな中、テレビを見ていた澪はかつて日本で属していた劇団でのパートナーであり元恋人だった三宅光矢(石井竜也)がパリ、オペラ座での公演を成功裏におさめ、東京での凱旋(がいせん)公演のため日本に戻ってきたことを知る。そこで澪はある秘"&amp;"策を思いつき、シャンソンズには刺激を受け感性を磨くためと伝え東京に向かうのだった。")</f>
        <v>夫・哲郎(小泉孝太郎)と玲奈(片瀬那奈)との過去について知ってしまった忠子(石田ゆり子)は家を出てしまう。あわてふためく哲郎。由芽市では安見市との合併、ゴミ処理場建設市民説明会が行われ、ついに澪(天海祐希)は議会が条例を再検討するために必要な署名2000名分を集めたことを報告する。その場に集った人々の心にも確実に澪の言葉は響いていた。　そんな状況を前に、市長の井坂清忠(岸部一徳)もだまっていない。合唱コンクールの県大会優勝候補である安見市女声合唱団は優勝に向けドイツ・ベルリンから合唱団の指揮者を招請したと伝え、シャンソンズに勝算はあるのかと澪に迫る。市長の挑発にのって澪は県大会で優勝できなければ解散すると断言してしまう。  　実際には何の秘策もなく頭を抱える澪に、追い打ちをかけるように一希(玉山鉄二)の「あんたのせいであいつらは夢や目標を失う」という言葉が突き刺さるのだった。  　そんな中、テレビを見ていた澪はかつて日本で属していた劇団でのパートナーであり元恋人だった三宅光矢(石井竜也)がパリ、オペラ座での公演を成功裏におさめ、東京での凱旋(がいせん)公演のため日本に戻ってきたことを知る。そこで澪はある秘策を思いつき、シャンソンズには刺激を受け感性を磨くためと伝え東京に向かうのだった。</v>
      </c>
      <c r="N1260" s="2"/>
      <c r="O1260" s="2"/>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row>
    <row r="1261" ht="204.75" customHeight="1">
      <c r="A1261" s="1">
        <v>3872.0</v>
      </c>
      <c r="B1261" s="2" t="s">
        <v>4013</v>
      </c>
      <c r="C1261" s="2">
        <f>IFERROR(__xludf.DUMMYFUNCTION("split(B1261,""_"")"),1204.0)</f>
        <v>1204</v>
      </c>
      <c r="D1261" s="2" t="str">
        <f>IFERROR(__xludf.DUMMYFUNCTION("""COMPUTED_VALUE"""),"CX")</f>
        <v>CX</v>
      </c>
      <c r="E1261" s="2" t="str">
        <f>IFERROR(__xludf.DUMMYFUNCTION("""COMPUTED_VALUE"""),"木22")</f>
        <v>木22</v>
      </c>
      <c r="F1261" s="2" t="s">
        <v>4014</v>
      </c>
      <c r="G1261" s="2" t="s">
        <v>4036</v>
      </c>
      <c r="H1261" s="1">
        <v>8.0</v>
      </c>
      <c r="I1261" s="1" t="s">
        <v>29</v>
      </c>
      <c r="J1261" s="1" t="s">
        <v>86</v>
      </c>
      <c r="K1261" s="2" t="s">
        <v>4037</v>
      </c>
      <c r="L1261" s="2" t="s">
        <v>4038</v>
      </c>
      <c r="M1261" s="2" t="str">
        <f>IFERROR(__xludf.DUMMYFUNCTION("split(split(K1261,""倉坂澪:　"",false),""公式LINE"",false)"),"澪(天海祐希)は一希(玉山鉄二)に合唱コンクール県大会になんとしても優勝するため、シャンソンズのためにオリジナル曲を作ってほしいと依頼する。が一希は一向に首を縦に振らない。そんな中、一希に追い打ちをかけるように工場閉鎖が告げられる。工場封鎖にショックを受ける忍(千葉雄大)たちだが一希には工場閉鎖に伴い、より深刻な問題が勃発していた。　南(福原美穂)も店をクビになったりと、そこかしこで由芽市の窮状悪化により市民たちの生活に大きな打撃が与えられていた。一希の問題のことは知らずに、ひたすらシャンソンズのメンバー"&amp;"は曲の仕上がりを待っていた。その間練習を重ねるシャンソンズはさらに敵情視察として安見市女声合唱団の練習をのぞきに行く。澪はそこで昔からの知人、こずえ(根岸季衣)に出会う。今は安見市女声合唱団のソリスト。そのこずえから澪は意外な提案を受けるのだった。  　一希は1人問題を解決するべく金の工面に走り回るも、解決の道はなかなか見つからぬまま県大会の日は迫って来る。一希はいったい曲を書き上げることができるのか。  　そしてシャンソンズは無事県大会に出場し、優勝を勝ち取ることができるのか!?")</f>
        <v>澪(天海祐希)は一希(玉山鉄二)に合唱コンクール県大会になんとしても優勝するため、シャンソンズのためにオリジナル曲を作ってほしいと依頼する。が一希は一向に首を縦に振らない。そんな中、一希に追い打ちをかけるように工場閉鎖が告げられる。工場封鎖にショックを受ける忍(千葉雄大)たちだが一希には工場閉鎖に伴い、より深刻な問題が勃発していた。　南(福原美穂)も店をクビになったりと、そこかしこで由芽市の窮状悪化により市民たちの生活に大きな打撃が与えられていた。一希の問題のことは知らずに、ひたすらシャンソンズのメンバーは曲の仕上がりを待っていた。その間練習を重ねるシャンソンズはさらに敵情視察として安見市女声合唱団の練習をのぞきに行く。澪はそこで昔からの知人、こずえ(根岸季衣)に出会う。今は安見市女声合唱団のソリスト。そのこずえから澪は意外な提案を受けるのだった。  　一希は1人問題を解決するべく金の工面に走り回るも、解決の道はなかなか見つからぬまま県大会の日は迫って来る。一希はいったい曲を書き上げることができるのか。  　そしてシャンソンズは無事県大会に出場し、優勝を勝ち取ることができるのか!?</v>
      </c>
      <c r="N1261" s="2"/>
      <c r="O1261" s="2"/>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row>
    <row r="1262" ht="204.75" customHeight="1">
      <c r="A1262" s="1">
        <v>3873.0</v>
      </c>
      <c r="B1262" s="2" t="s">
        <v>4013</v>
      </c>
      <c r="C1262" s="2">
        <f>IFERROR(__xludf.DUMMYFUNCTION("split(B1262,""_"")"),1204.0)</f>
        <v>1204</v>
      </c>
      <c r="D1262" s="2" t="str">
        <f>IFERROR(__xludf.DUMMYFUNCTION("""COMPUTED_VALUE"""),"CX")</f>
        <v>CX</v>
      </c>
      <c r="E1262" s="2" t="str">
        <f>IFERROR(__xludf.DUMMYFUNCTION("""COMPUTED_VALUE"""),"木22")</f>
        <v>木22</v>
      </c>
      <c r="F1262" s="2" t="s">
        <v>4014</v>
      </c>
      <c r="G1262" s="2" t="s">
        <v>4039</v>
      </c>
      <c r="H1262" s="1">
        <v>9.0</v>
      </c>
      <c r="I1262" s="1" t="s">
        <v>33</v>
      </c>
      <c r="J1262" s="1" t="s">
        <v>86</v>
      </c>
      <c r="K1262" s="2" t="s">
        <v>4040</v>
      </c>
      <c r="L1262" s="2" t="s">
        <v>4041</v>
      </c>
      <c r="M1262" s="2" t="str">
        <f>IFERROR(__xludf.DUMMYFUNCTION("split(split(K1262,""倉坂澪:　"",false),""公式LINE"",false)"),"シャンソンズは県大会で優勝できず、約束通り解散することとなってしまった。あっという間に練習室も閉め出され失意の中、澪(天海祐希)は音楽堂での公演実現のために今は一旦解散し、反撃の機会をねらおうと皆を励ます。が、音楽堂の取り壊しまで19日、という中でそんな余裕はないと忠子(石田ゆり子)は反論する。ついに忠子が「ケリをつける」と父親、井坂清忠由芽市市長(岸部一徳)と対峙することを決意する。　澪も一方で、ここまで清忠がシャンソンズを忌み嫌う理由を探るため、香奈絵(久野綾希子)に会いに行き、そこで意外な写真を見せ"&amp;"られ驚く。そこにはLOVE&amp;PEACEと書かれたTシャツを着たヒッピー姿の若者の姿が。それはまぎれもなく井坂清忠、彼だった。直接理由を聞きに澪は清忠に会いに行く。そこで聞かされたのは、音楽堂は歌で町おこしを狙い、清忠の父親が50億もの金をかけて建設したもので、これが町を財政難に追い込んでしまった諸悪の根源だという話だった。  　一希(玉山鉄二)も、自分たちが父親になった時に子どもたちに何を残せるのか、ということを考えていると忍(千葉雄大)に語っている時に、忍の実家の写真館でさらにある写真を見つける。ここに"&amp;"こそ、清忠の過去を探るヒントがあるのだった。")</f>
        <v>シャンソンズは県大会で優勝できず、約束通り解散することとなってしまった。あっという間に練習室も閉め出され失意の中、澪(天海祐希)は音楽堂での公演実現のために今は一旦解散し、反撃の機会をねらおうと皆を励ます。が、音楽堂の取り壊しまで19日、という中でそんな余裕はないと忠子(石田ゆり子)は反論する。ついに忠子が「ケリをつける」と父親、井坂清忠由芽市市長(岸部一徳)と対峙することを決意する。　澪も一方で、ここまで清忠がシャンソンズを忌み嫌う理由を探るため、香奈絵(久野綾希子)に会いに行き、そこで意外な写真を見せられ驚く。そこにはLOVE&amp;PEACEと書かれたTシャツを着たヒッピー姿の若者の姿が。それはまぎれもなく井坂清忠、彼だった。直接理由を聞きに澪は清忠に会いに行く。そこで聞かされたのは、音楽堂は歌で町おこしを狙い、清忠の父親が50億もの金をかけて建設したもので、これが町を財政難に追い込んでしまった諸悪の根源だという話だった。  　一希(玉山鉄二)も、自分たちが父親になった時に子どもたちに何を残せるのか、ということを考えていると忍(千葉雄大)に語っている時に、忍の実家の写真館でさらにある写真を見つける。ここにこそ、清忠の過去を探るヒントがあるのだった。</v>
      </c>
      <c r="N1262" s="2"/>
      <c r="O1262" s="2"/>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row>
    <row r="1263" ht="204.75" customHeight="1">
      <c r="A1263" s="1">
        <v>3874.0</v>
      </c>
      <c r="B1263" s="2" t="s">
        <v>4013</v>
      </c>
      <c r="C1263" s="2">
        <f>IFERROR(__xludf.DUMMYFUNCTION("split(B1263,""_"")"),1204.0)</f>
        <v>1204</v>
      </c>
      <c r="D1263" s="2" t="str">
        <f>IFERROR(__xludf.DUMMYFUNCTION("""COMPUTED_VALUE"""),"CX")</f>
        <v>CX</v>
      </c>
      <c r="E1263" s="2" t="str">
        <f>IFERROR(__xludf.DUMMYFUNCTION("""COMPUTED_VALUE"""),"木22")</f>
        <v>木22</v>
      </c>
      <c r="F1263" s="2" t="s">
        <v>4014</v>
      </c>
      <c r="G1263" s="2" t="s">
        <v>4042</v>
      </c>
      <c r="H1263" s="1">
        <v>10.0</v>
      </c>
      <c r="I1263" s="1" t="s">
        <v>37</v>
      </c>
      <c r="J1263" s="1" t="s">
        <v>86</v>
      </c>
      <c r="K1263" s="2" t="s">
        <v>4043</v>
      </c>
      <c r="L1263" s="2" t="s">
        <v>4044</v>
      </c>
      <c r="M1263" s="2" t="str">
        <f>IFERROR(__xludf.DUMMYFUNCTION("split(split(K1263,""倉坂澪:　"",false),""公式LINE"",false)"),"澪(天海祐希)、忠子(石田ゆり子)らの奮闘により、シャンソンズを忌み嫌い音楽堂の廃止を訴えていた由芽市市長の井坂清忠(岸部一徳)の心のわだかまりも晴れ、ついに市長は音楽堂での公演を1日だけ許可してくれた。と喜んだのもつかの間、心労から澪の恩師、香奈絵(久野綾希子)が倒れる。手術が必要と聞きショックを隠せないシャンソンズの面々。が、香奈絵は音楽堂でのコンサートを見たいから手術をがんばると澪、忠子に伝える。その声を物陰で清忠も聞いていた。香奈絵の気持ちを受けとめた澪はシャンソンズの皆を、こんな時だからこそ歌お"&amp;"う!と励ますのだった。そこに現れた清忠は、音楽堂での1回の公演の採算がとれるようにチケットを売ってみるよう勧めただけでなく、今後もシャンソンズの歌により採算がとれる可能性が見いだせるのであれば、音楽堂の取り壊しは撤回し、ゴミ処理場の代替地を用意する、とまで宣言する。　シャンソンズのメンバーは皆で歌への猛特訓、チケット販売にと奔走する。そんな中、由芽市を訪れるある男の姿が。そう、澪のニューヨークの元エージェント、ピート佐藤(草刈正雄)だ。ブロードウェイのオファーがあると澪に伝えに来たのだった。動揺する澪。音"&amp;"楽堂の命運が決まるたった1日のコンサートまであと1週間。澪は自分の夢を選ぶのか、それともシャンソンズと共に歩み続けるのか・・・!苦渋の選択を前に澪は・・・。")</f>
        <v>澪(天海祐希)、忠子(石田ゆり子)らの奮闘により、シャンソンズを忌み嫌い音楽堂の廃止を訴えていた由芽市市長の井坂清忠(岸部一徳)の心のわだかまりも晴れ、ついに市長は音楽堂での公演を1日だけ許可してくれた。と喜んだのもつかの間、心労から澪の恩師、香奈絵(久野綾希子)が倒れる。手術が必要と聞きショックを隠せないシャンソンズの面々。が、香奈絵は音楽堂でのコンサートを見たいから手術をがんばると澪、忠子に伝える。その声を物陰で清忠も聞いていた。香奈絵の気持ちを受けとめた澪はシャンソンズの皆を、こんな時だからこそ歌おう!と励ますのだった。そこに現れた清忠は、音楽堂での1回の公演の採算がとれるようにチケットを売ってみるよう勧めただけでなく、今後もシャンソンズの歌により採算がとれる可能性が見いだせるのであれば、音楽堂の取り壊しは撤回し、ゴミ処理場の代替地を用意する、とまで宣言する。　シャンソンズのメンバーは皆で歌への猛特訓、チケット販売にと奔走する。そんな中、由芽市を訪れるある男の姿が。そう、澪のニューヨークの元エージェント、ピート佐藤(草刈正雄)だ。ブロードウェイのオファーがあると澪に伝えに来たのだった。動揺する澪。音楽堂の命運が決まるたった1日のコンサートまであと1週間。澪は自分の夢を選ぶのか、それともシャンソンズと共に歩み続けるのか・・・!苦渋の選択を前に澪は・・・。</v>
      </c>
      <c r="N1263" s="2"/>
      <c r="O1263" s="2"/>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row>
    <row r="1264" ht="204.75" customHeight="1">
      <c r="A1264" s="1">
        <v>3875.0</v>
      </c>
      <c r="B1264" s="2" t="s">
        <v>4013</v>
      </c>
      <c r="C1264" s="2">
        <f>IFERROR(__xludf.DUMMYFUNCTION("split(B1264,""_"")"),1204.0)</f>
        <v>1204</v>
      </c>
      <c r="D1264" s="2" t="str">
        <f>IFERROR(__xludf.DUMMYFUNCTION("""COMPUTED_VALUE"""),"CX")</f>
        <v>CX</v>
      </c>
      <c r="E1264" s="2" t="str">
        <f>IFERROR(__xludf.DUMMYFUNCTION("""COMPUTED_VALUE"""),"木22")</f>
        <v>木22</v>
      </c>
      <c r="F1264" s="2" t="s">
        <v>4014</v>
      </c>
      <c r="G1264" s="2" t="s">
        <v>4045</v>
      </c>
      <c r="H1264" s="1">
        <v>11.0</v>
      </c>
      <c r="I1264" s="1" t="s">
        <v>41</v>
      </c>
      <c r="J1264" s="1" t="s">
        <v>86</v>
      </c>
      <c r="K1264" s="2" t="s">
        <v>4046</v>
      </c>
      <c r="L1264" s="2" t="s">
        <v>4047</v>
      </c>
      <c r="M1264" s="2" t="str">
        <f>IFERROR(__xludf.DUMMYFUNCTION("split(split(K1264,""倉坂澪:　"",false),""公式LINE"",false)"),"澪(天海祐希)、忠子(石田ゆり子)がせっかく井坂清忠由芽市市長(岸部一徳)から音楽堂での1日限りのコンサートの了解を得、病に倒れた香奈絵(久野綾希子)のためにもがんばろうと立ち上がったところへ、無惨にも工事を進める重機がうなりを上げて入ってくる。  　来週のはずの工事が明後日になったという。元請けは安見重建だと語る。哲郎(小泉孝太郎)が調べてみると、ゴミ処理場建設に関わる孫請け業者がいつのまにかすべて安見重建の関連会社に変わっていたことが判明する。さらに安見重建の経営は由芽市を合併しようとしている鴻池正勝"&amp;"安見市市長(ミッキー・カーチス)の三男・瞬也だった。談合のにおいを感じ取った清忠と哲郎は調べに入る。清忠は安見重建のことは由芽市市長の責任としてなんとかすると澪に宣言。音楽堂を1000人の客で埋め尽くし、未来への可能性を見せてほしい、と澪に清忠は語り、澪もその気持ちをしかと受けとめたのだった。澪はシャンソンズに対し、日程の変更、残りのチケットの販売、そして歌とダンスの習得、さらには会場、衣裳の準備すべてを1日でやりとげ、明後日音楽堂でコンサートを開こうと訴える。その言葉に応えシャンソンズと清忠、哲郎も安見"&amp;"市の不正を暴くために奔走していた。果たしてシャンソンズのコンサートは無事開かれるのか、由芽市の命運は!?そして、澪の夢はどうなるのか・・・!?")</f>
        <v>澪(天海祐希)、忠子(石田ゆり子)がせっかく井坂清忠由芽市市長(岸部一徳)から音楽堂での1日限りのコンサートの了解を得、病に倒れた香奈絵(久野綾希子)のためにもがんばろうと立ち上がったところへ、無惨にも工事を進める重機がうなりを上げて入ってくる。  　来週のはずの工事が明後日になったという。元請けは安見重建だと語る。哲郎(小泉孝太郎)が調べてみると、ゴミ処理場建設に関わる孫請け業者がいつのまにかすべて安見重建の関連会社に変わっていたことが判明する。さらに安見重建の経営は由芽市を合併しようとしている鴻池正勝安見市市長(ミッキー・カーチス)の三男・瞬也だった。談合のにおいを感じ取った清忠と哲郎は調べに入る。清忠は安見重建のことは由芽市市長の責任としてなんとかすると澪に宣言。音楽堂を1000人の客で埋め尽くし、未来への可能性を見せてほしい、と澪に清忠は語り、澪もその気持ちをしかと受けとめたのだった。澪はシャンソンズに対し、日程の変更、残りのチケットの販売、そして歌とダンスの習得、さらには会場、衣裳の準備すべてを1日でやりとげ、明後日音楽堂でコンサートを開こうと訴える。その言葉に応えシャンソンズと清忠、哲郎も安見市の不正を暴くために奔走していた。果たしてシャンソンズのコンサートは無事開かれるのか、由芽市の命運は!?そして、澪の夢はどうなるのか・・・!?</v>
      </c>
      <c r="N1264" s="2"/>
      <c r="O1264" s="2"/>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row>
    <row r="1265" ht="204.75" customHeight="1">
      <c r="A1265" s="1">
        <v>3912.0</v>
      </c>
      <c r="B1265" s="2" t="s">
        <v>4048</v>
      </c>
      <c r="C1265" s="2">
        <f>IFERROR(__xludf.DUMMYFUNCTION("split(B1265,""_"")"),1204.0)</f>
        <v>1204</v>
      </c>
      <c r="D1265" s="2" t="str">
        <f>IFERROR(__xludf.DUMMYFUNCTION("""COMPUTED_VALUE"""),"CX")</f>
        <v>CX</v>
      </c>
      <c r="E1265" s="2" t="str">
        <f>IFERROR(__xludf.DUMMYFUNCTION("""COMPUTED_VALUE"""),"土23")</f>
        <v>土23</v>
      </c>
      <c r="F1265" s="2" t="s">
        <v>4049</v>
      </c>
      <c r="G1265" s="2" t="s">
        <v>4050</v>
      </c>
      <c r="H1265" s="1">
        <v>1.0</v>
      </c>
      <c r="I1265" s="1" t="s">
        <v>3</v>
      </c>
      <c r="J1265" s="1" t="s">
        <v>2429</v>
      </c>
      <c r="K1265" s="4" t="s">
        <v>4051</v>
      </c>
      <c r="L1265" s="2" t="s">
        <v>4052</v>
      </c>
      <c r="M1265" s="2" t="str">
        <f>IFERROR(__xludf.DUMMYFUNCTION("split(split(K1265,""岡田将生　"",false),""公式LINE"",false)"),"努力するだけ無駄、未来なんて変えられない、惰性を絵に描いたような大学3年生、星野新太(岡田将生)は、就職活動の時期にも関わらず、毎日を何となく過ごしていた。  　ある日、同級生の森口類(本郷奏多)が新太のところへ就職セミナーの資料を持ってくるが、関心のない様子。そこへ新太を慕う後輩の高坂王子(菊池風磨)がやってきて3人で話していると、類が新太の携帯に飲み物をこぼしてしまった。壊してしまった類は、2台持っていたクロノス限定のスマートフォンを代わりにと新太へ渡す。ずっとこのスマートフォンがほしかった新太は嬉し"&amp;"そうな様子。自宅に戻った新太は何気なく日記アプリをインストールし、「将来なんて考えたくない」と書き込む。  　翌朝、新太に不思議なことが起きる。書いてもない日記が次々に更新されていくのだ。しかも更新される日記は「過去」を描いたものでなく「未来」を描いたもの。新太が類から手渡されたスマートフォンは『未来日記』だったのだ。未来を手にした新太は意気揚々。  　そんな時、新太の前に謎めいた美少女・古崎由乃(剛力彩芽)が現れた。由乃は新太と同じく『未来日記』の所有者で、新太を盲目的に愛し、新太の行くところには必ず現"&amp;"れ、新太のことは何でも知っていた。この一方的に想いをよせる由乃の奇抜な行動に戸惑う新太。さらに新太に衝撃が走る。なんと未来日記に「星野新太、死亡=DEAD　END」と表示される。")</f>
        <v>努力するだけ無駄、未来なんて変えられない、惰性を絵に描いたような大学3年生、星野新太(岡田将生)は、就職活動の時期にも関わらず、毎日を何となく過ごしていた。  　ある日、同級生の森口類(本郷奏多)が新太のところへ就職セミナーの資料を持ってくるが、関心のない様子。そこへ新太を慕う後輩の高坂王子(菊池風磨)がやってきて3人で話していると、類が新太の携帯に飲み物をこぼしてしまった。壊してしまった類は、2台持っていたクロノス限定のスマートフォンを代わりにと新太へ渡す。ずっとこのスマートフォンがほしかった新太は嬉しそうな様子。自宅に戻った新太は何気なく日記アプリをインストールし、「将来なんて考えたくない」と書き込む。  　翌朝、新太に不思議なことが起きる。書いてもない日記が次々に更新されていくのだ。しかも更新される日記は「過去」を描いたものでなく「未来」を描いたもの。新太が類から手渡されたスマートフォンは『未来日記』だったのだ。未来を手にした新太は意気揚々。  　そんな時、新太の前に謎めいた美少女・古崎由乃(剛力彩芽)が現れた。由乃は新太と同じく『未来日記』の所有者で、新太を盲目的に愛し、新太の行くところには必ず現れ、新太のことは何でも知っていた。この一方的に想いをよせる由乃の奇抜な行動に戸惑う新太。さらに新太に衝撃が走る。なんと未来日記に「星野新太、死亡=DEAD　END」と表示される。</v>
      </c>
      <c r="N1265" s="2"/>
      <c r="O1265" s="2"/>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row>
    <row r="1266" ht="204.75" customHeight="1">
      <c r="A1266" s="1">
        <v>3913.0</v>
      </c>
      <c r="B1266" s="2" t="s">
        <v>4048</v>
      </c>
      <c r="C1266" s="2">
        <f>IFERROR(__xludf.DUMMYFUNCTION("split(B1266,""_"")"),1204.0)</f>
        <v>1204</v>
      </c>
      <c r="D1266" s="2" t="str">
        <f>IFERROR(__xludf.DUMMYFUNCTION("""COMPUTED_VALUE"""),"CX")</f>
        <v>CX</v>
      </c>
      <c r="E1266" s="2" t="str">
        <f>IFERROR(__xludf.DUMMYFUNCTION("""COMPUTED_VALUE"""),"土23")</f>
        <v>土23</v>
      </c>
      <c r="F1266" s="2" t="s">
        <v>4049</v>
      </c>
      <c r="G1266" s="2" t="s">
        <v>4053</v>
      </c>
      <c r="H1266" s="1">
        <v>2.0</v>
      </c>
      <c r="I1266" s="1" t="s">
        <v>7</v>
      </c>
      <c r="J1266" s="1" t="s">
        <v>2429</v>
      </c>
      <c r="K1266" s="2" t="s">
        <v>4054</v>
      </c>
      <c r="L1266" s="2" t="s">
        <v>4055</v>
      </c>
      <c r="M1266" s="2" t="str">
        <f>IFERROR(__xludf.DUMMYFUNCTION("split(split(K1266,""岡田将生　"",false),""公式LINE"",false)"),"星野新太(岡田将生)、古崎由乃(剛力彩芽)、森口類(本郷奏多)、沖江春奈(福田麻由子)は新太と由乃の「未来日記」の画面に現れたゲームの主催者・デウスからのメッセージをみる。デウスは「未来日記」を所持するのが7名で、残り1名になるまでお互いを殺し合え、と指示。最後まで生き残ったものには、素晴らしい未来を与えると約束した。  　そんな新太たちを物陰から見つめる制服姿の少女がいた。その少女・不破めぐみ(二階堂ふみ)も「未来日記」の所有者だった。その後、類は自分を訪ねてきた刑事で「未来日記」所有者の萩戸(岡田義徳"&amp;")に、デウスから聞いたことを話す。そもそも、誘拐された類の妹・春奈を返還するため、類が犯人から指定された新太・由乃・萩戸・めぐみの4人に「未来日記」を渡したことで、“ゲーム""は始まったのだ。  　同じ頃、新太と由乃は、いちるの望みを持って新太の父・九郎(光石研)が勤めるクロノスシード社を訪ねたが、九郎は在籍していなかった。自分が父を殺してしまったかもしれない、と落ち込む新太に由乃は、ゲームに勝って最後のひとりに残れば九郎を取り戻せるはずだと話す。新太は信じられないが、由乃はそれがルールだから、と笑顔を見"&amp;"せた。  　その後、類とめぐみが話しているところに新太がやってきた。類は新太に、めぐみが自分が家庭教師として面倒をみていた生徒だと話す。")</f>
        <v>星野新太(岡田将生)、古崎由乃(剛力彩芽)、森口類(本郷奏多)、沖江春奈(福田麻由子)は新太と由乃の「未来日記」の画面に現れたゲームの主催者・デウスからのメッセージをみる。デウスは「未来日記」を所持するのが7名で、残り1名になるまでお互いを殺し合え、と指示。最後まで生き残ったものには、素晴らしい未来を与えると約束した。  　そんな新太たちを物陰から見つめる制服姿の少女がいた。その少女・不破めぐみ(二階堂ふみ)も「未来日記」の所有者だった。その後、類は自分を訪ねてきた刑事で「未来日記」所有者の萩戸(岡田義徳)に、デウスから聞いたことを話す。そもそも、誘拐された類の妹・春奈を返還するため、類が犯人から指定された新太・由乃・萩戸・めぐみの4人に「未来日記」を渡したことで、“ゲーム"は始まったのだ。  　同じ頃、新太と由乃は、いちるの望みを持って新太の父・九郎(光石研)が勤めるクロノスシード社を訪ねたが、九郎は在籍していなかった。自分が父を殺してしまったかもしれない、と落ち込む新太に由乃は、ゲームに勝って最後のひとりに残れば九郎を取り戻せるはずだと話す。新太は信じられないが、由乃はそれがルールだから、と笑顔を見せた。  　その後、類とめぐみが話しているところに新太がやってきた。類は新太に、めぐみが自分が家庭教師として面倒をみていた生徒だと話す。</v>
      </c>
      <c r="N1266" s="2"/>
      <c r="O1266" s="2"/>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row>
    <row r="1267" ht="204.75" customHeight="1">
      <c r="A1267" s="1">
        <v>3914.0</v>
      </c>
      <c r="B1267" s="2" t="s">
        <v>4048</v>
      </c>
      <c r="C1267" s="2">
        <f>IFERROR(__xludf.DUMMYFUNCTION("split(B1267,""_"")"),1204.0)</f>
        <v>1204</v>
      </c>
      <c r="D1267" s="2" t="str">
        <f>IFERROR(__xludf.DUMMYFUNCTION("""COMPUTED_VALUE"""),"CX")</f>
        <v>CX</v>
      </c>
      <c r="E1267" s="2" t="str">
        <f>IFERROR(__xludf.DUMMYFUNCTION("""COMPUTED_VALUE"""),"土23")</f>
        <v>土23</v>
      </c>
      <c r="F1267" s="2" t="s">
        <v>4049</v>
      </c>
      <c r="G1267" s="2" t="s">
        <v>4056</v>
      </c>
      <c r="H1267" s="1">
        <v>3.0</v>
      </c>
      <c r="I1267" s="1" t="s">
        <v>10</v>
      </c>
      <c r="J1267" s="1" t="s">
        <v>2429</v>
      </c>
      <c r="K1267" s="2" t="s">
        <v>4057</v>
      </c>
      <c r="L1267" s="2" t="s">
        <v>4058</v>
      </c>
      <c r="M1267" s="2" t="str">
        <f>IFERROR(__xludf.DUMMYFUNCTION("split(split(K1267,""岡田将生　"",false),""公式LINE"",false)"),"星野新太(岡田将生)は、目を覚ますと古崎由乃(剛力彩芽)の自宅のソファにいた。服を着ていない自分に驚き由乃に尋ねるが、由乃は笑顔ではぐらかす。そんななか、テレビのニュースは、3人の被害者を出している連続通り魔事件について伝えていた。そのとき、新太の未来日記から更新音が鳴り、画面に「古崎由乃の家で通り魔を殺した」と表示された。  　そこへ、兄にお見舞いを頼まれたと言って森口類(本郷奏多)の妹の沖江春奈(福田麻由子)がやってくる。3時間後に通り魔を殺すかもしれない新太は春奈に帰るよう促し、春奈は由乃の家を後に"&amp;"した。そんな姿を、隠しカメラがとらえていたーー。  　同じ頃、高坂王子(菊池風磨)は、類に新太と由乃の2ショット写真を見せ、ふたりはどんな関係なのか、と聞き出そうとしていた。  　また、星野九郎(光石研)の失踪を不審に思ったクロノスシード社の社員が警察に捜査依頼を出し、萩戸金次郎(岡田義徳)が事情聴取にやってくる。ちょうどその頃、社長の木部徹(佐野史郎)が記者たちに囲まれていた。自社のスマートフォンが犯罪に使われていることについて聞かれた木部は、ある意味誇りだ、などと記者を煽るような発言をする。  　未来"&amp;"日記が予告した時間が近づくなか、新太に類からパソコンを見ろ、と電話が入る。そこにはなんと九郎からの動画メッセージが上がっていたのだった。")</f>
        <v>星野新太(岡田将生)は、目を覚ますと古崎由乃(剛力彩芽)の自宅のソファにいた。服を着ていない自分に驚き由乃に尋ねるが、由乃は笑顔ではぐらかす。そんななか、テレビのニュースは、3人の被害者を出している連続通り魔事件について伝えていた。そのとき、新太の未来日記から更新音が鳴り、画面に「古崎由乃の家で通り魔を殺した」と表示された。  　そこへ、兄にお見舞いを頼まれたと言って森口類(本郷奏多)の妹の沖江春奈(福田麻由子)がやってくる。3時間後に通り魔を殺すかもしれない新太は春奈に帰るよう促し、春奈は由乃の家を後にした。そんな姿を、隠しカメラがとらえていたーー。  　同じ頃、高坂王子(菊池風磨)は、類に新太と由乃の2ショット写真を見せ、ふたりはどんな関係なのか、と聞き出そうとしていた。  　また、星野九郎(光石研)の失踪を不審に思ったクロノスシード社の社員が警察に捜査依頼を出し、萩戸金次郎(岡田義徳)が事情聴取にやってくる。ちょうどその頃、社長の木部徹(佐野史郎)が記者たちに囲まれていた。自社のスマートフォンが犯罪に使われていることについて聞かれた木部は、ある意味誇りだ、などと記者を煽るような発言をする。  　未来日記が予告した時間が近づくなか、新太に類からパソコンを見ろ、と電話が入る。そこにはなんと九郎からの動画メッセージが上がっていたのだった。</v>
      </c>
      <c r="N1267" s="2"/>
      <c r="O1267" s="2"/>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row>
    <row r="1268" ht="204.75" customHeight="1">
      <c r="A1268" s="1">
        <v>3915.0</v>
      </c>
      <c r="B1268" s="2" t="s">
        <v>4048</v>
      </c>
      <c r="C1268" s="2">
        <f>IFERROR(__xludf.DUMMYFUNCTION("split(B1268,""_"")"),1204.0)</f>
        <v>1204</v>
      </c>
      <c r="D1268" s="2" t="str">
        <f>IFERROR(__xludf.DUMMYFUNCTION("""COMPUTED_VALUE"""),"CX")</f>
        <v>CX</v>
      </c>
      <c r="E1268" s="2" t="str">
        <f>IFERROR(__xludf.DUMMYFUNCTION("""COMPUTED_VALUE"""),"土23")</f>
        <v>土23</v>
      </c>
      <c r="F1268" s="2" t="s">
        <v>4049</v>
      </c>
      <c r="G1268" s="2" t="s">
        <v>4059</v>
      </c>
      <c r="H1268" s="1">
        <v>4.0</v>
      </c>
      <c r="I1268" s="1" t="s">
        <v>14</v>
      </c>
      <c r="J1268" s="1" t="s">
        <v>1435</v>
      </c>
      <c r="K1268" s="2" t="s">
        <v>4060</v>
      </c>
      <c r="L1268" s="2" t="s">
        <v>4061</v>
      </c>
      <c r="M1268" s="2" t="str">
        <f>IFERROR(__xludf.DUMMYFUNCTION("split(split(K1268,""岡田将生　"",false),""公式LINE"",false)"),"番組HP    http://www.fujitv.co.jp/mirai-nikki/　星野新太(岡田将生)、古崎由乃(剛力彩芽)、森口類(本郷奏多)、沖江春奈(福田麻由子)は、萩戸金次郎(岡田義徳)から、ゲームの主催者“デウス""とクロノス社の社長・木部徹(佐野史郎)が何らかの関係があるらしいと聞く。  　数日後、大学にいた新太は類から「クロノスシード社　会社説明会」と書かれたプリントを見せられる。クロノス社に潜入できる千載一遇のチャンスに、新太と類は真剣な表情になるが、何も知らない高坂王子(菊池風磨"&amp;")は自分も一緒に行く、と嬉しそうに身を乗り出す。  　翌日、リクルートスーツに身を包んだ新太、由乃、類、春奈がクロノス社にやってきた。ほかの学生たちが会社説明会会場に進むなか、新太たちは反対方向へと進んでいく。  　その頃、萩戸は同社の社長室で木部と対面していた。木部は萩戸に「彼らをここへ連れてくることが条件」だと言い、萩戸も自分が連絡すればすぐにやってくるから、と答えた。  　するとそこへ、類の携帯に萩戸からメールが届く。類が指示に従おうと動いたとき、新太と由乃の未来日記が更新され、「萩戸金次郎に銃で撃"&amp;"たれる」というメッセージが表示された。驚く新太に類は、デウスがデタラメに送っただけだと言い、萩戸から指示された場所へと急ぐ。  　そしてやってきた場所で、新太たちは萩戸と落ち合うのだったが・・・。")</f>
        <v>番組HP    http://www.fujitv.co.jp/mirai-nikki/　星野新太(岡田将生)、古崎由乃(剛力彩芽)、森口類(本郷奏多)、沖江春奈(福田麻由子)は、萩戸金次郎(岡田義徳)から、ゲームの主催者“デウス"とクロノス社の社長・木部徹(佐野史郎)が何らかの関係があるらしいと聞く。  　数日後、大学にいた新太は類から「クロノスシード社　会社説明会」と書かれたプリントを見せられる。クロノス社に潜入できる千載一遇のチャンスに、新太と類は真剣な表情になるが、何も知らない高坂王子(菊池風磨)は自分も一緒に行く、と嬉しそうに身を乗り出す。  　翌日、リクルートスーツに身を包んだ新太、由乃、類、春奈がクロノス社にやってきた。ほかの学生たちが会社説明会会場に進むなか、新太たちは反対方向へと進んでいく。  　その頃、萩戸は同社の社長室で木部と対面していた。木部は萩戸に「彼らをここへ連れてくることが条件」だと言い、萩戸も自分が連絡すればすぐにやってくるから、と答えた。  　するとそこへ、類の携帯に萩戸からメールが届く。類が指示に従おうと動いたとき、新太と由乃の未来日記が更新され、「萩戸金次郎に銃で撃たれる」というメッセージが表示された。驚く新太に類は、デウスがデタラメに送っただけだと言い、萩戸から指示された場所へと急ぐ。  　そしてやってきた場所で、新太たちは萩戸と落ち合うのだったが・・・。</v>
      </c>
      <c r="N1268" s="2"/>
      <c r="O1268" s="2"/>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row>
    <row r="1269" ht="204.75" customHeight="1">
      <c r="A1269" s="1">
        <v>3916.0</v>
      </c>
      <c r="B1269" s="2" t="s">
        <v>4048</v>
      </c>
      <c r="C1269" s="2">
        <f>IFERROR(__xludf.DUMMYFUNCTION("split(B1269,""_"")"),1204.0)</f>
        <v>1204</v>
      </c>
      <c r="D1269" s="2" t="str">
        <f>IFERROR(__xludf.DUMMYFUNCTION("""COMPUTED_VALUE"""),"CX")</f>
        <v>CX</v>
      </c>
      <c r="E1269" s="2" t="str">
        <f>IFERROR(__xludf.DUMMYFUNCTION("""COMPUTED_VALUE"""),"土23")</f>
        <v>土23</v>
      </c>
      <c r="F1269" s="2" t="s">
        <v>4049</v>
      </c>
      <c r="G1269" s="2" t="s">
        <v>4062</v>
      </c>
      <c r="H1269" s="1">
        <v>5.0</v>
      </c>
      <c r="I1269" s="1" t="s">
        <v>17</v>
      </c>
      <c r="J1269" s="1" t="s">
        <v>2429</v>
      </c>
      <c r="K1269" s="2" t="s">
        <v>4063</v>
      </c>
      <c r="L1269" s="2" t="s">
        <v>4064</v>
      </c>
      <c r="M1269" s="2" t="str">
        <f>IFERROR(__xludf.DUMMYFUNCTION("split(split(K1269,""岡田将生　"",false),""公式LINE"",false)"),"「2012ロンドンオリンピックバレーボール世界最終予選　女子日本×ペルー」延長の際、放送時間繰り下げの場合あり。      番組HP    http://www.fujitv.co.jp/mirai-nikki/　意識を取り戻した星野新太(岡田将生)、古崎由乃(剛力彩芽)、沖江春奈(福田麻由子)は、お互いの無事を喜ぶが、そこに森口類(本郷奏多)の姿はなかった。  　その頃、類はクロノス社の社長室で萩戸金次郎(岡田義徳)の消失を目にし、愕然としていた。社長・木部徹(佐野史郎)が自身の未来日記を確認すると、「"&amp;"DEAD　END」の表示が消えていく。ところが次の瞬間、ザザッというノイズ音がし再び「DEAD　END」の表示が。木部は内線を手に取ると、社内にいる新太ら未来日記の所有者を捕らえろ、と命じた。  　それを聞いた類は、新太たちのところへ駆け込み、木部に狙われているから逃げろ、と指示。そこへ、3人のSPがやってくる。新太たちは慌てて逃げ出すが、そのときSPがスマートフォンを手にしているのを目撃する。  　新太たちは、なんとか無人の部屋に逃げ込むが、類は萩戸が守ろうとしていた人質・上原倫子(中村ゆり)を返しても"&amp;"らうと言って木部の元に戻っていく。不安がる春奈に新太は、安全な隠れ場所が見つかったら自分が類を助けに行く、と約束。由乃は反発するが、新太はデウスかもしれない木部に会うために潜入したのだから逃げられない、と言い切る。すると、由乃が木部はデウスではないから会う必要がない、と返した。なぜそんなことがわかるのか、と尋ねた春奈に、由乃は答えられない。新太もそんな由乃に引っかかりを感じ…。")</f>
        <v>「2012ロンドンオリンピックバレーボール世界最終予選　女子日本×ペルー」延長の際、放送時間繰り下げの場合あり。      番組HP    http://www.fujitv.co.jp/mirai-nikki/　意識を取り戻した星野新太(岡田将生)、古崎由乃(剛力彩芽)、沖江春奈(福田麻由子)は、お互いの無事を喜ぶが、そこに森口類(本郷奏多)の姿はなかった。  　その頃、類はクロノス社の社長室で萩戸金次郎(岡田義徳)の消失を目にし、愕然としていた。社長・木部徹(佐野史郎)が自身の未来日記を確認すると、「DEAD　END」の表示が消えていく。ところが次の瞬間、ザザッというノイズ音がし再び「DEAD　END」の表示が。木部は内線を手に取ると、社内にいる新太ら未来日記の所有者を捕らえろ、と命じた。  　それを聞いた類は、新太たちのところへ駆け込み、木部に狙われているから逃げろ、と指示。そこへ、3人のSPがやってくる。新太たちは慌てて逃げ出すが、そのときSPがスマートフォンを手にしているのを目撃する。  　新太たちは、なんとか無人の部屋に逃げ込むが、類は萩戸が守ろうとしていた人質・上原倫子(中村ゆり)を返してもらうと言って木部の元に戻っていく。不安がる春奈に新太は、安全な隠れ場所が見つかったら自分が類を助けに行く、と約束。由乃は反発するが、新太はデウスかもしれない木部に会うために潜入したのだから逃げられない、と言い切る。すると、由乃が木部はデウスではないから会う必要がない、と返した。なぜそんなことがわかるのか、と尋ねた春奈に、由乃は答えられない。新太もそんな由乃に引っかかりを感じ…。</v>
      </c>
      <c r="N1269" s="2"/>
      <c r="O1269" s="2"/>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row>
    <row r="1270" ht="204.75" customHeight="1">
      <c r="A1270" s="1">
        <v>3917.0</v>
      </c>
      <c r="B1270" s="2" t="s">
        <v>4048</v>
      </c>
      <c r="C1270" s="2">
        <f>IFERROR(__xludf.DUMMYFUNCTION("split(B1270,""_"")"),1204.0)</f>
        <v>1204</v>
      </c>
      <c r="D1270" s="2" t="str">
        <f>IFERROR(__xludf.DUMMYFUNCTION("""COMPUTED_VALUE"""),"CX")</f>
        <v>CX</v>
      </c>
      <c r="E1270" s="2" t="str">
        <f>IFERROR(__xludf.DUMMYFUNCTION("""COMPUTED_VALUE"""),"土23")</f>
        <v>土23</v>
      </c>
      <c r="F1270" s="2" t="s">
        <v>4049</v>
      </c>
      <c r="G1270" s="2" t="s">
        <v>4065</v>
      </c>
      <c r="H1270" s="1">
        <v>6.0</v>
      </c>
      <c r="I1270" s="1" t="s">
        <v>21</v>
      </c>
      <c r="J1270" s="1" t="s">
        <v>2429</v>
      </c>
      <c r="K1270" s="2" t="s">
        <v>4066</v>
      </c>
      <c r="L1270" s="2" t="s">
        <v>4067</v>
      </c>
      <c r="M1270" s="2" t="str">
        <f>IFERROR(__xludf.DUMMYFUNCTION("split(split(K1270,""岡田将生　"",false),""公式LINE"",false)"),"「2012ロンドンオリンピックバレーボール世界最終予選　女子　日本×ロシア」延長の際、放送時間繰り下げの場合あり。    番組HP    http://www.fujitv.co.jp/mirai-nikki/　ベッドに手足を拘束された星野新太(岡田将生)は、古崎由乃(剛力彩芽)に何を隠しているのか、と問い詰めるが、由乃ははぐらかす。そんなとき、ふたりの「未来日記」にデウスからメッセージが届く。デウスは、ゲームに勝ち残っている新太、由乃、沖江春奈(福田麻由子)の3人で残り3日を戦い抜け、と命じた。このまま"&amp;"では新太が春奈に殺されてしまうと焦る由乃は、ナイフを手にして春奈を殺しに行こうとする。  　同じ頃、森口類(本郷奏多)は、「未来日記」によって人間が消失するシステムを解明しようと図書館で調べ物をしていた。そこに春奈がいたので新太の所在を尋ねると、新太はまだ迷っているがもうすぐ答えを出すはずだ、と言って「未来日記」を指し示す。そんなところへ、高坂王子(菊池風磨)が小学生くらいの子供を連れてやってくる。塾のアルバイトで知り合った子供たちに、大学見学ツアーをしているところだと言う。  　一方、由乃の家から脱出し"&amp;"た新太は、電話で呼び出した類を待っていた。するとそこに、春奈がやってきた。春奈は、新太に起こったことすべてを知っていて、由乃の「未来日記」を壊してくれと頼む。新太は自分のポケットにある由乃の「未来日記」を意識する。そこに類が到着した。新太と春奈を戦わせたくない類は、ふたりに「未来日記」を渡してしまった自分を責める。そして新太の「未来日記」でDEAD　ENDのカウントダウンが迫り・・・。")</f>
        <v>「2012ロンドンオリンピックバレーボール世界最終予選　女子　日本×ロシア」延長の際、放送時間繰り下げの場合あり。    番組HP    http://www.fujitv.co.jp/mirai-nikki/　ベッドに手足を拘束された星野新太(岡田将生)は、古崎由乃(剛力彩芽)に何を隠しているのか、と問い詰めるが、由乃ははぐらかす。そんなとき、ふたりの「未来日記」にデウスからメッセージが届く。デウスは、ゲームに勝ち残っている新太、由乃、沖江春奈(福田麻由子)の3人で残り3日を戦い抜け、と命じた。このままでは新太が春奈に殺されてしまうと焦る由乃は、ナイフを手にして春奈を殺しに行こうとする。  　同じ頃、森口類(本郷奏多)は、「未来日記」によって人間が消失するシステムを解明しようと図書館で調べ物をしていた。そこに春奈がいたので新太の所在を尋ねると、新太はまだ迷っているがもうすぐ答えを出すはずだ、と言って「未来日記」を指し示す。そんなところへ、高坂王子(菊池風磨)が小学生くらいの子供を連れてやってくる。塾のアルバイトで知り合った子供たちに、大学見学ツアーをしているところだと言う。  　一方、由乃の家から脱出した新太は、電話で呼び出した類を待っていた。するとそこに、春奈がやってきた。春奈は、新太に起こったことすべてを知っていて、由乃の「未来日記」を壊してくれと頼む。新太は自分のポケットにある由乃の「未来日記」を意識する。そこに類が到着した。新太と春奈を戦わせたくない類は、ふたりに「未来日記」を渡してしまった自分を責める。そして新太の「未来日記」でDEAD　ENDのカウントダウンが迫り・・・。</v>
      </c>
      <c r="N1270" s="2"/>
      <c r="O1270" s="2"/>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row>
    <row r="1271" ht="204.75" customHeight="1">
      <c r="A1271" s="1">
        <v>3918.0</v>
      </c>
      <c r="B1271" s="2" t="s">
        <v>4048</v>
      </c>
      <c r="C1271" s="2">
        <f>IFERROR(__xludf.DUMMYFUNCTION("split(B1271,""_"")"),1204.0)</f>
        <v>1204</v>
      </c>
      <c r="D1271" s="2" t="str">
        <f>IFERROR(__xludf.DUMMYFUNCTION("""COMPUTED_VALUE"""),"CX")</f>
        <v>CX</v>
      </c>
      <c r="E1271" s="2" t="str">
        <f>IFERROR(__xludf.DUMMYFUNCTION("""COMPUTED_VALUE"""),"土23")</f>
        <v>土23</v>
      </c>
      <c r="F1271" s="2" t="s">
        <v>4049</v>
      </c>
      <c r="G1271" s="2" t="s">
        <v>4068</v>
      </c>
      <c r="H1271" s="1">
        <v>7.0</v>
      </c>
      <c r="I1271" s="1" t="s">
        <v>25</v>
      </c>
      <c r="J1271" s="1" t="s">
        <v>2429</v>
      </c>
      <c r="K1271" s="2" t="s">
        <v>4069</v>
      </c>
      <c r="L1271" s="2" t="s">
        <v>4070</v>
      </c>
      <c r="M1271" s="2" t="str">
        <f>IFERROR(__xludf.DUMMYFUNCTION("split(split(K1271,""岡田将生　"",false),""公式LINE"",false)"),"古崎由乃(剛力彩芽)に消失させられてしまった星野新太(岡田将生)は、目を覚ますと会議室にいた。由乃に刺されたはずの胸を触るが無傷。  　気配を感じ振り返ると、そこには衝撃の光景が。  　沖江春奈(福田麻由子)、萩戸金次郎(岡田義徳)、木部徹(佐野史郎)、不破めぐみ(二階堂ふみ)ら消失したはずの面々がいたのだった。  　ここはどこなのか、と新太が聞くと、奥田陽介(平岡祐太)は「天国」だと答えた。　新太は、ここは「未来日記」を壊すことで発生する強い磁場が生み出した疑似的なブラックホールだろうと話し、木部に同意"&amp;"を求める。すると木部は、この部屋に見覚えはないか、と全員に尋ねてきた。  　新太はそんな木部に由乃の正体について聞く。木部が消失するとき、由乃が何か重要なことを言ったのが見えたからだ。木部は、由乃は何もかも覚えていたと答える。そして、自分たちは「未来日記」を手にする前にこの場所で会っている、と。さらに言葉を続けようとした瞬間、木部はまたも消失してしまう。  　その後、新太が森口類(本郷奏多)の所在を尋ねると、類は「未来日記」の所持者ではないからここにはいない、と春奈が答えた。それを聞いた萩戸が、新太の父親"&amp;"・九郎(光石研)も所在不明だと話す。そして、何かを思い出したように話し始めるが…。")</f>
        <v>古崎由乃(剛力彩芽)に消失させられてしまった星野新太(岡田将生)は、目を覚ますと会議室にいた。由乃に刺されたはずの胸を触るが無傷。  　気配を感じ振り返ると、そこには衝撃の光景が。  　沖江春奈(福田麻由子)、萩戸金次郎(岡田義徳)、木部徹(佐野史郎)、不破めぐみ(二階堂ふみ)ら消失したはずの面々がいたのだった。  　ここはどこなのか、と新太が聞くと、奥田陽介(平岡祐太)は「天国」だと答えた。　新太は、ここは「未来日記」を壊すことで発生する強い磁場が生み出した疑似的なブラックホールだろうと話し、木部に同意を求める。すると木部は、この部屋に見覚えはないか、と全員に尋ねてきた。  　新太はそんな木部に由乃の正体について聞く。木部が消失するとき、由乃が何か重要なことを言ったのが見えたからだ。木部は、由乃は何もかも覚えていたと答える。そして、自分たちは「未来日記」を手にする前にこの場所で会っている、と。さらに言葉を続けようとした瞬間、木部はまたも消失してしまう。  　その後、新太が森口類(本郷奏多)の所在を尋ねると、類は「未来日記」の所持者ではないからここにはいない、と春奈が答えた。それを聞いた萩戸が、新太の父親・九郎(光石研)も所在不明だと話す。そして、何かを思い出したように話し始めるが…。</v>
      </c>
      <c r="N1271" s="2"/>
      <c r="O1271" s="2"/>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row>
    <row r="1272" ht="204.75" customHeight="1">
      <c r="A1272" s="1">
        <v>3919.0</v>
      </c>
      <c r="B1272" s="2" t="s">
        <v>4048</v>
      </c>
      <c r="C1272" s="2">
        <f>IFERROR(__xludf.DUMMYFUNCTION("split(B1272,""_"")"),1204.0)</f>
        <v>1204</v>
      </c>
      <c r="D1272" s="2" t="str">
        <f>IFERROR(__xludf.DUMMYFUNCTION("""COMPUTED_VALUE"""),"CX")</f>
        <v>CX</v>
      </c>
      <c r="E1272" s="2" t="str">
        <f>IFERROR(__xludf.DUMMYFUNCTION("""COMPUTED_VALUE"""),"土23")</f>
        <v>土23</v>
      </c>
      <c r="F1272" s="2" t="s">
        <v>4049</v>
      </c>
      <c r="G1272" s="2" t="s">
        <v>4071</v>
      </c>
      <c r="H1272" s="1">
        <v>8.0</v>
      </c>
      <c r="I1272" s="1" t="s">
        <v>29</v>
      </c>
      <c r="J1272" s="1" t="s">
        <v>2429</v>
      </c>
      <c r="K1272" s="2" t="s">
        <v>4072</v>
      </c>
      <c r="L1272" s="2" t="s">
        <v>4073</v>
      </c>
      <c r="M1272" s="2" t="str">
        <f>IFERROR(__xludf.DUMMYFUNCTION("split(split(K1272,""岡田将生　"",false),""公式LINE"",false)"),"番組HP    http://www.fujitv.co.jp/mirai-nikki/　仮想空間オリンピアに再ログインした星野新太(岡田将生)は、父・九郎(光石研)から、デウスかもしれないと聞いた森口類(本郷奏多)に電話をするが切られてしまう。そのまま大学に類を探しに来ると、高坂王子(菊池風磨)が現れた。変わらず明るい高坂にホッとした新太は、類と連絡が取れたら自分に教えてくれと頼む。  　その後、類と連絡が取れたと、高坂が声をかけてきた。類との待ち合わせ場所にやってきた新太は、消失した類が目の前にいるこ"&amp;"とが嬉しくて抱きしめる。一方の類は、誘拐された沖江春奈(福田麻由子)を探していたところだった。その事件を経験している新太は、類を連れて春奈が拘束されているプラネタリウムへ行き、春奈を救出。そして、春奈が隠していた「未来日記」を取り出し、これは自分と萩戸金次郎(岡田義徳)に渡したものと同じだろうと類に尋ねた。  　わけが分からない類や春奈に、新太はすべて話し、近い将来、「未来日記」を持つ者同士で殺し合いが始まると明かした。そして、それを止めるためにデウスを探していることも。最初は不審がっていた萩戸もやがて新"&amp;"太を信じるようになる。  　新太は、古崎由乃(剛力彩芽)に「未来日記」を渡したのも類だったことを思い出し、由乃の正体を尋ねる。しかし類は、普通の子だ、としか答えなかった。  　その後、新太が自宅に戻ると、旅行鞄を持った九郎が家を出るところだった…。")</f>
        <v>番組HP    http://www.fujitv.co.jp/mirai-nikki/　仮想空間オリンピアに再ログインした星野新太(岡田将生)は、父・九郎(光石研)から、デウスかもしれないと聞いた森口類(本郷奏多)に電話をするが切られてしまう。そのまま大学に類を探しに来ると、高坂王子(菊池風磨)が現れた。変わらず明るい高坂にホッとした新太は、類と連絡が取れたら自分に教えてくれと頼む。  　その後、類と連絡が取れたと、高坂が声をかけてきた。類との待ち合わせ場所にやってきた新太は、消失した類が目の前にいることが嬉しくて抱きしめる。一方の類は、誘拐された沖江春奈(福田麻由子)を探していたところだった。その事件を経験している新太は、類を連れて春奈が拘束されているプラネタリウムへ行き、春奈を救出。そして、春奈が隠していた「未来日記」を取り出し、これは自分と萩戸金次郎(岡田義徳)に渡したものと同じだろうと類に尋ねた。  　わけが分からない類や春奈に、新太はすべて話し、近い将来、「未来日記」を持つ者同士で殺し合いが始まると明かした。そして、それを止めるためにデウスを探していることも。最初は不審がっていた萩戸もやがて新太を信じるようになる。  　新太は、古崎由乃(剛力彩芽)に「未来日記」を渡したのも類だったことを思い出し、由乃の正体を尋ねる。しかし類は、普通の子だ、としか答えなかった。  　その後、新太が自宅に戻ると、旅行鞄を持った九郎が家を出るところだった…。</v>
      </c>
      <c r="N1272" s="2"/>
      <c r="O1272" s="2"/>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row>
    <row r="1273" ht="204.75" customHeight="1">
      <c r="A1273" s="1">
        <v>3920.0</v>
      </c>
      <c r="B1273" s="2" t="s">
        <v>4048</v>
      </c>
      <c r="C1273" s="2">
        <f>IFERROR(__xludf.DUMMYFUNCTION("split(B1273,""_"")"),1204.0)</f>
        <v>1204</v>
      </c>
      <c r="D1273" s="2" t="str">
        <f>IFERROR(__xludf.DUMMYFUNCTION("""COMPUTED_VALUE"""),"CX")</f>
        <v>CX</v>
      </c>
      <c r="E1273" s="2" t="str">
        <f>IFERROR(__xludf.DUMMYFUNCTION("""COMPUTED_VALUE"""),"土23")</f>
        <v>土23</v>
      </c>
      <c r="F1273" s="2" t="s">
        <v>4049</v>
      </c>
      <c r="G1273" s="2" t="s">
        <v>4074</v>
      </c>
      <c r="H1273" s="1">
        <v>9.0</v>
      </c>
      <c r="I1273" s="1" t="s">
        <v>33</v>
      </c>
      <c r="J1273" s="1" t="s">
        <v>2429</v>
      </c>
      <c r="K1273" s="2" t="s">
        <v>4075</v>
      </c>
      <c r="L1273" s="2" t="s">
        <v>4076</v>
      </c>
      <c r="M1273" s="2" t="str">
        <f>IFERROR(__xludf.DUMMYFUNCTION("split(split(K1273,""岡田将生　"",false),""公式LINE"",false)"),"番組HP    http://www.fujitv.co.jp/mirai-nikki/　星野新太(岡田将生)は、古崎由乃(剛力彩芽)を追って家を飛び出そうとしたもう1人の由乃を引きとめると、由乃が2人いる理由を問いただす。由乃は涙ぐみながら、自分たちはずっと前に会っているのだと、真実を話し始めたーー。  　今から1年前の春、2人はプラネタリウムで出会っていた。言葉を交わし、少し寂しそうな由乃が気になった新太は由乃をデートに誘う。翌日、2人は高坂王子(菊池風磨)とともに野球デートを楽しんだ。その後、2人は"&amp;"交際を重ねる。そして夏祭りの夜、新太はスーパーボールすくいで取ったあのボールを由乃に渡したのだ。幸せの絶頂にいた2人だったが、1年後、大きな火災に巻き込まれてしまう。  　ケガを負った由乃は病院のベッドで目を覚ました。由乃は傍にいた須藤霞海(伊藤歩)に新太の居場所を尋ねる。さっきまで仮想空間で新太に会っていたからだ。しかし、須藤はそれを夢だと言うと、その場を立ち去った。2人でいれば大丈夫、といつも自分を励ましてくれた新太がいない現実に、由乃は耐えられない。そんな由乃を見かねた須藤は、クロノスシード社の開発"&amp;"研究所で眠る沖江春奈(福田麻由子)ら5人と新太の姿を由乃に見せた。新太たちは、オリンピアに繋がれていたのだ。どうしても新太に会いたい由乃は、自分をもう一度繋いでくれ、と必死に懇願する。")</f>
        <v>番組HP    http://www.fujitv.co.jp/mirai-nikki/　星野新太(岡田将生)は、古崎由乃(剛力彩芽)を追って家を飛び出そうとしたもう1人の由乃を引きとめると、由乃が2人いる理由を問いただす。由乃は涙ぐみながら、自分たちはずっと前に会っているのだと、真実を話し始めたーー。  　今から1年前の春、2人はプラネタリウムで出会っていた。言葉を交わし、少し寂しそうな由乃が気になった新太は由乃をデートに誘う。翌日、2人は高坂王子(菊池風磨)とともに野球デートを楽しんだ。その後、2人は交際を重ねる。そして夏祭りの夜、新太はスーパーボールすくいで取ったあのボールを由乃に渡したのだ。幸せの絶頂にいた2人だったが、1年後、大きな火災に巻き込まれてしまう。  　ケガを負った由乃は病院のベッドで目を覚ました。由乃は傍にいた須藤霞海(伊藤歩)に新太の居場所を尋ねる。さっきまで仮想空間で新太に会っていたからだ。しかし、須藤はそれを夢だと言うと、その場を立ち去った。2人でいれば大丈夫、といつも自分を励ましてくれた新太がいない現実に、由乃は耐えられない。そんな由乃を見かねた須藤は、クロノスシード社の開発研究所で眠る沖江春奈(福田麻由子)ら5人と新太の姿を由乃に見せた。新太たちは、オリンピアに繋がれていたのだ。どうしても新太に会いたい由乃は、自分をもう一度繋いでくれ、と必死に懇願する。</v>
      </c>
      <c r="N1273" s="2"/>
      <c r="O1273" s="2"/>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row>
    <row r="1274" ht="204.75" customHeight="1">
      <c r="A1274" s="1">
        <v>3921.0</v>
      </c>
      <c r="B1274" s="2" t="s">
        <v>4048</v>
      </c>
      <c r="C1274" s="2">
        <f>IFERROR(__xludf.DUMMYFUNCTION("split(B1274,""_"")"),1204.0)</f>
        <v>1204</v>
      </c>
      <c r="D1274" s="2" t="str">
        <f>IFERROR(__xludf.DUMMYFUNCTION("""COMPUTED_VALUE"""),"CX")</f>
        <v>CX</v>
      </c>
      <c r="E1274" s="2" t="str">
        <f>IFERROR(__xludf.DUMMYFUNCTION("""COMPUTED_VALUE"""),"土23")</f>
        <v>土23</v>
      </c>
      <c r="F1274" s="2" t="s">
        <v>4049</v>
      </c>
      <c r="G1274" s="2" t="s">
        <v>4077</v>
      </c>
      <c r="H1274" s="1">
        <v>10.0</v>
      </c>
      <c r="I1274" s="1" t="s">
        <v>37</v>
      </c>
      <c r="J1274" s="1" t="s">
        <v>2429</v>
      </c>
      <c r="K1274" s="2" t="s">
        <v>4078</v>
      </c>
      <c r="L1274" s="2" t="s">
        <v>4079</v>
      </c>
      <c r="M1274" s="2" t="str">
        <f>IFERROR(__xludf.DUMMYFUNCTION("split(split(K1274,""岡田将生　"",false),""公式LINE"",false)"),"番組HP    http://www.fujitv.co.jp/mirai-nikki/　星野新太(岡田将生)は、倒れた古崎由乃(剛力彩芽)を抱きかかえ名前を呼び続けた。その光景を見たもう1人の由乃(剛力彩芽)は、驚きと混乱でその場を走り去る。そんな由乃の姿を陰から見守り、手にしたクロノスシード社のスマートフォンで電話を掛ける謎の人影。  　そのとき、新太の電話にデウスから着信が。デウスは、近々、新太に大事な決断をしてもらう、と言うと電話を切った。  　そんな中、由乃が目を覚ます。新太は安堵したが、由乃の"&amp;"体調が心配で一緒に現実世界に帰ろうと言う。由乃は、自分に現実世界に戻るだけの体力がない事を知りながらも、笑顔で応える。由乃の為にも、デウスを見つけ解除コードを打たなければならない新太は、高坂王子(菊池風磨)に由乃を託すと、デウスを探しに行く。  　一方、沖江春奈(福田麻由子)は、何者かに渡されたスマートフォンを森口類(本郷奏多)に差し出した。類が「日記」のアイコンをタップすると、パシャリと音がして類の顔を認識、「類の未来日記」に変化した。そして、「新太が類に嘘をつく」というメッセージが表示された。  　ク"&amp;"ロノスシード社にやってきた新太は、社長室で木部徹(佐野史郎)や萩戸金次郎(岡田義徳)らと合流する。彼らは、木部に「未来日記」を渡した神宮寺という女がデウスだと推測するが、警察が調べても神宮寺は戸籍上存在しないという。それを聞いた新太は…")</f>
        <v>番組HP    http://www.fujitv.co.jp/mirai-nikki/　星野新太(岡田将生)は、倒れた古崎由乃(剛力彩芽)を抱きかかえ名前を呼び続けた。その光景を見たもう1人の由乃(剛力彩芽)は、驚きと混乱でその場を走り去る。そんな由乃の姿を陰から見守り、手にしたクロノスシード社のスマートフォンで電話を掛ける謎の人影。  　そのとき、新太の電話にデウスから着信が。デウスは、近々、新太に大事な決断をしてもらう、と言うと電話を切った。  　そんな中、由乃が目を覚ます。新太は安堵したが、由乃の体調が心配で一緒に現実世界に帰ろうと言う。由乃は、自分に現実世界に戻るだけの体力がない事を知りながらも、笑顔で応える。由乃の為にも、デウスを見つけ解除コードを打たなければならない新太は、高坂王子(菊池風磨)に由乃を託すと、デウスを探しに行く。  　一方、沖江春奈(福田麻由子)は、何者かに渡されたスマートフォンを森口類(本郷奏多)に差し出した。類が「日記」のアイコンをタップすると、パシャリと音がして類の顔を認識、「類の未来日記」に変化した。そして、「新太が類に嘘をつく」というメッセージが表示された。  　クロノスシード社にやってきた新太は、社長室で木部徹(佐野史郎)や萩戸金次郎(岡田義徳)らと合流する。彼らは、木部に「未来日記」を渡した神宮寺という女がデウスだと推測するが、警察が調べても神宮寺は戸籍上存在しないという。それを聞いた新太は…</v>
      </c>
      <c r="N1274" s="2"/>
      <c r="O1274" s="2"/>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row>
    <row r="1275" ht="204.75" customHeight="1">
      <c r="A1275" s="1">
        <v>3922.0</v>
      </c>
      <c r="B1275" s="2" t="s">
        <v>4048</v>
      </c>
      <c r="C1275" s="2">
        <f>IFERROR(__xludf.DUMMYFUNCTION("split(B1275,""_"")"),1204.0)</f>
        <v>1204</v>
      </c>
      <c r="D1275" s="2" t="str">
        <f>IFERROR(__xludf.DUMMYFUNCTION("""COMPUTED_VALUE"""),"CX")</f>
        <v>CX</v>
      </c>
      <c r="E1275" s="2" t="str">
        <f>IFERROR(__xludf.DUMMYFUNCTION("""COMPUTED_VALUE"""),"土23")</f>
        <v>土23</v>
      </c>
      <c r="F1275" s="2" t="s">
        <v>4049</v>
      </c>
      <c r="G1275" s="2" t="s">
        <v>4080</v>
      </c>
      <c r="H1275" s="1">
        <v>11.0</v>
      </c>
      <c r="I1275" s="1" t="s">
        <v>41</v>
      </c>
      <c r="J1275" s="1" t="s">
        <v>2429</v>
      </c>
      <c r="K1275" s="2" t="s">
        <v>4081</v>
      </c>
      <c r="L1275" s="2" t="s">
        <v>4082</v>
      </c>
      <c r="M1275" s="2" t="str">
        <f>IFERROR(__xludf.DUMMYFUNCTION("split(split(K1275,""岡田将生　"",false),""公式LINE"",false)"),"番組HP    http://www.fujitv.co.jp/mirai-nikki/　星野新太(岡田将生)が目を覚ますと、そばには森口類(本郷奏多)が立っていた。新太は類に、古崎由乃(剛力彩芽)の所在を聞くが、類は心を失ったような瞳をしたまま答えない。その手に握られていた「未来日記」には、新太が初めて自分に嘘をついた、と表示されていた。すると、正気になった類が、自分に隠していることを教えてくれ、と懇願する。新太が答えられずにいると、デウス=神宮寺零(内田有紀)が現れた。　一方、ある場所に拘束されていた"&amp;"由乃、沖江春奈(福田麻由子)、奥田陽介(平岡祐太)、不破めぐみ(二階堂ふみ)、萩戸金次郎(岡田義徳)、木部徹(佐野史郎)は、モニターに映し出されたデウスのメッセージを見ていた。「勝者は1人、敗者には死が待っている。お互いの未来を奪い合え」というメッセージとともに、全員の「未来日記」にノイズが走りデッドエンドが表示される。過去に同じ経験をした記憶がある・・・おぼろげにそう思いながらも、天井から6丁の拳銃が落ちてくると、奥田が銃を拾ったのを合図に全員が銃を手にした。  　その様子を神宮寺とともに見ていた新太は"&amp;"、早くラストピースを見つけないとオリンピアが崩壊すると聞かされる。ラストピースがはまりオリンピアが完成すれば、すべての願いが叶い、現実世界も救われると聞いた新太は、悩んだ末に・・・。")</f>
        <v>番組HP    http://www.fujitv.co.jp/mirai-nikki/　星野新太(岡田将生)が目を覚ますと、そばには森口類(本郷奏多)が立っていた。新太は類に、古崎由乃(剛力彩芽)の所在を聞くが、類は心を失ったような瞳をしたまま答えない。その手に握られていた「未来日記」には、新太が初めて自分に嘘をついた、と表示されていた。すると、正気になった類が、自分に隠していることを教えてくれ、と懇願する。新太が答えられずにいると、デウス=神宮寺零(内田有紀)が現れた。　一方、ある場所に拘束されていた由乃、沖江春奈(福田麻由子)、奥田陽介(平岡祐太)、不破めぐみ(二階堂ふみ)、萩戸金次郎(岡田義徳)、木部徹(佐野史郎)は、モニターに映し出されたデウスのメッセージを見ていた。「勝者は1人、敗者には死が待っている。お互いの未来を奪い合え」というメッセージとともに、全員の「未来日記」にノイズが走りデッドエンドが表示される。過去に同じ経験をした記憶がある・・・おぼろげにそう思いながらも、天井から6丁の拳銃が落ちてくると、奥田が銃を拾ったのを合図に全員が銃を手にした。  　その様子を神宮寺とともに見ていた新太は、早くラストピースを見つけないとオリンピアが崩壊すると聞かされる。ラストピースがはまりオリンピアが完成すれば、すべての願いが叶い、現実世界も救われると聞いた新太は、悩んだ末に・・・。</v>
      </c>
      <c r="N1275" s="2"/>
      <c r="O1275" s="2"/>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row>
    <row r="1276" ht="204.75" customHeight="1">
      <c r="A1276" s="1">
        <v>3934.0</v>
      </c>
      <c r="B1276" s="2" t="s">
        <v>4083</v>
      </c>
      <c r="C1276" s="2">
        <f>IFERROR(__xludf.DUMMYFUNCTION("split(B1276,""_"")"),1204.0)</f>
        <v>1204</v>
      </c>
      <c r="D1276" s="2" t="str">
        <f>IFERROR(__xludf.DUMMYFUNCTION("""COMPUTED_VALUE"""),"CX")</f>
        <v>CX</v>
      </c>
      <c r="E1276" s="2" t="str">
        <f>IFERROR(__xludf.DUMMYFUNCTION("""COMPUTED_VALUE"""),"日21")</f>
        <v>日21</v>
      </c>
      <c r="F1276" s="2" t="s">
        <v>4084</v>
      </c>
      <c r="G1276" s="2" t="s">
        <v>4085</v>
      </c>
      <c r="H1276" s="1">
        <v>1.0</v>
      </c>
      <c r="I1276" s="1" t="s">
        <v>3</v>
      </c>
      <c r="J1276" s="1" t="s">
        <v>4</v>
      </c>
      <c r="K1276" s="4" t="s">
        <v>4086</v>
      </c>
      <c r="L1276" s="2" t="s">
        <v>4087</v>
      </c>
      <c r="M1276" s="2" t="str">
        <f>IFERROR(__xludf.DUMMYFUNCTION("split(split(K1276,""早川正義　"",false),""公式LINE"",false)"),"早川正義(オダギリ　ジョー)は13年前、超人気ロックバンド『UNDER　CLOUD』のメンバーとして、爆発的な人気を獲得していた。初めて手がけた曲がミリオンヒットを記録、群がるファンをよりどりみどりにつまみ食い。日本、いや地球、いや宇宙ですら正義のためにまわっていると思えるほどだったが、人気絶頂でバンドは突然解散を発表。正義は、俺1人でもやっていけるはずだとソロデビューする。ところが新曲をリリースするたび人気は急降下の一途をたどり、気がつけば世間から完全に忘れ去られた存在になっていた。  　そんな正義の現"&amp;"在の仕事といえば、週1回のラジオ番組だけ。正義の最大の理解者であるマネジャー・三木(ユースケ・サンタマリア)が必死の努力を重ねた結果、ある日、人気アーティストとのコラボ企画の仕事を取ってくる。が、内容が気にくわなかった正義はその打ち合わせの現場から三木をまいて逃げ出してしまう。  　旧知の水島明良(トータス松本)、朝子(大塚寧々)が経営するカレーダイニング&amp;バー「nanja」に逃げ込んだ正義は、朝子の妹のカメラマン・洋子(貫地谷しほり)を相手に先ほどのコラボ企画の件をグチる。洋子を相手に言いたい放題の正義"&amp;"。その様子を店の外から東海林秀蔵(藤竜也)という初老の男がうかがっていた。正義が店を出ると、秀蔵は正義を尾行し始める。尾行に気づかず歩く正義の前に…。")</f>
        <v>早川正義(オダギリ　ジョー)は13年前、超人気ロックバンド『UNDER　CLOUD』のメンバーとして、爆発的な人気を獲得していた。初めて手がけた曲がミリオンヒットを記録、群がるファンをよりどりみどりにつまみ食い。日本、いや地球、いや宇宙ですら正義のためにまわっていると思えるほどだったが、人気絶頂でバンドは突然解散を発表。正義は、俺1人でもやっていけるはずだとソロデビューする。ところが新曲をリリースするたび人気は急降下の一途をたどり、気がつけば世間から完全に忘れ去られた存在になっていた。  　そんな正義の現在の仕事といえば、週1回のラジオ番組だけ。正義の最大の理解者であるマネジャー・三木(ユースケ・サンタマリア)が必死の努力を重ねた結果、ある日、人気アーティストとのコラボ企画の仕事を取ってくる。が、内容が気にくわなかった正義はその打ち合わせの現場から三木をまいて逃げ出してしまう。  　旧知の水島明良(トータス松本)、朝子(大塚寧々)が経営するカレーダイニング&amp;バー「nanja」に逃げ込んだ正義は、朝子の妹のカメラマン・洋子(貫地谷しほり)を相手に先ほどのコラボ企画の件をグチる。洋子を相手に言いたい放題の正義。その様子を店の外から東海林秀蔵(藤竜也)という初老の男がうかがっていた。正義が店を出ると、秀蔵は正義を尾行し始める。尾行に気づかず歩く正義の前に…。</v>
      </c>
      <c r="N1276" s="2"/>
      <c r="O1276" s="2"/>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row>
    <row r="1277" ht="204.75" customHeight="1">
      <c r="A1277" s="1">
        <v>3935.0</v>
      </c>
      <c r="B1277" s="2" t="s">
        <v>4083</v>
      </c>
      <c r="C1277" s="2">
        <f>IFERROR(__xludf.DUMMYFUNCTION("split(B1277,""_"")"),1204.0)</f>
        <v>1204</v>
      </c>
      <c r="D1277" s="2" t="str">
        <f>IFERROR(__xludf.DUMMYFUNCTION("""COMPUTED_VALUE"""),"CX")</f>
        <v>CX</v>
      </c>
      <c r="E1277" s="2" t="str">
        <f>IFERROR(__xludf.DUMMYFUNCTION("""COMPUTED_VALUE"""),"日21")</f>
        <v>日21</v>
      </c>
      <c r="F1277" s="2" t="s">
        <v>4084</v>
      </c>
      <c r="G1277" s="2" t="s">
        <v>4088</v>
      </c>
      <c r="H1277" s="1">
        <v>2.0</v>
      </c>
      <c r="I1277" s="1" t="s">
        <v>7</v>
      </c>
      <c r="J1277" s="1" t="s">
        <v>11</v>
      </c>
      <c r="K1277" s="2" t="s">
        <v>4089</v>
      </c>
      <c r="L1277" s="8" t="s">
        <v>4090</v>
      </c>
      <c r="M1277" s="2" t="str">
        <f>IFERROR(__xludf.DUMMYFUNCTION("split(split(K1277,""早川正義　"",false),""公式LINE"",false)"),"早川正義(オダギリ　ジョー)は、突然家に押しかけてきた少女・大澤こころ(杉咲花)と、謎の老人・東海林秀蔵(藤竜也)に呆然とする。こころは、正義と母親が写っている14年前の写真週刊誌や日記を差し出して自分が娘であることを訴えると、現在は母親が家を出て行き、家賃が払えずアパートを追い出されたことを話す。逃げようとする正義を保護責任者遺棄で警察に訴えると脅すこころ。そんな中、正義の自宅にマネジャーの三木康佑(ユースケ・サンタマリア)がやって来た。こころや秀蔵、さらに同じく娘を名乗る松野美月(大森絢音)と、その弟"&amp;"・陸(藤本哉汰)の存在に混乱する三木。  　三木はCMソングの仕事を取ってきていて、それを正義に伝えるためにやってきたのだった。動物園のCMと聞いてやる気を見せない正義に、三木は仕事をしなければ給料は払わない、社宅である家も追い出すという事務所との新しい契約書にサインをさせて、強引に引き受けさせた。  　曲を翌日までに完成させなければいけない中、家に美月と陸の大量の荷物が届いたり、転校手続きのために小学校へ向ったりと忙しい正義。一方、こころはバイトを探していた。学校からの帰り道、街中でこころを見かけた正義"&amp;"たちは尾行を始めた。こころが向かったのは…。  　店にいた秀蔵から、こころも引き取ることを聞いた水島明良(トータス松本)と朝子(大塚寧々)は、電話で正義を呼び出す。オダギリ　ジョー　    ユースケ・サンタマリア　    貫地谷しほり　    ムロツヨシ　    中島健人(Sexy　Zone)　      杉咲花　  大森絢音　  藤本哉汰    　・　    藤竜也    　・　    前川泰之　    トータス松本　    大塚寧々　      東京スカパラダイスオーケストラ　    森公美子【脚本】"&amp;"  酒井雅秋【企画】  鹿内植　  瀧澤航一郎　    【プロデュース】  橋本芙美　    【監督】  岩田和行井筒昭雄　    【主題歌】  斉藤和義「月光」(スピードスターレコーズ)")</f>
        <v>早川正義(オダギリ　ジョー)は、突然家に押しかけてきた少女・大澤こころ(杉咲花)と、謎の老人・東海林秀蔵(藤竜也)に呆然とする。こころは、正義と母親が写っている14年前の写真週刊誌や日記を差し出して自分が娘であることを訴えると、現在は母親が家を出て行き、家賃が払えずアパートを追い出されたことを話す。逃げようとする正義を保護責任者遺棄で警察に訴えると脅すこころ。そんな中、正義の自宅にマネジャーの三木康佑(ユースケ・サンタマリア)がやって来た。こころや秀蔵、さらに同じく娘を名乗る松野美月(大森絢音)と、その弟・陸(藤本哉汰)の存在に混乱する三木。  　三木はCMソングの仕事を取ってきていて、それを正義に伝えるためにやってきたのだった。動物園のCMと聞いてやる気を見せない正義に、三木は仕事をしなければ給料は払わない、社宅である家も追い出すという事務所との新しい契約書にサインをさせて、強引に引き受けさせた。  　曲を翌日までに完成させなければいけない中、家に美月と陸の大量の荷物が届いたり、転校手続きのために小学校へ向ったりと忙しい正義。一方、こころはバイトを探していた。学校からの帰り道、街中でこころを見かけた正義たちは尾行を始めた。こころが向かったのは…。  　店にいた秀蔵から、こころも引き取ることを聞いた水島明良(トータス松本)と朝子(大塚寧々)は、電話で正義を呼び出す。オダギリ　ジョー　    ユースケ・サンタマリア　    貫地谷しほり　    ムロツヨシ　    中島健人(Sexy　Zone)　      杉咲花　  大森絢音　  藤本哉汰    　・　    藤竜也    　・　    前川泰之　    トータス松本　    大塚寧々　      東京スカパラダイスオーケストラ　    森公美子【脚本】  酒井雅秋【企画】  鹿内植　  瀧澤航一郎　    【プロデュース】  橋本芙美　    【監督】  岩田和行井筒昭雄　    【主題歌】  斉藤和義「月光」(スピードスターレコーズ)</v>
      </c>
      <c r="N1277" s="2"/>
      <c r="O1277" s="2"/>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row>
    <row r="1278" ht="204.75" customHeight="1">
      <c r="A1278" s="1">
        <v>3936.0</v>
      </c>
      <c r="B1278" s="2" t="s">
        <v>4083</v>
      </c>
      <c r="C1278" s="2">
        <f>IFERROR(__xludf.DUMMYFUNCTION("split(B1278,""_"")"),1204.0)</f>
        <v>1204</v>
      </c>
      <c r="D1278" s="2" t="str">
        <f>IFERROR(__xludf.DUMMYFUNCTION("""COMPUTED_VALUE"""),"CX")</f>
        <v>CX</v>
      </c>
      <c r="E1278" s="2" t="str">
        <f>IFERROR(__xludf.DUMMYFUNCTION("""COMPUTED_VALUE"""),"日21")</f>
        <v>日21</v>
      </c>
      <c r="F1278" s="2" t="s">
        <v>4084</v>
      </c>
      <c r="G1278" s="2" t="s">
        <v>4091</v>
      </c>
      <c r="H1278" s="1">
        <v>3.0</v>
      </c>
      <c r="I1278" s="1" t="s">
        <v>10</v>
      </c>
      <c r="J1278" s="1" t="s">
        <v>11</v>
      </c>
      <c r="K1278" s="2" t="s">
        <v>4092</v>
      </c>
      <c r="L1278" s="2" t="s">
        <v>4093</v>
      </c>
      <c r="M1278" s="2" t="str">
        <f>IFERROR(__xludf.DUMMYFUNCTION("split(split(K1278,""早川正義　"",false),""公式LINE"",false)"),"子どもたちとの共同生活ですっかりペースを乱されている早川正義(オダギリ　ジョー)。そんな中、三木康佑(ユースケ・サンタマリア)が音楽配信会社から新曲発売の話を持ってきた。ダウンロード数が多ければCDリリースを約束すると言われ、がぜんやる気を出す正義。その矢先、松野陸(藤本哉汰)の小学校の担任から、相談があるから学校に来て欲しいとの連絡が入る。渋々出かけた正義だが、相談とは陸が放課後クラスでやっている歌の練習をさぼっていることだった。くだらないと一蹴して帰っていく正義。陸は1人公園に向かい、ドカンの中で歌の"&amp;"練習を始めた。すると偶然通りかかった東海林秀蔵(藤竜也)に目撃され、松野美月(大森絢音)に内緒にすることを条件に、歌が歌えなくなった理由を話し出した。一番最初の練習で声が裏返ってしまい、クラスメートに大笑いされて以来、歌えなくなったという。  　連日の残業が続く三木は、妻からのメールで日曜に塾の三者面談があることを思い出す。同じ頃、正義は曲作りに励んでいた。時間も周囲の様子も一切目に入ることなく曲作りに没頭する正義。一方、美月は学校帰りに会った花村良太(ムロツヨシ)から陸が歌の練習に出ていないことを聞く。"&amp;"さらに、秀蔵に頼まれて陸を密かに監視していた大澤こころ(杉咲花)と、こころを見かけた青田洋子(貫地谷しほり)は、公園でクラスメートの男子から陸がいじめられているのを目撃する。")</f>
        <v>子どもたちとの共同生活ですっかりペースを乱されている早川正義(オダギリ　ジョー)。そんな中、三木康佑(ユースケ・サンタマリア)が音楽配信会社から新曲発売の話を持ってきた。ダウンロード数が多ければCDリリースを約束すると言われ、がぜんやる気を出す正義。その矢先、松野陸(藤本哉汰)の小学校の担任から、相談があるから学校に来て欲しいとの連絡が入る。渋々出かけた正義だが、相談とは陸が放課後クラスでやっている歌の練習をさぼっていることだった。くだらないと一蹴して帰っていく正義。陸は1人公園に向かい、ドカンの中で歌の練習を始めた。すると偶然通りかかった東海林秀蔵(藤竜也)に目撃され、松野美月(大森絢音)に内緒にすることを条件に、歌が歌えなくなった理由を話し出した。一番最初の練習で声が裏返ってしまい、クラスメートに大笑いされて以来、歌えなくなったという。  　連日の残業が続く三木は、妻からのメールで日曜に塾の三者面談があることを思い出す。同じ頃、正義は曲作りに励んでいた。時間も周囲の様子も一切目に入ることなく曲作りに没頭する正義。一方、美月は学校帰りに会った花村良太(ムロツヨシ)から陸が歌の練習に出ていないことを聞く。さらに、秀蔵に頼まれて陸を密かに監視していた大澤こころ(杉咲花)と、こころを見かけた青田洋子(貫地谷しほり)は、公園でクラスメートの男子から陸がいじめられているのを目撃する。</v>
      </c>
      <c r="N1278" s="2"/>
      <c r="O1278" s="2"/>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row>
    <row r="1279" ht="204.75" customHeight="1">
      <c r="A1279" s="1">
        <v>3937.0</v>
      </c>
      <c r="B1279" s="2" t="s">
        <v>4083</v>
      </c>
      <c r="C1279" s="2">
        <f>IFERROR(__xludf.DUMMYFUNCTION("split(B1279,""_"")"),1204.0)</f>
        <v>1204</v>
      </c>
      <c r="D1279" s="2" t="str">
        <f>IFERROR(__xludf.DUMMYFUNCTION("""COMPUTED_VALUE"""),"CX")</f>
        <v>CX</v>
      </c>
      <c r="E1279" s="2" t="str">
        <f>IFERROR(__xludf.DUMMYFUNCTION("""COMPUTED_VALUE"""),"日21")</f>
        <v>日21</v>
      </c>
      <c r="F1279" s="2" t="s">
        <v>4084</v>
      </c>
      <c r="G1279" s="2" t="s">
        <v>4094</v>
      </c>
      <c r="H1279" s="1">
        <v>4.0</v>
      </c>
      <c r="I1279" s="1" t="s">
        <v>14</v>
      </c>
      <c r="J1279" s="1" t="s">
        <v>11</v>
      </c>
      <c r="K1279" s="2" t="s">
        <v>4095</v>
      </c>
      <c r="L1279" s="2" t="s">
        <v>4096</v>
      </c>
      <c r="M1279" s="2" t="str">
        <f>IFERROR(__xludf.DUMMYFUNCTION("split(split(K1279,""早川正義　"",false),""公式LINE"",false)"),"相変わらず土曜早朝のラジオ番組しか仕事が無い状態の早川正義(オダギリ　ジョー)だが、ローリング・ストーンズのコンサートチケットが金券ショップに2万円で売り出されているのを発見し、お金を工面しようとするものの、そんな余裕はないはずだとマネージャーの三木康佑(ユースケ・サンタマリア)に阻まれてしまう。そうしている間にそのチケットは水島明良(トータス松本)が買ってしまい、残る入手手段はnanjaのバイト坂上幸生(中島健人)が教えてくれた15万円の高値がついているネットオークションしかなくなってしまう。  　同じ"&amp;"頃、正義が留守の自宅には、商店街会長の花村良太(ムロツヨシ)が訪ねて来ていた。花村は町の祭り“ぬっぺっぽう祭""でのライブとテーマソング作成を正義に依頼したいと言い、東海林秀蔵(藤竜也)に正義が引き受けるように促して欲しいとお願いする。秀蔵からの電話で依頼を聞いた正義は交渉の結果、ストーンズのチケットと同額の15万円のギャラで引き受けることにする。  　打ち合わせのため商店街の会議にやってきた正義と三木。花村や若者たちの歓迎ムードの中、年配者たちは抵抗を示すが、町内会の名誉会長である池田絹子(りりィ)がみ"&amp;"んなを説得することを約束してくれるという。自信満々で曲を作った正義だが…。  　小学校では、松野美月(大森絢音)が友達の陽菜(吉田里琴)たちと恋のおまじないで折り鶴を作っていたが…。")</f>
        <v>相変わらず土曜早朝のラジオ番組しか仕事が無い状態の早川正義(オダギリ　ジョー)だが、ローリング・ストーンズのコンサートチケットが金券ショップに2万円で売り出されているのを発見し、お金を工面しようとするものの、そんな余裕はないはずだとマネージャーの三木康佑(ユースケ・サンタマリア)に阻まれてしまう。そうしている間にそのチケットは水島明良(トータス松本)が買ってしまい、残る入手手段はnanjaのバイト坂上幸生(中島健人)が教えてくれた15万円の高値がついているネットオークションしかなくなってしまう。  　同じ頃、正義が留守の自宅には、商店街会長の花村良太(ムロツヨシ)が訪ねて来ていた。花村は町の祭り“ぬっぺっぽう祭"でのライブとテーマソング作成を正義に依頼したいと言い、東海林秀蔵(藤竜也)に正義が引き受けるように促して欲しいとお願いする。秀蔵からの電話で依頼を聞いた正義は交渉の結果、ストーンズのチケットと同額の15万円のギャラで引き受けることにする。  　打ち合わせのため商店街の会議にやってきた正義と三木。花村や若者たちの歓迎ムードの中、年配者たちは抵抗を示すが、町内会の名誉会長である池田絹子(りりィ)がみんなを説得することを約束してくれるという。自信満々で曲を作った正義だが…。  　小学校では、松野美月(大森絢音)が友達の陽菜(吉田里琴)たちと恋のおまじないで折り鶴を作っていたが…。</v>
      </c>
      <c r="N1279" s="2"/>
      <c r="O1279" s="2"/>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row>
    <row r="1280" ht="204.75" customHeight="1">
      <c r="A1280" s="1">
        <v>3938.0</v>
      </c>
      <c r="B1280" s="2" t="s">
        <v>4083</v>
      </c>
      <c r="C1280" s="2">
        <f>IFERROR(__xludf.DUMMYFUNCTION("split(B1280,""_"")"),1204.0)</f>
        <v>1204</v>
      </c>
      <c r="D1280" s="2" t="str">
        <f>IFERROR(__xludf.DUMMYFUNCTION("""COMPUTED_VALUE"""),"CX")</f>
        <v>CX</v>
      </c>
      <c r="E1280" s="2" t="str">
        <f>IFERROR(__xludf.DUMMYFUNCTION("""COMPUTED_VALUE"""),"日21")</f>
        <v>日21</v>
      </c>
      <c r="F1280" s="2" t="s">
        <v>4084</v>
      </c>
      <c r="G1280" s="2" t="s">
        <v>4097</v>
      </c>
      <c r="H1280" s="1">
        <v>5.0</v>
      </c>
      <c r="I1280" s="1" t="s">
        <v>17</v>
      </c>
      <c r="J1280" s="1" t="s">
        <v>11</v>
      </c>
      <c r="K1280" s="2" t="s">
        <v>4098</v>
      </c>
      <c r="L1280" s="2" t="s">
        <v>4099</v>
      </c>
      <c r="M1280" s="2" t="str">
        <f>IFERROR(__xludf.DUMMYFUNCTION("split(split(K1280,""早川正義　"",false),""公式LINE"",false)"),"相変わらず仕事もなく、お金も底をつきそうで、もうすぐ社宅まで追い出されそうな早川正義(オダギリ　ジョー)。売れないのは営業が足りないからだと訴える正義だが、新人も担当している三木康佑(ユースケ・サンタマリア)が1週間担当を外れることになり、代わりに新人のマネジャー・明石誠司(石黒英雄)がやってきた。  　大澤こころ(杉咲花)は同じクラスの高村七海(荒川ちか)とお互いを“心友""と呼び、交換日記をする仲になっていた。仲良しの関係を喜びつつも、メールはすぐに返信しなければ責められることや、七海がブログに書く陰"&amp;"口へのコメントに困ったりと戸惑いも多い。  　明石が全国放送のラジオ番組へのゲスト出演の仕事をとってきた。番組内で曲を流し、ネット配信の宣伝もさせてもらえると聞いて引き受けた正義だが、いざ出演してみると父親としてリスナーの子育て相談にのるコーナーだった。明石の制止も聞かず、生放送中に帰ってしまう正義。同じ頃、こころは七海や菊地美結(菊池和澄)ら仲良しグループと雑貨屋に来ていた。買い物を済ませて飲食店に入ろうと提案する七海だったが、こころは七海が誘ったおそろいのグッズ購入などでお小遣いが足りなくなってきた美"&amp;"結を気遣い、「nanja」にみんなを連れて行く。こころと美結が内緒話をする様子を見ていら立つ七海。こころたちが「nanja」に行くと、そこには酔っぱらった正義がいて…。")</f>
        <v>相変わらず仕事もなく、お金も底をつきそうで、もうすぐ社宅まで追い出されそうな早川正義(オダギリ　ジョー)。売れないのは営業が足りないからだと訴える正義だが、新人も担当している三木康佑(ユースケ・サンタマリア)が1週間担当を外れることになり、代わりに新人のマネジャー・明石誠司(石黒英雄)がやってきた。  　大澤こころ(杉咲花)は同じクラスの高村七海(荒川ちか)とお互いを“心友"と呼び、交換日記をする仲になっていた。仲良しの関係を喜びつつも、メールはすぐに返信しなければ責められることや、七海がブログに書く陰口へのコメントに困ったりと戸惑いも多い。  　明石が全国放送のラジオ番組へのゲスト出演の仕事をとってきた。番組内で曲を流し、ネット配信の宣伝もさせてもらえると聞いて引き受けた正義だが、いざ出演してみると父親としてリスナーの子育て相談にのるコーナーだった。明石の制止も聞かず、生放送中に帰ってしまう正義。同じ頃、こころは七海や菊地美結(菊池和澄)ら仲良しグループと雑貨屋に来ていた。買い物を済ませて飲食店に入ろうと提案する七海だったが、こころは七海が誘ったおそろいのグッズ購入などでお小遣いが足りなくなってきた美結を気遣い、「nanja」にみんなを連れて行く。こころと美結が内緒話をする様子を見ていら立つ七海。こころたちが「nanja」に行くと、そこには酔っぱらった正義がいて…。</v>
      </c>
      <c r="N1280" s="2"/>
      <c r="O1280" s="2"/>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row>
    <row r="1281" ht="204.75" customHeight="1">
      <c r="A1281" s="1">
        <v>3939.0</v>
      </c>
      <c r="B1281" s="2" t="s">
        <v>4083</v>
      </c>
      <c r="C1281" s="2">
        <f>IFERROR(__xludf.DUMMYFUNCTION("split(B1281,""_"")"),1204.0)</f>
        <v>1204</v>
      </c>
      <c r="D1281" s="2" t="str">
        <f>IFERROR(__xludf.DUMMYFUNCTION("""COMPUTED_VALUE"""),"CX")</f>
        <v>CX</v>
      </c>
      <c r="E1281" s="2" t="str">
        <f>IFERROR(__xludf.DUMMYFUNCTION("""COMPUTED_VALUE"""),"日21")</f>
        <v>日21</v>
      </c>
      <c r="F1281" s="2" t="s">
        <v>4084</v>
      </c>
      <c r="G1281" s="2" t="s">
        <v>4100</v>
      </c>
      <c r="H1281" s="1">
        <v>6.0</v>
      </c>
      <c r="I1281" s="1" t="s">
        <v>21</v>
      </c>
      <c r="J1281" s="1" t="s">
        <v>11</v>
      </c>
      <c r="K1281" s="2" t="s">
        <v>4101</v>
      </c>
      <c r="L1281" s="2" t="s">
        <v>4102</v>
      </c>
      <c r="M1281" s="2" t="str">
        <f>IFERROR(__xludf.DUMMYFUNCTION("split(split(K1281,""早川正義　"",false),""公式LINE"",false)"),"早川正義(オダギリ　ジョー)の家に、大澤こころ(杉咲花)の母親・倫子(中村ゆり)が訪ねて来た。倫子はこころを引き取りに来たと言い、松野美月(大森絢音)らに自分勝手な行動を責められると、正義がこころの父親というのはうそで、本当の父親はとうの昔に亡くなっていることを告げる。初めて知った事実と突然のことに戸惑いながらも淡々と自分の荷物をまとめはじめるこころ。荷物をまとめ終えたこころは正義の部屋にやってきてこれまでのお礼を言うが、正義はギターをいじってこころを見ようともせずにそっけなく返事をしただけだった。  　"&amp;"翌朝、毎日騒がしかった朝の支度が静かになったことや、朝食をうっかり5人分用意したことでこころがいない寂しさを痛感する東海林秀蔵(藤竜也)や美月や陸(藤本哉汰)。平然としているのは正義だけだ。そこに三木康佑(ユースケ・サンタマリア)が、子ども向けのギター教則本プロデュースの仕事を持ってきた。断ろうとする正義だが、自分たちの練習している写真が使われると聞いた美月や陸は大喜びで、こころもあわせた3人での写真掲載を三木に確認すると嫌がる正義を押し切ってしまう。渋々とはいえ、その仕事を引き受ける正義の変化に喜ぶ青田"&amp;"洋子(貫地谷しほり)や水島明良(トータス松本)や朝子(大塚寧々)。  　こころは、美月から誘われて、ギターの練習風景撮影のため、遊園地へ行こうという倫子からの誘いを蹴るが…。")</f>
        <v>早川正義(オダギリ　ジョー)の家に、大澤こころ(杉咲花)の母親・倫子(中村ゆり)が訪ねて来た。倫子はこころを引き取りに来たと言い、松野美月(大森絢音)らに自分勝手な行動を責められると、正義がこころの父親というのはうそで、本当の父親はとうの昔に亡くなっていることを告げる。初めて知った事実と突然のことに戸惑いながらも淡々と自分の荷物をまとめはじめるこころ。荷物をまとめ終えたこころは正義の部屋にやってきてこれまでのお礼を言うが、正義はギターをいじってこころを見ようともせずにそっけなく返事をしただけだった。  　翌朝、毎日騒がしかった朝の支度が静かになったことや、朝食をうっかり5人分用意したことでこころがいない寂しさを痛感する東海林秀蔵(藤竜也)や美月や陸(藤本哉汰)。平然としているのは正義だけだ。そこに三木康佑(ユースケ・サンタマリア)が、子ども向けのギター教則本プロデュースの仕事を持ってきた。断ろうとする正義だが、自分たちの練習している写真が使われると聞いた美月や陸は大喜びで、こころもあわせた3人での写真掲載を三木に確認すると嫌がる正義を押し切ってしまう。渋々とはいえ、その仕事を引き受ける正義の変化に喜ぶ青田洋子(貫地谷しほり)や水島明良(トータス松本)や朝子(大塚寧々)。  　こころは、美月から誘われて、ギターの練習風景撮影のため、遊園地へ行こうという倫子からの誘いを蹴るが…。</v>
      </c>
      <c r="N1281" s="2"/>
      <c r="O1281" s="2"/>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row>
    <row r="1282" ht="204.75" customHeight="1">
      <c r="A1282" s="1">
        <v>3940.0</v>
      </c>
      <c r="B1282" s="2" t="s">
        <v>4083</v>
      </c>
      <c r="C1282" s="2">
        <f>IFERROR(__xludf.DUMMYFUNCTION("split(B1282,""_"")"),1204.0)</f>
        <v>1204</v>
      </c>
      <c r="D1282" s="2" t="str">
        <f>IFERROR(__xludf.DUMMYFUNCTION("""COMPUTED_VALUE"""),"CX")</f>
        <v>CX</v>
      </c>
      <c r="E1282" s="2" t="str">
        <f>IFERROR(__xludf.DUMMYFUNCTION("""COMPUTED_VALUE"""),"日21")</f>
        <v>日21</v>
      </c>
      <c r="F1282" s="2" t="s">
        <v>4084</v>
      </c>
      <c r="G1282" s="2" t="s">
        <v>4103</v>
      </c>
      <c r="H1282" s="1">
        <v>7.0</v>
      </c>
      <c r="I1282" s="1" t="s">
        <v>25</v>
      </c>
      <c r="J1282" s="1" t="s">
        <v>11</v>
      </c>
      <c r="K1282" s="2" t="s">
        <v>4104</v>
      </c>
      <c r="L1282" s="2" t="s">
        <v>4105</v>
      </c>
      <c r="M1282" s="2" t="str">
        <f>IFERROR(__xludf.DUMMYFUNCTION("split(split(K1282,""早川正義　"",false),""公式LINE"",false)"),"「2012ロンドンオリンピックバレーボール世界最終予選　女子　日本×セルビア」延長の際、放送時間繰り下げの場合あり。　「nanja」にやって来た早川正義(オダギリ　ジョー)たち一家。日々の食事に続き、青田洋子(貫地谷しほり)をおだてながら苦手な裁縫をやらせる正義に一同は呆れるばかりだ。貯金も底をつきかけ、東海林秀蔵(藤竜也)の年金で一家の生活をまかなうにも限界があると正義が責められていた頃、三木康佑(ユースケ・サンタマリア)は正義の仕事をとろうと一生懸命に営業中だった。そんな努力もむなしく、唯一のレギュラ"&amp;"ー仕事であるローカルFMの番組が打ち切りになることがわかった。必死でくらいつく三木だが、事務所社長の藤森篤志(前川泰之)から、さらに新人2人を担当するように言われてしまう。  　自宅に、開封もされず返送されてきた秀蔵が差出人の手紙が届いた。秀蔵の名前の下に書かれた「父より」という一言に驚く大澤こころ(杉咲花)、松野美月(大森絢音)、陸(藤本哉汰)。子供たちが持っていた手紙に気付き、秀蔵は自分の若い頃の話を始める。家族も顧みず仲間と立ち上げた事業にのめり込んだあげく、多額の借金を背負い家族を捨てたという。後"&amp;"悔しているという秀蔵に、こころは息子に会いに行くことをすすめる。  　「nanja」でFMスタッフと打ち合わせをすることになった。リクエスト番組のMCとして正義を残してもいいというスタッフの提案に、ふてくされる正義を制し、三木は深々と頭を下げたが…。")</f>
        <v>「2012ロンドンオリンピックバレーボール世界最終予選　女子　日本×セルビア」延長の際、放送時間繰り下げの場合あり。　「nanja」にやって来た早川正義(オダギリ　ジョー)たち一家。日々の食事に続き、青田洋子(貫地谷しほり)をおだてながら苦手な裁縫をやらせる正義に一同は呆れるばかりだ。貯金も底をつきかけ、東海林秀蔵(藤竜也)の年金で一家の生活をまかなうにも限界があると正義が責められていた頃、三木康佑(ユースケ・サンタマリア)は正義の仕事をとろうと一生懸命に営業中だった。そんな努力もむなしく、唯一のレギュラー仕事であるローカルFMの番組が打ち切りになることがわかった。必死でくらいつく三木だが、事務所社長の藤森篤志(前川泰之)から、さらに新人2人を担当するように言われてしまう。  　自宅に、開封もされず返送されてきた秀蔵が差出人の手紙が届いた。秀蔵の名前の下に書かれた「父より」という一言に驚く大澤こころ(杉咲花)、松野美月(大森絢音)、陸(藤本哉汰)。子供たちが持っていた手紙に気付き、秀蔵は自分の若い頃の話を始める。家族も顧みず仲間と立ち上げた事業にのめり込んだあげく、多額の借金を背負い家族を捨てたという。後悔しているという秀蔵に、こころは息子に会いに行くことをすすめる。  　「nanja」でFMスタッフと打ち合わせをすることになった。リクエスト番組のMCとして正義を残してもいいというスタッフの提案に、ふてくされる正義を制し、三木は深々と頭を下げたが…。</v>
      </c>
      <c r="N1282" s="2"/>
      <c r="O1282" s="2"/>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row>
    <row r="1283" ht="204.75" customHeight="1">
      <c r="A1283" s="1">
        <v>3941.0</v>
      </c>
      <c r="B1283" s="2" t="s">
        <v>4083</v>
      </c>
      <c r="C1283" s="2">
        <f>IFERROR(__xludf.DUMMYFUNCTION("split(B1283,""_"")"),1204.0)</f>
        <v>1204</v>
      </c>
      <c r="D1283" s="2" t="str">
        <f>IFERROR(__xludf.DUMMYFUNCTION("""COMPUTED_VALUE"""),"CX")</f>
        <v>CX</v>
      </c>
      <c r="E1283" s="2" t="str">
        <f>IFERROR(__xludf.DUMMYFUNCTION("""COMPUTED_VALUE"""),"日21")</f>
        <v>日21</v>
      </c>
      <c r="F1283" s="2" t="s">
        <v>4084</v>
      </c>
      <c r="G1283" s="2" t="s">
        <v>4106</v>
      </c>
      <c r="H1283" s="1">
        <v>8.0</v>
      </c>
      <c r="I1283" s="1" t="s">
        <v>29</v>
      </c>
      <c r="J1283" s="1" t="s">
        <v>11</v>
      </c>
      <c r="K1283" s="2" t="s">
        <v>4107</v>
      </c>
      <c r="L1283" s="2" t="s">
        <v>4108</v>
      </c>
      <c r="M1283" s="2" t="str">
        <f>IFERROR(__xludf.DUMMYFUNCTION("split(split(K1283,""早川正義　"",false),""公式LINE"",false)"),"早川正義(オダギリ　ジョー)が所属事務所を辞めたため、社宅を出ることになり引越準備を始めた大澤こころ(杉咲花)、松野美月(大森絢音)、陸(藤本哉汰)、東海林秀蔵(藤竜也)。あわただしい中、町内会長の花村(ムロツヨシ)が紹介してくれた不動産物件の中から引っ越し先を決めた。  　小さなレコード会社に正義が営業に出向くと元マネジャーの三木(ユースケ・サンタマリア)に見つかってしまう。逃げ出そうとする正義に三木は曲ができたときは聞かせろと告げる。  　青田洋子(貫地谷しほり)は、自分の意見は通らなかったものの、撮"&amp;"った新人アーティストのCDジャケットが好評で、別の新人アーティストのジャケット撮影の依頼がきた。その矢先、インテリア専門雑誌から専属カメラマンとして契約したいとの話が飛び込んでくる。  　みんなで「nanja」に食事に来たが、一向に仕事がない正義、息子の真人(山中聡)に会いに行って拒絶されて以来やや元気のない秀蔵を心配するこころと、街で一生懸命に働く大澤倫子(中村ゆり)の姿を目撃したことをこころに言い出せずにいた美月とで、いつもの賑やかさがない。その夜、秀蔵が真人のイチゴ農園のチラシを手にしているのを見た"&amp;"正義は、気になるならもう一度会いに行けばいいと言うが、秀蔵はそれを拒んだ。  　後日、1人でイチゴ農園にやってきた正義は、真人に話しかけ…。")</f>
        <v>早川正義(オダギリ　ジョー)が所属事務所を辞めたため、社宅を出ることになり引越準備を始めた大澤こころ(杉咲花)、松野美月(大森絢音)、陸(藤本哉汰)、東海林秀蔵(藤竜也)。あわただしい中、町内会長の花村(ムロツヨシ)が紹介してくれた不動産物件の中から引っ越し先を決めた。  　小さなレコード会社に正義が営業に出向くと元マネジャーの三木(ユースケ・サンタマリア)に見つかってしまう。逃げ出そうとする正義に三木は曲ができたときは聞かせろと告げる。  　青田洋子(貫地谷しほり)は、自分の意見は通らなかったものの、撮った新人アーティストのCDジャケットが好評で、別の新人アーティストのジャケット撮影の依頼がきた。その矢先、インテリア専門雑誌から専属カメラマンとして契約したいとの話が飛び込んでくる。  　みんなで「nanja」に食事に来たが、一向に仕事がない正義、息子の真人(山中聡)に会いに行って拒絶されて以来やや元気のない秀蔵を心配するこころと、街で一生懸命に働く大澤倫子(中村ゆり)の姿を目撃したことをこころに言い出せずにいた美月とで、いつもの賑やかさがない。その夜、秀蔵が真人のイチゴ農園のチラシを手にしているのを見た正義は、気になるならもう一度会いに行けばいいと言うが、秀蔵はそれを拒んだ。  　後日、1人でイチゴ農園にやってきた正義は、真人に話しかけ…。</v>
      </c>
      <c r="N1283" s="2"/>
      <c r="O1283" s="2"/>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row>
    <row r="1284" ht="204.75" customHeight="1">
      <c r="A1284" s="1">
        <v>3953.0</v>
      </c>
      <c r="B1284" s="2" t="s">
        <v>4109</v>
      </c>
      <c r="C1284" s="2">
        <f>IFERROR(__xludf.DUMMYFUNCTION("split(B1284,""_"")"),1201.0)</f>
        <v>1201</v>
      </c>
      <c r="D1284" s="2" t="str">
        <f>IFERROR(__xludf.DUMMYFUNCTION("""COMPUTED_VALUE"""),"CX")</f>
        <v>CX</v>
      </c>
      <c r="E1284" s="2" t="str">
        <f>IFERROR(__xludf.DUMMYFUNCTION("""COMPUTED_VALUE"""),"月21")</f>
        <v>月21</v>
      </c>
      <c r="F1284" s="2" t="s">
        <v>4110</v>
      </c>
      <c r="G1284" s="2" t="s">
        <v>4111</v>
      </c>
      <c r="H1284" s="1">
        <v>1.0</v>
      </c>
      <c r="I1284" s="1" t="s">
        <v>3</v>
      </c>
      <c r="J1284" s="1" t="s">
        <v>4</v>
      </c>
      <c r="K1284" s="4" t="s">
        <v>4112</v>
      </c>
      <c r="L1284" s="2" t="s">
        <v>4113</v>
      </c>
      <c r="M1284" s="2" t="str">
        <f>IFERROR(__xludf.DUMMYFUNCTION("split(split(K1284,""時多駿太郎:　"",false),""公式LINE"",false)"),"フリーターの時多駿太郎(松本潤)は、高級ホテルで人妻の美香(松本若菜)との情事にふけっていた。帰り道ふいに肩を叩かれた駿太郎が振り返ると、男が美香の落としたスカーフを差し出してきた。駿太郎は、男に礼を言うとそれを美香に届けに走る。  　数日後、駿太郎は突然美香に別れを告げられる。夫が探偵を雇い、ホテルでの密会写真を撮られたからだと言う。そんな時、駿太郎はホテルでスカーフを差し出した男に再会する。駿太郎は、男を追いかけ、「お前は探偵か!」と問い詰め、殴りかかるが男はそれをかわし逃げた。  　「北品川ラッキー"&amp;"探偵社」の事務所に、息を切らしたその男が入ってきた。男の名は新田輝(瑛太)。そこには駿太郎の調査をしていた旭淳平(大泉洋)、水野飛鳥(仲里依紗)と筑紫昌義(角野卓造)、事務員の茅野メイ(入来茉里)がいた。そして、筑紫が会議を始めようと言ったとき、飛鳥が新田の後ろを指差した。そこには、駿太郎が立っていた。事務所は大騒動となるなか、社長の藤崎瞳子(松嶋菜々子)が出てきた。駿太郎を見た瞳子はやがて、うちで働かないか、と言った。突然のスカウトに、駿太郎も探偵たちも唖然とするが、結局、探偵として雇われることになった"&amp;"。")</f>
        <v>フリーターの時多駿太郎(松本潤)は、高級ホテルで人妻の美香(松本若菜)との情事にふけっていた。帰り道ふいに肩を叩かれた駿太郎が振り返ると、男が美香の落としたスカーフを差し出してきた。駿太郎は、男に礼を言うとそれを美香に届けに走る。  　数日後、駿太郎は突然美香に別れを告げられる。夫が探偵を雇い、ホテルでの密会写真を撮られたからだと言う。そんな時、駿太郎はホテルでスカーフを差し出した男に再会する。駿太郎は、男を追いかけ、「お前は探偵か!」と問い詰め、殴りかかるが男はそれをかわし逃げた。  　「北品川ラッキー探偵社」の事務所に、息を切らしたその男が入ってきた。男の名は新田輝(瑛太)。そこには駿太郎の調査をしていた旭淳平(大泉洋)、水野飛鳥(仲里依紗)と筑紫昌義(角野卓造)、事務員の茅野メイ(入来茉里)がいた。そして、筑紫が会議を始めようと言ったとき、飛鳥が新田の後ろを指差した。そこには、駿太郎が立っていた。事務所は大騒動となるなか、社長の藤崎瞳子(松嶋菜々子)が出てきた。駿太郎を見た瞳子はやがて、うちで働かないか、と言った。突然のスカウトに、駿太郎も探偵たちも唖然とするが、結局、探偵として雇われることになった。</v>
      </c>
      <c r="N1284" s="2"/>
      <c r="O1284" s="2"/>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row>
    <row r="1285" ht="204.75" customHeight="1">
      <c r="A1285" s="1">
        <v>3954.0</v>
      </c>
      <c r="B1285" s="2" t="s">
        <v>4109</v>
      </c>
      <c r="C1285" s="2">
        <f>IFERROR(__xludf.DUMMYFUNCTION("split(B1285,""_"")"),1201.0)</f>
        <v>1201</v>
      </c>
      <c r="D1285" s="2" t="str">
        <f>IFERROR(__xludf.DUMMYFUNCTION("""COMPUTED_VALUE"""),"CX")</f>
        <v>CX</v>
      </c>
      <c r="E1285" s="2" t="str">
        <f>IFERROR(__xludf.DUMMYFUNCTION("""COMPUTED_VALUE"""),"月21")</f>
        <v>月21</v>
      </c>
      <c r="F1285" s="2" t="s">
        <v>4110</v>
      </c>
      <c r="G1285" s="2" t="s">
        <v>4114</v>
      </c>
      <c r="H1285" s="1">
        <v>2.0</v>
      </c>
      <c r="I1285" s="1" t="s">
        <v>7</v>
      </c>
      <c r="J1285" s="1" t="s">
        <v>11</v>
      </c>
      <c r="K1285" s="2" t="s">
        <v>4115</v>
      </c>
      <c r="L1285" s="2" t="s">
        <v>4116</v>
      </c>
      <c r="M1285" s="2" t="str">
        <f>IFERROR(__xludf.DUMMYFUNCTION("split(split(K1285,""時多駿太郎:　"",false),""公式LINE"",false)"),"北品川ラッキー探偵社に、ステラバイオ社という企業から研究員の素行調査の依頼が舞い込んだ。時多駿太郎(松本潤)は、ステラバイオ社に新田輝(瑛太)が潜入捜査に入ると聞く。有名大学の理学部の出身ということで、藤崎瞳子(松嶋菜々子)が新田を指名したが、新田が運動神経のよさに加え、頭脳も明晰だと知った駿太郎は面白くない。  　2週間後、新田はステラバイオ社に潜入。研究員の佐々岡(リリー・フランキー)の素行を調査するが、佐々岡は天才とされる反面、協調性のかけらもない変わり者で周囲も扱いに困っていた。その数日後、佐々岡"&amp;"は新田に書類を手渡し、明日までにまとめておくよう命じると研究所を後にした。周囲の研究者によれば、それは佐々岡が新人に課す通過儀礼だが、ひとりでまとめられる量ではないので、明日謝ってしまうのが得策だと言う。  　新田は、外で駿太郎とともに待機中の水野飛鳥(仲里依紗)に佐々岡が研究所を出たことを伝える。それを受けた駿太郎と飛鳥が佐々岡を尾行すると、やがて、繁華街にある高級クラブに入っていった。佐々岡はそこでひとりの男と会うと、なにやら込み入った話をはじめる。そんなふたりの様子を、ライター型のカメラで盗撮してい"&amp;"る人物がいた。ホステスに扮装した飛鳥だった。  　翌日、探偵社の事務所に駿太郎、新田、旭淳平(大泉洋)、飛鳥、茅野メイ(入来茉里)らが集まり佐々岡の件についての調査報告が行われていた。")</f>
        <v>北品川ラッキー探偵社に、ステラバイオ社という企業から研究員の素行調査の依頼が舞い込んだ。時多駿太郎(松本潤)は、ステラバイオ社に新田輝(瑛太)が潜入捜査に入ると聞く。有名大学の理学部の出身ということで、藤崎瞳子(松嶋菜々子)が新田を指名したが、新田が運動神経のよさに加え、頭脳も明晰だと知った駿太郎は面白くない。  　2週間後、新田はステラバイオ社に潜入。研究員の佐々岡(リリー・フランキー)の素行を調査するが、佐々岡は天才とされる反面、協調性のかけらもない変わり者で周囲も扱いに困っていた。その数日後、佐々岡は新田に書類を手渡し、明日までにまとめておくよう命じると研究所を後にした。周囲の研究者によれば、それは佐々岡が新人に課す通過儀礼だが、ひとりでまとめられる量ではないので、明日謝ってしまうのが得策だと言う。  　新田は、外で駿太郎とともに待機中の水野飛鳥(仲里依紗)に佐々岡が研究所を出たことを伝える。それを受けた駿太郎と飛鳥が佐々岡を尾行すると、やがて、繁華街にある高級クラブに入っていった。佐々岡はそこでひとりの男と会うと、なにやら込み入った話をはじめる。そんなふたりの様子を、ライター型のカメラで盗撮している人物がいた。ホステスに扮装した飛鳥だった。  　翌日、探偵社の事務所に駿太郎、新田、旭淳平(大泉洋)、飛鳥、茅野メイ(入来茉里)らが集まり佐々岡の件についての調査報告が行われていた。</v>
      </c>
      <c r="N1285" s="2"/>
      <c r="O1285" s="2"/>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row>
    <row r="1286" ht="204.75" customHeight="1">
      <c r="A1286" s="1">
        <v>3955.0</v>
      </c>
      <c r="B1286" s="2" t="s">
        <v>4109</v>
      </c>
      <c r="C1286" s="2">
        <f>IFERROR(__xludf.DUMMYFUNCTION("split(B1286,""_"")"),1201.0)</f>
        <v>1201</v>
      </c>
      <c r="D1286" s="2" t="str">
        <f>IFERROR(__xludf.DUMMYFUNCTION("""COMPUTED_VALUE"""),"CX")</f>
        <v>CX</v>
      </c>
      <c r="E1286" s="2" t="str">
        <f>IFERROR(__xludf.DUMMYFUNCTION("""COMPUTED_VALUE"""),"月21")</f>
        <v>月21</v>
      </c>
      <c r="F1286" s="2" t="s">
        <v>4110</v>
      </c>
      <c r="G1286" s="2" t="s">
        <v>4117</v>
      </c>
      <c r="H1286" s="1">
        <v>3.0</v>
      </c>
      <c r="I1286" s="1" t="s">
        <v>10</v>
      </c>
      <c r="J1286" s="1" t="s">
        <v>11</v>
      </c>
      <c r="K1286" s="2" t="s">
        <v>4118</v>
      </c>
      <c r="L1286" s="2" t="s">
        <v>4119</v>
      </c>
      <c r="M1286" s="2" t="str">
        <f>IFERROR(__xludf.DUMMYFUNCTION("split(split(K1286,""時多駿太郎:　"",false),""公式LINE"",false)"),"ラッキー探偵社に結婚を約束している相手を調査してほしいと箕輪(東根作寿英)という男性がやってきた。調査対象は水沢紗己子(紺野まひる)、母親が病気だという彼女に金を渡したため、箕輪の母が詐欺を疑っていると言う。その金が500万円と高額なことに、時多駿太郎(松本潤)は驚く。筑紫昌義(角野卓造)は、新田輝(瑛太)と旭淳平(大泉洋)に紗己子が通う料理教室へ、水野飛鳥(仲里依紗)には紗己子のマンションへ向かうよう指示。駿太郎には事務所が世話を請け負う犬のチエミの散歩が命じられた。  　新田と淳平が潜入した料理教室で"&amp;"、生徒たちによると紗己子はいつも違う男性を連れて来るのだと言う。一方、飛鳥の調査で、紗己子は箕輪に話していたマンションに住んでいないこともわかった。  　その頃チエミを連れた駿太郎は、弥生(畠山紬)という少女と出会う。すぐに自分に懐いたチエミを弥生は離そうとせず、「岡本」と表札の出たアパートに連れて入ってしまう。翌日、駿太郎は岡本家を訪ねた。ドアを開けたのは紗己子で、弥生は留守だと言う。紗己子の顔を知らない駿太郎は、招かれるまま部屋に上がり込む。  　その後、駿太郎はチエミと弥生を連れて事務所に戻った。弥"&amp;"生を見た茅野メイ(入来茉里)は、隠し子かと聞き、事務所は騒動となる。そこへ、藤崎瞳子(松嶋菜々子)が現れた。今回の案件資料を眺める瞳子。駿太郎は、そこに貼られた紗己子の写真に驚愕し…。")</f>
        <v>ラッキー探偵社に結婚を約束している相手を調査してほしいと箕輪(東根作寿英)という男性がやってきた。調査対象は水沢紗己子(紺野まひる)、母親が病気だという彼女に金を渡したため、箕輪の母が詐欺を疑っていると言う。その金が500万円と高額なことに、時多駿太郎(松本潤)は驚く。筑紫昌義(角野卓造)は、新田輝(瑛太)と旭淳平(大泉洋)に紗己子が通う料理教室へ、水野飛鳥(仲里依紗)には紗己子のマンションへ向かうよう指示。駿太郎には事務所が世話を請け負う犬のチエミの散歩が命じられた。  　新田と淳平が潜入した料理教室で、生徒たちによると紗己子はいつも違う男性を連れて来るのだと言う。一方、飛鳥の調査で、紗己子は箕輪に話していたマンションに住んでいないこともわかった。  　その頃チエミを連れた駿太郎は、弥生(畠山紬)という少女と出会う。すぐに自分に懐いたチエミを弥生は離そうとせず、「岡本」と表札の出たアパートに連れて入ってしまう。翌日、駿太郎は岡本家を訪ねた。ドアを開けたのは紗己子で、弥生は留守だと言う。紗己子の顔を知らない駿太郎は、招かれるまま部屋に上がり込む。  　その後、駿太郎はチエミと弥生を連れて事務所に戻った。弥生を見た茅野メイ(入来茉里)は、隠し子かと聞き、事務所は騒動となる。そこへ、藤崎瞳子(松嶋菜々子)が現れた。今回の案件資料を眺める瞳子。駿太郎は、そこに貼られた紗己子の写真に驚愕し…。</v>
      </c>
      <c r="N1286" s="2"/>
      <c r="O1286" s="2"/>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row>
    <row r="1287" ht="204.75" customHeight="1">
      <c r="A1287" s="1">
        <v>3956.0</v>
      </c>
      <c r="B1287" s="2" t="s">
        <v>4109</v>
      </c>
      <c r="C1287" s="2">
        <f>IFERROR(__xludf.DUMMYFUNCTION("split(B1287,""_"")"),1201.0)</f>
        <v>1201</v>
      </c>
      <c r="D1287" s="2" t="str">
        <f>IFERROR(__xludf.DUMMYFUNCTION("""COMPUTED_VALUE"""),"CX")</f>
        <v>CX</v>
      </c>
      <c r="E1287" s="2" t="str">
        <f>IFERROR(__xludf.DUMMYFUNCTION("""COMPUTED_VALUE"""),"月21")</f>
        <v>月21</v>
      </c>
      <c r="F1287" s="2" t="s">
        <v>4110</v>
      </c>
      <c r="G1287" s="2" t="s">
        <v>4120</v>
      </c>
      <c r="H1287" s="1">
        <v>4.0</v>
      </c>
      <c r="I1287" s="1" t="s">
        <v>14</v>
      </c>
      <c r="J1287" s="1" t="s">
        <v>11</v>
      </c>
      <c r="K1287" s="2" t="s">
        <v>4121</v>
      </c>
      <c r="L1287" s="2" t="s">
        <v>4122</v>
      </c>
      <c r="M1287" s="2" t="str">
        <f>IFERROR(__xludf.DUMMYFUNCTION("split(split(K1287,""時多駿太郎:　"",false),""公式LINE"",false)"),"時多駿太郎(松本潤)は、最近、探偵社に姿を見せない新田輝(瑛太)がある料亭の女将の浮気調査中だと聞く。依頼主は林原(正名僕蔵)という男性で、林原の愛人である女将を調べてほしいとのこと。愛人の浮気調査という依頼に旭淳平(大泉洋)や水野飛鳥(仲里依紗)はしらけてしまう。  　新田は女将が送り出す客を見張っていた。そこへ駿太郎が差し入れと週刊誌を持ってくる。その表紙には警察幹部の収賄事件についての見出しがあった。  　同じ頃、桐原由貴(吹石一恵)と後藤将司(金田明夫)は、警視庁幹部の峰永宅で盗聴器を見つけた。憔"&amp;"悴しきった様子の峰永(近江谷太朗)の傍には、あの週刊誌があった。そこに載った峰永と男が写る写真は、新田が撮ったものだった。  　そんな折、何気なく週刊誌をめくった駿太郎は、新田が撮った写真に気づく。そこには、峰永が企業から受け取った裏金についての記事があった。浮気調査中に撮った写真がなぜ雑誌に載っているのか、新田が雑誌社に売ったのか。探偵たちに緊張が走る中、探偵社のドアが開き、由貴と後藤が入って来た。新田に不法侵入の容疑がかかり、探偵社の差し押さえ令状が出ているという。そこへ、藤崎瞳子(松嶋菜々子)が戻っ"&amp;"てくる。瞳子が事情説明を求めると、由貴は峰永宅から盗聴器が発見され、週刊誌の記事が盗聴した内容に一致することから、新田に不法侵入が疑われていると明かした。突然の出来事に駿太郎は…。")</f>
        <v>時多駿太郎(松本潤)は、最近、探偵社に姿を見せない新田輝(瑛太)がある料亭の女将の浮気調査中だと聞く。依頼主は林原(正名僕蔵)という男性で、林原の愛人である女将を調べてほしいとのこと。愛人の浮気調査という依頼に旭淳平(大泉洋)や水野飛鳥(仲里依紗)はしらけてしまう。  　新田は女将が送り出す客を見張っていた。そこへ駿太郎が差し入れと週刊誌を持ってくる。その表紙には警察幹部の収賄事件についての見出しがあった。  　同じ頃、桐原由貴(吹石一恵)と後藤将司(金田明夫)は、警視庁幹部の峰永宅で盗聴器を見つけた。憔悴しきった様子の峰永(近江谷太朗)の傍には、あの週刊誌があった。そこに載った峰永と男が写る写真は、新田が撮ったものだった。  　そんな折、何気なく週刊誌をめくった駿太郎は、新田が撮った写真に気づく。そこには、峰永が企業から受け取った裏金についての記事があった。浮気調査中に撮った写真がなぜ雑誌に載っているのか、新田が雑誌社に売ったのか。探偵たちに緊張が走る中、探偵社のドアが開き、由貴と後藤が入って来た。新田に不法侵入の容疑がかかり、探偵社の差し押さえ令状が出ているという。そこへ、藤崎瞳子(松嶋菜々子)が戻ってくる。瞳子が事情説明を求めると、由貴は峰永宅から盗聴器が発見され、週刊誌の記事が盗聴した内容に一致することから、新田に不法侵入が疑われていると明かした。突然の出来事に駿太郎は…。</v>
      </c>
      <c r="N1287" s="2"/>
      <c r="O1287" s="2"/>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row>
    <row r="1288" ht="204.75" customHeight="1">
      <c r="A1288" s="1">
        <v>3957.0</v>
      </c>
      <c r="B1288" s="2" t="s">
        <v>4109</v>
      </c>
      <c r="C1288" s="2">
        <f>IFERROR(__xludf.DUMMYFUNCTION("split(B1288,""_"")"),1201.0)</f>
        <v>1201</v>
      </c>
      <c r="D1288" s="2" t="str">
        <f>IFERROR(__xludf.DUMMYFUNCTION("""COMPUTED_VALUE"""),"CX")</f>
        <v>CX</v>
      </c>
      <c r="E1288" s="2" t="str">
        <f>IFERROR(__xludf.DUMMYFUNCTION("""COMPUTED_VALUE"""),"月21")</f>
        <v>月21</v>
      </c>
      <c r="F1288" s="2" t="s">
        <v>4110</v>
      </c>
      <c r="G1288" s="2" t="s">
        <v>4123</v>
      </c>
      <c r="H1288" s="1">
        <v>5.0</v>
      </c>
      <c r="I1288" s="1" t="s">
        <v>17</v>
      </c>
      <c r="J1288" s="1" t="s">
        <v>11</v>
      </c>
      <c r="K1288" s="2" t="s">
        <v>4124</v>
      </c>
      <c r="L1288" s="2" t="s">
        <v>4125</v>
      </c>
      <c r="M1288" s="2" t="str">
        <f>IFERROR(__xludf.DUMMYFUNCTION("split(split(K1288,""時多駿太郎:　"",false),""公式LINE"",false)"),"時多駿太郎(松本潤)の腕を振り払って新田輝(瑛太)が逃走した後、ラッキー探偵社には公安委員会からの呼び出しがかかった。聴聞会に藤崎瞳子(松嶋菜々子)が出席し、新田の件の事実確認が行われるという。その結果次第では、探偵社の営業停止もある、と筑紫昌義(角野卓造)は説明。旭淳平(大泉洋)は、探偵社が助かるためには新田の退職届を示し会社とは無関係だと主張することだと話し、水野飛鳥(仲里依紗)も賛同する。　探偵たちが暗いムードに包まれていると瞳子が来て、新田はうちの社員だから、と言って手にした退職届を破ってしまった"&amp;"。瞳子は、状況的には新田が犯人に見えるかもしれないが、何度考えても自分はそうは思えない。だから、この事件について自分たちなりの結論を出すために調べ直そう、と提案。駿太郎ら探偵たちも同意する。  　早速、新田にかけられた2つの容疑、住居侵入と窃盗について洗い直しが始まるが、すぐに行き詰ってしまう。新田がここにいればすぐに説明がつくのに、という飛鳥に、駿太郎は新田の実家について聞いていたことを思い出す。そして、小さな手がかりをもとに、駿太郎は新田の実家と思われる豪邸の前にやってきた。インターホンを押すと家政婦"&amp;"が出て、新田とこの家はもう関係がないと主人が話していると言って、インターホンを切ってしまう。駿太郎が再度インターホンを押すと、後ろで女性の声がした。")</f>
        <v>時多駿太郎(松本潤)の腕を振り払って新田輝(瑛太)が逃走した後、ラッキー探偵社には公安委員会からの呼び出しがかかった。聴聞会に藤崎瞳子(松嶋菜々子)が出席し、新田の件の事実確認が行われるという。その結果次第では、探偵社の営業停止もある、と筑紫昌義(角野卓造)は説明。旭淳平(大泉洋)は、探偵社が助かるためには新田の退職届を示し会社とは無関係だと主張することだと話し、水野飛鳥(仲里依紗)も賛同する。　探偵たちが暗いムードに包まれていると瞳子が来て、新田はうちの社員だから、と言って手にした退職届を破ってしまった。瞳子は、状況的には新田が犯人に見えるかもしれないが、何度考えても自分はそうは思えない。だから、この事件について自分たちなりの結論を出すために調べ直そう、と提案。駿太郎ら探偵たちも同意する。  　早速、新田にかけられた2つの容疑、住居侵入と窃盗について洗い直しが始まるが、すぐに行き詰ってしまう。新田がここにいればすぐに説明がつくのに、という飛鳥に、駿太郎は新田の実家について聞いていたことを思い出す。そして、小さな手がかりをもとに、駿太郎は新田の実家と思われる豪邸の前にやってきた。インターホンを押すと家政婦が出て、新田とこの家はもう関係がないと主人が話していると言って、インターホンを切ってしまう。駿太郎が再度インターホンを押すと、後ろで女性の声がした。</v>
      </c>
      <c r="N1288" s="2"/>
      <c r="O1288" s="2"/>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row>
    <row r="1289" ht="204.75" customHeight="1">
      <c r="A1289" s="1">
        <v>3958.0</v>
      </c>
      <c r="B1289" s="2" t="s">
        <v>4109</v>
      </c>
      <c r="C1289" s="2">
        <f>IFERROR(__xludf.DUMMYFUNCTION("split(B1289,""_"")"),1201.0)</f>
        <v>1201</v>
      </c>
      <c r="D1289" s="2" t="str">
        <f>IFERROR(__xludf.DUMMYFUNCTION("""COMPUTED_VALUE"""),"CX")</f>
        <v>CX</v>
      </c>
      <c r="E1289" s="2" t="str">
        <f>IFERROR(__xludf.DUMMYFUNCTION("""COMPUTED_VALUE"""),"月21")</f>
        <v>月21</v>
      </c>
      <c r="F1289" s="2" t="s">
        <v>4110</v>
      </c>
      <c r="G1289" s="2" t="s">
        <v>4126</v>
      </c>
      <c r="H1289" s="1">
        <v>6.0</v>
      </c>
      <c r="I1289" s="1" t="s">
        <v>21</v>
      </c>
      <c r="J1289" s="1" t="s">
        <v>11</v>
      </c>
      <c r="K1289" s="2" t="s">
        <v>4127</v>
      </c>
      <c r="L1289" s="2" t="s">
        <v>4128</v>
      </c>
      <c r="M1289" s="2" t="str">
        <f>IFERROR(__xludf.DUMMYFUNCTION("split(split(K1289,""時多駿太郎:　"",false),""公式LINE"",false)"),"ラッキー探偵社に無言電話がかかってきた。時多駿太郎(松本潤)は、気配から、かけてきたのは男だろうと言った。その後、探偵社には注文していないのに寿司やうどん、ピザなどのデリバリーが続々と届いた。  そんな折、駿太郎に、早退していた水野飛鳥(仲里依紗)から電話が入る。大至急だと呼び出された場所はテレビ局だった。「私立探偵　真壁★リュウ」のイベントが行われていて、真壁の大ファンの息子・翔太(後藤奏佑人)と駿太郎の弟・孝次郎(小山慶一郎)も来場していた。そこへ現れた飛鳥は、駿太郎の腕を取り数組のカップルがいる待機"&amp;"場所へとやって来る。駿太郎と夫婦に扮してクイズ番組に出場するのだという。  同じ頃、筑紫昌義(角野卓造)は、機材庫近くに落ちた書類を取ろうとして誤って扉を閉めてしまい、中に閉じ込められていた。しかも、探偵社に誰もいないため、狭い倉庫のなかで四苦八苦するしかなかった。  一方の駿太郎は、テレビ局の廊下で真壁役を演じる祐希守(谷原章介)を見つけ声をかける。自分が探偵だと打ち明けた駿太郎に、祐希は自分を脅迫している相手を見つけ出してほしいと頼んだ。  飛鳥は、戻って来ない駿太郎にしびれを切らし、旭淳平(大泉洋)"&amp;"を呼び出そうと電話をかけた。しかし淳平は、早く探偵社に戻ったほうがいい予感がすると言ってそれを断る。その頃、筑紫はまだ機材庫のなかにいたが、探偵社にはなんと男の侵入者がいた。")</f>
        <v>ラッキー探偵社に無言電話がかかってきた。時多駿太郎(松本潤)は、気配から、かけてきたのは男だろうと言った。その後、探偵社には注文していないのに寿司やうどん、ピザなどのデリバリーが続々と届いた。  そんな折、駿太郎に、早退していた水野飛鳥(仲里依紗)から電話が入る。大至急だと呼び出された場所はテレビ局だった。「私立探偵　真壁★リュウ」のイベントが行われていて、真壁の大ファンの息子・翔太(後藤奏佑人)と駿太郎の弟・孝次郎(小山慶一郎)も来場していた。そこへ現れた飛鳥は、駿太郎の腕を取り数組のカップルがいる待機場所へとやって来る。駿太郎と夫婦に扮してクイズ番組に出場するのだという。  同じ頃、筑紫昌義(角野卓造)は、機材庫近くに落ちた書類を取ろうとして誤って扉を閉めてしまい、中に閉じ込められていた。しかも、探偵社に誰もいないため、狭い倉庫のなかで四苦八苦するしかなかった。  一方の駿太郎は、テレビ局の廊下で真壁役を演じる祐希守(谷原章介)を見つけ声をかける。自分が探偵だと打ち明けた駿太郎に、祐希は自分を脅迫している相手を見つけ出してほしいと頼んだ。  飛鳥は、戻って来ない駿太郎にしびれを切らし、旭淳平(大泉洋)を呼び出そうと電話をかけた。しかし淳平は、早く探偵社に戻ったほうがいい予感がすると言ってそれを断る。その頃、筑紫はまだ機材庫のなかにいたが、探偵社にはなんと男の侵入者がいた。</v>
      </c>
      <c r="N1289" s="2"/>
      <c r="O1289" s="2"/>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row>
    <row r="1290" ht="204.75" customHeight="1">
      <c r="A1290" s="1">
        <v>3959.0</v>
      </c>
      <c r="B1290" s="2" t="s">
        <v>4109</v>
      </c>
      <c r="C1290" s="2">
        <f>IFERROR(__xludf.DUMMYFUNCTION("split(B1290,""_"")"),1201.0)</f>
        <v>1201</v>
      </c>
      <c r="D1290" s="2" t="str">
        <f>IFERROR(__xludf.DUMMYFUNCTION("""COMPUTED_VALUE"""),"CX")</f>
        <v>CX</v>
      </c>
      <c r="E1290" s="2" t="str">
        <f>IFERROR(__xludf.DUMMYFUNCTION("""COMPUTED_VALUE"""),"月21")</f>
        <v>月21</v>
      </c>
      <c r="F1290" s="2" t="s">
        <v>4110</v>
      </c>
      <c r="G1290" s="2" t="s">
        <v>4129</v>
      </c>
      <c r="H1290" s="1">
        <v>7.0</v>
      </c>
      <c r="I1290" s="1" t="s">
        <v>25</v>
      </c>
      <c r="J1290" s="1" t="s">
        <v>11</v>
      </c>
      <c r="K1290" s="2" t="s">
        <v>4130</v>
      </c>
      <c r="L1290" s="2" t="s">
        <v>4131</v>
      </c>
      <c r="M1290" s="2" t="str">
        <f>IFERROR(__xludf.DUMMYFUNCTION("split(split(K1290,""時多駿太郎:　"",false),""公式LINE"",false)"),"自分の元に現れる幽霊が死んだ恋人かどうか確認してほしいと、トメ(水野久美)という老女から依頼が入った。しかし、筑紫昌義(角野卓造)から請け負えないと断られてしまう。寂しそうに事務所を後にするトメの姿を見た時多駿太郎(松本潤)は心が痛む。  　そんな折、旭淳平(大泉洋)が友人から紹介された千崎陽子(中越典子)とお見合いをすることに。陽子は航空関係の仕事をしているということで、淳平は見栄を張って自分は弁護士だと嘘をつく。その様子をこっそり監視していた駿太郎と水野飛鳥(仲里依紗)はあきれる。すると、陽子が自分は"&amp;"航空関係の探偵、つまり、乗客の忘れ物を探す遺失物係だと言った。  　数日後、陽子を呼び出した淳平は、嘘をついたことを謝罪し、本当は探偵だと明かした。陽子は、自分と同じだ、と打ち解けた様子で仕事への思いを語り始める。それを聞いた淳平は、トメのことを思い出す。  　淳平が事務所に戻ると、藤崎瞳子(松嶋菜々子)がトメの件の報告を受けたと言った。引き受けることにしたのか、と尋ねる駿太郎に瞳子は、恋人の幽霊を信じるトメに幽霊はいないと告げるのは酷だろうと答える。  　その後、自宅に戻った駿太郎は、母・百合子(岡江久"&amp;"美子)に亡くなった夫を思い出すことがあるかと聞いた。百合子は、思い出しても戻って来るはずはないが、やはり思い出すと答える。駿太郎はトメのことを考え…。")</f>
        <v>自分の元に現れる幽霊が死んだ恋人かどうか確認してほしいと、トメ(水野久美)という老女から依頼が入った。しかし、筑紫昌義(角野卓造)から請け負えないと断られてしまう。寂しそうに事務所を後にするトメの姿を見た時多駿太郎(松本潤)は心が痛む。  　そんな折、旭淳平(大泉洋)が友人から紹介された千崎陽子(中越典子)とお見合いをすることに。陽子は航空関係の仕事をしているということで、淳平は見栄を張って自分は弁護士だと嘘をつく。その様子をこっそり監視していた駿太郎と水野飛鳥(仲里依紗)はあきれる。すると、陽子が自分は航空関係の探偵、つまり、乗客の忘れ物を探す遺失物係だと言った。  　数日後、陽子を呼び出した淳平は、嘘をついたことを謝罪し、本当は探偵だと明かした。陽子は、自分と同じだ、と打ち解けた様子で仕事への思いを語り始める。それを聞いた淳平は、トメのことを思い出す。  　淳平が事務所に戻ると、藤崎瞳子(松嶋菜々子)がトメの件の報告を受けたと言った。引き受けることにしたのか、と尋ねる駿太郎に瞳子は、恋人の幽霊を信じるトメに幽霊はいないと告げるのは酷だろうと答える。  　その後、自宅に戻った駿太郎は、母・百合子(岡江久美子)に亡くなった夫を思い出すことがあるかと聞いた。百合子は、思い出しても戻って来るはずはないが、やはり思い出すと答える。駿太郎はトメのことを考え…。</v>
      </c>
      <c r="N1290" s="2"/>
      <c r="O1290" s="2"/>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row>
    <row r="1291" ht="204.75" customHeight="1">
      <c r="A1291" s="1">
        <v>3960.0</v>
      </c>
      <c r="B1291" s="2" t="s">
        <v>4109</v>
      </c>
      <c r="C1291" s="2">
        <f>IFERROR(__xludf.DUMMYFUNCTION("split(B1291,""_"")"),1201.0)</f>
        <v>1201</v>
      </c>
      <c r="D1291" s="2" t="str">
        <f>IFERROR(__xludf.DUMMYFUNCTION("""COMPUTED_VALUE"""),"CX")</f>
        <v>CX</v>
      </c>
      <c r="E1291" s="2" t="str">
        <f>IFERROR(__xludf.DUMMYFUNCTION("""COMPUTED_VALUE"""),"月21")</f>
        <v>月21</v>
      </c>
      <c r="F1291" s="2" t="s">
        <v>4110</v>
      </c>
      <c r="G1291" s="2" t="s">
        <v>4132</v>
      </c>
      <c r="H1291" s="1">
        <v>8.0</v>
      </c>
      <c r="I1291" s="1" t="s">
        <v>29</v>
      </c>
      <c r="J1291" s="1" t="s">
        <v>11</v>
      </c>
      <c r="K1291" s="2" t="s">
        <v>4133</v>
      </c>
      <c r="L1291" s="2" t="s">
        <v>4134</v>
      </c>
      <c r="M1291" s="2" t="str">
        <f>IFERROR(__xludf.DUMMYFUNCTION("split(split(K1291,""時多駿太郎:　"",false),""公式LINE"",false)"),"時多駿太郎(松本潤)と水野飛鳥(仲里依紗)は、ある会社からの依頼で不良社員の男を尾行調査していた。男の顔には特徴的なホクロがあり、それを目印に追っていた。しかし、飛鳥が気を抜いた瞬間、男はマスクをして人込みに紛れてしまう。飛鳥は必死に男を捜すが見当たらない。それどころか、自分を調査しているのか、と逆に男に声をかけられてしまう。  　後日、筑紫昌義(角野卓造)は、依頼人に謝罪するが納得してもらえず、調査は中止となった。筑紫は飛鳥に、調査の基本に立ち返るようにと注意し、飛鳥も神妙な面持ちで聞いた。そんな折、飛"&amp;"鳥の携帯に元カレの誠(細田よしひこ)からメールが届く。飛鳥は迷いながらも誠に連絡を取り、2人は食事をすることに。落ち込んでいる自分にさりげなく接してくれる誠。自分を理解してくれていることが、飛鳥には嬉しかった。やがて、話が誠の仕事のことになると、誠はアメリカにある本社に異動が決まったと明かし、飛鳥についてこないか、と誘った。  　翌朝、浮かれて出社した飛鳥を、旭淳平(大泉洋)らは不審に思う。  　そこへ、高級クラブの女性・飯塚月子(釈由美子)から自宅の盗聴器を見つけてほしいという依頼が入った。駿太郎と飛鳥"&amp;"が月子宅に向かい、盗聴器を発見。月子は最近、大物代議士の熱愛相手として新聞に記事が載ったが、その内容から部屋が盗聴されているのでは、と疑ったという。")</f>
        <v>時多駿太郎(松本潤)と水野飛鳥(仲里依紗)は、ある会社からの依頼で不良社員の男を尾行調査していた。男の顔には特徴的なホクロがあり、それを目印に追っていた。しかし、飛鳥が気を抜いた瞬間、男はマスクをして人込みに紛れてしまう。飛鳥は必死に男を捜すが見当たらない。それどころか、自分を調査しているのか、と逆に男に声をかけられてしまう。  　後日、筑紫昌義(角野卓造)は、依頼人に謝罪するが納得してもらえず、調査は中止となった。筑紫は飛鳥に、調査の基本に立ち返るようにと注意し、飛鳥も神妙な面持ちで聞いた。そんな折、飛鳥の携帯に元カレの誠(細田よしひこ)からメールが届く。飛鳥は迷いながらも誠に連絡を取り、2人は食事をすることに。落ち込んでいる自分にさりげなく接してくれる誠。自分を理解してくれていることが、飛鳥には嬉しかった。やがて、話が誠の仕事のことになると、誠はアメリカにある本社に異動が決まったと明かし、飛鳥についてこないか、と誘った。  　翌朝、浮かれて出社した飛鳥を、旭淳平(大泉洋)らは不審に思う。  　そこへ、高級クラブの女性・飯塚月子(釈由美子)から自宅の盗聴器を見つけてほしいという依頼が入った。駿太郎と飛鳥が月子宅に向かい、盗聴器を発見。月子は最近、大物代議士の熱愛相手として新聞に記事が載ったが、その内容から部屋が盗聴されているのでは、と疑ったという。</v>
      </c>
      <c r="N1291" s="2"/>
      <c r="O1291" s="2"/>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row>
    <row r="1292" ht="204.75" customHeight="1">
      <c r="A1292" s="1">
        <v>3961.0</v>
      </c>
      <c r="B1292" s="2" t="s">
        <v>4109</v>
      </c>
      <c r="C1292" s="2">
        <f>IFERROR(__xludf.DUMMYFUNCTION("split(B1292,""_"")"),1201.0)</f>
        <v>1201</v>
      </c>
      <c r="D1292" s="2" t="str">
        <f>IFERROR(__xludf.DUMMYFUNCTION("""COMPUTED_VALUE"""),"CX")</f>
        <v>CX</v>
      </c>
      <c r="E1292" s="2" t="str">
        <f>IFERROR(__xludf.DUMMYFUNCTION("""COMPUTED_VALUE"""),"月21")</f>
        <v>月21</v>
      </c>
      <c r="F1292" s="2" t="s">
        <v>4110</v>
      </c>
      <c r="G1292" s="2" t="s">
        <v>4135</v>
      </c>
      <c r="H1292" s="1">
        <v>9.0</v>
      </c>
      <c r="I1292" s="1" t="s">
        <v>33</v>
      </c>
      <c r="J1292" s="1" t="s">
        <v>11</v>
      </c>
      <c r="K1292" s="2" t="s">
        <v>4136</v>
      </c>
      <c r="L1292" s="2" t="s">
        <v>4137</v>
      </c>
      <c r="M1292" s="2" t="str">
        <f>IFERROR(__xludf.DUMMYFUNCTION("split(split(K1292,""時多駿太郎:　"",false),""公式LINE"",false)"),"ストーカーから守ってほしいと依頼が入り、時多駿太郎(松本潤)がボディーガードを引き受けることに。依頼人・望月史織(夏帆)の希望は、自宅から会社までの送迎と外出時の警護で、さらに駿太郎には恋人に扮してほしいという。  早速、駿太郎は史織の仕事が終わるのを待つが、2人は恋人同士のようだった。  そんな折、淳平(大泉洋)のパソコンに桐原由貴(吹石一恵)からメールが届く。2人きりで会いたいという由貴に、筑紫昌義(角野卓造)でさえも何か企みがあるのではないかといぶかしがる。淳平があれこれアプローチを続ける中、由貴は"&amp;"突然16年前という言葉から何を連想するか、と聞いた。とまどう淳平に由貴は、警視庁幹部・峰永(近江谷太朗)宅に侵入した新田輝(瑛太)が、16年前に何があったのかと峰永に迫ったが、その後、警察で取られた峰永の供述調書から、そこの部分が削除されていたと明かした。それはラッキー探偵社に関係のあることだと思われるから、心当たりはないかと聞く由貴に、淳平は心当たりがあると答えた。  そんなある夜、自宅への道を歩いていた藤崎瞳子(松嶋菜々子)は、後ろに人の気配を感じて振り返るが、そこには誰もいなかった。しかし翌日、瞳子"&amp;"は自宅に侵入があったようだ、と筑紫に相談した。筑紫は、探偵たちに相談してみては、と勧めるが、瞳子は自分の父親の事件に誰も巻き込みたくないと断る。")</f>
        <v>ストーカーから守ってほしいと依頼が入り、時多駿太郎(松本潤)がボディーガードを引き受けることに。依頼人・望月史織(夏帆)の希望は、自宅から会社までの送迎と外出時の警護で、さらに駿太郎には恋人に扮してほしいという。  早速、駿太郎は史織の仕事が終わるのを待つが、2人は恋人同士のようだった。  そんな折、淳平(大泉洋)のパソコンに桐原由貴(吹石一恵)からメールが届く。2人きりで会いたいという由貴に、筑紫昌義(角野卓造)でさえも何か企みがあるのではないかといぶかしがる。淳平があれこれアプローチを続ける中、由貴は突然16年前という言葉から何を連想するか、と聞いた。とまどう淳平に由貴は、警視庁幹部・峰永(近江谷太朗)宅に侵入した新田輝(瑛太)が、16年前に何があったのかと峰永に迫ったが、その後、警察で取られた峰永の供述調書から、そこの部分が削除されていたと明かした。それはラッキー探偵社に関係のあることだと思われるから、心当たりはないかと聞く由貴に、淳平は心当たりがあると答えた。  そんなある夜、自宅への道を歩いていた藤崎瞳子(松嶋菜々子)は、後ろに人の気配を感じて振り返るが、そこには誰もいなかった。しかし翌日、瞳子は自宅に侵入があったようだ、と筑紫に相談した。筑紫は、探偵たちに相談してみては、と勧めるが、瞳子は自分の父親の事件に誰も巻き込みたくないと断る。</v>
      </c>
      <c r="N1292" s="2"/>
      <c r="O1292" s="2"/>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row>
    <row r="1293" ht="204.75" customHeight="1">
      <c r="A1293" s="1">
        <v>3962.0</v>
      </c>
      <c r="B1293" s="2" t="s">
        <v>4109</v>
      </c>
      <c r="C1293" s="2">
        <f>IFERROR(__xludf.DUMMYFUNCTION("split(B1293,""_"")"),1201.0)</f>
        <v>1201</v>
      </c>
      <c r="D1293" s="2" t="str">
        <f>IFERROR(__xludf.DUMMYFUNCTION("""COMPUTED_VALUE"""),"CX")</f>
        <v>CX</v>
      </c>
      <c r="E1293" s="2" t="str">
        <f>IFERROR(__xludf.DUMMYFUNCTION("""COMPUTED_VALUE"""),"月21")</f>
        <v>月21</v>
      </c>
      <c r="F1293" s="2" t="s">
        <v>4110</v>
      </c>
      <c r="G1293" s="2" t="s">
        <v>4138</v>
      </c>
      <c r="H1293" s="1">
        <v>10.0</v>
      </c>
      <c r="I1293" s="1" t="s">
        <v>37</v>
      </c>
      <c r="J1293" s="1" t="s">
        <v>4</v>
      </c>
      <c r="K1293" s="2" t="s">
        <v>4139</v>
      </c>
      <c r="L1293" s="2" t="s">
        <v>4140</v>
      </c>
      <c r="M1293" s="2" t="str">
        <f>IFERROR(__xludf.DUMMYFUNCTION("split(split(K1293,""時多駿太郎:　"",false),""公式LINE"",false)"),"時多駿太郎(松本潤)は、何者かに連れ去られた藤崎瞳子(松嶋菜々子)の行方を捜査してほしいと警察署に駆け込むが、桐原由貴(吹石一恵)に断られてしまう。  　駿太郎は、負傷して入院中の旭淳平(大泉洋)にそのことを報告。淳平は、警察に八神コーポレーションと通じている者がいる、八神コーポレーションの八神景介(鹿賀丈史)こそが、瞳子の父・眞人が死の直前まで調べていた男だと話した。　その後、駿太郎らを前にした筑紫昌義(角野卓造)は、16年前、弁護士だった眞人が八神の土地買収にまつわる不正の証拠を掴んだ直後に、不審な死"&amp;"を遂げたのだと明かした。そんなとき、駿太郎、筑紫、水野飛鳥(仲里依紗)、茅野メイ(入来茉里)の携帯電話に、瞳子を誘拐した犯人からメールが届く。犯人は、瞳子と引き換えに眞人の手帳を渡すよう指示。その後、指定場所で飛鳥が待機していると、駿太郎にボディーガードを頼んだ史織(夏帆)が現れ手帳を受け取った。史織は、バイクに乗った男にそれを手渡した。  　男を見送った駿太郎らは、手帳に付属した万年筆に仕掛けたGPSで手帳の行方を追う。追跡を続けるとGPSは、海上の客船の上で止まった。早速、駿太郎と飛鳥は船内に潜入する"&amp;"。  　その頃、船内に拉致されていた瞳子の元へ、手帳を手にした男(永井大)が現れた。それは、瞳子を付け狙っていた男だった…。")</f>
        <v>時多駿太郎(松本潤)は、何者かに連れ去られた藤崎瞳子(松嶋菜々子)の行方を捜査してほしいと警察署に駆け込むが、桐原由貴(吹石一恵)に断られてしまう。  　駿太郎は、負傷して入院中の旭淳平(大泉洋)にそのことを報告。淳平は、警察に八神コーポレーションと通じている者がいる、八神コーポレーションの八神景介(鹿賀丈史)こそが、瞳子の父・眞人が死の直前まで調べていた男だと話した。　その後、駿太郎らを前にした筑紫昌義(角野卓造)は、16年前、弁護士だった眞人が八神の土地買収にまつわる不正の証拠を掴んだ直後に、不審な死を遂げたのだと明かした。そんなとき、駿太郎、筑紫、水野飛鳥(仲里依紗)、茅野メイ(入来茉里)の携帯電話に、瞳子を誘拐した犯人からメールが届く。犯人は、瞳子と引き換えに眞人の手帳を渡すよう指示。その後、指定場所で飛鳥が待機していると、駿太郎にボディーガードを頼んだ史織(夏帆)が現れ手帳を受け取った。史織は、バイクに乗った男にそれを手渡した。  　男を見送った駿太郎らは、手帳に付属した万年筆に仕掛けたGPSで手帳の行方を追う。追跡を続けるとGPSは、海上の客船の上で止まった。早速、駿太郎と飛鳥は船内に潜入する。  　その頃、船内に拉致されていた瞳子の元へ、手帳を手にした男(永井大)が現れた。それは、瞳子を付け狙っていた男だった…。</v>
      </c>
      <c r="N1293" s="2"/>
      <c r="O1293" s="2"/>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row>
    <row r="1294" ht="204.75" customHeight="1">
      <c r="A1294" s="1">
        <v>3963.0</v>
      </c>
      <c r="B1294" s="2" t="s">
        <v>4141</v>
      </c>
      <c r="C1294" s="2">
        <f>IFERROR(__xludf.DUMMYFUNCTION("split(B1294,""_"")"),1201.0)</f>
        <v>1201</v>
      </c>
      <c r="D1294" s="2" t="str">
        <f>IFERROR(__xludf.DUMMYFUNCTION("""COMPUTED_VALUE"""),"CX")</f>
        <v>CX</v>
      </c>
      <c r="E1294" s="2" t="str">
        <f>IFERROR(__xludf.DUMMYFUNCTION("""COMPUTED_VALUE"""),"火21")</f>
        <v>火21</v>
      </c>
      <c r="F1294" s="2" t="s">
        <v>4142</v>
      </c>
      <c r="G1294" s="2" t="s">
        <v>4143</v>
      </c>
      <c r="H1294" s="1">
        <v>1.0</v>
      </c>
      <c r="I1294" s="1" t="s">
        <v>3</v>
      </c>
      <c r="J1294" s="1" t="s">
        <v>4</v>
      </c>
      <c r="K1294" s="4" t="s">
        <v>4144</v>
      </c>
      <c r="L1294" s="2" t="s">
        <v>4145</v>
      </c>
      <c r="M1294" s="2" t="str">
        <f>IFERROR(__xludf.DUMMYFUNCTION("split(split(K1294,""竹内結子　"",false),""公式LINE"",false)"),"100人を超える死傷者を出した、10年前の列車転覆事故。引き起こしたのは、踏切内に進入した飲酒運転の車だった。危険運転致死罪はまだ存在せず、運転していた男、米田靖史(当時24)(北上史欧)の刑期はたったの5年。ある日、出所後の米田が列車事故と同じ場所でれき死する。死体は、左右対称に真っ2つになっており、自殺と他殺両面の捜査が始まる。いつものように居酒屋で1人で飲んだ後、れき死体で米田が見つかるまでの時間は短いことから、おそらく計画的な犯行か。また、米田は殺害前に、「(鉄道会社、被害者、遺族への)賠償金の支"&amp;"払い義務が8億6千万円ある」と居酒屋でわめいていたらしい。  　「被害者と遺族の会」会長、小川睦男(村上かず)の長女・実春(享年17)(藤本泉)は、列車事故でひどい死に方をした。警視庁捜査一課の姫川玲子(竹内結子)は実春が車両につぶされる直前、必死で彼女を助けようとした徳山(滝藤賢一)という駅員がいたことを知り、調べ始める。徳山はJRをとうに退職して現在は行方不明となっていた。大量の資料の中から、玲子は徳山のことが書かれている小さな新聞記事を見つける。「駅員の願いむなしく…最後まで乗客の救出を諦めず自らも"&amp;"負傷」とある。さらには、小川睦男も家のトイレで遺体で見つかった。地道な聞き込み等から、徳山が半ば「住んで」いるネットカフェにたどり着く。徳山のブースで玲子が目にした光景は…。")</f>
        <v>100人を超える死傷者を出した、10年前の列車転覆事故。引き起こしたのは、踏切内に進入した飲酒運転の車だった。危険運転致死罪はまだ存在せず、運転していた男、米田靖史(当時24)(北上史欧)の刑期はたったの5年。ある日、出所後の米田が列車事故と同じ場所でれき死する。死体は、左右対称に真っ2つになっており、自殺と他殺両面の捜査が始まる。いつものように居酒屋で1人で飲んだ後、れき死体で米田が見つかるまでの時間は短いことから、おそらく計画的な犯行か。また、米田は殺害前に、「(鉄道会社、被害者、遺族への)賠償金の支払い義務が8億6千万円ある」と居酒屋でわめいていたらしい。  　「被害者と遺族の会」会長、小川睦男(村上かず)の長女・実春(享年17)(藤本泉)は、列車事故でひどい死に方をした。警視庁捜査一課の姫川玲子(竹内結子)は実春が車両につぶされる直前、必死で彼女を助けようとした徳山(滝藤賢一)という駅員がいたことを知り、調べ始める。徳山はJRをとうに退職して現在は行方不明となっていた。大量の資料の中から、玲子は徳山のことが書かれている小さな新聞記事を見つける。「駅員の願いむなしく…最後まで乗客の救出を諦めず自らも負傷」とある。さらには、小川睦男も家のトイレで遺体で見つかった。地道な聞き込み等から、徳山が半ば「住んで」いるネットカフェにたどり着く。徳山のブースで玲子が目にした光景は…。</v>
      </c>
      <c r="N1294" s="2"/>
      <c r="O1294" s="2"/>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row>
    <row r="1295" ht="204.75" customHeight="1">
      <c r="A1295" s="1">
        <v>3964.0</v>
      </c>
      <c r="B1295" s="2" t="s">
        <v>4141</v>
      </c>
      <c r="C1295" s="2">
        <f>IFERROR(__xludf.DUMMYFUNCTION("split(B1295,""_"")"),1201.0)</f>
        <v>1201</v>
      </c>
      <c r="D1295" s="2" t="str">
        <f>IFERROR(__xludf.DUMMYFUNCTION("""COMPUTED_VALUE"""),"CX")</f>
        <v>CX</v>
      </c>
      <c r="E1295" s="2" t="str">
        <f>IFERROR(__xludf.DUMMYFUNCTION("""COMPUTED_VALUE"""),"火21")</f>
        <v>火21</v>
      </c>
      <c r="F1295" s="2" t="s">
        <v>4142</v>
      </c>
      <c r="G1295" s="2" t="s">
        <v>4146</v>
      </c>
      <c r="H1295" s="1">
        <v>2.0</v>
      </c>
      <c r="I1295" s="1" t="s">
        <v>7</v>
      </c>
      <c r="J1295" s="1" t="s">
        <v>11</v>
      </c>
      <c r="K1295" s="2" t="s">
        <v>4147</v>
      </c>
      <c r="L1295" s="2" t="s">
        <v>4148</v>
      </c>
      <c r="M1295" s="2" t="str">
        <f>IFERROR(__xludf.DUMMYFUNCTION("split(split(K1295,""竹内結子　"",false),""公式LINE"",false)"),"覚醒剤使用の痕跡がある男性が劇症肝炎で死亡する症例が立て続けに発生。姫川玲子(竹内結子)は事件性を感じ、覚醒剤取締法違反である事件を連続殺人として捜査開始した。被害者は独身サラリーマン3名。西ヶ原警察署管内、亀有西署管内、高円寺警察管内で発見された。  　今回の捜査の座組みは姫川班と三係の島班、遺体が発見された各所轄から生活安全課と刑組課の刑事が入るという。玲子のことが好きな井岡博満(生瀬勝久)も捜査に加わる。島(小木茂光)は菊田(西島秀俊)の師匠で、ひたすら足を使い、1つずつ可能性をつぶしてホシにせまる"&amp;"タイプで、手ごわい相手だ。さらに、玲子の気がかりはガンテツこと勝俣警部補(武田鉄矢)が介入してくることだ。  　被害者3名はオンラインゲームサイト“ガチャゲー""に会員登録をしていて、ゲームの中で共通の相手と接触していた。玲子はホシがゲームの中で知り合った不特定多数の相手に毒入り麻薬を配っている可能性を疑う。一方のガンテツはドラッグの売人の遺体が所持していた黒と白のカプセル(ゼブラ)を入手する。科捜研を使って調べると、主成分は合成麻薬MDMAで、アセトアミノフェンという薬物が混ざっていたという。解熱鎮痛剤"&amp;"の一種で、大量に摂取すると劇症肝炎を引き起こす原因になる。玲子はガチャゲーの料金を引き落としているカード会社から、ある大物の存在に気付く…。")</f>
        <v>覚醒剤使用の痕跡がある男性が劇症肝炎で死亡する症例が立て続けに発生。姫川玲子(竹内結子)は事件性を感じ、覚醒剤取締法違反である事件を連続殺人として捜査開始した。被害者は独身サラリーマン3名。西ヶ原警察署管内、亀有西署管内、高円寺警察管内で発見された。  　今回の捜査の座組みは姫川班と三係の島班、遺体が発見された各所轄から生活安全課と刑組課の刑事が入るという。玲子のことが好きな井岡博満(生瀬勝久)も捜査に加わる。島(小木茂光)は菊田(西島秀俊)の師匠で、ひたすら足を使い、1つずつ可能性をつぶしてホシにせまるタイプで、手ごわい相手だ。さらに、玲子の気がかりはガンテツこと勝俣警部補(武田鉄矢)が介入してくることだ。  　被害者3名はオンラインゲームサイト“ガチャゲー"に会員登録をしていて、ゲームの中で共通の相手と接触していた。玲子はホシがゲームの中で知り合った不特定多数の相手に毒入り麻薬を配っている可能性を疑う。一方のガンテツはドラッグの売人の遺体が所持していた黒と白のカプセル(ゼブラ)を入手する。科捜研を使って調べると、主成分は合成麻薬MDMAで、アセトアミノフェンという薬物が混ざっていたという。解熱鎮痛剤の一種で、大量に摂取すると劇症肝炎を引き起こす原因になる。玲子はガチャゲーの料金を引き落としているカード会社から、ある大物の存在に気付く…。</v>
      </c>
      <c r="N1295" s="2"/>
      <c r="O1295" s="2"/>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row>
    <row r="1296" ht="204.75" customHeight="1">
      <c r="A1296" s="1">
        <v>3965.0</v>
      </c>
      <c r="B1296" s="2" t="s">
        <v>4141</v>
      </c>
      <c r="C1296" s="2">
        <f>IFERROR(__xludf.DUMMYFUNCTION("split(B1296,""_"")"),1201.0)</f>
        <v>1201</v>
      </c>
      <c r="D1296" s="2" t="str">
        <f>IFERROR(__xludf.DUMMYFUNCTION("""COMPUTED_VALUE"""),"CX")</f>
        <v>CX</v>
      </c>
      <c r="E1296" s="2" t="str">
        <f>IFERROR(__xludf.DUMMYFUNCTION("""COMPUTED_VALUE"""),"火21")</f>
        <v>火21</v>
      </c>
      <c r="F1296" s="2" t="s">
        <v>4142</v>
      </c>
      <c r="G1296" s="2" t="s">
        <v>4149</v>
      </c>
      <c r="H1296" s="1">
        <v>3.0</v>
      </c>
      <c r="I1296" s="1" t="s">
        <v>10</v>
      </c>
      <c r="J1296" s="1" t="s">
        <v>11</v>
      </c>
      <c r="K1296" s="2" t="s">
        <v>4150</v>
      </c>
      <c r="L1296" s="2" t="s">
        <v>4151</v>
      </c>
      <c r="M1296" s="2" t="str">
        <f>IFERROR(__xludf.DUMMYFUNCTION("split(split(K1296,""竹内結子　"",false),""公式LINE"",false)"),"姫川玲子(竹内結子)の調べで、覚醒剤使用の痕跡があり、劇症肝炎で死亡した被害者全員と接触していた人物が4人いた。うち3人は女子高生で、被害者たちと売春行為をしていたようだ。だが、その3人と毒入り麻薬との関連性はなく、残り1人が下坂勇一郎(北見敏之)という医師で、現在の総理大臣の政策ブレーンとして活躍しているという。下坂は劇症肝炎を引き起こす薬物や、麻酔剤などを入手できる環境にいる。さらに長年、薬物依存者のカウンセリングをしており、違法薬物撲滅協会の理事を務めている。姫川が下坂に任意同行を求めると了承するが"&amp;"、“ガチャゲー""なんていうサイトは知らないと否定する。島(小木茂光)が調べたところ、2週間前、下坂は海外にいたため、ガチャゲーにアクセスできない状況だった。また、下坂の携帯、パソコンにはガチャゲーにアクセスした履歴が一切なかった。カードの運営会社に問い合わせたところ、盗んだカード番号を使った不正登録ではないかということだ。つまり、「シド」と名乗る人物が下坂のカード情報を盗み出した可能性が高い。菊田(西島秀俊)から玲子に連絡が入る。恵比寿署管内のアパートで男の遺体が見つかり、劇症肝炎が死因だった。玲子と井"&amp;"岡(生瀬勝久)はクローンカードを作る業者に接触し、ある女子高生に辿り着く。")</f>
        <v>姫川玲子(竹内結子)の調べで、覚醒剤使用の痕跡があり、劇症肝炎で死亡した被害者全員と接触していた人物が4人いた。うち3人は女子高生で、被害者たちと売春行為をしていたようだ。だが、その3人と毒入り麻薬との関連性はなく、残り1人が下坂勇一郎(北見敏之)という医師で、現在の総理大臣の政策ブレーンとして活躍しているという。下坂は劇症肝炎を引き起こす薬物や、麻酔剤などを入手できる環境にいる。さらに長年、薬物依存者のカウンセリングをしており、違法薬物撲滅協会の理事を務めている。姫川が下坂に任意同行を求めると了承するが、“ガチャゲー"なんていうサイトは知らないと否定する。島(小木茂光)が調べたところ、2週間前、下坂は海外にいたため、ガチャゲーにアクセスできない状況だった。また、下坂の携帯、パソコンにはガチャゲーにアクセスした履歴が一切なかった。カードの運営会社に問い合わせたところ、盗んだカード番号を使った不正登録ではないかということだ。つまり、「シド」と名乗る人物が下坂のカード情報を盗み出した可能性が高い。菊田(西島秀俊)から玲子に連絡が入る。恵比寿署管内のアパートで男の遺体が見つかり、劇症肝炎が死因だった。玲子と井岡(生瀬勝久)はクローンカードを作る業者に接触し、ある女子高生に辿り着く。</v>
      </c>
      <c r="N1296" s="2"/>
      <c r="O1296" s="2"/>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row>
    <row r="1297" ht="204.75" customHeight="1">
      <c r="A1297" s="1">
        <v>3966.0</v>
      </c>
      <c r="B1297" s="2" t="s">
        <v>4141</v>
      </c>
      <c r="C1297" s="2">
        <f>IFERROR(__xludf.DUMMYFUNCTION("split(B1297,""_"")"),1201.0)</f>
        <v>1201</v>
      </c>
      <c r="D1297" s="2" t="str">
        <f>IFERROR(__xludf.DUMMYFUNCTION("""COMPUTED_VALUE"""),"CX")</f>
        <v>CX</v>
      </c>
      <c r="E1297" s="2" t="str">
        <f>IFERROR(__xludf.DUMMYFUNCTION("""COMPUTED_VALUE"""),"火21")</f>
        <v>火21</v>
      </c>
      <c r="F1297" s="2" t="s">
        <v>4142</v>
      </c>
      <c r="G1297" s="2" t="s">
        <v>4152</v>
      </c>
      <c r="H1297" s="1">
        <v>4.0</v>
      </c>
      <c r="I1297" s="1" t="s">
        <v>14</v>
      </c>
      <c r="J1297" s="1" t="s">
        <v>11</v>
      </c>
      <c r="K1297" s="2" t="s">
        <v>4153</v>
      </c>
      <c r="L1297" s="2" t="s">
        <v>4154</v>
      </c>
      <c r="M1297" s="2" t="str">
        <f>IFERROR(__xludf.DUMMYFUNCTION("split(split(K1297,""竹内結子　"",false),""公式LINE"",false)"),"最近、立て続けに過去の事件の犯罪者2人が変死した。1人は5年前、女子高生3人を監禁暴行の上、最終的に殺害したが、最高裁で心神喪失により無罪となった吾妻照夫(28歳)(端本宇良)。そして6年前、当時15歳で、女子児童暴行殺人で捕まったが、少年法適用により、たった2年の刑で釈放となった大場武志(20歳)(柿沢隆史)である。吾妻は車にはねられ死亡。大場は薬物中毒で死亡した。　姫川玲子(竹内結子)たちが事件を調べていくと、3年前に女子中学生を監禁殺害して、2年ちょっとで出所している安井五郎(TOMO)にぶち当たる"&amp;"。だが、その安井も自宅マンションから飛び降りて死んでしまう。  　吾妻、大場、安井は3人とも犯した罪の割に軽い刑、または無罪で済んだ犯人。この3人の共通点を調書から洗い出した結果、すべての事件に倉田修二警部補(杉本哲太)が関わっていることが分かる。そして大場の事件には“ガンテツ""こと勝俣警部補(武田鉄矢)も関わっていた。捜査員の情報の入ったパソコンで履歴を検索するが、倉田修二と入力しても「該当者なし」と出てくる。どうやら倉田のデータはロックされているようだ。ガンテツと会った玲子は、倉田について驚くべき事"&amp;"実を知る。")</f>
        <v>最近、立て続けに過去の事件の犯罪者2人が変死した。1人は5年前、女子高生3人を監禁暴行の上、最終的に殺害したが、最高裁で心神喪失により無罪となった吾妻照夫(28歳)(端本宇良)。そして6年前、当時15歳で、女子児童暴行殺人で捕まったが、少年法適用により、たった2年の刑で釈放となった大場武志(20歳)(柿沢隆史)である。吾妻は車にはねられ死亡。大場は薬物中毒で死亡した。　姫川玲子(竹内結子)たちが事件を調べていくと、3年前に女子中学生を監禁殺害して、2年ちょっとで出所している安井五郎(TOMO)にぶち当たる。だが、その安井も自宅マンションから飛び降りて死んでしまう。  　吾妻、大場、安井は3人とも犯した罪の割に軽い刑、または無罪で済んだ犯人。この3人の共通点を調書から洗い出した結果、すべての事件に倉田修二警部補(杉本哲太)が関わっていることが分かる。そして大場の事件には“ガンテツ"こと勝俣警部補(武田鉄矢)も関わっていた。捜査員の情報の入ったパソコンで履歴を検索するが、倉田修二と入力しても「該当者なし」と出てくる。どうやら倉田のデータはロックされているようだ。ガンテツと会った玲子は、倉田について驚くべき事実を知る。</v>
      </c>
      <c r="N1297" s="2"/>
      <c r="O1297" s="2"/>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row>
    <row r="1298" ht="204.75" customHeight="1">
      <c r="A1298" s="1">
        <v>3967.0</v>
      </c>
      <c r="B1298" s="2" t="s">
        <v>4141</v>
      </c>
      <c r="C1298" s="2">
        <f>IFERROR(__xludf.DUMMYFUNCTION("split(B1298,""_"")"),1201.0)</f>
        <v>1201</v>
      </c>
      <c r="D1298" s="2" t="str">
        <f>IFERROR(__xludf.DUMMYFUNCTION("""COMPUTED_VALUE"""),"CX")</f>
        <v>CX</v>
      </c>
      <c r="E1298" s="2" t="str">
        <f>IFERROR(__xludf.DUMMYFUNCTION("""COMPUTED_VALUE"""),"火21")</f>
        <v>火21</v>
      </c>
      <c r="F1298" s="2" t="s">
        <v>4142</v>
      </c>
      <c r="G1298" s="2" t="s">
        <v>4155</v>
      </c>
      <c r="H1298" s="1">
        <v>5.0</v>
      </c>
      <c r="I1298" s="1" t="s">
        <v>17</v>
      </c>
      <c r="J1298" s="1" t="s">
        <v>11</v>
      </c>
      <c r="K1298" s="2" t="s">
        <v>4156</v>
      </c>
      <c r="L1298" s="2" t="s">
        <v>4157</v>
      </c>
      <c r="M1298" s="2" t="str">
        <f>IFERROR(__xludf.DUMMYFUNCTION("split(split(K1298,""竹内結子　"",false),""公式LINE"",false)"),"姫川玲子(竹内結子)は“ガンテツ""こと勝俣警部補(武田鉄矢)から、女性暴行殺人事件の犯人3人の捜査に関わった倉田修二警部補(杉本哲太)が3年前に警察を辞めたことを聞く。理由は、息子の倉田英樹(石黒英雄)が交際相手の高校生、嶋田彩香(皆川玲奈)を刺殺したからだ。英樹は家裁で2年の刑に処せられて少年刑務所に収監されているという。さらに、倉田の妻・加奈子(おぐちえりこ)は、被害者の嶋田彩香の父親・勝也(吉満涼太)に自宅で殺されていた。  　倉田と対峙した玲子は「最初、あなたは過ぎた正義感のために3人を殺したと"&amp;"思ったが、自分を追いつめるために3人を殺した。息子の英樹に自分の手で罰を与える決心が鈍らない様に・・・」と語りかける。  　玲子は英樹と面会をしたいと思うが、英樹は会いたがらない。玲子は倉田の決意を変えるために何としても英樹に会いたいのだ。英樹は来週に出所することが決まったようだ。  　玲子は倉田に息子の殺害を止めさせたいが、証拠はあるのかと突っぱねられる。玲子は倉田に「英樹君は私がどんなことをしても守る」ときっぱり言って立ち去る。そして、玲子は英樹の母親が生前に言っていたことを伝えるために英樹に会う。さ"&amp;"らに、彩香の母親の澄子(渡辺杉枝)に会い、ある事実に気付いた玲子は・・・。")</f>
        <v>姫川玲子(竹内結子)は“ガンテツ"こと勝俣警部補(武田鉄矢)から、女性暴行殺人事件の犯人3人の捜査に関わった倉田修二警部補(杉本哲太)が3年前に警察を辞めたことを聞く。理由は、息子の倉田英樹(石黒英雄)が交際相手の高校生、嶋田彩香(皆川玲奈)を刺殺したからだ。英樹は家裁で2年の刑に処せられて少年刑務所に収監されているという。さらに、倉田の妻・加奈子(おぐちえりこ)は、被害者の嶋田彩香の父親・勝也(吉満涼太)に自宅で殺されていた。  　倉田と対峙した玲子は「最初、あなたは過ぎた正義感のために3人を殺したと思ったが、自分を追いつめるために3人を殺した。息子の英樹に自分の手で罰を与える決心が鈍らない様に・・・」と語りかける。  　玲子は英樹と面会をしたいと思うが、英樹は会いたがらない。玲子は倉田の決意を変えるために何としても英樹に会いたいのだ。英樹は来週に出所することが決まったようだ。  　玲子は倉田に息子の殺害を止めさせたいが、証拠はあるのかと突っぱねられる。玲子は倉田に「英樹君は私がどんなことをしても守る」ときっぱり言って立ち去る。そして、玲子は英樹の母親が生前に言っていたことを伝えるために英樹に会う。さらに、彩香の母親の澄子(渡辺杉枝)に会い、ある事実に気付いた玲子は・・・。</v>
      </c>
      <c r="N1298" s="2"/>
      <c r="O1298" s="2"/>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row>
    <row r="1299" ht="204.75" customHeight="1">
      <c r="A1299" s="1">
        <v>3968.0</v>
      </c>
      <c r="B1299" s="2" t="s">
        <v>4141</v>
      </c>
      <c r="C1299" s="2">
        <f>IFERROR(__xludf.DUMMYFUNCTION("split(B1299,""_"")"),1201.0)</f>
        <v>1201</v>
      </c>
      <c r="D1299" s="2" t="str">
        <f>IFERROR(__xludf.DUMMYFUNCTION("""COMPUTED_VALUE"""),"CX")</f>
        <v>CX</v>
      </c>
      <c r="E1299" s="2" t="str">
        <f>IFERROR(__xludf.DUMMYFUNCTION("""COMPUTED_VALUE"""),"火21")</f>
        <v>火21</v>
      </c>
      <c r="F1299" s="2" t="s">
        <v>4142</v>
      </c>
      <c r="G1299" s="2" t="s">
        <v>4158</v>
      </c>
      <c r="H1299" s="1">
        <v>6.0</v>
      </c>
      <c r="I1299" s="1" t="s">
        <v>21</v>
      </c>
      <c r="J1299" s="1" t="s">
        <v>11</v>
      </c>
      <c r="K1299" s="2" t="s">
        <v>4159</v>
      </c>
      <c r="L1299" s="2" t="s">
        <v>4160</v>
      </c>
      <c r="M1299" s="2" t="str">
        <f>IFERROR(__xludf.DUMMYFUNCTION("split(split(K1299,""竹内結子　"",false),""公式LINE"",false)"),"激しい雨が降る夜、閑静な住宅地で、家の玄関から出てきた男が身を隠していた男にいきなりメッタ刺しにされた。現場検証が行われ、姫川班の面々が集合する。被害者は長塚淳(窪寺昭)。自宅玄関前で胸や腹、背中など9カ所を刺され、死亡した。被害者の長塚淳は東大卒で、大手製薬会社「濱中薬品」に勤めている。会社から帰ってきて、一旦家に入り、着替える間もなく呼び出され、サンダル履きで玄関の外に出たところ、いきなり何者かに襲われ、殺害されたとの報告がされる。死因は失血死。凶器は刃渡り17cmほどの文化包丁状の刃物。死亡推定時刻"&amp;"は昨夜の8時半頃。第一発見者は、午後11時10分ごろ帰宅した父の長塚利一(佐々木勝彦)。特殊法人「労災施設事業団」の理事だ。息子の淳の評判はよく、最近、大学時代から付き合っていた彼女と別れ話が出ていたようだ。  　玲子(竹内結子)は、葉山(小出恵介)と警察学校の同期で卒配も一緒の成城南署強行犯捜査係の高野真弓(加藤あい)とコンビを組むことになった。事件のあった昨夜は激しい雨が降っていたため、現場の周辺から足痕および指紋は、現段階では採取できなかった。家に入った被害者を呼び出したのに、呼び鈴になぜ指紋が残っ"&amp;"ていなかったのか?と疑問に思った玲子は、家政婦の良枝(上岡紘子)の証言から、あることに気付く。いつもクールな葉山が捜査に熱心に取り組むが、過去のトラウマとなった事件を思い出し…。")</f>
        <v>激しい雨が降る夜、閑静な住宅地で、家の玄関から出てきた男が身を隠していた男にいきなりメッタ刺しにされた。現場検証が行われ、姫川班の面々が集合する。被害者は長塚淳(窪寺昭)。自宅玄関前で胸や腹、背中など9カ所を刺され、死亡した。被害者の長塚淳は東大卒で、大手製薬会社「濱中薬品」に勤めている。会社から帰ってきて、一旦家に入り、着替える間もなく呼び出され、サンダル履きで玄関の外に出たところ、いきなり何者かに襲われ、殺害されたとの報告がされる。死因は失血死。凶器は刃渡り17cmほどの文化包丁状の刃物。死亡推定時刻は昨夜の8時半頃。第一発見者は、午後11時10分ごろ帰宅した父の長塚利一(佐々木勝彦)。特殊法人「労災施設事業団」の理事だ。息子の淳の評判はよく、最近、大学時代から付き合っていた彼女と別れ話が出ていたようだ。  　玲子(竹内結子)は、葉山(小出恵介)と警察学校の同期で卒配も一緒の成城南署強行犯捜査係の高野真弓(加藤あい)とコンビを組むことになった。事件のあった昨夜は激しい雨が降っていたため、現場の周辺から足痕および指紋は、現段階では採取できなかった。家に入った被害者を呼び出したのに、呼び鈴になぜ指紋が残っていなかったのか?と疑問に思った玲子は、家政婦の良枝(上岡紘子)の証言から、あることに気付く。いつもクールな葉山が捜査に熱心に取り組むが、過去のトラウマとなった事件を思い出し…。</v>
      </c>
      <c r="N1299" s="2"/>
      <c r="O1299" s="2"/>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row>
    <row r="1300" ht="204.75" customHeight="1">
      <c r="A1300" s="1">
        <v>3969.0</v>
      </c>
      <c r="B1300" s="2" t="s">
        <v>4141</v>
      </c>
      <c r="C1300" s="2">
        <f>IFERROR(__xludf.DUMMYFUNCTION("split(B1300,""_"")"),1201.0)</f>
        <v>1201</v>
      </c>
      <c r="D1300" s="2" t="str">
        <f>IFERROR(__xludf.DUMMYFUNCTION("""COMPUTED_VALUE"""),"CX")</f>
        <v>CX</v>
      </c>
      <c r="E1300" s="2" t="str">
        <f>IFERROR(__xludf.DUMMYFUNCTION("""COMPUTED_VALUE"""),"火21")</f>
        <v>火21</v>
      </c>
      <c r="F1300" s="2" t="s">
        <v>4142</v>
      </c>
      <c r="G1300" s="2" t="s">
        <v>4161</v>
      </c>
      <c r="H1300" s="1">
        <v>7.0</v>
      </c>
      <c r="I1300" s="1" t="s">
        <v>25</v>
      </c>
      <c r="J1300" s="1" t="s">
        <v>11</v>
      </c>
      <c r="K1300" s="2" t="s">
        <v>4162</v>
      </c>
      <c r="L1300" s="2" t="s">
        <v>4163</v>
      </c>
      <c r="M1300" s="2" t="str">
        <f>IFERROR(__xludf.DUMMYFUNCTION("split(split(K1300,""竹内結子　"",false),""公式LINE"",false)"),"暴力団組長が射殺され、特別捜査本部が設置された。姫川玲子(竹内結子)は大きなヤマを担当したかったが、捜査十係係長の今泉(高嶋政宏)から監察医務院の國奥(津川雅彦)の所に行くよう指示された。自殺か他殺か判断できない遺体が運ばれてきたようだ。ロープが首を1周していて、喉の前で交差しており、自殺を偽装したようにもみえる。國奥は死亡推定時刻は昨夜の午後11時前後だが、左半身だけ死後硬直が解けるのが早いのが気にかかるという。所轄の強行犯捜査係長によると今日の午後10時半頃、「マンションの部屋で男が死んでいるので見に"&amp;"来てほしい」と女の声で110番通報があった。警官がかけつけると通報者は不在だが、男の死体は存在していた。被害者は村田一夫。通報者は死んだ男と同居していた女だと思われたが、通報後に姿を消している。玲子は遅れて捜査に加わったが、押収品で気になるものがあった。彫刻刀で削った箸置きのような形の13個の木片が並んでいた。また、ライティングビューローの奥から小さな鍵が見つかった。村田一夫は偽名で、本名は岸谷清次(松田賢二)。年齢は44歳で、10代の頃から札付きの悪で、少年刑務所にも入っていたことがあった。20歳の頃か"&amp;"ら暴力団事務所に出入りするようになり、23歳の時に大和会系の三次団体、吉田組の構成員となっていた。玲子は同居人の女が鍵を握っていると思い、部下に女の身元を洗うよう命じる。")</f>
        <v>暴力団組長が射殺され、特別捜査本部が設置された。姫川玲子(竹内結子)は大きなヤマを担当したかったが、捜査十係係長の今泉(高嶋政宏)から監察医務院の國奥(津川雅彦)の所に行くよう指示された。自殺か他殺か判断できない遺体が運ばれてきたようだ。ロープが首を1周していて、喉の前で交差しており、自殺を偽装したようにもみえる。國奥は死亡推定時刻は昨夜の午後11時前後だが、左半身だけ死後硬直が解けるのが早いのが気にかかるという。所轄の強行犯捜査係長によると今日の午後10時半頃、「マンションの部屋で男が死んでいるので見に来てほしい」と女の声で110番通報があった。警官がかけつけると通報者は不在だが、男の死体は存在していた。被害者は村田一夫。通報者は死んだ男と同居していた女だと思われたが、通報後に姿を消している。玲子は遅れて捜査に加わったが、押収品で気になるものがあった。彫刻刀で削った箸置きのような形の13個の木片が並んでいた。また、ライティングビューローの奥から小さな鍵が見つかった。村田一夫は偽名で、本名は岸谷清次(松田賢二)。年齢は44歳で、10代の頃から札付きの悪で、少年刑務所にも入っていたことがあった。20歳の頃から暴力団事務所に出入りするようになり、23歳の時に大和会系の三次団体、吉田組の構成員となっていた。玲子は同居人の女が鍵を握っていると思い、部下に女の身元を洗うよう命じる。</v>
      </c>
      <c r="N1300" s="2"/>
      <c r="O1300" s="2"/>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row>
    <row r="1301" ht="204.75" customHeight="1">
      <c r="A1301" s="1">
        <v>3970.0</v>
      </c>
      <c r="B1301" s="2" t="s">
        <v>4141</v>
      </c>
      <c r="C1301" s="2">
        <f>IFERROR(__xludf.DUMMYFUNCTION("split(B1301,""_"")"),1201.0)</f>
        <v>1201</v>
      </c>
      <c r="D1301" s="2" t="str">
        <f>IFERROR(__xludf.DUMMYFUNCTION("""COMPUTED_VALUE"""),"CX")</f>
        <v>CX</v>
      </c>
      <c r="E1301" s="2" t="str">
        <f>IFERROR(__xludf.DUMMYFUNCTION("""COMPUTED_VALUE"""),"火21")</f>
        <v>火21</v>
      </c>
      <c r="F1301" s="2" t="s">
        <v>4142</v>
      </c>
      <c r="G1301" s="2" t="s">
        <v>4164</v>
      </c>
      <c r="H1301" s="1">
        <v>8.0</v>
      </c>
      <c r="I1301" s="1" t="s">
        <v>29</v>
      </c>
      <c r="J1301" s="1" t="s">
        <v>11</v>
      </c>
      <c r="K1301" s="2" t="s">
        <v>4165</v>
      </c>
      <c r="L1301" s="2" t="s">
        <v>4166</v>
      </c>
      <c r="M1301" s="2" t="str">
        <f>IFERROR(__xludf.DUMMYFUNCTION("split(split(K1301,""竹内結子　"",false),""公式LINE"",false)"),"マンションの一室で変死体で発見された岸谷清次(松田賢二)のマンションに出入りしていたのは「楓」というスナックのホステスで、春川美津代(木村多江)という女性だった。岸谷の部屋から見つかった小さな鍵は私書箱の鍵だった。中には缶があり、街で隠し撮りされたようなアングルの暴力団関係者の雰囲気をまとった男女の写真、34枚が入っていた。この前、射殺された神部組組長・神部剛敬(松本元)や鷹見組組長・鷹見幸彦(清水哲也)の写真もあった。その中で封筒に入れられた1枚の写真があった。どこかの海岸をバックに最高の笑顔を向けてい"&amp;"る美津代の写真だ。  　捜査一課特設現場資料室の林警部補(半海一晃)に写真を持ち込んだ姫川玲子(竹内結子)は、神部と鷹見以外の3人も暴力団に関係があり、射殺されていることを教えてもらう。他の6人も暴力団に関わりがあり、写真に写っている11人全員が殺されていたとしたら・・・。玲子は11という数字にひらめきを感じ、今泉捜査十係係長(高嶋政宏)に岸谷が大和会系の殺し屋で、17歳の時の傷害致死と29歳の時の殺人を合わせて、13人を殺したのではないかと訴える。岸谷は自分が殺した人間の数だけ、木片を削っていたというの"&amp;"だ。岸谷の死の真相を知る美津代を探しに玲子は菊田(西島秀俊)と共に伊豆に向かう。")</f>
        <v>マンションの一室で変死体で発見された岸谷清次(松田賢二)のマンションに出入りしていたのは「楓」というスナックのホステスで、春川美津代(木村多江)という女性だった。岸谷の部屋から見つかった小さな鍵は私書箱の鍵だった。中には缶があり、街で隠し撮りされたようなアングルの暴力団関係者の雰囲気をまとった男女の写真、34枚が入っていた。この前、射殺された神部組組長・神部剛敬(松本元)や鷹見組組長・鷹見幸彦(清水哲也)の写真もあった。その中で封筒に入れられた1枚の写真があった。どこかの海岸をバックに最高の笑顔を向けている美津代の写真だ。  　捜査一課特設現場資料室の林警部補(半海一晃)に写真を持ち込んだ姫川玲子(竹内結子)は、神部と鷹見以外の3人も暴力団に関係があり、射殺されていることを教えてもらう。他の6人も暴力団に関わりがあり、写真に写っている11人全員が殺されていたとしたら・・・。玲子は11という数字にひらめきを感じ、今泉捜査十係係長(高嶋政宏)に岸谷が大和会系の殺し屋で、17歳の時の傷害致死と29歳の時の殺人を合わせて、13人を殺したのではないかと訴える。岸谷は自分が殺した人間の数だけ、木片を削っていたというのだ。岸谷の死の真相を知る美津代を探しに玲子は菊田(西島秀俊)と共に伊豆に向かう。</v>
      </c>
      <c r="N1301" s="2"/>
      <c r="O1301" s="2"/>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row>
    <row r="1302" ht="204.75" customHeight="1">
      <c r="A1302" s="1">
        <v>3971.0</v>
      </c>
      <c r="B1302" s="2" t="s">
        <v>4141</v>
      </c>
      <c r="C1302" s="2">
        <f>IFERROR(__xludf.DUMMYFUNCTION("split(B1302,""_"")"),1201.0)</f>
        <v>1201</v>
      </c>
      <c r="D1302" s="2" t="str">
        <f>IFERROR(__xludf.DUMMYFUNCTION("""COMPUTED_VALUE"""),"CX")</f>
        <v>CX</v>
      </c>
      <c r="E1302" s="2" t="str">
        <f>IFERROR(__xludf.DUMMYFUNCTION("""COMPUTED_VALUE"""),"火21")</f>
        <v>火21</v>
      </c>
      <c r="F1302" s="2" t="s">
        <v>4142</v>
      </c>
      <c r="G1302" s="2" t="s">
        <v>4167</v>
      </c>
      <c r="H1302" s="1">
        <v>9.0</v>
      </c>
      <c r="I1302" s="1" t="s">
        <v>33</v>
      </c>
      <c r="J1302" s="1" t="s">
        <v>11</v>
      </c>
      <c r="K1302" s="2" t="s">
        <v>4168</v>
      </c>
      <c r="L1302" s="2" t="s">
        <v>4169</v>
      </c>
      <c r="M1302" s="2" t="str">
        <f>IFERROR(__xludf.DUMMYFUNCTION("split(split(K1302,""竹内結子　"",false),""公式LINE"",false)"),"多摩川土手に放置されたワンボックス・カーから、血塗れの左手首が発見された。近くにある工務店のガレージが血の海になっており、発見者の証言と切断現場に残された指紋との照合により、工務店経営の高岡賢一(石黒賢)の手首と判明した。遺体なき殺人事件として捜査が開始される。臨場班は日下守(遠藤憲一)、姫川玲子(竹内結子)の両班体制だ。  　高岡工務店には、三島耕介(濱田岳)という従業員が勤務していた。高岡のガレージが血まみれになっているのを通報したのが三島だ。三島のアリバイは、恋人の中川美智子(蓮佛美沙子)から当該時"&amp;"刻に一緒にいたという証言を得ている。  　三島の父は、13年前に、木下興業の建設現場で事故死している。その当時、高岡は中林建設にいて、三島の父はその下請け会社でとび職をやっていた。そして、高岡が勤めていた中林建設は田嶋組のフロント企業だとわかった。　井岡(生瀬勝久)と組んだ玲子は高岡の住んでいた家の近所の鈴木不動産の主人から、高岡はたばこ屋の息子で、鉄道会社に勤めていたことを聞く。高岡は中林建設に勤めるわけがないと主人は言う。中林建設の激しい地上げによる嫌がらせで、高岡の母が自殺したというのだ。  　田嶋"&amp;"組は保険金詐欺に深く関わっており、三島の恋人の美智子の父親も木下興業でとび職をしていて、2カ月前に転落死をしていた。")</f>
        <v>多摩川土手に放置されたワンボックス・カーから、血塗れの左手首が発見された。近くにある工務店のガレージが血の海になっており、発見者の証言と切断現場に残された指紋との照合により、工務店経営の高岡賢一(石黒賢)の手首と判明した。遺体なき殺人事件として捜査が開始される。臨場班は日下守(遠藤憲一)、姫川玲子(竹内結子)の両班体制だ。  　高岡工務店には、三島耕介(濱田岳)という従業員が勤務していた。高岡のガレージが血まみれになっているのを通報したのが三島だ。三島のアリバイは、恋人の中川美智子(蓮佛美沙子)から当該時刻に一緒にいたという証言を得ている。  　三島の父は、13年前に、木下興業の建設現場で事故死している。その当時、高岡は中林建設にいて、三島の父はその下請け会社でとび職をやっていた。そして、高岡が勤めていた中林建設は田嶋組のフロント企業だとわかった。　井岡(生瀬勝久)と組んだ玲子は高岡の住んでいた家の近所の鈴木不動産の主人から、高岡はたばこ屋の息子で、鉄道会社に勤めていたことを聞く。高岡は中林建設に勤めるわけがないと主人は言う。中林建設の激しい地上げによる嫌がらせで、高岡の母が自殺したというのだ。  　田嶋組は保険金詐欺に深く関わっており、三島の恋人の美智子の父親も木下興業でとび職をしていて、2カ月前に転落死をしていた。</v>
      </c>
      <c r="N1302" s="2"/>
      <c r="O1302" s="2"/>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row>
    <row r="1303" ht="204.75" customHeight="1">
      <c r="A1303" s="1">
        <v>3972.0</v>
      </c>
      <c r="B1303" s="2" t="s">
        <v>4141</v>
      </c>
      <c r="C1303" s="2">
        <f>IFERROR(__xludf.DUMMYFUNCTION("split(B1303,""_"")"),1201.0)</f>
        <v>1201</v>
      </c>
      <c r="D1303" s="2" t="str">
        <f>IFERROR(__xludf.DUMMYFUNCTION("""COMPUTED_VALUE"""),"CX")</f>
        <v>CX</v>
      </c>
      <c r="E1303" s="2" t="str">
        <f>IFERROR(__xludf.DUMMYFUNCTION("""COMPUTED_VALUE"""),"火21")</f>
        <v>火21</v>
      </c>
      <c r="F1303" s="2" t="s">
        <v>4142</v>
      </c>
      <c r="G1303" s="2" t="s">
        <v>4170</v>
      </c>
      <c r="H1303" s="1">
        <v>10.0</v>
      </c>
      <c r="I1303" s="1" t="s">
        <v>37</v>
      </c>
      <c r="J1303" s="1" t="s">
        <v>11</v>
      </c>
      <c r="K1303" s="2" t="s">
        <v>4171</v>
      </c>
      <c r="L1303" s="2" t="s">
        <v>4172</v>
      </c>
      <c r="M1303" s="2" t="str">
        <f>IFERROR(__xludf.DUMMYFUNCTION("split(split(K1303,""竹内結子　"",false),""公式LINE"",false)"),"玲子(竹内結子)は、血塗れの左手首の持ち主と考えられる高岡賢一(石黒賢)の幼馴染に高岡の写真を見てもらい、写真の人物が高岡でないことを確認する。  　木下興業の建設現場での転落事故死…借金で首の回らなくなった人間を木下興業の建設作業員として現場に送り込み事故死させ、その保険金で借金を清算させるという闇社会の手口が見えてくる。  　木下興業の総務係長で、保険金担当をしているやくざ崩れの男、戸部真樹夫(池田鉄洋)の行方が分からなくなっていることがわかった。中林建設から出向しており、母親の姓を名乗っているが、父"&amp;"親は田嶋組初代組長、田嶋正勝。母親は田嶋の愛人だったホステスだ。  　高岡は、自分が死んだ際の保険金の受け取りを、内藤君江(南風佳子)と三島耕介(濱田岳)宛てにしていた。君江は48歳、独身で小さな定食屋を経営している。かわいがっている三島に1000万の受け取りは分かるが、なぜ血縁でもない内藤君江を5000万円もの保険金の受取人としたのか。  　君江は内藤雄太(森義洋)という20歳の青年を病院に見舞う。13年前、7歳の時の交通事故が原因で全身麻痺になった。母親はその事故で死んだが、父親のことはただ死んだとし"&amp;"かわからない。君江が13年前からずっと世話をしているというのだ。  　玲子は捜査会議で、高岡賢一、内藤君江、内藤雄太の関係についてある推測を披露するが…。")</f>
        <v>玲子(竹内結子)は、血塗れの左手首の持ち主と考えられる高岡賢一(石黒賢)の幼馴染に高岡の写真を見てもらい、写真の人物が高岡でないことを確認する。  　木下興業の建設現場での転落事故死…借金で首の回らなくなった人間を木下興業の建設作業員として現場に送り込み事故死させ、その保険金で借金を清算させるという闇社会の手口が見えてくる。  　木下興業の総務係長で、保険金担当をしているやくざ崩れの男、戸部真樹夫(池田鉄洋)の行方が分からなくなっていることがわかった。中林建設から出向しており、母親の姓を名乗っているが、父親は田嶋組初代組長、田嶋正勝。母親は田嶋の愛人だったホステスだ。  　高岡は、自分が死んだ際の保険金の受け取りを、内藤君江(南風佳子)と三島耕介(濱田岳)宛てにしていた。君江は48歳、独身で小さな定食屋を経営している。かわいがっている三島に1000万の受け取りは分かるが、なぜ血縁でもない内藤君江を5000万円もの保険金の受取人としたのか。  　君江は内藤雄太(森義洋)という20歳の青年を病院に見舞う。13年前、7歳の時の交通事故が原因で全身麻痺になった。母親はその事故で死んだが、父親のことはただ死んだとしかわからない。君江が13年前からずっと世話をしているというのだ。  　玲子は捜査会議で、高岡賢一、内藤君江、内藤雄太の関係についてある推測を披露するが…。</v>
      </c>
      <c r="N1303" s="2"/>
      <c r="O1303" s="2"/>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row>
    <row r="1304" ht="204.75" customHeight="1">
      <c r="A1304" s="1">
        <v>3973.0</v>
      </c>
      <c r="B1304" s="2" t="s">
        <v>4141</v>
      </c>
      <c r="C1304" s="2">
        <f>IFERROR(__xludf.DUMMYFUNCTION("split(B1304,""_"")"),1201.0)</f>
        <v>1201</v>
      </c>
      <c r="D1304" s="2" t="str">
        <f>IFERROR(__xludf.DUMMYFUNCTION("""COMPUTED_VALUE"""),"CX")</f>
        <v>CX</v>
      </c>
      <c r="E1304" s="2" t="str">
        <f>IFERROR(__xludf.DUMMYFUNCTION("""COMPUTED_VALUE"""),"火21")</f>
        <v>火21</v>
      </c>
      <c r="F1304" s="2" t="s">
        <v>4142</v>
      </c>
      <c r="G1304" s="2" t="s">
        <v>4173</v>
      </c>
      <c r="H1304" s="1">
        <v>11.0</v>
      </c>
      <c r="I1304" s="1" t="s">
        <v>41</v>
      </c>
      <c r="J1304" s="1" t="s">
        <v>4</v>
      </c>
      <c r="K1304" s="2" t="s">
        <v>4174</v>
      </c>
      <c r="L1304" s="2" t="s">
        <v>4175</v>
      </c>
      <c r="M1304" s="2" t="str">
        <f>IFERROR(__xludf.DUMMYFUNCTION("split(split(K1304,""竹内結子　"",false),""公式LINE"",false)"),"玲子(竹内結子)による、高岡の実家付近への聞き込みで、意外なことが判明した。今まで「高岡」だと思っていた人物は、実は別人だった。玲子は「高岡」が、内藤和敏という男で、全身麻痺で入院している20歳の内藤雄太(森義洋)の父親、そして、内藤君江(南風佳子)の弟だと推測する。13年前、地上げに巻き込まれて高岡賢一は自殺。暴力団のフロント企業である中川建設は、高岡の死が土地取引の障害になるため隠ぺいしたいと考えた。その頃、自分の起こした交通事故で妻を死なせ、息子を全身麻痺にした男がいた。それが、建設作業員の内藤和敏"&amp;"(石黒賢)である。息子の入院費を工面できずに困っていた内藤に中川建設が近づく。中川建設は、自殺したのは高岡ではなく内藤であるかのように偽装。内藤は、戸籍乗っ取りで「高岡賢一」として生きていくことを決意したようだ。そして、この保険金詐欺により、姉の君江に3000万の保険金を受け取らせ、雄太の入院費にあてたようだ。おそらくこの保険金詐欺と戸籍乗っ取りのネタで、内藤は木下興業の戸部真樹夫(池田鉄洋)に脅迫されていたのだろうと思われた。戸部が高岡(すなわち内藤和敏)を殺害したのだろうか?戸部の行方は、今もって分か"&amp;"らない。  　多摩川で遺体の一部、胴体が発見され、胴体のDNAが「高岡」の左手首のものと一致した。だが、玲子は胴体が「高岡」のものではないと推理する。")</f>
        <v>玲子(竹内結子)による、高岡の実家付近への聞き込みで、意外なことが判明した。今まで「高岡」だと思っていた人物は、実は別人だった。玲子は「高岡」が、内藤和敏という男で、全身麻痺で入院している20歳の内藤雄太(森義洋)の父親、そして、内藤君江(南風佳子)の弟だと推測する。13年前、地上げに巻き込まれて高岡賢一は自殺。暴力団のフロント企業である中川建設は、高岡の死が土地取引の障害になるため隠ぺいしたいと考えた。その頃、自分の起こした交通事故で妻を死なせ、息子を全身麻痺にした男がいた。それが、建設作業員の内藤和敏(石黒賢)である。息子の入院費を工面できずに困っていた内藤に中川建設が近づく。中川建設は、自殺したのは高岡ではなく内藤であるかのように偽装。内藤は、戸籍乗っ取りで「高岡賢一」として生きていくことを決意したようだ。そして、この保険金詐欺により、姉の君江に3000万の保険金を受け取らせ、雄太の入院費にあてたようだ。おそらくこの保険金詐欺と戸籍乗っ取りのネタで、内藤は木下興業の戸部真樹夫(池田鉄洋)に脅迫されていたのだろうと思われた。戸部が高岡(すなわち内藤和敏)を殺害したのだろうか?戸部の行方は、今もって分からない。  　多摩川で遺体の一部、胴体が発見され、胴体のDNAが「高岡」の左手首のものと一致した。だが、玲子は胴体が「高岡」のものではないと推理する。</v>
      </c>
      <c r="N1304" s="2"/>
      <c r="O1304" s="2"/>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row>
    <row r="1305" ht="204.75" customHeight="1">
      <c r="A1305" s="1">
        <v>3974.0</v>
      </c>
      <c r="B1305" s="2" t="s">
        <v>4176</v>
      </c>
      <c r="C1305" s="2">
        <f>IFERROR(__xludf.DUMMYFUNCTION("split(B1305,""_"")"),1201.0)</f>
        <v>1201</v>
      </c>
      <c r="D1305" s="2" t="str">
        <f>IFERROR(__xludf.DUMMYFUNCTION("""COMPUTED_VALUE"""),"CX")</f>
        <v>CX</v>
      </c>
      <c r="E1305" s="2" t="str">
        <f>IFERROR(__xludf.DUMMYFUNCTION("""COMPUTED_VALUE"""),"火22")</f>
        <v>火22</v>
      </c>
      <c r="F1305" s="2" t="s">
        <v>4177</v>
      </c>
      <c r="G1305" s="2" t="s">
        <v>4178</v>
      </c>
      <c r="H1305" s="1">
        <v>1.0</v>
      </c>
      <c r="I1305" s="1" t="s">
        <v>3</v>
      </c>
      <c r="J1305" s="1" t="s">
        <v>82</v>
      </c>
      <c r="K1305" s="4" t="s">
        <v>4179</v>
      </c>
      <c r="L1305" s="2" t="s">
        <v>4180</v>
      </c>
      <c r="M1305" s="2" t="str">
        <f>IFERROR(__xludf.DUMMYFUNCTION("split(split(K1305,""向井理　"",false),""hungry/"",false)"),"番組グッズプレゼント募集中!　  「ハングリー!」公式ホームページ　  http://www.ktv.jp/")</f>
        <v>番組グッズプレゼント募集中!　  「ハングリー!」公式ホームページ　  http://www.ktv.jp/</v>
      </c>
      <c r="N1305" s="2" t="str">
        <f>IFERROR(__xludf.DUMMYFUNCTION("""COMPUTED_VALUE"""),"「30歳になるまでに芽が出なかったら、見習いシェフになる」。  ロックバンド『ROCKHEAD』のベーシスト・山手英介(向井理)は、人気フレンチレストラン『ル・プティシュ』のオーナーシェフである母・華子(片平なぎさ)と期限付きの約束を交わし、調理師専門学校を卒業後、仲間たちとロックに身を捧げてきた。    ところが、30歳を目前に控えたある日、バンドが突然の解散。さらに、華子が倒れ、帰らぬ人となってしまう。悲しみに暮れる英介は、母の店を守ろうと、シェフになることを決意。だが店は、新進気鋭の実業家・麻生時男"&amp;"(稲垣吾郎)によって、従業員ごと買収されていた。    あきらめきれない英介は、華子が画家である夫・太朗(大杉漣)のために、アトリエとして借りていた倉庫でレストランを始めることに。『ROCKHEAD』のメンバーだった住吉賢太(塚本高史)と藤沢剛(川畑要)を誘い、新しい『ル・プティシュ』のオープンに向けて準備を進める。    オープン当日、20歳の誕生日を迎えた女子大生の大楠千絵(瀧本美織)は、以前から憧れていたフレンチレストラン『ル・プティシュ』を探していた。しかし、手がかりだった雑誌の切り抜きに記されて"&amp;"いた場所には、麻生がオーナーを務める『ガステレア』が。  やがて、電柱の貼り紙を頼りに『ル・プティシュ』に辿り着いたものの、店の前では英介が地面にベースを叩きつけていて…。")</f>
        <v>「30歳になるまでに芽が出なかったら、見習いシェフになる」。  ロックバンド『ROCKHEAD』のベーシスト・山手英介(向井理)は、人気フレンチレストラン『ル・プティシュ』のオーナーシェフである母・華子(片平なぎさ)と期限付きの約束を交わし、調理師専門学校を卒業後、仲間たちとロックに身を捧げてきた。    ところが、30歳を目前に控えたある日、バンドが突然の解散。さらに、華子が倒れ、帰らぬ人となってしまう。悲しみに暮れる英介は、母の店を守ろうと、シェフになることを決意。だが店は、新進気鋭の実業家・麻生時男(稲垣吾郎)によって、従業員ごと買収されていた。    あきらめきれない英介は、華子が画家である夫・太朗(大杉漣)のために、アトリエとして借りていた倉庫でレストランを始めることに。『ROCKHEAD』のメンバーだった住吉賢太(塚本高史)と藤沢剛(川畑要)を誘い、新しい『ル・プティシュ』のオープンに向けて準備を進める。    オープン当日、20歳の誕生日を迎えた女子大生の大楠千絵(瀧本美織)は、以前から憧れていたフレンチレストラン『ル・プティシュ』を探していた。しかし、手がかりだった雑誌の切り抜きに記されていた場所には、麻生がオーナーを務める『ガステレア』が。  やがて、電柱の貼り紙を頼りに『ル・プティシュ』に辿り着いたものの、店の前では英介が地面にベースを叩きつけていて…。</v>
      </c>
      <c r="O1305" s="2"/>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row>
    <row r="1306" ht="204.75" customHeight="1">
      <c r="A1306" s="1">
        <v>3975.0</v>
      </c>
      <c r="B1306" s="2" t="s">
        <v>4176</v>
      </c>
      <c r="C1306" s="2">
        <f>IFERROR(__xludf.DUMMYFUNCTION("split(B1306,""_"")"),1201.0)</f>
        <v>1201</v>
      </c>
      <c r="D1306" s="2" t="str">
        <f>IFERROR(__xludf.DUMMYFUNCTION("""COMPUTED_VALUE"""),"CX")</f>
        <v>CX</v>
      </c>
      <c r="E1306" s="2" t="str">
        <f>IFERROR(__xludf.DUMMYFUNCTION("""COMPUTED_VALUE"""),"火22")</f>
        <v>火22</v>
      </c>
      <c r="F1306" s="2" t="s">
        <v>4177</v>
      </c>
      <c r="G1306" s="2" t="s">
        <v>4181</v>
      </c>
      <c r="H1306" s="1">
        <v>2.0</v>
      </c>
      <c r="I1306" s="1" t="s">
        <v>7</v>
      </c>
      <c r="J1306" s="1" t="s">
        <v>86</v>
      </c>
      <c r="K1306" s="2" t="s">
        <v>4182</v>
      </c>
      <c r="L1306" s="2" t="s">
        <v>4183</v>
      </c>
      <c r="M1306" s="2" t="str">
        <f>IFERROR(__xludf.DUMMYFUNCTION("split(split(K1306,""向井理　"",false),""hungry/"",false)"),"開店から一週間、『ル・プティシュ』には客がまったく入らず、頭を抱える英介(向井理)。店で働く賢太(塚本高史)や剛(川畑要)だけでなく、仕入れ先の農家の娘・千絵(瀧本美織)にまで店の行く末を心配され、不安に駆られた英介は、思い切って銀行に融資を申し込むが、あっさり断られてしまう。    その帰り道、母・華子(片平なぎさ)の店を買収した実業家・麻生(稲垣吾郎)と出くわした英介は、麻生がオーナーを務める『ガステレア』に招待される。その席で麻生は、レストランの名前を変えてほしいと提案。英介の店が、かつての『ル・プ"&amp;"ティシュ』の跡地に建つ『ガステレア』のイメージダウンに繋がるというのだ。だが、『ガステレア』自慢の高級料理の数々を食べた英介は、そんな麻生の皮肉を一蹴。華子が愛した『ル・プティシュ』の精神を受け継いでいるのは、自分たちのレストランだと宣言する。    とは言ったものの、店の経営は苦しくなる一方。ますます不安になる英介だったが、千絵から以前食べた料理の味が忘れられず、再び『ル・プティシュ』に行くために毎日頑張っていると打ち明けられ、英介はその言葉に励まされる。    その日の夜、雨が降りしきる『ル・プティシ"&amp;"ュ』の近くには、店へ向かう一組の訳あり風なカップルの姿が。  雨がもたらしてくれた記念すべき初めての普通の客に色めき立つメンバー。「最高のメシを届けようぜ!」と円陣を組み、料理にとりかかるが…")</f>
        <v>開店から一週間、『ル・プティシュ』には客がまったく入らず、頭を抱える英介(向井理)。店で働く賢太(塚本高史)や剛(川畑要)だけでなく、仕入れ先の農家の娘・千絵(瀧本美織)にまで店の行く末を心配され、不安に駆られた英介は、思い切って銀行に融資を申し込むが、あっさり断られてしまう。    その帰り道、母・華子(片平なぎさ)の店を買収した実業家・麻生(稲垣吾郎)と出くわした英介は、麻生がオーナーを務める『ガステレア』に招待される。その席で麻生は、レストランの名前を変えてほしいと提案。英介の店が、かつての『ル・プティシュ』の跡地に建つ『ガステレア』のイメージダウンに繋がるというのだ。だが、『ガステレア』自慢の高級料理の数々を食べた英介は、そんな麻生の皮肉を一蹴。華子が愛した『ル・プティシュ』の精神を受け継いでいるのは、自分たちのレストランだと宣言する。    とは言ったものの、店の経営は苦しくなる一方。ますます不安になる英介だったが、千絵から以前食べた料理の味が忘れられず、再び『ル・プティシュ』に行くために毎日頑張っていると打ち明けられ、英介はその言葉に励まされる。    その日の夜、雨が降りしきる『ル・プティシュ』の近くには、店へ向かう一組の訳あり風なカップルの姿が。  雨がもたらしてくれた記念すべき初めての普通の客に色めき立つメンバー。「最高のメシを届けようぜ!」と円陣を組み、料理にとりかかるが…</v>
      </c>
      <c r="N1306" s="2"/>
      <c r="O1306" s="2"/>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row>
    <row r="1307" ht="204.75" customHeight="1">
      <c r="A1307" s="1">
        <v>3976.0</v>
      </c>
      <c r="B1307" s="2" t="s">
        <v>4176</v>
      </c>
      <c r="C1307" s="2">
        <f>IFERROR(__xludf.DUMMYFUNCTION("split(B1307,""_"")"),1201.0)</f>
        <v>1201</v>
      </c>
      <c r="D1307" s="2" t="str">
        <f>IFERROR(__xludf.DUMMYFUNCTION("""COMPUTED_VALUE"""),"CX")</f>
        <v>CX</v>
      </c>
      <c r="E1307" s="2" t="str">
        <f>IFERROR(__xludf.DUMMYFUNCTION("""COMPUTED_VALUE"""),"火22")</f>
        <v>火22</v>
      </c>
      <c r="F1307" s="2" t="s">
        <v>4177</v>
      </c>
      <c r="G1307" s="2" t="s">
        <v>4184</v>
      </c>
      <c r="H1307" s="1">
        <v>3.0</v>
      </c>
      <c r="I1307" s="1" t="s">
        <v>10</v>
      </c>
      <c r="J1307" s="1" t="s">
        <v>86</v>
      </c>
      <c r="K1307" s="2" t="s">
        <v>4185</v>
      </c>
      <c r="L1307" s="2" t="s">
        <v>4186</v>
      </c>
      <c r="M1307" s="2" t="str">
        <f>IFERROR(__xludf.DUMMYFUNCTION("split(split(K1307,""向井理　"",false),""hungry/"",false)"),"『ROCKHEAD』を脱退した拓(三浦翔平)は、加入するはずだったバンドが警察に捕まったことで行き場を失い、なんとか『ル・プティシュ』に辿り着いたものの、疲れと空腹で倒れてしまう。英介(向井理)は、そんな拓を店で休ませるが、一方で、彼女のまりあ(国仲涼子)から「なんだか英介を遠くに感じる」と告げられ、ショックを受ける。さらに、そんな英介とまりあの姿を偶然目撃してしまった千絵(瀧本美織)もまた、動揺を隠せずにいた。  店では、太朗(大杉漣)が英介に、お客様をもてなすのにふさわしい笑顔を作るよう指導をしていた"&amp;"。しかし、人に愛想を振りまくことが苦手な英介は、上手く笑えない。すると、その様子を見ていた拓が「俺、ココで働いてやってもいいよ」と一言。だが、かつて拓に苦い思いをさせられた英介は、その申し入れを断る。  やがて、チラシやビラが効果を発揮し、店には少しずつ客が入るように。これまでのメニューを見直し、値段も手ごろで誰にでも分かりやすい新メニューを考案した英介は、店のキーワードに“笑顔""を掲げ、賢太(塚本高史)や剛(川畑要)に自分も少しずつ変わる努力をすると誓う。  翌日、店に女優の高嶺薫(かたせ梨乃)がやっ"&amp;"て来る。入ってくるなり店内を見渡し、スタッフの言葉遣いにも厳しい反応を見せる高嶺に、怪訝な顔をする英介。さらに、まりあが同僚の川和(丸山智己)を連れて来店すると、英介の表情は凍りつき…。")</f>
        <v>『ROCKHEAD』を脱退した拓(三浦翔平)は、加入するはずだったバンドが警察に捕まったことで行き場を失い、なんとか『ル・プティシュ』に辿り着いたものの、疲れと空腹で倒れてしまう。英介(向井理)は、そんな拓を店で休ませるが、一方で、彼女のまりあ(国仲涼子)から「なんだか英介を遠くに感じる」と告げられ、ショックを受ける。さらに、そんな英介とまりあの姿を偶然目撃してしまった千絵(瀧本美織)もまた、動揺を隠せずにいた。  店では、太朗(大杉漣)が英介に、お客様をもてなすのにふさわしい笑顔を作るよう指導をしていた。しかし、人に愛想を振りまくことが苦手な英介は、上手く笑えない。すると、その様子を見ていた拓が「俺、ココで働いてやってもいいよ」と一言。だが、かつて拓に苦い思いをさせられた英介は、その申し入れを断る。  やがて、チラシやビラが効果を発揮し、店には少しずつ客が入るように。これまでのメニューを見直し、値段も手ごろで誰にでも分かりやすい新メニューを考案した英介は、店のキーワードに“笑顔"を掲げ、賢太(塚本高史)や剛(川畑要)に自分も少しずつ変わる努力をすると誓う。  翌日、店に女優の高嶺薫(かたせ梨乃)がやって来る。入ってくるなり店内を見渡し、スタッフの言葉遣いにも厳しい反応を見せる高嶺に、怪訝な顔をする英介。さらに、まりあが同僚の川和(丸山智己)を連れて来店すると、英介の表情は凍りつき…。</v>
      </c>
      <c r="N1307" s="2"/>
      <c r="O1307" s="2"/>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row>
    <row r="1308" ht="204.75" customHeight="1">
      <c r="A1308" s="1">
        <v>3977.0</v>
      </c>
      <c r="B1308" s="2" t="s">
        <v>4176</v>
      </c>
      <c r="C1308" s="2">
        <f>IFERROR(__xludf.DUMMYFUNCTION("split(B1308,""_"")"),1201.0)</f>
        <v>1201</v>
      </c>
      <c r="D1308" s="2" t="str">
        <f>IFERROR(__xludf.DUMMYFUNCTION("""COMPUTED_VALUE"""),"CX")</f>
        <v>CX</v>
      </c>
      <c r="E1308" s="2" t="str">
        <f>IFERROR(__xludf.DUMMYFUNCTION("""COMPUTED_VALUE"""),"火22")</f>
        <v>火22</v>
      </c>
      <c r="F1308" s="2" t="s">
        <v>4177</v>
      </c>
      <c r="G1308" s="2" t="s">
        <v>4187</v>
      </c>
      <c r="H1308" s="1">
        <v>4.0</v>
      </c>
      <c r="I1308" s="1" t="s">
        <v>14</v>
      </c>
      <c r="J1308" s="1" t="s">
        <v>86</v>
      </c>
      <c r="K1308" s="2" t="s">
        <v>4188</v>
      </c>
      <c r="L1308" s="2" t="s">
        <v>4189</v>
      </c>
      <c r="M1308" s="2" t="str">
        <f>IFERROR(__xludf.DUMMYFUNCTION("split(split(K1308,""向井理　"",false),""hungry/"",false)"),"初めての給料日が近づいたある日、英介(向井理)は、新しくスタッフに加わった拓(三浦翔平)を含め、店の中でのそれぞれの役割分担を決める。その一方で、自分はみんなの給料を確保するため、夜間の工事現場でアルバイトに励む。    そんな中、『ガステレア』のオーナー・麻生(稲垣吾郎)が、高級なオマール海老を持って『ル・プティシュ』にやって来る。麻生は、英介に10尾のオマール海老をプレゼントする代わりに、そのうちの1尾を使って自分に料理を作ってほしいという。ただし、その料理が美味しくなければ、10尾分の代金はすべて払"&amp;"うことが条件。英介は迷った挙句、その勝負を受けることを決める。    翌日、英介は届いたオマール海老を使って、早速調理を開始。事前にホームページで告知していたこともあり、店には問い合わせも入って、メンバーは俄然ヤル気を見せる。オープン前、英介は恋人のまりあ(国仲涼子)にも食べに来てほしいと伝えに行くが、連日の疲労が重なり、話の途中で思わず欠伸をしてしまう。怒ったまりあは、ついに「ミュージシャンの英介が好きだった」と本音を告白。社会人の先輩として、店の経営に苦しむ英介に厳しい言葉を残して立ち去る。    そ"&amp;"の夜、店はオープンと同時に大盛況。9尾のオマール海老はあっという間になくなるが、そこへ、病気の祖母にオマール海老を食べさせたいという若い女性がやって来て…。")</f>
        <v>初めての給料日が近づいたある日、英介(向井理)は、新しくスタッフに加わった拓(三浦翔平)を含め、店の中でのそれぞれの役割分担を決める。その一方で、自分はみんなの給料を確保するため、夜間の工事現場でアルバイトに励む。    そんな中、『ガステレア』のオーナー・麻生(稲垣吾郎)が、高級なオマール海老を持って『ル・プティシュ』にやって来る。麻生は、英介に10尾のオマール海老をプレゼントする代わりに、そのうちの1尾を使って自分に料理を作ってほしいという。ただし、その料理が美味しくなければ、10尾分の代金はすべて払うことが条件。英介は迷った挙句、その勝負を受けることを決める。    翌日、英介は届いたオマール海老を使って、早速調理を開始。事前にホームページで告知していたこともあり、店には問い合わせも入って、メンバーは俄然ヤル気を見せる。オープン前、英介は恋人のまりあ(国仲涼子)にも食べに来てほしいと伝えに行くが、連日の疲労が重なり、話の途中で思わず欠伸をしてしまう。怒ったまりあは、ついに「ミュージシャンの英介が好きだった」と本音を告白。社会人の先輩として、店の経営に苦しむ英介に厳しい言葉を残して立ち去る。    その夜、店はオープンと同時に大盛況。9尾のオマール海老はあっという間になくなるが、そこへ、病気の祖母にオマール海老を食べさせたいという若い女性がやって来て…。</v>
      </c>
      <c r="N1308" s="2"/>
      <c r="O1308" s="2"/>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row>
    <row r="1309" ht="204.75" customHeight="1">
      <c r="A1309" s="1">
        <v>3978.0</v>
      </c>
      <c r="B1309" s="2" t="s">
        <v>4176</v>
      </c>
      <c r="C1309" s="2">
        <f>IFERROR(__xludf.DUMMYFUNCTION("split(B1309,""_"")"),1201.0)</f>
        <v>1201</v>
      </c>
      <c r="D1309" s="2" t="str">
        <f>IFERROR(__xludf.DUMMYFUNCTION("""COMPUTED_VALUE"""),"CX")</f>
        <v>CX</v>
      </c>
      <c r="E1309" s="2" t="str">
        <f>IFERROR(__xludf.DUMMYFUNCTION("""COMPUTED_VALUE"""),"火22")</f>
        <v>火22</v>
      </c>
      <c r="F1309" s="2" t="s">
        <v>4177</v>
      </c>
      <c r="G1309" s="2" t="s">
        <v>4190</v>
      </c>
      <c r="H1309" s="1">
        <v>5.0</v>
      </c>
      <c r="I1309" s="1" t="s">
        <v>17</v>
      </c>
      <c r="J1309" s="1" t="s">
        <v>86</v>
      </c>
      <c r="K1309" s="2" t="s">
        <v>4191</v>
      </c>
      <c r="L1309" s="2" t="s">
        <v>4192</v>
      </c>
      <c r="M1309" s="2" t="str">
        <f>IFERROR(__xludf.DUMMYFUNCTION("split(split(K1309,""向井理　"",false),""hungry/"",false)"),"「ハングリー!」公式ホームページ  http://www.ktv.jp/")</f>
        <v>「ハングリー!」公式ホームページ  http://www.ktv.jp/</v>
      </c>
      <c r="N1309" s="2" t="str">
        <f>IFERROR(__xludf.DUMMYFUNCTION("""COMPUTED_VALUE"""),"まりあ(国仲涼子)から「私たち、少し距離を置かない?」と告げられ、眠れない日が続いていた英介(向井理)は、ある朝、キノコを採りに行った森で崖から滑り落ち、足を捻挫してしまう。そんな英介の傷心を知った千絵(瀧本美織)は、何とか元気づけたいと考えるが、親友の奈々(山下リオ)からは、奪い取るチャンスだとけしかけられる。そこでまずは、英介と『シェフとお客さん』以上の関係になろうと「料理を教えてほしい」と勇気を出して頼むが、英介は店のことで頭がいっぱい。あっさり断られてしまう。するとそこへ、『ROCKHEAD』の元"&amp;"マネージャー・白山(鈴木砂羽)がやって来る。仕事で家を空ける間、息子の飛優馬(篠田涼也)を預かってほしいというのだ。    その頃、『ガステレア』では麻生(稲垣吾郎)が英介の過去について調べていた。『ガステレア』の看板シェフで、料理専門学校時代の英介と同級生だった柏木(石黒英雄)は、長年のブランクがあると知った上でも、英介の才能を恐れるが、麻生は信じられない。しかし、英介の料理を食べたときの衝撃もまた、忘れられずにいた。    一方、英介たちは、白山が冷凍食品やお菓子ばかりを食べさせていたおかげで、偏食家"&amp;"となってしまった飛優馬に手を焼く。しかし、英介から食生活の大切さを教えられると、飛優馬は自ら「痩せたい、変わりたい」と志願。それを聞いた英介は、あることを思いつき、千絵に協力を求める。")</f>
        <v>まりあ(国仲涼子)から「私たち、少し距離を置かない?」と告げられ、眠れない日が続いていた英介(向井理)は、ある朝、キノコを採りに行った森で崖から滑り落ち、足を捻挫してしまう。そんな英介の傷心を知った千絵(瀧本美織)は、何とか元気づけたいと考えるが、親友の奈々(山下リオ)からは、奪い取るチャンスだとけしかけられる。そこでまずは、英介と『シェフとお客さん』以上の関係になろうと「料理を教えてほしい」と勇気を出して頼むが、英介は店のことで頭がいっぱい。あっさり断られてしまう。するとそこへ、『ROCKHEAD』の元マネージャー・白山(鈴木砂羽)がやって来る。仕事で家を空ける間、息子の飛優馬(篠田涼也)を預かってほしいというのだ。    その頃、『ガステレア』では麻生(稲垣吾郎)が英介の過去について調べていた。『ガステレア』の看板シェフで、料理専門学校時代の英介と同級生だった柏木(石黒英雄)は、長年のブランクがあると知った上でも、英介の才能を恐れるが、麻生は信じられない。しかし、英介の料理を食べたときの衝撃もまた、忘れられずにいた。    一方、英介たちは、白山が冷凍食品やお菓子ばかりを食べさせていたおかげで、偏食家となってしまった飛優馬に手を焼く。しかし、英介から食生活の大切さを教えられると、飛優馬は自ら「痩せたい、変わりたい」と志願。それを聞いた英介は、あることを思いつき、千絵に協力を求める。</v>
      </c>
      <c r="O1309" s="2"/>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row>
    <row r="1310" ht="204.75" customHeight="1">
      <c r="A1310" s="1">
        <v>3979.0</v>
      </c>
      <c r="B1310" s="2" t="s">
        <v>4176</v>
      </c>
      <c r="C1310" s="2">
        <f>IFERROR(__xludf.DUMMYFUNCTION("split(B1310,""_"")"),1201.0)</f>
        <v>1201</v>
      </c>
      <c r="D1310" s="2" t="str">
        <f>IFERROR(__xludf.DUMMYFUNCTION("""COMPUTED_VALUE"""),"CX")</f>
        <v>CX</v>
      </c>
      <c r="E1310" s="2" t="str">
        <f>IFERROR(__xludf.DUMMYFUNCTION("""COMPUTED_VALUE"""),"火22")</f>
        <v>火22</v>
      </c>
      <c r="F1310" s="2" t="s">
        <v>4177</v>
      </c>
      <c r="G1310" s="2" t="s">
        <v>4193</v>
      </c>
      <c r="H1310" s="1">
        <v>6.0</v>
      </c>
      <c r="I1310" s="1" t="s">
        <v>21</v>
      </c>
      <c r="J1310" s="1" t="s">
        <v>86</v>
      </c>
      <c r="K1310" s="2" t="s">
        <v>4194</v>
      </c>
      <c r="L1310" s="2" t="s">
        <v>4195</v>
      </c>
      <c r="M1310" s="2" t="str">
        <f>IFERROR(__xludf.DUMMYFUNCTION("split(split(K1310,""向井理　"",false),""hungry/"",false)"),"「ハングリー!」公式ホームページ  http://www.ktv.jp/")</f>
        <v>「ハングリー!」公式ホームページ  http://www.ktv.jp/</v>
      </c>
      <c r="N1310" s="2" t="str">
        <f>IFERROR(__xludf.DUMMYFUNCTION("""COMPUTED_VALUE"""),"英介(向井理)が麻生(稲垣吾郎)と直接対決することを決めた夜、アパートの前にはまりあ(国仲涼子)の姿が。「距離を置きたい」という言葉の真意を問う英介に対し、まりあは二人の関係を冷静になって考えたかったと説明。そして悩んだ末、やはり自分には英介が必要だと告げる。それを聞いてうれしくなった英介もまた、自分の素直な気持ちを打ち明ける。    翌日、拓(三浦翔平)が千絵(瀧本美織)を連れて店にやってくる。新しいバンドを紹介されたので、バイトに入れない日は代わりに千絵がバイトをするというのだ。渋々それを認めたものの"&amp;"、前日の夜、千絵の胸を触ってしまい、バツが悪い英介は、自分の「お前って俺のこと好きなの?」といった発言や行動が無神経だったと千絵に謝罪する。    その日の夜、英介の料理の味を確かめるべく、『ル・プティシュ』に来店した麻生は、今日のおすすめのフルコースを注文。しかし、店ではこれまで一度もフルコースを提供したことがない。店内には一瞬緊張が走るが、英介は即座にメニューを考え、賢太(塚本高史)や剛(川畑要)に作業を指示する。    やがて、麻生のテーブルにオードブルが運ばれ、一口食べた麻生は「・・・なんだこれは"&amp;"?」と驚きの表情に。そして、すべての料理を食べ終わると、英介に店の評価を伝え、さらに、自身の幼少期について衝撃的な事実を明かす。")</f>
        <v>英介(向井理)が麻生(稲垣吾郎)と直接対決することを決めた夜、アパートの前にはまりあ(国仲涼子)の姿が。「距離を置きたい」という言葉の真意を問う英介に対し、まりあは二人の関係を冷静になって考えたかったと説明。そして悩んだ末、やはり自分には英介が必要だと告げる。それを聞いてうれしくなった英介もまた、自分の素直な気持ちを打ち明ける。    翌日、拓(三浦翔平)が千絵(瀧本美織)を連れて店にやってくる。新しいバンドを紹介されたので、バイトに入れない日は代わりに千絵がバイトをするというのだ。渋々それを認めたものの、前日の夜、千絵の胸を触ってしまい、バツが悪い英介は、自分の「お前って俺のこと好きなの?」といった発言や行動が無神経だったと千絵に謝罪する。    その日の夜、英介の料理の味を確かめるべく、『ル・プティシュ』に来店した麻生は、今日のおすすめのフルコースを注文。しかし、店ではこれまで一度もフルコースを提供したことがない。店内には一瞬緊張が走るが、英介は即座にメニューを考え、賢太(塚本高史)や剛(川畑要)に作業を指示する。    やがて、麻生のテーブルにオードブルが運ばれ、一口食べた麻生は「・・・なんだこれは?」と驚きの表情に。そして、すべての料理を食べ終わると、英介に店の評価を伝え、さらに、自身の幼少期について衝撃的な事実を明かす。</v>
      </c>
      <c r="O1310" s="2"/>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row>
    <row r="1311" ht="204.75" customHeight="1">
      <c r="A1311" s="1">
        <v>3980.0</v>
      </c>
      <c r="B1311" s="2" t="s">
        <v>4176</v>
      </c>
      <c r="C1311" s="2">
        <f>IFERROR(__xludf.DUMMYFUNCTION("split(B1311,""_"")"),1201.0)</f>
        <v>1201</v>
      </c>
      <c r="D1311" s="2" t="str">
        <f>IFERROR(__xludf.DUMMYFUNCTION("""COMPUTED_VALUE"""),"CX")</f>
        <v>CX</v>
      </c>
      <c r="E1311" s="2" t="str">
        <f>IFERROR(__xludf.DUMMYFUNCTION("""COMPUTED_VALUE"""),"火22")</f>
        <v>火22</v>
      </c>
      <c r="F1311" s="2" t="s">
        <v>4177</v>
      </c>
      <c r="G1311" s="2" t="s">
        <v>4196</v>
      </c>
      <c r="H1311" s="1">
        <v>7.0</v>
      </c>
      <c r="I1311" s="1" t="s">
        <v>25</v>
      </c>
      <c r="J1311" s="1" t="s">
        <v>86</v>
      </c>
      <c r="K1311" s="2" t="s">
        <v>4197</v>
      </c>
      <c r="L1311" s="2" t="s">
        <v>4198</v>
      </c>
      <c r="M1311" s="2" t="str">
        <f>IFERROR(__xludf.DUMMYFUNCTION("split(split(K1311,""向井理　"",false),""hungry/"",false)"),"「ハングリー!」公式ホームページ  http://www.ktv.jp/")</f>
        <v>「ハングリー!」公式ホームページ  http://www.ktv.jp/</v>
      </c>
      <c r="N1311" s="2" t="str">
        <f>IFERROR(__xludf.DUMMYFUNCTION("""COMPUTED_VALUE"""),"麻生(稲垣吾郎)との勝負に負け、約束どおり、店の名前を『ハラペコキッチン』に変えた英介(向井理)は、麻生を見返すため、店を一流のフレンチレストランにしようと躍起になる。しかし、コックコートを着て、料理も上品で派手なものを作るようになった英介に対し、賢太(塚本高史)と剛(川畑要)は疑問を感じる。    そんなある日、太朗(大杉漣)が街中で助けたフランス人男性を店に連れて来る。実はこの人物、フランスのレストランガイド『マシュロン』の覆面調査員だったが、調査員は決して身分を明かさないため、英介たちはそのことに全"&amp;"く気付かない。男は、太朗に勧められるまま、英介が作ったリエットや、その日の店の賄いを食べ、一瞬にしてその味の虜になる。    一方、仕入れの途中に偶然麻生と出会った英介は、新しい店の名前を笑い飛ばす麻生に「あんたのおかげで、料理こそ俺の夢なんだって思えた」と感謝の言葉を伝える。さらに、「いつかぶっ潰してやるよ。あんたの店」と宣戦布告する。    ところが数日後、そんな英介に早くもピンチが訪れる。一流レストランを目指すことだけを考え、毎日小言ばかり並べる英介に対し、賢太と剛の怒りが爆発したのだ。英介は、反発"&amp;"する二人に料理人の心得を説き、さらなる努力を求めるが、賢太は逆に「お前の言う一流ってなんだよ」と英介を問い正し…。")</f>
        <v>麻生(稲垣吾郎)との勝負に負け、約束どおり、店の名前を『ハラペコキッチン』に変えた英介(向井理)は、麻生を見返すため、店を一流のフレンチレストランにしようと躍起になる。しかし、コックコートを着て、料理も上品で派手なものを作るようになった英介に対し、賢太(塚本高史)と剛(川畑要)は疑問を感じる。    そんなある日、太朗(大杉漣)が街中で助けたフランス人男性を店に連れて来る。実はこの人物、フランスのレストランガイド『マシュロン』の覆面調査員だったが、調査員は決して身分を明かさないため、英介たちはそのことに全く気付かない。男は、太朗に勧められるまま、英介が作ったリエットや、その日の店の賄いを食べ、一瞬にしてその味の虜になる。    一方、仕入れの途中に偶然麻生と出会った英介は、新しい店の名前を笑い飛ばす麻生に「あんたのおかげで、料理こそ俺の夢なんだって思えた」と感謝の言葉を伝える。さらに、「いつかぶっ潰してやるよ。あんたの店」と宣戦布告する。    ところが数日後、そんな英介に早くもピンチが訪れる。一流レストランを目指すことだけを考え、毎日小言ばかり並べる英介に対し、賢太と剛の怒りが爆発したのだ。英介は、反発する二人に料理人の心得を説き、さらなる努力を求めるが、賢太は逆に「お前の言う一流ってなんだよ」と英介を問い正し…。</v>
      </c>
      <c r="O1311" s="2"/>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row>
    <row r="1312" ht="204.75" customHeight="1">
      <c r="A1312" s="1">
        <v>3981.0</v>
      </c>
      <c r="B1312" s="2" t="s">
        <v>4176</v>
      </c>
      <c r="C1312" s="2">
        <f>IFERROR(__xludf.DUMMYFUNCTION("split(B1312,""_"")"),1201.0)</f>
        <v>1201</v>
      </c>
      <c r="D1312" s="2" t="str">
        <f>IFERROR(__xludf.DUMMYFUNCTION("""COMPUTED_VALUE"""),"CX")</f>
        <v>CX</v>
      </c>
      <c r="E1312" s="2" t="str">
        <f>IFERROR(__xludf.DUMMYFUNCTION("""COMPUTED_VALUE"""),"火22")</f>
        <v>火22</v>
      </c>
      <c r="F1312" s="2" t="s">
        <v>4177</v>
      </c>
      <c r="G1312" s="2" t="s">
        <v>4199</v>
      </c>
      <c r="H1312" s="1">
        <v>8.0</v>
      </c>
      <c r="I1312" s="1" t="s">
        <v>29</v>
      </c>
      <c r="J1312" s="1" t="s">
        <v>86</v>
      </c>
      <c r="K1312" s="2" t="s">
        <v>4200</v>
      </c>
      <c r="L1312" s="2" t="s">
        <v>4201</v>
      </c>
      <c r="M1312" s="2" t="str">
        <f>IFERROR(__xludf.DUMMYFUNCTION("split(split(K1312,""向井理　"",false),""hungry/"",false)"),"「ハングリー!」公式ホームページ  http://www.ktv.jp/")</f>
        <v>「ハングリー!」公式ホームページ  http://www.ktv.jp/</v>
      </c>
      <c r="N1312" s="2" t="str">
        <f>IFERROR(__xludf.DUMMYFUNCTION("""COMPUTED_VALUE"""),"大ゲンカの末、賢太(塚本高史)と剛(川畑要)が店を辞め、『ハラペコキッチン』は人手が足りずに困っていた。そんな中、以前、賢太から落選したと聞かされていたオーディションに、実は合格していたことを知った英介(向井理)は、真相を確かめようと賢太のもとへ。賢太は、剛以外の自分と英介と拓(三浦翔平)の3人で、別のバンドとしてデビューする話を持ちかけられたと告白。しかし、独断でその話を断ったという。それを聞いた英介は賢太に掴みかかり、怒りを露わにするが、その反面、自分にとってロックの道は、もはや遠い世界になりつつある"&amp;"と感じていた。    そんなある日、賢太の彼女・桃子(藤井美菜)が両親を連れて店にやって来る。英介は、ようやく結婚を認めてもらえた賢太のために、くれぐれも失礼がないよう細心の注意を払うが、そんな日に限って店は大忙し。するとそこへ『ガステレア』のシェフで、かつて母親の華子(片平なぎさ)の店で働いていた東(田山涼成)が客として来店。英介が困っている姿を見た東は、厨房の手伝いを申し出る。おかげで店は大盛況、桃子の両親も料理に満足して帰っていく。    その晩、麻生(稲垣吾郎)から『ガステレア』の厨房に誘われた英"&amp;"介。賢太や剛が出て行ったままだと知った麻生は、英介に「君もいっそ・・・僕のものにならないか?」と持ちかけるが、次の瞬間2人が入っていた冷蔵室のドアが閉まり、閉じ込められて大ピンチに!")</f>
        <v>大ゲンカの末、賢太(塚本高史)と剛(川畑要)が店を辞め、『ハラペコキッチン』は人手が足りずに困っていた。そんな中、以前、賢太から落選したと聞かされていたオーディションに、実は合格していたことを知った英介(向井理)は、真相を確かめようと賢太のもとへ。賢太は、剛以外の自分と英介と拓(三浦翔平)の3人で、別のバンドとしてデビューする話を持ちかけられたと告白。しかし、独断でその話を断ったという。それを聞いた英介は賢太に掴みかかり、怒りを露わにするが、その反面、自分にとってロックの道は、もはや遠い世界になりつつあると感じていた。    そんなある日、賢太の彼女・桃子(藤井美菜)が両親を連れて店にやって来る。英介は、ようやく結婚を認めてもらえた賢太のために、くれぐれも失礼がないよう細心の注意を払うが、そんな日に限って店は大忙し。するとそこへ『ガステレア』のシェフで、かつて母親の華子(片平なぎさ)の店で働いていた東(田山涼成)が客として来店。英介が困っている姿を見た東は、厨房の手伝いを申し出る。おかげで店は大盛況、桃子の両親も料理に満足して帰っていく。    その晩、麻生(稲垣吾郎)から『ガステレア』の厨房に誘われた英介。賢太や剛が出て行ったままだと知った麻生は、英介に「君もいっそ・・・僕のものにならないか?」と持ちかけるが、次の瞬間2人が入っていた冷蔵室のドアが閉まり、閉じ込められて大ピンチに!</v>
      </c>
      <c r="O1312" s="2"/>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row>
    <row r="1313" ht="204.75" customHeight="1">
      <c r="A1313" s="1">
        <v>3982.0</v>
      </c>
      <c r="B1313" s="2" t="s">
        <v>4176</v>
      </c>
      <c r="C1313" s="2">
        <f>IFERROR(__xludf.DUMMYFUNCTION("split(B1313,""_"")"),1201.0)</f>
        <v>1201</v>
      </c>
      <c r="D1313" s="2" t="str">
        <f>IFERROR(__xludf.DUMMYFUNCTION("""COMPUTED_VALUE"""),"CX")</f>
        <v>CX</v>
      </c>
      <c r="E1313" s="2" t="str">
        <f>IFERROR(__xludf.DUMMYFUNCTION("""COMPUTED_VALUE"""),"火22")</f>
        <v>火22</v>
      </c>
      <c r="F1313" s="2" t="s">
        <v>4177</v>
      </c>
      <c r="G1313" s="2" t="s">
        <v>4202</v>
      </c>
      <c r="H1313" s="1">
        <v>9.0</v>
      </c>
      <c r="I1313" s="1" t="s">
        <v>33</v>
      </c>
      <c r="J1313" s="1" t="s">
        <v>86</v>
      </c>
      <c r="K1313" s="2" t="s">
        <v>4203</v>
      </c>
      <c r="L1313" s="2" t="s">
        <v>4204</v>
      </c>
      <c r="M1313" s="2" t="str">
        <f>IFERROR(__xludf.DUMMYFUNCTION("split(split(K1313,""向井理　"",false),""hungry/"",false)"),"「ハングリー!」公式ホームページ  http://www.ktv.jp/")</f>
        <v>「ハングリー!」公式ホームページ  http://www.ktv.jp/</v>
      </c>
      <c r="N1313" s="2" t="str">
        <f>IFERROR(__xludf.DUMMYFUNCTION("""COMPUTED_VALUE"""),"英介(向井理)は、賢太(塚本高史)から、『ハラペコキッチン』でレストランウェディングをやりたいと相談される。もともとロマンチックな挙式にこだわっていた賢太だが、子供ができたことで、身内だけの気負わないパーティーにしたいと考えたのだ。それを聞いて俄然やる気を見せる英介。ほかのメンバーも、賢太の晴れの日を祝おうと、司会、神父、音響効果と、当日の役割分担を決めていく。  一方、千絵(瀧本美織)は、大楠農園に麻生(稲垣吾郎)がやって来たと知り、父・義明(橋本じゅん)が麻生に野菜を売ってしまうのではないかと心配して"&amp;"いた。そこへ、最近店に来ない千絵の様子を見に、拓(三浦翔平)がやって来る。拓はいつものように千絵をからかい、その勢いで「好きになっちゃった」と思わず告白してしまい慌てる。  その頃、『ハラペコキッチン』には、『ガステレア』の看板シェフ・柏木(石黒英雄)が、英介に勝負を申し込みに来ていた。勝負に指定された日がウェディングパーティー当日で、料理の材料はすべて柏木が用意するという条件を聞き、英介は勝負を受けることに。迎えた当日、用意された舞台がウェディングパーティーだと気付いた柏木は憤慨。騙したのかと英介に詰め"&amp;"寄るが、そこへ麻生がやって来て、2人に正々堂々と勝負をするよう要求。会場に集まった招待客に両者の料理を審査してもらう形で、レストランウェディングが一転、英介と柏木の料理対決の舞台に!!")</f>
        <v>英介(向井理)は、賢太(塚本高史)から、『ハラペコキッチン』でレストランウェディングをやりたいと相談される。もともとロマンチックな挙式にこだわっていた賢太だが、子供ができたことで、身内だけの気負わないパーティーにしたいと考えたのだ。それを聞いて俄然やる気を見せる英介。ほかのメンバーも、賢太の晴れの日を祝おうと、司会、神父、音響効果と、当日の役割分担を決めていく。  一方、千絵(瀧本美織)は、大楠農園に麻生(稲垣吾郎)がやって来たと知り、父・義明(橋本じゅん)が麻生に野菜を売ってしまうのではないかと心配していた。そこへ、最近店に来ない千絵の様子を見に、拓(三浦翔平)がやって来る。拓はいつものように千絵をからかい、その勢いで「好きになっちゃった」と思わず告白してしまい慌てる。  その頃、『ハラペコキッチン』には、『ガステレア』の看板シェフ・柏木(石黒英雄)が、英介に勝負を申し込みに来ていた。勝負に指定された日がウェディングパーティー当日で、料理の材料はすべて柏木が用意するという条件を聞き、英介は勝負を受けることに。迎えた当日、用意された舞台がウェディングパーティーだと気付いた柏木は憤慨。騙したのかと英介に詰め寄るが、そこへ麻生がやって来て、2人に正々堂々と勝負をするよう要求。会場に集まった招待客に両者の料理を審査してもらう形で、レストランウェディングが一転、英介と柏木の料理対決の舞台に!!</v>
      </c>
      <c r="O1313" s="2"/>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row>
    <row r="1314" ht="204.75" customHeight="1">
      <c r="A1314" s="1">
        <v>3983.0</v>
      </c>
      <c r="B1314" s="2" t="s">
        <v>4176</v>
      </c>
      <c r="C1314" s="2">
        <f>IFERROR(__xludf.DUMMYFUNCTION("split(B1314,""_"")"),1201.0)</f>
        <v>1201</v>
      </c>
      <c r="D1314" s="2" t="str">
        <f>IFERROR(__xludf.DUMMYFUNCTION("""COMPUTED_VALUE"""),"CX")</f>
        <v>CX</v>
      </c>
      <c r="E1314" s="2" t="str">
        <f>IFERROR(__xludf.DUMMYFUNCTION("""COMPUTED_VALUE"""),"火22")</f>
        <v>火22</v>
      </c>
      <c r="F1314" s="2" t="s">
        <v>4177</v>
      </c>
      <c r="G1314" s="2" t="s">
        <v>4205</v>
      </c>
      <c r="H1314" s="1">
        <v>10.0</v>
      </c>
      <c r="I1314" s="1" t="s">
        <v>37</v>
      </c>
      <c r="J1314" s="1" t="s">
        <v>86</v>
      </c>
      <c r="K1314" s="2" t="s">
        <v>4206</v>
      </c>
      <c r="L1314" s="2" t="s">
        <v>4207</v>
      </c>
      <c r="M1314" s="2" t="str">
        <f>IFERROR(__xludf.DUMMYFUNCTION("split(split(K1314,""向井理　"",false),""hungry/"",false)"),"「ハングリー!」公式ホームページ  http://www.ktv.jp/")</f>
        <v>「ハングリー!」公式ホームページ  http://www.ktv.jp/</v>
      </c>
      <c r="N1314" s="2" t="str">
        <f>IFERROR(__xludf.DUMMYFUNCTION("""COMPUTED_VALUE"""),"麻生(稲垣吾郎)から引き抜きの話を持ちかけられた英介(向井理)は、賢太(塚本高史)と剛(川畑要)も『麻生コーポレーション』の社員に採用するという条件を聞き、戸惑う。麻生は、英介にフランスで2年間修行をさせた後、同社の11番目のレストランの料理長にすると宣言。さらに、店を任せる際には『ル・プティシュ』の店名を返上し、賢太と剛も従業員にすると約束する。その夜、『ハラペコキッチン』には通算300人目の客となる金沢亜矢子(矢田亜希子)が来店。歓迎ムードをよそに、亜矢子は「この店、閉めてもらえますか?」と英介に苦情"&amp;"を。実は、亜矢子はレストランの建物の大家で、自分の海外滞在中に、勝手に倉庫をレストランに変えられたことに怒っていた。料理を認めてもらい、どうにか発言を撤回させようと真剣になる一同。しかし亜矢子は味オンチで、英介の料理に興味を示すどころか、持参した調味料を大量にふりかける始末・・・。    そんな折、拓(三浦翔平)が新たに結成するバンドの一員として活動することが決定し、睦子(片桐はいり)も離婚調停が成立して福岡へ行くことに。メンバーが店を離れることに一抹の寂しさを感じる英介だったが、その様子を見た賢太と剛か"&amp;"らフランス修行を勧められる。翌朝、英介は、ある決意の表情で厨房に立っていた。")</f>
        <v>麻生(稲垣吾郎)から引き抜きの話を持ちかけられた英介(向井理)は、賢太(塚本高史)と剛(川畑要)も『麻生コーポレーション』の社員に採用するという条件を聞き、戸惑う。麻生は、英介にフランスで2年間修行をさせた後、同社の11番目のレストランの料理長にすると宣言。さらに、店を任せる際には『ル・プティシュ』の店名を返上し、賢太と剛も従業員にすると約束する。その夜、『ハラペコキッチン』には通算300人目の客となる金沢亜矢子(矢田亜希子)が来店。歓迎ムードをよそに、亜矢子は「この店、閉めてもらえますか?」と英介に苦情を。実は、亜矢子はレストランの建物の大家で、自分の海外滞在中に、勝手に倉庫をレストランに変えられたことに怒っていた。料理を認めてもらい、どうにか発言を撤回させようと真剣になる一同。しかし亜矢子は味オンチで、英介の料理に興味を示すどころか、持参した調味料を大量にふりかける始末・・・。    そんな折、拓(三浦翔平)が新たに結成するバンドの一員として活動することが決定し、睦子(片桐はいり)も離婚調停が成立して福岡へ行くことに。メンバーが店を離れることに一抹の寂しさを感じる英介だったが、その様子を見た賢太と剛からフランス修行を勧められる。翌朝、英介は、ある決意の表情で厨房に立っていた。</v>
      </c>
      <c r="O1314" s="2"/>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row>
    <row r="1315" ht="204.75" customHeight="1">
      <c r="A1315" s="1">
        <v>3984.0</v>
      </c>
      <c r="B1315" s="2" t="s">
        <v>4176</v>
      </c>
      <c r="C1315" s="2">
        <f>IFERROR(__xludf.DUMMYFUNCTION("split(B1315,""_"")"),1201.0)</f>
        <v>1201</v>
      </c>
      <c r="D1315" s="2" t="str">
        <f>IFERROR(__xludf.DUMMYFUNCTION("""COMPUTED_VALUE"""),"CX")</f>
        <v>CX</v>
      </c>
      <c r="E1315" s="2" t="str">
        <f>IFERROR(__xludf.DUMMYFUNCTION("""COMPUTED_VALUE"""),"火22")</f>
        <v>火22</v>
      </c>
      <c r="F1315" s="2" t="s">
        <v>4177</v>
      </c>
      <c r="G1315" s="2" t="s">
        <v>4208</v>
      </c>
      <c r="H1315" s="1">
        <v>11.0</v>
      </c>
      <c r="I1315" s="1" t="s">
        <v>41</v>
      </c>
      <c r="J1315" s="1" t="s">
        <v>82</v>
      </c>
      <c r="K1315" s="2" t="s">
        <v>4209</v>
      </c>
      <c r="L1315" s="2" t="s">
        <v>4210</v>
      </c>
      <c r="M1315" s="2" t="str">
        <f>IFERROR(__xludf.DUMMYFUNCTION("split(split(K1315,""向井理　"",false),""hungry/"",false)"),"「ハングリー!」公式ホームページ　  http://www.ktv.jp/")</f>
        <v>「ハングリー!」公式ホームページ　  http://www.ktv.jp/</v>
      </c>
      <c r="N1315" s="2" t="str">
        <f>IFERROR(__xludf.DUMMYFUNCTION("""COMPUTED_VALUE"""),"ロックに目覚めて以来、15年間身を捧げたバンドが30歳目前で解散。亡き母の跡を継いでシェフになることを決意した英介(向井理)だったが、レストランは有名レストランプロデューサーの麻生(稲垣吾郎)に乗っ取られてしまう。  それでも倉庫を改装してレストランをオープンさせた英介は、バンド仲間だった賢太(塚本高史)、拓(三浦翔平)、剛(川畑要)らと、何とか店を軌道に乗せる。しかしその反面、忙しさゆえに恋人のまりあ(国仲涼子)との仲はぎくしゃくし、一方で、店に野菜を卸している農園の娘・千絵(瀧本美織)から想いを寄せら"&amp;"れ、恋の三角関係に頭を悩ませる。    そんな中、麻生との勝負に負けた英介は店の名前を奪われ、倉庫の大家の亜矢子(矢田亜希子)からも店の立ち退きを迫られる。彼の腕を見込んだ麻生から「フランスで修業した後、自分の店を任せたい」と誘いを受けた英介は、賢太や剛からも背中を押されフランス行きを決意する。2年後にまた一緒に働くという希望を胸に賢太や剛と別れた英介。ところがある日、英介は昼間から公園で泥酔している剛を発見し、2人が麻生から紹介された仕事を辞めたことを知る。一方、英介のことが忘れられずにいた千絵も、ある"&amp;"行動に出る。    はたして、フランス修業を決意した英介が、最後に下す人生最大の決断とは!?  さらに、英介、千絵、まりあ、拓の恋の結末は!?")</f>
        <v>ロックに目覚めて以来、15年間身を捧げたバンドが30歳目前で解散。亡き母の跡を継いでシェフになることを決意した英介(向井理)だったが、レストランは有名レストランプロデューサーの麻生(稲垣吾郎)に乗っ取られてしまう。  それでも倉庫を改装してレストランをオープンさせた英介は、バンド仲間だった賢太(塚本高史)、拓(三浦翔平)、剛(川畑要)らと、何とか店を軌道に乗せる。しかしその反面、忙しさゆえに恋人のまりあ(国仲涼子)との仲はぎくしゃくし、一方で、店に野菜を卸している農園の娘・千絵(瀧本美織)から想いを寄せられ、恋の三角関係に頭を悩ませる。    そんな中、麻生との勝負に負けた英介は店の名前を奪われ、倉庫の大家の亜矢子(矢田亜希子)からも店の立ち退きを迫られる。彼の腕を見込んだ麻生から「フランスで修業した後、自分の店を任せたい」と誘いを受けた英介は、賢太や剛からも背中を押されフランス行きを決意する。2年後にまた一緒に働くという希望を胸に賢太や剛と別れた英介。ところがある日、英介は昼間から公園で泥酔している剛を発見し、2人が麻生から紹介された仕事を辞めたことを知る。一方、英介のことが忘れられずにいた千絵も、ある行動に出る。    はたして、フランス修業を決意した英介が、最後に下す人生最大の決断とは!?  さらに、英介、千絵、まりあ、拓の恋の結末は!?</v>
      </c>
      <c r="O1315" s="2"/>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row>
    <row r="1316" ht="204.75" customHeight="1">
      <c r="A1316" s="1">
        <v>4013.0</v>
      </c>
      <c r="B1316" s="2" t="s">
        <v>4211</v>
      </c>
      <c r="C1316" s="2">
        <f>IFERROR(__xludf.DUMMYFUNCTION("split(B1316,""_"")"),1201.0)</f>
        <v>1201</v>
      </c>
      <c r="D1316" s="2" t="str">
        <f>IFERROR(__xludf.DUMMYFUNCTION("""COMPUTED_VALUE"""),"CX")</f>
        <v>CX</v>
      </c>
      <c r="E1316" s="2" t="str">
        <f>IFERROR(__xludf.DUMMYFUNCTION("""COMPUTED_VALUE"""),"木22")</f>
        <v>木22</v>
      </c>
      <c r="F1316" s="2" t="s">
        <v>4212</v>
      </c>
      <c r="G1316" s="2" t="s">
        <v>4213</v>
      </c>
      <c r="H1316" s="1">
        <v>1.0</v>
      </c>
      <c r="I1316" s="1" t="s">
        <v>3</v>
      </c>
      <c r="J1316" s="1" t="s">
        <v>82</v>
      </c>
      <c r="K1316" s="4" t="s">
        <v>4214</v>
      </c>
      <c r="L1316" s="2" t="s">
        <v>4215</v>
      </c>
      <c r="M1316" s="2" t="str">
        <f>IFERROR(__xludf.DUMMYFUNCTION("split(split(K1316,""小泉今日子　"",false),""公式LINE"",false)"),"吉野千明(小泉今日子)は、テレビ局でドラマのプロデュースを手がける45歳の独身女性。千明は、がむしゃらに仕事をしながら人並み以上に恋愛もしてきた。が、最近は恋愛も随分ご無沙汰で、いまや女友だちとの話題は専ら健康や老後のことばかりだ。長倉和平(中井貴一)は、鎌倉市役所の観光推進課で課長を務める50歳の独身男性。両親を早くに亡くし、4人の弟妹の親代わりを務めてきた和平は、現在、双子の弟妹、真平(坂口憲二)と万理子(内田有紀)、死別した妻との間に生まれた11歳になる娘・えりな(白本彩奈)と暮らしている。長女の典"&amp;"子(飯島直子)は結婚して家を出たものの、毎日のように実家に入り浸っていた。  　あるとき千明は、美人脚本家・栗山ハルカと組んで連続ドラマを作るよう命じられる。だが、面白くない本を書いてきたハルカに激しくダメ出しをしているうちに、めまいや吐き気をもよおして倒れた千明は、病院に運ばれてしまう。それがきっかけで、千明は、同い年の独身仲間、荒木啓子(森口博子)、水野祥子(渡辺真起子)と冗談半分で話していた、鎌倉の古民家に引っ越して3人で一緒に暮らす、というアイデアを実行しようと言い出す。あくる日、千明はさっそく鎌"&amp;"倉を訪れる。目的の古民家にたどりついた千明は、売りに出されているその家の隣家が古民家を改装したカフェだと知る。そこは、和平の弟・真平が店長をしている店『ながくら』だった。")</f>
        <v>吉野千明(小泉今日子)は、テレビ局でドラマのプロデュースを手がける45歳の独身女性。千明は、がむしゃらに仕事をしながら人並み以上に恋愛もしてきた。が、最近は恋愛も随分ご無沙汰で、いまや女友だちとの話題は専ら健康や老後のことばかりだ。長倉和平(中井貴一)は、鎌倉市役所の観光推進課で課長を務める50歳の独身男性。両親を早くに亡くし、4人の弟妹の親代わりを務めてきた和平は、現在、双子の弟妹、真平(坂口憲二)と万理子(内田有紀)、死別した妻との間に生まれた11歳になる娘・えりな(白本彩奈)と暮らしている。長女の典子(飯島直子)は結婚して家を出たものの、毎日のように実家に入り浸っていた。  　あるとき千明は、美人脚本家・栗山ハルカと組んで連続ドラマを作るよう命じられる。だが、面白くない本を書いてきたハルカに激しくダメ出しをしているうちに、めまいや吐き気をもよおして倒れた千明は、病院に運ばれてしまう。それがきっかけで、千明は、同い年の独身仲間、荒木啓子(森口博子)、水野祥子(渡辺真起子)と冗談半分で話していた、鎌倉の古民家に引っ越して3人で一緒に暮らす、というアイデアを実行しようと言い出す。あくる日、千明はさっそく鎌倉を訪れる。目的の古民家にたどりついた千明は、売りに出されているその家の隣家が古民家を改装したカフェだと知る。そこは、和平の弟・真平が店長をしている店『ながくら』だった。</v>
      </c>
      <c r="N1316" s="2"/>
      <c r="O1316" s="2"/>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row>
    <row r="1317" ht="204.75" customHeight="1">
      <c r="A1317" s="1">
        <v>4014.0</v>
      </c>
      <c r="B1317" s="2" t="s">
        <v>4211</v>
      </c>
      <c r="C1317" s="2">
        <f>IFERROR(__xludf.DUMMYFUNCTION("split(B1317,""_"")"),1201.0)</f>
        <v>1201</v>
      </c>
      <c r="D1317" s="2" t="str">
        <f>IFERROR(__xludf.DUMMYFUNCTION("""COMPUTED_VALUE"""),"CX")</f>
        <v>CX</v>
      </c>
      <c r="E1317" s="2" t="str">
        <f>IFERROR(__xludf.DUMMYFUNCTION("""COMPUTED_VALUE"""),"木22")</f>
        <v>木22</v>
      </c>
      <c r="F1317" s="2" t="s">
        <v>4212</v>
      </c>
      <c r="G1317" s="2" t="s">
        <v>4216</v>
      </c>
      <c r="H1317" s="1">
        <v>2.0</v>
      </c>
      <c r="I1317" s="1" t="s">
        <v>7</v>
      </c>
      <c r="J1317" s="1" t="s">
        <v>86</v>
      </c>
      <c r="K1317" s="2" t="s">
        <v>4217</v>
      </c>
      <c r="L1317" s="2" t="s">
        <v>4218</v>
      </c>
      <c r="M1317" s="2" t="str">
        <f>IFERROR(__xludf.DUMMYFUNCTION("split(split(K1317,""小泉今日子　"",false),""公式LINE"",false)"),"鎌倉の古民家を購入して移り住んだドラマプロデューサー・吉野千明(小泉今日子)は、隣に住む和平(中井貴一)ら長倉家の面々と知り合う。和平は、鎌倉市役所の観光推進課に勤める50歳の独身男で、双子の弟妹、真平(坂口憲二)と万理子(内田有紀)、11歳になるひとり娘のえりな(白本彩奈)と暮らしていた。引っ越して最初の夜、ネズミに驚いて大声を出した千明は、やってきた真平から、朝まで一緒にいてあげる、と言われる。バカにされたと思い、その誘いを断る千明。その話を聞いた千明の独身仲間、荒木啓子(森口博子)と水野祥子(渡辺真"&amp;"起子)は、据え膳食わぬは女の恥、などと言って千明を非難した。一方、和平は、日ごろから何かと市役所に要望を出してくる一条(織本順吉)から、いきなり見合い写真を手渡される。相手は50代の美しい未亡人だった。一条は、一方的に見合いの日取りを伝えると、和平の返事も聞かずに去っていく。その女性は、和平の部下・大橋知美(佐津川愛美)の知り合いでもあるようだった。千明は、人気の美人脚本家・栗山ハルカ(益若つばさ)と組んで新しい連続ドラマに取り組んでいた。そんな折、万理子が出会い系のネット掲示板で思わぬ騒動を引き起こす。")</f>
        <v>鎌倉の古民家を購入して移り住んだドラマプロデューサー・吉野千明(小泉今日子)は、隣に住む和平(中井貴一)ら長倉家の面々と知り合う。和平は、鎌倉市役所の観光推進課に勤める50歳の独身男で、双子の弟妹、真平(坂口憲二)と万理子(内田有紀)、11歳になるひとり娘のえりな(白本彩奈)と暮らしていた。引っ越して最初の夜、ネズミに驚いて大声を出した千明は、やってきた真平から、朝まで一緒にいてあげる、と言われる。バカにされたと思い、その誘いを断る千明。その話を聞いた千明の独身仲間、荒木啓子(森口博子)と水野祥子(渡辺真起子)は、据え膳食わぬは女の恥、などと言って千明を非難した。一方、和平は、日ごろから何かと市役所に要望を出してくる一条(織本順吉)から、いきなり見合い写真を手渡される。相手は50代の美しい未亡人だった。一条は、一方的に見合いの日取りを伝えると、和平の返事も聞かずに去っていく。その女性は、和平の部下・大橋知美(佐津川愛美)の知り合いでもあるようだった。千明は、人気の美人脚本家・栗山ハルカ(益若つばさ)と組んで新しい連続ドラマに取り組んでいた。そんな折、万理子が出会い系のネット掲示板で思わぬ騒動を引き起こす。</v>
      </c>
      <c r="N1317" s="2"/>
      <c r="O1317" s="2"/>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row>
    <row r="1318" ht="204.75" customHeight="1">
      <c r="A1318" s="1">
        <v>4015.0</v>
      </c>
      <c r="B1318" s="2" t="s">
        <v>4211</v>
      </c>
      <c r="C1318" s="2">
        <f>IFERROR(__xludf.DUMMYFUNCTION("split(B1318,""_"")"),1201.0)</f>
        <v>1201</v>
      </c>
      <c r="D1318" s="2" t="str">
        <f>IFERROR(__xludf.DUMMYFUNCTION("""COMPUTED_VALUE"""),"CX")</f>
        <v>CX</v>
      </c>
      <c r="E1318" s="2" t="str">
        <f>IFERROR(__xludf.DUMMYFUNCTION("""COMPUTED_VALUE"""),"木22")</f>
        <v>木22</v>
      </c>
      <c r="F1318" s="2" t="s">
        <v>4212</v>
      </c>
      <c r="G1318" s="2" t="s">
        <v>4219</v>
      </c>
      <c r="H1318" s="1">
        <v>3.0</v>
      </c>
      <c r="I1318" s="1" t="s">
        <v>10</v>
      </c>
      <c r="J1318" s="1" t="s">
        <v>86</v>
      </c>
      <c r="K1318" s="2" t="s">
        <v>4220</v>
      </c>
      <c r="L1318" s="2" t="s">
        <v>4221</v>
      </c>
      <c r="M1318" s="2" t="str">
        <f>IFERROR(__xludf.DUMMYFUNCTION("split(split(K1318,""小泉今日子　"",false),""公式LINE"",false)"),"吉野千明(小泉今日子)は、長倉和平(中井貴一)の弟・真平(坂口憲二)と一夜をともにした。あくる朝、千明は、真平と朝食をとるために一緒に長倉家に行く。するとそこには、和平と彼の娘・えりな(白本彩奈)の姿があった。和平だけでなく、えりなにまで真平との関係を悟られてしまった千明は、恥ずかしさを隠せない。そこに、水谷典子(飯島直子)が夫の広行(浅野和之)を連れてやってくる。典子は、前の晩、突然自室に引きこもってしまった万理子(内田有紀)を引っ張り出すと、本当のことを話すよう命じた。観念した万理子は、千明の写真を勝"&amp;"手に出会い系サイトに登録したこと、それにつられてやってきた3人の男のひとりが広行だったことを告白する。典子は、自分と同い年の千明につられた広行に怒りをぶつけると、返す刀で千明にも噛みついた。そんな騒動の後、市役所に出勤した和平は、一条(織本順吉)から呼び出される。一条は、和平が大橋秀子(美保純)と、彼女の娘で、観光推進課の部下でもある知美(佐津川愛美)と同時に見合いすることを知り、見直したなどと言い出す。困惑した和平は、今回の見合い話は断りたいと一条に告げる。同じころ、千明は、自分が書いたプロットをスタッ"&amp;"フたちに見せていた。それは、万理子が千明の写真を使った出会い系の一件をネタにしたものだった。")</f>
        <v>吉野千明(小泉今日子)は、長倉和平(中井貴一)の弟・真平(坂口憲二)と一夜をともにした。あくる朝、千明は、真平と朝食をとるために一緒に長倉家に行く。するとそこには、和平と彼の娘・えりな(白本彩奈)の姿があった。和平だけでなく、えりなにまで真平との関係を悟られてしまった千明は、恥ずかしさを隠せない。そこに、水谷典子(飯島直子)が夫の広行(浅野和之)を連れてやってくる。典子は、前の晩、突然自室に引きこもってしまった万理子(内田有紀)を引っ張り出すと、本当のことを話すよう命じた。観念した万理子は、千明の写真を勝手に出会い系サイトに登録したこと、それにつられてやってきた3人の男のひとりが広行だったことを告白する。典子は、自分と同い年の千明につられた広行に怒りをぶつけると、返す刀で千明にも噛みついた。そんな騒動の後、市役所に出勤した和平は、一条(織本順吉)から呼び出される。一条は、和平が大橋秀子(美保純)と、彼女の娘で、観光推進課の部下でもある知美(佐津川愛美)と同時に見合いすることを知り、見直したなどと言い出す。困惑した和平は、今回の見合い話は断りたいと一条に告げる。同じころ、千明は、自分が書いたプロットをスタッフたちに見せていた。それは、万理子が千明の写真を使った出会い系の一件をネタにしたものだった。</v>
      </c>
      <c r="N1318" s="2"/>
      <c r="O1318" s="2"/>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row>
    <row r="1319" ht="204.75" customHeight="1">
      <c r="A1319" s="1">
        <v>4016.0</v>
      </c>
      <c r="B1319" s="2" t="s">
        <v>4211</v>
      </c>
      <c r="C1319" s="2">
        <f>IFERROR(__xludf.DUMMYFUNCTION("split(B1319,""_"")"),1201.0)</f>
        <v>1201</v>
      </c>
      <c r="D1319" s="2" t="str">
        <f>IFERROR(__xludf.DUMMYFUNCTION("""COMPUTED_VALUE"""),"CX")</f>
        <v>CX</v>
      </c>
      <c r="E1319" s="2" t="str">
        <f>IFERROR(__xludf.DUMMYFUNCTION("""COMPUTED_VALUE"""),"木22")</f>
        <v>木22</v>
      </c>
      <c r="F1319" s="2" t="s">
        <v>4212</v>
      </c>
      <c r="G1319" s="2" t="s">
        <v>4222</v>
      </c>
      <c r="H1319" s="1">
        <v>4.0</v>
      </c>
      <c r="I1319" s="1" t="s">
        <v>14</v>
      </c>
      <c r="J1319" s="1" t="s">
        <v>86</v>
      </c>
      <c r="K1319" s="2" t="s">
        <v>4223</v>
      </c>
      <c r="L1319" s="2" t="s">
        <v>4224</v>
      </c>
      <c r="M1319" s="2" t="str">
        <f>IFERROR(__xludf.DUMMYFUNCTION("split(split(K1319,""小泉今日子　"",false),""公式LINE"",false)"),"吉野千明(小泉今日子)は、長倉真平(坂口憲二)が子どもを連れた若い女性と一緒にいるところを目撃し、ショックを受ける。そこに突然現れた万理子(内田有紀)は、真平と一緒にいた女性は小学校時代の同級生だった畑中みどり(吉田羊)だと千明に告げる。一方、和平(中井貴一)は、お見合いをする予定だった大橋秀子(美保純)と街中で偶然出会い、一緒にカフェに行くことに。秀子は、和平に思いを寄せている部下・知美(佐津川愛美)の母親でもあった。和平は、秀子とともに、最近人気を集めているという地元のカフェを訪れた。お互いに照れなが"&amp;"らも、それなりにいい雰囲気で会話を楽しむ和平たち。そこにやってきたのが、千明と万理子だった。千明は、万理子からみどりの話を聞くために、彼女をこの店に誘ったのだ。和平の姿に気づいた千明は、一緒にいた秀子がW見合いの母親の方だと察し、和平たちから離れた席についた。万理子は、みどりが離婚して地元に戻ってきたことを千明に明かした。そんな彼女に、自分ができることなら何でもする、と真平が言ったのではないか、というのだ。するとその店に、真平とみどりが仲良さそうに手をつないで入ってくる。")</f>
        <v>吉野千明(小泉今日子)は、長倉真平(坂口憲二)が子どもを連れた若い女性と一緒にいるところを目撃し、ショックを受ける。そこに突然現れた万理子(内田有紀)は、真平と一緒にいた女性は小学校時代の同級生だった畑中みどり(吉田羊)だと千明に告げる。一方、和平(中井貴一)は、お見合いをする予定だった大橋秀子(美保純)と街中で偶然出会い、一緒にカフェに行くことに。秀子は、和平に思いを寄せている部下・知美(佐津川愛美)の母親でもあった。和平は、秀子とともに、最近人気を集めているという地元のカフェを訪れた。お互いに照れながらも、それなりにいい雰囲気で会話を楽しむ和平たち。そこにやってきたのが、千明と万理子だった。千明は、万理子からみどりの話を聞くために、彼女をこの店に誘ったのだ。和平の姿に気づいた千明は、一緒にいた秀子がW見合いの母親の方だと察し、和平たちから離れた席についた。万理子は、みどりが離婚して地元に戻ってきたことを千明に明かした。そんな彼女に、自分ができることなら何でもする、と真平が言ったのではないか、というのだ。するとその店に、真平とみどりが仲良さそうに手をつないで入ってくる。</v>
      </c>
      <c r="N1319" s="2"/>
      <c r="O1319" s="2"/>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row>
    <row r="1320" ht="204.75" customHeight="1">
      <c r="A1320" s="1">
        <v>4017.0</v>
      </c>
      <c r="B1320" s="2" t="s">
        <v>4211</v>
      </c>
      <c r="C1320" s="2">
        <f>IFERROR(__xludf.DUMMYFUNCTION("split(B1320,""_"")"),1201.0)</f>
        <v>1201</v>
      </c>
      <c r="D1320" s="2" t="str">
        <f>IFERROR(__xludf.DUMMYFUNCTION("""COMPUTED_VALUE"""),"CX")</f>
        <v>CX</v>
      </c>
      <c r="E1320" s="2" t="str">
        <f>IFERROR(__xludf.DUMMYFUNCTION("""COMPUTED_VALUE"""),"木22")</f>
        <v>木22</v>
      </c>
      <c r="F1320" s="2" t="s">
        <v>4212</v>
      </c>
      <c r="G1320" s="2" t="s">
        <v>4225</v>
      </c>
      <c r="H1320" s="1">
        <v>5.0</v>
      </c>
      <c r="I1320" s="1" t="s">
        <v>17</v>
      </c>
      <c r="J1320" s="1" t="s">
        <v>86</v>
      </c>
      <c r="K1320" s="2" t="s">
        <v>4226</v>
      </c>
      <c r="L1320" s="2" t="s">
        <v>4227</v>
      </c>
      <c r="M1320" s="2" t="str">
        <f>IFERROR(__xludf.DUMMYFUNCTION("split(split(K1320,""小泉今日子　"",false),""公式LINE"",false)"),"吉野千明(小泉今日子)の家に水谷典子(飯島直子)が転がり込んできた。典子は、夫の広行(浅野和之)から、もう愛していない、と言われたことにショックを受け、家を飛び出したのだ。同じころ、長倉和平(中井貴一)は、弟の真平(坂口憲二)が病院の定期検査に行っていないことを知り、彼を問い詰めていた。しかし、真平が理由も言わずに部屋に逃げようとしたため、つかみ合いになってしまう。あくる朝、典子は、長倉家で朝食を食べようと、千明を引っ張っていく。典子がまた家出をしたと知った和平は、子どももいるのだから夫婦で話し合え、と説"&amp;"教した。しかし典子は、そんな和平の言葉を無視して、出会い系掲示板のやり方を教えてほしい、と万理子(内田有紀)に頼む。スタッフから電話で呼び出された千明は、APの三井(久保田磨希)とともに、脚本家の栗山ハルカ(益若つばさ)に会う。ハルカは、脚本が書けなくて苦しんでいるらしい。しかし千明は、同情はしない、プロなのだから言い訳しないで書け、とハルカを叱咤(しった)する。一方、和平は、観光推進課の提案書を持って来年度の予算会議に出席する。しかし、観光推進課からの提案書はすべて見送られてしまい、さすがの和平も落ち込"&amp;"んでしまう。そんな折、和平たちが企画した『大人の鎌倉散歩』が開催される。和平は、部下の大橋知美(佐津川愛美)とともにそのガイドを務めることになるが…。")</f>
        <v>吉野千明(小泉今日子)の家に水谷典子(飯島直子)が転がり込んできた。典子は、夫の広行(浅野和之)から、もう愛していない、と言われたことにショックを受け、家を飛び出したのだ。同じころ、長倉和平(中井貴一)は、弟の真平(坂口憲二)が病院の定期検査に行っていないことを知り、彼を問い詰めていた。しかし、真平が理由も言わずに部屋に逃げようとしたため、つかみ合いになってしまう。あくる朝、典子は、長倉家で朝食を食べようと、千明を引っ張っていく。典子がまた家出をしたと知った和平は、子どももいるのだから夫婦で話し合え、と説教した。しかし典子は、そんな和平の言葉を無視して、出会い系掲示板のやり方を教えてほしい、と万理子(内田有紀)に頼む。スタッフから電話で呼び出された千明は、APの三井(久保田磨希)とともに、脚本家の栗山ハルカ(益若つばさ)に会う。ハルカは、脚本が書けなくて苦しんでいるらしい。しかし千明は、同情はしない、プロなのだから言い訳しないで書け、とハルカを叱咤(しった)する。一方、和平は、観光推進課の提案書を持って来年度の予算会議に出席する。しかし、観光推進課からの提案書はすべて見送られてしまい、さすがの和平も落ち込んでしまう。そんな折、和平たちが企画した『大人の鎌倉散歩』が開催される。和平は、部下の大橋知美(佐津川愛美)とともにそのガイドを務めることになるが…。</v>
      </c>
      <c r="N1320" s="2"/>
      <c r="O1320" s="2"/>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row>
    <row r="1321" ht="204.75" customHeight="1">
      <c r="A1321" s="1">
        <v>4018.0</v>
      </c>
      <c r="B1321" s="2" t="s">
        <v>4211</v>
      </c>
      <c r="C1321" s="2">
        <f>IFERROR(__xludf.DUMMYFUNCTION("split(B1321,""_"")"),1201.0)</f>
        <v>1201</v>
      </c>
      <c r="D1321" s="2" t="str">
        <f>IFERROR(__xludf.DUMMYFUNCTION("""COMPUTED_VALUE"""),"CX")</f>
        <v>CX</v>
      </c>
      <c r="E1321" s="2" t="str">
        <f>IFERROR(__xludf.DUMMYFUNCTION("""COMPUTED_VALUE"""),"木22")</f>
        <v>木22</v>
      </c>
      <c r="F1321" s="2" t="s">
        <v>4212</v>
      </c>
      <c r="G1321" s="2" t="s">
        <v>4228</v>
      </c>
      <c r="H1321" s="1">
        <v>6.0</v>
      </c>
      <c r="I1321" s="1" t="s">
        <v>21</v>
      </c>
      <c r="J1321" s="1" t="s">
        <v>86</v>
      </c>
      <c r="K1321" s="2" t="s">
        <v>4229</v>
      </c>
      <c r="L1321" s="2" t="s">
        <v>4230</v>
      </c>
      <c r="M1321" s="2" t="str">
        <f>IFERROR(__xludf.DUMMYFUNCTION("split(split(K1321,""小泉今日子　"",false),""公式LINE"",false)"),"仕事を終え帰宅途中にスーパーマーケットで買い物をしていた吉野千明(小泉今日子)は長倉和平(中井貴一)とバッタリ会い、2人は先日約束した素敵なお店に行くことに。  　いつものように小言を言い合う2人だったが、選んだメニューが同じで不思議な沈黙・・・。  　その頃、出会い系サイトに登録した典子(飯島直子)は万理子(内田有紀)を引き連れ、相手と会うためにファミレスへ。現れた男性はナイーブな感じのする美青年。そこで自分と同い年の母親の相談をされる典子は複雑な心境。  　食事を終え、楽しそうに話しながら夜道を歩いて"&amp;"帰ってくる千明と和平。  　そんな2人を見た真平(坂口憲二)には、今までにない不思議な感情が芽生える。  　そして真平は和平に自分の本当の気持ちを伝えるのだった。")</f>
        <v>仕事を終え帰宅途中にスーパーマーケットで買い物をしていた吉野千明(小泉今日子)は長倉和平(中井貴一)とバッタリ会い、2人は先日約束した素敵なお店に行くことに。  　いつものように小言を言い合う2人だったが、選んだメニューが同じで不思議な沈黙・・・。  　その頃、出会い系サイトに登録した典子(飯島直子)は万理子(内田有紀)を引き連れ、相手と会うためにファミレスへ。現れた男性はナイーブな感じのする美青年。そこで自分と同い年の母親の相談をされる典子は複雑な心境。  　食事を終え、楽しそうに話しながら夜道を歩いて帰ってくる千明と和平。  　そんな2人を見た真平(坂口憲二)には、今までにない不思議な感情が芽生える。  　そして真平は和平に自分の本当の気持ちを伝えるのだった。</v>
      </c>
      <c r="N1321" s="2"/>
      <c r="O1321" s="2"/>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row>
    <row r="1322" ht="204.75" customHeight="1">
      <c r="A1322" s="1">
        <v>4019.0</v>
      </c>
      <c r="B1322" s="2" t="s">
        <v>4211</v>
      </c>
      <c r="C1322" s="2">
        <f>IFERROR(__xludf.DUMMYFUNCTION("split(B1322,""_"")"),1201.0)</f>
        <v>1201</v>
      </c>
      <c r="D1322" s="2" t="str">
        <f>IFERROR(__xludf.DUMMYFUNCTION("""COMPUTED_VALUE"""),"CX")</f>
        <v>CX</v>
      </c>
      <c r="E1322" s="2" t="str">
        <f>IFERROR(__xludf.DUMMYFUNCTION("""COMPUTED_VALUE"""),"木22")</f>
        <v>木22</v>
      </c>
      <c r="F1322" s="2" t="s">
        <v>4212</v>
      </c>
      <c r="G1322" s="2" t="s">
        <v>4231</v>
      </c>
      <c r="H1322" s="1">
        <v>7.0</v>
      </c>
      <c r="I1322" s="1" t="s">
        <v>25</v>
      </c>
      <c r="J1322" s="1" t="s">
        <v>86</v>
      </c>
      <c r="K1322" s="2" t="s">
        <v>4232</v>
      </c>
      <c r="L1322" s="2" t="s">
        <v>4233</v>
      </c>
      <c r="M1322" s="2" t="str">
        <f>IFERROR(__xludf.DUMMYFUNCTION("split(split(K1322,""小泉今日子　"",false),""公式LINE"",false)"),"""　長倉和平(中井貴一)は、吉野千明(小泉今日子)が真平(坂口憲二)から病気のことを聞いていると勘違いして千明に話してしまった。  　そこで千明は、真平の“天使のような行動""""は自分に残された時間は人に迷惑をかけないで、人を少しでも幸せにしたいと思っていたからだと知る。  　真実を聞いた千明だったが、「人はいつ何があるかわからないんだし・・・」と動じない様子。""逆に千明は話の流れで、典子(飯島直子)、万理子(内田有紀)、えりな(白本彩奈)の前で和平のお見合い親子の件をうっかり話してしまった。軽蔑の"&amp;"まなざしを受ける和平。  　そんな時、真平が帰ってきた。和平がすべてを話してしまったことを知った真平は千明と本音で向き合うことに。  　一方和平にさらなる不運が。なんとお見合いの相手・大橋知美(佐津川愛美)がカフェ「ながくら」へやってきたのだ。和平に鎌倉市長から緊急招集がかかったことを伝えるためだったのだが、和平にとっては最悪のタイミングが訪れてしまった。")</f>
        <v>"　長倉和平(中井貴一)は、吉野千明(小泉今日子)が真平(坂口憲二)から病気のことを聞いていると勘違いして千明に話してしまった。  　そこで千明は、真平の“天使のような行動""は自分に残された時間は人に迷惑をかけないで、人を少しでも幸せにしたいと思っていたからだと知る。  　真実を聞いた千明だったが、「人はいつ何があるかわからないんだし・・・」と動じない様子。"逆に千明は話の流れで、典子(飯島直子)、万理子(内田有紀)、えりな(白本彩奈)の前で和平のお見合い親子の件をうっかり話してしまった。軽蔑のまなざしを受ける和平。  　そんな時、真平が帰ってきた。和平がすべてを話してしまったことを知った真平は千明と本音で向き合うことに。  　一方和平にさらなる不運が。なんとお見合いの相手・大橋知美(佐津川愛美)がカフェ「ながくら」へやってきたのだ。和平に鎌倉市長から緊急招集がかかったことを伝えるためだったのだが、和平にとっては最悪のタイミングが訪れてしまった。</v>
      </c>
      <c r="N1322" s="2"/>
      <c r="O1322" s="2"/>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row>
    <row r="1323" ht="204.75" customHeight="1">
      <c r="A1323" s="1">
        <v>4020.0</v>
      </c>
      <c r="B1323" s="2" t="s">
        <v>4211</v>
      </c>
      <c r="C1323" s="2">
        <f>IFERROR(__xludf.DUMMYFUNCTION("split(B1323,""_"")"),1201.0)</f>
        <v>1201</v>
      </c>
      <c r="D1323" s="2" t="str">
        <f>IFERROR(__xludf.DUMMYFUNCTION("""COMPUTED_VALUE"""),"CX")</f>
        <v>CX</v>
      </c>
      <c r="E1323" s="2" t="str">
        <f>IFERROR(__xludf.DUMMYFUNCTION("""COMPUTED_VALUE"""),"木22")</f>
        <v>木22</v>
      </c>
      <c r="F1323" s="2" t="s">
        <v>4212</v>
      </c>
      <c r="G1323" s="2" t="s">
        <v>4234</v>
      </c>
      <c r="H1323" s="1">
        <v>8.0</v>
      </c>
      <c r="I1323" s="1" t="s">
        <v>29</v>
      </c>
      <c r="J1323" s="1" t="s">
        <v>86</v>
      </c>
      <c r="K1323" s="2" t="s">
        <v>4235</v>
      </c>
      <c r="L1323" s="2" t="s">
        <v>4236</v>
      </c>
      <c r="M1323" s="2" t="str">
        <f>IFERROR(__xludf.DUMMYFUNCTION("split(split(K1323,""小泉今日子　"",false),""公式LINE"",false)"),"恋人同士になった吉野千明(小泉今日子)と長倉真平(坂口憲二)は、カフェでデートをしていた。そこで、真平から「人生初の恋人が千明で嬉しい」とストレートに言われ、千明は満ざらでもない様子。  　同じころ長倉和平(中井貴一)と大橋知美(佐津川愛美)も2人で会っていた。洋服屋で、知美が和平のために服選びをするのだったが、若い感じの服装に戸惑う和平。""　千明と真平は海辺へと移動、真平の“天使の初仕事""""など2人の昔話をしていた。さらにそこで千明は真平から和平が桜貝を集めていた理由を聞くことに。  　ある朝、万"&amp;"理子(内田有紀)は幸せそうな寝顔。その理由とは、千明とキスをする夢を見ていたからだった。目を覚ました万理子は不思議な心境。  　その後の千明はというと、真平のために髪型や服装を変え、さらには禁煙までして職場のスタッフを驚かせていた。""　長倉家に大橋秀子(美保純)と知美がやってきた。慌てる和平だったが、そこへ今度は千明と典子(飯島直子)も現れ・・・。")</f>
        <v>恋人同士になった吉野千明(小泉今日子)と長倉真平(坂口憲二)は、カフェでデートをしていた。そこで、真平から「人生初の恋人が千明で嬉しい」とストレートに言われ、千明は満ざらでもない様子。  　同じころ長倉和平(中井貴一)と大橋知美(佐津川愛美)も2人で会っていた。洋服屋で、知美が和平のために服選びをするのだったが、若い感じの服装に戸惑う和平。"　千明と真平は海辺へと移動、真平の“天使の初仕事""など2人の昔話をしていた。さらにそこで千明は真平から和平が桜貝を集めていた理由を聞くことに。  　ある朝、万理子(内田有紀)は幸せそうな寝顔。その理由とは、千明とキスをする夢を見ていたからだった。目を覚ました万理子は不思議な心境。  　その後の千明はというと、真平のために髪型や服装を変え、さらには禁煙までして職場のスタッフを驚かせていた。"　長倉家に大橋秀子(美保純)と知美がやってきた。慌てる和平だったが、そこへ今度は千明と典子(飯島直子)も現れ・・・。</v>
      </c>
      <c r="N1323" s="2"/>
      <c r="O1323" s="2"/>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row>
    <row r="1324" ht="204.75" customHeight="1">
      <c r="A1324" s="1">
        <v>4021.0</v>
      </c>
      <c r="B1324" s="2" t="s">
        <v>4211</v>
      </c>
      <c r="C1324" s="2">
        <f>IFERROR(__xludf.DUMMYFUNCTION("split(B1324,""_"")"),1201.0)</f>
        <v>1201</v>
      </c>
      <c r="D1324" s="2" t="str">
        <f>IFERROR(__xludf.DUMMYFUNCTION("""COMPUTED_VALUE"""),"CX")</f>
        <v>CX</v>
      </c>
      <c r="E1324" s="2" t="str">
        <f>IFERROR(__xludf.DUMMYFUNCTION("""COMPUTED_VALUE"""),"木22")</f>
        <v>木22</v>
      </c>
      <c r="F1324" s="2" t="s">
        <v>4212</v>
      </c>
      <c r="G1324" s="2" t="s">
        <v>4237</v>
      </c>
      <c r="H1324" s="1">
        <v>9.0</v>
      </c>
      <c r="I1324" s="1" t="s">
        <v>33</v>
      </c>
      <c r="J1324" s="1" t="s">
        <v>86</v>
      </c>
      <c r="K1324" s="2" t="s">
        <v>4238</v>
      </c>
      <c r="L1324" s="2" t="s">
        <v>4239</v>
      </c>
      <c r="M1324" s="2" t="str">
        <f>IFERROR(__xludf.DUMMYFUNCTION("split(split(K1324,""小泉今日子　"",false),""公式LINE"",false)"),"お酒の飲み比べをしながら、いつの間にかカフェ「ながくら」で一緒に寝てしまった吉野千明(小泉今日子)と長倉和平(中井貴一)。  　そこへ長倉万理子(内田有紀)が2階から降りて来た。千明の寝顔に近づいて見ている万理子だったが、そこでいきなり寝ぼけた千明にキスされる。千明へ不思議な感情を覚える万理子。  　数時間後、千明と和平が目を覚ました。なぜか2人は、自分たちがキスしたと勘違い。千明は気にしない素振りを見せるが、和平は動揺する。  　万理子は長倉真平(坂口憲二)に打ち明けた。この千明に対する不思議な感情は恋"&amp;"ではないかと。なんと双子で千明に恋してしまったのだった。  　と、その時万理子の携帯が鳴る。相手は千明からだった。千明に呼び出された万理子は・・・。")</f>
        <v>お酒の飲み比べをしながら、いつの間にかカフェ「ながくら」で一緒に寝てしまった吉野千明(小泉今日子)と長倉和平(中井貴一)。  　そこへ長倉万理子(内田有紀)が2階から降りて来た。千明の寝顔に近づいて見ている万理子だったが、そこでいきなり寝ぼけた千明にキスされる。千明へ不思議な感情を覚える万理子。  　数時間後、千明と和平が目を覚ました。なぜか2人は、自分たちがキスしたと勘違い。千明は気にしない素振りを見せるが、和平は動揺する。  　万理子は長倉真平(坂口憲二)に打ち明けた。この千明に対する不思議な感情は恋ではないかと。なんと双子で千明に恋してしまったのだった。  　と、その時万理子の携帯が鳴る。相手は千明からだった。千明に呼び出された万理子は・・・。</v>
      </c>
      <c r="N1324" s="2"/>
      <c r="O1324" s="2"/>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row>
    <row r="1325" ht="204.75" customHeight="1">
      <c r="A1325" s="1">
        <v>4022.0</v>
      </c>
      <c r="B1325" s="2" t="s">
        <v>4211</v>
      </c>
      <c r="C1325" s="2">
        <f>IFERROR(__xludf.DUMMYFUNCTION("split(B1325,""_"")"),1201.0)</f>
        <v>1201</v>
      </c>
      <c r="D1325" s="2" t="str">
        <f>IFERROR(__xludf.DUMMYFUNCTION("""COMPUTED_VALUE"""),"CX")</f>
        <v>CX</v>
      </c>
      <c r="E1325" s="2" t="str">
        <f>IFERROR(__xludf.DUMMYFUNCTION("""COMPUTED_VALUE"""),"木22")</f>
        <v>木22</v>
      </c>
      <c r="F1325" s="2" t="s">
        <v>4212</v>
      </c>
      <c r="G1325" s="2" t="s">
        <v>4240</v>
      </c>
      <c r="H1325" s="1">
        <v>10.0</v>
      </c>
      <c r="I1325" s="1" t="s">
        <v>37</v>
      </c>
      <c r="J1325" s="1" t="s">
        <v>86</v>
      </c>
      <c r="K1325" s="2" t="s">
        <v>4241</v>
      </c>
      <c r="L1325" s="2" t="s">
        <v>4242</v>
      </c>
      <c r="M1325" s="2" t="str">
        <f>IFERROR(__xludf.DUMMYFUNCTION("split(split(K1325,""小泉今日子　"",false),""公式LINE"",false)"),"再び2人で懲りずに深酒をする吉野千明(小泉今日子)と長倉和平(中井貴一)。酔っぱらう2人の顔はいつしか至近距離、そして今度は本当にキスをしてしまう。その瞬間を目撃してしまった典子(飯島直子)。翌朝、千明は目を覚ますと和平とキスしたことを覚えていた。複雑な気持ちになる千明、その横では和平が寝言で女性の名前を言っていた。""　カフェ「ながくら」では和平、真平(坂口憲二)、万理子(内田有紀)、えりな(白本彩奈)が朝食をとっていた。そこへ千明と一緒にやってきた典子は、和平ら家族の前で千明と真平にちゃんと付き合って"&amp;"いるのかと聞き、ついには爆弾発言をしてしまう。嫌そうにする真平。さらに万理子は、千明に恋をしていて、告白した“もう1つの事件""""をみんなの前で話すのだった。""")</f>
        <v>再び2人で懲りずに深酒をする吉野千明(小泉今日子)と長倉和平(中井貴一)。酔っぱらう2人の顔はいつしか至近距離、そして今度は本当にキスをしてしまう。その瞬間を目撃してしまった典子(飯島直子)。翌朝、千明は目を覚ますと和平とキスしたことを覚えていた。複雑な気持ちになる千明、その横では和平が寝言で女性の名前を言っていた。"　カフェ「ながくら」では和平、真平(坂口憲二)、万理子(内田有紀)、えりな(白本彩奈)が朝食をとっていた。そこへ千明と一緒にやってきた典子は、和平ら家族の前で千明と真平にちゃんと付き合っているのかと聞き、ついには爆弾発言をしてしまう。嫌そうにする真平。さらに万理子は、千明に恋をしていて、告白した“もう1つの事件""をみんなの前で話すのだった。"</v>
      </c>
      <c r="N1325" s="2"/>
      <c r="O1325" s="2"/>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row>
    <row r="1326" ht="204.75" customHeight="1">
      <c r="A1326" s="1">
        <v>4023.0</v>
      </c>
      <c r="B1326" s="2" t="s">
        <v>4211</v>
      </c>
      <c r="C1326" s="2">
        <f>IFERROR(__xludf.DUMMYFUNCTION("split(B1326,""_"")"),1201.0)</f>
        <v>1201</v>
      </c>
      <c r="D1326" s="2" t="str">
        <f>IFERROR(__xludf.DUMMYFUNCTION("""COMPUTED_VALUE"""),"CX")</f>
        <v>CX</v>
      </c>
      <c r="E1326" s="2" t="str">
        <f>IFERROR(__xludf.DUMMYFUNCTION("""COMPUTED_VALUE"""),"木22")</f>
        <v>木22</v>
      </c>
      <c r="F1326" s="2" t="s">
        <v>4212</v>
      </c>
      <c r="G1326" s="2" t="s">
        <v>4243</v>
      </c>
      <c r="H1326" s="1">
        <v>11.0</v>
      </c>
      <c r="I1326" s="1" t="s">
        <v>41</v>
      </c>
      <c r="J1326" s="1" t="s">
        <v>86</v>
      </c>
      <c r="K1326" s="2" t="s">
        <v>4244</v>
      </c>
      <c r="L1326" s="2" t="s">
        <v>4245</v>
      </c>
      <c r="M1326" s="2" t="str">
        <f>IFERROR(__xludf.DUMMYFUNCTION("split(split(K1326,""小泉今日子　"",false),""公式LINE"",false)"),"江ノ電に一緒に乗っている吉野千明(小泉今日子)と長倉和平(中井貴一)。2人で窓の外を見ていると、喧嘩する長倉真平(坂口憲二)と大橋知美(佐津川愛美)の姿が目に入って来た。たわいないことで喧嘩する2人を見て、千明と和平はどこかホッとする。しかしそんな一時もつかの間、今度は千明と和平がいつものように言い合いを始めてしまう。  　後日、千明が働くJMTテレビのスタッフルームでは問題が起きていた。ドラマのロケ地が急遽使えなくなってしまったのだ。そこで長倉万理子(内田有紀)が和平に頼んで鎌倉でしようと提案するのだっ"&amp;"たが、和平と喧嘩をしてしまった千明にとって、いまの状況では頼みづらい様子。しかし時間がない千明は和平に頭を下げる覚悟で和平が働く鎌倉市役所へ向かうのだった。")</f>
        <v>江ノ電に一緒に乗っている吉野千明(小泉今日子)と長倉和平(中井貴一)。2人で窓の外を見ていると、喧嘩する長倉真平(坂口憲二)と大橋知美(佐津川愛美)の姿が目に入って来た。たわいないことで喧嘩する2人を見て、千明と和平はどこかホッとする。しかしそんな一時もつかの間、今度は千明と和平がいつものように言い合いを始めてしまう。  　後日、千明が働くJMTテレビのスタッフルームでは問題が起きていた。ドラマのロケ地が急遽使えなくなってしまったのだ。そこで長倉万理子(内田有紀)が和平に頼んで鎌倉でしようと提案するのだったが、和平と喧嘩をしてしまった千明にとって、いまの状況では頼みづらい様子。しかし時間がない千明は和平に頭を下げる覚悟で和平が働く鎌倉市役所へ向かうのだった。</v>
      </c>
      <c r="N1326" s="2"/>
      <c r="O1326" s="2"/>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row>
    <row r="1327" ht="204.75" customHeight="1">
      <c r="A1327" s="1">
        <v>4063.0</v>
      </c>
      <c r="B1327" s="2" t="s">
        <v>4246</v>
      </c>
      <c r="C1327" s="2">
        <f>IFERROR(__xludf.DUMMYFUNCTION("split(B1327,""_"")"),1201.0)</f>
        <v>1201</v>
      </c>
      <c r="D1327" s="2" t="str">
        <f>IFERROR(__xludf.DUMMYFUNCTION("""COMPUTED_VALUE"""),"CX")</f>
        <v>CX</v>
      </c>
      <c r="E1327" s="2" t="str">
        <f>IFERROR(__xludf.DUMMYFUNCTION("""COMPUTED_VALUE"""),"日21")</f>
        <v>日21</v>
      </c>
      <c r="F1327" s="2" t="s">
        <v>4247</v>
      </c>
      <c r="G1327" s="2" t="s">
        <v>4248</v>
      </c>
      <c r="H1327" s="1">
        <v>1.0</v>
      </c>
      <c r="I1327" s="1" t="s">
        <v>3</v>
      </c>
      <c r="J1327" s="1" t="s">
        <v>11</v>
      </c>
      <c r="K1327" s="4" t="s">
        <v>4249</v>
      </c>
      <c r="L1327" s="2" t="s">
        <v>4250</v>
      </c>
      <c r="M1327" s="2" t="str">
        <f>IFERROR(__xludf.DUMMYFUNCTION("split(split(K1327,""松下奈緒　"",false),""公式LINE"",false)"),"おもちゃメーカーで働く金井優梨子(松下奈緒)は、恋人で同僚の早海恭一(井ノ原快彦)とおしゃれなレストランへ来ていた。緊張して、なかなかプロポーズができない恭一を見かねた優梨子は、プロポーズを待たずに「はい」と返事をする。お互いの家族を会わせる日を相談していた2人。優梨子は両親と共に早海家に行くという提案をするが、恭一は家がリフォーム中であることから申し出を断った。しかし、リフォーム中というのは恭一の嘘で…。  　顔合わせの日。高級レストランに先に到着した優梨子と優梨子の父・拡(中原丈雄)と母・満智子(かと"&amp;"うかず子)と恭一。やがて豪快に恭一の父・恵太郎(船越英一郎)と母・陽子(古手川祐子)が入ってきた。続いて、来る予定ではなかった二男の研二(要潤)、三男の馨(中丸雄一)、四男の優三(森永悠希)が入ってくるのを見てあ然とする恭一。会食が進む中、優梨子と恭一が2人だけでマンションで暮らすと聞いた恵太郎は一瞬表情をこわばらせるが、すぐに笑顔を見せた。つられて笑う一同だが、なんとなく気まずい空気が流れる。結婚式と新婚旅行が無事に終わり、2人だけの幸せなマンション暮らしが始まった。そんな中、恭一の実家に行くことになっ"&amp;"た優梨子は、その古い家屋に、想像していたものとのギャップを感じて驚く。それでも働き者の陽子のおかげで家の中はきれいに保たれているはずだったが、中は散らかり放題の状態で…。")</f>
        <v>おもちゃメーカーで働く金井優梨子(松下奈緒)は、恋人で同僚の早海恭一(井ノ原快彦)とおしゃれなレストランへ来ていた。緊張して、なかなかプロポーズができない恭一を見かねた優梨子は、プロポーズを待たずに「はい」と返事をする。お互いの家族を会わせる日を相談していた2人。優梨子は両親と共に早海家に行くという提案をするが、恭一は家がリフォーム中であることから申し出を断った。しかし、リフォーム中というのは恭一の嘘で…。  　顔合わせの日。高級レストランに先に到着した優梨子と優梨子の父・拡(中原丈雄)と母・満智子(かとうかず子)と恭一。やがて豪快に恭一の父・恵太郎(船越英一郎)と母・陽子(古手川祐子)が入ってきた。続いて、来る予定ではなかった二男の研二(要潤)、三男の馨(中丸雄一)、四男の優三(森永悠希)が入ってくるのを見てあ然とする恭一。会食が進む中、優梨子と恭一が2人だけでマンションで暮らすと聞いた恵太郎は一瞬表情をこわばらせるが、すぐに笑顔を見せた。つられて笑う一同だが、なんとなく気まずい空気が流れる。結婚式と新婚旅行が無事に終わり、2人だけの幸せなマンション暮らしが始まった。そんな中、恭一の実家に行くことになった優梨子は、その古い家屋に、想像していたものとのギャップを感じて驚く。それでも働き者の陽子のおかげで家の中はきれいに保たれているはずだったが、中は散らかり放題の状態で…。</v>
      </c>
      <c r="N1327" s="2"/>
      <c r="O1327" s="2"/>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row>
    <row r="1328" ht="204.75" customHeight="1">
      <c r="A1328" s="1">
        <v>4064.0</v>
      </c>
      <c r="B1328" s="2" t="s">
        <v>4246</v>
      </c>
      <c r="C1328" s="2">
        <f>IFERROR(__xludf.DUMMYFUNCTION("split(B1328,""_"")"),1201.0)</f>
        <v>1201</v>
      </c>
      <c r="D1328" s="2" t="str">
        <f>IFERROR(__xludf.DUMMYFUNCTION("""COMPUTED_VALUE"""),"CX")</f>
        <v>CX</v>
      </c>
      <c r="E1328" s="2" t="str">
        <f>IFERROR(__xludf.DUMMYFUNCTION("""COMPUTED_VALUE"""),"日21")</f>
        <v>日21</v>
      </c>
      <c r="F1328" s="2" t="s">
        <v>4247</v>
      </c>
      <c r="G1328" s="2" t="s">
        <v>4251</v>
      </c>
      <c r="H1328" s="1">
        <v>2.0</v>
      </c>
      <c r="I1328" s="1" t="s">
        <v>7</v>
      </c>
      <c r="J1328" s="1" t="s">
        <v>4</v>
      </c>
      <c r="K1328" s="2" t="s">
        <v>4252</v>
      </c>
      <c r="L1328" s="2" t="s">
        <v>4253</v>
      </c>
      <c r="M1328" s="2" t="str">
        <f>IFERROR(__xludf.DUMMYFUNCTION("split(split(K1328,""松下奈緒　"",false),""公式LINE"",false)"),"早海優梨子(松下奈緒)は、家出した義母・陽子(古手川祐子)が帰ってくるまで、早海家の嫁として恭一(井ノ原快彦)の実家で暮らすことを決意する。張り切って引っ越して来た優梨子を戸惑いながら迎え入れる早海家の面々。  　夕食になり、優梨子が出前でとった高級な寿司に舌鼓を打つ恵太郎(船越英一郎)たち。そんな中、早海家に優梨子の母・満智子(かとうかず子)が訪ねて来た。優梨子が早海家に入ったことに怒り心頭の満智子は、恵太郎に早海家と金井家では環境が違うと訴える。その言葉にカチンときた恵太郎は連れて帰ってもいいと言い切"&amp;"るが、優梨子は自分で決めたことだと満智子に帰るように告げる。渋々と帰っていく満智子だが、その後も早海家には気まずい空気が流れる。  　翌朝、優梨子が起きてくると出勤や登校の準備に追われる家族たちが続々と起きてくる。朝ごはんも用意しておらず、かつ料理が得意ではない優梨子の段取りの悪さに朝食を取らずに家を出る恭一や研二(要潤)たち。恵太郎は出汁もとってない味噌汁に呆れ果てる。その後も洗濯や洗濯物の分類など家事がうまくこなせず馨(中丸雄一)からも怒りの声が飛び出す。さらに、夕食に買ってきた惣菜を出した優梨子に恭"&amp;"一以外の兄弟から不平が溢れ…。")</f>
        <v>早海優梨子(松下奈緒)は、家出した義母・陽子(古手川祐子)が帰ってくるまで、早海家の嫁として恭一(井ノ原快彦)の実家で暮らすことを決意する。張り切って引っ越して来た優梨子を戸惑いながら迎え入れる早海家の面々。  　夕食になり、優梨子が出前でとった高級な寿司に舌鼓を打つ恵太郎(船越英一郎)たち。そんな中、早海家に優梨子の母・満智子(かとうかず子)が訪ねて来た。優梨子が早海家に入ったことに怒り心頭の満智子は、恵太郎に早海家と金井家では環境が違うと訴える。その言葉にカチンときた恵太郎は連れて帰ってもいいと言い切るが、優梨子は自分で決めたことだと満智子に帰るように告げる。渋々と帰っていく満智子だが、その後も早海家には気まずい空気が流れる。  　翌朝、優梨子が起きてくると出勤や登校の準備に追われる家族たちが続々と起きてくる。朝ごはんも用意しておらず、かつ料理が得意ではない優梨子の段取りの悪さに朝食を取らずに家を出る恭一や研二(要潤)たち。恵太郎は出汁もとってない味噌汁に呆れ果てる。その後も洗濯や洗濯物の分類など家事がうまくこなせず馨(中丸雄一)からも怒りの声が飛び出す。さらに、夕食に買ってきた惣菜を出した優梨子に恭一以外の兄弟から不平が溢れ…。</v>
      </c>
      <c r="N1328" s="2"/>
      <c r="O1328" s="2"/>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row>
    <row r="1329" ht="204.75" customHeight="1">
      <c r="A1329" s="1">
        <v>4065.0</v>
      </c>
      <c r="B1329" s="2" t="s">
        <v>4246</v>
      </c>
      <c r="C1329" s="2">
        <f>IFERROR(__xludf.DUMMYFUNCTION("split(B1329,""_"")"),1201.0)</f>
        <v>1201</v>
      </c>
      <c r="D1329" s="2" t="str">
        <f>IFERROR(__xludf.DUMMYFUNCTION("""COMPUTED_VALUE"""),"CX")</f>
        <v>CX</v>
      </c>
      <c r="E1329" s="2" t="str">
        <f>IFERROR(__xludf.DUMMYFUNCTION("""COMPUTED_VALUE"""),"日21")</f>
        <v>日21</v>
      </c>
      <c r="F1329" s="2" t="s">
        <v>4247</v>
      </c>
      <c r="G1329" s="2" t="s">
        <v>4254</v>
      </c>
      <c r="H1329" s="1">
        <v>3.0</v>
      </c>
      <c r="I1329" s="1" t="s">
        <v>10</v>
      </c>
      <c r="J1329" s="1" t="s">
        <v>4</v>
      </c>
      <c r="K1329" s="2" t="s">
        <v>4255</v>
      </c>
      <c r="L1329" s="2" t="s">
        <v>4256</v>
      </c>
      <c r="M1329" s="2" t="str">
        <f>IFERROR(__xludf.DUMMYFUNCTION("split(split(K1329,""松下奈緒　"",false),""公式LINE"",false)"),"夕食の買い物に来た早海優梨子(松下奈緒)は、財布にお金がないことに戸惑う。改めて確認してみると、給料日まで10日もあるのに使えるお金が1万円程度しかないことに気付き、恭一(井ノ原快彦)に相談する優梨子。恭一は家族会議を開き、恵太郎(船越英一郎)に店の営業を再開するように言うが、誰にも指図されたくないと部屋を出ていく。1万円しか入れてない研二(要潤)にももう少しお金を入れるように頼むが、今で精一杯だと拒否。逆に、お金が足りなくなったのは優梨子の金銭感覚が足りなかったからだと訴える。指摘されて、買い物をするの"&amp;"に値段を見たことがなかった優梨子は反省し、10日間を1万円で乗り切ってみせると宣言する。  　翌日から優梨子の慣れない節約生活が始まった。買い物に自転車を使ったり、百円ショップやスーパーの特売セールを利用したりと奮闘する優梨子。新装オープンのパン屋では、店員の入江亜季(山口紗弥加)と知り合いになった。そんな中、家ではなぜか研二や馨(中丸雄一)の大事にしていた本などが紛失していた。  　また、参考にと義母・陽子(古手川祐子)が付けていた家計簿を見ていた優梨子は、毎月“入""という項目で2万8千円の入金がある"&amp;"ことがわかる。調べるとガラスアート店からの入金であることがわかり、陽子が内職して家計の足しにしていたことが判明。それを知った恭一は…。")</f>
        <v>夕食の買い物に来た早海優梨子(松下奈緒)は、財布にお金がないことに戸惑う。改めて確認してみると、給料日まで10日もあるのに使えるお金が1万円程度しかないことに気付き、恭一(井ノ原快彦)に相談する優梨子。恭一は家族会議を開き、恵太郎(船越英一郎)に店の営業を再開するように言うが、誰にも指図されたくないと部屋を出ていく。1万円しか入れてない研二(要潤)にももう少しお金を入れるように頼むが、今で精一杯だと拒否。逆に、お金が足りなくなったのは優梨子の金銭感覚が足りなかったからだと訴える。指摘されて、買い物をするのに値段を見たことがなかった優梨子は反省し、10日間を1万円で乗り切ってみせると宣言する。  　翌日から優梨子の慣れない節約生活が始まった。買い物に自転車を使ったり、百円ショップやスーパーの特売セールを利用したりと奮闘する優梨子。新装オープンのパン屋では、店員の入江亜季(山口紗弥加)と知り合いになった。そんな中、家ではなぜか研二や馨(中丸雄一)の大事にしていた本などが紛失していた。  　また、参考にと義母・陽子(古手川祐子)が付けていた家計簿を見ていた優梨子は、毎月“入"という項目で2万8千円の入金があることがわかる。調べるとガラスアート店からの入金であることがわかり、陽子が内職して家計の足しにしていたことが判明。それを知った恭一は…。</v>
      </c>
      <c r="N1329" s="2"/>
      <c r="O1329" s="2"/>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row>
    <row r="1330" ht="204.75" customHeight="1">
      <c r="A1330" s="1">
        <v>4066.0</v>
      </c>
      <c r="B1330" s="2" t="s">
        <v>4246</v>
      </c>
      <c r="C1330" s="2">
        <f>IFERROR(__xludf.DUMMYFUNCTION("split(B1330,""_"")"),1201.0)</f>
        <v>1201</v>
      </c>
      <c r="D1330" s="2" t="str">
        <f>IFERROR(__xludf.DUMMYFUNCTION("""COMPUTED_VALUE"""),"CX")</f>
        <v>CX</v>
      </c>
      <c r="E1330" s="2" t="str">
        <f>IFERROR(__xludf.DUMMYFUNCTION("""COMPUTED_VALUE"""),"日21")</f>
        <v>日21</v>
      </c>
      <c r="F1330" s="2" t="s">
        <v>4247</v>
      </c>
      <c r="G1330" s="2" t="s">
        <v>4257</v>
      </c>
      <c r="H1330" s="1">
        <v>4.0</v>
      </c>
      <c r="I1330" s="1" t="s">
        <v>14</v>
      </c>
      <c r="J1330" s="1" t="s">
        <v>11</v>
      </c>
      <c r="K1330" s="2" t="s">
        <v>4258</v>
      </c>
      <c r="L1330" s="2" t="s">
        <v>4259</v>
      </c>
      <c r="M1330" s="2" t="str">
        <f>IFERROR(__xludf.DUMMYFUNCTION("split(split(K1330,""松下奈緒　"",false),""公式LINE"",false)"),"早海優梨子(松下奈緒)は、恭一(井ノ原快彦)から陽子(古手川祐子)が家に戻る意思がないことを聞き、この先ずっと早海家で暮らすことを決意する。優梨子は家計を助けるためにパートを始めようと近所のパン屋に面接に行く。同じ頃、就職活動中の馨(中丸雄一)も会社の面接を受けていた。面接官の質問にそつなく応える馨。その帰り道、もう何社目かわからないほどの不採用を示す“お祈りメール""を見ながら家に着くと、優梨子からパン屋の面接に受かり週3日のパートに出ることを聞かされる。さらに落ち込む馨だが、夕食時にも何社も落ちている"&amp;"ことを恵太郎(船越英一郎)や兄弟から責められ、特技がない、声が小さいなどダメ出しまでされて苛立ちを募らせる。研二(要潤)は、会社役員をやっている優梨子の父・拡(中原丈雄)にコネが使えないかとまで言い出し、馨は戸惑う優梨子に余計なことをしないで欲しいとテーブルを離れる。必死で就職先を探す馨の姿を遠くから見つめる恵太郎。優梨子も少しでも力になろうと自分の就職活動時に使っていた本やノートを渡すが、投げやりな気持ちになっている馨は古いなどと文句を言い出す。恭一からは心願成就のお守りを渡され、ますます複雑な気持ちに"&amp;"なっていく馨。そんな中、恵太郎はめずらしくスーツを着て、どこかに出かけて行く。")</f>
        <v>早海優梨子(松下奈緒)は、恭一(井ノ原快彦)から陽子(古手川祐子)が家に戻る意思がないことを聞き、この先ずっと早海家で暮らすことを決意する。優梨子は家計を助けるためにパートを始めようと近所のパン屋に面接に行く。同じ頃、就職活動中の馨(中丸雄一)も会社の面接を受けていた。面接官の質問にそつなく応える馨。その帰り道、もう何社目かわからないほどの不採用を示す“お祈りメール"を見ながら家に着くと、優梨子からパン屋の面接に受かり週3日のパートに出ることを聞かされる。さらに落ち込む馨だが、夕食時にも何社も落ちていることを恵太郎(船越英一郎)や兄弟から責められ、特技がない、声が小さいなどダメ出しまでされて苛立ちを募らせる。研二(要潤)は、会社役員をやっている優梨子の父・拡(中原丈雄)にコネが使えないかとまで言い出し、馨は戸惑う優梨子に余計なことをしないで欲しいとテーブルを離れる。必死で就職先を探す馨の姿を遠くから見つめる恵太郎。優梨子も少しでも力になろうと自分の就職活動時に使っていた本やノートを渡すが、投げやりな気持ちになっている馨は古いなどと文句を言い出す。恭一からは心願成就のお守りを渡され、ますます複雑な気持ちになっていく馨。そんな中、恵太郎はめずらしくスーツを着て、どこかに出かけて行く。</v>
      </c>
      <c r="N1330" s="2"/>
      <c r="O1330" s="2"/>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row>
    <row r="1331" ht="204.75" customHeight="1">
      <c r="A1331" s="1">
        <v>4067.0</v>
      </c>
      <c r="B1331" s="2" t="s">
        <v>4246</v>
      </c>
      <c r="C1331" s="2">
        <f>IFERROR(__xludf.DUMMYFUNCTION("split(B1331,""_"")"),1201.0)</f>
        <v>1201</v>
      </c>
      <c r="D1331" s="2" t="str">
        <f>IFERROR(__xludf.DUMMYFUNCTION("""COMPUTED_VALUE"""),"CX")</f>
        <v>CX</v>
      </c>
      <c r="E1331" s="2" t="str">
        <f>IFERROR(__xludf.DUMMYFUNCTION("""COMPUTED_VALUE"""),"日21")</f>
        <v>日21</v>
      </c>
      <c r="F1331" s="2" t="s">
        <v>4247</v>
      </c>
      <c r="G1331" s="2" t="s">
        <v>4260</v>
      </c>
      <c r="H1331" s="1">
        <v>5.0</v>
      </c>
      <c r="I1331" s="1" t="s">
        <v>17</v>
      </c>
      <c r="J1331" s="1" t="s">
        <v>11</v>
      </c>
      <c r="K1331" s="2" t="s">
        <v>4261</v>
      </c>
      <c r="L1331" s="2" t="s">
        <v>4262</v>
      </c>
      <c r="M1331" s="2" t="str">
        <f>IFERROR(__xludf.DUMMYFUNCTION("split(split(K1331,""松下奈緒　"",false),""公式LINE"",false)"),"早海優梨子(松下奈緒)は、就職活動中の馨(中丸雄一)の力に少しでもなりたいと思い、父・拡(中原丈雄)の力を借りたいと頼み込む。無事に面接を終え、今まで以上の手応えを感じていた馨だが、結果は不採用だった。恭一(井ノ原快彦)から優しい言葉で励まされ、逆に今まで抑えていた不満を爆発させる馨。そんな彼の頬を優梨子は思わず叩いてしまい、恵太郎(船越英一郎)も「そんなに家が嫌なら出て行けばいい」と言い放ち、ついに馨はその勢いのまま家を出て行ってしまう。出て行ってしまったのは、自分のせいではないかと気にする優梨子は馨の"&amp;"ことが心配でたまらず、バイト先のファミリーレストランまで足を運ぶ。お金もなく行く先もないにもかかわらず、どうしても早海家には帰らないと言う馨を、優梨子は必死に自分の実家へ連れて行く。突然の訪問にとまどう優梨子の母・満智子(かとうかず子)であったが、優梨子のひたむきさに、馨を泊めることを許した。また拡は自らの家のこと、就職活動についてありのままを話した。それは馨の想像とは違い、意外なものだった。  　季節はバレンタイン。準備に悩む満智子に馨は「ドーナツを作ってみたらどうか」と積極的にアドバイスをし、一緒に手"&amp;"伝うことに。出来上がったドーナツを優梨子と満智子においしいと褒められ、何とも言えない気持ちになった馨は・・・。")</f>
        <v>早海優梨子(松下奈緒)は、就職活動中の馨(中丸雄一)の力に少しでもなりたいと思い、父・拡(中原丈雄)の力を借りたいと頼み込む。無事に面接を終え、今まで以上の手応えを感じていた馨だが、結果は不採用だった。恭一(井ノ原快彦)から優しい言葉で励まされ、逆に今まで抑えていた不満を爆発させる馨。そんな彼の頬を優梨子は思わず叩いてしまい、恵太郎(船越英一郎)も「そんなに家が嫌なら出て行けばいい」と言い放ち、ついに馨はその勢いのまま家を出て行ってしまう。出て行ってしまったのは、自分のせいではないかと気にする優梨子は馨のことが心配でたまらず、バイト先のファミリーレストランまで足を運ぶ。お金もなく行く先もないにもかかわらず、どうしても早海家には帰らないと言う馨を、優梨子は必死に自分の実家へ連れて行く。突然の訪問にとまどう優梨子の母・満智子(かとうかず子)であったが、優梨子のひたむきさに、馨を泊めることを許した。また拡は自らの家のこと、就職活動についてありのままを話した。それは馨の想像とは違い、意外なものだった。  　季節はバレンタイン。準備に悩む満智子に馨は「ドーナツを作ってみたらどうか」と積極的にアドバイスをし、一緒に手伝うことに。出来上がったドーナツを優梨子と満智子においしいと褒められ、何とも言えない気持ちになった馨は・・・。</v>
      </c>
      <c r="N1331" s="2"/>
      <c r="O1331" s="2"/>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row>
    <row r="1332" ht="204.75" customHeight="1">
      <c r="A1332" s="1">
        <v>4068.0</v>
      </c>
      <c r="B1332" s="2" t="s">
        <v>4246</v>
      </c>
      <c r="C1332" s="2">
        <f>IFERROR(__xludf.DUMMYFUNCTION("split(B1332,""_"")"),1201.0)</f>
        <v>1201</v>
      </c>
      <c r="D1332" s="2" t="str">
        <f>IFERROR(__xludf.DUMMYFUNCTION("""COMPUTED_VALUE"""),"CX")</f>
        <v>CX</v>
      </c>
      <c r="E1332" s="2" t="str">
        <f>IFERROR(__xludf.DUMMYFUNCTION("""COMPUTED_VALUE"""),"日21")</f>
        <v>日21</v>
      </c>
      <c r="F1332" s="2" t="s">
        <v>4247</v>
      </c>
      <c r="G1332" s="2" t="s">
        <v>4263</v>
      </c>
      <c r="H1332" s="1">
        <v>6.0</v>
      </c>
      <c r="I1332" s="1" t="s">
        <v>21</v>
      </c>
      <c r="J1332" s="1" t="s">
        <v>11</v>
      </c>
      <c r="K1332" s="2" t="s">
        <v>4264</v>
      </c>
      <c r="L1332" s="2" t="s">
        <v>4265</v>
      </c>
      <c r="M1332" s="2" t="str">
        <f>IFERROR(__xludf.DUMMYFUNCTION("split(split(K1332,""松下奈緒　"",false),""公式LINE"",false)"),"夕食の買い物帰りに優梨子(松下奈緒)は、研二(要潤)と商店街で会い、一緒に家に帰る途中、公園でボール遊びをしていた入江亜季(山口紗弥加)とその息子・陽(須田琉雅)と遭遇する。互いに驚く研二と亜季。2人は高校時代の同級生だったのだ。同窓会以来の再会をはたした2人は、ぎこちない会話を交わす。父親はいないと言う亜季だったが、ボール遊びの最中に転んでも泣かない陽を見て優梨子が「強いね、ママに似たのかな」と言うと、自分はパパに似ていて、そのパパはジュリーというのだと話す。研二との突然の再会にも、何とか動揺を隠しきっ"&amp;"た亜季。一方、研二はそんな彼女の心の内を知るよしもなかった。  　早海家の晩ご飯には鯛のお刺身が並び、その豪華さに馨(中丸雄一)が高くなかったかと聞くと、優梨子は研二のおかげでおまけしてもらったと話す。いまだに商店街のヒーローなのだと、かつて高校野球で全国3位までいった輝かしい研二の過去を、誇らしげに恵太郎(船越英一郎)が続けて話した。しかし、契約社員である現状を心配する恭一(井ノ原快彦)からはそろそろ落ち着くべきだと言われるが、研二は早々に食卓を後にする。研二の活躍が取り上げられた新聞記事のスクラップを"&amp;"見る優梨子と恵太郎。顔が似ていることから、ジュリーと呼ばれていたことを明かし、優梨子の頭の中では陽が、パパはジュリーなのだと話していたことを思い出す。")</f>
        <v>夕食の買い物帰りに優梨子(松下奈緒)は、研二(要潤)と商店街で会い、一緒に家に帰る途中、公園でボール遊びをしていた入江亜季(山口紗弥加)とその息子・陽(須田琉雅)と遭遇する。互いに驚く研二と亜季。2人は高校時代の同級生だったのだ。同窓会以来の再会をはたした2人は、ぎこちない会話を交わす。父親はいないと言う亜季だったが、ボール遊びの最中に転んでも泣かない陽を見て優梨子が「強いね、ママに似たのかな」と言うと、自分はパパに似ていて、そのパパはジュリーというのだと話す。研二との突然の再会にも、何とか動揺を隠しきった亜季。一方、研二はそんな彼女の心の内を知るよしもなかった。  　早海家の晩ご飯には鯛のお刺身が並び、その豪華さに馨(中丸雄一)が高くなかったかと聞くと、優梨子は研二のおかげでおまけしてもらったと話す。いまだに商店街のヒーローなのだと、かつて高校野球で全国3位までいった輝かしい研二の過去を、誇らしげに恵太郎(船越英一郎)が続けて話した。しかし、契約社員である現状を心配する恭一(井ノ原快彦)からはそろそろ落ち着くべきだと言われるが、研二は早々に食卓を後にする。研二の活躍が取り上げられた新聞記事のスクラップを見る優梨子と恵太郎。顔が似ていることから、ジュリーと呼ばれていたことを明かし、優梨子の頭の中では陽が、パパはジュリーなのだと話していたことを思い出す。</v>
      </c>
      <c r="N1332" s="2"/>
      <c r="O1332" s="2"/>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row>
    <row r="1333" ht="204.75" customHeight="1">
      <c r="A1333" s="1">
        <v>4069.0</v>
      </c>
      <c r="B1333" s="2" t="s">
        <v>4246</v>
      </c>
      <c r="C1333" s="2">
        <f>IFERROR(__xludf.DUMMYFUNCTION("split(B1333,""_"")"),1201.0)</f>
        <v>1201</v>
      </c>
      <c r="D1333" s="2" t="str">
        <f>IFERROR(__xludf.DUMMYFUNCTION("""COMPUTED_VALUE"""),"CX")</f>
        <v>CX</v>
      </c>
      <c r="E1333" s="2" t="str">
        <f>IFERROR(__xludf.DUMMYFUNCTION("""COMPUTED_VALUE"""),"日21")</f>
        <v>日21</v>
      </c>
      <c r="F1333" s="2" t="s">
        <v>4247</v>
      </c>
      <c r="G1333" s="2" t="s">
        <v>4266</v>
      </c>
      <c r="H1333" s="1">
        <v>7.0</v>
      </c>
      <c r="I1333" s="1" t="s">
        <v>25</v>
      </c>
      <c r="J1333" s="1" t="s">
        <v>11</v>
      </c>
      <c r="K1333" s="2" t="s">
        <v>4267</v>
      </c>
      <c r="L1333" s="2" t="s">
        <v>4268</v>
      </c>
      <c r="M1333" s="2" t="str">
        <f>IFERROR(__xludf.DUMMYFUNCTION("split(split(K1333,""松下奈緒　"",false),""公式LINE"",false)"),"優梨子(松下奈緒)から、亜季(山口紗弥加)の息子・陽(須田琉雅)が自分との間の子どもだと聞いた研二(要潤)は、このことは誰にも言うな、と優梨子に釘を刺す。そこへ、恭一(井ノ原快彦)と恵太郎(船越英一郎)が来るが、優梨子は仕方なく話をそらす。  　亜季と陽のことが頭から離れない研二は、仕事場で奇声を発したりミスを連発。いつもと違う様子に、周囲から不審がられる。そこへ、携帯に亜季からのメッセージが入った。亜季は、話がしたいから時間を取ってくれと言う。早海家では、馨(中丸雄一)からパソコンを教わった恵太郎がネッ"&amp;"ト通販やオークションにハマり、買い物に夢中になっていた。  　そんな日の夜、優梨子のところに研二が来て、他人のくせに人の人生を変えるようなことを言うな、と文句を付け始める。さらに、陽を息子だと言うのはDNA鑑定をしてからだ、とまで言い放つ。と、その瞬間、研二は傍に恵太郎が立っていたことに気づいた。研二はごまかそうとするが、恵太郎の猛烈な勢いに押され、事実を打ち明けた。  　それを聞いた恭一、馨、優三(森永悠希)は、予想外の告白に驚愕する。  　後日、研二は重い気持ちのまま亜季に会いに行く。亜季は、陽の父親"&amp;"は研二だが、関係があったのは昔のことだし、自分たちのことは気にしないでくれ、と伝え…。")</f>
        <v>優梨子(松下奈緒)から、亜季(山口紗弥加)の息子・陽(須田琉雅)が自分との間の子どもだと聞いた研二(要潤)は、このことは誰にも言うな、と優梨子に釘を刺す。そこへ、恭一(井ノ原快彦)と恵太郎(船越英一郎)が来るが、優梨子は仕方なく話をそらす。  　亜季と陽のことが頭から離れない研二は、仕事場で奇声を発したりミスを連発。いつもと違う様子に、周囲から不審がられる。そこへ、携帯に亜季からのメッセージが入った。亜季は、話がしたいから時間を取ってくれと言う。早海家では、馨(中丸雄一)からパソコンを教わった恵太郎がネット通販やオークションにハマり、買い物に夢中になっていた。  　そんな日の夜、優梨子のところに研二が来て、他人のくせに人の人生を変えるようなことを言うな、と文句を付け始める。さらに、陽を息子だと言うのはDNA鑑定をしてからだ、とまで言い放つ。と、その瞬間、研二は傍に恵太郎が立っていたことに気づいた。研二はごまかそうとするが、恵太郎の猛烈な勢いに押され、事実を打ち明けた。  　それを聞いた恭一、馨、優三(森永悠希)は、予想外の告白に驚愕する。  　後日、研二は重い気持ちのまま亜季に会いに行く。亜季は、陽の父親は研二だが、関係があったのは昔のことだし、自分たちのことは気にしないでくれ、と伝え…。</v>
      </c>
      <c r="N1333" s="2"/>
      <c r="O1333" s="2"/>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row>
    <row r="1334" ht="204.75" customHeight="1">
      <c r="A1334" s="1">
        <v>4070.0</v>
      </c>
      <c r="B1334" s="2" t="s">
        <v>4246</v>
      </c>
      <c r="C1334" s="2">
        <f>IFERROR(__xludf.DUMMYFUNCTION("split(B1334,""_"")"),1201.0)</f>
        <v>1201</v>
      </c>
      <c r="D1334" s="2" t="str">
        <f>IFERROR(__xludf.DUMMYFUNCTION("""COMPUTED_VALUE"""),"CX")</f>
        <v>CX</v>
      </c>
      <c r="E1334" s="2" t="str">
        <f>IFERROR(__xludf.DUMMYFUNCTION("""COMPUTED_VALUE"""),"日21")</f>
        <v>日21</v>
      </c>
      <c r="F1334" s="2" t="s">
        <v>4247</v>
      </c>
      <c r="G1334" s="2" t="s">
        <v>4269</v>
      </c>
      <c r="H1334" s="1">
        <v>8.0</v>
      </c>
      <c r="I1334" s="1" t="s">
        <v>29</v>
      </c>
      <c r="J1334" s="1" t="s">
        <v>11</v>
      </c>
      <c r="K1334" s="2" t="s">
        <v>4270</v>
      </c>
      <c r="L1334" s="2" t="s">
        <v>4271</v>
      </c>
      <c r="M1334" s="2" t="str">
        <f>IFERROR(__xludf.DUMMYFUNCTION("split(split(K1334,""松下奈緒　"",false),""公式LINE"",false)"),"""　かつて優梨子(松下奈緒)が所属していた企画部に異動になったばかりの恭一(井ノ原快彦)。新商品開発会議にチーフとして参加するが、慣れない環境もあり、アイデアが浮かばず、ただ他の人の意見をメモとるだけの自分に落ち込んでしまう。  　「ガテマラ」では、恵太郎(船越英一郎)に常連客たちが“ガテマラ祭り""""をやろうと持ちかけていた。""ガテマラ祭りとは、恵太郎と陽子(古手川祐子)がガテマラをオープンさせた3月1日に、常連さんやご近所を誘って行われるパーティーで、30年以上続いている恒例行事だった。まったく"&amp;"気乗りしない恵太郎に代わり、優梨子は自分でやりくりをしてガテマラ祭りを実現させると宣言する。その日は優梨子と恭一の付き合い始めた記念日でもあった。夜、仕事があまり順調でなさそうな恭一を心配した優梨子は協力を申し出るが、恭一は自分で頑張るからと断った。  　ある日、パチンコ屋から出てきた恵太郎は優三(森永悠希)を見かける。声をかけようとするが、路地裏に入った優三は一緒にいた岸本翼(松本隆志)と手をつないで歩き出して…。")</f>
        <v>"　かつて優梨子(松下奈緒)が所属していた企画部に異動になったばかりの恭一(井ノ原快彦)。新商品開発会議にチーフとして参加するが、慣れない環境もあり、アイデアが浮かばず、ただ他の人の意見をメモとるだけの自分に落ち込んでしまう。  　「ガテマラ」では、恵太郎(船越英一郎)に常連客たちが“ガテマラ祭り""をやろうと持ちかけていた。"ガテマラ祭りとは、恵太郎と陽子(古手川祐子)がガテマラをオープンさせた3月1日に、常連さんやご近所を誘って行われるパーティーで、30年以上続いている恒例行事だった。まったく気乗りしない恵太郎に代わり、優梨子は自分でやりくりをしてガテマラ祭りを実現させると宣言する。その日は優梨子と恭一の付き合い始めた記念日でもあった。夜、仕事があまり順調でなさそうな恭一を心配した優梨子は協力を申し出るが、恭一は自分で頑張るからと断った。  　ある日、パチンコ屋から出てきた恵太郎は優三(森永悠希)を見かける。声をかけようとするが、路地裏に入った優三は一緒にいた岸本翼(松本隆志)と手をつないで歩き出して…。</v>
      </c>
      <c r="N1334" s="2"/>
      <c r="O1334" s="2"/>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row>
    <row r="1335" ht="204.75" customHeight="1">
      <c r="A1335" s="1">
        <v>4071.0</v>
      </c>
      <c r="B1335" s="2" t="s">
        <v>4246</v>
      </c>
      <c r="C1335" s="2">
        <f>IFERROR(__xludf.DUMMYFUNCTION("split(B1335,""_"")"),1201.0)</f>
        <v>1201</v>
      </c>
      <c r="D1335" s="2" t="str">
        <f>IFERROR(__xludf.DUMMYFUNCTION("""COMPUTED_VALUE"""),"CX")</f>
        <v>CX</v>
      </c>
      <c r="E1335" s="2" t="str">
        <f>IFERROR(__xludf.DUMMYFUNCTION("""COMPUTED_VALUE"""),"日21")</f>
        <v>日21</v>
      </c>
      <c r="F1335" s="2" t="s">
        <v>4247</v>
      </c>
      <c r="G1335" s="2" t="s">
        <v>4272</v>
      </c>
      <c r="H1335" s="1">
        <v>9.0</v>
      </c>
      <c r="I1335" s="1" t="s">
        <v>33</v>
      </c>
      <c r="J1335" s="1" t="s">
        <v>11</v>
      </c>
      <c r="K1335" s="2" t="s">
        <v>4273</v>
      </c>
      <c r="L1335" s="2" t="s">
        <v>4274</v>
      </c>
      <c r="M1335" s="2" t="str">
        <f>IFERROR(__xludf.DUMMYFUNCTION("split(split(K1335,""松下奈緒　"",false),""公式LINE"",false)"),"優梨子(松下奈緒)はデザイナーの鳥谷秋彦(高橋一生)からの電話で、直接会って話したいことがあると言われる。恭一(井ノ原快彦)は、鳥谷に契約を断られたことで新商品開発のチーフから外されていた。家では仕事の話をしない恭一を励ますため、夕食に好物を作り続ける優梨子。  　ある日、「ガテマラ」に恵太郎(船越英一郎)が送ったメールを見た、リフォーム会社の若い営業マン・椎名(尾上寛之)が訪ねてきた。椎名は店を見回すと、これまでの例をあげながらリフォームのアイデアを出す。さらに、モニターになればリフォーム金額の7割を会"&amp;"社が負担すると言い出した。優梨子は、呼び出されて鳥谷の事務所にやってきた。鳥谷は優梨子の夫とは知らずに恭一に対する愚痴をこぼし、そして…。  　リフォームモニターの審査を受けることになり、椎名が作業員を連れて「ガテマラ」にやって来た。床下検査の結果、水道管やガス管の痛みが激しいことがわかり、補修工事を勧められた。リフォームモニターになれば補修工事額よりもはるかに多額の割引が受けられることもあり、迷う恵太郎。そんな中、仕事帰りの研二(要潤)は、喫茶店でポツンと時間をつぶしている恭一を見かけた。")</f>
        <v>優梨子(松下奈緒)はデザイナーの鳥谷秋彦(高橋一生)からの電話で、直接会って話したいことがあると言われる。恭一(井ノ原快彦)は、鳥谷に契約を断られたことで新商品開発のチーフから外されていた。家では仕事の話をしない恭一を励ますため、夕食に好物を作り続ける優梨子。  　ある日、「ガテマラ」に恵太郎(船越英一郎)が送ったメールを見た、リフォーム会社の若い営業マン・椎名(尾上寛之)が訪ねてきた。椎名は店を見回すと、これまでの例をあげながらリフォームのアイデアを出す。さらに、モニターになればリフォーム金額の7割を会社が負担すると言い出した。優梨子は、呼び出されて鳥谷の事務所にやってきた。鳥谷は優梨子の夫とは知らずに恭一に対する愚痴をこぼし、そして…。  　リフォームモニターの審査を受けることになり、椎名が作業員を連れて「ガテマラ」にやって来た。床下検査の結果、水道管やガス管の痛みが激しいことがわかり、補修工事を勧められた。リフォームモニターになれば補修工事額よりもはるかに多額の割引が受けられることもあり、迷う恵太郎。そんな中、仕事帰りの研二(要潤)は、喫茶店でポツンと時間をつぶしている恭一を見かけた。</v>
      </c>
      <c r="N1335" s="2"/>
      <c r="O1335" s="2"/>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row>
    <row r="1336" ht="204.75" customHeight="1">
      <c r="A1336" s="1">
        <v>4072.0</v>
      </c>
      <c r="B1336" s="2" t="s">
        <v>4246</v>
      </c>
      <c r="C1336" s="2">
        <f>IFERROR(__xludf.DUMMYFUNCTION("split(B1336,""_"")"),1201.0)</f>
        <v>1201</v>
      </c>
      <c r="D1336" s="2" t="str">
        <f>IFERROR(__xludf.DUMMYFUNCTION("""COMPUTED_VALUE"""),"CX")</f>
        <v>CX</v>
      </c>
      <c r="E1336" s="2" t="str">
        <f>IFERROR(__xludf.DUMMYFUNCTION("""COMPUTED_VALUE"""),"日21")</f>
        <v>日21</v>
      </c>
      <c r="F1336" s="2" t="s">
        <v>4247</v>
      </c>
      <c r="G1336" s="2" t="s">
        <v>4275</v>
      </c>
      <c r="H1336" s="1">
        <v>10.0</v>
      </c>
      <c r="I1336" s="1" t="s">
        <v>37</v>
      </c>
      <c r="J1336" s="1" t="s">
        <v>11</v>
      </c>
      <c r="K1336" s="2" t="s">
        <v>4276</v>
      </c>
      <c r="L1336" s="2" t="s">
        <v>4277</v>
      </c>
      <c r="M1336" s="2" t="str">
        <f>IFERROR(__xludf.DUMMYFUNCTION("split(split(K1336,""松下奈緒　"",false),""公式LINE"",false)"),"優梨子(松下奈緒)が家を出て行った。恭一(井ノ原快彦)は、優梨子の実家や知り合いに連絡をとってみるがどこにもいない。研二(要潤)や馨(中丸雄一)や優三(森永悠希)も心配するが、恭一の様子もおかしく、不安を募らせる。その頃、優梨子は…。  　ある日、ガテマラにリフォーム詐欺を仕掛けた椎名(尾上寛之)がヤクザ風の男たちを引き連れて集金にやってきた。優三から連絡を受け恭一が駆けつけると、男たちと恵太郎(船越英一郎)と研二と馨が対峙していた。恭一はすぐに50万円を渡し、これで引き取るように冷静に訴える。椎名が札を"&amp;"数え始めるが、研二はすぐさま封筒を取り返した。それでも封筒を渡そうとする恭一と取り返そうとする研二はケンカになるが、椎名は封筒を手にそそくさと出て行った。お金を渡したことを責める研二に、恭一は根に持たれる方が怖いと訴えるが、お金を払ったことで恵太郎が本当に詐欺にあったことになるという研二の言葉にハッとする。さらに優梨子との出来事に触れ、普段ガマンしているから最悪の言葉を最悪のタイミングで言うことになると言われた恭一は、兄弟の前では逆ギレしながらもすっかり落ち込む。  　それぞれの方法で優梨子を探す早海家の"&amp;"兄弟たち。そんな中、優梨子の携帯に陽子(古手川祐子)からの着信があり、2人で会うことになる。一方、早海家には優梨子がいなくなったことを聞いた金井満智子(かとうかず子)が訪ねて来て…。")</f>
        <v>優梨子(松下奈緒)が家を出て行った。恭一(井ノ原快彦)は、優梨子の実家や知り合いに連絡をとってみるがどこにもいない。研二(要潤)や馨(中丸雄一)や優三(森永悠希)も心配するが、恭一の様子もおかしく、不安を募らせる。その頃、優梨子は…。  　ある日、ガテマラにリフォーム詐欺を仕掛けた椎名(尾上寛之)がヤクザ風の男たちを引き連れて集金にやってきた。優三から連絡を受け恭一が駆けつけると、男たちと恵太郎(船越英一郎)と研二と馨が対峙していた。恭一はすぐに50万円を渡し、これで引き取るように冷静に訴える。椎名が札を数え始めるが、研二はすぐさま封筒を取り返した。それでも封筒を渡そうとする恭一と取り返そうとする研二はケンカになるが、椎名は封筒を手にそそくさと出て行った。お金を渡したことを責める研二に、恭一は根に持たれる方が怖いと訴えるが、お金を払ったことで恵太郎が本当に詐欺にあったことになるという研二の言葉にハッとする。さらに優梨子との出来事に触れ、普段ガマンしているから最悪の言葉を最悪のタイミングで言うことになると言われた恭一は、兄弟の前では逆ギレしながらもすっかり落ち込む。  　それぞれの方法で優梨子を探す早海家の兄弟たち。そんな中、優梨子の携帯に陽子(古手川祐子)からの着信があり、2人で会うことになる。一方、早海家には優梨子がいなくなったことを聞いた金井満智子(かとうかず子)が訪ねて来て…。</v>
      </c>
      <c r="N1336" s="2"/>
      <c r="O1336" s="2"/>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row>
    <row r="1337" ht="204.75" customHeight="1">
      <c r="A1337" s="1">
        <v>4081.0</v>
      </c>
      <c r="B1337" s="2" t="s">
        <v>4278</v>
      </c>
      <c r="C1337" s="2">
        <f>IFERROR(__xludf.DUMMYFUNCTION("split(B1337,""_"")"),1110.0)</f>
        <v>1110</v>
      </c>
      <c r="D1337" s="2" t="str">
        <f>IFERROR(__xludf.DUMMYFUNCTION("""COMPUTED_VALUE"""),"CX")</f>
        <v>CX</v>
      </c>
      <c r="E1337" s="2" t="str">
        <f>IFERROR(__xludf.DUMMYFUNCTION("""COMPUTED_VALUE"""),"月21")</f>
        <v>月21</v>
      </c>
      <c r="F1337" s="2" t="s">
        <v>4279</v>
      </c>
      <c r="G1337" s="2" t="s">
        <v>4280</v>
      </c>
      <c r="H1337" s="1">
        <v>1.0</v>
      </c>
      <c r="I1337" s="1" t="s">
        <v>3</v>
      </c>
      <c r="J1337" s="1" t="s">
        <v>4</v>
      </c>
      <c r="K1337" s="4" t="s">
        <v>4281</v>
      </c>
      <c r="L1337" s="2" t="s">
        <v>4282</v>
      </c>
      <c r="M1337" s="2" t="str">
        <f>IFERROR(__xludf.DUMMYFUNCTION("split(split(K1337,""香里奈　"",false),""公式LINE"",false)"),"藤井恵美(香里奈)は、恋人がいない27歳の独身女性。男性ばかりのイベント照明会社に勤める恵美は、上司に完全に男扱いされているものの、あまり物事にこだわらないサバサバした性格で、まったく気にしていなかった。  　恵美と同じ高校で、演劇部の後輩でもある小倉咲(吉高由里子)は、不況のあおりを受け就職活動に失敗したが、家族には、大手出版社に就職したとウソをつき、学費と実家への仕送りを工面するために、キャバクラでアルバイトをしていた。明るく華やかで、頭の回転も早い咲は、男性からもてたが、実は本気で恋をしたことがなか"&amp;"った。  　演劇部の同窓会で再会した恵美と咲は、ひとり暮らしのさみしさから解放される上、部屋のランクを上げても家賃の節約ができる、という理由から、ルームシェアをすることにする。言い出しっぺの咲は、2人だともめたときにマズイので、もうひとり誰かを探すと言い出す。そこで声をかけたのが、恵美たちの後輩でもある半沢真子(大島優子)だった。裕福な家庭に生まれた真子は、真面目でしっかり者の女性。派遣社員として働いている真子は、現在、派遣先の社員・木崎俊哉(中村竜)に激しく片思い中でもあった。  　そんな折、アメリカで"&amp;"照明の仕事を勉強していた恵美の同僚・長谷川優(田中圭)が帰国する。実は優は、わずか2週間で恵美のことを振った元彼でもあった。同じころ、咲は、恵美や真子のために合コンを企画する…。")</f>
        <v>藤井恵美(香里奈)は、恋人がいない27歳の独身女性。男性ばかりのイベント照明会社に勤める恵美は、上司に完全に男扱いされているものの、あまり物事にこだわらないサバサバした性格で、まったく気にしていなかった。  　恵美と同じ高校で、演劇部の後輩でもある小倉咲(吉高由里子)は、不況のあおりを受け就職活動に失敗したが、家族には、大手出版社に就職したとウソをつき、学費と実家への仕送りを工面するために、キャバクラでアルバイトをしていた。明るく華やかで、頭の回転も早い咲は、男性からもてたが、実は本気で恋をしたことがなかった。  　演劇部の同窓会で再会した恵美と咲は、ひとり暮らしのさみしさから解放される上、部屋のランクを上げても家賃の節約ができる、という理由から、ルームシェアをすることにする。言い出しっぺの咲は、2人だともめたときにマズイので、もうひとり誰かを探すと言い出す。そこで声をかけたのが、恵美たちの後輩でもある半沢真子(大島優子)だった。裕福な家庭に生まれた真子は、真面目でしっかり者の女性。派遣社員として働いている真子は、現在、派遣先の社員・木崎俊哉(中村竜)に激しく片思い中でもあった。  　そんな折、アメリカで照明の仕事を勉強していた恵美の同僚・長谷川優(田中圭)が帰国する。実は優は、わずか2週間で恵美のことを振った元彼でもあった。同じころ、咲は、恵美や真子のために合コンを企画する…。</v>
      </c>
      <c r="N1337" s="2"/>
      <c r="O1337" s="2"/>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row>
    <row r="1338" ht="204.75" customHeight="1">
      <c r="A1338" s="1">
        <v>4082.0</v>
      </c>
      <c r="B1338" s="2" t="s">
        <v>4278</v>
      </c>
      <c r="C1338" s="2">
        <f>IFERROR(__xludf.DUMMYFUNCTION("split(B1338,""_"")"),1110.0)</f>
        <v>1110</v>
      </c>
      <c r="D1338" s="2" t="str">
        <f>IFERROR(__xludf.DUMMYFUNCTION("""COMPUTED_VALUE"""),"CX")</f>
        <v>CX</v>
      </c>
      <c r="E1338" s="2" t="str">
        <f>IFERROR(__xludf.DUMMYFUNCTION("""COMPUTED_VALUE"""),"月21")</f>
        <v>月21</v>
      </c>
      <c r="F1338" s="2" t="s">
        <v>4279</v>
      </c>
      <c r="G1338" s="2" t="s">
        <v>4283</v>
      </c>
      <c r="H1338" s="1">
        <v>2.0</v>
      </c>
      <c r="I1338" s="1" t="s">
        <v>7</v>
      </c>
      <c r="J1338" s="1" t="s">
        <v>11</v>
      </c>
      <c r="K1338" s="2" t="s">
        <v>4284</v>
      </c>
      <c r="L1338" s="2" t="s">
        <v>4285</v>
      </c>
      <c r="M1338" s="2" t="str">
        <f>IFERROR(__xludf.DUMMYFUNCTION("split(split(K1338,""香里奈　"",false),""公式LINE"",false)"),"藤井恵美(香里奈)は、誕生日の日に元カレでもある同僚の長谷川優(田中圭)から呼び出される。だがそれは、恵美の誕生日を祝うためではなく、前田ひかり(倉科カナ)との結婚を報告するためだった。帰宅した恵美は、同居人の小倉咲(吉高由里子)と半沢真子(大島優子)にその経緯をサラッと報告すると、すぐに部屋に入ってしまう。咲たちは、そんな恵美のことを心配していた。　真子は、木崎俊哉(中村竜)のマンションから逃げ帰ってしまったせいで、彼と目を合わせることができないでいた。避けられていることを感じた木崎も、真子のことを気に"&amp;"しているようだった。  　一方、咲は、ある出版社の二次試験を受ける。白石拓海(萩原聖人)から借りたまま返しそびれてしまったボールペンで試験を受けた咲は、確かな手応えを感じていた。  　ライティングワークスは、ホテルで開催されるハロウィン・イベントに向けて準備を始めていた。仲間たちと飲んだ帰り、優と一緒に帰った恵美は、彼が、結婚話を焦って進めようとしているひかりに対して不満を持っていることを知る。別の日、恵美は、ホテルの図面を届けにやってきたひかりから、優の気持ちがわからない、と打ち明けられる。恵美は、そん"&amp;"なひかりに、口には出さなくても優は結婚のことをちゃんと考えているはずだから信じてあげてほしい、と助言するが…。")</f>
        <v>藤井恵美(香里奈)は、誕生日の日に元カレでもある同僚の長谷川優(田中圭)から呼び出される。だがそれは、恵美の誕生日を祝うためではなく、前田ひかり(倉科カナ)との結婚を報告するためだった。帰宅した恵美は、同居人の小倉咲(吉高由里子)と半沢真子(大島優子)にその経緯をサラッと報告すると、すぐに部屋に入ってしまう。咲たちは、そんな恵美のことを心配していた。　真子は、木崎俊哉(中村竜)のマンションから逃げ帰ってしまったせいで、彼と目を合わせることができないでいた。避けられていることを感じた木崎も、真子のことを気にしているようだった。  　一方、咲は、ある出版社の二次試験を受ける。白石拓海(萩原聖人)から借りたまま返しそびれてしまったボールペンで試験を受けた咲は、確かな手応えを感じていた。  　ライティングワークスは、ホテルで開催されるハロウィン・イベントに向けて準備を始めていた。仲間たちと飲んだ帰り、優と一緒に帰った恵美は、彼が、結婚話を焦って進めようとしているひかりに対して不満を持っていることを知る。別の日、恵美は、ホテルの図面を届けにやってきたひかりから、優の気持ちがわからない、と打ち明けられる。恵美は、そんなひかりに、口には出さなくても優は結婚のことをちゃんと考えているはずだから信じてあげてほしい、と助言するが…。</v>
      </c>
      <c r="N1338" s="2"/>
      <c r="O1338" s="2"/>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row>
    <row r="1339" ht="204.75" customHeight="1">
      <c r="A1339" s="1">
        <v>4083.0</v>
      </c>
      <c r="B1339" s="2" t="s">
        <v>4278</v>
      </c>
      <c r="C1339" s="2">
        <f>IFERROR(__xludf.DUMMYFUNCTION("split(B1339,""_"")"),1110.0)</f>
        <v>1110</v>
      </c>
      <c r="D1339" s="2" t="str">
        <f>IFERROR(__xludf.DUMMYFUNCTION("""COMPUTED_VALUE"""),"CX")</f>
        <v>CX</v>
      </c>
      <c r="E1339" s="2" t="str">
        <f>IFERROR(__xludf.DUMMYFUNCTION("""COMPUTED_VALUE"""),"月21")</f>
        <v>月21</v>
      </c>
      <c r="F1339" s="2" t="s">
        <v>4279</v>
      </c>
      <c r="G1339" s="2" t="s">
        <v>4286</v>
      </c>
      <c r="H1339" s="1">
        <v>3.0</v>
      </c>
      <c r="I1339" s="1" t="s">
        <v>10</v>
      </c>
      <c r="J1339" s="1" t="s">
        <v>11</v>
      </c>
      <c r="K1339" s="2" t="s">
        <v>4287</v>
      </c>
      <c r="L1339" s="2" t="s">
        <v>4288</v>
      </c>
      <c r="M1339" s="2" t="str">
        <f>IFERROR(__xludf.DUMMYFUNCTION("split(split(K1339,""香里奈　"",false),""公式LINE"",false)"),"ハロウィンイベントの打ち合わせでホテルを訪れていた藤井恵美(香里奈)は、長谷川優(田中圭)と婚約しているはずの前田ひかり(倉科カナ)が、別の男性と見合いをしているところを目撃する。  　半沢真子(大島優子)は、木崎俊哉(中村竜)に手作りのお弁当を渡そうとしたが、「重い」と言われて受け取ってもらえず、落ち込んでいた。真子は、“重い女""を卒業しようと決意し、『軽やかな女になるための10カ条』なる特集記事が掲載されている雑誌を買ってくる。  　一方、小倉咲(吉高由里子)は、山波出版の採用試験をクリアし、役員面"&amp;"接までこぎつける。咲は、それを白石拓海(萩原聖人)に報告しようと彼の携帯電話に電話し、留守電を残した。そのとき自宅にいた拓海は、妻の美鈴(稲森いずみ)から、子どもがほしいと言われ困惑していた。  　ある日、恵美は、優に誘われて、ハロウィンイベントで使う大きなカボチャを探しに行く。その際、恵美は、優がひかりの父親からあまり良く思われていないらしいことを知る。恵美と優は、カボチャを積み込んで会社に戻った。するとそこに、ひかりがやってくる。ひかりは、何故両親に会ってくれないのか、結婚のことを皆に内緒にしているの"&amp;"か、と優を責めた。その会話を偶然聞いてしまった恵美は、男らしく皆の前で結婚のことを発表したらどうかと優を励ますが…。")</f>
        <v>ハロウィンイベントの打ち合わせでホテルを訪れていた藤井恵美(香里奈)は、長谷川優(田中圭)と婚約しているはずの前田ひかり(倉科カナ)が、別の男性と見合いをしているところを目撃する。  　半沢真子(大島優子)は、木崎俊哉(中村竜)に手作りのお弁当を渡そうとしたが、「重い」と言われて受け取ってもらえず、落ち込んでいた。真子は、“重い女"を卒業しようと決意し、『軽やかな女になるための10カ条』なる特集記事が掲載されている雑誌を買ってくる。  　一方、小倉咲(吉高由里子)は、山波出版の採用試験をクリアし、役員面接までこぎつける。咲は、それを白石拓海(萩原聖人)に報告しようと彼の携帯電話に電話し、留守電を残した。そのとき自宅にいた拓海は、妻の美鈴(稲森いずみ)から、子どもがほしいと言われ困惑していた。  　ある日、恵美は、優に誘われて、ハロウィンイベントで使う大きなカボチャを探しに行く。その際、恵美は、優がひかりの父親からあまり良く思われていないらしいことを知る。恵美と優は、カボチャを積み込んで会社に戻った。するとそこに、ひかりがやってくる。ひかりは、何故両親に会ってくれないのか、結婚のことを皆に内緒にしているのか、と優を責めた。その会話を偶然聞いてしまった恵美は、男らしく皆の前で結婚のことを発表したらどうかと優を励ますが…。</v>
      </c>
      <c r="N1339" s="2"/>
      <c r="O1339" s="2"/>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row>
    <row r="1340" ht="204.75" customHeight="1">
      <c r="A1340" s="1">
        <v>4084.0</v>
      </c>
      <c r="B1340" s="2" t="s">
        <v>4278</v>
      </c>
      <c r="C1340" s="2">
        <f>IFERROR(__xludf.DUMMYFUNCTION("split(B1340,""_"")"),1110.0)</f>
        <v>1110</v>
      </c>
      <c r="D1340" s="2" t="str">
        <f>IFERROR(__xludf.DUMMYFUNCTION("""COMPUTED_VALUE"""),"CX")</f>
        <v>CX</v>
      </c>
      <c r="E1340" s="2" t="str">
        <f>IFERROR(__xludf.DUMMYFUNCTION("""COMPUTED_VALUE"""),"月21")</f>
        <v>月21</v>
      </c>
      <c r="F1340" s="2" t="s">
        <v>4279</v>
      </c>
      <c r="G1340" s="2" t="s">
        <v>4289</v>
      </c>
      <c r="H1340" s="1">
        <v>4.0</v>
      </c>
      <c r="I1340" s="1" t="s">
        <v>14</v>
      </c>
      <c r="J1340" s="1" t="s">
        <v>11</v>
      </c>
      <c r="K1340" s="2" t="s">
        <v>4290</v>
      </c>
      <c r="L1340" s="2" t="s">
        <v>4291</v>
      </c>
      <c r="M1340" s="2" t="str">
        <f>IFERROR(__xludf.DUMMYFUNCTION("split(split(K1340,""香里奈　"",false),""公式LINE"",false)"),"恵美(香里奈)と咲(吉高由里子)は、後輩の真子(大島優子)が失恋したことを知る。真子は、憧れの男性だった木崎(中村竜)が、妹の桃子(剛力彩芽)とホテルに行ったことを知り、ショックを受けていた。咲は、失恋の傷をいやす一番の薬は新しい恋だ、と言って真子を励ました。  　あくる日、恵美のもとに、武居大介(小柳友)という男性から連絡が入る。武居は、恵美たちが照明を手がけたイベントに参加していた男だ。恵美は、武居から食事に誘われたが、それを断る。恵美から武居の話を聞いた咲は、すぐにメールをするよう助言した。が、恵美"&amp;"が戸惑っていると、彼女の携帯電話を奪い取って勝手に武居にメールを送ってしまう。  　同じころ、真子は、木崎の同僚でもある山本(平岡祐太)に誘われ、飲みに出かけていた。真子が木崎のことを好きだと気づいていた山本は、木崎は女グセが悪いからやめたほうがいい、と告げた。そんな折、恵美は、武居からデートに誘われる。武居の勢いに押されて思わずOKしてしまった恵美は、咲や真子に激励されてデートに出かけた。その際、恵美たちは、同じくデート中だった優(田中圭)とひかり(倉科カナ)に偶然出会ってしまい…。")</f>
        <v>恵美(香里奈)と咲(吉高由里子)は、後輩の真子(大島優子)が失恋したことを知る。真子は、憧れの男性だった木崎(中村竜)が、妹の桃子(剛力彩芽)とホテルに行ったことを知り、ショックを受けていた。咲は、失恋の傷をいやす一番の薬は新しい恋だ、と言って真子を励ました。  　あくる日、恵美のもとに、武居大介(小柳友)という男性から連絡が入る。武居は、恵美たちが照明を手がけたイベントに参加していた男だ。恵美は、武居から食事に誘われたが、それを断る。恵美から武居の話を聞いた咲は、すぐにメールをするよう助言した。が、恵美が戸惑っていると、彼女の携帯電話を奪い取って勝手に武居にメールを送ってしまう。  　同じころ、真子は、木崎の同僚でもある山本(平岡祐太)に誘われ、飲みに出かけていた。真子が木崎のことを好きだと気づいていた山本は、木崎は女グセが悪いからやめたほうがいい、と告げた。そんな折、恵美は、武居からデートに誘われる。武居の勢いに押されて思わずOKしてしまった恵美は、咲や真子に激励されてデートに出かけた。その際、恵美たちは、同じくデート中だった優(田中圭)とひかり(倉科カナ)に偶然出会ってしまい…。</v>
      </c>
      <c r="N1340" s="2"/>
      <c r="O1340" s="2"/>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row>
    <row r="1341" ht="204.75" customHeight="1">
      <c r="A1341" s="1">
        <v>4085.0</v>
      </c>
      <c r="B1341" s="2" t="s">
        <v>4278</v>
      </c>
      <c r="C1341" s="2">
        <f>IFERROR(__xludf.DUMMYFUNCTION("split(B1341,""_"")"),1110.0)</f>
        <v>1110</v>
      </c>
      <c r="D1341" s="2" t="str">
        <f>IFERROR(__xludf.DUMMYFUNCTION("""COMPUTED_VALUE"""),"CX")</f>
        <v>CX</v>
      </c>
      <c r="E1341" s="2" t="str">
        <f>IFERROR(__xludf.DUMMYFUNCTION("""COMPUTED_VALUE"""),"月21")</f>
        <v>月21</v>
      </c>
      <c r="F1341" s="2" t="s">
        <v>4279</v>
      </c>
      <c r="G1341" s="2" t="s">
        <v>4292</v>
      </c>
      <c r="H1341" s="1">
        <v>5.0</v>
      </c>
      <c r="I1341" s="1" t="s">
        <v>17</v>
      </c>
      <c r="J1341" s="1" t="s">
        <v>11</v>
      </c>
      <c r="K1341" s="2" t="s">
        <v>4293</v>
      </c>
      <c r="L1341" s="2" t="s">
        <v>4294</v>
      </c>
      <c r="M1341" s="2" t="str">
        <f>IFERROR(__xludf.DUMMYFUNCTION("split(split(K1341,""香里奈　"",false),""公式LINE"",false)"),"藤井恵美(香里奈)が勤務する「ライティングワークス」では、田村淳一(勝村政信)、高橋健太(中尾明慶)を中心に、バーベキューに行く計画で盛り上がっていた。社長の白石拓海(萩原聖人)や、妻の美鈴(稲森いずみ)も呼んで、皆で盛り上がろうという雰囲気のなか、高橋の余計な一言から、恵美は最近知り合った武居大介(小柳友)を呼ばざるを得ない状況になる。  　恵美に好意を寄せる武居は、即答でOK。小倉咲(吉高由里子)は、不慣れなアウトドアに難色を示すものの、まだ見ぬ美鈴の旦那を見たいという動機で、バーベキューに参加するこ"&amp;"とを決意。半沢真子(大島優子)は、参加したかったものの、付き合い始めたばかりの山本正(平岡祐太)からの誘いのため断念する。  　バーベキューの当日、キャンプ場では、結婚目前の長谷川優(田中圭)と前田ひかり(倉科カナ)が、仲良く作業をしている。その様子に、自然と視線を送ってしまう恵美。その様子に気付いてか、武居は恵美を釣りに誘う。アウトドアが趣味の武居に手ほどきを受けながら釣りをする恵美は自然と笑顔になる。  　美鈴の旦那を目当てに参加していた咲は、遅れてきた拓海と衝撃の出会いを果たす。お互いに、目があった"&amp;"まま動けない2人。ぎこちなくあいさつを交わすものの、咲は「急用を思い出した」と言い、その場から逃げるように立ち去る。  　そのころ、恵美は優から、想定もしていなかった事実を告げられる。")</f>
        <v>藤井恵美(香里奈)が勤務する「ライティングワークス」では、田村淳一(勝村政信)、高橋健太(中尾明慶)を中心に、バーベキューに行く計画で盛り上がっていた。社長の白石拓海(萩原聖人)や、妻の美鈴(稲森いずみ)も呼んで、皆で盛り上がろうという雰囲気のなか、高橋の余計な一言から、恵美は最近知り合った武居大介(小柳友)を呼ばざるを得ない状況になる。  　恵美に好意を寄せる武居は、即答でOK。小倉咲(吉高由里子)は、不慣れなアウトドアに難色を示すものの、まだ見ぬ美鈴の旦那を見たいという動機で、バーベキューに参加することを決意。半沢真子(大島優子)は、参加したかったものの、付き合い始めたばかりの山本正(平岡祐太)からの誘いのため断念する。  　バーベキューの当日、キャンプ場では、結婚目前の長谷川優(田中圭)と前田ひかり(倉科カナ)が、仲良く作業をしている。その様子に、自然と視線を送ってしまう恵美。その様子に気付いてか、武居は恵美を釣りに誘う。アウトドアが趣味の武居に手ほどきを受けながら釣りをする恵美は自然と笑顔になる。  　美鈴の旦那を目当てに参加していた咲は、遅れてきた拓海と衝撃の出会いを果たす。お互いに、目があったまま動けない2人。ぎこちなくあいさつを交わすものの、咲は「急用を思い出した」と言い、その場から逃げるように立ち去る。  　そのころ、恵美は優から、想定もしていなかった事実を告げられる。</v>
      </c>
      <c r="N1341" s="2"/>
      <c r="O1341" s="2"/>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row>
    <row r="1342" ht="204.75" customHeight="1">
      <c r="A1342" s="1">
        <v>4086.0</v>
      </c>
      <c r="B1342" s="2" t="s">
        <v>4278</v>
      </c>
      <c r="C1342" s="2">
        <f>IFERROR(__xludf.DUMMYFUNCTION("split(B1342,""_"")"),1110.0)</f>
        <v>1110</v>
      </c>
      <c r="D1342" s="2" t="str">
        <f>IFERROR(__xludf.DUMMYFUNCTION("""COMPUTED_VALUE"""),"CX")</f>
        <v>CX</v>
      </c>
      <c r="E1342" s="2" t="str">
        <f>IFERROR(__xludf.DUMMYFUNCTION("""COMPUTED_VALUE"""),"月21")</f>
        <v>月21</v>
      </c>
      <c r="F1342" s="2" t="s">
        <v>4279</v>
      </c>
      <c r="G1342" s="2" t="s">
        <v>4295</v>
      </c>
      <c r="H1342" s="1">
        <v>6.0</v>
      </c>
      <c r="I1342" s="1" t="s">
        <v>21</v>
      </c>
      <c r="J1342" s="1" t="s">
        <v>11</v>
      </c>
      <c r="K1342" s="2" t="s">
        <v>4296</v>
      </c>
      <c r="L1342" s="2" t="s">
        <v>4297</v>
      </c>
      <c r="M1342" s="2" t="str">
        <f>IFERROR(__xludf.DUMMYFUNCTION("split(split(K1342,""香里奈　"",false),""公式LINE"",false)"),"「ワールドカップバレー2011男子日本×アルゼンチン」延長の際、放送時間繰り下げの場合あり。　付き合い始めた藤井恵美(香里奈)と武居大介(小柳友)は、スポーツジムでデートするなど、順調な様子。小倉咲(吉高由里子)、半沢真子(大島優子)からは冷やかされるが、恵美本人には恋をしている自覚がない。  　長谷川優(田中圭)は、前田ひかり(倉科カナ)の父(佐々木勝彦)のお見舞いに行った際に言われた「あなたとひかりの結婚を許すわけにはいきません」という言葉に大きなショックを受けていた。お見合いの話が進んでいるというひ"&amp;"かりを、自分が苦しめているのではないかと悩む優。ひかりとの関係も、悪い方向に転がりだしていく。  　そんな優の様子をいち早く察したのは恵美。何かあったのかと心配する恵美に、「心配無用」と強がる優は、逆に「(武居と)幸せになれよ」と恵美を励ます。いつもの調子でふざけあう2人。その様子を見ていた武居は、自分といる時には見たことのない恵美の表情に戸惑いを覚える。  　子供を作りたいと願う美鈴(稲森いずみ)は、婦人科を訪ねる。そこで医師から、夫である白石拓海(萩原聖人)の検査を勧められる。拓海は急な話に困惑するも"&amp;"、渋々検査を受けることを了承する。  　武居は、恵美を自分の剣道の試合に誘う。恵美は応援席で武居の妹・美奈子(疋田英美)と出会う。美奈子から、武居の思いを聞く恵美。照れながらも、うれしい気持ちになる。しかし、そんな状況を一変させる電話が恵美のもとにかかってくる・・・。")</f>
        <v>「ワールドカップバレー2011男子日本×アルゼンチン」延長の際、放送時間繰り下げの場合あり。　付き合い始めた藤井恵美(香里奈)と武居大介(小柳友)は、スポーツジムでデートするなど、順調な様子。小倉咲(吉高由里子)、半沢真子(大島優子)からは冷やかされるが、恵美本人には恋をしている自覚がない。  　長谷川優(田中圭)は、前田ひかり(倉科カナ)の父(佐々木勝彦)のお見舞いに行った際に言われた「あなたとひかりの結婚を許すわけにはいきません」という言葉に大きなショックを受けていた。お見合いの話が進んでいるというひかりを、自分が苦しめているのではないかと悩む優。ひかりとの関係も、悪い方向に転がりだしていく。  　そんな優の様子をいち早く察したのは恵美。何かあったのかと心配する恵美に、「心配無用」と強がる優は、逆に「(武居と)幸せになれよ」と恵美を励ます。いつもの調子でふざけあう2人。その様子を見ていた武居は、自分といる時には見たことのない恵美の表情に戸惑いを覚える。  　子供を作りたいと願う美鈴(稲森いずみ)は、婦人科を訪ねる。そこで医師から、夫である白石拓海(萩原聖人)の検査を勧められる。拓海は急な話に困惑するも、渋々検査を受けることを了承する。  　武居は、恵美を自分の剣道の試合に誘う。恵美は応援席で武居の妹・美奈子(疋田英美)と出会う。美奈子から、武居の思いを聞く恵美。照れながらも、うれしい気持ちになる。しかし、そんな状況を一変させる電話が恵美のもとにかかってくる・・・。</v>
      </c>
      <c r="N1342" s="2"/>
      <c r="O1342" s="2"/>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row>
    <row r="1343" ht="204.75" customHeight="1">
      <c r="A1343" s="1">
        <v>4087.0</v>
      </c>
      <c r="B1343" s="2" t="s">
        <v>4278</v>
      </c>
      <c r="C1343" s="2">
        <f>IFERROR(__xludf.DUMMYFUNCTION("split(B1343,""_"")"),1110.0)</f>
        <v>1110</v>
      </c>
      <c r="D1343" s="2" t="str">
        <f>IFERROR(__xludf.DUMMYFUNCTION("""COMPUTED_VALUE"""),"CX")</f>
        <v>CX</v>
      </c>
      <c r="E1343" s="2" t="str">
        <f>IFERROR(__xludf.DUMMYFUNCTION("""COMPUTED_VALUE"""),"月21")</f>
        <v>月21</v>
      </c>
      <c r="F1343" s="2" t="s">
        <v>4279</v>
      </c>
      <c r="G1343" s="2" t="s">
        <v>4298</v>
      </c>
      <c r="H1343" s="1">
        <v>7.0</v>
      </c>
      <c r="I1343" s="1" t="s">
        <v>25</v>
      </c>
      <c r="J1343" s="1" t="s">
        <v>11</v>
      </c>
      <c r="K1343" s="2" t="s">
        <v>4299</v>
      </c>
      <c r="L1343" s="2" t="s">
        <v>4300</v>
      </c>
      <c r="M1343" s="2" t="str">
        <f>IFERROR(__xludf.DUMMYFUNCTION("split(split(K1343,""香里奈　"",false),""公式LINE"",false)"),"「ワールドカップバレー2011男子　日本×中国」延長の際、放送時間繰り下げの場合あり。　順調に付き合い始めたかに見えた藤井恵美(香里奈)と武居大介(小柳友)だったが、恵美のために優勝すると意気込んでいた武居の剣道の試合中、恵美は長谷川優(田中圭)のことが心配で会場を飛び出してしまった。その様子を目にしてしまった武居は、試合に敗れてしまう。  　翌日、武居は「僕では(恵美の)一番になれそうにない」として、恵美に別れを提案する。立ち去る武居を、引き止めることができない恵美。　一方、小倉咲(吉高由里子)は、白石"&amp;"拓海(萩原聖人)が美鈴(稲森いずみ)の夫だと知ってからも、拓海に会い続けていた。常々、「不倫はしない」と言っていた咲だが、自分でも説明のつかない拓海への想いに自身混乱していた。  　半沢真子(大島優子)は、言われもない社内の噂によって、契約を切られ、さらには木崎俊哉(中村竜)との仲を執拗に疑う山本正(平岡祐太)からも、別れを告げられてしまった。どん底の真子は、得意の料理を作る気にもなれないほど落ち込む。  　付き合っていた男性と別れた恵美と真子であったが、恵美には新しい仕事で、真子には偶然立ち寄ったレスト"&amp;"ランで、それぞれ新しい出会いが待っていた。そして、拓海への想いを断ち切れない咲には、衝撃的な展開が待っていた・・・。")</f>
        <v>「ワールドカップバレー2011男子　日本×中国」延長の際、放送時間繰り下げの場合あり。　順調に付き合い始めたかに見えた藤井恵美(香里奈)と武居大介(小柳友)だったが、恵美のために優勝すると意気込んでいた武居の剣道の試合中、恵美は長谷川優(田中圭)のことが心配で会場を飛び出してしまった。その様子を目にしてしまった武居は、試合に敗れてしまう。  　翌日、武居は「僕では(恵美の)一番になれそうにない」として、恵美に別れを提案する。立ち去る武居を、引き止めることができない恵美。　一方、小倉咲(吉高由里子)は、白石拓海(萩原聖人)が美鈴(稲森いずみ)の夫だと知ってからも、拓海に会い続けていた。常々、「不倫はしない」と言っていた咲だが、自分でも説明のつかない拓海への想いに自身混乱していた。  　半沢真子(大島優子)は、言われもない社内の噂によって、契約を切られ、さらには木崎俊哉(中村竜)との仲を執拗に疑う山本正(平岡祐太)からも、別れを告げられてしまった。どん底の真子は、得意の料理を作る気にもなれないほど落ち込む。  　付き合っていた男性と別れた恵美と真子であったが、恵美には新しい仕事で、真子には偶然立ち寄ったレストランで、それぞれ新しい出会いが待っていた。そして、拓海への想いを断ち切れない咲には、衝撃的な展開が待っていた・・・。</v>
      </c>
      <c r="N1343" s="2"/>
      <c r="O1343" s="2"/>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row>
    <row r="1344" ht="204.75" customHeight="1">
      <c r="A1344" s="1">
        <v>4088.0</v>
      </c>
      <c r="B1344" s="2" t="s">
        <v>4278</v>
      </c>
      <c r="C1344" s="2">
        <f>IFERROR(__xludf.DUMMYFUNCTION("split(B1344,""_"")"),1110.0)</f>
        <v>1110</v>
      </c>
      <c r="D1344" s="2" t="str">
        <f>IFERROR(__xludf.DUMMYFUNCTION("""COMPUTED_VALUE"""),"CX")</f>
        <v>CX</v>
      </c>
      <c r="E1344" s="2" t="str">
        <f>IFERROR(__xludf.DUMMYFUNCTION("""COMPUTED_VALUE"""),"月21")</f>
        <v>月21</v>
      </c>
      <c r="F1344" s="2" t="s">
        <v>4279</v>
      </c>
      <c r="G1344" s="2" t="s">
        <v>4301</v>
      </c>
      <c r="H1344" s="1">
        <v>8.0</v>
      </c>
      <c r="I1344" s="1" t="s">
        <v>29</v>
      </c>
      <c r="J1344" s="1" t="s">
        <v>11</v>
      </c>
      <c r="K1344" s="2" t="s">
        <v>4302</v>
      </c>
      <c r="L1344" s="2" t="s">
        <v>4303</v>
      </c>
      <c r="M1344" s="2" t="str">
        <f>IFERROR(__xludf.DUMMYFUNCTION("split(split(K1344,""香里奈　"",false),""公式LINE"",false)"),"藤井恵美(香里奈)は、社長の白石拓海(萩原聖人)から、新しいライブの仕事のチーフを任せられることになった。その仕事を共同で行うスターライツとの打ち合わせで、恵美は野口進(永井大)と出会う。野口は、以前に恵美と仕事をした時のことを覚えていて、恵美の照明に対するセンスを褒める。素直にうれしい恵美。  　白石美鈴(稲森いずみ)に、拓海と2人で会っていたことを気付かれてしまった小倉咲(吉高由里子)は、それでも拓海への思いを捨て去ることができずにいた。混乱している自分に整理をつけるために実家に帰った咲。しかし、とあ"&amp;"るアクシデントによって、キャバクラでバイトをしていたことが、母・由美子(根岸季衣)と姉・すみれ(松岡恵望子)にバレてしまう。  　半沢真子(大島優子)は山本正(平岡祐太)とのことで傷ついた際に、立ち寄ったビストロを再度訪ねる。店の料理に救われたと考え、その味を身に付けたいと、客としてではなく雇ってもらうためだった。根性のある男しか雇わないと突っぱねる榎本信司(青柳翔)だったが、真子の熱意に折れる。  　恵美は、野口との打ち合わせをかさねていく中で、「藤井さんのような優秀な人材に、来てほしい」と、引き抜きの"&amp;"相談を持ちかけられる。しかし、ライティングワークスへの恩義、仲間、そして長谷川優(田中圭)のことが気になり、思い悩むことに。そして、恵美は優から思いも寄らぬ相談を持ちかけられる…。")</f>
        <v>藤井恵美(香里奈)は、社長の白石拓海(萩原聖人)から、新しいライブの仕事のチーフを任せられることになった。その仕事を共同で行うスターライツとの打ち合わせで、恵美は野口進(永井大)と出会う。野口は、以前に恵美と仕事をした時のことを覚えていて、恵美の照明に対するセンスを褒める。素直にうれしい恵美。  　白石美鈴(稲森いずみ)に、拓海と2人で会っていたことを気付かれてしまった小倉咲(吉高由里子)は、それでも拓海への思いを捨て去ることができずにいた。混乱している自分に整理をつけるために実家に帰った咲。しかし、とあるアクシデントによって、キャバクラでバイトをしていたことが、母・由美子(根岸季衣)と姉・すみれ(松岡恵望子)にバレてしまう。  　半沢真子(大島優子)は山本正(平岡祐太)とのことで傷ついた際に、立ち寄ったビストロを再度訪ねる。店の料理に救われたと考え、その味を身に付けたいと、客としてではなく雇ってもらうためだった。根性のある男しか雇わないと突っぱねる榎本信司(青柳翔)だったが、真子の熱意に折れる。  　恵美は、野口との打ち合わせをかさねていく中で、「藤井さんのような優秀な人材に、来てほしい」と、引き抜きの相談を持ちかけられる。しかし、ライティングワークスへの恩義、仲間、そして長谷川優(田中圭)のことが気になり、思い悩むことに。そして、恵美は優から思いも寄らぬ相談を持ちかけられる…。</v>
      </c>
      <c r="N1344" s="2"/>
      <c r="O1344" s="2"/>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row>
    <row r="1345" ht="204.75" customHeight="1">
      <c r="A1345" s="1">
        <v>4089.0</v>
      </c>
      <c r="B1345" s="2" t="s">
        <v>4278</v>
      </c>
      <c r="C1345" s="2">
        <f>IFERROR(__xludf.DUMMYFUNCTION("split(B1345,""_"")"),1110.0)</f>
        <v>1110</v>
      </c>
      <c r="D1345" s="2" t="str">
        <f>IFERROR(__xludf.DUMMYFUNCTION("""COMPUTED_VALUE"""),"CX")</f>
        <v>CX</v>
      </c>
      <c r="E1345" s="2" t="str">
        <f>IFERROR(__xludf.DUMMYFUNCTION("""COMPUTED_VALUE"""),"月21")</f>
        <v>月21</v>
      </c>
      <c r="F1345" s="2" t="s">
        <v>4279</v>
      </c>
      <c r="G1345" s="2" t="s">
        <v>4304</v>
      </c>
      <c r="H1345" s="1">
        <v>9.0</v>
      </c>
      <c r="I1345" s="1" t="s">
        <v>33</v>
      </c>
      <c r="J1345" s="1" t="s">
        <v>11</v>
      </c>
      <c r="K1345" s="2" t="s">
        <v>4305</v>
      </c>
      <c r="L1345" s="2" t="s">
        <v>4306</v>
      </c>
      <c r="M1345" s="2" t="str">
        <f>IFERROR(__xludf.DUMMYFUNCTION("split(split(K1345,""香里奈　"",false),""公式LINE"",false)"),"藤井恵美(香里奈)は、長谷川優(田中圭)から「一緒にアメリカに行かないか?」と誘われる。優は、昔の仲間に誘われ、アメリカで照明の仕事をすることを決心したという。突然の話に驚く恵美は何も言えない。  　小倉咲(吉高由里子)は、白石拓海(萩原聖人)に一緒に暮らしたいと話そうと、いつものバス停で待ち合わせをしたが、拓海は現れなかった。そのショックを引きずるまいと、今まで勤めていたキャバクラを辞め、新たに出版社でのバイトを始めるべく面接に向かう。後日、咲は恵美から拓海が待ち合わせに来なかったのは、拓海の妻・美鈴("&amp;"稲森いずみ)が、過労で具合が悪くなったためだと聞かされる。美鈴が体調を崩したのは自分のせいかもしれないとショックを受ける咲。恵美からも「もうやめておいたほうがいい」とアドバイスをされる。　半沢真子(大島優子)は、山本正(平岡祐太)から「(真子が)妊娠したから会社を辞めたという噂がたっている」と言われたことが気にかかっていた。根も葉もない噂と分かっているものの、妊娠検査薬を手にする真子。しかし、実際に確かめる勇気が出ない。  　初めてチーフを務めたコンサートで成功を収めた恵美。野口進(永井大)から、以前から"&amp;"打診されていた引き抜きの話の結論を問われる。果たして、恵美の出す結論は?")</f>
        <v>藤井恵美(香里奈)は、長谷川優(田中圭)から「一緒にアメリカに行かないか?」と誘われる。優は、昔の仲間に誘われ、アメリカで照明の仕事をすることを決心したという。突然の話に驚く恵美は何も言えない。  　小倉咲(吉高由里子)は、白石拓海(萩原聖人)に一緒に暮らしたいと話そうと、いつものバス停で待ち合わせをしたが、拓海は現れなかった。そのショックを引きずるまいと、今まで勤めていたキャバクラを辞め、新たに出版社でのバイトを始めるべく面接に向かう。後日、咲は恵美から拓海が待ち合わせに来なかったのは、拓海の妻・美鈴(稲森いずみ)が、過労で具合が悪くなったためだと聞かされる。美鈴が体調を崩したのは自分のせいかもしれないとショックを受ける咲。恵美からも「もうやめておいたほうがいい」とアドバイスをされる。　半沢真子(大島優子)は、山本正(平岡祐太)から「(真子が)妊娠したから会社を辞めたという噂がたっている」と言われたことが気にかかっていた。根も葉もない噂と分かっているものの、妊娠検査薬を手にする真子。しかし、実際に確かめる勇気が出ない。  　初めてチーフを務めたコンサートで成功を収めた恵美。野口進(永井大)から、以前から打診されていた引き抜きの話の結論を問われる。果たして、恵美の出す結論は?</v>
      </c>
      <c r="N1345" s="2"/>
      <c r="O1345" s="2"/>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row>
    <row r="1346" ht="204.75" customHeight="1">
      <c r="A1346" s="1">
        <v>4090.0</v>
      </c>
      <c r="B1346" s="2" t="s">
        <v>4278</v>
      </c>
      <c r="C1346" s="2">
        <f>IFERROR(__xludf.DUMMYFUNCTION("split(B1346,""_"")"),1110.0)</f>
        <v>1110</v>
      </c>
      <c r="D1346" s="2" t="str">
        <f>IFERROR(__xludf.DUMMYFUNCTION("""COMPUTED_VALUE"""),"CX")</f>
        <v>CX</v>
      </c>
      <c r="E1346" s="2" t="str">
        <f>IFERROR(__xludf.DUMMYFUNCTION("""COMPUTED_VALUE"""),"月21")</f>
        <v>月21</v>
      </c>
      <c r="F1346" s="2" t="s">
        <v>4279</v>
      </c>
      <c r="G1346" s="2" t="s">
        <v>4307</v>
      </c>
      <c r="H1346" s="1">
        <v>10.0</v>
      </c>
      <c r="I1346" s="1" t="s">
        <v>37</v>
      </c>
      <c r="J1346" s="1" t="s">
        <v>4</v>
      </c>
      <c r="K1346" s="2" t="s">
        <v>4308</v>
      </c>
      <c r="L1346" s="2" t="s">
        <v>4309</v>
      </c>
      <c r="M1346" s="2" t="str">
        <f>IFERROR(__xludf.DUMMYFUNCTION("split(split(K1346,""香里奈　"",false),""公式LINE"",false)"),"藤井恵美(香里奈)は、長谷川優(田中圭)と一緒にアメリカに行くことを決意した。その決断を伝えるために優のもとに駆け寄る恵美だったが、彼の前には、前田ひかり(倉科カナ)が。ひかりは「一緒にアメリカに連れて行って」と優に訴えるが、優は「お前は川端先生(KEIJI)と結婚して幸せになるのが一番いい」と、ひかりを諭す。図らずも、その様子を見てしまった恵美は、優と一緒にアメリカに行くと決めたものの、自分の気持ちを優に押し通して良いのか、悩んでしまう。  　小倉咲(吉高由里子)は、白石美鈴(稲森いずみ)と2人きりで会"&amp;"っていた。咲は、白石拓海(萩原聖人)のことが好きだという自分の素直な気持ちを美鈴に伝えた。美鈴は戸惑いながらも、咲の素直な思いに呼応するように、自分も拓海のことが必要で、離れたくないと咲に心情を吐露する。美鈴と拓海は、お互いがお互いを思い合っていることに気付く咲。  　半沢真子(大島優子)は働いているビストロの閉店後に榎本信司(青柳翔)と、その息子の圭太(西村亮海)と3人でクリスマスツリーの飾り付けをしていた。榎本が優しく圭太に接している様子をほほ笑ましく見守る真子。  　小さな幸せをのぞんでいるだけなの"&amp;"に、相変わらずなかなかうまくいかない。「恋愛できない」恵美、咲、真子。それでも、少しずつ前に進もうと頑張ってきた3人は、最終的に自分の居場所を見つけ、幸せを手にすることができるのか。")</f>
        <v>藤井恵美(香里奈)は、長谷川優(田中圭)と一緒にアメリカに行くことを決意した。その決断を伝えるために優のもとに駆け寄る恵美だったが、彼の前には、前田ひかり(倉科カナ)が。ひかりは「一緒にアメリカに連れて行って」と優に訴えるが、優は「お前は川端先生(KEIJI)と結婚して幸せになるのが一番いい」と、ひかりを諭す。図らずも、その様子を見てしまった恵美は、優と一緒にアメリカに行くと決めたものの、自分の気持ちを優に押し通して良いのか、悩んでしまう。  　小倉咲(吉高由里子)は、白石美鈴(稲森いずみ)と2人きりで会っていた。咲は、白石拓海(萩原聖人)のことが好きだという自分の素直な気持ちを美鈴に伝えた。美鈴は戸惑いながらも、咲の素直な思いに呼応するように、自分も拓海のことが必要で、離れたくないと咲に心情を吐露する。美鈴と拓海は、お互いがお互いを思い合っていることに気付く咲。  　半沢真子(大島優子)は働いているビストロの閉店後に榎本信司(青柳翔)と、その息子の圭太(西村亮海)と3人でクリスマスツリーの飾り付けをしていた。榎本が優しく圭太に接している様子をほほ笑ましく見守る真子。  　小さな幸せをのぞんでいるだけなのに、相変わらずなかなかうまくいかない。「恋愛できない」恵美、咲、真子。それでも、少しずつ前に進もうと頑張ってきた3人は、最終的に自分の居場所を見つけ、幸せを手にすることができるのか。</v>
      </c>
      <c r="N1346" s="2"/>
      <c r="O1346" s="2"/>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row>
    <row r="1347" ht="204.75" customHeight="1">
      <c r="A1347" s="1">
        <v>4091.0</v>
      </c>
      <c r="B1347" s="2" t="s">
        <v>4310</v>
      </c>
      <c r="C1347" s="2">
        <f>IFERROR(__xludf.DUMMYFUNCTION("split(B1347,""_"")"),1110.0)</f>
        <v>1110</v>
      </c>
      <c r="D1347" s="2" t="str">
        <f>IFERROR(__xludf.DUMMYFUNCTION("""COMPUTED_VALUE"""),"CX")</f>
        <v>CX</v>
      </c>
      <c r="E1347" s="2" t="str">
        <f>IFERROR(__xludf.DUMMYFUNCTION("""COMPUTED_VALUE"""),"火21")</f>
        <v>火21</v>
      </c>
      <c r="F1347" s="2" t="s">
        <v>4311</v>
      </c>
      <c r="G1347" s="2" t="s">
        <v>4312</v>
      </c>
      <c r="H1347" s="1">
        <v>1.0</v>
      </c>
      <c r="I1347" s="1" t="s">
        <v>3</v>
      </c>
      <c r="J1347" s="1" t="s">
        <v>4</v>
      </c>
      <c r="K1347" s="4" t="s">
        <v>4313</v>
      </c>
      <c r="L1347" s="2" t="s">
        <v>4314</v>
      </c>
      <c r="M1347" s="2" t="str">
        <f>IFERROR(__xludf.DUMMYFUNCTION("split(split(K1347,""影山:　"",false),""公式LINE"",false)"),"大財閥「宝生グループ」を束ねる宝生家に、1人の男がやって来た。男の名は影山(櫻井翔)。影山は長年、宝生家の1人娘・麗子(北川景子)に仕えた唐沢(伊東四朗)の後任の執事となる。  　そのころ、麗子は事件現場にいた。麗子は身分を隠し、国立署の刑事として働いている。一方、麗子の上司、風祭京一郎警部(椎名桔平)は目立ちたがり屋。麗子と違い、自分が風祭モータースの御曹司であることを隠さない。　事件の被害者は吉本瞳(木南晴夏)という派遣社員。コーポの自室で首を絞められて殺害されたようだが、この遺体は何かがおかしい。被"&amp;"害者はブーツを履いたまま、部屋の中で殺されていたのだ。違和感を覚える麗子に先んじるように、風祭は同じ疑問をとうとうと述べ始めたが、その推理は稚拙なもの。麗子は、厚顔無恥な風祭がウザったくて仕方がない。  　風祭と別れた麗子が、いら立ちを込めてキックした石が高級リムジンにあたってしまった。すると降りてきた男が、「お嬢様」と麗子に頭を下げた。男は執事の影山。麗子を迎えに来たのだ。  　どんなに優秀な執事も、令嬢である麗子にとっては当たり前の存在である…はずだった。  　それは、突然ディナーのときにやってきた。"&amp;"  　昼間に起きた事件のあらましを誰にとはなしに話す麗子。しかし、それを聞いた影山が突然、こう言ったのだ。  　「失礼ですがお嬢様。お嬢様はアホでいらっしゃいますか?」と…。")</f>
        <v>大財閥「宝生グループ」を束ねる宝生家に、1人の男がやって来た。男の名は影山(櫻井翔)。影山は長年、宝生家の1人娘・麗子(北川景子)に仕えた唐沢(伊東四朗)の後任の執事となる。  　そのころ、麗子は事件現場にいた。麗子は身分を隠し、国立署の刑事として働いている。一方、麗子の上司、風祭京一郎警部(椎名桔平)は目立ちたがり屋。麗子と違い、自分が風祭モータースの御曹司であることを隠さない。　事件の被害者は吉本瞳(木南晴夏)という派遣社員。コーポの自室で首を絞められて殺害されたようだが、この遺体は何かがおかしい。被害者はブーツを履いたまま、部屋の中で殺されていたのだ。違和感を覚える麗子に先んじるように、風祭は同じ疑問をとうとうと述べ始めたが、その推理は稚拙なもの。麗子は、厚顔無恥な風祭がウザったくて仕方がない。  　風祭と別れた麗子が、いら立ちを込めてキックした石が高級リムジンにあたってしまった。すると降りてきた男が、「お嬢様」と麗子に頭を下げた。男は執事の影山。麗子を迎えに来たのだ。  　どんなに優秀な執事も、令嬢である麗子にとっては当たり前の存在である…はずだった。  　それは、突然ディナーのときにやってきた。  　昼間に起きた事件のあらましを誰にとはなしに話す麗子。しかし、それを聞いた影山が突然、こう言ったのだ。  　「失礼ですがお嬢様。お嬢様はアホでいらっしゃいますか?」と…。</v>
      </c>
      <c r="N1347" s="2"/>
      <c r="O1347" s="2"/>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row>
    <row r="1348" ht="204.75" customHeight="1">
      <c r="A1348" s="1">
        <v>4092.0</v>
      </c>
      <c r="B1348" s="2" t="s">
        <v>4310</v>
      </c>
      <c r="C1348" s="2">
        <f>IFERROR(__xludf.DUMMYFUNCTION("split(B1348,""_"")"),1110.0)</f>
        <v>1110</v>
      </c>
      <c r="D1348" s="2" t="str">
        <f>IFERROR(__xludf.DUMMYFUNCTION("""COMPUTED_VALUE"""),"CX")</f>
        <v>CX</v>
      </c>
      <c r="E1348" s="2" t="str">
        <f>IFERROR(__xludf.DUMMYFUNCTION("""COMPUTED_VALUE"""),"火21")</f>
        <v>火21</v>
      </c>
      <c r="F1348" s="2" t="s">
        <v>4311</v>
      </c>
      <c r="G1348" s="2" t="s">
        <v>4315</v>
      </c>
      <c r="H1348" s="1">
        <v>2.0</v>
      </c>
      <c r="I1348" s="1" t="s">
        <v>7</v>
      </c>
      <c r="J1348" s="1" t="s">
        <v>11</v>
      </c>
      <c r="K1348" s="2" t="s">
        <v>4316</v>
      </c>
      <c r="L1348" s="2" t="s">
        <v>4317</v>
      </c>
      <c r="M1348" s="2" t="str">
        <f>IFERROR(__xludf.DUMMYFUNCTION("split(split(K1348,""影山:　"",false),""公式LINE"",false)"),"影山(櫻井翔)が控えるダイニングに、ご機嫌な麗子(北川景子)がやって来る。麗子の機嫌の良さは、目覚まし時計が鳴る前に起きたこと。すると影山は真夜中に停電が起き、その間コンセントに差し込むタイプの目覚まし時計が止まっていたことを麗子に教える。その話から麗子は早起きをしたのではなく、寝坊したことがわかる。  　慌てて警察署に向かう麗子の携帯電話に風祭京一郎警部(椎名桔平)から連絡。若林動物病院への直行を命じられる。  　現場では病院長の辰夫(大和田伸也)が死んでいた。死体のそばには、ワインボトルとグラス。グラ"&amp;"スからは毒物が検出されたが、ボトルからは発見されなかったため、風祭は辰夫の自殺と推測する。  　その夜、麗子は影山に事件の詳細を話し始める。辰夫が死んだ時、家には4人の家族がいた。辰夫の弟、輝夫(飯田基祐)、長男の圭一(ムロツヨシ)、春絵(阿南敦子)夫婦、次男の修二(姜暢雄)。辰夫と家政婦の藤代雅美(春木みさよ)の再婚について家族会議が開かれた。家族から反対された辰夫は行きつけのスナックへ行き、ママ(釈由美子)の前で涙を見せたという。さらに、若林家向かいの家に住む少年から辰夫の部屋に火の玉を見たという証言"&amp;"や、死体の第一発見者、藤代の話も伝える。  　ともあれ、麗子と風祭は辰夫の死因を自殺とした。影山は、それは大問題だとポツリ。  　「失礼ですがお嬢様。お嬢様の目は節穴でございますか?」")</f>
        <v>影山(櫻井翔)が控えるダイニングに、ご機嫌な麗子(北川景子)がやって来る。麗子の機嫌の良さは、目覚まし時計が鳴る前に起きたこと。すると影山は真夜中に停電が起き、その間コンセントに差し込むタイプの目覚まし時計が止まっていたことを麗子に教える。その話から麗子は早起きをしたのではなく、寝坊したことがわかる。  　慌てて警察署に向かう麗子の携帯電話に風祭京一郎警部(椎名桔平)から連絡。若林動物病院への直行を命じられる。  　現場では病院長の辰夫(大和田伸也)が死んでいた。死体のそばには、ワインボトルとグラス。グラスからは毒物が検出されたが、ボトルからは発見されなかったため、風祭は辰夫の自殺と推測する。  　その夜、麗子は影山に事件の詳細を話し始める。辰夫が死んだ時、家には4人の家族がいた。辰夫の弟、輝夫(飯田基祐)、長男の圭一(ムロツヨシ)、春絵(阿南敦子)夫婦、次男の修二(姜暢雄)。辰夫と家政婦の藤代雅美(春木みさよ)の再婚について家族会議が開かれた。家族から反対された辰夫は行きつけのスナックへ行き、ママ(釈由美子)の前で涙を見せたという。さらに、若林家向かいの家に住む少年から辰夫の部屋に火の玉を見たという証言や、死体の第一発見者、藤代の話も伝える。  　ともあれ、麗子と風祭は辰夫の死因を自殺とした。影山は、それは大問題だとポツリ。  　「失礼ですがお嬢様。お嬢様の目は節穴でございますか?」</v>
      </c>
      <c r="N1348" s="2"/>
      <c r="O1348" s="2"/>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row>
    <row r="1349" ht="204.75" customHeight="1">
      <c r="A1349" s="1">
        <v>4093.0</v>
      </c>
      <c r="B1349" s="2" t="s">
        <v>4310</v>
      </c>
      <c r="C1349" s="2">
        <f>IFERROR(__xludf.DUMMYFUNCTION("split(B1349,""_"")"),1110.0)</f>
        <v>1110</v>
      </c>
      <c r="D1349" s="2" t="str">
        <f>IFERROR(__xludf.DUMMYFUNCTION("""COMPUTED_VALUE"""),"CX")</f>
        <v>CX</v>
      </c>
      <c r="E1349" s="2" t="str">
        <f>IFERROR(__xludf.DUMMYFUNCTION("""COMPUTED_VALUE"""),"火21")</f>
        <v>火21</v>
      </c>
      <c r="F1349" s="2" t="s">
        <v>4311</v>
      </c>
      <c r="G1349" s="2" t="s">
        <v>4318</v>
      </c>
      <c r="H1349" s="1">
        <v>3.0</v>
      </c>
      <c r="I1349" s="1" t="s">
        <v>10</v>
      </c>
      <c r="J1349" s="1" t="s">
        <v>11</v>
      </c>
      <c r="K1349" s="2" t="s">
        <v>4319</v>
      </c>
      <c r="L1349" s="2" t="s">
        <v>4320</v>
      </c>
      <c r="M1349" s="2" t="str">
        <f>IFERROR(__xludf.DUMMYFUNCTION("split(split(K1349,""影山:　"",false),""公式LINE"",false)"),"影山(櫻井翔)は、日曜日の朝から事件現場に向かう宝生麗子(北川景子)のリムジンを運転。せっかくの日曜日なのにと麗子は少しおかんむり。  　この日、麗子が例によって上司の風祭京一郎警部(椎名桔平)と担当したのは現役国会議員、野崎伸一(水橋研二)の殺害事件。野崎は定宿としているホテルの部屋で側頭部を殴られ、死んでいた。死体はなぜか、麗子も赤面のパンツ一丁。野崎が最近、大物政治家の闇献金疑惑を追及していたことから、風祭は永田町の巨大な陰謀が絡んでいると息巻く。  　例によって、風祭とともに一通りの事情聴取を影山"&amp;"に見守られながら終えた麗子。屋敷に戻ると例によって、影山に聴取の詳細を話す。そこで判明したのが野崎は殺される直前、女性ばかりに電話をかけていたこと。そして、ホテルのボーイとボディーガードからも貴重な情報を得ていた。野崎の死亡推定時刻後、ボーイは部屋から出てくる身長180センチほどの人物を目撃。ボディーガードは、死亡推定時刻前に部屋へと入る身長160センチぐらいの人物を見ていた。  　あらましを聞いた影山に、いつものように解決を頼ろうとしてしまう麗子。それを見透かしたかのように、影山はつれない態度をとる。怒"&amp;"った麗子は、今回は素人推理では歯が立たないと影山を挑発。すると…。  　「失礼ながらお嬢様。やはりしばらくの間引っ込んでおいてもらえますか?」。影山がひもとく事件の真相とは?")</f>
        <v>影山(櫻井翔)は、日曜日の朝から事件現場に向かう宝生麗子(北川景子)のリムジンを運転。せっかくの日曜日なのにと麗子は少しおかんむり。  　この日、麗子が例によって上司の風祭京一郎警部(椎名桔平)と担当したのは現役国会議員、野崎伸一(水橋研二)の殺害事件。野崎は定宿としているホテルの部屋で側頭部を殴られ、死んでいた。死体はなぜか、麗子も赤面のパンツ一丁。野崎が最近、大物政治家の闇献金疑惑を追及していたことから、風祭は永田町の巨大な陰謀が絡んでいると息巻く。  　例によって、風祭とともに一通りの事情聴取を影山に見守られながら終えた麗子。屋敷に戻ると例によって、影山に聴取の詳細を話す。そこで判明したのが野崎は殺される直前、女性ばかりに電話をかけていたこと。そして、ホテルのボーイとボディーガードからも貴重な情報を得ていた。野崎の死亡推定時刻後、ボーイは部屋から出てくる身長180センチほどの人物を目撃。ボディーガードは、死亡推定時刻前に部屋へと入る身長160センチぐらいの人物を見ていた。  　あらましを聞いた影山に、いつものように解決を頼ろうとしてしまう麗子。それを見透かしたかのように、影山はつれない態度をとる。怒った麗子は、今回は素人推理では歯が立たないと影山を挑発。すると…。  　「失礼ながらお嬢様。やはりしばらくの間引っ込んでおいてもらえますか?」。影山がひもとく事件の真相とは?</v>
      </c>
      <c r="N1349" s="2"/>
      <c r="O1349" s="2"/>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row>
    <row r="1350" ht="204.75" customHeight="1">
      <c r="A1350" s="1">
        <v>4094.0</v>
      </c>
      <c r="B1350" s="2" t="s">
        <v>4310</v>
      </c>
      <c r="C1350" s="2">
        <f>IFERROR(__xludf.DUMMYFUNCTION("split(B1350,""_"")"),1110.0)</f>
        <v>1110</v>
      </c>
      <c r="D1350" s="2" t="str">
        <f>IFERROR(__xludf.DUMMYFUNCTION("""COMPUTED_VALUE"""),"CX")</f>
        <v>CX</v>
      </c>
      <c r="E1350" s="2" t="str">
        <f>IFERROR(__xludf.DUMMYFUNCTION("""COMPUTED_VALUE"""),"火21")</f>
        <v>火21</v>
      </c>
      <c r="F1350" s="2" t="s">
        <v>4311</v>
      </c>
      <c r="G1350" s="2" t="s">
        <v>4321</v>
      </c>
      <c r="H1350" s="1">
        <v>4.0</v>
      </c>
      <c r="I1350" s="1" t="s">
        <v>14</v>
      </c>
      <c r="J1350" s="1" t="s">
        <v>11</v>
      </c>
      <c r="K1350" s="2" t="s">
        <v>4322</v>
      </c>
      <c r="L1350" s="8" t="s">
        <v>4323</v>
      </c>
      <c r="M1350" s="2" t="str">
        <f>IFERROR(__xludf.DUMMYFUNCTION("split(split(K1350,""影山:　"",false),""公式LINE"",false)"),"「ワールドカップバレーボール2011　女子　日本×アルジェリア」延長の際、放送時間繰り下げの場合あり。　影山(櫻井翔)は、友人の沢村有里(小林涼子)の結婚パーティーに招かれた宝生麗子(北川景子)のお供。沢村家の屋敷で行われるパーティーには風祭京一郎警部(椎名桔平)も招かれていた。しかし、風祭はメガネを外したお嬢様姿の麗子が自分の部下だと気付くこともなく、恋をしてしまう始末。  　有里の結婚相手、細山照也(湯江健幸)は花嫁よりずいぶん年上。麗子がこのギャップに疑問を感じていると有里の弟、佑介(若葉竜也)が妹"&amp;"、美幸(村崎真彩)の制止も聞かず、沢村家の財産目当てだと話しかけてきた。佑介によると、もともとこの屋敷は西園寺家のものだったが没落してしまい、琴江(手塚理美)という老齢の当主では維持できず、遠い親戚である有里の母親、孝子(栗田よう子)に援助を求めてきた。細山は西園寺家の財産狙いで顧問弁護士をしていたが、金がないと分かると沢村家に近づき、有里との結婚までこぎつけたと佑介は続けた。　パーティーの最中、有里の部屋から悲鳴が。屋敷の執事、吉田(森本レオ)が合鍵でドアを開けると背中にナイフが刺さった有里が倒れていた"&amp;"。幸い命に別状はなかったのだが…。麗子は未だに部下だと気付かない風祭の迷推理で容疑者とされてしまう。    　「失礼ながらお嬢様、このまま逮捕あそばされ、少々反省していただけますか?」  　主人のピンチに影山が毒舌とともに解く謎とは?")</f>
        <v>「ワールドカップバレーボール2011　女子　日本×アルジェリア」延長の際、放送時間繰り下げの場合あり。　影山(櫻井翔)は、友人の沢村有里(小林涼子)の結婚パーティーに招かれた宝生麗子(北川景子)のお供。沢村家の屋敷で行われるパーティーには風祭京一郎警部(椎名桔平)も招かれていた。しかし、風祭はメガネを外したお嬢様姿の麗子が自分の部下だと気付くこともなく、恋をしてしまう始末。  　有里の結婚相手、細山照也(湯江健幸)は花嫁よりずいぶん年上。麗子がこのギャップに疑問を感じていると有里の弟、佑介(若葉竜也)が妹、美幸(村崎真彩)の制止も聞かず、沢村家の財産目当てだと話しかけてきた。佑介によると、もともとこの屋敷は西園寺家のものだったが没落してしまい、琴江(手塚理美)という老齢の当主では維持できず、遠い親戚である有里の母親、孝子(栗田よう子)に援助を求めてきた。細山は西園寺家の財産狙いで顧問弁護士をしていたが、金がないと分かると沢村家に近づき、有里との結婚までこぎつけたと佑介は続けた。　パーティーの最中、有里の部屋から悲鳴が。屋敷の執事、吉田(森本レオ)が合鍵でドアを開けると背中にナイフが刺さった有里が倒れていた。幸い命に別状はなかったのだが…。麗子は未だに部下だと気付かない風祭の迷推理で容疑者とされてしまう。    　「失礼ながらお嬢様、このまま逮捕あそばされ、少々反省していただけますか?」  　主人のピンチに影山が毒舌とともに解く謎とは?</v>
      </c>
      <c r="N1350" s="2"/>
      <c r="O1350" s="2"/>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row>
    <row r="1351" ht="204.75" customHeight="1">
      <c r="A1351" s="1">
        <v>4095.0</v>
      </c>
      <c r="B1351" s="2" t="s">
        <v>4310</v>
      </c>
      <c r="C1351" s="2">
        <f>IFERROR(__xludf.DUMMYFUNCTION("split(B1351,""_"")"),1110.0)</f>
        <v>1110</v>
      </c>
      <c r="D1351" s="2" t="str">
        <f>IFERROR(__xludf.DUMMYFUNCTION("""COMPUTED_VALUE"""),"CX")</f>
        <v>CX</v>
      </c>
      <c r="E1351" s="2" t="str">
        <f>IFERROR(__xludf.DUMMYFUNCTION("""COMPUTED_VALUE"""),"火21")</f>
        <v>火21</v>
      </c>
      <c r="F1351" s="2" t="s">
        <v>4311</v>
      </c>
      <c r="G1351" s="2" t="s">
        <v>4324</v>
      </c>
      <c r="H1351" s="1">
        <v>5.0</v>
      </c>
      <c r="I1351" s="1" t="s">
        <v>17</v>
      </c>
      <c r="J1351" s="1" t="s">
        <v>11</v>
      </c>
      <c r="K1351" s="2" t="s">
        <v>4325</v>
      </c>
      <c r="L1351" s="8" t="s">
        <v>4326</v>
      </c>
      <c r="M1351" s="2" t="str">
        <f>IFERROR(__xludf.DUMMYFUNCTION("split(split(K1351,""影山:　"",false),""公式LINE"",false)"),"「野球道～日本シリーズ　第3戦　中日×福岡ソフトバンク」延長の際、放送時間繰り下げの場合あり。　早朝、影山(櫻井翔)の部屋に主人の宝生麗子(北川景子)が入ってくる。影山はマンガ「国立ち日記」に夢中になりすぎるあまり、麗子の鳴らす呼び鈴に気がつかなかったのだ。殺人事件が発生した現場に送るよう頼まれた影山はついつい読みかけの「国立ち日記」を持っていこうとして、麗子にたしなめられる。  　事件現場の国立神社では身元不明の女性が刃物で胸を刺され亡くなっていて、所持品は何一つ残っていなかった。　例によって、風祭(椎"&amp;"名桔平)とともに一通りの事情聴取を影山に見守られながら終えた麗子。屋敷に戻ると例によって、影山に聴取の詳細を話す。そこで判明したのが被害者は菅野由美(マイコ)という女性で「国立ち日記」の原作者であること。また昨夜、作画担当である江崎建夫(中村俊介)と疑われる二枚目風の優男が裏の通りで女性もののバッグを持って走り去る姿が目撃されていたこと、江崎と由美はもともとは恋人同士だったが12年前に別れ、最近も最終回を目前に大げんかをしていたことなどがわかり、さらには犯行時刻も絞られた。が、江崎には犯行時間帯に完ぺきな"&amp;"アリバイがあった。    　影山は江崎の証言に奇妙な点を感じなかったかと麗子に聞くが、麗子は具体的で矛盾点もなかったと答える。  　「お嬢様は相変わらずアホでいらっしゃいますね。いい意味で」。  　烈火のごとく怒る麗子をなだめながら影山は江崎のアリバイを崩してゆくのだが…。")</f>
        <v>「野球道～日本シリーズ　第3戦　中日×福岡ソフトバンク」延長の際、放送時間繰り下げの場合あり。　早朝、影山(櫻井翔)の部屋に主人の宝生麗子(北川景子)が入ってくる。影山はマンガ「国立ち日記」に夢中になりすぎるあまり、麗子の鳴らす呼び鈴に気がつかなかったのだ。殺人事件が発生した現場に送るよう頼まれた影山はついつい読みかけの「国立ち日記」を持っていこうとして、麗子にたしなめられる。  　事件現場の国立神社では身元不明の女性が刃物で胸を刺され亡くなっていて、所持品は何一つ残っていなかった。　例によって、風祭(椎名桔平)とともに一通りの事情聴取を影山に見守られながら終えた麗子。屋敷に戻ると例によって、影山に聴取の詳細を話す。そこで判明したのが被害者は菅野由美(マイコ)という女性で「国立ち日記」の原作者であること。また昨夜、作画担当である江崎建夫(中村俊介)と疑われる二枚目風の優男が裏の通りで女性もののバッグを持って走り去る姿が目撃されていたこと、江崎と由美はもともとは恋人同士だったが12年前に別れ、最近も最終回を目前に大げんかをしていたことなどがわかり、さらには犯行時刻も絞られた。が、江崎には犯行時間帯に完ぺきなアリバイがあった。    　影山は江崎の証言に奇妙な点を感じなかったかと麗子に聞くが、麗子は具体的で矛盾点もなかったと答える。  　「お嬢様は相変わらずアホでいらっしゃいますね。いい意味で」。  　烈火のごとく怒る麗子をなだめながら影山は江崎のアリバイを崩してゆくのだが…。</v>
      </c>
      <c r="N1351" s="2"/>
      <c r="O1351" s="2"/>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row>
    <row r="1352" ht="204.75" customHeight="1">
      <c r="A1352" s="1">
        <v>4096.0</v>
      </c>
      <c r="B1352" s="2" t="s">
        <v>4310</v>
      </c>
      <c r="C1352" s="2">
        <f>IFERROR(__xludf.DUMMYFUNCTION("split(B1352,""_"")"),1110.0)</f>
        <v>1110</v>
      </c>
      <c r="D1352" s="2" t="str">
        <f>IFERROR(__xludf.DUMMYFUNCTION("""COMPUTED_VALUE"""),"CX")</f>
        <v>CX</v>
      </c>
      <c r="E1352" s="2" t="str">
        <f>IFERROR(__xludf.DUMMYFUNCTION("""COMPUTED_VALUE"""),"火21")</f>
        <v>火21</v>
      </c>
      <c r="F1352" s="2" t="s">
        <v>4311</v>
      </c>
      <c r="G1352" s="2" t="s">
        <v>4327</v>
      </c>
      <c r="H1352" s="1">
        <v>6.0</v>
      </c>
      <c r="I1352" s="1" t="s">
        <v>21</v>
      </c>
      <c r="J1352" s="1" t="s">
        <v>11</v>
      </c>
      <c r="K1352" s="2" t="s">
        <v>4328</v>
      </c>
      <c r="L1352" s="8" t="s">
        <v>4329</v>
      </c>
      <c r="M1352" s="2" t="str">
        <f>IFERROR(__xludf.DUMMYFUNCTION("split(split(K1352,""影山:　"",false),""公式LINE"",false)"),"「ワールドカップバレー2011男子　日本×キューバ」延長の際、放送時間繰り下げの場合あり。　朝食時、いつものように優雅にミルクをサーブする影山(櫻井翔)。ただその相手は宝生麗子(北川景子)ではなく猫だった。迷い猫の面倒を見る影山を「暇ね」とからかう麗子。が、影山は麗子こそ朝から国立署管内で殺人事件が起きたと騒いでいるが、のんびり朝食を食べていていいのかと切り返す。慌てて麗子が携帯電話を確認すると風祭警部(椎名桔平)からの着信履歴が無数に連なっていた。  　事件があったのは藤倉ホテルの創業一族の藤倉家の温室"&amp;"。そのバラ園で高原恭子(山口あゆみ)が殺されていた。恭子は駅前のクラブで働くホステスで、死因は絞殺による窒息死。現場の状況から風祭は国立七不思議の1つ「紅バラの祟り」を麗子に語って聞かせるのだった。  　「紅バラの祟り」とは、かつて藤倉家の長男が、黒川紅子(建みさと)というメイドに恋をした。身分違いの恋に怒った藤倉家の人々は紅子がかわいがっていた黒猫を殺してしまう。失意の紅子がバラ園で自殺。以降、このバラ園に携わる者たちに次々と不幸が襲いかかったというものだった。    　国立七不思議の謎を解くのが夢だっ"&amp;"た影山に押し切られる形で事情聴取の詳細を話す麗子。  　あらましを聞き終えた影山は、今回の事件は「紅バラの祟り」とは無関係の殺人事件だと断言。犯人の目星がつかない麗子に影山は、「それでもお嬢様はプロの刑事でございますか。ズブの素人よりもレベルが低くていらっしゃいます」と…。")</f>
        <v>「ワールドカップバレー2011男子　日本×キューバ」延長の際、放送時間繰り下げの場合あり。　朝食時、いつものように優雅にミルクをサーブする影山(櫻井翔)。ただその相手は宝生麗子(北川景子)ではなく猫だった。迷い猫の面倒を見る影山を「暇ね」とからかう麗子。が、影山は麗子こそ朝から国立署管内で殺人事件が起きたと騒いでいるが、のんびり朝食を食べていていいのかと切り返す。慌てて麗子が携帯電話を確認すると風祭警部(椎名桔平)からの着信履歴が無数に連なっていた。  　事件があったのは藤倉ホテルの創業一族の藤倉家の温室。そのバラ園で高原恭子(山口あゆみ)が殺されていた。恭子は駅前のクラブで働くホステスで、死因は絞殺による窒息死。現場の状況から風祭は国立七不思議の1つ「紅バラの祟り」を麗子に語って聞かせるのだった。  　「紅バラの祟り」とは、かつて藤倉家の長男が、黒川紅子(建みさと)というメイドに恋をした。身分違いの恋に怒った藤倉家の人々は紅子がかわいがっていた黒猫を殺してしまう。失意の紅子がバラ園で自殺。以降、このバラ園に携わる者たちに次々と不幸が襲いかかったというものだった。    　国立七不思議の謎を解くのが夢だった影山に押し切られる形で事情聴取の詳細を話す麗子。  　あらましを聞き終えた影山は、今回の事件は「紅バラの祟り」とは無関係の殺人事件だと断言。犯人の目星がつかない麗子に影山は、「それでもお嬢様はプロの刑事でございますか。ズブの素人よりもレベルが低くていらっしゃいます」と…。</v>
      </c>
      <c r="N1352" s="2"/>
      <c r="O1352" s="2"/>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row>
    <row r="1353" ht="204.75" customHeight="1">
      <c r="A1353" s="1">
        <v>4097.0</v>
      </c>
      <c r="B1353" s="2" t="s">
        <v>4310</v>
      </c>
      <c r="C1353" s="2">
        <f>IFERROR(__xludf.DUMMYFUNCTION("split(B1353,""_"")"),1110.0)</f>
        <v>1110</v>
      </c>
      <c r="D1353" s="2" t="str">
        <f>IFERROR(__xludf.DUMMYFUNCTION("""COMPUTED_VALUE"""),"CX")</f>
        <v>CX</v>
      </c>
      <c r="E1353" s="2" t="str">
        <f>IFERROR(__xludf.DUMMYFUNCTION("""COMPUTED_VALUE"""),"火21")</f>
        <v>火21</v>
      </c>
      <c r="F1353" s="2" t="s">
        <v>4311</v>
      </c>
      <c r="G1353" s="2" t="s">
        <v>4330</v>
      </c>
      <c r="H1353" s="1">
        <v>7.0</v>
      </c>
      <c r="I1353" s="1" t="s">
        <v>25</v>
      </c>
      <c r="J1353" s="1" t="s">
        <v>4</v>
      </c>
      <c r="K1353" s="2" t="s">
        <v>4331</v>
      </c>
      <c r="L1353" s="8" t="s">
        <v>4332</v>
      </c>
      <c r="M1353" s="2" t="str">
        <f>IFERROR(__xludf.DUMMYFUNCTION("split(split(K1353,""影山:　"",false),""公式LINE"",false)"),"「ワールドカップバレー2011男子　日本×アメリカ」延長の際、放送時間繰り下げの場合あり。　影山(櫻井翔)が部屋に行くと、宝生麗子(北川景子)が妙な形で固まっている。ギックリ腰になってしまったのだ。麗子は休むことを風祭京一郎警部(椎名桔平)に報告する。風祭は事件が起きたとなぜか上機嫌。何やら警視庁広報課から風祭の密着取材が入っていることに浮かれている様子。  　風祭の軽いノリに、麗子は捜査への不安が募る。麗子は捜査の様子をそっと探ってくるよう影山に頼む。すると影山は、すでに手は打ってあるとテレビモニターを"&amp;"麗子に見せると、モニターには風祭たちが映し出される。広報課の密着取材とは、宝生家の力を使って影山が手配した撮影隊だった。  　事件は廃工場の2階を住居に改装した部屋で起きた。浴室で若い女性の死体が発見されたのだ。被害者は神岡美紀(桂亜沙美)。第一発見者は会社の同僚、久保早苗(佐藤めぐみ)。風祭は死体に目立った外傷がないことから、早々と自然死で片付けようとする。だが早苗から、美紀が複数の男に貢がせていたと聞いたことなどから捜査は続行。また、美紀の部屋から帽子がひとつだけ無くなっていた。  　モニターを見てい"&amp;"た麗子は、映像を見るだけの1日ではつまらないと馴染みの帽子屋、藤咲幸太郎(田山涼成)を呼び寄せた。藤咲を交えてのディナーで、麗子は影山に捜査から推測される犯人を挙げるが…。  　「お嬢様は冗談をおっしゃっているのでございますか?」  　影山の毒舌が爆発する!")</f>
        <v>「ワールドカップバレー2011男子　日本×アメリカ」延長の際、放送時間繰り下げの場合あり。　影山(櫻井翔)が部屋に行くと、宝生麗子(北川景子)が妙な形で固まっている。ギックリ腰になってしまったのだ。麗子は休むことを風祭京一郎警部(椎名桔平)に報告する。風祭は事件が起きたとなぜか上機嫌。何やら警視庁広報課から風祭の密着取材が入っていることに浮かれている様子。  　風祭の軽いノリに、麗子は捜査への不安が募る。麗子は捜査の様子をそっと探ってくるよう影山に頼む。すると影山は、すでに手は打ってあるとテレビモニターを麗子に見せると、モニターには風祭たちが映し出される。広報課の密着取材とは、宝生家の力を使って影山が手配した撮影隊だった。  　事件は廃工場の2階を住居に改装した部屋で起きた。浴室で若い女性の死体が発見されたのだ。被害者は神岡美紀(桂亜沙美)。第一発見者は会社の同僚、久保早苗(佐藤めぐみ)。風祭は死体に目立った外傷がないことから、早々と自然死で片付けようとする。だが早苗から、美紀が複数の男に貢がせていたと聞いたことなどから捜査は続行。また、美紀の部屋から帽子がひとつだけ無くなっていた。  　モニターを見ていた麗子は、映像を見るだけの1日ではつまらないと馴染みの帽子屋、藤咲幸太郎(田山涼成)を呼び寄せた。藤咲を交えてのディナーで、麗子は影山に捜査から推測される犯人を挙げるが…。  　「お嬢様は冗談をおっしゃっているのでございますか?」  　影山の毒舌が爆発する!</v>
      </c>
      <c r="N1353" s="2"/>
      <c r="O1353" s="2"/>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row>
    <row r="1354" ht="204.75" customHeight="1">
      <c r="A1354" s="1">
        <v>4098.0</v>
      </c>
      <c r="B1354" s="2" t="s">
        <v>4310</v>
      </c>
      <c r="C1354" s="2">
        <f>IFERROR(__xludf.DUMMYFUNCTION("split(B1354,""_"")"),1110.0)</f>
        <v>1110</v>
      </c>
      <c r="D1354" s="2" t="str">
        <f>IFERROR(__xludf.DUMMYFUNCTION("""COMPUTED_VALUE"""),"CX")</f>
        <v>CX</v>
      </c>
      <c r="E1354" s="2" t="str">
        <f>IFERROR(__xludf.DUMMYFUNCTION("""COMPUTED_VALUE"""),"火21")</f>
        <v>火21</v>
      </c>
      <c r="F1354" s="2" t="s">
        <v>4311</v>
      </c>
      <c r="G1354" s="2" t="s">
        <v>4333</v>
      </c>
      <c r="H1354" s="1">
        <v>8.0</v>
      </c>
      <c r="I1354" s="1" t="s">
        <v>29</v>
      </c>
      <c r="J1354" s="1" t="s">
        <v>11</v>
      </c>
      <c r="K1354" s="2" t="s">
        <v>4334</v>
      </c>
      <c r="L1354" s="2" t="s">
        <v>4335</v>
      </c>
      <c r="M1354" s="2" t="str">
        <f>IFERROR(__xludf.DUMMYFUNCTION("split(split(K1354,""影山:　"",false),""公式LINE"",false)"),"影山(櫻井翔)は宝生麗子(北川景子)をテレビ局まで送る。この日、テレビ局では麗子の先輩で歌舞伎役者、染田松五郎(福士誠治)が主演することになった刑事ドラマの制作発表パーティーが催されるのだ。  　会場には麗子の友人、森雛子(早織)、桐生院綾華(岩佐真悠子)、宮本夏希(森カンナ)、木崎麻衣(平愛梨)も来ていた。華やかなモデルの永瀬千秋(入山法子)や芸能関係者が集っている。なぜか風祭京一郎(椎名桔平)の姿も…。さらに、影山まで会場にいる。  　麗子は友人たちと一緒に、松五郎の姉でありマネジャーの瑞穂(笛木優子"&amp;")に挨拶。そして松五郎の付き人、西山珠樹(浅利陽介)に声をかけられる。麗子の高校時代の同級生だった西山は雛子が松五郎をまだ好きなのかと聞く。実は、高校時代に西山から雛子への想いを聞かされた麗子は、彼女はタマちゃんが好きだと答えていたのだ。タマちゃんとは松五郎の屋号「玉乃屋」からきた松五郎の愛称。また、その頃、麗子は雛子に託されたタマちゃんへのラブレターを松五郎に渡せずにいた。  　話を終え、麗子が西山と会場に戻ろうとすると大きな衝撃音と悲鳴が聞こえる。スタジオで瑞穂がセットの下敷きになっていた。事故として"&amp;"片付けられそうになるが、麗子は影山に助けを求め、事件は解決する。  　だが、その夜のディナーで影山は、  「今回の事件の発端は、他でもないお嬢様にあるのですよ」  と、麗子に突きつけた。")</f>
        <v>影山(櫻井翔)は宝生麗子(北川景子)をテレビ局まで送る。この日、テレビ局では麗子の先輩で歌舞伎役者、染田松五郎(福士誠治)が主演することになった刑事ドラマの制作発表パーティーが催されるのだ。  　会場には麗子の友人、森雛子(早織)、桐生院綾華(岩佐真悠子)、宮本夏希(森カンナ)、木崎麻衣(平愛梨)も来ていた。華やかなモデルの永瀬千秋(入山法子)や芸能関係者が集っている。なぜか風祭京一郎(椎名桔平)の姿も…。さらに、影山まで会場にいる。  　麗子は友人たちと一緒に、松五郎の姉でありマネジャーの瑞穂(笛木優子)に挨拶。そして松五郎の付き人、西山珠樹(浅利陽介)に声をかけられる。麗子の高校時代の同級生だった西山は雛子が松五郎をまだ好きなのかと聞く。実は、高校時代に西山から雛子への想いを聞かされた麗子は、彼女はタマちゃんが好きだと答えていたのだ。タマちゃんとは松五郎の屋号「玉乃屋」からきた松五郎の愛称。また、その頃、麗子は雛子に託されたタマちゃんへのラブレターを松五郎に渡せずにいた。  　話を終え、麗子が西山と会場に戻ろうとすると大きな衝撃音と悲鳴が聞こえる。スタジオで瑞穂がセットの下敷きになっていた。事故として片付けられそうになるが、麗子は影山に助けを求め、事件は解決する。  　だが、その夜のディナーで影山は、  「今回の事件の発端は、他でもないお嬢様にあるのですよ」  と、麗子に突きつけた。</v>
      </c>
      <c r="N1354" s="2"/>
      <c r="O1354" s="2"/>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row>
    <row r="1355" ht="204.75" customHeight="1">
      <c r="A1355" s="1">
        <v>4099.0</v>
      </c>
      <c r="B1355" s="2" t="s">
        <v>4310</v>
      </c>
      <c r="C1355" s="2">
        <f>IFERROR(__xludf.DUMMYFUNCTION("split(B1355,""_"")"),1110.0)</f>
        <v>1110</v>
      </c>
      <c r="D1355" s="2" t="str">
        <f>IFERROR(__xludf.DUMMYFUNCTION("""COMPUTED_VALUE"""),"CX")</f>
        <v>CX</v>
      </c>
      <c r="E1355" s="2" t="str">
        <f>IFERROR(__xludf.DUMMYFUNCTION("""COMPUTED_VALUE"""),"火21")</f>
        <v>火21</v>
      </c>
      <c r="F1355" s="2" t="s">
        <v>4311</v>
      </c>
      <c r="G1355" s="2" t="s">
        <v>4336</v>
      </c>
      <c r="H1355" s="1">
        <v>9.0</v>
      </c>
      <c r="I1355" s="1" t="s">
        <v>33</v>
      </c>
      <c r="J1355" s="1" t="s">
        <v>11</v>
      </c>
      <c r="K1355" s="2" t="s">
        <v>4337</v>
      </c>
      <c r="L1355" s="2" t="s">
        <v>4338</v>
      </c>
      <c r="M1355" s="2" t="str">
        <f>IFERROR(__xludf.DUMMYFUNCTION("split(split(K1355,""影山:　"",false),""公式LINE"",false)"),"影山(櫻井翔)が執事室にいると、宝生麗子(北川景子)が来た。昨夜の呼び出しに応えなかったことを尋ねる麗子に、急用があったと影山。その右手には包帯が巻かれていた。  　麗子は風祭京一郎警部(椎名桔平)から連絡をうける。ミステリー作家、天道静子(高橋ひとみ)宅で殺人事件が起こったのだ。殺害されたのはミステリー作家の剣持留美(上原美佐)。頭を鈍器で殴られたような形跡があり、死亡推定時刻は昨晩深夜0時頃。死体の指先にはXとダイイングメッセージらしきものが書かれている。天道家には昨日、クリスマスパーティーのためと作"&amp;"家たちが泊まっていた。留美、川又宗助(佐戸井けん太)、宮地沙織(三浦理恵子)、立花邦夫(橋本さとし)、国岡二郎(やべけんじ)といったミステリー界を代表する作家たちだ。静子は離れの仕事場にいた。  　招待状の差出人は静子。だが、編集者の佐藤武雄(石黒賢)によると静子は否定したと言う。その佐藤は、犯行時刻には家政婦の田口米子(青木和代)と買い出しに行っていた。犯行は早朝5時頃、血染めのトロフィーが留美の殺された部屋に投げ込まれたことで発覚。麗子と風祭が作家たちを集めて事情を聞いていると、静子の娘、里美(菊池和"&amp;"澄)が倒れる。    　麗子は影山に、今回の事件の鍵はダイイングメッセージにあると話す。すると影山は「チャンチャラおかしくて横っ腹が痛うございます」と、爆笑して…。")</f>
        <v>影山(櫻井翔)が執事室にいると、宝生麗子(北川景子)が来た。昨夜の呼び出しに応えなかったことを尋ねる麗子に、急用があったと影山。その右手には包帯が巻かれていた。  　麗子は風祭京一郎警部(椎名桔平)から連絡をうける。ミステリー作家、天道静子(高橋ひとみ)宅で殺人事件が起こったのだ。殺害されたのはミステリー作家の剣持留美(上原美佐)。頭を鈍器で殴られたような形跡があり、死亡推定時刻は昨晩深夜0時頃。死体の指先にはXとダイイングメッセージらしきものが書かれている。天道家には昨日、クリスマスパーティーのためと作家たちが泊まっていた。留美、川又宗助(佐戸井けん太)、宮地沙織(三浦理恵子)、立花邦夫(橋本さとし)、国岡二郎(やべけんじ)といったミステリー界を代表する作家たちだ。静子は離れの仕事場にいた。  　招待状の差出人は静子。だが、編集者の佐藤武雄(石黒賢)によると静子は否定したと言う。その佐藤は、犯行時刻には家政婦の田口米子(青木和代)と買い出しに行っていた。犯行は早朝5時頃、血染めのトロフィーが留美の殺された部屋に投げ込まれたことで発覚。麗子と風祭が作家たちを集めて事情を聞いていると、静子の娘、里美(菊池和澄)が倒れる。    　麗子は影山に、今回の事件の鍵はダイイングメッセージにあると話す。すると影山は「チャンチャラおかしくて横っ腹が痛うございます」と、爆笑して…。</v>
      </c>
      <c r="N1355" s="2"/>
      <c r="O1355" s="2"/>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row>
    <row r="1356" ht="204.75" customHeight="1">
      <c r="A1356" s="1">
        <v>4100.0</v>
      </c>
      <c r="B1356" s="2" t="s">
        <v>4310</v>
      </c>
      <c r="C1356" s="2">
        <f>IFERROR(__xludf.DUMMYFUNCTION("split(B1356,""_"")"),1110.0)</f>
        <v>1110</v>
      </c>
      <c r="D1356" s="2" t="str">
        <f>IFERROR(__xludf.DUMMYFUNCTION("""COMPUTED_VALUE"""),"CX")</f>
        <v>CX</v>
      </c>
      <c r="E1356" s="2" t="str">
        <f>IFERROR(__xludf.DUMMYFUNCTION("""COMPUTED_VALUE"""),"火21")</f>
        <v>火21</v>
      </c>
      <c r="F1356" s="2" t="s">
        <v>4311</v>
      </c>
      <c r="G1356" s="2" t="s">
        <v>4339</v>
      </c>
      <c r="H1356" s="1">
        <v>10.0</v>
      </c>
      <c r="I1356" s="1" t="s">
        <v>37</v>
      </c>
      <c r="J1356" s="1" t="s">
        <v>4</v>
      </c>
      <c r="K1356" s="2" t="s">
        <v>4340</v>
      </c>
      <c r="L1356" s="2" t="s">
        <v>4341</v>
      </c>
      <c r="M1356" s="2" t="str">
        <f>IFERROR(__xludf.DUMMYFUNCTION("split(split(K1356,""影山:　"",false),""公式LINE"",false)"),"ミステリー作家たちが集まる天道静子(高橋ひとみ)の家で、ついに起きてしまった2つ目の殺人事件。現場に佇んでいたのは、血染めのナイフを手にした影山(櫻井翔)だった。発見した宝生麗子(北川景子)は、影山を問いたださずにはいられない。なぜなら、影山こそ、最初に殺害された剣持留美(上原美佐)の時から、事件の背後に見え隠れしていた男だったのだ。そして、今回の宮地沙織(三浦理恵子)殺害に関しては、殺害直後と思われるタイミングで凶器を持ち現場にいた……。問い詰める麗子に対し、ここでも影山は厳しい言葉で犯行を否定する。 "&amp;" 　こんなシリアスな状況下においてまで暴言を吐く影山に思わず「クビ!」と「逮捕!」を連発する麗子。そこへ現れた風祭京一郎警部(椎名桔平)は、千載一遇のチャンスと影山を殺人容疑で逮捕、警察署に連行してしまう。  　連行された影山は、風祭の厳しい取り調べを受ける。「明日のクリスマスイブまでになんとしても真実を吐かせる!」と意気込む風祭の尋問にも、頑なに口をつぐむ影山は、ついに留置場に入れられてしまう。  　留置場の水でティータイムを楽しむ影山のもとに、高価なコートを着た大柄な男(高橋英樹)が近づいて来る。謎の"&amp;"男にいつにない敬意の表情を見せる影山。男は麗子の父、清太郎だった。そして清太郎は真剣な表情で影山に「実は…麗子には秘密がある」と、ある重大な隠し事を伝えたのだった……。")</f>
        <v>ミステリー作家たちが集まる天道静子(高橋ひとみ)の家で、ついに起きてしまった2つ目の殺人事件。現場に佇んでいたのは、血染めのナイフを手にした影山(櫻井翔)だった。発見した宝生麗子(北川景子)は、影山を問いたださずにはいられない。なぜなら、影山こそ、最初に殺害された剣持留美(上原美佐)の時から、事件の背後に見え隠れしていた男だったのだ。そして、今回の宮地沙織(三浦理恵子)殺害に関しては、殺害直後と思われるタイミングで凶器を持ち現場にいた……。問い詰める麗子に対し、ここでも影山は厳しい言葉で犯行を否定する。  　こんなシリアスな状況下においてまで暴言を吐く影山に思わず「クビ!」と「逮捕!」を連発する麗子。そこへ現れた風祭京一郎警部(椎名桔平)は、千載一遇のチャンスと影山を殺人容疑で逮捕、警察署に連行してしまう。  　連行された影山は、風祭の厳しい取り調べを受ける。「明日のクリスマスイブまでになんとしても真実を吐かせる!」と意気込む風祭の尋問にも、頑なに口をつぐむ影山は、ついに留置場に入れられてしまう。  　留置場の水でティータイムを楽しむ影山のもとに、高価なコートを着た大柄な男(高橋英樹)が近づいて来る。謎の男にいつにない敬意の表情を見せる影山。男は麗子の父、清太郎だった。そして清太郎は真剣な表情で影山に「実は…麗子には秘密がある」と、ある重大な隠し事を伝えたのだった……。</v>
      </c>
      <c r="N1356" s="2"/>
      <c r="O1356" s="2"/>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row>
    <row r="1357" ht="204.75" customHeight="1">
      <c r="A1357" s="1">
        <v>4101.0</v>
      </c>
      <c r="B1357" s="2" t="s">
        <v>4342</v>
      </c>
      <c r="C1357" s="2">
        <f>IFERROR(__xludf.DUMMYFUNCTION("split(B1357,""_"")"),1110.0)</f>
        <v>1110</v>
      </c>
      <c r="D1357" s="2" t="str">
        <f>IFERROR(__xludf.DUMMYFUNCTION("""COMPUTED_VALUE"""),"CX")</f>
        <v>CX</v>
      </c>
      <c r="E1357" s="2" t="str">
        <f>IFERROR(__xludf.DUMMYFUNCTION("""COMPUTED_VALUE"""),"火22")</f>
        <v>火22</v>
      </c>
      <c r="F1357" s="2" t="s">
        <v>4343</v>
      </c>
      <c r="G1357" s="2" t="s">
        <v>4344</v>
      </c>
      <c r="H1357" s="1">
        <v>1.0</v>
      </c>
      <c r="I1357" s="1" t="s">
        <v>3</v>
      </c>
      <c r="J1357" s="1" t="s">
        <v>82</v>
      </c>
      <c r="K1357" s="4" t="s">
        <v>4345</v>
      </c>
      <c r="L1357" s="2" t="s">
        <v>4346</v>
      </c>
      <c r="M1357" s="9" t="str">
        <f>IFERROR(__xludf.DUMMYFUNCTION("split(split(K1357,""米倉涼子　"",false),""html"",false)"),"http://www.ktv.jp/hunter/index.")</f>
        <v>http://www.ktv.jp/hunter/index.</v>
      </c>
      <c r="N1357" s="2" t="str">
        <f>IFERROR(__xludf.DUMMYFUNCTION("""COMPUTED_VALUE"""),"　空港でスリ事件が発生。CAの井坂黎(米倉涼子)は、後輩の本村純(桐谷美玲)とともに、見事スリを確保するが、被害者が全国指名手配犯だったため、捜査特別報奨金として100万円を手に入れる。    　そんな時、黎の妹・井坂茜(山口紗弥加)が、姉を保証人にして500万円を借りたまま行方をくらませた。茜が営んでいた小料理屋“春夏冬""(あきない)を訪ねると、小学5年生の娘・春(川島鈴遥)は、母親が失踪したにもかかわらず動揺した様子も見せない。相談のため警察を訪れるが、生活安全課の刑事・権藤猛(谷原章介)はまともに"&amp;"取り合ってくれない。黎は上司のしつこい退職勧奨を受け入れ、退職金で茜の借金を返済し、茜の行方を探し始めた。    　隣の店で聞き込みをすると、最近茜は店の客の男と話し込んでいたという。警察署でその男の写真を見かけた黎と純は、愕然となる。その男は指名手配犯で、女性を殺して死体を遺棄した事件で追われていたのだ。2人は必死に訴えるが、権藤は聞き流すだけだった。    　“春夏冬""に戻り、黎は指名手配犯を捕まえるため、捜査報奨金を稼ぐバウンティハンター(賞金稼ぎ)をやろうと言い出す。刺激が大好きな純はもちろん、"&amp;"“春夏冬""を手伝っている和久井和美(堀内敬子)も報奨金が100万円と聞き、乗り気になる。そこに、DV夫から失踪中の鈴木真知子(戸田恵子)も加わり、女たちのバウンティハンターチームが誕生する。")</f>
        <v>　空港でスリ事件が発生。CAの井坂黎(米倉涼子)は、後輩の本村純(桐谷美玲)とともに、見事スリを確保するが、被害者が全国指名手配犯だったため、捜査特別報奨金として100万円を手に入れる。    　そんな時、黎の妹・井坂茜(山口紗弥加)が、姉を保証人にして500万円を借りたまま行方をくらませた。茜が営んでいた小料理屋“春夏冬"(あきない)を訪ねると、小学5年生の娘・春(川島鈴遥)は、母親が失踪したにもかかわらず動揺した様子も見せない。相談のため警察を訪れるが、生活安全課の刑事・権藤猛(谷原章介)はまともに取り合ってくれない。黎は上司のしつこい退職勧奨を受け入れ、退職金で茜の借金を返済し、茜の行方を探し始めた。    　隣の店で聞き込みをすると、最近茜は店の客の男と話し込んでいたという。警察署でその男の写真を見かけた黎と純は、愕然となる。その男は指名手配犯で、女性を殺して死体を遺棄した事件で追われていたのだ。2人は必死に訴えるが、権藤は聞き流すだけだった。    　“春夏冬"に戻り、黎は指名手配犯を捕まえるため、捜査報奨金を稼ぐバウンティハンター(賞金稼ぎ)をやろうと言い出す。刺激が大好きな純はもちろん、“春夏冬"を手伝っている和久井和美(堀内敬子)も報奨金が100万円と聞き、乗り気になる。そこに、DV夫から失踪中の鈴木真知子(戸田恵子)も加わり、女たちのバウンティハンターチームが誕生する。</v>
      </c>
      <c r="O1357" s="2"/>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row>
    <row r="1358" ht="204.75" customHeight="1">
      <c r="A1358" s="1">
        <v>4102.0</v>
      </c>
      <c r="B1358" s="2" t="s">
        <v>4342</v>
      </c>
      <c r="C1358" s="2">
        <f>IFERROR(__xludf.DUMMYFUNCTION("split(B1358,""_"")"),1110.0)</f>
        <v>1110</v>
      </c>
      <c r="D1358" s="2" t="str">
        <f>IFERROR(__xludf.DUMMYFUNCTION("""COMPUTED_VALUE"""),"CX")</f>
        <v>CX</v>
      </c>
      <c r="E1358" s="2" t="str">
        <f>IFERROR(__xludf.DUMMYFUNCTION("""COMPUTED_VALUE"""),"火22")</f>
        <v>火22</v>
      </c>
      <c r="F1358" s="2" t="s">
        <v>4343</v>
      </c>
      <c r="G1358" s="2" t="s">
        <v>4347</v>
      </c>
      <c r="H1358" s="1">
        <v>2.0</v>
      </c>
      <c r="I1358" s="1" t="s">
        <v>7</v>
      </c>
      <c r="J1358" s="1" t="s">
        <v>82</v>
      </c>
      <c r="K1358" s="2" t="s">
        <v>4348</v>
      </c>
      <c r="L1358" s="8" t="s">
        <v>4349</v>
      </c>
      <c r="M1358" s="2" t="str">
        <f>IFERROR(__xludf.DUMMYFUNCTION("split(split(K1358,""米倉涼子　"",false),""html"",false)"),"www.ktv.jp/hunter　バウンティハンター(賞金稼ぎ)として次のターゲットを絞り込む黎(米倉涼子)、純(桐谷美玲)、和美(堀内敬子)、真知子(戸田恵子)。話し合いの結果、4年前に金融会社社長・西郷雅康(上野太)を殺害して逃走中で、報奨金100万円がかけられた杉田雄三(岡田達也)という37歳の男に定め、捜査を始める。“春夏冬""にやって来た権藤(谷原章介)に捜査の情報が欲しいと頼む黎だが、煙に巻かれてしまう。　黎は犯行現場で毎月、西郷の月命日に供えられている花束を見つける。とっさに杉田を思い浮か"&amp;"べる黎だが、花屋に来る男性は、巨漢の杉田とは体型が全く違うらしい。杉田は、母・静枝(岩本多代)が住んでいる家を借金のカタに取られそうになり、西郷を殺害したという。    　静枝の家の前にはマスコミがたむろしていた。彼らから静枝を守ろうとする黎。だが静枝はマスコミに対し毅然と「息子が捕まって死刑になるのを見届けるまでは、私は死にません」と言い切る。    　一方、黎と春(川島鈴遥)の関係は、一緒に暮らし始めてからも微妙だった。さらに、春は失踪中の茜(山口紗弥加)と黎には内緒でこっそり会っていた。料理が苦手な"&amp;"黎は、春のために和美から目玉焼きの講習を受ける。そんな時、真知子から電話が入った。なんと真知子が働くホームセンターで、春が万引きで捕まったというのだ!")</f>
        <v>www.ktv.jp/hunter　バウンティハンター(賞金稼ぎ)として次のターゲットを絞り込む黎(米倉涼子)、純(桐谷美玲)、和美(堀内敬子)、真知子(戸田恵子)。話し合いの結果、4年前に金融会社社長・西郷雅康(上野太)を殺害して逃走中で、報奨金100万円がかけられた杉田雄三(岡田達也)という37歳の男に定め、捜査を始める。“春夏冬"にやって来た権藤(谷原章介)に捜査の情報が欲しいと頼む黎だが、煙に巻かれてしまう。　黎は犯行現場で毎月、西郷の月命日に供えられている花束を見つける。とっさに杉田を思い浮かべる黎だが、花屋に来る男性は、巨漢の杉田とは体型が全く違うらしい。杉田は、母・静枝(岩本多代)が住んでいる家を借金のカタに取られそうになり、西郷を殺害したという。    　静枝の家の前にはマスコミがたむろしていた。彼らから静枝を守ろうとする黎。だが静枝はマスコミに対し毅然と「息子が捕まって死刑になるのを見届けるまでは、私は死にません」と言い切る。    　一方、黎と春(川島鈴遥)の関係は、一緒に暮らし始めてからも微妙だった。さらに、春は失踪中の茜(山口紗弥加)と黎には内緒でこっそり会っていた。料理が苦手な黎は、春のために和美から目玉焼きの講習を受ける。そんな時、真知子から電話が入った。なんと真知子が働くホームセンターで、春が万引きで捕まったというのだ!</v>
      </c>
      <c r="N1358" s="2"/>
      <c r="O1358" s="2"/>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row>
    <row r="1359" ht="204.75" customHeight="1">
      <c r="A1359" s="1">
        <v>4103.0</v>
      </c>
      <c r="B1359" s="2" t="s">
        <v>4342</v>
      </c>
      <c r="C1359" s="2">
        <f>IFERROR(__xludf.DUMMYFUNCTION("split(B1359,""_"")"),1110.0)</f>
        <v>1110</v>
      </c>
      <c r="D1359" s="2" t="str">
        <f>IFERROR(__xludf.DUMMYFUNCTION("""COMPUTED_VALUE"""),"CX")</f>
        <v>CX</v>
      </c>
      <c r="E1359" s="2" t="str">
        <f>IFERROR(__xludf.DUMMYFUNCTION("""COMPUTED_VALUE"""),"火22")</f>
        <v>火22</v>
      </c>
      <c r="F1359" s="2" t="s">
        <v>4343</v>
      </c>
      <c r="G1359" s="2" t="s">
        <v>4350</v>
      </c>
      <c r="H1359" s="1">
        <v>3.0</v>
      </c>
      <c r="I1359" s="1" t="s">
        <v>10</v>
      </c>
      <c r="J1359" s="1" t="s">
        <v>86</v>
      </c>
      <c r="K1359" s="2" t="s">
        <v>4351</v>
      </c>
      <c r="L1359" s="8" t="s">
        <v>4352</v>
      </c>
      <c r="M1359" s="2" t="str">
        <f>IFERROR(__xludf.DUMMYFUNCTION("split(split(K1359,""米倉涼子　"",false),""html"",false)"),"www.ktv.jp/hunter　黎(米倉涼子)たちは3人目のターゲットに、10年前のOL殺人事件を選ぶ。それは偶然、和美(堀内敬子)の誕生日に起きた事件だった。だが、なぜか機嫌が悪い和美は捜査に加わらないと宣言する。    　その晩、黎が“春夏冬""の二階に戻ると、和美と息子の一平(加藤翼)が寝入っていた。春(川島鈴遥)によれば、和美は夫婦喧嘩をして家を飛び出し、長く居座るつもりらしい。翌日、部屋の掃除をしていた和美は、一平が落書きをした指名手配書を見て硬直する…。    　真知子(戸田恵子)の調べに"&amp;"よると被害者のOLは奔放な性格で、複数の男性と同時に付き合って恨みを買ったらしい。会話を盗み聞きしていた和美は、皆に内緒でそのOLの勤め先を訪ねる。ところが、その姿を純(桐谷美玲)が目撃し、賞金を独り占めする気だと疑ったことから、和美と純の仲は険悪になってしまう。　事情を尋ねる黎に、和美は手配書の写真が夫の真平(眞島秀和)とそっくりだと打ち明ける。真平と被害者の会社は取引があり、当時の写真には、パーティーで親しげにしている真平と被害者が写っていた。そして、真平には事件当日のアリバイも無いのだと和美は告白す"&amp;"る。")</f>
        <v>www.ktv.jp/hunter　黎(米倉涼子)たちは3人目のターゲットに、10年前のOL殺人事件を選ぶ。それは偶然、和美(堀内敬子)の誕生日に起きた事件だった。だが、なぜか機嫌が悪い和美は捜査に加わらないと宣言する。    　その晩、黎が“春夏冬"の二階に戻ると、和美と息子の一平(加藤翼)が寝入っていた。春(川島鈴遥)によれば、和美は夫婦喧嘩をして家を飛び出し、長く居座るつもりらしい。翌日、部屋の掃除をしていた和美は、一平が落書きをした指名手配書を見て硬直する…。    　真知子(戸田恵子)の調べによると被害者のOLは奔放な性格で、複数の男性と同時に付き合って恨みを買ったらしい。会話を盗み聞きしていた和美は、皆に内緒でそのOLの勤め先を訪ねる。ところが、その姿を純(桐谷美玲)が目撃し、賞金を独り占めする気だと疑ったことから、和美と純の仲は険悪になってしまう。　事情を尋ねる黎に、和美は手配書の写真が夫の真平(眞島秀和)とそっくりだと打ち明ける。真平と被害者の会社は取引があり、当時の写真には、パーティーで親しげにしている真平と被害者が写っていた。そして、真平には事件当日のアリバイも無いのだと和美は告白する。</v>
      </c>
      <c r="N1359" s="2"/>
      <c r="O1359" s="2"/>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row>
    <row r="1360" ht="204.75" customHeight="1">
      <c r="A1360" s="1">
        <v>4104.0</v>
      </c>
      <c r="B1360" s="2" t="s">
        <v>4342</v>
      </c>
      <c r="C1360" s="2">
        <f>IFERROR(__xludf.DUMMYFUNCTION("split(B1360,""_"")"),1110.0)</f>
        <v>1110</v>
      </c>
      <c r="D1360" s="2" t="str">
        <f>IFERROR(__xludf.DUMMYFUNCTION("""COMPUTED_VALUE"""),"CX")</f>
        <v>CX</v>
      </c>
      <c r="E1360" s="2" t="str">
        <f>IFERROR(__xludf.DUMMYFUNCTION("""COMPUTED_VALUE"""),"火22")</f>
        <v>火22</v>
      </c>
      <c r="F1360" s="2" t="s">
        <v>4343</v>
      </c>
      <c r="G1360" s="2" t="s">
        <v>4353</v>
      </c>
      <c r="H1360" s="1">
        <v>4.0</v>
      </c>
      <c r="I1360" s="1" t="s">
        <v>14</v>
      </c>
      <c r="J1360" s="1" t="s">
        <v>86</v>
      </c>
      <c r="K1360" s="2" t="s">
        <v>4354</v>
      </c>
      <c r="L1360" s="8" t="s">
        <v>4355</v>
      </c>
      <c r="M1360" s="2" t="str">
        <f>IFERROR(__xludf.DUMMYFUNCTION("split(split(K1360,""米倉涼子　"",false),""html"",false)"),"www.ktv.jp/hunter前回報奨金をもらえなかった黎(米倉涼子)たちの今回のターゲットは、リサイクルショップが火事になり、焼け跡から吉田徹(浜田晃)という経営者が遺体で発見された事件。警察では、事件性のない火事として処理されたが、死の数か月前、吉田が銀行から引き出した全財産1千万円の行方がわからないため、放火を疑う遺族が50万円の私的懸賞金をかけていた。    　吉田は60歳で独身、結婚の経験も無い。黎が懸賞金をかけた弟の信二(須永慶)に会いに行くと、20年もの間、兄とは疎遠になっていたという。"&amp;"リサイクルショップ周辺で聞き込みをした純(桐谷美玲)によれば、吉田は地元でも偏屈オヤジとして有名だった。ところが和美(堀内敬子)は、そんな吉田が若い女とデートしていたという目撃情報をつかんでくる。真知子(戸田恵子)たちは女が金目当てで吉田に近づき、殺害したと睨む。    　“春夏冬""で常連客の大岩(柄本明)たちと話していた黎は、春(川島鈴遥)から茜(山口紗弥加)が置いていった金庫の存在を知らされる。それは4桁の暗証番号でロックが解除されるタイプだが、茜や春の誕生日を入力しても開かなかった。    　翌日"&amp;"、和美は定食屋で、吉田が婚活パーティーに参加していた情報をつかむ。デート相手の若い女とも、パーティーで知り合った可能性が高い。その女を見つけるためだと和美たちに押し切られ、黎は純とともに婚活パーティーに潜入することに…!")</f>
        <v>www.ktv.jp/hunter前回報奨金をもらえなかった黎(米倉涼子)たちの今回のターゲットは、リサイクルショップが火事になり、焼け跡から吉田徹(浜田晃)という経営者が遺体で発見された事件。警察では、事件性のない火事として処理されたが、死の数か月前、吉田が銀行から引き出した全財産1千万円の行方がわからないため、放火を疑う遺族が50万円の私的懸賞金をかけていた。    　吉田は60歳で独身、結婚の経験も無い。黎が懸賞金をかけた弟の信二(須永慶)に会いに行くと、20年もの間、兄とは疎遠になっていたという。リサイクルショップ周辺で聞き込みをした純(桐谷美玲)によれば、吉田は地元でも偏屈オヤジとして有名だった。ところが和美(堀内敬子)は、そんな吉田が若い女とデートしていたという目撃情報をつかんでくる。真知子(戸田恵子)たちは女が金目当てで吉田に近づき、殺害したと睨む。    　“春夏冬"で常連客の大岩(柄本明)たちと話していた黎は、春(川島鈴遥)から茜(山口紗弥加)が置いていった金庫の存在を知らされる。それは4桁の暗証番号でロックが解除されるタイプだが、茜や春の誕生日を入力しても開かなかった。    　翌日、和美は定食屋で、吉田が婚活パーティーに参加していた情報をつかむ。デート相手の若い女とも、パーティーで知り合った可能性が高い。その女を見つけるためだと和美たちに押し切られ、黎は純とともに婚活パーティーに潜入することに…!</v>
      </c>
      <c r="N1360" s="2"/>
      <c r="O1360" s="2"/>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row>
    <row r="1361" ht="204.75" customHeight="1">
      <c r="A1361" s="1">
        <v>4105.0</v>
      </c>
      <c r="B1361" s="2" t="s">
        <v>4342</v>
      </c>
      <c r="C1361" s="2">
        <f>IFERROR(__xludf.DUMMYFUNCTION("split(B1361,""_"")"),1110.0)</f>
        <v>1110</v>
      </c>
      <c r="D1361" s="2" t="str">
        <f>IFERROR(__xludf.DUMMYFUNCTION("""COMPUTED_VALUE"""),"CX")</f>
        <v>CX</v>
      </c>
      <c r="E1361" s="2" t="str">
        <f>IFERROR(__xludf.DUMMYFUNCTION("""COMPUTED_VALUE"""),"火22")</f>
        <v>火22</v>
      </c>
      <c r="F1361" s="2" t="s">
        <v>4343</v>
      </c>
      <c r="G1361" s="2" t="s">
        <v>4356</v>
      </c>
      <c r="H1361" s="1">
        <v>5.0</v>
      </c>
      <c r="I1361" s="1" t="s">
        <v>17</v>
      </c>
      <c r="J1361" s="1" t="s">
        <v>86</v>
      </c>
      <c r="K1361" s="2" t="s">
        <v>4357</v>
      </c>
      <c r="L1361" s="8" t="s">
        <v>4358</v>
      </c>
      <c r="M1361" s="2" t="str">
        <f>IFERROR(__xludf.DUMMYFUNCTION("split(split(K1361,""米倉涼子　"",false),""html"",false)"),"「ワールドカップバレーボール2011　女子　日本×アルジェリア」延長の際、放送時間繰り下げの場合あり。    www.ktv.jp/hunter“春夏冬""でセンセイと呼ばれている常連客の大岩(柄本明)が突然吐血した。病院に付き添った黎(米倉涼子)が、入院手続きのために大岩の鞄を見ると、20年前に瀬谷利夫(諌山幸治)という若い警察官が殺害された事件の手配書と、捜査メモが出てきた。大岩は元刑事だったのだ。    　大岩はこの事件の捜査で死を看取ることができなかった妻のためにも、犯人を見つけ出したいと、時効が"&amp;"過ぎた今でも捜査を続けていた。自身も余命が少ないと感じ、生きているうちに事件を解決したいという大岩に、黎は自分たちがバウンティハンターをしていることを明かし、協力を申し出る。    　和美(堀内敬子)たちは懸賞金が無いからと難色を示すが、黎は犯人が拳銃を持ち去っており、子供たちにも危険が及ぶかもしれないと説き伏せて、捜査に参加させる。だが純(桐谷美玲)たちが聞き込みをしても、新たな手がかりは見つからず、瀬谷の母親に会った黎は、「過去をほじくり返さないで」と言われてしまう。    　何も収穫が無いまま、大岩"&amp;"の病室を見舞う黎と純に、「多くの人の人生を変えた人間の顔を、この目で見たいだけ」と語る大岩。その言葉に執念を感じた黎と純は、真相解明への思いを新たにする。")</f>
        <v>「ワールドカップバレーボール2011　女子　日本×アルジェリア」延長の際、放送時間繰り下げの場合あり。    www.ktv.jp/hunter“春夏冬"でセンセイと呼ばれている常連客の大岩(柄本明)が突然吐血した。病院に付き添った黎(米倉涼子)が、入院手続きのために大岩の鞄を見ると、20年前に瀬谷利夫(諌山幸治)という若い警察官が殺害された事件の手配書と、捜査メモが出てきた。大岩は元刑事だったのだ。    　大岩はこの事件の捜査で死を看取ることができなかった妻のためにも、犯人を見つけ出したいと、時効が過ぎた今でも捜査を続けていた。自身も余命が少ないと感じ、生きているうちに事件を解決したいという大岩に、黎は自分たちがバウンティハンターをしていることを明かし、協力を申し出る。    　和美(堀内敬子)たちは懸賞金が無いからと難色を示すが、黎は犯人が拳銃を持ち去っており、子供たちにも危険が及ぶかもしれないと説き伏せて、捜査に参加させる。だが純(桐谷美玲)たちが聞き込みをしても、新たな手がかりは見つからず、瀬谷の母親に会った黎は、「過去をほじくり返さないで」と言われてしまう。    　何も収穫が無いまま、大岩の病室を見舞う黎と純に、「多くの人の人生を変えた人間の顔を、この目で見たいだけ」と語る大岩。その言葉に執念を感じた黎と純は、真相解明への思いを新たにする。</v>
      </c>
      <c r="N1361" s="2"/>
      <c r="O1361" s="2"/>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row>
    <row r="1362" ht="204.75" customHeight="1">
      <c r="A1362" s="1">
        <v>4106.0</v>
      </c>
      <c r="B1362" s="2" t="s">
        <v>4342</v>
      </c>
      <c r="C1362" s="2">
        <f>IFERROR(__xludf.DUMMYFUNCTION("split(B1362,""_"")"),1110.0)</f>
        <v>1110</v>
      </c>
      <c r="D1362" s="2" t="str">
        <f>IFERROR(__xludf.DUMMYFUNCTION("""COMPUTED_VALUE"""),"CX")</f>
        <v>CX</v>
      </c>
      <c r="E1362" s="2" t="str">
        <f>IFERROR(__xludf.DUMMYFUNCTION("""COMPUTED_VALUE"""),"火22")</f>
        <v>火22</v>
      </c>
      <c r="F1362" s="2" t="s">
        <v>4343</v>
      </c>
      <c r="G1362" s="2" t="s">
        <v>4359</v>
      </c>
      <c r="H1362" s="1">
        <v>6.0</v>
      </c>
      <c r="I1362" s="1" t="s">
        <v>21</v>
      </c>
      <c r="J1362" s="1" t="s">
        <v>86</v>
      </c>
      <c r="K1362" s="2" t="s">
        <v>4360</v>
      </c>
      <c r="L1362" s="8" t="s">
        <v>4361</v>
      </c>
      <c r="M1362" s="2" t="str">
        <f>IFERROR(__xludf.DUMMYFUNCTION("split(split(K1362,""米倉涼子　"",false),""html"",false)"),"「野球道～日本シリーズ　第3戦　中日×福岡ソフトバンク」延長の際、放送時間繰り下げの場合あり。    www.ktv.jp/hunter　黎(米倉涼子)たちは女性殺害の容疑で指名手配されていた持田修司(徳山秀典)という男を、連携プレーで捕まえる。しかし持田は、被害者の井上千恵(近野衣里)が殺された時、六本木のシャコンヌというバーで女と一緒にいたと主張。「さゆり」という女を探してほしいと言い残して連行されていく。和美(堀内敬子)や真知子(戸田恵子)は取り合わないが、純(桐谷美玲)は持田の主張が気になる様子。"&amp;"　単独で警察に出向いた純は、持田に面会したいと頼むが、受け入れられない。だがそこで偶然、持田の兄(柏原収史)と知り合う。兄は持田が犯人だと認めていたが、冤罪かもしれないという純の説に興味を示す。    　事件を洗い直した純は黎に、おかしな点を指摘する。千恵が殺されているのを、持田がマンションの管理人に知らせたのは死亡推定時刻の4時間後で、もし持田が犯人なら、殺して4時間も経ってから、わざわざ自分で通報したことになってしまうのだ。    　シャコンヌという店は、ひとみ(原幹恵)が偶然知っていた。場所を教えら"&amp;"れて黎と純が訪ねていくと、そこはおネエキャラのマスターが営業しているいかがわしげなバーだった。マスターによれば、確かに「さゆり」という女は存在するという。さゆりは札幌に出張中だと判明し、ちょうど千歳にフライトが入っていた純が、一人でさゆりに接触を試みる。")</f>
        <v>「野球道～日本シリーズ　第3戦　中日×福岡ソフトバンク」延長の際、放送時間繰り下げの場合あり。    www.ktv.jp/hunter　黎(米倉涼子)たちは女性殺害の容疑で指名手配されていた持田修司(徳山秀典)という男を、連携プレーで捕まえる。しかし持田は、被害者の井上千恵(近野衣里)が殺された時、六本木のシャコンヌというバーで女と一緒にいたと主張。「さゆり」という女を探してほしいと言い残して連行されていく。和美(堀内敬子)や真知子(戸田恵子)は取り合わないが、純(桐谷美玲)は持田の主張が気になる様子。　単独で警察に出向いた純は、持田に面会したいと頼むが、受け入れられない。だがそこで偶然、持田の兄(柏原収史)と知り合う。兄は持田が犯人だと認めていたが、冤罪かもしれないという純の説に興味を示す。    　事件を洗い直した純は黎に、おかしな点を指摘する。千恵が殺されているのを、持田がマンションの管理人に知らせたのは死亡推定時刻の4時間後で、もし持田が犯人なら、殺して4時間も経ってから、わざわざ自分で通報したことになってしまうのだ。    　シャコンヌという店は、ひとみ(原幹恵)が偶然知っていた。場所を教えられて黎と純が訪ねていくと、そこはおネエキャラのマスターが営業しているいかがわしげなバーだった。マスターによれば、確かに「さゆり」という女は存在するという。さゆりは札幌に出張中だと判明し、ちょうど千歳にフライトが入っていた純が、一人でさゆりに接触を試みる。</v>
      </c>
      <c r="N1362" s="2"/>
      <c r="O1362" s="2"/>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row>
    <row r="1363" ht="204.75" customHeight="1">
      <c r="A1363" s="1">
        <v>4107.0</v>
      </c>
      <c r="B1363" s="2" t="s">
        <v>4342</v>
      </c>
      <c r="C1363" s="2">
        <f>IFERROR(__xludf.DUMMYFUNCTION("split(B1363,""_"")"),1110.0)</f>
        <v>1110</v>
      </c>
      <c r="D1363" s="2" t="str">
        <f>IFERROR(__xludf.DUMMYFUNCTION("""COMPUTED_VALUE"""),"CX")</f>
        <v>CX</v>
      </c>
      <c r="E1363" s="2" t="str">
        <f>IFERROR(__xludf.DUMMYFUNCTION("""COMPUTED_VALUE"""),"火22")</f>
        <v>火22</v>
      </c>
      <c r="F1363" s="2" t="s">
        <v>4343</v>
      </c>
      <c r="G1363" s="2" t="s">
        <v>4362</v>
      </c>
      <c r="H1363" s="1">
        <v>7.0</v>
      </c>
      <c r="I1363" s="1" t="s">
        <v>25</v>
      </c>
      <c r="J1363" s="1" t="s">
        <v>86</v>
      </c>
      <c r="K1363" s="2" t="s">
        <v>4363</v>
      </c>
      <c r="L1363" s="8" t="s">
        <v>4364</v>
      </c>
      <c r="M1363" s="2" t="str">
        <f>IFERROR(__xludf.DUMMYFUNCTION("split(split(K1363,""米倉涼子　"",false),""html"",false)"),"「ワールドカップバレー2011男子　日本×キューバ」延長の際、放送時間繰り下げの場合あり。    www.ktv.jp/hunter　黎(米倉涼子)はいつも喧嘩ばかりしている権藤(谷原章介)から、一流ホテルのディナーに誘われる。めかしこんで出かけた黎だが、やがて話はおかしな雲行きに…。    　黎たちが新しくターゲットに選んだのは、3年前に起きたコンビニ強盗殺人事件の犯人だった。犯人の井上恒雄(小須田康人)はアルバイトの女子高生・中村貴子(戸井智恵美)をナイフで刺殺し逃走中。警察からの懸賞金100万円の他"&amp;"に、被害者遺族からの私的懸賞金200万円もプラスされていた。    　黎と純(桐谷美玲)が会いに行くと、貴子の父・信夫(吹越満)は事件当日、娘をバイトに行かせたことを深く悔いていた。一方、和美(堀内敬子)と真知子(戸田恵子)が調べると、ネットには犯人である井上の妻や娘の笑美(竹富聖花)に対しても心無い書き込みが溢れていた。笑美は自分の意思に反して転校させられ、今は行方がわからない。    　フライトに出た純は、機内で中村夫妻と再会する。犯人の目撃情報が故郷の福岡であったと連絡を受け、現地へ向かうところだっ"&amp;"た。同じ頃、黎は街で権藤を見かける。親しげに権藤に腕を絡ませる女子高生を見た黎は驚愕する。それはなんと、行方がわからなくなっていた犯人の娘、井上笑美だったのだ!黎は権藤に井上の情報が欲しいと頼むが、権藤は「彼女には近づくな。この事件には関わるな!」と厳しい表情で言い捨てるのだった…。")</f>
        <v>「ワールドカップバレー2011男子　日本×キューバ」延長の際、放送時間繰り下げの場合あり。    www.ktv.jp/hunter　黎(米倉涼子)はいつも喧嘩ばかりしている権藤(谷原章介)から、一流ホテルのディナーに誘われる。めかしこんで出かけた黎だが、やがて話はおかしな雲行きに…。    　黎たちが新しくターゲットに選んだのは、3年前に起きたコンビニ強盗殺人事件の犯人だった。犯人の井上恒雄(小須田康人)はアルバイトの女子高生・中村貴子(戸井智恵美)をナイフで刺殺し逃走中。警察からの懸賞金100万円の他に、被害者遺族からの私的懸賞金200万円もプラスされていた。    　黎と純(桐谷美玲)が会いに行くと、貴子の父・信夫(吹越満)は事件当日、娘をバイトに行かせたことを深く悔いていた。一方、和美(堀内敬子)と真知子(戸田恵子)が調べると、ネットには犯人である井上の妻や娘の笑美(竹富聖花)に対しても心無い書き込みが溢れていた。笑美は自分の意思に反して転校させられ、今は行方がわからない。    　フライトに出た純は、機内で中村夫妻と再会する。犯人の目撃情報が故郷の福岡であったと連絡を受け、現地へ向かうところだった。同じ頃、黎は街で権藤を見かける。親しげに権藤に腕を絡ませる女子高生を見た黎は驚愕する。それはなんと、行方がわからなくなっていた犯人の娘、井上笑美だったのだ!黎は権藤に井上の情報が欲しいと頼むが、権藤は「彼女には近づくな。この事件には関わるな!」と厳しい表情で言い捨てるのだった…。</v>
      </c>
      <c r="N1363" s="2"/>
      <c r="O1363" s="2"/>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row>
    <row r="1364" ht="204.75" customHeight="1">
      <c r="A1364" s="1">
        <v>4108.0</v>
      </c>
      <c r="B1364" s="2" t="s">
        <v>4342</v>
      </c>
      <c r="C1364" s="2">
        <f>IFERROR(__xludf.DUMMYFUNCTION("split(B1364,""_"")"),1110.0)</f>
        <v>1110</v>
      </c>
      <c r="D1364" s="2" t="str">
        <f>IFERROR(__xludf.DUMMYFUNCTION("""COMPUTED_VALUE"""),"CX")</f>
        <v>CX</v>
      </c>
      <c r="E1364" s="2" t="str">
        <f>IFERROR(__xludf.DUMMYFUNCTION("""COMPUTED_VALUE"""),"火22")</f>
        <v>火22</v>
      </c>
      <c r="F1364" s="2" t="s">
        <v>4343</v>
      </c>
      <c r="G1364" s="2" t="s">
        <v>4365</v>
      </c>
      <c r="H1364" s="1">
        <v>8.0</v>
      </c>
      <c r="I1364" s="1" t="s">
        <v>29</v>
      </c>
      <c r="J1364" s="1" t="s">
        <v>82</v>
      </c>
      <c r="K1364" s="2" t="s">
        <v>4366</v>
      </c>
      <c r="L1364" s="8" t="s">
        <v>4367</v>
      </c>
      <c r="M1364" s="2" t="str">
        <f>IFERROR(__xludf.DUMMYFUNCTION("split(split(K1364,""米倉涼子　"",false),""html"",false)"),"「ワールドカップバレー2011男子　日本×アメリカ」延長の際、放送時間繰り下げの場合あり。    www.ktv.jp/hunter黎(米倉涼子)はバウンティハンターを続けると宣言したものの、チームが解散するのではないかとため息をついていた。真知子(戸田恵子)はここしばらく姿すら見せず、20万円を貸していた和美(堀内敬子)は失踪したのではないかと心配する。    　そんな時、真知子から黎に電話がかかってくる。真知子は古びたビジネスホテルに潜伏し、1週間も寝込んでいた。胸騒ぎがするという真知子を無理やり病院"&amp;"に連れて行くと過労と診断され、そのまま入院してしまう。    　春(川島鈴遥)は学校からの帰り道、中年の男から“春夏冬""の場所を聞かれる。その男・岸本(相島一之)はなんと真知子の夫で、金沢で100年も続く老舗和菓子屋の四代目だった。黎は暴力を振るっていたのではないかと単刀直入に聞くが、岸本は紳士的に、二人は自他共に認める仲のいい夫婦だったと答える。　岸本によると、問題があったのはむしろ真知子で、通販で浪費したり、スタッフを理不尽に怒鳴りつけたりしていたといい、その証拠写真も差し出す。挙句の果てには「あな"&amp;"たの子供は産みたくない」と拒否したともいう。半信半疑の黎だったが、病院に岸本を連れて行くと、真知子は危機を察知して退院した後で、病室はもぬけの殻だった。")</f>
        <v>「ワールドカップバレー2011男子　日本×アメリカ」延長の際、放送時間繰り下げの場合あり。    www.ktv.jp/hunter黎(米倉涼子)はバウンティハンターを続けると宣言したものの、チームが解散するのではないかとため息をついていた。真知子(戸田恵子)はここしばらく姿すら見せず、20万円を貸していた和美(堀内敬子)は失踪したのではないかと心配する。    　そんな時、真知子から黎に電話がかかってくる。真知子は古びたビジネスホテルに潜伏し、1週間も寝込んでいた。胸騒ぎがするという真知子を無理やり病院に連れて行くと過労と診断され、そのまま入院してしまう。    　春(川島鈴遥)は学校からの帰り道、中年の男から“春夏冬"の場所を聞かれる。その男・岸本(相島一之)はなんと真知子の夫で、金沢で100年も続く老舗和菓子屋の四代目だった。黎は暴力を振るっていたのではないかと単刀直入に聞くが、岸本は紳士的に、二人は自他共に認める仲のいい夫婦だったと答える。　岸本によると、問題があったのはむしろ真知子で、通販で浪費したり、スタッフを理不尽に怒鳴りつけたりしていたといい、その証拠写真も差し出す。挙句の果てには「あなたの子供は産みたくない」と拒否したともいう。半信半疑の黎だったが、病院に岸本を連れて行くと、真知子は危機を察知して退院した後で、病室はもぬけの殻だった。</v>
      </c>
      <c r="N1364" s="2"/>
      <c r="O1364" s="2"/>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row>
    <row r="1365" ht="204.75" customHeight="1">
      <c r="A1365" s="1">
        <v>4109.0</v>
      </c>
      <c r="B1365" s="2" t="s">
        <v>4342</v>
      </c>
      <c r="C1365" s="2">
        <f>IFERROR(__xludf.DUMMYFUNCTION("split(B1365,""_"")"),1110.0)</f>
        <v>1110</v>
      </c>
      <c r="D1365" s="2" t="str">
        <f>IFERROR(__xludf.DUMMYFUNCTION("""COMPUTED_VALUE"""),"CX")</f>
        <v>CX</v>
      </c>
      <c r="E1365" s="2" t="str">
        <f>IFERROR(__xludf.DUMMYFUNCTION("""COMPUTED_VALUE"""),"火22")</f>
        <v>火22</v>
      </c>
      <c r="F1365" s="2" t="s">
        <v>4343</v>
      </c>
      <c r="G1365" s="2" t="s">
        <v>4368</v>
      </c>
      <c r="H1365" s="1">
        <v>9.0</v>
      </c>
      <c r="I1365" s="1" t="s">
        <v>33</v>
      </c>
      <c r="J1365" s="1" t="s">
        <v>86</v>
      </c>
      <c r="K1365" s="2" t="s">
        <v>4369</v>
      </c>
      <c r="L1365" s="8" t="s">
        <v>4370</v>
      </c>
      <c r="M1365" s="2" t="str">
        <f>IFERROR(__xludf.DUMMYFUNCTION("split(split(K1365,""米倉涼子　"",false),""html"",false)"),"www.ktv.jp/hunter　“春夏冬""ではクリスマスの準備が始まり、真知子(戸田恵子)も離婚の手続きから無事戻ってきた。だが、次のターゲットを探そうと警視庁のホームページをのぞいた黎(米倉涼子)たちは、殺人容疑の指名手配犯として、失踪中の黎の妹・茜(山口紗弥加)の顔写真がアップされているのを見つけ、がく然となる。    　茜が疑われているのは竹田聡一(大根田良樹)という経営コンサルタントが殺された事件だった。寺島(小泉孝太郎)によれば、竹田は“春夏冬""の常連で、遺体の手には茜の指紋付きのイヤリ"&amp;"ングも握られていたという。    　しかし和美(堀内敬子)は、竹田という男を“春夏冬""で見たことがなく、常連客ではないと主張。黎も茜が人を殺したなど信じられない。そこへ春(川島鈴遥)が、学校でいじめられて帰って来る。貯金箱を差し出し、「私的懸賞金をかけるから、ママを捕まえて」と言う春に、黎たちは茜を見つけ出すことを決意し、今回のターゲットとする。  　そんな時、茜から春に電話がかかってきた。「罪を着せるためにイヤリングを遺留品にされ、警察は信用できない。これまで真犯人を探していたが、もう疲れたので助けて"&amp;"ほしい」と訴える茜。黎は近くの公衆電話に走っていくが、警官が“春夏冬""の周辺をマークしており、茜はまた逃げ出した後だった。途方に暮れる黎だが、純(桐谷美玲)たちと話しているうちに、茜と接触するある秘策を思いつく。")</f>
        <v>www.ktv.jp/hunter　“春夏冬"ではクリスマスの準備が始まり、真知子(戸田恵子)も離婚の手続きから無事戻ってきた。だが、次のターゲットを探そうと警視庁のホームページをのぞいた黎(米倉涼子)たちは、殺人容疑の指名手配犯として、失踪中の黎の妹・茜(山口紗弥加)の顔写真がアップされているのを見つけ、がく然となる。    　茜が疑われているのは竹田聡一(大根田良樹)という経営コンサルタントが殺された事件だった。寺島(小泉孝太郎)によれば、竹田は“春夏冬"の常連で、遺体の手には茜の指紋付きのイヤリングも握られていたという。    　しかし和美(堀内敬子)は、竹田という男を“春夏冬"で見たことがなく、常連客ではないと主張。黎も茜が人を殺したなど信じられない。そこへ春(川島鈴遥)が、学校でいじめられて帰って来る。貯金箱を差し出し、「私的懸賞金をかけるから、ママを捕まえて」と言う春に、黎たちは茜を見つけ出すことを決意し、今回のターゲットとする。  　そんな時、茜から春に電話がかかってきた。「罪を着せるためにイヤリングを遺留品にされ、警察は信用できない。これまで真犯人を探していたが、もう疲れたので助けてほしい」と訴える茜。黎は近くの公衆電話に走っていくが、警官が“春夏冬"の周辺をマークしており、茜はまた逃げ出した後だった。途方に暮れる黎だが、純(桐谷美玲)たちと話しているうちに、茜と接触するある秘策を思いつく。</v>
      </c>
      <c r="N1365" s="2"/>
      <c r="O1365" s="2"/>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row>
    <row r="1366" ht="204.75" customHeight="1">
      <c r="A1366" s="1">
        <v>4110.0</v>
      </c>
      <c r="B1366" s="2" t="s">
        <v>4342</v>
      </c>
      <c r="C1366" s="2">
        <f>IFERROR(__xludf.DUMMYFUNCTION("split(B1366,""_"")"),1110.0)</f>
        <v>1110</v>
      </c>
      <c r="D1366" s="2" t="str">
        <f>IFERROR(__xludf.DUMMYFUNCTION("""COMPUTED_VALUE"""),"CX")</f>
        <v>CX</v>
      </c>
      <c r="E1366" s="2" t="str">
        <f>IFERROR(__xludf.DUMMYFUNCTION("""COMPUTED_VALUE"""),"火22")</f>
        <v>火22</v>
      </c>
      <c r="F1366" s="2" t="s">
        <v>4343</v>
      </c>
      <c r="G1366" s="2" t="s">
        <v>4371</v>
      </c>
      <c r="H1366" s="1">
        <v>10.0</v>
      </c>
      <c r="I1366" s="1" t="s">
        <v>37</v>
      </c>
      <c r="J1366" s="1" t="s">
        <v>86</v>
      </c>
      <c r="K1366" s="2" t="s">
        <v>4372</v>
      </c>
      <c r="L1366" s="8" t="s">
        <v>4373</v>
      </c>
      <c r="M1366" s="2" t="str">
        <f>IFERROR(__xludf.DUMMYFUNCTION("split(split(K1366,""米倉涼子　"",false),""html"",false)"),"www.ktv.jp/hunter　いなくなった春(川島鈴遥)を探して町を駆け回った黎(米倉涼子)は、小学校の倉庫に監禁されていた春を救出。身の安全を守るため、茜(山口紗弥加)と春は大岩(柄本明)と共に、ひとみ(原幹恵)の知り合いの別荘に避難することにする。    　いつの間にかインターネット上には、和美(堀内敬子)が警官と押し問答をしている動画や、“春夏冬""の悪口が多数アップされていた。黎は店にやってきた権藤(谷原章介)に、警察がやらせているのではないかと問い詰めるが、権藤は否定しない。自分は黎たちの"&amp;"味方だから茜に会いたいと言う権藤を信じられず、黎は店から追い出す。    　その晩、“春夏冬""の常連客を装っていた伊藤(神尾佑)から、茜の居場所がわかったと刑事部長の佐貫(中原丈雄)に電話が入った。佐貫から現場に応援に行くように指示を受けたのは、そばにいた権藤だった。    　別荘に伊藤と権藤が現れ、茜を引き渡すよう告げる。権藤も敵側の人間だったのかと、驚愕する大岩。伊藤と大岩が揉み合いになる中、一発の銃声が響き、大岩は腹部から血を流して倒れた。権藤の行動を不審に思い、後を追っていた寺島(小泉孝太郎)も"&amp;"到着するが、伊藤は強引に茜を車に乗せ、権藤も車を発進させてしまう。そして山道の途中で車を停めると、権藤と伊藤は茜を連れて人気の無い遊歩道へと入っていった。  彼女達が貫く正義で、茜の無実を証明し、真犯人を追い込むことができるのか!?")</f>
        <v>www.ktv.jp/hunter　いなくなった春(川島鈴遥)を探して町を駆け回った黎(米倉涼子)は、小学校の倉庫に監禁されていた春を救出。身の安全を守るため、茜(山口紗弥加)と春は大岩(柄本明)と共に、ひとみ(原幹恵)の知り合いの別荘に避難することにする。    　いつの間にかインターネット上には、和美(堀内敬子)が警官と押し問答をしている動画や、“春夏冬"の悪口が多数アップされていた。黎は店にやってきた権藤(谷原章介)に、警察がやらせているのではないかと問い詰めるが、権藤は否定しない。自分は黎たちの味方だから茜に会いたいと言う権藤を信じられず、黎は店から追い出す。    　その晩、“春夏冬"の常連客を装っていた伊藤(神尾佑)から、茜の居場所がわかったと刑事部長の佐貫(中原丈雄)に電話が入った。佐貫から現場に応援に行くように指示を受けたのは、そばにいた権藤だった。    　別荘に伊藤と権藤が現れ、茜を引き渡すよう告げる。権藤も敵側の人間だったのかと、驚愕する大岩。伊藤と大岩が揉み合いになる中、一発の銃声が響き、大岩は腹部から血を流して倒れた。権藤の行動を不審に思い、後を追っていた寺島(小泉孝太郎)も到着するが、伊藤は強引に茜を車に乗せ、権藤も車を発進させてしまう。そして山道の途中で車を停めると、権藤と伊藤は茜を連れて人気の無い遊歩道へと入っていった。  彼女達が貫く正義で、茜の無実を証明し、真犯人を追い込むことができるのか!?</v>
      </c>
      <c r="N1366" s="2"/>
      <c r="O1366" s="2"/>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row>
    <row r="1367" ht="204.75" customHeight="1">
      <c r="A1367" s="1">
        <v>4139.0</v>
      </c>
      <c r="B1367" s="2" t="s">
        <v>4374</v>
      </c>
      <c r="C1367" s="2">
        <f>IFERROR(__xludf.DUMMYFUNCTION("split(B1367,""_"")"),1110.0)</f>
        <v>1110</v>
      </c>
      <c r="D1367" s="2" t="str">
        <f>IFERROR(__xludf.DUMMYFUNCTION("""COMPUTED_VALUE"""),"CX")</f>
        <v>CX</v>
      </c>
      <c r="E1367" s="2" t="str">
        <f>IFERROR(__xludf.DUMMYFUNCTION("""COMPUTED_VALUE"""),"木22")</f>
        <v>木22</v>
      </c>
      <c r="F1367" s="2" t="s">
        <v>4375</v>
      </c>
      <c r="G1367" s="2" t="s">
        <v>4376</v>
      </c>
      <c r="H1367" s="1">
        <v>1.0</v>
      </c>
      <c r="I1367" s="1" t="s">
        <v>3</v>
      </c>
      <c r="J1367" s="1" t="s">
        <v>82</v>
      </c>
      <c r="K1367" s="4" t="s">
        <v>4377</v>
      </c>
      <c r="L1367" s="2" t="s">
        <v>4378</v>
      </c>
      <c r="M1367" s="2" t="str">
        <f>IFERROR(__xludf.DUMMYFUNCTION("split(split(K1367,""森本直子:　"",false),""公式LINE"",false)"),"瀬戸内海に面したオリーブ園のひとり娘、森本直子(榮倉奈々)。  　直子の父方の祖父には後妻がおり、父には年の離れた弟、池澤雅人(ARATA)がいた。雅人は6歳の時、子供のいない東京の親戚にもらわれて行ったが、毎年夏休みになると郷里に遊びに来ていた。小さいころは内向的で目立たない子供だった直子にとって、年に一度だけ、東京からやって来る垢抜けた雅人は、憧れの「雅兄ちゃん」だった。　やがて東京の難関医大に入学する。ある年の夏、帰省してきた雅人に会った直子は、ふとしたきっかけからそれまで「お兄ちゃん」と思っていた"&amp;"雅人を「男」として感じ、思いを寄せるようになる。初めて芽生えた淡い恋心により雅人と同じ医大に進学したいと思うようになった。2003年4月必死の努力が実り、雅人と同じ医大に合格。雅人も直子を祝福する。  　入学式で直子はC班に配属され、則杉康志(溝端淳平)、栗山和気(市川知宏)、中国からの留学生である頼陽華(木村文乃)、蓑屋進(近藤公園)、滝ノ原幸一(森廉)らの仲間と出会う。新たな仲間たちとの出会いだったが、直子は雅人のことが気にかかってしようがない。雅人からやっと電話があり、直子の下宿に今から向かうと連絡"&amp;"が入った。喜び勇んで久しぶりに迎えた雅人の横には、恋人・原田彩(菅野美穂)がいた。雅人の医大の同期である彩は、美貌と知性を兼ね備えた優秀な研究医で…。")</f>
        <v>瀬戸内海に面したオリーブ園のひとり娘、森本直子(榮倉奈々)。  　直子の父方の祖父には後妻がおり、父には年の離れた弟、池澤雅人(ARATA)がいた。雅人は6歳の時、子供のいない東京の親戚にもらわれて行ったが、毎年夏休みになると郷里に遊びに来ていた。小さいころは内向的で目立たない子供だった直子にとって、年に一度だけ、東京からやって来る垢抜けた雅人は、憧れの「雅兄ちゃん」だった。　やがて東京の難関医大に入学する。ある年の夏、帰省してきた雅人に会った直子は、ふとしたきっかけからそれまで「お兄ちゃん」と思っていた雅人を「男」として感じ、思いを寄せるようになる。初めて芽生えた淡い恋心により雅人と同じ医大に進学したいと思うようになった。2003年4月必死の努力が実り、雅人と同じ医大に合格。雅人も直子を祝福する。  　入学式で直子はC班に配属され、則杉康志(溝端淳平)、栗山和気(市川知宏)、中国からの留学生である頼陽華(木村文乃)、蓑屋進(近藤公園)、滝ノ原幸一(森廉)らの仲間と出会う。新たな仲間たちとの出会いだったが、直子は雅人のことが気にかかってしようがない。雅人からやっと電話があり、直子の下宿に今から向かうと連絡が入った。喜び勇んで久しぶりに迎えた雅人の横には、恋人・原田彩(菅野美穂)がいた。雅人の医大の同期である彩は、美貌と知性を兼ね備えた優秀な研究医で…。</v>
      </c>
      <c r="N1367" s="2"/>
      <c r="O1367" s="2"/>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row>
    <row r="1368" ht="204.75" customHeight="1">
      <c r="A1368" s="1">
        <v>4140.0</v>
      </c>
      <c r="B1368" s="2" t="s">
        <v>4374</v>
      </c>
      <c r="C1368" s="2">
        <f>IFERROR(__xludf.DUMMYFUNCTION("split(B1368,""_"")"),1110.0)</f>
        <v>1110</v>
      </c>
      <c r="D1368" s="2" t="str">
        <f>IFERROR(__xludf.DUMMYFUNCTION("""COMPUTED_VALUE"""),"CX")</f>
        <v>CX</v>
      </c>
      <c r="E1368" s="2" t="str">
        <f>IFERROR(__xludf.DUMMYFUNCTION("""COMPUTED_VALUE"""),"木22")</f>
        <v>木22</v>
      </c>
      <c r="F1368" s="2" t="s">
        <v>4375</v>
      </c>
      <c r="G1368" s="2" t="s">
        <v>4379</v>
      </c>
      <c r="H1368" s="1">
        <v>2.0</v>
      </c>
      <c r="I1368" s="1" t="s">
        <v>7</v>
      </c>
      <c r="J1368" s="1" t="s">
        <v>86</v>
      </c>
      <c r="K1368" s="2" t="s">
        <v>4380</v>
      </c>
      <c r="L1368" s="2" t="s">
        <v>4381</v>
      </c>
      <c r="M1368" s="2" t="str">
        <f>IFERROR(__xludf.DUMMYFUNCTION("split(split(K1368,""森本直子:　"",false),""公式LINE"",false)"),"事故現場で立ち尽くすしかなかった森本直子(榮倉奈々)は、失意のままアパートへ戻った。一方、直子に医師らしい処置を見せつけることができた原田彩(菅野美穂)は、高揚した気分のまま池澤雅人(ARATA)とマンションに戻る。そして雅人に甘え、結婚しよう、と言った。そのあまりに唐突な提案に、雅人は戸惑う。  　翌朝、教授の霧島(佐野史郎)に呼ばれた彩は、自分の代行で直子ら新入生の講義を担当するよう言われる。それを了承した彩は、来月結婚することにしたと霧島に報告した。彩と雅人の結婚の噂はまたたく間に広がり、雅人は同期"&amp;"の細川裕司(山崎樹範)らから祝いの言葉をかけられた。  　その頃、彩は新入生の講義を行っていたが、直子は前日に雨に濡れたせいで風邪をひき、講義を途中退席してしまう。そんな直子を、同級生の則杉康志(溝端淳平)らは心配する。  　そんな中、雅人は彩を呼び出し、結婚に関してひとりで決めないでくれ、と不満をあらわにする。しかし彩は、雅人は自分と結婚したくないのか、と言い返す。そして、直子が風邪をひいたようだと話題を替えると、様子を見に行きたいのでアパートの鍵を貸して欲しいと頼む。勢いに押された雅人は、鍵を渡してし"&amp;"まう。  　直子のアパートにやってきた彩は部屋に上がると、病状を聞き診察を始める。そして帰り際、自分と雅人は来月結婚することになったと告げた。衝撃的な告白に、直子は茫然とし…。")</f>
        <v>事故現場で立ち尽くすしかなかった森本直子(榮倉奈々)は、失意のままアパートへ戻った。一方、直子に医師らしい処置を見せつけることができた原田彩(菅野美穂)は、高揚した気分のまま池澤雅人(ARATA)とマンションに戻る。そして雅人に甘え、結婚しよう、と言った。そのあまりに唐突な提案に、雅人は戸惑う。  　翌朝、教授の霧島(佐野史郎)に呼ばれた彩は、自分の代行で直子ら新入生の講義を担当するよう言われる。それを了承した彩は、来月結婚することにしたと霧島に報告した。彩と雅人の結婚の噂はまたたく間に広がり、雅人は同期の細川裕司(山崎樹範)らから祝いの言葉をかけられた。  　その頃、彩は新入生の講義を行っていたが、直子は前日に雨に濡れたせいで風邪をひき、講義を途中退席してしまう。そんな直子を、同級生の則杉康志(溝端淳平)らは心配する。  　そんな中、雅人は彩を呼び出し、結婚に関してひとりで決めないでくれ、と不満をあらわにする。しかし彩は、雅人は自分と結婚したくないのか、と言い返す。そして、直子が風邪をひいたようだと話題を替えると、様子を見に行きたいのでアパートの鍵を貸して欲しいと頼む。勢いに押された雅人は、鍵を渡してしまう。  　直子のアパートにやってきた彩は部屋に上がると、病状を聞き診察を始める。そして帰り際、自分と雅人は来月結婚することになったと告げた。衝撃的な告白に、直子は茫然とし…。</v>
      </c>
      <c r="N1368" s="2"/>
      <c r="O1368" s="2"/>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row>
    <row r="1369" ht="204.75" customHeight="1">
      <c r="A1369" s="1">
        <v>4141.0</v>
      </c>
      <c r="B1369" s="2" t="s">
        <v>4374</v>
      </c>
      <c r="C1369" s="2">
        <f>IFERROR(__xludf.DUMMYFUNCTION("split(B1369,""_"")"),1110.0)</f>
        <v>1110</v>
      </c>
      <c r="D1369" s="2" t="str">
        <f>IFERROR(__xludf.DUMMYFUNCTION("""COMPUTED_VALUE"""),"CX")</f>
        <v>CX</v>
      </c>
      <c r="E1369" s="2" t="str">
        <f>IFERROR(__xludf.DUMMYFUNCTION("""COMPUTED_VALUE"""),"木22")</f>
        <v>木22</v>
      </c>
      <c r="F1369" s="2" t="s">
        <v>4375</v>
      </c>
      <c r="G1369" s="2" t="s">
        <v>4382</v>
      </c>
      <c r="H1369" s="1">
        <v>3.0</v>
      </c>
      <c r="I1369" s="1" t="s">
        <v>10</v>
      </c>
      <c r="J1369" s="1" t="s">
        <v>86</v>
      </c>
      <c r="K1369" s="2" t="s">
        <v>4383</v>
      </c>
      <c r="L1369" s="2" t="s">
        <v>4384</v>
      </c>
      <c r="M1369" s="2" t="str">
        <f>IFERROR(__xludf.DUMMYFUNCTION("split(split(K1369,""森本直子:　"",false),""公式LINE"",false)"),"森本直子(榮倉奈々)は、原田彩(菅野美穂)と池澤雅人(ARATA)の結婚式に出席した後、今日からは雅人に関係なく自分のために勉強し、立派な医師になろうと心に決めた。  　一方、彩と雅人は結婚式の直後から仕事に戻っていたが、夜になり、雅人が研究室に彩を迎えにきた。しかし、仕事が終わらない彩は先に帰るよう雅人に告げる。そして、明朝からは家政婦が一切の家事をやってくれると話した。  　後日、直子は則杉康志(溝端淳平)、栗山和気(市川知宏)、頼陽華(木村文乃)らと念願のディズニーランドに向かっていた。楽しそうには"&amp;"しゃぐ直子に、康志らも盛り上がる。  　そんな折、彩の論文が権威ある医学雑誌に掲載されると聞いた雅人は、彩と話がしたいと思い自宅に戻るが、彩は疲れ切って眠っていた。そして翌朝、論文の件を切り出すが忙しい彩の態度はそっけない。さらにその夜も、雅人が帰宅してもパソコンに集中している彩は反応しない。雅人はそんな彩に、自分たちは結婚する必要があったのだろうか、と怒りをぶつける。しかし彩は、雅人なら何も言わなくてもわかってくれると思っていたと驚いたように答える。  　同じ頃、アパートにいた直子は、大学で見かけた雅人"&amp;"の顔色が優れなかったことを思い出し、雅人は幸せではない、と考えていた。  　そして翌日、直子は偶然、雅人に再会する。楽しそうに微笑み合う2人を、遠くから彩が見ていたーー。")</f>
        <v>森本直子(榮倉奈々)は、原田彩(菅野美穂)と池澤雅人(ARATA)の結婚式に出席した後、今日からは雅人に関係なく自分のために勉強し、立派な医師になろうと心に決めた。  　一方、彩と雅人は結婚式の直後から仕事に戻っていたが、夜になり、雅人が研究室に彩を迎えにきた。しかし、仕事が終わらない彩は先に帰るよう雅人に告げる。そして、明朝からは家政婦が一切の家事をやってくれると話した。  　後日、直子は則杉康志(溝端淳平)、栗山和気(市川知宏)、頼陽華(木村文乃)らと念願のディズニーランドに向かっていた。楽しそうにはしゃぐ直子に、康志らも盛り上がる。  　そんな折、彩の論文が権威ある医学雑誌に掲載されると聞いた雅人は、彩と話がしたいと思い自宅に戻るが、彩は疲れ切って眠っていた。そして翌朝、論文の件を切り出すが忙しい彩の態度はそっけない。さらにその夜も、雅人が帰宅してもパソコンに集中している彩は反応しない。雅人はそんな彩に、自分たちは結婚する必要があったのだろうか、と怒りをぶつける。しかし彩は、雅人なら何も言わなくてもわかってくれると思っていたと驚いたように答える。  　同じ頃、アパートにいた直子は、大学で見かけた雅人の顔色が優れなかったことを思い出し、雅人は幸せではない、と考えていた。  　そして翌日、直子は偶然、雅人に再会する。楽しそうに微笑み合う2人を、遠くから彩が見ていたーー。</v>
      </c>
      <c r="N1369" s="2"/>
      <c r="O1369" s="2"/>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row>
    <row r="1370" ht="204.75" customHeight="1">
      <c r="A1370" s="1">
        <v>4142.0</v>
      </c>
      <c r="B1370" s="2" t="s">
        <v>4374</v>
      </c>
      <c r="C1370" s="2">
        <f>IFERROR(__xludf.DUMMYFUNCTION("split(B1370,""_"")"),1110.0)</f>
        <v>1110</v>
      </c>
      <c r="D1370" s="2" t="str">
        <f>IFERROR(__xludf.DUMMYFUNCTION("""COMPUTED_VALUE"""),"CX")</f>
        <v>CX</v>
      </c>
      <c r="E1370" s="2" t="str">
        <f>IFERROR(__xludf.DUMMYFUNCTION("""COMPUTED_VALUE"""),"木22")</f>
        <v>木22</v>
      </c>
      <c r="F1370" s="2" t="s">
        <v>4375</v>
      </c>
      <c r="G1370" s="2" t="s">
        <v>4385</v>
      </c>
      <c r="H1370" s="1">
        <v>4.0</v>
      </c>
      <c r="I1370" s="1" t="s">
        <v>14</v>
      </c>
      <c r="J1370" s="1" t="s">
        <v>86</v>
      </c>
      <c r="K1370" s="2" t="s">
        <v>4386</v>
      </c>
      <c r="L1370" s="2" t="s">
        <v>4387</v>
      </c>
      <c r="M1370" s="2" t="str">
        <f>IFERROR(__xludf.DUMMYFUNCTION("split(split(K1370,""森本直子:　"",false),""公式LINE"",false)"),"森本直子(榮倉奈々)は、部屋のドアの前に立つ原田彩(菅野美穂)から池澤雅人(ARATA)を惑わすようなことはするな、と警告される。硬直した直子は、彩が去ったあとも動くことが出来ない。するとそこへ、直子を心配した雅人がやってくる。直子から事情を聞いた雅人は、直子をやさしく気遣った。その頃、アパートの外にいた彩は、直子よりすべてが優れている自分がなぜこんな思いをするのか、と怒りに震えていた。　翌朝、研究室にいた彩を雅人が訪ねてきた。雅人は彩に、自分たちのことでなぜ直子を責めるのかと言い、直子から聞いたことを話"&amp;"した。すると彩は驚いたような顔で自分は直子の部屋に行った覚えはない、直子の妄想ではないか、と返した。  　一方、直子も昨夜のことを頼陽華(木村文乃)に話していた。陽華は、今後雅人と彩には会わないほうがいいと言い、2人と距離を置くためにも自分と住む場所を交換しようと提案、直子はそれを承諾させられる。そんな折、雅人から電話がかかってくるが、陽華に見張られた直子は電話を取ることができない。さらに、心配した雅人がアパートを訪ねてくると、陽華は直子は旅に出たとウソをつく。  　自宅に戻った雅人は、彩に自分たちはもう"&amp;"難しいのでは、と告げた。それを否定した彩は、うまくいかない原因は直子にあると主張する。  　翌朝、直子に雅人から電話がかかってくる。直子は我慢できず、電話に出てしまい…。")</f>
        <v>森本直子(榮倉奈々)は、部屋のドアの前に立つ原田彩(菅野美穂)から池澤雅人(ARATA)を惑わすようなことはするな、と警告される。硬直した直子は、彩が去ったあとも動くことが出来ない。するとそこへ、直子を心配した雅人がやってくる。直子から事情を聞いた雅人は、直子をやさしく気遣った。その頃、アパートの外にいた彩は、直子よりすべてが優れている自分がなぜこんな思いをするのか、と怒りに震えていた。　翌朝、研究室にいた彩を雅人が訪ねてきた。雅人は彩に、自分たちのことでなぜ直子を責めるのかと言い、直子から聞いたことを話した。すると彩は驚いたような顔で自分は直子の部屋に行った覚えはない、直子の妄想ではないか、と返した。  　一方、直子も昨夜のことを頼陽華(木村文乃)に話していた。陽華は、今後雅人と彩には会わないほうがいいと言い、2人と距離を置くためにも自分と住む場所を交換しようと提案、直子はそれを承諾させられる。そんな折、雅人から電話がかかってくるが、陽華に見張られた直子は電話を取ることができない。さらに、心配した雅人がアパートを訪ねてくると、陽華は直子は旅に出たとウソをつく。  　自宅に戻った雅人は、彩に自分たちはもう難しいのでは、と告げた。それを否定した彩は、うまくいかない原因は直子にあると主張する。  　翌朝、直子に雅人から電話がかかってくる。直子は我慢できず、電話に出てしまい…。</v>
      </c>
      <c r="N1370" s="2"/>
      <c r="O1370" s="2"/>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row>
    <row r="1371" ht="204.75" customHeight="1">
      <c r="A1371" s="1">
        <v>4143.0</v>
      </c>
      <c r="B1371" s="2" t="s">
        <v>4374</v>
      </c>
      <c r="C1371" s="2">
        <f>IFERROR(__xludf.DUMMYFUNCTION("split(B1371,""_"")"),1110.0)</f>
        <v>1110</v>
      </c>
      <c r="D1371" s="2" t="str">
        <f>IFERROR(__xludf.DUMMYFUNCTION("""COMPUTED_VALUE"""),"CX")</f>
        <v>CX</v>
      </c>
      <c r="E1371" s="2" t="str">
        <f>IFERROR(__xludf.DUMMYFUNCTION("""COMPUTED_VALUE"""),"木22")</f>
        <v>木22</v>
      </c>
      <c r="F1371" s="2" t="s">
        <v>4375</v>
      </c>
      <c r="G1371" s="2" t="s">
        <v>4388</v>
      </c>
      <c r="H1371" s="1">
        <v>5.0</v>
      </c>
      <c r="I1371" s="1" t="s">
        <v>17</v>
      </c>
      <c r="J1371" s="1" t="s">
        <v>86</v>
      </c>
      <c r="K1371" s="2" t="s">
        <v>4389</v>
      </c>
      <c r="L1371" s="2" t="s">
        <v>4390</v>
      </c>
      <c r="M1371" s="2" t="str">
        <f>IFERROR(__xludf.DUMMYFUNCTION("split(split(K1371,""森本直子:　"",false),""公式LINE"",false)"),"森本直子(榮倉奈々)は、則杉康志(溝端淳平)、頼陽華(木村文乃)、栗山和気(市川知宏)、蓑屋進(近藤公園)、滝ノ原幸一(森廉)ら同級生と居酒屋で飲んでいた。そんな時、池澤雅人(ARATA)から、「明日、会えないか」というメールが届く。  　その頃、原田彩(菅野美穂)と自宅にいた雅人は、教授・滝ノ原(升毅)の勧めでアメリカの大学に留学することを決めたので、その前に離婚して欲しいと切り出した。しかし彩は、しばらく距離を置けばお互い冷静になれるから、と言って取り合わない。それどころか、自分が望んだことで叶わなか"&amp;"ったことは一度もない、雅人は必ずもう一度自分を求めるだろう、と自信を見せた。  　翌日の夜、直子の部屋に雅人がやってきた。直子は雅人のために用意していた夕飯を出し、雅人はそれをおいしいと言って食べた。夕食後、ふたりで片づけをしていた時、雅人がアメリカ留学のことを打ち明けた。留学期間は最低でも4年になると告げられたが、直子はそれを冷静に聞いた。そして、雅人がいなくなったら恋や勉強に精を出し料理の腕も上達させようと、はしゃぐように話した。雅人はそれを笑顔で聞いていたが、直子の本心を痛いほどわかっていた。  　"&amp;"その後、部屋を後にする雅人を直子は笑顔で見送ったが、ひとりになった瞬間、泣き崩れてしまう。一方、自転車を走らせていた雅人は、何かを感じたように停止する。そして…。")</f>
        <v>森本直子(榮倉奈々)は、則杉康志(溝端淳平)、頼陽華(木村文乃)、栗山和気(市川知宏)、蓑屋進(近藤公園)、滝ノ原幸一(森廉)ら同級生と居酒屋で飲んでいた。そんな時、池澤雅人(ARATA)から、「明日、会えないか」というメールが届く。  　その頃、原田彩(菅野美穂)と自宅にいた雅人は、教授・滝ノ原(升毅)の勧めでアメリカの大学に留学することを決めたので、その前に離婚して欲しいと切り出した。しかし彩は、しばらく距離を置けばお互い冷静になれるから、と言って取り合わない。それどころか、自分が望んだことで叶わなかったことは一度もない、雅人は必ずもう一度自分を求めるだろう、と自信を見せた。  　翌日の夜、直子の部屋に雅人がやってきた。直子は雅人のために用意していた夕飯を出し、雅人はそれをおいしいと言って食べた。夕食後、ふたりで片づけをしていた時、雅人がアメリカ留学のことを打ち明けた。留学期間は最低でも4年になると告げられたが、直子はそれを冷静に聞いた。そして、雅人がいなくなったら恋や勉強に精を出し料理の腕も上達させようと、はしゃぐように話した。雅人はそれを笑顔で聞いていたが、直子の本心を痛いほどわかっていた。  　その後、部屋を後にする雅人を直子は笑顔で見送ったが、ひとりになった瞬間、泣き崩れてしまう。一方、自転車を走らせていた雅人は、何かを感じたように停止する。そして…。</v>
      </c>
      <c r="N1371" s="2"/>
      <c r="O1371" s="2"/>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row>
    <row r="1372" ht="204.75" customHeight="1">
      <c r="A1372" s="1">
        <v>4144.0</v>
      </c>
      <c r="B1372" s="2" t="s">
        <v>4374</v>
      </c>
      <c r="C1372" s="2">
        <f>IFERROR(__xludf.DUMMYFUNCTION("split(B1372,""_"")"),1110.0)</f>
        <v>1110</v>
      </c>
      <c r="D1372" s="2" t="str">
        <f>IFERROR(__xludf.DUMMYFUNCTION("""COMPUTED_VALUE"""),"CX")</f>
        <v>CX</v>
      </c>
      <c r="E1372" s="2" t="str">
        <f>IFERROR(__xludf.DUMMYFUNCTION("""COMPUTED_VALUE"""),"木22")</f>
        <v>木22</v>
      </c>
      <c r="F1372" s="2" t="s">
        <v>4375</v>
      </c>
      <c r="G1372" s="2" t="s">
        <v>4391</v>
      </c>
      <c r="H1372" s="1">
        <v>6.0</v>
      </c>
      <c r="I1372" s="1" t="s">
        <v>21</v>
      </c>
      <c r="J1372" s="1" t="s">
        <v>86</v>
      </c>
      <c r="K1372" s="2" t="s">
        <v>4392</v>
      </c>
      <c r="L1372" s="8" t="s">
        <v>4393</v>
      </c>
      <c r="M1372" s="2" t="str">
        <f>IFERROR(__xludf.DUMMYFUNCTION("split(split(K1372,""森本直子:　"",false),""公式LINE"",false)"),"「ワールドカップバレー2011女子　日本×ドイツ」延長の際、放送時間繰り下げの場合あり。　森本直子(榮倉奈々)は、滝ノ原教授(升毅)に呼ばれ、1枚のCTの画像を見せられた。わけがわからないまま画像を見た直子は、それを胆管がんではないかと診断した。滝ノ原はそれが自分の画像だと明かし、迫っている医学部長選挙までに誰にも知られずに手術したいのだと話した。滝ノ原は、出張だとごまかせる10日以内に手術し退院したいと告げ、直子はとても無理だと思うが、滝ノ原は執刀医次第だと主張した。そして、そこへ池澤雅人(ARATA)"&amp;"が入ってくる。滝ノ原の要請で、アメリカから一時帰国したのだ。  　直子と雅人は8年ぶりに再会したが言葉を交わす間もなく、滝ノ原は雅人に執刀を任せ、直子には雅人の助手として手術に加わるように依頼した。  　その後、雅人はついに離婚に同意した原田彩(菅野美穂)と会う。やはり8年ぶりに再会したふたりは、付き合っていた頃のような自然な関係に見えた。バッグから離婚届を出して見せた彩は、自分が役所に出しておくと言った。  　同じ頃、自宅に戻った直子は、早速、泊まり仕事となる滝ノ原の手術のための準備を終えた。そこへ、恋"&amp;"人の則杉康志(溝端淳平)が帰ってきた。直子は康志に、急きょ地方の病院に10日間の予定で出張することになったとウソをつく。しかし、康志は直子の様子がどこかおかしいと感じる。その日の夜、直子の脳裏には、滝ノ原の病巣の画像とともに、8年ぶりに見た雅人の凛々しい姿がよみがえり…。")</f>
        <v>「ワールドカップバレー2011女子　日本×ドイツ」延長の際、放送時間繰り下げの場合あり。　森本直子(榮倉奈々)は、滝ノ原教授(升毅)に呼ばれ、1枚のCTの画像を見せられた。わけがわからないまま画像を見た直子は、それを胆管がんではないかと診断した。滝ノ原はそれが自分の画像だと明かし、迫っている医学部長選挙までに誰にも知られずに手術したいのだと話した。滝ノ原は、出張だとごまかせる10日以内に手術し退院したいと告げ、直子はとても無理だと思うが、滝ノ原は執刀医次第だと主張した。そして、そこへ池澤雅人(ARATA)が入ってくる。滝ノ原の要請で、アメリカから一時帰国したのだ。  　直子と雅人は8年ぶりに再会したが言葉を交わす間もなく、滝ノ原は雅人に執刀を任せ、直子には雅人の助手として手術に加わるように依頼した。  　その後、雅人はついに離婚に同意した原田彩(菅野美穂)と会う。やはり8年ぶりに再会したふたりは、付き合っていた頃のような自然な関係に見えた。バッグから離婚届を出して見せた彩は、自分が役所に出しておくと言った。  　同じ頃、自宅に戻った直子は、早速、泊まり仕事となる滝ノ原の手術のための準備を終えた。そこへ、恋人の則杉康志(溝端淳平)が帰ってきた。直子は康志に、急きょ地方の病院に10日間の予定で出張することになったとウソをつく。しかし、康志は直子の様子がどこかおかしいと感じる。その日の夜、直子の脳裏には、滝ノ原の病巣の画像とともに、8年ぶりに見た雅人の凛々しい姿がよみがえり…。</v>
      </c>
      <c r="N1372" s="2"/>
      <c r="O1372" s="2"/>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row>
    <row r="1373" ht="204.75" customHeight="1">
      <c r="A1373" s="1">
        <v>4145.0</v>
      </c>
      <c r="B1373" s="2" t="s">
        <v>4374</v>
      </c>
      <c r="C1373" s="2">
        <f>IFERROR(__xludf.DUMMYFUNCTION("split(B1373,""_"")"),1110.0)</f>
        <v>1110</v>
      </c>
      <c r="D1373" s="2" t="str">
        <f>IFERROR(__xludf.DUMMYFUNCTION("""COMPUTED_VALUE"""),"CX")</f>
        <v>CX</v>
      </c>
      <c r="E1373" s="2" t="str">
        <f>IFERROR(__xludf.DUMMYFUNCTION("""COMPUTED_VALUE"""),"木22")</f>
        <v>木22</v>
      </c>
      <c r="F1373" s="2" t="s">
        <v>4375</v>
      </c>
      <c r="G1373" s="2" t="s">
        <v>4394</v>
      </c>
      <c r="H1373" s="1">
        <v>7.0</v>
      </c>
      <c r="I1373" s="1" t="s">
        <v>25</v>
      </c>
      <c r="J1373" s="1" t="s">
        <v>86</v>
      </c>
      <c r="K1373" s="2" t="s">
        <v>4395</v>
      </c>
      <c r="L1373" s="8" t="s">
        <v>4396</v>
      </c>
      <c r="M1373" s="2" t="str">
        <f>IFERROR(__xludf.DUMMYFUNCTION("split(split(K1373,""森本直子:　"",false),""公式LINE"",false)"),"「ワールドカップバレー2011男子日本×セルビア」延長の際、放送時間繰り下げの場合あり。　森本直子(榮倉奈々)は、池澤雅人(ARATA)から滝ノ原(升毅)が体調不良に陥ると得するのは誰かと聞かれ、病理の教授・霧島(佐野史郎)ではないかと答えた。病理という言葉に、雅人は滝ノ原の秘書を偽り電話をかけてきたのが、彩(菅野美穂)ではないかと思い当たる。  　そんな頃、則杉康志(溝端淳平)のもとに現れた彩は、直子が参加した播磨外科病院での特別な手術が成功してよかった、と試すように言い、直子から岩手に出張すると聞いて"&amp;"いた康志はとまどう。不安になった康志は直子にメールをし、岩手の様子を聞く。その頃、直子は播磨外科病院で雅人と軽食を取っていたが、康志のメールには岩手にいるかのように返信した。  　雅人と直子がともに極秘手術に関わっていると確信した彩は、やり切れない。しかし、その後会った雅人には、動揺は一切見せることはなかった。そして、手術のことをさりげなく聞くが、雅人は完全否定する。雅人は逆に彩に離婚届のことを聞き、自分が区役所に提出しようかと言った。彩は、医学部長選が終わったら自分が出すから、と断った。  　康志は自宅"&amp;"に戻った直子に、なぜ自分に嘘をつくのかと問いただす。直子は、患者の秘密を守るためだと説明するが、康志は納得しない。それどころか、病理の池澤准教授は知っていたのになぜ自分は知らないのか、と怒りをあらわにした。彩が知っていたという事実に、直子は衝撃を受ける。")</f>
        <v>「ワールドカップバレー2011男子日本×セルビア」延長の際、放送時間繰り下げの場合あり。　森本直子(榮倉奈々)は、池澤雅人(ARATA)から滝ノ原(升毅)が体調不良に陥ると得するのは誰かと聞かれ、病理の教授・霧島(佐野史郎)ではないかと答えた。病理という言葉に、雅人は滝ノ原の秘書を偽り電話をかけてきたのが、彩(菅野美穂)ではないかと思い当たる。  　そんな頃、則杉康志(溝端淳平)のもとに現れた彩は、直子が参加した播磨外科病院での特別な手術が成功してよかった、と試すように言い、直子から岩手に出張すると聞いていた康志はとまどう。不安になった康志は直子にメールをし、岩手の様子を聞く。その頃、直子は播磨外科病院で雅人と軽食を取っていたが、康志のメールには岩手にいるかのように返信した。  　雅人と直子がともに極秘手術に関わっていると確信した彩は、やり切れない。しかし、その後会った雅人には、動揺は一切見せることはなかった。そして、手術のことをさりげなく聞くが、雅人は完全否定する。雅人は逆に彩に離婚届のことを聞き、自分が区役所に提出しようかと言った。彩は、医学部長選が終わったら自分が出すから、と断った。  　康志は自宅に戻った直子に、なぜ自分に嘘をつくのかと問いただす。直子は、患者の秘密を守るためだと説明するが、康志は納得しない。それどころか、病理の池澤准教授は知っていたのになぜ自分は知らないのか、と怒りをあらわにした。彩が知っていたという事実に、直子は衝撃を受ける。</v>
      </c>
      <c r="N1373" s="2"/>
      <c r="O1373" s="2"/>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row>
    <row r="1374" ht="204.75" customHeight="1">
      <c r="A1374" s="1">
        <v>4146.0</v>
      </c>
      <c r="B1374" s="2" t="s">
        <v>4374</v>
      </c>
      <c r="C1374" s="2">
        <f>IFERROR(__xludf.DUMMYFUNCTION("split(B1374,""_"")"),1110.0)</f>
        <v>1110</v>
      </c>
      <c r="D1374" s="2" t="str">
        <f>IFERROR(__xludf.DUMMYFUNCTION("""COMPUTED_VALUE"""),"CX")</f>
        <v>CX</v>
      </c>
      <c r="E1374" s="2" t="str">
        <f>IFERROR(__xludf.DUMMYFUNCTION("""COMPUTED_VALUE"""),"木22")</f>
        <v>木22</v>
      </c>
      <c r="F1374" s="2" t="s">
        <v>4375</v>
      </c>
      <c r="G1374" s="2" t="s">
        <v>4397</v>
      </c>
      <c r="H1374" s="1">
        <v>8.0</v>
      </c>
      <c r="I1374" s="1" t="s">
        <v>29</v>
      </c>
      <c r="J1374" s="1" t="s">
        <v>86</v>
      </c>
      <c r="K1374" s="2" t="s">
        <v>4398</v>
      </c>
      <c r="L1374" s="2" t="s">
        <v>4399</v>
      </c>
      <c r="M1374" s="2" t="str">
        <f>IFERROR(__xludf.DUMMYFUNCTION("split(split(K1374,""森本直子:　"",false),""公式LINE"",false)"),"森本直子(榮倉奈々)は、則杉康志(溝端淳平)から、交際していた8年もの間、自分を騙していたと責められる。頼陽華(木村文乃)の必死の弁明も届かず、康志はついに「別れよう」と告げる。しかし、直子は黙ったまま何も言うことができない。康志が出ていった後、直子は自分が再び池澤雅人(ARATA)に惹かれていることを自覚する。康志を愛したいのに愛すことができず、封印したはずの思いが再燃してしまうことが、直子には哀しい。  　一週間後、病院では霧島(佐野史郎)と滝ノ原(升毅)の一騎打ちと目される医学部長選が始まった。病理"&amp;"学教室の彩(菅野美穂)、陽華、細川裕司(山崎樹範)は淡々と仕事を続け、外科病棟の雅人は直子を従え患者に病状を説明していた。  　雅人は彩を呼び出し離婚届を出してくれたかどうか確認すると、破り捨てたと告げられる。直子との関係性を隠し通し、自分を騙していたとなじる彩に雅人は、離婚調停も辞さないと告げるのだった。  　お互い相手に裏切られた彩と康志。康志は彩のマンションを訪れる。彩は康志に、直子と雅人は永遠にゴールはないのに惹かれ合っている、だからこそ私たちは絶対にかなわないと泣きながら言い放つ。そんな彩を康志"&amp;"はたまらず抱きしめるのだった…。  　ある日、直子と雅人は、雅人の洋服選びを楽しむ。そこでいろいろと話すうち、直子は、8年前のあのキスは何だったのか、と切り出した…。")</f>
        <v>森本直子(榮倉奈々)は、則杉康志(溝端淳平)から、交際していた8年もの間、自分を騙していたと責められる。頼陽華(木村文乃)の必死の弁明も届かず、康志はついに「別れよう」と告げる。しかし、直子は黙ったまま何も言うことができない。康志が出ていった後、直子は自分が再び池澤雅人(ARATA)に惹かれていることを自覚する。康志を愛したいのに愛すことができず、封印したはずの思いが再燃してしまうことが、直子には哀しい。  　一週間後、病院では霧島(佐野史郎)と滝ノ原(升毅)の一騎打ちと目される医学部長選が始まった。病理学教室の彩(菅野美穂)、陽華、細川裕司(山崎樹範)は淡々と仕事を続け、外科病棟の雅人は直子を従え患者に病状を説明していた。  　雅人は彩を呼び出し離婚届を出してくれたかどうか確認すると、破り捨てたと告げられる。直子との関係性を隠し通し、自分を騙していたとなじる彩に雅人は、離婚調停も辞さないと告げるのだった。  　お互い相手に裏切られた彩と康志。康志は彩のマンションを訪れる。彩は康志に、直子と雅人は永遠にゴールはないのに惹かれ合っている、だからこそ私たちは絶対にかなわないと泣きながら言い放つ。そんな彩を康志はたまらず抱きしめるのだった…。  　ある日、直子と雅人は、雅人の洋服選びを楽しむ。そこでいろいろと話すうち、直子は、8年前のあのキスは何だったのか、と切り出した…。</v>
      </c>
      <c r="N1374" s="2"/>
      <c r="O1374" s="2"/>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row>
    <row r="1375" ht="204.75" customHeight="1">
      <c r="A1375" s="1">
        <v>4147.0</v>
      </c>
      <c r="B1375" s="2" t="s">
        <v>4374</v>
      </c>
      <c r="C1375" s="2">
        <f>IFERROR(__xludf.DUMMYFUNCTION("split(B1375,""_"")"),1110.0)</f>
        <v>1110</v>
      </c>
      <c r="D1375" s="2" t="str">
        <f>IFERROR(__xludf.DUMMYFUNCTION("""COMPUTED_VALUE"""),"CX")</f>
        <v>CX</v>
      </c>
      <c r="E1375" s="2" t="str">
        <f>IFERROR(__xludf.DUMMYFUNCTION("""COMPUTED_VALUE"""),"木22")</f>
        <v>木22</v>
      </c>
      <c r="F1375" s="2" t="s">
        <v>4375</v>
      </c>
      <c r="G1375" s="2" t="s">
        <v>4400</v>
      </c>
      <c r="H1375" s="1">
        <v>9.0</v>
      </c>
      <c r="I1375" s="1" t="s">
        <v>33</v>
      </c>
      <c r="J1375" s="1" t="s">
        <v>82</v>
      </c>
      <c r="K1375" s="2" t="s">
        <v>4401</v>
      </c>
      <c r="L1375" s="2" t="s">
        <v>4402</v>
      </c>
      <c r="M1375" s="2" t="str">
        <f>IFERROR(__xludf.DUMMYFUNCTION("split(split(K1375,""森本直子:　"",false),""公式LINE"",false)"),"森本直子(榮倉奈々)と雅人(ARATA)が担当する患者、黒沢哲也(渡辺憲吉)に異常が起きた原因は投薬ミスだったが、そもそも正しかった投薬量を変更した覚えは直子になく、誰かが直子のIDを使ってカルテの投薬量を書きかえたとしか考えられないのだった。  　直子は自分のIDを教えたことがある則杉康志(溝端淳平)を疑い、雅人は彩(菅野美穂)の行動を振り返るのだった。直子は意を決して康志を問いただすが、自分をそんな風に見ていたのかと怒りを爆発させ、直子とやり直したいと思っていることをあらためて伝えるが直子は黙ってその"&amp;"場を去るのだった。一方、妻との関係を一向に精算しようとしない細川裕司(山崎樹範)にしびれをきらした頼陽華(木村文乃)は、病院でいきなり細川の頭からペンキをかけるといった行動に出る。そんな陽華を病理学研究室で彩が取りなし、細川も素直に陽華に頭を下げる。研究室は陽華を責める雰囲気に満ちるのだった。  　その頃康志は、マンションの前で彩を待っていた。必ず喜んでいただける話だから、と彩に語る康志の表情は不気味に輝いていた。  　問題はこれで終わらなかった。週刊誌に直子と雅人の投薬ミス問題が取りざたされてしまう。マ"&amp;"スコミも巻き込み問題は一気に拡大する。ついに直子と雅人は逃げ場のない窮地に追い込まれることに。")</f>
        <v>森本直子(榮倉奈々)と雅人(ARATA)が担当する患者、黒沢哲也(渡辺憲吉)に異常が起きた原因は投薬ミスだったが、そもそも正しかった投薬量を変更した覚えは直子になく、誰かが直子のIDを使ってカルテの投薬量を書きかえたとしか考えられないのだった。  　直子は自分のIDを教えたことがある則杉康志(溝端淳平)を疑い、雅人は彩(菅野美穂)の行動を振り返るのだった。直子は意を決して康志を問いただすが、自分をそんな風に見ていたのかと怒りを爆発させ、直子とやり直したいと思っていることをあらためて伝えるが直子は黙ってその場を去るのだった。一方、妻との関係を一向に精算しようとしない細川裕司(山崎樹範)にしびれをきらした頼陽華(木村文乃)は、病院でいきなり細川の頭からペンキをかけるといった行動に出る。そんな陽華を病理学研究室で彩が取りなし、細川も素直に陽華に頭を下げる。研究室は陽華を責める雰囲気に満ちるのだった。  　その頃康志は、マンションの前で彩を待っていた。必ず喜んでいただける話だから、と彩に語る康志の表情は不気味に輝いていた。  　問題はこれで終わらなかった。週刊誌に直子と雅人の投薬ミス問題が取りざたされてしまう。マスコミも巻き込み問題は一気に拡大する。ついに直子と雅人は逃げ場のない窮地に追い込まれることに。</v>
      </c>
      <c r="N1375" s="2"/>
      <c r="O1375" s="2"/>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row>
    <row r="1376" ht="204.75" customHeight="1">
      <c r="A1376" s="1">
        <v>4148.0</v>
      </c>
      <c r="B1376" s="2" t="s">
        <v>4374</v>
      </c>
      <c r="C1376" s="2">
        <f>IFERROR(__xludf.DUMMYFUNCTION("split(B1376,""_"")"),1110.0)</f>
        <v>1110</v>
      </c>
      <c r="D1376" s="2" t="str">
        <f>IFERROR(__xludf.DUMMYFUNCTION("""COMPUTED_VALUE"""),"CX")</f>
        <v>CX</v>
      </c>
      <c r="E1376" s="2" t="str">
        <f>IFERROR(__xludf.DUMMYFUNCTION("""COMPUTED_VALUE"""),"木22")</f>
        <v>木22</v>
      </c>
      <c r="F1376" s="2" t="s">
        <v>4375</v>
      </c>
      <c r="G1376" s="2" t="s">
        <v>4403</v>
      </c>
      <c r="H1376" s="1">
        <v>10.0</v>
      </c>
      <c r="I1376" s="1" t="s">
        <v>37</v>
      </c>
      <c r="J1376" s="1" t="s">
        <v>86</v>
      </c>
      <c r="K1376" s="2" t="s">
        <v>4404</v>
      </c>
      <c r="L1376" s="2" t="s">
        <v>4405</v>
      </c>
      <c r="M1376" s="2" t="str">
        <f>IFERROR(__xludf.DUMMYFUNCTION("split(split(K1376,""森本直子:　"",false),""公式LINE"",false)"),"直子(榮倉奈々)と雅人(ARATA)を決して許さないと言い放ちその場を去った康志(溝端淳平)の狂気はとどまるところを知らなかった。すべてが2人の関係を許さない状況になればなるほど2人の結びつきは強固なものになるのだった。2人は病院をやめることを覚悟する。  　2人の関係が雑誌に掲載され、病院では霧島教授(佐野史郎)が嬉々として雑誌をコピーし、滝ノ原教授(升毅)は茫然自失。そんな中、直子の親でもあり雅人の兄でもある洋介(阿南健治)と久子(キムラ緑子)は真相を明らかにしようと彩(菅野美穂)のもとをたずね牛窓の"&amp;"実家から上京する。  　信じられない、真実ではないのだろうと迫る2人に彩は、直子と雅人の関係は事実だと両親に告げる。雅人がピッツバーグに向かったのも直子のことを忘れるため、康志も直子にとっては雅人を忘れるための存在でしかなかったと涙ながらに語り、2人を許してあげて欲しいと訴える。が、これもすべて彩のある計算からきている行動だった。  　洋介と久子は直子の家を訪ねる。直子と雅人の関係を終わらせようと久子は直子を、洋介は雅人を説得にかかる。久子は自分自身のある驚きの過去についても直子に打ち明けるのだった。  "&amp;"　康志はマスコミに情報を売り続け、続報が世の中をかけめぐることに。  　直子と雅人、そして実家の両親までも追い込んでいく内容が…。")</f>
        <v>直子(榮倉奈々)と雅人(ARATA)を決して許さないと言い放ちその場を去った康志(溝端淳平)の狂気はとどまるところを知らなかった。すべてが2人の関係を許さない状況になればなるほど2人の結びつきは強固なものになるのだった。2人は病院をやめることを覚悟する。  　2人の関係が雑誌に掲載され、病院では霧島教授(佐野史郎)が嬉々として雑誌をコピーし、滝ノ原教授(升毅)は茫然自失。そんな中、直子の親でもあり雅人の兄でもある洋介(阿南健治)と久子(キムラ緑子)は真相を明らかにしようと彩(菅野美穂)のもとをたずね牛窓の実家から上京する。  　信じられない、真実ではないのだろうと迫る2人に彩は、直子と雅人の関係は事実だと両親に告げる。雅人がピッツバーグに向かったのも直子のことを忘れるため、康志も直子にとっては雅人を忘れるための存在でしかなかったと涙ながらに語り、2人を許してあげて欲しいと訴える。が、これもすべて彩のある計算からきている行動だった。  　洋介と久子は直子の家を訪ねる。直子と雅人の関係を終わらせようと久子は直子を、洋介は雅人を説得にかかる。久子は自分自身のある驚きの過去についても直子に打ち明けるのだった。  　康志はマスコミに情報を売り続け、続報が世の中をかけめぐることに。  　直子と雅人、そして実家の両親までも追い込んでいく内容が…。</v>
      </c>
      <c r="N1376" s="2"/>
      <c r="O1376" s="2"/>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row>
    <row r="1377" ht="204.75" customHeight="1">
      <c r="A1377" s="1">
        <v>4149.0</v>
      </c>
      <c r="B1377" s="2" t="s">
        <v>4374</v>
      </c>
      <c r="C1377" s="2">
        <f>IFERROR(__xludf.DUMMYFUNCTION("split(B1377,""_"")"),1110.0)</f>
        <v>1110</v>
      </c>
      <c r="D1377" s="2" t="str">
        <f>IFERROR(__xludf.DUMMYFUNCTION("""COMPUTED_VALUE"""),"CX")</f>
        <v>CX</v>
      </c>
      <c r="E1377" s="2" t="str">
        <f>IFERROR(__xludf.DUMMYFUNCTION("""COMPUTED_VALUE"""),"木22")</f>
        <v>木22</v>
      </c>
      <c r="F1377" s="2" t="s">
        <v>4375</v>
      </c>
      <c r="G1377" s="2" t="s">
        <v>4406</v>
      </c>
      <c r="H1377" s="1">
        <v>11.0</v>
      </c>
      <c r="I1377" s="1" t="s">
        <v>41</v>
      </c>
      <c r="J1377" s="1" t="s">
        <v>82</v>
      </c>
      <c r="K1377" s="2" t="s">
        <v>4407</v>
      </c>
      <c r="L1377" s="2" t="s">
        <v>4408</v>
      </c>
      <c r="M1377" s="2" t="str">
        <f>IFERROR(__xludf.DUMMYFUNCTION("split(split(K1377,""森本直子:　"",false),""公式LINE"",false)"),"東和医大付属病院をやめた直子(榮倉奈々)と雅人(ARATA)。2人は医師として働ける場所を探し求め、2人で生きていける場所を求めさまよい、ある駅にたどり着く。  　医師として働く場をなんとかして見つける2人だったが、どこからか院長の耳に2人の噂が届くのだった・・・。2人が平穏に過ごせる場所は見つかるのか・・・。　2人は、口には出さないが、互いに輝かしいはずだった相手の未来を奪ってしまったことに心を痛めていた。  　一方、彩(菅野美穂)は突如、病理研究室で倒れ病院に運ばれる。激しいめまいに襲われる彩だったが"&amp;"原因はわからない。彩のもとを見舞いに訪れた細川(山崎樹範)に彩は、直子と雅人の2人が目の前から姿を消し、体が悲鳴を上げたのではないかと分析するのだった。一方、康志(溝端淳平)は直子と雅人を糾弾する手をゆるめず、雑誌社に情報を売り続けていた。利害関係が一致するはずと康志は霧島教授(佐野史郎)に近づくのだった。霧島教授が康志に対して発した言葉とは。  　その頃、直子のもとに牛窓に住む母親・久子(キムラ緑子)が倒れたという情報が耳に届き・・・。")</f>
        <v>東和医大付属病院をやめた直子(榮倉奈々)と雅人(ARATA)。2人は医師として働ける場所を探し求め、2人で生きていける場所を求めさまよい、ある駅にたどり着く。  　医師として働く場をなんとかして見つける2人だったが、どこからか院長の耳に2人の噂が届くのだった・・・。2人が平穏に過ごせる場所は見つかるのか・・・。　2人は、口には出さないが、互いに輝かしいはずだった相手の未来を奪ってしまったことに心を痛めていた。  　一方、彩(菅野美穂)は突如、病理研究室で倒れ病院に運ばれる。激しいめまいに襲われる彩だったが原因はわからない。彩のもとを見舞いに訪れた細川(山崎樹範)に彩は、直子と雅人の2人が目の前から姿を消し、体が悲鳴を上げたのではないかと分析するのだった。一方、康志(溝端淳平)は直子と雅人を糾弾する手をゆるめず、雑誌社に情報を売り続けていた。利害関係が一致するはずと康志は霧島教授(佐野史郎)に近づくのだった。霧島教授が康志に対して発した言葉とは。  　その頃、直子のもとに牛窓に住む母親・久子(キムラ緑子)が倒れたという情報が耳に届き・・・。</v>
      </c>
      <c r="N1377" s="2"/>
      <c r="O1377" s="2"/>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row>
    <row r="1378" ht="204.75" customHeight="1">
      <c r="A1378" s="1">
        <v>4188.0</v>
      </c>
      <c r="B1378" s="2" t="s">
        <v>4409</v>
      </c>
      <c r="C1378" s="2">
        <f>IFERROR(__xludf.DUMMYFUNCTION("split(B1378,""_"")"),1110.0)</f>
        <v>1110</v>
      </c>
      <c r="D1378" s="2" t="str">
        <f>IFERROR(__xludf.DUMMYFUNCTION("""COMPUTED_VALUE"""),"CX")</f>
        <v>CX</v>
      </c>
      <c r="E1378" s="2" t="str">
        <f>IFERROR(__xludf.DUMMYFUNCTION("""COMPUTED_VALUE"""),"日21")</f>
        <v>日21</v>
      </c>
      <c r="F1378" s="2" t="s">
        <v>4410</v>
      </c>
      <c r="G1378" s="2" t="s">
        <v>4411</v>
      </c>
      <c r="H1378" s="1">
        <v>1.0</v>
      </c>
      <c r="I1378" s="1" t="s">
        <v>3</v>
      </c>
      <c r="J1378" s="1" t="s">
        <v>4</v>
      </c>
      <c r="K1378" s="4" t="s">
        <v>4412</v>
      </c>
      <c r="L1378" s="2" t="s">
        <v>4413</v>
      </c>
      <c r="M1378" s="2" t="str">
        <f>IFERROR(__xludf.DUMMYFUNCTION("split(split(K1378,""西島秀俊　"",false),""公式LINE"",false)"),"星以外に興味のないR40の独身男が、韓国のトップ女優のボディガードに!  　契約終了までの99日間で2人の距離は縮まるのか!西島秀俊&amp;キム・テヒがおくる、この秋最高のラブコメディー!      　並木航平(西島秀俊)は、警備会社で20年もバイトを続けている38歳の独身男性。社長の三枝恵実子(倍賞美津子)に翌日の休日返上を言いわたされ、趣味であり唯一の楽しみである天体観測に行けなくなるとふてくされていた。　韓国のスター女優ハン・ユナ(キム・テヒ)は、ホテルで翌日の来日にそなえつつ、日本のガイドブックを見なが"&amp;"らくつろいでいた。そんなユナを見て、事務所社長の芹沢直子(朝加真由美)は極力日本語を使うことと、どんな場所でも決して隙を見せないようにと厳しく注意する。  　ユナの来日で羽田空港にたくさんのファンや報道陣が詰めかける中、近くでつぼの警備にあたっていた航平は、ファンの人たちに押しつぶされそうになる小さな子供を守ろうと飛び出し、子供は守ったものの逆に混乱を招いてしまった。なんとか切り抜け、ドラマの制作発表に向かうユナたち。会見ではスキャンダルを狙うパパラッチの橋爪和哉(要潤)の質問をかわし、共演者である日本の"&amp;"トップ俳優の高鍋大和(佐々木蔵之介)と笑顔を見せるユナ。とある居酒屋には、背後のニュースから流れるユナの来日の映像をさして気にすることなくビールを飲んでいる男・テソン(テギョン)がいた。")</f>
        <v>星以外に興味のないR40の独身男が、韓国のトップ女優のボディガードに!  　契約終了までの99日間で2人の距離は縮まるのか!西島秀俊&amp;キム・テヒがおくる、この秋最高のラブコメディー!      　並木航平(西島秀俊)は、警備会社で20年もバイトを続けている38歳の独身男性。社長の三枝恵実子(倍賞美津子)に翌日の休日返上を言いわたされ、趣味であり唯一の楽しみである天体観測に行けなくなるとふてくされていた。　韓国のスター女優ハン・ユナ(キム・テヒ)は、ホテルで翌日の来日にそなえつつ、日本のガイドブックを見ながらくつろいでいた。そんなユナを見て、事務所社長の芹沢直子(朝加真由美)は極力日本語を使うことと、どんな場所でも決して隙を見せないようにと厳しく注意する。  　ユナの来日で羽田空港にたくさんのファンや報道陣が詰めかける中、近くでつぼの警備にあたっていた航平は、ファンの人たちに押しつぶされそうになる小さな子供を守ろうと飛び出し、子供は守ったものの逆に混乱を招いてしまった。なんとか切り抜け、ドラマの制作発表に向かうユナたち。会見ではスキャンダルを狙うパパラッチの橋爪和哉(要潤)の質問をかわし、共演者である日本のトップ俳優の高鍋大和(佐々木蔵之介)と笑顔を見せるユナ。とある居酒屋には、背後のニュースから流れるユナの来日の映像をさして気にすることなくビールを飲んでいる男・テソン(テギョン)がいた。</v>
      </c>
      <c r="N1378" s="2"/>
      <c r="O1378" s="2"/>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row>
    <row r="1379" ht="204.75" customHeight="1">
      <c r="A1379" s="1">
        <v>4189.0</v>
      </c>
      <c r="B1379" s="2" t="s">
        <v>4409</v>
      </c>
      <c r="C1379" s="2">
        <f>IFERROR(__xludf.DUMMYFUNCTION("split(B1379,""_"")"),1110.0)</f>
        <v>1110</v>
      </c>
      <c r="D1379" s="2" t="str">
        <f>IFERROR(__xludf.DUMMYFUNCTION("""COMPUTED_VALUE"""),"CX")</f>
        <v>CX</v>
      </c>
      <c r="E1379" s="2" t="str">
        <f>IFERROR(__xludf.DUMMYFUNCTION("""COMPUTED_VALUE"""),"日21")</f>
        <v>日21</v>
      </c>
      <c r="F1379" s="2" t="s">
        <v>4410</v>
      </c>
      <c r="G1379" s="2" t="s">
        <v>4414</v>
      </c>
      <c r="H1379" s="1">
        <v>2.0</v>
      </c>
      <c r="I1379" s="1" t="s">
        <v>7</v>
      </c>
      <c r="J1379" s="1" t="s">
        <v>11</v>
      </c>
      <c r="K1379" s="2" t="s">
        <v>4415</v>
      </c>
      <c r="L1379" s="2" t="s">
        <v>4416</v>
      </c>
      <c r="M1379" s="2" t="str">
        <f>IFERROR(__xludf.DUMMYFUNCTION("split(split(K1379,""西島秀俊　"",false),""公式LINE"",false)"),"ホテルを抜け出して行った飲食店で、たまたま話したサラリーマンとの2ショット写真が週刊誌に掲載されてしまったハン・ユナ(キム・テヒ)。怒った芹沢直子(朝加真由美)は並木航平(西島秀俊)に24時間の監視を言い渡す。  　高鍋大和(佐々木蔵之介)は、ユナに付き添いドラマの撮影現場にやってきた航平が気になってしかたない。しばらく航平を見つめていた高鍋だが、ふと何かを思い出し…。  　航平から帰れないと連絡を受けた並木桃(桜庭ななみ)は、着替えを手にユナが滞在しているホテルを訪ねた。急な親切をいぶかしむ航平だが、桃"&amp;"は服と一緒に崩れた星のジグソーパズルも持ってきた。パズルは航平が完成させて部屋に置いておいたものだが、並木菫(石橋宇輪)と蓮(椙杜翔馬)がうっかり壊してしまったのだ。帰ろうとした桃だが、お客さんから苦情がきたとホテルの警備員室に連れて行かれてしまった。航平が弁解に向かい、すぐに桃は解放。しかし、部屋の前を離れてしまったことに気付き、慌てて戻ろうとして乗り込もうとしたエレベーターの中から変装したユナが出てきた。とっさに変装に気付いた航平は、間一髪でユナをつかまえ逃亡を防ぐことに成功した。  　部屋に戻ったユ"&amp;"ナは、何かをたくらみフロントに電話を入れる。航平はドア前に座りこみ、桃が持ってきたジグソーパズルをやり始めた。しばらくすると、航平の前にユナの付き人のヒジン(韓英恵)が現れた…。")</f>
        <v>ホテルを抜け出して行った飲食店で、たまたま話したサラリーマンとの2ショット写真が週刊誌に掲載されてしまったハン・ユナ(キム・テヒ)。怒った芹沢直子(朝加真由美)は並木航平(西島秀俊)に24時間の監視を言い渡す。  　高鍋大和(佐々木蔵之介)は、ユナに付き添いドラマの撮影現場にやってきた航平が気になってしかたない。しばらく航平を見つめていた高鍋だが、ふと何かを思い出し…。  　航平から帰れないと連絡を受けた並木桃(桜庭ななみ)は、着替えを手にユナが滞在しているホテルを訪ねた。急な親切をいぶかしむ航平だが、桃は服と一緒に崩れた星のジグソーパズルも持ってきた。パズルは航平が完成させて部屋に置いておいたものだが、並木菫(石橋宇輪)と蓮(椙杜翔馬)がうっかり壊してしまったのだ。帰ろうとした桃だが、お客さんから苦情がきたとホテルの警備員室に連れて行かれてしまった。航平が弁解に向かい、すぐに桃は解放。しかし、部屋の前を離れてしまったことに気付き、慌てて戻ろうとして乗り込もうとしたエレベーターの中から変装したユナが出てきた。とっさに変装に気付いた航平は、間一髪でユナをつかまえ逃亡を防ぐことに成功した。  　部屋に戻ったユナは、何かをたくらみフロントに電話を入れる。航平はドア前に座りこみ、桃が持ってきたジグソーパズルをやり始めた。しばらくすると、航平の前にユナの付き人のヒジン(韓英恵)が現れた…。</v>
      </c>
      <c r="N1379" s="2"/>
      <c r="O1379" s="2"/>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row>
    <row r="1380" ht="204.75" customHeight="1">
      <c r="A1380" s="1">
        <v>4190.0</v>
      </c>
      <c r="B1380" s="2" t="s">
        <v>4409</v>
      </c>
      <c r="C1380" s="2">
        <f>IFERROR(__xludf.DUMMYFUNCTION("split(B1380,""_"")"),1110.0)</f>
        <v>1110</v>
      </c>
      <c r="D1380" s="2" t="str">
        <f>IFERROR(__xludf.DUMMYFUNCTION("""COMPUTED_VALUE"""),"CX")</f>
        <v>CX</v>
      </c>
      <c r="E1380" s="2" t="str">
        <f>IFERROR(__xludf.DUMMYFUNCTION("""COMPUTED_VALUE"""),"日21")</f>
        <v>日21</v>
      </c>
      <c r="F1380" s="2" t="s">
        <v>4410</v>
      </c>
      <c r="G1380" s="2" t="s">
        <v>4417</v>
      </c>
      <c r="H1380" s="1">
        <v>3.0</v>
      </c>
      <c r="I1380" s="1" t="s">
        <v>10</v>
      </c>
      <c r="J1380" s="1" t="s">
        <v>11</v>
      </c>
      <c r="K1380" s="2" t="s">
        <v>4418</v>
      </c>
      <c r="L1380" s="8" t="s">
        <v>4419</v>
      </c>
      <c r="M1380" s="2" t="str">
        <f>IFERROR(__xludf.DUMMYFUNCTION("split(split(K1380,""西島秀俊　"",false),""公式LINE"",false)"),"「ワールドカップバレー2011女子　日本×中国」延長の際、放送時間繰り下げの場合あり。　並木航平(西島秀俊)は、ボディーガードとしてハン・ユナ(キム・テヒ)宛てのファンレターをチェックすることに。差出人のない封筒をチェックすると、中にはテソン(テギョン)とテソンの持つカシオペア座が書かれたキーホルダーの隠し撮り写真が入っていて、裏には橋爪和哉(要潤)の電話番号が書かれていた。航平はその封筒を抜きとる。　航平との悪縁を思い出し、さらにユナが航平にキスしたと誤解している高鍋大和(佐々木蔵之介)は仕事に集中でき"&amp;"ないでいた。様子のおかしい高鍋を見ていた航平は、やがて何か思い出したように近づいていき…。  　ユナが探している相手を探すヒントはカシオペアであることを確認した航平は、ユナには内緒のまま何の手がかりもないテソンを探す決意をする。航平は橋爪を呼び出すと、写真を送ってきた意図を尋ねる。橋爪は恋人との感動の再会を写真に撮らせる条件に、テソンの居場所を教えると交渉するが、航平はそれを拒否して去っていく。  　本来なら航平の担当時間に近藤保(石黒英雄)が付いていることを不審に思うユナ。近藤は風邪をひいた航平の代わり"&amp;"だと話すが、実は航平は写真を手掛かりにテソンの居場所を懸命に探していた。")</f>
        <v>「ワールドカップバレー2011女子　日本×中国」延長の際、放送時間繰り下げの場合あり。　並木航平(西島秀俊)は、ボディーガードとしてハン・ユナ(キム・テヒ)宛てのファンレターをチェックすることに。差出人のない封筒をチェックすると、中にはテソン(テギョン)とテソンの持つカシオペア座が書かれたキーホルダーの隠し撮り写真が入っていて、裏には橋爪和哉(要潤)の電話番号が書かれていた。航平はその封筒を抜きとる。　航平との悪縁を思い出し、さらにユナが航平にキスしたと誤解している高鍋大和(佐々木蔵之介)は仕事に集中できないでいた。様子のおかしい高鍋を見ていた航平は、やがて何か思い出したように近づいていき…。  　ユナが探している相手を探すヒントはカシオペアであることを確認した航平は、ユナには内緒のまま何の手がかりもないテソンを探す決意をする。航平は橋爪を呼び出すと、写真を送ってきた意図を尋ねる。橋爪は恋人との感動の再会を写真に撮らせる条件に、テソンの居場所を教えると交渉するが、航平はそれを拒否して去っていく。  　本来なら航平の担当時間に近藤保(石黒英雄)が付いていることを不審に思うユナ。近藤は風邪をひいた航平の代わりだと話すが、実は航平は写真を手掛かりにテソンの居場所を懸命に探していた。</v>
      </c>
      <c r="N1380" s="2"/>
      <c r="O1380" s="2"/>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row>
    <row r="1381" ht="204.75" customHeight="1">
      <c r="A1381" s="1">
        <v>4191.0</v>
      </c>
      <c r="B1381" s="2" t="s">
        <v>4409</v>
      </c>
      <c r="C1381" s="2">
        <f>IFERROR(__xludf.DUMMYFUNCTION("split(B1381,""_"")"),1110.0)</f>
        <v>1110</v>
      </c>
      <c r="D1381" s="2" t="str">
        <f>IFERROR(__xludf.DUMMYFUNCTION("""COMPUTED_VALUE"""),"CX")</f>
        <v>CX</v>
      </c>
      <c r="E1381" s="2" t="str">
        <f>IFERROR(__xludf.DUMMYFUNCTION("""COMPUTED_VALUE"""),"日21")</f>
        <v>日21</v>
      </c>
      <c r="F1381" s="2" t="s">
        <v>4410</v>
      </c>
      <c r="G1381" s="2" t="s">
        <v>4420</v>
      </c>
      <c r="H1381" s="1">
        <v>4.0</v>
      </c>
      <c r="I1381" s="1" t="s">
        <v>14</v>
      </c>
      <c r="J1381" s="1" t="s">
        <v>11</v>
      </c>
      <c r="K1381" s="2" t="s">
        <v>4421</v>
      </c>
      <c r="L1381" s="8" t="s">
        <v>4422</v>
      </c>
      <c r="M1381" s="2" t="str">
        <f>IFERROR(__xludf.DUMMYFUNCTION("split(split(K1381,""西島秀俊　"",false),""公式LINE"",false)"),"「ワールドカップバレー2011女子　日本×ブラジル」延長の際、放送時間繰り下げの場合あり。　ハン・ユナ(キム・テヒ)は、やっと会えたテソン(テギョン)の冷たい対応にすっかり落ち込んでいた。一方、並木航平(西島秀俊)は、姉の雪子(生田智子)が再び旅に出てしまい、桃(桜庭ななみ)たちとの同居を続けることに。  　ボディーガードでありながらユナを連れ出したことで芹沢直子(朝加真由美)が激怒。近藤保(石黒英雄)がボディーガードを務め、航平は解任。会社からも自宅謹慎を言い渡された。芹沢は、ユナに内緒でテソンを喫茶店"&amp;"に呼び出した。  　航平が解任されたことを聞いて必死でかばうユナだが、芹沢の意志は変わらない。同じく、航平の解任を聞いた高鍋大和(佐々木蔵之介)は、様々な企業に航平を雇うように声をかけていた。それを知らない航平はどんどんかかってくる企業からの誘いの電話に、断りながらも首をかしげるばかりだ。  　そんな中、ドラマの撮影にやってきたユナ。結婚式のシーン用にウエディングケーキが用意されていたが、スタッフが目を離したすきにケーキがユナの方向へ向かって動き出していて…。")</f>
        <v>「ワールドカップバレー2011女子　日本×ブラジル」延長の際、放送時間繰り下げの場合あり。　ハン・ユナ(キム・テヒ)は、やっと会えたテソン(テギョン)の冷たい対応にすっかり落ち込んでいた。一方、並木航平(西島秀俊)は、姉の雪子(生田智子)が再び旅に出てしまい、桃(桜庭ななみ)たちとの同居を続けることに。  　ボディーガードでありながらユナを連れ出したことで芹沢直子(朝加真由美)が激怒。近藤保(石黒英雄)がボディーガードを務め、航平は解任。会社からも自宅謹慎を言い渡された。芹沢は、ユナに内緒でテソンを喫茶店に呼び出した。  　航平が解任されたことを聞いて必死でかばうユナだが、芹沢の意志は変わらない。同じく、航平の解任を聞いた高鍋大和(佐々木蔵之介)は、様々な企業に航平を雇うように声をかけていた。それを知らない航平はどんどんかかってくる企業からの誘いの電話に、断りながらも首をかしげるばかりだ。  　そんな中、ドラマの撮影にやってきたユナ。結婚式のシーン用にウエディングケーキが用意されていたが、スタッフが目を離したすきにケーキがユナの方向へ向かって動き出していて…。</v>
      </c>
      <c r="N1381" s="2"/>
      <c r="O1381" s="2"/>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row>
    <row r="1382" ht="204.75" customHeight="1">
      <c r="A1382" s="1">
        <v>4192.0</v>
      </c>
      <c r="B1382" s="2" t="s">
        <v>4409</v>
      </c>
      <c r="C1382" s="2">
        <f>IFERROR(__xludf.DUMMYFUNCTION("split(B1382,""_"")"),1110.0)</f>
        <v>1110</v>
      </c>
      <c r="D1382" s="2" t="str">
        <f>IFERROR(__xludf.DUMMYFUNCTION("""COMPUTED_VALUE"""),"CX")</f>
        <v>CX</v>
      </c>
      <c r="E1382" s="2" t="str">
        <f>IFERROR(__xludf.DUMMYFUNCTION("""COMPUTED_VALUE"""),"日21")</f>
        <v>日21</v>
      </c>
      <c r="F1382" s="2" t="s">
        <v>4410</v>
      </c>
      <c r="G1382" s="2" t="s">
        <v>4423</v>
      </c>
      <c r="H1382" s="1">
        <v>5.0</v>
      </c>
      <c r="I1382" s="1" t="s">
        <v>17</v>
      </c>
      <c r="J1382" s="1" t="s">
        <v>11</v>
      </c>
      <c r="K1382" s="2" t="s">
        <v>4424</v>
      </c>
      <c r="L1382" s="8" t="s">
        <v>4425</v>
      </c>
      <c r="M1382" s="2" t="str">
        <f>IFERROR(__xludf.DUMMYFUNCTION("split(split(K1382,""西島秀俊　"",false),""公式LINE"",false)"),"「ワールドカップバレー2011男子　日本×イラン」延長の際、放送時間繰り下げの場合あり。　ボディーガードに戻った並木航平(西島秀俊)。ハン・ユナ(キム・テヒ)は、弟のテソン(テギョン)の件で記者に追われながらも、弟を信じると毅然とした態度を貫く。ドラマ『白い記憶』の初回放送日になり、ユナは高鍋大和(佐々木蔵之介)と滞在先のホテルの部屋で一緒に見る約束をする。たこ焼き屋「みっちゃん」で、みんなで見るからと帰っていく航平を羨ましそうに見送るユナ。ドラマが終わると、航平は三枝恵実子(倍賞美津子)を居間に呼び、並"&amp;"木桃(桜庭ななみ)がテソンから受け取ったお金300万円を渡し、芹沢直子(朝加真由美)に返却するようにお願いする。事情を聞いてお金を預かった恵実子を見送っていると、航平の電話が鳴った。電話の相手は…。ホテルでドラマを見終わったユナと高鍋。飲みに行こうという高鍋の誘いを受けたユナは、自ら「みっちゃん」へ誘導する。突然現れたユナと高鍋に沼田光代(片桐はいり)や桃たちは大感激。どんちゃん騒ぎが始まった。恵実子は会社に芹沢を呼び出し、人の気持ちを変えることができるのは人の気持ちだけだと言い、航平から預かった300万"&amp;"円を返した。黙って受け取る芹沢。同じ頃、橋爪和哉(要潤)に呼び出されたテソンは、治療費と慰謝料として300万円を請求された。強い口調で支払いを拒否するテソンに橋爪は…。")</f>
        <v>「ワールドカップバレー2011男子　日本×イラン」延長の際、放送時間繰り下げの場合あり。　ボディーガードに戻った並木航平(西島秀俊)。ハン・ユナ(キム・テヒ)は、弟のテソン(テギョン)の件で記者に追われながらも、弟を信じると毅然とした態度を貫く。ドラマ『白い記憶』の初回放送日になり、ユナは高鍋大和(佐々木蔵之介)と滞在先のホテルの部屋で一緒に見る約束をする。たこ焼き屋「みっちゃん」で、みんなで見るからと帰っていく航平を羨ましそうに見送るユナ。ドラマが終わると、航平は三枝恵実子(倍賞美津子)を居間に呼び、並木桃(桜庭ななみ)がテソンから受け取ったお金300万円を渡し、芹沢直子(朝加真由美)に返却するようにお願いする。事情を聞いてお金を預かった恵実子を見送っていると、航平の電話が鳴った。電話の相手は…。ホテルでドラマを見終わったユナと高鍋。飲みに行こうという高鍋の誘いを受けたユナは、自ら「みっちゃん」へ誘導する。突然現れたユナと高鍋に沼田光代(片桐はいり)や桃たちは大感激。どんちゃん騒ぎが始まった。恵実子は会社に芹沢を呼び出し、人の気持ちを変えることができるのは人の気持ちだけだと言い、航平から預かった300万円を返した。黙って受け取る芹沢。同じ頃、橋爪和哉(要潤)に呼び出されたテソンは、治療費と慰謝料として300万円を請求された。強い口調で支払いを拒否するテソンに橋爪は…。</v>
      </c>
      <c r="N1382" s="2"/>
      <c r="O1382" s="2"/>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row>
    <row r="1383" ht="204.75" customHeight="1">
      <c r="A1383" s="1">
        <v>4193.0</v>
      </c>
      <c r="B1383" s="2" t="s">
        <v>4409</v>
      </c>
      <c r="C1383" s="2">
        <f>IFERROR(__xludf.DUMMYFUNCTION("split(B1383,""_"")"),1110.0)</f>
        <v>1110</v>
      </c>
      <c r="D1383" s="2" t="str">
        <f>IFERROR(__xludf.DUMMYFUNCTION("""COMPUTED_VALUE"""),"CX")</f>
        <v>CX</v>
      </c>
      <c r="E1383" s="2" t="str">
        <f>IFERROR(__xludf.DUMMYFUNCTION("""COMPUTED_VALUE"""),"日21")</f>
        <v>日21</v>
      </c>
      <c r="F1383" s="2" t="s">
        <v>4410</v>
      </c>
      <c r="G1383" s="2" t="s">
        <v>4426</v>
      </c>
      <c r="H1383" s="1">
        <v>6.0</v>
      </c>
      <c r="I1383" s="1" t="s">
        <v>21</v>
      </c>
      <c r="J1383" s="1" t="s">
        <v>11</v>
      </c>
      <c r="K1383" s="2" t="s">
        <v>4427</v>
      </c>
      <c r="L1383" s="8" t="s">
        <v>4428</v>
      </c>
      <c r="M1383" s="2" t="str">
        <f>IFERROR(__xludf.DUMMYFUNCTION("split(split(K1383,""西島秀俊　"",false),""公式LINE"",false)"),"「ワールドカップバレー2011男子　日本×エジプト」延長の際、放送時間繰り下げの場合あり。　天文台への就職に向けて面談へ来ている航平(西島秀俊)は、昔働いていた天文台の後輩の女性・梢(加藤あい)と再会し、星の話で盛り上がっていた。一方、「温泉に入るために近くへ来た」という口実で航平にお弁当を持って会いに来たハン・ユナ(キム・テヒ)は、鈍感な航平から遅くなる前に帰ってください、と言われて帰ることに。その途中、航平と梢が楽しそうに話すのを見かける。その頃、高鍋(佐々木蔵之介)は航平とユナが2人で群馬に向かった"&amp;"と勘違いして、航平の姪の菫(石橋宇輪)と甥の蓮(椙杜翔馬)を伴い、2人を追って天文台に車を走らせていて・・・?一方、ユナも高鍋も都内にいないことで、マネジャーであるヒジン(韓英恵)と夏目(古川雄輝)は思わぬ休暇を得る。2人は仲良く温泉宿へむかっていた。テソン(テギョン)は、橋爪(要潤)からの告訴を取り下げるために動いてくれた芹沢社長(朝加真由美)にお礼を言うと共に、社長に桃(桜庭ななみ)を紹介して、桃のダンスを見てもらえないかと頼む。その頃、ユナは駅で次の電車まで2時間あると知り、航平が以前話してくれた「"&amp;"星が降るように見える原っぱ」へ行こうと歩き出す。しかしその原っぱは、熊が出る危ない原っぱで・・・?")</f>
        <v>「ワールドカップバレー2011男子　日本×エジプト」延長の際、放送時間繰り下げの場合あり。　天文台への就職に向けて面談へ来ている航平(西島秀俊)は、昔働いていた天文台の後輩の女性・梢(加藤あい)と再会し、星の話で盛り上がっていた。一方、「温泉に入るために近くへ来た」という口実で航平にお弁当を持って会いに来たハン・ユナ(キム・テヒ)は、鈍感な航平から遅くなる前に帰ってください、と言われて帰ることに。その途中、航平と梢が楽しそうに話すのを見かける。その頃、高鍋(佐々木蔵之介)は航平とユナが2人で群馬に向かったと勘違いして、航平の姪の菫(石橋宇輪)と甥の蓮(椙杜翔馬)を伴い、2人を追って天文台に車を走らせていて・・・?一方、ユナも高鍋も都内にいないことで、マネジャーであるヒジン(韓英恵)と夏目(古川雄輝)は思わぬ休暇を得る。2人は仲良く温泉宿へむかっていた。テソン(テギョン)は、橋爪(要潤)からの告訴を取り下げるために動いてくれた芹沢社長(朝加真由美)にお礼を言うと共に、社長に桃(桜庭ななみ)を紹介して、桃のダンスを見てもらえないかと頼む。その頃、ユナは駅で次の電車まで2時間あると知り、航平が以前話してくれた「星が降るように見える原っぱ」へ行こうと歩き出す。しかしその原っぱは、熊が出る危ない原っぱで・・・?</v>
      </c>
      <c r="N1383" s="2"/>
      <c r="O1383" s="2"/>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row>
    <row r="1384" ht="204.75" customHeight="1">
      <c r="A1384" s="1">
        <v>4194.0</v>
      </c>
      <c r="B1384" s="2" t="s">
        <v>4409</v>
      </c>
      <c r="C1384" s="2">
        <f>IFERROR(__xludf.DUMMYFUNCTION("split(B1384,""_"")"),1110.0)</f>
        <v>1110</v>
      </c>
      <c r="D1384" s="2" t="str">
        <f>IFERROR(__xludf.DUMMYFUNCTION("""COMPUTED_VALUE"""),"CX")</f>
        <v>CX</v>
      </c>
      <c r="E1384" s="2" t="str">
        <f>IFERROR(__xludf.DUMMYFUNCTION("""COMPUTED_VALUE"""),"日21")</f>
        <v>日21</v>
      </c>
      <c r="F1384" s="2" t="s">
        <v>4410</v>
      </c>
      <c r="G1384" s="2" t="s">
        <v>4429</v>
      </c>
      <c r="H1384" s="1">
        <v>7.0</v>
      </c>
      <c r="I1384" s="1" t="s">
        <v>25</v>
      </c>
      <c r="J1384" s="1" t="s">
        <v>11</v>
      </c>
      <c r="K1384" s="2" t="s">
        <v>4430</v>
      </c>
      <c r="L1384" s="8" t="s">
        <v>4431</v>
      </c>
      <c r="M1384" s="2" t="str">
        <f>IFERROR(__xludf.DUMMYFUNCTION("split(split(K1384,""西島秀俊　"",false),""公式LINE"",false)"),"「ワールドカップバレー2011男子　日本×ブラジル」延長の際、放送時間繰り下げの場合あり。　再びユナ(キム・テヒ)のボディーガードを続けることになった航平(西島秀俊)。そんな航平にいつものように軽口をたたきつつも、うれしそうなユナ。それを見ていた高鍋(佐々木蔵之介)は、ユナに話があると食事に誘うも断られてしまう。そのとき、ユナは高鍋から、航平が自分のボディーガードをするために天文台の仕事を自ら断ったことを知る。高鍋はユナが航平と過ごすつもりだと思いこみ、急いで航平を食事に誘う。航平は約束があると最初断るが"&amp;"、高鍋の必死な様子に航平は食事に行くことにする。高鍋は豪華なディナーを航平の為に用意。なぜなら、今日は航平の誕生日なのだ。航平は自分が誕生日だということも忘れていたため、感動もひとしお。高鍋はその様子を見て、ユナとの食事を阻止したのではないと知ってがっかりする。高鍋と食事後に航平が帰宅すると、今度は桃(桜庭ななみ)がケーキ作りに奮闘中だ。航平は感動して桃に声をかける。そして同じころ、ユナも粉まみれになりながらケーキ作りに励んでいて・・・?翌日、航平が警備会社ジャパン・セキュリティ・ガードへ行くと、社長の恵"&amp;"実子(倍賞美津子)からボディーガードを辞めないかと尋ねられて・・・。ある日、撮影中に高熱を出した高鍋。自宅マンションで休む高鍋を、ユナが航平と共に見舞いに行く。航平が飲み物をもって部屋に入ると、ユナと高鍋が急接近していて・・・?")</f>
        <v>「ワールドカップバレー2011男子　日本×ブラジル」延長の際、放送時間繰り下げの場合あり。　再びユナ(キム・テヒ)のボディーガードを続けることになった航平(西島秀俊)。そんな航平にいつものように軽口をたたきつつも、うれしそうなユナ。それを見ていた高鍋(佐々木蔵之介)は、ユナに話があると食事に誘うも断られてしまう。そのとき、ユナは高鍋から、航平が自分のボディーガードをするために天文台の仕事を自ら断ったことを知る。高鍋はユナが航平と過ごすつもりだと思いこみ、急いで航平を食事に誘う。航平は約束があると最初断るが、高鍋の必死な様子に航平は食事に行くことにする。高鍋は豪華なディナーを航平の為に用意。なぜなら、今日は航平の誕生日なのだ。航平は自分が誕生日だということも忘れていたため、感動もひとしお。高鍋はその様子を見て、ユナとの食事を阻止したのではないと知ってがっかりする。高鍋と食事後に航平が帰宅すると、今度は桃(桜庭ななみ)がケーキ作りに奮闘中だ。航平は感動して桃に声をかける。そして同じころ、ユナも粉まみれになりながらケーキ作りに励んでいて・・・?翌日、航平が警備会社ジャパン・セキュリティ・ガードへ行くと、社長の恵実子(倍賞美津子)からボディーガードを辞めないかと尋ねられて・・・。ある日、撮影中に高熱を出した高鍋。自宅マンションで休む高鍋を、ユナが航平と共に見舞いに行く。航平が飲み物をもって部屋に入ると、ユナと高鍋が急接近していて・・・?</v>
      </c>
      <c r="N1384" s="2"/>
      <c r="O1384" s="2"/>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row>
    <row r="1385" ht="204.75" customHeight="1">
      <c r="A1385" s="1">
        <v>4195.0</v>
      </c>
      <c r="B1385" s="2" t="s">
        <v>4409</v>
      </c>
      <c r="C1385" s="2">
        <f>IFERROR(__xludf.DUMMYFUNCTION("split(B1385,""_"")"),1110.0)</f>
        <v>1110</v>
      </c>
      <c r="D1385" s="2" t="str">
        <f>IFERROR(__xludf.DUMMYFUNCTION("""COMPUTED_VALUE"""),"CX")</f>
        <v>CX</v>
      </c>
      <c r="E1385" s="2" t="str">
        <f>IFERROR(__xludf.DUMMYFUNCTION("""COMPUTED_VALUE"""),"日21")</f>
        <v>日21</v>
      </c>
      <c r="F1385" s="2" t="s">
        <v>4410</v>
      </c>
      <c r="G1385" s="2" t="s">
        <v>4432</v>
      </c>
      <c r="H1385" s="1">
        <v>8.0</v>
      </c>
      <c r="I1385" s="1" t="s">
        <v>29</v>
      </c>
      <c r="J1385" s="1" t="s">
        <v>11</v>
      </c>
      <c r="K1385" s="2" t="s">
        <v>4433</v>
      </c>
      <c r="L1385" s="2" t="s">
        <v>4434</v>
      </c>
      <c r="M1385" s="2" t="str">
        <f>IFERROR(__xludf.DUMMYFUNCTION("split(split(K1385,""西島秀俊　"",false),""公式LINE"",false)"),"橋爪(要潤)から、航平(西島秀俊)とユナ(キム・テヒ)がキスをしている写真が関係者に送られてきたことで、ユナの事務所の社長・芹沢(朝加真由美)は航平をボディーガードから外し、近藤(石黒英雄)が担当することになった。実はユナには、清楚なイメージが目にとまって、ハリウッドから映画出演のオファーが来ていた。このスキャンダルが公になれば映画出演の件はなくなるだろうと芹沢は怒りをあらわにする。航平は橋爪に会いに行き、写真を公開しないでほしいと頼むが、橋爪は1000万円を要求するだけだった。航平は、ユナになにもしてや"&amp;"れない自分に肩を落とすばかりだった。そんなある日、天文台で働く梢(加藤あい)が航平を訪ねてくる。一方、事情を知った高鍋(佐々木蔵之介)はユナを助けたいという一心で、芹沢に話をしに行く。橋爪から航平と同じく1000万円を要求されたと言う。どうするべきか悩んでいると話す芹沢に高鍋は、ユナへの真剣な思いを打ち明け、考えがあると提案をする。そして高鍋は橋爪に会いに行くが・・・?")</f>
        <v>橋爪(要潤)から、航平(西島秀俊)とユナ(キム・テヒ)がキスをしている写真が関係者に送られてきたことで、ユナの事務所の社長・芹沢(朝加真由美)は航平をボディーガードから外し、近藤(石黒英雄)が担当することになった。実はユナには、清楚なイメージが目にとまって、ハリウッドから映画出演のオファーが来ていた。このスキャンダルが公になれば映画出演の件はなくなるだろうと芹沢は怒りをあらわにする。航平は橋爪に会いに行き、写真を公開しないでほしいと頼むが、橋爪は1000万円を要求するだけだった。航平は、ユナになにもしてやれない自分に肩を落とすばかりだった。そんなある日、天文台で働く梢(加藤あい)が航平を訪ねてくる。一方、事情を知った高鍋(佐々木蔵之介)はユナを助けたいという一心で、芹沢に話をしに行く。橋爪から航平と同じく1000万円を要求されたと言う。どうするべきか悩んでいると話す芹沢に高鍋は、ユナへの真剣な思いを打ち明け、考えがあると提案をする。そして高鍋は橋爪に会いに行くが・・・?</v>
      </c>
      <c r="N1385" s="2"/>
      <c r="O1385" s="2"/>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row>
    <row r="1386" ht="204.75" customHeight="1">
      <c r="A1386" s="1">
        <v>4196.0</v>
      </c>
      <c r="B1386" s="2" t="s">
        <v>4409</v>
      </c>
      <c r="C1386" s="2">
        <f>IFERROR(__xludf.DUMMYFUNCTION("split(B1386,""_"")"),1110.0)</f>
        <v>1110</v>
      </c>
      <c r="D1386" s="2" t="str">
        <f>IFERROR(__xludf.DUMMYFUNCTION("""COMPUTED_VALUE"""),"CX")</f>
        <v>CX</v>
      </c>
      <c r="E1386" s="2" t="str">
        <f>IFERROR(__xludf.DUMMYFUNCTION("""COMPUTED_VALUE"""),"日21")</f>
        <v>日21</v>
      </c>
      <c r="F1386" s="2" t="s">
        <v>4410</v>
      </c>
      <c r="G1386" s="2" t="s">
        <v>4435</v>
      </c>
      <c r="H1386" s="1">
        <v>9.0</v>
      </c>
      <c r="I1386" s="1" t="s">
        <v>33</v>
      </c>
      <c r="J1386" s="1" t="s">
        <v>11</v>
      </c>
      <c r="K1386" s="2" t="s">
        <v>4436</v>
      </c>
      <c r="L1386" s="2" t="s">
        <v>4437</v>
      </c>
      <c r="M1386" s="2" t="str">
        <f>IFERROR(__xludf.DUMMYFUNCTION("split(split(K1386,""西島秀俊　"",false),""公式LINE"",false)"),"航平(西島秀俊)は、梢(加藤あい)から受けた告白の返事をするために、梢を呼び出す。話をしていると、突然桃(桜庭ななみ)が飛び込んできて、「大変なことになっている」と話す。一方、テソン(テギョン)はユナ(キム・テヒ)の元へ姿を現す。ユナがテソンと会えた喜びに浸る暇もなく、テソンも「大変なことになっている」と話す。それもそのはず、ユナを守るために自分に会いに来た高鍋(佐々木蔵之介)に橋爪(要潤)が提案した、高鍋とユナのキスシーンのスクープ写真。高鍋は、航平とユナの写真を掲載しないという約束のもとそれに応じたの"&amp;"だが、橋爪はその約束を破ろうとしていた。動揺するユナに、テソンは何があっても自分はユナの味方だと話す。芹沢社長(朝加真由美)は、ユナに高鍋が本命で、航平とのことは高鍋の気を引くための嘘だと通すようユナに指示をする。一方、航平は橋爪を呼び出し、怒りをあらわにするが、そこに高鍋が現れて航平を連れて帰る。高鍋はユナに、航平とのことが記事にならないくらい自分たちの交際の真剣さをアピールすることが、航平を守ることになると話す。芹沢社長は、高鍋とユナが同席して交際宣言をする記者会見を開くことを決めた。ユナは航平に電話"&amp;"をして「何があっても心配しないで」と話すが・・・?")</f>
        <v>航平(西島秀俊)は、梢(加藤あい)から受けた告白の返事をするために、梢を呼び出す。話をしていると、突然桃(桜庭ななみ)が飛び込んできて、「大変なことになっている」と話す。一方、テソン(テギョン)はユナ(キム・テヒ)の元へ姿を現す。ユナがテソンと会えた喜びに浸る暇もなく、テソンも「大変なことになっている」と話す。それもそのはず、ユナを守るために自分に会いに来た高鍋(佐々木蔵之介)に橋爪(要潤)が提案した、高鍋とユナのキスシーンのスクープ写真。高鍋は、航平とユナの写真を掲載しないという約束のもとそれに応じたのだが、橋爪はその約束を破ろうとしていた。動揺するユナに、テソンは何があっても自分はユナの味方だと話す。芹沢社長(朝加真由美)は、ユナに高鍋が本命で、航平とのことは高鍋の気を引くための嘘だと通すようユナに指示をする。一方、航平は橋爪を呼び出し、怒りをあらわにするが、そこに高鍋が現れて航平を連れて帰る。高鍋はユナに、航平とのことが記事にならないくらい自分たちの交際の真剣さをアピールすることが、航平を守ることになると話す。芹沢社長は、高鍋とユナが同席して交際宣言をする記者会見を開くことを決めた。ユナは航平に電話をして「何があっても心配しないで」と話すが・・・?</v>
      </c>
      <c r="N1386" s="2"/>
      <c r="O1386" s="2"/>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row>
    <row r="1387" ht="204.75" customHeight="1">
      <c r="A1387" s="1">
        <v>4197.0</v>
      </c>
      <c r="B1387" s="2" t="s">
        <v>4409</v>
      </c>
      <c r="C1387" s="2">
        <f>IFERROR(__xludf.DUMMYFUNCTION("split(B1387,""_"")"),1110.0)</f>
        <v>1110</v>
      </c>
      <c r="D1387" s="2" t="str">
        <f>IFERROR(__xludf.DUMMYFUNCTION("""COMPUTED_VALUE"""),"CX")</f>
        <v>CX</v>
      </c>
      <c r="E1387" s="2" t="str">
        <f>IFERROR(__xludf.DUMMYFUNCTION("""COMPUTED_VALUE"""),"日21")</f>
        <v>日21</v>
      </c>
      <c r="F1387" s="2" t="s">
        <v>4410</v>
      </c>
      <c r="G1387" s="2" t="s">
        <v>4438</v>
      </c>
      <c r="H1387" s="1">
        <v>10.0</v>
      </c>
      <c r="I1387" s="1" t="s">
        <v>37</v>
      </c>
      <c r="J1387" s="1" t="s">
        <v>4</v>
      </c>
      <c r="K1387" s="2" t="s">
        <v>4439</v>
      </c>
      <c r="L1387" s="2" t="s">
        <v>4440</v>
      </c>
      <c r="M1387" s="2" t="str">
        <f>IFERROR(__xludf.DUMMYFUNCTION("split(split(K1387,""西島秀俊　"",false),""公式LINE"",false)"),"航平(西島秀俊)は、ユナ(キム・テヒ)の行動に無理を感じはじめる。そんなユナは、自分で大きな決断をして以来初となるドラマの撮影に遅刻をしてしまい、監督の小岩井(戸田昌宏)に怒鳴られる。それを見ていた芹沢(朝加真由美)も、ユナの行動に怒りを増す。航平は、ユナの為にできることはないかと考えて、ユナに残されたドラマの撮影期間中はボディガードを務めようと決めるが、マスコミはもちろん大騒ぎ。航平は記者に向けて自分の言葉で話をする。橋爪(要潤)はそれを不思議そうに見ていた。  　ドラマの撮影も残りわずか。航平とユナの"&amp;"これからは?そして、航平とユナをとりまく人たちそれぞれの夢の行方は?")</f>
        <v>航平(西島秀俊)は、ユナ(キム・テヒ)の行動に無理を感じはじめる。そんなユナは、自分で大きな決断をして以来初となるドラマの撮影に遅刻をしてしまい、監督の小岩井(戸田昌宏)に怒鳴られる。それを見ていた芹沢(朝加真由美)も、ユナの行動に怒りを増す。航平は、ユナの為にできることはないかと考えて、ユナに残されたドラマの撮影期間中はボディガードを務めようと決めるが、マスコミはもちろん大騒ぎ。航平は記者に向けて自分の言葉で話をする。橋爪(要潤)はそれを不思議そうに見ていた。  　ドラマの撮影も残りわずか。航平とユナのこれからは?そして、航平とユナをとりまく人たちそれぞれの夢の行方は?</v>
      </c>
      <c r="N1387" s="2"/>
      <c r="O1387" s="2"/>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row>
    <row r="1388" ht="204.75" customHeight="1">
      <c r="A1388" s="1">
        <v>4198.0</v>
      </c>
      <c r="B1388" s="2" t="s">
        <v>4441</v>
      </c>
      <c r="C1388" s="2">
        <f>IFERROR(__xludf.DUMMYFUNCTION("split(B1388,""_"")"),1107.0)</f>
        <v>1107</v>
      </c>
      <c r="D1388" s="2" t="str">
        <f>IFERROR(__xludf.DUMMYFUNCTION("""COMPUTED_VALUE"""),"CX")</f>
        <v>CX</v>
      </c>
      <c r="E1388" s="2" t="str">
        <f>IFERROR(__xludf.DUMMYFUNCTION("""COMPUTED_VALUE"""),"月21")</f>
        <v>月21</v>
      </c>
      <c r="F1388" s="2" t="s">
        <v>4442</v>
      </c>
      <c r="G1388" s="2" t="s">
        <v>4443</v>
      </c>
      <c r="H1388" s="1">
        <v>1.0</v>
      </c>
      <c r="I1388" s="1" t="s">
        <v>3</v>
      </c>
      <c r="J1388" s="1" t="s">
        <v>4</v>
      </c>
      <c r="K1388" s="4" t="s">
        <v>4444</v>
      </c>
      <c r="L1388" s="2" t="s">
        <v>4445</v>
      </c>
      <c r="M1388" s="2" t="str">
        <f>IFERROR(__xludf.DUMMYFUNCTION("split(split(K1388,""鮎川若葉:"",false),""公式LINE"",false)"),"世界を股にかける国際弁護士を目指すキャリアガールとして、輝かしい未来を夢見るキャリ女〈キャリジョ〉の卵、鮎川若葉(新垣結衣)は野心バリバリで外資系弁護士事務所に就職。上昇志向に燃える彼女だったが、依頼された仕事は、若葉が勤務する法律事務所所長・桜川昇子(薬師丸ひろ子)の5歳になる娘・日向(ひなた)の世話だった!!  子供も育児も大嫌い、だが、富と成功に執着する彼女は渋々ながら面倒をみることに。そんな中、日向を迎えに行った保育園で出会ったのが、若葉が最も苦手とする学なし財なし将来性なしのお人よしな育メン・山"&amp;"田草太(錦戸亮)。マンションの隣人で子持ちのシングルマザーの息子・ビー太郎をなぜか1人で育てることになり育児に奮闘する草太は、若葉からすると理想の正反対で、関わりたくない人間だ。だが、そんな若葉の思惑に反して、ひょんなことから草太とともに、日向とビー太郎、さらには草太の育メン仲間たちのお子さまたちの面倒まで見ることになってしまう。慣れない育児に悲鳴をあげ右往左往しながらも、やがて若葉は“育児は育人""の言葉どおり、大切なものに気づいていく。")</f>
        <v>世界を股にかける国際弁護士を目指すキャリアガールとして、輝かしい未来を夢見るキャリ女〈キャリジョ〉の卵、鮎川若葉(新垣結衣)は野心バリバリで外資系弁護士事務所に就職。上昇志向に燃える彼女だったが、依頼された仕事は、若葉が勤務する法律事務所所長・桜川昇子(薬師丸ひろ子)の5歳になる娘・日向(ひなた)の世話だった!!  子供も育児も大嫌い、だが、富と成功に執着する彼女は渋々ながら面倒をみることに。そんな中、日向を迎えに行った保育園で出会ったのが、若葉が最も苦手とする学なし財なし将来性なしのお人よしな育メン・山田草太(錦戸亮)。マンションの隣人で子持ちのシングルマザーの息子・ビー太郎をなぜか1人で育てることになり育児に奮闘する草太は、若葉からすると理想の正反対で、関わりたくない人間だ。だが、そんな若葉の思惑に反して、ひょんなことから草太とともに、日向とビー太郎、さらには草太の育メン仲間たちのお子さまたちの面倒まで見ることになってしまう。慣れない育児に悲鳴をあげ右往左往しながらも、やがて若葉は“育児は育人"の言葉どおり、大切なものに気づいていく。</v>
      </c>
      <c r="N1388" s="2"/>
      <c r="O1388" s="2"/>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row>
    <row r="1389" ht="204.75" customHeight="1">
      <c r="A1389" s="1">
        <v>4199.0</v>
      </c>
      <c r="B1389" s="2" t="s">
        <v>4441</v>
      </c>
      <c r="C1389" s="2">
        <f>IFERROR(__xludf.DUMMYFUNCTION("split(B1389,""_"")"),1107.0)</f>
        <v>1107</v>
      </c>
      <c r="D1389" s="2" t="str">
        <f>IFERROR(__xludf.DUMMYFUNCTION("""COMPUTED_VALUE"""),"CX")</f>
        <v>CX</v>
      </c>
      <c r="E1389" s="2" t="str">
        <f>IFERROR(__xludf.DUMMYFUNCTION("""COMPUTED_VALUE"""),"月21")</f>
        <v>月21</v>
      </c>
      <c r="F1389" s="2" t="s">
        <v>4442</v>
      </c>
      <c r="G1389" s="2" t="s">
        <v>4446</v>
      </c>
      <c r="H1389" s="1">
        <v>2.0</v>
      </c>
      <c r="I1389" s="1" t="s">
        <v>7</v>
      </c>
      <c r="J1389" s="1" t="s">
        <v>11</v>
      </c>
      <c r="K1389" s="2" t="s">
        <v>4447</v>
      </c>
      <c r="L1389" s="2" t="s">
        <v>4448</v>
      </c>
      <c r="M1389" s="2" t="str">
        <f>IFERROR(__xludf.DUMMYFUNCTION("split(split(K1389,""鮎川若葉:"",false),""公式LINE"",false)"),"朝、目を覚ました鮎川若葉(新垣結衣)は服のまま寝ていたことを不審に思うが、前夜の記憶はまったくない。  一方、若葉とのキスを鮮明に覚えている山田草太(錦戸亮)は、仕事が手に付かない。  同じ頃、桜川昇子(薬師丸ひろ子)は、娘・日向(谷花音)に、若葉は来ないだろうと話した。と、そこへ若葉が現れ、試用期間でも合理的な理由がない解雇は認められない、と主張。日向を保育園へと送り届けると、そこで草太と鉢合わせする。若葉は、草太に難癖を付け、草太が、酔っ払った若葉を家に送っただけだ、と説明しても聞き入れない。そこで、"&amp;"林佐間男(荒川良々)らも、若葉が草太にキスしたのだ、と加勢。若葉は、キスが事実だとしても、それは草太が強引にしたことだ、と言い張る。  そんな折、子どもを交代で預かる輪番当番が若葉に回ってきた。若葉の部屋にやってきた林らは、その古さと狭さに驚くが、若葉は自信満々で子どもを預かった。  その後、子どもを迎えに来た草太は、手作り弁当を持たせる「お弁当の日」が来週あると教えた。若葉は、それを昇子に報告すると、作るようにと命じられる。その代わり、重要な会議への出席を認められた。  翌日、会議に出ていた若葉を、新堂"&amp;"響一(平山浩行)が見ていた。得意げな若葉は、響一が言い出すよりも早く、響一を夕食に誘う。すると、そこへ、おかもちを提げた草太が現れた。若葉は草太に聞こえるように響一に声をかけ…。")</f>
        <v>朝、目を覚ました鮎川若葉(新垣結衣)は服のまま寝ていたことを不審に思うが、前夜の記憶はまったくない。  一方、若葉とのキスを鮮明に覚えている山田草太(錦戸亮)は、仕事が手に付かない。  同じ頃、桜川昇子(薬師丸ひろ子)は、娘・日向(谷花音)に、若葉は来ないだろうと話した。と、そこへ若葉が現れ、試用期間でも合理的な理由がない解雇は認められない、と主張。日向を保育園へと送り届けると、そこで草太と鉢合わせする。若葉は、草太に難癖を付け、草太が、酔っ払った若葉を家に送っただけだ、と説明しても聞き入れない。そこで、林佐間男(荒川良々)らも、若葉が草太にキスしたのだ、と加勢。若葉は、キスが事実だとしても、それは草太が強引にしたことだ、と言い張る。  そんな折、子どもを交代で預かる輪番当番が若葉に回ってきた。若葉の部屋にやってきた林らは、その古さと狭さに驚くが、若葉は自信満々で子どもを預かった。  その後、子どもを迎えに来た草太は、手作り弁当を持たせる「お弁当の日」が来週あると教えた。若葉は、それを昇子に報告すると、作るようにと命じられる。その代わり、重要な会議への出席を認められた。  翌日、会議に出ていた若葉を、新堂響一(平山浩行)が見ていた。得意げな若葉は、響一が言い出すよりも早く、響一を夕食に誘う。すると、そこへ、おかもちを提げた草太が現れた。若葉は草太に聞こえるように響一に声をかけ…。</v>
      </c>
      <c r="N1389" s="2"/>
      <c r="O1389" s="2"/>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row>
    <row r="1390" ht="204.75" customHeight="1">
      <c r="A1390" s="1">
        <v>4200.0</v>
      </c>
      <c r="B1390" s="2" t="s">
        <v>4441</v>
      </c>
      <c r="C1390" s="2">
        <f>IFERROR(__xludf.DUMMYFUNCTION("split(B1390,""_"")"),1107.0)</f>
        <v>1107</v>
      </c>
      <c r="D1390" s="2" t="str">
        <f>IFERROR(__xludf.DUMMYFUNCTION("""COMPUTED_VALUE"""),"CX")</f>
        <v>CX</v>
      </c>
      <c r="E1390" s="2" t="str">
        <f>IFERROR(__xludf.DUMMYFUNCTION("""COMPUTED_VALUE"""),"月21")</f>
        <v>月21</v>
      </c>
      <c r="F1390" s="2" t="s">
        <v>4442</v>
      </c>
      <c r="G1390" s="2" t="s">
        <v>4449</v>
      </c>
      <c r="H1390" s="1">
        <v>3.0</v>
      </c>
      <c r="I1390" s="1" t="s">
        <v>10</v>
      </c>
      <c r="J1390" s="1" t="s">
        <v>11</v>
      </c>
      <c r="K1390" s="2" t="s">
        <v>4450</v>
      </c>
      <c r="L1390" s="2" t="s">
        <v>4451</v>
      </c>
      <c r="M1390" s="2" t="str">
        <f>IFERROR(__xludf.DUMMYFUNCTION("split(split(K1390,""鮎川若葉:"",false),""公式LINE"",false)"),"鮎川若葉(新垣結衣)は、依然、山田草太(錦戸亮)とのキスの記憶にとらわれていた。  一方の草太は、若葉に突き飛ばされ鼻にケガを負い、絆創膏を貼り保育園にやってきた。それを見た林佐間男(荒川良々)らは若葉を訴えろ、などと騒ぎはじめるが、若葉は、刑法上、過失による暴行は処罰規定がない、と動じない。  そんな折、若葉は大手商社で打ち合わせ中の桜川昇子(薬師丸ひろ子)に書類を届けることに。昇子は、外国人CEOと談笑しながら、桁違いに大きな交渉をしていた。それを見た若葉は、これが自分が目指す世界だと、目を輝かす。と"&amp;"、昇子から、保育園の保護者役員会への代理出席を命じられる。  役員会に出席した若葉は、花村うらら(皆藤愛子)から、この日の議題が「泥んこ遊び」の是非を問うものだと聞く。保育園では、園長の花村仁(竹内力)が「泥んこ遊び」を提唱してきたが、近年保護者から中止を求める声が相次いでいた。集まった役員からも、中止に賛同する声が聞かれ、反対したのは若葉と草太だけだった。  結果に納得がいかない草太は、若葉に一緒に役員たちを説得して回ろう、と声をかけるが、若葉はそれを拒否する。  そんな中、新堂響一(平山浩行)は、若葉"&amp;"にあるトラブル処理を任せた。例の大手商社が特許を取った商品でケガをした子供の親が怒っているのを収めろ、というのだ。それを承知した若葉は、事務所に来た母親に示談金を提示するという荒技に出た。")</f>
        <v>鮎川若葉(新垣結衣)は、依然、山田草太(錦戸亮)とのキスの記憶にとらわれていた。  一方の草太は、若葉に突き飛ばされ鼻にケガを負い、絆創膏を貼り保育園にやってきた。それを見た林佐間男(荒川良々)らは若葉を訴えろ、などと騒ぎはじめるが、若葉は、刑法上、過失による暴行は処罰規定がない、と動じない。  そんな折、若葉は大手商社で打ち合わせ中の桜川昇子(薬師丸ひろ子)に書類を届けることに。昇子は、外国人CEOと談笑しながら、桁違いに大きな交渉をしていた。それを見た若葉は、これが自分が目指す世界だと、目を輝かす。と、昇子から、保育園の保護者役員会への代理出席を命じられる。  役員会に出席した若葉は、花村うらら(皆藤愛子)から、この日の議題が「泥んこ遊び」の是非を問うものだと聞く。保育園では、園長の花村仁(竹内力)が「泥んこ遊び」を提唱してきたが、近年保護者から中止を求める声が相次いでいた。集まった役員からも、中止に賛同する声が聞かれ、反対したのは若葉と草太だけだった。  結果に納得がいかない草太は、若葉に一緒に役員たちを説得して回ろう、と声をかけるが、若葉はそれを拒否する。  そんな中、新堂響一(平山浩行)は、若葉にあるトラブル処理を任せた。例の大手商社が特許を取った商品でケガをした子供の親が怒っているのを収めろ、というのだ。それを承知した若葉は、事務所に来た母親に示談金を提示するという荒技に出た。</v>
      </c>
      <c r="N1390" s="2"/>
      <c r="O1390" s="2"/>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row>
    <row r="1391" ht="204.75" customHeight="1">
      <c r="A1391" s="1">
        <v>4201.0</v>
      </c>
      <c r="B1391" s="2" t="s">
        <v>4441</v>
      </c>
      <c r="C1391" s="2">
        <f>IFERROR(__xludf.DUMMYFUNCTION("split(B1391,""_"")"),1107.0)</f>
        <v>1107</v>
      </c>
      <c r="D1391" s="2" t="str">
        <f>IFERROR(__xludf.DUMMYFUNCTION("""COMPUTED_VALUE"""),"CX")</f>
        <v>CX</v>
      </c>
      <c r="E1391" s="2" t="str">
        <f>IFERROR(__xludf.DUMMYFUNCTION("""COMPUTED_VALUE"""),"月21")</f>
        <v>月21</v>
      </c>
      <c r="F1391" s="2" t="s">
        <v>4442</v>
      </c>
      <c r="G1391" s="2" t="s">
        <v>4452</v>
      </c>
      <c r="H1391" s="1">
        <v>4.0</v>
      </c>
      <c r="I1391" s="1" t="s">
        <v>14</v>
      </c>
      <c r="J1391" s="1" t="s">
        <v>11</v>
      </c>
      <c r="K1391" s="2" t="s">
        <v>4453</v>
      </c>
      <c r="L1391" s="2" t="s">
        <v>4454</v>
      </c>
      <c r="M1391" s="2" t="str">
        <f>IFERROR(__xludf.DUMMYFUNCTION("split(split(K1391,""鮎川若葉:"",false),""公式LINE"",false)"),"鮎川若葉(新垣結衣)は、山田草太(錦戸亮)とのキスの記憶を消すためにも、新堂響一(平山浩行)と付き合うことを決めた。ただし、仕事同様、恋も“試用期間""からだと宣言した。  　そんな折、若葉は女性らしくオシャレな洋服を購入。早速、桜川日向(谷花音)の見送りのときに着ると、行き交う人が振り返る。そんなまぶしい若葉を見つけた草太は、思わず隠れてしまう。  　法律事務所では桜川昇子(薬師丸ひろ子)が、若葉の変化に気づき、男ができたのか、と聞く。そんななか、若葉は、響一の口添えで大手商社が特許侵害で訴えられた件を"&amp;"担当。初めてのビジネス弁護士らしい仕事に若葉は喜びを隠せない。  　その後、若葉は、林佐間男(荒川良々)らから、“付き合っている男""のことを聞かれる。若葉は、草太を意識しながら、彼は一緒に夢を描ける相手だと説明した。    　翌日、響一と高級フレンチレストランで食事をしていた若葉は、前菜のおいしさに驚嘆した。すると、響一がその言葉はシェフに伝えたほうがいい、とマネジャーに声をかけた。やがてシェフとともに現れたのは、草太だった。手伝いで呼ばれたという草太を、シェフは才能ある料理人だと紹介。驚く若葉に響一は"&amp;"、レストランで働けるだけでも名誉だが、前菜を任されるのは腕を見込まれた証拠だと話した。若葉は、それほど才能のある草太が、なぜレストランを辞めたのかが気にかかり…。")</f>
        <v>鮎川若葉(新垣結衣)は、山田草太(錦戸亮)とのキスの記憶を消すためにも、新堂響一(平山浩行)と付き合うことを決めた。ただし、仕事同様、恋も“試用期間"からだと宣言した。  　そんな折、若葉は女性らしくオシャレな洋服を購入。早速、桜川日向(谷花音)の見送りのときに着ると、行き交う人が振り返る。そんなまぶしい若葉を見つけた草太は、思わず隠れてしまう。  　法律事務所では桜川昇子(薬師丸ひろ子)が、若葉の変化に気づき、男ができたのか、と聞く。そんななか、若葉は、響一の口添えで大手商社が特許侵害で訴えられた件を担当。初めてのビジネス弁護士らしい仕事に若葉は喜びを隠せない。  　その後、若葉は、林佐間男(荒川良々)らから、“付き合っている男"のことを聞かれる。若葉は、草太を意識しながら、彼は一緒に夢を描ける相手だと説明した。    　翌日、響一と高級フレンチレストランで食事をしていた若葉は、前菜のおいしさに驚嘆した。すると、響一がその言葉はシェフに伝えたほうがいい、とマネジャーに声をかけた。やがてシェフとともに現れたのは、草太だった。手伝いで呼ばれたという草太を、シェフは才能ある料理人だと紹介。驚く若葉に響一は、レストランで働けるだけでも名誉だが、前菜を任されるのは腕を見込まれた証拠だと話した。若葉は、それほど才能のある草太が、なぜレストランを辞めたのかが気にかかり…。</v>
      </c>
      <c r="N1391" s="2"/>
      <c r="O1391" s="2"/>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row>
    <row r="1392" ht="204.75" customHeight="1">
      <c r="A1392" s="1">
        <v>4202.0</v>
      </c>
      <c r="B1392" s="2" t="s">
        <v>4441</v>
      </c>
      <c r="C1392" s="2">
        <f>IFERROR(__xludf.DUMMYFUNCTION("split(B1392,""_"")"),1107.0)</f>
        <v>1107</v>
      </c>
      <c r="D1392" s="2" t="str">
        <f>IFERROR(__xludf.DUMMYFUNCTION("""COMPUTED_VALUE"""),"CX")</f>
        <v>CX</v>
      </c>
      <c r="E1392" s="2" t="str">
        <f>IFERROR(__xludf.DUMMYFUNCTION("""COMPUTED_VALUE"""),"月21")</f>
        <v>月21</v>
      </c>
      <c r="F1392" s="2" t="s">
        <v>4442</v>
      </c>
      <c r="G1392" s="2" t="s">
        <v>4455</v>
      </c>
      <c r="H1392" s="1">
        <v>5.0</v>
      </c>
      <c r="I1392" s="1" t="s">
        <v>17</v>
      </c>
      <c r="J1392" s="1" t="s">
        <v>11</v>
      </c>
      <c r="K1392" s="2" t="s">
        <v>4456</v>
      </c>
      <c r="L1392" s="2" t="s">
        <v>4457</v>
      </c>
      <c r="M1392" s="2" t="str">
        <f>IFERROR(__xludf.DUMMYFUNCTION("split(split(K1392,""鮎川若葉:"",false),""公式LINE"",false)"),"鮎川若葉(新垣結衣)は、新堂響一(平山浩行)と付き合いながらも、山田草太(錦戸亮)への気持ちを打ち消せずにいた。桜川日向(谷花音)から、草太が好きなんだろうと聞かれ否定はするが、本心は自分が一番よくわかっていた。  一方、汐田そよ子(蓮佛美沙子)に告白された草太を、林佐間男(荒川良々)らは盛り立てるが、草太の気持ちを知るビー太郎(高木星来)は、若葉に告白するようプッシュする。  そよ子から、草太に告白したと聞いた若葉は、激しく動揺し仕事でミスを連発、桜川昇子(薬師丸ひろ子)からも叱責される。  そんな折、"&amp;"若葉は響一からクラシックの演奏会に誘われた。音楽家でもある響一の母親が、若葉に会いたがっているというのだ。響一からドレスをプレゼントされた若葉は、これこそが自分にふさわしい世界だと思い直す。しかし、日向を迎えに行った草太の店で、甲斐甲斐しく振舞っているそよ子を見ると、再び心が乱される。  同じ頃、花村うらら(皆藤愛子)が、見合いをするというニュースが飛び込んできた。うららが好きな佐間男はショックを受けるが、佐間男は諦めるどころか、ほかの人に取られる前に自分の気持ちを伝えると宣言し、見合い場所のサロンへと乗"&amp;"り込んでいく。  佐間男を追いかけてサロンへやってきた草太は、そこで、演奏会に来ていた若葉と響一を目撃。美しいドレスに身を包み輝いている若葉に、自分とは住む世界が違うのだ、と痛感する。")</f>
        <v>鮎川若葉(新垣結衣)は、新堂響一(平山浩行)と付き合いながらも、山田草太(錦戸亮)への気持ちを打ち消せずにいた。桜川日向(谷花音)から、草太が好きなんだろうと聞かれ否定はするが、本心は自分が一番よくわかっていた。  一方、汐田そよ子(蓮佛美沙子)に告白された草太を、林佐間男(荒川良々)らは盛り立てるが、草太の気持ちを知るビー太郎(高木星来)は、若葉に告白するようプッシュする。  そよ子から、草太に告白したと聞いた若葉は、激しく動揺し仕事でミスを連発、桜川昇子(薬師丸ひろ子)からも叱責される。  そんな折、若葉は響一からクラシックの演奏会に誘われた。音楽家でもある響一の母親が、若葉に会いたがっているというのだ。響一からドレスをプレゼントされた若葉は、これこそが自分にふさわしい世界だと思い直す。しかし、日向を迎えに行った草太の店で、甲斐甲斐しく振舞っているそよ子を見ると、再び心が乱される。  同じ頃、花村うらら(皆藤愛子)が、見合いをするというニュースが飛び込んできた。うららが好きな佐間男はショックを受けるが、佐間男は諦めるどころか、ほかの人に取られる前に自分の気持ちを伝えると宣言し、見合い場所のサロンへと乗り込んでいく。  佐間男を追いかけてサロンへやってきた草太は、そこで、演奏会に来ていた若葉と響一を目撃。美しいドレスに身を包み輝いている若葉に、自分とは住む世界が違うのだ、と痛感する。</v>
      </c>
      <c r="N1392" s="2"/>
      <c r="O1392" s="2"/>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row>
    <row r="1393" ht="204.75" customHeight="1">
      <c r="A1393" s="1">
        <v>4203.0</v>
      </c>
      <c r="B1393" s="2" t="s">
        <v>4441</v>
      </c>
      <c r="C1393" s="2">
        <f>IFERROR(__xludf.DUMMYFUNCTION("split(B1393,""_"")"),1107.0)</f>
        <v>1107</v>
      </c>
      <c r="D1393" s="2" t="str">
        <f>IFERROR(__xludf.DUMMYFUNCTION("""COMPUTED_VALUE"""),"CX")</f>
        <v>CX</v>
      </c>
      <c r="E1393" s="2" t="str">
        <f>IFERROR(__xludf.DUMMYFUNCTION("""COMPUTED_VALUE"""),"月21")</f>
        <v>月21</v>
      </c>
      <c r="F1393" s="2" t="s">
        <v>4442</v>
      </c>
      <c r="G1393" s="2" t="s">
        <v>4458</v>
      </c>
      <c r="H1393" s="1">
        <v>6.0</v>
      </c>
      <c r="I1393" s="1" t="s">
        <v>21</v>
      </c>
      <c r="J1393" s="1" t="s">
        <v>11</v>
      </c>
      <c r="K1393" s="2" t="s">
        <v>4459</v>
      </c>
      <c r="L1393" s="2" t="s">
        <v>4460</v>
      </c>
      <c r="M1393" s="2" t="str">
        <f>IFERROR(__xludf.DUMMYFUNCTION("split(split(K1393,""鮎川若葉:"",false),""公式LINE"",false)"),"鮎川若葉(新垣結衣)は、山田草太(錦戸亮)にキスをする汐田そよ子(蓮佛美沙子)を目撃。ショックを受けて保育園を飛び出していく。そして、家に戻ると涙を流し、草太が好きなことを自覚する。  翌朝弁護士事務所では、桜川昇子(薬師丸ひろ子)がいらついた様子で、新堂響一(平山浩行)を探していた。響一が、メインクライアントの大手商社の会長と昇子に断りもなく会食していたことが発覚したのだ。そんななか若葉は、そよ子に呼びとめられ、草太をどう思っているのか、と聞かれる。若葉がなんとも思っていないと断言すると、そよ子は安堵の"&amp;"表情を見せた。若葉は、草太への思いを封印することを心に誓うと、そのまま響一の部屋を訪ね、自分を公私ともにパートナーにしてくれ、と頼んだ。  その頃保育園では、子供たちが行うお遊戯の配役が決まった。王子役を演じるのはビー太郎(高木星来)で、ヒロインの姫役には桜川日向(谷花音)が決まったが、日向はそれをほかの子に譲り、なぜか魔女役に立候補した。  しかしその後、昇子、日向と食事をした若葉は、自分が姫役だと平然と話す日向に驚く。そんな折、仕事のトラブルで急きょ出張が決まった昇子に言われ、若葉は自宅で日向を預かる"&amp;"ことに。そして翌日、若葉は日向のたっての希望で朝食をとりに草太の店にやってくると、草太は四苦八苦しながらビー太郎の衣装を縫っていた。それを見た若葉は、草太から衣装を奪い取ると…。")</f>
        <v>鮎川若葉(新垣結衣)は、山田草太(錦戸亮)にキスをする汐田そよ子(蓮佛美沙子)を目撃。ショックを受けて保育園を飛び出していく。そして、家に戻ると涙を流し、草太が好きなことを自覚する。  翌朝弁護士事務所では、桜川昇子(薬師丸ひろ子)がいらついた様子で、新堂響一(平山浩行)を探していた。響一が、メインクライアントの大手商社の会長と昇子に断りもなく会食していたことが発覚したのだ。そんななか若葉は、そよ子に呼びとめられ、草太をどう思っているのか、と聞かれる。若葉がなんとも思っていないと断言すると、そよ子は安堵の表情を見せた。若葉は、草太への思いを封印することを心に誓うと、そのまま響一の部屋を訪ね、自分を公私ともにパートナーにしてくれ、と頼んだ。  その頃保育園では、子供たちが行うお遊戯の配役が決まった。王子役を演じるのはビー太郎(高木星来)で、ヒロインの姫役には桜川日向(谷花音)が決まったが、日向はそれをほかの子に譲り、なぜか魔女役に立候補した。  しかしその後、昇子、日向と食事をした若葉は、自分が姫役だと平然と話す日向に驚く。そんな折、仕事のトラブルで急きょ出張が決まった昇子に言われ、若葉は自宅で日向を預かることに。そして翌日、若葉は日向のたっての希望で朝食をとりに草太の店にやってくると、草太は四苦八苦しながらビー太郎の衣装を縫っていた。それを見た若葉は、草太から衣装を奪い取ると…。</v>
      </c>
      <c r="N1393" s="2"/>
      <c r="O1393" s="2"/>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row>
    <row r="1394" ht="204.75" customHeight="1">
      <c r="A1394" s="1">
        <v>4204.0</v>
      </c>
      <c r="B1394" s="2" t="s">
        <v>4441</v>
      </c>
      <c r="C1394" s="2">
        <f>IFERROR(__xludf.DUMMYFUNCTION("split(B1394,""_"")"),1107.0)</f>
        <v>1107</v>
      </c>
      <c r="D1394" s="2" t="str">
        <f>IFERROR(__xludf.DUMMYFUNCTION("""COMPUTED_VALUE"""),"CX")</f>
        <v>CX</v>
      </c>
      <c r="E1394" s="2" t="str">
        <f>IFERROR(__xludf.DUMMYFUNCTION("""COMPUTED_VALUE"""),"月21")</f>
        <v>月21</v>
      </c>
      <c r="F1394" s="2" t="s">
        <v>4442</v>
      </c>
      <c r="G1394" s="2" t="s">
        <v>4461</v>
      </c>
      <c r="H1394" s="1">
        <v>7.0</v>
      </c>
      <c r="I1394" s="1" t="s">
        <v>25</v>
      </c>
      <c r="J1394" s="1" t="s">
        <v>11</v>
      </c>
      <c r="K1394" s="2" t="s">
        <v>4462</v>
      </c>
      <c r="L1394" s="2" t="s">
        <v>4463</v>
      </c>
      <c r="M1394" s="2" t="str">
        <f>IFERROR(__xludf.DUMMYFUNCTION("split(split(K1394,""鮎川若葉:"",false),""公式LINE"",false)"),"鮎川若葉(新垣結衣)は、山田草太(錦戸亮)が、元妻・リリカ(浅見れいな)に振り回されていることに腹を立て、勢いで新堂響一(平山浩行)のプロポーズを受けてしまったことを後悔していた。  　そんな折、若葉はアパートを訪ねてきた響一に連れられ、高級宝石店にやってくる。そこで響一がオーダーしていた婚約指輪を渡された。美しく光り輝く指輪に若葉の気持ちは高揚する。  　一方の草太は、リリカとの復縁はないと断言するが、妙にテンションが高く、林佐間男(荒川良々)らは心配になる。  　若葉は、そんな草太にあてつけるように指"&amp;"輪を掲げ、響一と婚約したことを告げた。若葉と響一の婚約のニュースは、法律事務所でも話題となり、桜川昇子(薬師丸ひろ子)も興味を示す。  　そんななか若葉は、メモを持ち何かを探している草太を目撃する。若葉が後を追うと、草太はビジネスホテルへ入っていった。そこでリリカと落ち合った草太は、ホテル内のカフェで何やら話しはじめる。話の内容がよく聞こえない若葉は、身を乗り出していくうち、ワゴンとぶつかり大きな音を立ててしまう。  　同じ頃、保育園でヒヨコを飼うことになり、桜川日向(谷花音)や山田ビー太郎(高木星来)ら"&amp;"子どもたちは大喜び。しかし、若葉は「鶏はペットではなく家畜だ」などと現実的なことを言い、周囲を驚かす。  　そんな折、若葉を呼び止めた草太は、自分の正直な気持ちを伝えたいと言い…。")</f>
        <v>鮎川若葉(新垣結衣)は、山田草太(錦戸亮)が、元妻・リリカ(浅見れいな)に振り回されていることに腹を立て、勢いで新堂響一(平山浩行)のプロポーズを受けてしまったことを後悔していた。  　そんな折、若葉はアパートを訪ねてきた響一に連れられ、高級宝石店にやってくる。そこで響一がオーダーしていた婚約指輪を渡された。美しく光り輝く指輪に若葉の気持ちは高揚する。  　一方の草太は、リリカとの復縁はないと断言するが、妙にテンションが高く、林佐間男(荒川良々)らは心配になる。  　若葉は、そんな草太にあてつけるように指輪を掲げ、響一と婚約したことを告げた。若葉と響一の婚約のニュースは、法律事務所でも話題となり、桜川昇子(薬師丸ひろ子)も興味を示す。  　そんななか若葉は、メモを持ち何かを探している草太を目撃する。若葉が後を追うと、草太はビジネスホテルへ入っていった。そこでリリカと落ち合った草太は、ホテル内のカフェで何やら話しはじめる。話の内容がよく聞こえない若葉は、身を乗り出していくうち、ワゴンとぶつかり大きな音を立ててしまう。  　同じ頃、保育園でヒヨコを飼うことになり、桜川日向(谷花音)や山田ビー太郎(高木星来)ら子どもたちは大喜び。しかし、若葉は「鶏はペットではなく家畜だ」などと現実的なことを言い、周囲を驚かす。  　そんな折、若葉を呼び止めた草太は、自分の正直な気持ちを伝えたいと言い…。</v>
      </c>
      <c r="N1394" s="2"/>
      <c r="O1394" s="2"/>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row>
    <row r="1395" ht="204.75" customHeight="1">
      <c r="A1395" s="1">
        <v>4205.0</v>
      </c>
      <c r="B1395" s="2" t="s">
        <v>4441</v>
      </c>
      <c r="C1395" s="2">
        <f>IFERROR(__xludf.DUMMYFUNCTION("split(B1395,""_"")"),1107.0)</f>
        <v>1107</v>
      </c>
      <c r="D1395" s="2" t="str">
        <f>IFERROR(__xludf.DUMMYFUNCTION("""COMPUTED_VALUE"""),"CX")</f>
        <v>CX</v>
      </c>
      <c r="E1395" s="2" t="str">
        <f>IFERROR(__xludf.DUMMYFUNCTION("""COMPUTED_VALUE"""),"月21")</f>
        <v>月21</v>
      </c>
      <c r="F1395" s="2" t="s">
        <v>4442</v>
      </c>
      <c r="G1395" s="2" t="s">
        <v>4464</v>
      </c>
      <c r="H1395" s="1">
        <v>8.0</v>
      </c>
      <c r="I1395" s="1" t="s">
        <v>29</v>
      </c>
      <c r="J1395" s="1" t="s">
        <v>11</v>
      </c>
      <c r="K1395" s="2" t="s">
        <v>4465</v>
      </c>
      <c r="L1395" s="2" t="s">
        <v>4466</v>
      </c>
      <c r="M1395" s="2" t="str">
        <f>IFERROR(__xludf.DUMMYFUNCTION("split(split(K1395,""鮎川若葉:"",false),""公式LINE"",false)"),"鮎川若葉(新垣結衣)は、自分と新堂響一(平山浩行)の婚約パーティーが催されたレストランに駆けつけたが、会はすでにお開きとなっていた。しかし、そこには桜川昇子(薬師丸ひろ子)がいて、若葉に本気で響一と結婚するつもりなのかと尋ねた。若葉は迷いを見せながらも、自分の気持ちは変わらないと結婚への意志を示す。法律事務所に戻った若葉は、響一や汐田そよ子(蓮佛美沙子)らにパーティーの件を謝罪。しかし、欠席した理由を病人を介抱をしていたから、とウソをついてしまう。そんな折、響一から、結納を行いたいので若葉の父親に上京して"&amp;"もらえないか、と連絡が入った。金にだらしがなく貧しい自分の父親を響一の両親に引き合わせたくない若葉は、父親に電報を打ち、上京を断るようにと指示した。ところが数日後、若葉の父・久男(神戸浩)が突然、法律事務所にやってきた。驚愕した若葉は、響一に見つからないうちに父親を連れ出そうとするが、そんな2人に昇子が声をかける。その後、保育園に桜川日向(谷花音)を迎えにいった若葉は、そこで父親が結納のために上京していることを話した。それを聞いた山田草太(錦戸亮)はなんとか冷静さを保つが、ビー太郎(高木星来)が草太にそれ"&amp;"でいいのかと聞く。  　すると日向も、若葉に迷いはないのかと尋ねた。若葉は、自分は上昇あるのみで迷うことなどないと言い…。")</f>
        <v>鮎川若葉(新垣結衣)は、自分と新堂響一(平山浩行)の婚約パーティーが催されたレストランに駆けつけたが、会はすでにお開きとなっていた。しかし、そこには桜川昇子(薬師丸ひろ子)がいて、若葉に本気で響一と結婚するつもりなのかと尋ねた。若葉は迷いを見せながらも、自分の気持ちは変わらないと結婚への意志を示す。法律事務所に戻った若葉は、響一や汐田そよ子(蓮佛美沙子)らにパーティーの件を謝罪。しかし、欠席した理由を病人を介抱をしていたから、とウソをついてしまう。そんな折、響一から、結納を行いたいので若葉の父親に上京してもらえないか、と連絡が入った。金にだらしがなく貧しい自分の父親を響一の両親に引き合わせたくない若葉は、父親に電報を打ち、上京を断るようにと指示した。ところが数日後、若葉の父・久男(神戸浩)が突然、法律事務所にやってきた。驚愕した若葉は、響一に見つからないうちに父親を連れ出そうとするが、そんな2人に昇子が声をかける。その後、保育園に桜川日向(谷花音)を迎えにいった若葉は、そこで父親が結納のために上京していることを話した。それを聞いた山田草太(錦戸亮)はなんとか冷静さを保つが、ビー太郎(高木星来)が草太にそれでいいのかと聞く。  　すると日向も、若葉に迷いはないのかと尋ねた。若葉は、自分は上昇あるのみで迷うことなどないと言い…。</v>
      </c>
      <c r="N1395" s="2"/>
      <c r="O1395" s="2"/>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row>
    <row r="1396" ht="204.75" customHeight="1">
      <c r="A1396" s="1">
        <v>4206.0</v>
      </c>
      <c r="B1396" s="2" t="s">
        <v>4441</v>
      </c>
      <c r="C1396" s="2">
        <f>IFERROR(__xludf.DUMMYFUNCTION("split(B1396,""_"")"),1107.0)</f>
        <v>1107</v>
      </c>
      <c r="D1396" s="2" t="str">
        <f>IFERROR(__xludf.DUMMYFUNCTION("""COMPUTED_VALUE"""),"CX")</f>
        <v>CX</v>
      </c>
      <c r="E1396" s="2" t="str">
        <f>IFERROR(__xludf.DUMMYFUNCTION("""COMPUTED_VALUE"""),"月21")</f>
        <v>月21</v>
      </c>
      <c r="F1396" s="2" t="s">
        <v>4442</v>
      </c>
      <c r="G1396" s="2" t="s">
        <v>4467</v>
      </c>
      <c r="H1396" s="1">
        <v>9.0</v>
      </c>
      <c r="I1396" s="1" t="s">
        <v>33</v>
      </c>
      <c r="J1396" s="1" t="s">
        <v>11</v>
      </c>
      <c r="K1396" s="2" t="s">
        <v>4468</v>
      </c>
      <c r="L1396" s="2" t="s">
        <v>4469</v>
      </c>
      <c r="M1396" s="2" t="str">
        <f>IFERROR(__xludf.DUMMYFUNCTION("split(split(K1396,""鮎川若葉:"",false),""公式LINE"",false)"),"鮎川若葉(新垣結衣)は桜川日向(谷花音)に聞かれ、山田草太(錦戸亮)が好きだと認めた。しかし、自分の信念や夢を曲げることは出来ないから、新堂響一(平山浩行)と結婚すると言う。同じ頃、草太もビー太郎(高木星来)に聞かれ、若葉が好きだと明かした。  若葉と響一はすでに結納を交わしていたが、若葉も草太も自分の気持ちを相手に伝えたいと思っていた。そんな折、若葉は桜川昇子(薬師丸ひろ子)から法律事務所のクライアントの大手商社が、ある玩具工房のオモチャを特許侵害で訴えると聞かされ、その準備に入った。ところがそこは、草"&amp;"太のイクメン仲間の西野健太郎(鈴木亮平)が勤める工房だった。木製の温もりのあるオモチャを作る小さな工房が、大きな商社により不当な製造差し止めの危機に陥っていることに、林佐間男(荒川良々)、鶏井宏(皆川猿時)は怒り心頭。そこで、西野らは若葉になんとか工房を救ってほしいと頼むが、若葉は自分は商社側の弁護士なので力にはなれないと拒否。その後、草太から、本心では仲間の西野を助けようと思っているのではと聞かれるが、若葉は戸惑いながらも手助けはできないと告げた。さらに佐間男らは法律事務所に来て、九条実夏(青山倫子)に"&amp;"戦う術を教えてほしいと直訴。汐田そよ子(蓮佛美沙子)もそれを応援する。そんなやりとりを見かけた響一は、若葉に味方だと信じていいのか、と意思を確認。若葉は迷いながらも「はい」と答えた。")</f>
        <v>鮎川若葉(新垣結衣)は桜川日向(谷花音)に聞かれ、山田草太(錦戸亮)が好きだと認めた。しかし、自分の信念や夢を曲げることは出来ないから、新堂響一(平山浩行)と結婚すると言う。同じ頃、草太もビー太郎(高木星来)に聞かれ、若葉が好きだと明かした。  若葉と響一はすでに結納を交わしていたが、若葉も草太も自分の気持ちを相手に伝えたいと思っていた。そんな折、若葉は桜川昇子(薬師丸ひろ子)から法律事務所のクライアントの大手商社が、ある玩具工房のオモチャを特許侵害で訴えると聞かされ、その準備に入った。ところがそこは、草太のイクメン仲間の西野健太郎(鈴木亮平)が勤める工房だった。木製の温もりのあるオモチャを作る小さな工房が、大きな商社により不当な製造差し止めの危機に陥っていることに、林佐間男(荒川良々)、鶏井宏(皆川猿時)は怒り心頭。そこで、西野らは若葉になんとか工房を救ってほしいと頼むが、若葉は自分は商社側の弁護士なので力にはなれないと拒否。その後、草太から、本心では仲間の西野を助けようと思っているのではと聞かれるが、若葉は戸惑いながらも手助けはできないと告げた。さらに佐間男らは法律事務所に来て、九条実夏(青山倫子)に戦う術を教えてほしいと直訴。汐田そよ子(蓮佛美沙子)もそれを応援する。そんなやりとりを見かけた響一は、若葉に味方だと信じていいのか、と意思を確認。若葉は迷いながらも「はい」と答えた。</v>
      </c>
      <c r="N1396" s="2"/>
      <c r="O1396" s="2"/>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row>
    <row r="1397" ht="204.75" customHeight="1">
      <c r="A1397" s="1">
        <v>4207.0</v>
      </c>
      <c r="B1397" s="2" t="s">
        <v>4441</v>
      </c>
      <c r="C1397" s="2">
        <f>IFERROR(__xludf.DUMMYFUNCTION("split(B1397,""_"")"),1107.0)</f>
        <v>1107</v>
      </c>
      <c r="D1397" s="2" t="str">
        <f>IFERROR(__xludf.DUMMYFUNCTION("""COMPUTED_VALUE"""),"CX")</f>
        <v>CX</v>
      </c>
      <c r="E1397" s="2" t="str">
        <f>IFERROR(__xludf.DUMMYFUNCTION("""COMPUTED_VALUE"""),"月21")</f>
        <v>月21</v>
      </c>
      <c r="F1397" s="2" t="s">
        <v>4442</v>
      </c>
      <c r="G1397" s="2" t="s">
        <v>4470</v>
      </c>
      <c r="H1397" s="1">
        <v>10.0</v>
      </c>
      <c r="I1397" s="1" t="s">
        <v>37</v>
      </c>
      <c r="J1397" s="1" t="s">
        <v>11</v>
      </c>
      <c r="K1397" s="2" t="s">
        <v>4471</v>
      </c>
      <c r="L1397" s="2" t="s">
        <v>4472</v>
      </c>
      <c r="M1397" s="2" t="str">
        <f>IFERROR(__xludf.DUMMYFUNCTION("split(split(K1397,""鮎川若葉:"",false),""公式LINE"",false)"),"鮎川若葉(新垣結衣)は、山田草太(錦戸亮)にフラれたショックを振り切るかのように、新堂響一(平山浩行)との結婚に向かってまい進する。若葉から花嫁介添人の仕切り役に任命された桜川日向(谷花音)は、本当にいいのかと念押しするが、若葉は告白してフラれたのだから清々しい気持ちで式に臨めると笑顔を見せた。草太は、汐田そよ子(蓮佛美沙子)と正式に付き合うことになった、と佐間男(荒川良々)らに報告。草太は、そよ子を真剣に愛せるよう努力するつもりだと決意を述べる。それを聞いたビー太郎(高木星来)も、草太が決めたことならと"&amp;"納得する。  そんな折、法律事務所に若葉を訪ねてリリカ(浅見れいな)がやってくる。リリカは、ニューヨークに戻ったがビー太郎を自分の手で育てたくなり、親権取得の代理交渉を若葉に頼むために再帰国したという。早速、若葉はその件を桜川昇子(薬師丸ひろ子)に報告。昇子は依頼を受けることを認めたが、そんな昇子の手もとには家庭裁判所から届いた「調停期日呼出状」というものがあった。リリカがビー太郎を引き取ろうとし、その交渉を若葉がやると聞いた草太は、大きなショックを受ける。しかし、ビー太郎にとって誰といるのが本当の幸せな"&amp;"のか、と冷静に考え始め、ビー太郎の本心を探るべく、リリカとビー太郎が1日一緒に過ごすことを許可した。そこに同行した若葉は、母との時間を笑顔で満喫するビー太郎を複雑な思いで見る。")</f>
        <v>鮎川若葉(新垣結衣)は、山田草太(錦戸亮)にフラれたショックを振り切るかのように、新堂響一(平山浩行)との結婚に向かってまい進する。若葉から花嫁介添人の仕切り役に任命された桜川日向(谷花音)は、本当にいいのかと念押しするが、若葉は告白してフラれたのだから清々しい気持ちで式に臨めると笑顔を見せた。草太は、汐田そよ子(蓮佛美沙子)と正式に付き合うことになった、と佐間男(荒川良々)らに報告。草太は、そよ子を真剣に愛せるよう努力するつもりだと決意を述べる。それを聞いたビー太郎(高木星来)も、草太が決めたことならと納得する。  そんな折、法律事務所に若葉を訪ねてリリカ(浅見れいな)がやってくる。リリカは、ニューヨークに戻ったがビー太郎を自分の手で育てたくなり、親権取得の代理交渉を若葉に頼むために再帰国したという。早速、若葉はその件を桜川昇子(薬師丸ひろ子)に報告。昇子は依頼を受けることを認めたが、そんな昇子の手もとには家庭裁判所から届いた「調停期日呼出状」というものがあった。リリカがビー太郎を引き取ろうとし、その交渉を若葉がやると聞いた草太は、大きなショックを受ける。しかし、ビー太郎にとって誰といるのが本当の幸せなのか、と冷静に考え始め、ビー太郎の本心を探るべく、リリカとビー太郎が1日一緒に過ごすことを許可した。そこに同行した若葉は、母との時間を笑顔で満喫するビー太郎を複雑な思いで見る。</v>
      </c>
      <c r="N1397" s="2"/>
      <c r="O1397" s="2"/>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row>
    <row r="1398" ht="204.75" customHeight="1">
      <c r="A1398" s="1">
        <v>4208.0</v>
      </c>
      <c r="B1398" s="2" t="s">
        <v>4441</v>
      </c>
      <c r="C1398" s="2">
        <f>IFERROR(__xludf.DUMMYFUNCTION("split(B1398,""_"")"),1107.0)</f>
        <v>1107</v>
      </c>
      <c r="D1398" s="2" t="str">
        <f>IFERROR(__xludf.DUMMYFUNCTION("""COMPUTED_VALUE"""),"CX")</f>
        <v>CX</v>
      </c>
      <c r="E1398" s="2" t="str">
        <f>IFERROR(__xludf.DUMMYFUNCTION("""COMPUTED_VALUE"""),"月21")</f>
        <v>月21</v>
      </c>
      <c r="F1398" s="2" t="s">
        <v>4442</v>
      </c>
      <c r="G1398" s="2" t="s">
        <v>4473</v>
      </c>
      <c r="H1398" s="1">
        <v>11.0</v>
      </c>
      <c r="I1398" s="1" t="s">
        <v>41</v>
      </c>
      <c r="J1398" s="1" t="s">
        <v>11</v>
      </c>
      <c r="K1398" s="2" t="s">
        <v>4474</v>
      </c>
      <c r="L1398" s="2" t="s">
        <v>4475</v>
      </c>
      <c r="M1398" s="2" t="str">
        <f>IFERROR(__xludf.DUMMYFUNCTION("split(split(K1398,""鮎川若葉:"",false),""公式LINE"",false)"),"鮎川若葉(新垣結衣)、山田草太(錦戸亮)、桜川日向(谷花音)は、リリカ(浅見れいな)とニューヨークに旅立つビー太郎(高木星来)を笑顔で見送った。そんな折、法律事務所では、クライアントの意向を受けて事務所所長を桜川昇子(薬師丸ひろ子)から新堂響一(平山浩行)に交代させることについての会議が開かれた。しかし、昇子から発表されたのは、「鮫島桜川法律事務所」が外資系大手の「スミス&amp;クラーク」と合併するという知らせだった。より世界的な事務所として生まれ変わらせた昇子の手腕を評価したクライアントは、昇子が事務所の全権"&amp;"を握ることに同意したという。それを聞いた響一は、事務所を辞める覚悟をするが、昇子は響一にニューヨークの代表を任せると言い、若葉にも現地で響一とともに勤務するよう命じた。完全に敗北した響一は若葉に、自分は事務所を去るから昇子の下で出世を目指すよう言い、自分との婚約も解消しようと提案した。しかし、いつになく弱気の響一に若葉は、一度決めたことだから響一とともにニューヨークに行くと答える。同じ頃、草太は汐田そよ子(蓮佛美沙子)に、若葉の結婚式当日に料理修業のためフランスに発つと告げた。そよ子が、なぜ若葉の結婚式の"&amp;"日に発つのかと尋ねると、自分がいない方が若葉のためだ、と草太は本音を漏らした。その言葉にそよ子はショックを受ける。一方、若葉は迫る結婚式を前に、自分の部屋の整理を始め…。")</f>
        <v>鮎川若葉(新垣結衣)、山田草太(錦戸亮)、桜川日向(谷花音)は、リリカ(浅見れいな)とニューヨークに旅立つビー太郎(高木星来)を笑顔で見送った。そんな折、法律事務所では、クライアントの意向を受けて事務所所長を桜川昇子(薬師丸ひろ子)から新堂響一(平山浩行)に交代させることについての会議が開かれた。しかし、昇子から発表されたのは、「鮫島桜川法律事務所」が外資系大手の「スミス&amp;クラーク」と合併するという知らせだった。より世界的な事務所として生まれ変わらせた昇子の手腕を評価したクライアントは、昇子が事務所の全権を握ることに同意したという。それを聞いた響一は、事務所を辞める覚悟をするが、昇子は響一にニューヨークの代表を任せると言い、若葉にも現地で響一とともに勤務するよう命じた。完全に敗北した響一は若葉に、自分は事務所を去るから昇子の下で出世を目指すよう言い、自分との婚約も解消しようと提案した。しかし、いつになく弱気の響一に若葉は、一度決めたことだから響一とともにニューヨークに行くと答える。同じ頃、草太は汐田そよ子(蓮佛美沙子)に、若葉の結婚式当日に料理修業のためフランスに発つと告げた。そよ子が、なぜ若葉の結婚式の日に発つのかと尋ねると、自分がいない方が若葉のためだ、と草太は本音を漏らした。その言葉にそよ子はショックを受ける。一方、若葉は迫る結婚式を前に、自分の部屋の整理を始め…。</v>
      </c>
      <c r="N1398" s="2"/>
      <c r="O1398" s="2"/>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row>
    <row r="1399" ht="204.75" customHeight="1">
      <c r="A1399" s="1">
        <v>4209.0</v>
      </c>
      <c r="B1399" s="2" t="s">
        <v>4476</v>
      </c>
      <c r="C1399" s="2">
        <f>IFERROR(__xludf.DUMMYFUNCTION("split(B1399,""_"")"),1107.0)</f>
        <v>1107</v>
      </c>
      <c r="D1399" s="2" t="str">
        <f>IFERROR(__xludf.DUMMYFUNCTION("""COMPUTED_VALUE"""),"CX")</f>
        <v>CX</v>
      </c>
      <c r="E1399" s="2" t="str">
        <f>IFERROR(__xludf.DUMMYFUNCTION("""COMPUTED_VALUE"""),"火21")</f>
        <v>火21</v>
      </c>
      <c r="F1399" s="2" t="s">
        <v>443</v>
      </c>
      <c r="G1399" s="2" t="s">
        <v>4477</v>
      </c>
      <c r="H1399" s="1">
        <v>1.0</v>
      </c>
      <c r="I1399" s="1" t="s">
        <v>3</v>
      </c>
      <c r="J1399" s="1" t="s">
        <v>4</v>
      </c>
      <c r="K1399" s="4" t="s">
        <v>4478</v>
      </c>
      <c r="L1399" s="2" t="s">
        <v>4479</v>
      </c>
      <c r="M1399" s="2" t="str">
        <f>IFERROR(__xludf.DUMMYFUNCTION("split(split(K1399,""桜木泉:　"",false),""公式LINE"",false)"),"八王子の事件後、警視庁内で大きな人事異動があり、桜木泉(上戸彩)は長嶋秀夫(北大路欣也)の異動と共に“警視庁特殊犯罪捜査対策室""に異動になった。  　ある朝、捜査班に半年で13名が死亡している企業の不祥事の死亡事故を調べるように指示が出る。同じ頃、テレビでは市民団体の代表者・朝倉千佳子(戸田菜穂)が企業の不祥事によって多発している死亡事故に対して批判の声をあげていた。企業恐喝を疑う捜査班。そして数人の被害者遺族から、事故の前に被害者が不審な男と話していたという目撃証言があり、防犯カメラの映像を分析した結"&amp;"果、その男が同一人物であることや男の生活圏内が判明した。  　男を探して捜査員たちが様々な扮装をして街に散る。やがて男を発見するが身元確認のためそのまま尾行することに。尾行中、男の近くでひったくりが起こり、犯人をつかまえようとする泉だが、瀧河信次郎(桐谷健太)は動くなという。納得のいかない泉は…。  　捜査の結果、男は介護士の飯野正也(田中幸太朗)と判明。飯野と同棲中の女性・藤井香織(前田亜季)の存在がわかると、泉に身分を隠して香織と接触するように命令がくだる。また、事故が起こる前から千佳子が代表の市民団"&amp;"体が、商品の危険性について抗議をしていたこともわかる。")</f>
        <v>八王子の事件後、警視庁内で大きな人事異動があり、桜木泉(上戸彩)は長嶋秀夫(北大路欣也)の異動と共に“警視庁特殊犯罪捜査対策室"に異動になった。  　ある朝、捜査班に半年で13名が死亡している企業の不祥事の死亡事故を調べるように指示が出る。同じ頃、テレビでは市民団体の代表者・朝倉千佳子(戸田菜穂)が企業の不祥事によって多発している死亡事故に対して批判の声をあげていた。企業恐喝を疑う捜査班。そして数人の被害者遺族から、事故の前に被害者が不審な男と話していたという目撃証言があり、防犯カメラの映像を分析した結果、その男が同一人物であることや男の生活圏内が判明した。  　男を探して捜査員たちが様々な扮装をして街に散る。やがて男を発見するが身元確認のためそのまま尾行することに。尾行中、男の近くでひったくりが起こり、犯人をつかまえようとする泉だが、瀧河信次郎(桐谷健太)は動くなという。納得のいかない泉は…。  　捜査の結果、男は介護士の飯野正也(田中幸太朗)と判明。飯野と同棲中の女性・藤井香織(前田亜季)の存在がわかると、泉に身分を隠して香織と接触するように命令がくだる。また、事故が起こる前から千佳子が代表の市民団体が、商品の危険性について抗議をしていたこともわかる。</v>
      </c>
      <c r="N1399" s="2"/>
      <c r="O1399" s="2"/>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row>
    <row r="1400" ht="204.75" customHeight="1">
      <c r="A1400" s="1">
        <v>4210.0</v>
      </c>
      <c r="B1400" s="2" t="s">
        <v>4476</v>
      </c>
      <c r="C1400" s="2">
        <f>IFERROR(__xludf.DUMMYFUNCTION("split(B1400,""_"")"),1107.0)</f>
        <v>1107</v>
      </c>
      <c r="D1400" s="2" t="str">
        <f>IFERROR(__xludf.DUMMYFUNCTION("""COMPUTED_VALUE"""),"CX")</f>
        <v>CX</v>
      </c>
      <c r="E1400" s="2" t="str">
        <f>IFERROR(__xludf.DUMMYFUNCTION("""COMPUTED_VALUE"""),"火21")</f>
        <v>火21</v>
      </c>
      <c r="F1400" s="2" t="s">
        <v>443</v>
      </c>
      <c r="G1400" s="2" t="s">
        <v>4480</v>
      </c>
      <c r="H1400" s="1">
        <v>2.0</v>
      </c>
      <c r="I1400" s="1" t="s">
        <v>7</v>
      </c>
      <c r="J1400" s="1" t="s">
        <v>11</v>
      </c>
      <c r="K1400" s="2" t="s">
        <v>4481</v>
      </c>
      <c r="L1400" s="2" t="s">
        <v>4482</v>
      </c>
      <c r="M1400" s="2" t="str">
        <f>IFERROR(__xludf.DUMMYFUNCTION("split(split(K1400,""桜木泉:　"",false),""公式LINE"",false)"),"半年で立て続けに起こっている企業の不祥事による死亡事故を調べていた桜木泉(上戸彩)ら特殊犯罪捜査班。実行犯の1人とにらんだ日高信之(和田聰宏)と、企業に改善をと訴え続ける市民団体の代表・朝倉千佳子(戸田菜穂)がつながっていると知り、主犯は千佳子とにらむ。  　白石晋太郎(中原丈雄)と磯村亮平(小林高鹿)は架空の市民団体を名乗り、協力依頼と称して千佳子の市民団体事務所に行く。隙を見つけ、集音器付き小型カメラを事務所に仕掛ける白石。一方、もう1人の実行犯の可能性がある飯野正也(田中幸太朗)の同棲相手の藤井香織"&amp;"(前田亜季)と身分を隠して仲良くなっていた泉は、香織が純粋に飯野を信じているのを知り胸を締め付けられながらも情報を聞き出そうとする。白石も市民団体の参加者の1人に言葉巧みに近づき、情報を得ようとしていた。  　そんな中、倉田工(杉本哲太)が一連の死亡事故が殺人である証拠を発見した。犯人は企業の信用を失わせ株価を操ることで莫大な金儲けをしていたのだ。企業の不祥事のタイミングなどを考えると、千佳子が絡んでいると考えて間違いはないと、ますます疑いを深める捜査班。白石は仲良くなった市民団体参加者の1人から、千佳子"&amp;"には“沢田""という近しい存在がいると情報を得た。調べてみると、沢田知己(平岳大)は団体の共同設立者で、ずいぶん前に団体を離れて海外で活動を行っていたことがわかった。")</f>
        <v>半年で立て続けに起こっている企業の不祥事による死亡事故を調べていた桜木泉(上戸彩)ら特殊犯罪捜査班。実行犯の1人とにらんだ日高信之(和田聰宏)と、企業に改善をと訴え続ける市民団体の代表・朝倉千佳子(戸田菜穂)がつながっていると知り、主犯は千佳子とにらむ。  　白石晋太郎(中原丈雄)と磯村亮平(小林高鹿)は架空の市民団体を名乗り、協力依頼と称して千佳子の市民団体事務所に行く。隙を見つけ、集音器付き小型カメラを事務所に仕掛ける白石。一方、もう1人の実行犯の可能性がある飯野正也(田中幸太朗)の同棲相手の藤井香織(前田亜季)と身分を隠して仲良くなっていた泉は、香織が純粋に飯野を信じているのを知り胸を締め付けられながらも情報を聞き出そうとする。白石も市民団体の参加者の1人に言葉巧みに近づき、情報を得ようとしていた。  　そんな中、倉田工(杉本哲太)が一連の死亡事故が殺人である証拠を発見した。犯人は企業の信用を失わせ株価を操ることで莫大な金儲けをしていたのだ。企業の不祥事のタイミングなどを考えると、千佳子が絡んでいると考えて間違いはないと、ますます疑いを深める捜査班。白石は仲良くなった市民団体参加者の1人から、千佳子には“沢田"という近しい存在がいると情報を得た。調べてみると、沢田知己(平岳大)は団体の共同設立者で、ずいぶん前に団体を離れて海外で活動を行っていたことがわかった。</v>
      </c>
      <c r="N1400" s="2"/>
      <c r="O1400" s="2"/>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row>
    <row r="1401" ht="204.75" customHeight="1">
      <c r="A1401" s="1">
        <v>4211.0</v>
      </c>
      <c r="B1401" s="2" t="s">
        <v>4476</v>
      </c>
      <c r="C1401" s="2">
        <f>IFERROR(__xludf.DUMMYFUNCTION("split(B1401,""_"")"),1107.0)</f>
        <v>1107</v>
      </c>
      <c r="D1401" s="2" t="str">
        <f>IFERROR(__xludf.DUMMYFUNCTION("""COMPUTED_VALUE"""),"CX")</f>
        <v>CX</v>
      </c>
      <c r="E1401" s="2" t="str">
        <f>IFERROR(__xludf.DUMMYFUNCTION("""COMPUTED_VALUE"""),"火21")</f>
        <v>火21</v>
      </c>
      <c r="F1401" s="2" t="s">
        <v>443</v>
      </c>
      <c r="G1401" s="2" t="s">
        <v>4483</v>
      </c>
      <c r="H1401" s="1">
        <v>3.0</v>
      </c>
      <c r="I1401" s="1" t="s">
        <v>10</v>
      </c>
      <c r="J1401" s="1" t="s">
        <v>11</v>
      </c>
      <c r="K1401" s="2" t="s">
        <v>4484</v>
      </c>
      <c r="L1401" s="2" t="s">
        <v>4485</v>
      </c>
      <c r="M1401" s="2" t="str">
        <f>IFERROR(__xludf.DUMMYFUNCTION("split(split(K1401,""桜木泉:　"",false),""公式LINE"",false)"),"桜木泉(上戸彩)は、出勤早々に瀧河信次郎(桐谷健太)に服装が派手過ぎると怒られ、スーツカタログを渡される。そんな中、長嶋秀夫(北大路欣也)から捜査命令が出た。  　国家プロジェクトでもある新薬を開発する医療機関MNPの研究員・野田(内倉憲二)がトラックにひかれた死亡事故の捜査で、野田が4人の男に追われていたことと、倒れた後に上着を探る男・北村正宗(阪田マサノブ)がいたことが判明した。上着を探ったのは通報者でありMNPの副所長であることから、施設内のトラブルが予想されたが、機密情報の漏えいを理由に情報開示を"&amp;"拒否されてしまい、泉と瀧河が施設内に潜入捜査を行うことになった。  　瀧河は警備員、泉は治験者としてMNPに潜入成功。瀧河は、野田を追っていた男たちが研究員であることがわかると研究室に集音器を仕掛けた。一方、泉も研究員の中に追っ手の1人を発見。その研究員が別の研究員と「野田は最低の研究者だった」と話しているのを立ち聞きしていたが、さらに別の研究員に見つかってしまう。つかまった泉は…。  　MNPの外で待機していた白石晋太郎(中原丈雄)や磯村亮平(小林高鹿)は、出てきた所長の東海林俊哉(小木茂光)と北村を追"&amp;"跡。北村が謎のロシア人と密会したことを突き止めた。また、瀧河は野田の事故の翌日に古株の警備員が1人辞めていることを聞き、その人物を調べるように指示を出す。")</f>
        <v>桜木泉(上戸彩)は、出勤早々に瀧河信次郎(桐谷健太)に服装が派手過ぎると怒られ、スーツカタログを渡される。そんな中、長嶋秀夫(北大路欣也)から捜査命令が出た。  　国家プロジェクトでもある新薬を開発する医療機関MNPの研究員・野田(内倉憲二)がトラックにひかれた死亡事故の捜査で、野田が4人の男に追われていたことと、倒れた後に上着を探る男・北村正宗(阪田マサノブ)がいたことが判明した。上着を探ったのは通報者でありMNPの副所長であることから、施設内のトラブルが予想されたが、機密情報の漏えいを理由に情報開示を拒否されてしまい、泉と瀧河が施設内に潜入捜査を行うことになった。  　瀧河は警備員、泉は治験者としてMNPに潜入成功。瀧河は、野田を追っていた男たちが研究員であることがわかると研究室に集音器を仕掛けた。一方、泉も研究員の中に追っ手の1人を発見。その研究員が別の研究員と「野田は最低の研究者だった」と話しているのを立ち聞きしていたが、さらに別の研究員に見つかってしまう。つかまった泉は…。  　MNPの外で待機していた白石晋太郎(中原丈雄)や磯村亮平(小林高鹿)は、出てきた所長の東海林俊哉(小木茂光)と北村を追跡。北村が謎のロシア人と密会したことを突き止めた。また、瀧河は野田の事故の翌日に古株の警備員が1人辞めていることを聞き、その人物を調べるように指示を出す。</v>
      </c>
      <c r="N1401" s="2"/>
      <c r="O1401" s="2"/>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row>
    <row r="1402" ht="204.75" customHeight="1">
      <c r="A1402" s="1">
        <v>4212.0</v>
      </c>
      <c r="B1402" s="2" t="s">
        <v>4476</v>
      </c>
      <c r="C1402" s="2">
        <f>IFERROR(__xludf.DUMMYFUNCTION("split(B1402,""_"")"),1107.0)</f>
        <v>1107</v>
      </c>
      <c r="D1402" s="2" t="str">
        <f>IFERROR(__xludf.DUMMYFUNCTION("""COMPUTED_VALUE"""),"CX")</f>
        <v>CX</v>
      </c>
      <c r="E1402" s="2" t="str">
        <f>IFERROR(__xludf.DUMMYFUNCTION("""COMPUTED_VALUE"""),"火21")</f>
        <v>火21</v>
      </c>
      <c r="F1402" s="2" t="s">
        <v>443</v>
      </c>
      <c r="G1402" s="2" t="s">
        <v>4486</v>
      </c>
      <c r="H1402" s="1">
        <v>4.0</v>
      </c>
      <c r="I1402" s="1" t="s">
        <v>14</v>
      </c>
      <c r="J1402" s="1" t="s">
        <v>11</v>
      </c>
      <c r="K1402" s="2" t="s">
        <v>4487</v>
      </c>
      <c r="L1402" s="2" t="s">
        <v>4488</v>
      </c>
      <c r="M1402" s="2" t="str">
        <f>IFERROR(__xludf.DUMMYFUNCTION("split(split(K1402,""桜木泉:　"",false),""公式LINE"",false)"),"桜木泉(上戸彩)や瀧河信次郎(桐谷健太)らに新しい捜査指令が出る。名門小学校・教応学園の児童3人がここ2カ月の間に何者かに連れ去られるのを目撃したという通報があったが、いずれも保護者からの通報がなく、学校側も全員の無事を確認しているという事件だ。12年前、教応学園の児童が誘拐され、捜査員のミスにより児童が殺害された事件があったことから学校側が隠していることも考えられ、誘拐事件の有無の確認をとることに。  　目撃情報付近の防犯カメラ映像に児童の大塚則人(青山和也)が連れ去られる様子が映っていたことから、誘拐"&amp;"事件があったと確信し、捜査を始める。倉田工(杉本哲太)と高峰涼子(山口紗弥加)は学校で教頭の氏家嘉子(七瀬なつみ)に聞き込みをするが、氏家は誘拐事件の存在を否定し、名簿の貸し出しも拒否する。捜査班は学校の花壇改装工事があることに目をつけ、泉と白石晋太郎(中原丈雄)と磯村亮平(小林高鹿)がガーデナーとして学園に潜入開始。泉は会議で職員室が空になる時間を見計らい、生徒たちの住所録と2カ月分の出席簿をカメラで写して分析班に転送した。  　3人の生徒が1週間休んでいたことがわかり、その内の1人が則人だった。深沢ユ"&amp;"ウキ(丸山智己)も協力し、3人の保護者をあたるも全員かたくなに口を閉ざしていた。瀧河の捜査で、事件に学校側も絡んでいる可能性も浮上してきた中、泉は則人に接触を試みるが…。")</f>
        <v>桜木泉(上戸彩)や瀧河信次郎(桐谷健太)らに新しい捜査指令が出る。名門小学校・教応学園の児童3人がここ2カ月の間に何者かに連れ去られるのを目撃したという通報があったが、いずれも保護者からの通報がなく、学校側も全員の無事を確認しているという事件だ。12年前、教応学園の児童が誘拐され、捜査員のミスにより児童が殺害された事件があったことから学校側が隠していることも考えられ、誘拐事件の有無の確認をとることに。  　目撃情報付近の防犯カメラ映像に児童の大塚則人(青山和也)が連れ去られる様子が映っていたことから、誘拐事件があったと確信し、捜査を始める。倉田工(杉本哲太)と高峰涼子(山口紗弥加)は学校で教頭の氏家嘉子(七瀬なつみ)に聞き込みをするが、氏家は誘拐事件の存在を否定し、名簿の貸し出しも拒否する。捜査班は学校の花壇改装工事があることに目をつけ、泉と白石晋太郎(中原丈雄)と磯村亮平(小林高鹿)がガーデナーとして学園に潜入開始。泉は会議で職員室が空になる時間を見計らい、生徒たちの住所録と2カ月分の出席簿をカメラで写して分析班に転送した。  　3人の生徒が1週間休んでいたことがわかり、その内の1人が則人だった。深沢ユウキ(丸山智己)も協力し、3人の保護者をあたるも全員かたくなに口を閉ざしていた。瀧河の捜査で、事件に学校側も絡んでいる可能性も浮上してきた中、泉は則人に接触を試みるが…。</v>
      </c>
      <c r="N1402" s="2"/>
      <c r="O1402" s="2"/>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row>
    <row r="1403" ht="204.75" customHeight="1">
      <c r="A1403" s="1">
        <v>4213.0</v>
      </c>
      <c r="B1403" s="2" t="s">
        <v>4476</v>
      </c>
      <c r="C1403" s="2">
        <f>IFERROR(__xludf.DUMMYFUNCTION("split(B1403,""_"")"),1107.0)</f>
        <v>1107</v>
      </c>
      <c r="D1403" s="2" t="str">
        <f>IFERROR(__xludf.DUMMYFUNCTION("""COMPUTED_VALUE"""),"CX")</f>
        <v>CX</v>
      </c>
      <c r="E1403" s="2" t="str">
        <f>IFERROR(__xludf.DUMMYFUNCTION("""COMPUTED_VALUE"""),"火21")</f>
        <v>火21</v>
      </c>
      <c r="F1403" s="2" t="s">
        <v>443</v>
      </c>
      <c r="G1403" s="2" t="s">
        <v>4489</v>
      </c>
      <c r="H1403" s="1">
        <v>5.0</v>
      </c>
      <c r="I1403" s="1" t="s">
        <v>17</v>
      </c>
      <c r="J1403" s="1" t="s">
        <v>11</v>
      </c>
      <c r="K1403" s="2" t="s">
        <v>4490</v>
      </c>
      <c r="L1403" s="2" t="s">
        <v>4491</v>
      </c>
      <c r="M1403" s="2" t="str">
        <f>IFERROR(__xludf.DUMMYFUNCTION("split(split(K1403,""桜木泉:　"",false),""公式LINE"",false)"),"桜木泉(上戸彩)ら特殊班のもとに長嶋(北大路欣也)から新たな捜査指令が出た。この3カ月、いくつかの場所で通常の5倍もの件数のひったくり、車上荒らし、痴漢、児童連れ去りなどの事件が発生している。その場所はいずれも、科学警察研究所の研究員、前島誠司(高杉亘)が作成した防犯マップで危険度が高いと指定された場所だった。さらには、事件が多発した町田市と江戸川区に設置されている周囲1kmの防犯カメラから、それぞれ同じ40代男性が乗車している偽造ナンバーの車両が発見されたのだ。特殊班はこの男と事件の関連性、さらに犯人が"&amp;"防犯マップを参考に事件を起こしているのではないかとみて、捜査に乗り出した。  　泉と白石(中原丈雄)は、前島が地域住民と行っている防犯マップ作りのボランティア活動に潜入捜査をすることになった。そこで泉はボランティアとして毎回参加している梶田真之(松林慎司)という男性と出会う。高峰涼子(山口紗弥加)のプロファイルによると、泉に話しかけられた梶田は明らかに動揺していることがわかった。そこで、白石が梶田をマークすると、梶田が前島の資料と地域住民で作った資料をコピーして持ち出しているところを発見した。白石から報告"&amp;"を受けた瀧河(桐谷健太)、磯村(小林高鹿)らは梶田を追うことに・・・。")</f>
        <v>桜木泉(上戸彩)ら特殊班のもとに長嶋(北大路欣也)から新たな捜査指令が出た。この3カ月、いくつかの場所で通常の5倍もの件数のひったくり、車上荒らし、痴漢、児童連れ去りなどの事件が発生している。その場所はいずれも、科学警察研究所の研究員、前島誠司(高杉亘)が作成した防犯マップで危険度が高いと指定された場所だった。さらには、事件が多発した町田市と江戸川区に設置されている周囲1kmの防犯カメラから、それぞれ同じ40代男性が乗車している偽造ナンバーの車両が発見されたのだ。特殊班はこの男と事件の関連性、さらに犯人が防犯マップを参考に事件を起こしているのではないかとみて、捜査に乗り出した。  　泉と白石(中原丈雄)は、前島が地域住民と行っている防犯マップ作りのボランティア活動に潜入捜査をすることになった。そこで泉はボランティアとして毎回参加している梶田真之(松林慎司)という男性と出会う。高峰涼子(山口紗弥加)のプロファイルによると、泉に話しかけられた梶田は明らかに動揺していることがわかった。そこで、白石が梶田をマークすると、梶田が前島の資料と地域住民で作った資料をコピーして持ち出しているところを発見した。白石から報告を受けた瀧河(桐谷健太)、磯村(小林高鹿)らは梶田を追うことに・・・。</v>
      </c>
      <c r="N1403" s="2"/>
      <c r="O1403" s="2"/>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row>
    <row r="1404" ht="204.75" customHeight="1">
      <c r="A1404" s="1">
        <v>4214.0</v>
      </c>
      <c r="B1404" s="2" t="s">
        <v>4476</v>
      </c>
      <c r="C1404" s="2">
        <f>IFERROR(__xludf.DUMMYFUNCTION("split(B1404,""_"")"),1107.0)</f>
        <v>1107</v>
      </c>
      <c r="D1404" s="2" t="str">
        <f>IFERROR(__xludf.DUMMYFUNCTION("""COMPUTED_VALUE"""),"CX")</f>
        <v>CX</v>
      </c>
      <c r="E1404" s="2" t="str">
        <f>IFERROR(__xludf.DUMMYFUNCTION("""COMPUTED_VALUE"""),"火21")</f>
        <v>火21</v>
      </c>
      <c r="F1404" s="2" t="s">
        <v>443</v>
      </c>
      <c r="G1404" s="2" t="s">
        <v>4492</v>
      </c>
      <c r="H1404" s="1">
        <v>6.0</v>
      </c>
      <c r="I1404" s="1" t="s">
        <v>21</v>
      </c>
      <c r="J1404" s="1" t="s">
        <v>11</v>
      </c>
      <c r="K1404" s="2" t="s">
        <v>4493</v>
      </c>
      <c r="L1404" s="2" t="s">
        <v>4494</v>
      </c>
      <c r="M1404" s="2" t="str">
        <f>IFERROR(__xludf.DUMMYFUNCTION("split(split(K1404,""桜木泉:　"",false),""公式LINE"",false)"),"桜木泉(上戸彩)は記憶力や洞察力を高めるために瀧河信次郎(桐谷健太)から出された課題に取り組んでいた。するとそこへ長嶋秀夫(北大路欣也)から捜査指令が出された。その捜査とは3日前に起きた有働邸の強盗傷害事件である。有働邸にある画家ロメールのアジュール3部作と言われる名画の1枚が盗まれ、さらに、有働邸に勤める管理人がナイフで刺され意識不明の重体となっている事件であった。  　泉ら特殊班のメンバーが、有働邸及び周辺に設置されている監視カメラの事件数日前の映像を調べ始めると、大広間に有働前会長(浜田晃)の娘であ"&amp;"る三奈子(霧島れいか)と、関東美術大学の講師であると身分を偽る男の姿が映っていた。そして、その男は三奈子の目を盗み奥の部屋へと消えていった。さらに、その男が有働前会長の自宅を訪れた2時間後に別の監視カメラに、海外でも評価の高い日本人洋画家である椎名清剛(石黒賢)と駐車場で接触していることがわかった。椎名もこの犯行に関与している可能性があると見た捜査班は、泉を椎名の家にハウスキーパーとして潜入捜査させる。  　泉は椎名宅につぎつぎと小型カメラを設置。すると、有働邸のカメラに映し出されていた男が椎名宅を訪ねて"&amp;"くる映像が映し出された。男は上原画廊で椎名の作品を担当している職員と判明。上原画廊の責任者・上原秀典(井上肇)は裏で盗品の買取りなど、際どいビジネスをしている噂もある人物だった…。")</f>
        <v>桜木泉(上戸彩)は記憶力や洞察力を高めるために瀧河信次郎(桐谷健太)から出された課題に取り組んでいた。するとそこへ長嶋秀夫(北大路欣也)から捜査指令が出された。その捜査とは3日前に起きた有働邸の強盗傷害事件である。有働邸にある画家ロメールのアジュール3部作と言われる名画の1枚が盗まれ、さらに、有働邸に勤める管理人がナイフで刺され意識不明の重体となっている事件であった。  　泉ら特殊班のメンバーが、有働邸及び周辺に設置されている監視カメラの事件数日前の映像を調べ始めると、大広間に有働前会長(浜田晃)の娘である三奈子(霧島れいか)と、関東美術大学の講師であると身分を偽る男の姿が映っていた。そして、その男は三奈子の目を盗み奥の部屋へと消えていった。さらに、その男が有働前会長の自宅を訪れた2時間後に別の監視カメラに、海外でも評価の高い日本人洋画家である椎名清剛(石黒賢)と駐車場で接触していることがわかった。椎名もこの犯行に関与している可能性があると見た捜査班は、泉を椎名の家にハウスキーパーとして潜入捜査させる。  　泉は椎名宅につぎつぎと小型カメラを設置。すると、有働邸のカメラに映し出されていた男が椎名宅を訪ねてくる映像が映し出された。男は上原画廊で椎名の作品を担当している職員と判明。上原画廊の責任者・上原秀典(井上肇)は裏で盗品の買取りなど、際どいビジネスをしている噂もある人物だった…。</v>
      </c>
      <c r="N1404" s="2"/>
      <c r="O1404" s="2"/>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row>
    <row r="1405" ht="204.75" customHeight="1">
      <c r="A1405" s="1">
        <v>4215.0</v>
      </c>
      <c r="B1405" s="2" t="s">
        <v>4476</v>
      </c>
      <c r="C1405" s="2">
        <f>IFERROR(__xludf.DUMMYFUNCTION("split(B1405,""_"")"),1107.0)</f>
        <v>1107</v>
      </c>
      <c r="D1405" s="2" t="str">
        <f>IFERROR(__xludf.DUMMYFUNCTION("""COMPUTED_VALUE"""),"CX")</f>
        <v>CX</v>
      </c>
      <c r="E1405" s="2" t="str">
        <f>IFERROR(__xludf.DUMMYFUNCTION("""COMPUTED_VALUE"""),"火21")</f>
        <v>火21</v>
      </c>
      <c r="F1405" s="2" t="s">
        <v>443</v>
      </c>
      <c r="G1405" s="2" t="s">
        <v>4495</v>
      </c>
      <c r="H1405" s="1">
        <v>7.0</v>
      </c>
      <c r="I1405" s="1" t="s">
        <v>25</v>
      </c>
      <c r="J1405" s="1" t="s">
        <v>11</v>
      </c>
      <c r="K1405" s="2" t="s">
        <v>4496</v>
      </c>
      <c r="L1405" s="2" t="s">
        <v>4497</v>
      </c>
      <c r="M1405" s="2" t="str">
        <f>IFERROR(__xludf.DUMMYFUNCTION("split(split(K1405,""桜木泉:　"",false),""公式LINE"",false)"),"桜木泉(上戸彩)が猪原恵美(峯村リエ)に頼まれ三井朋美(斎藤めぐみ)と共に合コンに参加していると、高峰涼子(山口紗弥加)から捜査班に戻るように連絡が入る。  　捜査班で、ここ3カ月で10件発生している連続宝石強盗事件を捜査することになった。被害総額は15億円にのぼり、警備員も2人殺されている事件で、容疑者はすでにアジア各国で活動している国際窃盗団“月盗団""に絞られていた。しかし、最近の犯行は手口こそ同じであれ、対象が繁華街の高級店から商店街の小さな店になるなど、違う点が多いため別グループの可能性もあり、"&amp;"捜査班が稼働することになったのだ。現場に残された男性と思われる靴跡から、防犯のために周りをフェンス等で囲った日本で唯一の城塞都市である聖山タウンにしか輸入されていないタイルに使われている粒子が検出された。聖山タウンは外部の人間を拒絶するため、泉と瀧河信次郎(桐谷健太)が新婚夫婦に扮してタウンに潜入捜査を始める。  　泉と瀧河から送られてくる映像から住民たちの顔写真や車のナンバーを収集し、照合したところ、事件があった金曜の夜にゲートの外に出ていたのは13人だった。その中の男性9人に重点を置いて捜査が始まる。"&amp;"やがて9人の中の1人・深星秋信(鈴木一真)を追跡していた白石晋太郎(中原丈雄)があることに気付く。")</f>
        <v>桜木泉(上戸彩)が猪原恵美(峯村リエ)に頼まれ三井朋美(斎藤めぐみ)と共に合コンに参加していると、高峰涼子(山口紗弥加)から捜査班に戻るように連絡が入る。  　捜査班で、ここ3カ月で10件発生している連続宝石強盗事件を捜査することになった。被害総額は15億円にのぼり、警備員も2人殺されている事件で、容疑者はすでにアジア各国で活動している国際窃盗団“月盗団"に絞られていた。しかし、最近の犯行は手口こそ同じであれ、対象が繁華街の高級店から商店街の小さな店になるなど、違う点が多いため別グループの可能性もあり、捜査班が稼働することになったのだ。現場に残された男性と思われる靴跡から、防犯のために周りをフェンス等で囲った日本で唯一の城塞都市である聖山タウンにしか輸入されていないタイルに使われている粒子が検出された。聖山タウンは外部の人間を拒絶するため、泉と瀧河信次郎(桐谷健太)が新婚夫婦に扮してタウンに潜入捜査を始める。  　泉と瀧河から送られてくる映像から住民たちの顔写真や車のナンバーを収集し、照合したところ、事件があった金曜の夜にゲートの外に出ていたのは13人だった。その中の男性9人に重点を置いて捜査が始まる。やがて9人の中の1人・深星秋信(鈴木一真)を追跡していた白石晋太郎(中原丈雄)があることに気付く。</v>
      </c>
      <c r="N1405" s="2"/>
      <c r="O1405" s="2"/>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row>
    <row r="1406" ht="204.75" customHeight="1">
      <c r="A1406" s="1">
        <v>4216.0</v>
      </c>
      <c r="B1406" s="2" t="s">
        <v>4476</v>
      </c>
      <c r="C1406" s="2">
        <f>IFERROR(__xludf.DUMMYFUNCTION("split(B1406,""_"")"),1107.0)</f>
        <v>1107</v>
      </c>
      <c r="D1406" s="2" t="str">
        <f>IFERROR(__xludf.DUMMYFUNCTION("""COMPUTED_VALUE"""),"CX")</f>
        <v>CX</v>
      </c>
      <c r="E1406" s="2" t="str">
        <f>IFERROR(__xludf.DUMMYFUNCTION("""COMPUTED_VALUE"""),"火21")</f>
        <v>火21</v>
      </c>
      <c r="F1406" s="2" t="s">
        <v>443</v>
      </c>
      <c r="G1406" s="2" t="s">
        <v>4498</v>
      </c>
      <c r="H1406" s="1">
        <v>8.0</v>
      </c>
      <c r="I1406" s="1" t="s">
        <v>29</v>
      </c>
      <c r="J1406" s="1" t="s">
        <v>11</v>
      </c>
      <c r="K1406" s="2" t="s">
        <v>4499</v>
      </c>
      <c r="L1406" s="2" t="s">
        <v>4500</v>
      </c>
      <c r="M1406" s="2" t="str">
        <f>IFERROR(__xludf.DUMMYFUNCTION("split(split(K1406,""桜木泉:　"",false),""公式LINE"",false)"),"桜木泉(上戸彩)、瀧河信次郎(桐谷健太)ら捜査員たちが分析班で集まっていると、深沢ユウキ(丸山智己)がやってきた。深沢は竹林匠(木村了)の元へ向かうと、連続殺人事件の容疑で同行をうながす。  　ここ2カ月、都内各所で女性ばかりを狙った猟奇殺人事件が立て続けに発生していた。4件目となった今回は被害者の女性の爪から皮膚片が採取され、指紋とDNAが竹林のものと一致したのだ。偽装工作された可能性はないという結果が出ていて、長嶋秀夫(北大路欣也)も同席し、深沢による竹林の事情聴取が始まる。さらに家宅捜索の結果、犯行"&amp;"に使ったと思われる包丁や糸、猟奇犯罪に関する本やDVDも発見された。アリバイも、証言した場所の監視カメラには映っておらず、ますます窮地に追い込まれていく竹林。  　竹林に不利な状況が続く中、桜木たちは無実を信じて真犯人を探すことに。2カ月前、誰かにつけられていたという竹林の言葉を基に、その男を特定しようと聞き込みを始めた。やがて、その男が巨大ネットショッピングサイトの会社員で、そこは竹林や全被害者が会員であったことがわかった。竹林の逮捕を止めることができるのは残り4日間となり、泉と瀧河はネット会社に潜入捜"&amp;"査を始める。")</f>
        <v>桜木泉(上戸彩)、瀧河信次郎(桐谷健太)ら捜査員たちが分析班で集まっていると、深沢ユウキ(丸山智己)がやってきた。深沢は竹林匠(木村了)の元へ向かうと、連続殺人事件の容疑で同行をうながす。  　ここ2カ月、都内各所で女性ばかりを狙った猟奇殺人事件が立て続けに発生していた。4件目となった今回は被害者の女性の爪から皮膚片が採取され、指紋とDNAが竹林のものと一致したのだ。偽装工作された可能性はないという結果が出ていて、長嶋秀夫(北大路欣也)も同席し、深沢による竹林の事情聴取が始まる。さらに家宅捜索の結果、犯行に使ったと思われる包丁や糸、猟奇犯罪に関する本やDVDも発見された。アリバイも、証言した場所の監視カメラには映っておらず、ますます窮地に追い込まれていく竹林。  　竹林に不利な状況が続く中、桜木たちは無実を信じて真犯人を探すことに。2カ月前、誰かにつけられていたという竹林の言葉を基に、その男を特定しようと聞き込みを始めた。やがて、その男が巨大ネットショッピングサイトの会社員で、そこは竹林や全被害者が会員であったことがわかった。竹林の逮捕を止めることができるのは残り4日間となり、泉と瀧河はネット会社に潜入捜査を始める。</v>
      </c>
      <c r="N1406" s="2"/>
      <c r="O1406" s="2"/>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row>
    <row r="1407" ht="204.75" customHeight="1">
      <c r="A1407" s="1">
        <v>4217.0</v>
      </c>
      <c r="B1407" s="2" t="s">
        <v>4476</v>
      </c>
      <c r="C1407" s="2">
        <f>IFERROR(__xludf.DUMMYFUNCTION("split(B1407,""_"")"),1107.0)</f>
        <v>1107</v>
      </c>
      <c r="D1407" s="2" t="str">
        <f>IFERROR(__xludf.DUMMYFUNCTION("""COMPUTED_VALUE"""),"CX")</f>
        <v>CX</v>
      </c>
      <c r="E1407" s="2" t="str">
        <f>IFERROR(__xludf.DUMMYFUNCTION("""COMPUTED_VALUE"""),"火21")</f>
        <v>火21</v>
      </c>
      <c r="F1407" s="2" t="s">
        <v>443</v>
      </c>
      <c r="G1407" s="2" t="s">
        <v>4501</v>
      </c>
      <c r="H1407" s="1">
        <v>9.0</v>
      </c>
      <c r="I1407" s="1" t="s">
        <v>33</v>
      </c>
      <c r="J1407" s="1" t="s">
        <v>11</v>
      </c>
      <c r="K1407" s="2" t="s">
        <v>4502</v>
      </c>
      <c r="L1407" s="2" t="s">
        <v>4503</v>
      </c>
      <c r="M1407" s="2" t="str">
        <f>IFERROR(__xludf.DUMMYFUNCTION("split(split(K1407,""桜木泉:　"",false),""公式LINE"",false)"),"桜木泉(上戸彩)は、畑山昭子(堀内敬子)に銃口を突き付けられ動けずにいた。瀧河信次郎(桐谷健太)も駆けつけるがどうすることもできないでいると、畑山の指が引き金にかかり…。捜査班は、畑山がIDを偽造できる技術を持っていながら海外逃亡することもなく都内に潜伏している理由や目的を探ろうとする。  　外務大臣の柴崎順一(丹波義隆)の娘・真結(藤村聖子)の誘拐事件が発生。犯人から身代金3億円の要求があったものの、数日後に開催される世界エネルギーサミットとの関連も考えられ、捜査班が極秘で捜査を進めることに。長嶋秀夫("&amp;"北大路欣也)、倉田工(杉本哲太)、高峰涼子(山口紗弥加)らが柴崎邸に入ると犯人から電話がかかってきた。犯人は翌日正午までに金を用意するように指示し、メールで拘束された真結の映像を送ってきた。そんな中、柴崎の秘書・関根素子(大谷英子)が外出の準備を始める。高峰が関根の言動に不信さを感じていたため、捜査員に追跡を指示する長嶋。分析班で捜査員同士の無線のやりとりを聞いていた竹林匠(木村了)は、無線に異変を感じていた。同じ頃、ネットカフェにいた畑山は「すべて順調です」と、ある男にメールを送っていた。受け取った男は"&amp;"、柴崎邸付近の監視カメラの映像を確認し、ある発見をする。")</f>
        <v>桜木泉(上戸彩)は、畑山昭子(堀内敬子)に銃口を突き付けられ動けずにいた。瀧河信次郎(桐谷健太)も駆けつけるがどうすることもできないでいると、畑山の指が引き金にかかり…。捜査班は、畑山がIDを偽造できる技術を持っていながら海外逃亡することもなく都内に潜伏している理由や目的を探ろうとする。  　外務大臣の柴崎順一(丹波義隆)の娘・真結(藤村聖子)の誘拐事件が発生。犯人から身代金3億円の要求があったものの、数日後に開催される世界エネルギーサミットとの関連も考えられ、捜査班が極秘で捜査を進めることに。長嶋秀夫(北大路欣也)、倉田工(杉本哲太)、高峰涼子(山口紗弥加)らが柴崎邸に入ると犯人から電話がかかってきた。犯人は翌日正午までに金を用意するように指示し、メールで拘束された真結の映像を送ってきた。そんな中、柴崎の秘書・関根素子(大谷英子)が外出の準備を始める。高峰が関根の言動に不信さを感じていたため、捜査員に追跡を指示する長嶋。分析班で捜査員同士の無線のやりとりを聞いていた竹林匠(木村了)は、無線に異変を感じていた。同じ頃、ネットカフェにいた畑山は「すべて順調です」と、ある男にメールを送っていた。受け取った男は、柴崎邸付近の監視カメラの映像を確認し、ある発見をする。</v>
      </c>
      <c r="N1407" s="2"/>
      <c r="O1407" s="2"/>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row>
    <row r="1408" ht="204.75" customHeight="1">
      <c r="A1408" s="1">
        <v>4218.0</v>
      </c>
      <c r="B1408" s="2" t="s">
        <v>4476</v>
      </c>
      <c r="C1408" s="2">
        <f>IFERROR(__xludf.DUMMYFUNCTION("split(B1408,""_"")"),1107.0)</f>
        <v>1107</v>
      </c>
      <c r="D1408" s="2" t="str">
        <f>IFERROR(__xludf.DUMMYFUNCTION("""COMPUTED_VALUE"""),"CX")</f>
        <v>CX</v>
      </c>
      <c r="E1408" s="2" t="str">
        <f>IFERROR(__xludf.DUMMYFUNCTION("""COMPUTED_VALUE"""),"火21")</f>
        <v>火21</v>
      </c>
      <c r="F1408" s="2" t="s">
        <v>443</v>
      </c>
      <c r="G1408" s="2" t="s">
        <v>4504</v>
      </c>
      <c r="H1408" s="1">
        <v>10.0</v>
      </c>
      <c r="I1408" s="1" t="s">
        <v>37</v>
      </c>
      <c r="J1408" s="1" t="s">
        <v>11</v>
      </c>
      <c r="K1408" s="2" t="s">
        <v>4505</v>
      </c>
      <c r="L1408" s="2" t="s">
        <v>4506</v>
      </c>
      <c r="M1408" s="2" t="str">
        <f>IFERROR(__xludf.DUMMYFUNCTION("split(split(K1408,""桜木泉:　"",false),""公式LINE"",false)"),"桜木泉(上戸彩)と話したいと畑山昭子(堀内敬子)が自首してきた。泉は八王子事件をはじめ塚本(宮迫博之)射殺事件などの逮捕起訴の手続きをとることを告げるが、畑山は不敵な笑みを浮かべ、殺害を否定する。畑山は戸籍上では死亡していることがわかり、捜査班は畑山の正体と同時に出頭してきた理由を探り始める。畑山は泉の問いかけには答えず、大学院生の川島智裕(中村倫也)を調べることと、自分の所持品の手帳を読み込むことを指示。その後にテストをして、答えられれば柴崎大臣(丹波義隆)誘拐事件のヒントを与えると告げる。  　誘拐犯"&amp;"は、柴崎が監禁されている映像をネットに流し、柴崎を通して世界エネルギーサミット開催日に柴崎と関係者の犯罪行為を明らかにすることが目的であることを告げる。犯人のアジトも手掛かりもつかめずに焦りを隠せない捜査班。そんな中、分析班から畑山が言っていた川島の身元が判明したと報告があがった。川島は成績優秀でコンピューターの知識に精通している大学院生。荒木(岡田義徳)の殺害現場にいたことがわかったが、畑山の自首と同時に姿を消していた。同時に、畑山の手帳やこれまでの行動を調べた結果、犯人像とは一致しないことがわかった。"&amp;"  　畑山は、泉の口から別に犯人がいる可能性が高いことを言わせると、すべての事件を操っている男は木幡(ユースケ・サンタマリア)だと告げる。")</f>
        <v>桜木泉(上戸彩)と話したいと畑山昭子(堀内敬子)が自首してきた。泉は八王子事件をはじめ塚本(宮迫博之)射殺事件などの逮捕起訴の手続きをとることを告げるが、畑山は不敵な笑みを浮かべ、殺害を否定する。畑山は戸籍上では死亡していることがわかり、捜査班は畑山の正体と同時に出頭してきた理由を探り始める。畑山は泉の問いかけには答えず、大学院生の川島智裕(中村倫也)を調べることと、自分の所持品の手帳を読み込むことを指示。その後にテストをして、答えられれば柴崎大臣(丹波義隆)誘拐事件のヒントを与えると告げる。  　誘拐犯は、柴崎が監禁されている映像をネットに流し、柴崎を通して世界エネルギーサミット開催日に柴崎と関係者の犯罪行為を明らかにすることが目的であることを告げる。犯人のアジトも手掛かりもつかめずに焦りを隠せない捜査班。そんな中、分析班から畑山が言っていた川島の身元が判明したと報告があがった。川島は成績優秀でコンピューターの知識に精通している大学院生。荒木(岡田義徳)の殺害現場にいたことがわかったが、畑山の自首と同時に姿を消していた。同時に、畑山の手帳やこれまでの行動を調べた結果、犯人像とは一致しないことがわかった。  　畑山は、泉の口から別に犯人がいる可能性が高いことを言わせると、すべての事件を操っている男は木幡(ユースケ・サンタマリア)だと告げる。</v>
      </c>
      <c r="N1408" s="2"/>
      <c r="O1408" s="2"/>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row>
    <row r="1409" ht="204.75" customHeight="1">
      <c r="A1409" s="1">
        <v>4219.0</v>
      </c>
      <c r="B1409" s="2" t="s">
        <v>4476</v>
      </c>
      <c r="C1409" s="2">
        <f>IFERROR(__xludf.DUMMYFUNCTION("split(B1409,""_"")"),1107.0)</f>
        <v>1107</v>
      </c>
      <c r="D1409" s="2" t="str">
        <f>IFERROR(__xludf.DUMMYFUNCTION("""COMPUTED_VALUE"""),"CX")</f>
        <v>CX</v>
      </c>
      <c r="E1409" s="2" t="str">
        <f>IFERROR(__xludf.DUMMYFUNCTION("""COMPUTED_VALUE"""),"火21")</f>
        <v>火21</v>
      </c>
      <c r="F1409" s="2" t="s">
        <v>443</v>
      </c>
      <c r="G1409" s="2" t="s">
        <v>4507</v>
      </c>
      <c r="H1409" s="1">
        <v>11.0</v>
      </c>
      <c r="I1409" s="1" t="s">
        <v>41</v>
      </c>
      <c r="J1409" s="1" t="s">
        <v>4</v>
      </c>
      <c r="K1409" s="2" t="s">
        <v>4508</v>
      </c>
      <c r="L1409" s="2" t="s">
        <v>4509</v>
      </c>
      <c r="M1409" s="2" t="str">
        <f>IFERROR(__xludf.DUMMYFUNCTION("split(split(K1409,""桜木泉:　"",false),""公式LINE"",false)"),"桜木泉(上戸彩)ら捜査員と畑山昭子(堀内敬子)がいる喫茶店に、木幡雄一(ユースケ・サンタマリア)が入ってきた。しかし、畑山以外は誰も気づかず時間が過ぎていく。木幡は捜査員たちの目が逸れた一瞬をつかってアイコンタクトで畑山にトイレに行くように指示。同じ頃、捜査班に送られてきた荷物の中から盗聴器が発見された。  　畑山がトイレに行きたいと言い出した。事前に捜査員が入り異常がないかを調べ、泉の立ち会いでトイレに行く。木幡は電話で川島智裕(中村倫也)をトイレから続く裏口付近で待機するように指示を出していた。畑山は"&amp;"トイレの個室の備品入れに隠してあった携帯電話と小型ナイフを受け取り、メールを確認。メールには裏口から出れば逃がせると木幡からの伝言が届いていた。畑山は捜査員にナイフを突きつけ、裏口へ向かう。裏口で待機中だった捜査員は近くに川島が現れたと同時に、店内から畑山が出てきたことで混乱。さらに捜査員の姿に慌てた川島が発砲し、現場は混乱する。その混乱に乗じて畑山は姿を消し、川島も取り逃がしてしまう。  　畑山は木幡に電話で、ある取引きを持ちかける。木幡はとあるビルの駐車場を指示すると、川島に連絡を入れた。畑山が駐車場"&amp;"に来ると川島が現れた。川島に銃を向けられ逃げる畑山を追って、ビル駐車場近くの道にいた泉と瀧河信次郎(桐谷健太)は銃声を聞き…。")</f>
        <v>桜木泉(上戸彩)ら捜査員と畑山昭子(堀内敬子)がいる喫茶店に、木幡雄一(ユースケ・サンタマリア)が入ってきた。しかし、畑山以外は誰も気づかず時間が過ぎていく。木幡は捜査員たちの目が逸れた一瞬をつかってアイコンタクトで畑山にトイレに行くように指示。同じ頃、捜査班に送られてきた荷物の中から盗聴器が発見された。  　畑山がトイレに行きたいと言い出した。事前に捜査員が入り異常がないかを調べ、泉の立ち会いでトイレに行く。木幡は電話で川島智裕(中村倫也)をトイレから続く裏口付近で待機するように指示を出していた。畑山はトイレの個室の備品入れに隠してあった携帯電話と小型ナイフを受け取り、メールを確認。メールには裏口から出れば逃がせると木幡からの伝言が届いていた。畑山は捜査員にナイフを突きつけ、裏口へ向かう。裏口で待機中だった捜査員は近くに川島が現れたと同時に、店内から畑山が出てきたことで混乱。さらに捜査員の姿に慌てた川島が発砲し、現場は混乱する。その混乱に乗じて畑山は姿を消し、川島も取り逃がしてしまう。  　畑山は木幡に電話で、ある取引きを持ちかける。木幡はとあるビルの駐車場を指示すると、川島に連絡を入れた。畑山が駐車場に来ると川島が現れた。川島に銃を向けられ逃げる畑山を追って、ビル駐車場近くの道にいた泉と瀧河信次郎(桐谷健太)は銃声を聞き…。</v>
      </c>
      <c r="N1409" s="2"/>
      <c r="O1409" s="2"/>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row>
    <row r="1410" ht="204.75" customHeight="1">
      <c r="A1410" s="1">
        <v>4220.0</v>
      </c>
      <c r="B1410" s="2" t="s">
        <v>4510</v>
      </c>
      <c r="C1410" s="2">
        <f>IFERROR(__xludf.DUMMYFUNCTION("split(B1410,""_"")"),1107.0)</f>
        <v>1107</v>
      </c>
      <c r="D1410" s="2" t="str">
        <f>IFERROR(__xludf.DUMMYFUNCTION("""COMPUTED_VALUE"""),"CX")</f>
        <v>CX</v>
      </c>
      <c r="E1410" s="2" t="str">
        <f>IFERROR(__xludf.DUMMYFUNCTION("""COMPUTED_VALUE"""),"火22")</f>
        <v>火22</v>
      </c>
      <c r="F1410" s="2" t="s">
        <v>4511</v>
      </c>
      <c r="G1410" s="2" t="s">
        <v>4512</v>
      </c>
      <c r="H1410" s="1">
        <v>1.0</v>
      </c>
      <c r="I1410" s="1" t="s">
        <v>3</v>
      </c>
      <c r="J1410" s="1" t="s">
        <v>82</v>
      </c>
      <c r="K1410" s="4" t="s">
        <v>4513</v>
      </c>
      <c r="L1410" s="2" t="s">
        <v>4514</v>
      </c>
      <c r="M1410" s="9" t="str">
        <f>IFERROR(__xludf.DUMMYFUNCTION("split(split(K1410,""伊藤淳史　"",false),""dangan/"",false)"),"http://www.ktv.jp/")</f>
        <v>http://www.ktv.jp/</v>
      </c>
      <c r="N1410" s="2" t="str">
        <f>IFERROR(__xludf.DUMMYFUNCTION("""COMPUTED_VALUE"""),"　東城医大病院心療内科の特別愁訴外来担当医・田口公平(伊藤淳史)は、路上のゴミ置き場で男性の遺体を発見。現場に駆けつけた警察の嘱託医は事件性のない衰弱死と診断するが、田口の提案でCTによるAi(死亡時画像診断)が行われ、殺人事件である可能性が浮上する。    　一方、厚生労働省の官僚・白鳥圭輔(仲村トオル)は、遺体の死因をAiによって究明する「Aiセンター」を東城医大に設立しようと画策を始めていた。だが、警察庁の斑鳩芳正(高橋克典)や法医学教室の教授から猛烈な反発を受ける。Aiで死因が特定されるようになれ"&amp;"ば、法医学の解剖は存在意義をなくし、警察の捜査も威信を失うのだ。    　白鳥は放射線科の准教授でAiの第一人者・島津吾郎(安田顕)を中心にセンターを運営しようと動き出すが、白鳥の動きを警戒する警察庁刑事局審議官の北山錠一郎(尾美としのり)、法医学教室准教授の笹井スミレ(小西真奈美)は激しく反発。議論が紛糾する中、田口がセンター長に担ぎ上げられてしまう。    　その矢先、思わぬ事件が発生した。新しく導入されたMRIの調整を行っていたシステムエンジニアが、院内で遺体となって発見されたのだ…。")</f>
        <v>　東城医大病院心療内科の特別愁訴外来担当医・田口公平(伊藤淳史)は、路上のゴミ置き場で男性の遺体を発見。現場に駆けつけた警察の嘱託医は事件性のない衰弱死と診断するが、田口の提案でCTによるAi(死亡時画像診断)が行われ、殺人事件である可能性が浮上する。    　一方、厚生労働省の官僚・白鳥圭輔(仲村トオル)は、遺体の死因をAiによって究明する「Aiセンター」を東城医大に設立しようと画策を始めていた。だが、警察庁の斑鳩芳正(高橋克典)や法医学教室の教授から猛烈な反発を受ける。Aiで死因が特定されるようになれば、法医学の解剖は存在意義をなくし、警察の捜査も威信を失うのだ。    　白鳥は放射線科の准教授でAiの第一人者・島津吾郎(安田顕)を中心にセンターを運営しようと動き出すが、白鳥の動きを警戒する警察庁刑事局審議官の北山錠一郎(尾美としのり)、法医学教室准教授の笹井スミレ(小西真奈美)は激しく反発。議論が紛糾する中、田口がセンター長に担ぎ上げられてしまう。    　その矢先、思わぬ事件が発生した。新しく導入されたMRIの調整を行っていたシステムエンジニアが、院内で遺体となって発見されたのだ…。</v>
      </c>
      <c r="O1410" s="2"/>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row>
    <row r="1411" ht="204.75" customHeight="1">
      <c r="A1411" s="1">
        <v>4221.0</v>
      </c>
      <c r="B1411" s="2" t="s">
        <v>4510</v>
      </c>
      <c r="C1411" s="2">
        <f>IFERROR(__xludf.DUMMYFUNCTION("split(B1411,""_"")"),1107.0)</f>
        <v>1107</v>
      </c>
      <c r="D1411" s="2" t="str">
        <f>IFERROR(__xludf.DUMMYFUNCTION("""COMPUTED_VALUE"""),"CX")</f>
        <v>CX</v>
      </c>
      <c r="E1411" s="2" t="str">
        <f>IFERROR(__xludf.DUMMYFUNCTION("""COMPUTED_VALUE"""),"火22")</f>
        <v>火22</v>
      </c>
      <c r="F1411" s="2" t="s">
        <v>4511</v>
      </c>
      <c r="G1411" s="2" t="s">
        <v>4515</v>
      </c>
      <c r="H1411" s="1">
        <v>2.0</v>
      </c>
      <c r="I1411" s="1" t="s">
        <v>7</v>
      </c>
      <c r="J1411" s="1" t="s">
        <v>86</v>
      </c>
      <c r="K1411" s="2" t="s">
        <v>4516</v>
      </c>
      <c r="L1411" s="2" t="s">
        <v>4517</v>
      </c>
      <c r="M1411" s="9" t="str">
        <f>IFERROR(__xludf.DUMMYFUNCTION("split(split(K1411,""伊藤淳史　"",false),""dangan/"",false)"),"http://www.ktv.jp/")</f>
        <v>http://www.ktv.jp/</v>
      </c>
      <c r="N1411" s="2" t="str">
        <f>IFERROR(__xludf.DUMMYFUNCTION("""COMPUTED_VALUE"""),"　東城医大のMRI室で、新型MRIの導入作業を行っていたエンジニアの友野(矢柴俊博)が遺体となって見つかった。白鳥(仲村トオル)は殺人事件の可能性があると考え、警察に通報。ところが検視官は事件性のない心不全と診断する。    　この診断に田口(伊藤淳史)と白鳥は異議を唱え、司法解剖で死因を究明するよう主張するが却下されてしまう。そんな中、島津(安田顕)がAiによる死因究明を提案。CTで遺体の全身をくまなく撮影するが不審な点は見つからず、死因は判明しなかった。    　数日後、斑鳩(高橋克典)のもとに白鳥が"&amp;"現れた。警察が殺人事件の犯人の情報を被害者遺族に開示すれば、報復による新たな事件を招く危険があると主張する斑鳩に対し、「警察には情報を隠匿する権利があるのか?」と噛みつく白鳥。すると斑鳩は「権利ではなく、義務です」と不敵に言い放つ。　その頃、田口は友野の葬儀に出席していた。参列者の中には宇佐見(福士誠治)もいたが、島津の姿はない。島津は警察からAiセンター初の遺体鑑定の依頼が来たと色めき立ち、出席を断ったのだ。その非情さに納得がいかない田口の目の前で、友野の遺体は死因不明のまま火葬されてしまう。")</f>
        <v>　東城医大のMRI室で、新型MRIの導入作業を行っていたエンジニアの友野(矢柴俊博)が遺体となって見つかった。白鳥(仲村トオル)は殺人事件の可能性があると考え、警察に通報。ところが検視官は事件性のない心不全と診断する。    　この診断に田口(伊藤淳史)と白鳥は異議を唱え、司法解剖で死因を究明するよう主張するが却下されてしまう。そんな中、島津(安田顕)がAiによる死因究明を提案。CTで遺体の全身をくまなく撮影するが不審な点は見つからず、死因は判明しなかった。    　数日後、斑鳩(高橋克典)のもとに白鳥が現れた。警察が殺人事件の犯人の情報を被害者遺族に開示すれば、報復による新たな事件を招く危険があると主張する斑鳩に対し、「警察には情報を隠匿する権利があるのか?」と噛みつく白鳥。すると斑鳩は「権利ではなく、義務です」と不敵に言い放つ。　その頃、田口は友野の葬儀に出席していた。参列者の中には宇佐見(福士誠治)もいたが、島津の姿はない。島津は警察からAiセンター初の遺体鑑定の依頼が来たと色めき立ち、出席を断ったのだ。その非情さに納得がいかない田口の目の前で、友野の遺体は死因不明のまま火葬されてしまう。</v>
      </c>
      <c r="O1411" s="2"/>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row>
    <row r="1412" ht="204.75" customHeight="1">
      <c r="A1412" s="1">
        <v>4222.0</v>
      </c>
      <c r="B1412" s="2" t="s">
        <v>4510</v>
      </c>
      <c r="C1412" s="2">
        <f>IFERROR(__xludf.DUMMYFUNCTION("split(B1412,""_"")"),1107.0)</f>
        <v>1107</v>
      </c>
      <c r="D1412" s="2" t="str">
        <f>IFERROR(__xludf.DUMMYFUNCTION("""COMPUTED_VALUE"""),"CX")</f>
        <v>CX</v>
      </c>
      <c r="E1412" s="2" t="str">
        <f>IFERROR(__xludf.DUMMYFUNCTION("""COMPUTED_VALUE"""),"火22")</f>
        <v>火22</v>
      </c>
      <c r="F1412" s="2" t="s">
        <v>4511</v>
      </c>
      <c r="G1412" s="2" t="s">
        <v>4518</v>
      </c>
      <c r="H1412" s="1">
        <v>3.0</v>
      </c>
      <c r="I1412" s="1" t="s">
        <v>10</v>
      </c>
      <c r="J1412" s="1" t="s">
        <v>86</v>
      </c>
      <c r="K1412" s="2" t="s">
        <v>4519</v>
      </c>
      <c r="L1412" s="2" t="s">
        <v>4520</v>
      </c>
      <c r="M1412" s="9" t="str">
        <f>IFERROR(__xludf.DUMMYFUNCTION("split(split(K1412,""伊藤淳史　"",false),""dangan/"",false)"),"http://www.ktv.jp/")</f>
        <v>http://www.ktv.jp/</v>
      </c>
      <c r="N1412" s="2" t="str">
        <f>IFERROR(__xludf.DUMMYFUNCTION("""COMPUTED_VALUE"""),"　友野(矢柴俊博)の死亡推定時刻の3時間後に、友野の名でパソコンにログインした人物がいたことを突き止めた田口(伊藤淳史)と白鳥(仲村トオル)。まもなく、作業の記録からログインしたのは友野自身だったことに気づいた白鳥は、死亡推定時刻が誤って鑑定されたのではないかと考える。    　翌日、田口と白鳥は笹井(小西真奈美)を訪ね、死亡推定時刻の鑑定を誤るケースは、どのような理由からなのかを聞き出そうとする。そのとき、笹井は警察から依頼された遺体の司法解剖を行っていた。遺体は殺害された可能性があったが、解剖で一酸化"&amp;"炭素中毒による事故死と判明。    白鳥は笹井の言葉をヒントに、友野の死因をガス中毒と推理。ガス中毒はAiでCT画像を見ただけでは診断できず、島津(安田顕)が異常を見つけられなかった可能性が高いのだ。さっそく遺体発見現場のMRI室に向かった白鳥と田口は、常備されている液体ガスがあることに気付く。")</f>
        <v>　友野(矢柴俊博)の死亡推定時刻の3時間後に、友野の名でパソコンにログインした人物がいたことを突き止めた田口(伊藤淳史)と白鳥(仲村トオル)。まもなく、作業の記録からログインしたのは友野自身だったことに気づいた白鳥は、死亡推定時刻が誤って鑑定されたのではないかと考える。    　翌日、田口と白鳥は笹井(小西真奈美)を訪ね、死亡推定時刻の鑑定を誤るケースは、どのような理由からなのかを聞き出そうとする。そのとき、笹井は警察から依頼された遺体の司法解剖を行っていた。遺体は殺害された可能性があったが、解剖で一酸化炭素中毒による事故死と判明。    白鳥は笹井の言葉をヒントに、友野の死因をガス中毒と推理。ガス中毒はAiでCT画像を見ただけでは診断できず、島津(安田顕)が異常を見つけられなかった可能性が高いのだ。さっそく遺体発見現場のMRI室に向かった白鳥と田口は、常備されている液体ガスがあることに気付く。</v>
      </c>
      <c r="O1412" s="2"/>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row>
    <row r="1413" ht="204.75" customHeight="1">
      <c r="A1413" s="1">
        <v>4223.0</v>
      </c>
      <c r="B1413" s="2" t="s">
        <v>4510</v>
      </c>
      <c r="C1413" s="2">
        <f>IFERROR(__xludf.DUMMYFUNCTION("split(B1413,""_"")"),1107.0)</f>
        <v>1107</v>
      </c>
      <c r="D1413" s="2" t="str">
        <f>IFERROR(__xludf.DUMMYFUNCTION("""COMPUTED_VALUE"""),"CX")</f>
        <v>CX</v>
      </c>
      <c r="E1413" s="2" t="str">
        <f>IFERROR(__xludf.DUMMYFUNCTION("""COMPUTED_VALUE"""),"火22")</f>
        <v>火22</v>
      </c>
      <c r="F1413" s="2" t="s">
        <v>4511</v>
      </c>
      <c r="G1413" s="2" t="s">
        <v>4521</v>
      </c>
      <c r="H1413" s="1">
        <v>4.0</v>
      </c>
      <c r="I1413" s="1" t="s">
        <v>14</v>
      </c>
      <c r="J1413" s="1" t="s">
        <v>86</v>
      </c>
      <c r="K1413" s="2" t="s">
        <v>4522</v>
      </c>
      <c r="L1413" s="2" t="s">
        <v>4523</v>
      </c>
      <c r="M1413" s="9" t="str">
        <f>IFERROR(__xludf.DUMMYFUNCTION("split(split(K1413,""伊藤淳史　"",false),""dangan/"",false)"),"http://www.ktv.jp/")</f>
        <v>http://www.ktv.jp/</v>
      </c>
      <c r="N1413" s="2" t="str">
        <f>IFERROR(__xludf.DUMMYFUNCTION("""COMPUTED_VALUE"""),"　友野(矢柴俊博)が謎の死を遂げた夜、斑鳩(高橋克典)が東城医大で笹井(小西真奈美)と会っていたことを知った白鳥(仲村トオル)は斑鳩を追及。だが、斑鳩は何も答えないばかりか、Aiの推進に躍起になる白鳥に裏の思惑があるのではないかと意味深なことを告げて挑発する。    　その頃、Aiセンターに新たな遺体の鑑定依頼が舞い込んでいた。遺体は、東桜宮病院で初期の前立腺がんの手術を受けた翌日、脳梗塞を起こして急死したという男性。遺族に医療ミスを疑われた院長が、死後に撮ったCT画像の鑑定を依頼してきたのだ。    　"&amp;"島津(安田顕)はAiの結果、手術にミスはなかったと診断。田口(伊藤淳史)は遺族に説明するが納得してもらえず、医療ミスの隠蔽に手を貸しているのではないかとあらぬ疑いまでかけられてしまう。　遺族に詰め寄られ、困り果てる田口の前に白鳥が現れた。白鳥は徹底的な調査が必要だと解剖を提案。笹井に強引に解剖を託すが、結果は島津の診断通り、病院の医療行為に問題は見当たらないというものだった。    　そんな中、東桜宮病院で不審な話を耳にした白鳥。浮上したある疑惑を確かめようと、再びAi鑑定を行うと言い出して…。")</f>
        <v>　友野(矢柴俊博)が謎の死を遂げた夜、斑鳩(高橋克典)が東城医大で笹井(小西真奈美)と会っていたことを知った白鳥(仲村トオル)は斑鳩を追及。だが、斑鳩は何も答えないばかりか、Aiの推進に躍起になる白鳥に裏の思惑があるのではないかと意味深なことを告げて挑発する。    　その頃、Aiセンターに新たな遺体の鑑定依頼が舞い込んでいた。遺体は、東桜宮病院で初期の前立腺がんの手術を受けた翌日、脳梗塞を起こして急死したという男性。遺族に医療ミスを疑われた院長が、死後に撮ったCT画像の鑑定を依頼してきたのだ。    　島津(安田顕)はAiの結果、手術にミスはなかったと診断。田口(伊藤淳史)は遺族に説明するが納得してもらえず、医療ミスの隠蔽に手を貸しているのではないかとあらぬ疑いまでかけられてしまう。　遺族に詰め寄られ、困り果てる田口の前に白鳥が現れた。白鳥は徹底的な調査が必要だと解剖を提案。笹井に強引に解剖を託すが、結果は島津の診断通り、病院の医療行為に問題は見当たらないというものだった。    　そんな中、東桜宮病院で不審な話を耳にした白鳥。浮上したある疑惑を確かめようと、再びAi鑑定を行うと言い出して…。</v>
      </c>
      <c r="O1413" s="2"/>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row>
    <row r="1414" ht="204.75" customHeight="1">
      <c r="A1414" s="1">
        <v>4224.0</v>
      </c>
      <c r="B1414" s="2" t="s">
        <v>4510</v>
      </c>
      <c r="C1414" s="2">
        <f>IFERROR(__xludf.DUMMYFUNCTION("split(B1414,""_"")"),1107.0)</f>
        <v>1107</v>
      </c>
      <c r="D1414" s="2" t="str">
        <f>IFERROR(__xludf.DUMMYFUNCTION("""COMPUTED_VALUE"""),"CX")</f>
        <v>CX</v>
      </c>
      <c r="E1414" s="2" t="str">
        <f>IFERROR(__xludf.DUMMYFUNCTION("""COMPUTED_VALUE"""),"火22")</f>
        <v>火22</v>
      </c>
      <c r="F1414" s="2" t="s">
        <v>4511</v>
      </c>
      <c r="G1414" s="2" t="s">
        <v>4524</v>
      </c>
      <c r="H1414" s="1">
        <v>5.0</v>
      </c>
      <c r="I1414" s="1" t="s">
        <v>17</v>
      </c>
      <c r="J1414" s="1" t="s">
        <v>86</v>
      </c>
      <c r="K1414" s="2" t="s">
        <v>4525</v>
      </c>
      <c r="L1414" s="2" t="s">
        <v>4526</v>
      </c>
      <c r="M1414" s="9" t="str">
        <f>IFERROR(__xludf.DUMMYFUNCTION("split(split(K1414,""伊藤淳史　"",false),""dangan/"",false)"),"http://www.ktv.jp/")</f>
        <v>http://www.ktv.jp/</v>
      </c>
      <c r="N1414" s="2" t="str">
        <f>IFERROR(__xludf.DUMMYFUNCTION("""COMPUTED_VALUE"""),"　東城医大のMRI室で、左目を撃たれて殺害された北山(尾美としのり)の遺体が発見され、そばに拳銃を手にした島津(安田顕)が倒れていた。宇佐見(福士誠治)はMRI室に突入した際、島津が発砲してきたため気絶させたと証言。北山から収賄疑惑を追及された島津が逆上し、犯行に至ったに違いないと断言する。    　MRI室で再び殺人事件が起こり、ショックを隠せない田口(伊藤淳史)。白鳥(仲村トオル)は、島津が収賄絡みで友野(矢柴俊博)も殺害した連続殺人の可能性があると告げ、田口をがく然とさせる。    　そんな中、司法"&amp;"解剖のために運び出されていた北山の遺体が東城医大に戻ってきた。斑鳩(高橋克典)が解剖の担当医に笹井(小西真奈美)を指名したのだった。斑鳩が笹井と組んで何かを隠そうとしているとにらんだ白鳥は、解剖前の遺体を密かに運び出してAiを決行する。　翌日、北山が殺された事件は報道されておらず、警察庁では斑鳩が故意に事件を隠蔽したと、宇佐見が怒りをぶつけていた。    　事件をあえて発表しない斑鳩の思惑に不審を抱いた白鳥は、田口を連れて解剖室に乗り込む。すると、そこには北山の司法解剖に立ち会う斑鳩の姿があった…。")</f>
        <v>　東城医大のMRI室で、左目を撃たれて殺害された北山(尾美としのり)の遺体が発見され、そばに拳銃を手にした島津(安田顕)が倒れていた。宇佐見(福士誠治)はMRI室に突入した際、島津が発砲してきたため気絶させたと証言。北山から収賄疑惑を追及された島津が逆上し、犯行に至ったに違いないと断言する。    　MRI室で再び殺人事件が起こり、ショックを隠せない田口(伊藤淳史)。白鳥(仲村トオル)は、島津が収賄絡みで友野(矢柴俊博)も殺害した連続殺人の可能性があると告げ、田口をがく然とさせる。    　そんな中、司法解剖のために運び出されていた北山の遺体が東城医大に戻ってきた。斑鳩(高橋克典)が解剖の担当医に笹井(小西真奈美)を指名したのだった。斑鳩が笹井と組んで何かを隠そうとしているとにらんだ白鳥は、解剖前の遺体を密かに運び出してAiを決行する。　翌日、北山が殺された事件は報道されておらず、警察庁では斑鳩が故意に事件を隠蔽したと、宇佐見が怒りをぶつけていた。    　事件をあえて発表しない斑鳩の思惑に不審を抱いた白鳥は、田口を連れて解剖室に乗り込む。すると、そこには北山の司法解剖に立ち会う斑鳩の姿があった…。</v>
      </c>
      <c r="O1414" s="2"/>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row>
    <row r="1415" ht="204.75" customHeight="1">
      <c r="A1415" s="1">
        <v>4225.0</v>
      </c>
      <c r="B1415" s="2" t="s">
        <v>4510</v>
      </c>
      <c r="C1415" s="2">
        <f>IFERROR(__xludf.DUMMYFUNCTION("split(B1415,""_"")"),1107.0)</f>
        <v>1107</v>
      </c>
      <c r="D1415" s="2" t="str">
        <f>IFERROR(__xludf.DUMMYFUNCTION("""COMPUTED_VALUE"""),"CX")</f>
        <v>CX</v>
      </c>
      <c r="E1415" s="2" t="str">
        <f>IFERROR(__xludf.DUMMYFUNCTION("""COMPUTED_VALUE"""),"火22")</f>
        <v>火22</v>
      </c>
      <c r="F1415" s="2" t="s">
        <v>4511</v>
      </c>
      <c r="G1415" s="2" t="s">
        <v>4527</v>
      </c>
      <c r="H1415" s="1">
        <v>6.0</v>
      </c>
      <c r="I1415" s="1" t="s">
        <v>21</v>
      </c>
      <c r="J1415" s="1" t="s">
        <v>86</v>
      </c>
      <c r="K1415" s="2" t="s">
        <v>4528</v>
      </c>
      <c r="L1415" s="2" t="s">
        <v>4529</v>
      </c>
      <c r="M1415" s="9" t="str">
        <f>IFERROR(__xludf.DUMMYFUNCTION("split(split(K1415,""伊藤淳史　"",false),""dangan/"",false)"),"http://www.ktv.jp/")</f>
        <v>http://www.ktv.jp/</v>
      </c>
      <c r="N1415" s="2" t="str">
        <f>IFERROR(__xludf.DUMMYFUNCTION("""COMPUTED_VALUE"""),"　北山(尾美としのり)の遺体を解剖中、笹井(小西真奈美)の様子がおかしかったことに気づいた白鳥(仲村トオル)は笹井を追及。笹井にも北山を殺す動機はあると疑いをほのめかし、真犯人にとって不利益な証拠を見つけたのではないかと揺さぶりをかける。これには答えない笹井だったが、このままでは20年前の事件と同じ冤罪を生むという田口(伊藤淳史)の言葉に動揺を見せる。　斑鳩(高橋克典)が田口と白鳥に与えた島津(安田顕)逮捕までの猶予はあと2日。島津の容疑を晴らそうと事件発生時の音声を聞き直していた田口と白鳥は、MRI室に"&amp;"あるはずのないCDの曲が流れていたことに気づく。白鳥は犯人が曲と一緒にCDに録音した銃声を流し、殺害時刻を偽装したと推理。犯人が銃声よりも前に北山を殺して島津に罪を着せ、現場から逃げたのではないかと考える。　犯人がMRI室に隠したと思われるCDを探す田口と白鳥。そんな中、2人は荷物の陰に隠されていた扉を見つける。その奥には、東城医大に勤める田口すら知らない“部屋""があった…。")</f>
        <v>　北山(尾美としのり)の遺体を解剖中、笹井(小西真奈美)の様子がおかしかったことに気づいた白鳥(仲村トオル)は笹井を追及。笹井にも北山を殺す動機はあると疑いをほのめかし、真犯人にとって不利益な証拠を見つけたのではないかと揺さぶりをかける。これには答えない笹井だったが、このままでは20年前の事件と同じ冤罪を生むという田口(伊藤淳史)の言葉に動揺を見せる。　斑鳩(高橋克典)が田口と白鳥に与えた島津(安田顕)逮捕までの猶予はあと2日。島津の容疑を晴らそうと事件発生時の音声を聞き直していた田口と白鳥は、MRI室にあるはずのないCDの曲が流れていたことに気づく。白鳥は犯人が曲と一緒にCDに録音した銃声を流し、殺害時刻を偽装したと推理。犯人が銃声よりも前に北山を殺して島津に罪を着せ、現場から逃げたのではないかと考える。　犯人がMRI室に隠したと思われるCDを探す田口と白鳥。そんな中、2人は荷物の陰に隠されていた扉を見つける。その奥には、東城医大に勤める田口すら知らない“部屋"があった…。</v>
      </c>
      <c r="O1415" s="2"/>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row>
    <row r="1416" ht="204.75" customHeight="1">
      <c r="A1416" s="1">
        <v>4226.0</v>
      </c>
      <c r="B1416" s="2" t="s">
        <v>4510</v>
      </c>
      <c r="C1416" s="2">
        <f>IFERROR(__xludf.DUMMYFUNCTION("split(B1416,""_"")"),1107.0)</f>
        <v>1107</v>
      </c>
      <c r="D1416" s="2" t="str">
        <f>IFERROR(__xludf.DUMMYFUNCTION("""COMPUTED_VALUE"""),"CX")</f>
        <v>CX</v>
      </c>
      <c r="E1416" s="2" t="str">
        <f>IFERROR(__xludf.DUMMYFUNCTION("""COMPUTED_VALUE"""),"火22")</f>
        <v>火22</v>
      </c>
      <c r="F1416" s="2" t="s">
        <v>4511</v>
      </c>
      <c r="G1416" s="2" t="s">
        <v>4530</v>
      </c>
      <c r="H1416" s="1">
        <v>7.0</v>
      </c>
      <c r="I1416" s="1" t="s">
        <v>25</v>
      </c>
      <c r="J1416" s="1" t="s">
        <v>86</v>
      </c>
      <c r="K1416" s="2" t="s">
        <v>4531</v>
      </c>
      <c r="L1416" s="2" t="s">
        <v>4532</v>
      </c>
      <c r="M1416" s="9" t="str">
        <f>IFERROR(__xludf.DUMMYFUNCTION("split(split(K1416,""伊藤淳史　"",false),""dangan/"",false)"),"http://www.ktv.jp/")</f>
        <v>http://www.ktv.jp/</v>
      </c>
      <c r="N1416" s="2" t="str">
        <f>IFERROR(__xludf.DUMMYFUNCTION("""COMPUTED_VALUE"""),"　斑鳩(高橋克典)から与えられた島津(安田顕)逮捕までの猶予はあと1日。田口(伊藤淳史)と白鳥(仲村トオル)は、北山(尾美としのり)を殺害した銃弾が拳銃から発射されたものではないことを突き止めた。犯行に使われたとされる拳銃と弾丸を調べた白鳥はある重要なことに気づく。    　さらに白鳥は、MRI室に転がっていたあるものに着目。MRI室でしかあり得ない方法で北山が殺害されたこと、犯人に共犯者がいたことに気づくが、それを証明する手立てがない。白鳥は「一か八か勝負に出てみよう」と真相を確かめる“賭け""を田口に"&amp;"提案する。    　その頃、警察庁では軟禁状態で取り調べを受けていた島津がいら立ちを募らせていた。逮捕は明日だと告げる斑鳩に、島津は「俺の無実を証明する切り札がある」と挑発的に言い放ち…。　そして期限まであとわずかと迫ったその日の夕方、田口と白鳥は「本当のからくりがわかった」と笹井(小西真奈美)や宇佐見(福士誠治)ら事件関係者をMRI室に呼び集め、事件の検証を始める。田口が「答えはすべて、それにあったんです」と指差す先には、北山が中で絶命していた縦型MRIが…。")</f>
        <v>　斑鳩(高橋克典)から与えられた島津(安田顕)逮捕までの猶予はあと1日。田口(伊藤淳史)と白鳥(仲村トオル)は、北山(尾美としのり)を殺害した銃弾が拳銃から発射されたものではないことを突き止めた。犯行に使われたとされる拳銃と弾丸を調べた白鳥はある重要なことに気づく。    　さらに白鳥は、MRI室に転がっていたあるものに着目。MRI室でしかあり得ない方法で北山が殺害されたこと、犯人に共犯者がいたことに気づくが、それを証明する手立てがない。白鳥は「一か八か勝負に出てみよう」と真相を確かめる“賭け"を田口に提案する。    　その頃、警察庁では軟禁状態で取り調べを受けていた島津がいら立ちを募らせていた。逮捕は明日だと告げる斑鳩に、島津は「俺の無実を証明する切り札がある」と挑発的に言い放ち…。　そして期限まであとわずかと迫ったその日の夕方、田口と白鳥は「本当のからくりがわかった」と笹井(小西真奈美)や宇佐見(福士誠治)ら事件関係者をMRI室に呼び集め、事件の検証を始める。田口が「答えはすべて、それにあったんです」と指差す先には、北山が中で絶命していた縦型MRIが…。</v>
      </c>
      <c r="O1416" s="2"/>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row>
    <row r="1417" ht="204.75" customHeight="1">
      <c r="A1417" s="1">
        <v>4227.0</v>
      </c>
      <c r="B1417" s="2" t="s">
        <v>4510</v>
      </c>
      <c r="C1417" s="2">
        <f>IFERROR(__xludf.DUMMYFUNCTION("split(B1417,""_"")"),1107.0)</f>
        <v>1107</v>
      </c>
      <c r="D1417" s="2" t="str">
        <f>IFERROR(__xludf.DUMMYFUNCTION("""COMPUTED_VALUE"""),"CX")</f>
        <v>CX</v>
      </c>
      <c r="E1417" s="2" t="str">
        <f>IFERROR(__xludf.DUMMYFUNCTION("""COMPUTED_VALUE"""),"火22")</f>
        <v>火22</v>
      </c>
      <c r="F1417" s="2" t="s">
        <v>4511</v>
      </c>
      <c r="G1417" s="2" t="s">
        <v>4533</v>
      </c>
      <c r="H1417" s="1">
        <v>8.0</v>
      </c>
      <c r="I1417" s="1" t="s">
        <v>29</v>
      </c>
      <c r="J1417" s="1" t="s">
        <v>86</v>
      </c>
      <c r="K1417" s="2" t="s">
        <v>4534</v>
      </c>
      <c r="L1417" s="2" t="s">
        <v>4535</v>
      </c>
      <c r="M1417" s="9" t="str">
        <f>IFERROR(__xludf.DUMMYFUNCTION("split(split(K1417,""伊藤淳史　"",false),""dangan/"",false)"),"http://www.ktv.jp/")</f>
        <v>http://www.ktv.jp/</v>
      </c>
      <c r="N1417" s="2" t="str">
        <f>IFERROR(__xludf.DUMMYFUNCTION("""COMPUTED_VALUE"""),"　北山(尾美としのり)の自殺を暴かれた宇佐見(福士誠治)は田口(伊藤淳史)を撃って逃走。田口は重傷を負うが、奇跡的に一命を取りとめた。翌朝、意識を取り戻した田口を見舞った白鳥(仲村トオル)は、銃弾が肩を貫通していたと聞き、北山の事件に残されたある謎に気づく。    　一方、容疑が晴れた島津(安田顕)はようやく開放されることに。島津は「警察が無実の人間に頭を下げる日…」と、今日が20年前の冤罪事件の再審判決が出る日であることを斑鳩(高橋克典)に告げると、「俺にも頭を下げろ」と謝罪を要求。島津のただならぬ気迫"&amp;"から、斑鳩の脳裏にある疑惑が浮かぶ。    　まもなく、20年前の事件の判決が出た。犯人として逮捕された松崎行雄(六平直政)は“無罪""。記者会見で謝罪を求められた斑鳩は、事件の捜査責任者だった北山の自殺を涙ながらに告白。誤ったDNA鑑定を信じたことを苦に命を絶ったと同情を誘い、警察への追及をかわすことで謝罪を避ける。    　その頃、東城医大では白鳥が新たに浮上した謎を田口に明かしていた。北山を撃った弾丸は、なぜ貫通せず脳内に留まっていたのか?「僕らはまだ100%の真実にはたどり着いてなかったのかもしれ"&amp;"ない」と白鳥は謎の解明に乗り出す。")</f>
        <v>　北山(尾美としのり)の自殺を暴かれた宇佐見(福士誠治)は田口(伊藤淳史)を撃って逃走。田口は重傷を負うが、奇跡的に一命を取りとめた。翌朝、意識を取り戻した田口を見舞った白鳥(仲村トオル)は、銃弾が肩を貫通していたと聞き、北山の事件に残されたある謎に気づく。    　一方、容疑が晴れた島津(安田顕)はようやく開放されることに。島津は「警察が無実の人間に頭を下げる日…」と、今日が20年前の冤罪事件の再審判決が出る日であることを斑鳩(高橋克典)に告げると、「俺にも頭を下げろ」と謝罪を要求。島津のただならぬ気迫から、斑鳩の脳裏にある疑惑が浮かぶ。    　まもなく、20年前の事件の判決が出た。犯人として逮捕された松崎行雄(六平直政)は“無罪"。記者会見で謝罪を求められた斑鳩は、事件の捜査責任者だった北山の自殺を涙ながらに告白。誤ったDNA鑑定を信じたことを苦に命を絶ったと同情を誘い、警察への追及をかわすことで謝罪を避ける。    　その頃、東城医大では白鳥が新たに浮上した謎を田口に明かしていた。北山を撃った弾丸は、なぜ貫通せず脳内に留まっていたのか?「僕らはまだ100%の真実にはたどり着いてなかったのかもしれない」と白鳥は謎の解明に乗り出す。</v>
      </c>
      <c r="O1417" s="2"/>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row>
    <row r="1418" ht="204.75" customHeight="1">
      <c r="A1418" s="1">
        <v>4228.0</v>
      </c>
      <c r="B1418" s="2" t="s">
        <v>4510</v>
      </c>
      <c r="C1418" s="2">
        <f>IFERROR(__xludf.DUMMYFUNCTION("split(B1418,""_"")"),1107.0)</f>
        <v>1107</v>
      </c>
      <c r="D1418" s="2" t="str">
        <f>IFERROR(__xludf.DUMMYFUNCTION("""COMPUTED_VALUE"""),"CX")</f>
        <v>CX</v>
      </c>
      <c r="E1418" s="2" t="str">
        <f>IFERROR(__xludf.DUMMYFUNCTION("""COMPUTED_VALUE"""),"火22")</f>
        <v>火22</v>
      </c>
      <c r="F1418" s="2" t="s">
        <v>4511</v>
      </c>
      <c r="G1418" s="2" t="s">
        <v>4536</v>
      </c>
      <c r="H1418" s="1">
        <v>9.0</v>
      </c>
      <c r="I1418" s="1" t="s">
        <v>33</v>
      </c>
      <c r="J1418" s="1" t="s">
        <v>86</v>
      </c>
      <c r="K1418" s="2" t="s">
        <v>4537</v>
      </c>
      <c r="L1418" s="2" t="s">
        <v>4538</v>
      </c>
      <c r="M1418" s="9" t="str">
        <f>IFERROR(__xludf.DUMMYFUNCTION("split(split(K1418,""伊藤淳史　"",false),""dangan/"",false)"),"http://www.ktv.jp/")</f>
        <v>http://www.ktv.jp/</v>
      </c>
      <c r="N1418" s="2" t="str">
        <f>IFERROR(__xludf.DUMMYFUNCTION("""COMPUTED_VALUE"""),"　桜宮市内の川原で女子高生・三谷優花(戸井智恵美)の遺体が発見された。目立った外傷が見当たらず、検視では死因が判明しないことから、事故か事件かを判断できない所轄の玉村(中村靖日)は再始動したAiセンターに鑑定を依頼。島津(安田顕)はCT画像から頭皮下血腫と肋骨骨折を見つけるが、死因を特定することはできなかった。　そこで田口(伊藤淳史)と白鳥(仲村トオル)は笹井(小西真奈美)に解剖を依頼。ところが「しばらくAiセンターと距離を置きたい」と断られ、代わって教授の山岡(市川勇)が解剖を担当することに。山岡は優花"&amp;"が意識を失った後に一度蘇生した痕跡を発見するものの死因はわからず、事件性のない“心不全""と断定した。この結果を聞いた笹井にある疑念が浮かび…。　その夜、田口は島津とともに松崎(六平直政)のアパートを訪ねていた。松崎の誤認逮捕から20年ぶりに和解し、互いを思いやる仲睦まじい父子の姿を感慨深げに見つめる田口。    　同じ頃、東城医大の解剖室では、笹井が密かに優花の再解剖を行っていた。「あなたの本当の死因を教えて」と遺体の首にメスを入れた笹井は、山岡が見落としていたあるものを見つけ…。")</f>
        <v>　桜宮市内の川原で女子高生・三谷優花(戸井智恵美)の遺体が発見された。目立った外傷が見当たらず、検視では死因が判明しないことから、事故か事件かを判断できない所轄の玉村(中村靖日)は再始動したAiセンターに鑑定を依頼。島津(安田顕)はCT画像から頭皮下血腫と肋骨骨折を見つけるが、死因を特定することはできなかった。　そこで田口(伊藤淳史)と白鳥(仲村トオル)は笹井(小西真奈美)に解剖を依頼。ところが「しばらくAiセンターと距離を置きたい」と断られ、代わって教授の山岡(市川勇)が解剖を担当することに。山岡は優花が意識を失った後に一度蘇生した痕跡を発見するものの死因はわからず、事件性のない“心不全"と断定した。この結果を聞いた笹井にある疑念が浮かび…。　その夜、田口は島津とともに松崎(六平直政)のアパートを訪ねていた。松崎の誤認逮捕から20年ぶりに和解し、互いを思いやる仲睦まじい父子の姿を感慨深げに見つめる田口。    　同じ頃、東城医大の解剖室では、笹井が密かに優花の再解剖を行っていた。「あなたの本当の死因を教えて」と遺体の首にメスを入れた笹井は、山岡が見落としていたあるものを見つけ…。</v>
      </c>
      <c r="O1418" s="2"/>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row>
    <row r="1419" ht="204.75" customHeight="1">
      <c r="A1419" s="1">
        <v>4229.0</v>
      </c>
      <c r="B1419" s="2" t="s">
        <v>4510</v>
      </c>
      <c r="C1419" s="2">
        <f>IFERROR(__xludf.DUMMYFUNCTION("split(B1419,""_"")"),1107.0)</f>
        <v>1107</v>
      </c>
      <c r="D1419" s="2" t="str">
        <f>IFERROR(__xludf.DUMMYFUNCTION("""COMPUTED_VALUE"""),"CX")</f>
        <v>CX</v>
      </c>
      <c r="E1419" s="2" t="str">
        <f>IFERROR(__xludf.DUMMYFUNCTION("""COMPUTED_VALUE"""),"火22")</f>
        <v>火22</v>
      </c>
      <c r="F1419" s="2" t="s">
        <v>4511</v>
      </c>
      <c r="G1419" s="2" t="s">
        <v>4539</v>
      </c>
      <c r="H1419" s="1">
        <v>10.0</v>
      </c>
      <c r="I1419" s="1" t="s">
        <v>37</v>
      </c>
      <c r="J1419" s="1" t="s">
        <v>86</v>
      </c>
      <c r="K1419" s="2" t="s">
        <v>4540</v>
      </c>
      <c r="L1419" s="2" t="s">
        <v>4541</v>
      </c>
      <c r="M1419" s="9" t="str">
        <f>IFERROR(__xludf.DUMMYFUNCTION("split(split(K1419,""伊藤淳史　"",false),""dangan/"",false)"),"http://www.ktv.jp/")</f>
        <v>http://www.ktv.jp/</v>
      </c>
      <c r="N1419" s="2" t="str">
        <f>IFERROR(__xludf.DUMMYFUNCTION("""COMPUTED_VALUE"""),"　女子高生殺しの容疑をかけられた松崎(六平直政)が遺体で発見された。病死と断定された死因に納得できない島津(安田顕)は遺体のAi鑑定を強行。だが、事件性を示す不審な点を見つけることができない。落胆する島津に田口(伊藤淳史)と白鳥(仲村トオル)は、20年前の真犯人も松崎だった疑いが浮上していることを打ち明けられずにいた。　そんな折、島津は留守番電話に残された松崎のメッセージに気づく。松崎は20年前の取り調べで警察に握りつぶされた証言を島津に伝えようとしていたが、真犯人の名を言い出そうとした矢先、何者かが家を"&amp;"訪ねてきたため、電話が切れてしまっていた…。    　疑惑を強めた島津は笹井(小西真奈美)に解剖を依頼。その結果、首に注射痕が見つかり、何者かに薬物を打たれて殺された殺人事件の可能性が濃厚になる。　そんな中、白鳥は3年前にも手口や状況が酷似した殺人事件が起こっていたことを知る。その現場を田口とともに訪れた白鳥は20年前と3年前、そして新たな女子高生殺しを繋ぐ一本の線に気づく。")</f>
        <v>　女子高生殺しの容疑をかけられた松崎(六平直政)が遺体で発見された。病死と断定された死因に納得できない島津(安田顕)は遺体のAi鑑定を強行。だが、事件性を示す不審な点を見つけることができない。落胆する島津に田口(伊藤淳史)と白鳥(仲村トオル)は、20年前の真犯人も松崎だった疑いが浮上していることを打ち明けられずにいた。　そんな折、島津は留守番電話に残された松崎のメッセージに気づく。松崎は20年前の取り調べで警察に握りつぶされた証言を島津に伝えようとしていたが、真犯人の名を言い出そうとした矢先、何者かが家を訪ねてきたため、電話が切れてしまっていた…。    　疑惑を強めた島津は笹井(小西真奈美)に解剖を依頼。その結果、首に注射痕が見つかり、何者かに薬物を打たれて殺された殺人事件の可能性が濃厚になる。　そんな中、白鳥は3年前にも手口や状況が酷似した殺人事件が起こっていたことを知る。その現場を田口とともに訪れた白鳥は20年前と3年前、そして新たな女子高生殺しを繋ぐ一本の線に気づく。</v>
      </c>
      <c r="O1419" s="2"/>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row>
    <row r="1420" ht="204.75" customHeight="1">
      <c r="A1420" s="1">
        <v>4230.0</v>
      </c>
      <c r="B1420" s="2" t="s">
        <v>4510</v>
      </c>
      <c r="C1420" s="2">
        <f>IFERROR(__xludf.DUMMYFUNCTION("split(B1420,""_"")"),1107.0)</f>
        <v>1107</v>
      </c>
      <c r="D1420" s="2" t="str">
        <f>IFERROR(__xludf.DUMMYFUNCTION("""COMPUTED_VALUE"""),"CX")</f>
        <v>CX</v>
      </c>
      <c r="E1420" s="2" t="str">
        <f>IFERROR(__xludf.DUMMYFUNCTION("""COMPUTED_VALUE"""),"火22")</f>
        <v>火22</v>
      </c>
      <c r="F1420" s="2" t="s">
        <v>4511</v>
      </c>
      <c r="G1420" s="2" t="s">
        <v>4542</v>
      </c>
      <c r="H1420" s="1">
        <v>11.0</v>
      </c>
      <c r="I1420" s="1" t="s">
        <v>41</v>
      </c>
      <c r="J1420" s="1" t="s">
        <v>82</v>
      </c>
      <c r="K1420" s="2" t="s">
        <v>4543</v>
      </c>
      <c r="L1420" s="2" t="s">
        <v>4544</v>
      </c>
      <c r="M1420" s="9" t="str">
        <f>IFERROR(__xludf.DUMMYFUNCTION("split(split(K1420,""伊藤淳史　"",false),""dangan/"",false)"),"http://www.ktv.jp/")</f>
        <v>http://www.ktv.jp/</v>
      </c>
      <c r="N1420" s="2" t="str">
        <f>IFERROR(__xludf.DUMMYFUNCTION("""COMPUTED_VALUE"""),"笹井(小西真奈美)が宇佐見(福士誠治)に連れ去られたことを知り、騒然となる田口(伊藤淳史)らに笹井から電話が入った。笹井は20年前の真相を明らかにするため、自ら望んで宇佐見と行動を共にしているという。    　その直後、笹井から連絡があったことを聞きつけた斑鳩(高橋克典)が田口を訪ねてきた。宇佐見の身柄を確保するため、指名手配したことを明かす斑鳩に対し、田口は過去の女子高生殺害事件を見逃したのは、斑鳩こそが“犯人""だったからで、その罪を宇佐見に被せて抹殺しようとしているのではないか?と問いただすが、はぐ"&amp;"らかされてしまう。    　一方、雑居ビルに身を潜め、一連の女子高生殺しの捜査データを調べていた笹井と宇佐見も、斑鳩が事件の捜査に関わっていたことを突き止める。    　事件の真相を突き止めるために動きだす田口と白鳥(仲村トオル)、そして笹井と宇佐見。彼らを待ち受けていた真実とは…。")</f>
        <v>笹井(小西真奈美)が宇佐見(福士誠治)に連れ去られたことを知り、騒然となる田口(伊藤淳史)らに笹井から電話が入った。笹井は20年前の真相を明らかにするため、自ら望んで宇佐見と行動を共にしているという。    　その直後、笹井から連絡があったことを聞きつけた斑鳩(高橋克典)が田口を訪ねてきた。宇佐見の身柄を確保するため、指名手配したことを明かす斑鳩に対し、田口は過去の女子高生殺害事件を見逃したのは、斑鳩こそが“犯人"だったからで、その罪を宇佐見に被せて抹殺しようとしているのではないか?と問いただすが、はぐらかされてしまう。    　一方、雑居ビルに身を潜め、一連の女子高生殺しの捜査データを調べていた笹井と宇佐見も、斑鳩が事件の捜査に関わっていたことを突き止める。    　事件の真相を突き止めるために動きだす田口と白鳥(仲村トオル)、そして笹井と宇佐見。彼らを待ち受けていた真実とは…。</v>
      </c>
      <c r="O1420" s="2"/>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row>
    <row r="1421" ht="204.75" customHeight="1">
      <c r="A1421" s="1">
        <v>4251.0</v>
      </c>
      <c r="B1421" s="2" t="s">
        <v>4545</v>
      </c>
      <c r="C1421" s="2">
        <f>IFERROR(__xludf.DUMMYFUNCTION("split(B1421,""_"")"),1107.0)</f>
        <v>1107</v>
      </c>
      <c r="D1421" s="2" t="str">
        <f>IFERROR(__xludf.DUMMYFUNCTION("""COMPUTED_VALUE"""),"CX")</f>
        <v>CX</v>
      </c>
      <c r="E1421" s="2" t="str">
        <f>IFERROR(__xludf.DUMMYFUNCTION("""COMPUTED_VALUE"""),"木22")</f>
        <v>木22</v>
      </c>
      <c r="F1421" s="2" t="s">
        <v>4546</v>
      </c>
      <c r="G1421" s="2" t="s">
        <v>4547</v>
      </c>
      <c r="H1421" s="1">
        <v>1.0</v>
      </c>
      <c r="I1421" s="1" t="s">
        <v>3</v>
      </c>
      <c r="J1421" s="1" t="s">
        <v>82</v>
      </c>
      <c r="K1421" s="4" t="s">
        <v>4548</v>
      </c>
      <c r="L1421" s="2" t="s">
        <v>4549</v>
      </c>
      <c r="M1421" s="9" t="str">
        <f>IFERROR(__xludf.DUMMYFUNCTION("split(split(K1421,""瑛太　"",false),""kiteyuku"",false)"),"http://www.fujitv.co.jp/i")</f>
        <v>http://www.fujitv.co.jp/i</v>
      </c>
      <c r="N1421" s="2" t="str">
        <f>IFERROR(__xludf.DUMMYFUNCTION("""COMPUTED_VALUE"""),"/　湖畔の釣り船屋『ふかみ』。深見洋貴(瑛太)は、ここで父の達彦(柄本明)を手伝いながら暮らしている。翌日は、15年前に亡くした妹、亜季(信太真妃)の誕生日。洋貴は亜季の顔をはっきりと思い出せなくなっていた。そんな時、達彦が倒れてしまう。  　遠山双葉(満島ひかり)は婚約者から別れを告げられて帰宅。双葉の家族は、15年前から名字を三崎から母、隆美(風吹ジュン)の旧姓に変えていた。父の駿輔(時任三郎)だけが三崎を名乗っていたためか、家族は執拗な中傷に追い続けられ、耐え難い現実に双葉は行動を起こす。  　達彦"&amp;"は重い病に冒されていた。洋貴が病院から夕暮れの釣り船屋に戻ると見慣れぬ女性、双葉がいた。洋貴は双葉を自殺志願者ではと警戒。空腹を訴える双葉のために洋貴が食料を買い出しに行こうとすると、弟の日垣耕平(田中圭)が車で達彦を連れて来た。達彦は病院を抜け出し、別れた妻、野本響子(大竹しのぶ)に会いに行ったらしい。会わせなかったと言う耕平は、達彦を洋貴に託して帰る。洋貴の家族は15年前の悲劇でバラバラになっていた。  　達彦を落ち着かせた洋貴は、双葉とファミリーレストランへ。そこで洋貴は、15年前の悲劇…妹の亜季が"&amp;"殺害されたことを話す。犯人は洋貴の友人だった。洋貴がなぜか話す気になった亜季の殺害状況を淡々と語っていると、双葉はいたたまれずに店を出る。亜季を殺したのは双葉の兄、文哉(風間俊介)だった。")</f>
        <v>/　湖畔の釣り船屋『ふかみ』。深見洋貴(瑛太)は、ここで父の達彦(柄本明)を手伝いながら暮らしている。翌日は、15年前に亡くした妹、亜季(信太真妃)の誕生日。洋貴は亜季の顔をはっきりと思い出せなくなっていた。そんな時、達彦が倒れてしまう。  　遠山双葉(満島ひかり)は婚約者から別れを告げられて帰宅。双葉の家族は、15年前から名字を三崎から母、隆美(風吹ジュン)の旧姓に変えていた。父の駿輔(時任三郎)だけが三崎を名乗っていたためか、家族は執拗な中傷に追い続けられ、耐え難い現実に双葉は行動を起こす。  　達彦は重い病に冒されていた。洋貴が病院から夕暮れの釣り船屋に戻ると見慣れぬ女性、双葉がいた。洋貴は双葉を自殺志願者ではと警戒。空腹を訴える双葉のために洋貴が食料を買い出しに行こうとすると、弟の日垣耕平(田中圭)が車で達彦を連れて来た。達彦は病院を抜け出し、別れた妻、野本響子(大竹しのぶ)に会いに行ったらしい。会わせなかったと言う耕平は、達彦を洋貴に託して帰る。洋貴の家族は15年前の悲劇でバラバラになっていた。  　達彦を落ち着かせた洋貴は、双葉とファミリーレストランへ。そこで洋貴は、15年前の悲劇…妹の亜季が殺害されたことを話す。犯人は洋貴の友人だった。洋貴がなぜか話す気になった亜季の殺害状況を淡々と語っていると、双葉はいたたまれずに店を出る。亜季を殺したのは双葉の兄、文哉(風間俊介)だった。</v>
      </c>
      <c r="O1421" s="2"/>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row>
    <row r="1422" ht="204.75" customHeight="1">
      <c r="A1422" s="1">
        <v>4252.0</v>
      </c>
      <c r="B1422" s="2" t="s">
        <v>4545</v>
      </c>
      <c r="C1422" s="2">
        <f>IFERROR(__xludf.DUMMYFUNCTION("split(B1422,""_"")"),1107.0)</f>
        <v>1107</v>
      </c>
      <c r="D1422" s="2" t="str">
        <f>IFERROR(__xludf.DUMMYFUNCTION("""COMPUTED_VALUE"""),"CX")</f>
        <v>CX</v>
      </c>
      <c r="E1422" s="2" t="str">
        <f>IFERROR(__xludf.DUMMYFUNCTION("""COMPUTED_VALUE"""),"木22")</f>
        <v>木22</v>
      </c>
      <c r="F1422" s="2" t="s">
        <v>4546</v>
      </c>
      <c r="G1422" s="2" t="s">
        <v>4550</v>
      </c>
      <c r="H1422" s="1">
        <v>2.0</v>
      </c>
      <c r="I1422" s="1" t="s">
        <v>7</v>
      </c>
      <c r="J1422" s="1" t="s">
        <v>86</v>
      </c>
      <c r="K1422" s="2" t="s">
        <v>4551</v>
      </c>
      <c r="L1422" s="2" t="s">
        <v>4552</v>
      </c>
      <c r="M1422" s="9" t="str">
        <f>IFERROR(__xludf.DUMMYFUNCTION("split(split(K1422,""瑛太　"",false),""kiteyuku"",false)"),"http://www.fujitv.co.jp/i")</f>
        <v>http://www.fujitv.co.jp/i</v>
      </c>
      <c r="N1422" s="2" t="str">
        <f>IFERROR(__xludf.DUMMYFUNCTION("""COMPUTED_VALUE"""),"/　深見洋貴(瑛太)は三崎文哉(風間俊介)を見つけるのだが、遠山(三崎)双葉(満島ひかり)が「逃げて」と声を上げたため見失ってしまう。その時、洋貴の上着の中にはナイフが忍ばされていた。双葉は洋貴に文哉の妹だと明かす。洋貴はなぜ今まで文哉の居場所を探さなかったのかと問うが、双葉には答えられない。放っておいたら、さらに犠牲者が出るという洋貴を双葉は否定してしまう。敵だと宣言して立ち去ろうとする洋貴は、双葉から連絡先を書いたメモを渡されるが受け取らなかった。  　双葉の家族は嫌がらせから逃れるため、またしても引"&amp;"っ越す。引っ越し先に着いた途端、警官が来た。付近で小学生の女の子が行方不明になっていたのだ。双葉に、洋貴から言われた言葉がよみがえる。  　父、達彦(柄本明)の葬儀を終えた洋貴は、耕平(田中圭)が養子に入った家に誘われる。そこでは、母の響子(大竹しのぶ)も暮らしていた。洋貴は耕平から文哉と会ったことは話すなと口止めされたのだが、つい話そうとしてしまう。気まずい雰囲気から帰ろうとした洋貴は、車に乗るときに双葉から渡されたメモを見つける。  　釣り船屋に双葉が来た。洋貴が呼び出したのだった・・・。")</f>
        <v>/　深見洋貴(瑛太)は三崎文哉(風間俊介)を見つけるのだが、遠山(三崎)双葉(満島ひかり)が「逃げて」と声を上げたため見失ってしまう。その時、洋貴の上着の中にはナイフが忍ばされていた。双葉は洋貴に文哉の妹だと明かす。洋貴はなぜ今まで文哉の居場所を探さなかったのかと問うが、双葉には答えられない。放っておいたら、さらに犠牲者が出るという洋貴を双葉は否定してしまう。敵だと宣言して立ち去ろうとする洋貴は、双葉から連絡先を書いたメモを渡されるが受け取らなかった。  　双葉の家族は嫌がらせから逃れるため、またしても引っ越す。引っ越し先に着いた途端、警官が来た。付近で小学生の女の子が行方不明になっていたのだ。双葉に、洋貴から言われた言葉がよみがえる。  　父、達彦(柄本明)の葬儀を終えた洋貴は、耕平(田中圭)が養子に入った家に誘われる。そこでは、母の響子(大竹しのぶ)も暮らしていた。洋貴は耕平から文哉と会ったことは話すなと口止めされたのだが、つい話そうとしてしまう。気まずい雰囲気から帰ろうとした洋貴は、車に乗るときに双葉から渡されたメモを見つける。  　釣り船屋に双葉が来た。洋貴が呼び出したのだった・・・。</v>
      </c>
      <c r="O1422" s="2"/>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row>
    <row r="1423" ht="204.75" customHeight="1">
      <c r="A1423" s="1">
        <v>4253.0</v>
      </c>
      <c r="B1423" s="2" t="s">
        <v>4545</v>
      </c>
      <c r="C1423" s="2">
        <f>IFERROR(__xludf.DUMMYFUNCTION("split(B1423,""_"")"),1107.0)</f>
        <v>1107</v>
      </c>
      <c r="D1423" s="2" t="str">
        <f>IFERROR(__xludf.DUMMYFUNCTION("""COMPUTED_VALUE"""),"CX")</f>
        <v>CX</v>
      </c>
      <c r="E1423" s="2" t="str">
        <f>IFERROR(__xludf.DUMMYFUNCTION("""COMPUTED_VALUE"""),"木22")</f>
        <v>木22</v>
      </c>
      <c r="F1423" s="2" t="s">
        <v>4546</v>
      </c>
      <c r="G1423" s="2" t="s">
        <v>4553</v>
      </c>
      <c r="H1423" s="1">
        <v>3.0</v>
      </c>
      <c r="I1423" s="1" t="s">
        <v>10</v>
      </c>
      <c r="J1423" s="1" t="s">
        <v>86</v>
      </c>
      <c r="K1423" s="2" t="s">
        <v>4554</v>
      </c>
      <c r="L1423" s="2" t="s">
        <v>4555</v>
      </c>
      <c r="M1423" s="9" t="str">
        <f>IFERROR(__xludf.DUMMYFUNCTION("split(split(K1423,""瑛太　"",false),""kiteyuku"",false)"),"http://www.fujitv.co.jp/i")</f>
        <v>http://www.fujitv.co.jp/i</v>
      </c>
      <c r="N1423" s="2" t="str">
        <f>IFERROR(__xludf.DUMMYFUNCTION("""COMPUTED_VALUE"""),"/　祭りの夜、深見洋貴(瑛太)と遠山双葉(満島ひかり)は、洋貴の母・響子(大竹しのぶ)、と弟の耕平(田中圭)の嫁・日垣由佳(村川絵梨)と出くわしてしまう。洋貴は双葉に響子を母だと紹介。しかし、響子の動揺を恐れた洋貴は、双葉が何者かは言わなかった。再び2人になると、洋貴は響子が自分を許していないと双葉に話す。そんな洋貴に、双葉は自分の家族が嫌がらせを受けていると打ち明けた。知り合うまでは洋貴を疑っていたという双葉。洋貴には、嫌な予感が走る。  　遠山家は引っ越したのだが、嫌がらせが終わる気配はない。そんな時"&amp;"、バイトの面接帰りに双葉は響子と会い、ボウリングに誘われる。  　その頃、洋貴は耕平から、響子がおかしな行動をとっていることを教えられる。  　耕平が帰った後、湖でつり客の世話をした洋貴が店に戻ると双葉と響子が来ていた。洋貴は双葉を帰らせると、今度は響子におかしな行動はやめるように言う。しかし、響子はやめるわけないと言い放って出て行ってしまう。  　店の近くで佇んでいた双葉は、再び響子と会う。そしてバスを待つベンチで双葉は、響子が抱える、亡き娘への思いを知る事に…。")</f>
        <v>/　祭りの夜、深見洋貴(瑛太)と遠山双葉(満島ひかり)は、洋貴の母・響子(大竹しのぶ)、と弟の耕平(田中圭)の嫁・日垣由佳(村川絵梨)と出くわしてしまう。洋貴は双葉に響子を母だと紹介。しかし、響子の動揺を恐れた洋貴は、双葉が何者かは言わなかった。再び2人になると、洋貴は響子が自分を許していないと双葉に話す。そんな洋貴に、双葉は自分の家族が嫌がらせを受けていると打ち明けた。知り合うまでは洋貴を疑っていたという双葉。洋貴には、嫌な予感が走る。  　遠山家は引っ越したのだが、嫌がらせが終わる気配はない。そんな時、バイトの面接帰りに双葉は響子と会い、ボウリングに誘われる。  　その頃、洋貴は耕平から、響子がおかしな行動をとっていることを教えられる。  　耕平が帰った後、湖でつり客の世話をした洋貴が店に戻ると双葉と響子が来ていた。洋貴は双葉を帰らせると、今度は響子におかしな行動はやめるように言う。しかし、響子はやめるわけないと言い放って出て行ってしまう。  　店の近くで佇んでいた双葉は、再び響子と会う。そしてバスを待つベンチで双葉は、響子が抱える、亡き娘への思いを知る事に…。</v>
      </c>
      <c r="O1423" s="2"/>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row>
    <row r="1424" ht="204.75" customHeight="1">
      <c r="A1424" s="1">
        <v>4254.0</v>
      </c>
      <c r="B1424" s="2" t="s">
        <v>4545</v>
      </c>
      <c r="C1424" s="2">
        <f>IFERROR(__xludf.DUMMYFUNCTION("split(B1424,""_"")"),1107.0)</f>
        <v>1107</v>
      </c>
      <c r="D1424" s="2" t="str">
        <f>IFERROR(__xludf.DUMMYFUNCTION("""COMPUTED_VALUE"""),"CX")</f>
        <v>CX</v>
      </c>
      <c r="E1424" s="2" t="str">
        <f>IFERROR(__xludf.DUMMYFUNCTION("""COMPUTED_VALUE"""),"木22")</f>
        <v>木22</v>
      </c>
      <c r="F1424" s="2" t="s">
        <v>4546</v>
      </c>
      <c r="G1424" s="2" t="s">
        <v>4556</v>
      </c>
      <c r="H1424" s="1">
        <v>4.0</v>
      </c>
      <c r="I1424" s="1" t="s">
        <v>14</v>
      </c>
      <c r="J1424" s="1" t="s">
        <v>86</v>
      </c>
      <c r="K1424" s="2" t="s">
        <v>4557</v>
      </c>
      <c r="L1424" s="2" t="s">
        <v>4558</v>
      </c>
      <c r="M1424" s="9" t="str">
        <f>IFERROR(__xludf.DUMMYFUNCTION("split(split(K1424,""瑛太　"",false),""kiteyuku"",false)"),"http://www.fujitv.co.jp/i")</f>
        <v>http://www.fujitv.co.jp/i</v>
      </c>
      <c r="N1424" s="2" t="str">
        <f>IFERROR(__xludf.DUMMYFUNCTION("""COMPUTED_VALUE"""),"/　深見洋貴(瑛太)は、遠山(三崎)双葉(満島ひかり)と彼女の家族が事件当時に住んでいた家の跡地で果物を見つける。それは、東京で2人が雨宮健二=三崎文哉(風間俊介)を見た時に、彼が残していった果物と同じ。洋貴は、文哉がつい最近ここに訪れたことを確信するが、双葉は否定的だった。  　洋貴と双葉が釣り船屋に行くと、野本(深見)響子(大竹しのぶ)が来ていた。響子の様子がおかしい。響子は、双葉が遠山家の娘だと知っていた。興信所で教えられた住所をたどって、遠山家を訪ねていたのだ。双葉が帰ると、響子は事件当時の遠山家"&amp;"の様子を洋貴に話す。  　双葉は深見の人々と会っている事を、家族に明かす。父の駿輔(時任三郎)、母の隆美(風吹ジュン)は過敏な反応を示した。妹の灯里(福田麻由子)が嫌がらせを警察に訴えようと言うのを、自分たちは加害者家族なのだと双葉が止める。すると隆美が、生まれる前の灯里に事件は関係ないとかばう。隆美の言い方に引っかかりながらも、双葉は深見家への謝罪を促すのだが、駿輔たちは取り合おうとしない。  　出かけようとした駿輔は、双葉が拾った果物を見つけて日向夏だと教える。送ってもらう車の中で、双葉は東京で文哉を"&amp;"見た事を駿輔に話した。駿輔も数年前に文哉と会ったと言う。そして、駿輔は人を殺してしまった息子…文哉への思いを話しだす。")</f>
        <v>/　深見洋貴(瑛太)は、遠山(三崎)双葉(満島ひかり)と彼女の家族が事件当時に住んでいた家の跡地で果物を見つける。それは、東京で2人が雨宮健二=三崎文哉(風間俊介)を見た時に、彼が残していった果物と同じ。洋貴は、文哉がつい最近ここに訪れたことを確信するが、双葉は否定的だった。  　洋貴と双葉が釣り船屋に行くと、野本(深見)響子(大竹しのぶ)が来ていた。響子の様子がおかしい。響子は、双葉が遠山家の娘だと知っていた。興信所で教えられた住所をたどって、遠山家を訪ねていたのだ。双葉が帰ると、響子は事件当時の遠山家の様子を洋貴に話す。  　双葉は深見の人々と会っている事を、家族に明かす。父の駿輔(時任三郎)、母の隆美(風吹ジュン)は過敏な反応を示した。妹の灯里(福田麻由子)が嫌がらせを警察に訴えようと言うのを、自分たちは加害者家族なのだと双葉が止める。すると隆美が、生まれる前の灯里に事件は関係ないとかばう。隆美の言い方に引っかかりながらも、双葉は深見家への謝罪を促すのだが、駿輔たちは取り合おうとしない。  　出かけようとした駿輔は、双葉が拾った果物を見つけて日向夏だと教える。送ってもらう車の中で、双葉は東京で文哉を見た事を駿輔に話した。駿輔も数年前に文哉と会ったと言う。そして、駿輔は人を殺してしまった息子…文哉への思いを話しだす。</v>
      </c>
      <c r="O1424" s="2"/>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row>
    <row r="1425" ht="204.75" customHeight="1">
      <c r="A1425" s="1">
        <v>4255.0</v>
      </c>
      <c r="B1425" s="2" t="s">
        <v>4545</v>
      </c>
      <c r="C1425" s="2">
        <f>IFERROR(__xludf.DUMMYFUNCTION("split(B1425,""_"")"),1107.0)</f>
        <v>1107</v>
      </c>
      <c r="D1425" s="2" t="str">
        <f>IFERROR(__xludf.DUMMYFUNCTION("""COMPUTED_VALUE"""),"CX")</f>
        <v>CX</v>
      </c>
      <c r="E1425" s="2" t="str">
        <f>IFERROR(__xludf.DUMMYFUNCTION("""COMPUTED_VALUE"""),"木22")</f>
        <v>木22</v>
      </c>
      <c r="F1425" s="2" t="s">
        <v>4546</v>
      </c>
      <c r="G1425" s="2" t="s">
        <v>4559</v>
      </c>
      <c r="H1425" s="1">
        <v>5.0</v>
      </c>
      <c r="I1425" s="1" t="s">
        <v>17</v>
      </c>
      <c r="J1425" s="1" t="s">
        <v>86</v>
      </c>
      <c r="K1425" s="2" t="s">
        <v>4560</v>
      </c>
      <c r="L1425" s="2" t="s">
        <v>4561</v>
      </c>
      <c r="M1425" s="9" t="str">
        <f>IFERROR(__xludf.DUMMYFUNCTION("split(split(K1425,""瑛太　"",false),""kiteyuku"",false)"),"http://www.fujitv.co.jp/i")</f>
        <v>http://www.fujitv.co.jp/i</v>
      </c>
      <c r="N1425" s="2" t="str">
        <f>IFERROR(__xludf.DUMMYFUNCTION("""COMPUTED_VALUE"""),"/　深見洋貴(瑛太)は釣り船屋『ふかみ』で、藤村五月(倉科カナ)に医療少年院で三崎文哉=雨宮健二(風間俊介)の担当看護師だった東雪恵が行方不明になっていることを話す。事件性を疑う洋貴に、五月は文哉探しの協力を申し出た。そこに、遠山(三崎)双葉(満島ひかり)が現れる。自分と文哉の出生の秘密を知ってしまった双葉は、行き場所を失ってやって来たのだ。その夜『ふかみ』に泊まる事になると、五月は双葉の洋貴への気持ちを探ろうとする。  　その頃、文哉は自分の過去を知る臼井紗歩(安藤サクラ)を車で連れ出していた。ひたすら"&amp;"森の闇に車を走らせる文哉に紗歩は恐怖をつのらせる。翌朝は朝早く起きなければならないと訴える紗歩に、文哉は…明日が来ると思っているのか?…と、冷たく言い放った。  　夜が明けると、五月は東京に帰った。昨晩は寝付けなかったと、遅く起きた双葉が帰ろうとすると駿輔(時任三郎)が洋貴を訪ねてきた。改めて挨拶をしに来たと言う駿輔を洋貴は達彦(柄本明)の部屋へ通した。駿輔は響子(大竹しのぶ)に謝罪させて欲しいと洋貴に頼み、文哉も見つけ出すと約束する。すると洋貴は文哉が描いた絵を駿輔に見せた。文哉に反省の意志はないと突き"&amp;"つける洋貴に、駿輔は言葉を失う。  　うたた寝をしていた双葉を促し帰ろうとする駿輔。双葉が自分と文哉を産んだ母のことを尋ねると、駿輔は死んだと答えた。2人の会話を洋貴が聞いてしまう。")</f>
        <v>/　深見洋貴(瑛太)は釣り船屋『ふかみ』で、藤村五月(倉科カナ)に医療少年院で三崎文哉=雨宮健二(風間俊介)の担当看護師だった東雪恵が行方不明になっていることを話す。事件性を疑う洋貴に、五月は文哉探しの協力を申し出た。そこに、遠山(三崎)双葉(満島ひかり)が現れる。自分と文哉の出生の秘密を知ってしまった双葉は、行き場所を失ってやって来たのだ。その夜『ふかみ』に泊まる事になると、五月は双葉の洋貴への気持ちを探ろうとする。  　その頃、文哉は自分の過去を知る臼井紗歩(安藤サクラ)を車で連れ出していた。ひたすら森の闇に車を走らせる文哉に紗歩は恐怖をつのらせる。翌朝は朝早く起きなければならないと訴える紗歩に、文哉は…明日が来ると思っているのか?…と、冷たく言い放った。  　夜が明けると、五月は東京に帰った。昨晩は寝付けなかったと、遅く起きた双葉が帰ろうとすると駿輔(時任三郎)が洋貴を訪ねてきた。改めて挨拶をしに来たと言う駿輔を洋貴は達彦(柄本明)の部屋へ通した。駿輔は響子(大竹しのぶ)に謝罪させて欲しいと洋貴に頼み、文哉も見つけ出すと約束する。すると洋貴は文哉が描いた絵を駿輔に見せた。文哉に反省の意志はないと突きつける洋貴に、駿輔は言葉を失う。  　うたた寝をしていた双葉を促し帰ろうとする駿輔。双葉が自分と文哉を産んだ母のことを尋ねると、駿輔は死んだと答えた。2人の会話を洋貴が聞いてしまう。</v>
      </c>
      <c r="O1425" s="2"/>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row>
    <row r="1426" ht="204.75" customHeight="1">
      <c r="A1426" s="1">
        <v>4256.0</v>
      </c>
      <c r="B1426" s="2" t="s">
        <v>4545</v>
      </c>
      <c r="C1426" s="2">
        <f>IFERROR(__xludf.DUMMYFUNCTION("split(B1426,""_"")"),1107.0)</f>
        <v>1107</v>
      </c>
      <c r="D1426" s="2" t="str">
        <f>IFERROR(__xludf.DUMMYFUNCTION("""COMPUTED_VALUE"""),"CX")</f>
        <v>CX</v>
      </c>
      <c r="E1426" s="2" t="str">
        <f>IFERROR(__xludf.DUMMYFUNCTION("""COMPUTED_VALUE"""),"木22")</f>
        <v>木22</v>
      </c>
      <c r="F1426" s="2" t="s">
        <v>4546</v>
      </c>
      <c r="G1426" s="2" t="s">
        <v>4562</v>
      </c>
      <c r="H1426" s="1">
        <v>6.0</v>
      </c>
      <c r="I1426" s="1" t="s">
        <v>21</v>
      </c>
      <c r="J1426" s="1" t="s">
        <v>86</v>
      </c>
      <c r="K1426" s="4" t="s">
        <v>4563</v>
      </c>
      <c r="L1426" s="2" t="s">
        <v>4564</v>
      </c>
      <c r="M1426" s="2" t="str">
        <f>IFERROR(__xludf.DUMMYFUNCTION("split(split(K1426,""瑛太　"",false),""kiteyuku"",false)"),"深見洋貴(瑛太)の母、響子(大竹しのぶ)は亜季(信太真妃)の死亡時の足跡をたどり、娘への思いを再確認。耕平(田中圭)と一緒に住んでいた日垣家を出て三崎文哉=雨宮健二(風間俊介)を探すため洋貴が暮らす釣り船屋『ふかみ』に身を移した。そんな時、遠山(三崎)隆美(風吹ジュン)が来る。家出した双葉(満島ひかり)を探しに来た隆美なのだが、響子と顔を遇わせてしまった。すると隆美の携帯電話に連絡が入り、駿輔(時任三郎)も来る事になる。駿輔と隆美は、響子に謝罪しようとするのだが会話が上手く噛み合わない。結局、謝罪の言葉を"&amp;"伝える事は出来なかった。  　一方、双葉は祖母のいる介護アパートで文哉に再会。文哉が帰ろうとすると双葉は一緒に連れて行って欲しいと頼み動物園へ。そこで文哉は小さな島に住みたいと言う。その島は文哉と双葉の母親が産まれた場所だった。一緒に行くかと問う文哉に、双葉はうなずく。文哉は翌日の出発を約束して双葉と別れた。  　洋貴は藤村五月(倉科カナ)から東雪恵(酒井若菜)が生きていたと連絡を受ける。早速2人は雪恵の母親に会い、勤め先を聞き出した。雪恵の仕事が終わるのを待つ間、洋貴は五月と別行動。その時、洋貴はようや"&amp;"く双葉と連絡がついた。カラオケ店で、双葉は洋貴に文哉と会ったと話しだすのだが…。")</f>
        <v>深見洋貴(瑛太)の母、響子(大竹しのぶ)は亜季(信太真妃)の死亡時の足跡をたどり、娘への思いを再確認。耕平(田中圭)と一緒に住んでいた日垣家を出て三崎文哉=雨宮健二(風間俊介)を探すため洋貴が暮らす釣り船屋『ふかみ』に身を移した。そんな時、遠山(三崎)隆美(風吹ジュン)が来る。家出した双葉(満島ひかり)を探しに来た隆美なのだが、響子と顔を遇わせてしまった。すると隆美の携帯電話に連絡が入り、駿輔(時任三郎)も来る事になる。駿輔と隆美は、響子に謝罪しようとするのだが会話が上手く噛み合わない。結局、謝罪の言葉を伝える事は出来なかった。  　一方、双葉は祖母のいる介護アパートで文哉に再会。文哉が帰ろうとすると双葉は一緒に連れて行って欲しいと頼み動物園へ。そこで文哉は小さな島に住みたいと言う。その島は文哉と双葉の母親が産まれた場所だった。一緒に行くかと問う文哉に、双葉はうなずく。文哉は翌日の出発を約束して双葉と別れた。  　洋貴は藤村五月(倉科カナ)から東雪恵(酒井若菜)が生きていたと連絡を受ける。早速2人は雪恵の母親に会い、勤め先を聞き出した。雪恵の仕事が終わるのを待つ間、洋貴は五月と別行動。その時、洋貴はようやく双葉と連絡がついた。カラオケ店で、双葉は洋貴に文哉と会ったと話しだすのだが…。</v>
      </c>
      <c r="N1426" s="2"/>
      <c r="O1426" s="2"/>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row>
    <row r="1427" ht="204.75" customHeight="1">
      <c r="A1427" s="1">
        <v>4257.0</v>
      </c>
      <c r="B1427" s="2" t="s">
        <v>4545</v>
      </c>
      <c r="C1427" s="2">
        <f>IFERROR(__xludf.DUMMYFUNCTION("split(B1427,""_"")"),1107.0)</f>
        <v>1107</v>
      </c>
      <c r="D1427" s="2" t="str">
        <f>IFERROR(__xludf.DUMMYFUNCTION("""COMPUTED_VALUE"""),"CX")</f>
        <v>CX</v>
      </c>
      <c r="E1427" s="2" t="str">
        <f>IFERROR(__xludf.DUMMYFUNCTION("""COMPUTED_VALUE"""),"木22")</f>
        <v>木22</v>
      </c>
      <c r="F1427" s="2" t="s">
        <v>4546</v>
      </c>
      <c r="G1427" s="2" t="s">
        <v>4565</v>
      </c>
      <c r="H1427" s="1">
        <v>7.0</v>
      </c>
      <c r="I1427" s="1" t="s">
        <v>25</v>
      </c>
      <c r="J1427" s="1" t="s">
        <v>86</v>
      </c>
      <c r="K1427" s="2" t="s">
        <v>4566</v>
      </c>
      <c r="L1427" s="2" t="s">
        <v>4567</v>
      </c>
      <c r="M1427" s="9" t="str">
        <f>IFERROR(__xludf.DUMMYFUNCTION("split(split(K1427,""瑛太　"",false),""kiteyuku"",false)"),"http://www.fujitv.co.jp/i")</f>
        <v>http://www.fujitv.co.jp/i</v>
      </c>
      <c r="N1427" s="2" t="str">
        <f>IFERROR(__xludf.DUMMYFUNCTION("""COMPUTED_VALUE"""),"/　深見洋貴(瑛太)は藤村五月(倉科カナ)と会いに行った東雪恵(酒井若菜)を、雨宮健二=三崎文哉(風間俊介)の話を聞くために釣り船屋『ふかみ』へと連れていく。ちょうど『ふかみ』には日垣耕平(田中圭)も来ていて、野本(深見)響子(大竹しのぶ)と一緒に雪恵の話を聞く事になった。雪恵が語る医療少年院での文哉との出会いから別れまでの話は、洋貴たちに衝撃を与える。また、雪恵は文哉が現在、千葉の果樹園で働いていることも教えてくれた。  　果樹園では文哉が幼女を手にかけたと知った草間真岐(佐藤江梨子)が、落ち着かせよう"&amp;"とする父・五郎(小野武彦)の言葉も聞かずに激しく怯えていた。真岐にも小さな娘・悠里(原涼子)がいたからだ。  　そんな時、文哉の居場所を知った駿輔(時任三郎)から連絡があり、五郎は会いに行くため果樹園を留守にする。その間、真岐が目を離したすきに悠里の姿が消えた。真岐は文哉を疑い部屋に行くのだが、悠里はいない。そこで真岐は文哉に詰め寄るが答えはなかった。悠里を求めて、外へと飛び出す真岐。  　実は悠里は臼井紗歩(安藤サクラ)と果樹園で遊んでいた。そんな2人に、近づいて来たのは…。")</f>
        <v>/　深見洋貴(瑛太)は藤村五月(倉科カナ)と会いに行った東雪恵(酒井若菜)を、雨宮健二=三崎文哉(風間俊介)の話を聞くために釣り船屋『ふかみ』へと連れていく。ちょうど『ふかみ』には日垣耕平(田中圭)も来ていて、野本(深見)響子(大竹しのぶ)と一緒に雪恵の話を聞く事になった。雪恵が語る医療少年院での文哉との出会いから別れまでの話は、洋貴たちに衝撃を与える。また、雪恵は文哉が現在、千葉の果樹園で働いていることも教えてくれた。  　果樹園では文哉が幼女を手にかけたと知った草間真岐(佐藤江梨子)が、落ち着かせようとする父・五郎(小野武彦)の言葉も聞かずに激しく怯えていた。真岐にも小さな娘・悠里(原涼子)がいたからだ。  　そんな時、文哉の居場所を知った駿輔(時任三郎)から連絡があり、五郎は会いに行くため果樹園を留守にする。その間、真岐が目を離したすきに悠里の姿が消えた。真岐は文哉を疑い部屋に行くのだが、悠里はいない。そこで真岐は文哉に詰め寄るが答えはなかった。悠里を求めて、外へと飛び出す真岐。  　実は悠里は臼井紗歩(安藤サクラ)と果樹園で遊んでいた。そんな2人に、近づいて来たのは…。</v>
      </c>
      <c r="O1427" s="2"/>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row>
    <row r="1428" ht="204.75" customHeight="1">
      <c r="A1428" s="1">
        <v>4258.0</v>
      </c>
      <c r="B1428" s="2" t="s">
        <v>4545</v>
      </c>
      <c r="C1428" s="2">
        <f>IFERROR(__xludf.DUMMYFUNCTION("split(B1428,""_"")"),1107.0)</f>
        <v>1107</v>
      </c>
      <c r="D1428" s="2" t="str">
        <f>IFERROR(__xludf.DUMMYFUNCTION("""COMPUTED_VALUE"""),"CX")</f>
        <v>CX</v>
      </c>
      <c r="E1428" s="2" t="str">
        <f>IFERROR(__xludf.DUMMYFUNCTION("""COMPUTED_VALUE"""),"木22")</f>
        <v>木22</v>
      </c>
      <c r="F1428" s="2" t="s">
        <v>4546</v>
      </c>
      <c r="G1428" s="2" t="s">
        <v>4568</v>
      </c>
      <c r="H1428" s="1">
        <v>8.0</v>
      </c>
      <c r="I1428" s="1" t="s">
        <v>29</v>
      </c>
      <c r="J1428" s="1" t="s">
        <v>86</v>
      </c>
      <c r="K1428" s="2" t="s">
        <v>4569</v>
      </c>
      <c r="L1428" s="2" t="s">
        <v>4570</v>
      </c>
      <c r="M1428" s="9" t="str">
        <f>IFERROR(__xludf.DUMMYFUNCTION("split(split(K1428,""瑛太　"",false),""kiteyuku"",false)"),"http://www.fujitv.co.jp/i")</f>
        <v>http://www.fujitv.co.jp/i</v>
      </c>
      <c r="N1428" s="2" t="str">
        <f>IFERROR(__xludf.DUMMYFUNCTION("""COMPUTED_VALUE"""),"/　深見洋貴(瑛太)と日垣耕平(田中圭)が三崎文哉(風間俊介)が働いているという果樹園に向かっている頃、その果樹園で新たな事件が発覚。草間五郎(小野武彦)が文哉に会いたいという駿輔(時任三郎)を果樹園に連れて行くと、娘の真岐(佐藤江梨子)が倒れていたのだ。動揺する五郎に変わって、駿輔が救急車を呼ぶ。付近に文哉の姿はなかった。五郎が真岐に付き添った救急車が出て行くと、臼井紗歩(安藤サクラ)が現れる。呆然としている駿輔に、紗歩は文哉の仕業だと言い放った。その後、ようやく到着した洋貴たちに、駿輔は果樹園で起きた"&amp;"事を話す。  　洋貴たちを釣り船屋『ふかみ』から送り出した野本(深見)響子(大竹しのぶ)は遠山(三崎)双葉(満島ひかり)と連絡を待っていた。と、双葉の携帯が着信。電話は文哉からだった。双葉は文哉に会いたいと話すのだが、お前が嫌だと言うからこんなことになったと電話を切られてしまう。双葉がショックを受けていると、店の電話が鳴る。それは、耕平から果樹園での出来事を知らせるものだった。一方、駿輔も隆美(風吹ジュン)に電話して、15年前のことも考え、灯里(福田麻由子)と家を出る準備をするよう促す。  　真岐の容態は"&amp;"重篤だった。救急隊からの報せを受けた警察も捜査に乗り出すが、文哉の足取りは不明。その頃文哉は、ある場所へと向かっていた。")</f>
        <v>/　深見洋貴(瑛太)と日垣耕平(田中圭)が三崎文哉(風間俊介)が働いているという果樹園に向かっている頃、その果樹園で新たな事件が発覚。草間五郎(小野武彦)が文哉に会いたいという駿輔(時任三郎)を果樹園に連れて行くと、娘の真岐(佐藤江梨子)が倒れていたのだ。動揺する五郎に変わって、駿輔が救急車を呼ぶ。付近に文哉の姿はなかった。五郎が真岐に付き添った救急車が出て行くと、臼井紗歩(安藤サクラ)が現れる。呆然としている駿輔に、紗歩は文哉の仕業だと言い放った。その後、ようやく到着した洋貴たちに、駿輔は果樹園で起きた事を話す。  　洋貴たちを釣り船屋『ふかみ』から送り出した野本(深見)響子(大竹しのぶ)は遠山(三崎)双葉(満島ひかり)と連絡を待っていた。と、双葉の携帯が着信。電話は文哉からだった。双葉は文哉に会いたいと話すのだが、お前が嫌だと言うからこんなことになったと電話を切られてしまう。双葉がショックを受けていると、店の電話が鳴る。それは、耕平から果樹園での出来事を知らせるものだった。一方、駿輔も隆美(風吹ジュン)に電話して、15年前のことも考え、灯里(福田麻由子)と家を出る準備をするよう促す。  　真岐の容態は重篤だった。救急隊からの報せを受けた警察も捜査に乗り出すが、文哉の足取りは不明。その頃文哉は、ある場所へと向かっていた。</v>
      </c>
      <c r="O1428" s="2"/>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row>
    <row r="1429" ht="204.75" customHeight="1">
      <c r="A1429" s="1">
        <v>4259.0</v>
      </c>
      <c r="B1429" s="2" t="s">
        <v>4545</v>
      </c>
      <c r="C1429" s="2">
        <f>IFERROR(__xludf.DUMMYFUNCTION("split(B1429,""_"")"),1107.0)</f>
        <v>1107</v>
      </c>
      <c r="D1429" s="2" t="str">
        <f>IFERROR(__xludf.DUMMYFUNCTION("""COMPUTED_VALUE"""),"CX")</f>
        <v>CX</v>
      </c>
      <c r="E1429" s="2" t="str">
        <f>IFERROR(__xludf.DUMMYFUNCTION("""COMPUTED_VALUE"""),"木22")</f>
        <v>木22</v>
      </c>
      <c r="F1429" s="2" t="s">
        <v>4546</v>
      </c>
      <c r="G1429" s="2" t="s">
        <v>4571</v>
      </c>
      <c r="H1429" s="1">
        <v>9.0</v>
      </c>
      <c r="I1429" s="1" t="s">
        <v>33</v>
      </c>
      <c r="J1429" s="1" t="s">
        <v>86</v>
      </c>
      <c r="K1429" s="2" t="s">
        <v>4572</v>
      </c>
      <c r="L1429" s="2" t="s">
        <v>4573</v>
      </c>
      <c r="M1429" s="9" t="str">
        <f>IFERROR(__xludf.DUMMYFUNCTION("split(split(K1429,""瑛太　"",false),""kiteyuku"",false)"),"http://www.fujitv.co.jp/i")</f>
        <v>http://www.fujitv.co.jp/i</v>
      </c>
      <c r="N1429" s="2" t="str">
        <f>IFERROR(__xludf.DUMMYFUNCTION("""COMPUTED_VALUE"""),"/　深見洋貴(瑛太)が、三崎文哉(風間俊介)が新たに事件を起こした千葉から遠山(三崎)双葉(満島ひかり)を車で家に送ろうとしている頃、釣り船屋『ふかみ』では激しい攻防が繰り広げられていた。双葉を求めて訪ねて来た文哉と、息子の日垣耕平(田中圭)の妻、由佳(村川絵梨)と孫を守ろうとする野本(深見)響子(大竹しのぶ)が争っていたのだ。家具で文哉を殴り倒した響子は、どうして亜季(信太真妃)だったのかと積年の問いをぶつける。文哉はふらふらと立ち上がりながら、たまたま道で会った、誰でもよかったと言って店を出て行ってし"&amp;"まう。響子からの連絡で洋貴は双葉も伴って『ふかみ』に急いで戻って来た。意外にも落ち着いている様子の響子に安堵した洋貴は、双葉を遠山家へ送って行く事に。  　一方、警察署で聴取を受けていた駿輔(時任三郎)は文哉を逮捕して欲しいと懇願していた。だが、駿輔が留守にしている遠山家には『ふかみ』から離れた文哉が訪ねていようとは思ってもいない。遠山家で隆美(風吹ジュン)と灯里(福田麻由子)が文哉に対応していると洋貴に送られた双葉が帰って来た。そのまま来た道を帰ろうとする洋貴に、双葉から文哉がいるとメールが入る。すぐさ"&amp;"ま車を反転させ、再び遠山家に向かう洋貴。遠山家では、双葉に続いて帰って来た駿輔が文哉に自首を促していたのだが…。")</f>
        <v>/　深見洋貴(瑛太)が、三崎文哉(風間俊介)が新たに事件を起こした千葉から遠山(三崎)双葉(満島ひかり)を車で家に送ろうとしている頃、釣り船屋『ふかみ』では激しい攻防が繰り広げられていた。双葉を求めて訪ねて来た文哉と、息子の日垣耕平(田中圭)の妻、由佳(村川絵梨)と孫を守ろうとする野本(深見)響子(大竹しのぶ)が争っていたのだ。家具で文哉を殴り倒した響子は、どうして亜季(信太真妃)だったのかと積年の問いをぶつける。文哉はふらふらと立ち上がりながら、たまたま道で会った、誰でもよかったと言って店を出て行ってしまう。響子からの連絡で洋貴は双葉も伴って『ふかみ』に急いで戻って来た。意外にも落ち着いている様子の響子に安堵した洋貴は、双葉を遠山家へ送って行く事に。  　一方、警察署で聴取を受けていた駿輔(時任三郎)は文哉を逮捕して欲しいと懇願していた。だが、駿輔が留守にしている遠山家には『ふかみ』から離れた文哉が訪ねていようとは思ってもいない。遠山家で隆美(風吹ジュン)と灯里(福田麻由子)が文哉に対応していると洋貴に送られた双葉が帰って来た。そのまま来た道を帰ろうとする洋貴に、双葉から文哉がいるとメールが入る。すぐさま車を反転させ、再び遠山家に向かう洋貴。遠山家では、双葉に続いて帰って来た駿輔が文哉に自首を促していたのだが…。</v>
      </c>
      <c r="O1429" s="2"/>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row>
    <row r="1430" ht="204.75" customHeight="1">
      <c r="A1430" s="1">
        <v>4260.0</v>
      </c>
      <c r="B1430" s="2" t="s">
        <v>4545</v>
      </c>
      <c r="C1430" s="2">
        <f>IFERROR(__xludf.DUMMYFUNCTION("split(B1430,""_"")"),1107.0)</f>
        <v>1107</v>
      </c>
      <c r="D1430" s="2" t="str">
        <f>IFERROR(__xludf.DUMMYFUNCTION("""COMPUTED_VALUE"""),"CX")</f>
        <v>CX</v>
      </c>
      <c r="E1430" s="2" t="str">
        <f>IFERROR(__xludf.DUMMYFUNCTION("""COMPUTED_VALUE"""),"木22")</f>
        <v>木22</v>
      </c>
      <c r="F1430" s="2" t="s">
        <v>4546</v>
      </c>
      <c r="G1430" s="2" t="s">
        <v>4574</v>
      </c>
      <c r="H1430" s="1">
        <v>10.0</v>
      </c>
      <c r="I1430" s="1" t="s">
        <v>37</v>
      </c>
      <c r="J1430" s="1" t="s">
        <v>86</v>
      </c>
      <c r="K1430" s="2" t="s">
        <v>4575</v>
      </c>
      <c r="L1430" s="2" t="s">
        <v>4576</v>
      </c>
      <c r="M1430" s="9" t="str">
        <f>IFERROR(__xludf.DUMMYFUNCTION("split(split(K1430,""瑛太　"",false),""kiteyuku"",false)"),"http://www.fujitv.co.jp/i")</f>
        <v>http://www.fujitv.co.jp/i</v>
      </c>
      <c r="N1430" s="2" t="str">
        <f>IFERROR(__xludf.DUMMYFUNCTION("""COMPUTED_VALUE"""),"/　深見洋貴(瑛太)は三崎駿輔(時任三郎)から三崎文哉(風間俊介)の亡くなった母の出身地を聞き、広島行きの新幹線に乗る。その頃、すでに遠山(三崎)双葉(満島ひかり)は、その地で文哉を探していた。  　駿輔は隆美(風吹ジュン)、灯里(福田麻由子)と別居し、果樹園の草間五郎(小野武彦)のもとに謝罪のため足を運ぶのだが、会ってはもらえない。  　目的地に着いた洋貴は双葉を見つける。洋貴は、自分の車から持ち出した凶器を返すよう双葉を説得。初めは拒否した双葉だが、もし凶器を使う時が来たら共犯者になるということで了承"&amp;"した。  　文哉は亡き母の親戚の家で写真を探していた。家中をひっくり返して写真を探す文哉の異様さに親戚は警察に連絡。自殺すると文哉が家を出て行った後に、警官に説明する親戚たちの話を洋貴と双葉が聞きつけた。  　加害者家族として顔写真がタブロイド紙に掲載されてしまった隆美と灯里。15年前のことを知らなかった灯里は激しく絶望してしまう。そんな母子が暮らすアパートを野本(深見)響子(大竹しのぶ)が訪ねて来た。  　一方、ようやく五郎に会ってもらえた駿輔は、真岐(佐藤江梨子)が入院する病院に連れて行かれて厳しい現"&amp;"実を突きつけられてしまう。  　文哉が自殺をほのめかしたことを知った双葉は、このまま死んでしまえば…と考えるのだった。")</f>
        <v>/　深見洋貴(瑛太)は三崎駿輔(時任三郎)から三崎文哉(風間俊介)の亡くなった母の出身地を聞き、広島行きの新幹線に乗る。その頃、すでに遠山(三崎)双葉(満島ひかり)は、その地で文哉を探していた。  　駿輔は隆美(風吹ジュン)、灯里(福田麻由子)と別居し、果樹園の草間五郎(小野武彦)のもとに謝罪のため足を運ぶのだが、会ってはもらえない。  　目的地に着いた洋貴は双葉を見つける。洋貴は、自分の車から持ち出した凶器を返すよう双葉を説得。初めは拒否した双葉だが、もし凶器を使う時が来たら共犯者になるということで了承した。  　文哉は亡き母の親戚の家で写真を探していた。家中をひっくり返して写真を探す文哉の異様さに親戚は警察に連絡。自殺すると文哉が家を出て行った後に、警官に説明する親戚たちの話を洋貴と双葉が聞きつけた。  　加害者家族として顔写真がタブロイド紙に掲載されてしまった隆美と灯里。15年前のことを知らなかった灯里は激しく絶望してしまう。そんな母子が暮らすアパートを野本(深見)響子(大竹しのぶ)が訪ねて来た。  　一方、ようやく五郎に会ってもらえた駿輔は、真岐(佐藤江梨子)が入院する病院に連れて行かれて厳しい現実を突きつけられてしまう。  　文哉が自殺をほのめかしたことを知った双葉は、このまま死んでしまえば…と考えるのだった。</v>
      </c>
      <c r="O1430" s="2"/>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row>
    <row r="1431" ht="204.75" customHeight="1">
      <c r="A1431" s="1">
        <v>4261.0</v>
      </c>
      <c r="B1431" s="2" t="s">
        <v>4545</v>
      </c>
      <c r="C1431" s="2">
        <f>IFERROR(__xludf.DUMMYFUNCTION("split(B1431,""_"")"),1107.0)</f>
        <v>1107</v>
      </c>
      <c r="D1431" s="2" t="str">
        <f>IFERROR(__xludf.DUMMYFUNCTION("""COMPUTED_VALUE"""),"CX")</f>
        <v>CX</v>
      </c>
      <c r="E1431" s="2" t="str">
        <f>IFERROR(__xludf.DUMMYFUNCTION("""COMPUTED_VALUE"""),"木22")</f>
        <v>木22</v>
      </c>
      <c r="F1431" s="2" t="s">
        <v>4546</v>
      </c>
      <c r="G1431" s="2" t="s">
        <v>4577</v>
      </c>
      <c r="H1431" s="1">
        <v>11.0</v>
      </c>
      <c r="I1431" s="1" t="s">
        <v>41</v>
      </c>
      <c r="J1431" s="1" t="s">
        <v>86</v>
      </c>
      <c r="K1431" s="2" t="s">
        <v>4578</v>
      </c>
      <c r="L1431" s="2" t="s">
        <v>4579</v>
      </c>
      <c r="M1431" s="9" t="str">
        <f>IFERROR(__xludf.DUMMYFUNCTION("split(split(K1431,""瑛太　"",false),""kiteyuku"",false)"),"http://www.fujitv.co.jp/i")</f>
        <v>http://www.fujitv.co.jp/i</v>
      </c>
      <c r="N1431" s="2" t="str">
        <f>IFERROR(__xludf.DUMMYFUNCTION("""COMPUTED_VALUE"""),"/　深見洋貴(瑛太)の目の前で三崎文哉(風間俊介)は逮捕された。亜季(信太真妃)を殺害したことに何の反省もせず、感情のかけらさえ見せない文哉を殴り続けた遠山(三崎)双葉(満島ひかり)は拳から血を流している。警察署の医務室で治療を受けた双葉は文哉の自殺を止めなければ良かったと後悔するのだが、洋貴はこれからの自分たちを考えようと語った。　釣り船屋『ふかみ』に戻った洋貴は、藤村五月(倉科カナ)に今回の出来事を報告。五月は文哉に面会して反省を促すよう洋貴に勧める。しかし、洋貴は終わったことだと首を横にふった。  "&amp;"　洋貴は野本(深見)響子(大竹しのぶ)、日垣耕平(田中圭)と一緒に、達彦(柄本明)と亜季が眠る墓に報告に向かう。そこには、双葉、隆美(風吹ジュン)、灯里(福田麻由子)の姿もあった。響子が呼んだのだ。墓参りが済むと、洋貴と双葉は2人だけで話す機会を得る。そこで洋貴はずっと一緒にいたいと双葉への想いを打ち明けるのだったが、双葉はすでにある決意を胸に秘めていた・・・。")</f>
        <v>/　深見洋貴(瑛太)の目の前で三崎文哉(風間俊介)は逮捕された。亜季(信太真妃)を殺害したことに何の反省もせず、感情のかけらさえ見せない文哉を殴り続けた遠山(三崎)双葉(満島ひかり)は拳から血を流している。警察署の医務室で治療を受けた双葉は文哉の自殺を止めなければ良かったと後悔するのだが、洋貴はこれからの自分たちを考えようと語った。　釣り船屋『ふかみ』に戻った洋貴は、藤村五月(倉科カナ)に今回の出来事を報告。五月は文哉に面会して反省を促すよう洋貴に勧める。しかし、洋貴は終わったことだと首を横にふった。  　洋貴は野本(深見)響子(大竹しのぶ)、日垣耕平(田中圭)と一緒に、達彦(柄本明)と亜季が眠る墓に報告に向かう。そこには、双葉、隆美(風吹ジュン)、灯里(福田麻由子)の姿もあった。響子が呼んだのだ。墓参りが済むと、洋貴と双葉は2人だけで話す機会を得る。そこで洋貴はずっと一緒にいたいと双葉への想いを打ち明けるのだったが、双葉はすでにある決意を胸に秘めていた・・・。</v>
      </c>
      <c r="O1431" s="2"/>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row>
    <row r="1432" ht="204.75" customHeight="1">
      <c r="A1432" s="1">
        <v>4316.0</v>
      </c>
      <c r="B1432" s="2" t="s">
        <v>4580</v>
      </c>
      <c r="C1432" s="2">
        <f>IFERROR(__xludf.DUMMYFUNCTION("split(B1432,""_"")"),1107.0)</f>
        <v>1107</v>
      </c>
      <c r="D1432" s="2" t="str">
        <f>IFERROR(__xludf.DUMMYFUNCTION("""COMPUTED_VALUE"""),"CX")</f>
        <v>CX</v>
      </c>
      <c r="E1432" s="2" t="str">
        <f>IFERROR(__xludf.DUMMYFUNCTION("""COMPUTED_VALUE"""),"日21")</f>
        <v>日21</v>
      </c>
      <c r="F1432" s="2" t="s">
        <v>4581</v>
      </c>
      <c r="G1432" s="2" t="s">
        <v>4582</v>
      </c>
      <c r="H1432" s="1">
        <v>1.0</v>
      </c>
      <c r="I1432" s="1" t="s">
        <v>3</v>
      </c>
      <c r="J1432" s="1" t="s">
        <v>4</v>
      </c>
      <c r="K1432" s="4" t="s">
        <v>4583</v>
      </c>
      <c r="L1432" s="2" t="s">
        <v>4584</v>
      </c>
      <c r="M1432" s="2" t="str">
        <f>IFERROR(__xludf.DUMMYFUNCTION("split(split(K1432,""芦屋瑞稀:"",false),""公式LINE"",false)"),"&lt;ドラマチックサンデー&gt;花ざかりの君たちへ～イケメン☆パラダイス2011　カリフォルニア帰りの帰国子女・芦屋瑞稀(前田敦子)は、女の子であることを隠して全寮制の男子校・桜咲学園に編入する。その目的は、同校2年のハイジャンプ選手・佐野泉(中村蒼)に会うためだった。佐野は、将来を嘱望されていたハイジャンプの選手だったが、軸足のケガが原因で跳ぶことを諦めていた。それを知った瑞稀は、かつて自分の運命を変えてくれた佐野に、どうしてももう一度跳んでもらいたいと強く願っていたのだ。　桜咲学園にやってきた瑞稀は、そこで佐"&amp;"野の親友でもある明るくて純粋なサッカー少年・中津秀一(三浦翔平)らと出会う。彼らは皆、瑞稀と同じ2年生のクラスメートだ。  　この桜咲学園には3つの寮があった。第1寮は、空手部主将の天王寺恵(満島真之介)寮長率いる運動系、第3寮は、演劇部部長のオスカー・M・姫島こと姫島正夫(徳山秀典)寮長率いる芸術系、そして第2寮は、学内一のプレーボーイと評判の難波南(桐山漣)寮長率いる混合系だった。佐野や中津らも所属する第2寮に入った瑞稀は、なんと佐野と同室になってしまう。  　そんな折、瑞稀は、佐野のライバルだったハ"&amp;"イジャン選手・神楽坂真言(佐藤祐基)がいる桃郷学院と、桜咲学園との間で長年行われてきた合同球技大会が、今年は中止になったことを知る。瑞稀は、中津や難波らに協力を仰ぎ、合同球技大会を実現させようと奔走するが…。")</f>
        <v>&lt;ドラマチックサンデー&gt;花ざかりの君たちへ～イケメン☆パラダイス2011　カリフォルニア帰りの帰国子女・芦屋瑞稀(前田敦子)は、女の子であることを隠して全寮制の男子校・桜咲学園に編入する。その目的は、同校2年のハイジャンプ選手・佐野泉(中村蒼)に会うためだった。佐野は、将来を嘱望されていたハイジャンプの選手だったが、軸足のケガが原因で跳ぶことを諦めていた。それを知った瑞稀は、かつて自分の運命を変えてくれた佐野に、どうしてももう一度跳んでもらいたいと強く願っていたのだ。　桜咲学園にやってきた瑞稀は、そこで佐野の親友でもある明るくて純粋なサッカー少年・中津秀一(三浦翔平)らと出会う。彼らは皆、瑞稀と同じ2年生のクラスメートだ。  　この桜咲学園には3つの寮があった。第1寮は、空手部主将の天王寺恵(満島真之介)寮長率いる運動系、第3寮は、演劇部部長のオスカー・M・姫島こと姫島正夫(徳山秀典)寮長率いる芸術系、そして第2寮は、学内一のプレーボーイと評判の難波南(桐山漣)寮長率いる混合系だった。佐野や中津らも所属する第2寮に入った瑞稀は、なんと佐野と同室になってしまう。  　そんな折、瑞稀は、佐野のライバルだったハイジャン選手・神楽坂真言(佐藤祐基)がいる桃郷学院と、桜咲学園との間で長年行われてきた合同球技大会が、今年は中止になったことを知る。瑞稀は、中津や難波らに協力を仰ぎ、合同球技大会を実現させようと奔走するが…。</v>
      </c>
      <c r="N1432" s="2"/>
      <c r="O1432" s="2"/>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row>
    <row r="1433" ht="204.75" customHeight="1">
      <c r="A1433" s="1">
        <v>4317.0</v>
      </c>
      <c r="B1433" s="2" t="s">
        <v>4580</v>
      </c>
      <c r="C1433" s="2">
        <f>IFERROR(__xludf.DUMMYFUNCTION("split(B1433,""_"")"),1107.0)</f>
        <v>1107</v>
      </c>
      <c r="D1433" s="2" t="str">
        <f>IFERROR(__xludf.DUMMYFUNCTION("""COMPUTED_VALUE"""),"CX")</f>
        <v>CX</v>
      </c>
      <c r="E1433" s="2" t="str">
        <f>IFERROR(__xludf.DUMMYFUNCTION("""COMPUTED_VALUE"""),"日21")</f>
        <v>日21</v>
      </c>
      <c r="F1433" s="2" t="s">
        <v>4581</v>
      </c>
      <c r="G1433" s="2" t="s">
        <v>4585</v>
      </c>
      <c r="H1433" s="1">
        <v>2.0</v>
      </c>
      <c r="I1433" s="1" t="s">
        <v>7</v>
      </c>
      <c r="J1433" s="1" t="s">
        <v>11</v>
      </c>
      <c r="K1433" s="2" t="s">
        <v>4586</v>
      </c>
      <c r="L1433" s="2" t="s">
        <v>4587</v>
      </c>
      <c r="M1433" s="2" t="str">
        <f>IFERROR(__xludf.DUMMYFUNCTION("split(split(K1433,""芦屋瑞稀:"",false),""公式LINE"",false)"),"&lt;ドラマチックサンデー&gt;花ざかりの君たちへ～イケメン☆パラダイス2011　芦屋瑞稀(前田敦子)は、佐野泉(中村蒼)を訪ねて女子高生の山科理香(岩田さゆり)がやってきたことを知る。佐野と理香が話しているところを、関目京悟(山田親太朗)や野江伸二(鈴木勝大)と一緒に盗み見た瑞稀は、何故か胸のざわめきを感じていた。一方、佐野は、瑞稀が実は女性ではないかと疑い始めていたが、確かめることができずにいた。  　同じころ、桜咲学園の生徒たちは、中止の予定だった学園祭が復活することを知り、大いに盛り上がっていた。学園祭は"&amp;"2日間に渡って開催され、1日目は文科系イベント、2日目は運動競技が行われることになっていた。しかも、そのすべてが点数制になっており、寮対抗で競い合うのだ。第2寮の寮長・難波南(桐山漣)は、各寮の代表2名が美を競う初日のメーンイベント、ミスコンテストに瑞稀を出場させることにする。が、ミスコンの代表に選ばれた途端、瑞稀は、何者かから嫌がらせを受けるようになってしまう。  　第2寮のメンバーは、さっそく学園祭に出店する冥途喫茶の準備を開始した。そこでも中津秀一(三浦翔平)は、瑞稀のことを妙に意識してしまい、思い"&amp;"悩んでいた。  　そんな折、犬の裕次郎を連れて寮を出ようとした瑞稀は、理香に呼び止められる。そこで瑞稀は、彼女が佐野と同じ中学校の出身で、陸上部のマネジャーだったことを知る。瑞稀は、佐野がハイジャンプを止めてしまった理由を理香に尋ねるが…。")</f>
        <v>&lt;ドラマチックサンデー&gt;花ざかりの君たちへ～イケメン☆パラダイス2011　芦屋瑞稀(前田敦子)は、佐野泉(中村蒼)を訪ねて女子高生の山科理香(岩田さゆり)がやってきたことを知る。佐野と理香が話しているところを、関目京悟(山田親太朗)や野江伸二(鈴木勝大)と一緒に盗み見た瑞稀は、何故か胸のざわめきを感じていた。一方、佐野は、瑞稀が実は女性ではないかと疑い始めていたが、確かめることができずにいた。  　同じころ、桜咲学園の生徒たちは、中止の予定だった学園祭が復活することを知り、大いに盛り上がっていた。学園祭は2日間に渡って開催され、1日目は文科系イベント、2日目は運動競技が行われることになっていた。しかも、そのすべてが点数制になっており、寮対抗で競い合うのだ。第2寮の寮長・難波南(桐山漣)は、各寮の代表2名が美を競う初日のメーンイベント、ミスコンテストに瑞稀を出場させることにする。が、ミスコンの代表に選ばれた途端、瑞稀は、何者かから嫌がらせを受けるようになってしまう。  　第2寮のメンバーは、さっそく学園祭に出店する冥途喫茶の準備を開始した。そこでも中津秀一(三浦翔平)は、瑞稀のことを妙に意識してしまい、思い悩んでいた。  　そんな折、犬の裕次郎を連れて寮を出ようとした瑞稀は、理香に呼び止められる。そこで瑞稀は、彼女が佐野と同じ中学校の出身で、陸上部のマネジャーだったことを知る。瑞稀は、佐野がハイジャンプを止めてしまった理由を理香に尋ねるが…。</v>
      </c>
      <c r="N1433" s="2"/>
      <c r="O1433" s="2"/>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row>
    <row r="1434" ht="204.75" customHeight="1">
      <c r="A1434" s="1">
        <v>4318.0</v>
      </c>
      <c r="B1434" s="2" t="s">
        <v>4580</v>
      </c>
      <c r="C1434" s="2">
        <f>IFERROR(__xludf.DUMMYFUNCTION("split(B1434,""_"")"),1107.0)</f>
        <v>1107</v>
      </c>
      <c r="D1434" s="2" t="str">
        <f>IFERROR(__xludf.DUMMYFUNCTION("""COMPUTED_VALUE"""),"CX")</f>
        <v>CX</v>
      </c>
      <c r="E1434" s="2" t="str">
        <f>IFERROR(__xludf.DUMMYFUNCTION("""COMPUTED_VALUE"""),"日21")</f>
        <v>日21</v>
      </c>
      <c r="F1434" s="2" t="s">
        <v>4581</v>
      </c>
      <c r="G1434" s="2" t="s">
        <v>4588</v>
      </c>
      <c r="H1434" s="1">
        <v>3.0</v>
      </c>
      <c r="I1434" s="1" t="s">
        <v>10</v>
      </c>
      <c r="J1434" s="1" t="s">
        <v>11</v>
      </c>
      <c r="K1434" s="2" t="s">
        <v>4589</v>
      </c>
      <c r="L1434" s="2" t="s">
        <v>4590</v>
      </c>
      <c r="M1434" s="2" t="str">
        <f>IFERROR(__xludf.DUMMYFUNCTION("split(split(K1434,""芦屋瑞稀:"",false),""公式LINE"",false)"),"&lt;ドラマチックサンデー&gt;花ざかりの君たちへ～イケメン☆パラダイス2011　芦屋瑞稀(前田敦子)は、粕漬けを食べて酔っぱらった佐野泉(中村蒼)からキスをされ、動揺していた。それを知った中津秀一(三浦翔平)や中央千里(西井幸人)らは、口々に、自分も佐野からキスされたことがある、と言い出す。実は佐野は、少しでもアルコールが入っているものを食べたりすると、酔ってキス魔になってしまうらしい。しかもキスしたことをまったく覚えていないのだという。瑞稀はファーストキスだったこともあり、さらに落ち込んでしまう。  　桜咲学"&amp;"園の各寮生は、学園祭2日目の運動競技会に向けて、くじ引きで出場競技を決める。その結果、瑞稀、佐野、中津は騎馬戦に出場することになった。さらに、瑞稀と中津は、寮長の難波南(桐山漣)、関目京悟(山田親太朗)、野江伸二(鈴木勝大)らとともに、第2寮の代表として大会のハイライトである2000メートルリレーにも出場することになってしまう。学園祭初日のイベントでは最下位だった第2寮の面々は、俊足の瑞稀と中津が選ばれたことで大いに盛り上がっていた。  　そんな折、佐野のもとに、桃郷学院の神楽坂真言(佐藤祐基)がやってく"&amp;"る。神楽坂は、佐野に陸上競技会のチラシを見せ、この大会で決着をつけようと告げる。  　同じころ、難波は、中学時代の家庭教師で、元恋人でもある田辺可南子(酒井彩名)と再会するが…。")</f>
        <v>&lt;ドラマチックサンデー&gt;花ざかりの君たちへ～イケメン☆パラダイス2011　芦屋瑞稀(前田敦子)は、粕漬けを食べて酔っぱらった佐野泉(中村蒼)からキスをされ、動揺していた。それを知った中津秀一(三浦翔平)や中央千里(西井幸人)らは、口々に、自分も佐野からキスされたことがある、と言い出す。実は佐野は、少しでもアルコールが入っているものを食べたりすると、酔ってキス魔になってしまうらしい。しかもキスしたことをまったく覚えていないのだという。瑞稀はファーストキスだったこともあり、さらに落ち込んでしまう。  　桜咲学園の各寮生は、学園祭2日目の運動競技会に向けて、くじ引きで出場競技を決める。その結果、瑞稀、佐野、中津は騎馬戦に出場することになった。さらに、瑞稀と中津は、寮長の難波南(桐山漣)、関目京悟(山田親太朗)、野江伸二(鈴木勝大)らとともに、第2寮の代表として大会のハイライトである2000メートルリレーにも出場することになってしまう。学園祭初日のイベントでは最下位だった第2寮の面々は、俊足の瑞稀と中津が選ばれたことで大いに盛り上がっていた。  　そんな折、佐野のもとに、桃郷学院の神楽坂真言(佐藤祐基)がやってくる。神楽坂は、佐野に陸上競技会のチラシを見せ、この大会で決着をつけようと告げる。  　同じころ、難波は、中学時代の家庭教師で、元恋人でもある田辺可南子(酒井彩名)と再会するが…。</v>
      </c>
      <c r="N1434" s="2"/>
      <c r="O1434" s="2"/>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row>
    <row r="1435" ht="204.75" customHeight="1">
      <c r="A1435" s="1">
        <v>4319.0</v>
      </c>
      <c r="B1435" s="2" t="s">
        <v>4580</v>
      </c>
      <c r="C1435" s="2">
        <f>IFERROR(__xludf.DUMMYFUNCTION("split(B1435,""_"")"),1107.0)</f>
        <v>1107</v>
      </c>
      <c r="D1435" s="2" t="str">
        <f>IFERROR(__xludf.DUMMYFUNCTION("""COMPUTED_VALUE"""),"CX")</f>
        <v>CX</v>
      </c>
      <c r="E1435" s="2" t="str">
        <f>IFERROR(__xludf.DUMMYFUNCTION("""COMPUTED_VALUE"""),"日21")</f>
        <v>日21</v>
      </c>
      <c r="F1435" s="2" t="s">
        <v>4581</v>
      </c>
      <c r="G1435" s="2" t="s">
        <v>4591</v>
      </c>
      <c r="H1435" s="1">
        <v>4.0</v>
      </c>
      <c r="I1435" s="1" t="s">
        <v>14</v>
      </c>
      <c r="J1435" s="1" t="s">
        <v>11</v>
      </c>
      <c r="K1435" s="2" t="s">
        <v>4592</v>
      </c>
      <c r="L1435" s="2" t="s">
        <v>4593</v>
      </c>
      <c r="M1435" s="2" t="str">
        <f>IFERROR(__xludf.DUMMYFUNCTION("split(split(K1435,""芦屋瑞稀:"",false),""公式LINE"",false)"),"&lt;ドラマチックサンデー&gt;花ざかりの君たちへ～イケメン☆パラダイス2011　桜咲学園も夏休みに突入した。芦屋瑞稀(前田敦子)は、再びハイジャンプの練習を始めた佐野泉(中村蒼)のことが気になり、アメリカに戻らず寮で夏休みを過ごそうと考える。だが、当の佐野は、毎年祖父のところに行くらしい。一方、瑞稀が残ることを知った中津秀一(三浦翔平)は帰省を止めて、サッカーの自主合宿をすると言い出す。  　今年の夏休みは、食堂しかエアコンが入らないため、雑魚寝をすることに。各寮の場所取り合戦が繰り広げられる中、瑞稀も部屋の片"&amp;"隅に場所を確保した。佐野は、そんな瑞稀のことを心配し、寮に残ることを決意する。  　その夜、怪しい物音やすすり泣くような声が聞こえ、部屋の電気やテレビも消えてしまう。さらに、難波南(桐山漣)は、第二次大戦の末期、空襲で命を落とした寮生がいたという話を始め、震え上がる寮生たち。  　翌朝、練習に向かう中津の前に、菜吾八高校の2年生だという少女・今池こまり(荒井萌)が現れる。こまりは、いきなり中津のことが好きだと切り出すと、メールアドレスを書いた紙を渡して走り去る。普段から瑞稀のことばかり考えてしまい、思い悩"&amp;"んでいた中津は、こまりと交際することを決意する。  　同じころ、ハイジャンプの練習を開始したものの、思うようなジャンプができずにいらついていた佐野は、連日練習を見守っていた瑞稀に、集中したいからしばらく来ないでほしい、と当たってしまう。")</f>
        <v>&lt;ドラマチックサンデー&gt;花ざかりの君たちへ～イケメン☆パラダイス2011　桜咲学園も夏休みに突入した。芦屋瑞稀(前田敦子)は、再びハイジャンプの練習を始めた佐野泉(中村蒼)のことが気になり、アメリカに戻らず寮で夏休みを過ごそうと考える。だが、当の佐野は、毎年祖父のところに行くらしい。一方、瑞稀が残ることを知った中津秀一(三浦翔平)は帰省を止めて、サッカーの自主合宿をすると言い出す。  　今年の夏休みは、食堂しかエアコンが入らないため、雑魚寝をすることに。各寮の場所取り合戦が繰り広げられる中、瑞稀も部屋の片隅に場所を確保した。佐野は、そんな瑞稀のことを心配し、寮に残ることを決意する。  　その夜、怪しい物音やすすり泣くような声が聞こえ、部屋の電気やテレビも消えてしまう。さらに、難波南(桐山漣)は、第二次大戦の末期、空襲で命を落とした寮生がいたという話を始め、震え上がる寮生たち。  　翌朝、練習に向かう中津の前に、菜吾八高校の2年生だという少女・今池こまり(荒井萌)が現れる。こまりは、いきなり中津のことが好きだと切り出すと、メールアドレスを書いた紙を渡して走り去る。普段から瑞稀のことばかり考えてしまい、思い悩んでいた中津は、こまりと交際することを決意する。  　同じころ、ハイジャンプの練習を開始したものの、思うようなジャンプができずにいらついていた佐野は、連日練習を見守っていた瑞稀に、集中したいからしばらく来ないでほしい、と当たってしまう。</v>
      </c>
      <c r="N1435" s="2"/>
      <c r="O1435" s="2"/>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row>
    <row r="1436" ht="204.75" customHeight="1">
      <c r="A1436" s="1">
        <v>4320.0</v>
      </c>
      <c r="B1436" s="2" t="s">
        <v>4580</v>
      </c>
      <c r="C1436" s="2">
        <f>IFERROR(__xludf.DUMMYFUNCTION("split(B1436,""_"")"),1107.0)</f>
        <v>1107</v>
      </c>
      <c r="D1436" s="2" t="str">
        <f>IFERROR(__xludf.DUMMYFUNCTION("""COMPUTED_VALUE"""),"CX")</f>
        <v>CX</v>
      </c>
      <c r="E1436" s="2" t="str">
        <f>IFERROR(__xludf.DUMMYFUNCTION("""COMPUTED_VALUE"""),"日21")</f>
        <v>日21</v>
      </c>
      <c r="F1436" s="2" t="s">
        <v>4581</v>
      </c>
      <c r="G1436" s="2" t="s">
        <v>4594</v>
      </c>
      <c r="H1436" s="1">
        <v>5.0</v>
      </c>
      <c r="I1436" s="1" t="s">
        <v>17</v>
      </c>
      <c r="J1436" s="1" t="s">
        <v>11</v>
      </c>
      <c r="K1436" s="2" t="s">
        <v>4595</v>
      </c>
      <c r="L1436" s="2" t="s">
        <v>4596</v>
      </c>
      <c r="M1436" s="2" t="str">
        <f>IFERROR(__xludf.DUMMYFUNCTION("split(split(K1436,""芦屋瑞稀:"",false),""公式LINE"",false)"),"&lt;ドラマチックサンデー&gt;花ざかりの君たちへ～イケメン☆パラダイス2011　芦屋瑞稀(前田敦子)は中津秀一(三浦翔平)から突然告白され、戸惑いを隠せない。佐野泉(中村蒼)に相談するが、佐野も気にはなりつつも「俺に聞くな」と言い放つ。  　食堂には「夏休みは光熱費・食費自己負担」という貼り紙がされていた。それを見つけた寮生たちは、夏休みをどう切り抜けるか話し合う。すると、保健医の梅田(斎藤工)が夏にもってこいのバイトを紹介する、という。妄想が膨らむ野江(鈴木勝大)や淡路(間宮祥太朗)らをはじめ、瑞稀も稼げるの"&amp;"なら、とバイトの誘いに乗ることに。瑞稀が行くとなれば、中津も賛同し、佐野も参加することになった。しかし、難波南(桐山漣)だけは苦い顔をしていた。なぜならバイト先とは、難波の母であり、梅田の姉でもある難波伊緒(山本未來)がオーナーを務める銭湯だったのだ。男たちに容赦なく力仕事を振る伊緒。しかし、瑞稀を見た伊緒は、バイト大学生の蒔田高巳(阿部進之介)に、力仕事以外のことを教えるよう指示する。瑞稀になれなれしく接する蒔田に不穏な何かを感じる中津・・・。  　一方、バイト中の佐野の元に神楽坂真言(佐藤祐基)と妹の"&amp;"珠美(秋月三佳)がやってきた。佐野の大ファンだとまとわりつく珠美が気になる瑞稀。  　その頃、天王寺(満島真之介)率いる1寮と、姫島(徳山秀典)率いる3寮も光熱費稼ぎに苦心していた。")</f>
        <v>&lt;ドラマチックサンデー&gt;花ざかりの君たちへ～イケメン☆パラダイス2011　芦屋瑞稀(前田敦子)は中津秀一(三浦翔平)から突然告白され、戸惑いを隠せない。佐野泉(中村蒼)に相談するが、佐野も気にはなりつつも「俺に聞くな」と言い放つ。  　食堂には「夏休みは光熱費・食費自己負担」という貼り紙がされていた。それを見つけた寮生たちは、夏休みをどう切り抜けるか話し合う。すると、保健医の梅田(斎藤工)が夏にもってこいのバイトを紹介する、という。妄想が膨らむ野江(鈴木勝大)や淡路(間宮祥太朗)らをはじめ、瑞稀も稼げるのなら、とバイトの誘いに乗ることに。瑞稀が行くとなれば、中津も賛同し、佐野も参加することになった。しかし、難波南(桐山漣)だけは苦い顔をしていた。なぜならバイト先とは、難波の母であり、梅田の姉でもある難波伊緒(山本未來)がオーナーを務める銭湯だったのだ。男たちに容赦なく力仕事を振る伊緒。しかし、瑞稀を見た伊緒は、バイト大学生の蒔田高巳(阿部進之介)に、力仕事以外のことを教えるよう指示する。瑞稀になれなれしく接する蒔田に不穏な何かを感じる中津・・・。  　一方、バイト中の佐野の元に神楽坂真言(佐藤祐基)と妹の珠美(秋月三佳)がやってきた。佐野の大ファンだとまとわりつく珠美が気になる瑞稀。  　その頃、天王寺(満島真之介)率いる1寮と、姫島(徳山秀典)率いる3寮も光熱費稼ぎに苦心していた。</v>
      </c>
      <c r="N1436" s="2"/>
      <c r="O1436" s="2"/>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row>
    <row r="1437" ht="204.75" customHeight="1">
      <c r="A1437" s="1">
        <v>4321.0</v>
      </c>
      <c r="B1437" s="2" t="s">
        <v>4580</v>
      </c>
      <c r="C1437" s="2">
        <f>IFERROR(__xludf.DUMMYFUNCTION("split(B1437,""_"")"),1107.0)</f>
        <v>1107</v>
      </c>
      <c r="D1437" s="2" t="str">
        <f>IFERROR(__xludf.DUMMYFUNCTION("""COMPUTED_VALUE"""),"CX")</f>
        <v>CX</v>
      </c>
      <c r="E1437" s="2" t="str">
        <f>IFERROR(__xludf.DUMMYFUNCTION("""COMPUTED_VALUE"""),"日21")</f>
        <v>日21</v>
      </c>
      <c r="F1437" s="2" t="s">
        <v>4581</v>
      </c>
      <c r="G1437" s="2" t="s">
        <v>4597</v>
      </c>
      <c r="H1437" s="1">
        <v>6.0</v>
      </c>
      <c r="I1437" s="1" t="s">
        <v>21</v>
      </c>
      <c r="J1437" s="1" t="s">
        <v>11</v>
      </c>
      <c r="K1437" s="2" t="s">
        <v>4598</v>
      </c>
      <c r="L1437" s="8" t="s">
        <v>4599</v>
      </c>
      <c r="M1437" s="2" t="str">
        <f>IFERROR(__xludf.DUMMYFUNCTION("split(split(K1437,""芦屋瑞稀:"",false),""公式LINE"",false)"),"&lt;ドラマチックサンデー&gt;花ざかりの君たちへ～イケメン☆パラダイス2011　芦屋瑞稀(前田敦子)は、佐野泉(中村蒼)や中津秀一(三浦翔平)らと夏休み中の生活費稼ぎのため、保健医の梅田(斎藤工)の姉・難波伊緒(山本未來)がオーナーを務める銭湯でアルバイトをした。そこで出会ったアルバイト大学生・蒔田高巳(阿部進之介)は、瑞稀になれなれしく接してくる。中津は瑞稀に「気をつけろ」と忠告するが、ある夜、蒔田に誘われ、車に乗った瑞稀は、車中で蒔田に襲われそうに!はたして瑞稀の運命は・・・!?  　一方、金稼ぎのため売っ"&amp;"てしまったガラクタが、実は理事長たちの親の遺品だったことを知った難波南(桐山漣)、天王寺恵(満島真之介)、オスカー・M・姫島(徳山秀典)の3寮長は、寮生に呼びかけてそれらをなんとか回収し、視察に来た理事長たちに謝る。去り際に、難波が「桜咲学園の廃校は免れないのか?」と聞くと、樹さくら(若村麻由美)は、「すべてを大人が決めているわけではない。お金を握っているのは大人。では子どもたちは何を握っているの?」と言い放つ。自分たちが握っているものが何なのか、自問する寮生たち・・・。  　夏休みも終わり、陸上の地方予"&amp;"選まであと2週間。佐野は予選に向けての準備を着々と進めていた。しかし、同じ陸上部の関目京悟(山田親太朗)はあることで悩んでいた・・・。前田敦子　    中村蒼　    三浦翔平　    桐山漣　  山田親太朗　  柳下大　  西井幸人　  鈴木勝大　    満島真之介　  徳山秀典　  佐藤祐基　    渡辺いっけい　  斎藤工　    石丸謙二郎　  奥田達士　    若村麻由美　    山本未來　  阿部進之介　  東風万智子　    ほか【原作】  「花ざかりの君たちへ」中条比紗也(白泉社「花とゆめ"&amp;"」)　    【脚本】  半澤律子【演出】  後藤庸介高見優　  河野伸　    【主題歌】  AKB48「フライングゲット」(キングレコード)フジテレビ　  共同テレビ")</f>
        <v>&lt;ドラマチックサンデー&gt;花ざかりの君たちへ～イケメン☆パラダイス2011　芦屋瑞稀(前田敦子)は、佐野泉(中村蒼)や中津秀一(三浦翔平)らと夏休み中の生活費稼ぎのため、保健医の梅田(斎藤工)の姉・難波伊緒(山本未來)がオーナーを務める銭湯でアルバイトをした。そこで出会ったアルバイト大学生・蒔田高巳(阿部進之介)は、瑞稀になれなれしく接してくる。中津は瑞稀に「気をつけろ」と忠告するが、ある夜、蒔田に誘われ、車に乗った瑞稀は、車中で蒔田に襲われそうに!はたして瑞稀の運命は・・・!?  　一方、金稼ぎのため売ってしまったガラクタが、実は理事長たちの親の遺品だったことを知った難波南(桐山漣)、天王寺恵(満島真之介)、オスカー・M・姫島(徳山秀典)の3寮長は、寮生に呼びかけてそれらをなんとか回収し、視察に来た理事長たちに謝る。去り際に、難波が「桜咲学園の廃校は免れないのか?」と聞くと、樹さくら(若村麻由美)は、「すべてを大人が決めているわけではない。お金を握っているのは大人。では子どもたちは何を握っているの?」と言い放つ。自分たちが握っているものが何なのか、自問する寮生たち・・・。  　夏休みも終わり、陸上の地方予選まであと2週間。佐野は予選に向けての準備を着々と進めていた。しかし、同じ陸上部の関目京悟(山田親太朗)はあることで悩んでいた・・・。前田敦子　    中村蒼　    三浦翔平　    桐山漣　  山田親太朗　  柳下大　  西井幸人　  鈴木勝大　    満島真之介　  徳山秀典　  佐藤祐基　    渡辺いっけい　  斎藤工　    石丸謙二郎　  奥田達士　    若村麻由美　    山本未來　  阿部進之介　  東風万智子　    ほか【原作】  「花ざかりの君たちへ」中条比紗也(白泉社「花とゆめ」)　    【脚本】  半澤律子【演出】  後藤庸介高見優　  河野伸　    【主題歌】  AKB48「フライングゲット」(キングレコード)フジテレビ　  共同テレビ</v>
      </c>
      <c r="N1437" s="2"/>
      <c r="O1437" s="2"/>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row>
    <row r="1438" ht="204.75" customHeight="1">
      <c r="A1438" s="1">
        <v>4322.0</v>
      </c>
      <c r="B1438" s="2" t="s">
        <v>4580</v>
      </c>
      <c r="C1438" s="2">
        <f>IFERROR(__xludf.DUMMYFUNCTION("split(B1438,""_"")"),1107.0)</f>
        <v>1107</v>
      </c>
      <c r="D1438" s="2" t="str">
        <f>IFERROR(__xludf.DUMMYFUNCTION("""COMPUTED_VALUE"""),"CX")</f>
        <v>CX</v>
      </c>
      <c r="E1438" s="2" t="str">
        <f>IFERROR(__xludf.DUMMYFUNCTION("""COMPUTED_VALUE"""),"日21")</f>
        <v>日21</v>
      </c>
      <c r="F1438" s="2" t="s">
        <v>4581</v>
      </c>
      <c r="G1438" s="2" t="s">
        <v>4600</v>
      </c>
      <c r="H1438" s="1">
        <v>7.0</v>
      </c>
      <c r="I1438" s="1" t="s">
        <v>25</v>
      </c>
      <c r="J1438" s="1" t="s">
        <v>11</v>
      </c>
      <c r="K1438" s="2" t="s">
        <v>4601</v>
      </c>
      <c r="L1438" s="8" t="s">
        <v>4602</v>
      </c>
      <c r="M1438" s="2" t="str">
        <f>IFERROR(__xludf.DUMMYFUNCTION("split(split(K1438,""芦屋瑞稀:"",false),""公式LINE"",false)"),"&lt;ドラマチックサンデー&gt;花ざかりの君たちへ～イケメン☆パラダイス2011　陸上競技の地方代表選考会が行われた。佐野泉(中村蒼)はハイジャンプで2回失敗してしまった。3回目に集中する佐野の姿を見守る中津秀一(三浦翔平)や関目京悟(山田親太朗)。  　佐野が試合から戻ると、部屋には芦屋瑞稀(前田敦子)の姿はなく、荷物もなくなっていた。そこへ中津がやって来た。中津は瑞稀を追いかけようと部屋を飛び出すが・・・。  　桜咲学園廃校まで、残された時間はあと1カ月。寮生たちは理事長の樹桜彦(石丸謙二郎)から転入先の希望"&amp;"を書いて提出するよう命じられる。焦る難波南(桐山漣)が、オスカー・M・姫島(徳山秀典)や天王寺恵(満島真之介)らと何か手はないかと考えていると、食堂に飾ってある創始者の額から、学園の歴史を記した書物が落ちてくる。そこには、戦後、同じように学園が潰れかけた時、ある催しを開いて寄付を募り危機を乗り越えた、とあった。それは3年に一度開かれてきた120年もの伝統あるダンスパーティーだった。そのために、パリからわざわざ花屋敷ひばり(岩佐真悠子)が帰国してきた。ひばりは、聖ブロッサム女学院の象徴的存在である生徒会長で"&amp;"、オスカーの最大のライバルでもあった。  　このダンスパーティーは、女子がパートナーとなる男子を見つけ、申し込まれた男子は断れない、という決まりになっていた。佐野に想いを寄せている岸里樹理(柏木由紀)は、このダンスパーティーに賭ける、と決意する・・・。前田敦子　    中村蒼　    三浦翔平　    桐山漣　  山田親太朗　  柳下大　  西井幸人　  鈴木勝大　    満島真之介　  徳山秀典　  佐藤祐基　    柏木由紀　    岩佐真悠子　    渡辺いっけい　    斎藤工　    石丸謙二郎"&amp;"　  奥田達士　    若村麻由美　    山本未來　    東風万智子　    ほか【原作】  「花ざかりの君たちへ」中条比紗也(白泉社「花とゆめ」)　    【脚本】  半澤律子【プロデュース】  後藤博幸　  森安彩    【演出】  都築淳一高見優　  河野伸　    【主題歌】  AKB48「フライングゲット」(キングレコード)フジテレビ　  共同テレビ")</f>
        <v>&lt;ドラマチックサンデー&gt;花ざかりの君たちへ～イケメン☆パラダイス2011　陸上競技の地方代表選考会が行われた。佐野泉(中村蒼)はハイジャンプで2回失敗してしまった。3回目に集中する佐野の姿を見守る中津秀一(三浦翔平)や関目京悟(山田親太朗)。  　佐野が試合から戻ると、部屋には芦屋瑞稀(前田敦子)の姿はなく、荷物もなくなっていた。そこへ中津がやって来た。中津は瑞稀を追いかけようと部屋を飛び出すが・・・。  　桜咲学園廃校まで、残された時間はあと1カ月。寮生たちは理事長の樹桜彦(石丸謙二郎)から転入先の希望を書いて提出するよう命じられる。焦る難波南(桐山漣)が、オスカー・M・姫島(徳山秀典)や天王寺恵(満島真之介)らと何か手はないかと考えていると、食堂に飾ってある創始者の額から、学園の歴史を記した書物が落ちてくる。そこには、戦後、同じように学園が潰れかけた時、ある催しを開いて寄付を募り危機を乗り越えた、とあった。それは3年に一度開かれてきた120年もの伝統あるダンスパーティーだった。そのために、パリからわざわざ花屋敷ひばり(岩佐真悠子)が帰国してきた。ひばりは、聖ブロッサム女学院の象徴的存在である生徒会長で、オスカーの最大のライバルでもあった。  　このダンスパーティーは、女子がパートナーとなる男子を見つけ、申し込まれた男子は断れない、という決まりになっていた。佐野に想いを寄せている岸里樹理(柏木由紀)は、このダンスパーティーに賭ける、と決意する・・・。前田敦子　    中村蒼　    三浦翔平　    桐山漣　  山田親太朗　  柳下大　  西井幸人　  鈴木勝大　    満島真之介　  徳山秀典　  佐藤祐基　    柏木由紀　    岩佐真悠子　    渡辺いっけい　    斎藤工　    石丸謙二郎　  奥田達士　    若村麻由美　    山本未來　    東風万智子　    ほか【原作】  「花ざかりの君たちへ」中条比紗也(白泉社「花とゆめ」)　    【脚本】  半澤律子【プロデュース】  後藤博幸　  森安彩    【演出】  都築淳一高見優　  河野伸　    【主題歌】  AKB48「フライングゲット」(キングレコード)フジテレビ　  共同テレビ</v>
      </c>
      <c r="N1438" s="2"/>
      <c r="O1438" s="2"/>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row>
    <row r="1439" ht="204.75" customHeight="1">
      <c r="A1439" s="1">
        <v>4323.0</v>
      </c>
      <c r="B1439" s="2" t="s">
        <v>4580</v>
      </c>
      <c r="C1439" s="2">
        <f>IFERROR(__xludf.DUMMYFUNCTION("split(B1439,""_"")"),1107.0)</f>
        <v>1107</v>
      </c>
      <c r="D1439" s="2" t="str">
        <f>IFERROR(__xludf.DUMMYFUNCTION("""COMPUTED_VALUE"""),"CX")</f>
        <v>CX</v>
      </c>
      <c r="E1439" s="2" t="str">
        <f>IFERROR(__xludf.DUMMYFUNCTION("""COMPUTED_VALUE"""),"日21")</f>
        <v>日21</v>
      </c>
      <c r="F1439" s="2" t="s">
        <v>4581</v>
      </c>
      <c r="G1439" s="2" t="s">
        <v>4603</v>
      </c>
      <c r="H1439" s="1">
        <v>8.0</v>
      </c>
      <c r="I1439" s="1" t="s">
        <v>29</v>
      </c>
      <c r="J1439" s="1" t="s">
        <v>11</v>
      </c>
      <c r="K1439" s="2" t="s">
        <v>4604</v>
      </c>
      <c r="L1439" s="8" t="s">
        <v>4605</v>
      </c>
      <c r="M1439" s="2" t="str">
        <f>IFERROR(__xludf.DUMMYFUNCTION("split(split(K1439,""芦屋瑞稀:"",false),""公式LINE"",false)"),"&lt;ドラマチックサンデー&gt;花ざかりの君たちへ～イケメン☆パラダイス2011　桜咲学園の廃校をなんとか阻止しようとダンスパーティーを開催した寮生たち。そのパーティーの後、部屋で踊る芦屋瑞稀(前田敦子)と佐野泉(中村蒼)を目撃してしまった中津秀一(三浦翔平)は、2人の気持ちに気づき、複雑な心境だった。それでも瑞稀やサッカー部員の放出光太(栗原吾郎)らの前ではあくまで明るく振る舞うのだった。  　瑞稀は、心の迷いを吹き飛ばすぐらい自分に気合いを入れるため、空手部に入部させてほしいと部長の天王寺恵(満島真之介)に申"&amp;"し出る。副部長の北花田剛(前田公輝)が相手をするが、一瞬でねじ伏せられる。  　その頃、食堂にはある訪問者が来ていた。遠慮のないその勢いに寮生たちは恐れ、第2寮長の難波南(桐山漣)ですら手に負えない。それは中津の母・かの子(濱田マリ)だった。そこへ中津が練習を終えて戻ってきた。かの子は、すぐに学校はなくなるのだから、大阪に帰ってきて仕事を継げ、と言うのだ。すぐと言っても、あと1カ月ある、と難波がかの子をなだめようとすると、校舎解体工事開始の通知が保護者に送られてきた、という。その通知を見てみると、なんと工"&amp;"事開始日は1週間後と書かれていた・・・。  　寮の表で瑞稀は桃郷学院の神楽坂真言(佐藤祐基)に呼び止められ、桜咲と桃郷の陸上合同練習のプリントを佐野に渡しておくよう託される。神楽坂は見知らぬ少年を連れていた。それは佐野森(横倉拓哉)といって佐野の弟だった。前田敦子　    中村蒼　    三浦翔平　    桐山漣　  山田親太朗　  柳下大　  西井幸人　  鈴木勝大　    満島真之介　  徳山秀典　  佐藤祐基　    柏木由紀　    渡辺いっけい　    斎藤工　    石丸謙二郎　  奥田達士　"&amp;"    若村麻由美　    鶴見辰吾　    濱田マリ　    横倉拓哉　    ほか【原作】  「花ざかりの君たちへ」中条比紗也(白泉社「花とゆめ」)　    【脚本】  山上ちはる【プロデュース】  後藤博幸　  森安彩　    【演出】  松田秀知高見優　  河野伸　    【主題歌】  AKB48「フライングゲット」(キングレコード)フジテレビ　  共同テレビ")</f>
        <v>&lt;ドラマチックサンデー&gt;花ざかりの君たちへ～イケメン☆パラダイス2011　桜咲学園の廃校をなんとか阻止しようとダンスパーティーを開催した寮生たち。そのパーティーの後、部屋で踊る芦屋瑞稀(前田敦子)と佐野泉(中村蒼)を目撃してしまった中津秀一(三浦翔平)は、2人の気持ちに気づき、複雑な心境だった。それでも瑞稀やサッカー部員の放出光太(栗原吾郎)らの前ではあくまで明るく振る舞うのだった。  　瑞稀は、心の迷いを吹き飛ばすぐらい自分に気合いを入れるため、空手部に入部させてほしいと部長の天王寺恵(満島真之介)に申し出る。副部長の北花田剛(前田公輝)が相手をするが、一瞬でねじ伏せられる。  　その頃、食堂にはある訪問者が来ていた。遠慮のないその勢いに寮生たちは恐れ、第2寮長の難波南(桐山漣)ですら手に負えない。それは中津の母・かの子(濱田マリ)だった。そこへ中津が練習を終えて戻ってきた。かの子は、すぐに学校はなくなるのだから、大阪に帰ってきて仕事を継げ、と言うのだ。すぐと言っても、あと1カ月ある、と難波がかの子をなだめようとすると、校舎解体工事開始の通知が保護者に送られてきた、という。その通知を見てみると、なんと工事開始日は1週間後と書かれていた・・・。  　寮の表で瑞稀は桃郷学院の神楽坂真言(佐藤祐基)に呼び止められ、桜咲と桃郷の陸上合同練習のプリントを佐野に渡しておくよう託される。神楽坂は見知らぬ少年を連れていた。それは佐野森(横倉拓哉)といって佐野の弟だった。前田敦子　    中村蒼　    三浦翔平　    桐山漣　  山田親太朗　  柳下大　  西井幸人　  鈴木勝大　    満島真之介　  徳山秀典　  佐藤祐基　    柏木由紀　    渡辺いっけい　    斎藤工　    石丸謙二郎　  奥田達士　    若村麻由美　    鶴見辰吾　    濱田マリ　    横倉拓哉　    ほか【原作】  「花ざかりの君たちへ」中条比紗也(白泉社「花とゆめ」)　    【脚本】  山上ちはる【プロデュース】  後藤博幸　  森安彩　    【演出】  松田秀知高見優　  河野伸　    【主題歌】  AKB48「フライングゲット」(キングレコード)フジテレビ　  共同テレビ</v>
      </c>
      <c r="N1439" s="2"/>
      <c r="O1439" s="2"/>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row>
    <row r="1440" ht="204.75" customHeight="1">
      <c r="A1440" s="1">
        <v>4324.0</v>
      </c>
      <c r="B1440" s="2" t="s">
        <v>4580</v>
      </c>
      <c r="C1440" s="2">
        <f>IFERROR(__xludf.DUMMYFUNCTION("split(B1440,""_"")"),1107.0)</f>
        <v>1107</v>
      </c>
      <c r="D1440" s="2" t="str">
        <f>IFERROR(__xludf.DUMMYFUNCTION("""COMPUTED_VALUE"""),"CX")</f>
        <v>CX</v>
      </c>
      <c r="E1440" s="2" t="str">
        <f>IFERROR(__xludf.DUMMYFUNCTION("""COMPUTED_VALUE"""),"日21")</f>
        <v>日21</v>
      </c>
      <c r="F1440" s="2" t="s">
        <v>4581</v>
      </c>
      <c r="G1440" s="2" t="s">
        <v>4606</v>
      </c>
      <c r="H1440" s="1">
        <v>9.0</v>
      </c>
      <c r="I1440" s="1" t="s">
        <v>33</v>
      </c>
      <c r="J1440" s="1" t="s">
        <v>11</v>
      </c>
      <c r="K1440" s="2" t="s">
        <v>4607</v>
      </c>
      <c r="L1440" s="8" t="s">
        <v>4608</v>
      </c>
      <c r="M1440" s="2" t="str">
        <f>IFERROR(__xludf.DUMMYFUNCTION("split(split(K1440,""芦屋瑞稀:"",false),""公式LINE"",false)"),"&lt;ドラマチックサンデー&gt;花ざかりの君たちへ～イケメン☆パラダイス2011　芦屋瑞稀(前田敦子)は、絶縁状態の佐野泉(中村蒼)と元ハイジャンプ選手の父・岳彦(鶴見辰吾)の確執に首を突っ込み、佐野とけんかしてしまった。一人涙を流す瑞稀を優しく抱きしめ、「俺にしろよ」と言う中津秀一(三浦翔平)に瑞稀は・・・。  　桜咲学園の校舎取り壊しまで1週間を切った。難波南(桐山漣)らが集めた署名も効力はなく、寮生たちに残された希望は佐野の優勝のみだった。普段は何かと競い合う1寮や3寮も、一致団結して2寮の佐野を応援すると"&amp;"盛り上がる。そんな中、桜咲学園に女が紛れ込んでいるらしい、という噂がささやかれ始めていた。  　瑞稀は佐野と喧嘩して以来、他の部屋に寝泊まりをしていたが、佐野の試合での勝利を願って、中央千里(西井幸人)とお守りを作る。  　一方、中津の元に再び母のかの子(濱田マリ)が、大阪に戻ってくるよう説得しにやって来た。その時、野江伸二(鈴木勝大)と桂真史(松島庄汰)が「大変だ!」と飛びこんできた。まだ取り壊しの期限前だというのに学校が潰されるというのだ!瑞稀や中津は急いで校舎へ走るが、そこに陸上誌記者の烏丸絹子(東"&amp;"風万智子)から瑞稀の携帯に連絡が入る。それは佐野の父が倒れた、という知らせだった・・・。前田敦子　    中村蒼　    三浦翔平　    桐山漣　  山田親太朗　  柳下大　  西井幸人　  鈴木勝大　    満島真之介　  徳山秀典　  佐藤祐基　    柏木由紀　    渡辺いっけい　    斎藤工　    石丸謙二郎　  奥田達士　    若村麻由美　    鶴見辰吾　    濱田マリ　    東風万智子　    横倉拓哉　    ほか【原作】  「花ざかりの君たちへ」中条比紗也(白泉社「花とゆめ"&amp;"」)　    【脚本】  半澤律子【プロデュース】  後藤博幸　  森安彩　    【演出】  後藤庸介高見優　  河野伸　    【主題歌】  AKB48「フライングゲット」(キングレコード)フジテレビ　  共同テレビ")</f>
        <v>&lt;ドラマチックサンデー&gt;花ざかりの君たちへ～イケメン☆パラダイス2011　芦屋瑞稀(前田敦子)は、絶縁状態の佐野泉(中村蒼)と元ハイジャンプ選手の父・岳彦(鶴見辰吾)の確執に首を突っ込み、佐野とけんかしてしまった。一人涙を流す瑞稀を優しく抱きしめ、「俺にしろよ」と言う中津秀一(三浦翔平)に瑞稀は・・・。  　桜咲学園の校舎取り壊しまで1週間を切った。難波南(桐山漣)らが集めた署名も効力はなく、寮生たちに残された希望は佐野の優勝のみだった。普段は何かと競い合う1寮や3寮も、一致団結して2寮の佐野を応援すると盛り上がる。そんな中、桜咲学園に女が紛れ込んでいるらしい、という噂がささやかれ始めていた。  　瑞稀は佐野と喧嘩して以来、他の部屋に寝泊まりをしていたが、佐野の試合での勝利を願って、中央千里(西井幸人)とお守りを作る。  　一方、中津の元に再び母のかの子(濱田マリ)が、大阪に戻ってくるよう説得しにやって来た。その時、野江伸二(鈴木勝大)と桂真史(松島庄汰)が「大変だ!」と飛びこんできた。まだ取り壊しの期限前だというのに学校が潰されるというのだ!瑞稀や中津は急いで校舎へ走るが、そこに陸上誌記者の烏丸絹子(東風万智子)から瑞稀の携帯に連絡が入る。それは佐野の父が倒れた、という知らせだった・・・。前田敦子　    中村蒼　    三浦翔平　    桐山漣　  山田親太朗　  柳下大　  西井幸人　  鈴木勝大　    満島真之介　  徳山秀典　  佐藤祐基　    柏木由紀　    渡辺いっけい　    斎藤工　    石丸謙二郎　  奥田達士　    若村麻由美　    鶴見辰吾　    濱田マリ　    東風万智子　    横倉拓哉　    ほか【原作】  「花ざかりの君たちへ」中条比紗也(白泉社「花とゆめ」)　    【脚本】  半澤律子【プロデュース】  後藤博幸　  森安彩　    【演出】  後藤庸介高見優　  河野伸　    【主題歌】  AKB48「フライングゲット」(キングレコード)フジテレビ　  共同テレビ</v>
      </c>
      <c r="N1440" s="2"/>
      <c r="O1440" s="2"/>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row>
    <row r="1441" ht="204.75" customHeight="1">
      <c r="A1441" s="1">
        <v>4325.0</v>
      </c>
      <c r="B1441" s="2" t="s">
        <v>4580</v>
      </c>
      <c r="C1441" s="2">
        <f>IFERROR(__xludf.DUMMYFUNCTION("split(B1441,""_"")"),1107.0)</f>
        <v>1107</v>
      </c>
      <c r="D1441" s="2" t="str">
        <f>IFERROR(__xludf.DUMMYFUNCTION("""COMPUTED_VALUE"""),"CX")</f>
        <v>CX</v>
      </c>
      <c r="E1441" s="2" t="str">
        <f>IFERROR(__xludf.DUMMYFUNCTION("""COMPUTED_VALUE"""),"日21")</f>
        <v>日21</v>
      </c>
      <c r="F1441" s="2" t="s">
        <v>4581</v>
      </c>
      <c r="G1441" s="2" t="s">
        <v>4609</v>
      </c>
      <c r="H1441" s="1">
        <v>10.0</v>
      </c>
      <c r="I1441" s="1" t="s">
        <v>37</v>
      </c>
      <c r="J1441" s="1" t="s">
        <v>11</v>
      </c>
      <c r="K1441" s="2" t="s">
        <v>4610</v>
      </c>
      <c r="L1441" s="8" t="s">
        <v>4611</v>
      </c>
      <c r="M1441" s="2" t="str">
        <f>IFERROR(__xludf.DUMMYFUNCTION("split(split(K1441,""芦屋瑞稀:"",false),""公式LINE"",false)"),"&lt;ドラマチックサンデー&gt;花ざかりの君たちへ～イケメン☆パラダイス2011　寮の図書スペースで脚立から落ち、意識を失った芦屋瑞稀(前田敦子)を介抱した中津秀一(三浦翔平)は、瑞稀が女だということを知ってしまった。男だと思い込みながらも瑞稀に想いを寄せていた中津は動揺を隠せない。  　難波南(桐山漣)、天王寺恵(満島真之介)、オスカー・M・姫島(徳山秀典)の3寮長は、理事長に呼び出され、桜咲学園に女子が1人紛れ込んでいるという噂についての真偽を問われる。寮内でもその噂は一気に広まり、犯人捜しの空気に瑞稀は生き"&amp;"た心地がしない。体育館の倉庫で女子が着替えていた、という目撃談がそもそもの噂の発端だったため、体育館の裏口で張り込む3寮長。その時、裏口から出てきたのは・・・瑞稀だった。  　部屋に戻った瑞稀は3寮長から事情を聴かれ、ついに覚悟を決めて男子ではないことを白状する。さらに、自分が一番苦しんでいた時に心の支えになってくれた佐野泉(中村蒼)の力になりたくて、桜咲学園にもぐり込んだことも打ち明ける。その様子を部屋の外で聞いていた佐野は、自分も知っていて黙っていたから同罪だ、と割って入る。  　寮の食堂では、女子が"&amp;"誰なのか?という噂でもちきりだった。寮生たちは中央千里(西井幸人)や門真将太郎(岡山智樹)など、女子っぽい生徒に次々と疑いをかける。その矛先がついに瑞稀に向けられ、窮地に立たされた瑞稀は・・・。前田敦子　    中村蒼　    三浦翔平　    桐山漣　  山田親太朗　  柳下大　  西井幸人　  鈴木勝大　    満島真之介　  徳山秀典　  佐藤祐基　    柏木由紀　    渡辺いっけい　    斎藤工　    石丸謙二郎　  奥田達士　    若村麻由美　    濱田マリ　    ほか【原作】  "&amp;"「花ざかりの君たちへ」中条比紗也(白泉社「花とゆめ」)　    【脚本】  山上ちはる【プロデュース】  後藤博幸　  森安彩　    【演出】  都築淳一高見優　  河野伸　    【主題歌】  AKB48「フライングゲット」(キングレコード)フジテレビ　  共同テレビ")</f>
        <v>&lt;ドラマチックサンデー&gt;花ざかりの君たちへ～イケメン☆パラダイス2011　寮の図書スペースで脚立から落ち、意識を失った芦屋瑞稀(前田敦子)を介抱した中津秀一(三浦翔平)は、瑞稀が女だということを知ってしまった。男だと思い込みながらも瑞稀に想いを寄せていた中津は動揺を隠せない。  　難波南(桐山漣)、天王寺恵(満島真之介)、オスカー・M・姫島(徳山秀典)の3寮長は、理事長に呼び出され、桜咲学園に女子が1人紛れ込んでいるという噂についての真偽を問われる。寮内でもその噂は一気に広まり、犯人捜しの空気に瑞稀は生きた心地がしない。体育館の倉庫で女子が着替えていた、という目撃談がそもそもの噂の発端だったため、体育館の裏口で張り込む3寮長。その時、裏口から出てきたのは・・・瑞稀だった。  　部屋に戻った瑞稀は3寮長から事情を聴かれ、ついに覚悟を決めて男子ではないことを白状する。さらに、自分が一番苦しんでいた時に心の支えになってくれた佐野泉(中村蒼)の力になりたくて、桜咲学園にもぐり込んだことも打ち明ける。その様子を部屋の外で聞いていた佐野は、自分も知っていて黙っていたから同罪だ、と割って入る。  　寮の食堂では、女子が誰なのか?という噂でもちきりだった。寮生たちは中央千里(西井幸人)や門真将太郎(岡山智樹)など、女子っぽい生徒に次々と疑いをかける。その矛先がついに瑞稀に向けられ、窮地に立たされた瑞稀は・・・。前田敦子　    中村蒼　    三浦翔平　    桐山漣　  山田親太朗　  柳下大　  西井幸人　  鈴木勝大　    満島真之介　  徳山秀典　  佐藤祐基　    柏木由紀　    渡辺いっけい　    斎藤工　    石丸謙二郎　  奥田達士　    若村麻由美　    濱田マリ　    ほか【原作】  「花ざかりの君たちへ」中条比紗也(白泉社「花とゆめ」)　    【脚本】  山上ちはる【プロデュース】  後藤博幸　  森安彩　    【演出】  都築淳一高見優　  河野伸　    【主題歌】  AKB48「フライングゲット」(キングレコード)フジテレビ　  共同テレビ</v>
      </c>
      <c r="N1441" s="2"/>
      <c r="O1441" s="2"/>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row>
    <row r="1442" ht="204.75" customHeight="1">
      <c r="A1442" s="1">
        <v>4326.0</v>
      </c>
      <c r="B1442" s="2" t="s">
        <v>4580</v>
      </c>
      <c r="C1442" s="2">
        <f>IFERROR(__xludf.DUMMYFUNCTION("split(B1442,""_"")"),1107.0)</f>
        <v>1107</v>
      </c>
      <c r="D1442" s="2" t="str">
        <f>IFERROR(__xludf.DUMMYFUNCTION("""COMPUTED_VALUE"""),"CX")</f>
        <v>CX</v>
      </c>
      <c r="E1442" s="2" t="str">
        <f>IFERROR(__xludf.DUMMYFUNCTION("""COMPUTED_VALUE"""),"日21")</f>
        <v>日21</v>
      </c>
      <c r="F1442" s="2" t="s">
        <v>4581</v>
      </c>
      <c r="G1442" s="2" t="s">
        <v>4612</v>
      </c>
      <c r="H1442" s="1">
        <v>11.0</v>
      </c>
      <c r="I1442" s="1" t="s">
        <v>41</v>
      </c>
      <c r="J1442" s="1" t="s">
        <v>11</v>
      </c>
      <c r="K1442" s="2" t="s">
        <v>4613</v>
      </c>
      <c r="L1442" s="8" t="s">
        <v>4614</v>
      </c>
      <c r="M1442" s="2" t="str">
        <f>IFERROR(__xludf.DUMMYFUNCTION("split(split(K1442,""芦屋瑞稀:"",false),""公式LINE"",false)"),"&lt;ドラマチックサンデー&gt;花ざかりの君たちへ～イケメン☆パラダイス2011　陸上競技の大会で芦屋瑞稀(前田敦子)が声援を送るなか、佐野泉(中村蒼)は見事なハイジャンプを見せ、大会新記録を出した。しかし、瑞稀が女であることがついに学園長たちの耳にも入ってしまった。  　大会が終わり、瑞稀が部屋に戻ると、佐野と中津秀一(三浦翔平)が待っていた。2人には桜咲学園を出て行くことを告げ、瑞稀は荷物を持って寮を後にする。　瑞稀が思い出の詰まった学園の教室に向かうと、そこに保健医の梅田北斗(斎藤工)が現れ、これまでの3カ"&amp;"月間の思いを吐き出せ、と言われ・・・。  　瑞稀が出て行った後、寮生たちはいよいよ迫った廃校式を控え、寮の片付けや掃除に追われる。すると花屋敷ひばり(岩佐真悠子)や神楽坂真言(佐藤祐基)が訪ねてきた。今回の騒ぎで寮長3人が退学させられるところを、瑞稀一人で責任を取ったらしい、という話を神楽坂から聞き、自分たちが瑞稀に何かを返さなければ、という思いに駆られた3寮長はじめ寮生たちは・・・。前田敦子　    中村蒼　    三浦翔平　    桐山漣　  山田親太朗　  柳下大　  西井幸人　  鈴木勝大　   "&amp;" 満島真之介　  徳山秀典　  佐藤祐基　    柏木由紀　    岩佐真悠子　    渡辺いっけい　    斎藤工　    石丸謙二郎　  奥田達士　    若村麻由美　    山本未來　    濱田マリ　    ほか【原作】  「花ざかりの君たちへ」中条比紗也(白泉社「花とゆめ」)　    【脚本】  半澤律子【プロデュース】  後藤博幸　  森安彩　    【演出】  松田秀知高見優　  河野伸　    【主題歌】  AKB48「フライングゲット」(キングレコード)フジテレビ　  共同テレビ")</f>
        <v>&lt;ドラマチックサンデー&gt;花ざかりの君たちへ～イケメン☆パラダイス2011　陸上競技の大会で芦屋瑞稀(前田敦子)が声援を送るなか、佐野泉(中村蒼)は見事なハイジャンプを見せ、大会新記録を出した。しかし、瑞稀が女であることがついに学園長たちの耳にも入ってしまった。  　大会が終わり、瑞稀が部屋に戻ると、佐野と中津秀一(三浦翔平)が待っていた。2人には桜咲学園を出て行くことを告げ、瑞稀は荷物を持って寮を後にする。　瑞稀が思い出の詰まった学園の教室に向かうと、そこに保健医の梅田北斗(斎藤工)が現れ、これまでの3カ月間の思いを吐き出せ、と言われ・・・。  　瑞稀が出て行った後、寮生たちはいよいよ迫った廃校式を控え、寮の片付けや掃除に追われる。すると花屋敷ひばり(岩佐真悠子)や神楽坂真言(佐藤祐基)が訪ねてきた。今回の騒ぎで寮長3人が退学させられるところを、瑞稀一人で責任を取ったらしい、という話を神楽坂から聞き、自分たちが瑞稀に何かを返さなければ、という思いに駆られた3寮長はじめ寮生たちは・・・。前田敦子　    中村蒼　    三浦翔平　    桐山漣　  山田親太朗　  柳下大　  西井幸人　  鈴木勝大　    満島真之介　  徳山秀典　  佐藤祐基　    柏木由紀　    岩佐真悠子　    渡辺いっけい　    斎藤工　    石丸謙二郎　  奥田達士　    若村麻由美　    山本未來　    濱田マリ　    ほか【原作】  「花ざかりの君たちへ」中条比紗也(白泉社「花とゆめ」)　    【脚本】  半澤律子【プロデュース】  後藤博幸　  森安彩　    【演出】  松田秀知高見優　  河野伸　    【主題歌】  AKB48「フライングゲット」(キングレコード)フジテレビ　  共同テレビ</v>
      </c>
      <c r="N1442" s="2"/>
      <c r="O1442" s="2"/>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row>
    <row r="1443" ht="204.75" customHeight="1">
      <c r="A1443" s="1">
        <v>4331.0</v>
      </c>
      <c r="B1443" s="2" t="s">
        <v>4615</v>
      </c>
      <c r="C1443" s="2">
        <f>IFERROR(__xludf.DUMMYFUNCTION("split(B1443,""_"")"),1104.0)</f>
        <v>1104</v>
      </c>
      <c r="D1443" s="2" t="str">
        <f>IFERROR(__xludf.DUMMYFUNCTION("""COMPUTED_VALUE"""),"CX")</f>
        <v>CX</v>
      </c>
      <c r="E1443" s="2" t="str">
        <f>IFERROR(__xludf.DUMMYFUNCTION("""COMPUTED_VALUE"""),"月21")</f>
        <v>月21</v>
      </c>
      <c r="F1443" s="2" t="s">
        <v>4616</v>
      </c>
      <c r="G1443" s="2" t="s">
        <v>4617</v>
      </c>
      <c r="H1443" s="1">
        <v>1.0</v>
      </c>
      <c r="I1443" s="1" t="s">
        <v>3</v>
      </c>
      <c r="J1443" s="1" t="s">
        <v>4</v>
      </c>
      <c r="K1443" s="4" t="s">
        <v>4618</v>
      </c>
      <c r="L1443" s="2" t="s">
        <v>4619</v>
      </c>
      <c r="M1443" s="2" t="str">
        <f>IFERROR(__xludf.DUMMYFUNCTION("split(split(K1443,""香取慎吾　"",false),""公式LINE"",false)"),"高倉純平(香取慎吾)は結婚情報サービス「B-ring」のアドバイザー。信念を持って仲をとりもち、離婚率ゼロを誇る彼のもとに、美しく一流会社勤務という女性柳沢春菜(黒木メイサ)がやってくる。純平の後輩、桜木まりか(仲里依紗)はそんな美しい女性が訪れたことをあやしむ。純平に一生お金に困らなければ誰でもいいという条件を述べた春菜に純平はお引き取り願う。が翌日、間違えて持ち帰った純平のペンを返すためB-ringを訪れ、それをきっかけに春菜は正式に登録する。輝かしい肩書き、春菜に似合う人をと早速ある会員小松原(大倉"&amp;"孝二)を紹介するが男性側があまりの春菜の美しさに怖じ気づき逃げ出してしまう。純平は春菜を気遣い自分が相手となってシミュレーションデートに誘うのだった。2人で気持ちのいい汗を流す内いつしか純平はひとときを心から楽しんでしまっていた。歯の痛みを訴え歯科を尋ねてきた純平に、親友の上野隆雄(綾部祐二)も歯が痛くなるのは恋が始まる証拠と純平をからかう。さらに矢代英彦(藤木直人)と名乗る男性がB-ringを訪れる。実は結婚式を終えたばかりでおなかの大きい妻を持つ彼が結婚相談所を訪れた理由とは。")</f>
        <v>高倉純平(香取慎吾)は結婚情報サービス「B-ring」のアドバイザー。信念を持って仲をとりもち、離婚率ゼロを誇る彼のもとに、美しく一流会社勤務という女性柳沢春菜(黒木メイサ)がやってくる。純平の後輩、桜木まりか(仲里依紗)はそんな美しい女性が訪れたことをあやしむ。純平に一生お金に困らなければ誰でもいいという条件を述べた春菜に純平はお引き取り願う。が翌日、間違えて持ち帰った純平のペンを返すためB-ringを訪れ、それをきっかけに春菜は正式に登録する。輝かしい肩書き、春菜に似合う人をと早速ある会員小松原(大倉孝二)を紹介するが男性側があまりの春菜の美しさに怖じ気づき逃げ出してしまう。純平は春菜を気遣い自分が相手となってシミュレーションデートに誘うのだった。2人で気持ちのいい汗を流す内いつしか純平はひとときを心から楽しんでしまっていた。歯の痛みを訴え歯科を尋ねてきた純平に、親友の上野隆雄(綾部祐二)も歯が痛くなるのは恋が始まる証拠と純平をからかう。さらに矢代英彦(藤木直人)と名乗る男性がB-ringを訪れる。実は結婚式を終えたばかりでおなかの大きい妻を持つ彼が結婚相談所を訪れた理由とは。</v>
      </c>
      <c r="N1443" s="2"/>
      <c r="O1443" s="2"/>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row>
    <row r="1444" ht="204.75" customHeight="1">
      <c r="A1444" s="1">
        <v>4332.0</v>
      </c>
      <c r="B1444" s="2" t="s">
        <v>4615</v>
      </c>
      <c r="C1444" s="2">
        <f>IFERROR(__xludf.DUMMYFUNCTION("split(B1444,""_"")"),1104.0)</f>
        <v>1104</v>
      </c>
      <c r="D1444" s="2" t="str">
        <f>IFERROR(__xludf.DUMMYFUNCTION("""COMPUTED_VALUE"""),"CX")</f>
        <v>CX</v>
      </c>
      <c r="E1444" s="2" t="str">
        <f>IFERROR(__xludf.DUMMYFUNCTION("""COMPUTED_VALUE"""),"月21")</f>
        <v>月21</v>
      </c>
      <c r="F1444" s="2" t="s">
        <v>4616</v>
      </c>
      <c r="G1444" s="2" t="s">
        <v>4620</v>
      </c>
      <c r="H1444" s="1">
        <v>2.0</v>
      </c>
      <c r="I1444" s="1" t="s">
        <v>7</v>
      </c>
      <c r="J1444" s="1" t="s">
        <v>11</v>
      </c>
      <c r="K1444" s="2" t="s">
        <v>4621</v>
      </c>
      <c r="L1444" s="2" t="s">
        <v>4622</v>
      </c>
      <c r="M1444" s="2" t="str">
        <f>IFERROR(__xludf.DUMMYFUNCTION("split(split(K1444,""香取慎吾　"",false),""公式LINE"",false)"),"春菜(黒木メイサ)同様自分自身も結婚前に相手に去られてしまう、という辛い経験をしている純平(香取慎吾)は、「必ず幸せにしてみせる」と春菜に宣言してから、春菜の幸せのために過去の恋の傷を乗り越えてもらえるよう、全力で励ますのだった。  　そんなまっすぐな気持ちをぶつけてくる純平に春菜も次第に心を許すようになるのだった。  　同じ頃、結婚情報サービス「B-ring」に入会してきた謎の男、矢代(藤木直人)は「B-ring」を訪れていた春菜を見つけるなりいきなり、「僕とお見合いしませんか」と声をかける。  　純平"&amp;"だけでなく、矢代担当のまりか(仲里依紗)も驚くのだったが矢代はいっこうに解せず春菜を紹介してほしいの一点張り。  　そんな時、純平が春菜に最初に紹介したものの春菜の美しさの前におじけづいて逃げ出してしまった男性・小松原(大倉孝二)が、春菜ともう一度お見合いをさせてほしいと訴えてきた。純平は思案した結果、「お見合い合コン」を思いつく。純平は緊張しがちな小松原の負担を軽くしてあげようと、3対3の合コン形式によるお見合いを提案、小松原の他、矢代にも参加してもらうことにしたのだ。  　が、事態は純平の思わぬ方向に"&amp;"動き出し、積極的に春菜に迫る矢代と対照的に話しかけられない小松原。が、意外にも春菜の方が合コン後に「デートしましょう」と小松原を誘う。春菜の行動に、矢代も純平も驚きを隠せない。")</f>
        <v>春菜(黒木メイサ)同様自分自身も結婚前に相手に去られてしまう、という辛い経験をしている純平(香取慎吾)は、「必ず幸せにしてみせる」と春菜に宣言してから、春菜の幸せのために過去の恋の傷を乗り越えてもらえるよう、全力で励ますのだった。  　そんなまっすぐな気持ちをぶつけてくる純平に春菜も次第に心を許すようになるのだった。  　同じ頃、結婚情報サービス「B-ring」に入会してきた謎の男、矢代(藤木直人)は「B-ring」を訪れていた春菜を見つけるなりいきなり、「僕とお見合いしませんか」と声をかける。  　純平だけでなく、矢代担当のまりか(仲里依紗)も驚くのだったが矢代はいっこうに解せず春菜を紹介してほしいの一点張り。  　そんな時、純平が春菜に最初に紹介したものの春菜の美しさの前におじけづいて逃げ出してしまった男性・小松原(大倉孝二)が、春菜ともう一度お見合いをさせてほしいと訴えてきた。純平は思案した結果、「お見合い合コン」を思いつく。純平は緊張しがちな小松原の負担を軽くしてあげようと、3対3の合コン形式によるお見合いを提案、小松原の他、矢代にも参加してもらうことにしたのだ。  　が、事態は純平の思わぬ方向に動き出し、積極的に春菜に迫る矢代と対照的に話しかけられない小松原。が、意外にも春菜の方が合コン後に「デートしましょう」と小松原を誘う。春菜の行動に、矢代も純平も驚きを隠せない。</v>
      </c>
      <c r="N1444" s="2"/>
      <c r="O1444" s="2"/>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row>
    <row r="1445" ht="204.75" customHeight="1">
      <c r="A1445" s="1">
        <v>4333.0</v>
      </c>
      <c r="B1445" s="2" t="s">
        <v>4615</v>
      </c>
      <c r="C1445" s="2">
        <f>IFERROR(__xludf.DUMMYFUNCTION("split(B1445,""_"")"),1104.0)</f>
        <v>1104</v>
      </c>
      <c r="D1445" s="2" t="str">
        <f>IFERROR(__xludf.DUMMYFUNCTION("""COMPUTED_VALUE"""),"CX")</f>
        <v>CX</v>
      </c>
      <c r="E1445" s="2" t="str">
        <f>IFERROR(__xludf.DUMMYFUNCTION("""COMPUTED_VALUE"""),"月21")</f>
        <v>月21</v>
      </c>
      <c r="F1445" s="2" t="s">
        <v>4616</v>
      </c>
      <c r="G1445" s="2" t="s">
        <v>4623</v>
      </c>
      <c r="H1445" s="1">
        <v>3.0</v>
      </c>
      <c r="I1445" s="1" t="s">
        <v>10</v>
      </c>
      <c r="J1445" s="1" t="s">
        <v>11</v>
      </c>
      <c r="K1445" s="2" t="s">
        <v>4624</v>
      </c>
      <c r="L1445" s="2" t="s">
        <v>4625</v>
      </c>
      <c r="M1445" s="2" t="str">
        <f>IFERROR(__xludf.DUMMYFUNCTION("split(split(K1445,""香取慎吾　"",false),""公式LINE"",false)"),"高倉純平(香取慎吾)が担当した『B-ring』の会員たちは、次々と結ばれていく。純平担当の訳ありな会員、柳沢春菜(黒木メイサ)も小松原進(大倉孝二)との真剣な交際を希望してきた。いつもなら喜ぶ純平だが、今回はスッキリとしない。また、純平は春菜が小松原との交際を申し出た時、矢代英彦(藤木直人)に言われたことも気になっていた。純平も春菜と小松原の交際にショックを受けているのではないか?と…。　そんな思いを振り切ろうと、純平は春菜と小松原のデートプランを組む。そんな時『B-ring』に、純平を通して小松原とも知"&amp;"り合いになった上野隆雄(綾部祐二)が会員申し込みに。担当となった桜木まりか(仲里依紗)は上野の軽さにあきれる。しかし、純平の情報を聞き出せると踏んだまりかは、上野の入会を受け付けた。上野が入会できたと小松原に報告していると矢代が現れた。春菜との交際の進み具合を尋ねる矢代に、小松原は純平が作ってくれたデートプランを見せてしまう。  　純平に付き添われる形で小松原と春菜のデートが実現。まずは、小松原が得意だというボウリング場からスタートした。初めはギクシャクしていたが、次第に打ち解けてゲームを楽しみ始める春菜"&amp;"と小松原。そんな2人を見ている純平の思いは少々複雑。と、そこにまりかと矢代がやって来た。矢代に頼まれたシミュレーションデートだと言うまりかに、純平は…。")</f>
        <v>高倉純平(香取慎吾)が担当した『B-ring』の会員たちは、次々と結ばれていく。純平担当の訳ありな会員、柳沢春菜(黒木メイサ)も小松原進(大倉孝二)との真剣な交際を希望してきた。いつもなら喜ぶ純平だが、今回はスッキリとしない。また、純平は春菜が小松原との交際を申し出た時、矢代英彦(藤木直人)に言われたことも気になっていた。純平も春菜と小松原の交際にショックを受けているのではないか?と…。　そんな思いを振り切ろうと、純平は春菜と小松原のデートプランを組む。そんな時『B-ring』に、純平を通して小松原とも知り合いになった上野隆雄(綾部祐二)が会員申し込みに。担当となった桜木まりか(仲里依紗)は上野の軽さにあきれる。しかし、純平の情報を聞き出せると踏んだまりかは、上野の入会を受け付けた。上野が入会できたと小松原に報告していると矢代が現れた。春菜との交際の進み具合を尋ねる矢代に、小松原は純平が作ってくれたデートプランを見せてしまう。  　純平に付き添われる形で小松原と春菜のデートが実現。まずは、小松原が得意だというボウリング場からスタートした。初めはギクシャクしていたが、次第に打ち解けてゲームを楽しみ始める春菜と小松原。そんな2人を見ている純平の思いは少々複雑。と、そこにまりかと矢代がやって来た。矢代に頼まれたシミュレーションデートだと言うまりかに、純平は…。</v>
      </c>
      <c r="N1445" s="2"/>
      <c r="O1445" s="2"/>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row>
    <row r="1446" ht="204.75" customHeight="1">
      <c r="A1446" s="1">
        <v>4334.0</v>
      </c>
      <c r="B1446" s="2" t="s">
        <v>4615</v>
      </c>
      <c r="C1446" s="2">
        <f>IFERROR(__xludf.DUMMYFUNCTION("split(B1446,""_"")"),1104.0)</f>
        <v>1104</v>
      </c>
      <c r="D1446" s="2" t="str">
        <f>IFERROR(__xludf.DUMMYFUNCTION("""COMPUTED_VALUE"""),"CX")</f>
        <v>CX</v>
      </c>
      <c r="E1446" s="2" t="str">
        <f>IFERROR(__xludf.DUMMYFUNCTION("""COMPUTED_VALUE"""),"月21")</f>
        <v>月21</v>
      </c>
      <c r="F1446" s="2" t="s">
        <v>4616</v>
      </c>
      <c r="G1446" s="2" t="s">
        <v>4626</v>
      </c>
      <c r="H1446" s="1">
        <v>4.0</v>
      </c>
      <c r="I1446" s="1" t="s">
        <v>14</v>
      </c>
      <c r="J1446" s="1" t="s">
        <v>11</v>
      </c>
      <c r="K1446" s="2" t="s">
        <v>4627</v>
      </c>
      <c r="L1446" s="2" t="s">
        <v>4628</v>
      </c>
      <c r="M1446" s="2" t="str">
        <f>IFERROR(__xludf.DUMMYFUNCTION("split(split(K1446,""香取慎吾　"",false),""公式LINE"",false)"),"春菜(黒木メイサ)と矢代(藤木直人)が抱き合っているところを目撃してしまった純平(香取慎吾)は大きな衝撃を受ける。  　矢代は春菜に対し、結婚式をあげてはいるが実は籍はまだいれていないことを説明し、春菜との関係をやり直したいと迫るのだった。矢代の言葉を聞いた春菜の心情は・・・。  　早速矢代は「B-ring」の退会を求めてきたため、女性会員に人気の矢代が離れていっては問題、と河原所長(橋本さとし)は、まりか(仲里依紗)をしかりつけ、純平にひきとめるよう指示する。渋々ながらも純平が矢代に退会をとどまるよう説"&amp;"得に向かうと、矢代に会った純平はそこで衝撃の事実を耳にする。春菜は「B-ring」に入会することを事前に矢代に報告し、アドバイザーが真剣に結婚の相談にのっていることを笑いながら矢代に報告していた。純平は激しいショックを受ける。  　純平は動揺する心を抑えきれず春菜に直接、なぜ全て黙っていたのかと問いただす。が、春菜は、矢代とよりを戻す気はまったくない、小松原(大倉孝二)とのおつきあいを続けると話すのだった。  　そんな中、柳沢家の中にも波乱が起きようとしていた。母(高畑淳子)から渡されるお金を勝手に使い込"&amp;"む優次(玉森裕太)ら家族たちが自分勝手に過ごすのに腹を立て、「私は結婚する」と春菜は皆の前で宣言してしまうのだった。  　一方、純平の心はまだおさまっていなかった・・・。")</f>
        <v>春菜(黒木メイサ)と矢代(藤木直人)が抱き合っているところを目撃してしまった純平(香取慎吾)は大きな衝撃を受ける。  　矢代は春菜に対し、結婚式をあげてはいるが実は籍はまだいれていないことを説明し、春菜との関係をやり直したいと迫るのだった。矢代の言葉を聞いた春菜の心情は・・・。  　早速矢代は「B-ring」の退会を求めてきたため、女性会員に人気の矢代が離れていっては問題、と河原所長(橋本さとし)は、まりか(仲里依紗)をしかりつけ、純平にひきとめるよう指示する。渋々ながらも純平が矢代に退会をとどまるよう説得に向かうと、矢代に会った純平はそこで衝撃の事実を耳にする。春菜は「B-ring」に入会することを事前に矢代に報告し、アドバイザーが真剣に結婚の相談にのっていることを笑いながら矢代に報告していた。純平は激しいショックを受ける。  　純平は動揺する心を抑えきれず春菜に直接、なぜ全て黙っていたのかと問いただす。が、春菜は、矢代とよりを戻す気はまったくない、小松原(大倉孝二)とのおつきあいを続けると話すのだった。  　そんな中、柳沢家の中にも波乱が起きようとしていた。母(高畑淳子)から渡されるお金を勝手に使い込む優次(玉森裕太)ら家族たちが自分勝手に過ごすのに腹を立て、「私は結婚する」と春菜は皆の前で宣言してしまうのだった。  　一方、純平の心はまだおさまっていなかった・・・。</v>
      </c>
      <c r="N1446" s="2"/>
      <c r="O1446" s="2"/>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row>
    <row r="1447" ht="204.75" customHeight="1">
      <c r="A1447" s="1">
        <v>4335.0</v>
      </c>
      <c r="B1447" s="2" t="s">
        <v>4615</v>
      </c>
      <c r="C1447" s="2">
        <f>IFERROR(__xludf.DUMMYFUNCTION("split(B1447,""_"")"),1104.0)</f>
        <v>1104</v>
      </c>
      <c r="D1447" s="2" t="str">
        <f>IFERROR(__xludf.DUMMYFUNCTION("""COMPUTED_VALUE"""),"CX")</f>
        <v>CX</v>
      </c>
      <c r="E1447" s="2" t="str">
        <f>IFERROR(__xludf.DUMMYFUNCTION("""COMPUTED_VALUE"""),"月21")</f>
        <v>月21</v>
      </c>
      <c r="F1447" s="2" t="s">
        <v>4616</v>
      </c>
      <c r="G1447" s="2" t="s">
        <v>4629</v>
      </c>
      <c r="H1447" s="1">
        <v>5.0</v>
      </c>
      <c r="I1447" s="1" t="s">
        <v>17</v>
      </c>
      <c r="J1447" s="1" t="s">
        <v>11</v>
      </c>
      <c r="K1447" s="2" t="s">
        <v>4630</v>
      </c>
      <c r="L1447" s="2" t="s">
        <v>4631</v>
      </c>
      <c r="M1447" s="2" t="str">
        <f>IFERROR(__xludf.DUMMYFUNCTION("split(split(K1447,""香取慎吾　"",false),""公式LINE"",false)"),"やはり元彼・矢代(藤木直人)のことを吹っ切れずにいた春菜(黒木メイサ)は純平(香取慎吾)に励まされ、自分の本当の気持ちを伝えようと矢代のもとに向かったところ、衝撃的な瞬間を目にする。身重な妻・聖子(奥田恵梨華)をいたわる矢代、そして純平と春菜のことをうとましそうに見る矢代の冷たい視線だったのだ。  　自分のせいで辛い思いをさせてしまったと悔いる純平は、春菜を必死に励まそうと海へ誘う。純平は春菜の心の傷を埋めるために、精一杯の努力をする。そして2人は明け方までともに過ごすのだった。明らかにアドバイザーとして"&amp;"春菜を支えているのではないと純平も自分の心の声に気づいていた。  　あくる日、純平は人生で初めて仮病をつかって会社を休むのだった。矢代をたずね矢代に二度と春菜に会わないよう依頼。矢代は妻の父親が経営している大手法律事務所に移る前に整理しておきたい旨を語り、電話をかけても出ない春菜に、自分と会うよう純平から言って欲しいと頼んできたのだった。  　一方、矢代の妻・聖子が夫に隠れて電話をしている姿が・・・。実は聖子にも夫に言えない秘密があるのだった・・・。  　春菜のために奔走中とは知らず、まりか(仲里依紗)は"&amp;"純平の家にお見舞いに向かうのだった。  　さらには純平の友人と結婚してしまった元彼女・松下みゆき(国仲涼子)からも純平の家に電話がかかってくる。  　一気に恋模様が急展開を見せる!!")</f>
        <v>やはり元彼・矢代(藤木直人)のことを吹っ切れずにいた春菜(黒木メイサ)は純平(香取慎吾)に励まされ、自分の本当の気持ちを伝えようと矢代のもとに向かったところ、衝撃的な瞬間を目にする。身重な妻・聖子(奥田恵梨華)をいたわる矢代、そして純平と春菜のことをうとましそうに見る矢代の冷たい視線だったのだ。  　自分のせいで辛い思いをさせてしまったと悔いる純平は、春菜を必死に励まそうと海へ誘う。純平は春菜の心の傷を埋めるために、精一杯の努力をする。そして2人は明け方までともに過ごすのだった。明らかにアドバイザーとして春菜を支えているのではないと純平も自分の心の声に気づいていた。  　あくる日、純平は人生で初めて仮病をつかって会社を休むのだった。矢代をたずね矢代に二度と春菜に会わないよう依頼。矢代は妻の父親が経営している大手法律事務所に移る前に整理しておきたい旨を語り、電話をかけても出ない春菜に、自分と会うよう純平から言って欲しいと頼んできたのだった。  　一方、矢代の妻・聖子が夫に隠れて電話をしている姿が・・・。実は聖子にも夫に言えない秘密があるのだった・・・。  　春菜のために奔走中とは知らず、まりか(仲里依紗)は純平の家にお見舞いに向かうのだった。  　さらには純平の友人と結婚してしまった元彼女・松下みゆき(国仲涼子)からも純平の家に電話がかかってくる。  　一気に恋模様が急展開を見せる!!</v>
      </c>
      <c r="N1447" s="2"/>
      <c r="O1447" s="2"/>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row>
    <row r="1448" ht="204.75" customHeight="1">
      <c r="A1448" s="1">
        <v>4336.0</v>
      </c>
      <c r="B1448" s="2" t="s">
        <v>4615</v>
      </c>
      <c r="C1448" s="2">
        <f>IFERROR(__xludf.DUMMYFUNCTION("split(B1448,""_"")"),1104.0)</f>
        <v>1104</v>
      </c>
      <c r="D1448" s="2" t="str">
        <f>IFERROR(__xludf.DUMMYFUNCTION("""COMPUTED_VALUE"""),"CX")</f>
        <v>CX</v>
      </c>
      <c r="E1448" s="2" t="str">
        <f>IFERROR(__xludf.DUMMYFUNCTION("""COMPUTED_VALUE"""),"月21")</f>
        <v>月21</v>
      </c>
      <c r="F1448" s="2" t="s">
        <v>4616</v>
      </c>
      <c r="G1448" s="2" t="s">
        <v>4632</v>
      </c>
      <c r="H1448" s="1">
        <v>6.0</v>
      </c>
      <c r="I1448" s="1" t="s">
        <v>21</v>
      </c>
      <c r="J1448" s="1" t="s">
        <v>11</v>
      </c>
      <c r="K1448" s="2" t="s">
        <v>4633</v>
      </c>
      <c r="L1448" s="2" t="s">
        <v>4634</v>
      </c>
      <c r="M1448" s="2" t="str">
        <f>IFERROR(__xludf.DUMMYFUNCTION("split(split(K1448,""香取慎吾　"",false),""公式LINE"",false)"),"高倉純平(香取慎吾)はついに柳沢春菜(黒木メイサ)にアドバイザーとしてではなく男として春菜を好きだと告白してしまったものの、自分の言葉が春菜にとって迷惑になっているのではないかと気が気でない。  　B-ringでは矢代(藤木直人)が退会してしまったことに伴い女性会員が大量に退会、なんとか春菜だけでもひきとめるようにと河原所長(橋本さとし)はいきりたっていた。桜木まりか(仲里依紗)は春菜に連絡し、B-ringに来てもらう。B-ringをたずねてきた春菜と純平は告白以来初めて出会う。が、意識しすぎてろくな会話"&amp;"もできない。春菜も意識してしまいながらも、はっきりしなければと1人思っていた。  　一方、春菜が結婚相談所に入会していることを知り衝撃を受けた春菜の家族たちだったが、なかなか事の真相を本人に聞き出せずにいた。  　矢代は義兄の法律事務所へ移る準備をすすめながら、身重な妻・聖子(奥田恵梨華)を気遣っていた。がある日、矢代は、聖子が自分に隠れて密かに誰かと意味深な電話をしているのを聞いてしまう。妻は何かを隠している・・・。  　春菜は純平にシミュレーションデートに行ってくれるよう依頼する。純平の気持ちが春菜に"&amp;"伝わってから初めての2人だけのひとときを、心の底から2人は楽しむのだった。  　楽しいデートがあった日、家に帰るとそこにはかつての純平の彼女・みゆき(国仲涼子)の姿が・・・。")</f>
        <v>高倉純平(香取慎吾)はついに柳沢春菜(黒木メイサ)にアドバイザーとしてではなく男として春菜を好きだと告白してしまったものの、自分の言葉が春菜にとって迷惑になっているのではないかと気が気でない。  　B-ringでは矢代(藤木直人)が退会してしまったことに伴い女性会員が大量に退会、なんとか春菜だけでもひきとめるようにと河原所長(橋本さとし)はいきりたっていた。桜木まりか(仲里依紗)は春菜に連絡し、B-ringに来てもらう。B-ringをたずねてきた春菜と純平は告白以来初めて出会う。が、意識しすぎてろくな会話もできない。春菜も意識してしまいながらも、はっきりしなければと1人思っていた。  　一方、春菜が結婚相談所に入会していることを知り衝撃を受けた春菜の家族たちだったが、なかなか事の真相を本人に聞き出せずにいた。  　矢代は義兄の法律事務所へ移る準備をすすめながら、身重な妻・聖子(奥田恵梨華)を気遣っていた。がある日、矢代は、聖子が自分に隠れて密かに誰かと意味深な電話をしているのを聞いてしまう。妻は何かを隠している・・・。  　春菜は純平にシミュレーションデートに行ってくれるよう依頼する。純平の気持ちが春菜に伝わってから初めての2人だけのひとときを、心の底から2人は楽しむのだった。  　楽しいデートがあった日、家に帰るとそこにはかつての純平の彼女・みゆき(国仲涼子)の姿が・・・。</v>
      </c>
      <c r="N1448" s="2"/>
      <c r="O1448" s="2"/>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row>
    <row r="1449" ht="204.75" customHeight="1">
      <c r="A1449" s="1">
        <v>4337.0</v>
      </c>
      <c r="B1449" s="2" t="s">
        <v>4615</v>
      </c>
      <c r="C1449" s="2">
        <f>IFERROR(__xludf.DUMMYFUNCTION("split(B1449,""_"")"),1104.0)</f>
        <v>1104</v>
      </c>
      <c r="D1449" s="2" t="str">
        <f>IFERROR(__xludf.DUMMYFUNCTION("""COMPUTED_VALUE"""),"CX")</f>
        <v>CX</v>
      </c>
      <c r="E1449" s="2" t="str">
        <f>IFERROR(__xludf.DUMMYFUNCTION("""COMPUTED_VALUE"""),"月21")</f>
        <v>月21</v>
      </c>
      <c r="F1449" s="2" t="s">
        <v>4616</v>
      </c>
      <c r="G1449" s="2" t="s">
        <v>4635</v>
      </c>
      <c r="H1449" s="1">
        <v>7.0</v>
      </c>
      <c r="I1449" s="1" t="s">
        <v>25</v>
      </c>
      <c r="J1449" s="1" t="s">
        <v>11</v>
      </c>
      <c r="K1449" s="2" t="s">
        <v>4636</v>
      </c>
      <c r="L1449" s="2" t="s">
        <v>4637</v>
      </c>
      <c r="M1449" s="2" t="str">
        <f>IFERROR(__xludf.DUMMYFUNCTION("split(split(K1449,""香取慎吾　"",false),""公式LINE"",false)"),"高倉純平(香取慎吾)は柳沢春菜(黒木メイサ)にやっと自分の素直な思いを告げる。そして春菜もまたそんな純平の気持ちを受けとめてくれたかのように思われた。が、そんな純平の前に元彼女の渡辺みゆき(国仲涼子)が現れる。純平と結婚すればよかったと訴え、いま好きな人がいるかとみゆきは純平に尋ねる。素直にいると答える純平の前から、一度は姿を消すみゆきだった。しかし、これ以降頻繁に純平の家に電話をかけてくるようになるのだった。  　アドバイザーと会員の恋愛は御法度なため、B-ringから春菜に退会してもらおうと純平は動き"&amp;"出すが、ただでさえ矢代英彦(藤木直人)の退会により大量に女性会員が退会した後とあって、春菜のことは必ず死守するよう河原所長(橋本さとし)に迫られてしまう。  　そんなところに驚くべき人がたずねてくる。春菜の父・匠悟(小林薫)だ。家に純平が送りに来たところを見たことがある匠悟は純平を見るなり、娘とお付き合いしている相手と見定める。しかし純平は必死に否定、上野(綾部祐二)が春菜の相手と嘘をついてしまう。  　純平は嘘をついたことを悔い、春菜の父にあらためて会いに行くことを決意。初めて、匠悟、春菜の弟・優次(玉"&amp;"森裕太)らと対峙する。そこで優次は、家族にも秘密のある決意を純平に明かす。純平はだまっていられず、柳沢一家のためついに、様々な問題を巻き起こし始めるのだった。")</f>
        <v>高倉純平(香取慎吾)は柳沢春菜(黒木メイサ)にやっと自分の素直な思いを告げる。そして春菜もまたそんな純平の気持ちを受けとめてくれたかのように思われた。が、そんな純平の前に元彼女の渡辺みゆき(国仲涼子)が現れる。純平と結婚すればよかったと訴え、いま好きな人がいるかとみゆきは純平に尋ねる。素直にいると答える純平の前から、一度は姿を消すみゆきだった。しかし、これ以降頻繁に純平の家に電話をかけてくるようになるのだった。  　アドバイザーと会員の恋愛は御法度なため、B-ringから春菜に退会してもらおうと純平は動き出すが、ただでさえ矢代英彦(藤木直人)の退会により大量に女性会員が退会した後とあって、春菜のことは必ず死守するよう河原所長(橋本さとし)に迫られてしまう。  　そんなところに驚くべき人がたずねてくる。春菜の父・匠悟(小林薫)だ。家に純平が送りに来たところを見たことがある匠悟は純平を見るなり、娘とお付き合いしている相手と見定める。しかし純平は必死に否定、上野(綾部祐二)が春菜の相手と嘘をついてしまう。  　純平は嘘をついたことを悔い、春菜の父にあらためて会いに行くことを決意。初めて、匠悟、春菜の弟・優次(玉森裕太)らと対峙する。そこで優次は、家族にも秘密のある決意を純平に明かす。純平はだまっていられず、柳沢一家のためついに、様々な問題を巻き起こし始めるのだった。</v>
      </c>
      <c r="N1449" s="2"/>
      <c r="O1449" s="2"/>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row>
    <row r="1450" ht="204.75" customHeight="1">
      <c r="A1450" s="1">
        <v>4338.0</v>
      </c>
      <c r="B1450" s="2" t="s">
        <v>4615</v>
      </c>
      <c r="C1450" s="2">
        <f>IFERROR(__xludf.DUMMYFUNCTION("split(B1450,""_"")"),1104.0)</f>
        <v>1104</v>
      </c>
      <c r="D1450" s="2" t="str">
        <f>IFERROR(__xludf.DUMMYFUNCTION("""COMPUTED_VALUE"""),"CX")</f>
        <v>CX</v>
      </c>
      <c r="E1450" s="2" t="str">
        <f>IFERROR(__xludf.DUMMYFUNCTION("""COMPUTED_VALUE"""),"月21")</f>
        <v>月21</v>
      </c>
      <c r="F1450" s="2" t="s">
        <v>4616</v>
      </c>
      <c r="G1450" s="2" t="s">
        <v>4638</v>
      </c>
      <c r="H1450" s="1">
        <v>8.0</v>
      </c>
      <c r="I1450" s="1" t="s">
        <v>29</v>
      </c>
      <c r="J1450" s="1" t="s">
        <v>11</v>
      </c>
      <c r="K1450" s="2" t="s">
        <v>4639</v>
      </c>
      <c r="L1450" s="2" t="s">
        <v>4640</v>
      </c>
      <c r="M1450" s="2" t="str">
        <f>IFERROR(__xludf.DUMMYFUNCTION("split(split(K1450,""香取慎吾　"",false),""公式LINE"",false)"),"高倉純平(香取慎吾)の家を再び訪れ、自分の胸で泣き崩れる元彼女・渡辺みゆき(国仲涼子)を追い返すこともできずひきとめてしまった純平。落ち着かせながら大学時代からの親友・上野隆雄(綾部祐二)を家に呼ぶ。すると上野と飲んでいたという桜木まりか(仲里依紗)も一緒に来てしまう。騒動が大きくなる中、タイミング悪く春菜(黒木メイサ)からの電話が。着信の表示を見ながらも電話に出られない純平・・・。　翌日、純平のもとを訪れた春菜を見つけるなりまりかは、元彼女が純平のまわりをうろついており、昨日の夜も純平の家で2人は会って"&amp;"いたと報告するが、そうとは知らない純平はみゆきとのことは隠して、早く寝てしまったと春菜には嘘をついてしまう。  　矢代英彦(藤木直人)は妻・聖子(奥田恵梨華)が密会を重ねる男の正体を探偵に依頼し探り、妻が身ごもっているのは他の男の子供であることを知る。が、聖子は事実が夫にばれてしまったことを知った後も開き直る一方。逆に矢代を追い詰めるのだった。  　B-ringを訪れた春菜と純平は食事の約束をするが、そんな矢先、再びみゆきから純平に連絡が。家出したと伝えても夫が何も連絡をよこさないという。そんなみゆきを放"&amp;"っておけず、またみゆきのもとに走る純平。純平はいったいどこに向かおうとしているのか・・・。  　さらに矢代を追い詰める事態が起きようとしていた・・。")</f>
        <v>高倉純平(香取慎吾)の家を再び訪れ、自分の胸で泣き崩れる元彼女・渡辺みゆき(国仲涼子)を追い返すこともできずひきとめてしまった純平。落ち着かせながら大学時代からの親友・上野隆雄(綾部祐二)を家に呼ぶ。すると上野と飲んでいたという桜木まりか(仲里依紗)も一緒に来てしまう。騒動が大きくなる中、タイミング悪く春菜(黒木メイサ)からの電話が。着信の表示を見ながらも電話に出られない純平・・・。　翌日、純平のもとを訪れた春菜を見つけるなりまりかは、元彼女が純平のまわりをうろついており、昨日の夜も純平の家で2人は会っていたと報告するが、そうとは知らない純平はみゆきとのことは隠して、早く寝てしまったと春菜には嘘をついてしまう。  　矢代英彦(藤木直人)は妻・聖子(奥田恵梨華)が密会を重ねる男の正体を探偵に依頼し探り、妻が身ごもっているのは他の男の子供であることを知る。が、聖子は事実が夫にばれてしまったことを知った後も開き直る一方。逆に矢代を追い詰めるのだった。  　B-ringを訪れた春菜と純平は食事の約束をするが、そんな矢先、再びみゆきから純平に連絡が。家出したと伝えても夫が何も連絡をよこさないという。そんなみゆきを放っておけず、またみゆきのもとに走る純平。純平はいったいどこに向かおうとしているのか・・・。  　さらに矢代を追い詰める事態が起きようとしていた・・。</v>
      </c>
      <c r="N1450" s="2"/>
      <c r="O1450" s="2"/>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row>
    <row r="1451" ht="204.75" customHeight="1">
      <c r="A1451" s="1">
        <v>4339.0</v>
      </c>
      <c r="B1451" s="2" t="s">
        <v>4615</v>
      </c>
      <c r="C1451" s="2">
        <f>IFERROR(__xludf.DUMMYFUNCTION("split(B1451,""_"")"),1104.0)</f>
        <v>1104</v>
      </c>
      <c r="D1451" s="2" t="str">
        <f>IFERROR(__xludf.DUMMYFUNCTION("""COMPUTED_VALUE"""),"CX")</f>
        <v>CX</v>
      </c>
      <c r="E1451" s="2" t="str">
        <f>IFERROR(__xludf.DUMMYFUNCTION("""COMPUTED_VALUE"""),"月21")</f>
        <v>月21</v>
      </c>
      <c r="F1451" s="2" t="s">
        <v>4616</v>
      </c>
      <c r="G1451" s="2" t="s">
        <v>4641</v>
      </c>
      <c r="H1451" s="1">
        <v>9.0</v>
      </c>
      <c r="I1451" s="1" t="s">
        <v>33</v>
      </c>
      <c r="J1451" s="1" t="s">
        <v>11</v>
      </c>
      <c r="K1451" s="2" t="s">
        <v>4642</v>
      </c>
      <c r="L1451" s="2" t="s">
        <v>4643</v>
      </c>
      <c r="M1451" s="2" t="str">
        <f>IFERROR(__xludf.DUMMYFUNCTION("split(split(K1451,""香取慎吾　"",false),""公式LINE"",false)"),"矢代英彦(藤木直人)は妻に追い詰められ、弁護士という職も地位も妻も全てを失った上に大けがを負ってしまった。彼のもとには誰も面会に来る者もいない。1人春菜(黒木メイサ)を除いて。  　純平(香取慎吾)は春菜とつきあうためについに会社に辞職願いを出す。河原所長(橋本さとし)や皆が引き留めるが決意は変わらないのだった。  　春菜も最初は純平に隠れて見舞いに通っていたが純平に正直に話すことにする。純平も衝撃を受けながらもそんな春菜を受けとめ、一緒に矢代を見舞い、矢代のそばにいたほうがいいとまで春菜に言うのだった。"&amp;"全てを投げうち、矢代の存在までも受け入れて春菜のために尽くす姿にまりか(仲里依紗)や上野(綾部祐二)も心配でならず、やりきれない気持ちを抱えていた。春菜は、しかしそんな純平に支えられているからこそ、矢代から逃げずに会うことができると矢代に語るのだった。　退職する日が迫る中、残業続きで担当会員の相手を探すために汗を流す純平の姿は明らかに疲れがたまっている様で・・・。    　春菜と共に純平は矢代の見舞いに向かう。そこで純平は矢代と真っ正面から正直に言葉を交わし、純平も春菜もお互いの気持ちを確かめ合うのだった"&amp;"。  　そんなことがあった当日、矢代が病院から姿を消したという連絡が春菜に入るのだった・・・。")</f>
        <v>矢代英彦(藤木直人)は妻に追い詰められ、弁護士という職も地位も妻も全てを失った上に大けがを負ってしまった。彼のもとには誰も面会に来る者もいない。1人春菜(黒木メイサ)を除いて。  　純平(香取慎吾)は春菜とつきあうためについに会社に辞職願いを出す。河原所長(橋本さとし)や皆が引き留めるが決意は変わらないのだった。  　春菜も最初は純平に隠れて見舞いに通っていたが純平に正直に話すことにする。純平も衝撃を受けながらもそんな春菜を受けとめ、一緒に矢代を見舞い、矢代のそばにいたほうがいいとまで春菜に言うのだった。全てを投げうち、矢代の存在までも受け入れて春菜のために尽くす姿にまりか(仲里依紗)や上野(綾部祐二)も心配でならず、やりきれない気持ちを抱えていた。春菜は、しかしそんな純平に支えられているからこそ、矢代から逃げずに会うことができると矢代に語るのだった。　退職する日が迫る中、残業続きで担当会員の相手を探すために汗を流す純平の姿は明らかに疲れがたまっている様で・・・。    　春菜と共に純平は矢代の見舞いに向かう。そこで純平は矢代と真っ正面から正直に言葉を交わし、純平も春菜もお互いの気持ちを確かめ合うのだった。  　そんなことがあった当日、矢代が病院から姿を消したという連絡が春菜に入るのだった・・・。</v>
      </c>
      <c r="N1451" s="2"/>
      <c r="O1451" s="2"/>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row>
    <row r="1452" ht="204.75" customHeight="1">
      <c r="A1452" s="1">
        <v>4340.0</v>
      </c>
      <c r="B1452" s="2" t="s">
        <v>4615</v>
      </c>
      <c r="C1452" s="2">
        <f>IFERROR(__xludf.DUMMYFUNCTION("split(B1452,""_"")"),1104.0)</f>
        <v>1104</v>
      </c>
      <c r="D1452" s="2" t="str">
        <f>IFERROR(__xludf.DUMMYFUNCTION("""COMPUTED_VALUE"""),"CX")</f>
        <v>CX</v>
      </c>
      <c r="E1452" s="2" t="str">
        <f>IFERROR(__xludf.DUMMYFUNCTION("""COMPUTED_VALUE"""),"月21")</f>
        <v>月21</v>
      </c>
      <c r="F1452" s="2" t="s">
        <v>4616</v>
      </c>
      <c r="G1452" s="2" t="s">
        <v>4644</v>
      </c>
      <c r="H1452" s="1">
        <v>10.0</v>
      </c>
      <c r="I1452" s="1" t="s">
        <v>37</v>
      </c>
      <c r="J1452" s="1" t="s">
        <v>11</v>
      </c>
      <c r="K1452" s="2" t="s">
        <v>4645</v>
      </c>
      <c r="L1452" s="2" t="s">
        <v>4646</v>
      </c>
      <c r="M1452" s="2" t="str">
        <f>IFERROR(__xludf.DUMMYFUNCTION("split(split(K1452,""香取慎吾　"",false),""公式LINE"",false)"),"純平(香取慎吾)は矢代(藤木直人)のそばにいてあげて欲しいと言って春菜(黒木メイサ)のもとを去ることを決意した。  　春菜のもとを去った後も、純平の仕事を辞める決意は引きつづき変わらなかった。  　今まで担当してきた、小松原進(大倉孝二)をはじめとして会員たちのお見合いパーティーの準備に余念がない。春菜は純平ともう一度話すため電話をかけ続けるが、純平は出てくれない。  　ついに直接純平を訪ねに、B-ringを訪れる春菜。しかし純平は、自分のために春菜のもとを去ったと告げ、さらに、仕事を続けるために春菜のも"&amp;"とを去った、と矢代と春菜の幸せのために嘘までつくのだった。  　春菜と別れたと純平がまりか(仲里依紗)にさらっと告げたことをきっかけに、一気に上野(綾部祐二)、小松原の耳にも入ることとなる。まりかはここぞとばかりに矢代に直接2人が別れたことを告げ、春菜をつなぎとめるように語るのだった。　一方、匠悟(小林薫)が春菜の父親であることを偶然知ってしまった美津枝(原田美枝子)は、ついに黙っていられず匠悟に純平の母親であることを告げる。  　そんな中、純平が仕事をやめることに変わりないことをまりかから聞いた春菜は、"&amp;"直接B-ringの河原所長(橋本さとし)のもとを訪ねる。  　純平を好きだからこそ、春菜は行動に出たのだった。そして純平も、確かにまだ気持ちは春菜に向いていた・・・。")</f>
        <v>純平(香取慎吾)は矢代(藤木直人)のそばにいてあげて欲しいと言って春菜(黒木メイサ)のもとを去ることを決意した。  　春菜のもとを去った後も、純平の仕事を辞める決意は引きつづき変わらなかった。  　今まで担当してきた、小松原進(大倉孝二)をはじめとして会員たちのお見合いパーティーの準備に余念がない。春菜は純平ともう一度話すため電話をかけ続けるが、純平は出てくれない。  　ついに直接純平を訪ねに、B-ringを訪れる春菜。しかし純平は、自分のために春菜のもとを去ったと告げ、さらに、仕事を続けるために春菜のもとを去った、と矢代と春菜の幸せのために嘘までつくのだった。  　春菜と別れたと純平がまりか(仲里依紗)にさらっと告げたことをきっかけに、一気に上野(綾部祐二)、小松原の耳にも入ることとなる。まりかはここぞとばかりに矢代に直接2人が別れたことを告げ、春菜をつなぎとめるように語るのだった。　一方、匠悟(小林薫)が春菜の父親であることを偶然知ってしまった美津枝(原田美枝子)は、ついに黙っていられず匠悟に純平の母親であることを告げる。  　そんな中、純平が仕事をやめることに変わりないことをまりかから聞いた春菜は、直接B-ringの河原所長(橋本さとし)のもとを訪ねる。  　純平を好きだからこそ、春菜は行動に出たのだった。そして純平も、確かにまだ気持ちは春菜に向いていた・・・。</v>
      </c>
      <c r="N1452" s="2"/>
      <c r="O1452" s="2"/>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row>
    <row r="1453" ht="204.75" customHeight="1">
      <c r="A1453" s="1">
        <v>4341.0</v>
      </c>
      <c r="B1453" s="2" t="s">
        <v>4615</v>
      </c>
      <c r="C1453" s="2">
        <f>IFERROR(__xludf.DUMMYFUNCTION("split(B1453,""_"")"),1104.0)</f>
        <v>1104</v>
      </c>
      <c r="D1453" s="2" t="str">
        <f>IFERROR(__xludf.DUMMYFUNCTION("""COMPUTED_VALUE"""),"CX")</f>
        <v>CX</v>
      </c>
      <c r="E1453" s="2" t="str">
        <f>IFERROR(__xludf.DUMMYFUNCTION("""COMPUTED_VALUE"""),"月21")</f>
        <v>月21</v>
      </c>
      <c r="F1453" s="2" t="s">
        <v>4616</v>
      </c>
      <c r="G1453" s="2" t="s">
        <v>4647</v>
      </c>
      <c r="H1453" s="1">
        <v>11.0</v>
      </c>
      <c r="I1453" s="1" t="s">
        <v>41</v>
      </c>
      <c r="J1453" s="1" t="s">
        <v>11</v>
      </c>
      <c r="K1453" s="2" t="s">
        <v>4648</v>
      </c>
      <c r="L1453" s="2" t="s">
        <v>4649</v>
      </c>
      <c r="M1453" s="2" t="str">
        <f>IFERROR(__xludf.DUMMYFUNCTION("split(split(K1453,""香取慎吾　"",false),""公式LINE"",false)"),"春菜(黒木メイサ)に自分から別れを告げた後も、春菜への気持ちはかわらなかった純平(香取慎吾)は、まわりの応援もあり、もう自分の気持ちから逃げない、と心に決めるが、そう決めた頃には退院の日を迎えた矢代(藤木直人)が春菜にあらためてプロポーズをしていたのだった。  　柳沢家の前で純平は素直に、春菜に好きだという気持ちをぶつけるが、春菜は勝手すぎるとそんな純平を受け入れられない。  　春菜は心の整理をつけるため仕事もやめ、柳沢家を出てあらたな一歩を踏み出していた。一方、純平は春菜をもう二度とあきらめることはしな"&amp;"いと心に決め、ただひたすらに思いを日々メールで春菜に送るのだが、いっこうに春菜からの返事はなかった。  　しかし純平は、上野(綾部祐二)やまりか(仲里依紗)も驚くほど前向きに、断られても一切くじけることなく春菜へ思いを伝えながら、新たな職探しに奔走。春菜に振り返ってもらう日を待ち望みながら生き生きと過ごしていた。  　矢代が春菜からプロポーズの答えを聞きに行くという日に、純平が本気で春菜をあきらめる気があるのか矢代は確認にやってきた。  　純平は矢代にそんな気はまったくないと言い切る。  　もはや2人の間"&amp;"には春菜を本気で奪い合う戦友のような関係がうまれていた。  　矢代と会った春菜のプロポーズの返事とは。  　そして、春菜への思いをつのらせる純平に、春菜が振り返る日が来るのか・・・。")</f>
        <v>春菜(黒木メイサ)に自分から別れを告げた後も、春菜への気持ちはかわらなかった純平(香取慎吾)は、まわりの応援もあり、もう自分の気持ちから逃げない、と心に決めるが、そう決めた頃には退院の日を迎えた矢代(藤木直人)が春菜にあらためてプロポーズをしていたのだった。  　柳沢家の前で純平は素直に、春菜に好きだという気持ちをぶつけるが、春菜は勝手すぎるとそんな純平を受け入れられない。  　春菜は心の整理をつけるため仕事もやめ、柳沢家を出てあらたな一歩を踏み出していた。一方、純平は春菜をもう二度とあきらめることはしないと心に決め、ただひたすらに思いを日々メールで春菜に送るのだが、いっこうに春菜からの返事はなかった。  　しかし純平は、上野(綾部祐二)やまりか(仲里依紗)も驚くほど前向きに、断られても一切くじけることなく春菜へ思いを伝えながら、新たな職探しに奔走。春菜に振り返ってもらう日を待ち望みながら生き生きと過ごしていた。  　矢代が春菜からプロポーズの答えを聞きに行くという日に、純平が本気で春菜をあきらめる気があるのか矢代は確認にやってきた。  　純平は矢代にそんな気はまったくないと言い切る。  　もはや2人の間には春菜を本気で奪い合う戦友のような関係がうまれていた。  　矢代と会った春菜のプロポーズの返事とは。  　そして、春菜への思いをつのらせる純平に、春菜が振り返る日が来るのか・・・。</v>
      </c>
      <c r="N1453" s="2"/>
      <c r="O1453" s="2"/>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row>
    <row r="1454" ht="204.75" customHeight="1">
      <c r="A1454" s="1">
        <v>4342.0</v>
      </c>
      <c r="B1454" s="2" t="s">
        <v>4650</v>
      </c>
      <c r="C1454" s="2">
        <f>IFERROR(__xludf.DUMMYFUNCTION("split(B1454,""_"")"),1104.0)</f>
        <v>1104</v>
      </c>
      <c r="D1454" s="2" t="str">
        <f>IFERROR(__xludf.DUMMYFUNCTION("""COMPUTED_VALUE"""),"CX")</f>
        <v>CX</v>
      </c>
      <c r="E1454" s="2" t="str">
        <f>IFERROR(__xludf.DUMMYFUNCTION("""COMPUTED_VALUE"""),"火21")</f>
        <v>火21</v>
      </c>
      <c r="F1454" s="2" t="s">
        <v>4651</v>
      </c>
      <c r="G1454" s="2" t="s">
        <v>4652</v>
      </c>
      <c r="H1454" s="1">
        <v>1.0</v>
      </c>
      <c r="I1454" s="1" t="s">
        <v>3</v>
      </c>
      <c r="J1454" s="1" t="s">
        <v>4</v>
      </c>
      <c r="K1454" s="4" t="s">
        <v>4653</v>
      </c>
      <c r="L1454" s="2" t="s">
        <v>4654</v>
      </c>
      <c r="M1454" s="2" t="str">
        <f>IFERROR(__xludf.DUMMYFUNCTION("split(split(K1454,""杏　"",false),""公式LINE"",false)"),"短大卒業後、ハウスメーカーに就職した侑子(杏)は、食品メーカーに勤務する秋山拓水(つるの剛士)と結婚。侑子は、長男の健太(藤本哉汰)を出産後も仕事を続けたが、頭金を入れてマンションを購入した矢先、会社から地方転勤を打診され、退社を余儀なくされていた。引っ越しを機に、健太は近所の幼稚園に通うことになり、そこで侑子は、健太と同い年の子を持つ安野ちひろ(尾野真千子)、進藤真央(倉科カナ)、沢田利華子(りょう)、本宮レイナ(木村佳乃)らと知り合った。  　ちひろは、爽(長島暉実)の母親で、幼稚園の役員を務めていて"&amp;"、夫の英孝(高橋一生)は銀行員。真央は、トラック運転手の陸(五十嵐隼士)と出来ちゃった結婚をして、18歳で娘の羅羅(谷花音)を出産したヤンキーママ。利華子は、海斗(内田淳貴)の母親で、ネットショップの経営者。夫は、元人気モデル・圭(KEIJI)で、前夫との間に生まれた空斗(今井悠貴)という11歳の息子もいた。レイナは、彩香(小林星蘭)の母親で、主婦雑誌のカリスマ読者モデル。夫の功治(平山浩行)は、トータルウエディング事業を一代で興したやり手社長だった。  　専業主婦が周りにいなかったこともあって、侑子は、"&amp;"ママ友たちとの付き合いに戸惑いを感じていた。利華子いわく、皆、密かに「お受験」を考えているのだという。そんな折、健太が彩香のお誕生日会に誘われ…。")</f>
        <v>短大卒業後、ハウスメーカーに就職した侑子(杏)は、食品メーカーに勤務する秋山拓水(つるの剛士)と結婚。侑子は、長男の健太(藤本哉汰)を出産後も仕事を続けたが、頭金を入れてマンションを購入した矢先、会社から地方転勤を打診され、退社を余儀なくされていた。引っ越しを機に、健太は近所の幼稚園に通うことになり、そこで侑子は、健太と同い年の子を持つ安野ちひろ(尾野真千子)、進藤真央(倉科カナ)、沢田利華子(りょう)、本宮レイナ(木村佳乃)らと知り合った。  　ちひろは、爽(長島暉実)の母親で、幼稚園の役員を務めていて、夫の英孝(高橋一生)は銀行員。真央は、トラック運転手の陸(五十嵐隼士)と出来ちゃった結婚をして、18歳で娘の羅羅(谷花音)を出産したヤンキーママ。利華子は、海斗(内田淳貴)の母親で、ネットショップの経営者。夫は、元人気モデル・圭(KEIJI)で、前夫との間に生まれた空斗(今井悠貴)という11歳の息子もいた。レイナは、彩香(小林星蘭)の母親で、主婦雑誌のカリスマ読者モデル。夫の功治(平山浩行)は、トータルウエディング事業を一代で興したやり手社長だった。  　専業主婦が周りにいなかったこともあって、侑子は、ママ友たちとの付き合いに戸惑いを感じていた。利華子いわく、皆、密かに「お受験」を考えているのだという。そんな折、健太が彩香のお誕生日会に誘われ…。</v>
      </c>
      <c r="N1454" s="2"/>
      <c r="O1454" s="2"/>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row>
    <row r="1455" ht="204.75" customHeight="1">
      <c r="A1455" s="1">
        <v>4343.0</v>
      </c>
      <c r="B1455" s="2" t="s">
        <v>4650</v>
      </c>
      <c r="C1455" s="2">
        <f>IFERROR(__xludf.DUMMYFUNCTION("split(B1455,""_"")"),1104.0)</f>
        <v>1104</v>
      </c>
      <c r="D1455" s="2" t="str">
        <f>IFERROR(__xludf.DUMMYFUNCTION("""COMPUTED_VALUE"""),"CX")</f>
        <v>CX</v>
      </c>
      <c r="E1455" s="2" t="str">
        <f>IFERROR(__xludf.DUMMYFUNCTION("""COMPUTED_VALUE"""),"火21")</f>
        <v>火21</v>
      </c>
      <c r="F1455" s="2" t="s">
        <v>4651</v>
      </c>
      <c r="G1455" s="2" t="s">
        <v>4655</v>
      </c>
      <c r="H1455" s="1">
        <v>2.0</v>
      </c>
      <c r="I1455" s="1" t="s">
        <v>7</v>
      </c>
      <c r="J1455" s="1" t="s">
        <v>11</v>
      </c>
      <c r="K1455" s="2" t="s">
        <v>4656</v>
      </c>
      <c r="L1455" s="2" t="s">
        <v>4657</v>
      </c>
      <c r="M1455" s="2" t="str">
        <f>IFERROR(__xludf.DUMMYFUNCTION("split(split(K1455,""杏　"",false),""公式LINE"",false)"),"侑子(杏)は、同じ幼稚園に子どもを通わせていた母親のひとり、雅美(安達祐実)が睡眠薬を飲んで自殺を図ったと知り、大きなショックを受ける。その夜、侑子は、夫の拓水(つるの剛士)に雅美の件を報告する。併せて侑子は、玄関ドアの前に、ひまわりの子幼稚園に子どもを通わせている保護者たちの情報が記されたファイルが置かれていたことも打ち明けた。　翌日、幼稚園に健太(藤本哉汰)を送った後、侑子は、ちひろ(尾野真千子)、真央(倉科カナ)、利華子(りょう)、レイナ(木村佳乃)とカフェに立ち寄る。レイナたちも皆、子どもへの影響"&amp;"を心配していた。ちひろは、話題を変えようと、健太に習い事をさせるのか、と侑子に尋ねた。子どもの可能性を考え、その機会を与えるのも親の役目ではないかと思い始めていた侑子は、お受験を考え始めたことを打ち明けた。その際、レイナの娘・彩香(小林星蘭)が、お受験で有名な東郷チャイルドスクールに通っていることをバラしてしまう利華子。  　それがきっかけで、侑子は、利華子らと一緒に東郷チャイルドスクールを見学しに行くことになったが…。")</f>
        <v>侑子(杏)は、同じ幼稚園に子どもを通わせていた母親のひとり、雅美(安達祐実)が睡眠薬を飲んで自殺を図ったと知り、大きなショックを受ける。その夜、侑子は、夫の拓水(つるの剛士)に雅美の件を報告する。併せて侑子は、玄関ドアの前に、ひまわりの子幼稚園に子どもを通わせている保護者たちの情報が記されたファイルが置かれていたことも打ち明けた。　翌日、幼稚園に健太(藤本哉汰)を送った後、侑子は、ちひろ(尾野真千子)、真央(倉科カナ)、利華子(りょう)、レイナ(木村佳乃)とカフェに立ち寄る。レイナたちも皆、子どもへの影響を心配していた。ちひろは、話題を変えようと、健太に習い事をさせるのか、と侑子に尋ねた。子どもの可能性を考え、その機会を与えるのも親の役目ではないかと思い始めていた侑子は、お受験を考え始めたことを打ち明けた。その際、レイナの娘・彩香(小林星蘭)が、お受験で有名な東郷チャイルドスクールに通っていることをバラしてしまう利華子。  　それがきっかけで、侑子は、利華子らと一緒に東郷チャイルドスクールを見学しに行くことになったが…。</v>
      </c>
      <c r="N1455" s="2"/>
      <c r="O1455" s="2"/>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row>
    <row r="1456" ht="204.75" customHeight="1">
      <c r="A1456" s="1">
        <v>4344.0</v>
      </c>
      <c r="B1456" s="2" t="s">
        <v>4650</v>
      </c>
      <c r="C1456" s="2">
        <f>IFERROR(__xludf.DUMMYFUNCTION("split(B1456,""_"")"),1104.0)</f>
        <v>1104</v>
      </c>
      <c r="D1456" s="2" t="str">
        <f>IFERROR(__xludf.DUMMYFUNCTION("""COMPUTED_VALUE"""),"CX")</f>
        <v>CX</v>
      </c>
      <c r="E1456" s="2" t="str">
        <f>IFERROR(__xludf.DUMMYFUNCTION("""COMPUTED_VALUE"""),"火21")</f>
        <v>火21</v>
      </c>
      <c r="F1456" s="2" t="s">
        <v>4651</v>
      </c>
      <c r="G1456" s="2" t="s">
        <v>4658</v>
      </c>
      <c r="H1456" s="1">
        <v>3.0</v>
      </c>
      <c r="I1456" s="1" t="s">
        <v>10</v>
      </c>
      <c r="J1456" s="1" t="s">
        <v>11</v>
      </c>
      <c r="K1456" s="2" t="s">
        <v>4659</v>
      </c>
      <c r="L1456" s="2" t="s">
        <v>4660</v>
      </c>
      <c r="M1456" s="2" t="str">
        <f>IFERROR(__xludf.DUMMYFUNCTION("split(split(K1456,""杏　"",false),""公式LINE"",false)"),"小学校のお受験を真剣に考え始めた侑子(杏)は、利華子(りょう)、ちひろ(尾野真千子)とともに、東郷チャイルドスクールに入塾を申し込む。東郷チャイルドスクールは、レイナ(木村佳乃)が娘の彩香(小林星蘭)を通わせている、有名なお受験専門の塾だった。  　一方、真央(倉科カナ)は、学歴を気にして、娘の羅羅(谷花音)のお受験をあきらめる。その代わりに真央が目を付けたのは、子役オーディションだった。スタジオでカメラテストを受けた羅羅は、スタッフからほめられた。大喜びした真央は、これで健太(藤本哉汰)にリベンジできる"&amp;"、と羅羅に言う。  　健太は、彩香や海斗(内田淳貴)、爽(長島暉実)と一緒に、初めて東郷チャイルドスクールで学んだ。侑子は、塾講師の話を夢中になって聞いている健太の姿に、思わず笑みをもらす。  　塾の帰り、侑子やレイナたちは行きつけのカフェに立ち寄る。その際、侑子たちは、ちひろの様子から、彼女が妊娠しているのではないかと考える。そんな折、ひまわりの子幼稚園で皆と遊ぼうとした健太は、羅羅に邪魔されて仲間外れにされてしまい…。")</f>
        <v>小学校のお受験を真剣に考え始めた侑子(杏)は、利華子(りょう)、ちひろ(尾野真千子)とともに、東郷チャイルドスクールに入塾を申し込む。東郷チャイルドスクールは、レイナ(木村佳乃)が娘の彩香(小林星蘭)を通わせている、有名なお受験専門の塾だった。  　一方、真央(倉科カナ)は、学歴を気にして、娘の羅羅(谷花音)のお受験をあきらめる。その代わりに真央が目を付けたのは、子役オーディションだった。スタジオでカメラテストを受けた羅羅は、スタッフからほめられた。大喜びした真央は、これで健太(藤本哉汰)にリベンジできる、と羅羅に言う。  　健太は、彩香や海斗(内田淳貴)、爽(長島暉実)と一緒に、初めて東郷チャイルドスクールで学んだ。侑子は、塾講師の話を夢中になって聞いている健太の姿に、思わず笑みをもらす。  　塾の帰り、侑子やレイナたちは行きつけのカフェに立ち寄る。その際、侑子たちは、ちひろの様子から、彼女が妊娠しているのではないかと考える。そんな折、ひまわりの子幼稚園で皆と遊ぼうとした健太は、羅羅に邪魔されて仲間外れにされてしまい…。</v>
      </c>
      <c r="N1456" s="2"/>
      <c r="O1456" s="2"/>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row>
    <row r="1457" ht="204.75" customHeight="1">
      <c r="A1457" s="1">
        <v>4345.0</v>
      </c>
      <c r="B1457" s="2" t="s">
        <v>4650</v>
      </c>
      <c r="C1457" s="2">
        <f>IFERROR(__xludf.DUMMYFUNCTION("split(B1457,""_"")"),1104.0)</f>
        <v>1104</v>
      </c>
      <c r="D1457" s="2" t="str">
        <f>IFERROR(__xludf.DUMMYFUNCTION("""COMPUTED_VALUE"""),"CX")</f>
        <v>CX</v>
      </c>
      <c r="E1457" s="2" t="str">
        <f>IFERROR(__xludf.DUMMYFUNCTION("""COMPUTED_VALUE"""),"火21")</f>
        <v>火21</v>
      </c>
      <c r="F1457" s="2" t="s">
        <v>4651</v>
      </c>
      <c r="G1457" s="2" t="s">
        <v>4661</v>
      </c>
      <c r="H1457" s="1">
        <v>4.0</v>
      </c>
      <c r="I1457" s="1" t="s">
        <v>14</v>
      </c>
      <c r="J1457" s="1" t="s">
        <v>11</v>
      </c>
      <c r="K1457" s="2" t="s">
        <v>4662</v>
      </c>
      <c r="L1457" s="2" t="s">
        <v>4663</v>
      </c>
      <c r="M1457" s="2" t="str">
        <f>IFERROR(__xludf.DUMMYFUNCTION("split(split(K1457,""杏　"",false),""公式LINE"",false)"),"侑子(杏)は、健太(藤本哉汰)が友だちから仲間外れにされた原因を知る。利華子(りょう)が海斗(内田淳貴)から聞いた話によれば、真央(倉科カナ)の娘・羅羅(谷花音)が健太にリベンジすると言っていたのだという。幼稚園で健太が羅羅をいじめたという件も、羅羅の方から「仲直りの握手は力を入れる」といって腕を差し出したらしい。  　侑子は、利華子とともに担任の結城(萩原聖人)を訪ね、相談した。結城は、注意不足を詫び、子どもたちにきちんと話すと侑子に約束する。侑子は、健太が自分や拓水(つるの剛士)に悲しい思いをさせたく"&amp;"ないという思いから何も言わなかったことを知り、信じてあげられなかったことを謝った。  　真央ともきちんと話し合うべきだと考えた侑子は、彼女の携帯電話に連絡を入れるが、真央は電話に出なかった。侑子は、意を決し、進藤家を訪ねた。真央は不在だったが、応対した夫の陸(五十嵐隼士)は、事情を知り、仲良くするよう責任を持って話すと侑子に伝える。  　その後、侑子はレイナ(木村佳乃)と彩香(小林星蘭)に出会う。そのとき侑子は、彩香が羅羅とおそろいのワンピースを着ていることに気づく。進藤家を訪ねた際、同じ服がハンガーに掛"&amp;"けられていたのを見たからだった。それを聞いた彩香は、なくした靴と同じものを羅羅が持っていた、とレイナに話した。  　そんな折、東郷チャイルドスクールではペーパーテストが行われ…。")</f>
        <v>侑子(杏)は、健太(藤本哉汰)が友だちから仲間外れにされた原因を知る。利華子(りょう)が海斗(内田淳貴)から聞いた話によれば、真央(倉科カナ)の娘・羅羅(谷花音)が健太にリベンジすると言っていたのだという。幼稚園で健太が羅羅をいじめたという件も、羅羅の方から「仲直りの握手は力を入れる」といって腕を差し出したらしい。  　侑子は、利華子とともに担任の結城(萩原聖人)を訪ね、相談した。結城は、注意不足を詫び、子どもたちにきちんと話すと侑子に約束する。侑子は、健太が自分や拓水(つるの剛士)に悲しい思いをさせたくないという思いから何も言わなかったことを知り、信じてあげられなかったことを謝った。  　真央ともきちんと話し合うべきだと考えた侑子は、彼女の携帯電話に連絡を入れるが、真央は電話に出なかった。侑子は、意を決し、進藤家を訪ねた。真央は不在だったが、応対した夫の陸(五十嵐隼士)は、事情を知り、仲良くするよう責任を持って話すと侑子に伝える。  　その後、侑子はレイナ(木村佳乃)と彩香(小林星蘭)に出会う。そのとき侑子は、彩香が羅羅とおそろいのワンピースを着ていることに気づく。進藤家を訪ねた際、同じ服がハンガーに掛けられていたのを見たからだった。それを聞いた彩香は、なくした靴と同じものを羅羅が持っていた、とレイナに話した。  　そんな折、東郷チャイルドスクールではペーパーテストが行われ…。</v>
      </c>
      <c r="N1457" s="2"/>
      <c r="O1457" s="2"/>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row>
    <row r="1458" ht="204.75" customHeight="1">
      <c r="A1458" s="1">
        <v>4346.0</v>
      </c>
      <c r="B1458" s="2" t="s">
        <v>4650</v>
      </c>
      <c r="C1458" s="2">
        <f>IFERROR(__xludf.DUMMYFUNCTION("split(B1458,""_"")"),1104.0)</f>
        <v>1104</v>
      </c>
      <c r="D1458" s="2" t="str">
        <f>IFERROR(__xludf.DUMMYFUNCTION("""COMPUTED_VALUE"""),"CX")</f>
        <v>CX</v>
      </c>
      <c r="E1458" s="2" t="str">
        <f>IFERROR(__xludf.DUMMYFUNCTION("""COMPUTED_VALUE"""),"火21")</f>
        <v>火21</v>
      </c>
      <c r="F1458" s="2" t="s">
        <v>4651</v>
      </c>
      <c r="G1458" s="2" t="s">
        <v>4664</v>
      </c>
      <c r="H1458" s="1">
        <v>5.0</v>
      </c>
      <c r="I1458" s="1" t="s">
        <v>17</v>
      </c>
      <c r="J1458" s="1" t="s">
        <v>11</v>
      </c>
      <c r="K1458" s="2" t="s">
        <v>4665</v>
      </c>
      <c r="L1458" s="2" t="s">
        <v>4666</v>
      </c>
      <c r="M1458" s="2" t="str">
        <f>IFERROR(__xludf.DUMMYFUNCTION("split(split(K1458,""杏　"",false),""公式LINE"",false)"),"侑子(杏)は、ちひろ(尾野真千子)の体調を心配し、ちひろの息子・爽(長島暉実)を預かることに。夕方、迎えのチャイムが鳴る。玄関を開けるとそこには、ちひろだけでなく、夫・英孝(高橋一生)の姿もあった。英孝から、ちひろが自分に内緒で働いていたことを告げられた侑子は衝撃を受ける。  　その日、明け方まで英孝から詰問を受けるちひろ。英孝から「妊娠しているだろう?」と聞かれ、身に覚えのないことに驚く。英孝は、侑子からそのことを聞いたという。あまりのことに混乱するちひろは、翌日の幼稚園で侑子に会った際に無視してしまう"&amp;"。  　ある日、東郷チャイルドスクールで進路相談が行われる。レイナ(木村佳乃)は、塾長の東郷百合子(夏木マリ)から、現状の彩香(小林星蘭)の学力では、希望の小学校に行くのは厳しいと言われ落ち込む。一方、侑子は百合子から、レイナが希望している小学校の受験をすすめられる。「お受験」対策を始めたばかりの侑子は、そんな有名小学校に健太(藤本哉汰)が受かるとは思えず当惑するが、百合子は合格に太鼓判を押す。  　東郷チャイルドスクールからの帰り道、利華子(りょう)に進路相談の結果を聞かれた侑子は、百合子から言われた話"&amp;"をする。その話が聞こえてしまったレイナは、侑子に対してあからさまな競争心を燃やし・・・。")</f>
        <v>侑子(杏)は、ちひろ(尾野真千子)の体調を心配し、ちひろの息子・爽(長島暉実)を預かることに。夕方、迎えのチャイムが鳴る。玄関を開けるとそこには、ちひろだけでなく、夫・英孝(高橋一生)の姿もあった。英孝から、ちひろが自分に内緒で働いていたことを告げられた侑子は衝撃を受ける。  　その日、明け方まで英孝から詰問を受けるちひろ。英孝から「妊娠しているだろう?」と聞かれ、身に覚えのないことに驚く。英孝は、侑子からそのことを聞いたという。あまりのことに混乱するちひろは、翌日の幼稚園で侑子に会った際に無視してしまう。  　ある日、東郷チャイルドスクールで進路相談が行われる。レイナ(木村佳乃)は、塾長の東郷百合子(夏木マリ)から、現状の彩香(小林星蘭)の学力では、希望の小学校に行くのは厳しいと言われ落ち込む。一方、侑子は百合子から、レイナが希望している小学校の受験をすすめられる。「お受験」対策を始めたばかりの侑子は、そんな有名小学校に健太(藤本哉汰)が受かるとは思えず当惑するが、百合子は合格に太鼓判を押す。  　東郷チャイルドスクールからの帰り道、利華子(りょう)に進路相談の結果を聞かれた侑子は、百合子から言われた話をする。その話が聞こえてしまったレイナは、侑子に対してあからさまな競争心を燃やし・・・。</v>
      </c>
      <c r="N1458" s="2"/>
      <c r="O1458" s="2"/>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row>
    <row r="1459" ht="204.75" customHeight="1">
      <c r="A1459" s="1">
        <v>4347.0</v>
      </c>
      <c r="B1459" s="2" t="s">
        <v>4650</v>
      </c>
      <c r="C1459" s="2">
        <f>IFERROR(__xludf.DUMMYFUNCTION("split(B1459,""_"")"),1104.0)</f>
        <v>1104</v>
      </c>
      <c r="D1459" s="2" t="str">
        <f>IFERROR(__xludf.DUMMYFUNCTION("""COMPUTED_VALUE"""),"CX")</f>
        <v>CX</v>
      </c>
      <c r="E1459" s="2" t="str">
        <f>IFERROR(__xludf.DUMMYFUNCTION("""COMPUTED_VALUE"""),"火21")</f>
        <v>火21</v>
      </c>
      <c r="F1459" s="2" t="s">
        <v>4651</v>
      </c>
      <c r="G1459" s="2" t="s">
        <v>4667</v>
      </c>
      <c r="H1459" s="1">
        <v>6.0</v>
      </c>
      <c r="I1459" s="1" t="s">
        <v>21</v>
      </c>
      <c r="J1459" s="1" t="s">
        <v>11</v>
      </c>
      <c r="K1459" s="2" t="s">
        <v>4668</v>
      </c>
      <c r="L1459" s="2" t="s">
        <v>4669</v>
      </c>
      <c r="M1459" s="2" t="str">
        <f>IFERROR(__xludf.DUMMYFUNCTION("split(split(K1459,""杏　"",false),""公式LINE"",false)"),"侑子(杏)は、真央(倉科カナ)の策略によって、ちひろ(尾野真千子)からの信頼を失ってしまう。ちひろから相談を受けていた、彼女の夫・英孝(高橋一生)のセクハラ疑惑の件について、さも侑子が幼稚園のママ友たちにしゃべっていたように、真央に仕向けられてしまったのだ。ちひろは裏切られたと誤解し、侑子の制止を振り切り立ち去ってしまう。  　とある日曜日、東郷チャイルドスクールでは、父親たち向けの受験セミナーが行われた。拓水(つるの剛士)、英孝、圭(KEIJI)、功治(平山浩行)が参加し、東郷百合子(夏木マリ)から、「"&amp;"お受験」に対する父親としての心構えを説かれる。受験セミナー終了後、英孝は百合子に呼び止められ、爽(長島暉実)がチャイルドスクールはもちろん、幼稚園にも最近来ていないことを聞かされる。初耳であった英孝は驚きを隠せない。  　受験セミナーは、父親たちにさまざまな影響を及ぼした。圭は、より家事に積極的になり、朝早起きをして子供たちと散歩することに。そんな圭を利華子(りょう)は、ほほ笑ましく見守る。一方、以前から「お受験」に懐疑的だった功治は、レイナ(木村佳乃)の彩香(小林星蘭)に対する過度な教育に嫌気がさし、彼"&amp;"女との溝をより深めることになる。  　そんな折、「ひまわりの子幼稚園」では、遠足が行われ、事件が起こることに・・・。")</f>
        <v>侑子(杏)は、真央(倉科カナ)の策略によって、ちひろ(尾野真千子)からの信頼を失ってしまう。ちひろから相談を受けていた、彼女の夫・英孝(高橋一生)のセクハラ疑惑の件について、さも侑子が幼稚園のママ友たちにしゃべっていたように、真央に仕向けられてしまったのだ。ちひろは裏切られたと誤解し、侑子の制止を振り切り立ち去ってしまう。  　とある日曜日、東郷チャイルドスクールでは、父親たち向けの受験セミナーが行われた。拓水(つるの剛士)、英孝、圭(KEIJI)、功治(平山浩行)が参加し、東郷百合子(夏木マリ)から、「お受験」に対する父親としての心構えを説かれる。受験セミナー終了後、英孝は百合子に呼び止められ、爽(長島暉実)がチャイルドスクールはもちろん、幼稚園にも最近来ていないことを聞かされる。初耳であった英孝は驚きを隠せない。  　受験セミナーは、父親たちにさまざまな影響を及ぼした。圭は、より家事に積極的になり、朝早起きをして子供たちと散歩することに。そんな圭を利華子(りょう)は、ほほ笑ましく見守る。一方、以前から「お受験」に懐疑的だった功治は、レイナ(木村佳乃)の彩香(小林星蘭)に対する過度な教育に嫌気がさし、彼女との溝をより深めることになる。  　そんな折、「ひまわりの子幼稚園」では、遠足が行われ、事件が起こることに・・・。</v>
      </c>
      <c r="N1459" s="2"/>
      <c r="O1459" s="2"/>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row>
    <row r="1460" ht="204.75" customHeight="1">
      <c r="A1460" s="1">
        <v>4348.0</v>
      </c>
      <c r="B1460" s="2" t="s">
        <v>4650</v>
      </c>
      <c r="C1460" s="2">
        <f>IFERROR(__xludf.DUMMYFUNCTION("split(B1460,""_"")"),1104.0)</f>
        <v>1104</v>
      </c>
      <c r="D1460" s="2" t="str">
        <f>IFERROR(__xludf.DUMMYFUNCTION("""COMPUTED_VALUE"""),"CX")</f>
        <v>CX</v>
      </c>
      <c r="E1460" s="2" t="str">
        <f>IFERROR(__xludf.DUMMYFUNCTION("""COMPUTED_VALUE"""),"火21")</f>
        <v>火21</v>
      </c>
      <c r="F1460" s="2" t="s">
        <v>4651</v>
      </c>
      <c r="G1460" s="2" t="s">
        <v>4670</v>
      </c>
      <c r="H1460" s="1">
        <v>7.0</v>
      </c>
      <c r="I1460" s="1" t="s">
        <v>25</v>
      </c>
      <c r="J1460" s="1" t="s">
        <v>11</v>
      </c>
      <c r="K1460" s="2" t="s">
        <v>4671</v>
      </c>
      <c r="L1460" s="2" t="s">
        <v>4672</v>
      </c>
      <c r="M1460" s="2" t="str">
        <f>IFERROR(__xludf.DUMMYFUNCTION("split(split(K1460,""杏　"",false),""公式LINE"",false)"),"「ひまわりの子幼稚園」の遠足で訪れた遊園地で、侑子(杏)の息子・健太(藤本哉汰)が、何者かに連れ去られるという事件が起こる。侑子や、利華子(りょう)は、遊園地の敷地内を走り回り、必死で捜索した結果、ようやく健太を見つける。しかし、そこには目を覆いたくなるような衝撃的な光景が。健太の手を引き、連れ去ろうとしていたのは、ちひろ(尾野真千子)だったのだ。  　この事件を機に、侑子とちひろの関係は、さらに深刻なものへ。侑子から話を聞いた拓水(つるの剛士)は自ら直接、ちひろの夫・英孝(高橋一生)を訪ね、強い口調で事"&amp;"件のことを非難する。拓水の前では反省の色を見せていた英孝だが、拓水が帰ると自分が恥をかかされたとして、ちひろを激しく責め立てる。されるがままのちひろを守ろうと、仲裁に入ったのは息子の爽(長島暉実)だった。  　一方、レイナ(木村佳乃)は、義母・奈津恵(山本道子)の退院を機に、読者モデルの仕事を再開しようと編集者に連絡をするが、「新しい読者モデルが決まった」とつれない返答に気を落とす。落ち込むレイナに追い打ちをかけるように、奈津恵を交えた家族4人の夕食時に、弓恵(中島ひろ子)が娘の美也を抱いて訪れる。功治("&amp;"平山浩行)と弓恵の関係を疑い、その場にいることに耐えられなくなったレイナは買い物を口実に外へ。ショックを隠せず、ぼう然と道を歩くレイナに気付き声をかけたのは、意外な人物だった。")</f>
        <v>「ひまわりの子幼稚園」の遠足で訪れた遊園地で、侑子(杏)の息子・健太(藤本哉汰)が、何者かに連れ去られるという事件が起こる。侑子や、利華子(りょう)は、遊園地の敷地内を走り回り、必死で捜索した結果、ようやく健太を見つける。しかし、そこには目を覆いたくなるような衝撃的な光景が。健太の手を引き、連れ去ろうとしていたのは、ちひろ(尾野真千子)だったのだ。  　この事件を機に、侑子とちひろの関係は、さらに深刻なものへ。侑子から話を聞いた拓水(つるの剛士)は自ら直接、ちひろの夫・英孝(高橋一生)を訪ね、強い口調で事件のことを非難する。拓水の前では反省の色を見せていた英孝だが、拓水が帰ると自分が恥をかかされたとして、ちひろを激しく責め立てる。されるがままのちひろを守ろうと、仲裁に入ったのは息子の爽(長島暉実)だった。  　一方、レイナ(木村佳乃)は、義母・奈津恵(山本道子)の退院を機に、読者モデルの仕事を再開しようと編集者に連絡をするが、「新しい読者モデルが決まった」とつれない返答に気を落とす。落ち込むレイナに追い打ちをかけるように、奈津恵を交えた家族4人の夕食時に、弓恵(中島ひろ子)が娘の美也を抱いて訪れる。功治(平山浩行)と弓恵の関係を疑い、その場にいることに耐えられなくなったレイナは買い物を口実に外へ。ショックを隠せず、ぼう然と道を歩くレイナに気付き声をかけたのは、意外な人物だった。</v>
      </c>
      <c r="N1460" s="2"/>
      <c r="O1460" s="2"/>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row>
    <row r="1461" ht="204.75" customHeight="1">
      <c r="A1461" s="1">
        <v>4349.0</v>
      </c>
      <c r="B1461" s="2" t="s">
        <v>4650</v>
      </c>
      <c r="C1461" s="2">
        <f>IFERROR(__xludf.DUMMYFUNCTION("split(B1461,""_"")"),1104.0)</f>
        <v>1104</v>
      </c>
      <c r="D1461" s="2" t="str">
        <f>IFERROR(__xludf.DUMMYFUNCTION("""COMPUTED_VALUE"""),"CX")</f>
        <v>CX</v>
      </c>
      <c r="E1461" s="2" t="str">
        <f>IFERROR(__xludf.DUMMYFUNCTION("""COMPUTED_VALUE"""),"火21")</f>
        <v>火21</v>
      </c>
      <c r="F1461" s="2" t="s">
        <v>4651</v>
      </c>
      <c r="G1461" s="2" t="s">
        <v>4673</v>
      </c>
      <c r="H1461" s="1">
        <v>8.0</v>
      </c>
      <c r="I1461" s="1" t="s">
        <v>29</v>
      </c>
      <c r="J1461" s="1" t="s">
        <v>11</v>
      </c>
      <c r="K1461" s="2" t="s">
        <v>4674</v>
      </c>
      <c r="L1461" s="2" t="s">
        <v>4675</v>
      </c>
      <c r="M1461" s="2" t="str">
        <f>IFERROR(__xludf.DUMMYFUNCTION("split(split(K1461,""杏　"",false),""公式LINE"",false)"),"侑子(杏)は、拓水(つるの剛士)に怒りをぶつける。拓水が会社でリストラに遭ったことを自分に黙っていたこと、さらにはその件を「ママ友」の利華子(りょう)から聞いたためだ。夫婦げんかの様子を聞いてしまった健太(藤本哉汰)は、翌朝けんかの理由を2人に聞くが、取り合ってもらえない。  　健太が受験する「明峰学園幼稚舎」のオープンスクールが開催される。校内で出会った幼稚舎の職員に「頑張って」と声をかけられた健太は、「頑張りません。お受験したくないです」と答えてしまう。健太は、羅羅(谷花音)との一件があった際に、「ど"&amp;"んなことでも話そう」と約束していたにもかかわらず、けんかの理由を教えてくれない2人に怒っていたのだ。そのことを知り、反省した侑子と拓水は、健太と共に今後のことを話し合い、お受験も続けることを決める。  　一方、真央(倉科カナ)は、キャバクラでのアルバイトを続けていた。深夜までの仕事が影響し、羅羅がおなかをすかせてもご飯を作らないなど、生活は次第にすさんでいく。ある夜、仕事帰りの功治(平山浩行)は、パジャマ姿でマンションのロビーを徘徊する羅羅を見かけ、放っておけずに自宅に連れて帰る。レイナ(木村佳乃)は、羅"&amp;"羅から進藤家の状況を聞き、迎えに来た真央を厳しくしかりつける。屈辱を受ける真央。  　後日、幼稚園ではバザーが開かれ、そこで前代未聞のスキャンダラスな事件が起こることに・・・。")</f>
        <v>侑子(杏)は、拓水(つるの剛士)に怒りをぶつける。拓水が会社でリストラに遭ったことを自分に黙っていたこと、さらにはその件を「ママ友」の利華子(りょう)から聞いたためだ。夫婦げんかの様子を聞いてしまった健太(藤本哉汰)は、翌朝けんかの理由を2人に聞くが、取り合ってもらえない。  　健太が受験する「明峰学園幼稚舎」のオープンスクールが開催される。校内で出会った幼稚舎の職員に「頑張って」と声をかけられた健太は、「頑張りません。お受験したくないです」と答えてしまう。健太は、羅羅(谷花音)との一件があった際に、「どんなことでも話そう」と約束していたにもかかわらず、けんかの理由を教えてくれない2人に怒っていたのだ。そのことを知り、反省した侑子と拓水は、健太と共に今後のことを話し合い、お受験も続けることを決める。  　一方、真央(倉科カナ)は、キャバクラでのアルバイトを続けていた。深夜までの仕事が影響し、羅羅がおなかをすかせてもご飯を作らないなど、生活は次第にすさんでいく。ある夜、仕事帰りの功治(平山浩行)は、パジャマ姿でマンションのロビーを徘徊する羅羅を見かけ、放っておけずに自宅に連れて帰る。レイナ(木村佳乃)は、羅羅から進藤家の状況を聞き、迎えに来た真央を厳しくしかりつける。屈辱を受ける真央。  　後日、幼稚園ではバザーが開かれ、そこで前代未聞のスキャンダラスな事件が起こることに・・・。</v>
      </c>
      <c r="N1461" s="2"/>
      <c r="O1461" s="2"/>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row>
    <row r="1462" ht="204.75" customHeight="1">
      <c r="A1462" s="1">
        <v>4350.0</v>
      </c>
      <c r="B1462" s="2" t="s">
        <v>4650</v>
      </c>
      <c r="C1462" s="2">
        <f>IFERROR(__xludf.DUMMYFUNCTION("split(B1462,""_"")"),1104.0)</f>
        <v>1104</v>
      </c>
      <c r="D1462" s="2" t="str">
        <f>IFERROR(__xludf.DUMMYFUNCTION("""COMPUTED_VALUE"""),"CX")</f>
        <v>CX</v>
      </c>
      <c r="E1462" s="2" t="str">
        <f>IFERROR(__xludf.DUMMYFUNCTION("""COMPUTED_VALUE"""),"火21")</f>
        <v>火21</v>
      </c>
      <c r="F1462" s="2" t="s">
        <v>4651</v>
      </c>
      <c r="G1462" s="2" t="s">
        <v>4676</v>
      </c>
      <c r="H1462" s="1">
        <v>9.0</v>
      </c>
      <c r="I1462" s="1" t="s">
        <v>33</v>
      </c>
      <c r="J1462" s="1" t="s">
        <v>11</v>
      </c>
      <c r="K1462" s="2" t="s">
        <v>4677</v>
      </c>
      <c r="L1462" s="2" t="s">
        <v>4678</v>
      </c>
      <c r="M1462" s="2" t="str">
        <f>IFERROR(__xludf.DUMMYFUNCTION("split(split(K1462,""杏　"",false),""公式LINE"",false)"),"親子水入らずで、和やかに行われていた「ひまわりの子幼稚園」のバザー。その会場に、戦慄(せんりつ)が走る。レイナ(木村佳乃)と結城(萩原聖人)の2ショット写真が、会場内の母親たちの携帯電話に一斉送信されたのだ。会場内は騒然となり、普段冷静な功治(平山浩行)も、結城に真偽を問いただす。メール着信の直前に、真央(倉科カナ)が携帯電話を操作していた様子を見ていた侑子(杏)は、彼女を問い詰めるが、「証拠はあるの?」と開き直られてしまう。  　この事件を受けて、「ひまわりの子幼稚園」では緊急保護者会が開かれる。多くの"&amp;"母親たちが、レイナと結城の関係に否定的な考えを口にする一方で、侑子は誰が送ったか分からない写真で責め立てるのはおかしいと主張をするが、多勢に無勢で取り合ってもらえない。結城は、レイナとの件は誤解だと、皆に頭を下げる。実家の近くの幼稚園に移ることで、その誤解に対する責任を取ると言う結城。その姿を目の当たりにしたレイナは大きなショックを受ける。  　後日、「東郷チャイルドスクール」では、本番の受験に向けた「模擬親子面接」が行われることに。「お受験」を考えている秋山家、安野家、沢田家、本宮家の4家族はそろって面"&amp;"接に参加する。百合子(夏木マリ)との質疑応答の中で、拓水(つるの剛士)のリストラ問題をはじめ、各家庭が抱えるそれぞれの問題が浮き彫りになっていく・・・。")</f>
        <v>親子水入らずで、和やかに行われていた「ひまわりの子幼稚園」のバザー。その会場に、戦慄(せんりつ)が走る。レイナ(木村佳乃)と結城(萩原聖人)の2ショット写真が、会場内の母親たちの携帯電話に一斉送信されたのだ。会場内は騒然となり、普段冷静な功治(平山浩行)も、結城に真偽を問いただす。メール着信の直前に、真央(倉科カナ)が携帯電話を操作していた様子を見ていた侑子(杏)は、彼女を問い詰めるが、「証拠はあるの?」と開き直られてしまう。  　この事件を受けて、「ひまわりの子幼稚園」では緊急保護者会が開かれる。多くの母親たちが、レイナと結城の関係に否定的な考えを口にする一方で、侑子は誰が送ったか分からない写真で責め立てるのはおかしいと主張をするが、多勢に無勢で取り合ってもらえない。結城は、レイナとの件は誤解だと、皆に頭を下げる。実家の近くの幼稚園に移ることで、その誤解に対する責任を取ると言う結城。その姿を目の当たりにしたレイナは大きなショックを受ける。  　後日、「東郷チャイルドスクール」では、本番の受験に向けた「模擬親子面接」が行われることに。「お受験」を考えている秋山家、安野家、沢田家、本宮家の4家族はそろって面接に参加する。百合子(夏木マリ)との質疑応答の中で、拓水(つるの剛士)のリストラ問題をはじめ、各家庭が抱えるそれぞれの問題が浮き彫りになっていく・・・。</v>
      </c>
      <c r="N1462" s="2"/>
      <c r="O1462" s="2"/>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row>
    <row r="1463" ht="204.75" customHeight="1">
      <c r="A1463" s="1">
        <v>4351.0</v>
      </c>
      <c r="B1463" s="2" t="s">
        <v>4650</v>
      </c>
      <c r="C1463" s="2">
        <f>IFERROR(__xludf.DUMMYFUNCTION("split(B1463,""_"")"),1104.0)</f>
        <v>1104</v>
      </c>
      <c r="D1463" s="2" t="str">
        <f>IFERROR(__xludf.DUMMYFUNCTION("""COMPUTED_VALUE"""),"CX")</f>
        <v>CX</v>
      </c>
      <c r="E1463" s="2" t="str">
        <f>IFERROR(__xludf.DUMMYFUNCTION("""COMPUTED_VALUE"""),"火21")</f>
        <v>火21</v>
      </c>
      <c r="F1463" s="2" t="s">
        <v>4651</v>
      </c>
      <c r="G1463" s="2" t="s">
        <v>4679</v>
      </c>
      <c r="H1463" s="1">
        <v>10.0</v>
      </c>
      <c r="I1463" s="1" t="s">
        <v>37</v>
      </c>
      <c r="J1463" s="1" t="s">
        <v>11</v>
      </c>
      <c r="K1463" s="2" t="s">
        <v>4680</v>
      </c>
      <c r="L1463" s="2" t="s">
        <v>4681</v>
      </c>
      <c r="M1463" s="2" t="str">
        <f>IFERROR(__xludf.DUMMYFUNCTION("split(split(K1463,""杏　"",false),""公式LINE"",false)"),"過熱する「お受験」戦争は、本番を間近に控え、佳境を迎える。「東郷チャイルドスクール」で行われたテストで、侑子(杏)の息子・健太(藤本哉汰)は、91点と抜群の結果を出す。この結果に、拓水(つるの剛士)も大喜び。健太よりも早く「お受験」の準備を進めていたレイナ(木村佳乃)の娘・彩香(小林星蘭)も、健太と同じく91点。レイナ、功治(平山浩行)が彩香を褒めるなか、彩香本人の様子がおかしい。  　後日、百合子(夏木マリ)に呼び出されるレイナ。最近、彩香に変わった様子はないかと言う百合子に、「おねしょをした」と答える"&amp;"レイナ。百合子は彩香が「お受験」のプレッシャーに追い詰められていると指摘。さらに、彩香がテストで健太のカンニングをしていると話す。ショックを受けるレイナは、初めて過去の彩香に対する自身の接し方を反省する。  　拓水の再就職先はなかなか決まらないものの、新たに始めた「ドールハウス」作りも順調な侑子に、実家の父親が病気で倒れたという連絡が入る。実家に戻った侑子は、中学校時代のアルバムやノートが入った段ボールの中から、一通の封筒を見つける。差出人は、「内藤ちひろ」だった。  　一方、圭(KEIJI)が用意してい"&amp;"た離婚届を見つけた利華子(りょう)は、精神的なショックから抜け出せずにいた。周囲に悟られまいと気丈に振る舞っていたが、後に大きな問題となる、思いもかけない意外な行動に出ることに。")</f>
        <v>過熱する「お受験」戦争は、本番を間近に控え、佳境を迎える。「東郷チャイルドスクール」で行われたテストで、侑子(杏)の息子・健太(藤本哉汰)は、91点と抜群の結果を出す。この結果に、拓水(つるの剛士)も大喜び。健太よりも早く「お受験」の準備を進めていたレイナ(木村佳乃)の娘・彩香(小林星蘭)も、健太と同じく91点。レイナ、功治(平山浩行)が彩香を褒めるなか、彩香本人の様子がおかしい。  　後日、百合子(夏木マリ)に呼び出されるレイナ。最近、彩香に変わった様子はないかと言う百合子に、「おねしょをした」と答えるレイナ。百合子は彩香が「お受験」のプレッシャーに追い詰められていると指摘。さらに、彩香がテストで健太のカンニングをしていると話す。ショックを受けるレイナは、初めて過去の彩香に対する自身の接し方を反省する。  　拓水の再就職先はなかなか決まらないものの、新たに始めた「ドールハウス」作りも順調な侑子に、実家の父親が病気で倒れたという連絡が入る。実家に戻った侑子は、中学校時代のアルバムやノートが入った段ボールの中から、一通の封筒を見つける。差出人は、「内藤ちひろ」だった。  　一方、圭(KEIJI)が用意していた離婚届を見つけた利華子(りょう)は、精神的なショックから抜け出せずにいた。周囲に悟られまいと気丈に振る舞っていたが、後に大きな問題となる、思いもかけない意外な行動に出ることに。</v>
      </c>
      <c r="N1463" s="2"/>
      <c r="O1463" s="2"/>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row>
    <row r="1464" ht="204.75" customHeight="1">
      <c r="A1464" s="1">
        <v>4352.0</v>
      </c>
      <c r="B1464" s="2" t="s">
        <v>4650</v>
      </c>
      <c r="C1464" s="2">
        <f>IFERROR(__xludf.DUMMYFUNCTION("split(B1464,""_"")"),1104.0)</f>
        <v>1104</v>
      </c>
      <c r="D1464" s="2" t="str">
        <f>IFERROR(__xludf.DUMMYFUNCTION("""COMPUTED_VALUE"""),"CX")</f>
        <v>CX</v>
      </c>
      <c r="E1464" s="2" t="str">
        <f>IFERROR(__xludf.DUMMYFUNCTION("""COMPUTED_VALUE"""),"火21")</f>
        <v>火21</v>
      </c>
      <c r="F1464" s="2" t="s">
        <v>4651</v>
      </c>
      <c r="G1464" s="2" t="s">
        <v>4682</v>
      </c>
      <c r="H1464" s="1">
        <v>11.0</v>
      </c>
      <c r="I1464" s="1" t="s">
        <v>41</v>
      </c>
      <c r="J1464" s="1" t="s">
        <v>11</v>
      </c>
      <c r="K1464" s="2" t="s">
        <v>4683</v>
      </c>
      <c r="L1464" s="2" t="s">
        <v>4684</v>
      </c>
      <c r="M1464" s="2" t="str">
        <f>IFERROR(__xludf.DUMMYFUNCTION("split(split(K1464,""杏　"",false),""公式LINE"",false)"),"侑子(杏)が「ママ友」の中で最も信頼をしていた利華子(りょう)が、ついに牙をむいた。自分の元を離れ、新たに「ドールハウス」の仕事を始める侑子に対する嫉妬心、そして浮気をされた上に、圭(KEIJI)から突きつけられた離婚届が、普段冷静な利華子を精神的に追い詰めたのだ。入試直前に、利華子に裏切られ願書を捨てられたショックが癒えないままに、侑子はお受験当日を迎える。願書の件は、ちひろ(尾野真千子)に救われ事なきを得たものの、侑子は言いしれぬ不安感に襲われる。  　「明峰学園幼稚舎」をお受験するのは、真央(倉科カ"&amp;"ナ)の娘・羅羅(谷花音)を除く4人の子供たちであったが、その内の1人がとある事件をきっかけに受験会場に姿を見せない。受験できなかった子は、果たして誰なのか、そして受験できなかった原因とは一体何だったのか・・・。物語中盤で明らかになる子供たちの合否は、それぞれの家族にさまざまな影響を及ぼす。「お受験」をきっかけに、再生に向かう家族がある一方で、最終回にしてドラマ史上最大の悲劇に襲われる家族も・・・。  　子供たちの「お受験」を軸に、「親友」でも「他人」でもない「ママ友」という非常に微妙な関係性の中で、友情、"&amp;"嫉妬、見え、ウワサ、建前、うそ、裏切りといったさまざまな感情を互いにぶつけあってきた侑子、ちひろ、真央、利華子、レイナ(木村佳乃)。5人の「名前をなくした女神」たちが迎える結末とは?")</f>
        <v>侑子(杏)が「ママ友」の中で最も信頼をしていた利華子(りょう)が、ついに牙をむいた。自分の元を離れ、新たに「ドールハウス」の仕事を始める侑子に対する嫉妬心、そして浮気をされた上に、圭(KEIJI)から突きつけられた離婚届が、普段冷静な利華子を精神的に追い詰めたのだ。入試直前に、利華子に裏切られ願書を捨てられたショックが癒えないままに、侑子はお受験当日を迎える。願書の件は、ちひろ(尾野真千子)に救われ事なきを得たものの、侑子は言いしれぬ不安感に襲われる。  　「明峰学園幼稚舎」をお受験するのは、真央(倉科カナ)の娘・羅羅(谷花音)を除く4人の子供たちであったが、その内の1人がとある事件をきっかけに受験会場に姿を見せない。受験できなかった子は、果たして誰なのか、そして受験できなかった原因とは一体何だったのか・・・。物語中盤で明らかになる子供たちの合否は、それぞれの家族にさまざまな影響を及ぼす。「お受験」をきっかけに、再生に向かう家族がある一方で、最終回にしてドラマ史上最大の悲劇に襲われる家族も・・・。  　子供たちの「お受験」を軸に、「親友」でも「他人」でもない「ママ友」という非常に微妙な関係性の中で、友情、嫉妬、見え、ウワサ、建前、うそ、裏切りといったさまざまな感情を互いにぶつけあってきた侑子、ちひろ、真央、利華子、レイナ(木村佳乃)。5人の「名前をなくした女神」たちが迎える結末とは?</v>
      </c>
      <c r="N1464" s="2"/>
      <c r="O1464" s="2"/>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row>
    <row r="1465" ht="204.75" customHeight="1">
      <c r="A1465" s="1">
        <v>4353.0</v>
      </c>
      <c r="B1465" s="2" t="s">
        <v>4685</v>
      </c>
      <c r="C1465" s="2">
        <f>IFERROR(__xludf.DUMMYFUNCTION("split(B1465,""_"")"),1104.0)</f>
        <v>1104</v>
      </c>
      <c r="D1465" s="2" t="str">
        <f>IFERROR(__xludf.DUMMYFUNCTION("""COMPUTED_VALUE"""),"CX")</f>
        <v>CX</v>
      </c>
      <c r="E1465" s="2" t="str">
        <f>IFERROR(__xludf.DUMMYFUNCTION("""COMPUTED_VALUE"""),"火22")</f>
        <v>火22</v>
      </c>
      <c r="F1465" s="2" t="s">
        <v>4686</v>
      </c>
      <c r="G1465" s="2" t="s">
        <v>4687</v>
      </c>
      <c r="H1465" s="1">
        <v>1.0</v>
      </c>
      <c r="I1465" s="1" t="s">
        <v>3</v>
      </c>
      <c r="J1465" s="1" t="s">
        <v>82</v>
      </c>
      <c r="K1465" s="4" t="s">
        <v>4688</v>
      </c>
      <c r="L1465" s="2" t="s">
        <v>4689</v>
      </c>
      <c r="M1465" s="2" t="str">
        <f>IFERROR(__xludf.DUMMYFUNCTION("split(split(K1465,""反町隆史　"",false),""公式LINE"",false)"),"澤本大地(反町隆史)は産和新聞社社会部の敏腕記者。他紙を出し抜いて数々のスクープをものにし、社内でも一目置かれている自分を大地は誇りに思っていた。    　そんなある日、妻の華織(井川遥)が離婚届を残して家を出て行った。家庭のことは華織に任せきりだった大地は、6歳になるひとり息子・羽雲(加部亜門)の世話もままならず、慌ただしく取材先に出かけてしまう。    　同じ頃、明青医科大学付属病院の小児科に新人CLS(チャイルド・ライフ・スペシャリスト)の紺野七海(榮倉奈々)が赴任。小児科医の円山湊人(伊原剛志)ら"&amp;"医療チームに意気揚々と挨拶をする七海だが、入院した子どもの心のケアをするCLSという肩書きに馴染みのない看護師らの態度は冷ややかだ。    　一方、大地は華織の弁護士から離婚の件で話がしたいと電話を受けてがく然。さらに、羽雲がケガをして病院にいると担任の細川(荒木宏文)から電話が入るが、詳しい事情も聞かずに電話を切り、弁護士事務所へ向かう。    　その頃、華織のそばには、彼女の世話を焼く雪村慎平(鹿賀丈史)の姿があり…。    　羽雲のケガは幸い軽かったが、以前からヒザに痛みを感じていたという羽雲の言葉"&amp;"に円山は胸騒ぎを覚える。  　診察を終えた羽雲に付き添っていた七海だが、ようやく迎えにやってきた大地が、羽雲に対していら立ちを隠さず自分のペースで行動する様子が気になって…。")</f>
        <v>澤本大地(反町隆史)は産和新聞社社会部の敏腕記者。他紙を出し抜いて数々のスクープをものにし、社内でも一目置かれている自分を大地は誇りに思っていた。    　そんなある日、妻の華織(井川遥)が離婚届を残して家を出て行った。家庭のことは華織に任せきりだった大地は、6歳になるひとり息子・羽雲(加部亜門)の世話もままならず、慌ただしく取材先に出かけてしまう。    　同じ頃、明青医科大学付属病院の小児科に新人CLS(チャイルド・ライフ・スペシャリスト)の紺野七海(榮倉奈々)が赴任。小児科医の円山湊人(伊原剛志)ら医療チームに意気揚々と挨拶をする七海だが、入院した子どもの心のケアをするCLSという肩書きに馴染みのない看護師らの態度は冷ややかだ。    　一方、大地は華織の弁護士から離婚の件で話がしたいと電話を受けてがく然。さらに、羽雲がケガをして病院にいると担任の細川(荒木宏文)から電話が入るが、詳しい事情も聞かずに電話を切り、弁護士事務所へ向かう。    　その頃、華織のそばには、彼女の世話を焼く雪村慎平(鹿賀丈史)の姿があり…。    　羽雲のケガは幸い軽かったが、以前からヒザに痛みを感じていたという羽雲の言葉に円山は胸騒ぎを覚える。  　診察を終えた羽雲に付き添っていた七海だが、ようやく迎えにやってきた大地が、羽雲に対していら立ちを隠さず自分のペースで行動する様子が気になって…。</v>
      </c>
      <c r="N1465" s="2"/>
      <c r="O1465" s="2"/>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row>
    <row r="1466" ht="204.75" customHeight="1">
      <c r="A1466" s="1">
        <v>4354.0</v>
      </c>
      <c r="B1466" s="2" t="s">
        <v>4685</v>
      </c>
      <c r="C1466" s="2">
        <f>IFERROR(__xludf.DUMMYFUNCTION("split(B1466,""_"")"),1104.0)</f>
        <v>1104</v>
      </c>
      <c r="D1466" s="2" t="str">
        <f>IFERROR(__xludf.DUMMYFUNCTION("""COMPUTED_VALUE"""),"CX")</f>
        <v>CX</v>
      </c>
      <c r="E1466" s="2" t="str">
        <f>IFERROR(__xludf.DUMMYFUNCTION("""COMPUTED_VALUE"""),"火22")</f>
        <v>火22</v>
      </c>
      <c r="F1466" s="2" t="s">
        <v>4686</v>
      </c>
      <c r="G1466" s="2" t="s">
        <v>4690</v>
      </c>
      <c r="H1466" s="1">
        <v>2.0</v>
      </c>
      <c r="I1466" s="1" t="s">
        <v>7</v>
      </c>
      <c r="J1466" s="1" t="s">
        <v>86</v>
      </c>
      <c r="K1466" s="2" t="s">
        <v>4691</v>
      </c>
      <c r="L1466" s="8" t="s">
        <v>4692</v>
      </c>
      <c r="M1466" s="2" t="str">
        <f>IFERROR(__xludf.DUMMYFUNCTION("split(split(K1466,""反町隆史　"",false),""公式LINE"",false)"),"http://www.ktv.jp/goodlife/index.html　華織(井川遥)に離婚を突きつけられた大地(反町隆史)は、ひとりで羽雲(加部亜門)を育てていこうと決意。だが、慣れない家事に手を焼き、羽雲のことをあまり構ってやれない。    　そんな折、記者クラブで仕事に追われていた大地に羽雲の担任・細川(荒木宏文)から電話が入り、羽雲がひざの痛みを訴えていると告げられる。細川は検査に連れて行くよう促すが、家庭のトラブルを知られたくない大地は周囲の記者の目を気にして早々に話を切り上げてしまう。  "&amp;"  　一方、華織は美術館キュレーターの仕事に復帰しようと面接を受けていたが、なかなか採用が決まらない。見守る慎平(鹿賀丈史)だが、華織は大地との結婚生活の中で抑えてきた自分の思いを表現できることが楽しいと明るい表情を見せる。しかし、慎平から羽雲のことを切り出されて顔を曇らせる。　ようやく大地は羽雲を連れて明青医科大病院へ。羽雲の検査中も仕事に電話に席を外す大地に、円山(伊原剛志)は複雑な思いを抱く。そして円山から大地に告げられた検査結果は、羽雲の血液に異常が見つかり、今すぐ入院が必要、というものだった…。")</f>
        <v>http://www.ktv.jp/goodlife/index.html　華織(井川遥)に離婚を突きつけられた大地(反町隆史)は、ひとりで羽雲(加部亜門)を育てていこうと決意。だが、慣れない家事に手を焼き、羽雲のことをあまり構ってやれない。    　そんな折、記者クラブで仕事に追われていた大地に羽雲の担任・細川(荒木宏文)から電話が入り、羽雲がひざの痛みを訴えていると告げられる。細川は検査に連れて行くよう促すが、家庭のトラブルを知られたくない大地は周囲の記者の目を気にして早々に話を切り上げてしまう。    　一方、華織は美術館キュレーターの仕事に復帰しようと面接を受けていたが、なかなか採用が決まらない。見守る慎平(鹿賀丈史)だが、華織は大地との結婚生活の中で抑えてきた自分の思いを表現できることが楽しいと明るい表情を見せる。しかし、慎平から羽雲のことを切り出されて顔を曇らせる。　ようやく大地は羽雲を連れて明青医科大病院へ。羽雲の検査中も仕事に電話に席を外す大地に、円山(伊原剛志)は複雑な思いを抱く。そして円山から大地に告げられた検査結果は、羽雲の血液に異常が見つかり、今すぐ入院が必要、というものだった…。</v>
      </c>
      <c r="N1466" s="2"/>
      <c r="O1466" s="2"/>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row>
    <row r="1467" ht="204.75" customHeight="1">
      <c r="A1467" s="1">
        <v>4355.0</v>
      </c>
      <c r="B1467" s="2" t="s">
        <v>4685</v>
      </c>
      <c r="C1467" s="2">
        <f>IFERROR(__xludf.DUMMYFUNCTION("split(B1467,""_"")"),1104.0)</f>
        <v>1104</v>
      </c>
      <c r="D1467" s="2" t="str">
        <f>IFERROR(__xludf.DUMMYFUNCTION("""COMPUTED_VALUE"""),"CX")</f>
        <v>CX</v>
      </c>
      <c r="E1467" s="2" t="str">
        <f>IFERROR(__xludf.DUMMYFUNCTION("""COMPUTED_VALUE"""),"火22")</f>
        <v>火22</v>
      </c>
      <c r="F1467" s="2" t="s">
        <v>4686</v>
      </c>
      <c r="G1467" s="2" t="s">
        <v>4693</v>
      </c>
      <c r="H1467" s="1">
        <v>3.0</v>
      </c>
      <c r="I1467" s="1" t="s">
        <v>10</v>
      </c>
      <c r="J1467" s="1" t="s">
        <v>86</v>
      </c>
      <c r="K1467" s="2" t="s">
        <v>4694</v>
      </c>
      <c r="L1467" s="8" t="s">
        <v>4695</v>
      </c>
      <c r="M1467" s="2" t="str">
        <f>IFERROR(__xludf.DUMMYFUNCTION("split(split(K1467,""反町隆史　"",false),""公式LINE"",false)"),"http://www.ktv.jp/goodlife/index.html　羽雲(加部亜門)が急性リンパ性白血病に侵されていると知った大地(反町隆史)は、ついに華織(井川遥)との離婚を受け入れることを決意。華織には知らせず、ひとりで息子の闘病を支えていこうと覚悟を決める。    　徹夜続きの取材に追われながら、家事や羽雲の世話をこなそうと奮闘する大地。その表情には疲労の色が見え始めていた。そんな折、羽雲の抗がん剤治療がいよいよ始まることを円山(伊原剛志)から聞かされる。心身ともに辛い治療になるうえ、免疫力"&amp;"の低下で軽い感染症でも命に関わることがあると告げる円山。病室に向かった大地は羽雲に治療について説明をし始めるが、七海(榮倉奈々)からすでに説明を受けていた羽雲は「がんばる」と前向きな態度を見せる。　そんなある日、殺人事件の容疑者として少年が逮捕された。大地は少年の自宅前で張り込みを続けるが、家族は一向に姿を見せない。まもなく、少年の父親が警察署から自宅に向かったらしいとの連絡が入った。父親をつかまえて話を聞こうと意気込む大地だが、そのとき、病院から電話が入り…。")</f>
        <v>http://www.ktv.jp/goodlife/index.html　羽雲(加部亜門)が急性リンパ性白血病に侵されていると知った大地(反町隆史)は、ついに華織(井川遥)との離婚を受け入れることを決意。華織には知らせず、ひとりで息子の闘病を支えていこうと覚悟を決める。    　徹夜続きの取材に追われながら、家事や羽雲の世話をこなそうと奮闘する大地。その表情には疲労の色が見え始めていた。そんな折、羽雲の抗がん剤治療がいよいよ始まることを円山(伊原剛志)から聞かされる。心身ともに辛い治療になるうえ、免疫力の低下で軽い感染症でも命に関わることがあると告げる円山。病室に向かった大地は羽雲に治療について説明をし始めるが、七海(榮倉奈々)からすでに説明を受けていた羽雲は「がんばる」と前向きな態度を見せる。　そんなある日、殺人事件の容疑者として少年が逮捕された。大地は少年の自宅前で張り込みを続けるが、家族は一向に姿を見せない。まもなく、少年の父親が警察署から自宅に向かったらしいとの連絡が入った。父親をつかまえて話を聞こうと意気込む大地だが、そのとき、病院から電話が入り…。</v>
      </c>
      <c r="N1467" s="2"/>
      <c r="O1467" s="2"/>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row>
    <row r="1468" ht="204.75" customHeight="1">
      <c r="A1468" s="1">
        <v>4356.0</v>
      </c>
      <c r="B1468" s="2" t="s">
        <v>4685</v>
      </c>
      <c r="C1468" s="2">
        <f>IFERROR(__xludf.DUMMYFUNCTION("split(B1468,""_"")"),1104.0)</f>
        <v>1104</v>
      </c>
      <c r="D1468" s="2" t="str">
        <f>IFERROR(__xludf.DUMMYFUNCTION("""COMPUTED_VALUE"""),"CX")</f>
        <v>CX</v>
      </c>
      <c r="E1468" s="2" t="str">
        <f>IFERROR(__xludf.DUMMYFUNCTION("""COMPUTED_VALUE"""),"火22")</f>
        <v>火22</v>
      </c>
      <c r="F1468" s="2" t="s">
        <v>4686</v>
      </c>
      <c r="G1468" s="2" t="s">
        <v>4696</v>
      </c>
      <c r="H1468" s="1">
        <v>4.0</v>
      </c>
      <c r="I1468" s="1" t="s">
        <v>14</v>
      </c>
      <c r="J1468" s="1" t="s">
        <v>86</v>
      </c>
      <c r="K1468" s="2" t="s">
        <v>4697</v>
      </c>
      <c r="L1468" s="8" t="s">
        <v>4698</v>
      </c>
      <c r="M1468" s="2" t="str">
        <f>IFERROR(__xludf.DUMMYFUNCTION("split(split(K1468,""反町隆史　"",false),""公式LINE"",false)"),"http://www.ktv.jp/goodlife/index.html　大地(反町隆史)は羽雲(加部亜門)の看病に専念しようとデスク昇進を断り、定時に帰宅できる資料部へ異動。仕事を終えて病院に通い、慣れないながらも懸命に羽雲の世話を続けていた。    　一方、羽雲は同じ病気で入院している藤本太陽(小山颯)と仲よくなり、病院での生活にも慣れ始めていた。母親の美紀(奥貫薫)に甘える太陽の姿を目にした羽雲は、華織(井川遥)がいないことを痛感。うらやましさから太陽にすねた態度をとり、ケンカをしてしまう。ところ"&amp;"が、ある日、太陽の容体が急変。まもなく息を引き取ってしまう。    　太陽の母親・美紀は羽雲にショックを与えまいと、太陽の病気が治って退院したと説明。だが、羽雲は何事かを察したのか、急速に元気をなくし、食事も摂れず、夜も眠れない日々を重ねていた。そんな羽雲を見かねた円山(伊原剛志)は真実を伝えるよう大地に助言するが、大地は羽雲が傷つくのを恐れて言い出すことができない。　そんな折、羽雲の入院を知った慎平(鹿賀丈史)が病院に現れ、元気のない羽雲の姿を目にしてがく然となる。    　一方、羽雲は太陽の話をあえて"&amp;"そらそうとする大地に反抗的な態度を取るようになっていた。ひとり思い悩む大地に七海(榮倉奈々)は、友だちの死は子どもにも伝えるべきだと助言。「悲しいときは泣いていい。ちゃんと泣かせてあげてください」という七海の言葉を聞いた大地の心に、ある思いが浮かび…。")</f>
        <v>http://www.ktv.jp/goodlife/index.html　大地(反町隆史)は羽雲(加部亜門)の看病に専念しようとデスク昇進を断り、定時に帰宅できる資料部へ異動。仕事を終えて病院に通い、慣れないながらも懸命に羽雲の世話を続けていた。    　一方、羽雲は同じ病気で入院している藤本太陽(小山颯)と仲よくなり、病院での生活にも慣れ始めていた。母親の美紀(奥貫薫)に甘える太陽の姿を目にした羽雲は、華織(井川遥)がいないことを痛感。うらやましさから太陽にすねた態度をとり、ケンカをしてしまう。ところが、ある日、太陽の容体が急変。まもなく息を引き取ってしまう。    　太陽の母親・美紀は羽雲にショックを与えまいと、太陽の病気が治って退院したと説明。だが、羽雲は何事かを察したのか、急速に元気をなくし、食事も摂れず、夜も眠れない日々を重ねていた。そんな羽雲を見かねた円山(伊原剛志)は真実を伝えるよう大地に助言するが、大地は羽雲が傷つくのを恐れて言い出すことができない。　そんな折、羽雲の入院を知った慎平(鹿賀丈史)が病院に現れ、元気のない羽雲の姿を目にしてがく然となる。    　一方、羽雲は太陽の話をあえてそらそうとする大地に反抗的な態度を取るようになっていた。ひとり思い悩む大地に七海(榮倉奈々)は、友だちの死は子どもにも伝えるべきだと助言。「悲しいときは泣いていい。ちゃんと泣かせてあげてください」という七海の言葉を聞いた大地の心に、ある思いが浮かび…。</v>
      </c>
      <c r="N1468" s="2"/>
      <c r="O1468" s="2"/>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row>
    <row r="1469" ht="204.75" customHeight="1">
      <c r="A1469" s="1">
        <v>4357.0</v>
      </c>
      <c r="B1469" s="2" t="s">
        <v>4685</v>
      </c>
      <c r="C1469" s="2">
        <f>IFERROR(__xludf.DUMMYFUNCTION("split(B1469,""_"")"),1104.0)</f>
        <v>1104</v>
      </c>
      <c r="D1469" s="2" t="str">
        <f>IFERROR(__xludf.DUMMYFUNCTION("""COMPUTED_VALUE"""),"CX")</f>
        <v>CX</v>
      </c>
      <c r="E1469" s="2" t="str">
        <f>IFERROR(__xludf.DUMMYFUNCTION("""COMPUTED_VALUE"""),"火22")</f>
        <v>火22</v>
      </c>
      <c r="F1469" s="2" t="s">
        <v>4686</v>
      </c>
      <c r="G1469" s="2" t="s">
        <v>4699</v>
      </c>
      <c r="H1469" s="1">
        <v>5.0</v>
      </c>
      <c r="I1469" s="1" t="s">
        <v>17</v>
      </c>
      <c r="J1469" s="1" t="s">
        <v>86</v>
      </c>
      <c r="K1469" s="2" t="s">
        <v>4700</v>
      </c>
      <c r="L1469" s="8" t="s">
        <v>4701</v>
      </c>
      <c r="M1469" s="2" t="str">
        <f>IFERROR(__xludf.DUMMYFUNCTION("split(split(K1469,""反町隆史　"",false),""公式LINE"",false)"),"http://www.ktv.jp/goodlife/index.html　羽雲(加部亜門)の治療は順調に進み、病状は安定。だが、気分がふさぎがちな羽雲を七海(榮倉奈々)は案じていた。大地(反町隆史)は、夏休みも終わってしまい、どこにも出かけられない羽雲がストレスを抱えていることに気づき、円山(伊原剛志)に外出許可を願い出るが、体調に注意が必要な時期だと難色を示される。    　そんなある日、華織(井川遥)が病院に現れ、羽雲の面会を求める。しかし、病院からは親権のある大地の許可がなければ、会わせることはで"&amp;"きないと断られてしまう。華織は羽雲に会わせて欲しいと大地に頼むが、冷たく突き放されてしまう。    　そんな折、円山から羽雲の外出許可が出た。大地は羽雲に白紙のカードを5枚渡し、願い事を5つ書くよう告げる。しかし、最後の1枚は前日の夜になっても、白紙のまま。それに気付いた大地は七海に、「子供は母親に会いたいものか」と独り言のように悩みを打ち明ける。そして待ちに待った外出の日、大地は羽雲の願いをすべて叶えてやろうと奮闘。その頃、大地に羽雲と会わせてもらえず、途方にくれていた華織は、慎平(鹿賀丈史)から「また"&amp;"、目をそらすのか。本当はどうしたいんだ?」と指摘され、ひと目でいいから羽雲に会いたいと心情を吐露する。    　一方、羽雲の4つ目の願いを叶えていた大地の携帯電話に華織から着信があり、羽雲に会わせて欲しいと懇願されるが…。")</f>
        <v>http://www.ktv.jp/goodlife/index.html　羽雲(加部亜門)の治療は順調に進み、病状は安定。だが、気分がふさぎがちな羽雲を七海(榮倉奈々)は案じていた。大地(反町隆史)は、夏休みも終わってしまい、どこにも出かけられない羽雲がストレスを抱えていることに気づき、円山(伊原剛志)に外出許可を願い出るが、体調に注意が必要な時期だと難色を示される。    　そんなある日、華織(井川遥)が病院に現れ、羽雲の面会を求める。しかし、病院からは親権のある大地の許可がなければ、会わせることはできないと断られてしまう。華織は羽雲に会わせて欲しいと大地に頼むが、冷たく突き放されてしまう。    　そんな折、円山から羽雲の外出許可が出た。大地は羽雲に白紙のカードを5枚渡し、願い事を5つ書くよう告げる。しかし、最後の1枚は前日の夜になっても、白紙のまま。それに気付いた大地は七海に、「子供は母親に会いたいものか」と独り言のように悩みを打ち明ける。そして待ちに待った外出の日、大地は羽雲の願いをすべて叶えてやろうと奮闘。その頃、大地に羽雲と会わせてもらえず、途方にくれていた華織は、慎平(鹿賀丈史)から「また、目をそらすのか。本当はどうしたいんだ?」と指摘され、ひと目でいいから羽雲に会いたいと心情を吐露する。    　一方、羽雲の4つ目の願いを叶えていた大地の携帯電話に華織から着信があり、羽雲に会わせて欲しいと懇願されるが…。</v>
      </c>
      <c r="N1469" s="2"/>
      <c r="O1469" s="2"/>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row>
    <row r="1470" ht="204.75" customHeight="1">
      <c r="A1470" s="1">
        <v>4358.0</v>
      </c>
      <c r="B1470" s="2" t="s">
        <v>4685</v>
      </c>
      <c r="C1470" s="2">
        <f>IFERROR(__xludf.DUMMYFUNCTION("split(B1470,""_"")"),1104.0)</f>
        <v>1104</v>
      </c>
      <c r="D1470" s="2" t="str">
        <f>IFERROR(__xludf.DUMMYFUNCTION("""COMPUTED_VALUE"""),"CX")</f>
        <v>CX</v>
      </c>
      <c r="E1470" s="2" t="str">
        <f>IFERROR(__xludf.DUMMYFUNCTION("""COMPUTED_VALUE"""),"火22")</f>
        <v>火22</v>
      </c>
      <c r="F1470" s="2" t="s">
        <v>4686</v>
      </c>
      <c r="G1470" s="2" t="s">
        <v>4702</v>
      </c>
      <c r="H1470" s="1">
        <v>6.0</v>
      </c>
      <c r="I1470" s="1" t="s">
        <v>21</v>
      </c>
      <c r="J1470" s="1" t="s">
        <v>86</v>
      </c>
      <c r="K1470" s="2" t="s">
        <v>4703</v>
      </c>
      <c r="L1470" s="8" t="s">
        <v>4704</v>
      </c>
      <c r="M1470" s="2" t="str">
        <f>IFERROR(__xludf.DUMMYFUNCTION("split(split(K1470,""反町隆史　"",false),""公式LINE"",false)"),"http://www.ktv.jp/goodlife/index.html　順調に治療が進んでいたはずの羽雲(加部亜門)の白血病が再発。抗がん剤治療での完治は難しいと判断した円山(伊原剛志)は、大地(反町隆史)に骨髄移植を提案するが、大地の白血球の型が羽雲と一致せず、移植は不可能と判明。大地はプライドを捨て、華織(井川遥)に血液検査を受けてもらうよう頼むが、残念ながら華織の型も適合しない…。    　結局、骨髄バンクに登録してドナーを探すことにするが、2カ月経ってもドナーは見つからない。これまでより強力な"&amp;"抗がん剤の副作用に苦しみ、日に日に体力が衰えていく羽雲を見守ることしかできない大地は、少しでも長くそばにいてやりたいという思いからついに会社を辞めてしまう。    　一方、華織は韓国から提供された骨髄で移植が成功した事例を知り、学会出席のため来日中の韓国の小児白血病の権威・李信基(イ・シンギ)教授(チョン・ウソン)を訪ねて会場のホテルへ赴く。そして李との面会を願い出るが、会うことはかなわなかった。    　その頃、羽雲が肺炎を起こし、危険な状態に陥っていた。苦しむ羽雲の姿をただ見守ることしかできない大地は"&amp;"無力感にさいなまれる。  　かたや、諦めきれない華織はホテルの前で待ち続け、その姿に気づいた李に声をかけられる。華織はすがる思いで血液検査の結果を渡し、羽雲の骨髄移植を叶えたいと訴えるが…。")</f>
        <v>http://www.ktv.jp/goodlife/index.html　順調に治療が進んでいたはずの羽雲(加部亜門)の白血病が再発。抗がん剤治療での完治は難しいと判断した円山(伊原剛志)は、大地(反町隆史)に骨髄移植を提案するが、大地の白血球の型が羽雲と一致せず、移植は不可能と判明。大地はプライドを捨て、華織(井川遥)に血液検査を受けてもらうよう頼むが、残念ながら華織の型も適合しない…。    　結局、骨髄バンクに登録してドナーを探すことにするが、2カ月経ってもドナーは見つからない。これまでより強力な抗がん剤の副作用に苦しみ、日に日に体力が衰えていく羽雲を見守ることしかできない大地は、少しでも長くそばにいてやりたいという思いからついに会社を辞めてしまう。    　一方、華織は韓国から提供された骨髄で移植が成功した事例を知り、学会出席のため来日中の韓国の小児白血病の権威・李信基(イ・シンギ)教授(チョン・ウソン)を訪ねて会場のホテルへ赴く。そして李との面会を願い出るが、会うことはかなわなかった。    　その頃、羽雲が肺炎を起こし、危険な状態に陥っていた。苦しむ羽雲の姿をただ見守ることしかできない大地は無力感にさいなまれる。  　かたや、諦めきれない華織はホテルの前で待ち続け、その姿に気づいた李に声をかけられる。華織はすがる思いで血液検査の結果を渡し、羽雲の骨髄移植を叶えたいと訴えるが…。</v>
      </c>
      <c r="N1470" s="2"/>
      <c r="O1470" s="2"/>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row>
    <row r="1471" ht="204.75" customHeight="1">
      <c r="A1471" s="1">
        <v>4359.0</v>
      </c>
      <c r="B1471" s="2" t="s">
        <v>4685</v>
      </c>
      <c r="C1471" s="2">
        <f>IFERROR(__xludf.DUMMYFUNCTION("split(B1471,""_"")"),1104.0)</f>
        <v>1104</v>
      </c>
      <c r="D1471" s="2" t="str">
        <f>IFERROR(__xludf.DUMMYFUNCTION("""COMPUTED_VALUE"""),"CX")</f>
        <v>CX</v>
      </c>
      <c r="E1471" s="2" t="str">
        <f>IFERROR(__xludf.DUMMYFUNCTION("""COMPUTED_VALUE"""),"火22")</f>
        <v>火22</v>
      </c>
      <c r="F1471" s="2" t="s">
        <v>4686</v>
      </c>
      <c r="G1471" s="2" t="s">
        <v>4705</v>
      </c>
      <c r="H1471" s="1">
        <v>7.0</v>
      </c>
      <c r="I1471" s="1" t="s">
        <v>25</v>
      </c>
      <c r="J1471" s="1" t="s">
        <v>86</v>
      </c>
      <c r="K1471" s="2" t="s">
        <v>4706</v>
      </c>
      <c r="L1471" s="8" t="s">
        <v>4707</v>
      </c>
      <c r="M1471" s="2" t="str">
        <f>IFERROR(__xludf.DUMMYFUNCTION("split(split(K1471,""反町隆史　"",false),""公式LINE"",false)"),"http://www.ktv.jp/goodlife/index.html羽雲(加部亜門)の骨髄移植のドナーが見つからないまま12月に入ったが、華織(井川遥)も見舞いに訪れるようになっていた。一方、大地(反町隆史)は羽雲の病室に詰めながらフリーライターの仕事を始めるが、慣れない仕事と介護の両立で疲労はピークに達していた。    日本の骨髄バンクを通じてコーディネートを依頼されていた韓国で、羽雲のドナーが見つかった。華織から羽雲を救って欲しいと頼まれていた李(チョン・ウソン)は、自ら羽雲の担当を希望。そして"&amp;"待ちわびる大地らにも、吉報がもたらされる。喜ぶ大地だったが、その矢先、外出先で倒れて、そのまま検査入院することに。ただの過労だとタカをくくっていた大地に、医師が告げた検査結果は…。    いよいよ羽雲の手術が行われることになるが、手術の前日、七海(榮倉奈々)はたまたま大地の検査結果を目にしてしまい、ショックを受ける。    数時間に及んだ手術は無事に終了。だが、円山(伊原剛志)からは移植された骨髄が羽雲の体にうまく生着するかどうかが判明するまで、2週間は経過を見なければならないと説明される。一方、大地と華"&amp;"織が離婚していると知った李は、大地に“カシコギ""という魚の話を始める。カシコギのオスはメスが生んだ稚魚を育て、子供が成長すると安心したかのように死んでいくという。“父親はどう生き、子どもに何を残して死んでいくべきなのか""という李の言葉が大地の胸に突き刺さり…。")</f>
        <v>http://www.ktv.jp/goodlife/index.html羽雲(加部亜門)の骨髄移植のドナーが見つからないまま12月に入ったが、華織(井川遥)も見舞いに訪れるようになっていた。一方、大地(反町隆史)は羽雲の病室に詰めながらフリーライターの仕事を始めるが、慣れない仕事と介護の両立で疲労はピークに達していた。    日本の骨髄バンクを通じてコーディネートを依頼されていた韓国で、羽雲のドナーが見つかった。華織から羽雲を救って欲しいと頼まれていた李(チョン・ウソン)は、自ら羽雲の担当を希望。そして待ちわびる大地らにも、吉報がもたらされる。喜ぶ大地だったが、その矢先、外出先で倒れて、そのまま検査入院することに。ただの過労だとタカをくくっていた大地に、医師が告げた検査結果は…。    いよいよ羽雲の手術が行われることになるが、手術の前日、七海(榮倉奈々)はたまたま大地の検査結果を目にしてしまい、ショックを受ける。    数時間に及んだ手術は無事に終了。だが、円山(伊原剛志)からは移植された骨髄が羽雲の体にうまく生着するかどうかが判明するまで、2週間は経過を見なければならないと説明される。一方、大地と華織が離婚していると知った李は、大地に“カシコギ"という魚の話を始める。カシコギのオスはメスが生んだ稚魚を育て、子供が成長すると安心したかのように死んでいくという。“父親はどう生き、子どもに何を残して死んでいくべきなのか"という李の言葉が大地の胸に突き刺さり…。</v>
      </c>
      <c r="N1471" s="2"/>
      <c r="O1471" s="2"/>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row>
    <row r="1472" ht="204.75" customHeight="1">
      <c r="A1472" s="1">
        <v>4360.0</v>
      </c>
      <c r="B1472" s="2" t="s">
        <v>4685</v>
      </c>
      <c r="C1472" s="2">
        <f>IFERROR(__xludf.DUMMYFUNCTION("split(B1472,""_"")"),1104.0)</f>
        <v>1104</v>
      </c>
      <c r="D1472" s="2" t="str">
        <f>IFERROR(__xludf.DUMMYFUNCTION("""COMPUTED_VALUE"""),"CX")</f>
        <v>CX</v>
      </c>
      <c r="E1472" s="2" t="str">
        <f>IFERROR(__xludf.DUMMYFUNCTION("""COMPUTED_VALUE"""),"火22")</f>
        <v>火22</v>
      </c>
      <c r="F1472" s="2" t="s">
        <v>4686</v>
      </c>
      <c r="G1472" s="2" t="s">
        <v>4708</v>
      </c>
      <c r="H1472" s="1">
        <v>8.0</v>
      </c>
      <c r="I1472" s="1" t="s">
        <v>29</v>
      </c>
      <c r="J1472" s="1" t="s">
        <v>86</v>
      </c>
      <c r="K1472" s="2" t="s">
        <v>4709</v>
      </c>
      <c r="L1472" s="8" t="s">
        <v>4710</v>
      </c>
      <c r="M1472" s="2" t="str">
        <f>IFERROR(__xludf.DUMMYFUNCTION("split(split(K1472,""反町隆史　"",false),""公式LINE"",false)"),"http://www.ktv.jp/goodlife/index.html　骨髄移植が成功し、順調に回復した羽雲(加部亜門)がついに退院の日を迎えた。大地(反町隆史)に連れられ、うれしそうに病院をあとにする羽雲だったが、大地が末期の膵臓ガンに侵されていることを知る七海(榮倉奈々)は、その背中を複雑な思いで見つめる。    　羽雲は長らく休んでいた小学校に復学。クラスメイトとの再会を楽しみに元気に通い始めるが、作文の発表もうまくできず、大地が一生懸命作ってくれた折り紙の「ゴリおさん」をこわされても、言い返す"&amp;"ことができない。そんな自分を弱虫だと感じ、落ち込んでいく羽雲。    　一方、羽雲が学校に慣れるまでは毎日迎えに行くと約束した大地だったが、ある日、七海に呼び出された先で痛みに襲われ、倒れてしまう。学校で心細げに大地を待ち続けていた羽雲は、担任から知らせを受けて駆けつけた華織(井川遥)の胸に、まっすぐに飛び込む。    　羽雲を連れ帰った華織は、ようやく電話がつながった大地から仕事で迎えに行けなかったと聞かされ、言葉を失う。自分の病気を隠し続ける大地を目の当たりにした七海は、病院で治療を受けるよう大地に告"&amp;"げるが、残された時間をすべて羽雲のために使いたいと思う大地の態度はかたくなだった。それでも諦めず「ちゃんと現実を見てください」と、大地を懸命に説得しようとする七海の言葉が、大地に突き刺さり…。")</f>
        <v>http://www.ktv.jp/goodlife/index.html　骨髄移植が成功し、順調に回復した羽雲(加部亜門)がついに退院の日を迎えた。大地(反町隆史)に連れられ、うれしそうに病院をあとにする羽雲だったが、大地が末期の膵臓ガンに侵されていることを知る七海(榮倉奈々)は、その背中を複雑な思いで見つめる。    　羽雲は長らく休んでいた小学校に復学。クラスメイトとの再会を楽しみに元気に通い始めるが、作文の発表もうまくできず、大地が一生懸命作ってくれた折り紙の「ゴリおさん」をこわされても、言い返すことができない。そんな自分を弱虫だと感じ、落ち込んでいく羽雲。    　一方、羽雲が学校に慣れるまでは毎日迎えに行くと約束した大地だったが、ある日、七海に呼び出された先で痛みに襲われ、倒れてしまう。学校で心細げに大地を待ち続けていた羽雲は、担任から知らせを受けて駆けつけた華織(井川遥)の胸に、まっすぐに飛び込む。    　羽雲を連れ帰った華織は、ようやく電話がつながった大地から仕事で迎えに行けなかったと聞かされ、言葉を失う。自分の病気を隠し続ける大地を目の当たりにした七海は、病院で治療を受けるよう大地に告げるが、残された時間をすべて羽雲のために使いたいと思う大地の態度はかたくなだった。それでも諦めず「ちゃんと現実を見てください」と、大地を懸命に説得しようとする七海の言葉が、大地に突き刺さり…。</v>
      </c>
      <c r="N1472" s="2"/>
      <c r="O1472" s="2"/>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row>
    <row r="1473" ht="204.75" customHeight="1">
      <c r="A1473" s="1">
        <v>4361.0</v>
      </c>
      <c r="B1473" s="2" t="s">
        <v>4685</v>
      </c>
      <c r="C1473" s="2">
        <f>IFERROR(__xludf.DUMMYFUNCTION("split(B1473,""_"")"),1104.0)</f>
        <v>1104</v>
      </c>
      <c r="D1473" s="2" t="str">
        <f>IFERROR(__xludf.DUMMYFUNCTION("""COMPUTED_VALUE"""),"CX")</f>
        <v>CX</v>
      </c>
      <c r="E1473" s="2" t="str">
        <f>IFERROR(__xludf.DUMMYFUNCTION("""COMPUTED_VALUE"""),"火22")</f>
        <v>火22</v>
      </c>
      <c r="F1473" s="2" t="s">
        <v>4686</v>
      </c>
      <c r="G1473" s="2" t="s">
        <v>4711</v>
      </c>
      <c r="H1473" s="1">
        <v>9.0</v>
      </c>
      <c r="I1473" s="1" t="s">
        <v>33</v>
      </c>
      <c r="J1473" s="1" t="s">
        <v>86</v>
      </c>
      <c r="K1473" s="2" t="s">
        <v>4712</v>
      </c>
      <c r="L1473" s="8" t="s">
        <v>4713</v>
      </c>
      <c r="M1473" s="2" t="str">
        <f>IFERROR(__xludf.DUMMYFUNCTION("split(split(K1473,""反町隆史　"",false),""公式LINE"",false)"),"http://www.ktv.jp/goodlife/index.html　意を決した大地(反町隆史)は、自分が末期のすい臓がんに冒されていることを、円山(伊原剛志)に打ち明け、「あとどれくらい生きられるか」と尋ねる。検査の結果、円山からは、がんがほかの臓器にも転移し、「あと1カ月もつかどうかもわからない」重篤な状態だと告げられる。    　円山は、これから激しい痛みに襲われる頻度が増え、羽雲(加部亜門)の前で命を落とす事態もありうると警告するが、大地は入院も治療も拒否。羽雲と親子の思い出を作るため、残さ"&amp;"れた時間をすべて費やす決意を固める。    　そんな折、羽雲が大地の田舎に行きたいと言い出した。父親の自殺を目の当たりにした大地にとって、故郷は辛い思い出しかなかったが、羽雲の願いを叶えたいと自分が生まれ育った港町に羽雲を連れて行こうと約束する。しかし、大地の体調はどんどん悪化の一途をたどっていくのだった。    　一方、華織(井川遥)は慎平(鹿賀丈史)からフランスでの仕事を持ちかけられる。キャリアを積む絶好のチャンスだが、2年は日本に戻れないという現実に、自らの夢と羽雲への思いの狭間で、華織の心は揺れる"&amp;"。    　その頃、故郷で羽雲と楽しい時間を過ごしていた大地は、親子の記念写真を撮ろうと写真館を訪れる。そこでふと思い立ち、自分ひとりの写真を撮影してもらうことに。表情を引き締め、覚悟を決めたようにカメラを見つめる大地の胸中は…。")</f>
        <v>http://www.ktv.jp/goodlife/index.html　意を決した大地(反町隆史)は、自分が末期のすい臓がんに冒されていることを、円山(伊原剛志)に打ち明け、「あとどれくらい生きられるか」と尋ねる。検査の結果、円山からは、がんがほかの臓器にも転移し、「あと1カ月もつかどうかもわからない」重篤な状態だと告げられる。    　円山は、これから激しい痛みに襲われる頻度が増え、羽雲(加部亜門)の前で命を落とす事態もありうると警告するが、大地は入院も治療も拒否。羽雲と親子の思い出を作るため、残された時間をすべて費やす決意を固める。    　そんな折、羽雲が大地の田舎に行きたいと言い出した。父親の自殺を目の当たりにした大地にとって、故郷は辛い思い出しかなかったが、羽雲の願いを叶えたいと自分が生まれ育った港町に羽雲を連れて行こうと約束する。しかし、大地の体調はどんどん悪化の一途をたどっていくのだった。    　一方、華織(井川遥)は慎平(鹿賀丈史)からフランスでの仕事を持ちかけられる。キャリアを積む絶好のチャンスだが、2年は日本に戻れないという現実に、自らの夢と羽雲への思いの狭間で、華織の心は揺れる。    　その頃、故郷で羽雲と楽しい時間を過ごしていた大地は、親子の記念写真を撮ろうと写真館を訪れる。そこでふと思い立ち、自分ひとりの写真を撮影してもらうことに。表情を引き締め、覚悟を決めたようにカメラを見つめる大地の胸中は…。</v>
      </c>
      <c r="N1473" s="2"/>
      <c r="O1473" s="2"/>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row>
    <row r="1474" ht="204.75" customHeight="1">
      <c r="A1474" s="1">
        <v>4362.0</v>
      </c>
      <c r="B1474" s="2" t="s">
        <v>4685</v>
      </c>
      <c r="C1474" s="2">
        <f>IFERROR(__xludf.DUMMYFUNCTION("split(B1474,""_"")"),1104.0)</f>
        <v>1104</v>
      </c>
      <c r="D1474" s="2" t="str">
        <f>IFERROR(__xludf.DUMMYFUNCTION("""COMPUTED_VALUE"""),"CX")</f>
        <v>CX</v>
      </c>
      <c r="E1474" s="2" t="str">
        <f>IFERROR(__xludf.DUMMYFUNCTION("""COMPUTED_VALUE"""),"火22")</f>
        <v>火22</v>
      </c>
      <c r="F1474" s="2" t="s">
        <v>4686</v>
      </c>
      <c r="G1474" s="2" t="s">
        <v>4714</v>
      </c>
      <c r="H1474" s="1">
        <v>10.0</v>
      </c>
      <c r="I1474" s="1" t="s">
        <v>37</v>
      </c>
      <c r="J1474" s="1" t="s">
        <v>86</v>
      </c>
      <c r="K1474" s="2" t="s">
        <v>4715</v>
      </c>
      <c r="L1474" s="8" t="s">
        <v>4716</v>
      </c>
      <c r="M1474" s="2" t="str">
        <f>IFERROR(__xludf.DUMMYFUNCTION("split(split(K1474,""反町隆史　"",false),""公式LINE"",false)"),"http://www.ktv.jp/goodlife/index.html　羽雲(加部亜門)の目の前で倒れた大地(反町隆史)は、もう羽雲の面倒を見ることができないと悟り、しばらく羽雲を預かって欲しいと華織(井川遥)に連絡。その翌朝、大地は何事もないように羽雲を学校へ送り出し、ひとり病院へと向かう。    　円山(伊原剛志)の前で意識を失い、そのまま入院することになった大地は、羽雲に連絡しようとする円山を制し、羽雲とはもう一緒には暮らせないと口にする。その頃、羽雲は、華織のもとで大地の帰りを待ちわびていた…"&amp;"。    　数日後、大地は病院を抜け出すと、編集者に会って今後の仕事を断り、世話になった元上司・奥田(北見敏之)を飲みに誘って密かに最後の別れを告げる。その夜、自宅に帰った大地は、まるで自分が消えゆく怖さを打ち消すように黙々と私物を処分し、ひたすら身辺整理を続けるのだった。    　翌日、大地は慎平(鹿賀丈史)を訪ね、自らのがんを告白し、華織と羽雲の今後を見守ってやって欲しい、2人には病気のことを黙っていて欲しいと深く頭を下げる。慎平はそんな大地の姿を目の前にかける言葉も見つからない。    　大地は最後"&amp;"に華織を呼び出し、羽雲を引き取って欲しいと切り出す。華織に事情を知らせたくない大地は、羽雲の世話に疲れ、記者に復帰することにした、と淡々と嘘を語るが、何も知らない華織は絶句。羽雲が大地の帰りを待ち続けているという華織の言葉にも、耳を貸さず去っていくが…。")</f>
        <v>http://www.ktv.jp/goodlife/index.html　羽雲(加部亜門)の目の前で倒れた大地(反町隆史)は、もう羽雲の面倒を見ることができないと悟り、しばらく羽雲を預かって欲しいと華織(井川遥)に連絡。その翌朝、大地は何事もないように羽雲を学校へ送り出し、ひとり病院へと向かう。    　円山(伊原剛志)の前で意識を失い、そのまま入院することになった大地は、羽雲に連絡しようとする円山を制し、羽雲とはもう一緒には暮らせないと口にする。その頃、羽雲は、華織のもとで大地の帰りを待ちわびていた…。    　数日後、大地は病院を抜け出すと、編集者に会って今後の仕事を断り、世話になった元上司・奥田(北見敏之)を飲みに誘って密かに最後の別れを告げる。その夜、自宅に帰った大地は、まるで自分が消えゆく怖さを打ち消すように黙々と私物を処分し、ひたすら身辺整理を続けるのだった。    　翌日、大地は慎平(鹿賀丈史)を訪ね、自らのがんを告白し、華織と羽雲の今後を見守ってやって欲しい、2人には病気のことを黙っていて欲しいと深く頭を下げる。慎平はそんな大地の姿を目の前にかける言葉も見つからない。    　大地は最後に華織を呼び出し、羽雲を引き取って欲しいと切り出す。華織に事情を知らせたくない大地は、羽雲の世話に疲れ、記者に復帰することにした、と淡々と嘘を語るが、何も知らない華織は絶句。羽雲が大地の帰りを待ち続けているという華織の言葉にも、耳を貸さず去っていくが…。</v>
      </c>
      <c r="N1474" s="2"/>
      <c r="O1474" s="2"/>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row>
    <row r="1475" ht="204.75" customHeight="1">
      <c r="A1475" s="1">
        <v>4363.0</v>
      </c>
      <c r="B1475" s="2" t="s">
        <v>4685</v>
      </c>
      <c r="C1475" s="2">
        <f>IFERROR(__xludf.DUMMYFUNCTION("split(B1475,""_"")"),1104.0)</f>
        <v>1104</v>
      </c>
      <c r="D1475" s="2" t="str">
        <f>IFERROR(__xludf.DUMMYFUNCTION("""COMPUTED_VALUE"""),"CX")</f>
        <v>CX</v>
      </c>
      <c r="E1475" s="2" t="str">
        <f>IFERROR(__xludf.DUMMYFUNCTION("""COMPUTED_VALUE"""),"火22")</f>
        <v>火22</v>
      </c>
      <c r="F1475" s="2" t="s">
        <v>4686</v>
      </c>
      <c r="G1475" s="2" t="s">
        <v>4717</v>
      </c>
      <c r="H1475" s="1">
        <v>11.0</v>
      </c>
      <c r="I1475" s="1" t="s">
        <v>41</v>
      </c>
      <c r="J1475" s="1" t="s">
        <v>86</v>
      </c>
      <c r="K1475" s="2" t="s">
        <v>4718</v>
      </c>
      <c r="L1475" s="8" t="s">
        <v>4719</v>
      </c>
      <c r="M1475" s="2" t="str">
        <f>IFERROR(__xludf.DUMMYFUNCTION("split(split(K1475,""反町隆史　"",false),""公式LINE"",false)"),"http://www.ktv.jp/goodlife/index.html華織(井川遥)と暮らし始めた羽雲(加部亜門)は、大地(反町隆史)のことなど忘れたかのように明るく振る舞っていた。しかし羽雲が、強がって無理をしていると気づいた華織は、慎平(鹿賀丈史)に会い、羽雲の心に大地がいる間は日本を離れられないとフランス行きを辞退する。    そんなある日、羽雲はついに大地に会いたい気持ちを抑えきれなくなり、一緒に暮らしていたマンションへ出かける。が、すでに部屋は引き払われていた。追ってきた華織も無人の部屋で泣"&amp;"き崩れる羽雲を見つけ、大地が何も言わず姿を消したことを悟ってがく然となる。    一方、大地は明青医大からホスピスに転院し、ひとり静かに最期の時間を過ごしていた。訪ねてきた七海(榮倉奈々)にも「息子が本当のことを知る日が来たら渡して欲しい」と羽雲への手紙を託し、かたくなにひとりで最期を迎える覚悟を決めていた。    大地の行方を探す華織は、手掛かりを探し、マンションから持ち帰った郵便物を調べていた。そこに大地の遺影のような写真を見つけ、胸騒ぎを覚えて七海のもとを訪れる。大地のことで何か知っていれば教えてほ"&amp;"しいと頼む華織に、七海は何も知らないとしらを切るが…。    その頃、ホスピスには円山(伊原剛志)が訪ねていた。「羽雲にしてやれることはもうない。私の役目は終わった」と羽雲に会わないまま最期を迎えようとする大地に、円山は「本当にそうでしょうか?」と諭すように話し始め…")</f>
        <v>http://www.ktv.jp/goodlife/index.html華織(井川遥)と暮らし始めた羽雲(加部亜門)は、大地(反町隆史)のことなど忘れたかのように明るく振る舞っていた。しかし羽雲が、強がって無理をしていると気づいた華織は、慎平(鹿賀丈史)に会い、羽雲の心に大地がいる間は日本を離れられないとフランス行きを辞退する。    そんなある日、羽雲はついに大地に会いたい気持ちを抑えきれなくなり、一緒に暮らしていたマンションへ出かける。が、すでに部屋は引き払われていた。追ってきた華織も無人の部屋で泣き崩れる羽雲を見つけ、大地が何も言わず姿を消したことを悟ってがく然となる。    一方、大地は明青医大からホスピスに転院し、ひとり静かに最期の時間を過ごしていた。訪ねてきた七海(榮倉奈々)にも「息子が本当のことを知る日が来たら渡して欲しい」と羽雲への手紙を託し、かたくなにひとりで最期を迎える覚悟を決めていた。    大地の行方を探す華織は、手掛かりを探し、マンションから持ち帰った郵便物を調べていた。そこに大地の遺影のような写真を見つけ、胸騒ぎを覚えて七海のもとを訪れる。大地のことで何か知っていれば教えてほしいと頼む華織に、七海は何も知らないとしらを切るが…。    その頃、ホスピスには円山(伊原剛志)が訪ねていた。「羽雲にしてやれることはもうない。私の役目は終わった」と羽雲に会わないまま最期を迎えようとする大地に、円山は「本当にそうでしょうか?」と諭すように話し始め…</v>
      </c>
      <c r="N1475" s="2"/>
      <c r="O1475" s="2"/>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row>
    <row r="1476" ht="204.75" customHeight="1">
      <c r="A1476" s="1">
        <v>4385.0</v>
      </c>
      <c r="B1476" s="2" t="s">
        <v>4720</v>
      </c>
      <c r="C1476" s="2">
        <f>IFERROR(__xludf.DUMMYFUNCTION("split(B1476,""_"")"),1104.0)</f>
        <v>1104</v>
      </c>
      <c r="D1476" s="2" t="str">
        <f>IFERROR(__xludf.DUMMYFUNCTION("""COMPUTED_VALUE"""),"CX")</f>
        <v>CX</v>
      </c>
      <c r="E1476" s="2" t="str">
        <f>IFERROR(__xludf.DUMMYFUNCTION("""COMPUTED_VALUE"""),"木22")</f>
        <v>木22</v>
      </c>
      <c r="F1476" s="2" t="s">
        <v>4721</v>
      </c>
      <c r="G1476" s="2" t="s">
        <v>4722</v>
      </c>
      <c r="H1476" s="1">
        <v>1.0</v>
      </c>
      <c r="I1476" s="1" t="s">
        <v>3</v>
      </c>
      <c r="J1476" s="1" t="s">
        <v>82</v>
      </c>
      <c r="K1476" s="4" t="s">
        <v>4723</v>
      </c>
      <c r="L1476" s="2" t="s">
        <v>4724</v>
      </c>
      <c r="M1476" s="2" t="str">
        <f>IFERROR(__xludf.DUMMYFUNCTION("split(split(K1476,""天海祐希　"",false),""公式LINE"",false)"),"2年前ーー。  　警視庁の裏金汚職問題に巻き込まれ、大澤絵里子(天海祐希)が室長を務めた捜査一課「特別犯罪対策室」は解散、責任を取った絵里子は渡米しようとしていた。と、そこへ、参事官補佐・野立信次郎(竹野内豊)から連絡が入った。反政府組織「黒い月」が、警察トップの国家公安委員長・黒原健蔵(西田敏行)を狙撃すると声明を出したというのだ。しかも、今日行われるイベントで狙われる可能性が高いという。野立は、対策室のメンバーを会場に向かわせたから、絵里子にも急行しろ、と指示する。  　会場に着いた絵里子は、黒原に避"&amp;"難してほしいと告げるが、黒原は警察のトップは逃げられない、と拒否。  　一方、対策室の木元真実(戸田恵梨香)は会場横のビルで爆弾を発見し、処理を開始。片桐琢磨(玉山鉄二)、山村啓輔(温水洋一)、花形一平(溝端淳平)、岩井善治(ケンドーコバヤシ)も、不審者の捜索をする。真実は爆弾の処理を完了するが、よく見ると、爆弾はニセモノだった。と、そのとき、絵里子は、銃のスコープの反射を感知。とっさに、黒原に覆いかぶさるが、黒原は背中に被弾してしまう。しかも、犯人を確保することができなかった。  　黒原狙撃の責任を取ら"&amp;"され、対策室は再び解散、絵里子は渡米した。  　それから、2年ーー。参事官となった野立は、ある重要事件を引き受けることをキッカケに特別犯罪対策室を復活させる…。")</f>
        <v>2年前ーー。  　警視庁の裏金汚職問題に巻き込まれ、大澤絵里子(天海祐希)が室長を務めた捜査一課「特別犯罪対策室」は解散、責任を取った絵里子は渡米しようとしていた。と、そこへ、参事官補佐・野立信次郎(竹野内豊)から連絡が入った。反政府組織「黒い月」が、警察トップの国家公安委員長・黒原健蔵(西田敏行)を狙撃すると声明を出したというのだ。しかも、今日行われるイベントで狙われる可能性が高いという。野立は、対策室のメンバーを会場に向かわせたから、絵里子にも急行しろ、と指示する。  　会場に着いた絵里子は、黒原に避難してほしいと告げるが、黒原は警察のトップは逃げられない、と拒否。  　一方、対策室の木元真実(戸田恵梨香)は会場横のビルで爆弾を発見し、処理を開始。片桐琢磨(玉山鉄二)、山村啓輔(温水洋一)、花形一平(溝端淳平)、岩井善治(ケンドーコバヤシ)も、不審者の捜索をする。真実は爆弾の処理を完了するが、よく見ると、爆弾はニセモノだった。と、そのとき、絵里子は、銃のスコープの反射を感知。とっさに、黒原に覆いかぶさるが、黒原は背中に被弾してしまう。しかも、犯人を確保することができなかった。  　黒原狙撃の責任を取らされ、対策室は再び解散、絵里子は渡米した。  　それから、2年ーー。参事官となった野立は、ある重要事件を引き受けることをキッカケに特別犯罪対策室を復活させる…。</v>
      </c>
      <c r="N1476" s="2"/>
      <c r="O1476" s="2"/>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row>
    <row r="1477" ht="204.75" customHeight="1">
      <c r="A1477" s="1">
        <v>4386.0</v>
      </c>
      <c r="B1477" s="2" t="s">
        <v>4720</v>
      </c>
      <c r="C1477" s="2">
        <f>IFERROR(__xludf.DUMMYFUNCTION("split(B1477,""_"")"),1104.0)</f>
        <v>1104</v>
      </c>
      <c r="D1477" s="2" t="str">
        <f>IFERROR(__xludf.DUMMYFUNCTION("""COMPUTED_VALUE"""),"CX")</f>
        <v>CX</v>
      </c>
      <c r="E1477" s="2" t="str">
        <f>IFERROR(__xludf.DUMMYFUNCTION("""COMPUTED_VALUE"""),"木22")</f>
        <v>木22</v>
      </c>
      <c r="F1477" s="2" t="s">
        <v>4721</v>
      </c>
      <c r="G1477" s="2" t="s">
        <v>4725</v>
      </c>
      <c r="H1477" s="1">
        <v>2.0</v>
      </c>
      <c r="I1477" s="1" t="s">
        <v>7</v>
      </c>
      <c r="J1477" s="1" t="s">
        <v>86</v>
      </c>
      <c r="K1477" s="2" t="s">
        <v>4726</v>
      </c>
      <c r="L1477" s="2" t="s">
        <v>4727</v>
      </c>
      <c r="M1477" s="2" t="str">
        <f>IFERROR(__xludf.DUMMYFUNCTION("split(split(K1477,""天海祐希　"",false),""公式LINE"",false)"),"大澤絵里子(天海祐希)は、野立信次郎(竹野内豊)に、連続殺人犯は沼田良美(釈由美子)だと告げた。良美は、絵里子のストーカーで、絵里子が憎んでいると思う人物を殺したというのだ。そして、今、ターゲットは、野立や「特別対策室」のメンバーに変わりつつあると説明した。  　そんななか、絵里子は、片桐琢磨(玉山鉄二)から、良美が木元真実(戸田恵梨香)と一緒だと聞き、真実に危険が及ぶと直感。案の定、絵里子にメールが届き、添付画像に、倉庫に寝かされた真実がいた。  　対策室には、山村啓輔(温水洋一)、花形一平(溝端淳平)"&amp;"、岩井善治(ケンドーコバヤシ)らがいたが、手掛かりを探せないでいた。そんなとき、田所幸子(長谷川京子)が、良美のコートから残留物を発見。そこから、とある倉庫が浮上、山村と岩井が急行する。そこへ、良美から電話が入った。絵里子は逆探知を指示し、車で移動中の良美の場所を突き止めた。それを確認し、片桐と花形が現場へと向かった。  　絵里子は、良美の気を引くため、会話を続けていた。やがて、山村らが倉庫に到着。片桐らも、良美のものと思われる車を発見した。対策室で状況を追う野立は、突入を指示。が、その瞬間、絵里子はそれ"&amp;"が罠だとひらめく。事実、それぞれの現場で爆弾が爆発。4人は無事だったが、良美も真実も発見できなかった。  　その状況報告を受けた絵里子は、良美に面会を申し出た…。")</f>
        <v>大澤絵里子(天海祐希)は、野立信次郎(竹野内豊)に、連続殺人犯は沼田良美(釈由美子)だと告げた。良美は、絵里子のストーカーで、絵里子が憎んでいると思う人物を殺したというのだ。そして、今、ターゲットは、野立や「特別対策室」のメンバーに変わりつつあると説明した。  　そんななか、絵里子は、片桐琢磨(玉山鉄二)から、良美が木元真実(戸田恵梨香)と一緒だと聞き、真実に危険が及ぶと直感。案の定、絵里子にメールが届き、添付画像に、倉庫に寝かされた真実がいた。  　対策室には、山村啓輔(温水洋一)、花形一平(溝端淳平)、岩井善治(ケンドーコバヤシ)らがいたが、手掛かりを探せないでいた。そんなとき、田所幸子(長谷川京子)が、良美のコートから残留物を発見。そこから、とある倉庫が浮上、山村と岩井が急行する。そこへ、良美から電話が入った。絵里子は逆探知を指示し、車で移動中の良美の場所を突き止めた。それを確認し、片桐と花形が現場へと向かった。  　絵里子は、良美の気を引くため、会話を続けていた。やがて、山村らが倉庫に到着。片桐らも、良美のものと思われる車を発見した。対策室で状況を追う野立は、突入を指示。が、その瞬間、絵里子はそれが罠だとひらめく。事実、それぞれの現場で爆弾が爆発。4人は無事だったが、良美も真実も発見できなかった。  　その状況報告を受けた絵里子は、良美に面会を申し出た…。</v>
      </c>
      <c r="N1477" s="2"/>
      <c r="O1477" s="2"/>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row>
    <row r="1478" ht="204.75" customHeight="1">
      <c r="A1478" s="1">
        <v>4387.0</v>
      </c>
      <c r="B1478" s="2" t="s">
        <v>4720</v>
      </c>
      <c r="C1478" s="2">
        <f>IFERROR(__xludf.DUMMYFUNCTION("split(B1478,""_"")"),1104.0)</f>
        <v>1104</v>
      </c>
      <c r="D1478" s="2" t="str">
        <f>IFERROR(__xludf.DUMMYFUNCTION("""COMPUTED_VALUE"""),"CX")</f>
        <v>CX</v>
      </c>
      <c r="E1478" s="2" t="str">
        <f>IFERROR(__xludf.DUMMYFUNCTION("""COMPUTED_VALUE"""),"木22")</f>
        <v>木22</v>
      </c>
      <c r="F1478" s="2" t="s">
        <v>4721</v>
      </c>
      <c r="G1478" s="2" t="s">
        <v>4728</v>
      </c>
      <c r="H1478" s="1">
        <v>3.0</v>
      </c>
      <c r="I1478" s="1" t="s">
        <v>10</v>
      </c>
      <c r="J1478" s="1" t="s">
        <v>86</v>
      </c>
      <c r="K1478" s="2" t="s">
        <v>4729</v>
      </c>
      <c r="L1478" s="2" t="s">
        <v>4730</v>
      </c>
      <c r="M1478" s="2" t="str">
        <f>IFERROR(__xludf.DUMMYFUNCTION("split(split(K1478,""天海祐希　"",false),""公式LINE"",false)"),"男性4人が殺される連続殺人が起き、大澤絵里子(天海祐希)は、片桐琢磨(玉山鉄二)と、4番目の犠牲者・蒼井(圷真樹)が社長を務めていた出版社を訪ねる。出版社が騒然とするなか、役員でもある編集者の佐神(山本耕史)、山地(戸田菜穂)は平然としていた。佐神は、地味だった出版社を変えたやり手で、蒼井とは対立関係だったという。一方、先代の社長の愛人とも噂される山地も、関係はよくなかったという。　そんななか、片桐はある本の「ヘンリー・ルーカス」という文字に目を留めた。ヘンリー・ルーカスは、“死の腕""という殺人組織に属"&amp;"していたというアメリカの連続殺人犯で、今回、最初の殺人後に出された犯行声明に、“死の腕""とあったからだ。その本の担当編集は、小堀(野間口徹)という人物だった。  　「対策室」に戻った絵里子は、片桐、山村啓輔(温水洋一)、花形一平(溝端淳平)、岩井善治(ケンドーコバヤシ)、田所幸子(長谷川京子)らと事件を整理するが、犯人像を絞り込むことができない。  　そこへ、男が、殺人未遂容疑で逮捕されたとの連絡が入る。野口(ムロツヨシ)というその男は、“死の腕""を名乗り連続殺人を犯したと自供。事件は解決かと思われた"&amp;"が、絵里子は、野立信次郎(竹野内豊)に、野口が犯したのは最初の3件で、4件目は別の人物だと断言。実際、黒原理香(成海璃子)の分析でも、4件目が一致しないと出ていた…。")</f>
        <v>男性4人が殺される連続殺人が起き、大澤絵里子(天海祐希)は、片桐琢磨(玉山鉄二)と、4番目の犠牲者・蒼井(圷真樹)が社長を務めていた出版社を訪ねる。出版社が騒然とするなか、役員でもある編集者の佐神(山本耕史)、山地(戸田菜穂)は平然としていた。佐神は、地味だった出版社を変えたやり手で、蒼井とは対立関係だったという。一方、先代の社長の愛人とも噂される山地も、関係はよくなかったという。　そんななか、片桐はある本の「ヘンリー・ルーカス」という文字に目を留めた。ヘンリー・ルーカスは、“死の腕"という殺人組織に属していたというアメリカの連続殺人犯で、今回、最初の殺人後に出された犯行声明に、“死の腕"とあったからだ。その本の担当編集は、小堀(野間口徹)という人物だった。  　「対策室」に戻った絵里子は、片桐、山村啓輔(温水洋一)、花形一平(溝端淳平)、岩井善治(ケンドーコバヤシ)、田所幸子(長谷川京子)らと事件を整理するが、犯人像を絞り込むことができない。  　そこへ、男が、殺人未遂容疑で逮捕されたとの連絡が入る。野口(ムロツヨシ)というその男は、“死の腕"を名乗り連続殺人を犯したと自供。事件は解決かと思われたが、絵里子は、野立信次郎(竹野内豊)に、野口が犯したのは最初の3件で、4件目は別の人物だと断言。実際、黒原理香(成海璃子)の分析でも、4件目が一致しないと出ていた…。</v>
      </c>
      <c r="N1478" s="2"/>
      <c r="O1478" s="2"/>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row>
    <row r="1479" ht="204.75" customHeight="1">
      <c r="A1479" s="1">
        <v>4388.0</v>
      </c>
      <c r="B1479" s="2" t="s">
        <v>4720</v>
      </c>
      <c r="C1479" s="2">
        <f>IFERROR(__xludf.DUMMYFUNCTION("split(B1479,""_"")"),1104.0)</f>
        <v>1104</v>
      </c>
      <c r="D1479" s="2" t="str">
        <f>IFERROR(__xludf.DUMMYFUNCTION("""COMPUTED_VALUE"""),"CX")</f>
        <v>CX</v>
      </c>
      <c r="E1479" s="2" t="str">
        <f>IFERROR(__xludf.DUMMYFUNCTION("""COMPUTED_VALUE"""),"木22")</f>
        <v>木22</v>
      </c>
      <c r="F1479" s="2" t="s">
        <v>4721</v>
      </c>
      <c r="G1479" s="2" t="s">
        <v>4731</v>
      </c>
      <c r="H1479" s="1">
        <v>4.0</v>
      </c>
      <c r="I1479" s="1" t="s">
        <v>14</v>
      </c>
      <c r="J1479" s="1" t="s">
        <v>86</v>
      </c>
      <c r="K1479" s="2" t="s">
        <v>4732</v>
      </c>
      <c r="L1479" s="2" t="s">
        <v>4733</v>
      </c>
      <c r="M1479" s="2" t="str">
        <f>IFERROR(__xludf.DUMMYFUNCTION("split(split(K1479,""天海祐希　"",false),""公式LINE"",false)"),"大澤絵里子(天海祐希)が、病気で通院することとなり「対策室」を留守にすることが増えた。野立信次郎(竹野内豊)は、片桐琢磨(玉山鉄二)ら対策室のメンバーに、捜査の出来がよければ絵里子に代わりボスの座につける可能性があると煽り、山村啓輔(温水洋一)、花形一平(溝端淳平)、岩井善治(ケンドーコバヤシ)、田所幸子(長谷川京子)までもが、その気になる。  　そんな折、真田幸雄という若い男がボーガンで射殺される事件が起こり、対策室のメンバーが捜査に乗り出した。  　その頃、絵里子は、病院で顔見知りとなった黒木泰平(古"&amp;"谷一行)と将棋を指していた。洞察力の鋭い黒木は、絵里子が仕事が気になっているようだ、と言い当てる。  　対策室に戻った絵里子は、事件の詳細とともに、真田は偽名で、実際は身元不明だと報告を受けた。さらに、石田光彦という男がボーガンで射殺されたが、石田も偽名で身元不明だった。  　その後、黒原理香(成海璃子)が行った遺留品の捜査から、あるコンビニが浮上。そこでの目撃証言から、石田の不可解な素顔が浮き彫りになった。  　そんななか、山村に実家の母親から、大けがをしたから金を送ってほしいと連絡が入る。慌てた山村は"&amp;"振り込みのため銀行へ行くが、不審に思った岩井が制する。それを振り切ろうとした山村は、壁に貼られたポスターを見て凍りつく。振り込め詐欺の容疑者としてそこに載っていた男が、真田だったのだ。")</f>
        <v>大澤絵里子(天海祐希)が、病気で通院することとなり「対策室」を留守にすることが増えた。野立信次郎(竹野内豊)は、片桐琢磨(玉山鉄二)ら対策室のメンバーに、捜査の出来がよければ絵里子に代わりボスの座につける可能性があると煽り、山村啓輔(温水洋一)、花形一平(溝端淳平)、岩井善治(ケンドーコバヤシ)、田所幸子(長谷川京子)までもが、その気になる。  　そんな折、真田幸雄という若い男がボーガンで射殺される事件が起こり、対策室のメンバーが捜査に乗り出した。  　その頃、絵里子は、病院で顔見知りとなった黒木泰平(古谷一行)と将棋を指していた。洞察力の鋭い黒木は、絵里子が仕事が気になっているようだ、と言い当てる。  　対策室に戻った絵里子は、事件の詳細とともに、真田は偽名で、実際は身元不明だと報告を受けた。さらに、石田光彦という男がボーガンで射殺されたが、石田も偽名で身元不明だった。  　その後、黒原理香(成海璃子)が行った遺留品の捜査から、あるコンビニが浮上。そこでの目撃証言から、石田の不可解な素顔が浮き彫りになった。  　そんななか、山村に実家の母親から、大けがをしたから金を送ってほしいと連絡が入る。慌てた山村は振り込みのため銀行へ行くが、不審に思った岩井が制する。それを振り切ろうとした山村は、壁に貼られたポスターを見て凍りつく。振り込め詐欺の容疑者としてそこに載っていた男が、真田だったのだ。</v>
      </c>
      <c r="N1479" s="2"/>
      <c r="O1479" s="2"/>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row>
    <row r="1480" ht="204.75" customHeight="1">
      <c r="A1480" s="1">
        <v>4389.0</v>
      </c>
      <c r="B1480" s="2" t="s">
        <v>4720</v>
      </c>
      <c r="C1480" s="2">
        <f>IFERROR(__xludf.DUMMYFUNCTION("split(B1480,""_"")"),1104.0)</f>
        <v>1104</v>
      </c>
      <c r="D1480" s="2" t="str">
        <f>IFERROR(__xludf.DUMMYFUNCTION("""COMPUTED_VALUE"""),"CX")</f>
        <v>CX</v>
      </c>
      <c r="E1480" s="2" t="str">
        <f>IFERROR(__xludf.DUMMYFUNCTION("""COMPUTED_VALUE"""),"木22")</f>
        <v>木22</v>
      </c>
      <c r="F1480" s="2" t="s">
        <v>4721</v>
      </c>
      <c r="G1480" s="2" t="s">
        <v>4734</v>
      </c>
      <c r="H1480" s="1">
        <v>5.0</v>
      </c>
      <c r="I1480" s="1" t="s">
        <v>17</v>
      </c>
      <c r="J1480" s="1" t="s">
        <v>86</v>
      </c>
      <c r="K1480" s="2" t="s">
        <v>4735</v>
      </c>
      <c r="L1480" s="2" t="s">
        <v>4736</v>
      </c>
      <c r="M1480" s="2" t="str">
        <f>IFERROR(__xludf.DUMMYFUNCTION("split(split(K1480,""天海祐希　"",false),""公式LINE"",false)"),"女性3人が失踪する事件が起こった。水曜日に失踪したという以外3人に共通点はないが、大澤絵里子(天海祐希)は、そのうちの青木洋子と接点がある、主婦でカリスマブロガーの山本香苗(松下由樹)を訪ねる。岩井善治(ケンドーコバヤシ)とともに、香苗宅に通された絵里子は、高校の同級生で仲も良かった洋子が行方不明だと聞いても、動揺を見せない香苗に違和感を抱く。  　「対策室」に戻った絵里子は、片桐琢磨(玉山鉄二)、花形一平(溝端淳平)、山村啓輔(温水洋一)らから、洋子以外のふたりの女性の特徴を聞くが、やはり接点は見いだせ"&amp;"ない。しかし、絵里子は、この犯行には香苗が関わっていると示唆した。  　その後、香苗のブログを調べていた絵里子は、「ゆっくりできるのは水曜日くらい」という一文を見つけた。また、「広告代理店のKさん」と記述される人物が、行方不明の片柳沙織なのでは、と推測。さらに、黒原理香(成海璃子)が解析していた洋子のパソコンから、気になるメールが見つかった。  　一方、いわゆる“ヤンママ""の高畠美羽の行方を捜査していた花形と田所幸子(長谷川京子)は、香苗と美羽の接点を見つけた。  　絵里子は、再び香苗宅を訪ね3人との共"&amp;"通点のことを話すが、香苗は証拠はあるのか、と平然と切り返す。  　その日の夜、絵里子は野立信次郎(竹野内豊)に、一連の事件は香苗の犯行だと確信していると言い…。")</f>
        <v>女性3人が失踪する事件が起こった。水曜日に失踪したという以外3人に共通点はないが、大澤絵里子(天海祐希)は、そのうちの青木洋子と接点がある、主婦でカリスマブロガーの山本香苗(松下由樹)を訪ねる。岩井善治(ケンドーコバヤシ)とともに、香苗宅に通された絵里子は、高校の同級生で仲も良かった洋子が行方不明だと聞いても、動揺を見せない香苗に違和感を抱く。  　「対策室」に戻った絵里子は、片桐琢磨(玉山鉄二)、花形一平(溝端淳平)、山村啓輔(温水洋一)らから、洋子以外のふたりの女性の特徴を聞くが、やはり接点は見いだせない。しかし、絵里子は、この犯行には香苗が関わっていると示唆した。  　その後、香苗のブログを調べていた絵里子は、「ゆっくりできるのは水曜日くらい」という一文を見つけた。また、「広告代理店のKさん」と記述される人物が、行方不明の片柳沙織なのでは、と推測。さらに、黒原理香(成海璃子)が解析していた洋子のパソコンから、気になるメールが見つかった。  　一方、いわゆる“ヤンママ"の高畠美羽の行方を捜査していた花形と田所幸子(長谷川京子)は、香苗と美羽の接点を見つけた。  　絵里子は、再び香苗宅を訪ね3人との共通点のことを話すが、香苗は証拠はあるのか、と平然と切り返す。  　その日の夜、絵里子は野立信次郎(竹野内豊)に、一連の事件は香苗の犯行だと確信していると言い…。</v>
      </c>
      <c r="N1480" s="2"/>
      <c r="O1480" s="2"/>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row>
    <row r="1481" ht="204.75" customHeight="1">
      <c r="A1481" s="1">
        <v>4390.0</v>
      </c>
      <c r="B1481" s="2" t="s">
        <v>4720</v>
      </c>
      <c r="C1481" s="2">
        <f>IFERROR(__xludf.DUMMYFUNCTION("split(B1481,""_"")"),1104.0)</f>
        <v>1104</v>
      </c>
      <c r="D1481" s="2" t="str">
        <f>IFERROR(__xludf.DUMMYFUNCTION("""COMPUTED_VALUE"""),"CX")</f>
        <v>CX</v>
      </c>
      <c r="E1481" s="2" t="str">
        <f>IFERROR(__xludf.DUMMYFUNCTION("""COMPUTED_VALUE"""),"木22")</f>
        <v>木22</v>
      </c>
      <c r="F1481" s="2" t="s">
        <v>4721</v>
      </c>
      <c r="G1481" s="2" t="s">
        <v>4737</v>
      </c>
      <c r="H1481" s="1">
        <v>6.0</v>
      </c>
      <c r="I1481" s="1" t="s">
        <v>21</v>
      </c>
      <c r="J1481" s="1" t="s">
        <v>86</v>
      </c>
      <c r="K1481" s="2" t="s">
        <v>4738</v>
      </c>
      <c r="L1481" s="2" t="s">
        <v>4739</v>
      </c>
      <c r="M1481" s="2" t="str">
        <f>IFERROR(__xludf.DUMMYFUNCTION("split(split(K1481,""天海祐希　"",false),""公式LINE"",false)"),"大澤絵里子(天海祐希)は、岩井善治(ケンドーコバヤシ)に連れられ、クラブにやってきた。そして、そこで2PM(2PM)というグループのパフォーマンスに心を奪われる。  　そんな折、ある銀行がライフルを持った男に制圧された。男は、行員や客たちを人質に取ったが、そのなかに田所幸子(長谷川京子)の姿があった。事件の一報を受けた絵里子は、片桐琢磨(玉山鉄二)、山村啓輔(温水洋一)、花形一平(溝端淳平)、岩井とともに銀行に急行。すでに現場にいた野立信次郎(竹野内豊)は、絵里子に犯人との交渉役を務めるようにと命じた。 "&amp;" 　絵里子が銀行に電話をすると、ソニーと名乗る男が出た。絵里子はソニーから、身代金の額と要求する物を聞きだした。そんななか、幸子の居場所を探していた黒原理香(成海璃子)が、幸子が行内にいると突き止めた。  　その頃、行内で幸子の携帯電話が鳴り出す。夫の智明からの金の振り込みの催促だと察知した幸子は、ソニーに電話に出てくれと頼んだ。  　やがて、絵里子が約束した身代金などの準備時間3時間が過ぎた。しかし、まだ準備に手間取っていると明かした絵里子に、ソニーは1時間の延長を承諾した。絵里子はさらに、人質を落ち着"&amp;"かせるためにも食料を配ったほうがいいと提案。ソニーも受け入れ、山村が食料を届けた。ところが、そこに仕込んであった盗聴器が見破られソニーは激高し、ライフルを発射。銃声を聞いた絵里子は…。")</f>
        <v>大澤絵里子(天海祐希)は、岩井善治(ケンドーコバヤシ)に連れられ、クラブにやってきた。そして、そこで2PM(2PM)というグループのパフォーマンスに心を奪われる。  　そんな折、ある銀行がライフルを持った男に制圧された。男は、行員や客たちを人質に取ったが、そのなかに田所幸子(長谷川京子)の姿があった。事件の一報を受けた絵里子は、片桐琢磨(玉山鉄二)、山村啓輔(温水洋一)、花形一平(溝端淳平)、岩井とともに銀行に急行。すでに現場にいた野立信次郎(竹野内豊)は、絵里子に犯人との交渉役を務めるようにと命じた。  　絵里子が銀行に電話をすると、ソニーと名乗る男が出た。絵里子はソニーから、身代金の額と要求する物を聞きだした。そんななか、幸子の居場所を探していた黒原理香(成海璃子)が、幸子が行内にいると突き止めた。  　その頃、行内で幸子の携帯電話が鳴り出す。夫の智明からの金の振り込みの催促だと察知した幸子は、ソニーに電話に出てくれと頼んだ。  　やがて、絵里子が約束した身代金などの準備時間3時間が過ぎた。しかし、まだ準備に手間取っていると明かした絵里子に、ソニーは1時間の延長を承諾した。絵里子はさらに、人質を落ち着かせるためにも食料を配ったほうがいいと提案。ソニーも受け入れ、山村が食料を届けた。ところが、そこに仕込んであった盗聴器が見破られソニーは激高し、ライフルを発射。銃声を聞いた絵里子は…。</v>
      </c>
      <c r="N1481" s="2"/>
      <c r="O1481" s="2"/>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row>
    <row r="1482" ht="204.75" customHeight="1">
      <c r="A1482" s="1">
        <v>4391.0</v>
      </c>
      <c r="B1482" s="2" t="s">
        <v>4720</v>
      </c>
      <c r="C1482" s="2">
        <f>IFERROR(__xludf.DUMMYFUNCTION("split(B1482,""_"")"),1104.0)</f>
        <v>1104</v>
      </c>
      <c r="D1482" s="2" t="str">
        <f>IFERROR(__xludf.DUMMYFUNCTION("""COMPUTED_VALUE"""),"CX")</f>
        <v>CX</v>
      </c>
      <c r="E1482" s="2" t="str">
        <f>IFERROR(__xludf.DUMMYFUNCTION("""COMPUTED_VALUE"""),"木22")</f>
        <v>木22</v>
      </c>
      <c r="F1482" s="2" t="s">
        <v>4721</v>
      </c>
      <c r="G1482" s="2" t="s">
        <v>4740</v>
      </c>
      <c r="H1482" s="1">
        <v>7.0</v>
      </c>
      <c r="I1482" s="1" t="s">
        <v>25</v>
      </c>
      <c r="J1482" s="1" t="s">
        <v>86</v>
      </c>
      <c r="K1482" s="2" t="s">
        <v>4741</v>
      </c>
      <c r="L1482" s="2" t="s">
        <v>4742</v>
      </c>
      <c r="M1482" s="2" t="str">
        <f>IFERROR(__xludf.DUMMYFUNCTION("split(split(K1482,""天海祐希　"",false),""公式LINE"",false)"),"警視庁内で「都民交流会」というイベントが開かれ、一般市民が見学にやってきた。忙しい時期に対策室のメンバーも庁内の案内係として借り出されたため、大澤絵里子(天海祐希)は不機嫌になる。しかし、野立信次郎(竹野内豊)や、片桐琢磨(玉山鉄二)ら対策室のメンバーは、まんざらでもない様子だった。  　そんな隙を突いて、取調室にひとりの男(田中圭)が立てこもった。男は、持っていた手錠の片方を自分の手に、もう一方を室内に固定し、カギを飲み込んでしまった。花形一平(溝端淳平)から報告を受けた絵里子が駆けつけると、男は自分が"&amp;"誰か思い出してくれ、そのための宿題を出した、対策室のみなさんの時計を巻き戻しに来た、などと謎めいたことを言う。  　その頃、対策室にいた山村啓輔(温水洋一)と岩井善治(ケンドーコバヤシ)が、“取調室の男""という差出人からのメールを受信。そこには、バス停を写した写真が添付されていて、その後、そこで爆発が発生した。爆発したのはゴミ箱で、そこから発生したガスを吸った通行人が病院に搬送されるという事態になった。  　もはや、男と爆発事件の関連は明らかだが、男が持つ身分証明書は偽造されたもので身元も特定できない。"&amp;"  　そんななか、対策室のパソコンに、“取調室の男""からの「宿題」が届いた。制限時間20分というその「宿題」に、絵里子も野立も手掛かりを見いだせず…。")</f>
        <v>警視庁内で「都民交流会」というイベントが開かれ、一般市民が見学にやってきた。忙しい時期に対策室のメンバーも庁内の案内係として借り出されたため、大澤絵里子(天海祐希)は不機嫌になる。しかし、野立信次郎(竹野内豊)や、片桐琢磨(玉山鉄二)ら対策室のメンバーは、まんざらでもない様子だった。  　そんな隙を突いて、取調室にひとりの男(田中圭)が立てこもった。男は、持っていた手錠の片方を自分の手に、もう一方を室内に固定し、カギを飲み込んでしまった。花形一平(溝端淳平)から報告を受けた絵里子が駆けつけると、男は自分が誰か思い出してくれ、そのための宿題を出した、対策室のみなさんの時計を巻き戻しに来た、などと謎めいたことを言う。  　その頃、対策室にいた山村啓輔(温水洋一)と岩井善治(ケンドーコバヤシ)が、“取調室の男"という差出人からのメールを受信。そこには、バス停を写した写真が添付されていて、その後、そこで爆発が発生した。爆発したのはゴミ箱で、そこから発生したガスを吸った通行人が病院に搬送されるという事態になった。  　もはや、男と爆発事件の関連は明らかだが、男が持つ身分証明書は偽造されたもので身元も特定できない。  　そんななか、対策室のパソコンに、“取調室の男"からの「宿題」が届いた。制限時間20分というその「宿題」に、絵里子も野立も手掛かりを見いだせず…。</v>
      </c>
      <c r="N1482" s="2"/>
      <c r="O1482" s="2"/>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row>
    <row r="1483" ht="204.75" customHeight="1">
      <c r="A1483" s="1">
        <v>4392.0</v>
      </c>
      <c r="B1483" s="2" t="s">
        <v>4720</v>
      </c>
      <c r="C1483" s="2">
        <f>IFERROR(__xludf.DUMMYFUNCTION("split(B1483,""_"")"),1104.0)</f>
        <v>1104</v>
      </c>
      <c r="D1483" s="2" t="str">
        <f>IFERROR(__xludf.DUMMYFUNCTION("""COMPUTED_VALUE"""),"CX")</f>
        <v>CX</v>
      </c>
      <c r="E1483" s="2" t="str">
        <f>IFERROR(__xludf.DUMMYFUNCTION("""COMPUTED_VALUE"""),"木22")</f>
        <v>木22</v>
      </c>
      <c r="F1483" s="2" t="s">
        <v>4721</v>
      </c>
      <c r="G1483" s="2" t="s">
        <v>4743</v>
      </c>
      <c r="H1483" s="1">
        <v>8.0</v>
      </c>
      <c r="I1483" s="1" t="s">
        <v>29</v>
      </c>
      <c r="J1483" s="1" t="s">
        <v>86</v>
      </c>
      <c r="K1483" s="2" t="s">
        <v>4744</v>
      </c>
      <c r="L1483" s="2" t="s">
        <v>4745</v>
      </c>
      <c r="M1483" s="2" t="str">
        <f>IFERROR(__xludf.DUMMYFUNCTION("split(split(K1483,""天海祐希　"",false),""公式LINE"",false)"),"大澤絵里子(天海祐希)は、野立信次郎(竹野内豊)に言われ、鑑識課の石川啓太(谷原章介)というイケメンと見合いをすることになった。最初は渋々だった絵里子も、スマートで仕事熱心な石川に恋心を抱きはじめる。  　そんな折、28歳の女性が殺害された。遺体は花びらで覆われ、額には血で押された母印のような跡がある猟奇的な事件だった。  　絵里子が「対策室」の片桐琢磨(玉山鉄二)、山村啓輔(温水洋一)を連れ現場に入ると、検視官として働く石川の姿があった。絵里子と石川は、今回の事件が5年前、「エンジェルキラー」と名乗る人"&amp;"物が犯した猟奇的連続殺人の手口に似ている、と確認し合う。  　対策室に戻った絵里子は、片桐、山村、岩井善治(ケンドーコバヤシ)、田所幸子(長谷川京子)らに、今回の事件も、エンジェルキラーの犯行の可能性が高いと示唆。また、遺体を縛ったロープの結び目が5年前より弱くなっていることから、犯人のロープを縛る力が衰えているのではないか、と推測した。  　花形一平(溝端淳平)は、黒原理香(成海璃子)から、ターゲットの女性像についての情報を得た。  　そんななか、30代と思われる女性が、同じ手口で殺害された。現場に向か"&amp;"った絵里子は、再び石川と合流。その後、絵里子の招きで石川が対策室に事件の詳細を説明にやってきた。そんな石川を満面の笑みで見つめる絵里子に、対策室のメンバーは…。")</f>
        <v>大澤絵里子(天海祐希)は、野立信次郎(竹野内豊)に言われ、鑑識課の石川啓太(谷原章介)というイケメンと見合いをすることになった。最初は渋々だった絵里子も、スマートで仕事熱心な石川に恋心を抱きはじめる。  　そんな折、28歳の女性が殺害された。遺体は花びらで覆われ、額には血で押された母印のような跡がある猟奇的な事件だった。  　絵里子が「対策室」の片桐琢磨(玉山鉄二)、山村啓輔(温水洋一)を連れ現場に入ると、検視官として働く石川の姿があった。絵里子と石川は、今回の事件が5年前、「エンジェルキラー」と名乗る人物が犯した猟奇的連続殺人の手口に似ている、と確認し合う。  　対策室に戻った絵里子は、片桐、山村、岩井善治(ケンドーコバヤシ)、田所幸子(長谷川京子)らに、今回の事件も、エンジェルキラーの犯行の可能性が高いと示唆。また、遺体を縛ったロープの結び目が5年前より弱くなっていることから、犯人のロープを縛る力が衰えているのではないか、と推測した。  　花形一平(溝端淳平)は、黒原理香(成海璃子)から、ターゲットの女性像についての情報を得た。  　そんななか、30代と思われる女性が、同じ手口で殺害された。現場に向かった絵里子は、再び石川と合流。その後、絵里子の招きで石川が対策室に事件の詳細を説明にやってきた。そんな石川を満面の笑みで見つめる絵里子に、対策室のメンバーは…。</v>
      </c>
      <c r="N1483" s="2"/>
      <c r="O1483" s="2"/>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row>
    <row r="1484" ht="204.75" customHeight="1">
      <c r="A1484" s="1">
        <v>4393.0</v>
      </c>
      <c r="B1484" s="2" t="s">
        <v>4720</v>
      </c>
      <c r="C1484" s="2">
        <f>IFERROR(__xludf.DUMMYFUNCTION("split(B1484,""_"")"),1104.0)</f>
        <v>1104</v>
      </c>
      <c r="D1484" s="2" t="str">
        <f>IFERROR(__xludf.DUMMYFUNCTION("""COMPUTED_VALUE"""),"CX")</f>
        <v>CX</v>
      </c>
      <c r="E1484" s="2" t="str">
        <f>IFERROR(__xludf.DUMMYFUNCTION("""COMPUTED_VALUE"""),"木22")</f>
        <v>木22</v>
      </c>
      <c r="F1484" s="2" t="s">
        <v>4721</v>
      </c>
      <c r="G1484" s="2" t="s">
        <v>4746</v>
      </c>
      <c r="H1484" s="1">
        <v>9.0</v>
      </c>
      <c r="I1484" s="1" t="s">
        <v>33</v>
      </c>
      <c r="J1484" s="1" t="s">
        <v>86</v>
      </c>
      <c r="K1484" s="2" t="s">
        <v>4747</v>
      </c>
      <c r="L1484" s="2" t="s">
        <v>4748</v>
      </c>
      <c r="M1484" s="2" t="str">
        <f>IFERROR(__xludf.DUMMYFUNCTION("split(split(K1484,""天海祐希　"",false),""公式LINE"",false)"),"大澤絵里子(天海祐希)は、誰かと電話をしていた。こちらの準備はできている、と話す相手は、木元真実(戸田恵梨香)だった。  　そんな折、中年の夫婦が刺殺される事件が起こった。妻は一撃だが、夫は急所を外しながら殺されていることから、絵里子は、殺しのプロの犯行だと断定。また、夫婦の6歳の娘・愛海(毛利恋子)が行方不明になっていることもわかった。  　片桐琢磨(玉山鉄二)、山村啓輔(温水洋一)とともに夫婦宅を捜索した絵里子は、キッチンに残された食べかけの料理に引っかかりを感じた。  　そんななか、自宅近くの公園で"&amp;"愛海が保護された。野立信次郎(竹野内豊)は、しばらくの間、対策室で愛海を保護すると発表。岩井善治(ケンドーコバヤシ)が世話役に任命された。  　絵里子は花形一平(溝端淳平)を連れ、愛海が見つかった公園にやってきた。すると、そこでひとりの男(坂口憲二)とぶつかった。男は、落とした買い物袋を拾うと、無言で立ち去った。  　一方、黒原理香(成海璃子)の調べで凶器のナイフが希少な外国製だと判明。絵里子は、外国人を含めた入国者と、軍隊や傭兵訓練を受けた者を調べるよう指示した。  　そんなとき、中年男性が刺殺され、手"&amp;"口から夫婦殺害と同一犯による犯行だと推定された。さらに、最近の入国者リストのなかに、海外の傭兵部隊を除隊した真崎正吾という男がいると発覚。真崎は、絵里子が公園でぶつかったあの男だった。")</f>
        <v>大澤絵里子(天海祐希)は、誰かと電話をしていた。こちらの準備はできている、と話す相手は、木元真実(戸田恵梨香)だった。  　そんな折、中年の夫婦が刺殺される事件が起こった。妻は一撃だが、夫は急所を外しながら殺されていることから、絵里子は、殺しのプロの犯行だと断定。また、夫婦の6歳の娘・愛海(毛利恋子)が行方不明になっていることもわかった。  　片桐琢磨(玉山鉄二)、山村啓輔(温水洋一)とともに夫婦宅を捜索した絵里子は、キッチンに残された食べかけの料理に引っかかりを感じた。  　そんななか、自宅近くの公園で愛海が保護された。野立信次郎(竹野内豊)は、しばらくの間、対策室で愛海を保護すると発表。岩井善治(ケンドーコバヤシ)が世話役に任命された。  　絵里子は花形一平(溝端淳平)を連れ、愛海が見つかった公園にやってきた。すると、そこでひとりの男(坂口憲二)とぶつかった。男は、落とした買い物袋を拾うと、無言で立ち去った。  　一方、黒原理香(成海璃子)の調べで凶器のナイフが希少な外国製だと判明。絵里子は、外国人を含めた入国者と、軍隊や傭兵訓練を受けた者を調べるよう指示した。  　そんなとき、中年男性が刺殺され、手口から夫婦殺害と同一犯による犯行だと推定された。さらに、最近の入国者リストのなかに、海外の傭兵部隊を除隊した真崎正吾という男がいると発覚。真崎は、絵里子が公園でぶつかったあの男だった。</v>
      </c>
      <c r="N1484" s="2"/>
      <c r="O1484" s="2"/>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row>
    <row r="1485" ht="204.75" customHeight="1">
      <c r="A1485" s="1">
        <v>4394.0</v>
      </c>
      <c r="B1485" s="2" t="s">
        <v>4720</v>
      </c>
      <c r="C1485" s="2">
        <f>IFERROR(__xludf.DUMMYFUNCTION("split(B1485,""_"")"),1104.0)</f>
        <v>1104</v>
      </c>
      <c r="D1485" s="2" t="str">
        <f>IFERROR(__xludf.DUMMYFUNCTION("""COMPUTED_VALUE"""),"CX")</f>
        <v>CX</v>
      </c>
      <c r="E1485" s="2" t="str">
        <f>IFERROR(__xludf.DUMMYFUNCTION("""COMPUTED_VALUE"""),"木22")</f>
        <v>木22</v>
      </c>
      <c r="F1485" s="2" t="s">
        <v>4721</v>
      </c>
      <c r="G1485" s="2" t="s">
        <v>4749</v>
      </c>
      <c r="H1485" s="1">
        <v>10.0</v>
      </c>
      <c r="I1485" s="1" t="s">
        <v>37</v>
      </c>
      <c r="J1485" s="1" t="s">
        <v>86</v>
      </c>
      <c r="K1485" s="2" t="s">
        <v>4750</v>
      </c>
      <c r="L1485" s="2" t="s">
        <v>4751</v>
      </c>
      <c r="M1485" s="2" t="str">
        <f>IFERROR(__xludf.DUMMYFUNCTION("split(split(K1485,""天海祐希　"",false),""公式LINE"",false)"),"大澤絵里子(天海祐希)ら、「対策室」のメンバーは、日本で開催される世界環境サミットの警備に参加することになった。  　そんな折、絵里子と野立信次郎(竹野内豊)の元同期で政治家秘書の森岡博(大森南朋)が、入念に練った計画があると、絵里子らを訪ねてきた。  　同じ頃、木元真実(戸田恵梨香)が、対策室に復帰。山村啓輔(温水洋一)、花形一平(溝端淳平)、岩井善治(ケンドーコバヤシ)らは真実を質問攻めにする。　そこへ、事件が起こったと絵里子がやって来た。殺害されたのは、有名商社の男性部長で、自宅マンションの屋上でル"&amp;"ームランナーに仕掛けられた爆弾により爆死したという。男性は、ジョギングが趣味とはいえ、自分の物でもないルームランナーの上で爆死するという奇妙な事件だった。また、その1週間前にも、別の有名商社勤務の男性が公園で爆死していることもわかった。  　絵里子は、この事件が2年前の国家公安委員長・黒原健蔵(西田敏行)が狙撃された事件に関連する可能性があると示唆。当時、黒原を狙撃したのは、高倉龍平(反町隆史)が率いるテロ組織・黒い月だと推測されたが、真実らの調べにより、それが別の組織の犯行である可能性が高いと判明。その"&amp;"真相を探るため、絵里子は警察が抱える裏金問題に関連がない新島署に、真実を左遷させたように見せかけ派遣、捜査させていたのだ。真実は、そこである重要な文書を入手したという。")</f>
        <v>大澤絵里子(天海祐希)ら、「対策室」のメンバーは、日本で開催される世界環境サミットの警備に参加することになった。  　そんな折、絵里子と野立信次郎(竹野内豊)の元同期で政治家秘書の森岡博(大森南朋)が、入念に練った計画があると、絵里子らを訪ねてきた。  　同じ頃、木元真実(戸田恵梨香)が、対策室に復帰。山村啓輔(温水洋一)、花形一平(溝端淳平)、岩井善治(ケンドーコバヤシ)らは真実を質問攻めにする。　そこへ、事件が起こったと絵里子がやって来た。殺害されたのは、有名商社の男性部長で、自宅マンションの屋上でルームランナーに仕掛けられた爆弾により爆死したという。男性は、ジョギングが趣味とはいえ、自分の物でもないルームランナーの上で爆死するという奇妙な事件だった。また、その1週間前にも、別の有名商社勤務の男性が公園で爆死していることもわかった。  　絵里子は、この事件が2年前の国家公安委員長・黒原健蔵(西田敏行)が狙撃された事件に関連する可能性があると示唆。当時、黒原を狙撃したのは、高倉龍平(反町隆史)が率いるテロ組織・黒い月だと推測されたが、真実らの調べにより、それが別の組織の犯行である可能性が高いと判明。その真相を探るため、絵里子は警察が抱える裏金問題に関連がない新島署に、真実を左遷させたように見せかけ派遣、捜査させていたのだ。真実は、そこである重要な文書を入手したという。</v>
      </c>
      <c r="N1485" s="2"/>
      <c r="O1485" s="2"/>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row>
    <row r="1486" ht="204.75" customHeight="1">
      <c r="A1486" s="1">
        <v>4395.0</v>
      </c>
      <c r="B1486" s="2" t="s">
        <v>4720</v>
      </c>
      <c r="C1486" s="2">
        <f>IFERROR(__xludf.DUMMYFUNCTION("split(B1486,""_"")"),1104.0)</f>
        <v>1104</v>
      </c>
      <c r="D1486" s="2" t="str">
        <f>IFERROR(__xludf.DUMMYFUNCTION("""COMPUTED_VALUE"""),"CX")</f>
        <v>CX</v>
      </c>
      <c r="E1486" s="2" t="str">
        <f>IFERROR(__xludf.DUMMYFUNCTION("""COMPUTED_VALUE"""),"木22")</f>
        <v>木22</v>
      </c>
      <c r="F1486" s="2" t="s">
        <v>4721</v>
      </c>
      <c r="G1486" s="2" t="s">
        <v>4752</v>
      </c>
      <c r="H1486" s="1">
        <v>11.0</v>
      </c>
      <c r="I1486" s="1" t="s">
        <v>41</v>
      </c>
      <c r="J1486" s="1" t="s">
        <v>82</v>
      </c>
      <c r="K1486" s="2" t="s">
        <v>4753</v>
      </c>
      <c r="L1486" s="2" t="s">
        <v>4754</v>
      </c>
      <c r="M1486" s="2" t="str">
        <f>IFERROR(__xludf.DUMMYFUNCTION("split(split(K1486,""天海祐希　"",false),""公式LINE"",false)"),"世界環境サミットを目前に、大澤絵里子(天海祐希)は全く身に覚えのない業務上横領の疑いで逮捕され、取り調べを受けていた。同じころ「対策室」のほかのメンバーもそれぞれ別の容疑で逮捕されていた。野立信次郎(竹野内豊)も参事官室を捜索され、かねてから極秘に捜査を進めていた2年前の国家公安委員長・黒原健蔵(西田敏行)狙撃事件に関する機密文書が入ったディスクを押収されてしまう。　取調室で丹波刑事部長(光石研)が絵里子を詰問し始めようとしたとき、丹波の携帯電話が鳴る。トップから早く出せという指示が出たという丹波の言葉で"&amp;"、絵里子たち「対策室」メンバーは一斉に釈放される。  　メンバー一同が対策室に集まるなか、花形一平(溝端淳平)の姿だけが見えない。花形の姿が見えないのは前夜、田所幸子(長谷川京子)に撃たれたため。その当の本人の幸子から、花形から高熱のために休ませて欲しいという連絡があり、同様の内容のメールが送られているはずだという報告を絵里子は受ける。  　野立が押収されてしまったディスクのコピーの一部を木元真実(戸田恵梨香)が解析した結果、「対策室」を妨害している組織は2年前の狙撃事件を引き起こした組織で、絵里子たちの"&amp;"元同期で政治家秘書の森岡(大森南朋)がかかわっていること、ほかにも警視庁の多くの刑事たちがかかわっていることが判明した…。")</f>
        <v>世界環境サミットを目前に、大澤絵里子(天海祐希)は全く身に覚えのない業務上横領の疑いで逮捕され、取り調べを受けていた。同じころ「対策室」のほかのメンバーもそれぞれ別の容疑で逮捕されていた。野立信次郎(竹野内豊)も参事官室を捜索され、かねてから極秘に捜査を進めていた2年前の国家公安委員長・黒原健蔵(西田敏行)狙撃事件に関する機密文書が入ったディスクを押収されてしまう。　取調室で丹波刑事部長(光石研)が絵里子を詰問し始めようとしたとき、丹波の携帯電話が鳴る。トップから早く出せという指示が出たという丹波の言葉で、絵里子たち「対策室」メンバーは一斉に釈放される。  　メンバー一同が対策室に集まるなか、花形一平(溝端淳平)の姿だけが見えない。花形の姿が見えないのは前夜、田所幸子(長谷川京子)に撃たれたため。その当の本人の幸子から、花形から高熱のために休ませて欲しいという連絡があり、同様の内容のメールが送られているはずだという報告を絵里子は受ける。  　野立が押収されてしまったディスクのコピーの一部を木元真実(戸田恵梨香)が解析した結果、「対策室」を妨害している組織は2年前の狙撃事件を引き起こした組織で、絵里子たちの元同期で政治家秘書の森岡(大森南朋)がかかわっていること、ほかにも警視庁の多くの刑事たちがかかわっていることが判明した…。</v>
      </c>
      <c r="N1486" s="2"/>
      <c r="O1486" s="2"/>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row>
    <row r="1487" ht="204.75" customHeight="1">
      <c r="A1487" s="1">
        <v>4423.0</v>
      </c>
      <c r="B1487" s="2" t="s">
        <v>4755</v>
      </c>
      <c r="C1487" s="2">
        <f>IFERROR(__xludf.DUMMYFUNCTION("split(B1487,""_"")"),1104.0)</f>
        <v>1104</v>
      </c>
      <c r="D1487" s="2" t="str">
        <f>IFERROR(__xludf.DUMMYFUNCTION("""COMPUTED_VALUE"""),"CX")</f>
        <v>CX</v>
      </c>
      <c r="E1487" s="2" t="str">
        <f>IFERROR(__xludf.DUMMYFUNCTION("""COMPUTED_VALUE"""),"日21")</f>
        <v>日21</v>
      </c>
      <c r="F1487" s="2" t="s">
        <v>4756</v>
      </c>
      <c r="G1487" s="2" t="s">
        <v>4757</v>
      </c>
      <c r="H1487" s="1">
        <v>1.0</v>
      </c>
      <c r="I1487" s="1" t="s">
        <v>3</v>
      </c>
      <c r="J1487" s="1" t="s">
        <v>4</v>
      </c>
      <c r="K1487" s="4" t="s">
        <v>4758</v>
      </c>
      <c r="L1487" s="2" t="s">
        <v>4759</v>
      </c>
      <c r="M1487" s="2" t="str">
        <f>IFERROR(__xludf.DUMMYFUNCTION("split(split(K1487,""阿部サダヲ　"",false),""公式LINE"",false)"),"高木護(阿部サダヲ)は「あけぼの文具」のお客様相談室に勤務するサラリーマン。学生時代は野球部で万年補欠の捕手だった護は、野球部同窓会でエースだった親友の笹倉純一郎(葛山信吾)と久しぶりに会う。妻との離婚後、男手ひとつで双子の子供・薫(芦田愛菜)と友樹(鈴木福)を育てていて見事な親ばかっぷりをみせる純一郎に、自分は無理だと言いながらも感心しきりの護。  　翌日、苦情客を装った純一郎から電話が入った。何かを話そうとする純一郎だったが、護は話を聞かないまま電話を切ってしまう。  　ある日、護に野球部の仲間から純"&amp;"一郎の訃報の電話がきた。突然のことに激しくショックを受ける護。純一郎は、周囲に自分が末期ガンであることを護に言わないで欲しいと口止めしていたのだ。  　火葬場で親族が双子の今後について話し合っているのを偶然聞いてしまった護。話し合いの結果、家計を考えて2人バラバラに引き取られることに。釈然としない護だがどうすることもできない。火葬場の帰り、薫と友樹が別々の車に乗せられていくのを護は複雑な思いで見送った。  　数日後、友樹が親戚の家からいなくなったと、護に連絡が入る。泣きながら引き取られていく友樹の姿を思い"&amp;"出し、護が親戚の家を訪ねると薫も来ていた。2人は一緒に友樹を探すことに。同じ頃、路地を歩いていた友樹の前に一匹の犬が現れた。やがて迷子になり、泣き出した友樹に「泣くなよ」と声が聞こえ…。")</f>
        <v>高木護(阿部サダヲ)は「あけぼの文具」のお客様相談室に勤務するサラリーマン。学生時代は野球部で万年補欠の捕手だった護は、野球部同窓会でエースだった親友の笹倉純一郎(葛山信吾)と久しぶりに会う。妻との離婚後、男手ひとつで双子の子供・薫(芦田愛菜)と友樹(鈴木福)を育てていて見事な親ばかっぷりをみせる純一郎に、自分は無理だと言いながらも感心しきりの護。  　翌日、苦情客を装った純一郎から電話が入った。何かを話そうとする純一郎だったが、護は話を聞かないまま電話を切ってしまう。  　ある日、護に野球部の仲間から純一郎の訃報の電話がきた。突然のことに激しくショックを受ける護。純一郎は、周囲に自分が末期ガンであることを護に言わないで欲しいと口止めしていたのだ。  　火葬場で親族が双子の今後について話し合っているのを偶然聞いてしまった護。話し合いの結果、家計を考えて2人バラバラに引き取られることに。釈然としない護だがどうすることもできない。火葬場の帰り、薫と友樹が別々の車に乗せられていくのを護は複雑な思いで見送った。  　数日後、友樹が親戚の家からいなくなったと、護に連絡が入る。泣きながら引き取られていく友樹の姿を思い出し、護が親戚の家を訪ねると薫も来ていた。2人は一緒に友樹を探すことに。同じ頃、路地を歩いていた友樹の前に一匹の犬が現れた。やがて迷子になり、泣き出した友樹に「泣くなよ」と声が聞こえ…。</v>
      </c>
      <c r="N1487" s="2"/>
      <c r="O1487" s="2"/>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row>
    <row r="1488" ht="204.75" customHeight="1">
      <c r="A1488" s="1">
        <v>4424.0</v>
      </c>
      <c r="B1488" s="2" t="s">
        <v>4755</v>
      </c>
      <c r="C1488" s="2">
        <f>IFERROR(__xludf.DUMMYFUNCTION("split(B1488,""_"")"),1104.0)</f>
        <v>1104</v>
      </c>
      <c r="D1488" s="2" t="str">
        <f>IFERROR(__xludf.DUMMYFUNCTION("""COMPUTED_VALUE"""),"CX")</f>
        <v>CX</v>
      </c>
      <c r="E1488" s="2" t="str">
        <f>IFERROR(__xludf.DUMMYFUNCTION("""COMPUTED_VALUE"""),"日21")</f>
        <v>日21</v>
      </c>
      <c r="F1488" s="2" t="s">
        <v>4756</v>
      </c>
      <c r="G1488" s="2" t="s">
        <v>4760</v>
      </c>
      <c r="H1488" s="1">
        <v>2.0</v>
      </c>
      <c r="I1488" s="1" t="s">
        <v>7</v>
      </c>
      <c r="J1488" s="1" t="s">
        <v>86</v>
      </c>
      <c r="K1488" s="2" t="s">
        <v>4761</v>
      </c>
      <c r="L1488" s="2" t="s">
        <v>4762</v>
      </c>
      <c r="M1488" s="2" t="str">
        <f>IFERROR(__xludf.DUMMYFUNCTION("split(split(K1488,""阿部サダヲ　"",false),""公式LINE"",false)"),"「世界フィギュアスケート選手権2011エキシビション」延長の際、放送時間繰り下げの場合あり。　犬がしゃべるのを聞いた高木護(阿部サダヲ)は、メンタルクリニックへ診察に訪れる。自分の心の声が聞こえているのかもしれないと診断に納得する護。その頃、護の部屋で留守番していた笹倉薫(芦田愛菜)と友樹(鈴木福)は犬にムックという名前をつける。  　出社した護の元に双子の叔父にあたる笹倉秋人(二階堂智)が訪ねてきた。秋人は日曜には2人を迎えに来ると、それまでの着替えなどを手渡す。護はその後も2人一緒に暮らす手立てはない"&amp;"かと聞くが、秋人は苦い顔で首を横に振るだけだ。護の部屋では、友樹が冷凍庫にあったアイスを勝手に食べていた。護に怒られることを心配し、2人はコンビニへアイスを買いに行くことにする。アイスを買った帰り道、手押し車を押すおばあさんと遭遇した2人は手伝いを申し出て一緒に歩き出す。やがておばあさんと別れた2人は帰り道がわからなくなってしまって・・・?")</f>
        <v>「世界フィギュアスケート選手権2011エキシビション」延長の際、放送時間繰り下げの場合あり。　犬がしゃべるのを聞いた高木護(阿部サダヲ)は、メンタルクリニックへ診察に訪れる。自分の心の声が聞こえているのかもしれないと診断に納得する護。その頃、護の部屋で留守番していた笹倉薫(芦田愛菜)と友樹(鈴木福)は犬にムックという名前をつける。  　出社した護の元に双子の叔父にあたる笹倉秋人(二階堂智)が訪ねてきた。秋人は日曜には2人を迎えに来ると、それまでの着替えなどを手渡す。護はその後も2人一緒に暮らす手立てはないかと聞くが、秋人は苦い顔で首を横に振るだけだ。護の部屋では、友樹が冷凍庫にあったアイスを勝手に食べていた。護に怒られることを心配し、2人はコンビニへアイスを買いに行くことにする。アイスを買った帰り道、手押し車を押すおばあさんと遭遇した2人は手伝いを申し出て一緒に歩き出す。やがておばあさんと別れた2人は帰り道がわからなくなってしまって・・・?</v>
      </c>
      <c r="N1488" s="2"/>
      <c r="O1488" s="2"/>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row>
    <row r="1489" ht="204.75" customHeight="1">
      <c r="A1489" s="1">
        <v>4425.0</v>
      </c>
      <c r="B1489" s="2" t="s">
        <v>4755</v>
      </c>
      <c r="C1489" s="2">
        <f>IFERROR(__xludf.DUMMYFUNCTION("split(B1489,""_"")"),1104.0)</f>
        <v>1104</v>
      </c>
      <c r="D1489" s="2" t="str">
        <f>IFERROR(__xludf.DUMMYFUNCTION("""COMPUTED_VALUE"""),"CX")</f>
        <v>CX</v>
      </c>
      <c r="E1489" s="2" t="str">
        <f>IFERROR(__xludf.DUMMYFUNCTION("""COMPUTED_VALUE"""),"日21")</f>
        <v>日21</v>
      </c>
      <c r="F1489" s="2" t="s">
        <v>4756</v>
      </c>
      <c r="G1489" s="2" t="s">
        <v>4763</v>
      </c>
      <c r="H1489" s="1">
        <v>3.0</v>
      </c>
      <c r="I1489" s="1" t="s">
        <v>10</v>
      </c>
      <c r="J1489" s="1" t="s">
        <v>11</v>
      </c>
      <c r="K1489" s="2" t="s">
        <v>4764</v>
      </c>
      <c r="L1489" s="2" t="s">
        <v>4765</v>
      </c>
      <c r="M1489" s="2" t="str">
        <f>IFERROR(__xludf.DUMMYFUNCTION("split(split(K1489,""阿部サダヲ　"",false),""公式LINE"",false)"),"高木護(阿部サダヲ)と笹倉薫(芦田愛菜)、笹倉友樹(鈴木福)、ムックの共同生活が始まった。小学校の入学も決まり、みんなでランドセルを買いに行くことにする。値段を見てあ然とする護だがランドセルを購入。喜ぶ友樹の脇で薫の表情が曇っていることに気付いた護は、薫が欲しがっていて品切れだったピンクのランドセルを探す約束をした。  　あけぼの文具では、子供に人気の商品「いちごジャムのり」がクレームの対象になり、大騒ぎだ。ヘトヘトになって帰り、さらに双子の入学準備リストを前に大きなため息をつく護。そんな護から、子供を引"&amp;"き取ることにしたと聞いた大家の畑中陽介(世良公則)は責任の大きさを訴える。そんな中、娘の彩(比嘉愛未)は2人とすっかり打ち解けていた。彩は陽介からの命令もあり、双子が学校へ持って行く手提げバッグなどを護が作る手助けをすることになった。ミシンを出しに物置へ行くと、その様子を後ろからのぞいて薫は奥にあった勉強机に釘付けになる。  　翌日、仕事から帰ってくると護は2人に鉛筆やノートを渡す。あけぼの文具のシンプルな文具を前に明らかにテンションを落とす友樹だが、薫は無理に大人みたいでかっこいいと誉める。そんな薫を見"&amp;"ていた彩は、翌日に薫がこっそり物置の机に座っている姿やショーウインドーに飾ってあるハートマークの入ったピンクのランドセルに釘づけになっている姿を目撃する。")</f>
        <v>高木護(阿部サダヲ)と笹倉薫(芦田愛菜)、笹倉友樹(鈴木福)、ムックの共同生活が始まった。小学校の入学も決まり、みんなでランドセルを買いに行くことにする。値段を見てあ然とする護だがランドセルを購入。喜ぶ友樹の脇で薫の表情が曇っていることに気付いた護は、薫が欲しがっていて品切れだったピンクのランドセルを探す約束をした。  　あけぼの文具では、子供に人気の商品「いちごジャムのり」がクレームの対象になり、大騒ぎだ。ヘトヘトになって帰り、さらに双子の入学準備リストを前に大きなため息をつく護。そんな護から、子供を引き取ることにしたと聞いた大家の畑中陽介(世良公則)は責任の大きさを訴える。そんな中、娘の彩(比嘉愛未)は2人とすっかり打ち解けていた。彩は陽介からの命令もあり、双子が学校へ持って行く手提げバッグなどを護が作る手助けをすることになった。ミシンを出しに物置へ行くと、その様子を後ろからのぞいて薫は奥にあった勉強机に釘付けになる。  　翌日、仕事から帰ってくると護は2人に鉛筆やノートを渡す。あけぼの文具のシンプルな文具を前に明らかにテンションを落とす友樹だが、薫は無理に大人みたいでかっこいいと誉める。そんな薫を見ていた彩は、翌日に薫がこっそり物置の机に座っている姿やショーウインドーに飾ってあるハートマークの入ったピンクのランドセルに釘づけになっている姿を目撃する。</v>
      </c>
      <c r="N1489" s="2"/>
      <c r="O1489" s="2"/>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row>
    <row r="1490" ht="204.75" customHeight="1">
      <c r="A1490" s="1">
        <v>4426.0</v>
      </c>
      <c r="B1490" s="2" t="s">
        <v>4755</v>
      </c>
      <c r="C1490" s="2">
        <f>IFERROR(__xludf.DUMMYFUNCTION("split(B1490,""_"")"),1104.0)</f>
        <v>1104</v>
      </c>
      <c r="D1490" s="2" t="str">
        <f>IFERROR(__xludf.DUMMYFUNCTION("""COMPUTED_VALUE"""),"CX")</f>
        <v>CX</v>
      </c>
      <c r="E1490" s="2" t="str">
        <f>IFERROR(__xludf.DUMMYFUNCTION("""COMPUTED_VALUE"""),"日21")</f>
        <v>日21</v>
      </c>
      <c r="F1490" s="2" t="s">
        <v>4756</v>
      </c>
      <c r="G1490" s="2" t="s">
        <v>4766</v>
      </c>
      <c r="H1490" s="1">
        <v>4.0</v>
      </c>
      <c r="I1490" s="1" t="s">
        <v>14</v>
      </c>
      <c r="J1490" s="1" t="s">
        <v>11</v>
      </c>
      <c r="K1490" s="2" t="s">
        <v>4767</v>
      </c>
      <c r="L1490" s="2" t="s">
        <v>4768</v>
      </c>
      <c r="M1490" s="2" t="str">
        <f>IFERROR(__xludf.DUMMYFUNCTION("split(split(K1490,""阿部サダヲ　"",false),""公式LINE"",false)"),"再びメンタルクリニックにやってきた高木護(阿部サダヲ)。医師の白川桜子(芳本美代子)から、騒がず、無視せず、心を穏やかにそのまま受け入れることで自然に幻聴が消えるかもしれないとアドバイスを受ける。会社に行くと、あけぼの文具のチラシが栃木の会社と同じコピーを使ったと問題になっていた。護は先方の会社に謝罪するために鮫島勇三(伊武雅刀)から翌日の出張を言い渡されるが、牧村かな(滝沢沙織)と一緒だと知って張り切りだす。護は家に帰ると笹倉薫(芦田愛菜)と笹倉友樹(鈴木福)にムックがしゃべっても平然とするように話した"&amp;"。もともと平然としていた2人はキョトンとするが、さらにムックとのおしゃべりは3人の時だけだと約束させると、2人に続きムックからも「わかった」と返事がきた。その夜、2人から学校の係決めの話をされた護は、花係になったという友樹に水ばかりあげても花は枯れると注意する。その言葉にすっかりビビってしまった友樹に、護は花が育つと適当な呪文を教えた。  　翌日、小学校では“家族""をテーマに描いた友樹と薫の絵を見たクラスメートたちが、両親がいないのは変だと騒いでいた。担任教師の杉下秀夫(六角慎司)はかわいそうな2人と仲"&amp;"良くしてあげなさいと言い聞かせる。放課後、かわいそうだから先生に怒られないのはずるいと言い出したクラスメートの谷口隼人(貴島康成)を薫が突き飛ばしてしまう。")</f>
        <v>再びメンタルクリニックにやってきた高木護(阿部サダヲ)。医師の白川桜子(芳本美代子)から、騒がず、無視せず、心を穏やかにそのまま受け入れることで自然に幻聴が消えるかもしれないとアドバイスを受ける。会社に行くと、あけぼの文具のチラシが栃木の会社と同じコピーを使ったと問題になっていた。護は先方の会社に謝罪するために鮫島勇三(伊武雅刀)から翌日の出張を言い渡されるが、牧村かな(滝沢沙織)と一緒だと知って張り切りだす。護は家に帰ると笹倉薫(芦田愛菜)と笹倉友樹(鈴木福)にムックがしゃべっても平然とするように話した。もともと平然としていた2人はキョトンとするが、さらにムックとのおしゃべりは3人の時だけだと約束させると、2人に続きムックからも「わかった」と返事がきた。その夜、2人から学校の係決めの話をされた護は、花係になったという友樹に水ばかりあげても花は枯れると注意する。その言葉にすっかりビビってしまった友樹に、護は花が育つと適当な呪文を教えた。  　翌日、小学校では“家族"をテーマに描いた友樹と薫の絵を見たクラスメートたちが、両親がいないのは変だと騒いでいた。担任教師の杉下秀夫(六角慎司)はかわいそうな2人と仲良くしてあげなさいと言い聞かせる。放課後、かわいそうだから先生に怒られないのはずるいと言い出したクラスメートの谷口隼人(貴島康成)を薫が突き飛ばしてしまう。</v>
      </c>
      <c r="N1490" s="2"/>
      <c r="O1490" s="2"/>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row>
    <row r="1491" ht="204.75" customHeight="1">
      <c r="A1491" s="1">
        <v>4427.0</v>
      </c>
      <c r="B1491" s="2" t="s">
        <v>4755</v>
      </c>
      <c r="C1491" s="2">
        <f>IFERROR(__xludf.DUMMYFUNCTION("split(B1491,""_"")"),1104.0)</f>
        <v>1104</v>
      </c>
      <c r="D1491" s="2" t="str">
        <f>IFERROR(__xludf.DUMMYFUNCTION("""COMPUTED_VALUE"""),"CX")</f>
        <v>CX</v>
      </c>
      <c r="E1491" s="2" t="str">
        <f>IFERROR(__xludf.DUMMYFUNCTION("""COMPUTED_VALUE"""),"日21")</f>
        <v>日21</v>
      </c>
      <c r="F1491" s="2" t="s">
        <v>4756</v>
      </c>
      <c r="G1491" s="2" t="s">
        <v>4769</v>
      </c>
      <c r="H1491" s="1">
        <v>5.0</v>
      </c>
      <c r="I1491" s="1" t="s">
        <v>17</v>
      </c>
      <c r="J1491" s="1" t="s">
        <v>11</v>
      </c>
      <c r="K1491" s="2" t="s">
        <v>4770</v>
      </c>
      <c r="L1491" s="2" t="s">
        <v>4771</v>
      </c>
      <c r="M1491" s="2" t="str">
        <f>IFERROR(__xludf.DUMMYFUNCTION("split(split(K1491,""阿部サダヲ　"",false),""公式LINE"",false)"),"護(阿部サダヲ)は友樹(鈴木福)の風邪がうつったのか熱を出す。学校へ出かける薫(芦田愛菜)と友樹が、階下の居酒屋「クジラ」の彩(比嘉愛未)に「マルモ、よろしくおねがいします」と伝えると、陽介(世良公則)は護の部屋を心配して訪ねてくる。すると、陽介は護のほっぺたが腫れていることに気が付いて「まさか、おたふくとかじゃないよな?」と指摘する。心配になった護は実家の母・節子(真野響子)に自分が子供のころおたふく風邪にかかったことがあったかどうかを尋ねるが、節子は「忘れちゃったわよ。あはは」と笑い飛ばす。  　護は"&amp;"病院でおたふく風邪と診断され、さっそく双子から隔離される。  　その頃、護を心配した母親の節子がアパートを訪れる。双子から隔離されて押入れにいる護にかわって、玄関を開けたのは薫と友樹。節子は状況がつかめず驚くが、双子が護の親友、笹倉(葛山信吾)の遺した子供をひきとったと知って驚く。節子は護に「あんたにお嫁さんでも来てくれれば別だけど、このままじゃあの子たちにさみしい思いをさせるだけ」と反対する。護は彩に、節子から男手ひとつであの子たちを育てることに反対されたと話す。  　一方、護が体調を崩して大変だと、真"&amp;"島(小柳友)から聞いたかな(滝沢沙織)は、先日の出張でお世話になったお礼もしたいからと、お見舞いに行きたいと連絡をしてくる。最初はかなの申し出を断った護だが、かなにとあるお願いをする。")</f>
        <v>護(阿部サダヲ)は友樹(鈴木福)の風邪がうつったのか熱を出す。学校へ出かける薫(芦田愛菜)と友樹が、階下の居酒屋「クジラ」の彩(比嘉愛未)に「マルモ、よろしくおねがいします」と伝えると、陽介(世良公則)は護の部屋を心配して訪ねてくる。すると、陽介は護のほっぺたが腫れていることに気が付いて「まさか、おたふくとかじゃないよな?」と指摘する。心配になった護は実家の母・節子(真野響子)に自分が子供のころおたふく風邪にかかったことがあったかどうかを尋ねるが、節子は「忘れちゃったわよ。あはは」と笑い飛ばす。  　護は病院でおたふく風邪と診断され、さっそく双子から隔離される。  　その頃、護を心配した母親の節子がアパートを訪れる。双子から隔離されて押入れにいる護にかわって、玄関を開けたのは薫と友樹。節子は状況がつかめず驚くが、双子が護の親友、笹倉(葛山信吾)の遺した子供をひきとったと知って驚く。節子は護に「あんたにお嫁さんでも来てくれれば別だけど、このままじゃあの子たちにさみしい思いをさせるだけ」と反対する。護は彩に、節子から男手ひとつであの子たちを育てることに反対されたと話す。  　一方、護が体調を崩して大変だと、真島(小柳友)から聞いたかな(滝沢沙織)は、先日の出張でお世話になったお礼もしたいからと、お見舞いに行きたいと連絡をしてくる。最初はかなの申し出を断った護だが、かなにとあるお願いをする。</v>
      </c>
      <c r="N1491" s="2"/>
      <c r="O1491" s="2"/>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row>
    <row r="1492" ht="204.75" customHeight="1">
      <c r="A1492" s="1">
        <v>4428.0</v>
      </c>
      <c r="B1492" s="2" t="s">
        <v>4755</v>
      </c>
      <c r="C1492" s="2">
        <f>IFERROR(__xludf.DUMMYFUNCTION("split(B1492,""_"")"),1104.0)</f>
        <v>1104</v>
      </c>
      <c r="D1492" s="2" t="str">
        <f>IFERROR(__xludf.DUMMYFUNCTION("""COMPUTED_VALUE"""),"CX")</f>
        <v>CX</v>
      </c>
      <c r="E1492" s="2" t="str">
        <f>IFERROR(__xludf.DUMMYFUNCTION("""COMPUTED_VALUE"""),"日21")</f>
        <v>日21</v>
      </c>
      <c r="F1492" s="2" t="s">
        <v>4756</v>
      </c>
      <c r="G1492" s="2" t="s">
        <v>4772</v>
      </c>
      <c r="H1492" s="1">
        <v>6.0</v>
      </c>
      <c r="I1492" s="1" t="s">
        <v>21</v>
      </c>
      <c r="J1492" s="1" t="s">
        <v>11</v>
      </c>
      <c r="K1492" s="2" t="s">
        <v>4773</v>
      </c>
      <c r="L1492" s="2" t="s">
        <v>4774</v>
      </c>
      <c r="M1492" s="2" t="str">
        <f>IFERROR(__xludf.DUMMYFUNCTION("split(split(K1492,""阿部サダヲ　"",false),""公式LINE"",false)"),"護(阿部サダヲ)にキャッチボールを教わる薫(芦田愛菜)と友樹(鈴木福)。そこへ、薫と友樹のクラスメートである隼人(貴島康成)が通りがかる。薫は隼人の両親が忙しく、いつも1人で遊んでいるので一緒にキャッチボールしようと声をかけようとするが、隼人はそそくさとその場を離れてしまう。翌朝、薫が隼人に今度は一緒にキャッチボールをしようと話すと、隼人は明るい表情を見せるが、周りの男子生徒から「女とキャッチボールか」とからかわれて、隼人は思わず薫にきつい言葉をかけてしまう。  　一方、護はかな(滝沢沙織)を食事に誘うと"&amp;"、かなは快諾。浮かれて帰宅した護は、かなとデートをすると双子に自慢するが、すぐに薫の様子がおかしいことに気がつく。訳を聞いてみると、隼人にからかわれて傷ついたことを薫は護に話す。しかし、女の子の気持ちがわからない護は無視すればいいと軽く受け流してしまう。  　薫は隼人から「マルモは本当のパパじゃないから、いつか捨てられる」と言われて、不安を募らせていく。  　ある日、護は、鮫島(伊武雅刀)と共に伊達(吉田鋼太郎)という男のところへ会いに行く。伊達は、鮫島がクレーム対応しているうちに仲良くなった男だという。"&amp;"そこへ、薫がけんかをしたと学校から連絡があり、急いで護は学校にかけつけるが、怪我をしたのは隼人。謝らない!とむくれる薫に護は「面倒見切れない」とくちばしってしまって・・・。")</f>
        <v>護(阿部サダヲ)にキャッチボールを教わる薫(芦田愛菜)と友樹(鈴木福)。そこへ、薫と友樹のクラスメートである隼人(貴島康成)が通りがかる。薫は隼人の両親が忙しく、いつも1人で遊んでいるので一緒にキャッチボールしようと声をかけようとするが、隼人はそそくさとその場を離れてしまう。翌朝、薫が隼人に今度は一緒にキャッチボールをしようと話すと、隼人は明るい表情を見せるが、周りの男子生徒から「女とキャッチボールか」とからかわれて、隼人は思わず薫にきつい言葉をかけてしまう。  　一方、護はかな(滝沢沙織)を食事に誘うと、かなは快諾。浮かれて帰宅した護は、かなとデートをすると双子に自慢するが、すぐに薫の様子がおかしいことに気がつく。訳を聞いてみると、隼人にからかわれて傷ついたことを薫は護に話す。しかし、女の子の気持ちがわからない護は無視すればいいと軽く受け流してしまう。  　薫は隼人から「マルモは本当のパパじゃないから、いつか捨てられる」と言われて、不安を募らせていく。  　ある日、護は、鮫島(伊武雅刀)と共に伊達(吉田鋼太郎)という男のところへ会いに行く。伊達は、鮫島がクレーム対応しているうちに仲良くなった男だという。そこへ、薫がけんかをしたと学校から連絡があり、急いで護は学校にかけつけるが、怪我をしたのは隼人。謝らない!とむくれる薫に護は「面倒見切れない」とくちばしってしまって・・・。</v>
      </c>
      <c r="N1492" s="2"/>
      <c r="O1492" s="2"/>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row>
    <row r="1493" ht="204.75" customHeight="1">
      <c r="A1493" s="1">
        <v>4429.0</v>
      </c>
      <c r="B1493" s="2" t="s">
        <v>4755</v>
      </c>
      <c r="C1493" s="2">
        <f>IFERROR(__xludf.DUMMYFUNCTION("split(B1493,""_"")"),1104.0)</f>
        <v>1104</v>
      </c>
      <c r="D1493" s="2" t="str">
        <f>IFERROR(__xludf.DUMMYFUNCTION("""COMPUTED_VALUE"""),"CX")</f>
        <v>CX</v>
      </c>
      <c r="E1493" s="2" t="str">
        <f>IFERROR(__xludf.DUMMYFUNCTION("""COMPUTED_VALUE"""),"日21")</f>
        <v>日21</v>
      </c>
      <c r="F1493" s="2" t="s">
        <v>4756</v>
      </c>
      <c r="G1493" s="2" t="s">
        <v>4775</v>
      </c>
      <c r="H1493" s="1">
        <v>7.0</v>
      </c>
      <c r="I1493" s="1" t="s">
        <v>25</v>
      </c>
      <c r="J1493" s="1" t="s">
        <v>4</v>
      </c>
      <c r="K1493" s="2" t="s">
        <v>4776</v>
      </c>
      <c r="L1493" s="2" t="s">
        <v>4777</v>
      </c>
      <c r="M1493" s="2" t="str">
        <f>IFERROR(__xludf.DUMMYFUNCTION("split(split(K1493,""阿部サダヲ　"",false),""公式LINE"",false)"),"護(阿部サダヲ)は、薫(芦田愛菜)と友樹(鈴木福)がもうすぐ誕生日だと知る。一緒に暮らして初めての誕生日を祝ってやりたいと考えた護は、双子に何が欲しいかを尋ねる。しかし双子は「サンタさんにお願いしたから大丈夫」と話す。護はサンタさんはクリスマスにしか来ないから、何が欲しいのか教えて、と言うが亡くなった双子の父・笹倉(葛山信吾)から他の人に教えたらいけないと言われた双子は欲しい物を話そうとしない。　そんなある日、双子が学校から下校途中、双子の実の母・あゆみ(鶴田真由)が双子に声をかけて、クッキーを手渡すが、"&amp;"母親は死んだと聞かされている双子は知らない人からもらえないと断る。  　一方護は、あこがれのかな(滝沢沙織)を食事に誘って、付き合ってほしいと告白をする。引き続き、双子の誕生日プレゼント探しをする護。護が双子と暮らしている事情を知らないあけぼの文具の同僚に「知り合いの」子供にプレゼントをしたい、と相談すると、息子のいる民子(千葉雅子)から、サンタさんにプレゼントをお願いするときは手紙を書いて大事な箱にしまうものだと聞いて、家中を探す。護はやっとそれらしき箱を発見する。  　そんなある日、あゆみが護を訪ねて"&amp;"きて・・・。")</f>
        <v>護(阿部サダヲ)は、薫(芦田愛菜)と友樹(鈴木福)がもうすぐ誕生日だと知る。一緒に暮らして初めての誕生日を祝ってやりたいと考えた護は、双子に何が欲しいかを尋ねる。しかし双子は「サンタさんにお願いしたから大丈夫」と話す。護はサンタさんはクリスマスにしか来ないから、何が欲しいのか教えて、と言うが亡くなった双子の父・笹倉(葛山信吾)から他の人に教えたらいけないと言われた双子は欲しい物を話そうとしない。　そんなある日、双子が学校から下校途中、双子の実の母・あゆみ(鶴田真由)が双子に声をかけて、クッキーを手渡すが、母親は死んだと聞かされている双子は知らない人からもらえないと断る。  　一方護は、あこがれのかな(滝沢沙織)を食事に誘って、付き合ってほしいと告白をする。引き続き、双子の誕生日プレゼント探しをする護。護が双子と暮らしている事情を知らないあけぼの文具の同僚に「知り合いの」子供にプレゼントをしたい、と相談すると、息子のいる民子(千葉雅子)から、サンタさんにプレゼントをお願いするときは手紙を書いて大事な箱にしまうものだと聞いて、家中を探す。護はやっとそれらしき箱を発見する。  　そんなある日、あゆみが護を訪ねてきて・・・。</v>
      </c>
      <c r="N1493" s="2"/>
      <c r="O1493" s="2"/>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row>
    <row r="1494" ht="204.75" customHeight="1">
      <c r="A1494" s="1">
        <v>4430.0</v>
      </c>
      <c r="B1494" s="2" t="s">
        <v>4755</v>
      </c>
      <c r="C1494" s="2">
        <f>IFERROR(__xludf.DUMMYFUNCTION("split(B1494,""_"")"),1104.0)</f>
        <v>1104</v>
      </c>
      <c r="D1494" s="2" t="str">
        <f>IFERROR(__xludf.DUMMYFUNCTION("""COMPUTED_VALUE"""),"CX")</f>
        <v>CX</v>
      </c>
      <c r="E1494" s="2" t="str">
        <f>IFERROR(__xludf.DUMMYFUNCTION("""COMPUTED_VALUE"""),"日21")</f>
        <v>日21</v>
      </c>
      <c r="F1494" s="2" t="s">
        <v>4756</v>
      </c>
      <c r="G1494" s="2" t="s">
        <v>4778</v>
      </c>
      <c r="H1494" s="1">
        <v>8.0</v>
      </c>
      <c r="I1494" s="1" t="s">
        <v>29</v>
      </c>
      <c r="J1494" s="1" t="s">
        <v>11</v>
      </c>
      <c r="K1494" s="2" t="s">
        <v>4779</v>
      </c>
      <c r="L1494" s="2" t="s">
        <v>4780</v>
      </c>
      <c r="M1494" s="2" t="str">
        <f>IFERROR(__xludf.DUMMYFUNCTION("split(split(K1494,""阿部サダヲ　"",false),""公式LINE"",false)"),"とある日曜日の朝。ぐっすり眠っている護(阿部サダヲ)を薫(芦田愛菜)と友樹(鈴木福)は揺り起こす。今日は日曜参観の日だ。日曜参観では、さっそくおとぼけ発言を披露する友樹だったが、しっかり者の薫の姿に、護も満足げ。そして担任の杉下(六角慎司)からは、お父さんやお母さんの仕事についてどんなことでもよいので調べてくるようにと宿題が出る。子供たちは家族の「お仕事調査隊」の隊員となって、調査結果を学校で発表することになった。日曜参観の帰り道、かな(滝沢沙織)から護に電話があり、ランチに誘われる。「もちろん!」と即答"&amp;"する護だが、まだ、かなに双子の存在を話せないでいた。一方、「お仕事調査隊」としてやる気まんまんの双子。ノートを片手に芸能レポーターの装いで風呂上がりの護に仕事内容を突撃している。しかし、護はかなとのメールのやりとりに夢中で、ぼんやりした答えばかり。護の会社に行ってみたいと薫は話すが、かなはもちろんのこと会社にも双子のことは秘密にしているため、だめの一点張り。  　そんなある日、日曜参観の振り替え休日で平日がお休みになった双子は、「お仕事調査隊」の仕事をまっとうするため、出社する護を尾行して・・・?")</f>
        <v>とある日曜日の朝。ぐっすり眠っている護(阿部サダヲ)を薫(芦田愛菜)と友樹(鈴木福)は揺り起こす。今日は日曜参観の日だ。日曜参観では、さっそくおとぼけ発言を披露する友樹だったが、しっかり者の薫の姿に、護も満足げ。そして担任の杉下(六角慎司)からは、お父さんやお母さんの仕事についてどんなことでもよいので調べてくるようにと宿題が出る。子供たちは家族の「お仕事調査隊」の隊員となって、調査結果を学校で発表することになった。日曜参観の帰り道、かな(滝沢沙織)から護に電話があり、ランチに誘われる。「もちろん!」と即答する護だが、まだ、かなに双子の存在を話せないでいた。一方、「お仕事調査隊」としてやる気まんまんの双子。ノートを片手に芸能レポーターの装いで風呂上がりの護に仕事内容を突撃している。しかし、護はかなとのメールのやりとりに夢中で、ぼんやりした答えばかり。護の会社に行ってみたいと薫は話すが、かなはもちろんのこと会社にも双子のことは秘密にしているため、だめの一点張り。  　そんなある日、日曜参観の振り替え休日で平日がお休みになった双子は、「お仕事調査隊」の仕事をまっとうするため、出社する護を尾行して・・・?</v>
      </c>
      <c r="N1494" s="2"/>
      <c r="O1494" s="2"/>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row>
    <row r="1495" ht="204.75" customHeight="1">
      <c r="A1495" s="1">
        <v>4431.0</v>
      </c>
      <c r="B1495" s="2" t="s">
        <v>4755</v>
      </c>
      <c r="C1495" s="2">
        <f>IFERROR(__xludf.DUMMYFUNCTION("split(B1495,""_"")"),1104.0)</f>
        <v>1104</v>
      </c>
      <c r="D1495" s="2" t="str">
        <f>IFERROR(__xludf.DUMMYFUNCTION("""COMPUTED_VALUE"""),"CX")</f>
        <v>CX</v>
      </c>
      <c r="E1495" s="2" t="str">
        <f>IFERROR(__xludf.DUMMYFUNCTION("""COMPUTED_VALUE"""),"日21")</f>
        <v>日21</v>
      </c>
      <c r="F1495" s="2" t="s">
        <v>4756</v>
      </c>
      <c r="G1495" s="2" t="s">
        <v>4781</v>
      </c>
      <c r="H1495" s="1">
        <v>9.0</v>
      </c>
      <c r="I1495" s="1" t="s">
        <v>33</v>
      </c>
      <c r="J1495" s="1" t="s">
        <v>11</v>
      </c>
      <c r="K1495" s="2" t="s">
        <v>4782</v>
      </c>
      <c r="L1495" s="2" t="s">
        <v>4783</v>
      </c>
      <c r="M1495" s="2" t="str">
        <f>IFERROR(__xludf.DUMMYFUNCTION("split(split(K1495,""阿部サダヲ　"",false),""公式LINE"",false)"),"護(阿部サダヲ)は、ボーナスが出るのでいつになく機嫌がいい。朝から夕飯のことが気になっている友樹(鈴木福)に夕食の献立を聞かれて、護は双子に週末はおいしいものを食べに行こうと話す。そして、ボーナスでふたりに新しい服もプレゼントすることを決めていた。あけぼの文具の同僚にもふたりにどんな服をプレゼントするのがいいか相談をして、護はとてもうれしそうだ。一方、居酒屋「くじら」には彩(比嘉愛未)の元旦那である達也(田中幸太朗)から電話が入っていた。ある日、同級生の女の子・まなみ(本田望結)と女の子だけで遊ぶ約束をし"&amp;"た薫(芦田愛菜)は、友樹と別行動をしていた。夕飯の時間が近くなって、まなみの家を出た薫は、雨あがりの水たまりをひとり楽しそうに歩いて帰宅。その時、双子が幼いときに家を出て離婚した実の母親・あゆみ(鶴田真由)が、たまたま薫の姿を見つけた。一方、護は、会社から戻っても薫が帰っていなかったので、薫を迎えに、友樹と一緒にまなみの家に行く。友樹の頼りないガイドでまなみの家にやっとの思いでたどり着くも、薫はずいぶん前に家を出たと言われる。思い当たる場所を探していると、歩道に薫の名前の書かれた傘が落ちていて・・・?")</f>
        <v>護(阿部サダヲ)は、ボーナスが出るのでいつになく機嫌がいい。朝から夕飯のことが気になっている友樹(鈴木福)に夕食の献立を聞かれて、護は双子に週末はおいしいものを食べに行こうと話す。そして、ボーナスでふたりに新しい服もプレゼントすることを決めていた。あけぼの文具の同僚にもふたりにどんな服をプレゼントするのがいいか相談をして、護はとてもうれしそうだ。一方、居酒屋「くじら」には彩(比嘉愛未)の元旦那である達也(田中幸太朗)から電話が入っていた。ある日、同級生の女の子・まなみ(本田望結)と女の子だけで遊ぶ約束をした薫(芦田愛菜)は、友樹と別行動をしていた。夕飯の時間が近くなって、まなみの家を出た薫は、雨あがりの水たまりをひとり楽しそうに歩いて帰宅。その時、双子が幼いときに家を出て離婚した実の母親・あゆみ(鶴田真由)が、たまたま薫の姿を見つけた。一方、護は、会社から戻っても薫が帰っていなかったので、薫を迎えに、友樹と一緒にまなみの家に行く。友樹の頼りないガイドでまなみの家にやっとの思いでたどり着くも、薫はずいぶん前に家を出たと言われる。思い当たる場所を探していると、歩道に薫の名前の書かれた傘が落ちていて・・・?</v>
      </c>
      <c r="N1495" s="2"/>
      <c r="O1495" s="2"/>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row>
    <row r="1496" ht="204.75" customHeight="1">
      <c r="A1496" s="1">
        <v>4432.0</v>
      </c>
      <c r="B1496" s="2" t="s">
        <v>4755</v>
      </c>
      <c r="C1496" s="2">
        <f>IFERROR(__xludf.DUMMYFUNCTION("split(B1496,""_"")"),1104.0)</f>
        <v>1104</v>
      </c>
      <c r="D1496" s="2" t="str">
        <f>IFERROR(__xludf.DUMMYFUNCTION("""COMPUTED_VALUE"""),"CX")</f>
        <v>CX</v>
      </c>
      <c r="E1496" s="2" t="str">
        <f>IFERROR(__xludf.DUMMYFUNCTION("""COMPUTED_VALUE"""),"日21")</f>
        <v>日21</v>
      </c>
      <c r="F1496" s="2" t="s">
        <v>4756</v>
      </c>
      <c r="G1496" s="2" t="s">
        <v>4784</v>
      </c>
      <c r="H1496" s="1">
        <v>10.0</v>
      </c>
      <c r="I1496" s="1" t="s">
        <v>37</v>
      </c>
      <c r="J1496" s="1" t="s">
        <v>11</v>
      </c>
      <c r="K1496" s="2" t="s">
        <v>4785</v>
      </c>
      <c r="L1496" s="2" t="s">
        <v>4786</v>
      </c>
      <c r="M1496" s="2" t="str">
        <f>IFERROR(__xludf.DUMMYFUNCTION("split(split(K1496,""阿部サダヲ　"",false),""公式LINE"",false)"),"薫(芦田愛菜)と友樹(鈴木福)はもうすぐ運動会。学校で行われた運動会の説明会には、仕事で行けなかった護(阿部サダヲ)の代わりに陽介(世良公則)が出席した。運動会で子供達が踊る「アイアイ」のダンスを、保護者のみなさんも覚えてくださいと言われ習ってきた陽介から、護も踊り方を習う。あけぼの文具の同僚は、護が双子の運動会を楽しみにしていることを知り、双子応援グッズを持ち寄る。一方、お客様相談室室長の鮫島(伊武雅刀)からは、商品開発のセクションに異動の話があり、考えてくれないかと言われる。ある夜、薫は護にママがどん"&amp;"な人だったのかを尋ねる。護は美人だったと教えるが・・・。双子の実の母・あゆみ(鶴田真由)が、護に話があると連絡を入れてくる。ある日、護たちが不在時、ムックの飼い主だと名乗って老夫婦が居酒屋クジラを訪ねてきて・・・。")</f>
        <v>薫(芦田愛菜)と友樹(鈴木福)はもうすぐ運動会。学校で行われた運動会の説明会には、仕事で行けなかった護(阿部サダヲ)の代わりに陽介(世良公則)が出席した。運動会で子供達が踊る「アイアイ」のダンスを、保護者のみなさんも覚えてくださいと言われ習ってきた陽介から、護も踊り方を習う。あけぼの文具の同僚は、護が双子の運動会を楽しみにしていることを知り、双子応援グッズを持ち寄る。一方、お客様相談室室長の鮫島(伊武雅刀)からは、商品開発のセクションに異動の話があり、考えてくれないかと言われる。ある夜、薫は護にママがどんな人だったのかを尋ねる。護は美人だったと教えるが・・・。双子の実の母・あゆみ(鶴田真由)が、護に話があると連絡を入れてくる。ある日、護たちが不在時、ムックの飼い主だと名乗って老夫婦が居酒屋クジラを訪ねてきて・・・。</v>
      </c>
      <c r="N1496" s="2"/>
      <c r="O1496" s="2"/>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row>
    <row r="1497" ht="204.75" customHeight="1">
      <c r="A1497" s="1">
        <v>4441.0</v>
      </c>
      <c r="B1497" s="2" t="s">
        <v>4787</v>
      </c>
      <c r="C1497" s="2">
        <f>IFERROR(__xludf.DUMMYFUNCTION("split(B1497,""_"")"),1101.0)</f>
        <v>1101</v>
      </c>
      <c r="D1497" s="2" t="str">
        <f>IFERROR(__xludf.DUMMYFUNCTION("""COMPUTED_VALUE"""),"CX")</f>
        <v>CX</v>
      </c>
      <c r="E1497" s="2" t="str">
        <f>IFERROR(__xludf.DUMMYFUNCTION("""COMPUTED_VALUE"""),"月21")</f>
        <v>月21</v>
      </c>
      <c r="F1497" s="2" t="s">
        <v>4788</v>
      </c>
      <c r="G1497" s="2" t="s">
        <v>4789</v>
      </c>
      <c r="H1497" s="1">
        <v>1.0</v>
      </c>
      <c r="I1497" s="1" t="s">
        <v>3</v>
      </c>
      <c r="J1497" s="1" t="s">
        <v>4</v>
      </c>
      <c r="K1497" s="4" t="s">
        <v>4790</v>
      </c>
      <c r="L1497" s="2" t="s">
        <v>4791</v>
      </c>
      <c r="M1497" s="2" t="str">
        <f>IFERROR(__xludf.DUMMYFUNCTION("split(split(K1497,""戸田恵梨香　"",false),""公式LINE"",false)"),"上村夏実(戸田恵梨香)は、私立明稜学園高等学校の英語教師。1年生のクラス担任で、バスケットボール部の顧問を務めている。  　柏木修二(三浦春馬)は、夏実の同僚で2年生のクラス担任を務める生物教師。修二は、真面目で思慮深く、物事を真剣に考えるタイプで、生徒はもちろん、保護者たちからも絶大な支持を得ていた。  　高校・大学の同級生だった夏実と修二は、3カ月後に結婚式を挙げる予定だ。結婚式は、ふたりの大学時代の同級生で、人気ウエディング・プランナーの東堂さやか(篠田麻里子)が手がける。  　新学期が始まる朝、目"&amp;"を覚ました修二は、隣に見知らぬ若い女性が裸で眠っていることに気づく。遅刻しそうだった修二は、素性のわからない女性を部屋に残していくことに抵抗を感じながらも、部屋の鍵を手渡して慌てて家を飛び出す。  　修二は、平静を装って登校する。職員室には、教頭の鶴岡悟司(風間杜夫)をはじめ、2年生の学年主任で2組の担任・中西佳史(西村雅彦)らの姿があり、慌ただしく準備をしていた。  　2年1組の出席をとった修二は、佐伯ひかり(武井咲)と園田望未(剛力彩芽)がまだ登校していないことを知る。するとそのとき、佐伯ひかりが教室"&amp;"に入ってきた。  　修二は、始業式が行われる体育館に移動するよう、生徒たちに指示した。そのとき、ひかりは、ふいに修二を呼びとめると、手の中にあったものを見せた。それは修二の部屋の鍵だった。")</f>
        <v>上村夏実(戸田恵梨香)は、私立明稜学園高等学校の英語教師。1年生のクラス担任で、バスケットボール部の顧問を務めている。  　柏木修二(三浦春馬)は、夏実の同僚で2年生のクラス担任を務める生物教師。修二は、真面目で思慮深く、物事を真剣に考えるタイプで、生徒はもちろん、保護者たちからも絶大な支持を得ていた。  　高校・大学の同級生だった夏実と修二は、3カ月後に結婚式を挙げる予定だ。結婚式は、ふたりの大学時代の同級生で、人気ウエディング・プランナーの東堂さやか(篠田麻里子)が手がける。  　新学期が始まる朝、目を覚ました修二は、隣に見知らぬ若い女性が裸で眠っていることに気づく。遅刻しそうだった修二は、素性のわからない女性を部屋に残していくことに抵抗を感じながらも、部屋の鍵を手渡して慌てて家を飛び出す。  　修二は、平静を装って登校する。職員室には、教頭の鶴岡悟司(風間杜夫)をはじめ、2年生の学年主任で2組の担任・中西佳史(西村雅彦)らの姿があり、慌ただしく準備をしていた。  　2年1組の出席をとった修二は、佐伯ひかり(武井咲)と園田望未(剛力彩芽)がまだ登校していないことを知る。するとそのとき、佐伯ひかりが教室に入ってきた。  　修二は、始業式が行われる体育館に移動するよう、生徒たちに指示した。そのとき、ひかりは、ふいに修二を呼びとめると、手の中にあったものを見せた。それは修二の部屋の鍵だった。</v>
      </c>
      <c r="N1497" s="2"/>
      <c r="O1497" s="2"/>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row>
    <row r="1498" ht="204.75" customHeight="1">
      <c r="A1498" s="1">
        <v>4442.0</v>
      </c>
      <c r="B1498" s="2" t="s">
        <v>4787</v>
      </c>
      <c r="C1498" s="2">
        <f>IFERROR(__xludf.DUMMYFUNCTION("split(B1498,""_"")"),1101.0)</f>
        <v>1101</v>
      </c>
      <c r="D1498" s="2" t="str">
        <f>IFERROR(__xludf.DUMMYFUNCTION("""COMPUTED_VALUE"""),"CX")</f>
        <v>CX</v>
      </c>
      <c r="E1498" s="2" t="str">
        <f>IFERROR(__xludf.DUMMYFUNCTION("""COMPUTED_VALUE"""),"月21")</f>
        <v>月21</v>
      </c>
      <c r="F1498" s="2" t="s">
        <v>4788</v>
      </c>
      <c r="G1498" s="2" t="s">
        <v>4792</v>
      </c>
      <c r="H1498" s="1">
        <v>2.0</v>
      </c>
      <c r="I1498" s="1" t="s">
        <v>7</v>
      </c>
      <c r="J1498" s="1" t="s">
        <v>11</v>
      </c>
      <c r="K1498" s="2" t="s">
        <v>4793</v>
      </c>
      <c r="L1498" s="2" t="s">
        <v>4794</v>
      </c>
      <c r="M1498" s="2" t="str">
        <f>IFERROR(__xludf.DUMMYFUNCTION("split(split(K1498,""戸田恵梨香　"",false),""公式LINE"",false)"),"上村夏実(戸田恵梨香)と柏木修二(三浦春馬)は、共通の友人でもあるウエディングプランナーの東堂さやか(篠田麻里子)と相談しながら結婚式の準備を進めていた。だが修二は、教え子の佐伯ひかり(武井咲)と関係を持ってしまったことが心に重くのしかかり、式場のパンフレットを広げていても何も目に入らなかった。  　ある日、夏実が顧問を務めるバスケットボール部にひかりがやってくる。バスケットボール部に入部したいのだという。夏実は、2年生でしかもまったくの初心者のひかりに一瞬戸惑うが、すぐに笑顔を見せて入部を許可すると、さ"&amp;"っそく一緒に基本練習を始めた。そんなふたりの姿を目撃した修二は、動揺を隠せない。ほどなく、修二のもとにやってきたひかりは、バスケットボール部に入ったことを報告した。その際、ひかりは、夏実に憧れている、などと言うと、ポケットから携帯電話を取り出して修二に見せた。その画面にあったのは、修二の寝顔とヤケドの跡が残ったひかりの手首が写っている写真だった。ひかりは、修二の心を見透かしたような笑みを見せ、夏実には見せないから大丈夫、と告げた。  　休日、夏実と修二はウエディングドレスを見に行く。試着室からなかなか出て"&amp;"こない夏実を心配した修二がカーテンを開けると、悲痛な面持ちで固まっている夏実がいた…。")</f>
        <v>上村夏実(戸田恵梨香)と柏木修二(三浦春馬)は、共通の友人でもあるウエディングプランナーの東堂さやか(篠田麻里子)と相談しながら結婚式の準備を進めていた。だが修二は、教え子の佐伯ひかり(武井咲)と関係を持ってしまったことが心に重くのしかかり、式場のパンフレットを広げていても何も目に入らなかった。  　ある日、夏実が顧問を務めるバスケットボール部にひかりがやってくる。バスケットボール部に入部したいのだという。夏実は、2年生でしかもまったくの初心者のひかりに一瞬戸惑うが、すぐに笑顔を見せて入部を許可すると、さっそく一緒に基本練習を始めた。そんなふたりの姿を目撃した修二は、動揺を隠せない。ほどなく、修二のもとにやってきたひかりは、バスケットボール部に入ったことを報告した。その際、ひかりは、夏実に憧れている、などと言うと、ポケットから携帯電話を取り出して修二に見せた。その画面にあったのは、修二の寝顔とヤケドの跡が残ったひかりの手首が写っている写真だった。ひかりは、修二の心を見透かしたような笑みを見せ、夏実には見せないから大丈夫、と告げた。  　休日、夏実と修二はウエディングドレスを見に行く。試着室からなかなか出てこない夏実を心配した修二がカーテンを開けると、悲痛な面持ちで固まっている夏実がいた…。</v>
      </c>
      <c r="N1498" s="2"/>
      <c r="O1498" s="2"/>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row>
    <row r="1499" ht="204.75" customHeight="1">
      <c r="A1499" s="1">
        <v>4443.0</v>
      </c>
      <c r="B1499" s="2" t="s">
        <v>4787</v>
      </c>
      <c r="C1499" s="2">
        <f>IFERROR(__xludf.DUMMYFUNCTION("split(B1499,""_"")"),1101.0)</f>
        <v>1101</v>
      </c>
      <c r="D1499" s="2" t="str">
        <f>IFERROR(__xludf.DUMMYFUNCTION("""COMPUTED_VALUE"""),"CX")</f>
        <v>CX</v>
      </c>
      <c r="E1499" s="2" t="str">
        <f>IFERROR(__xludf.DUMMYFUNCTION("""COMPUTED_VALUE"""),"月21")</f>
        <v>月21</v>
      </c>
      <c r="F1499" s="2" t="s">
        <v>4788</v>
      </c>
      <c r="G1499" s="2" t="s">
        <v>4795</v>
      </c>
      <c r="H1499" s="1">
        <v>3.0</v>
      </c>
      <c r="I1499" s="1" t="s">
        <v>10</v>
      </c>
      <c r="J1499" s="1" t="s">
        <v>11</v>
      </c>
      <c r="K1499" s="2" t="s">
        <v>4796</v>
      </c>
      <c r="L1499" s="2" t="s">
        <v>4797</v>
      </c>
      <c r="M1499" s="2" t="str">
        <f>IFERROR(__xludf.DUMMYFUNCTION("split(split(K1499,""戸田恵梨香　"",false),""公式LINE"",false)"),"夏実(戸田恵梨香)は、婚約者の修二(三浦春馬)が教え子のひかり(武井咲)と一夜を過ごしたことを知る。ひかりが携帯電話で撮影した修二の写真を、夏実に送りつけたのだ。修二と会った夏実は、結婚はどうするのか、と問いただす。しかし、修二は何も答えることができない。するとそこに、夏実の父・克実(新井康弘)が倒れたという連絡が入る。入院先の総合病院に到着した夏実たちは、克実がヘルニアで運ばれたことを知る。克実は元気そうで、この機会に手術を受けるつもりだと笑った。夏実たちは安心して、病室を後にした。修二は、医師に挨拶を"&amp;"してくる、という夏実と一旦別れて、エレベーターで階下に降りた。すると修二の前に、ひかりと看護師の亜弥(内田有紀)が現れる。ひかりは、同じ総合病院の婦人科に通っていたのだ。ひかりは、この人が関係を持った相手だ、と亜弥に打ち明ける。そこに、夏実が戻ってきた。ひかりは、2人が婚約中であることを亜弥に告げた。  　修二は、夏実をマンションまで送る。別れ際、修二は、これからのことは夏実の気持ちで決めていいから、と告げる。夏実は、そんな修二に、なぜ結婚を止めることも修二を許すことも自分が決めなければならないのか、と言"&amp;"い放つ。しかし、修二はただ謝ることしかできなかった。あくる日、学食で昼食をとっていた修二の前にやってきたひかりは、ある宣言をする…。")</f>
        <v>夏実(戸田恵梨香)は、婚約者の修二(三浦春馬)が教え子のひかり(武井咲)と一夜を過ごしたことを知る。ひかりが携帯電話で撮影した修二の写真を、夏実に送りつけたのだ。修二と会った夏実は、結婚はどうするのか、と問いただす。しかし、修二は何も答えることができない。するとそこに、夏実の父・克実(新井康弘)が倒れたという連絡が入る。入院先の総合病院に到着した夏実たちは、克実がヘルニアで運ばれたことを知る。克実は元気そうで、この機会に手術を受けるつもりだと笑った。夏実たちは安心して、病室を後にした。修二は、医師に挨拶をしてくる、という夏実と一旦別れて、エレベーターで階下に降りた。すると修二の前に、ひかりと看護師の亜弥(内田有紀)が現れる。ひかりは、同じ総合病院の婦人科に通っていたのだ。ひかりは、この人が関係を持った相手だ、と亜弥に打ち明ける。そこに、夏実が戻ってきた。ひかりは、2人が婚約中であることを亜弥に告げた。  　修二は、夏実をマンションまで送る。別れ際、修二は、これからのことは夏実の気持ちで決めていいから、と告げる。夏実は、そんな修二に、なぜ結婚を止めることも修二を許すことも自分が決めなければならないのか、と言い放つ。しかし、修二はただ謝ることしかできなかった。あくる日、学食で昼食をとっていた修二の前にやってきたひかりは、ある宣言をする…。</v>
      </c>
      <c r="N1499" s="2"/>
      <c r="O1499" s="2"/>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row>
    <row r="1500" ht="204.75" customHeight="1">
      <c r="A1500" s="1">
        <v>4444.0</v>
      </c>
      <c r="B1500" s="2" t="s">
        <v>4787</v>
      </c>
      <c r="C1500" s="2">
        <f>IFERROR(__xludf.DUMMYFUNCTION("split(B1500,""_"")"),1101.0)</f>
        <v>1101</v>
      </c>
      <c r="D1500" s="2" t="str">
        <f>IFERROR(__xludf.DUMMYFUNCTION("""COMPUTED_VALUE"""),"CX")</f>
        <v>CX</v>
      </c>
      <c r="E1500" s="2" t="str">
        <f>IFERROR(__xludf.DUMMYFUNCTION("""COMPUTED_VALUE"""),"月21")</f>
        <v>月21</v>
      </c>
      <c r="F1500" s="2" t="s">
        <v>4788</v>
      </c>
      <c r="G1500" s="2" t="s">
        <v>4798</v>
      </c>
      <c r="H1500" s="1">
        <v>4.0</v>
      </c>
      <c r="I1500" s="1" t="s">
        <v>14</v>
      </c>
      <c r="J1500" s="1" t="s">
        <v>11</v>
      </c>
      <c r="K1500" s="2" t="s">
        <v>4799</v>
      </c>
      <c r="L1500" s="2" t="s">
        <v>4800</v>
      </c>
      <c r="M1500" s="2" t="str">
        <f>IFERROR(__xludf.DUMMYFUNCTION("split(split(K1500,""戸田恵梨香　"",false),""公式LINE"",false)"),"教頭の鶴岡(風間杜夫)から、ひかり(武井咲)が家に戻っていないと聞いた修二(三浦春馬)は、ひかりが、あの夜、自分と出会ったバーにいるのではないかと思い、駆けつける。ひかりは、いきなり修二が現れたことに驚くが、本当の君に会いたかったから来た、という修二の言葉を聞いて涙を流す。修二が来てくれただけで十分だと思ったひかりは、あの夜のことはなかったことにする、と言って微笑んだ。ひかりを家まで送り届けた修二は、携帯電話に夏実(戸田恵梨香)からの着信が数十件もあったことに驚く。夏実の元へと急いだ修二は、ひかりと会って"&amp;"いたことを打ち明けた。すると夏実は、あの子の話なんか聞きたくないと激しく取り乱す。  　あくる日、バスケ部の練習を終えたひかりは、修二のことが大事だからあの夜のことはなかったことにする、と夏実に告げる。その夜、帰宅した夏実は、さやか(篠田麻里子)と一緒に、結婚式の招待客から戻ってきた出欠のハガキを整理していた。友人たちからのお祝いのメッセージを読んでいるうちに堪え切れなくなった夏実は、修二とは目も合わせられず聞きたいことがあっても聞けない、と言い出す。さやかから理由を聞かれた夏実は、修二が生徒と関係を持っ"&amp;"たことを告白する。  　そして、修二に大きなピンチが訪れる…。")</f>
        <v>教頭の鶴岡(風間杜夫)から、ひかり(武井咲)が家に戻っていないと聞いた修二(三浦春馬)は、ひかりが、あの夜、自分と出会ったバーにいるのではないかと思い、駆けつける。ひかりは、いきなり修二が現れたことに驚くが、本当の君に会いたかったから来た、という修二の言葉を聞いて涙を流す。修二が来てくれただけで十分だと思ったひかりは、あの夜のことはなかったことにする、と言って微笑んだ。ひかりを家まで送り届けた修二は、携帯電話に夏実(戸田恵梨香)からの着信が数十件もあったことに驚く。夏実の元へと急いだ修二は、ひかりと会っていたことを打ち明けた。すると夏実は、あの子の話なんか聞きたくないと激しく取り乱す。  　あくる日、バスケ部の練習を終えたひかりは、修二のことが大事だからあの夜のことはなかったことにする、と夏実に告げる。その夜、帰宅した夏実は、さやか(篠田麻里子)と一緒に、結婚式の招待客から戻ってきた出欠のハガキを整理していた。友人たちからのお祝いのメッセージを読んでいるうちに堪え切れなくなった夏実は、修二とは目も合わせられず聞きたいことがあっても聞けない、と言い出す。さやかから理由を聞かれた夏実は、修二が生徒と関係を持ったことを告白する。  　そして、修二に大きなピンチが訪れる…。</v>
      </c>
      <c r="N1500" s="2"/>
      <c r="O1500" s="2"/>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row>
    <row r="1501" ht="204.75" customHeight="1">
      <c r="A1501" s="1">
        <v>4445.0</v>
      </c>
      <c r="B1501" s="2" t="s">
        <v>4787</v>
      </c>
      <c r="C1501" s="2">
        <f>IFERROR(__xludf.DUMMYFUNCTION("split(B1501,""_"")"),1101.0)</f>
        <v>1101</v>
      </c>
      <c r="D1501" s="2" t="str">
        <f>IFERROR(__xludf.DUMMYFUNCTION("""COMPUTED_VALUE"""),"CX")</f>
        <v>CX</v>
      </c>
      <c r="E1501" s="2" t="str">
        <f>IFERROR(__xludf.DUMMYFUNCTION("""COMPUTED_VALUE"""),"月21")</f>
        <v>月21</v>
      </c>
      <c r="F1501" s="2" t="s">
        <v>4788</v>
      </c>
      <c r="G1501" s="2" t="s">
        <v>4801</v>
      </c>
      <c r="H1501" s="1">
        <v>5.0</v>
      </c>
      <c r="I1501" s="1" t="s">
        <v>17</v>
      </c>
      <c r="J1501" s="1" t="s">
        <v>11</v>
      </c>
      <c r="K1501" s="2" t="s">
        <v>4802</v>
      </c>
      <c r="L1501" s="2" t="s">
        <v>4803</v>
      </c>
      <c r="M1501" s="2" t="str">
        <f>IFERROR(__xludf.DUMMYFUNCTION("split(split(K1501,""戸田恵梨香　"",false),""公式LINE"",false)"),"佐伯ひかり(武井咲)と一夜をすごしたことが学校にばれた柏木修二(三浦春馬)は登校時に生徒たちの罵声を浴びるが、夏実(戸田恵梨香)がかばう。職員室で教頭の鶴岡(風間杜夫)が修二に処分が出るまでは学校に出てくるよう言う。何か事情があったのではと聞く鶴岡に対して、修二は、ひかりの気持ちをもてあそび、関係を持ったとかたくなな態度を変えない。夕方、1人で修二が自転車で帰ろうとすると、夏実が立っていた。夏実は、あの夜、本当は何があったのか聞くが、ひかりと自分の部屋で一夜を持ったことを否定しない。修二と別れた夏実は修二"&amp;"の実家の柏木酒店に向かう。兄の孝一(新井浩文)に柏木家に関するある秘密を打ち明けられた夏実は、自分の知らない修二がいることに気づく。夏実は修二が生徒と寝たことを打ち明ける。  　大学付属病院の婦人科で看護師の亜弥(内田有紀)から薬を受け取るひかりの前に夏実が現れる。夏実は修二と会った夜のことをひかりに聞こうとするが、気分が悪くなり、結局、ひかりに話を聞けない。  　翌朝。職員室に修二が担当する2年1組の生徒たちが押しかける。修二を批判し、問い詰める生徒たちに「佐伯さんを女性として見た。だから、関係を持った"&amp;"」と修二が言い切ると、生徒たちは静まり返る。すると、ひかりが「違う!」と叫び…。")</f>
        <v>佐伯ひかり(武井咲)と一夜をすごしたことが学校にばれた柏木修二(三浦春馬)は登校時に生徒たちの罵声を浴びるが、夏実(戸田恵梨香)がかばう。職員室で教頭の鶴岡(風間杜夫)が修二に処分が出るまでは学校に出てくるよう言う。何か事情があったのではと聞く鶴岡に対して、修二は、ひかりの気持ちをもてあそび、関係を持ったとかたくなな態度を変えない。夕方、1人で修二が自転車で帰ろうとすると、夏実が立っていた。夏実は、あの夜、本当は何があったのか聞くが、ひかりと自分の部屋で一夜を持ったことを否定しない。修二と別れた夏実は修二の実家の柏木酒店に向かう。兄の孝一(新井浩文)に柏木家に関するある秘密を打ち明けられた夏実は、自分の知らない修二がいることに気づく。夏実は修二が生徒と寝たことを打ち明ける。  　大学付属病院の婦人科で看護師の亜弥(内田有紀)から薬を受け取るひかりの前に夏実が現れる。夏実は修二と会った夜のことをひかりに聞こうとするが、気分が悪くなり、結局、ひかりに話を聞けない。  　翌朝。職員室に修二が担当する2年1組の生徒たちが押しかける。修二を批判し、問い詰める生徒たちに「佐伯さんを女性として見た。だから、関係を持った」と修二が言い切ると、生徒たちは静まり返る。すると、ひかりが「違う!」と叫び…。</v>
      </c>
      <c r="N1501" s="2"/>
      <c r="O1501" s="2"/>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row>
    <row r="1502" ht="204.75" customHeight="1">
      <c r="A1502" s="1">
        <v>4446.0</v>
      </c>
      <c r="B1502" s="2" t="s">
        <v>4787</v>
      </c>
      <c r="C1502" s="2">
        <f>IFERROR(__xludf.DUMMYFUNCTION("split(B1502,""_"")"),1101.0)</f>
        <v>1101</v>
      </c>
      <c r="D1502" s="2" t="str">
        <f>IFERROR(__xludf.DUMMYFUNCTION("""COMPUTED_VALUE"""),"CX")</f>
        <v>CX</v>
      </c>
      <c r="E1502" s="2" t="str">
        <f>IFERROR(__xludf.DUMMYFUNCTION("""COMPUTED_VALUE"""),"月21")</f>
        <v>月21</v>
      </c>
      <c r="F1502" s="2" t="s">
        <v>4788</v>
      </c>
      <c r="G1502" s="2" t="s">
        <v>4804</v>
      </c>
      <c r="H1502" s="1">
        <v>6.0</v>
      </c>
      <c r="I1502" s="1" t="s">
        <v>21</v>
      </c>
      <c r="J1502" s="1" t="s">
        <v>11</v>
      </c>
      <c r="K1502" s="2" t="s">
        <v>4805</v>
      </c>
      <c r="L1502" s="2" t="s">
        <v>4806</v>
      </c>
      <c r="M1502" s="2" t="str">
        <f>IFERROR(__xludf.DUMMYFUNCTION("split(split(K1502,""戸田恵梨香　"",false),""公式LINE"",false)"),"佐伯ひかり(武井咲)の告白により、柏木修二(三浦春馬)とあの夜、関係を持っていないことが判明した。だが、上村夏実(戸田恵梨香)は修二のひかりに対する思いを知り、結婚を取り止めようと決意する。  　朝のホームルーム。担当する2年1組の生徒の前で、修二は半年間、謹慎することを告げる。生徒の反応は様々だ。夕方。夏実は正門への坂道で修二を待ち伏せする。「結婚式をキャンセルしたって?」と聞く修二に、夏実は万感の思いを込めて「さよなら」と告げる。  　6カ月後。修二は実家の酒店を手伝っている。髪はボサボサで精気がない"&amp;"。来週から学校に復帰するというのに元気がない修二を両親が心配する。  　繁華街のカフェで夏実と亜弥(内田有紀)が待ち合わせをする。亜弥は修二の子どもを身ごもっている夏実を気遣う。修二はまだ夏実が妊娠していることを知らない。  　修二は半年の謹慎が解け、明稜学園高等学校に向かう。誰もいないはずの朝の職員室には夏実の姿があった。「会いたかった」と喜ぶ夏実に修二は戸惑いを隠せない。  　教頭の鶴岡(風間杜夫)は修二にひかりが2学期いっぱいで他の高校に転校すると伝えた。駅の改札口で修二はひかりと母親の由梨(宮本裕"&amp;"子)と会う。母親から離れて修二と2人になったひかりは事故のときに感じたことを告白する。  　翌日の夕方の理科実験準備室。夏実が妊娠していることを修二に告げると…。")</f>
        <v>佐伯ひかり(武井咲)の告白により、柏木修二(三浦春馬)とあの夜、関係を持っていないことが判明した。だが、上村夏実(戸田恵梨香)は修二のひかりに対する思いを知り、結婚を取り止めようと決意する。  　朝のホームルーム。担当する2年1組の生徒の前で、修二は半年間、謹慎することを告げる。生徒の反応は様々だ。夕方。夏実は正門への坂道で修二を待ち伏せする。「結婚式をキャンセルしたって?」と聞く修二に、夏実は万感の思いを込めて「さよなら」と告げる。  　6カ月後。修二は実家の酒店を手伝っている。髪はボサボサで精気がない。来週から学校に復帰するというのに元気がない修二を両親が心配する。  　繁華街のカフェで夏実と亜弥(内田有紀)が待ち合わせをする。亜弥は修二の子どもを身ごもっている夏実を気遣う。修二はまだ夏実が妊娠していることを知らない。  　修二は半年の謹慎が解け、明稜学園高等学校に向かう。誰もいないはずの朝の職員室には夏実の姿があった。「会いたかった」と喜ぶ夏実に修二は戸惑いを隠せない。  　教頭の鶴岡(風間杜夫)は修二にひかりが2学期いっぱいで他の高校に転校すると伝えた。駅の改札口で修二はひかりと母親の由梨(宮本裕子)と会う。母親から離れて修二と2人になったひかりは事故のときに感じたことを告白する。  　翌日の夕方の理科実験準備室。夏実が妊娠していることを修二に告げると…。</v>
      </c>
      <c r="N1502" s="2"/>
      <c r="O1502" s="2"/>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row>
    <row r="1503" ht="204.75" customHeight="1">
      <c r="A1503" s="1">
        <v>4447.0</v>
      </c>
      <c r="B1503" s="2" t="s">
        <v>4787</v>
      </c>
      <c r="C1503" s="2">
        <f>IFERROR(__xludf.DUMMYFUNCTION("split(B1503,""_"")"),1101.0)</f>
        <v>1101</v>
      </c>
      <c r="D1503" s="2" t="str">
        <f>IFERROR(__xludf.DUMMYFUNCTION("""COMPUTED_VALUE"""),"CX")</f>
        <v>CX</v>
      </c>
      <c r="E1503" s="2" t="str">
        <f>IFERROR(__xludf.DUMMYFUNCTION("""COMPUTED_VALUE"""),"月21")</f>
        <v>月21</v>
      </c>
      <c r="F1503" s="2" t="s">
        <v>4788</v>
      </c>
      <c r="G1503" s="2" t="s">
        <v>4807</v>
      </c>
      <c r="H1503" s="1">
        <v>7.0</v>
      </c>
      <c r="I1503" s="1" t="s">
        <v>25</v>
      </c>
      <c r="J1503" s="1" t="s">
        <v>11</v>
      </c>
      <c r="K1503" s="2" t="s">
        <v>4808</v>
      </c>
      <c r="L1503" s="2" t="s">
        <v>4809</v>
      </c>
      <c r="M1503" s="2" t="str">
        <f>IFERROR(__xludf.DUMMYFUNCTION("split(split(K1503,""戸田恵梨香　"",false),""公式LINE"",false)"),"朝、職員室で夏実(戸田恵梨香)は教頭の鶴岡(風間杜夫)をはじめ同僚教師に、出産はするが修二(三浦春馬)とは結婚しないと言い切る。修二の態度は煮え切らないが、夏実が修二に妊娠を告げたのは昨日だと告げると、同僚教師たちは驚く。鶴岡は、夏実が結婚せずに出産することを生徒に伝えるのは控えると言う。  　放課後、渡り廊下で修二と会ったひかり(武井咲)は「進路希望に何を書けばいいんだろう」とつぶやく。「10年後、何をしていたいか書けばいい」という修二に「考えとく」と言って去る。  　夕方の英語科準備室。修二は「父親に"&amp;"なれないかな?」と夏実に聞くが、夏実はきっぱり否定する。そして、夏実は修二のひかりへの思いを知り、戸惑う。  　ひかりは看護師の亜弥(内田有紀)が勤める病院に行き、病院を変わる準備をする。偶然、亜弥が夏実と電話で話しているのを聞いてしまったひかりは夏実が妊娠しているのを知って驚く。　翌朝、理科実験室を訪れたひかりは、実験器具を整理している修二に夏実が妊娠していることを確かめる。夏実の妊娠を認めた修二にひかりは…。")</f>
        <v>朝、職員室で夏実(戸田恵梨香)は教頭の鶴岡(風間杜夫)をはじめ同僚教師に、出産はするが修二(三浦春馬)とは結婚しないと言い切る。修二の態度は煮え切らないが、夏実が修二に妊娠を告げたのは昨日だと告げると、同僚教師たちは驚く。鶴岡は、夏実が結婚せずに出産することを生徒に伝えるのは控えると言う。  　放課後、渡り廊下で修二と会ったひかり(武井咲)は「進路希望に何を書けばいいんだろう」とつぶやく。「10年後、何をしていたいか書けばいい」という修二に「考えとく」と言って去る。  　夕方の英語科準備室。修二は「父親になれないかな?」と夏実に聞くが、夏実はきっぱり否定する。そして、夏実は修二のひかりへの思いを知り、戸惑う。  　ひかりは看護師の亜弥(内田有紀)が勤める病院に行き、病院を変わる準備をする。偶然、亜弥が夏実と電話で話しているのを聞いてしまったひかりは夏実が妊娠しているのを知って驚く。　翌朝、理科実験室を訪れたひかりは、実験器具を整理している修二に夏実が妊娠していることを確かめる。夏実の妊娠を認めた修二にひかりは…。</v>
      </c>
      <c r="N1503" s="2"/>
      <c r="O1503" s="2"/>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row>
    <row r="1504" ht="204.75" customHeight="1">
      <c r="A1504" s="1">
        <v>4448.0</v>
      </c>
      <c r="B1504" s="2" t="s">
        <v>4787</v>
      </c>
      <c r="C1504" s="2">
        <f>IFERROR(__xludf.DUMMYFUNCTION("split(B1504,""_"")"),1101.0)</f>
        <v>1101</v>
      </c>
      <c r="D1504" s="2" t="str">
        <f>IFERROR(__xludf.DUMMYFUNCTION("""COMPUTED_VALUE"""),"CX")</f>
        <v>CX</v>
      </c>
      <c r="E1504" s="2" t="str">
        <f>IFERROR(__xludf.DUMMYFUNCTION("""COMPUTED_VALUE"""),"月21")</f>
        <v>月21</v>
      </c>
      <c r="F1504" s="2" t="s">
        <v>4788</v>
      </c>
      <c r="G1504" s="2" t="s">
        <v>4810</v>
      </c>
      <c r="H1504" s="1">
        <v>8.0</v>
      </c>
      <c r="I1504" s="1" t="s">
        <v>29</v>
      </c>
      <c r="J1504" s="1" t="s">
        <v>11</v>
      </c>
      <c r="K1504" s="2" t="s">
        <v>4811</v>
      </c>
      <c r="L1504" s="2" t="s">
        <v>4812</v>
      </c>
      <c r="M1504" s="2" t="str">
        <f>IFERROR(__xludf.DUMMYFUNCTION("split(split(K1504,""戸田恵梨香　"",false),""公式LINE"",false)"),"夜、柏木修二(三浦春馬)は実家の柏木酒店の角内スペースで、兄の孝一(新井浩文)と話をしている。修二は孝一から夏実(戸田恵梨香)につきあっている人がいることを聞いて驚く。  　理科実験準備室で授業の準備をしている修二のところに夏実がやって来て、結婚を考えている人がいることを打ち明ける。だが、迷っているとも言う。　英語科準備室で夏実が帰り支度をしていると、バスケット部の平岡直輝(菅田将暉)が急に入ってきて、夏実の母子手帳を見てしまう。偶然、夏実と直輝のやりとりを生徒たちが聞いていた。  　夏実が結婚をせずに出"&amp;"産をすることが生徒や保護者にばれ、修二は教頭の鶴岡(風間杜夫)から、理事長が修二の処分を依願退職の方向で検討していることを告げる。　理事会で、修二の処分を廻り、喧々諤々と議論が交わされている。理事長が修二の辞表を受理することを提案すると理事らは一同、賛同する。辞表を提出するよう言われた修二は立ち上がり…。")</f>
        <v>夜、柏木修二(三浦春馬)は実家の柏木酒店の角内スペースで、兄の孝一(新井浩文)と話をしている。修二は孝一から夏実(戸田恵梨香)につきあっている人がいることを聞いて驚く。  　理科実験準備室で授業の準備をしている修二のところに夏実がやって来て、結婚を考えている人がいることを打ち明ける。だが、迷っているとも言う。　英語科準備室で夏実が帰り支度をしていると、バスケット部の平岡直輝(菅田将暉)が急に入ってきて、夏実の母子手帳を見てしまう。偶然、夏実と直輝のやりとりを生徒たちが聞いていた。  　夏実が結婚をせずに出産をすることが生徒や保護者にばれ、修二は教頭の鶴岡(風間杜夫)から、理事長が修二の処分を依願退職の方向で検討していることを告げる。　理事会で、修二の処分を廻り、喧々諤々と議論が交わされている。理事長が修二の辞表を受理することを提案すると理事らは一同、賛同する。辞表を提出するよう言われた修二は立ち上がり…。</v>
      </c>
      <c r="N1504" s="2"/>
      <c r="O1504" s="2"/>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row>
    <row r="1505" ht="204.75" customHeight="1">
      <c r="A1505" s="1">
        <v>4449.0</v>
      </c>
      <c r="B1505" s="2" t="s">
        <v>4787</v>
      </c>
      <c r="C1505" s="2">
        <f>IFERROR(__xludf.DUMMYFUNCTION("split(B1505,""_"")"),1101.0)</f>
        <v>1101</v>
      </c>
      <c r="D1505" s="2" t="str">
        <f>IFERROR(__xludf.DUMMYFUNCTION("""COMPUTED_VALUE"""),"CX")</f>
        <v>CX</v>
      </c>
      <c r="E1505" s="2" t="str">
        <f>IFERROR(__xludf.DUMMYFUNCTION("""COMPUTED_VALUE"""),"月21")</f>
        <v>月21</v>
      </c>
      <c r="F1505" s="2" t="s">
        <v>4788</v>
      </c>
      <c r="G1505" s="2" t="s">
        <v>4813</v>
      </c>
      <c r="H1505" s="1">
        <v>9.0</v>
      </c>
      <c r="I1505" s="1" t="s">
        <v>33</v>
      </c>
      <c r="J1505" s="1" t="s">
        <v>11</v>
      </c>
      <c r="K1505" s="2" t="s">
        <v>4814</v>
      </c>
      <c r="L1505" s="2" t="s">
        <v>4815</v>
      </c>
      <c r="M1505" s="2" t="str">
        <f>IFERROR(__xludf.DUMMYFUNCTION("split(split(K1505,""戸田恵梨香　"",false),""公式LINE"",false)"),"柏木修二(三浦春馬)は私立明稜学園を解雇されることになった。2学期も残り1週間なので、終業式まで務めてもらうと教頭の鶴岡(風間杜夫)が職員に告げる。  　バスケット部の顧問は夏実(戸田恵梨香)から同僚の金子雅代(能世あんな)に引き継がれることになった。休職することになった夏実は、結婚せずに出産するのが不道徳ならそう決断した自分も解雇されるべきではないかと思い悩む。そんな夏実に鶴岡教頭は優しい言葉をかける。  　佐伯ひかり(武井咲)が母親の由梨(宮本裕子)を旅行に誘う。死んだ姉のゆかりとの旅行をやり直したい"&amp;"というのだ。由梨は戸惑いの表情を浮かべる。  　放課後の教室で修二が進路についてひかりを面談する。ひかりは来週が姉の命日だから、4年前の旅行をやり直したいと言う。母親の由梨と看護師の亜弥(内田有紀)を誘っているという。  　2学期の終業式。修二はクラス担任として2年1組の生徒に1人ずつ通知表を手渡し、生徒たちに語りかける。修二にとって生徒たちへの最後の言葉だ。  　引っ越し先のアパートに向かう修二は駅の近くで、ひかりを見かける。上野駅から寝台列車で旅行に行くという。修二は上野駅までひかりを送ることにする。")</f>
        <v>柏木修二(三浦春馬)は私立明稜学園を解雇されることになった。2学期も残り1週間なので、終業式まで務めてもらうと教頭の鶴岡(風間杜夫)が職員に告げる。  　バスケット部の顧問は夏実(戸田恵梨香)から同僚の金子雅代(能世あんな)に引き継がれることになった。休職することになった夏実は、結婚せずに出産するのが不道徳ならそう決断した自分も解雇されるべきではないかと思い悩む。そんな夏実に鶴岡教頭は優しい言葉をかける。  　佐伯ひかり(武井咲)が母親の由梨(宮本裕子)を旅行に誘う。死んだ姉のゆかりとの旅行をやり直したいというのだ。由梨は戸惑いの表情を浮かべる。  　放課後の教室で修二が進路についてひかりを面談する。ひかりは来週が姉の命日だから、4年前の旅行をやり直したいと言う。母親の由梨と看護師の亜弥(内田有紀)を誘っているという。  　2学期の終業式。修二はクラス担任として2年1組の生徒に1人ずつ通知表を手渡し、生徒たちに語りかける。修二にとって生徒たちへの最後の言葉だ。  　引っ越し先のアパートに向かう修二は駅の近くで、ひかりを見かける。上野駅から寝台列車で旅行に行くという。修二は上野駅までひかりを送ることにする。</v>
      </c>
      <c r="N1505" s="2"/>
      <c r="O1505" s="2"/>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row>
    <row r="1506" ht="204.75" customHeight="1">
      <c r="A1506" s="1">
        <v>4450.0</v>
      </c>
      <c r="B1506" s="2" t="s">
        <v>4787</v>
      </c>
      <c r="C1506" s="2">
        <f>IFERROR(__xludf.DUMMYFUNCTION("split(B1506,""_"")"),1101.0)</f>
        <v>1101</v>
      </c>
      <c r="D1506" s="2" t="str">
        <f>IFERROR(__xludf.DUMMYFUNCTION("""COMPUTED_VALUE"""),"CX")</f>
        <v>CX</v>
      </c>
      <c r="E1506" s="2" t="str">
        <f>IFERROR(__xludf.DUMMYFUNCTION("""COMPUTED_VALUE"""),"月21")</f>
        <v>月21</v>
      </c>
      <c r="F1506" s="2" t="s">
        <v>4788</v>
      </c>
      <c r="G1506" s="2" t="s">
        <v>4816</v>
      </c>
      <c r="H1506" s="1">
        <v>10.0</v>
      </c>
      <c r="I1506" s="1" t="s">
        <v>37</v>
      </c>
      <c r="J1506" s="1" t="s">
        <v>11</v>
      </c>
      <c r="K1506" s="2" t="s">
        <v>4817</v>
      </c>
      <c r="L1506" s="2" t="s">
        <v>4818</v>
      </c>
      <c r="M1506" s="2" t="str">
        <f>IFERROR(__xludf.DUMMYFUNCTION("split(split(K1506,""戸田恵梨香　"",false),""公式LINE"",false)"),"2学期の終業式が終わった後、夏実(戸田恵梨香)と修二(三浦春馬)は翌日会うことを約束した。だが、修二は街で、旅に出ようとするひかり(武井咲)と偶然会い、ひかりの寝台特急での旅に途中まで同行することになる。行先は札幌だ。ひかりは修二に「先生、どこまで行くの」と聞くが「戻れるところで戻るよ」と夏実との約束は守るようだ。  　夏実もそんな修二を信頼しており、修二を批判するひかりの母・由梨(宮本裕子)に対して「柏木先生はお母さんの代わりに行ったのかもしれません」と修二を擁護する。  　寝台特急の中で、修二とひかり"&amp;"は本音で話し合う。修二は早朝、ひかりからお願いされ、函館駅で降りることにする。そして、函館駅で修二は…。    　夏実と修二の「試される愛」の行方は?そして、旅を終えたひかりは…?")</f>
        <v>2学期の終業式が終わった後、夏実(戸田恵梨香)と修二(三浦春馬)は翌日会うことを約束した。だが、修二は街で、旅に出ようとするひかり(武井咲)と偶然会い、ひかりの寝台特急での旅に途中まで同行することになる。行先は札幌だ。ひかりは修二に「先生、どこまで行くの」と聞くが「戻れるところで戻るよ」と夏実との約束は守るようだ。  　夏実もそんな修二を信頼しており、修二を批判するひかりの母・由梨(宮本裕子)に対して「柏木先生はお母さんの代わりに行ったのかもしれません」と修二を擁護する。  　寝台特急の中で、修二とひかりは本音で話し合う。修二は早朝、ひかりからお願いされ、函館駅で降りることにする。そして、函館駅で修二は…。    　夏実と修二の「試される愛」の行方は?そして、旅を終えたひかりは…?</v>
      </c>
      <c r="N1506" s="2"/>
      <c r="O1506" s="2"/>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row>
    <row r="1507" ht="204.75" customHeight="1">
      <c r="A1507" s="1">
        <v>4451.0</v>
      </c>
      <c r="B1507" s="2" t="s">
        <v>4819</v>
      </c>
      <c r="C1507" s="2">
        <f>IFERROR(__xludf.DUMMYFUNCTION("split(B1507,""_"")"),1101.0)</f>
        <v>1101</v>
      </c>
      <c r="D1507" s="2" t="str">
        <f>IFERROR(__xludf.DUMMYFUNCTION("""COMPUTED_VALUE"""),"CX")</f>
        <v>CX</v>
      </c>
      <c r="E1507" s="2" t="str">
        <f>IFERROR(__xludf.DUMMYFUNCTION("""COMPUTED_VALUE"""),"火21")</f>
        <v>火21</v>
      </c>
      <c r="F1507" s="2" t="s">
        <v>4820</v>
      </c>
      <c r="G1507" s="2" t="s">
        <v>4821</v>
      </c>
      <c r="H1507" s="1">
        <v>1.0</v>
      </c>
      <c r="I1507" s="1" t="s">
        <v>3</v>
      </c>
      <c r="J1507" s="1" t="s">
        <v>4</v>
      </c>
      <c r="K1507" s="4" t="s">
        <v>4822</v>
      </c>
      <c r="L1507" s="2" t="s">
        <v>4823</v>
      </c>
      <c r="M1507" s="2" t="str">
        <f>IFERROR(__xludf.DUMMYFUNCTION("split(split(K1507,""松下奈緒　"",false),""公式LINE"",false)"),"大井町署に勤務する熱血刑事・瀬川里央(松下奈緒)は、1カ月追い続けた犯人を発見。追いかけた先で犯人の放った銃弾に倒れるーーー。  　2カ月後、復帰した里央が配属されたのは凶行犯捜査課の中に新設された“分室""。課長の小板橋正次(勝村政信)や杉浦幸造(泉谷しげる)に、里央は“室長""に任命されたことを告げられるが、共に任務に当たるのは稜南大学の心理学教授で厄介な南雲準(藤木直人)しかいなかった。その頃、捜査課では通り魔事件をめぐって里央の同期の寺西景(横山裕)や岩崎幹也(北村有起哉)、江藤真人(与座嘉秋)ら"&amp;"捜査員たちが慌ただしく駆けずり回っていた。ようやく被害者の身元が楠田芳樹(篠田光亮)であることがわかり、両親に遺体確認をしてもらうことになったが、打ちひしがれる両親を前に平然と雑談をする南雲に里央は怒りを露わにする。さらに南雲は鑑識室に向かい、鑑識課課長の木下由紀夫(佐藤二朗)と、写真班の香坂美奈(臼田あさ美)から芳樹を含め3件起きている連続通り魔殺人事件の凶器や死因について詳しく聞く。捜査員の地道な捜査で被害者3人は振り込め詐欺グループの仲間で、最近、金の取り分についてもめていたことがわかった。捜査課は"&amp;"行方不明のリーダーの捜索に入るが、南雲は里央にある人物に会いたいと言い出した…。")</f>
        <v>大井町署に勤務する熱血刑事・瀬川里央(松下奈緒)は、1カ月追い続けた犯人を発見。追いかけた先で犯人の放った銃弾に倒れるーーー。  　2カ月後、復帰した里央が配属されたのは凶行犯捜査課の中に新設された“分室"。課長の小板橋正次(勝村政信)や杉浦幸造(泉谷しげる)に、里央は“室長"に任命されたことを告げられるが、共に任務に当たるのは稜南大学の心理学教授で厄介な南雲準(藤木直人)しかいなかった。その頃、捜査課では通り魔事件をめぐって里央の同期の寺西景(横山裕)や岩崎幹也(北村有起哉)、江藤真人(与座嘉秋)ら捜査員たちが慌ただしく駆けずり回っていた。ようやく被害者の身元が楠田芳樹(篠田光亮)であることがわかり、両親に遺体確認をしてもらうことになったが、打ちひしがれる両親を前に平然と雑談をする南雲に里央は怒りを露わにする。さらに南雲は鑑識室に向かい、鑑識課課長の木下由紀夫(佐藤二朗)と、写真班の香坂美奈(臼田あさ美)から芳樹を含め3件起きている連続通り魔殺人事件の凶器や死因について詳しく聞く。捜査員の地道な捜査で被害者3人は振り込め詐欺グループの仲間で、最近、金の取り分についてもめていたことがわかった。捜査課は行方不明のリーダーの捜索に入るが、南雲は里央にある人物に会いたいと言い出した…。</v>
      </c>
      <c r="N1507" s="2"/>
      <c r="O1507" s="2"/>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row>
    <row r="1508" ht="204.75" customHeight="1">
      <c r="A1508" s="1">
        <v>4452.0</v>
      </c>
      <c r="B1508" s="2" t="s">
        <v>4819</v>
      </c>
      <c r="C1508" s="2">
        <f>IFERROR(__xludf.DUMMYFUNCTION("split(B1508,""_"")"),1101.0)</f>
        <v>1101</v>
      </c>
      <c r="D1508" s="2" t="str">
        <f>IFERROR(__xludf.DUMMYFUNCTION("""COMPUTED_VALUE"""),"CX")</f>
        <v>CX</v>
      </c>
      <c r="E1508" s="2" t="str">
        <f>IFERROR(__xludf.DUMMYFUNCTION("""COMPUTED_VALUE"""),"火21")</f>
        <v>火21</v>
      </c>
      <c r="F1508" s="2" t="s">
        <v>4820</v>
      </c>
      <c r="G1508" s="2" t="s">
        <v>4824</v>
      </c>
      <c r="H1508" s="1">
        <v>2.0</v>
      </c>
      <c r="I1508" s="1" t="s">
        <v>7</v>
      </c>
      <c r="J1508" s="1" t="s">
        <v>11</v>
      </c>
      <c r="K1508" s="2" t="s">
        <v>4825</v>
      </c>
      <c r="L1508" s="2" t="s">
        <v>4826</v>
      </c>
      <c r="M1508" s="2" t="str">
        <f>IFERROR(__xludf.DUMMYFUNCTION("split(split(K1508,""松下奈緒　"",false),""公式LINE"",false)"),"瀬川里央(松下奈緒)は、心理学教授の南雲準(藤木直人)を迎えに稜南大学へ。講義終了後、2人は学内でテレビのコメンテーターとしても活躍している教授の梶間久美(とよた真帆)が殺害された現場に遭遇。やがて捜査課の面々も大学に到着するが、南雲はすでに第一発見者である大学院生の藤田綾子(加藤真弓)と接触を持っていた。南雲が寺西景(横山裕)と共に綾子の話を聞いていると、博士研究員の平山美鈴(田畑智子)がやってきた。綾子を気遣う美鈴。捜査課では捜査会議を分室から眺めるだけの里央。梶間は鋭利な刃物で7カ所も刺されていて、"&amp;"犯人は相当な返り血を浴びているはずなのに目撃者が1人もいないことに捜査課の面々は首を傾げた。そんな中、1カ月前からインターネットの掲示板に梶間の殺人予告ともとれる文章が書き込まれていたことがわかった。一方、南雲は梶間が出した本を読破していた。内容が似ていることや1年間で13冊も出版していることを批判する南雲の話を聞き流す里央。やがて書き込みをしていたのが小柳保(柄本佑)であることがわかり岩崎幹也(北村有起哉)と江藤真人(与座嘉秋)らが部屋に向かった。小柳はやけに素直に任意同行に応じるが、取り調べでは質問に"&amp;"答えようとしない。そして発した言葉は…。やがて、里央や南雲、待機していた寺西らのもとに小柳が犯行を自供したとの知らせが入った。しかし、寺西は何かが引っかかるようで…。")</f>
        <v>瀬川里央(松下奈緒)は、心理学教授の南雲準(藤木直人)を迎えに稜南大学へ。講義終了後、2人は学内でテレビのコメンテーターとしても活躍している教授の梶間久美(とよた真帆)が殺害された現場に遭遇。やがて捜査課の面々も大学に到着するが、南雲はすでに第一発見者である大学院生の藤田綾子(加藤真弓)と接触を持っていた。南雲が寺西景(横山裕)と共に綾子の話を聞いていると、博士研究員の平山美鈴(田畑智子)がやってきた。綾子を気遣う美鈴。捜査課では捜査会議を分室から眺めるだけの里央。梶間は鋭利な刃物で7カ所も刺されていて、犯人は相当な返り血を浴びているはずなのに目撃者が1人もいないことに捜査課の面々は首を傾げた。そんな中、1カ月前からインターネットの掲示板に梶間の殺人予告ともとれる文章が書き込まれていたことがわかった。一方、南雲は梶間が出した本を読破していた。内容が似ていることや1年間で13冊も出版していることを批判する南雲の話を聞き流す里央。やがて書き込みをしていたのが小柳保(柄本佑)であることがわかり岩崎幹也(北村有起哉)と江藤真人(与座嘉秋)らが部屋に向かった。小柳はやけに素直に任意同行に応じるが、取り調べでは質問に答えようとしない。そして発した言葉は…。やがて、里央や南雲、待機していた寺西らのもとに小柳が犯行を自供したとの知らせが入った。しかし、寺西は何かが引っかかるようで…。</v>
      </c>
      <c r="N1508" s="2"/>
      <c r="O1508" s="2"/>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row>
    <row r="1509" ht="204.75" customHeight="1">
      <c r="A1509" s="1">
        <v>4453.0</v>
      </c>
      <c r="B1509" s="2" t="s">
        <v>4819</v>
      </c>
      <c r="C1509" s="2">
        <f>IFERROR(__xludf.DUMMYFUNCTION("split(B1509,""_"")"),1101.0)</f>
        <v>1101</v>
      </c>
      <c r="D1509" s="2" t="str">
        <f>IFERROR(__xludf.DUMMYFUNCTION("""COMPUTED_VALUE"""),"CX")</f>
        <v>CX</v>
      </c>
      <c r="E1509" s="2" t="str">
        <f>IFERROR(__xludf.DUMMYFUNCTION("""COMPUTED_VALUE"""),"火21")</f>
        <v>火21</v>
      </c>
      <c r="F1509" s="2" t="s">
        <v>4820</v>
      </c>
      <c r="G1509" s="2" t="s">
        <v>4827</v>
      </c>
      <c r="H1509" s="1">
        <v>3.0</v>
      </c>
      <c r="I1509" s="1" t="s">
        <v>10</v>
      </c>
      <c r="J1509" s="1" t="s">
        <v>11</v>
      </c>
      <c r="K1509" s="2" t="s">
        <v>4828</v>
      </c>
      <c r="L1509" s="2" t="s">
        <v>4829</v>
      </c>
      <c r="M1509" s="2" t="str">
        <f>IFERROR(__xludf.DUMMYFUNCTION("split(split(K1509,""松下奈緒　"",false),""公式LINE"",false)"),"瀬川里央(松下奈緒)は、小学4年生の立花江美里(笠菜月)が学校のプールに落ちて亡くなった事件の捜査をすることになる。現場では友達3人が江美里をプールに落とすパーカーを着た男を目撃しており、その男は警備員の韮崎和夫(でんでん)も襲って逃げていった。生徒の気持ちを配慮した学校側の要請で捜査に当たることになって張り切る里央だが、南雲準(藤木直人)は子供が苦手とあまり乗り気ではない。2人は江美里を助けにかけつけた教師の秋元恭子(霧島れいか)や友達3人の元を訪ねて事件の状況を聞く。さらに南雲は犯人の逃走経路にも違和"&amp;"感を覚える。一方、捜査課の捜査で小学校付近に2カ月前から不審な男の目撃情報があったことや、韮崎が元警察官であることが判明した。  　韮崎にも確認した子供たちの証言を基に作られたモンタージュが配られ、捜査も進展しているように思えたが、南雲は逃走経路に抱いた謎を払拭できずにいた。里央はなぜその場にいた4人の中で一番体の大きい江美里が狙われたのかが気になっていた。  　そんな中、小板橋正次(勝村政信)の元にモンタージュの男がみつかったとの連絡が入った。男は過去にも小学生女子へのストーカー行為を行った経歴があり、"&amp;"アパートへ向かった岩崎幹也(北村有起哉)らが男を確保。韮崎の証言もとれ、男が犯人と思われたが、南雲と杉浦幸造(泉谷しげる)は納得ができないようで…。")</f>
        <v>瀬川里央(松下奈緒)は、小学4年生の立花江美里(笠菜月)が学校のプールに落ちて亡くなった事件の捜査をすることになる。現場では友達3人が江美里をプールに落とすパーカーを着た男を目撃しており、その男は警備員の韮崎和夫(でんでん)も襲って逃げていった。生徒の気持ちを配慮した学校側の要請で捜査に当たることになって張り切る里央だが、南雲準(藤木直人)は子供が苦手とあまり乗り気ではない。2人は江美里を助けにかけつけた教師の秋元恭子(霧島れいか)や友達3人の元を訪ねて事件の状況を聞く。さらに南雲は犯人の逃走経路にも違和感を覚える。一方、捜査課の捜査で小学校付近に2カ月前から不審な男の目撃情報があったことや、韮崎が元警察官であることが判明した。  　韮崎にも確認した子供たちの証言を基に作られたモンタージュが配られ、捜査も進展しているように思えたが、南雲は逃走経路に抱いた謎を払拭できずにいた。里央はなぜその場にいた4人の中で一番体の大きい江美里が狙われたのかが気になっていた。  　そんな中、小板橋正次(勝村政信)の元にモンタージュの男がみつかったとの連絡が入った。男は過去にも小学生女子へのストーカー行為を行った経歴があり、アパートへ向かった岩崎幹也(北村有起哉)らが男を確保。韮崎の証言もとれ、男が犯人と思われたが、南雲と杉浦幸造(泉谷しげる)は納得ができないようで…。</v>
      </c>
      <c r="N1509" s="2"/>
      <c r="O1509" s="2"/>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row>
    <row r="1510" ht="204.75" customHeight="1">
      <c r="A1510" s="1">
        <v>4454.0</v>
      </c>
      <c r="B1510" s="2" t="s">
        <v>4819</v>
      </c>
      <c r="C1510" s="2">
        <f>IFERROR(__xludf.DUMMYFUNCTION("split(B1510,""_"")"),1101.0)</f>
        <v>1101</v>
      </c>
      <c r="D1510" s="2" t="str">
        <f>IFERROR(__xludf.DUMMYFUNCTION("""COMPUTED_VALUE"""),"CX")</f>
        <v>CX</v>
      </c>
      <c r="E1510" s="2" t="str">
        <f>IFERROR(__xludf.DUMMYFUNCTION("""COMPUTED_VALUE"""),"火21")</f>
        <v>火21</v>
      </c>
      <c r="F1510" s="2" t="s">
        <v>4820</v>
      </c>
      <c r="G1510" s="2" t="s">
        <v>4830</v>
      </c>
      <c r="H1510" s="1">
        <v>4.0</v>
      </c>
      <c r="I1510" s="1" t="s">
        <v>14</v>
      </c>
      <c r="J1510" s="1" t="s">
        <v>11</v>
      </c>
      <c r="K1510" s="2" t="s">
        <v>4831</v>
      </c>
      <c r="L1510" s="2" t="s">
        <v>4832</v>
      </c>
      <c r="M1510" s="2" t="str">
        <f>IFERROR(__xludf.DUMMYFUNCTION("split(split(K1510,""松下奈緒　"",false),""公式LINE"",false)"),"瀬川里央(松下奈緒)が頼まれた資料を届けるためにビリヤード場に向かうと、南雲準(藤木直人)は5年ぶりに会った大学院時代の友人・吾妻政則(原田泰造)とビリヤード対決をしていた。吾妻は途中で負けを認め、自費出版したという推理小説『交換殺人』を渡して去って行く。同じ頃、とあるマンションで檜山聡(猪狩賢二)が何者かに殺害されていた。  檜山の現場検証にやってきた寺西景(横山裕)、杉浦幸造(泉谷しげる)ら。第一発見者である恋人の田崎マユミ(中丸シオン)は部屋の隅で震えていた。その後の捜査で、檜山の高校の同級生で、会"&amp;"社でも部下であった宮田健吾(尾上寛之)が容疑者として浮上。宮田は学生の頃から檜山にいじめられ、会社でもバカにされ、最近では好意を寄せていたマユミも奪われていた。動機も十分であることから任意同行を求め部屋を訪ねるが、宮田は岩崎幹也(北村有起哉)と江藤真人(与座嘉秋)を振り切り、路上に逃げ出したが、その先にいた里央に投げ飛ばされて捕まる。乱闘の際、里央は鼻にパンチを食らってしまう。  取り調べの結果、宮田は犯行を否認。犯行時間はファンである地下アイドルグループの特別オフ会が開かれていて、アイドルの1人と15人"&amp;"のファンと一緒にカラオケに行っていたことが判明した。しかもケンカ沙汰まで起こしていたため、アリバイは完璧だった。南雲はアリバイが完璧すぎることが気になるようで…。")</f>
        <v>瀬川里央(松下奈緒)が頼まれた資料を届けるためにビリヤード場に向かうと、南雲準(藤木直人)は5年ぶりに会った大学院時代の友人・吾妻政則(原田泰造)とビリヤード対決をしていた。吾妻は途中で負けを認め、自費出版したという推理小説『交換殺人』を渡して去って行く。同じ頃、とあるマンションで檜山聡(猪狩賢二)が何者かに殺害されていた。  檜山の現場検証にやってきた寺西景(横山裕)、杉浦幸造(泉谷しげる)ら。第一発見者である恋人の田崎マユミ(中丸シオン)は部屋の隅で震えていた。その後の捜査で、檜山の高校の同級生で、会社でも部下であった宮田健吾(尾上寛之)が容疑者として浮上。宮田は学生の頃から檜山にいじめられ、会社でもバカにされ、最近では好意を寄せていたマユミも奪われていた。動機も十分であることから任意同行を求め部屋を訪ねるが、宮田は岩崎幹也(北村有起哉)と江藤真人(与座嘉秋)を振り切り、路上に逃げ出したが、その先にいた里央に投げ飛ばされて捕まる。乱闘の際、里央は鼻にパンチを食らってしまう。  取り調べの結果、宮田は犯行を否認。犯行時間はファンである地下アイドルグループの特別オフ会が開かれていて、アイドルの1人と15人のファンと一緒にカラオケに行っていたことが判明した。しかもケンカ沙汰まで起こしていたため、アリバイは完璧だった。南雲はアリバイが完璧すぎることが気になるようで…。</v>
      </c>
      <c r="N1510" s="2"/>
      <c r="O1510" s="2"/>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row>
    <row r="1511" ht="204.75" customHeight="1">
      <c r="A1511" s="1">
        <v>4455.0</v>
      </c>
      <c r="B1511" s="2" t="s">
        <v>4819</v>
      </c>
      <c r="C1511" s="2">
        <f>IFERROR(__xludf.DUMMYFUNCTION("split(B1511,""_"")"),1101.0)</f>
        <v>1101</v>
      </c>
      <c r="D1511" s="2" t="str">
        <f>IFERROR(__xludf.DUMMYFUNCTION("""COMPUTED_VALUE"""),"CX")</f>
        <v>CX</v>
      </c>
      <c r="E1511" s="2" t="str">
        <f>IFERROR(__xludf.DUMMYFUNCTION("""COMPUTED_VALUE"""),"火21")</f>
        <v>火21</v>
      </c>
      <c r="F1511" s="2" t="s">
        <v>4820</v>
      </c>
      <c r="G1511" s="2" t="s">
        <v>4833</v>
      </c>
      <c r="H1511" s="1">
        <v>5.0</v>
      </c>
      <c r="I1511" s="1" t="s">
        <v>17</v>
      </c>
      <c r="J1511" s="1" t="s">
        <v>11</v>
      </c>
      <c r="K1511" s="2" t="s">
        <v>4834</v>
      </c>
      <c r="L1511" s="2" t="s">
        <v>4835</v>
      </c>
      <c r="M1511" s="2" t="str">
        <f>IFERROR(__xludf.DUMMYFUNCTION("split(split(K1511,""松下奈緒　"",false),""公式LINE"",false)"),"檜山(猪狩賢二)殺しの件で宮田健吾(尾上寛之)を尾行する瀬川里央(松下奈緒)。宮田を追って宮田が侵入した民家に入るなり悲鳴が…。「誰か死んでいる!」。ベッドには若い女性の死体が横たわっていた。その後の調べで被害者は窪塚倫子(浦田麻緒)・26歳、夫は高校教師の窪塚正義(二階堂智)40歳と判明、宮田は窃盗目的で侵入しただけと供述した。宮田は絶対最初からあの家を目的にしていたと納得のいかない里央。岩崎(北村有起哉)は里央が南雲教授(藤木直人)に影響され、宮田が殺人を遂行すると勝手に思い込んでいたのだとたしなめ、"&amp;"小板橋(勝村政信)も同調する。倫子の遺体確認にやってきた夫の正義。間違いなく自分の妻だと語るとよたよたと座り込んでしまう。正義は杉浦(泉谷しげる)に妻には男友達が多かったと語るが、宮田のことは知らないと証言する。マジックミラー越しにその様子を見ている里央、南雲、小板橋。里央は何かを感じている南雲をチラっと見る。  　南雲は宮田と正義が絶対に互いの存在を知っているとにらむが決め手がなかった。また、これまでに提示されたデータを分析すると、正義が宮田の殺したかった男・檜山を殺し、代わりに宮田が正義の妻・倫子を殺"&amp;"すという仮説が考えられるが、倫子は何者かに殺されていた…。行き詰まる捜査…。そんな中、吾妻政則(原田泰造)の依頼で作られた完全犯罪を伝授するサイトの存在を里央が突き止めて…。")</f>
        <v>檜山(猪狩賢二)殺しの件で宮田健吾(尾上寛之)を尾行する瀬川里央(松下奈緒)。宮田を追って宮田が侵入した民家に入るなり悲鳴が…。「誰か死んでいる!」。ベッドには若い女性の死体が横たわっていた。その後の調べで被害者は窪塚倫子(浦田麻緒)・26歳、夫は高校教師の窪塚正義(二階堂智)40歳と判明、宮田は窃盗目的で侵入しただけと供述した。宮田は絶対最初からあの家を目的にしていたと納得のいかない里央。岩崎(北村有起哉)は里央が南雲教授(藤木直人)に影響され、宮田が殺人を遂行すると勝手に思い込んでいたのだとたしなめ、小板橋(勝村政信)も同調する。倫子の遺体確認にやってきた夫の正義。間違いなく自分の妻だと語るとよたよたと座り込んでしまう。正義は杉浦(泉谷しげる)に妻には男友達が多かったと語るが、宮田のことは知らないと証言する。マジックミラー越しにその様子を見ている里央、南雲、小板橋。里央は何かを感じている南雲をチラっと見る。  　南雲は宮田と正義が絶対に互いの存在を知っているとにらむが決め手がなかった。また、これまでに提示されたデータを分析すると、正義が宮田の殺したかった男・檜山を殺し、代わりに宮田が正義の妻・倫子を殺すという仮説が考えられるが、倫子は何者かに殺されていた…。行き詰まる捜査…。そんな中、吾妻政則(原田泰造)の依頼で作られた完全犯罪を伝授するサイトの存在を里央が突き止めて…。</v>
      </c>
      <c r="N1511" s="2"/>
      <c r="O1511" s="2"/>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row>
    <row r="1512" ht="204.75" customHeight="1">
      <c r="A1512" s="1">
        <v>4456.0</v>
      </c>
      <c r="B1512" s="2" t="s">
        <v>4819</v>
      </c>
      <c r="C1512" s="2">
        <f>IFERROR(__xludf.DUMMYFUNCTION("split(B1512,""_"")"),1101.0)</f>
        <v>1101</v>
      </c>
      <c r="D1512" s="2" t="str">
        <f>IFERROR(__xludf.DUMMYFUNCTION("""COMPUTED_VALUE"""),"CX")</f>
        <v>CX</v>
      </c>
      <c r="E1512" s="2" t="str">
        <f>IFERROR(__xludf.DUMMYFUNCTION("""COMPUTED_VALUE"""),"火21")</f>
        <v>火21</v>
      </c>
      <c r="F1512" s="2" t="s">
        <v>4820</v>
      </c>
      <c r="G1512" s="2" t="s">
        <v>4836</v>
      </c>
      <c r="H1512" s="1">
        <v>6.0</v>
      </c>
      <c r="I1512" s="1" t="s">
        <v>21</v>
      </c>
      <c r="J1512" s="1" t="s">
        <v>11</v>
      </c>
      <c r="K1512" s="2" t="s">
        <v>4837</v>
      </c>
      <c r="L1512" s="2" t="s">
        <v>4838</v>
      </c>
      <c r="M1512" s="2" t="str">
        <f>IFERROR(__xludf.DUMMYFUNCTION("split(split(K1512,""松下奈緒　"",false),""公式LINE"",false)"),"瀬川里央(松下奈緒)の手引きで『被害者遺族を支援する会』の講演にやってきた南雲準(藤木直人)。そこへ寺西景(横山裕)から里央に事件発生を伝える連絡が入る。マンションの一室で1人暮らしの大学生、宮原智美(田井中美佳)・20歳が絞殺死体で見つかったという。第一発見者はマンションの管理人。荷物を届けに来た宅配業者が鍵穴に鍵を挿したままだったことから管理人に連絡、管理人が部屋の中を覗いて遺体を発見した。荷物は実家の父親から送られてきたもので、管理人によれば父1人娘1人だったという。遺体の確認に来た父親の宮原克己("&amp;"松重豊)・55歳の悲痛な姿を見て、“犯人は必ず逮捕します、必ず・・・""と静かに声をかける里央。  　捜査会議で被害者は月水金と塾の講師のバイトをしており、被害にあった夜も9時まで塾に勤めて帰宅したことが判明。現場の状況から暴行目的の通り魔的犯行か、怨恨による殺人かに絞られた。小板橋(勝村政信)に見解を求められた南雲は現段階ではどちらも考えられるが、帰宅直後を狙われた犯行から被害者の行動パターンをよく知る人物の可能性が高いのではという見方を示した。  　その線で捜査していくうち、ある男が重要参考人として浮"&amp;"上する。しかし、事態は思いもよらぬ展開を見せ、里央を苦しめていく。犯人逮捕に執念を燃やす里央。里央にはこの事件に誰よりも固執する深い理由があった・・・。")</f>
        <v>瀬川里央(松下奈緒)の手引きで『被害者遺族を支援する会』の講演にやってきた南雲準(藤木直人)。そこへ寺西景(横山裕)から里央に事件発生を伝える連絡が入る。マンションの一室で1人暮らしの大学生、宮原智美(田井中美佳)・20歳が絞殺死体で見つかったという。第一発見者はマンションの管理人。荷物を届けに来た宅配業者が鍵穴に鍵を挿したままだったことから管理人に連絡、管理人が部屋の中を覗いて遺体を発見した。荷物は実家の父親から送られてきたもので、管理人によれば父1人娘1人だったという。遺体の確認に来た父親の宮原克己(松重豊)・55歳の悲痛な姿を見て、“犯人は必ず逮捕します、必ず・・・"と静かに声をかける里央。  　捜査会議で被害者は月水金と塾の講師のバイトをしており、被害にあった夜も9時まで塾に勤めて帰宅したことが判明。現場の状況から暴行目的の通り魔的犯行か、怨恨による殺人かに絞られた。小板橋(勝村政信)に見解を求められた南雲は現段階ではどちらも考えられるが、帰宅直後を狙われた犯行から被害者の行動パターンをよく知る人物の可能性が高いのではという見方を示した。  　その線で捜査していくうち、ある男が重要参考人として浮上する。しかし、事態は思いもよらぬ展開を見せ、里央を苦しめていく。犯人逮捕に執念を燃やす里央。里央にはこの事件に誰よりも固執する深い理由があった・・・。</v>
      </c>
      <c r="N1512" s="2"/>
      <c r="O1512" s="2"/>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row>
    <row r="1513" ht="204.75" customHeight="1">
      <c r="A1513" s="1">
        <v>4457.0</v>
      </c>
      <c r="B1513" s="2" t="s">
        <v>4819</v>
      </c>
      <c r="C1513" s="2">
        <f>IFERROR(__xludf.DUMMYFUNCTION("split(B1513,""_"")"),1101.0)</f>
        <v>1101</v>
      </c>
      <c r="D1513" s="2" t="str">
        <f>IFERROR(__xludf.DUMMYFUNCTION("""COMPUTED_VALUE"""),"CX")</f>
        <v>CX</v>
      </c>
      <c r="E1513" s="2" t="str">
        <f>IFERROR(__xludf.DUMMYFUNCTION("""COMPUTED_VALUE"""),"火21")</f>
        <v>火21</v>
      </c>
      <c r="F1513" s="2" t="s">
        <v>4820</v>
      </c>
      <c r="G1513" s="2" t="s">
        <v>4839</v>
      </c>
      <c r="H1513" s="1">
        <v>7.0</v>
      </c>
      <c r="I1513" s="1" t="s">
        <v>25</v>
      </c>
      <c r="J1513" s="1" t="s">
        <v>11</v>
      </c>
      <c r="K1513" s="2" t="s">
        <v>4840</v>
      </c>
      <c r="L1513" s="2" t="s">
        <v>4841</v>
      </c>
      <c r="M1513" s="2" t="str">
        <f>IFERROR(__xludf.DUMMYFUNCTION("split(split(K1513,""松下奈緒　"",false),""公式LINE"",false)"),"郊外の一軒家で大学生の須藤由里子(青谷優衣)が刺殺された状態で発見された。発見者は大学の同級生。借りていたノートを返しに来たところ、チャイムをいくら鳴らしても応答がなく、ドアが開いていて発見した。町内会長の山田忠雄(二瓶鮫一)によると、由里子の父親は商社に勤めていて夫婦で海外赴任しているため、由里子は1人暮らしだったという。近所で薬局を営む従兄弟の青柳秀一(水橋研二)も現場に駆けつけ、由里子の親からくれぐれも頼むと言われていたのにと悔やむ。  　捜査会議では岩崎幹也(北村有起哉)が有力な目撃証言が2件入っ"&amp;"ていることを報告する。いずれも犯行時間に現場付近でダークブルーの作業着を着て黄色い工具箱を提げた男が目撃されていた。さらに町内会長の山田も同様の男を目撃したと証言する。  　捜査を進めていくうち、由里子と親しく交際していた男性・中尾裕紀(中尾明慶)にたどり着く。ダークブルーの作業着に黄色い工具箱・・・、電気工事の仕事をする中尾は、まさにこれまでの目撃証言を裏付ける容疑者として浮上する。  　しかし南雲準(藤木直人)は人の記憶とは曖昧なもので、目撃証言を鵜呑みにすると捜査の方向を見誤ると指摘する。瀬川里央("&amp;"松下奈緒)も“ダークブルーの作業着を着た男""という一点に目撃証言が集中していることを不審に感じて捜査を進めるが、由里子を刺した凶器から中尾の指紋が見つかって・・・。")</f>
        <v>郊外の一軒家で大学生の須藤由里子(青谷優衣)が刺殺された状態で発見された。発見者は大学の同級生。借りていたノートを返しに来たところ、チャイムをいくら鳴らしても応答がなく、ドアが開いていて発見した。町内会長の山田忠雄(二瓶鮫一)によると、由里子の父親は商社に勤めていて夫婦で海外赴任しているため、由里子は1人暮らしだったという。近所で薬局を営む従兄弟の青柳秀一(水橋研二)も現場に駆けつけ、由里子の親からくれぐれも頼むと言われていたのにと悔やむ。  　捜査会議では岩崎幹也(北村有起哉)が有力な目撃証言が2件入っていることを報告する。いずれも犯行時間に現場付近でダークブルーの作業着を着て黄色い工具箱を提げた男が目撃されていた。さらに町内会長の山田も同様の男を目撃したと証言する。  　捜査を進めていくうち、由里子と親しく交際していた男性・中尾裕紀(中尾明慶)にたどり着く。ダークブルーの作業着に黄色い工具箱・・・、電気工事の仕事をする中尾は、まさにこれまでの目撃証言を裏付ける容疑者として浮上する。  　しかし南雲準(藤木直人)は人の記憶とは曖昧なもので、目撃証言を鵜呑みにすると捜査の方向を見誤ると指摘する。瀬川里央(松下奈緒)も“ダークブルーの作業着を着た男"という一点に目撃証言が集中していることを不審に感じて捜査を進めるが、由里子を刺した凶器から中尾の指紋が見つかって・・・。</v>
      </c>
      <c r="N1513" s="2"/>
      <c r="O1513" s="2"/>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row>
    <row r="1514" ht="204.75" customHeight="1">
      <c r="A1514" s="1">
        <v>4458.0</v>
      </c>
      <c r="B1514" s="2" t="s">
        <v>4819</v>
      </c>
      <c r="C1514" s="2">
        <f>IFERROR(__xludf.DUMMYFUNCTION("split(B1514,""_"")"),1101.0)</f>
        <v>1101</v>
      </c>
      <c r="D1514" s="2" t="str">
        <f>IFERROR(__xludf.DUMMYFUNCTION("""COMPUTED_VALUE"""),"CX")</f>
        <v>CX</v>
      </c>
      <c r="E1514" s="2" t="str">
        <f>IFERROR(__xludf.DUMMYFUNCTION("""COMPUTED_VALUE"""),"火21")</f>
        <v>火21</v>
      </c>
      <c r="F1514" s="2" t="s">
        <v>4820</v>
      </c>
      <c r="G1514" s="2" t="s">
        <v>4842</v>
      </c>
      <c r="H1514" s="1">
        <v>8.0</v>
      </c>
      <c r="I1514" s="1" t="s">
        <v>29</v>
      </c>
      <c r="J1514" s="1" t="s">
        <v>11</v>
      </c>
      <c r="K1514" s="2" t="s">
        <v>4843</v>
      </c>
      <c r="L1514" s="2" t="s">
        <v>4844</v>
      </c>
      <c r="M1514" s="2" t="str">
        <f>IFERROR(__xludf.DUMMYFUNCTION("split(split(K1514,""松下奈緒　"",false),""公式LINE"",false)"),"住宅街の一軒家で殺人事件が発生。被害者の家主は、この家に侵入した空き巣犯と取っ組み合いになり、突き飛ばされ後頭部を強打したことにより死亡した。タンスからは現金350万円がなくなっていた。侵入経路の窓ガラスにはきれいに三角形に切られた痕跡が。職人技と言えるほど見事な“三角割り""。実は同様の手口で3件の空き巣事件が発生していた。所轄刑事は内偵捜査に基づき、ある男をマークしていた。その男の名は塚原洋二(柏原崇)。1年前に仮出所し、現在、町工場に勤める塚原は6年前に25件目の犯行に及ぼうとしたところを逮捕されて"&amp;"いた。塚原を取り押さえた警察官こそ、当時巡査だった寺西景(横山裕)だった。  　捜査会議で寺西は塚原が犯人ではないと断言する。塚原は模範囚として認められ仮出所、真面目に働いて更生しているという。塚原を全く疑おうとしない寺西を瀬川里央(松下奈緒)が問いただすと、現行犯逮捕したときに、“ありがとう・・・これで盗みをやめられる""と言われたことを告げる。さらに寺西は仮出所した塚原にも会い、塚原から1年間真面目に働いたら、別れた女房がやり直しを考えてくれる、また娘と暮らせると話すのも聞いていた。  　塚原を捜査し"&amp;"た里央も彼はシロではという印象を持つが、南雲準(藤木直人)はそれが狙いだとしたらと予断を禁じる。そして、塚原を追跡していた里央は思いもかけない絶体絶命の事態に巻き込まれていく。")</f>
        <v>住宅街の一軒家で殺人事件が発生。被害者の家主は、この家に侵入した空き巣犯と取っ組み合いになり、突き飛ばされ後頭部を強打したことにより死亡した。タンスからは現金350万円がなくなっていた。侵入経路の窓ガラスにはきれいに三角形に切られた痕跡が。職人技と言えるほど見事な“三角割り"。実は同様の手口で3件の空き巣事件が発生していた。所轄刑事は内偵捜査に基づき、ある男をマークしていた。その男の名は塚原洋二(柏原崇)。1年前に仮出所し、現在、町工場に勤める塚原は6年前に25件目の犯行に及ぼうとしたところを逮捕されていた。塚原を取り押さえた警察官こそ、当時巡査だった寺西景(横山裕)だった。  　捜査会議で寺西は塚原が犯人ではないと断言する。塚原は模範囚として認められ仮出所、真面目に働いて更生しているという。塚原を全く疑おうとしない寺西を瀬川里央(松下奈緒)が問いただすと、現行犯逮捕したときに、“ありがとう・・・これで盗みをやめられる"と言われたことを告げる。さらに寺西は仮出所した塚原にも会い、塚原から1年間真面目に働いたら、別れた女房がやり直しを考えてくれる、また娘と暮らせると話すのも聞いていた。  　塚原を捜査した里央も彼はシロではという印象を持つが、南雲準(藤木直人)はそれが狙いだとしたらと予断を禁じる。そして、塚原を追跡していた里央は思いもかけない絶体絶命の事態に巻き込まれていく。</v>
      </c>
      <c r="N1514" s="2"/>
      <c r="O1514" s="2"/>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row>
    <row r="1515" ht="204.75" customHeight="1">
      <c r="A1515" s="1">
        <v>4459.0</v>
      </c>
      <c r="B1515" s="2" t="s">
        <v>4819</v>
      </c>
      <c r="C1515" s="2">
        <f>IFERROR(__xludf.DUMMYFUNCTION("split(B1515,""_"")"),1101.0)</f>
        <v>1101</v>
      </c>
      <c r="D1515" s="2" t="str">
        <f>IFERROR(__xludf.DUMMYFUNCTION("""COMPUTED_VALUE"""),"CX")</f>
        <v>CX</v>
      </c>
      <c r="E1515" s="2" t="str">
        <f>IFERROR(__xludf.DUMMYFUNCTION("""COMPUTED_VALUE"""),"火21")</f>
        <v>火21</v>
      </c>
      <c r="F1515" s="2" t="s">
        <v>4820</v>
      </c>
      <c r="G1515" s="2" t="s">
        <v>4845</v>
      </c>
      <c r="H1515" s="1">
        <v>9.0</v>
      </c>
      <c r="I1515" s="1" t="s">
        <v>33</v>
      </c>
      <c r="J1515" s="1" t="s">
        <v>11</v>
      </c>
      <c r="K1515" s="2" t="s">
        <v>4846</v>
      </c>
      <c r="L1515" s="2" t="s">
        <v>4847</v>
      </c>
      <c r="M1515" s="2" t="str">
        <f>IFERROR(__xludf.DUMMYFUNCTION("split(split(K1515,""松下奈緒　"",false),""公式LINE"",false)"),"人質の女性と瀬川里央(松下奈緒)を盾に倉庫に立てこもったまま、包囲する警察とにらみ合いを続ける塚原(柏原崇)。塚原は人質の女性にカッターを当て、里央は手錠で片手を鉄骨につながれ、動けずにいた。塚原は“俺は空き巣も人殺しもしていない!真犯人を捕まえてここに連れて来い!""の一点張り。倉庫の外では、“自分の潔白を訴えるにはこうするしかなかったのでは""と凶行犯捜査課の面々に話す寺西景(横山裕)に賛否さまざまな声が渦巻いている。そこに特殊犯捜査係(SIT)の作戦指揮車が到着。部下を従えた楢崎啓一(丸山智己)がこ"&amp;"れから陣頭指揮を執るから小板橋(勝村政信)に下がっていろという。拡声器を手に“真犯人は必ず見つけ出すから人質の女性を解放してくれ""と塚原に呼びかける楢崎。何か真犯人に関する情報をつかんでいるのか尋ねる小板橋を“そんなものある訳ないだろう""と鼻で笑う楢崎。だが、南雲準(藤木直人)の読み通り、警察に不信感を抱く塚原にその手は通用せず、さらに保護司の蓑田(小野武彦)による説得も奏功しなかった。倉庫の中では塚原の様子をずっと見ていた里央が“わかった…あなたを信じる。私たちが絶対に真犯人を捕まえてみせる""と約"&amp;"束する。その代わり人質の女性を解放する言質も取り付けた。塚原の許可を得て携帯で合意内容を小板橋に伝える里央だったが、SITは着々と強行突入の準備を進め、その動きを察知した塚原は…。")</f>
        <v>人質の女性と瀬川里央(松下奈緒)を盾に倉庫に立てこもったまま、包囲する警察とにらみ合いを続ける塚原(柏原崇)。塚原は人質の女性にカッターを当て、里央は手錠で片手を鉄骨につながれ、動けずにいた。塚原は“俺は空き巣も人殺しもしていない!真犯人を捕まえてここに連れて来い!"の一点張り。倉庫の外では、“自分の潔白を訴えるにはこうするしかなかったのでは"と凶行犯捜査課の面々に話す寺西景(横山裕)に賛否さまざまな声が渦巻いている。そこに特殊犯捜査係(SIT)の作戦指揮車が到着。部下を従えた楢崎啓一(丸山智己)がこれから陣頭指揮を執るから小板橋(勝村政信)に下がっていろという。拡声器を手に“真犯人は必ず見つけ出すから人質の女性を解放してくれ"と塚原に呼びかける楢崎。何か真犯人に関する情報をつかんでいるのか尋ねる小板橋を“そんなものある訳ないだろう"と鼻で笑う楢崎。だが、南雲準(藤木直人)の読み通り、警察に不信感を抱く塚原にその手は通用せず、さらに保護司の蓑田(小野武彦)による説得も奏功しなかった。倉庫の中では塚原の様子をずっと見ていた里央が“わかった…あなたを信じる。私たちが絶対に真犯人を捕まえてみせる"と約束する。その代わり人質の女性を解放する言質も取り付けた。塚原の許可を得て携帯で合意内容を小板橋に伝える里央だったが、SITは着々と強行突入の準備を進め、その動きを察知した塚原は…。</v>
      </c>
      <c r="N1515" s="2"/>
      <c r="O1515" s="2"/>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row>
    <row r="1516" ht="204.75" customHeight="1">
      <c r="A1516" s="1">
        <v>4460.0</v>
      </c>
      <c r="B1516" s="2" t="s">
        <v>4819</v>
      </c>
      <c r="C1516" s="2">
        <f>IFERROR(__xludf.DUMMYFUNCTION("split(B1516,""_"")"),1101.0)</f>
        <v>1101</v>
      </c>
      <c r="D1516" s="2" t="str">
        <f>IFERROR(__xludf.DUMMYFUNCTION("""COMPUTED_VALUE"""),"CX")</f>
        <v>CX</v>
      </c>
      <c r="E1516" s="2" t="str">
        <f>IFERROR(__xludf.DUMMYFUNCTION("""COMPUTED_VALUE"""),"火21")</f>
        <v>火21</v>
      </c>
      <c r="F1516" s="2" t="s">
        <v>4820</v>
      </c>
      <c r="G1516" s="2" t="s">
        <v>4848</v>
      </c>
      <c r="H1516" s="1">
        <v>10.0</v>
      </c>
      <c r="I1516" s="1" t="s">
        <v>37</v>
      </c>
      <c r="J1516" s="1" t="s">
        <v>11</v>
      </c>
      <c r="K1516" s="2" t="s">
        <v>4849</v>
      </c>
      <c r="L1516" s="2" t="s">
        <v>4850</v>
      </c>
      <c r="M1516" s="2" t="str">
        <f>IFERROR(__xludf.DUMMYFUNCTION("split(split(K1516,""松下奈緒　"",false),""公式LINE"",false)"),"大学の研究室でキーボードを叩く南雲準(藤木直人)。その傍らで南雲が作成したこれまでの捜査協力に関するレポートを読む瀬川里央(松下奈緒)。そこへ里央の携帯が鳴る。相手は里央が在籍していた大井町署の刑事課課長・藤本(半海一晃)。藤本によると、管内の書店で発生した窃盗事件から里央の父親を殺害した犯人の指紋が見つかったという。そんな矢先、夜道を歩いていた南雲が突然何者かにスタンガンで襲撃される。黒塗りの車に押し込められた南雲は、顔を隠した男から犯罪に手を貸すように迫られる。拒否する南雲に男は携帯の動画を見せる。そ"&amp;"こに映し出されていたのはなんと別れた妻と娘だった…。今はクロロホルムで眠らせているが、首を縦に振らなければ2人が目を覚ますことはないという。“ぼくに何をさせようというんだ""と問う南雲に男は言う、“少しの間、先生のことをコントロールさせてもらうよ""。  　翌日の凶行犯捜査課。小板橋(勝村政信)が電話を切るなり、誘拐事件が発生した、至急、安斉昭典(陣内孝則)宅へ出動するようにと叫ぶ。誘拐事件をなぜウチが担当するのかと問う杉浦(泉谷しげる)に誘拐犯が凶行犯捜査課を指名してきたことを告げる。  　急遽、安斉宅"&amp;"に駆けつけた捜査課の面々。そこで秘書の山根(袴田吉彦)から誘拐された女性の写真を見せられる。そこに写っていたのは、南雲の教え子で安斉の一人娘の安斉千尋(奥村佳恵)だった…。")</f>
        <v>大学の研究室でキーボードを叩く南雲準(藤木直人)。その傍らで南雲が作成したこれまでの捜査協力に関するレポートを読む瀬川里央(松下奈緒)。そこへ里央の携帯が鳴る。相手は里央が在籍していた大井町署の刑事課課長・藤本(半海一晃)。藤本によると、管内の書店で発生した窃盗事件から里央の父親を殺害した犯人の指紋が見つかったという。そんな矢先、夜道を歩いていた南雲が突然何者かにスタンガンで襲撃される。黒塗りの車に押し込められた南雲は、顔を隠した男から犯罪に手を貸すように迫られる。拒否する南雲に男は携帯の動画を見せる。そこに映し出されていたのはなんと別れた妻と娘だった…。今はクロロホルムで眠らせているが、首を縦に振らなければ2人が目を覚ますことはないという。“ぼくに何をさせようというんだ"と問う南雲に男は言う、“少しの間、先生のことをコントロールさせてもらうよ"。  　翌日の凶行犯捜査課。小板橋(勝村政信)が電話を切るなり、誘拐事件が発生した、至急、安斉昭典(陣内孝則)宅へ出動するようにと叫ぶ。誘拐事件をなぜウチが担当するのかと問う杉浦(泉谷しげる)に誘拐犯が凶行犯捜査課を指名してきたことを告げる。  　急遽、安斉宅に駆けつけた捜査課の面々。そこで秘書の山根(袴田吉彦)から誘拐された女性の写真を見せられる。そこに写っていたのは、南雲の教え子で安斉の一人娘の安斉千尋(奥村佳恵)だった…。</v>
      </c>
      <c r="N1516" s="2"/>
      <c r="O1516" s="2"/>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row>
    <row r="1517" ht="204.75" customHeight="1">
      <c r="A1517" s="1">
        <v>4461.0</v>
      </c>
      <c r="B1517" s="2" t="s">
        <v>4819</v>
      </c>
      <c r="C1517" s="2">
        <f>IFERROR(__xludf.DUMMYFUNCTION("split(B1517,""_"")"),1101.0)</f>
        <v>1101</v>
      </c>
      <c r="D1517" s="2" t="str">
        <f>IFERROR(__xludf.DUMMYFUNCTION("""COMPUTED_VALUE"""),"CX")</f>
        <v>CX</v>
      </c>
      <c r="E1517" s="2" t="str">
        <f>IFERROR(__xludf.DUMMYFUNCTION("""COMPUTED_VALUE"""),"火21")</f>
        <v>火21</v>
      </c>
      <c r="F1517" s="2" t="s">
        <v>4820</v>
      </c>
      <c r="G1517" s="2" t="s">
        <v>4851</v>
      </c>
      <c r="H1517" s="1">
        <v>11.0</v>
      </c>
      <c r="I1517" s="1" t="s">
        <v>41</v>
      </c>
      <c r="J1517" s="1" t="s">
        <v>4</v>
      </c>
      <c r="K1517" s="2" t="s">
        <v>4852</v>
      </c>
      <c r="L1517" s="2" t="s">
        <v>4853</v>
      </c>
      <c r="M1517" s="2" t="str">
        <f>IFERROR(__xludf.DUMMYFUNCTION("split(split(K1517,""松下奈緒　"",false),""公式LINE"",false)"),"ある窃盗事件から瀬川里央(松下奈緒)の父親を殺害した犯人の指紋が見つかったという一報を里央が受けた矢先、安斉千尋(奥村佳恵)を人質にとった誘拐事件が発生。犯人は南雲準(藤木直人)の別れた妻子まで人質にとり、南雲をコントロールした状態で身代金1億円を運搬するよう要求。緊迫する神経戦の中、凶行犯捜査課の一丸となった捜査により、千尋を無事保護するが、その近くには男の死体が…。そして、里央は現金入りのキャリーケースを運搬していた男を逮捕するが、中の身代金1億円は新聞紙に化けていた。  　逮捕された沼田(ムロツヨシ"&amp;")は“無精髭の男が運んできたキャリーケースを店外に持ち出せば3万円渡す""と見知らぬ男に声をかけられてやっただけで、真犯人につながる手がかりは得られなかった。  　安斉(陣内孝則)は金が消えたことに苛立ちを隠せないでいた。千尋の近くで死んでいた男の写真を杉浦(泉谷しげる)から見せられた秘書の山根(袴田吉彦)は、男が会社をリストラされた黒岩健二(阿部亮平)だと証言する。そんな矢先、千尋から南雲と話がしたいと連絡が入る。南雲は千尋のこれまでの言動に何か腑に落ちないものを感じていた。  　果たして誘拐事件に隠さ"&amp;"れたトリックとは、消えた1億円の行方、そして真犯人の正体とは…。全ての謎が明らかになったとき、里央の父を殺した事件についても突破口が見つかろうとしていた。")</f>
        <v>ある窃盗事件から瀬川里央(松下奈緒)の父親を殺害した犯人の指紋が見つかったという一報を里央が受けた矢先、安斉千尋(奥村佳恵)を人質にとった誘拐事件が発生。犯人は南雲準(藤木直人)の別れた妻子まで人質にとり、南雲をコントロールした状態で身代金1億円を運搬するよう要求。緊迫する神経戦の中、凶行犯捜査課の一丸となった捜査により、千尋を無事保護するが、その近くには男の死体が…。そして、里央は現金入りのキャリーケースを運搬していた男を逮捕するが、中の身代金1億円は新聞紙に化けていた。  　逮捕された沼田(ムロツヨシ)は“無精髭の男が運んできたキャリーケースを店外に持ち出せば3万円渡す"と見知らぬ男に声をかけられてやっただけで、真犯人につながる手がかりは得られなかった。  　安斉(陣内孝則)は金が消えたことに苛立ちを隠せないでいた。千尋の近くで死んでいた男の写真を杉浦(泉谷しげる)から見せられた秘書の山根(袴田吉彦)は、男が会社をリストラされた黒岩健二(阿部亮平)だと証言する。そんな矢先、千尋から南雲と話がしたいと連絡が入る。南雲は千尋のこれまでの言動に何か腑に落ちないものを感じていた。  　果たして誘拐事件に隠されたトリックとは、消えた1億円の行方、そして真犯人の正体とは…。全ての謎が明らかになったとき、里央の父を殺した事件についても突破口が見つかろうとしていた。</v>
      </c>
      <c r="N1517" s="2"/>
      <c r="O1517" s="2"/>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row>
    <row r="1518" ht="204.75" customHeight="1">
      <c r="A1518" s="1">
        <v>4462.0</v>
      </c>
      <c r="B1518" s="2" t="s">
        <v>4854</v>
      </c>
      <c r="C1518" s="2">
        <f>IFERROR(__xludf.DUMMYFUNCTION("split(B1518,""_"")"),1101.0)</f>
        <v>1101</v>
      </c>
      <c r="D1518" s="2" t="str">
        <f>IFERROR(__xludf.DUMMYFUNCTION("""COMPUTED_VALUE"""),"CX")</f>
        <v>CX</v>
      </c>
      <c r="E1518" s="2" t="str">
        <f>IFERROR(__xludf.DUMMYFUNCTION("""COMPUTED_VALUE"""),"火22")</f>
        <v>火22</v>
      </c>
      <c r="F1518" s="2" t="s">
        <v>4855</v>
      </c>
      <c r="G1518" s="2" t="s">
        <v>4856</v>
      </c>
      <c r="H1518" s="1">
        <v>1.0</v>
      </c>
      <c r="I1518" s="1" t="s">
        <v>3</v>
      </c>
      <c r="J1518" s="1" t="s">
        <v>82</v>
      </c>
      <c r="K1518" s="4" t="s">
        <v>4857</v>
      </c>
      <c r="L1518" s="2" t="s">
        <v>4858</v>
      </c>
      <c r="M1518" s="9" t="str">
        <f>IFERROR(__xludf.DUMMYFUNCTION("split(split(K1518,""仲間由紀恵　"",false),""rinjin/　"",false)"),"http://www.ktv.jp/")</f>
        <v>http://www.ktv.jp/</v>
      </c>
      <c r="N1518" s="2" t="str">
        <f>IFERROR(__xludf.DUMMYFUNCTION("""COMPUTED_VALUE"""),"東京郊外の新興住宅地に暮らす主婦・矢野絵里子(檀れい)の幼い息子・駿(青山和也)が家から姿を消した。まもなく、池で男の子の遺体が見つかったと警察から連絡が入る。愕然となる絵里子は、単身赴任先の大阪から駆けつけた夫・慎二(渡部篤郎)の胸で泣き崩れるが遺体は別人だった。駿は理生(南圭介)という青年に保護され、無事に見つかる。  　1年後、絵里子の隣の家の夫婦が引っ越していった。親しくしていた隣人がいなくなったことに不安を覚え、慎二のいる大阪に移り住むことを考え始める絵里子。そんな中、隣家にマイヤー沙希(仲間由"&amp;"紀恵)という独り暮らしの女性が越してきた。絵里子は明るく人懐こい沙希とすっかり打ち解けるが、なぜか駿は避けるような態度を見せる。  　そんなある夜、絵里子の家が突然の停電に見舞われる。不審に思って外に出た絵里子の背後に沙希が近付き…。そして翌日の夜、大阪で馴染みのバーを訪れていた慎二の前にも沙希は姿を現して…。")</f>
        <v>東京郊外の新興住宅地に暮らす主婦・矢野絵里子(檀れい)の幼い息子・駿(青山和也)が家から姿を消した。まもなく、池で男の子の遺体が見つかったと警察から連絡が入る。愕然となる絵里子は、単身赴任先の大阪から駆けつけた夫・慎二(渡部篤郎)の胸で泣き崩れるが遺体は別人だった。駿は理生(南圭介)という青年に保護され、無事に見つかる。  　1年後、絵里子の隣の家の夫婦が引っ越していった。親しくしていた隣人がいなくなったことに不安を覚え、慎二のいる大阪に移り住むことを考え始める絵里子。そんな中、隣家にマイヤー沙希(仲間由紀恵)という独り暮らしの女性が越してきた。絵里子は明るく人懐こい沙希とすっかり打ち解けるが、なぜか駿は避けるような態度を見せる。  　そんなある夜、絵里子の家が突然の停電に見舞われる。不審に思って外に出た絵里子の背後に沙希が近付き…。そして翌日の夜、大阪で馴染みのバーを訪れていた慎二の前にも沙希は姿を現して…。</v>
      </c>
      <c r="O1518" s="2"/>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row>
    <row r="1519" ht="204.75" customHeight="1">
      <c r="A1519" s="1">
        <v>4463.0</v>
      </c>
      <c r="B1519" s="2" t="s">
        <v>4854</v>
      </c>
      <c r="C1519" s="2">
        <f>IFERROR(__xludf.DUMMYFUNCTION("split(B1519,""_"")"),1101.0)</f>
        <v>1101</v>
      </c>
      <c r="D1519" s="2" t="str">
        <f>IFERROR(__xludf.DUMMYFUNCTION("""COMPUTED_VALUE"""),"CX")</f>
        <v>CX</v>
      </c>
      <c r="E1519" s="2" t="str">
        <f>IFERROR(__xludf.DUMMYFUNCTION("""COMPUTED_VALUE"""),"火22")</f>
        <v>火22</v>
      </c>
      <c r="F1519" s="2" t="s">
        <v>4855</v>
      </c>
      <c r="G1519" s="2" t="s">
        <v>4859</v>
      </c>
      <c r="H1519" s="1">
        <v>2.0</v>
      </c>
      <c r="I1519" s="1" t="s">
        <v>7</v>
      </c>
      <c r="J1519" s="1" t="s">
        <v>86</v>
      </c>
      <c r="K1519" s="2" t="s">
        <v>4860</v>
      </c>
      <c r="L1519" s="2" t="s">
        <v>4861</v>
      </c>
      <c r="M1519" s="9" t="str">
        <f>IFERROR(__xludf.DUMMYFUNCTION("split(split(K1519,""仲間由紀恵　"",false),""rinjin/　"",false)"),"http://www.ktv.jp/")</f>
        <v>http://www.ktv.jp/</v>
      </c>
      <c r="N1519" s="2" t="str">
        <f>IFERROR(__xludf.DUMMYFUNCTION("""COMPUTED_VALUE"""),"沙希(仲間由紀恵)は慎二(渡部篤郎)が通う大阪のバーに再び現れ、慎二に接近。同じ夜、絵里子(檀れい)は、1年前の水死事故を思い出させるような、子どもが溺れる夢を見ていた。    　翌日、沙希は、何食わぬ顔で絵里子を訪ね、離れて暮らしている夫が浮気をしていると悩みを相談。自分も浮気しちゃおうかなと投げかける沙希に、思わず「しちゃえば」と答える絵里子。　午後、不吉な夢が頭から離れない絵里子は、駿(青山和也)をスイミングスクールに連れて行くというママ友の真由美(三浦理恵子)の誘いを断り、美津子(草笛光子)の病院"&amp;"に行くも、美津子をささいなことで怒らせてしまう。    　一方、絵里子の態度に不満を抱く真由美の前に沙希が現れた。真由美と親しくなった沙希は、駿が行方不明になった1年前の騒動について探りを入れ…。")</f>
        <v>沙希(仲間由紀恵)は慎二(渡部篤郎)が通う大阪のバーに再び現れ、慎二に接近。同じ夜、絵里子(檀れい)は、1年前の水死事故を思い出させるような、子どもが溺れる夢を見ていた。    　翌日、沙希は、何食わぬ顔で絵里子を訪ね、離れて暮らしている夫が浮気をしていると悩みを相談。自分も浮気しちゃおうかなと投げかける沙希に、思わず「しちゃえば」と答える絵里子。　午後、不吉な夢が頭から離れない絵里子は、駿(青山和也)をスイミングスクールに連れて行くというママ友の真由美(三浦理恵子)の誘いを断り、美津子(草笛光子)の病院に行くも、美津子をささいなことで怒らせてしまう。    　一方、絵里子の態度に不満を抱く真由美の前に沙希が現れた。真由美と親しくなった沙希は、駿が行方不明になった1年前の騒動について探りを入れ…。</v>
      </c>
      <c r="O1519" s="2"/>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row>
    <row r="1520" ht="204.75" customHeight="1">
      <c r="A1520" s="1">
        <v>4464.0</v>
      </c>
      <c r="B1520" s="2" t="s">
        <v>4854</v>
      </c>
      <c r="C1520" s="2">
        <f>IFERROR(__xludf.DUMMYFUNCTION("split(B1520,""_"")"),1101.0)</f>
        <v>1101</v>
      </c>
      <c r="D1520" s="2" t="str">
        <f>IFERROR(__xludf.DUMMYFUNCTION("""COMPUTED_VALUE"""),"CX")</f>
        <v>CX</v>
      </c>
      <c r="E1520" s="2" t="str">
        <f>IFERROR(__xludf.DUMMYFUNCTION("""COMPUTED_VALUE"""),"火22")</f>
        <v>火22</v>
      </c>
      <c r="F1520" s="2" t="s">
        <v>4855</v>
      </c>
      <c r="G1520" s="2" t="s">
        <v>4862</v>
      </c>
      <c r="H1520" s="1">
        <v>3.0</v>
      </c>
      <c r="I1520" s="1" t="s">
        <v>10</v>
      </c>
      <c r="J1520" s="1" t="s">
        <v>86</v>
      </c>
      <c r="K1520" s="2" t="s">
        <v>4863</v>
      </c>
      <c r="L1520" s="2" t="s">
        <v>4864</v>
      </c>
      <c r="M1520" s="9" t="str">
        <f>IFERROR(__xludf.DUMMYFUNCTION("split(split(K1520,""仲間由紀恵　"",false),""rinjin/　"",false)"),"http://www.ktv.jp/")</f>
        <v>http://www.ktv.jp/</v>
      </c>
      <c r="N1520" s="2" t="str">
        <f>IFERROR(__xludf.DUMMYFUNCTION("""COMPUTED_VALUE"""),"絵里子(檀れい)を家に招いた沙希(仲間由紀恵)は、妻のある男性を好きになったと打ち明ける。それが自分の夫である慎二(渡部篤郎)のことだとは夢にも思わない絵里子は沙希の恋を応援する。    　まもなく、酒に酔って寝てしまった絵里子から鍵を奪った沙希は絵里子の家に侵入。寝室で眠っていた駿(青山和也)に近づき・・・。　一方、慎二は名前も告げずに去った沙希のことが気にかかっていた。その頃、真由美(三浦理恵子)と親しくなった沙希は、アメリカにいる夫が浮気をしていると真由美に相談を持ちかけていた。頼られたことがうれし"&amp;"い真由美は親身に相談に乗り、自分が過去に離婚していることを沙希に打ち明ける。    　ところが、沙希は真由美が秘密にしていたはずの離婚歴をすでに知っていた。動揺する真由美に、沙希は絵里子から聞いたと答える。")</f>
        <v>絵里子(檀れい)を家に招いた沙希(仲間由紀恵)は、妻のある男性を好きになったと打ち明ける。それが自分の夫である慎二(渡部篤郎)のことだとは夢にも思わない絵里子は沙希の恋を応援する。    　まもなく、酒に酔って寝てしまった絵里子から鍵を奪った沙希は絵里子の家に侵入。寝室で眠っていた駿(青山和也)に近づき・・・。　一方、慎二は名前も告げずに去った沙希のことが気にかかっていた。その頃、真由美(三浦理恵子)と親しくなった沙希は、アメリカにいる夫が浮気をしていると真由美に相談を持ちかけていた。頼られたことがうれしい真由美は親身に相談に乗り、自分が過去に離婚していることを沙希に打ち明ける。    　ところが、沙希は真由美が秘密にしていたはずの離婚歴をすでに知っていた。動揺する真由美に、沙希は絵里子から聞いたと答える。</v>
      </c>
      <c r="O1520" s="2"/>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row>
    <row r="1521" ht="204.75" customHeight="1">
      <c r="A1521" s="1">
        <v>4465.0</v>
      </c>
      <c r="B1521" s="2" t="s">
        <v>4854</v>
      </c>
      <c r="C1521" s="2">
        <f>IFERROR(__xludf.DUMMYFUNCTION("split(B1521,""_"")"),1101.0)</f>
        <v>1101</v>
      </c>
      <c r="D1521" s="2" t="str">
        <f>IFERROR(__xludf.DUMMYFUNCTION("""COMPUTED_VALUE"""),"CX")</f>
        <v>CX</v>
      </c>
      <c r="E1521" s="2" t="str">
        <f>IFERROR(__xludf.DUMMYFUNCTION("""COMPUTED_VALUE"""),"火22")</f>
        <v>火22</v>
      </c>
      <c r="F1521" s="2" t="s">
        <v>4855</v>
      </c>
      <c r="G1521" s="2" t="s">
        <v>4865</v>
      </c>
      <c r="H1521" s="1">
        <v>4.0</v>
      </c>
      <c r="I1521" s="1" t="s">
        <v>14</v>
      </c>
      <c r="J1521" s="1" t="s">
        <v>86</v>
      </c>
      <c r="K1521" s="2" t="s">
        <v>4866</v>
      </c>
      <c r="L1521" s="2" t="s">
        <v>4867</v>
      </c>
      <c r="M1521" s="9" t="str">
        <f>IFERROR(__xludf.DUMMYFUNCTION("split(split(K1521,""仲間由紀恵　"",false),""rinjin/　"",false)"),"http://www.ktv.jp/")</f>
        <v>http://www.ktv.jp/</v>
      </c>
      <c r="N1521" s="2" t="str">
        <f>IFERROR(__xludf.DUMMYFUNCTION("""COMPUTED_VALUE"""),"沙希(仲間由紀恵)に離婚を申し入れていた夫は雅彦(高知東生)だった。2人だけで話がしたいと喫茶店に呼びつけられた雅彦はあらためて離婚して欲しいと懇願。だが沙希は受け入れず、激しい怒りをあらわにする。    　翌日、美津子(草笛光子)が入院する病院に現れた沙希は、見舞いに来ていた絵里子(檀れい)に声をかけ、美津子の病室へ。朗らかに談笑し、美津子の心をとらえてしまう。　絵里子は急に自分を避けるようになった真由美(三浦理恵子)の態度が気にかかり、その理由を真由美に尋ねる。真由美は自分の秘密を勝手に他人に話したと"&amp;"絵里子を責めるが、絵里子には心当たりがない。    　その夜、大阪で沙希と再会した慎二(渡部篤郎)は、沙希にどうしようもなく惹かれている自分に気付き、ついにホテルで一夜をともにしてしまう。")</f>
        <v>沙希(仲間由紀恵)に離婚を申し入れていた夫は雅彦(高知東生)だった。2人だけで話がしたいと喫茶店に呼びつけられた雅彦はあらためて離婚して欲しいと懇願。だが沙希は受け入れず、激しい怒りをあらわにする。    　翌日、美津子(草笛光子)が入院する病院に現れた沙希は、見舞いに来ていた絵里子(檀れい)に声をかけ、美津子の病室へ。朗らかに談笑し、美津子の心をとらえてしまう。　絵里子は急に自分を避けるようになった真由美(三浦理恵子)の態度が気にかかり、その理由を真由美に尋ねる。真由美は自分の秘密を勝手に他人に話したと絵里子を責めるが、絵里子には心当たりがない。    　その夜、大阪で沙希と再会した慎二(渡部篤郎)は、沙希にどうしようもなく惹かれている自分に気付き、ついにホテルで一夜をともにしてしまう。</v>
      </c>
      <c r="O1521" s="2"/>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row>
    <row r="1522" ht="204.75" customHeight="1">
      <c r="A1522" s="1">
        <v>4466.0</v>
      </c>
      <c r="B1522" s="2" t="s">
        <v>4854</v>
      </c>
      <c r="C1522" s="2">
        <f>IFERROR(__xludf.DUMMYFUNCTION("split(B1522,""_"")"),1101.0)</f>
        <v>1101</v>
      </c>
      <c r="D1522" s="2" t="str">
        <f>IFERROR(__xludf.DUMMYFUNCTION("""COMPUTED_VALUE"""),"CX")</f>
        <v>CX</v>
      </c>
      <c r="E1522" s="2" t="str">
        <f>IFERROR(__xludf.DUMMYFUNCTION("""COMPUTED_VALUE"""),"火22")</f>
        <v>火22</v>
      </c>
      <c r="F1522" s="2" t="s">
        <v>4855</v>
      </c>
      <c r="G1522" s="2" t="s">
        <v>4868</v>
      </c>
      <c r="H1522" s="1">
        <v>5.0</v>
      </c>
      <c r="I1522" s="1" t="s">
        <v>17</v>
      </c>
      <c r="J1522" s="1" t="s">
        <v>86</v>
      </c>
      <c r="K1522" s="2" t="s">
        <v>4869</v>
      </c>
      <c r="L1522" s="2" t="s">
        <v>4870</v>
      </c>
      <c r="M1522" s="9" t="str">
        <f>IFERROR(__xludf.DUMMYFUNCTION("split(split(K1522,""仲間由紀恵　"",false),""rinjin/　"",false)"),"http://www.ktv.jp/")</f>
        <v>http://www.ktv.jp/</v>
      </c>
      <c r="N1522" s="2" t="str">
        <f>IFERROR(__xludf.DUMMYFUNCTION("""COMPUTED_VALUE"""),"絵里子(檀れい)の携帯電話に、見知らぬアドレスからまるで死んでいるように見える駿(青山和也)の写真が送られてきた。気がつけば駿の姿はなく、半狂乱になる絵里子。  　さらにかかってきた電話は女の声で「死ね」とだけ言って切れ、言い知れぬ不安が絵里子を襲う。    　一方、慎二(渡部篤郎)は沙希(仲間由紀恵)と一夜をともにして以来、沙希に会いたい気持ちを抑えられなくなっていた。仕事中に電話をかけて沙希に連絡をとる慎二。その夜大阪にやってきた沙希は「あなたの部屋が見たい」と慎二のマンションに連れていくようねだる。"&amp;"戸惑いながらも沙希を招き入れる慎二。しかし、2人の仲睦まじい様子を、絵里子と親しくしていたかつての隣人・加奈(鈴木砂羽)夫婦が目撃していた。")</f>
        <v>絵里子(檀れい)の携帯電話に、見知らぬアドレスからまるで死んでいるように見える駿(青山和也)の写真が送られてきた。気がつけば駿の姿はなく、半狂乱になる絵里子。  　さらにかかってきた電話は女の声で「死ね」とだけ言って切れ、言い知れぬ不安が絵里子を襲う。    　一方、慎二(渡部篤郎)は沙希(仲間由紀恵)と一夜をともにして以来、沙希に会いたい気持ちを抑えられなくなっていた。仕事中に電話をかけて沙希に連絡をとる慎二。その夜大阪にやってきた沙希は「あなたの部屋が見たい」と慎二のマンションに連れていくようねだる。戸惑いながらも沙希を招き入れる慎二。しかし、2人の仲睦まじい様子を、絵里子と親しくしていたかつての隣人・加奈(鈴木砂羽)夫婦が目撃していた。</v>
      </c>
      <c r="O1522" s="2"/>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row>
    <row r="1523" ht="204.75" customHeight="1">
      <c r="A1523" s="1">
        <v>4467.0</v>
      </c>
      <c r="B1523" s="2" t="s">
        <v>4854</v>
      </c>
      <c r="C1523" s="2">
        <f>IFERROR(__xludf.DUMMYFUNCTION("split(B1523,""_"")"),1101.0)</f>
        <v>1101</v>
      </c>
      <c r="D1523" s="2" t="str">
        <f>IFERROR(__xludf.DUMMYFUNCTION("""COMPUTED_VALUE"""),"CX")</f>
        <v>CX</v>
      </c>
      <c r="E1523" s="2" t="str">
        <f>IFERROR(__xludf.DUMMYFUNCTION("""COMPUTED_VALUE"""),"火22")</f>
        <v>火22</v>
      </c>
      <c r="F1523" s="2" t="s">
        <v>4855</v>
      </c>
      <c r="G1523" s="2" t="s">
        <v>4871</v>
      </c>
      <c r="H1523" s="1">
        <v>6.0</v>
      </c>
      <c r="I1523" s="1" t="s">
        <v>21</v>
      </c>
      <c r="J1523" s="1" t="s">
        <v>86</v>
      </c>
      <c r="K1523" s="2" t="s">
        <v>4872</v>
      </c>
      <c r="L1523" s="4" t="s">
        <v>4873</v>
      </c>
      <c r="M1523" s="2" t="str">
        <f>IFERROR(__xludf.DUMMYFUNCTION("split(split(K1523,""仲間由紀恵　"",false),""rinjin/　"",false)"),"http://www.ktv.jp/rinjin/沙希(仲間由紀恵)と慎二(渡部篤郎)の関係がさらに深まる中、慎二に東京転勤の話がもちあがる。東京に戻っても2人の関係を続けると約束する慎二。    一方、元隣人の加奈(鈴木砂羽)から「沙希を信用できるのか」と問われ、沙希への不信感が初めて芽生えた絵里子(檀れい)。義母の美津子(草笛光子)が退院することになり、美津子から快気祝いに沙希を招待してほしいと言われた絵里子は、気が乗らず、曖昧にうなずく。そんな中、慎二の浮気疑惑の真偽を確かめるため、絵里子は駿(青山"&amp;"和也)を連れて大阪へ行く。駿と遊ぶ夫の姿を見て浮気は嘘ではないかと思い始めた矢先、絵里子は慎二の部屋で女物の櫛を見つけてしまう。それは沙希がわざと残していったものだった。    そして、美津子の快気祝い当日。慎二も大阪から戻り、美津子夫婦も揃って賑やかにテーブルについた時、チャイムが鳴った。それは慎二と“隣人""との初対面であったーー。")</f>
        <v>http://www.ktv.jp/rinjin/沙希(仲間由紀恵)と慎二(渡部篤郎)の関係がさらに深まる中、慎二に東京転勤の話がもちあがる。東京に戻っても2人の関係を続けると約束する慎二。    一方、元隣人の加奈(鈴木砂羽)から「沙希を信用できるのか」と問われ、沙希への不信感が初めて芽生えた絵里子(檀れい)。義母の美津子(草笛光子)が退院することになり、美津子から快気祝いに沙希を招待してほしいと言われた絵里子は、気が乗らず、曖昧にうなずく。そんな中、慎二の浮気疑惑の真偽を確かめるため、絵里子は駿(青山和也)を連れて大阪へ行く。駿と遊ぶ夫の姿を見て浮気は嘘ではないかと思い始めた矢先、絵里子は慎二の部屋で女物の櫛を見つけてしまう。それは沙希がわざと残していったものだった。    そして、美津子の快気祝い当日。慎二も大阪から戻り、美津子夫婦も揃って賑やかにテーブルについた時、チャイムが鳴った。それは慎二と“隣人"との初対面であったーー。</v>
      </c>
      <c r="N1523" s="2"/>
      <c r="O1523" s="2"/>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row>
    <row r="1524" ht="204.75" customHeight="1">
      <c r="A1524" s="1">
        <v>4468.0</v>
      </c>
      <c r="B1524" s="2" t="s">
        <v>4854</v>
      </c>
      <c r="C1524" s="2">
        <f>IFERROR(__xludf.DUMMYFUNCTION("split(B1524,""_"")"),1101.0)</f>
        <v>1101</v>
      </c>
      <c r="D1524" s="2" t="str">
        <f>IFERROR(__xludf.DUMMYFUNCTION("""COMPUTED_VALUE"""),"CX")</f>
        <v>CX</v>
      </c>
      <c r="E1524" s="2" t="str">
        <f>IFERROR(__xludf.DUMMYFUNCTION("""COMPUTED_VALUE"""),"火22")</f>
        <v>火22</v>
      </c>
      <c r="F1524" s="2" t="s">
        <v>4855</v>
      </c>
      <c r="G1524" s="2" t="s">
        <v>4874</v>
      </c>
      <c r="H1524" s="1">
        <v>7.0</v>
      </c>
      <c r="I1524" s="1" t="s">
        <v>25</v>
      </c>
      <c r="J1524" s="1" t="s">
        <v>86</v>
      </c>
      <c r="K1524" s="2" t="s">
        <v>4875</v>
      </c>
      <c r="L1524" s="2" t="s">
        <v>4876</v>
      </c>
      <c r="M1524" s="9" t="str">
        <f>IFERROR(__xludf.DUMMYFUNCTION("split(split(K1524,""仲間由紀恵　"",false),""rinjin/　"",false)"),"http://www.ktv.jp/")</f>
        <v>http://www.ktv.jp/</v>
      </c>
      <c r="N1524" s="2" t="str">
        <f>IFERROR(__xludf.DUMMYFUNCTION("""COMPUTED_VALUE"""),"美津子(草笛光子)の退院祝いで矢野家に現れた沙希(仲間由紀恵)に慎二(渡部篤郎)はがく然。浮気相手の正体が絵里子(檀れい)と親しくしている隣人と知って言葉を失う。    　しかし、慎二を自宅に呼びつけた沙希は、慎二が絵里子の夫であることを知っていたとあっさり告白。常軌を逸していると非難する慎二に、理由を話す沙希。それは沙希が慎二に初めて見せる表情だった。　一方、絵里子は慎二が浮気をしているのではないかという疑いが頭から離れず、いら立ちを募らせていた。そんな折、隣家の様子をうかがう雅彦(高知東生)に会う。 "&amp;"   　その夜、ついに絵里子は慎二に疑惑をぶつける。今までにない二人の激しい口論。その様子を、隣家から冷たく覗く視線があったーー。  　翌日、疲れ切った絵里子のもとに、沙希が現れた。「ちょっと、いい?」")</f>
        <v>美津子(草笛光子)の退院祝いで矢野家に現れた沙希(仲間由紀恵)に慎二(渡部篤郎)はがく然。浮気相手の正体が絵里子(檀れい)と親しくしている隣人と知って言葉を失う。    　しかし、慎二を自宅に呼びつけた沙希は、慎二が絵里子の夫であることを知っていたとあっさり告白。常軌を逸していると非難する慎二に、理由を話す沙希。それは沙希が慎二に初めて見せる表情だった。　一方、絵里子は慎二が浮気をしているのではないかという疑いが頭から離れず、いら立ちを募らせていた。そんな折、隣家の様子をうかがう雅彦(高知東生)に会う。    　その夜、ついに絵里子は慎二に疑惑をぶつける。今までにない二人の激しい口論。その様子を、隣家から冷たく覗く視線があったーー。  　翌日、疲れ切った絵里子のもとに、沙希が現れた。「ちょっと、いい?」</v>
      </c>
      <c r="O1524" s="2"/>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row>
    <row r="1525" ht="204.75" customHeight="1">
      <c r="A1525" s="1">
        <v>4469.0</v>
      </c>
      <c r="B1525" s="2" t="s">
        <v>4854</v>
      </c>
      <c r="C1525" s="2">
        <f>IFERROR(__xludf.DUMMYFUNCTION("split(B1525,""_"")"),1101.0)</f>
        <v>1101</v>
      </c>
      <c r="D1525" s="2" t="str">
        <f>IFERROR(__xludf.DUMMYFUNCTION("""COMPUTED_VALUE"""),"CX")</f>
        <v>CX</v>
      </c>
      <c r="E1525" s="2" t="str">
        <f>IFERROR(__xludf.DUMMYFUNCTION("""COMPUTED_VALUE"""),"火22")</f>
        <v>火22</v>
      </c>
      <c r="F1525" s="2" t="s">
        <v>4855</v>
      </c>
      <c r="G1525" s="2" t="s">
        <v>4877</v>
      </c>
      <c r="H1525" s="1">
        <v>8.0</v>
      </c>
      <c r="I1525" s="1" t="s">
        <v>29</v>
      </c>
      <c r="J1525" s="1" t="s">
        <v>86</v>
      </c>
      <c r="K1525" s="2" t="s">
        <v>4878</v>
      </c>
      <c r="L1525" s="2" t="s">
        <v>4879</v>
      </c>
      <c r="M1525" s="9" t="str">
        <f>IFERROR(__xludf.DUMMYFUNCTION("split(split(K1525,""仲間由紀恵　"",false),""rinjin/　"",false)"),"http://www.ktv.jp/")</f>
        <v>http://www.ktv.jp/</v>
      </c>
      <c r="N1525" s="2" t="str">
        <f>IFERROR(__xludf.DUMMYFUNCTION("""COMPUTED_VALUE"""),"沙希(仲間由紀恵)は自分が慎二(渡部篤郎)の浮気相手だと明かし、微笑みさえ浮かべながら、がく然とする絵里子(檀れい)を残して去っていった。夫の浮気に加え、沙希の裏切りと、自分を傷つけて楽しむこれまでと別人のような態度を目の当たりにし、出口のない絶望感に襲われる絵里子。    　慎二にも裏切られた思いで家を飛び出した絵里子は、幼稚園から強引に駿(青山和也)を連れ出し、行くあてもないまま車を走らせる。　そんな折、慎二は上司からアメリカに新設する子会社に赴任しないかと打診される。絵里子と駿を連れて日本を離れ、す"&amp;"べてをやり直したいと考えた慎二。    　一方、翌朝、沙希は何食わぬ顔で真由美(三浦理恵子)の店を訪れ、絵里子と駿が家を出たきり戻らないと相談をもちかける。さらに、駿の泣き声が毎晩のように聞こえており、絵里子が駿を虐待しているのではと不安がってみせ、絵里子の行きそうな実家の場所を聞き出して…。")</f>
        <v>沙希(仲間由紀恵)は自分が慎二(渡部篤郎)の浮気相手だと明かし、微笑みさえ浮かべながら、がく然とする絵里子(檀れい)を残して去っていった。夫の浮気に加え、沙希の裏切りと、自分を傷つけて楽しむこれまでと別人のような態度を目の当たりにし、出口のない絶望感に襲われる絵里子。    　慎二にも裏切られた思いで家を飛び出した絵里子は、幼稚園から強引に駿(青山和也)を連れ出し、行くあてもないまま車を走らせる。　そんな折、慎二は上司からアメリカに新設する子会社に赴任しないかと打診される。絵里子と駿を連れて日本を離れ、すべてをやり直したいと考えた慎二。    　一方、翌朝、沙希は何食わぬ顔で真由美(三浦理恵子)の店を訪れ、絵里子と駿が家を出たきり戻らないと相談をもちかける。さらに、駿の泣き声が毎晩のように聞こえており、絵里子が駿を虐待しているのではと不安がってみせ、絵里子の行きそうな実家の場所を聞き出して…。</v>
      </c>
      <c r="O1525" s="2"/>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row>
    <row r="1526" ht="204.75" customHeight="1">
      <c r="A1526" s="1">
        <v>4470.0</v>
      </c>
      <c r="B1526" s="2" t="s">
        <v>4854</v>
      </c>
      <c r="C1526" s="2">
        <f>IFERROR(__xludf.DUMMYFUNCTION("split(B1526,""_"")"),1101.0)</f>
        <v>1101</v>
      </c>
      <c r="D1526" s="2" t="str">
        <f>IFERROR(__xludf.DUMMYFUNCTION("""COMPUTED_VALUE"""),"CX")</f>
        <v>CX</v>
      </c>
      <c r="E1526" s="2" t="str">
        <f>IFERROR(__xludf.DUMMYFUNCTION("""COMPUTED_VALUE"""),"火22")</f>
        <v>火22</v>
      </c>
      <c r="F1526" s="2" t="s">
        <v>4855</v>
      </c>
      <c r="G1526" s="2" t="s">
        <v>4880</v>
      </c>
      <c r="H1526" s="1">
        <v>9.0</v>
      </c>
      <c r="I1526" s="1" t="s">
        <v>33</v>
      </c>
      <c r="J1526" s="1" t="s">
        <v>86</v>
      </c>
      <c r="K1526" s="2" t="s">
        <v>4881</v>
      </c>
      <c r="L1526" s="2" t="s">
        <v>4882</v>
      </c>
      <c r="M1526" s="9" t="str">
        <f>IFERROR(__xludf.DUMMYFUNCTION("split(split(K1526,""仲間由紀恵　"",false),""rinjin/　"",false)"),"http://www.ktv.jp/")</f>
        <v>http://www.ktv.jp/</v>
      </c>
      <c r="N1526" s="2" t="str">
        <f>IFERROR(__xludf.DUMMYFUNCTION("""COMPUTED_VALUE"""),"駿(青山和也)が絵里子(檀れい)の長野の実家から姿を消した。絵里子は沙希(仲間由紀恵)が連れ去ったと確信。連絡を受けた慎二(渡部篤郎)も急いで自宅へ向かう。    　沙希が駿を連れ去ったはずだと絵里子も急いで自宅へ。しかし、はやる思いで自宅に戻った絵里子の目に飛び込んできたのは、ソファに寄り添う沙希と慎二の姿だった。  慎二は沙希から、思いもよらない沙希の過去を聞かされたのだった。絵里子は、沙希の話はすべて嘘で信じるなと慎二に訴えるが、慎二は動かない。八方塞がりの絵里子を見つめる沙希の冷ややかな目。激高し"&amp;"た絵里子は沙希に思わずつかみかかる。その時、部屋に置いてあった大きな鏡が、沙希と絵里子の上に倒れてきて…。    　絵里子は誘拐事件だと警察に訴えるが、ただの痴情のもつれだと取り合ってももらえない。打ちのめされる絵里子に、慎二はアメリカでやり直そうと告げる。　翌日、病院に沙希を見舞った慎二は、沙希に決別の意を告げる。意外にもあっさりと受け入れる沙希。だが別れ際、つぶやいた沙希の言葉に不気味なものを感じる。  数日後、沙希は家を引き払い、忽然と姿を消すが…。")</f>
        <v>駿(青山和也)が絵里子(檀れい)の長野の実家から姿を消した。絵里子は沙希(仲間由紀恵)が連れ去ったと確信。連絡を受けた慎二(渡部篤郎)も急いで自宅へ向かう。    　沙希が駿を連れ去ったはずだと絵里子も急いで自宅へ。しかし、はやる思いで自宅に戻った絵里子の目に飛び込んできたのは、ソファに寄り添う沙希と慎二の姿だった。  慎二は沙希から、思いもよらない沙希の過去を聞かされたのだった。絵里子は、沙希の話はすべて嘘で信じるなと慎二に訴えるが、慎二は動かない。八方塞がりの絵里子を見つめる沙希の冷ややかな目。激高した絵里子は沙希に思わずつかみかかる。その時、部屋に置いてあった大きな鏡が、沙希と絵里子の上に倒れてきて…。    　絵里子は誘拐事件だと警察に訴えるが、ただの痴情のもつれだと取り合ってももらえない。打ちのめされる絵里子に、慎二はアメリカでやり直そうと告げる。　翌日、病院に沙希を見舞った慎二は、沙希に決別の意を告げる。意外にもあっさりと受け入れる沙希。だが別れ際、つぶやいた沙希の言葉に不気味なものを感じる。  数日後、沙希は家を引き払い、忽然と姿を消すが…。</v>
      </c>
      <c r="O1526" s="2"/>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row>
    <row r="1527" ht="204.75" customHeight="1">
      <c r="A1527" s="1">
        <v>4471.0</v>
      </c>
      <c r="B1527" s="2" t="s">
        <v>4854</v>
      </c>
      <c r="C1527" s="2">
        <f>IFERROR(__xludf.DUMMYFUNCTION("split(B1527,""_"")"),1101.0)</f>
        <v>1101</v>
      </c>
      <c r="D1527" s="2" t="str">
        <f>IFERROR(__xludf.DUMMYFUNCTION("""COMPUTED_VALUE"""),"CX")</f>
        <v>CX</v>
      </c>
      <c r="E1527" s="2" t="str">
        <f>IFERROR(__xludf.DUMMYFUNCTION("""COMPUTED_VALUE"""),"火22")</f>
        <v>火22</v>
      </c>
      <c r="F1527" s="2" t="s">
        <v>4855</v>
      </c>
      <c r="G1527" s="2" t="s">
        <v>4883</v>
      </c>
      <c r="H1527" s="1">
        <v>10.0</v>
      </c>
      <c r="I1527" s="1" t="s">
        <v>37</v>
      </c>
      <c r="J1527" s="1" t="s">
        <v>82</v>
      </c>
      <c r="K1527" s="2" t="s">
        <v>4884</v>
      </c>
      <c r="L1527" s="2" t="s">
        <v>4885</v>
      </c>
      <c r="M1527" s="9" t="str">
        <f>IFERROR(__xludf.DUMMYFUNCTION("split(split(K1527,""仲間由紀恵　"",false),""rinjin/　"",false)"),"http://www.ktv.jp/")</f>
        <v>http://www.ktv.jp/</v>
      </c>
      <c r="N1527" s="2" t="str">
        <f>IFERROR(__xludf.DUMMYFUNCTION("""COMPUTED_VALUE"""),"沙希(仲間由紀恵)が本当の母親は自分だと駿(青山和也)に思い込ませていたことを知った絵里子(檀れい)は、怒りを抑えきれず、姿を消した沙希の居所を探し回る。    　しかし、雅彦(高知東生)も、沙希の行方はわからないと言う。    　以前のような朗らかさも消え、何かに取り憑かれたかのように沙希を探し続ける絵里子に、真由美(三浦理恵子)らは異様さを感じる。    　そんな中、ついに、心労で倒れてしまう絵里子。その代わりにと、理生(南圭介)が慎二(渡部篤郎)に、駿の面倒を見ることをかって出るが…。")</f>
        <v>沙希(仲間由紀恵)が本当の母親は自分だと駿(青山和也)に思い込ませていたことを知った絵里子(檀れい)は、怒りを抑えきれず、姿を消した沙希の居所を探し回る。    　しかし、雅彦(高知東生)も、沙希の行方はわからないと言う。    　以前のような朗らかさも消え、何かに取り憑かれたかのように沙希を探し続ける絵里子に、真由美(三浦理恵子)らは異様さを感じる。    　そんな中、ついに、心労で倒れてしまう絵里子。その代わりにと、理生(南圭介)が慎二(渡部篤郎)に、駿の面倒を見ることをかって出るが…。</v>
      </c>
      <c r="O1527" s="2"/>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row>
    <row r="1528" ht="204.75" customHeight="1">
      <c r="A1528" s="1">
        <v>4480.0</v>
      </c>
      <c r="B1528" s="2" t="s">
        <v>4886</v>
      </c>
      <c r="C1528" s="2">
        <f>IFERROR(__xludf.DUMMYFUNCTION("split(B1528,""_"")"),1101.0)</f>
        <v>1101</v>
      </c>
      <c r="D1528" s="2" t="str">
        <f>IFERROR(__xludf.DUMMYFUNCTION("""COMPUTED_VALUE"""),"CX")</f>
        <v>CX</v>
      </c>
      <c r="E1528" s="2" t="str">
        <f>IFERROR(__xludf.DUMMYFUNCTION("""COMPUTED_VALUE"""),"木22")</f>
        <v>木22</v>
      </c>
      <c r="F1528" s="2" t="s">
        <v>4887</v>
      </c>
      <c r="G1528" s="2" t="s">
        <v>4888</v>
      </c>
      <c r="H1528" s="1">
        <v>1.0</v>
      </c>
      <c r="I1528" s="1" t="s">
        <v>3</v>
      </c>
      <c r="J1528" s="1" t="s">
        <v>4</v>
      </c>
      <c r="K1528" s="4" t="s">
        <v>4889</v>
      </c>
      <c r="L1528" s="2" t="s">
        <v>4890</v>
      </c>
      <c r="M1528" s="2" t="str">
        <f>IFERROR(__xludf.DUMMYFUNCTION("split(split(K1528,""織田裕二　"",false),""公式LINE"",false)"),"日本国外務省の外交官、黒田康作(織田裕二)は、上司の安藤庸介(鹿賀丈史)から邦人保護の密命を受け、世界各地を転々としている。南米で発生した日本人の誘拐事件を解決した黒田が、次に向かったのはサンフランシスコ。目的はWTO農業交渉会議で現地を訪れる外務副大臣、観上祥子(草刈民代)の警護だ。  　サンフランシスコに入り、会議の警備状況を確認した黒田は情報屋のジョン(イ・ビョンホン)と会い、FBIの動きを聞く。その後、黒田は元外交官の霜村毅(香川照之)と再会。11年前、メキシコ領事館に勤務していた黒田と霜村には、"&amp;"浅からぬ因縁があった。別れ際、霜村は黒田に“すまない""と謎の言葉を残す。  　その頃、日本では佃署管内で、大学教授の殺害事件が発生していた。遺体の第一発見者は佃署の刑事、大垣利香子(柴咲コウ)。利香子は、遺体発見時の違和感を上司に訴えるのだが相手にしてもらえない。  　農業交渉会議では祥子が過激派に襲われそうになるのだが、黒田の機転で事なきを得る。なぜ過激派が簡単に潜入できたのか?内通者を疑う黒田に、日本人が飛び降り自殺をしたと知らせが。それは霜村だった。  　一方、佃署管内の殺人事件も、足跡や指紋、遺"&amp;"留品から容疑者が浮かび上がる。なんと、その容疑者は霜村。利香子は、霜村の遺体や証拠品の確認のため彼の娘、瑠衣(夏帆)とサンフランシスコへ。そんな2人を、黒田が待っていた。")</f>
        <v>日本国外務省の外交官、黒田康作(織田裕二)は、上司の安藤庸介(鹿賀丈史)から邦人保護の密命を受け、世界各地を転々としている。南米で発生した日本人の誘拐事件を解決した黒田が、次に向かったのはサンフランシスコ。目的はWTO農業交渉会議で現地を訪れる外務副大臣、観上祥子(草刈民代)の警護だ。  　サンフランシスコに入り、会議の警備状況を確認した黒田は情報屋のジョン(イ・ビョンホン)と会い、FBIの動きを聞く。その後、黒田は元外交官の霜村毅(香川照之)と再会。11年前、メキシコ領事館に勤務していた黒田と霜村には、浅からぬ因縁があった。別れ際、霜村は黒田に“すまない"と謎の言葉を残す。  　その頃、日本では佃署管内で、大学教授の殺害事件が発生していた。遺体の第一発見者は佃署の刑事、大垣利香子(柴咲コウ)。利香子は、遺体発見時の違和感を上司に訴えるのだが相手にしてもらえない。  　農業交渉会議では祥子が過激派に襲われそうになるのだが、黒田の機転で事なきを得る。なぜ過激派が簡単に潜入できたのか?内通者を疑う黒田に、日本人が飛び降り自殺をしたと知らせが。それは霜村だった。  　一方、佃署管内の殺人事件も、足跡や指紋、遺留品から容疑者が浮かび上がる。なんと、その容疑者は霜村。利香子は、霜村の遺体や証拠品の確認のため彼の娘、瑠衣(夏帆)とサンフランシスコへ。そんな2人を、黒田が待っていた。</v>
      </c>
      <c r="N1528" s="2"/>
      <c r="O1528" s="2"/>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row>
    <row r="1529" ht="204.75" customHeight="1">
      <c r="A1529" s="1">
        <v>4481.0</v>
      </c>
      <c r="B1529" s="2" t="s">
        <v>4886</v>
      </c>
      <c r="C1529" s="2">
        <f>IFERROR(__xludf.DUMMYFUNCTION("split(B1529,""_"")"),1101.0)</f>
        <v>1101</v>
      </c>
      <c r="D1529" s="2" t="str">
        <f>IFERROR(__xludf.DUMMYFUNCTION("""COMPUTED_VALUE"""),"CX")</f>
        <v>CX</v>
      </c>
      <c r="E1529" s="2" t="str">
        <f>IFERROR(__xludf.DUMMYFUNCTION("""COMPUTED_VALUE"""),"木22")</f>
        <v>木22</v>
      </c>
      <c r="F1529" s="2" t="s">
        <v>4887</v>
      </c>
      <c r="G1529" s="2" t="s">
        <v>4891</v>
      </c>
      <c r="H1529" s="1">
        <v>2.0</v>
      </c>
      <c r="I1529" s="1" t="s">
        <v>7</v>
      </c>
      <c r="J1529" s="1" t="s">
        <v>86</v>
      </c>
      <c r="K1529" s="2" t="s">
        <v>4892</v>
      </c>
      <c r="L1529" s="2" t="s">
        <v>4893</v>
      </c>
      <c r="M1529" s="2" t="str">
        <f>IFERROR(__xludf.DUMMYFUNCTION("split(split(K1529,""織田裕二　"",false),""公式LINE"",false)"),"http://www.fujitv.co.jp/KOSAKUKURODA/　黒田康作(織田裕二)は、11年ぶりに帰国。日本で殺人事件の容疑者となり、サンフランシスコで自殺した霜村毅(香川照之)の調査のためだ。迅速な帰国は黒田の邦人テロ対策室室長、安藤庸介(鹿賀丈史)の計らいだが、彼らの行動を間近に観察しようとする外務副大臣、観上祥子(草刈民代)の思惑も絡んでいた。  　黒田の調査には、霜村が殺害したとされる大学教授の遺体を最初に発見した刑事、大垣利香子(柴咲コウ)が同行する事になる。早速、入国管理局に向か"&amp;"った黒田は、利香子の刑事という肩書きを利用して最近入国したアジア人、日系人のリストを閲覧。すると、狙い通りにメキシコ国籍のロベルト・イシイという男を発見する。帰り際、黒田は霜村の娘、瑠衣(夏帆)の様子を見ていて欲しいと利香子に頼んだ。  　利香子は、黒田の指示通り瑠衣の通う高校へ。目的の瑠衣には会えなかったが、霜村に殺害されたとされる被害者の遺体を利香子の発見以前に見たと言う君島祐太朗(西島隆弘)の話を聞く機会を得る。　  　一方、黒田はサンフランシスコで霜村を検死したすぐ後に死亡した吉野公久(利重剛)の"&amp;"妹、恵美(阿南敦子)と会う。黒田は、霜村と吉野の関係を探ろうとするが、恵美からは何も得られなかった。  　黒田が外務省に戻ると、メキシコ大使館のエルナンド(ダリオ)が自ら起こした交通事故の処理を依頼しに来ていた。黒田は事故処理の見返りに、情報提供を持ちかける。")</f>
        <v>http://www.fujitv.co.jp/KOSAKUKURODA/　黒田康作(織田裕二)は、11年ぶりに帰国。日本で殺人事件の容疑者となり、サンフランシスコで自殺した霜村毅(香川照之)の調査のためだ。迅速な帰国は黒田の邦人テロ対策室室長、安藤庸介(鹿賀丈史)の計らいだが、彼らの行動を間近に観察しようとする外務副大臣、観上祥子(草刈民代)の思惑も絡んでいた。  　黒田の調査には、霜村が殺害したとされる大学教授の遺体を最初に発見した刑事、大垣利香子(柴咲コウ)が同行する事になる。早速、入国管理局に向かった黒田は、利香子の刑事という肩書きを利用して最近入国したアジア人、日系人のリストを閲覧。すると、狙い通りにメキシコ国籍のロベルト・イシイという男を発見する。帰り際、黒田は霜村の娘、瑠衣(夏帆)の様子を見ていて欲しいと利香子に頼んだ。  　利香子は、黒田の指示通り瑠衣の通う高校へ。目的の瑠衣には会えなかったが、霜村に殺害されたとされる被害者の遺体を利香子の発見以前に見たと言う君島祐太朗(西島隆弘)の話を聞く機会を得る。　  　一方、黒田はサンフランシスコで霜村を検死したすぐ後に死亡した吉野公久(利重剛)の妹、恵美(阿南敦子)と会う。黒田は、霜村と吉野の関係を探ろうとするが、恵美からは何も得られなかった。  　黒田が外務省に戻ると、メキシコ大使館のエルナンド(ダリオ)が自ら起こした交通事故の処理を依頼しに来ていた。黒田は事故処理の見返りに、情報提供を持ちかける。</v>
      </c>
      <c r="N1529" s="2"/>
      <c r="O1529" s="2"/>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row>
    <row r="1530" ht="204.75" customHeight="1">
      <c r="A1530" s="1">
        <v>4482.0</v>
      </c>
      <c r="B1530" s="2" t="s">
        <v>4886</v>
      </c>
      <c r="C1530" s="2">
        <f>IFERROR(__xludf.DUMMYFUNCTION("split(B1530,""_"")"),1101.0)</f>
        <v>1101</v>
      </c>
      <c r="D1530" s="2" t="str">
        <f>IFERROR(__xludf.DUMMYFUNCTION("""COMPUTED_VALUE"""),"CX")</f>
        <v>CX</v>
      </c>
      <c r="E1530" s="2" t="str">
        <f>IFERROR(__xludf.DUMMYFUNCTION("""COMPUTED_VALUE"""),"木22")</f>
        <v>木22</v>
      </c>
      <c r="F1530" s="2" t="s">
        <v>4887</v>
      </c>
      <c r="G1530" s="2" t="s">
        <v>4894</v>
      </c>
      <c r="H1530" s="1">
        <v>3.0</v>
      </c>
      <c r="I1530" s="1" t="s">
        <v>10</v>
      </c>
      <c r="J1530" s="1" t="s">
        <v>86</v>
      </c>
      <c r="K1530" s="2" t="s">
        <v>4895</v>
      </c>
      <c r="L1530" s="2" t="s">
        <v>4896</v>
      </c>
      <c r="M1530" s="2" t="str">
        <f>IFERROR(__xludf.DUMMYFUNCTION("split(split(K1530,""織田裕二　"",false),""公式LINE"",false)"),"http://www.fujitv.co.jp/KOSAKUKURODA/　黒田康作(織田裕二)は、メキシコ大使館で大垣利香子(柴咲コウ)が偶然にも本人を目撃した事から霜村毅(香川照之)生存の可能性を強める。黒田は、外務副大臣の特権を利用したメキシコ大使館への調査依頼を観上祥子(草刈民代)に頼むのだが、利香子の目撃だけでは動けないと断られてしまった。  　瑠衣(夏帆)の家を訪ねた利香子は、君島祐太朗(西島隆弘)の写った写真を見つける。祐太朗は瑠衣のひとつ先輩で、中学、高校と同じ学校に通っていた。そんな時、"&amp;"瑠衣の携帯メールが着信。差出人不明のメールは、霜村の事件をほのめかすなど不審なもの。アメリカから帰国後に届くようになったと言う瑠衣はメールだけではなく、街中で時々誰かの視線を感じると利香子に打ち明ける。  　瑠衣の家を出た利香子は、黒田に会いに行く。黒田は、ホテルの一室で近くにあるメキシコ大使館の人の出入りを監視していた。利香子は黒田に、霜村が生きていることを瑠衣に教えたいと頼む。了承した黒田は、生きている可能性があるとだけ伝えても良いと答えた。  　祐太朗は、柏田勉(八神蓮)に弱みを握られゆすられている"&amp;"。祐太朗の携帯に電話してきた柏田は、金銭とともに瑠衣を紹介するよう迫った。途方に暮れながら携帯を切る祐太朗。と、その瞬間ある男が心配しなくて良いと祐太朗に告げる…。  　一方、メキシコ大使館の張り込みを続ける黒田は…。")</f>
        <v>http://www.fujitv.co.jp/KOSAKUKURODA/　黒田康作(織田裕二)は、メキシコ大使館で大垣利香子(柴咲コウ)が偶然にも本人を目撃した事から霜村毅(香川照之)生存の可能性を強める。黒田は、外務副大臣の特権を利用したメキシコ大使館への調査依頼を観上祥子(草刈民代)に頼むのだが、利香子の目撃だけでは動けないと断られてしまった。  　瑠衣(夏帆)の家を訪ねた利香子は、君島祐太朗(西島隆弘)の写った写真を見つける。祐太朗は瑠衣のひとつ先輩で、中学、高校と同じ学校に通っていた。そんな時、瑠衣の携帯メールが着信。差出人不明のメールは、霜村の事件をほのめかすなど不審なもの。アメリカから帰国後に届くようになったと言う瑠衣はメールだけではなく、街中で時々誰かの視線を感じると利香子に打ち明ける。  　瑠衣の家を出た利香子は、黒田に会いに行く。黒田は、ホテルの一室で近くにあるメキシコ大使館の人の出入りを監視していた。利香子は黒田に、霜村が生きていることを瑠衣に教えたいと頼む。了承した黒田は、生きている可能性があるとだけ伝えても良いと答えた。  　祐太朗は、柏田勉(八神蓮)に弱みを握られゆすられている。祐太朗の携帯に電話してきた柏田は、金銭とともに瑠衣を紹介するよう迫った。途方に暮れながら携帯を切る祐太朗。と、その瞬間ある男が心配しなくて良いと祐太朗に告げる…。  　一方、メキシコ大使館の張り込みを続ける黒田は…。</v>
      </c>
      <c r="N1530" s="2"/>
      <c r="O1530" s="2"/>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row>
    <row r="1531" ht="204.75" customHeight="1">
      <c r="A1531" s="1">
        <v>4483.0</v>
      </c>
      <c r="B1531" s="2" t="s">
        <v>4886</v>
      </c>
      <c r="C1531" s="2">
        <f>IFERROR(__xludf.DUMMYFUNCTION("split(B1531,""_"")"),1101.0)</f>
        <v>1101</v>
      </c>
      <c r="D1531" s="2" t="str">
        <f>IFERROR(__xludf.DUMMYFUNCTION("""COMPUTED_VALUE"""),"CX")</f>
        <v>CX</v>
      </c>
      <c r="E1531" s="2" t="str">
        <f>IFERROR(__xludf.DUMMYFUNCTION("""COMPUTED_VALUE"""),"木22")</f>
        <v>木22</v>
      </c>
      <c r="F1531" s="2" t="s">
        <v>4887</v>
      </c>
      <c r="G1531" s="2" t="s">
        <v>4897</v>
      </c>
      <c r="H1531" s="1">
        <v>4.0</v>
      </c>
      <c r="I1531" s="1" t="s">
        <v>14</v>
      </c>
      <c r="J1531" s="1" t="s">
        <v>86</v>
      </c>
      <c r="K1531" s="2" t="s">
        <v>4898</v>
      </c>
      <c r="L1531" s="2" t="s">
        <v>4899</v>
      </c>
      <c r="M1531" s="2" t="str">
        <f>IFERROR(__xludf.DUMMYFUNCTION("split(split(K1531,""織田裕二　"",false),""公式LINE"",false)"),"http://www.fujitv.co.jp/KOSAKUKURODA/　黒田康作(織田裕二)が、霜村毅(香川照之)の行方を調査する中で、ついに新たな殺人事件が起きてしまう。霜村の娘、瑠衣(夏帆)の先輩、君島祐太朗(西島隆弘)を脅していた柏田勉(八神蓮)が何者かに殺されたのだ。殺害後の現場に居合わせた黒田と大垣利香子(柴咲コウ)は、それぞれの部所でますます問題視されてしまう。黒田は観上祥子(草刈民代)から来日するアリトリアの王女、サラ(ジェーニャ)のアテンドを命じられ、利香子は柏田事件やこれまでの捜査か"&amp;"ら外されてしまった。  　実は、黒田とサラは知り合いだった。かつて黒田が手がけたアリトリアでの邦人誘拐事件の被害者の中に、公にはされていないがサラも含まれていたのだ。当時から奔放な王女だったサラは、今も変化はない様子。来日式典はつつがなく行われたが、その後の予定をサラはキャンセル。そんな時、フリーライターの佐々木藍子(片瀬那奈)が黒田に霜村に関連する事件の取材を申し込んで来た。断る黒田に、藍子は何かをつかんでいる含みを残して去って行く。  　次の日、黒田はサラが勝手にホテルから抜け出したとの連絡を受ける。"&amp;"ホテルに急ぐ黒田の携帯に、メキシコ大使館に出入りする生花店のアルバイト店員から霜村を運んだと連絡が入った。身動きの取れない黒田は、利香子に霜村の追跡を依頼するのだが…。")</f>
        <v>http://www.fujitv.co.jp/KOSAKUKURODA/　黒田康作(織田裕二)が、霜村毅(香川照之)の行方を調査する中で、ついに新たな殺人事件が起きてしまう。霜村の娘、瑠衣(夏帆)の先輩、君島祐太朗(西島隆弘)を脅していた柏田勉(八神蓮)が何者かに殺されたのだ。殺害後の現場に居合わせた黒田と大垣利香子(柴咲コウ)は、それぞれの部所でますます問題視されてしまう。黒田は観上祥子(草刈民代)から来日するアリトリアの王女、サラ(ジェーニャ)のアテンドを命じられ、利香子は柏田事件やこれまでの捜査から外されてしまった。  　実は、黒田とサラは知り合いだった。かつて黒田が手がけたアリトリアでの邦人誘拐事件の被害者の中に、公にはされていないがサラも含まれていたのだ。当時から奔放な王女だったサラは、今も変化はない様子。来日式典はつつがなく行われたが、その後の予定をサラはキャンセル。そんな時、フリーライターの佐々木藍子(片瀬那奈)が黒田に霜村に関連する事件の取材を申し込んで来た。断る黒田に、藍子は何かをつかんでいる含みを残して去って行く。  　次の日、黒田はサラが勝手にホテルから抜け出したとの連絡を受ける。ホテルに急ぐ黒田の携帯に、メキシコ大使館に出入りする生花店のアルバイト店員から霜村を運んだと連絡が入った。身動きの取れない黒田は、利香子に霜村の追跡を依頼するのだが…。</v>
      </c>
      <c r="N1531" s="2"/>
      <c r="O1531" s="2"/>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row>
    <row r="1532" ht="204.75" customHeight="1">
      <c r="A1532" s="1">
        <v>4484.0</v>
      </c>
      <c r="B1532" s="2" t="s">
        <v>4886</v>
      </c>
      <c r="C1532" s="2">
        <f>IFERROR(__xludf.DUMMYFUNCTION("split(B1532,""_"")"),1101.0)</f>
        <v>1101</v>
      </c>
      <c r="D1532" s="2" t="str">
        <f>IFERROR(__xludf.DUMMYFUNCTION("""COMPUTED_VALUE"""),"CX")</f>
        <v>CX</v>
      </c>
      <c r="E1532" s="2" t="str">
        <f>IFERROR(__xludf.DUMMYFUNCTION("""COMPUTED_VALUE"""),"木22")</f>
        <v>木22</v>
      </c>
      <c r="F1532" s="2" t="s">
        <v>4887</v>
      </c>
      <c r="G1532" s="2" t="s">
        <v>4900</v>
      </c>
      <c r="H1532" s="1">
        <v>5.0</v>
      </c>
      <c r="I1532" s="1" t="s">
        <v>17</v>
      </c>
      <c r="J1532" s="1" t="s">
        <v>86</v>
      </c>
      <c r="K1532" s="2" t="s">
        <v>4901</v>
      </c>
      <c r="L1532" s="2" t="s">
        <v>4902</v>
      </c>
      <c r="M1532" s="2" t="str">
        <f>IFERROR(__xludf.DUMMYFUNCTION("split(split(K1532,""織田裕二　"",false),""公式LINE"",false)"),"http://www.fujitv.co.jp/KOSAKUKURODA/　黒田康作(織田裕二)は、アリトリア王女・サラ(ジェーニャ)の逃亡を助ける。黒田は日本とアリトリアが進める発電所建設計画のずさんさを知り、自国の自然を守るために計画覚書の調印を拒むサラの意を尊重したのだ。しかし、事態は警察を巻き込んでの失踪騒ぎになってしまう。ついに警察に追い詰められた黒田は、大垣利香子(柴咲コウ)に頼んで囲みを破った。その間に、アリトリアで新政権が発足。発電所の建設計画は中止になった。  　黒田はサラとともに観上祥"&amp;"子(草刈民代)の外務副大臣室を訪ねる。サラが迎えの侍従やSPと出て行くと、祥子は黒田の責任を問う。その時、祥子の秘書・悠木圭一(萩原聖人)に、王女の失踪と発電所計画の不備、建設を巡る日本の政治家とゼネコンとの癒着がマスコミにリークされたと連絡が。しかも、外務省が王女を守り、不正を食い止めたとされる。もはや、祥子は黒田の責任を追及する理由がなくなっていた。  　サラが帰国すると、黒田は祥子の下で働くことになる。一方、独自に大学教授殺害事件を追う利香子は、本庁の新居田一彦(田中哲司)から黒田をスパイするよう命"&amp;"令される。しかし、黒田は…。")</f>
        <v>http://www.fujitv.co.jp/KOSAKUKURODA/　黒田康作(織田裕二)は、アリトリア王女・サラ(ジェーニャ)の逃亡を助ける。黒田は日本とアリトリアが進める発電所建設計画のずさんさを知り、自国の自然を守るために計画覚書の調印を拒むサラの意を尊重したのだ。しかし、事態は警察を巻き込んでの失踪騒ぎになってしまう。ついに警察に追い詰められた黒田は、大垣利香子(柴咲コウ)に頼んで囲みを破った。その間に、アリトリアで新政権が発足。発電所の建設計画は中止になった。  　黒田はサラとともに観上祥子(草刈民代)の外務副大臣室を訪ねる。サラが迎えの侍従やSPと出て行くと、祥子は黒田の責任を問う。その時、祥子の秘書・悠木圭一(萩原聖人)に、王女の失踪と発電所計画の不備、建設を巡る日本の政治家とゼネコンとの癒着がマスコミにリークされたと連絡が。しかも、外務省が王女を守り、不正を食い止めたとされる。もはや、祥子は黒田の責任を追及する理由がなくなっていた。  　サラが帰国すると、黒田は祥子の下で働くことになる。一方、独自に大学教授殺害事件を追う利香子は、本庁の新居田一彦(田中哲司)から黒田をスパイするよう命令される。しかし、黒田は…。</v>
      </c>
      <c r="N1532" s="2"/>
      <c r="O1532" s="2"/>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row>
    <row r="1533" ht="204.75" customHeight="1">
      <c r="A1533" s="1">
        <v>4485.0</v>
      </c>
      <c r="B1533" s="2" t="s">
        <v>4886</v>
      </c>
      <c r="C1533" s="2">
        <f>IFERROR(__xludf.DUMMYFUNCTION("split(B1533,""_"")"),1101.0)</f>
        <v>1101</v>
      </c>
      <c r="D1533" s="2" t="str">
        <f>IFERROR(__xludf.DUMMYFUNCTION("""COMPUTED_VALUE"""),"CX")</f>
        <v>CX</v>
      </c>
      <c r="E1533" s="2" t="str">
        <f>IFERROR(__xludf.DUMMYFUNCTION("""COMPUTED_VALUE"""),"木22")</f>
        <v>木22</v>
      </c>
      <c r="F1533" s="2" t="s">
        <v>4887</v>
      </c>
      <c r="G1533" s="2" t="s">
        <v>4903</v>
      </c>
      <c r="H1533" s="1">
        <v>6.0</v>
      </c>
      <c r="I1533" s="1" t="s">
        <v>21</v>
      </c>
      <c r="J1533" s="1" t="s">
        <v>86</v>
      </c>
      <c r="K1533" s="2" t="s">
        <v>4904</v>
      </c>
      <c r="L1533" s="2" t="s">
        <v>4905</v>
      </c>
      <c r="M1533" s="2" t="str">
        <f>IFERROR(__xludf.DUMMYFUNCTION("split(split(K1533,""織田裕二　"",false),""公式LINE"",false)"),"http://www.fujitv.co.jp/KOSAKUKURODA/　黒田康作(織田裕二)は佐々木藍子(片瀬那奈)の話から、霜村毅(香川照之)が絡む一連の事件の裏に薬害訴訟が起因している可能性を知る。その真実を確かめるべく、黒田は当時、被告となっていたブライトン・ジャパン製薬の吉村進社長(大河内浩)を新製品発表会場に訪ねる。しかし、吉村はトイレで殺害され、黒田は霜村に銃を突きつけられて、この件からは手を引いて欲しいと脅された。霜村は11年前の立てこもり事件での妻・倫世(紺野まひる)の死は流れ弾ではな"&amp;"く、狙われたのだと言い残して逃走してしまった。  　霜村の言葉の真意を探り始める黒田には、もうひとつ気にかかるところがあった。吉村殺害現場の会場に、刑事たちがいち早く駆けつけた事だ。警察への情報漏れを懸念する黒田は、大垣利香子(柴咲コウ)との連絡を絶つ。  　安藤庸介(鹿賀丈史)に会った黒田は、機密文書扱いになっている立てこもり事件の資料の中に倫世の検死報告書を見つける。そこには、意外な事実が隠されていた。  　霜村が吉村殺害で使った盗難車が発見された。利香子は、車の持ち主が車上荒らしの前科があることに気"&amp;"づく。その男を訪ねた利香子は、そこで電話番号らしきものが書かれたメモを拾った。書かれた番号にかけてみると、驚くべき人物が応答する。利香子は、すぐに黒田に連絡するのだが…。")</f>
        <v>http://www.fujitv.co.jp/KOSAKUKURODA/　黒田康作(織田裕二)は佐々木藍子(片瀬那奈)の話から、霜村毅(香川照之)が絡む一連の事件の裏に薬害訴訟が起因している可能性を知る。その真実を確かめるべく、黒田は当時、被告となっていたブライトン・ジャパン製薬の吉村進社長(大河内浩)を新製品発表会場に訪ねる。しかし、吉村はトイレで殺害され、黒田は霜村に銃を突きつけられて、この件からは手を引いて欲しいと脅された。霜村は11年前の立てこもり事件での妻・倫世(紺野まひる)の死は流れ弾ではなく、狙われたのだと言い残して逃走してしまった。  　霜村の言葉の真意を探り始める黒田には、もうひとつ気にかかるところがあった。吉村殺害現場の会場に、刑事たちがいち早く駆けつけた事だ。警察への情報漏れを懸念する黒田は、大垣利香子(柴咲コウ)との連絡を絶つ。  　安藤庸介(鹿賀丈史)に会った黒田は、機密文書扱いになっている立てこもり事件の資料の中に倫世の検死報告書を見つける。そこには、意外な事実が隠されていた。  　霜村が吉村殺害で使った盗難車が発見された。利香子は、車の持ち主が車上荒らしの前科があることに気づく。その男を訪ねた利香子は、そこで電話番号らしきものが書かれたメモを拾った。書かれた番号にかけてみると、驚くべき人物が応答する。利香子は、すぐに黒田に連絡するのだが…。</v>
      </c>
      <c r="N1533" s="2"/>
      <c r="O1533" s="2"/>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row>
    <row r="1534" ht="204.75" customHeight="1">
      <c r="A1534" s="1">
        <v>4486.0</v>
      </c>
      <c r="B1534" s="2" t="s">
        <v>4886</v>
      </c>
      <c r="C1534" s="2">
        <f>IFERROR(__xludf.DUMMYFUNCTION("split(B1534,""_"")"),1101.0)</f>
        <v>1101</v>
      </c>
      <c r="D1534" s="2" t="str">
        <f>IFERROR(__xludf.DUMMYFUNCTION("""COMPUTED_VALUE"""),"CX")</f>
        <v>CX</v>
      </c>
      <c r="E1534" s="2" t="str">
        <f>IFERROR(__xludf.DUMMYFUNCTION("""COMPUTED_VALUE"""),"木22")</f>
        <v>木22</v>
      </c>
      <c r="F1534" s="2" t="s">
        <v>4887</v>
      </c>
      <c r="G1534" s="2" t="s">
        <v>4906</v>
      </c>
      <c r="H1534" s="1">
        <v>7.0</v>
      </c>
      <c r="I1534" s="1" t="s">
        <v>25</v>
      </c>
      <c r="J1534" s="1" t="s">
        <v>86</v>
      </c>
      <c r="K1534" s="2" t="s">
        <v>4907</v>
      </c>
      <c r="L1534" s="2" t="s">
        <v>4908</v>
      </c>
      <c r="M1534" s="2" t="str">
        <f>IFERROR(__xludf.DUMMYFUNCTION("split(split(K1534,""織田裕二　"",false),""公式LINE"",false)"),"http://www.fujitv.co.jp/KOSAKUKURODA/　黒田康作(織田裕二)が調べる霜村毅(香川照之)が関与する一連の殺人事件の裏には、アメリカに本社をもつブライトン製薬がかつて起こしたアトロンという薬の訴訟問題が絡んでいた。事件の真相に近づく大垣利香子(柴咲コウ)を襲った山路貴繁(岩松了)の息子も、アトロンの副作用で亡くなっていた。  　黒田は山路のほかにも霜村の共犯者がいると、利香子を伴って佐々木藍子(片瀬那奈)のマンションへ。藍子もアトロンで妹を亡くしていたのだ。マンションには、"&amp;"すでに新居田一彦管理官(田中哲司)たちが家宅捜査に来ていた。協力を求める新居田に、黒田は訴訟問題とは無関係に思える柏田勉(八神蓮)殺害は、何らかの口封じだろうと話す。だが、黒田も新居田もお互いが持つカードを全て話すような事はしなかった。　マンションを出ると、黒田は利香子に君島祐太朗(西島隆弘)の身辺調査と、山路と関係が深い前科者の洗い出しを頼む。黒田は、霜村が次の行動を起こすと睨んでいた。  　黒田は外務省にも網を張っていた。さらには観上祥子外務副大臣(草刈民代)にもあるお願いをするのだった・・・。")</f>
        <v>http://www.fujitv.co.jp/KOSAKUKURODA/　黒田康作(織田裕二)が調べる霜村毅(香川照之)が関与する一連の殺人事件の裏には、アメリカに本社をもつブライトン製薬がかつて起こしたアトロンという薬の訴訟問題が絡んでいた。事件の真相に近づく大垣利香子(柴咲コウ)を襲った山路貴繁(岩松了)の息子も、アトロンの副作用で亡くなっていた。  　黒田は山路のほかにも霜村の共犯者がいると、利香子を伴って佐々木藍子(片瀬那奈)のマンションへ。藍子もアトロンで妹を亡くしていたのだ。マンションには、すでに新居田一彦管理官(田中哲司)たちが家宅捜査に来ていた。協力を求める新居田に、黒田は訴訟問題とは無関係に思える柏田勉(八神蓮)殺害は、何らかの口封じだろうと話す。だが、黒田も新居田もお互いが持つカードを全て話すような事はしなかった。　マンションを出ると、黒田は利香子に君島祐太朗(西島隆弘)の身辺調査と、山路と関係が深い前科者の洗い出しを頼む。黒田は、霜村が次の行動を起こすと睨んでいた。  　黒田は外務省にも網を張っていた。さらには観上祥子外務副大臣(草刈民代)にもあるお願いをするのだった・・・。</v>
      </c>
      <c r="N1534" s="2"/>
      <c r="O1534" s="2"/>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row>
    <row r="1535" ht="204.75" customHeight="1">
      <c r="A1535" s="1">
        <v>4487.0</v>
      </c>
      <c r="B1535" s="2" t="s">
        <v>4886</v>
      </c>
      <c r="C1535" s="2">
        <f>IFERROR(__xludf.DUMMYFUNCTION("split(B1535,""_"")"),1101.0)</f>
        <v>1101</v>
      </c>
      <c r="D1535" s="2" t="str">
        <f>IFERROR(__xludf.DUMMYFUNCTION("""COMPUTED_VALUE"""),"CX")</f>
        <v>CX</v>
      </c>
      <c r="E1535" s="2" t="str">
        <f>IFERROR(__xludf.DUMMYFUNCTION("""COMPUTED_VALUE"""),"木22")</f>
        <v>木22</v>
      </c>
      <c r="F1535" s="2" t="s">
        <v>4887</v>
      </c>
      <c r="G1535" s="2" t="s">
        <v>4909</v>
      </c>
      <c r="H1535" s="1">
        <v>8.0</v>
      </c>
      <c r="I1535" s="1" t="s">
        <v>29</v>
      </c>
      <c r="J1535" s="1" t="s">
        <v>86</v>
      </c>
      <c r="K1535" s="2" t="s">
        <v>4910</v>
      </c>
      <c r="L1535" s="2" t="s">
        <v>4911</v>
      </c>
      <c r="M1535" s="2" t="str">
        <f>IFERROR(__xludf.DUMMYFUNCTION("split(split(K1535,""織田裕二　"",false),""公式LINE"",false)"),"http://www.fujitv.co.jp/KOSAKUKURODA/　黒田康作(織田裕二)と大垣利香子(柴咲コウ)は、霜村毅(香川照之)の潜伏先を突き止めるのだが、瑠衣(夏帆)の妨害で取り逃がしてしまう。その後、瑠衣も君島祐太朗(西島隆弘)とともに姿を消してしまった。  　黒田は、斉藤修助外務大臣(近藤正臣)に呼び出されて、霜村に関する事件の調査を中止するよう命令される。しかし、黒田は西園寺守(田中圭)が独自に探し出した霜村のレポートを受け取り、再び調査に乗り出す。そんな黒田に新居田一彦管理官(田中"&amp;"哲司)が接触。公安に指揮権を奪われた新居田は、黒田に秘密裏の合同捜査を持ちかけてきたのだ。新居田は逮捕された山路貴繁(岩松了)の自白だと、霜村の次の狙いがブライトン・ジャパンの新経営陣発表の時だと話す。黒田は、それまでに瑠衣と祐太朗に会いたいと利香子に連絡する。利香子は2人の潜伏先を追っていた。　経営陣発表日の明け方、黒田はジョン(イ・ビョンホン)に連絡して新たな調査を依頼。その頃、利香子は教会のシスターから瑠衣たちの目撃情報を得ていた。")</f>
        <v>http://www.fujitv.co.jp/KOSAKUKURODA/　黒田康作(織田裕二)と大垣利香子(柴咲コウ)は、霜村毅(香川照之)の潜伏先を突き止めるのだが、瑠衣(夏帆)の妨害で取り逃がしてしまう。その後、瑠衣も君島祐太朗(西島隆弘)とともに姿を消してしまった。  　黒田は、斉藤修助外務大臣(近藤正臣)に呼び出されて、霜村に関する事件の調査を中止するよう命令される。しかし、黒田は西園寺守(田中圭)が独自に探し出した霜村のレポートを受け取り、再び調査に乗り出す。そんな黒田に新居田一彦管理官(田中哲司)が接触。公安に指揮権を奪われた新居田は、黒田に秘密裏の合同捜査を持ちかけてきたのだ。新居田は逮捕された山路貴繁(岩松了)の自白だと、霜村の次の狙いがブライトン・ジャパンの新経営陣発表の時だと話す。黒田は、それまでに瑠衣と祐太朗に会いたいと利香子に連絡する。利香子は2人の潜伏先を追っていた。　経営陣発表日の明け方、黒田はジョン(イ・ビョンホン)に連絡して新たな調査を依頼。その頃、利香子は教会のシスターから瑠衣たちの目撃情報を得ていた。</v>
      </c>
      <c r="N1535" s="2"/>
      <c r="O1535" s="2"/>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row>
    <row r="1536" ht="204.75" customHeight="1">
      <c r="A1536" s="1">
        <v>4488.0</v>
      </c>
      <c r="B1536" s="2" t="s">
        <v>4886</v>
      </c>
      <c r="C1536" s="2">
        <f>IFERROR(__xludf.DUMMYFUNCTION("split(B1536,""_"")"),1101.0)</f>
        <v>1101</v>
      </c>
      <c r="D1536" s="2" t="str">
        <f>IFERROR(__xludf.DUMMYFUNCTION("""COMPUTED_VALUE"""),"CX")</f>
        <v>CX</v>
      </c>
      <c r="E1536" s="2" t="str">
        <f>IFERROR(__xludf.DUMMYFUNCTION("""COMPUTED_VALUE"""),"木22")</f>
        <v>木22</v>
      </c>
      <c r="F1536" s="2" t="s">
        <v>4887</v>
      </c>
      <c r="G1536" s="2" t="s">
        <v>4912</v>
      </c>
      <c r="H1536" s="1">
        <v>9.0</v>
      </c>
      <c r="I1536" s="1" t="s">
        <v>33</v>
      </c>
      <c r="J1536" s="1" t="s">
        <v>86</v>
      </c>
      <c r="K1536" s="2" t="s">
        <v>4913</v>
      </c>
      <c r="L1536" s="2" t="s">
        <v>4914</v>
      </c>
      <c r="M1536" s="2" t="str">
        <f>IFERROR(__xludf.DUMMYFUNCTION("split(split(K1536,""織田裕二　"",false),""公式LINE"",false)"),"http://www.fujitv.co.jp/KOSAKUKURODA/　黒田康作(織田裕二)は、斉藤修助外務大臣(近藤正臣)に外交会議会場控え室で、矢田部誠一郎元内閣総理大臣(平泉成)を人質にした霜村毅(香川照之)の説得をさせて欲しいと頼む。会場は観上祥子外務副大臣(草刈民代)に銃を突きつけた悠木圭一(萩原聖人)と佐々木藍子(片瀬那奈)が占拠していた。一方、大垣利香子(柴咲コウ)と瑠衣(夏帆)は、病院に運ばれた君島祐太朗(西島隆弘)に付き添っていた。瑠衣は、自分のせいで祐太朗の病状を悪化させてしまった"&amp;"と責任を感じている。  　霜村は危険性が明白だったアトロン輸入の認可をした矢田部の責任を追及し、公にするよう迫っていた。さらに、霜村は11年前の日本大使館立てこもり事件での妻・倫世(紺野まひる)の死因を隠蔽したのも矢田部ではなかったのかと追及する。だが、矢田部は輸入認可への関与は認めたものの、倫世については知らないと言い張った。霜村が矢田部を会場に連れて行こうとした時、ようやく斉藤から許可を得た黒田は・・・。")</f>
        <v>http://www.fujitv.co.jp/KOSAKUKURODA/　黒田康作(織田裕二)は、斉藤修助外務大臣(近藤正臣)に外交会議会場控え室で、矢田部誠一郎元内閣総理大臣(平泉成)を人質にした霜村毅(香川照之)の説得をさせて欲しいと頼む。会場は観上祥子外務副大臣(草刈民代)に銃を突きつけた悠木圭一(萩原聖人)と佐々木藍子(片瀬那奈)が占拠していた。一方、大垣利香子(柴咲コウ)と瑠衣(夏帆)は、病院に運ばれた君島祐太朗(西島隆弘)に付き添っていた。瑠衣は、自分のせいで祐太朗の病状を悪化させてしまったと責任を感じている。  　霜村は危険性が明白だったアトロン輸入の認可をした矢田部の責任を追及し、公にするよう迫っていた。さらに、霜村は11年前の日本大使館立てこもり事件での妻・倫世(紺野まひる)の死因を隠蔽したのも矢田部ではなかったのかと追及する。だが、矢田部は輸入認可への関与は認めたものの、倫世については知らないと言い張った。霜村が矢田部を会場に連れて行こうとした時、ようやく斉藤から許可を得た黒田は・・・。</v>
      </c>
      <c r="N1536" s="2"/>
      <c r="O1536" s="2"/>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row>
    <row r="1537" ht="204.75" customHeight="1">
      <c r="A1537" s="1">
        <v>4489.0</v>
      </c>
      <c r="B1537" s="2" t="s">
        <v>4886</v>
      </c>
      <c r="C1537" s="2">
        <f>IFERROR(__xludf.DUMMYFUNCTION("split(B1537,""_"")"),1101.0)</f>
        <v>1101</v>
      </c>
      <c r="D1537" s="2" t="str">
        <f>IFERROR(__xludf.DUMMYFUNCTION("""COMPUTED_VALUE"""),"CX")</f>
        <v>CX</v>
      </c>
      <c r="E1537" s="2" t="str">
        <f>IFERROR(__xludf.DUMMYFUNCTION("""COMPUTED_VALUE"""),"木22")</f>
        <v>木22</v>
      </c>
      <c r="F1537" s="2" t="s">
        <v>4887</v>
      </c>
      <c r="G1537" s="2" t="s">
        <v>4915</v>
      </c>
      <c r="H1537" s="1">
        <v>10.0</v>
      </c>
      <c r="I1537" s="1" t="s">
        <v>37</v>
      </c>
      <c r="J1537" s="1" t="s">
        <v>86</v>
      </c>
      <c r="K1537" s="2" t="s">
        <v>4916</v>
      </c>
      <c r="L1537" s="2" t="s">
        <v>4917</v>
      </c>
      <c r="M1537" s="2" t="str">
        <f>IFERROR(__xludf.DUMMYFUNCTION("split(split(K1537,""織田裕二　"",false),""公式LINE"",false)"),"http://www.fujitv.co.jp/KOSAKUKURODA/　黒田康作(織田裕二)の調査は、霜村毅(香川照之)と悠木圭一(萩原聖人)の死、佐々木藍子(片瀬那奈)の逮捕をもって決着しようとしていた。安藤庸介(鹿賀丈史)も黒田を邦人テロ対策室本来の業務に戻そうとする。だが、黒田はまだ納得することが出来ずにいた。黒田は、アトロン訴訟の裏で動いていた黒幕の正体を掴んだのだ。そんな黒田に鴨下祐司(大倉孝二)から連絡が入る。鴨下は黒田に11年前の大使館立てこもり事件の犠牲となった霜村の妻、倫世(紺野まひ"&amp;"る)の検死調書を極秘扱いにしたのは自分だと打ち明ける。そして、鴨下は西園寺守(田中圭)とともに黒田の調査への協力を申し出た。黒田は、大垣利香子(柴咲コウ)に、近く行われる国連子供フォーラムの警備体制を調べるよう依頼。さらに、ジョン(イ・ビョンホン)との情報交換から、大使館立てこもり事件の真実を知る事となる。黒田は、全てを公にするため観上祥子(草刈民代)にも協力を頼んで、ある行動を起こす事を決意した。")</f>
        <v>http://www.fujitv.co.jp/KOSAKUKURODA/　黒田康作(織田裕二)の調査は、霜村毅(香川照之)と悠木圭一(萩原聖人)の死、佐々木藍子(片瀬那奈)の逮捕をもって決着しようとしていた。安藤庸介(鹿賀丈史)も黒田を邦人テロ対策室本来の業務に戻そうとする。だが、黒田はまだ納得することが出来ずにいた。黒田は、アトロン訴訟の裏で動いていた黒幕の正体を掴んだのだ。そんな黒田に鴨下祐司(大倉孝二)から連絡が入る。鴨下は黒田に11年前の大使館立てこもり事件の犠牲となった霜村の妻、倫世(紺野まひる)の検死調書を極秘扱いにしたのは自分だと打ち明ける。そして、鴨下は西園寺守(田中圭)とともに黒田の調査への協力を申し出た。黒田は、大垣利香子(柴咲コウ)に、近く行われる国連子供フォーラムの警備体制を調べるよう依頼。さらに、ジョン(イ・ビョンホン)との情報交換から、大使館立てこもり事件の真実を知る事となる。黒田は、全てを公にするため観上祥子(草刈民代)にも協力を頼んで、ある行動を起こす事を決意した。</v>
      </c>
      <c r="N1537" s="2"/>
      <c r="O1537" s="2"/>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row>
    <row r="1538" ht="204.75" customHeight="1">
      <c r="A1538" s="1">
        <v>4549.0</v>
      </c>
      <c r="B1538" s="2" t="s">
        <v>4918</v>
      </c>
      <c r="C1538" s="2">
        <f>IFERROR(__xludf.DUMMYFUNCTION("split(B1538,""_"")"),1010.0)</f>
        <v>1010</v>
      </c>
      <c r="D1538" s="2" t="str">
        <f>IFERROR(__xludf.DUMMYFUNCTION("""COMPUTED_VALUE"""),"CX")</f>
        <v>CX</v>
      </c>
      <c r="E1538" s="2" t="str">
        <f>IFERROR(__xludf.DUMMYFUNCTION("""COMPUTED_VALUE"""),"月21")</f>
        <v>月21</v>
      </c>
      <c r="F1538" s="2" t="s">
        <v>4919</v>
      </c>
      <c r="G1538" s="2" t="s">
        <v>4920</v>
      </c>
      <c r="H1538" s="1">
        <v>1.0</v>
      </c>
      <c r="I1538" s="1" t="s">
        <v>3</v>
      </c>
      <c r="J1538" s="1" t="s">
        <v>4</v>
      </c>
      <c r="K1538" s="4" t="s">
        <v>4921</v>
      </c>
      <c r="L1538" s="2" t="s">
        <v>4922</v>
      </c>
      <c r="M1538" s="2" t="str">
        <f>IFERROR(__xludf.DUMMYFUNCTION("split(split(K1538,""竹野内豊　"",false),""公式LINE"",false)"),"新江ノ島水族館に勤める岡田健吾(竹野内豊)は、婚約者・相澤美奈子(板谷由夏)との結婚を控え、幸せな気分でいた。  　同じ頃、槇原梨沙(上戸彩)も、恋人・藤代誠(大東俊介)から両親に会ってほしいと言われ、笑顔になる。と、そんなとき、梨沙の携帯電話が鳴った。誠には秘密にしているが、実は、梨沙はイメクラで働いており、電話は出勤の催促だったのだ。  　翌朝、仕事を終えた梨沙が戻ると、兄・修一(稲垣吾郎)が突然部屋に!!修一は、借金を梨沙に押し付けたまま姿を消していたが、返済のめどが立った、と訪ねてきたのだ。しかし"&amp;"、それを信じない梨沙が金を見せろと迫ると、修一は逆に梨沙の財布を奪おうとする。もみ合ううち、財布からイメクラの名刺が落ちてしまい、ショックを受けた梨沙は、部屋を飛び出す。  　がむしゃらに走った梨沙は、気づくと新江ノ島水族館のクラゲの水槽の前にいた。ふわふわと漂うクラゲを見ているうち、やがて閉館時間になってしまう。そんな梨沙に健吾が声をかける。それが2人の出会いだった。  　そんな折、健吾の妹・マリア(北乃きい)は、親友とおしゃべりに興じていると、突然、意識を失い倒れてしまう。病院で目を覚ましたマリアに、"&amp;"担当医師・神谷凌(松田翔太)はやさしい笑顔を見せる。  　その後、病院にやってきた健吾と母・和子(原田美枝子)に神谷は、マリアの余命は1年ほどだろうと告げた。突然の宣告に健吾は…。")</f>
        <v>新江ノ島水族館に勤める岡田健吾(竹野内豊)は、婚約者・相澤美奈子(板谷由夏)との結婚を控え、幸せな気分でいた。  　同じ頃、槇原梨沙(上戸彩)も、恋人・藤代誠(大東俊介)から両親に会ってほしいと言われ、笑顔になる。と、そんなとき、梨沙の携帯電話が鳴った。誠には秘密にしているが、実は、梨沙はイメクラで働いており、電話は出勤の催促だったのだ。  　翌朝、仕事を終えた梨沙が戻ると、兄・修一(稲垣吾郎)が突然部屋に!!修一は、借金を梨沙に押し付けたまま姿を消していたが、返済のめどが立った、と訪ねてきたのだ。しかし、それを信じない梨沙が金を見せろと迫ると、修一は逆に梨沙の財布を奪おうとする。もみ合ううち、財布からイメクラの名刺が落ちてしまい、ショックを受けた梨沙は、部屋を飛び出す。  　がむしゃらに走った梨沙は、気づくと新江ノ島水族館のクラゲの水槽の前にいた。ふわふわと漂うクラゲを見ているうち、やがて閉館時間になってしまう。そんな梨沙に健吾が声をかける。それが2人の出会いだった。  　そんな折、健吾の妹・マリア(北乃きい)は、親友とおしゃべりに興じていると、突然、意識を失い倒れてしまう。病院で目を覚ましたマリアに、担当医師・神谷凌(松田翔太)はやさしい笑顔を見せる。  　その後、病院にやってきた健吾と母・和子(原田美枝子)に神谷は、マリアの余命は1年ほどだろうと告げた。突然の宣告に健吾は…。</v>
      </c>
      <c r="N1538" s="2"/>
      <c r="O1538" s="2"/>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row>
    <row r="1539" ht="204.75" customHeight="1">
      <c r="A1539" s="1">
        <v>4550.0</v>
      </c>
      <c r="B1539" s="2" t="s">
        <v>4918</v>
      </c>
      <c r="C1539" s="2">
        <f>IFERROR(__xludf.DUMMYFUNCTION("split(B1539,""_"")"),1010.0)</f>
        <v>1010</v>
      </c>
      <c r="D1539" s="2" t="str">
        <f>IFERROR(__xludf.DUMMYFUNCTION("""COMPUTED_VALUE"""),"CX")</f>
        <v>CX</v>
      </c>
      <c r="E1539" s="2" t="str">
        <f>IFERROR(__xludf.DUMMYFUNCTION("""COMPUTED_VALUE"""),"月21")</f>
        <v>月21</v>
      </c>
      <c r="F1539" s="2" t="s">
        <v>4919</v>
      </c>
      <c r="G1539" s="2" t="s">
        <v>4923</v>
      </c>
      <c r="H1539" s="1">
        <v>2.0</v>
      </c>
      <c r="I1539" s="1" t="s">
        <v>7</v>
      </c>
      <c r="J1539" s="1" t="s">
        <v>11</v>
      </c>
      <c r="K1539" s="2" t="s">
        <v>4924</v>
      </c>
      <c r="L1539" s="2" t="s">
        <v>4925</v>
      </c>
      <c r="M1539" s="2" t="str">
        <f>IFERROR(__xludf.DUMMYFUNCTION("split(split(K1539,""竹野内豊　"",false),""公式LINE"",false)"),"岡田健吾(竹野内豊)は、電車に飛び込む寸前の槇原梨沙(上戸彩)を救出すると、借金を払ってやるから結婚してくれ、とプロポーズした。妹を助けるために結婚し肝臓を分けてほしい、と言うのだ。梨沙はとまどうが、やがて、借金を肩代わりしてもらう代わりに承諾した。  　健吾の母・和子(原田美枝子)は、健吾が梨沙と結婚すると聞き驚くが、入院中のマリア(北乃きい)を助けるにはほかに手段はないという健吾に、返す言葉がない。健吾は梨沙に、梨沙がドナーに適合すると判れば、肝臓の移植手術を受けることになると告げた。梨沙は、手術が成"&amp;"功したら、100万円を上乗せすることを健吾に約束させた。  　翌日、イメクラにいた梨沙は、指名を受け個室に入っていく。と、そこにいたのは、兄・修一(稲垣吾郎)だった。梨沙と連絡が取れないため、店にやってきたのだ。梨沙は、店長を呼ぶと修一を店外へ。  　マリアを見舞った健吾は、マリアに沢村涼太(桐山照史)という友人ができたと聞く。彼氏か、と尋ねると、ムキになる妹を微笑ましく思う。その後、健吾は自宅へ戻るが、梨沙は帰宅していなかった。和子は、梨沙の気が変わったのでは、と不安になる。梨沙を信じる健吾だが、梨沙の"&amp;"携帯電話は、不通のままだった。  　そんな折、健吾は、同僚・川本順二(杉本哲太)に呼び出され、川本の自宅を尋ねる。と、そこに、健吾の元婚約者・相澤美奈子(板谷由夏)がいて…。")</f>
        <v>岡田健吾(竹野内豊)は、電車に飛び込む寸前の槇原梨沙(上戸彩)を救出すると、借金を払ってやるから結婚してくれ、とプロポーズした。妹を助けるために結婚し肝臓を分けてほしい、と言うのだ。梨沙はとまどうが、やがて、借金を肩代わりしてもらう代わりに承諾した。  　健吾の母・和子(原田美枝子)は、健吾が梨沙と結婚すると聞き驚くが、入院中のマリア(北乃きい)を助けるにはほかに手段はないという健吾に、返す言葉がない。健吾は梨沙に、梨沙がドナーに適合すると判れば、肝臓の移植手術を受けることになると告げた。梨沙は、手術が成功したら、100万円を上乗せすることを健吾に約束させた。  　翌日、イメクラにいた梨沙は、指名を受け個室に入っていく。と、そこにいたのは、兄・修一(稲垣吾郎)だった。梨沙と連絡が取れないため、店にやってきたのだ。梨沙は、店長を呼ぶと修一を店外へ。  　マリアを見舞った健吾は、マリアに沢村涼太(桐山照史)という友人ができたと聞く。彼氏か、と尋ねると、ムキになる妹を微笑ましく思う。その後、健吾は自宅へ戻るが、梨沙は帰宅していなかった。和子は、梨沙の気が変わったのでは、と不安になる。梨沙を信じる健吾だが、梨沙の携帯電話は、不通のままだった。  　そんな折、健吾は、同僚・川本順二(杉本哲太)に呼び出され、川本の自宅を尋ねる。と、そこに、健吾の元婚約者・相澤美奈子(板谷由夏)がいて…。</v>
      </c>
      <c r="N1539" s="2"/>
      <c r="O1539" s="2"/>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row>
    <row r="1540" ht="204.75" customHeight="1">
      <c r="A1540" s="1">
        <v>4551.0</v>
      </c>
      <c r="B1540" s="2" t="s">
        <v>4918</v>
      </c>
      <c r="C1540" s="2">
        <f>IFERROR(__xludf.DUMMYFUNCTION("split(B1540,""_"")"),1010.0)</f>
        <v>1010</v>
      </c>
      <c r="D1540" s="2" t="str">
        <f>IFERROR(__xludf.DUMMYFUNCTION("""COMPUTED_VALUE"""),"CX")</f>
        <v>CX</v>
      </c>
      <c r="E1540" s="2" t="str">
        <f>IFERROR(__xludf.DUMMYFUNCTION("""COMPUTED_VALUE"""),"月21")</f>
        <v>月21</v>
      </c>
      <c r="F1540" s="2" t="s">
        <v>4919</v>
      </c>
      <c r="G1540" s="2" t="s">
        <v>4926</v>
      </c>
      <c r="H1540" s="1">
        <v>3.0</v>
      </c>
      <c r="I1540" s="1" t="s">
        <v>10</v>
      </c>
      <c r="J1540" s="1" t="s">
        <v>11</v>
      </c>
      <c r="K1540" s="2" t="s">
        <v>4927</v>
      </c>
      <c r="L1540" s="2" t="s">
        <v>4928</v>
      </c>
      <c r="M1540" s="2" t="str">
        <f>IFERROR(__xludf.DUMMYFUNCTION("split(split(K1540,""竹野内豊　"",false),""公式LINE"",false)"),"岡田健吾(竹野内豊)と槇原梨沙(上戸彩)は、役所に婚姻届を提出した。これでふたりは夫婦となり、梨沙は結婚の条件だった金を健吾から受け取った。そして、母の和子(原田美枝子)に結婚を報告。移植手術までの間、梨沙は岡田家に住むことになった。  　同じ頃、梨沙のアパートで兄の修一(稲垣吾郎)は、部屋の様子から、梨沙が部屋を出ていることを知る。  　一方、健吾の妹のマリア(北乃きい)は、健吾と相澤美奈子(板谷由夏)の結婚を心待ちにしていた。神谷凌(松田翔太)は、はしゃぐマリアを笑顔で見守る。そんな神谷に、健吾からド"&amp;"ナー候補が見つかった、と連絡が入った。  　梨沙と打ち解けつつある和子は、健吾と梨沙を連れ出すと、デートスポットでふたりの写真を撮ったり、結婚指輪を購入させたりした。今後、移植の前に、医師らからドナーを志願した理由、結婚のことなどを聞かれるため、夫婦らしく見えるように、という配慮からだ。その後、健吾と梨沙が買い物をしていると、川本順二(杉本哲太)と妻の千鶴(ちすん)が声をかけてきた。健吾と梨沙の関係を怪しむふたりに、梨沙は、自分は健吾の家に居候している「いとこ」だと言い、ふたりもそれを信じる。  　そんな"&amp;"折、マリアは病院の廊下で、沢村涼太(桐山照史)と出くわす。と、そこに涼太に手を振る女性がいた。姉の琴美(早織)だった。  　そして、ついに移植前の面談の日がやってきた。")</f>
        <v>岡田健吾(竹野内豊)と槇原梨沙(上戸彩)は、役所に婚姻届を提出した。これでふたりは夫婦となり、梨沙は結婚の条件だった金を健吾から受け取った。そして、母の和子(原田美枝子)に結婚を報告。移植手術までの間、梨沙は岡田家に住むことになった。  　同じ頃、梨沙のアパートで兄の修一(稲垣吾郎)は、部屋の様子から、梨沙が部屋を出ていることを知る。  　一方、健吾の妹のマリア(北乃きい)は、健吾と相澤美奈子(板谷由夏)の結婚を心待ちにしていた。神谷凌(松田翔太)は、はしゃぐマリアを笑顔で見守る。そんな神谷に、健吾からドナー候補が見つかった、と連絡が入った。  　梨沙と打ち解けつつある和子は、健吾と梨沙を連れ出すと、デートスポットでふたりの写真を撮ったり、結婚指輪を購入させたりした。今後、移植の前に、医師らからドナーを志願した理由、結婚のことなどを聞かれるため、夫婦らしく見えるように、という配慮からだ。その後、健吾と梨沙が買い物をしていると、川本順二(杉本哲太)と妻の千鶴(ちすん)が声をかけてきた。健吾と梨沙の関係を怪しむふたりに、梨沙は、自分は健吾の家に居候している「いとこ」だと言い、ふたりもそれを信じる。  　そんな折、マリアは病院の廊下で、沢村涼太(桐山照史)と出くわす。と、そこに涼太に手を振る女性がいた。姉の琴美(早織)だった。  　そして、ついに移植前の面談の日がやってきた。</v>
      </c>
      <c r="N1540" s="2"/>
      <c r="O1540" s="2"/>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row>
    <row r="1541" ht="204.75" customHeight="1">
      <c r="A1541" s="1">
        <v>4552.0</v>
      </c>
      <c r="B1541" s="2" t="s">
        <v>4918</v>
      </c>
      <c r="C1541" s="2">
        <f>IFERROR(__xludf.DUMMYFUNCTION("split(B1541,""_"")"),1010.0)</f>
        <v>1010</v>
      </c>
      <c r="D1541" s="2" t="str">
        <f>IFERROR(__xludf.DUMMYFUNCTION("""COMPUTED_VALUE"""),"CX")</f>
        <v>CX</v>
      </c>
      <c r="E1541" s="2" t="str">
        <f>IFERROR(__xludf.DUMMYFUNCTION("""COMPUTED_VALUE"""),"月21")</f>
        <v>月21</v>
      </c>
      <c r="F1541" s="2" t="s">
        <v>4919</v>
      </c>
      <c r="G1541" s="2" t="s">
        <v>4929</v>
      </c>
      <c r="H1541" s="1">
        <v>4.0</v>
      </c>
      <c r="I1541" s="1" t="s">
        <v>14</v>
      </c>
      <c r="J1541" s="1" t="s">
        <v>11</v>
      </c>
      <c r="K1541" s="2" t="s">
        <v>4930</v>
      </c>
      <c r="L1541" s="2" t="s">
        <v>4931</v>
      </c>
      <c r="M1541" s="2" t="str">
        <f>IFERROR(__xludf.DUMMYFUNCTION("split(split(K1541,""竹野内豊　"",false),""公式LINE"",false)"),"ある朝、新江ノ島水族館にいた岡田健吾(竹野内豊)を神谷凌(松田翔太)が訪ねてきた。神谷は、健吾が相澤美奈子(板谷由夏)と別れた直後に槇原梨沙(上戸彩)と結婚し、その後、梨沙がマリア(北乃きい)のドナーに立候補したことを都合が良すぎると感じていたのだ。  　その後、梨沙は神谷に呼ばれ、ドナーになるのは義務ではなく肝臓を提供しないという選択肢もあると言われるが、梨沙は自分はマリアを助けたいし、そのために臓器を提供したいのだ、と断言する。  　岡田家では健吾と和子(原田美枝子)が、何も知らないマリアにどうやって"&amp;"梨沙のことを話せばいいのか、と案じていた。  　そんな折、健吾を訪ねて、梨沙の兄の修一(稲垣吾郎)が水族館にやってきた。川本順二(杉本哲太)は、妙に馴れ馴れしく健吾の行き先を尋ねる修一を不審に思う。  　その頃、梨沙はマリアの病室にいた。ふたりはお互いの素性を知らぬまま出会い、親交を持っていたのだ。と、そこへ、健吾がやってきた。健吾と梨沙は目が合うが、すぐに逸らすと、梨沙は病室を出ていく。  　そんな日の夜、健吾と梨沙は、自宅の庭で空を見上げていた。沖縄の海中には、流れ星のように見える魚の群れがいると教え"&amp;"る健吾に、梨沙は、新婚旅行で連れて行ってくれ、と冗談めかして言う。すると健吾は、手術が終ったら行ってみるかと笑顔を見せ…。")</f>
        <v>ある朝、新江ノ島水族館にいた岡田健吾(竹野内豊)を神谷凌(松田翔太)が訪ねてきた。神谷は、健吾が相澤美奈子(板谷由夏)と別れた直後に槇原梨沙(上戸彩)と結婚し、その後、梨沙がマリア(北乃きい)のドナーに立候補したことを都合が良すぎると感じていたのだ。  　その後、梨沙は神谷に呼ばれ、ドナーになるのは義務ではなく肝臓を提供しないという選択肢もあると言われるが、梨沙は自分はマリアを助けたいし、そのために臓器を提供したいのだ、と断言する。  　岡田家では健吾と和子(原田美枝子)が、何も知らないマリアにどうやって梨沙のことを話せばいいのか、と案じていた。  　そんな折、健吾を訪ねて、梨沙の兄の修一(稲垣吾郎)が水族館にやってきた。川本順二(杉本哲太)は、妙に馴れ馴れしく健吾の行き先を尋ねる修一を不審に思う。  　その頃、梨沙はマリアの病室にいた。ふたりはお互いの素性を知らぬまま出会い、親交を持っていたのだ。と、そこへ、健吾がやってきた。健吾と梨沙は目が合うが、すぐに逸らすと、梨沙は病室を出ていく。  　そんな日の夜、健吾と梨沙は、自宅の庭で空を見上げていた。沖縄の海中には、流れ星のように見える魚の群れがいると教える健吾に、梨沙は、新婚旅行で連れて行ってくれ、と冗談めかして言う。すると健吾は、手術が終ったら行ってみるかと笑顔を見せ…。</v>
      </c>
      <c r="N1541" s="2"/>
      <c r="O1541" s="2"/>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row>
    <row r="1542" ht="204.75" customHeight="1">
      <c r="A1542" s="1">
        <v>4553.0</v>
      </c>
      <c r="B1542" s="2" t="s">
        <v>4918</v>
      </c>
      <c r="C1542" s="2">
        <f>IFERROR(__xludf.DUMMYFUNCTION("split(B1542,""_"")"),1010.0)</f>
        <v>1010</v>
      </c>
      <c r="D1542" s="2" t="str">
        <f>IFERROR(__xludf.DUMMYFUNCTION("""COMPUTED_VALUE"""),"CX")</f>
        <v>CX</v>
      </c>
      <c r="E1542" s="2" t="str">
        <f>IFERROR(__xludf.DUMMYFUNCTION("""COMPUTED_VALUE"""),"月21")</f>
        <v>月21</v>
      </c>
      <c r="F1542" s="2" t="s">
        <v>4919</v>
      </c>
      <c r="G1542" s="2" t="s">
        <v>4932</v>
      </c>
      <c r="H1542" s="1">
        <v>5.0</v>
      </c>
      <c r="I1542" s="1" t="s">
        <v>17</v>
      </c>
      <c r="J1542" s="1" t="s">
        <v>11</v>
      </c>
      <c r="K1542" s="2" t="s">
        <v>4933</v>
      </c>
      <c r="L1542" s="2" t="s">
        <v>4934</v>
      </c>
      <c r="M1542" s="2" t="str">
        <f>IFERROR(__xludf.DUMMYFUNCTION("split(split(K1542,""竹野内豊　"",false),""公式LINE"",false)"),"岡田健吾(竹野内豊)は、神谷凌(松田翔太)から、マリア(北乃きい)が行方不明だと連絡を受けた。マリアの病室にやってきた健吾は、ベッドのそばに、壊されたウエルカムボードを見つける。  　その頃、マリアは電車の中にいて、横にはマリアを追ってきた沢村涼太(桐山照史)がいた。ふたりの携帯電話には、神谷から連絡が入るが、ふたりは電源を切ってしまう。　健吾は、自宅にいる槇原梨沙(上戸彩)に電話をするが、マリアは自宅にも連絡をしてきていなかった。また、安田瑞希(川口春奈)も、相澤美奈子(板谷由夏)も、マリアの失踪を知ら"&amp;"なかった。  　同じ頃、槇原修一(稲垣吾郎)は、看護師・中島留美(北川弘美)をバーに誘い、グラスを傾けていた。  　一向にマリアの行方が知れない中、梨沙は、ここに引っ越す前の家なのではないか、とつぶやく。健吾が否定すると、山梨ではないのか、と梨沙が尋ねる。山梨という言葉に、健吾と和子(原田美枝子)は顔を見合わせた。マリアが、山梨で生まれたと言っていたというのだ。それを聞いた健吾は、車のキーを取ると…。")</f>
        <v>岡田健吾(竹野内豊)は、神谷凌(松田翔太)から、マリア(北乃きい)が行方不明だと連絡を受けた。マリアの病室にやってきた健吾は、ベッドのそばに、壊されたウエルカムボードを見つける。  　その頃、マリアは電車の中にいて、横にはマリアを追ってきた沢村涼太(桐山照史)がいた。ふたりの携帯電話には、神谷から連絡が入るが、ふたりは電源を切ってしまう。　健吾は、自宅にいる槇原梨沙(上戸彩)に電話をするが、マリアは自宅にも連絡をしてきていなかった。また、安田瑞希(川口春奈)も、相澤美奈子(板谷由夏)も、マリアの失踪を知らなかった。  　同じ頃、槇原修一(稲垣吾郎)は、看護師・中島留美(北川弘美)をバーに誘い、グラスを傾けていた。  　一向にマリアの行方が知れない中、梨沙は、ここに引っ越す前の家なのではないか、とつぶやく。健吾が否定すると、山梨ではないのか、と梨沙が尋ねる。山梨という言葉に、健吾と和子(原田美枝子)は顔を見合わせた。マリアが、山梨で生まれたと言っていたというのだ。それを聞いた健吾は、車のキーを取ると…。</v>
      </c>
      <c r="N1542" s="2"/>
      <c r="O1542" s="2"/>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row>
    <row r="1543" ht="204.75" customHeight="1">
      <c r="A1543" s="1">
        <v>4554.0</v>
      </c>
      <c r="B1543" s="2" t="s">
        <v>4918</v>
      </c>
      <c r="C1543" s="2">
        <f>IFERROR(__xludf.DUMMYFUNCTION("split(B1543,""_"")"),1010.0)</f>
        <v>1010</v>
      </c>
      <c r="D1543" s="2" t="str">
        <f>IFERROR(__xludf.DUMMYFUNCTION("""COMPUTED_VALUE"""),"CX")</f>
        <v>CX</v>
      </c>
      <c r="E1543" s="2" t="str">
        <f>IFERROR(__xludf.DUMMYFUNCTION("""COMPUTED_VALUE"""),"月21")</f>
        <v>月21</v>
      </c>
      <c r="F1543" s="2" t="s">
        <v>4919</v>
      </c>
      <c r="G1543" s="2" t="s">
        <v>4935</v>
      </c>
      <c r="H1543" s="1">
        <v>6.0</v>
      </c>
      <c r="I1543" s="1" t="s">
        <v>21</v>
      </c>
      <c r="J1543" s="1" t="s">
        <v>11</v>
      </c>
      <c r="K1543" s="2" t="s">
        <v>4936</v>
      </c>
      <c r="L1543" s="2" t="s">
        <v>4937</v>
      </c>
      <c r="M1543" s="2" t="str">
        <f>IFERROR(__xludf.DUMMYFUNCTION("split(split(K1543,""竹野内豊　"",false),""公式LINE"",false)"),"岡田健吾(竹野内豊)、梨沙(上戸彩)、マリア(北乃きい)、和子(原田美枝子)は自宅に戻るが、マリアは移植手術を受けることを拒否していた。そんなマリアに梨沙は、自分が岡田家にいる意味はあるのかと悩む。  　病院に戻ったマリアは、神谷凌(松田翔太)に、手術を受けるつもりはないと言い、健吾と梨沙の間に肝臓をめぐり金銭の授受があったことを話してしまう。  　そんな折、岡田家に槇原修一(稲垣吾郎)がやってきた。修一と面識のない和子は、梨沙の兄だと言う修一を家に入れる。マリアの手術のことを知っていた修一は、梨沙をドナ"&amp;"ーにするのは止めてくれ、と和子に頼む。  　その頃、梨沙は相澤美奈子(板谷由夏)に会っていた。梨沙は、手術後に健吾と美奈子がヨリを戻すと伝えれば、マリアは納得して手術を受けるのではないか、と言う。  　同じ日の夕方、健吾はマリアを訪ね、手術を受けるように言うが、マリアは譲らない。それどころか、早く梨沙と離婚をして追い出してくれと伝える。  　マリアの病室を出た健吾に、神谷が声をかけた。神谷は、金銭の授受があるとわかった以上、移植はできないと言う。健吾は食い下がるが、神谷はその場を立ち去ってしまう。  　一"&amp;"方、マリアと山梨に出掛けた涼太(桐山照史)の病状が急激に悪化する。神谷も含めて、脳死ドナーが現れない限り、なすすべもなく、見守る健吾とマリアだったが…。")</f>
        <v>岡田健吾(竹野内豊)、梨沙(上戸彩)、マリア(北乃きい)、和子(原田美枝子)は自宅に戻るが、マリアは移植手術を受けることを拒否していた。そんなマリアに梨沙は、自分が岡田家にいる意味はあるのかと悩む。  　病院に戻ったマリアは、神谷凌(松田翔太)に、手術を受けるつもりはないと言い、健吾と梨沙の間に肝臓をめぐり金銭の授受があったことを話してしまう。  　そんな折、岡田家に槇原修一(稲垣吾郎)がやってきた。修一と面識のない和子は、梨沙の兄だと言う修一を家に入れる。マリアの手術のことを知っていた修一は、梨沙をドナーにするのは止めてくれ、と和子に頼む。  　その頃、梨沙は相澤美奈子(板谷由夏)に会っていた。梨沙は、手術後に健吾と美奈子がヨリを戻すと伝えれば、マリアは納得して手術を受けるのではないか、と言う。  　同じ日の夕方、健吾はマリアを訪ね、手術を受けるように言うが、マリアは譲らない。それどころか、早く梨沙と離婚をして追い出してくれと伝える。  　マリアの病室を出た健吾に、神谷が声をかけた。神谷は、金銭の授受があるとわかった以上、移植はできないと言う。健吾は食い下がるが、神谷はその場を立ち去ってしまう。  　一方、マリアと山梨に出掛けた涼太(桐山照史)の病状が急激に悪化する。神谷も含めて、脳死ドナーが現れない限り、なすすべもなく、見守る健吾とマリアだったが…。</v>
      </c>
      <c r="N1543" s="2"/>
      <c r="O1543" s="2"/>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row>
    <row r="1544" ht="204.75" customHeight="1">
      <c r="A1544" s="1">
        <v>4555.0</v>
      </c>
      <c r="B1544" s="2" t="s">
        <v>4938</v>
      </c>
      <c r="C1544" s="2">
        <f>IFERROR(__xludf.DUMMYFUNCTION("split(B1544,""_"")"),1010.0)</f>
        <v>1010</v>
      </c>
      <c r="D1544" s="2" t="str">
        <f>IFERROR(__xludf.DUMMYFUNCTION("""COMPUTED_VALUE"""),"CX")</f>
        <v>CX</v>
      </c>
      <c r="E1544" s="2" t="str">
        <f>IFERROR(__xludf.DUMMYFUNCTION("""COMPUTED_VALUE"""),"火21")</f>
        <v>火21</v>
      </c>
      <c r="F1544" s="2" t="s">
        <v>4939</v>
      </c>
      <c r="G1544" s="2" t="s">
        <v>4940</v>
      </c>
      <c r="H1544" s="1">
        <v>1.0</v>
      </c>
      <c r="I1544" s="1" t="s">
        <v>3</v>
      </c>
      <c r="J1544" s="1" t="s">
        <v>4</v>
      </c>
      <c r="K1544" s="4" t="s">
        <v>4941</v>
      </c>
      <c r="L1544" s="12" t="s">
        <v>4942</v>
      </c>
      <c r="M1544" s="2" t="str">
        <f>IFERROR(__xludf.DUMMYFUNCTION("split(split(K1544,""二宮和也　"",false),""公式LINE"",false)"),"三流私大を卒業した武誠治(二宮和也)は、部品会社に就職したが、社風になじめず、たった3カ月で辞めてしまう。中堅商社で経理畑ひと筋に働いてきた父・誠一(竹中直人)は、何故相談もなく勝手に辞めたのか、と誠治を怒鳴りつけた。専業主婦の母・寿美子(浅野温子)は、誠治が自分で決めたことだから、と言ってかばった。誠治は、その気になればすぐに就職できると軽く考えていた。しかし、就職活動は思うようにいかなかった。誠治は、とりあえずアルバイトを始めたものの、人間関係が上手くいかないとすぐに辞めてしまい、バイトを転々とする日"&amp;"々が続いた。誠治の姉で、開業医のもとに嫁いだ亜矢子(井川遥)は、自堕落な弟の行く末を案じていた。それでも寿美子だけは、誠治を信じて見守っていた。そんなある日、寿美子のようすがおかしくなる。寿美子は、食品が散乱したキッチンに座り込み、「ごめんなさい今日も死ねませんでした」と何度も繰り返していた。寿美子が重度のうつ病であることを知った亜矢子は、原因に心当たりはないのか、と誠治と誠一を問い詰める。すると誠一は、すべて誠治のせいだと言い出す。寿美子に心配をかけたことを悔やんだ誠治は、再就職することを決意し、その準"&amp;"備資金作りのために、大悦貞夫(大友康平)が経営する大悦土木でアルバイトを始める。そこで誠治は、大手ゼネコンの社員の千葉真奈美(香里奈)という女性と出会い…。")</f>
        <v>三流私大を卒業した武誠治(二宮和也)は、部品会社に就職したが、社風になじめず、たった3カ月で辞めてしまう。中堅商社で経理畑ひと筋に働いてきた父・誠一(竹中直人)は、何故相談もなく勝手に辞めたのか、と誠治を怒鳴りつけた。専業主婦の母・寿美子(浅野温子)は、誠治が自分で決めたことだから、と言ってかばった。誠治は、その気になればすぐに就職できると軽く考えていた。しかし、就職活動は思うようにいかなかった。誠治は、とりあえずアルバイトを始めたものの、人間関係が上手くいかないとすぐに辞めてしまい、バイトを転々とする日々が続いた。誠治の姉で、開業医のもとに嫁いだ亜矢子(井川遥)は、自堕落な弟の行く末を案じていた。それでも寿美子だけは、誠治を信じて見守っていた。そんなある日、寿美子のようすがおかしくなる。寿美子は、食品が散乱したキッチンに座り込み、「ごめんなさい今日も死ねませんでした」と何度も繰り返していた。寿美子が重度のうつ病であることを知った亜矢子は、原因に心当たりはないのか、と誠治と誠一を問い詰める。すると誠一は、すべて誠治のせいだと言い出す。寿美子に心配をかけたことを悔やんだ誠治は、再就職することを決意し、その準備資金作りのために、大悦貞夫(大友康平)が経営する大悦土木でアルバイトを始める。そこで誠治は、大手ゼネコンの社員の千葉真奈美(香里奈)という女性と出会い…。</v>
      </c>
      <c r="N1544" s="2"/>
      <c r="O1544" s="2"/>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row>
    <row r="1545" ht="204.75" customHeight="1">
      <c r="A1545" s="1">
        <v>4556.0</v>
      </c>
      <c r="B1545" s="2" t="s">
        <v>4938</v>
      </c>
      <c r="C1545" s="2">
        <f>IFERROR(__xludf.DUMMYFUNCTION("split(B1545,""_"")"),1010.0)</f>
        <v>1010</v>
      </c>
      <c r="D1545" s="2" t="str">
        <f>IFERROR(__xludf.DUMMYFUNCTION("""COMPUTED_VALUE"""),"CX")</f>
        <v>CX</v>
      </c>
      <c r="E1545" s="2" t="str">
        <f>IFERROR(__xludf.DUMMYFUNCTION("""COMPUTED_VALUE"""),"火21")</f>
        <v>火21</v>
      </c>
      <c r="F1545" s="2" t="s">
        <v>4939</v>
      </c>
      <c r="G1545" s="2" t="s">
        <v>4943</v>
      </c>
      <c r="H1545" s="1">
        <v>2.0</v>
      </c>
      <c r="I1545" s="1" t="s">
        <v>7</v>
      </c>
      <c r="J1545" s="1" t="s">
        <v>11</v>
      </c>
      <c r="K1545" s="2" t="s">
        <v>4944</v>
      </c>
      <c r="L1545" s="2" t="s">
        <v>4945</v>
      </c>
      <c r="M1545" s="2" t="str">
        <f>IFERROR(__xludf.DUMMYFUNCTION("split(split(K1545,""二宮和也　"",false),""公式LINE"",false)"),"武誠治(二宮和也)は、千葉真奈美(香里奈)が大手ゼネコン・喜嶋建設の社員であることを知る。誠治をアルバイトとして雇った大悦土木は、喜嶋建設の仕事を請け負っていたのだ。ある日、真奈美の発注ミスで現場の作業がストップする事態が起きる。真奈美は、皆の足を引っ張ってしまったことを悔やみ、残って事務所の掃除を始める。誠治は、そんな真奈美の行為を自己満足だと決めつける。誠治が家に戻ると、寿美子(浅野温子)がリビングでゴミ袋の中身を広げていた。集積場所に出した燃えるゴミの袋に、ビンが混ざっていたために戻されてしまったの"&amp;"だ。寿美子は、キチンと分別しないと迷惑がかかる、と言って何度も中身を確認していた。そこに帰ってきた誠一(竹中直人)は、その光景を見ても何も言わずに2階に上がってしまう。あくる朝、誠治は、出かける前にゴミの分別を手伝ったこともあって遅刻してしまう。大悦土木社長の大悦貞夫(大友康平)は、そんな誠治に帰るよう命じる。その日の作業が上手くいくかどうかは現場の空気が重要だというのだ。その処遇に不満を抱いた誠治は、アルバイトを辞めようと思い、ハローワークを訪ねる。誠治は、ハローワークの北山雅彦(児嶋一哉)に、企画・開"&amp;"発以外の仕事も検討すると告げる。だが、月給20万円以上という条件は譲らなかった。すると北山は、あなたに20万円払う価値があるかどうかを決めるのは会社側だと告げ…。")</f>
        <v>武誠治(二宮和也)は、千葉真奈美(香里奈)が大手ゼネコン・喜嶋建設の社員であることを知る。誠治をアルバイトとして雇った大悦土木は、喜嶋建設の仕事を請け負っていたのだ。ある日、真奈美の発注ミスで現場の作業がストップする事態が起きる。真奈美は、皆の足を引っ張ってしまったことを悔やみ、残って事務所の掃除を始める。誠治は、そんな真奈美の行為を自己満足だと決めつける。誠治が家に戻ると、寿美子(浅野温子)がリビングでゴミ袋の中身を広げていた。集積場所に出した燃えるゴミの袋に、ビンが混ざっていたために戻されてしまったのだ。寿美子は、キチンと分別しないと迷惑がかかる、と言って何度も中身を確認していた。そこに帰ってきた誠一(竹中直人)は、その光景を見ても何も言わずに2階に上がってしまう。あくる朝、誠治は、出かける前にゴミの分別を手伝ったこともあって遅刻してしまう。大悦土木社長の大悦貞夫(大友康平)は、そんな誠治に帰るよう命じる。その日の作業が上手くいくかどうかは現場の空気が重要だというのだ。その処遇に不満を抱いた誠治は、アルバイトを辞めようと思い、ハローワークを訪ねる。誠治は、ハローワークの北山雅彦(児嶋一哉)に、企画・開発以外の仕事も検討すると告げる。だが、月給20万円以上という条件は譲らなかった。すると北山は、あなたに20万円払う価値があるかどうかを決めるのは会社側だと告げ…。</v>
      </c>
      <c r="N1545" s="2"/>
      <c r="O1545" s="2"/>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row>
    <row r="1546" ht="204.75" customHeight="1">
      <c r="A1546" s="1">
        <v>4557.0</v>
      </c>
      <c r="B1546" s="2" t="s">
        <v>4938</v>
      </c>
      <c r="C1546" s="2">
        <f>IFERROR(__xludf.DUMMYFUNCTION("split(B1546,""_"")"),1010.0)</f>
        <v>1010</v>
      </c>
      <c r="D1546" s="2" t="str">
        <f>IFERROR(__xludf.DUMMYFUNCTION("""COMPUTED_VALUE"""),"CX")</f>
        <v>CX</v>
      </c>
      <c r="E1546" s="2" t="str">
        <f>IFERROR(__xludf.DUMMYFUNCTION("""COMPUTED_VALUE"""),"火21")</f>
        <v>火21</v>
      </c>
      <c r="F1546" s="2" t="s">
        <v>4939</v>
      </c>
      <c r="G1546" s="2" t="s">
        <v>4946</v>
      </c>
      <c r="H1546" s="1">
        <v>3.0</v>
      </c>
      <c r="I1546" s="1" t="s">
        <v>10</v>
      </c>
      <c r="J1546" s="1" t="s">
        <v>11</v>
      </c>
      <c r="K1546" s="2" t="s">
        <v>4947</v>
      </c>
      <c r="L1546" s="2" t="s">
        <v>4948</v>
      </c>
      <c r="M1546" s="2" t="str">
        <f>IFERROR(__xludf.DUMMYFUNCTION("split(split(K1546,""二宮和也　"",false),""公式LINE"",false)"),"武誠治(二宮和也)は、大悦土木でのアルバイトにも慣れ、以前よりも前向きに仕事に取り組むようになっていた。ある日、誠治は千葉真奈美(香里奈)から飲みに誘われる。真奈美は、誠治をとある居酒屋に連れて行く。すると店には、大悦土木で一緒に働いている豊川哲平(丸山隆平)と手島信二(井上正大)が先に来ており、誠治たちを待っていた。そこで誠治は、自分よりも年下の手島が、目標を持って仕事に取り組んでいることを知る。そんな折、誠治は、武家が出した可燃ゴミの袋に、隣人の西本幸子(坂口良子)がこっそりビンを入れているところを目"&amp;"撃する。誠治は、母・寿美子(浅野温子)にそれを報告しようとした。しかし寿美子は、自分が悪い、と言って謝り続けるばかりだった。誠治は、姉の亜矢子(井川遥)に連絡を取り、一緒に寿美子を病院に連れて行く。その際、亜矢子は、以前にも何度かおかしな出来事があったことを思い出していた。事情を知った主治医の岡野忠志(田中壮太郎)は、いまの生活環境に原因があるのなら引っ越した方がいい、とアドバイスした。誠治と亜矢子は、父・誠一(竹中直人)にこの一件を報告し、引っ越しの相談をする。しかし誠一は、寿美子が心の弱さを治さない限"&amp;"りどこへ引っ越しても同じことの繰り返しだ、などと言ってふたりの言葉に耳を貸そうとはしなかった。")</f>
        <v>武誠治(二宮和也)は、大悦土木でのアルバイトにも慣れ、以前よりも前向きに仕事に取り組むようになっていた。ある日、誠治は千葉真奈美(香里奈)から飲みに誘われる。真奈美は、誠治をとある居酒屋に連れて行く。すると店には、大悦土木で一緒に働いている豊川哲平(丸山隆平)と手島信二(井上正大)が先に来ており、誠治たちを待っていた。そこで誠治は、自分よりも年下の手島が、目標を持って仕事に取り組んでいることを知る。そんな折、誠治は、武家が出した可燃ゴミの袋に、隣人の西本幸子(坂口良子)がこっそりビンを入れているところを目撃する。誠治は、母・寿美子(浅野温子)にそれを報告しようとした。しかし寿美子は、自分が悪い、と言って謝り続けるばかりだった。誠治は、姉の亜矢子(井川遥)に連絡を取り、一緒に寿美子を病院に連れて行く。その際、亜矢子は、以前にも何度かおかしな出来事があったことを思い出していた。事情を知った主治医の岡野忠志(田中壮太郎)は、いまの生活環境に原因があるのなら引っ越した方がいい、とアドバイスした。誠治と亜矢子は、父・誠一(竹中直人)にこの一件を報告し、引っ越しの相談をする。しかし誠一は、寿美子が心の弱さを治さない限りどこへ引っ越しても同じことの繰り返しだ、などと言ってふたりの言葉に耳を貸そうとはしなかった。</v>
      </c>
      <c r="N1546" s="2"/>
      <c r="O1546" s="2"/>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row>
    <row r="1547" ht="204.75" customHeight="1">
      <c r="A1547" s="1">
        <v>4558.0</v>
      </c>
      <c r="B1547" s="2" t="s">
        <v>4938</v>
      </c>
      <c r="C1547" s="2">
        <f>IFERROR(__xludf.DUMMYFUNCTION("split(B1547,""_"")"),1010.0)</f>
        <v>1010</v>
      </c>
      <c r="D1547" s="2" t="str">
        <f>IFERROR(__xludf.DUMMYFUNCTION("""COMPUTED_VALUE"""),"CX")</f>
        <v>CX</v>
      </c>
      <c r="E1547" s="2" t="str">
        <f>IFERROR(__xludf.DUMMYFUNCTION("""COMPUTED_VALUE"""),"火21")</f>
        <v>火21</v>
      </c>
      <c r="F1547" s="2" t="s">
        <v>4939</v>
      </c>
      <c r="G1547" s="2" t="s">
        <v>4949</v>
      </c>
      <c r="H1547" s="1">
        <v>4.0</v>
      </c>
      <c r="I1547" s="1" t="s">
        <v>14</v>
      </c>
      <c r="J1547" s="1" t="s">
        <v>11</v>
      </c>
      <c r="K1547" s="2" t="s">
        <v>4950</v>
      </c>
      <c r="L1547" s="2" t="s">
        <v>4951</v>
      </c>
      <c r="M1547" s="2" t="str">
        <f>IFERROR(__xludf.DUMMYFUNCTION("split(split(K1547,""二宮和也　"",false),""公式LINE"",false)"),"武誠治(二宮和也)は、母・寿美子(浅野温子)のために、家を買うという目標を立てる。寿美子がうつ病になってしまったのは、10年以上に及ぶ近所からの嫌がらせが原因だと知ったからだ。しかし、父親の誠一(竹中直人)は、子どものころから目標を立てても努力をしようとしなかった誠治には無理だと決めつけると、アルバイトでは住宅ローンも組めない、と言い放つ。それに対して誠治は、引越しでもいいから1日でも早くこの家から出る、と返す。誠治は、武家から出た家庭ゴミをアルバイト先の大悦土木まで運び、一緒に捨てさせてほしいと社長の大"&amp;"悦貞夫(大友康平)に頼んだ。大悦は、家庭ゴミと違い、事業所のゴミは有料で引き取ってもらっていることを誠治に告げるが、事情を察して特別にそれを許可する。千葉真奈美(香里奈)は、そんな誠治のことを心配し、声をかけた。誠治は、努めて明るく振る舞いながらも、近所からのいじめが母の病気に関係していることを彼女に打ち明けた。誠治は、寿美子がキチンと薬を飲んでいるかどうか確認するために、昼休みの間にアルバイト先から一旦家に戻ることにした。さらに、アルバイトを終えると、今度はハローワークへと駆け込んだ。だが、そんな日々を"&amp;"送るうちに無理がたたり、誠治はとうとう倒れてしまう。")</f>
        <v>武誠治(二宮和也)は、母・寿美子(浅野温子)のために、家を買うという目標を立てる。寿美子がうつ病になってしまったのは、10年以上に及ぶ近所からの嫌がらせが原因だと知ったからだ。しかし、父親の誠一(竹中直人)は、子どものころから目標を立てても努力をしようとしなかった誠治には無理だと決めつけると、アルバイトでは住宅ローンも組めない、と言い放つ。それに対して誠治は、引越しでもいいから1日でも早くこの家から出る、と返す。誠治は、武家から出た家庭ゴミをアルバイト先の大悦土木まで運び、一緒に捨てさせてほしいと社長の大悦貞夫(大友康平)に頼んだ。大悦は、家庭ゴミと違い、事業所のゴミは有料で引き取ってもらっていることを誠治に告げるが、事情を察して特別にそれを許可する。千葉真奈美(香里奈)は、そんな誠治のことを心配し、声をかけた。誠治は、努めて明るく振る舞いながらも、近所からのいじめが母の病気に関係していることを彼女に打ち明けた。誠治は、寿美子がキチンと薬を飲んでいるかどうか確認するために、昼休みの間にアルバイト先から一旦家に戻ることにした。さらに、アルバイトを終えると、今度はハローワークへと駆け込んだ。だが、そんな日々を送るうちに無理がたたり、誠治はとうとう倒れてしまう。</v>
      </c>
      <c r="N1547" s="2"/>
      <c r="O1547" s="2"/>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row>
    <row r="1548" ht="204.75" customHeight="1">
      <c r="A1548" s="1">
        <v>4559.0</v>
      </c>
      <c r="B1548" s="2" t="s">
        <v>4938</v>
      </c>
      <c r="C1548" s="2">
        <f>IFERROR(__xludf.DUMMYFUNCTION("split(B1548,""_"")"),1010.0)</f>
        <v>1010</v>
      </c>
      <c r="D1548" s="2" t="str">
        <f>IFERROR(__xludf.DUMMYFUNCTION("""COMPUTED_VALUE"""),"CX")</f>
        <v>CX</v>
      </c>
      <c r="E1548" s="2" t="str">
        <f>IFERROR(__xludf.DUMMYFUNCTION("""COMPUTED_VALUE"""),"火21")</f>
        <v>火21</v>
      </c>
      <c r="F1548" s="2" t="s">
        <v>4939</v>
      </c>
      <c r="G1548" s="2" t="s">
        <v>4952</v>
      </c>
      <c r="H1548" s="1">
        <v>5.0</v>
      </c>
      <c r="I1548" s="1" t="s">
        <v>17</v>
      </c>
      <c r="J1548" s="1" t="s">
        <v>11</v>
      </c>
      <c r="K1548" s="2" t="s">
        <v>4953</v>
      </c>
      <c r="L1548" s="2" t="s">
        <v>4954</v>
      </c>
      <c r="M1548" s="2" t="str">
        <f>IFERROR(__xludf.DUMMYFUNCTION("split(split(K1548,""二宮和也　"",false),""公式LINE"",false)"),"誠治(二宮和也)は、大悦土木のメンバーに、父・誠一(竹中直人)に母・寿美子(浅野温子)の面倒を頼みたいが、顔を合わせばけんかになってしまい、言い出せないと相談する。真田(嶋大輔)は、自分も臨月の嫁に、小さなことでつい怒ってしまったと明かす。真奈美(香里奈)は、密かに思いを寄せる山賀(眞島秀和)から食事に誘われて、大悦土木を離れて自分の部下にならないかと言われる。ある日、誠治と亜矢子(井川遥)が帰宅すると頼んでいない、10人前のラーメンの出前が届き、寿美子が困惑していた。誠治と亜矢子は、西本(坂口良子)の仕"&amp;"業ではないかと疑う。一方、弁護士の西本和彦(横尾渉)とデートをすると浮かれるあかり(岡本玲)。あかりに片思い中の豊川(丸山隆平)は、誰とデートしようと、あかりちゃんをあきらめないと話す。ある日、誠治が大悦土木で作業中、真田が妻の体調が悪くなったと慌てた表情で帰宅する。代わりに残って作業をすることになった誠治が、誠一に帰宅が遅くなるので寿美子に薬を飲ませるよう電話を入れる。誠一は、寿美子と一緒にお酒を飲もうとワインを購入する。  　ある日大悦土木のメンバーと居酒屋で飲んでいると、大悦(大友康平)に真田から、"&amp;"妻が緊急手術になってしまったと連絡が入る。その頃武家では、寿美子に異変があって・・・?")</f>
        <v>誠治(二宮和也)は、大悦土木のメンバーに、父・誠一(竹中直人)に母・寿美子(浅野温子)の面倒を頼みたいが、顔を合わせばけんかになってしまい、言い出せないと相談する。真田(嶋大輔)は、自分も臨月の嫁に、小さなことでつい怒ってしまったと明かす。真奈美(香里奈)は、密かに思いを寄せる山賀(眞島秀和)から食事に誘われて、大悦土木を離れて自分の部下にならないかと言われる。ある日、誠治と亜矢子(井川遥)が帰宅すると頼んでいない、10人前のラーメンの出前が届き、寿美子が困惑していた。誠治と亜矢子は、西本(坂口良子)の仕業ではないかと疑う。一方、弁護士の西本和彦(横尾渉)とデートをすると浮かれるあかり(岡本玲)。あかりに片思い中の豊川(丸山隆平)は、誰とデートしようと、あかりちゃんをあきらめないと話す。ある日、誠治が大悦土木で作業中、真田が妻の体調が悪くなったと慌てた表情で帰宅する。代わりに残って作業をすることになった誠治が、誠一に帰宅が遅くなるので寿美子に薬を飲ませるよう電話を入れる。誠一は、寿美子と一緒にお酒を飲もうとワインを購入する。  　ある日大悦土木のメンバーと居酒屋で飲んでいると、大悦(大友康平)に真田から、妻が緊急手術になってしまったと連絡が入る。その頃武家では、寿美子に異変があって・・・?</v>
      </c>
      <c r="N1548" s="2"/>
      <c r="O1548" s="2"/>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row>
    <row r="1549" ht="204.75" customHeight="1">
      <c r="A1549" s="1">
        <v>4560.0</v>
      </c>
      <c r="B1549" s="2" t="s">
        <v>4938</v>
      </c>
      <c r="C1549" s="2">
        <f>IFERROR(__xludf.DUMMYFUNCTION("split(B1549,""_"")"),1010.0)</f>
        <v>1010</v>
      </c>
      <c r="D1549" s="2" t="str">
        <f>IFERROR(__xludf.DUMMYFUNCTION("""COMPUTED_VALUE"""),"CX")</f>
        <v>CX</v>
      </c>
      <c r="E1549" s="2" t="str">
        <f>IFERROR(__xludf.DUMMYFUNCTION("""COMPUTED_VALUE"""),"火21")</f>
        <v>火21</v>
      </c>
      <c r="F1549" s="2" t="s">
        <v>4939</v>
      </c>
      <c r="G1549" s="2" t="s">
        <v>4955</v>
      </c>
      <c r="H1549" s="1">
        <v>6.0</v>
      </c>
      <c r="I1549" s="1" t="s">
        <v>21</v>
      </c>
      <c r="J1549" s="1" t="s">
        <v>11</v>
      </c>
      <c r="K1549" s="2" t="s">
        <v>4956</v>
      </c>
      <c r="L1549" s="2" t="s">
        <v>4957</v>
      </c>
      <c r="M1549" s="2" t="str">
        <f>IFERROR(__xludf.DUMMYFUNCTION("split(split(K1549,""二宮和也　"",false),""公式LINE"",false)"),"誠治(二宮和也)は、父・誠一(竹中直人)が女性(玄里)と一緒にいるところを見てしまい動揺を隠せない。一方大悦土木では、哲平(丸山隆平)が、弁護士の和彦(横尾渉)のひどい仕打ちに傷心中のあかり(岡本玲)に相変わらずアプローチを続けていた。真田(嶋大輔)は、先日産まれたばかりの赤ん坊の写真を仲間に見せて、親ばかぶりを発揮する。あかりは、真奈美(香里奈)が結婚をしている山賀(眞島秀和)にあこがれを抱いていると気付いていながらも、山賀に「赤ちゃん、欲しくなっちゃいません?」と声をかける。複雑な真奈美の表情を見た誠"&amp;"治は、誠一の女性問題が気がかりのあまり、真奈美に強く当たってしまう。そのやりとりを見ていた大悦(大友康平)は、誠治に声をかける。一方、誠一は自分が飲ませたワインのせいで入院中の寿美子(浅野温子)に対して理解を示し、優しさを見せ始めるが、誠治は誠一の女性問題がくすぶって素直に受け止められず、「出て行け!」と怒鳴ってしまう。ついに誠治が亜矢子(井川遥)に事情を話すと、亜矢子が、女性の家に乗り込もうと言い出して・・・?")</f>
        <v>誠治(二宮和也)は、父・誠一(竹中直人)が女性(玄里)と一緒にいるところを見てしまい動揺を隠せない。一方大悦土木では、哲平(丸山隆平)が、弁護士の和彦(横尾渉)のひどい仕打ちに傷心中のあかり(岡本玲)に相変わらずアプローチを続けていた。真田(嶋大輔)は、先日産まれたばかりの赤ん坊の写真を仲間に見せて、親ばかぶりを発揮する。あかりは、真奈美(香里奈)が結婚をしている山賀(眞島秀和)にあこがれを抱いていると気付いていながらも、山賀に「赤ちゃん、欲しくなっちゃいません?」と声をかける。複雑な真奈美の表情を見た誠治は、誠一の女性問題が気がかりのあまり、真奈美に強く当たってしまう。そのやりとりを見ていた大悦(大友康平)は、誠治に声をかける。一方、誠一は自分が飲ませたワインのせいで入院中の寿美子(浅野温子)に対して理解を示し、優しさを見せ始めるが、誠治は誠一の女性問題がくすぶって素直に受け止められず、「出て行け!」と怒鳴ってしまう。ついに誠治が亜矢子(井川遥)に事情を話すと、亜矢子が、女性の家に乗り込もうと言い出して・・・?</v>
      </c>
      <c r="N1549" s="2"/>
      <c r="O1549" s="2"/>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row>
    <row r="1550" ht="204.75" customHeight="1">
      <c r="A1550" s="1">
        <v>4561.0</v>
      </c>
      <c r="B1550" s="2" t="s">
        <v>4938</v>
      </c>
      <c r="C1550" s="2">
        <f>IFERROR(__xludf.DUMMYFUNCTION("split(B1550,""_"")"),1010.0)</f>
        <v>1010</v>
      </c>
      <c r="D1550" s="2" t="str">
        <f>IFERROR(__xludf.DUMMYFUNCTION("""COMPUTED_VALUE"""),"CX")</f>
        <v>CX</v>
      </c>
      <c r="E1550" s="2" t="str">
        <f>IFERROR(__xludf.DUMMYFUNCTION("""COMPUTED_VALUE"""),"火21")</f>
        <v>火21</v>
      </c>
      <c r="F1550" s="2" t="s">
        <v>4939</v>
      </c>
      <c r="G1550" s="2" t="s">
        <v>4958</v>
      </c>
      <c r="H1550" s="1">
        <v>7.0</v>
      </c>
      <c r="I1550" s="1" t="s">
        <v>25</v>
      </c>
      <c r="J1550" s="1" t="s">
        <v>11</v>
      </c>
      <c r="K1550" s="2" t="s">
        <v>4959</v>
      </c>
      <c r="L1550" s="2" t="s">
        <v>4960</v>
      </c>
      <c r="M1550" s="2" t="str">
        <f>IFERROR(__xludf.DUMMYFUNCTION("split(split(K1550,""二宮和也　"",false),""公式LINE"",false)"),"武家では、退院した寿美子(浅野温子)に対して誠一(竹中直人)が、寿美子が薬を飲んだかどうかのチェックをするなど、積極的に寿美子をサポートするようになる。誠治(二宮和也)は、誠一に大悦土木のバイトは就職が決まるまでのつなぎだ、就職活動はどうなっていると言われ、誠治は自分が大悦土木の仕事は稼ぎが良く、融通が利くから、という理由以外のやりがいを感じ始めていることに気付く。姉の亜矢子(井川遥)は姑の永田則子(鷲尾真知子)から息子の智也(橋本智哉)が医者になりたいと思うように導くのがあなたの仕事だと言われて、しかめ"&amp;"顔。大悦土木では、真奈美(香里奈)が指示した仕事で、哲平(丸山隆平)が事故に遭って病院に運ばれた。真奈美は昔、自分が現場監督を務める現場で事故が起きて、作業員が大けがを負ったことに未だ責任を感じていた。哲平の事故は、大悦(大友康平)も「偶発的で避けられない事故だった」と言うが真奈美はショックを受け、会社を休むようになって・・・?")</f>
        <v>武家では、退院した寿美子(浅野温子)に対して誠一(竹中直人)が、寿美子が薬を飲んだかどうかのチェックをするなど、積極的に寿美子をサポートするようになる。誠治(二宮和也)は、誠一に大悦土木のバイトは就職が決まるまでのつなぎだ、就職活動はどうなっていると言われ、誠治は自分が大悦土木の仕事は稼ぎが良く、融通が利くから、という理由以外のやりがいを感じ始めていることに気付く。姉の亜矢子(井川遥)は姑の永田則子(鷲尾真知子)から息子の智也(橋本智哉)が医者になりたいと思うように導くのがあなたの仕事だと言われて、しかめ顔。大悦土木では、真奈美(香里奈)が指示した仕事で、哲平(丸山隆平)が事故に遭って病院に運ばれた。真奈美は昔、自分が現場監督を務める現場で事故が起きて、作業員が大けがを負ったことに未だ責任を感じていた。哲平の事故は、大悦(大友康平)も「偶発的で避けられない事故だった」と言うが真奈美はショックを受け、会社を休むようになって・・・?</v>
      </c>
      <c r="N1550" s="2"/>
      <c r="O1550" s="2"/>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row>
    <row r="1551" ht="204.75" customHeight="1">
      <c r="A1551" s="1">
        <v>4562.0</v>
      </c>
      <c r="B1551" s="2" t="s">
        <v>4938</v>
      </c>
      <c r="C1551" s="2">
        <f>IFERROR(__xludf.DUMMYFUNCTION("split(B1551,""_"")"),1010.0)</f>
        <v>1010</v>
      </c>
      <c r="D1551" s="2" t="str">
        <f>IFERROR(__xludf.DUMMYFUNCTION("""COMPUTED_VALUE"""),"CX")</f>
        <v>CX</v>
      </c>
      <c r="E1551" s="2" t="str">
        <f>IFERROR(__xludf.DUMMYFUNCTION("""COMPUTED_VALUE"""),"火21")</f>
        <v>火21</v>
      </c>
      <c r="F1551" s="2" t="s">
        <v>4939</v>
      </c>
      <c r="G1551" s="2" t="s">
        <v>4961</v>
      </c>
      <c r="H1551" s="1">
        <v>8.0</v>
      </c>
      <c r="I1551" s="1" t="s">
        <v>29</v>
      </c>
      <c r="J1551" s="1" t="s">
        <v>11</v>
      </c>
      <c r="K1551" s="2" t="s">
        <v>4962</v>
      </c>
      <c r="L1551" s="2" t="s">
        <v>4963</v>
      </c>
      <c r="M1551" s="2" t="str">
        <f>IFERROR(__xludf.DUMMYFUNCTION("split(split(K1551,""二宮和也　"",false),""公式LINE"",false)"),"誠治(二宮和也)、真奈美(香里奈)、あかり(岡本玲)は哲平(丸山隆平)の病院にお見舞いへ訪れる。哲平は、どうってことないと言って明るくふるまう。一方、武家には亜矢子(井川遥)の姑・則子(鷲尾真知子)が突然訪れて、智也(橋本智哉)の教育に手を抜いていると一方的に誠一(竹中直人)と寿美子(浅野温子)に話しに来る。  　武家の隣人・西本(坂口良子)は、相沢(ムロツヨシ)という男から表札や印鑑などを買っていたが、やっとそれが詐欺であるということに気がつき、泣き崩れる。そして西本は相沢に、いい人を知っていると連絡を"&amp;"入れる。  　ある日、大悦(大友康平)が過去の経費を見直すための膨大な資料の前で困り果てていた。誠治は、大悦土木の経費資料をデータ化する作業を自ら引き受ける。誠一は、バイト先の仕事に時間を割いている誠治を見て、困っている人を助ける余裕がお前にあるのかと指摘。腹を立てた誠治は、つい誠一に父親としての資質を責めるような事を言ってしまい、口論になる。誠治が大悦土木のメンバーに、誠一との口論について話すと、大悦は誠治をしかりとばす。そして誠治は、新たな会社の就職試験を受けることを決めるが・・・?")</f>
        <v>誠治(二宮和也)、真奈美(香里奈)、あかり(岡本玲)は哲平(丸山隆平)の病院にお見舞いへ訪れる。哲平は、どうってことないと言って明るくふるまう。一方、武家には亜矢子(井川遥)の姑・則子(鷲尾真知子)が突然訪れて、智也(橋本智哉)の教育に手を抜いていると一方的に誠一(竹中直人)と寿美子(浅野温子)に話しに来る。  　武家の隣人・西本(坂口良子)は、相沢(ムロツヨシ)という男から表札や印鑑などを買っていたが、やっとそれが詐欺であるということに気がつき、泣き崩れる。そして西本は相沢に、いい人を知っていると連絡を入れる。  　ある日、大悦(大友康平)が過去の経費を見直すための膨大な資料の前で困り果てていた。誠治は、大悦土木の経費資料をデータ化する作業を自ら引き受ける。誠一は、バイト先の仕事に時間を割いている誠治を見て、困っている人を助ける余裕がお前にあるのかと指摘。腹を立てた誠治は、つい誠一に父親としての資質を責めるような事を言ってしまい、口論になる。誠治が大悦土木のメンバーに、誠一との口論について話すと、大悦は誠治をしかりとばす。そして誠治は、新たな会社の就職試験を受けることを決めるが・・・?</v>
      </c>
      <c r="N1551" s="2"/>
      <c r="O1551" s="2"/>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row>
    <row r="1552" ht="204.75" customHeight="1">
      <c r="A1552" s="1">
        <v>4563.0</v>
      </c>
      <c r="B1552" s="2" t="s">
        <v>4938</v>
      </c>
      <c r="C1552" s="2">
        <f>IFERROR(__xludf.DUMMYFUNCTION("split(B1552,""_"")"),1010.0)</f>
        <v>1010</v>
      </c>
      <c r="D1552" s="2" t="str">
        <f>IFERROR(__xludf.DUMMYFUNCTION("""COMPUTED_VALUE"""),"CX")</f>
        <v>CX</v>
      </c>
      <c r="E1552" s="2" t="str">
        <f>IFERROR(__xludf.DUMMYFUNCTION("""COMPUTED_VALUE"""),"火21")</f>
        <v>火21</v>
      </c>
      <c r="F1552" s="2" t="s">
        <v>4939</v>
      </c>
      <c r="G1552" s="2" t="s">
        <v>4964</v>
      </c>
      <c r="H1552" s="1">
        <v>9.0</v>
      </c>
      <c r="I1552" s="1" t="s">
        <v>33</v>
      </c>
      <c r="J1552" s="1" t="s">
        <v>11</v>
      </c>
      <c r="K1552" s="2" t="s">
        <v>4965</v>
      </c>
      <c r="L1552" s="2" t="s">
        <v>4966</v>
      </c>
      <c r="M1552" s="2" t="str">
        <f>IFERROR(__xludf.DUMMYFUNCTION("split(split(K1552,""二宮和也　"",false),""公式LINE"",false)"),"誠治(二宮和也)は、母・寿美子(浅野温子)の為に引っ越しをしようと決意を固め、父・誠一(竹中直人)に改めて引っ越しの件を相談する。姑の則子(鷲尾真知子)に、きついことを言ってしまった亜矢子(井川遥)は旦那の文也(七海智哉)からたしなめられたこともあり則子にわびるが・・・。一方、真奈美(香里奈)は山賀(眞島秀和)に、気持ちの整理がついたので、山賀のいる設計部門に行きたいと申し出る。一方誠治は、先日試験を受けた医療機器メーカーから最終面接のお知らせを受け取る。  　ある日、誠一は機嫌を悪くしていた。理由は、会"&amp;"社からの要請で家の外壁の塗り替えを命じられたため、急遽まとまったお金が必要になったからだ。それを聞いた寿美子は様子をおかしくする。なぜなら、武家の隣人の西本(坂口良子)が印鑑などを買わされてだまされた相沢(ムロツヨシ)という男が、西本の紹介で寿美子の元へ訪れて、そうとは知らない寿美子が相沢から勧められた高額商品を購入していたからだ。ある日、誠治はバイトの帰りに通りがかった神社に、最終面接の成功を祈願しようとふらりと立ち寄る。すると、ハローワークの北山(児嶋一哉)とばったり会う。北山は婚活祈願に訪れていると"&amp;"いい、誠治に好きな人がいるのか?と聞く。そしてむかえた誠治の最終面接。果たして試験の結果は・・・?")</f>
        <v>誠治(二宮和也)は、母・寿美子(浅野温子)の為に引っ越しをしようと決意を固め、父・誠一(竹中直人)に改めて引っ越しの件を相談する。姑の則子(鷲尾真知子)に、きついことを言ってしまった亜矢子(井川遥)は旦那の文也(七海智哉)からたしなめられたこともあり則子にわびるが・・・。一方、真奈美(香里奈)は山賀(眞島秀和)に、気持ちの整理がついたので、山賀のいる設計部門に行きたいと申し出る。一方誠治は、先日試験を受けた医療機器メーカーから最終面接のお知らせを受け取る。  　ある日、誠一は機嫌を悪くしていた。理由は、会社からの要請で家の外壁の塗り替えを命じられたため、急遽まとまったお金が必要になったからだ。それを聞いた寿美子は様子をおかしくする。なぜなら、武家の隣人の西本(坂口良子)が印鑑などを買わされてだまされた相沢(ムロツヨシ)という男が、西本の紹介で寿美子の元へ訪れて、そうとは知らない寿美子が相沢から勧められた高額商品を購入していたからだ。ある日、誠治はバイトの帰りに通りがかった神社に、最終面接の成功を祈願しようとふらりと立ち寄る。すると、ハローワークの北山(児嶋一哉)とばったり会う。北山は婚活祈願に訪れているといい、誠治に好きな人がいるのか?と聞く。そしてむかえた誠治の最終面接。果たして試験の結果は・・・?</v>
      </c>
      <c r="N1552" s="2"/>
      <c r="O1552" s="2"/>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row>
    <row r="1553" ht="204.75" customHeight="1">
      <c r="A1553" s="1">
        <v>4564.0</v>
      </c>
      <c r="B1553" s="2" t="s">
        <v>4938</v>
      </c>
      <c r="C1553" s="2">
        <f>IFERROR(__xludf.DUMMYFUNCTION("split(B1553,""_"")"),1010.0)</f>
        <v>1010</v>
      </c>
      <c r="D1553" s="2" t="str">
        <f>IFERROR(__xludf.DUMMYFUNCTION("""COMPUTED_VALUE"""),"CX")</f>
        <v>CX</v>
      </c>
      <c r="E1553" s="2" t="str">
        <f>IFERROR(__xludf.DUMMYFUNCTION("""COMPUTED_VALUE"""),"火21")</f>
        <v>火21</v>
      </c>
      <c r="F1553" s="2" t="s">
        <v>4939</v>
      </c>
      <c r="G1553" s="2" t="s">
        <v>4967</v>
      </c>
      <c r="H1553" s="1">
        <v>10.0</v>
      </c>
      <c r="I1553" s="1" t="s">
        <v>37</v>
      </c>
      <c r="J1553" s="1" t="s">
        <v>4</v>
      </c>
      <c r="K1553" s="2" t="s">
        <v>4968</v>
      </c>
      <c r="L1553" s="2" t="s">
        <v>4969</v>
      </c>
      <c r="M1553" s="2" t="str">
        <f>IFERROR(__xludf.DUMMYFUNCTION("split(split(K1553,""二宮和也　"",false),""公式LINE"",false)"),"誠治(二宮和也)は、隣人の西本(坂口良子)の差し金とは知らず、相沢(ムロツヨシ)という男にだまされて商品を購入させられた寿美子(浅野温子)のために、自分が働いて貯めてきた100万円を使ったことを大悦土木のメンバーに話す。職長の大悦(大友康平)は誠治へ大悦土木の正社員にならないかと持ちかける。一方で誠治は、先日寿美子の為に最終面接を受けずに家へ戻った会社から、会って話がしたいと言われる。ある日、武家には姑との関係が悪化した亜矢子(井川遥)が息子の智也(橋本智哉)を連れて帰ってきてしまう。また設計部門に行くこ"&amp;"とが決まった真奈美(香里奈)は、和歌山に2年間研修に行くことになって・・・。誠治は大悦土木の仲間と離れてしまうのか。真奈美との関係は?そして、目標だった家を、買うことができるのか。")</f>
        <v>誠治(二宮和也)は、隣人の西本(坂口良子)の差し金とは知らず、相沢(ムロツヨシ)という男にだまされて商品を購入させられた寿美子(浅野温子)のために、自分が働いて貯めてきた100万円を使ったことを大悦土木のメンバーに話す。職長の大悦(大友康平)は誠治へ大悦土木の正社員にならないかと持ちかける。一方で誠治は、先日寿美子の為に最終面接を受けずに家へ戻った会社から、会って話がしたいと言われる。ある日、武家には姑との関係が悪化した亜矢子(井川遥)が息子の智也(橋本智哉)を連れて帰ってきてしまう。また設計部門に行くことが決まった真奈美(香里奈)は、和歌山に2年間研修に行くことになって・・・。誠治は大悦土木の仲間と離れてしまうのか。真奈美との関係は?そして、目標だった家を、買うことができるのか。</v>
      </c>
      <c r="N1553" s="2"/>
      <c r="O1553" s="2"/>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row>
    <row r="1554" ht="204.75" customHeight="1">
      <c r="A1554" s="1">
        <v>4565.0</v>
      </c>
      <c r="B1554" s="2" t="s">
        <v>4970</v>
      </c>
      <c r="C1554" s="2">
        <f>IFERROR(__xludf.DUMMYFUNCTION("split(B1554,""_"")"),1010.0)</f>
        <v>1010</v>
      </c>
      <c r="D1554" s="2" t="str">
        <f>IFERROR(__xludf.DUMMYFUNCTION("""COMPUTED_VALUE"""),"CX")</f>
        <v>CX</v>
      </c>
      <c r="E1554" s="2" t="str">
        <f>IFERROR(__xludf.DUMMYFUNCTION("""COMPUTED_VALUE"""),"火22")</f>
        <v>火22</v>
      </c>
      <c r="F1554" s="2" t="s">
        <v>4971</v>
      </c>
      <c r="G1554" s="2" t="s">
        <v>4972</v>
      </c>
      <c r="H1554" s="1">
        <v>1.0</v>
      </c>
      <c r="I1554" s="1" t="s">
        <v>3</v>
      </c>
      <c r="J1554" s="1" t="s">
        <v>82</v>
      </c>
      <c r="K1554" s="4" t="s">
        <v>4973</v>
      </c>
      <c r="L1554" s="2" t="s">
        <v>4974</v>
      </c>
      <c r="M1554" s="2" t="str">
        <f>IFERROR(__xludf.DUMMYFUNCTION("split(split(K1554,""菅野美穂　 "",false),""公式LINE"",false)"),"過去の冤罪を晴らすため、心美しきその女は復讐の鬼と化す…。人を追い詰め、死に追いやり、破滅へと向かわせる。そして、危険と知りながらも、その女を追う失意の刑事。すべての人物が激しい運命に巻き込まれる、極上のミステリーが幕を開ける!　東京・目黒のオフィスビルから男が飛び降り自殺を遂げた。騒然となる現場から犬を連れた女・野上芽衣子(菅野美穂)が人知れず立ち去る。  　1カ月後、警視庁捜査一課の管理官・三輪周平(モロ師岡)が失踪。捜索を開始した部下の刑事・真島拓朗(玉木宏)は、側溝に落ちた犬が助け出せず困っている"&amp;"芽衣子に出会う。　まもなく、三輪の残した手帳から目黒の自殺事件を報じる新聞記事が発見された。真島は事件と三輪の関係を追う中、ペットサロンで三輪の愛犬を担当していた芽衣子に再会。飼い主の不在で行き場をなくした犬の面倒を見たいと申し出る心やさしい芽衣子だが、彼女には別の顔があった…。")</f>
        <v>過去の冤罪を晴らすため、心美しきその女は復讐の鬼と化す…。人を追い詰め、死に追いやり、破滅へと向かわせる。そして、危険と知りながらも、その女を追う失意の刑事。すべての人物が激しい運命に巻き込まれる、極上のミステリーが幕を開ける!　東京・目黒のオフィスビルから男が飛び降り自殺を遂げた。騒然となる現場から犬を連れた女・野上芽衣子(菅野美穂)が人知れず立ち去る。  　1カ月後、警視庁捜査一課の管理官・三輪周平(モロ師岡)が失踪。捜索を開始した部下の刑事・真島拓朗(玉木宏)は、側溝に落ちた犬が助け出せず困っている芽衣子に出会う。　まもなく、三輪の残した手帳から目黒の自殺事件を報じる新聞記事が発見された。真島は事件と三輪の関係を追う中、ペットサロンで三輪の愛犬を担当していた芽衣子に再会。飼い主の不在で行き場をなくした犬の面倒を見たいと申し出る心やさしい芽衣子だが、彼女には別の顔があった…。</v>
      </c>
      <c r="N1554" s="2"/>
      <c r="O1554" s="2"/>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row>
    <row r="1555" ht="204.75" customHeight="1">
      <c r="A1555" s="1">
        <v>4566.0</v>
      </c>
      <c r="B1555" s="2" t="s">
        <v>4970</v>
      </c>
      <c r="C1555" s="2">
        <f>IFERROR(__xludf.DUMMYFUNCTION("split(B1555,""_"")"),1010.0)</f>
        <v>1010</v>
      </c>
      <c r="D1555" s="2" t="str">
        <f>IFERROR(__xludf.DUMMYFUNCTION("""COMPUTED_VALUE"""),"CX")</f>
        <v>CX</v>
      </c>
      <c r="E1555" s="2" t="str">
        <f>IFERROR(__xludf.DUMMYFUNCTION("""COMPUTED_VALUE"""),"火22")</f>
        <v>火22</v>
      </c>
      <c r="F1555" s="2" t="s">
        <v>4971</v>
      </c>
      <c r="G1555" s="2" t="s">
        <v>4975</v>
      </c>
      <c r="H1555" s="1">
        <v>2.0</v>
      </c>
      <c r="I1555" s="1" t="s">
        <v>7</v>
      </c>
      <c r="J1555" s="1" t="s">
        <v>82</v>
      </c>
      <c r="K1555" s="2" t="s">
        <v>4976</v>
      </c>
      <c r="L1555" s="8" t="s">
        <v>4977</v>
      </c>
      <c r="M1555" s="2" t="str">
        <f>IFERROR(__xludf.DUMMYFUNCTION("split(split(K1555,""菅野美穂　 "",false),""公式LINE"",false)"),"http://guilty.ktv.jp/　芽衣子(菅野美穂)が15年前に起こった毒殺事件の被疑者だったことを知った真島(玉木宏)は、彼女の身辺調査を開始。職業をシステムエンジニアだと偽り、パソコンの苦手な芽衣子の指導をある思惑を持って引き受ける。  　その頃、芽衣子はアニマルセラピーのボランティアで訪ねた病院で重い心臓病を患う少女・美咲(美山加恋)と親しくなる一方、次のターゲットである弁護士の松永征一(石丸謙二郎)を追い詰め始めていた。　そんな折、真島は宇喜田(吉田鋼太郎)から、後輩の宏太(川野直樹)を"&amp;"殺した溝口(金井勇太)の意外な判決について知らされ…。")</f>
        <v>http://guilty.ktv.jp/　芽衣子(菅野美穂)が15年前に起こった毒殺事件の被疑者だったことを知った真島(玉木宏)は、彼女の身辺調査を開始。職業をシステムエンジニアだと偽り、パソコンの苦手な芽衣子の指導をある思惑を持って引き受ける。  　その頃、芽衣子はアニマルセラピーのボランティアで訪ねた病院で重い心臓病を患う少女・美咲(美山加恋)と親しくなる一方、次のターゲットである弁護士の松永征一(石丸謙二郎)を追い詰め始めていた。　そんな折、真島は宇喜田(吉田鋼太郎)から、後輩の宏太(川野直樹)を殺した溝口(金井勇太)の意外な判決について知らされ…。</v>
      </c>
      <c r="N1555" s="2"/>
      <c r="O1555" s="2"/>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row>
    <row r="1556" ht="204.75" customHeight="1">
      <c r="A1556" s="1">
        <v>4567.0</v>
      </c>
      <c r="B1556" s="2" t="s">
        <v>4970</v>
      </c>
      <c r="C1556" s="2">
        <f>IFERROR(__xludf.DUMMYFUNCTION("split(B1556,""_"")"),1010.0)</f>
        <v>1010</v>
      </c>
      <c r="D1556" s="2" t="str">
        <f>IFERROR(__xludf.DUMMYFUNCTION("""COMPUTED_VALUE"""),"CX")</f>
        <v>CX</v>
      </c>
      <c r="E1556" s="2" t="str">
        <f>IFERROR(__xludf.DUMMYFUNCTION("""COMPUTED_VALUE"""),"火22")</f>
        <v>火22</v>
      </c>
      <c r="F1556" s="2" t="s">
        <v>4971</v>
      </c>
      <c r="G1556" s="2" t="s">
        <v>4978</v>
      </c>
      <c r="H1556" s="1">
        <v>3.0</v>
      </c>
      <c r="I1556" s="1" t="s">
        <v>10</v>
      </c>
      <c r="J1556" s="1" t="s">
        <v>86</v>
      </c>
      <c r="K1556" s="2" t="s">
        <v>4979</v>
      </c>
      <c r="L1556" s="8" t="s">
        <v>4980</v>
      </c>
      <c r="M1556" s="2" t="str">
        <f>IFERROR(__xludf.DUMMYFUNCTION("split(split(K1556,""菅野美穂　 "",false),""公式LINE"",false)"),"http://guilty.ktv.jp/　宇喜田(吉田鋼太郎)から真島(玉木宏)の監視を命じられた万里(吉瀬美智子)は、真島の謹慎を解くこと、真島が進めている三輪(モロ師岡)の捜索に自分も加わり行動をともにすることを条件にこれを受け入れる。　一方、15年前の「毒入りケーキ事件」を調べていた真島は、堂島(唐沢寿明)から思わぬことを聞かされる。当時、芽衣子(菅野美穂)のほかに真犯人がいるとの噂があったというのだ。事件は冤罪の可能性もあったが、堂島はセンセーショナルな記事を書くためにあえてこれを無視したという"&amp;"。  　そんな折、育児拒否に陥ったアンが自分の生んだ子犬を襲うようになり、預けられていた動物病院にいられなくなった。行き場をなくしたアンを心配する芽衣子に、真島は夜だけなら自分の家で引き取ると申し出て、芽衣子と昼夜交代でアンの面倒をみることになる。芽衣子はアンの落ち着き先が決まったことを自分のことのように喜ぶ。  　同じ頃、松永(石丸謙二郎)は、娘・美咲(美山加恋)の心臓移植手術のドナーを見つけるため、怪しく動き始めていた。松永を自殺に追い込む機会をうかがっていた芽衣子は、そんな松永に対する、ある計画に着"&amp;"手する。")</f>
        <v>http://guilty.ktv.jp/　宇喜田(吉田鋼太郎)から真島(玉木宏)の監視を命じられた万里(吉瀬美智子)は、真島の謹慎を解くこと、真島が進めている三輪(モロ師岡)の捜索に自分も加わり行動をともにすることを条件にこれを受け入れる。　一方、15年前の「毒入りケーキ事件」を調べていた真島は、堂島(唐沢寿明)から思わぬことを聞かされる。当時、芽衣子(菅野美穂)のほかに真犯人がいるとの噂があったというのだ。事件は冤罪の可能性もあったが、堂島はセンセーショナルな記事を書くためにあえてこれを無視したという。  　そんな折、育児拒否に陥ったアンが自分の生んだ子犬を襲うようになり、預けられていた動物病院にいられなくなった。行き場をなくしたアンを心配する芽衣子に、真島は夜だけなら自分の家で引き取ると申し出て、芽衣子と昼夜交代でアンの面倒をみることになる。芽衣子はアンの落ち着き先が決まったことを自分のことのように喜ぶ。  　同じ頃、松永(石丸謙二郎)は、娘・美咲(美山加恋)の心臓移植手術のドナーを見つけるため、怪しく動き始めていた。松永を自殺に追い込む機会をうかがっていた芽衣子は、そんな松永に対する、ある計画に着手する。</v>
      </c>
      <c r="N1556" s="2"/>
      <c r="O1556" s="2"/>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row>
    <row r="1557" ht="204.75" customHeight="1">
      <c r="A1557" s="1">
        <v>4568.0</v>
      </c>
      <c r="B1557" s="2" t="s">
        <v>4970</v>
      </c>
      <c r="C1557" s="2">
        <f>IFERROR(__xludf.DUMMYFUNCTION("split(B1557,""_"")"),1010.0)</f>
        <v>1010</v>
      </c>
      <c r="D1557" s="2" t="str">
        <f>IFERROR(__xludf.DUMMYFUNCTION("""COMPUTED_VALUE"""),"CX")</f>
        <v>CX</v>
      </c>
      <c r="E1557" s="2" t="str">
        <f>IFERROR(__xludf.DUMMYFUNCTION("""COMPUTED_VALUE"""),"火22")</f>
        <v>火22</v>
      </c>
      <c r="F1557" s="2" t="s">
        <v>4971</v>
      </c>
      <c r="G1557" s="2" t="s">
        <v>4981</v>
      </c>
      <c r="H1557" s="1">
        <v>4.0</v>
      </c>
      <c r="I1557" s="1" t="s">
        <v>14</v>
      </c>
      <c r="J1557" s="1" t="s">
        <v>86</v>
      </c>
      <c r="K1557" s="2" t="s">
        <v>4982</v>
      </c>
      <c r="L1557" s="8" t="s">
        <v>4983</v>
      </c>
      <c r="M1557" s="2" t="str">
        <f>IFERROR(__xludf.DUMMYFUNCTION("split(split(K1557,""菅野美穂　 "",false),""公式LINE"",false)"),"http://guilty.ktv.jp/　15年前の事件を担当した鑑識は三輪(モロ師岡)だった。捜査に加わった万里(吉瀬美智子)は、三輪が失踪前に現れた女子刑務所で「かわいそうなことをした」と芽衣子(菅野美穂)について話していたことを知る。一方、真島(玉木宏)は不審な死を遂げた松永(石丸謙二郎)が弁護士だったことから裁判に着目。芽衣子の事件の公判記録を調べようとするが…。  　そんな中、芽衣子はIT会社の社長・金谷文則(山崎裕太)に狙いを定め、復讐の準備を進めていた。金谷の恋人でタレントの高橋遥(岩佐真"&amp;"悠子)に近づいた芽衣子は、愛犬・シルクのトリミングを担当。自宅マンションに通ってシルクの手入れをし、遥から絶大なる信頼を得ていた。  　そんなある日、金谷の友人の人気タレントが覚せい剤で逮捕された。芽衣子は遥の自宅にあった金谷の服に粉薬の入った袋をこっそりしのばせ、これを遥に見つけさせる。芽衣子の巧みな言葉で覚せい剤だと思い込まされ、金谷にも薬物常用の疑いがあると吹き込まれた遥は、自分にも疑惑が向くのではないかと動揺。そんな遥に金谷から離れるよう助言した芽衣子は、遥にあることを提案する。")</f>
        <v>http://guilty.ktv.jp/　15年前の事件を担当した鑑識は三輪(モロ師岡)だった。捜査に加わった万里(吉瀬美智子)は、三輪が失踪前に現れた女子刑務所で「かわいそうなことをした」と芽衣子(菅野美穂)について話していたことを知る。一方、真島(玉木宏)は不審な死を遂げた松永(石丸謙二郎)が弁護士だったことから裁判に着目。芽衣子の事件の公判記録を調べようとするが…。  　そんな中、芽衣子はIT会社の社長・金谷文則(山崎裕太)に狙いを定め、復讐の準備を進めていた。金谷の恋人でタレントの高橋遥(岩佐真悠子)に近づいた芽衣子は、愛犬・シルクのトリミングを担当。自宅マンションに通ってシルクの手入れをし、遥から絶大なる信頼を得ていた。  　そんなある日、金谷の友人の人気タレントが覚せい剤で逮捕された。芽衣子は遥の自宅にあった金谷の服に粉薬の入った袋をこっそりしのばせ、これを遥に見つけさせる。芽衣子の巧みな言葉で覚せい剤だと思い込まされ、金谷にも薬物常用の疑いがあると吹き込まれた遥は、自分にも疑惑が向くのではないかと動揺。そんな遥に金谷から離れるよう助言した芽衣子は、遥にあることを提案する。</v>
      </c>
      <c r="N1557" s="2"/>
      <c r="O1557" s="2"/>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row>
    <row r="1558" ht="204.75" customHeight="1">
      <c r="A1558" s="1">
        <v>4569.0</v>
      </c>
      <c r="B1558" s="2" t="s">
        <v>4970</v>
      </c>
      <c r="C1558" s="2">
        <f>IFERROR(__xludf.DUMMYFUNCTION("split(B1558,""_"")"),1010.0)</f>
        <v>1010</v>
      </c>
      <c r="D1558" s="2" t="str">
        <f>IFERROR(__xludf.DUMMYFUNCTION("""COMPUTED_VALUE"""),"CX")</f>
        <v>CX</v>
      </c>
      <c r="E1558" s="2" t="str">
        <f>IFERROR(__xludf.DUMMYFUNCTION("""COMPUTED_VALUE"""),"火22")</f>
        <v>火22</v>
      </c>
      <c r="F1558" s="2" t="s">
        <v>4971</v>
      </c>
      <c r="G1558" s="2" t="s">
        <v>4984</v>
      </c>
      <c r="H1558" s="1">
        <v>5.0</v>
      </c>
      <c r="I1558" s="1" t="s">
        <v>17</v>
      </c>
      <c r="J1558" s="1" t="s">
        <v>86</v>
      </c>
      <c r="K1558" s="2" t="s">
        <v>4985</v>
      </c>
      <c r="L1558" s="8" t="s">
        <v>4986</v>
      </c>
      <c r="M1558" s="2" t="str">
        <f>IFERROR(__xludf.DUMMYFUNCTION("split(split(K1558,""菅野美穂　 "",false),""公式LINE"",false)"),"http://guilty.ktv.jp/　芽衣子(菅野美穂)は、IT会社社長・金谷(山崎裕太)の恋人・遥(岩佐真悠子)を誘拐と見せかけ連れ出した。さらに、覚せい剤を常用している証拠を世間に公表すると金谷を脅し、5億円を要求。一方、金谷のオフィスに駆けつけた真島(玉木宏)は、金谷の身に危険が迫っていると面会を求めるが、社員に追い払われてしまう。  　芽衣子の復讐計画に巻き込まれているとも知らず、遥は金谷の祖母・ミエ(上岡紘子)が暮らす高級老人ホームに身を隠していた。芽衣子は金谷が明日にも逮捕されると遥に吹"&amp;"き込み、しばらく潜伏を続けるよう言い含める。  　一方、万里(吉瀬美智子)は単独で捜査を進める真島にいら立っていた。真島が芽衣子に近づく意図が知りたい万里は、15年前の事件を調べようと公判資料を請求するが…。  　そんな折、アンを預けにペットサロンを訪れた真島は芽衣子に会う。だが、真島が芽衣子を思わず抱きしめてしまった日以来、真島を遠ざけるようになっていた芽衣子は目を合わせることもできない。そんな芽衣子に真島は、帰宅の遅い自分に代わってアンを部屋に送り届けて欲しいと、自宅の鍵を渡す。")</f>
        <v>http://guilty.ktv.jp/　芽衣子(菅野美穂)は、IT会社社長・金谷(山崎裕太)の恋人・遥(岩佐真悠子)を誘拐と見せかけ連れ出した。さらに、覚せい剤を常用している証拠を世間に公表すると金谷を脅し、5億円を要求。一方、金谷のオフィスに駆けつけた真島(玉木宏)は、金谷の身に危険が迫っていると面会を求めるが、社員に追い払われてしまう。  　芽衣子の復讐計画に巻き込まれているとも知らず、遥は金谷の祖母・ミエ(上岡紘子)が暮らす高級老人ホームに身を隠していた。芽衣子は金谷が明日にも逮捕されると遥に吹き込み、しばらく潜伏を続けるよう言い含める。  　一方、万里(吉瀬美智子)は単独で捜査を進める真島にいら立っていた。真島が芽衣子に近づく意図が知りたい万里は、15年前の事件を調べようと公判資料を請求するが…。  　そんな折、アンを預けにペットサロンを訪れた真島は芽衣子に会う。だが、真島が芽衣子を思わず抱きしめてしまった日以来、真島を遠ざけるようになっていた芽衣子は目を合わせることもできない。そんな芽衣子に真島は、帰宅の遅い自分に代わってアンを部屋に送り届けて欲しいと、自宅の鍵を渡す。</v>
      </c>
      <c r="N1558" s="2"/>
      <c r="O1558" s="2"/>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row>
    <row r="1559" ht="204.75" customHeight="1">
      <c r="A1559" s="1">
        <v>4570.0</v>
      </c>
      <c r="B1559" s="2" t="s">
        <v>4970</v>
      </c>
      <c r="C1559" s="2">
        <f>IFERROR(__xludf.DUMMYFUNCTION("split(B1559,""_"")"),1010.0)</f>
        <v>1010</v>
      </c>
      <c r="D1559" s="2" t="str">
        <f>IFERROR(__xludf.DUMMYFUNCTION("""COMPUTED_VALUE"""),"CX")</f>
        <v>CX</v>
      </c>
      <c r="E1559" s="2" t="str">
        <f>IFERROR(__xludf.DUMMYFUNCTION("""COMPUTED_VALUE"""),"火22")</f>
        <v>火22</v>
      </c>
      <c r="F1559" s="2" t="s">
        <v>4971</v>
      </c>
      <c r="G1559" s="2" t="s">
        <v>4987</v>
      </c>
      <c r="H1559" s="1">
        <v>6.0</v>
      </c>
      <c r="I1559" s="1" t="s">
        <v>21</v>
      </c>
      <c r="J1559" s="1" t="s">
        <v>86</v>
      </c>
      <c r="K1559" s="2" t="s">
        <v>4988</v>
      </c>
      <c r="L1559" s="8" t="s">
        <v>4989</v>
      </c>
      <c r="M1559" s="2" t="str">
        <f>IFERROR(__xludf.DUMMYFUNCTION("split(split(K1559,""菅野美穂　 "",false),""公式LINE"",false)"),"http://guilty.ktv.jp/金谷(山崎裕太)が遺体で見つかったビルの前で三輪(モロ師岡)を目撃した真島(玉木宏)は、万里(吉瀬美智子)とともに行方を追うが足取りはつかめない。そんな折、宇喜田(吉田鋼太郎)から三輪を金谷殺害の重要参考人として追うと告げられる。三輪のパソコンから金谷の殺害計画を記したようなファイルが見つかったというのだ。    　一方、芽衣子(菅野美穂)は真島が刑事だったと知り、ショックを受けていた。そんなとき、ペットショップに現れた真島を何事もなかったかのように迎えた芽衣子は"&amp;"「話したいことがある」と食事に誘う。    　芽衣子は自分が殺人罪で逮捕されたことを打ち明けて探りを入れ、真島が事件を知っていたと察して複雑な心境に。そんな2人の様子をじっとうかがう黒い影があった。    　翌日、万里は次に命を狙われるのは堂島(唐沢寿明)だとにらみ、保護させて欲しいと説得するが、堂島はこれを拒否。まもなく、その場を立ち去った堂島の携帯電話が鳴り出した。非通知着信の電話に怪訝そうに出る堂島は、聞こえてくるその声にハっと驚く。自分を責めるようなその口調…。それは、野上芽衣子からの電話だった。")</f>
        <v>http://guilty.ktv.jp/金谷(山崎裕太)が遺体で見つかったビルの前で三輪(モロ師岡)を目撃した真島(玉木宏)は、万里(吉瀬美智子)とともに行方を追うが足取りはつかめない。そんな折、宇喜田(吉田鋼太郎)から三輪を金谷殺害の重要参考人として追うと告げられる。三輪のパソコンから金谷の殺害計画を記したようなファイルが見つかったというのだ。    　一方、芽衣子(菅野美穂)は真島が刑事だったと知り、ショックを受けていた。そんなとき、ペットショップに現れた真島を何事もなかったかのように迎えた芽衣子は「話したいことがある」と食事に誘う。    　芽衣子は自分が殺人罪で逮捕されたことを打ち明けて探りを入れ、真島が事件を知っていたと察して複雑な心境に。そんな2人の様子をじっとうかがう黒い影があった。    　翌日、万里は次に命を狙われるのは堂島(唐沢寿明)だとにらみ、保護させて欲しいと説得するが、堂島はこれを拒否。まもなく、その場を立ち去った堂島の携帯電話が鳴り出した。非通知着信の電話に怪訝そうに出る堂島は、聞こえてくるその声にハっと驚く。自分を責めるようなその口調…。それは、野上芽衣子からの電話だった。</v>
      </c>
      <c r="N1559" s="2"/>
      <c r="O1559" s="2"/>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row>
    <row r="1560" ht="204.75" customHeight="1">
      <c r="A1560" s="1">
        <v>4571.0</v>
      </c>
      <c r="B1560" s="2" t="s">
        <v>4970</v>
      </c>
      <c r="C1560" s="2">
        <f>IFERROR(__xludf.DUMMYFUNCTION("split(B1560,""_"")"),1010.0)</f>
        <v>1010</v>
      </c>
      <c r="D1560" s="2" t="str">
        <f>IFERROR(__xludf.DUMMYFUNCTION("""COMPUTED_VALUE"""),"CX")</f>
        <v>CX</v>
      </c>
      <c r="E1560" s="2" t="str">
        <f>IFERROR(__xludf.DUMMYFUNCTION("""COMPUTED_VALUE"""),"火22")</f>
        <v>火22</v>
      </c>
      <c r="F1560" s="2" t="s">
        <v>4971</v>
      </c>
      <c r="G1560" s="2" t="s">
        <v>4990</v>
      </c>
      <c r="H1560" s="1">
        <v>7.0</v>
      </c>
      <c r="I1560" s="1" t="s">
        <v>25</v>
      </c>
      <c r="J1560" s="1" t="s">
        <v>86</v>
      </c>
      <c r="K1560" s="2" t="s">
        <v>4991</v>
      </c>
      <c r="L1560" s="8" t="s">
        <v>4992</v>
      </c>
      <c r="M1560" s="2" t="str">
        <f>IFERROR(__xludf.DUMMYFUNCTION("split(split(K1560,""菅野美穂　 "",false),""公式LINE"",false)"),"http://guilty.ktv.jp/　情報提供者だった堂島(唐沢寿明)から「あんたの復讐はおしまい」と告げられた芽衣子(菅野美穂)は、渡された次のターゲットの資料を見てその意味を知る。芽衣子を襲った男は溝口(金井勇太)で、警視庁捜査一課の実権を握る宇喜田(吉田鋼太郎)と裏で繋がっていたのだ。宇喜田が警察権力を巧みに利用し、溝口まで使って自分を妨害していると考えた芽衣子は、ある企みを胸に復讐の続行を決意する。　一方、真島(玉木宏)は三輪(モロ師岡)の電話から、芽衣子を冤罪に追い込んだのは警察関係者では"&amp;"ないかとにらんでいた。さらに捜査の中で、15年前の事件の担当が宇喜田だったこと、事件をきっかけに異例の出世を遂げていることを知り、この事実を突きつけて宇喜田を挑発する。まもなく、宇喜田は密かに溝口と接触。芽衣子とは別のある人物を襲うよう指示する。    　そんな折、真島に三輪から再び電話が入った。人気のない場所に真島を呼び出した三輪は、15年前の事件について驚くべき事実を明かす。")</f>
        <v>http://guilty.ktv.jp/　情報提供者だった堂島(唐沢寿明)から「あんたの復讐はおしまい」と告げられた芽衣子(菅野美穂)は、渡された次のターゲットの資料を見てその意味を知る。芽衣子を襲った男は溝口(金井勇太)で、警視庁捜査一課の実権を握る宇喜田(吉田鋼太郎)と裏で繋がっていたのだ。宇喜田が警察権力を巧みに利用し、溝口まで使って自分を妨害していると考えた芽衣子は、ある企みを胸に復讐の続行を決意する。　一方、真島(玉木宏)は三輪(モロ師岡)の電話から、芽衣子を冤罪に追い込んだのは警察関係者ではないかとにらんでいた。さらに捜査の中で、15年前の事件の担当が宇喜田だったこと、事件をきっかけに異例の出世を遂げていることを知り、この事実を突きつけて宇喜田を挑発する。まもなく、宇喜田は密かに溝口と接触。芽衣子とは別のある人物を襲うよう指示する。    　そんな折、真島に三輪から再び電話が入った。人気のない場所に真島を呼び出した三輪は、15年前の事件について驚くべき事実を明かす。</v>
      </c>
      <c r="N1560" s="2"/>
      <c r="O1560" s="2"/>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row>
    <row r="1561" ht="204.75" customHeight="1">
      <c r="A1561" s="1">
        <v>4572.0</v>
      </c>
      <c r="B1561" s="2" t="s">
        <v>4970</v>
      </c>
      <c r="C1561" s="2">
        <f>IFERROR(__xludf.DUMMYFUNCTION("split(B1561,""_"")"),1010.0)</f>
        <v>1010</v>
      </c>
      <c r="D1561" s="2" t="str">
        <f>IFERROR(__xludf.DUMMYFUNCTION("""COMPUTED_VALUE"""),"CX")</f>
        <v>CX</v>
      </c>
      <c r="E1561" s="2" t="str">
        <f>IFERROR(__xludf.DUMMYFUNCTION("""COMPUTED_VALUE"""),"火22")</f>
        <v>火22</v>
      </c>
      <c r="F1561" s="2" t="s">
        <v>4971</v>
      </c>
      <c r="G1561" s="2" t="s">
        <v>4993</v>
      </c>
      <c r="H1561" s="1">
        <v>8.0</v>
      </c>
      <c r="I1561" s="1" t="s">
        <v>29</v>
      </c>
      <c r="J1561" s="1" t="s">
        <v>86</v>
      </c>
      <c r="K1561" s="2" t="s">
        <v>4994</v>
      </c>
      <c r="L1561" s="8" t="s">
        <v>4995</v>
      </c>
      <c r="M1561" s="2" t="str">
        <f>IFERROR(__xludf.DUMMYFUNCTION("split(split(K1561,""菅野美穂　 "",false),""公式LINE"",false)"),"http://guilty.ktv.jp/　腹を刺された三輪(モロ師岡)が息を引き取り、溝口(金井勇太)が現場から逃走した。だが、溝口と宇喜田(吉田鋼太郎)のつながりを知った警察上層部は事実を隠蔽。三輪が暴力団の抗争に巻き込まれて死亡したと発表する。納得いかない万里(吉瀬美智子)は捜査を続行。事件を警察に通報したのが芽衣子(菅野美穂)だったと知る。    　一方、真島(玉木宏)は溝口の行方を追っていた。溝口への激しい怒りが抑えきれず、何かに憑かれたように溝口を探す真島を心配する鶴見(水上剣星)。    　"&amp;"万里は事件の現場にいた芽衣子が溝口とつながり、真島や三輪を襲わせたのではないかと疑っていた。芽衣子のもとに押しかけ、溝口との関係を問いただす万里。だが、真相を話そうとしない芽衣子にいら立つ万里は「あなたの本性を必ず暴いてみせる」と挑戦的に言い放つ。    　そんな折、真島に溝口から電話が入った。真島の好きな女を殺すと次の犯行をほのめかす溝口の言葉にハッとなった真島が駆けつけたのは芽衣子のもとだった。真島は芽衣子をつけてきた溝口を発見し、拳銃を取り出して追いかけていく。溝口が真島に襲いかかるが、これをかわし"&amp;"、真島は溝口に対して恨みをこめて銃口を向ける。そして、芽衣子の目の前で銃声が響きわたった。")</f>
        <v>http://guilty.ktv.jp/　腹を刺された三輪(モロ師岡)が息を引き取り、溝口(金井勇太)が現場から逃走した。だが、溝口と宇喜田(吉田鋼太郎)のつながりを知った警察上層部は事実を隠蔽。三輪が暴力団の抗争に巻き込まれて死亡したと発表する。納得いかない万里(吉瀬美智子)は捜査を続行。事件を警察に通報したのが芽衣子(菅野美穂)だったと知る。    　一方、真島(玉木宏)は溝口の行方を追っていた。溝口への激しい怒りが抑えきれず、何かに憑かれたように溝口を探す真島を心配する鶴見(水上剣星)。    　万里は事件の現場にいた芽衣子が溝口とつながり、真島や三輪を襲わせたのではないかと疑っていた。芽衣子のもとに押しかけ、溝口との関係を問いただす万里。だが、真相を話そうとしない芽衣子にいら立つ万里は「あなたの本性を必ず暴いてみせる」と挑戦的に言い放つ。    　そんな折、真島に溝口から電話が入った。真島の好きな女を殺すと次の犯行をほのめかす溝口の言葉にハッとなった真島が駆けつけたのは芽衣子のもとだった。真島は芽衣子をつけてきた溝口を発見し、拳銃を取り出して追いかけていく。溝口が真島に襲いかかるが、これをかわし、真島は溝口に対して恨みをこめて銃口を向ける。そして、芽衣子の目の前で銃声が響きわたった。</v>
      </c>
      <c r="N1561" s="2"/>
      <c r="O1561" s="2"/>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row>
    <row r="1562" ht="204.75" customHeight="1">
      <c r="A1562" s="1">
        <v>4573.0</v>
      </c>
      <c r="B1562" s="2" t="s">
        <v>4970</v>
      </c>
      <c r="C1562" s="2">
        <f>IFERROR(__xludf.DUMMYFUNCTION("split(B1562,""_"")"),1010.0)</f>
        <v>1010</v>
      </c>
      <c r="D1562" s="2" t="str">
        <f>IFERROR(__xludf.DUMMYFUNCTION("""COMPUTED_VALUE"""),"CX")</f>
        <v>CX</v>
      </c>
      <c r="E1562" s="2" t="str">
        <f>IFERROR(__xludf.DUMMYFUNCTION("""COMPUTED_VALUE"""),"火22")</f>
        <v>火22</v>
      </c>
      <c r="F1562" s="2" t="s">
        <v>4971</v>
      </c>
      <c r="G1562" s="2" t="s">
        <v>4996</v>
      </c>
      <c r="H1562" s="1">
        <v>9.0</v>
      </c>
      <c r="I1562" s="1" t="s">
        <v>33</v>
      </c>
      <c r="J1562" s="1" t="s">
        <v>86</v>
      </c>
      <c r="K1562" s="2" t="s">
        <v>4997</v>
      </c>
      <c r="L1562" s="8" t="s">
        <v>4998</v>
      </c>
      <c r="M1562" s="2" t="str">
        <f>IFERROR(__xludf.DUMMYFUNCTION("split(split(K1562,""菅野美穂　 "",false),""公式LINE"",false)"),"http://guilty.ktv.jp/　警察上層部は溝口(金井勇太)を事故死として処理。万里(吉瀬美智子)は事件当時、真島(玉木宏)が溝口を追っていたと知り、真島が復讐のために溝口を殺したのではないかと不安を覚える。    　一方、真島は芽衣子(菅野美穂)を訪ね、芽衣子を危険にさらしてしまった責任は自分にあると告げると、「君のことは俺が守る」と言って立ち去る。    　その頃、堂島(唐沢寿明)は、ある豪邸の前で単独で張り込みを続け、15年前の事件の黒幕に迫りつつあった。宇喜田(吉田鋼太郎)がこの中にい"&amp;"るとにらむ堂島。その憶測どおり、そこで宇喜田はある男から叱責を受けていた…。    　万里は真島への疑念がぬぐえず、溝口の死への関与を真島に問いただす。真島は溝口を殺すことができれば手にかけていたかもしれないと告白。そんな自分に刑事を続ける資格はないと辞職の決意を告げ、万里を絶句させる。　翌朝、芽衣子は堂島を訪ね、なんとか事件の黒幕の正体を聞き出そうと堂島に食い下がるが、堂島は頑として教えようとしない。    　その後、堂島は出版社に馴染みの政治記者を訪ね、ある写真を見せる。そこで堂島は事件の黒幕が誰だっ"&amp;"たのか確信を得ることになる。")</f>
        <v>http://guilty.ktv.jp/　警察上層部は溝口(金井勇太)を事故死として処理。万里(吉瀬美智子)は事件当時、真島(玉木宏)が溝口を追っていたと知り、真島が復讐のために溝口を殺したのではないかと不安を覚える。    　一方、真島は芽衣子(菅野美穂)を訪ね、芽衣子を危険にさらしてしまった責任は自分にあると告げると、「君のことは俺が守る」と言って立ち去る。    　その頃、堂島(唐沢寿明)は、ある豪邸の前で単独で張り込みを続け、15年前の事件の黒幕に迫りつつあった。宇喜田(吉田鋼太郎)がこの中にいるとにらむ堂島。その憶測どおり、そこで宇喜田はある男から叱責を受けていた…。    　万里は真島への疑念がぬぐえず、溝口の死への関与を真島に問いただす。真島は溝口を殺すことができれば手にかけていたかもしれないと告白。そんな自分に刑事を続ける資格はないと辞職の決意を告げ、万里を絶句させる。　翌朝、芽衣子は堂島を訪ね、なんとか事件の黒幕の正体を聞き出そうと堂島に食い下がるが、堂島は頑として教えようとしない。    　その後、堂島は出版社に馴染みの政治記者を訪ね、ある写真を見せる。そこで堂島は事件の黒幕が誰だったのか確信を得ることになる。</v>
      </c>
      <c r="N1562" s="2"/>
      <c r="O1562" s="2"/>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row>
    <row r="1563" ht="204.75" customHeight="1">
      <c r="A1563" s="1">
        <v>4574.0</v>
      </c>
      <c r="B1563" s="2" t="s">
        <v>4970</v>
      </c>
      <c r="C1563" s="2">
        <f>IFERROR(__xludf.DUMMYFUNCTION("split(B1563,""_"")"),1010.0)</f>
        <v>1010</v>
      </c>
      <c r="D1563" s="2" t="str">
        <f>IFERROR(__xludf.DUMMYFUNCTION("""COMPUTED_VALUE"""),"CX")</f>
        <v>CX</v>
      </c>
      <c r="E1563" s="2" t="str">
        <f>IFERROR(__xludf.DUMMYFUNCTION("""COMPUTED_VALUE"""),"火22")</f>
        <v>火22</v>
      </c>
      <c r="F1563" s="2" t="s">
        <v>4971</v>
      </c>
      <c r="G1563" s="2" t="s">
        <v>4999</v>
      </c>
      <c r="H1563" s="1">
        <v>10.0</v>
      </c>
      <c r="I1563" s="1" t="s">
        <v>37</v>
      </c>
      <c r="J1563" s="1" t="s">
        <v>86</v>
      </c>
      <c r="K1563" s="2" t="s">
        <v>5000</v>
      </c>
      <c r="L1563" s="8" t="s">
        <v>5001</v>
      </c>
      <c r="M1563" s="2" t="str">
        <f>IFERROR(__xludf.DUMMYFUNCTION("split(split(K1563,""菅野美穂　 "",false),""公式LINE"",false)"),"http://guilty.ktv.jp/　堂島(唐沢寿明)を自殺に追い込んだ疑いで逮捕された宇喜田(吉田鋼太郎)が逃走し、そのまま姿をくらました。一方、真島(玉木宏)は芽衣子(菅野美穂)に復讐を止めさせようと自分のマンションに閉じ込め、宇喜田は自分が捕まえると約束。堂島が死ぬ前に言い残したことを聞き出そうとするが、芽衣子は何も話そうとしない。　捜査一課では、宇喜田の行方を追う万里(吉瀬美智子)や門倉(RIKIYA)らが、不祥事を隠蔽しようと宇喜田を指名手配しない警察上層部の対応にいら立っていた。そんな折"&amp;"、真島が現れ、辞表を撤回して宇喜田の捜索に加わる。その頃、宇喜田はある大物代議士の家に潜んでいた…。  　まもなく、芽衣子の監視を頼まれて真島のマンションにやって来た万里は、芽衣子が姿を消していることに気づく。芽衣子はマンションを抜け出し、ペットサロンに来ていた。店を辞めたいと言い出す芽衣子に驚く琴美(横山めぐみ)と彩乃(滝沢沙織)。そんなとき、芽衣子に電話が入る。「堂島から預かった原稿のデータを渡せ」と芽衣子を脅す聞き覚えのあるその声…。ペットサロンの襲撃をほのめかす言葉にハッとなった芽衣子が外を見ると"&amp;"、宇喜田が店の前に立っていた。")</f>
        <v>http://guilty.ktv.jp/　堂島(唐沢寿明)を自殺に追い込んだ疑いで逮捕された宇喜田(吉田鋼太郎)が逃走し、そのまま姿をくらました。一方、真島(玉木宏)は芽衣子(菅野美穂)に復讐を止めさせようと自分のマンションに閉じ込め、宇喜田は自分が捕まえると約束。堂島が死ぬ前に言い残したことを聞き出そうとするが、芽衣子は何も話そうとしない。　捜査一課では、宇喜田の行方を追う万里(吉瀬美智子)や門倉(RIKIYA)らが、不祥事を隠蔽しようと宇喜田を指名手配しない警察上層部の対応にいら立っていた。そんな折、真島が現れ、辞表を撤回して宇喜田の捜索に加わる。その頃、宇喜田はある大物代議士の家に潜んでいた…。  　まもなく、芽衣子の監視を頼まれて真島のマンションにやって来た万里は、芽衣子が姿を消していることに気づく。芽衣子はマンションを抜け出し、ペットサロンに来ていた。店を辞めたいと言い出す芽衣子に驚く琴美(横山めぐみ)と彩乃(滝沢沙織)。そんなとき、芽衣子に電話が入る。「堂島から預かった原稿のデータを渡せ」と芽衣子を脅す聞き覚えのあるその声…。ペットサロンの襲撃をほのめかす言葉にハッとなった芽衣子が外を見ると、宇喜田が店の前に立っていた。</v>
      </c>
      <c r="N1563" s="2"/>
      <c r="O1563" s="2"/>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row>
    <row r="1564" ht="204.75" customHeight="1">
      <c r="A1564" s="1">
        <v>4575.0</v>
      </c>
      <c r="B1564" s="2" t="s">
        <v>4970</v>
      </c>
      <c r="C1564" s="2">
        <f>IFERROR(__xludf.DUMMYFUNCTION("split(B1564,""_"")"),1010.0)</f>
        <v>1010</v>
      </c>
      <c r="D1564" s="2" t="str">
        <f>IFERROR(__xludf.DUMMYFUNCTION("""COMPUTED_VALUE"""),"CX")</f>
        <v>CX</v>
      </c>
      <c r="E1564" s="2" t="str">
        <f>IFERROR(__xludf.DUMMYFUNCTION("""COMPUTED_VALUE"""),"火22")</f>
        <v>火22</v>
      </c>
      <c r="F1564" s="2" t="s">
        <v>4971</v>
      </c>
      <c r="G1564" s="2" t="s">
        <v>5002</v>
      </c>
      <c r="H1564" s="1">
        <v>11.0</v>
      </c>
      <c r="I1564" s="1" t="s">
        <v>41</v>
      </c>
      <c r="J1564" s="1" t="s">
        <v>82</v>
      </c>
      <c r="K1564" s="2" t="s">
        <v>5003</v>
      </c>
      <c r="L1564" s="8" t="s">
        <v>5004</v>
      </c>
      <c r="M1564" s="2" t="str">
        <f>IFERROR(__xludf.DUMMYFUNCTION("split(split(K1564,""菅野美穂　 "",false),""公式LINE"",false)"),"http://guilty.ktv.jp/　芽衣子(菅野美穂)は、最後の復讐を成し遂げるため、三沢準(柏原収史)に接近し、堂島(唐沢寿明)の残した原稿を公開して準と代議士の父・豪(津嘉山正種)を破滅させると脅迫。公開されたくなければ、ある条件を飲めと持ちかける。    　一方、真島(玉木宏)は万里(吉瀬美智子)から、芽衣子が宇喜田(吉田鋼太郎)に渡したUSBメモリーの中身を見せられる。そこには、高校時代の準の写真に復讐を予告する言葉が添えられた画像データが入っていた。    　真島は豪と息子の準が事件に関"&amp;"係していることを察して三沢邸に駆けつけるが、門前払いを食らってしまう。そんな折、ふいに現れた男が真島に堂島のデジカメを手渡す。堂島は自分がつかんだ事件の黒幕を真島に伝えようと、動画でメッセージを残していたのだった。　そんなとき、三沢邸に準の運転する車が到着した。真島は後部座席から降りてきた芽衣子に驚き、また復讐するつもりなのかと必死に問いただす。すると芽衣子は、今後の生活を保障してもらうことで準と和解したと冷たく告げて真島の手を振り払うと、準と邸内に消えていった。")</f>
        <v>http://guilty.ktv.jp/　芽衣子(菅野美穂)は、最後の復讐を成し遂げるため、三沢準(柏原収史)に接近し、堂島(唐沢寿明)の残した原稿を公開して準と代議士の父・豪(津嘉山正種)を破滅させると脅迫。公開されたくなければ、ある条件を飲めと持ちかける。    　一方、真島(玉木宏)は万里(吉瀬美智子)から、芽衣子が宇喜田(吉田鋼太郎)に渡したUSBメモリーの中身を見せられる。そこには、高校時代の準の写真に復讐を予告する言葉が添えられた画像データが入っていた。    　真島は豪と息子の準が事件に関係していることを察して三沢邸に駆けつけるが、門前払いを食らってしまう。そんな折、ふいに現れた男が真島に堂島のデジカメを手渡す。堂島は自分がつかんだ事件の黒幕を真島に伝えようと、動画でメッセージを残していたのだった。　そんなとき、三沢邸に準の運転する車が到着した。真島は後部座席から降りてきた芽衣子に驚き、また復讐するつもりなのかと必死に問いただす。すると芽衣子は、今後の生活を保障してもらうことで準と和解したと冷たく告げて真島の手を振り払うと、準と邸内に消えていった。</v>
      </c>
      <c r="N1564" s="2"/>
      <c r="O1564" s="2"/>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row>
    <row r="1565" ht="204.75" customHeight="1">
      <c r="A1565" s="1">
        <v>4593.0</v>
      </c>
      <c r="B1565" s="2" t="s">
        <v>5005</v>
      </c>
      <c r="C1565" s="2">
        <f>IFERROR(__xludf.DUMMYFUNCTION("split(B1565,""_"")"),1010.0)</f>
        <v>1010</v>
      </c>
      <c r="D1565" s="2" t="str">
        <f>IFERROR(__xludf.DUMMYFUNCTION("""COMPUTED_VALUE"""),"CX")</f>
        <v>CX</v>
      </c>
      <c r="E1565" s="2" t="str">
        <f>IFERROR(__xludf.DUMMYFUNCTION("""COMPUTED_VALUE"""),"木22")</f>
        <v>木22</v>
      </c>
      <c r="F1565" s="2" t="s">
        <v>5006</v>
      </c>
      <c r="G1565" s="2" t="s">
        <v>5007</v>
      </c>
      <c r="H1565" s="1">
        <v>1.0</v>
      </c>
      <c r="I1565" s="1" t="s">
        <v>3</v>
      </c>
      <c r="J1565" s="1" t="s">
        <v>1647</v>
      </c>
      <c r="K1565" s="4" t="s">
        <v>5008</v>
      </c>
      <c r="L1565" s="2" t="s">
        <v>5009</v>
      </c>
      <c r="M1565" s="2" t="str">
        <f>IFERROR(__xludf.DUMMYFUNCTION("split(split(K1565,""坂口憲二　"",false),""公式LINE"",false)"),"“医龍""こと朝田龍太郎(坂口憲二)が、明真大学付属病院を去ってから数年ーー。  　明真はかつての野口賢雄(岸部一徳)のスキャンダルで患者が激減、外科医のレベル低下により訴訟が絶えないなど信用は地に落ちていた。新学長となった鬼頭笙子(夏木マリ)は記者会見で教育・臨床・研究を柱に明真の再建を目指すと宣言する。同じ頃、アメリカでは加藤晶(稲森いずみ)が幼い少女の心臓移植を成功させ、外国人教授たちを驚愕させていた。そして、とある戦地では朝田が爆撃により負傷した女性の治療にあたっていた。  　明真のERにバイク事"&amp;"故により川に放り出された患者が運び込まれてきた。すぐにオペに入る伊集院登(小池徹平)と木原毅彦(池田鉄洋)だが、手のくだしようのない状況に諦めようとしたその時、オペ室に朝田が現れた。朝田はオペ続行を告げ、見事な手腕で成功させる。見学室では、その一部始終を鬼頭と加藤が見つめていた。さらに鬼頭は藤吉圭介(佐々木蔵之介)が勤める病院を訪れ、明真に戻り再生医療研究を完成させるよう説得。明真でチームドラゴンの復活が噂される中、荒瀬門次(阿部サダヲ)は、1年前に執刀医のミスにより患者を死なせてしまった事件以来、オペに"&amp;"は入らなくなっていた。  　藤吉の依頼で、明真に17歳の菅谷有希奈(桜庭ななみ)が転院してきた。有希奈は極めて珍しい心臓の病気で、どこの病院でも外科的治療は不可能と診断されていた…。")</f>
        <v>“医龍"こと朝田龍太郎(坂口憲二)が、明真大学付属病院を去ってから数年ーー。  　明真はかつての野口賢雄(岸部一徳)のスキャンダルで患者が激減、外科医のレベル低下により訴訟が絶えないなど信用は地に落ちていた。新学長となった鬼頭笙子(夏木マリ)は記者会見で教育・臨床・研究を柱に明真の再建を目指すと宣言する。同じ頃、アメリカでは加藤晶(稲森いずみ)が幼い少女の心臓移植を成功させ、外国人教授たちを驚愕させていた。そして、とある戦地では朝田が爆撃により負傷した女性の治療にあたっていた。  　明真のERにバイク事故により川に放り出された患者が運び込まれてきた。すぐにオペに入る伊集院登(小池徹平)と木原毅彦(池田鉄洋)だが、手のくだしようのない状況に諦めようとしたその時、オペ室に朝田が現れた。朝田はオペ続行を告げ、見事な手腕で成功させる。見学室では、その一部始終を鬼頭と加藤が見つめていた。さらに鬼頭は藤吉圭介(佐々木蔵之介)が勤める病院を訪れ、明真に戻り再生医療研究を完成させるよう説得。明真でチームドラゴンの復活が噂される中、荒瀬門次(阿部サダヲ)は、1年前に執刀医のミスにより患者を死なせてしまった事件以来、オペには入らなくなっていた。  　藤吉の依頼で、明真に17歳の菅谷有希奈(桜庭ななみ)が転院してきた。有希奈は極めて珍しい心臓の病気で、どこの病院でも外科的治療は不可能と診断されていた…。</v>
      </c>
      <c r="N1565" s="2"/>
      <c r="O1565" s="2"/>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row>
    <row r="1566" ht="204.75" customHeight="1">
      <c r="A1566" s="1">
        <v>4594.0</v>
      </c>
      <c r="B1566" s="2" t="s">
        <v>5005</v>
      </c>
      <c r="C1566" s="2">
        <f>IFERROR(__xludf.DUMMYFUNCTION("split(B1566,""_"")"),1010.0)</f>
        <v>1010</v>
      </c>
      <c r="D1566" s="2" t="str">
        <f>IFERROR(__xludf.DUMMYFUNCTION("""COMPUTED_VALUE"""),"CX")</f>
        <v>CX</v>
      </c>
      <c r="E1566" s="2" t="str">
        <f>IFERROR(__xludf.DUMMYFUNCTION("""COMPUTED_VALUE"""),"木22")</f>
        <v>木22</v>
      </c>
      <c r="F1566" s="2" t="s">
        <v>5006</v>
      </c>
      <c r="G1566" s="2" t="s">
        <v>5010</v>
      </c>
      <c r="H1566" s="1">
        <v>2.0</v>
      </c>
      <c r="I1566" s="1" t="s">
        <v>7</v>
      </c>
      <c r="J1566" s="1" t="s">
        <v>86</v>
      </c>
      <c r="K1566" s="2" t="s">
        <v>5011</v>
      </c>
      <c r="L1566" s="2" t="s">
        <v>5012</v>
      </c>
      <c r="M1566" s="2" t="str">
        <f>IFERROR(__xludf.DUMMYFUNCTION("split(split(K1566,""坂口憲二　"",false),""公式LINE"",false)"),"朝田龍太郎(坂口憲二)たちが4時間かけた手術を、わずか45分で終わらせてしまった内科医の黒木慶次郎(遠藤憲一)が現れた。黒木は、野口賢雄(岸部一徳)がアメリカから呼び寄せたカテーテル治療のスペシャリストだった。  　野口が鬼頭学長(夏木マリ)に提案するカテーテル部門の強化と外国の富裕層をターゲットとしたメディカルツーリズムを推進する明真の改革案に苛立ちを隠せない加藤晶(稲森いずみ)。伊集院登(小池徹平)も外科医が必要なくなるのではないかと不安を募らせていた。そんな中、明真に入院中の父親の見舞いに来ていた根"&amp;"岸紗江(松下奈緒)が突然倒れた。検査の結果、紗江は重度の心房中隔欠損症であると判明。加藤は早急なオペをすすめるが、紗江は結婚式が2週間後に控えていることを理由にオペの延期を申し出るが一刻の猶予もないと言われてしまう。それを知った黒木は紗江の病室を訪れ、カテーテルをすすめる。オペは2時間、胸に傷も残らず、術後3日で退院できると聞き、紗江はカテーテルを選択。しかし、加藤からカテーテルのリスクの高さを聞いた婚約者の山口(長谷川朝晴)は、迷う紗江を押し切るように朝田の手術を希望した。紗江から、父親に亡き母がかつて"&amp;"着た胸元が大きく開いたウエディングドレスを着た姿を見せたかったと聞いた朝田は、傷跡の残らない術式を提案。難易度があがるため、朝田たちはオペのリハーサルを始めた。")</f>
        <v>朝田龍太郎(坂口憲二)たちが4時間かけた手術を、わずか45分で終わらせてしまった内科医の黒木慶次郎(遠藤憲一)が現れた。黒木は、野口賢雄(岸部一徳)がアメリカから呼び寄せたカテーテル治療のスペシャリストだった。  　野口が鬼頭学長(夏木マリ)に提案するカテーテル部門の強化と外国の富裕層をターゲットとしたメディカルツーリズムを推進する明真の改革案に苛立ちを隠せない加藤晶(稲森いずみ)。伊集院登(小池徹平)も外科医が必要なくなるのではないかと不安を募らせていた。そんな中、明真に入院中の父親の見舞いに来ていた根岸紗江(松下奈緒)が突然倒れた。検査の結果、紗江は重度の心房中隔欠損症であると判明。加藤は早急なオペをすすめるが、紗江は結婚式が2週間後に控えていることを理由にオペの延期を申し出るが一刻の猶予もないと言われてしまう。それを知った黒木は紗江の病室を訪れ、カテーテルをすすめる。オペは2時間、胸に傷も残らず、術後3日で退院できると聞き、紗江はカテーテルを選択。しかし、加藤からカテーテルのリスクの高さを聞いた婚約者の山口(長谷川朝晴)は、迷う紗江を押し切るように朝田の手術を希望した。紗江から、父親に亡き母がかつて着た胸元が大きく開いたウエディングドレスを着た姿を見せたかったと聞いた朝田は、傷跡の残らない術式を提案。難易度があがるため、朝田たちはオペのリハーサルを始めた。</v>
      </c>
      <c r="N1566" s="2"/>
      <c r="O1566" s="2"/>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row>
    <row r="1567" ht="204.75" customHeight="1">
      <c r="A1567" s="1">
        <v>4595.0</v>
      </c>
      <c r="B1567" s="2" t="s">
        <v>5005</v>
      </c>
      <c r="C1567" s="2">
        <f>IFERROR(__xludf.DUMMYFUNCTION("split(B1567,""_"")"),1010.0)</f>
        <v>1010</v>
      </c>
      <c r="D1567" s="2" t="str">
        <f>IFERROR(__xludf.DUMMYFUNCTION("""COMPUTED_VALUE"""),"CX")</f>
        <v>CX</v>
      </c>
      <c r="E1567" s="2" t="str">
        <f>IFERROR(__xludf.DUMMYFUNCTION("""COMPUTED_VALUE"""),"木22")</f>
        <v>木22</v>
      </c>
      <c r="F1567" s="2" t="s">
        <v>5006</v>
      </c>
      <c r="G1567" s="2" t="s">
        <v>5013</v>
      </c>
      <c r="H1567" s="1">
        <v>3.0</v>
      </c>
      <c r="I1567" s="1" t="s">
        <v>10</v>
      </c>
      <c r="J1567" s="1" t="s">
        <v>86</v>
      </c>
      <c r="K1567" s="2" t="s">
        <v>5014</v>
      </c>
      <c r="L1567" s="2" t="s">
        <v>5015</v>
      </c>
      <c r="M1567" s="2" t="str">
        <f>IFERROR(__xludf.DUMMYFUNCTION("split(split(K1567,""坂口憲二　"",false),""公式LINE"",false)"),"明真ではカテーテルが治療の主流となりつつあり、カテーテル医が急増。伊集院登(小池徹平)や木原毅彦(池田鉄洋)ら外科医が、内科医に代わって当直まで引き受けなくてはならない状況になっていた。胸部心臓外科の手術予定表も空白ばかりで、焦りを隠せない加藤晶(稲森いずみ)。  　鬼頭学長(夏木マリ)から医療版ミシュランとも言われるIMA取得のため、世界の心臓外科医トップ5を招いてライブデモンストレーションを行うことを聞き、挽回のチャンスとばかりに朝田龍太郎(坂口憲二)にオペをさせると言う加藤だが、野口賢雄(岸部一徳)"&amp;"にオペを行うのは黒木慶次郎(遠藤憲一)だと遮られてしまう。  　そんな中、15歳の少女・山内遥(金澤美穂)が大動脈弁置換のオペが必要なことがわかった。加藤はそれを最高難度のロス手術で行い、ライブデモンストレーションするよう鬼頭に申し出る。アメリカから優秀なオペ看・北川響(初音映莉子)を招き、病気からの復帰後は黒木のオペに入っていた荒瀬門次(阿部サダヲ)も呼び戻し、着々とオペの準備をすすめて行く加藤。その頃、野口や黒木は密かに遥のオペに代わる、ライブデモンストレーションにふさわしい患者を探していた。  　朝"&amp;"田は遥が自分のオペの模様がカメラで映され多くの人にさらされることに戸惑っていることを知り、張り切って準備を進めている加藤に遥の意思を尊重すべきだと訴えるもまったく耳を貸さない。")</f>
        <v>明真ではカテーテルが治療の主流となりつつあり、カテーテル医が急増。伊集院登(小池徹平)や木原毅彦(池田鉄洋)ら外科医が、内科医に代わって当直まで引き受けなくてはならない状況になっていた。胸部心臓外科の手術予定表も空白ばかりで、焦りを隠せない加藤晶(稲森いずみ)。  　鬼頭学長(夏木マリ)から医療版ミシュランとも言われるIMA取得のため、世界の心臓外科医トップ5を招いてライブデモンストレーションを行うことを聞き、挽回のチャンスとばかりに朝田龍太郎(坂口憲二)にオペをさせると言う加藤だが、野口賢雄(岸部一徳)にオペを行うのは黒木慶次郎(遠藤憲一)だと遮られてしまう。  　そんな中、15歳の少女・山内遥(金澤美穂)が大動脈弁置換のオペが必要なことがわかった。加藤はそれを最高難度のロス手術で行い、ライブデモンストレーションするよう鬼頭に申し出る。アメリカから優秀なオペ看・北川響(初音映莉子)を招き、病気からの復帰後は黒木のオペに入っていた荒瀬門次(阿部サダヲ)も呼び戻し、着々とオペの準備をすすめて行く加藤。その頃、野口や黒木は密かに遥のオペに代わる、ライブデモンストレーションにふさわしい患者を探していた。  　朝田は遥が自分のオペの模様がカメラで映され多くの人にさらされることに戸惑っていることを知り、張り切って準備を進めている加藤に遥の意思を尊重すべきだと訴えるもまったく耳を貸さない。</v>
      </c>
      <c r="N1567" s="2"/>
      <c r="O1567" s="2"/>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row>
    <row r="1568" ht="204.75" customHeight="1">
      <c r="A1568" s="1">
        <v>4596.0</v>
      </c>
      <c r="B1568" s="2" t="s">
        <v>5005</v>
      </c>
      <c r="C1568" s="2">
        <f>IFERROR(__xludf.DUMMYFUNCTION("split(B1568,""_"")"),1010.0)</f>
        <v>1010</v>
      </c>
      <c r="D1568" s="2" t="str">
        <f>IFERROR(__xludf.DUMMYFUNCTION("""COMPUTED_VALUE"""),"CX")</f>
        <v>CX</v>
      </c>
      <c r="E1568" s="2" t="str">
        <f>IFERROR(__xludf.DUMMYFUNCTION("""COMPUTED_VALUE"""),"木22")</f>
        <v>木22</v>
      </c>
      <c r="F1568" s="2" t="s">
        <v>5006</v>
      </c>
      <c r="G1568" s="2" t="s">
        <v>5016</v>
      </c>
      <c r="H1568" s="1">
        <v>4.0</v>
      </c>
      <c r="I1568" s="1" t="s">
        <v>14</v>
      </c>
      <c r="J1568" s="1" t="s">
        <v>86</v>
      </c>
      <c r="K1568" s="2" t="s">
        <v>5017</v>
      </c>
      <c r="L1568" s="2" t="s">
        <v>5018</v>
      </c>
      <c r="M1568" s="2" t="str">
        <f>IFERROR(__xludf.DUMMYFUNCTION("split(split(K1568,""坂口憲二　"",false),""公式LINE"",false)"),"朝田龍太郎(坂口憲二)は患者の意思を汲んでライブデモンストレーションの中継映像を遮断するが、その代わりにと野口賢雄(岸部一徳)が流した黒木慶次郎(遠藤憲一)のカテーテルオペは審査員から賞賛を浴びる。鬼頭学長(夏木マリ)は、記者会見で明真はカテーテル治療に力を注ぐと明言。これでIMAの取得のための第一関門・医療技術の高さは突破できた。第二関門の合理的な経営も野口が再建計画書を作成していて、残すは医療の質のみだ。審査員が病院内を見て回り判断が下されるとあって不安を隠せない鬼頭。  　そんな中、伊集院登(小池徹"&amp;"平)にERに行くように加藤晶(稲森いずみ)から命令がくだる。朝田は別の大学病院で行われるオペに呼ばれるが、執刀医以外は必要ないと言われてがく然とする伊集院。黒木はそんな伊集院に優しく声をかける。  　IMAの審査日がきた。鬼頭と野口は緊張の面持ちで審査員3人を迎える。審査は清掃や患者用の食事にまで及び、逐一シートに何かを書きこむ審査員たちの様子を不安気にみつめる鬼頭たち。伊集院は、そんな状況とは無縁のERで肩の痛みを訴える横田辰夫(本田博太郎)の診察にあたっていた。疎外感にため息をこぼす伊集院に、黒木が再"&amp;"び近づいてきて…。  　院内でIMAの審査が続く中、伊集院は整形外科の診察を終えた横田に4時間後に再検査をすると告げた。すると、怒り出した横田は伊集院を殴り…。")</f>
        <v>朝田龍太郎(坂口憲二)は患者の意思を汲んでライブデモンストレーションの中継映像を遮断するが、その代わりにと野口賢雄(岸部一徳)が流した黒木慶次郎(遠藤憲一)のカテーテルオペは審査員から賞賛を浴びる。鬼頭学長(夏木マリ)は、記者会見で明真はカテーテル治療に力を注ぐと明言。これでIMAの取得のための第一関門・医療技術の高さは突破できた。第二関門の合理的な経営も野口が再建計画書を作成していて、残すは医療の質のみだ。審査員が病院内を見て回り判断が下されるとあって不安を隠せない鬼頭。  　そんな中、伊集院登(小池徹平)にERに行くように加藤晶(稲森いずみ)から命令がくだる。朝田は別の大学病院で行われるオペに呼ばれるが、執刀医以外は必要ないと言われてがく然とする伊集院。黒木はそんな伊集院に優しく声をかける。  　IMAの審査日がきた。鬼頭と野口は緊張の面持ちで審査員3人を迎える。審査は清掃や患者用の食事にまで及び、逐一シートに何かを書きこむ審査員たちの様子を不安気にみつめる鬼頭たち。伊集院は、そんな状況とは無縁のERで肩の痛みを訴える横田辰夫(本田博太郎)の診察にあたっていた。疎外感にため息をこぼす伊集院に、黒木が再び近づいてきて…。  　院内でIMAの審査が続く中、伊集院は整形外科の診察を終えた横田に4時間後に再検査をすると告げた。すると、怒り出した横田は伊集院を殴り…。</v>
      </c>
      <c r="N1568" s="2"/>
      <c r="O1568" s="2"/>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row>
    <row r="1569" ht="204.75" customHeight="1">
      <c r="A1569" s="1">
        <v>4597.0</v>
      </c>
      <c r="B1569" s="2" t="s">
        <v>5005</v>
      </c>
      <c r="C1569" s="2">
        <f>IFERROR(__xludf.DUMMYFUNCTION("split(B1569,""_"")"),1010.0)</f>
        <v>1010</v>
      </c>
      <c r="D1569" s="2" t="str">
        <f>IFERROR(__xludf.DUMMYFUNCTION("""COMPUTED_VALUE"""),"CX")</f>
        <v>CX</v>
      </c>
      <c r="E1569" s="2" t="str">
        <f>IFERROR(__xludf.DUMMYFUNCTION("""COMPUTED_VALUE"""),"木22")</f>
        <v>木22</v>
      </c>
      <c r="F1569" s="2" t="s">
        <v>5006</v>
      </c>
      <c r="G1569" s="2" t="s">
        <v>5019</v>
      </c>
      <c r="H1569" s="1">
        <v>5.0</v>
      </c>
      <c r="I1569" s="1" t="s">
        <v>17</v>
      </c>
      <c r="J1569" s="1" t="s">
        <v>86</v>
      </c>
      <c r="K1569" s="2" t="s">
        <v>5020</v>
      </c>
      <c r="L1569" s="2" t="s">
        <v>5021</v>
      </c>
      <c r="M1569" s="2" t="str">
        <f>IFERROR(__xludf.DUMMYFUNCTION("split(split(K1569,""坂口憲二　"",false),""公式LINE"",false)"),"朝田龍太郎(坂口憲二)のもとを離れ、黒木慶次郎(遠藤憲一)の下でカテーテルを学び始めた伊集院登(小池徹平)。引き止める加藤晶(稲森いずみ)の言葉を遮り、いいように使われるのは嫌だと拒絶し去って行く。そんな中、明真では野口賢雄(岸部一徳)が仕込んだメディカルツーリズム第1号の患者で中国の元大臣・李強忠(解世雄)の受け入れ準備が進んでいた。気難しい人物ではあるが、これを成功させれば中国人富裕層にいい宣伝になると、鬼頭学長(夏木マリ)も力を注ぐ。  　加藤から、伊集院の説得を頼まれた朝田は、カテーテルを学ぶのは"&amp;"悪いことではなく、なにより本人の意思だからと断る。  　ある日、藤吉圭介(佐々木蔵之介)の依頼で13歳の拡張型心筋症の真鍋徹(今井悠貴)が明真にやってきた。自分の症状を理解していて、諦めたような態度をとる徹。同じタイミングで、李も明真に到着した。必死に李のご機嫌を取る野口。　検査の結果、徹は重度の拡張型心筋症であるほか別の症状もあり、朝田も手が出せないことがわかった。これまでの病院と一緒で移植ドナーが現れるのを待つしかない状況を聞いた徹は、ますます態度がかたくなになっていく。  　李の人間ドックでは、大動"&amp;"脈が左右にかなり蛇行しているのが発見された。野口は早急な治療の必要があると判断し李に黒木ならすぐに治せると説得し、カテーテル治療をすすめる。")</f>
        <v>朝田龍太郎(坂口憲二)のもとを離れ、黒木慶次郎(遠藤憲一)の下でカテーテルを学び始めた伊集院登(小池徹平)。引き止める加藤晶(稲森いずみ)の言葉を遮り、いいように使われるのは嫌だと拒絶し去って行く。そんな中、明真では野口賢雄(岸部一徳)が仕込んだメディカルツーリズム第1号の患者で中国の元大臣・李強忠(解世雄)の受け入れ準備が進んでいた。気難しい人物ではあるが、これを成功させれば中国人富裕層にいい宣伝になると、鬼頭学長(夏木マリ)も力を注ぐ。  　加藤から、伊集院の説得を頼まれた朝田は、カテーテルを学ぶのは悪いことではなく、なにより本人の意思だからと断る。  　ある日、藤吉圭介(佐々木蔵之介)の依頼で13歳の拡張型心筋症の真鍋徹(今井悠貴)が明真にやってきた。自分の症状を理解していて、諦めたような態度をとる徹。同じタイミングで、李も明真に到着した。必死に李のご機嫌を取る野口。　検査の結果、徹は重度の拡張型心筋症であるほか別の症状もあり、朝田も手が出せないことがわかった。これまでの病院と一緒で移植ドナーが現れるのを待つしかない状況を聞いた徹は、ますます態度がかたくなになっていく。  　李の人間ドックでは、大動脈が左右にかなり蛇行しているのが発見された。野口は早急な治療の必要があると判断し李に黒木ならすぐに治せると説得し、カテーテル治療をすすめる。</v>
      </c>
      <c r="N1569" s="2"/>
      <c r="O1569" s="2"/>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row>
    <row r="1570" ht="204.75" customHeight="1">
      <c r="A1570" s="1">
        <v>4598.0</v>
      </c>
      <c r="B1570" s="2" t="s">
        <v>5005</v>
      </c>
      <c r="C1570" s="2">
        <f>IFERROR(__xludf.DUMMYFUNCTION("split(B1570,""_"")"),1010.0)</f>
        <v>1010</v>
      </c>
      <c r="D1570" s="2" t="str">
        <f>IFERROR(__xludf.DUMMYFUNCTION("""COMPUTED_VALUE"""),"CX")</f>
        <v>CX</v>
      </c>
      <c r="E1570" s="2" t="str">
        <f>IFERROR(__xludf.DUMMYFUNCTION("""COMPUTED_VALUE"""),"木22")</f>
        <v>木22</v>
      </c>
      <c r="F1570" s="2" t="s">
        <v>5006</v>
      </c>
      <c r="G1570" s="2" t="s">
        <v>5022</v>
      </c>
      <c r="H1570" s="1">
        <v>6.0</v>
      </c>
      <c r="I1570" s="1" t="s">
        <v>21</v>
      </c>
      <c r="J1570" s="1" t="s">
        <v>86</v>
      </c>
      <c r="K1570" s="2" t="s">
        <v>5023</v>
      </c>
      <c r="L1570" s="2" t="s">
        <v>5024</v>
      </c>
      <c r="M1570" s="2" t="str">
        <f>IFERROR(__xludf.DUMMYFUNCTION("split(split(K1570,""坂口憲二　"",false),""公式LINE"",false)"),"屋上から転落した患者がER室に運ばれてくる。僧帽弁と三尖弁が損傷している上、逆流の程度もひどく急性心不全状態という、朝田龍太郎(坂口憲二)でなければ助けられないほどの重体患者だ。しかし朝田は不在で、加藤(稲森いずみ)も重症患者の手術中。オペが出来る心臓外科の医師が誰もいない。それを聞いた黒木(遠藤憲一)は、伊集院(小池徹平)の背中を押す。ER室に飛びこんだ伊集院だが、ベッドに血まみれで横たわっていたのは、ほかならぬ朝田龍太郎であることに気づき、愕然となる。藤吉(佐々木蔵之介)は伊集院へ「いま朝田を助けられ"&amp;"るのはお前しかいない」と諭し、手術するよう懇願する。だが伊集院は「僕には無理です。それに僕はもうチームの一員じゃないし・・・」と固辞。しかし、藤吉の「朝田はお前が帰ってきた時のために、お前の持針器を磨いていた。あいつは今でもお前をチームの一員だと思っている」という言葉に執刀を決意する。「何としても朝田を助ける」そう心に固く誓う、加藤、伊集院、藤吉、荒瀬(阿部サダヲ)らチームドラゴンの面々。伊集院執刀のもと、手術が始まった。しかし、容態は一刻を争うほど深刻。時間との戦いが始まった。だが、手術開始早々、伊集院"&amp;"ら医師は硬直する。乳頭筋が断裂している上、P3の腱索断裂が分かったからだ。この状態で弁を形成していたら間に合わない。そしてさらに深刻な事態にー。果たして朝田の運命は!?")</f>
        <v>屋上から転落した患者がER室に運ばれてくる。僧帽弁と三尖弁が損傷している上、逆流の程度もひどく急性心不全状態という、朝田龍太郎(坂口憲二)でなければ助けられないほどの重体患者だ。しかし朝田は不在で、加藤(稲森いずみ)も重症患者の手術中。オペが出来る心臓外科の医師が誰もいない。それを聞いた黒木(遠藤憲一)は、伊集院(小池徹平)の背中を押す。ER室に飛びこんだ伊集院だが、ベッドに血まみれで横たわっていたのは、ほかならぬ朝田龍太郎であることに気づき、愕然となる。藤吉(佐々木蔵之介)は伊集院へ「いま朝田を助けられるのはお前しかいない」と諭し、手術するよう懇願する。だが伊集院は「僕には無理です。それに僕はもうチームの一員じゃないし・・・」と固辞。しかし、藤吉の「朝田はお前が帰ってきた時のために、お前の持針器を磨いていた。あいつは今でもお前をチームの一員だと思っている」という言葉に執刀を決意する。「何としても朝田を助ける」そう心に固く誓う、加藤、伊集院、藤吉、荒瀬(阿部サダヲ)らチームドラゴンの面々。伊集院執刀のもと、手術が始まった。しかし、容態は一刻を争うほど深刻。時間との戦いが始まった。だが、手術開始早々、伊集院ら医師は硬直する。乳頭筋が断裂している上、P3の腱索断裂が分かったからだ。この状態で弁を形成していたら間に合わない。そしてさらに深刻な事態にー。果たして朝田の運命は!?</v>
      </c>
      <c r="N1570" s="2"/>
      <c r="O1570" s="2"/>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row>
    <row r="1571" ht="204.75" customHeight="1">
      <c r="A1571" s="1">
        <v>4599.0</v>
      </c>
      <c r="B1571" s="2" t="s">
        <v>5005</v>
      </c>
      <c r="C1571" s="2">
        <f>IFERROR(__xludf.DUMMYFUNCTION("split(B1571,""_"")"),1010.0)</f>
        <v>1010</v>
      </c>
      <c r="D1571" s="2" t="str">
        <f>IFERROR(__xludf.DUMMYFUNCTION("""COMPUTED_VALUE"""),"CX")</f>
        <v>CX</v>
      </c>
      <c r="E1571" s="2" t="str">
        <f>IFERROR(__xludf.DUMMYFUNCTION("""COMPUTED_VALUE"""),"木22")</f>
        <v>木22</v>
      </c>
      <c r="F1571" s="2" t="s">
        <v>5006</v>
      </c>
      <c r="G1571" s="2" t="s">
        <v>5025</v>
      </c>
      <c r="H1571" s="1">
        <v>7.0</v>
      </c>
      <c r="I1571" s="1" t="s">
        <v>25</v>
      </c>
      <c r="J1571" s="1" t="s">
        <v>86</v>
      </c>
      <c r="K1571" s="2" t="s">
        <v>5026</v>
      </c>
      <c r="L1571" s="2" t="s">
        <v>5027</v>
      </c>
      <c r="M1571" s="2" t="str">
        <f>IFERROR(__xludf.DUMMYFUNCTION("split(split(K1571,""坂口憲二　"",false),""公式LINE"",false)"),"伊集院(小池徹平)の執刀により一命を取りとめた朝田龍太郎(坂口憲二)。加藤(稲森いずみ)、荒瀬(阿部サダヲ)、冬実(谷村美月)、木原(池田鉄洋)、藤吉(佐々木蔵之介)らは歓喜にわくが、喜びもつかの間、朝田は記憶喪失になっていることが判明し、愕然となる一同。  　ある日、3週間後に手術が予定されている佐藤理恵(星野真里)という妊婦が入院してくる。心臓に先天性の重大な疾患を抱えた胎児を帝王切開で取り上げ、2分以内にペースメーカーを埋め込むという、きわめて難易度の高い手術を受けるためだ。時間との戦いで、一刻一秒"&amp;"を争う手術のため、担当医である加藤は新生児科、産科、ナース、胸部心臓外科すべての総力戦となり、みなでこれからシミュレーションを重ねると告げる。その加藤に、木原はおずおずと「朝田先生は?」と尋ねると、「一時的に記憶が混乱しているだけで、徐々に回復していくから、このオペにも参加できると思う」と答える。ほっと胸を撫で下ろす一同。    　加藤は動揺していた。理恵の、手術同意書などの書類の中に、「配偶者　佐藤修一」の文字があったからだ。修一(吉田栄作)は、11年前、加藤の婚約者だった男性だった。  　オペ室では懸"&amp;"命に手術のシミュレーションを重ねるが、加藤はミスが多く、とても2分以内に終わらせることができない。  　そんな折、理恵の容態が急変する。")</f>
        <v>伊集院(小池徹平)の執刀により一命を取りとめた朝田龍太郎(坂口憲二)。加藤(稲森いずみ)、荒瀬(阿部サダヲ)、冬実(谷村美月)、木原(池田鉄洋)、藤吉(佐々木蔵之介)らは歓喜にわくが、喜びもつかの間、朝田は記憶喪失になっていることが判明し、愕然となる一同。  　ある日、3週間後に手術が予定されている佐藤理恵(星野真里)という妊婦が入院してくる。心臓に先天性の重大な疾患を抱えた胎児を帝王切開で取り上げ、2分以内にペースメーカーを埋め込むという、きわめて難易度の高い手術を受けるためだ。時間との戦いで、一刻一秒を争う手術のため、担当医である加藤は新生児科、産科、ナース、胸部心臓外科すべての総力戦となり、みなでこれからシミュレーションを重ねると告げる。その加藤に、木原はおずおずと「朝田先生は?」と尋ねると、「一時的に記憶が混乱しているだけで、徐々に回復していくから、このオペにも参加できると思う」と答える。ほっと胸を撫で下ろす一同。    　加藤は動揺していた。理恵の、手術同意書などの書類の中に、「配偶者　佐藤修一」の文字があったからだ。修一(吉田栄作)は、11年前、加藤の婚約者だった男性だった。  　オペ室では懸命に手術のシミュレーションを重ねるが、加藤はミスが多く、とても2分以内に終わらせることができない。  　そんな折、理恵の容態が急変する。</v>
      </c>
      <c r="N1571" s="2"/>
      <c r="O1571" s="2"/>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row>
    <row r="1572" ht="204.75" customHeight="1">
      <c r="A1572" s="1">
        <v>4600.0</v>
      </c>
      <c r="B1572" s="2" t="s">
        <v>5005</v>
      </c>
      <c r="C1572" s="2">
        <f>IFERROR(__xludf.DUMMYFUNCTION("split(B1572,""_"")"),1010.0)</f>
        <v>1010</v>
      </c>
      <c r="D1572" s="2" t="str">
        <f>IFERROR(__xludf.DUMMYFUNCTION("""COMPUTED_VALUE"""),"CX")</f>
        <v>CX</v>
      </c>
      <c r="E1572" s="2" t="str">
        <f>IFERROR(__xludf.DUMMYFUNCTION("""COMPUTED_VALUE"""),"木22")</f>
        <v>木22</v>
      </c>
      <c r="F1572" s="2" t="s">
        <v>5006</v>
      </c>
      <c r="G1572" s="2" t="s">
        <v>5028</v>
      </c>
      <c r="H1572" s="1">
        <v>8.0</v>
      </c>
      <c r="I1572" s="1" t="s">
        <v>29</v>
      </c>
      <c r="J1572" s="1" t="s">
        <v>86</v>
      </c>
      <c r="K1572" s="2" t="s">
        <v>5029</v>
      </c>
      <c r="L1572" s="2" t="s">
        <v>5030</v>
      </c>
      <c r="M1572" s="2" t="str">
        <f>IFERROR(__xludf.DUMMYFUNCTION("split(split(K1572,""坂口憲二　"",false),""公式LINE"",false)"),"朝田龍太郎(坂口憲二)の手の震えは、PTSD(心的外傷後ストレス障害)であると診断される。屋上から転落した事故によって過去のなんらかのトラウマが蘇ってきたのでは、と医師に言われ、思い当たることがある朝田。  　メスが握れなくなっていることを知られまいと、ひとり黙々とリハビリを続ける朝田だったが、症状はまるで好転の兆しを見せない。しかも、診察を受けに行った病院にたまたま黒木(遠藤憲一)が居合わせ、脳外科から出てきた朝田の姿を目撃していた。何かを察知したらしい黒木は、そのことを荒瀬(阿部サダヲ)に伝える。さら"&amp;"に荒瀬は「最近の黒木のカテーテルはミスが多い」と黒木の助手たちが話しているのを小耳に挟むのだった。  　一方、藤吉(佐々木蔵之介)は心筋幹細胞の研究が大詰めを迎え、研究室に缶詰の状態になっていた。加藤(稲森いずみ)は、この研究が前進すれば、現在はドナーが出るのを待って心臓移植を行うしかない徹(今井悠貴)のような患者にも希望の光が見える、と励ます。  　朝田や伊集院(小池徹平)たちの励ましの甲斐あって、最近体調が良くなってきた徹。体重も増えたとうれしそうに母に告げるが、なぜかよく咳こむようになっていた。  "&amp;"　ほどなく、小康状態を保っていたかのように見えた徹の容態が急変する。しかし、朝田の手の震えはいまだおさまらず、執刀できる状態にはほど遠い。そんな絶体絶命の状態の中、手術が始まる…。")</f>
        <v>朝田龍太郎(坂口憲二)の手の震えは、PTSD(心的外傷後ストレス障害)であると診断される。屋上から転落した事故によって過去のなんらかのトラウマが蘇ってきたのでは、と医師に言われ、思い当たることがある朝田。  　メスが握れなくなっていることを知られまいと、ひとり黙々とリハビリを続ける朝田だったが、症状はまるで好転の兆しを見せない。しかも、診察を受けに行った病院にたまたま黒木(遠藤憲一)が居合わせ、脳外科から出てきた朝田の姿を目撃していた。何かを察知したらしい黒木は、そのことを荒瀬(阿部サダヲ)に伝える。さらに荒瀬は「最近の黒木のカテーテルはミスが多い」と黒木の助手たちが話しているのを小耳に挟むのだった。  　一方、藤吉(佐々木蔵之介)は心筋幹細胞の研究が大詰めを迎え、研究室に缶詰の状態になっていた。加藤(稲森いずみ)は、この研究が前進すれば、現在はドナーが出るのを待って心臓移植を行うしかない徹(今井悠貴)のような患者にも希望の光が見える、と励ます。  　朝田や伊集院(小池徹平)たちの励ましの甲斐あって、最近体調が良くなってきた徹。体重も増えたとうれしそうに母に告げるが、なぜかよく咳こむようになっていた。  　ほどなく、小康状態を保っていたかのように見えた徹の容態が急変する。しかし、朝田の手の震えはいまだおさまらず、執刀できる状態にはほど遠い。そんな絶体絶命の状態の中、手術が始まる…。</v>
      </c>
      <c r="N1572" s="2"/>
      <c r="O1572" s="2"/>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row>
    <row r="1573" ht="204.75" customHeight="1">
      <c r="A1573" s="1">
        <v>4601.0</v>
      </c>
      <c r="B1573" s="2" t="s">
        <v>5005</v>
      </c>
      <c r="C1573" s="2">
        <f>IFERROR(__xludf.DUMMYFUNCTION("split(B1573,""_"")"),1010.0)</f>
        <v>1010</v>
      </c>
      <c r="D1573" s="2" t="str">
        <f>IFERROR(__xludf.DUMMYFUNCTION("""COMPUTED_VALUE"""),"CX")</f>
        <v>CX</v>
      </c>
      <c r="E1573" s="2" t="str">
        <f>IFERROR(__xludf.DUMMYFUNCTION("""COMPUTED_VALUE"""),"木22")</f>
        <v>木22</v>
      </c>
      <c r="F1573" s="2" t="s">
        <v>5006</v>
      </c>
      <c r="G1573" s="2" t="s">
        <v>5031</v>
      </c>
      <c r="H1573" s="1">
        <v>9.0</v>
      </c>
      <c r="I1573" s="1" t="s">
        <v>33</v>
      </c>
      <c r="J1573" s="1" t="s">
        <v>86</v>
      </c>
      <c r="K1573" s="2" t="s">
        <v>5032</v>
      </c>
      <c r="L1573" s="2" t="s">
        <v>5033</v>
      </c>
      <c r="M1573" s="2" t="str">
        <f>IFERROR(__xludf.DUMMYFUNCTION("split(split(K1573,""坂口憲二　"",false),""公式LINE"",false)"),"明真に戻ってきた野口(岸部一徳)は、学長の鬼頭(夏木マリ)に「明真を医療特区にすべく、厚労省や外務省幹部と交渉しています」といきなり切り出す。中国で、ロシアの保健・社会開発省の重鎮とのパイプを得た野口は、明真を医療特区のモデル地区第一号としたい、それが成功すれば明真は外国人医師と患者で溢れることになり、これこそが真の医療の国際化であると力説する。  　そんな折、朝田(坂口憲二)と伊集院(小池徹平)は過呼吸に陥っている高瀬(渡辺いっけい)という男性を助ける。2人が心臓外科の医師だと知ると、高瀬は、黒木(遠藤"&amp;"憲一)に自分の妻の治療をしてもらえるよう話をつないで欲しい、と懇願する。その必死の面持ちに事情を訊ねると、自分と黒木はかつて同僚であり、お互いを信頼していたのに、患者を死なせた手術の際には黒木に全責任をかぶせ、黒木を裏切ったのだ、と告白する。だが、妻が重度の心臓病になり、黒木に執刀して欲しいと思い、会いに来たのだが、話すら聞いてもらえなかった、と言うのだ。  　同じころ、北見里香(岩橋道子)という患者が明真を訪れるが、診察にあたった黒木は、すぐに治療と手術を要する、と告げる。  　里香の手術前日。黒木は思"&amp;"わず手すりに寄りかかるほど強い立ちくらみに襲われる。そして迎えた手術当日。最初のうちこそ順調に進んでいたかに見えたが、次第に黒木の異常は助手たちの目にも明らかになっていく…。")</f>
        <v>明真に戻ってきた野口(岸部一徳)は、学長の鬼頭(夏木マリ)に「明真を医療特区にすべく、厚労省や外務省幹部と交渉しています」といきなり切り出す。中国で、ロシアの保健・社会開発省の重鎮とのパイプを得た野口は、明真を医療特区のモデル地区第一号としたい、それが成功すれば明真は外国人医師と患者で溢れることになり、これこそが真の医療の国際化であると力説する。  　そんな折、朝田(坂口憲二)と伊集院(小池徹平)は過呼吸に陥っている高瀬(渡辺いっけい)という男性を助ける。2人が心臓外科の医師だと知ると、高瀬は、黒木(遠藤憲一)に自分の妻の治療をしてもらえるよう話をつないで欲しい、と懇願する。その必死の面持ちに事情を訊ねると、自分と黒木はかつて同僚であり、お互いを信頼していたのに、患者を死なせた手術の際には黒木に全責任をかぶせ、黒木を裏切ったのだ、と告白する。だが、妻が重度の心臓病になり、黒木に執刀して欲しいと思い、会いに来たのだが、話すら聞いてもらえなかった、と言うのだ。  　同じころ、北見里香(岩橋道子)という患者が明真を訪れるが、診察にあたった黒木は、すぐに治療と手術を要する、と告げる。  　里香の手術前日。黒木は思わず手すりに寄りかかるほど強い立ちくらみに襲われる。そして迎えた手術当日。最初のうちこそ順調に進んでいたかに見えたが、次第に黒木の異常は助手たちの目にも明らかになっていく…。</v>
      </c>
      <c r="N1573" s="2"/>
      <c r="O1573" s="2"/>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row>
    <row r="1574" ht="204.75" customHeight="1">
      <c r="A1574" s="1">
        <v>4602.0</v>
      </c>
      <c r="B1574" s="2" t="s">
        <v>5005</v>
      </c>
      <c r="C1574" s="2">
        <f>IFERROR(__xludf.DUMMYFUNCTION("split(B1574,""_"")"),1010.0)</f>
        <v>1010</v>
      </c>
      <c r="D1574" s="2" t="str">
        <f>IFERROR(__xludf.DUMMYFUNCTION("""COMPUTED_VALUE"""),"CX")</f>
        <v>CX</v>
      </c>
      <c r="E1574" s="2" t="str">
        <f>IFERROR(__xludf.DUMMYFUNCTION("""COMPUTED_VALUE"""),"木22")</f>
        <v>木22</v>
      </c>
      <c r="F1574" s="2" t="s">
        <v>5006</v>
      </c>
      <c r="G1574" s="2" t="s">
        <v>5034</v>
      </c>
      <c r="H1574" s="1">
        <v>10.0</v>
      </c>
      <c r="I1574" s="1" t="s">
        <v>37</v>
      </c>
      <c r="J1574" s="1" t="s">
        <v>82</v>
      </c>
      <c r="K1574" s="2" t="s">
        <v>5035</v>
      </c>
      <c r="L1574" s="8" t="s">
        <v>5036</v>
      </c>
      <c r="M1574" s="2" t="str">
        <f>IFERROR(__xludf.DUMMYFUNCTION("split(split(K1574,""坂口憲二　"",false),""公式LINE"",false)"),"最高水準の技術を要する手術を2つ同時に行うことになったチームドラゴンの面々。患者の1人は高瀬春香(出口結美子)。黒木(遠藤憲一)のかつての同僚、高瀬(渡辺いっけい)の妻だ。もう1人は世界的に有名なロシア人ピアニスト、リディア・ナターリア(Asya)。  　この2つのオペを同時にこなすために、春香の手術は朝田龍太郎(坂口憲二)が執刀、さらに伊集院(小池徹平)、荒瀬(阿部サダヲ)、冬実(谷村美月)、響(初音映莉子)らが担当。そしてリディアの手術は、加藤(稲森いずみ)が執刀、さらに北洋病院から朝田が呼んだ外山("&amp;"高橋一生)、野村(中村靖日)らが受け持つこととなった。  　そんな折、高瀬の娘・恵(菅野莉央)が春香の病室を訪れる。恵はサッカーで骨折し、近くの病院に入院しているのだが、春香が心配で無理をして見舞いに来たのだ。仲のよい母娘の姿に、心を打たれる黒木。  　いよいよ手術当日。最高レベルの技術を要するオペが2つ同時に始まった。手術は順調に進んでいるかのように見えたが、途中で木原(池田鉄洋)が顔面蒼白で飛び込んでくる。なんと、恵が肺塞栓で倒れ、急患として運び込まれてきたのだ。症状はすぐにオペをしないと間に合わない"&amp;"ほどに重篤で人工心肺が必要だが、2台とも春香とリディアの手術で使用している。2台しかない人工心肺に対し、それが必要な患者は3人。はたして、朝田はどのような決断をくだすのかー!?坂口憲二  稲森いずみ　  小池徹平　  阿部サダヲ　  谷村美月　  池田鉄洋  　・　  遠藤憲一　  佐々木蔵之介　  夏木マリ　  岸部一徳　    ほか【原作】  乃木坂太郎　    【原案】  永井明　    【取材協力】  吉沼美恵　    【脚本】  林宏司【演出】  水田成英　  葉山裕記　    【企画】  長部"&amp;"聡介　    【プロデュース】  渡辺恒也澤野浩之　  河野伸　    【主題歌】  『未来への扉』DEEP")</f>
        <v>最高水準の技術を要する手術を2つ同時に行うことになったチームドラゴンの面々。患者の1人は高瀬春香(出口結美子)。黒木(遠藤憲一)のかつての同僚、高瀬(渡辺いっけい)の妻だ。もう1人は世界的に有名なロシア人ピアニスト、リディア・ナターリア(Asya)。  　この2つのオペを同時にこなすために、春香の手術は朝田龍太郎(坂口憲二)が執刀、さらに伊集院(小池徹平)、荒瀬(阿部サダヲ)、冬実(谷村美月)、響(初音映莉子)らが担当。そしてリディアの手術は、加藤(稲森いずみ)が執刀、さらに北洋病院から朝田が呼んだ外山(高橋一生)、野村(中村靖日)らが受け持つこととなった。  　そんな折、高瀬の娘・恵(菅野莉央)が春香の病室を訪れる。恵はサッカーで骨折し、近くの病院に入院しているのだが、春香が心配で無理をして見舞いに来たのだ。仲のよい母娘の姿に、心を打たれる黒木。  　いよいよ手術当日。最高レベルの技術を要するオペが2つ同時に始まった。手術は順調に進んでいるかのように見えたが、途中で木原(池田鉄洋)が顔面蒼白で飛び込んでくる。なんと、恵が肺塞栓で倒れ、急患として運び込まれてきたのだ。症状はすぐにオペをしないと間に合わないほどに重篤で人工心肺が必要だが、2台とも春香とリディアの手術で使用している。2台しかない人工心肺に対し、それが必要な患者は3人。はたして、朝田はどのような決断をくだすのかー!?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v>
      </c>
      <c r="N1574" s="2"/>
      <c r="O1574" s="2"/>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row>
    <row r="1575" ht="204.75" customHeight="1">
      <c r="A1575" s="1">
        <v>4647.0</v>
      </c>
      <c r="B1575" s="2" t="s">
        <v>5037</v>
      </c>
      <c r="C1575" s="2">
        <f>IFERROR(__xludf.DUMMYFUNCTION("split(B1575,""_"")"),1010.0)</f>
        <v>1010</v>
      </c>
      <c r="D1575" s="2" t="str">
        <f>IFERROR(__xludf.DUMMYFUNCTION("""COMPUTED_VALUE"""),"CX")</f>
        <v>CX</v>
      </c>
      <c r="E1575" s="2" t="str">
        <f>IFERROR(__xludf.DUMMYFUNCTION("""COMPUTED_VALUE"""),"日21")</f>
        <v>日21</v>
      </c>
      <c r="F1575" s="2" t="s">
        <v>5038</v>
      </c>
      <c r="G1575" s="2" t="s">
        <v>5039</v>
      </c>
      <c r="H1575" s="1">
        <v>1.0</v>
      </c>
      <c r="I1575" s="1" t="s">
        <v>3</v>
      </c>
      <c r="J1575" s="1" t="s">
        <v>4</v>
      </c>
      <c r="K1575" s="4" t="s">
        <v>5040</v>
      </c>
      <c r="L1575" s="2" t="s">
        <v>5041</v>
      </c>
      <c r="M1575" s="2" t="str">
        <f>IFERROR(__xludf.DUMMYFUNCTION("split(split(K1575,""松雪泰子　"",false),""公式LINE"",false)"),"CTN(キャピタル・テレビジョン・ネットワーク)報道局社会部の蒼山叶(松雪泰子)は、見た目は美人のアラフォー報道ウーマンだが、中身は超カタブツで組織陣としては最低なため遊軍取材班デスクに異動させられる。そこは、映画監督気取りのカメラマン黄田功(要潤)、取材対象者からのクレームが絶えないオヤジ記者の白石弘(小日向文世)、周囲に流されやすくてダマされやすいお坊っちゃまAD・桃井祐(遠藤雄弥)、カメラにはほとんど触ったことのない万年下積みカメラ・アシスタントの紫村健(小柳友)、そして緊急ニュースで原稿を読み間違"&amp;"え、期間限定で異動させられたアナウンサーの奥澤緑(相武紗季)たち、お荷物人間の吹きだまり。  　蒼山が遊軍取材班デスクとして、ニュース編集部・デスクの黒井彰(平山浩行)から初めて任されたのは、多摩川に再び現れたアザラシの取材。しかし、蒼山はその日に発生した、総理(石橋凌)が米国務長官との会談をすっぽかした問題が気がかり。短時間だが行方不明となった総理は、その空白の時間に何をしていたのか?そして、蒼山は失踪(しっそう)直前と復帰後の総理の映像を見比べ、誰も気に留めないようなある一点に注目し、遊軍取材班でも総"&amp;"理の行方不明の件を追うと宣言する。  　部下に疎まれ、赤坂衆(小出恵介)ら、政治部や社会部の記者たちに邪魔扱いされながら、蒼山の“真実の追究""が始まった。")</f>
        <v>CTN(キャピタル・テレビジョン・ネットワーク)報道局社会部の蒼山叶(松雪泰子)は、見た目は美人のアラフォー報道ウーマンだが、中身は超カタブツで組織陣としては最低なため遊軍取材班デスクに異動させられる。そこは、映画監督気取りのカメラマン黄田功(要潤)、取材対象者からのクレームが絶えないオヤジ記者の白石弘(小日向文世)、周囲に流されやすくてダマされやすいお坊っちゃまAD・桃井祐(遠藤雄弥)、カメラにはほとんど触ったことのない万年下積みカメラ・アシスタントの紫村健(小柳友)、そして緊急ニュースで原稿を読み間違え、期間限定で異動させられたアナウンサーの奥澤緑(相武紗季)たち、お荷物人間の吹きだまり。  　蒼山が遊軍取材班デスクとして、ニュース編集部・デスクの黒井彰(平山浩行)から初めて任されたのは、多摩川に再び現れたアザラシの取材。しかし、蒼山はその日に発生した、総理(石橋凌)が米国務長官との会談をすっぽかした問題が気がかり。短時間だが行方不明となった総理は、その空白の時間に何をしていたのか?そして、蒼山は失踪(しっそう)直前と復帰後の総理の映像を見比べ、誰も気に留めないようなある一点に注目し、遊軍取材班でも総理の行方不明の件を追うと宣言する。  　部下に疎まれ、赤坂衆(小出恵介)ら、政治部や社会部の記者たちに邪魔扱いされながら、蒼山の“真実の追究"が始まった。</v>
      </c>
      <c r="N1575" s="2"/>
      <c r="O1575" s="2"/>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row>
    <row r="1576" ht="204.75" customHeight="1">
      <c r="A1576" s="1">
        <v>4648.0</v>
      </c>
      <c r="B1576" s="2" t="s">
        <v>5037</v>
      </c>
      <c r="C1576" s="2">
        <f>IFERROR(__xludf.DUMMYFUNCTION("split(B1576,""_"")"),1010.0)</f>
        <v>1010</v>
      </c>
      <c r="D1576" s="2" t="str">
        <f>IFERROR(__xludf.DUMMYFUNCTION("""COMPUTED_VALUE"""),"CX")</f>
        <v>CX</v>
      </c>
      <c r="E1576" s="2" t="str">
        <f>IFERROR(__xludf.DUMMYFUNCTION("""COMPUTED_VALUE"""),"日21")</f>
        <v>日21</v>
      </c>
      <c r="F1576" s="2" t="s">
        <v>5038</v>
      </c>
      <c r="G1576" s="2" t="s">
        <v>5042</v>
      </c>
      <c r="H1576" s="1">
        <v>2.0</v>
      </c>
      <c r="I1576" s="1" t="s">
        <v>7</v>
      </c>
      <c r="J1576" s="1" t="s">
        <v>11</v>
      </c>
      <c r="K1576" s="2" t="s">
        <v>5043</v>
      </c>
      <c r="L1576" s="2" t="s">
        <v>5044</v>
      </c>
      <c r="M1576" s="2" t="str">
        <f>IFERROR(__xludf.DUMMYFUNCTION("split(split(K1576,""松雪泰子　"",false),""公式LINE"",false)"),"蒼山叶(松雪泰子)がデスクを務める遊軍取材班に、政治部から赤坂衆(小出恵介)が異動して来た。ニュース編集部デスクの黒井彰(平山浩行)から蒼山のお目付役を命令された赤坂なのだが、白石弘(小日向文世)や黄田功(要潤)たちは何をやらかしたのかと興味津々。  　そんな時、遊軍にヘルプ要請が入る。発生中の大手ファミレスチェーン女社長誘拐事件に絡んだものだ。この事件は報道規制が敷かれ、世間には公表されていない。蒼山は3人と見られる犯人の身代金の要求額が2億だという点に引っかかっていた。何とか取材に加わりたい蒼山だが、"&amp;"赤坂の目もあり現場では相手にしてもらえない。  　その頃、遊軍では残った者たちが投書やメールなどで寄せられる情報のチェックをしていた。奥澤緑(相武紗季)が読み上げていたメールに、白石が食いつく。メールには、すごい美人を誘拐したと書かれていた。報告を受けた蒼山は、すぐさまメールの差出人が指定した喫茶店へ向かうと、遊軍からは緑だけが来ていた。時間が来ても差出人らしき人物は現れず、帰ろうと促す緑に、蒼山は差出人のメールアドレスが被害者の拉致現場付近で目撃された車両ナンバーと一致していると告げる。相手が必ず接触し"&amp;"てくると緑に待機を命じ、蒼山は喫茶店を出た。  　店を出た蒼山は、上着のポケットに携帯電話の番号が書かれたカードが入っていることに気づいた。番号にかけると、犯人だと言う相手が出て…。")</f>
        <v>蒼山叶(松雪泰子)がデスクを務める遊軍取材班に、政治部から赤坂衆(小出恵介)が異動して来た。ニュース編集部デスクの黒井彰(平山浩行)から蒼山のお目付役を命令された赤坂なのだが、白石弘(小日向文世)や黄田功(要潤)たちは何をやらかしたのかと興味津々。  　そんな時、遊軍にヘルプ要請が入る。発生中の大手ファミレスチェーン女社長誘拐事件に絡んだものだ。この事件は報道規制が敷かれ、世間には公表されていない。蒼山は3人と見られる犯人の身代金の要求額が2億だという点に引っかかっていた。何とか取材に加わりたい蒼山だが、赤坂の目もあり現場では相手にしてもらえない。  　その頃、遊軍では残った者たちが投書やメールなどで寄せられる情報のチェックをしていた。奥澤緑(相武紗季)が読み上げていたメールに、白石が食いつく。メールには、すごい美人を誘拐したと書かれていた。報告を受けた蒼山は、すぐさまメールの差出人が指定した喫茶店へ向かうと、遊軍からは緑だけが来ていた。時間が来ても差出人らしき人物は現れず、帰ろうと促す緑に、蒼山は差出人のメールアドレスが被害者の拉致現場付近で目撃された車両ナンバーと一致していると告げる。相手が必ず接触してくると緑に待機を命じ、蒼山は喫茶店を出た。  　店を出た蒼山は、上着のポケットに携帯電話の番号が書かれたカードが入っていることに気づいた。番号にかけると、犯人だと言う相手が出て…。</v>
      </c>
      <c r="N1576" s="2"/>
      <c r="O1576" s="2"/>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row>
    <row r="1577" ht="204.75" customHeight="1">
      <c r="A1577" s="1">
        <v>4649.0</v>
      </c>
      <c r="B1577" s="2" t="s">
        <v>5037</v>
      </c>
      <c r="C1577" s="2">
        <f>IFERROR(__xludf.DUMMYFUNCTION("split(B1577,""_"")"),1010.0)</f>
        <v>1010</v>
      </c>
      <c r="D1577" s="2" t="str">
        <f>IFERROR(__xludf.DUMMYFUNCTION("""COMPUTED_VALUE"""),"CX")</f>
        <v>CX</v>
      </c>
      <c r="E1577" s="2" t="str">
        <f>IFERROR(__xludf.DUMMYFUNCTION("""COMPUTED_VALUE"""),"日21")</f>
        <v>日21</v>
      </c>
      <c r="F1577" s="2" t="s">
        <v>5038</v>
      </c>
      <c r="G1577" s="2" t="s">
        <v>5045</v>
      </c>
      <c r="H1577" s="1">
        <v>3.0</v>
      </c>
      <c r="I1577" s="1" t="s">
        <v>10</v>
      </c>
      <c r="J1577" s="1" t="s">
        <v>11</v>
      </c>
      <c r="K1577" s="2" t="s">
        <v>5046</v>
      </c>
      <c r="L1577" s="2" t="s">
        <v>5047</v>
      </c>
      <c r="M1577" s="2" t="str">
        <f>IFERROR(__xludf.DUMMYFUNCTION("split(split(K1577,""松雪泰子　"",false),""公式LINE"",false)"),"蒼山叶(松雪泰子)は、黒井彰(平山浩行)から、近々結婚の噂のある国際派女優、藤光香奈子(渋谷亜希)とメジャーリーガーの野島勝(窪寺昭)の映像を集めるよう命令される。藤光のマンションへの張り付きも頼まれるのだが、蒼山の興味はタブロイド紙の別の記事に注がれていた。  　蒼山が引き付けられたのは8年前に起きた現金輸送車襲撃事件に端を発した記事。当時、銃で足を撃たれ、先月亡くなった警備員の息子・小林正行(屋根真樹)が、逃走中のバイク事故で死んだ犯人・松田浩二(岡田義徳)を民事で訴えようとしていたのだ。  　不慣れ"&amp;"なパソコンを赤坂衆(小出恵介)に打たせて事件を探る蒼山は、劇団員の松田が主役に抜擢された舞台の初日に強盗をしたという記事に引っかかる。蒼山は遊軍取材班のメンバーに、強盗事件を掘り下げると告げ、結婚報道の準備を赤坂に押し付けてしまった。だが、白石弘(小日向文世)と紫村健(小柳友)が結婚報道の準備に回ってしまったため、赤坂は強盗事件も手伝う事に。  　蒼山は、8年前の松田の事故現場へ。そこで、事故の目撃者から事件の日になると、事故現場にティッシュに包まれたコーヒー豆が置かれているとの情報を得る。さらに蒼山は、"&amp;"松田が当時交際していた吉川理恵子(吉田羊)に会うが取材拒否されてしまう。その時、蒼山は吉川に子供がいることを知った。")</f>
        <v>蒼山叶(松雪泰子)は、黒井彰(平山浩行)から、近々結婚の噂のある国際派女優、藤光香奈子(渋谷亜希)とメジャーリーガーの野島勝(窪寺昭)の映像を集めるよう命令される。藤光のマンションへの張り付きも頼まれるのだが、蒼山の興味はタブロイド紙の別の記事に注がれていた。  　蒼山が引き付けられたのは8年前に起きた現金輸送車襲撃事件に端を発した記事。当時、銃で足を撃たれ、先月亡くなった警備員の息子・小林正行(屋根真樹)が、逃走中のバイク事故で死んだ犯人・松田浩二(岡田義徳)を民事で訴えようとしていたのだ。  　不慣れなパソコンを赤坂衆(小出恵介)に打たせて事件を探る蒼山は、劇団員の松田が主役に抜擢された舞台の初日に強盗をしたという記事に引っかかる。蒼山は遊軍取材班のメンバーに、強盗事件を掘り下げると告げ、結婚報道の準備を赤坂に押し付けてしまった。だが、白石弘(小日向文世)と紫村健(小柳友)が結婚報道の準備に回ってしまったため、赤坂は強盗事件も手伝う事に。  　蒼山は、8年前の松田の事故現場へ。そこで、事故の目撃者から事件の日になると、事故現場にティッシュに包まれたコーヒー豆が置かれているとの情報を得る。さらに蒼山は、松田が当時交際していた吉川理恵子(吉田羊)に会うが取材拒否されてしまう。その時、蒼山は吉川に子供がいることを知った。</v>
      </c>
      <c r="N1577" s="2"/>
      <c r="O1577" s="2"/>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row>
    <row r="1578" ht="204.75" customHeight="1">
      <c r="A1578" s="1">
        <v>4650.0</v>
      </c>
      <c r="B1578" s="2" t="s">
        <v>5037</v>
      </c>
      <c r="C1578" s="2">
        <f>IFERROR(__xludf.DUMMYFUNCTION("split(B1578,""_"")"),1010.0)</f>
        <v>1010</v>
      </c>
      <c r="D1578" s="2" t="str">
        <f>IFERROR(__xludf.DUMMYFUNCTION("""COMPUTED_VALUE"""),"CX")</f>
        <v>CX</v>
      </c>
      <c r="E1578" s="2" t="str">
        <f>IFERROR(__xludf.DUMMYFUNCTION("""COMPUTED_VALUE"""),"日21")</f>
        <v>日21</v>
      </c>
      <c r="F1578" s="2" t="s">
        <v>5038</v>
      </c>
      <c r="G1578" s="2" t="s">
        <v>5048</v>
      </c>
      <c r="H1578" s="1">
        <v>4.0</v>
      </c>
      <c r="I1578" s="1" t="s">
        <v>14</v>
      </c>
      <c r="J1578" s="1" t="s">
        <v>11</v>
      </c>
      <c r="K1578" s="2" t="s">
        <v>5049</v>
      </c>
      <c r="L1578" s="2" t="s">
        <v>5050</v>
      </c>
      <c r="M1578" s="2" t="str">
        <f>IFERROR(__xludf.DUMMYFUNCTION("split(split(K1578,""松雪泰子　"",false),""公式LINE"",false)"),"蒼山叶(松雪泰子)の遊軍取材班は、2つの取材を同時に行う事になる。ひとつは、線路に転落した宇野多恵(田島令子)が、近くに居合わせた若い女性に助けられた件。もうひとつは、連日のようにファックスで訴えられている「アジア芸術祭」公式ソングの盗作疑惑だ。  　蒼山は、盗作疑惑を赤坂衆(小出恵介)と白石弘(小日向文世)に、残りのメンバーで宇野への取材を割り振る。蒼山自らも取材に出ようとするのだが、総務課の長沼一枝(山野海)に、溜め込んでいる書類をすぐに提出するよう求められ、足止めされてしまう。  　奥澤緑(相武紗季"&amp;")と紫村健(小柳友)は、自分を助けてくれた女性を捜して欲しいと宇野に依頼される。蒼山は、緑が書いてもらった似顔絵を見ると、一瞬の出来事なのに克明に女性を覚えていた宇野に疑問を抱く。  　一方、盗作疑惑を訴える相良俊也(佐藤貢三)に会った赤坂と白石は、調査を引き受ける。その過程で、作曲家の西本健一(島津健太郎)が公式ソングを発表する以前に、相良が曲を作っていた事が判明する。  　テレビでは流せなかった宇野を助けた女性の似顔絵が、手には火傷の跡があったとの情報つきで、あるホームページに掲載された。話を聞いた蒼"&amp;"山は、長沼の監視を振り切って宇野の家に向かうが、宇野は自分の記憶力が良いだけだと取り合わない。事故現場近くの防犯ビデオに映っていた女性も似顔絵に酷似。蒼山は宇野と女性の関係を疑う。")</f>
        <v>蒼山叶(松雪泰子)の遊軍取材班は、2つの取材を同時に行う事になる。ひとつは、線路に転落した宇野多恵(田島令子)が、近くに居合わせた若い女性に助けられた件。もうひとつは、連日のようにファックスで訴えられている「アジア芸術祭」公式ソングの盗作疑惑だ。  　蒼山は、盗作疑惑を赤坂衆(小出恵介)と白石弘(小日向文世)に、残りのメンバーで宇野への取材を割り振る。蒼山自らも取材に出ようとするのだが、総務課の長沼一枝(山野海)に、溜め込んでいる書類をすぐに提出するよう求められ、足止めされてしまう。  　奥澤緑(相武紗季)と紫村健(小柳友)は、自分を助けてくれた女性を捜して欲しいと宇野に依頼される。蒼山は、緑が書いてもらった似顔絵を見ると、一瞬の出来事なのに克明に女性を覚えていた宇野に疑問を抱く。  　一方、盗作疑惑を訴える相良俊也(佐藤貢三)に会った赤坂と白石は、調査を引き受ける。その過程で、作曲家の西本健一(島津健太郎)が公式ソングを発表する以前に、相良が曲を作っていた事が判明する。  　テレビでは流せなかった宇野を助けた女性の似顔絵が、手には火傷の跡があったとの情報つきで、あるホームページに掲載された。話を聞いた蒼山は、長沼の監視を振り切って宇野の家に向かうが、宇野は自分の記憶力が良いだけだと取り合わない。事故現場近くの防犯ビデオに映っていた女性も似顔絵に酷似。蒼山は宇野と女性の関係を疑う。</v>
      </c>
      <c r="N1578" s="2"/>
      <c r="O1578" s="2"/>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row>
    <row r="1579" ht="204.75" customHeight="1">
      <c r="A1579" s="1">
        <v>4651.0</v>
      </c>
      <c r="B1579" s="2" t="s">
        <v>5037</v>
      </c>
      <c r="C1579" s="2">
        <f>IFERROR(__xludf.DUMMYFUNCTION("split(B1579,""_"")"),1010.0)</f>
        <v>1010</v>
      </c>
      <c r="D1579" s="2" t="str">
        <f>IFERROR(__xludf.DUMMYFUNCTION("""COMPUTED_VALUE"""),"CX")</f>
        <v>CX</v>
      </c>
      <c r="E1579" s="2" t="str">
        <f>IFERROR(__xludf.DUMMYFUNCTION("""COMPUTED_VALUE"""),"日21")</f>
        <v>日21</v>
      </c>
      <c r="F1579" s="2" t="s">
        <v>5038</v>
      </c>
      <c r="G1579" s="2" t="s">
        <v>5051</v>
      </c>
      <c r="H1579" s="1">
        <v>5.0</v>
      </c>
      <c r="I1579" s="1" t="s">
        <v>17</v>
      </c>
      <c r="J1579" s="1" t="s">
        <v>11</v>
      </c>
      <c r="K1579" s="2" t="s">
        <v>5052</v>
      </c>
      <c r="L1579" s="2" t="s">
        <v>5053</v>
      </c>
      <c r="M1579" s="2" t="str">
        <f>IFERROR(__xludf.DUMMYFUNCTION("split(split(K1579,""松雪泰子　"",false),""公式LINE"",false)"),"赤坂衆(小出恵介)が政治部のころから追っていた、ある代議士の献金汚職事件。その事件を知る謎の男から、赤坂のもとに内部告発の電話が入る。翌日、紫村健(小柳友)と共に、男と会う約束をした団地に向かった赤坂は、まるで想定していなかった形で男と対面する。なんと、男は団地の上から転落し、死亡してしまったのだ。　予期せず事故現場に居合わせることとなった赤坂と紫村は、現場からその模様をリポートすることになった。もちろん、CTN以外のテレビ局の姿はなく、完全なスクープだ。複雑な心境の赤坂とは対照的に、初めてスクープ映像を"&amp;"撮影した紫村は有頂天となり、他の遊軍取材班の面々に自慢話を披露するが、周囲のリアクションは冷たく、特にカメラマンの黄田功(要潤)は、紫村の技術不足を「素人同然」と痛烈に批評する。　そのころ、蒼山叶(松雪泰子)は、黒井彰(平山浩行)から、男の転落で巻き込まれて重傷となっている10歳の女の子・佐伯優(菊池和澄)について調べるよう依頼される。佐伯優は、事故現場とはほど遠い静岡県在住。親に内緒で、1人上京してきたようで、捜索願が出ていた。蒼山は、10歳の女の子が1人で上京した理由を探るため、彼女が入院にしている病"&amp;"院へと向かう。")</f>
        <v>赤坂衆(小出恵介)が政治部のころから追っていた、ある代議士の献金汚職事件。その事件を知る謎の男から、赤坂のもとに内部告発の電話が入る。翌日、紫村健(小柳友)と共に、男と会う約束をした団地に向かった赤坂は、まるで想定していなかった形で男と対面する。なんと、男は団地の上から転落し、死亡してしまったのだ。　予期せず事故現場に居合わせることとなった赤坂と紫村は、現場からその模様をリポートすることになった。もちろん、CTN以外のテレビ局の姿はなく、完全なスクープだ。複雑な心境の赤坂とは対照的に、初めてスクープ映像を撮影した紫村は有頂天となり、他の遊軍取材班の面々に自慢話を披露するが、周囲のリアクションは冷たく、特にカメラマンの黄田功(要潤)は、紫村の技術不足を「素人同然」と痛烈に批評する。　そのころ、蒼山叶(松雪泰子)は、黒井彰(平山浩行)から、男の転落で巻き込まれて重傷となっている10歳の女の子・佐伯優(菊池和澄)について調べるよう依頼される。佐伯優は、事故現場とはほど遠い静岡県在住。親に内緒で、1人上京してきたようで、捜索願が出ていた。蒼山は、10歳の女の子が1人で上京した理由を探るため、彼女が入院にしている病院へと向かう。</v>
      </c>
      <c r="N1579" s="2"/>
      <c r="O1579" s="2"/>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row>
    <row r="1580" ht="204.75" customHeight="1">
      <c r="A1580" s="1">
        <v>4652.0</v>
      </c>
      <c r="B1580" s="2" t="s">
        <v>5037</v>
      </c>
      <c r="C1580" s="2">
        <f>IFERROR(__xludf.DUMMYFUNCTION("split(B1580,""_"")"),1010.0)</f>
        <v>1010</v>
      </c>
      <c r="D1580" s="2" t="str">
        <f>IFERROR(__xludf.DUMMYFUNCTION("""COMPUTED_VALUE"""),"CX")</f>
        <v>CX</v>
      </c>
      <c r="E1580" s="2" t="str">
        <f>IFERROR(__xludf.DUMMYFUNCTION("""COMPUTED_VALUE"""),"日21")</f>
        <v>日21</v>
      </c>
      <c r="F1580" s="2" t="s">
        <v>5038</v>
      </c>
      <c r="G1580" s="2" t="s">
        <v>5054</v>
      </c>
      <c r="H1580" s="1">
        <v>6.0</v>
      </c>
      <c r="I1580" s="1" t="s">
        <v>21</v>
      </c>
      <c r="J1580" s="1" t="s">
        <v>11</v>
      </c>
      <c r="K1580" s="2" t="s">
        <v>5055</v>
      </c>
      <c r="L1580" s="2" t="s">
        <v>5056</v>
      </c>
      <c r="M1580" s="2" t="str">
        <f>IFERROR(__xludf.DUMMYFUNCTION("split(split(K1580,""松雪泰子　"",false),""公式LINE"",false)"),"体調に異変を感じた赤坂(小出恵介)は、CTN局内の病院で診察を受ける。診断結果は、急性ストレス障害。症状が1カ月以上続けば、PTSDと診断される可能性もあるという。医師は、代議士秘書の自殺現場に居合わせたことで、激しいストレスを体験したことが原因と話すが、診断結果を受け入れられない赤坂は「仕事の疲れが原因」と認めず、処方された薬も捨ててしまう。たまたま、捨てられた薬を発見した桃井(遠藤雄弥)に病気を悟られる赤坂だが、桃井に「誰にも言うな」と口止めをする。  　一方、蒼山(松雪泰子)は、黒井(平山浩行)に呼"&amp;"び出され、2週間前に産婦人科で新生児が死亡した件の取材を依頼される。黄田(要潤)、紫村(小柳友)と共に取材先の産婦人科に向かった蒼山は、赤ちゃんを医療ミスで殺されたと病院側に詰め寄る親子と出会う。蒼山は、詳しい事情を探るため、病院内で複数の妊婦や看護婦から話を聞く。その取材中に、ある妊婦が倒れてしまう。医師によると「新型インフルエンザ」の可能性があり、感染を防ぐために蒼山がいるフロアを隔離すると言う。隔離された蒼山は、死亡した赤ちゃんの母親への取材を黄田に託す。  　そのころ、遊軍取材班では、桃井の軽率な"&amp;"発言から、赤坂の病気のことが全員に知れ渡ってしまう。そのことを知らない赤坂は、蒼山不在のため黒井から蒼山が隔離された病院の院内感染、及び新生児死亡の事件の指揮を執ることを任される。")</f>
        <v>体調に異変を感じた赤坂(小出恵介)は、CTN局内の病院で診察を受ける。診断結果は、急性ストレス障害。症状が1カ月以上続けば、PTSDと診断される可能性もあるという。医師は、代議士秘書の自殺現場に居合わせたことで、激しいストレスを体験したことが原因と話すが、診断結果を受け入れられない赤坂は「仕事の疲れが原因」と認めず、処方された薬も捨ててしまう。たまたま、捨てられた薬を発見した桃井(遠藤雄弥)に病気を悟られる赤坂だが、桃井に「誰にも言うな」と口止めをする。  　一方、蒼山(松雪泰子)は、黒井(平山浩行)に呼び出され、2週間前に産婦人科で新生児が死亡した件の取材を依頼される。黄田(要潤)、紫村(小柳友)と共に取材先の産婦人科に向かった蒼山は、赤ちゃんを医療ミスで殺されたと病院側に詰め寄る親子と出会う。蒼山は、詳しい事情を探るため、病院内で複数の妊婦や看護婦から話を聞く。その取材中に、ある妊婦が倒れてしまう。医師によると「新型インフルエンザ」の可能性があり、感染を防ぐために蒼山がいるフロアを隔離すると言う。隔離された蒼山は、死亡した赤ちゃんの母親への取材を黄田に託す。  　そのころ、遊軍取材班では、桃井の軽率な発言から、赤坂の病気のことが全員に知れ渡ってしまう。そのことを知らない赤坂は、蒼山不在のため黒井から蒼山が隔離された病院の院内感染、及び新生児死亡の事件の指揮を執ることを任される。</v>
      </c>
      <c r="N1580" s="2"/>
      <c r="O1580" s="2"/>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row>
    <row r="1581" ht="204.75" customHeight="1">
      <c r="A1581" s="1">
        <v>4653.0</v>
      </c>
      <c r="B1581" s="2" t="s">
        <v>5037</v>
      </c>
      <c r="C1581" s="2">
        <f>IFERROR(__xludf.DUMMYFUNCTION("split(B1581,""_"")"),1010.0)</f>
        <v>1010</v>
      </c>
      <c r="D1581" s="2" t="str">
        <f>IFERROR(__xludf.DUMMYFUNCTION("""COMPUTED_VALUE"""),"CX")</f>
        <v>CX</v>
      </c>
      <c r="E1581" s="2" t="str">
        <f>IFERROR(__xludf.DUMMYFUNCTION("""COMPUTED_VALUE"""),"日21")</f>
        <v>日21</v>
      </c>
      <c r="F1581" s="2" t="s">
        <v>5038</v>
      </c>
      <c r="G1581" s="2" t="s">
        <v>5057</v>
      </c>
      <c r="H1581" s="1">
        <v>7.0</v>
      </c>
      <c r="I1581" s="1" t="s">
        <v>25</v>
      </c>
      <c r="J1581" s="1" t="s">
        <v>11</v>
      </c>
      <c r="K1581" s="2" t="s">
        <v>5058</v>
      </c>
      <c r="L1581" s="2" t="s">
        <v>5059</v>
      </c>
      <c r="M1581" s="2" t="str">
        <f>IFERROR(__xludf.DUMMYFUNCTION("split(split(K1581,""松雪泰子　"",false),""公式LINE"",false)"),"蒼山(松雪泰子)は、黒井(平山浩行)からある書類を渡される。「CTN開局50周年記念式典」で、「原点」をテーマに各部署に密着したドキュメンタリー映像を流すという。報道局のドキュメンタリー映像の制作を依頼された蒼山は、60人以上いる報道局員全員のコメントを集めるよう、遊軍取材班の面々に指示を出す。そんななか、社会部からもヘルプ要請が入る。要請の内容は、女子マラソン・オリンピック金メダリストの波多野恵子(陽月華)が、ある大物政治家の隠し子であるというスクープネタの裏付けのため、波多野に張り付くというもの。大忙"&amp;"しの遊軍取材班。療養のため、休暇を取って実家に戻っている赤坂(小出恵介)の不在が響く。  　赤坂は、早く仕事に復帰したいと思う一方で、激しい頭痛と、悲惨な事故現場のフラッシュバックに悩まされ、1週間の予定だった休暇の延長を蒼山に願い出る。そのいらだちから、地方紙の記者である父親の仕事に嫌悪感を抱き、衝突してしまう。  　一方、ヘルプ要請を受け社会部記者と共に、波多野に張り付く桃井(遠藤雄弥)は、一瞬のチャンスを狙う突撃インタビュー時に、重大なミスを犯してしまい、絶好のスクープを逃してしまう。さらには、他の"&amp;"スポーツ紙にそのスクープをさらわれてしまう…。追い詰められた桃井は、これ以上取材しても何も出てこないという周囲の制止を振り切り、「ひとりで取材を続ける」と出て行く。")</f>
        <v>蒼山(松雪泰子)は、黒井(平山浩行)からある書類を渡される。「CTN開局50周年記念式典」で、「原点」をテーマに各部署に密着したドキュメンタリー映像を流すという。報道局のドキュメンタリー映像の制作を依頼された蒼山は、60人以上いる報道局員全員のコメントを集めるよう、遊軍取材班の面々に指示を出す。そんななか、社会部からもヘルプ要請が入る。要請の内容は、女子マラソン・オリンピック金メダリストの波多野恵子(陽月華)が、ある大物政治家の隠し子であるというスクープネタの裏付けのため、波多野に張り付くというもの。大忙しの遊軍取材班。療養のため、休暇を取って実家に戻っている赤坂(小出恵介)の不在が響く。  　赤坂は、早く仕事に復帰したいと思う一方で、激しい頭痛と、悲惨な事故現場のフラッシュバックに悩まされ、1週間の予定だった休暇の延長を蒼山に願い出る。そのいらだちから、地方紙の記者である父親の仕事に嫌悪感を抱き、衝突してしまう。  　一方、ヘルプ要請を受け社会部記者と共に、波多野に張り付く桃井(遠藤雄弥)は、一瞬のチャンスを狙う突撃インタビュー時に、重大なミスを犯してしまい、絶好のスクープを逃してしまう。さらには、他のスポーツ紙にそのスクープをさらわれてしまう…。追い詰められた桃井は、これ以上取材しても何も出てこないという周囲の制止を振り切り、「ひとりで取材を続ける」と出て行く。</v>
      </c>
      <c r="N1581" s="2"/>
      <c r="O1581" s="2"/>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row>
    <row r="1582" ht="204.75" customHeight="1">
      <c r="A1582" s="1">
        <v>4654.0</v>
      </c>
      <c r="B1582" s="2" t="s">
        <v>5037</v>
      </c>
      <c r="C1582" s="2">
        <f>IFERROR(__xludf.DUMMYFUNCTION("split(B1582,""_"")"),1010.0)</f>
        <v>1010</v>
      </c>
      <c r="D1582" s="2" t="str">
        <f>IFERROR(__xludf.DUMMYFUNCTION("""COMPUTED_VALUE"""),"CX")</f>
        <v>CX</v>
      </c>
      <c r="E1582" s="2" t="str">
        <f>IFERROR(__xludf.DUMMYFUNCTION("""COMPUTED_VALUE"""),"日21")</f>
        <v>日21</v>
      </c>
      <c r="F1582" s="2" t="s">
        <v>5038</v>
      </c>
      <c r="G1582" s="2" t="s">
        <v>5060</v>
      </c>
      <c r="H1582" s="1">
        <v>8.0</v>
      </c>
      <c r="I1582" s="1" t="s">
        <v>29</v>
      </c>
      <c r="J1582" s="1" t="s">
        <v>11</v>
      </c>
      <c r="K1582" s="2" t="s">
        <v>5061</v>
      </c>
      <c r="L1582" s="2" t="s">
        <v>5062</v>
      </c>
      <c r="M1582" s="2" t="str">
        <f>IFERROR(__xludf.DUMMYFUNCTION("split(split(K1582,""松雪泰子　"",false),""公式LINE"",false)"),"蒼山(松雪泰子)は、黒井(平山浩行)から衝撃的なニュースを聞き、茫然自失となる。20代前半の男性が、同年代の男性をナイフで刺し現行犯逮捕されたという。容疑者は、蒼山が追い続けている11年前の「世田谷区主婦殺人事件」で母親を亡くし、さらに図らずも蒼山に裏切られた形で、容疑者扱いされた父親も不慮の事故で亡くしている澤村光輝(木村了)だ。  　並々ならぬ因縁に、澤村光輝に会うため、蒼山自ら警察署に張り付くが、彼に見向きもされず大きなショックを受ける。「報道は時に人を傷つけるが、希望もある」と信じてきた蒼山だが、"&amp;"今回の事件にその信念を打ち砕かれた思いで、他の遊軍メンバーが心配するほど落ち込んでしまう。  　そんな蒼山に、すっかり調子が狂ってしまう遊軍取材班の面々。奥澤(相武紗季)、桃井(遠藤雄弥)、紫村(小柳友)の3人は、蒼山に追い立てられることなく、以前の暇な生活に戻ったことに違和感を覚え、蒼山が来てから夢中で仕事に没頭し充実していたことに気付く。蒼山に代わって、澤村光輝の事件をしらみ潰しに調べ始める3人。  　以前から蒼山が調べ続けていた澤村光輝に関する膨大な資料を、徹夜で読み直した3人は、それぞれに今回の事"&amp;"件に関する疑問点を蒼山に話す。「すべて憶測の域を出ない」と遮る蒼山だったが、とある出来事から自身の原点を思い返し、事件を洗い直すことを決意する。")</f>
        <v>蒼山(松雪泰子)は、黒井(平山浩行)から衝撃的なニュースを聞き、茫然自失となる。20代前半の男性が、同年代の男性をナイフで刺し現行犯逮捕されたという。容疑者は、蒼山が追い続けている11年前の「世田谷区主婦殺人事件」で母親を亡くし、さらに図らずも蒼山に裏切られた形で、容疑者扱いされた父親も不慮の事故で亡くしている澤村光輝(木村了)だ。  　並々ならぬ因縁に、澤村光輝に会うため、蒼山自ら警察署に張り付くが、彼に見向きもされず大きなショックを受ける。「報道は時に人を傷つけるが、希望もある」と信じてきた蒼山だが、今回の事件にその信念を打ち砕かれた思いで、他の遊軍メンバーが心配するほど落ち込んでしまう。  　そんな蒼山に、すっかり調子が狂ってしまう遊軍取材班の面々。奥澤(相武紗季)、桃井(遠藤雄弥)、紫村(小柳友)の3人は、蒼山に追い立てられることなく、以前の暇な生活に戻ったことに違和感を覚え、蒼山が来てから夢中で仕事に没頭し充実していたことに気付く。蒼山に代わって、澤村光輝の事件をしらみ潰しに調べ始める3人。  　以前から蒼山が調べ続けていた澤村光輝に関する膨大な資料を、徹夜で読み直した3人は、それぞれに今回の事件に関する疑問点を蒼山に話す。「すべて憶測の域を出ない」と遮る蒼山だったが、とある出来事から自身の原点を思い返し、事件を洗い直すことを決意する。</v>
      </c>
      <c r="N1582" s="2"/>
      <c r="O1582" s="2"/>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row>
    <row r="1583" ht="204.75" customHeight="1">
      <c r="A1583" s="1">
        <v>4655.0</v>
      </c>
      <c r="B1583" s="2" t="s">
        <v>5037</v>
      </c>
      <c r="C1583" s="2">
        <f>IFERROR(__xludf.DUMMYFUNCTION("split(B1583,""_"")"),1010.0)</f>
        <v>1010</v>
      </c>
      <c r="D1583" s="2" t="str">
        <f>IFERROR(__xludf.DUMMYFUNCTION("""COMPUTED_VALUE"""),"CX")</f>
        <v>CX</v>
      </c>
      <c r="E1583" s="2" t="str">
        <f>IFERROR(__xludf.DUMMYFUNCTION("""COMPUTED_VALUE"""),"日21")</f>
        <v>日21</v>
      </c>
      <c r="F1583" s="2" t="s">
        <v>5038</v>
      </c>
      <c r="G1583" s="2" t="s">
        <v>5063</v>
      </c>
      <c r="H1583" s="1">
        <v>9.0</v>
      </c>
      <c r="I1583" s="1" t="s">
        <v>33</v>
      </c>
      <c r="J1583" s="1" t="s">
        <v>11</v>
      </c>
      <c r="K1583" s="2" t="s">
        <v>5064</v>
      </c>
      <c r="L1583" s="2" t="s">
        <v>5065</v>
      </c>
      <c r="M1583" s="2" t="str">
        <f>IFERROR(__xludf.DUMMYFUNCTION("split(split(K1583,""松雪泰子　"",false),""公式LINE"",false)"),"蒼山(松雪泰子)は、澤村光輝(木村了)が思い出した記憶が気にかかっていた。澤村は、11年前に自身の母親が殺害された事件で、逃げていく犯人が「太陽のキーホルダー」を所持していたと語ったのだ。そんな時、CTNニュース編集部に、「太陽のキーホルダー」を所持した男が2年前の殺人事件でも目撃されていたという情報が飛び込んでくる。足立区で起こった女性殺人事件で、被害者の娘が逃走する犯人を目撃し、「太陽のキーホルダー」を所持していたと証言していたというのだ。  　早速、事件の取材にとりかかる蒼山。遊軍取材班の面々に仕事"&amp;"を割り振る中で、赤坂(小出恵介)がワシントン支局に異動となったことが明らかになる。政治部の出世コースで、赤坂自身が望んだとおりになったというのに、なぜか浮かない顔の赤坂。一方、3カ月間の期限付きで遊軍取材班に異動になっている緑(相武紗季)は、自身がアナウンス室に戻ることに気付かない皆に、すねてしまう。  　皆が2年前の女性殺人事件の取材に追われるなか、赤坂と白石(小日向文世)は、赤坂が居合わせた代議士秘書の転落事故の際に、現場にいた女子中学生・麻生瑞貴(山谷花純)への接触に成功する。しかし、瑞貴に「私は何"&amp;"も知らない」と言われてしまう。  　また、蒼山と黄田(要潤)は、2年前の女性殺人事件の遺族へのインタビューを行うが、こちらも何も聞けずじまいで取材を終えてしまう。")</f>
        <v>蒼山(松雪泰子)は、澤村光輝(木村了)が思い出した記憶が気にかかっていた。澤村は、11年前に自身の母親が殺害された事件で、逃げていく犯人が「太陽のキーホルダー」を所持していたと語ったのだ。そんな時、CTNニュース編集部に、「太陽のキーホルダー」を所持した男が2年前の殺人事件でも目撃されていたという情報が飛び込んでくる。足立区で起こった女性殺人事件で、被害者の娘が逃走する犯人を目撃し、「太陽のキーホルダー」を所持していたと証言していたというのだ。  　早速、事件の取材にとりかかる蒼山。遊軍取材班の面々に仕事を割り振る中で、赤坂(小出恵介)がワシントン支局に異動となったことが明らかになる。政治部の出世コースで、赤坂自身が望んだとおりになったというのに、なぜか浮かない顔の赤坂。一方、3カ月間の期限付きで遊軍取材班に異動になっている緑(相武紗季)は、自身がアナウンス室に戻ることに気付かない皆に、すねてしまう。  　皆が2年前の女性殺人事件の取材に追われるなか、赤坂と白石(小日向文世)は、赤坂が居合わせた代議士秘書の転落事故の際に、現場にいた女子中学生・麻生瑞貴(山谷花純)への接触に成功する。しかし、瑞貴に「私は何も知らない」と言われてしまう。  　また、蒼山と黄田(要潤)は、2年前の女性殺人事件の遺族へのインタビューを行うが、こちらも何も聞けずじまいで取材を終えてしまう。</v>
      </c>
      <c r="N1583" s="2"/>
      <c r="O1583" s="2"/>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row>
    <row r="1584" ht="204.75" customHeight="1">
      <c r="A1584" s="1">
        <v>4656.0</v>
      </c>
      <c r="B1584" s="2" t="s">
        <v>5037</v>
      </c>
      <c r="C1584" s="2">
        <f>IFERROR(__xludf.DUMMYFUNCTION("split(B1584,""_"")"),1010.0)</f>
        <v>1010</v>
      </c>
      <c r="D1584" s="2" t="str">
        <f>IFERROR(__xludf.DUMMYFUNCTION("""COMPUTED_VALUE"""),"CX")</f>
        <v>CX</v>
      </c>
      <c r="E1584" s="2" t="str">
        <f>IFERROR(__xludf.DUMMYFUNCTION("""COMPUTED_VALUE"""),"日21")</f>
        <v>日21</v>
      </c>
      <c r="F1584" s="2" t="s">
        <v>5038</v>
      </c>
      <c r="G1584" s="2" t="s">
        <v>5066</v>
      </c>
      <c r="H1584" s="1">
        <v>10.0</v>
      </c>
      <c r="I1584" s="1" t="s">
        <v>37</v>
      </c>
      <c r="J1584" s="1" t="s">
        <v>11</v>
      </c>
      <c r="K1584" s="2" t="s">
        <v>5067</v>
      </c>
      <c r="L1584" s="2" t="s">
        <v>5068</v>
      </c>
      <c r="M1584" s="2" t="str">
        <f>IFERROR(__xludf.DUMMYFUNCTION("split(split(K1584,""松雪泰子　"",false),""公式LINE"",false)"),"蒼山(松雪泰子)は、遊軍取材班の面々に2年前の女性殺人事件、並びに11年前の澤村成美(中村真知子)殺害事件の取材を打ち切るよう伝える。伊崎早苗(小林涼子)への取材後に、彼女が襲われた件で、蒼山は謹慎となったのだ。納得のいかない遊軍メンバーは、黒井(平山浩行)を問い詰めるが、「手を引かなければ処分が下る」と取り合ってもらえない。  　謹慎となった蒼山だが、その命令に黙って従うことなく単独で取材を続ける。早苗の見舞いに訪れた蒼山は、そこで意外な人物に出会う。澤村光輝(木村了)だ。澤村は、ニュースを見て自分と同"&amp;"じ境遇の早苗を心配し、見舞いに来ていた。当初、警戒心の強かった早苗の姉・素子(村川絵梨)も、澤村から蒼山の人柄を聞き、心を許すようになり、最近の早苗の様子を話し始める。  　一方、突然の取材打ち切りに不満たらたらの遊軍メンバー。冷静な白石(小日向文世)から、取材を続けることのリスクを説かれるが、ワシントン行きを目前に控えた赤坂(小出恵介)を筆頭に、取材を続けることを決意する。会社には休暇届を提出し、馴染みの喫茶店を「前線基地」に見立て、唯一の手がかり「太陽のキーホルダー」を、蒼山仕込みの「しらみ潰し」で調"&amp;"べ始める。勝手に取材を続けることに否定的であった白石も加わり、蒼山を除く全員がそろった。蒼山と他のメンバーは、それぞれが独自のルートで取材を続けるが、やがて1つの共通点にたどり着く。")</f>
        <v>蒼山(松雪泰子)は、遊軍取材班の面々に2年前の女性殺人事件、並びに11年前の澤村成美(中村真知子)殺害事件の取材を打ち切るよう伝える。伊崎早苗(小林涼子)への取材後に、彼女が襲われた件で、蒼山は謹慎となったのだ。納得のいかない遊軍メンバーは、黒井(平山浩行)を問い詰めるが、「手を引かなければ処分が下る」と取り合ってもらえない。  　謹慎となった蒼山だが、その命令に黙って従うことなく単独で取材を続ける。早苗の見舞いに訪れた蒼山は、そこで意外な人物に出会う。澤村光輝(木村了)だ。澤村は、ニュースを見て自分と同じ境遇の早苗を心配し、見舞いに来ていた。当初、警戒心の強かった早苗の姉・素子(村川絵梨)も、澤村から蒼山の人柄を聞き、心を許すようになり、最近の早苗の様子を話し始める。  　一方、突然の取材打ち切りに不満たらたらの遊軍メンバー。冷静な白石(小日向文世)から、取材を続けることのリスクを説かれるが、ワシントン行きを目前に控えた赤坂(小出恵介)を筆頭に、取材を続けることを決意する。会社には休暇届を提出し、馴染みの喫茶店を「前線基地」に見立て、唯一の手がかり「太陽のキーホルダー」を、蒼山仕込みの「しらみ潰し」で調べ始める。勝手に取材を続けることに否定的であった白石も加わり、蒼山を除く全員がそろった。蒼山と他のメンバーは、それぞれが独自のルートで取材を続けるが、やがて1つの共通点にたどり着く。</v>
      </c>
      <c r="N1584" s="2"/>
      <c r="O1584" s="2"/>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row>
    <row r="1585" ht="204.75" customHeight="1">
      <c r="A1585" s="1">
        <v>4657.0</v>
      </c>
      <c r="B1585" s="2" t="s">
        <v>5069</v>
      </c>
      <c r="C1585" s="2">
        <f>IFERROR(__xludf.DUMMYFUNCTION("split(B1585,""_"")"),1007.0)</f>
        <v>1007</v>
      </c>
      <c r="D1585" s="2" t="str">
        <f>IFERROR(__xludf.DUMMYFUNCTION("""COMPUTED_VALUE"""),"CX")</f>
        <v>CX</v>
      </c>
      <c r="E1585" s="2" t="str">
        <f>IFERROR(__xludf.DUMMYFUNCTION("""COMPUTED_VALUE"""),"月21")</f>
        <v>月21</v>
      </c>
      <c r="F1585" s="2" t="s">
        <v>5070</v>
      </c>
      <c r="G1585" s="2" t="s">
        <v>5071</v>
      </c>
      <c r="H1585" s="1">
        <v>1.0</v>
      </c>
      <c r="I1585" s="1" t="s">
        <v>3</v>
      </c>
      <c r="J1585" s="1" t="s">
        <v>4</v>
      </c>
      <c r="K1585" s="4" t="s">
        <v>5072</v>
      </c>
      <c r="L1585" s="2" t="s">
        <v>5073</v>
      </c>
      <c r="M1585" s="2" t="str">
        <f>IFERROR(__xludf.DUMMYFUNCTION("split(split(K1585,""松本潤　"",false),""公式LINE"",false)"),"楠大雅(松本潤)は、名俳優・楠航太郎(伊東四朗)を父に、元女優の真知子(松坂慶子)を母に持ち、自身も俳優を稼業とするいわゆる二世俳優。しかし、あまりにも偉大な父には遠く及ばず、鳴かず飛ばずの日々を送っている。  　そんな大雅の友人は、同じく二世俳優の植野慶太(笠原秀幸)。同じ境遇からか気が合う2人はオフでは一緒に遊ぶ仲だ。その日も優雅にスカイダイビングを楽しんでいたが、大雅だけ風に流され、着地地点から大幅に離れた海の近くの雑木林に落下。気づけば大雅は木の枝に引っかかり、宙ぶらりん状態に。逃れようなく困って"&amp;"いると、ちょうど道を走ってくる女性が…。それも、ちょっといい女。急いでその女性に声をかけ、助けを求めるものの、売れてないとはいえ大雅も俳優の端くれ。警察に電話や、人を呼ぶなど世間に醜態をさらすわけにはいかず、とにかく他の方法で降ろして欲しいと頼む。  　すると、女性は予想もつかないような手段で、大雅を地上に生還させた。彼女は大雅の無事を確認すると、急いでいるからと名も告げずに走り去ってしまう。この女性こそ、北村詩織(竹内結子)。これが大雅と詩織のおかしな出会い。  　この後、大雅は詩織のことが気にかかる。"&amp;"それは、果たして恋なのか?")</f>
        <v>楠大雅(松本潤)は、名俳優・楠航太郎(伊東四朗)を父に、元女優の真知子(松坂慶子)を母に持ち、自身も俳優を稼業とするいわゆる二世俳優。しかし、あまりにも偉大な父には遠く及ばず、鳴かず飛ばずの日々を送っている。  　そんな大雅の友人は、同じく二世俳優の植野慶太(笠原秀幸)。同じ境遇からか気が合う2人はオフでは一緒に遊ぶ仲だ。その日も優雅にスカイダイビングを楽しんでいたが、大雅だけ風に流され、着地地点から大幅に離れた海の近くの雑木林に落下。気づけば大雅は木の枝に引っかかり、宙ぶらりん状態に。逃れようなく困っていると、ちょうど道を走ってくる女性が…。それも、ちょっといい女。急いでその女性に声をかけ、助けを求めるものの、売れてないとはいえ大雅も俳優の端くれ。警察に電話や、人を呼ぶなど世間に醜態をさらすわけにはいかず、とにかく他の方法で降ろして欲しいと頼む。  　すると、女性は予想もつかないような手段で、大雅を地上に生還させた。彼女は大雅の無事を確認すると、急いでいるからと名も告げずに走り去ってしまう。この女性こそ、北村詩織(竹内結子)。これが大雅と詩織のおかしな出会い。  　この後、大雅は詩織のことが気にかかる。それは、果たして恋なのか?</v>
      </c>
      <c r="N1585" s="2"/>
      <c r="O1585" s="2"/>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row>
    <row r="1586" ht="204.75" customHeight="1">
      <c r="A1586" s="1">
        <v>4658.0</v>
      </c>
      <c r="B1586" s="2" t="s">
        <v>5069</v>
      </c>
      <c r="C1586" s="2">
        <f>IFERROR(__xludf.DUMMYFUNCTION("split(B1586,""_"")"),1007.0)</f>
        <v>1007</v>
      </c>
      <c r="D1586" s="2" t="str">
        <f>IFERROR(__xludf.DUMMYFUNCTION("""COMPUTED_VALUE"""),"CX")</f>
        <v>CX</v>
      </c>
      <c r="E1586" s="2" t="str">
        <f>IFERROR(__xludf.DUMMYFUNCTION("""COMPUTED_VALUE"""),"月21")</f>
        <v>月21</v>
      </c>
      <c r="F1586" s="2" t="s">
        <v>5070</v>
      </c>
      <c r="G1586" s="2" t="s">
        <v>5074</v>
      </c>
      <c r="H1586" s="1">
        <v>2.0</v>
      </c>
      <c r="I1586" s="1" t="s">
        <v>7</v>
      </c>
      <c r="J1586" s="1" t="s">
        <v>11</v>
      </c>
      <c r="K1586" s="2" t="s">
        <v>5075</v>
      </c>
      <c r="L1586" s="2" t="s">
        <v>5076</v>
      </c>
      <c r="M1586" s="2" t="str">
        <f>IFERROR(__xludf.DUMMYFUNCTION("split(split(K1586,""松本潤　"",false),""公式LINE"",false)"),"楠大雅(松本潤)は、偶然出会った北村詩織(竹内結子)に一目ぼれ。大雅の亡き父、航太郎(伊東四朗)の大ファンだと言う詩織は、事務所で働くことになる。こうなったら恋の進展も…と、考えた大雅の思惑は大外れ。なんと、詩織には6歳になる娘、海(小林星蘭)がいたのだ。  　ドラマのオーディションには相変わらず受からない大雅は、植野慶太(笠原秀幸)と飲みながら傷の舐め合い。大雅は詩織との経緯を慶太に話し、人妻には手を出せないと話すのだが、まだまだ未練はある様子。  　一方、詩織は仕事を変えるため海と一緒にお引越し。海を"&amp;"転校先の小学校に連れて行くと、担任になると現れたのは大雅の兄、大貴(沢村一樹)。もちろん、この時は詩織も大貴もお互いに大雅との関係を知る由もない。大貴は詩織と海のために授業参観を企画すると言いだし、海は大喜びなのだが…。  　事務所では、大雅がバラエティーの出演を承諾。だが、社長の青木久雄(松重豊)が新しく入った宮瀬桜(桐谷美玲)を自分より上に扱うことが気に入らない。桜は4歳年下だが、その芸歴は大雅より長いということで渋々納得する。  　詩織が海を連れてアパートに帰ろうとすると、後から大雅がついて来る。ス"&amp;"トーカーと疑う詩織なのだが、たまたま大雅と帰る方向が同じだっただけ。大雅が別れて歩き出すと、詩織に呼び止められた。そして、詩織は大雅をアパートの部屋へと招き入れ…。")</f>
        <v>楠大雅(松本潤)は、偶然出会った北村詩織(竹内結子)に一目ぼれ。大雅の亡き父、航太郎(伊東四朗)の大ファンだと言う詩織は、事務所で働くことになる。こうなったら恋の進展も…と、考えた大雅の思惑は大外れ。なんと、詩織には6歳になる娘、海(小林星蘭)がいたのだ。  　ドラマのオーディションには相変わらず受からない大雅は、植野慶太(笠原秀幸)と飲みながら傷の舐め合い。大雅は詩織との経緯を慶太に話し、人妻には手を出せないと話すのだが、まだまだ未練はある様子。  　一方、詩織は仕事を変えるため海と一緒にお引越し。海を転校先の小学校に連れて行くと、担任になると現れたのは大雅の兄、大貴(沢村一樹)。もちろん、この時は詩織も大貴もお互いに大雅との関係を知る由もない。大貴は詩織と海のために授業参観を企画すると言いだし、海は大喜びなのだが…。  　事務所では、大雅がバラエティーの出演を承諾。だが、社長の青木久雄(松重豊)が新しく入った宮瀬桜(桐谷美玲)を自分より上に扱うことが気に入らない。桜は4歳年下だが、その芸歴は大雅より長いということで渋々納得する。  　詩織が海を連れてアパートに帰ろうとすると、後から大雅がついて来る。ストーカーと疑う詩織なのだが、たまたま大雅と帰る方向が同じだっただけ。大雅が別れて歩き出すと、詩織に呼び止められた。そして、詩織は大雅をアパートの部屋へと招き入れ…。</v>
      </c>
      <c r="N1586" s="2"/>
      <c r="O1586" s="2"/>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row>
    <row r="1587" ht="204.75" customHeight="1">
      <c r="A1587" s="1">
        <v>4659.0</v>
      </c>
      <c r="B1587" s="2" t="s">
        <v>5069</v>
      </c>
      <c r="C1587" s="2">
        <f>IFERROR(__xludf.DUMMYFUNCTION("split(B1587,""_"")"),1007.0)</f>
        <v>1007</v>
      </c>
      <c r="D1587" s="2" t="str">
        <f>IFERROR(__xludf.DUMMYFUNCTION("""COMPUTED_VALUE"""),"CX")</f>
        <v>CX</v>
      </c>
      <c r="E1587" s="2" t="str">
        <f>IFERROR(__xludf.DUMMYFUNCTION("""COMPUTED_VALUE"""),"月21")</f>
        <v>月21</v>
      </c>
      <c r="F1587" s="2" t="s">
        <v>5070</v>
      </c>
      <c r="G1587" s="2" t="s">
        <v>5077</v>
      </c>
      <c r="H1587" s="1">
        <v>3.0</v>
      </c>
      <c r="I1587" s="1" t="s">
        <v>10</v>
      </c>
      <c r="J1587" s="1" t="s">
        <v>11</v>
      </c>
      <c r="K1587" s="2" t="s">
        <v>5078</v>
      </c>
      <c r="L1587" s="2" t="s">
        <v>5079</v>
      </c>
      <c r="M1587" s="2" t="str">
        <f>IFERROR(__xludf.DUMMYFUNCTION("split(split(K1587,""松本潤　"",false),""公式LINE"",false)"),"優雅な生活を送ってきた楠大雅(松本潤)。だが、父の航太郎(伊東四朗)がいなくなったため、その暮らしも改めざるを得ない。この日は、植野慶太(笠原秀幸)と最後の乗馬を楽しんでいた。しかし、大雅の話題はどうしても北村詩織(竹内結子)のことになってしまう。海(小林星蘭)という娘の存在を知っても、まだ未練たらたらで詩織を想う大雅。想いは深いものの、大雅が未だに詩織に告白もしていないことを知った慶太もあきれ顔。大雅は、告白よりも海の父親が誰なのかが気にかかっていた。  　その夜、大雅が家に帰ると母の真知子(松坂慶子)"&amp;"がグッタリと倒れている。駆け寄る大雅に、真知子は航太郎への浮気疑惑を口にした。真知子の周囲には、航太郎が持っていた宮瀬桜(桐谷美玲)の写真や赤ん坊を抱いた詩織の写真が散らばっている。詩織の写真には、隠し子がいたと泣きじゃくる真知子だけでなく大雅も絶句。  　その日以来、大雅は詩織をこれまで以上に意識してしまう。どこか気まずくて顔も見られない状態。さらに大雅は仕事もない状態。そんな大雅を桜が付き人にして欲しいと言い出した。激励の言葉をかける詩織だが、大雅に無視される。自分が何か怒らせるようなことをしたのか?"&amp;"原因がわからず自分のことが嫌いなんだと怒る詩織に大雅はうっかり…。")</f>
        <v>優雅な生活を送ってきた楠大雅(松本潤)。だが、父の航太郎(伊東四朗)がいなくなったため、その暮らしも改めざるを得ない。この日は、植野慶太(笠原秀幸)と最後の乗馬を楽しんでいた。しかし、大雅の話題はどうしても北村詩織(竹内結子)のことになってしまう。海(小林星蘭)という娘の存在を知っても、まだ未練たらたらで詩織を想う大雅。想いは深いものの、大雅が未だに詩織に告白もしていないことを知った慶太もあきれ顔。大雅は、告白よりも海の父親が誰なのかが気にかかっていた。  　その夜、大雅が家に帰ると母の真知子(松坂慶子)がグッタリと倒れている。駆け寄る大雅に、真知子は航太郎への浮気疑惑を口にした。真知子の周囲には、航太郎が持っていた宮瀬桜(桐谷美玲)の写真や赤ん坊を抱いた詩織の写真が散らばっている。詩織の写真には、隠し子がいたと泣きじゃくる真知子だけでなく大雅も絶句。  　その日以来、大雅は詩織をこれまで以上に意識してしまう。どこか気まずくて顔も見られない状態。さらに大雅は仕事もない状態。そんな大雅を桜が付き人にして欲しいと言い出した。激励の言葉をかける詩織だが、大雅に無視される。自分が何か怒らせるようなことをしたのか?原因がわからず自分のことが嫌いなんだと怒る詩織に大雅はうっかり…。</v>
      </c>
      <c r="N1587" s="2"/>
      <c r="O1587" s="2"/>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row>
    <row r="1588" ht="204.75" customHeight="1">
      <c r="A1588" s="1">
        <v>4660.0</v>
      </c>
      <c r="B1588" s="2" t="s">
        <v>5069</v>
      </c>
      <c r="C1588" s="2">
        <f>IFERROR(__xludf.DUMMYFUNCTION("split(B1588,""_"")"),1007.0)</f>
        <v>1007</v>
      </c>
      <c r="D1588" s="2" t="str">
        <f>IFERROR(__xludf.DUMMYFUNCTION("""COMPUTED_VALUE"""),"CX")</f>
        <v>CX</v>
      </c>
      <c r="E1588" s="2" t="str">
        <f>IFERROR(__xludf.DUMMYFUNCTION("""COMPUTED_VALUE"""),"月21")</f>
        <v>月21</v>
      </c>
      <c r="F1588" s="2" t="s">
        <v>5070</v>
      </c>
      <c r="G1588" s="2" t="s">
        <v>5080</v>
      </c>
      <c r="H1588" s="1">
        <v>4.0</v>
      </c>
      <c r="I1588" s="1" t="s">
        <v>14</v>
      </c>
      <c r="J1588" s="1" t="s">
        <v>11</v>
      </c>
      <c r="K1588" s="2" t="s">
        <v>5081</v>
      </c>
      <c r="L1588" s="2" t="s">
        <v>5082</v>
      </c>
      <c r="M1588" s="2" t="str">
        <f>IFERROR(__xludf.DUMMYFUNCTION("split(split(K1588,""松本潤　"",false),""公式LINE"",false)"),"楠大雅(松本潤)は、北村詩織(竹内結子)に自分の想いをキチンと伝えた。しかし、詩織は大雅の気持ちに答えることが出来ない。なぜなら、詩織は海(小林星蘭)の父、つまり亡くなった夫をまだ愛していたのだ。もう一生恋などしない…詩織はそんなことまで大雅に話してしまった自分が信じられなかった。大雅もキッパリと振られてしまった自分の不甲斐なさに落ち込んでしまう。  　植野慶太(笠原秀幸)は、そんな大雅を2世タレントが集まる飲み会に連れ出した。自分と同じような境遇の仲間たちとの交流に少し心がほぐれる大雅だが・・・。  　"&amp;"一方、大貴(沢村一樹)は海の付き添いで来るであろう詩織が目当てで、自ら水泳教室を開催する。しかし、海は水泳教室のプリントを詩織には見せずに捨ててしまっていた。  　事務所で顔を合わせた大雅と詩織はお互いにギクシャクしてしまう。大雅はその雰囲気を打開するため、先日の告白を忘れて欲しいと頼む。すると詩織もこれからも大雅を俳優として応援したいと笑顔で答える。  　大雅が家に帰ると大貴が来ていた。航太郎(伊東四朗)の遺産相続など、これからの楠家を話し合う2人。そんな時、大貴は大雅が役作りのためにと持っていた『プー"&amp;"ル監視員の心得』なる本を発見。次の土曜日に水泳教室の手伝いに来て欲しいと言う。嫌がる大雅だが、大貴から海が水泳教室に来ていないと聞かされて・・・。")</f>
        <v>楠大雅(松本潤)は、北村詩織(竹内結子)に自分の想いをキチンと伝えた。しかし、詩織は大雅の気持ちに答えることが出来ない。なぜなら、詩織は海(小林星蘭)の父、つまり亡くなった夫をまだ愛していたのだ。もう一生恋などしない…詩織はそんなことまで大雅に話してしまった自分が信じられなかった。大雅もキッパリと振られてしまった自分の不甲斐なさに落ち込んでしまう。  　植野慶太(笠原秀幸)は、そんな大雅を2世タレントが集まる飲み会に連れ出した。自分と同じような境遇の仲間たちとの交流に少し心がほぐれる大雅だが・・・。  　一方、大貴(沢村一樹)は海の付き添いで来るであろう詩織が目当てで、自ら水泳教室を開催する。しかし、海は水泳教室のプリントを詩織には見せずに捨ててしまっていた。  　事務所で顔を合わせた大雅と詩織はお互いにギクシャクしてしまう。大雅はその雰囲気を打開するため、先日の告白を忘れて欲しいと頼む。すると詩織もこれからも大雅を俳優として応援したいと笑顔で答える。  　大雅が家に帰ると大貴が来ていた。航太郎(伊東四朗)の遺産相続など、これからの楠家を話し合う2人。そんな時、大貴は大雅が役作りのためにと持っていた『プール監視員の心得』なる本を発見。次の土曜日に水泳教室の手伝いに来て欲しいと言う。嫌がる大雅だが、大貴から海が水泳教室に来ていないと聞かされて・・・。</v>
      </c>
      <c r="N1588" s="2"/>
      <c r="O1588" s="2"/>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row>
    <row r="1589" ht="204.75" customHeight="1">
      <c r="A1589" s="1">
        <v>4661.0</v>
      </c>
      <c r="B1589" s="2" t="s">
        <v>5069</v>
      </c>
      <c r="C1589" s="2">
        <f>IFERROR(__xludf.DUMMYFUNCTION("split(B1589,""_"")"),1007.0)</f>
        <v>1007</v>
      </c>
      <c r="D1589" s="2" t="str">
        <f>IFERROR(__xludf.DUMMYFUNCTION("""COMPUTED_VALUE"""),"CX")</f>
        <v>CX</v>
      </c>
      <c r="E1589" s="2" t="str">
        <f>IFERROR(__xludf.DUMMYFUNCTION("""COMPUTED_VALUE"""),"月21")</f>
        <v>月21</v>
      </c>
      <c r="F1589" s="2" t="s">
        <v>5070</v>
      </c>
      <c r="G1589" s="2" t="s">
        <v>5083</v>
      </c>
      <c r="H1589" s="1">
        <v>5.0</v>
      </c>
      <c r="I1589" s="1" t="s">
        <v>17</v>
      </c>
      <c r="J1589" s="1" t="s">
        <v>11</v>
      </c>
      <c r="K1589" s="2" t="s">
        <v>5084</v>
      </c>
      <c r="L1589" s="2" t="s">
        <v>5085</v>
      </c>
      <c r="M1589" s="2" t="str">
        <f>IFERROR(__xludf.DUMMYFUNCTION("split(split(K1589,""松本潤　"",false),""公式LINE"",false)"),"大雅(松本潤)は、亡くなった夫への悲しみや思いがまだ残っている詩織(竹内結子)の笑顔さえ見られればそれでいい、と思うように気持ちを切り替えようとする。久々にドラマ出演するもシーンカットされ、もう役者を辞めたほうがいいのか、とさえ思う大雅だが、「役者さん、やめないでね」と詩織に言われ、いよいよ奮起するのだった。  　大貴(沢村一樹)は詩織と海(小林星蘭)を楠家に招待。しかし、詩織たちが楠家に着くと、大雅しかいない。真知子(松坂慶子)も大貴もまだ帰ってくる様子がない。そこで大雅は冷蔵庫にある食材で詩織と海のた"&amp;"めにおもてなし料理を作ることに。手際よく準備する大雅に驚きながらも、詩織と海も一緒に料理のお手伝い。そこに大貴と真知子も帰宅し、事務所の青木(松重豊)らも加わって、皆勢ぞろいする。銀さんファンの詩織と海は亡き航太郎(伊東四朗)の部屋を大貴に案内され、感激しきり。が、大貴の方はというと、詩織との将来の勝手な妄想が止まらない。  　楠家のホームパーティーが始まり、大貴は詩織への猛アプローチをかける。そこに詩織の詳しい事情を知らない真知子も加わり、困惑する詩織。その様子を見て大雅は・・・。    　さらに、パー"&amp;"ティーから帰った詩織は、大雅に電話して・・・。")</f>
        <v>大雅(松本潤)は、亡くなった夫への悲しみや思いがまだ残っている詩織(竹内結子)の笑顔さえ見られればそれでいい、と思うように気持ちを切り替えようとする。久々にドラマ出演するもシーンカットされ、もう役者を辞めたほうがいいのか、とさえ思う大雅だが、「役者さん、やめないでね」と詩織に言われ、いよいよ奮起するのだった。  　大貴(沢村一樹)は詩織と海(小林星蘭)を楠家に招待。しかし、詩織たちが楠家に着くと、大雅しかいない。真知子(松坂慶子)も大貴もまだ帰ってくる様子がない。そこで大雅は冷蔵庫にある食材で詩織と海のためにおもてなし料理を作ることに。手際よく準備する大雅に驚きながらも、詩織と海も一緒に料理のお手伝い。そこに大貴と真知子も帰宅し、事務所の青木(松重豊)らも加わって、皆勢ぞろいする。銀さんファンの詩織と海は亡き航太郎(伊東四朗)の部屋を大貴に案内され、感激しきり。が、大貴の方はというと、詩織との将来の勝手な妄想が止まらない。  　楠家のホームパーティーが始まり、大貴は詩織への猛アプローチをかける。そこに詩織の詳しい事情を知らない真知子も加わり、困惑する詩織。その様子を見て大雅は・・・。    　さらに、パーティーから帰った詩織は、大雅に電話して・・・。</v>
      </c>
      <c r="N1589" s="2"/>
      <c r="O1589" s="2"/>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row>
    <row r="1590" ht="204.75" customHeight="1">
      <c r="A1590" s="1">
        <v>4662.0</v>
      </c>
      <c r="B1590" s="2" t="s">
        <v>5069</v>
      </c>
      <c r="C1590" s="2">
        <f>IFERROR(__xludf.DUMMYFUNCTION("split(B1590,""_"")"),1007.0)</f>
        <v>1007</v>
      </c>
      <c r="D1590" s="2" t="str">
        <f>IFERROR(__xludf.DUMMYFUNCTION("""COMPUTED_VALUE"""),"CX")</f>
        <v>CX</v>
      </c>
      <c r="E1590" s="2" t="str">
        <f>IFERROR(__xludf.DUMMYFUNCTION("""COMPUTED_VALUE"""),"月21")</f>
        <v>月21</v>
      </c>
      <c r="F1590" s="2" t="s">
        <v>5070</v>
      </c>
      <c r="G1590" s="2" t="s">
        <v>5086</v>
      </c>
      <c r="H1590" s="1">
        <v>6.0</v>
      </c>
      <c r="I1590" s="1" t="s">
        <v>21</v>
      </c>
      <c r="J1590" s="1" t="s">
        <v>11</v>
      </c>
      <c r="K1590" s="2" t="s">
        <v>5087</v>
      </c>
      <c r="L1590" s="2" t="s">
        <v>5088</v>
      </c>
      <c r="M1590" s="2" t="str">
        <f>IFERROR(__xludf.DUMMYFUNCTION("split(split(K1590,""松本潤　"",false),""公式LINE"",false)"),"亡き夫の故郷・福岡に里帰りする北村詩織(竹内結子)を見送った楠大雅(松本潤)。詩織と海(小林星蘭)は、夫の両親ら家族と夏休みを過ごす。東京の芸能事務所で働き始めたことを話すと、孫の海と一緒に暮らしたい義母・君江(市毛良枝)はそんなところで働かなくても福岡で一緒に暮らせばいいのに、とさりげなく伝える。そんな中、出張中で会えない夫の弟・春樹から電話がかかってくる。亡き夫とそっくりの声に詩織はドキッとしてしまう。  　一方、大雅はダーツバーで飲んでいた。相手はいつもの植野慶太(笠原秀幸)ではなく、伊良部譲(永山"&amp;"絢斗)。最近実力を伸ばしている譲に話を聞きたかったのだ。  　その頃、事務所にはあるテレビ局から真知子(松坂慶子)と大雅で温泉旅行をするという番組の依頼が入った。青木久雄(松重豊)は役者以外の仕事なので大雅が嫌がるだろうと思っていたが、意外とすんなり受け入れる。芝居のためには、なんでも人生経験を積むことが大事と、大雅の中で少しずつ仕事への姿勢に変化が見られるのだった。  　温泉ロケにたとうという時、詩織が福岡から戻ってきた。挨拶くらいしか会話をする間もなく出かける大雅だが、詩織が帰ってきてやっぱり嬉しい。"&amp;"そんな2人を見ていた宮瀬桜(桐谷美玲)は詩織にあることを伝えて…。")</f>
        <v>亡き夫の故郷・福岡に里帰りする北村詩織(竹内結子)を見送った楠大雅(松本潤)。詩織と海(小林星蘭)は、夫の両親ら家族と夏休みを過ごす。東京の芸能事務所で働き始めたことを話すと、孫の海と一緒に暮らしたい義母・君江(市毛良枝)はそんなところで働かなくても福岡で一緒に暮らせばいいのに、とさりげなく伝える。そんな中、出張中で会えない夫の弟・春樹から電話がかかってくる。亡き夫とそっくりの声に詩織はドキッとしてしまう。  　一方、大雅はダーツバーで飲んでいた。相手はいつもの植野慶太(笠原秀幸)ではなく、伊良部譲(永山絢斗)。最近実力を伸ばしている譲に話を聞きたかったのだ。  　その頃、事務所にはあるテレビ局から真知子(松坂慶子)と大雅で温泉旅行をするという番組の依頼が入った。青木久雄(松重豊)は役者以外の仕事なので大雅が嫌がるだろうと思っていたが、意外とすんなり受け入れる。芝居のためには、なんでも人生経験を積むことが大事と、大雅の中で少しずつ仕事への姿勢に変化が見られるのだった。  　温泉ロケにたとうという時、詩織が福岡から戻ってきた。挨拶くらいしか会話をする間もなく出かける大雅だが、詩織が帰ってきてやっぱり嬉しい。そんな2人を見ていた宮瀬桜(桐谷美玲)は詩織にあることを伝えて…。</v>
      </c>
      <c r="N1590" s="2"/>
      <c r="O1590" s="2"/>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row>
    <row r="1591" ht="204.75" customHeight="1">
      <c r="A1591" s="1">
        <v>4663.0</v>
      </c>
      <c r="B1591" s="2" t="s">
        <v>5069</v>
      </c>
      <c r="C1591" s="2">
        <f>IFERROR(__xludf.DUMMYFUNCTION("split(B1591,""_"")"),1007.0)</f>
        <v>1007</v>
      </c>
      <c r="D1591" s="2" t="str">
        <f>IFERROR(__xludf.DUMMYFUNCTION("""COMPUTED_VALUE"""),"CX")</f>
        <v>CX</v>
      </c>
      <c r="E1591" s="2" t="str">
        <f>IFERROR(__xludf.DUMMYFUNCTION("""COMPUTED_VALUE"""),"月21")</f>
        <v>月21</v>
      </c>
      <c r="F1591" s="2" t="s">
        <v>5070</v>
      </c>
      <c r="G1591" s="2" t="s">
        <v>5089</v>
      </c>
      <c r="H1591" s="1">
        <v>7.0</v>
      </c>
      <c r="I1591" s="1" t="s">
        <v>25</v>
      </c>
      <c r="J1591" s="1" t="s">
        <v>11</v>
      </c>
      <c r="K1591" s="2" t="s">
        <v>5090</v>
      </c>
      <c r="L1591" s="2" t="s">
        <v>5091</v>
      </c>
      <c r="M1591" s="2" t="str">
        <f>IFERROR(__xludf.DUMMYFUNCTION("split(split(K1591,""松本潤　"",false),""公式LINE"",false)"),"楠大雅(松本潤)は北村詩織(竹内結子)の揺れる想いを聞き、2人はキスを交わした。父・航太郎(伊東四朗)の大事なトロフィーを割ってしまった直後に青木久雄(松重豊)らが事務所に戻ってきたため、とっさに稽古場に隠れた時の出来事だった。  　詩織は気を取り直して海(小林星蘭)を迎えに行くと、海の誕生パーティーをしようと友だちやその親たちで盛り上がる。これが自分の生きる世界だ、と心に言い聞かせる詩織。  　大雅は詩織との出来事が嬉しい半面苦しくて、複雑な恋心を植野慶太(笠原秀幸)に打ち明ける。以来、大雅は事務所に顔"&amp;"を出さなくなっていた。青木は大雅と詩織の様子がどこかおかしいことに気づく。  　ある日、大貴(沢村一樹)と大雅が自宅にいると、そこに真知子(松坂慶子)が宮瀬桜(桐谷美玲)を伴って帰ってきた。桜は、先日放送された真知子と大雅の温泉番組についての読者投稿記事が載った新聞をわざわざ持ってきたのだ。好意的な内容の記事に大雅は感動する。  　帰り道、送ってくれた大雅に桜は自分の気持ちを伝える。告白されたことすら気づかない大雅に突然キスをする桜。しかし、ちょうどその場を詩織が目撃して・・・。")</f>
        <v>楠大雅(松本潤)は北村詩織(竹内結子)の揺れる想いを聞き、2人はキスを交わした。父・航太郎(伊東四朗)の大事なトロフィーを割ってしまった直後に青木久雄(松重豊)らが事務所に戻ってきたため、とっさに稽古場に隠れた時の出来事だった。  　詩織は気を取り直して海(小林星蘭)を迎えに行くと、海の誕生パーティーをしようと友だちやその親たちで盛り上がる。これが自分の生きる世界だ、と心に言い聞かせる詩織。  　大雅は詩織との出来事が嬉しい半面苦しくて、複雑な恋心を植野慶太(笠原秀幸)に打ち明ける。以来、大雅は事務所に顔を出さなくなっていた。青木は大雅と詩織の様子がどこかおかしいことに気づく。  　ある日、大貴(沢村一樹)と大雅が自宅にいると、そこに真知子(松坂慶子)が宮瀬桜(桐谷美玲)を伴って帰ってきた。桜は、先日放送された真知子と大雅の温泉番組についての読者投稿記事が載った新聞をわざわざ持ってきたのだ。好意的な内容の記事に大雅は感動する。  　帰り道、送ってくれた大雅に桜は自分の気持ちを伝える。告白されたことすら気づかない大雅に突然キスをする桜。しかし、ちょうどその場を詩織が目撃して・・・。</v>
      </c>
      <c r="N1591" s="2"/>
      <c r="O1591" s="2"/>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row>
    <row r="1592" ht="204.75" customHeight="1">
      <c r="A1592" s="1">
        <v>4664.0</v>
      </c>
      <c r="B1592" s="2" t="s">
        <v>5069</v>
      </c>
      <c r="C1592" s="2">
        <f>IFERROR(__xludf.DUMMYFUNCTION("split(B1592,""_"")"),1007.0)</f>
        <v>1007</v>
      </c>
      <c r="D1592" s="2" t="str">
        <f>IFERROR(__xludf.DUMMYFUNCTION("""COMPUTED_VALUE"""),"CX")</f>
        <v>CX</v>
      </c>
      <c r="E1592" s="2" t="str">
        <f>IFERROR(__xludf.DUMMYFUNCTION("""COMPUTED_VALUE"""),"月21")</f>
        <v>月21</v>
      </c>
      <c r="F1592" s="2" t="s">
        <v>5070</v>
      </c>
      <c r="G1592" s="2" t="s">
        <v>5092</v>
      </c>
      <c r="H1592" s="1">
        <v>8.0</v>
      </c>
      <c r="I1592" s="1" t="s">
        <v>29</v>
      </c>
      <c r="J1592" s="1" t="s">
        <v>11</v>
      </c>
      <c r="K1592" s="2" t="s">
        <v>5093</v>
      </c>
      <c r="L1592" s="2" t="s">
        <v>5094</v>
      </c>
      <c r="M1592" s="2" t="str">
        <f>IFERROR(__xludf.DUMMYFUNCTION("split(split(K1592,""松本潤　"",false),""公式LINE"",false)"),"事務所で2人きりになった楠大雅(松本潤)と宮瀬桜(桐谷美玲)。「詩織さんのこと、忘れさせてあげる・・・」と、桜がキスしようとするが、大雅はうまくかわす。  　北村詩織(竹内結子)は、自宅で海(小林星蘭)のバースデーパーティーを開いていたところ、ちょうど出張で東京に来ていた北村春樹(塚本高史)も飛び入り参加する。その夜、春樹は詩織に亡き夫で春樹の兄でもある勇樹の話をし始める。北村家のことは気にせず、新たな人生を送ってもいいのでは?とさりげなく詩織に話す春樹。  　いよいよ名演出家・有栖川正志(石橋蓮司)の2"&amp;"週間にわたるワークショップがスタートした。大雅や伊良部譲(永山絢斗)もどんなレッスンになるのか期待に胸を膨らませながら参加する。床の雑巾がけから始まり、次々と難しい表現を要求される中、有栖川はことごとく大雅に厳しく接し、しごきまくる。それでもへこたれずに歯を食いしばる大雅。一方、詩織はワークショップで忙しく、事務所に来ない大雅が気にかかり、様子がおかしい。  　海が通っている学校も新学期が始まった。楠大貴(沢村一樹)は、海のことを迎えに来た春樹の姿を見かける。海もなついている様子に誰なのか気になり、大貴は"&amp;"大雅にも報告、大雅も詩織のことを諦めたとはいえ心に引っかかる。1日オフができた、という春樹に詩織は「付き合ってほしい場所がある」と切り出す。")</f>
        <v>事務所で2人きりになった楠大雅(松本潤)と宮瀬桜(桐谷美玲)。「詩織さんのこと、忘れさせてあげる・・・」と、桜がキスしようとするが、大雅はうまくかわす。  　北村詩織(竹内結子)は、自宅で海(小林星蘭)のバースデーパーティーを開いていたところ、ちょうど出張で東京に来ていた北村春樹(塚本高史)も飛び入り参加する。その夜、春樹は詩織に亡き夫で春樹の兄でもある勇樹の話をし始める。北村家のことは気にせず、新たな人生を送ってもいいのでは?とさりげなく詩織に話す春樹。  　いよいよ名演出家・有栖川正志(石橋蓮司)の2週間にわたるワークショップがスタートした。大雅や伊良部譲(永山絢斗)もどんなレッスンになるのか期待に胸を膨らませながら参加する。床の雑巾がけから始まり、次々と難しい表現を要求される中、有栖川はことごとく大雅に厳しく接し、しごきまくる。それでもへこたれずに歯を食いしばる大雅。一方、詩織はワークショップで忙しく、事務所に来ない大雅が気にかかり、様子がおかしい。  　海が通っている学校も新学期が始まった。楠大貴(沢村一樹)は、海のことを迎えに来た春樹の姿を見かける。海もなついている様子に誰なのか気になり、大貴は大雅にも報告、大雅も詩織のことを諦めたとはいえ心に引っかかる。1日オフができた、という春樹に詩織は「付き合ってほしい場所がある」と切り出す。</v>
      </c>
      <c r="N1592" s="2"/>
      <c r="O1592" s="2"/>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row>
    <row r="1593" ht="204.75" customHeight="1">
      <c r="A1593" s="1">
        <v>4665.0</v>
      </c>
      <c r="B1593" s="2" t="s">
        <v>5069</v>
      </c>
      <c r="C1593" s="2">
        <f>IFERROR(__xludf.DUMMYFUNCTION("split(B1593,""_"")"),1007.0)</f>
        <v>1007</v>
      </c>
      <c r="D1593" s="2" t="str">
        <f>IFERROR(__xludf.DUMMYFUNCTION("""COMPUTED_VALUE"""),"CX")</f>
        <v>CX</v>
      </c>
      <c r="E1593" s="2" t="str">
        <f>IFERROR(__xludf.DUMMYFUNCTION("""COMPUTED_VALUE"""),"月21")</f>
        <v>月21</v>
      </c>
      <c r="F1593" s="2" t="s">
        <v>5070</v>
      </c>
      <c r="G1593" s="2" t="s">
        <v>5095</v>
      </c>
      <c r="H1593" s="1">
        <v>9.0</v>
      </c>
      <c r="I1593" s="1" t="s">
        <v>33</v>
      </c>
      <c r="J1593" s="1" t="s">
        <v>11</v>
      </c>
      <c r="K1593" s="2" t="s">
        <v>5096</v>
      </c>
      <c r="L1593" s="2" t="s">
        <v>5097</v>
      </c>
      <c r="M1593" s="2" t="str">
        <f>IFERROR(__xludf.DUMMYFUNCTION("split(split(K1593,""松本潤　"",false),""公式LINE"",false)"),"楠大雅(松本潤)は北村詩織(竹内結子)と想いが通じ、芝居の勉強も楽しく、幸せの絶頂にいた。詩織が大雅に振り向いたことを聞き、兄の楠大貴(沢村一樹)は絶句する。  　事務所の青木久雄(松重豊)は『風の銀次郎』シリーズが来年復活することを告げに楠真知子(松坂慶子)の元を訪れる。二代目銀次郎に大物俳優・高見誠(佐藤浩市)が決定。  　それを聞いた大雅は複雑な心境だ。　詩織は大雅への自分の気持ちを、宮瀬桜(桐谷美玲)に正直に話そうとする。桜は諦めない、とライバル宣言しつつも、今度恋愛話でもしようと詩織をランチに誘"&amp;"う。  　2週間続いた有栖川正志(石橋蓮司)の演劇ワークショップもいよいよ最終日。厳しい稽古を終え、有栖川演出の次回公演に参加できる3人の名前が読み上げられた。息を飲んで発表を聞く大雅。　数日後、詩織と海(小林星蘭)の3人で食事をするため、大雅は久しぶりに詩織の家を訪れた。家庭的な空間に大雅の心も温まる。食事の後、大雅は海が描いた絵を見つける。それは海の父親の絵だった。今でもパパのことを自慢に思っている様子の海を見て大雅は・・・。")</f>
        <v>楠大雅(松本潤)は北村詩織(竹内結子)と想いが通じ、芝居の勉強も楽しく、幸せの絶頂にいた。詩織が大雅に振り向いたことを聞き、兄の楠大貴(沢村一樹)は絶句する。  　事務所の青木久雄(松重豊)は『風の銀次郎』シリーズが来年復活することを告げに楠真知子(松坂慶子)の元を訪れる。二代目銀次郎に大物俳優・高見誠(佐藤浩市)が決定。  　それを聞いた大雅は複雑な心境だ。　詩織は大雅への自分の気持ちを、宮瀬桜(桐谷美玲)に正直に話そうとする。桜は諦めない、とライバル宣言しつつも、今度恋愛話でもしようと詩織をランチに誘う。  　2週間続いた有栖川正志(石橋蓮司)の演劇ワークショップもいよいよ最終日。厳しい稽古を終え、有栖川演出の次回公演に参加できる3人の名前が読み上げられた。息を飲んで発表を聞く大雅。　数日後、詩織と海(小林星蘭)の3人で食事をするため、大雅は久しぶりに詩織の家を訪れた。家庭的な空間に大雅の心も温まる。食事の後、大雅は海が描いた絵を見つける。それは海の父親の絵だった。今でもパパのことを自慢に思っている様子の海を見て大雅は・・・。</v>
      </c>
      <c r="N1593" s="2"/>
      <c r="O1593" s="2"/>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row>
    <row r="1594" ht="204.75" customHeight="1">
      <c r="A1594" s="1">
        <v>4666.0</v>
      </c>
      <c r="B1594" s="2" t="s">
        <v>5069</v>
      </c>
      <c r="C1594" s="2">
        <f>IFERROR(__xludf.DUMMYFUNCTION("split(B1594,""_"")"),1007.0)</f>
        <v>1007</v>
      </c>
      <c r="D1594" s="2" t="str">
        <f>IFERROR(__xludf.DUMMYFUNCTION("""COMPUTED_VALUE"""),"CX")</f>
        <v>CX</v>
      </c>
      <c r="E1594" s="2" t="str">
        <f>IFERROR(__xludf.DUMMYFUNCTION("""COMPUTED_VALUE"""),"月21")</f>
        <v>月21</v>
      </c>
      <c r="F1594" s="2" t="s">
        <v>5070</v>
      </c>
      <c r="G1594" s="2" t="s">
        <v>5098</v>
      </c>
      <c r="H1594" s="1">
        <v>10.0</v>
      </c>
      <c r="I1594" s="1" t="s">
        <v>37</v>
      </c>
      <c r="J1594" s="1" t="s">
        <v>11</v>
      </c>
      <c r="K1594" s="2" t="s">
        <v>5099</v>
      </c>
      <c r="L1594" s="2" t="s">
        <v>5100</v>
      </c>
      <c r="M1594" s="2" t="str">
        <f>IFERROR(__xludf.DUMMYFUNCTION("split(split(K1594,""松本潤　"",false),""公式LINE"",false)"),"楠大雅(松本潤)が北村詩織(竹内結子)と海(小林星蘭)に「海の父親になる」と言ったせいで、海はその場から走り去ってしまった。詩織も簡単に言ってほしくなかったと大雅に言い放ち、海の後を追いかける。以来、海は詩織とも口を聞いてくれない。学校でも2人の様子がおかしいと気付いた楠大貴(沢村一樹)。詩織は大貴に、海が納得してくれるまでは大雅とは会わないと打ち明ける。　大雅は青木久雄(松重豊)に詩織と海のことを相談するが、青木は舞台でまだ役がもらえていない大雅に、そんなことで悩むよりも今は何としてでも役を取ってこい、"&amp;"と叱咤する。  　詩織は海が秘かに想いを寄せている三池蒼空(井上瑞稀)が転校してしまうことを知る。そして海が学童での蒼空のお別れ会に行かなかったことも・・・。詩織は今まで海に話せなかった自分の正直な気持ちを伝え、海の手を引き蒼空のところへ向かう。　いよいよ舞台『ハムレット』の稽古が始まった。大雅は、まだ役がもらえなくても『ハムレット』の資料を熱心に読みあさり、台本のすべての台詞を読み込む。  　ある日、帰宅した大雅は郵便受けに一通の封筒を見つける。それは詩織からの手紙だった。")</f>
        <v>楠大雅(松本潤)が北村詩織(竹内結子)と海(小林星蘭)に「海の父親になる」と言ったせいで、海はその場から走り去ってしまった。詩織も簡単に言ってほしくなかったと大雅に言い放ち、海の後を追いかける。以来、海は詩織とも口を聞いてくれない。学校でも2人の様子がおかしいと気付いた楠大貴(沢村一樹)。詩織は大貴に、海が納得してくれるまでは大雅とは会わないと打ち明ける。　大雅は青木久雄(松重豊)に詩織と海のことを相談するが、青木は舞台でまだ役がもらえていない大雅に、そんなことで悩むよりも今は何としてでも役を取ってこい、と叱咤する。  　詩織は海が秘かに想いを寄せている三池蒼空(井上瑞稀)が転校してしまうことを知る。そして海が学童での蒼空のお別れ会に行かなかったことも・・・。詩織は今まで海に話せなかった自分の正直な気持ちを伝え、海の手を引き蒼空のところへ向かう。　いよいよ舞台『ハムレット』の稽古が始まった。大雅は、まだ役がもらえなくても『ハムレット』の資料を熱心に読みあさり、台本のすべての台詞を読み込む。  　ある日、帰宅した大雅は郵便受けに一通の封筒を見つける。それは詩織からの手紙だった。</v>
      </c>
      <c r="N1594" s="2"/>
      <c r="O1594" s="2"/>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row>
    <row r="1595" ht="204.75" customHeight="1">
      <c r="A1595" s="1">
        <v>4667.0</v>
      </c>
      <c r="B1595" s="2" t="s">
        <v>5101</v>
      </c>
      <c r="C1595" s="2">
        <f>IFERROR(__xludf.DUMMYFUNCTION("split(B1595,""_"")"),1007.0)</f>
        <v>1007</v>
      </c>
      <c r="D1595" s="2" t="str">
        <f>IFERROR(__xludf.DUMMYFUNCTION("""COMPUTED_VALUE"""),"CX")</f>
        <v>CX</v>
      </c>
      <c r="E1595" s="2" t="str">
        <f>IFERROR(__xludf.DUMMYFUNCTION("""COMPUTED_VALUE"""),"火22")</f>
        <v>火22</v>
      </c>
      <c r="F1595" s="2" t="s">
        <v>5102</v>
      </c>
      <c r="G1595" s="2" t="s">
        <v>5103</v>
      </c>
      <c r="H1595" s="1">
        <v>1.0</v>
      </c>
      <c r="I1595" s="1" t="s">
        <v>3</v>
      </c>
      <c r="J1595" s="1" t="s">
        <v>82</v>
      </c>
      <c r="K1595" s="4" t="s">
        <v>5104</v>
      </c>
      <c r="L1595" s="2" t="s">
        <v>5105</v>
      </c>
      <c r="M1595" s="9" t="str">
        <f>IFERROR(__xludf.DUMMYFUNCTION("split(split(K1595,""上地雄輔　 "",false),""toubou/"",false)"),"http://ktv.jp/")</f>
        <v>http://ktv.jp/</v>
      </c>
      <c r="N1595" s="2" t="str">
        <f>IFERROR(__xludf.DUMMYFUNCTION("""COMPUTED_VALUE"""),"冤罪ーそれはある日突然降りかかる法の罠　　本当の不幸は諦めた時に始まる。    「アクサル法律事務所」の若手弁護士・成田誠(上地雄輔)は、尊敬する弁護士・二ノ宮徹(船越英一郎)が事務所で胸を刺され殺されているのを発見。しかしその直後、成田も何者かに襲われ気を失う。  病院で目覚めた成田は、検察官・真船丈(北村一輝)と検察事務官・三枝亮子(矢田亜希子)に弁護士殺人・及び放火・横領・強盗の容疑で取り調べを受ける。成田のアリバイを実証する唯一の目撃者・小早川美由紀(村川絵梨)にも目撃を否認され、何者かに罠にハメ"&amp;"られたと気づいた成田は病院を脱走する。　一方、二ノ宮の娘・絵美(石原さとみ)は思いを寄せていた成田が容疑者と知り動揺を隠せない。一方成田は真犯人を捜すために逃亡する途中、自殺を図ろうとしていた広瀬友哉(中村獅童)と出会う。妻子に逃げられた広瀬は出直して娘と再会したいとラーメン屋を始めたが、不動産会社に騙され立ち退きを余儀なくされたという。  　交わした覚書は無効だといわれカッとなった広瀬は財布を奪って逃走し、暴行と強盗の容疑で指名手配されていた。成田は自暴自棄になった広瀬に娘に会いに行こうと説得する。遠巻"&amp;"きに娘の姿を見た広瀬は自首してやり直すことを決意するが、その前に成田に頼みがあると言う。")</f>
        <v>冤罪ーそれはある日突然降りかかる法の罠　　本当の不幸は諦めた時に始まる。    「アクサル法律事務所」の若手弁護士・成田誠(上地雄輔)は、尊敬する弁護士・二ノ宮徹(船越英一郎)が事務所で胸を刺され殺されているのを発見。しかしその直後、成田も何者かに襲われ気を失う。  病院で目覚めた成田は、検察官・真船丈(北村一輝)と検察事務官・三枝亮子(矢田亜希子)に弁護士殺人・及び放火・横領・強盗の容疑で取り調べを受ける。成田のアリバイを実証する唯一の目撃者・小早川美由紀(村川絵梨)にも目撃を否認され、何者かに罠にハメられたと気づいた成田は病院を脱走する。　一方、二ノ宮の娘・絵美(石原さとみ)は思いを寄せていた成田が容疑者と知り動揺を隠せない。一方成田は真犯人を捜すために逃亡する途中、自殺を図ろうとしていた広瀬友哉(中村獅童)と出会う。妻子に逃げられた広瀬は出直して娘と再会したいとラーメン屋を始めたが、不動産会社に騙され立ち退きを余儀なくされたという。  　交わした覚書は無効だといわれカッとなった広瀬は財布を奪って逃走し、暴行と強盗の容疑で指名手配されていた。成田は自暴自棄になった広瀬に娘に会いに行こうと説得する。遠巻きに娘の姿を見た広瀬は自首してやり直すことを決意するが、その前に成田に頼みがあると言う。</v>
      </c>
      <c r="O1595" s="2"/>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row>
    <row r="1596" ht="204.75" customHeight="1">
      <c r="A1596" s="1">
        <v>4668.0</v>
      </c>
      <c r="B1596" s="2" t="s">
        <v>5101</v>
      </c>
      <c r="C1596" s="2">
        <f>IFERROR(__xludf.DUMMYFUNCTION("split(B1596,""_"")"),1007.0)</f>
        <v>1007</v>
      </c>
      <c r="D1596" s="2" t="str">
        <f>IFERROR(__xludf.DUMMYFUNCTION("""COMPUTED_VALUE"""),"CX")</f>
        <v>CX</v>
      </c>
      <c r="E1596" s="2" t="str">
        <f>IFERROR(__xludf.DUMMYFUNCTION("""COMPUTED_VALUE"""),"火22")</f>
        <v>火22</v>
      </c>
      <c r="F1596" s="2" t="s">
        <v>5102</v>
      </c>
      <c r="G1596" s="2" t="s">
        <v>5106</v>
      </c>
      <c r="H1596" s="1">
        <v>2.0</v>
      </c>
      <c r="I1596" s="1" t="s">
        <v>7</v>
      </c>
      <c r="J1596" s="1" t="s">
        <v>82</v>
      </c>
      <c r="K1596" s="2" t="s">
        <v>5107</v>
      </c>
      <c r="L1596" s="2" t="s">
        <v>5108</v>
      </c>
      <c r="M1596" s="9" t="str">
        <f>IFERROR(__xludf.DUMMYFUNCTION("split(split(K1596,""上地雄輔　 "",false),""toubou/"",false)"),"http://ktv.jp/")</f>
        <v>http://ktv.jp/</v>
      </c>
      <c r="N1596" s="2" t="str">
        <f>IFERROR(__xludf.DUMMYFUNCTION("""COMPUTED_VALUE"""),"無実を証明すると絵美(石原さとみ)に言い残し逃亡すること1年、成田(上地雄輔)は都内に潜伏していた。唯一の証人・小早川美由紀(村川絵梨)を追い、彼女の直近の勤務先だった「TBコンサルティング」に着眼する。    「TBコンサルティング」の社長・橘正志(升毅)の自宅警護についた成田は、橘によって息子・拓也(佐藤瑠生亮)から引き離されてしまった女性・藤原久美子(戸田菜穂)に会う。久美子は2年前に橘の暴力が原因で離婚、さらに親権も彼にだまし取られ、今では息子との面会すらも阻まれていた。真相を知った成田は、久美子"&amp;"のため親権を取り戻す方法を思いつく。しかし詳細を聞かされた久美子は驚くばかり。違法であるが故、一生隠し続けなければならないと思っていた拓也の出生の秘密を利用する作戦だったからだ。    　一方、真船(北村一輝)は成田はおろか美由紀の足取りすらつかめないでいるのに焦る気配がなく、しかも成田の逮捕が近いことをなぜか確信している様子。そして予言的中か、成田発見の目撃情報が飛び込んでくる。拓也が一時行方不明になった際に捜索に乗り出す姿が目撃されていたのだ。  親権を取り戻すべく橘に立ち向かう久美子を支える成田は、"&amp;"ジワジワ包囲網が狭まっていることをまだ知らない。警護の傍ら、地道な聞き込み調査で、小早川が大金を入手予定であったという情報をつかんだばかりだというのに…。")</f>
        <v>無実を証明すると絵美(石原さとみ)に言い残し逃亡すること1年、成田(上地雄輔)は都内に潜伏していた。唯一の証人・小早川美由紀(村川絵梨)を追い、彼女の直近の勤務先だった「TBコンサルティング」に着眼する。    「TBコンサルティング」の社長・橘正志(升毅)の自宅警護についた成田は、橘によって息子・拓也(佐藤瑠生亮)から引き離されてしまった女性・藤原久美子(戸田菜穂)に会う。久美子は2年前に橘の暴力が原因で離婚、さらに親権も彼にだまし取られ、今では息子との面会すらも阻まれていた。真相を知った成田は、久美子のため親権を取り戻す方法を思いつく。しかし詳細を聞かされた久美子は驚くばかり。違法であるが故、一生隠し続けなければならないと思っていた拓也の出生の秘密を利用する作戦だったからだ。    　一方、真船(北村一輝)は成田はおろか美由紀の足取りすらつかめないでいるのに焦る気配がなく、しかも成田の逮捕が近いことをなぜか確信している様子。そして予言的中か、成田発見の目撃情報が飛び込んでくる。拓也が一時行方不明になった際に捜索に乗り出す姿が目撃されていたのだ。  親権を取り戻すべく橘に立ち向かう久美子を支える成田は、ジワジワ包囲網が狭まっていることをまだ知らない。警護の傍ら、地道な聞き込み調査で、小早川が大金を入手予定であったという情報をつかんだばかりだというのに…。</v>
      </c>
      <c r="O1596" s="2"/>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row>
    <row r="1597" ht="204.75" customHeight="1">
      <c r="A1597" s="1">
        <v>4669.0</v>
      </c>
      <c r="B1597" s="2" t="s">
        <v>5101</v>
      </c>
      <c r="C1597" s="2">
        <f>IFERROR(__xludf.DUMMYFUNCTION("split(B1597,""_"")"),1007.0)</f>
        <v>1007</v>
      </c>
      <c r="D1597" s="2" t="str">
        <f>IFERROR(__xludf.DUMMYFUNCTION("""COMPUTED_VALUE"""),"CX")</f>
        <v>CX</v>
      </c>
      <c r="E1597" s="2" t="str">
        <f>IFERROR(__xludf.DUMMYFUNCTION("""COMPUTED_VALUE"""),"火22")</f>
        <v>火22</v>
      </c>
      <c r="F1597" s="2" t="s">
        <v>5102</v>
      </c>
      <c r="G1597" s="2" t="s">
        <v>5109</v>
      </c>
      <c r="H1597" s="1">
        <v>3.0</v>
      </c>
      <c r="I1597" s="1" t="s">
        <v>10</v>
      </c>
      <c r="J1597" s="1" t="s">
        <v>86</v>
      </c>
      <c r="K1597" s="2" t="s">
        <v>5110</v>
      </c>
      <c r="L1597" s="2" t="s">
        <v>5111</v>
      </c>
      <c r="M1597" s="9" t="str">
        <f>IFERROR(__xludf.DUMMYFUNCTION("split(split(K1597,""上地雄輔　 "",false),""toubou/"",false)"),"http://ktv.jp/")</f>
        <v>http://ktv.jp/</v>
      </c>
      <c r="N1597" s="2" t="str">
        <f>IFERROR(__xludf.DUMMYFUNCTION("""COMPUTED_VALUE"""),"　所持金が底をつきレストランバーで働き始めた成田(上地雄輔)は、医大を目指す予備校生・山本(木村了)と出会う。彼はキャバクラ嬢・志穂(相武紗季)にストーカーされ、脅える日々を過ごしていた。  そんなある日、成田は事件当夜に出会った美由紀(村川絵梨)の服装などからヒントを得て、水商売の女性が集まる繁華街で聞き込み調査をする。一方、真船(北村一輝)も独自の調査で、成田が繁華街に現れるとにらみ、亮子(矢田亜希子)に捜査員を投入するよう指示していた。  そんな中、美由紀とつながりのあった人物と会えることになった成"&amp;"田。しかしその直後、成田を指名手配犯と知った志穂から、見逃してやる代わりにある男を殺して欲しいと取引を持ちかけられ…。")</f>
        <v>　所持金が底をつきレストランバーで働き始めた成田(上地雄輔)は、医大を目指す予備校生・山本(木村了)と出会う。彼はキャバクラ嬢・志穂(相武紗季)にストーカーされ、脅える日々を過ごしていた。  そんなある日、成田は事件当夜に出会った美由紀(村川絵梨)の服装などからヒントを得て、水商売の女性が集まる繁華街で聞き込み調査をする。一方、真船(北村一輝)も独自の調査で、成田が繁華街に現れるとにらみ、亮子(矢田亜希子)に捜査員を投入するよう指示していた。  そんな中、美由紀とつながりのあった人物と会えることになった成田。しかしその直後、成田を指名手配犯と知った志穂から、見逃してやる代わりにある男を殺して欲しいと取引を持ちかけられ…。</v>
      </c>
      <c r="O1597" s="2"/>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row>
    <row r="1598" ht="204.75" customHeight="1">
      <c r="A1598" s="1">
        <v>4670.0</v>
      </c>
      <c r="B1598" s="2" t="s">
        <v>5101</v>
      </c>
      <c r="C1598" s="2">
        <f>IFERROR(__xludf.DUMMYFUNCTION("split(B1598,""_"")"),1007.0)</f>
        <v>1007</v>
      </c>
      <c r="D1598" s="2" t="str">
        <f>IFERROR(__xludf.DUMMYFUNCTION("""COMPUTED_VALUE"""),"CX")</f>
        <v>CX</v>
      </c>
      <c r="E1598" s="2" t="str">
        <f>IFERROR(__xludf.DUMMYFUNCTION("""COMPUTED_VALUE"""),"火22")</f>
        <v>火22</v>
      </c>
      <c r="F1598" s="2" t="s">
        <v>5102</v>
      </c>
      <c r="G1598" s="2" t="s">
        <v>5112</v>
      </c>
      <c r="H1598" s="1">
        <v>4.0</v>
      </c>
      <c r="I1598" s="1" t="s">
        <v>14</v>
      </c>
      <c r="J1598" s="1" t="s">
        <v>86</v>
      </c>
      <c r="K1598" s="2" t="s">
        <v>5113</v>
      </c>
      <c r="L1598" s="2" t="s">
        <v>5114</v>
      </c>
      <c r="M1598" s="9" t="str">
        <f>IFERROR(__xludf.DUMMYFUNCTION("split(split(K1598,""上地雄輔　 "",false),""toubou/"",false)"),"http://ktv.jp/")</f>
        <v>http://ktv.jp/</v>
      </c>
      <c r="N1598" s="2" t="str">
        <f>IFERROR(__xludf.DUMMYFUNCTION("""COMPUTED_VALUE"""),"　ひったくり事件を目撃した成田(上地雄輔)は、逃げた犯人が落とした社員証を手がかりに勤務先「ナナセ運輸」へ向かう。その男・山崎公太(五十嵐隼士)は、恋人・里香(末永遥)の闇金業者への借金を肩代わりしていた。唯一の肉親である警察官の父(中原丈雄)とは折り合いが悪く、さらに里香は病弱な上に身重。一人で対処しようとしたが金の工面は難しく、仕方なく犯行を重ねてきたのだ。　そんな公太を案じた成田は自首を促すが、逃亡犯だと気づかれ、通報しない代わりに犯行を見逃すよう逆に脅される。  　無実を証明してくれるはずの唯一の"&amp;"証人・美由紀(村川絵梨)に繋がる人物との接触を目前に控え、従うしかない成田。  　さらに公太の父親も公太の犯罪隠蔽に動き出してしまう。未だ公太から恨みを買うほど家庭より職務優先だった父親が、違法行為に走る覚悟を決めた背景とは?")</f>
        <v>　ひったくり事件を目撃した成田(上地雄輔)は、逃げた犯人が落とした社員証を手がかりに勤務先「ナナセ運輸」へ向かう。その男・山崎公太(五十嵐隼士)は、恋人・里香(末永遥)の闇金業者への借金を肩代わりしていた。唯一の肉親である警察官の父(中原丈雄)とは折り合いが悪く、さらに里香は病弱な上に身重。一人で対処しようとしたが金の工面は難しく、仕方なく犯行を重ねてきたのだ。　そんな公太を案じた成田は自首を促すが、逃亡犯だと気づかれ、通報しない代わりに犯行を見逃すよう逆に脅される。  　無実を証明してくれるはずの唯一の証人・美由紀(村川絵梨)に繋がる人物との接触を目前に控え、従うしかない成田。  　さらに公太の父親も公太の犯罪隠蔽に動き出してしまう。未だ公太から恨みを買うほど家庭より職務優先だった父親が、違法行為に走る覚悟を決めた背景とは?</v>
      </c>
      <c r="O1598" s="2"/>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row>
    <row r="1599" ht="204.75" customHeight="1">
      <c r="A1599" s="1">
        <v>4671.0</v>
      </c>
      <c r="B1599" s="2" t="s">
        <v>5101</v>
      </c>
      <c r="C1599" s="2">
        <f>IFERROR(__xludf.DUMMYFUNCTION("split(B1599,""_"")"),1007.0)</f>
        <v>1007</v>
      </c>
      <c r="D1599" s="2" t="str">
        <f>IFERROR(__xludf.DUMMYFUNCTION("""COMPUTED_VALUE"""),"CX")</f>
        <v>CX</v>
      </c>
      <c r="E1599" s="2" t="str">
        <f>IFERROR(__xludf.DUMMYFUNCTION("""COMPUTED_VALUE"""),"火22")</f>
        <v>火22</v>
      </c>
      <c r="F1599" s="2" t="s">
        <v>5102</v>
      </c>
      <c r="G1599" s="2" t="s">
        <v>5115</v>
      </c>
      <c r="H1599" s="1">
        <v>5.0</v>
      </c>
      <c r="I1599" s="1" t="s">
        <v>17</v>
      </c>
      <c r="J1599" s="1" t="s">
        <v>86</v>
      </c>
      <c r="K1599" s="2" t="s">
        <v>5116</v>
      </c>
      <c r="L1599" s="2" t="s">
        <v>5117</v>
      </c>
      <c r="M1599" s="9" t="str">
        <f>IFERROR(__xludf.DUMMYFUNCTION("split(split(K1599,""上地雄輔　 "",false),""toubou/"",false)"),"http://ktv.jp/")</f>
        <v>http://ktv.jp/</v>
      </c>
      <c r="N1599" s="2" t="str">
        <f>IFERROR(__xludf.DUMMYFUNCTION("""COMPUTED_VALUE"""),"　成田(上地雄輔)は美由紀(村川絵梨)に会わせてくれるという浅沼(姜暢雄)に連れられ、浅沼が独立する予定で借りた事務所へ。ところが、届いた一通のメールから事態は一変。浅沼は成田に、「必ず美由紀を連れてくる」と言い残し、事務所を出て行ってしまう。浅沼は、あてにしていた独立資金の援助を急に断られ、新たな資金集めに奔走することになってしまったのだった。　一人残された成田だったが、そこへやって来た不審な男から「ハンコを頼む」と浅沼宛ての書類を託される。“フクナガ""から頼まれたというその書類は、報酬と引き換えに弁"&amp;"護士の名義とハンコを貸して、悪徳企業に加担するものだった。  　そのころ、連光寺(豊原功補)と五十嵐(佐藤二朗)も、浅沼の捏造文書を本人に突きつけ、横領も浅沼の仕業で、成田に罪を着せたのではないかと追い詰めていた。無実を主張し、成田のもとへ戻ってきた浅沼だったが、成田から自首するよう説得されたことから「お前を警察に突き出せば、俺の疑いは晴れる」と開き直る。そして警察に通報しようと…。  　一方、絵美(石原さとみ)は、真船(北村一輝)から「アナタだけに“真実""をお伝えしたい」と呼び出される…。")</f>
        <v>　成田(上地雄輔)は美由紀(村川絵梨)に会わせてくれるという浅沼(姜暢雄)に連れられ、浅沼が独立する予定で借りた事務所へ。ところが、届いた一通のメールから事態は一変。浅沼は成田に、「必ず美由紀を連れてくる」と言い残し、事務所を出て行ってしまう。浅沼は、あてにしていた独立資金の援助を急に断られ、新たな資金集めに奔走することになってしまったのだった。　一人残された成田だったが、そこへやって来た不審な男から「ハンコを頼む」と浅沼宛ての書類を託される。“フクナガ"から頼まれたというその書類は、報酬と引き換えに弁護士の名義とハンコを貸して、悪徳企業に加担するものだった。  　そのころ、連光寺(豊原功補)と五十嵐(佐藤二朗)も、浅沼の捏造文書を本人に突きつけ、横領も浅沼の仕業で、成田に罪を着せたのではないかと追い詰めていた。無実を主張し、成田のもとへ戻ってきた浅沼だったが、成田から自首するよう説得されたことから「お前を警察に突き出せば、俺の疑いは晴れる」と開き直る。そして警察に通報しようと…。  　一方、絵美(石原さとみ)は、真船(北村一輝)から「アナタだけに“真実"をお伝えしたい」と呼び出される…。</v>
      </c>
      <c r="O1599" s="2"/>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row>
    <row r="1600" ht="204.75" customHeight="1">
      <c r="A1600" s="1">
        <v>4672.0</v>
      </c>
      <c r="B1600" s="2" t="s">
        <v>5101</v>
      </c>
      <c r="C1600" s="2">
        <f>IFERROR(__xludf.DUMMYFUNCTION("split(B1600,""_"")"),1007.0)</f>
        <v>1007</v>
      </c>
      <c r="D1600" s="2" t="str">
        <f>IFERROR(__xludf.DUMMYFUNCTION("""COMPUTED_VALUE"""),"CX")</f>
        <v>CX</v>
      </c>
      <c r="E1600" s="2" t="str">
        <f>IFERROR(__xludf.DUMMYFUNCTION("""COMPUTED_VALUE"""),"火22")</f>
        <v>火22</v>
      </c>
      <c r="F1600" s="2" t="s">
        <v>5102</v>
      </c>
      <c r="G1600" s="2" t="s">
        <v>5118</v>
      </c>
      <c r="H1600" s="1">
        <v>6.0</v>
      </c>
      <c r="I1600" s="1" t="s">
        <v>21</v>
      </c>
      <c r="J1600" s="1" t="s">
        <v>86</v>
      </c>
      <c r="K1600" s="2" t="s">
        <v>5119</v>
      </c>
      <c r="L1600" s="2" t="s">
        <v>5120</v>
      </c>
      <c r="M1600" s="9" t="str">
        <f>IFERROR(__xludf.DUMMYFUNCTION("split(split(K1600,""上地雄輔　 "",false),""toubou/"",false)"),"http://ktv.jp/")</f>
        <v>http://ktv.jp/</v>
      </c>
      <c r="N1600" s="2" t="str">
        <f>IFERROR(__xludf.DUMMYFUNCTION("""COMPUTED_VALUE"""),"　目の前に絵美(石原さとみ)が現れ、驚きを隠せない成田(上地雄輔)。絵美は、逮捕直前の浅沼(姜暢雄)から、成田の冤罪の真相解明に協力するよう電話で頼まれていた。成田は早速、美由紀(村川絵梨)に虚偽の証言をさせた“フクナガ""という人物について、生前の二ノ宮(船越英一郎)が情報をつかんでいなかったかを調べるよう絵美に頼む。しかし絵美は、事件から1年以上経ってなお冤罪の証拠を一つも挙げられない成田を信じ切ることはできない。  　その矢先、絵美の妹・まどか(折山みゆ)の友達・橋元望(波瑠)が自殺未遂を起こす。知"&amp;"り合いの男性にレイプされ、妊娠してしまったことが原因だった。母親にすら相談できず一人思い悩む望を不憫に思った絵美は、成田に協力を仰ぐ。  　望から事件当日の経緯を聞いた成田は、彼女のバイト先のカフェへ。そこは問題の男性と知り合った場所のはずだったが、店側の話では望は随分前に辞めており、つじつまが合わない。事細かに確認する成田の聞き取りは、まるで望を追及するかのように手厳しい。  　絵美は、そんな成田に望への配慮に欠く行為と憤慨。「アナタはやっぱり信用できない」と不信感を露わに去っていこうとするが…。")</f>
        <v>　目の前に絵美(石原さとみ)が現れ、驚きを隠せない成田(上地雄輔)。絵美は、逮捕直前の浅沼(姜暢雄)から、成田の冤罪の真相解明に協力するよう電話で頼まれていた。成田は早速、美由紀(村川絵梨)に虚偽の証言をさせた“フクナガ"という人物について、生前の二ノ宮(船越英一郎)が情報をつかんでいなかったかを調べるよう絵美に頼む。しかし絵美は、事件から1年以上経ってなお冤罪の証拠を一つも挙げられない成田を信じ切ることはできない。  　その矢先、絵美の妹・まどか(折山みゆ)の友達・橋元望(波瑠)が自殺未遂を起こす。知り合いの男性にレイプされ、妊娠してしまったことが原因だった。母親にすら相談できず一人思い悩む望を不憫に思った絵美は、成田に協力を仰ぐ。  　望から事件当日の経緯を聞いた成田は、彼女のバイト先のカフェへ。そこは問題の男性と知り合った場所のはずだったが、店側の話では望は随分前に辞めており、つじつまが合わない。事細かに確認する成田の聞き取りは、まるで望を追及するかのように手厳しい。  　絵美は、そんな成田に望への配慮に欠く行為と憤慨。「アナタはやっぱり信用できない」と不信感を露わに去っていこうとするが…。</v>
      </c>
      <c r="O1600" s="2"/>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row>
    <row r="1601" ht="204.75" customHeight="1">
      <c r="A1601" s="1">
        <v>4673.0</v>
      </c>
      <c r="B1601" s="2" t="s">
        <v>5101</v>
      </c>
      <c r="C1601" s="2">
        <f>IFERROR(__xludf.DUMMYFUNCTION("split(B1601,""_"")"),1007.0)</f>
        <v>1007</v>
      </c>
      <c r="D1601" s="2" t="str">
        <f>IFERROR(__xludf.DUMMYFUNCTION("""COMPUTED_VALUE"""),"CX")</f>
        <v>CX</v>
      </c>
      <c r="E1601" s="2" t="str">
        <f>IFERROR(__xludf.DUMMYFUNCTION("""COMPUTED_VALUE"""),"火22")</f>
        <v>火22</v>
      </c>
      <c r="F1601" s="2" t="s">
        <v>5102</v>
      </c>
      <c r="G1601" s="2" t="s">
        <v>5121</v>
      </c>
      <c r="H1601" s="1">
        <v>7.0</v>
      </c>
      <c r="I1601" s="1" t="s">
        <v>25</v>
      </c>
      <c r="J1601" s="1" t="s">
        <v>86</v>
      </c>
      <c r="K1601" s="2" t="s">
        <v>5122</v>
      </c>
      <c r="L1601" s="2" t="s">
        <v>5123</v>
      </c>
      <c r="M1601" s="9" t="str">
        <f>IFERROR(__xludf.DUMMYFUNCTION("split(split(K1601,""上地雄輔　 "",false),""toubou/"",false)"),"http://ktv.jp/")</f>
        <v>http://ktv.jp/</v>
      </c>
      <c r="N1601" s="2" t="str">
        <f>IFERROR(__xludf.DUMMYFUNCTION("""COMPUTED_VALUE"""),"　成田(上地雄輔)はフクナガに復讐を誓う女性・文江(室井滋)と出会う。文江は夫婦で洋食店を営んでいたのだが、地上げ屋に営業妨害され、それを助けるふりをして弁護士をかたって近づいてきたフクナガに騙されていた。フクナガが地上げ屋と共犯とは知らず、病気を患っていた夫・寛(田山涼成)の治療費のため店も土地もフクナガに言われるまま売り払ってしまった文江は、夫はフクナガを信じたまま最期を迎えたと言って嘆く。さらに文江は恨みをはらそうと、怪しげな霊感商法にもはまっていた。そんな文江に成田は、法律で戦おうと説得を試みる。"&amp;"  　ある日、絵美(石原さとみ)との接触に成功した成田は、連光寺(豊原功補)がフクナガとつながりがあるかもしれないということ、そして行方をくらましていることを聞き驚く。　文江を救うため、そしてフクナガについての手がかりを得るため、資料を手に文江の元へ向かう成田。だが、そこには警察に連行される文江の姿が…。一方、病院では優希(高月彩良)がおびえた表情で『フクナガ』と言葉を発していて…。")</f>
        <v>　成田(上地雄輔)はフクナガに復讐を誓う女性・文江(室井滋)と出会う。文江は夫婦で洋食店を営んでいたのだが、地上げ屋に営業妨害され、それを助けるふりをして弁護士をかたって近づいてきたフクナガに騙されていた。フクナガが地上げ屋と共犯とは知らず、病気を患っていた夫・寛(田山涼成)の治療費のため店も土地もフクナガに言われるまま売り払ってしまった文江は、夫はフクナガを信じたまま最期を迎えたと言って嘆く。さらに文江は恨みをはらそうと、怪しげな霊感商法にもはまっていた。そんな文江に成田は、法律で戦おうと説得を試みる。  　ある日、絵美(石原さとみ)との接触に成功した成田は、連光寺(豊原功補)がフクナガとつながりがあるかもしれないということ、そして行方をくらましていることを聞き驚く。　文江を救うため、そしてフクナガについての手がかりを得るため、資料を手に文江の元へ向かう成田。だが、そこには警察に連行される文江の姿が…。一方、病院では優希(高月彩良)がおびえた表情で『フクナガ』と言葉を発していて…。</v>
      </c>
      <c r="O1601" s="2"/>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row>
    <row r="1602" ht="204.75" customHeight="1">
      <c r="A1602" s="1">
        <v>4674.0</v>
      </c>
      <c r="B1602" s="2" t="s">
        <v>5101</v>
      </c>
      <c r="C1602" s="2">
        <f>IFERROR(__xludf.DUMMYFUNCTION("split(B1602,""_"")"),1007.0)</f>
        <v>1007</v>
      </c>
      <c r="D1602" s="2" t="str">
        <f>IFERROR(__xludf.DUMMYFUNCTION("""COMPUTED_VALUE"""),"CX")</f>
        <v>CX</v>
      </c>
      <c r="E1602" s="2" t="str">
        <f>IFERROR(__xludf.DUMMYFUNCTION("""COMPUTED_VALUE"""),"火22")</f>
        <v>火22</v>
      </c>
      <c r="F1602" s="2" t="s">
        <v>5102</v>
      </c>
      <c r="G1602" s="2" t="s">
        <v>5124</v>
      </c>
      <c r="H1602" s="1">
        <v>8.0</v>
      </c>
      <c r="I1602" s="1" t="s">
        <v>29</v>
      </c>
      <c r="J1602" s="1" t="s">
        <v>86</v>
      </c>
      <c r="K1602" s="2" t="s">
        <v>5125</v>
      </c>
      <c r="L1602" s="2" t="s">
        <v>5126</v>
      </c>
      <c r="M1602" s="9" t="str">
        <f>IFERROR(__xludf.DUMMYFUNCTION("split(split(K1602,""上地雄輔　 "",false),""toubou/"",false)"),"http://ktv.jp/")</f>
        <v>http://ktv.jp/</v>
      </c>
      <c r="N1602" s="2" t="str">
        <f>IFERROR(__xludf.DUMMYFUNCTION("""COMPUTED_VALUE"""),"　成田(上地雄輔)は、フクナガの正体を知り絶句。連光寺(豊原功補)からフクナガの正体を聞かされた絵美(石原さとみ)と、フクナガの事務所へ向かう。  　そこにはフクナガの愛人・小沢咲子(白石美帆)がいた。咲子は終始横柄で、フクナガの潜伏先を教えて欲しければ、まずは自分を家まで送るよう強いてくる始末。成田はやむなく彼女の要求をのむが、絵美はフクナガの罠ではないかと案じる。　咲子の家に着いた成田は、彼女もフクナガの犠牲者だと知る。借金に苦しむ咲子は、救いの手を差し伸べたフクナガを頼るも、遅々として進まない債務処"&amp;"理に困っていた。見かねた成田は彼女の借金を手際よく片付け始め、裁判所に出向き調停を申請するようアドバイス。しかし、こっそりフクナガと連絡を取り続けていた咲子は、裁判所まで付き添うよう成田を脅す。やはりフクナガのしかけた罠なのか…?　一方、真船(北村一輝)もフクナガの正体をつかんでいた。捜査の進展を促す上層部に「機は熟した」と、成田とフクナガの同時逮捕に自信をのぞかせる。また亮子(矢田亜希子)は、連光寺のついたひとつの嘘が気になっていた…。")</f>
        <v>　成田(上地雄輔)は、フクナガの正体を知り絶句。連光寺(豊原功補)からフクナガの正体を聞かされた絵美(石原さとみ)と、フクナガの事務所へ向かう。  　そこにはフクナガの愛人・小沢咲子(白石美帆)がいた。咲子は終始横柄で、フクナガの潜伏先を教えて欲しければ、まずは自分を家まで送るよう強いてくる始末。成田はやむなく彼女の要求をのむが、絵美はフクナガの罠ではないかと案じる。　咲子の家に着いた成田は、彼女もフクナガの犠牲者だと知る。借金に苦しむ咲子は、救いの手を差し伸べたフクナガを頼るも、遅々として進まない債務処理に困っていた。見かねた成田は彼女の借金を手際よく片付け始め、裁判所に出向き調停を申請するようアドバイス。しかし、こっそりフクナガと連絡を取り続けていた咲子は、裁判所まで付き添うよう成田を脅す。やはりフクナガのしかけた罠なのか…?　一方、真船(北村一輝)もフクナガの正体をつかんでいた。捜査の進展を促す上層部に「機は熟した」と、成田とフクナガの同時逮捕に自信をのぞかせる。また亮子(矢田亜希子)は、連光寺のついたひとつの嘘が気になっていた…。</v>
      </c>
      <c r="O1602" s="2"/>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row>
    <row r="1603" ht="204.75" customHeight="1">
      <c r="A1603" s="1">
        <v>4675.0</v>
      </c>
      <c r="B1603" s="2" t="s">
        <v>5101</v>
      </c>
      <c r="C1603" s="2">
        <f>IFERROR(__xludf.DUMMYFUNCTION("split(B1603,""_"")"),1007.0)</f>
        <v>1007</v>
      </c>
      <c r="D1603" s="2" t="str">
        <f>IFERROR(__xludf.DUMMYFUNCTION("""COMPUTED_VALUE"""),"CX")</f>
        <v>CX</v>
      </c>
      <c r="E1603" s="2" t="str">
        <f>IFERROR(__xludf.DUMMYFUNCTION("""COMPUTED_VALUE"""),"火22")</f>
        <v>火22</v>
      </c>
      <c r="F1603" s="2" t="s">
        <v>5102</v>
      </c>
      <c r="G1603" s="2" t="s">
        <v>5127</v>
      </c>
      <c r="H1603" s="1">
        <v>9.0</v>
      </c>
      <c r="I1603" s="1" t="s">
        <v>33</v>
      </c>
      <c r="J1603" s="1" t="s">
        <v>86</v>
      </c>
      <c r="K1603" s="2" t="s">
        <v>5128</v>
      </c>
      <c r="L1603" s="2" t="s">
        <v>5129</v>
      </c>
      <c r="M1603" s="9" t="str">
        <f>IFERROR(__xludf.DUMMYFUNCTION("split(split(K1603,""上地雄輔　 "",false),""toubou/"",false)"),"http://ktv.jp/")</f>
        <v>http://ktv.jp/</v>
      </c>
      <c r="N1603" s="2" t="str">
        <f>IFERROR(__xludf.DUMMYFUNCTION("""COMPUTED_VALUE"""),"　五十嵐(佐藤二朗)が殺されている現場に鉢合わせした成田(上地雄輔)と美由紀(村川絵梨)。2人は脱出を図るが監視カメラに写っていたことから、真船(北村一輝)は成田が犯人だと決めつける。  　成田は美由紀の落とした写真から、美由紀のかつての恋人・涼介(石田卓也)に連絡を取るが、いきなりナイフを突き付けられ、警察に通報されるか顔を切られるかを選べと迫られる。涼介は過去に起こした傷害事件で成田に助けられるも、その相手に報復として後遺症が残る傷を負わされたうえ、美由紀と別れたことで成田を恨んでいた。だが、涼介の手"&amp;"術代のために美由紀が金策に駆け回っていたことを知った成田は、美由紀に会おうと涼介をなだめる。  　一方、まどか(折山みゆ)から、成田が五十嵐の殺害現場から逃走したことを聞かされた絵美(石原さとみ)は、ショックのあまり絶句する。　そんな中、不審な行動をとる真船に、長谷部(光石研)は「身辺を調べさせてもらうかもしれない」と忠告。急に過去の資料を処分しはじめた真船を怪しんだ亮子(矢田亜希子)は、真船の資料を抜き取り、アクサル事務所の過去資料との照合を連光寺(豊原功補)に頼む。")</f>
        <v>　五十嵐(佐藤二朗)が殺されている現場に鉢合わせした成田(上地雄輔)と美由紀(村川絵梨)。2人は脱出を図るが監視カメラに写っていたことから、真船(北村一輝)は成田が犯人だと決めつける。  　成田は美由紀の落とした写真から、美由紀のかつての恋人・涼介(石田卓也)に連絡を取るが、いきなりナイフを突き付けられ、警察に通報されるか顔を切られるかを選べと迫られる。涼介は過去に起こした傷害事件で成田に助けられるも、その相手に報復として後遺症が残る傷を負わされたうえ、美由紀と別れたことで成田を恨んでいた。だが、涼介の手術代のために美由紀が金策に駆け回っていたことを知った成田は、美由紀に会おうと涼介をなだめる。  　一方、まどか(折山みゆ)から、成田が五十嵐の殺害現場から逃走したことを聞かされた絵美(石原さとみ)は、ショックのあまり絶句する。　そんな中、不審な行動をとる真船に、長谷部(光石研)は「身辺を調べさせてもらうかもしれない」と忠告。急に過去の資料を処分しはじめた真船を怪しんだ亮子(矢田亜希子)は、真船の資料を抜き取り、アクサル事務所の過去資料との照合を連光寺(豊原功補)に頼む。</v>
      </c>
      <c r="O1603" s="2"/>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row>
    <row r="1604" ht="204.75" customHeight="1">
      <c r="A1604" s="1">
        <v>4676.0</v>
      </c>
      <c r="B1604" s="2" t="s">
        <v>5101</v>
      </c>
      <c r="C1604" s="2">
        <f>IFERROR(__xludf.DUMMYFUNCTION("split(B1604,""_"")"),1007.0)</f>
        <v>1007</v>
      </c>
      <c r="D1604" s="2" t="str">
        <f>IFERROR(__xludf.DUMMYFUNCTION("""COMPUTED_VALUE"""),"CX")</f>
        <v>CX</v>
      </c>
      <c r="E1604" s="2" t="str">
        <f>IFERROR(__xludf.DUMMYFUNCTION("""COMPUTED_VALUE"""),"火22")</f>
        <v>火22</v>
      </c>
      <c r="F1604" s="2" t="s">
        <v>5102</v>
      </c>
      <c r="G1604" s="2" t="s">
        <v>5130</v>
      </c>
      <c r="H1604" s="1">
        <v>10.0</v>
      </c>
      <c r="I1604" s="1" t="s">
        <v>37</v>
      </c>
      <c r="J1604" s="1" t="s">
        <v>86</v>
      </c>
      <c r="K1604" s="2" t="s">
        <v>5131</v>
      </c>
      <c r="L1604" s="2" t="s">
        <v>5132</v>
      </c>
      <c r="M1604" s="9" t="str">
        <f>IFERROR(__xludf.DUMMYFUNCTION("split(split(K1604,""上地雄輔　 "",false),""toubou/"",false)"),"http://ktv.jp/")</f>
        <v>http://ktv.jp/</v>
      </c>
      <c r="N1604" s="2" t="str">
        <f>IFERROR(__xludf.DUMMYFUNCTION("""COMPUTED_VALUE"""),"成田(上地雄輔)は絵美(石原さとみ)と合流し、美由紀(村川絵梨)の拉致現場に急行する。そんな2人を尾行し、監視し続ける謎の男・黒川(鈴木亮平)。  　依然、美由紀の所在は不明のまま。安否を気遣う連光寺(豊原功補)は真船(北村一輝)を問い詰めるが、相変わらずの態度に「小早川美由紀まで死んだら、許さない」と怒りを露わに。亮子(矢田亜希子)も真船の真意が見抜けず、極秘で調査を始める。　それは3年前の柏田法務大臣闇金疑惑、通称“カシワダケース""。美由紀の行方を探るため亮子に協力を求められた絵美は、逆に二ノ宮(船"&amp;"越英一郎)の遺品に“カシワダケース""の資料がないか秘密裏に調べるよう要請される。その結果、絵美が発見したメモの内容に成田は驚がく!しかし一方で、「放っておけない」と決意を新たにする。　しかし、ここに来て遠巻きに尾行を続けていた黒川が動き出す。鋭利なナイフ片手に、ジワジワと2人に迫ってきて…!")</f>
        <v>成田(上地雄輔)は絵美(石原さとみ)と合流し、美由紀(村川絵梨)の拉致現場に急行する。そんな2人を尾行し、監視し続ける謎の男・黒川(鈴木亮平)。  　依然、美由紀の所在は不明のまま。安否を気遣う連光寺(豊原功補)は真船(北村一輝)を問い詰めるが、相変わらずの態度に「小早川美由紀まで死んだら、許さない」と怒りを露わに。亮子(矢田亜希子)も真船の真意が見抜けず、極秘で調査を始める。　それは3年前の柏田法務大臣闇金疑惑、通称“カシワダケース"。美由紀の行方を探るため亮子に協力を求められた絵美は、逆に二ノ宮(船越英一郎)の遺品に“カシワダケース"の資料がないか秘密裏に調べるよう要請される。その結果、絵美が発見したメモの内容に成田は驚がく!しかし一方で、「放っておけない」と決意を新たにする。　しかし、ここに来て遠巻きに尾行を続けていた黒川が動き出す。鋭利なナイフ片手に、ジワジワと2人に迫ってきて…!</v>
      </c>
      <c r="O1604" s="2"/>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row>
    <row r="1605" ht="204.75" customHeight="1">
      <c r="A1605" s="1">
        <v>4677.0</v>
      </c>
      <c r="B1605" s="2" t="s">
        <v>5101</v>
      </c>
      <c r="C1605" s="2">
        <f>IFERROR(__xludf.DUMMYFUNCTION("split(B1605,""_"")"),1007.0)</f>
        <v>1007</v>
      </c>
      <c r="D1605" s="2" t="str">
        <f>IFERROR(__xludf.DUMMYFUNCTION("""COMPUTED_VALUE"""),"CX")</f>
        <v>CX</v>
      </c>
      <c r="E1605" s="2" t="str">
        <f>IFERROR(__xludf.DUMMYFUNCTION("""COMPUTED_VALUE"""),"火22")</f>
        <v>火22</v>
      </c>
      <c r="F1605" s="2" t="s">
        <v>5102</v>
      </c>
      <c r="G1605" s="2" t="s">
        <v>5133</v>
      </c>
      <c r="H1605" s="1">
        <v>11.0</v>
      </c>
      <c r="I1605" s="1" t="s">
        <v>41</v>
      </c>
      <c r="J1605" s="1" t="s">
        <v>82</v>
      </c>
      <c r="K1605" s="2" t="s">
        <v>5134</v>
      </c>
      <c r="L1605" s="2" t="s">
        <v>5135</v>
      </c>
      <c r="M1605" s="9" t="str">
        <f>IFERROR(__xludf.DUMMYFUNCTION("split(split(K1605,""上地雄輔　 "",false),""toubou/"",false)"),"http://ktv.jp/")</f>
        <v>http://ktv.jp/</v>
      </c>
      <c r="N1605" s="2" t="str">
        <f>IFERROR(__xludf.DUMMYFUNCTION("""COMPUTED_VALUE"""),"　真船(北村一輝)は、「絶対に捕まるな」と、成田(上地雄輔)を逃がすが、この一件を亮子(矢田亜希子)の密告で長谷部(光石研)に知られてしまい、成田の事件から外されてしまう。  　そんな中、絵美(石原さとみ)は真船から、拉致された美由紀(村川絵梨)の遺書が届いたことを聞き、連光寺(豊原功補)のもとへ出かける。美由紀は殺されたかも、と聞かされた連光寺は、絵美の身を案じ、これ以上踏み込むのは危険だと止めようとするが、絵美は父・二ノ宮(船越英一郎)の遺品をさらに調べてみると意気込むのだった。  　一方、黒川(鈴木"&amp;"亮平)の手がかりを得るため、タトゥーショップで調査していた成田は、出くわした黒川と乱闘に。その際、黒川が落とした携帯電話を拾った成田は、通話記録をもとに、すべての事件解明につながる重要人物のもとへ単身乗り込んでいくが、駆け付けた警察にあえなく捕まってしまう…。現場を見た絵美は泣き崩れ、それでも成田の無実を訴える。  　一貫して黙秘を続ける成田は、接見に訪れた真船から「俺がいたらお前を助けてやれた」と無念の思いを聞かされる。そんな逆境の中、連光寺を弁護人に指名した成田に、真実を証明する策はあるのか…!?  "&amp;"　そして、いよいよ初公判が始まる…!")</f>
        <v>　真船(北村一輝)は、「絶対に捕まるな」と、成田(上地雄輔)を逃がすが、この一件を亮子(矢田亜希子)の密告で長谷部(光石研)に知られてしまい、成田の事件から外されてしまう。  　そんな中、絵美(石原さとみ)は真船から、拉致された美由紀(村川絵梨)の遺書が届いたことを聞き、連光寺(豊原功補)のもとへ出かける。美由紀は殺されたかも、と聞かされた連光寺は、絵美の身を案じ、これ以上踏み込むのは危険だと止めようとするが、絵美は父・二ノ宮(船越英一郎)の遺品をさらに調べてみると意気込むのだった。  　一方、黒川(鈴木亮平)の手がかりを得るため、タトゥーショップで調査していた成田は、出くわした黒川と乱闘に。その際、黒川が落とした携帯電話を拾った成田は、通話記録をもとに、すべての事件解明につながる重要人物のもとへ単身乗り込んでいくが、駆け付けた警察にあえなく捕まってしまう…。現場を見た絵美は泣き崩れ、それでも成田の無実を訴える。  　一貫して黙秘を続ける成田は、接見に訪れた真船から「俺がいたらお前を助けてやれた」と無念の思いを聞かされる。そんな逆境の中、連光寺を弁護人に指名した成田に、真実を証明する策はあるのか…!?  　そして、いよいよ初公判が始まる…!</v>
      </c>
      <c r="O1605" s="2"/>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row>
    <row r="1606" ht="204.75" customHeight="1">
      <c r="A1606" s="1">
        <v>4697.0</v>
      </c>
      <c r="B1606" s="2" t="s">
        <v>5136</v>
      </c>
      <c r="C1606" s="2">
        <f>IFERROR(__xludf.DUMMYFUNCTION("split(B1606,""_"")"),1007.0)</f>
        <v>1007</v>
      </c>
      <c r="D1606" s="2" t="str">
        <f>IFERROR(__xludf.DUMMYFUNCTION("""COMPUTED_VALUE"""),"CX")</f>
        <v>CX</v>
      </c>
      <c r="E1606" s="2" t="str">
        <f>IFERROR(__xludf.DUMMYFUNCTION("""COMPUTED_VALUE"""),"木22")</f>
        <v>木22</v>
      </c>
      <c r="F1606" s="2" t="s">
        <v>5137</v>
      </c>
      <c r="G1606" s="2" t="s">
        <v>5138</v>
      </c>
      <c r="H1606" s="1">
        <v>1.0</v>
      </c>
      <c r="I1606" s="1" t="s">
        <v>3</v>
      </c>
      <c r="J1606" s="1" t="s">
        <v>82</v>
      </c>
      <c r="K1606" s="3"/>
      <c r="L1606" s="2"/>
      <c r="M1606" s="2" t="str">
        <f>IFERROR(__xludf.DUMMYFUNCTION("split(split(K1606,""【"",false),""公式LINE"",false)"),"#VALUE!")</f>
        <v>#VALUE!</v>
      </c>
      <c r="N1606" s="3"/>
      <c r="O1606" s="3"/>
    </row>
    <row r="1607" ht="204.75" customHeight="1">
      <c r="A1607" s="1">
        <v>4698.0</v>
      </c>
      <c r="B1607" s="2" t="s">
        <v>5136</v>
      </c>
      <c r="C1607" s="2">
        <f>IFERROR(__xludf.DUMMYFUNCTION("split(B1607,""_"")"),1007.0)</f>
        <v>1007</v>
      </c>
      <c r="D1607" s="2" t="str">
        <f>IFERROR(__xludf.DUMMYFUNCTION("""COMPUTED_VALUE"""),"CX")</f>
        <v>CX</v>
      </c>
      <c r="E1607" s="2" t="str">
        <f>IFERROR(__xludf.DUMMYFUNCTION("""COMPUTED_VALUE"""),"木22")</f>
        <v>木22</v>
      </c>
      <c r="F1607" s="2" t="s">
        <v>5137</v>
      </c>
      <c r="G1607" s="2" t="s">
        <v>5139</v>
      </c>
      <c r="H1607" s="1">
        <v>2.0</v>
      </c>
      <c r="I1607" s="1" t="s">
        <v>7</v>
      </c>
      <c r="J1607" s="1" t="s">
        <v>86</v>
      </c>
      <c r="K1607" s="4" t="s">
        <v>5140</v>
      </c>
      <c r="L1607" s="2" t="s">
        <v>5141</v>
      </c>
      <c r="M1607" s="2" t="str">
        <f>IFERROR(__xludf.DUMMYFUNCTION("split(split(K1607,""天海祐希　"",false),""公式LINE"",false)"),"早乙女悠里(天海祐希)は、長女の晶(武井咲)とともに雑誌連載用の取材を受ける。その撮影を担当したのは、今風のイケメンカメラマン・宇津木洋介(綾野剛)だ。早乙女ファミリーの大ファンだという宇津木は、さっそく晶とメールアドレスの交換をする。それを見た新倉リカ(長澤まさみ)は、晶のことを心配していた。だが、悠里は、晶なら大丈夫、と気にも留めていなかった。ある日、悠里のもとに、長男の洸(松坂桃李)と別れたばかりの元恋人・椎名涼子(波瑠)がやってくる。涼子は、洸の子どもを身ごもっており、産みたいのだという。それを知"&amp;"った洸は、涼子に連絡して中絶をさせる、と言い出す。コーチの蓮見丈治(反町隆史)もそれに賛成した。しかし悠里は、洸には逃れられない責任があるとして、早乙女家のDNAを持つ、生まれてくる子の味方をすると言い切る。別の日、悠里は、別居中の夫・辰也(寺島進)に呼び出される。陸上競技を止めて自由になりたいと言い出し、早乙女家を追い出された次男・廉(矢野聖人)の件で相談があるのだという。辰也は、廉を早乙女家に戻せないか、と悠里に持ちかけた。悠里は、そんな辰也に、廉を上手く乗せて陸上競技を続ける気にさせてほしい、と返す"&amp;"。そんな折、悠里のもとに、涼子と彼女の父親・哲夫(平田満)がやってくる。哲夫は、涼子を説得して中絶させることにしたが泣き寝入りはしない、と言って悠里に慰謝料を請求する。")</f>
        <v>早乙女悠里(天海祐希)は、長女の晶(武井咲)とともに雑誌連載用の取材を受ける。その撮影を担当したのは、今風のイケメンカメラマン・宇津木洋介(綾野剛)だ。早乙女ファミリーの大ファンだという宇津木は、さっそく晶とメールアドレスの交換をする。それを見た新倉リカ(長澤まさみ)は、晶のことを心配していた。だが、悠里は、晶なら大丈夫、と気にも留めていなかった。ある日、悠里のもとに、長男の洸(松坂桃李)と別れたばかりの元恋人・椎名涼子(波瑠)がやってくる。涼子は、洸の子どもを身ごもっており、産みたいのだという。それを知った洸は、涼子に連絡して中絶をさせる、と言い出す。コーチの蓮見丈治(反町隆史)もそれに賛成した。しかし悠里は、洸には逃れられない責任があるとして、早乙女家のDNAを持つ、生まれてくる子の味方をすると言い切る。別の日、悠里は、別居中の夫・辰也(寺島進)に呼び出される。陸上競技を止めて自由になりたいと言い出し、早乙女家を追い出された次男・廉(矢野聖人)の件で相談があるのだという。辰也は、廉を早乙女家に戻せないか、と悠里に持ちかけた。悠里は、そんな辰也に、廉を上手く乗せて陸上競技を続ける気にさせてほしい、と返す。そんな折、悠里のもとに、涼子と彼女の父親・哲夫(平田満)がやってくる。哲夫は、涼子を説得して中絶させることにしたが泣き寝入りはしない、と言って悠里に慰謝料を請求する。</v>
      </c>
      <c r="N1607" s="2"/>
      <c r="O1607" s="2"/>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row>
    <row r="1608" ht="204.75" customHeight="1">
      <c r="A1608" s="1">
        <v>4699.0</v>
      </c>
      <c r="B1608" s="2" t="s">
        <v>5136</v>
      </c>
      <c r="C1608" s="2">
        <f>IFERROR(__xludf.DUMMYFUNCTION("split(B1608,""_"")"),1007.0)</f>
        <v>1007</v>
      </c>
      <c r="D1608" s="2" t="str">
        <f>IFERROR(__xludf.DUMMYFUNCTION("""COMPUTED_VALUE"""),"CX")</f>
        <v>CX</v>
      </c>
      <c r="E1608" s="2" t="str">
        <f>IFERROR(__xludf.DUMMYFUNCTION("""COMPUTED_VALUE"""),"木22")</f>
        <v>木22</v>
      </c>
      <c r="F1608" s="2" t="s">
        <v>5137</v>
      </c>
      <c r="G1608" s="2" t="s">
        <v>5142</v>
      </c>
      <c r="H1608" s="1">
        <v>3.0</v>
      </c>
      <c r="I1608" s="1" t="s">
        <v>10</v>
      </c>
      <c r="J1608" s="1" t="s">
        <v>86</v>
      </c>
      <c r="K1608" s="2" t="s">
        <v>5143</v>
      </c>
      <c r="L1608" s="2" t="s">
        <v>5144</v>
      </c>
      <c r="M1608" s="2" t="str">
        <f>IFERROR(__xludf.DUMMYFUNCTION("split(split(K1608,""天海祐希　"",false),""公式LINE"",false)"),"早乙女悠里(天海祐希)の会社『YSコーポレーション』では、児童施設の子どもたちのために水泳教室を開いていた。コーチ役は、ジムの総責任者・蓮見丈治(反町隆史)や悠里の長男・洸(松坂桃李)だ。その夜、珍しく長女の晶(武井咲)が夕食の時間になっても帰ってこなかった。友人の家でごちそうになると連絡があったらしい。それを知った洸は、弟の廉(矢野聖人)から聞いた話を悠里や丈治に打ち明けた。廉は、晶が若い男の運転する車に乗っている姿を目撃したというのだ。ほどなく、晶の相手は、カメラマンの宇津木洋介(綾野剛)だと判明する"&amp;"。宇津木は、晶の写真集も手がけることになっていた。悠里の秘書・新倉リカ(長澤まさみ)は、写真集の契約を解除するか、カメラマンを代えるべきだと悠里に提言した。晶が丈治に思いを寄せていることを知っていた悠里は、丈治から事情を聞く。そこで丈治は、悠里にプロポーズしたことを晶に話しただけだと答えた。悠里は、そんな丈治に対し、失望したと言い放つ。その夜、悠里は、別居中の夫・辰也(寺島進)を呼び出し、晶のことを相談する。悠里は、心配ないはずだが何故か胸騒ぎがする、と辰也に打ち明けた。そんなあくる日、悠里は、丹羽聖子("&amp;"エド・はるみ)から電話をもらい、彼女が引きこもりの息子のことで悩んでいると知る。そこにやってきた丈治は、クレーマーの人生相談に乗るなんてどうかしている、と悠里を非難するが…。")</f>
        <v>早乙女悠里(天海祐希)の会社『YSコーポレーション』では、児童施設の子どもたちのために水泳教室を開いていた。コーチ役は、ジムの総責任者・蓮見丈治(反町隆史)や悠里の長男・洸(松坂桃李)だ。その夜、珍しく長女の晶(武井咲)が夕食の時間になっても帰ってこなかった。友人の家でごちそうになると連絡があったらしい。それを知った洸は、弟の廉(矢野聖人)から聞いた話を悠里や丈治に打ち明けた。廉は、晶が若い男の運転する車に乗っている姿を目撃したというのだ。ほどなく、晶の相手は、カメラマンの宇津木洋介(綾野剛)だと判明する。宇津木は、晶の写真集も手がけることになっていた。悠里の秘書・新倉リカ(長澤まさみ)は、写真集の契約を解除するか、カメラマンを代えるべきだと悠里に提言した。晶が丈治に思いを寄せていることを知っていた悠里は、丈治から事情を聞く。そこで丈治は、悠里にプロポーズしたことを晶に話しただけだと答えた。悠里は、そんな丈治に対し、失望したと言い放つ。その夜、悠里は、別居中の夫・辰也(寺島進)を呼び出し、晶のことを相談する。悠里は、心配ないはずだが何故か胸騒ぎがする、と辰也に打ち明けた。そんなあくる日、悠里は、丹羽聖子(エド・はるみ)から電話をもらい、彼女が引きこもりの息子のことで悩んでいると知る。そこにやってきた丈治は、クレーマーの人生相談に乗るなんてどうかしている、と悠里を非難するが…。</v>
      </c>
      <c r="N1608" s="2"/>
      <c r="O1608" s="2"/>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row>
    <row r="1609" ht="204.75" customHeight="1">
      <c r="A1609" s="1">
        <v>4700.0</v>
      </c>
      <c r="B1609" s="2" t="s">
        <v>5136</v>
      </c>
      <c r="C1609" s="2">
        <f>IFERROR(__xludf.DUMMYFUNCTION("split(B1609,""_"")"),1007.0)</f>
        <v>1007</v>
      </c>
      <c r="D1609" s="2" t="str">
        <f>IFERROR(__xludf.DUMMYFUNCTION("""COMPUTED_VALUE"""),"CX")</f>
        <v>CX</v>
      </c>
      <c r="E1609" s="2" t="str">
        <f>IFERROR(__xludf.DUMMYFUNCTION("""COMPUTED_VALUE"""),"木22")</f>
        <v>木22</v>
      </c>
      <c r="F1609" s="2" t="s">
        <v>5137</v>
      </c>
      <c r="G1609" s="2" t="s">
        <v>5145</v>
      </c>
      <c r="H1609" s="1">
        <v>4.0</v>
      </c>
      <c r="I1609" s="1" t="s">
        <v>14</v>
      </c>
      <c r="J1609" s="1" t="s">
        <v>82</v>
      </c>
      <c r="K1609" s="2" t="s">
        <v>5146</v>
      </c>
      <c r="L1609" s="2" t="s">
        <v>5147</v>
      </c>
      <c r="M1609" s="2" t="str">
        <f>IFERROR(__xludf.DUMMYFUNCTION("split(split(K1609,""天海祐希　"",false),""公式LINE"",false)"),"早乙女悠里(天海祐希)は、長女の晶(武井咲)と交際しているカメラマンの宇津木洋介(綾野剛)を呼び出し、二度と晶に会わないよう言い渡した。すると晶は、ふたりの仲を認めないのならもうオリンピックを目指すのはやめる、と宣言し、家を飛び出してしまう。悠里は、晶のトレーナーでもある蓮見丈治(反町隆史)や長男の洸(松坂桃李)に、その経緯を打ち明けた。丈治は、晶のことは自分がなんとかする、と悠里に申し出る。悠里は、そんな丈治に、晶の父親である明石辰也(寺島進)も一緒に連れて行ってほしい、と頼む。あくる日、悠里のもとに、"&amp;"エステ部門のスタッフがやってきて、部長の相馬幸恵(賀来千香子)が過去に起こした事件について報告する。幸恵は、子どもを車の中に残してパチンコに興じ、熱中症で死なせてしまった過去があるというのだ。秘書の新倉リカ(長澤まさみ)は、悠里がすぐに幸恵の件を調査しないことに疑問を抱く。すると悠里は、幸恵と出会ったときからそのことは知っていた、とリカに告げる。そんな折、リカは、悠里の次男・廉(矢野聖人)と犬の散歩に出かける。リカは、何もしないでブラブラしている廉に、ひとつのことに一生懸命打ち込んでいる男子のほうが素敵だ"&amp;"と思う、と告げた。そこで廉は、心臓に病気を抱えていることをリカに告白すると、悠里に不良品だと思われたくない、と言って泣き崩れ…。")</f>
        <v>早乙女悠里(天海祐希)は、長女の晶(武井咲)と交際しているカメラマンの宇津木洋介(綾野剛)を呼び出し、二度と晶に会わないよう言い渡した。すると晶は、ふたりの仲を認めないのならもうオリンピックを目指すのはやめる、と宣言し、家を飛び出してしまう。悠里は、晶のトレーナーでもある蓮見丈治(反町隆史)や長男の洸(松坂桃李)に、その経緯を打ち明けた。丈治は、晶のことは自分がなんとかする、と悠里に申し出る。悠里は、そんな丈治に、晶の父親である明石辰也(寺島進)も一緒に連れて行ってほしい、と頼む。あくる日、悠里のもとに、エステ部門のスタッフがやってきて、部長の相馬幸恵(賀来千香子)が過去に起こした事件について報告する。幸恵は、子どもを車の中に残してパチンコに興じ、熱中症で死なせてしまった過去があるというのだ。秘書の新倉リカ(長澤まさみ)は、悠里がすぐに幸恵の件を調査しないことに疑問を抱く。すると悠里は、幸恵と出会ったときからそのことは知っていた、とリカに告げる。そんな折、リカは、悠里の次男・廉(矢野聖人)と犬の散歩に出かける。リカは、何もしないでブラブラしている廉に、ひとつのことに一生懸命打ち込んでいる男子のほうが素敵だと思う、と告げた。そこで廉は、心臓に病気を抱えていることをリカに告白すると、悠里に不良品だと思われたくない、と言って泣き崩れ…。</v>
      </c>
      <c r="N1609" s="2"/>
      <c r="O1609" s="2"/>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row>
    <row r="1610" ht="204.75" customHeight="1">
      <c r="A1610" s="1">
        <v>4701.0</v>
      </c>
      <c r="B1610" s="2" t="s">
        <v>5136</v>
      </c>
      <c r="C1610" s="2">
        <f>IFERROR(__xludf.DUMMYFUNCTION("split(B1610,""_"")"),1007.0)</f>
        <v>1007</v>
      </c>
      <c r="D1610" s="2" t="str">
        <f>IFERROR(__xludf.DUMMYFUNCTION("""COMPUTED_VALUE"""),"CX")</f>
        <v>CX</v>
      </c>
      <c r="E1610" s="2" t="str">
        <f>IFERROR(__xludf.DUMMYFUNCTION("""COMPUTED_VALUE"""),"木22")</f>
        <v>木22</v>
      </c>
      <c r="F1610" s="2" t="s">
        <v>5137</v>
      </c>
      <c r="G1610" s="2" t="s">
        <v>5148</v>
      </c>
      <c r="H1610" s="1">
        <v>5.0</v>
      </c>
      <c r="I1610" s="1" t="s">
        <v>17</v>
      </c>
      <c r="J1610" s="1" t="s">
        <v>86</v>
      </c>
      <c r="K1610" s="2" t="s">
        <v>5149</v>
      </c>
      <c r="L1610" s="2" t="s">
        <v>5150</v>
      </c>
      <c r="M1610" s="2" t="str">
        <f>IFERROR(__xludf.DUMMYFUNCTION("split(split(K1610,""天海祐希　"",false),""公式LINE"",false)"),"早乙女悠里(天海祐希)は、クレーマーだった丹羽聖子(エド・はるみ)とすっかり親しくなり、どこかで会わないか、と彼女に提案した。だが、その言葉に驚いた聖子は受話器を落とし、その拍子に電話が切れてしまう。悠里のことを心配する丈治(反町隆史)は、秘書のリカ(長澤まさみ)に、電話の相手について調べるよう依頼した。そんな折、悠里は、長女の晶(武井咲)と交際中のカメラマン・宇津木洋介(綾野剛)が、悠里の兄・修一(水上剣星)の息子だと主張していることを知る。宇津木は、辰也(寺島進)にそう告白し、それ故、晶とは男女の関係"&amp;"になっていないと断言したらしい。悠里は、宇津木の話を信じなかった。しかし丈治は、晶が宇津木と一緒にいる以上、きちんと調べて話をつける必要がある、と悠里を諭した。あくる日、YSコーポレーションに廉(矢野聖人)がやってくる。久しぶりに悠里と対面した廉は、祖父の惣一(夏八木勲)から呼び出され、修一の死は事故ではなく自殺だと教えられた、と告げる。廉は、そのことを悠里が知っていたかどうか確かめるために訪ねてきたのだ。廉は、大きなショックを受けている洸(松坂桃李)のために、修一が自殺したことは知らなかった、と洸に言っ"&amp;"てほしい、と悠里に頼んだが…。")</f>
        <v>早乙女悠里(天海祐希)は、クレーマーだった丹羽聖子(エド・はるみ)とすっかり親しくなり、どこかで会わないか、と彼女に提案した。だが、その言葉に驚いた聖子は受話器を落とし、その拍子に電話が切れてしまう。悠里のことを心配する丈治(反町隆史)は、秘書のリカ(長澤まさみ)に、電話の相手について調べるよう依頼した。そんな折、悠里は、長女の晶(武井咲)と交際中のカメラマン・宇津木洋介(綾野剛)が、悠里の兄・修一(水上剣星)の息子だと主張していることを知る。宇津木は、辰也(寺島進)にそう告白し、それ故、晶とは男女の関係になっていないと断言したらしい。悠里は、宇津木の話を信じなかった。しかし丈治は、晶が宇津木と一緒にいる以上、きちんと調べて話をつける必要がある、と悠里を諭した。あくる日、YSコーポレーションに廉(矢野聖人)がやってくる。久しぶりに悠里と対面した廉は、祖父の惣一(夏八木勲)から呼び出され、修一の死は事故ではなく自殺だと教えられた、と告げる。廉は、そのことを悠里が知っていたかどうか確かめるために訪ねてきたのだ。廉は、大きなショックを受けている洸(松坂桃李)のために、修一が自殺したことは知らなかった、と洸に言ってほしい、と悠里に頼んだが…。</v>
      </c>
      <c r="N1610" s="2"/>
      <c r="O1610" s="2"/>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row>
    <row r="1611" ht="204.75" customHeight="1">
      <c r="A1611" s="1">
        <v>4702.0</v>
      </c>
      <c r="B1611" s="2" t="s">
        <v>5136</v>
      </c>
      <c r="C1611" s="2">
        <f>IFERROR(__xludf.DUMMYFUNCTION("split(B1611,""_"")"),1007.0)</f>
        <v>1007</v>
      </c>
      <c r="D1611" s="2" t="str">
        <f>IFERROR(__xludf.DUMMYFUNCTION("""COMPUTED_VALUE"""),"CX")</f>
        <v>CX</v>
      </c>
      <c r="E1611" s="2" t="str">
        <f>IFERROR(__xludf.DUMMYFUNCTION("""COMPUTED_VALUE"""),"木22")</f>
        <v>木22</v>
      </c>
      <c r="F1611" s="2" t="s">
        <v>5137</v>
      </c>
      <c r="G1611" s="2" t="s">
        <v>5151</v>
      </c>
      <c r="H1611" s="1">
        <v>6.0</v>
      </c>
      <c r="I1611" s="1" t="s">
        <v>21</v>
      </c>
      <c r="J1611" s="1" t="s">
        <v>86</v>
      </c>
      <c r="K1611" s="2" t="s">
        <v>5152</v>
      </c>
      <c r="L1611" s="2" t="s">
        <v>5153</v>
      </c>
      <c r="M1611" s="2" t="str">
        <f>IFERROR(__xludf.DUMMYFUNCTION("split(split(K1611,""天海祐希　"",false),""公式LINE"",false)"),"悠里(天海祐希)は、修一(水上剣星)の息子だと主張するカメラマン・宇津木(綾野剛)のDNA鑑定を依頼する。悠里は、長女の晶(武井咲)を早乙女家に戻せば願い通りDNA鑑定を行う、と宇津木と約束していた。だが、悠里からその経緯を聞かされた晶は、宇津木にだまされていたと思いこみ、大きなショックを受けてしまう。  　リカ(長澤まさみ)は、悠里の運転手をしている保坂(志賀廣太郎)がひと言もしゃべらないことが気になっていた。悠里によれば、保坂はもともと悠里の父・惣一(夏八木勲)の運転手で、悠里の運転手を務めるようにな"&amp;"って20年近いという。だが、悠里自身も、保坂の声を聞いていないらしい。そんな折、悠里たちは、刑務所の慰問に行くことになった。悠里は、子どもたちと一緒に、受刑者たちの前で楽器を演奏するという。悠里はハープ、洸(松坂桃李)はチェロ、廉(矢野聖人)はバイオリン、そして晶はフルートを演奏することができるのだ。一方、丈治(反町隆史)は、悠里の依頼で、宇津木の身辺調査に乗り出す。丈治は、宇津木の母親が温泉街でコンパニオンをしていたこと等を突き止め、悠里に報告する。刑務所慰問の日、休みをもらったリカは、会社のジムで汗を"&amp;"流す。そこにやってきた丈治は、リカから、刑務所慰問の件を教えられた。すると丈治は、悠里が慰問をするはずがない、と言い出し、すぐに悠里たちを追いかけようとリカに告げる。")</f>
        <v>悠里(天海祐希)は、修一(水上剣星)の息子だと主張するカメラマン・宇津木(綾野剛)のDNA鑑定を依頼する。悠里は、長女の晶(武井咲)を早乙女家に戻せば願い通りDNA鑑定を行う、と宇津木と約束していた。だが、悠里からその経緯を聞かされた晶は、宇津木にだまされていたと思いこみ、大きなショックを受けてしまう。  　リカ(長澤まさみ)は、悠里の運転手をしている保坂(志賀廣太郎)がひと言もしゃべらないことが気になっていた。悠里によれば、保坂はもともと悠里の父・惣一(夏八木勲)の運転手で、悠里の運転手を務めるようになって20年近いという。だが、悠里自身も、保坂の声を聞いていないらしい。そんな折、悠里たちは、刑務所の慰問に行くことになった。悠里は、子どもたちと一緒に、受刑者たちの前で楽器を演奏するという。悠里はハープ、洸(松坂桃李)はチェロ、廉(矢野聖人)はバイオリン、そして晶はフルートを演奏することができるのだ。一方、丈治(反町隆史)は、悠里の依頼で、宇津木の身辺調査に乗り出す。丈治は、宇津木の母親が温泉街でコンパニオンをしていたこと等を突き止め、悠里に報告する。刑務所慰問の日、休みをもらったリカは、会社のジムで汗を流す。そこにやってきた丈治は、リカから、刑務所慰問の件を教えられた。すると丈治は、悠里が慰問をするはずがない、と言い出し、すぐに悠里たちを追いかけようとリカに告げる。</v>
      </c>
      <c r="N1611" s="2"/>
      <c r="O1611" s="2"/>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row>
    <row r="1612" ht="204.75" customHeight="1">
      <c r="A1612" s="1">
        <v>4703.0</v>
      </c>
      <c r="B1612" s="2" t="s">
        <v>5136</v>
      </c>
      <c r="C1612" s="2">
        <f>IFERROR(__xludf.DUMMYFUNCTION("split(B1612,""_"")"),1007.0)</f>
        <v>1007</v>
      </c>
      <c r="D1612" s="2" t="str">
        <f>IFERROR(__xludf.DUMMYFUNCTION("""COMPUTED_VALUE"""),"CX")</f>
        <v>CX</v>
      </c>
      <c r="E1612" s="2" t="str">
        <f>IFERROR(__xludf.DUMMYFUNCTION("""COMPUTED_VALUE"""),"木22")</f>
        <v>木22</v>
      </c>
      <c r="F1612" s="2" t="s">
        <v>5137</v>
      </c>
      <c r="G1612" s="2" t="s">
        <v>5154</v>
      </c>
      <c r="H1612" s="1">
        <v>7.0</v>
      </c>
      <c r="I1612" s="1" t="s">
        <v>25</v>
      </c>
      <c r="J1612" s="1" t="s">
        <v>86</v>
      </c>
      <c r="K1612" s="2" t="s">
        <v>5155</v>
      </c>
      <c r="L1612" s="2" t="s">
        <v>5156</v>
      </c>
      <c r="M1612" s="2" t="str">
        <f>IFERROR(__xludf.DUMMYFUNCTION("split(split(K1612,""天海祐希　"",false),""公式LINE"",false)"),"ベストジュエリー賞を受賞した悠里(天海祐希)は、リカ(長澤まさみ)と洸(松坂桃李)をともなって受賞式に出席する。その席で洸は、宝石商の神代洋治(名高達男)に出会い、彼の娘である沙織(佐藤めぐみ)と麻衣子(南沢奈央)を紹介される。それは悠里が、見合いのような意味でセッティングしたものだった。その夜、丈治(反町隆史)は、悠里が、晶(武井咲)と宇津木(綾野剛)の交際を許したことを知る。丈治は、ふたりの交際には反対だと悠里に告げた。するとそこに、手で顔を隠すようにして晶がやってきた。宇津木に殴られたのだという。多"&amp;"忙を理由に会ってくれない宇津木に、カメラマンの仕事をやめて早乙女の会社に入れてもらえばいい、と晶が言ったことが原因らしい。それを聞いた丈治は、女の子を殴るようなやつとは付き合わない方がいい、と晶に助言した。そんな丈治の姿を見つめていた悠里は、丈治が、修一(水上剣星)と宇津木のDNA鑑定に関する報告書を改ざんしたのではないかと疑う。悠里は、丈治をプライベートバーに連れて行き、その件を問い正した。丈治は、それが惣一(夏八木勲)の意向であることを悠里に告げ、晶と宇津木を別れさせるべきだと主張した。しかし悠里の怒"&amp;"りは収まらなかった。丈治は、宇津木に電話をしようとする悠里に、このスキャンダルが明るみになれば、いまなお多くの人々から愛され続けている修一が汚される、と言って止めようとするが…。")</f>
        <v>ベストジュエリー賞を受賞した悠里(天海祐希)は、リカ(長澤まさみ)と洸(松坂桃李)をともなって受賞式に出席する。その席で洸は、宝石商の神代洋治(名高達男)に出会い、彼の娘である沙織(佐藤めぐみ)と麻衣子(南沢奈央)を紹介される。それは悠里が、見合いのような意味でセッティングしたものだった。その夜、丈治(反町隆史)は、悠里が、晶(武井咲)と宇津木(綾野剛)の交際を許したことを知る。丈治は、ふたりの交際には反対だと悠里に告げた。するとそこに、手で顔を隠すようにして晶がやってきた。宇津木に殴られたのだという。多忙を理由に会ってくれない宇津木に、カメラマンの仕事をやめて早乙女の会社に入れてもらえばいい、と晶が言ったことが原因らしい。それを聞いた丈治は、女の子を殴るようなやつとは付き合わない方がいい、と晶に助言した。そんな丈治の姿を見つめていた悠里は、丈治が、修一(水上剣星)と宇津木のDNA鑑定に関する報告書を改ざんしたのではないかと疑う。悠里は、丈治をプライベートバーに連れて行き、その件を問い正した。丈治は、それが惣一(夏八木勲)の意向であることを悠里に告げ、晶と宇津木を別れさせるべきだと主張した。しかし悠里の怒りは収まらなかった。丈治は、宇津木に電話をしようとする悠里に、このスキャンダルが明るみになれば、いまなお多くの人々から愛され続けている修一が汚される、と言って止めようとするが…。</v>
      </c>
      <c r="N1612" s="2"/>
      <c r="O1612" s="2"/>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row>
    <row r="1613" ht="204.75" customHeight="1">
      <c r="A1613" s="1">
        <v>4704.0</v>
      </c>
      <c r="B1613" s="2" t="s">
        <v>5136</v>
      </c>
      <c r="C1613" s="2">
        <f>IFERROR(__xludf.DUMMYFUNCTION("split(B1613,""_"")"),1007.0)</f>
        <v>1007</v>
      </c>
      <c r="D1613" s="2" t="str">
        <f>IFERROR(__xludf.DUMMYFUNCTION("""COMPUTED_VALUE"""),"CX")</f>
        <v>CX</v>
      </c>
      <c r="E1613" s="2" t="str">
        <f>IFERROR(__xludf.DUMMYFUNCTION("""COMPUTED_VALUE"""),"木22")</f>
        <v>木22</v>
      </c>
      <c r="F1613" s="2" t="s">
        <v>5137</v>
      </c>
      <c r="G1613" s="2" t="s">
        <v>5157</v>
      </c>
      <c r="H1613" s="1">
        <v>8.0</v>
      </c>
      <c r="I1613" s="1" t="s">
        <v>29</v>
      </c>
      <c r="J1613" s="1" t="s">
        <v>86</v>
      </c>
      <c r="K1613" s="2" t="s">
        <v>5158</v>
      </c>
      <c r="L1613" s="2" t="s">
        <v>5159</v>
      </c>
      <c r="M1613" s="2" t="str">
        <f>IFERROR(__xludf.DUMMYFUNCTION("split(split(K1613,""天海祐希　"",false),""公式LINE"",false)"),"早乙女悠里(天海祐希)は、秘書の新倉リカ(長澤まさみ)をともなって絵画展会場を訪れる。それは、悠里の母・笠原真理恵(倍賞美津子)の個展だった。真理恵は、惣一(夏八木勲)と離婚後、パリに渡り、画家として活動していた。惣一と真理恵は、子育てに関する考え方が違っていた、と悠里はリカに話した。真理恵は、他人との競争は成長のマイナスになるという考えの持ち主だった。実は悠里もその影響を強く受けており、修一(水上剣星)に対して厳しすぎる惣一に反発していたのだという。一方、晶(武井咲)は、宇津木洋介(綾野剛)が突然姿を消"&amp;"してしまったことにショックを受けていた。YSコーポレーションの社長室にやってきた晶は、悠里が宇津木に金を渡したことを察し、非難した。蓮見丈治(反町隆史)は、そんな晶に、悠里を恨むのは筋違いだ、と言い放つ。宇津木が、晶とは別れない、金は受け取らないと言えばいい話だ、と丈治は言うのだ。続けて丈治は、宇津木は最初からそのつもりだったと晶に告げた。晶は、涙をこらえながら、絶対に信じない、と言い残して、部屋を飛び出す。そんな折、思わぬ事件が起きた。長男の洸(松坂桃李)が、バイクにはねられたのだ。知らせを受けた悠里や"&amp;"辰也(寺島進)は、洸が収容された病院に駆けつけるが…。")</f>
        <v>早乙女悠里(天海祐希)は、秘書の新倉リカ(長澤まさみ)をともなって絵画展会場を訪れる。それは、悠里の母・笠原真理恵(倍賞美津子)の個展だった。真理恵は、惣一(夏八木勲)と離婚後、パリに渡り、画家として活動していた。惣一と真理恵は、子育てに関する考え方が違っていた、と悠里はリカに話した。真理恵は、他人との競争は成長のマイナスになるという考えの持ち主だった。実は悠里もその影響を強く受けており、修一(水上剣星)に対して厳しすぎる惣一に反発していたのだという。一方、晶(武井咲)は、宇津木洋介(綾野剛)が突然姿を消してしまったことにショックを受けていた。YSコーポレーションの社長室にやってきた晶は、悠里が宇津木に金を渡したことを察し、非難した。蓮見丈治(反町隆史)は、そんな晶に、悠里を恨むのは筋違いだ、と言い放つ。宇津木が、晶とは別れない、金は受け取らないと言えばいい話だ、と丈治は言うのだ。続けて丈治は、宇津木は最初からそのつもりだったと晶に告げた。晶は、涙をこらえながら、絶対に信じない、と言い残して、部屋を飛び出す。そんな折、思わぬ事件が起きた。長男の洸(松坂桃李)が、バイクにはねられたのだ。知らせを受けた悠里や辰也(寺島進)は、洸が収容された病院に駆けつけるが…。</v>
      </c>
      <c r="N1613" s="2"/>
      <c r="O1613" s="2"/>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row>
    <row r="1614" ht="204.75" customHeight="1">
      <c r="A1614" s="1">
        <v>4705.0</v>
      </c>
      <c r="B1614" s="2" t="s">
        <v>5136</v>
      </c>
      <c r="C1614" s="2">
        <f>IFERROR(__xludf.DUMMYFUNCTION("split(B1614,""_"")"),1007.0)</f>
        <v>1007</v>
      </c>
      <c r="D1614" s="2" t="str">
        <f>IFERROR(__xludf.DUMMYFUNCTION("""COMPUTED_VALUE"""),"CX")</f>
        <v>CX</v>
      </c>
      <c r="E1614" s="2" t="str">
        <f>IFERROR(__xludf.DUMMYFUNCTION("""COMPUTED_VALUE"""),"木22")</f>
        <v>木22</v>
      </c>
      <c r="F1614" s="2" t="s">
        <v>5137</v>
      </c>
      <c r="G1614" s="2" t="s">
        <v>5160</v>
      </c>
      <c r="H1614" s="1">
        <v>9.0</v>
      </c>
      <c r="I1614" s="1" t="s">
        <v>33</v>
      </c>
      <c r="J1614" s="1" t="s">
        <v>86</v>
      </c>
      <c r="K1614" s="2" t="s">
        <v>5161</v>
      </c>
      <c r="L1614" s="2" t="s">
        <v>5162</v>
      </c>
      <c r="M1614" s="2" t="str">
        <f>IFERROR(__xludf.DUMMYFUNCTION("split(split(K1614,""天海祐希　"",false),""公式LINE"",false)"),"早乙女悠里(天海祐希)は、オリンピックでゴールドメダルを獲得するという夢を、次男の廉(矢野聖人)に託す。悠里の思いを受け止めた廉は、兄の洸(松坂桃李)の代わりに、競泳の自由形への転向を申し出る。コーチの蓮見丈治(反町隆史)は驚きを隠せなかったが、廉がずば抜けた身体能力を持っていることなどを考慮し、本気で廉のトレーニングに取り組むことを決意する。一方、廉が心臓の病を抱えていることを知る新倉リカ(長澤まさみ)は、悠里にそれを打ち明けるべきかどうか悩む。リカは、辰也(寺島進)に相談を持ちかけた。しかし辰也は、廉"&amp;"から口止めされていることもあって、自分の口からは言えないという。あくる日、悠里は、母・真理恵(倍賞美津子)のもとを訪れる。真理恵は、洸が事故を起こしてケガをしたことを受け、悠里に対して母親失格だと言うと、東京での個展が終わったら洸をパリに連れて帰る、と宣言していた。悠里は、そんな真理恵に、オリンピックは諦めても、洸は早乙女家の長男なのだから返して欲しいと頼む。しかし真理恵は、やりたくないことをやらせるという意味では一緒だ、と言って取り合わなかった。するとそこに惣一(夏八木勲)が現れ、真理恵には洸を連れ出す"&amp;"権利はない、と言い放つ。同じころ、廉は、丈治の指導の下、厳しいトレーニングに取り組んでいた。だが、トレーニングを終えた廉は、シャワー室で胸を押さえてうずくまってしまい…。")</f>
        <v>早乙女悠里(天海祐希)は、オリンピックでゴールドメダルを獲得するという夢を、次男の廉(矢野聖人)に託す。悠里の思いを受け止めた廉は、兄の洸(松坂桃李)の代わりに、競泳の自由形への転向を申し出る。コーチの蓮見丈治(反町隆史)は驚きを隠せなかったが、廉がずば抜けた身体能力を持っていることなどを考慮し、本気で廉のトレーニングに取り組むことを決意する。一方、廉が心臓の病を抱えていることを知る新倉リカ(長澤まさみ)は、悠里にそれを打ち明けるべきかどうか悩む。リカは、辰也(寺島進)に相談を持ちかけた。しかし辰也は、廉から口止めされていることもあって、自分の口からは言えないという。あくる日、悠里は、母・真理恵(倍賞美津子)のもとを訪れる。真理恵は、洸が事故を起こしてケガをしたことを受け、悠里に対して母親失格だと言うと、東京での個展が終わったら洸をパリに連れて帰る、と宣言していた。悠里は、そんな真理恵に、オリンピックは諦めても、洸は早乙女家の長男なのだから返して欲しいと頼む。しかし真理恵は、やりたくないことをやらせるという意味では一緒だ、と言って取り合わなかった。するとそこに惣一(夏八木勲)が現れ、真理恵には洸を連れ出す権利はない、と言い放つ。同じころ、廉は、丈治の指導の下、厳しいトレーニングに取り組んでいた。だが、トレーニングを終えた廉は、シャワー室で胸を押さえてうずくまってしまい…。</v>
      </c>
      <c r="N1614" s="2"/>
      <c r="O1614" s="2"/>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row>
    <row r="1615" ht="204.75" customHeight="1">
      <c r="A1615" s="1">
        <v>4706.0</v>
      </c>
      <c r="B1615" s="2" t="s">
        <v>5136</v>
      </c>
      <c r="C1615" s="2">
        <f>IFERROR(__xludf.DUMMYFUNCTION("split(B1615,""_"")"),1007.0)</f>
        <v>1007</v>
      </c>
      <c r="D1615" s="2" t="str">
        <f>IFERROR(__xludf.DUMMYFUNCTION("""COMPUTED_VALUE"""),"CX")</f>
        <v>CX</v>
      </c>
      <c r="E1615" s="2" t="str">
        <f>IFERROR(__xludf.DUMMYFUNCTION("""COMPUTED_VALUE"""),"木22")</f>
        <v>木22</v>
      </c>
      <c r="F1615" s="2" t="s">
        <v>5137</v>
      </c>
      <c r="G1615" s="2" t="s">
        <v>5163</v>
      </c>
      <c r="H1615" s="1">
        <v>10.0</v>
      </c>
      <c r="I1615" s="1" t="s">
        <v>37</v>
      </c>
      <c r="J1615" s="1" t="s">
        <v>82</v>
      </c>
      <c r="K1615" s="2" t="s">
        <v>5164</v>
      </c>
      <c r="L1615" s="2" t="s">
        <v>5165</v>
      </c>
      <c r="M1615" s="2" t="str">
        <f>IFERROR(__xludf.DUMMYFUNCTION("split(split(K1615,""天海祐希　"",false),""公式LINE"",false)"),"早乙女悠里(天海祐希)は、父・惣一(夏八木勲)に代わって、早乙女グループの新代表に選ばれる。蓮見丈治(反町隆史)は、心臓疾患を持つ廉(矢野聖人)を競泳の代表選考会に出場させようとしている悠里を、惣一の力で止めてもらうつもりでいた。だが、悠里がグループの代表になったことで、そのもくろみは外れてしまう。同じころ、YSコーポレーションの室内プールで練習していた廉のもとに、洸(松坂桃李)がやってくる。洸は、神代麻衣子(南沢奈央)と一緒だった。自分の代わりに廉が代表選考会に出場することを知った洸は、手伝えることがあ"&amp;"ったら言ってほしい、と申し出る。その夜、悠里は、別居中の夫・辰也(寺島進)とプライベートバーで会う。辰也も、廉を選考会に出場させるのを止めようとしていた。しかし悠里は、辰也の頼みでもそれだけはできない、と拒否した。すると辰也は、自分なりに覚悟を決めてきた、と言って悠里に離婚届を手渡す。別の日、悠里は、秘書の新倉リカ(長澤まさみ)を伴って買い物に出かける。悠里は、大量のブランド品を買い求めた後、高級なレストランで食事をすると言い出す。そこでリカは、今回の廉の件は、人として、母親として間違っていると言い放つ。")</f>
        <v>早乙女悠里(天海祐希)は、父・惣一(夏八木勲)に代わって、早乙女グループの新代表に選ばれる。蓮見丈治(反町隆史)は、心臓疾患を持つ廉(矢野聖人)を競泳の代表選考会に出場させようとしている悠里を、惣一の力で止めてもらうつもりでいた。だが、悠里がグループの代表になったことで、そのもくろみは外れてしまう。同じころ、YSコーポレーションの室内プールで練習していた廉のもとに、洸(松坂桃李)がやってくる。洸は、神代麻衣子(南沢奈央)と一緒だった。自分の代わりに廉が代表選考会に出場することを知った洸は、手伝えることがあったら言ってほしい、と申し出る。その夜、悠里は、別居中の夫・辰也(寺島進)とプライベートバーで会う。辰也も、廉を選考会に出場させるのを止めようとしていた。しかし悠里は、辰也の頼みでもそれだけはできない、と拒否した。すると辰也は、自分なりに覚悟を決めてきた、と言って悠里に離婚届を手渡す。別の日、悠里は、秘書の新倉リカ(長澤まさみ)を伴って買い物に出かける。悠里は、大量のブランド品を買い求めた後、高級なレストランで食事をすると言い出す。そこでリカは、今回の廉の件は、人として、母親として間違っていると言い放つ。</v>
      </c>
      <c r="N1615" s="2"/>
      <c r="O1615" s="2"/>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row>
    <row r="1616" ht="204.75" customHeight="1">
      <c r="A1616" s="1">
        <v>4707.0</v>
      </c>
      <c r="B1616" s="2" t="s">
        <v>5136</v>
      </c>
      <c r="C1616" s="2">
        <f>IFERROR(__xludf.DUMMYFUNCTION("split(B1616,""_"")"),1007.0)</f>
        <v>1007</v>
      </c>
      <c r="D1616" s="2" t="str">
        <f>IFERROR(__xludf.DUMMYFUNCTION("""COMPUTED_VALUE"""),"CX")</f>
        <v>CX</v>
      </c>
      <c r="E1616" s="2" t="str">
        <f>IFERROR(__xludf.DUMMYFUNCTION("""COMPUTED_VALUE"""),"木22")</f>
        <v>木22</v>
      </c>
      <c r="F1616" s="2" t="s">
        <v>5137</v>
      </c>
      <c r="G1616" s="2" t="s">
        <v>5166</v>
      </c>
      <c r="H1616" s="1">
        <v>11.0</v>
      </c>
      <c r="I1616" s="1" t="s">
        <v>41</v>
      </c>
      <c r="J1616" s="1" t="s">
        <v>86</v>
      </c>
      <c r="K1616" s="2" t="s">
        <v>5167</v>
      </c>
      <c r="L1616" s="2" t="s">
        <v>5168</v>
      </c>
      <c r="M1616" s="2" t="str">
        <f>IFERROR(__xludf.DUMMYFUNCTION("split(split(K1616,""天海祐希　"",false),""公式LINE"",false)"),"早乙女悠里(天海祐希)は、無謀な賭けだと知りながら、廉(矢野聖人)の力を借りて洸(松坂桃李)を立ち直らせようとした。自らの命をかけて競泳の代表選考会に挑もうとする廉の姿が、洸の魂を奮い立たせてくれると信じていたのだ。悠里は、蓮見丈治(反町隆史)や父親の惣一(夏八木勲)にもそのことは秘密にしていた。知っていたのは晶(武井咲)だけだった。　悠里の思いは通じ、選考会場にやってきた洸は、廉と同じ組で100m自由形のスタート台に立つ。会場にいた新倉リカ(長澤まさみ)や辰也(寺島進)も、洸の登場に驚きを隠せなかった。"&amp;"洸は、隣に立つ廉に向かって、お前なんかの出る幕じゃない、と告げると、スタートの合図と同時に力強く飛び込んだ。圧倒的な泳ぎを見せた洸は、見事トップでゴールする。　リカとともに関係者控室を訪れた辰也は、悠里に渡した離婚届を返してもらう。それを知った丈治は、この機会に早乙女家に戻ったらどうか、と辰也に提案する。そのころリカも、辰也に促されて、悠里に提出した辞表届けを返してもらおうとしていた。しかし悠里は、それを認めなかった。  　悠里は、惣一に代わって、選考会の閉会式で挨拶をすることになった。ところがそこで思わ"&amp;"ぬ事件が起き…。")</f>
        <v>早乙女悠里(天海祐希)は、無謀な賭けだと知りながら、廉(矢野聖人)の力を借りて洸(松坂桃李)を立ち直らせようとした。自らの命をかけて競泳の代表選考会に挑もうとする廉の姿が、洸の魂を奮い立たせてくれると信じていたのだ。悠里は、蓮見丈治(反町隆史)や父親の惣一(夏八木勲)にもそのことは秘密にしていた。知っていたのは晶(武井咲)だけだった。　悠里の思いは通じ、選考会場にやってきた洸は、廉と同じ組で100m自由形のスタート台に立つ。会場にいた新倉リカ(長澤まさみ)や辰也(寺島進)も、洸の登場に驚きを隠せなかった。洸は、隣に立つ廉に向かって、お前なんかの出る幕じゃない、と告げると、スタートの合図と同時に力強く飛び込んだ。圧倒的な泳ぎを見せた洸は、見事トップでゴールする。　リカとともに関係者控室を訪れた辰也は、悠里に渡した離婚届を返してもらう。それを知った丈治は、この機会に早乙女家に戻ったらどうか、と辰也に提案する。そのころリカも、辰也に促されて、悠里に提出した辞表届けを返してもらおうとしていた。しかし悠里は、それを認めなかった。  　悠里は、惣一に代わって、選考会の閉会式で挨拶をすることになった。ところがそこで思わぬ事件が起き…。</v>
      </c>
      <c r="N1616" s="2"/>
      <c r="O1616" s="2"/>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row>
    <row r="1617" ht="204.75" customHeight="1">
      <c r="A1617" s="1">
        <v>4768.0</v>
      </c>
      <c r="B1617" s="2" t="s">
        <v>5169</v>
      </c>
      <c r="C1617" s="2">
        <f>IFERROR(__xludf.DUMMYFUNCTION("split(B1617,""_"")"),1004.0)</f>
        <v>1004</v>
      </c>
      <c r="D1617" s="2" t="str">
        <f>IFERROR(__xludf.DUMMYFUNCTION("""COMPUTED_VALUE"""),"CX")</f>
        <v>CX</v>
      </c>
      <c r="E1617" s="2" t="str">
        <f>IFERROR(__xludf.DUMMYFUNCTION("""COMPUTED_VALUE"""),"月21")</f>
        <v>月21</v>
      </c>
      <c r="F1617" s="2" t="s">
        <v>5170</v>
      </c>
      <c r="G1617" s="2" t="s">
        <v>5171</v>
      </c>
      <c r="H1617" s="1">
        <v>1.0</v>
      </c>
      <c r="I1617" s="1" t="s">
        <v>3</v>
      </c>
      <c r="J1617" s="1" t="s">
        <v>4</v>
      </c>
      <c r="K1617" s="2" t="s">
        <v>5172</v>
      </c>
      <c r="L1617" s="2"/>
      <c r="M1617" s="2" t="str">
        <f>IFERROR(__xludf.DUMMYFUNCTION("split(split(K1617,""【"",false),""公式LINE"",false)"),"木村拓哉　  篠原涼子　  リン・チーリン　  松田翔太　  北川景子　  渡辺いっけい　  濱田岳　  水上剣星　  西山茉希　  満島ひかり　  中村ゆり　  阿部力　  長塚京三　    ほか")</f>
        <v>木村拓哉　  篠原涼子　  リン・チーリン　  松田翔太　  北川景子　  渡辺いっけい　  濱田岳　  水上剣星　  西山茉希　  満島ひかり　  中村ゆり　  阿部力　  長塚京三　    ほか</v>
      </c>
      <c r="N1617" s="2"/>
      <c r="O1617" s="2"/>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row>
    <row r="1618" ht="204.75" customHeight="1">
      <c r="A1618" s="1">
        <v>4769.0</v>
      </c>
      <c r="B1618" s="2" t="s">
        <v>5169</v>
      </c>
      <c r="C1618" s="2">
        <f>IFERROR(__xludf.DUMMYFUNCTION("split(B1618,""_"")"),1004.0)</f>
        <v>1004</v>
      </c>
      <c r="D1618" s="2" t="str">
        <f>IFERROR(__xludf.DUMMYFUNCTION("""COMPUTED_VALUE"""),"CX")</f>
        <v>CX</v>
      </c>
      <c r="E1618" s="2" t="str">
        <f>IFERROR(__xludf.DUMMYFUNCTION("""COMPUTED_VALUE"""),"月21")</f>
        <v>月21</v>
      </c>
      <c r="F1618" s="2" t="s">
        <v>5170</v>
      </c>
      <c r="G1618" s="2" t="s">
        <v>5173</v>
      </c>
      <c r="H1618" s="1">
        <v>3.0</v>
      </c>
      <c r="I1618" s="1" t="s">
        <v>7</v>
      </c>
      <c r="J1618" s="1" t="s">
        <v>11</v>
      </c>
      <c r="K1618" s="4" t="s">
        <v>5174</v>
      </c>
      <c r="L1618" s="2" t="s">
        <v>5175</v>
      </c>
      <c r="M1618" s="2" t="str">
        <f>IFERROR(__xludf.DUMMYFUNCTION("split(split(K1618,""木村拓哉　"",false),""公式LINE"",false)"),"葉月蓮介(木村拓哉)は、中国側の反発を押さえ込み、無事『レゴリス』上海一号店を開店させた。『レゴリス』のイメージキャラクターとなったリュウ・シュウメイ(リン・チーリン)は来日するが、ホテルでの寂しい1人暮らしが続く。上海での開店以来、蓮介ともほとんど会っていなかった。シュウメイは、日本で暮らしているはずの父親を探しに行く事を決意する。はがき片手に見知らぬ街中をうろうろするシュウメイだったが・・・。  　一方、蓮介は新たにホテルのインテリアコンペへの参加を決め、その全てを二宮真絵美(篠原涼子)に任せようとす"&amp;"る。だが、真絵美は素直に蓮介の誘いを受けようとしない。そんな中、蓮介はコンペの説明会に参加する。そこで、大貫柚月(北川景子)の父であるライバル会社の社長・大貫照源(長塚京三)と遭遇。一歩リードされていることを知った蓮介は勝利を得るために、ある行動に出るのだった。")</f>
        <v>葉月蓮介(木村拓哉)は、中国側の反発を押さえ込み、無事『レゴリス』上海一号店を開店させた。『レゴリス』のイメージキャラクターとなったリュウ・シュウメイ(リン・チーリン)は来日するが、ホテルでの寂しい1人暮らしが続く。上海での開店以来、蓮介ともほとんど会っていなかった。シュウメイは、日本で暮らしているはずの父親を探しに行く事を決意する。はがき片手に見知らぬ街中をうろうろするシュウメイだったが・・・。  　一方、蓮介は新たにホテルのインテリアコンペへの参加を決め、その全てを二宮真絵美(篠原涼子)に任せようとする。だが、真絵美は素直に蓮介の誘いを受けようとしない。そんな中、蓮介はコンペの説明会に参加する。そこで、大貫柚月(北川景子)の父であるライバル会社の社長・大貫照源(長塚京三)と遭遇。一歩リードされていることを知った蓮介は勝利を得るために、ある行動に出るのだった。</v>
      </c>
      <c r="N1618" s="2"/>
      <c r="O1618" s="2"/>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row>
    <row r="1619" ht="204.75" customHeight="1">
      <c r="A1619" s="1">
        <v>4770.0</v>
      </c>
      <c r="B1619" s="2" t="s">
        <v>5169</v>
      </c>
      <c r="C1619" s="2">
        <f>IFERROR(__xludf.DUMMYFUNCTION("split(B1619,""_"")"),1004.0)</f>
        <v>1004</v>
      </c>
      <c r="D1619" s="2" t="str">
        <f>IFERROR(__xludf.DUMMYFUNCTION("""COMPUTED_VALUE"""),"CX")</f>
        <v>CX</v>
      </c>
      <c r="E1619" s="2" t="str">
        <f>IFERROR(__xludf.DUMMYFUNCTION("""COMPUTED_VALUE"""),"月21")</f>
        <v>月21</v>
      </c>
      <c r="F1619" s="2" t="s">
        <v>5170</v>
      </c>
      <c r="G1619" s="2" t="s">
        <v>5176</v>
      </c>
      <c r="H1619" s="1">
        <v>4.0</v>
      </c>
      <c r="I1619" s="1" t="s">
        <v>10</v>
      </c>
      <c r="J1619" s="1" t="s">
        <v>11</v>
      </c>
      <c r="K1619" s="2" t="s">
        <v>5177</v>
      </c>
      <c r="L1619" s="2" t="s">
        <v>5178</v>
      </c>
      <c r="M1619" s="2" t="str">
        <f>IFERROR(__xludf.DUMMYFUNCTION("split(split(K1619,""木村拓哉　"",false),""公式LINE"",false)"),"葉月蓮介(木村拓哉)は、外資系ホテルのインテリア・コンペを勝ち取り、二宮真絵美(篠原涼子)と専属デザイナー契約を結ぶ。さらに、蓮介はリュウ・シュウメイ(リン・チーリン)をイメージキャラクターとする『レゴリス』の新プロジェクトの責任者としても真絵美を抜擢。これには真絵美自身も、これまで新プロジェクトを企画してきた社員たちも反対するのだが、蓮介は聞く耳を持たなかった。　早速、真絵美は前原継男(濱田岳)、安斎リナ(満島ひかり)らとシュウメイのポスター撮影を手がける。その時、真絵美はシュウメイが、今まで以上に仕事"&amp;"に前向きになったことを感じた。実は、シュウメイには蓮介に対してある思惑が芽生えていた。それは蓮介への復讐心。蔡風見(松田翔太)は、シュウメイからその思惑を聞きだす。  　また、蓮介に急接近するシュウメイに大貫柚月(北川景子)は、ますます焦り出した。　そんな時、シュウメイは探していた父親、ハンヤン(田口主将)と再会。喜ぶシュウメイの陰で、蓮介は風見にハンヤンの周囲を探るよう命令した。  　外資系ホテルの仕事を奪われた『マストポール』の社長で柚月の父でもある照源(長塚京三)は蓮介に接触する。")</f>
        <v>葉月蓮介(木村拓哉)は、外資系ホテルのインテリア・コンペを勝ち取り、二宮真絵美(篠原涼子)と専属デザイナー契約を結ぶ。さらに、蓮介はリュウ・シュウメイ(リン・チーリン)をイメージキャラクターとする『レゴリス』の新プロジェクトの責任者としても真絵美を抜擢。これには真絵美自身も、これまで新プロジェクトを企画してきた社員たちも反対するのだが、蓮介は聞く耳を持たなかった。　早速、真絵美は前原継男(濱田岳)、安斎リナ(満島ひかり)らとシュウメイのポスター撮影を手がける。その時、真絵美はシュウメイが、今まで以上に仕事に前向きになったことを感じた。実は、シュウメイには蓮介に対してある思惑が芽生えていた。それは蓮介への復讐心。蔡風見(松田翔太)は、シュウメイからその思惑を聞きだす。  　また、蓮介に急接近するシュウメイに大貫柚月(北川景子)は、ますます焦り出した。　そんな時、シュウメイは探していた父親、ハンヤン(田口主将)と再会。喜ぶシュウメイの陰で、蓮介は風見にハンヤンの周囲を探るよう命令した。  　外資系ホテルの仕事を奪われた『マストポール』の社長で柚月の父でもある照源(長塚京三)は蓮介に接触する。</v>
      </c>
      <c r="N1619" s="2"/>
      <c r="O1619" s="2"/>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row>
    <row r="1620" ht="204.75" customHeight="1">
      <c r="A1620" s="1">
        <v>4771.0</v>
      </c>
      <c r="B1620" s="2" t="s">
        <v>5169</v>
      </c>
      <c r="C1620" s="2">
        <f>IFERROR(__xludf.DUMMYFUNCTION("split(B1620,""_"")"),1004.0)</f>
        <v>1004</v>
      </c>
      <c r="D1620" s="2" t="str">
        <f>IFERROR(__xludf.DUMMYFUNCTION("""COMPUTED_VALUE"""),"CX")</f>
        <v>CX</v>
      </c>
      <c r="E1620" s="2" t="str">
        <f>IFERROR(__xludf.DUMMYFUNCTION("""COMPUTED_VALUE"""),"月21")</f>
        <v>月21</v>
      </c>
      <c r="F1620" s="2" t="s">
        <v>5170</v>
      </c>
      <c r="G1620" s="2" t="s">
        <v>5179</v>
      </c>
      <c r="H1620" s="1">
        <v>5.0</v>
      </c>
      <c r="I1620" s="1" t="s">
        <v>14</v>
      </c>
      <c r="J1620" s="1" t="s">
        <v>11</v>
      </c>
      <c r="K1620" s="2" t="s">
        <v>5180</v>
      </c>
      <c r="L1620" s="2" t="s">
        <v>5181</v>
      </c>
      <c r="M1620" s="2" t="str">
        <f>IFERROR(__xludf.DUMMYFUNCTION("split(split(K1620,""木村拓哉　"",false),""公式LINE"",false)"),"葉月蓮介(木村拓哉)と蔡風見(松田翔太)は『レゴリス』社員に新しい製品開発プラン“恋するレゴリス""を発表。このプランの実行にあたっては、徹底した経費削減のために、古くからの取引先を変えることも辞さないと告げる。意を唱える者もいるのだが、蓮介は情に動かされては経営など出来ないと冷徹に切り捨てた。  　しかし、新プランは思わぬところで頓挫しようとしていた。イメージキャラクターのリュウ・シュウメイ(リン・チーリン)がポスター撮影に出てこないのだ。二宮真絵美(篠原涼子)から事情を聞いた蓮介は、シュウメイが現場に"&amp;"来ないのなら代役を立てろと言い放つ。  　そんな蓮介に社員の嶺岡康之(川平慈英)が辞表を提出。蓮介と守秘義務契約を交わさなかった嶺岡は『マストポール』社長の大貫照源(長塚京三)と通じていたのだ。その動きを知っていた柚月(北川景子)は、蓮介に忠告しようとするが無視されてしまう。蓮介の心がどうしても自分に向かないと怒った柚月は、父・照源に『マストポール』のモデルになると告げた。  　『レゴリス』のプランを先取りしようと暗躍する照源。仕事に出てこないシュウメイを説得しようとする真絵美。そして、蓮介は…。")</f>
        <v>葉月蓮介(木村拓哉)と蔡風見(松田翔太)は『レゴリス』社員に新しい製品開発プラン“恋するレゴリス"を発表。このプランの実行にあたっては、徹底した経費削減のために、古くからの取引先を変えることも辞さないと告げる。意を唱える者もいるのだが、蓮介は情に動かされては経営など出来ないと冷徹に切り捨てた。  　しかし、新プランは思わぬところで頓挫しようとしていた。イメージキャラクターのリュウ・シュウメイ(リン・チーリン)がポスター撮影に出てこないのだ。二宮真絵美(篠原涼子)から事情を聞いた蓮介は、シュウメイが現場に来ないのなら代役を立てろと言い放つ。  　そんな蓮介に社員の嶺岡康之(川平慈英)が辞表を提出。蓮介と守秘義務契約を交わさなかった嶺岡は『マストポール』社長の大貫照源(長塚京三)と通じていたのだ。その動きを知っていた柚月(北川景子)は、蓮介に忠告しようとするが無視されてしまう。蓮介の心がどうしても自分に向かないと怒った柚月は、父・照源に『マストポール』のモデルになると告げた。  　『レゴリス』のプランを先取りしようと暗躍する照源。仕事に出てこないシュウメイを説得しようとする真絵美。そして、蓮介は…。</v>
      </c>
      <c r="N1620" s="2"/>
      <c r="O1620" s="2"/>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row>
    <row r="1621" ht="204.75" customHeight="1">
      <c r="A1621" s="1">
        <v>4772.0</v>
      </c>
      <c r="B1621" s="2" t="s">
        <v>5169</v>
      </c>
      <c r="C1621" s="2">
        <f>IFERROR(__xludf.DUMMYFUNCTION("split(B1621,""_"")"),1004.0)</f>
        <v>1004</v>
      </c>
      <c r="D1621" s="2" t="str">
        <f>IFERROR(__xludf.DUMMYFUNCTION("""COMPUTED_VALUE"""),"CX")</f>
        <v>CX</v>
      </c>
      <c r="E1621" s="2" t="str">
        <f>IFERROR(__xludf.DUMMYFUNCTION("""COMPUTED_VALUE"""),"月21")</f>
        <v>月21</v>
      </c>
      <c r="F1621" s="2" t="s">
        <v>5170</v>
      </c>
      <c r="G1621" s="2" t="s">
        <v>5182</v>
      </c>
      <c r="H1621" s="1">
        <v>6.0</v>
      </c>
      <c r="I1621" s="1" t="s">
        <v>17</v>
      </c>
      <c r="J1621" s="1" t="s">
        <v>11</v>
      </c>
      <c r="K1621" s="2" t="s">
        <v>5183</v>
      </c>
      <c r="L1621" s="2" t="s">
        <v>5184</v>
      </c>
      <c r="M1621" s="2" t="str">
        <f>IFERROR(__xludf.DUMMYFUNCTION("split(split(K1621,""木村拓哉　"",false),""公式LINE"",false)"),"葉月蓮介(木村拓哉)は、蔡風見(松田翔太)と『レゴリス』の新戦略を発表。リュウ・シュウメイ(リン・チーリン)をフィーチャーしたキャンペーンで伸びた売り上げの力を背景に、業界No.1の『マストポール』の追い落としにかかるのが目標だ。新店舗の充実、インドへの新たな生産ラインを確保すると言う蓮介だが、幹部たちの反応は悪い。雉畑藤吾(渡辺いっけい)からは、インドでも工員たちの強引な切捨てを繰り返すのかと言われてしまう。しかし、雉畑の意見を遮った蓮介はあくまで強気だ。  　その夜、蓮介はシュウメイとデート。シュウメ"&amp;"イの肩を抱き寄せる蓮介を、一台のカメラが狙っていた。  　二宮真絵美(篠原涼子)を風見が食事に誘う。2人が行ったレストランには、蓮介とシュウメイがいた。同席した真絵美は、蓮介とシュウメイの関係が発展したことを悟る。  　今や有名人となったシュウメイが『田鶏』に帰ると、大貫柚月(北川景子)が尋ねて来る。柚月は、なぜ蓮介がシュウメイに惹かれるのかを知りたかった。しかし、シュウメイから答えを得られなかった柚月は、家に帰ると父・照源(長塚京三)に実家を出ようと思うと話す。  　そんな時、蓮介とシュウメイのデートが"&amp;"写真誌に抜かれた。柚月の時とは違い、社長とその会社のモデルでは世間の視線も厳しいものが予想される。社員たちの反応も厳しい。蓮介は収拾する時間が欲しいと社員たちに告げるのだが・・・。")</f>
        <v>葉月蓮介(木村拓哉)は、蔡風見(松田翔太)と『レゴリス』の新戦略を発表。リュウ・シュウメイ(リン・チーリン)をフィーチャーしたキャンペーンで伸びた売り上げの力を背景に、業界No.1の『マストポール』の追い落としにかかるのが目標だ。新店舗の充実、インドへの新たな生産ラインを確保すると言う蓮介だが、幹部たちの反応は悪い。雉畑藤吾(渡辺いっけい)からは、インドでも工員たちの強引な切捨てを繰り返すのかと言われてしまう。しかし、雉畑の意見を遮った蓮介はあくまで強気だ。  　その夜、蓮介はシュウメイとデート。シュウメイの肩を抱き寄せる蓮介を、一台のカメラが狙っていた。  　二宮真絵美(篠原涼子)を風見が食事に誘う。2人が行ったレストランには、蓮介とシュウメイがいた。同席した真絵美は、蓮介とシュウメイの関係が発展したことを悟る。  　今や有名人となったシュウメイが『田鶏』に帰ると、大貫柚月(北川景子)が尋ねて来る。柚月は、なぜ蓮介がシュウメイに惹かれるのかを知りたかった。しかし、シュウメイから答えを得られなかった柚月は、家に帰ると父・照源(長塚京三)に実家を出ようと思うと話す。  　そんな時、蓮介とシュウメイのデートが写真誌に抜かれた。柚月の時とは違い、社長とその会社のモデルでは世間の視線も厳しいものが予想される。社員たちの反応も厳しい。蓮介は収拾する時間が欲しいと社員たちに告げるのだが・・・。</v>
      </c>
      <c r="N1621" s="2"/>
      <c r="O1621" s="2"/>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row>
    <row r="1622" ht="204.75" customHeight="1">
      <c r="A1622" s="1">
        <v>4773.0</v>
      </c>
      <c r="B1622" s="2" t="s">
        <v>5169</v>
      </c>
      <c r="C1622" s="2">
        <f>IFERROR(__xludf.DUMMYFUNCTION("split(B1622,""_"")"),1004.0)</f>
        <v>1004</v>
      </c>
      <c r="D1622" s="2" t="str">
        <f>IFERROR(__xludf.DUMMYFUNCTION("""COMPUTED_VALUE"""),"CX")</f>
        <v>CX</v>
      </c>
      <c r="E1622" s="2" t="str">
        <f>IFERROR(__xludf.DUMMYFUNCTION("""COMPUTED_VALUE"""),"月21")</f>
        <v>月21</v>
      </c>
      <c r="F1622" s="2" t="s">
        <v>5170</v>
      </c>
      <c r="G1622" s="2" t="s">
        <v>5185</v>
      </c>
      <c r="H1622" s="1">
        <v>7.0</v>
      </c>
      <c r="I1622" s="1" t="s">
        <v>21</v>
      </c>
      <c r="J1622" s="1" t="s">
        <v>11</v>
      </c>
      <c r="K1622" s="2" t="s">
        <v>5186</v>
      </c>
      <c r="L1622" s="2" t="s">
        <v>5187</v>
      </c>
      <c r="M1622" s="2" t="str">
        <f>IFERROR(__xludf.DUMMYFUNCTION("split(split(K1622,""木村拓哉　"",false),""公式LINE"",false)"),"葉月蓮介(木村拓哉)は、リュウ・シュウメイ(リン・チーリン)にプロポーズするも、『レゴリス』が販売する家具で事故が発生してしまい、その対応に追われることになった。蓮介は、事故で怪我をした子供を見舞うのだが、両親は訴訟も辞さない構え。  　二宮真絵美(篠原涼子)は蓮介がシュウメイにプロポーズしたことを知るが、蔡風見(松田翔太)からシュウメイのフォローを頼まれ、シュウメイのもとへ行く。真絵美と話すシュウメイは、蓮介からプロポーズを受けたもののまだ不信感を拭えていなかった。蓮介は、自分を訪ねて日本に来た親友のミ"&amp;"ン(阿部力)を、不法入国だと言って自分のもとから引き離したのだ。さらに、本当に蓮介を支えられるのは真絵美だと言うシュウメイ。  　事故を起こした家具は、上海工場の製品と判明。蓮介は、上海工場の責任者である雉畑藤吾(渡辺いっけい)の責任能力を問う。雉畑はむしろずっと上海工場の労働条件改善を訴えていたのだが…。  　一方、大貫柚月(北川景子)も窮地に陥った蓮介を心配していた。父の照源(長塚京三)は、蓮介はもうだめだろうと事も無げに柚月に話す。さらに、柚月には、蓮介よりも風見の方が似合いだなどと言い出した。そん"&amp;"な、父の言葉を柚月は訝しむ。  　『レゴリス』の売り上げは各地で下がりだした。そんな中、ついに側近中の側近である雉畑が蓮介に辞表を提出し、蓮介は…。")</f>
        <v>葉月蓮介(木村拓哉)は、リュウ・シュウメイ(リン・チーリン)にプロポーズするも、『レゴリス』が販売する家具で事故が発生してしまい、その対応に追われることになった。蓮介は、事故で怪我をした子供を見舞うのだが、両親は訴訟も辞さない構え。  　二宮真絵美(篠原涼子)は蓮介がシュウメイにプロポーズしたことを知るが、蔡風見(松田翔太)からシュウメイのフォローを頼まれ、シュウメイのもとへ行く。真絵美と話すシュウメイは、蓮介からプロポーズを受けたもののまだ不信感を拭えていなかった。蓮介は、自分を訪ねて日本に来た親友のミン(阿部力)を、不法入国だと言って自分のもとから引き離したのだ。さらに、本当に蓮介を支えられるのは真絵美だと言うシュウメイ。  　事故を起こした家具は、上海工場の製品と判明。蓮介は、上海工場の責任者である雉畑藤吾(渡辺いっけい)の責任能力を問う。雉畑はむしろずっと上海工場の労働条件改善を訴えていたのだが…。  　一方、大貫柚月(北川景子)も窮地に陥った蓮介を心配していた。父の照源(長塚京三)は、蓮介はもうだめだろうと事も無げに柚月に話す。さらに、柚月には、蓮介よりも風見の方が似合いだなどと言い出した。そんな、父の言葉を柚月は訝しむ。  　『レゴリス』の売り上げは各地で下がりだした。そんな中、ついに側近中の側近である雉畑が蓮介に辞表を提出し、蓮介は…。</v>
      </c>
      <c r="N1622" s="2"/>
      <c r="O1622" s="2"/>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row>
    <row r="1623" ht="204.75" customHeight="1">
      <c r="A1623" s="1">
        <v>4774.0</v>
      </c>
      <c r="B1623" s="2" t="s">
        <v>5169</v>
      </c>
      <c r="C1623" s="2">
        <f>IFERROR(__xludf.DUMMYFUNCTION("split(B1623,""_"")"),1004.0)</f>
        <v>1004</v>
      </c>
      <c r="D1623" s="2" t="str">
        <f>IFERROR(__xludf.DUMMYFUNCTION("""COMPUTED_VALUE"""),"CX")</f>
        <v>CX</v>
      </c>
      <c r="E1623" s="2" t="str">
        <f>IFERROR(__xludf.DUMMYFUNCTION("""COMPUTED_VALUE"""),"月21")</f>
        <v>月21</v>
      </c>
      <c r="F1623" s="2" t="s">
        <v>5170</v>
      </c>
      <c r="G1623" s="2" t="s">
        <v>5188</v>
      </c>
      <c r="H1623" s="1">
        <v>8.0</v>
      </c>
      <c r="I1623" s="1" t="s">
        <v>25</v>
      </c>
      <c r="J1623" s="1" t="s">
        <v>11</v>
      </c>
      <c r="K1623" s="2" t="s">
        <v>5189</v>
      </c>
      <c r="L1623" s="2" t="s">
        <v>5190</v>
      </c>
      <c r="M1623" s="2" t="str">
        <f>IFERROR(__xludf.DUMMYFUNCTION("split(split(K1623,""木村拓哉　"",false),""公式LINE"",false)"),"自社モデルとのスキャンダル、製品の事故…。そして、上海工場の不当労働までもが表面化することで『レゴリス』社長、葉月蓮介(木村拓哉)は窮地に立たされる。しかも、側近の蔡風見(松田翔太)はライバル会社『マストポール』の社長、大貫照源(長塚京三)と裏で手を結び、『レゴリス』幹部も味方につけ、蓮介を失脚させようとしていたのだ。蓮介が風見の思惑に気づいた時は、もはや手遅れだった。　風見は手はずどおり、定例会議で蓮介の解任動議を提案。反対する幹部はなく、新社長に風見が推挙される。抵抗するかに思われた蓮介だが、取締役会"&amp;"に諮られるまでもなく、あっさりと社長の座を退き、心配する二宮真絵美(篠原涼子)に礼を述べて会社から去って行った。  　社長就任挨拶で、風見は『マストポール』との提携を発表。パーティーの席で、真絵美はリュウ・シュウメイ(リン・チーリン)の居場所を風見に問うのだが、知らないと答える風見。また、真絵美は自分に接近したのも、蓮介を陥れるためかと問い詰める。すると、風見はそれを否定し『レゴリス』に残って欲しいと真絵美に頼んだ。  　社長を解任されて以来、蓮介の行方は分からなくなる。シュウメイも姿を見せない。父、照源"&amp;"の汚い手口でいなくなってしまったと、柚月(北川景子)はある行動に出る。そして、真絵美も蓮介の行方を求めて…。")</f>
        <v>自社モデルとのスキャンダル、製品の事故…。そして、上海工場の不当労働までもが表面化することで『レゴリス』社長、葉月蓮介(木村拓哉)は窮地に立たされる。しかも、側近の蔡風見(松田翔太)はライバル会社『マストポール』の社長、大貫照源(長塚京三)と裏で手を結び、『レゴリス』幹部も味方につけ、蓮介を失脚させようとしていたのだ。蓮介が風見の思惑に気づいた時は、もはや手遅れだった。　風見は手はずどおり、定例会議で蓮介の解任動議を提案。反対する幹部はなく、新社長に風見が推挙される。抵抗するかに思われた蓮介だが、取締役会に諮られるまでもなく、あっさりと社長の座を退き、心配する二宮真絵美(篠原涼子)に礼を述べて会社から去って行った。  　社長就任挨拶で、風見は『マストポール』との提携を発表。パーティーの席で、真絵美はリュウ・シュウメイ(リン・チーリン)の居場所を風見に問うのだが、知らないと答える風見。また、真絵美は自分に接近したのも、蓮介を陥れるためかと問い詰める。すると、風見はそれを否定し『レゴリス』に残って欲しいと真絵美に頼んだ。  　社長を解任されて以来、蓮介の行方は分からなくなる。シュウメイも姿を見せない。父、照源の汚い手口でいなくなってしまったと、柚月(北川景子)はある行動に出る。そして、真絵美も蓮介の行方を求めて…。</v>
      </c>
      <c r="N1623" s="2"/>
      <c r="O1623" s="2"/>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row>
    <row r="1624" ht="204.75" customHeight="1">
      <c r="A1624" s="1">
        <v>4775.0</v>
      </c>
      <c r="B1624" s="2" t="s">
        <v>5191</v>
      </c>
      <c r="C1624" s="2">
        <f>IFERROR(__xludf.DUMMYFUNCTION("split(B1624,""_"")"),1004.0)</f>
        <v>1004</v>
      </c>
      <c r="D1624" s="2" t="str">
        <f>IFERROR(__xludf.DUMMYFUNCTION("""COMPUTED_VALUE"""),"CX")</f>
        <v>CX</v>
      </c>
      <c r="E1624" s="2" t="str">
        <f>IFERROR(__xludf.DUMMYFUNCTION("""COMPUTED_VALUE"""),"火21")</f>
        <v>火21</v>
      </c>
      <c r="F1624" s="2" t="s">
        <v>443</v>
      </c>
      <c r="G1624" s="2" t="s">
        <v>5192</v>
      </c>
      <c r="H1624" s="1">
        <v>1.0</v>
      </c>
      <c r="I1624" s="1" t="s">
        <v>3</v>
      </c>
      <c r="J1624" s="1" t="s">
        <v>4</v>
      </c>
      <c r="K1624" s="4" t="s">
        <v>5193</v>
      </c>
      <c r="L1624" s="2" t="s">
        <v>5194</v>
      </c>
      <c r="M1624" s="2" t="str">
        <f>IFERROR(__xludf.DUMMYFUNCTION("split(split(K1624,""上戸彩　"",false),""公式LINE"",false)"),"桜木泉(上戸彩)は、未解決事件を専門に扱う特命捜査対策室第4係に勤務する新米刑事。  　4係係長の倉田工(杉本哲太)は室長の長嶋秀夫(北大路欣也)から、前日に山中から白骨化した人骨が発見された事件の資料を渡される。人骨は10年前に起きた「東都銀行3億円事件」の容疑者の1人であることから4係が捜査することになったのだ。  　3億円横領事件の容疑者は、当時銀行に勤務していた大貫清美(宮下ともみ)、飯島友江(松岡恵望子)、迫田麻衣(小松彩夏)の3人で、いずれも事件直後から行方不明になっていた。白骨死体は迫田麻衣"&amp;"のもので、死後10年が経っていた。さらに遺留品のメモに書かれた14桁の数字が明らかになった。  　深沢ユウキ(丸山智己)は、数字が銀行の口座番号であることを調べると、泉と共に口座の持ち主で麻衣の恋人だった宮本弘史(徳秀樹)を訪ねる。  　同じころ、4係では白石晋太郎(中原丈雄)が倉田に、インターネットの裏サイトで発見した、逃げまどう女性が拳銃で撃たれる映像を見せていた。その女性は10年前の横領事件の主犯とされていた大貫清美とわかる。塚本圭吾(宮迫博之)と高峰涼子(山口紗弥加)は、横領事件当時に支店長だった"&amp;"木村行信(渡辺憲吉)を訪ねていた。高峰は事件との関係を否定する木村のある行動に目をとめる。  　次々と新しい事実が発覚する中、泉は事件当時に清美が話していた言葉が気にかかり…。")</f>
        <v>桜木泉(上戸彩)は、未解決事件を専門に扱う特命捜査対策室第4係に勤務する新米刑事。  　4係係長の倉田工(杉本哲太)は室長の長嶋秀夫(北大路欣也)から、前日に山中から白骨化した人骨が発見された事件の資料を渡される。人骨は10年前に起きた「東都銀行3億円事件」の容疑者の1人であることから4係が捜査することになったのだ。  　3億円横領事件の容疑者は、当時銀行に勤務していた大貫清美(宮下ともみ)、飯島友江(松岡恵望子)、迫田麻衣(小松彩夏)の3人で、いずれも事件直後から行方不明になっていた。白骨死体は迫田麻衣のもので、死後10年が経っていた。さらに遺留品のメモに書かれた14桁の数字が明らかになった。  　深沢ユウキ(丸山智己)は、数字が銀行の口座番号であることを調べると、泉と共に口座の持ち主で麻衣の恋人だった宮本弘史(徳秀樹)を訪ねる。  　同じころ、4係では白石晋太郎(中原丈雄)が倉田に、インターネットの裏サイトで発見した、逃げまどう女性が拳銃で撃たれる映像を見せていた。その女性は10年前の横領事件の主犯とされていた大貫清美とわかる。塚本圭吾(宮迫博之)と高峰涼子(山口紗弥加)は、横領事件当時に支店長だった木村行信(渡辺憲吉)を訪ねていた。高峰は事件との関係を否定する木村のある行動に目をとめる。  　次々と新しい事実が発覚する中、泉は事件当時に清美が話していた言葉が気にかかり…。</v>
      </c>
      <c r="N1624" s="2"/>
      <c r="O1624" s="2"/>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row>
    <row r="1625" ht="204.75" customHeight="1">
      <c r="A1625" s="1">
        <v>4776.0</v>
      </c>
      <c r="B1625" s="2" t="s">
        <v>5191</v>
      </c>
      <c r="C1625" s="2">
        <f>IFERROR(__xludf.DUMMYFUNCTION("split(B1625,""_"")"),1004.0)</f>
        <v>1004</v>
      </c>
      <c r="D1625" s="2" t="str">
        <f>IFERROR(__xludf.DUMMYFUNCTION("""COMPUTED_VALUE"""),"CX")</f>
        <v>CX</v>
      </c>
      <c r="E1625" s="2" t="str">
        <f>IFERROR(__xludf.DUMMYFUNCTION("""COMPUTED_VALUE"""),"火21")</f>
        <v>火21</v>
      </c>
      <c r="F1625" s="2" t="s">
        <v>443</v>
      </c>
      <c r="G1625" s="2" t="s">
        <v>5195</v>
      </c>
      <c r="H1625" s="1">
        <v>2.0</v>
      </c>
      <c r="I1625" s="1" t="s">
        <v>7</v>
      </c>
      <c r="J1625" s="1" t="s">
        <v>11</v>
      </c>
      <c r="K1625" s="2" t="s">
        <v>5196</v>
      </c>
      <c r="L1625" s="2" t="s">
        <v>5197</v>
      </c>
      <c r="M1625" s="2" t="str">
        <f>IFERROR(__xludf.DUMMYFUNCTION("split(split(K1625,""上戸彩　"",false),""公式LINE"",false)"),"桜木泉(上戸彩)に、1995年4月に起きた富士見医大の研修医だった日向葵(原田佳奈)が殺害された事件の資料を持ってくるようにと伝言が入る。当時発見されなかった凶器のナイフが発見されたため、4係に再捜査依頼がきたのだ。この事件は時効まであと1週間になっていた。科捜研での検査の結果、ナイフには犯人の血が包まれていた英字新聞には花粉が付着していたことがわかった。富士見医大に向かった倉田工(杉本哲太)と塚本圭吾(宮迫博之)は、葵の治療にあたった医師・桐山義之(大高洋夫)を訪ね、病院内の捜査を申し出るが拒否される。"&amp;"泉と白石晋太郎(中原丈雄)は、当時は容疑者として疑われたものの証拠不十分で釈放された恋人で第一発見者である野宮冬樹(ムロツヨシ)を訪ねた。白石の質問に微かに動揺する冬樹だが、妻であり富士見医大で看護師長をしている千秋(高久ちぐさ)が出てきて話が中断する。そこで、白石はあることに気付く。深沢ユウキ(丸山智己)と高峰涼子(山口紗弥加)は、事件発生直前に葵と冬樹が口論していたことを証言した、医師の東海林光輝(中村靖日)を訪ねた。東海林は、葵を恨んでる人間はたくさんいたはずだと証言。後日、4係に呼び出された千秋が"&amp;"、葵と当時の看護師長だった立花志保(阿南敦子)が1人の患者のことで言い合いになっていたことを証言する。夜、1人残り捜査資料を前に頭を抱えていた泉。すると電話が鳴り…。")</f>
        <v>桜木泉(上戸彩)に、1995年4月に起きた富士見医大の研修医だった日向葵(原田佳奈)が殺害された事件の資料を持ってくるようにと伝言が入る。当時発見されなかった凶器のナイフが発見されたため、4係に再捜査依頼がきたのだ。この事件は時効まであと1週間になっていた。科捜研での検査の結果、ナイフには犯人の血が包まれていた英字新聞には花粉が付着していたことがわかった。富士見医大に向かった倉田工(杉本哲太)と塚本圭吾(宮迫博之)は、葵の治療にあたった医師・桐山義之(大高洋夫)を訪ね、病院内の捜査を申し出るが拒否される。泉と白石晋太郎(中原丈雄)は、当時は容疑者として疑われたものの証拠不十分で釈放された恋人で第一発見者である野宮冬樹(ムロツヨシ)を訪ねた。白石の質問に微かに動揺する冬樹だが、妻であり富士見医大で看護師長をしている千秋(高久ちぐさ)が出てきて話が中断する。そこで、白石はあることに気付く。深沢ユウキ(丸山智己)と高峰涼子(山口紗弥加)は、事件発生直前に葵と冬樹が口論していたことを証言した、医師の東海林光輝(中村靖日)を訪ねた。東海林は、葵を恨んでる人間はたくさんいたはずだと証言。後日、4係に呼び出された千秋が、葵と当時の看護師長だった立花志保(阿南敦子)が1人の患者のことで言い合いになっていたことを証言する。夜、1人残り捜査資料を前に頭を抱えていた泉。すると電話が鳴り…。</v>
      </c>
      <c r="N1625" s="2"/>
      <c r="O1625" s="2"/>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row>
    <row r="1626" ht="204.75" customHeight="1">
      <c r="A1626" s="1">
        <v>4777.0</v>
      </c>
      <c r="B1626" s="2" t="s">
        <v>5191</v>
      </c>
      <c r="C1626" s="2">
        <f>IFERROR(__xludf.DUMMYFUNCTION("split(B1626,""_"")"),1004.0)</f>
        <v>1004</v>
      </c>
      <c r="D1626" s="2" t="str">
        <f>IFERROR(__xludf.DUMMYFUNCTION("""COMPUTED_VALUE"""),"CX")</f>
        <v>CX</v>
      </c>
      <c r="E1626" s="2" t="str">
        <f>IFERROR(__xludf.DUMMYFUNCTION("""COMPUTED_VALUE"""),"火21")</f>
        <v>火21</v>
      </c>
      <c r="F1626" s="2" t="s">
        <v>443</v>
      </c>
      <c r="G1626" s="2" t="s">
        <v>5198</v>
      </c>
      <c r="H1626" s="1">
        <v>3.0</v>
      </c>
      <c r="I1626" s="1" t="s">
        <v>10</v>
      </c>
      <c r="J1626" s="1" t="s">
        <v>11</v>
      </c>
      <c r="K1626" s="2" t="s">
        <v>5199</v>
      </c>
      <c r="L1626" s="2" t="s">
        <v>5200</v>
      </c>
      <c r="M1626" s="2" t="str">
        <f>IFERROR(__xludf.DUMMYFUNCTION("split(split(K1626,""上戸彩　"",false),""公式LINE"",false)"),"桜木泉(上戸彩)ら4係が、8年前に起きた連続殺人事件の再捜査に着手することになった。前日に蒲田の河川敷で女性の遺体が発見され、深沢ユウキ(丸山智己)がその事件と8年前の事件が似ていることに気付いたためだ。  　2002年、1カ月の間に4人の若い女性が立て続けに殺害される事件が起きた。遺体にはすべてナイフでGODという文字が記され、髪が切り落とされていたことから“神の処刑事件""と言われ世間を震撼させたが、4人目の殺害を最後に犯行はピタリと止まっていた。  　今回の事件と神の処刑事件は類似点もあるが、相違点"&amp;"も多く、同一犯である確証が得られないまま捜査がスタートする。河川敷の遺体発見現場に向かった高峰涼子(山口紗弥加)と深沢だが、殺人犯係の捜査員に疎まれ、捜査状況の情報を教えてもらえない。同じ頃、8年前の被害者の1人・田口成美(大矢敦子)の父親・健史(遠藤たつお)を訪ねていた塚本圭吾(宮迫博之)と泉は、事件を引きずり、家庭が崩壊した健史の現状を目の当たりにして胸を痛める。  　夜、泉が科捜研を訪ねると、深沢もやってくる。今回の事件と“神の処刑事件""の関連に妙にこだわる深沢を興味津々にみつめる大森紗英(北川弘"&amp;"美)。そんな中、竹林匠(木村了)が証拠品から、当時は発見されていなかったあるものを見つける…。")</f>
        <v>桜木泉(上戸彩)ら4係が、8年前に起きた連続殺人事件の再捜査に着手することになった。前日に蒲田の河川敷で女性の遺体が発見され、深沢ユウキ(丸山智己)がその事件と8年前の事件が似ていることに気付いたためだ。  　2002年、1カ月の間に4人の若い女性が立て続けに殺害される事件が起きた。遺体にはすべてナイフでGODという文字が記され、髪が切り落とされていたことから“神の処刑事件"と言われ世間を震撼させたが、4人目の殺害を最後に犯行はピタリと止まっていた。  　今回の事件と神の処刑事件は類似点もあるが、相違点も多く、同一犯である確証が得られないまま捜査がスタートする。河川敷の遺体発見現場に向かった高峰涼子(山口紗弥加)と深沢だが、殺人犯係の捜査員に疎まれ、捜査状況の情報を教えてもらえない。同じ頃、8年前の被害者の1人・田口成美(大矢敦子)の父親・健史(遠藤たつお)を訪ねていた塚本圭吾(宮迫博之)と泉は、事件を引きずり、家庭が崩壊した健史の現状を目の当たりにして胸を痛める。  　夜、泉が科捜研を訪ねると、深沢もやってくる。今回の事件と“神の処刑事件"の関連に妙にこだわる深沢を興味津々にみつめる大森紗英(北川弘美)。そんな中、竹林匠(木村了)が証拠品から、当時は発見されていなかったあるものを見つける…。</v>
      </c>
      <c r="N1626" s="2"/>
      <c r="O1626" s="2"/>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row>
    <row r="1627" ht="204.75" customHeight="1">
      <c r="A1627" s="1">
        <v>4778.0</v>
      </c>
      <c r="B1627" s="2" t="s">
        <v>5191</v>
      </c>
      <c r="C1627" s="2">
        <f>IFERROR(__xludf.DUMMYFUNCTION("split(B1627,""_"")"),1004.0)</f>
        <v>1004</v>
      </c>
      <c r="D1627" s="2" t="str">
        <f>IFERROR(__xludf.DUMMYFUNCTION("""COMPUTED_VALUE"""),"CX")</f>
        <v>CX</v>
      </c>
      <c r="E1627" s="2" t="str">
        <f>IFERROR(__xludf.DUMMYFUNCTION("""COMPUTED_VALUE"""),"火21")</f>
        <v>火21</v>
      </c>
      <c r="F1627" s="2" t="s">
        <v>443</v>
      </c>
      <c r="G1627" s="2" t="s">
        <v>5201</v>
      </c>
      <c r="H1627" s="1">
        <v>4.0</v>
      </c>
      <c r="I1627" s="1" t="s">
        <v>14</v>
      </c>
      <c r="J1627" s="1" t="s">
        <v>11</v>
      </c>
      <c r="K1627" s="2" t="s">
        <v>5202</v>
      </c>
      <c r="L1627" s="2" t="s">
        <v>5203</v>
      </c>
      <c r="M1627" s="2" t="str">
        <f>IFERROR(__xludf.DUMMYFUNCTION("split(split(K1627,""上戸彩　"",false),""公式LINE"",false)"),"4係に送付主不明の木箱が届いた。その木箱を桜木泉(上戸彩)が開けると、中に人骨の一部が入っていた!  　検査の結果、人骨は11年前に捜索願が出されていた中学校教師で天文学部の顧問をしていた朝倉聡(中野英樹)で、死亡時期が同時期であること、骨に土が附着していたことから土に埋められていたことがわかった。4係は最後に朝倉を目撃した天文学部の生徒だった4人を訪ねるが、水木丈太郎(金井勇太)、風間進(北条隆博)、四之宮真紀(篠原真衣)は朝倉の死にも、かつての仲間にも興味を示さない。一方、泉と倉田工(杉本哲太)が訪ね"&amp;"た火浦忠広(遠藤雄弥)は、マンションから転落した直後だった。意識不明の火浦だが、指紋から木箱の送り主であることがわかった。火浦の自宅から押収された証拠品には天文部への思い入れの深さがうかがえる、写真や日誌のコピーなどが出てくるが、改めて取り調べを受けるために警察に来た水木と風間はろくに会話もしない。泉は2人の様子に寂しさを感じつつ、天文部の日誌をチェックする。  　そんな中、朝倉が埋められていた穴が発見された。骨や衣類のほかに、ネックレスがみつかり、高峰涼子(山口紗弥加)は何かに気付き押収品を調べ始める。"&amp;"一方、火浦のパソコンを調べていた竹林匠(木村了)が発見した、火浦のブログに残された意味深なメッセージをヒントに、泉と白石晋太郎(中原丈雄)はある場所へ向かう。")</f>
        <v>4係に送付主不明の木箱が届いた。その木箱を桜木泉(上戸彩)が開けると、中に人骨の一部が入っていた!  　検査の結果、人骨は11年前に捜索願が出されていた中学校教師で天文学部の顧問をしていた朝倉聡(中野英樹)で、死亡時期が同時期であること、骨に土が附着していたことから土に埋められていたことがわかった。4係は最後に朝倉を目撃した天文学部の生徒だった4人を訪ねるが、水木丈太郎(金井勇太)、風間進(北条隆博)、四之宮真紀(篠原真衣)は朝倉の死にも、かつての仲間にも興味を示さない。一方、泉と倉田工(杉本哲太)が訪ねた火浦忠広(遠藤雄弥)は、マンションから転落した直後だった。意識不明の火浦だが、指紋から木箱の送り主であることがわかった。火浦の自宅から押収された証拠品には天文部への思い入れの深さがうかがえる、写真や日誌のコピーなどが出てくるが、改めて取り調べを受けるために警察に来た水木と風間はろくに会話もしない。泉は2人の様子に寂しさを感じつつ、天文部の日誌をチェックする。  　そんな中、朝倉が埋められていた穴が発見された。骨や衣類のほかに、ネックレスがみつかり、高峰涼子(山口紗弥加)は何かに気付き押収品を調べ始める。一方、火浦のパソコンを調べていた竹林匠(木村了)が発見した、火浦のブログに残された意味深なメッセージをヒントに、泉と白石晋太郎(中原丈雄)はある場所へ向かう。</v>
      </c>
      <c r="N1627" s="2"/>
      <c r="O1627" s="2"/>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row>
    <row r="1628" ht="204.75" customHeight="1">
      <c r="A1628" s="1">
        <v>4779.0</v>
      </c>
      <c r="B1628" s="2" t="s">
        <v>5191</v>
      </c>
      <c r="C1628" s="2">
        <f>IFERROR(__xludf.DUMMYFUNCTION("split(B1628,""_"")"),1004.0)</f>
        <v>1004</v>
      </c>
      <c r="D1628" s="2" t="str">
        <f>IFERROR(__xludf.DUMMYFUNCTION("""COMPUTED_VALUE"""),"CX")</f>
        <v>CX</v>
      </c>
      <c r="E1628" s="2" t="str">
        <f>IFERROR(__xludf.DUMMYFUNCTION("""COMPUTED_VALUE"""),"火21")</f>
        <v>火21</v>
      </c>
      <c r="F1628" s="2" t="s">
        <v>443</v>
      </c>
      <c r="G1628" s="2" t="s">
        <v>5204</v>
      </c>
      <c r="H1628" s="1">
        <v>5.0</v>
      </c>
      <c r="I1628" s="1" t="s">
        <v>17</v>
      </c>
      <c r="J1628" s="1" t="s">
        <v>11</v>
      </c>
      <c r="K1628" s="2" t="s">
        <v>5205</v>
      </c>
      <c r="L1628" s="2" t="s">
        <v>5206</v>
      </c>
      <c r="M1628" s="2" t="str">
        <f>IFERROR(__xludf.DUMMYFUNCTION("split(split(K1628,""上戸彩　"",false),""公式LINE"",false)"),"所轄時代の桜木泉(上戸彩)の上司、村山武実(モロ師岡)が4係に再捜査の依頼にくる。その事件とは2年前から続く「学校飼育動物連続殺傷事件」。事件が起きた当初は、5年前に起きた「千山こども交流会殺傷事件」との関連性が疑われ、「学校飼育動物連続殺傷事件」は、その3年後の同じ日にち、同じ地区で発生。果たしてこれは模倣犯なのか?  　初めて事件の担当を任されることになった泉は張り切って捜査を始めるが、物証が少なく捜査は難航する。  　事件が起きた小学校への聞き込みを終えた塚本(宮迫博之)と泉は、「千山こども交流会殺"&amp;"傷事件」の現場に行く。塚本は機動捜査隊にいた頃、その事件の初動捜査に携わっており、現場の有様を目の当たりにしたことを泉に告げた。慰霊碑に花を手向け、4係に帰ろうとする泉と塚本の前に「宮田ユキ」と名乗る制服姿の少女(福田麻由子)が近づき、「もう1回ちゃんと(事件を)調べて」と訴える。　一方、泉は村山から現場周辺の子供達の間で「赤い髪飾りの女」という噂があるという情報を得る。動物殺傷事件が起きる前に必ず赤い髪飾りをつけた少女が目撃されるというものだった。果たして少女と事件に関係はあるのか!?")</f>
        <v>所轄時代の桜木泉(上戸彩)の上司、村山武実(モロ師岡)が4係に再捜査の依頼にくる。その事件とは2年前から続く「学校飼育動物連続殺傷事件」。事件が起きた当初は、5年前に起きた「千山こども交流会殺傷事件」との関連性が疑われ、「学校飼育動物連続殺傷事件」は、その3年後の同じ日にち、同じ地区で発生。果たしてこれは模倣犯なのか?  　初めて事件の担当を任されることになった泉は張り切って捜査を始めるが、物証が少なく捜査は難航する。  　事件が起きた小学校への聞き込みを終えた塚本(宮迫博之)と泉は、「千山こども交流会殺傷事件」の現場に行く。塚本は機動捜査隊にいた頃、その事件の初動捜査に携わっており、現場の有様を目の当たりにしたことを泉に告げた。慰霊碑に花を手向け、4係に帰ろうとする泉と塚本の前に「宮田ユキ」と名乗る制服姿の少女(福田麻由子)が近づき、「もう1回ちゃんと(事件を)調べて」と訴える。　一方、泉は村山から現場周辺の子供達の間で「赤い髪飾りの女」という噂があるという情報を得る。動物殺傷事件が起きる前に必ず赤い髪飾りをつけた少女が目撃されるというものだった。果たして少女と事件に関係はあるのか!?</v>
      </c>
      <c r="N1628" s="2"/>
      <c r="O1628" s="2"/>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row>
    <row r="1629" ht="204.75" customHeight="1">
      <c r="A1629" s="1">
        <v>4780.0</v>
      </c>
      <c r="B1629" s="2" t="s">
        <v>5191</v>
      </c>
      <c r="C1629" s="2">
        <f>IFERROR(__xludf.DUMMYFUNCTION("split(B1629,""_"")"),1004.0)</f>
        <v>1004</v>
      </c>
      <c r="D1629" s="2" t="str">
        <f>IFERROR(__xludf.DUMMYFUNCTION("""COMPUTED_VALUE"""),"CX")</f>
        <v>CX</v>
      </c>
      <c r="E1629" s="2" t="str">
        <f>IFERROR(__xludf.DUMMYFUNCTION("""COMPUTED_VALUE"""),"火21")</f>
        <v>火21</v>
      </c>
      <c r="F1629" s="2" t="s">
        <v>443</v>
      </c>
      <c r="G1629" s="2" t="s">
        <v>5207</v>
      </c>
      <c r="H1629" s="1">
        <v>6.0</v>
      </c>
      <c r="I1629" s="1" t="s">
        <v>21</v>
      </c>
      <c r="J1629" s="1" t="s">
        <v>11</v>
      </c>
      <c r="K1629" s="2" t="s">
        <v>5208</v>
      </c>
      <c r="L1629" s="2" t="s">
        <v>5209</v>
      </c>
      <c r="M1629" s="2" t="str">
        <f>IFERROR(__xludf.DUMMYFUNCTION("split(split(K1629,""上戸彩　"",false),""公式LINE"",false)"),"「学校飼育動物連続殺傷事件」の捜査を続ける4係。事件の第一発見者である沢井春菜(福田麻由子)を重要参考人とし、春菜に任意の事情聴取を行うことになった。しかし春菜は深夜になっても家に帰宅していない。春菜を捜しに出かけようとする桜木泉(上戸彩)と塚本圭吾(宮迫博之)のもとに、科捜研から次に動物殺傷事件が起こることが予想される場所が分かったという連絡が入る。泉と塚本が現場へ到着すると、そこには春菜がいた。塚本は逃げる春菜を捕まえようと腕を掴んだ際に、春菜から腕をナイフで切りつけられ負傷してしまう。  　一方、春"&amp;"菜の家を取り調べに行った高峰涼子(山口紗弥加)と深沢ユウキ(丸山智己)は、春菜のパソコンから動物虐待の裏サイトへアクセスした履歴を見つける。春菜と事件の関与がますます疑わしいものになり、春菜の捜索が強化された。そして、同日の深夜、ネットカフェにいる春菜が発見され、春菜の事情聴取をすることになった泉。春菜は「動物を殺したら、死刑になる?」と泉に質問をし・・・。")</f>
        <v>「学校飼育動物連続殺傷事件」の捜査を続ける4係。事件の第一発見者である沢井春菜(福田麻由子)を重要参考人とし、春菜に任意の事情聴取を行うことになった。しかし春菜は深夜になっても家に帰宅していない。春菜を捜しに出かけようとする桜木泉(上戸彩)と塚本圭吾(宮迫博之)のもとに、科捜研から次に動物殺傷事件が起こることが予想される場所が分かったという連絡が入る。泉と塚本が現場へ到着すると、そこには春菜がいた。塚本は逃げる春菜を捕まえようと腕を掴んだ際に、春菜から腕をナイフで切りつけられ負傷してしまう。  　一方、春菜の家を取り調べに行った高峰涼子(山口紗弥加)と深沢ユウキ(丸山智己)は、春菜のパソコンから動物虐待の裏サイトへアクセスした履歴を見つける。春菜と事件の関与がますます疑わしいものになり、春菜の捜索が強化された。そして、同日の深夜、ネットカフェにいる春菜が発見され、春菜の事情聴取をすることになった泉。春菜は「動物を殺したら、死刑になる?」と泉に質問をし・・・。</v>
      </c>
      <c r="N1629" s="2"/>
      <c r="O1629" s="2"/>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row>
    <row r="1630" ht="204.75" customHeight="1">
      <c r="A1630" s="1">
        <v>4781.0</v>
      </c>
      <c r="B1630" s="2" t="s">
        <v>5191</v>
      </c>
      <c r="C1630" s="2">
        <f>IFERROR(__xludf.DUMMYFUNCTION("split(B1630,""_"")"),1004.0)</f>
        <v>1004</v>
      </c>
      <c r="D1630" s="2" t="str">
        <f>IFERROR(__xludf.DUMMYFUNCTION("""COMPUTED_VALUE"""),"CX")</f>
        <v>CX</v>
      </c>
      <c r="E1630" s="2" t="str">
        <f>IFERROR(__xludf.DUMMYFUNCTION("""COMPUTED_VALUE"""),"火21")</f>
        <v>火21</v>
      </c>
      <c r="F1630" s="2" t="s">
        <v>443</v>
      </c>
      <c r="G1630" s="2" t="s">
        <v>5210</v>
      </c>
      <c r="H1630" s="1">
        <v>7.0</v>
      </c>
      <c r="I1630" s="1" t="s">
        <v>25</v>
      </c>
      <c r="J1630" s="1" t="s">
        <v>11</v>
      </c>
      <c r="K1630" s="2" t="s">
        <v>5211</v>
      </c>
      <c r="L1630" s="2" t="s">
        <v>5212</v>
      </c>
      <c r="M1630" s="2" t="str">
        <f>IFERROR(__xludf.DUMMYFUNCTION("split(split(K1630,""上戸彩　"",false),""公式LINE"",false)"),"4年前に起きた「六本木IT社長殺害事件」の再捜査を行うことになった4係。その事件とはIT時代の寵児と呼ばれた会社社長・桝山一弘(松尾敏伸)がオフィスで何者かに胸を刺され殺害されたというもの。強引な買収で桝山に対し怨恨の動機を持った容疑者は多くいたが当時は有力な手がかりが少なく、犯行に結びつける物証を見つけることができず未解決事件となっていた。　そして4年後の今、被害者の秘書だった吉岡知加子(神農幸)の情報により、当時被害者の会社で警備をしていた木戸聡史(野中隆光)に新しく容疑がかかった。倉田工(杉本哲太)"&amp;"の根強い取り調べにより、木戸はついに「俺がやったんだよ!」と自白をし、逮捕された。しかし裁判で木戸は一変し、殺人を否定。弁護人の黒崎勝彦(小須田康人)は、木戸の自白は倉田の不当な取り調べにより強要されたものだと訴える。　翌日、検察から倉田を捜査から外すよう一課長のもとにクレームが入った。しかし長嶋秀夫(北大路欣也)の計らいにより、倉田の指揮のもと再々捜査を行うことになった4係。4係のメンバーはより一層気を引き締め、次の公判までに新たな証拠を見つけ出すべく捜査を再び開始したのだが・・・。")</f>
        <v>4年前に起きた「六本木IT社長殺害事件」の再捜査を行うことになった4係。その事件とはIT時代の寵児と呼ばれた会社社長・桝山一弘(松尾敏伸)がオフィスで何者かに胸を刺され殺害されたというもの。強引な買収で桝山に対し怨恨の動機を持った容疑者は多くいたが当時は有力な手がかりが少なく、犯行に結びつける物証を見つけることができず未解決事件となっていた。　そして4年後の今、被害者の秘書だった吉岡知加子(神農幸)の情報により、当時被害者の会社で警備をしていた木戸聡史(野中隆光)に新しく容疑がかかった。倉田工(杉本哲太)の根強い取り調べにより、木戸はついに「俺がやったんだよ!」と自白をし、逮捕された。しかし裁判で木戸は一変し、殺人を否定。弁護人の黒崎勝彦(小須田康人)は、木戸の自白は倉田の不当な取り調べにより強要されたものだと訴える。　翌日、検察から倉田を捜査から外すよう一課長のもとにクレームが入った。しかし長嶋秀夫(北大路欣也)の計らいにより、倉田の指揮のもと再々捜査を行うことになった4係。4係のメンバーはより一層気を引き締め、次の公判までに新たな証拠を見つけ出すべく捜査を再び開始したのだが・・・。</v>
      </c>
      <c r="N1630" s="2"/>
      <c r="O1630" s="2"/>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row>
    <row r="1631" ht="204.75" customHeight="1">
      <c r="A1631" s="1">
        <v>4782.0</v>
      </c>
      <c r="B1631" s="2" t="s">
        <v>5191</v>
      </c>
      <c r="C1631" s="2">
        <f>IFERROR(__xludf.DUMMYFUNCTION("split(B1631,""_"")"),1004.0)</f>
        <v>1004</v>
      </c>
      <c r="D1631" s="2" t="str">
        <f>IFERROR(__xludf.DUMMYFUNCTION("""COMPUTED_VALUE"""),"CX")</f>
        <v>CX</v>
      </c>
      <c r="E1631" s="2" t="str">
        <f>IFERROR(__xludf.DUMMYFUNCTION("""COMPUTED_VALUE"""),"火21")</f>
        <v>火21</v>
      </c>
      <c r="F1631" s="2" t="s">
        <v>443</v>
      </c>
      <c r="G1631" s="2" t="s">
        <v>5213</v>
      </c>
      <c r="H1631" s="1">
        <v>8.0</v>
      </c>
      <c r="I1631" s="1" t="s">
        <v>29</v>
      </c>
      <c r="J1631" s="1" t="s">
        <v>11</v>
      </c>
      <c r="K1631" s="2" t="s">
        <v>5214</v>
      </c>
      <c r="L1631" s="2" t="s">
        <v>5215</v>
      </c>
      <c r="M1631" s="2" t="str">
        <f>IFERROR(__xludf.DUMMYFUNCTION("split(split(K1631,""上戸彩　"",false),""公式LINE"",false)"),"証拠品管理センターで、桜木泉(上戸彩)は室長の長嶋秀夫(北大路欣也)から出された課題に今日もまた取り組んでいた。そこへ、長嶋から再捜査の連絡が入る。その事件とは2004年に起きた「杉並事件」。  　「杉並事件」とは、下校途中の女子高生・本谷翔子(志保)が誘拐され殺害された事件。犯人からの要求は「制限時間は72時間、その間に身代金5000万円の受け渡しが出来なければ、人質に制裁が下る」というもの。被害者の女子高生が議員である本谷拓郎(中根徹)の娘だったということもあり、当時はマスコミにも注目された。長嶋がか"&amp;"つて所轄の刑事課長だった頃に指揮を執った事件で、高峰涼子(山口紗弥加)もプロファイリングチームの一員として捜査に参加していた。「杉並事件」は長嶋と高峰にとって忘れられない痛みを抱えた事件であった。  　そして6年後の今、犯人と名乗る男・小栗太一(滝藤賢一)が現れ再捜査をする運びとなったのである。小栗は杉並事件で使用された精密機械の設計図を持っており、犯行声明文の筆跡も小栗と一致したことから犯行に関わっていた可能性は高いと判断された。しかし、電話の声だけは小栗と一致しなかった。小栗は果たして真犯人なのか!?"&amp;"小栗には共犯者がいたのか!?4係が再捜査に乗り出す!")</f>
        <v>証拠品管理センターで、桜木泉(上戸彩)は室長の長嶋秀夫(北大路欣也)から出された課題に今日もまた取り組んでいた。そこへ、長嶋から再捜査の連絡が入る。その事件とは2004年に起きた「杉並事件」。  　「杉並事件」とは、下校途中の女子高生・本谷翔子(志保)が誘拐され殺害された事件。犯人からの要求は「制限時間は72時間、その間に身代金5000万円の受け渡しが出来なければ、人質に制裁が下る」というもの。被害者の女子高生が議員である本谷拓郎(中根徹)の娘だったということもあり、当時はマスコミにも注目された。長嶋がかつて所轄の刑事課長だった頃に指揮を執った事件で、高峰涼子(山口紗弥加)もプロファイリングチームの一員として捜査に参加していた。「杉並事件」は長嶋と高峰にとって忘れられない痛みを抱えた事件であった。  　そして6年後の今、犯人と名乗る男・小栗太一(滝藤賢一)が現れ再捜査をする運びとなったのである。小栗は杉並事件で使用された精密機械の設計図を持っており、犯行声明文の筆跡も小栗と一致したことから犯行に関わっていた可能性は高いと判断された。しかし、電話の声だけは小栗と一致しなかった。小栗は果たして真犯人なのか!?小栗には共犯者がいたのか!?4係が再捜査に乗り出す!</v>
      </c>
      <c r="N1631" s="2"/>
      <c r="O1631" s="2"/>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row>
    <row r="1632" ht="204.75" customHeight="1">
      <c r="A1632" s="1">
        <v>4783.0</v>
      </c>
      <c r="B1632" s="2" t="s">
        <v>5191</v>
      </c>
      <c r="C1632" s="2">
        <f>IFERROR(__xludf.DUMMYFUNCTION("split(B1632,""_"")"),1004.0)</f>
        <v>1004</v>
      </c>
      <c r="D1632" s="2" t="str">
        <f>IFERROR(__xludf.DUMMYFUNCTION("""COMPUTED_VALUE"""),"CX")</f>
        <v>CX</v>
      </c>
      <c r="E1632" s="2" t="str">
        <f>IFERROR(__xludf.DUMMYFUNCTION("""COMPUTED_VALUE"""),"火21")</f>
        <v>火21</v>
      </c>
      <c r="F1632" s="2" t="s">
        <v>443</v>
      </c>
      <c r="G1632" s="2" t="s">
        <v>5216</v>
      </c>
      <c r="H1632" s="1">
        <v>9.0</v>
      </c>
      <c r="I1632" s="1" t="s">
        <v>33</v>
      </c>
      <c r="J1632" s="1" t="s">
        <v>11</v>
      </c>
      <c r="K1632" s="2" t="s">
        <v>5217</v>
      </c>
      <c r="L1632" s="2" t="s">
        <v>5218</v>
      </c>
      <c r="M1632" s="2" t="str">
        <f>IFERROR(__xludf.DUMMYFUNCTION("split(split(K1632,""上戸彩　"",false),""公式LINE"",false)"),"「杉並事件」の容疑者・小栗太一(滝藤賢一)の死亡により、警視庁本部は事件の捜査終了を決定した。しかし、事件の真相は解明されておらず共犯者がいる可能性が高いのにも関わらず捜査打ち切りになったことに4係はいら立っていた。  　長嶋秀夫(北大路欣也)に捜査を止められていた桜木泉(上戸彩)であったが、「杉並事件」の被害者・本谷翔子(志保)の携帯電話の待ち受け画面を手がかりに、ある公園にたどり着く。そこで、不審な男(飯田基祐)と遭遇した。泉はその男と「杉並事件」との関連を疑い長嶋に電話をするのだが、途中で電話が切れ"&amp;"てしまう。その後、何度泉の電話にかけ直しても繋がらない。不審に思った長嶋は、4係のメンバーとともに泉の捜索を開始する。  　泉の行方を追っていると、4係に「桜木巡査部長は預かった」という男からの電話が入った。その男は、自分を「杉並事件」の犯人だと名乗り、泉を釈放する代わりに翌日の警視庁の定例会見で杉並事件捜査終了の撤回を公表することを要求してきた。  　科捜研で調べた結果、電話の声が小栗の共犯者だと思われる男の声紋と一致し、ますます泉の身の危険が心配された。そして、4係は定例会見の前までに何としてでも泉を"&amp;"見つけ出そうと動く。  　「杉並事件」の犯人とは!?そして4係のメンバーは、泉を無事に見つけ出すことができるのか!?")</f>
        <v>「杉並事件」の容疑者・小栗太一(滝藤賢一)の死亡により、警視庁本部は事件の捜査終了を決定した。しかし、事件の真相は解明されておらず共犯者がいる可能性が高いのにも関わらず捜査打ち切りになったことに4係はいら立っていた。  　長嶋秀夫(北大路欣也)に捜査を止められていた桜木泉(上戸彩)であったが、「杉並事件」の被害者・本谷翔子(志保)の携帯電話の待ち受け画面を手がかりに、ある公園にたどり着く。そこで、不審な男(飯田基祐)と遭遇した。泉はその男と「杉並事件」との関連を疑い長嶋に電話をするのだが、途中で電話が切れてしまう。その後、何度泉の電話にかけ直しても繋がらない。不審に思った長嶋は、4係のメンバーとともに泉の捜索を開始する。  　泉の行方を追っていると、4係に「桜木巡査部長は預かった」という男からの電話が入った。その男は、自分を「杉並事件」の犯人だと名乗り、泉を釈放する代わりに翌日の警視庁の定例会見で杉並事件捜査終了の撤回を公表することを要求してきた。  　科捜研で調べた結果、電話の声が小栗の共犯者だと思われる男の声紋と一致し、ますます泉の身の危険が心配された。そして、4係は定例会見の前までに何としてでも泉を見つけ出そうと動く。  　「杉並事件」の犯人とは!?そして4係のメンバーは、泉を無事に見つけ出すことができるのか!?</v>
      </c>
      <c r="N1632" s="2"/>
      <c r="O1632" s="2"/>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row>
    <row r="1633" ht="204.75" customHeight="1">
      <c r="A1633" s="1">
        <v>4784.0</v>
      </c>
      <c r="B1633" s="2" t="s">
        <v>5191</v>
      </c>
      <c r="C1633" s="2">
        <f>IFERROR(__xludf.DUMMYFUNCTION("split(B1633,""_"")"),1004.0)</f>
        <v>1004</v>
      </c>
      <c r="D1633" s="2" t="str">
        <f>IFERROR(__xludf.DUMMYFUNCTION("""COMPUTED_VALUE"""),"CX")</f>
        <v>CX</v>
      </c>
      <c r="E1633" s="2" t="str">
        <f>IFERROR(__xludf.DUMMYFUNCTION("""COMPUTED_VALUE"""),"火21")</f>
        <v>火21</v>
      </c>
      <c r="F1633" s="2" t="s">
        <v>443</v>
      </c>
      <c r="G1633" s="2" t="s">
        <v>5219</v>
      </c>
      <c r="H1633" s="1">
        <v>10.0</v>
      </c>
      <c r="I1633" s="1" t="s">
        <v>37</v>
      </c>
      <c r="J1633" s="1" t="s">
        <v>11</v>
      </c>
      <c r="K1633" s="2" t="s">
        <v>5220</v>
      </c>
      <c r="L1633" s="2" t="s">
        <v>5221</v>
      </c>
      <c r="M1633" s="2" t="str">
        <f>IFERROR(__xludf.DUMMYFUNCTION("split(split(K1633,""上戸彩　"",false),""公式LINE"",false)"),"桜木泉(上戸彩)は、26歳の誕生日も仕事に追われ、4係のデスクで朝を迎えていた。そこに倉田工(杉本哲太)が現れ、1年前に起きた「東京理工大学講師殺人事件」の再捜査が決まったことを伝えた。  　2009年、東京理工大学の講師・浅井政文(斎藤歩)が殺害された。助教であった三枝英之(二階堂智)と大学院生が、浅井の遺体の傍にいる血だらけの広田拓真(若葉竜也)を発見。慌てて逃げる広田は階段から足を踏み外して転落し、死亡してしまう。事件前夜に広田は働いていたバーで客の浅井と揉めており、動機は怨恨だとされていた。また現"&amp;"場から凶器が発見されなかった他は、状況証拠から見ても犯人は広田だとされ、被疑者死亡で書類送検された事件であった。  　しかし2010年6月、多摩川の河川敷で浅井の血痕がついた凶器が発見された。共犯者もしくは広田ではない別の真犯人がいる可能性が出てきたため再捜査が決定したのである。　倉田の指示のもと、泉と深沢ユウキ(丸山智己)は浅井が所属していた研究室を尋ねる。そこで、泉と深沢は事件の第一発見者である三枝から、浅井が人の秘密を調べ上げてはニヤつくような悪趣味があったことを聞く。三枝の聞き込みをしていると、教"&amp;"授の園田道雄(浅野和之)と助教の樋口瑶子(ともさかりえ)が研究室に入ってきた。深沢は三枝に聞き込みを続け、一方泉は樋口に浅井について聞くことになり・・・。")</f>
        <v>桜木泉(上戸彩)は、26歳の誕生日も仕事に追われ、4係のデスクで朝を迎えていた。そこに倉田工(杉本哲太)が現れ、1年前に起きた「東京理工大学講師殺人事件」の再捜査が決まったことを伝えた。  　2009年、東京理工大学の講師・浅井政文(斎藤歩)が殺害された。助教であった三枝英之(二階堂智)と大学院生が、浅井の遺体の傍にいる血だらけの広田拓真(若葉竜也)を発見。慌てて逃げる広田は階段から足を踏み外して転落し、死亡してしまう。事件前夜に広田は働いていたバーで客の浅井と揉めており、動機は怨恨だとされていた。また現場から凶器が発見されなかった他は、状況証拠から見ても犯人は広田だとされ、被疑者死亡で書類送検された事件であった。  　しかし2010年6月、多摩川の河川敷で浅井の血痕がついた凶器が発見された。共犯者もしくは広田ではない別の真犯人がいる可能性が出てきたため再捜査が決定したのである。　倉田の指示のもと、泉と深沢ユウキ(丸山智己)は浅井が所属していた研究室を尋ねる。そこで、泉と深沢は事件の第一発見者である三枝から、浅井が人の秘密を調べ上げてはニヤつくような悪趣味があったことを聞く。三枝の聞き込みをしていると、教授の園田道雄(浅野和之)と助教の樋口瑶子(ともさかりえ)が研究室に入ってきた。深沢は三枝に聞き込みを続け、一方泉は樋口に浅井について聞くことになり・・・。</v>
      </c>
      <c r="N1633" s="2"/>
      <c r="O1633" s="2"/>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row>
    <row r="1634" ht="204.75" customHeight="1">
      <c r="A1634" s="1">
        <v>4785.0</v>
      </c>
      <c r="B1634" s="2" t="s">
        <v>5191</v>
      </c>
      <c r="C1634" s="2">
        <f>IFERROR(__xludf.DUMMYFUNCTION("split(B1634,""_"")"),1004.0)</f>
        <v>1004</v>
      </c>
      <c r="D1634" s="2" t="str">
        <f>IFERROR(__xludf.DUMMYFUNCTION("""COMPUTED_VALUE"""),"CX")</f>
        <v>CX</v>
      </c>
      <c r="E1634" s="2" t="str">
        <f>IFERROR(__xludf.DUMMYFUNCTION("""COMPUTED_VALUE"""),"火21")</f>
        <v>火21</v>
      </c>
      <c r="F1634" s="2" t="s">
        <v>443</v>
      </c>
      <c r="G1634" s="2" t="s">
        <v>5222</v>
      </c>
      <c r="H1634" s="1">
        <v>11.0</v>
      </c>
      <c r="I1634" s="1" t="s">
        <v>41</v>
      </c>
      <c r="J1634" s="1" t="s">
        <v>4</v>
      </c>
      <c r="K1634" s="2" t="s">
        <v>5223</v>
      </c>
      <c r="L1634" s="2" t="s">
        <v>5224</v>
      </c>
      <c r="M1634" s="2" t="str">
        <f>IFERROR(__xludf.DUMMYFUNCTION("split(split(K1634,""上戸彩　"",false),""公式LINE"",false)"),"桜木泉(上戸彩)が所属する特命捜査対策室第4係は、塚本圭吾(宮迫博之)が殺人犯係に異動が決まった話で盛り上がっていた。そこへ長嶋秀夫(北大路欣也)が現れ12年前の「巡査部長射殺事件」の凶器である拳銃が発見され、再捜査をすることになったと4係の面々に伝える。  　12年前、巡査部長の百瀬邦弘(黄川田将也)は、殺人容疑で指名手配中の橋本幸夫(青木伸輔)に射殺された。さらに、橋本は百瀬の遺体を焼き、現場から逃走。未だ逃走中である。  　当時、事件の担当をしていた中馬武彦(北見敏之)と山口亮二(袴田吉彦)が、4係"&amp;"に現れる。塚本と高峰涼子(山口紗弥加)は、百瀬の受けた弾の数及び弾の受け方から、この事件は初めから仕組まれたもので怨恨によるもの、また共犯者の存在の可能性がある旨を伝えた。  　そして数日後、百瀬の妻・静香(紺野まひる)が息子の望(今井悠貴)を連れ、4係に来る。倉田工(杉本哲太)は、百瀬が殺害されたのは計画的な犯行である可能性が出てきた旨を静香に伝え、百瀬が誰かから恨まれていなかったかを尋ねた。しかし、静香には特に心当たりがなかった。  　一方、高峰は橋本の母・サト(田島令子)が働く小料理屋に、聞き込みに"&amp;"行った。そこで高峰は、橋本が指名手配になる前、山口が何度も橋本のもとを訪ねていたという話をサトから聞く。そして、4係は山口に橋本との関係を事情聴取することになり・・・。")</f>
        <v>桜木泉(上戸彩)が所属する特命捜査対策室第4係は、塚本圭吾(宮迫博之)が殺人犯係に異動が決まった話で盛り上がっていた。そこへ長嶋秀夫(北大路欣也)が現れ12年前の「巡査部長射殺事件」の凶器である拳銃が発見され、再捜査をすることになったと4係の面々に伝える。  　12年前、巡査部長の百瀬邦弘(黄川田将也)は、殺人容疑で指名手配中の橋本幸夫(青木伸輔)に射殺された。さらに、橋本は百瀬の遺体を焼き、現場から逃走。未だ逃走中である。  　当時、事件の担当をしていた中馬武彦(北見敏之)と山口亮二(袴田吉彦)が、4係に現れる。塚本と高峰涼子(山口紗弥加)は、百瀬の受けた弾の数及び弾の受け方から、この事件は初めから仕組まれたもので怨恨によるもの、また共犯者の存在の可能性がある旨を伝えた。  　そして数日後、百瀬の妻・静香(紺野まひる)が息子の望(今井悠貴)を連れ、4係に来る。倉田工(杉本哲太)は、百瀬が殺害されたのは計画的な犯行である可能性が出てきた旨を静香に伝え、百瀬が誰かから恨まれていなかったかを尋ねた。しかし、静香には特に心当たりがなかった。  　一方、高峰は橋本の母・サト(田島令子)が働く小料理屋に、聞き込みに行った。そこで高峰は、橋本が指名手配になる前、山口が何度も橋本のもとを訪ねていたという話をサトから聞く。そして、4係は山口に橋本との関係を事情聴取することになり・・・。</v>
      </c>
      <c r="N1634" s="2"/>
      <c r="O1634" s="2"/>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row>
    <row r="1635" ht="204.75" customHeight="1">
      <c r="A1635" s="1">
        <v>4786.0</v>
      </c>
      <c r="B1635" s="2" t="s">
        <v>5225</v>
      </c>
      <c r="C1635" s="2">
        <f>IFERROR(__xludf.DUMMYFUNCTION("split(B1635,""_"")"),1004.0)</f>
        <v>1004</v>
      </c>
      <c r="D1635" s="2" t="str">
        <f>IFERROR(__xludf.DUMMYFUNCTION("""COMPUTED_VALUE"""),"CX")</f>
        <v>CX</v>
      </c>
      <c r="E1635" s="2" t="str">
        <f>IFERROR(__xludf.DUMMYFUNCTION("""COMPUTED_VALUE"""),"火22")</f>
        <v>火22</v>
      </c>
      <c r="F1635" s="2" t="s">
        <v>5226</v>
      </c>
      <c r="G1635" s="2" t="s">
        <v>5227</v>
      </c>
      <c r="H1635" s="1">
        <v>1.0</v>
      </c>
      <c r="I1635" s="1" t="s">
        <v>3</v>
      </c>
      <c r="J1635" s="1" t="s">
        <v>82</v>
      </c>
      <c r="K1635" s="4" t="s">
        <v>5228</v>
      </c>
      <c r="L1635" s="2" t="s">
        <v>5229</v>
      </c>
      <c r="M1635" s="9" t="str">
        <f>IFERROR(__xludf.DUMMYFUNCTION("split(split(K1635,""伊藤淳史　"",false),""html"",false)"),"http://ktv.jp/general/index.")</f>
        <v>http://ktv.jp/general/index.</v>
      </c>
      <c r="N1635" s="2" t="str">
        <f>IFERROR(__xludf.DUMMYFUNCTION("""COMPUTED_VALUE"""),"あの田口(伊藤淳史)&amp;白鳥(仲村トオル)コンビに天才救命医(西島秀俊)が加わり、再び挑む前代未聞の“救急医療ミステリー""ついに登場!!  累計800万部突破の大ベストセラー「チーム・バチスタの栄光」シリーズ。その中でも、シリーズ最高傑作の呼び声高い「ジェネラル・ルージュの凱旋」。2008年秋放送の「チーム・バチスタの栄光」以上にドラマオリジナルのストーリー&amp;ミステリーを加えます。舞台は、救命救急センター。さまざまな病気を徹底的に究明していく救命医たちの謎解き医療ミステリー。一話完結で展開しつつ、さらに全"&amp;"話を通して“救命医療の現実""を描いていきます。  心療内科医・田口が患者の心と向き合い、白鳥が膨大な知識と情報データで論理分析、そして、速水(西島秀俊)の経験値と判断・実践力とで病因を解明していきます。バチスタシリーズから、さらにパワーアップすることは間違いありません!")</f>
        <v>あの田口(伊藤淳史)&amp;白鳥(仲村トオル)コンビに天才救命医(西島秀俊)が加わり、再び挑む前代未聞の“救急医療ミステリー"ついに登場!!  累計800万部突破の大ベストセラー「チーム・バチスタの栄光」シリーズ。その中でも、シリーズ最高傑作の呼び声高い「ジェネラル・ルージュの凱旋」。2008年秋放送の「チーム・バチスタの栄光」以上にドラマオリジナルのストーリー&amp;ミステリーを加えます。舞台は、救命救急センター。さまざまな病気を徹底的に究明していく救命医たちの謎解き医療ミステリー。一話完結で展開しつつ、さらに全話を通して“救命医療の現実"を描いていきます。  心療内科医・田口が患者の心と向き合い、白鳥が膨大な知識と情報データで論理分析、そして、速水(西島秀俊)の経験値と判断・実践力とで病因を解明していきます。バチスタシリーズから、さらにパワーアップすることは間違いありません!</v>
      </c>
      <c r="O1635" s="2"/>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row>
    <row r="1636" ht="204.75" customHeight="1">
      <c r="A1636" s="1">
        <v>4787.0</v>
      </c>
      <c r="B1636" s="2" t="s">
        <v>5225</v>
      </c>
      <c r="C1636" s="2">
        <f>IFERROR(__xludf.DUMMYFUNCTION("split(B1636,""_"")"),1004.0)</f>
        <v>1004</v>
      </c>
      <c r="D1636" s="2" t="str">
        <f>IFERROR(__xludf.DUMMYFUNCTION("""COMPUTED_VALUE"""),"CX")</f>
        <v>CX</v>
      </c>
      <c r="E1636" s="2" t="str">
        <f>IFERROR(__xludf.DUMMYFUNCTION("""COMPUTED_VALUE"""),"火22")</f>
        <v>火22</v>
      </c>
      <c r="F1636" s="2" t="s">
        <v>5226</v>
      </c>
      <c r="G1636" s="2" t="s">
        <v>5230</v>
      </c>
      <c r="H1636" s="1">
        <v>2.0</v>
      </c>
      <c r="I1636" s="1" t="s">
        <v>7</v>
      </c>
      <c r="J1636" s="1" t="s">
        <v>82</v>
      </c>
      <c r="K1636" s="2" t="s">
        <v>5231</v>
      </c>
      <c r="L1636" s="2" t="s">
        <v>5232</v>
      </c>
      <c r="M1636" s="9" t="str">
        <f>IFERROR(__xludf.DUMMYFUNCTION("split(split(K1636,""伊藤淳史　"",false),""html"",false)"),"http://ktv.jp/general/index.")</f>
        <v>http://ktv.jp/general/index.</v>
      </c>
      <c r="N1636" s="2" t="str">
        <f>IFERROR(__xludf.DUMMYFUNCTION("""COMPUTED_VALUE"""),"　人気ドラマシリーズの第二弾。救命救急センターに運び込まれてくる患者の謎に迫る前代未聞の救急医療ミステリー。注目の第二話は!!  　ミスコンテストの日本代表を目指す女性が過呼吸で倒れた。救命チームに加わった田口(伊藤淳史)は速水(西島秀俊)らとともに発作の原因を追究。そんな中、コンテストを目前に検査入院でレッスンの中断を余儀なくされた彼女が焦りを募らせ、病室から逃げ出して…。一方、速水とメディカル・アソート社との癒着を疑う白鳥(仲村トオル)の前に、疑惑の鍵を握る男が現れる!")</f>
        <v>　人気ドラマシリーズの第二弾。救命救急センターに運び込まれてくる患者の謎に迫る前代未聞の救急医療ミステリー。注目の第二話は!!  　ミスコンテストの日本代表を目指す女性が過呼吸で倒れた。救命チームに加わった田口(伊藤淳史)は速水(西島秀俊)らとともに発作の原因を追究。そんな中、コンテストを目前に検査入院でレッスンの中断を余儀なくされた彼女が焦りを募らせ、病室から逃げ出して…。一方、速水とメディカル・アソート社との癒着を疑う白鳥(仲村トオル)の前に、疑惑の鍵を握る男が現れる!</v>
      </c>
      <c r="O1636" s="2"/>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row>
    <row r="1637" ht="204.75" customHeight="1">
      <c r="A1637" s="1">
        <v>4788.0</v>
      </c>
      <c r="B1637" s="2" t="s">
        <v>5225</v>
      </c>
      <c r="C1637" s="2">
        <f>IFERROR(__xludf.DUMMYFUNCTION("split(B1637,""_"")"),1004.0)</f>
        <v>1004</v>
      </c>
      <c r="D1637" s="2" t="str">
        <f>IFERROR(__xludf.DUMMYFUNCTION("""COMPUTED_VALUE"""),"CX")</f>
        <v>CX</v>
      </c>
      <c r="E1637" s="2" t="str">
        <f>IFERROR(__xludf.DUMMYFUNCTION("""COMPUTED_VALUE"""),"火22")</f>
        <v>火22</v>
      </c>
      <c r="F1637" s="2" t="s">
        <v>5226</v>
      </c>
      <c r="G1637" s="2" t="s">
        <v>5233</v>
      </c>
      <c r="H1637" s="1">
        <v>3.0</v>
      </c>
      <c r="I1637" s="1" t="s">
        <v>10</v>
      </c>
      <c r="J1637" s="1" t="s">
        <v>86</v>
      </c>
      <c r="K1637" s="2" t="s">
        <v>5234</v>
      </c>
      <c r="L1637" s="2" t="s">
        <v>5235</v>
      </c>
      <c r="M1637" s="9" t="str">
        <f>IFERROR(__xludf.DUMMYFUNCTION("split(split(K1637,""伊藤淳史　"",false),""html"",false)"),"http://ktv.jp/general/index.")</f>
        <v>http://ktv.jp/general/index.</v>
      </c>
      <c r="N1637" s="2" t="str">
        <f>IFERROR(__xludf.DUMMYFUNCTION("""COMPUTED_VALUE"""),"　定年を目前に控えた塚田康史(渡辺哲)が、深夜の繁華街で若い男と争った挙句にナイフで刺され、救命センターに搬送されてきた。塚田は事件前後のことを何も覚えておらず、温厚な性格の彼がケンカなどするわけがないと妻も首を傾げる。さらに塚田は、定年を前に気が塞ぐようになり、現場近くの心療内科に通っていたと告白。そして喉が渇いたと水を飲み始める。そんな折、塚田が別人のように豹変し、病室で暴れ出したというのだ。和泉(加藤あい)を突き飛ばし、水差しから水をがぶ飲みすると奇声をあげながら失神してしまう。    　その頃、田"&amp;"口(伊藤淳史)は塚田が通っていた心療内科を訪れ、担当の医師に話を聞いていた。医師は塚田を中高年特有の“ミッドエイジクライシス""と診断し、精神安定剤を処方していたというのだが…。")</f>
        <v>　定年を目前に控えた塚田康史(渡辺哲)が、深夜の繁華街で若い男と争った挙句にナイフで刺され、救命センターに搬送されてきた。塚田は事件前後のことを何も覚えておらず、温厚な性格の彼がケンカなどするわけがないと妻も首を傾げる。さらに塚田は、定年を前に気が塞ぐようになり、現場近くの心療内科に通っていたと告白。そして喉が渇いたと水を飲み始める。そんな折、塚田が別人のように豹変し、病室で暴れ出したというのだ。和泉(加藤あい)を突き飛ばし、水差しから水をがぶ飲みすると奇声をあげながら失神してしまう。    　その頃、田口(伊藤淳史)は塚田が通っていた心療内科を訪れ、担当の医師に話を聞いていた。医師は塚田を中高年特有の“ミッドエイジクライシス"と診断し、精神安定剤を処方していたというのだが…。</v>
      </c>
      <c r="O1637" s="2"/>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row>
    <row r="1638" ht="204.75" customHeight="1">
      <c r="A1638" s="1">
        <v>4789.0</v>
      </c>
      <c r="B1638" s="2" t="s">
        <v>5225</v>
      </c>
      <c r="C1638" s="2">
        <f>IFERROR(__xludf.DUMMYFUNCTION("split(B1638,""_"")"),1004.0)</f>
        <v>1004</v>
      </c>
      <c r="D1638" s="2" t="str">
        <f>IFERROR(__xludf.DUMMYFUNCTION("""COMPUTED_VALUE"""),"CX")</f>
        <v>CX</v>
      </c>
      <c r="E1638" s="2" t="str">
        <f>IFERROR(__xludf.DUMMYFUNCTION("""COMPUTED_VALUE"""),"火22")</f>
        <v>火22</v>
      </c>
      <c r="F1638" s="2" t="s">
        <v>5226</v>
      </c>
      <c r="G1638" s="2" t="s">
        <v>5236</v>
      </c>
      <c r="H1638" s="1">
        <v>4.0</v>
      </c>
      <c r="I1638" s="1" t="s">
        <v>14</v>
      </c>
      <c r="J1638" s="1" t="s">
        <v>86</v>
      </c>
      <c r="K1638" s="2" t="s">
        <v>5237</v>
      </c>
      <c r="L1638" s="2" t="s">
        <v>5238</v>
      </c>
      <c r="M1638" s="9" t="str">
        <f>IFERROR(__xludf.DUMMYFUNCTION("split(split(K1638,""伊藤淳史　"",false),""html"",false)"),"http://ktv.jp/general/index.")</f>
        <v>http://ktv.jp/general/index.</v>
      </c>
      <c r="N1638" s="2" t="str">
        <f>IFERROR(__xludf.DUMMYFUNCTION("""COMPUTED_VALUE"""),"　フリージャーナリスト・目黒(嶋田久作)の容態が急変し、心停止に陥った。原因は心臓の血管の一部が詰まったことによる心筋梗塞。退院も近いと聞かされていた妻の光子(広田レオナ)は、回復していたはずの夫の体に何が起こったのかと取り乱す。  　速水(西島秀俊)は血管が詰まった箇所をカテーテルで拡げる治療を試みようとするが、カテーテル室に空きがなく、十分な設備のない初療室で治療を行うと言い出す。　まもなく、速水の無謀な決断を知った田口(伊藤淳史)と白鳥(仲村トオル)はリスクが高すぎると意見するが、速水は聞く耳を持た"&amp;"ない。  　そんな折、白鳥は、初療室の様子をうかがう佐々木(堀部圭亮)を見かける。収賄関係を目黒に知られた2人が、口封じのためにわざと失敗の可能性が高い治療を強行し、目黒を殺そうとしているのではないか、と。白鳥の疑念を聞かされた田口は言葉を失い…。")</f>
        <v>　フリージャーナリスト・目黒(嶋田久作)の容態が急変し、心停止に陥った。原因は心臓の血管の一部が詰まったことによる心筋梗塞。退院も近いと聞かされていた妻の光子(広田レオナ)は、回復していたはずの夫の体に何が起こったのかと取り乱す。  　速水(西島秀俊)は血管が詰まった箇所をカテーテルで拡げる治療を試みようとするが、カテーテル室に空きがなく、十分な設備のない初療室で治療を行うと言い出す。　まもなく、速水の無謀な決断を知った田口(伊藤淳史)と白鳥(仲村トオル)はリスクが高すぎると意見するが、速水は聞く耳を持たない。  　そんな折、白鳥は、初療室の様子をうかがう佐々木(堀部圭亮)を見かける。収賄関係を目黒に知られた2人が、口封じのためにわざと失敗の可能性が高い治療を強行し、目黒を殺そうとしているのではないか、と。白鳥の疑念を聞かされた田口は言葉を失い…。</v>
      </c>
      <c r="O1638" s="2"/>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row>
    <row r="1639" ht="204.75" customHeight="1">
      <c r="A1639" s="1">
        <v>4790.0</v>
      </c>
      <c r="B1639" s="2" t="s">
        <v>5225</v>
      </c>
      <c r="C1639" s="2">
        <f>IFERROR(__xludf.DUMMYFUNCTION("split(B1639,""_"")"),1004.0)</f>
        <v>1004</v>
      </c>
      <c r="D1639" s="2" t="str">
        <f>IFERROR(__xludf.DUMMYFUNCTION("""COMPUTED_VALUE"""),"CX")</f>
        <v>CX</v>
      </c>
      <c r="E1639" s="2" t="str">
        <f>IFERROR(__xludf.DUMMYFUNCTION("""COMPUTED_VALUE"""),"火22")</f>
        <v>火22</v>
      </c>
      <c r="F1639" s="2" t="s">
        <v>5226</v>
      </c>
      <c r="G1639" s="2" t="s">
        <v>5239</v>
      </c>
      <c r="H1639" s="1">
        <v>5.0</v>
      </c>
      <c r="I1639" s="1" t="s">
        <v>17</v>
      </c>
      <c r="J1639" s="1" t="s">
        <v>86</v>
      </c>
      <c r="K1639" s="2" t="s">
        <v>5240</v>
      </c>
      <c r="L1639" s="2" t="s">
        <v>5241</v>
      </c>
      <c r="M1639" s="9" t="str">
        <f>IFERROR(__xludf.DUMMYFUNCTION("split(split(K1639,""伊藤淳史　"",false),""html"",false)"),"http://ktv.jp/general/index.")</f>
        <v>http://ktv.jp/general/index.</v>
      </c>
      <c r="N1639" s="2" t="str">
        <f>IFERROR(__xludf.DUMMYFUNCTION("""COMPUTED_VALUE"""),"　一カ月後に全国ツアーを控えた人気歌手の真山香苗(岩田さゆり)が倒れた。速水(西島秀俊)ら救命チームは抗生剤による治療を始めるが、母親でマネージャーのみどり(森口瑤子)は香苗を一日も早く退院させたいと無理を言い、田口(伊藤淳史)の手を焼かせる。　そんな折、香苗の体に発疹が現れた。速水らは抗生剤によるアレルギー反応があると判断し、投与する薬を変更。ところが、ほどなくして香苗の肺炎は急激に悪化。炎症が肺の隅々まで広がり、抗生剤がまったく効かない予想外の事態に救命チームはがく然となる。")</f>
        <v>　一カ月後に全国ツアーを控えた人気歌手の真山香苗(岩田さゆり)が倒れた。速水(西島秀俊)ら救命チームは抗生剤による治療を始めるが、母親でマネージャーのみどり(森口瑤子)は香苗を一日も早く退院させたいと無理を言い、田口(伊藤淳史)の手を焼かせる。　そんな折、香苗の体に発疹が現れた。速水らは抗生剤によるアレルギー反応があると判断し、投与する薬を変更。ところが、ほどなくして香苗の肺炎は急激に悪化。炎症が肺の隅々まで広がり、抗生剤がまったく効かない予想外の事態に救命チームはがく然となる。</v>
      </c>
      <c r="O1639" s="2"/>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row>
    <row r="1640" ht="204.75" customHeight="1">
      <c r="A1640" s="1">
        <v>4791.0</v>
      </c>
      <c r="B1640" s="2" t="s">
        <v>5225</v>
      </c>
      <c r="C1640" s="2">
        <f>IFERROR(__xludf.DUMMYFUNCTION("split(B1640,""_"")"),1004.0)</f>
        <v>1004</v>
      </c>
      <c r="D1640" s="2" t="str">
        <f>IFERROR(__xludf.DUMMYFUNCTION("""COMPUTED_VALUE"""),"CX")</f>
        <v>CX</v>
      </c>
      <c r="E1640" s="2" t="str">
        <f>IFERROR(__xludf.DUMMYFUNCTION("""COMPUTED_VALUE"""),"火22")</f>
        <v>火22</v>
      </c>
      <c r="F1640" s="2" t="s">
        <v>5226</v>
      </c>
      <c r="G1640" s="2" t="s">
        <v>5242</v>
      </c>
      <c r="H1640" s="1">
        <v>6.0</v>
      </c>
      <c r="I1640" s="1" t="s">
        <v>21</v>
      </c>
      <c r="J1640" s="1" t="s">
        <v>86</v>
      </c>
      <c r="K1640" s="2" t="s">
        <v>5243</v>
      </c>
      <c r="L1640" s="2" t="s">
        <v>5244</v>
      </c>
      <c r="M1640" s="9" t="str">
        <f>IFERROR(__xludf.DUMMYFUNCTION("split(split(K1640,""伊藤淳史　"",false),""html"",false)"),"http://ktv.jp/general/index.")</f>
        <v>http://ktv.jp/general/index.</v>
      </c>
      <c r="N1640" s="2" t="str">
        <f>IFERROR(__xludf.DUMMYFUNCTION("""COMPUTED_VALUE"""),"　メディカル・アソート社が進める大規模医療施設の建設計画に速水(西島秀俊)が関与していることを知った白鳥(仲村トオル)と田口(伊藤淳史)。  　そんな中、かつて速水が瀕死の重傷から命を救った少年が、倒れた母親を助けて欲しいと速水を頼ってきた。自分のことを覚えているかとたずねる少年を「記憶にない」と速水がそっけなく突き放すと、ケガの影響で障害が残り、車いす生活を余儀なくされる少年は「死なせてくれればよかった」と速水に襲いかかる。その直後、突然謎の発作を起こし…。")</f>
        <v>　メディカル・アソート社が進める大規模医療施設の建設計画に速水(西島秀俊)が関与していることを知った白鳥(仲村トオル)と田口(伊藤淳史)。  　そんな中、かつて速水が瀕死の重傷から命を救った少年が、倒れた母親を助けて欲しいと速水を頼ってきた。自分のことを覚えているかとたずねる少年を「記憶にない」と速水がそっけなく突き放すと、ケガの影響で障害が残り、車いす生活を余儀なくされる少年は「死なせてくれればよかった」と速水に襲いかかる。その直後、突然謎の発作を起こし…。</v>
      </c>
      <c r="O1640" s="2"/>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row>
    <row r="1641" ht="204.75" customHeight="1">
      <c r="A1641" s="1">
        <v>4792.0</v>
      </c>
      <c r="B1641" s="2" t="s">
        <v>5225</v>
      </c>
      <c r="C1641" s="2">
        <f>IFERROR(__xludf.DUMMYFUNCTION("split(B1641,""_"")"),1004.0)</f>
        <v>1004</v>
      </c>
      <c r="D1641" s="2" t="str">
        <f>IFERROR(__xludf.DUMMYFUNCTION("""COMPUTED_VALUE"""),"CX")</f>
        <v>CX</v>
      </c>
      <c r="E1641" s="2" t="str">
        <f>IFERROR(__xludf.DUMMYFUNCTION("""COMPUTED_VALUE"""),"火22")</f>
        <v>火22</v>
      </c>
      <c r="F1641" s="2" t="s">
        <v>5226</v>
      </c>
      <c r="G1641" s="2" t="s">
        <v>5245</v>
      </c>
      <c r="H1641" s="1">
        <v>7.0</v>
      </c>
      <c r="I1641" s="1" t="s">
        <v>25</v>
      </c>
      <c r="J1641" s="1" t="s">
        <v>86</v>
      </c>
      <c r="K1641" s="2" t="s">
        <v>5246</v>
      </c>
      <c r="L1641" s="2" t="s">
        <v>5247</v>
      </c>
      <c r="M1641" s="9" t="str">
        <f>IFERROR(__xludf.DUMMYFUNCTION("split(split(K1641,""伊藤淳史　"",false),""html"",false)"),"http://ktv.jp/general/index.")</f>
        <v>http://ktv.jp/general/index.</v>
      </c>
      <c r="N1641" s="2" t="str">
        <f>IFERROR(__xludf.DUMMYFUNCTION("""COMPUTED_VALUE"""),"　ホストの鈴木浩(八神蓮)が接客中に意識を失った。急性アルコール中毒と診断されたが、付き添ってきた客の下村理沙子(末永遥)は、酔い潰れるほど酒は飲んでいなかったはずだと不審がる。  　同じ頃、寺内昭三(でんでん)という老人がタクシー代わりに救急車を呼びつけ、ただの腰痛にも関わらず鴨志田(本田博太郎)の名前をちらつかせてICUに入院させろと要求。白鳥(仲村トオル)は、寺内と鴨志田の関係に興味を抱く。　そんな折、事務長の三船(利重剛)が、速水(西島秀俊)の不正を暴く証拠は見つかったのかと白鳥に声をかけてきた。"&amp;"三船は、速水の排除を目論んでいたからだ。  　翌日、鈴木は順調に回復し、理沙子に付き添われて退院。ところが、自宅マンションに戻ると突然錯乱状態に陥り、理沙子の制止を振り切ってベランダから飛び降りようと暴れ出し…。")</f>
        <v>　ホストの鈴木浩(八神蓮)が接客中に意識を失った。急性アルコール中毒と診断されたが、付き添ってきた客の下村理沙子(末永遥)は、酔い潰れるほど酒は飲んでいなかったはずだと不審がる。  　同じ頃、寺内昭三(でんでん)という老人がタクシー代わりに救急車を呼びつけ、ただの腰痛にも関わらず鴨志田(本田博太郎)の名前をちらつかせてICUに入院させろと要求。白鳥(仲村トオル)は、寺内と鴨志田の関係に興味を抱く。　そんな折、事務長の三船(利重剛)が、速水(西島秀俊)の不正を暴く証拠は見つかったのかと白鳥に声をかけてきた。三船は、速水の排除を目論んでいたからだ。  　翌日、鈴木は順調に回復し、理沙子に付き添われて退院。ところが、自宅マンションに戻ると突然錯乱状態に陥り、理沙子の制止を振り切ってベランダから飛び降りようと暴れ出し…。</v>
      </c>
      <c r="O1641" s="2"/>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row>
    <row r="1642" ht="204.75" customHeight="1">
      <c r="A1642" s="1">
        <v>4793.0</v>
      </c>
      <c r="B1642" s="2" t="s">
        <v>5225</v>
      </c>
      <c r="C1642" s="2">
        <f>IFERROR(__xludf.DUMMYFUNCTION("split(B1642,""_"")"),1004.0)</f>
        <v>1004</v>
      </c>
      <c r="D1642" s="2" t="str">
        <f>IFERROR(__xludf.DUMMYFUNCTION("""COMPUTED_VALUE"""),"CX")</f>
        <v>CX</v>
      </c>
      <c r="E1642" s="2" t="str">
        <f>IFERROR(__xludf.DUMMYFUNCTION("""COMPUTED_VALUE"""),"火22")</f>
        <v>火22</v>
      </c>
      <c r="F1642" s="2" t="s">
        <v>5226</v>
      </c>
      <c r="G1642" s="2" t="s">
        <v>5248</v>
      </c>
      <c r="H1642" s="1">
        <v>8.0</v>
      </c>
      <c r="I1642" s="1" t="s">
        <v>29</v>
      </c>
      <c r="J1642" s="1" t="s">
        <v>86</v>
      </c>
      <c r="K1642" s="2" t="s">
        <v>5249</v>
      </c>
      <c r="L1642" s="2" t="s">
        <v>5250</v>
      </c>
      <c r="M1642" s="9" t="str">
        <f>IFERROR(__xludf.DUMMYFUNCTION("split(split(K1642,""伊藤淳史　"",false),""html"",false)"),"http://ktv.jp/general/index.")</f>
        <v>http://ktv.jp/general/index.</v>
      </c>
      <c r="N1642" s="2" t="str">
        <f>IFERROR(__xludf.DUMMYFUNCTION("""COMPUTED_VALUE"""),"　田口(伊藤淳史)の提案で倫理委員会が招集され、速水(西島秀俊)の収賄疑惑が追及されることに。和泉(加藤あい)は怪文書を書いたのは自分だったことを田口に告白。処分したはずの怪文書が、なぜ事務長の三船(利重剛)に渡っていたのかわからないと狼狽し、委員会で速水を守って欲しいと田口に頼む。  　そんな折、ICUに入院中の寺内(でんでん)が末期ガンに冒されていたとわかった。絶縁していた娘が病院に駆けつけるが、寺内は面会を拒否。だが娘が息子を生んでいたと知り、初めて見る孫にようやく心を開き始める。  　いよいよ倫理"&amp;"委員会が始まった。田口、白鳥(仲村トオル)、三船や心臓血管外科の黒崎教授(榎木孝明)ら錚々たる面々が顔をそろえる中、速水がメディカル・アソート社から賄賂を受けていた事実を平然と認め、一同を騒然とさせる。")</f>
        <v>　田口(伊藤淳史)の提案で倫理委員会が招集され、速水(西島秀俊)の収賄疑惑が追及されることに。和泉(加藤あい)は怪文書を書いたのは自分だったことを田口に告白。処分したはずの怪文書が、なぜ事務長の三船(利重剛)に渡っていたのかわからないと狼狽し、委員会で速水を守って欲しいと田口に頼む。  　そんな折、ICUに入院中の寺内(でんでん)が末期ガンに冒されていたとわかった。絶縁していた娘が病院に駆けつけるが、寺内は面会を拒否。だが娘が息子を生んでいたと知り、初めて見る孫にようやく心を開き始める。  　いよいよ倫理委員会が始まった。田口、白鳥(仲村トオル)、三船や心臓血管外科の黒崎教授(榎木孝明)ら錚々たる面々が顔をそろえる中、速水がメディカル・アソート社から賄賂を受けていた事実を平然と認め、一同を騒然とさせる。</v>
      </c>
      <c r="O1642" s="2"/>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row>
    <row r="1643" ht="204.75" customHeight="1">
      <c r="A1643" s="1">
        <v>4794.0</v>
      </c>
      <c r="B1643" s="2" t="s">
        <v>5225</v>
      </c>
      <c r="C1643" s="2">
        <f>IFERROR(__xludf.DUMMYFUNCTION("split(B1643,""_"")"),1004.0)</f>
        <v>1004</v>
      </c>
      <c r="D1643" s="2" t="str">
        <f>IFERROR(__xludf.DUMMYFUNCTION("""COMPUTED_VALUE"""),"CX")</f>
        <v>CX</v>
      </c>
      <c r="E1643" s="2" t="str">
        <f>IFERROR(__xludf.DUMMYFUNCTION("""COMPUTED_VALUE"""),"火22")</f>
        <v>火22</v>
      </c>
      <c r="F1643" s="2" t="s">
        <v>5226</v>
      </c>
      <c r="G1643" s="2" t="s">
        <v>5251</v>
      </c>
      <c r="H1643" s="1">
        <v>9.0</v>
      </c>
      <c r="I1643" s="1" t="s">
        <v>33</v>
      </c>
      <c r="J1643" s="1" t="s">
        <v>86</v>
      </c>
      <c r="K1643" s="2" t="s">
        <v>5252</v>
      </c>
      <c r="L1643" s="2" t="s">
        <v>5253</v>
      </c>
      <c r="M1643" s="9" t="str">
        <f>IFERROR(__xludf.DUMMYFUNCTION("split(split(K1643,""伊藤淳史　"",false),""html"",false)"),"http://ktv.jp/general/index.")</f>
        <v>http://ktv.jp/general/index.</v>
      </c>
      <c r="N1643" s="2" t="str">
        <f>IFERROR(__xludf.DUMMYFUNCTION("""COMPUTED_VALUE"""),"　田口(伊藤淳史)と白鳥(仲村トオル)が発見したとき、すでに呼吸停止状態だった寺内(でんでん)は、佐藤(木下隆行)らの懸命な救命処置も空しく息を引き取った。病状が急激に悪化したことに疑問を呈する白鳥。そんな中、点滴に不審な点が見つかる。  　「チームの誰かが注入量を間違った」と医療ミスを指摘する白鳥に救命チームは騒然。お互いに疑惑を向ける犯人捜しが始まり、チームは殺伐とした空気に包まれる。　一方、白鳥は誰かが故意に注入量を操作した“殺人""の可能性もあると田口に漏らす。　寺内が死ぬ前に伝えようとしたことは"&amp;"何だったのか?それが今回の死と関係があるのか?真相究明に動き出そうとした矢先、寺内の娘・裕美子(渋谷琴乃)が遺体を返せと騒ぎ出し…。")</f>
        <v>　田口(伊藤淳史)と白鳥(仲村トオル)が発見したとき、すでに呼吸停止状態だった寺内(でんでん)は、佐藤(木下隆行)らの懸命な救命処置も空しく息を引き取った。病状が急激に悪化したことに疑問を呈する白鳥。そんな中、点滴に不審な点が見つかる。  　「チームの誰かが注入量を間違った」と医療ミスを指摘する白鳥に救命チームは騒然。お互いに疑惑を向ける犯人捜しが始まり、チームは殺伐とした空気に包まれる。　一方、白鳥は誰かが故意に注入量を操作した“殺人"の可能性もあると田口に漏らす。　寺内が死ぬ前に伝えようとしたことは何だったのか?それが今回の死と関係があるのか?真相究明に動き出そうとした矢先、寺内の娘・裕美子(渋谷琴乃)が遺体を返せと騒ぎ出し…。</v>
      </c>
      <c r="O1643" s="2"/>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row>
    <row r="1644" ht="204.75" customHeight="1">
      <c r="A1644" s="1">
        <v>4795.0</v>
      </c>
      <c r="B1644" s="2" t="s">
        <v>5225</v>
      </c>
      <c r="C1644" s="2">
        <f>IFERROR(__xludf.DUMMYFUNCTION("split(B1644,""_"")"),1004.0)</f>
        <v>1004</v>
      </c>
      <c r="D1644" s="2" t="str">
        <f>IFERROR(__xludf.DUMMYFUNCTION("""COMPUTED_VALUE"""),"CX")</f>
        <v>CX</v>
      </c>
      <c r="E1644" s="2" t="str">
        <f>IFERROR(__xludf.DUMMYFUNCTION("""COMPUTED_VALUE"""),"火22")</f>
        <v>火22</v>
      </c>
      <c r="F1644" s="2" t="s">
        <v>5226</v>
      </c>
      <c r="G1644" s="2" t="s">
        <v>5254</v>
      </c>
      <c r="H1644" s="1">
        <v>10.0</v>
      </c>
      <c r="I1644" s="1" t="s">
        <v>37</v>
      </c>
      <c r="J1644" s="1" t="s">
        <v>86</v>
      </c>
      <c r="K1644" s="2" t="s">
        <v>5255</v>
      </c>
      <c r="L1644" s="2" t="s">
        <v>5256</v>
      </c>
      <c r="M1644" s="9" t="str">
        <f>IFERROR(__xludf.DUMMYFUNCTION("split(split(K1644,""伊藤淳史　"",false),""html"",false)"),"http://ktv.jp/general/index.")</f>
        <v>http://ktv.jp/general/index.</v>
      </c>
      <c r="N1644" s="2" t="str">
        <f>IFERROR(__xludf.DUMMYFUNCTION("""COMPUTED_VALUE"""),"　寺内(でんでん)は医療ミスに見せかけて殺されていたことが発覚。警察の捜査に介入した白鳥(仲村トオル)は、医学の知識がある者の犯行とにらみ、救命チームのメンバーに容疑を向ける。  事情聴取の結果、長谷川(戸次重幸)に犯行時間のアリバイがないことが判明。さらに、速水(西島秀俊)は花房(白石美帆)と一緒にいたと主張するが、それを証明する手立てがない。そんな中、白鳥は外部の人間にも怪しい者がいることを田口(伊藤淳史)に明かす。事件当時、佐々木(堀部圭亮)が病院を訪れていたのだ。  寺内が鴨志田(本田博太郎)の秘"&amp;"密を打ち明けようとした矢先に殺されていたことから、白鳥は鴨志田と繋がりのある佐々木に疑惑を。そんな折、白鳥の追及を受けた長谷川から意外な目撃証言が飛び出す。")</f>
        <v>　寺内(でんでん)は医療ミスに見せかけて殺されていたことが発覚。警察の捜査に介入した白鳥(仲村トオル)は、医学の知識がある者の犯行とにらみ、救命チームのメンバーに容疑を向ける。  事情聴取の結果、長谷川(戸次重幸)に犯行時間のアリバイがないことが判明。さらに、速水(西島秀俊)は花房(白石美帆)と一緒にいたと主張するが、それを証明する手立てがない。そんな中、白鳥は外部の人間にも怪しい者がいることを田口(伊藤淳史)に明かす。事件当時、佐々木(堀部圭亮)が病院を訪れていたのだ。  寺内が鴨志田(本田博太郎)の秘密を打ち明けようとした矢先に殺されていたことから、白鳥は鴨志田と繋がりのある佐々木に疑惑を。そんな折、白鳥の追及を受けた長谷川から意外な目撃証言が飛び出す。</v>
      </c>
      <c r="O1644" s="2"/>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row>
    <row r="1645" ht="204.75" customHeight="1">
      <c r="A1645" s="1">
        <v>4796.0</v>
      </c>
      <c r="B1645" s="2" t="s">
        <v>5225</v>
      </c>
      <c r="C1645" s="2">
        <f>IFERROR(__xludf.DUMMYFUNCTION("split(B1645,""_"")"),1004.0)</f>
        <v>1004</v>
      </c>
      <c r="D1645" s="2" t="str">
        <f>IFERROR(__xludf.DUMMYFUNCTION("""COMPUTED_VALUE"""),"CX")</f>
        <v>CX</v>
      </c>
      <c r="E1645" s="2" t="str">
        <f>IFERROR(__xludf.DUMMYFUNCTION("""COMPUTED_VALUE"""),"火22")</f>
        <v>火22</v>
      </c>
      <c r="F1645" s="2" t="s">
        <v>5226</v>
      </c>
      <c r="G1645" s="2" t="s">
        <v>5257</v>
      </c>
      <c r="H1645" s="1">
        <v>11.0</v>
      </c>
      <c r="I1645" s="1" t="s">
        <v>41</v>
      </c>
      <c r="J1645" s="1" t="s">
        <v>86</v>
      </c>
      <c r="K1645" s="2" t="s">
        <v>5258</v>
      </c>
      <c r="L1645" s="2" t="s">
        <v>5259</v>
      </c>
      <c r="M1645" s="9" t="str">
        <f>IFERROR(__xludf.DUMMYFUNCTION("split(split(K1645,""伊藤淳史　"",false),""html"",false)"),"http://ktv.jp/general/index.")</f>
        <v>http://ktv.jp/general/index.</v>
      </c>
      <c r="N1645" s="2" t="str">
        <f>IFERROR(__xludf.DUMMYFUNCTION("""COMPUTED_VALUE"""),"　意識不明で東城医大に搬送された速水(西島秀俊)と佐々木(堀部圭亮)。速水は意識を取り戻したが、ナイフで胸を刺されていた佐々木は死亡していた。白鳥(仲村トオル)は速水を問い詰めるが、速水は佐々木が殺されたときのことを何も覚えていないと話す。　まもなく速水が「佐々木を殺したのは俺かもしれない」と田口(伊藤淳史)らに漏らし、けいれんを起こして意識を失うなど異常な症状を示し始めた。気を揉む佐藤(木下隆行)らに、白鳥は速水が佐々木と寺内(でんでん)を殺した可能性があると告げる。だが、真相はほかにあるとにらむ白鳥と"&amp;"田口は独自の調査に乗り出す。")</f>
        <v>　意識不明で東城医大に搬送された速水(西島秀俊)と佐々木(堀部圭亮)。速水は意識を取り戻したが、ナイフで胸を刺されていた佐々木は死亡していた。白鳥(仲村トオル)は速水を問い詰めるが、速水は佐々木が殺されたときのことを何も覚えていないと話す。　まもなく速水が「佐々木を殺したのは俺かもしれない」と田口(伊藤淳史)らに漏らし、けいれんを起こして意識を失うなど異常な症状を示し始めた。気を揉む佐藤(木下隆行)らに、白鳥は速水が佐々木と寺内(でんでん)を殺した可能性があると告げる。だが、真相はほかにあるとにらむ白鳥と田口は独自の調査に乗り出す。</v>
      </c>
      <c r="O1645" s="2"/>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row>
    <row r="1646" ht="204.75" customHeight="1">
      <c r="A1646" s="1">
        <v>4797.0</v>
      </c>
      <c r="B1646" s="2" t="s">
        <v>5225</v>
      </c>
      <c r="C1646" s="2">
        <f>IFERROR(__xludf.DUMMYFUNCTION("split(B1646,""_"")"),1004.0)</f>
        <v>1004</v>
      </c>
      <c r="D1646" s="2" t="str">
        <f>IFERROR(__xludf.DUMMYFUNCTION("""COMPUTED_VALUE"""),"CX")</f>
        <v>CX</v>
      </c>
      <c r="E1646" s="2" t="str">
        <f>IFERROR(__xludf.DUMMYFUNCTION("""COMPUTED_VALUE"""),"火22")</f>
        <v>火22</v>
      </c>
      <c r="F1646" s="2" t="s">
        <v>5226</v>
      </c>
      <c r="G1646" s="2" t="s">
        <v>5260</v>
      </c>
      <c r="H1646" s="1">
        <v>12.0</v>
      </c>
      <c r="I1646" s="1" t="s">
        <v>3666</v>
      </c>
      <c r="J1646" s="1" t="s">
        <v>82</v>
      </c>
      <c r="K1646" s="2" t="s">
        <v>5261</v>
      </c>
      <c r="L1646" s="2" t="s">
        <v>5262</v>
      </c>
      <c r="M1646" s="9" t="str">
        <f>IFERROR(__xludf.DUMMYFUNCTION("split(split(K1646,""伊藤淳史　"",false),""html"",false)"),"http://ktv.jp/general/index.")</f>
        <v>http://ktv.jp/general/index.</v>
      </c>
      <c r="N1646" s="2" t="str">
        <f>IFERROR(__xludf.DUMMYFUNCTION("""COMPUTED_VALUE"""),"　速水(西島秀俊)は心筋の炎症によって心機能が急激に低下し、心不全に陥っていた。悪性リンパ腫が心臓まで蝕み始めているとみた佐藤(木下隆行)らは、手の施しようがないとがく然となる。  　一方、佐々木(堀部圭亮)が殺された事件の真相を追う白鳥(仲村トオル)と田口(伊藤淳史)は、自分が犯人だと主張する速水が誰かを庇っているとにらむ。　花房(白石美帆)に疑惑を向けた白鳥は、田口とともに事件現場を調べ、意外な事実を知る。  　翌日、白鳥と田口は花房を連れて再び現場へ。白鳥の追及に激しい動揺をみせた花房は、事件の夜、"&amp;"現場にいたことをついに認める。だが、佐々木を殺したのは自分ではないと訴え、現場を訪ねた理由を打ち明ける。")</f>
        <v>　速水(西島秀俊)は心筋の炎症によって心機能が急激に低下し、心不全に陥っていた。悪性リンパ腫が心臓まで蝕み始めているとみた佐藤(木下隆行)らは、手の施しようがないとがく然となる。  　一方、佐々木(堀部圭亮)が殺された事件の真相を追う白鳥(仲村トオル)と田口(伊藤淳史)は、自分が犯人だと主張する速水が誰かを庇っているとにらむ。　花房(白石美帆)に疑惑を向けた白鳥は、田口とともに事件現場を調べ、意外な事実を知る。  　翌日、白鳥と田口は花房を連れて再び現場へ。白鳥の追及に激しい動揺をみせた花房は、事件の夜、現場にいたことをついに認める。だが、佐々木を殺したのは自分ではないと訴え、現場を訪ねた理由を打ち明ける。</v>
      </c>
      <c r="O1646" s="2"/>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row>
    <row r="1647" ht="204.75" customHeight="1">
      <c r="A1647" s="1">
        <v>4829.0</v>
      </c>
      <c r="B1647" s="2" t="s">
        <v>5263</v>
      </c>
      <c r="C1647" s="2">
        <f>IFERROR(__xludf.DUMMYFUNCTION("split(B1647,""_"")"),1004.0)</f>
        <v>1004</v>
      </c>
      <c r="D1647" s="2" t="str">
        <f>IFERROR(__xludf.DUMMYFUNCTION("""COMPUTED_VALUE"""),"CX")</f>
        <v>CX</v>
      </c>
      <c r="E1647" s="2" t="str">
        <f>IFERROR(__xludf.DUMMYFUNCTION("""COMPUTED_VALUE"""),"木22")</f>
        <v>木22</v>
      </c>
      <c r="F1647" s="2" t="s">
        <v>5264</v>
      </c>
      <c r="G1647" s="2" t="s">
        <v>5265</v>
      </c>
      <c r="H1647" s="1">
        <v>1.0</v>
      </c>
      <c r="I1647" s="1" t="s">
        <v>3</v>
      </c>
      <c r="J1647" s="1" t="s">
        <v>82</v>
      </c>
      <c r="K1647" s="4" t="s">
        <v>5266</v>
      </c>
      <c r="L1647" s="2" t="s">
        <v>5267</v>
      </c>
      <c r="M1647" s="2" t="str">
        <f>IFERROR(__xludf.DUMMYFUNCTION("split(split(K1647,""瑛太　"",false),""公式LINE"",false)"),"駆け出しカメラマンのナカジこと中島圭介(瑛太)と、高校の非常勤講師・ハルこと水野月子(上野樹里)は、ツイッターを通して知り合った。ナカジに好感を抱いていたハルは、ある時、初めて彼に会う機会を得る。何人かのフォロワーとともに、渋谷で会うことになったのだ。高校時代からの親友・西村光(関めぐみ)とともに約束の店を訪れたハルは、そこでドクターこと韓国出身の医師パク・ソンス(ジェジュン)、雑誌編集者のリンダこと市原薫(玉山鉄二)と出会う。ほどなく、店にナカジがやってくる。その顔を見たハルは驚いた。昼間、カフェでハル"&amp;"がコーヒーを倒し、ズボンを汚してしまった相手がナカジだったのだ。その際、ハルは慌ててズボンを拭こうとして、ナカジからチカン呼ばわりされていた。何となく盛り上がれないでいたナカジ、ハルは、2次会に行くというドクターたちと別れて帰路につく。が、実はふたりは同じ駅を利用する近所同士だった。電車を降りたハルは、ナカジと別れてコンビニに立ち寄る。ナカジは、ハルを家まで送り届けるため、外で待っていた。ハルは、そんなナカジに、チカン呼ばわりしたことを謝ってほしいと言い出す。さらにハルは、ズボンをクリーニングして返す、と"&amp;"言ってナカジの持っていた紙袋を取ろうとした。だが、引っ張り合いになった拍子に転んでしまい、足を擦りむいてしまうハル。ナカジは、ハルをアパートに連れて行き、手当てをするが…。")</f>
        <v>駆け出しカメラマンのナカジこと中島圭介(瑛太)と、高校の非常勤講師・ハルこと水野月子(上野樹里)は、ツイッターを通して知り合った。ナカジに好感を抱いていたハルは、ある時、初めて彼に会う機会を得る。何人かのフォロワーとともに、渋谷で会うことになったのだ。高校時代からの親友・西村光(関めぐみ)とともに約束の店を訪れたハルは、そこでドクターこと韓国出身の医師パク・ソンス(ジェジュン)、雑誌編集者のリンダこと市原薫(玉山鉄二)と出会う。ほどなく、店にナカジがやってくる。その顔を見たハルは驚いた。昼間、カフェでハルがコーヒーを倒し、ズボンを汚してしまった相手がナカジだったのだ。その際、ハルは慌ててズボンを拭こうとして、ナカジからチカン呼ばわりされていた。何となく盛り上がれないでいたナカジ、ハルは、2次会に行くというドクターたちと別れて帰路につく。が、実はふたりは同じ駅を利用する近所同士だった。電車を降りたハルは、ナカジと別れてコンビニに立ち寄る。ナカジは、ハルを家まで送り届けるため、外で待っていた。ハルは、そんなナカジに、チカン呼ばわりしたことを謝ってほしいと言い出す。さらにハルは、ズボンをクリーニングして返す、と言ってナカジの持っていた紙袋を取ろうとした。だが、引っ張り合いになった拍子に転んでしまい、足を擦りむいてしまうハル。ナカジは、ハルをアパートに連れて行き、手当てをするが…。</v>
      </c>
      <c r="N1647" s="2"/>
      <c r="O1647" s="2"/>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row>
    <row r="1648" ht="204.75" customHeight="1">
      <c r="A1648" s="1">
        <v>4830.0</v>
      </c>
      <c r="B1648" s="2" t="s">
        <v>5263</v>
      </c>
      <c r="C1648" s="2">
        <f>IFERROR(__xludf.DUMMYFUNCTION("split(B1648,""_"")"),1004.0)</f>
        <v>1004</v>
      </c>
      <c r="D1648" s="2" t="str">
        <f>IFERROR(__xludf.DUMMYFUNCTION("""COMPUTED_VALUE"""),"CX")</f>
        <v>CX</v>
      </c>
      <c r="E1648" s="2" t="str">
        <f>IFERROR(__xludf.DUMMYFUNCTION("""COMPUTED_VALUE"""),"木22")</f>
        <v>木22</v>
      </c>
      <c r="F1648" s="2" t="s">
        <v>5264</v>
      </c>
      <c r="G1648" s="2" t="s">
        <v>5268</v>
      </c>
      <c r="H1648" s="1">
        <v>2.0</v>
      </c>
      <c r="I1648" s="1" t="s">
        <v>7</v>
      </c>
      <c r="J1648" s="1" t="s">
        <v>86</v>
      </c>
      <c r="K1648" s="2" t="s">
        <v>5269</v>
      </c>
      <c r="L1648" s="2" t="s">
        <v>5270</v>
      </c>
      <c r="M1648" s="2" t="str">
        <f>IFERROR(__xludf.DUMMYFUNCTION("split(split(K1648,""瑛太　"",false),""公式LINE"",false)"),"コーヒーをこぼしてしまったナカジ(瑛太)のズボンをクリーニングしたハル(上野樹里)は、それを持って彼の部屋を訪ねた。が、ドアを開けて出てきたのはナカジの恋人・桐子(井川遥)だった。同じころ、光(関めぐみ)は不倫相手の矢野(勝村政信)に会い、妊娠したかもしれないと伝えていた。しかし矢野は、本当に俺の子なのか、などと冷たい反応だった。その夜、ハルは、近所のコンビニでナカジに出会う。ハルは、電話もしないで突然部屋を訪ねてしまったことをナカジに詫びた。そんなハルに、ナカジは、プリントした写真を手渡す。それは、ふた"&amp;"りが最初に出会ったとき、ナカジが撮影したハルの写真だった。そんな折、思わぬ事件が起きる。『ピーち』というアカウントでツイッターに参加した光が、自殺を予告して手首を切ったのだ。それに気づいたナカジやハル、ドクター(ジェジュン)らは互いに連絡を取り合い、リンダ(玉山鉄二)の知り合いがいる病院に彼女を運んだが…。")</f>
        <v>コーヒーをこぼしてしまったナカジ(瑛太)のズボンをクリーニングしたハル(上野樹里)は、それを持って彼の部屋を訪ねた。が、ドアを開けて出てきたのはナカジの恋人・桐子(井川遥)だった。同じころ、光(関めぐみ)は不倫相手の矢野(勝村政信)に会い、妊娠したかもしれないと伝えていた。しかし矢野は、本当に俺の子なのか、などと冷たい反応だった。その夜、ハルは、近所のコンビニでナカジに出会う。ハルは、電話もしないで突然部屋を訪ねてしまったことをナカジに詫びた。そんなハルに、ナカジは、プリントした写真を手渡す。それは、ふたりが最初に出会ったとき、ナカジが撮影したハルの写真だった。そんな折、思わぬ事件が起きる。『ピーち』というアカウントでツイッターに参加した光が、自殺を予告して手首を切ったのだ。それに気づいたナカジやハル、ドクター(ジェジュン)らは互いに連絡を取り合い、リンダ(玉山鉄二)の知り合いがいる病院に彼女を運んだが…。</v>
      </c>
      <c r="N1648" s="2"/>
      <c r="O1648" s="2"/>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row>
    <row r="1649" ht="204.75" customHeight="1">
      <c r="A1649" s="1">
        <v>4831.0</v>
      </c>
      <c r="B1649" s="2" t="s">
        <v>5263</v>
      </c>
      <c r="C1649" s="2">
        <f>IFERROR(__xludf.DUMMYFUNCTION("split(B1649,""_"")"),1004.0)</f>
        <v>1004</v>
      </c>
      <c r="D1649" s="2" t="str">
        <f>IFERROR(__xludf.DUMMYFUNCTION("""COMPUTED_VALUE"""),"CX")</f>
        <v>CX</v>
      </c>
      <c r="E1649" s="2" t="str">
        <f>IFERROR(__xludf.DUMMYFUNCTION("""COMPUTED_VALUE"""),"木22")</f>
        <v>木22</v>
      </c>
      <c r="F1649" s="2" t="s">
        <v>5264</v>
      </c>
      <c r="G1649" s="2" t="s">
        <v>5271</v>
      </c>
      <c r="H1649" s="1">
        <v>3.0</v>
      </c>
      <c r="I1649" s="1" t="s">
        <v>10</v>
      </c>
      <c r="J1649" s="1" t="s">
        <v>86</v>
      </c>
      <c r="K1649" s="2" t="s">
        <v>5272</v>
      </c>
      <c r="L1649" s="2" t="s">
        <v>5273</v>
      </c>
      <c r="M1649" s="2" t="str">
        <f>IFERROR(__xludf.DUMMYFUNCTION("split(split(K1649,""瑛太　"",false),""公式LINE"",false)"),"酒に酔ったまま帰路についたハル(上野樹里)は、駅でナカジ(瑛太)に出会う。ハルに内緒でナカジがセッティングした、ドクター(ジェジュン)とのデートの帰りだった。ハルは、反対側のホームにいたナカジに向かって大嫌いだと叫ぶと、その場にしゃがみ込んで、本当はナカジが好きなのに、とつぶやく。同じころ、リンダ(玉山鉄二)は、奥田編集長(渡辺えり)の自宅マンションを訪れていた。奥田は、自分の雑誌でナカジを使ってもいい、などと言ってリンダを呼んだのだ。室内に入るなり奥田に抱きつかれたリンダは、覚悟を決めて彼女をベッドに押"&amp;"し倒した。一方、不倫相手の子を身ごもってしまったピーち(関めぐみ)は、産婦人科を訪れる。だが、医師からお腹の子のエコー画像を見せられたピーちは、中絶をためらう。そんなある夜、ナカジのアパートに桐子(井川遥)がやってくる。眠っているナカジの姿を見つめていた桐子は、ナカジの携帯電話にハルからのメールが届いていることに気づき…。")</f>
        <v>酒に酔ったまま帰路についたハル(上野樹里)は、駅でナカジ(瑛太)に出会う。ハルに内緒でナカジがセッティングした、ドクター(ジェジュン)とのデートの帰りだった。ハルは、反対側のホームにいたナカジに向かって大嫌いだと叫ぶと、その場にしゃがみ込んで、本当はナカジが好きなのに、とつぶやく。同じころ、リンダ(玉山鉄二)は、奥田編集長(渡辺えり)の自宅マンションを訪れていた。奥田は、自分の雑誌でナカジを使ってもいい、などと言ってリンダを呼んだのだ。室内に入るなり奥田に抱きつかれたリンダは、覚悟を決めて彼女をベッドに押し倒した。一方、不倫相手の子を身ごもってしまったピーち(関めぐみ)は、産婦人科を訪れる。だが、医師からお腹の子のエコー画像を見せられたピーちは、中絶をためらう。そんなある夜、ナカジのアパートに桐子(井川遥)がやってくる。眠っているナカジの姿を見つめていた桐子は、ナカジの携帯電話にハルからのメールが届いていることに気づき…。</v>
      </c>
      <c r="N1649" s="2"/>
      <c r="O1649" s="2"/>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row>
    <row r="1650" ht="204.75" customHeight="1">
      <c r="A1650" s="1">
        <v>4832.0</v>
      </c>
      <c r="B1650" s="2" t="s">
        <v>5263</v>
      </c>
      <c r="C1650" s="2">
        <f>IFERROR(__xludf.DUMMYFUNCTION("split(B1650,""_"")"),1004.0)</f>
        <v>1004</v>
      </c>
      <c r="D1650" s="2" t="str">
        <f>IFERROR(__xludf.DUMMYFUNCTION("""COMPUTED_VALUE"""),"CX")</f>
        <v>CX</v>
      </c>
      <c r="E1650" s="2" t="str">
        <f>IFERROR(__xludf.DUMMYFUNCTION("""COMPUTED_VALUE"""),"木22")</f>
        <v>木22</v>
      </c>
      <c r="F1650" s="2" t="s">
        <v>5264</v>
      </c>
      <c r="G1650" s="2" t="s">
        <v>5274</v>
      </c>
      <c r="H1650" s="1">
        <v>4.0</v>
      </c>
      <c r="I1650" s="1" t="s">
        <v>14</v>
      </c>
      <c r="J1650" s="1" t="s">
        <v>86</v>
      </c>
      <c r="K1650" s="2" t="s">
        <v>5275</v>
      </c>
      <c r="L1650" s="2" t="s">
        <v>5276</v>
      </c>
      <c r="M1650" s="2" t="str">
        <f>IFERROR(__xludf.DUMMYFUNCTION("split(split(K1650,""瑛太　"",false),""公式LINE"",false)"),"ナカジ(瑛太)と口論になったハル(上野樹里)は、雨の中、傘も差さずに自宅に戻る。するとハルの家の近くに、ドクター(ジェジュン)の姿があった。思わずドクターに抱きついてしまうハル。ドクターは、そんなハルを抱きしめ、好きだと告白する。  　そんな折、リンダ(玉山鉄二)から、スナナレ会のメンバーに飲み会の誘いが入る。ドクターが、リンダの父・泰敏(山田明郷)が経営する病院に医療機器を納入する契約をまとめたから、おごってくれるのだという。ナカジやハルたちは、いつもの店『ザ・エモーション』に集まった。  　その席でピ"&amp;"ーち(関めぐみ)は、妊娠したことを皆に告白し、シングルマザーになると宣言する。ナカジたちは、ピーちに協力を申し出る一方で、一番大切なのはピーちの人生なのだからよく考えた方がいいとアドバイスした。やがてドクターたちは店内にあるゲームを始める。とり残されてしまったナカジとハルは、気まずいままだった。2人の様子がおかしいことに気づいたドクターは、ハルを泣かせた相手がナカジだと知り、彼に噛みついた。ハルが大事な人を傷つけたから許せなかった、とドクターに返すナカジ。ハルがそれを否定すると、ドクターは、何故信じてあげ"&amp;"ないのか、とナカジに掴みかかり…。")</f>
        <v>ナカジ(瑛太)と口論になったハル(上野樹里)は、雨の中、傘も差さずに自宅に戻る。するとハルの家の近くに、ドクター(ジェジュン)の姿があった。思わずドクターに抱きついてしまうハル。ドクターは、そんなハルを抱きしめ、好きだと告白する。  　そんな折、リンダ(玉山鉄二)から、スナナレ会のメンバーに飲み会の誘いが入る。ドクターが、リンダの父・泰敏(山田明郷)が経営する病院に医療機器を納入する契約をまとめたから、おごってくれるのだという。ナカジやハルたちは、いつもの店『ザ・エモーション』に集まった。  　その席でピーち(関めぐみ)は、妊娠したことを皆に告白し、シングルマザーになると宣言する。ナカジたちは、ピーちに協力を申し出る一方で、一番大切なのはピーちの人生なのだからよく考えた方がいいとアドバイスした。やがてドクターたちは店内にあるゲームを始める。とり残されてしまったナカジとハルは、気まずいままだった。2人の様子がおかしいことに気づいたドクターは、ハルを泣かせた相手がナカジだと知り、彼に噛みついた。ハルが大事な人を傷つけたから許せなかった、とドクターに返すナカジ。ハルがそれを否定すると、ドクターは、何故信じてあげないのか、とナカジに掴みかかり…。</v>
      </c>
      <c r="N1650" s="2"/>
      <c r="O1650" s="2"/>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row>
    <row r="1651" ht="204.75" customHeight="1">
      <c r="A1651" s="1">
        <v>4833.0</v>
      </c>
      <c r="B1651" s="2" t="s">
        <v>5263</v>
      </c>
      <c r="C1651" s="2">
        <f>IFERROR(__xludf.DUMMYFUNCTION("split(B1651,""_"")"),1004.0)</f>
        <v>1004</v>
      </c>
      <c r="D1651" s="2" t="str">
        <f>IFERROR(__xludf.DUMMYFUNCTION("""COMPUTED_VALUE"""),"CX")</f>
        <v>CX</v>
      </c>
      <c r="E1651" s="2" t="str">
        <f>IFERROR(__xludf.DUMMYFUNCTION("""COMPUTED_VALUE"""),"木22")</f>
        <v>木22</v>
      </c>
      <c r="F1651" s="2" t="s">
        <v>5264</v>
      </c>
      <c r="G1651" s="2" t="s">
        <v>5277</v>
      </c>
      <c r="H1651" s="1">
        <v>5.0</v>
      </c>
      <c r="I1651" s="1" t="s">
        <v>17</v>
      </c>
      <c r="J1651" s="1" t="s">
        <v>86</v>
      </c>
      <c r="K1651" s="2" t="s">
        <v>5278</v>
      </c>
      <c r="L1651" s="2" t="s">
        <v>5279</v>
      </c>
      <c r="M1651" s="2" t="str">
        <f>IFERROR(__xludf.DUMMYFUNCTION("split(split(K1651,""瑛太　"",false),""公式LINE"",false)"),"ハル(上野樹里)に公開告白をして失恋したドクター(ジェジュン)。リンダ(玉山鉄二)とピーち(関めぐみ)はドクターと共にエモーションに残り、やけ酒に付き合う。先に店を後にしたナカジ(瑛太)とハルが歩いている姿を、ナカジの部屋にいた恋人・桐子(井川遥)が、窓から嫉妬のまなざしで見つめていた。その夜、ナカジの父(吉川晃司)が倒れたと連絡が入り、ナカジは病院にかけつける。ある日、ドクターはナカジの部屋を訪ねて、ハルをあきらめないと話しにくる。  　一方リンダは、ナカジの写真を使ってもらう為に、編集長・奥田(渡辺え"&amp;"り)へお願いをすると、ナカジと「面接」がしたいと言われる。リンダは、「面接」の為に、自分が奥田の部屋に行くと話す。")</f>
        <v>ハル(上野樹里)に公開告白をして失恋したドクター(ジェジュン)。リンダ(玉山鉄二)とピーち(関めぐみ)はドクターと共にエモーションに残り、やけ酒に付き合う。先に店を後にしたナカジ(瑛太)とハルが歩いている姿を、ナカジの部屋にいた恋人・桐子(井川遥)が、窓から嫉妬のまなざしで見つめていた。その夜、ナカジの父(吉川晃司)が倒れたと連絡が入り、ナカジは病院にかけつける。ある日、ドクターはナカジの部屋を訪ねて、ハルをあきらめないと話しにくる。  　一方リンダは、ナカジの写真を使ってもらう為に、編集長・奥田(渡辺えり)へお願いをすると、ナカジと「面接」がしたいと言われる。リンダは、「面接」の為に、自分が奥田の部屋に行くと話す。</v>
      </c>
      <c r="N1651" s="2"/>
      <c r="O1651" s="2"/>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row>
    <row r="1652" ht="204.75" customHeight="1">
      <c r="A1652" s="1">
        <v>4834.0</v>
      </c>
      <c r="B1652" s="2" t="s">
        <v>5263</v>
      </c>
      <c r="C1652" s="2">
        <f>IFERROR(__xludf.DUMMYFUNCTION("split(B1652,""_"")"),1004.0)</f>
        <v>1004</v>
      </c>
      <c r="D1652" s="2" t="str">
        <f>IFERROR(__xludf.DUMMYFUNCTION("""COMPUTED_VALUE"""),"CX")</f>
        <v>CX</v>
      </c>
      <c r="E1652" s="2" t="str">
        <f>IFERROR(__xludf.DUMMYFUNCTION("""COMPUTED_VALUE"""),"木22")</f>
        <v>木22</v>
      </c>
      <c r="F1652" s="2" t="s">
        <v>5264</v>
      </c>
      <c r="G1652" s="2" t="s">
        <v>5280</v>
      </c>
      <c r="H1652" s="1">
        <v>6.0</v>
      </c>
      <c r="I1652" s="1" t="s">
        <v>21</v>
      </c>
      <c r="J1652" s="1" t="s">
        <v>86</v>
      </c>
      <c r="K1652" s="2" t="s">
        <v>5281</v>
      </c>
      <c r="L1652" s="2" t="s">
        <v>5282</v>
      </c>
      <c r="M1652" s="2" t="str">
        <f>IFERROR(__xludf.DUMMYFUNCTION("split(split(K1652,""瑛太　"",false),""公式LINE"",false)"),"ナカジ(瑛太)はリンダ(玉山鉄二)が体を張り、編集長・奥田(渡辺えり)の部屋を訪れる「面接」が成功し、連載が決まった。それをきっかけにナカジは桐子(井川遥)へプレゼントを贈ろうと決める。ハル(上野樹里)は、学校の生徒・松島(阪本奨悟)たちに襲われ心身共に疲れ切っていたが、母親に心配をかけまいと学校は休まず通うことを決める。そして、ハルは、自分を助けてくれたドクター(ジェジュン)の優しさに応え、付き合うことを決める。念願かなったドクターだったが、どこかでハルの自分に対する気持ちに自信が持てないでいた。ある日"&amp;"、ナカジは仕事の途中、ピーち(関めぐみ)の店へ顔を出すと、ちょうどハルがナカジに連絡をしてきた。ハルの様子がおかしいことに気がついたナカジは、すぐにハルのもとへかけつけて・・・?")</f>
        <v>ナカジ(瑛太)はリンダ(玉山鉄二)が体を張り、編集長・奥田(渡辺えり)の部屋を訪れる「面接」が成功し、連載が決まった。それをきっかけにナカジは桐子(井川遥)へプレゼントを贈ろうと決める。ハル(上野樹里)は、学校の生徒・松島(阪本奨悟)たちに襲われ心身共に疲れ切っていたが、母親に心配をかけまいと学校は休まず通うことを決める。そして、ハルは、自分を助けてくれたドクター(ジェジュン)の優しさに応え、付き合うことを決める。念願かなったドクターだったが、どこかでハルの自分に対する気持ちに自信が持てないでいた。ある日、ナカジは仕事の途中、ピーち(関めぐみ)の店へ顔を出すと、ちょうどハルがナカジに連絡をしてきた。ハルの様子がおかしいことに気がついたナカジは、すぐにハルのもとへかけつけて・・・?</v>
      </c>
      <c r="N1652" s="2"/>
      <c r="O1652" s="2"/>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row>
    <row r="1653" ht="204.75" customHeight="1">
      <c r="A1653" s="1">
        <v>4835.0</v>
      </c>
      <c r="B1653" s="2" t="s">
        <v>5263</v>
      </c>
      <c r="C1653" s="2">
        <f>IFERROR(__xludf.DUMMYFUNCTION("split(B1653,""_"")"),1004.0)</f>
        <v>1004</v>
      </c>
      <c r="D1653" s="2" t="str">
        <f>IFERROR(__xludf.DUMMYFUNCTION("""COMPUTED_VALUE"""),"CX")</f>
        <v>CX</v>
      </c>
      <c r="E1653" s="2" t="str">
        <f>IFERROR(__xludf.DUMMYFUNCTION("""COMPUTED_VALUE"""),"木22")</f>
        <v>木22</v>
      </c>
      <c r="F1653" s="2" t="s">
        <v>5264</v>
      </c>
      <c r="G1653" s="2" t="s">
        <v>5283</v>
      </c>
      <c r="H1653" s="1">
        <v>7.0</v>
      </c>
      <c r="I1653" s="1" t="s">
        <v>25</v>
      </c>
      <c r="J1653" s="1" t="s">
        <v>86</v>
      </c>
      <c r="K1653" s="2" t="s">
        <v>5284</v>
      </c>
      <c r="L1653" s="2" t="s">
        <v>5285</v>
      </c>
      <c r="M1653" s="2" t="str">
        <f>IFERROR(__xludf.DUMMYFUNCTION("split(split(K1653,""瑛太　"",false),""公式LINE"",false)"),"リンダ(玉山鉄二)の雑誌で連載が決まったナカジ(瑛太)だったが、桐子(井川遥)に別れを告げられたショックから、リンダから新たに有名カメラマンのアシスタントの仕事を持ちかけられるも、その気になれないでいた。ドクター(ジェジュン)は、ナカジとハル(上野樹里)が一緒にいるところを目撃し、携帯電話で2人の写真を撮っていた妹のミンハ(木南晴夏)から、ハルがデートをしていたと写真を見せられる。一方ハルは、校長から、松島(阪本奨悟)から襲われた事件後も休まずに学校に通っている事で根性があると認められて、別の私立高校で専"&amp;"任教諭の試験を受けてみないかと言われる。  　ある日、リンダの呼びかけで、ナカジの連載決定祝いのスナナレ会が開かれた。ハルは試験勉強の為、先に店を後にする。ドクターは、店に残ったナカジ、リンダ、ピーち(関めぐみ)にハルと「大人の関係」になったと嘘をついて・・・?")</f>
        <v>リンダ(玉山鉄二)の雑誌で連載が決まったナカジ(瑛太)だったが、桐子(井川遥)に別れを告げられたショックから、リンダから新たに有名カメラマンのアシスタントの仕事を持ちかけられるも、その気になれないでいた。ドクター(ジェジュン)は、ナカジとハル(上野樹里)が一緒にいるところを目撃し、携帯電話で2人の写真を撮っていた妹のミンハ(木南晴夏)から、ハルがデートをしていたと写真を見せられる。一方ハルは、校長から、松島(阪本奨悟)から襲われた事件後も休まずに学校に通っている事で根性があると認められて、別の私立高校で専任教諭の試験を受けてみないかと言われる。  　ある日、リンダの呼びかけで、ナカジの連載決定祝いのスナナレ会が開かれた。ハルは試験勉強の為、先に店を後にする。ドクターは、店に残ったナカジ、リンダ、ピーち(関めぐみ)にハルと「大人の関係」になったと嘘をついて・・・?</v>
      </c>
      <c r="N1653" s="2"/>
      <c r="O1653" s="2"/>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row>
    <row r="1654" ht="204.75" customHeight="1">
      <c r="A1654" s="1">
        <v>4836.0</v>
      </c>
      <c r="B1654" s="2" t="s">
        <v>5263</v>
      </c>
      <c r="C1654" s="2">
        <f>IFERROR(__xludf.DUMMYFUNCTION("split(B1654,""_"")"),1004.0)</f>
        <v>1004</v>
      </c>
      <c r="D1654" s="2" t="str">
        <f>IFERROR(__xludf.DUMMYFUNCTION("""COMPUTED_VALUE"""),"CX")</f>
        <v>CX</v>
      </c>
      <c r="E1654" s="2" t="str">
        <f>IFERROR(__xludf.DUMMYFUNCTION("""COMPUTED_VALUE"""),"木22")</f>
        <v>木22</v>
      </c>
      <c r="F1654" s="2" t="s">
        <v>5264</v>
      </c>
      <c r="G1654" s="2" t="s">
        <v>5286</v>
      </c>
      <c r="H1654" s="1">
        <v>8.0</v>
      </c>
      <c r="I1654" s="1" t="s">
        <v>29</v>
      </c>
      <c r="J1654" s="1" t="s">
        <v>86</v>
      </c>
      <c r="K1654" s="2" t="s">
        <v>5287</v>
      </c>
      <c r="L1654" s="2" t="s">
        <v>5288</v>
      </c>
      <c r="M1654" s="2" t="str">
        <f>IFERROR(__xludf.DUMMYFUNCTION("split(split(K1654,""瑛太　"",false),""公式LINE"",false)"),"ナカジ(瑛太)の部屋で一晩を過ごしたことが、ハル(上野樹里)に知られてしまったピーち(関めぐみ)は、ハルの家に話をしに来る。一方ハルは、デートの帰りに家まで送ってくれたドクター(ジェジュン)に、自分をもっと知ってもらおうと自宅へ招く。  　ある日、ナカジが父・亮介(吉川晃司)の様子を見ようと家を訪ねると、同じく亮介を訪ねてきたハルの母・祥子(風吹ジュン)と鉢合わせた。リンダ(玉山鉄二)は、編集長の奥田(渡辺えり)と共にナカジを編集部に呼び、新たに写真の仕事を持ちかけるが、ナカジは打ち合わせのふとした出来事"&amp;"から、リンダに奥田との関係について尋ねる。  　ある日、ナカジは、ピーちから別れた不倫相手の男性とのことで泣きながら電話があり、会って話を聞くが・・・?")</f>
        <v>ナカジ(瑛太)の部屋で一晩を過ごしたことが、ハル(上野樹里)に知られてしまったピーち(関めぐみ)は、ハルの家に話をしに来る。一方ハルは、デートの帰りに家まで送ってくれたドクター(ジェジュン)に、自分をもっと知ってもらおうと自宅へ招く。  　ある日、ナカジが父・亮介(吉川晃司)の様子を見ようと家を訪ねると、同じく亮介を訪ねてきたハルの母・祥子(風吹ジュン)と鉢合わせた。リンダ(玉山鉄二)は、編集長の奥田(渡辺えり)と共にナカジを編集部に呼び、新たに写真の仕事を持ちかけるが、ナカジは打ち合わせのふとした出来事から、リンダに奥田との関係について尋ねる。  　ある日、ナカジは、ピーちから別れた不倫相手の男性とのことで泣きながら電話があり、会って話を聞くが・・・?</v>
      </c>
      <c r="N1654" s="2"/>
      <c r="O1654" s="2"/>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row>
    <row r="1655" ht="204.75" customHeight="1">
      <c r="A1655" s="1">
        <v>4837.0</v>
      </c>
      <c r="B1655" s="2" t="s">
        <v>5263</v>
      </c>
      <c r="C1655" s="2">
        <f>IFERROR(__xludf.DUMMYFUNCTION("split(B1655,""_"")"),1004.0)</f>
        <v>1004</v>
      </c>
      <c r="D1655" s="2" t="str">
        <f>IFERROR(__xludf.DUMMYFUNCTION("""COMPUTED_VALUE"""),"CX")</f>
        <v>CX</v>
      </c>
      <c r="E1655" s="2" t="str">
        <f>IFERROR(__xludf.DUMMYFUNCTION("""COMPUTED_VALUE"""),"木22")</f>
        <v>木22</v>
      </c>
      <c r="F1655" s="2" t="s">
        <v>5264</v>
      </c>
      <c r="G1655" s="2" t="s">
        <v>5289</v>
      </c>
      <c r="H1655" s="1">
        <v>9.0</v>
      </c>
      <c r="I1655" s="1" t="s">
        <v>33</v>
      </c>
      <c r="J1655" s="1" t="s">
        <v>86</v>
      </c>
      <c r="K1655" s="2" t="s">
        <v>5290</v>
      </c>
      <c r="L1655" s="2" t="s">
        <v>5291</v>
      </c>
      <c r="M1655" s="2" t="str">
        <f>IFERROR(__xludf.DUMMYFUNCTION("split(split(K1655,""瑛太　"",false),""公式LINE"",false)"),"ナカジ(瑛太)は、父・亮介(吉川晃司)が肺ガンだと知り、ショックを隠しきれない。  　亮介は、息子が最近カメラマンとして歩み始めたことで、もう一度写真を撮りたいと刺激を受けて、祥子(風吹ジュン)をモデルに写真を撮る。ドクター(ジェジュン)は、ハル(上野樹里)に指輪を贈るためにアルバイトを始めた。ある日、ドクターの元に韓国の母親から、父親が倒れたと手紙が届き、韓国へ戻らなくてはならなくなる。ドクターはハルにプロポーズをして、一緒に韓国に来てもらいたいと話す。一方、落ち込んでいるリンダ(玉山鉄二)を励ますため"&amp;"、ピーち(関めぐみ)の提案で、5人で海へ行くことに。ドクターは、みんなに日本で過ごす最後の夏になると話す。")</f>
        <v>ナカジ(瑛太)は、父・亮介(吉川晃司)が肺ガンだと知り、ショックを隠しきれない。  　亮介は、息子が最近カメラマンとして歩み始めたことで、もう一度写真を撮りたいと刺激を受けて、祥子(風吹ジュン)をモデルに写真を撮る。ドクター(ジェジュン)は、ハル(上野樹里)に指輪を贈るためにアルバイトを始めた。ある日、ドクターの元に韓国の母親から、父親が倒れたと手紙が届き、韓国へ戻らなくてはならなくなる。ドクターはハルにプロポーズをして、一緒に韓国に来てもらいたいと話す。一方、落ち込んでいるリンダ(玉山鉄二)を励ますため、ピーち(関めぐみ)の提案で、5人で海へ行くことに。ドクターは、みんなに日本で過ごす最後の夏になると話す。</v>
      </c>
      <c r="N1655" s="2"/>
      <c r="O1655" s="2"/>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row>
    <row r="1656" ht="204.75" customHeight="1">
      <c r="A1656" s="1">
        <v>4838.0</v>
      </c>
      <c r="B1656" s="2" t="s">
        <v>5263</v>
      </c>
      <c r="C1656" s="2">
        <f>IFERROR(__xludf.DUMMYFUNCTION("split(B1656,""_"")"),1004.0)</f>
        <v>1004</v>
      </c>
      <c r="D1656" s="2" t="str">
        <f>IFERROR(__xludf.DUMMYFUNCTION("""COMPUTED_VALUE"""),"CX")</f>
        <v>CX</v>
      </c>
      <c r="E1656" s="2" t="str">
        <f>IFERROR(__xludf.DUMMYFUNCTION("""COMPUTED_VALUE"""),"木22")</f>
        <v>木22</v>
      </c>
      <c r="F1656" s="2" t="s">
        <v>5264</v>
      </c>
      <c r="G1656" s="2" t="s">
        <v>5292</v>
      </c>
      <c r="H1656" s="1">
        <v>10.0</v>
      </c>
      <c r="I1656" s="1" t="s">
        <v>37</v>
      </c>
      <c r="J1656" s="1" t="s">
        <v>86</v>
      </c>
      <c r="K1656" s="2" t="s">
        <v>5293</v>
      </c>
      <c r="L1656" s="2" t="s">
        <v>5294</v>
      </c>
      <c r="M1656" s="2" t="str">
        <f>IFERROR(__xludf.DUMMYFUNCTION("split(split(K1656,""瑛太　"",false),""公式LINE"",false)"),"ナカジ(瑛太)は、エモーションのトイレで血を流して倒れていたリンダ(玉山鉄二)を病院へ運ぶ。ハル(上野樹里)、ドクター(ジェジュン)、ピーち(関めぐみ)も、すぐに病院へかけつける。リンダの母親・美佐子(朝加真由美)は、息子を病院に連れてきてくれたナカジに感謝をすると共に、連絡を受けてすぐに病院にかけつけてくれた4人の存在に涙ぐむ。　ハルは教員採用試験をついに受ける日が近づき、勉強を続けるが、ドクターの韓国一時帰国が決まる。ドクターはハルに一緒に韓国へ行って、一度親にも紹介したい、自分の生まれ育ったところを"&amp;"見てほしいと話す。ハルはドクターと一緒に韓国へ行くことを決める。")</f>
        <v>ナカジ(瑛太)は、エモーションのトイレで血を流して倒れていたリンダ(玉山鉄二)を病院へ運ぶ。ハル(上野樹里)、ドクター(ジェジュン)、ピーち(関めぐみ)も、すぐに病院へかけつける。リンダの母親・美佐子(朝加真由美)は、息子を病院に連れてきてくれたナカジに感謝をすると共に、連絡を受けてすぐに病院にかけつけてくれた4人の存在に涙ぐむ。　ハルは教員採用試験をついに受ける日が近づき、勉強を続けるが、ドクターの韓国一時帰国が決まる。ドクターはハルに一緒に韓国へ行って、一度親にも紹介したい、自分の生まれ育ったところを見てほしいと話す。ハルはドクターと一緒に韓国へ行くことを決める。</v>
      </c>
      <c r="N1656" s="2"/>
      <c r="O1656" s="2"/>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row>
    <row r="1657" ht="204.75" customHeight="1">
      <c r="A1657" s="1">
        <v>4839.0</v>
      </c>
      <c r="B1657" s="2" t="s">
        <v>5263</v>
      </c>
      <c r="C1657" s="2">
        <f>IFERROR(__xludf.DUMMYFUNCTION("split(B1657,""_"")"),1004.0)</f>
        <v>1004</v>
      </c>
      <c r="D1657" s="2" t="str">
        <f>IFERROR(__xludf.DUMMYFUNCTION("""COMPUTED_VALUE"""),"CX")</f>
        <v>CX</v>
      </c>
      <c r="E1657" s="2" t="str">
        <f>IFERROR(__xludf.DUMMYFUNCTION("""COMPUTED_VALUE"""),"木22")</f>
        <v>木22</v>
      </c>
      <c r="F1657" s="2" t="s">
        <v>5264</v>
      </c>
      <c r="G1657" s="2" t="s">
        <v>5295</v>
      </c>
      <c r="H1657" s="1">
        <v>11.0</v>
      </c>
      <c r="I1657" s="1" t="s">
        <v>41</v>
      </c>
      <c r="J1657" s="1" t="s">
        <v>86</v>
      </c>
      <c r="K1657" s="2" t="s">
        <v>5296</v>
      </c>
      <c r="L1657" s="2" t="s">
        <v>5297</v>
      </c>
      <c r="M1657" s="2" t="str">
        <f>IFERROR(__xludf.DUMMYFUNCTION("split(split(K1657,""瑛太　"",false),""公式LINE"",false)"),"ナカジ(瑛太)は父・亮介(吉川晃司)のアパートで、亮介に知り合いの新聞社から戦場写真を撮影しに行ってくれないか、とオファーがあったことを聞かされる。そんなある日ナカジは、リンダ(玉山鉄二)からの電話で異変を感じリンダのもとにかけつけた為、ベストマガジンの編集長・奥田(渡辺えり)から紹介してもらった、大事な撮影の仕事を中断してしまった事を詫びる。そしてハル(上野樹里)は、先日受験した高校の採用試験の結果を、非常勤講師をしていた推薦者である私立高校の校長に報告しに行く。また、ドクター(ジェジュン)はハルへ、正"&amp;"式に結婚を考えてほしいと伝える。")</f>
        <v>ナカジ(瑛太)は父・亮介(吉川晃司)のアパートで、亮介に知り合いの新聞社から戦場写真を撮影しに行ってくれないか、とオファーがあったことを聞かされる。そんなある日ナカジは、リンダ(玉山鉄二)からの電話で異変を感じリンダのもとにかけつけた為、ベストマガジンの編集長・奥田(渡辺えり)から紹介してもらった、大事な撮影の仕事を中断してしまった事を詫びる。そしてハル(上野樹里)は、先日受験した高校の採用試験の結果を、非常勤講師をしていた推薦者である私立高校の校長に報告しに行く。また、ドクター(ジェジュン)はハルへ、正式に結婚を考えてほしいと伝える。</v>
      </c>
      <c r="N1657" s="2"/>
      <c r="O1657" s="2"/>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row>
    <row r="1658" ht="204.75" customHeight="1">
      <c r="A1658" s="1">
        <v>4892.0</v>
      </c>
      <c r="B1658" s="2" t="s">
        <v>5298</v>
      </c>
      <c r="C1658" s="2">
        <f>IFERROR(__xludf.DUMMYFUNCTION("split(B1658,""_"")"),1001.0)</f>
        <v>1001</v>
      </c>
      <c r="D1658" s="2" t="str">
        <f>IFERROR(__xludf.DUMMYFUNCTION("""COMPUTED_VALUE"""),"CX")</f>
        <v>CX</v>
      </c>
      <c r="E1658" s="2" t="str">
        <f>IFERROR(__xludf.DUMMYFUNCTION("""COMPUTED_VALUE"""),"火21")</f>
        <v>火21</v>
      </c>
      <c r="F1658" s="2" t="s">
        <v>5299</v>
      </c>
      <c r="G1658" s="2" t="s">
        <v>5300</v>
      </c>
      <c r="H1658" s="1">
        <v>1.0</v>
      </c>
      <c r="I1658" s="1" t="s">
        <v>3</v>
      </c>
      <c r="J1658" s="1" t="s">
        <v>4</v>
      </c>
      <c r="K1658" s="4" t="s">
        <v>5301</v>
      </c>
      <c r="L1658" s="2" t="s">
        <v>5302</v>
      </c>
      <c r="M1658" s="2" t="str">
        <f>IFERROR(__xludf.DUMMYFUNCTION("split(split(K1658,""榮倉奈々　"",false),""公式LINE"",false)"),"衝撃の問題作が、火9に登場!!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f>
        <v>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v>
      </c>
      <c r="N1658" s="2"/>
      <c r="O1658" s="2"/>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row>
    <row r="1659" ht="204.75" customHeight="1">
      <c r="A1659" s="1">
        <v>4893.0</v>
      </c>
      <c r="B1659" s="2" t="s">
        <v>5298</v>
      </c>
      <c r="C1659" s="2">
        <f>IFERROR(__xludf.DUMMYFUNCTION("split(B1659,""_"")"),1001.0)</f>
        <v>1001</v>
      </c>
      <c r="D1659" s="2" t="str">
        <f>IFERROR(__xludf.DUMMYFUNCTION("""COMPUTED_VALUE"""),"CX")</f>
        <v>CX</v>
      </c>
      <c r="E1659" s="2" t="str">
        <f>IFERROR(__xludf.DUMMYFUNCTION("""COMPUTED_VALUE"""),"火21")</f>
        <v>火21</v>
      </c>
      <c r="F1659" s="2" t="s">
        <v>5299</v>
      </c>
      <c r="G1659" s="2" t="s">
        <v>5303</v>
      </c>
      <c r="H1659" s="1">
        <v>2.0</v>
      </c>
      <c r="I1659" s="1" t="s">
        <v>7</v>
      </c>
      <c r="J1659" s="1" t="s">
        <v>4</v>
      </c>
      <c r="K1659" s="2" t="s">
        <v>5301</v>
      </c>
      <c r="L1659" s="2" t="s">
        <v>5302</v>
      </c>
      <c r="M1659" s="2" t="str">
        <f>IFERROR(__xludf.DUMMYFUNCTION("split(split(K1659,""榮倉奈々　"",false),""公式LINE"",false)"),"衝撃の問題作が、火9に登場!!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f>
        <v>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v>
      </c>
      <c r="N1659" s="2"/>
      <c r="O1659" s="2"/>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row>
    <row r="1660" ht="204.75" customHeight="1">
      <c r="A1660" s="1">
        <v>4894.0</v>
      </c>
      <c r="B1660" s="2" t="s">
        <v>5298</v>
      </c>
      <c r="C1660" s="2">
        <f>IFERROR(__xludf.DUMMYFUNCTION("split(B1660,""_"")"),1001.0)</f>
        <v>1001</v>
      </c>
      <c r="D1660" s="2" t="str">
        <f>IFERROR(__xludf.DUMMYFUNCTION("""COMPUTED_VALUE"""),"CX")</f>
        <v>CX</v>
      </c>
      <c r="E1660" s="2" t="str">
        <f>IFERROR(__xludf.DUMMYFUNCTION("""COMPUTED_VALUE"""),"火21")</f>
        <v>火21</v>
      </c>
      <c r="F1660" s="2" t="s">
        <v>5299</v>
      </c>
      <c r="G1660" s="2" t="s">
        <v>5304</v>
      </c>
      <c r="H1660" s="1">
        <v>3.0</v>
      </c>
      <c r="I1660" s="1" t="s">
        <v>10</v>
      </c>
      <c r="J1660" s="1" t="s">
        <v>11</v>
      </c>
      <c r="K1660" s="2" t="s">
        <v>5301</v>
      </c>
      <c r="L1660" s="2" t="s">
        <v>5302</v>
      </c>
      <c r="M1660" s="2" t="str">
        <f>IFERROR(__xludf.DUMMYFUNCTION("split(split(K1660,""榮倉奈々　"",false),""公式LINE"",false)"),"衝撃の問題作が、火9に登場!!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f>
        <v>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v>
      </c>
      <c r="N1660" s="2"/>
      <c r="O1660" s="2"/>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row>
    <row r="1661" ht="204.75" customHeight="1">
      <c r="A1661" s="1">
        <v>4895.0</v>
      </c>
      <c r="B1661" s="2" t="s">
        <v>5298</v>
      </c>
      <c r="C1661" s="2">
        <f>IFERROR(__xludf.DUMMYFUNCTION("split(B1661,""_"")"),1001.0)</f>
        <v>1001</v>
      </c>
      <c r="D1661" s="2" t="str">
        <f>IFERROR(__xludf.DUMMYFUNCTION("""COMPUTED_VALUE"""),"CX")</f>
        <v>CX</v>
      </c>
      <c r="E1661" s="2" t="str">
        <f>IFERROR(__xludf.DUMMYFUNCTION("""COMPUTED_VALUE"""),"火21")</f>
        <v>火21</v>
      </c>
      <c r="F1661" s="2" t="s">
        <v>5299</v>
      </c>
      <c r="G1661" s="2" t="s">
        <v>5305</v>
      </c>
      <c r="H1661" s="1">
        <v>4.0</v>
      </c>
      <c r="I1661" s="1" t="s">
        <v>14</v>
      </c>
      <c r="J1661" s="1" t="s">
        <v>11</v>
      </c>
      <c r="K1661" s="2" t="s">
        <v>5301</v>
      </c>
      <c r="L1661" s="2" t="s">
        <v>5302</v>
      </c>
      <c r="M1661" s="2" t="str">
        <f>IFERROR(__xludf.DUMMYFUNCTION("split(split(K1661,""榮倉奈々　"",false),""公式LINE"",false)"),"衝撃の問題作が、火9に登場!!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f>
        <v>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v>
      </c>
      <c r="N1661" s="2"/>
      <c r="O1661" s="2"/>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row>
    <row r="1662" ht="204.75" customHeight="1">
      <c r="A1662" s="1">
        <v>4896.0</v>
      </c>
      <c r="B1662" s="2" t="s">
        <v>5298</v>
      </c>
      <c r="C1662" s="2">
        <f>IFERROR(__xludf.DUMMYFUNCTION("split(B1662,""_"")"),1001.0)</f>
        <v>1001</v>
      </c>
      <c r="D1662" s="2" t="str">
        <f>IFERROR(__xludf.DUMMYFUNCTION("""COMPUTED_VALUE"""),"CX")</f>
        <v>CX</v>
      </c>
      <c r="E1662" s="2" t="str">
        <f>IFERROR(__xludf.DUMMYFUNCTION("""COMPUTED_VALUE"""),"火21")</f>
        <v>火21</v>
      </c>
      <c r="F1662" s="2" t="s">
        <v>5299</v>
      </c>
      <c r="G1662" s="2" t="s">
        <v>5306</v>
      </c>
      <c r="H1662" s="1">
        <v>5.0</v>
      </c>
      <c r="I1662" s="1" t="s">
        <v>17</v>
      </c>
      <c r="J1662" s="1" t="s">
        <v>11</v>
      </c>
      <c r="K1662" s="2" t="s">
        <v>5301</v>
      </c>
      <c r="L1662" s="2" t="s">
        <v>5302</v>
      </c>
      <c r="M1662" s="2" t="str">
        <f>IFERROR(__xludf.DUMMYFUNCTION("split(split(K1662,""榮倉奈々　"",false),""公式LINE"",false)"),"衝撃の問題作が、火9に登場!!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f>
        <v>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v>
      </c>
      <c r="N1662" s="2"/>
      <c r="O1662" s="2"/>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row>
    <row r="1663" ht="204.75" customHeight="1">
      <c r="A1663" s="1">
        <v>4897.0</v>
      </c>
      <c r="B1663" s="2" t="s">
        <v>5298</v>
      </c>
      <c r="C1663" s="2">
        <f>IFERROR(__xludf.DUMMYFUNCTION("split(B1663,""_"")"),1001.0)</f>
        <v>1001</v>
      </c>
      <c r="D1663" s="2" t="str">
        <f>IFERROR(__xludf.DUMMYFUNCTION("""COMPUTED_VALUE"""),"CX")</f>
        <v>CX</v>
      </c>
      <c r="E1663" s="2" t="str">
        <f>IFERROR(__xludf.DUMMYFUNCTION("""COMPUTED_VALUE"""),"火21")</f>
        <v>火21</v>
      </c>
      <c r="F1663" s="2" t="s">
        <v>5299</v>
      </c>
      <c r="G1663" s="2" t="s">
        <v>5307</v>
      </c>
      <c r="H1663" s="1">
        <v>6.0</v>
      </c>
      <c r="I1663" s="1" t="s">
        <v>21</v>
      </c>
      <c r="J1663" s="1" t="s">
        <v>11</v>
      </c>
      <c r="K1663" s="2" t="s">
        <v>5301</v>
      </c>
      <c r="L1663" s="2" t="s">
        <v>5302</v>
      </c>
      <c r="M1663" s="2" t="str">
        <f>IFERROR(__xludf.DUMMYFUNCTION("split(split(K1663,""榮倉奈々　"",false),""公式LINE"",false)"),"衝撃の問題作が、火9に登場!!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f>
        <v>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v>
      </c>
      <c r="N1663" s="2"/>
      <c r="O1663" s="2"/>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row>
    <row r="1664" ht="204.75" customHeight="1">
      <c r="A1664" s="1">
        <v>4898.0</v>
      </c>
      <c r="B1664" s="2" t="s">
        <v>5298</v>
      </c>
      <c r="C1664" s="2">
        <f>IFERROR(__xludf.DUMMYFUNCTION("split(B1664,""_"")"),1001.0)</f>
        <v>1001</v>
      </c>
      <c r="D1664" s="2" t="str">
        <f>IFERROR(__xludf.DUMMYFUNCTION("""COMPUTED_VALUE"""),"CX")</f>
        <v>CX</v>
      </c>
      <c r="E1664" s="2" t="str">
        <f>IFERROR(__xludf.DUMMYFUNCTION("""COMPUTED_VALUE"""),"火21")</f>
        <v>火21</v>
      </c>
      <c r="F1664" s="2" t="s">
        <v>5299</v>
      </c>
      <c r="G1664" s="2" t="s">
        <v>5308</v>
      </c>
      <c r="H1664" s="1">
        <v>7.0</v>
      </c>
      <c r="I1664" s="1" t="s">
        <v>25</v>
      </c>
      <c r="J1664" s="1" t="s">
        <v>11</v>
      </c>
      <c r="K1664" s="2" t="s">
        <v>5301</v>
      </c>
      <c r="L1664" s="2" t="s">
        <v>5302</v>
      </c>
      <c r="M1664" s="2" t="str">
        <f>IFERROR(__xludf.DUMMYFUNCTION("split(split(K1664,""榮倉奈々　"",false),""公式LINE"",false)"),"衝撃の問題作が、火9に登場!!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f>
        <v>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v>
      </c>
      <c r="N1664" s="2"/>
      <c r="O1664" s="2"/>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row>
    <row r="1665" ht="204.75" customHeight="1">
      <c r="A1665" s="1">
        <v>4899.0</v>
      </c>
      <c r="B1665" s="2" t="s">
        <v>5298</v>
      </c>
      <c r="C1665" s="2">
        <f>IFERROR(__xludf.DUMMYFUNCTION("split(B1665,""_"")"),1001.0)</f>
        <v>1001</v>
      </c>
      <c r="D1665" s="2" t="str">
        <f>IFERROR(__xludf.DUMMYFUNCTION("""COMPUTED_VALUE"""),"CX")</f>
        <v>CX</v>
      </c>
      <c r="E1665" s="2" t="str">
        <f>IFERROR(__xludf.DUMMYFUNCTION("""COMPUTED_VALUE"""),"火21")</f>
        <v>火21</v>
      </c>
      <c r="F1665" s="2" t="s">
        <v>5299</v>
      </c>
      <c r="G1665" s="2" t="s">
        <v>5309</v>
      </c>
      <c r="H1665" s="1">
        <v>8.0</v>
      </c>
      <c r="I1665" s="1" t="s">
        <v>29</v>
      </c>
      <c r="J1665" s="1" t="s">
        <v>4</v>
      </c>
      <c r="K1665" s="2" t="s">
        <v>5301</v>
      </c>
      <c r="L1665" s="2" t="s">
        <v>5302</v>
      </c>
      <c r="M1665" s="2" t="str">
        <f>IFERROR(__xludf.DUMMYFUNCTION("split(split(K1665,""榮倉奈々　"",false),""公式LINE"",false)"),"衝撃の問題作が、火9に登場!!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f>
        <v>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v>
      </c>
      <c r="N1665" s="2"/>
      <c r="O1665" s="2"/>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row>
    <row r="1666" ht="204.75" customHeight="1">
      <c r="A1666" s="1">
        <v>4900.0</v>
      </c>
      <c r="B1666" s="2" t="s">
        <v>5310</v>
      </c>
      <c r="C1666" s="2">
        <f>IFERROR(__xludf.DUMMYFUNCTION("split(B1666,""_"")"),1001.0)</f>
        <v>1001</v>
      </c>
      <c r="D1666" s="2" t="str">
        <f>IFERROR(__xludf.DUMMYFUNCTION("""COMPUTED_VALUE"""),"CX")</f>
        <v>CX</v>
      </c>
      <c r="E1666" s="2" t="str">
        <f>IFERROR(__xludf.DUMMYFUNCTION("""COMPUTED_VALUE"""),"火22")</f>
        <v>火22</v>
      </c>
      <c r="F1666" s="2" t="s">
        <v>5311</v>
      </c>
      <c r="G1666" s="2" t="s">
        <v>5312</v>
      </c>
      <c r="H1666" s="1">
        <v>1.0</v>
      </c>
      <c r="I1666" s="1" t="s">
        <v>3</v>
      </c>
      <c r="J1666" s="1" t="s">
        <v>82</v>
      </c>
      <c r="K1666" s="4" t="s">
        <v>5313</v>
      </c>
      <c r="L1666" s="2" t="s">
        <v>5314</v>
      </c>
      <c r="M1666" s="9" t="str">
        <f>IFERROR(__xludf.DUMMYFUNCTION("split(split(K1666,""佐藤隆太　"",false),""html"",false)"),"http://ktv.jp/man/index.")</f>
        <v>http://ktv.jp/man/index.</v>
      </c>
      <c r="N1666" s="2" t="str">
        <f>IFERROR(__xludf.DUMMYFUNCTION("""COMPUTED_VALUE"""),"曲がったことは許せない!ひたすら正しい道を突き進む“まっすぐな男""の前に現れた、“わがままな女""。自由奔放に生きる女に振り回される男に、やがてとんでもない恋の試練が降りかかる…。今、日本一まっすぐで熱い俳優・佐藤隆太が等身大の主人公“まっすぐな男""を演じる、あたたかく切ないヒューマンコメディードラマ!【あらすじ】  中堅建設会社に務める松嶋健一郎(佐藤隆太)は、自分が落とした招待状を使って取引先のパーティに潜り込み、勝手に飲み食いしていた女・栗田鳴海(深田恭子)に出会う。食べ過ぎで腹痛を起こし、病院"&amp;"に行くも診察代が払えないという鳴海に健一郎は仕方なく5000円を渡す。翌日、鳴海が再び現れ、さらに5000円貸して欲しいと言い出す。健一郎は断るが、鳴海のペースに巻き込まれてつい金を渡してしまい、仕事まで世話してやるはめに。そんな折、健一郎をがく然とさせる知らせが入る!")</f>
        <v>曲がったことは許せない!ひたすら正しい道を突き進む“まっすぐな男"の前に現れた、“わがままな女"。自由奔放に生きる女に振り回される男に、やがてとんでもない恋の試練が降りかかる…。今、日本一まっすぐで熱い俳優・佐藤隆太が等身大の主人公“まっすぐな男"を演じる、あたたかく切ないヒューマンコメディードラマ!【あらすじ】  中堅建設会社に務める松嶋健一郎(佐藤隆太)は、自分が落とした招待状を使って取引先のパーティに潜り込み、勝手に飲み食いしていた女・栗田鳴海(深田恭子)に出会う。食べ過ぎで腹痛を起こし、病院に行くも診察代が払えないという鳴海に健一郎は仕方なく5000円を渡す。翌日、鳴海が再び現れ、さらに5000円貸して欲しいと言い出す。健一郎は断るが、鳴海のペースに巻き込まれてつい金を渡してしまい、仕事まで世話してやるはめに。そんな折、健一郎をがく然とさせる知らせが入る!</v>
      </c>
      <c r="O1666" s="2"/>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row>
    <row r="1667" ht="204.75" customHeight="1">
      <c r="A1667" s="1">
        <v>4901.0</v>
      </c>
      <c r="B1667" s="2" t="s">
        <v>5310</v>
      </c>
      <c r="C1667" s="2">
        <f>IFERROR(__xludf.DUMMYFUNCTION("split(B1667,""_"")"),1001.0)</f>
        <v>1001</v>
      </c>
      <c r="D1667" s="2" t="str">
        <f>IFERROR(__xludf.DUMMYFUNCTION("""COMPUTED_VALUE"""),"CX")</f>
        <v>CX</v>
      </c>
      <c r="E1667" s="2" t="str">
        <f>IFERROR(__xludf.DUMMYFUNCTION("""COMPUTED_VALUE"""),"火22")</f>
        <v>火22</v>
      </c>
      <c r="F1667" s="2" t="s">
        <v>5311</v>
      </c>
      <c r="G1667" s="2" t="s">
        <v>5315</v>
      </c>
      <c r="H1667" s="1">
        <v>2.0</v>
      </c>
      <c r="I1667" s="1" t="s">
        <v>7</v>
      </c>
      <c r="J1667" s="1" t="s">
        <v>86</v>
      </c>
      <c r="K1667" s="2" t="s">
        <v>5316</v>
      </c>
      <c r="L1667" s="2" t="s">
        <v>5317</v>
      </c>
      <c r="M1667" s="9" t="str">
        <f>IFERROR(__xludf.DUMMYFUNCTION("split(split(K1667,""佐藤隆太　"",false),""html"",false)"),"http://ktv.jp/man/index.")</f>
        <v>http://ktv.jp/man/index.</v>
      </c>
      <c r="N1667" s="2" t="str">
        <f>IFERROR(__xludf.DUMMYFUNCTION("""COMPUTED_VALUE"""),"佐藤隆太、演じる曲がったことが嫌いで、とにかく「まっすぐな男」健一郎の前に現れた、自由奔放で、いい加減な女、鳴海(深田恭子)。鳴海のせいで、健一郎は仕事の取引先とのトラブルに巻き込まれてしまった…。    【第二話】  鳴海(深田恭子)の潔白を証明しようとしたせいで、健一郎(佐藤隆太)は開発営業部から現場の仕事に飛ばされてしまった。一方、鳴海は迷惑をかけたことなどまったく意に介さず、くだらない用件で呼び出しては健一郎を振り回していた。  そんな折、鳴海の前に刑務所から出てきたばかりの元彼・国枝(波岡一喜)"&amp;"が現れ、復縁を迫る。まもなく、その国枝がフロンティア建設に現れ、健一郎を出せと暴れる騒ぎが起こった。鳴海に問い詰めると、健一郎を新しい恋人だと誤解させたうえ、国枝が刑務所送りになった原因は健一郎にあるとウソまでついたと白状する。身に覚えのない恨みを買うはめになってしまった健一郎は、またも鳴海のせいで窮地に追い込まれる。")</f>
        <v>佐藤隆太、演じる曲がったことが嫌いで、とにかく「まっすぐな男」健一郎の前に現れた、自由奔放で、いい加減な女、鳴海(深田恭子)。鳴海のせいで、健一郎は仕事の取引先とのトラブルに巻き込まれてしまった…。    【第二話】  鳴海(深田恭子)の潔白を証明しようとしたせいで、健一郎(佐藤隆太)は開発営業部から現場の仕事に飛ばされてしまった。一方、鳴海は迷惑をかけたことなどまったく意に介さず、くだらない用件で呼び出しては健一郎を振り回していた。  そんな折、鳴海の前に刑務所から出てきたばかりの元彼・国枝(波岡一喜)が現れ、復縁を迫る。まもなく、その国枝がフロンティア建設に現れ、健一郎を出せと暴れる騒ぎが起こった。鳴海に問い詰めると、健一郎を新しい恋人だと誤解させたうえ、国枝が刑務所送りになった原因は健一郎にあるとウソまでついたと白状する。身に覚えのない恨みを買うはめになってしまった健一郎は、またも鳴海のせいで窮地に追い込まれる。</v>
      </c>
      <c r="O1667" s="2"/>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row>
    <row r="1668" ht="204.75" customHeight="1">
      <c r="A1668" s="1">
        <v>4902.0</v>
      </c>
      <c r="B1668" s="2" t="s">
        <v>5310</v>
      </c>
      <c r="C1668" s="2">
        <f>IFERROR(__xludf.DUMMYFUNCTION("split(B1668,""_"")"),1001.0)</f>
        <v>1001</v>
      </c>
      <c r="D1668" s="2" t="str">
        <f>IFERROR(__xludf.DUMMYFUNCTION("""COMPUTED_VALUE"""),"CX")</f>
        <v>CX</v>
      </c>
      <c r="E1668" s="2" t="str">
        <f>IFERROR(__xludf.DUMMYFUNCTION("""COMPUTED_VALUE"""),"火22")</f>
        <v>火22</v>
      </c>
      <c r="F1668" s="2" t="s">
        <v>5311</v>
      </c>
      <c r="G1668" s="2" t="s">
        <v>5318</v>
      </c>
      <c r="H1668" s="1">
        <v>3.0</v>
      </c>
      <c r="I1668" s="1" t="s">
        <v>10</v>
      </c>
      <c r="J1668" s="1" t="s">
        <v>82</v>
      </c>
      <c r="K1668" s="2" t="s">
        <v>5319</v>
      </c>
      <c r="L1668" s="2" t="s">
        <v>5320</v>
      </c>
      <c r="M1668" s="9" t="str">
        <f>IFERROR(__xludf.DUMMYFUNCTION("split(split(K1668,""佐藤隆太　"",false),""html"",false)"),"http://man.ktv.jp/index.")</f>
        <v>http://man.ktv.jp/index.</v>
      </c>
      <c r="N1668" s="2" t="str">
        <f>IFERROR(__xludf.DUMMYFUNCTION("""COMPUTED_VALUE"""),"　健一郎(佐藤隆太)が鳴海(深田恭子)に持ちかけた話とは、近々竣工するビルの広告にモデルとして出て欲しいという依頼だった。ビルのオーナーが、モデルのイメージにピッタリだと探していた女性が、偶然にも鳴海だったのだ。鳴海の説得に成功すれば次のビル建設の仕事も健一郎の会社に任せると言う。これが実現すれば、30億円規模のプロジェクトとなる大仕事だ。ぜひともものにしたいと必死になる健一郎を弄ぶように、返事を引き延ばす鳴海。  鳴海はここぞとばかり、健一郎のおごりで大いに飲み食いした挙げ句、言いたい放題の暴言を吐く。"&amp;"健一郎は、こみ上げる怒りを抑えながらこれに耐え、ようやくモデルになることを承諾させた。一方、佳乃(貫地谷しほり)の好意に気づかない健一郎に業を煮やした熊沢(田中圭)は、鳴海の広告撮影が行われる日に健一郎と佳乃のデートを強引に手配。その当日、撮影のことが気になってデートに集中できない健一郎に、鳴海が、姿を消してしまったと連絡が入り…。")</f>
        <v>　健一郎(佐藤隆太)が鳴海(深田恭子)に持ちかけた話とは、近々竣工するビルの広告にモデルとして出て欲しいという依頼だった。ビルのオーナーが、モデルのイメージにピッタリだと探していた女性が、偶然にも鳴海だったのだ。鳴海の説得に成功すれば次のビル建設の仕事も健一郎の会社に任せると言う。これが実現すれば、30億円規模のプロジェクトとなる大仕事だ。ぜひともものにしたいと必死になる健一郎を弄ぶように、返事を引き延ばす鳴海。  鳴海はここぞとばかり、健一郎のおごりで大いに飲み食いした挙げ句、言いたい放題の暴言を吐く。健一郎は、こみ上げる怒りを抑えながらこれに耐え、ようやくモデルになることを承諾させた。一方、佳乃(貫地谷しほり)の好意に気づかない健一郎に業を煮やした熊沢(田中圭)は、鳴海の広告撮影が行われる日に健一郎と佳乃のデートを強引に手配。その当日、撮影のことが気になってデートに集中できない健一郎に、鳴海が、姿を消してしまったと連絡が入り…。</v>
      </c>
      <c r="O1668" s="2"/>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row>
    <row r="1669" ht="204.75" customHeight="1">
      <c r="A1669" s="1">
        <v>4903.0</v>
      </c>
      <c r="B1669" s="2" t="s">
        <v>5310</v>
      </c>
      <c r="C1669" s="2">
        <f>IFERROR(__xludf.DUMMYFUNCTION("split(B1669,""_"")"),1001.0)</f>
        <v>1001</v>
      </c>
      <c r="D1669" s="2" t="str">
        <f>IFERROR(__xludf.DUMMYFUNCTION("""COMPUTED_VALUE"""),"CX")</f>
        <v>CX</v>
      </c>
      <c r="E1669" s="2" t="str">
        <f>IFERROR(__xludf.DUMMYFUNCTION("""COMPUTED_VALUE"""),"火22")</f>
        <v>火22</v>
      </c>
      <c r="F1669" s="2" t="s">
        <v>5311</v>
      </c>
      <c r="G1669" s="2" t="s">
        <v>5321</v>
      </c>
      <c r="H1669" s="1">
        <v>4.0</v>
      </c>
      <c r="I1669" s="1" t="s">
        <v>14</v>
      </c>
      <c r="J1669" s="1" t="s">
        <v>82</v>
      </c>
      <c r="K1669" s="2" t="s">
        <v>5322</v>
      </c>
      <c r="L1669" s="2" t="s">
        <v>5323</v>
      </c>
      <c r="M1669" s="9" t="str">
        <f>IFERROR(__xludf.DUMMYFUNCTION("split(split(K1669,""佐藤隆太　"",false),""html"",false)"),"http://man.ktv.jp/index.")</f>
        <v>http://man.ktv.jp/index.</v>
      </c>
      <c r="N1669" s="2" t="str">
        <f>IFERROR(__xludf.DUMMYFUNCTION("""COMPUTED_VALUE"""),"　熊沢(田中圭)がデートを仕組んで以来、2人でランチを楽しむまでに接近した健一郎(佐藤隆太)と佳乃(貫地谷しほり)。  　だが互いにまだぎこちなく、甘いムードとはほど遠い。そんな2人にやきもきする熊沢は、鳴海(深田恭子)が健一郎をまたトラブルに巻き込むのではないかと心配でならない。そんな折、ゆきえ(佐々木希)とケンカをしてアパートを追い出された鳴海が健一郎を呼び出し、家に泊めて欲しいと言い出した。健一郎は断るが、鳴海は泊まると言い張って一歩も引かない。見かねた佳乃は、自分の家に泊めてもいいと申し出る。まん"&amp;"まと佳乃の家に転がり込む鳴海。  　そんな折、鳴海が泊めてくれたお礼に、健一郎との恋の進展に協力したいと佳乃に申し出た。小悪魔的な笑みを浮かべ勝手に盛り上がる鳴海とは対照的に、佳乃の心境は複雑で…。")</f>
        <v>　熊沢(田中圭)がデートを仕組んで以来、2人でランチを楽しむまでに接近した健一郎(佐藤隆太)と佳乃(貫地谷しほり)。  　だが互いにまだぎこちなく、甘いムードとはほど遠い。そんな2人にやきもきする熊沢は、鳴海(深田恭子)が健一郎をまたトラブルに巻き込むのではないかと心配でならない。そんな折、ゆきえ(佐々木希)とケンカをしてアパートを追い出された鳴海が健一郎を呼び出し、家に泊めて欲しいと言い出した。健一郎は断るが、鳴海は泊まると言い張って一歩も引かない。見かねた佳乃は、自分の家に泊めてもいいと申し出る。まんまと佳乃の家に転がり込む鳴海。  　そんな折、鳴海が泊めてくれたお礼に、健一郎との恋の進展に協力したいと佳乃に申し出た。小悪魔的な笑みを浮かべ勝手に盛り上がる鳴海とは対照的に、佳乃の心境は複雑で…。</v>
      </c>
      <c r="O1669" s="2"/>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row>
    <row r="1670" ht="204.75" customHeight="1">
      <c r="A1670" s="1">
        <v>4904.0</v>
      </c>
      <c r="B1670" s="2" t="s">
        <v>5310</v>
      </c>
      <c r="C1670" s="2">
        <f>IFERROR(__xludf.DUMMYFUNCTION("split(B1670,""_"")"),1001.0)</f>
        <v>1001</v>
      </c>
      <c r="D1670" s="2" t="str">
        <f>IFERROR(__xludf.DUMMYFUNCTION("""COMPUTED_VALUE"""),"CX")</f>
        <v>CX</v>
      </c>
      <c r="E1670" s="2" t="str">
        <f>IFERROR(__xludf.DUMMYFUNCTION("""COMPUTED_VALUE"""),"火22")</f>
        <v>火22</v>
      </c>
      <c r="F1670" s="2" t="s">
        <v>5311</v>
      </c>
      <c r="G1670" s="2" t="s">
        <v>5324</v>
      </c>
      <c r="H1670" s="1">
        <v>5.0</v>
      </c>
      <c r="I1670" s="1" t="s">
        <v>17</v>
      </c>
      <c r="J1670" s="1" t="s">
        <v>86</v>
      </c>
      <c r="K1670" s="2" t="s">
        <v>5325</v>
      </c>
      <c r="L1670" s="2" t="s">
        <v>5326</v>
      </c>
      <c r="M1670" s="9" t="str">
        <f>IFERROR(__xludf.DUMMYFUNCTION("split(split(K1670,""佐藤隆太　"",false),""html"",false)"),"http://man.ktv.jp/index.")</f>
        <v>http://man.ktv.jp/index.</v>
      </c>
      <c r="N1670" s="2" t="str">
        <f>IFERROR(__xludf.DUMMYFUNCTION("""COMPUTED_VALUE"""),"　健一郎(佐藤隆太)がやっと佳乃(貫地谷しほり)との恋を意識し始め、2人はいいムードに。一方、ゆきえ(佐々木希)のアパートに戻った鳴海(深田恭子)は暇を持て余し、典夫(渡部篤郎)からアルバイトを紹介してもらう。  　その頃、健一郎のところに取り壊し予定の空きビルに人が住み着いているとの連絡が入る。その正体はなんと鳴海!典夫の世話したアルバイトというのが、空きビルに居座ることだったのだ。健一郎は追いだそうとするが、鳴海は金をもらうまで出て行くつもりはないと居座り続ける。  　一方、ビルから出て行くこともでき"&amp;"ず、退屈で仕方ない鳴海。その夜、鳴海以外は誰もいないはずのビルに怪しい人影が…。翌日、健一郎は、ビルの中から女の悲鳴と男の怒鳴り声が聞こえたとの連絡を受ける。健一郎が慌てて駆けつけると…!")</f>
        <v>　健一郎(佐藤隆太)がやっと佳乃(貫地谷しほり)との恋を意識し始め、2人はいいムードに。一方、ゆきえ(佐々木希)のアパートに戻った鳴海(深田恭子)は暇を持て余し、典夫(渡部篤郎)からアルバイトを紹介してもらう。  　その頃、健一郎のところに取り壊し予定の空きビルに人が住み着いているとの連絡が入る。その正体はなんと鳴海!典夫の世話したアルバイトというのが、空きビルに居座ることだったのだ。健一郎は追いだそうとするが、鳴海は金をもらうまで出て行くつもりはないと居座り続ける。  　一方、ビルから出て行くこともできず、退屈で仕方ない鳴海。その夜、鳴海以外は誰もいないはずのビルに怪しい人影が…。翌日、健一郎は、ビルの中から女の悲鳴と男の怒鳴り声が聞こえたとの連絡を受ける。健一郎が慌てて駆けつけると…!</v>
      </c>
      <c r="O1670" s="2"/>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row>
    <row r="1671" ht="204.75" customHeight="1">
      <c r="A1671" s="1">
        <v>4905.0</v>
      </c>
      <c r="B1671" s="2" t="s">
        <v>5310</v>
      </c>
      <c r="C1671" s="2">
        <f>IFERROR(__xludf.DUMMYFUNCTION("split(B1671,""_"")"),1001.0)</f>
        <v>1001</v>
      </c>
      <c r="D1671" s="2" t="str">
        <f>IFERROR(__xludf.DUMMYFUNCTION("""COMPUTED_VALUE"""),"CX")</f>
        <v>CX</v>
      </c>
      <c r="E1671" s="2" t="str">
        <f>IFERROR(__xludf.DUMMYFUNCTION("""COMPUTED_VALUE"""),"火22")</f>
        <v>火22</v>
      </c>
      <c r="F1671" s="2" t="s">
        <v>5311</v>
      </c>
      <c r="G1671" s="2" t="s">
        <v>5327</v>
      </c>
      <c r="H1671" s="1">
        <v>6.0</v>
      </c>
      <c r="I1671" s="1" t="s">
        <v>21</v>
      </c>
      <c r="J1671" s="1" t="s">
        <v>86</v>
      </c>
      <c r="K1671" s="2" t="s">
        <v>5328</v>
      </c>
      <c r="L1671" s="2" t="s">
        <v>5329</v>
      </c>
      <c r="M1671" s="9" t="str">
        <f>IFERROR(__xludf.DUMMYFUNCTION("split(split(K1671,""佐藤隆太　"",false),""html"",false)"),"http://man.ktv.jp/index.")</f>
        <v>http://man.ktv.jp/index.</v>
      </c>
      <c r="N1671" s="2" t="str">
        <f>IFERROR(__xludf.DUMMYFUNCTION("""COMPUTED_VALUE"""),"　健一郎(佐藤隆太)らが進めていたプロジェクトが、大手のグローバル中央建設に横取りされて中止を余儀なくされた。悔しがる健一郎だが、対抗する術もない。  　そんな折、吉田(岡本信人)からグローバル中央建設に移る気はないかと引き抜きの話を持ちかけられる。キャリアアップのチャンスだが、健一郎は会社を裏切ることはできないとキッパリ断る。さらに吉田は“命の恩人""だとして鳴海(深田恭子)を自分の事務所に雇いたいという。就職する気になった鳴海は健一郎に電話をするが、折しもそれは佳乃(貫地谷しほり)が健一郎の家に遊びに"&amp;"来ていたときだった。佳乃の目が気になり、仕事の電話だと嘘をついてしまう健一郎…。　翌日、初出勤した鳴海は、吉田とグローバル中央建設の人事部長・成田(小須田康人)の会話を聞き、健一郎に引き抜きの話があることを知る。  　そんな中、鳴海は健一郎を嘘の用事で呼び出して成田に引き合わせる。引き抜きの話は断ったはずと突っぱねる健一郎だが、「うちに来れば大きな仕事ができる」となおも誘う成田の言葉に心は揺れて…。")</f>
        <v>　健一郎(佐藤隆太)らが進めていたプロジェクトが、大手のグローバル中央建設に横取りされて中止を余儀なくされた。悔しがる健一郎だが、対抗する術もない。  　そんな折、吉田(岡本信人)からグローバル中央建設に移る気はないかと引き抜きの話を持ちかけられる。キャリアアップのチャンスだが、健一郎は会社を裏切ることはできないとキッパリ断る。さらに吉田は“命の恩人"だとして鳴海(深田恭子)を自分の事務所に雇いたいという。就職する気になった鳴海は健一郎に電話をするが、折しもそれは佳乃(貫地谷しほり)が健一郎の家に遊びに来ていたときだった。佳乃の目が気になり、仕事の電話だと嘘をついてしまう健一郎…。　翌日、初出勤した鳴海は、吉田とグローバル中央建設の人事部長・成田(小須田康人)の会話を聞き、健一郎に引き抜きの話があることを知る。  　そんな中、鳴海は健一郎を嘘の用事で呼び出して成田に引き合わせる。引き抜きの話は断ったはずと突っぱねる健一郎だが、「うちに来れば大きな仕事ができる」となおも誘う成田の言葉に心は揺れて…。</v>
      </c>
      <c r="O1671" s="2"/>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row>
    <row r="1672" ht="204.75" customHeight="1">
      <c r="A1672" s="1">
        <v>4906.0</v>
      </c>
      <c r="B1672" s="2" t="s">
        <v>5310</v>
      </c>
      <c r="C1672" s="2">
        <f>IFERROR(__xludf.DUMMYFUNCTION("split(B1672,""_"")"),1001.0)</f>
        <v>1001</v>
      </c>
      <c r="D1672" s="2" t="str">
        <f>IFERROR(__xludf.DUMMYFUNCTION("""COMPUTED_VALUE"""),"CX")</f>
        <v>CX</v>
      </c>
      <c r="E1672" s="2" t="str">
        <f>IFERROR(__xludf.DUMMYFUNCTION("""COMPUTED_VALUE"""),"火22")</f>
        <v>火22</v>
      </c>
      <c r="F1672" s="2" t="s">
        <v>5311</v>
      </c>
      <c r="G1672" s="2" t="s">
        <v>5330</v>
      </c>
      <c r="H1672" s="1">
        <v>7.0</v>
      </c>
      <c r="I1672" s="1" t="s">
        <v>25</v>
      </c>
      <c r="J1672" s="1" t="s">
        <v>86</v>
      </c>
      <c r="K1672" s="2" t="s">
        <v>5331</v>
      </c>
      <c r="L1672" s="2" t="s">
        <v>5332</v>
      </c>
      <c r="M1672" s="9" t="str">
        <f>IFERROR(__xludf.DUMMYFUNCTION("split(split(K1672,""佐藤隆太　"",false),""html"",false)"),"http://man.ktv.jp/index.")</f>
        <v>http://man.ktv.jp/index.</v>
      </c>
      <c r="N1672" s="2" t="str">
        <f>IFERROR(__xludf.DUMMYFUNCTION("""COMPUTED_VALUE"""),"  　妊娠のことを、もう一度調べた方がいいとゆきえ(佐々木希)から忠告された鳴海(深田恭子)は病院へ。だが、たまたま病院に来ていた健一郎(佐藤隆太)に見つかり、診察も受けないまま逃げ帰ってしまう。  様子のおかしい鳴海を心配した健一郎は、鳴海を病院に連れて行ってやって欲しいと熊沢(田中圭)に依頼。引き受けた熊沢は鳴海に会うが、突然目の前で鳴海が倒れ、意識を失ってしまった。知らせを受け、佳乃(貫地谷しほり)とともに病院に駆けつけた健一郎は、検査の結果を聞かされて仰天。なんと鳴海は妊娠3カ月だった。そこに典夫"&amp;"(渡部篤郎)が現れるが、自分が父親かもしれないと言われて動揺し、逃げ出してしまう。  ところがさらに、思わぬ事実が発覚する!")</f>
        <v>  　妊娠のことを、もう一度調べた方がいいとゆきえ(佐々木希)から忠告された鳴海(深田恭子)は病院へ。だが、たまたま病院に来ていた健一郎(佐藤隆太)に見つかり、診察も受けないまま逃げ帰ってしまう。  様子のおかしい鳴海を心配した健一郎は、鳴海を病院に連れて行ってやって欲しいと熊沢(田中圭)に依頼。引き受けた熊沢は鳴海に会うが、突然目の前で鳴海が倒れ、意識を失ってしまった。知らせを受け、佳乃(貫地谷しほり)とともに病院に駆けつけた健一郎は、検査の結果を聞かされて仰天。なんと鳴海は妊娠3カ月だった。そこに典夫(渡部篤郎)が現れるが、自分が父親かもしれないと言われて動揺し、逃げ出してしまう。  ところがさらに、思わぬ事実が発覚する!</v>
      </c>
      <c r="O1672" s="2"/>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row>
    <row r="1673" ht="204.75" customHeight="1">
      <c r="A1673" s="1">
        <v>4907.0</v>
      </c>
      <c r="B1673" s="2" t="s">
        <v>5310</v>
      </c>
      <c r="C1673" s="2">
        <f>IFERROR(__xludf.DUMMYFUNCTION("split(B1673,""_"")"),1001.0)</f>
        <v>1001</v>
      </c>
      <c r="D1673" s="2" t="str">
        <f>IFERROR(__xludf.DUMMYFUNCTION("""COMPUTED_VALUE"""),"CX")</f>
        <v>CX</v>
      </c>
      <c r="E1673" s="2" t="str">
        <f>IFERROR(__xludf.DUMMYFUNCTION("""COMPUTED_VALUE"""),"火22")</f>
        <v>火22</v>
      </c>
      <c r="F1673" s="2" t="s">
        <v>5311</v>
      </c>
      <c r="G1673" s="2" t="s">
        <v>5333</v>
      </c>
      <c r="H1673" s="1">
        <v>8.0</v>
      </c>
      <c r="I1673" s="1" t="s">
        <v>29</v>
      </c>
      <c r="J1673" s="1" t="s">
        <v>86</v>
      </c>
      <c r="K1673" s="2" t="s">
        <v>5334</v>
      </c>
      <c r="L1673" s="2" t="s">
        <v>5335</v>
      </c>
      <c r="M1673" s="9" t="str">
        <f>IFERROR(__xludf.DUMMYFUNCTION("split(split(K1673,""佐藤隆太　"",false),""html"",false)"),"http://man.ktv.jp/index.")</f>
        <v>http://man.ktv.jp/index.</v>
      </c>
      <c r="N1673" s="2" t="str">
        <f>IFERROR(__xludf.DUMMYFUNCTION("""COMPUTED_VALUE"""),"　片岡(金子昇)のもとから鳴海(深田恭子)を連れ出した健一郎(佐藤隆太)は「父親になるなら、お前と子どもを愛している男じゃなきゃダメだ!」と息巻くが、鳴海は「好きでもないくせに構わないで!」と憤慨。翌日、健一郎は何かを決意したように佳乃(貫地谷しほり)を呼び出し、鳴海に惹かれている自分の本心を打ち明ける。  　鳴海を助けてやりたいという健一郎の告白にショックを受け、涙をこぼす佳乃。そんな2人を見つけた熊沢(田中圭)は、佳乃を裏切った健一郎が許せないと、猛然と殴りかかる。  　明くる朝、アパートを訪ねて来た"&amp;"健一郎の様子からすべてを察した鳴海は佳乃のもとへ。謝ろうとする鳴海に対し、平静を装おうと強がる佳乃だが・・・。  　一方、健一郎はいよいよ告白しようと鳴海を連れて海へ。「俺は、お前が好きだ!」と思いを伝える。")</f>
        <v>　片岡(金子昇)のもとから鳴海(深田恭子)を連れ出した健一郎(佐藤隆太)は「父親になるなら、お前と子どもを愛している男じゃなきゃダメだ!」と息巻くが、鳴海は「好きでもないくせに構わないで!」と憤慨。翌日、健一郎は何かを決意したように佳乃(貫地谷しほり)を呼び出し、鳴海に惹かれている自分の本心を打ち明ける。  　鳴海を助けてやりたいという健一郎の告白にショックを受け、涙をこぼす佳乃。そんな2人を見つけた熊沢(田中圭)は、佳乃を裏切った健一郎が許せないと、猛然と殴りかかる。  　明くる朝、アパートを訪ねて来た健一郎の様子からすべてを察した鳴海は佳乃のもとへ。謝ろうとする鳴海に対し、平静を装おうと強がる佳乃だが・・・。  　一方、健一郎はいよいよ告白しようと鳴海を連れて海へ。「俺は、お前が好きだ!」と思いを伝える。</v>
      </c>
      <c r="O1673" s="2"/>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row>
    <row r="1674" ht="204.75" customHeight="1">
      <c r="A1674" s="1">
        <v>4908.0</v>
      </c>
      <c r="B1674" s="2" t="s">
        <v>5310</v>
      </c>
      <c r="C1674" s="2">
        <f>IFERROR(__xludf.DUMMYFUNCTION("split(B1674,""_"")"),1001.0)</f>
        <v>1001</v>
      </c>
      <c r="D1674" s="2" t="str">
        <f>IFERROR(__xludf.DUMMYFUNCTION("""COMPUTED_VALUE"""),"CX")</f>
        <v>CX</v>
      </c>
      <c r="E1674" s="2" t="str">
        <f>IFERROR(__xludf.DUMMYFUNCTION("""COMPUTED_VALUE"""),"火22")</f>
        <v>火22</v>
      </c>
      <c r="F1674" s="2" t="s">
        <v>5311</v>
      </c>
      <c r="G1674" s="2" t="s">
        <v>5336</v>
      </c>
      <c r="H1674" s="1">
        <v>9.0</v>
      </c>
      <c r="I1674" s="1" t="s">
        <v>33</v>
      </c>
      <c r="J1674" s="1" t="s">
        <v>86</v>
      </c>
      <c r="K1674" s="2" t="s">
        <v>5337</v>
      </c>
      <c r="L1674" s="2" t="s">
        <v>5338</v>
      </c>
      <c r="M1674" s="9" t="str">
        <f>IFERROR(__xludf.DUMMYFUNCTION("split(split(K1674,""佐藤隆太　"",false),""html"",false)"),"http://man.ktv.jp/index.")</f>
        <v>http://man.ktv.jp/index.</v>
      </c>
      <c r="N1674" s="2" t="str">
        <f>IFERROR(__xludf.DUMMYFUNCTION("""COMPUTED_VALUE"""),"　健一郎(佐藤隆太)は姿を消した鳴海(深田恭子)を連日探し続けるが行方は一向につかめない。そんな折、健一郎の母・真砂美(原日出子)が東京の病院に検査入院することに。健一郎は鳴海を紹介すると真砂美に約束。必ず鳴海を探し出すと決意を新たにする。  　一方、街で鳴海の姿を偶然見かけてしまった佳乃(貫地谷しほり)は、あてのない捜索を続ける健一郎を見ているのが辛くなり、悩んだ末に健一郎に報告。佳乃から聞いた情報をたどり、健一郎はようやく、ある居酒屋にたどり着く。そこで健一郎が目にしたのは、これまでとは別人のように、"&amp;"真剣に仕事に取り組む鳴海の姿だった。「もう逃げるなよ。お前を幸せにする。」と告げる健一郎に思わず涙ぐむ鳴海。  　さっそく、母親の真砂美に会わせようと病院に連れていく健一郎に鳴海は「子どものこと、何て言うの?」と戸惑いを見せて…。")</f>
        <v>　健一郎(佐藤隆太)は姿を消した鳴海(深田恭子)を連日探し続けるが行方は一向につかめない。そんな折、健一郎の母・真砂美(原日出子)が東京の病院に検査入院することに。健一郎は鳴海を紹介すると真砂美に約束。必ず鳴海を探し出すと決意を新たにする。  　一方、街で鳴海の姿を偶然見かけてしまった佳乃(貫地谷しほり)は、あてのない捜索を続ける健一郎を見ているのが辛くなり、悩んだ末に健一郎に報告。佳乃から聞いた情報をたどり、健一郎はようやく、ある居酒屋にたどり着く。そこで健一郎が目にしたのは、これまでとは別人のように、真剣に仕事に取り組む鳴海の姿だった。「もう逃げるなよ。お前を幸せにする。」と告げる健一郎に思わず涙ぐむ鳴海。  　さっそく、母親の真砂美に会わせようと病院に連れていく健一郎に鳴海は「子どものこと、何て言うの?」と戸惑いを見せて…。</v>
      </c>
      <c r="O1674" s="2"/>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row>
    <row r="1675" ht="204.75" customHeight="1">
      <c r="A1675" s="1">
        <v>4909.0</v>
      </c>
      <c r="B1675" s="2" t="s">
        <v>5310</v>
      </c>
      <c r="C1675" s="2">
        <f>IFERROR(__xludf.DUMMYFUNCTION("split(B1675,""_"")"),1001.0)</f>
        <v>1001</v>
      </c>
      <c r="D1675" s="2" t="str">
        <f>IFERROR(__xludf.DUMMYFUNCTION("""COMPUTED_VALUE"""),"CX")</f>
        <v>CX</v>
      </c>
      <c r="E1675" s="2" t="str">
        <f>IFERROR(__xludf.DUMMYFUNCTION("""COMPUTED_VALUE"""),"火22")</f>
        <v>火22</v>
      </c>
      <c r="F1675" s="2" t="s">
        <v>5311</v>
      </c>
      <c r="G1675" s="2" t="s">
        <v>5339</v>
      </c>
      <c r="H1675" s="1">
        <v>10.0</v>
      </c>
      <c r="I1675" s="1" t="s">
        <v>37</v>
      </c>
      <c r="J1675" s="1" t="s">
        <v>82</v>
      </c>
      <c r="K1675" s="2" t="s">
        <v>5340</v>
      </c>
      <c r="L1675" s="2" t="s">
        <v>5341</v>
      </c>
      <c r="M1675" s="9" t="str">
        <f>IFERROR(__xludf.DUMMYFUNCTION("split(split(K1675,""佐藤隆太　"",false),""html"",false)"),"http://man.ktv.jp/index.")</f>
        <v>http://man.ktv.jp/index.</v>
      </c>
      <c r="N1675" s="2" t="str">
        <f>IFERROR(__xludf.DUMMYFUNCTION("""COMPUTED_VALUE"""),"　鳴海(深田恭子)が病院に運び込まれた。心配した健一郎(佐藤隆太)は大事なプレゼンを前に、会場を飛び出してしまう。熊沢(田中圭)が代役を務めて事なきを得て、最終プレゼンで大手と一騎打ちすることに。  　社長は賄賂を使ってライバルを出し抜く方針を決め、健一郎に金を渡す役を敢えて任命する。鳴海と子どもを養うため、信念を曲げて会社に従うべきなのか?  　まっすぐな男が下した決断は…?")</f>
        <v>　鳴海(深田恭子)が病院に運び込まれた。心配した健一郎(佐藤隆太)は大事なプレゼンを前に、会場を飛び出してしまう。熊沢(田中圭)が代役を務めて事なきを得て、最終プレゼンで大手と一騎打ちすることに。  　社長は賄賂を使ってライバルを出し抜く方針を決め、健一郎に金を渡す役を敢えて任命する。鳴海と子どもを養うため、信念を曲げて会社に従うべきなのか?  　まっすぐな男が下した決断は…?</v>
      </c>
      <c r="O1675" s="2"/>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row>
    <row r="1676" ht="204.75" customHeight="1">
      <c r="A1676" s="1">
        <v>4928.0</v>
      </c>
      <c r="B1676" s="2" t="s">
        <v>5342</v>
      </c>
      <c r="C1676" s="2">
        <f>IFERROR(__xludf.DUMMYFUNCTION("split(B1676,""_"")"),1001.0)</f>
        <v>1001</v>
      </c>
      <c r="D1676" s="2" t="str">
        <f>IFERROR(__xludf.DUMMYFUNCTION("""COMPUTED_VALUE"""),"CX")</f>
        <v>CX</v>
      </c>
      <c r="E1676" s="2" t="str">
        <f>IFERROR(__xludf.DUMMYFUNCTION("""COMPUTED_VALUE"""),"木22")</f>
        <v>木22</v>
      </c>
      <c r="F1676" s="2" t="s">
        <v>5343</v>
      </c>
      <c r="G1676" s="2" t="s">
        <v>5344</v>
      </c>
      <c r="H1676" s="1">
        <v>1.0</v>
      </c>
      <c r="I1676" s="1" t="s">
        <v>41</v>
      </c>
      <c r="J1676" s="1" t="s">
        <v>86</v>
      </c>
      <c r="K1676" s="4" t="s">
        <v>5345</v>
      </c>
      <c r="L1676" s="2" t="s">
        <v>5346</v>
      </c>
      <c r="M1676" s="2" t="str">
        <f>IFERROR(__xludf.DUMMYFUNCTION("split(split(K1676,""唐沢寿明　"",false),""公式LINE"",false)"),"壹岐正(唐沢寿明)は、副社長の里井達也(岸部一徳)とともに、千代田自動車との提携を目指して米・フォーク社との交渉に臨んだ。千代田自動車側は、乗っ取りを恐れ、フォーク社の出資比率を25%以下にしたいと主張していた。それに対してフォーク社側は、重要決議に拒否権を行使できる33.4%以上でなければ交渉には応じないという姿勢を崩してはいなかった。そこで里井は、腹心である業務本部長の角田保(篠井英介)とともに新たなプランを作成する。それは、壹岐たちが進めてきた提携話を白紙に戻し、フォーク社と千代田自動車が対等の出資"&amp;"比率で新たな合弁会社を作るというものだった。壹岐らとともにデトロイトのフォーク社を訪れた里井は、フォーク会長(アレキサンダー・バリ)との会談を行った。その席でフォーク会長は、新たな合弁会社を作るという里井の提案に強い興味を示し、千代田自動車の経営状況を調べた上で検討する、と答える。里井は、さっそく社長の大門一三(原田芳雄)に連絡をとり、来月フォーク社が日本に覆面調査団を派遣するところまでこぎつけたことを報告する。ところがその矢先、突然、里井が狭心症の発作を起こして倒れてしまう。")</f>
        <v>壹岐正(唐沢寿明)は、副社長の里井達也(岸部一徳)とともに、千代田自動車との提携を目指して米・フォーク社との交渉に臨んだ。千代田自動車側は、乗っ取りを恐れ、フォーク社の出資比率を25%以下にしたいと主張していた。それに対してフォーク社側は、重要決議に拒否権を行使できる33.4%以上でなければ交渉には応じないという姿勢を崩してはいなかった。そこで里井は、腹心である業務本部長の角田保(篠井英介)とともに新たなプランを作成する。それは、壹岐たちが進めてきた提携話を白紙に戻し、フォーク社と千代田自動車が対等の出資比率で新たな合弁会社を作るというものだった。壹岐らとともにデトロイトのフォーク社を訪れた里井は、フォーク会長(アレキサンダー・バリ)との会談を行った。その席でフォーク会長は、新たな合弁会社を作るという里井の提案に強い興味を示し、千代田自動車の経営状況を調べた上で検討する、と答える。里井は、さっそく社長の大門一三(原田芳雄)に連絡をとり、来月フォーク社が日本に覆面調査団を派遣するところまでこぎつけたことを報告する。ところがその矢先、突然、里井が狭心症の発作を起こして倒れてしまう。</v>
      </c>
      <c r="N1676" s="2"/>
      <c r="O1676" s="2"/>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row>
    <row r="1677" ht="204.75" customHeight="1">
      <c r="A1677" s="1">
        <v>4929.0</v>
      </c>
      <c r="B1677" s="2" t="s">
        <v>5342</v>
      </c>
      <c r="C1677" s="2">
        <f>IFERROR(__xludf.DUMMYFUNCTION("split(B1677,""_"")"),1001.0)</f>
        <v>1001</v>
      </c>
      <c r="D1677" s="2" t="str">
        <f>IFERROR(__xludf.DUMMYFUNCTION("""COMPUTED_VALUE"""),"CX")</f>
        <v>CX</v>
      </c>
      <c r="E1677" s="2" t="str">
        <f>IFERROR(__xludf.DUMMYFUNCTION("""COMPUTED_VALUE"""),"木22")</f>
        <v>木22</v>
      </c>
      <c r="F1677" s="2" t="s">
        <v>5343</v>
      </c>
      <c r="G1677" s="2" t="s">
        <v>5347</v>
      </c>
      <c r="H1677" s="1">
        <v>2.0</v>
      </c>
      <c r="I1677" s="1" t="s">
        <v>3666</v>
      </c>
      <c r="J1677" s="1" t="s">
        <v>86</v>
      </c>
      <c r="K1677" s="2" t="s">
        <v>5348</v>
      </c>
      <c r="L1677" s="2" t="s">
        <v>5349</v>
      </c>
      <c r="M1677" s="2" t="str">
        <f>IFERROR(__xludf.DUMMYFUNCTION("split(split(K1677,""唐沢寿明　"",false),""公式LINE"",false)"),"千代田自動車との間で新たな合弁会社を作るという近畿商事の提案に興味を示したフォーク社は、日本に覆面調査団を派遣する。壹岐正(唐沢寿明)は、調査団の責任者で、海外企画担当マネジャーのアーリックマンが来日していないことに気づき、その行方を追っていた。ほどなく、調査団を出迎えた八束功(山崎樹範)から連絡があり、アーリックマンは、緊急の案件があり、オーストラリアに向かったとの情報が入る。不安を拭い去れなかった壹岐は、塙四郎(袴田吉彦)に、近畿商事の支店網を使ってアーリックマンが本当にオーストラリアにいるかどうか調"&amp;"べるよう指示する。一方、副社長の里井達也(岸部一徳)と業務本部長の角田保(篠井英介)は、八束に、調査団を案内する販売店のリストを渡す。それは、千代田自動車の販売店の中でも、経営が安定している店を選んだものだった。あくる日、里井たちは、調査団メンバーとの会合に臨む。その席で、調査団のラディは、里井たちが提示した販売店リストを拒否し、新たなリストを提示。すでに彼らは、経営が悪化している販売店をリストアップしていたのだ。別の日、八束は、ラディを連れてある販売店を訪れる。だが、見学を終えたラディは、突然リスト以外"&amp;"の場所に行きたいと言いだす。そんな折、壹岐のもとに、秋津千里(小雪)から電話が入る。一方、東京商事の鮫島辰三(遠藤憲一)は、里井が病魔に冒されているという事実を察知して…?")</f>
        <v>千代田自動車との間で新たな合弁会社を作るという近畿商事の提案に興味を示したフォーク社は、日本に覆面調査団を派遣する。壹岐正(唐沢寿明)は、調査団の責任者で、海外企画担当マネジャーのアーリックマンが来日していないことに気づき、その行方を追っていた。ほどなく、調査団を出迎えた八束功(山崎樹範)から連絡があり、アーリックマンは、緊急の案件があり、オーストラリアに向かったとの情報が入る。不安を拭い去れなかった壹岐は、塙四郎(袴田吉彦)に、近畿商事の支店網を使ってアーリックマンが本当にオーストラリアにいるかどうか調べるよう指示する。一方、副社長の里井達也(岸部一徳)と業務本部長の角田保(篠井英介)は、八束に、調査団を案内する販売店のリストを渡す。それは、千代田自動車の販売店の中でも、経営が安定している店を選んだものだった。あくる日、里井たちは、調査団メンバーとの会合に臨む。その席で、調査団のラディは、里井たちが提示した販売店リストを拒否し、新たなリストを提示。すでに彼らは、経営が悪化している販売店をリストアップしていたのだ。別の日、八束は、ラディを連れてある販売店を訪れる。だが、見学を終えたラディは、突然リスト以外の場所に行きたいと言いだす。そんな折、壹岐のもとに、秋津千里(小雪)から電話が入る。一方、東京商事の鮫島辰三(遠藤憲一)は、里井が病魔に冒されているという事実を察知して…?</v>
      </c>
      <c r="N1677" s="2"/>
      <c r="O1677" s="2"/>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row>
    <row r="1678" ht="204.75" customHeight="1">
      <c r="A1678" s="1">
        <v>4930.0</v>
      </c>
      <c r="B1678" s="2" t="s">
        <v>5342</v>
      </c>
      <c r="C1678" s="2">
        <f>IFERROR(__xludf.DUMMYFUNCTION("split(B1678,""_"")"),1001.0)</f>
        <v>1001</v>
      </c>
      <c r="D1678" s="2" t="str">
        <f>IFERROR(__xludf.DUMMYFUNCTION("""COMPUTED_VALUE"""),"CX")</f>
        <v>CX</v>
      </c>
      <c r="E1678" s="2" t="str">
        <f>IFERROR(__xludf.DUMMYFUNCTION("""COMPUTED_VALUE"""),"木22")</f>
        <v>木22</v>
      </c>
      <c r="F1678" s="2" t="s">
        <v>5343</v>
      </c>
      <c r="G1678" s="2" t="s">
        <v>5350</v>
      </c>
      <c r="H1678" s="1">
        <v>3.0</v>
      </c>
      <c r="I1678" s="1" t="s">
        <v>3670</v>
      </c>
      <c r="J1678" s="1" t="s">
        <v>86</v>
      </c>
      <c r="K1678" s="2" t="s">
        <v>5351</v>
      </c>
      <c r="L1678" s="2" t="s">
        <v>5352</v>
      </c>
      <c r="M1678" s="2" t="str">
        <f>IFERROR(__xludf.DUMMYFUNCTION("split(split(K1678,""唐沢寿明　"",false),""公式LINE"",false)"),"壹岐正(唐沢寿明)は、社長の大門一三(原田芳雄)に同行して、自由党幹事長・田淵(江守徹)の邸宅を訪れる。その席で田淵は、千代田自動車と米・フォーク社の提携話を持ち出した。田淵がこの提携話に一枚噛んでおきたいという思惑で大門を呼び出したと悟った壹岐は、交渉を詰めた上で改めて助言を仰ぎたい、と答える。一方、出張から戻った副社長の里井達也(岸部一徳)は、田淵の一件を知って壹岐に怒りをぶつける。電話1本で大門が田淵のもとに駆けつけるなど不見識極まる、というのだ。壹岐は、そんな里井に、フォーク調査団のひとりが東京商"&amp;"事の鮫島辰三(遠藤憲一)と行動をともにしていたことを伝える。しかし里井は、その話に耳を貸さないばかりか、壹岐を提携プロジェクトから外してしまう。里井は、すぐさま渡米し、フォーク社との交渉を詰めようとした。ところがフォーク社側は、そんな里井に対し、千代田自動車との間で新たに設立する合弁会社の出資比率をフォーク51%、千代田49%に変更してほしい、という新たな条件を提示する。帰国した里井は、大門とともに千代田自動車側と会談した。するとそこに、毎朝新聞の夕刊を手にした角田保(篠井英介)が飛び込んできた。その一面"&amp;"には、フォーク社が東和自動車と提携する意向を東京商事に正式に伝えた、というスクープ記事が掲載されていた。ショックを受けた里井は、その場で胸をかきむしるようにして倒れ…。")</f>
        <v>壹岐正(唐沢寿明)は、社長の大門一三(原田芳雄)に同行して、自由党幹事長・田淵(江守徹)の邸宅を訪れる。その席で田淵は、千代田自動車と米・フォーク社の提携話を持ち出した。田淵がこの提携話に一枚噛んでおきたいという思惑で大門を呼び出したと悟った壹岐は、交渉を詰めた上で改めて助言を仰ぎたい、と答える。一方、出張から戻った副社長の里井達也(岸部一徳)は、田淵の一件を知って壹岐に怒りをぶつける。電話1本で大門が田淵のもとに駆けつけるなど不見識極まる、というのだ。壹岐は、そんな里井に、フォーク調査団のひとりが東京商事の鮫島辰三(遠藤憲一)と行動をともにしていたことを伝える。しかし里井は、その話に耳を貸さないばかりか、壹岐を提携プロジェクトから外してしまう。里井は、すぐさま渡米し、フォーク社との交渉を詰めようとした。ところがフォーク社側は、そんな里井に対し、千代田自動車との間で新たに設立する合弁会社の出資比率をフォーク51%、千代田49%に変更してほしい、という新たな条件を提示する。帰国した里井は、大門とともに千代田自動車側と会談した。するとそこに、毎朝新聞の夕刊を手にした角田保(篠井英介)が飛び込んできた。その一面には、フォーク社が東和自動車と提携する意向を東京商事に正式に伝えた、というスクープ記事が掲載されていた。ショックを受けた里井は、その場で胸をかきむしるようにして倒れ…。</v>
      </c>
      <c r="N1678" s="2"/>
      <c r="O1678" s="2"/>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row>
    <row r="1679" ht="204.75" customHeight="1">
      <c r="A1679" s="1">
        <v>4931.0</v>
      </c>
      <c r="B1679" s="2" t="s">
        <v>5342</v>
      </c>
      <c r="C1679" s="2">
        <f>IFERROR(__xludf.DUMMYFUNCTION("split(B1679,""_"")"),1001.0)</f>
        <v>1001</v>
      </c>
      <c r="D1679" s="2" t="str">
        <f>IFERROR(__xludf.DUMMYFUNCTION("""COMPUTED_VALUE"""),"CX")</f>
        <v>CX</v>
      </c>
      <c r="E1679" s="2" t="str">
        <f>IFERROR(__xludf.DUMMYFUNCTION("""COMPUTED_VALUE"""),"木22")</f>
        <v>木22</v>
      </c>
      <c r="F1679" s="2" t="s">
        <v>5343</v>
      </c>
      <c r="G1679" s="2" t="s">
        <v>5353</v>
      </c>
      <c r="H1679" s="1">
        <v>4.0</v>
      </c>
      <c r="I1679" s="1" t="s">
        <v>5354</v>
      </c>
      <c r="J1679" s="1" t="s">
        <v>82</v>
      </c>
      <c r="K1679" s="2" t="s">
        <v>5355</v>
      </c>
      <c r="L1679" s="2" t="s">
        <v>5356</v>
      </c>
      <c r="M1679" s="2" t="str">
        <f>IFERROR(__xludf.DUMMYFUNCTION("split(split(K1679,""唐沢寿明　"",false),""公式LINE"",false)"),"アメリカ近畿商事から東京本社に帰任した壹岐正(唐沢寿明)は、専務取締役に就任する。それから半年後、イランで石油鉱区が売りに出されるという情報をつかんだ石油部長の兵頭信一良(竹野内豊)は、石油開発を手がけたいと壹岐に直訴する。壹岐は、石油開発にすべてを賭けようとしている兵頭の強い決意を知り、ただちにイランに向かうよう指示する。社長の大門一三(原田芳雄)を訪ねた壹岐は、さっそく石油開発の件を切り出した。大門は、石油が出れば1000億円以上の利益が見込まれるものの、もし出なければ100億円もの開発費用が無駄にな"&amp;"ると知ると、その場での決断を避けた。一方、兵頭は、近畿商事テヘラン事務所を拠点にして情報収集を開始する。だが、売りに出される鉱区についての情報をつかむことができなかった。  　そんななか、壹岐は、国際ロビイストの竹中莞爾(清水紘治)の事務所を訪ねる。そこで壹岐は、リビアの元石油大臣・ハバシュが、売りに出される鉱区を知っているという情報を得る。壹岐は、兵頭に連絡し、ハバシュが滞在しているパリに向かうよう命じた。パリに到着した兵頭は、ハバシュと会う約束を取り付け、滞在先のホテルを訪れる。しかしハバシュは、多忙"&amp;"を理由に兵頭と会おうとはしなかった。そんな兵頭の前に、黄紅子(天海祐希)が現れる。")</f>
        <v>アメリカ近畿商事から東京本社に帰任した壹岐正(唐沢寿明)は、専務取締役に就任する。それから半年後、イランで石油鉱区が売りに出されるという情報をつかんだ石油部長の兵頭信一良(竹野内豊)は、石油開発を手がけたいと壹岐に直訴する。壹岐は、石油開発にすべてを賭けようとしている兵頭の強い決意を知り、ただちにイランに向かうよう指示する。社長の大門一三(原田芳雄)を訪ねた壹岐は、さっそく石油開発の件を切り出した。大門は、石油が出れば1000億円以上の利益が見込まれるものの、もし出なければ100億円もの開発費用が無駄になると知ると、その場での決断を避けた。一方、兵頭は、近畿商事テヘラン事務所を拠点にして情報収集を開始する。だが、売りに出される鉱区についての情報をつかむことができなかった。  　そんななか、壹岐は、国際ロビイストの竹中莞爾(清水紘治)の事務所を訪ねる。そこで壹岐は、リビアの元石油大臣・ハバシュが、売りに出される鉱区を知っているという情報を得る。壹岐は、兵頭に連絡し、ハバシュが滞在しているパリに向かうよう命じた。パリに到着した兵頭は、ハバシュと会う約束を取り付け、滞在先のホテルを訪れる。しかしハバシュは、多忙を理由に兵頭と会おうとはしなかった。そんな兵頭の前に、黄紅子(天海祐希)が現れる。</v>
      </c>
      <c r="N1679" s="2"/>
      <c r="O1679" s="2"/>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row>
    <row r="1680" ht="204.75" customHeight="1">
      <c r="A1680" s="1">
        <v>4932.0</v>
      </c>
      <c r="B1680" s="2" t="s">
        <v>5342</v>
      </c>
      <c r="C1680" s="2">
        <f>IFERROR(__xludf.DUMMYFUNCTION("split(B1680,""_"")"),1001.0)</f>
        <v>1001</v>
      </c>
      <c r="D1680" s="2" t="str">
        <f>IFERROR(__xludf.DUMMYFUNCTION("""COMPUTED_VALUE"""),"CX")</f>
        <v>CX</v>
      </c>
      <c r="E1680" s="2" t="str">
        <f>IFERROR(__xludf.DUMMYFUNCTION("""COMPUTED_VALUE"""),"木22")</f>
        <v>木22</v>
      </c>
      <c r="F1680" s="2" t="s">
        <v>5343</v>
      </c>
      <c r="G1680" s="2" t="s">
        <v>5357</v>
      </c>
      <c r="H1680" s="1">
        <v>5.0</v>
      </c>
      <c r="I1680" s="1" t="s">
        <v>5358</v>
      </c>
      <c r="J1680" s="1" t="s">
        <v>82</v>
      </c>
      <c r="K1680" s="2" t="s">
        <v>5359</v>
      </c>
      <c r="L1680" s="2" t="s">
        <v>5360</v>
      </c>
      <c r="M1680" s="2" t="str">
        <f>IFERROR(__xludf.DUMMYFUNCTION("split(split(K1680,""唐沢寿明　"",false),""公式LINE"",false)"),"石油開発に乗り出した壹岐正(唐沢寿明)と兵頭信一良(竹野内豊)は、イランのサルベスタン鉱区入札に関して、日本石油公社総裁の貝塚道生(段田安則)が提案した東京商事らとの連合を拒否する。技術力と資本力を持つ海外の石油開発会社と組む道を選んだ壹岐たちは、米の独立系石油会社・オリオン・オイル社に注目する。  　ある夜、クラブ『ル・ボア』を訪れた壹岐は、黄紅子(天海祐希)と再会する。近畿商事が石油ビジネスに乗り出すという情報をすでに聞きつけていた紅子は、イランの前王妃からも近畿商事について尋ねられたという。その際、"&amp;"紅子がオリオン・オイル社のリーガン会長とも面識があると知った壹岐は、仲介役を頼んだ。それを引き受けた紅子は、来月、リーガン会長が夫の黄乾臣(石橋蓮司)に会いに来るから、兵頭とともにジャカルタに来るよう告げる。  　一方、仕事に復帰した副社長の里井達也(岸部一徳)は、社長の大門一三(原田芳雄)から石油開発の件を相談される。里井は、日本石油公社のグループから降りて海外の会社と組むのは非常識だとし、失敗すれば会社の屋台骨を揺るがしかねないと主張する。  　そんななか、黄邸を訪れた壹岐と兵頭は、リーガン会長に会い"&amp;"、サルベスタン鉱区入札に関し、パートナーシップを結ぶ約束を取り付ける。次の問題は、100億円の資金確保だった。壹岐たちは、社内の反対勢力を抑えるために極秘で動き始める。")</f>
        <v>石油開発に乗り出した壹岐正(唐沢寿明)と兵頭信一良(竹野内豊)は、イランのサルベスタン鉱区入札に関して、日本石油公社総裁の貝塚道生(段田安則)が提案した東京商事らとの連合を拒否する。技術力と資本力を持つ海外の石油開発会社と組む道を選んだ壹岐たちは、米の独立系石油会社・オリオン・オイル社に注目する。  　ある夜、クラブ『ル・ボア』を訪れた壹岐は、黄紅子(天海祐希)と再会する。近畿商事が石油ビジネスに乗り出すという情報をすでに聞きつけていた紅子は、イランの前王妃からも近畿商事について尋ねられたという。その際、紅子がオリオン・オイル社のリーガン会長とも面識があると知った壹岐は、仲介役を頼んだ。それを引き受けた紅子は、来月、リーガン会長が夫の黄乾臣(石橋蓮司)に会いに来るから、兵頭とともにジャカルタに来るよう告げる。  　一方、仕事に復帰した副社長の里井達也(岸部一徳)は、社長の大門一三(原田芳雄)から石油開発の件を相談される。里井は、日本石油公社のグループから降りて海外の会社と組むのは非常識だとし、失敗すれば会社の屋台骨を揺るがしかねないと主張する。  　そんななか、黄邸を訪れた壹岐と兵頭は、リーガン会長に会い、サルベスタン鉱区入札に関し、パートナーシップを結ぶ約束を取り付ける。次の問題は、100億円の資金確保だった。壹岐たちは、社内の反対勢力を抑えるために極秘で動き始める。</v>
      </c>
      <c r="N1680" s="2"/>
      <c r="O1680" s="2"/>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row>
    <row r="1681" ht="204.75" customHeight="1">
      <c r="A1681" s="1">
        <v>4933.0</v>
      </c>
      <c r="B1681" s="2" t="s">
        <v>5342</v>
      </c>
      <c r="C1681" s="2">
        <f>IFERROR(__xludf.DUMMYFUNCTION("split(B1681,""_"")"),1001.0)</f>
        <v>1001</v>
      </c>
      <c r="D1681" s="2" t="str">
        <f>IFERROR(__xludf.DUMMYFUNCTION("""COMPUTED_VALUE"""),"CX")</f>
        <v>CX</v>
      </c>
      <c r="E1681" s="2" t="str">
        <f>IFERROR(__xludf.DUMMYFUNCTION("""COMPUTED_VALUE"""),"木22")</f>
        <v>木22</v>
      </c>
      <c r="F1681" s="2" t="s">
        <v>5343</v>
      </c>
      <c r="G1681" s="2" t="s">
        <v>5361</v>
      </c>
      <c r="H1681" s="1">
        <v>6.0</v>
      </c>
      <c r="I1681" s="1" t="s">
        <v>5362</v>
      </c>
      <c r="J1681" s="1" t="s">
        <v>86</v>
      </c>
      <c r="K1681" s="2" t="s">
        <v>5363</v>
      </c>
      <c r="L1681" s="2" t="s">
        <v>5364</v>
      </c>
      <c r="M1681" s="2" t="str">
        <f>IFERROR(__xludf.DUMMYFUNCTION("split(split(K1681,""唐沢寿明　"",false),""公式LINE"",false)"),"石油開発に乗り出した壹岐正(唐沢寿明)と兵頭信一良(竹野内豊)は、イラン・サルベスタン鉱区の国際入札に際し、商社連合の日本石油公社グループから離脱し、米独立系石油会社オリオン・オイルと組むことを決意する。だが、毎朝新聞の一面トップに、近畿商事を批判する記事が掲載される。日本石油公社グループからの離脱は国益を無視した行為だというのだ。それを受け、日本石油公社総裁の貝塚道生(段田安則)は、近畿商事の行動は利益を独占しようというものであり極めて遺憾だとのコメントを発表する。一方、兵頭は、近畿商事テヘラン事務所を"&amp;"拠点に、国際入札の決定権を持つイラン国王とその周辺の人物の情報収集を続けていた。国王の決断に影響力を持つ側近とコンタクトを取ることが最重要任務だった。近畿商事への非難が高まる中、取引先からは、オリオン・オイルと組むなら今後の取引を白紙に戻すという電話が相次いだ。壹岐は、オリオン・オイルとの入札が事実だと認めた上で、今回の決断はあくまでも日本石油公社グループが入札できなかった場合の安全弁だと取引先に説明するよう指示する。そんな折、壹岐の前に、元近畿商事社員の小出宏(松重豊)が現れる。小出は、壹岐のことが心配"&amp;"で訪ねてきたとうそぶくと、近畿商事が日本石油公社グループに戻れるよう仲介してくれる人物が待っている、と告げる。")</f>
        <v>石油開発に乗り出した壹岐正(唐沢寿明)と兵頭信一良(竹野内豊)は、イラン・サルベスタン鉱区の国際入札に際し、商社連合の日本石油公社グループから離脱し、米独立系石油会社オリオン・オイルと組むことを決意する。だが、毎朝新聞の一面トップに、近畿商事を批判する記事が掲載される。日本石油公社グループからの離脱は国益を無視した行為だというのだ。それを受け、日本石油公社総裁の貝塚道生(段田安則)は、近畿商事の行動は利益を独占しようというものであり極めて遺憾だとのコメントを発表する。一方、兵頭は、近畿商事テヘラン事務所を拠点に、国際入札の決定権を持つイラン国王とその周辺の人物の情報収集を続けていた。国王の決断に影響力を持つ側近とコンタクトを取ることが最重要任務だった。近畿商事への非難が高まる中、取引先からは、オリオン・オイルと組むなら今後の取引を白紙に戻すという電話が相次いだ。壹岐は、オリオン・オイルとの入札が事実だと認めた上で、今回の決断はあくまでも日本石油公社グループが入札できなかった場合の安全弁だと取引先に説明するよう指示する。そんな折、壹岐の前に、元近畿商事社員の小出宏(松重豊)が現れる。小出は、壹岐のことが心配で訪ねてきたとうそぶくと、近畿商事が日本石油公社グループに戻れるよう仲介してくれる人物が待っている、と告げる。</v>
      </c>
      <c r="N1681" s="2"/>
      <c r="O1681" s="2"/>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row>
    <row r="1682" ht="204.75" customHeight="1">
      <c r="A1682" s="1">
        <v>4934.0</v>
      </c>
      <c r="B1682" s="2" t="s">
        <v>5342</v>
      </c>
      <c r="C1682" s="2">
        <f>IFERROR(__xludf.DUMMYFUNCTION("split(B1682,""_"")"),1001.0)</f>
        <v>1001</v>
      </c>
      <c r="D1682" s="2" t="str">
        <f>IFERROR(__xludf.DUMMYFUNCTION("""COMPUTED_VALUE"""),"CX")</f>
        <v>CX</v>
      </c>
      <c r="E1682" s="2" t="str">
        <f>IFERROR(__xludf.DUMMYFUNCTION("""COMPUTED_VALUE"""),"木22")</f>
        <v>木22</v>
      </c>
      <c r="F1682" s="2" t="s">
        <v>5343</v>
      </c>
      <c r="G1682" s="2" t="s">
        <v>5365</v>
      </c>
      <c r="H1682" s="1">
        <v>7.0</v>
      </c>
      <c r="I1682" s="1" t="s">
        <v>5366</v>
      </c>
      <c r="J1682" s="1" t="s">
        <v>86</v>
      </c>
      <c r="K1682" s="2" t="s">
        <v>5367</v>
      </c>
      <c r="L1682" s="2" t="s">
        <v>5368</v>
      </c>
      <c r="M1682" s="2" t="str">
        <f>IFERROR(__xludf.DUMMYFUNCTION("split(split(K1682,""唐沢寿明　"",false),""公式LINE"",false)"),"壹岐正(唐沢寿明)と兵頭信一良(竹野内豊)は、ソ連の首都モスクワを訪れる。イラン・サルベスタン鉱区の国際入札に際し、他社の入札価格を入手すべく、イラン国王の側近である医師ドクター・フォルジに会うためだった。一方、五菱商事、五井物産とともに日本石油公社グループとしてサルベスタン鉱区の国際入札に臨む東京商事の鮫島辰三(遠藤憲一)は、日本の企業を集めた経済ミッションを派遣し、イラン政府へのアピールに成功していた。そんな折、兵頭がテヘランから姿を消したとの情報を得た鮫島は、近畿商事が何らかの行動を起こしているので"&amp;"はないかと不審を抱く。壹岐たちは、フォルジがイラン・イスファハンの名門一族の出身であること、内乱で当時10歳だったフォルジの目の前で一族が殺されるという過酷な体験をしていることを知る。フォルジとの面会を果たした壹岐は、そこで敢えてイスファハンのことを口にした。それに対してフォルジは、シベリアには何年いたのか、と壹岐に返す。同じころ、鮫島は、義理の娘でもある直子(多部未華子)をだまし、壹岐がモスクワにいることを聞きだす。壹岐たちがイラン国王の側近と接触したことを確信した鮫島は、五菱商事の神尾(名高達男)や五"&amp;"井物産の神尾(大門正明)に対し、入札価格に500万ドル上乗せすべきだと訴える。同じころ、帰国した壹岐は、社長の大門一三(原田芳雄)にフォルジから提示された条件を伝える。")</f>
        <v>壹岐正(唐沢寿明)と兵頭信一良(竹野内豊)は、ソ連の首都モスクワを訪れる。イラン・サルベスタン鉱区の国際入札に際し、他社の入札価格を入手すべく、イラン国王の側近である医師ドクター・フォルジに会うためだった。一方、五菱商事、五井物産とともに日本石油公社グループとしてサルベスタン鉱区の国際入札に臨む東京商事の鮫島辰三(遠藤憲一)は、日本の企業を集めた経済ミッションを派遣し、イラン政府へのアピールに成功していた。そんな折、兵頭がテヘランから姿を消したとの情報を得た鮫島は、近畿商事が何らかの行動を起こしているのではないかと不審を抱く。壹岐たちは、フォルジがイラン・イスファハンの名門一族の出身であること、内乱で当時10歳だったフォルジの目の前で一族が殺されるという過酷な体験をしていることを知る。フォルジとの面会を果たした壹岐は、そこで敢えてイスファハンのことを口にした。それに対してフォルジは、シベリアには何年いたのか、と壹岐に返す。同じころ、鮫島は、義理の娘でもある直子(多部未華子)をだまし、壹岐がモスクワにいることを聞きだす。壹岐たちがイラン国王の側近と接触したことを確信した鮫島は、五菱商事の神尾(名高達男)や五井物産の神尾(大門正明)に対し、入札価格に500万ドル上乗せすべきだと訴える。同じころ、帰国した壹岐は、社長の大門一三(原田芳雄)にフォルジから提示された条件を伝える。</v>
      </c>
      <c r="N1682" s="2"/>
      <c r="O1682" s="2"/>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row>
    <row r="1683" ht="204.75" customHeight="1">
      <c r="A1683" s="1">
        <v>4935.0</v>
      </c>
      <c r="B1683" s="2" t="s">
        <v>5342</v>
      </c>
      <c r="C1683" s="2">
        <f>IFERROR(__xludf.DUMMYFUNCTION("split(B1683,""_"")"),1001.0)</f>
        <v>1001</v>
      </c>
      <c r="D1683" s="2" t="str">
        <f>IFERROR(__xludf.DUMMYFUNCTION("""COMPUTED_VALUE"""),"CX")</f>
        <v>CX</v>
      </c>
      <c r="E1683" s="2" t="str">
        <f>IFERROR(__xludf.DUMMYFUNCTION("""COMPUTED_VALUE"""),"木22")</f>
        <v>木22</v>
      </c>
      <c r="F1683" s="2" t="s">
        <v>5343</v>
      </c>
      <c r="G1683" s="2" t="s">
        <v>5369</v>
      </c>
      <c r="H1683" s="1">
        <v>8.0</v>
      </c>
      <c r="I1683" s="1" t="s">
        <v>5370</v>
      </c>
      <c r="J1683" s="1" t="s">
        <v>86</v>
      </c>
      <c r="K1683" s="2" t="s">
        <v>5371</v>
      </c>
      <c r="L1683" s="2" t="s">
        <v>5372</v>
      </c>
      <c r="M1683" s="2" t="str">
        <f>IFERROR(__xludf.DUMMYFUNCTION("split(split(K1683,""唐沢寿明　"",false),""公式LINE"",false)"),"近畿商事が米独立系石油開発会社オリオン・オイル社と組んでイランのサルベスタン鉱区を落札してから3年8カ月が過ぎようとしていた。副社長となった壹岐正(唐沢寿明)は、人事、総務、業務、海外事業の4部門を掌握し、事実上、近畿商事の経営全般を指揮する権限を有するようになっていた。  　一方、石油部長だった兵頭信一良(竹野内豊)は、石油、ガスなどを統括するエネルギー部門の担当常務に昇進していた。サルベスタンではすでに3本の井戸を掘っていたが、石油は一滴も出なかった。現在、四号井の掘削を進めているものの、これまでに合"&amp;"計50億円もの掘削費が泡と消えていた。そんな矢先、四号井が深さ4750フィートで逸泥を起こし、いつ暴噴するかわからないとの連絡が入る。現地に向かった兵頭は、石油があると思われる深度5000～8000フィートまで掘り進める方法を模索した。だが、これ以上掘るのは不可能だという現場責任者の判断もあり、四号井の廃坑を決断する。四号井の廃坑を受け、日本石油公社は近畿商事への支援打ち切りを決定する。壹岐は、社長の大門一三(原田芳雄)に五号井の掘削を願い出た。しかし大門は、公社が手を引いた以上資金繰りができないとして、"&amp;"サルベスタンから撤退すると言い出す。開発を諦めきれない壹岐は、中東の石油事情に詳しい国際ロビイストの竹中莞爾(清水紘冶)を訪ね…。")</f>
        <v>近畿商事が米独立系石油開発会社オリオン・オイル社と組んでイランのサルベスタン鉱区を落札してから3年8カ月が過ぎようとしていた。副社長となった壹岐正(唐沢寿明)は、人事、総務、業務、海外事業の4部門を掌握し、事実上、近畿商事の経営全般を指揮する権限を有するようになっていた。  　一方、石油部長だった兵頭信一良(竹野内豊)は、石油、ガスなどを統括するエネルギー部門の担当常務に昇進していた。サルベスタンではすでに3本の井戸を掘っていたが、石油は一滴も出なかった。現在、四号井の掘削を進めているものの、これまでに合計50億円もの掘削費が泡と消えていた。そんな矢先、四号井が深さ4750フィートで逸泥を起こし、いつ暴噴するかわからないとの連絡が入る。現地に向かった兵頭は、石油があると思われる深度5000～8000フィートまで掘り進める方法を模索した。だが、これ以上掘るのは不可能だという現場責任者の判断もあり、四号井の廃坑を決断する。四号井の廃坑を受け、日本石油公社は近畿商事への支援打ち切りを決定する。壹岐は、社長の大門一三(原田芳雄)に五号井の掘削を願い出た。しかし大門は、公社が手を引いた以上資金繰りができないとして、サルベスタンから撤退すると言い出す。開発を諦めきれない壹岐は、中東の石油事情に詳しい国際ロビイストの竹中莞爾(清水紘冶)を訪ね…。</v>
      </c>
      <c r="N1683" s="2"/>
      <c r="O1683" s="2"/>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row>
    <row r="1684" ht="204.75" customHeight="1">
      <c r="A1684" s="1">
        <v>4936.0</v>
      </c>
      <c r="B1684" s="2" t="s">
        <v>5342</v>
      </c>
      <c r="C1684" s="2">
        <f>IFERROR(__xludf.DUMMYFUNCTION("split(B1684,""_"")"),1001.0)</f>
        <v>1001</v>
      </c>
      <c r="D1684" s="2" t="str">
        <f>IFERROR(__xludf.DUMMYFUNCTION("""COMPUTED_VALUE"""),"CX")</f>
        <v>CX</v>
      </c>
      <c r="E1684" s="2" t="str">
        <f>IFERROR(__xludf.DUMMYFUNCTION("""COMPUTED_VALUE"""),"木22")</f>
        <v>木22</v>
      </c>
      <c r="F1684" s="2" t="s">
        <v>5343</v>
      </c>
      <c r="G1684" s="2" t="s">
        <v>5373</v>
      </c>
      <c r="H1684" s="1">
        <v>9.0</v>
      </c>
      <c r="I1684" s="1" t="s">
        <v>5374</v>
      </c>
      <c r="J1684" s="1" t="s">
        <v>86</v>
      </c>
      <c r="K1684" s="2" t="s">
        <v>5375</v>
      </c>
      <c r="L1684" s="2" t="s">
        <v>5376</v>
      </c>
      <c r="M1684" s="2" t="str">
        <f>IFERROR(__xludf.DUMMYFUNCTION("split(split(K1684,""唐沢寿明　"",false),""公式LINE"",false)"),"近畿商事は、副社長の壹岐正(唐沢寿明)、エネルギー部門の担当常務である兵頭信一良(竹野内豊)を中心に、イラン・サルベスタンの掘削を開始した。だが、60億円もの費用を投じて4本の井戸を掘ったにもかかわらず油田を掘り当てることはできなかった。そんな中、最後の望みを託した五号井がガス暴噴を起こしたとの連絡が入る。それ以来、現場からの連絡が途絶え、電話も繋がらない状態が続いたため、焦りを隠せない壹岐。2日後、壹岐のもとにようやく現地にいる兵頭からの連絡が入った。徹夜の作業で、五号井はようやく正常循環に戻ったという"&amp;"。壹岐は、ガス暴噴は油がある兆候だという兵頭の言葉を信じ、掘削の再開を指示する。そんなある夜、壹岐のもとに東京商事の鮫島辰三(遠藤憲一)がやってくる。そこで鮫島は、大門一三(原田芳雄)が綿花相場で苦戦しているという話を切り出す。近畿商事のメインバンクである第三銀行の頭取が、その件で大門のことを心配していたというのだ。  　あくる朝、壹岐は、綿花部長の伊原(上杉祥三)を呼び出し、真相を問いただした。伊原によれば、大門は50億円近い損失を出しているらしい。それを知った壹岐は、綿花相場から手を引くよう、大門に迫"&amp;"った。危機感を抱いた大門は、壹岐を近畿商事から出すのなら戻る、という里井達也(岸部一徳)が出した条件を聞き入れ、彼を近畿商事に戻すことにする。")</f>
        <v>近畿商事は、副社長の壹岐正(唐沢寿明)、エネルギー部門の担当常務である兵頭信一良(竹野内豊)を中心に、イラン・サルベスタンの掘削を開始した。だが、60億円もの費用を投じて4本の井戸を掘ったにもかかわらず油田を掘り当てることはできなかった。そんな中、最後の望みを託した五号井がガス暴噴を起こしたとの連絡が入る。それ以来、現場からの連絡が途絶え、電話も繋がらない状態が続いたため、焦りを隠せない壹岐。2日後、壹岐のもとにようやく現地にいる兵頭からの連絡が入った。徹夜の作業で、五号井はようやく正常循環に戻ったという。壹岐は、ガス暴噴は油がある兆候だという兵頭の言葉を信じ、掘削の再開を指示する。そんなある夜、壹岐のもとに東京商事の鮫島辰三(遠藤憲一)がやってくる。そこで鮫島は、大門一三(原田芳雄)が綿花相場で苦戦しているという話を切り出す。近畿商事のメインバンクである第三銀行の頭取が、その件で大門のことを心配していたというのだ。  　あくる朝、壹岐は、綿花部長の伊原(上杉祥三)を呼び出し、真相を問いただした。伊原によれば、大門は50億円近い損失を出しているらしい。それを知った壹岐は、綿花相場から手を引くよう、大門に迫った。危機感を抱いた大門は、壹岐を近畿商事から出すのなら戻る、という里井達也(岸部一徳)が出した条件を聞き入れ、彼を近畿商事に戻すことにする。</v>
      </c>
      <c r="N1684" s="2"/>
      <c r="O1684" s="2"/>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row>
    <row r="1685" ht="204.75" customHeight="1">
      <c r="A1685" s="1">
        <v>4973.0</v>
      </c>
      <c r="B1685" s="2" t="s">
        <v>5377</v>
      </c>
      <c r="C1685" s="2">
        <f>IFERROR(__xludf.DUMMYFUNCTION("split(B1685,""_"")"),910.0)</f>
        <v>910</v>
      </c>
      <c r="D1685" s="2" t="str">
        <f>IFERROR(__xludf.DUMMYFUNCTION("""COMPUTED_VALUE"""),"CX")</f>
        <v>CX</v>
      </c>
      <c r="E1685" s="2" t="str">
        <f>IFERROR(__xludf.DUMMYFUNCTION("""COMPUTED_VALUE"""),"月21")</f>
        <v>月21</v>
      </c>
      <c r="F1685" s="2" t="s">
        <v>5378</v>
      </c>
      <c r="G1685" s="2" t="s">
        <v>5379</v>
      </c>
      <c r="H1685" s="1">
        <v>1.0</v>
      </c>
      <c r="I1685" s="1" t="s">
        <v>3</v>
      </c>
      <c r="J1685" s="1" t="s">
        <v>4</v>
      </c>
      <c r="K1685" s="4" t="s">
        <v>5380</v>
      </c>
      <c r="L1685" s="11" t="s">
        <v>5381</v>
      </c>
      <c r="M1685" s="2" t="str">
        <f>IFERROR(__xludf.DUMMYFUNCTION("split(split(K1685,""小栗旬　"",false),""公式LINE"",false)"),"ニューヨークのとある駐車場。日本とアメリカをまたにかける国際麻薬シンジケートの取引がまさに行われようとしていた。マフィアたちを一網打尽にしようと布陣するのは、高倉奏(小栗旬)が指揮するニューヨーク市警。日本からは警視庁特殊捜査課刑事の工藤マルオ(水嶋ヒロ)と後輩の堀川経一(勝地涼)が参加。  　取引が始まろうとした時、刑事たちは取り囲むが、車が爆発したすきにマフィアたちは逃げ出してしまう。執拗に日本人ボスを捕まえようとする奏。だが、ボスは逃走してしまった。現場には、記憶喪失の日本人女性、松永由岐(吉高由里"&amp;"子)が取り残されていた。  　奏は由岐を護送して日本へ。由岐の隠された記憶を知りたい奏を、マルオは手伝わされることになった。2人は、マンションの一室に保護した由岐を監視。  　奏は、マンションを見張る不審な車に気づく。車を追跡した奏はマルオを伴って空き家にたどり着く。そこで奏たちは、2人の犯人を確保。だが、奏は簡単すぎたことに疑問を持つ。  　由岐は、奏とマルオの意思に関わらず、自分でも記憶を取り戻そうとしていた。奏とマルオは堀川にも手伝わせて、由岐の外出に付き合う。その時、奏は自分たちを監視しているよう"&amp;"な気配を感じる。  　疑問をぬぐいきれない奏は再び空き家を捜査。結果、空き家には3人目の人物がいたことが浮上。その男は棚島秀夫(成宮寛貴)だった。奏たちは棚島を追う事になる。")</f>
        <v>ニューヨークのとある駐車場。日本とアメリカをまたにかける国際麻薬シンジケートの取引がまさに行われようとしていた。マフィアたちを一網打尽にしようと布陣するのは、高倉奏(小栗旬)が指揮するニューヨーク市警。日本からは警視庁特殊捜査課刑事の工藤マルオ(水嶋ヒロ)と後輩の堀川経一(勝地涼)が参加。  　取引が始まろうとした時、刑事たちは取り囲むが、車が爆発したすきにマフィアたちは逃げ出してしまう。執拗に日本人ボスを捕まえようとする奏。だが、ボスは逃走してしまった。現場には、記憶喪失の日本人女性、松永由岐(吉高由里子)が取り残されていた。  　奏は由岐を護送して日本へ。由岐の隠された記憶を知りたい奏を、マルオは手伝わされることになった。2人は、マンションの一室に保護した由岐を監視。  　奏は、マンションを見張る不審な車に気づく。車を追跡した奏はマルオを伴って空き家にたどり着く。そこで奏たちは、2人の犯人を確保。だが、奏は簡単すぎたことに疑問を持つ。  　由岐は、奏とマルオの意思に関わらず、自分でも記憶を取り戻そうとしていた。奏とマルオは堀川にも手伝わせて、由岐の外出に付き合う。その時、奏は自分たちを監視しているような気配を感じる。  　疑問をぬぐいきれない奏は再び空き家を捜査。結果、空き家には3人目の人物がいたことが浮上。その男は棚島秀夫(成宮寛貴)だった。奏たちは棚島を追う事になる。</v>
      </c>
      <c r="N1685" s="2"/>
      <c r="O1685" s="2"/>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row>
    <row r="1686" ht="204.75" customHeight="1">
      <c r="A1686" s="1">
        <v>4974.0</v>
      </c>
      <c r="B1686" s="2" t="s">
        <v>5377</v>
      </c>
      <c r="C1686" s="2">
        <f>IFERROR(__xludf.DUMMYFUNCTION("split(B1686,""_"")"),910.0)</f>
        <v>910</v>
      </c>
      <c r="D1686" s="2" t="str">
        <f>IFERROR(__xludf.DUMMYFUNCTION("""COMPUTED_VALUE"""),"CX")</f>
        <v>CX</v>
      </c>
      <c r="E1686" s="2" t="str">
        <f>IFERROR(__xludf.DUMMYFUNCTION("""COMPUTED_VALUE"""),"月21")</f>
        <v>月21</v>
      </c>
      <c r="F1686" s="2" t="s">
        <v>5378</v>
      </c>
      <c r="G1686" s="2" t="s">
        <v>5382</v>
      </c>
      <c r="H1686" s="1">
        <v>2.0</v>
      </c>
      <c r="I1686" s="1" t="s">
        <v>7</v>
      </c>
      <c r="J1686" s="1" t="s">
        <v>11</v>
      </c>
      <c r="K1686" s="2" t="s">
        <v>5383</v>
      </c>
      <c r="L1686" s="2" t="s">
        <v>5384</v>
      </c>
      <c r="M1686" s="2" t="str">
        <f>IFERROR(__xludf.DUMMYFUNCTION("split(split(K1686,""小栗旬　"",false),""公式LINE"",false)"),"高倉奏(小栗旬)と工藤マルオ(水嶋ヒロ)は、とあるデートクラブを摘発。奏が追う組織が関与するとの情報もあり、拳銃も押収される。だが、組織の人間が使用する“蜂のバッジ""は見つからず、どうやら情報はガセだった。その夜、組織に追われる松永由岐(吉高由里子)を警護する奏たちは、彼女をかくまうマンションを移す。  　そんな時、大物弁護士・小宮山義彦(杉本哲太)が自宅前で何者かに狙撃された。特殊捜査課長の大友幸三(三浦友和)は、小宮山と息子の宏輔(小林海人)の警護と事件の捜査を奏たちに命じる。宏輔は、由岐のマンショ"&amp;"ンに保護され、小宮山は警視庁の官舎に泊まることになった。  　奏たちは、仕事中の小宮山を警護。だが、クライアントの建設会社社長・柴田雄三(佐々木勝彦)に呼び出された小宮山は、事務所から抜け出してしまう。小宮山の行動に気づいた奏たちが後を追う。すると、タクシーを捕まえようとしている小宮山の足元で銃弾が炸裂!!その後も小宮山への執拗に続く攻撃に防戦一方の奏たち。そして、犯人たちのほこさきは宏輔に…!")</f>
        <v>高倉奏(小栗旬)と工藤マルオ(水嶋ヒロ)は、とあるデートクラブを摘発。奏が追う組織が関与するとの情報もあり、拳銃も押収される。だが、組織の人間が使用する“蜂のバッジ"は見つからず、どうやら情報はガセだった。その夜、組織に追われる松永由岐(吉高由里子)を警護する奏たちは、彼女をかくまうマンションを移す。  　そんな時、大物弁護士・小宮山義彦(杉本哲太)が自宅前で何者かに狙撃された。特殊捜査課長の大友幸三(三浦友和)は、小宮山と息子の宏輔(小林海人)の警護と事件の捜査を奏たちに命じる。宏輔は、由岐のマンションに保護され、小宮山は警視庁の官舎に泊まることになった。  　奏たちは、仕事中の小宮山を警護。だが、クライアントの建設会社社長・柴田雄三(佐々木勝彦)に呼び出された小宮山は、事務所から抜け出してしまう。小宮山の行動に気づいた奏たちが後を追う。すると、タクシーを捕まえようとしている小宮山の足元で銃弾が炸裂!!その後も小宮山への執拗に続く攻撃に防戦一方の奏たち。そして、犯人たちのほこさきは宏輔に…!</v>
      </c>
      <c r="N1686" s="2"/>
      <c r="O1686" s="2"/>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row>
    <row r="1687" ht="204.75" customHeight="1">
      <c r="A1687" s="1">
        <v>4975.0</v>
      </c>
      <c r="B1687" s="2" t="s">
        <v>5377</v>
      </c>
      <c r="C1687" s="2">
        <f>IFERROR(__xludf.DUMMYFUNCTION("split(B1687,""_"")"),910.0)</f>
        <v>910</v>
      </c>
      <c r="D1687" s="2" t="str">
        <f>IFERROR(__xludf.DUMMYFUNCTION("""COMPUTED_VALUE"""),"CX")</f>
        <v>CX</v>
      </c>
      <c r="E1687" s="2" t="str">
        <f>IFERROR(__xludf.DUMMYFUNCTION("""COMPUTED_VALUE"""),"月21")</f>
        <v>月21</v>
      </c>
      <c r="F1687" s="2" t="s">
        <v>5378</v>
      </c>
      <c r="G1687" s="2" t="s">
        <v>5385</v>
      </c>
      <c r="H1687" s="1">
        <v>3.0</v>
      </c>
      <c r="I1687" s="1" t="s">
        <v>10</v>
      </c>
      <c r="J1687" s="1" t="s">
        <v>11</v>
      </c>
      <c r="K1687" s="2" t="s">
        <v>5386</v>
      </c>
      <c r="L1687" s="2" t="s">
        <v>5387</v>
      </c>
      <c r="M1687" s="2" t="str">
        <f>IFERROR(__xludf.DUMMYFUNCTION("split(split(K1687,""小栗旬　"",false),""公式LINE"",false)"),"高倉奏(小栗旬)は、松永由岐(吉高由里子)が思い出した“銃をつきつけられた男""の記憶を重視。そんな時、由岐の姉、恵理(浅見れいな)が判明しマンションへとやって来た。  　一方、工藤マルオ(水嶋ヒロ)の暴走族時代の後輩、蒲田シゲオ(矢崎広)に殺人容疑が。シゲオの祖父母を脅す、悪徳なサラ金業者の取立て屋が射殺されたのだ。シゲオを弟のように可愛がるマルオは、犯行を否定する。　マルオはシゲオがアルバイトをしているクリーニング店へ。その店は、マルオとシゲオの先輩・木内真二(鈴木亮平)が経営していた。殺人事件のあっ"&amp;"た日、シゲオは店で働いていたが、木内はシゲオの配達がかなり遅れたことを報告。  　木内と話しているマルオの携帯電話にシゲオから連絡が入る。犯行を否定するシゲオに、マルオは木内とともに会いに行く。だが、約束の場所で待っていたのはシゲオではなく数人の男たち。どうやら、男たちの狙いは木内。  　奏は、木内が事件に関する何かを知っているのではないかと尋ねる。すると木内は、元暴力団の自分にシゲオが銃の入手ルートを教えて欲しいと頼んできたが断ったと答えた。  　犯行に使われた銃が発見される。銃からシゲオの指紋が検出さ"&amp;"れた。それでも、シゲオは犯人ではないと主張するマルオに奏は…。一方、恵理の持ってきたアルバムを見ていた由岐は、ある記憶を思い出す。")</f>
        <v>高倉奏(小栗旬)は、松永由岐(吉高由里子)が思い出した“銃をつきつけられた男"の記憶を重視。そんな時、由岐の姉、恵理(浅見れいな)が判明しマンションへとやって来た。  　一方、工藤マルオ(水嶋ヒロ)の暴走族時代の後輩、蒲田シゲオ(矢崎広)に殺人容疑が。シゲオの祖父母を脅す、悪徳なサラ金業者の取立て屋が射殺されたのだ。シゲオを弟のように可愛がるマルオは、犯行を否定する。　マルオはシゲオがアルバイトをしているクリーニング店へ。その店は、マルオとシゲオの先輩・木内真二(鈴木亮平)が経営していた。殺人事件のあった日、シゲオは店で働いていたが、木内はシゲオの配達がかなり遅れたことを報告。  　木内と話しているマルオの携帯電話にシゲオから連絡が入る。犯行を否定するシゲオに、マルオは木内とともに会いに行く。だが、約束の場所で待っていたのはシゲオではなく数人の男たち。どうやら、男たちの狙いは木内。  　奏は、木内が事件に関する何かを知っているのではないかと尋ねる。すると木内は、元暴力団の自分にシゲオが銃の入手ルートを教えて欲しいと頼んできたが断ったと答えた。  　犯行に使われた銃が発見される。銃からシゲオの指紋が検出された。それでも、シゲオは犯人ではないと主張するマルオに奏は…。一方、恵理の持ってきたアルバムを見ていた由岐は、ある記憶を思い出す。</v>
      </c>
      <c r="N1687" s="2"/>
      <c r="O1687" s="2"/>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row>
    <row r="1688" ht="204.75" customHeight="1">
      <c r="A1688" s="1">
        <v>4976.0</v>
      </c>
      <c r="B1688" s="2" t="s">
        <v>5377</v>
      </c>
      <c r="C1688" s="2">
        <f>IFERROR(__xludf.DUMMYFUNCTION("split(B1688,""_"")"),910.0)</f>
        <v>910</v>
      </c>
      <c r="D1688" s="2" t="str">
        <f>IFERROR(__xludf.DUMMYFUNCTION("""COMPUTED_VALUE"""),"CX")</f>
        <v>CX</v>
      </c>
      <c r="E1688" s="2" t="str">
        <f>IFERROR(__xludf.DUMMYFUNCTION("""COMPUTED_VALUE"""),"月21")</f>
        <v>月21</v>
      </c>
      <c r="F1688" s="2" t="s">
        <v>5378</v>
      </c>
      <c r="G1688" s="2" t="s">
        <v>5388</v>
      </c>
      <c r="H1688" s="1">
        <v>4.0</v>
      </c>
      <c r="I1688" s="1" t="s">
        <v>14</v>
      </c>
      <c r="J1688" s="1" t="s">
        <v>11</v>
      </c>
      <c r="K1688" s="2" t="s">
        <v>5389</v>
      </c>
      <c r="L1688" s="2" t="s">
        <v>5390</v>
      </c>
      <c r="M1688" s="2" t="str">
        <f>IFERROR(__xludf.DUMMYFUNCTION("split(split(K1688,""小栗旬　"",false),""公式LINE"",false)"),"高倉奏(小栗旬)と工藤マルオ(水嶋ヒロ)の特殊捜査課は、食品会社を製品への毒物混入で脅す事件に着手。犯人の手口から、田村(板尾創路)という男が浮上。田村は、かつて舞島ミサ(大塚寧々)が執拗(しつよう)に追い、その人生をも変えてしまった男だった。  　また、大友幸三(三浦友和)は奏に英字で書かれた資料を渡す。資料の上には宮田淳二(高杉亘)の写真。神野の組織幹部の宮田が、ニューヨークから日本へ来ているらしい。  その頃、松永由岐(吉高由里子)の働くレストランで、彼女のお目付け役をする堀川経一(勝地涼)は、特殊"&amp;"捜査課らしい仕事が出来ないと落ち込んでいる様子。一方、由岐はスマートに働く吉村を名乗る甲斐崎ヒロト(水上剣星)に心をほぐしていく。そんな由岐に、マルオは自分の心が変化するのを感じていた。  　食品会社脅迫犯の指定した現金受け渡しが始まる。捜査員たちは犯人を捕らえるが、田村ではなかった。また、その男は見知らぬ男に銃で脅されてやっただけだと言う。  　一方、隠れ家とする地下のバーで吉村の仮面を脱いだ甲斐崎と部下の下山(石川裕一)の前には縛り上げられた宮田がいた。組織幹部の宮田を縛り上げる甲斐崎たちの意図とは…"&amp;"。  　現金受け渡しに失敗した企業脅迫犯は、毒入り製品のバラ巻きを始めた。奏は舞島に犯人は田村ではないのではないかと聞く。そんな時、当の田村から捜査課に電話が入った。")</f>
        <v>高倉奏(小栗旬)と工藤マルオ(水嶋ヒロ)の特殊捜査課は、食品会社を製品への毒物混入で脅す事件に着手。犯人の手口から、田村(板尾創路)という男が浮上。田村は、かつて舞島ミサ(大塚寧々)が執拗(しつよう)に追い、その人生をも変えてしまった男だった。  　また、大友幸三(三浦友和)は奏に英字で書かれた資料を渡す。資料の上には宮田淳二(高杉亘)の写真。神野の組織幹部の宮田が、ニューヨークから日本へ来ているらしい。  その頃、松永由岐(吉高由里子)の働くレストランで、彼女のお目付け役をする堀川経一(勝地涼)は、特殊捜査課らしい仕事が出来ないと落ち込んでいる様子。一方、由岐はスマートに働く吉村を名乗る甲斐崎ヒロト(水上剣星)に心をほぐしていく。そんな由岐に、マルオは自分の心が変化するのを感じていた。  　食品会社脅迫犯の指定した現金受け渡しが始まる。捜査員たちは犯人を捕らえるが、田村ではなかった。また、その男は見知らぬ男に銃で脅されてやっただけだと言う。  　一方、隠れ家とする地下のバーで吉村の仮面を脱いだ甲斐崎と部下の下山(石川裕一)の前には縛り上げられた宮田がいた。組織幹部の宮田を縛り上げる甲斐崎たちの意図とは…。  　現金受け渡しに失敗した企業脅迫犯は、毒入り製品のバラ巻きを始めた。奏は舞島に犯人は田村ではないのではないかと聞く。そんな時、当の田村から捜査課に電話が入った。</v>
      </c>
      <c r="N1688" s="2"/>
      <c r="O1688" s="2"/>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row>
    <row r="1689" ht="204.75" customHeight="1">
      <c r="A1689" s="1">
        <v>4977.0</v>
      </c>
      <c r="B1689" s="2" t="s">
        <v>5377</v>
      </c>
      <c r="C1689" s="2">
        <f>IFERROR(__xludf.DUMMYFUNCTION("split(B1689,""_"")"),910.0)</f>
        <v>910</v>
      </c>
      <c r="D1689" s="2" t="str">
        <f>IFERROR(__xludf.DUMMYFUNCTION("""COMPUTED_VALUE"""),"CX")</f>
        <v>CX</v>
      </c>
      <c r="E1689" s="2" t="str">
        <f>IFERROR(__xludf.DUMMYFUNCTION("""COMPUTED_VALUE"""),"月21")</f>
        <v>月21</v>
      </c>
      <c r="F1689" s="2" t="s">
        <v>5378</v>
      </c>
      <c r="G1689" s="2" t="s">
        <v>5391</v>
      </c>
      <c r="H1689" s="1">
        <v>5.0</v>
      </c>
      <c r="I1689" s="1" t="s">
        <v>17</v>
      </c>
      <c r="J1689" s="1" t="s">
        <v>11</v>
      </c>
      <c r="K1689" s="2" t="s">
        <v>5392</v>
      </c>
      <c r="L1689" s="2" t="s">
        <v>5393</v>
      </c>
      <c r="M1689" s="2" t="str">
        <f>IFERROR(__xludf.DUMMYFUNCTION("split(split(K1689,""小栗旬　"",false),""公式LINE"",false)"),"高倉奏(小栗旬)は殺害された神野の組織の幹部、宮田淳二(高杉亘)の手帳から中尾(坂田聡)と接触。  　奏と西岡ゆり(ともさかりえ)は、松永由岐(吉高由里子)が思い出した銃を突きつけられた男は、彼女の恋人の可能性があると意見を一致させる。さらに記憶を思い出させようと焦る奏に、由岐は自分を信じて欲しいと怒る。  　特殊捜査課に家出少女の保護依頼が来た。少女の名は松尾玲子(近野成美)。玲子が身を寄せるモデル事務所には、売春と麻薬斡旋の疑惑があった。  　奏と工藤マルオ(水嶋ヒロ)がモデル事務所に行くと、社長の三"&amp;"島(風間トオル)が出迎えた。奏たちが玲子の件を切り出すと、三島は家出少女だとは知らなかったと言い、すぐに引き合わせる。  　玲子の恋人らしき男が割れた。件のモデル事務所のスカウトマン、安藤友秋(氏家拓朗)だ。安藤は、渋谷や原宿でティーン相手に麻薬売買を行っていた。　奏とマルオは安藤の件を三島に話す。すると三島は、安藤が麻薬売買を行っているなら即刻、クビにすると言う。奏たちが事務所を出ようとすると玲子と鉢合わせ。2人が再び玲子を彼女の実家に連れ帰ると、奏の携帯に中尾から1時間後に麻薬取引が行われると連絡が…"&amp;"。  　奏はマルオと麻薬取引の現場へ。奏が現場の異常さに気づいた時、横たわる中尾を発見!!")</f>
        <v>高倉奏(小栗旬)は殺害された神野の組織の幹部、宮田淳二(高杉亘)の手帳から中尾(坂田聡)と接触。  　奏と西岡ゆり(ともさかりえ)は、松永由岐(吉高由里子)が思い出した銃を突きつけられた男は、彼女の恋人の可能性があると意見を一致させる。さらに記憶を思い出させようと焦る奏に、由岐は自分を信じて欲しいと怒る。  　特殊捜査課に家出少女の保護依頼が来た。少女の名は松尾玲子(近野成美)。玲子が身を寄せるモデル事務所には、売春と麻薬斡旋の疑惑があった。  　奏と工藤マルオ(水嶋ヒロ)がモデル事務所に行くと、社長の三島(風間トオル)が出迎えた。奏たちが玲子の件を切り出すと、三島は家出少女だとは知らなかったと言い、すぐに引き合わせる。  　玲子の恋人らしき男が割れた。件のモデル事務所のスカウトマン、安藤友秋(氏家拓朗)だ。安藤は、渋谷や原宿でティーン相手に麻薬売買を行っていた。　奏とマルオは安藤の件を三島に話す。すると三島は、安藤が麻薬売買を行っているなら即刻、クビにすると言う。奏たちが事務所を出ようとすると玲子と鉢合わせ。2人が再び玲子を彼女の実家に連れ帰ると、奏の携帯に中尾から1時間後に麻薬取引が行われると連絡が…。  　奏はマルオと麻薬取引の現場へ。奏が現場の異常さに気づいた時、横たわる中尾を発見!!</v>
      </c>
      <c r="N1689" s="2"/>
      <c r="O1689" s="2"/>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row>
    <row r="1690" ht="204.75" customHeight="1">
      <c r="A1690" s="1">
        <v>4978.0</v>
      </c>
      <c r="B1690" s="2" t="s">
        <v>5377</v>
      </c>
      <c r="C1690" s="2">
        <f>IFERROR(__xludf.DUMMYFUNCTION("split(B1690,""_"")"),910.0)</f>
        <v>910</v>
      </c>
      <c r="D1690" s="2" t="str">
        <f>IFERROR(__xludf.DUMMYFUNCTION("""COMPUTED_VALUE"""),"CX")</f>
        <v>CX</v>
      </c>
      <c r="E1690" s="2" t="str">
        <f>IFERROR(__xludf.DUMMYFUNCTION("""COMPUTED_VALUE"""),"月21")</f>
        <v>月21</v>
      </c>
      <c r="F1690" s="2" t="s">
        <v>5378</v>
      </c>
      <c r="G1690" s="2" t="s">
        <v>5394</v>
      </c>
      <c r="H1690" s="1">
        <v>6.0</v>
      </c>
      <c r="I1690" s="1" t="s">
        <v>21</v>
      </c>
      <c r="J1690" s="1" t="s">
        <v>11</v>
      </c>
      <c r="K1690" s="2" t="s">
        <v>5395</v>
      </c>
      <c r="L1690" s="2" t="s">
        <v>5396</v>
      </c>
      <c r="M1690" s="2" t="str">
        <f>IFERROR(__xludf.DUMMYFUNCTION("split(split(K1690,""小栗旬　"",false),""公式LINE"",false)"),"高倉奏(小栗旬)と工藤マルオ(水嶋ヒロ)は、松永由岐(吉高由里子)と西岡ゆり(ともさかりえ)の診察室へ。由岐はかなり記憶を蘇らせていたのだが、神野との関係を尋ねる奏に答えることが出来ない。なぜなら、由岐は記憶から神野が自分の恋人だったらしいことを知ったからだ。神野は奏にとっては、父親を殺害した憎むべき相手。  　一方、特殊捜査課では近く神野の組織が大規模な麻薬取引を行うと踏む。奏は単身、取引相手の室井組に潜入捜査することに。室井組の闇のカジノバーに乗り込むと、マルオもやって来てしまう。大友(三浦友和)の命"&amp;"令だと言うマルオだが、実は勝手な行動。そして、2人は組長の室井(清水紘治)と会うことに成功。奏は、大きな麻薬取引があるなら自分たちにも薬を流して欲しいと要求。室井が断ろうとした時、銃弾が襲う。身を挺してかばった奏は、室井に認められ取引に加わることになった。　奏とマルオは、麻薬取引の日時を捜査課に報告。捜査課員たちは、現場に向かい、いよいよ室井組と神野たちの取引が始まろうとしていた。果たして、奏とマルオは、このまま正体がバレることなく現場を押さえられるのか?そして、神野はその姿を現すのだろうか?")</f>
        <v>高倉奏(小栗旬)と工藤マルオ(水嶋ヒロ)は、松永由岐(吉高由里子)と西岡ゆり(ともさかりえ)の診察室へ。由岐はかなり記憶を蘇らせていたのだが、神野との関係を尋ねる奏に答えることが出来ない。なぜなら、由岐は記憶から神野が自分の恋人だったらしいことを知ったからだ。神野は奏にとっては、父親を殺害した憎むべき相手。  　一方、特殊捜査課では近く神野の組織が大規模な麻薬取引を行うと踏む。奏は単身、取引相手の室井組に潜入捜査することに。室井組の闇のカジノバーに乗り込むと、マルオもやって来てしまう。大友(三浦友和)の命令だと言うマルオだが、実は勝手な行動。そして、2人は組長の室井(清水紘治)と会うことに成功。奏は、大きな麻薬取引があるなら自分たちにも薬を流して欲しいと要求。室井が断ろうとした時、銃弾が襲う。身を挺してかばった奏は、室井に認められ取引に加わることになった。　奏とマルオは、麻薬取引の日時を捜査課に報告。捜査課員たちは、現場に向かい、いよいよ室井組と神野たちの取引が始まろうとしていた。果たして、奏とマルオは、このまま正体がバレることなく現場を押さえられるのか?そして、神野はその姿を現すのだろうか?</v>
      </c>
      <c r="N1690" s="2"/>
      <c r="O1690" s="2"/>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row>
    <row r="1691" ht="204.75" customHeight="1">
      <c r="A1691" s="1">
        <v>4979.0</v>
      </c>
      <c r="B1691" s="2" t="s">
        <v>5377</v>
      </c>
      <c r="C1691" s="2">
        <f>IFERROR(__xludf.DUMMYFUNCTION("split(B1691,""_"")"),910.0)</f>
        <v>910</v>
      </c>
      <c r="D1691" s="2" t="str">
        <f>IFERROR(__xludf.DUMMYFUNCTION("""COMPUTED_VALUE"""),"CX")</f>
        <v>CX</v>
      </c>
      <c r="E1691" s="2" t="str">
        <f>IFERROR(__xludf.DUMMYFUNCTION("""COMPUTED_VALUE"""),"月21")</f>
        <v>月21</v>
      </c>
      <c r="F1691" s="2" t="s">
        <v>5378</v>
      </c>
      <c r="G1691" s="2" t="s">
        <v>5397</v>
      </c>
      <c r="H1691" s="1">
        <v>7.0</v>
      </c>
      <c r="I1691" s="1" t="s">
        <v>25</v>
      </c>
      <c r="J1691" s="1" t="s">
        <v>11</v>
      </c>
      <c r="K1691" s="2" t="s">
        <v>5398</v>
      </c>
      <c r="L1691" s="2" t="s">
        <v>5399</v>
      </c>
      <c r="M1691" s="2" t="str">
        <f>IFERROR(__xludf.DUMMYFUNCTION("split(split(K1691,""小栗旬　"",false),""公式LINE"",false)"),"高倉奏(小栗旬)に、松永由岐(吉高由里子)は神野が自分の恋人だったことを思い出したと打ち明けた。以来、気まずくなる奏と由岐の雰囲気に工藤マルオ(水嶋ヒロ)はやきもきし始める。  　神野は逃したが、特殊捜査課は組織の部下を捕らえていた。取り調べていた鈴江光男(志賀廣太郎)は野球賭博に関する情報を得た。プロ球団、シャークスの矢野亮介(塚本高史)が関与しているらしく、奏とマルオは張り込みを始める。そんな中、マルオは、久しぶりに奏と3人でディナーをしないかと由岐を誘う。  　その日、由岐は西岡ゆり(ともさかりえ)"&amp;"、堀川経一(勝地涼)と神野との思い出が残る場所を巡る。由岐は過去のほとんどを思い出したが、ニューヨークでの最後の記憶が封印されたままだった。早く全部思い出したいと焦る由岐に、ゆりは辛い記憶を無理に思い出す必要はないと話す。  　その頃、球場で矢野を見張る奏は、本人に聞いてみると言う。しかし、素直に答えるわけがない。その時、マルオはスタンドに不審な男を見つける。  　帰り道、由岐とのディナーを念押しして奏を先にマンションへ帰すマルオ。マルオはディナーのためのケーキを買いに行く。と、その店先に球場で見かけた不"&amp;"審者が。マルオが追うと、男は雑居ビルへと姿を消す。そこは、賭博の元締め事務所。中からは、賭博に関する男たちの会話が聞こえる。マルオは、事務所へと飛び込んだ。")</f>
        <v>高倉奏(小栗旬)に、松永由岐(吉高由里子)は神野が自分の恋人だったことを思い出したと打ち明けた。以来、気まずくなる奏と由岐の雰囲気に工藤マルオ(水嶋ヒロ)はやきもきし始める。  　神野は逃したが、特殊捜査課は組織の部下を捕らえていた。取り調べていた鈴江光男(志賀廣太郎)は野球賭博に関する情報を得た。プロ球団、シャークスの矢野亮介(塚本高史)が関与しているらしく、奏とマルオは張り込みを始める。そんな中、マルオは、久しぶりに奏と3人でディナーをしないかと由岐を誘う。  　その日、由岐は西岡ゆり(ともさかりえ)、堀川経一(勝地涼)と神野との思い出が残る場所を巡る。由岐は過去のほとんどを思い出したが、ニューヨークでの最後の記憶が封印されたままだった。早く全部思い出したいと焦る由岐に、ゆりは辛い記憶を無理に思い出す必要はないと話す。  　その頃、球場で矢野を見張る奏は、本人に聞いてみると言う。しかし、素直に答えるわけがない。その時、マルオはスタンドに不審な男を見つける。  　帰り道、由岐とのディナーを念押しして奏を先にマンションへ帰すマルオ。マルオはディナーのためのケーキを買いに行く。と、その店先に球場で見かけた不審者が。マルオが追うと、男は雑居ビルへと姿を消す。そこは、賭博の元締め事務所。中からは、賭博に関する男たちの会話が聞こえる。マルオは、事務所へと飛び込んだ。</v>
      </c>
      <c r="N1691" s="2"/>
      <c r="O1691" s="2"/>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row>
    <row r="1692" ht="204.75" customHeight="1">
      <c r="A1692" s="1">
        <v>4980.0</v>
      </c>
      <c r="B1692" s="2" t="s">
        <v>5377</v>
      </c>
      <c r="C1692" s="2">
        <f>IFERROR(__xludf.DUMMYFUNCTION("split(B1692,""_"")"),910.0)</f>
        <v>910</v>
      </c>
      <c r="D1692" s="2" t="str">
        <f>IFERROR(__xludf.DUMMYFUNCTION("""COMPUTED_VALUE"""),"CX")</f>
        <v>CX</v>
      </c>
      <c r="E1692" s="2" t="str">
        <f>IFERROR(__xludf.DUMMYFUNCTION("""COMPUTED_VALUE"""),"月21")</f>
        <v>月21</v>
      </c>
      <c r="F1692" s="2" t="s">
        <v>5378</v>
      </c>
      <c r="G1692" s="2" t="s">
        <v>5400</v>
      </c>
      <c r="H1692" s="1">
        <v>8.0</v>
      </c>
      <c r="I1692" s="1" t="s">
        <v>29</v>
      </c>
      <c r="J1692" s="1" t="s">
        <v>11</v>
      </c>
      <c r="K1692" s="2" t="s">
        <v>5401</v>
      </c>
      <c r="L1692" s="2" t="s">
        <v>5402</v>
      </c>
      <c r="M1692" s="2" t="str">
        <f>IFERROR(__xludf.DUMMYFUNCTION("split(split(K1692,""小栗旬　"",false),""公式LINE"",false)"),"神野が死んでいた…。松永由岐(吉高由里子)が取り戻した記憶は、高倉奏(小栗旬)を落胆させる内容だった。工藤マルオ(水嶋ヒロ)は一件落着と喜ぶが、奏はにわかに信じることなど出来ない。由岐自身も自分の記憶に悩み苦しんでいる。そんな由岐に、奏は自分が守ると約束する。  　その矢先、由岐が甲斐崎ヒロト(水上剣星)たちにさらわれてしまう。甲斐崎は由岐を利用して、神野を誘き出そうとしていた。自分が守ると約束した奏は珍しく動揺。ようやく、由岐の居場所を突き止めるのだが、そこには神野の組織もやって来て、警察、甲斐崎たちと"&amp;"の乱戦になってしまう。  　そんな中、奏は目の前で甲斐崎たちに由岐を連れ去られる。マルオの声も届かないほど混乱する奏は、珍しく判断を誤ってしまった。")</f>
        <v>神野が死んでいた…。松永由岐(吉高由里子)が取り戻した記憶は、高倉奏(小栗旬)を落胆させる内容だった。工藤マルオ(水嶋ヒロ)は一件落着と喜ぶが、奏はにわかに信じることなど出来ない。由岐自身も自分の記憶に悩み苦しんでいる。そんな由岐に、奏は自分が守ると約束する。  　その矢先、由岐が甲斐崎ヒロト(水上剣星)たちにさらわれてしまう。甲斐崎は由岐を利用して、神野を誘き出そうとしていた。自分が守ると約束した奏は珍しく動揺。ようやく、由岐の居場所を突き止めるのだが、そこには神野の組織もやって来て、警察、甲斐崎たちとの乱戦になってしまう。  　そんな中、奏は目の前で甲斐崎たちに由岐を連れ去られる。マルオの声も届かないほど混乱する奏は、珍しく判断を誤ってしまった。</v>
      </c>
      <c r="N1692" s="2"/>
      <c r="O1692" s="2"/>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row>
    <row r="1693" ht="204.75" customHeight="1">
      <c r="A1693" s="1">
        <v>4981.0</v>
      </c>
      <c r="B1693" s="2" t="s">
        <v>5377</v>
      </c>
      <c r="C1693" s="2">
        <f>IFERROR(__xludf.DUMMYFUNCTION("split(B1693,""_"")"),910.0)</f>
        <v>910</v>
      </c>
      <c r="D1693" s="2" t="str">
        <f>IFERROR(__xludf.DUMMYFUNCTION("""COMPUTED_VALUE"""),"CX")</f>
        <v>CX</v>
      </c>
      <c r="E1693" s="2" t="str">
        <f>IFERROR(__xludf.DUMMYFUNCTION("""COMPUTED_VALUE"""),"月21")</f>
        <v>月21</v>
      </c>
      <c r="F1693" s="2" t="s">
        <v>5378</v>
      </c>
      <c r="G1693" s="2" t="s">
        <v>5403</v>
      </c>
      <c r="H1693" s="1">
        <v>9.0</v>
      </c>
      <c r="I1693" s="1" t="s">
        <v>33</v>
      </c>
      <c r="J1693" s="1" t="s">
        <v>11</v>
      </c>
      <c r="K1693" s="2" t="s">
        <v>5404</v>
      </c>
      <c r="L1693" s="2" t="s">
        <v>5405</v>
      </c>
      <c r="M1693" s="2" t="str">
        <f>IFERROR(__xludf.DUMMYFUNCTION("split(split(K1693,""小栗旬　"",false),""公式LINE"",false)"),"高倉奏(小栗旬)が父の敵と追い、松永由岐(吉高由里子)がかつて愛した男、神野が生きていた。神野本人が奏の携帯に電話してきたのだ。神野は警察から由岐を開放するよう要求するが呑むわけにはいかない。すると神野は、由岐に「約束は覚えている」とメッセージを残し、奏を脅して電話を切った。  　奏が録音した神野の声を聞いた由岐は、その姿まで鮮明に思い出した。神野の約束とは、クリスマスイヴでの再会だった。　その電話の後、都内で暴力団の抗争が連続で発生。大口の麻薬取引を行おうとする神野が取引相手を選ぶために起こさせた抗争だ"&amp;"。奏と工藤マルオ(水嶋ヒロ)はある事務所で張り込み。すると、奏の体を銃弾がかすめる。奏は、脅してきた神野の仕業と直感する。  　由岐は、奏が狙われたとマルオから聞いてショックを受ける。さらに、捜査中の堀川経一(勝地涼)がチンピラに刺された。由岐はマンションに来た田中真紀(臼田あさ美)に、あることを頼む。その頃、麻薬取引現場が割れ、特殊捜査課が一斉検挙。しかし、そこに神野の姿はない。奏は、検挙が簡単だったことに疑問を持って…。")</f>
        <v>高倉奏(小栗旬)が父の敵と追い、松永由岐(吉高由里子)がかつて愛した男、神野が生きていた。神野本人が奏の携帯に電話してきたのだ。神野は警察から由岐を開放するよう要求するが呑むわけにはいかない。すると神野は、由岐に「約束は覚えている」とメッセージを残し、奏を脅して電話を切った。  　奏が録音した神野の声を聞いた由岐は、その姿まで鮮明に思い出した。神野の約束とは、クリスマスイヴでの再会だった。　その電話の後、都内で暴力団の抗争が連続で発生。大口の麻薬取引を行おうとする神野が取引相手を選ぶために起こさせた抗争だ。奏と工藤マルオ(水嶋ヒロ)はある事務所で張り込み。すると、奏の体を銃弾がかすめる。奏は、脅してきた神野の仕業と直感する。  　由岐は、奏が狙われたとマルオから聞いてショックを受ける。さらに、捜査中の堀川経一(勝地涼)がチンピラに刺された。由岐はマンションに来た田中真紀(臼田あさ美)に、あることを頼む。その頃、麻薬取引現場が割れ、特殊捜査課が一斉検挙。しかし、そこに神野の姿はない。奏は、検挙が簡単だったことに疑問を持って…。</v>
      </c>
      <c r="N1693" s="2"/>
      <c r="O1693" s="2"/>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row>
    <row r="1694" ht="204.75" customHeight="1">
      <c r="A1694" s="1">
        <v>4982.0</v>
      </c>
      <c r="B1694" s="2" t="s">
        <v>5377</v>
      </c>
      <c r="C1694" s="2">
        <f>IFERROR(__xludf.DUMMYFUNCTION("split(B1694,""_"")"),910.0)</f>
        <v>910</v>
      </c>
      <c r="D1694" s="2" t="str">
        <f>IFERROR(__xludf.DUMMYFUNCTION("""COMPUTED_VALUE"""),"CX")</f>
        <v>CX</v>
      </c>
      <c r="E1694" s="2" t="str">
        <f>IFERROR(__xludf.DUMMYFUNCTION("""COMPUTED_VALUE"""),"月21")</f>
        <v>月21</v>
      </c>
      <c r="F1694" s="2" t="s">
        <v>5378</v>
      </c>
      <c r="G1694" s="2" t="s">
        <v>5406</v>
      </c>
      <c r="H1694" s="1">
        <v>10.0</v>
      </c>
      <c r="I1694" s="1" t="s">
        <v>37</v>
      </c>
      <c r="J1694" s="1" t="s">
        <v>4</v>
      </c>
      <c r="K1694" s="2" t="s">
        <v>5407</v>
      </c>
      <c r="L1694" s="2" t="s">
        <v>5408</v>
      </c>
      <c r="M1694" s="2" t="str">
        <f>IFERROR(__xludf.DUMMYFUNCTION("split(split(K1694,""小栗旬　"",false),""公式LINE"",false)"),"高倉奏(小栗旬)は、勝手に甲斐崎ヒロト(水上剣星)の病室に行った松永由岐(吉高由里子)に怒りをぶつける。工藤マルオ(水嶋ヒロ)や西岡ゆり(ともさかりえ)がとりなそうとするが、奏は本気で由岐の身を心配していたようだ。  　特殊捜査課は、捕らえていた神野京介(仲村トオル)の部下から、麻薬の巨額取引の日時を探り出す。それは、12月24日で、神野が由岐と再会の約束をした日だった。ニューヨーク市警からは指揮官・三上真一郎(別所哲也)らが来日。三上は、今後の神野捜査の指揮権と由岐を自分たちの監視下に置くと宣言。由岐は"&amp;"身柄をホテルに移された。  　神野の取引相手と、その場所はなかなか判明しない。だが、三上はアメリカの麻薬王、デイビッド・ロッシの極秘来日情報をつかむ。三上は、神野とロッシの取引の可能性を示唆するが、奏はうなずけない。  　奏とマルオは、捜査課がつかんだ神野とロッシの会食場所を見張っていると何者かに狙撃されてしまう。どうやら、警察の動きが読まれていたらしい。  　クリスマスイヴ前日、ホテルマンが由岐にメッセージカードを持って来た。カードには、神野からのメッセージ。由岐は神野との約束の場所を思い出す。  　ク"&amp;"リスマスイヴ。奏やマルオたちは、ついにつかんだ神野たちの取引場所へと向かう。  　果たして、奏は亡き父の敵を討てるのか?由岐は神野との再会を選ぶのか?そして、マルオは!?")</f>
        <v>高倉奏(小栗旬)は、勝手に甲斐崎ヒロト(水上剣星)の病室に行った松永由岐(吉高由里子)に怒りをぶつける。工藤マルオ(水嶋ヒロ)や西岡ゆり(ともさかりえ)がとりなそうとするが、奏は本気で由岐の身を心配していたようだ。  　特殊捜査課は、捕らえていた神野京介(仲村トオル)の部下から、麻薬の巨額取引の日時を探り出す。それは、12月24日で、神野が由岐と再会の約束をした日だった。ニューヨーク市警からは指揮官・三上真一郎(別所哲也)らが来日。三上は、今後の神野捜査の指揮権と由岐を自分たちの監視下に置くと宣言。由岐は身柄をホテルに移された。  　神野の取引相手と、その場所はなかなか判明しない。だが、三上はアメリカの麻薬王、デイビッド・ロッシの極秘来日情報をつかむ。三上は、神野とロッシの取引の可能性を示唆するが、奏はうなずけない。  　奏とマルオは、捜査課がつかんだ神野とロッシの会食場所を見張っていると何者かに狙撃されてしまう。どうやら、警察の動きが読まれていたらしい。  　クリスマスイヴ前日、ホテルマンが由岐にメッセージカードを持って来た。カードには、神野からのメッセージ。由岐は神野との約束の場所を思い出す。  　クリスマスイヴ。奏やマルオたちは、ついにつかんだ神野たちの取引場所へと向かう。  　果たして、奏は亡き父の敵を討てるのか?由岐は神野との再会を選ぶのか?そして、マルオは!?</v>
      </c>
      <c r="N1694" s="2"/>
      <c r="O1694" s="2"/>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row>
    <row r="1695" ht="204.75" customHeight="1">
      <c r="A1695" s="1">
        <v>4983.0</v>
      </c>
      <c r="B1695" s="2" t="s">
        <v>5409</v>
      </c>
      <c r="C1695" s="2">
        <f>IFERROR(__xludf.DUMMYFUNCTION("split(B1695,""_"")"),910.0)</f>
        <v>910</v>
      </c>
      <c r="D1695" s="2" t="str">
        <f>IFERROR(__xludf.DUMMYFUNCTION("""COMPUTED_VALUE"""),"CX")</f>
        <v>CX</v>
      </c>
      <c r="E1695" s="2" t="str">
        <f>IFERROR(__xludf.DUMMYFUNCTION("""COMPUTED_VALUE"""),"火22")</f>
        <v>火22</v>
      </c>
      <c r="F1695" s="2" t="s">
        <v>5410</v>
      </c>
      <c r="G1695" s="2" t="s">
        <v>5411</v>
      </c>
      <c r="H1695" s="1">
        <v>1.0</v>
      </c>
      <c r="I1695" s="1" t="s">
        <v>3</v>
      </c>
      <c r="J1695" s="1" t="s">
        <v>82</v>
      </c>
      <c r="K1695" s="4" t="s">
        <v>5412</v>
      </c>
      <c r="L1695" s="11" t="s">
        <v>5413</v>
      </c>
      <c r="M1695" s="9" t="str">
        <f>IFERROR(__xludf.DUMMYFUNCTION("split(split(K1695,""香里奈　"",false),""html"",false)"),"http://ktv.jp/real-clothes/index.")</f>
        <v>http://ktv.jp/real-clothes/index.</v>
      </c>
      <c r="N1695" s="2" t="str">
        <f>IFERROR(__xludf.DUMMYFUNCTION("""COMPUTED_VALUE"""),"　越前屋百貨店に勤める天野絹恵(香里奈)は、恋人の山内達也(高岡蒼甫)とパリを旅行中、ファッション業界のカリスマで百貨店やファッションブランドなど多くの成功を収めている神保美姫(黒木瞳)に出会う。  　後日、帰国した絹恵は、担当のふとん売り場の仕事に戻る。同僚から厚い信頼を受け、売り場のエースとしてイキイキと働く絹恵。そんな折、婦人服統括部長に就任した美姫に会う。おしゃれが苦手な絹恵の地味な私服姿を見た美姫は「つまらない服を着ていると、つまらない人生になるわよ」と言い放つ。  　ところがその翌朝、絹恵に婦"&amp;"人服売り場への異動が言い渡される。美姫が率いる婦人服の新プロジェクトに加わることになったのだ。ファッションにまったく興味がない絹恵は、自分に務まるはずがないと戸惑うが・・・。　ファッションとは、恋とは、仕事とは、自分の生き方とは…現代女性が抱える等身大の「悩み」や「葛藤」をリアルに描きます。")</f>
        <v>　越前屋百貨店に勤める天野絹恵(香里奈)は、恋人の山内達也(高岡蒼甫)とパリを旅行中、ファッション業界のカリスマで百貨店やファッションブランドなど多くの成功を収めている神保美姫(黒木瞳)に出会う。  　後日、帰国した絹恵は、担当のふとん売り場の仕事に戻る。同僚から厚い信頼を受け、売り場のエースとしてイキイキと働く絹恵。そんな折、婦人服統括部長に就任した美姫に会う。おしゃれが苦手な絹恵の地味な私服姿を見た美姫は「つまらない服を着ていると、つまらない人生になるわよ」と言い放つ。  　ところがその翌朝、絹恵に婦人服売り場への異動が言い渡される。美姫が率いる婦人服の新プロジェクトに加わることになったのだ。ファッションにまったく興味がない絹恵は、自分に務まるはずがないと戸惑うが・・・。　ファッションとは、恋とは、仕事とは、自分の生き方とは…現代女性が抱える等身大の「悩み」や「葛藤」をリアルに描きます。</v>
      </c>
      <c r="O1695" s="2"/>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row>
    <row r="1696" ht="204.75" customHeight="1">
      <c r="A1696" s="1">
        <v>4984.0</v>
      </c>
      <c r="B1696" s="2" t="s">
        <v>5409</v>
      </c>
      <c r="C1696" s="2">
        <f>IFERROR(__xludf.DUMMYFUNCTION("split(B1696,""_"")"),910.0)</f>
        <v>910</v>
      </c>
      <c r="D1696" s="2" t="str">
        <f>IFERROR(__xludf.DUMMYFUNCTION("""COMPUTED_VALUE"""),"CX")</f>
        <v>CX</v>
      </c>
      <c r="E1696" s="2" t="str">
        <f>IFERROR(__xludf.DUMMYFUNCTION("""COMPUTED_VALUE"""),"火22")</f>
        <v>火22</v>
      </c>
      <c r="F1696" s="2" t="s">
        <v>5410</v>
      </c>
      <c r="G1696" s="2" t="s">
        <v>5414</v>
      </c>
      <c r="H1696" s="1">
        <v>2.0</v>
      </c>
      <c r="I1696" s="1" t="s">
        <v>7</v>
      </c>
      <c r="J1696" s="1" t="s">
        <v>86</v>
      </c>
      <c r="K1696" s="2" t="s">
        <v>5415</v>
      </c>
      <c r="L1696" s="2" t="s">
        <v>5416</v>
      </c>
      <c r="M1696" s="9" t="str">
        <f>IFERROR(__xludf.DUMMYFUNCTION("split(split(K1696,""香里奈　"",false),""html"",false)"),"http://ktv.jp/real-clothes/index.")</f>
        <v>http://ktv.jp/real-clothes/index.</v>
      </c>
      <c r="N1696" s="2" t="str">
        <f>IFERROR(__xludf.DUMMYFUNCTION("""COMPUTED_VALUE"""),"　未だ自分が何を着ればいいのかわからず、接客もうまくいかない絹恵(香里奈)。商品についての打ち合わせでも、ひと言も発言できず落ち込むばかり。そんな中、美姫(黒木瞳)が企画したアクセサリーフェアで凌(加藤夏希)のアシスタントを担当することを命じられる。追い詰められた絹恵は、口先だけのセールストークで客に似合わない商品を薦めてしまう。そんな態度を凌にとがめられ、ファッションも「ダサい」と批判されるが、何も言い返せない。そんな中、凌に不穏な動きが。最も厳しい同僚・凌と向き合う決意をした絹恵はある行動に出る。")</f>
        <v>　未だ自分が何を着ればいいのかわからず、接客もうまくいかない絹恵(香里奈)。商品についての打ち合わせでも、ひと言も発言できず落ち込むばかり。そんな中、美姫(黒木瞳)が企画したアクセサリーフェアで凌(加藤夏希)のアシスタントを担当することを命じられる。追い詰められた絹恵は、口先だけのセールストークで客に似合わない商品を薦めてしまう。そんな態度を凌にとがめられ、ファッションも「ダサい」と批判されるが、何も言い返せない。そんな中、凌に不穏な動きが。最も厳しい同僚・凌と向き合う決意をした絹恵はある行動に出る。</v>
      </c>
      <c r="O1696" s="2"/>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row>
    <row r="1697" ht="204.75" customHeight="1">
      <c r="A1697" s="1">
        <v>4985.0</v>
      </c>
      <c r="B1697" s="2" t="s">
        <v>5409</v>
      </c>
      <c r="C1697" s="2">
        <f>IFERROR(__xludf.DUMMYFUNCTION("split(B1697,""_"")"),910.0)</f>
        <v>910</v>
      </c>
      <c r="D1697" s="2" t="str">
        <f>IFERROR(__xludf.DUMMYFUNCTION("""COMPUTED_VALUE"""),"CX")</f>
        <v>CX</v>
      </c>
      <c r="E1697" s="2" t="str">
        <f>IFERROR(__xludf.DUMMYFUNCTION("""COMPUTED_VALUE"""),"火22")</f>
        <v>火22</v>
      </c>
      <c r="F1697" s="2" t="s">
        <v>5410</v>
      </c>
      <c r="G1697" s="2" t="s">
        <v>5417</v>
      </c>
      <c r="H1697" s="1">
        <v>3.0</v>
      </c>
      <c r="I1697" s="1" t="s">
        <v>10</v>
      </c>
      <c r="J1697" s="1" t="s">
        <v>86</v>
      </c>
      <c r="K1697" s="2" t="s">
        <v>5418</v>
      </c>
      <c r="L1697" s="2" t="s">
        <v>5419</v>
      </c>
      <c r="M1697" s="9" t="str">
        <f>IFERROR(__xludf.DUMMYFUNCTION("split(split(K1697,""香里奈　"",false),""html"",false)"),"http://ktv.jp/real-clothes/index.")</f>
        <v>http://ktv.jp/real-clothes/index.</v>
      </c>
      <c r="N1697" s="2" t="str">
        <f>IFERROR(__xludf.DUMMYFUNCTION("""COMPUTED_VALUE"""),"　美姫(黒木瞳)のアシスタントを務めることになった絹恵(香里奈)は、着任早々、ひっきりなしにやって来るセレブ客の対応と、次々と飛んでくる美姫の指示に追われるはめになる。  そんな中、老舗ストッキングメーカーの専務取締役・水嶋知子(片平なぎさ)が新しいドレスを選んで欲しいと美姫を訪ねてきたが、優作(西島秀俊)はこの訪問に別の思惑があると話す。その日、たった4時間で1000万円以上を売り上げた美姫は、夜には絹恵を連れて取り引き先の宴会に出席。寝る間も惜しんで働く猛烈な仕事ぶりを目の当たりにし、衝撃を受ける絹恵"&amp;"。そんな折、絹恵はマネージャー昇格試験に推薦されるが、美姫のように働く覚悟が持てず、受験を決意できない。  ようやく仕事にも慣れ、テキパキと仕事をこなすようになった絹恵。そんな中、絹恵のある行動で美姫を激怒させる事態がおこる。")</f>
        <v>　美姫(黒木瞳)のアシスタントを務めることになった絹恵(香里奈)は、着任早々、ひっきりなしにやって来るセレブ客の対応と、次々と飛んでくる美姫の指示に追われるはめになる。  そんな中、老舗ストッキングメーカーの専務取締役・水嶋知子(片平なぎさ)が新しいドレスを選んで欲しいと美姫を訪ねてきたが、優作(西島秀俊)はこの訪問に別の思惑があると話す。その日、たった4時間で1000万円以上を売り上げた美姫は、夜には絹恵を連れて取り引き先の宴会に出席。寝る間も惜しんで働く猛烈な仕事ぶりを目の当たりにし、衝撃を受ける絹恵。そんな折、絹恵はマネージャー昇格試験に推薦されるが、美姫のように働く覚悟が持てず、受験を決意できない。  ようやく仕事にも慣れ、テキパキと仕事をこなすようになった絹恵。そんな中、絹恵のある行動で美姫を激怒させる事態がおこる。</v>
      </c>
      <c r="O1697" s="2"/>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row>
    <row r="1698" ht="204.75" customHeight="1">
      <c r="A1698" s="1">
        <v>4986.0</v>
      </c>
      <c r="B1698" s="2" t="s">
        <v>5409</v>
      </c>
      <c r="C1698" s="2">
        <f>IFERROR(__xludf.DUMMYFUNCTION("split(B1698,""_"")"),910.0)</f>
        <v>910</v>
      </c>
      <c r="D1698" s="2" t="str">
        <f>IFERROR(__xludf.DUMMYFUNCTION("""COMPUTED_VALUE"""),"CX")</f>
        <v>CX</v>
      </c>
      <c r="E1698" s="2" t="str">
        <f>IFERROR(__xludf.DUMMYFUNCTION("""COMPUTED_VALUE"""),"火22")</f>
        <v>火22</v>
      </c>
      <c r="F1698" s="2" t="s">
        <v>5410</v>
      </c>
      <c r="G1698" s="2" t="s">
        <v>5420</v>
      </c>
      <c r="H1698" s="1">
        <v>4.0</v>
      </c>
      <c r="I1698" s="1" t="s">
        <v>14</v>
      </c>
      <c r="J1698" s="1" t="s">
        <v>86</v>
      </c>
      <c r="K1698" s="2" t="s">
        <v>5421</v>
      </c>
      <c r="L1698" s="2" t="s">
        <v>5422</v>
      </c>
      <c r="M1698" s="9" t="str">
        <f>IFERROR(__xludf.DUMMYFUNCTION("split(split(K1698,""香里奈　"",false),""html"",false)"),"http://ktv.jp/real-clothes/index.")</f>
        <v>http://ktv.jp/real-clothes/index.</v>
      </c>
      <c r="N1698" s="2" t="str">
        <f>IFERROR(__xludf.DUMMYFUNCTION("""COMPUTED_VALUE"""),"絹恵(香里奈)は見事マネージャー試験に合格!優作(西島秀俊)のもとでのバイヤー修行が始まった。美姫(黒木瞳)の助言をヒントに、絹恵は、ある販促プランを思いつき、売れ残っていた商品を見事に売り切ることに成功する。成果が美姫に評価され、仕事への意欲をかきたてられる絹恵。そんな中、達也(高岡蒼甫)が自分との結婚を考え始めていることを知る。仕事を選ぶのか?結婚を選ぶのか?激しく揺れる絹恵に思わぬ事態が…!")</f>
        <v>絹恵(香里奈)は見事マネージャー試験に合格!優作(西島秀俊)のもとでのバイヤー修行が始まった。美姫(黒木瞳)の助言をヒントに、絹恵は、ある販促プランを思いつき、売れ残っていた商品を見事に売り切ることに成功する。成果が美姫に評価され、仕事への意欲をかきたてられる絹恵。そんな中、達也(高岡蒼甫)が自分との結婚を考え始めていることを知る。仕事を選ぶのか?結婚を選ぶのか?激しく揺れる絹恵に思わぬ事態が…!</v>
      </c>
      <c r="O1698" s="2"/>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row>
    <row r="1699" ht="204.75" customHeight="1">
      <c r="A1699" s="1">
        <v>4987.0</v>
      </c>
      <c r="B1699" s="2" t="s">
        <v>5409</v>
      </c>
      <c r="C1699" s="2">
        <f>IFERROR(__xludf.DUMMYFUNCTION("split(B1699,""_"")"),910.0)</f>
        <v>910</v>
      </c>
      <c r="D1699" s="2" t="str">
        <f>IFERROR(__xludf.DUMMYFUNCTION("""COMPUTED_VALUE"""),"CX")</f>
        <v>CX</v>
      </c>
      <c r="E1699" s="2" t="str">
        <f>IFERROR(__xludf.DUMMYFUNCTION("""COMPUTED_VALUE"""),"火22")</f>
        <v>火22</v>
      </c>
      <c r="F1699" s="2" t="s">
        <v>5410</v>
      </c>
      <c r="G1699" s="2" t="s">
        <v>5423</v>
      </c>
      <c r="H1699" s="1">
        <v>5.0</v>
      </c>
      <c r="I1699" s="1" t="s">
        <v>17</v>
      </c>
      <c r="J1699" s="1" t="s">
        <v>82</v>
      </c>
      <c r="K1699" s="2" t="s">
        <v>5424</v>
      </c>
      <c r="L1699" s="2" t="s">
        <v>5425</v>
      </c>
      <c r="M1699" s="9" t="str">
        <f>IFERROR(__xludf.DUMMYFUNCTION("split(split(K1699,""香里奈　"",false),""html"",false)"),"http://ktv.jp/real-clothes/index.")</f>
        <v>http://ktv.jp/real-clothes/index.</v>
      </c>
      <c r="N1699" s="2" t="str">
        <f>IFERROR(__xludf.DUMMYFUNCTION("""COMPUTED_VALUE"""),"　達也(高岡蒼甫)のプロポーズを受け入れた絹恵(香里奈)は仕事を辞める決意を。その矢先、絹恵の企画したオリジナルウエディングドレスが美姫(黒木瞳)に採用され、商品化が決定。そんな中、退職の意志を美姫に言い出すことができない絹恵は思い悩み、仕事に身が入らない。    それでも最後の仕事になると腹をくくった絹恵は「倒れてでもやり遂げる」と優作(西島秀俊)に宣言。結婚退職を打ち明けられた優作は、次々と仕事を言い渡して絹恵をきりきり舞いさせる。そのお陰で仕事に追われる絹恵は、結婚の準備を着々と進める達也の話にもど"&amp;"こか上の空だ。    そんな折、蜂矢(小泉孝太郎)をアドバイザーに迎えたライバル百貨店が、絹恵らが考えていたものと同じコンセプトのブライダル企画をぶつけてきた!その夜、遅く帰宅した絹恵に、仕事にかまけて2人の将来に真剣に向き合おうとしないと達也が激怒。「お前は変わった」と部屋を出て行き…。")</f>
        <v>　達也(高岡蒼甫)のプロポーズを受け入れた絹恵(香里奈)は仕事を辞める決意を。その矢先、絹恵の企画したオリジナルウエディングドレスが美姫(黒木瞳)に採用され、商品化が決定。そんな中、退職の意志を美姫に言い出すことができない絹恵は思い悩み、仕事に身が入らない。    それでも最後の仕事になると腹をくくった絹恵は「倒れてでもやり遂げる」と優作(西島秀俊)に宣言。結婚退職を打ち明けられた優作は、次々と仕事を言い渡して絹恵をきりきり舞いさせる。そのお陰で仕事に追われる絹恵は、結婚の準備を着々と進める達也の話にもどこか上の空だ。    そんな折、蜂矢(小泉孝太郎)をアドバイザーに迎えたライバル百貨店が、絹恵らが考えていたものと同じコンセプトのブライダル企画をぶつけてきた!その夜、遅く帰宅した絹恵に、仕事にかまけて2人の将来に真剣に向き合おうとしないと達也が激怒。「お前は変わった」と部屋を出て行き…。</v>
      </c>
      <c r="O1699" s="2"/>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row>
    <row r="1700" ht="204.75" customHeight="1">
      <c r="A1700" s="1">
        <v>4988.0</v>
      </c>
      <c r="B1700" s="2" t="s">
        <v>5409</v>
      </c>
      <c r="C1700" s="2">
        <f>IFERROR(__xludf.DUMMYFUNCTION("split(B1700,""_"")"),910.0)</f>
        <v>910</v>
      </c>
      <c r="D1700" s="2" t="str">
        <f>IFERROR(__xludf.DUMMYFUNCTION("""COMPUTED_VALUE"""),"CX")</f>
        <v>CX</v>
      </c>
      <c r="E1700" s="2" t="str">
        <f>IFERROR(__xludf.DUMMYFUNCTION("""COMPUTED_VALUE"""),"火22")</f>
        <v>火22</v>
      </c>
      <c r="F1700" s="2" t="s">
        <v>5410</v>
      </c>
      <c r="G1700" s="2" t="s">
        <v>5426</v>
      </c>
      <c r="H1700" s="1">
        <v>6.0</v>
      </c>
      <c r="I1700" s="1" t="s">
        <v>21</v>
      </c>
      <c r="J1700" s="1" t="s">
        <v>86</v>
      </c>
      <c r="K1700" s="2" t="s">
        <v>5427</v>
      </c>
      <c r="L1700" s="2" t="s">
        <v>5428</v>
      </c>
      <c r="M1700" s="9" t="str">
        <f>IFERROR(__xludf.DUMMYFUNCTION("split(split(K1700,""香里奈　"",false),""html"",false)"),"http://ktv.jp/real-clothes/index.")</f>
        <v>http://ktv.jp/real-clothes/index.</v>
      </c>
      <c r="N1700" s="2" t="str">
        <f>IFERROR(__xludf.DUMMYFUNCTION("""COMPUTED_VALUE"""),"　達也(高岡蒼甫)と別れた絹恵(香里奈)。「これからは仕事に生きる」と宣言するが、一人になると浮かんでくるのは達也のことばかりだ。    　その頃、越前屋では企業イメージアップイベントとして予定されていた企画が中止となり、急遽、別の企画を立ち上げることに。  達也のことを忘れようと仕事に励む絹恵は、この企画立案に挑戦しようと奮闘。そんな中、優作(西島秀俊)に婚約者がいると知り、ショックを受けている自分に戸惑う。その夜、寂しさと会いたい気持ちが抑えきれず、絹恵は達也のマンションへ。そこで目にしたのは、晴美("&amp;"山田麻衣子)と達也の仲睦まじい姿だった。達也は「俺たち、終わったんだよ」と絹恵に決別を告げ…。そんな折、まゆ(IMALU)が作ったTシャツにヒントを得た絹恵は、あるイベント企画を思いつく。美姫(黒木瞳)はこれを即決で採用。絹恵を中心に一大プロジェクトが組まれる。突然の大抜擢に驚く絹恵だが…。")</f>
        <v>　達也(高岡蒼甫)と別れた絹恵(香里奈)。「これからは仕事に生きる」と宣言するが、一人になると浮かんでくるのは達也のことばかりだ。    　その頃、越前屋では企業イメージアップイベントとして予定されていた企画が中止となり、急遽、別の企画を立ち上げることに。  達也のことを忘れようと仕事に励む絹恵は、この企画立案に挑戦しようと奮闘。そんな中、優作(西島秀俊)に婚約者がいると知り、ショックを受けている自分に戸惑う。その夜、寂しさと会いたい気持ちが抑えきれず、絹恵は達也のマンションへ。そこで目にしたのは、晴美(山田麻衣子)と達也の仲睦まじい姿だった。達也は「俺たち、終わったんだよ」と絹恵に決別を告げ…。そんな折、まゆ(IMALU)が作ったTシャツにヒントを得た絹恵は、あるイベント企画を思いつく。美姫(黒木瞳)はこれを即決で採用。絹恵を中心に一大プロジェクトが組まれる。突然の大抜擢に驚く絹恵だが…。</v>
      </c>
      <c r="O1700" s="2"/>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row>
    <row r="1701" ht="204.75" customHeight="1">
      <c r="A1701" s="1">
        <v>4989.0</v>
      </c>
      <c r="B1701" s="2" t="s">
        <v>5409</v>
      </c>
      <c r="C1701" s="2">
        <f>IFERROR(__xludf.DUMMYFUNCTION("split(B1701,""_"")"),910.0)</f>
        <v>910</v>
      </c>
      <c r="D1701" s="2" t="str">
        <f>IFERROR(__xludf.DUMMYFUNCTION("""COMPUTED_VALUE"""),"CX")</f>
        <v>CX</v>
      </c>
      <c r="E1701" s="2" t="str">
        <f>IFERROR(__xludf.DUMMYFUNCTION("""COMPUTED_VALUE"""),"火22")</f>
        <v>火22</v>
      </c>
      <c r="F1701" s="2" t="s">
        <v>5410</v>
      </c>
      <c r="G1701" s="2" t="s">
        <v>5429</v>
      </c>
      <c r="H1701" s="1">
        <v>7.0</v>
      </c>
      <c r="I1701" s="1" t="s">
        <v>25</v>
      </c>
      <c r="J1701" s="1" t="s">
        <v>86</v>
      </c>
      <c r="K1701" s="2" t="s">
        <v>5430</v>
      </c>
      <c r="L1701" s="2" t="s">
        <v>5431</v>
      </c>
      <c r="M1701" s="9" t="str">
        <f>IFERROR(__xludf.DUMMYFUNCTION("split(split(K1701,""香里奈　"",false),""html"",false)"),"http://ktv.jp/real-clothes/index.")</f>
        <v>http://ktv.jp/real-clothes/index.</v>
      </c>
      <c r="N1701" s="2" t="str">
        <f>IFERROR(__xludf.DUMMYFUNCTION("""COMPUTED_VALUE"""),"　美姫(黒木瞳)がヤングカジュアル売り場にアンテナコーナーを新設するプロジェクトを始動。そのチームマネージャーに任命された絹恵(香里奈)は、契約社員ながらチーフとして売り場をまとめるカリスマ販売員・小西まみ(中別府葵)に出会う。有能な、まみにプロジェクトの重要な仕事を任せようとする絹恵。ところが、まみは契約社員が失敗すればクビを切られかねないと渋り、仕事を引き受けようとしない。絹恵はまみとの間に大きな“壁""を感じ始める。仕事に高い能力を持ちながら、大きなプロジェクトに関わるチャンスを自ら潰そうとするまみ"&amp;"に、歯がゆさを感じた絹恵は、なおもまみを説得しようとする。ところが、まみはそんな絹恵を無神経だと激怒。絹恵はまみを傷つけてしまったと思い悩む。  そんな中、二人はあることで大ゲンカに・・・。")</f>
        <v>　美姫(黒木瞳)がヤングカジュアル売り場にアンテナコーナーを新設するプロジェクトを始動。そのチームマネージャーに任命された絹恵(香里奈)は、契約社員ながらチーフとして売り場をまとめるカリスマ販売員・小西まみ(中別府葵)に出会う。有能な、まみにプロジェクトの重要な仕事を任せようとする絹恵。ところが、まみは契約社員が失敗すればクビを切られかねないと渋り、仕事を引き受けようとしない。絹恵はまみとの間に大きな“壁"を感じ始める。仕事に高い能力を持ちながら、大きなプロジェクトに関わるチャンスを自ら潰そうとするまみに、歯がゆさを感じた絹恵は、なおもまみを説得しようとする。ところが、まみはそんな絹恵を無神経だと激怒。絹恵はまみを傷つけてしまったと思い悩む。  そんな中、二人はあることで大ゲンカに・・・。</v>
      </c>
      <c r="O1701" s="2"/>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row>
    <row r="1702" ht="204.75" customHeight="1">
      <c r="A1702" s="1">
        <v>4990.0</v>
      </c>
      <c r="B1702" s="2" t="s">
        <v>5409</v>
      </c>
      <c r="C1702" s="2">
        <f>IFERROR(__xludf.DUMMYFUNCTION("split(B1702,""_"")"),910.0)</f>
        <v>910</v>
      </c>
      <c r="D1702" s="2" t="str">
        <f>IFERROR(__xludf.DUMMYFUNCTION("""COMPUTED_VALUE"""),"CX")</f>
        <v>CX</v>
      </c>
      <c r="E1702" s="2" t="str">
        <f>IFERROR(__xludf.DUMMYFUNCTION("""COMPUTED_VALUE"""),"火22")</f>
        <v>火22</v>
      </c>
      <c r="F1702" s="2" t="s">
        <v>5410</v>
      </c>
      <c r="G1702" s="2" t="s">
        <v>5432</v>
      </c>
      <c r="H1702" s="1">
        <v>8.0</v>
      </c>
      <c r="I1702" s="1" t="s">
        <v>29</v>
      </c>
      <c r="J1702" s="1" t="s">
        <v>86</v>
      </c>
      <c r="K1702" s="2" t="s">
        <v>5433</v>
      </c>
      <c r="L1702" s="2" t="s">
        <v>5434</v>
      </c>
      <c r="M1702" s="9" t="str">
        <f>IFERROR(__xludf.DUMMYFUNCTION("split(split(K1702,""香里奈　"",false),""html"",false)"),"http://ktv.jp/real-clothes/index.")</f>
        <v>http://ktv.jp/real-clothes/index.</v>
      </c>
      <c r="N1702" s="2" t="str">
        <f>IFERROR(__xludf.DUMMYFUNCTION("""COMPUTED_VALUE"""),"　越前屋が松善との合併協議に揺れる中、優作(西島俊秀)は役員への引き上げを打診される。異例の大抜擢だが、それは優作が現場の仕事から離れることを意味していた。  美姫(黒木瞳)は新しいニット商品のプロジェクトを立ち上げ、ニットデザイナー・双葉公彦(中村靖日)との交渉を絹恵(香里奈)に託す。絹恵は優作とともに動き出そうとするが、婚約者の雪乃(奥貫薫)にフラれて以来、仕事が手につかない優作は心ここにあらず。そんな折、双葉が突然プロジェクトを降りたいと言い出す。  　すべては蜂矢(小泉孝太郎)が仕組んだことだった"&amp;"。双葉に取り入り、越前屋を差し置いて契約を結んだのだ。これを知り、契約を早々にあきらめてデザイナーの変更を決めた優作を絹恵は「田渕さんらしくない」と非難。1人で双葉のもとに通い詰め、辛抱強く説得を続ける。　そんな中、絹恵はニコラ(黄川田将也)の頼みで雪乃に会い、寄りを戻したい優作と会ってくれるよう頭を下げる。だが、雪乃にやり直す気はなかった。ショックを受けた優作は絹恵を相手にやけ酒を煽る。酔い潰れた優作を抱え、絹恵が優作のマンションに向かうと…。")</f>
        <v>　越前屋が松善との合併協議に揺れる中、優作(西島俊秀)は役員への引き上げを打診される。異例の大抜擢だが、それは優作が現場の仕事から離れることを意味していた。  美姫(黒木瞳)は新しいニット商品のプロジェクトを立ち上げ、ニットデザイナー・双葉公彦(中村靖日)との交渉を絹恵(香里奈)に託す。絹恵は優作とともに動き出そうとするが、婚約者の雪乃(奥貫薫)にフラれて以来、仕事が手につかない優作は心ここにあらず。そんな折、双葉が突然プロジェクトを降りたいと言い出す。  　すべては蜂矢(小泉孝太郎)が仕組んだことだった。双葉に取り入り、越前屋を差し置いて契約を結んだのだ。これを知り、契約を早々にあきらめてデザイナーの変更を決めた優作を絹恵は「田渕さんらしくない」と非難。1人で双葉のもとに通い詰め、辛抱強く説得を続ける。　そんな中、絹恵はニコラ(黄川田将也)の頼みで雪乃に会い、寄りを戻したい優作と会ってくれるよう頭を下げる。だが、雪乃にやり直す気はなかった。ショックを受けた優作は絹恵を相手にやけ酒を煽る。酔い潰れた優作を抱え、絹恵が優作のマンションに向かうと…。</v>
      </c>
      <c r="O1702" s="2"/>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row>
    <row r="1703" ht="204.75" customHeight="1">
      <c r="A1703" s="1">
        <v>4991.0</v>
      </c>
      <c r="B1703" s="2" t="s">
        <v>5409</v>
      </c>
      <c r="C1703" s="2">
        <f>IFERROR(__xludf.DUMMYFUNCTION("split(B1703,""_"")"),910.0)</f>
        <v>910</v>
      </c>
      <c r="D1703" s="2" t="str">
        <f>IFERROR(__xludf.DUMMYFUNCTION("""COMPUTED_VALUE"""),"CX")</f>
        <v>CX</v>
      </c>
      <c r="E1703" s="2" t="str">
        <f>IFERROR(__xludf.DUMMYFUNCTION("""COMPUTED_VALUE"""),"火22")</f>
        <v>火22</v>
      </c>
      <c r="F1703" s="2" t="s">
        <v>5410</v>
      </c>
      <c r="G1703" s="2" t="s">
        <v>5435</v>
      </c>
      <c r="H1703" s="1">
        <v>9.0</v>
      </c>
      <c r="I1703" s="1" t="s">
        <v>33</v>
      </c>
      <c r="J1703" s="1" t="s">
        <v>86</v>
      </c>
      <c r="K1703" s="2" t="s">
        <v>5436</v>
      </c>
      <c r="L1703" s="2" t="s">
        <v>5437</v>
      </c>
      <c r="M1703" s="9" t="str">
        <f>IFERROR(__xludf.DUMMYFUNCTION("split(split(K1703,""香里奈　"",false),""html"",false)"),"http://ktv.jp/real-clothes/index.")</f>
        <v>http://ktv.jp/real-clothes/index.</v>
      </c>
      <c r="N1703" s="2" t="str">
        <f>IFERROR(__xludf.DUMMYFUNCTION("""COMPUTED_VALUE"""),"　松善百貨店の合併により、越前屋には契約を解除したいという取引先からの申し出が殺到。年末商戦を前に、越前屋は存続の危機に陥っていた。そこで美姫(黒木瞳)はニューヨークの日本未上陸ブランドとの専属契約に乗り出す。先方の契約の条件は、製造を浅草の老舗靴工場『竹内』に委託すること。美姫は『竹内』との契約交渉を絹恵(香里奈)に託す。一方、絹恵は、職場で優作(西島秀俊)の顔を見るたび胸が苦しくなり、仕事が手につかない。恋をしていると凌(加藤夏希)らに指摘され、絹恵は慌てて否定するが…。  　同じ頃、蜂矢(小泉孝太郎"&amp;")が凌に接触。正社員として松善に迎えたいと執拗に誘いをかける。一方、絹恵は『竹内』の社長・竹内祐造(田山涼成)に契約を持ちかけるが、相手にされず断られてしまう。なんとか説得しようと『竹内』に通い詰める絹恵は工場の片隅で1枚の写真を見つける。そこに写っていたのは20年前の美姫だった…!")</f>
        <v>　松善百貨店の合併により、越前屋には契約を解除したいという取引先からの申し出が殺到。年末商戦を前に、越前屋は存続の危機に陥っていた。そこで美姫(黒木瞳)はニューヨークの日本未上陸ブランドとの専属契約に乗り出す。先方の契約の条件は、製造を浅草の老舗靴工場『竹内』に委託すること。美姫は『竹内』との契約交渉を絹恵(香里奈)に託す。一方、絹恵は、職場で優作(西島秀俊)の顔を見るたび胸が苦しくなり、仕事が手につかない。恋をしていると凌(加藤夏希)らに指摘され、絹恵は慌てて否定するが…。  　同じ頃、蜂矢(小泉孝太郎)が凌に接触。正社員として松善に迎えたいと執拗に誘いをかける。一方、絹恵は『竹内』の社長・竹内祐造(田山涼成)に契約を持ちかけるが、相手にされず断られてしまう。なんとか説得しようと『竹内』に通い詰める絹恵は工場の片隅で1枚の写真を見つける。そこに写っていたのは20年前の美姫だった…!</v>
      </c>
      <c r="O1703" s="2"/>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row>
    <row r="1704" ht="204.75" customHeight="1">
      <c r="A1704" s="1">
        <v>4992.0</v>
      </c>
      <c r="B1704" s="2" t="s">
        <v>5409</v>
      </c>
      <c r="C1704" s="2">
        <f>IFERROR(__xludf.DUMMYFUNCTION("split(B1704,""_"")"),910.0)</f>
        <v>910</v>
      </c>
      <c r="D1704" s="2" t="str">
        <f>IFERROR(__xludf.DUMMYFUNCTION("""COMPUTED_VALUE"""),"CX")</f>
        <v>CX</v>
      </c>
      <c r="E1704" s="2" t="str">
        <f>IFERROR(__xludf.DUMMYFUNCTION("""COMPUTED_VALUE"""),"火22")</f>
        <v>火22</v>
      </c>
      <c r="F1704" s="2" t="s">
        <v>5410</v>
      </c>
      <c r="G1704" s="2" t="s">
        <v>5438</v>
      </c>
      <c r="H1704" s="1">
        <v>10.0</v>
      </c>
      <c r="I1704" s="1" t="s">
        <v>37</v>
      </c>
      <c r="J1704" s="1" t="s">
        <v>86</v>
      </c>
      <c r="K1704" s="2" t="s">
        <v>5439</v>
      </c>
      <c r="L1704" s="2" t="s">
        <v>5440</v>
      </c>
      <c r="M1704" s="9" t="str">
        <f>IFERROR(__xludf.DUMMYFUNCTION("split(split(K1704,""香里奈　"",false),""html"",false)"),"http://ktv.jp/real-clothes/index.")</f>
        <v>http://ktv.jp/real-clothes/index.</v>
      </c>
      <c r="N1704" s="2" t="str">
        <f>IFERROR(__xludf.DUMMYFUNCTION("""COMPUTED_VALUE"""),"　松善に客足を奪われた越前屋の売り上げは大幅ダウン。深刻な危機に陥った越前屋の社運が、美姫(黒木瞳)の進める日本初上陸ブランド『Siela&amp;Keith』との契約交渉に託される中、ブランドの幹部が緊急来日。明朝、契約を決する最終プレゼンをして欲しいと連絡してきた。　プレゼンの時間までわずか24時間。資料作成の準備に追われていた絹恵(香里奈)は、優作(西島秀俊)が蜂矢(小泉孝太郎)と密かに会っていたことを知る。最近、越前屋から優秀なスタッフが松善に引き抜かれているだけに、優作も誘われているのではと動揺する絹恵"&amp;"…。さらに絹恵は、蜂矢が凌(加藤夏希)とも接触していたと知ってがく然。越前屋を離れる気配を見せる仲間たちに、絹恵の動揺は激しくなるばかり。  　そんな折、蜂矢ら松善陣営も『Siela&amp;Keith』と契約交渉を進めていたことが判明。美姫は急遽、プレゼンの大きな方針転換を思いつく。絹恵らは夜を徹して準備に励むが…。")</f>
        <v>　松善に客足を奪われた越前屋の売り上げは大幅ダウン。深刻な危機に陥った越前屋の社運が、美姫(黒木瞳)の進める日本初上陸ブランド『Siela&amp;Keith』との契約交渉に託される中、ブランドの幹部が緊急来日。明朝、契約を決する最終プレゼンをして欲しいと連絡してきた。　プレゼンの時間までわずか24時間。資料作成の準備に追われていた絹恵(香里奈)は、優作(西島秀俊)が蜂矢(小泉孝太郎)と密かに会っていたことを知る。最近、越前屋から優秀なスタッフが松善に引き抜かれているだけに、優作も誘われているのではと動揺する絹恵…。さらに絹恵は、蜂矢が凌(加藤夏希)とも接触していたと知ってがく然。越前屋を離れる気配を見せる仲間たちに、絹恵の動揺は激しくなるばかり。  　そんな折、蜂矢ら松善陣営も『Siela&amp;Keith』と契約交渉を進めていたことが判明。美姫は急遽、プレゼンの大きな方針転換を思いつく。絹恵らは夜を徹して準備に励むが…。</v>
      </c>
      <c r="O1704" s="2"/>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row>
    <row r="1705" ht="204.75" customHeight="1">
      <c r="A1705" s="1">
        <v>4993.0</v>
      </c>
      <c r="B1705" s="2" t="s">
        <v>5409</v>
      </c>
      <c r="C1705" s="2">
        <f>IFERROR(__xludf.DUMMYFUNCTION("split(B1705,""_"")"),910.0)</f>
        <v>910</v>
      </c>
      <c r="D1705" s="2" t="str">
        <f>IFERROR(__xludf.DUMMYFUNCTION("""COMPUTED_VALUE"""),"CX")</f>
        <v>CX</v>
      </c>
      <c r="E1705" s="2" t="str">
        <f>IFERROR(__xludf.DUMMYFUNCTION("""COMPUTED_VALUE"""),"火22")</f>
        <v>火22</v>
      </c>
      <c r="F1705" s="2" t="s">
        <v>5410</v>
      </c>
      <c r="G1705" s="2" t="s">
        <v>5441</v>
      </c>
      <c r="H1705" s="1">
        <v>11.0</v>
      </c>
      <c r="I1705" s="1" t="s">
        <v>41</v>
      </c>
      <c r="J1705" s="1" t="s">
        <v>86</v>
      </c>
      <c r="K1705" s="2" t="s">
        <v>5442</v>
      </c>
      <c r="L1705" s="2" t="s">
        <v>5443</v>
      </c>
      <c r="M1705" s="9" t="str">
        <f>IFERROR(__xludf.DUMMYFUNCTION("split(split(K1705,""香里奈　"",false),""html"",false)"),"http://ktv.jp/real-clothes/index.")</f>
        <v>http://ktv.jp/real-clothes/index.</v>
      </c>
      <c r="N1705" s="2" t="str">
        <f>IFERROR(__xludf.DUMMYFUNCTION("""COMPUTED_VALUE"""),"　『Siela&amp;Keith』との契約を逃した美姫(黒木瞳)は責任を問われ、統括部長を解任された。代わって絹恵(香里奈)は、クリスマス商戦企画の代替案を出すよう命じられる。美姫は自分の代わりにこのプロジェクトの指揮を取れと指示。だが、松善に対抗できる企画をクリスマスまでに立ち上げるのは至難の業だ。絹恵は優作(西島秀俊)に相談しようとするが、転職先との契約のためロンドンに発ってしまう。　美姫と優作の支えを失った絹恵は「私ががんばらなきゃ」と奮起。“打倒!松善""を掲げて人気ブランドとコラボした限定アイテムの販"&amp;"売を企画するが、商品はなかなか集まらない。焦った絹恵は、スタッフを交渉にあたらせようとするが、その強引さに凌(加藤夏希)らが反発。絹恵はついに孤立してまう。やがて、松善に勝つことだけにとらわれていた自分に気づく絹恵。クリスマス企画を練り直すうち、百貨店の常識を覆すあるアイデアが浮かぶ…。")</f>
        <v>　『Siela&amp;Keith』との契約を逃した美姫(黒木瞳)は責任を問われ、統括部長を解任された。代わって絹恵(香里奈)は、クリスマス商戦企画の代替案を出すよう命じられる。美姫は自分の代わりにこのプロジェクトの指揮を取れと指示。だが、松善に対抗できる企画をクリスマスまでに立ち上げるのは至難の業だ。絹恵は優作(西島秀俊)に相談しようとするが、転職先との契約のためロンドンに発ってしまう。　美姫と優作の支えを失った絹恵は「私ががんばらなきゃ」と奮起。“打倒!松善"を掲げて人気ブランドとコラボした限定アイテムの販売を企画するが、商品はなかなか集まらない。焦った絹恵は、スタッフを交渉にあたらせようとするが、その強引さに凌(加藤夏希)らが反発。絹恵はついに孤立してまう。やがて、松善に勝つことだけにとらわれていた自分に気づく絹恵。クリスマス企画を練り直すうち、百貨店の常識を覆すあるアイデアが浮かぶ…。</v>
      </c>
      <c r="O1705" s="2"/>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row>
    <row r="1706" ht="204.75" customHeight="1">
      <c r="A1706" s="1">
        <v>5020.0</v>
      </c>
      <c r="B1706" s="2" t="s">
        <v>5444</v>
      </c>
      <c r="C1706" s="2">
        <f>IFERROR(__xludf.DUMMYFUNCTION("split(B1706,""_"")"),910.0)</f>
        <v>910</v>
      </c>
      <c r="D1706" s="2" t="str">
        <f>IFERROR(__xludf.DUMMYFUNCTION("""COMPUTED_VALUE"""),"CX")</f>
        <v>CX</v>
      </c>
      <c r="E1706" s="2" t="str">
        <f>IFERROR(__xludf.DUMMYFUNCTION("""COMPUTED_VALUE"""),"木22")</f>
        <v>木22</v>
      </c>
      <c r="F1706" s="2" t="s">
        <v>5343</v>
      </c>
      <c r="G1706" s="2" t="s">
        <v>5445</v>
      </c>
      <c r="H1706" s="1">
        <v>1.0</v>
      </c>
      <c r="I1706" s="1" t="s">
        <v>3</v>
      </c>
      <c r="J1706" s="1" t="s">
        <v>1647</v>
      </c>
      <c r="K1706" s="4" t="s">
        <v>5446</v>
      </c>
      <c r="L1706" s="2" t="s">
        <v>5447</v>
      </c>
      <c r="M1706" s="2" t="str">
        <f>IFERROR(__xludf.DUMMYFUNCTION("split(split(K1706,""唐沢寿明　"",false),""公式LINE"",false)"),"第二次大戦中、大本営の参謀として作戦立案にあたっていた壹岐正(唐沢寿明)は、終戦後、満州でソ連軍に拘束される。戦犯としてソ連の軍事裁判にかけられた壹岐は、強制労働25年の刑を宣告されると、一度送られたら二度と生きて帰ることはできないといわれたシベリア極北の流刑地ラゾに送られてしまう。11年もの長きに渡って過酷な強制労働に耐え抜いた壹岐は、昭和31年に帰国する。それからの2年間、壹岐は、強制労働によってむしばまれた体の回復と、シベリアから一緒に帰国した部下たちの就職の世話に専念した。その間は、妻の佳子(和久"&amp;"井映見)が大阪府庁民生課で働きながら家計を支えていた。そんなある日、壹岐のもとに、士官学校時代からの親友で、防衛庁の空将補である川又伊佐雄(柳葉敏郎)がやってくる。川又は、この国を守るために一緒に働いてほしい、と壹岐を防衛庁に誘った。しかし壹岐は、自らが関わった作戦により、多くの兵士や民間人を死なせてしまった責任から、川又の誘いを断った。壹岐は、部下たちの就職が片付いたのを機に、かねてから誘われていた近畿商事への就職を決意する。近畿商事は繊維を中心に扱う商社だが、経済の発展を見越して、重工業化・国際化を推"&amp;"進しようとしていた。社長の大門一三(原田芳雄)に会った壹岐は、軍人時代のコネや肩書きを一切利用しないことを条件に、近畿商事に入社し、社長室嘱託として繊維部で働き始めるが…。")</f>
        <v>第二次大戦中、大本営の参謀として作戦立案にあたっていた壹岐正(唐沢寿明)は、終戦後、満州でソ連軍に拘束される。戦犯としてソ連の軍事裁判にかけられた壹岐は、強制労働25年の刑を宣告されると、一度送られたら二度と生きて帰ることはできないといわれたシベリア極北の流刑地ラゾに送られてしまう。11年もの長きに渡って過酷な強制労働に耐え抜いた壹岐は、昭和31年に帰国する。それからの2年間、壹岐は、強制労働によってむしばまれた体の回復と、シベリアから一緒に帰国した部下たちの就職の世話に専念した。その間は、妻の佳子(和久井映見)が大阪府庁民生課で働きながら家計を支えていた。そんなある日、壹岐のもとに、士官学校時代からの親友で、防衛庁の空将補である川又伊佐雄(柳葉敏郎)がやってくる。川又は、この国を守るために一緒に働いてほしい、と壹岐を防衛庁に誘った。しかし壹岐は、自らが関わった作戦により、多くの兵士や民間人を死なせてしまった責任から、川又の誘いを断った。壹岐は、部下たちの就職が片付いたのを機に、かねてから誘われていた近畿商事への就職を決意する。近畿商事は繊維を中心に扱う商社だが、経済の発展を見越して、重工業化・国際化を推進しようとしていた。社長の大門一三(原田芳雄)に会った壹岐は、軍人時代のコネや肩書きを一切利用しないことを条件に、近畿商事に入社し、社長室嘱託として繊維部で働き始めるが…。</v>
      </c>
      <c r="N1706" s="2"/>
      <c r="O1706" s="2"/>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row>
    <row r="1707" ht="204.75" customHeight="1">
      <c r="A1707" s="1">
        <v>5021.0</v>
      </c>
      <c r="B1707" s="2" t="s">
        <v>5444</v>
      </c>
      <c r="C1707" s="2">
        <f>IFERROR(__xludf.DUMMYFUNCTION("split(B1707,""_"")"),910.0)</f>
        <v>910</v>
      </c>
      <c r="D1707" s="2" t="str">
        <f>IFERROR(__xludf.DUMMYFUNCTION("""COMPUTED_VALUE"""),"CX")</f>
        <v>CX</v>
      </c>
      <c r="E1707" s="2" t="str">
        <f>IFERROR(__xludf.DUMMYFUNCTION("""COMPUTED_VALUE"""),"木22")</f>
        <v>木22</v>
      </c>
      <c r="F1707" s="2" t="s">
        <v>5343</v>
      </c>
      <c r="G1707" s="2" t="s">
        <v>5448</v>
      </c>
      <c r="H1707" s="1">
        <v>2.0</v>
      </c>
      <c r="I1707" s="1" t="s">
        <v>7</v>
      </c>
      <c r="J1707" s="1" t="s">
        <v>86</v>
      </c>
      <c r="K1707" s="2" t="s">
        <v>5449</v>
      </c>
      <c r="L1707" s="2" t="s">
        <v>5450</v>
      </c>
      <c r="M1707" s="2" t="str">
        <f>IFERROR(__xludf.DUMMYFUNCTION("split(split(K1707,""唐沢寿明　"",false),""公式LINE"",false)"),"防衛庁の第2次防FX(=次期主力戦闘機)の受注が政治家の利権に利用されていることを知った壹岐正(唐沢寿明)は、社長の大門一三(原田芳雄)に東京支社航空機部への異動を申し出る。第2次防FXの有力候補は、近畿商事が押すラッキード社の『ラッキードF104』と、東京商事が推すグラント社の『スーパードラゴンF11』の2機。だが、東京商事航空機部の鮫島辰三(遠藤憲一)による裏工作によって、グラント社の『スーパードラゴンF11』が有利な状況にあった。壹岐が、防衛庁の川又伊佐雄(柳葉敏郎)から、『ラッキードF104』の優"&amp;"秀性が記載された自衛隊調査団の報告書が、官房長の貝塚道生(段田安則)によって握りつぶされているとの情報を得ると、大門は、自由党総務会長で反総理派の大物、大川一郎(佐々木敏)の力を借りようとする。  　そんな中、壹岐の家に、毎朝新聞の政治部記者・田原秀雄(阿部サダヲ)が訪ねてくる。田原は、壹岐が防衛庁入りの話を蹴って近畿商事に入社したのは、商社サイドから『ラッキードF104』を推すためではないのか、と言い出す。その際、田原は、川又が西部航空方面隊に左遷されるという噂を耳にした、と壹岐に告げる。  　そんな折"&amp;"、一度は国会での貝塚の喚問を約束した大川が、急に態度を変えた。そこで壹岐は、総理の側近であり、国防会議の重要メンバーでもある経済企画庁長官・久松清蔵(伊東四朗)に会いに行くが…。")</f>
        <v>防衛庁の第2次防FX(=次期主力戦闘機)の受注が政治家の利権に利用されていることを知った壹岐正(唐沢寿明)は、社長の大門一三(原田芳雄)に東京支社航空機部への異動を申し出る。第2次防FXの有力候補は、近畿商事が押すラッキード社の『ラッキードF104』と、東京商事が推すグラント社の『スーパードラゴンF11』の2機。だが、東京商事航空機部の鮫島辰三(遠藤憲一)による裏工作によって、グラント社の『スーパードラゴンF11』が有利な状況にあった。壹岐が、防衛庁の川又伊佐雄(柳葉敏郎)から、『ラッキードF104』の優秀性が記載された自衛隊調査団の報告書が、官房長の貝塚道生(段田安則)によって握りつぶされているとの情報を得ると、大門は、自由党総務会長で反総理派の大物、大川一郎(佐々木敏)の力を借りようとする。  　そんな中、壹岐の家に、毎朝新聞の政治部記者・田原秀雄(阿部サダヲ)が訪ねてくる。田原は、壹岐が防衛庁入りの話を蹴って近畿商事に入社したのは、商社サイドから『ラッキードF104』を推すためではないのか、と言い出す。その際、田原は、川又が西部航空方面隊に左遷されるという噂を耳にした、と壹岐に告げる。  　そんな折、一度は国会での貝塚の喚問を約束した大川が、急に態度を変えた。そこで壹岐は、総理の側近であり、国防会議の重要メンバーでもある経済企画庁長官・久松清蔵(伊東四朗)に会いに行くが…。</v>
      </c>
      <c r="N1707" s="2"/>
      <c r="O1707" s="2"/>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row>
    <row r="1708" ht="204.75" customHeight="1">
      <c r="A1708" s="1">
        <v>5022.0</v>
      </c>
      <c r="B1708" s="2" t="s">
        <v>5444</v>
      </c>
      <c r="C1708" s="2">
        <f>IFERROR(__xludf.DUMMYFUNCTION("split(B1708,""_"")"),910.0)</f>
        <v>910</v>
      </c>
      <c r="D1708" s="2" t="str">
        <f>IFERROR(__xludf.DUMMYFUNCTION("""COMPUTED_VALUE"""),"CX")</f>
        <v>CX</v>
      </c>
      <c r="E1708" s="2" t="str">
        <f>IFERROR(__xludf.DUMMYFUNCTION("""COMPUTED_VALUE"""),"木22")</f>
        <v>木22</v>
      </c>
      <c r="F1708" s="2" t="s">
        <v>5343</v>
      </c>
      <c r="G1708" s="2" t="s">
        <v>5451</v>
      </c>
      <c r="H1708" s="1">
        <v>3.0</v>
      </c>
      <c r="I1708" s="1" t="s">
        <v>10</v>
      </c>
      <c r="J1708" s="1" t="s">
        <v>86</v>
      </c>
      <c r="K1708" s="2" t="s">
        <v>5452</v>
      </c>
      <c r="L1708" s="2" t="s">
        <v>5453</v>
      </c>
      <c r="M1708" s="2" t="str">
        <f>IFERROR(__xludf.DUMMYFUNCTION("split(split(K1708,""唐沢寿明　"",false),""公式LINE"",false)"),"防衛庁の第2次防FX(=次期主力戦闘機)受注をめぐり、激しい戦いを繰り広げていた壹岐正(唐沢寿明)は、東京商事航空機部の鮫島辰三(遠藤憲一)が総理に流していたわいろ『G資金』のルートを解明するとともに、防衛庁から極秘文書であるグラント社の『スーパードラゴンF11』の価格見積表を入手する。これによって、ラッキード社の『ラッキードF104』を推す壹岐たち近畿商事が勝利するものと思われたが、その矢先、アメリカの空軍基地でテスト・フライト中だった『ラッキードF104』が墜落事故を起こすという事態が発生した。近畿商"&amp;"事社長の大門一三(原田芳雄)は、一刻も早く墜落の原因などの詳しい情報を集めて対策を練るよう、東京支社長の里井達也(岸部一徳)に命じた。同じころ、鮫島は、防衛庁官房長の貝塚道生(段田安則)に、『ラッキードF104』の欠陥データと墜落現場の写真を入手したことを報告していた。すでにそれらは、毎朝新聞記者の田原秀雄(阿部サダヲ)の手に渡っているという。それを知った壹岐は、田原が握っているデータを把握するために、自ら彼に接触。田原は、『ラッキードF104』には致命的な欠陥がある、と壹岐に告げ、明日の朝刊を楽しみにし"&amp;"ていてほしい、と言い残して去っていく。その夜、壹岐は、旧知の仲である経済企画庁長官・久松清蔵(伊東四朗)を訪ね、毎朝新聞の記事を何とか抑える策はないか、と久松に頼みこむが…。")</f>
        <v>防衛庁の第2次防FX(=次期主力戦闘機)受注をめぐり、激しい戦いを繰り広げていた壹岐正(唐沢寿明)は、東京商事航空機部の鮫島辰三(遠藤憲一)が総理に流していたわいろ『G資金』のルートを解明するとともに、防衛庁から極秘文書であるグラント社の『スーパードラゴンF11』の価格見積表を入手する。これによって、ラッキード社の『ラッキードF104』を推す壹岐たち近畿商事が勝利するものと思われたが、その矢先、アメリカの空軍基地でテスト・フライト中だった『ラッキードF104』が墜落事故を起こすという事態が発生した。近畿商事社長の大門一三(原田芳雄)は、一刻も早く墜落の原因などの詳しい情報を集めて対策を練るよう、東京支社長の里井達也(岸部一徳)に命じた。同じころ、鮫島は、防衛庁官房長の貝塚道生(段田安則)に、『ラッキードF104』の欠陥データと墜落現場の写真を入手したことを報告していた。すでにそれらは、毎朝新聞記者の田原秀雄(阿部サダヲ)の手に渡っているという。それを知った壹岐は、田原が握っているデータを把握するために、自ら彼に接触。田原は、『ラッキードF104』には致命的な欠陥がある、と壹岐に告げ、明日の朝刊を楽しみにしていてほしい、と言い残して去っていく。その夜、壹岐は、旧知の仲である経済企画庁長官・久松清蔵(伊東四朗)を訪ね、毎朝新聞の記事を何とか抑える策はないか、と久松に頼みこむが…。</v>
      </c>
      <c r="N1708" s="2"/>
      <c r="O1708" s="2"/>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row>
    <row r="1709" ht="204.75" customHeight="1">
      <c r="A1709" s="1">
        <v>5023.0</v>
      </c>
      <c r="B1709" s="2" t="s">
        <v>5444</v>
      </c>
      <c r="C1709" s="2">
        <f>IFERROR(__xludf.DUMMYFUNCTION("split(B1709,""_"")"),910.0)</f>
        <v>910</v>
      </c>
      <c r="D1709" s="2" t="str">
        <f>IFERROR(__xludf.DUMMYFUNCTION("""COMPUTED_VALUE"""),"CX")</f>
        <v>CX</v>
      </c>
      <c r="E1709" s="2" t="str">
        <f>IFERROR(__xludf.DUMMYFUNCTION("""COMPUTED_VALUE"""),"木22")</f>
        <v>木22</v>
      </c>
      <c r="F1709" s="2" t="s">
        <v>5343</v>
      </c>
      <c r="G1709" s="2" t="s">
        <v>5454</v>
      </c>
      <c r="H1709" s="1">
        <v>4.0</v>
      </c>
      <c r="I1709" s="1" t="s">
        <v>14</v>
      </c>
      <c r="J1709" s="1" t="s">
        <v>86</v>
      </c>
      <c r="K1709" s="2" t="s">
        <v>5455</v>
      </c>
      <c r="L1709" s="2" t="s">
        <v>5456</v>
      </c>
      <c r="M1709" s="2" t="str">
        <f>IFERROR(__xludf.DUMMYFUNCTION("split(split(K1709,""唐沢寿明　"",false),""公式LINE"",false)"),"壹岐正(唐沢寿明)は、防衛庁から近畿商事に流れた機密漏えい事件に関して、捜査当局から任意での出頭を求められる。壹岐は、防衛庁の第2次防FXをめぐり、部下の小出宏(松重豊)にライバルであるグラント社の価格見積表を入手させた。その機密書類の出所は、川又伊佐雄(柳葉敏郎)の部下である防衛庁の芦田国雄(古田新太)だった。芦田とともに逮捕された小出は、悪いのは壹岐だと証言していた。近畿商事東京支社長の里井達也(岸部一徳)に電話を入れた壹岐は、任意出頭を求められたことを報告する。里井は、今回の件は小出が独断でやったも"&amp;"ので、近畿商事側には機密書類の類は一切ないと突っぱねるよう念を押す。壹岐が出頭したという情報は、防衛庁官房長の貝塚道生(段田安則)を通じて、東京商事の鮫島辰三(遠藤憲一)にも伝わっていた。鮫島は、ラッキード社派の政治家が今回の漏えい事件をもみ消すのではないかと危惧(きぐ)する。すると貝塚は、検察庁が決定的な物証を得ている以上、捜査の打ち切りはない、と返す。出頭した壹岐は、機密文書の漏えいに関する近畿商事の関与を否定する。捜査当局は、小出が隠したコピー機の場所や、経済企画庁長官・久松清蔵(伊東四朗)の関与な"&amp;"どもつかんでいた。その際、壹岐は、漏えいしたグラント社の価格見積表が、実は川又のものであることを教えられる。それでも壹岐は、最後まで書類の存在を否定し続け…。")</f>
        <v>壹岐正(唐沢寿明)は、防衛庁から近畿商事に流れた機密漏えい事件に関して、捜査当局から任意での出頭を求められる。壹岐は、防衛庁の第2次防FXをめぐり、部下の小出宏(松重豊)にライバルであるグラント社の価格見積表を入手させた。その機密書類の出所は、川又伊佐雄(柳葉敏郎)の部下である防衛庁の芦田国雄(古田新太)だった。芦田とともに逮捕された小出は、悪いのは壹岐だと証言していた。近畿商事東京支社長の里井達也(岸部一徳)に電話を入れた壹岐は、任意出頭を求められたことを報告する。里井は、今回の件は小出が独断でやったもので、近畿商事側には機密書類の類は一切ないと突っぱねるよう念を押す。壹岐が出頭したという情報は、防衛庁官房長の貝塚道生(段田安則)を通じて、東京商事の鮫島辰三(遠藤憲一)にも伝わっていた。鮫島は、ラッキード社派の政治家が今回の漏えい事件をもみ消すのではないかと危惧(きぐ)する。すると貝塚は、検察庁が決定的な物証を得ている以上、捜査の打ち切りはない、と返す。出頭した壹岐は、機密文書の漏えいに関する近畿商事の関与を否定する。捜査当局は、小出が隠したコピー機の場所や、経済企画庁長官・久松清蔵(伊東四朗)の関与などもつかんでいた。その際、壹岐は、漏えいしたグラント社の価格見積表が、実は川又のものであることを教えられる。それでも壹岐は、最後まで書類の存在を否定し続け…。</v>
      </c>
      <c r="N1709" s="2"/>
      <c r="O1709" s="2"/>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row>
    <row r="1710" ht="204.75" customHeight="1">
      <c r="A1710" s="1">
        <v>5024.0</v>
      </c>
      <c r="B1710" s="2" t="s">
        <v>5444</v>
      </c>
      <c r="C1710" s="2">
        <f>IFERROR(__xludf.DUMMYFUNCTION("split(B1710,""_"")"),910.0)</f>
        <v>910</v>
      </c>
      <c r="D1710" s="2" t="str">
        <f>IFERROR(__xludf.DUMMYFUNCTION("""COMPUTED_VALUE"""),"CX")</f>
        <v>CX</v>
      </c>
      <c r="E1710" s="2" t="str">
        <f>IFERROR(__xludf.DUMMYFUNCTION("""COMPUTED_VALUE"""),"木22")</f>
        <v>木22</v>
      </c>
      <c r="F1710" s="2" t="s">
        <v>5343</v>
      </c>
      <c r="G1710" s="2" t="s">
        <v>5457</v>
      </c>
      <c r="H1710" s="1">
        <v>5.0</v>
      </c>
      <c r="I1710" s="1" t="s">
        <v>17</v>
      </c>
      <c r="J1710" s="1" t="s">
        <v>86</v>
      </c>
      <c r="K1710" s="2" t="s">
        <v>5458</v>
      </c>
      <c r="L1710" s="2" t="s">
        <v>5459</v>
      </c>
      <c r="M1710" s="2" t="str">
        <f>IFERROR(__xludf.DUMMYFUNCTION("split(split(K1710,""唐沢寿明　"",false),""公式LINE"",false)"),"親友の壮絶な死から7年後、近畿商事鉄鋼部部長のポストについた壹岐正(唐沢寿明)は、目覚ましい業績を上げる。社長の大門一三(原田芳雄)は、そんな壹岐の提案を受け、会社全体の経営戦略を指示する直属の部署・業務本部を設立し、そのすべてを壹岐に任せた。壹岐は、業務本部のスタッフとして兵頭信一良(竹野内豊)や海部要(梶原善)らを呼び寄せると、大胆な人事を敢行して、鉄鋼部門など非繊維部門の業績を伸ばした。1967(昭和42)年4月、業務本部の成果を高く評価した大門は、壹岐を常務取締役に昇進させる。だが、副社長の里井達"&amp;"也(岸部一徳)らは、壹岐のやり方に対して反発を強めていた。そんな折、壹岐たちは、中東情勢が緊迫しているとの情報をつかむ。第三次中東戦争の勃発を懸念した壹岐は、情報収集に全力を注いだ。  　一方、東京商事の取締役輸送機本部長に昇進していた鮫島辰三(遠藤憲一)も、中東戦争が起きた場合に備えて動き出していた。  　ある晩、壹岐は、秋津千里(小雪)と再会する。千里は、比叡山に籠っている兄・清輝(佐々木蔵之介)のことで壹岐に相談したいのだという。食事をともにした壹岐と千里は、クラブ『ル・ボア』を訪れた。するとそこに"&amp;"、インドネシア華僑の貿易商・黄乾臣(石橋蓮司)のもとに嫁ぎ、ジャカルタで暮らしていたはずの紅子(天海祐希)が姿を現す。")</f>
        <v>親友の壮絶な死から7年後、近畿商事鉄鋼部部長のポストについた壹岐正(唐沢寿明)は、目覚ましい業績を上げる。社長の大門一三(原田芳雄)は、そんな壹岐の提案を受け、会社全体の経営戦略を指示する直属の部署・業務本部を設立し、そのすべてを壹岐に任せた。壹岐は、業務本部のスタッフとして兵頭信一良(竹野内豊)や海部要(梶原善)らを呼び寄せると、大胆な人事を敢行して、鉄鋼部門など非繊維部門の業績を伸ばした。1967(昭和42)年4月、業務本部の成果を高く評価した大門は、壹岐を常務取締役に昇進させる。だが、副社長の里井達也(岸部一徳)らは、壹岐のやり方に対して反発を強めていた。そんな折、壹岐たちは、中東情勢が緊迫しているとの情報をつかむ。第三次中東戦争の勃発を懸念した壹岐は、情報収集に全力を注いだ。  　一方、東京商事の取締役輸送機本部長に昇進していた鮫島辰三(遠藤憲一)も、中東戦争が起きた場合に備えて動き出していた。  　ある晩、壹岐は、秋津千里(小雪)と再会する。千里は、比叡山に籠っている兄・清輝(佐々木蔵之介)のことで壹岐に相談したいのだという。食事をともにした壹岐と千里は、クラブ『ル・ボア』を訪れた。するとそこに、インドネシア華僑の貿易商・黄乾臣(石橋蓮司)のもとに嫁ぎ、ジャカルタで暮らしていたはずの紅子(天海祐希)が姿を現す。</v>
      </c>
      <c r="N1710" s="2"/>
      <c r="O1710" s="2"/>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row>
    <row r="1711" ht="204.75" customHeight="1">
      <c r="A1711" s="1">
        <v>5025.0</v>
      </c>
      <c r="B1711" s="2" t="s">
        <v>5444</v>
      </c>
      <c r="C1711" s="2">
        <f>IFERROR(__xludf.DUMMYFUNCTION("split(B1711,""_"")"),910.0)</f>
        <v>910</v>
      </c>
      <c r="D1711" s="2" t="str">
        <f>IFERROR(__xludf.DUMMYFUNCTION("""COMPUTED_VALUE"""),"CX")</f>
        <v>CX</v>
      </c>
      <c r="E1711" s="2" t="str">
        <f>IFERROR(__xludf.DUMMYFUNCTION("""COMPUTED_VALUE"""),"木22")</f>
        <v>木22</v>
      </c>
      <c r="F1711" s="2" t="s">
        <v>5343</v>
      </c>
      <c r="G1711" s="2" t="s">
        <v>5460</v>
      </c>
      <c r="H1711" s="1">
        <v>6.0</v>
      </c>
      <c r="I1711" s="1" t="s">
        <v>21</v>
      </c>
      <c r="J1711" s="1" t="s">
        <v>86</v>
      </c>
      <c r="K1711" s="2" t="s">
        <v>5461</v>
      </c>
      <c r="L1711" s="2" t="s">
        <v>5462</v>
      </c>
      <c r="M1711" s="2" t="str">
        <f>IFERROR(__xludf.DUMMYFUNCTION("split(split(K1711,""唐沢寿明　"",false),""公式LINE"",false)"),"壹岐正(唐沢寿明)、兵頭信一良(竹野内豊)ら近畿商事業務本部の面々は、中東情勢の変化を察知し、第三次中東戦争の勃発を予測する。この戦争はイスラエルが1週間から10日以内に勝利し、スエズ運河が長期に渡って封鎖されると分析した業務本部は、船舶部にタンカーを確保するよう指示する。  　その一方で、壹岐たちは、紅子(天海祐希)の夫で、インドネシア華僑の実力者でもある黄乾臣(石橋蓮司)から、1万トン級の戦標船5隻を至急手配してほしいと依頼される。壹岐は、近畿商事が東南アジア貿易を展開していく上で、重要な拠点となるイ"&amp;"ンドネシアを押さえるためには黄の力が必要だと船舶部部長の峯(大高洋夫)に訴え、戦標船の手配を急がせようとした。しかし、業務本部のやり方に反発する峯は、戦標船の手配を拒む。  　するとそこに、戦標船の件は目途が立ったという黄からの電話が入る。情報を聞きつけた東京商事の鮫島辰三(遠藤憲一)が、黄の出した条件に合う戦標船を手配していたのだ。それを知った壹岐は、副社長の里井達也(岸部一徳)に直訴し、1隻40万ドルを切る戦標船を手配できれば決裁するという約束を取り付ける。兵頭が黄の説得に向かっている間、壹岐は、日東"&amp;"交易の社長・安蒜公一(団時朗)を訪ね、戦標船の手配を依頼する。  　そんな中、ついに第三次中東戦争が勃発し…。")</f>
        <v>壹岐正(唐沢寿明)、兵頭信一良(竹野内豊)ら近畿商事業務本部の面々は、中東情勢の変化を察知し、第三次中東戦争の勃発を予測する。この戦争はイスラエルが1週間から10日以内に勝利し、スエズ運河が長期に渡って封鎖されると分析した業務本部は、船舶部にタンカーを確保するよう指示する。  　その一方で、壹岐たちは、紅子(天海祐希)の夫で、インドネシア華僑の実力者でもある黄乾臣(石橋蓮司)から、1万トン級の戦標船5隻を至急手配してほしいと依頼される。壹岐は、近畿商事が東南アジア貿易を展開していく上で、重要な拠点となるインドネシアを押さえるためには黄の力が必要だと船舶部部長の峯(大高洋夫)に訴え、戦標船の手配を急がせようとした。しかし、業務本部のやり方に反発する峯は、戦標船の手配を拒む。  　するとそこに、戦標船の件は目途が立ったという黄からの電話が入る。情報を聞きつけた東京商事の鮫島辰三(遠藤憲一)が、黄の出した条件に合う戦標船を手配していたのだ。それを知った壹岐は、副社長の里井達也(岸部一徳)に直訴し、1隻40万ドルを切る戦標船を手配できれば決裁するという約束を取り付ける。兵頭が黄の説得に向かっている間、壹岐は、日東交易の社長・安蒜公一(団時朗)を訪ね、戦標船の手配を依頼する。  　そんな中、ついに第三次中東戦争が勃発し…。</v>
      </c>
      <c r="N1711" s="2"/>
      <c r="O1711" s="2"/>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row>
    <row r="1712" ht="204.75" customHeight="1">
      <c r="A1712" s="1">
        <v>5026.0</v>
      </c>
      <c r="B1712" s="2" t="s">
        <v>5444</v>
      </c>
      <c r="C1712" s="2">
        <f>IFERROR(__xludf.DUMMYFUNCTION("split(B1712,""_"")"),910.0)</f>
        <v>910</v>
      </c>
      <c r="D1712" s="2" t="str">
        <f>IFERROR(__xludf.DUMMYFUNCTION("""COMPUTED_VALUE"""),"CX")</f>
        <v>CX</v>
      </c>
      <c r="E1712" s="2" t="str">
        <f>IFERROR(__xludf.DUMMYFUNCTION("""COMPUTED_VALUE"""),"木22")</f>
        <v>木22</v>
      </c>
      <c r="F1712" s="2" t="s">
        <v>5343</v>
      </c>
      <c r="G1712" s="2" t="s">
        <v>5463</v>
      </c>
      <c r="H1712" s="1">
        <v>7.0</v>
      </c>
      <c r="I1712" s="1" t="s">
        <v>25</v>
      </c>
      <c r="J1712" s="1" t="s">
        <v>86</v>
      </c>
      <c r="K1712" s="2" t="s">
        <v>5464</v>
      </c>
      <c r="L1712" s="2" t="s">
        <v>5465</v>
      </c>
      <c r="M1712" s="2" t="str">
        <f>IFERROR(__xludf.DUMMYFUNCTION("split(split(K1712,""唐沢寿明　"",false),""公式LINE"",false)"),"第三次中東戦争の勃発に端を発した商社間の争いは、壹岐正(唐沢寿明)率いる近畿商事業務本部の迅速な情報収集と的確な分析により、同社のひとり勝ちで終わった。だがその結果、近畿商事社内では、壹岐の活躍に危機感を募らせた副社長・里井達也(岸部一徳)の一派と業務本部との対立を生みだしてしまう。1967(昭和42)年7月、近畿商事では、年に2度開催される経営全体会議が行われる。その席で壹岐たち業務本部は、重工業化に対応するために繊維部門のさらなる縮小を唱えた。だが、里井を中心とした反業務本部勢力が、繊維部門が社内一の"&amp;"売り上げを上げていることを理由にこの再縮小案に猛反発したため、会議は紛糾する。そのころ、アメリカをはじめとする各国政府は、外国資本の参入を事実上禁止してきた日本政府への批判を高め、中でも特に、自動車産業に対する資本の自由化を求めていた。壹岐は、資本自由化は国際企業とのビジネスを拡大する好機ととらえ、兵頭信一良(竹野内豊)らに情報収集を命じた。そのころ里井は、近畿商事が輸出代理店を務める千代田自動車の営業担当専務・村山(田村亮)に会っていた。そこで村山は、社運をかけた新車の開発を進めていること、万が一それが"&amp;"失敗に終わったときは、業界5位の富国自動車との合併を考えていることを里井に打ち明ける。そんな折、壹岐の前に、元部下の小出宏(松重豊)が現れる。")</f>
        <v>第三次中東戦争の勃発に端を発した商社間の争いは、壹岐正(唐沢寿明)率いる近畿商事業務本部の迅速な情報収集と的確な分析により、同社のひとり勝ちで終わった。だがその結果、近畿商事社内では、壹岐の活躍に危機感を募らせた副社長・里井達也(岸部一徳)の一派と業務本部との対立を生みだしてしまう。1967(昭和42)年7月、近畿商事では、年に2度開催される経営全体会議が行われる。その席で壹岐たち業務本部は、重工業化に対応するために繊維部門のさらなる縮小を唱えた。だが、里井を中心とした反業務本部勢力が、繊維部門が社内一の売り上げを上げていることを理由にこの再縮小案に猛反発したため、会議は紛糾する。そのころ、アメリカをはじめとする各国政府は、外国資本の参入を事実上禁止してきた日本政府への批判を高め、中でも特に、自動車産業に対する資本の自由化を求めていた。壹岐は、資本自由化は国際企業とのビジネスを拡大する好機ととらえ、兵頭信一良(竹野内豊)らに情報収集を命じた。そのころ里井は、近畿商事が輸出代理店を務める千代田自動車の営業担当専務・村山(田村亮)に会っていた。そこで村山は、社運をかけた新車の開発を進めていること、万が一それが失敗に終わったときは、業界5位の富国自動車との合併を考えていることを里井に打ち明ける。そんな折、壹岐の前に、元部下の小出宏(松重豊)が現れる。</v>
      </c>
      <c r="N1712" s="2"/>
      <c r="O1712" s="2"/>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row>
    <row r="1713" ht="204.75" customHeight="1">
      <c r="A1713" s="1">
        <v>5027.0</v>
      </c>
      <c r="B1713" s="2" t="s">
        <v>5444</v>
      </c>
      <c r="C1713" s="2">
        <f>IFERROR(__xludf.DUMMYFUNCTION("split(B1713,""_"")"),910.0)</f>
        <v>910</v>
      </c>
      <c r="D1713" s="2" t="str">
        <f>IFERROR(__xludf.DUMMYFUNCTION("""COMPUTED_VALUE"""),"CX")</f>
        <v>CX</v>
      </c>
      <c r="E1713" s="2" t="str">
        <f>IFERROR(__xludf.DUMMYFUNCTION("""COMPUTED_VALUE"""),"木22")</f>
        <v>木22</v>
      </c>
      <c r="F1713" s="2" t="s">
        <v>5343</v>
      </c>
      <c r="G1713" s="2" t="s">
        <v>5466</v>
      </c>
      <c r="H1713" s="1">
        <v>8.0</v>
      </c>
      <c r="I1713" s="1" t="s">
        <v>29</v>
      </c>
      <c r="J1713" s="1" t="s">
        <v>86</v>
      </c>
      <c r="K1713" s="2" t="s">
        <v>5467</v>
      </c>
      <c r="L1713" s="2" t="s">
        <v>5468</v>
      </c>
      <c r="M1713" s="2" t="str">
        <f>IFERROR(__xludf.DUMMYFUNCTION("split(split(K1713,""唐沢寿明　"",false),""公式LINE"",false)"),"資本自由化の波を受け、国内では自動車産業の再編成が行われようとしていた。そんな折、米自動車産業ビッグ3の一角、フォーク社のフォーク会長が突然来日する。壹岐(唐沢寿明)は、部下の海部(梶原善)らにフォークの来日目的を探らせた。だが、その歓迎レセプションを仕切っているのが鮫島(遠藤憲一)率いる東京商事だったため、情報を得ることができない。  　それを知った大門(原田芳雄)は、里井(岸部一徳)と壹岐に怒りをぶつけると、千代田自動車の経営立て直しにも言及した。そこで里井は、千代田自動車と富国自動車を合併させるべく"&amp;"動いていると報告する。それに対して、密かに千代田自動車の自主独立の可能性を探っていた壹岐は、富国の赤字を抱え込むことで千代田の株価が下落する可能性が高いといったデメリットを指摘し、里井と衝突する。  　通産大臣の久松(伊東四朗)を訪ねた壹岐は、政府が外資との合弁会社のみ認める方針であることを知る。壹岐は、千代田と富国の合併話を切り出し、久松の力添えで合併を引きのばしてほしい、と頼み込んだ。  　別の日、壹岐は、自主独立路線を望む千代田自動車の技術担当専務・小牧(小野武彦)から、合併推進派によって建設中止に"&amp;"追い込まれたジャカルタのトラック組み立て工場を何とかしてほしいと頼まれる。そこで壹岐は、ジャカルタ出張の予定だった兵頭(竹野内豊)に、秘密裏に情報の収集を命じる。")</f>
        <v>資本自由化の波を受け、国内では自動車産業の再編成が行われようとしていた。そんな折、米自動車産業ビッグ3の一角、フォーク社のフォーク会長が突然来日する。壹岐(唐沢寿明)は、部下の海部(梶原善)らにフォークの来日目的を探らせた。だが、その歓迎レセプションを仕切っているのが鮫島(遠藤憲一)率いる東京商事だったため、情報を得ることができない。  　それを知った大門(原田芳雄)は、里井(岸部一徳)と壹岐に怒りをぶつけると、千代田自動車の経営立て直しにも言及した。そこで里井は、千代田自動車と富国自動車を合併させるべく動いていると報告する。それに対して、密かに千代田自動車の自主独立の可能性を探っていた壹岐は、富国の赤字を抱え込むことで千代田の株価が下落する可能性が高いといったデメリットを指摘し、里井と衝突する。  　通産大臣の久松(伊東四朗)を訪ねた壹岐は、政府が外資との合弁会社のみ認める方針であることを知る。壹岐は、千代田と富国の合併話を切り出し、久松の力添えで合併を引きのばしてほしい、と頼み込んだ。  　別の日、壹岐は、自主独立路線を望む千代田自動車の技術担当専務・小牧(小野武彦)から、合併推進派によって建設中止に追い込まれたジャカルタのトラック組み立て工場を何とかしてほしいと頼まれる。そこで壹岐は、ジャカルタ出張の予定だった兵頭(竹野内豊)に、秘密裏に情報の収集を命じる。</v>
      </c>
      <c r="N1713" s="2"/>
      <c r="O1713" s="2"/>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row>
    <row r="1714" ht="204.75" customHeight="1">
      <c r="A1714" s="1">
        <v>5028.0</v>
      </c>
      <c r="B1714" s="2" t="s">
        <v>5444</v>
      </c>
      <c r="C1714" s="2">
        <f>IFERROR(__xludf.DUMMYFUNCTION("split(B1714,""_"")"),910.0)</f>
        <v>910</v>
      </c>
      <c r="D1714" s="2" t="str">
        <f>IFERROR(__xludf.DUMMYFUNCTION("""COMPUTED_VALUE"""),"CX")</f>
        <v>CX</v>
      </c>
      <c r="E1714" s="2" t="str">
        <f>IFERROR(__xludf.DUMMYFUNCTION("""COMPUTED_VALUE"""),"木22")</f>
        <v>木22</v>
      </c>
      <c r="F1714" s="2" t="s">
        <v>5343</v>
      </c>
      <c r="G1714" s="2" t="s">
        <v>5469</v>
      </c>
      <c r="H1714" s="1">
        <v>9.0</v>
      </c>
      <c r="I1714" s="1" t="s">
        <v>33</v>
      </c>
      <c r="J1714" s="1" t="s">
        <v>86</v>
      </c>
      <c r="K1714" s="2" t="s">
        <v>5470</v>
      </c>
      <c r="L1714" s="2" t="s">
        <v>5471</v>
      </c>
      <c r="M1714" s="2" t="str">
        <f>IFERROR(__xludf.DUMMYFUNCTION("split(split(K1714,""唐沢寿明　"",false),""公式LINE"",false)"),"壹岐(唐沢寿明)は、妻の佳子(和久井映見)を事故で失った辛さから逃れるために仕事に没頭した。近畿商事社長の大門(原田芳雄)は、そんな壹岐にアメリカ近畿商事の社長としてニューヨークに駐在してはどうか、と持ちかける。  　一方、近畿商事が輸出代理店を務めていた千代田自動車は、社運をかけて発売した新車タイガーが惨敗に終わり、自主独立路線はおろか、富国自動車との合併の道も断たれてしまう。それを受け、副社長の里井(岸部一徳)は、千代田自動車から手を引くべきだと大門に進言した。そんな中、ニューヨーク行きを決心した壹岐"&amp;"は、交換条件として、千代田自動車とフォーク社との提携を実現させたいと大門に願い出る。  　その夜、壹岐は、娘の直子(多部未華子)にニューヨーク赴任の話を伝える。すると直子も話したいことがあるという。そこで直子は、鮫島辰三(遠藤憲一)の息子・倫敦(石田卓也)と結婚したい、と切り出す。  　壹岐は、業務本部の部下だった兵頭(竹野内豊)、海部(梶原善)、不破(阿南健治)だけに千代田自動車とフォーク社の提携話を打ち明けた。ほどなく、兵頭は業務本部を離れて石油部長になり、海部はアメリカ近畿商事の副社長として壹岐に同"&amp;"行することになった。渡米した壹岐は、海部やロス支店から呼び寄せた塙四郎(袴田吉彦)らとともに、フォーク社との交渉に向けて動き始める。")</f>
        <v>壹岐(唐沢寿明)は、妻の佳子(和久井映見)を事故で失った辛さから逃れるために仕事に没頭した。近畿商事社長の大門(原田芳雄)は、そんな壹岐にアメリカ近畿商事の社長としてニューヨークに駐在してはどうか、と持ちかける。  　一方、近畿商事が輸出代理店を務めていた千代田自動車は、社運をかけて発売した新車タイガーが惨敗に終わり、自主独立路線はおろか、富国自動車との合併の道も断たれてしまう。それを受け、副社長の里井(岸部一徳)は、千代田自動車から手を引くべきだと大門に進言した。そんな中、ニューヨーク行きを決心した壹岐は、交換条件として、千代田自動車とフォーク社との提携を実現させたいと大門に願い出る。  　その夜、壹岐は、娘の直子(多部未華子)にニューヨーク赴任の話を伝える。すると直子も話したいことがあるという。そこで直子は、鮫島辰三(遠藤憲一)の息子・倫敦(石田卓也)と結婚したい、と切り出す。  　壹岐は、業務本部の部下だった兵頭(竹野内豊)、海部(梶原善)、不破(阿南健治)だけに千代田自動車とフォーク社の提携話を打ち明けた。ほどなく、兵頭は業務本部を離れて石油部長になり、海部はアメリカ近畿商事の副社長として壹岐に同行することになった。渡米した壹岐は、海部やロス支店から呼び寄せた塙四郎(袴田吉彦)らとともに、フォーク社との交渉に向けて動き始める。</v>
      </c>
      <c r="N1714" s="2"/>
      <c r="O1714" s="2"/>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row>
    <row r="1715" ht="204.75" customHeight="1">
      <c r="A1715" s="1">
        <v>5029.0</v>
      </c>
      <c r="B1715" s="2" t="s">
        <v>5444</v>
      </c>
      <c r="C1715" s="2">
        <f>IFERROR(__xludf.DUMMYFUNCTION("split(B1715,""_"")"),910.0)</f>
        <v>910</v>
      </c>
      <c r="D1715" s="2" t="str">
        <f>IFERROR(__xludf.DUMMYFUNCTION("""COMPUTED_VALUE"""),"CX")</f>
        <v>CX</v>
      </c>
      <c r="E1715" s="2" t="str">
        <f>IFERROR(__xludf.DUMMYFUNCTION("""COMPUTED_VALUE"""),"木22")</f>
        <v>木22</v>
      </c>
      <c r="F1715" s="2" t="s">
        <v>5343</v>
      </c>
      <c r="G1715" s="2" t="s">
        <v>5472</v>
      </c>
      <c r="H1715" s="1">
        <v>10.0</v>
      </c>
      <c r="I1715" s="1" t="s">
        <v>37</v>
      </c>
      <c r="J1715" s="1" t="s">
        <v>86</v>
      </c>
      <c r="K1715" s="2" t="s">
        <v>5473</v>
      </c>
      <c r="L1715" s="2" t="s">
        <v>5474</v>
      </c>
      <c r="M1715" s="2" t="str">
        <f>IFERROR(__xludf.DUMMYFUNCTION("split(split(K1715,""唐沢寿明　"",false),""公式LINE"",false)"),"壹岐正(唐沢寿明)は、千代田自動車と米・フォーク社との提携を画策。韓国の光星物産会長・李錫源(榎木孝明)の助力を得て、フォーク会長との会談に成功した壹岐は、提携に関する委任状を取り付ける。本社に委任状を届けるために帰国することになった壹岐は、韓国に立ち寄り、李のもとを訪れた。李の仲介により、崔大統領に会う機会を得た壹岐は、ソウルで地下鉄の敷設計画があり、日本の援助を必要としていることを知る。帰国した壹岐は、副社長の里井達也(岸辺一徳)を訪ね、千代田自動車とフォーク社の提携に際し、連絡に行き違いがあったこと"&amp;"を謝罪すると、韓国の地下鉄計画に関する情報を伝える。その際、里井は、副社長の1人・一丸松次郎(山田明郷)が次期社長の座を狙って積極的に派閥作りを進めている、と切り出し、壹岐に意見を求めた。それに対して壹岐は、次期社長は、社長の大門一三(原田芳雄)を長年支えてきた里井をおいて他には考えられない、と答える。  　その夜、壹岐は、銀座で開かれていた秋津千里(小雪)の個展に顔を出す。2年ぶりの再会を果たした2人は、互いに目に見えない結びつきのようなものを感じていた。あくる日、壹岐は、大門、里井とともに、千代田自動"&amp;"車とそのメインバンクである第三銀行との三者会談に臨む。そこで壹岐は、提携に関するフォーク社側の意向を伝えるが…。")</f>
        <v>壹岐正(唐沢寿明)は、千代田自動車と米・フォーク社との提携を画策。韓国の光星物産会長・李錫源(榎木孝明)の助力を得て、フォーク会長との会談に成功した壹岐は、提携に関する委任状を取り付ける。本社に委任状を届けるために帰国することになった壹岐は、韓国に立ち寄り、李のもとを訪れた。李の仲介により、崔大統領に会う機会を得た壹岐は、ソウルで地下鉄の敷設計画があり、日本の援助を必要としていることを知る。帰国した壹岐は、副社長の里井達也(岸辺一徳)を訪ね、千代田自動車とフォーク社の提携に際し、連絡に行き違いがあったことを謝罪すると、韓国の地下鉄計画に関する情報を伝える。その際、里井は、副社長の1人・一丸松次郎(山田明郷)が次期社長の座を狙って積極的に派閥作りを進めている、と切り出し、壹岐に意見を求めた。それに対して壹岐は、次期社長は、社長の大門一三(原田芳雄)を長年支えてきた里井をおいて他には考えられない、と答える。  　その夜、壹岐は、銀座で開かれていた秋津千里(小雪)の個展に顔を出す。2年ぶりの再会を果たした2人は、互いに目に見えない結びつきのようなものを感じていた。あくる日、壹岐は、大門、里井とともに、千代田自動車とそのメインバンクである第三銀行との三者会談に臨む。そこで壹岐は、提携に関するフォーク社側の意向を伝えるが…。</v>
      </c>
      <c r="N1715" s="2"/>
      <c r="O1715" s="2"/>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row>
    <row r="1716" ht="204.75" customHeight="1">
      <c r="A1716" s="1">
        <v>5082.0</v>
      </c>
      <c r="B1716" s="2" t="s">
        <v>5475</v>
      </c>
      <c r="C1716" s="2">
        <f>IFERROR(__xludf.DUMMYFUNCTION("split(B1716,""_"")"),907.0)</f>
        <v>907</v>
      </c>
      <c r="D1716" s="2" t="str">
        <f>IFERROR(__xludf.DUMMYFUNCTION("""COMPUTED_VALUE"""),"CX")</f>
        <v>CX</v>
      </c>
      <c r="E1716" s="2" t="str">
        <f>IFERROR(__xludf.DUMMYFUNCTION("""COMPUTED_VALUE"""),"月21")</f>
        <v>月21</v>
      </c>
      <c r="F1716" s="2" t="s">
        <v>5476</v>
      </c>
      <c r="G1716" s="2" t="s">
        <v>5477</v>
      </c>
      <c r="H1716" s="1">
        <v>1.0</v>
      </c>
      <c r="I1716" s="1" t="s">
        <v>3</v>
      </c>
      <c r="J1716" s="1" t="s">
        <v>4</v>
      </c>
      <c r="K1716" s="4" t="s">
        <v>5478</v>
      </c>
      <c r="L1716" s="2" t="s">
        <v>5479</v>
      </c>
      <c r="M1716" s="2" t="str">
        <f>IFERROR(__xludf.DUMMYFUNCTION("split(split(K1716,""山下智久　"",false),""公式LINE"",false)"),"上矢直輝(山下智久)は、プロバスケットボールチーム『JCアークス』の選手。学生時代から華々しい活躍を続けてきた直輝は、2年前にアークスに入団したが、プロ入り後は、思うように実力を発揮できずにいる。チームのチアリーダーである恋人の七海菜月(相武紗季)との結婚に向けて日々奮闘するが、肝心なところで決められない。  　一方、音大出身の白河莉子(北川景子)は、書店でアルバイトをしながらプロのバイオリニストを目指していた。そして、学生時代からの親友でもあるフルート奏者の海老名麻衣(貫地谷しほり)とルームシェアをはじ"&amp;"めたばかりだ。  　アークスは、プレーオフ進出をかけた1戦に勝利する。その夜、アークスのヘッドコーチ・川崎智哉(伊藤英明)はとあることがきっかけで莉子と運命的な出会いを果たし、連絡先を交換することになる。  　優勝を目指したアークスだったが、直輝の後輩で、万年補欠の秦野秀治(溝端淳平)の応援やキャプテン・宇都宮透(永井大)らの健闘もむなしく、チームは負けてしまう。そして、アークスはチーム補強のために、代々木廉(金子ノブアキ)獲得に乗り出す。アークスの親会社の総務部に勤務している菜月は、代々木に会社内を案内"&amp;"することになるが、代々木は菜月に興味津々の様子。  　その晩、莉子が近所の公園でバイオリンの練習をしていると、直輝が通りかかり・・・。")</f>
        <v>上矢直輝(山下智久)は、プロバスケットボールチーム『JCアークス』の選手。学生時代から華々しい活躍を続けてきた直輝は、2年前にアークスに入団したが、プロ入り後は、思うように実力を発揮できずにいる。チームのチアリーダーである恋人の七海菜月(相武紗季)との結婚に向けて日々奮闘するが、肝心なところで決められない。  　一方、音大出身の白河莉子(北川景子)は、書店でアルバイトをしながらプロのバイオリニストを目指していた。そして、学生時代からの親友でもあるフルート奏者の海老名麻衣(貫地谷しほり)とルームシェアをはじめたばかりだ。  　アークスは、プレーオフ進出をかけた1戦に勝利する。その夜、アークスのヘッドコーチ・川崎智哉(伊藤英明)はとあることがきっかけで莉子と運命的な出会いを果たし、連絡先を交換することになる。  　優勝を目指したアークスだったが、直輝の後輩で、万年補欠の秦野秀治(溝端淳平)の応援やキャプテン・宇都宮透(永井大)らの健闘もむなしく、チームは負けてしまう。そして、アークスはチーム補強のために、代々木廉(金子ノブアキ)獲得に乗り出す。アークスの親会社の総務部に勤務している菜月は、代々木に会社内を案内することになるが、代々木は菜月に興味津々の様子。  　その晩、莉子が近所の公園でバイオリンの練習をしていると、直輝が通りかかり・・・。</v>
      </c>
      <c r="N1716" s="2"/>
      <c r="O1716" s="2"/>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row>
    <row r="1717" ht="204.75" customHeight="1">
      <c r="A1717" s="1">
        <v>5083.0</v>
      </c>
      <c r="B1717" s="2" t="s">
        <v>5475</v>
      </c>
      <c r="C1717" s="2">
        <f>IFERROR(__xludf.DUMMYFUNCTION("split(B1717,""_"")"),907.0)</f>
        <v>907</v>
      </c>
      <c r="D1717" s="2" t="str">
        <f>IFERROR(__xludf.DUMMYFUNCTION("""COMPUTED_VALUE"""),"CX")</f>
        <v>CX</v>
      </c>
      <c r="E1717" s="2" t="str">
        <f>IFERROR(__xludf.DUMMYFUNCTION("""COMPUTED_VALUE"""),"月21")</f>
        <v>月21</v>
      </c>
      <c r="F1717" s="2" t="s">
        <v>5476</v>
      </c>
      <c r="G1717" s="2" t="s">
        <v>5480</v>
      </c>
      <c r="H1717" s="1">
        <v>2.0</v>
      </c>
      <c r="I1717" s="1" t="s">
        <v>7</v>
      </c>
      <c r="J1717" s="1" t="s">
        <v>11</v>
      </c>
      <c r="K1717" s="2" t="s">
        <v>5481</v>
      </c>
      <c r="L1717" s="2" t="s">
        <v>5482</v>
      </c>
      <c r="M1717" s="2" t="str">
        <f>IFERROR(__xludf.DUMMYFUNCTION("split(split(K1717,""山下智久　"",false),""公式LINE"",false)"),"直輝(山下智久)と莉子(北川景子)は、互いの名前も知らぬまま、親しく話すようになる。直輝がシュートの練習をするために使っている公園で、莉子がバイオリンの練習をしていたことがきっかけだった。  　ある夜、直輝の家に、恋人の菜月(相武紗季)が遊びにくる。直輝の母・真希子(真矢みき)や妹の優里(大政絢)は、大喜びで菜月を出迎えた。直輝たちが皆で食事をしていると、菜月の携帯電話に着信があった。電話をかけてきた相手は、直輝のチームメートになった廉(金子ノブアキ)だった。  　同じころ、莉子と麻衣(貫地谷しほり)は、"&amp;"直輝が所属するプロバスケットボールチーム・JCアークスのヘッドコーチ・川崎(伊藤英明)に誘われて、飲みに出掛ける。その席に川崎が連れてきたのは、アークスのキャプテンを務める宇都宮(永井大)だった。麻衣は、ひと目で宇都宮のことが気に入っていた。だが、莉子が川崎から聞いた話によれば、宇都宮にはあるウワサがあった。しかし麻衣は、それにもめげない様子。  　そんな折、直輝たちアークスの面々は次のシーズンに向けて動き出す。来週から再開される練習の前に、直輝は、秀治(溝端淳平)、守口(青木崇高)らとともに子どもバスケ"&amp;"ット教室に出向き、小学生たちを指導する。一方、莉子は、川崎に誘われ、初めてふたりだけで会うが…。")</f>
        <v>直輝(山下智久)と莉子(北川景子)は、互いの名前も知らぬまま、親しく話すようになる。直輝がシュートの練習をするために使っている公園で、莉子がバイオリンの練習をしていたことがきっかけだった。  　ある夜、直輝の家に、恋人の菜月(相武紗季)が遊びにくる。直輝の母・真希子(真矢みき)や妹の優里(大政絢)は、大喜びで菜月を出迎えた。直輝たちが皆で食事をしていると、菜月の携帯電話に着信があった。電話をかけてきた相手は、直輝のチームメートになった廉(金子ノブアキ)だった。  　同じころ、莉子と麻衣(貫地谷しほり)は、直輝が所属するプロバスケットボールチーム・JCアークスのヘッドコーチ・川崎(伊藤英明)に誘われて、飲みに出掛ける。その席に川崎が連れてきたのは、アークスのキャプテンを務める宇都宮(永井大)だった。麻衣は、ひと目で宇都宮のことが気に入っていた。だが、莉子が川崎から聞いた話によれば、宇都宮にはあるウワサがあった。しかし麻衣は、それにもめげない様子。  　そんな折、直輝たちアークスの面々は次のシーズンに向けて動き出す。来週から再開される練習の前に、直輝は、秀治(溝端淳平)、守口(青木崇高)らとともに子どもバスケット教室に出向き、小学生たちを指導する。一方、莉子は、川崎に誘われ、初めてふたりだけで会うが…。</v>
      </c>
      <c r="N1717" s="2"/>
      <c r="O1717" s="2"/>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row>
    <row r="1718" ht="204.75" customHeight="1">
      <c r="A1718" s="1">
        <v>5084.0</v>
      </c>
      <c r="B1718" s="2" t="s">
        <v>5475</v>
      </c>
      <c r="C1718" s="2">
        <f>IFERROR(__xludf.DUMMYFUNCTION("split(B1718,""_"")"),907.0)</f>
        <v>907</v>
      </c>
      <c r="D1718" s="2" t="str">
        <f>IFERROR(__xludf.DUMMYFUNCTION("""COMPUTED_VALUE"""),"CX")</f>
        <v>CX</v>
      </c>
      <c r="E1718" s="2" t="str">
        <f>IFERROR(__xludf.DUMMYFUNCTION("""COMPUTED_VALUE"""),"月21")</f>
        <v>月21</v>
      </c>
      <c r="F1718" s="2" t="s">
        <v>5476</v>
      </c>
      <c r="G1718" s="2" t="s">
        <v>5483</v>
      </c>
      <c r="H1718" s="1">
        <v>3.0</v>
      </c>
      <c r="I1718" s="1" t="s">
        <v>10</v>
      </c>
      <c r="J1718" s="1" t="s">
        <v>11</v>
      </c>
      <c r="K1718" s="2" t="s">
        <v>5484</v>
      </c>
      <c r="L1718" s="2" t="s">
        <v>5485</v>
      </c>
      <c r="M1718" s="2" t="str">
        <f>IFERROR(__xludf.DUMMYFUNCTION("split(split(K1718,""山下智久　"",false),""公式LINE"",false)"),"上矢直輝(山下智久)たちJCアークスの面々は、シーズン開幕に向けてトレーニングを続けていた。練習試合の最中に、白河莉子(北川景子)からげきを飛ばされた直輝は必死に練習に打ち込んだ。  　練習を終えた秦野秀治(溝端淳平)は、莉子と海老名麻衣(貫地谷しほり)がアルバイトをしている書店を訪れる。秀治を呼び出したのは麻衣だった。宇都宮(永井大)に心をひかれていた麻衣は、秀治に彼のことを調べさせようとしていた。  　一方、菜月(相武紗季)は、新たにアークスに加入した代々木廉(金子ノブアキ)のことが気になっていた。廉"&amp;"が、菜月のことを無視するかのような態度をとり始めたからだった。  　ある日、菜月と食事の約束をした直輝は、スーパーマーケットまで買い出しに行く。そこで莉子に出会った直輝は、帰り道にいつもの公園に立ち寄り、一緒にビールを飲んだ。その際、莉子は、直輝に恋人がいることを知り…。")</f>
        <v>上矢直輝(山下智久)たちJCアークスの面々は、シーズン開幕に向けてトレーニングを続けていた。練習試合の最中に、白河莉子(北川景子)からげきを飛ばされた直輝は必死に練習に打ち込んだ。  　練習を終えた秦野秀治(溝端淳平)は、莉子と海老名麻衣(貫地谷しほり)がアルバイトをしている書店を訪れる。秀治を呼び出したのは麻衣だった。宇都宮(永井大)に心をひかれていた麻衣は、秀治に彼のことを調べさせようとしていた。  　一方、菜月(相武紗季)は、新たにアークスに加入した代々木廉(金子ノブアキ)のことが気になっていた。廉が、菜月のことを無視するかのような態度をとり始めたからだった。  　ある日、菜月と食事の約束をした直輝は、スーパーマーケットまで買い出しに行く。そこで莉子に出会った直輝は、帰り道にいつもの公園に立ち寄り、一緒にビールを飲んだ。その際、莉子は、直輝に恋人がいることを知り…。</v>
      </c>
      <c r="N1718" s="2"/>
      <c r="O1718" s="2"/>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row>
    <row r="1719" ht="204.75" customHeight="1">
      <c r="A1719" s="1">
        <v>5085.0</v>
      </c>
      <c r="B1719" s="2" t="s">
        <v>5475</v>
      </c>
      <c r="C1719" s="2">
        <f>IFERROR(__xludf.DUMMYFUNCTION("split(B1719,""_"")"),907.0)</f>
        <v>907</v>
      </c>
      <c r="D1719" s="2" t="str">
        <f>IFERROR(__xludf.DUMMYFUNCTION("""COMPUTED_VALUE"""),"CX")</f>
        <v>CX</v>
      </c>
      <c r="E1719" s="2" t="str">
        <f>IFERROR(__xludf.DUMMYFUNCTION("""COMPUTED_VALUE"""),"月21")</f>
        <v>月21</v>
      </c>
      <c r="F1719" s="2" t="s">
        <v>5476</v>
      </c>
      <c r="G1719" s="2" t="s">
        <v>5486</v>
      </c>
      <c r="H1719" s="1">
        <v>4.0</v>
      </c>
      <c r="I1719" s="1" t="s">
        <v>14</v>
      </c>
      <c r="J1719" s="1" t="s">
        <v>11</v>
      </c>
      <c r="K1719" s="2" t="s">
        <v>5487</v>
      </c>
      <c r="L1719" s="2" t="s">
        <v>5488</v>
      </c>
      <c r="M1719" s="2" t="str">
        <f>IFERROR(__xludf.DUMMYFUNCTION("split(split(K1719,""山下智久　"",false),""公式LINE"",false)"),"上矢直輝(山下智久)は、ヘッドコーチの川崎智哉(伊藤英明)に誘われて海に遊びに行く。白河莉子(北川景子)や海老名麻衣(貫地谷しほり)、チームメイトの秦野秀治(溝端淳平)、宇都宮透(永井大)らも一緒だった。だが、直輝は、前夜、恋人の七海菜月(相武紗季)から、いつになったら自分に自信が持てるようになるのか、と不満をぶつけられたこともあって元気がない。　一方、莉子は、バスの中で拾った携帯電話が実は直輝のものだったことを知る。麻衣は、運命的に同じバスに乗っていた、などと言う莉子の言葉が引っかかり、本当は川崎ではな"&amp;"く直輝を好きなのか、と彼女に問いかけた。莉子は、慌ててそれを否定すると、直輝とは友だちだと返す。  　夕方、一行が帰り支度を始めようとしていると、直輝の携帯電話に菜月からのメールが入る。メールには「私も会いたい」と書かれていた。それを見た直輝は、電車で帰ると言って川崎たちと別れ、駅へと急いだ。その晩、直輝は、菜月のマンションを訪れる。菜月と仲直りした直輝は、バスケで輝いている直輝が好きだという彼女の言葉に励まされる。が、その際、直輝は菜月のベッドの下にアームバンドが落ちていることに気づき…。")</f>
        <v>上矢直輝(山下智久)は、ヘッドコーチの川崎智哉(伊藤英明)に誘われて海に遊びに行く。白河莉子(北川景子)や海老名麻衣(貫地谷しほり)、チームメイトの秦野秀治(溝端淳平)、宇都宮透(永井大)らも一緒だった。だが、直輝は、前夜、恋人の七海菜月(相武紗季)から、いつになったら自分に自信が持てるようになるのか、と不満をぶつけられたこともあって元気がない。　一方、莉子は、バスの中で拾った携帯電話が実は直輝のものだったことを知る。麻衣は、運命的に同じバスに乗っていた、などと言う莉子の言葉が引っかかり、本当は川崎ではなく直輝を好きなのか、と彼女に問いかけた。莉子は、慌ててそれを否定すると、直輝とは友だちだと返す。  　夕方、一行が帰り支度を始めようとしていると、直輝の携帯電話に菜月からのメールが入る。メールには「私も会いたい」と書かれていた。それを見た直輝は、電車で帰ると言って川崎たちと別れ、駅へと急いだ。その晩、直輝は、菜月のマンションを訪れる。菜月と仲直りした直輝は、バスケで輝いている直輝が好きだという彼女の言葉に励まされる。が、その際、直輝は菜月のベッドの下にアームバンドが落ちていることに気づき…。</v>
      </c>
      <c r="N1719" s="2"/>
      <c r="O1719" s="2"/>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row>
    <row r="1720" ht="204.75" customHeight="1">
      <c r="A1720" s="1">
        <v>5086.0</v>
      </c>
      <c r="B1720" s="2" t="s">
        <v>5475</v>
      </c>
      <c r="C1720" s="2">
        <f>IFERROR(__xludf.DUMMYFUNCTION("split(B1720,""_"")"),907.0)</f>
        <v>907</v>
      </c>
      <c r="D1720" s="2" t="str">
        <f>IFERROR(__xludf.DUMMYFUNCTION("""COMPUTED_VALUE"""),"CX")</f>
        <v>CX</v>
      </c>
      <c r="E1720" s="2" t="str">
        <f>IFERROR(__xludf.DUMMYFUNCTION("""COMPUTED_VALUE"""),"月21")</f>
        <v>月21</v>
      </c>
      <c r="F1720" s="2" t="s">
        <v>5476</v>
      </c>
      <c r="G1720" s="2" t="s">
        <v>5489</v>
      </c>
      <c r="H1720" s="1">
        <v>5.0</v>
      </c>
      <c r="I1720" s="1" t="s">
        <v>17</v>
      </c>
      <c r="J1720" s="1" t="s">
        <v>11</v>
      </c>
      <c r="K1720" s="2" t="s">
        <v>5490</v>
      </c>
      <c r="L1720" s="2" t="s">
        <v>5491</v>
      </c>
      <c r="M1720" s="2" t="str">
        <f>IFERROR(__xludf.DUMMYFUNCTION("split(split(K1720,""山下智久　"",false),""公式LINE"",false)"),"上矢直輝(山下智久)は、恋人の七海菜月(相武紗季)がJCアークスのチームメイト・代々木廉(金子ノブアキ)とキスしているところを目撃してしまう。直輝は、ショックを受け、その場から立ち去った。一方、白河莉子(北川景子)は、川崎智哉(伊藤英明)とデートをしていた。店を出た2人は、莉子と親友の海老名麻衣(貫地谷しほり)がルームシェアをしているアパートへと向かった。ご馳走したいから、といって川崎を誘ったのだ。莉子たちの部屋に居候している秦野秀治(溝端淳平)は、川崎が来ることを知り、宇都宮透(永井大)を誘った。宇都宮"&amp;"に思いを寄せている麻衣は、大喜びだった。行き場のない直輝は、いつもの公園へと向かった。練習に没頭した直輝は、疲れ果て、そのまま公園のベンチで眠ってしまう。あくる朝、バイオリンの練習をするために公園にやってきた莉子は、ベンチで眠っている直輝の姿を見つける。そっと歩み寄った莉子は、携帯電話を取り出し、直輝の寝顔を撮った。秀治とともにアパートの窓からその一部始終を見ていた麻衣は、やはり莉子は直輝のことを好きなのではないか、と疑った。莉子は、それを否定し、撮影した写真を消去する。")</f>
        <v>上矢直輝(山下智久)は、恋人の七海菜月(相武紗季)がJCアークスのチームメイト・代々木廉(金子ノブアキ)とキスしているところを目撃してしまう。直輝は、ショックを受け、その場から立ち去った。一方、白河莉子(北川景子)は、川崎智哉(伊藤英明)とデートをしていた。店を出た2人は、莉子と親友の海老名麻衣(貫地谷しほり)がルームシェアをしているアパートへと向かった。ご馳走したいから、といって川崎を誘ったのだ。莉子たちの部屋に居候している秦野秀治(溝端淳平)は、川崎が来ることを知り、宇都宮透(永井大)を誘った。宇都宮に思いを寄せている麻衣は、大喜びだった。行き場のない直輝は、いつもの公園へと向かった。練習に没頭した直輝は、疲れ果て、そのまま公園のベンチで眠ってしまう。あくる朝、バイオリンの練習をするために公園にやってきた莉子は、ベンチで眠っている直輝の姿を見つける。そっと歩み寄った莉子は、携帯電話を取り出し、直輝の寝顔を撮った。秀治とともにアパートの窓からその一部始終を見ていた麻衣は、やはり莉子は直輝のことを好きなのではないか、と疑った。莉子は、それを否定し、撮影した写真を消去する。</v>
      </c>
      <c r="N1720" s="2"/>
      <c r="O1720" s="2"/>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row>
    <row r="1721" ht="204.75" customHeight="1">
      <c r="A1721" s="1">
        <v>5087.0</v>
      </c>
      <c r="B1721" s="2" t="s">
        <v>5475</v>
      </c>
      <c r="C1721" s="2">
        <f>IFERROR(__xludf.DUMMYFUNCTION("split(B1721,""_"")"),907.0)</f>
        <v>907</v>
      </c>
      <c r="D1721" s="2" t="str">
        <f>IFERROR(__xludf.DUMMYFUNCTION("""COMPUTED_VALUE"""),"CX")</f>
        <v>CX</v>
      </c>
      <c r="E1721" s="2" t="str">
        <f>IFERROR(__xludf.DUMMYFUNCTION("""COMPUTED_VALUE"""),"月21")</f>
        <v>月21</v>
      </c>
      <c r="F1721" s="2" t="s">
        <v>5476</v>
      </c>
      <c r="G1721" s="2" t="s">
        <v>5492</v>
      </c>
      <c r="H1721" s="1">
        <v>6.0</v>
      </c>
      <c r="I1721" s="1" t="s">
        <v>21</v>
      </c>
      <c r="J1721" s="1" t="s">
        <v>11</v>
      </c>
      <c r="K1721" s="2" t="s">
        <v>5493</v>
      </c>
      <c r="L1721" s="2" t="s">
        <v>5494</v>
      </c>
      <c r="M1721" s="2" t="str">
        <f>IFERROR(__xludf.DUMMYFUNCTION("split(split(K1721,""山下智久　"",false),""公式LINE"",false)"),"合宿中だった上矢直輝(山下智久)のもとに、白河莉子(北川景子)がやってきた。電話で直輝と話していたとき、彼が泣いていることに気づいた莉子は、心配になってJCアークスの合宿先まで駆けつけたのだ。そんな莉子を思わず抱きしめてしまった直輝は、次の瞬間、慌てて体を離す。すると今度は、莉子の方から直輝に抱きつく。  　直輝は、川崎智哉(伊藤英明)には会わずに帰る、という莉子をバス停まで送っていくと、気合いを入れ直してランニングを始める。その姿を、川崎が偶然目撃していることには気づかなかった。  　朝、選手たちより先"&amp;"に帰京する七海菜月(相武紗季)たちチアチームがロビーに集合する。菜月は、代々木廉(金子ノブアキ)に歩み寄り、東京に帰ったら連絡して、と声をかけた。それを聞いていた宇都宮透(永井大)は、菜月を呼び止め、事情を聞こうとする。菜月は、そんな宇都宮に、振られたのは自分の方だ、と告げた。　そんな折、川崎は、練習試合を行うと皆に告げる。川崎は、直輝と廉を同じチームに入れると、自ら相手チームに加わり…。")</f>
        <v>合宿中だった上矢直輝(山下智久)のもとに、白河莉子(北川景子)がやってきた。電話で直輝と話していたとき、彼が泣いていることに気づいた莉子は、心配になってJCアークスの合宿先まで駆けつけたのだ。そんな莉子を思わず抱きしめてしまった直輝は、次の瞬間、慌てて体を離す。すると今度は、莉子の方から直輝に抱きつく。  　直輝は、川崎智哉(伊藤英明)には会わずに帰る、という莉子をバス停まで送っていくと、気合いを入れ直してランニングを始める。その姿を、川崎が偶然目撃していることには気づかなかった。  　朝、選手たちより先に帰京する七海菜月(相武紗季)たちチアチームがロビーに集合する。菜月は、代々木廉(金子ノブアキ)に歩み寄り、東京に帰ったら連絡して、と声をかけた。それを聞いていた宇都宮透(永井大)は、菜月を呼び止め、事情を聞こうとする。菜月は、そんな宇都宮に、振られたのは自分の方だ、と告げた。　そんな折、川崎は、練習試合を行うと皆に告げる。川崎は、直輝と廉を同じチームに入れると、自ら相手チームに加わり…。</v>
      </c>
      <c r="N1721" s="2"/>
      <c r="O1721" s="2"/>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row>
    <row r="1722" ht="204.75" customHeight="1">
      <c r="A1722" s="1">
        <v>5088.0</v>
      </c>
      <c r="B1722" s="2" t="s">
        <v>5475</v>
      </c>
      <c r="C1722" s="2">
        <f>IFERROR(__xludf.DUMMYFUNCTION("split(B1722,""_"")"),907.0)</f>
        <v>907</v>
      </c>
      <c r="D1722" s="2" t="str">
        <f>IFERROR(__xludf.DUMMYFUNCTION("""COMPUTED_VALUE"""),"CX")</f>
        <v>CX</v>
      </c>
      <c r="E1722" s="2" t="str">
        <f>IFERROR(__xludf.DUMMYFUNCTION("""COMPUTED_VALUE"""),"月21")</f>
        <v>月21</v>
      </c>
      <c r="F1722" s="2" t="s">
        <v>5476</v>
      </c>
      <c r="G1722" s="2" t="s">
        <v>5495</v>
      </c>
      <c r="H1722" s="1">
        <v>7.0</v>
      </c>
      <c r="I1722" s="1" t="s">
        <v>25</v>
      </c>
      <c r="J1722" s="1" t="s">
        <v>4</v>
      </c>
      <c r="K1722" s="2" t="s">
        <v>5496</v>
      </c>
      <c r="L1722" s="2" t="s">
        <v>5497</v>
      </c>
      <c r="M1722" s="2" t="str">
        <f>IFERROR(__xludf.DUMMYFUNCTION("split(split(K1722,""山下智久　"",false),""公式LINE"",false)"),"上矢直輝(山下智久)のもとに、元恋人の七海菜月(相武紗季)から電話が入る。菜月の部屋にあった直輝の衣類などをまとめたから取りに来てほしい、という連絡だった。菜月は、合鍵を置いて帰ろうとする直輝に、「私たち、友だちになれるかな?」と問いかけた。しかし直輝は、無理だと答えて、菜月の部屋を後にする。  　一方、白河莉子(北川景子)は、ボストンへ出発する直前の川崎智哉(伊藤英明)から電話をもらい、彼に会っていた。莉子の誕生日が4日後だと知った川崎は、彼女にプレゼントを渡し、ボストンへと旅立っていく。  　アパート"&amp;"に戻った莉子は、親友の海老名麻衣(貫地谷しほり)に、直輝のことが好きだと川崎に言えなかったこと、成り行きで川崎の両親に会ってしまったこと、そして直輝にキスしてしまったことを報告する。そんな莉子に、麻衣は、直輝が菜月と別れたことを告げる。　そんな折、直輝は、スーパーマーケットで莉子と出会う。ところが、直輝の姿を見るなり、逃げ出す莉子。そんな莉子の後を追いかけた直輝は、すぐに彼女に追いつく。莉子と一緒に公園に立ち寄った直輝は、いつまでも莉子とは友だちでいたいからこの間のことは忘れる、と告げる。しかし莉子は、も"&amp;"う友だちとは思えない、と言って、直輝に自分の想いを伝えようとし・・・。")</f>
        <v>上矢直輝(山下智久)のもとに、元恋人の七海菜月(相武紗季)から電話が入る。菜月の部屋にあった直輝の衣類などをまとめたから取りに来てほしい、という連絡だった。菜月は、合鍵を置いて帰ろうとする直輝に、「私たち、友だちになれるかな?」と問いかけた。しかし直輝は、無理だと答えて、菜月の部屋を後にする。  　一方、白河莉子(北川景子)は、ボストンへ出発する直前の川崎智哉(伊藤英明)から電話をもらい、彼に会っていた。莉子の誕生日が4日後だと知った川崎は、彼女にプレゼントを渡し、ボストンへと旅立っていく。  　アパートに戻った莉子は、親友の海老名麻衣(貫地谷しほり)に、直輝のことが好きだと川崎に言えなかったこと、成り行きで川崎の両親に会ってしまったこと、そして直輝にキスしてしまったことを報告する。そんな莉子に、麻衣は、直輝が菜月と別れたことを告げる。　そんな折、直輝は、スーパーマーケットで莉子と出会う。ところが、直輝の姿を見るなり、逃げ出す莉子。そんな莉子の後を追いかけた直輝は、すぐに彼女に追いつく。莉子と一緒に公園に立ち寄った直輝は、いつまでも莉子とは友だちでいたいからこの間のことは忘れる、と告げる。しかし莉子は、もう友だちとは思えない、と言って、直輝に自分の想いを伝えようとし・・・。</v>
      </c>
      <c r="N1722" s="2"/>
      <c r="O1722" s="2"/>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row>
    <row r="1723" ht="204.75" customHeight="1">
      <c r="A1723" s="1">
        <v>5089.0</v>
      </c>
      <c r="B1723" s="2" t="s">
        <v>5475</v>
      </c>
      <c r="C1723" s="2">
        <f>IFERROR(__xludf.DUMMYFUNCTION("split(B1723,""_"")"),907.0)</f>
        <v>907</v>
      </c>
      <c r="D1723" s="2" t="str">
        <f>IFERROR(__xludf.DUMMYFUNCTION("""COMPUTED_VALUE"""),"CX")</f>
        <v>CX</v>
      </c>
      <c r="E1723" s="2" t="str">
        <f>IFERROR(__xludf.DUMMYFUNCTION("""COMPUTED_VALUE"""),"月21")</f>
        <v>月21</v>
      </c>
      <c r="F1723" s="2" t="s">
        <v>5476</v>
      </c>
      <c r="G1723" s="2" t="s">
        <v>5498</v>
      </c>
      <c r="H1723" s="1">
        <v>8.0</v>
      </c>
      <c r="I1723" s="1" t="s">
        <v>29</v>
      </c>
      <c r="J1723" s="1" t="s">
        <v>11</v>
      </c>
      <c r="K1723" s="2" t="s">
        <v>5499</v>
      </c>
      <c r="L1723" s="2" t="s">
        <v>5500</v>
      </c>
      <c r="M1723" s="2" t="str">
        <f>IFERROR(__xludf.DUMMYFUNCTION("split(split(K1723,""山下智久　"",false),""公式LINE"",false)"),"いつもの公園を訪れた上矢直輝(山下智久)は、誕生日を迎えた白河莉子(北川景子)に電話する。莉子は、誕生日のお祝いにボールをドリブルする音を聴かせてほしい、と直輝に頼んだ。その音で、直輝が隣りの公園にいることに気づいた莉子は、窓を開けると、もう会わないなんて言わないでほしい、と叫んだ。その言葉を聞いた直輝は、莉子の部屋に駆け上がり、彼女を強く抱きしめてキスする。お互いの気持ちを確認し合った2人は、出張中の川崎智哉(伊藤英明)が戻ってきちんとけじめをつけるまではいままで通りの関係でいよう、と誓い合う。  　一"&amp;"方、七海菜月(相武紗季)は、後輩の金沢しおん(小松彩夏)が代々木廉(金子ノブアキ)と親しくしていることを知る。が、しおんは、菜月に向かって、悪いことをしたとは思っていない、と言い放つ。直輝は、関節内剥離の痛みも大分治まり、いままで以上に練習に没頭する。莉子からメールアドレスを教えてもらった直輝は、さっそくその喜びを報告した。海老名麻衣(貫地谷しほり)は、嬉しそうにそのメールを見ていた莉子を冷やかした。そんな麻衣も、秦野秀治(溝端淳平)と上手くいっているらしい。莉子から「自分こそ彼氏ができて浮かれちゃって」"&amp;"とからかわれた麻衣は、恋人になることでいまの関係が崩れるのが怖い、と胸の内を明かす。そんな折、莉子は、菜月から食事に誘われ…。")</f>
        <v>いつもの公園を訪れた上矢直輝(山下智久)は、誕生日を迎えた白河莉子(北川景子)に電話する。莉子は、誕生日のお祝いにボールをドリブルする音を聴かせてほしい、と直輝に頼んだ。その音で、直輝が隣りの公園にいることに気づいた莉子は、窓を開けると、もう会わないなんて言わないでほしい、と叫んだ。その言葉を聞いた直輝は、莉子の部屋に駆け上がり、彼女を強く抱きしめてキスする。お互いの気持ちを確認し合った2人は、出張中の川崎智哉(伊藤英明)が戻ってきちんとけじめをつけるまではいままで通りの関係でいよう、と誓い合う。  　一方、七海菜月(相武紗季)は、後輩の金沢しおん(小松彩夏)が代々木廉(金子ノブアキ)と親しくしていることを知る。が、しおんは、菜月に向かって、悪いことをしたとは思っていない、と言い放つ。直輝は、関節内剥離の痛みも大分治まり、いままで以上に練習に没頭する。莉子からメールアドレスを教えてもらった直輝は、さっそくその喜びを報告した。海老名麻衣(貫地谷しほり)は、嬉しそうにそのメールを見ていた莉子を冷やかした。そんな麻衣も、秦野秀治(溝端淳平)と上手くいっているらしい。莉子から「自分こそ彼氏ができて浮かれちゃって」とからかわれた麻衣は、恋人になることでいまの関係が崩れるのが怖い、と胸の内を明かす。そんな折、莉子は、菜月から食事に誘われ…。</v>
      </c>
      <c r="N1723" s="2"/>
      <c r="O1723" s="2"/>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row>
    <row r="1724" ht="204.75" customHeight="1">
      <c r="A1724" s="1">
        <v>5090.0</v>
      </c>
      <c r="B1724" s="2" t="s">
        <v>5475</v>
      </c>
      <c r="C1724" s="2">
        <f>IFERROR(__xludf.DUMMYFUNCTION("split(B1724,""_"")"),907.0)</f>
        <v>907</v>
      </c>
      <c r="D1724" s="2" t="str">
        <f>IFERROR(__xludf.DUMMYFUNCTION("""COMPUTED_VALUE"""),"CX")</f>
        <v>CX</v>
      </c>
      <c r="E1724" s="2" t="str">
        <f>IFERROR(__xludf.DUMMYFUNCTION("""COMPUTED_VALUE"""),"月21")</f>
        <v>月21</v>
      </c>
      <c r="F1724" s="2" t="s">
        <v>5476</v>
      </c>
      <c r="G1724" s="2" t="s">
        <v>5501</v>
      </c>
      <c r="H1724" s="1">
        <v>9.0</v>
      </c>
      <c r="I1724" s="1" t="s">
        <v>33</v>
      </c>
      <c r="J1724" s="1" t="s">
        <v>11</v>
      </c>
      <c r="K1724" s="2" t="s">
        <v>5502</v>
      </c>
      <c r="L1724" s="2" t="s">
        <v>5503</v>
      </c>
      <c r="M1724" s="2" t="str">
        <f>IFERROR(__xludf.DUMMYFUNCTION("split(split(K1724,""山下智久　"",false),""公式LINE"",false)"),"上矢直輝(山下智久)は、深夜バスで帰省する予定の白河莉子(北川景子)と、出発前に会う約束をしていた。練習を終え、莉子のもとへと急いだ直輝は、その途中で、雨宿りをしている七海菜月(相武紗季)に出会う。直輝は、菜月に傘を手渡して立ち去ろうとしたが、そんな直輝に、行かないでほしい、と言って抱きつく菜月。直輝は、困惑しながらも、友だちと会う約束があると菜月に告げる。それを聞いた菜月は、直輝に謝って笑顔を見せると、借りた傘をさして歩きだす。  　いつもの公園で待っていた莉子は、びしょ濡れでやってきた直輝に驚き、慌て"&amp;"て彼をアパートまで連れていく。直輝は、莉子がバスの時間に間に合わなくなったことを知り、練習が長引いたと説明して謝った。すると、莉子の携帯電話に菜月から電話が入る。菜月は、直輝と一緒だったことを打ち明けて莉子に謝罪する。菜月から、シーズン前だから体調に注意してあげてほしいと頼まれた莉子は、その言葉に従って直輝を帰宅させる。だが、同居している秦野秀治(溝端淳平)から、練習が早めに終わったことを聞かされた莉子は、落ち込んでしまう。あくる日、莉子は久々に実家に戻る。  　一方、直輝は、開幕に向けて練習を続けていた"&amp;"。そんな折、直輝や宇都宮透(永井大)たちはすき焼きパーティーを開く。そこで直輝は、莉子がバーでバイオリンを演奏するアルバイトを辞めたことを海老名麻衣(貫地谷しほり)から教えられる。")</f>
        <v>上矢直輝(山下智久)は、深夜バスで帰省する予定の白河莉子(北川景子)と、出発前に会う約束をしていた。練習を終え、莉子のもとへと急いだ直輝は、その途中で、雨宿りをしている七海菜月(相武紗季)に出会う。直輝は、菜月に傘を手渡して立ち去ろうとしたが、そんな直輝に、行かないでほしい、と言って抱きつく菜月。直輝は、困惑しながらも、友だちと会う約束があると菜月に告げる。それを聞いた菜月は、直輝に謝って笑顔を見せると、借りた傘をさして歩きだす。  　いつもの公園で待っていた莉子は、びしょ濡れでやってきた直輝に驚き、慌てて彼をアパートまで連れていく。直輝は、莉子がバスの時間に間に合わなくなったことを知り、練習が長引いたと説明して謝った。すると、莉子の携帯電話に菜月から電話が入る。菜月は、直輝と一緒だったことを打ち明けて莉子に謝罪する。菜月から、シーズン前だから体調に注意してあげてほしいと頼まれた莉子は、その言葉に従って直輝を帰宅させる。だが、同居している秦野秀治(溝端淳平)から、練習が早めに終わったことを聞かされた莉子は、落ち込んでしまう。あくる日、莉子は久々に実家に戻る。  　一方、直輝は、開幕に向けて練習を続けていた。そんな折、直輝や宇都宮透(永井大)たちはすき焼きパーティーを開く。そこで直輝は、莉子がバーでバイオリンを演奏するアルバイトを辞めたことを海老名麻衣(貫地谷しほり)から教えられる。</v>
      </c>
      <c r="N1724" s="2"/>
      <c r="O1724" s="2"/>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row>
    <row r="1725" ht="204.75" customHeight="1">
      <c r="A1725" s="1">
        <v>5091.0</v>
      </c>
      <c r="B1725" s="2" t="s">
        <v>5475</v>
      </c>
      <c r="C1725" s="2">
        <f>IFERROR(__xludf.DUMMYFUNCTION("split(B1725,""_"")"),907.0)</f>
        <v>907</v>
      </c>
      <c r="D1725" s="2" t="str">
        <f>IFERROR(__xludf.DUMMYFUNCTION("""COMPUTED_VALUE"""),"CX")</f>
        <v>CX</v>
      </c>
      <c r="E1725" s="2" t="str">
        <f>IFERROR(__xludf.DUMMYFUNCTION("""COMPUTED_VALUE"""),"月21")</f>
        <v>月21</v>
      </c>
      <c r="F1725" s="2" t="s">
        <v>5476</v>
      </c>
      <c r="G1725" s="2" t="s">
        <v>5504</v>
      </c>
      <c r="H1725" s="1">
        <v>10.0</v>
      </c>
      <c r="I1725" s="1" t="s">
        <v>37</v>
      </c>
      <c r="J1725" s="1" t="s">
        <v>11</v>
      </c>
      <c r="K1725" s="2" t="s">
        <v>5505</v>
      </c>
      <c r="L1725" s="2" t="s">
        <v>5506</v>
      </c>
      <c r="M1725" s="2" t="str">
        <f>IFERROR(__xludf.DUMMYFUNCTION("split(split(K1725,""山下智久　"",false),""公式LINE"",false)"),"上矢直輝(山下智久)は、白河莉子(北川景子)のために生花店で一輪のヒマワリを買い求め、彼女のアパートへと急いでいた。  　そのころ莉子は、ボストンから帰国し、アパートまで訪ねてきた川崎智哉(伊藤英明)に会っていた。直輝とケンカしたばかりの莉子は、幸せだと答えながらも涙をこらえることができない。川崎は、そんな莉子を優しく抱きしめた。　直輝が莉子のアパートに到着すると、彼女の部屋からちょうど川崎が出てくる。公園で直輝と対峙した川崎は、お前に莉子を守れるとは思えない、と言い放った。そんななか、事件が起きた。練習"&amp;"していた直輝が、足首の激痛に襲われ倒れてしまったのだ。直輝は、病院に運び込まれたが、手術は拒否する。そのとき、直輝の意志を無視して、手術の日程を決めてほしい、と医師に申し出たのは七海菜月(相武紗季)だった。　一方、莉子は、八尾(升毅)から呼び出される。音楽財団の理事長を務める八尾は、ある演奏会でバイオリニストに欠員が出たことを伝え、明日からの1週間をくれないか、と莉子に申し出る。莉子の努力次第で1週間後の演奏会に起用してもいいというのだ。その話を受けた莉子は、さっそく直輝に報告するが…。")</f>
        <v>上矢直輝(山下智久)は、白河莉子(北川景子)のために生花店で一輪のヒマワリを買い求め、彼女のアパートへと急いでいた。  　そのころ莉子は、ボストンから帰国し、アパートまで訪ねてきた川崎智哉(伊藤英明)に会っていた。直輝とケンカしたばかりの莉子は、幸せだと答えながらも涙をこらえることができない。川崎は、そんな莉子を優しく抱きしめた。　直輝が莉子のアパートに到着すると、彼女の部屋からちょうど川崎が出てくる。公園で直輝と対峙した川崎は、お前に莉子を守れるとは思えない、と言い放った。そんななか、事件が起きた。練習していた直輝が、足首の激痛に襲われ倒れてしまったのだ。直輝は、病院に運び込まれたが、手術は拒否する。そのとき、直輝の意志を無視して、手術の日程を決めてほしい、と医師に申し出たのは七海菜月(相武紗季)だった。　一方、莉子は、八尾(升毅)から呼び出される。音楽財団の理事長を務める八尾は、ある演奏会でバイオリニストに欠員が出たことを伝え、明日からの1週間をくれないか、と莉子に申し出る。莉子の努力次第で1週間後の演奏会に起用してもいいというのだ。その話を受けた莉子は、さっそく直輝に報告するが…。</v>
      </c>
      <c r="N1725" s="2"/>
      <c r="O1725" s="2"/>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row>
    <row r="1726" ht="204.75" customHeight="1">
      <c r="A1726" s="1">
        <v>5092.0</v>
      </c>
      <c r="B1726" s="2" t="s">
        <v>5475</v>
      </c>
      <c r="C1726" s="2">
        <f>IFERROR(__xludf.DUMMYFUNCTION("split(B1726,""_"")"),907.0)</f>
        <v>907</v>
      </c>
      <c r="D1726" s="2" t="str">
        <f>IFERROR(__xludf.DUMMYFUNCTION("""COMPUTED_VALUE"""),"CX")</f>
        <v>CX</v>
      </c>
      <c r="E1726" s="2" t="str">
        <f>IFERROR(__xludf.DUMMYFUNCTION("""COMPUTED_VALUE"""),"月21")</f>
        <v>月21</v>
      </c>
      <c r="F1726" s="2" t="s">
        <v>5476</v>
      </c>
      <c r="G1726" s="2" t="s">
        <v>5507</v>
      </c>
      <c r="H1726" s="1">
        <v>11.0</v>
      </c>
      <c r="I1726" s="1" t="s">
        <v>41</v>
      </c>
      <c r="J1726" s="1" t="s">
        <v>4</v>
      </c>
      <c r="K1726" s="2" t="s">
        <v>5508</v>
      </c>
      <c r="L1726" s="2" t="s">
        <v>5509</v>
      </c>
      <c r="M1726" s="2" t="str">
        <f>IFERROR(__xludf.DUMMYFUNCTION("split(split(K1726,""山下智久　"",false),""公式LINE"",false)"),"上矢直輝(山下智久)は、オーケストラのバイオリニストになるチャンスを諦めようとしていた白河莉子(北川景子)に、最後まで夢を追ってほしい、と助言する。莉子は、音楽財団の理事長・八尾隆介(升毅)に認められ、軽井沢で活動するオーケストラに誘われていたが、直輝と離れたくないという思いから、その話を断ろうとしていた。  　直輝の思いを受け止めた莉子は、軽井沢に行くことを決意し、別れが辛くなるからもう会わない、と彼に告げてその場を後にした。  　それから1週間後。出発を明日に控えた莉子は、音楽だけに集中するために携帯"&amp;"電話も解約する。親友の海老名麻衣(貫地谷しほり)は、そんな莉子の行動に驚いていた。最後のアルバイトを終えた莉子は、店長の小牧祐介(川端竜太)に挨拶する。するとそこに、直輝の姉・雪乃(ちすん)がやってきた。その際、雪乃は、莉子が以前駅ビルで演奏していた女性であることに気づき、弟が演奏していた人にヒマワリを渡そうとして渡せなかった、と言い出す。あのとき、小学生からもらったヒマワリが、実は直輝のものだったことを知った莉子は、改めて真剣に音楽に取り組むことを決意する。  　そんな中、PBAの2009年シーズンが開"&amp;"幕する。直輝は、完全復活を目指して、1人リハビリに励み…。")</f>
        <v>上矢直輝(山下智久)は、オーケストラのバイオリニストになるチャンスを諦めようとしていた白河莉子(北川景子)に、最後まで夢を追ってほしい、と助言する。莉子は、音楽財団の理事長・八尾隆介(升毅)に認められ、軽井沢で活動するオーケストラに誘われていたが、直輝と離れたくないという思いから、その話を断ろうとしていた。  　直輝の思いを受け止めた莉子は、軽井沢に行くことを決意し、別れが辛くなるからもう会わない、と彼に告げてその場を後にした。  　それから1週間後。出発を明日に控えた莉子は、音楽だけに集中するために携帯電話も解約する。親友の海老名麻衣(貫地谷しほり)は、そんな莉子の行動に驚いていた。最後のアルバイトを終えた莉子は、店長の小牧祐介(川端竜太)に挨拶する。するとそこに、直輝の姉・雪乃(ちすん)がやってきた。その際、雪乃は、莉子が以前駅ビルで演奏していた女性であることに気づき、弟が演奏していた人にヒマワリを渡そうとして渡せなかった、と言い出す。あのとき、小学生からもらったヒマワリが、実は直輝のものだったことを知った莉子は、改めて真剣に音楽に取り組むことを決意する。  　そんな中、PBAの2009年シーズンが開幕する。直輝は、完全復活を目指して、1人リハビリに励み…。</v>
      </c>
      <c r="N1726" s="2"/>
      <c r="O1726" s="2"/>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row>
    <row r="1727" ht="204.75" customHeight="1">
      <c r="A1727" s="1">
        <v>5093.0</v>
      </c>
      <c r="B1727" s="2" t="s">
        <v>5510</v>
      </c>
      <c r="C1727" s="2">
        <f>IFERROR(__xludf.DUMMYFUNCTION("split(B1727,""_"")"),907.0)</f>
        <v>907</v>
      </c>
      <c r="D1727" s="2" t="str">
        <f>IFERROR(__xludf.DUMMYFUNCTION("""COMPUTED_VALUE"""),"CX")</f>
        <v>CX</v>
      </c>
      <c r="E1727" s="2" t="str">
        <f>IFERROR(__xludf.DUMMYFUNCTION("""COMPUTED_VALUE"""),"火21")</f>
        <v>火21</v>
      </c>
      <c r="F1727" s="2" t="s">
        <v>3105</v>
      </c>
      <c r="G1727" s="2" t="s">
        <v>3106</v>
      </c>
      <c r="H1727" s="1">
        <v>1.0</v>
      </c>
      <c r="I1727" s="1" t="s">
        <v>3</v>
      </c>
      <c r="J1727" s="1" t="s">
        <v>4</v>
      </c>
      <c r="K1727" s="4" t="s">
        <v>5511</v>
      </c>
      <c r="L1727" s="2" t="s">
        <v>5512</v>
      </c>
      <c r="M1727" s="2" t="str">
        <f>IFERROR(__xludf.DUMMYFUNCTION("split(split(K1727,""江口洋介　"",false),""公式LINE"",false)"),"結婚式場で倒れた花嫁を乗せた救急車は受け入れ先を探すが、どの病院も救命医が足りず、処置できないと受け入れを拒否する。そんな中、彼女の容態が急変し、新郎が運転手につかみかかり救急車は交差点の途中で急停車してしまった。その時、渋滞した車の列のタクシーから降りてくる1人の男。それは進藤一生(江口洋介)だった。  　海南医大救命救急センターでは、受け入れを断ったにもかかわらず救急車が向かって来ていると聞いて看護師の鴨居千夏(北乃きい)たちが慌てていた。この病院では、激務によって体力・気力共に尽きてしまった救命医た"&amp;"ちが全員辞職してしまったのだ。しかし同乗してきた進藤は見事な手際で手術を成功させた。だがあらためて誰もいない医局を見て愕然とする。さらに、同じ病院の放射線科で働いている看護師、山城紗江子(木村多江)から、小島楓(松嶋菜々子)が医師を辞めたかもしれないと聞き驚く。  　楓は法廷にいた。実は楓は、医療ミスを理由に訴えられ、医療裁判の真っ只中にいるのだった。そんな楓のところに進藤が訪ねてきた。楓は進藤との再会を喜ぶものの、救命医としてやっていく自信はないと答える。  　進藤は、救命センター再建のために転属させら"&amp;"れた優秀な外科医・澤井悦司(ユースケ・サンタマリア)とことごとく意見が対立。やる気のない臨時の医師が寄せ集められた病院で、孤軍奮闘で処置を行いながら、厳しい現状を実感する。")</f>
        <v>結婚式場で倒れた花嫁を乗せた救急車は受け入れ先を探すが、どの病院も救命医が足りず、処置できないと受け入れを拒否する。そんな中、彼女の容態が急変し、新郎が運転手につかみかかり救急車は交差点の途中で急停車してしまった。その時、渋滞した車の列のタクシーから降りてくる1人の男。それは進藤一生(江口洋介)だった。  　海南医大救命救急センターでは、受け入れを断ったにもかかわらず救急車が向かって来ていると聞いて看護師の鴨居千夏(北乃きい)たちが慌てていた。この病院では、激務によって体力・気力共に尽きてしまった救命医たちが全員辞職してしまったのだ。しかし同乗してきた進藤は見事な手際で手術を成功させた。だがあらためて誰もいない医局を見て愕然とする。さらに、同じ病院の放射線科で働いている看護師、山城紗江子(木村多江)から、小島楓(松嶋菜々子)が医師を辞めたかもしれないと聞き驚く。  　楓は法廷にいた。実は楓は、医療ミスを理由に訴えられ、医療裁判の真っ只中にいるのだった。そんな楓のところに進藤が訪ねてきた。楓は進藤との再会を喜ぶものの、救命医としてやっていく自信はないと答える。  　進藤は、救命センター再建のために転属させられた優秀な外科医・澤井悦司(ユースケ・サンタマリア)とことごとく意見が対立。やる気のない臨時の医師が寄せ集められた病院で、孤軍奮闘で処置を行いながら、厳しい現状を実感する。</v>
      </c>
      <c r="N1727" s="2"/>
      <c r="O1727" s="2"/>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row>
    <row r="1728" ht="204.75" customHeight="1">
      <c r="A1728" s="1">
        <v>5094.0</v>
      </c>
      <c r="B1728" s="2" t="s">
        <v>5510</v>
      </c>
      <c r="C1728" s="2">
        <f>IFERROR(__xludf.DUMMYFUNCTION("split(B1728,""_"")"),907.0)</f>
        <v>907</v>
      </c>
      <c r="D1728" s="2" t="str">
        <f>IFERROR(__xludf.DUMMYFUNCTION("""COMPUTED_VALUE"""),"CX")</f>
        <v>CX</v>
      </c>
      <c r="E1728" s="2" t="str">
        <f>IFERROR(__xludf.DUMMYFUNCTION("""COMPUTED_VALUE"""),"火21")</f>
        <v>火21</v>
      </c>
      <c r="F1728" s="2" t="s">
        <v>3105</v>
      </c>
      <c r="G1728" s="2" t="s">
        <v>3109</v>
      </c>
      <c r="H1728" s="1">
        <v>2.0</v>
      </c>
      <c r="I1728" s="1" t="s">
        <v>7</v>
      </c>
      <c r="J1728" s="1" t="s">
        <v>11</v>
      </c>
      <c r="K1728" s="2" t="s">
        <v>5513</v>
      </c>
      <c r="L1728" s="2" t="s">
        <v>5514</v>
      </c>
      <c r="M1728" s="2" t="str">
        <f>IFERROR(__xludf.DUMMYFUNCTION("split(split(K1728,""江口洋介　"",false),""公式LINE"",false)"),"法廷で証言をしている小島楓(松嶋菜々子)のもとへ海南医大救命救急センター医局長・澤井悦司(ユースケ・サンタマリア)が訪ねてきた。楓を救急医として病院に迎えたいという意向を伝えに来たらしい。楓は当惑しながらも、翌週から赴任することを約束する。  　その日、あわただしく全体会議が行われている救命救急センターへ、澤井が畑田智行(勝部演之)、孝実(水谷理砂)を連れてきた。楓を告訴している原告の親子だ。楓の事情を初めて知った野口(矢柴俊博)らセンターの医師たちは動揺する。楓の係争を暴露し、他の医師たちの不安をあおる"&amp;"ような澤井の言動に進藤一生(江口洋介)は怒りを覚え、その夜、澤井に説明を求めるが、その答えに進藤は納得できず…。  　数日後、進藤が病院の検査室で採血されているのを、丹原(趙　和)が目撃する。救命の現場の激しさについて行けず、眼科へ戻ってしまった丹原は、進藤に対して憎悪を募らせていて…!?")</f>
        <v>法廷で証言をしている小島楓(松嶋菜々子)のもとへ海南医大救命救急センター医局長・澤井悦司(ユースケ・サンタマリア)が訪ねてきた。楓を救急医として病院に迎えたいという意向を伝えに来たらしい。楓は当惑しながらも、翌週から赴任することを約束する。  　その日、あわただしく全体会議が行われている救命救急センターへ、澤井が畑田智行(勝部演之)、孝実(水谷理砂)を連れてきた。楓を告訴している原告の親子だ。楓の事情を初めて知った野口(矢柴俊博)らセンターの医師たちは動揺する。楓の係争を暴露し、他の医師たちの不安をあおるような澤井の言動に進藤一生(江口洋介)は怒りを覚え、その夜、澤井に説明を求めるが、その答えに進藤は納得できず…。  　数日後、進藤が病院の検査室で採血されているのを、丹原(趙　和)が目撃する。救命の現場の激しさについて行けず、眼科へ戻ってしまった丹原は、進藤に対して憎悪を募らせていて…!?</v>
      </c>
      <c r="N1728" s="2"/>
      <c r="O1728" s="2"/>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row>
    <row r="1729" ht="204.75" customHeight="1">
      <c r="A1729" s="1">
        <v>5095.0</v>
      </c>
      <c r="B1729" s="2" t="s">
        <v>5510</v>
      </c>
      <c r="C1729" s="2">
        <f>IFERROR(__xludf.DUMMYFUNCTION("split(B1729,""_"")"),907.0)</f>
        <v>907</v>
      </c>
      <c r="D1729" s="2" t="str">
        <f>IFERROR(__xludf.DUMMYFUNCTION("""COMPUTED_VALUE"""),"CX")</f>
        <v>CX</v>
      </c>
      <c r="E1729" s="2" t="str">
        <f>IFERROR(__xludf.DUMMYFUNCTION("""COMPUTED_VALUE"""),"火21")</f>
        <v>火21</v>
      </c>
      <c r="F1729" s="2" t="s">
        <v>3105</v>
      </c>
      <c r="G1729" s="2" t="s">
        <v>3112</v>
      </c>
      <c r="H1729" s="1">
        <v>3.0</v>
      </c>
      <c r="I1729" s="1" t="s">
        <v>10</v>
      </c>
      <c r="J1729" s="1" t="s">
        <v>11</v>
      </c>
      <c r="K1729" s="2" t="s">
        <v>5515</v>
      </c>
      <c r="L1729" s="2" t="s">
        <v>5516</v>
      </c>
      <c r="M1729" s="2" t="str">
        <f>IFERROR(__xludf.DUMMYFUNCTION("split(split(K1729,""江口洋介　"",false),""公式LINE"",false)"),"救命センターは、進藤(江口洋介)と楓(松嶋菜々子)を中心になんとか回ってはいるものの、せめてあと1人は専門の救急医が必要だと澤井(ユースケ・サンタマリア)は病院へ働きかけ、体制を立て直すことを宣言する。  　事故で重傷を負い、運び込まれた患者のバイタルチェックをしている千夏(北乃きい)のところへ、元救急医の花輪(板尾創路)がふらりと現れ、いつもの軽口をたたきながら、さりげなくアドバイスをして去って行った。その様子を見ていた進藤は、過去のカルテを閲覧し、花輪の救急医としての実績を確認する。  　花輪はかつて"&amp;"の医局長・大山(築出静夫)の病室を訪れていた。自分が救命センターを辞めたことで、他の医師たちの負担が増え、大山が倒れたと責任を感じている。そんな花輪を大山の妻・芙美子(小林かおり)は慰める。  　外来で意識がもうろうとした男性を診ている研修医の工藤(石田卓也)。脳梗塞と診断し、患者を放射線科へ運ぶ。しかし看護師の紗江子(木村多江)が、糖尿病の低血糖の症状であることを指摘する。澤井は救急看護認定看護師の資格を持つ紗江子を救命センターへ配置換えしようとするが、息子を1人で育てている紗江子は応えることができない"&amp;"。  　交通事故で親子3人が運び込まれて来た。医師、看護師全員で処置に当たっている中、さらにもう1人の受け入れ要請があり、楓が受ける。ところが、ICUで千夏が診ていた患者が急変して…!?")</f>
        <v>救命センターは、進藤(江口洋介)と楓(松嶋菜々子)を中心になんとか回ってはいるものの、せめてあと1人は専門の救急医が必要だと澤井(ユースケ・サンタマリア)は病院へ働きかけ、体制を立て直すことを宣言する。  　事故で重傷を負い、運び込まれた患者のバイタルチェックをしている千夏(北乃きい)のところへ、元救急医の花輪(板尾創路)がふらりと現れ、いつもの軽口をたたきながら、さりげなくアドバイスをして去って行った。その様子を見ていた進藤は、過去のカルテを閲覧し、花輪の救急医としての実績を確認する。  　花輪はかつての医局長・大山(築出静夫)の病室を訪れていた。自分が救命センターを辞めたことで、他の医師たちの負担が増え、大山が倒れたと責任を感じている。そんな花輪を大山の妻・芙美子(小林かおり)は慰める。  　外来で意識がもうろうとした男性を診ている研修医の工藤(石田卓也)。脳梗塞と診断し、患者を放射線科へ運ぶ。しかし看護師の紗江子(木村多江)が、糖尿病の低血糖の症状であることを指摘する。澤井は救急看護認定看護師の資格を持つ紗江子を救命センターへ配置換えしようとするが、息子を1人で育てている紗江子は応えることができない。  　交通事故で親子3人が運び込まれて来た。医師、看護師全員で処置に当たっている中、さらにもう1人の受け入れ要請があり、楓が受ける。ところが、ICUで千夏が診ていた患者が急変して…!?</v>
      </c>
      <c r="N1729" s="2"/>
      <c r="O1729" s="2"/>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row>
    <row r="1730" ht="204.75" customHeight="1">
      <c r="A1730" s="1">
        <v>5096.0</v>
      </c>
      <c r="B1730" s="2" t="s">
        <v>5510</v>
      </c>
      <c r="C1730" s="2">
        <f>IFERROR(__xludf.DUMMYFUNCTION("split(B1730,""_"")"),907.0)</f>
        <v>907</v>
      </c>
      <c r="D1730" s="2" t="str">
        <f>IFERROR(__xludf.DUMMYFUNCTION("""COMPUTED_VALUE"""),"CX")</f>
        <v>CX</v>
      </c>
      <c r="E1730" s="2" t="str">
        <f>IFERROR(__xludf.DUMMYFUNCTION("""COMPUTED_VALUE"""),"火21")</f>
        <v>火21</v>
      </c>
      <c r="F1730" s="2" t="s">
        <v>3105</v>
      </c>
      <c r="G1730" s="2" t="s">
        <v>3115</v>
      </c>
      <c r="H1730" s="1">
        <v>4.0</v>
      </c>
      <c r="I1730" s="1" t="s">
        <v>14</v>
      </c>
      <c r="J1730" s="1" t="s">
        <v>11</v>
      </c>
      <c r="K1730" s="2" t="s">
        <v>5517</v>
      </c>
      <c r="L1730" s="2" t="s">
        <v>5518</v>
      </c>
      <c r="M1730" s="2" t="str">
        <f>IFERROR(__xludf.DUMMYFUNCTION("split(split(K1730,""江口洋介　"",false),""公式LINE"",false)"),"進藤(江口洋介)に付いている研修医・工藤(石田卓也)は、進藤のやり方について行けないと、澤井(ユースケ・サンタマリア)に指導医の変更を求め直談判する。楓(松嶋菜々子)は、工藤が進藤に反発する様子を見てアドバイスをしようとするが、工藤は受け入れない。  　千夏(北乃きい)は、人の死に慣れてきている自分に不安を感じていることを紗江子(木村多江)に打ち明ける。そんな中、千夏は骨折で運ばれてきた喜久代(佐々木すみ江)が認知症であることに気づく。1年前に事故で孫を亡くしたことを忘れている喜久代に、どう接したら良いの"&amp;"か迷う千夏。喜久代は、喘息の発作で運ばれてきた少年・博明(澁谷武尊)を自分の孫だと思い込み、博明もその思い込みに合わせていた。  　博明がまた発作を起こした。進藤を呼ぼうとする千夏を制止し、処置をする工藤。ところがその診断が間違っていて、博明は呼吸停止に・・・!その様子を見ていた喜久代は!?")</f>
        <v>進藤(江口洋介)に付いている研修医・工藤(石田卓也)は、進藤のやり方について行けないと、澤井(ユースケ・サンタマリア)に指導医の変更を求め直談判する。楓(松嶋菜々子)は、工藤が進藤に反発する様子を見てアドバイスをしようとするが、工藤は受け入れない。  　千夏(北乃きい)は、人の死に慣れてきている自分に不安を感じていることを紗江子(木村多江)に打ち明ける。そんな中、千夏は骨折で運ばれてきた喜久代(佐々木すみ江)が認知症であることに気づく。1年前に事故で孫を亡くしたことを忘れている喜久代に、どう接したら良いのか迷う千夏。喜久代は、喘息の発作で運ばれてきた少年・博明(澁谷武尊)を自分の孫だと思い込み、博明もその思い込みに合わせていた。  　博明がまた発作を起こした。進藤を呼ぼうとする千夏を制止し、処置をする工藤。ところがその診断が間違っていて、博明は呼吸停止に・・・!その様子を見ていた喜久代は!?</v>
      </c>
      <c r="N1730" s="2"/>
      <c r="O1730" s="2"/>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row>
    <row r="1731" ht="204.75" customHeight="1">
      <c r="A1731" s="1">
        <v>5097.0</v>
      </c>
      <c r="B1731" s="2" t="s">
        <v>5510</v>
      </c>
      <c r="C1731" s="2">
        <f>IFERROR(__xludf.DUMMYFUNCTION("split(B1731,""_"")"),907.0)</f>
        <v>907</v>
      </c>
      <c r="D1731" s="2" t="str">
        <f>IFERROR(__xludf.DUMMYFUNCTION("""COMPUTED_VALUE"""),"CX")</f>
        <v>CX</v>
      </c>
      <c r="E1731" s="2" t="str">
        <f>IFERROR(__xludf.DUMMYFUNCTION("""COMPUTED_VALUE"""),"火21")</f>
        <v>火21</v>
      </c>
      <c r="F1731" s="2" t="s">
        <v>3105</v>
      </c>
      <c r="G1731" s="2" t="s">
        <v>3118</v>
      </c>
      <c r="H1731" s="1">
        <v>5.0</v>
      </c>
      <c r="I1731" s="1" t="s">
        <v>17</v>
      </c>
      <c r="J1731" s="1" t="s">
        <v>11</v>
      </c>
      <c r="K1731" s="2" t="s">
        <v>5519</v>
      </c>
      <c r="L1731" s="2" t="s">
        <v>5520</v>
      </c>
      <c r="M1731" s="2" t="str">
        <f>IFERROR(__xludf.DUMMYFUNCTION("split(split(K1731,""江口洋介　"",false),""公式LINE"",false)"),"楓(松嶋菜々子)の母、梓(赤座美代子)が病院を訪れた。裁判のこともあり、楓が震災で婚約者を亡くしてから1人でいることを心配していると言う。楓は複雑な思いで・・・。  　子供がいることを同僚たちに隠して仕事をしている紗江子(木村多江)は、このところ残業が続いていた。その日も急患で遅くなることを電話すると、5歳の息子、剛史(浜多恵韻)は怒って電話を切ってしまう。動揺した紗江子は患者の処置でケアレスミスをし、進藤(江口洋介)に叱責される。  　楓が担当した腰痛の患者、柏木聡子(りりィ)が、検査の結果、末期のすい"&amp;"臓がんであることが判明した。1人暮らしで家族がいないという聡子への告知を楓はちゅうちょするが、進藤に「自分が同じ立場だったら」と問いかけられ、聡子と向き合う決心をする。  　そんな時、高所から落ちた剛史が救命センターへ運び込まれてきた。驚く紗江子。その原因を知って・・・!?")</f>
        <v>楓(松嶋菜々子)の母、梓(赤座美代子)が病院を訪れた。裁判のこともあり、楓が震災で婚約者を亡くしてから1人でいることを心配していると言う。楓は複雑な思いで・・・。  　子供がいることを同僚たちに隠して仕事をしている紗江子(木村多江)は、このところ残業が続いていた。その日も急患で遅くなることを電話すると、5歳の息子、剛史(浜多恵韻)は怒って電話を切ってしまう。動揺した紗江子は患者の処置でケアレスミスをし、進藤(江口洋介)に叱責される。  　楓が担当した腰痛の患者、柏木聡子(りりィ)が、検査の結果、末期のすい臓がんであることが判明した。1人暮らしで家族がいないという聡子への告知を楓はちゅうちょするが、進藤に「自分が同じ立場だったら」と問いかけられ、聡子と向き合う決心をする。  　そんな時、高所から落ちた剛史が救命センターへ運び込まれてきた。驚く紗江子。その原因を知って・・・!?</v>
      </c>
      <c r="N1731" s="2"/>
      <c r="O1731" s="2"/>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row>
    <row r="1732" ht="204.75" customHeight="1">
      <c r="A1732" s="1">
        <v>5098.0</v>
      </c>
      <c r="B1732" s="2" t="s">
        <v>5510</v>
      </c>
      <c r="C1732" s="2">
        <f>IFERROR(__xludf.DUMMYFUNCTION("split(B1732,""_"")"),907.0)</f>
        <v>907</v>
      </c>
      <c r="D1732" s="2" t="str">
        <f>IFERROR(__xludf.DUMMYFUNCTION("""COMPUTED_VALUE"""),"CX")</f>
        <v>CX</v>
      </c>
      <c r="E1732" s="2" t="str">
        <f>IFERROR(__xludf.DUMMYFUNCTION("""COMPUTED_VALUE"""),"火21")</f>
        <v>火21</v>
      </c>
      <c r="F1732" s="2" t="s">
        <v>3105</v>
      </c>
      <c r="G1732" s="2" t="s">
        <v>3121</v>
      </c>
      <c r="H1732" s="1">
        <v>6.0</v>
      </c>
      <c r="I1732" s="1" t="s">
        <v>21</v>
      </c>
      <c r="J1732" s="1" t="s">
        <v>11</v>
      </c>
      <c r="K1732" s="2" t="s">
        <v>5521</v>
      </c>
      <c r="L1732" s="2" t="s">
        <v>5522</v>
      </c>
      <c r="M1732" s="2" t="str">
        <f>IFERROR(__xludf.DUMMYFUNCTION("split(split(K1732,""江口洋介　"",false),""公式LINE"",false)"),"硫化水素で自殺を図った女性、由梨(野村佑香)が運ばれてきた。進藤(江口洋介)、楓(松嶋菜々子)らは、他の患者への影響を避けるため、駐車場で処置をする。同じ頃、手のひらから血を流した男、浅越(水橋研二)が救命センターを訪れていたが、澤井(ユースケ・サンタマリア)が外来へ行くよう促していた。  　その後、救命センターのホットラインにいたずら電話が相次いでかかってくるようになった。その原因に気づいた楓らは・・・!?  　そんな中、国会議員の岡部(佐戸井けん太)が心筋梗塞で倒れ、運び込まれてきた。澤井が付き添って"&amp;"いる。岡部は、救命医療改革の独立行政法人の諮問委員に澤井を勧誘していたのだ。進藤と澤井の連携プレーで岡部は一命をとりとめ、ICUに移された。  　意識が戻った由梨が「殺される!」と叫び、逃げだそうと暴れ出した。自殺ではなかったと悟った進藤らは、警察へ連絡を取り、由梨を外科病棟へ移そうとストレッチャーを押して廊下へ。ところがそこには浅越がバケツとナイフを持って立ちはだかっていた。")</f>
        <v>硫化水素で自殺を図った女性、由梨(野村佑香)が運ばれてきた。進藤(江口洋介)、楓(松嶋菜々子)らは、他の患者への影響を避けるため、駐車場で処置をする。同じ頃、手のひらから血を流した男、浅越(水橋研二)が救命センターを訪れていたが、澤井(ユースケ・サンタマリア)が外来へ行くよう促していた。  　その後、救命センターのホットラインにいたずら電話が相次いでかかってくるようになった。その原因に気づいた楓らは・・・!?  　そんな中、国会議員の岡部(佐戸井けん太)が心筋梗塞で倒れ、運び込まれてきた。澤井が付き添っている。岡部は、救命医療改革の独立行政法人の諮問委員に澤井を勧誘していたのだ。進藤と澤井の連携プレーで岡部は一命をとりとめ、ICUに移された。  　意識が戻った由梨が「殺される!」と叫び、逃げだそうと暴れ出した。自殺ではなかったと悟った進藤らは、警察へ連絡を取り、由梨を外科病棟へ移そうとストレッチャーを押して廊下へ。ところがそこには浅越がバケツとナイフを持って立ちはだかっていた。</v>
      </c>
      <c r="N1732" s="2"/>
      <c r="O1732" s="2"/>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row>
    <row r="1733" ht="204.75" customHeight="1">
      <c r="A1733" s="1">
        <v>5099.0</v>
      </c>
      <c r="B1733" s="2" t="s">
        <v>5510</v>
      </c>
      <c r="C1733" s="2">
        <f>IFERROR(__xludf.DUMMYFUNCTION("split(B1733,""_"")"),907.0)</f>
        <v>907</v>
      </c>
      <c r="D1733" s="2" t="str">
        <f>IFERROR(__xludf.DUMMYFUNCTION("""COMPUTED_VALUE"""),"CX")</f>
        <v>CX</v>
      </c>
      <c r="E1733" s="2" t="str">
        <f>IFERROR(__xludf.DUMMYFUNCTION("""COMPUTED_VALUE"""),"火21")</f>
        <v>火21</v>
      </c>
      <c r="F1733" s="2" t="s">
        <v>3105</v>
      </c>
      <c r="G1733" s="2" t="s">
        <v>3124</v>
      </c>
      <c r="H1733" s="1">
        <v>7.0</v>
      </c>
      <c r="I1733" s="1" t="s">
        <v>25</v>
      </c>
      <c r="J1733" s="1" t="s">
        <v>1647</v>
      </c>
      <c r="K1733" s="2" t="s">
        <v>5523</v>
      </c>
      <c r="L1733" s="2" t="s">
        <v>5524</v>
      </c>
      <c r="M1733" s="2" t="str">
        <f>IFERROR(__xludf.DUMMYFUNCTION("split(split(K1733,""江口洋介　"",false),""公式LINE"",false)"),"進藤(江口洋介)と楓(松嶋菜々子)は、研修医の工藤(石田卓也)が睡眠導入剤を使っていることを澤井(ユースケ・サンタマリア)から聞かされ驚く。楓は工藤に無理をしないようアドバイスしようとするが、工藤は聞き入れない。そんな中、澤井が病院を辞職する。  　建築現場の事故でドクターカーの派遣要請がきた。澤井によりドクターカーの出動は禁止されていたが、進藤の判断により、楓と工藤、看護師の紗江子(木村多江)と佐伯(西山聡)が現場に向かって行った。  　資材の下敷きになったけが人が2人。楓はすばやく診断して、緊急性のな"&amp;"いと見られる患者を工藤に任せ、重傷の患者とともに救急車で救命センターへ戻った。と、工藤が見ていた患者が急変、工藤は慌てて進藤に電話をして指示をあおぐ。進藤は現場に急行するが・・・。  　数日後、工藤が頭部の裂傷で救命センターに運び込まれてきた。衝撃を受ける進藤、千夏(北乃きい)。理由を知った楓は愕然とする。工藤は一命は取り留めたものの意識は取り戻さないままだ。  　花火工場で火災が発生。大量の花火に引火して爆発を引き起こす事故が起こり、多数のけが人が出た。救命センターへ次々運び込まれてくる患者に楓らは懸命"&amp;"に処置を行う。そこへドクターカーの要請があり進藤が現場へ向かった。  　黒煙が吹き上げる現場で、消防士の退避命令も無視してけが人の処置にあたる進藤。そこへ澤井が現れた。")</f>
        <v>進藤(江口洋介)と楓(松嶋菜々子)は、研修医の工藤(石田卓也)が睡眠導入剤を使っていることを澤井(ユースケ・サンタマリア)から聞かされ驚く。楓は工藤に無理をしないようアドバイスしようとするが、工藤は聞き入れない。そんな中、澤井が病院を辞職する。  　建築現場の事故でドクターカーの派遣要請がきた。澤井によりドクターカーの出動は禁止されていたが、進藤の判断により、楓と工藤、看護師の紗江子(木村多江)と佐伯(西山聡)が現場に向かって行った。  　資材の下敷きになったけが人が2人。楓はすばやく診断して、緊急性のないと見られる患者を工藤に任せ、重傷の患者とともに救急車で救命センターへ戻った。と、工藤が見ていた患者が急変、工藤は慌てて進藤に電話をして指示をあおぐ。進藤は現場に急行するが・・・。  　数日後、工藤が頭部の裂傷で救命センターに運び込まれてきた。衝撃を受ける進藤、千夏(北乃きい)。理由を知った楓は愕然とする。工藤は一命は取り留めたものの意識は取り戻さないままだ。  　花火工場で火災が発生。大量の花火に引火して爆発を引き起こす事故が起こり、多数のけが人が出た。救命センターへ次々運び込まれてくる患者に楓らは懸命に処置を行う。そこへドクターカーの要請があり進藤が現場へ向かった。  　黒煙が吹き上げる現場で、消防士の退避命令も無視してけが人の処置にあたる進藤。そこへ澤井が現れた。</v>
      </c>
      <c r="N1733" s="2"/>
      <c r="O1733" s="2"/>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row>
    <row r="1734" ht="204.75" customHeight="1">
      <c r="A1734" s="1">
        <v>5100.0</v>
      </c>
      <c r="B1734" s="2" t="s">
        <v>5525</v>
      </c>
      <c r="C1734" s="2">
        <f>IFERROR(__xludf.DUMMYFUNCTION("split(B1734,""_"")"),907.0)</f>
        <v>907</v>
      </c>
      <c r="D1734" s="2" t="str">
        <f>IFERROR(__xludf.DUMMYFUNCTION("""COMPUTED_VALUE"""),"CX")</f>
        <v>CX</v>
      </c>
      <c r="E1734" s="2" t="str">
        <f>IFERROR(__xludf.DUMMYFUNCTION("""COMPUTED_VALUE"""),"火22")</f>
        <v>火22</v>
      </c>
      <c r="F1734" s="2" t="s">
        <v>5526</v>
      </c>
      <c r="G1734" s="2" t="s">
        <v>5527</v>
      </c>
      <c r="H1734" s="1">
        <v>1.0</v>
      </c>
      <c r="I1734" s="1" t="s">
        <v>3</v>
      </c>
      <c r="J1734" s="1" t="s">
        <v>82</v>
      </c>
      <c r="K1734" s="4" t="s">
        <v>5528</v>
      </c>
      <c r="L1734" s="2" t="s">
        <v>5529</v>
      </c>
      <c r="M1734" s="2" t="str">
        <f>IFERROR(__xludf.DUMMYFUNCTION("split(split(K1734,""中山優馬　 "",false),""公式LINE"",false)"),"今、“ピュア""を忘れているすべての女性たちの心を潤す愛しくもせつない、新たなヴァンパイア伝説がスタート!永遠の命を手に入れるため、獲物を求めて人間界にやってきたヴァンパイアの少年・黒宮ルカ(中山優馬)。彼にとって人間とは、限られた命を感情に振り回されて泣き笑いしながら生きるしかない、愚かで下等な生き物。ところが、まだ愛を知らないルカが初めて恋に落ちた相手とは、なんと軽蔑していた“人間""だった…!　美少年ヴァンパイアと悲しい恋の記憶を抱える高校教師・夏川真琴(加藤ローサ)。運命に導かれて出会った2人の結"&amp;"ばれることを許されない“禁断の恋""の行方は…?　  　この夏、最も注目を浴びるジャニーズの新星・中山優馬が美しくミステリアスなヴァンパイアを演じる、切なくてピュアなラブストーリー!!")</f>
        <v>今、“ピュア"を忘れているすべての女性たちの心を潤す愛しくもせつない、新たなヴァンパイア伝説がスタート!永遠の命を手に入れるため、獲物を求めて人間界にやってきたヴァンパイアの少年・黒宮ルカ(中山優馬)。彼にとって人間とは、限られた命を感情に振り回されて泣き笑いしながら生きるしかない、愚かで下等な生き物。ところが、まだ愛を知らないルカが初めて恋に落ちた相手とは、なんと軽蔑していた“人間"だった…!　美少年ヴァンパイアと悲しい恋の記憶を抱える高校教師・夏川真琴(加藤ローサ)。運命に導かれて出会った2人の結ばれることを許されない“禁断の恋"の行方は…?　  　この夏、最も注目を浴びるジャニーズの新星・中山優馬が美しくミステリアスなヴァンパイアを演じる、切なくてピュアなラブストーリー!!</v>
      </c>
      <c r="N1734" s="2"/>
      <c r="O1734" s="2"/>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row>
    <row r="1735" ht="204.75" customHeight="1">
      <c r="A1735" s="1">
        <v>5101.0</v>
      </c>
      <c r="B1735" s="2" t="s">
        <v>5525</v>
      </c>
      <c r="C1735" s="2">
        <f>IFERROR(__xludf.DUMMYFUNCTION("split(B1735,""_"")"),907.0)</f>
        <v>907</v>
      </c>
      <c r="D1735" s="2" t="str">
        <f>IFERROR(__xludf.DUMMYFUNCTION("""COMPUTED_VALUE"""),"CX")</f>
        <v>CX</v>
      </c>
      <c r="E1735" s="2" t="str">
        <f>IFERROR(__xludf.DUMMYFUNCTION("""COMPUTED_VALUE"""),"火22")</f>
        <v>火22</v>
      </c>
      <c r="F1735" s="2" t="s">
        <v>5526</v>
      </c>
      <c r="G1735" s="2" t="s">
        <v>5530</v>
      </c>
      <c r="H1735" s="1">
        <v>2.0</v>
      </c>
      <c r="I1735" s="1" t="s">
        <v>7</v>
      </c>
      <c r="J1735" s="1" t="s">
        <v>86</v>
      </c>
      <c r="K1735" s="2" t="s">
        <v>5531</v>
      </c>
      <c r="L1735" s="2" t="s">
        <v>5532</v>
      </c>
      <c r="M1735" s="2" t="str">
        <f>IFERROR(__xludf.DUMMYFUNCTION("split(split(K1735,""中山優馬　 "",false),""公式LINE"",false)"),"せつなくてほろ苦い禁断の恋、ピュアを忘れているあなたに送る胸キュンドラマの第2話-。  　魅力あふれる美少年ヴァンパイアを演じるのは、ジャニーズの新星・中山優馬。ヴァンパイアの黒宮ルカ(中山)は、永遠の命を手に入れるため、お目付役のカイト(近藤真彦)の後見で獲物を求めて人間界にやってきた。そんなルカは、誰とも打ち解けようとせずにいた。人間嫌いのルカは真の愛を見つけることはできるのか・・・?　ついにヴァンパイアの証である牙がルカの口元に現れた!  しかし、血を吸いたい衝動を感じた運命の相手は、ルカが最もうっ"&amp;"とうしく感じていた人間、担任教師の真琴(加藤ローサ)だった・・・。  　しかし結局は血を吸えず、カイトにとがめられる。そんな中、ルカは図書室で、ひとり調べ物をする香織(桜庭ななみ)に接近する!")</f>
        <v>せつなくてほろ苦い禁断の恋、ピュアを忘れているあなたに送る胸キュンドラマの第2話-。  　魅力あふれる美少年ヴァンパイアを演じるのは、ジャニーズの新星・中山優馬。ヴァンパイアの黒宮ルカ(中山)は、永遠の命を手に入れるため、お目付役のカイト(近藤真彦)の後見で獲物を求めて人間界にやってきた。そんなルカは、誰とも打ち解けようとせずにいた。人間嫌いのルカは真の愛を見つけることはできるのか・・・?　ついにヴァンパイアの証である牙がルカの口元に現れた!  しかし、血を吸いたい衝動を感じた運命の相手は、ルカが最もうっとうしく感じていた人間、担任教師の真琴(加藤ローサ)だった・・・。  　しかし結局は血を吸えず、カイトにとがめられる。そんな中、ルカは図書室で、ひとり調べ物をする香織(桜庭ななみ)に接近する!</v>
      </c>
      <c r="N1735" s="2"/>
      <c r="O1735" s="2"/>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row>
    <row r="1736" ht="204.75" customHeight="1">
      <c r="A1736" s="1">
        <v>5102.0</v>
      </c>
      <c r="B1736" s="2" t="s">
        <v>5525</v>
      </c>
      <c r="C1736" s="2">
        <f>IFERROR(__xludf.DUMMYFUNCTION("split(B1736,""_"")"),907.0)</f>
        <v>907</v>
      </c>
      <c r="D1736" s="2" t="str">
        <f>IFERROR(__xludf.DUMMYFUNCTION("""COMPUTED_VALUE"""),"CX")</f>
        <v>CX</v>
      </c>
      <c r="E1736" s="2" t="str">
        <f>IFERROR(__xludf.DUMMYFUNCTION("""COMPUTED_VALUE"""),"火22")</f>
        <v>火22</v>
      </c>
      <c r="F1736" s="2" t="s">
        <v>5526</v>
      </c>
      <c r="G1736" s="2" t="s">
        <v>5533</v>
      </c>
      <c r="H1736" s="1">
        <v>3.0</v>
      </c>
      <c r="I1736" s="1" t="s">
        <v>10</v>
      </c>
      <c r="J1736" s="1" t="s">
        <v>86</v>
      </c>
      <c r="K1736" s="2" t="s">
        <v>5534</v>
      </c>
      <c r="L1736" s="2" t="s">
        <v>5535</v>
      </c>
      <c r="M1736" s="2" t="str">
        <f>IFERROR(__xludf.DUMMYFUNCTION("split(split(K1736,""中山優馬　 "",false),""公式LINE"",false)"),"次の満月までに真琴(加藤ローサ)の生き血を吸わなければ、塵となって消えてしまうとカイト(近藤真彦)に宣告されたルカ(中山優馬)。今度こそ真琴を襲おうと決心し、チャンスをうかがいながら真琴の後をつける。ところがその行動を見た宏人(中島健人)はルカが真琴に恋していると勘違いし、ひとり盛り上がってしまう。  　同じ頃、将太(森本慎太郎)は「しんじょう」の前をうろつくあやしい男を目撃。これを聞いた母親の敦子(堀内敬子)が激しく動揺するのを見て心配でならない。  　ルカは真琴に近づくため、宏人のアドバイスを聞いてみ"&amp;"るが、気を引くどころか、逆に真琴を怒らせてしまう。焦るルカが最後にとった作戦は・・・?  　一方、あやしい男に呼び出された敦子の後を追いかけてきた将太は思いがけない行動に出る!")</f>
        <v>次の満月までに真琴(加藤ローサ)の生き血を吸わなければ、塵となって消えてしまうとカイト(近藤真彦)に宣告されたルカ(中山優馬)。今度こそ真琴を襲おうと決心し、チャンスをうかがいながら真琴の後をつける。ところがその行動を見た宏人(中島健人)はルカが真琴に恋していると勘違いし、ひとり盛り上がってしまう。  　同じ頃、将太(森本慎太郎)は「しんじょう」の前をうろつくあやしい男を目撃。これを聞いた母親の敦子(堀内敬子)が激しく動揺するのを見て心配でならない。  　ルカは真琴に近づくため、宏人のアドバイスを聞いてみるが、気を引くどころか、逆に真琴を怒らせてしまう。焦るルカが最後にとった作戦は・・・?  　一方、あやしい男に呼び出された敦子の後を追いかけてきた将太は思いがけない行動に出る!</v>
      </c>
      <c r="N1736" s="2"/>
      <c r="O1736" s="2"/>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row>
    <row r="1737" ht="204.75" customHeight="1">
      <c r="A1737" s="1">
        <v>5103.0</v>
      </c>
      <c r="B1737" s="2" t="s">
        <v>5525</v>
      </c>
      <c r="C1737" s="2">
        <f>IFERROR(__xludf.DUMMYFUNCTION("split(B1737,""_"")"),907.0)</f>
        <v>907</v>
      </c>
      <c r="D1737" s="2" t="str">
        <f>IFERROR(__xludf.DUMMYFUNCTION("""COMPUTED_VALUE"""),"CX")</f>
        <v>CX</v>
      </c>
      <c r="E1737" s="2" t="str">
        <f>IFERROR(__xludf.DUMMYFUNCTION("""COMPUTED_VALUE"""),"火22")</f>
        <v>火22</v>
      </c>
      <c r="F1737" s="2" t="s">
        <v>5526</v>
      </c>
      <c r="G1737" s="2" t="s">
        <v>5536</v>
      </c>
      <c r="H1737" s="1">
        <v>4.0</v>
      </c>
      <c r="I1737" s="1" t="s">
        <v>14</v>
      </c>
      <c r="J1737" s="1" t="s">
        <v>86</v>
      </c>
      <c r="K1737" s="2" t="s">
        <v>5537</v>
      </c>
      <c r="L1737" s="2" t="s">
        <v>5538</v>
      </c>
      <c r="M1737" s="2" t="str">
        <f>IFERROR(__xludf.DUMMYFUNCTION("split(split(K1737,""中山優馬　 "",false),""公式LINE"",false)"),"真琴(加藤ローサ)の血を吸おうとしたにも関わらず、牙が消えてしまった。その理由がわからず戸惑うルカ(中山優馬)は、真琴に恋をしたに違いないとカイト(近藤真彦)に指摘され、強く反発する。しかしカイトの言葉が気になり、真琴を意識してしまうルカ。そんな中、香織(桜庭ななみ)から演劇部で上演する芝居に出てほしいと頼まれる。　その頃、レストランで真琴と食事をしていた藤井(姜暢雄)は、偶然拾った真琴の落とし物を取り出し、話を切り出す。それは真琴と10年前に亡くなった歩の2ショット写真だった。そして店を出た2人を密かに"&amp;"目撃していたルカは・・・。")</f>
        <v>真琴(加藤ローサ)の血を吸おうとしたにも関わらず、牙が消えてしまった。その理由がわからず戸惑うルカ(中山優馬)は、真琴に恋をしたに違いないとカイト(近藤真彦)に指摘され、強く反発する。しかしカイトの言葉が気になり、真琴を意識してしまうルカ。そんな中、香織(桜庭ななみ)から演劇部で上演する芝居に出てほしいと頼まれる。　その頃、レストランで真琴と食事をしていた藤井(姜暢雄)は、偶然拾った真琴の落とし物を取り出し、話を切り出す。それは真琴と10年前に亡くなった歩の2ショット写真だった。そして店を出た2人を密かに目撃していたルカは・・・。</v>
      </c>
      <c r="N1737" s="2"/>
      <c r="O1737" s="2"/>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row>
    <row r="1738" ht="204.75" customHeight="1">
      <c r="A1738" s="1">
        <v>5104.0</v>
      </c>
      <c r="B1738" s="2" t="s">
        <v>5525</v>
      </c>
      <c r="C1738" s="2">
        <f>IFERROR(__xludf.DUMMYFUNCTION("split(B1738,""_"")"),907.0)</f>
        <v>907</v>
      </c>
      <c r="D1738" s="2" t="str">
        <f>IFERROR(__xludf.DUMMYFUNCTION("""COMPUTED_VALUE"""),"CX")</f>
        <v>CX</v>
      </c>
      <c r="E1738" s="2" t="str">
        <f>IFERROR(__xludf.DUMMYFUNCTION("""COMPUTED_VALUE"""),"火22")</f>
        <v>火22</v>
      </c>
      <c r="F1738" s="2" t="s">
        <v>5526</v>
      </c>
      <c r="G1738" s="2" t="s">
        <v>5539</v>
      </c>
      <c r="H1738" s="1">
        <v>5.0</v>
      </c>
      <c r="I1738" s="1" t="s">
        <v>17</v>
      </c>
      <c r="J1738" s="1" t="s">
        <v>86</v>
      </c>
      <c r="K1738" s="2" t="s">
        <v>5540</v>
      </c>
      <c r="L1738" s="2" t="s">
        <v>5541</v>
      </c>
      <c r="M1738" s="2" t="str">
        <f>IFERROR(__xludf.DUMMYFUNCTION("split(split(K1738,""中山優馬　 "",false),""公式LINE"",false)"),"真琴(加藤ローサ)が藤井(姜暢雄)とついに婚約!真琴が結婚する前に血を吸えとカイト(近藤真彦)に急かされるが、それをためらう自分の感情に気づき、途方に暮れるルカ(中山優馬)。学校では、香織(桜庭ななみ)が演劇部の新しい芝居の準備を手伝ってほしいとクラスで呼びかけをし、宏人(中島健人)と直樹(入江甚儀)、そして真琴も手伝うことになるが・・・。　そんな折、校内で顔を合わせた藤井から婚約を報告され、相変わらず誰とも打ち解けない態度をからかわれたルカは、思いもよらない行動に出て真琴やクラスメイトたちを驚かせる。結"&amp;"婚が決まって生き生きしている真琴を切なく見つめ、思い悩むルカ。そんなルカにある変化が現れる・・・!")</f>
        <v>真琴(加藤ローサ)が藤井(姜暢雄)とついに婚約!真琴が結婚する前に血を吸えとカイト(近藤真彦)に急かされるが、それをためらう自分の感情に気づき、途方に暮れるルカ(中山優馬)。学校では、香織(桜庭ななみ)が演劇部の新しい芝居の準備を手伝ってほしいとクラスで呼びかけをし、宏人(中島健人)と直樹(入江甚儀)、そして真琴も手伝うことになるが・・・。　そんな折、校内で顔を合わせた藤井から婚約を報告され、相変わらず誰とも打ち解けない態度をからかわれたルカは、思いもよらない行動に出て真琴やクラスメイトたちを驚かせる。結婚が決まって生き生きしている真琴を切なく見つめ、思い悩むルカ。そんなルカにある変化が現れる・・・!</v>
      </c>
      <c r="N1738" s="2"/>
      <c r="O1738" s="2"/>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row>
    <row r="1739" ht="204.75" customHeight="1">
      <c r="A1739" s="1">
        <v>5105.0</v>
      </c>
      <c r="B1739" s="2" t="s">
        <v>5525</v>
      </c>
      <c r="C1739" s="2">
        <f>IFERROR(__xludf.DUMMYFUNCTION("split(B1739,""_"")"),907.0)</f>
        <v>907</v>
      </c>
      <c r="D1739" s="2" t="str">
        <f>IFERROR(__xludf.DUMMYFUNCTION("""COMPUTED_VALUE"""),"CX")</f>
        <v>CX</v>
      </c>
      <c r="E1739" s="2" t="str">
        <f>IFERROR(__xludf.DUMMYFUNCTION("""COMPUTED_VALUE"""),"火22")</f>
        <v>火22</v>
      </c>
      <c r="F1739" s="2" t="s">
        <v>5526</v>
      </c>
      <c r="G1739" s="2" t="s">
        <v>5542</v>
      </c>
      <c r="H1739" s="1">
        <v>6.0</v>
      </c>
      <c r="I1739" s="1" t="s">
        <v>21</v>
      </c>
      <c r="J1739" s="1" t="s">
        <v>82</v>
      </c>
      <c r="K1739" s="2" t="s">
        <v>5543</v>
      </c>
      <c r="L1739" s="2" t="s">
        <v>5544</v>
      </c>
      <c r="M1739" s="2" t="str">
        <f>IFERROR(__xludf.DUMMYFUNCTION("split(split(K1739,""中山優馬　 "",false),""公式LINE"",false)"),"言い掛かりをつけてきた男たちをヴァンパイアの力でなぎ倒し、バケモノだと罵られたルカ(中山優馬)は、駆けつけた真琴(加藤ローサ)を「もう顔も見たくない」と冷たく遠ざけようとする。  力尽きて倒れていたところを、カイト(近藤真彦)に助けられたルカは、悪夢にうなされていた。その様子を、カイトは複雑な表情で見つめていた。人間にとってヴァンパイアは不気味な“バケモノ""にすぎない・・・。真琴へのほのかな思いを打ち砕かれ、苦悩するルカに、カイトは恐れていたある事態が起こっているのを察していた!")</f>
        <v>言い掛かりをつけてきた男たちをヴァンパイアの力でなぎ倒し、バケモノだと罵られたルカ(中山優馬)は、駆けつけた真琴(加藤ローサ)を「もう顔も見たくない」と冷たく遠ざけようとする。  力尽きて倒れていたところを、カイト(近藤真彦)に助けられたルカは、悪夢にうなされていた。その様子を、カイトは複雑な表情で見つめていた。人間にとってヴァンパイアは不気味な“バケモノ"にすぎない・・・。真琴へのほのかな思いを打ち砕かれ、苦悩するルカに、カイトは恐れていたある事態が起こっているのを察していた!</v>
      </c>
      <c r="N1739" s="2"/>
      <c r="O1739" s="2"/>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row>
    <row r="1740" ht="204.75" customHeight="1">
      <c r="A1740" s="1">
        <v>5106.0</v>
      </c>
      <c r="B1740" s="2" t="s">
        <v>5525</v>
      </c>
      <c r="C1740" s="2">
        <f>IFERROR(__xludf.DUMMYFUNCTION("split(B1740,""_"")"),907.0)</f>
        <v>907</v>
      </c>
      <c r="D1740" s="2" t="str">
        <f>IFERROR(__xludf.DUMMYFUNCTION("""COMPUTED_VALUE"""),"CX")</f>
        <v>CX</v>
      </c>
      <c r="E1740" s="2" t="str">
        <f>IFERROR(__xludf.DUMMYFUNCTION("""COMPUTED_VALUE"""),"火22")</f>
        <v>火22</v>
      </c>
      <c r="F1740" s="2" t="s">
        <v>5526</v>
      </c>
      <c r="G1740" s="2" t="s">
        <v>5545</v>
      </c>
      <c r="H1740" s="1">
        <v>7.0</v>
      </c>
      <c r="I1740" s="1" t="s">
        <v>25</v>
      </c>
      <c r="J1740" s="1" t="s">
        <v>86</v>
      </c>
      <c r="K1740" s="2" t="s">
        <v>5546</v>
      </c>
      <c r="L1740" s="2" t="s">
        <v>5547</v>
      </c>
      <c r="M1740" s="2" t="str">
        <f>IFERROR(__xludf.DUMMYFUNCTION("split(split(K1740,""中山優馬　 "",false),""公式LINE"",false)"),"ルカ(中山優馬)が弾くピアノから、ルカが歩だと直感した真琴(加藤ローサ)。だがルカは、真実を確かめようとする真琴を避け続ける。そんなルカに、「おまえにできる愛情表現は血を吸うこと以外ない」とうながすカイト(近藤真彦)には秘めた決意があった。そんな中、藤井(姜暢雄)から婚約指輪を贈られた真琴は、歩と真琴だけしか知らない“秘密の約束""を思い出し、その秘密をルカにほのめかす。翌日、その秘密の場所に出かけたルカはそこで真琴に出くわす。もはや隠すこともできなくなり、歩として真琴を抱きしめたルカ。  10年前に戻っ"&amp;"たかのように、2人はデートを楽しみ、夢のような時間を過ごすのだった。ところが、この幸せなひとときが真琴を窮地に追い込む“事件""を招く。")</f>
        <v>ルカ(中山優馬)が弾くピアノから、ルカが歩だと直感した真琴(加藤ローサ)。だがルカは、真実を確かめようとする真琴を避け続ける。そんなルカに、「おまえにできる愛情表現は血を吸うこと以外ない」とうながすカイト(近藤真彦)には秘めた決意があった。そんな中、藤井(姜暢雄)から婚約指輪を贈られた真琴は、歩と真琴だけしか知らない“秘密の約束"を思い出し、その秘密をルカにほのめかす。翌日、その秘密の場所に出かけたルカはそこで真琴に出くわす。もはや隠すこともできなくなり、歩として真琴を抱きしめたルカ。  10年前に戻ったかのように、2人はデートを楽しみ、夢のような時間を過ごすのだった。ところが、この幸せなひとときが真琴を窮地に追い込む“事件"を招く。</v>
      </c>
      <c r="N1740" s="2"/>
      <c r="O1740" s="2"/>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row>
    <row r="1741" ht="204.75" customHeight="1">
      <c r="A1741" s="1">
        <v>5107.0</v>
      </c>
      <c r="B1741" s="2" t="s">
        <v>5525</v>
      </c>
      <c r="C1741" s="2">
        <f>IFERROR(__xludf.DUMMYFUNCTION("split(B1741,""_"")"),907.0)</f>
        <v>907</v>
      </c>
      <c r="D1741" s="2" t="str">
        <f>IFERROR(__xludf.DUMMYFUNCTION("""COMPUTED_VALUE"""),"CX")</f>
        <v>CX</v>
      </c>
      <c r="E1741" s="2" t="str">
        <f>IFERROR(__xludf.DUMMYFUNCTION("""COMPUTED_VALUE"""),"火22")</f>
        <v>火22</v>
      </c>
      <c r="F1741" s="2" t="s">
        <v>5526</v>
      </c>
      <c r="G1741" s="2" t="s">
        <v>5548</v>
      </c>
      <c r="H1741" s="1">
        <v>8.0</v>
      </c>
      <c r="I1741" s="1" t="s">
        <v>29</v>
      </c>
      <c r="J1741" s="1" t="s">
        <v>86</v>
      </c>
      <c r="K1741" s="2" t="s">
        <v>5549</v>
      </c>
      <c r="L1741" s="2" t="s">
        <v>5550</v>
      </c>
      <c r="M1741" s="2" t="str">
        <f>IFERROR(__xludf.DUMMYFUNCTION("split(split(K1741,""中山優馬　 "",false),""公式LINE"",false)"),"真琴(加藤ローサ)はルカ(中山優馬)の姿が写真に写っていないことに不審を抱く。翌朝、小早川と名乗る男(横山裕)が学校に現れた。訝しがる藤井(姜暢雄)を瞬時に惑わし、突然教師として高校にのり込んできた小早川は、美しい容姿で女子生徒たちの注目の的となる。  　しかし一方、その日以来、生徒たちの様子に異変が起こり始め…。生徒の異常に気づき小早川に疑惑を向けるが、なす術もない真琴。　突然ルカの前に現れ、カイト(近藤真彦)とも因縁の深そうな小早川の正体とは?そして彼は一体何を企んでいるのか…?")</f>
        <v>真琴(加藤ローサ)はルカ(中山優馬)の姿が写真に写っていないことに不審を抱く。翌朝、小早川と名乗る男(横山裕)が学校に現れた。訝しがる藤井(姜暢雄)を瞬時に惑わし、突然教師として高校にのり込んできた小早川は、美しい容姿で女子生徒たちの注目の的となる。  　しかし一方、その日以来、生徒たちの様子に異変が起こり始め…。生徒の異常に気づき小早川に疑惑を向けるが、なす術もない真琴。　突然ルカの前に現れ、カイト(近藤真彦)とも因縁の深そうな小早川の正体とは?そして彼は一体何を企んでいるのか…?</v>
      </c>
      <c r="N1741" s="2"/>
      <c r="O1741" s="2"/>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row>
    <row r="1742" ht="204.75" customHeight="1">
      <c r="A1742" s="1">
        <v>5108.0</v>
      </c>
      <c r="B1742" s="2" t="s">
        <v>5525</v>
      </c>
      <c r="C1742" s="2">
        <f>IFERROR(__xludf.DUMMYFUNCTION("split(B1742,""_"")"),907.0)</f>
        <v>907</v>
      </c>
      <c r="D1742" s="2" t="str">
        <f>IFERROR(__xludf.DUMMYFUNCTION("""COMPUTED_VALUE"""),"CX")</f>
        <v>CX</v>
      </c>
      <c r="E1742" s="2" t="str">
        <f>IFERROR(__xludf.DUMMYFUNCTION("""COMPUTED_VALUE"""),"火22")</f>
        <v>火22</v>
      </c>
      <c r="F1742" s="2" t="s">
        <v>5526</v>
      </c>
      <c r="G1742" s="2" t="s">
        <v>5551</v>
      </c>
      <c r="H1742" s="1">
        <v>9.0</v>
      </c>
      <c r="I1742" s="1" t="s">
        <v>33</v>
      </c>
      <c r="J1742" s="1" t="s">
        <v>86</v>
      </c>
      <c r="K1742" s="2" t="s">
        <v>5552</v>
      </c>
      <c r="L1742" s="2" t="s">
        <v>5553</v>
      </c>
      <c r="M1742" s="2" t="str">
        <f>IFERROR(__xludf.DUMMYFUNCTION("split(split(K1742,""中山優馬　 "",false),""公式LINE"",false)"),"ルカ(中山優馬)にヴァンパイアであることを告白され、がく然とする真琴(加藤ローサ)。やがてその事実を受け止め、ルカと向き合う決意をするが、やはり人間の生き血を吸うヴァンパイアを恐れる気持ちが拭えず苦しんでいた。  　一方、ルカの体には重大な異変が起こっていた。自分におびえるルカに、カイト(近藤真彦)はタイムリミットが近づいていると告げる。ルカの体は迫り来る死を予感し、意志に逆らって血を求め始めていた。カイトは、一刻も早く真琴の血を吸うようルカを急かす。逃れようのないヴァンパイアの宿命がルカに突きつけられて"&amp;"いたその頃、真琴はある決心をする。")</f>
        <v>ルカ(中山優馬)にヴァンパイアであることを告白され、がく然とする真琴(加藤ローサ)。やがてその事実を受け止め、ルカと向き合う決意をするが、やはり人間の生き血を吸うヴァンパイアを恐れる気持ちが拭えず苦しんでいた。  　一方、ルカの体には重大な異変が起こっていた。自分におびえるルカに、カイト(近藤真彦)はタイムリミットが近づいていると告げる。ルカの体は迫り来る死を予感し、意志に逆らって血を求め始めていた。カイトは、一刻も早く真琴の血を吸うようルカを急かす。逃れようのないヴァンパイアの宿命がルカに突きつけられていたその頃、真琴はある決心をする。</v>
      </c>
      <c r="N1742" s="2"/>
      <c r="O1742" s="2"/>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row>
    <row r="1743" ht="204.75" customHeight="1">
      <c r="A1743" s="1">
        <v>5109.0</v>
      </c>
      <c r="B1743" s="2" t="s">
        <v>5525</v>
      </c>
      <c r="C1743" s="2">
        <f>IFERROR(__xludf.DUMMYFUNCTION("split(B1743,""_"")"),907.0)</f>
        <v>907</v>
      </c>
      <c r="D1743" s="2" t="str">
        <f>IFERROR(__xludf.DUMMYFUNCTION("""COMPUTED_VALUE"""),"CX")</f>
        <v>CX</v>
      </c>
      <c r="E1743" s="2" t="str">
        <f>IFERROR(__xludf.DUMMYFUNCTION("""COMPUTED_VALUE"""),"火22")</f>
        <v>火22</v>
      </c>
      <c r="F1743" s="2" t="s">
        <v>5526</v>
      </c>
      <c r="G1743" s="2" t="s">
        <v>5554</v>
      </c>
      <c r="H1743" s="1">
        <v>10.0</v>
      </c>
      <c r="I1743" s="1" t="s">
        <v>37</v>
      </c>
      <c r="J1743" s="1" t="s">
        <v>86</v>
      </c>
      <c r="K1743" s="2" t="s">
        <v>5555</v>
      </c>
      <c r="L1743" s="2" t="s">
        <v>5556</v>
      </c>
      <c r="M1743" s="2" t="str">
        <f>IFERROR(__xludf.DUMMYFUNCTION("split(split(K1743,""中山優馬　 "",false),""公式LINE"",false)"),"満月の夜は明日に迫り、衰弱しきったルカ(中山優馬)に「私の血を吸って」と身を差し出そうとする真琴(加藤ローサ)。ルカは暴れ出すヴァンパイアの本能と必死に戦いながら、真琴に牙を立てまいともがき苦しむが…。その頃、藤井(姜暢雄)はあるものを目にし驚愕する。真琴のマンションに乗り込み、ルカの正体がわかったと言い放つ藤井。さらに学校でもルカの正体に疑惑を持ち始めた生徒たちが真琴を糾弾し始める。ルカと真琴が窮地に追い込まれる中、ルカはある決断をする。  満月は今夜に迫っていた。")</f>
        <v>満月の夜は明日に迫り、衰弱しきったルカ(中山優馬)に「私の血を吸って」と身を差し出そうとする真琴(加藤ローサ)。ルカは暴れ出すヴァンパイアの本能と必死に戦いながら、真琴に牙を立てまいともがき苦しむが…。その頃、藤井(姜暢雄)はあるものを目にし驚愕する。真琴のマンションに乗り込み、ルカの正体がわかったと言い放つ藤井。さらに学校でもルカの正体に疑惑を持ち始めた生徒たちが真琴を糾弾し始める。ルカと真琴が窮地に追い込まれる中、ルカはある決断をする。  満月は今夜に迫っていた。</v>
      </c>
      <c r="N1743" s="2"/>
      <c r="O1743" s="2"/>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row>
    <row r="1744" ht="204.75" customHeight="1">
      <c r="A1744" s="1">
        <v>5140.0</v>
      </c>
      <c r="B1744" s="2" t="s">
        <v>5557</v>
      </c>
      <c r="C1744" s="2">
        <f>IFERROR(__xludf.DUMMYFUNCTION("split(B1744,""_"")"),907.0)</f>
        <v>907</v>
      </c>
      <c r="D1744" s="2" t="str">
        <f>IFERROR(__xludf.DUMMYFUNCTION("""COMPUTED_VALUE"""),"CX")</f>
        <v>CX</v>
      </c>
      <c r="E1744" s="2" t="str">
        <f>IFERROR(__xludf.DUMMYFUNCTION("""COMPUTED_VALUE"""),"木22")</f>
        <v>木22</v>
      </c>
      <c r="F1744" s="2" t="s">
        <v>5558</v>
      </c>
      <c r="G1744" s="2" t="s">
        <v>5559</v>
      </c>
      <c r="H1744" s="1">
        <v>1.0</v>
      </c>
      <c r="I1744" s="1" t="s">
        <v>3</v>
      </c>
      <c r="J1744" s="1" t="s">
        <v>82</v>
      </c>
      <c r="K1744" s="4" t="s">
        <v>5560</v>
      </c>
      <c r="L1744" s="2" t="s">
        <v>5561</v>
      </c>
      <c r="M1744" s="2" t="str">
        <f>IFERROR(__xludf.DUMMYFUNCTION("split(split(K1744,""草ナギ剛　"",false),""公式LINE"",false)"),"隼会・翼興業組長の翼彦一(草ナギ剛)は、隼会若頭・鷹山組組長の鷹山源助(松平健)から呼び出される。鷹山が、8代目の告別式後に話があると言ったため、彦一は次期若頭に指名されるのでは、と期待していた。  　告別式後、迎えに来たバスに乗り込むと、そこには四方木りこ(黒木メイサ)、鷹山三樹矢(薮宏太)、黒沢五郎(五十嵐隼士)、六車雅人(夕輝壽太)、二本橋賢吾(宇梶剛士)ら、隼会の面々がいた。彦一と同様、指名に期待する面々に、鷹山は「研修」を受けてもらうと切り出す。そして、バスはどういうわけか、「タイヨウ」という老"&amp;"人介護施設に着き、オーナーの園崎康弘(大杉漣)と介護福祉士の和泉零次(山本裕典)が迎えた。「研修」とは、介護ヘルパーとして働くことだったのだ。  　彦一たちは、早速、ヘルパーらとともに、オムツ交換などをするが、まるで対応できない。同じ頃、介護ビジネスで成功を収める「ハートフルバード」社長の羽鳥晶(夏川結衣)は、分刻みのスケジュールをこなしていた。そのため、息子の涼太(加藤清史郎)の苦悩にも気付かず…。  　一方「タイヨウ」の控え室で寝ていた彦一の顔を、倉田チヨ(池内淳子)が覗き込む。チヨには認知症があり、"&amp;"彦一を息子と思い込んでいるのだ。彦一は、そんなチヨを冷たくあしらい部屋を出ようとした。すると、チヨが金を差し出す。息子に小遣いをあげようと手にした金を、彦一はサッと受け取るのだった。")</f>
        <v>隼会・翼興業組長の翼彦一(草ナギ剛)は、隼会若頭・鷹山組組長の鷹山源助(松平健)から呼び出される。鷹山が、8代目の告別式後に話があると言ったため、彦一は次期若頭に指名されるのでは、と期待していた。  　告別式後、迎えに来たバスに乗り込むと、そこには四方木りこ(黒木メイサ)、鷹山三樹矢(薮宏太)、黒沢五郎(五十嵐隼士)、六車雅人(夕輝壽太)、二本橋賢吾(宇梶剛士)ら、隼会の面々がいた。彦一と同様、指名に期待する面々に、鷹山は「研修」を受けてもらうと切り出す。そして、バスはどういうわけか、「タイヨウ」という老人介護施設に着き、オーナーの園崎康弘(大杉漣)と介護福祉士の和泉零次(山本裕典)が迎えた。「研修」とは、介護ヘルパーとして働くことだったのだ。  　彦一たちは、早速、ヘルパーらとともに、オムツ交換などをするが、まるで対応できない。同じ頃、介護ビジネスで成功を収める「ハートフルバード」社長の羽鳥晶(夏川結衣)は、分刻みのスケジュールをこなしていた。そのため、息子の涼太(加藤清史郎)の苦悩にも気付かず…。  　一方「タイヨウ」の控え室で寝ていた彦一の顔を、倉田チヨ(池内淳子)が覗き込む。チヨには認知症があり、彦一を息子と思い込んでいるのだ。彦一は、そんなチヨを冷たくあしらい部屋を出ようとした。すると、チヨが金を差し出す。息子に小遣いをあげようと手にした金を、彦一はサッと受け取るのだった。</v>
      </c>
      <c r="N1744" s="2"/>
      <c r="O1744" s="2"/>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row>
    <row r="1745" ht="204.75" customHeight="1">
      <c r="A1745" s="1">
        <v>5141.0</v>
      </c>
      <c r="B1745" s="2" t="s">
        <v>5557</v>
      </c>
      <c r="C1745" s="2">
        <f>IFERROR(__xludf.DUMMYFUNCTION("split(B1745,""_"")"),907.0)</f>
        <v>907</v>
      </c>
      <c r="D1745" s="2" t="str">
        <f>IFERROR(__xludf.DUMMYFUNCTION("""COMPUTED_VALUE"""),"CX")</f>
        <v>CX</v>
      </c>
      <c r="E1745" s="2" t="str">
        <f>IFERROR(__xludf.DUMMYFUNCTION("""COMPUTED_VALUE"""),"木22")</f>
        <v>木22</v>
      </c>
      <c r="F1745" s="2" t="s">
        <v>5558</v>
      </c>
      <c r="G1745" s="2" t="s">
        <v>5562</v>
      </c>
      <c r="H1745" s="1">
        <v>2.0</v>
      </c>
      <c r="I1745" s="1" t="s">
        <v>7</v>
      </c>
      <c r="J1745" s="1" t="s">
        <v>86</v>
      </c>
      <c r="K1745" s="2" t="s">
        <v>5563</v>
      </c>
      <c r="L1745" s="2" t="s">
        <v>5564</v>
      </c>
      <c r="M1745" s="2" t="str">
        <f>IFERROR(__xludf.DUMMYFUNCTION("split(split(K1745,""草ナギ剛　"",false),""公式LINE"",false)"),"老人介護施設で働く翼彦一(草ナギ剛)は、施設の顧問・羽鳥晶(夏川結衣)の効率最優先の方針に嫌気がさしていた。晶は、スタッフの負担軽減のため、自立歩行の難しい人にはオムツを着用させろ、と言う。介護福祉士・和泉零次(山本裕典)は賛同するが、ヘルパー・美空晴菜(仲里依紗)らは違和感を覚える。  　そんな中、車椅子の入居者・本村幸三(津川雅彦)は、オムツの着用を断固拒否。それでも施設で推奨されているから、と彦一がオムツを履かせようとすると、ステッキで脚を引っ掛けられてしまう。カッとなった彦一は掴みかかるが、本村は"&amp;"動じない。それどころか、ユニフォームの下の刺青を見られてしまう。  　本村は、腕っ節が強い上に乱暴で殴られたヘルパーもいるらしい、と噂を聞いた四方木りこ(黒木メイサ)は、鷹山三樹矢(薮宏太)、黒沢五郎(五十嵐隼士)、六車雅人(夕輝壽太)らに、そんなにやっかいな老人ならば、オムツを履かせたら手柄になるのでは、と話す。早速、りこ、五郎、二本橋賢吾(宇梶剛士)が向かうが、本村を説得することはできない。  　翌日、彦一はオーナー・園崎康弘(大杉漣)から、本村の外出の付き添いを頼まれる。彦一を従えて車椅子で駅に降り"&amp;"立った本村は、さらにバスに乗ると言うと、ステッキをついて立ち上がった。知り合いに車椅子姿を見られるのが嫌だという本村。彦一はため息をつき…。")</f>
        <v>老人介護施設で働く翼彦一(草ナギ剛)は、施設の顧問・羽鳥晶(夏川結衣)の効率最優先の方針に嫌気がさしていた。晶は、スタッフの負担軽減のため、自立歩行の難しい人にはオムツを着用させろ、と言う。介護福祉士・和泉零次(山本裕典)は賛同するが、ヘルパー・美空晴菜(仲里依紗)らは違和感を覚える。  　そんな中、車椅子の入居者・本村幸三(津川雅彦)は、オムツの着用を断固拒否。それでも施設で推奨されているから、と彦一がオムツを履かせようとすると、ステッキで脚を引っ掛けられてしまう。カッとなった彦一は掴みかかるが、本村は動じない。それどころか、ユニフォームの下の刺青を見られてしまう。  　本村は、腕っ節が強い上に乱暴で殴られたヘルパーもいるらしい、と噂を聞いた四方木りこ(黒木メイサ)は、鷹山三樹矢(薮宏太)、黒沢五郎(五十嵐隼士)、六車雅人(夕輝壽太)らに、そんなにやっかいな老人ならば、オムツを履かせたら手柄になるのでは、と話す。早速、りこ、五郎、二本橋賢吾(宇梶剛士)が向かうが、本村を説得することはできない。  　翌日、彦一はオーナー・園崎康弘(大杉漣)から、本村の外出の付き添いを頼まれる。彦一を従えて車椅子で駅に降り立った本村は、さらにバスに乗ると言うと、ステッキをついて立ち上がった。知り合いに車椅子姿を見られるのが嫌だという本村。彦一はため息をつき…。</v>
      </c>
      <c r="N1745" s="2"/>
      <c r="O1745" s="2"/>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row>
    <row r="1746" ht="204.75" customHeight="1">
      <c r="A1746" s="1">
        <v>5142.0</v>
      </c>
      <c r="B1746" s="2" t="s">
        <v>5557</v>
      </c>
      <c r="C1746" s="2">
        <f>IFERROR(__xludf.DUMMYFUNCTION("split(B1746,""_"")"),907.0)</f>
        <v>907</v>
      </c>
      <c r="D1746" s="2" t="str">
        <f>IFERROR(__xludf.DUMMYFUNCTION("""COMPUTED_VALUE"""),"CX")</f>
        <v>CX</v>
      </c>
      <c r="E1746" s="2" t="str">
        <f>IFERROR(__xludf.DUMMYFUNCTION("""COMPUTED_VALUE"""),"木22")</f>
        <v>木22</v>
      </c>
      <c r="F1746" s="2" t="s">
        <v>5558</v>
      </c>
      <c r="G1746" s="2" t="s">
        <v>5565</v>
      </c>
      <c r="H1746" s="1">
        <v>3.0</v>
      </c>
      <c r="I1746" s="1" t="s">
        <v>10</v>
      </c>
      <c r="J1746" s="1" t="s">
        <v>86</v>
      </c>
      <c r="K1746" s="2" t="s">
        <v>5566</v>
      </c>
      <c r="L1746" s="2" t="s">
        <v>5567</v>
      </c>
      <c r="M1746" s="2" t="str">
        <f>IFERROR(__xludf.DUMMYFUNCTION("split(split(K1746,""草ナギ剛　"",false),""公式LINE"",false)"),"翼彦一(草ナギ剛)と四方木りこ(黒木メイサ)は、老人介護施設「タイヨウ」を利用する老人が自宅で虐待されているかもしれないと聞き、その家を訪ねる。応対したのは老人の孫の高志(忍成修吾)で、夕方にも関わらず老人は寝てしまったのだと話す。ところが台所で音がするのを見ると、老婦人・渡辺節子(森康子)が流しでコップを洗おうとしていた。その腕には、赤黒い縄目と思われるアザがあった。施設に戻った彦一とりこは鷹山三樹矢(薮宏太)、黒沢五郎(五十嵐隼士)、六車雅人(夕輝壽太)、二本橋賢吾(宇梶剛士)ら“任侠ヘルパー""と、"&amp;"ヘルパー・和泉零次(山本裕典)に虐待の事実を告げる。しかし、虐待の判断は難しく本人がそれを認めない限り、こちらが勝手に動くことはできないのだという。  　節子が心配なりこは、渡辺家を訪ねるが、節子はインターホン越しに答えるだけだった。それでも通ううちに、節子は少しずつ心を開き始める。そんなりこの来訪を知った孫の高志は、「ハートフルバード」に直接連絡を入れ、今後も同じことが続けば利用を取りやめると話す。施設オーナー・園崎康弘(大杉漣)や和泉らは、対応に頭を悩ませる。  　そんなとき、「ハートフルバード」社長"&amp;"・羽鳥晶(夏川結衣)が現れ、りこの一連の言動を注意する。節子が助けを求めない限り他人のりこには何もできない、と晶から言われるが、それでもりこの気持ちは変わらない。")</f>
        <v>翼彦一(草ナギ剛)と四方木りこ(黒木メイサ)は、老人介護施設「タイヨウ」を利用する老人が自宅で虐待されているかもしれないと聞き、その家を訪ねる。応対したのは老人の孫の高志(忍成修吾)で、夕方にも関わらず老人は寝てしまったのだと話す。ところが台所で音がするのを見ると、老婦人・渡辺節子(森康子)が流しでコップを洗おうとしていた。その腕には、赤黒い縄目と思われるアザがあった。施設に戻った彦一とりこは鷹山三樹矢(薮宏太)、黒沢五郎(五十嵐隼士)、六車雅人(夕輝壽太)、二本橋賢吾(宇梶剛士)ら“任侠ヘルパー"と、ヘルパー・和泉零次(山本裕典)に虐待の事実を告げる。しかし、虐待の判断は難しく本人がそれを認めない限り、こちらが勝手に動くことはできないのだという。  　節子が心配なりこは、渡辺家を訪ねるが、節子はインターホン越しに答えるだけだった。それでも通ううちに、節子は少しずつ心を開き始める。そんなりこの来訪を知った孫の高志は、「ハートフルバード」に直接連絡を入れ、今後も同じことが続けば利用を取りやめると話す。施設オーナー・園崎康弘(大杉漣)や和泉らは、対応に頭を悩ませる。  　そんなとき、「ハートフルバード」社長・羽鳥晶(夏川結衣)が現れ、りこの一連の言動を注意する。節子が助けを求めない限り他人のりこには何もできない、と晶から言われるが、それでもりこの気持ちは変わらない。</v>
      </c>
      <c r="N1746" s="2"/>
      <c r="O1746" s="2"/>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row>
    <row r="1747" ht="204.75" customHeight="1">
      <c r="A1747" s="1">
        <v>5143.0</v>
      </c>
      <c r="B1747" s="2" t="s">
        <v>5557</v>
      </c>
      <c r="C1747" s="2">
        <f>IFERROR(__xludf.DUMMYFUNCTION("split(B1747,""_"")"),907.0)</f>
        <v>907</v>
      </c>
      <c r="D1747" s="2" t="str">
        <f>IFERROR(__xludf.DUMMYFUNCTION("""COMPUTED_VALUE"""),"CX")</f>
        <v>CX</v>
      </c>
      <c r="E1747" s="2" t="str">
        <f>IFERROR(__xludf.DUMMYFUNCTION("""COMPUTED_VALUE"""),"木22")</f>
        <v>木22</v>
      </c>
      <c r="F1747" s="2" t="s">
        <v>5558</v>
      </c>
      <c r="G1747" s="2" t="s">
        <v>5568</v>
      </c>
      <c r="H1747" s="1">
        <v>4.0</v>
      </c>
      <c r="I1747" s="1" t="s">
        <v>14</v>
      </c>
      <c r="J1747" s="1" t="s">
        <v>86</v>
      </c>
      <c r="K1747" s="2" t="s">
        <v>5569</v>
      </c>
      <c r="L1747" s="2" t="s">
        <v>5570</v>
      </c>
      <c r="M1747" s="2" t="str">
        <f>IFERROR(__xludf.DUMMYFUNCTION("split(split(K1747,""草ナギ剛　"",false),""公式LINE"",false)"),"翼彦一(草ナギ剛)と四方木りこ(黒木メイサ)は、顧問・羽鳥晶(夏川結衣)から、「ヘルパーは家族になれない」と言われて以来、利用者との関係性について思いを巡らせていた。美空晴菜(仲里依紗)は、そんな2人が気にかかる。  　そんな折、彦一が車椅子の老婦人・北浦ナツ(島かおり)の散歩の付き添いをしていると、ナツがひとりの女性(山田優)を見つけて声を上げる。ナツが玲子と呼びかけた女性は、ナツがひとり暮らしをしていた頃、自宅に来ていたヘルパーだという。玲子は彦一に、宇野玲子だと名乗る。  　その後、玲子が「タイヨウ"&amp;"」にやってくる。美人で気立てのいい玲子は、施設の利用者だけではなく、施設のオーナー・園崎康弘(大杉漣)や鷹山三樹矢(薮宏太)、黒沢五郎(五十嵐隼士)、二本橋賢吾(宇梶剛士)らからも人気となる。そんなとき、和泉零次(山本裕典)は、ナツが玲子に預金通帳を渡しているのを目撃する。　彦一は壁に向かいキャッチボールの練習をしている羽鳥涼太(加藤清史郎)を見る。彦一に気づき、後を追ってきた涼太に、ケンカした友だちとはどうなったかと尋ねると、涼太は、母親の晶が謝りに言ったと悪びれずに話す。そんな涼太と別れ、歩いていると"&amp;"、通りがかったアパートから老婦人と出てくる玲子の姿を目撃する。老婦人が、玲子を「あゆみ」と呼びかけているのを聞いた彦一は、何かが引っかかり…。")</f>
        <v>翼彦一(草ナギ剛)と四方木りこ(黒木メイサ)は、顧問・羽鳥晶(夏川結衣)から、「ヘルパーは家族になれない」と言われて以来、利用者との関係性について思いを巡らせていた。美空晴菜(仲里依紗)は、そんな2人が気にかかる。  　そんな折、彦一が車椅子の老婦人・北浦ナツ(島かおり)の散歩の付き添いをしていると、ナツがひとりの女性(山田優)を見つけて声を上げる。ナツが玲子と呼びかけた女性は、ナツがひとり暮らしをしていた頃、自宅に来ていたヘルパーだという。玲子は彦一に、宇野玲子だと名乗る。  　その後、玲子が「タイヨウ」にやってくる。美人で気立てのいい玲子は、施設の利用者だけではなく、施設のオーナー・園崎康弘(大杉漣)や鷹山三樹矢(薮宏太)、黒沢五郎(五十嵐隼士)、二本橋賢吾(宇梶剛士)らからも人気となる。そんなとき、和泉零次(山本裕典)は、ナツが玲子に預金通帳を渡しているのを目撃する。　彦一は壁に向かいキャッチボールの練習をしている羽鳥涼太(加藤清史郎)を見る。彦一に気づき、後を追ってきた涼太に、ケンカした友だちとはどうなったかと尋ねると、涼太は、母親の晶が謝りに言ったと悪びれずに話す。そんな涼太と別れ、歩いていると、通りがかったアパートから老婦人と出てくる玲子の姿を目撃する。老婦人が、玲子を「あゆみ」と呼びかけているのを聞いた彦一は、何かが引っかかり…。</v>
      </c>
      <c r="N1747" s="2"/>
      <c r="O1747" s="2"/>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row>
    <row r="1748" ht="204.75" customHeight="1">
      <c r="A1748" s="1">
        <v>5144.0</v>
      </c>
      <c r="B1748" s="2" t="s">
        <v>5557</v>
      </c>
      <c r="C1748" s="2">
        <f>IFERROR(__xludf.DUMMYFUNCTION("split(B1748,""_"")"),907.0)</f>
        <v>907</v>
      </c>
      <c r="D1748" s="2" t="str">
        <f>IFERROR(__xludf.DUMMYFUNCTION("""COMPUTED_VALUE"""),"CX")</f>
        <v>CX</v>
      </c>
      <c r="E1748" s="2" t="str">
        <f>IFERROR(__xludf.DUMMYFUNCTION("""COMPUTED_VALUE"""),"木22")</f>
        <v>木22</v>
      </c>
      <c r="F1748" s="2" t="s">
        <v>5558</v>
      </c>
      <c r="G1748" s="2" t="s">
        <v>5571</v>
      </c>
      <c r="H1748" s="1">
        <v>5.0</v>
      </c>
      <c r="I1748" s="1" t="s">
        <v>17</v>
      </c>
      <c r="J1748" s="1" t="s">
        <v>86</v>
      </c>
      <c r="K1748" s="2" t="s">
        <v>5572</v>
      </c>
      <c r="L1748" s="2" t="s">
        <v>5573</v>
      </c>
      <c r="M1748" s="2" t="str">
        <f>IFERROR(__xludf.DUMMYFUNCTION("split(split(K1748,""草ナギ剛　"",false),""公式LINE"",false)"),"翼彦一(草ナギ剛)は、施設の顧問・羽鳥晶(夏川結衣)に刺青を見られたことを四方木りこ(黒木メイサ)に責められる。彦一は覚悟を決めるが、晶は倒れたのだから早まるなと釘を刺される。  　一方、運ばれた病院で目を覚ました晶は、息子・涼太(加藤清史郎)らの心配もよそに、仕事に戻るといって病院を後にする。  　同じ頃、「タイヨウ」では、恒例の「地域交流会」の出し物を決めようと、和泉零次(山本裕典)、美空晴菜(仲里依紗)と鷹山三樹矢(薮宏太)、黒沢五郎(五十嵐隼士)、六車雅人(夕輝壽太)、二本橋賢吾(宇梶剛士)ら“任"&amp;"侠ヘルパー""が話をしていた。  　そんななか、小澤義男(上田耕一)という男性が「タイヨウ」に運ばれてくる。半身麻痺の小澤は、自宅で妻・さくら(倍賞美津子)に介護されていたが、介護疲れからさくらは自殺未遂を図り、病院に搬送されていたのだ。彦一、りこ、零次が病院を訪ねると、さくらは小澤の面倒を「タイヨウ」で見て欲しいと訴える。なんとか自宅で介護を続けるよう促すが、さくらは拒絶。すると突然、彦一が、その女に他人の世話はできない、と悪態をつき、病室を出て行ってしまう・・・。")</f>
        <v>翼彦一(草ナギ剛)は、施設の顧問・羽鳥晶(夏川結衣)に刺青を見られたことを四方木りこ(黒木メイサ)に責められる。彦一は覚悟を決めるが、晶は倒れたのだから早まるなと釘を刺される。  　一方、運ばれた病院で目を覚ました晶は、息子・涼太(加藤清史郎)らの心配もよそに、仕事に戻るといって病院を後にする。  　同じ頃、「タイヨウ」では、恒例の「地域交流会」の出し物を決めようと、和泉零次(山本裕典)、美空晴菜(仲里依紗)と鷹山三樹矢(薮宏太)、黒沢五郎(五十嵐隼士)、六車雅人(夕輝壽太)、二本橋賢吾(宇梶剛士)ら“任侠ヘルパー"が話をしていた。  　そんななか、小澤義男(上田耕一)という男性が「タイヨウ」に運ばれてくる。半身麻痺の小澤は、自宅で妻・さくら(倍賞美津子)に介護されていたが、介護疲れからさくらは自殺未遂を図り、病院に搬送されていたのだ。彦一、りこ、零次が病院を訪ねると、さくらは小澤の面倒を「タイヨウ」で見て欲しいと訴える。なんとか自宅で介護を続けるよう促すが、さくらは拒絶。すると突然、彦一が、その女に他人の世話はできない、と悪態をつき、病室を出て行ってしまう・・・。</v>
      </c>
      <c r="N1748" s="2"/>
      <c r="O1748" s="2"/>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row>
    <row r="1749" ht="204.75" customHeight="1">
      <c r="A1749" s="1">
        <v>5145.0</v>
      </c>
      <c r="B1749" s="2" t="s">
        <v>5557</v>
      </c>
      <c r="C1749" s="2">
        <f>IFERROR(__xludf.DUMMYFUNCTION("split(B1749,""_"")"),907.0)</f>
        <v>907</v>
      </c>
      <c r="D1749" s="2" t="str">
        <f>IFERROR(__xludf.DUMMYFUNCTION("""COMPUTED_VALUE"""),"CX")</f>
        <v>CX</v>
      </c>
      <c r="E1749" s="2" t="str">
        <f>IFERROR(__xludf.DUMMYFUNCTION("""COMPUTED_VALUE"""),"木22")</f>
        <v>木22</v>
      </c>
      <c r="F1749" s="2" t="s">
        <v>5558</v>
      </c>
      <c r="G1749" s="2" t="s">
        <v>5574</v>
      </c>
      <c r="H1749" s="1">
        <v>6.0</v>
      </c>
      <c r="I1749" s="1" t="s">
        <v>21</v>
      </c>
      <c r="J1749" s="1" t="s">
        <v>86</v>
      </c>
      <c r="K1749" s="2" t="s">
        <v>5575</v>
      </c>
      <c r="L1749" s="2" t="s">
        <v>5576</v>
      </c>
      <c r="M1749" s="2" t="str">
        <f>IFERROR(__xludf.DUMMYFUNCTION("split(split(K1749,""草ナギ剛　"",false),""公式LINE"",false)"),"翼彦一(草ナギ剛)は、美空晴菜(仲里依紗)から、年若い者でも認知症を発症することがあると聞き、ここ最近の羽鳥晶(夏川結衣)の行動を思い返す。  　一方、施設では風間寛(ミッキー・カーチス)のセクハラが問題となっており、四方木りこ(黒木メイサ)も被害者となる。認知症でもないのに女性を追い回す風間に、鷹山三樹矢(薮宏太)ら“任侠ヘルパー""らはあきれ返る。そんな折、徳田多恵子(木村夏江)が入居のためにやってくる。すると、多恵子を認めた風間は「多恵ちゃん…」と声をかける。  　同じ頃、羽鳥涼太(加藤清史郎)は、"&amp;"彦一に晶がどんな病気なのか聞いてほしいと頼むが断られる。  　そんななか、風間が二本橋(宇梶剛士)に話があると言う。実は、多恵子は風間の初恋の人なのだが、告白することもできず、やがて人妻となってしまった。以来、自分は独り身できたが、ここで再会できたのも縁だから多恵子をデートに誘い、当時の気持ちを打ち明けたいというのだ。そんな風間の言葉を、二本橋はしみじみと聞く。  　後日、二本橋は別れた妻と暮らす娘・瑞穂(指出瑞貴)と会う。瑞穂は、母親が再婚間近であることを伝えるが、二本橋の煮え切らない態度に怒り、席を立"&amp;"ってしまう。  　その翌日、彦一が施設の外にいると、晶が1人で現れる。無言で近づいてくる晶に、涼太が心配していると声をかける彦一。すると晶は、涼太のことで話があると言い…。")</f>
        <v>翼彦一(草ナギ剛)は、美空晴菜(仲里依紗)から、年若い者でも認知症を発症することがあると聞き、ここ最近の羽鳥晶(夏川結衣)の行動を思い返す。  　一方、施設では風間寛(ミッキー・カーチス)のセクハラが問題となっており、四方木りこ(黒木メイサ)も被害者となる。認知症でもないのに女性を追い回す風間に、鷹山三樹矢(薮宏太)ら“任侠ヘルパー"らはあきれ返る。そんな折、徳田多恵子(木村夏江)が入居のためにやってくる。すると、多恵子を認めた風間は「多恵ちゃん…」と声をかける。  　同じ頃、羽鳥涼太(加藤清史郎)は、彦一に晶がどんな病気なのか聞いてほしいと頼むが断られる。  　そんななか、風間が二本橋(宇梶剛士)に話があると言う。実は、多恵子は風間の初恋の人なのだが、告白することもできず、やがて人妻となってしまった。以来、自分は独り身できたが、ここで再会できたのも縁だから多恵子をデートに誘い、当時の気持ちを打ち明けたいというのだ。そんな風間の言葉を、二本橋はしみじみと聞く。  　後日、二本橋は別れた妻と暮らす娘・瑞穂(指出瑞貴)と会う。瑞穂は、母親が再婚間近であることを伝えるが、二本橋の煮え切らない態度に怒り、席を立ってしまう。  　その翌日、彦一が施設の外にいると、晶が1人で現れる。無言で近づいてくる晶に、涼太が心配していると声をかける彦一。すると晶は、涼太のことで話があると言い…。</v>
      </c>
      <c r="N1749" s="2"/>
      <c r="O1749" s="2"/>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row>
    <row r="1750" ht="204.75" customHeight="1">
      <c r="A1750" s="1">
        <v>5146.0</v>
      </c>
      <c r="B1750" s="2" t="s">
        <v>5557</v>
      </c>
      <c r="C1750" s="2">
        <f>IFERROR(__xludf.DUMMYFUNCTION("split(B1750,""_"")"),907.0)</f>
        <v>907</v>
      </c>
      <c r="D1750" s="2" t="str">
        <f>IFERROR(__xludf.DUMMYFUNCTION("""COMPUTED_VALUE"""),"CX")</f>
        <v>CX</v>
      </c>
      <c r="E1750" s="2" t="str">
        <f>IFERROR(__xludf.DUMMYFUNCTION("""COMPUTED_VALUE"""),"木22")</f>
        <v>木22</v>
      </c>
      <c r="F1750" s="2" t="s">
        <v>5558</v>
      </c>
      <c r="G1750" s="2" t="s">
        <v>5577</v>
      </c>
      <c r="H1750" s="1">
        <v>7.0</v>
      </c>
      <c r="I1750" s="1" t="s">
        <v>25</v>
      </c>
      <c r="J1750" s="1" t="s">
        <v>82</v>
      </c>
      <c r="K1750" s="2" t="s">
        <v>5578</v>
      </c>
      <c r="L1750" s="2" t="s">
        <v>5579</v>
      </c>
      <c r="M1750" s="2" t="str">
        <f>IFERROR(__xludf.DUMMYFUNCTION("split(split(K1750,""草ナギ剛　"",false),""公式LINE"",false)"),"翼彦一(草ナギ剛)は、美空晴菜(仲里依紗)とともに、長岡孝江(江波杏子)の自宅で訪問介護を行っていた。孝江の娘・初美(西田尚美)の依頼で来たのだが、孝江は彦一らの対応が気に入らず文句ばかり。  　夜になり、出掛けていた初美が戻ると、孝江は彦一らに酷い目に遭わされた、とさんざん文句を言う。それを聞いた初美は、もうヘルパーを頼んだりはしない、と約束する。  　晴菜は、孝江の件を園崎康弘(大杉漣)と和泉零次(山本裕典)に報告。園崎らは、プライドの高い孝江の面倒を、初美が1人でみていることを憂慮する。そんな折、利"&amp;"用者の家族らが、羽鳥晶(夏川結衣)に母親殺しの過去があるとの記事が書かれた雑誌を持って乗り込んでくる。  　この記事が発端となり、フランチャイズの契約解除を希望する声があがるなど、「ハートフルバード」への批判が広がっていく。四方木りこ(黒木メイサ)、鷹山三樹矢(薮宏太)らは、このスキャンダルの余波で自分たちの正体がバレてしまうかもしれないと不安を隠せない。そんな中、涼太(加藤清史郎)が夏休みの間、「タイヨウ」を手伝うことになり、その健気に働く姿が、利用者の癒し的な存在となっていく。  　一方、初美は介護と"&amp;"仕事をなんとか両立させていたが、それも限界に来ていた。彦一は、1人ですべてを背負おうとしている初美を心配し、声をかけるが、ヘルパーを頼むつもりはないと拒絶されてしまう。")</f>
        <v>翼彦一(草ナギ剛)は、美空晴菜(仲里依紗)とともに、長岡孝江(江波杏子)の自宅で訪問介護を行っていた。孝江の娘・初美(西田尚美)の依頼で来たのだが、孝江は彦一らの対応が気に入らず文句ばかり。  　夜になり、出掛けていた初美が戻ると、孝江は彦一らに酷い目に遭わされた、とさんざん文句を言う。それを聞いた初美は、もうヘルパーを頼んだりはしない、と約束する。  　晴菜は、孝江の件を園崎康弘(大杉漣)と和泉零次(山本裕典)に報告。園崎らは、プライドの高い孝江の面倒を、初美が1人でみていることを憂慮する。そんな折、利用者の家族らが、羽鳥晶(夏川結衣)に母親殺しの過去があるとの記事が書かれた雑誌を持って乗り込んでくる。  　この記事が発端となり、フランチャイズの契約解除を希望する声があがるなど、「ハートフルバード」への批判が広がっていく。四方木りこ(黒木メイサ)、鷹山三樹矢(薮宏太)らは、このスキャンダルの余波で自分たちの正体がバレてしまうかもしれないと不安を隠せない。そんな中、涼太(加藤清史郎)が夏休みの間、「タイヨウ」を手伝うことになり、その健気に働く姿が、利用者の癒し的な存在となっていく。  　一方、初美は介護と仕事をなんとか両立させていたが、それも限界に来ていた。彦一は、1人ですべてを背負おうとしている初美を心配し、声をかけるが、ヘルパーを頼むつもりはないと拒絶されてしまう。</v>
      </c>
      <c r="N1750" s="2"/>
      <c r="O1750" s="2"/>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row>
    <row r="1751" ht="204.75" customHeight="1">
      <c r="A1751" s="1">
        <v>5147.0</v>
      </c>
      <c r="B1751" s="2" t="s">
        <v>5557</v>
      </c>
      <c r="C1751" s="2">
        <f>IFERROR(__xludf.DUMMYFUNCTION("split(B1751,""_"")"),907.0)</f>
        <v>907</v>
      </c>
      <c r="D1751" s="2" t="str">
        <f>IFERROR(__xludf.DUMMYFUNCTION("""COMPUTED_VALUE"""),"CX")</f>
        <v>CX</v>
      </c>
      <c r="E1751" s="2" t="str">
        <f>IFERROR(__xludf.DUMMYFUNCTION("""COMPUTED_VALUE"""),"木22")</f>
        <v>木22</v>
      </c>
      <c r="F1751" s="2" t="s">
        <v>5558</v>
      </c>
      <c r="G1751" s="2" t="s">
        <v>5580</v>
      </c>
      <c r="H1751" s="1">
        <v>8.0</v>
      </c>
      <c r="I1751" s="1" t="s">
        <v>29</v>
      </c>
      <c r="J1751" s="1" t="s">
        <v>86</v>
      </c>
      <c r="K1751" s="2" t="s">
        <v>5581</v>
      </c>
      <c r="L1751" s="2" t="s">
        <v>5582</v>
      </c>
      <c r="M1751" s="2" t="str">
        <f>IFERROR(__xludf.DUMMYFUNCTION("split(split(K1751,""草ナギ剛　"",false),""公式LINE"",false)"),"翼彦一(草ナギ剛)は、隼会と敵対する鷲津組の組長・鷲津莞爾(竜雷太)が施設に入居してきたことに驚く。事故で要介護状態とはいえ、金ならいくらでもあるはずの鷲津が「タイヨウ」にきたことに、四方木りこ(黒木メイサ)らは疑いの目を向ける。  　彦一は、その件を若頭・鷹山源助(松平健)に報告するが、今は“研修""に専念しろ、と一喝される。その鷹山の側には、和泉零次(山本裕典)がいた。　鷲津は、脳梗塞の後遺症で言葉が出ない山浦夏夫と同室になったことなどに不満をもらす。そんな折、美空晴菜(仲里依紗)が花束を持って大部屋"&amp;"にやってくる。花は、なかなか見舞いに来られない夏夫の息子が毎週送ってくるというもので、花を見た夏夫は嬉しそうな顔をする。一方、鷲津は、自身に見舞いも何も来ないことにいらだっていた。  　同じ頃、会議に出席する羽鳥晶(夏川結衣)は、不鮮明な記憶のせいで窮地に陥っていた。息子・涼太(加藤清史郎)は、そんな晶のために、日々の予定や記録を貼り紙にして家中に貼りはじめる。  　そんな折、彦一は施設から駆け出していくりこを目撃する。数日前、四方木連合が襲撃されケガ人が出た、という情報を六車(夕輝壽太)から聞かされたか"&amp;"らだ。五郎(五十嵐隼士)らは、隼会にケンカを売るのはどこの者だ、といきり立つ。そんな中、鷲津に話を聞いてくると言って席を立った三樹矢(薮宏太)を、彦一が制し…。")</f>
        <v>翼彦一(草ナギ剛)は、隼会と敵対する鷲津組の組長・鷲津莞爾(竜雷太)が施設に入居してきたことに驚く。事故で要介護状態とはいえ、金ならいくらでもあるはずの鷲津が「タイヨウ」にきたことに、四方木りこ(黒木メイサ)らは疑いの目を向ける。  　彦一は、その件を若頭・鷹山源助(松平健)に報告するが、今は“研修"に専念しろ、と一喝される。その鷹山の側には、和泉零次(山本裕典)がいた。　鷲津は、脳梗塞の後遺症で言葉が出ない山浦夏夫と同室になったことなどに不満をもらす。そんな折、美空晴菜(仲里依紗)が花束を持って大部屋にやってくる。花は、なかなか見舞いに来られない夏夫の息子が毎週送ってくるというもので、花を見た夏夫は嬉しそうな顔をする。一方、鷲津は、自身に見舞いも何も来ないことにいらだっていた。  　同じ頃、会議に出席する羽鳥晶(夏川結衣)は、不鮮明な記憶のせいで窮地に陥っていた。息子・涼太(加藤清史郎)は、そんな晶のために、日々の予定や記録を貼り紙にして家中に貼りはじめる。  　そんな折、彦一は施設から駆け出していくりこを目撃する。数日前、四方木連合が襲撃されケガ人が出た、という情報を六車(夕輝壽太)から聞かされたからだ。五郎(五十嵐隼士)らは、隼会にケンカを売るのはどこの者だ、といきり立つ。そんな中、鷲津に話を聞いてくると言って席を立った三樹矢(薮宏太)を、彦一が制し…。</v>
      </c>
      <c r="N1751" s="2"/>
      <c r="O1751" s="2"/>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row>
    <row r="1752" ht="204.75" customHeight="1">
      <c r="A1752" s="1">
        <v>5148.0</v>
      </c>
      <c r="B1752" s="2" t="s">
        <v>5557</v>
      </c>
      <c r="C1752" s="2">
        <f>IFERROR(__xludf.DUMMYFUNCTION("split(B1752,""_"")"),907.0)</f>
        <v>907</v>
      </c>
      <c r="D1752" s="2" t="str">
        <f>IFERROR(__xludf.DUMMYFUNCTION("""COMPUTED_VALUE"""),"CX")</f>
        <v>CX</v>
      </c>
      <c r="E1752" s="2" t="str">
        <f>IFERROR(__xludf.DUMMYFUNCTION("""COMPUTED_VALUE"""),"木22")</f>
        <v>木22</v>
      </c>
      <c r="F1752" s="2" t="s">
        <v>5558</v>
      </c>
      <c r="G1752" s="2" t="s">
        <v>5583</v>
      </c>
      <c r="H1752" s="1">
        <v>9.0</v>
      </c>
      <c r="I1752" s="1" t="s">
        <v>33</v>
      </c>
      <c r="J1752" s="1" t="s">
        <v>86</v>
      </c>
      <c r="K1752" s="2" t="s">
        <v>5584</v>
      </c>
      <c r="L1752" s="2" t="s">
        <v>5585</v>
      </c>
      <c r="M1752" s="2" t="str">
        <f>IFERROR(__xludf.DUMMYFUNCTION("split(split(K1752,""草ナギ剛　"",false),""公式LINE"",false)"),"翼彦一(草ナギ剛)は、鷲津莞爾(竜雷太)めがけてナイフを構え飛び込んできた四方木りこ(黒木メイサ)の腕を素早く掴んだ。りこは、四方木組を襲撃した鷲津組への報復だといきり立つが、彦一は鷲津は関わっていない、となだめる。しかし、収まらないりこは、再び鷲津に襲い掛かる。するとそこへ、和泉零次(山本裕典)がきて、りこの腕を蹴り上げる。りこは病院を飛び出し彦一がそれを追うが、見失う。そんなとき、彦一の携帯に羽鳥涼太(加藤清史郎)から、羽鳥晶(夏川結衣)が帰ってこないと連絡が入る。  　その頃、晶は老人ホーム「ハート"&amp;"フル」にいた。駆けつけた彦一と涼太は、晶が無事だったことに胸をなでおろす。  　一方、鷹山三樹矢(薮宏太)、黒沢五郎(五十嵐隼士)、六車雅人(夕輝壽太)、二本橋賢吾(宇梶剛士)らは、連絡の取れないりこのことを案じていた。  　そんな折、「タイヨウ」の入居者で、病院に入院中の山浦夏夫(峯のぼる)の息子・渉(梶原善)がきて、園崎康弘(大杉漣)に夏夫の看取り介護を依頼。やがて、病院から帰された夏夫は、再び鷲津と同室となる。美空晴菜(仲里依紗)は、そんな夏夫の様子を日記に綴り始めた。  　そんな中、テレビでは晶の"&amp;"社長辞任会見が放送され、涼太とともに彦一がそれを見守っていた。ところが、順調に話していたと思われた晶は、途中で止まってしまう。それを見つめた彦一は…。")</f>
        <v>翼彦一(草ナギ剛)は、鷲津莞爾(竜雷太)めがけてナイフを構え飛び込んできた四方木りこ(黒木メイサ)の腕を素早く掴んだ。りこは、四方木組を襲撃した鷲津組への報復だといきり立つが、彦一は鷲津は関わっていない、となだめる。しかし、収まらないりこは、再び鷲津に襲い掛かる。するとそこへ、和泉零次(山本裕典)がきて、りこの腕を蹴り上げる。りこは病院を飛び出し彦一がそれを追うが、見失う。そんなとき、彦一の携帯に羽鳥涼太(加藤清史郎)から、羽鳥晶(夏川結衣)が帰ってこないと連絡が入る。  　その頃、晶は老人ホーム「ハートフル」にいた。駆けつけた彦一と涼太は、晶が無事だったことに胸をなでおろす。  　一方、鷹山三樹矢(薮宏太)、黒沢五郎(五十嵐隼士)、六車雅人(夕輝壽太)、二本橋賢吾(宇梶剛士)らは、連絡の取れないりこのことを案じていた。  　そんな折、「タイヨウ」の入居者で、病院に入院中の山浦夏夫(峯のぼる)の息子・渉(梶原善)がきて、園崎康弘(大杉漣)に夏夫の看取り介護を依頼。やがて、病院から帰された夏夫は、再び鷲津と同室となる。美空晴菜(仲里依紗)は、そんな夏夫の様子を日記に綴り始めた。  　そんな中、テレビでは晶の社長辞任会見が放送され、涼太とともに彦一がそれを見守っていた。ところが、順調に話していたと思われた晶は、途中で止まってしまう。それを見つめた彦一は…。</v>
      </c>
      <c r="N1752" s="2"/>
      <c r="O1752" s="2"/>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row>
    <row r="1753" ht="204.75" customHeight="1">
      <c r="A1753" s="1">
        <v>5149.0</v>
      </c>
      <c r="B1753" s="2" t="s">
        <v>5557</v>
      </c>
      <c r="C1753" s="2">
        <f>IFERROR(__xludf.DUMMYFUNCTION("split(B1753,""_"")"),907.0)</f>
        <v>907</v>
      </c>
      <c r="D1753" s="2" t="str">
        <f>IFERROR(__xludf.DUMMYFUNCTION("""COMPUTED_VALUE"""),"CX")</f>
        <v>CX</v>
      </c>
      <c r="E1753" s="2" t="str">
        <f>IFERROR(__xludf.DUMMYFUNCTION("""COMPUTED_VALUE"""),"木22")</f>
        <v>木22</v>
      </c>
      <c r="F1753" s="2" t="s">
        <v>5558</v>
      </c>
      <c r="G1753" s="2" t="s">
        <v>5586</v>
      </c>
      <c r="H1753" s="1">
        <v>10.0</v>
      </c>
      <c r="I1753" s="1" t="s">
        <v>37</v>
      </c>
      <c r="J1753" s="1" t="s">
        <v>86</v>
      </c>
      <c r="K1753" s="2" t="s">
        <v>5587</v>
      </c>
      <c r="L1753" s="2" t="s">
        <v>5588</v>
      </c>
      <c r="M1753" s="2" t="str">
        <f>IFERROR(__xludf.DUMMYFUNCTION("split(split(K1753,""草ナギ剛　"",false),""公式LINE"",false)"),"翼彦一(草ナギ剛)は、羽鳥涼太(加藤清史郎)と羽鳥晶(夏川結衣)のマンションにいた。晶は、堀井皐月(安田美沙子)に付き添われていたが、病状が進み不安にさいなまれていた。  　同じ頃、正体を偽っていた彦一らに事情を聞こうと、「ハートフルバード」から日野弥生(中別府葵)がやってくる。四方木りこ(黒木メイサ)らが語らずにいると、弥生は、「タイヨウ」とフランチャイズ契約を解除すると宣告する。　りこから連絡を受けた彦一は「タイヨウ」に戻ろうとするが、そんなとき、涼太がシャワーを浴びに行った晶の様子が気になると不安げ"&amp;"な顔を見せる。彦一がそこで目にしたものは・・・。  　一方「タイヨウ」では大島(山田親太朗)たちヘルパーが5人もやめてしまう。園崎(大杉漣)は、彦一らに新しいヘルパーが来るまではいてほしいと慰留するのだったが、美空晴菜(仲里衣紗)らは、彦一らを白い目で見るようになる。　彦一らの素性がわかる写真を入手したマスコミも「タイヨウ」にやってくるようになり、園崎らは対応に四苦八苦する。その頃、和泉零次(山本裕典)から「タイヨウ」に写真を送ったのは鷲津組を破門された者の仕業ではないかと調べに入る。  　ある日、りこは"&amp;"ひとりでタバコを吸っていた彦一に、何を考えているのか、と尋ねる。しかし彦一が答えないと、晶のことではないのかと苛立ち怒りをぶつける。そんなりこに彦一は・・・。")</f>
        <v>翼彦一(草ナギ剛)は、羽鳥涼太(加藤清史郎)と羽鳥晶(夏川結衣)のマンションにいた。晶は、堀井皐月(安田美沙子)に付き添われていたが、病状が進み不安にさいなまれていた。  　同じ頃、正体を偽っていた彦一らに事情を聞こうと、「ハートフルバード」から日野弥生(中別府葵)がやってくる。四方木りこ(黒木メイサ)らが語らずにいると、弥生は、「タイヨウ」とフランチャイズ契約を解除すると宣告する。　りこから連絡を受けた彦一は「タイヨウ」に戻ろうとするが、そんなとき、涼太がシャワーを浴びに行った晶の様子が気になると不安げな顔を見せる。彦一がそこで目にしたものは・・・。  　一方「タイヨウ」では大島(山田親太朗)たちヘルパーが5人もやめてしまう。園崎(大杉漣)は、彦一らに新しいヘルパーが来るまではいてほしいと慰留するのだったが、美空晴菜(仲里衣紗)らは、彦一らを白い目で見るようになる。　彦一らの素性がわかる写真を入手したマスコミも「タイヨウ」にやってくるようになり、園崎らは対応に四苦八苦する。その頃、和泉零次(山本裕典)から「タイヨウ」に写真を送ったのは鷲津組を破門された者の仕業ではないかと調べに入る。  　ある日、りこはひとりでタバコを吸っていた彦一に、何を考えているのか、と尋ねる。しかし彦一が答えないと、晶のことではないのかと苛立ち怒りをぶつける。そんなりこに彦一は・・・。</v>
      </c>
      <c r="N1753" s="2"/>
      <c r="O1753" s="2"/>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row>
    <row r="1754" ht="204.75" customHeight="1">
      <c r="A1754" s="1">
        <v>5150.0</v>
      </c>
      <c r="B1754" s="2" t="s">
        <v>5557</v>
      </c>
      <c r="C1754" s="2">
        <f>IFERROR(__xludf.DUMMYFUNCTION("split(B1754,""_"")"),907.0)</f>
        <v>907</v>
      </c>
      <c r="D1754" s="2" t="str">
        <f>IFERROR(__xludf.DUMMYFUNCTION("""COMPUTED_VALUE"""),"CX")</f>
        <v>CX</v>
      </c>
      <c r="E1754" s="2" t="str">
        <f>IFERROR(__xludf.DUMMYFUNCTION("""COMPUTED_VALUE"""),"木22")</f>
        <v>木22</v>
      </c>
      <c r="F1754" s="2" t="s">
        <v>5558</v>
      </c>
      <c r="G1754" s="2" t="s">
        <v>5589</v>
      </c>
      <c r="H1754" s="1">
        <v>11.0</v>
      </c>
      <c r="I1754" s="1" t="s">
        <v>41</v>
      </c>
      <c r="J1754" s="1" t="s">
        <v>82</v>
      </c>
      <c r="K1754" s="2" t="s">
        <v>5590</v>
      </c>
      <c r="L1754" s="2" t="s">
        <v>5591</v>
      </c>
      <c r="M1754" s="2" t="str">
        <f>IFERROR(__xludf.DUMMYFUNCTION("split(split(K1754,""草ナギ剛　"",false),""公式LINE"",false)"),"翼彦一(草ナギ剛)、四方木りこ(黒木メイサ)、鷹山三樹矢(薮宏太)、黒沢五郎(五十嵐隼士)、六車雅人(夕輝壽太)、二本橋賢吾(宇梶剛士)は、「タイヨウ」が閉鎖に追い込まれたことを鷹山源助(松平健)に報告する。  　その頃、「タイヨウ」では、美空晴菜(仲里依紗)や園崎康弘(大杉漣)が、利用者たちの受け入れ先を探していた。そんななか、羽鳥晶(夏川結衣)と涼太(加藤清史郎)も出て行くことに。出発の日、迎えの車に荷物を積んでいた彦一に晶が、写真を撮らないかと提案。晶の携帯の液晶画面に、3ショットが収まった。  　"&amp;"一方、閉鎖された「タイヨウ」に、多数の高齢者がやってくるという事件が起こる。高齢者を連れてきた鎌田公造(渡辺哲)は、自分が経営する施設がつぶれたため、高齢者が行き場を失ったと言い、一晩でもいいから預かってほしい、と懇願。園崎は、仕方なく受け入れるが、翌朝、鎌田と連絡が取れなくなる。それでも高齢者たちを見捨てられないため、「タイヨウ」では炊き出しが始まり、彦一らもそれを手伝う。温かい食事に感謝をする高齢者たちに、“任侠ヘルパー""たちの胸にも熱いものがこみ上げてくる。  　すると、突然、彦一が出ていく。追い"&amp;"かけてきた五郎に彦一は、“研修""が終われば、自分たちはまた高齢者を食い物にして生きていくんだ、といらだちをぶつける。再び極道に戻る自分たちが何をしているんだーー彦一の心は揺れ…。")</f>
        <v>翼彦一(草ナギ剛)、四方木りこ(黒木メイサ)、鷹山三樹矢(薮宏太)、黒沢五郎(五十嵐隼士)、六車雅人(夕輝壽太)、二本橋賢吾(宇梶剛士)は、「タイヨウ」が閉鎖に追い込まれたことを鷹山源助(松平健)に報告する。  　その頃、「タイヨウ」では、美空晴菜(仲里依紗)や園崎康弘(大杉漣)が、利用者たちの受け入れ先を探していた。そんななか、羽鳥晶(夏川結衣)と涼太(加藤清史郎)も出て行くことに。出発の日、迎えの車に荷物を積んでいた彦一に晶が、写真を撮らないかと提案。晶の携帯の液晶画面に、3ショットが収まった。  　一方、閉鎖された「タイヨウ」に、多数の高齢者がやってくるという事件が起こる。高齢者を連れてきた鎌田公造(渡辺哲)は、自分が経営する施設がつぶれたため、高齢者が行き場を失ったと言い、一晩でもいいから預かってほしい、と懇願。園崎は、仕方なく受け入れるが、翌朝、鎌田と連絡が取れなくなる。それでも高齢者たちを見捨てられないため、「タイヨウ」では炊き出しが始まり、彦一らもそれを手伝う。温かい食事に感謝をする高齢者たちに、“任侠ヘルパー"たちの胸にも熱いものがこみ上げてくる。  　すると、突然、彦一が出ていく。追いかけてきた五郎に彦一は、“研修"が終われば、自分たちはまた高齢者を食い物にして生きていくんだ、といらだちをぶつける。再び極道に戻る自分たちが何をしているんだーー彦一の心は揺れ…。</v>
      </c>
      <c r="N1754" s="2"/>
      <c r="O1754" s="2"/>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row>
    <row r="1755" ht="204.75" customHeight="1">
      <c r="A1755" s="1">
        <v>5209.0</v>
      </c>
      <c r="B1755" s="2" t="s">
        <v>5592</v>
      </c>
      <c r="C1755" s="2">
        <f>IFERROR(__xludf.DUMMYFUNCTION("split(B1755,""_"")"),907.0)</f>
        <v>907</v>
      </c>
      <c r="D1755" s="2" t="str">
        <f>IFERROR(__xludf.DUMMYFUNCTION("""COMPUTED_VALUE"""),"CX")</f>
        <v>CX</v>
      </c>
      <c r="E1755" s="2" t="str">
        <f>IFERROR(__xludf.DUMMYFUNCTION("""COMPUTED_VALUE"""),"土23")</f>
        <v>土23</v>
      </c>
      <c r="F1755" s="2" t="s">
        <v>5593</v>
      </c>
      <c r="G1755" s="2" t="s">
        <v>5594</v>
      </c>
      <c r="H1755" s="1">
        <v>1.0</v>
      </c>
      <c r="I1755" s="1" t="s">
        <v>3</v>
      </c>
      <c r="J1755" s="1" t="s">
        <v>2429</v>
      </c>
      <c r="K1755" s="4" t="s">
        <v>5595</v>
      </c>
      <c r="L1755" s="2" t="s">
        <v>5596</v>
      </c>
      <c r="M1755" s="2" t="str">
        <f>IFERROR(__xludf.DUMMYFUNCTION("split(split(K1755,""岡田将生　"",false),""公式LINE"",false)"),"銀百合学園剣道部主将・正宗飛鳥(岡田将生)は、全国高校剣道大会予選で劣勢に追い込まれていた銀百合学園を逆転勝利に導く。試合後、飛鳥は後輩の有明大和(瀬戸康史)と都塚りょう(夏帆)が不良グループに絡まれているのを助ける。お礼を言うりょうの笑顔に胸がときめく飛鳥。  　後日、同じクラスにりょうが転校してきた。放課後、剣道部を見学していたりょうは、飛鳥に憧れ弟子入りを希望している大和と、クラスメートの橘充太(佐野和真)から飛鳥がいかに完璧な日本男児であるかを聞かされる。同じ頃、バッティングセンターで遊んでいた不"&amp;"良たちの中に、なぜか飛鳥に敵意をむき出しにする多武峰一(木村了)がいた。  　ある日、飛鳥は公園で少年が母親にぬいぐるみをゴミ箱に捨てられているのを目撃する。幼少期に父親(鶴見辰吾)が「本当は女になりたかった」と家を飛び出しショックを受けた母の浄美(山本未來)から「男らしく」と厳しく育てられ、乙女趣味なものを封印していた飛鳥だが、心の内では密かに乙女なものを愛する“隠れオトメン""になっていたため少年と自分を重ね合わせ、ぬいぐるみを拾って帰る。帰宅後、得意の裁縫でぬいぐるみをキレイに直し、ぬいぐるみ用帽子"&amp;"なども編みあげる飛鳥。  翌日、飛鳥はナンパ男で有名な充太がりょうを家庭科室に呼び出したと聞き、慌てて家庭科室に向かう。すると室内からりょうの悲鳴が聞こえてきて…。")</f>
        <v>銀百合学園剣道部主将・正宗飛鳥(岡田将生)は、全国高校剣道大会予選で劣勢に追い込まれていた銀百合学園を逆転勝利に導く。試合後、飛鳥は後輩の有明大和(瀬戸康史)と都塚りょう(夏帆)が不良グループに絡まれているのを助ける。お礼を言うりょうの笑顔に胸がときめく飛鳥。  　後日、同じクラスにりょうが転校してきた。放課後、剣道部を見学していたりょうは、飛鳥に憧れ弟子入りを希望している大和と、クラスメートの橘充太(佐野和真)から飛鳥がいかに完璧な日本男児であるかを聞かされる。同じ頃、バッティングセンターで遊んでいた不良たちの中に、なぜか飛鳥に敵意をむき出しにする多武峰一(木村了)がいた。  　ある日、飛鳥は公園で少年が母親にぬいぐるみをゴミ箱に捨てられているのを目撃する。幼少期に父親(鶴見辰吾)が「本当は女になりたかった」と家を飛び出しショックを受けた母の浄美(山本未來)から「男らしく」と厳しく育てられ、乙女趣味なものを封印していた飛鳥だが、心の内では密かに乙女なものを愛する“隠れオトメン"になっていたため少年と自分を重ね合わせ、ぬいぐるみを拾って帰る。帰宅後、得意の裁縫でぬいぐるみをキレイに直し、ぬいぐるみ用帽子なども編みあげる飛鳥。  翌日、飛鳥はナンパ男で有名な充太がりょうを家庭科室に呼び出したと聞き、慌てて家庭科室に向かう。すると室内からりょうの悲鳴が聞こえてきて…。</v>
      </c>
      <c r="N1755" s="2"/>
      <c r="O1755" s="2"/>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row>
    <row r="1756" ht="204.75" customHeight="1">
      <c r="A1756" s="1">
        <v>5210.0</v>
      </c>
      <c r="B1756" s="2" t="s">
        <v>5592</v>
      </c>
      <c r="C1756" s="2">
        <f>IFERROR(__xludf.DUMMYFUNCTION("split(B1756,""_"")"),907.0)</f>
        <v>907</v>
      </c>
      <c r="D1756" s="2" t="str">
        <f>IFERROR(__xludf.DUMMYFUNCTION("""COMPUTED_VALUE"""),"CX")</f>
        <v>CX</v>
      </c>
      <c r="E1756" s="2" t="str">
        <f>IFERROR(__xludf.DUMMYFUNCTION("""COMPUTED_VALUE"""),"土23")</f>
        <v>土23</v>
      </c>
      <c r="F1756" s="2" t="s">
        <v>5593</v>
      </c>
      <c r="G1756" s="2" t="s">
        <v>5597</v>
      </c>
      <c r="H1756" s="1">
        <v>2.0</v>
      </c>
      <c r="I1756" s="1" t="s">
        <v>7</v>
      </c>
      <c r="J1756" s="1" t="s">
        <v>1435</v>
      </c>
      <c r="K1756" s="2" t="s">
        <v>5598</v>
      </c>
      <c r="L1756" s="2" t="s">
        <v>5599</v>
      </c>
      <c r="M1756" s="2" t="str">
        <f>IFERROR(__xludf.DUMMYFUNCTION("split(split(K1756,""岡田将生　"",false),""公式LINE"",false)"),"ある日、正宗飛鳥(岡田将生)は都塚りょう(夏帆)から突然「パパになって下さい!」と言われる。驚きつつもそれが託児所の手伝いを頼まれただけだとわかり引き受ける飛鳥。なぜか付いてきた有明大和(瀬戸康史)と橘充太(佐野和真)と共にりょうの家に立ち寄った飛鳥は、りょうの父・猛(高田延彦)と遭遇。男らしさに異常に固執する猛は、準備のためエプロンをしていた飛鳥に激怒する。そのあまりの剣幕に飛鳥たちはたじたじになる。  託児所では、亡き母親の面影をりょうに重ねていた男の子・ゲン(澁谷武尊)が飛鳥を敵視して不機嫌になって"&amp;"いた。夜になって他の子供たちが帰る中、父親の迎えが遅れていたゲンだけが残る。相変わらず飛鳥を無視するゲンだが、飛鳥は…。  やがてゲンも父親が迎えに来て帰ると、飛鳥とりょうは片付けを始める。料理が苦手と言いながらも明後日の猛の誕生日に手料理を作ってあげたいと話すりょうに、飛鳥はまたしても胸をときめかせる。  翌日、剣道部の臨時コーチとして猛がやって来た。飛鳥を軟弱な男と思いこんでいる猛の厳しい特訓が始まった。くたくたになりながら部活動を終えて帰ろうとする飛鳥は、家庭科室に明かりがついているのを見つける。家"&amp;"庭科室に行ってみると、飛鳥の予想通りりょうの姿があった。家では猛がキッチンに立つことすら許さないため、家庭科室で料理の自主練をしていたのだ。下手でも必死で料理をするりょうに…。")</f>
        <v>ある日、正宗飛鳥(岡田将生)は都塚りょう(夏帆)から突然「パパになって下さい!」と言われる。驚きつつもそれが託児所の手伝いを頼まれただけだとわかり引き受ける飛鳥。なぜか付いてきた有明大和(瀬戸康史)と橘充太(佐野和真)と共にりょうの家に立ち寄った飛鳥は、りょうの父・猛(高田延彦)と遭遇。男らしさに異常に固執する猛は、準備のためエプロンをしていた飛鳥に激怒する。そのあまりの剣幕に飛鳥たちはたじたじになる。  託児所では、亡き母親の面影をりょうに重ねていた男の子・ゲン(澁谷武尊)が飛鳥を敵視して不機嫌になっていた。夜になって他の子供たちが帰る中、父親の迎えが遅れていたゲンだけが残る。相変わらず飛鳥を無視するゲンだが、飛鳥は…。  やがてゲンも父親が迎えに来て帰ると、飛鳥とりょうは片付けを始める。料理が苦手と言いながらも明後日の猛の誕生日に手料理を作ってあげたいと話すりょうに、飛鳥はまたしても胸をときめかせる。  翌日、剣道部の臨時コーチとして猛がやって来た。飛鳥を軟弱な男と思いこんでいる猛の厳しい特訓が始まった。くたくたになりながら部活動を終えて帰ろうとする飛鳥は、家庭科室に明かりがついているのを見つける。家庭科室に行ってみると、飛鳥の予想通りりょうの姿があった。家では猛がキッチンに立つことすら許さないため、家庭科室で料理の自主練をしていたのだ。下手でも必死で料理をするりょうに…。</v>
      </c>
      <c r="N1756" s="2"/>
      <c r="O1756" s="2"/>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row>
    <row r="1757" ht="204.75" customHeight="1">
      <c r="A1757" s="1">
        <v>5211.0</v>
      </c>
      <c r="B1757" s="2" t="s">
        <v>5592</v>
      </c>
      <c r="C1757" s="2">
        <f>IFERROR(__xludf.DUMMYFUNCTION("split(B1757,""_"")"),907.0)</f>
        <v>907</v>
      </c>
      <c r="D1757" s="2" t="str">
        <f>IFERROR(__xludf.DUMMYFUNCTION("""COMPUTED_VALUE"""),"CX")</f>
        <v>CX</v>
      </c>
      <c r="E1757" s="2" t="str">
        <f>IFERROR(__xludf.DUMMYFUNCTION("""COMPUTED_VALUE"""),"土23")</f>
        <v>土23</v>
      </c>
      <c r="F1757" s="2" t="s">
        <v>5593</v>
      </c>
      <c r="G1757" s="2" t="s">
        <v>5600</v>
      </c>
      <c r="H1757" s="1">
        <v>3.0</v>
      </c>
      <c r="I1757" s="1" t="s">
        <v>10</v>
      </c>
      <c r="J1757" s="1" t="s">
        <v>1435</v>
      </c>
      <c r="K1757" s="2" t="s">
        <v>5601</v>
      </c>
      <c r="L1757" s="2" t="s">
        <v>5602</v>
      </c>
      <c r="M1757" s="2" t="str">
        <f>IFERROR(__xludf.DUMMYFUNCTION("split(split(K1757,""岡田将生　"",false),""公式LINE"",false)"),"剣道部の校内強化合宿が近づいた。正宗飛鳥(岡田将生)は、この時期に幽霊が出るという銀百合伝説を耳にして密かに怯えていた。そんな飛鳥の異変に気づいた橘充太(佐野和真)は、都塚りょう(夏帆)にあるお願いをする。  　合宿当日。登校してきた飛鳥の前に黒川樹虎(市川知宏)が現れた。荒れ果てた庭を花園に改造している樹虎は、飛鳥が立ち去った後に雑草の中からあるものを発見する。  　飛鳥が宿泊室に行くと合宿の準備をする部員の中にりょうの姿があった。合宿期間中だけマネジャーをやるという申し出に喜ぶ飛鳥や部員たち。そんな中"&amp;"、有明大和(瀬戸康史)が昔の剣道部員が写った写真を見つける。そこには飛鳥と似た男が写っていた。  　稽古場に向かうと、道場には多武峰一(木村了)がいた。都塚猛(高田延彦)に誘われ銀百合学園に転校し剣道部に入部したという。多武峰が剣道を始めたことを素直に喜ぶ飛鳥だが、多武峰は飛鳥に敵意を燃やしたままだ。その矢先、飛鳥の竹刀が折られていたり、耳鳴りが鳴ったり、奇妙な出来事が飛鳥を襲う。不安にかられながらも、身の回りで次々と起こる不可思議な現象を気のせいだと自分に言い聞かせる飛鳥。そして入浴中、再び耳鳴りがした"&amp;"。不吉なものを感じる飛鳥。直後、飛鳥の悲鳴が響き渡り、それを聞きつけたりょうが浴室に駆けつけると…。")</f>
        <v>剣道部の校内強化合宿が近づいた。正宗飛鳥(岡田将生)は、この時期に幽霊が出るという銀百合伝説を耳にして密かに怯えていた。そんな飛鳥の異変に気づいた橘充太(佐野和真)は、都塚りょう(夏帆)にあるお願いをする。  　合宿当日。登校してきた飛鳥の前に黒川樹虎(市川知宏)が現れた。荒れ果てた庭を花園に改造している樹虎は、飛鳥が立ち去った後に雑草の中からあるものを発見する。  　飛鳥が宿泊室に行くと合宿の準備をする部員の中にりょうの姿があった。合宿期間中だけマネジャーをやるという申し出に喜ぶ飛鳥や部員たち。そんな中、有明大和(瀬戸康史)が昔の剣道部員が写った写真を見つける。そこには飛鳥と似た男が写っていた。  　稽古場に向かうと、道場には多武峰一(木村了)がいた。都塚猛(高田延彦)に誘われ銀百合学園に転校し剣道部に入部したという。多武峰が剣道を始めたことを素直に喜ぶ飛鳥だが、多武峰は飛鳥に敵意を燃やしたままだ。その矢先、飛鳥の竹刀が折られていたり、耳鳴りが鳴ったり、奇妙な出来事が飛鳥を襲う。不安にかられながらも、身の回りで次々と起こる不可思議な現象を気のせいだと自分に言い聞かせる飛鳥。そして入浴中、再び耳鳴りがした。不吉なものを感じる飛鳥。直後、飛鳥の悲鳴が響き渡り、それを聞きつけたりょうが浴室に駆けつけると…。</v>
      </c>
      <c r="N1757" s="2"/>
      <c r="O1757" s="2"/>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row>
    <row r="1758" ht="204.75" customHeight="1">
      <c r="A1758" s="1">
        <v>5212.0</v>
      </c>
      <c r="B1758" s="2" t="s">
        <v>5592</v>
      </c>
      <c r="C1758" s="2">
        <f>IFERROR(__xludf.DUMMYFUNCTION("split(B1758,""_"")"),907.0)</f>
        <v>907</v>
      </c>
      <c r="D1758" s="2" t="str">
        <f>IFERROR(__xludf.DUMMYFUNCTION("""COMPUTED_VALUE"""),"CX")</f>
        <v>CX</v>
      </c>
      <c r="E1758" s="2" t="str">
        <f>IFERROR(__xludf.DUMMYFUNCTION("""COMPUTED_VALUE"""),"土23")</f>
        <v>土23</v>
      </c>
      <c r="F1758" s="2" t="s">
        <v>5593</v>
      </c>
      <c r="G1758" s="2" t="s">
        <v>5603</v>
      </c>
      <c r="H1758" s="1">
        <v>4.0</v>
      </c>
      <c r="I1758" s="1" t="s">
        <v>14</v>
      </c>
      <c r="J1758" s="1" t="s">
        <v>2429</v>
      </c>
      <c r="K1758" s="2" t="s">
        <v>5604</v>
      </c>
      <c r="L1758" s="2" t="s">
        <v>5605</v>
      </c>
      <c r="M1758" s="2" t="str">
        <f>IFERROR(__xludf.DUMMYFUNCTION("split(split(K1758,""岡田将生　"",false),""公式LINE"",false)"),"正宗飛鳥(岡田将生)は、橘充太(佐野和真)に都塚りょう(夏帆)をデートに誘うよう勧められるが頬を染めて無理だと言うばかり。一方、多武峰一(木村了)が銀百合学園2年A組に転校してきた。転校は飛鳥を倒すためだという多武峰の自己紹介に苦笑いする飛鳥と、波乱の予感に喜ぶ充太。剣道部の練習では腕が落ちていない多武峰を素直に認める飛鳥だが、多武峰は飛鳥を天敵だと言い放つ。  　そんな中、有明大和(瀬戸康史)に頼まれ、大和の叔父のマサ(神保悟志)が営む海の家の手伝いに行くことになった飛鳥ら剣道部員、りょう、充太、妹の久"&amp;"利子(武井咲)。海の家「政」の店主・マサは到着した飛鳥らを大歓迎。数日後に行われる町主催のイベントのヒーローショーに出演して欲しいという。演出家となる町内会長の息子の幼い少年を紹介され、相手が子供であることに安心する剣道部員の磯野(澤部佑)だったが…。  　その夜、浜辺で素振り稽古をしている多武峰を見かけ目をとめた久利子は、飛鳥が多武峰に「すきだ」と言うのを聞き、充太に報告する。学校で多武峰が黒川樹虎(市川知宏)に「飛鳥がいないとダメ」と話していたことを思い出した充太は、本人に気持ちを確認しようとする。直"&amp;"後、飛鳥が戻ってきた。  　その頃イベントで行われる世界的に有名なヘアメイクとスタイリストのトークショーを目当てに小針田雅(桐谷美玲)らが海に向かっていた。そしてイベント当日になり…。")</f>
        <v>正宗飛鳥(岡田将生)は、橘充太(佐野和真)に都塚りょう(夏帆)をデートに誘うよう勧められるが頬を染めて無理だと言うばかり。一方、多武峰一(木村了)が銀百合学園2年A組に転校してきた。転校は飛鳥を倒すためだという多武峰の自己紹介に苦笑いする飛鳥と、波乱の予感に喜ぶ充太。剣道部の練習では腕が落ちていない多武峰を素直に認める飛鳥だが、多武峰は飛鳥を天敵だと言い放つ。  　そんな中、有明大和(瀬戸康史)に頼まれ、大和の叔父のマサ(神保悟志)が営む海の家の手伝いに行くことになった飛鳥ら剣道部員、りょう、充太、妹の久利子(武井咲)。海の家「政」の店主・マサは到着した飛鳥らを大歓迎。数日後に行われる町主催のイベントのヒーローショーに出演して欲しいという。演出家となる町内会長の息子の幼い少年を紹介され、相手が子供であることに安心する剣道部員の磯野(澤部佑)だったが…。  　その夜、浜辺で素振り稽古をしている多武峰を見かけ目をとめた久利子は、飛鳥が多武峰に「すきだ」と言うのを聞き、充太に報告する。学校で多武峰が黒川樹虎(市川知宏)に「飛鳥がいないとダメ」と話していたことを思い出した充太は、本人に気持ちを確認しようとする。直後、飛鳥が戻ってきた。  　その頃イベントで行われる世界的に有名なヘアメイクとスタイリストのトークショーを目当てに小針田雅(桐谷美玲)らが海に向かっていた。そしてイベント当日になり…。</v>
      </c>
      <c r="N1758" s="2"/>
      <c r="O1758" s="2"/>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row>
    <row r="1759" ht="204.75" customHeight="1">
      <c r="A1759" s="1">
        <v>5213.0</v>
      </c>
      <c r="B1759" s="2" t="s">
        <v>5592</v>
      </c>
      <c r="C1759" s="2">
        <f>IFERROR(__xludf.DUMMYFUNCTION("split(B1759,""_"")"),907.0)</f>
        <v>907</v>
      </c>
      <c r="D1759" s="2" t="str">
        <f>IFERROR(__xludf.DUMMYFUNCTION("""COMPUTED_VALUE"""),"CX")</f>
        <v>CX</v>
      </c>
      <c r="E1759" s="2" t="str">
        <f>IFERROR(__xludf.DUMMYFUNCTION("""COMPUTED_VALUE"""),"土23")</f>
        <v>土23</v>
      </c>
      <c r="F1759" s="2" t="s">
        <v>5593</v>
      </c>
      <c r="G1759" s="2" t="s">
        <v>5606</v>
      </c>
      <c r="H1759" s="1">
        <v>5.0</v>
      </c>
      <c r="I1759" s="1" t="s">
        <v>17</v>
      </c>
      <c r="J1759" s="1" t="s">
        <v>2429</v>
      </c>
      <c r="K1759" s="2" t="s">
        <v>5607</v>
      </c>
      <c r="L1759" s="2" t="s">
        <v>5608</v>
      </c>
      <c r="M1759" s="2" t="str">
        <f>IFERROR(__xludf.DUMMYFUNCTION("split(split(K1759,""岡田将生　"",false),""公式LINE"",false)"),"海の家「政」の手伝いで海へ来ていた正宗飛鳥(岡田将生)が早朝稽古をしていると、走りこみをしていた有明大和(瀬戸康史)が来た。飛鳥は強い男になりたいと努力する大和を励ます。  　まったく客が入らない「政」のため橘充太(佐野和真)と飛鳥は浜辺の女の子に声をかけては店に誘う。しかし、店はボロくメニューが焼きそばしかないことで来たお客もすぐ帰ってしまう。充太の部屋でマンガ『らぶちっく』の原稿をチェックしていた橘久利子(武井咲)は、風に飛ばされた原稿を拾いに行くが、通りかかった黒川樹虎(市川知宏)が表紙を拾っていた"&amp;"ことに気付かなかった。  　その夜、隣接する海の家「シードラゴン」に店の権利を売るように、海の家管理組合の責任者から勧められていたマサ(神保悟志)を見た飛鳥は、力になろうと新メニューを考える。かわいいフラッペの試作品を作って都塚りょう(夏帆)に差し出す飛鳥。そこへ…。　翌日、さっそくフラッペをメニューに加えるべく飛鳥と大和と充太は果物屋に行くが、果物は「シードラゴン」に買い占められた後だった。果物を譲ってもらおうと「シードラゴン」に向かった飛鳥たち。すると1人のホストが大和をバカにするように話しかけてきた"&amp;"。それでもヘラヘラと笑っている大和を見た飛鳥は、「シードラゴン」で働かないかという誘いを「勝負で勝ったら」という条件で引き受ける…!")</f>
        <v>海の家「政」の手伝いで海へ来ていた正宗飛鳥(岡田将生)が早朝稽古をしていると、走りこみをしていた有明大和(瀬戸康史)が来た。飛鳥は強い男になりたいと努力する大和を励ます。  　まったく客が入らない「政」のため橘充太(佐野和真)と飛鳥は浜辺の女の子に声をかけては店に誘う。しかし、店はボロくメニューが焼きそばしかないことで来たお客もすぐ帰ってしまう。充太の部屋でマンガ『らぶちっく』の原稿をチェックしていた橘久利子(武井咲)は、風に飛ばされた原稿を拾いに行くが、通りかかった黒川樹虎(市川知宏)が表紙を拾っていたことに気付かなかった。  　その夜、隣接する海の家「シードラゴン」に店の権利を売るように、海の家管理組合の責任者から勧められていたマサ(神保悟志)を見た飛鳥は、力になろうと新メニューを考える。かわいいフラッペの試作品を作って都塚りょう(夏帆)に差し出す飛鳥。そこへ…。　翌日、さっそくフラッペをメニューに加えるべく飛鳥と大和と充太は果物屋に行くが、果物は「シードラゴン」に買い占められた後だった。果物を譲ってもらおうと「シードラゴン」に向かった飛鳥たち。すると1人のホストが大和をバカにするように話しかけてきた。それでもヘラヘラと笑っている大和を見た飛鳥は、「シードラゴン」で働かないかという誘いを「勝負で勝ったら」という条件で引き受ける…!</v>
      </c>
      <c r="N1759" s="2"/>
      <c r="O1759" s="2"/>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row>
    <row r="1760" ht="204.75" customHeight="1">
      <c r="A1760" s="1">
        <v>5214.0</v>
      </c>
      <c r="B1760" s="2" t="s">
        <v>5592</v>
      </c>
      <c r="C1760" s="2">
        <f>IFERROR(__xludf.DUMMYFUNCTION("split(B1760,""_"")"),907.0)</f>
        <v>907</v>
      </c>
      <c r="D1760" s="2" t="str">
        <f>IFERROR(__xludf.DUMMYFUNCTION("""COMPUTED_VALUE"""),"CX")</f>
        <v>CX</v>
      </c>
      <c r="E1760" s="2" t="str">
        <f>IFERROR(__xludf.DUMMYFUNCTION("""COMPUTED_VALUE"""),"土23")</f>
        <v>土23</v>
      </c>
      <c r="F1760" s="2" t="s">
        <v>5593</v>
      </c>
      <c r="G1760" s="2" t="s">
        <v>5609</v>
      </c>
      <c r="H1760" s="1">
        <v>6.0</v>
      </c>
      <c r="I1760" s="1" t="s">
        <v>21</v>
      </c>
      <c r="J1760" s="1" t="s">
        <v>2429</v>
      </c>
      <c r="K1760" s="2" t="s">
        <v>5610</v>
      </c>
      <c r="L1760" s="2" t="s">
        <v>5611</v>
      </c>
      <c r="M1760" s="2" t="str">
        <f>IFERROR(__xludf.DUMMYFUNCTION("split(split(K1760,""岡田将生　"",false),""公式LINE"",false)"),"銀百合学園の伝統行事である、女らしさを競う「やまとなでしこコンテスト」が近づいてきた。2年A組では代表出場者を決める投票が行われ、結果に満足気にうなずく正宗飛鳥(岡田将生)。圧倒的な強さで2年代表に選ばれたのは都塚りょう(夏帆)だった。  　りょうに付き添い“なでしコン""実行委員会にやって来た飛鳥と橘充太(佐野和真)は、実行委員である黒川樹虎(市川知宏)からコンテストの詳細を知らされる。種目は着付け、お茶、お華、料理の4種目で、りょうの苦手なものばかりだ。そして出場者にはサポートをする男子生徒の介添人が"&amp;"必要と聞いた飛鳥はりょうに手伝いを申し出る。りょうを支え、立派な大和撫子にすることを心に誓う飛鳥。そこへ3年代表に選ばれた小針田雅(桐谷美玲)がやって来た。過去2年、優勝している雅は余裕の笑みを浮かべりょうに正々堂々と勝負しようと声をかける。  　開催10日前になり、各学年の代表者が掲示板に張り出された。有明大和(瀬戸康史)は1年代表の欄に自分の名前を見つけ驚き尻込みするが、橘久利子(武井咲)の口車に乗せられてやる気を出す。まるで興味を示さなかった多武峰一(木村了)だったが、介添人に飛鳥の名前を見つけ雅に"&amp;"介添人になると申し出る。  　そして、コンテスト当日。ステージにはりょう、雅、大和の出場者、飛鳥や多武峰の介添人が顔をそろえ、いよいよ第1種目・着付けがスタートする…!")</f>
        <v>銀百合学園の伝統行事である、女らしさを競う「やまとなでしこコンテスト」が近づいてきた。2年A組では代表出場者を決める投票が行われ、結果に満足気にうなずく正宗飛鳥(岡田将生)。圧倒的な強さで2年代表に選ばれたのは都塚りょう(夏帆)だった。  　りょうに付き添い“なでしコン"実行委員会にやって来た飛鳥と橘充太(佐野和真)は、実行委員である黒川樹虎(市川知宏)からコンテストの詳細を知らされる。種目は着付け、お茶、お華、料理の4種目で、りょうの苦手なものばかりだ。そして出場者にはサポートをする男子生徒の介添人が必要と聞いた飛鳥はりょうに手伝いを申し出る。りょうを支え、立派な大和撫子にすることを心に誓う飛鳥。そこへ3年代表に選ばれた小針田雅(桐谷美玲)がやって来た。過去2年、優勝している雅は余裕の笑みを浮かべりょうに正々堂々と勝負しようと声をかける。  　開催10日前になり、各学年の代表者が掲示板に張り出された。有明大和(瀬戸康史)は1年代表の欄に自分の名前を見つけ驚き尻込みするが、橘久利子(武井咲)の口車に乗せられてやる気を出す。まるで興味を示さなかった多武峰一(木村了)だったが、介添人に飛鳥の名前を見つけ雅に介添人になると申し出る。  　そして、コンテスト当日。ステージにはりょう、雅、大和の出場者、飛鳥や多武峰の介添人が顔をそろえ、いよいよ第1種目・着付けがスタートする…!</v>
      </c>
      <c r="N1760" s="2"/>
      <c r="O1760" s="2"/>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row>
    <row r="1761" ht="204.75" customHeight="1">
      <c r="A1761" s="1">
        <v>5215.0</v>
      </c>
      <c r="B1761" s="2" t="s">
        <v>5592</v>
      </c>
      <c r="C1761" s="2">
        <f>IFERROR(__xludf.DUMMYFUNCTION("split(B1761,""_"")"),907.0)</f>
        <v>907</v>
      </c>
      <c r="D1761" s="2" t="str">
        <f>IFERROR(__xludf.DUMMYFUNCTION("""COMPUTED_VALUE"""),"CX")</f>
        <v>CX</v>
      </c>
      <c r="E1761" s="2" t="str">
        <f>IFERROR(__xludf.DUMMYFUNCTION("""COMPUTED_VALUE"""),"土23")</f>
        <v>土23</v>
      </c>
      <c r="F1761" s="2" t="s">
        <v>5593</v>
      </c>
      <c r="G1761" s="2" t="s">
        <v>5612</v>
      </c>
      <c r="H1761" s="1">
        <v>7.0</v>
      </c>
      <c r="I1761" s="1" t="s">
        <v>25</v>
      </c>
      <c r="J1761" s="1" t="s">
        <v>2429</v>
      </c>
      <c r="K1761" s="2" t="s">
        <v>5613</v>
      </c>
      <c r="L1761" s="2" t="s">
        <v>5614</v>
      </c>
      <c r="M1761" s="2" t="str">
        <f>IFERROR(__xludf.DUMMYFUNCTION("split(split(K1761,""岡田将生　"",false),""公式LINE"",false)"),"少女マンガ「らぶちっく」を読み、胸をときめかせる正宗飛鳥(岡田将生)。  　「らぶちっく」の作者でありながら正体を隠している橘充太(佐野和真)は、美術の授業で無意識に「らぶちっく」のイラストを書いて飛鳥に見られ、ファンだとごまかす。そんな中「らぶちっく」が黒泉社漫画大賞に選ばれた。授賞式に欠席するわけにもいかず、充太は久利子(武井咲)に幸花ジュエルになりすますように提案する。  　黒泉社では、少女漫画界のカリスマ・城之内ミラが漫画大賞のプレゼンターを依頼されていた。ミラは飛鳥の父・主水乃介(鶴見辰吾)だっ"&amp;"た。受賞作「らぶちっく」の作者が高校生男子で正体を隠していると聞いた主水乃介は依頼を受けることにする。  　漫画大賞授賞式。招待券を当てて会場に来ていた飛鳥と都塚りょう(夏帆)と会った充太は出版社勤務の叔父に入れてもらったとウソをつく。一方、控え室にいた久利子の元に黒川樹虎(市川知宏)がファンからの花を届けに来た。久利子がジュエルと誤解させたまま、口外しないようにお願いする久利子に樹虎は、了承しながらも読者は正直であることを求めているのではないかと話す。  　会場では、充太が幼い頃から憧れていた城之内ミラ"&amp;"と会えた興奮のあまり自分が漫画家になろうと決めたきっかけがミラであったことを熱く語る。充太の言葉を聞いてしまい驚く飛鳥。慌てる充太だが、さらに携帯に久利子からメールが届いた!")</f>
        <v>少女マンガ「らぶちっく」を読み、胸をときめかせる正宗飛鳥(岡田将生)。  　「らぶちっく」の作者でありながら正体を隠している橘充太(佐野和真)は、美術の授業で無意識に「らぶちっく」のイラストを書いて飛鳥に見られ、ファンだとごまかす。そんな中「らぶちっく」が黒泉社漫画大賞に選ばれた。授賞式に欠席するわけにもいかず、充太は久利子(武井咲)に幸花ジュエルになりすますように提案する。  　黒泉社では、少女漫画界のカリスマ・城之内ミラが漫画大賞のプレゼンターを依頼されていた。ミラは飛鳥の父・主水乃介(鶴見辰吾)だった。受賞作「らぶちっく」の作者が高校生男子で正体を隠していると聞いた主水乃介は依頼を受けることにする。  　漫画大賞授賞式。招待券を当てて会場に来ていた飛鳥と都塚りょう(夏帆)と会った充太は出版社勤務の叔父に入れてもらったとウソをつく。一方、控え室にいた久利子の元に黒川樹虎(市川知宏)がファンからの花を届けに来た。久利子がジュエルと誤解させたまま、口外しないようにお願いする久利子に樹虎は、了承しながらも読者は正直であることを求めているのではないかと話す。  　会場では、充太が幼い頃から憧れていた城之内ミラと会えた興奮のあまり自分が漫画家になろうと決めたきっかけがミラであったことを熱く語る。充太の言葉を聞いてしまい驚く飛鳥。慌てる充太だが、さらに携帯に久利子からメールが届いた!</v>
      </c>
      <c r="N1761" s="2"/>
      <c r="O1761" s="2"/>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row>
    <row r="1762" ht="204.75" customHeight="1">
      <c r="A1762" s="1">
        <v>5216.0</v>
      </c>
      <c r="B1762" s="2" t="s">
        <v>5592</v>
      </c>
      <c r="C1762" s="2">
        <f>IFERROR(__xludf.DUMMYFUNCTION("split(B1762,""_"")"),907.0)</f>
        <v>907</v>
      </c>
      <c r="D1762" s="2" t="str">
        <f>IFERROR(__xludf.DUMMYFUNCTION("""COMPUTED_VALUE"""),"CX")</f>
        <v>CX</v>
      </c>
      <c r="E1762" s="2" t="str">
        <f>IFERROR(__xludf.DUMMYFUNCTION("""COMPUTED_VALUE"""),"土23")</f>
        <v>土23</v>
      </c>
      <c r="F1762" s="2" t="s">
        <v>5593</v>
      </c>
      <c r="G1762" s="2" t="s">
        <v>5615</v>
      </c>
      <c r="H1762" s="1">
        <v>8.0</v>
      </c>
      <c r="I1762" s="1" t="s">
        <v>29</v>
      </c>
      <c r="J1762" s="1" t="s">
        <v>2429</v>
      </c>
      <c r="K1762" s="2" t="s">
        <v>5616</v>
      </c>
      <c r="L1762" s="2" t="s">
        <v>5617</v>
      </c>
      <c r="M1762" s="2" t="str">
        <f>IFERROR(__xludf.DUMMYFUNCTION("split(split(K1762,""岡田将生　"",false),""公式LINE"",false)"),"剣道場の隅で正宗飛鳥(岡田将生)、多武峰一(木村了)、有明大和(瀬戸康史)が苦い表情であるチラシを見ていた。チラシには最近連続で起きているひったくり犯の似顔絵が描かれており、それは磯野(澤部佑)にそっくりだったのだ。コーチとして来ていた刑事の都塚猛(高田延彦)もまた磯野に疑惑の目を向けるが、事情を知らない磯野だけは選手として期待されてると勘違い。張り切って稽古を続けていた。  　稽古終了後、猛が飛鳥に“乙女心""を指導して欲しいと頼んできた。戸惑う飛鳥だが、女性心理を理解することで犯罪を未然に防ぎたいとい"&amp;"う猛の言葉に引き受けることにする。猛と共にレディースファッション店やぬいぐるみ店などを回る飛鳥。居心地が悪そうな猛に対し、飛鳥のテンションは上がる一方だ。ぬいぐるみ店では編みぐるみ教室が開催されていて参加することになった飛鳥と猛だが、講師の顔を見て飛鳥はあ然とする…!  　その帰り道、猛は飛鳥に乙女心を知りたかった理由は仕事ではなく、今週末の都塚りょう(夏帆)の誕生日プレゼントを選ぶためだったと話す。りょうの誕生日を知らなかった飛鳥は思いをめぐらし…。その矢先、猛に刑事の相棒から磯野に不審な動きがあったと"&amp;"連絡が入った。  　公園で剣道の稽古をしていた磯野の元へ駆けつけた猛が離れたところで監視を続けていると、公園に1人の老女が入ってきた。その姿を見た磯野は老女に近づいていき…。")</f>
        <v>剣道場の隅で正宗飛鳥(岡田将生)、多武峰一(木村了)、有明大和(瀬戸康史)が苦い表情であるチラシを見ていた。チラシには最近連続で起きているひったくり犯の似顔絵が描かれており、それは磯野(澤部佑)にそっくりだったのだ。コーチとして来ていた刑事の都塚猛(高田延彦)もまた磯野に疑惑の目を向けるが、事情を知らない磯野だけは選手として期待されてると勘違い。張り切って稽古を続けていた。  　稽古終了後、猛が飛鳥に“乙女心"を指導して欲しいと頼んできた。戸惑う飛鳥だが、女性心理を理解することで犯罪を未然に防ぎたいという猛の言葉に引き受けることにする。猛と共にレディースファッション店やぬいぐるみ店などを回る飛鳥。居心地が悪そうな猛に対し、飛鳥のテンションは上がる一方だ。ぬいぐるみ店では編みぐるみ教室が開催されていて参加することになった飛鳥と猛だが、講師の顔を見て飛鳥はあ然とする…!  　その帰り道、猛は飛鳥に乙女心を知りたかった理由は仕事ではなく、今週末の都塚りょう(夏帆)の誕生日プレゼントを選ぶためだったと話す。りょうの誕生日を知らなかった飛鳥は思いをめぐらし…。その矢先、猛に刑事の相棒から磯野に不審な動きがあったと連絡が入った。  　公園で剣道の稽古をしていた磯野の元へ駆けつけた猛が離れたところで監視を続けていると、公園に1人の老女が入ってきた。その姿を見た磯野は老女に近づいていき…。</v>
      </c>
      <c r="N1762" s="2"/>
      <c r="O1762" s="2"/>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row>
    <row r="1763" ht="204.75" customHeight="1">
      <c r="A1763" s="1">
        <v>5239.0</v>
      </c>
      <c r="B1763" s="2" t="s">
        <v>5618</v>
      </c>
      <c r="C1763" s="2">
        <f>IFERROR(__xludf.DUMMYFUNCTION("split(B1763,""_"")"),904.0)</f>
        <v>904</v>
      </c>
      <c r="D1763" s="2" t="str">
        <f>IFERROR(__xludf.DUMMYFUNCTION("""COMPUTED_VALUE"""),"CX")</f>
        <v>CX</v>
      </c>
      <c r="E1763" s="2" t="str">
        <f>IFERROR(__xludf.DUMMYFUNCTION("""COMPUTED_VALUE"""),"月21")</f>
        <v>月21</v>
      </c>
      <c r="F1763" s="2" t="s">
        <v>5619</v>
      </c>
      <c r="G1763" s="2" t="s">
        <v>5620</v>
      </c>
      <c r="H1763" s="1">
        <v>1.0</v>
      </c>
      <c r="I1763" s="1" t="s">
        <v>3</v>
      </c>
      <c r="J1763" s="1" t="s">
        <v>4</v>
      </c>
      <c r="K1763" s="4" t="s">
        <v>5621</v>
      </c>
      <c r="L1763" s="2" t="s">
        <v>5622</v>
      </c>
      <c r="M1763" s="2" t="str">
        <f>IFERROR(__xludf.DUMMYFUNCTION("split(split(K1763,""中居正広　"",false),""公式LINE"",false)"),"雨宮邦之(中居正広)は『就職氷河期』の真っ只中に3流大学を卒業し、とある企業で働いていたが、この不況の折り、職を失う。家からは今日もとんかつの匂いがただよっている。彼が最も苦手な油と肉が融合した香りだ。このまま仕事がなかったら、とんかつ屋「とんくに」を継ぐしか生きる道はなくなってしまうのか!?それだけは避けたかった。しかしこの未曾有の不況のなか、そう簡単に仕事はみつかりそうになかった。  　一方、邦之の住む町、春見区でも雇用促進と少子化対策に頭を悩ませていた。区長・溝口静子(風吹ジュン)は、とりあえず形だ"&amp;"けでもとばかりに若干名の臨時職員採用と、名ばかりの少子化対策チームの発足を決めた。臨時職員募集の話を耳にした邦之はすぐに飛びつく。能力によってはそのまま正規採用の可能性もあるという。意気込んで試験に臨んだ邦之は、面接の時になって、「既婚者」であることという採用条件があることを知り、仕事を獲得したい一心で、結婚の予定がある、と嘘をついてしまうのだった。無事就職は決定するものの、これが全ての始まりだった…。  　採用されてしまえばこっちのもの、と思っていたのだが、いつの間にか邦之結婚!の噂は町に流れ、父親の雨"&amp;"宮邦夫(小日向文世)も大喜び。邦之のおさななじみで妹の様な存在の飛田春乃(上戸彩)も衝撃を隠せない。弟分の深澤茂(佐藤隆太)を中心に地域をあげての大騒ぎとなってしまうのだった。")</f>
        <v>雨宮邦之(中居正広)は『就職氷河期』の真っ只中に3流大学を卒業し、とある企業で働いていたが、この不況の折り、職を失う。家からは今日もとんかつの匂いがただよっている。彼が最も苦手な油と肉が融合した香りだ。このまま仕事がなかったら、とんかつ屋「とんくに」を継ぐしか生きる道はなくなってしまうのか!?それだけは避けたかった。しかしこの未曾有の不況のなか、そう簡単に仕事はみつかりそうになかった。  　一方、邦之の住む町、春見区でも雇用促進と少子化対策に頭を悩ませていた。区長・溝口静子(風吹ジュン)は、とりあえず形だけでもとばかりに若干名の臨時職員採用と、名ばかりの少子化対策チームの発足を決めた。臨時職員募集の話を耳にした邦之はすぐに飛びつく。能力によってはそのまま正規採用の可能性もあるという。意気込んで試験に臨んだ邦之は、面接の時になって、「既婚者」であることという採用条件があることを知り、仕事を獲得したい一心で、結婚の予定がある、と嘘をついてしまうのだった。無事就職は決定するものの、これが全ての始まりだった…。  　採用されてしまえばこっちのもの、と思っていたのだが、いつの間にか邦之結婚!の噂は町に流れ、父親の雨宮邦夫(小日向文世)も大喜び。邦之のおさななじみで妹の様な存在の飛田春乃(上戸彩)も衝撃を隠せない。弟分の深澤茂(佐藤隆太)を中心に地域をあげての大騒ぎとなってしまうのだった。</v>
      </c>
      <c r="N1763" s="2"/>
      <c r="O1763" s="2"/>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row>
    <row r="1764" ht="204.75" customHeight="1">
      <c r="A1764" s="1">
        <v>5240.0</v>
      </c>
      <c r="B1764" s="2" t="s">
        <v>5618</v>
      </c>
      <c r="C1764" s="2">
        <f>IFERROR(__xludf.DUMMYFUNCTION("split(B1764,""_"")"),904.0)</f>
        <v>904</v>
      </c>
      <c r="D1764" s="2" t="str">
        <f>IFERROR(__xludf.DUMMYFUNCTION("""COMPUTED_VALUE"""),"CX")</f>
        <v>CX</v>
      </c>
      <c r="E1764" s="2" t="str">
        <f>IFERROR(__xludf.DUMMYFUNCTION("""COMPUTED_VALUE"""),"月21")</f>
        <v>月21</v>
      </c>
      <c r="F1764" s="2" t="s">
        <v>5619</v>
      </c>
      <c r="G1764" s="2" t="s">
        <v>5623</v>
      </c>
      <c r="H1764" s="1">
        <v>2.0</v>
      </c>
      <c r="I1764" s="1" t="s">
        <v>7</v>
      </c>
      <c r="J1764" s="1" t="s">
        <v>11</v>
      </c>
      <c r="K1764" s="2" t="s">
        <v>5624</v>
      </c>
      <c r="L1764" s="2" t="s">
        <v>5625</v>
      </c>
      <c r="M1764" s="2" t="str">
        <f>IFERROR(__xludf.DUMMYFUNCTION("split(split(K1764,""中居正広　"",false),""公式LINE"",false)"),"雨宮邦之(中居正広)は、既婚と偽って春見区の臨時職員として採用された。職を失いたくないため、邦之は婚活を始めるのだが、その事実は邦之を採用してくれた溝口静子区長(風吹ジュン)に知られてはまずい。また、邦之結婚の報は町内あげての騒ぎになり、御祝儀までもらってしまったため、父の邦夫(小日向文世)にも内緒。  　邦之は、自分と同じ境遇で採用された区の臨時職員・桜田周五郎(橋爪功)、幼なじみの深澤茂(佐藤隆太)と婚活に出かける。その日は、料理合コン。茂は以前に目をつけていた村瀬優子(釈由美子)に果敢にアタック。秘"&amp;"策があると邦之に語っていた茂は、自分がリカーショップのCEOでスタンディングバーも経営していると見栄を張り、優子とデートの約束を取り付ける。  　実家に帰った邦之は驚く。なんと、高倉真琴(りょう)が来ているではないか。真琴は、邦之たちが参加している婚活合コンのプロデュースをしているのだ。飛田春乃(上戸彩)は、邦之の落ち着かない姿を見て、真琴との間に何かあるのではないかと考える。  　そんな中、邦之の弟、邦康(上田竜也)や、さらには区役所でも邦之と同じ少子化対策課の幼なじみ・二瓶匠(谷原章介)、エリート職員"&amp;"の伊藤勝(北村有起哉)らが邦之を疑い始める。一方、自分を偽って優子とデートを繰り返す茂は…。")</f>
        <v>雨宮邦之(中居正広)は、既婚と偽って春見区の臨時職員として採用された。職を失いたくないため、邦之は婚活を始めるのだが、その事実は邦之を採用してくれた溝口静子区長(風吹ジュン)に知られてはまずい。また、邦之結婚の報は町内あげての騒ぎになり、御祝儀までもらってしまったため、父の邦夫(小日向文世)にも内緒。  　邦之は、自分と同じ境遇で採用された区の臨時職員・桜田周五郎(橋爪功)、幼なじみの深澤茂(佐藤隆太)と婚活に出かける。その日は、料理合コン。茂は以前に目をつけていた村瀬優子(釈由美子)に果敢にアタック。秘策があると邦之に語っていた茂は、自分がリカーショップのCEOでスタンディングバーも経営していると見栄を張り、優子とデートの約束を取り付ける。  　実家に帰った邦之は驚く。なんと、高倉真琴(りょう)が来ているではないか。真琴は、邦之たちが参加している婚活合コンのプロデュースをしているのだ。飛田春乃(上戸彩)は、邦之の落ち着かない姿を見て、真琴との間に何かあるのではないかと考える。  　そんな中、邦之の弟、邦康(上田竜也)や、さらには区役所でも邦之と同じ少子化対策課の幼なじみ・二瓶匠(谷原章介)、エリート職員の伊藤勝(北村有起哉)らが邦之を疑い始める。一方、自分を偽って優子とデートを繰り返す茂は…。</v>
      </c>
      <c r="N1764" s="2"/>
      <c r="O1764" s="2"/>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row>
    <row r="1765" ht="204.75" customHeight="1">
      <c r="A1765" s="1">
        <v>5241.0</v>
      </c>
      <c r="B1765" s="2" t="s">
        <v>5618</v>
      </c>
      <c r="C1765" s="2">
        <f>IFERROR(__xludf.DUMMYFUNCTION("split(B1765,""_"")"),904.0)</f>
        <v>904</v>
      </c>
      <c r="D1765" s="2" t="str">
        <f>IFERROR(__xludf.DUMMYFUNCTION("""COMPUTED_VALUE"""),"CX")</f>
        <v>CX</v>
      </c>
      <c r="E1765" s="2" t="str">
        <f>IFERROR(__xludf.DUMMYFUNCTION("""COMPUTED_VALUE"""),"月21")</f>
        <v>月21</v>
      </c>
      <c r="F1765" s="2" t="s">
        <v>5619</v>
      </c>
      <c r="G1765" s="2" t="s">
        <v>5626</v>
      </c>
      <c r="H1765" s="1">
        <v>3.0</v>
      </c>
      <c r="I1765" s="1" t="s">
        <v>10</v>
      </c>
      <c r="J1765" s="1" t="s">
        <v>11</v>
      </c>
      <c r="K1765" s="2" t="s">
        <v>5627</v>
      </c>
      <c r="L1765" s="2" t="s">
        <v>5628</v>
      </c>
      <c r="M1765" s="2" t="str">
        <f>IFERROR(__xludf.DUMMYFUNCTION("split(split(K1765,""中居正広　"",false),""公式LINE"",false)"),"仕事を続けるために婚活を始めた春見区少子化対策課臨時職員の雨宮邦之(中居正広)。自分の婚活もままならぬ中、溝口静子区長(風吹ジュン)への言い訳から、なんと邦之は少子課対策課の婚活事業のリーダーとなってしまう。  　そんな中、邦之はヨガ合コンで知り合った金子杏里(山口紗弥加)という女性とメールのやりとりをする関係に発展。初めてのお食事デートでは、杏里からさりげなく実家に誘われ、機会があったらと返事をする邦之。せっせとメールのやりとりをしてくれる邦之に杏里は…。  　一方、深澤茂(佐藤隆太)は、優子(釈由美子"&amp;")の暴言からかばってくれた飛田春乃(上戸彩)の気持ちが自分にあると思い込み、告白のタイミングを計る。  　そんな時、邦之は静子に婚活事業の進ちょくを聞かれ、合コンパーティーの開催を宣言してしまう。気を良くした静子は、区のテレビ番組で邦之たちの婚活事業で結ばれたカップルを一週間後の放送で紹介すると公言してしまう。邦之はまたしても公私にピンチを招いてしまって…。")</f>
        <v>仕事を続けるために婚活を始めた春見区少子化対策課臨時職員の雨宮邦之(中居正広)。自分の婚活もままならぬ中、溝口静子区長(風吹ジュン)への言い訳から、なんと邦之は少子課対策課の婚活事業のリーダーとなってしまう。  　そんな中、邦之はヨガ合コンで知り合った金子杏里(山口紗弥加)という女性とメールのやりとりをする関係に発展。初めてのお食事デートでは、杏里からさりげなく実家に誘われ、機会があったらと返事をする邦之。せっせとメールのやりとりをしてくれる邦之に杏里は…。  　一方、深澤茂(佐藤隆太)は、優子(釈由美子)の暴言からかばってくれた飛田春乃(上戸彩)の気持ちが自分にあると思い込み、告白のタイミングを計る。  　そんな時、邦之は静子に婚活事業の進ちょくを聞かれ、合コンパーティーの開催を宣言してしまう。気を良くした静子は、区のテレビ番組で邦之たちの婚活事業で結ばれたカップルを一週間後の放送で紹介すると公言してしまう。邦之はまたしても公私にピンチを招いてしまって…。</v>
      </c>
      <c r="N1765" s="2"/>
      <c r="O1765" s="2"/>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row>
    <row r="1766" ht="204.75" customHeight="1">
      <c r="A1766" s="1">
        <v>5242.0</v>
      </c>
      <c r="B1766" s="2" t="s">
        <v>5618</v>
      </c>
      <c r="C1766" s="2">
        <f>IFERROR(__xludf.DUMMYFUNCTION("split(B1766,""_"")"),904.0)</f>
        <v>904</v>
      </c>
      <c r="D1766" s="2" t="str">
        <f>IFERROR(__xludf.DUMMYFUNCTION("""COMPUTED_VALUE"""),"CX")</f>
        <v>CX</v>
      </c>
      <c r="E1766" s="2" t="str">
        <f>IFERROR(__xludf.DUMMYFUNCTION("""COMPUTED_VALUE"""),"月21")</f>
        <v>月21</v>
      </c>
      <c r="F1766" s="2" t="s">
        <v>5619</v>
      </c>
      <c r="G1766" s="2" t="s">
        <v>5629</v>
      </c>
      <c r="H1766" s="1">
        <v>4.0</v>
      </c>
      <c r="I1766" s="1" t="s">
        <v>14</v>
      </c>
      <c r="J1766" s="1" t="s">
        <v>11</v>
      </c>
      <c r="K1766" s="2" t="s">
        <v>5630</v>
      </c>
      <c r="L1766" s="2" t="s">
        <v>5631</v>
      </c>
      <c r="M1766" s="2" t="str">
        <f>IFERROR(__xludf.DUMMYFUNCTION("split(split(K1766,""中居正広　"",false),""公式LINE"",false)"),"雨宮邦之(中居正広)たちの春見区少子化対策課は、ゴルフ合コンを開催。二瓶匠(谷原章介)、桜田周五郎(橋爪功)は主催者としてゴルフ場に赴くが、くじ引きで負けた邦之は役所の窓口を担当することに。  　ゴルフ合コンには、邦之に頼まれた飛田春乃(上戸彩)、深澤茂(佐藤隆太)が参加。厳しく相手を値踏みする村瀬優子(釈由美子)もやって来た。しぶしぶ参加した茂だが、この機会に春乃にプロポーズするつもり。しかし、茂の計画は空回り。一方、優子はラウンド中に偶然出会った伊藤勝(北村有起哉)に惹かれる。  　邦之が誰も来ない婚"&amp;"活相談窓口で暇を持て余していると、溝口静子区長(風吹ジュン)が撮影隊を引き連れてやって来る。静子は、自分が窓口で区民の相談を受ける姿を撮りたいと思いついたのだ。しかし、相談者は一向に現れず、気まずい雰囲気が漂い始める。困った邦之が、弟の邦康(上田竜也)に連絡すると友人を連れてきてくれた。区長も満足。だが、邦康のうっかり発言で、邦之の実家がとんかつ店だと知った静子は、食べに行くと言い出した。邦之は、自分が区長に嘘をついていることを快く思わない邦夫が、区長と直接対面したら大変だと止めようとする。しかし、区長の"&amp;"行動を止めることは出来ない。邦之は合コンを終えた春乃たちに再び助けを求めるのだが、これが思わぬ騒動に!")</f>
        <v>雨宮邦之(中居正広)たちの春見区少子化対策課は、ゴルフ合コンを開催。二瓶匠(谷原章介)、桜田周五郎(橋爪功)は主催者としてゴルフ場に赴くが、くじ引きで負けた邦之は役所の窓口を担当することに。  　ゴルフ合コンには、邦之に頼まれた飛田春乃(上戸彩)、深澤茂(佐藤隆太)が参加。厳しく相手を値踏みする村瀬優子(釈由美子)もやって来た。しぶしぶ参加した茂だが、この機会に春乃にプロポーズするつもり。しかし、茂の計画は空回り。一方、優子はラウンド中に偶然出会った伊藤勝(北村有起哉)に惹かれる。  　邦之が誰も来ない婚活相談窓口で暇を持て余していると、溝口静子区長(風吹ジュン)が撮影隊を引き連れてやって来る。静子は、自分が窓口で区民の相談を受ける姿を撮りたいと思いついたのだ。しかし、相談者は一向に現れず、気まずい雰囲気が漂い始める。困った邦之が、弟の邦康(上田竜也)に連絡すると友人を連れてきてくれた。区長も満足。だが、邦康のうっかり発言で、邦之の実家がとんかつ店だと知った静子は、食べに行くと言い出した。邦之は、自分が区長に嘘をついていることを快く思わない邦夫が、区長と直接対面したら大変だと止めようとする。しかし、区長の行動を止めることは出来ない。邦之は合コンを終えた春乃たちに再び助けを求めるのだが、これが思わぬ騒動に!</v>
      </c>
      <c r="N1766" s="2"/>
      <c r="O1766" s="2"/>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row>
    <row r="1767" ht="204.75" customHeight="1">
      <c r="A1767" s="1">
        <v>5243.0</v>
      </c>
      <c r="B1767" s="2" t="s">
        <v>5618</v>
      </c>
      <c r="C1767" s="2">
        <f>IFERROR(__xludf.DUMMYFUNCTION("split(B1767,""_"")"),904.0)</f>
        <v>904</v>
      </c>
      <c r="D1767" s="2" t="str">
        <f>IFERROR(__xludf.DUMMYFUNCTION("""COMPUTED_VALUE"""),"CX")</f>
        <v>CX</v>
      </c>
      <c r="E1767" s="2" t="str">
        <f>IFERROR(__xludf.DUMMYFUNCTION("""COMPUTED_VALUE"""),"月21")</f>
        <v>月21</v>
      </c>
      <c r="F1767" s="2" t="s">
        <v>5619</v>
      </c>
      <c r="G1767" s="2" t="s">
        <v>5632</v>
      </c>
      <c r="H1767" s="1">
        <v>5.0</v>
      </c>
      <c r="I1767" s="1" t="s">
        <v>17</v>
      </c>
      <c r="J1767" s="1" t="s">
        <v>11</v>
      </c>
      <c r="K1767" s="2" t="s">
        <v>5633</v>
      </c>
      <c r="L1767" s="2" t="s">
        <v>5634</v>
      </c>
      <c r="M1767" s="2" t="str">
        <f>IFERROR(__xludf.DUMMYFUNCTION("split(split(K1767,""中居正広　"",false),""公式LINE"",false)"),"雨宮邦之(中居正広)は、少子化対策課で打ち出した婚活事業の視察と自らの婚活を兼ねて、高倉真琴(りょう)が主催する陶芸合コンに参加。しかし、これといった相手に恵まれない邦之の話し相手は、自然と真琴になってしまう。邦之は、区長(風吹ジュン)を騙すことに真琴も協力してくれたことを思い出して何かお礼がしたいと言う。すると、真琴は邦之にあることをお願いする。　一方、飛田春乃(上戸彩)も区長を騙すために邦之の婚約者を装った。しかし、春乃の行動を勘違いした深澤茂(佐藤隆太)があせってプロポーズしたのだった。返事を保留し"&amp;"た春乃、茂ともに悩みが続く状態になってしまう。  　そして二瓶匠(谷原章介)は都市開発部の伊藤勝(北村有起哉)が進めようとしている『さくら地蔵商店街再開発事業素案』を懸念。匠は桜田周五郎(橋爪功)を誘って勝の動向を探り始めた。　日曜日、邦之は真琴と、彼女の子供たちを連れて遊園地に出掛ける。この時、初めて真琴がバツイチで2人の子持ちだと知った邦之だが、幸せそうな母子たちに感動を覚えた。  　邦之は真琴家族を連れて『とんくに』へ。ちょうど茂への返事を春乃に促していた邦夫(小日向文世)もビックリ。真琴たちが帰る"&amp;"と、邦之も茂にキチンと答えるよう春乃に告げる。ついに決心した春乃は茂のもとへ…。")</f>
        <v>雨宮邦之(中居正広)は、少子化対策課で打ち出した婚活事業の視察と自らの婚活を兼ねて、高倉真琴(りょう)が主催する陶芸合コンに参加。しかし、これといった相手に恵まれない邦之の話し相手は、自然と真琴になってしまう。邦之は、区長(風吹ジュン)を騙すことに真琴も協力してくれたことを思い出して何かお礼がしたいと言う。すると、真琴は邦之にあることをお願いする。　一方、飛田春乃(上戸彩)も区長を騙すために邦之の婚約者を装った。しかし、春乃の行動を勘違いした深澤茂(佐藤隆太)があせってプロポーズしたのだった。返事を保留した春乃、茂ともに悩みが続く状態になってしまう。  　そして二瓶匠(谷原章介)は都市開発部の伊藤勝(北村有起哉)が進めようとしている『さくら地蔵商店街再開発事業素案』を懸念。匠は桜田周五郎(橋爪功)を誘って勝の動向を探り始めた。　日曜日、邦之は真琴と、彼女の子供たちを連れて遊園地に出掛ける。この時、初めて真琴がバツイチで2人の子持ちだと知った邦之だが、幸せそうな母子たちに感動を覚えた。  　邦之は真琴家族を連れて『とんくに』へ。ちょうど茂への返事を春乃に促していた邦夫(小日向文世)もビックリ。真琴たちが帰ると、邦之も茂にキチンと答えるよう春乃に告げる。ついに決心した春乃は茂のもとへ…。</v>
      </c>
      <c r="N1767" s="2"/>
      <c r="O1767" s="2"/>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row>
    <row r="1768" ht="204.75" customHeight="1">
      <c r="A1768" s="1">
        <v>5244.0</v>
      </c>
      <c r="B1768" s="2" t="s">
        <v>5618</v>
      </c>
      <c r="C1768" s="2">
        <f>IFERROR(__xludf.DUMMYFUNCTION("split(B1768,""_"")"),904.0)</f>
        <v>904</v>
      </c>
      <c r="D1768" s="2" t="str">
        <f>IFERROR(__xludf.DUMMYFUNCTION("""COMPUTED_VALUE"""),"CX")</f>
        <v>CX</v>
      </c>
      <c r="E1768" s="2" t="str">
        <f>IFERROR(__xludf.DUMMYFUNCTION("""COMPUTED_VALUE"""),"月21")</f>
        <v>月21</v>
      </c>
      <c r="F1768" s="2" t="s">
        <v>5619</v>
      </c>
      <c r="G1768" s="2" t="s">
        <v>5635</v>
      </c>
      <c r="H1768" s="1">
        <v>6.0</v>
      </c>
      <c r="I1768" s="1" t="s">
        <v>21</v>
      </c>
      <c r="J1768" s="1" t="s">
        <v>11</v>
      </c>
      <c r="K1768" s="2" t="s">
        <v>5636</v>
      </c>
      <c r="L1768" s="2" t="s">
        <v>5637</v>
      </c>
      <c r="M1768" s="2" t="str">
        <f>IFERROR(__xludf.DUMMYFUNCTION("split(split(K1768,""中居正広　"",false),""公式LINE"",false)"),"少子化対策課の雨宮邦之(中居正広)は、深澤茂(佐藤隆太)の店を婚活バーにすることで、さくら地蔵商店街の発展につなげようとする。その裏には、伊藤勝(北村有起哉)率いる都市開発課のさくら地蔵商店街再開発事業の本格化があった。さらに、溝口静子区長(風吹ジュン)の命令で、二瓶匠(谷原章介)も都市開発課の手伝いに借り出されてしまった。地元出身ということで白羽の矢を立てられた匠は区長には逆らえず、邦之たちとの間に溝が出来る。  　一方、プロポーズの件でギクシャクしていた飛田春乃(上戸彩)と茂は、邦夫(小日向文世)の計"&amp;"らいで元の関係に戻る。茂は春乃に好きな人がいるからとプロポーズを断られたのだが、その相手が誰なのかは謎のまま。邦之の話に感化され婚活を始める気持ちになった友人・茂木秀郎(風間俊介)を連れてきた邦康(上田竜也)にも春乃の好きな相手は分からない。　そんな中、茂の店で桜田周五郎(橋爪功)の提案した、猫好き合コンが開催されることになる。一方、勝を中心とする都市開発課は、さくら地蔵商店街の人々を集め、再開発計画の説明会を始めた。邦之たちと匠の間に広がろうとする溝は埋まるのか?そして、春乃の想いをよせる人とは?")</f>
        <v>少子化対策課の雨宮邦之(中居正広)は、深澤茂(佐藤隆太)の店を婚活バーにすることで、さくら地蔵商店街の発展につなげようとする。その裏には、伊藤勝(北村有起哉)率いる都市開発課のさくら地蔵商店街再開発事業の本格化があった。さらに、溝口静子区長(風吹ジュン)の命令で、二瓶匠(谷原章介)も都市開発課の手伝いに借り出されてしまった。地元出身ということで白羽の矢を立てられた匠は区長には逆らえず、邦之たちとの間に溝が出来る。  　一方、プロポーズの件でギクシャクしていた飛田春乃(上戸彩)と茂は、邦夫(小日向文世)の計らいで元の関係に戻る。茂は春乃に好きな人がいるからとプロポーズを断られたのだが、その相手が誰なのかは謎のまま。邦之の話に感化され婚活を始める気持ちになった友人・茂木秀郎(風間俊介)を連れてきた邦康(上田竜也)にも春乃の好きな相手は分からない。　そんな中、茂の店で桜田周五郎(橋爪功)の提案した、猫好き合コンが開催されることになる。一方、勝を中心とする都市開発課は、さくら地蔵商店街の人々を集め、再開発計画の説明会を始めた。邦之たちと匠の間に広がろうとする溝は埋まるのか?そして、春乃の想いをよせる人とは?</v>
      </c>
      <c r="N1768" s="2"/>
      <c r="O1768" s="2"/>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row>
    <row r="1769" ht="204.75" customHeight="1">
      <c r="A1769" s="1">
        <v>5245.0</v>
      </c>
      <c r="B1769" s="2" t="s">
        <v>5618</v>
      </c>
      <c r="C1769" s="2">
        <f>IFERROR(__xludf.DUMMYFUNCTION("split(B1769,""_"")"),904.0)</f>
        <v>904</v>
      </c>
      <c r="D1769" s="2" t="str">
        <f>IFERROR(__xludf.DUMMYFUNCTION("""COMPUTED_VALUE"""),"CX")</f>
        <v>CX</v>
      </c>
      <c r="E1769" s="2" t="str">
        <f>IFERROR(__xludf.DUMMYFUNCTION("""COMPUTED_VALUE"""),"月21")</f>
        <v>月21</v>
      </c>
      <c r="F1769" s="2" t="s">
        <v>5619</v>
      </c>
      <c r="G1769" s="2" t="s">
        <v>5638</v>
      </c>
      <c r="H1769" s="1">
        <v>7.0</v>
      </c>
      <c r="I1769" s="1" t="s">
        <v>25</v>
      </c>
      <c r="J1769" s="1" t="s">
        <v>11</v>
      </c>
      <c r="K1769" s="2" t="s">
        <v>5639</v>
      </c>
      <c r="L1769" s="2" t="s">
        <v>5640</v>
      </c>
      <c r="M1769" s="2" t="str">
        <f>IFERROR(__xludf.DUMMYFUNCTION("split(split(K1769,""中居正広　"",false),""公式LINE"",false)"),"雨宮邦之(中居正広)が、飛田春乃(上戸彩)の想い人…。春乃から「好きな人がいる」とプロポーズを断られた深澤茂(佐藤隆太)は、そんなことに思い当たる。茂は邦之と春乃の行動を注視し始める。  　そんな時、伊藤勝(北村有起哉)はさくら地蔵商店街の商店主たちに立退き料を支払うことで、再開発を一気に進めようとし始めた。邦之は、二瓶匠(谷原章介)たちと対抗策を練り始める。　一方、桜田周五郎(橋爪功)はスイーツ合コンに参加。その会場で周五郎は、及川知子(鷲尾真知子)という女性に気に入られるが押しの強い知子にへきえき。村"&amp;"瀬優子(釈由美子)に助けてもらったことで、知子の恨みを買ってしまう。  　知子の仕業なのか、区役所のファックスは溝口静子区長(風吹ジュン)に宛てた区役所への不正就職者を告発する怪文書を吐き出した。　『とんくに』や深澤酒店には、高倉真琴(りょう)がちょくちょく顔を出すようになっていた。真琴が婚活事業のアドバイスをしているからでもあるのだが、邦之との関係も急接近の雲行き。2人を見ている春乃の表情は微妙だ。  　急接近の邦之と真琴に春乃は?区役所にファックスされた怪文書は区長の目に触れてしまうのか!?")</f>
        <v>雨宮邦之(中居正広)が、飛田春乃(上戸彩)の想い人…。春乃から「好きな人がいる」とプロポーズを断られた深澤茂(佐藤隆太)は、そんなことに思い当たる。茂は邦之と春乃の行動を注視し始める。  　そんな時、伊藤勝(北村有起哉)はさくら地蔵商店街の商店主たちに立退き料を支払うことで、再開発を一気に進めようとし始めた。邦之は、二瓶匠(谷原章介)たちと対抗策を練り始める。　一方、桜田周五郎(橋爪功)はスイーツ合コンに参加。その会場で周五郎は、及川知子(鷲尾真知子)という女性に気に入られるが押しの強い知子にへきえき。村瀬優子(釈由美子)に助けてもらったことで、知子の恨みを買ってしまう。  　知子の仕業なのか、区役所のファックスは溝口静子区長(風吹ジュン)に宛てた区役所への不正就職者を告発する怪文書を吐き出した。　『とんくに』や深澤酒店には、高倉真琴(りょう)がちょくちょく顔を出すようになっていた。真琴が婚活事業のアドバイスをしているからでもあるのだが、邦之との関係も急接近の雲行き。2人を見ている春乃の表情は微妙だ。  　急接近の邦之と真琴に春乃は?区役所にファックスされた怪文書は区長の目に触れてしまうのか!?</v>
      </c>
      <c r="N1769" s="2"/>
      <c r="O1769" s="2"/>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row>
    <row r="1770" ht="204.75" customHeight="1">
      <c r="A1770" s="1">
        <v>5246.0</v>
      </c>
      <c r="B1770" s="2" t="s">
        <v>5618</v>
      </c>
      <c r="C1770" s="2">
        <f>IFERROR(__xludf.DUMMYFUNCTION("split(B1770,""_"")"),904.0)</f>
        <v>904</v>
      </c>
      <c r="D1770" s="2" t="str">
        <f>IFERROR(__xludf.DUMMYFUNCTION("""COMPUTED_VALUE"""),"CX")</f>
        <v>CX</v>
      </c>
      <c r="E1770" s="2" t="str">
        <f>IFERROR(__xludf.DUMMYFUNCTION("""COMPUTED_VALUE"""),"月21")</f>
        <v>月21</v>
      </c>
      <c r="F1770" s="2" t="s">
        <v>5619</v>
      </c>
      <c r="G1770" s="2" t="s">
        <v>5641</v>
      </c>
      <c r="H1770" s="1">
        <v>8.0</v>
      </c>
      <c r="I1770" s="1" t="s">
        <v>29</v>
      </c>
      <c r="J1770" s="1" t="s">
        <v>11</v>
      </c>
      <c r="K1770" s="2" t="s">
        <v>5642</v>
      </c>
      <c r="L1770" s="2" t="s">
        <v>5643</v>
      </c>
      <c r="M1770" s="2" t="str">
        <f>IFERROR(__xludf.DUMMYFUNCTION("split(split(K1770,""中居正広　"",false),""公式LINE"",false)"),"雨宮邦之(中居正広)は、桜田周五郎(橋爪功)をかばったことで結婚の予定などないことが溝口静子区長(風吹ジュン)にバレ、区役所を辞めた。さらに邦之は邦夫(小日向文世)から『とんくに』で仕事をさせるつもりはないと言われてしまう。  　飛田春乃(上戸彩)の邦之への想いを知った深澤茂(佐藤隆太)は、その想いを成就させたいと3人で遊びに行こうと持ちかける。茂は約束の日に自分は行かず、邦之と春乃を2人きりにさせるつもり。そんな計画を茂は春乃に打ち明ける。  　茂の計画当日。そんな計画を知らない邦之は、二瓶匠(谷原章介"&amp;")、桜田周五郎(橋爪功)と伊藤勝(北村有起哉)に対抗するためのさくら地蔵商店街活性化案を住人に説明。その後、茂たちとの待ち合わせ場所に行こうと考えていた。だが、商店街を縁結びで活性化させようという邦之たちの案に住人たちの反応は冷たい。挙句、とんかつも作れないとんかつ店の息子のくせにとまで言われた邦之は、作って見せると宣言して住人たちを招いた『とんくに』で、とんかつ作りを始める。だが、もとより邦之に料理の技術などなく苦戦。あきれ、見かねた邦夫の厳しい判定のもと、邦之は茂たちとの約束も忘れ、何度も作り直す羽目"&amp;"に…。  　一方、茂に応援され、邦之を待つ春乃。しかし、約束の時間はとっくに過ぎてしまって…。")</f>
        <v>雨宮邦之(中居正広)は、桜田周五郎(橋爪功)をかばったことで結婚の予定などないことが溝口静子区長(風吹ジュン)にバレ、区役所を辞めた。さらに邦之は邦夫(小日向文世)から『とんくに』で仕事をさせるつもりはないと言われてしまう。  　飛田春乃(上戸彩)の邦之への想いを知った深澤茂(佐藤隆太)は、その想いを成就させたいと3人で遊びに行こうと持ちかける。茂は約束の日に自分は行かず、邦之と春乃を2人きりにさせるつもり。そんな計画を茂は春乃に打ち明ける。  　茂の計画当日。そんな計画を知らない邦之は、二瓶匠(谷原章介)、桜田周五郎(橋爪功)と伊藤勝(北村有起哉)に対抗するためのさくら地蔵商店街活性化案を住人に説明。その後、茂たちとの待ち合わせ場所に行こうと考えていた。だが、商店街を縁結びで活性化させようという邦之たちの案に住人たちの反応は冷たい。挙句、とんかつも作れないとんかつ店の息子のくせにとまで言われた邦之は、作って見せると宣言して住人たちを招いた『とんくに』で、とんかつ作りを始める。だが、もとより邦之に料理の技術などなく苦戦。あきれ、見かねた邦夫の厳しい判定のもと、邦之は茂たちとの約束も忘れ、何度も作り直す羽目に…。  　一方、茂に応援され、邦之を待つ春乃。しかし、約束の時間はとっくに過ぎてしまって…。</v>
      </c>
      <c r="N1770" s="2"/>
      <c r="O1770" s="2"/>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row>
    <row r="1771" ht="204.75" customHeight="1">
      <c r="A1771" s="1">
        <v>5247.0</v>
      </c>
      <c r="B1771" s="2" t="s">
        <v>5618</v>
      </c>
      <c r="C1771" s="2">
        <f>IFERROR(__xludf.DUMMYFUNCTION("split(B1771,""_"")"),904.0)</f>
        <v>904</v>
      </c>
      <c r="D1771" s="2" t="str">
        <f>IFERROR(__xludf.DUMMYFUNCTION("""COMPUTED_VALUE"""),"CX")</f>
        <v>CX</v>
      </c>
      <c r="E1771" s="2" t="str">
        <f>IFERROR(__xludf.DUMMYFUNCTION("""COMPUTED_VALUE"""),"月21")</f>
        <v>月21</v>
      </c>
      <c r="F1771" s="2" t="s">
        <v>5619</v>
      </c>
      <c r="G1771" s="2" t="s">
        <v>5644</v>
      </c>
      <c r="H1771" s="1">
        <v>9.0</v>
      </c>
      <c r="I1771" s="1" t="s">
        <v>33</v>
      </c>
      <c r="J1771" s="1" t="s">
        <v>11</v>
      </c>
      <c r="K1771" s="2" t="s">
        <v>5645</v>
      </c>
      <c r="L1771" s="2" t="s">
        <v>5646</v>
      </c>
      <c r="M1771" s="2" t="str">
        <f>IFERROR(__xludf.DUMMYFUNCTION("split(split(K1771,""中居正広　"",false),""公式LINE"",false)"),"飛田春乃(上戸彩)が好きなのは、雨宮邦之(中居正広)だ。深澤茂(佐藤隆太)に告げられた邦之は、春乃が待つ待ち合わせの場所に急ぐ。無事に会えた2人なのだが、恋の進展は全くナシ。だが、翌日から商店街の人々の関心は2人に寄せられる。茂が、邦之と春乃のデートをみんなに漏らしたのだ。こうなると、逆に意識してしまい邦之と春乃の関係はギクシャクしっぱなし。　区役所のさくら地蔵商店街再開発計画は、伊藤勝(北村有起哉)の指示で立ち退き同意書の取り付け段階に入る。二瓶匠(谷原章介)が溝口静子区長(風吹ジュン)に渡した婚活タウ"&amp;"ンの企画書は、勝の手でもみ消されようとしていた。  　そんな事とは知らない邦之たち。邦康(上田竜也)が須見和彦(沼田爆)と青空美容室を行ったことをきっかけに、邦之は商店街で縁日を開くことを思いつく。縁結びのさくら地蔵を中心としたものだ。  　果たして、この企画が商店街を活性化に向かわせるのか?ギクシャクしたままの邦之と春乃の恋の行方は!?")</f>
        <v>飛田春乃(上戸彩)が好きなのは、雨宮邦之(中居正広)だ。深澤茂(佐藤隆太)に告げられた邦之は、春乃が待つ待ち合わせの場所に急ぐ。無事に会えた2人なのだが、恋の進展は全くナシ。だが、翌日から商店街の人々の関心は2人に寄せられる。茂が、邦之と春乃のデートをみんなに漏らしたのだ。こうなると、逆に意識してしまい邦之と春乃の関係はギクシャクしっぱなし。　区役所のさくら地蔵商店街再開発計画は、伊藤勝(北村有起哉)の指示で立ち退き同意書の取り付け段階に入る。二瓶匠(谷原章介)が溝口静子区長(風吹ジュン)に渡した婚活タウンの企画書は、勝の手でもみ消されようとしていた。  　そんな事とは知らない邦之たち。邦康(上田竜也)が須見和彦(沼田爆)と青空美容室を行ったことをきっかけに、邦之は商店街で縁日を開くことを思いつく。縁結びのさくら地蔵を中心としたものだ。  　果たして、この企画が商店街を活性化に向かわせるのか?ギクシャクしたままの邦之と春乃の恋の行方は!?</v>
      </c>
      <c r="N1771" s="2"/>
      <c r="O1771" s="2"/>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row>
    <row r="1772" ht="204.75" customHeight="1">
      <c r="A1772" s="1">
        <v>5248.0</v>
      </c>
      <c r="B1772" s="2" t="s">
        <v>5618</v>
      </c>
      <c r="C1772" s="2">
        <f>IFERROR(__xludf.DUMMYFUNCTION("split(B1772,""_"")"),904.0)</f>
        <v>904</v>
      </c>
      <c r="D1772" s="2" t="str">
        <f>IFERROR(__xludf.DUMMYFUNCTION("""COMPUTED_VALUE"""),"CX")</f>
        <v>CX</v>
      </c>
      <c r="E1772" s="2" t="str">
        <f>IFERROR(__xludf.DUMMYFUNCTION("""COMPUTED_VALUE"""),"月21")</f>
        <v>月21</v>
      </c>
      <c r="F1772" s="2" t="s">
        <v>5619</v>
      </c>
      <c r="G1772" s="2" t="s">
        <v>5647</v>
      </c>
      <c r="H1772" s="1">
        <v>10.0</v>
      </c>
      <c r="I1772" s="1" t="s">
        <v>37</v>
      </c>
      <c r="J1772" s="1" t="s">
        <v>11</v>
      </c>
      <c r="K1772" s="2" t="s">
        <v>5648</v>
      </c>
      <c r="L1772" s="2" t="s">
        <v>5649</v>
      </c>
      <c r="M1772" s="2" t="str">
        <f>IFERROR(__xludf.DUMMYFUNCTION("split(split(K1772,""中居正広　"",false),""公式LINE"",false)"),"雨宮邦之(中居正広)は、飛田春乃(上戸彩)の自分への想いに悩み続けていた。春乃自身は妹的存在でいることにしようと決めるのだが、それを邦之に打ち明けてから、商店街に寄り付かなくなってしまう。  　そして春乃が商店街や深澤酒店に顔を見せなくなって3日が経過。茂(佐藤隆太)は縁日の夜に邦之と春乃に何かがあったことを察する。問いただす茂に、邦之は春乃との出来事を打ち明ける。茂は、邦之の今の春乃への気持ちを聞くが答えは得られない。まだ、邦之は春乃の恋に戸惑っていたのだ。  　一方、縁日の効果もあってか、商店主たちは"&amp;"縁結び商店街としての再開発に乗り気になってくる。だが、伊藤勝(北村有起哉)の再開発計画がなくなり、区役所からも追い出されたことにより、逆に暗雲が広がる。川ちゃん酒場の社長・川端(田窪一世)が、商店街の土地所有者を抱きこみ、独自の再開発に着手することにしたのだ。　そんなある夜、邦康(上田竜也)が婚約者(佐藤江梨子)を連れて『とんくに』に来た。お相手は、邦康より年上の女性。意外な相手と思う邦之と邦夫(小日向文世)に、邦康はプロポーズに至った経緯を話す。そんな邦康の真剣さに、邦之は春乃を思い起こす。  　次の日"&amp;"、意を決した邦之は、春乃が働くセレクトショップを訪ねるのだが…。")</f>
        <v>雨宮邦之(中居正広)は、飛田春乃(上戸彩)の自分への想いに悩み続けていた。春乃自身は妹的存在でいることにしようと決めるのだが、それを邦之に打ち明けてから、商店街に寄り付かなくなってしまう。  　そして春乃が商店街や深澤酒店に顔を見せなくなって3日が経過。茂(佐藤隆太)は縁日の夜に邦之と春乃に何かがあったことを察する。問いただす茂に、邦之は春乃との出来事を打ち明ける。茂は、邦之の今の春乃への気持ちを聞くが答えは得られない。まだ、邦之は春乃の恋に戸惑っていたのだ。  　一方、縁日の効果もあってか、商店主たちは縁結び商店街としての再開発に乗り気になってくる。だが、伊藤勝(北村有起哉)の再開発計画がなくなり、区役所からも追い出されたことにより、逆に暗雲が広がる。川ちゃん酒場の社長・川端(田窪一世)が、商店街の土地所有者を抱きこみ、独自の再開発に着手することにしたのだ。　そんなある夜、邦康(上田竜也)が婚約者(佐藤江梨子)を連れて『とんくに』に来た。お相手は、邦康より年上の女性。意外な相手と思う邦之と邦夫(小日向文世)に、邦康はプロポーズに至った経緯を話す。そんな邦康の真剣さに、邦之は春乃を思い起こす。  　次の日、意を決した邦之は、春乃が働くセレクトショップを訪ねるのだが…。</v>
      </c>
      <c r="N1772" s="2"/>
      <c r="O1772" s="2"/>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row>
    <row r="1773" ht="204.75" customHeight="1">
      <c r="A1773" s="1">
        <v>5249.0</v>
      </c>
      <c r="B1773" s="2" t="s">
        <v>5618</v>
      </c>
      <c r="C1773" s="2">
        <f>IFERROR(__xludf.DUMMYFUNCTION("split(B1773,""_"")"),904.0)</f>
        <v>904</v>
      </c>
      <c r="D1773" s="2" t="str">
        <f>IFERROR(__xludf.DUMMYFUNCTION("""COMPUTED_VALUE"""),"CX")</f>
        <v>CX</v>
      </c>
      <c r="E1773" s="2" t="str">
        <f>IFERROR(__xludf.DUMMYFUNCTION("""COMPUTED_VALUE"""),"月21")</f>
        <v>月21</v>
      </c>
      <c r="F1773" s="2" t="s">
        <v>5619</v>
      </c>
      <c r="G1773" s="2" t="s">
        <v>5650</v>
      </c>
      <c r="H1773" s="1">
        <v>11.0</v>
      </c>
      <c r="I1773" s="1" t="s">
        <v>41</v>
      </c>
      <c r="J1773" s="1" t="s">
        <v>11</v>
      </c>
      <c r="K1773" s="2" t="s">
        <v>5651</v>
      </c>
      <c r="L1773" s="2" t="s">
        <v>5652</v>
      </c>
      <c r="M1773" s="2" t="str">
        <f>IFERROR(__xludf.DUMMYFUNCTION("split(split(K1773,""中居正広　"",false),""公式LINE"",false)"),"雨宮邦之(中居正広)は、ついに飛田春乃(上戸彩)に思いを告げた。そして、邦之は春乃を抱きしめる。そんな2人を小松成道(山田親太朗)が目撃したことで、周囲は本人たちよりも盛り上がっていく。まだ、邦之は春乃にプロポーズもしていないのに…。いずれにしても邦之は、これからは春乃を泣かせないと決めていた。また邦之の性格上、春乃もプロポーズは期待していない様子。　一方、商店街は地主の神宮寺(小林稔侍)から借地料未払いを理由に立ち退きを迫られようとしていた。邦之は伊藤勝(北村有起哉)と神宮寺のもとに行くのだが、聞く耳さ"&amp;"え持ってもらえない。  　一方、二瓶匠(谷原章介)と桜田周五郎(橋爪功)は、商店街を救って欲しいと溝口静子区長(風吹ジュン)に頼む。しかし、すでに区の行政ではどうにもできないと言われてしまった。  　周五郎は村瀬優子(釈由美子)と会う。優子は周五郎に「周五郎のことが大好きな女性は見つかったのか」と問う。周五郎は、また優子にからかわれていると思うのだが…。  　商店街の立ち退き問題は解決の糸口さえみえない…。そんな中、邦之たちは『縁結びの町さくら商店街』のスタート日を決定し、まい進していく。その陰で、邦之に"&amp;"抱きしめられて以来、デートもままならずにいる春乃は…。")</f>
        <v>雨宮邦之(中居正広)は、ついに飛田春乃(上戸彩)に思いを告げた。そして、邦之は春乃を抱きしめる。そんな2人を小松成道(山田親太朗)が目撃したことで、周囲は本人たちよりも盛り上がっていく。まだ、邦之は春乃にプロポーズもしていないのに…。いずれにしても邦之は、これからは春乃を泣かせないと決めていた。また邦之の性格上、春乃もプロポーズは期待していない様子。　一方、商店街は地主の神宮寺(小林稔侍)から借地料未払いを理由に立ち退きを迫られようとしていた。邦之は伊藤勝(北村有起哉)と神宮寺のもとに行くのだが、聞く耳さえ持ってもらえない。  　一方、二瓶匠(谷原章介)と桜田周五郎(橋爪功)は、商店街を救って欲しいと溝口静子区長(風吹ジュン)に頼む。しかし、すでに区の行政ではどうにもできないと言われてしまった。  　周五郎は村瀬優子(釈由美子)と会う。優子は周五郎に「周五郎のことが大好きな女性は見つかったのか」と問う。周五郎は、また優子にからかわれていると思うのだが…。  　商店街の立ち退き問題は解決の糸口さえみえない…。そんな中、邦之たちは『縁結びの町さくら商店街』のスタート日を決定し、まい進していく。その陰で、邦之に抱きしめられて以来、デートもままならずにいる春乃は…。</v>
      </c>
      <c r="N1773" s="2"/>
      <c r="O1773" s="2"/>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row>
    <row r="1774" ht="204.75" customHeight="1">
      <c r="A1774" s="1">
        <v>5250.0</v>
      </c>
      <c r="B1774" s="2" t="s">
        <v>5653</v>
      </c>
      <c r="C1774" s="2">
        <f>IFERROR(__xludf.DUMMYFUNCTION("split(B1774,""_"")"),904.0)</f>
        <v>904</v>
      </c>
      <c r="D1774" s="2" t="str">
        <f>IFERROR(__xludf.DUMMYFUNCTION("""COMPUTED_VALUE"""),"CX")</f>
        <v>CX</v>
      </c>
      <c r="E1774" s="2" t="str">
        <f>IFERROR(__xludf.DUMMYFUNCTION("""COMPUTED_VALUE"""),"火21")</f>
        <v>火21</v>
      </c>
      <c r="F1774" s="2" t="s">
        <v>5654</v>
      </c>
      <c r="G1774" s="2" t="s">
        <v>5655</v>
      </c>
      <c r="H1774" s="1">
        <v>1.0</v>
      </c>
      <c r="I1774" s="1" t="s">
        <v>3</v>
      </c>
      <c r="J1774" s="1" t="s">
        <v>4</v>
      </c>
      <c r="K1774" s="4" t="s">
        <v>5656</v>
      </c>
      <c r="L1774" s="2" t="s">
        <v>5657</v>
      </c>
      <c r="M1774" s="2" t="str">
        <f>IFERROR(__xludf.DUMMYFUNCTION("split(split(K1774,""堀北真希　"",false),""公式LINE"",false)"),"峯田千里(堀北真希)は、失踪中の父・徹(鶴見辰吾)が作った借金1億円の連帯保証人にされてしまい、借金取りから逃れるために、公園のダンボールハウスやネットカフェを転々としていた。事情を知るネットカフェの店員・国土豊(つるの剛士)は、そんな千里の数少ない味方だ。ある日、千里は、とうとう借金取りに追い詰められる。その危機を救ってくれたのが日本を代表する玩具メーカー『ミラクル』の社長・大蔵新造(草刈正雄)だった。新造は、借金取りに1億円の小切手を手渡すと、代わりに妻になってほしい、と千里に切り出す。自分は余命1カ"&amp;"月だから最後に側にいてくれる妻がほしい、というのだ。金を返すあてもない千里は、新造の申し出を承諾するしかなかった。それから1カ月後、新造が他界する。千里は、新造の秘書・時田修司(山本耕史)に連れられて、新造の別宅『トリックハート城』を訪れた。ほどなく、『ミラクル』の顧問弁護士・小金井響子(高島礼子)も現れ、1億円を返済したこととみなす条件として、3カ月間、新造の息子6人の母親としてこの城で一緒に生活する、という契約を突きつける。新造は、後継者候補として、風(要潤)、猛(岡田義徳)、翔(向井理)、優(山本裕"&amp;"典)、智(瀬戸康史)、明(岡山智樹)の6人を養子に迎え入れていた。千里は、トリックハート城で暮らしていない長男の風を除く5人と顔を合わせるが…。")</f>
        <v>峯田千里(堀北真希)は、失踪中の父・徹(鶴見辰吾)が作った借金1億円の連帯保証人にされてしまい、借金取りから逃れるために、公園のダンボールハウスやネットカフェを転々としていた。事情を知るネットカフェの店員・国土豊(つるの剛士)は、そんな千里の数少ない味方だ。ある日、千里は、とうとう借金取りに追い詰められる。その危機を救ってくれたのが日本を代表する玩具メーカー『ミラクル』の社長・大蔵新造(草刈正雄)だった。新造は、借金取りに1億円の小切手を手渡すと、代わりに妻になってほしい、と千里に切り出す。自分は余命1カ月だから最後に側にいてくれる妻がほしい、というのだ。金を返すあてもない千里は、新造の申し出を承諾するしかなかった。それから1カ月後、新造が他界する。千里は、新造の秘書・時田修司(山本耕史)に連れられて、新造の別宅『トリックハート城』を訪れた。ほどなく、『ミラクル』の顧問弁護士・小金井響子(高島礼子)も現れ、1億円を返済したこととみなす条件として、3カ月間、新造の息子6人の母親としてこの城で一緒に生活する、という契約を突きつける。新造は、後継者候補として、風(要潤)、猛(岡田義徳)、翔(向井理)、優(山本裕典)、智(瀬戸康史)、明(岡山智樹)の6人を養子に迎え入れていた。千里は、トリックハート城で暮らしていない長男の風を除く5人と顔を合わせるが…。</v>
      </c>
      <c r="N1774" s="2"/>
      <c r="O1774" s="2"/>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row>
    <row r="1775" ht="204.75" customHeight="1">
      <c r="A1775" s="1">
        <v>5251.0</v>
      </c>
      <c r="B1775" s="2" t="s">
        <v>5653</v>
      </c>
      <c r="C1775" s="2">
        <f>IFERROR(__xludf.DUMMYFUNCTION("split(B1775,""_"")"),904.0)</f>
        <v>904</v>
      </c>
      <c r="D1775" s="2" t="str">
        <f>IFERROR(__xludf.DUMMYFUNCTION("""COMPUTED_VALUE"""),"CX")</f>
        <v>CX</v>
      </c>
      <c r="E1775" s="2" t="str">
        <f>IFERROR(__xludf.DUMMYFUNCTION("""COMPUTED_VALUE"""),"火21")</f>
        <v>火21</v>
      </c>
      <c r="F1775" s="2" t="s">
        <v>5654</v>
      </c>
      <c r="G1775" s="2" t="s">
        <v>5658</v>
      </c>
      <c r="H1775" s="1">
        <v>2.0</v>
      </c>
      <c r="I1775" s="1" t="s">
        <v>7</v>
      </c>
      <c r="J1775" s="1" t="s">
        <v>11</v>
      </c>
      <c r="K1775" s="2" t="s">
        <v>5659</v>
      </c>
      <c r="L1775" s="2" t="s">
        <v>5660</v>
      </c>
      <c r="M1775" s="2" t="str">
        <f>IFERROR(__xludf.DUMMYFUNCTION("split(split(K1775,""堀北真希　"",false),""公式LINE"",false)"),"千里(堀北真希)は、玩具メーカー『ミラクル』の社長代理を命じられる。それも、千里が新造(草刈正雄)から借りた1億円を返済したものとみなす条件のひとつだった。そんな千里に協力を申し出たのは、家を出て生活しているはずの3男・翔(向井理)だった。千里が手にするはずの遺産を狙う翔は、もうひとつの条件『3カ月間、トリックハート城で息子たちの母親として生活すること』を片付けようと提案した。翔は、放浪中の長男・風(要潤)に電話して一緒に食事をしようと誘うと、千里とともに、次男の猛(岡田義徳)、4男の優(山本裕典)、5男"&amp;"・智(瀬戸康史)、6男の明(岡山智樹)を、新造が発明したハイパー接着剤を使って椅子に貼り付け、無理矢理食卓につかせた。が、そこで猛は、何故家に戻ってきたのか、と翔に噛み付き、翔と大ゲンカを始めてしまう。『ミラクル』の顧問弁護士・響子(高島礼子)によれば、猛と翔は、昔は仲が良かったらしい。しかし、6年前に翔が何も言わずに家を出てしまったことが原因で、ふたりの関係は悪くなったのだという。猛は、翔が後継者の座を譲るために出て行ったと思い込んでいるのではないか、というのが響子の意見だった。そんな折、翔が働いている"&amp;"ホストクラブに猛がやってくる。ホストの面接を受けた猛は、翔より自分の方が上であることを証明する、と宣言するが…。")</f>
        <v>千里(堀北真希)は、玩具メーカー『ミラクル』の社長代理を命じられる。それも、千里が新造(草刈正雄)から借りた1億円を返済したものとみなす条件のひとつだった。そんな千里に協力を申し出たのは、家を出て生活しているはずの3男・翔(向井理)だった。千里が手にするはずの遺産を狙う翔は、もうひとつの条件『3カ月間、トリックハート城で息子たちの母親として生活すること』を片付けようと提案した。翔は、放浪中の長男・風(要潤)に電話して一緒に食事をしようと誘うと、千里とともに、次男の猛(岡田義徳)、4男の優(山本裕典)、5男・智(瀬戸康史)、6男の明(岡山智樹)を、新造が発明したハイパー接着剤を使って椅子に貼り付け、無理矢理食卓につかせた。が、そこで猛は、何故家に戻ってきたのか、と翔に噛み付き、翔と大ゲンカを始めてしまう。『ミラクル』の顧問弁護士・響子(高島礼子)によれば、猛と翔は、昔は仲が良かったらしい。しかし、6年前に翔が何も言わずに家を出てしまったことが原因で、ふたりの関係は悪くなったのだという。猛は、翔が後継者の座を譲るために出て行ったと思い込んでいるのではないか、というのが響子の意見だった。そんな折、翔が働いているホストクラブに猛がやってくる。ホストの面接を受けた猛は、翔より自分の方が上であることを証明する、と宣言するが…。</v>
      </c>
      <c r="N1775" s="2"/>
      <c r="O1775" s="2"/>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row>
    <row r="1776" ht="204.75" customHeight="1">
      <c r="A1776" s="1">
        <v>5252.0</v>
      </c>
      <c r="B1776" s="2" t="s">
        <v>5653</v>
      </c>
      <c r="C1776" s="2">
        <f>IFERROR(__xludf.DUMMYFUNCTION("split(B1776,""_"")"),904.0)</f>
        <v>904</v>
      </c>
      <c r="D1776" s="2" t="str">
        <f>IFERROR(__xludf.DUMMYFUNCTION("""COMPUTED_VALUE"""),"CX")</f>
        <v>CX</v>
      </c>
      <c r="E1776" s="2" t="str">
        <f>IFERROR(__xludf.DUMMYFUNCTION("""COMPUTED_VALUE"""),"火21")</f>
        <v>火21</v>
      </c>
      <c r="F1776" s="2" t="s">
        <v>5654</v>
      </c>
      <c r="G1776" s="2" t="s">
        <v>5661</v>
      </c>
      <c r="H1776" s="1">
        <v>3.0</v>
      </c>
      <c r="I1776" s="1" t="s">
        <v>10</v>
      </c>
      <c r="J1776" s="1" t="s">
        <v>11</v>
      </c>
      <c r="K1776" s="2" t="s">
        <v>5662</v>
      </c>
      <c r="L1776" s="2" t="s">
        <v>5663</v>
      </c>
      <c r="M1776" s="2" t="str">
        <f>IFERROR(__xludf.DUMMYFUNCTION("split(split(K1776,""堀北真希　"",false),""公式LINE"",false)"),"千里(堀北真希)のもとに、四男の優(山本裕典)が窃盗の容疑で逮捕されたという知らせが入る。千里は、次男の猛(岡田義徳)に命じられて、渋々警察へと向かった。警察署に着いた千里は、優が誤認逮捕されたことを知る。近くで現金盗難事件があり、職務質問を受けた優がたまたま50万円を持っていたからだった。実は優は、極度の女性恐怖症を克服するためにカウンセリングを受けようとしていた。50万円はその入会金らしい。優の所持品の中からそのパンフレットを見つけた千里は、猛や三男の翔(向井理)、五男の智(瀬戸康史)に報告した。する"&amp;"と猛は、優に向かっていきなり「お前の女性恐怖症を治してやる!」と言い放つ。そんな折、トリックハート城に智の担任・吉田真央(小野真弓)がやってきた。登校拒否を続けている智を心配して訪ねてきたのだ。その顔を見た優は、驚きを隠せなかった。真央は、優を女性恐怖症にさせた張本人だった。一方、アパートに戻った長男の風(要潤)は、郵便の中に、新造(草刈正雄)からの手紙が混じっていることに気づく。同じころ、翔は、『ミラクル』の顧問弁護士・響子(高島礼子)から、トリックハート城の96番の部屋に宝が隠されている、と教えられる"&amp;"。そんな中、国土(つるの剛士)が働くネットカフェを訪れた千里は、親衛隊の西郷(なすび)たちから、智が巻き込まれたある事件に関する情報を入手する。")</f>
        <v>千里(堀北真希)のもとに、四男の優(山本裕典)が窃盗の容疑で逮捕されたという知らせが入る。千里は、次男の猛(岡田義徳)に命じられて、渋々警察へと向かった。警察署に着いた千里は、優が誤認逮捕されたことを知る。近くで現金盗難事件があり、職務質問を受けた優がたまたま50万円を持っていたからだった。実は優は、極度の女性恐怖症を克服するためにカウンセリングを受けようとしていた。50万円はその入会金らしい。優の所持品の中からそのパンフレットを見つけた千里は、猛や三男の翔(向井理)、五男の智(瀬戸康史)に報告した。すると猛は、優に向かっていきなり「お前の女性恐怖症を治してやる!」と言い放つ。そんな折、トリックハート城に智の担任・吉田真央(小野真弓)がやってきた。登校拒否を続けている智を心配して訪ねてきたのだ。その顔を見た優は、驚きを隠せなかった。真央は、優を女性恐怖症にさせた張本人だった。一方、アパートに戻った長男の風(要潤)は、郵便の中に、新造(草刈正雄)からの手紙が混じっていることに気づく。同じころ、翔は、『ミラクル』の顧問弁護士・響子(高島礼子)から、トリックハート城の96番の部屋に宝が隠されている、と教えられる。そんな中、国土(つるの剛士)が働くネットカフェを訪れた千里は、親衛隊の西郷(なすび)たちから、智が巻き込まれたある事件に関する情報を入手する。</v>
      </c>
      <c r="N1776" s="2"/>
      <c r="O1776" s="2"/>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row>
    <row r="1777" ht="204.75" customHeight="1">
      <c r="A1777" s="1">
        <v>5253.0</v>
      </c>
      <c r="B1777" s="2" t="s">
        <v>5653</v>
      </c>
      <c r="C1777" s="2">
        <f>IFERROR(__xludf.DUMMYFUNCTION("split(B1777,""_"")"),904.0)</f>
        <v>904</v>
      </c>
      <c r="D1777" s="2" t="str">
        <f>IFERROR(__xludf.DUMMYFUNCTION("""COMPUTED_VALUE"""),"CX")</f>
        <v>CX</v>
      </c>
      <c r="E1777" s="2" t="str">
        <f>IFERROR(__xludf.DUMMYFUNCTION("""COMPUTED_VALUE"""),"火21")</f>
        <v>火21</v>
      </c>
      <c r="F1777" s="2" t="s">
        <v>5654</v>
      </c>
      <c r="G1777" s="2" t="s">
        <v>5664</v>
      </c>
      <c r="H1777" s="1">
        <v>4.0</v>
      </c>
      <c r="I1777" s="1" t="s">
        <v>14</v>
      </c>
      <c r="J1777" s="1" t="s">
        <v>11</v>
      </c>
      <c r="K1777" s="2" t="s">
        <v>5665</v>
      </c>
      <c r="L1777" s="2" t="s">
        <v>5666</v>
      </c>
      <c r="M1777" s="2" t="str">
        <f>IFERROR(__xludf.DUMMYFUNCTION("split(split(K1777,""堀北真希　"",false),""公式LINE"",false)"),"千里(堀北真希)は、『ミラクル』の社長秘書・時田(山本耕史)から、借金1億円の返済を迫られる。時田によれば、ミラクル社が進めていた大規模アトラクション事業が、スポンサーの撤退により中止に追い込まれそうなのだという。顧問弁護士の響子(高島礼子)が所持している千里との契約書には、『ミラクルが倒産した場合、1億円はただちに返金すること』『社長代理としてミラクルに尽力すること』と記されていた。時田は、その契約をたてに、プロジェクトの存亡をかけて翌日行われる最終プレゼンでスピーチをしてもらう、と千里に告げる。そんな"&amp;"折、翔(向井理)の息子・力(丸山歩夢)が行方不明になるという騒動が起きる。ほどなく、何者かから力を誘拐した、という電話が入った。しかも誘拐犯は、新造(草刈正雄)が開発した『ハイパワーボイス』を使い、新造の声で電話をしてきていた。犯人は、身代金を要求せず、離婚した力の両親・翔と咲(浅見れいな)に、ある広場に行くよう命じた。千里は、優(山本裕典)が返しにきたハイパワーボイスを明(岡山智樹)が手にとっていたことを思い出す。そのことを問い詰められた明は、千里を、力が隠れている場所に案内した。実は今回の誘拐事件は、"&amp;"翔と咲によりを戻してもらうために、力が明に協力を求めて実行した偽装誘拐だった。千里から事情を聞いた国土(つるの剛士)たちは、千里も力に協力すべきではないか、と提案する。")</f>
        <v>千里(堀北真希)は、『ミラクル』の社長秘書・時田(山本耕史)から、借金1億円の返済を迫られる。時田によれば、ミラクル社が進めていた大規模アトラクション事業が、スポンサーの撤退により中止に追い込まれそうなのだという。顧問弁護士の響子(高島礼子)が所持している千里との契約書には、『ミラクルが倒産した場合、1億円はただちに返金すること』『社長代理としてミラクルに尽力すること』と記されていた。時田は、その契約をたてに、プロジェクトの存亡をかけて翌日行われる最終プレゼンでスピーチをしてもらう、と千里に告げる。そんな折、翔(向井理)の息子・力(丸山歩夢)が行方不明になるという騒動が起きる。ほどなく、何者かから力を誘拐した、という電話が入った。しかも誘拐犯は、新造(草刈正雄)が開発した『ハイパワーボイス』を使い、新造の声で電話をしてきていた。犯人は、身代金を要求せず、離婚した力の両親・翔と咲(浅見れいな)に、ある広場に行くよう命じた。千里は、優(山本裕典)が返しにきたハイパワーボイスを明(岡山智樹)が手にとっていたことを思い出す。そのことを問い詰められた明は、千里を、力が隠れている場所に案内した。実は今回の誘拐事件は、翔と咲によりを戻してもらうために、力が明に協力を求めて実行した偽装誘拐だった。千里から事情を聞いた国土(つるの剛士)たちは、千里も力に協力すべきではないか、と提案する。</v>
      </c>
      <c r="N1777" s="2"/>
      <c r="O1777" s="2"/>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row>
    <row r="1778" ht="204.75" customHeight="1">
      <c r="A1778" s="1">
        <v>5254.0</v>
      </c>
      <c r="B1778" s="2" t="s">
        <v>5653</v>
      </c>
      <c r="C1778" s="2">
        <f>IFERROR(__xludf.DUMMYFUNCTION("split(B1778,""_"")"),904.0)</f>
        <v>904</v>
      </c>
      <c r="D1778" s="2" t="str">
        <f>IFERROR(__xludf.DUMMYFUNCTION("""COMPUTED_VALUE"""),"CX")</f>
        <v>CX</v>
      </c>
      <c r="E1778" s="2" t="str">
        <f>IFERROR(__xludf.DUMMYFUNCTION("""COMPUTED_VALUE"""),"火21")</f>
        <v>火21</v>
      </c>
      <c r="F1778" s="2" t="s">
        <v>5654</v>
      </c>
      <c r="G1778" s="2" t="s">
        <v>5667</v>
      </c>
      <c r="H1778" s="1">
        <v>5.0</v>
      </c>
      <c r="I1778" s="1" t="s">
        <v>17</v>
      </c>
      <c r="J1778" s="1" t="s">
        <v>11</v>
      </c>
      <c r="K1778" s="2" t="s">
        <v>5668</v>
      </c>
      <c r="L1778" s="2" t="s">
        <v>5669</v>
      </c>
      <c r="M1778" s="2" t="str">
        <f>IFERROR(__xludf.DUMMYFUNCTION("split(split(K1778,""堀北真希　"",false),""公式LINE"",false)"),"トリックハート城を追い出された千里(堀北真希)は、ホームレス生活に戻る。大蔵家の長男・風(要潤)が、これまでの千里の行動はすべてお金のためだ、と次男の猛(岡田義徳)や四男の優(山本裕典)たちにばらしてしまったからだった。千里は、国土(つるの剛士)らとともに、1億円の借金を返す方法を模索し始める。そこにやってきた『ミラクル』の社長秘書・時田(山本耕史)は、千里に1週間の返済猶予を与えた。そんな中、国土と同じネットカフェで働く平次(永山絢斗)が、インターネットである情報を入手する。それは、温泉を掘り当てて金を"&amp;"稼ぐ、というものだった。その話を聞いていた千里のホームレス仲間たちは、協力を申し出る。同じころ、猛は、かつて働いていたバイク便会社から声をかけられ、職場復帰する。猛は、社長(芝崎昇)からアタッシュケースを手渡され、指定された日時にある場所まで届けるよう命じられた。猛は、届ける日まで中身を見ないで保管していろ、と念を押されていたにもかかわらず、ふとそれを開けてしまう。すると、アタッシュケースに入っていたのはダイナマイトだった。別の日、千里たちはホームレス仲間たちと温泉を掘り始める。すると、千里の携帯電話が鳴"&amp;"った。千里が世話になっていた義男(田山涼成)からだった。千里が義男の家を訪れると、そこにいたのは千里の父・徹(鶴見辰吾)だった。")</f>
        <v>トリックハート城を追い出された千里(堀北真希)は、ホームレス生活に戻る。大蔵家の長男・風(要潤)が、これまでの千里の行動はすべてお金のためだ、と次男の猛(岡田義徳)や四男の優(山本裕典)たちにばらしてしまったからだった。千里は、国土(つるの剛士)らとともに、1億円の借金を返す方法を模索し始める。そこにやってきた『ミラクル』の社長秘書・時田(山本耕史)は、千里に1週間の返済猶予を与えた。そんな中、国土と同じネットカフェで働く平次(永山絢斗)が、インターネットである情報を入手する。それは、温泉を掘り当てて金を稼ぐ、というものだった。その話を聞いていた千里のホームレス仲間たちは、協力を申し出る。同じころ、猛は、かつて働いていたバイク便会社から声をかけられ、職場復帰する。猛は、社長(芝崎昇)からアタッシュケースを手渡され、指定された日時にある場所まで届けるよう命じられた。猛は、届ける日まで中身を見ないで保管していろ、と念を押されていたにもかかわらず、ふとそれを開けてしまう。すると、アタッシュケースに入っていたのはダイナマイトだった。別の日、千里たちはホームレス仲間たちと温泉を掘り始める。すると、千里の携帯電話が鳴った。千里が世話になっていた義男(田山涼成)からだった。千里が義男の家を訪れると、そこにいたのは千里の父・徹(鶴見辰吾)だった。</v>
      </c>
      <c r="N1778" s="2"/>
      <c r="O1778" s="2"/>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row>
    <row r="1779" ht="204.75" customHeight="1">
      <c r="A1779" s="1">
        <v>5255.0</v>
      </c>
      <c r="B1779" s="2" t="s">
        <v>5653</v>
      </c>
      <c r="C1779" s="2">
        <f>IFERROR(__xludf.DUMMYFUNCTION("split(B1779,""_"")"),904.0)</f>
        <v>904</v>
      </c>
      <c r="D1779" s="2" t="str">
        <f>IFERROR(__xludf.DUMMYFUNCTION("""COMPUTED_VALUE"""),"CX")</f>
        <v>CX</v>
      </c>
      <c r="E1779" s="2" t="str">
        <f>IFERROR(__xludf.DUMMYFUNCTION("""COMPUTED_VALUE"""),"火21")</f>
        <v>火21</v>
      </c>
      <c r="F1779" s="2" t="s">
        <v>5654</v>
      </c>
      <c r="G1779" s="2" t="s">
        <v>5670</v>
      </c>
      <c r="H1779" s="1">
        <v>6.0</v>
      </c>
      <c r="I1779" s="1" t="s">
        <v>21</v>
      </c>
      <c r="J1779" s="1" t="s">
        <v>11</v>
      </c>
      <c r="K1779" s="2" t="s">
        <v>5671</v>
      </c>
      <c r="L1779" s="2" t="s">
        <v>5672</v>
      </c>
      <c r="M1779" s="2" t="str">
        <f>IFERROR(__xludf.DUMMYFUNCTION("split(split(K1779,""堀北真希　"",false),""公式LINE"",false)"),"千里(堀北真希)は、大蔵家長男の風(要潤)から、半ば強制的に恋人役を務めるよう頼まれる。女性関係でトラブルを起こしていた風は、千里に恋人役を演じさせることでピンチを切り抜けようとしていた。母親十カ条をクリアしなければならない千里は、恋人役を務めればトリックハート城に戻ってくるという風の言葉を信じて、それを承諾した。ところが、風にはなんと27人もガールフレンドがいるのだという。千里は、急きょ設置された謝罪会見場で、やってくる風のガールフレンドたちに頭を下げ続ける。そのころ風は、千里の部屋を物色していた。三男"&amp;"の翔(向井理)は、そんな風の本当の目的を言い当てる。風の狙いは、千里の部屋に隠された新造(草刈正雄)の遺産だった。一方、次男の猛(岡田義徳)は、バイク便の社長から頼まれたアタッシュケースを指示された場所に届ける。どうやらそこは、大物政治家の家らしい。猛は、応対したSPに、アタッシュケースの中に入っていたダイナマイトを使ってしまったと告げる。だが、SPは、ダイナマイトなど頼んでいない、という。実は、中身をすり替えたのは響子(高島礼子)だった。そんな中、風と翔は、千里の部屋にある恐怖時計の中から鍵を発見する。"&amp;"風のガールフレンドたちの真剣な思いを知った千里は、同席もせずにいい加減な態度をとる風に怒りをぶつける。すると風は、新造の本当の顔も知らないくせに母親づらするな、と千里に言い放つ。")</f>
        <v>千里(堀北真希)は、大蔵家長男の風(要潤)から、半ば強制的に恋人役を務めるよう頼まれる。女性関係でトラブルを起こしていた風は、千里に恋人役を演じさせることでピンチを切り抜けようとしていた。母親十カ条をクリアしなければならない千里は、恋人役を務めればトリックハート城に戻ってくるという風の言葉を信じて、それを承諾した。ところが、風にはなんと27人もガールフレンドがいるのだという。千里は、急きょ設置された謝罪会見場で、やってくる風のガールフレンドたちに頭を下げ続ける。そのころ風は、千里の部屋を物色していた。三男の翔(向井理)は、そんな風の本当の目的を言い当てる。風の狙いは、千里の部屋に隠された新造(草刈正雄)の遺産だった。一方、次男の猛(岡田義徳)は、バイク便の社長から頼まれたアタッシュケースを指示された場所に届ける。どうやらそこは、大物政治家の家らしい。猛は、応対したSPに、アタッシュケースの中に入っていたダイナマイトを使ってしまったと告げる。だが、SPは、ダイナマイトなど頼んでいない、という。実は、中身をすり替えたのは響子(高島礼子)だった。そんな中、風と翔は、千里の部屋にある恐怖時計の中から鍵を発見する。風のガールフレンドたちの真剣な思いを知った千里は、同席もせずにいい加減な態度をとる風に怒りをぶつける。すると風は、新造の本当の顔も知らないくせに母親づらするな、と千里に言い放つ。</v>
      </c>
      <c r="N1779" s="2"/>
      <c r="O1779" s="2"/>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row>
    <row r="1780" ht="204.75" customHeight="1">
      <c r="A1780" s="1">
        <v>5256.0</v>
      </c>
      <c r="B1780" s="2" t="s">
        <v>5653</v>
      </c>
      <c r="C1780" s="2">
        <f>IFERROR(__xludf.DUMMYFUNCTION("split(B1780,""_"")"),904.0)</f>
        <v>904</v>
      </c>
      <c r="D1780" s="2" t="str">
        <f>IFERROR(__xludf.DUMMYFUNCTION("""COMPUTED_VALUE"""),"CX")</f>
        <v>CX</v>
      </c>
      <c r="E1780" s="2" t="str">
        <f>IFERROR(__xludf.DUMMYFUNCTION("""COMPUTED_VALUE"""),"火21")</f>
        <v>火21</v>
      </c>
      <c r="F1780" s="2" t="s">
        <v>5654</v>
      </c>
      <c r="G1780" s="2" t="s">
        <v>5673</v>
      </c>
      <c r="H1780" s="1">
        <v>7.0</v>
      </c>
      <c r="I1780" s="1" t="s">
        <v>25</v>
      </c>
      <c r="J1780" s="1" t="s">
        <v>11</v>
      </c>
      <c r="K1780" s="2" t="s">
        <v>5674</v>
      </c>
      <c r="L1780" s="2" t="s">
        <v>5675</v>
      </c>
      <c r="M1780" s="2" t="str">
        <f>IFERROR(__xludf.DUMMYFUNCTION("split(split(K1780,""堀北真希　"",false),""公式LINE"",false)"),"千里(堀北真希)は、大蔵家の長男・風(要潤)が養子ではなく、新造(草刈正雄)の実の息子だったことを知る。新造は、6兄弟に、それぞれの秘密が記された巻物を残していた。風の巻物には、彼が新造の実の息子であると書かれていた。それは、次男の猛(岡田義徳)や三男の翔(向井理)ですら知らないことだった。翔は、風が養子だと嘘をついていたのは、新造に認めてもらえなかったからではないかと推測する。同じころ、四男の優(山本裕典)は、妹に会うために生まれ故郷へと向かっていた。新造が優に残した巻物には、火災で亡くなった彼の両親の"&amp;"ことが書かれていた。当時7歳だった優には断片的な記憶しかなかった。が、優の妹はその時のことをすべて覚えているというのだ。そんな中、五男の智(瀬戸康史)と六男の明(岡山智樹)もトリックハート城に戻ってくる。その際、明は、メイドの井上(江口のりこ)がいなくなっていることに気づく。井上は、腕相撲で千里に負けてしまったことにショックを受け、修行に出ていた。その井上が、自分の代役として呼び寄せたのは国土(つるの剛士)だった。千里に思いを寄せる国土は、千里は渡さない、と言ってさっそく翔につっかかっていった。その騒ぎの"&amp;"中、猛は、明が封筒を持っていることに気づく。その中に入っていたのは、多くの芸能人を輩出しているコンテストの応募用紙だった。")</f>
        <v>千里(堀北真希)は、大蔵家の長男・風(要潤)が養子ではなく、新造(草刈正雄)の実の息子だったことを知る。新造は、6兄弟に、それぞれの秘密が記された巻物を残していた。風の巻物には、彼が新造の実の息子であると書かれていた。それは、次男の猛(岡田義徳)や三男の翔(向井理)ですら知らないことだった。翔は、風が養子だと嘘をついていたのは、新造に認めてもらえなかったからではないかと推測する。同じころ、四男の優(山本裕典)は、妹に会うために生まれ故郷へと向かっていた。新造が優に残した巻物には、火災で亡くなった彼の両親のことが書かれていた。当時7歳だった優には断片的な記憶しかなかった。が、優の妹はその時のことをすべて覚えているというのだ。そんな中、五男の智(瀬戸康史)と六男の明(岡山智樹)もトリックハート城に戻ってくる。その際、明は、メイドの井上(江口のりこ)がいなくなっていることに気づく。井上は、腕相撲で千里に負けてしまったことにショックを受け、修行に出ていた。その井上が、自分の代役として呼び寄せたのは国土(つるの剛士)だった。千里に思いを寄せる国土は、千里は渡さない、と言ってさっそく翔につっかかっていった。その騒ぎの中、猛は、明が封筒を持っていることに気づく。その中に入っていたのは、多くの芸能人を輩出しているコンテストの応募用紙だった。</v>
      </c>
      <c r="N1780" s="2"/>
      <c r="O1780" s="2"/>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row>
    <row r="1781" ht="204.75" customHeight="1">
      <c r="A1781" s="1">
        <v>5257.0</v>
      </c>
      <c r="B1781" s="2" t="s">
        <v>5653</v>
      </c>
      <c r="C1781" s="2">
        <f>IFERROR(__xludf.DUMMYFUNCTION("split(B1781,""_"")"),904.0)</f>
        <v>904</v>
      </c>
      <c r="D1781" s="2" t="str">
        <f>IFERROR(__xludf.DUMMYFUNCTION("""COMPUTED_VALUE"""),"CX")</f>
        <v>CX</v>
      </c>
      <c r="E1781" s="2" t="str">
        <f>IFERROR(__xludf.DUMMYFUNCTION("""COMPUTED_VALUE"""),"火21")</f>
        <v>火21</v>
      </c>
      <c r="F1781" s="2" t="s">
        <v>5654</v>
      </c>
      <c r="G1781" s="2" t="s">
        <v>5676</v>
      </c>
      <c r="H1781" s="1">
        <v>8.0</v>
      </c>
      <c r="I1781" s="1" t="s">
        <v>29</v>
      </c>
      <c r="J1781" s="1" t="s">
        <v>11</v>
      </c>
      <c r="K1781" s="2" t="s">
        <v>5677</v>
      </c>
      <c r="L1781" s="2" t="s">
        <v>5678</v>
      </c>
      <c r="M1781" s="2" t="str">
        <f>IFERROR(__xludf.DUMMYFUNCTION("split(split(K1781,""堀北真希　"",false),""公式LINE"",false)"),"千里(堀北真希)は、大蔵家の6兄弟と食事をともにし、母親十カ条の第一条『食事は家族そろってリビングで』をようやくクリアする。同じころ、国土(つるの剛士)は、ネットカフェに戻り、三男・翔(向井理)のことを調べ始める。翔の電話を盗み聞きしてしまった国土は、その内容に不審を抱いた。翔は、電話の相手に、「できる限りの金は集める」と話していたのだ。翔がゆかりの園という施設出身だと知った国土は、さっそくその施設を訪ねる。ちょうどそこにやってきた翔は、ゆかりの園経営者の志村(飯田基祐)に金を手渡して帰っていく。一方、長"&amp;"男・風(要潤)の手形を手に入れ、十カ条の第二条もクリアした千里は、響子(高島礼子)から第三条の内容を教えられる。それは『家長を決めよ』というものだった。猛(岡田義徳)は、千里がやればいいと発言した。だが千里は、一家の大黒柱は男が務めるべきだと返す。そこに、優(山本裕典)や智(瀬戸康史)、明(岡山智樹)も加わり、話は一向にまとまらない。その様子を見守っていた響子は、家長には一千万円を渡す、と皆に告げる。それは、トリックハート城の維持費だった。すると翔が、その金を貸してほしい、と言い出す。気に入った女性をモノ"&amp;"にするために必要なのだという。だが、兄弟5人は、即座に翔の頼みを却下した。そのとき、トリックハート城のすべての出入り口がロックされてしまうという騒動が起き…。")</f>
        <v>千里(堀北真希)は、大蔵家の6兄弟と食事をともにし、母親十カ条の第一条『食事は家族そろってリビングで』をようやくクリアする。同じころ、国土(つるの剛士)は、ネットカフェに戻り、三男・翔(向井理)のことを調べ始める。翔の電話を盗み聞きしてしまった国土は、その内容に不審を抱いた。翔は、電話の相手に、「できる限りの金は集める」と話していたのだ。翔がゆかりの園という施設出身だと知った国土は、さっそくその施設を訪ねる。ちょうどそこにやってきた翔は、ゆかりの園経営者の志村(飯田基祐)に金を手渡して帰っていく。一方、長男・風(要潤)の手形を手に入れ、十カ条の第二条もクリアした千里は、響子(高島礼子)から第三条の内容を教えられる。それは『家長を決めよ』というものだった。猛(岡田義徳)は、千里がやればいいと発言した。だが千里は、一家の大黒柱は男が務めるべきだと返す。そこに、優(山本裕典)や智(瀬戸康史)、明(岡山智樹)も加わり、話は一向にまとまらない。その様子を見守っていた響子は、家長には一千万円を渡す、と皆に告げる。それは、トリックハート城の維持費だった。すると翔が、その金を貸してほしい、と言い出す。気に入った女性をモノにするために必要なのだという。だが、兄弟5人は、即座に翔の頼みを却下した。そのとき、トリックハート城のすべての出入り口がロックされてしまうという騒動が起き…。</v>
      </c>
      <c r="N1781" s="2"/>
      <c r="O1781" s="2"/>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row>
    <row r="1782" ht="204.75" customHeight="1">
      <c r="A1782" s="1">
        <v>5258.0</v>
      </c>
      <c r="B1782" s="2" t="s">
        <v>5653</v>
      </c>
      <c r="C1782" s="2">
        <f>IFERROR(__xludf.DUMMYFUNCTION("split(B1782,""_"")"),904.0)</f>
        <v>904</v>
      </c>
      <c r="D1782" s="2" t="str">
        <f>IFERROR(__xludf.DUMMYFUNCTION("""COMPUTED_VALUE"""),"CX")</f>
        <v>CX</v>
      </c>
      <c r="E1782" s="2" t="str">
        <f>IFERROR(__xludf.DUMMYFUNCTION("""COMPUTED_VALUE"""),"火21")</f>
        <v>火21</v>
      </c>
      <c r="F1782" s="2" t="s">
        <v>5654</v>
      </c>
      <c r="G1782" s="2" t="s">
        <v>5679</v>
      </c>
      <c r="H1782" s="1">
        <v>9.0</v>
      </c>
      <c r="I1782" s="1" t="s">
        <v>33</v>
      </c>
      <c r="J1782" s="1" t="s">
        <v>11</v>
      </c>
      <c r="K1782" s="2" t="s">
        <v>5680</v>
      </c>
      <c r="L1782" s="2" t="s">
        <v>5681</v>
      </c>
      <c r="M1782" s="2" t="str">
        <f>IFERROR(__xludf.DUMMYFUNCTION("split(split(K1782,""堀北真希　"",false),""公式LINE"",false)"),"千里(堀北真希)は、翔(向井理)に抱き寄せられ、いきなりキスをされる。その場面を偶然目撃してしまった猛(岡田義徳)は、何故か動揺していた。同じころ、千里が社長代理を務めていた『ミラクル』では、社長秘書だった時田(山本耕史)が新社長に就任する。時田は、事情を確かめにやってきた千里に、社長就任は前社長の新造(草刈正雄)と約束したことだと主張する。続けて時田は、千里が新造と交わした契約は今後もそのまま継続されるから安心してほしい、と千里に告げた。千里からその報告を受けた優(山本裕典)や智(瀬戸康史)は、自分たち"&amp;"はミラクルとは関係がなかったのだからこれでよかったのではないか、と理解を示す。だが、長男の風(要潤)は、時田が玩具関連のセクションを廃止し、ゲーム開発だけに絞るはずだ、と言い出す。そこで風が取り出したのは、新造が風に宛てた手紙だった。その手紙には、時田がミラクルを狙っていることが記されていた。それ以上に風が注目していたのは、遺産を見つけることができれば大切なものを守ることができるかもしれない、と書かれていたことだった。だが、その話を聞いていた猛は、新造に騙されていることに何故気づかないのか、と言い放つ。ミ"&amp;"ラクルを乗っ取られることに気づいていたのなら、最初から遺産を渡せばいいだけだ、というのだ。そのとき、トリックハート城に猛の実の父親・一輝(ベンガル)が現れ…。")</f>
        <v>千里(堀北真希)は、翔(向井理)に抱き寄せられ、いきなりキスをされる。その場面を偶然目撃してしまった猛(岡田義徳)は、何故か動揺していた。同じころ、千里が社長代理を務めていた『ミラクル』では、社長秘書だった時田(山本耕史)が新社長に就任する。時田は、事情を確かめにやってきた千里に、社長就任は前社長の新造(草刈正雄)と約束したことだと主張する。続けて時田は、千里が新造と交わした契約は今後もそのまま継続されるから安心してほしい、と千里に告げた。千里からその報告を受けた優(山本裕典)や智(瀬戸康史)は、自分たちはミラクルとは関係がなかったのだからこれでよかったのではないか、と理解を示す。だが、長男の風(要潤)は、時田が玩具関連のセクションを廃止し、ゲーム開発だけに絞るはずだ、と言い出す。そこで風が取り出したのは、新造が風に宛てた手紙だった。その手紙には、時田がミラクルを狙っていることが記されていた。それ以上に風が注目していたのは、遺産を見つけることができれば大切なものを守ることができるかもしれない、と書かれていたことだった。だが、その話を聞いていた猛は、新造に騙されていることに何故気づかないのか、と言い放つ。ミラクルを乗っ取られることに気づいていたのなら、最初から遺産を渡せばいいだけだ、というのだ。そのとき、トリックハート城に猛の実の父親・一輝(ベンガル)が現れ…。</v>
      </c>
      <c r="N1782" s="2"/>
      <c r="O1782" s="2"/>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row>
    <row r="1783" ht="204.75" customHeight="1">
      <c r="A1783" s="1">
        <v>5259.0</v>
      </c>
      <c r="B1783" s="2" t="s">
        <v>5653</v>
      </c>
      <c r="C1783" s="2">
        <f>IFERROR(__xludf.DUMMYFUNCTION("split(B1783,""_"")"),904.0)</f>
        <v>904</v>
      </c>
      <c r="D1783" s="2" t="str">
        <f>IFERROR(__xludf.DUMMYFUNCTION("""COMPUTED_VALUE"""),"CX")</f>
        <v>CX</v>
      </c>
      <c r="E1783" s="2" t="str">
        <f>IFERROR(__xludf.DUMMYFUNCTION("""COMPUTED_VALUE"""),"火21")</f>
        <v>火21</v>
      </c>
      <c r="F1783" s="2" t="s">
        <v>5654</v>
      </c>
      <c r="G1783" s="2" t="s">
        <v>5682</v>
      </c>
      <c r="H1783" s="1">
        <v>10.0</v>
      </c>
      <c r="I1783" s="1" t="s">
        <v>37</v>
      </c>
      <c r="J1783" s="1" t="s">
        <v>11</v>
      </c>
      <c r="K1783" s="2" t="s">
        <v>5683</v>
      </c>
      <c r="L1783" s="2" t="s">
        <v>5684</v>
      </c>
      <c r="M1783" s="2" t="str">
        <f>IFERROR(__xludf.DUMMYFUNCTION("split(split(K1783,""堀北真希　"",false),""公式LINE"",false)"),"千里(堀北真希)たちは、ミラクルの新社長に就任した時田(山本耕史)から3日以内にトリックハート城を明け渡すよう命じられる。翔(向井理)や優(山本裕典)、智(瀬戸康史)らは時田に反発する。それに対して時田は、逆らった場合は力ずくでも出て行ってもらう、と言い放つ。その夜、千里たちはどうするべきか話し合う。そこで風(要潤)は、新造(草刈正雄)にとっても特別な場所だったトリックハート城は誰にも渡さない、と宣言する。翔たちも同じ気持ちだった。風は、新造からの手紙にあった「遺産を見つけることができれば大切なものを守れ"&amp;"るかもしれない」という言葉の“大切なもの""とはトリックハート城のことではないかと言い出す。新造の遺産を見つけるためのヒントを得るには、千里に課された母親十カ条をクリアしなければならなかった。そこに現れた響子(高島礼子)は、母親十カ条の第七条が「力を合わせて発明品を作れ」だと千里たちに告げる。大蔵家の兄弟たちは、響子から手渡された設計図をもとにさっそく発明品の製作にとりかかる。が、思わぬ事態が起きる。千里の部屋が突然爆発したのだ。同じころ、時田に呼び出された千里は、ミラクル本社の社長室にいた。そこで時田は"&amp;"、立退き料などの具体的な条件を提示し、兄弟たちを説得してほしい、と千里に持ちかける。子どもの将来を考えるのも母親の大事な役割ではないか、という時田の言葉に千里は悩むが…。")</f>
        <v>千里(堀北真希)たちは、ミラクルの新社長に就任した時田(山本耕史)から3日以内にトリックハート城を明け渡すよう命じられる。翔(向井理)や優(山本裕典)、智(瀬戸康史)らは時田に反発する。それに対して時田は、逆らった場合は力ずくでも出て行ってもらう、と言い放つ。その夜、千里たちはどうするべきか話し合う。そこで風(要潤)は、新造(草刈正雄)にとっても特別な場所だったトリックハート城は誰にも渡さない、と宣言する。翔たちも同じ気持ちだった。風は、新造からの手紙にあった「遺産を見つけることができれば大切なものを守れるかもしれない」という言葉の“大切なもの"とはトリックハート城のことではないかと言い出す。新造の遺産を見つけるためのヒントを得るには、千里に課された母親十カ条をクリアしなければならなかった。そこに現れた響子(高島礼子)は、母親十カ条の第七条が「力を合わせて発明品を作れ」だと千里たちに告げる。大蔵家の兄弟たちは、響子から手渡された設計図をもとにさっそく発明品の製作にとりかかる。が、思わぬ事態が起きる。千里の部屋が突然爆発したのだ。同じころ、時田に呼び出された千里は、ミラクル本社の社長室にいた。そこで時田は、立退き料などの具体的な条件を提示し、兄弟たちを説得してほしい、と千里に持ちかける。子どもの将来を考えるのも母親の大事な役割ではないか、という時田の言葉に千里は悩むが…。</v>
      </c>
      <c r="N1783" s="2"/>
      <c r="O1783" s="2"/>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row>
    <row r="1784" ht="204.75" customHeight="1">
      <c r="A1784" s="1">
        <v>5260.0</v>
      </c>
      <c r="B1784" s="2" t="s">
        <v>5653</v>
      </c>
      <c r="C1784" s="2">
        <f>IFERROR(__xludf.DUMMYFUNCTION("split(B1784,""_"")"),904.0)</f>
        <v>904</v>
      </c>
      <c r="D1784" s="2" t="str">
        <f>IFERROR(__xludf.DUMMYFUNCTION("""COMPUTED_VALUE"""),"CX")</f>
        <v>CX</v>
      </c>
      <c r="E1784" s="2" t="str">
        <f>IFERROR(__xludf.DUMMYFUNCTION("""COMPUTED_VALUE"""),"火21")</f>
        <v>火21</v>
      </c>
      <c r="F1784" s="2" t="s">
        <v>5654</v>
      </c>
      <c r="G1784" s="2" t="s">
        <v>5685</v>
      </c>
      <c r="H1784" s="1">
        <v>11.0</v>
      </c>
      <c r="I1784" s="1" t="s">
        <v>41</v>
      </c>
      <c r="J1784" s="1" t="s">
        <v>11</v>
      </c>
      <c r="K1784" s="2" t="s">
        <v>5686</v>
      </c>
      <c r="L1784" s="2" t="s">
        <v>5687</v>
      </c>
      <c r="M1784" s="2" t="str">
        <f>IFERROR(__xludf.DUMMYFUNCTION("split(split(K1784,""堀北真希　"",false),""公式LINE"",false)"),"千里(堀北真希)は、国土(つるの剛士)の協力を得て、トリックハート城に戻った。トリックハート城では、城に立てこもった風(要潤)、猛(岡田義徳)、翔(向井理)、優(山本裕典)、智(瀬戸康史)、明(岡山智樹)の大蔵家六兄弟と、彼らを強制的に立ち退かせようとする時田(山本耕史)たちの間でにらみ合いが続いていた。時田は、平次(永山絢斗)や千里親衛隊のメンバーを『ミラクル』に入社させると、千里の借金を帳消しにするからと言って、強制立ち退きに協力させていた。千里を城の中に入れるために自ら犠牲になって捕まった国土は、時"&amp;"田は嘘をついている、と平次たちに訴えた。するとそのとき、城から夜空に向かって光が放たれ、巨大な新造(草刈正雄)の映像が浮かび上がった。新造は、このときを予測していたかのように、城を破壊したら望むものは永遠に手に入らなくなる、と時田に警告する。時田がその目的を果たすためには、7人の勇者が必要だというのだ。続けて新造は、千里と兄弟たちの名前を呼び、信じてきたことをやり遂げればやがて1冊の本に出会う、と告げる。その本は、大切なものを守る方法が記されているが、千里の契約満了日と同時に消滅してしまうらしい。千里の契"&amp;"約満了日は2日後だった。だが、新造の映像は、最後に何かを言い残したまま、途中で切れてしまう。時田は、新造の言葉を無視して、城に突入しようとするが…。")</f>
        <v>千里(堀北真希)は、国土(つるの剛士)の協力を得て、トリックハート城に戻った。トリックハート城では、城に立てこもった風(要潤)、猛(岡田義徳)、翔(向井理)、優(山本裕典)、智(瀬戸康史)、明(岡山智樹)の大蔵家六兄弟と、彼らを強制的に立ち退かせようとする時田(山本耕史)たちの間でにらみ合いが続いていた。時田は、平次(永山絢斗)や千里親衛隊のメンバーを『ミラクル』に入社させると、千里の借金を帳消しにするからと言って、強制立ち退きに協力させていた。千里を城の中に入れるために自ら犠牲になって捕まった国土は、時田は嘘をついている、と平次たちに訴えた。するとそのとき、城から夜空に向かって光が放たれ、巨大な新造(草刈正雄)の映像が浮かび上がった。新造は、このときを予測していたかのように、城を破壊したら望むものは永遠に手に入らなくなる、と時田に警告する。時田がその目的を果たすためには、7人の勇者が必要だというのだ。続けて新造は、千里と兄弟たちの名前を呼び、信じてきたことをやり遂げればやがて1冊の本に出会う、と告げる。その本は、大切なものを守る方法が記されているが、千里の契約満了日と同時に消滅してしまうらしい。千里の契約満了日は2日後だった。だが、新造の映像は、最後に何かを言い残したまま、途中で切れてしまう。時田は、新造の言葉を無視して、城に突入しようとするが…。</v>
      </c>
      <c r="N1784" s="2"/>
      <c r="O1784" s="2"/>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row>
    <row r="1785" ht="204.75" customHeight="1">
      <c r="A1785" s="1">
        <v>5261.0</v>
      </c>
      <c r="B1785" s="2" t="s">
        <v>5688</v>
      </c>
      <c r="C1785" s="2">
        <f>IFERROR(__xludf.DUMMYFUNCTION("split(B1785,""_"")"),904.0)</f>
        <v>904</v>
      </c>
      <c r="D1785" s="2" t="str">
        <f>IFERROR(__xludf.DUMMYFUNCTION("""COMPUTED_VALUE"""),"CX")</f>
        <v>CX</v>
      </c>
      <c r="E1785" s="2" t="str">
        <f>IFERROR(__xludf.DUMMYFUNCTION("""COMPUTED_VALUE"""),"火22")</f>
        <v>火22</v>
      </c>
      <c r="F1785" s="2" t="s">
        <v>5689</v>
      </c>
      <c r="G1785" s="2" t="s">
        <v>5690</v>
      </c>
      <c r="H1785" s="1">
        <v>1.0</v>
      </c>
      <c r="I1785" s="1" t="s">
        <v>3</v>
      </c>
      <c r="J1785" s="1" t="s">
        <v>82</v>
      </c>
      <c r="K1785" s="4" t="s">
        <v>5691</v>
      </c>
      <c r="L1785" s="2" t="s">
        <v>5692</v>
      </c>
      <c r="M1785" s="2" t="str">
        <f>IFERROR(__xludf.DUMMYFUNCTION("split(split(K1785,""阿部寛　"",false),""公式LINE"",false)"),"元ヤクザの男が、自分の娘とは知らずにある少女と出会う。それを通して男はどう変わっていくのか?  「究極の親子愛」を描いた  「阿部寛×大橋のぞみ」でおくる感動のヒューマンストーリー。      刑務所の廊下。整列して歩く受刑者たちの中でひとり、右足を引きずるようにして歩く佐倉春男(阿部寛)の姿があった・・・。同じ頃、パン屋を営む村上康史(遠藤憲一)の家では、娘の村上さち(大橋のぞみ)と高村佳奈子(白石美帆)が食事の用意をしていた。その光景はまるで本物の親子のようだ。  出所した春男は刑務所に入る前に付き合"&amp;"っていた真理子(紺野まひる)との幸せだった日々を思い出していた。翌日春男は、服役中に真理子が別の男と一緒に暮らしていたことや、その後病気が治らず亡くなったことを聞く。9年前真理子の治療費のために800万円の報酬で殺しを引き受けて捕まった春男はショックと怒りがこみ上げ真理子の相手の男の名前を聞き出し、その男がパン屋をしていることをつきとめる。  パン屋に入ってきた春男はパンに異物が混入していたと店主である康史に難癖を付け謝罪金として800万円を要求する。その帰り道、公園のベンチで休んでいた春男にさちが声をか"&amp;"けてきた。描いている絵に入ってるから動かないで欲しいというのだ。")</f>
        <v>元ヤクザの男が、自分の娘とは知らずにある少女と出会う。それを通して男はどう変わっていくのか?  「究極の親子愛」を描いた  「阿部寛×大橋のぞみ」でおくる感動のヒューマンストーリー。      刑務所の廊下。整列して歩く受刑者たちの中でひとり、右足を引きずるようにして歩く佐倉春男(阿部寛)の姿があった・・・。同じ頃、パン屋を営む村上康史(遠藤憲一)の家では、娘の村上さち(大橋のぞみ)と高村佳奈子(白石美帆)が食事の用意をしていた。その光景はまるで本物の親子のようだ。  出所した春男は刑務所に入る前に付き合っていた真理子(紺野まひる)との幸せだった日々を思い出していた。翌日春男は、服役中に真理子が別の男と一緒に暮らしていたことや、その後病気が治らず亡くなったことを聞く。9年前真理子の治療費のために800万円の報酬で殺しを引き受けて捕まった春男はショックと怒りがこみ上げ真理子の相手の男の名前を聞き出し、その男がパン屋をしていることをつきとめる。  パン屋に入ってきた春男はパンに異物が混入していたと店主である康史に難癖を付け謝罪金として800万円を要求する。その帰り道、公園のベンチで休んでいた春男にさちが声をかけてきた。描いている絵に入ってるから動かないで欲しいというのだ。</v>
      </c>
      <c r="N1785" s="2"/>
      <c r="O1785" s="2"/>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row>
    <row r="1786" ht="204.75" customHeight="1">
      <c r="A1786" s="1">
        <v>5262.0</v>
      </c>
      <c r="B1786" s="2" t="s">
        <v>5688</v>
      </c>
      <c r="C1786" s="2">
        <f>IFERROR(__xludf.DUMMYFUNCTION("split(B1786,""_"")"),904.0)</f>
        <v>904</v>
      </c>
      <c r="D1786" s="2" t="str">
        <f>IFERROR(__xludf.DUMMYFUNCTION("""COMPUTED_VALUE"""),"CX")</f>
        <v>CX</v>
      </c>
      <c r="E1786" s="2" t="str">
        <f>IFERROR(__xludf.DUMMYFUNCTION("""COMPUTED_VALUE"""),"火22")</f>
        <v>火22</v>
      </c>
      <c r="F1786" s="2" t="s">
        <v>5689</v>
      </c>
      <c r="G1786" s="2" t="s">
        <v>5693</v>
      </c>
      <c r="H1786" s="1">
        <v>2.0</v>
      </c>
      <c r="I1786" s="1" t="s">
        <v>7</v>
      </c>
      <c r="J1786" s="1" t="s">
        <v>86</v>
      </c>
      <c r="K1786" s="2" t="s">
        <v>5694</v>
      </c>
      <c r="L1786" s="2" t="s">
        <v>5695</v>
      </c>
      <c r="M1786" s="2" t="str">
        <f>IFERROR(__xludf.DUMMYFUNCTION("split(split(K1786,""阿部寛　"",false),""公式LINE"",false)"),"【あらすじ】  警察から釈放された春男(阿部寛)だが、800万円は知らないと言い張る康史(遠藤憲一)に嫌がらせを始める。そんな中、さち(大橋のぞみ)は春男になつき、食事に困っていた春男にパンを差し出す。翌日も持ってくると約束をする2人。一方、ネット販売の商売を始めた栞(吉高由里子)はふと会った春男を思い出していた。翌日さちは春男に渡すため、パンを取ろうとするが見つかり怒られてしまう。春男にしつこくつきまとわれていた康史は何かを思い出し、春男に会いに行く。    【内容】  警察に連行された春男は、釈放され"&amp;"ると康史のパン屋に向かう。店内を見ただけで帰った春男を康史は手切れ金50万円が入った封筒を手に追いかけた。再び真理子(紺野まひる)に渡っていたはずの800万円の行方を問うも知らないの一点張りの康史に、春男は封筒を受け取らず去っていく。公園で1人遊んでいたさちは通りかかった春男に付いて回る。春男のお腹が鳴るのを聞いて、かわいそうに思ったさちは持っていたパンを差し出し、翌日も持ってくると約束をかわす。  一方、ネット販売の商売を始めるもパッとしない栞と勇樹(遠藤雄弥)。栞はふと会った春男を思い出していた。さち"&amp;"は春男との約束を守ろうと、店のパンをポケットにしまおうとするが見つかり、怒られてしまう。そして春男につきまとわれていた康史は何かを思い出し、春男に会いに行く。")</f>
        <v>【あらすじ】  警察から釈放された春男(阿部寛)だが、800万円は知らないと言い張る康史(遠藤憲一)に嫌がらせを始める。そんな中、さち(大橋のぞみ)は春男になつき、食事に困っていた春男にパンを差し出す。翌日も持ってくると約束をする2人。一方、ネット販売の商売を始めた栞(吉高由里子)はふと会った春男を思い出していた。翌日さちは春男に渡すため、パンを取ろうとするが見つかり怒られてしまう。春男にしつこくつきまとわれていた康史は何かを思い出し、春男に会いに行く。    【内容】  警察に連行された春男は、釈放されると康史のパン屋に向かう。店内を見ただけで帰った春男を康史は手切れ金50万円が入った封筒を手に追いかけた。再び真理子(紺野まひる)に渡っていたはずの800万円の行方を問うも知らないの一点張りの康史に、春男は封筒を受け取らず去っていく。公園で1人遊んでいたさちは通りかかった春男に付いて回る。春男のお腹が鳴るのを聞いて、かわいそうに思ったさちは持っていたパンを差し出し、翌日も持ってくると約束をかわす。  一方、ネット販売の商売を始めるもパッとしない栞と勇樹(遠藤雄弥)。栞はふと会った春男を思い出していた。さちは春男との約束を守ろうと、店のパンをポケットにしまおうとするが見つかり、怒られてしまう。そして春男につきまとわれていた康史は何かを思い出し、春男に会いに行く。</v>
      </c>
      <c r="N1786" s="2"/>
      <c r="O1786" s="2"/>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row>
    <row r="1787" ht="204.75" customHeight="1">
      <c r="A1787" s="1">
        <v>5263.0</v>
      </c>
      <c r="B1787" s="2" t="s">
        <v>5688</v>
      </c>
      <c r="C1787" s="2">
        <f>IFERROR(__xludf.DUMMYFUNCTION("split(B1787,""_"")"),904.0)</f>
        <v>904</v>
      </c>
      <c r="D1787" s="2" t="str">
        <f>IFERROR(__xludf.DUMMYFUNCTION("""COMPUTED_VALUE"""),"CX")</f>
        <v>CX</v>
      </c>
      <c r="E1787" s="2" t="str">
        <f>IFERROR(__xludf.DUMMYFUNCTION("""COMPUTED_VALUE"""),"火22")</f>
        <v>火22</v>
      </c>
      <c r="F1787" s="2" t="s">
        <v>5689</v>
      </c>
      <c r="G1787" s="2" t="s">
        <v>5696</v>
      </c>
      <c r="H1787" s="1">
        <v>3.0</v>
      </c>
      <c r="I1787" s="1" t="s">
        <v>10</v>
      </c>
      <c r="J1787" s="1" t="s">
        <v>86</v>
      </c>
      <c r="K1787" s="2" t="s">
        <v>5697</v>
      </c>
      <c r="L1787" s="2" t="s">
        <v>5698</v>
      </c>
      <c r="M1787" s="2" t="str">
        <f>IFERROR(__xludf.DUMMYFUNCTION("split(split(K1787,""阿部寛　"",false),""公式LINE"",false)"),"【あらすじ】  ビルの清掃会社で働き始めた春男(阿部寛)は、さち(大橋のぞみ)が持っていた写真から、さちが真理子(紺野まひる)と康史(遠藤憲一)の娘であることを知る。そんな中、栞(吉高由里子)から声をかけられプレハブ小屋で暮らすことになった春男だが、さちがクラスメートの男の子たちから意地悪をされているのを偶然目撃し・・・。【内容】  ビルの清掃会社で働き始めた佐倉春男は、泣きながら帰る村上さちと遭遇する。クラスメートに意地悪され、亡き母親の写真が木にひっかかったと聞く。写真を取ってあげた春男は、写っていた"&amp;"のが真理子である事に驚愕し、さちが真理子と康史の娘で、高村佳奈子(白石美帆)は真理子の妹であることを知る。康史は、さちが春男と会っていないと思っていたのに、さちのスケッチブックに春男らしき人物が描かれているのを見つけ、強い口調でさちを責める。思わず家を飛び出したさちは・・・。")</f>
        <v>【あらすじ】  ビルの清掃会社で働き始めた春男(阿部寛)は、さち(大橋のぞみ)が持っていた写真から、さちが真理子(紺野まひる)と康史(遠藤憲一)の娘であることを知る。そんな中、栞(吉高由里子)から声をかけられプレハブ小屋で暮らすことになった春男だが、さちがクラスメートの男の子たちから意地悪をされているのを偶然目撃し・・・。【内容】  ビルの清掃会社で働き始めた佐倉春男は、泣きながら帰る村上さちと遭遇する。クラスメートに意地悪され、亡き母親の写真が木にひっかかったと聞く。写真を取ってあげた春男は、写っていたのが真理子である事に驚愕し、さちが真理子と康史の娘で、高村佳奈子(白石美帆)は真理子の妹であることを知る。康史は、さちが春男と会っていないと思っていたのに、さちのスケッチブックに春男らしき人物が描かれているのを見つけ、強い口調でさちを責める。思わず家を飛び出したさちは・・・。</v>
      </c>
      <c r="N1787" s="2"/>
      <c r="O1787" s="2"/>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row>
    <row r="1788" ht="204.75" customHeight="1">
      <c r="A1788" s="1">
        <v>5264.0</v>
      </c>
      <c r="B1788" s="2" t="s">
        <v>5688</v>
      </c>
      <c r="C1788" s="2">
        <f>IFERROR(__xludf.DUMMYFUNCTION("split(B1788,""_"")"),904.0)</f>
        <v>904</v>
      </c>
      <c r="D1788" s="2" t="str">
        <f>IFERROR(__xludf.DUMMYFUNCTION("""COMPUTED_VALUE"""),"CX")</f>
        <v>CX</v>
      </c>
      <c r="E1788" s="2" t="str">
        <f>IFERROR(__xludf.DUMMYFUNCTION("""COMPUTED_VALUE"""),"火22")</f>
        <v>火22</v>
      </c>
      <c r="F1788" s="2" t="s">
        <v>5689</v>
      </c>
      <c r="G1788" s="2" t="s">
        <v>5699</v>
      </c>
      <c r="H1788" s="1">
        <v>4.0</v>
      </c>
      <c r="I1788" s="1" t="s">
        <v>14</v>
      </c>
      <c r="J1788" s="1" t="s">
        <v>86</v>
      </c>
      <c r="K1788" s="2" t="s">
        <v>5700</v>
      </c>
      <c r="L1788" s="8" t="s">
        <v>5701</v>
      </c>
      <c r="M1788" s="2" t="str">
        <f>IFERROR(__xludf.DUMMYFUNCTION("split(split(K1788,""阿部寛　"",false),""公式LINE"",false)"),"http://ktv.jp/haru/index.html【あらすじ】  春男(阿部寛)は、真理子(紺野まひる)の墓参りに行き、さち(大橋のぞみ)と佳奈子(白石美帆)に出会う。そして、墓石の名前を見て、真理子が康史(遠藤憲一)と籍を入れていなかったことを知る。  その夜、墓地に来た春男を見て動揺した康史を不審に思った佳奈子が問いただすと、康史の口から驚きの事実が・・・。【内容】  ある日、西田栞(吉高由里子)は、さちから母親・真理子の墓参りに行くことを聞き、佐倉春男に告げる。春男は、真理子の墓参りに出かけ"&amp;"るが、道に迷っているうちに、さちと佳奈子に見つかってしまう。そこで墓石の名前を見た春男は、真理子が康史の籍に入っていなかったことを知る。佳奈子は春男が姉・真理子の墓参りに現れたことや涙ぐみながら墓石をこする姿を見て不審に思い、村上康史に連絡する。康史は墓地へと急ぐが、バスが故障。動揺した康史は、佳奈子に電話をかけ、さちを春男に近づけるなと指示するが、さちは康史の心配をよそに春男に寄って行ってしまう。墓地に着いた康史は「家族につきまとうな」と釘をさすが、春男は「籍を入れていなかったのに家族か」と言い残し、帰"&amp;"って行く。その夜、康史を不審に思った佳奈子が問いただすと、康史の口から驚きの事実が・・・。")</f>
        <v>http://ktv.jp/haru/index.html【あらすじ】  春男(阿部寛)は、真理子(紺野まひる)の墓参りに行き、さち(大橋のぞみ)と佳奈子(白石美帆)に出会う。そして、墓石の名前を見て、真理子が康史(遠藤憲一)と籍を入れていなかったことを知る。  その夜、墓地に来た春男を見て動揺した康史を不審に思った佳奈子が問いただすと、康史の口から驚きの事実が・・・。【内容】  ある日、西田栞(吉高由里子)は、さちから母親・真理子の墓参りに行くことを聞き、佐倉春男に告げる。春男は、真理子の墓参りに出かけるが、道に迷っているうちに、さちと佳奈子に見つかってしまう。そこで墓石の名前を見た春男は、真理子が康史の籍に入っていなかったことを知る。佳奈子は春男が姉・真理子の墓参りに現れたことや涙ぐみながら墓石をこする姿を見て不審に思い、村上康史に連絡する。康史は墓地へと急ぐが、バスが故障。動揺した康史は、佳奈子に電話をかけ、さちを春男に近づけるなと指示するが、さちは康史の心配をよそに春男に寄って行ってしまう。墓地に着いた康史は「家族につきまとうな」と釘をさすが、春男は「籍を入れていなかったのに家族か」と言い残し、帰って行く。その夜、康史を不審に思った佳奈子が問いただすと、康史の口から驚きの事実が・・・。</v>
      </c>
      <c r="N1788" s="2"/>
      <c r="O1788" s="2"/>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row>
    <row r="1789" ht="204.75" customHeight="1">
      <c r="A1789" s="1">
        <v>5265.0</v>
      </c>
      <c r="B1789" s="2" t="s">
        <v>5688</v>
      </c>
      <c r="C1789" s="2">
        <f>IFERROR(__xludf.DUMMYFUNCTION("split(B1789,""_"")"),904.0)</f>
        <v>904</v>
      </c>
      <c r="D1789" s="2" t="str">
        <f>IFERROR(__xludf.DUMMYFUNCTION("""COMPUTED_VALUE"""),"CX")</f>
        <v>CX</v>
      </c>
      <c r="E1789" s="2" t="str">
        <f>IFERROR(__xludf.DUMMYFUNCTION("""COMPUTED_VALUE"""),"火22")</f>
        <v>火22</v>
      </c>
      <c r="F1789" s="2" t="s">
        <v>5689</v>
      </c>
      <c r="G1789" s="2" t="s">
        <v>5702</v>
      </c>
      <c r="H1789" s="1">
        <v>5.0</v>
      </c>
      <c r="I1789" s="1" t="s">
        <v>17</v>
      </c>
      <c r="J1789" s="1" t="s">
        <v>86</v>
      </c>
      <c r="K1789" s="2" t="s">
        <v>5703</v>
      </c>
      <c r="L1789" s="8" t="s">
        <v>5704</v>
      </c>
      <c r="M1789" s="2" t="str">
        <f>IFERROR(__xludf.DUMMYFUNCTION("split(split(K1789,""阿部寛　"",false),""公式LINE"",false)"),"http://ktv.jp/haru/index.html【あらすじ】  　春男(阿部寛)は、ついにさち(大橋のぞみ)が自分と真理子(紺野まひる)の子供であることを知ってしまう。そのことを黙っていた康史(遠藤憲一)に怒りが込み上げ、殴りかかろうとするが、「人殺しの手でさちを触るな」と言われ、何も言い返せなくなる。康史はさちに春男を忘れるよう話すが・・・。【内容】  　春男は、さちが封筒に入れたと話す真理子の写真を探すが見つからない。その写真を見て、春男とさちが親子であることに気付いた栞(吉高由里子)は、写"&amp;"真を隠そうとするが、すぐにバレてしまう。一方、さちは春男を乱暴に追い返した康史に腹を立て、そっけない態度をとるようになる。  ある日、春男は写真に写ったさちの誕生日と自分が捕まった日を照らし合わせ、さちが自分の娘であることを確信する。春男はそのことを黙っていた康史を責めるが、康史は真理子がどんな思いでさちを産み、自分がどんな思いで育てたかを訴える。さらに「人を殺した手でさちに触るな」と責め立て、その言葉を聞いた春男は何も言い返せなくなる。その後、家に帰った康史はさちに春男を忘れるよう話すが・・・。  そし"&amp;"て、春男の行動にある変化が!")</f>
        <v>http://ktv.jp/haru/index.html【あらすじ】  　春男(阿部寛)は、ついにさち(大橋のぞみ)が自分と真理子(紺野まひる)の子供であることを知ってしまう。そのことを黙っていた康史(遠藤憲一)に怒りが込み上げ、殴りかかろうとするが、「人殺しの手でさちを触るな」と言われ、何も言い返せなくなる。康史はさちに春男を忘れるよう話すが・・・。【内容】  　春男は、さちが封筒に入れたと話す真理子の写真を探すが見つからない。その写真を見て、春男とさちが親子であることに気付いた栞(吉高由里子)は、写真を隠そうとするが、すぐにバレてしまう。一方、さちは春男を乱暴に追い返した康史に腹を立て、そっけない態度をとるようになる。  ある日、春男は写真に写ったさちの誕生日と自分が捕まった日を照らし合わせ、さちが自分の娘であることを確信する。春男はそのことを黙っていた康史を責めるが、康史は真理子がどんな思いでさちを産み、自分がどんな思いで育てたかを訴える。さらに「人を殺した手でさちに触るな」と責め立て、その言葉を聞いた春男は何も言い返せなくなる。その後、家に帰った康史はさちに春男を忘れるよう話すが・・・。  そして、春男の行動にある変化が!</v>
      </c>
      <c r="N1789" s="2"/>
      <c r="O1789" s="2"/>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row>
    <row r="1790" ht="204.75" customHeight="1">
      <c r="A1790" s="1">
        <v>5266.0</v>
      </c>
      <c r="B1790" s="2" t="s">
        <v>5688</v>
      </c>
      <c r="C1790" s="2">
        <f>IFERROR(__xludf.DUMMYFUNCTION("split(B1790,""_"")"),904.0)</f>
        <v>904</v>
      </c>
      <c r="D1790" s="2" t="str">
        <f>IFERROR(__xludf.DUMMYFUNCTION("""COMPUTED_VALUE"""),"CX")</f>
        <v>CX</v>
      </c>
      <c r="E1790" s="2" t="str">
        <f>IFERROR(__xludf.DUMMYFUNCTION("""COMPUTED_VALUE"""),"火22")</f>
        <v>火22</v>
      </c>
      <c r="F1790" s="2" t="s">
        <v>5689</v>
      </c>
      <c r="G1790" s="2" t="s">
        <v>5705</v>
      </c>
      <c r="H1790" s="1">
        <v>6.0</v>
      </c>
      <c r="I1790" s="1" t="s">
        <v>21</v>
      </c>
      <c r="J1790" s="1" t="s">
        <v>86</v>
      </c>
      <c r="K1790" s="2" t="s">
        <v>5706</v>
      </c>
      <c r="L1790" s="8" t="s">
        <v>5707</v>
      </c>
      <c r="M1790" s="2" t="str">
        <f>IFERROR(__xludf.DUMMYFUNCTION("split(split(K1790,""阿部寛　"",false),""公式LINE"",false)"),"http://ktv.jp/haru/index.html　さち(大橋のぞみ)が自分と真理子(紺野まひる)の子供ということがわかり、春男(阿部寛)の中で何かが変化し始めた。そして春男はためらいながらもハローワークに通い、職を探すが難航する。  　一方、もう会わないと春男と約束したさちは、明るさを取り戻していたが、春男のことを気にかけていた。康史(遠藤憲一)はパン屋が忙しく、授業参観にも行けそうになく、さちに謝ることしかできない。　そんな矢先、求人募集を見て面接を受けにきた人物と喫茶店で会うことになった。だ"&amp;"がそこに居たのは春男だった。帰ろうとする康史に、春男はさちの父親としてちゃんとしているのかと問う。一瞬返事に詰まるものの、ちゃんとしていると言い切った康史。その言葉を聞いて帰ろうとした春男を、今度は康史が引きとめ、面接を受けろと・・・。")</f>
        <v>http://ktv.jp/haru/index.html　さち(大橋のぞみ)が自分と真理子(紺野まひる)の子供ということがわかり、春男(阿部寛)の中で何かが変化し始めた。そして春男はためらいながらもハローワークに通い、職を探すが難航する。  　一方、もう会わないと春男と約束したさちは、明るさを取り戻していたが、春男のことを気にかけていた。康史(遠藤憲一)はパン屋が忙しく、授業参観にも行けそうになく、さちに謝ることしかできない。　そんな矢先、求人募集を見て面接を受けにきた人物と喫茶店で会うことになった。だがそこに居たのは春男だった。帰ろうとする康史に、春男はさちの父親としてちゃんとしているのかと問う。一瞬返事に詰まるものの、ちゃんとしていると言い切った康史。その言葉を聞いて帰ろうとした春男を、今度は康史が引きとめ、面接を受けろと・・・。</v>
      </c>
      <c r="N1790" s="2"/>
      <c r="O1790" s="2"/>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row>
    <row r="1791" ht="204.75" customHeight="1">
      <c r="A1791" s="1">
        <v>5267.0</v>
      </c>
      <c r="B1791" s="2" t="s">
        <v>5688</v>
      </c>
      <c r="C1791" s="2">
        <f>IFERROR(__xludf.DUMMYFUNCTION("split(B1791,""_"")"),904.0)</f>
        <v>904</v>
      </c>
      <c r="D1791" s="2" t="str">
        <f>IFERROR(__xludf.DUMMYFUNCTION("""COMPUTED_VALUE"""),"CX")</f>
        <v>CX</v>
      </c>
      <c r="E1791" s="2" t="str">
        <f>IFERROR(__xludf.DUMMYFUNCTION("""COMPUTED_VALUE"""),"火22")</f>
        <v>火22</v>
      </c>
      <c r="F1791" s="2" t="s">
        <v>5689</v>
      </c>
      <c r="G1791" s="2" t="s">
        <v>5708</v>
      </c>
      <c r="H1791" s="1">
        <v>7.0</v>
      </c>
      <c r="I1791" s="1" t="s">
        <v>25</v>
      </c>
      <c r="J1791" s="1" t="s">
        <v>86</v>
      </c>
      <c r="K1791" s="2" t="s">
        <v>5709</v>
      </c>
      <c r="L1791" s="8" t="s">
        <v>5710</v>
      </c>
      <c r="M1791" s="2" t="str">
        <f>IFERROR(__xludf.DUMMYFUNCTION("split(split(K1791,""阿部寛　"",false),""公式LINE"",false)"),"http://ktv.jp/haru/index.html　「むらかみベーカリー」で仕事をする春男(阿部寛)。栞(吉高由里子)は、仕事で疲れて帰ってきてもどこか幸せそうな春男を微笑ましく見つめていた。そんなある日、パンの配達中の山中(村上剛基)が事故にあったと連絡が入り、村上康史(遠藤憲一)と佳奈子(白石美帆)は病院に向かうが、その直後にさち(大橋のぞみ)が熱を出して学校を早退してきた。心配でいてもたってもいられない春男は、自宅である2階に上がってはいけないことを知りつつも駆け上がる。部屋を散らかしながら"&amp;"薬を探して飲ませ、キッチンを散らかしながらお粥を作る春男。さちが嫌いという卵も入ったお粥を完成させると、慣れない手つきで食べさせる。そこに康史と佳奈子が帰ってきた。さちと春男が一緒にいるのを見て動揺した康史は、強い口調で春男を追い出す。春男がさちに父親であることを告げていないか確認すると、逆に春男はさちが康史に遠慮して言えないでいた、友達とのパーティーを家でやってやれと言い出した。自分の知らないことを知っている春男に腹を立て作業所を出て行く康史。直後、春男は店にいた栞と小島勇樹(遠藤雄弥)を発見。追い返そ"&amp;"うとするが佳奈子が声をかけてきて・・・。")</f>
        <v>http://ktv.jp/haru/index.html　「むらかみベーカリー」で仕事をする春男(阿部寛)。栞(吉高由里子)は、仕事で疲れて帰ってきてもどこか幸せそうな春男を微笑ましく見つめていた。そんなある日、パンの配達中の山中(村上剛基)が事故にあったと連絡が入り、村上康史(遠藤憲一)と佳奈子(白石美帆)は病院に向かうが、その直後にさち(大橋のぞみ)が熱を出して学校を早退してきた。心配でいてもたってもいられない春男は、自宅である2階に上がってはいけないことを知りつつも駆け上がる。部屋を散らかしながら薬を探して飲ませ、キッチンを散らかしながらお粥を作る春男。さちが嫌いという卵も入ったお粥を完成させると、慣れない手つきで食べさせる。そこに康史と佳奈子が帰ってきた。さちと春男が一緒にいるのを見て動揺した康史は、強い口調で春男を追い出す。春男がさちに父親であることを告げていないか確認すると、逆に春男はさちが康史に遠慮して言えないでいた、友達とのパーティーを家でやってやれと言い出した。自分の知らないことを知っている春男に腹を立て作業所を出て行く康史。直後、春男は店にいた栞と小島勇樹(遠藤雄弥)を発見。追い返そうとするが佳奈子が声をかけてきて・・・。</v>
      </c>
      <c r="N1791" s="2"/>
      <c r="O1791" s="2"/>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row>
    <row r="1792" ht="204.75" customHeight="1">
      <c r="A1792" s="1">
        <v>5268.0</v>
      </c>
      <c r="B1792" s="2" t="s">
        <v>5688</v>
      </c>
      <c r="C1792" s="2">
        <f>IFERROR(__xludf.DUMMYFUNCTION("split(B1792,""_"")"),904.0)</f>
        <v>904</v>
      </c>
      <c r="D1792" s="2" t="str">
        <f>IFERROR(__xludf.DUMMYFUNCTION("""COMPUTED_VALUE"""),"CX")</f>
        <v>CX</v>
      </c>
      <c r="E1792" s="2" t="str">
        <f>IFERROR(__xludf.DUMMYFUNCTION("""COMPUTED_VALUE"""),"火22")</f>
        <v>火22</v>
      </c>
      <c r="F1792" s="2" t="s">
        <v>5689</v>
      </c>
      <c r="G1792" s="2" t="s">
        <v>5711</v>
      </c>
      <c r="H1792" s="1">
        <v>8.0</v>
      </c>
      <c r="I1792" s="1" t="s">
        <v>29</v>
      </c>
      <c r="J1792" s="1" t="s">
        <v>86</v>
      </c>
      <c r="K1792" s="2" t="s">
        <v>5712</v>
      </c>
      <c r="L1792" s="8" t="s">
        <v>5713</v>
      </c>
      <c r="M1792" s="2" t="str">
        <f>IFERROR(__xludf.DUMMYFUNCTION("split(split(K1792,""阿部寛　"",false),""公式LINE"",false)"),"http://ktv.jp/haru/index.htmlさち(大橋のぞみ)はテストの点数を康史(遠藤憲一)に告げ口したと怒り、春男(阿部寛)と絶交する。一方、栞(吉高由里子)と勇樹(遠藤雄弥)はチンピラの安田に10万円を払う約束をしたものの、お金が工面できずに困っていた。  ある日、仕事への熱意が足りないと康史に注意された春男は、逆に労働時間が多いと反発し、残業をしないと宣言。そこにさちが帰ってくるが、絶交はまだ続いていた。落ち込む春男をさりげなく励ます佳奈子(白石美帆)は、本当に今のままでいいのかと問"&amp;"うが、逆に春男に母親になれなくていいのかと問われ、動揺する。  お金を払う期日がきて栞と勇樹は安田と会うが、お金が足りないことを知ると安田は栞に何か持ちかけ、渋々了承する。同じ頃、パン屋に大量注文が入るが、春男は宣言通りに残業はしないと帰る準備を始めた。そこに、竜也(デビット伊東)からの電話で、栞が危険な状況になっていることを聞いた春男は・・・。")</f>
        <v>http://ktv.jp/haru/index.htmlさち(大橋のぞみ)はテストの点数を康史(遠藤憲一)に告げ口したと怒り、春男(阿部寛)と絶交する。一方、栞(吉高由里子)と勇樹(遠藤雄弥)はチンピラの安田に10万円を払う約束をしたものの、お金が工面できずに困っていた。  ある日、仕事への熱意が足りないと康史に注意された春男は、逆に労働時間が多いと反発し、残業をしないと宣言。そこにさちが帰ってくるが、絶交はまだ続いていた。落ち込む春男をさりげなく励ます佳奈子(白石美帆)は、本当に今のままでいいのかと問うが、逆に春男に母親になれなくていいのかと問われ、動揺する。  お金を払う期日がきて栞と勇樹は安田と会うが、お金が足りないことを知ると安田は栞に何か持ちかけ、渋々了承する。同じ頃、パン屋に大量注文が入るが、春男は宣言通りに残業はしないと帰る準備を始めた。そこに、竜也(デビット伊東)からの電話で、栞が危険な状況になっていることを聞いた春男は・・・。</v>
      </c>
      <c r="N1792" s="2"/>
      <c r="O1792" s="2"/>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row>
    <row r="1793" ht="204.75" customHeight="1">
      <c r="A1793" s="1">
        <v>5269.0</v>
      </c>
      <c r="B1793" s="2" t="s">
        <v>5688</v>
      </c>
      <c r="C1793" s="2">
        <f>IFERROR(__xludf.DUMMYFUNCTION("split(B1793,""_"")"),904.0)</f>
        <v>904</v>
      </c>
      <c r="D1793" s="2" t="str">
        <f>IFERROR(__xludf.DUMMYFUNCTION("""COMPUTED_VALUE"""),"CX")</f>
        <v>CX</v>
      </c>
      <c r="E1793" s="2" t="str">
        <f>IFERROR(__xludf.DUMMYFUNCTION("""COMPUTED_VALUE"""),"火22")</f>
        <v>火22</v>
      </c>
      <c r="F1793" s="2" t="s">
        <v>5689</v>
      </c>
      <c r="G1793" s="2" t="s">
        <v>5714</v>
      </c>
      <c r="H1793" s="1">
        <v>9.0</v>
      </c>
      <c r="I1793" s="1" t="s">
        <v>33</v>
      </c>
      <c r="J1793" s="1" t="s">
        <v>86</v>
      </c>
      <c r="K1793" s="2" t="s">
        <v>5715</v>
      </c>
      <c r="L1793" s="8" t="s">
        <v>5716</v>
      </c>
      <c r="M1793" s="2" t="str">
        <f>IFERROR(__xludf.DUMMYFUNCTION("split(split(K1793,""阿部寛　"",false),""公式LINE"",false)"),"http://ktv.jp/haru/index.html　やっと春男(阿部寛)に初給料が出た。公園で1人喜びをかみ締めていると、さち(大橋のぞみ)がその様子を見つけてスケッチし始める。春男は照れながらも、楽しそうにカラフルに絵を描いていくさちを見つめていた。そこで春男は初給料でさちへのプレゼントを買おうとする。しかし、その夜、康史(遠藤憲一)は、床に倒れているさちを発見する。ぐったりするさちを抱きかかえ急いでタクシーに乗り込み病院へ向かう。一方、何も知らない春男は・・・。")</f>
        <v>http://ktv.jp/haru/index.html　やっと春男(阿部寛)に初給料が出た。公園で1人喜びをかみ締めていると、さち(大橋のぞみ)がその様子を見つけてスケッチし始める。春男は照れながらも、楽しそうにカラフルに絵を描いていくさちを見つめていた。そこで春男は初給料でさちへのプレゼントを買おうとする。しかし、その夜、康史(遠藤憲一)は、床に倒れているさちを発見する。ぐったりするさちを抱きかかえ急いでタクシーに乗り込み病院へ向かう。一方、何も知らない春男は・・・。</v>
      </c>
      <c r="N1793" s="2"/>
      <c r="O1793" s="2"/>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row>
    <row r="1794" ht="204.75" customHeight="1">
      <c r="A1794" s="1">
        <v>5270.0</v>
      </c>
      <c r="B1794" s="2" t="s">
        <v>5688</v>
      </c>
      <c r="C1794" s="2">
        <f>IFERROR(__xludf.DUMMYFUNCTION("split(B1794,""_"")"),904.0)</f>
        <v>904</v>
      </c>
      <c r="D1794" s="2" t="str">
        <f>IFERROR(__xludf.DUMMYFUNCTION("""COMPUTED_VALUE"""),"CX")</f>
        <v>CX</v>
      </c>
      <c r="E1794" s="2" t="str">
        <f>IFERROR(__xludf.DUMMYFUNCTION("""COMPUTED_VALUE"""),"火22")</f>
        <v>火22</v>
      </c>
      <c r="F1794" s="2" t="s">
        <v>5689</v>
      </c>
      <c r="G1794" s="2" t="s">
        <v>5717</v>
      </c>
      <c r="H1794" s="1">
        <v>10.0</v>
      </c>
      <c r="I1794" s="1" t="s">
        <v>37</v>
      </c>
      <c r="J1794" s="1" t="s">
        <v>86</v>
      </c>
      <c r="K1794" s="2" t="s">
        <v>5718</v>
      </c>
      <c r="L1794" s="8" t="s">
        <v>5719</v>
      </c>
      <c r="M1794" s="2" t="str">
        <f>IFERROR(__xludf.DUMMYFUNCTION("split(split(K1794,""阿部寛　"",false),""公式LINE"",false)"),"http://ktv.jp/haru/index.html　さち(大橋のぞみ)が病気で倒れ、大がかりな手術を受けることに。手術が続く中、不安を抱えながら終了を待つ康史(遠藤憲一)と佳奈子(白石美帆)。仕事をしていた春男(阿部寛)は真理子(紺野まひる)の写真に向かってさちを助けてくれと祈っていた・・・。  一方プレハブ小屋では、勇樹(遠藤雄弥)が、いつも寂しそうな栞(吉高由里子)のために父親の居場所を突き止める。会い行くことを勧めるが・・・。")</f>
        <v>http://ktv.jp/haru/index.html　さち(大橋のぞみ)が病気で倒れ、大がかりな手術を受けることに。手術が続く中、不安を抱えながら終了を待つ康史(遠藤憲一)と佳奈子(白石美帆)。仕事をしていた春男(阿部寛)は真理子(紺野まひる)の写真に向かってさちを助けてくれと祈っていた・・・。  一方プレハブ小屋では、勇樹(遠藤雄弥)が、いつも寂しそうな栞(吉高由里子)のために父親の居場所を突き止める。会い行くことを勧めるが・・・。</v>
      </c>
      <c r="N1794" s="2"/>
      <c r="O1794" s="2"/>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row>
    <row r="1795" ht="204.75" customHeight="1">
      <c r="A1795" s="1">
        <v>5271.0</v>
      </c>
      <c r="B1795" s="2" t="s">
        <v>5688</v>
      </c>
      <c r="C1795" s="2">
        <f>IFERROR(__xludf.DUMMYFUNCTION("split(B1795,""_"")"),904.0)</f>
        <v>904</v>
      </c>
      <c r="D1795" s="2" t="str">
        <f>IFERROR(__xludf.DUMMYFUNCTION("""COMPUTED_VALUE"""),"CX")</f>
        <v>CX</v>
      </c>
      <c r="E1795" s="2" t="str">
        <f>IFERROR(__xludf.DUMMYFUNCTION("""COMPUTED_VALUE"""),"火22")</f>
        <v>火22</v>
      </c>
      <c r="F1795" s="2" t="s">
        <v>5689</v>
      </c>
      <c r="G1795" s="2" t="s">
        <v>5720</v>
      </c>
      <c r="H1795" s="1">
        <v>11.0</v>
      </c>
      <c r="I1795" s="1" t="s">
        <v>41</v>
      </c>
      <c r="J1795" s="1" t="s">
        <v>86</v>
      </c>
      <c r="K1795" s="2" t="s">
        <v>5721</v>
      </c>
      <c r="L1795" s="8" t="s">
        <v>5722</v>
      </c>
      <c r="M1795" s="2" t="str">
        <f>IFERROR(__xludf.DUMMYFUNCTION("split(split(K1795,""阿部寛　"",false),""公式LINE"",false)"),"http://ktv.jp/haru/index.html　パン屋をやめるという春男(阿部寛)を引き留めようとして追いかけたさち(大橋のぞみ)だが、うまくいかず落ち込む。そんなさちに栞(吉高由里子)は、ついに「おじさんは、さっちゃんのお父さんなんだよ」と言ってしまう・・・。  　さちは春男に会いにプレハブ小屋に行くが、すでに春男の姿はなかった。  　春男、さち、康史(遠藤憲一)、それぞれの親子愛の結末はいかに・・・!?")</f>
        <v>http://ktv.jp/haru/index.html　パン屋をやめるという春男(阿部寛)を引き留めようとして追いかけたさち(大橋のぞみ)だが、うまくいかず落ち込む。そんなさちに栞(吉高由里子)は、ついに「おじさんは、さっちゃんのお父さんなんだよ」と言ってしまう・・・。  　さちは春男に会いにプレハブ小屋に行くが、すでに春男の姿はなかった。  　春男、さち、康史(遠藤憲一)、それぞれの親子愛の結末はいかに・・・!?</v>
      </c>
      <c r="N1795" s="2"/>
      <c r="O1795" s="2"/>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row>
    <row r="1796" ht="204.75" customHeight="1">
      <c r="A1796" s="1">
        <v>5312.0</v>
      </c>
      <c r="B1796" s="2" t="s">
        <v>5723</v>
      </c>
      <c r="C1796" s="2">
        <f>IFERROR(__xludf.DUMMYFUNCTION("split(B1796,""_"")"),904.0)</f>
        <v>904</v>
      </c>
      <c r="D1796" s="2" t="str">
        <f>IFERROR(__xludf.DUMMYFUNCTION("""COMPUTED_VALUE"""),"CX")</f>
        <v>CX</v>
      </c>
      <c r="E1796" s="2" t="str">
        <f>IFERROR(__xludf.DUMMYFUNCTION("""COMPUTED_VALUE"""),"木22")</f>
        <v>木22</v>
      </c>
      <c r="F1796" s="2" t="s">
        <v>4721</v>
      </c>
      <c r="G1796" s="2" t="s">
        <v>4722</v>
      </c>
      <c r="H1796" s="1">
        <v>1.0</v>
      </c>
      <c r="I1796" s="1" t="s">
        <v>3</v>
      </c>
      <c r="J1796" s="1" t="s">
        <v>82</v>
      </c>
      <c r="K1796" s="4" t="s">
        <v>5724</v>
      </c>
      <c r="L1796" s="2" t="s">
        <v>5725</v>
      </c>
      <c r="M1796" s="2" t="str">
        <f>IFERROR(__xludf.DUMMYFUNCTION("split(split(K1796,""天海祐希　 "",false),""公式LINE"",false)"),"警視庁捜査一課に「特別犯罪対策室」が新設され、室長に警部の大澤絵里子(天海祐希)が抜擢される。絵里子は大学卒業後、警視庁に入庁。将来を嘱望されながらも、突然、アメリカに留学。5年間をFBIなどで学び、帰国したばかりだった。  　絵里子の同期で参事官補佐の野立信次郎(竹野内豊)は、警視庁に集まった記者に、「特別犯罪対策室」が科学捜査などの専門的捜査で凶悪犯罪に対応していくチームであると明かす。　絵里子は「特別犯罪対策室」に配属となった刑事と対面する。ところが集まったのは、朝起きられない木元真実(戸田恵梨香)"&amp;"、あまりにクールな片桐琢磨(玉山鉄二)、へらへらとして気弱そうな山村啓輔(温水洋一)、やる気マンマンの花形一平(溝端淳平)、強面で横柄な岩井善治(ケンドーコバヤシ)と、風変わりな人物ばかり。  　そんな中、身元不明の焼死体が発見されたと一報が入り、絵里子は真実らを連れて現場へ。死亡した男性は、上半身だけが丸こげで片腕が折れているという異状死だった。  　科学捜査研究所の鑑識官兼監察医の奈良橋玲子(吉瀬美智子)は、死因が心臓麻痺で、胸部に爆発時に発生する化学合成物質が付着していたと報告する。  　絵里子たち"&amp;"が捜査を進めるうち、凶器が爆弾であり、今回と同じ手口の事件が最近、起こっていることもわかる。そんな中、捜査線上に化学薬品工場を営む野垣泰造(武田鉄矢)が浮上してきて…。")</f>
        <v>警視庁捜査一課に「特別犯罪対策室」が新設され、室長に警部の大澤絵里子(天海祐希)が抜擢される。絵里子は大学卒業後、警視庁に入庁。将来を嘱望されながらも、突然、アメリカに留学。5年間をFBIなどで学び、帰国したばかりだった。  　絵里子の同期で参事官補佐の野立信次郎(竹野内豊)は、警視庁に集まった記者に、「特別犯罪対策室」が科学捜査などの専門的捜査で凶悪犯罪に対応していくチームであると明かす。　絵里子は「特別犯罪対策室」に配属となった刑事と対面する。ところが集まったのは、朝起きられない木元真実(戸田恵梨香)、あまりにクールな片桐琢磨(玉山鉄二)、へらへらとして気弱そうな山村啓輔(温水洋一)、やる気マンマンの花形一平(溝端淳平)、強面で横柄な岩井善治(ケンドーコバヤシ)と、風変わりな人物ばかり。  　そんな中、身元不明の焼死体が発見されたと一報が入り、絵里子は真実らを連れて現場へ。死亡した男性は、上半身だけが丸こげで片腕が折れているという異状死だった。  　科学捜査研究所の鑑識官兼監察医の奈良橋玲子(吉瀬美智子)は、死因が心臓麻痺で、胸部に爆発時に発生する化学合成物質が付着していたと報告する。  　絵里子たちが捜査を進めるうち、凶器が爆弾であり、今回と同じ手口の事件が最近、起こっていることもわかる。そんな中、捜査線上に化学薬品工場を営む野垣泰造(武田鉄矢)が浮上してきて…。</v>
      </c>
      <c r="N1796" s="2"/>
      <c r="O1796" s="2"/>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row>
    <row r="1797" ht="204.75" customHeight="1">
      <c r="A1797" s="1">
        <v>5313.0</v>
      </c>
      <c r="B1797" s="2" t="s">
        <v>5723</v>
      </c>
      <c r="C1797" s="2">
        <f>IFERROR(__xludf.DUMMYFUNCTION("split(B1797,""_"")"),904.0)</f>
        <v>904</v>
      </c>
      <c r="D1797" s="2" t="str">
        <f>IFERROR(__xludf.DUMMYFUNCTION("""COMPUTED_VALUE"""),"CX")</f>
        <v>CX</v>
      </c>
      <c r="E1797" s="2" t="str">
        <f>IFERROR(__xludf.DUMMYFUNCTION("""COMPUTED_VALUE"""),"木22")</f>
        <v>木22</v>
      </c>
      <c r="F1797" s="2" t="s">
        <v>4721</v>
      </c>
      <c r="G1797" s="2" t="s">
        <v>4725</v>
      </c>
      <c r="H1797" s="1">
        <v>2.0</v>
      </c>
      <c r="I1797" s="1" t="s">
        <v>7</v>
      </c>
      <c r="J1797" s="1" t="s">
        <v>86</v>
      </c>
      <c r="K1797" s="4" t="s">
        <v>5726</v>
      </c>
      <c r="L1797" s="2" t="s">
        <v>5727</v>
      </c>
      <c r="M1797" s="2" t="str">
        <f>IFERROR(__xludf.DUMMYFUNCTION("split(split(K1797,""天海祐希　 "",false),""公式LINE"",false)"),"大澤絵里子(天海祐希)は、部下の花形一平(溝端淳平)から犯罪系のサイトに、人を殺したと書き込む人物がいると聞く。この人物は、自らを“神""と称し、殺害したとする3人の名前、住所、遺体写真まで公開しているが、その中に、絵里子たちの管轄で起きた刺殺事件の被害者の女子大生の情報があった。また、別の2件も実在の事件であることから、絵里子は連続殺人を疑う。  　絵里子は木元真実(戸田恵梨香)、片桐琢磨(玉山鉄二)、山村啓輔(温水洋一)、花形、岩井善治(ケンドーコバヤシ)に、別の2件の洗い直しを指示すると、真実を連れ"&amp;"て女子大生の遺体発見現場へ向かう。  　心臓をひと突きにされた女子大生を見た絵里子は、手慣れた者の犯行だと想像。しかし、真実は凶器の角度から、被害者が自分で刺したとしか思えないと言う。  　その頃、“神""がやったとする変死事件を調べていた科捜研の奈良橋玲子(吉瀬美智子)は、事件は事故だと断定。別の水死事件を追っていた山村、岩井も、それが事故だったと報告する。  　そんな折、“神""が逮捕される。これで事件は解決かと思われるが、新たな殺人が起こる。絵里子は、“神""に憧れるあまり、自分が本物の“神""だと"&amp;"思い込む者の犯行だと推理。最初の殺人が成功した今、さらに殺人を重ねていくだろう、とも考える。そこで、犯人をおびき寄せるために自分がおとりになることを思いつく。")</f>
        <v>大澤絵里子(天海祐希)は、部下の花形一平(溝端淳平)から犯罪系のサイトに、人を殺したと書き込む人物がいると聞く。この人物は、自らを“神"と称し、殺害したとする3人の名前、住所、遺体写真まで公開しているが、その中に、絵里子たちの管轄で起きた刺殺事件の被害者の女子大生の情報があった。また、別の2件も実在の事件であることから、絵里子は連続殺人を疑う。  　絵里子は木元真実(戸田恵梨香)、片桐琢磨(玉山鉄二)、山村啓輔(温水洋一)、花形、岩井善治(ケンドーコバヤシ)に、別の2件の洗い直しを指示すると、真実を連れて女子大生の遺体発見現場へ向かう。  　心臓をひと突きにされた女子大生を見た絵里子は、手慣れた者の犯行だと想像。しかし、真実は凶器の角度から、被害者が自分で刺したとしか思えないと言う。  　その頃、“神"がやったとする変死事件を調べていた科捜研の奈良橋玲子(吉瀬美智子)は、事件は事故だと断定。別の水死事件を追っていた山村、岩井も、それが事故だったと報告する。  　そんな折、“神"が逮捕される。これで事件は解決かと思われるが、新たな殺人が起こる。絵里子は、“神"に憧れるあまり、自分が本物の“神"だと思い込む者の犯行だと推理。最初の殺人が成功した今、さらに殺人を重ねていくだろう、とも考える。そこで、犯人をおびき寄せるために自分がおとりになることを思いつく。</v>
      </c>
      <c r="N1797" s="2"/>
      <c r="O1797" s="2"/>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row>
    <row r="1798" ht="204.75" customHeight="1">
      <c r="A1798" s="1">
        <v>5314.0</v>
      </c>
      <c r="B1798" s="2" t="s">
        <v>5723</v>
      </c>
      <c r="C1798" s="2">
        <f>IFERROR(__xludf.DUMMYFUNCTION("split(B1798,""_"")"),904.0)</f>
        <v>904</v>
      </c>
      <c r="D1798" s="2" t="str">
        <f>IFERROR(__xludf.DUMMYFUNCTION("""COMPUTED_VALUE"""),"CX")</f>
        <v>CX</v>
      </c>
      <c r="E1798" s="2" t="str">
        <f>IFERROR(__xludf.DUMMYFUNCTION("""COMPUTED_VALUE"""),"木22")</f>
        <v>木22</v>
      </c>
      <c r="F1798" s="2" t="s">
        <v>4721</v>
      </c>
      <c r="G1798" s="2" t="s">
        <v>4728</v>
      </c>
      <c r="H1798" s="1">
        <v>3.0</v>
      </c>
      <c r="I1798" s="1" t="s">
        <v>10</v>
      </c>
      <c r="J1798" s="1" t="s">
        <v>86</v>
      </c>
      <c r="K1798" s="2" t="s">
        <v>5728</v>
      </c>
      <c r="L1798" s="2" t="s">
        <v>5729</v>
      </c>
      <c r="M1798" s="2" t="str">
        <f>IFERROR(__xludf.DUMMYFUNCTION("split(split(K1798,""天海祐希　 "",false),""公式LINE"",false)"),"大澤絵里子(天海祐希)は、女性誌『エピソード』の読者モデルが連続して暴行されるという事件を担当することに。野立信次郎(竹野内豊)は、次の被害者を出さないためほかのモデルに刑事を付け警戒していると言うが、そんな中、再び事件が起こる。  　3人目の被害者・樋口ゆかり(酒井若菜)は重傷ではないが、精神的なショックを受けていた。状況を察した絵里子は、警護のため木元真実(戸田恵梨香)を病室に残す。　絵里子は、片桐琢磨(玉山鉄二)、花形一平(溝端淳平)、岩井善治(ケンドーコバヤシ)、山村啓輔(温水洋一)ら「特別犯罪対"&amp;"策室」の刑事に、事件の経緯を説明。現場には遺留品もあるが指紋も検出されず、犯人像は見えてこない。  　そんな中、野立が三上(七枝実)という男の情報を持ってくる。三上はモデルたちの行きつけの店の店員で、素行も悪く逮捕歴もあるという。  　ところが後日、三上の死体が発見される。現場に向かった絵里子は鑑識から、三上が犯行の責任を取り自殺したのだろうと聞く。実際、遺書らしきメモと塩化カリウムを打った注射器が残されていた。  　絵里子は、事件は落着したとする刑事たちに、三上は他殺だと言い放つ。科捜研の奈良橋玲子(吉"&amp;"瀬美智子)は、三上が手足を縛られた上、薬剤を注射されたとの見解を示す。絵里子は、三上の死亡推定時刻が2件目の犯行の前であることから、別の暴行犯の存在を推測する。")</f>
        <v>大澤絵里子(天海祐希)は、女性誌『エピソード』の読者モデルが連続して暴行されるという事件を担当することに。野立信次郎(竹野内豊)は、次の被害者を出さないためほかのモデルに刑事を付け警戒していると言うが、そんな中、再び事件が起こる。  　3人目の被害者・樋口ゆかり(酒井若菜)は重傷ではないが、精神的なショックを受けていた。状況を察した絵里子は、警護のため木元真実(戸田恵梨香)を病室に残す。　絵里子は、片桐琢磨(玉山鉄二)、花形一平(溝端淳平)、岩井善治(ケンドーコバヤシ)、山村啓輔(温水洋一)ら「特別犯罪対策室」の刑事に、事件の経緯を説明。現場には遺留品もあるが指紋も検出されず、犯人像は見えてこない。  　そんな中、野立が三上(七枝実)という男の情報を持ってくる。三上はモデルたちの行きつけの店の店員で、素行も悪く逮捕歴もあるという。  　ところが後日、三上の死体が発見される。現場に向かった絵里子は鑑識から、三上が犯行の責任を取り自殺したのだろうと聞く。実際、遺書らしきメモと塩化カリウムを打った注射器が残されていた。  　絵里子は、事件は落着したとする刑事たちに、三上は他殺だと言い放つ。科捜研の奈良橋玲子(吉瀬美智子)は、三上が手足を縛られた上、薬剤を注射されたとの見解を示す。絵里子は、三上の死亡推定時刻が2件目の犯行の前であることから、別の暴行犯の存在を推測する。</v>
      </c>
      <c r="N1798" s="2"/>
      <c r="O1798" s="2"/>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row>
    <row r="1799" ht="204.75" customHeight="1">
      <c r="A1799" s="1">
        <v>5315.0</v>
      </c>
      <c r="B1799" s="2" t="s">
        <v>5723</v>
      </c>
      <c r="C1799" s="2">
        <f>IFERROR(__xludf.DUMMYFUNCTION("split(B1799,""_"")"),904.0)</f>
        <v>904</v>
      </c>
      <c r="D1799" s="2" t="str">
        <f>IFERROR(__xludf.DUMMYFUNCTION("""COMPUTED_VALUE"""),"CX")</f>
        <v>CX</v>
      </c>
      <c r="E1799" s="2" t="str">
        <f>IFERROR(__xludf.DUMMYFUNCTION("""COMPUTED_VALUE"""),"木22")</f>
        <v>木22</v>
      </c>
      <c r="F1799" s="2" t="s">
        <v>4721</v>
      </c>
      <c r="G1799" s="2" t="s">
        <v>4731</v>
      </c>
      <c r="H1799" s="1">
        <v>4.0</v>
      </c>
      <c r="I1799" s="1" t="s">
        <v>14</v>
      </c>
      <c r="J1799" s="1" t="s">
        <v>86</v>
      </c>
      <c r="K1799" s="2" t="s">
        <v>5730</v>
      </c>
      <c r="L1799" s="2" t="s">
        <v>5731</v>
      </c>
      <c r="M1799" s="2" t="str">
        <f>IFERROR(__xludf.DUMMYFUNCTION("split(split(K1799,""天海祐希　 "",false),""公式LINE"",false)"),"大澤絵里子(天海祐希)ら「特別犯罪対策室」のメンバーは、小学生を対象にした防犯キャンペーンを任され、その一環として、防犯をテーマにした寸劇を上演する。  　野立信次郎(竹野内豊)ら警察上層部も見に来る中、絵里子、木元真実(戸田恵梨香)、山村啓輔(温水洋一)は扮装して舞台に立ち、片桐琢磨(玉山鉄二)、花形一平(溝端淳平)、岩井善治(ケンドーコバヤシ)は舞台の袖から成り行きを見守っていた。　そんな中、もともと渋っていた真実がやる気を失い、舞台を降りようとする。絵里子は、子供たちが見ている前で真実を叱責するが、"&amp;"結局、真実は舞台を降りてしまう。  　翌日、真実は対策室にメールを送り付けただけで欠勤。怒った絵里子は、真実をクビにすると言う。そんな噂は、真実の元上司で科捜研の奈良橋玲子(吉瀬美智子)の耳にも入る。　  　そんな折、若い男性が頭部と腹部に銃弾を撃ち込まれて死亡する事件が起こる。現場に向かった絵里子は、残った血の一部が記号のように見えることが気にかかる。翌日、再び男性の射殺事件が起こる。今回も、頭部と腹部に銃弾が撃ち込まれていた。そして、血で書かれた「4」という文字があった。  　対策室に戻った絵里子は、"&amp;"最初の現場で見つけた血の跡も「4」であると発見。明確なメッセージを残したのは恨みによる殺人だからで、「4」とは4人を殺すことを意味している、との見解を明かす。")</f>
        <v>大澤絵里子(天海祐希)ら「特別犯罪対策室」のメンバーは、小学生を対象にした防犯キャンペーンを任され、その一環として、防犯をテーマにした寸劇を上演する。  　野立信次郎(竹野内豊)ら警察上層部も見に来る中、絵里子、木元真実(戸田恵梨香)、山村啓輔(温水洋一)は扮装して舞台に立ち、片桐琢磨(玉山鉄二)、花形一平(溝端淳平)、岩井善治(ケンドーコバヤシ)は舞台の袖から成り行きを見守っていた。　そんな中、もともと渋っていた真実がやる気を失い、舞台を降りようとする。絵里子は、子供たちが見ている前で真実を叱責するが、結局、真実は舞台を降りてしまう。  　翌日、真実は対策室にメールを送り付けただけで欠勤。怒った絵里子は、真実をクビにすると言う。そんな噂は、真実の元上司で科捜研の奈良橋玲子(吉瀬美智子)の耳にも入る。　  　そんな折、若い男性が頭部と腹部に銃弾を撃ち込まれて死亡する事件が起こる。現場に向かった絵里子は、残った血の一部が記号のように見えることが気にかかる。翌日、再び男性の射殺事件が起こる。今回も、頭部と腹部に銃弾が撃ち込まれていた。そして、血で書かれた「4」という文字があった。  　対策室に戻った絵里子は、最初の現場で見つけた血の跡も「4」であると発見。明確なメッセージを残したのは恨みによる殺人だからで、「4」とは4人を殺すことを意味している、との見解を明かす。</v>
      </c>
      <c r="N1799" s="2"/>
      <c r="O1799" s="2"/>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row>
    <row r="1800" ht="204.75" customHeight="1">
      <c r="A1800" s="1">
        <v>5316.0</v>
      </c>
      <c r="B1800" s="2" t="s">
        <v>5723</v>
      </c>
      <c r="C1800" s="2">
        <f>IFERROR(__xludf.DUMMYFUNCTION("split(B1800,""_"")"),904.0)</f>
        <v>904</v>
      </c>
      <c r="D1800" s="2" t="str">
        <f>IFERROR(__xludf.DUMMYFUNCTION("""COMPUTED_VALUE"""),"CX")</f>
        <v>CX</v>
      </c>
      <c r="E1800" s="2" t="str">
        <f>IFERROR(__xludf.DUMMYFUNCTION("""COMPUTED_VALUE"""),"木22")</f>
        <v>木22</v>
      </c>
      <c r="F1800" s="2" t="s">
        <v>4721</v>
      </c>
      <c r="G1800" s="2" t="s">
        <v>4734</v>
      </c>
      <c r="H1800" s="1">
        <v>5.0</v>
      </c>
      <c r="I1800" s="1" t="s">
        <v>17</v>
      </c>
      <c r="J1800" s="1" t="s">
        <v>86</v>
      </c>
      <c r="K1800" s="2" t="s">
        <v>5732</v>
      </c>
      <c r="L1800" s="2" t="s">
        <v>5733</v>
      </c>
      <c r="M1800" s="2" t="str">
        <f>IFERROR(__xludf.DUMMYFUNCTION("split(split(K1800,""天海祐希　 "",false),""公式LINE"",false)"),"大澤絵里子(天海祐希)は、救出に向かった先に木元真実(戸田恵梨香)がいなかったこと、犯人が現場に残したと思われる数字が以前の「4」から「5」に変わっていたことにとまどいを隠せない。  　そんな中、野立信次郎(竹野内豊)が対策室に飛び込んできて、パソコンを見ろ、と言う。画面には、手足を縛られ監禁されている真実の姿がライブ映像として映し出されていた。  　それを見た絵里子、片桐琢磨(玉山鉄二)、山村啓輔(温水洋一)、花形一平(溝端淳平)、岩井善治(ケンドーコバヤシ)は息をのむ。  　事態が世間の知るところとな"&amp;"り、絵里子は、丹波博久(光石研)から責められていた。そんなとき、絵里子の携帯が鳴る。相手は真実を誘拐した男(山田孝之)で、3時間以内に5億円を用意しろと言う。  　絵里子は、奈良橋玲子(吉瀬美智子)や対策室のメンバーに指示を与え、監禁場所の特定と男の身元の割り出しを急ぐ。　そこへ、再び男から絵里子にアクセスが。男は絵里子にパソコンのカメラをつけさせると顔を確認しながら話をし始める。絵里子の交渉により真実の無事がわかり、さらに、5億円の身代金が1億円に変更となる。しかし、真実の声紋を分析した玲子は、真実が相"&amp;"当なストレスを受けていて危険な状態と告げる。  　そんなところへ、再度、男からアクセスがある。絵里子は男の素性をつかもうと、質問をぶつけるがどれもかわされてしまう。")</f>
        <v>大澤絵里子(天海祐希)は、救出に向かった先に木元真実(戸田恵梨香)がいなかったこと、犯人が現場に残したと思われる数字が以前の「4」から「5」に変わっていたことにとまどいを隠せない。  　そんな中、野立信次郎(竹野内豊)が対策室に飛び込んできて、パソコンを見ろ、と言う。画面には、手足を縛られ監禁されている真実の姿がライブ映像として映し出されていた。  　それを見た絵里子、片桐琢磨(玉山鉄二)、山村啓輔(温水洋一)、花形一平(溝端淳平)、岩井善治(ケンドーコバヤシ)は息をのむ。  　事態が世間の知るところとなり、絵里子は、丹波博久(光石研)から責められていた。そんなとき、絵里子の携帯が鳴る。相手は真実を誘拐した男(山田孝之)で、3時間以内に5億円を用意しろと言う。  　絵里子は、奈良橋玲子(吉瀬美智子)や対策室のメンバーに指示を与え、監禁場所の特定と男の身元の割り出しを急ぐ。　そこへ、再び男から絵里子にアクセスが。男は絵里子にパソコンのカメラをつけさせると顔を確認しながら話をし始める。絵里子の交渉により真実の無事がわかり、さらに、5億円の身代金が1億円に変更となる。しかし、真実の声紋を分析した玲子は、真実が相当なストレスを受けていて危険な状態と告げる。  　そんなところへ、再度、男からアクセスがある。絵里子は男の素性をつかもうと、質問をぶつけるがどれもかわされてしまう。</v>
      </c>
      <c r="N1800" s="2"/>
      <c r="O1800" s="2"/>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row>
    <row r="1801" ht="204.75" customHeight="1">
      <c r="A1801" s="1">
        <v>5317.0</v>
      </c>
      <c r="B1801" s="2" t="s">
        <v>5723</v>
      </c>
      <c r="C1801" s="2">
        <f>IFERROR(__xludf.DUMMYFUNCTION("split(B1801,""_"")"),904.0)</f>
        <v>904</v>
      </c>
      <c r="D1801" s="2" t="str">
        <f>IFERROR(__xludf.DUMMYFUNCTION("""COMPUTED_VALUE"""),"CX")</f>
        <v>CX</v>
      </c>
      <c r="E1801" s="2" t="str">
        <f>IFERROR(__xludf.DUMMYFUNCTION("""COMPUTED_VALUE"""),"木22")</f>
        <v>木22</v>
      </c>
      <c r="F1801" s="2" t="s">
        <v>4721</v>
      </c>
      <c r="G1801" s="2" t="s">
        <v>4737</v>
      </c>
      <c r="H1801" s="1">
        <v>6.0</v>
      </c>
      <c r="I1801" s="1" t="s">
        <v>21</v>
      </c>
      <c r="J1801" s="1" t="s">
        <v>86</v>
      </c>
      <c r="K1801" s="2" t="s">
        <v>5734</v>
      </c>
      <c r="L1801" s="2" t="s">
        <v>5735</v>
      </c>
      <c r="M1801" s="2" t="str">
        <f>IFERROR(__xludf.DUMMYFUNCTION("split(split(K1801,""天海祐希　 "",false),""公式LINE"",false)"),"大澤絵里子(天海祐希)は、英明女子学院の教師殺害事件を担当することになる。死亡したのは体育教師・増岡剛で、頭部に打撃を受けていた。  　現場に凶器など一切の遺留品がないのを見た絵里子は、犯人は頭がキレ、几帳面で粘着質な性格だと推測。対策室の木元真実(戸田恵梨香)、山村啓輔(温水洋一)、片桐琢磨(玉山鉄二)、花形一平(溝端淳平)、岩井善治(ケンドーコバヤシ)らに捜査の指示を出すと、英明女子学院へ向かう。  　学校の入り口で女子高生・石原由貴(志田未来)と会った絵里子は、自分を瞬時に刑事だと見抜いた由貴が気に"&amp;"かかる。  　そんな中、かつて増岡と交際していたという由貴に、絵里子は事件当夜の行動を尋ねる。由貴は塾の自習室にいたと言うが、アリバイは証明されない。  　関係者の中で、唯一アリバイが証明できない由貴。絵里子は、野立信次郎(竹野内豊)の承諾を得て、由貴を取り調べる。同じ頃、増岡の同僚の教師・二宮奈津子(西山繭子)の自宅付近から、凶器などが発見される。事情を聞かれた奈津子は、増岡との交際は認めるが、殺人は否定する。  　科捜研の奈良橋玲子(吉瀬美智子)は、遺体から日本では入手が難しいマニキュアの成分が検出さ"&amp;"れたと報告。さらに、そのマニキュアを扱っている輸入雑貨の顧客名簿に奈津子の名前が見つかる。状況証拠は奈津子が犯人だと示すが、絵里子は真犯人は別にいると感じていた。")</f>
        <v>大澤絵里子(天海祐希)は、英明女子学院の教師殺害事件を担当することになる。死亡したのは体育教師・増岡剛で、頭部に打撃を受けていた。  　現場に凶器など一切の遺留品がないのを見た絵里子は、犯人は頭がキレ、几帳面で粘着質な性格だと推測。対策室の木元真実(戸田恵梨香)、山村啓輔(温水洋一)、片桐琢磨(玉山鉄二)、花形一平(溝端淳平)、岩井善治(ケンドーコバヤシ)らに捜査の指示を出すと、英明女子学院へ向かう。  　学校の入り口で女子高生・石原由貴(志田未来)と会った絵里子は、自分を瞬時に刑事だと見抜いた由貴が気にかかる。  　そんな中、かつて増岡と交際していたという由貴に、絵里子は事件当夜の行動を尋ねる。由貴は塾の自習室にいたと言うが、アリバイは証明されない。  　関係者の中で、唯一アリバイが証明できない由貴。絵里子は、野立信次郎(竹野内豊)の承諾を得て、由貴を取り調べる。同じ頃、増岡の同僚の教師・二宮奈津子(西山繭子)の自宅付近から、凶器などが発見される。事情を聞かれた奈津子は、増岡との交際は認めるが、殺人は否定する。  　科捜研の奈良橋玲子(吉瀬美智子)は、遺体から日本では入手が難しいマニキュアの成分が検出されたと報告。さらに、そのマニキュアを扱っている輸入雑貨の顧客名簿に奈津子の名前が見つかる。状況証拠は奈津子が犯人だと示すが、絵里子は真犯人は別にいると感じていた。</v>
      </c>
      <c r="N1801" s="2"/>
      <c r="O1801" s="2"/>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row>
    <row r="1802" ht="204.75" customHeight="1">
      <c r="A1802" s="1">
        <v>5318.0</v>
      </c>
      <c r="B1802" s="2" t="s">
        <v>5723</v>
      </c>
      <c r="C1802" s="2">
        <f>IFERROR(__xludf.DUMMYFUNCTION("split(B1802,""_"")"),904.0)</f>
        <v>904</v>
      </c>
      <c r="D1802" s="2" t="str">
        <f>IFERROR(__xludf.DUMMYFUNCTION("""COMPUTED_VALUE"""),"CX")</f>
        <v>CX</v>
      </c>
      <c r="E1802" s="2" t="str">
        <f>IFERROR(__xludf.DUMMYFUNCTION("""COMPUTED_VALUE"""),"木22")</f>
        <v>木22</v>
      </c>
      <c r="F1802" s="2" t="s">
        <v>4721</v>
      </c>
      <c r="G1802" s="2" t="s">
        <v>4740</v>
      </c>
      <c r="H1802" s="1">
        <v>7.0</v>
      </c>
      <c r="I1802" s="1" t="s">
        <v>25</v>
      </c>
      <c r="J1802" s="1" t="s">
        <v>86</v>
      </c>
      <c r="K1802" s="2" t="s">
        <v>5736</v>
      </c>
      <c r="L1802" s="2" t="s">
        <v>5737</v>
      </c>
      <c r="M1802" s="2" t="str">
        <f>IFERROR(__xludf.DUMMYFUNCTION("split(split(K1802,""天海祐希　 "",false),""公式LINE"",false)"),"大澤絵里子(天海祐希)は、野立信次郎(竹野内豊)に言われニュース番組に生出演、キャスターの高峰仁美(富田靖子)と対談する。  　番組終了後、絵里子と話す仁美のところへスタッフが1枚の紙を持ってくる。最近、仁美宛に送られてくる脅迫文だった。スタッフは警察に届けようと提言するが、仁美はその必要はないと言うと、平然と絵里子に向き直る。  　その頃、フリーカメラマンの安田博文の溺死体が発見された。所轄は事故死としたが、安田は誰か大物のスクープを撮影したことが原因で殺されたのでは、とマスコミが騒ぎ始める。  　絵里"&amp;"子は、対策室の片桐琢磨(玉山鉄二)、山村啓輔(温水洋一)、花形一平(溝端淳平)、岩井善治(ケンドーコバヤシ)に捜査に出るよう指示。自分は、木元真実(戸田恵梨香)を連れて、安田の遺体発見現場へと向かう。  　現場の状況は、所轄の検証どおり「事故死」と訴えていたが、絵里子は違和感を覚えていた。　絵里子に言われ、安田が撮影した大量のポジフィルムを持ち帰り分析していた真実は、10年前の6月のポジが極端に少ないことに気付く。絵里子がその月の事件を調べさせると都内で起こった重要事件は女子高生が被害に遭ったストーカー殺"&amp;"人だけだとわかる。それは、現場に偶然居合わせた報道関係者がスクープ映像として事件を報じたことが犯人逮捕につながったという事件だった。そして、その報道関係者とは、仁美だという。")</f>
        <v>大澤絵里子(天海祐希)は、野立信次郎(竹野内豊)に言われニュース番組に生出演、キャスターの高峰仁美(富田靖子)と対談する。  　番組終了後、絵里子と話す仁美のところへスタッフが1枚の紙を持ってくる。最近、仁美宛に送られてくる脅迫文だった。スタッフは警察に届けようと提言するが、仁美はその必要はないと言うと、平然と絵里子に向き直る。  　その頃、フリーカメラマンの安田博文の溺死体が発見された。所轄は事故死としたが、安田は誰か大物のスクープを撮影したことが原因で殺されたのでは、とマスコミが騒ぎ始める。  　絵里子は、対策室の片桐琢磨(玉山鉄二)、山村啓輔(温水洋一)、花形一平(溝端淳平)、岩井善治(ケンドーコバヤシ)に捜査に出るよう指示。自分は、木元真実(戸田恵梨香)を連れて、安田の遺体発見現場へと向かう。  　現場の状況は、所轄の検証どおり「事故死」と訴えていたが、絵里子は違和感を覚えていた。　絵里子に言われ、安田が撮影した大量のポジフィルムを持ち帰り分析していた真実は、10年前の6月のポジが極端に少ないことに気付く。絵里子がその月の事件を調べさせると都内で起こった重要事件は女子高生が被害に遭ったストーカー殺人だけだとわかる。それは、現場に偶然居合わせた報道関係者がスクープ映像として事件を報じたことが犯人逮捕につながったという事件だった。そして、その報道関係者とは、仁美だという。</v>
      </c>
      <c r="N1802" s="2"/>
      <c r="O1802" s="2"/>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row>
    <row r="1803" ht="204.75" customHeight="1">
      <c r="A1803" s="1">
        <v>5319.0</v>
      </c>
      <c r="B1803" s="2" t="s">
        <v>5723</v>
      </c>
      <c r="C1803" s="2">
        <f>IFERROR(__xludf.DUMMYFUNCTION("split(B1803,""_"")"),904.0)</f>
        <v>904</v>
      </c>
      <c r="D1803" s="2" t="str">
        <f>IFERROR(__xludf.DUMMYFUNCTION("""COMPUTED_VALUE"""),"CX")</f>
        <v>CX</v>
      </c>
      <c r="E1803" s="2" t="str">
        <f>IFERROR(__xludf.DUMMYFUNCTION("""COMPUTED_VALUE"""),"木22")</f>
        <v>木22</v>
      </c>
      <c r="F1803" s="2" t="s">
        <v>4721</v>
      </c>
      <c r="G1803" s="2" t="s">
        <v>4743</v>
      </c>
      <c r="H1803" s="1">
        <v>8.0</v>
      </c>
      <c r="I1803" s="1" t="s">
        <v>29</v>
      </c>
      <c r="J1803" s="1" t="s">
        <v>86</v>
      </c>
      <c r="K1803" s="2" t="s">
        <v>5738</v>
      </c>
      <c r="L1803" s="2" t="s">
        <v>5739</v>
      </c>
      <c r="M1803" s="2" t="str">
        <f>IFERROR(__xludf.DUMMYFUNCTION("split(split(K1803,""天海祐希　 "",false),""公式LINE"",false)"),"大澤絵里子(天海祐希)は、暴力団幹部の射殺事件を担当する。被害者の頭に残った銃弾から、犯人は龍千会幹部の谷本隆(工藤俊作)だと推測された。  　絵里子は、木元真実(戸田恵梨香)、片桐琢磨(玉山鉄二)、花形一平(溝端淳平)を連れ谷本の潜伏先にやってくる。しかし、谷本は逃走。やがて、追跡した絵里子と片桐が発見するが、目の前で何者かにより射殺される。  　数日前、対策室に左胸を赤インクで染めた人形が送付されていたことから、絵里子は谷本殺害は予告殺人の可能性があると見ていた。その頃、山村啓輔(温水洋一)と岩井善治"&amp;"(ケンドーコバヤシ)は、山村の案内でクラブに入店する。山村は現れたホステス・西山菜々美(小西真奈美)を、自分の婚約者だと言い張る。  　そんな中、対策室に再び人形が送られてくる。奈良橋玲子(吉瀬美智子)が調べると、谷本が撃たれたものと同じ銃弾が入っていた。  　同じ頃、聞き込み中の小野田忠(塩見三省)と川野昭夫(長谷川博己)のところへ片桐が走りこんでくる。と、その瞬間、川野が胸を撃たれる。小野田は、片桐にビルの上に見えるライフルの影を撃てと叫ぶ。が、片桐は撃つことができない。  　後日、絵里子は、片桐にな"&amp;"ぜ川野が狙撃された場所にいたのか尋ねるが、片桐は答えない。  　何かを感じた絵里子は野立(竹野内豊)を呼び出し、野立は捜査資料が閲覧できるデータベースのパスワードを教える。")</f>
        <v>大澤絵里子(天海祐希)は、暴力団幹部の射殺事件を担当する。被害者の頭に残った銃弾から、犯人は龍千会幹部の谷本隆(工藤俊作)だと推測された。  　絵里子は、木元真実(戸田恵梨香)、片桐琢磨(玉山鉄二)、花形一平(溝端淳平)を連れ谷本の潜伏先にやってくる。しかし、谷本は逃走。やがて、追跡した絵里子と片桐が発見するが、目の前で何者かにより射殺される。  　数日前、対策室に左胸を赤インクで染めた人形が送付されていたことから、絵里子は谷本殺害は予告殺人の可能性があると見ていた。その頃、山村啓輔(温水洋一)と岩井善治(ケンドーコバヤシ)は、山村の案内でクラブに入店する。山村は現れたホステス・西山菜々美(小西真奈美)を、自分の婚約者だと言い張る。  　そんな中、対策室に再び人形が送られてくる。奈良橋玲子(吉瀬美智子)が調べると、谷本が撃たれたものと同じ銃弾が入っていた。  　同じ頃、聞き込み中の小野田忠(塩見三省)と川野昭夫(長谷川博己)のところへ片桐が走りこんでくる。と、その瞬間、川野が胸を撃たれる。小野田は、片桐にビルの上に見えるライフルの影を撃てと叫ぶ。が、片桐は撃つことができない。  　後日、絵里子は、片桐になぜ川野が狙撃された場所にいたのか尋ねるが、片桐は答えない。  　何かを感じた絵里子は野立(竹野内豊)を呼び出し、野立は捜査資料が閲覧できるデータベースのパスワードを教える。</v>
      </c>
      <c r="N1803" s="2"/>
      <c r="O1803" s="2"/>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row>
    <row r="1804" ht="204.75" customHeight="1">
      <c r="A1804" s="1">
        <v>5320.0</v>
      </c>
      <c r="B1804" s="2" t="s">
        <v>5723</v>
      </c>
      <c r="C1804" s="2">
        <f>IFERROR(__xludf.DUMMYFUNCTION("split(B1804,""_"")"),904.0)</f>
        <v>904</v>
      </c>
      <c r="D1804" s="2" t="str">
        <f>IFERROR(__xludf.DUMMYFUNCTION("""COMPUTED_VALUE"""),"CX")</f>
        <v>CX</v>
      </c>
      <c r="E1804" s="2" t="str">
        <f>IFERROR(__xludf.DUMMYFUNCTION("""COMPUTED_VALUE"""),"木22")</f>
        <v>木22</v>
      </c>
      <c r="F1804" s="2" t="s">
        <v>4721</v>
      </c>
      <c r="G1804" s="2" t="s">
        <v>4746</v>
      </c>
      <c r="H1804" s="1">
        <v>9.0</v>
      </c>
      <c r="I1804" s="1" t="s">
        <v>33</v>
      </c>
      <c r="J1804" s="1" t="s">
        <v>86</v>
      </c>
      <c r="K1804" s="2" t="s">
        <v>5740</v>
      </c>
      <c r="L1804" s="2" t="s">
        <v>5741</v>
      </c>
      <c r="M1804" s="2" t="str">
        <f>IFERROR(__xludf.DUMMYFUNCTION("split(split(K1804,""天海祐希　 "",false),""公式LINE"",false)"),"大澤絵里子(天海祐希)は、トラック運転手・柏原(植松洋)が惨殺された事件を担当する。  　木元真実(戸田恵梨香)、花形一平(溝端淳平)とともに現場に入った絵里子は、犯行に衝動性がある一方、指紋を拭き取るなど、冷静さもあることから複数犯の可能性を示唆。奈良橋玲子(吉瀬美智子)は、遺体の傷が右半身に集中していることから、犯人は左利きの可能性が高いと言う。  　その後、片桐琢磨(玉山鉄二)、山村啓輔(温水洋一)、岩井善治(ケンドーコバヤシ)らが捜査するうち、柏原には暴力が原因で離婚した妻と、26歳になる息子(原"&amp;"田健二)がいることがわかる。さらに、息子自身も子供に暴力を振るっており、それに悩んだ息子が“虐待サイトSOS""という相談所を訪ねていたこともわかる。  　サイトを運営するのは、慶政大学心理学部教授の西名亘(生瀬勝久)だった。自分を訪ねてきた絵里子に西名は、父親から暴力を受けていたことが、息子が父親を殺す動機にはならないと話す。  　そんな折、今度は土木作業員・町田が殺される。その手口から、柏原と同一犯による犯行だと思われた。  　衝撃的な連続殺人が捜査の遅れとともに報道され、絵里子は丹波博久(光石研)か"&amp;"ら叱責を受ける。野立信次郎(竹野内豊)が擁護するが、丹波の怒りは収まらない。  　一方、町田も子供を虐待しており、その子供もサイトを訪ねていたことがわかる。")</f>
        <v>大澤絵里子(天海祐希)は、トラック運転手・柏原(植松洋)が惨殺された事件を担当する。  　木元真実(戸田恵梨香)、花形一平(溝端淳平)とともに現場に入った絵里子は、犯行に衝動性がある一方、指紋を拭き取るなど、冷静さもあることから複数犯の可能性を示唆。奈良橋玲子(吉瀬美智子)は、遺体の傷が右半身に集中していることから、犯人は左利きの可能性が高いと言う。  　その後、片桐琢磨(玉山鉄二)、山村啓輔(温水洋一)、岩井善治(ケンドーコバヤシ)らが捜査するうち、柏原には暴力が原因で離婚した妻と、26歳になる息子(原田健二)がいることがわかる。さらに、息子自身も子供に暴力を振るっており、それに悩んだ息子が“虐待サイトSOS"という相談所を訪ねていたこともわかる。  　サイトを運営するのは、慶政大学心理学部教授の西名亘(生瀬勝久)だった。自分を訪ねてきた絵里子に西名は、父親から暴力を受けていたことが、息子が父親を殺す動機にはならないと話す。  　そんな折、今度は土木作業員・町田が殺される。その手口から、柏原と同一犯による犯行だと思われた。  　衝撃的な連続殺人が捜査の遅れとともに報道され、絵里子は丹波博久(光石研)から叱責を受ける。野立信次郎(竹野内豊)が擁護するが、丹波の怒りは収まらない。  　一方、町田も子供を虐待しており、その子供もサイトを訪ねていたことがわかる。</v>
      </c>
      <c r="N1804" s="2"/>
      <c r="O1804" s="2"/>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row>
    <row r="1805" ht="204.75" customHeight="1">
      <c r="A1805" s="1">
        <v>5321.0</v>
      </c>
      <c r="B1805" s="2" t="s">
        <v>5723</v>
      </c>
      <c r="C1805" s="2">
        <f>IFERROR(__xludf.DUMMYFUNCTION("split(B1805,""_"")"),904.0)</f>
        <v>904</v>
      </c>
      <c r="D1805" s="2" t="str">
        <f>IFERROR(__xludf.DUMMYFUNCTION("""COMPUTED_VALUE"""),"CX")</f>
        <v>CX</v>
      </c>
      <c r="E1805" s="2" t="str">
        <f>IFERROR(__xludf.DUMMYFUNCTION("""COMPUTED_VALUE"""),"木22")</f>
        <v>木22</v>
      </c>
      <c r="F1805" s="2" t="s">
        <v>4721</v>
      </c>
      <c r="G1805" s="2" t="s">
        <v>4749</v>
      </c>
      <c r="H1805" s="1">
        <v>10.0</v>
      </c>
      <c r="I1805" s="1" t="s">
        <v>37</v>
      </c>
      <c r="J1805" s="1" t="s">
        <v>86</v>
      </c>
      <c r="K1805" s="2" t="s">
        <v>5742</v>
      </c>
      <c r="L1805" s="2" t="s">
        <v>5743</v>
      </c>
      <c r="M1805" s="2" t="str">
        <f>IFERROR(__xludf.DUMMYFUNCTION("split(split(K1805,""天海祐希　 "",false),""公式LINE"",false)"),"大澤絵里子(天海祐希)ら対策室の刑事たちは、謹慎処分を受け、生活安全課を補佐する仕事をしていた。  　花形一平(溝端淳平)とともに、あるキャンペーンに参加していた片桐琢磨(玉山鉄二)は、新聞記者(小須田康人)に声をかけられる。記者は、今回の対策室の謹慎と警視庁の裏金汚職問題には関係があるのかと尋ねる。  　同じ頃、ゴミ箱連続爆破事件を担当する木元真実(戸田恵梨香)、山村啓輔(温水洋一)は、証拠品の分析を終えた奈良橋玲子(吉瀬美智子)から、爆発物のタイマーに使われた時計に絵里子の指紋があったと聞かされる。 "&amp;" 　対策室のメンバーたちは、片桐の指示のもと、片桐、山村、岩井善治(ケンドーコバヤシ)が捜査に、真実と花形が絵里子を取り調べることにする。  　一方、野立信次郎(竹野内豊)は、警視総監・大山源蔵(津川雅彦)も来場するイベントの警備について幹部との打ち合わせを終えた。すると、そこへ片桐がやってきて裏金問題について尋ねる。野立は笑顔を見せ、知らないと一蹴する。  　そんな頃、ある大学の講義室で死傷者が出る爆発が起こった。真実は、取調べ中の絵里子にそれを報告。爆弾の成分に関しても告げると、絵里子の表情がかわる。"&amp;"実は、タイマーに使われていた時計は、絵里子が池上浩(丸山智己)に贈ったものだった。しかし、絵里子は、事件に関与しているのは浩の弟・健吾(石垣佑磨)だろうと明かす。")</f>
        <v>大澤絵里子(天海祐希)ら対策室の刑事たちは、謹慎処分を受け、生活安全課を補佐する仕事をしていた。  　花形一平(溝端淳平)とともに、あるキャンペーンに参加していた片桐琢磨(玉山鉄二)は、新聞記者(小須田康人)に声をかけられる。記者は、今回の対策室の謹慎と警視庁の裏金汚職問題には関係があるのかと尋ねる。  　同じ頃、ゴミ箱連続爆破事件を担当する木元真実(戸田恵梨香)、山村啓輔(温水洋一)は、証拠品の分析を終えた奈良橋玲子(吉瀬美智子)から、爆発物のタイマーに使われた時計に絵里子の指紋があったと聞かされる。  　対策室のメンバーたちは、片桐の指示のもと、片桐、山村、岩井善治(ケンドーコバヤシ)が捜査に、真実と花形が絵里子を取り調べることにする。  　一方、野立信次郎(竹野内豊)は、警視総監・大山源蔵(津川雅彦)も来場するイベントの警備について幹部との打ち合わせを終えた。すると、そこへ片桐がやってきて裏金問題について尋ねる。野立は笑顔を見せ、知らないと一蹴する。  　そんな頃、ある大学の講義室で死傷者が出る爆発が起こった。真実は、取調べ中の絵里子にそれを報告。爆弾の成分に関しても告げると、絵里子の表情がかわる。実は、タイマーに使われていた時計は、絵里子が池上浩(丸山智己)に贈ったものだった。しかし、絵里子は、事件に関与しているのは浩の弟・健吾(石垣佑磨)だろうと明かす。</v>
      </c>
      <c r="N1805" s="2"/>
      <c r="O1805" s="2"/>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row>
    <row r="1806" ht="204.75" customHeight="1">
      <c r="A1806" s="1">
        <v>5322.0</v>
      </c>
      <c r="B1806" s="2" t="s">
        <v>5723</v>
      </c>
      <c r="C1806" s="2">
        <f>IFERROR(__xludf.DUMMYFUNCTION("split(B1806,""_"")"),904.0)</f>
        <v>904</v>
      </c>
      <c r="D1806" s="2" t="str">
        <f>IFERROR(__xludf.DUMMYFUNCTION("""COMPUTED_VALUE"""),"CX")</f>
        <v>CX</v>
      </c>
      <c r="E1806" s="2" t="str">
        <f>IFERROR(__xludf.DUMMYFUNCTION("""COMPUTED_VALUE"""),"木22")</f>
        <v>木22</v>
      </c>
      <c r="F1806" s="2" t="s">
        <v>4721</v>
      </c>
      <c r="G1806" s="2" t="s">
        <v>4752</v>
      </c>
      <c r="H1806" s="1">
        <v>11.0</v>
      </c>
      <c r="I1806" s="1" t="s">
        <v>41</v>
      </c>
      <c r="J1806" s="1" t="s">
        <v>82</v>
      </c>
      <c r="K1806" s="2" t="s">
        <v>5744</v>
      </c>
      <c r="L1806" s="2" t="s">
        <v>5745</v>
      </c>
      <c r="M1806" s="2" t="str">
        <f>IFERROR(__xludf.DUMMYFUNCTION("split(split(K1806,""天海祐希　 "",false),""公式LINE"",false)"),"大澤絵里子(天海祐希)は刑事たちに、野立信次郎(竹野内豊)と警視総監・大山源蔵(津川雅彦)を乗せた車の追尾を指示すると、自身も木元真実(戸田恵梨香)、山村啓輔(温水洋一)、花形一平(溝端淳平)とともに車を追いかける。  　その頃、丹波博久(光石研)は警視庁の幹部たちに、誘拐の首謀者は、反政府組織「黒い月」のメンバーだと伝えた。  　また、絵里子は片桐琢磨(玉山鉄二)から小野田忠(塩見三省)が重体に陥っていると聞く。小野田は、警視庁の裏金汚職の証拠をつかんだために命を狙われたのだ。  　そんな中、絵里子は司"&amp;"令部からの情報を対策室に入れるため、屋田健三(相島一之)の協力を得ることに。絵里子は屋田に、裏金汚職に関わっているのは野立で、その隠ぺいのために総監を殺害することが「黒い月」の利害と一致しているのだと明かす。  　やがて、司令部に「黒い月」の高倉龍平(反町隆史)から電話が入る。高倉は服役中の3人の幹部を釈放することを要求。それを聞いた絵里子は、小野田周りを再度洗うように指示する。  　そんな折、爆発物が見つかったと連絡が入る。現場に向かった処理班は、爆弾を見て言葉を失った。処理方法がわからないというのだ。"&amp;"奈良橋玲子(吉瀬美智子)はそれを、日本にはまだ解除した者がいない燃料気化爆弾だと言う。絵里子は、それを解除できるのは、服役中の野垣泰造(武田鉄矢)だけだろうと言い…。")</f>
        <v>大澤絵里子(天海祐希)は刑事たちに、野立信次郎(竹野内豊)と警視総監・大山源蔵(津川雅彦)を乗せた車の追尾を指示すると、自身も木元真実(戸田恵梨香)、山村啓輔(温水洋一)、花形一平(溝端淳平)とともに車を追いかける。  　その頃、丹波博久(光石研)は警視庁の幹部たちに、誘拐の首謀者は、反政府組織「黒い月」のメンバーだと伝えた。  　また、絵里子は片桐琢磨(玉山鉄二)から小野田忠(塩見三省)が重体に陥っていると聞く。小野田は、警視庁の裏金汚職の証拠をつかんだために命を狙われたのだ。  　そんな中、絵里子は司令部からの情報を対策室に入れるため、屋田健三(相島一之)の協力を得ることに。絵里子は屋田に、裏金汚職に関わっているのは野立で、その隠ぺいのために総監を殺害することが「黒い月」の利害と一致しているのだと明かす。  　やがて、司令部に「黒い月」の高倉龍平(反町隆史)から電話が入る。高倉は服役中の3人の幹部を釈放することを要求。それを聞いた絵里子は、小野田周りを再度洗うように指示する。  　そんな折、爆発物が見つかったと連絡が入る。現場に向かった処理班は、爆弾を見て言葉を失った。処理方法がわからないというのだ。奈良橋玲子(吉瀬美智子)はそれを、日本にはまだ解除した者がいない燃料気化爆弾だと言う。絵里子は、それを解除できるのは、服役中の野垣泰造(武田鉄矢)だけだろうと言い…。</v>
      </c>
      <c r="N1806" s="2"/>
      <c r="O1806" s="2"/>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row>
    <row r="1807" ht="204.75" customHeight="1">
      <c r="A1807" s="1">
        <v>5372.0</v>
      </c>
      <c r="B1807" s="2" t="s">
        <v>5746</v>
      </c>
      <c r="C1807" s="2">
        <f>IFERROR(__xludf.DUMMYFUNCTION("split(B1807,""_"")"),904.0)</f>
        <v>904</v>
      </c>
      <c r="D1807" s="2" t="str">
        <f>IFERROR(__xludf.DUMMYFUNCTION("""COMPUTED_VALUE"""),"CX")</f>
        <v>CX</v>
      </c>
      <c r="E1807" s="2" t="str">
        <f>IFERROR(__xludf.DUMMYFUNCTION("""COMPUTED_VALUE"""),"土23")</f>
        <v>土23</v>
      </c>
      <c r="F1807" s="2" t="s">
        <v>5747</v>
      </c>
      <c r="G1807" s="2" t="s">
        <v>5748</v>
      </c>
      <c r="H1807" s="1">
        <v>1.0</v>
      </c>
      <c r="I1807" s="1" t="s">
        <v>7</v>
      </c>
      <c r="J1807" s="1" t="s">
        <v>1435</v>
      </c>
      <c r="K1807" s="4" t="s">
        <v>5749</v>
      </c>
      <c r="L1807" s="2" t="s">
        <v>5750</v>
      </c>
      <c r="M1807" s="2" t="str">
        <f>IFERROR(__xludf.DUMMYFUNCTION("split(split(K1807,""堂本剛　"",false),""公式LINE"",false)"),"鞍馬六郎(堂本剛)は、大田原警部(高橋克実)の部下・三島をお見合い相手として紹介してもらうと気合い満々のリカコ(水川あさみ)に付き添って京都へやって来た。駅に着くと、捜査のため来られなくなった三島の代わりに氏家(沢村一樹)が2人を迎える。氏家も別件の老舗旅館の主人(森下哲夫)が殺された事件の捜査中と聞いた六郎は手伝いを申し出る。  　現場で殺害状況を聞き、すぐに顔見知りの犯行と判断した六郎。その矢先、大田原の命令で京都に来ていた茂木刑事(戸次重幸)が、全身に返り血を浴びた旅館の板長・山崎(久ヶ沢徹)を犯人"&amp;"だと連行してきた。しかし六郎は事件を33分もたせると宣言。  　六郎は、犯行時刻に魚の仕入れのため、小浜に出掛けていて不在だった番頭の若葉(中村有志)に疑いをかけ、若葉のトリックを説明。そのトリックにはかなり無理があったが、被害者の抱えていた金庫から見つかった数字の書かれたメモを強引な解釈をして、再び若葉に容疑をかける六郎。しかし、仲居・本山直子(山村紅葉)の証言で若葉の容疑が晴れた。  　さらに紀美(桐谷美玲)が父親を激しく恨んでいたという情報を得る。それらの状況から紀美が犯人と推理する六郎だが、犯行が"&amp;"立証できない。情報屋(ナイツ)から、直子が被害者の弱みを握っていて金銭絡みでもめていたことを聞いた六郎は、関係者を集めた。")</f>
        <v>鞍馬六郎(堂本剛)は、大田原警部(高橋克実)の部下・三島をお見合い相手として紹介してもらうと気合い満々のリカコ(水川あさみ)に付き添って京都へやって来た。駅に着くと、捜査のため来られなくなった三島の代わりに氏家(沢村一樹)が2人を迎える。氏家も別件の老舗旅館の主人(森下哲夫)が殺された事件の捜査中と聞いた六郎は手伝いを申し出る。  　現場で殺害状況を聞き、すぐに顔見知りの犯行と判断した六郎。その矢先、大田原の命令で京都に来ていた茂木刑事(戸次重幸)が、全身に返り血を浴びた旅館の板長・山崎(久ヶ沢徹)を犯人だと連行してきた。しかし六郎は事件を33分もたせると宣言。  　六郎は、犯行時刻に魚の仕入れのため、小浜に出掛けていて不在だった番頭の若葉(中村有志)に疑いをかけ、若葉のトリックを説明。そのトリックにはかなり無理があったが、被害者の抱えていた金庫から見つかった数字の書かれたメモを強引な解釈をして、再び若葉に容疑をかける六郎。しかし、仲居・本山直子(山村紅葉)の証言で若葉の容疑が晴れた。  　さらに紀美(桐谷美玲)が父親を激しく恨んでいたという情報を得る。それらの状況から紀美が犯人と推理する六郎だが、犯行が立証できない。情報屋(ナイツ)から、直子が被害者の弱みを握っていて金銭絡みでもめていたことを聞いた六郎は、関係者を集めた。</v>
      </c>
      <c r="N1807" s="2"/>
      <c r="O1807" s="2"/>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row>
    <row r="1808" ht="204.75" customHeight="1">
      <c r="A1808" s="1">
        <v>5373.0</v>
      </c>
      <c r="B1808" s="2" t="s">
        <v>5746</v>
      </c>
      <c r="C1808" s="2">
        <f>IFERROR(__xludf.DUMMYFUNCTION("split(B1808,""_"")"),904.0)</f>
        <v>904</v>
      </c>
      <c r="D1808" s="2" t="str">
        <f>IFERROR(__xludf.DUMMYFUNCTION("""COMPUTED_VALUE"""),"CX")</f>
        <v>CX</v>
      </c>
      <c r="E1808" s="2" t="str">
        <f>IFERROR(__xludf.DUMMYFUNCTION("""COMPUTED_VALUE"""),"土23")</f>
        <v>土23</v>
      </c>
      <c r="F1808" s="2" t="s">
        <v>5747</v>
      </c>
      <c r="G1808" s="2" t="s">
        <v>5751</v>
      </c>
      <c r="H1808" s="1">
        <v>2.0</v>
      </c>
      <c r="I1808" s="1" t="s">
        <v>10</v>
      </c>
      <c r="J1808" s="1" t="s">
        <v>2429</v>
      </c>
      <c r="K1808" s="2" t="s">
        <v>5752</v>
      </c>
      <c r="L1808" s="2" t="s">
        <v>5753</v>
      </c>
      <c r="M1808" s="2" t="str">
        <f>IFERROR(__xludf.DUMMYFUNCTION("split(split(K1808,""堂本剛　"",false),""公式LINE"",false)"),"事件発生の知らせを受け、大阪にやって来た鞍馬六郎(堂本剛)、リカコ(水川あさみ)、氏家警部(沢村一樹)、茂木刑事(戸次重幸)。被害者はお笑いコンビ・フランケンズの岸本(板倉チヒロ)で、舞台上で倒れていたのを見回り中の警備員に発見されたのだ。六郎らが現場に到着すると、すぐさま茂木がお笑いコンビ・ケロケロの佐野(内田滋)を連れてきた。場の空気の読めない岸本を憎み、楽屋前で殴ったという佐野の自供をさえぎり、六郎は事件を33分もたせることを宣言する。  　楽屋に関係者を集めた六郎は、岸本の相方である工藤(出口哲也"&amp;")に容疑をむける。ピンで売れていく岸本を恨んでの犯行と推理するも、工藤には完璧なアリバイがあった。  　楽屋前で殴られた岸本が、舞台上で倒れていたことを不審に思った六郎は、聞き込みを開始。六郎とリカコが現場に行くと、佐野の相方である中島(尾上寛之)が何かを探していた。その後の聞き込みでフランケンズが所属会社から嫌われていて、会社に内緒で営業をしていたことを知る。鑑識官(佐藤二朗)からは岸本の致命傷は後頭部の打撲であったこと、口元に火傷のあとがあったことを聞く。さらに情報屋(はるな愛)から佐野より中島のほう"&amp;"が気が短かったという情報を得た。すべての情報をつなぎ合わせて犯人を確信した六郎は、再び関係者を全員集めて推理を始める…。")</f>
        <v>事件発生の知らせを受け、大阪にやって来た鞍馬六郎(堂本剛)、リカコ(水川あさみ)、氏家警部(沢村一樹)、茂木刑事(戸次重幸)。被害者はお笑いコンビ・フランケンズの岸本(板倉チヒロ)で、舞台上で倒れていたのを見回り中の警備員に発見されたのだ。六郎らが現場に到着すると、すぐさま茂木がお笑いコンビ・ケロケロの佐野(内田滋)を連れてきた。場の空気の読めない岸本を憎み、楽屋前で殴ったという佐野の自供をさえぎり、六郎は事件を33分もたせることを宣言する。  　楽屋に関係者を集めた六郎は、岸本の相方である工藤(出口哲也)に容疑をむける。ピンで売れていく岸本を恨んでの犯行と推理するも、工藤には完璧なアリバイがあった。  　楽屋前で殴られた岸本が、舞台上で倒れていたことを不審に思った六郎は、聞き込みを開始。六郎とリカコが現場に行くと、佐野の相方である中島(尾上寛之)が何かを探していた。その後の聞き込みでフランケンズが所属会社から嫌われていて、会社に内緒で営業をしていたことを知る。鑑識官(佐藤二朗)からは岸本の致命傷は後頭部の打撲であったこと、口元に火傷のあとがあったことを聞く。さらに情報屋(はるな愛)から佐野より中島のほうが気が短かったという情報を得た。すべての情報をつなぎ合わせて犯人を確信した六郎は、再び関係者を全員集めて推理を始める…。</v>
      </c>
      <c r="N1808" s="2"/>
      <c r="O1808" s="2"/>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row>
    <row r="1809" ht="204.75" customHeight="1">
      <c r="A1809" s="1">
        <v>5374.0</v>
      </c>
      <c r="B1809" s="2" t="s">
        <v>5746</v>
      </c>
      <c r="C1809" s="2">
        <f>IFERROR(__xludf.DUMMYFUNCTION("split(B1809,""_"")"),904.0)</f>
        <v>904</v>
      </c>
      <c r="D1809" s="2" t="str">
        <f>IFERROR(__xludf.DUMMYFUNCTION("""COMPUTED_VALUE"""),"CX")</f>
        <v>CX</v>
      </c>
      <c r="E1809" s="2" t="str">
        <f>IFERROR(__xludf.DUMMYFUNCTION("""COMPUTED_VALUE"""),"土23")</f>
        <v>土23</v>
      </c>
      <c r="F1809" s="2" t="s">
        <v>5747</v>
      </c>
      <c r="G1809" s="2" t="s">
        <v>5754</v>
      </c>
      <c r="H1809" s="1">
        <v>3.0</v>
      </c>
      <c r="I1809" s="1" t="s">
        <v>14</v>
      </c>
      <c r="J1809" s="1" t="s">
        <v>2429</v>
      </c>
      <c r="K1809" s="2" t="s">
        <v>5755</v>
      </c>
      <c r="L1809" s="2" t="s">
        <v>5756</v>
      </c>
      <c r="M1809" s="2" t="str">
        <f>IFERROR(__xludf.DUMMYFUNCTION("split(split(K1809,""堂本剛　"",false),""公式LINE"",false)"),"東京に戻ってきた鞍馬六郎(堂本剛)とリカコ(水川あさみ)は大田原警部(高橋克実)に頼まれ、歌手の神崎誠二(眞島秀和)が殺された事件の捜査を手伝う。事件が起きた作曲家の財前繁(岩松了)の別荘に到着すると、茂木刑事(戸次重幸)が犯行を自供した神崎の恋人・三崎里美(西尾まり)を連れてきた。六郎はそんな事件を33分もたせることを宣言。  　六郎は、神崎と財前の妻・順子(出口結美子)が不倫関係にあったと推理。嫉妬した財前が共鳴振動を使ったトリックで殺害したと説明する。しかし、六郎の理解している共鳴振動が全く間違って"&amp;"いてトリックとして成立しない上に、順子と神崎の意外な関係がわかり捜査は振り出しに戻った。  　六郎は、みつかっていない凶器のピストルに着目し聞き込みを始める。すると、別荘近くの牧場でピストルが発見された。鑑識官(佐藤二朗)の調べでピストルには里美の指紋がついていたこと、室内で殺されたはずの神崎の体に土や葉っぱが付着していたことがわかった。事件の3カ月前に神崎の付き人・間宮ミキ(植木夏十)が別荘付近の山を歩いていた目撃証言も得る。六郎は、神崎とミキが恋人関係にあり、2人で里美を殺す計画を立てていたが、神崎の"&amp;"気持ちが里美に戻ったことを知ったミキが逆上して殺したと推理。しかし、ミキのある告白で、またしても捜査は振り出しに・・・。")</f>
        <v>東京に戻ってきた鞍馬六郎(堂本剛)とリカコ(水川あさみ)は大田原警部(高橋克実)に頼まれ、歌手の神崎誠二(眞島秀和)が殺された事件の捜査を手伝う。事件が起きた作曲家の財前繁(岩松了)の別荘に到着すると、茂木刑事(戸次重幸)が犯行を自供した神崎の恋人・三崎里美(西尾まり)を連れてきた。六郎はそんな事件を33分もたせることを宣言。  　六郎は、神崎と財前の妻・順子(出口結美子)が不倫関係にあったと推理。嫉妬した財前が共鳴振動を使ったトリックで殺害したと説明する。しかし、六郎の理解している共鳴振動が全く間違っていてトリックとして成立しない上に、順子と神崎の意外な関係がわかり捜査は振り出しに戻った。  　六郎は、みつかっていない凶器のピストルに着目し聞き込みを始める。すると、別荘近くの牧場でピストルが発見された。鑑識官(佐藤二朗)の調べでピストルには里美の指紋がついていたこと、室内で殺されたはずの神崎の体に土や葉っぱが付着していたことがわかった。事件の3カ月前に神崎の付き人・間宮ミキ(植木夏十)が別荘付近の山を歩いていた目撃証言も得る。六郎は、神崎とミキが恋人関係にあり、2人で里美を殺す計画を立てていたが、神崎の気持ちが里美に戻ったことを知ったミキが逆上して殺したと推理。しかし、ミキのある告白で、またしても捜査は振り出しに・・・。</v>
      </c>
      <c r="N1809" s="2"/>
      <c r="O1809" s="2"/>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row>
    <row r="1810" ht="204.75" customHeight="1">
      <c r="A1810" s="1">
        <v>5386.0</v>
      </c>
      <c r="B1810" s="2" t="s">
        <v>5757</v>
      </c>
      <c r="C1810" s="2">
        <f>IFERROR(__xludf.DUMMYFUNCTION("split(B1810,""_"")"),901.0)</f>
        <v>901</v>
      </c>
      <c r="D1810" s="2" t="str">
        <f>IFERROR(__xludf.DUMMYFUNCTION("""COMPUTED_VALUE"""),"CX")</f>
        <v>CX</v>
      </c>
      <c r="E1810" s="2" t="str">
        <f>IFERROR(__xludf.DUMMYFUNCTION("""COMPUTED_VALUE"""),"月21")</f>
        <v>月21</v>
      </c>
      <c r="F1810" s="2" t="s">
        <v>5758</v>
      </c>
      <c r="G1810" s="2" t="s">
        <v>5759</v>
      </c>
      <c r="H1810" s="1">
        <v>1.0</v>
      </c>
      <c r="I1810" s="1" t="s">
        <v>3</v>
      </c>
      <c r="J1810" s="1" t="s">
        <v>4</v>
      </c>
      <c r="K1810" s="2" t="s">
        <v>5760</v>
      </c>
      <c r="L1810" s="8" t="s">
        <v>5761</v>
      </c>
      <c r="M1810" s="2" t="str">
        <f>IFERROR(__xludf.DUMMYFUNCTION("split(split(K1810,""堂本剛　"",false),""公式LINE"",false)"),"東凛大学医学部4年の加地大己(瑛太)は、志望していた「心臓外科学ゼミ」に不合格となる。同級の石末亮介(生田斗真)は、人気のゼミだから仕方がないと声をかけるが、大己は自分が受かっていたにもかかわらず落とされたような気がしてならない。  　大己が合格したのは、亮介も合格した「法医学ゼミ」だった。掲示板に書かれた5人の学生の名前の1番下にある大己の名前。それを見た大己は、何かを思いついたように立ち去る。　その頃、同医学部4年で「脳神経外科学ゼミ」に合格した久保秋佳奈子(石原さとみ)は同ゼミの教授を訪ね、自分を「"&amp;"法医学ゼミ」に異動させてくれと頼んでいた。  　一方の大己は法医学教授室に教授の佐川文彦(時任三郎)を訪ねると、自分の名前を掲示板から移動させたのではないかと切り出す。そんな大己に佐川は「心臓外科学ゼミ」の志望理由を聞く。大己は、人間にとって心臓が最後のとりでであるーーつまり、心臓が止まってしまったらどんな医学も意味をなさないからと返答。すると佐川は疑問を呈し、生きている人間だけではなく亡くなった人の声に耳を傾ける医学があってもいいのではないかと話す。さらに、大己を佐川のゼミに入れた理由を「法医学に向いて"&amp;"いると思うから」と明かす。  　後日、佐川の研究室には大己、亮介、佳奈子、桐畑哲平(遠藤雄弥)、羽井彰(佐藤智仁)のゼミ生5人と、助教の夏井川玲子(矢田亜希子)の姿があった。瑛太　  生田斗真　  石原さとみ　  遠藤雄弥　  佐藤智仁　    濱田マリ　  山崎樹範　  名高達男　  　○　  泉谷しげる　  矢田亜希子　  時任三郎　    ほか【脚本】  金子茂樹【プロデュース】  瀧山麻土香　  東康之    【演出】  成田岳吉川慶　  Audio　Highs")</f>
        <v>東凛大学医学部4年の加地大己(瑛太)は、志望していた「心臓外科学ゼミ」に不合格となる。同級の石末亮介(生田斗真)は、人気のゼミだから仕方がないと声をかけるが、大己は自分が受かっていたにもかかわらず落とされたような気がしてならない。  　大己が合格したのは、亮介も合格した「法医学ゼミ」だった。掲示板に書かれた5人の学生の名前の1番下にある大己の名前。それを見た大己は、何かを思いついたように立ち去る。　その頃、同医学部4年で「脳神経外科学ゼミ」に合格した久保秋佳奈子(石原さとみ)は同ゼミの教授を訪ね、自分を「法医学ゼミ」に異動させてくれと頼んでいた。  　一方の大己は法医学教授室に教授の佐川文彦(時任三郎)を訪ねると、自分の名前を掲示板から移動させたのではないかと切り出す。そんな大己に佐川は「心臓外科学ゼミ」の志望理由を聞く。大己は、人間にとって心臓が最後のとりでであるーーつまり、心臓が止まってしまったらどんな医学も意味をなさないからと返答。すると佐川は疑問を呈し、生きている人間だけではなく亡くなった人の声に耳を傾ける医学があってもいいのではないかと話す。さらに、大己を佐川のゼミに入れた理由を「法医学に向いていると思うから」と明かす。  　後日、佐川の研究室には大己、亮介、佳奈子、桐畑哲平(遠藤雄弥)、羽井彰(佐藤智仁)のゼミ生5人と、助教の夏井川玲子(矢田亜希子)の姿があった。瑛太　  生田斗真　  石原さとみ　  遠藤雄弥　  佐藤智仁　    濱田マリ　  山崎樹範　  名高達男　  　○　  泉谷しげる　  矢田亜希子　  時任三郎　    ほか【脚本】  金子茂樹【プロデュース】  瀧山麻土香　  東康之    【演出】  成田岳吉川慶　  Audio　Highs</v>
      </c>
      <c r="N1810" s="2"/>
      <c r="O1810" s="2"/>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row>
    <row r="1811" ht="204.75" customHeight="1">
      <c r="A1811" s="1">
        <v>5387.0</v>
      </c>
      <c r="B1811" s="2" t="s">
        <v>5757</v>
      </c>
      <c r="C1811" s="2">
        <f>IFERROR(__xludf.DUMMYFUNCTION("split(B1811,""_"")"),901.0)</f>
        <v>901</v>
      </c>
      <c r="D1811" s="2" t="str">
        <f>IFERROR(__xludf.DUMMYFUNCTION("""COMPUTED_VALUE"""),"CX")</f>
        <v>CX</v>
      </c>
      <c r="E1811" s="2" t="str">
        <f>IFERROR(__xludf.DUMMYFUNCTION("""COMPUTED_VALUE"""),"月21")</f>
        <v>月21</v>
      </c>
      <c r="F1811" s="2" t="s">
        <v>5758</v>
      </c>
      <c r="G1811" s="2" t="s">
        <v>5762</v>
      </c>
      <c r="H1811" s="1">
        <v>2.0</v>
      </c>
      <c r="I1811" s="1" t="s">
        <v>7</v>
      </c>
      <c r="J1811" s="1" t="s">
        <v>11</v>
      </c>
      <c r="K1811" s="2" t="s">
        <v>5763</v>
      </c>
      <c r="L1811" s="8" t="s">
        <v>5764</v>
      </c>
      <c r="M1811" s="2" t="str">
        <f>IFERROR(__xludf.DUMMYFUNCTION("split(split(K1811,""堂本剛　"",false),""公式LINE"",false)"),"解剖室に男性の遺体が運び込まれる。法医学ゼミ生の加地大己(瑛太)は、石末亮介(生田斗真)、久保秋佳奈子(石原さとみ)、桐畑哲平(遠藤雄弥)、羽井彰(佐藤智仁)、教授の佐川文彦(時任三郎)、助教の夏井川玲子(矢田亜希子)とともに遺体の前に立ち、刑事の大和田敏(山崎樹範)から報告を受ける。  　死亡したのは35歳の佐野秀一(坂田聡)で、生卵を入れたビニール袋を持ったまま、自宅の近所で倒れていたという。警察は急性の心臓死を疑うが、佐野の妻・忍(鶴田真由)は、最近までアメフトの選手だった夫が急死するとは信じられな"&amp;"い。  　そんな中、佐川は佐野の手に感電した痕を見つける。そこで、大己らは当時の状況を知るため遺体発見現場へ。しかし、そこは閑静な住宅地で感電が起こるような場所ではなかった。解剖の結果、佐野は自宅で感電したらしいことが判明。さらに、感電後に一旦回復し、卵を買いに行き帰宅途中で倒れたことも判る。その頃、大己と亮介は佐野の家で、忍から佐野の話を聞いていた。昨年、アメフトを辞めてから佐野は家にこもりがちで、そんな夫をふがいなく思った忍は、佐野が亡くなる前夜に心ない言葉を口にしてしまったと言う。  　後日、佐川は"&amp;"大己に、感電した佐野が意識が戻ったとはいえ卵を買いに行くのは、困難な行為だったろうと話す。大己は、佐野がそこまでして卵を求めた理由を知るために、意識を集中し佐野へ思いを馳せる。瑛太　  生田斗真　  石原さとみ　  遠藤雄弥　  佐藤智仁　    濱田マリ　  山崎樹範　  名高達男　  　○　  泉谷しげる　  矢田亜希子　  時任三郎　    ほか【脚本】  金子茂樹【プロデュース】  瀧山麻土香　  東康之    【演出】  成田岳吉川慶  Audio　Highs")</f>
        <v>解剖室に男性の遺体が運び込まれる。法医学ゼミ生の加地大己(瑛太)は、石末亮介(生田斗真)、久保秋佳奈子(石原さとみ)、桐畑哲平(遠藤雄弥)、羽井彰(佐藤智仁)、教授の佐川文彦(時任三郎)、助教の夏井川玲子(矢田亜希子)とともに遺体の前に立ち、刑事の大和田敏(山崎樹範)から報告を受ける。  　死亡したのは35歳の佐野秀一(坂田聡)で、生卵を入れたビニール袋を持ったまま、自宅の近所で倒れていたという。警察は急性の心臓死を疑うが、佐野の妻・忍(鶴田真由)は、最近までアメフトの選手だった夫が急死するとは信じられない。  　そんな中、佐川は佐野の手に感電した痕を見つける。そこで、大己らは当時の状況を知るため遺体発見現場へ。しかし、そこは閑静な住宅地で感電が起こるような場所ではなかった。解剖の結果、佐野は自宅で感電したらしいことが判明。さらに、感電後に一旦回復し、卵を買いに行き帰宅途中で倒れたことも判る。その頃、大己と亮介は佐野の家で、忍から佐野の話を聞いていた。昨年、アメフトを辞めてから佐野は家にこもりがちで、そんな夫をふがいなく思った忍は、佐野が亡くなる前夜に心ない言葉を口にしてしまったと言う。  　後日、佐川は大己に、感電した佐野が意識が戻ったとはいえ卵を買いに行くのは、困難な行為だったろうと話す。大己は、佐野がそこまでして卵を求めた理由を知るために、意識を集中し佐野へ思いを馳せる。瑛太　  生田斗真　  石原さとみ　  遠藤雄弥　  佐藤智仁　    濱田マリ　  山崎樹範　  名高達男　  　○　  泉谷しげる　  矢田亜希子　  時任三郎　    ほか【脚本】  金子茂樹【プロデュース】  瀧山麻土香　  東康之    【演出】  成田岳吉川慶  Audio　Highs</v>
      </c>
      <c r="N1811" s="2"/>
      <c r="O1811" s="2"/>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row>
    <row r="1812" ht="204.75" customHeight="1">
      <c r="A1812" s="1">
        <v>5388.0</v>
      </c>
      <c r="B1812" s="2" t="s">
        <v>5757</v>
      </c>
      <c r="C1812" s="2">
        <f>IFERROR(__xludf.DUMMYFUNCTION("split(B1812,""_"")"),901.0)</f>
        <v>901</v>
      </c>
      <c r="D1812" s="2" t="str">
        <f>IFERROR(__xludf.DUMMYFUNCTION("""COMPUTED_VALUE"""),"CX")</f>
        <v>CX</v>
      </c>
      <c r="E1812" s="2" t="str">
        <f>IFERROR(__xludf.DUMMYFUNCTION("""COMPUTED_VALUE"""),"月21")</f>
        <v>月21</v>
      </c>
      <c r="F1812" s="2" t="s">
        <v>5758</v>
      </c>
      <c r="G1812" s="2" t="s">
        <v>5765</v>
      </c>
      <c r="H1812" s="1">
        <v>3.0</v>
      </c>
      <c r="I1812" s="1" t="s">
        <v>10</v>
      </c>
      <c r="J1812" s="1" t="s">
        <v>11</v>
      </c>
      <c r="K1812" s="2" t="s">
        <v>5766</v>
      </c>
      <c r="L1812" s="8" t="s">
        <v>5767</v>
      </c>
      <c r="M1812" s="2" t="str">
        <f>IFERROR(__xludf.DUMMYFUNCTION("split(split(K1812,""堂本剛　"",false),""公式LINE"",false)"),"東凛大学医学部のゼミ生・加地大己(瑛太)、石末亮介(生田斗真)、久保秋佳奈子(石原さとみ)は、タクシーの中で突然死したという女性の遺体と対面する。解剖台に横たわる女性を見た佐川文彦(時任三郎)は、死因がクラッシュシンドロームではないかとの見解を示す。夏井川玲子(矢田亜希子)は、クラッシュシンドロームは別名を挫滅症候群といい、事故などで身体が長時間圧迫された後に急に開放されることで起こる症候だと説明。そんな中、佐川はその証拠ともいえるアザを女性の足に認める。  　それを見た佳奈子が涙を流す。その後、佳奈子は"&amp;"大己と亮介に、女性のアザが母親が亡くなったときのアザに酷似していたと話す。15年前、心臓発作で亡くなったはずの母親にアザがあるのを不審に思った佳奈子は、大人に訴えるが相手にされなかった。以来、今でも気になっているという佳奈子に、大己は今からでも調べられるのでは、と事もなげに言う。そして、大己らは、佳奈子の母親・雪子が勤めていた工場へとやってくる。当時を知る工員はいないと言われる中、ジンさん(平泉成)という男性を紹介される。佳奈子はジンさんの顔に見覚えがあり、ジンさんも佳奈子と雪子のことを覚えていた。佳奈子"&amp;"らは、雪子の出勤記録などを調べ始め、さらに、当時、工場で働いていた八木(勝村政信)を訪ねる。しかし、八木は雪子とはあいさつするくらいしか接点はなかったと話すだけで…。瑛太　  生田斗真　  石原さとみ　  遠藤雄弥　  佐藤智仁　    濱田マリ　  山崎樹範　  名高達男　  　○　  泉谷しげる　  矢田亜希子　  時任三郎　    ほか【脚本】  金子茂樹【プロデュース】  瀧山麻土香　  東康之    【演出】  成田岳吉川慶　  Audio　Highs")</f>
        <v>東凛大学医学部のゼミ生・加地大己(瑛太)、石末亮介(生田斗真)、久保秋佳奈子(石原さとみ)は、タクシーの中で突然死したという女性の遺体と対面する。解剖台に横たわる女性を見た佐川文彦(時任三郎)は、死因がクラッシュシンドロームではないかとの見解を示す。夏井川玲子(矢田亜希子)は、クラッシュシンドロームは別名を挫滅症候群といい、事故などで身体が長時間圧迫された後に急に開放されることで起こる症候だと説明。そんな中、佐川はその証拠ともいえるアザを女性の足に認める。  　それを見た佳奈子が涙を流す。その後、佳奈子は大己と亮介に、女性のアザが母親が亡くなったときのアザに酷似していたと話す。15年前、心臓発作で亡くなったはずの母親にアザがあるのを不審に思った佳奈子は、大人に訴えるが相手にされなかった。以来、今でも気になっているという佳奈子に、大己は今からでも調べられるのでは、と事もなげに言う。そして、大己らは、佳奈子の母親・雪子が勤めていた工場へとやってくる。当時を知る工員はいないと言われる中、ジンさん(平泉成)という男性を紹介される。佳奈子はジンさんの顔に見覚えがあり、ジンさんも佳奈子と雪子のことを覚えていた。佳奈子らは、雪子の出勤記録などを調べ始め、さらに、当時、工場で働いていた八木(勝村政信)を訪ねる。しかし、八木は雪子とはあいさつするくらいしか接点はなかったと話すだけで…。瑛太　  生田斗真　  石原さとみ　  遠藤雄弥　  佐藤智仁　    濱田マリ　  山崎樹範　  名高達男　  　○　  泉谷しげる　  矢田亜希子　  時任三郎　    ほか【脚本】  金子茂樹【プロデュース】  瀧山麻土香　  東康之    【演出】  成田岳吉川慶　  Audio　Highs</v>
      </c>
      <c r="N1812" s="2"/>
      <c r="O1812" s="2"/>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row>
    <row r="1813" ht="204.75" customHeight="1">
      <c r="A1813" s="1">
        <v>5389.0</v>
      </c>
      <c r="B1813" s="2" t="s">
        <v>5757</v>
      </c>
      <c r="C1813" s="2">
        <f>IFERROR(__xludf.DUMMYFUNCTION("split(B1813,""_"")"),901.0)</f>
        <v>901</v>
      </c>
      <c r="D1813" s="2" t="str">
        <f>IFERROR(__xludf.DUMMYFUNCTION("""COMPUTED_VALUE"""),"CX")</f>
        <v>CX</v>
      </c>
      <c r="E1813" s="2" t="str">
        <f>IFERROR(__xludf.DUMMYFUNCTION("""COMPUTED_VALUE"""),"月21")</f>
        <v>月21</v>
      </c>
      <c r="F1813" s="2" t="s">
        <v>5758</v>
      </c>
      <c r="G1813" s="2" t="s">
        <v>5768</v>
      </c>
      <c r="H1813" s="1">
        <v>4.0</v>
      </c>
      <c r="I1813" s="1" t="s">
        <v>14</v>
      </c>
      <c r="J1813" s="1" t="s">
        <v>11</v>
      </c>
      <c r="K1813" s="2" t="s">
        <v>5769</v>
      </c>
      <c r="L1813" s="8" t="s">
        <v>5770</v>
      </c>
      <c r="M1813" s="2" t="str">
        <f>IFERROR(__xludf.DUMMYFUNCTION("split(split(K1813,""堂本剛　"",false),""公式LINE"",false)"),"解剖室に若い男性の遺体が運び込まれる。加地大己(瑛太)らが遺体に対面する中、石末亮介(生田斗真)は、助教の夏井川玲子(矢田亜希子)が読み上げる遺体の情報に驚愕する。高校の同級生で山倉医科大学の五十嵐富士夫(田中圭)だったからだ。  　刑事の大和田敏(山崎樹範)は、遺体発見現場の富士夫の部屋に大麻の吸殻、シーフードピザなどが残されていたと報告。また、大学内で大麻を売っていた高沢(細田よしひこ)という男が失踪していることから、富士夫も高沢のグループの一員だったと疑う。その後、教授の佐川文彦(時任三郎)による解"&amp;"剖の結果、顔に殴られた跡はあるが、死因は窒息死と判明。大己、久保秋佳奈子(石原さとみ)、桐畑哲平(遠藤雄弥)、羽井彰(佐藤智仁)は原因を推測し始める。  　そんな折、高沢が逮捕され、富士夫を殴ったことは認めるが、窒息に関しては知らないと話す。仲間だった富士夫と高沢がなぜそんなことになったのか亮介は疑問に思うが、富士夫は高沢に都合よく使われ、大麻も強要されていたらしいことがわかる。  　後日、技官の蕪木誠(泉谷しげる)が富士夫にアナフィラキシーショックという急性アレルギー反応があったことを発見する。それは、"&amp;"食べ物などが原因で引き起こされ、ノドにできた腫れが気道を塞ぎ、窒息状態になることがあるという。富士夫は何に対してアレルギーを起こしたのか、大己の疑問に亮介は意外な答えを返す。瑛太　  生田斗真　  石原さとみ　  遠藤雄弥　  佐藤智仁　    濱田マリ　  山崎樹範　  名高達男　  　○　  泉谷しげる　  矢田亜希子　  時任三郎　    ほか【脚本】  金子茂樹【プロデュース】  瀧山麻土香　  東康之    【演出】  松山博昭吉川慶　  Audio　Highs")</f>
        <v>解剖室に若い男性の遺体が運び込まれる。加地大己(瑛太)らが遺体に対面する中、石末亮介(生田斗真)は、助教の夏井川玲子(矢田亜希子)が読み上げる遺体の情報に驚愕する。高校の同級生で山倉医科大学の五十嵐富士夫(田中圭)だったからだ。  　刑事の大和田敏(山崎樹範)は、遺体発見現場の富士夫の部屋に大麻の吸殻、シーフードピザなどが残されていたと報告。また、大学内で大麻を売っていた高沢(細田よしひこ)という男が失踪していることから、富士夫も高沢のグループの一員だったと疑う。その後、教授の佐川文彦(時任三郎)による解剖の結果、顔に殴られた跡はあるが、死因は窒息死と判明。大己、久保秋佳奈子(石原さとみ)、桐畑哲平(遠藤雄弥)、羽井彰(佐藤智仁)は原因を推測し始める。  　そんな折、高沢が逮捕され、富士夫を殴ったことは認めるが、窒息に関しては知らないと話す。仲間だった富士夫と高沢がなぜそんなことになったのか亮介は疑問に思うが、富士夫は高沢に都合よく使われ、大麻も強要されていたらしいことがわかる。  　後日、技官の蕪木誠(泉谷しげる)が富士夫にアナフィラキシーショックという急性アレルギー反応があったことを発見する。それは、食べ物などが原因で引き起こされ、ノドにできた腫れが気道を塞ぎ、窒息状態になることがあるという。富士夫は何に対してアレルギーを起こしたのか、大己の疑問に亮介は意外な答えを返す。瑛太　  生田斗真　  石原さとみ　  遠藤雄弥　  佐藤智仁　    濱田マリ　  山崎樹範　  名高達男　  　○　  泉谷しげる　  矢田亜希子　  時任三郎　    ほか【脚本】  金子茂樹【プロデュース】  瀧山麻土香　  東康之    【演出】  松山博昭吉川慶　  Audio　Highs</v>
      </c>
      <c r="N1813" s="2"/>
      <c r="O1813" s="2"/>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row>
    <row r="1814" ht="204.75" customHeight="1">
      <c r="A1814" s="1">
        <v>5390.0</v>
      </c>
      <c r="B1814" s="2" t="s">
        <v>5757</v>
      </c>
      <c r="C1814" s="2">
        <f>IFERROR(__xludf.DUMMYFUNCTION("split(B1814,""_"")"),901.0)</f>
        <v>901</v>
      </c>
      <c r="D1814" s="2" t="str">
        <f>IFERROR(__xludf.DUMMYFUNCTION("""COMPUTED_VALUE"""),"CX")</f>
        <v>CX</v>
      </c>
      <c r="E1814" s="2" t="str">
        <f>IFERROR(__xludf.DUMMYFUNCTION("""COMPUTED_VALUE"""),"月21")</f>
        <v>月21</v>
      </c>
      <c r="F1814" s="2" t="s">
        <v>5758</v>
      </c>
      <c r="G1814" s="2" t="s">
        <v>5771</v>
      </c>
      <c r="H1814" s="1">
        <v>5.0</v>
      </c>
      <c r="I1814" s="1" t="s">
        <v>17</v>
      </c>
      <c r="J1814" s="1" t="s">
        <v>11</v>
      </c>
      <c r="K1814" s="2" t="s">
        <v>5772</v>
      </c>
      <c r="L1814" s="8" t="s">
        <v>5773</v>
      </c>
      <c r="M1814" s="2" t="str">
        <f>IFERROR(__xludf.DUMMYFUNCTION("split(split(K1814,""堂本剛　"",false),""公式LINE"",false)"),"加地大己(瑛太)、石末亮介(生田斗真)、久保秋佳奈子(石原さとみ)らゼミ生は、ゴシップ誌カメラマン・岡原浩介(吹越満)の遺体と対面する。岡原はなぜか民家のニワトリ小屋の前で死亡していた。  　刑事・大和田敏(山崎樹範)によると、現場に残されたフィルムには、有名人の不倫現場を押さえた写真に混ざり、麺つゆの瓶を撮ったものがあったという。  　そんな中、佐川文彦(時任三郎)と夏井川玲子(矢田亜希子)は解剖作業を進め、佐川は死因を「肺動脈血栓塞栓症」、別称“エコノミークラス症候群""とする。主に下肢を長時間動かさ"&amp;"ないでいることで、静脈にできた血栓が肺動脈を閉塞し生じる病症だ。  　死因究明のため、大己は、亮介、羽井彰(佐藤智仁)と遺体発見現場を訪れるが、有力な手がかりを得られないまま、岡原の元妻・朋枝が営むクリーニング店へ。朋枝は岡原と3年前に離婚したが、8歳になる息子に会いたいと言われ、半年前に会ったのが最後だと話す。  　後日、ゼミ生5人は、岡原が友人・沢野と借りていた事務所を訪ねる。沢野は、岡原は金のためかなり際どい写真にも手を出していたと話す。そんなとき、岡原が残した写真を見ていた大己の手が止まる。ゴシッ"&amp;"プ写真に混じって、餃子、ルービックキューブ、観覧車など、意味のわからない写真が。麺つゆの写真と同類なのか?  　5人は友人から情報を得て、餃子が撮られたと思われる中華料理店に向かう。瑛太　  生田斗真　  石原さとみ　  遠藤雄弥　  佐藤智仁　    濱田マリ　  山崎樹範　  名高達男  　○　  泉谷しげる　  矢田亜希子　  時任三郎　    ほか【脚本】  金子茂樹【プロデュース】  瀧山麻土香　  東康之    【演出】  松山博昭吉川慶　  Audio　Highs")</f>
        <v>加地大己(瑛太)、石末亮介(生田斗真)、久保秋佳奈子(石原さとみ)らゼミ生は、ゴシップ誌カメラマン・岡原浩介(吹越満)の遺体と対面する。岡原はなぜか民家のニワトリ小屋の前で死亡していた。  　刑事・大和田敏(山崎樹範)によると、現場に残されたフィルムには、有名人の不倫現場を押さえた写真に混ざり、麺つゆの瓶を撮ったものがあったという。  　そんな中、佐川文彦(時任三郎)と夏井川玲子(矢田亜希子)は解剖作業を進め、佐川は死因を「肺動脈血栓塞栓症」、別称“エコノミークラス症候群"とする。主に下肢を長時間動かさないでいることで、静脈にできた血栓が肺動脈を閉塞し生じる病症だ。  　死因究明のため、大己は、亮介、羽井彰(佐藤智仁)と遺体発見現場を訪れるが、有力な手がかりを得られないまま、岡原の元妻・朋枝が営むクリーニング店へ。朋枝は岡原と3年前に離婚したが、8歳になる息子に会いたいと言われ、半年前に会ったのが最後だと話す。  　後日、ゼミ生5人は、岡原が友人・沢野と借りていた事務所を訪ねる。沢野は、岡原は金のためかなり際どい写真にも手を出していたと話す。そんなとき、岡原が残した写真を見ていた大己の手が止まる。ゴシップ写真に混じって、餃子、ルービックキューブ、観覧車など、意味のわからない写真が。麺つゆの写真と同類なのか?  　5人は友人から情報を得て、餃子が撮られたと思われる中華料理店に向かう。瑛太　  生田斗真　  石原さとみ　  遠藤雄弥　  佐藤智仁　    濱田マリ　  山崎樹範　  名高達男  　○　  泉谷しげる　  矢田亜希子　  時任三郎　    ほか【脚本】  金子茂樹【プロデュース】  瀧山麻土香　  東康之    【演出】  松山博昭吉川慶　  Audio　Highs</v>
      </c>
      <c r="N1814" s="2"/>
      <c r="O1814" s="2"/>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row>
    <row r="1815" ht="204.75" customHeight="1">
      <c r="A1815" s="1">
        <v>5391.0</v>
      </c>
      <c r="B1815" s="2" t="s">
        <v>5757</v>
      </c>
      <c r="C1815" s="2">
        <f>IFERROR(__xludf.DUMMYFUNCTION("split(B1815,""_"")"),901.0)</f>
        <v>901</v>
      </c>
      <c r="D1815" s="2" t="str">
        <f>IFERROR(__xludf.DUMMYFUNCTION("""COMPUTED_VALUE"""),"CX")</f>
        <v>CX</v>
      </c>
      <c r="E1815" s="2" t="str">
        <f>IFERROR(__xludf.DUMMYFUNCTION("""COMPUTED_VALUE"""),"月21")</f>
        <v>月21</v>
      </c>
      <c r="F1815" s="2" t="s">
        <v>5758</v>
      </c>
      <c r="G1815" s="2" t="s">
        <v>5774</v>
      </c>
      <c r="H1815" s="1">
        <v>6.0</v>
      </c>
      <c r="I1815" s="1" t="s">
        <v>21</v>
      </c>
      <c r="J1815" s="1" t="s">
        <v>11</v>
      </c>
      <c r="K1815" s="2" t="s">
        <v>5775</v>
      </c>
      <c r="L1815" s="8" t="s">
        <v>5776</v>
      </c>
      <c r="M1815" s="2" t="str">
        <f>IFERROR(__xludf.DUMMYFUNCTION("split(split(K1815,""堂本剛　"",false),""公式LINE"",false)"),"法医学教室のゼミ生・加地大己(瑛太)、久保秋佳奈子(石原さとみ)、桐畑哲平(遠藤雄弥)、羽井彰(佐藤智仁)は、佐川文彦(時任三郎)から生きている患者を診ると聞き驚く。  　石末亮介(生田斗真)の父親・貴之(名高達男)が経営する病院の入院患者に、ミュンヒハウゼン症候群ー他人の関心を得ようとするあまり、偽の症状を作り出し、通院や入院を繰り返す症状ーが疑われるため、その意見書の作成を依頼されたのだ。患者の主治医から連絡を受けた佐川は、亮介と夏井川玲子(矢田亜希子)を病院へ向かわす。  　患者・相馬朋子(志田未来"&amp;")は中学生で、数日前に、兄・泰人(石田卓也)に付き添われ救急車で搬送されてきた。偽膜性大腸炎と診断されたが、血液検査では特に異常が見られないという。さらに、朋子は半年前から大腸炎にかかり度々通院していて処方された薬を飲んでいるはずなのに、症状が悪化しているとも明かす。朋子に会った亮介は、明朗快活な彼女が人の関心を引くために自分から病気になっているとは信じられない。  　ところが、朋子の血液のデータ解析をした蕪木誠(泉谷しげる)は、血中に偽膜性大腸炎を発症できるというペニシリンを見つける。  　予想外の結果"&amp;"に佐川らは驚くが、とはいえ、中学生がペニシリンを入手できるはずはない。誰かが、故意に飲ませているのではないか、とすれば、それは…?  　大己は亮介とともに朋子を訪ねることにする。瑛太　  生田斗真　  石原さとみ　  遠藤雄弥　  佐藤智仁　    濱田マリ　  山崎樹範　  名高達男  　○　  泉谷しげる　  矢田亜希子　  時任三郎　    ほか【脚本】  金子茂樹【プロデュース】  瀧山麻土香　  東康之    【演出】  成田岳吉川慶　  Audio　Highs")</f>
        <v>法医学教室のゼミ生・加地大己(瑛太)、久保秋佳奈子(石原さとみ)、桐畑哲平(遠藤雄弥)、羽井彰(佐藤智仁)は、佐川文彦(時任三郎)から生きている患者を診ると聞き驚く。  　石末亮介(生田斗真)の父親・貴之(名高達男)が経営する病院の入院患者に、ミュンヒハウゼン症候群ー他人の関心を得ようとするあまり、偽の症状を作り出し、通院や入院を繰り返す症状ーが疑われるため、その意見書の作成を依頼されたのだ。患者の主治医から連絡を受けた佐川は、亮介と夏井川玲子(矢田亜希子)を病院へ向かわす。  　患者・相馬朋子(志田未来)は中学生で、数日前に、兄・泰人(石田卓也)に付き添われ救急車で搬送されてきた。偽膜性大腸炎と診断されたが、血液検査では特に異常が見られないという。さらに、朋子は半年前から大腸炎にかかり度々通院していて処方された薬を飲んでいるはずなのに、症状が悪化しているとも明かす。朋子に会った亮介は、明朗快活な彼女が人の関心を引くために自分から病気になっているとは信じられない。  　ところが、朋子の血液のデータ解析をした蕪木誠(泉谷しげる)は、血中に偽膜性大腸炎を発症できるというペニシリンを見つける。  　予想外の結果に佐川らは驚くが、とはいえ、中学生がペニシリンを入手できるはずはない。誰かが、故意に飲ませているのではないか、とすれば、それは…?  　大己は亮介とともに朋子を訪ねることにする。瑛太　  生田斗真　  石原さとみ　  遠藤雄弥　  佐藤智仁　    濱田マリ　  山崎樹範　  名高達男  　○　  泉谷しげる　  矢田亜希子　  時任三郎　    ほか【脚本】  金子茂樹【プロデュース】  瀧山麻土香　  東康之    【演出】  成田岳吉川慶　  Audio　Highs</v>
      </c>
      <c r="N1815" s="2"/>
      <c r="O1815" s="2"/>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row>
    <row r="1816" ht="204.75" customHeight="1">
      <c r="A1816" s="1">
        <v>5392.0</v>
      </c>
      <c r="B1816" s="2" t="s">
        <v>5757</v>
      </c>
      <c r="C1816" s="2">
        <f>IFERROR(__xludf.DUMMYFUNCTION("split(B1816,""_"")"),901.0)</f>
        <v>901</v>
      </c>
      <c r="D1816" s="2" t="str">
        <f>IFERROR(__xludf.DUMMYFUNCTION("""COMPUTED_VALUE"""),"CX")</f>
        <v>CX</v>
      </c>
      <c r="E1816" s="2" t="str">
        <f>IFERROR(__xludf.DUMMYFUNCTION("""COMPUTED_VALUE"""),"月21")</f>
        <v>月21</v>
      </c>
      <c r="F1816" s="2" t="s">
        <v>5758</v>
      </c>
      <c r="G1816" s="2" t="s">
        <v>5777</v>
      </c>
      <c r="H1816" s="1">
        <v>7.0</v>
      </c>
      <c r="I1816" s="1" t="s">
        <v>25</v>
      </c>
      <c r="J1816" s="1" t="s">
        <v>11</v>
      </c>
      <c r="K1816" s="2" t="s">
        <v>5778</v>
      </c>
      <c r="L1816" s="8" t="s">
        <v>5779</v>
      </c>
      <c r="M1816" s="2" t="str">
        <f>IFERROR(__xludf.DUMMYFUNCTION("split(split(K1816,""堂本剛　"",false),""公式LINE"",false)"),"東凛大学の解剖室に60代の女性が運び込まれ、加地大己(瑛太)と羽井彰(佐藤智仁)は、夏井川玲子(矢田亜希子)から解剖の作業に参加するように言われる。執刀する佐川文彦(時任三郎)から注意を受け、解剖が始まろうとしたとき、解剖を中止しろと言う声がする。声の主は女性の夫・野間口功(石橋蓮司)だった。  　一度は解剖を承諾したが、妻は解剖を望んでいないし、生き返ることもないからという野間口。佐川が解剖の必要性を説いても納得せず、女性は無言の帰宅をすることに。そのやりとりを見ていた久保秋佳奈子(石原さとみ)は研究室"&amp;"を飛び出していく。そんな佳奈子を、大己、石末亮介(生田斗真)、桐畑哲平(遠藤雄弥)、彰が追う。野間口に駆け寄った佳奈子は、真実がわからないままでいいのかと声をかけるが、野間口は聞く耳を持たない。  　研究室に戻ったゼミ生たちが解剖の必要性について意見交換する中、佳奈子はやはり必要性を感じると言う。大己は、母親を亡くしている佳奈子にこそ伝えられることがあるだろうと話し、5人は野間口の自宅を訪ねることに。野間口と対峙した佳奈子は母親の話を始め、死因がわからないままでいることの辛さを訴えるが、翻意させることはで"&amp;"きない。  　5人はさらに解剖の必要性について話し合う。野間口の気持ちもわかるという亮平、哲平、彰に対して、佳奈子はどうしても納得がいかない。そんな4人を見ていた大己は…。瑛太　  生田斗真　  石原さとみ　  遠藤雄弥　  佐藤智仁　    濱田マリ　  山崎樹範　  名高達男  　○　  泉谷しげる　  矢田亜希子　  時任三郎　    ほか【脚本】  金子茂樹【プロデュース】  瀧山麻土香　  東康之    【演出】  松山博昭吉川慶　  Audio　Highs")</f>
        <v>東凛大学の解剖室に60代の女性が運び込まれ、加地大己(瑛太)と羽井彰(佐藤智仁)は、夏井川玲子(矢田亜希子)から解剖の作業に参加するように言われる。執刀する佐川文彦(時任三郎)から注意を受け、解剖が始まろうとしたとき、解剖を中止しろと言う声がする。声の主は女性の夫・野間口功(石橋蓮司)だった。  　一度は解剖を承諾したが、妻は解剖を望んでいないし、生き返ることもないからという野間口。佐川が解剖の必要性を説いても納得せず、女性は無言の帰宅をすることに。そのやりとりを見ていた久保秋佳奈子(石原さとみ)は研究室を飛び出していく。そんな佳奈子を、大己、石末亮介(生田斗真)、桐畑哲平(遠藤雄弥)、彰が追う。野間口に駆け寄った佳奈子は、真実がわからないままでいいのかと声をかけるが、野間口は聞く耳を持たない。  　研究室に戻ったゼミ生たちが解剖の必要性について意見交換する中、佳奈子はやはり必要性を感じると言う。大己は、母親を亡くしている佳奈子にこそ伝えられることがあるだろうと話し、5人は野間口の自宅を訪ねることに。野間口と対峙した佳奈子は母親の話を始め、死因がわからないままでいることの辛さを訴えるが、翻意させることはできない。  　5人はさらに解剖の必要性について話し合う。野間口の気持ちもわかるという亮平、哲平、彰に対して、佳奈子はどうしても納得がいかない。そんな4人を見ていた大己は…。瑛太　  生田斗真　  石原さとみ　  遠藤雄弥　  佐藤智仁　    濱田マリ　  山崎樹範　  名高達男  　○　  泉谷しげる　  矢田亜希子　  時任三郎　    ほか【脚本】  金子茂樹【プロデュース】  瀧山麻土香　  東康之    【演出】  松山博昭吉川慶　  Audio　Highs</v>
      </c>
      <c r="N1816" s="2"/>
      <c r="O1816" s="2"/>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row>
    <row r="1817" ht="204.75" customHeight="1">
      <c r="A1817" s="1">
        <v>5393.0</v>
      </c>
      <c r="B1817" s="2" t="s">
        <v>5757</v>
      </c>
      <c r="C1817" s="2">
        <f>IFERROR(__xludf.DUMMYFUNCTION("split(B1817,""_"")"),901.0)</f>
        <v>901</v>
      </c>
      <c r="D1817" s="2" t="str">
        <f>IFERROR(__xludf.DUMMYFUNCTION("""COMPUTED_VALUE"""),"CX")</f>
        <v>CX</v>
      </c>
      <c r="E1817" s="2" t="str">
        <f>IFERROR(__xludf.DUMMYFUNCTION("""COMPUTED_VALUE"""),"月21")</f>
        <v>月21</v>
      </c>
      <c r="F1817" s="2" t="s">
        <v>5758</v>
      </c>
      <c r="G1817" s="2" t="s">
        <v>5780</v>
      </c>
      <c r="H1817" s="1">
        <v>8.0</v>
      </c>
      <c r="I1817" s="1" t="s">
        <v>29</v>
      </c>
      <c r="J1817" s="1" t="s">
        <v>11</v>
      </c>
      <c r="K1817" s="2" t="s">
        <v>5781</v>
      </c>
      <c r="L1817" s="8" t="s">
        <v>5782</v>
      </c>
      <c r="M1817" s="2" t="str">
        <f>IFERROR(__xludf.DUMMYFUNCTION("split(split(K1817,""堂本剛　"",false),""公式LINE"",false)"),"東凛大学の解剖室に火災現場で死亡した60代の男性が運び込まれる。男性・今成卓見(平田満)は警備員で、自宅付近の火災現場で発見されたが、胸に子供の遺体を抱えていたという。今成と子供に面識がない上、子供がカーペットに包まれていたことから、今成には放火犯の疑いもかかる。  　解剖が行われ、加地大己(瑛太)、石末亮介(生田斗真)、桐畑哲平(遠藤雄弥)、羽井彰(佐藤智仁)は、佐川文彦(時任三郎)から、今成が肝炎を患っていたことを聞く。そんな中、哲平は、夏井川玲子(矢田亜希子)から今成の肝臓を実験室に運ぶように指示さ"&amp;"れる。ところが、途中でシャーレを落としてしまう。慌てて割れたシャーレと肝臓を拾い集める哲平。物音を聞き駆け込んできた佐川は、出血した哲平の指を洗浄する。感染の可能性がある哲平は、大学内の病室に入院することに。  　同じ頃、蕪木(泉谷しげる)は、今成がB型肝炎であると突き止める。感染していたら命に関わるだけに、大己らは検査結果が気にかかる。  　翌日、自宅待機中の哲平を、久保秋佳奈子(石原さとみ)と彰が訪ねる。部屋に入った佳奈子は、哲平に頭を下げる。実は、今成の解剖の日、佳奈子は大学が募集する海外研修の最終"&amp;"面接があり、解剖作業を代わってもらっていたのだ。その頃、研究室にいた大己らは、大和田敏(山崎範樹)から、今成が少し前まで科学警察研究所の火事を専門に分析する部署に勤めていたと聞く。瑛太　  生田斗真　  石原さとみ　  遠藤雄弥　  佐藤智仁　    濱田マリ　  山崎樹範　  名高達男  　○　  泉谷しげる　  矢田亜希子　  時任三郎　    ほか【脚本】  金子茂樹【プロデュース】  瀧山麻土香　  東康之    【演出】  石井祐介吉川慶　  Audio　Highs")</f>
        <v>東凛大学の解剖室に火災現場で死亡した60代の男性が運び込まれる。男性・今成卓見(平田満)は警備員で、自宅付近の火災現場で発見されたが、胸に子供の遺体を抱えていたという。今成と子供に面識がない上、子供がカーペットに包まれていたことから、今成には放火犯の疑いもかかる。  　解剖が行われ、加地大己(瑛太)、石末亮介(生田斗真)、桐畑哲平(遠藤雄弥)、羽井彰(佐藤智仁)は、佐川文彦(時任三郎)から、今成が肝炎を患っていたことを聞く。そんな中、哲平は、夏井川玲子(矢田亜希子)から今成の肝臓を実験室に運ぶように指示される。ところが、途中でシャーレを落としてしまう。慌てて割れたシャーレと肝臓を拾い集める哲平。物音を聞き駆け込んできた佐川は、出血した哲平の指を洗浄する。感染の可能性がある哲平は、大学内の病室に入院することに。  　同じ頃、蕪木(泉谷しげる)は、今成がB型肝炎であると突き止める。感染していたら命に関わるだけに、大己らは検査結果が気にかかる。  　翌日、自宅待機中の哲平を、久保秋佳奈子(石原さとみ)と彰が訪ねる。部屋に入った佳奈子は、哲平に頭を下げる。実は、今成の解剖の日、佳奈子は大学が募集する海外研修の最終面接があり、解剖作業を代わってもらっていたのだ。その頃、研究室にいた大己らは、大和田敏(山崎範樹)から、今成が少し前まで科学警察研究所の火事を専門に分析する部署に勤めていたと聞く。瑛太　  生田斗真　  石原さとみ　  遠藤雄弥　  佐藤智仁　    濱田マリ　  山崎樹範　  名高達男  　○　  泉谷しげる　  矢田亜希子　  時任三郎　    ほか【脚本】  金子茂樹【プロデュース】  瀧山麻土香　  東康之    【演出】  石井祐介吉川慶　  Audio　Highs</v>
      </c>
      <c r="N1817" s="2"/>
      <c r="O1817" s="2"/>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row>
    <row r="1818" ht="204.75" customHeight="1">
      <c r="A1818" s="1">
        <v>5394.0</v>
      </c>
      <c r="B1818" s="2" t="s">
        <v>5757</v>
      </c>
      <c r="C1818" s="2">
        <f>IFERROR(__xludf.DUMMYFUNCTION("split(B1818,""_"")"),901.0)</f>
        <v>901</v>
      </c>
      <c r="D1818" s="2" t="str">
        <f>IFERROR(__xludf.DUMMYFUNCTION("""COMPUTED_VALUE"""),"CX")</f>
        <v>CX</v>
      </c>
      <c r="E1818" s="2" t="str">
        <f>IFERROR(__xludf.DUMMYFUNCTION("""COMPUTED_VALUE"""),"月21")</f>
        <v>月21</v>
      </c>
      <c r="F1818" s="2" t="s">
        <v>5758</v>
      </c>
      <c r="G1818" s="2" t="s">
        <v>5783</v>
      </c>
      <c r="H1818" s="1">
        <v>9.0</v>
      </c>
      <c r="I1818" s="1" t="s">
        <v>33</v>
      </c>
      <c r="J1818" s="1" t="s">
        <v>11</v>
      </c>
      <c r="K1818" s="2" t="s">
        <v>5784</v>
      </c>
      <c r="L1818" s="8" t="s">
        <v>5785</v>
      </c>
      <c r="M1818" s="2" t="str">
        <f>IFERROR(__xludf.DUMMYFUNCTION("split(split(K1818,""堂本剛　"",false),""公式LINE"",false)"),"東凛大学の解剖室に、男性の遺体が運ばれる。ビルの窓拭きを請け負う会社社長・宇野慧(平賀雅臣)は、作業時にビルから落下したとされるが、調査の結果、落下原因と思われる命綱の不具合は見つからなかった。大己(瑛太)は、佳奈子(石原さとみ)とともに、佐川(時任三郎)と玲子(矢田亜希子)の解剖を手伝いながら、ベテランの宇野が落下した理由が気にかかる。解剖後、佳奈子を連れて遺体発見現場へ。宇野が落下したビルの前に立った大己は、不自然な拭き残しがあるのを見つける。  　その後、宇野を知る人々を訪ねたふたりは、宇野が多額の"&amp;"負債を抱えながらも、信頼の厚い好人物だったことがわかる。唯一、宇野の妻・真由美(中島ひろ子)は、借金返済のためにも早く保険金が下りて欲しそうなそぶりを見せる。実験室で哲平(遠藤雄弥)と薬毒物検査を行っていた蕪木(泉谷しげる)は、宇野の血中から意外な成分を検出する。  　一方、実家の病院でアルバイトをしていた亮介(生田斗真)は、入院患者に桜井真也(田村亮)という有名作家がいることに興味を示す。ほどなくして、容態が安定した桜井に一時帰宅の許可が出る。ところが、容態が急変する。  　同じ頃、大己は、哲平と彰(佐"&amp;"藤智仁)から、佳奈子がアメリカ研修の面接に合格していたと聞く。盛り上がる哲平と彰に対して、クールに振舞う佳奈子。そんな佳奈子と目が合った大己は、思わず視線を逸らしーー。瑛太　  生田斗真　  石原さとみ　  遠藤雄弥　  佐藤智仁　    濱田マリ　  山崎樹範　  名高達男  　○　  泉谷しげる　  矢田亜希子　  時任三郎　    ほか【脚本】  金子茂樹【プロデュース】  瀧山麻土香　  東康之    【演出】  成田岳吉川慶　  Audio　Highs")</f>
        <v>東凛大学の解剖室に、男性の遺体が運ばれる。ビルの窓拭きを請け負う会社社長・宇野慧(平賀雅臣)は、作業時にビルから落下したとされるが、調査の結果、落下原因と思われる命綱の不具合は見つからなかった。大己(瑛太)は、佳奈子(石原さとみ)とともに、佐川(時任三郎)と玲子(矢田亜希子)の解剖を手伝いながら、ベテランの宇野が落下した理由が気にかかる。解剖後、佳奈子を連れて遺体発見現場へ。宇野が落下したビルの前に立った大己は、不自然な拭き残しがあるのを見つける。  　その後、宇野を知る人々を訪ねたふたりは、宇野が多額の負債を抱えながらも、信頼の厚い好人物だったことがわかる。唯一、宇野の妻・真由美(中島ひろ子)は、借金返済のためにも早く保険金が下りて欲しそうなそぶりを見せる。実験室で哲平(遠藤雄弥)と薬毒物検査を行っていた蕪木(泉谷しげる)は、宇野の血中から意外な成分を検出する。  　一方、実家の病院でアルバイトをしていた亮介(生田斗真)は、入院患者に桜井真也(田村亮)という有名作家がいることに興味を示す。ほどなくして、容態が安定した桜井に一時帰宅の許可が出る。ところが、容態が急変する。  　同じ頃、大己は、哲平と彰(佐藤智仁)から、佳奈子がアメリカ研修の面接に合格していたと聞く。盛り上がる哲平と彰に対して、クールに振舞う佳奈子。そんな佳奈子と目が合った大己は、思わず視線を逸らしーー。瑛太　  生田斗真　  石原さとみ　  遠藤雄弥　  佐藤智仁　    濱田マリ　  山崎樹範　  名高達男  　○　  泉谷しげる　  矢田亜希子　  時任三郎　    ほか【脚本】  金子茂樹【プロデュース】  瀧山麻土香　  東康之    【演出】  成田岳吉川慶　  Audio　Highs</v>
      </c>
      <c r="N1818" s="2"/>
      <c r="O1818" s="2"/>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row>
    <row r="1819" ht="204.75" customHeight="1">
      <c r="A1819" s="1">
        <v>5395.0</v>
      </c>
      <c r="B1819" s="2" t="s">
        <v>5757</v>
      </c>
      <c r="C1819" s="2">
        <f>IFERROR(__xludf.DUMMYFUNCTION("split(B1819,""_"")"),901.0)</f>
        <v>901</v>
      </c>
      <c r="D1819" s="2" t="str">
        <f>IFERROR(__xludf.DUMMYFUNCTION("""COMPUTED_VALUE"""),"CX")</f>
        <v>CX</v>
      </c>
      <c r="E1819" s="2" t="str">
        <f>IFERROR(__xludf.DUMMYFUNCTION("""COMPUTED_VALUE"""),"月21")</f>
        <v>月21</v>
      </c>
      <c r="F1819" s="2" t="s">
        <v>5758</v>
      </c>
      <c r="G1819" s="2" t="s">
        <v>5786</v>
      </c>
      <c r="H1819" s="1">
        <v>10.0</v>
      </c>
      <c r="I1819" s="1" t="s">
        <v>37</v>
      </c>
      <c r="J1819" s="1" t="s">
        <v>11</v>
      </c>
      <c r="K1819" s="2" t="s">
        <v>5787</v>
      </c>
      <c r="L1819" s="8" t="s">
        <v>5788</v>
      </c>
      <c r="M1819" s="2" t="str">
        <f>IFERROR(__xludf.DUMMYFUNCTION("split(split(K1819,""堂本剛　"",false),""公式LINE"",false)"),"加地大己(瑛太)の言葉に勇気づけられた石末亮介(生田斗真)は、急死した作家・桜井真也(田村亮)の妻・瑠美子(麻生祐未)に解剖を勧め、瑠美子も受け入れる。  　解剖室で遺体を執刀した佐川文彦(時任三郎)は、死因とされた腸閉塞は見られないと診断。病気以外の死因が絡んでいるかもしれない、と言う夏井川玲子(矢田亜希子)に、大己、亮介、久保秋佳奈子(石原さとみ)らは衝撃を受ける。  　真也が解剖されたという情報は、石末総合病院の院長・石末貴之(名高達男)にも届いていた。解剖を勧めたのが息子だと知った貴之は、それでも"&amp;"病院の処置は正しかったと主張。佐川と玲子は、真也が医療ミスで死亡した可能性はあるが、死因になったとされる抗がん剤の不適切量の投与があったかどうかは不明だと言う。医療ミスを立証するには、病院側に過失があったという証拠が必要だ。しかし、それを知るのは病院側だけでーー。  　病院側の証言が得られなければ泣き寝入りすることになるーー現状を知った瑠美子は、解剖したことを後悔する。亮介は、自分が解剖を勧めたばかりに辛い思いをさせてしまった、と落ち込む。解剖すれば何でもわかると信じていたゼミ生たちも、その気持ちに共感す"&amp;"る。そんな折、瑠美子を訪ねた大己は、死因が特定できなかったのは残念だが、実家の病院の医療ミスを暴こうとする亮介の覚悟を理解してやってほしい、と訴える。それを聞いた瑠美子は…。瑛太　  生田斗真　  石原さとみ　  遠藤雄弥　  佐藤智仁　    濱田マリ　  山崎樹範　  名高達男  　○　  泉谷しげる  矢田亜希子　  時任三郎　    ほか【脚本】  金子茂樹【プロデュース】  瀧山麻土香　  東康之    【演出】  成田岳吉川慶　  Audio　Highs")</f>
        <v>加地大己(瑛太)の言葉に勇気づけられた石末亮介(生田斗真)は、急死した作家・桜井真也(田村亮)の妻・瑠美子(麻生祐未)に解剖を勧め、瑠美子も受け入れる。  　解剖室で遺体を執刀した佐川文彦(時任三郎)は、死因とされた腸閉塞は見られないと診断。病気以外の死因が絡んでいるかもしれない、と言う夏井川玲子(矢田亜希子)に、大己、亮介、久保秋佳奈子(石原さとみ)らは衝撃を受ける。  　真也が解剖されたという情報は、石末総合病院の院長・石末貴之(名高達男)にも届いていた。解剖を勧めたのが息子だと知った貴之は、それでも病院の処置は正しかったと主張。佐川と玲子は、真也が医療ミスで死亡した可能性はあるが、死因になったとされる抗がん剤の不適切量の投与があったかどうかは不明だと言う。医療ミスを立証するには、病院側に過失があったという証拠が必要だ。しかし、それを知るのは病院側だけでーー。  　病院側の証言が得られなければ泣き寝入りすることになるーー現状を知った瑠美子は、解剖したことを後悔する。亮介は、自分が解剖を勧めたばかりに辛い思いをさせてしまった、と落ち込む。解剖すれば何でもわかると信じていたゼミ生たちも、その気持ちに共感する。そんな折、瑠美子を訪ねた大己は、死因が特定できなかったのは残念だが、実家の病院の医療ミスを暴こうとする亮介の覚悟を理解してやってほしい、と訴える。それを聞いた瑠美子は…。瑛太　  生田斗真　  石原さとみ　  遠藤雄弥　  佐藤智仁　    濱田マリ　  山崎樹範　  名高達男  　○　  泉谷しげる  矢田亜希子　  時任三郎　    ほか【脚本】  金子茂樹【プロデュース】  瀧山麻土香　  東康之    【演出】  成田岳吉川慶　  Audio　Highs</v>
      </c>
      <c r="N1819" s="2"/>
      <c r="O1819" s="2"/>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row>
    <row r="1820" ht="204.75" customHeight="1">
      <c r="A1820" s="1">
        <v>5396.0</v>
      </c>
      <c r="B1820" s="2" t="s">
        <v>5757</v>
      </c>
      <c r="C1820" s="2">
        <f>IFERROR(__xludf.DUMMYFUNCTION("split(B1820,""_"")"),901.0)</f>
        <v>901</v>
      </c>
      <c r="D1820" s="2" t="str">
        <f>IFERROR(__xludf.DUMMYFUNCTION("""COMPUTED_VALUE"""),"CX")</f>
        <v>CX</v>
      </c>
      <c r="E1820" s="2" t="str">
        <f>IFERROR(__xludf.DUMMYFUNCTION("""COMPUTED_VALUE"""),"月21")</f>
        <v>月21</v>
      </c>
      <c r="F1820" s="2" t="s">
        <v>5758</v>
      </c>
      <c r="G1820" s="2" t="s">
        <v>5789</v>
      </c>
      <c r="H1820" s="1">
        <v>11.0</v>
      </c>
      <c r="I1820" s="1" t="s">
        <v>41</v>
      </c>
      <c r="J1820" s="1" t="s">
        <v>4</v>
      </c>
      <c r="K1820" s="2" t="s">
        <v>5790</v>
      </c>
      <c r="L1820" s="8" t="s">
        <v>5791</v>
      </c>
      <c r="M1820" s="2" t="str">
        <f>IFERROR(__xludf.DUMMYFUNCTION("split(split(K1820,""堂本剛　"",false),""公式LINE"",false)"),"東凛大学の解剖室に、胸をナイフで刺され死亡した成瀬喧一(ダンカン)の遺体が運び込まれる。刺したのは坂田潔美(近野成美)という女子高生で、ナイフを持って襲い掛かってきた成瀬ともみ合ううちに刺してしまったと正当防衛を主張。彼女の体にもみ合ったときにできたと思われる傷があること、さらに、成瀬が強制わいせつ事件で逮捕された過去があることからも、潔美の主張は正しいと思われる。  　ところがその後、加地大己(瑛太)、石末亮介(生田斗真)、久保秋佳奈子(石原さとみ)、桐畑哲平(遠藤雄弥)、羽井彰(佐藤智仁)らは、夏井川"&amp;"玲子(矢田亜希子)から佐川文彦(時任三郎)が潔美の正当防衛に疑問を呈し、警察にもその方向で捜査を進めたほうがいいと助言したと聞き驚く。  　潔美は大学の理事長の親戚であったため、それを知った理事長は激怒。他大学に再解剖の依頼を出す。大学内では、鑑定結果次第で佐川の進退問題に発展するのではないか、との噂が流れる。  　その後、再解剖を依頼された教授が成瀬は事故によって刺されたものと、潔美の正当防衛を支持する判断を下す。これにより、佐川は教授会にかけられることに。教授室に戻りゼミ生に囲まれた佐川は、自分も大己"&amp;"らと同じタイミングで法医学教室を去ることになりそうだと告げる。大己らはゼミ生としての勉強期間を終え、それぞれの道を歩んでいく時期に差しかかっていたのだ。瑛太　  生田斗真　  石原さとみ　  遠藤雄弥　  佐藤智仁　    濱田マリ　  山崎樹範　  名高達男  　○　  泉谷しげる　  矢田亜希子　  時任三郎　    ほか【脚本】  金子茂樹【プロデュース】  瀧山麻土香　  東康之    【演出】  成田岳吉川慶　  Audio　Highs")</f>
        <v>東凛大学の解剖室に、胸をナイフで刺され死亡した成瀬喧一(ダンカン)の遺体が運び込まれる。刺したのは坂田潔美(近野成美)という女子高生で、ナイフを持って襲い掛かってきた成瀬ともみ合ううちに刺してしまったと正当防衛を主張。彼女の体にもみ合ったときにできたと思われる傷があること、さらに、成瀬が強制わいせつ事件で逮捕された過去があることからも、潔美の主張は正しいと思われる。  　ところがその後、加地大己(瑛太)、石末亮介(生田斗真)、久保秋佳奈子(石原さとみ)、桐畑哲平(遠藤雄弥)、羽井彰(佐藤智仁)らは、夏井川玲子(矢田亜希子)から佐川文彦(時任三郎)が潔美の正当防衛に疑問を呈し、警察にもその方向で捜査を進めたほうがいいと助言したと聞き驚く。  　潔美は大学の理事長の親戚であったため、それを知った理事長は激怒。他大学に再解剖の依頼を出す。大学内では、鑑定結果次第で佐川の進退問題に発展するのではないか、との噂が流れる。  　その後、再解剖を依頼された教授が成瀬は事故によって刺されたものと、潔美の正当防衛を支持する判断を下す。これにより、佐川は教授会にかけられることに。教授室に戻りゼミ生に囲まれた佐川は、自分も大己らと同じタイミングで法医学教室を去ることになりそうだと告げる。大己らはゼミ生としての勉強期間を終え、それぞれの道を歩んでいく時期に差しかかっていたのだ。瑛太　  生田斗真　  石原さとみ　  遠藤雄弥　  佐藤智仁　    濱田マリ　  山崎樹範　  名高達男  　○　  泉谷しげる　  矢田亜希子　  時任三郎　    ほか【脚本】  金子茂樹【プロデュース】  瀧山麻土香　  東康之    【演出】  成田岳吉川慶　  Audio　Highs</v>
      </c>
      <c r="N1820" s="2"/>
      <c r="O1820" s="2"/>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row>
    <row r="1821" ht="204.75" customHeight="1">
      <c r="A1821" s="1">
        <v>5397.0</v>
      </c>
      <c r="B1821" s="2" t="s">
        <v>5792</v>
      </c>
      <c r="C1821" s="2">
        <f>IFERROR(__xludf.DUMMYFUNCTION("split(B1821,""_"")"),901.0)</f>
        <v>901</v>
      </c>
      <c r="D1821" s="2" t="str">
        <f>IFERROR(__xludf.DUMMYFUNCTION("""COMPUTED_VALUE"""),"CX")</f>
        <v>CX</v>
      </c>
      <c r="E1821" s="2" t="str">
        <f>IFERROR(__xludf.DUMMYFUNCTION("""COMPUTED_VALUE"""),"火21")</f>
        <v>火21</v>
      </c>
      <c r="F1821" s="2" t="s">
        <v>5793</v>
      </c>
      <c r="G1821" s="2" t="s">
        <v>5794</v>
      </c>
      <c r="H1821" s="1">
        <v>1.0</v>
      </c>
      <c r="I1821" s="1" t="s">
        <v>3</v>
      </c>
      <c r="J1821" s="1" t="s">
        <v>4</v>
      </c>
      <c r="K1821" s="4" t="s">
        <v>5795</v>
      </c>
      <c r="L1821" s="2" t="s">
        <v>5796</v>
      </c>
      <c r="M1821" s="2" t="str">
        <f>IFERROR(__xludf.DUMMYFUNCTION("split(split(K1821,""水嶋ヒロ　"",false),""公式LINE"",false)"),"公式執事資格の最高位であるSランクを持ち、容姿端麗、頭脳明晰な執事・柴田理人(水嶋ヒロ)は、17歳の女子高生・東雲メイ(榮倉奈々)に仕える。メイの母(山下容莉枝)とともに事故に巻き込まれて他界したメイの父(橋爪淳)が、実は日本最高の企業である本郷グループの現当主・本郷金太郎(津川雅彦)の息子だった。つまり、メイは本郷家の正当な後継者候補なのだ。金太郎の命令でメイに仕えた理人は、実はメイの幼なじみである剣人(佐藤健)の実兄でもあった。メイは本郷家の後継者にふさわしい教育を受けるために、次世代の淑女を育成する"&amp;"ために設立された全寮制の超お嬢様学校・聖ルチア女学園に転入する。そこは、学費が月額1億円、お嬢様ひとりひとりに執事がつくという、あまりにも庶民とはかけ離れた世界だった。Sランク執事の理人が仕えるということで、竜恩寺泉(岩佐真悠子)や華山リカ(大政絢)ら女学園のお嬢様たちは、メイに注目していた。が、メイのあまりにも冴えない姿に、泉たちは露骨に嫌な顔を向けた。リカはメイに向かって「あなたは2週間以内に逃げ出すことになる」とまで言い切った。そんな中、メイは学園の外れにある温室で、真っ白な執事服を身につけた男・忍"&amp;"(向井理)と、彼に車イスを押されている美しい女性・ルチア(山田優)に出会う。ルチアは、最高の淑女に贈られる称号を持った、学園内の絶対権力者だった。")</f>
        <v>公式執事資格の最高位であるSランクを持ち、容姿端麗、頭脳明晰な執事・柴田理人(水嶋ヒロ)は、17歳の女子高生・東雲メイ(榮倉奈々)に仕える。メイの母(山下容莉枝)とともに事故に巻き込まれて他界したメイの父(橋爪淳)が、実は日本最高の企業である本郷グループの現当主・本郷金太郎(津川雅彦)の息子だった。つまり、メイは本郷家の正当な後継者候補なのだ。金太郎の命令でメイに仕えた理人は、実はメイの幼なじみである剣人(佐藤健)の実兄でもあった。メイは本郷家の後継者にふさわしい教育を受けるために、次世代の淑女を育成するために設立された全寮制の超お嬢様学校・聖ルチア女学園に転入する。そこは、学費が月額1億円、お嬢様ひとりひとりに執事がつくという、あまりにも庶民とはかけ離れた世界だった。Sランク執事の理人が仕えるということで、竜恩寺泉(岩佐真悠子)や華山リカ(大政絢)ら女学園のお嬢様たちは、メイに注目していた。が、メイのあまりにも冴えない姿に、泉たちは露骨に嫌な顔を向けた。リカはメイに向かって「あなたは2週間以内に逃げ出すことになる」とまで言い切った。そんな中、メイは学園の外れにある温室で、真っ白な執事服を身につけた男・忍(向井理)と、彼に車イスを押されている美しい女性・ルチア(山田優)に出会う。ルチアは、最高の淑女に贈られる称号を持った、学園内の絶対権力者だった。</v>
      </c>
      <c r="N1821" s="2"/>
      <c r="O1821" s="2"/>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row>
    <row r="1822" ht="204.75" customHeight="1">
      <c r="A1822" s="1">
        <v>5398.0</v>
      </c>
      <c r="B1822" s="2" t="s">
        <v>5792</v>
      </c>
      <c r="C1822" s="2">
        <f>IFERROR(__xludf.DUMMYFUNCTION("split(B1822,""_"")"),901.0)</f>
        <v>901</v>
      </c>
      <c r="D1822" s="2" t="str">
        <f>IFERROR(__xludf.DUMMYFUNCTION("""COMPUTED_VALUE"""),"CX")</f>
        <v>CX</v>
      </c>
      <c r="E1822" s="2" t="str">
        <f>IFERROR(__xludf.DUMMYFUNCTION("""COMPUTED_VALUE"""),"火21")</f>
        <v>火21</v>
      </c>
      <c r="F1822" s="2" t="s">
        <v>5793</v>
      </c>
      <c r="G1822" s="2" t="s">
        <v>5797</v>
      </c>
      <c r="H1822" s="1">
        <v>2.0</v>
      </c>
      <c r="I1822" s="1" t="s">
        <v>7</v>
      </c>
      <c r="J1822" s="1" t="s">
        <v>11</v>
      </c>
      <c r="K1822" s="2" t="s">
        <v>5798</v>
      </c>
      <c r="L1822" s="2" t="s">
        <v>5799</v>
      </c>
      <c r="M1822" s="2" t="str">
        <f>IFERROR(__xludf.DUMMYFUNCTION("split(split(K1822,""水嶋ヒロ　"",false),""公式LINE"",false)"),"生徒ひとりひとりに超優秀なイケメン執事がついている夢の“イケメン付き女学園""を舞台に繰り広げる最強のラブコメディー!!  女性なら1度はなりたいと思うもの。それは“お嬢様""や“お姫様""。その理由は「何でも手に入る」「イケメンをはべらせている」などなど。しかし、真の“お嬢様""とは、外見の美しさと家柄だけでなく、知識や教養の高さと、マナーを身につけた女性のこと。そんな素敵な女性になるためには、自分を磨き続けなくてはいけません。“お嬢様""にその磨き方を教えてくれるのが“執事""なのです。  そんな“執"&amp;"事""役にイケメンを勢ぞろいさせた夢のような連続ドラマが2009年1月ついに登場!  舞台は、日本最高のスーパーお嬢様学校「聖ルチア女学園」。そこは、敷地面積が東京都の約1/3、学園内の移動手段はすべてヘリコプター、学費は月額1億円。そして、お嬢様ひとりひとりに超イケメン執事がついているというとんでもない女学園で起こる、とんでもない出来事の数々を描く最強のラブコメディ。  ある完璧でイケメンの執事・理人が、一夜にしてお嬢様の仲間入りをした庶民出身のヒロイン・メイと、性格の悪いご学友のお嬢様のイジメや嫉妬を"&amp;"乗り越え、真のお嬢様を目指していく、笑いあり涙ありの挑戦のドラマです。そしてまた、理人、メイ、理人の弟・剣人の3人が繰り広げる“三角関係""の恋の行方など、さまざまなストーリー展開に目が離せません。")</f>
        <v>生徒ひとりひとりに超優秀なイケメン執事がついている夢の“イケメン付き女学園"を舞台に繰り広げる最強のラブコメディー!!  女性なら1度はなりたいと思うもの。それは“お嬢様"や“お姫様"。その理由は「何でも手に入る」「イケメンをはべらせている」などなど。しかし、真の“お嬢様"とは、外見の美しさと家柄だけでなく、知識や教養の高さと、マナーを身につけた女性のこと。そんな素敵な女性になるためには、自分を磨き続けなくてはいけません。“お嬢様"にその磨き方を教えてくれるのが“執事"なのです。  そんな“執事"役にイケメンを勢ぞろいさせた夢のような連続ドラマが2009年1月ついに登場!  舞台は、日本最高のスーパーお嬢様学校「聖ルチア女学園」。そこは、敷地面積が東京都の約1/3、学園内の移動手段はすべてヘリコプター、学費は月額1億円。そして、お嬢様ひとりひとりに超イケメン執事がついているというとんでもない女学園で起こる、とんでもない出来事の数々を描く最強のラブコメディ。  ある完璧でイケメンの執事・理人が、一夜にしてお嬢様の仲間入りをした庶民出身のヒロイン・メイと、性格の悪いご学友のお嬢様のイジメや嫉妬を乗り越え、真のお嬢様を目指していく、笑いあり涙ありの挑戦のドラマです。そしてまた、理人、メイ、理人の弟・剣人の3人が繰り広げる“三角関係"の恋の行方など、さまざまなストーリー展開に目が離せません。</v>
      </c>
      <c r="N1822" s="2"/>
      <c r="O1822" s="2"/>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row>
    <row r="1823" ht="204.75" customHeight="1">
      <c r="A1823" s="1">
        <v>5399.0</v>
      </c>
      <c r="B1823" s="2" t="s">
        <v>5792</v>
      </c>
      <c r="C1823" s="2">
        <f>IFERROR(__xludf.DUMMYFUNCTION("split(B1823,""_"")"),901.0)</f>
        <v>901</v>
      </c>
      <c r="D1823" s="2" t="str">
        <f>IFERROR(__xludf.DUMMYFUNCTION("""COMPUTED_VALUE"""),"CX")</f>
        <v>CX</v>
      </c>
      <c r="E1823" s="2" t="str">
        <f>IFERROR(__xludf.DUMMYFUNCTION("""COMPUTED_VALUE"""),"火21")</f>
        <v>火21</v>
      </c>
      <c r="F1823" s="2" t="s">
        <v>5793</v>
      </c>
      <c r="G1823" s="2" t="s">
        <v>5800</v>
      </c>
      <c r="H1823" s="1">
        <v>3.0</v>
      </c>
      <c r="I1823" s="1" t="s">
        <v>10</v>
      </c>
      <c r="J1823" s="1" t="s">
        <v>11</v>
      </c>
      <c r="K1823" s="2" t="s">
        <v>5801</v>
      </c>
      <c r="L1823" s="2" t="s">
        <v>5801</v>
      </c>
      <c r="M1823" s="2" t="str">
        <f>IFERROR(__xludf.DUMMYFUNCTION("split(split(K1823,""水嶋ヒロ　"",false),""公式LINE"",false)"),"理人(水嶋ヒロ)は、メイ(榮倉奈々)の様子がおかしいことに気づく。原因のひとつは、ルチア(山田優)が実は本郷家の人間であることを、理人がメイに話していなかったせいだった。ルチアは本郷家の遠縁にあたり、メイの父・周太郎(橋爪淳)が本郷家を飛び出した後に、養女として迎えられたのだという。ルチアの執事・忍(向井理)からそれを教えられたメイはショックを隠せない。ルチアは、そんなメイに、自分が本郷家を継いだらメイの両親の遺骨を同じ墓に入れる、と約束する。そうすれば、メイも聖ルチア女学園から解放されるというのだ。あく"&amp;"る朝、登校したメイの前に剣人(佐藤健)が駆けてくる。メイのせいで泉(岩佐真悠子)が学園を退学させられる、という噂話が流れ、生徒たちが殺気立っているらしい。メイが原因だというのはデマだったが、気になったメイは、泉の執事・木場(夕輝壽太)から事情を聞く。そこで木場は、泉が竜恩寺家の次期当主を降ろされたことを告白する。4年前に竜恩寺家に嫁いできた泉の義母・都(山口香緒里)から電話があり、都が生んだ子・新之介(庄司龍成)が次期当主になることが親族会で決まった、という連絡があったらしい。泉は、その決定を受け入れる決"&amp;"意を固めていた。さらに泉は、木場を竜恩寺家に返し、ある財閥の会長と政略結婚させられるらしい。そんな泉に接触した忍は、望むことがあるのならばルチアに願い出ればいい、と告げ…。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高見優"&amp;"    【主題歌】  「My　SunShine」ROCK`A’TRENCH")</f>
        <v>理人(水嶋ヒロ)は、メイ(榮倉奈々)の様子がおかしいことに気づく。原因のひとつは、ルチア(山田優)が実は本郷家の人間であることを、理人がメイに話していなかったせいだった。ルチアは本郷家の遠縁にあたり、メイの父・周太郎(橋爪淳)が本郷家を飛び出した後に、養女として迎えられたのだという。ルチアの執事・忍(向井理)からそれを教えられたメイはショックを隠せない。ルチアは、そんなメイに、自分が本郷家を継いだらメイの両親の遺骨を同じ墓に入れる、と約束する。そうすれば、メイも聖ルチア女学園から解放されるというのだ。あくる朝、登校したメイの前に剣人(佐藤健)が駆けてくる。メイのせいで泉(岩佐真悠子)が学園を退学させられる、という噂話が流れ、生徒たちが殺気立っているらしい。メイが原因だというのはデマだったが、気になったメイは、泉の執事・木場(夕輝壽太)から事情を聞く。そこで木場は、泉が竜恩寺家の次期当主を降ろされたことを告白する。4年前に竜恩寺家に嫁いできた泉の義母・都(山口香緒里)から電話があり、都が生んだ子・新之介(庄司龍成)が次期当主になることが親族会で決まった、という連絡があったらしい。泉は、その決定を受け入れる決意を固めていた。さらに泉は、木場を竜恩寺家に返し、ある財閥の会長と政略結婚させられるらしい。そんな泉に接触した忍は、望むことがあるのならばルチアに願い出ればいい、と告げ…。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v>
      </c>
      <c r="N1823" s="2"/>
      <c r="O1823" s="2"/>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row>
    <row r="1824" ht="204.75" customHeight="1">
      <c r="A1824" s="1">
        <v>5400.0</v>
      </c>
      <c r="B1824" s="2" t="s">
        <v>5792</v>
      </c>
      <c r="C1824" s="2">
        <f>IFERROR(__xludf.DUMMYFUNCTION("split(B1824,""_"")"),901.0)</f>
        <v>901</v>
      </c>
      <c r="D1824" s="2" t="str">
        <f>IFERROR(__xludf.DUMMYFUNCTION("""COMPUTED_VALUE"""),"CX")</f>
        <v>CX</v>
      </c>
      <c r="E1824" s="2" t="str">
        <f>IFERROR(__xludf.DUMMYFUNCTION("""COMPUTED_VALUE"""),"火21")</f>
        <v>火21</v>
      </c>
      <c r="F1824" s="2" t="s">
        <v>5793</v>
      </c>
      <c r="G1824" s="2" t="s">
        <v>5802</v>
      </c>
      <c r="H1824" s="1">
        <v>4.0</v>
      </c>
      <c r="I1824" s="1" t="s">
        <v>14</v>
      </c>
      <c r="J1824" s="1" t="s">
        <v>11</v>
      </c>
      <c r="K1824" s="2" t="s">
        <v>5803</v>
      </c>
      <c r="L1824" s="2" t="s">
        <v>5804</v>
      </c>
      <c r="M1824" s="2" t="str">
        <f>IFERROR(__xludf.DUMMYFUNCTION("split(split(K1824,""水嶋ヒロ　"",false),""公式LINE"",false)"),"理人(水嶋ヒロ)は、メイ(榮倉奈々)と泉(岩佐真悠子)の決闘&lt;デュエロ&gt;に立ち会わずに、とある場所に向かっていた。そんな理人の前に現れた忍(向井理)は、もうメイに仕えることはできない、と言い放つ。同じころ、聖ルチア女学園では、メイと泉の決闘が始まろうとしていた。今回の決闘は宝探し。学園内のどこかに隠されている宝箱には、泉の執事・木場(夕輝壽太)が1番大切にしているものが入っているのだという。メイのことが心配になった剣人(佐藤健)は、こっそり彼女の後を追っていた。そのとき、不審な男たちがメイに襲いかかるのを"&amp;"目撃した剣人は、男たちに飛びかかってメイを救出すると、彼女の手をつかんで走り出す。森の奥へと逃げたメイと剣人は、男たちが追ってこないのを確認し、ようやくひと息つく。そこに、泉が現れた。剣人は、メイを襲わせたのは泉ではないかと疑い、これ以上勝負を続ける必要はない、と言い放った。それに対して泉は、自分はこの勝負に勝たなければならない、だから中止にはできない、と返す。剣人は、そんな泉に怒りをぶつけようとした。が、それを制したのはメイだった。そばにいると言ってくれた理人のために、自分もこの学園で頑張りたい、と泉に"&amp;"告げるメイ。その言葉を聞いた剣人は大きなショックを受け…。")</f>
        <v>理人(水嶋ヒロ)は、メイ(榮倉奈々)と泉(岩佐真悠子)の決闘&lt;デュエロ&gt;に立ち会わずに、とある場所に向かっていた。そんな理人の前に現れた忍(向井理)は、もうメイに仕えることはできない、と言い放つ。同じころ、聖ルチア女学園では、メイと泉の決闘が始まろうとしていた。今回の決闘は宝探し。学園内のどこかに隠されている宝箱には、泉の執事・木場(夕輝壽太)が1番大切にしているものが入っているのだという。メイのことが心配になった剣人(佐藤健)は、こっそり彼女の後を追っていた。そのとき、不審な男たちがメイに襲いかかるのを目撃した剣人は、男たちに飛びかかってメイを救出すると、彼女の手をつかんで走り出す。森の奥へと逃げたメイと剣人は、男たちが追ってこないのを確認し、ようやくひと息つく。そこに、泉が現れた。剣人は、メイを襲わせたのは泉ではないかと疑い、これ以上勝負を続ける必要はない、と言い放った。それに対して泉は、自分はこの勝負に勝たなければならない、だから中止にはできない、と返す。剣人は、そんな泉に怒りをぶつけようとした。が、それを制したのはメイだった。そばにいると言ってくれた理人のために、自分もこの学園で頑張りたい、と泉に告げるメイ。その言葉を聞いた剣人は大きなショックを受け…。</v>
      </c>
      <c r="N1824" s="2"/>
      <c r="O1824" s="2"/>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row>
    <row r="1825" ht="204.75" customHeight="1">
      <c r="A1825" s="1">
        <v>5401.0</v>
      </c>
      <c r="B1825" s="2" t="s">
        <v>5792</v>
      </c>
      <c r="C1825" s="2">
        <f>IFERROR(__xludf.DUMMYFUNCTION("split(B1825,""_"")"),901.0)</f>
        <v>901</v>
      </c>
      <c r="D1825" s="2" t="str">
        <f>IFERROR(__xludf.DUMMYFUNCTION("""COMPUTED_VALUE"""),"CX")</f>
        <v>CX</v>
      </c>
      <c r="E1825" s="2" t="str">
        <f>IFERROR(__xludf.DUMMYFUNCTION("""COMPUTED_VALUE"""),"火21")</f>
        <v>火21</v>
      </c>
      <c r="F1825" s="2" t="s">
        <v>5793</v>
      </c>
      <c r="G1825" s="2" t="s">
        <v>5805</v>
      </c>
      <c r="H1825" s="1">
        <v>5.0</v>
      </c>
      <c r="I1825" s="1" t="s">
        <v>17</v>
      </c>
      <c r="J1825" s="1" t="s">
        <v>11</v>
      </c>
      <c r="K1825" s="2" t="s">
        <v>5806</v>
      </c>
      <c r="L1825" s="2" t="s">
        <v>5807</v>
      </c>
      <c r="M1825" s="2" t="str">
        <f>IFERROR(__xludf.DUMMYFUNCTION("split(split(K1825,""水嶋ヒロ　"",false),""公式LINE"",false)"),"理人(水嶋ヒロ)とメイ(榮倉奈々)は、突然クラスにやってきたルチア(山田優)の言葉に動揺する。ルチアはメイたちのクラスメートになったのだという。その際、忍(向井理)は、メイもルチア同様、本郷家の後継者候補であることを皆に明かす。ルチアが理人を取り戻そうとしていることを知った剣人(佐藤健)は、理人に対して怒りをぶつけた。剣人は、理人がルチアの元に戻ればすべて収まる、と言うと、自分がメイの執事になる、と言い放つ。同じころ、由真(臼田あさ美)ら太陽生たちは、1週間後に学力テストを行い基準点に満たない者を即刻退学"&amp;"にすることを決める。その決定に反発した泉(岩佐真悠子)は、メイの学力を向上させるための特訓を開始する。一方、みるく(吉田里琴)は、ルチアからの食事の誘いを断る。執事を使って人を陥れるような人間の取り巻きになる気はない、というのだ。ほどなく、みるくと執事の大門(鈴木亮平)の前に、3人の黒服の男が現れる。男たちはみるくの日常生活を監査するためにやってきたのだという。実はみるくは、国内のとある研究所で技術開発に関わっていた。その研究所は、防衛省直轄の機関だという噂があり、大門もその組織の人間らしい。メイは、食事"&amp;"も与えられないまま、監査役の男たちに仕事を命じられているみるくのことを心配していた。そんな折、みるくが行方不明になるという事件が起き…。")</f>
        <v>理人(水嶋ヒロ)とメイ(榮倉奈々)は、突然クラスにやってきたルチア(山田優)の言葉に動揺する。ルチアはメイたちのクラスメートになったのだという。その際、忍(向井理)は、メイもルチア同様、本郷家の後継者候補であることを皆に明かす。ルチアが理人を取り戻そうとしていることを知った剣人(佐藤健)は、理人に対して怒りをぶつけた。剣人は、理人がルチアの元に戻ればすべて収まる、と言うと、自分がメイの執事になる、と言い放つ。同じころ、由真(臼田あさ美)ら太陽生たちは、1週間後に学力テストを行い基準点に満たない者を即刻退学にすることを決める。その決定に反発した泉(岩佐真悠子)は、メイの学力を向上させるための特訓を開始する。一方、みるく(吉田里琴)は、ルチアからの食事の誘いを断る。執事を使って人を陥れるような人間の取り巻きになる気はない、というのだ。ほどなく、みるくと執事の大門(鈴木亮平)の前に、3人の黒服の男が現れる。男たちはみるくの日常生活を監査するためにやってきたのだという。実はみるくは、国内のとある研究所で技術開発に関わっていた。その研究所は、防衛省直轄の機関だという噂があり、大門もその組織の人間らしい。メイは、食事も与えられないまま、監査役の男たちに仕事を命じられているみるくのことを心配していた。そんな折、みるくが行方不明になるという事件が起き…。</v>
      </c>
      <c r="N1825" s="2"/>
      <c r="O1825" s="2"/>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row>
    <row r="1826" ht="204.75" customHeight="1">
      <c r="A1826" s="1">
        <v>5402.0</v>
      </c>
      <c r="B1826" s="2" t="s">
        <v>5792</v>
      </c>
      <c r="C1826" s="2">
        <f>IFERROR(__xludf.DUMMYFUNCTION("split(B1826,""_"")"),901.0)</f>
        <v>901</v>
      </c>
      <c r="D1826" s="2" t="str">
        <f>IFERROR(__xludf.DUMMYFUNCTION("""COMPUTED_VALUE"""),"CX")</f>
        <v>CX</v>
      </c>
      <c r="E1826" s="2" t="str">
        <f>IFERROR(__xludf.DUMMYFUNCTION("""COMPUTED_VALUE"""),"火21")</f>
        <v>火21</v>
      </c>
      <c r="F1826" s="2" t="s">
        <v>5793</v>
      </c>
      <c r="G1826" s="2" t="s">
        <v>5808</v>
      </c>
      <c r="H1826" s="1">
        <v>6.0</v>
      </c>
      <c r="I1826" s="1" t="s">
        <v>21</v>
      </c>
      <c r="J1826" s="1" t="s">
        <v>11</v>
      </c>
      <c r="K1826" s="2" t="s">
        <v>5809</v>
      </c>
      <c r="L1826" s="2" t="s">
        <v>5810</v>
      </c>
      <c r="M1826" s="2" t="str">
        <f>IFERROR(__xludf.DUMMYFUNCTION("split(split(K1826,""水嶋ヒロ　"",false),""公式LINE"",false)"),"理人(水嶋ヒロ)がメイ(榮倉奈々)を抱きしめている写真が、教室中に貼りだされた。その写真は、武装集団がみるく(吉田里琴)を狙った事件のあと、震えていたメイを理人が思わず抱きしめてしまったときの様子を何者かが隠し撮りしたものだった。写真を見たリカ(大政絢)や凛(忽那汐里)たちの間に動揺が広がった。聖ルチア女学園では、お嬢様と執事の恋愛が禁止されており、発覚した場合は退学処分になってしまうのだ。剣人(佐藤健)は、何も言わずに貼られていた写真を荒々しくはがして回ると、くだらないことをするな、と理人に掴みかかった"&amp;"。そこに、泉(岩佐真悠子)が現れ、事実関係の調査が済むまで理人とメイに謹慎するよう言い渡した。さらに、この一件がきっかけとなって全生徒の素行調査も行われ、日ごろからその関係が怪しまれていた不二子(中別府葵)とその執事・根津(姜暢雄)も謹慎を命じられてしまう。ほどなく、証拠不十分ということで、メイたちの謹慎処分が解かれる。ところがその翌日、聖ルチア女学園の各クラスに、クラス内で執事を交換せよ、という通達が出される。執事との関わり方を見直す目的で、太陽&lt;ソーレ&gt;生たちが決めたものだった。メイのクラスでも、くじ"&amp;"引きで執事が決められた。その結果、メイの執事は剣人が務めることになった。そして理人は、ルチア(山田優)の執事を務めることになったが…。")</f>
        <v>理人(水嶋ヒロ)がメイ(榮倉奈々)を抱きしめている写真が、教室中に貼りだされた。その写真は、武装集団がみるく(吉田里琴)を狙った事件のあと、震えていたメイを理人が思わず抱きしめてしまったときの様子を何者かが隠し撮りしたものだった。写真を見たリカ(大政絢)や凛(忽那汐里)たちの間に動揺が広がった。聖ルチア女学園では、お嬢様と執事の恋愛が禁止されており、発覚した場合は退学処分になってしまうのだ。剣人(佐藤健)は、何も言わずに貼られていた写真を荒々しくはがして回ると、くだらないことをするな、と理人に掴みかかった。そこに、泉(岩佐真悠子)が現れ、事実関係の調査が済むまで理人とメイに謹慎するよう言い渡した。さらに、この一件がきっかけとなって全生徒の素行調査も行われ、日ごろからその関係が怪しまれていた不二子(中別府葵)とその執事・根津(姜暢雄)も謹慎を命じられてしまう。ほどなく、証拠不十分ということで、メイたちの謹慎処分が解かれる。ところがその翌日、聖ルチア女学園の各クラスに、クラス内で執事を交換せよ、という通達が出される。執事との関わり方を見直す目的で、太陽&lt;ソーレ&gt;生たちが決めたものだった。メイのクラスでも、くじ引きで執事が決められた。その結果、メイの執事は剣人が務めることになった。そして理人は、ルチア(山田優)の執事を務めることになったが…。</v>
      </c>
      <c r="N1826" s="2"/>
      <c r="O1826" s="2"/>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row>
    <row r="1827" ht="204.75" customHeight="1">
      <c r="A1827" s="1">
        <v>5403.0</v>
      </c>
      <c r="B1827" s="2" t="s">
        <v>5792</v>
      </c>
      <c r="C1827" s="2">
        <f>IFERROR(__xludf.DUMMYFUNCTION("split(B1827,""_"")"),901.0)</f>
        <v>901</v>
      </c>
      <c r="D1827" s="2" t="str">
        <f>IFERROR(__xludf.DUMMYFUNCTION("""COMPUTED_VALUE"""),"CX")</f>
        <v>CX</v>
      </c>
      <c r="E1827" s="2" t="str">
        <f>IFERROR(__xludf.DUMMYFUNCTION("""COMPUTED_VALUE"""),"火21")</f>
        <v>火21</v>
      </c>
      <c r="F1827" s="2" t="s">
        <v>5793</v>
      </c>
      <c r="G1827" s="2" t="s">
        <v>5811</v>
      </c>
      <c r="H1827" s="1">
        <v>7.0</v>
      </c>
      <c r="I1827" s="1" t="s">
        <v>25</v>
      </c>
      <c r="J1827" s="1" t="s">
        <v>11</v>
      </c>
      <c r="K1827" s="2" t="s">
        <v>5812</v>
      </c>
      <c r="L1827" s="2" t="s">
        <v>5813</v>
      </c>
      <c r="M1827" s="2" t="str">
        <f>IFERROR(__xludf.DUMMYFUNCTION("split(split(K1827,""水嶋ヒロ　"",false),""公式LINE"",false)"),"執事の交換が中止になり、理人(水嶋ヒロ)も久しぶりにメイ(榮倉奈々)のもとへと戻った。だが、陰&lt;オンブラ&gt;寮にメイの姿はなかった。  　そのころ、メイと剣人(佐藤健)は、多美(谷村美月)におびき出され、森の奥にある古い洋館『時間&lt;とき&gt;のない館』にいた。多美は、事情が飲み込めないでいるメイと剣人に向って、ルチア(山田優)のためにお前たちを始末する、と告げる。泉(岩佐真悠子)との決闘&lt;デュエロ&gt;のときに男たちにメイを襲わせたのも、理人とメイが抱き合っている写真をばらまいたのも、すべて多美がやったことだという"&amp;"のだ。  　理人は、泉やリカ(大政絢)らメイのクラスメートや彼女たちの執事にも協力してもらいメイを探していた。多美の執事・神田(阿部進之介)は、メイや剣人だけでなく、多美の姿もないことに気づく。  　館では、メイと剣人が、多美の合図で姿を現した男たちに取り囲まれていた。2階へと上がり、そこの一室に逃げ込むメイと剣人。メイを助けるために犠牲になる覚悟を決めた剣人は、必死にドアを押さえながら、ひとりで逃げるようメイに告げた。が、次の瞬間、ドアが破られ、多美たちが侵入してきた。剣人は、多美のナイフ攻撃からメイを"&amp;"かばおうとして傷を負っていた。多美は、倒れたまま動かない剣人にすがりつくメイに向って、お前がこの学園に来なければ誰も苦しむことはなかった、と言い放ち…。")</f>
        <v>執事の交換が中止になり、理人(水嶋ヒロ)も久しぶりにメイ(榮倉奈々)のもとへと戻った。だが、陰&lt;オンブラ&gt;寮にメイの姿はなかった。  　そのころ、メイと剣人(佐藤健)は、多美(谷村美月)におびき出され、森の奥にある古い洋館『時間&lt;とき&gt;のない館』にいた。多美は、事情が飲み込めないでいるメイと剣人に向って、ルチア(山田優)のためにお前たちを始末する、と告げる。泉(岩佐真悠子)との決闘&lt;デュエロ&gt;のときに男たちにメイを襲わせたのも、理人とメイが抱き合っている写真をばらまいたのも、すべて多美がやったことだというのだ。  　理人は、泉やリカ(大政絢)らメイのクラスメートや彼女たちの執事にも協力してもらいメイを探していた。多美の執事・神田(阿部進之介)は、メイや剣人だけでなく、多美の姿もないことに気づく。  　館では、メイと剣人が、多美の合図で姿を現した男たちに取り囲まれていた。2階へと上がり、そこの一室に逃げ込むメイと剣人。メイを助けるために犠牲になる覚悟を決めた剣人は、必死にドアを押さえながら、ひとりで逃げるようメイに告げた。が、次の瞬間、ドアが破られ、多美たちが侵入してきた。剣人は、多美のナイフ攻撃からメイをかばおうとして傷を負っていた。多美は、倒れたまま動かない剣人にすがりつくメイに向って、お前がこの学園に来なければ誰も苦しむことはなかった、と言い放ち…。</v>
      </c>
      <c r="N1827" s="2"/>
      <c r="O1827" s="2"/>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row>
    <row r="1828" ht="204.75" customHeight="1">
      <c r="A1828" s="1">
        <v>5404.0</v>
      </c>
      <c r="B1828" s="2" t="s">
        <v>5792</v>
      </c>
      <c r="C1828" s="2">
        <f>IFERROR(__xludf.DUMMYFUNCTION("split(B1828,""_"")"),901.0)</f>
        <v>901</v>
      </c>
      <c r="D1828" s="2" t="str">
        <f>IFERROR(__xludf.DUMMYFUNCTION("""COMPUTED_VALUE"""),"CX")</f>
        <v>CX</v>
      </c>
      <c r="E1828" s="2" t="str">
        <f>IFERROR(__xludf.DUMMYFUNCTION("""COMPUTED_VALUE"""),"火21")</f>
        <v>火21</v>
      </c>
      <c r="F1828" s="2" t="s">
        <v>5793</v>
      </c>
      <c r="G1828" s="2" t="s">
        <v>5814</v>
      </c>
      <c r="H1828" s="1">
        <v>8.0</v>
      </c>
      <c r="I1828" s="1" t="s">
        <v>29</v>
      </c>
      <c r="J1828" s="1" t="s">
        <v>11</v>
      </c>
      <c r="K1828" s="2" t="s">
        <v>5815</v>
      </c>
      <c r="L1828" s="2" t="s">
        <v>5816</v>
      </c>
      <c r="M1828" s="2" t="str">
        <f>IFERROR(__xludf.DUMMYFUNCTION("split(split(K1828,""水嶋ヒロ　"",false),""公式LINE"",false)"),"理人(水嶋ヒロ)に別れを告げ、聖ルチア女学園を去ったメイ(榮倉奈々)は、生まれ故郷に戻り、仲本家に身を寄せた。剣人(佐藤健)も、メイの側にいるために執事を辞めて戻っていた。そんなある日、メイと剣人の前に理人が現れる。理人は、本郷家からの通達をメイに告げた。それは、1週間以内に学園に戻らなければ学費の支払いを停止するというものだった。同時に、今後は本郷家との関わりを絶ち、財産分与等の権利も放棄せよという。理人の用件がそれだけだと知ったメイは、何も言わずにその場を後にした。メイが仲本家に戻ると、そこに泉(岩佐"&amp;"真悠子)やリカ(大政絢)ら聖ルチア女学園のクラスメイトとその執事たちの姿があった。クラス全員で、メイを連れ戻しに来たのだ。そこでリカは、何故学園を辞めたのか、とメイを問いただした。口ごもるメイに代わって話を切り出したのは剣人だ。剣人は、メイがルチア(山田優)から嫌がらせを受けていたことやクラスメイトに危害を加えると脅されたことを明かした。ルチアの本性を知る泉やみるく(吉田里琴)は、剣人の話は真実だと皆に告げた。その際、理人がルチアのもとに戻ったことを知ったメイは、急に不機嫌になり、迎えに来て欲しいとは頼ん"&amp;"でいない、と強がって泉たちを追い返そうとする。リカたちと言い合いになったメイは、話の流れで、自分はここで剣人と上手くやっている、と言ってしまい…。")</f>
        <v>理人(水嶋ヒロ)に別れを告げ、聖ルチア女学園を去ったメイ(榮倉奈々)は、生まれ故郷に戻り、仲本家に身を寄せた。剣人(佐藤健)も、メイの側にいるために執事を辞めて戻っていた。そんなある日、メイと剣人の前に理人が現れる。理人は、本郷家からの通達をメイに告げた。それは、1週間以内に学園に戻らなければ学費の支払いを停止するというものだった。同時に、今後は本郷家との関わりを絶ち、財産分与等の権利も放棄せよという。理人の用件がそれだけだと知ったメイは、何も言わずにその場を後にした。メイが仲本家に戻ると、そこに泉(岩佐真悠子)やリカ(大政絢)ら聖ルチア女学園のクラスメイトとその執事たちの姿があった。クラス全員で、メイを連れ戻しに来たのだ。そこでリカは、何故学園を辞めたのか、とメイを問いただした。口ごもるメイに代わって話を切り出したのは剣人だ。剣人は、メイがルチア(山田優)から嫌がらせを受けていたことやクラスメイトに危害を加えると脅されたことを明かした。ルチアの本性を知る泉やみるく(吉田里琴)は、剣人の話は真実だと皆に告げた。その際、理人がルチアのもとに戻ったことを知ったメイは、急に不機嫌になり、迎えに来て欲しいとは頼んでいない、と強がって泉たちを追い返そうとする。リカたちと言い合いになったメイは、話の流れで、自分はここで剣人と上手くやっている、と言ってしまい…。</v>
      </c>
      <c r="N1828" s="2"/>
      <c r="O1828" s="2"/>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row>
    <row r="1829" ht="204.75" customHeight="1">
      <c r="A1829" s="1">
        <v>5405.0</v>
      </c>
      <c r="B1829" s="2" t="s">
        <v>5792</v>
      </c>
      <c r="C1829" s="2">
        <f>IFERROR(__xludf.DUMMYFUNCTION("split(B1829,""_"")"),901.0)</f>
        <v>901</v>
      </c>
      <c r="D1829" s="2" t="str">
        <f>IFERROR(__xludf.DUMMYFUNCTION("""COMPUTED_VALUE"""),"CX")</f>
        <v>CX</v>
      </c>
      <c r="E1829" s="2" t="str">
        <f>IFERROR(__xludf.DUMMYFUNCTION("""COMPUTED_VALUE"""),"火21")</f>
        <v>火21</v>
      </c>
      <c r="F1829" s="2" t="s">
        <v>5793</v>
      </c>
      <c r="G1829" s="2" t="s">
        <v>5817</v>
      </c>
      <c r="H1829" s="1">
        <v>9.0</v>
      </c>
      <c r="I1829" s="1" t="s">
        <v>33</v>
      </c>
      <c r="J1829" s="1" t="s">
        <v>11</v>
      </c>
      <c r="K1829" s="2" t="s">
        <v>5818</v>
      </c>
      <c r="L1829" s="2" t="s">
        <v>5819</v>
      </c>
      <c r="M1829" s="2" t="str">
        <f>IFERROR(__xludf.DUMMYFUNCTION("split(split(K1829,""水嶋ヒロ　"",false),""公式LINE"",false)"),"理人(水嶋ヒロ)は、弟の剣人(佐藤健)から、メイ(榮倉奈々)を賭けた勝負を挑まれる。剣人と壮絶な殴り合いを繰り広げる中で迷いを吹っ切った理人は、ボロボロになりながらも立ち上がり、もう2度とそばを離れない、とメイに約束する。理人同様、剣人も体中に傷を負っていた。リカ(大政絢)や青山(真山明大)から、大げさな手当てを受ける剣人。メイは、そんな彼の姿を複雑な思いで見つめていた。同じころ、ルチア(山田優)は、忍(向井理)と多美(谷村美月)に、メイを徹底的に苦しめるよう命じていた。別の日、剣人を呼び出したメイは、彼"&amp;"に礼を言おうとした。剣人は、そんなメイの気持ちを察して普段通りに接すると、まだお前のことは諦めていない、と告げる。するとそこに、慌てた様子で泉(岩佐真悠子)たちがやってくる。クラスメイトたちが次々と不審な事件に巻き込まれているというのだ。そんな中、メイは、金太郎(津川雅彦)に呼び出される。メイが理人とともに金太郎の私邸を訪れると、そこにはルチア=詩織と忍の姿もあった。その席で金太郎は、詩織を自分の後継者に指名し…。")</f>
        <v>理人(水嶋ヒロ)は、弟の剣人(佐藤健)から、メイ(榮倉奈々)を賭けた勝負を挑まれる。剣人と壮絶な殴り合いを繰り広げる中で迷いを吹っ切った理人は、ボロボロになりながらも立ち上がり、もう2度とそばを離れない、とメイに約束する。理人同様、剣人も体中に傷を負っていた。リカ(大政絢)や青山(真山明大)から、大げさな手当てを受ける剣人。メイは、そんな彼の姿を複雑な思いで見つめていた。同じころ、ルチア(山田優)は、忍(向井理)と多美(谷村美月)に、メイを徹底的に苦しめるよう命じていた。別の日、剣人を呼び出したメイは、彼に礼を言おうとした。剣人は、そんなメイの気持ちを察して普段通りに接すると、まだお前のことは諦めていない、と告げる。するとそこに、慌てた様子で泉(岩佐真悠子)たちがやってくる。クラスメイトたちが次々と不審な事件に巻き込まれているというのだ。そんな中、メイは、金太郎(津川雅彦)に呼び出される。メイが理人とともに金太郎の私邸を訪れると、そこにはルチア=詩織と忍の姿もあった。その席で金太郎は、詩織を自分の後継者に指名し…。</v>
      </c>
      <c r="N1829" s="2"/>
      <c r="O1829" s="2"/>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row>
    <row r="1830" ht="204.75" customHeight="1">
      <c r="A1830" s="1">
        <v>5406.0</v>
      </c>
      <c r="B1830" s="2" t="s">
        <v>5792</v>
      </c>
      <c r="C1830" s="2">
        <f>IFERROR(__xludf.DUMMYFUNCTION("split(B1830,""_"")"),901.0)</f>
        <v>901</v>
      </c>
      <c r="D1830" s="2" t="str">
        <f>IFERROR(__xludf.DUMMYFUNCTION("""COMPUTED_VALUE"""),"CX")</f>
        <v>CX</v>
      </c>
      <c r="E1830" s="2" t="str">
        <f>IFERROR(__xludf.DUMMYFUNCTION("""COMPUTED_VALUE"""),"火21")</f>
        <v>火21</v>
      </c>
      <c r="F1830" s="2" t="s">
        <v>5793</v>
      </c>
      <c r="G1830" s="2" t="s">
        <v>5820</v>
      </c>
      <c r="H1830" s="1">
        <v>10.0</v>
      </c>
      <c r="I1830" s="1" t="s">
        <v>37</v>
      </c>
      <c r="J1830" s="1" t="s">
        <v>11</v>
      </c>
      <c r="K1830" s="2" t="s">
        <v>5821</v>
      </c>
      <c r="L1830" s="2" t="s">
        <v>5822</v>
      </c>
      <c r="M1830" s="2" t="str">
        <f>IFERROR(__xludf.DUMMYFUNCTION("split(split(K1830,""水嶋ヒロ　"",false),""公式LINE"",false)"),"メイ(榮倉奈々)は、理人(水嶋ヒロ)を賭けての決闘〈デュエロ〉をルチア(山田優)に申し込む。決闘は、メイの執事・理人とルチアの執事・忍(向井理)との真剣による戦いとなった。が、理人は、多美(谷村美月)が放ったボーガンの矢で腹部に傷を追っていた。その夜、理人は、心配する剣人(佐藤健)たちの声に耳を貸さずに、決闘の会場へと向かった。相手の忍は、世界中のさまざまな武術を身につけ、その強さは驚異的だという噂だった。学園長・ローズ(堀内敬子)の合図で決闘が始まった。忍は、凄まじい攻撃を仕掛けながら、巧みに理人の腹部"&amp;"の傷を狙っていた。傷のせいもあって動きも鈍く、防戦一方に追い込まれていく理人。それでもメイは、理人の勝利を信じてその光景を見つめていた。ルチアは、そんなメイに向かって、負けを認めるよう促す。するとメイは、理人と青山(真山明大)が戦ったとき、忍から言われた言葉をルチアに返した。あのとき忍は、「執事は信じられなければ力を発揮できない」、とメイに言ったのだ。メイは、毅然とした表情でルチアを見つめると、絶対に柴田理人は渡さない、と言い放つ。逆上したルチアは、メイに襲いかかり…。")</f>
        <v>メイ(榮倉奈々)は、理人(水嶋ヒロ)を賭けての決闘〈デュエロ〉をルチア(山田優)に申し込む。決闘は、メイの執事・理人とルチアの執事・忍(向井理)との真剣による戦いとなった。が、理人は、多美(谷村美月)が放ったボーガンの矢で腹部に傷を追っていた。その夜、理人は、心配する剣人(佐藤健)たちの声に耳を貸さずに、決闘の会場へと向かった。相手の忍は、世界中のさまざまな武術を身につけ、その強さは驚異的だという噂だった。学園長・ローズ(堀内敬子)の合図で決闘が始まった。忍は、凄まじい攻撃を仕掛けながら、巧みに理人の腹部の傷を狙っていた。傷のせいもあって動きも鈍く、防戦一方に追い込まれていく理人。それでもメイは、理人の勝利を信じてその光景を見つめていた。ルチアは、そんなメイに向かって、負けを認めるよう促す。するとメイは、理人と青山(真山明大)が戦ったとき、忍から言われた言葉をルチアに返した。あのとき忍は、「執事は信じられなければ力を発揮できない」、とメイに言ったのだ。メイは、毅然とした表情でルチアを見つめると、絶対に柴田理人は渡さない、と言い放つ。逆上したルチアは、メイに襲いかかり…。</v>
      </c>
      <c r="N1830" s="2"/>
      <c r="O1830" s="2"/>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row>
    <row r="1831" ht="204.75" customHeight="1">
      <c r="A1831" s="1">
        <v>5407.0</v>
      </c>
      <c r="B1831" s="2" t="s">
        <v>5823</v>
      </c>
      <c r="C1831" s="2">
        <f>IFERROR(__xludf.DUMMYFUNCTION("split(B1831,""_"")"),901.0)</f>
        <v>901</v>
      </c>
      <c r="D1831" s="2" t="str">
        <f>IFERROR(__xludf.DUMMYFUNCTION("""COMPUTED_VALUE"""),"CX")</f>
        <v>CX</v>
      </c>
      <c r="E1831" s="2" t="str">
        <f>IFERROR(__xludf.DUMMYFUNCTION("""COMPUTED_VALUE"""),"火22")</f>
        <v>火22</v>
      </c>
      <c r="F1831" s="2" t="s">
        <v>5824</v>
      </c>
      <c r="G1831" s="2" t="s">
        <v>5825</v>
      </c>
      <c r="H1831" s="1">
        <v>1.0</v>
      </c>
      <c r="I1831" s="1" t="s">
        <v>3</v>
      </c>
      <c r="J1831" s="1" t="s">
        <v>82</v>
      </c>
      <c r="K1831" s="4" t="s">
        <v>5826</v>
      </c>
      <c r="L1831" s="2" t="s">
        <v>5827</v>
      </c>
      <c r="M1831" s="9" t="str">
        <f>IFERROR(__xludf.DUMMYFUNCTION("split(split(K1831,""江口洋介　"",false),""html"",false)"),"http://ktv.jp/triangle/index.")</f>
        <v>http://ktv.jp/triangle/index.</v>
      </c>
      <c r="N1831" s="2" t="str">
        <f>IFERROR(__xludf.DUMMYFUNCTION("""COMPUTED_VALUE"""),"1984年、10歳の少女・葛城佐智絵が殺された。それから15年後、未解決のまま事件が時効を迎えた日、25歳の医師・郷田亮二(江口洋介)は務めていた病院を辞め、フランスへ旅立つ。2008年、リオンにあるインターポール本部の刑事に転身していた亮二は、パリで一人旅の女性・サチ(広末涼子)に身分を隠して接近。「いつか僕たちは再会する」と予言めいた言葉を告げる。その後、捜査研修のため日本に帰国した亮二は東京の大田西警察署に配属され、同署の刑事・黒木舜(稲垣吾郎)の父が警察庁幹部の黒木信造(北大路欣也)だと知る。まも"&amp;"なく舜に、25年前に信造が担当し、すでに時効が成立している“葛城佐智絵殺害事件""の再捜査を促す匿名の電話が。この事件を「罪は消えてしまった」と切り捨てる亮二の反応に疑念を抱いた舜は、亮二の身辺調査を開始。亮二の妹・唯衣(相武紗季)から意外なことを聞かされる。  そのころ亮二は、事件の新事実をつかんだという富岡康志(谷原章介)に接触。富岡は事実を本に書いて公表しようとしていたが、その原稿が盗まれる事件が起こり・・・。")</f>
        <v>1984年、10歳の少女・葛城佐智絵が殺された。それから15年後、未解決のまま事件が時効を迎えた日、25歳の医師・郷田亮二(江口洋介)は務めていた病院を辞め、フランスへ旅立つ。2008年、リオンにあるインターポール本部の刑事に転身していた亮二は、パリで一人旅の女性・サチ(広末涼子)に身分を隠して接近。「いつか僕たちは再会する」と予言めいた言葉を告げる。その後、捜査研修のため日本に帰国した亮二は東京の大田西警察署に配属され、同署の刑事・黒木舜(稲垣吾郎)の父が警察庁幹部の黒木信造(北大路欣也)だと知る。まもなく舜に、25年前に信造が担当し、すでに時効が成立している“葛城佐智絵殺害事件"の再捜査を促す匿名の電話が。この事件を「罪は消えてしまった」と切り捨てる亮二の反応に疑念を抱いた舜は、亮二の身辺調査を開始。亮二の妹・唯衣(相武紗季)から意外なことを聞かされる。  そのころ亮二は、事件の新事実をつかんだという富岡康志(谷原章介)に接触。富岡は事実を本に書いて公表しようとしていたが、その原稿が盗まれる事件が起こり・・・。</v>
      </c>
      <c r="O1831" s="2"/>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row>
    <row r="1832" ht="204.75" customHeight="1">
      <c r="A1832" s="1">
        <v>5408.0</v>
      </c>
      <c r="B1832" s="2" t="s">
        <v>5823</v>
      </c>
      <c r="C1832" s="2">
        <f>IFERROR(__xludf.DUMMYFUNCTION("split(B1832,""_"")"),901.0)</f>
        <v>901</v>
      </c>
      <c r="D1832" s="2" t="str">
        <f>IFERROR(__xludf.DUMMYFUNCTION("""COMPUTED_VALUE"""),"CX")</f>
        <v>CX</v>
      </c>
      <c r="E1832" s="2" t="str">
        <f>IFERROR(__xludf.DUMMYFUNCTION("""COMPUTED_VALUE"""),"火22")</f>
        <v>火22</v>
      </c>
      <c r="F1832" s="2" t="s">
        <v>5824</v>
      </c>
      <c r="G1832" s="2" t="s">
        <v>5828</v>
      </c>
      <c r="H1832" s="1">
        <v>2.0</v>
      </c>
      <c r="I1832" s="1" t="s">
        <v>7</v>
      </c>
      <c r="J1832" s="1" t="s">
        <v>82</v>
      </c>
      <c r="K1832" s="2" t="s">
        <v>5829</v>
      </c>
      <c r="L1832" s="2" t="s">
        <v>5830</v>
      </c>
      <c r="M1832" s="9" t="str">
        <f>IFERROR(__xludf.DUMMYFUNCTION("split(split(K1832,""江口洋介　"",false),""html"",false)"),"http://ktv.jp/triangle/index.")</f>
        <v>http://ktv.jp/triangle/index.</v>
      </c>
      <c r="N1832" s="2" t="str">
        <f>IFERROR(__xludf.DUMMYFUNCTION("""COMPUTED_VALUE"""),"　自分の正体を暴き立てる亮二(江口洋介)にサチ(広末涼子)は動揺。そんなサチに舜(稲垣吾郎)は、事件を追い続ける亮二こそが犯人なのではないかと疑惑を話す。このことを亮二にぶつけたサチは「葛城佐智恵さんを殺してくれて、ありがとう」と謎の言葉を口にする。  一方、堀米(マギー)が襲われた事件は意外な結末を迎える。  その頃、サチの前に志摩野鷹也(堺雅人)という男が現れる。志摩野はサチの絵の才能に惚れ込み、サポートしたいと近づくが、実は以前からサチの身辺を調べていた。  そんな折、清子(風吹ジュン)が25年前に"&amp;"佐智恵が書いた手紙を探し始めてパニックを起こす。清子が正体不明の男からの電話を受けていたことをサチから聞いた志摩野は、亮二のしわざではないかと疑う。  その志摩野が「サチの身辺を探るな」と秘書を通して亮二に警告を伝えてきた。不審を抱いた亮二は舜とともに志摩野を訪ねるが・・・。")</f>
        <v>　自分の正体を暴き立てる亮二(江口洋介)にサチ(広末涼子)は動揺。そんなサチに舜(稲垣吾郎)は、事件を追い続ける亮二こそが犯人なのではないかと疑惑を話す。このことを亮二にぶつけたサチは「葛城佐智恵さんを殺してくれて、ありがとう」と謎の言葉を口にする。  一方、堀米(マギー)が襲われた事件は意外な結末を迎える。  その頃、サチの前に志摩野鷹也(堺雅人)という男が現れる。志摩野はサチの絵の才能に惚れ込み、サポートしたいと近づくが、実は以前からサチの身辺を調べていた。  そんな折、清子(風吹ジュン)が25年前に佐智恵が書いた手紙を探し始めてパニックを起こす。清子が正体不明の男からの電話を受けていたことをサチから聞いた志摩野は、亮二のしわざではないかと疑う。  その志摩野が「サチの身辺を探るな」と秘書を通して亮二に警告を伝えてきた。不審を抱いた亮二は舜とともに志摩野を訪ねるが・・・。</v>
      </c>
      <c r="O1832" s="2"/>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row>
    <row r="1833" ht="204.75" customHeight="1">
      <c r="A1833" s="1">
        <v>5409.0</v>
      </c>
      <c r="B1833" s="2" t="s">
        <v>5823</v>
      </c>
      <c r="C1833" s="2">
        <f>IFERROR(__xludf.DUMMYFUNCTION("split(B1833,""_"")"),901.0)</f>
        <v>901</v>
      </c>
      <c r="D1833" s="2" t="str">
        <f>IFERROR(__xludf.DUMMYFUNCTION("""COMPUTED_VALUE"""),"CX")</f>
        <v>CX</v>
      </c>
      <c r="E1833" s="2" t="str">
        <f>IFERROR(__xludf.DUMMYFUNCTION("""COMPUTED_VALUE"""),"火22")</f>
        <v>火22</v>
      </c>
      <c r="F1833" s="2" t="s">
        <v>5824</v>
      </c>
      <c r="G1833" s="2" t="s">
        <v>5831</v>
      </c>
      <c r="H1833" s="1">
        <v>3.0</v>
      </c>
      <c r="I1833" s="1" t="s">
        <v>10</v>
      </c>
      <c r="J1833" s="1" t="s">
        <v>86</v>
      </c>
      <c r="K1833" s="2" t="s">
        <v>5832</v>
      </c>
      <c r="L1833" s="2" t="s">
        <v>5833</v>
      </c>
      <c r="M1833" s="9" t="str">
        <f>IFERROR(__xludf.DUMMYFUNCTION("split(split(K1833,""江口洋介　"",false),""html"",false)"),"http://ktv.jp/triangle/index.")</f>
        <v>http://ktv.jp/triangle/index.</v>
      </c>
      <c r="N1833" s="2" t="str">
        <f>IFERROR(__xludf.DUMMYFUNCTION("""COMPUTED_VALUE"""),"【あらすじ】  　佐智絵の手紙に書かれていた、ある秘密を知って衝撃を受けたサチ(広末涼子)は25年前の事件を調べ始める。志摩野(堺雅人)によって燃やされ、失われた手紙の内容を探ろうとする亮二(江口洋介)。ところがかつて事件を担当していた舜(稲垣吾郎)の父・信造(北大路欣也)が捜査を阻もうと暗躍して・・・。【内容】  襲われたサチを庇ってケガを負った亮二。サチが襲われたことを知った志摩野は、サチが持っていた手紙を燃やしてしまう。傷も癒えないまま病院を抜け出した亮二はサチを尾行するうち、彼女が25年前の事件を"&amp;"調べ始めたことを知る。サチの読んだ手紙に事件の容疑者につながることが書かれていたのではないかと考えた亮二は舜に電話をかけるが、その場に居合わせた信造に話を聞かれてしまう。25年前に事件を担当した信造に手紙についてたずねても亮二の推理を一蹴する信造。亮二は犯人を突き止めようとするサチに協力すると申し出るがサチは「“顔にアザのある男""なんて、当時のことを知ってる人に聞けばすぐわかる」と手紙にあった犯人に繋がる秘密を思わず口にしてしまう・・・。")</f>
        <v>【あらすじ】  　佐智絵の手紙に書かれていた、ある秘密を知って衝撃を受けたサチ(広末涼子)は25年前の事件を調べ始める。志摩野(堺雅人)によって燃やされ、失われた手紙の内容を探ろうとする亮二(江口洋介)。ところがかつて事件を担当していた舜(稲垣吾郎)の父・信造(北大路欣也)が捜査を阻もうと暗躍して・・・。【内容】  襲われたサチを庇ってケガを負った亮二。サチが襲われたことを知った志摩野は、サチが持っていた手紙を燃やしてしまう。傷も癒えないまま病院を抜け出した亮二はサチを尾行するうち、彼女が25年前の事件を調べ始めたことを知る。サチの読んだ手紙に事件の容疑者につながることが書かれていたのではないかと考えた亮二は舜に電話をかけるが、その場に居合わせた信造に話を聞かれてしまう。25年前に事件を担当した信造に手紙についてたずねても亮二の推理を一蹴する信造。亮二は犯人を突き止めようとするサチに協力すると申し出るがサチは「“顔にアザのある男"なんて、当時のことを知ってる人に聞けばすぐわかる」と手紙にあった犯人に繋がる秘密を思わず口にしてしまう・・・。</v>
      </c>
      <c r="O1833" s="2"/>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row>
    <row r="1834" ht="204.75" customHeight="1">
      <c r="A1834" s="1">
        <v>5410.0</v>
      </c>
      <c r="B1834" s="2" t="s">
        <v>5823</v>
      </c>
      <c r="C1834" s="2">
        <f>IFERROR(__xludf.DUMMYFUNCTION("split(B1834,""_"")"),901.0)</f>
        <v>901</v>
      </c>
      <c r="D1834" s="2" t="str">
        <f>IFERROR(__xludf.DUMMYFUNCTION("""COMPUTED_VALUE"""),"CX")</f>
        <v>CX</v>
      </c>
      <c r="E1834" s="2" t="str">
        <f>IFERROR(__xludf.DUMMYFUNCTION("""COMPUTED_VALUE"""),"火22")</f>
        <v>火22</v>
      </c>
      <c r="F1834" s="2" t="s">
        <v>5824</v>
      </c>
      <c r="G1834" s="2" t="s">
        <v>5834</v>
      </c>
      <c r="H1834" s="1">
        <v>4.0</v>
      </c>
      <c r="I1834" s="1" t="s">
        <v>14</v>
      </c>
      <c r="J1834" s="1" t="s">
        <v>86</v>
      </c>
      <c r="K1834" s="2" t="s">
        <v>5835</v>
      </c>
      <c r="L1834" s="2" t="s">
        <v>5836</v>
      </c>
      <c r="M1834" s="9" t="str">
        <f>IFERROR(__xludf.DUMMYFUNCTION("split(split(K1834,""江口洋介　"",false),""html"",false)"),"http://ktv.jp/triangle/index.")</f>
        <v>http://ktv.jp/triangle/index.</v>
      </c>
      <c r="N1834" s="2" t="str">
        <f>IFERROR(__xludf.DUMMYFUNCTION("""COMPUTED_VALUE"""),"【あらすじ】  　サチ(広末涼子)から手紙を奪おうとした“顔にアザのある男""は、佐智絵殺しの重要参考人として浮かんでいた人物だった。その人物を25年前事件の捜査にかかわっていた父・信造(北大路欣也)が逃がしたことを舜(稲垣吾郎)は知る。  一方、亮二(江口洋介)は手紙を使って“顔にアザのある男""をおびきだそうと、ある罠を仕掛ける・・・。【内容】  　サチを襲った小巻(反田孝幸)が、南町の飲み屋で“顔にアザのある男""に手紙を奪うよう頼まれたと供述。亮二は25年前の捜査メモにもあった“顔にアザのある男"&amp;"""の名が“新藤利道""(宅麻伸)であることを話し、手紙を使って新藤をおびき出そうとサチに提案する。  一方、舜は25年前に捜査を担当した元刑事の宮部(浅野和之)からショッキングな話を聞かされる。当時、宮部ら捜査員のほとんどが新藤を犯人だと確信していたにもかかわらず、信造が「新藤を逃がした」というのだ。まもなく衝撃的な記事が週刊誌に掲載された。25年前の事件の真相につながる手紙が存在するという内容で、亮二が富岡(谷原章介)に書かせたものだった。亮二はこの記事で、真相を掘り起こされると窮地に追い込まれる、あ"&amp;"る人物に揺さぶりをかけようとしていた・・・。")</f>
        <v>【あらすじ】  　サチ(広末涼子)から手紙を奪おうとした“顔にアザのある男"は、佐智絵殺しの重要参考人として浮かんでいた人物だった。その人物を25年前事件の捜査にかかわっていた父・信造(北大路欣也)が逃がしたことを舜(稲垣吾郎)は知る。  一方、亮二(江口洋介)は手紙を使って“顔にアザのある男"をおびきだそうと、ある罠を仕掛ける・・・。【内容】  　サチを襲った小巻(反田孝幸)が、南町の飲み屋で“顔にアザのある男"に手紙を奪うよう頼まれたと供述。亮二は25年前の捜査メモにもあった“顔にアザのある男"の名が“新藤利道"(宅麻伸)であることを話し、手紙を使って新藤をおびき出そうとサチに提案する。  一方、舜は25年前に捜査を担当した元刑事の宮部(浅野和之)からショッキングな話を聞かされる。当時、宮部ら捜査員のほとんどが新藤を犯人だと確信していたにもかかわらず、信造が「新藤を逃がした」というのだ。まもなく衝撃的な記事が週刊誌に掲載された。25年前の事件の真相につながる手紙が存在するという内容で、亮二が富岡(谷原章介)に書かせたものだった。亮二はこの記事で、真相を掘り起こされると窮地に追い込まれる、ある人物に揺さぶりをかけようとしていた・・・。</v>
      </c>
      <c r="O1834" s="2"/>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row>
    <row r="1835" ht="204.75" customHeight="1">
      <c r="A1835" s="1">
        <v>5411.0</v>
      </c>
      <c r="B1835" s="2" t="s">
        <v>5823</v>
      </c>
      <c r="C1835" s="2">
        <f>IFERROR(__xludf.DUMMYFUNCTION("split(B1835,""_"")"),901.0)</f>
        <v>901</v>
      </c>
      <c r="D1835" s="2" t="str">
        <f>IFERROR(__xludf.DUMMYFUNCTION("""COMPUTED_VALUE"""),"CX")</f>
        <v>CX</v>
      </c>
      <c r="E1835" s="2" t="str">
        <f>IFERROR(__xludf.DUMMYFUNCTION("""COMPUTED_VALUE"""),"火22")</f>
        <v>火22</v>
      </c>
      <c r="F1835" s="2" t="s">
        <v>5824</v>
      </c>
      <c r="G1835" s="2" t="s">
        <v>5837</v>
      </c>
      <c r="H1835" s="1">
        <v>5.0</v>
      </c>
      <c r="I1835" s="1" t="s">
        <v>17</v>
      </c>
      <c r="J1835" s="1" t="s">
        <v>86</v>
      </c>
      <c r="K1835" s="2" t="s">
        <v>5838</v>
      </c>
      <c r="L1835" s="2" t="s">
        <v>5839</v>
      </c>
      <c r="M1835" s="9" t="str">
        <f>IFERROR(__xludf.DUMMYFUNCTION("split(split(K1835,""江口洋介　"",false),""html"",false)"),"http://ktv.jp/triangle/index.")</f>
        <v>http://ktv.jp/triangle/index.</v>
      </c>
      <c r="N1835" s="2" t="str">
        <f>IFERROR(__xludf.DUMMYFUNCTION("""COMPUTED_VALUE"""),"【あらすじ】  　事件の記憶を取り戻した清子(風吹ジュン)の口を封じようとする志摩野(堺雅人)を追及した亮二(江口洋介)は、25年前に佐智絵を苦しめていた清子と新藤(宅麻伸)の“秘めた関係""を暴き出す。そして事件の真相を追う亮二と舜(稲垣吾郎)に圧力をかけ、捜査を妨害しようとする信造(北大路欣也)。尊敬していた父親を疑い始めた舜はある覚悟を決め、信造の過去を探り始めるが・・・。【内容】  　「佐智絵を殺したのは私」と事件のことを語り出した清子の口を封じるかのように、すぐさま心療内科に入院させた志摩野。疑"&amp;"惑を深めた亮二は志摩野を取り調べようとする。  　志摩野を追及する中、意外な事実が発覚する。追及する亮二に「そんなこと暴いて何になる?」とムキになった志摩野は、この話を均(大杉漣)から聞いたことを思わず漏らしてしまう。退院した清子は、すべての記憶を取り戻していた。だが「あの日のことは誰にも言わないと決めた」と事件について口を閉ざす。  そんな折、新藤の事件から大田西署が担当を外された。信造の差し金だと確信した舜はある覚悟を決め、署内の職員データから信造の経歴を調べて・・・。")</f>
        <v>【あらすじ】  　事件の記憶を取り戻した清子(風吹ジュン)の口を封じようとする志摩野(堺雅人)を追及した亮二(江口洋介)は、25年前に佐智絵を苦しめていた清子と新藤(宅麻伸)の“秘めた関係"を暴き出す。そして事件の真相を追う亮二と舜(稲垣吾郎)に圧力をかけ、捜査を妨害しようとする信造(北大路欣也)。尊敬していた父親を疑い始めた舜はある覚悟を決め、信造の過去を探り始めるが・・・。【内容】  　「佐智絵を殺したのは私」と事件のことを語り出した清子の口を封じるかのように、すぐさま心療内科に入院させた志摩野。疑惑を深めた亮二は志摩野を取り調べようとする。  　志摩野を追及する中、意外な事実が発覚する。追及する亮二に「そんなこと暴いて何になる?」とムキになった志摩野は、この話を均(大杉漣)から聞いたことを思わず漏らしてしまう。退院した清子は、すべての記憶を取り戻していた。だが「あの日のことは誰にも言わないと決めた」と事件について口を閉ざす。  そんな折、新藤の事件から大田西署が担当を外された。信造の差し金だと確信した舜はある覚悟を決め、署内の職員データから信造の経歴を調べて・・・。</v>
      </c>
      <c r="O1835" s="2"/>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row>
    <row r="1836" ht="204.75" customHeight="1">
      <c r="A1836" s="1">
        <v>5412.0</v>
      </c>
      <c r="B1836" s="2" t="s">
        <v>5823</v>
      </c>
      <c r="C1836" s="2">
        <f>IFERROR(__xludf.DUMMYFUNCTION("split(B1836,""_"")"),901.0)</f>
        <v>901</v>
      </c>
      <c r="D1836" s="2" t="str">
        <f>IFERROR(__xludf.DUMMYFUNCTION("""COMPUTED_VALUE"""),"CX")</f>
        <v>CX</v>
      </c>
      <c r="E1836" s="2" t="str">
        <f>IFERROR(__xludf.DUMMYFUNCTION("""COMPUTED_VALUE"""),"火22")</f>
        <v>火22</v>
      </c>
      <c r="F1836" s="2" t="s">
        <v>5824</v>
      </c>
      <c r="G1836" s="2" t="s">
        <v>5840</v>
      </c>
      <c r="H1836" s="1">
        <v>6.0</v>
      </c>
      <c r="I1836" s="1" t="s">
        <v>21</v>
      </c>
      <c r="J1836" s="1" t="s">
        <v>86</v>
      </c>
      <c r="K1836" s="2" t="s">
        <v>5841</v>
      </c>
      <c r="L1836" s="2" t="s">
        <v>5842</v>
      </c>
      <c r="M1836" s="9" t="str">
        <f>IFERROR(__xludf.DUMMYFUNCTION("split(split(K1836,""江口洋介　"",false),""html"",false)"),"http://ktv.jp/triangle/index.")</f>
        <v>http://ktv.jp/triangle/index.</v>
      </c>
      <c r="N1836" s="2" t="str">
        <f>IFERROR(__xludf.DUMMYFUNCTION("""COMPUTED_VALUE"""),"【あらすじ】  　佐智絵殺しの犯人と疑われていた新藤(宅麻伸)が殺された。亮二(江口洋介)は容疑を向けられながらも事件の夜に目撃したことを明かそうとしない。そして明らかになる新藤を殺した真犯人は衝撃の人物!さらに母・清子(風吹ジュン)がサチ(広末涼子)に打ち明ける25年前の真実とは・・・。【内容】  　新藤が唯衣(相武紗季)の車のトランクから他殺体で見つかり、アリバイのない亮二に疑いが向けられた。  　舜(稲垣吾郎)は事件当夜の行動を問いただすが、「ちょっと飲みに行っていた」と明言を避ける亮二だった。とこ"&amp;"ろが、亮二の言葉のはしばしからヒントを得た丸山(小日向文世)と舜は2人で調査をし、亮二の悲しい真意を知る。  　翌日サチが大田西署に現れた。サチの「過去を切り離して人は生きていけない。娘である自分は清子の過去を受け止めてあげたい」という言葉に心を動かされ、清子が話したという25年前の真実を告げに来たのだ。佐智絵を殺害した犯人は新藤ではないと言うサチ。だが亮二は警察上層部の圧力に守られていた新藤には何かあると睨む。舜は25年前の事件を機に信造(北大路欣也)が異例の出世を遂げたと知り、「親父の過去は俺が暴く」"&amp;"と決意を表すが・・・。")</f>
        <v>【あらすじ】  　佐智絵殺しの犯人と疑われていた新藤(宅麻伸)が殺された。亮二(江口洋介)は容疑を向けられながらも事件の夜に目撃したことを明かそうとしない。そして明らかになる新藤を殺した真犯人は衝撃の人物!さらに母・清子(風吹ジュン)がサチ(広末涼子)に打ち明ける25年前の真実とは・・・。【内容】  　新藤が唯衣(相武紗季)の車のトランクから他殺体で見つかり、アリバイのない亮二に疑いが向けられた。  　舜(稲垣吾郎)は事件当夜の行動を問いただすが、「ちょっと飲みに行っていた」と明言を避ける亮二だった。ところが、亮二の言葉のはしばしからヒントを得た丸山(小日向文世)と舜は2人で調査をし、亮二の悲しい真意を知る。  　翌日サチが大田西署に現れた。サチの「過去を切り離して人は生きていけない。娘である自分は清子の過去を受け止めてあげたい」という言葉に心を動かされ、清子が話したという25年前の真実を告げに来たのだ。佐智絵を殺害した犯人は新藤ではないと言うサチ。だが亮二は警察上層部の圧力に守られていた新藤には何かあると睨む。舜は25年前の事件を機に信造(北大路欣也)が異例の出世を遂げたと知り、「親父の過去は俺が暴く」と決意を表すが・・・。</v>
      </c>
      <c r="O1836" s="2"/>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row>
    <row r="1837" ht="204.75" customHeight="1">
      <c r="A1837" s="1">
        <v>5413.0</v>
      </c>
      <c r="B1837" s="2" t="s">
        <v>5823</v>
      </c>
      <c r="C1837" s="2">
        <f>IFERROR(__xludf.DUMMYFUNCTION("split(B1837,""_"")"),901.0)</f>
        <v>901</v>
      </c>
      <c r="D1837" s="2" t="str">
        <f>IFERROR(__xludf.DUMMYFUNCTION("""COMPUTED_VALUE"""),"CX")</f>
        <v>CX</v>
      </c>
      <c r="E1837" s="2" t="str">
        <f>IFERROR(__xludf.DUMMYFUNCTION("""COMPUTED_VALUE"""),"火22")</f>
        <v>火22</v>
      </c>
      <c r="F1837" s="2" t="s">
        <v>5824</v>
      </c>
      <c r="G1837" s="2" t="s">
        <v>5843</v>
      </c>
      <c r="H1837" s="1">
        <v>7.0</v>
      </c>
      <c r="I1837" s="1" t="s">
        <v>25</v>
      </c>
      <c r="J1837" s="1" t="s">
        <v>86</v>
      </c>
      <c r="K1837" s="2" t="s">
        <v>5844</v>
      </c>
      <c r="L1837" s="2" t="s">
        <v>5845</v>
      </c>
      <c r="M1837" s="9" t="str">
        <f>IFERROR(__xludf.DUMMYFUNCTION("split(split(K1837,""江口洋介　"",false),""html"",false)"),"http://ktv.jp/triangle/index.")</f>
        <v>http://ktv.jp/triangle/index.</v>
      </c>
      <c r="N1837" s="2" t="str">
        <f>IFERROR(__xludf.DUMMYFUNCTION("""COMPUTED_VALUE"""),"【あらすじ】  　上海に飛んだ亮二(江口洋介)とサチ(広末涼子)。そこで明かされた志摩野(堺雅人)の過去は、あまりにも悲しいものだった。突然現れた兄に戸惑い、素直になれないサチ・・・。そんな中、志摩野が死体となって発見される・・・!【内容】  　亮二は、志摩野と秋本(佐々木蔵之介)に話を聞くために上海へ旅立つ。サチも兄とわかった志摩野に会おうと亮二を追い上海へ。上海で志摩野は初めて自分の過去を明かしはじめる。父の仕事で移り住んだ上海で精神不安定な状態に陥った母は父の死後、志摩野を置き去りにして日本に帰国。"&amp;"生後間もないサチだけを連れていったが、後に母がサチまでも捨てていたことを知ったという。しかしサチは突然現れた兄の存在に戸惑うばかりで、志摩野を素直に受け入れることができない。そんな中、東京の舜(稲垣吾郎)からは志摩野の会社が破産手続きに入り、志摩野本人も詐欺罪で訴えられているという情報が入る。翌朝、待ち合わせの時間になっても現れない志摩野。部屋に入った亮二、サチ、秋本の3人は、倒れている志摩野を発見する。志摩野は、死んでいた・・・!")</f>
        <v>【あらすじ】  　上海に飛んだ亮二(江口洋介)とサチ(広末涼子)。そこで明かされた志摩野(堺雅人)の過去は、あまりにも悲しいものだった。突然現れた兄に戸惑い、素直になれないサチ・・・。そんな中、志摩野が死体となって発見される・・・!【内容】  　亮二は、志摩野と秋本(佐々木蔵之介)に話を聞くために上海へ旅立つ。サチも兄とわかった志摩野に会おうと亮二を追い上海へ。上海で志摩野は初めて自分の過去を明かしはじめる。父の仕事で移り住んだ上海で精神不安定な状態に陥った母は父の死後、志摩野を置き去りにして日本に帰国。生後間もないサチだけを連れていったが、後に母がサチまでも捨てていたことを知ったという。しかしサチは突然現れた兄の存在に戸惑うばかりで、志摩野を素直に受け入れることができない。そんな中、東京の舜(稲垣吾郎)からは志摩野の会社が破産手続きに入り、志摩野本人も詐欺罪で訴えられているという情報が入る。翌朝、待ち合わせの時間になっても現れない志摩野。部屋に入った亮二、サチ、秋本の3人は、倒れている志摩野を発見する。志摩野は、死んでいた・・・!</v>
      </c>
      <c r="O1837" s="2"/>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row>
    <row r="1838" ht="204.75" customHeight="1">
      <c r="A1838" s="1">
        <v>5414.0</v>
      </c>
      <c r="B1838" s="2" t="s">
        <v>5823</v>
      </c>
      <c r="C1838" s="2">
        <f>IFERROR(__xludf.DUMMYFUNCTION("split(B1838,""_"")"),901.0)</f>
        <v>901</v>
      </c>
      <c r="D1838" s="2" t="str">
        <f>IFERROR(__xludf.DUMMYFUNCTION("""COMPUTED_VALUE"""),"CX")</f>
        <v>CX</v>
      </c>
      <c r="E1838" s="2" t="str">
        <f>IFERROR(__xludf.DUMMYFUNCTION("""COMPUTED_VALUE"""),"火22")</f>
        <v>火22</v>
      </c>
      <c r="F1838" s="2" t="s">
        <v>5824</v>
      </c>
      <c r="G1838" s="2" t="s">
        <v>5846</v>
      </c>
      <c r="H1838" s="1">
        <v>8.0</v>
      </c>
      <c r="I1838" s="1" t="s">
        <v>29</v>
      </c>
      <c r="J1838" s="1" t="s">
        <v>86</v>
      </c>
      <c r="K1838" s="2" t="s">
        <v>5847</v>
      </c>
      <c r="L1838" s="2" t="s">
        <v>5848</v>
      </c>
      <c r="M1838" s="9" t="str">
        <f>IFERROR(__xludf.DUMMYFUNCTION("split(split(K1838,""江口洋介　"",false),""html"",false)"),"http://ktv.jp/triangle/index.")</f>
        <v>http://ktv.jp/triangle/index.</v>
      </c>
      <c r="N1838" s="2" t="str">
        <f>IFERROR(__xludf.DUMMYFUNCTION("""COMPUTED_VALUE"""),"【あらすじ】  佐智絵の遺体を発見したあの日から亮二(江口洋介)を苦しめ続けた“恐怖""の正体が明らかに!自分をつけ狙う犯人を追う亮二は、仲間の丸山(小日向文世)までも疑い始め、ただひとり信頼していた妹・唯衣(相武紗季)にまで裏切られ・・・。「もう誰も信じられない!」亮二は追い詰められていく。【内容】  亮二は25年前、佐智絵の遺体を目撃した直後に起こった出来事をサチ(広末涼子)に告白する。佐智絵の遺体を置き去りにして逃げたのは、その後も亮二を脅かし続ける、ある恐ろしい体験をしたからだというのだ。佐智絵殺"&amp;"しの犯人と上海で自分を狙った犯人が同じ人物だと確信した亮二は捜査に乗り出す。まず疑いを向けたのは信造(北大路欣也)だった。まもなく上海の事件当時、信造に不審な行動があったことが判明。舜(稲垣吾郎)は信造のアリバイを調べると言うが、亮二は「俺は誰も信じない」と突っぱねる。信造が上海に行った証拠を見つけようと旅客機の搭乗者名簿を調べる亮二ら。ところがリストから見つかったのは意外にも丸山の名前だった。疑心暗鬼に陥る亮二は街で唯衣を見かける。なんと唯衣は信造と会っていた。信じていた妹までもが・・・!")</f>
        <v>【あらすじ】  佐智絵の遺体を発見したあの日から亮二(江口洋介)を苦しめ続けた“恐怖"の正体が明らかに!自分をつけ狙う犯人を追う亮二は、仲間の丸山(小日向文世)までも疑い始め、ただひとり信頼していた妹・唯衣(相武紗季)にまで裏切られ・・・。「もう誰も信じられない!」亮二は追い詰められていく。【内容】  亮二は25年前、佐智絵の遺体を目撃した直後に起こった出来事をサチ(広末涼子)に告白する。佐智絵の遺体を置き去りにして逃げたのは、その後も亮二を脅かし続ける、ある恐ろしい体験をしたからだというのだ。佐智絵殺しの犯人と上海で自分を狙った犯人が同じ人物だと確信した亮二は捜査に乗り出す。まず疑いを向けたのは信造(北大路欣也)だった。まもなく上海の事件当時、信造に不審な行動があったことが判明。舜(稲垣吾郎)は信造のアリバイを調べると言うが、亮二は「俺は誰も信じない」と突っぱねる。信造が上海に行った証拠を見つけようと旅客機の搭乗者名簿を調べる亮二ら。ところがリストから見つかったのは意外にも丸山の名前だった。疑心暗鬼に陥る亮二は街で唯衣を見かける。なんと唯衣は信造と会っていた。信じていた妹までもが・・・!</v>
      </c>
      <c r="O1838" s="2"/>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row>
    <row r="1839" ht="204.75" customHeight="1">
      <c r="A1839" s="1">
        <v>5415.0</v>
      </c>
      <c r="B1839" s="2" t="s">
        <v>5823</v>
      </c>
      <c r="C1839" s="2">
        <f>IFERROR(__xludf.DUMMYFUNCTION("split(B1839,""_"")"),901.0)</f>
        <v>901</v>
      </c>
      <c r="D1839" s="2" t="str">
        <f>IFERROR(__xludf.DUMMYFUNCTION("""COMPUTED_VALUE"""),"CX")</f>
        <v>CX</v>
      </c>
      <c r="E1839" s="2" t="str">
        <f>IFERROR(__xludf.DUMMYFUNCTION("""COMPUTED_VALUE"""),"火22")</f>
        <v>火22</v>
      </c>
      <c r="F1839" s="2" t="s">
        <v>5824</v>
      </c>
      <c r="G1839" s="2" t="s">
        <v>5849</v>
      </c>
      <c r="H1839" s="1">
        <v>9.0</v>
      </c>
      <c r="I1839" s="1" t="s">
        <v>33</v>
      </c>
      <c r="J1839" s="1" t="s">
        <v>86</v>
      </c>
      <c r="K1839" s="2" t="s">
        <v>5850</v>
      </c>
      <c r="L1839" s="2" t="s">
        <v>5851</v>
      </c>
      <c r="M1839" s="9" t="str">
        <f>IFERROR(__xludf.DUMMYFUNCTION("split(split(K1839,""江口洋介　"",false),""html"",false)"),"http://ktv.jp/triangle/index.")</f>
        <v>http://ktv.jp/triangle/index.</v>
      </c>
      <c r="N1839" s="2" t="str">
        <f>IFERROR(__xludf.DUMMYFUNCTION("""COMPUTED_VALUE"""),"【あらすじ】  　25年前に佐智絵を殺し、そして今また志摩野(堺雅人)を殺害したのは誰か?亮二(江口洋介)は、均(大杉漣)と信造(北大路欣也)への疑惑を強める。一方、舜(稲垣吾郎)は15年前に八ヶ岳で起こった火災事故と亮二の関連を知る・・・。【内容】  　25年前の事件現場に現れた信造に亮二は佐智絵と志摩野の殺害に均と信造が関与しているのではないかと迫るが、証拠がないと突き放されてしまう。捜査を進める中、亮二は清子(風吹ジュン)から思わぬことを聞かされる。25年前の事件当時、均は佐智絵の出生に疑惑を持って"&amp;"いたというのだ。佐智絵の出生を疑った均が、新藤(宅麻伸)への憎しみを佐智絵に向け、殺害してしまったのではないか?均への疑念を話す亮二にサチ(広末涼子)は激しく動揺する。そんな折、丸山(小日向文世)が突き止めた均の愛人宅へ向かった亮二は、部屋の中から薬品らしきものを見つける。鑑識の結果、志摩野殺害に使われた毒物とほぼ同じだと判明。一方信造は舜に八ヶ岳で起こった15年前の火災事故の資料を見せる。その事故の被害者は・・・。幼いころに訪れた水族館に誘ったサチは亮二に「あなたと過ごす最後の時間」と告げる・・・。")</f>
        <v>【あらすじ】  　25年前に佐智絵を殺し、そして今また志摩野(堺雅人)を殺害したのは誰か?亮二(江口洋介)は、均(大杉漣)と信造(北大路欣也)への疑惑を強める。一方、舜(稲垣吾郎)は15年前に八ヶ岳で起こった火災事故と亮二の関連を知る・・・。【内容】  　25年前の事件現場に現れた信造に亮二は佐智絵と志摩野の殺害に均と信造が関与しているのではないかと迫るが、証拠がないと突き放されてしまう。捜査を進める中、亮二は清子(風吹ジュン)から思わぬことを聞かされる。25年前の事件当時、均は佐智絵の出生に疑惑を持っていたというのだ。佐智絵の出生を疑った均が、新藤(宅麻伸)への憎しみを佐智絵に向け、殺害してしまったのではないか?均への疑念を話す亮二にサチ(広末涼子)は激しく動揺する。そんな折、丸山(小日向文世)が突き止めた均の愛人宅へ向かった亮二は、部屋の中から薬品らしきものを見つける。鑑識の結果、志摩野殺害に使われた毒物とほぼ同じだと判明。一方信造は舜に八ヶ岳で起こった15年前の火災事故の資料を見せる。その事故の被害者は・・・。幼いころに訪れた水族館に誘ったサチは亮二に「あなたと過ごす最後の時間」と告げる・・・。</v>
      </c>
      <c r="O1839" s="2"/>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row>
    <row r="1840" ht="204.75" customHeight="1">
      <c r="A1840" s="1">
        <v>5416.0</v>
      </c>
      <c r="B1840" s="2" t="s">
        <v>5823</v>
      </c>
      <c r="C1840" s="2">
        <f>IFERROR(__xludf.DUMMYFUNCTION("split(B1840,""_"")"),901.0)</f>
        <v>901</v>
      </c>
      <c r="D1840" s="2" t="str">
        <f>IFERROR(__xludf.DUMMYFUNCTION("""COMPUTED_VALUE"""),"CX")</f>
        <v>CX</v>
      </c>
      <c r="E1840" s="2" t="str">
        <f>IFERROR(__xludf.DUMMYFUNCTION("""COMPUTED_VALUE"""),"火22")</f>
        <v>火22</v>
      </c>
      <c r="F1840" s="2" t="s">
        <v>5824</v>
      </c>
      <c r="G1840" s="2" t="s">
        <v>5852</v>
      </c>
      <c r="H1840" s="1">
        <v>10.0</v>
      </c>
      <c r="I1840" s="1" t="s">
        <v>37</v>
      </c>
      <c r="J1840" s="1" t="s">
        <v>86</v>
      </c>
      <c r="K1840" s="2" t="s">
        <v>5853</v>
      </c>
      <c r="L1840" s="2" t="s">
        <v>5854</v>
      </c>
      <c r="M1840" s="9" t="str">
        <f>IFERROR(__xludf.DUMMYFUNCTION("split(split(K1840,""江口洋介　"",false),""html"",false)"),"http://ktv.jp/triangle/index.")</f>
        <v>http://ktv.jp/triangle/index.</v>
      </c>
      <c r="N1840" s="2" t="str">
        <f>IFERROR(__xludf.DUMMYFUNCTION("""COMPUTED_VALUE"""),"　亮二(江口洋介)の目の前で銃弾に倒れたサチ(広末涼子)。自分を責める亮二は、憎むべき犯人の正体を突き止めようと捜査を再開し、均(大杉漣)と対峙する!一方、15年前の八ヶ岳の火災を追う舜(稲垣吾郎)は、佐智絵殺しの真相追及を自分に託した父・信造(北大路欣也)の意外な真意を知ることに・・・!")</f>
        <v>　亮二(江口洋介)の目の前で銃弾に倒れたサチ(広末涼子)。自分を責める亮二は、憎むべき犯人の正体を突き止めようと捜査を再開し、均(大杉漣)と対峙する!一方、15年前の八ヶ岳の火災を追う舜(稲垣吾郎)は、佐智絵殺しの真相追及を自分に託した父・信造(北大路欣也)の意外な真意を知ることに・・・!</v>
      </c>
      <c r="O1840" s="2"/>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row>
    <row r="1841" ht="204.75" customHeight="1">
      <c r="A1841" s="1">
        <v>5417.0</v>
      </c>
      <c r="B1841" s="2" t="s">
        <v>5823</v>
      </c>
      <c r="C1841" s="2">
        <f>IFERROR(__xludf.DUMMYFUNCTION("split(B1841,""_"")"),901.0)</f>
        <v>901</v>
      </c>
      <c r="D1841" s="2" t="str">
        <f>IFERROR(__xludf.DUMMYFUNCTION("""COMPUTED_VALUE"""),"CX")</f>
        <v>CX</v>
      </c>
      <c r="E1841" s="2" t="str">
        <f>IFERROR(__xludf.DUMMYFUNCTION("""COMPUTED_VALUE"""),"火22")</f>
        <v>火22</v>
      </c>
      <c r="F1841" s="2" t="s">
        <v>5824</v>
      </c>
      <c r="G1841" s="2" t="s">
        <v>5855</v>
      </c>
      <c r="H1841" s="1">
        <v>11.0</v>
      </c>
      <c r="I1841" s="1" t="s">
        <v>41</v>
      </c>
      <c r="J1841" s="1" t="s">
        <v>86</v>
      </c>
      <c r="K1841" s="2" t="s">
        <v>5856</v>
      </c>
      <c r="L1841" s="2" t="s">
        <v>5857</v>
      </c>
      <c r="M1841" s="9" t="str">
        <f>IFERROR(__xludf.DUMMYFUNCTION("split(split(K1841,""江口洋介　"",false),""html"",false)"),"http://ktv.jp/triangle/index.")</f>
        <v>http://ktv.jp/triangle/index.</v>
      </c>
      <c r="N1841" s="2" t="str">
        <f>IFERROR(__xludf.DUMMYFUNCTION("""COMPUTED_VALUE"""),"【あらすじ】  　25年前の犯人にようやくたどり着いた亮二(江口洋介)。佐智絵、志摩野(堺雅人)、そしてサチ(広末涼子)が殺された3つの事件は同じ人物の犯行だった。ついに明らかとなる、25年前の真実とは?そして真犯人の正体は?【内容】  　ようやく25年前の事件の犯人にたどり着いた亮二は、その人物に会いに行くと信造(北大路欣也)に報告。信造は「サチさん殺害事件の犯人が捕まるのは時間の問題だから、無茶をするな」といさめる。しかし時効の壁に阻まれ、本部が追及できない25年前の真実を自らの手で明らかにしたいと懇"&amp;"願する亮二の思いを受けとめ、真相に迫ろうとする彼を送り出す。信造から亮二を護衛するよう命じられた舜(稲垣吾郎)もスタジアムへ駆けつけた。  遠くから見守る舜。そして亮二の前に均(大杉漣)が現れた。亮二に問い詰められ、佐智絵が新藤(宅麻伸)の子ではないかと疑った事実を認める均。「罪を認めて欲しい。佐智絵を殺したのは、あなたですね?」と迫る亮二。舜は神経を張り詰めながら、その会話を無線で聞いている。亮二と均の緊迫したやりとりが続く中、遠くから2人を狙い銃口が向けられる!")</f>
        <v>【あらすじ】  　25年前の犯人にようやくたどり着いた亮二(江口洋介)。佐智絵、志摩野(堺雅人)、そしてサチ(広末涼子)が殺された3つの事件は同じ人物の犯行だった。ついに明らかとなる、25年前の真実とは?そして真犯人の正体は?【内容】  　ようやく25年前の事件の犯人にたどり着いた亮二は、その人物に会いに行くと信造(北大路欣也)に報告。信造は「サチさん殺害事件の犯人が捕まるのは時間の問題だから、無茶をするな」といさめる。しかし時効の壁に阻まれ、本部が追及できない25年前の真実を自らの手で明らかにしたいと懇願する亮二の思いを受けとめ、真相に迫ろうとする彼を送り出す。信造から亮二を護衛するよう命じられた舜(稲垣吾郎)もスタジアムへ駆けつけた。  遠くから見守る舜。そして亮二の前に均(大杉漣)が現れた。亮二に問い詰められ、佐智絵が新藤(宅麻伸)の子ではないかと疑った事実を認める均。「罪を認めて欲しい。佐智絵を殺したのは、あなたですね?」と迫る亮二。舜は神経を張り詰めながら、その会話を無線で聞いている。亮二と均の緊迫したやりとりが続く中、遠くから2人を狙い銃口が向けられる!</v>
      </c>
      <c r="O1841" s="2"/>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row>
    <row r="1842" ht="204.75" customHeight="1">
      <c r="A1842" s="1">
        <v>5444.0</v>
      </c>
      <c r="B1842" s="2" t="s">
        <v>5858</v>
      </c>
      <c r="C1842" s="2">
        <f>IFERROR(__xludf.DUMMYFUNCTION("split(B1842,""_"")"),901.0)</f>
        <v>901</v>
      </c>
      <c r="D1842" s="2" t="str">
        <f>IFERROR(__xludf.DUMMYFUNCTION("""COMPUTED_VALUE"""),"CX")</f>
        <v>CX</v>
      </c>
      <c r="E1842" s="2" t="str">
        <f>IFERROR(__xludf.DUMMYFUNCTION("""COMPUTED_VALUE"""),"木22")</f>
        <v>木22</v>
      </c>
      <c r="F1842" s="2" t="s">
        <v>5859</v>
      </c>
      <c r="G1842" s="2" t="s">
        <v>5860</v>
      </c>
      <c r="H1842" s="1">
        <v>1.0</v>
      </c>
      <c r="I1842" s="1" t="s">
        <v>3</v>
      </c>
      <c r="J1842" s="1" t="s">
        <v>82</v>
      </c>
      <c r="K1842" s="4" t="s">
        <v>5861</v>
      </c>
      <c r="L1842" s="2" t="s">
        <v>5862</v>
      </c>
      <c r="M1842" s="2" t="str">
        <f>IFERROR(__xludf.DUMMYFUNCTION("split(split(K1842,""仲間由紀恵　"",false),""公式LINE"",false)"),"業務用厨房機器販売会社に勤める中城加奈(仲間由紀恵)は駅で、ホームに立つ1人の男性(陣内孝則)に目を止める。いったんは出口へ向かいかけた加奈だが、再びホームに戻り静かに男に近づく。  　ホームに居合わせ、そんな加奈の行動を見ていた左官をしている田崎翔太(加瀬亮)もまた男に何かを感じて近づく。ホームに電車が滑り込んでくると、線路に飛び出そうとした男を間一髪のところで捕まえ、引き戻す加奈と翔太。　警官・権藤(塩見三省)の立会いのもと、駅員室に呼ばれた3人。藤本誠と名乗るその男は、自殺しようとしたことを強く否定"&amp;"し、突然つかみかかってきた加奈と翔太を激しく非難するが、権藤の配慮で2人は帰される。そのまま駅で別れるが、翔太は加奈を追いかける。しかし、加奈の姿は見つからず、仕方なくコーヒーショップへ入ると、偶然加奈が店内にいた。ぎこちない会話の末、翔太は思いきってメールアドレスを聞く。　仕事を終え帰宅した加奈。居間では人形教室を開いている母親の桂(戸田恵子)が、展示会に向けて作業中。祖母の静江(八千草薫)は自室で落語を聞き、父親の朋也(岸部一徳)は自室で隠れるように何かをしていた。同じ頃、祖父の四郎(井川比佐志)と父"&amp;"親の重夫(風間杜夫)との男所帯である翔太は3人で食事をとっていた。  　そんな折、交番の権藤のもとへ誠が訪ねてきた。誠は加奈と翔太の住所を知りたいと申し出る。")</f>
        <v>業務用厨房機器販売会社に勤める中城加奈(仲間由紀恵)は駅で、ホームに立つ1人の男性(陣内孝則)に目を止める。いったんは出口へ向かいかけた加奈だが、再びホームに戻り静かに男に近づく。  　ホームに居合わせ、そんな加奈の行動を見ていた左官をしている田崎翔太(加瀬亮)もまた男に何かを感じて近づく。ホームに電車が滑り込んでくると、線路に飛び出そうとした男を間一髪のところで捕まえ、引き戻す加奈と翔太。　警官・権藤(塩見三省)の立会いのもと、駅員室に呼ばれた3人。藤本誠と名乗るその男は、自殺しようとしたことを強く否定し、突然つかみかかってきた加奈と翔太を激しく非難するが、権藤の配慮で2人は帰される。そのまま駅で別れるが、翔太は加奈を追いかける。しかし、加奈の姿は見つからず、仕方なくコーヒーショップへ入ると、偶然加奈が店内にいた。ぎこちない会話の末、翔太は思いきってメールアドレスを聞く。　仕事を終え帰宅した加奈。居間では人形教室を開いている母親の桂(戸田恵子)が、展示会に向けて作業中。祖母の静江(八千草薫)は自室で落語を聞き、父親の朋也(岸部一徳)は自室で隠れるように何かをしていた。同じ頃、祖父の四郎(井川比佐志)と父親の重夫(風間杜夫)との男所帯である翔太は3人で食事をとっていた。  　そんな折、交番の権藤のもとへ誠が訪ねてきた。誠は加奈と翔太の住所を知りたいと申し出る。</v>
      </c>
      <c r="N1842" s="2"/>
      <c r="O1842" s="2"/>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row>
    <row r="1843" ht="204.75" customHeight="1">
      <c r="A1843" s="1">
        <v>5445.0</v>
      </c>
      <c r="B1843" s="2" t="s">
        <v>5858</v>
      </c>
      <c r="C1843" s="2">
        <f>IFERROR(__xludf.DUMMYFUNCTION("split(B1843,""_"")"),901.0)</f>
        <v>901</v>
      </c>
      <c r="D1843" s="2" t="str">
        <f>IFERROR(__xludf.DUMMYFUNCTION("""COMPUTED_VALUE"""),"CX")</f>
        <v>CX</v>
      </c>
      <c r="E1843" s="2" t="str">
        <f>IFERROR(__xludf.DUMMYFUNCTION("""COMPUTED_VALUE"""),"木22")</f>
        <v>木22</v>
      </c>
      <c r="F1843" s="2" t="s">
        <v>5859</v>
      </c>
      <c r="G1843" s="2" t="s">
        <v>5863</v>
      </c>
      <c r="H1843" s="1">
        <v>2.0</v>
      </c>
      <c r="I1843" s="1" t="s">
        <v>7</v>
      </c>
      <c r="J1843" s="1" t="s">
        <v>86</v>
      </c>
      <c r="K1843" s="2" t="s">
        <v>5864</v>
      </c>
      <c r="L1843" s="2" t="s">
        <v>5865</v>
      </c>
      <c r="M1843" s="2" t="str">
        <f>IFERROR(__xludf.DUMMYFUNCTION("split(split(K1843,""仲間由紀恵　"",false),""公式LINE"",false)"),"中城加奈(仲間由紀恵)と田崎翔太(加瀬亮)は、自殺を止めた藤本誠(陣内孝則)から同じ経験があるのではと聞かれた。その場で言葉に詰まる2人・・・。  　後日、加奈と翔太は喫茶店で待ち合わせをして会うことになった。そこでの会話で、2人のちょっとした言葉の行き違いが生じ、加奈は気分を害して翔太を残し、喫茶店から出て行ってしまう。  　自宅に戻って激しく後悔する翔太の様子にすばやく気付き、声をかける祖父・四郎(井川比佐志)だが、父・重夫(風間杜夫)は四郎に言われるまで何も気付かない。  　加奈のことが気になり、加"&amp;"奈の家を探しに来た翔太。すると、中城家の前で座っていた加奈の祖母・静江(八千草薫)に声をかけられた。すべて戸締まりをしてしまった後に忘れたことに気づいた、地図を取って来て欲しいという。戸惑いながらも静江に頼まれるまま動く翔太は、静江からさらなるボランティアを頼まれる・・・。")</f>
        <v>中城加奈(仲間由紀恵)と田崎翔太(加瀬亮)は、自殺を止めた藤本誠(陣内孝則)から同じ経験があるのではと聞かれた。その場で言葉に詰まる2人・・・。  　後日、加奈と翔太は喫茶店で待ち合わせをして会うことになった。そこでの会話で、2人のちょっとした言葉の行き違いが生じ、加奈は気分を害して翔太を残し、喫茶店から出て行ってしまう。  　自宅に戻って激しく後悔する翔太の様子にすばやく気付き、声をかける祖父・四郎(井川比佐志)だが、父・重夫(風間杜夫)は四郎に言われるまで何も気付かない。  　加奈のことが気になり、加奈の家を探しに来た翔太。すると、中城家の前で座っていた加奈の祖母・静江(八千草薫)に声をかけられた。すべて戸締まりをしてしまった後に忘れたことに気づいた、地図を取って来て欲しいという。戸惑いながらも静江に頼まれるまま動く翔太は、静江からさらなるボランティアを頼まれる・・・。</v>
      </c>
      <c r="N1843" s="2"/>
      <c r="O1843" s="2"/>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row>
    <row r="1844" ht="204.75" customHeight="1">
      <c r="A1844" s="1">
        <v>5446.0</v>
      </c>
      <c r="B1844" s="2" t="s">
        <v>5858</v>
      </c>
      <c r="C1844" s="2">
        <f>IFERROR(__xludf.DUMMYFUNCTION("split(B1844,""_"")"),901.0)</f>
        <v>901</v>
      </c>
      <c r="D1844" s="2" t="str">
        <f>IFERROR(__xludf.DUMMYFUNCTION("""COMPUTED_VALUE"""),"CX")</f>
        <v>CX</v>
      </c>
      <c r="E1844" s="2" t="str">
        <f>IFERROR(__xludf.DUMMYFUNCTION("""COMPUTED_VALUE"""),"木22")</f>
        <v>木22</v>
      </c>
      <c r="F1844" s="2" t="s">
        <v>5859</v>
      </c>
      <c r="G1844" s="2" t="s">
        <v>5866</v>
      </c>
      <c r="H1844" s="1">
        <v>3.0</v>
      </c>
      <c r="I1844" s="1" t="s">
        <v>10</v>
      </c>
      <c r="J1844" s="1" t="s">
        <v>86</v>
      </c>
      <c r="K1844" s="2" t="s">
        <v>5867</v>
      </c>
      <c r="L1844" s="2" t="s">
        <v>5868</v>
      </c>
      <c r="M1844" s="2" t="str">
        <f>IFERROR(__xludf.DUMMYFUNCTION("split(split(K1844,""仲間由紀恵　"",false),""公式LINE"",false)"),"自殺しようとした過去があることを互いに告白した中城加奈(仲間由紀恵)と田崎翔太(加瀬亮)。2人はメールを交換しあいながらどこかで気持ちが通じ合っていると感じ始める。ある日、加奈と会った翔太はこれはデートではなく死のうとしたことのある人の会だと言われ、残念に思いながらも納得する。加奈は翔太に死のうとした理由をたずねる。翔太は話そうとするが…。  　その夜、加奈との出来事を思い出しておかしな反応をする翔太に声をかける重夫(風間杜夫)だが、四郎(井川比佐志)は放っておけという。加奈も静江(八千草薫)を相手に妙に"&amp;"はしゃいでいた。  　スナック「妙」で待ち合わせをした加奈と翔太。そこへ藤本誠(陣内孝則)がやってきた。加奈が、誠も死のうとしたことのある人の会のメンバーにいれたので呼んだと言う。お酒が入り、すっかり酔っ払った誠を翔太が送っていくことになった。帰りのタクシーの中で誠はデートの邪魔をしたと謝るが、翔太はデートじゃないと否定する。誠は加奈と翔太はどうみてもデートをしている、と言う。家まで送られた誠は翔太に家に上がるようにと誘った。誠は古くて小さな部屋で質素な暮らしをしていた。やがて誠は翔太に泊まっていくように"&amp;"勧める。役に立つならと泊まることを了承する翔太だが…。  　翌日、翔太から連絡をもらい、加奈が誠の部屋に訪ねてきた。すると、部屋を出て話していた加奈と翔太の前に重夫が現れ…。")</f>
        <v>自殺しようとした過去があることを互いに告白した中城加奈(仲間由紀恵)と田崎翔太(加瀬亮)。2人はメールを交換しあいながらどこかで気持ちが通じ合っていると感じ始める。ある日、加奈と会った翔太はこれはデートではなく死のうとしたことのある人の会だと言われ、残念に思いながらも納得する。加奈は翔太に死のうとした理由をたずねる。翔太は話そうとするが…。  　その夜、加奈との出来事を思い出しておかしな反応をする翔太に声をかける重夫(風間杜夫)だが、四郎(井川比佐志)は放っておけという。加奈も静江(八千草薫)を相手に妙にはしゃいでいた。  　スナック「妙」で待ち合わせをした加奈と翔太。そこへ藤本誠(陣内孝則)がやってきた。加奈が、誠も死のうとしたことのある人の会のメンバーにいれたので呼んだと言う。お酒が入り、すっかり酔っ払った誠を翔太が送っていくことになった。帰りのタクシーの中で誠はデートの邪魔をしたと謝るが、翔太はデートじゃないと否定する。誠は加奈と翔太はどうみてもデートをしている、と言う。家まで送られた誠は翔太に家に上がるようにと誘った。誠は古くて小さな部屋で質素な暮らしをしていた。やがて誠は翔太に泊まっていくように勧める。役に立つならと泊まることを了承する翔太だが…。  　翌日、翔太から連絡をもらい、加奈が誠の部屋に訪ねてきた。すると、部屋を出て話していた加奈と翔太の前に重夫が現れ…。</v>
      </c>
      <c r="N1844" s="2"/>
      <c r="O1844" s="2"/>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row>
    <row r="1845" ht="204.75" customHeight="1">
      <c r="A1845" s="1">
        <v>5447.0</v>
      </c>
      <c r="B1845" s="2" t="s">
        <v>5858</v>
      </c>
      <c r="C1845" s="2">
        <f>IFERROR(__xludf.DUMMYFUNCTION("split(B1845,""_"")"),901.0)</f>
        <v>901</v>
      </c>
      <c r="D1845" s="2" t="str">
        <f>IFERROR(__xludf.DUMMYFUNCTION("""COMPUTED_VALUE"""),"CX")</f>
        <v>CX</v>
      </c>
      <c r="E1845" s="2" t="str">
        <f>IFERROR(__xludf.DUMMYFUNCTION("""COMPUTED_VALUE"""),"木22")</f>
        <v>木22</v>
      </c>
      <c r="F1845" s="2" t="s">
        <v>5859</v>
      </c>
      <c r="G1845" s="2" t="s">
        <v>5869</v>
      </c>
      <c r="H1845" s="1">
        <v>4.0</v>
      </c>
      <c r="I1845" s="1" t="s">
        <v>14</v>
      </c>
      <c r="J1845" s="1" t="s">
        <v>86</v>
      </c>
      <c r="K1845" s="2" t="s">
        <v>5870</v>
      </c>
      <c r="L1845" s="2" t="s">
        <v>5871</v>
      </c>
      <c r="M1845" s="2" t="str">
        <f>IFERROR(__xludf.DUMMYFUNCTION("split(split(K1845,""仲間由紀恵　"",false),""公式LINE"",false)"),"中城加奈(仲間由紀恵)に家が見たいと言われた田崎翔太(加瀬亮)は、重夫(風間杜夫)と四郎(井川比佐志)にその話をする。加奈に1度会っている重夫は大歓迎ムードだ。  　日曜日。駅で加奈と合流した翔太は昔話を交えながら近所を案内して家に行く。するとかしこまった四郎と重夫が待っていた。翔太の部屋に通された加奈は、壁に貼られたアイリッシュダンスのポスターをみつける。踊り出した加奈に、翔太は器用に踊って見せ、笑顔になる2人。階下では踊る足音を聞いた重夫と四郎が首をかしげていた。そして…。  　家に帰ってきた加奈が居"&amp;"間へ行くと、桂(戸田恵子)がソファに寝ていた。落ち込んで起き上がれないと話す桂に展示会の成功を持ち出し励ます加奈だが、桂は加奈に抱きつく。  　家に戻った翔太は1人で酒を飲んでいる重夫に、律子(キムラ緑子)と会っているのかと問う。よりを戻す気はないと言い切りながらも放っておけないという重夫。  　桂が家で1人ブランデーを飲んでいると、静江(八千草薫)がやってきた。静江は加奈の机の中から持ってきたと1枚の写真を桂に差し出す。それは加奈が翔太と翔太の家族とで田崎家前で撮った写真だった。後日、桂がその写真を朋也"&amp;"(岸部一徳)に見せるが、朋也は何か気になるようで…。")</f>
        <v>中城加奈(仲間由紀恵)に家が見たいと言われた田崎翔太(加瀬亮)は、重夫(風間杜夫)と四郎(井川比佐志)にその話をする。加奈に1度会っている重夫は大歓迎ムードだ。  　日曜日。駅で加奈と合流した翔太は昔話を交えながら近所を案内して家に行く。するとかしこまった四郎と重夫が待っていた。翔太の部屋に通された加奈は、壁に貼られたアイリッシュダンスのポスターをみつける。踊り出した加奈に、翔太は器用に踊って見せ、笑顔になる2人。階下では踊る足音を聞いた重夫と四郎が首をかしげていた。そして…。  　家に帰ってきた加奈が居間へ行くと、桂(戸田恵子)がソファに寝ていた。落ち込んで起き上がれないと話す桂に展示会の成功を持ち出し励ます加奈だが、桂は加奈に抱きつく。  　家に戻った翔太は1人で酒を飲んでいる重夫に、律子(キムラ緑子)と会っているのかと問う。よりを戻す気はないと言い切りながらも放っておけないという重夫。  　桂が家で1人ブランデーを飲んでいると、静江(八千草薫)がやってきた。静江は加奈の机の中から持ってきたと1枚の写真を桂に差し出す。それは加奈が翔太と翔太の家族とで田崎家前で撮った写真だった。後日、桂がその写真を朋也(岸部一徳)に見せるが、朋也は何か気になるようで…。</v>
      </c>
      <c r="N1845" s="2"/>
      <c r="O1845" s="2"/>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row>
    <row r="1846" ht="204.75" customHeight="1">
      <c r="A1846" s="1">
        <v>5448.0</v>
      </c>
      <c r="B1846" s="2" t="s">
        <v>5858</v>
      </c>
      <c r="C1846" s="2">
        <f>IFERROR(__xludf.DUMMYFUNCTION("split(B1846,""_"")"),901.0)</f>
        <v>901</v>
      </c>
      <c r="D1846" s="2" t="str">
        <f>IFERROR(__xludf.DUMMYFUNCTION("""COMPUTED_VALUE"""),"CX")</f>
        <v>CX</v>
      </c>
      <c r="E1846" s="2" t="str">
        <f>IFERROR(__xludf.DUMMYFUNCTION("""COMPUTED_VALUE"""),"木22")</f>
        <v>木22</v>
      </c>
      <c r="F1846" s="2" t="s">
        <v>5859</v>
      </c>
      <c r="G1846" s="2" t="s">
        <v>5872</v>
      </c>
      <c r="H1846" s="1">
        <v>5.0</v>
      </c>
      <c r="I1846" s="1" t="s">
        <v>17</v>
      </c>
      <c r="J1846" s="1" t="s">
        <v>86</v>
      </c>
      <c r="K1846" s="2" t="s">
        <v>5873</v>
      </c>
      <c r="L1846" s="2" t="s">
        <v>5874</v>
      </c>
      <c r="M1846" s="2" t="str">
        <f>IFERROR(__xludf.DUMMYFUNCTION("split(split(K1846,""仲間由紀恵　"",false),""公式LINE"",false)"),"中城加奈(仲間由紀恵)が田崎翔太(加瀬亮)の家を訪ねて以来、メールのやりとりだけで会わないまま1週間が過ぎた。  　立川研次(吹越満)との別れ以来、具合が悪く起き上がれないでいる桂(戸田恵子)。事情を知らない加奈は病院に行くように勧める。その頃、朋也(岸部一徳)は再び重夫(風間杜夫)と会っていた。2人は人目を忍ぶように、とあるビルへ入っていく。そこは…。　加奈と翔太は会う約束をするが、加奈が待ち合わせ場所に指定したのは、以前に加奈が店長にたんかを切って飛び出した喫茶店だった。加奈は店に入ると店長に前回の行"&amp;"動を謝った。すっきりしたと笑顔になる加奈。喫茶店を出ると、歩きながら加奈は翔太にこれまで誰にも言えなかったことを打ち明ける…。  　翌日、相変わらず寝込んだままの桂に、加奈は心配と自分への苛立ちから病院に行かないことを責め口論のようになってしまう。静江(八千草薫)は桂の部屋に行き、横になっている桂に自分の昔話をし始めた。  　呼び出され、喫茶店にやってきた朋也。待っていた重夫は朋也にある提案をするが…。同じ頃、「妙」に向かっていた加奈。店の前では、ママの妙(宮田早苗)が藤本誠(陣内孝則)に見送られタクシー"&amp;"に乗り込むところだった…。")</f>
        <v>中城加奈(仲間由紀恵)が田崎翔太(加瀬亮)の家を訪ねて以来、メールのやりとりだけで会わないまま1週間が過ぎた。  　立川研次(吹越満)との別れ以来、具合が悪く起き上がれないでいる桂(戸田恵子)。事情を知らない加奈は病院に行くように勧める。その頃、朋也(岸部一徳)は再び重夫(風間杜夫)と会っていた。2人は人目を忍ぶように、とあるビルへ入っていく。そこは…。　加奈と翔太は会う約束をするが、加奈が待ち合わせ場所に指定したのは、以前に加奈が店長にたんかを切って飛び出した喫茶店だった。加奈は店に入ると店長に前回の行動を謝った。すっきりしたと笑顔になる加奈。喫茶店を出ると、歩きながら加奈は翔太にこれまで誰にも言えなかったことを打ち明ける…。  　翌日、相変わらず寝込んだままの桂に、加奈は心配と自分への苛立ちから病院に行かないことを責め口論のようになってしまう。静江(八千草薫)は桂の部屋に行き、横になっている桂に自分の昔話をし始めた。  　呼び出され、喫茶店にやってきた朋也。待っていた重夫は朋也にある提案をするが…。同じ頃、「妙」に向かっていた加奈。店の前では、ママの妙(宮田早苗)が藤本誠(陣内孝則)に見送られタクシーに乗り込むところだった…。</v>
      </c>
      <c r="N1846" s="2"/>
      <c r="O1846" s="2"/>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row>
    <row r="1847" ht="204.75" customHeight="1">
      <c r="A1847" s="1">
        <v>5449.0</v>
      </c>
      <c r="B1847" s="2" t="s">
        <v>5858</v>
      </c>
      <c r="C1847" s="2">
        <f>IFERROR(__xludf.DUMMYFUNCTION("split(B1847,""_"")"),901.0)</f>
        <v>901</v>
      </c>
      <c r="D1847" s="2" t="str">
        <f>IFERROR(__xludf.DUMMYFUNCTION("""COMPUTED_VALUE"""),"CX")</f>
        <v>CX</v>
      </c>
      <c r="E1847" s="2" t="str">
        <f>IFERROR(__xludf.DUMMYFUNCTION("""COMPUTED_VALUE"""),"木22")</f>
        <v>木22</v>
      </c>
      <c r="F1847" s="2" t="s">
        <v>5859</v>
      </c>
      <c r="G1847" s="2" t="s">
        <v>5875</v>
      </c>
      <c r="H1847" s="1">
        <v>6.0</v>
      </c>
      <c r="I1847" s="1" t="s">
        <v>21</v>
      </c>
      <c r="J1847" s="1" t="s">
        <v>86</v>
      </c>
      <c r="K1847" s="2" t="s">
        <v>5876</v>
      </c>
      <c r="L1847" s="2" t="s">
        <v>5877</v>
      </c>
      <c r="M1847" s="2" t="str">
        <f>IFERROR(__xludf.DUMMYFUNCTION("split(split(K1847,""仲間由紀恵　"",false),""公式LINE"",false)"),"中城加奈(仲間由紀恵)から子どもが産めないことを告白された田崎翔太(加瀬亮)は、加奈に呼び出されて藤本誠(陣内孝則)の部屋にやってきた。誠は、「妙」で加奈に手を出そうとして以来の再会に、翔太に自分を殴るように言うが加奈はひきずらないようにと声をかける。そして、自殺しようとした理由の詳細を話すから誠に立ち会って欲しいと頼む。静かに話し始めた加奈。やがて話を終えると、加奈は部屋を1人出て行く。　誠は「ゆっくり時間をおいて考えろ」と助言するが、部屋を出た翔太は中城家に向かった。静江(八千草薫)が応答し、加奈はま"&amp;"だ帰っていないという。静江は翔太を歓迎し、ひ孫が見られる日が楽しみだと無邪気に話す静江に翔太は…。ちょうどそこへ加奈が帰宅した。驚いた加奈は翔太を追い返し部屋に戻る。そこへ、静江がやってきて…。  　その後、メールでやりとりをする加奈と翔太だが、「子どもなんかいらない」という翔太に加奈は「ゆっくり考えて」と繰り返す。そんな中、加奈の部屋に朋也(岸部一徳)がやってきた。静江から話を聞き翔太を批判する父に、加奈は話をそらすように桂(戸田恵子)の症状や朋也自身が何かを隠してないかと問う。  　一方、翔太の家では"&amp;"、夕方風呂に入っている重夫(風間杜夫)に四郎(井川比佐志)が早く支度をしろという。翔太がいない時に話がある、と朋也が訪ねてくるというのだ…。")</f>
        <v>中城加奈(仲間由紀恵)から子どもが産めないことを告白された田崎翔太(加瀬亮)は、加奈に呼び出されて藤本誠(陣内孝則)の部屋にやってきた。誠は、「妙」で加奈に手を出そうとして以来の再会に、翔太に自分を殴るように言うが加奈はひきずらないようにと声をかける。そして、自殺しようとした理由の詳細を話すから誠に立ち会って欲しいと頼む。静かに話し始めた加奈。やがて話を終えると、加奈は部屋を1人出て行く。　誠は「ゆっくり時間をおいて考えろ」と助言するが、部屋を出た翔太は中城家に向かった。静江(八千草薫)が応答し、加奈はまだ帰っていないという。静江は翔太を歓迎し、ひ孫が見られる日が楽しみだと無邪気に話す静江に翔太は…。ちょうどそこへ加奈が帰宅した。驚いた加奈は翔太を追い返し部屋に戻る。そこへ、静江がやってきて…。  　その後、メールでやりとりをする加奈と翔太だが、「子どもなんかいらない」という翔太に加奈は「ゆっくり考えて」と繰り返す。そんな中、加奈の部屋に朋也(岸部一徳)がやってきた。静江から話を聞き翔太を批判する父に、加奈は話をそらすように桂(戸田恵子)の症状や朋也自身が何かを隠してないかと問う。  　一方、翔太の家では、夕方風呂に入っている重夫(風間杜夫)に四郎(井川比佐志)が早く支度をしろという。翔太がいない時に話がある、と朋也が訪ねてくるというのだ…。</v>
      </c>
      <c r="N1847" s="2"/>
      <c r="O1847" s="2"/>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row>
    <row r="1848" ht="204.75" customHeight="1">
      <c r="A1848" s="1">
        <v>5450.0</v>
      </c>
      <c r="B1848" s="2" t="s">
        <v>5858</v>
      </c>
      <c r="C1848" s="2">
        <f>IFERROR(__xludf.DUMMYFUNCTION("split(B1848,""_"")"),901.0)</f>
        <v>901</v>
      </c>
      <c r="D1848" s="2" t="str">
        <f>IFERROR(__xludf.DUMMYFUNCTION("""COMPUTED_VALUE"""),"CX")</f>
        <v>CX</v>
      </c>
      <c r="E1848" s="2" t="str">
        <f>IFERROR(__xludf.DUMMYFUNCTION("""COMPUTED_VALUE"""),"木22")</f>
        <v>木22</v>
      </c>
      <c r="F1848" s="2" t="s">
        <v>5859</v>
      </c>
      <c r="G1848" s="2" t="s">
        <v>5878</v>
      </c>
      <c r="H1848" s="1">
        <v>7.0</v>
      </c>
      <c r="I1848" s="1" t="s">
        <v>25</v>
      </c>
      <c r="J1848" s="1" t="s">
        <v>86</v>
      </c>
      <c r="K1848" s="2" t="s">
        <v>5879</v>
      </c>
      <c r="L1848" s="2" t="s">
        <v>5880</v>
      </c>
      <c r="M1848" s="2" t="str">
        <f>IFERROR(__xludf.DUMMYFUNCTION("split(split(K1848,""仲間由紀恵　"",false),""公式LINE"",false)"),"中城加奈(仲間由紀恵)の家で静江(八千草薫)に子供はいらないと言った田崎翔太(加瀬亮)。それを律子(キムラ緑子)が知っていたことで翔太は重夫(風間杜夫)を問いただし、朋也(岸部一徳)が田崎家を訪ねてきたことと結婚を反対していることを知る。  　加奈は翔太から朋也の行動を聞き、自分たちの知らないところで結婚の話が出ていることに戸惑う。秘密を告白してくれたのは結婚を考えてのことだと思っていた翔太は、子供はいらないと繰り返すが、加奈は結婚はしないと言い切る。  　ある日、翔太は静江に会うためにスーツ姿で中城家を"&amp;"訪れた。家には代休中の朋也もいて、あまり歓迎されない様子で中に通される。朋也、桂(戸田恵子)、静江に囲まれるように座った翔太は、加奈との結婚は今のところはないと言いつつも子供がいらないと言ったのは本心ではなかったと告げる。  　家に帰ってきた加奈のもとへ桂と静江がきた。翔太が訪ねてきたこと、朋也との会話の一部始終を聞いた加奈は…。そんな中、藤本誠(陣内孝則)はある場所を訪れていた。  　数日後、静江は四郎(井川比佐志)から電話をもらい喫茶店で待ち合わせをする。やってきた四郎は、自分の出る幕じゃないと遠慮が"&amp;"ちに翔太と加奈の話を切り出すが…。  　一方、誠に呼び出されて「妙」にやってきた加奈は、誠からあるものを渡される。")</f>
        <v>中城加奈(仲間由紀恵)の家で静江(八千草薫)に子供はいらないと言った田崎翔太(加瀬亮)。それを律子(キムラ緑子)が知っていたことで翔太は重夫(風間杜夫)を問いただし、朋也(岸部一徳)が田崎家を訪ねてきたことと結婚を反対していることを知る。  　加奈は翔太から朋也の行動を聞き、自分たちの知らないところで結婚の話が出ていることに戸惑う。秘密を告白してくれたのは結婚を考えてのことだと思っていた翔太は、子供はいらないと繰り返すが、加奈は結婚はしないと言い切る。  　ある日、翔太は静江に会うためにスーツ姿で中城家を訪れた。家には代休中の朋也もいて、あまり歓迎されない様子で中に通される。朋也、桂(戸田恵子)、静江に囲まれるように座った翔太は、加奈との結婚は今のところはないと言いつつも子供がいらないと言ったのは本心ではなかったと告げる。  　家に帰ってきた加奈のもとへ桂と静江がきた。翔太が訪ねてきたこと、朋也との会話の一部始終を聞いた加奈は…。そんな中、藤本誠(陣内孝則)はある場所を訪れていた。  　数日後、静江は四郎(井川比佐志)から電話をもらい喫茶店で待ち合わせをする。やってきた四郎は、自分の出る幕じゃないと遠慮がちに翔太と加奈の話を切り出すが…。  　一方、誠に呼び出されて「妙」にやってきた加奈は、誠からあるものを渡される。</v>
      </c>
      <c r="N1848" s="2"/>
      <c r="O1848" s="2"/>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row>
    <row r="1849" ht="204.75" customHeight="1">
      <c r="A1849" s="1">
        <v>5451.0</v>
      </c>
      <c r="B1849" s="2" t="s">
        <v>5858</v>
      </c>
      <c r="C1849" s="2">
        <f>IFERROR(__xludf.DUMMYFUNCTION("split(B1849,""_"")"),901.0)</f>
        <v>901</v>
      </c>
      <c r="D1849" s="2" t="str">
        <f>IFERROR(__xludf.DUMMYFUNCTION("""COMPUTED_VALUE"""),"CX")</f>
        <v>CX</v>
      </c>
      <c r="E1849" s="2" t="str">
        <f>IFERROR(__xludf.DUMMYFUNCTION("""COMPUTED_VALUE"""),"木22")</f>
        <v>木22</v>
      </c>
      <c r="F1849" s="2" t="s">
        <v>5859</v>
      </c>
      <c r="G1849" s="2" t="s">
        <v>5881</v>
      </c>
      <c r="H1849" s="1">
        <v>8.0</v>
      </c>
      <c r="I1849" s="1" t="s">
        <v>29</v>
      </c>
      <c r="J1849" s="1" t="s">
        <v>86</v>
      </c>
      <c r="K1849" s="2" t="s">
        <v>5882</v>
      </c>
      <c r="L1849" s="2" t="s">
        <v>5883</v>
      </c>
      <c r="M1849" s="2" t="str">
        <f>IFERROR(__xludf.DUMMYFUNCTION("split(split(K1849,""仲間由紀恵　"",false),""公式LINE"",false)"),"中城加奈(仲間由紀恵)は、藤本誠(陣内孝則)の働く住宅展示場にやってきた。加奈は住宅を見に来た客を装い、誠に案内されながら田崎翔太(加瀬亮)が子供はいらないと言い張っていることを話す。翔太にはもう会わない方がいいのかもと言い出した加奈に、誠は養子・里親という選択もあることを告げる。ためらいつつも子供部屋を見て涙声になる加奈の気をそらすように誠は展示場前に捨てられていた子猫を見せる。子猫を愛しそうに抱く加奈を、誠は複雑な思いで見つめる。  　重夫(風間杜夫)に呼び出され喫茶店にやってきた朋也(岸部一徳)は、"&amp;"重夫が女装していることに驚きと憤りを感じる。重夫の話は、加奈と翔太を応援したいというものだった。難色を示す朋也は、子供ができないのは翔太のせいだと訴え、加奈が養子・里親のパンフレットを持っていたことまで話す。思ってもいない話に驚いて呆然とする重夫は、律子(キムラ緑子)を使って真相を探らせる。  　数日後、重夫から連絡をもらった加奈は「妙」で会う約束をする。やってきた重夫は加奈に翔太との結婚の可能性をたずねるが、加奈の答えは…。  　早朝、加奈は出勤前に話があると桂(戸田恵子)を起こして居間に呼んだ。それに"&amp;"気付いた朋也もやってきた。2人を前に、静かに話し出す加奈。やがて静江(八千草薫)も起き出してきて…。同じ頃、仕事に向かう翔太のもとへ重夫がやってきた…。")</f>
        <v>中城加奈(仲間由紀恵)は、藤本誠(陣内孝則)の働く住宅展示場にやってきた。加奈は住宅を見に来た客を装い、誠に案内されながら田崎翔太(加瀬亮)が子供はいらないと言い張っていることを話す。翔太にはもう会わない方がいいのかもと言い出した加奈に、誠は養子・里親という選択もあることを告げる。ためらいつつも子供部屋を見て涙声になる加奈の気をそらすように誠は展示場前に捨てられていた子猫を見せる。子猫を愛しそうに抱く加奈を、誠は複雑な思いで見つめる。  　重夫(風間杜夫)に呼び出され喫茶店にやってきた朋也(岸部一徳)は、重夫が女装していることに驚きと憤りを感じる。重夫の話は、加奈と翔太を応援したいというものだった。難色を示す朋也は、子供ができないのは翔太のせいだと訴え、加奈が養子・里親のパンフレットを持っていたことまで話す。思ってもいない話に驚いて呆然とする重夫は、律子(キムラ緑子)を使って真相を探らせる。  　数日後、重夫から連絡をもらった加奈は「妙」で会う約束をする。やってきた重夫は加奈に翔太との結婚の可能性をたずねるが、加奈の答えは…。  　早朝、加奈は出勤前に話があると桂(戸田恵子)を起こして居間に呼んだ。それに気付いた朋也もやってきた。2人を前に、静かに話し出す加奈。やがて静江(八千草薫)も起き出してきて…。同じ頃、仕事に向かう翔太のもとへ重夫がやってきた…。</v>
      </c>
      <c r="N1849" s="2"/>
      <c r="O1849" s="2"/>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row>
    <row r="1850" ht="204.75" customHeight="1">
      <c r="A1850" s="1">
        <v>5452.0</v>
      </c>
      <c r="B1850" s="2" t="s">
        <v>5858</v>
      </c>
      <c r="C1850" s="2">
        <f>IFERROR(__xludf.DUMMYFUNCTION("split(B1850,""_"")"),901.0)</f>
        <v>901</v>
      </c>
      <c r="D1850" s="2" t="str">
        <f>IFERROR(__xludf.DUMMYFUNCTION("""COMPUTED_VALUE"""),"CX")</f>
        <v>CX</v>
      </c>
      <c r="E1850" s="2" t="str">
        <f>IFERROR(__xludf.DUMMYFUNCTION("""COMPUTED_VALUE"""),"木22")</f>
        <v>木22</v>
      </c>
      <c r="F1850" s="2" t="s">
        <v>5859</v>
      </c>
      <c r="G1850" s="2" t="s">
        <v>5884</v>
      </c>
      <c r="H1850" s="1">
        <v>9.0</v>
      </c>
      <c r="I1850" s="1" t="s">
        <v>33</v>
      </c>
      <c r="J1850" s="1" t="s">
        <v>86</v>
      </c>
      <c r="K1850" s="2" t="s">
        <v>5885</v>
      </c>
      <c r="L1850" s="2" t="s">
        <v>5886</v>
      </c>
      <c r="M1850" s="2" t="str">
        <f>IFERROR(__xludf.DUMMYFUNCTION("split(split(K1850,""仲間由紀恵　"",false),""公式LINE"",false)"),"中城加奈(仲間由紀恵)は、四郎(井川比佐志)に田崎翔太(加瀬亮)との結婚は許可できないと言われたことやそれが原因で静江(八千草薫)が貧血を起こしたことで気持ちが混乱し、翔太からの謝罪メールにも返事ができずにいた。翔太は四郎を責めるが、四郎の意思は変わらない。加奈に会う勇気が持てないでいた翔太に藤本誠(陣内孝則)は将来より今を大事にして、今はとにかく加奈に会うべきだとアドバイスをおくる。誠の言葉をメールで加奈に伝える翔太。加奈は心配ごとはすべて忘れて何も知らない初めて会った感じで会おうと提案する。  　休日"&amp;"、加奈と翔太は公園で初対面の振りをして会うことになった。ぎこちなさがありつつも、初対面を装ってそれぞれ架空の自分や家族を作り出して会話する2人。すると、加奈が突然、ホテルを予約してあると言い出した。驚く翔太だが…。  　事務所にいた四郎の元へやってきた翔太。改めて結婚の意思を告げる翔太だが、四郎も反対の意見は変えない。そこへボストンバッグなどたくさんの荷物を持った重夫(風間杜夫)が現れた。出張かと問う翔太に重夫はあるメモを渡す。同じ頃、桂(戸田恵子)は加奈に呼び出されていた。翔太との関係を聞く桂に加奈は…"&amp;"。  　ある日、スーパーへ買い物に行っていた翔太が家に戻ると誠が訪ねてきていた。上機嫌で相手をしていた四郎だが、誠の発した一言で態度が一変する。")</f>
        <v>中城加奈(仲間由紀恵)は、四郎(井川比佐志)に田崎翔太(加瀬亮)との結婚は許可できないと言われたことやそれが原因で静江(八千草薫)が貧血を起こしたことで気持ちが混乱し、翔太からの謝罪メールにも返事ができずにいた。翔太は四郎を責めるが、四郎の意思は変わらない。加奈に会う勇気が持てないでいた翔太に藤本誠(陣内孝則)は将来より今を大事にして、今はとにかく加奈に会うべきだとアドバイスをおくる。誠の言葉をメールで加奈に伝える翔太。加奈は心配ごとはすべて忘れて何も知らない初めて会った感じで会おうと提案する。  　休日、加奈と翔太は公園で初対面の振りをして会うことになった。ぎこちなさがありつつも、初対面を装ってそれぞれ架空の自分や家族を作り出して会話する2人。すると、加奈が突然、ホテルを予約してあると言い出した。驚く翔太だが…。  　事務所にいた四郎の元へやってきた翔太。改めて結婚の意思を告げる翔太だが、四郎も反対の意見は変えない。そこへボストンバッグなどたくさんの荷物を持った重夫(風間杜夫)が現れた。出張かと問う翔太に重夫はあるメモを渡す。同じ頃、桂(戸田恵子)は加奈に呼び出されていた。翔太との関係を聞く桂に加奈は…。  　ある日、スーパーへ買い物に行っていた翔太が家に戻ると誠が訪ねてきていた。上機嫌で相手をしていた四郎だが、誠の発した一言で態度が一変する。</v>
      </c>
      <c r="N1850" s="2"/>
      <c r="O1850" s="2"/>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row>
    <row r="1851" ht="204.75" customHeight="1">
      <c r="A1851" s="1">
        <v>5453.0</v>
      </c>
      <c r="B1851" s="2" t="s">
        <v>5858</v>
      </c>
      <c r="C1851" s="2">
        <f>IFERROR(__xludf.DUMMYFUNCTION("split(B1851,""_"")"),901.0)</f>
        <v>901</v>
      </c>
      <c r="D1851" s="2" t="str">
        <f>IFERROR(__xludf.DUMMYFUNCTION("""COMPUTED_VALUE"""),"CX")</f>
        <v>CX</v>
      </c>
      <c r="E1851" s="2" t="str">
        <f>IFERROR(__xludf.DUMMYFUNCTION("""COMPUTED_VALUE"""),"木22")</f>
        <v>木22</v>
      </c>
      <c r="F1851" s="2" t="s">
        <v>5859</v>
      </c>
      <c r="G1851" s="2" t="s">
        <v>5887</v>
      </c>
      <c r="H1851" s="1">
        <v>10.0</v>
      </c>
      <c r="I1851" s="1" t="s">
        <v>37</v>
      </c>
      <c r="J1851" s="1" t="s">
        <v>86</v>
      </c>
      <c r="K1851" s="2" t="s">
        <v>5888</v>
      </c>
      <c r="L1851" s="2" t="s">
        <v>5889</v>
      </c>
      <c r="M1851" s="2" t="str">
        <f>IFERROR(__xludf.DUMMYFUNCTION("split(split(K1851,""仲間由紀恵　"",false),""公式LINE"",false)"),"スナック「妙」で待ち合わせした中城加奈(仲間由紀恵)と藤本誠(陣内孝則)。加奈は自殺しようとした時を振り返り、誰かに止められた気がしたが、それを翔太(加瀬亮)と重ねて恋人気分になっていただけかもしれないと話す。そんな加奈に誠はもっと気持ちを楽にするべきと言う。  　ある日、四郎(井川比佐志)のもとへ誠がやってきた。誠は加奈と翔太を応援すると言い、血筋を絶やしたくないと言い張る四郎に反対ではなく励ますのが役割じゃないかと訴える。すると、四郎がおもむろに金を貸そうと言い出し、誠は…。  　翔太は重夫(風間杜夫"&amp;")と律子(キムラ緑子)が暮らすアパートへ来ていた。口げんかをしながらも仲良さそうな2人と乾杯し、食事をする翔太。  　とある喫茶店で誠は朋也(岸部一徳)と向かい合って座っていた。誠は四郎と同様に2人を応援して欲しいと言うが、朋也はあなたには関係ないと言い…。　誠の来訪を聞いた加奈と翔太は、それぞれ誠に連絡を取るが携帯は電源が切られたままだ。誠を心配し、会うことにする加奈と翔太。待ち合わせの喫茶店に行く前に、2人はそれぞれ誠の家に行っていたが、誠は不在だった。不安を募らせつつも、2人は喫茶店で誠の行動につい"&amp;"て話し合う。  　後日、誠に呼び出された加奈と翔太。指定された場所は、誠には似つかわしくない高級そうな料亭だった。そこで誠から思わぬ報告を受ける。")</f>
        <v>スナック「妙」で待ち合わせした中城加奈(仲間由紀恵)と藤本誠(陣内孝則)。加奈は自殺しようとした時を振り返り、誰かに止められた気がしたが、それを翔太(加瀬亮)と重ねて恋人気分になっていただけかもしれないと話す。そんな加奈に誠はもっと気持ちを楽にするべきと言う。  　ある日、四郎(井川比佐志)のもとへ誠がやってきた。誠は加奈と翔太を応援すると言い、血筋を絶やしたくないと言い張る四郎に反対ではなく励ますのが役割じゃないかと訴える。すると、四郎がおもむろに金を貸そうと言い出し、誠は…。  　翔太は重夫(風間杜夫)と律子(キムラ緑子)が暮らすアパートへ来ていた。口げんかをしながらも仲良さそうな2人と乾杯し、食事をする翔太。  　とある喫茶店で誠は朋也(岸部一徳)と向かい合って座っていた。誠は四郎と同様に2人を応援して欲しいと言うが、朋也はあなたには関係ないと言い…。　誠の来訪を聞いた加奈と翔太は、それぞれ誠に連絡を取るが携帯は電源が切られたままだ。誠を心配し、会うことにする加奈と翔太。待ち合わせの喫茶店に行く前に、2人はそれぞれ誠の家に行っていたが、誠は不在だった。不安を募らせつつも、2人は喫茶店で誠の行動について話し合う。  　後日、誠に呼び出された加奈と翔太。指定された場所は、誠には似つかわしくない高級そうな料亭だった。そこで誠から思わぬ報告を受ける。</v>
      </c>
      <c r="N1851" s="2"/>
      <c r="O1851" s="2"/>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row>
    <row r="1852" ht="204.75" customHeight="1">
      <c r="A1852" s="1">
        <v>5454.0</v>
      </c>
      <c r="B1852" s="2" t="s">
        <v>5858</v>
      </c>
      <c r="C1852" s="2">
        <f>IFERROR(__xludf.DUMMYFUNCTION("split(B1852,""_"")"),901.0)</f>
        <v>901</v>
      </c>
      <c r="D1852" s="2" t="str">
        <f>IFERROR(__xludf.DUMMYFUNCTION("""COMPUTED_VALUE"""),"CX")</f>
        <v>CX</v>
      </c>
      <c r="E1852" s="2" t="str">
        <f>IFERROR(__xludf.DUMMYFUNCTION("""COMPUTED_VALUE"""),"木22")</f>
        <v>木22</v>
      </c>
      <c r="F1852" s="2" t="s">
        <v>5859</v>
      </c>
      <c r="G1852" s="2" t="s">
        <v>5890</v>
      </c>
      <c r="H1852" s="1">
        <v>11.0</v>
      </c>
      <c r="I1852" s="1" t="s">
        <v>41</v>
      </c>
      <c r="J1852" s="1" t="s">
        <v>86</v>
      </c>
      <c r="K1852" s="2" t="s">
        <v>5891</v>
      </c>
      <c r="L1852" s="2" t="s">
        <v>5892</v>
      </c>
      <c r="M1852" s="2" t="str">
        <f>IFERROR(__xludf.DUMMYFUNCTION("split(split(K1852,""仲間由紀恵　"",false),""公式LINE"",false)"),"見知らぬ若い女性から赤ん坊を預かった中城加奈(仲間由紀恵)と田崎翔太(加瀬亮)。5分で戻ると言ったその女性は、20分経っても戻ってこなかった。トイレに女性を探しに行くも女性の姿はなく、その後も慣れないながらもミルクをあげたり、おしめを換えたりと、買いに走った育児本を参考にしながら懸命に世話を焼く加奈と翔太。  　2時間が経過した。警察に届けようと提案する翔太に加奈は、「もう少しこうしていたい」と本音を漏らす。さらに数時間が経過するが、女性は現れる気配はなかった。翔太が加奈に内緒で誠(陣内孝則)と警官の権藤"&amp;"(塩見三省)を呼ぶと…。  　律子(キムラ緑子)の部屋に桂(戸田恵子)が訪ねてきた。加奈が翔太との結婚を望んでいると知り、翔太の母親である律子に会いに来たという。重夫(風間杜夫)と一緒に暮らしていることで家族付き合いを気にかけている素振りの桂に、律子は中城家とは付き合わないから心配しないでと明るく言い放つ。  　一方、朋也(岸部一徳)と重夫も喫茶店で会っていた。女装癖がバレた時を心配し、やめるべきかを話し合う2人。  　田崎家では、事務所にいた四郎(井川比佐志)が職人の神戸(松重豊)に中断していた工事の再"&amp;"開を告げた。喜ぶ神戸は、四郎にある相談を持ちかける。その夜、帰宅した翔太はかなり怒った様子で四郎の元へ行く。  　数日後、中城家と田崎家の家族がレストランで顔を合わせていた。")</f>
        <v>見知らぬ若い女性から赤ん坊を預かった中城加奈(仲間由紀恵)と田崎翔太(加瀬亮)。5分で戻ると言ったその女性は、20分経っても戻ってこなかった。トイレに女性を探しに行くも女性の姿はなく、その後も慣れないながらもミルクをあげたり、おしめを換えたりと、買いに走った育児本を参考にしながら懸命に世話を焼く加奈と翔太。  　2時間が経過した。警察に届けようと提案する翔太に加奈は、「もう少しこうしていたい」と本音を漏らす。さらに数時間が経過するが、女性は現れる気配はなかった。翔太が加奈に内緒で誠(陣内孝則)と警官の権藤(塩見三省)を呼ぶと…。  　律子(キムラ緑子)の部屋に桂(戸田恵子)が訪ねてきた。加奈が翔太との結婚を望んでいると知り、翔太の母親である律子に会いに来たという。重夫(風間杜夫)と一緒に暮らしていることで家族付き合いを気にかけている素振りの桂に、律子は中城家とは付き合わないから心配しないでと明るく言い放つ。  　一方、朋也(岸部一徳)と重夫も喫茶店で会っていた。女装癖がバレた時を心配し、やめるべきかを話し合う2人。  　田崎家では、事務所にいた四郎(井川比佐志)が職人の神戸(松重豊)に中断していた工事の再開を告げた。喜ぶ神戸は、四郎にある相談を持ちかける。その夜、帰宅した翔太はかなり怒った様子で四郎の元へ行く。  　数日後、中城家と田崎家の家族がレストランで顔を合わせていた。</v>
      </c>
      <c r="N1852" s="2"/>
      <c r="O1852" s="2"/>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row>
    <row r="1853" ht="204.75" customHeight="1">
      <c r="A1853" s="1">
        <v>5501.0</v>
      </c>
      <c r="B1853" s="2" t="s">
        <v>5893</v>
      </c>
      <c r="C1853" s="2">
        <f>IFERROR(__xludf.DUMMYFUNCTION("split(B1853,""_"")"),901.0)</f>
        <v>901</v>
      </c>
      <c r="D1853" s="2" t="str">
        <f>IFERROR(__xludf.DUMMYFUNCTION("""COMPUTED_VALUE"""),"CX")</f>
        <v>CX</v>
      </c>
      <c r="E1853" s="2" t="str">
        <f>IFERROR(__xludf.DUMMYFUNCTION("""COMPUTED_VALUE"""),"土23")</f>
        <v>土23</v>
      </c>
      <c r="F1853" s="2" t="s">
        <v>5894</v>
      </c>
      <c r="G1853" s="2" t="s">
        <v>5895</v>
      </c>
      <c r="H1853" s="1">
        <v>1.0</v>
      </c>
      <c r="I1853" s="1" t="s">
        <v>14</v>
      </c>
      <c r="J1853" s="1" t="s">
        <v>2429</v>
      </c>
      <c r="K1853" s="4" t="s">
        <v>5896</v>
      </c>
      <c r="L1853" s="2" t="s">
        <v>5897</v>
      </c>
      <c r="M1853" s="2" t="str">
        <f>IFERROR(__xludf.DUMMYFUNCTION("split(split(K1853,""南沢奈央　"",false),""公式LINE"",false)"),"竹宮芽衣(南沢奈央)たちの目下の話題は、長崎への修学旅行。特に、2日目の自由行動をどう過ごすかが話題。そんな時、西野敦史(溝端淳平)が芽衣を自由行動に誘った。山岸美亜(岡本玲)や中西優梨(鈴木かすみ)、藤原夏樹(柳下大)と神谷充(田島亮)たちは、敦史の行動に注目。だが、高橋陸(木村了)は・・・。  　芽衣と敦史は帰り道、買い物帰りの芽衣の母、幸子(渡辺典子)に会う。敦史の母親の名を知った幸子は少し動揺した様子だった。  　修学旅行初日、団体行動で盛り上がる芽衣たち。その夜、芽衣は中川沙良(桜庭ななみ)から"&amp;"孤独だった日々を打ち明けられ、感謝される。一方、敦史は担任の井上隼作(矢柴俊博)に呼ばれ、母・夏実(山本未來)が怪我をしたと知らされる。芽衣にわけを話し、自由行動が出来なくなったと詫びる敦史はひとつの提案をする。  　そして芽衣と敦史は、秘かにホテルを抜け出した。敦史は幼い頃の初恋の話を始める。芽衣はそれが自分だと気づく。敦史は芽衣に運命を信じるかと聞く。  　ホテルに帰った芽衣を沙良が待っていた。芽衣から敦史との話を聞いた沙良は、自分も陸に告白しようと思うと打ち明ける。  　翌朝、1人で出かけようとする"&amp;"芽衣を陸が追ってきた。沙良は美亜たちと行動を共にするのだが、沙良たちは芽衣と陸が一緒にいるのを目撃してしまう。ショックを受けた沙良は・・・。")</f>
        <v>竹宮芽衣(南沢奈央)たちの目下の話題は、長崎への修学旅行。特に、2日目の自由行動をどう過ごすかが話題。そんな時、西野敦史(溝端淳平)が芽衣を自由行動に誘った。山岸美亜(岡本玲)や中西優梨(鈴木かすみ)、藤原夏樹(柳下大)と神谷充(田島亮)たちは、敦史の行動に注目。だが、高橋陸(木村了)は・・・。  　芽衣と敦史は帰り道、買い物帰りの芽衣の母、幸子(渡辺典子)に会う。敦史の母親の名を知った幸子は少し動揺した様子だった。  　修学旅行初日、団体行動で盛り上がる芽衣たち。その夜、芽衣は中川沙良(桜庭ななみ)から孤独だった日々を打ち明けられ、感謝される。一方、敦史は担任の井上隼作(矢柴俊博)に呼ばれ、母・夏実(山本未來)が怪我をしたと知らされる。芽衣にわけを話し、自由行動が出来なくなったと詫びる敦史はひとつの提案をする。  　そして芽衣と敦史は、秘かにホテルを抜け出した。敦史は幼い頃の初恋の話を始める。芽衣はそれが自分だと気づく。敦史は芽衣に運命を信じるかと聞く。  　ホテルに帰った芽衣を沙良が待っていた。芽衣から敦史との話を聞いた沙良は、自分も陸に告白しようと思うと打ち明ける。  　翌朝、1人で出かけようとする芽衣を陸が追ってきた。沙良は美亜たちと行動を共にするのだが、沙良たちは芽衣と陸が一緒にいるのを目撃してしまう。ショックを受けた沙良は・・・。</v>
      </c>
      <c r="N1853" s="2"/>
      <c r="O1853" s="2"/>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row>
    <row r="1854" ht="204.75" customHeight="1">
      <c r="A1854" s="1">
        <v>5502.0</v>
      </c>
      <c r="B1854" s="2" t="s">
        <v>5893</v>
      </c>
      <c r="C1854" s="2">
        <f>IFERROR(__xludf.DUMMYFUNCTION("split(B1854,""_"")"),901.0)</f>
        <v>901</v>
      </c>
      <c r="D1854" s="2" t="str">
        <f>IFERROR(__xludf.DUMMYFUNCTION("""COMPUTED_VALUE"""),"CX")</f>
        <v>CX</v>
      </c>
      <c r="E1854" s="2" t="str">
        <f>IFERROR(__xludf.DUMMYFUNCTION("""COMPUTED_VALUE"""),"土23")</f>
        <v>土23</v>
      </c>
      <c r="F1854" s="2" t="s">
        <v>5894</v>
      </c>
      <c r="G1854" s="2" t="s">
        <v>5898</v>
      </c>
      <c r="H1854" s="1">
        <v>2.0</v>
      </c>
      <c r="I1854" s="1" t="s">
        <v>17</v>
      </c>
      <c r="J1854" s="1" t="s">
        <v>2429</v>
      </c>
      <c r="K1854" s="2" t="s">
        <v>5899</v>
      </c>
      <c r="L1854" s="2" t="s">
        <v>5900</v>
      </c>
      <c r="M1854" s="2" t="str">
        <f>IFERROR(__xludf.DUMMYFUNCTION("split(split(K1854,""南沢奈央　"",false),""公式LINE"",false)"),"竹宮芽衣(南沢奈央)の修学旅行は暗転。自由行動の日、一緒に出かける予定だった西野敦史(溝端淳平)が急遽、母の夏実(山本未來)の入院する医療センターに向かったため、芽衣は高橋陸(木村了)と過ごす。そんな2人の関係を誤解した中川沙良(桜庭ななみ)が、ホテルの屋上から飛び降りてしまった。  　一方、敦史は医療センターで太田一平医師(鈴木浩介)から、環境を整えるためにも夏実を他のリハビリ施設に入れた方が良いと勧められた。  　敦史を芽衣の母、幸子(渡辺典子)が訪ねて来て、芽衣と別れて欲しいと言われてしまう。幸子は"&amp;"、夏実の過去を知っていたのだ。  　3年1組の生徒たちは、沙良の事故が心配。教室には芽衣と敦史の姿はない。芽衣を心配する山岸美亜(岡本玲)たちも、連絡は取れていなかった。  　敦史は幸子に言われたことを夏実に問いただすが、答えは得られない。神社に戻った敦史を、田所麻美(石橋杏奈)が待っていた。麻美を敦史が送っている姿を芽衣と陸が見てしまう。陸は、敦史に声をかけなくて良いのかと尋ねるが、芽衣は大丈夫と答えた。しかし、修学旅行以来、芽衣と敦史の連絡は途絶えている。  　夏実をリハビリ施設に移し、自身も引っ越そ"&amp;"うと考える敦史は、薬物を流していた村越浩市(松田賢二)を訪ね、これ以上関わらないで欲しいと頼む。すると、村越は思わぬ事を言い出した。それは、幸子から聞いた過去の事実を裏付けていた。")</f>
        <v>竹宮芽衣(南沢奈央)の修学旅行は暗転。自由行動の日、一緒に出かける予定だった西野敦史(溝端淳平)が急遽、母の夏実(山本未來)の入院する医療センターに向かったため、芽衣は高橋陸(木村了)と過ごす。そんな2人の関係を誤解した中川沙良(桜庭ななみ)が、ホテルの屋上から飛び降りてしまった。  　一方、敦史は医療センターで太田一平医師(鈴木浩介)から、環境を整えるためにも夏実を他のリハビリ施設に入れた方が良いと勧められた。  　敦史を芽衣の母、幸子(渡辺典子)が訪ねて来て、芽衣と別れて欲しいと言われてしまう。幸子は、夏実の過去を知っていたのだ。  　3年1組の生徒たちは、沙良の事故が心配。教室には芽衣と敦史の姿はない。芽衣を心配する山岸美亜(岡本玲)たちも、連絡は取れていなかった。  　敦史は幸子に言われたことを夏実に問いただすが、答えは得られない。神社に戻った敦史を、田所麻美(石橋杏奈)が待っていた。麻美を敦史が送っている姿を芽衣と陸が見てしまう。陸は、敦史に声をかけなくて良いのかと尋ねるが、芽衣は大丈夫と答えた。しかし、修学旅行以来、芽衣と敦史の連絡は途絶えている。  　夏実をリハビリ施設に移し、自身も引っ越そうと考える敦史は、薬物を流していた村越浩市(松田賢二)を訪ね、これ以上関わらないで欲しいと頼む。すると、村越は思わぬ事を言い出した。それは、幸子から聞いた過去の事実を裏付けていた。</v>
      </c>
      <c r="N1854" s="2"/>
      <c r="O1854" s="2"/>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row>
    <row r="1855" ht="204.75" customHeight="1">
      <c r="A1855" s="1">
        <v>5503.0</v>
      </c>
      <c r="B1855" s="2" t="s">
        <v>5893</v>
      </c>
      <c r="C1855" s="2">
        <f>IFERROR(__xludf.DUMMYFUNCTION("split(B1855,""_"")"),901.0)</f>
        <v>901</v>
      </c>
      <c r="D1855" s="2" t="str">
        <f>IFERROR(__xludf.DUMMYFUNCTION("""COMPUTED_VALUE"""),"CX")</f>
        <v>CX</v>
      </c>
      <c r="E1855" s="2" t="str">
        <f>IFERROR(__xludf.DUMMYFUNCTION("""COMPUTED_VALUE"""),"土23")</f>
        <v>土23</v>
      </c>
      <c r="F1855" s="2" t="s">
        <v>5894</v>
      </c>
      <c r="G1855" s="2" t="s">
        <v>5901</v>
      </c>
      <c r="H1855" s="1">
        <v>3.0</v>
      </c>
      <c r="I1855" s="1" t="s">
        <v>21</v>
      </c>
      <c r="J1855" s="1" t="s">
        <v>2429</v>
      </c>
      <c r="K1855" s="2" t="s">
        <v>5902</v>
      </c>
      <c r="L1855" s="2" t="s">
        <v>5903</v>
      </c>
      <c r="M1855" s="2" t="str">
        <f>IFERROR(__xludf.DUMMYFUNCTION("split(split(K1855,""南沢奈央　"",false),""公式LINE"",false)"),"竹宮芽衣(南沢奈央)の部屋に、残った宿題を片付けるため山岸美亜(岡本玲)と中西優梨(鈴木かすみ)が来た。  　藤原夏樹(柳下大)と図書館に行ったと言う優梨を羨ましがる美亜。だが、芽衣は中川沙良(桜庭ななみ)のことが気になる。さらに芽衣は修学旅行以来、西野敦史(溝端淳平)に会えないどころか、連絡もつかずにいた。  　その頃、敦史はリハビリ施設に移る母・夏実(山本未來)に付いて行くために引越しの準備をしていた。  　その時、敦史は荷物の中にアルバムを見つける。中には、幼い敦史と並んで眠る赤ちゃんの写真。裏には"&amp;"“敦史1歳、芽衣ちゃんと""と書かれていた。  　翌朝、芽衣たちは、担任の井上隼作(矢柴俊博)から沙良の退院を知らされる。だが、沙良は大阪の学校に転校すると言う。帰り道、芽衣と美亜、優梨、高橋陸(木村了)は沙良の家へ。すると沙良が出てきたが、事故の後遺症で記憶を失っていた。  　そして芽衣たちは、沙良の母親から娘のことは忘れて欲しいと言われてしまう。  　夕方、神社に来た敦史を森崎孝道(小木茂光)は、芽衣に何も告げずにいなくなるつもりかと諭す。  　次の日、幸子(渡辺典子)を敦史が訪ねる。敦史は夏実が持っ"&amp;"ていた写真を示して過去の出来事を問う。すると幸子は、真実を語った。敦史も自分の芽衣への気持ちを正直に話す。その上で、ある決意も口にした。  　引越し前夜。敦史は、芽衣を呼び出し…。")</f>
        <v>竹宮芽衣(南沢奈央)の部屋に、残った宿題を片付けるため山岸美亜(岡本玲)と中西優梨(鈴木かすみ)が来た。  　藤原夏樹(柳下大)と図書館に行ったと言う優梨を羨ましがる美亜。だが、芽衣は中川沙良(桜庭ななみ)のことが気になる。さらに芽衣は修学旅行以来、西野敦史(溝端淳平)に会えないどころか、連絡もつかずにいた。  　その頃、敦史はリハビリ施設に移る母・夏実(山本未來)に付いて行くために引越しの準備をしていた。  　その時、敦史は荷物の中にアルバムを見つける。中には、幼い敦史と並んで眠る赤ちゃんの写真。裏には“敦史1歳、芽衣ちゃんと"と書かれていた。  　翌朝、芽衣たちは、担任の井上隼作(矢柴俊博)から沙良の退院を知らされる。だが、沙良は大阪の学校に転校すると言う。帰り道、芽衣と美亜、優梨、高橋陸(木村了)は沙良の家へ。すると沙良が出てきたが、事故の後遺症で記憶を失っていた。  　そして芽衣たちは、沙良の母親から娘のことは忘れて欲しいと言われてしまう。  　夕方、神社に来た敦史を森崎孝道(小木茂光)は、芽衣に何も告げずにいなくなるつもりかと諭す。  　次の日、幸子(渡辺典子)を敦史が訪ねる。敦史は夏実が持っていた写真を示して過去の出来事を問う。すると幸子は、真実を語った。敦史も自分の芽衣への気持ちを正直に話す。その上で、ある決意も口にした。  　引越し前夜。敦史は、芽衣を呼び出し…。</v>
      </c>
      <c r="N1855" s="2"/>
      <c r="O1855" s="2"/>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row>
    <row r="1856" ht="204.75" customHeight="1">
      <c r="A1856" s="1">
        <v>5504.0</v>
      </c>
      <c r="B1856" s="2" t="s">
        <v>5893</v>
      </c>
      <c r="C1856" s="2">
        <f>IFERROR(__xludf.DUMMYFUNCTION("split(B1856,""_"")"),901.0)</f>
        <v>901</v>
      </c>
      <c r="D1856" s="2" t="str">
        <f>IFERROR(__xludf.DUMMYFUNCTION("""COMPUTED_VALUE"""),"CX")</f>
        <v>CX</v>
      </c>
      <c r="E1856" s="2" t="str">
        <f>IFERROR(__xludf.DUMMYFUNCTION("""COMPUTED_VALUE"""),"土23")</f>
        <v>土23</v>
      </c>
      <c r="F1856" s="2" t="s">
        <v>5894</v>
      </c>
      <c r="G1856" s="2" t="s">
        <v>5904</v>
      </c>
      <c r="H1856" s="1">
        <v>4.0</v>
      </c>
      <c r="I1856" s="1" t="s">
        <v>25</v>
      </c>
      <c r="J1856" s="1" t="s">
        <v>1435</v>
      </c>
      <c r="K1856" s="2" t="s">
        <v>5905</v>
      </c>
      <c r="L1856" s="2" t="s">
        <v>5906</v>
      </c>
      <c r="M1856" s="2" t="str">
        <f>IFERROR(__xludf.DUMMYFUNCTION("split(split(K1856,""南沢奈央　"",false),""公式LINE"",false)"),"3年生になった竹宮芽衣(南沢奈央)たちの高校受験日が迫っていた。仲間たちは、絵馬を書いて神頼み。そこに森崎孝道(小木茂光)が来た。絵馬で願掛けする芽衣たちを良い心がけだと褒めた森崎は、自身も西野敦史(溝端淳平)にお守りとお札を送ったと言う。久しぶりに敦史の話を聞いた仲間たちは、元気でいるのかなど、ひとしきり話題となるが、芽衣はその話に加わらない。　昼休み、山岸美亜(岡本玲)は何も言わずに去った敦史を責める。すると、芽衣は敦史が引っ越す日に会いに行ったことを話す。そして芽衣は、敦史とは本当に終わったと言った"&amp;"。帰り道、芽衣は高橋陸(木村了)に誘われる。陸は、芽衣と同じ高校に受かったら付き合って欲しいと告白。  　合格発表日。芽衣と美亜は、そろって桜川高校に合格。だが、陸は願いも虚しく不合格。そんな陸だが、芽衣は交際することに。高校生活が始まると、芽衣は陸の授業前に毎日会うことを約束。美亜も充(田島亮)と付き合い始めていた。芽衣と陸は、約束通りに同じ時間に会い続ける日々となる。だが、そんな時、敦史が地元に帰ってきていることが発覚。芽衣の敦史への心残りを疑う陸は・・・。")</f>
        <v>3年生になった竹宮芽衣(南沢奈央)たちの高校受験日が迫っていた。仲間たちは、絵馬を書いて神頼み。そこに森崎孝道(小木茂光)が来た。絵馬で願掛けする芽衣たちを良い心がけだと褒めた森崎は、自身も西野敦史(溝端淳平)にお守りとお札を送ったと言う。久しぶりに敦史の話を聞いた仲間たちは、元気でいるのかなど、ひとしきり話題となるが、芽衣はその話に加わらない。　昼休み、山岸美亜(岡本玲)は何も言わずに去った敦史を責める。すると、芽衣は敦史が引っ越す日に会いに行ったことを話す。そして芽衣は、敦史とは本当に終わったと言った。帰り道、芽衣は高橋陸(木村了)に誘われる。陸は、芽衣と同じ高校に受かったら付き合って欲しいと告白。  　合格発表日。芽衣と美亜は、そろって桜川高校に合格。だが、陸は願いも虚しく不合格。そんな陸だが、芽衣は交際することに。高校生活が始まると、芽衣は陸の授業前に毎日会うことを約束。美亜も充(田島亮)と付き合い始めていた。芽衣と陸は、約束通りに同じ時間に会い続ける日々となる。だが、そんな時、敦史が地元に帰ってきていることが発覚。芽衣の敦史への心残りを疑う陸は・・・。</v>
      </c>
      <c r="N1856" s="2"/>
      <c r="O1856" s="2"/>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row>
    <row r="1857" ht="204.75" customHeight="1">
      <c r="A1857" s="1">
        <v>5505.0</v>
      </c>
      <c r="B1857" s="2" t="s">
        <v>5893</v>
      </c>
      <c r="C1857" s="2">
        <f>IFERROR(__xludf.DUMMYFUNCTION("split(B1857,""_"")"),901.0)</f>
        <v>901</v>
      </c>
      <c r="D1857" s="2" t="str">
        <f>IFERROR(__xludf.DUMMYFUNCTION("""COMPUTED_VALUE"""),"CX")</f>
        <v>CX</v>
      </c>
      <c r="E1857" s="2" t="str">
        <f>IFERROR(__xludf.DUMMYFUNCTION("""COMPUTED_VALUE"""),"土23")</f>
        <v>土23</v>
      </c>
      <c r="F1857" s="2" t="s">
        <v>5894</v>
      </c>
      <c r="G1857" s="2" t="s">
        <v>5907</v>
      </c>
      <c r="H1857" s="1">
        <v>5.0</v>
      </c>
      <c r="I1857" s="1" t="s">
        <v>29</v>
      </c>
      <c r="J1857" s="1" t="s">
        <v>2429</v>
      </c>
      <c r="K1857" s="2" t="s">
        <v>5908</v>
      </c>
      <c r="L1857" s="2" t="s">
        <v>5909</v>
      </c>
      <c r="M1857" s="2" t="str">
        <f>IFERROR(__xludf.DUMMYFUNCTION("split(split(K1857,""南沢奈央　"",false),""公式LINE"",false)"),"竹宮芽衣(南沢奈央)は、高橋陸(木村了)と交際をはじめた。昼間の高校に通う芽衣は、陸の夜間高校の授業が始まる前に毎日会うことを約束。しかし、次第に陸が変化してくる。芽衣の生活の自由を認めず、自分の意見が通らないと暴力を振るうようになったのだ。  　一方、西野敦史(溝端淳平)は母・夏実(山本未來)のリハビリが順調であることを以前、世話になった太田一平医師(鈴木浩介)に話した。太田は、まだまだこれからだと敦史を諭す。  　ある日、芽衣は山岸美亜(岡本玲)が、神谷充(田島亮)と別れたと知る。美亜の話を聞きたい芽"&amp;"衣だが、陸は芽衣を離そうとしない。その頃美亜は川口ミヤビ(平田薫)に誘われ、村越浩市(松田賢二)の店へ。  　翌日美亜は学校を休んだ。芽衣は放課後、陸との約束も忘れて探しに行く。しかし、最初に美亜を見つけたのは敦史。敦史は美亜の不安定な様子に、すぐさま薬物の使用を疑う。そこに芽衣も現れた。2人が美亜を説得していたところに、陸が来た。陸は芽衣の事情も聞かずに殴りつける。敦史が引き止めに入るが、陸は敦史には関係ないと言う。そして芽衣も同調し…。  　芽衣に暴力を振るってしまい、自己嫌悪に陥った陸を芽衣が訪ねて"&amp;"来た。自分を信じて欲しいと訴える芽衣に、陸は目が覚める。  　大叶神社の祭りの日、陸は敦史と会う。陸は、なぜ芽衣と別れたのかと敦史に聞く。神社には陸に呼ばれた芽衣も来ていて…。")</f>
        <v>竹宮芽衣(南沢奈央)は、高橋陸(木村了)と交際をはじめた。昼間の高校に通う芽衣は、陸の夜間高校の授業が始まる前に毎日会うことを約束。しかし、次第に陸が変化してくる。芽衣の生活の自由を認めず、自分の意見が通らないと暴力を振るうようになったのだ。  　一方、西野敦史(溝端淳平)は母・夏実(山本未來)のリハビリが順調であることを以前、世話になった太田一平医師(鈴木浩介)に話した。太田は、まだまだこれからだと敦史を諭す。  　ある日、芽衣は山岸美亜(岡本玲)が、神谷充(田島亮)と別れたと知る。美亜の話を聞きたい芽衣だが、陸は芽衣を離そうとしない。その頃美亜は川口ミヤビ(平田薫)に誘われ、村越浩市(松田賢二)の店へ。  　翌日美亜は学校を休んだ。芽衣は放課後、陸との約束も忘れて探しに行く。しかし、最初に美亜を見つけたのは敦史。敦史は美亜の不安定な様子に、すぐさま薬物の使用を疑う。そこに芽衣も現れた。2人が美亜を説得していたところに、陸が来た。陸は芽衣の事情も聞かずに殴りつける。敦史が引き止めに入るが、陸は敦史には関係ないと言う。そして芽衣も同調し…。  　芽衣に暴力を振るってしまい、自己嫌悪に陥った陸を芽衣が訪ねて来た。自分を信じて欲しいと訴える芽衣に、陸は目が覚める。  　大叶神社の祭りの日、陸は敦史と会う。陸は、なぜ芽衣と別れたのかと敦史に聞く。神社には陸に呼ばれた芽衣も来ていて…。</v>
      </c>
      <c r="N1857" s="2"/>
      <c r="O1857" s="2"/>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row>
    <row r="1858" ht="204.75" customHeight="1">
      <c r="A1858" s="1">
        <v>5506.0</v>
      </c>
      <c r="B1858" s="2" t="s">
        <v>5893</v>
      </c>
      <c r="C1858" s="2">
        <f>IFERROR(__xludf.DUMMYFUNCTION("split(B1858,""_"")"),901.0)</f>
        <v>901</v>
      </c>
      <c r="D1858" s="2" t="str">
        <f>IFERROR(__xludf.DUMMYFUNCTION("""COMPUTED_VALUE"""),"CX")</f>
        <v>CX</v>
      </c>
      <c r="E1858" s="2" t="str">
        <f>IFERROR(__xludf.DUMMYFUNCTION("""COMPUTED_VALUE"""),"土23")</f>
        <v>土23</v>
      </c>
      <c r="F1858" s="2" t="s">
        <v>5894</v>
      </c>
      <c r="G1858" s="2" t="s">
        <v>5910</v>
      </c>
      <c r="H1858" s="1">
        <v>6.0</v>
      </c>
      <c r="I1858" s="1" t="s">
        <v>33</v>
      </c>
      <c r="J1858" s="1" t="s">
        <v>2429</v>
      </c>
      <c r="K1858" s="2" t="s">
        <v>5911</v>
      </c>
      <c r="L1858" s="2" t="s">
        <v>5912</v>
      </c>
      <c r="M1858" s="2" t="str">
        <f>IFERROR(__xludf.DUMMYFUNCTION("split(split(K1858,""南沢奈央　"",false),""公式LINE"",false)"),"竹宮芽衣(南沢奈央)たちは高橋陸(木村了)の葬儀に出席した。そこで芽衣は、陸が事故の直前に西野敦史(溝端淳平)に言ったことを尋ねる。それに対して敦史は、陸は自分と芽衣のことを最後まで気にかけていたと答えた。  　それから6カ月後。芽衣と敦史の関係が心配な田所麻美(石橋杏奈)は2人の誕生日が2月29日だと知る。麻美は芽衣に直接会い、2人が4年に1度しかない2月29日の誕生日だとしても、自分と敦史は運命で結ばれていると話す。すると芽衣は敦史との関係は終わったことだと麻美に告げた。麻美は芽衣に会ったことを敦史に"&amp;"話し、誕生日を一緒に過ごそうと約束する。  　リハビリを終えて帰ってきた夏実(山本未來)は幸子(渡辺典子)と会う。幸子は15年前の真実を教えて欲しいと頼むが、夏実は答えずに去った。  　2月29日、芽衣と敦史の誕生日。芽衣は、美亜(岡本玲)たちと陸の墓参りに行く。その頃、敦史は夏実のいたリハビリセンターからの電話を受け、リハビリが終了していなかったことを知る。  　一方、芽衣が家に帰ると幸子と寿久(甲本雅裕)が言い争っていた。そして、幸子は寿久との離婚を切り出す。さらに、幸子は芽衣の出生の事実も話し始めた"&amp;"。  　誕生日に両親の離婚と自分の出生の真実を知ってしまった芽衣。そして敦史は薬物から抜け出せない夏実にショックを受けていた。傷ついた2人の足は、自然とある場所へと向かっていた。")</f>
        <v>竹宮芽衣(南沢奈央)たちは高橋陸(木村了)の葬儀に出席した。そこで芽衣は、陸が事故の直前に西野敦史(溝端淳平)に言ったことを尋ねる。それに対して敦史は、陸は自分と芽衣のことを最後まで気にかけていたと答えた。  　それから6カ月後。芽衣と敦史の関係が心配な田所麻美(石橋杏奈)は2人の誕生日が2月29日だと知る。麻美は芽衣に直接会い、2人が4年に1度しかない2月29日の誕生日だとしても、自分と敦史は運命で結ばれていると話す。すると芽衣は敦史との関係は終わったことだと麻美に告げた。麻美は芽衣に会ったことを敦史に話し、誕生日を一緒に過ごそうと約束する。  　リハビリを終えて帰ってきた夏実(山本未來)は幸子(渡辺典子)と会う。幸子は15年前の真実を教えて欲しいと頼むが、夏実は答えずに去った。  　2月29日、芽衣と敦史の誕生日。芽衣は、美亜(岡本玲)たちと陸の墓参りに行く。その頃、敦史は夏実のいたリハビリセンターからの電話を受け、リハビリが終了していなかったことを知る。  　一方、芽衣が家に帰ると幸子と寿久(甲本雅裕)が言い争っていた。そして、幸子は寿久との離婚を切り出す。さらに、幸子は芽衣の出生の事実も話し始めた。  　誕生日に両親の離婚と自分の出生の真実を知ってしまった芽衣。そして敦史は薬物から抜け出せない夏実にショックを受けていた。傷ついた2人の足は、自然とある場所へと向かっていた。</v>
      </c>
      <c r="N1858" s="2"/>
      <c r="O1858" s="2"/>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row>
    <row r="1859" ht="204.75" customHeight="1">
      <c r="A1859" s="1">
        <v>5507.0</v>
      </c>
      <c r="B1859" s="2" t="s">
        <v>5893</v>
      </c>
      <c r="C1859" s="2">
        <f>IFERROR(__xludf.DUMMYFUNCTION("split(B1859,""_"")"),901.0)</f>
        <v>901</v>
      </c>
      <c r="D1859" s="2" t="str">
        <f>IFERROR(__xludf.DUMMYFUNCTION("""COMPUTED_VALUE"""),"CX")</f>
        <v>CX</v>
      </c>
      <c r="E1859" s="2" t="str">
        <f>IFERROR(__xludf.DUMMYFUNCTION("""COMPUTED_VALUE"""),"土23")</f>
        <v>土23</v>
      </c>
      <c r="F1859" s="2" t="s">
        <v>5894</v>
      </c>
      <c r="G1859" s="2" t="s">
        <v>5913</v>
      </c>
      <c r="H1859" s="1">
        <v>7.0</v>
      </c>
      <c r="I1859" s="1" t="s">
        <v>37</v>
      </c>
      <c r="J1859" s="1" t="s">
        <v>2429</v>
      </c>
      <c r="K1859" s="2" t="s">
        <v>5914</v>
      </c>
      <c r="L1859" s="2" t="s">
        <v>5915</v>
      </c>
      <c r="M1859" s="2" t="str">
        <f>IFERROR(__xludf.DUMMYFUNCTION("split(split(K1859,""南沢奈央　"",false),""公式LINE"",false)"),"新学期が始まると、竹宮芽衣(南沢奈央)と山岸美亜(岡本玲)は中西優梨(鈴木かすみ)に、藤原夏樹(柳下大)との子供が出来たことを知る。芽衣と美亜は、夏樹に話したのかと聞くが優梨はためらっていた。  　西野敦史(溝端淳平)は、太田一平医師(鈴木浩介)のカウンセリングを受ける田所麻美(石橋杏奈)に付き添う。そこで、敦史は夏実(山本未來)が引きこもっていると太田に相談する。  　優梨は、夏樹に妊娠していなかったとウソをつく。ホッとしたと喜ぶ夏樹。優梨は、そんな夏樹に自分のことしか考えていないと訴え、去っていった。"&amp;"優梨の様子を見て、夏樹は優梨の妊娠に気づく。  　そんな2人を見ていた敦史に気づいた夏樹は、優梨のことを話す。育てられるわけがないと言う夏樹に、敦史は、子供は親を選べないと突きつける。  　その頃、優梨は芽衣に、一緒に病院へ行って欲しいと頼むのだが、芽衣は夏樹ときちんと話し合うよう促していた。そして芽衣は、美亜と一緒に夏樹に会いに行くことに。途中、川口ミヤビ(平田薫)が安田愁(若葉竜也)らと薬物取引をしているところに出くわす。その時、愁たちに警官が躍り掛かり、芽衣と美亜は、ミヤビと一緒に逃げ出した。  　"&amp;"同じ頃、夏実を探していた敦史が森崎孝道(小木茂光)と村越浩市(森田賢二)の店に行くと芽衣と美亜がいた。敦史の問いに村越は夏実はいないと言う。芽衣らを連れて店を出ようとする敦史だが…。")</f>
        <v>新学期が始まると、竹宮芽衣(南沢奈央)と山岸美亜(岡本玲)は中西優梨(鈴木かすみ)に、藤原夏樹(柳下大)との子供が出来たことを知る。芽衣と美亜は、夏樹に話したのかと聞くが優梨はためらっていた。  　西野敦史(溝端淳平)は、太田一平医師(鈴木浩介)のカウンセリングを受ける田所麻美(石橋杏奈)に付き添う。そこで、敦史は夏実(山本未來)が引きこもっていると太田に相談する。  　優梨は、夏樹に妊娠していなかったとウソをつく。ホッとしたと喜ぶ夏樹。優梨は、そんな夏樹に自分のことしか考えていないと訴え、去っていった。優梨の様子を見て、夏樹は優梨の妊娠に気づく。  　そんな2人を見ていた敦史に気づいた夏樹は、優梨のことを話す。育てられるわけがないと言う夏樹に、敦史は、子供は親を選べないと突きつける。  　その頃、優梨は芽衣に、一緒に病院へ行って欲しいと頼むのだが、芽衣は夏樹ときちんと話し合うよう促していた。そして芽衣は、美亜と一緒に夏樹に会いに行くことに。途中、川口ミヤビ(平田薫)が安田愁(若葉竜也)らと薬物取引をしているところに出くわす。その時、愁たちに警官が躍り掛かり、芽衣と美亜は、ミヤビと一緒に逃げ出した。  　同じ頃、夏実を探していた敦史が森崎孝道(小木茂光)と村越浩市(森田賢二)の店に行くと芽衣と美亜がいた。敦史の問いに村越は夏実はいないと言う。芽衣らを連れて店を出ようとする敦史だが…。</v>
      </c>
      <c r="N1859" s="2"/>
      <c r="O1859" s="2"/>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row>
    <row r="1860" ht="204.75" customHeight="1">
      <c r="A1860" s="1">
        <v>5508.0</v>
      </c>
      <c r="B1860" s="2" t="s">
        <v>5893</v>
      </c>
      <c r="C1860" s="2">
        <f>IFERROR(__xludf.DUMMYFUNCTION("split(B1860,""_"")"),901.0)</f>
        <v>901</v>
      </c>
      <c r="D1860" s="2" t="str">
        <f>IFERROR(__xludf.DUMMYFUNCTION("""COMPUTED_VALUE"""),"CX")</f>
        <v>CX</v>
      </c>
      <c r="E1860" s="2" t="str">
        <f>IFERROR(__xludf.DUMMYFUNCTION("""COMPUTED_VALUE"""),"土23")</f>
        <v>土23</v>
      </c>
      <c r="F1860" s="2" t="s">
        <v>5894</v>
      </c>
      <c r="G1860" s="2" t="s">
        <v>5916</v>
      </c>
      <c r="H1860" s="1">
        <v>8.0</v>
      </c>
      <c r="I1860" s="1" t="s">
        <v>41</v>
      </c>
      <c r="J1860" s="1" t="s">
        <v>2429</v>
      </c>
      <c r="K1860" s="2" t="s">
        <v>5917</v>
      </c>
      <c r="L1860" s="2" t="s">
        <v>5918</v>
      </c>
      <c r="M1860" s="2" t="str">
        <f>IFERROR(__xludf.DUMMYFUNCTION("split(split(K1860,""南沢奈央　"",false),""公式LINE"",false)"),"竹宮芽衣(南沢奈央)は西野敦史(溝端淳平)の母・夏実(山本未來)から突然謝罪された。夏実は芽衣の実の母・石川マチ子(山口紗弥加)が死んだのは自分のせいだと言う。この告白に芽衣は戸惑う。  　家に帰った芽衣は幸子(渡辺典子)にそのことを話し、なぜマチ子が死ななければならなかったのかと尋ねる。すると幸子は1通の封筒を芽衣に渡した。それは16歳になった芽衣へと、実の父・春生(浜田学)が書き遺したもの。春生はすでに他界していた。  　芽衣と敦史以外の仲間たちにも、転機が訪れていた。藤原夏樹(柳下大)と中西優梨(鈴"&amp;"木かすみ)は覚悟を決めて産婦人科へ。山岸美亜(岡本玲)は川口ミヤビ(平田薫)を安田愁(若葉竜也)のグループから抜けさせようとする。  　芽衣たちはいつもの店に集まる。そこで夏樹は優梨と自分の子供に関しての決意を語る。店を出た芽衣の携帯電話がメールを着信。中川沙良(桜庭ななみ)からだった。　芽衣は鈴の森第二中学校で沙良と会う。沙良は、携帯電話に自分が送っていた「明日の私へ」というメールフォルダーで自分の過去を知ったと言う。そして、なぜ敦史と別れてしまったのかと沙良は問う。  　数日後、芽衣は夏実の病室を訪ね"&amp;"る。夏実の過去の贖罪(しょくざい)を、自分は不幸ではなかったと否定する芽衣は、敦史への想いを話し始め・・・。")</f>
        <v>竹宮芽衣(南沢奈央)は西野敦史(溝端淳平)の母・夏実(山本未來)から突然謝罪された。夏実は芽衣の実の母・石川マチ子(山口紗弥加)が死んだのは自分のせいだと言う。この告白に芽衣は戸惑う。  　家に帰った芽衣は幸子(渡辺典子)にそのことを話し、なぜマチ子が死ななければならなかったのかと尋ねる。すると幸子は1通の封筒を芽衣に渡した。それは16歳になった芽衣へと、実の父・春生(浜田学)が書き遺したもの。春生はすでに他界していた。  　芽衣と敦史以外の仲間たちにも、転機が訪れていた。藤原夏樹(柳下大)と中西優梨(鈴木かすみ)は覚悟を決めて産婦人科へ。山岸美亜(岡本玲)は川口ミヤビ(平田薫)を安田愁(若葉竜也)のグループから抜けさせようとする。  　芽衣たちはいつもの店に集まる。そこで夏樹は優梨と自分の子供に関しての決意を語る。店を出た芽衣の携帯電話がメールを着信。中川沙良(桜庭ななみ)からだった。　芽衣は鈴の森第二中学校で沙良と会う。沙良は、携帯電話に自分が送っていた「明日の私へ」というメールフォルダーで自分の過去を知ったと言う。そして、なぜ敦史と別れてしまったのかと沙良は問う。  　数日後、芽衣は夏実の病室を訪ねる。夏実の過去の贖罪(しょくざい)を、自分は不幸ではなかったと否定する芽衣は、敦史への想いを話し始め・・・。</v>
      </c>
      <c r="N1860" s="2"/>
      <c r="O1860" s="2"/>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row>
    <row r="1861" ht="204.75" customHeight="1">
      <c r="A1861" s="1">
        <v>5518.0</v>
      </c>
      <c r="B1861" s="2" t="s">
        <v>5919</v>
      </c>
      <c r="C1861" s="2">
        <f>IFERROR(__xludf.DUMMYFUNCTION("split(B1861,""_"")"),810.0)</f>
        <v>810</v>
      </c>
      <c r="D1861" s="2" t="str">
        <f>IFERROR(__xludf.DUMMYFUNCTION("""COMPUTED_VALUE"""),"CX")</f>
        <v>CX</v>
      </c>
      <c r="E1861" s="2" t="str">
        <f>IFERROR(__xludf.DUMMYFUNCTION("""COMPUTED_VALUE"""),"月21")</f>
        <v>月21</v>
      </c>
      <c r="F1861" s="2" t="s">
        <v>5920</v>
      </c>
      <c r="G1861" s="2" t="s">
        <v>5921</v>
      </c>
      <c r="H1861" s="1">
        <v>1.0</v>
      </c>
      <c r="I1861" s="1" t="s">
        <v>3</v>
      </c>
      <c r="J1861" s="1" t="s">
        <v>4</v>
      </c>
      <c r="K1861" s="4" t="s">
        <v>5922</v>
      </c>
      <c r="L1861" s="2" t="s">
        <v>5923</v>
      </c>
      <c r="M1861" s="2" t="str">
        <f>IFERROR(__xludf.DUMMYFUNCTION("split(split(K1861,""堀北真希　"",false),""公式LINE"",false)"),"秋山佳音(堀北真希)は、6年前に両親を殺された。犯人として逮捕されたのは、5歳上の兄・耀司(福士誠治)だった。しかし佳音は、兄の無実を信じ続けていた。事件の影響で働くことも困難になっていた佳音は、故郷を捨て、都会に出る決心をする。  　上京した佳音は、偽名を名乗ってある清掃会社でアルバイトを始めた。その会社は、主に個人の家をクリ―ニングするサ―ビスを行っていた。そんなある日、佳音は、長崎殉也(北川悠仁)の家に派遣される。殉也は、CMなどの華やかな世界で活躍していた音楽家だったが、ある事情で第一線から身を引"&amp;"き、現在は教会で子どもの聖歌隊を率いる傍ら、パブレストランでピアノを弾くアルバイトなどをして生計を立てていた。急用ができたという先輩の春江(宮崎美子)を帰し、ひとりで仕事をしていた佳音は、そこで1冊の古いアルバムを見つける。6年前の事件で家族との思い出を失ってしまった佳音は、幸せそうな家族の写真を見るのが大好きだった。そのアルバムには、殉也の幼いころからの写真が貼られていた。するとそこに殉也が帰ってくる。殉也は、慌てて写真を隠そうとした佳音に、何をしていたのか理由を尋ねた。すると佳音は、人が笑っている写真"&amp;"が好きだと答えた。佳音の言葉を静かに聞いていた殉也は、一緒に写真を撮ろう、と言い出し、彼女の携帯電話を借りて写真を撮った。それ以来、この写真は佳音の宝物になり…。")</f>
        <v>秋山佳音(堀北真希)は、6年前に両親を殺された。犯人として逮捕されたのは、5歳上の兄・耀司(福士誠治)だった。しかし佳音は、兄の無実を信じ続けていた。事件の影響で働くことも困難になっていた佳音は、故郷を捨て、都会に出る決心をする。  　上京した佳音は、偽名を名乗ってある清掃会社でアルバイトを始めた。その会社は、主に個人の家をクリ―ニングするサ―ビスを行っていた。そんなある日、佳音は、長崎殉也(北川悠仁)の家に派遣される。殉也は、CMなどの華やかな世界で活躍していた音楽家だったが、ある事情で第一線から身を引き、現在は教会で子どもの聖歌隊を率いる傍ら、パブレストランでピアノを弾くアルバイトなどをして生計を立てていた。急用ができたという先輩の春江(宮崎美子)を帰し、ひとりで仕事をしていた佳音は、そこで1冊の古いアルバムを見つける。6年前の事件で家族との思い出を失ってしまった佳音は、幸せそうな家族の写真を見るのが大好きだった。そのアルバムには、殉也の幼いころからの写真が貼られていた。するとそこに殉也が帰ってくる。殉也は、慌てて写真を隠そうとした佳音に、何をしていたのか理由を尋ねた。すると佳音は、人が笑っている写真が好きだと答えた。佳音の言葉を静かに聞いていた殉也は、一緒に写真を撮ろう、と言い出し、彼女の携帯電話を借りて写真を撮った。それ以来、この写真は佳音の宝物になり…。</v>
      </c>
      <c r="N1861" s="2"/>
      <c r="O1861" s="2"/>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row>
    <row r="1862" ht="204.75" customHeight="1">
      <c r="A1862" s="1">
        <v>5519.0</v>
      </c>
      <c r="B1862" s="2" t="s">
        <v>5919</v>
      </c>
      <c r="C1862" s="2">
        <f>IFERROR(__xludf.DUMMYFUNCTION("split(B1862,""_"")"),810.0)</f>
        <v>810</v>
      </c>
      <c r="D1862" s="2" t="str">
        <f>IFERROR(__xludf.DUMMYFUNCTION("""COMPUTED_VALUE"""),"CX")</f>
        <v>CX</v>
      </c>
      <c r="E1862" s="2" t="str">
        <f>IFERROR(__xludf.DUMMYFUNCTION("""COMPUTED_VALUE"""),"月21")</f>
        <v>月21</v>
      </c>
      <c r="F1862" s="2" t="s">
        <v>5920</v>
      </c>
      <c r="G1862" s="2" t="s">
        <v>5924</v>
      </c>
      <c r="H1862" s="1">
        <v>2.0</v>
      </c>
      <c r="I1862" s="1" t="s">
        <v>7</v>
      </c>
      <c r="J1862" s="1" t="s">
        <v>11</v>
      </c>
      <c r="K1862" s="2" t="s">
        <v>5925</v>
      </c>
      <c r="L1862" s="2" t="s">
        <v>5926</v>
      </c>
      <c r="M1862" s="2" t="str">
        <f>IFERROR(__xludf.DUMMYFUNCTION("split(split(K1862,""堀北真希　"",false),""公式LINE"",false)"),"佳音(堀北真希)は、殉也(北川悠仁)へのクリスマスプレゼントとして、彼の家の玄関先にピアノ型のオルゴールを置いて帰った。あくる朝、それに気づいた殉也は、美月(香椎由宇)にそのことを話す。美月は、聖歌隊の子どもの中の誰かなのではないか、と言って殉也のことをからかった。  　佳音は、偽名を使い、清掃員として派遣会社に登録する。紹介された仕事は駅構内の清掃だった。ある日、仕事を終えた佳音は、殉也の家に立ち寄り、こっそり家の中を覗く。そこで佳音は、殉也がオルゴールのメロディーに耳を傾けている姿を見て、喜びを噛みし"&amp;"める。  　一方、雑誌記者の池田(豊原功補)は、少年刑務所に収容されている佳音の兄・耀司(福士誠治)を訪ねる。池田は、耀司が起こした事件の裏には、何か事情があるとにらんでいた。  　ある日、佳音は駅で偶然、殉也の姿を見かける。声をかけようかどうか迷いながら、殉也の後を追った佳音は、殉也が落としたハンカチを拾った。佳音がハンカチを届けようと殉也の家を訪れると、清掃に来ていた春江(宮崎美子)が急用で出かけるところだった。それを見た佳音は、玄関を開けて中に入った。すると、聖花(内田有紀)が眠っている部屋から昴("&amp;"成宮寛貴)が現れた。丁度そこにやってきた殉也も、佳音の姿に驚きを隠せない。昴は逃げ出そうとする佳音の腕を掴み、警察を呼ぼうとするが…。")</f>
        <v>佳音(堀北真希)は、殉也(北川悠仁)へのクリスマスプレゼントとして、彼の家の玄関先にピアノ型のオルゴールを置いて帰った。あくる朝、それに気づいた殉也は、美月(香椎由宇)にそのことを話す。美月は、聖歌隊の子どもの中の誰かなのではないか、と言って殉也のことをからかった。  　佳音は、偽名を使い、清掃員として派遣会社に登録する。紹介された仕事は駅構内の清掃だった。ある日、仕事を終えた佳音は、殉也の家に立ち寄り、こっそり家の中を覗く。そこで佳音は、殉也がオルゴールのメロディーに耳を傾けている姿を見て、喜びを噛みしめる。  　一方、雑誌記者の池田(豊原功補)は、少年刑務所に収容されている佳音の兄・耀司(福士誠治)を訪ねる。池田は、耀司が起こした事件の裏には、何か事情があるとにらんでいた。  　ある日、佳音は駅で偶然、殉也の姿を見かける。声をかけようかどうか迷いながら、殉也の後を追った佳音は、殉也が落としたハンカチを拾った。佳音がハンカチを届けようと殉也の家を訪れると、清掃に来ていた春江(宮崎美子)が急用で出かけるところだった。それを見た佳音は、玄関を開けて中に入った。すると、聖花(内田有紀)が眠っている部屋から昴(成宮寛貴)が現れた。丁度そこにやってきた殉也も、佳音の姿に驚きを隠せない。昴は逃げ出そうとする佳音の腕を掴み、警察を呼ぼうとするが…。</v>
      </c>
      <c r="N1862" s="2"/>
      <c r="O1862" s="2"/>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row>
    <row r="1863" ht="204.75" customHeight="1">
      <c r="A1863" s="1">
        <v>5520.0</v>
      </c>
      <c r="B1863" s="2" t="s">
        <v>5919</v>
      </c>
      <c r="C1863" s="2">
        <f>IFERROR(__xludf.DUMMYFUNCTION("split(B1863,""_"")"),810.0)</f>
        <v>810</v>
      </c>
      <c r="D1863" s="2" t="str">
        <f>IFERROR(__xludf.DUMMYFUNCTION("""COMPUTED_VALUE"""),"CX")</f>
        <v>CX</v>
      </c>
      <c r="E1863" s="2" t="str">
        <f>IFERROR(__xludf.DUMMYFUNCTION("""COMPUTED_VALUE"""),"月21")</f>
        <v>月21</v>
      </c>
      <c r="F1863" s="2" t="s">
        <v>5920</v>
      </c>
      <c r="G1863" s="2" t="s">
        <v>5927</v>
      </c>
      <c r="H1863" s="1">
        <v>3.0</v>
      </c>
      <c r="I1863" s="1" t="s">
        <v>10</v>
      </c>
      <c r="J1863" s="1" t="s">
        <v>11</v>
      </c>
      <c r="K1863" s="2" t="s">
        <v>5928</v>
      </c>
      <c r="L1863" s="2" t="s">
        <v>5929</v>
      </c>
      <c r="M1863" s="2" t="str">
        <f>IFERROR(__xludf.DUMMYFUNCTION("split(split(K1863,""堀北真希　"",false),""公式LINE"",false)"),"佳音(堀北真希)は、ピアノを弾きながら聖花(内田有紀)と寄り添いあう殉也(北川悠仁)の姿を偶然目撃し、ショックを受けていた。一方、昴(成宮寛貴)のもとを訪れた殉也は、改めて聖花の精密検査をしてもらうつもりだと彼に告げる。殉也は、近ごろ聖花のようすが変わってきたような気がしてならなかったのだ。だが、医師・東野(中原丈雄)の診断結果は、変化なし、というものだった。　そんな折、殉也の家を掃除していた佳音は、開けてはいけないといわれていた部屋で物音がしたことに気づく。気になってドアの前まで歩み寄る佳音。するとそこ"&amp;"に、殉也が戻ってきた。佳音は、細かいところを掃除していて遅くなった、などと言い訳すると殉也の家を出た。佳音が聖花の部屋の前に立っていたことが気になった殉也は、静かに部屋の鍵を開けた。そこで殉也が目にしたのは、チューブ類を外された状態になっている聖花の姿だった。  　あくる日、殉也は、昴に会い、聖花のチューブが外されていた件を報告する。殉也は、佳音があの部屋の鍵を持っていないことから、聖花が自らチューブ類を外した可能性もあるではないか、と昴に話す。別の日、佳音は、いつものように殉也の家に掃除をしにいく。殉也"&amp;"は、そんな佳音に金の入った封筒を手渡すと、掃除は自分でやることにした、と告げ…。")</f>
        <v>佳音(堀北真希)は、ピアノを弾きながら聖花(内田有紀)と寄り添いあう殉也(北川悠仁)の姿を偶然目撃し、ショックを受けていた。一方、昴(成宮寛貴)のもとを訪れた殉也は、改めて聖花の精密検査をしてもらうつもりだと彼に告げる。殉也は、近ごろ聖花のようすが変わってきたような気がしてならなかったのだ。だが、医師・東野(中原丈雄)の診断結果は、変化なし、というものだった。　そんな折、殉也の家を掃除していた佳音は、開けてはいけないといわれていた部屋で物音がしたことに気づく。気になってドアの前まで歩み寄る佳音。するとそこに、殉也が戻ってきた。佳音は、細かいところを掃除していて遅くなった、などと言い訳すると殉也の家を出た。佳音が聖花の部屋の前に立っていたことが気になった殉也は、静かに部屋の鍵を開けた。そこで殉也が目にしたのは、チューブ類を外された状態になっている聖花の姿だった。  　あくる日、殉也は、昴に会い、聖花のチューブが外されていた件を報告する。殉也は、佳音があの部屋の鍵を持っていないことから、聖花が自らチューブ類を外した可能性もあるではないか、と昴に話す。別の日、佳音は、いつものように殉也の家に掃除をしにいく。殉也は、そんな佳音に金の入った封筒を手渡すと、掃除は自分でやることにした、と告げ…。</v>
      </c>
      <c r="N1863" s="2"/>
      <c r="O1863" s="2"/>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row>
    <row r="1864" ht="204.75" customHeight="1">
      <c r="A1864" s="1">
        <v>5521.0</v>
      </c>
      <c r="B1864" s="2" t="s">
        <v>5919</v>
      </c>
      <c r="C1864" s="2">
        <f>IFERROR(__xludf.DUMMYFUNCTION("split(B1864,""_"")"),810.0)</f>
        <v>810</v>
      </c>
      <c r="D1864" s="2" t="str">
        <f>IFERROR(__xludf.DUMMYFUNCTION("""COMPUTED_VALUE"""),"CX")</f>
        <v>CX</v>
      </c>
      <c r="E1864" s="2" t="str">
        <f>IFERROR(__xludf.DUMMYFUNCTION("""COMPUTED_VALUE"""),"月21")</f>
        <v>月21</v>
      </c>
      <c r="F1864" s="2" t="s">
        <v>5920</v>
      </c>
      <c r="G1864" s="2" t="s">
        <v>5930</v>
      </c>
      <c r="H1864" s="1">
        <v>4.0</v>
      </c>
      <c r="I1864" s="1" t="s">
        <v>14</v>
      </c>
      <c r="J1864" s="1" t="s">
        <v>11</v>
      </c>
      <c r="K1864" s="2" t="s">
        <v>5931</v>
      </c>
      <c r="L1864" s="2" t="s">
        <v>5932</v>
      </c>
      <c r="M1864" s="2" t="str">
        <f>IFERROR(__xludf.DUMMYFUNCTION("split(split(K1864,""堀北真希　"",false),""公式LINE"",false)"),"佳音(堀北真希)は、少年刑務所を仮釈放された兄・耀司(福士誠治)と一緒に暮らし始める。耀司は、保護司の松下(浅野和之)から紹介された工場で働くことも決まっていた。  　一方、殉也(北川悠仁)は昴(成宮寛貴)を訪ねる。ふたりが会うのは、昴が殉也の留守中に聖花(内田有紀)の人工呼吸器を停止させた一件以来だ。昴は、殉也に聖花の部屋の合鍵を返そうとした。すると殉也は、昴の手に鍵を戻し、来週、聖花の誕生日パーティーを開くから来て欲しい、と誘った。  　そんな中、佳音は、殉也がピアノを弾いているパブレストランでアルバ"&amp;"イトを始める。その夜、パブレストランに昴がやってくる。そこに、ユキオ(中村倫也)という男が現れ、親しげに昴に話しかけた。ユキオは、昴の元パートナーらしい。昴は、その一部始終を見ていた佳音に、「いまのは秘密ね。君にも人に言えない秘密があるよね」と釘を刺した。  　別の日、殉也の家を掃除しに行った佳音は、聖花の誕生日パーティーに是非来てほしい、と誘われる。するとそこに、美月(香椎由宇)がやってきた。日曜学校のお楽しみ会で殉也が着る衣装の採寸をするためだった。美月は殉也と親しそうにしている佳音の姿を見て凍りつき"&amp;"…。")</f>
        <v>佳音(堀北真希)は、少年刑務所を仮釈放された兄・耀司(福士誠治)と一緒に暮らし始める。耀司は、保護司の松下(浅野和之)から紹介された工場で働くことも決まっていた。  　一方、殉也(北川悠仁)は昴(成宮寛貴)を訪ねる。ふたりが会うのは、昴が殉也の留守中に聖花(内田有紀)の人工呼吸器を停止させた一件以来だ。昴は、殉也に聖花の部屋の合鍵を返そうとした。すると殉也は、昴の手に鍵を戻し、来週、聖花の誕生日パーティーを開くから来て欲しい、と誘った。  　そんな中、佳音は、殉也がピアノを弾いているパブレストランでアルバイトを始める。その夜、パブレストランに昴がやってくる。そこに、ユキオ(中村倫也)という男が現れ、親しげに昴に話しかけた。ユキオは、昴の元パートナーらしい。昴は、その一部始終を見ていた佳音に、「いまのは秘密ね。君にも人に言えない秘密があるよね」と釘を刺した。  　別の日、殉也の家を掃除しに行った佳音は、聖花の誕生日パーティーに是非来てほしい、と誘われる。するとそこに、美月(香椎由宇)がやってきた。日曜学校のお楽しみ会で殉也が着る衣装の採寸をするためだった。美月は殉也と親しそうにしている佳音の姿を見て凍りつき…。</v>
      </c>
      <c r="N1864" s="2"/>
      <c r="O1864" s="2"/>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row>
    <row r="1865" ht="204.75" customHeight="1">
      <c r="A1865" s="1">
        <v>5522.0</v>
      </c>
      <c r="B1865" s="2" t="s">
        <v>5919</v>
      </c>
      <c r="C1865" s="2">
        <f>IFERROR(__xludf.DUMMYFUNCTION("split(B1865,""_"")"),810.0)</f>
        <v>810</v>
      </c>
      <c r="D1865" s="2" t="str">
        <f>IFERROR(__xludf.DUMMYFUNCTION("""COMPUTED_VALUE"""),"CX")</f>
        <v>CX</v>
      </c>
      <c r="E1865" s="2" t="str">
        <f>IFERROR(__xludf.DUMMYFUNCTION("""COMPUTED_VALUE"""),"月21")</f>
        <v>月21</v>
      </c>
      <c r="F1865" s="2" t="s">
        <v>5920</v>
      </c>
      <c r="G1865" s="2" t="s">
        <v>5933</v>
      </c>
      <c r="H1865" s="1">
        <v>5.0</v>
      </c>
      <c r="I1865" s="1" t="s">
        <v>17</v>
      </c>
      <c r="J1865" s="1" t="s">
        <v>11</v>
      </c>
      <c r="K1865" s="2" t="s">
        <v>5934</v>
      </c>
      <c r="L1865" s="2" t="s">
        <v>5935</v>
      </c>
      <c r="M1865" s="2" t="str">
        <f>IFERROR(__xludf.DUMMYFUNCTION("split(split(K1865,""堀北真希　"",false),""公式LINE"",false)"),"佳音(堀北真希)は、殉也(北川悠仁)の前から姿を消す。殉也は、突然、佳音と連絡が取れなくなったことに困惑していた。佳音が、アルバイト先に姿を見せなかっただけでなく、彼女の携帯電話までつながらなくなってしまったのだ。  　一方、耀司(福士誠治)は、雑誌記者の池田(豊原功補)を襲撃した後、生まれ故郷の長野へと向かっていた。耀司は、山本(山本圭)という心療内科医の医院に侵入し、佳音のカルテを盗み出して破棄する。山本は、6年前の事件でPTSD=心的外傷後ストレス障害を起こした佳音を診察した医師だった。目的を果たし"&amp;"た耀司は、佳音の元へは戻らず、鉄工所で知り合った卓夫(浅利陽介)にかくまってもらう。  　すでに新聞では耀司が起こした襲撃事件が報道されていた。佳音は、やってきた刑事から耀司の事件を聞かされる。と同時に、マスコミも佳音のアパートに押し寄せていた。そんな中、美月(香椎由宇)から事件の記事を見せられた殉也は、昴(成宮寛貴)から佳音のアパートの住所を教えてもらう。アパートにやってきた殉也に佳音は・・・。")</f>
        <v>佳音(堀北真希)は、殉也(北川悠仁)の前から姿を消す。殉也は、突然、佳音と連絡が取れなくなったことに困惑していた。佳音が、アルバイト先に姿を見せなかっただけでなく、彼女の携帯電話までつながらなくなってしまったのだ。  　一方、耀司(福士誠治)は、雑誌記者の池田(豊原功補)を襲撃した後、生まれ故郷の長野へと向かっていた。耀司は、山本(山本圭)という心療内科医の医院に侵入し、佳音のカルテを盗み出して破棄する。山本は、6年前の事件でPTSD=心的外傷後ストレス障害を起こした佳音を診察した医師だった。目的を果たした耀司は、佳音の元へは戻らず、鉄工所で知り合った卓夫(浅利陽介)にかくまってもらう。  　すでに新聞では耀司が起こした襲撃事件が報道されていた。佳音は、やってきた刑事から耀司の事件を聞かされる。と同時に、マスコミも佳音のアパートに押し寄せていた。そんな中、美月(香椎由宇)から事件の記事を見せられた殉也は、昴(成宮寛貴)から佳音のアパートの住所を教えてもらう。アパートにやってきた殉也に佳音は・・・。</v>
      </c>
      <c r="N1865" s="2"/>
      <c r="O1865" s="2"/>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row>
    <row r="1866" ht="204.75" customHeight="1">
      <c r="A1866" s="1">
        <v>5523.0</v>
      </c>
      <c r="B1866" s="2" t="s">
        <v>5919</v>
      </c>
      <c r="C1866" s="2">
        <f>IFERROR(__xludf.DUMMYFUNCTION("split(B1866,""_"")"),810.0)</f>
        <v>810</v>
      </c>
      <c r="D1866" s="2" t="str">
        <f>IFERROR(__xludf.DUMMYFUNCTION("""COMPUTED_VALUE"""),"CX")</f>
        <v>CX</v>
      </c>
      <c r="E1866" s="2" t="str">
        <f>IFERROR(__xludf.DUMMYFUNCTION("""COMPUTED_VALUE"""),"月21")</f>
        <v>月21</v>
      </c>
      <c r="F1866" s="2" t="s">
        <v>5920</v>
      </c>
      <c r="G1866" s="2" t="s">
        <v>5936</v>
      </c>
      <c r="H1866" s="1">
        <v>6.0</v>
      </c>
      <c r="I1866" s="1" t="s">
        <v>21</v>
      </c>
      <c r="J1866" s="1" t="s">
        <v>11</v>
      </c>
      <c r="K1866" s="2" t="s">
        <v>5937</v>
      </c>
      <c r="L1866" s="2" t="s">
        <v>5938</v>
      </c>
      <c r="M1866" s="2" t="str">
        <f>IFERROR(__xludf.DUMMYFUNCTION("split(split(K1866,""堀北真希　"",false),""公式LINE"",false)"),"佳音(堀北真希)は、アパートを出て、殉也(北川悠仁)とともに彼の家へと向かった。ところがその矢先、思わぬ事態が起きる。聖花(内田有紀)の心肺機能が著しく低下し、人工呼吸器からアラーム音がなり始めたのだ。  　佳音たちは、救急車を呼んで聖花を病院へと運んだ。医師から、聖花が生命の危険にさらされていることを告げられた殉也はひどく動揺し、ふらふらと病院から出て行ってしまう。殉也が向かったのは、義道神父(内藤剛志)の教会だった。殉也は、そこにいた美月(香椎由宇)と義道神父に、聖花のことを伝えると、神を信じられない"&amp;"、と言ってうなだれる。その心情を察した義道は、立ち去ろうとする殉也に、神はどんな罪も許すが自ら命を絶つことだけは許さない、と声をかけた。  　一方、佳音は、聖花の病室で、連絡がつかなくなった殉也のことを心配していた。殉也は携帯電話にも出ず、どこにいるのかもわからなかった。佳音は、病院に駆けつけた昴(成宮寛貴)に聖花のことを頼み、アパートへと向かった。殉也からもらったオルゴールを取りに戻ったのだ。佳音は、オルゴールを探しだすと、もう一度、殉也の携帯電話に電話する。電話には出たものの、何も話そうとはしない殉也"&amp;"。佳音は、そんな殉也に、聖花のそばにいてあげてほしい、と訴えた。病院に戻った佳音は、殉也はそばにいる、と聖花に話しかけながら、何度もオルゴールを鳴らし続けるが…。")</f>
        <v>佳音(堀北真希)は、アパートを出て、殉也(北川悠仁)とともに彼の家へと向かった。ところがその矢先、思わぬ事態が起きる。聖花(内田有紀)の心肺機能が著しく低下し、人工呼吸器からアラーム音がなり始めたのだ。  　佳音たちは、救急車を呼んで聖花を病院へと運んだ。医師から、聖花が生命の危険にさらされていることを告げられた殉也はひどく動揺し、ふらふらと病院から出て行ってしまう。殉也が向かったのは、義道神父(内藤剛志)の教会だった。殉也は、そこにいた美月(香椎由宇)と義道神父に、聖花のことを伝えると、神を信じられない、と言ってうなだれる。その心情を察した義道は、立ち去ろうとする殉也に、神はどんな罪も許すが自ら命を絶つことだけは許さない、と声をかけた。  　一方、佳音は、聖花の病室で、連絡がつかなくなった殉也のことを心配していた。殉也は携帯電話にも出ず、どこにいるのかもわからなかった。佳音は、病院に駆けつけた昴(成宮寛貴)に聖花のことを頼み、アパートへと向かった。殉也からもらったオルゴールを取りに戻ったのだ。佳音は、オルゴールを探しだすと、もう一度、殉也の携帯電話に電話する。電話には出たものの、何も話そうとはしない殉也。佳音は、そんな殉也に、聖花のそばにいてあげてほしい、と訴えた。病院に戻った佳音は、殉也はそばにいる、と聖花に話しかけながら、何度もオルゴールを鳴らし続けるが…。</v>
      </c>
      <c r="N1866" s="2"/>
      <c r="O1866" s="2"/>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row>
    <row r="1867" ht="204.75" customHeight="1">
      <c r="A1867" s="1">
        <v>5524.0</v>
      </c>
      <c r="B1867" s="2" t="s">
        <v>5919</v>
      </c>
      <c r="C1867" s="2">
        <f>IFERROR(__xludf.DUMMYFUNCTION("split(B1867,""_"")"),810.0)</f>
        <v>810</v>
      </c>
      <c r="D1867" s="2" t="str">
        <f>IFERROR(__xludf.DUMMYFUNCTION("""COMPUTED_VALUE"""),"CX")</f>
        <v>CX</v>
      </c>
      <c r="E1867" s="2" t="str">
        <f>IFERROR(__xludf.DUMMYFUNCTION("""COMPUTED_VALUE"""),"月21")</f>
        <v>月21</v>
      </c>
      <c r="F1867" s="2" t="s">
        <v>5920</v>
      </c>
      <c r="G1867" s="2" t="s">
        <v>5939</v>
      </c>
      <c r="H1867" s="1">
        <v>7.0</v>
      </c>
      <c r="I1867" s="1" t="s">
        <v>25</v>
      </c>
      <c r="J1867" s="1" t="s">
        <v>11</v>
      </c>
      <c r="K1867" s="2" t="s">
        <v>5940</v>
      </c>
      <c r="L1867" s="2" t="s">
        <v>5941</v>
      </c>
      <c r="M1867" s="2" t="str">
        <f>IFERROR(__xludf.DUMMYFUNCTION("split(split(K1867,""堀北真希　"",false),""公式LINE"",false)"),"佳音(堀北真希)と殉也(北川悠仁)は、信じられない光景を目にする。3年間植物状態が続いていた聖花(内田有紀)が、自力で上半身を起こしていたのだ。殉也は、昴(成宮寛貴)や美月(香椎由宇)らに聖花のことを報告した。  　一方、佳音は、パブレストランの店長・宮川(5~する。やがて、56L&gt;で;Oめたホームクリーニングの;E;v@hで、2B2;はD9:j=^Li(北川悠仁)と出会い、心ひかれる。もうそういうことはするな、と告げる。少年刑務所を後にした佳音は、殉也の家へと戻った。そこで佳音が目にしたのは聖花の世話に"&amp;"夢中になっている殉也の姿だった。佳音は、何も言わずに踵を返すと、アパートに戻る。しかし、すでに佳音の部屋は荷物が出され、別の人間が契約していた。  　行くあてもなくふらふらしていた佳音は、公園のベンチに腰を下ろす。そこに、聖花を乗せた車イスを押しながら殉也がやってきた。殉也は、佳音の帰りが遅いことを心配して捜していた。そこで佳音は、もう殉也の家を出たほうがいいと思う、と彼に告げる。すると殉也は、聖花が目覚めたのは佳音の祈りが通じたからだ、と説得して佳音を連れて帰る。  　そんな折、アルバイトに出かけた佳音"&amp;"は、パブレストランの前で昴に出会い、一緒に店に入った。店内にはすでに殉也と聖花がいた。が、昴の姿を見た途端、聖花に異変が起き…。")</f>
        <v>佳音(堀北真希)と殉也(北川悠仁)は、信じられない光景を目にする。3年間植物状態が続いていた聖花(内田有紀)が、自力で上半身を起こしていたのだ。殉也は、昴(成宮寛貴)や美月(香椎由宇)らに聖花のことを報告した。  　一方、佳音は、パブレストランの店長・宮川(5~する。やがて、56L&gt;で;Oめたホームクリーニングの;E;v@hで、2B2;はD9:j=^Li(北川悠仁)と出会い、心ひかれる。もうそういうことはするな、と告げる。少年刑務所を後にした佳音は、殉也の家へと戻った。そこで佳音が目にしたのは聖花の世話に夢中になっている殉也の姿だった。佳音は、何も言わずに踵を返すと、アパートに戻る。しかし、すでに佳音の部屋は荷物が出され、別の人間が契約していた。  　行くあてもなくふらふらしていた佳音は、公園のベンチに腰を下ろす。そこに、聖花を乗せた車イスを押しながら殉也がやってきた。殉也は、佳音の帰りが遅いことを心配して捜していた。そこで佳音は、もう殉也の家を出たほうがいいと思う、と彼に告げる。すると殉也は、聖花が目覚めたのは佳音の祈りが通じたからだ、と説得して佳音を連れて帰る。  　そんな折、アルバイトに出かけた佳音は、パブレストランの前で昴に出会い、一緒に店に入った。店内にはすでに殉也と聖花がいた。が、昴の姿を見た途端、聖花に異変が起き…。</v>
      </c>
      <c r="N1867" s="2"/>
      <c r="O1867" s="2"/>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row>
    <row r="1868" ht="204.75" customHeight="1">
      <c r="A1868" s="1">
        <v>5525.0</v>
      </c>
      <c r="B1868" s="2" t="s">
        <v>5919</v>
      </c>
      <c r="C1868" s="2">
        <f>IFERROR(__xludf.DUMMYFUNCTION("split(B1868,""_"")"),810.0)</f>
        <v>810</v>
      </c>
      <c r="D1868" s="2" t="str">
        <f>IFERROR(__xludf.DUMMYFUNCTION("""COMPUTED_VALUE"""),"CX")</f>
        <v>CX</v>
      </c>
      <c r="E1868" s="2" t="str">
        <f>IFERROR(__xludf.DUMMYFUNCTION("""COMPUTED_VALUE"""),"月21")</f>
        <v>月21</v>
      </c>
      <c r="F1868" s="2" t="s">
        <v>5920</v>
      </c>
      <c r="G1868" s="2" t="s">
        <v>5942</v>
      </c>
      <c r="H1868" s="1">
        <v>8.0</v>
      </c>
      <c r="I1868" s="1" t="s">
        <v>29</v>
      </c>
      <c r="J1868" s="1" t="s">
        <v>11</v>
      </c>
      <c r="K1868" s="2" t="s">
        <v>5943</v>
      </c>
      <c r="L1868" s="2" t="s">
        <v>5944</v>
      </c>
      <c r="M1868" s="2" t="str">
        <f>IFERROR(__xludf.DUMMYFUNCTION("split(split(K1868,""堀北真希　"",false),""公式LINE"",false)"),"佳音(堀北真希)は、聖花(内田有紀)が家を出て行ったことにショックを受けている殉也(北川悠仁)を心配していた。聖花は、昴(成宮寛貴)のもとを離れず、殉也の家に戻ってくる様子はなかった。  　同じころ、池田(豊原功補)は、佳音のPTSDを治療した心療内科医・山本(山本圭)を訪ねていた。山本は、これ以上、佳音の過去を探るのは止めるよう池田に忠告した。すると池田は、かつて自分が取材をしたある事件の話を始める。  　教会を訪れた殉也は、美月(香椎由宇)や義道神父(内藤剛志)に、徘徊がひどくなって手に負えなくなった"&amp;"聖花を施設に預けた、と嘘をつく。だが、言い訳のように聖花を世話する苦労話を並べているうちに、ふと聖花のことが心配になってきた殉也は、昴の家まで様子を見に行く。そこで殉也が目にしたのは、昴に笑顔を見せる聖花の姿だった。　一方、殉也の家を訪れた美月は、佳音が一緒に住んでいることを知って驚く。そこに殉也が戻ってくる。すると美月は殉也が佳音と一緒にいることを聖花は嫌がっていたのではないか、などと言い放って帰っていく。殉也は、美月の言葉を気にする必要はない、と佳音に言葉をかけた。しかし・・・。")</f>
        <v>佳音(堀北真希)は、聖花(内田有紀)が家を出て行ったことにショックを受けている殉也(北川悠仁)を心配していた。聖花は、昴(成宮寛貴)のもとを離れず、殉也の家に戻ってくる様子はなかった。  　同じころ、池田(豊原功補)は、佳音のPTSDを治療した心療内科医・山本(山本圭)を訪ねていた。山本は、これ以上、佳音の過去を探るのは止めるよう池田に忠告した。すると池田は、かつて自分が取材をしたある事件の話を始める。  　教会を訪れた殉也は、美月(香椎由宇)や義道神父(内藤剛志)に、徘徊がひどくなって手に負えなくなった聖花を施設に預けた、と嘘をつく。だが、言い訳のように聖花を世話する苦労話を並べているうちに、ふと聖花のことが心配になってきた殉也は、昴の家まで様子を見に行く。そこで殉也が目にしたのは、昴に笑顔を見せる聖花の姿だった。　一方、殉也の家を訪れた美月は、佳音が一緒に住んでいることを知って驚く。そこに殉也が戻ってくる。すると美月は殉也が佳音と一緒にいることを聖花は嫌がっていたのではないか、などと言い放って帰っていく。殉也は、美月の言葉を気にする必要はない、と佳音に言葉をかけた。しかし・・・。</v>
      </c>
      <c r="N1868" s="2"/>
      <c r="O1868" s="2"/>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row>
    <row r="1869" ht="204.75" customHeight="1">
      <c r="A1869" s="1">
        <v>5526.0</v>
      </c>
      <c r="B1869" s="2" t="s">
        <v>5919</v>
      </c>
      <c r="C1869" s="2">
        <f>IFERROR(__xludf.DUMMYFUNCTION("split(B1869,""_"")"),810.0)</f>
        <v>810</v>
      </c>
      <c r="D1869" s="2" t="str">
        <f>IFERROR(__xludf.DUMMYFUNCTION("""COMPUTED_VALUE"""),"CX")</f>
        <v>CX</v>
      </c>
      <c r="E1869" s="2" t="str">
        <f>IFERROR(__xludf.DUMMYFUNCTION("""COMPUTED_VALUE"""),"月21")</f>
        <v>月21</v>
      </c>
      <c r="F1869" s="2" t="s">
        <v>5920</v>
      </c>
      <c r="G1869" s="2" t="s">
        <v>5945</v>
      </c>
      <c r="H1869" s="1">
        <v>9.0</v>
      </c>
      <c r="I1869" s="1" t="s">
        <v>33</v>
      </c>
      <c r="J1869" s="1" t="s">
        <v>11</v>
      </c>
      <c r="K1869" s="2" t="s">
        <v>5946</v>
      </c>
      <c r="L1869" s="2" t="s">
        <v>5947</v>
      </c>
      <c r="M1869" s="2" t="str">
        <f>IFERROR(__xludf.DUMMYFUNCTION("split(split(K1869,""堀北真希　"",false),""公式LINE"",false)"),"佳音(堀北真希)は、殉也(北川悠仁)に別れを告げ、故郷の長野に向かった。佳音に関する記事が、週刊時潮に掲載されたことが原因だった。それは、週刊時潮の記者・池田(豊原功補)が、掲載を諦めて破棄したはずの原稿だった。佳音は、少年刑務所に服役中の兄・耀司(福士誠治)に面会を求め、6年前の事件のことをすべて思い出した、と告げる。さらに佳音は、付き添いの刑務官・藤堂(二階堂智)に、両親を殺したのは自分だと訴えた。耀司は、必死にそれを否定した。佳音が帰った後、藤堂に頼み込んでこっそり週刊時潮の記事の切り抜きを手に入れ"&amp;"た耀司は、激しい怒りに震えた。  　同じころ、殉也は、佳音を追いかけて長野に向かう準備をしていた。そこにやってきた美月(香椎由宇)は、殉也が長野に向かおうとしていることを知ると、彼を部屋に閉じ込めて外から鍵をかけてしまう。殉也は、そんな美月に、子どもっぽいことをするのはやめろと訴えた。すると美月は、人には悪意があることを考えたことはないのか、などと言って、ドアの隙間から週刊時潮を押し込んで殉也に見せる。  　殉也は、その記事にショックを受けながらも、佳音に会いに行こうとする。佳音には味方がいないのだから自"&amp;"分が行かなければならない、というのだ。美月は、そんな殉也に対して、いままでの思いをぶつける。  　一方、佳音は、池田に連絡をとり、両親を殺したのは自分だと告白するが…。")</f>
        <v>佳音(堀北真希)は、殉也(北川悠仁)に別れを告げ、故郷の長野に向かった。佳音に関する記事が、週刊時潮に掲載されたことが原因だった。それは、週刊時潮の記者・池田(豊原功補)が、掲載を諦めて破棄したはずの原稿だった。佳音は、少年刑務所に服役中の兄・耀司(福士誠治)に面会を求め、6年前の事件のことをすべて思い出した、と告げる。さらに佳音は、付き添いの刑務官・藤堂(二階堂智)に、両親を殺したのは自分だと訴えた。耀司は、必死にそれを否定した。佳音が帰った後、藤堂に頼み込んでこっそり週刊時潮の記事の切り抜きを手に入れた耀司は、激しい怒りに震えた。  　同じころ、殉也は、佳音を追いかけて長野に向かう準備をしていた。そこにやってきた美月(香椎由宇)は、殉也が長野に向かおうとしていることを知ると、彼を部屋に閉じ込めて外から鍵をかけてしまう。殉也は、そんな美月に、子どもっぽいことをするのはやめろと訴えた。すると美月は、人には悪意があることを考えたことはないのか、などと言って、ドアの隙間から週刊時潮を押し込んで殉也に見せる。  　殉也は、その記事にショックを受けながらも、佳音に会いに行こうとする。佳音には味方がいないのだから自分が行かなければならない、というのだ。美月は、そんな殉也に対して、いままでの思いをぶつける。  　一方、佳音は、池田に連絡をとり、両親を殺したのは自分だと告白するが…。</v>
      </c>
      <c r="N1869" s="2"/>
      <c r="O1869" s="2"/>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row>
    <row r="1870" ht="204.75" customHeight="1">
      <c r="A1870" s="1">
        <v>5527.0</v>
      </c>
      <c r="B1870" s="2" t="s">
        <v>5919</v>
      </c>
      <c r="C1870" s="2">
        <f>IFERROR(__xludf.DUMMYFUNCTION("split(B1870,""_"")"),810.0)</f>
        <v>810</v>
      </c>
      <c r="D1870" s="2" t="str">
        <f>IFERROR(__xludf.DUMMYFUNCTION("""COMPUTED_VALUE"""),"CX")</f>
        <v>CX</v>
      </c>
      <c r="E1870" s="2" t="str">
        <f>IFERROR(__xludf.DUMMYFUNCTION("""COMPUTED_VALUE"""),"月21")</f>
        <v>月21</v>
      </c>
      <c r="F1870" s="2" t="s">
        <v>5920</v>
      </c>
      <c r="G1870" s="2" t="s">
        <v>5948</v>
      </c>
      <c r="H1870" s="1">
        <v>10.0</v>
      </c>
      <c r="I1870" s="1" t="s">
        <v>37</v>
      </c>
      <c r="J1870" s="1" t="s">
        <v>11</v>
      </c>
      <c r="K1870" s="2" t="s">
        <v>5949</v>
      </c>
      <c r="L1870" s="2" t="s">
        <v>5950</v>
      </c>
      <c r="M1870" s="2" t="str">
        <f>IFERROR(__xludf.DUMMYFUNCTION("split(split(K1870,""堀北真希　"",false),""公式LINE"",false)"),"佳音(堀北真希)は、殉也(北川悠仁)と結婚式を挙げた。だが、そこに耀司(福士誠治)の姿はなかった。耀司は、仕事を理由に結婚式には出席しなかったのだ。披露宴が始まる前、佳音は、耀司に電話をして感謝の言葉を伝えた。  　同じころ、殉也は昴(成宮寛貴)と会っていた。持っていた航空券を殉也に見られてしまった昴は、聖花(内田有紀)と一緒にパリ旅行に行くと嘘をつく。殉也は昴に、聖花と結婚しないのかと尋ねる。昴は何も答えなかった。子どもたちに呼ばれ、そちらに行こうとした殉也の背中を見つめているうちに気持ちを抑えきれなく"&amp;"なった昴は、殉也を呼び止める。自分にはずっと思いを寄せている人がいる、聖花を愛したことは1度もない、という昴。戸惑う殉也に昴は、それ以上何も言うことができず、聖花のことは自分が責任を持つと言い残して去ってしまう。  　佳音は、戻ってきた殉也のようすがどこかおかしいことに気づく。殉也は、佳音を安心させようと、微笑んでみせた。そのとき殉也は、式場の上階にあるベランダに聖花が立っていることに気づく。聖花は、ベランダを乗り越えて飛び降りた。異変に気づいて走り出していた殉也は、ギリギリのところで落ちてくる聖花を受け"&amp;"止めた。だが、その衝撃で、殉也は聖花を抱いたまま倒れ、頭部を激しく打ってしまう。そして殉也の頭から流れ出す大量の血…。佳音は、殉也に駆け寄り、彼の名前を叫び続けるが…。")</f>
        <v>佳音(堀北真希)は、殉也(北川悠仁)と結婚式を挙げた。だが、そこに耀司(福士誠治)の姿はなかった。耀司は、仕事を理由に結婚式には出席しなかったのだ。披露宴が始まる前、佳音は、耀司に電話をして感謝の言葉を伝えた。  　同じころ、殉也は昴(成宮寛貴)と会っていた。持っていた航空券を殉也に見られてしまった昴は、聖花(内田有紀)と一緒にパリ旅行に行くと嘘をつく。殉也は昴に、聖花と結婚しないのかと尋ねる。昴は何も答えなかった。子どもたちに呼ばれ、そちらに行こうとした殉也の背中を見つめているうちに気持ちを抑えきれなくなった昴は、殉也を呼び止める。自分にはずっと思いを寄せている人がいる、聖花を愛したことは1度もない、という昴。戸惑う殉也に昴は、それ以上何も言うことができず、聖花のことは自分が責任を持つと言い残して去ってしまう。  　佳音は、戻ってきた殉也のようすがどこかおかしいことに気づく。殉也は、佳音を安心させようと、微笑んでみせた。そのとき殉也は、式場の上階にあるベランダに聖花が立っていることに気づく。聖花は、ベランダを乗り越えて飛び降りた。異変に気づいて走り出していた殉也は、ギリギリのところで落ちてくる聖花を受け止めた。だが、その衝撃で、殉也は聖花を抱いたまま倒れ、頭部を激しく打ってしまう。そして殉也の頭から流れ出す大量の血…。佳音は、殉也に駆け寄り、彼の名前を叫び続けるが…。</v>
      </c>
      <c r="N1870" s="2"/>
      <c r="O1870" s="2"/>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row>
    <row r="1871" ht="204.75" customHeight="1">
      <c r="A1871" s="1">
        <v>5528.0</v>
      </c>
      <c r="B1871" s="2" t="s">
        <v>5951</v>
      </c>
      <c r="C1871" s="2">
        <f>IFERROR(__xludf.DUMMYFUNCTION("split(B1871,""_"")"),810.0)</f>
        <v>810</v>
      </c>
      <c r="D1871" s="2" t="str">
        <f>IFERROR(__xludf.DUMMYFUNCTION("""COMPUTED_VALUE"""),"CX")</f>
        <v>CX</v>
      </c>
      <c r="E1871" s="2" t="str">
        <f>IFERROR(__xludf.DUMMYFUNCTION("""COMPUTED_VALUE"""),"火21")</f>
        <v>火21</v>
      </c>
      <c r="F1871" s="2" t="s">
        <v>5952</v>
      </c>
      <c r="G1871" s="2" t="s">
        <v>5953</v>
      </c>
      <c r="H1871" s="1">
        <v>1.0</v>
      </c>
      <c r="I1871" s="1" t="s">
        <v>3</v>
      </c>
      <c r="J1871" s="1" t="s">
        <v>4</v>
      </c>
      <c r="K1871" s="4" t="s">
        <v>5954</v>
      </c>
      <c r="L1871" s="2" t="s">
        <v>5955</v>
      </c>
      <c r="M1871" s="2" t="str">
        <f>IFERROR(__xludf.DUMMYFUNCTION("split(split(K1871,""上戸彩　"",false),""公式LINE"",false)"),"美田園アリス(上戸彩)は世界的なホテル王の娘。子供の頃から、欲しいものは何でも与えられてきた。「ラブ・アリス」というブランドを立ち上げ、ファッション・プロデュ―サ―として世界を飛び回り、最高級ホテルのスイ―トル―ムで秘書の郡司康夫(風間杜夫)、世話係の大野緑(三浦理恵子)に囲まれ何不自由なく暮らしている。しかし、女優だった母は、アリスが5歳の時に他界。多忙を極める父と、新しい母・真紀子(若村麻由美)との間に家族団欒の思い出はない。  　佐藤太郎(上地雄輔)はいわゆる“ワ―キングプア""。幼い頃からお金に苦"&amp;"労してきた。それでも、太郎は高校生の時に出会った女性と結婚。一郎(清水優哉)、花子(北村燦來)、二郎(小林海人)という3人の子供に恵まれたが、妻に先立たれてしまう。以来、太郎は相変わらずぜいたくとお金に縁はないものの、3人の子供とそれなりに幸せに暮らしていた。  　そんな太郎が、アリスの運転手に。アリスに振り回されながらも、子供たちのためとガンバる太郎。ある日「ラブ・アリス」がコレクションを開催。会場には、マスコミに注目される人物も現れる。後藤田ファンド代表の後藤田司(柏原崇)だ。さて、コレクションも大詰"&amp;"め。舞台にはアリスが登場。太郎はアリスのファッションを見て驚く。それは「ラブ・アリス」を契約切れで解雇された太郎の友人、安田幸子(国仲涼子)の作品。太郎は、舞台のアリスに詰め寄って…。")</f>
        <v>美田園アリス(上戸彩)は世界的なホテル王の娘。子供の頃から、欲しいものは何でも与えられてきた。「ラブ・アリス」というブランドを立ち上げ、ファッション・プロデュ―サ―として世界を飛び回り、最高級ホテルのスイ―トル―ムで秘書の郡司康夫(風間杜夫)、世話係の大野緑(三浦理恵子)に囲まれ何不自由なく暮らしている。しかし、女優だった母は、アリスが5歳の時に他界。多忙を極める父と、新しい母・真紀子(若村麻由美)との間に家族団欒の思い出はない。  　佐藤太郎(上地雄輔)はいわゆる“ワ―キングプア"。幼い頃からお金に苦労してきた。それでも、太郎は高校生の時に出会った女性と結婚。一郎(清水優哉)、花子(北村燦來)、二郎(小林海人)という3人の子供に恵まれたが、妻に先立たれてしまう。以来、太郎は相変わらずぜいたくとお金に縁はないものの、3人の子供とそれなりに幸せに暮らしていた。  　そんな太郎が、アリスの運転手に。アリスに振り回されながらも、子供たちのためとガンバる太郎。ある日「ラブ・アリス」がコレクションを開催。会場には、マスコミに注目される人物も現れる。後藤田ファンド代表の後藤田司(柏原崇)だ。さて、コレクションも大詰め。舞台にはアリスが登場。太郎はアリスのファッションを見て驚く。それは「ラブ・アリス」を契約切れで解雇された太郎の友人、安田幸子(国仲涼子)の作品。太郎は、舞台のアリスに詰め寄って…。</v>
      </c>
      <c r="N1871" s="2"/>
      <c r="O1871" s="2"/>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row>
    <row r="1872" ht="204.75" customHeight="1">
      <c r="A1872" s="1">
        <v>5529.0</v>
      </c>
      <c r="B1872" s="2" t="s">
        <v>5951</v>
      </c>
      <c r="C1872" s="2">
        <f>IFERROR(__xludf.DUMMYFUNCTION("split(B1872,""_"")"),810.0)</f>
        <v>810</v>
      </c>
      <c r="D1872" s="2" t="str">
        <f>IFERROR(__xludf.DUMMYFUNCTION("""COMPUTED_VALUE"""),"CX")</f>
        <v>CX</v>
      </c>
      <c r="E1872" s="2" t="str">
        <f>IFERROR(__xludf.DUMMYFUNCTION("""COMPUTED_VALUE"""),"火21")</f>
        <v>火21</v>
      </c>
      <c r="F1872" s="2" t="s">
        <v>5952</v>
      </c>
      <c r="G1872" s="2" t="s">
        <v>5956</v>
      </c>
      <c r="H1872" s="1">
        <v>2.0</v>
      </c>
      <c r="I1872" s="1" t="s">
        <v>7</v>
      </c>
      <c r="J1872" s="1" t="s">
        <v>11</v>
      </c>
      <c r="K1872" s="2" t="s">
        <v>5957</v>
      </c>
      <c r="L1872" s="2" t="s">
        <v>5958</v>
      </c>
      <c r="M1872" s="2" t="str">
        <f>IFERROR(__xludf.DUMMYFUNCTION("split(split(K1872,""上戸彩　"",false),""公式LINE"",false)"),"美田園アリス(上戸彩)は、佐藤太郎(上地雄輔)に恋人になって欲しいと持ちかける。アリスは、彼氏になってくれたら訳を話すと言う。答えを渋っていた太郎は、スピ－ド違反で捕まり、罰金と免停を食らった。太郎は郡司康夫(風間杜夫)に、免停明けまでの停職を言い渡され、その間の給料も支給されなくなってしまう。アリスの誘いに乗るまいと頑張っていた太郎だが、ついに金が底をつきアリスに助けを求める。  　アリスは継母の真紀子(若村麻由美)から強引な見合いを求められていた。その見合いを断るため、太郎に彼氏のフリをさせようと計画"&amp;"。このことを他人には絶対にもらさないことを条件に、太郎はアリスと“彼氏のフリ""契約を結ぶ。  　アリスは太郎を従え、真紀子から教えられた待ち合わせのホテルへ。アリスの見合い相手として現れたのは後藤田司(柏原崇)。後藤田はアリスに話しかけるが、アリスは話そうともしない。  　アリスからの呼び出しに、太郎は夜も子供たちだけを家に残すことが多くなる。そんな時、10円玉を拾おうとタンスを持ち上げると古い週刊誌が出てきた。太郎は、雑誌にアリスと後藤田の交際破局の記事を見つける。  　そんなとき、またアリスから呼び"&amp;"出され、慌ててアリスの元へ向かった太郎。するとそこには後藤田の姿があった。後藤田は、太郎を挑発するような態度を取り、太郎が何かを言おうとすると、アリスが太郎に突然のキスをした・・・!")</f>
        <v>美田園アリス(上戸彩)は、佐藤太郎(上地雄輔)に恋人になって欲しいと持ちかける。アリスは、彼氏になってくれたら訳を話すと言う。答えを渋っていた太郎は、スピ－ド違反で捕まり、罰金と免停を食らった。太郎は郡司康夫(風間杜夫)に、免停明けまでの停職を言い渡され、その間の給料も支給されなくなってしまう。アリスの誘いに乗るまいと頑張っていた太郎だが、ついに金が底をつきアリスに助けを求める。  　アリスは継母の真紀子(若村麻由美)から強引な見合いを求められていた。その見合いを断るため、太郎に彼氏のフリをさせようと計画。このことを他人には絶対にもらさないことを条件に、太郎はアリスと“彼氏のフリ"契約を結ぶ。  　アリスは太郎を従え、真紀子から教えられた待ち合わせのホテルへ。アリスの見合い相手として現れたのは後藤田司(柏原崇)。後藤田はアリスに話しかけるが、アリスは話そうともしない。  　アリスからの呼び出しに、太郎は夜も子供たちだけを家に残すことが多くなる。そんな時、10円玉を拾おうとタンスを持ち上げると古い週刊誌が出てきた。太郎は、雑誌にアリスと後藤田の交際破局の記事を見つける。  　そんなとき、またアリスから呼び出され、慌ててアリスの元へ向かった太郎。するとそこには後藤田の姿があった。後藤田は、太郎を挑発するような態度を取り、太郎が何かを言おうとすると、アリスが太郎に突然のキスをした・・・!</v>
      </c>
      <c r="N1872" s="2"/>
      <c r="O1872" s="2"/>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row>
    <row r="1873" ht="204.75" customHeight="1">
      <c r="A1873" s="1">
        <v>5530.0</v>
      </c>
      <c r="B1873" s="2" t="s">
        <v>5951</v>
      </c>
      <c r="C1873" s="2">
        <f>IFERROR(__xludf.DUMMYFUNCTION("split(B1873,""_"")"),810.0)</f>
        <v>810</v>
      </c>
      <c r="D1873" s="2" t="str">
        <f>IFERROR(__xludf.DUMMYFUNCTION("""COMPUTED_VALUE"""),"CX")</f>
        <v>CX</v>
      </c>
      <c r="E1873" s="2" t="str">
        <f>IFERROR(__xludf.DUMMYFUNCTION("""COMPUTED_VALUE"""),"火21")</f>
        <v>火21</v>
      </c>
      <c r="F1873" s="2" t="s">
        <v>5952</v>
      </c>
      <c r="G1873" s="2" t="s">
        <v>5959</v>
      </c>
      <c r="H1873" s="1">
        <v>3.0</v>
      </c>
      <c r="I1873" s="1" t="s">
        <v>10</v>
      </c>
      <c r="J1873" s="1" t="s">
        <v>11</v>
      </c>
      <c r="K1873" s="2" t="s">
        <v>5960</v>
      </c>
      <c r="L1873" s="2" t="s">
        <v>5961</v>
      </c>
      <c r="M1873" s="2" t="str">
        <f>IFERROR(__xludf.DUMMYFUNCTION("split(split(K1873,""上戸彩　"",false),""公式LINE"",false)"),"美田園アリス(上戸彩)と佐藤太郎(上地雄輔)のキスが週刊誌などに掲載された。そのため、アリスと太郎は一躍注目を集めてしまう。アリスにとって、継母の真紀子(若村麻由美)が結婚を薦める後藤田司(柏原崇)を遠ざけるカムフラージュだったが、太郎はマスコミに追い回されて大迷惑。  　そんな時、真紀子が帰国。太郎との関係をただす真紀子を、何とか誤魔化そうとするアリス。ちょうどそこに、太郎が現れた。太郎の仕事を知った真紀子は交際に大反対。反発するアリスに、真紀子は太郎と暮らすよう提案する。  　アリスが佐藤家に転がり込"&amp;"んで来た。混乱する太郎の横で、アリスは佐藤家のあまりの貧乏生活にギャップを感じる。テレビも冷蔵庫もなく、夕食はパンの耳、商店街ではカードも使えない。しかし、アリスはどこで金を工面したのか、佐藤家を好みのピンクで統一し、大型テレビや豪華なソファーまでそろえてしまった。　しかし、アリスが使ったのは太郎が会計係として預かっていた祭りの資金。怒る太郎に、アリスはすぐに返すといきり立つ。ところがアリスは、カードはおろか、携帯電話まで使用不能になっていた。それは、真紀子の差し金だった。それでも、太郎や『だるま』の仲間"&amp;"たちに金は返すと言い張るアリスは、商店街の手伝いを始めるのだが…。")</f>
        <v>美田園アリス(上戸彩)と佐藤太郎(上地雄輔)のキスが週刊誌などに掲載された。そのため、アリスと太郎は一躍注目を集めてしまう。アリスにとって、継母の真紀子(若村麻由美)が結婚を薦める後藤田司(柏原崇)を遠ざけるカムフラージュだったが、太郎はマスコミに追い回されて大迷惑。  　そんな時、真紀子が帰国。太郎との関係をただす真紀子を、何とか誤魔化そうとするアリス。ちょうどそこに、太郎が現れた。太郎の仕事を知った真紀子は交際に大反対。反発するアリスに、真紀子は太郎と暮らすよう提案する。  　アリスが佐藤家に転がり込んで来た。混乱する太郎の横で、アリスは佐藤家のあまりの貧乏生活にギャップを感じる。テレビも冷蔵庫もなく、夕食はパンの耳、商店街ではカードも使えない。しかし、アリスはどこで金を工面したのか、佐藤家を好みのピンクで統一し、大型テレビや豪華なソファーまでそろえてしまった。　しかし、アリスが使ったのは太郎が会計係として預かっていた祭りの資金。怒る太郎に、アリスはすぐに返すといきり立つ。ところがアリスは、カードはおろか、携帯電話まで使用不能になっていた。それは、真紀子の差し金だった。それでも、太郎や『だるま』の仲間たちに金は返すと言い張るアリスは、商店街の手伝いを始めるのだが…。</v>
      </c>
      <c r="N1873" s="2"/>
      <c r="O1873" s="2"/>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row>
    <row r="1874" ht="204.75" customHeight="1">
      <c r="A1874" s="1">
        <v>5531.0</v>
      </c>
      <c r="B1874" s="2" t="s">
        <v>5951</v>
      </c>
      <c r="C1874" s="2">
        <f>IFERROR(__xludf.DUMMYFUNCTION("split(B1874,""_"")"),810.0)</f>
        <v>810</v>
      </c>
      <c r="D1874" s="2" t="str">
        <f>IFERROR(__xludf.DUMMYFUNCTION("""COMPUTED_VALUE"""),"CX")</f>
        <v>CX</v>
      </c>
      <c r="E1874" s="2" t="str">
        <f>IFERROR(__xludf.DUMMYFUNCTION("""COMPUTED_VALUE"""),"火21")</f>
        <v>火21</v>
      </c>
      <c r="F1874" s="2" t="s">
        <v>5952</v>
      </c>
      <c r="G1874" s="2" t="s">
        <v>5962</v>
      </c>
      <c r="H1874" s="1">
        <v>4.0</v>
      </c>
      <c r="I1874" s="1" t="s">
        <v>14</v>
      </c>
      <c r="J1874" s="1" t="s">
        <v>11</v>
      </c>
      <c r="K1874" s="2" t="s">
        <v>5963</v>
      </c>
      <c r="L1874" s="2" t="s">
        <v>5964</v>
      </c>
      <c r="M1874" s="2" t="str">
        <f>IFERROR(__xludf.DUMMYFUNCTION("split(split(K1874,""上戸彩　"",false),""公式LINE"",false)"),"美田園アリス(上戸彩)の知らないうちに、継母の真紀子(若村麻由美)と後藤田司(柏原崇)が手を組んで、佐藤太郎(上地雄輔)や仲間たちが暮らす商店街を“アリスタウン""と名づけて再開発しようとしていることが発覚。  　アリスは、ようやく仲良くなれそうになっていた商店街の住人たちから裏切り者扱いされて去り、そのまま姿を消してしまった。  　一方、太郎は商店街の仲間たちを集めて、野球の練習を始める。仲間たちは、商店街の救世主として太郎をあがめるのだが…。  　アリスは後藤田に“アリスタウン""建設計画を即刻中止す"&amp;"るよう迫った。すると、後藤田は自分との婚約を承知するなら中止すると言う。アリスに、そんな条件が飲めるはずもない。  　太郎も後藤田のもとに来て“アリスタウン""建設計画を賭けた野球の試合を申し込んでいた。ところが、後藤田はメジャーの大リーグを招待。それを知った商店街チームは意気消沈。太郎だけは、それでも戦うと意気込む。そんな時“アリスタウン""建設計画に絡む、地上げ屋が商店街の仲間たちに近づいていた。  　アリスは、大切なものを太郎の家に置いて来てしまったことに気づく。しかし、アリスの荷物はすでに太郎が処"&amp;"分して、野球用具に変わっていて…。")</f>
        <v>美田園アリス(上戸彩)の知らないうちに、継母の真紀子(若村麻由美)と後藤田司(柏原崇)が手を組んで、佐藤太郎(上地雄輔)や仲間たちが暮らす商店街を“アリスタウン"と名づけて再開発しようとしていることが発覚。  　アリスは、ようやく仲良くなれそうになっていた商店街の住人たちから裏切り者扱いされて去り、そのまま姿を消してしまった。  　一方、太郎は商店街の仲間たちを集めて、野球の練習を始める。仲間たちは、商店街の救世主として太郎をあがめるのだが…。  　アリスは後藤田に“アリスタウン"建設計画を即刻中止するよう迫った。すると、後藤田は自分との婚約を承知するなら中止すると言う。アリスに、そんな条件が飲めるはずもない。  　太郎も後藤田のもとに来て“アリスタウン"建設計画を賭けた野球の試合を申し込んでいた。ところが、後藤田はメジャーの大リーグを招待。それを知った商店街チームは意気消沈。太郎だけは、それでも戦うと意気込む。そんな時“アリスタウン"建設計画に絡む、地上げ屋が商店街の仲間たちに近づいていた。  　アリスは、大切なものを太郎の家に置いて来てしまったことに気づく。しかし、アリスの荷物はすでに太郎が処分して、野球用具に変わっていて…。</v>
      </c>
      <c r="N1874" s="2"/>
      <c r="O1874" s="2"/>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row>
    <row r="1875" ht="204.75" customHeight="1">
      <c r="A1875" s="1">
        <v>5532.0</v>
      </c>
      <c r="B1875" s="2" t="s">
        <v>5951</v>
      </c>
      <c r="C1875" s="2">
        <f>IFERROR(__xludf.DUMMYFUNCTION("split(B1875,""_"")"),810.0)</f>
        <v>810</v>
      </c>
      <c r="D1875" s="2" t="str">
        <f>IFERROR(__xludf.DUMMYFUNCTION("""COMPUTED_VALUE"""),"CX")</f>
        <v>CX</v>
      </c>
      <c r="E1875" s="2" t="str">
        <f>IFERROR(__xludf.DUMMYFUNCTION("""COMPUTED_VALUE"""),"火21")</f>
        <v>火21</v>
      </c>
      <c r="F1875" s="2" t="s">
        <v>5952</v>
      </c>
      <c r="G1875" s="2" t="s">
        <v>5965</v>
      </c>
      <c r="H1875" s="1">
        <v>5.0</v>
      </c>
      <c r="I1875" s="1" t="s">
        <v>17</v>
      </c>
      <c r="J1875" s="1" t="s">
        <v>11</v>
      </c>
      <c r="K1875" s="2" t="s">
        <v>5966</v>
      </c>
      <c r="L1875" s="2" t="s">
        <v>5967</v>
      </c>
      <c r="M1875" s="2" t="str">
        <f>IFERROR(__xludf.DUMMYFUNCTION("split(split(K1875,""上戸彩　"",false),""公式LINE"",false)"),"美田園アリス(上戸彩)は、佐藤太郎(上地雄輔)らの商店街に計画された“アリスタウン""建設を阻止するため、後藤田司(柏原崇)との婚約を受諾。  　しかし、それはアリスの勢い…というか、気まぐれ。だが、後藤田はこの時とばかりにアリスとの婚約発表記者会見を準備した。  　後藤田との婚約を推奨する継母の真紀子(若村麻由美)は、アリスが逃げ出さないようにとSPを付ける。アリスは、太郎と商店街の仲間に自分を助け出して空港へ連れて行くようにとメッセージを送った。今や商店街の救世主として崇められているアリスの頼みに仲間"&amp;"たちは大乗り気。かくして、太郎と仲間たちの“アリス救出大作戦""が決行されることとなる。  　後藤田との婚約発表の日。アリスは、太郎たちによって救出される。だが、太郎たちの行為は警察には誘拐ととられてしまった。とりあえず、『だるま』に連れてこられたアリスだが、周囲はすでに警察官だらけ。それでも、午後3時までに空港に行くと言い張るアリス。  　アリスは警察に保護されて後藤田との婚約会見に臨むことになってしまうのか?アリスが、空港に急ぐ理由とは?")</f>
        <v>美田園アリス(上戸彩)は、佐藤太郎(上地雄輔)らの商店街に計画された“アリスタウン"建設を阻止するため、後藤田司(柏原崇)との婚約を受諾。  　しかし、それはアリスの勢い…というか、気まぐれ。だが、後藤田はこの時とばかりにアリスとの婚約発表記者会見を準備した。  　後藤田との婚約を推奨する継母の真紀子(若村麻由美)は、アリスが逃げ出さないようにとSPを付ける。アリスは、太郎と商店街の仲間に自分を助け出して空港へ連れて行くようにとメッセージを送った。今や商店街の救世主として崇められているアリスの頼みに仲間たちは大乗り気。かくして、太郎と仲間たちの“アリス救出大作戦"が決行されることとなる。  　後藤田との婚約発表の日。アリスは、太郎たちによって救出される。だが、太郎たちの行為は警察には誘拐ととられてしまった。とりあえず、『だるま』に連れてこられたアリスだが、周囲はすでに警察官だらけ。それでも、午後3時までに空港に行くと言い張るアリス。  　アリスは警察に保護されて後藤田との婚約会見に臨むことになってしまうのか?アリスが、空港に急ぐ理由とは?</v>
      </c>
      <c r="N1875" s="2"/>
      <c r="O1875" s="2"/>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row>
    <row r="1876" ht="204.75" customHeight="1">
      <c r="A1876" s="1">
        <v>5533.0</v>
      </c>
      <c r="B1876" s="2" t="s">
        <v>5951</v>
      </c>
      <c r="C1876" s="2">
        <f>IFERROR(__xludf.DUMMYFUNCTION("split(B1876,""_"")"),810.0)</f>
        <v>810</v>
      </c>
      <c r="D1876" s="2" t="str">
        <f>IFERROR(__xludf.DUMMYFUNCTION("""COMPUTED_VALUE"""),"CX")</f>
        <v>CX</v>
      </c>
      <c r="E1876" s="2" t="str">
        <f>IFERROR(__xludf.DUMMYFUNCTION("""COMPUTED_VALUE"""),"火21")</f>
        <v>火21</v>
      </c>
      <c r="F1876" s="2" t="s">
        <v>5952</v>
      </c>
      <c r="G1876" s="2" t="s">
        <v>5968</v>
      </c>
      <c r="H1876" s="1">
        <v>6.0</v>
      </c>
      <c r="I1876" s="1" t="s">
        <v>21</v>
      </c>
      <c r="J1876" s="1" t="s">
        <v>11</v>
      </c>
      <c r="K1876" s="2" t="s">
        <v>5969</v>
      </c>
      <c r="L1876" s="2" t="s">
        <v>5970</v>
      </c>
      <c r="M1876" s="2" t="str">
        <f>IFERROR(__xludf.DUMMYFUNCTION("split(split(K1876,""上戸彩　"",false),""公式LINE"",false)"),"『ラブ・アリス』のファッションリーダー、美田園アリス(上戸彩)の前に強力なライバル、ジェシカ(村川絵梨)が出現。アリスと同じく、セレブを標榜するジェシカのデザインは『ラブ・ジェシカ』を発信源に、日本のファッション界に旋風を巻き起こす。しかも、ジェシカはアリスを徹底的にライバル視。なんと、ジェシカの背後には後藤田司(柏原崇)が控えていた。  　そんな時、アルム公国大使館の大臣(市川勇)が同国プリンセス、クララ(アヤカ・ウィルソン)の社交界デビュー用のドレスを決めるコンペをアリスとジェシカで行うことを提案。す"&amp;"ると、後藤田の力も武器にジェシカは『ラブ・アリス』の社員を引き抜き、優位を保とうとする。  　佐藤太郎(上地雄輔)は、なぜ後藤田がアリスを守ろうとしないのかが気になる。疑問を直接、後藤田にぶつけるのだが、答えは得られない。  　コンペは、ジェシカ優勢のまま進んで行く。社員を奪われ、デザインの構想が得られないアリスの下には、安田幸子(国仲涼子)が来た。アリスは、もう一度訪ねたクララの意外な一面と、太郎の子供たちの服を繕う幸子の話から、ようやくデザインの着想を得て…。")</f>
        <v>『ラブ・アリス』のファッションリーダー、美田園アリス(上戸彩)の前に強力なライバル、ジェシカ(村川絵梨)が出現。アリスと同じく、セレブを標榜するジェシカのデザインは『ラブ・ジェシカ』を発信源に、日本のファッション界に旋風を巻き起こす。しかも、ジェシカはアリスを徹底的にライバル視。なんと、ジェシカの背後には後藤田司(柏原崇)が控えていた。  　そんな時、アルム公国大使館の大臣(市川勇)が同国プリンセス、クララ(アヤカ・ウィルソン)の社交界デビュー用のドレスを決めるコンペをアリスとジェシカで行うことを提案。すると、後藤田の力も武器にジェシカは『ラブ・アリス』の社員を引き抜き、優位を保とうとする。  　佐藤太郎(上地雄輔)は、なぜ後藤田がアリスを守ろうとしないのかが気になる。疑問を直接、後藤田にぶつけるのだが、答えは得られない。  　コンペは、ジェシカ優勢のまま進んで行く。社員を奪われ、デザインの構想が得られないアリスの下には、安田幸子(国仲涼子)が来た。アリスは、もう一度訪ねたクララの意外な一面と、太郎の子供たちの服を繕う幸子の話から、ようやくデザインの着想を得て…。</v>
      </c>
      <c r="N1876" s="2"/>
      <c r="O1876" s="2"/>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row>
    <row r="1877" ht="204.75" customHeight="1">
      <c r="A1877" s="1">
        <v>5534.0</v>
      </c>
      <c r="B1877" s="2" t="s">
        <v>5951</v>
      </c>
      <c r="C1877" s="2">
        <f>IFERROR(__xludf.DUMMYFUNCTION("split(B1877,""_"")"),810.0)</f>
        <v>810</v>
      </c>
      <c r="D1877" s="2" t="str">
        <f>IFERROR(__xludf.DUMMYFUNCTION("""COMPUTED_VALUE"""),"CX")</f>
        <v>CX</v>
      </c>
      <c r="E1877" s="2" t="str">
        <f>IFERROR(__xludf.DUMMYFUNCTION("""COMPUTED_VALUE"""),"火21")</f>
        <v>火21</v>
      </c>
      <c r="F1877" s="2" t="s">
        <v>5952</v>
      </c>
      <c r="G1877" s="2" t="s">
        <v>5971</v>
      </c>
      <c r="H1877" s="1">
        <v>7.0</v>
      </c>
      <c r="I1877" s="1" t="s">
        <v>25</v>
      </c>
      <c r="J1877" s="1" t="s">
        <v>11</v>
      </c>
      <c r="K1877" s="2" t="s">
        <v>5972</v>
      </c>
      <c r="L1877" s="2" t="s">
        <v>5973</v>
      </c>
      <c r="M1877" s="2" t="str">
        <f>IFERROR(__xludf.DUMMYFUNCTION("split(split(K1877,""上戸彩　"",false),""公式LINE"",false)"),"美田園アリス(上戸彩)の下に2人の編集者(トータルテンボス)が訪ねて来た。郡司康夫(風間杜夫)は、アリスが1年前に自伝の出版を契約したと説明。面倒くさがるアリスだが、原稿はすでにあると言う編集者に、サインだけならと承諾。だが、原稿を読んだアリスは、真紀子(若村麻由美)との関係が美化されていることに怒り、自分が執筆すると言い出すが筆は全く進まない。すると郡司が世界中のセレブ御用達の凄腕ゴーストライター、ニシヤマを紹介。郡司はニシヤマとアポイントを取ったと、アリスを佐藤太郎(上地雄輔)と現場に向かわせる。  "&amp;"　その頃、大衆食堂『だるま』の安田啓一(山下真司)は、娘の幸子(国仲涼子)の行く末を案じ、相手を探そうと結婚紹介のチラシを見ながら考えていた。複数の偽名を使って結婚詐欺を働く男が話題になっていることも知らずに…。  　太郎を伴って、待ち合わせ場所に来たアリスは受付でニシヤマを呼び出してもらう。呼び出しに答えたニシヤマという男は、自伝を書けと言われて慌てるが、アリスは半ば強引に連れ出してしまう。3人と入れ違いに、ロビーに啓一が現れた。啓一は、ニシヤマと名乗る初老の男と出合う。  　実は、2人のニシヤマは、ア"&amp;"リス、啓一によって勘違いされていた。アリスと太郎が連れて行ったのは結婚詐欺師の西山辰雄(姜暢雄)。啓一と出合ったのが、凄腕ゴーストライターの仁志山達夫(佐戸井けん太)で…。")</f>
        <v>美田園アリス(上戸彩)の下に2人の編集者(トータルテンボス)が訪ねて来た。郡司康夫(風間杜夫)は、アリスが1年前に自伝の出版を契約したと説明。面倒くさがるアリスだが、原稿はすでにあると言う編集者に、サインだけならと承諾。だが、原稿を読んだアリスは、真紀子(若村麻由美)との関係が美化されていることに怒り、自分が執筆すると言い出すが筆は全く進まない。すると郡司が世界中のセレブ御用達の凄腕ゴーストライター、ニシヤマを紹介。郡司はニシヤマとアポイントを取ったと、アリスを佐藤太郎(上地雄輔)と現場に向かわせる。  　その頃、大衆食堂『だるま』の安田啓一(山下真司)は、娘の幸子(国仲涼子)の行く末を案じ、相手を探そうと結婚紹介のチラシを見ながら考えていた。複数の偽名を使って結婚詐欺を働く男が話題になっていることも知らずに…。  　太郎を伴って、待ち合わせ場所に来たアリスは受付でニシヤマを呼び出してもらう。呼び出しに答えたニシヤマという男は、自伝を書けと言われて慌てるが、アリスは半ば強引に連れ出してしまう。3人と入れ違いに、ロビーに啓一が現れた。啓一は、ニシヤマと名乗る初老の男と出合う。  　実は、2人のニシヤマは、アリス、啓一によって勘違いされていた。アリスと太郎が連れて行ったのは結婚詐欺師の西山辰雄(姜暢雄)。啓一と出合ったのが、凄腕ゴーストライターの仁志山達夫(佐戸井けん太)で…。</v>
      </c>
      <c r="N1877" s="2"/>
      <c r="O1877" s="2"/>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row>
    <row r="1878" ht="204.75" customHeight="1">
      <c r="A1878" s="1">
        <v>5535.0</v>
      </c>
      <c r="B1878" s="2" t="s">
        <v>5951</v>
      </c>
      <c r="C1878" s="2">
        <f>IFERROR(__xludf.DUMMYFUNCTION("split(B1878,""_"")"),810.0)</f>
        <v>810</v>
      </c>
      <c r="D1878" s="2" t="str">
        <f>IFERROR(__xludf.DUMMYFUNCTION("""COMPUTED_VALUE"""),"CX")</f>
        <v>CX</v>
      </c>
      <c r="E1878" s="2" t="str">
        <f>IFERROR(__xludf.DUMMYFUNCTION("""COMPUTED_VALUE"""),"火21")</f>
        <v>火21</v>
      </c>
      <c r="F1878" s="2" t="s">
        <v>5952</v>
      </c>
      <c r="G1878" s="2" t="s">
        <v>5974</v>
      </c>
      <c r="H1878" s="1">
        <v>8.0</v>
      </c>
      <c r="I1878" s="1" t="s">
        <v>29</v>
      </c>
      <c r="J1878" s="1" t="s">
        <v>11</v>
      </c>
      <c r="K1878" s="2" t="s">
        <v>5975</v>
      </c>
      <c r="L1878" s="2" t="s">
        <v>5976</v>
      </c>
      <c r="M1878" s="2" t="str">
        <f>IFERROR(__xludf.DUMMYFUNCTION("split(split(K1878,""上戸彩　"",false),""公式LINE"",false)"),"美田園アリス(上戸彩)の継母、真紀子(若村麻由美)は美田園ホールディングスの経営権を手中に収めた。アリスは、真紀子と一緒にいるのがイヤで、参加する予定もなかった『ラブ・アリス』の社員旅行に出かけてしまう。  　アリスが東京を留守の間に、真紀子は佐藤太郎(上地雄輔)に接近。アリスと2度と会うな、さらに運転手を解雇にすると通達した。また、自分に逆らえば太郎に関わるもの全てを失うことになると脅しまでかける。  　その矢先、佐藤家でボヤが発生。放火の疑いもある。水浸しの部屋に住むことの出来ない太郎だが、真紀子の一"&amp;"件から仲間たちにも助けを求めることも出来ずに、公園で暮らすことになった。  　一方、そんなことを知らないアリスは、旅行先のルールで社員たちの召使いをやらされてしまう。いやいやながらもルールに従うアリスだが、ついに嫌気がさして裏庭に出た時、熊と遭遇して失神。アリスを助けたのは探しに来た後藤田司(柏原崇)だった。後藤田から、佐藤家に起きた出来事を聞いたアリスは…。  　公園で暮らす佐藤家には限界がきていた。子供たちは、学校や保育園でホームレスと馬鹿にされ、二郎(小林海人)は発熱で倒れてしまう。そこに現れた真紀"&amp;"子。太郎は、子供たちを助けてもらうためと、ついに真紀子の提案に乗ってしまった。")</f>
        <v>美田園アリス(上戸彩)の継母、真紀子(若村麻由美)は美田園ホールディングスの経営権を手中に収めた。アリスは、真紀子と一緒にいるのがイヤで、参加する予定もなかった『ラブ・アリス』の社員旅行に出かけてしまう。  　アリスが東京を留守の間に、真紀子は佐藤太郎(上地雄輔)に接近。アリスと2度と会うな、さらに運転手を解雇にすると通達した。また、自分に逆らえば太郎に関わるもの全てを失うことになると脅しまでかける。  　その矢先、佐藤家でボヤが発生。放火の疑いもある。水浸しの部屋に住むことの出来ない太郎だが、真紀子の一件から仲間たちにも助けを求めることも出来ずに、公園で暮らすことになった。  　一方、そんなことを知らないアリスは、旅行先のルールで社員たちの召使いをやらされてしまう。いやいやながらもルールに従うアリスだが、ついに嫌気がさして裏庭に出た時、熊と遭遇して失神。アリスを助けたのは探しに来た後藤田司(柏原崇)だった。後藤田から、佐藤家に起きた出来事を聞いたアリスは…。  　公園で暮らす佐藤家には限界がきていた。子供たちは、学校や保育園でホームレスと馬鹿にされ、二郎(小林海人)は発熱で倒れてしまう。そこに現れた真紀子。太郎は、子供たちを助けてもらうためと、ついに真紀子の提案に乗ってしまった。</v>
      </c>
      <c r="N1878" s="2"/>
      <c r="O1878" s="2"/>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row>
    <row r="1879" ht="204.75" customHeight="1">
      <c r="A1879" s="1">
        <v>5536.0</v>
      </c>
      <c r="B1879" s="2" t="s">
        <v>5951</v>
      </c>
      <c r="C1879" s="2">
        <f>IFERROR(__xludf.DUMMYFUNCTION("split(B1879,""_"")"),810.0)</f>
        <v>810</v>
      </c>
      <c r="D1879" s="2" t="str">
        <f>IFERROR(__xludf.DUMMYFUNCTION("""COMPUTED_VALUE"""),"CX")</f>
        <v>CX</v>
      </c>
      <c r="E1879" s="2" t="str">
        <f>IFERROR(__xludf.DUMMYFUNCTION("""COMPUTED_VALUE"""),"火21")</f>
        <v>火21</v>
      </c>
      <c r="F1879" s="2" t="s">
        <v>5952</v>
      </c>
      <c r="G1879" s="2" t="s">
        <v>5977</v>
      </c>
      <c r="H1879" s="1">
        <v>9.0</v>
      </c>
      <c r="I1879" s="1" t="s">
        <v>33</v>
      </c>
      <c r="J1879" s="1" t="s">
        <v>11</v>
      </c>
      <c r="K1879" s="2" t="s">
        <v>5978</v>
      </c>
      <c r="L1879" s="2" t="s">
        <v>5979</v>
      </c>
      <c r="M1879" s="2" t="str">
        <f>IFERROR(__xludf.DUMMYFUNCTION("split(split(K1879,""上戸彩　"",false),""公式LINE"",false)"),"5年前に後藤田司(柏原崇)がいなくなったのは、継母の真紀子(若村麻由美)の画策だった。真実を知ったアリス(上戸彩)は後藤田との結婚を決意。佐藤太郎(上地雄輔)の心境は複雑。安田幸子(国仲涼子)は、アリスのウエディングドレスの制作を任されていた。  　結婚式前日。運転手として最後の日を迎えた太郎は、アリスと最後の思い出を作る。だが、リムジンと交換したバイクの持ち主が被害届を出したため、2人で警察に捕まってしまった。郡司(風間杜夫)と緑(三浦理恵子)が迎えに来て、解放される。  　幸子の作ったドレスは真紀子も"&amp;"認める出来栄え。帰り道、送ってもらった幸子は、後藤田からニューヨークでの出来事を聞かされる。  　スイートルームに帰ったアリスは、ひとつだけやり残したことがあったことに思い当たる。結婚式当日の早朝、アリスは佐藤家へ。そこで、アリスはニワトリの朝子の産みたて卵かけご飯を満喫した。その後、太郎の運転で式場に急ぐのだが、着いたのは別の場所。しかも、そこでカップルの騒動に巻き込まれてしまう。アリスの説得で花嫁の心を癒すことに成功した2人は、先を急ぐ。  　ようやく結婚式場に到着した。太郎はアリスの幸福を願って別れ"&amp;"る。アリスも至福の時を噛みしめようとしていた。しかし、後藤田の姿がない。その時、会場に巨大スクリーンが出現。映っているのは後藤田だった。サプライズな演出に沸く招待客たち。だが…。")</f>
        <v>5年前に後藤田司(柏原崇)がいなくなったのは、継母の真紀子(若村麻由美)の画策だった。真実を知ったアリス(上戸彩)は後藤田との結婚を決意。佐藤太郎(上地雄輔)の心境は複雑。安田幸子(国仲涼子)は、アリスのウエディングドレスの制作を任されていた。  　結婚式前日。運転手として最後の日を迎えた太郎は、アリスと最後の思い出を作る。だが、リムジンと交換したバイクの持ち主が被害届を出したため、2人で警察に捕まってしまった。郡司(風間杜夫)と緑(三浦理恵子)が迎えに来て、解放される。  　幸子の作ったドレスは真紀子も認める出来栄え。帰り道、送ってもらった幸子は、後藤田からニューヨークでの出来事を聞かされる。  　スイートルームに帰ったアリスは、ひとつだけやり残したことがあったことに思い当たる。結婚式当日の早朝、アリスは佐藤家へ。そこで、アリスはニワトリの朝子の産みたて卵かけご飯を満喫した。その後、太郎の運転で式場に急ぐのだが、着いたのは別の場所。しかも、そこでカップルの騒動に巻き込まれてしまう。アリスの説得で花嫁の心を癒すことに成功した2人は、先を急ぐ。  　ようやく結婚式場に到着した。太郎はアリスの幸福を願って別れる。アリスも至福の時を噛みしめようとしていた。しかし、後藤田の姿がない。その時、会場に巨大スクリーンが出現。映っているのは後藤田だった。サプライズな演出に沸く招待客たち。だが…。</v>
      </c>
      <c r="N1879" s="2"/>
      <c r="O1879" s="2"/>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row>
    <row r="1880" ht="204.75" customHeight="1">
      <c r="A1880" s="1">
        <v>5537.0</v>
      </c>
      <c r="B1880" s="2" t="s">
        <v>5951</v>
      </c>
      <c r="C1880" s="2">
        <f>IFERROR(__xludf.DUMMYFUNCTION("split(B1880,""_"")"),810.0)</f>
        <v>810</v>
      </c>
      <c r="D1880" s="2" t="str">
        <f>IFERROR(__xludf.DUMMYFUNCTION("""COMPUTED_VALUE"""),"CX")</f>
        <v>CX</v>
      </c>
      <c r="E1880" s="2" t="str">
        <f>IFERROR(__xludf.DUMMYFUNCTION("""COMPUTED_VALUE"""),"火21")</f>
        <v>火21</v>
      </c>
      <c r="F1880" s="2" t="s">
        <v>5952</v>
      </c>
      <c r="G1880" s="2" t="s">
        <v>5980</v>
      </c>
      <c r="H1880" s="1">
        <v>10.0</v>
      </c>
      <c r="I1880" s="1" t="s">
        <v>37</v>
      </c>
      <c r="J1880" s="1" t="s">
        <v>11</v>
      </c>
      <c r="K1880" s="2" t="s">
        <v>5981</v>
      </c>
      <c r="L1880" s="2" t="s">
        <v>5982</v>
      </c>
      <c r="M1880" s="2" t="str">
        <f>IFERROR(__xludf.DUMMYFUNCTION("split(split(K1880,""上戸彩　"",false),""公式LINE"",false)"),"美田園アリス(上戸彩)と後藤田司(柏原崇)の結婚式は最悪の結末を見せる。後藤田は挙式当日に美田園ホールディングスを買収して経営権を奪い、5年前に真紀子(若村麻由美)に与えられた恨みを晴らした。アリスは真紀子ともども一文無し。しかも、この買収劇は佐藤太郎(上地雄輔)の仲間たちの住む商店街にも及ぶ。  　太郎と子供たちはアリスが心配。太郎はアリスが住んでいたスイートルームへ行く。そこにいたのは後藤田。さらに、太郎を驚かせたのは安田幸子(国仲涼子)が秘書として後藤田の側にいたこと。  　アリスは真紀子とキャバレ"&amp;"ーでデュエットをして金を稼いでいた。郡司康夫(風間杜夫)と大野緑(三浦理恵子)が2人をサポート。郡司は後藤田を訪ねて、雇って欲しいと頭を下げる。すると後藤田はアリスを裏切ったという証拠を見せろと迫った。  　判明したアリスの住むアパートを訪ねた太郎は、後藤田成敗を告げる。だが、アリスにはその気がなさそう。  　太郎は公文晃(宅間孝行)に頼んで、後藤田のスキャンダル写真を捏造しようとするが失敗。その行動は後藤田に知られてしまう。一方、郡司は後藤田にアリスの情報を漏らす。アリスと真紀子が連れてこられる。さらに"&amp;"、太郎と啓一(山下真司)も引き立てられた。屈辱の中で、歌い舞うアリスと真紀子。  　帰り道、怒りに燃える太郎は、再び後藤田成敗をアリスに訴える。だが、またもアリスにはねつけられてしまい…。")</f>
        <v>美田園アリス(上戸彩)と後藤田司(柏原崇)の結婚式は最悪の結末を見せる。後藤田は挙式当日に美田園ホールディングスを買収して経営権を奪い、5年前に真紀子(若村麻由美)に与えられた恨みを晴らした。アリスは真紀子ともども一文無し。しかも、この買収劇は佐藤太郎(上地雄輔)の仲間たちの住む商店街にも及ぶ。  　太郎と子供たちはアリスが心配。太郎はアリスが住んでいたスイートルームへ行く。そこにいたのは後藤田。さらに、太郎を驚かせたのは安田幸子(国仲涼子)が秘書として後藤田の側にいたこと。  　アリスは真紀子とキャバレーでデュエットをして金を稼いでいた。郡司康夫(風間杜夫)と大野緑(三浦理恵子)が2人をサポート。郡司は後藤田を訪ねて、雇って欲しいと頭を下げる。すると後藤田はアリスを裏切ったという証拠を見せろと迫った。  　判明したアリスの住むアパートを訪ねた太郎は、後藤田成敗を告げる。だが、アリスにはその気がなさそう。  　太郎は公文晃(宅間孝行)に頼んで、後藤田のスキャンダル写真を捏造しようとするが失敗。その行動は後藤田に知られてしまう。一方、郡司は後藤田にアリスの情報を漏らす。アリスと真紀子が連れてこられる。さらに、太郎と啓一(山下真司)も引き立てられた。屈辱の中で、歌い舞うアリスと真紀子。  　帰り道、怒りに燃える太郎は、再び後藤田成敗をアリスに訴える。だが、またもアリスにはねつけられてしまい…。</v>
      </c>
      <c r="N1880" s="2"/>
      <c r="O1880" s="2"/>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row>
    <row r="1881" ht="204.75" customHeight="1">
      <c r="A1881" s="1">
        <v>5538.0</v>
      </c>
      <c r="B1881" s="2" t="s">
        <v>5951</v>
      </c>
      <c r="C1881" s="2">
        <f>IFERROR(__xludf.DUMMYFUNCTION("split(B1881,""_"")"),810.0)</f>
        <v>810</v>
      </c>
      <c r="D1881" s="2" t="str">
        <f>IFERROR(__xludf.DUMMYFUNCTION("""COMPUTED_VALUE"""),"CX")</f>
        <v>CX</v>
      </c>
      <c r="E1881" s="2" t="str">
        <f>IFERROR(__xludf.DUMMYFUNCTION("""COMPUTED_VALUE"""),"火21")</f>
        <v>火21</v>
      </c>
      <c r="F1881" s="2" t="s">
        <v>5952</v>
      </c>
      <c r="G1881" s="2" t="s">
        <v>5983</v>
      </c>
      <c r="H1881" s="1">
        <v>11.0</v>
      </c>
      <c r="I1881" s="1" t="s">
        <v>41</v>
      </c>
      <c r="J1881" s="1" t="s">
        <v>4</v>
      </c>
      <c r="K1881" s="2" t="s">
        <v>5984</v>
      </c>
      <c r="L1881" s="2" t="s">
        <v>5985</v>
      </c>
      <c r="M1881" s="2" t="str">
        <f>IFERROR(__xludf.DUMMYFUNCTION("split(split(K1881,""上戸彩　"",false),""公式LINE"",false)"),"突如、佐藤家に現れた美田園アリス(上戸彩)は、佐藤太郎(上地雄輔)や集まっていた安田啓一(山下真司)ら商店街の仲間たち、『ラブ・アリス』の元社員たちに、後藤田司(柏原崇)への報復を宣言。ウラジミール・コレクションの偽オークションを開催して、後藤田を罠にはめようと言うのだ。  　一方、太郎はアリスが真紀子(若村麻由美)とロンドンに行き、父とともに暮らそうとしていることを知る。太郎は、何とかロンドン行きを止めさせ、告白しようともするのだが上手くいかない。  　偽オークションが始まった。セレブに扮した仲間たちは"&amp;"、次々と値を吊り上げていく。しかし、後藤田の限度額と思われる10兆円を誤ってオーバーしてしまう。後藤田も買わないのでは?と、思われた矢先、後藤田は13兆円をコール。後藤田をはめることに成功した。早速、部下に命じてオークションの口座に金を振り込むよう指示する後藤田。これで、完璧に勝ったと信じるアリスや太郎に、後藤田は不敵な笑いを向けた。どうやら、アリスの作戦は後藤田にバレていたようだ。  　やはり、幸子(国仲涼子)、そして郡司(風間杜夫)までを利用した後藤田がアリスの上を行っていたのか?どうするアリス!反撃"&amp;"の糸口はあるのだろうか?")</f>
        <v>突如、佐藤家に現れた美田園アリス(上戸彩)は、佐藤太郎(上地雄輔)や集まっていた安田啓一(山下真司)ら商店街の仲間たち、『ラブ・アリス』の元社員たちに、後藤田司(柏原崇)への報復を宣言。ウラジミール・コレクションの偽オークションを開催して、後藤田を罠にはめようと言うのだ。  　一方、太郎はアリスが真紀子(若村麻由美)とロンドンに行き、父とともに暮らそうとしていることを知る。太郎は、何とかロンドン行きを止めさせ、告白しようともするのだが上手くいかない。  　偽オークションが始まった。セレブに扮した仲間たちは、次々と値を吊り上げていく。しかし、後藤田の限度額と思われる10兆円を誤ってオーバーしてしまう。後藤田も買わないのでは?と、思われた矢先、後藤田は13兆円をコール。後藤田をはめることに成功した。早速、部下に命じてオークションの口座に金を振り込むよう指示する後藤田。これで、完璧に勝ったと信じるアリスや太郎に、後藤田は不敵な笑いを向けた。どうやら、アリスの作戦は後藤田にバレていたようだ。  　やはり、幸子(国仲涼子)、そして郡司(風間杜夫)までを利用した後藤田がアリスの上を行っていたのか?どうするアリス!反撃の糸口はあるのだろうか?</v>
      </c>
      <c r="N1881" s="2"/>
      <c r="O1881" s="2"/>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row>
    <row r="1882" ht="204.75" customHeight="1">
      <c r="A1882" s="1">
        <v>5539.0</v>
      </c>
      <c r="B1882" s="2" t="s">
        <v>5986</v>
      </c>
      <c r="C1882" s="2">
        <f>IFERROR(__xludf.DUMMYFUNCTION("split(B1882,""_"")"),810.0)</f>
        <v>810</v>
      </c>
      <c r="D1882" s="2" t="str">
        <f>IFERROR(__xludf.DUMMYFUNCTION("""COMPUTED_VALUE"""),"CX")</f>
        <v>CX</v>
      </c>
      <c r="E1882" s="2" t="str">
        <f>IFERROR(__xludf.DUMMYFUNCTION("""COMPUTED_VALUE"""),"火22")</f>
        <v>火22</v>
      </c>
      <c r="F1882" s="2" t="s">
        <v>5987</v>
      </c>
      <c r="G1882" s="2" t="s">
        <v>5988</v>
      </c>
      <c r="H1882" s="1">
        <v>1.0</v>
      </c>
      <c r="I1882" s="1" t="s">
        <v>10</v>
      </c>
      <c r="J1882" s="1" t="s">
        <v>86</v>
      </c>
      <c r="K1882" s="4" t="s">
        <v>5989</v>
      </c>
      <c r="L1882" s="2" t="s">
        <v>5990</v>
      </c>
      <c r="M1882" s="9" t="str">
        <f>IFERROR(__xludf.DUMMYFUNCTION("split(split(K1882,""伊藤淳史　"",false),""sta/"",false)"),"http://www.ktv.co.jp/bati")</f>
        <v>http://www.ktv.co.jp/bati</v>
      </c>
      <c r="N1882" s="2" t="str">
        <f>IFERROR(__xludf.DUMMYFUNCTION("""COMPUTED_VALUE"""),"　チーム・バチスタの連続術死について、リスクマネジメント委員会が招集された。心臓外科教授の黒崎(榎木孝明)は不安な点はないと調査を強引に打ち切ろうとするが、白鳥(仲村トオル)はバチスタ手術全32件の記録映像の貸し出しを求め、チームの中に連続殺人鬼がいるかもしれないと平然と言ってのける。  　そんな白鳥と調査を続けなければならない田口(伊藤淳史)は、2人で桐生(伊原剛志)を潰そうとしていると噂が立ったことから院内での風当たりが強くなり、黒崎に要求された大量の申請書類と報告書の作成に苦労する。  　一方、記録"&amp;"映像をチェックし始めた白鳥だったが、席を外した隙に2番目の術死となった「ケース29」の映像が何者かに盗まれてしまう。白鳥は廊下ですれ違った鳴海(宮川大輔)を疑うが、鳴海は資料室にいたと反論、結局身体検査をするも見つからない。  　田口は申請書類を作成するため氷室(城田優)を探していたが、朝からオペ続きでなかなかつかまらない。ようやく会えた氷室からは、麻酔科医の過酷な実情を聞かされる。そんな氷室を田口は自分の家に連れて行き、家族とすき焼きを食べさせる。昼か夜かもわからず、ましてや人とちゃんと食事するのは久し"&amp;"ぶりだと笑顔を見せる氷室。  　その頃、「ケース29」の書類を調べていた白鳥は他のケースとは異なる、ある大きな事実に気づく・・・。")</f>
        <v>　チーム・バチスタの連続術死について、リスクマネジメント委員会が招集された。心臓外科教授の黒崎(榎木孝明)は不安な点はないと調査を強引に打ち切ろうとするが、白鳥(仲村トオル)はバチスタ手術全32件の記録映像の貸し出しを求め、チームの中に連続殺人鬼がいるかもしれないと平然と言ってのける。  　そんな白鳥と調査を続けなければならない田口(伊藤淳史)は、2人で桐生(伊原剛志)を潰そうとしていると噂が立ったことから院内での風当たりが強くなり、黒崎に要求された大量の申請書類と報告書の作成に苦労する。  　一方、記録映像をチェックし始めた白鳥だったが、席を外した隙に2番目の術死となった「ケース29」の映像が何者かに盗まれてしまう。白鳥は廊下ですれ違った鳴海(宮川大輔)を疑うが、鳴海は資料室にいたと反論、結局身体検査をするも見つからない。  　田口は申請書類を作成するため氷室(城田優)を探していたが、朝からオペ続きでなかなかつかまらない。ようやく会えた氷室からは、麻酔科医の過酷な実情を聞かされる。そんな氷室を田口は自分の家に連れて行き、家族とすき焼きを食べさせる。昼か夜かもわからず、ましてや人とちゃんと食事するのは久しぶりだと笑顔を見せる氷室。  　その頃、「ケース29」の書類を調べていた白鳥は他のケースとは異なる、ある大きな事実に気づく・・・。</v>
      </c>
      <c r="O1882" s="2"/>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row>
    <row r="1883" ht="204.75" customHeight="1">
      <c r="A1883" s="1">
        <v>5540.0</v>
      </c>
      <c r="B1883" s="2" t="s">
        <v>5986</v>
      </c>
      <c r="C1883" s="2">
        <f>IFERROR(__xludf.DUMMYFUNCTION("split(B1883,""_"")"),810.0)</f>
        <v>810</v>
      </c>
      <c r="D1883" s="2" t="str">
        <f>IFERROR(__xludf.DUMMYFUNCTION("""COMPUTED_VALUE"""),"CX")</f>
        <v>CX</v>
      </c>
      <c r="E1883" s="2" t="str">
        <f>IFERROR(__xludf.DUMMYFUNCTION("""COMPUTED_VALUE"""),"火22")</f>
        <v>火22</v>
      </c>
      <c r="F1883" s="2" t="s">
        <v>5987</v>
      </c>
      <c r="G1883" s="2" t="s">
        <v>5991</v>
      </c>
      <c r="H1883" s="1">
        <v>2.0</v>
      </c>
      <c r="I1883" s="1" t="s">
        <v>14</v>
      </c>
      <c r="J1883" s="1" t="s">
        <v>86</v>
      </c>
      <c r="K1883" s="2" t="s">
        <v>5992</v>
      </c>
      <c r="L1883" s="2" t="s">
        <v>5993</v>
      </c>
      <c r="M1883" s="9" t="str">
        <f>IFERROR(__xludf.DUMMYFUNCTION("split(split(K1883,""伊藤淳史　"",false),""sta/"",false)"),"http://www.ktv.co.jp/bati")</f>
        <v>http://www.ktv.co.jp/bati</v>
      </c>
      <c r="N1883" s="2" t="str">
        <f>IFERROR(__xludf.DUMMYFUNCTION("""COMPUTED_VALUE"""),"　「術死は続く、これからも。これは、完璧に仕組まれた、犯罪である」  　田口(伊藤淳史)に届いた怪文書を見た白鳥(仲村トオル)は、一連の術死が殺人だと確信を深める。そしてチーム・バチスタのメンバーに、記録映像が盗まれた「ケース29」だけ心臓の切除範囲が大きいことを指摘し、鳴海(宮川大輔)に疑いを向けるが、桐生(伊原剛志)は鳴海の診断には全幅の信頼を寄せていると疑いを退ける。　一方、チームで第2助手に留まっていることを白鳥に挑発された酒井(鈴木裕樹)は、垣谷(鶴見辰吾)が執刀する予定の手術を自分が執刀したい"&amp;"と頼む。そんな姿を見て、田口は酒井が新人の頃から天才的な心臓外科医であった父を超えると燃えていたことを思い出す。  　桐生と鳴海の関係をいぶかしんだ白鳥は、以前2人が働いていたアメリカ・サザンクロス病院に電話。2人の過去に潜む驚くべき事実をつかむ。桐生と鳴海を呼び出した白鳥は、本当は桐生を憎んでいて手術を失敗に導いているのではないかと迫るが・・・。")</f>
        <v>　「術死は続く、これからも。これは、完璧に仕組まれた、犯罪である」  　田口(伊藤淳史)に届いた怪文書を見た白鳥(仲村トオル)は、一連の術死が殺人だと確信を深める。そしてチーム・バチスタのメンバーに、記録映像が盗まれた「ケース29」だけ心臓の切除範囲が大きいことを指摘し、鳴海(宮川大輔)に疑いを向けるが、桐生(伊原剛志)は鳴海の診断には全幅の信頼を寄せていると疑いを退ける。　一方、チームで第2助手に留まっていることを白鳥に挑発された酒井(鈴木裕樹)は、垣谷(鶴見辰吾)が執刀する予定の手術を自分が執刀したいと頼む。そんな姿を見て、田口は酒井が新人の頃から天才的な心臓外科医であった父を超えると燃えていたことを思い出す。  　桐生と鳴海の関係をいぶかしんだ白鳥は、以前2人が働いていたアメリカ・サザンクロス病院に電話。2人の過去に潜む驚くべき事実をつかむ。桐生と鳴海を呼び出した白鳥は、本当は桐生を憎んでいて手術を失敗に導いているのではないかと迫るが・・・。</v>
      </c>
      <c r="O1883" s="2"/>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row>
    <row r="1884" ht="204.75" customHeight="1">
      <c r="A1884" s="1">
        <v>5541.0</v>
      </c>
      <c r="B1884" s="2" t="s">
        <v>5986</v>
      </c>
      <c r="C1884" s="2">
        <f>IFERROR(__xludf.DUMMYFUNCTION("split(B1884,""_"")"),810.0)</f>
        <v>810</v>
      </c>
      <c r="D1884" s="2" t="str">
        <f>IFERROR(__xludf.DUMMYFUNCTION("""COMPUTED_VALUE"""),"CX")</f>
        <v>CX</v>
      </c>
      <c r="E1884" s="2" t="str">
        <f>IFERROR(__xludf.DUMMYFUNCTION("""COMPUTED_VALUE"""),"火22")</f>
        <v>火22</v>
      </c>
      <c r="F1884" s="2" t="s">
        <v>5987</v>
      </c>
      <c r="G1884" s="2" t="s">
        <v>5994</v>
      </c>
      <c r="H1884" s="1">
        <v>3.0</v>
      </c>
      <c r="I1884" s="1" t="s">
        <v>17</v>
      </c>
      <c r="J1884" s="1" t="s">
        <v>86</v>
      </c>
      <c r="K1884" s="2" t="s">
        <v>5995</v>
      </c>
      <c r="L1884" s="2" t="s">
        <v>5996</v>
      </c>
      <c r="M1884" s="9" t="str">
        <f>IFERROR(__xludf.DUMMYFUNCTION("split(split(K1884,""伊藤淳史　"",false),""sta/"",false)"),"http://www.ktv.co.jp/bati")</f>
        <v>http://www.ktv.co.jp/bati</v>
      </c>
      <c r="N1884" s="2" t="str">
        <f>IFERROR(__xludf.DUMMYFUNCTION("""COMPUTED_VALUE"""),"　次のバチスタ手術の患者は蔵田(田村元治)という76歳の男性。白鳥(仲村トオル)は手術までに残された4日間で必ず犯人を見つけると公言、さらに犯人はだいぶ絞り込めてきたと言う。それを聞いた羽場(戸田昌宏)は田口(伊藤淳史)にバチスタ手術で患者が亡くなる前に必ずガラスに詰めたバラがオペ前室に置かれており、一連の術死は予告殺人ではないかと告げる。さらに氷室(城田優)から、バラを前室に置いたのは直美(釈由美子)だということを聞き、その真意を直美に問うが・・・。  　直美を傷つけて気持ちが塞いだ田口は、話を聞いてそ"&amp;"の人のことを知る心療内科医の仕事が好きだったが今は怖くて仕方ないと白鳥に本音をぶつける。だが白鳥は人のことを分かったつもりになっているだけで、本当に他人を知るということは最悪な部分まで見ることだと田口を非難。何も答えられない田口に、助手をクビにすると言い渡す。　翌日、チーム・バチスタのミーティングで、桐生(伊原剛志)は蔵田に万が一発作が起きた場合は緊急手術を行うことを再確認し、もし手術が失敗したらチームを解散すると宣言する・・・。")</f>
        <v>　次のバチスタ手術の患者は蔵田(田村元治)という76歳の男性。白鳥(仲村トオル)は手術までに残された4日間で必ず犯人を見つけると公言、さらに犯人はだいぶ絞り込めてきたと言う。それを聞いた羽場(戸田昌宏)は田口(伊藤淳史)にバチスタ手術で患者が亡くなる前に必ずガラスに詰めたバラがオペ前室に置かれており、一連の術死は予告殺人ではないかと告げる。さらに氷室(城田優)から、バラを前室に置いたのは直美(釈由美子)だということを聞き、その真意を直美に問うが・・・。  　直美を傷つけて気持ちが塞いだ田口は、話を聞いてその人のことを知る心療内科医の仕事が好きだったが今は怖くて仕方ないと白鳥に本音をぶつける。だが白鳥は人のことを分かったつもりになっているだけで、本当に他人を知るということは最悪な部分まで見ることだと田口を非難。何も答えられない田口に、助手をクビにすると言い渡す。　翌日、チーム・バチスタのミーティングで、桐生(伊原剛志)は蔵田に万が一発作が起きた場合は緊急手術を行うことを再確認し、もし手術が失敗したらチームを解散すると宣言する・・・。</v>
      </c>
      <c r="O1884" s="2"/>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row>
    <row r="1885" ht="204.75" customHeight="1">
      <c r="A1885" s="1">
        <v>5542.0</v>
      </c>
      <c r="B1885" s="2" t="s">
        <v>5986</v>
      </c>
      <c r="C1885" s="2">
        <f>IFERROR(__xludf.DUMMYFUNCTION("split(B1885,""_"")"),810.0)</f>
        <v>810</v>
      </c>
      <c r="D1885" s="2" t="str">
        <f>IFERROR(__xludf.DUMMYFUNCTION("""COMPUTED_VALUE"""),"CX")</f>
        <v>CX</v>
      </c>
      <c r="E1885" s="2" t="str">
        <f>IFERROR(__xludf.DUMMYFUNCTION("""COMPUTED_VALUE"""),"火22")</f>
        <v>火22</v>
      </c>
      <c r="F1885" s="2" t="s">
        <v>5987</v>
      </c>
      <c r="G1885" s="2" t="s">
        <v>5997</v>
      </c>
      <c r="H1885" s="1">
        <v>4.0</v>
      </c>
      <c r="I1885" s="1" t="s">
        <v>21</v>
      </c>
      <c r="J1885" s="1" t="s">
        <v>86</v>
      </c>
      <c r="K1885" s="2" t="s">
        <v>5998</v>
      </c>
      <c r="L1885" s="2" t="s">
        <v>5999</v>
      </c>
      <c r="M1885" s="9" t="str">
        <f>IFERROR(__xludf.DUMMYFUNCTION("split(split(K1885,""伊藤淳史　"",false),""sta/"",false)"),"http://www.ktv.co.jp/bati")</f>
        <v>http://www.ktv.co.jp/bati</v>
      </c>
      <c r="N1885" s="2" t="str">
        <f>IFERROR(__xludf.DUMMYFUNCTION("""COMPUTED_VALUE"""),"　田口(伊藤淳史)は必死に手術の中止を桐生(伊原剛志)に訴えるも、容体が急変した蔵田(田村元治)はオペ室へと運ばれてしまう。田口から電話を受けた白鳥(仲村トオル)も東城医大へとタクシーを飛ばすが、蔵田へのバチスタ手術は始まってしまった。  　オペ室に入室さえできなかった田口が観覧室から手術を見守る中、蔵田へのバチスタ手術は順調に進められる。最後に心血流を再開し、全員が祈るような気持ちで手術台の上の蔵田を見守っていた。  しかし・・・。3分が経過するも再鼓動せず、氷室(城田優)が強心剤を打つ光景を見ていられ"&amp;"なくなる田口。ようやく病院に到着した白鳥は、スーツ姿のままで手術室に入ろうとするが警備員に止められてしまう・・・。")</f>
        <v>　田口(伊藤淳史)は必死に手術の中止を桐生(伊原剛志)に訴えるも、容体が急変した蔵田(田村元治)はオペ室へと運ばれてしまう。田口から電話を受けた白鳥(仲村トオル)も東城医大へとタクシーを飛ばすが、蔵田へのバチスタ手術は始まってしまった。  　オペ室に入室さえできなかった田口が観覧室から手術を見守る中、蔵田へのバチスタ手術は順調に進められる。最後に心血流を再開し、全員が祈るような気持ちで手術台の上の蔵田を見守っていた。  しかし・・・。3分が経過するも再鼓動せず、氷室(城田優)が強心剤を打つ光景を見ていられなくなる田口。ようやく病院に到着した白鳥は、スーツ姿のままで手術室に入ろうとするが警備員に止められてしまう・・・。</v>
      </c>
      <c r="O1885" s="2"/>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row>
    <row r="1886" ht="204.75" customHeight="1">
      <c r="A1886" s="1">
        <v>5543.0</v>
      </c>
      <c r="B1886" s="2" t="s">
        <v>5986</v>
      </c>
      <c r="C1886" s="2">
        <f>IFERROR(__xludf.DUMMYFUNCTION("split(B1886,""_"")"),810.0)</f>
        <v>810</v>
      </c>
      <c r="D1886" s="2" t="str">
        <f>IFERROR(__xludf.DUMMYFUNCTION("""COMPUTED_VALUE"""),"CX")</f>
        <v>CX</v>
      </c>
      <c r="E1886" s="2" t="str">
        <f>IFERROR(__xludf.DUMMYFUNCTION("""COMPUTED_VALUE"""),"火22")</f>
        <v>火22</v>
      </c>
      <c r="F1886" s="2" t="s">
        <v>5987</v>
      </c>
      <c r="G1886" s="2" t="s">
        <v>6000</v>
      </c>
      <c r="H1886" s="1">
        <v>5.0</v>
      </c>
      <c r="I1886" s="1" t="s">
        <v>25</v>
      </c>
      <c r="J1886" s="1" t="s">
        <v>86</v>
      </c>
      <c r="K1886" s="2" t="s">
        <v>6001</v>
      </c>
      <c r="L1886" s="2" t="s">
        <v>6002</v>
      </c>
      <c r="M1886" s="9" t="str">
        <f>IFERROR(__xludf.DUMMYFUNCTION("split(split(K1886,""伊藤淳史　"",false),""sta/"",false)"),"http://www.ktv.co.jp/bati")</f>
        <v>http://www.ktv.co.jp/bati</v>
      </c>
      <c r="N1886" s="2" t="str">
        <f>IFERROR(__xludf.DUMMYFUNCTION("""COMPUTED_VALUE"""),"ついに氷室(城田優)がバチスタ手術で患者を殺害したことを認めるが、東城医大から逃走してしまった。白鳥(仲村トオル)は氷室が言い残した「犯人は他にもいる」という言葉に注目するが、他にも患者を殺すような医師がいると信じたくない田口(伊藤淳史)は氷室の携帯に必死で電話をかけ続ける。  チーム・バチスタのメンバーは1人ずつ、刑事の青木(眞島秀和)によって事情聴取を受ける。だがメンバーは皆心当たりはないと答える。プライベートでの付き合いに言及された直美(釈由美子)は、2人きりで食事をしたことはないかと聞かれ、ためら"&amp;"いつつも、一度もないと答えてしまう。一方、田口は依然として氷室の携帯に電話をかけていた。何回かけても応答せず諦めたその時、氷室の携帯につながった・・・。")</f>
        <v>ついに氷室(城田優)がバチスタ手術で患者を殺害したことを認めるが、東城医大から逃走してしまった。白鳥(仲村トオル)は氷室が言い残した「犯人は他にもいる」という言葉に注目するが、他にも患者を殺すような医師がいると信じたくない田口(伊藤淳史)は氷室の携帯に必死で電話をかけ続ける。  チーム・バチスタのメンバーは1人ずつ、刑事の青木(眞島秀和)によって事情聴取を受ける。だがメンバーは皆心当たりはないと答える。プライベートでの付き合いに言及された直美(釈由美子)は、2人きりで食事をしたことはないかと聞かれ、ためらいつつも、一度もないと答えてしまう。一方、田口は依然として氷室の携帯に電話をかけていた。何回かけても応答せず諦めたその時、氷室の携帯につながった・・・。</v>
      </c>
      <c r="O1886" s="2"/>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row>
    <row r="1887" ht="204.75" customHeight="1">
      <c r="A1887" s="1">
        <v>5544.0</v>
      </c>
      <c r="B1887" s="2" t="s">
        <v>5986</v>
      </c>
      <c r="C1887" s="2">
        <f>IFERROR(__xludf.DUMMYFUNCTION("split(B1887,""_"")"),810.0)</f>
        <v>810</v>
      </c>
      <c r="D1887" s="2" t="str">
        <f>IFERROR(__xludf.DUMMYFUNCTION("""COMPUTED_VALUE"""),"CX")</f>
        <v>CX</v>
      </c>
      <c r="E1887" s="2" t="str">
        <f>IFERROR(__xludf.DUMMYFUNCTION("""COMPUTED_VALUE"""),"火22")</f>
        <v>火22</v>
      </c>
      <c r="F1887" s="2" t="s">
        <v>5987</v>
      </c>
      <c r="G1887" s="2" t="s">
        <v>6003</v>
      </c>
      <c r="H1887" s="1">
        <v>6.0</v>
      </c>
      <c r="I1887" s="1" t="s">
        <v>29</v>
      </c>
      <c r="J1887" s="1" t="s">
        <v>86</v>
      </c>
      <c r="K1887" s="2" t="s">
        <v>6004</v>
      </c>
      <c r="L1887" s="2" t="s">
        <v>6005</v>
      </c>
      <c r="M1887" s="9" t="str">
        <f>IFERROR(__xludf.DUMMYFUNCTION("split(split(K1887,""伊藤淳史　"",false),""sta/"",false)"),"http://www.ktv.co.jp/bati")</f>
        <v>http://www.ktv.co.jp/bati</v>
      </c>
      <c r="N1887" s="2" t="str">
        <f>IFERROR(__xludf.DUMMYFUNCTION("""COMPUTED_VALUE"""),"　桐生(伊原剛志)はチーム・バチスタを解散して、オペはしないと宣言。東城医大付属病院では現在、村本カナ(金澤美穂)という14歳の少女が桐生のバチスタ手術を待っており、酒井(鈴木裕樹)や鳴海(宮川大輔)は反対するが、桐生の意志は固かった。  　一方、田口(伊藤淳史)と白鳥(仲村トオル)は氷室(城田優)が遺したメッセージを頼りにケース27について調べ始める。すると、医療器具は研修医でなく羽場(戸田昌宏)が準備していたことが判明するが、羽場は器具への細工を否定。一方、白鳥に氷室が死ぬ前にかけてきた電話について聞"&amp;"かれた直美(釈由美子)は、少しためらった後、メッセージは残っていなかったと答える。さらに垣谷(鶴見辰吾)もやたらと不運が重なったケースだったと証言する。  　チームが解散すると聞いた田口が桐生のもとを訪れると、桐生はカナの手術も断ると言う。苦しんでいる患者を目の前に自らが執刀しないことに悩み苦しむ桐生はその後、部屋に入ってきた鳴海にアメリカに帰りたければ帰ってもいいと、ペアの解消を言い渡すが・・・。")</f>
        <v>　桐生(伊原剛志)はチーム・バチスタを解散して、オペはしないと宣言。東城医大付属病院では現在、村本カナ(金澤美穂)という14歳の少女が桐生のバチスタ手術を待っており、酒井(鈴木裕樹)や鳴海(宮川大輔)は反対するが、桐生の意志は固かった。  　一方、田口(伊藤淳史)と白鳥(仲村トオル)は氷室(城田優)が遺したメッセージを頼りにケース27について調べ始める。すると、医療器具は研修医でなく羽場(戸田昌宏)が準備していたことが判明するが、羽場は器具への細工を否定。一方、白鳥に氷室が死ぬ前にかけてきた電話について聞かれた直美(釈由美子)は、少しためらった後、メッセージは残っていなかったと答える。さらに垣谷(鶴見辰吾)もやたらと不運が重なったケースだったと証言する。  　チームが解散すると聞いた田口が桐生のもとを訪れると、桐生はカナの手術も断ると言う。苦しんでいる患者を目の前に自らが執刀しないことに悩み苦しむ桐生はその後、部屋に入ってきた鳴海にアメリカに帰りたければ帰ってもいいと、ペアの解消を言い渡すが・・・。</v>
      </c>
      <c r="O1887" s="2"/>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row>
    <row r="1888" ht="204.75" customHeight="1">
      <c r="A1888" s="1">
        <v>5545.0</v>
      </c>
      <c r="B1888" s="2" t="s">
        <v>5986</v>
      </c>
      <c r="C1888" s="2">
        <f>IFERROR(__xludf.DUMMYFUNCTION("split(B1888,""_"")"),810.0)</f>
        <v>810</v>
      </c>
      <c r="D1888" s="2" t="str">
        <f>IFERROR(__xludf.DUMMYFUNCTION("""COMPUTED_VALUE"""),"CX")</f>
        <v>CX</v>
      </c>
      <c r="E1888" s="2" t="str">
        <f>IFERROR(__xludf.DUMMYFUNCTION("""COMPUTED_VALUE"""),"火22")</f>
        <v>火22</v>
      </c>
      <c r="F1888" s="2" t="s">
        <v>5987</v>
      </c>
      <c r="G1888" s="2" t="s">
        <v>6006</v>
      </c>
      <c r="H1888" s="1">
        <v>7.0</v>
      </c>
      <c r="I1888" s="1" t="s">
        <v>33</v>
      </c>
      <c r="J1888" s="1" t="s">
        <v>86</v>
      </c>
      <c r="K1888" s="2" t="s">
        <v>6007</v>
      </c>
      <c r="L1888" s="2" t="s">
        <v>6008</v>
      </c>
      <c r="M1888" s="9" t="str">
        <f>IFERROR(__xludf.DUMMYFUNCTION("split(split(K1888,""伊藤淳史　"",false),""sta/"",false)"),"http://www.ktv.co.jp/bati")</f>
        <v>http://www.ktv.co.jp/bati</v>
      </c>
      <c r="N1888" s="2" t="str">
        <f>IFERROR(__xludf.DUMMYFUNCTION("""COMPUTED_VALUE"""),"術中死の真相を掴むため、氷室(城田優)が遺したメッセージから「ケース27」を調べようと資料庫にいた田口(伊藤淳史)と白鳥(仲村トオル)は、桐生(伊原剛志)が鳴海(宮川大輔)に詰め寄っているところを目撃。桐生は氷室の死について鳴海を疑っていること、鳴海は桐生を追って日本に来たのでなく、桐生に懇願されて日本に来たことがわかる。田口と白鳥が話を聞くと桐生は、氷室が死んだ夜、鳴海と一緒にいたというアリバイは嘘で、それぞれ自室にいたと話す。  診療室に戻った田口と白鳥は、藤原(名取裕子)から再び怪文書が届いたと聞か"&amp;"され、「ケース27」の映像を見直す。しかし、ある点に着目していた白鳥は、それが別のケースとすり替わっていることに気づく。さらに「ケース27」と最新の手術の2回に共通していたのは。  翌日、白鳥は垣谷(鶴見辰吾)、羽場(戸田昌宏)、酒井(鈴木裕樹)、直美(釈由美子)に「ケース27」の映像を見せ誰かがすり替えたのではないかと問うが4人は相手にしない。白鳥は直美が氷室のメッセージについて嘘をついていたのではないかと追及するが、直美は再度否定。  一方、田口は鳴海に話を聞きに行く。鳴海は氷室が死んだ当日、夜中まで"&amp;"院内の自室にいたと言うが、田口が聞き込みを続けると鳴海を目撃したと証言する警備員が現れる。警備員は鳴海が慌ててタクシーで病院を飛び出して行き、その時刻は氷室が死ぬ少し前だったというが。")</f>
        <v>術中死の真相を掴むため、氷室(城田優)が遺したメッセージから「ケース27」を調べようと資料庫にいた田口(伊藤淳史)と白鳥(仲村トオル)は、桐生(伊原剛志)が鳴海(宮川大輔)に詰め寄っているところを目撃。桐生は氷室の死について鳴海を疑っていること、鳴海は桐生を追って日本に来たのでなく、桐生に懇願されて日本に来たことがわかる。田口と白鳥が話を聞くと桐生は、氷室が死んだ夜、鳴海と一緒にいたというアリバイは嘘で、それぞれ自室にいたと話す。  診療室に戻った田口と白鳥は、藤原(名取裕子)から再び怪文書が届いたと聞かされ、「ケース27」の映像を見直す。しかし、ある点に着目していた白鳥は、それが別のケースとすり替わっていることに気づく。さらに「ケース27」と最新の手術の2回に共通していたのは。  翌日、白鳥は垣谷(鶴見辰吾)、羽場(戸田昌宏)、酒井(鈴木裕樹)、直美(釈由美子)に「ケース27」の映像を見せ誰かがすり替えたのではないかと問うが4人は相手にしない。白鳥は直美が氷室のメッセージについて嘘をついていたのではないかと追及するが、直美は再度否定。  一方、田口は鳴海に話を聞きに行く。鳴海は氷室が死んだ当日、夜中まで院内の自室にいたと言うが、田口が聞き込みを続けると鳴海を目撃したと証言する警備員が現れる。警備員は鳴海が慌ててタクシーで病院を飛び出して行き、その時刻は氷室が死ぬ少し前だったというが。</v>
      </c>
      <c r="O1888" s="2"/>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row>
    <row r="1889" ht="204.75" customHeight="1">
      <c r="A1889" s="1">
        <v>5546.0</v>
      </c>
      <c r="B1889" s="2" t="s">
        <v>5986</v>
      </c>
      <c r="C1889" s="2">
        <f>IFERROR(__xludf.DUMMYFUNCTION("split(B1889,""_"")"),810.0)</f>
        <v>810</v>
      </c>
      <c r="D1889" s="2" t="str">
        <f>IFERROR(__xludf.DUMMYFUNCTION("""COMPUTED_VALUE"""),"CX")</f>
        <v>CX</v>
      </c>
      <c r="E1889" s="2" t="str">
        <f>IFERROR(__xludf.DUMMYFUNCTION("""COMPUTED_VALUE"""),"火22")</f>
        <v>火22</v>
      </c>
      <c r="F1889" s="2" t="s">
        <v>5987</v>
      </c>
      <c r="G1889" s="2" t="s">
        <v>6009</v>
      </c>
      <c r="H1889" s="1">
        <v>8.0</v>
      </c>
      <c r="I1889" s="1" t="s">
        <v>37</v>
      </c>
      <c r="J1889" s="1" t="s">
        <v>86</v>
      </c>
      <c r="K1889" s="2" t="s">
        <v>6010</v>
      </c>
      <c r="L1889" s="2" t="s">
        <v>6011</v>
      </c>
      <c r="M1889" s="9" t="str">
        <f>IFERROR(__xludf.DUMMYFUNCTION("split(split(K1889,""伊藤淳史　"",false),""sta/"",false)"),"http://www.ktv.co.jp/bati")</f>
        <v>http://www.ktv.co.jp/bati</v>
      </c>
      <c r="N1889" s="2" t="str">
        <f>IFERROR(__xludf.DUMMYFUNCTION("""COMPUTED_VALUE"""),"　田口(伊藤淳史)と白鳥(仲村トオル)はチーム・バチスタのメンバーを集めて「ケース27」の映像を見直す。直美(釈由美子)は初めてのバチスタで緊張しており、酒井(鈴木裕樹)も動脈ラインが取れずに慌てていた。さらに予定外の緊急オペだったため鳴海(宮川大輔)は外出しており、到着した時は心筋切除が終わったところだった。患者の心臓は再鼓動せず、オペは失敗に終わったが、手術に問題はなく、鳴海は桐生(伊原剛志)に「オペはパーフェクトだったよ」と言葉をかけた・・・というのが全員の共通した証言だった。  　だが白鳥は、「ケ"&amp;"ース27」の術死の原因について驚くべき推理を披露、改めて映像を再生し手が止まった場面を指摘する。そしてその時、田口の予想外の行動がメンバーを衝撃の展開へと導いてゆき・・・!?")</f>
        <v>　田口(伊藤淳史)と白鳥(仲村トオル)はチーム・バチスタのメンバーを集めて「ケース27」の映像を見直す。直美(釈由美子)は初めてのバチスタで緊張しており、酒井(鈴木裕樹)も動脈ラインが取れずに慌てていた。さらに予定外の緊急オペだったため鳴海(宮川大輔)は外出しており、到着した時は心筋切除が終わったところだった。患者の心臓は再鼓動せず、オペは失敗に終わったが、手術に問題はなく、鳴海は桐生(伊原剛志)に「オペはパーフェクトだったよ」と言葉をかけた・・・というのが全員の共通した証言だった。  　だが白鳥は、「ケース27」の術死の原因について驚くべき推理を披露、改めて映像を再生し手が止まった場面を指摘する。そしてその時、田口の予想外の行動がメンバーを衝撃の展開へと導いてゆき・・・!?</v>
      </c>
      <c r="O1889" s="2"/>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row>
    <row r="1890" ht="204.75" customHeight="1">
      <c r="A1890" s="1">
        <v>5547.0</v>
      </c>
      <c r="B1890" s="2" t="s">
        <v>5986</v>
      </c>
      <c r="C1890" s="2">
        <f>IFERROR(__xludf.DUMMYFUNCTION("split(B1890,""_"")"),810.0)</f>
        <v>810</v>
      </c>
      <c r="D1890" s="2" t="str">
        <f>IFERROR(__xludf.DUMMYFUNCTION("""COMPUTED_VALUE"""),"CX")</f>
        <v>CX</v>
      </c>
      <c r="E1890" s="2" t="str">
        <f>IFERROR(__xludf.DUMMYFUNCTION("""COMPUTED_VALUE"""),"火22")</f>
        <v>火22</v>
      </c>
      <c r="F1890" s="2" t="s">
        <v>5987</v>
      </c>
      <c r="G1890" s="2" t="s">
        <v>6012</v>
      </c>
      <c r="H1890" s="1">
        <v>9.0</v>
      </c>
      <c r="I1890" s="1" t="s">
        <v>41</v>
      </c>
      <c r="J1890" s="1" t="s">
        <v>82</v>
      </c>
      <c r="K1890" s="2" t="s">
        <v>6013</v>
      </c>
      <c r="L1890" s="2" t="s">
        <v>6014</v>
      </c>
      <c r="M1890" s="2" t="str">
        <f>IFERROR(__xludf.DUMMYFUNCTION("split(split(K1890,""伊藤淳史　"",false),""sta/"",false)"),"桐生(伊原剛志)は「ケース27」の術死は、自分の医療ミスによるものだと認め、容態の急変により急遽行われることになった次のバチスタ手術は、垣谷(鶴見辰吾)が初執刀することになる。しかし、オペ直前で垣谷が失踪、騒然となるオペ室。  その頃、田口(伊藤淳史)は医局で偶然、ある写真を見つけて驚愕する。それは小学生ぐらいの女の子の写真。このマーク、どこかで見たような・・・?すると背後から何者かに写真を取り上げられ・・・?  『全てはサザンクロス病院から始まっていた』ーー互いの情報を持ち寄り、確信した田口と白鳥(仲村"&amp;"トオル)。改めて手術ビデオを見直したとき、見えてきた衝撃の真実とはーー?そして、オペ室では前代未聞の事態が展開しようとしていたーー!!")</f>
        <v>桐生(伊原剛志)は「ケース27」の術死は、自分の医療ミスによるものだと認め、容態の急変により急遽行われることになった次のバチスタ手術は、垣谷(鶴見辰吾)が初執刀することになる。しかし、オペ直前で垣谷が失踪、騒然となるオペ室。  その頃、田口(伊藤淳史)は医局で偶然、ある写真を見つけて驚愕する。それは小学生ぐらいの女の子の写真。このマーク、どこかで見たような・・・?すると背後から何者かに写真を取り上げられ・・・?  『全てはサザンクロス病院から始まっていた』ーー互いの情報を持ち寄り、確信した田口と白鳥(仲村トオル)。改めて手術ビデオを見直したとき、見えてきた衝撃の真実とはーー?そして、オペ室では前代未聞の事態が展開しようとしていたーー!!</v>
      </c>
      <c r="N1890" s="2"/>
      <c r="O1890" s="2"/>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row>
    <row r="1891" ht="204.75" customHeight="1">
      <c r="A1891" s="1">
        <v>5568.0</v>
      </c>
      <c r="B1891" s="2" t="s">
        <v>6015</v>
      </c>
      <c r="C1891" s="2">
        <f>IFERROR(__xludf.DUMMYFUNCTION("split(B1891,""_"")"),810.0)</f>
        <v>810</v>
      </c>
      <c r="D1891" s="2" t="str">
        <f>IFERROR(__xludf.DUMMYFUNCTION("""COMPUTED_VALUE"""),"CX")</f>
        <v>CX</v>
      </c>
      <c r="E1891" s="2" t="str">
        <f>IFERROR(__xludf.DUMMYFUNCTION("""COMPUTED_VALUE"""),"木22")</f>
        <v>木22</v>
      </c>
      <c r="F1891" s="2" t="s">
        <v>6016</v>
      </c>
      <c r="G1891" s="2" t="s">
        <v>6017</v>
      </c>
      <c r="H1891" s="1">
        <v>1.0</v>
      </c>
      <c r="I1891" s="1" t="s">
        <v>14</v>
      </c>
      <c r="J1891" s="1" t="s">
        <v>86</v>
      </c>
      <c r="K1891" s="4" t="s">
        <v>6018</v>
      </c>
      <c r="L1891" s="2" t="s">
        <v>6019</v>
      </c>
      <c r="M1891" s="2" t="str">
        <f>IFERROR(__xludf.DUMMYFUNCTION("split(split(K1891,""中井貴一　"",false),""sta/"",false)"),"白鳥貞美(中井貴一)は、よさこいソーラン祭りを見るために札幌を訪れた。祭りに参加している娘のルイ(黒木メイサ)に会うためだ。桟敷席から6年ぶりに見るルイは、はつらつとして美しく、貞美は胸が熱くなる。  　水木(布施博)のクリニックで再度検査を受ける貞美。治療の効果がほとんど出ていない。引き止める水木を断り、ルイと会うために宿泊先のホテルに戻る貞美だったが・・・。  　列車で富良野へ向かう貞美。知り合いに会わないよう、顔を伏せてタクシーに乗り、妻・冴子の墓参りをする。久しぶりに見る富良野の風景。そしてルイが"&amp;"育てているガーデンを見に行く。隠れて岳(神木隆之介)の様子をうかがう貞美。  　東京の病院へ戻った貞美は、二神(奥田瑛二)と話をするうち、自分も同じ病に侵されていることを打ち明ける。  　その夜、妙子(伊藤蘭)が貞美のマンションを訪れる。モルヒネパッチに気づいていた妙子は、貞美を問い詰め、貞美は病状について説明する。妙子はすぐに院長(小野武彦)に電話して・・・。")</f>
        <v>白鳥貞美(中井貴一)は、よさこいソーラン祭りを見るために札幌を訪れた。祭りに参加している娘のルイ(黒木メイサ)に会うためだ。桟敷席から6年ぶりに見るルイは、はつらつとして美しく、貞美は胸が熱くなる。  　水木(布施博)のクリニックで再度検査を受ける貞美。治療の効果がほとんど出ていない。引き止める水木を断り、ルイと会うために宿泊先のホテルに戻る貞美だったが・・・。  　列車で富良野へ向かう貞美。知り合いに会わないよう、顔を伏せてタクシーに乗り、妻・冴子の墓参りをする。久しぶりに見る富良野の風景。そしてルイが育てているガーデンを見に行く。隠れて岳(神木隆之介)の様子をうかがう貞美。  　東京の病院へ戻った貞美は、二神(奥田瑛二)と話をするうち、自分も同じ病に侵されていることを打ち明ける。  　その夜、妙子(伊藤蘭)が貞美のマンションを訪れる。モルヒネパッチに気づいていた妙子は、貞美を問い詰め、貞美は病状について説明する。妙子はすぐに院長(小野武彦)に電話して・・・。</v>
      </c>
      <c r="N1891" s="2"/>
      <c r="O1891" s="2"/>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row>
    <row r="1892" ht="204.75" customHeight="1">
      <c r="A1892" s="1">
        <v>5569.0</v>
      </c>
      <c r="B1892" s="2" t="s">
        <v>6015</v>
      </c>
      <c r="C1892" s="2">
        <f>IFERROR(__xludf.DUMMYFUNCTION("split(B1892,""_"")"),810.0)</f>
        <v>810</v>
      </c>
      <c r="D1892" s="2" t="str">
        <f>IFERROR(__xludf.DUMMYFUNCTION("""COMPUTED_VALUE"""),"CX")</f>
        <v>CX</v>
      </c>
      <c r="E1892" s="2" t="str">
        <f>IFERROR(__xludf.DUMMYFUNCTION("""COMPUTED_VALUE"""),"木22")</f>
        <v>木22</v>
      </c>
      <c r="F1892" s="2" t="s">
        <v>6016</v>
      </c>
      <c r="G1892" s="2" t="s">
        <v>6020</v>
      </c>
      <c r="H1892" s="1">
        <v>2.0</v>
      </c>
      <c r="I1892" s="1" t="s">
        <v>17</v>
      </c>
      <c r="J1892" s="1" t="s">
        <v>86</v>
      </c>
      <c r="K1892" s="2" t="s">
        <v>6021</v>
      </c>
      <c r="L1892" s="2" t="s">
        <v>6022</v>
      </c>
      <c r="M1892" s="2" t="str">
        <f>IFERROR(__xludf.DUMMYFUNCTION("split(split(K1892,""中井貴一　"",false),""sta/"",false)"),"富良野では、ルイ(黒木メイサ)にひとめぼれした養蜂家の修(平野勇樹)が果敢にルイを誘うが、相手にされないでいた。貞三(緒形拳)は変わらず、老患者の家を回って診療をする日々。  　東京では、貞美(中井貴一)が、たびたび襲ってくる痛みを薬でごまかしながら仕事を続けていた。そんなとき、二神(奥田瑛二)が胸の痛みを訴え、冠動脈拡張の緊急処置がなされた。　香苗(国仲涼子)に呼び出された貞美は、病院の駐車場へ。そこには二神のキャンピングカーがあった。香苗は、二神がその車を貞美に譲ると言っていると告げる。車内は以前貞美"&amp;"が二神に聞かれて答えていた、治療に必要な医療器具の数々が搭載されていた。")</f>
        <v>富良野では、ルイ(黒木メイサ)にひとめぼれした養蜂家の修(平野勇樹)が果敢にルイを誘うが、相手にされないでいた。貞三(緒形拳)は変わらず、老患者の家を回って診療をする日々。  　東京では、貞美(中井貴一)が、たびたび襲ってくる痛みを薬でごまかしながら仕事を続けていた。そんなとき、二神(奥田瑛二)が胸の痛みを訴え、冠動脈拡張の緊急処置がなされた。　香苗(国仲涼子)に呼び出された貞美は、病院の駐車場へ。そこには二神のキャンピングカーがあった。香苗は、二神がその車を貞美に譲ると言っていると告げる。車内は以前貞美が二神に聞かれて答えていた、治療に必要な医療器具の数々が搭載されていた。</v>
      </c>
      <c r="N1892" s="2"/>
      <c r="O1892" s="2"/>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row>
    <row r="1893" ht="204.75" customHeight="1">
      <c r="A1893" s="1">
        <v>5570.0</v>
      </c>
      <c r="B1893" s="2" t="s">
        <v>6015</v>
      </c>
      <c r="C1893" s="2">
        <f>IFERROR(__xludf.DUMMYFUNCTION("split(B1893,""_"")"),810.0)</f>
        <v>810</v>
      </c>
      <c r="D1893" s="2" t="str">
        <f>IFERROR(__xludf.DUMMYFUNCTION("""COMPUTED_VALUE"""),"CX")</f>
        <v>CX</v>
      </c>
      <c r="E1893" s="2" t="str">
        <f>IFERROR(__xludf.DUMMYFUNCTION("""COMPUTED_VALUE"""),"木22")</f>
        <v>木22</v>
      </c>
      <c r="F1893" s="2" t="s">
        <v>6016</v>
      </c>
      <c r="G1893" s="2" t="s">
        <v>6023</v>
      </c>
      <c r="H1893" s="1">
        <v>3.0</v>
      </c>
      <c r="I1893" s="1" t="s">
        <v>21</v>
      </c>
      <c r="J1893" s="1" t="s">
        <v>86</v>
      </c>
      <c r="K1893" s="2" t="s">
        <v>6024</v>
      </c>
      <c r="L1893" s="2" t="s">
        <v>6025</v>
      </c>
      <c r="M1893" s="2" t="str">
        <f>IFERROR(__xludf.DUMMYFUNCTION("split(split(K1893,""中井貴一　"",false),""sta/"",false)"),"早朝、霧の立ちこめるガーデンで鉢合わせした貞美(中井貴一)と岳(神木隆之介)。岳は、貞美を「大天使」だと勘違いする。貞美はキャンピングカーまで必死に走り、酸素ボンベから酸素を吸入する。  　貞美は週刊誌に掲載された二神(奥田瑛二)の写真を目にする。車椅子に乗り、憔悴(しょうすい)した表情の二神。  　貞美は、小玉理容室を訪れた。高校時代につきあっていたエリカ(石田えり)が切り盛りしている店だ。エリカは突然の貞美の来訪に驚くが、昔話に花を咲かせる。病気のことを知らないエリカは、勘当されている貞美が、里心がつ"&amp;"いて帰郷したと思い、「困ったことがあったら助けてあげる」と告げる。  　貞美に妙子(伊藤蘭)から二神の危篤を知らせるメールが入る。衝撃を受ける貞美。  　翌早朝、ガーデンで再び岳と会った貞美は、岳から「父は天国にいるんですか?」と聞かれ・・・。　その日、夕立に降られ、キャンピングカーで眠っていた貞美の夢の中に、二神が現れた。すると二神の娘・香苗(国仲涼子)からメールが入る。  　翌朝、グリーンハウスで、貞美がチェロを弾き、岳がピアノで伴奏を付けていると、ふいにルイ(黒木メイサ)がやってきて・・・。")</f>
        <v>早朝、霧の立ちこめるガーデンで鉢合わせした貞美(中井貴一)と岳(神木隆之介)。岳は、貞美を「大天使」だと勘違いする。貞美はキャンピングカーまで必死に走り、酸素ボンベから酸素を吸入する。  　貞美は週刊誌に掲載された二神(奥田瑛二)の写真を目にする。車椅子に乗り、憔悴(しょうすい)した表情の二神。  　貞美は、小玉理容室を訪れた。高校時代につきあっていたエリカ(石田えり)が切り盛りしている店だ。エリカは突然の貞美の来訪に驚くが、昔話に花を咲かせる。病気のことを知らないエリカは、勘当されている貞美が、里心がついて帰郷したと思い、「困ったことがあったら助けてあげる」と告げる。  　貞美に妙子(伊藤蘭)から二神の危篤を知らせるメールが入る。衝撃を受ける貞美。  　翌早朝、ガーデンで再び岳と会った貞美は、岳から「父は天国にいるんですか?」と聞かれ・・・。　その日、夕立に降られ、キャンピングカーで眠っていた貞美の夢の中に、二神が現れた。すると二神の娘・香苗(国仲涼子)からメールが入る。  　翌朝、グリーンハウスで、貞美がチェロを弾き、岳がピアノで伴奏を付けていると、ふいにルイ(黒木メイサ)がやってきて・・・。</v>
      </c>
      <c r="N1893" s="2"/>
      <c r="O1893" s="2"/>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row>
    <row r="1894" ht="204.75" customHeight="1">
      <c r="A1894" s="1">
        <v>5571.0</v>
      </c>
      <c r="B1894" s="2" t="s">
        <v>6015</v>
      </c>
      <c r="C1894" s="2">
        <f>IFERROR(__xludf.DUMMYFUNCTION("split(B1894,""_"")"),810.0)</f>
        <v>810</v>
      </c>
      <c r="D1894" s="2" t="str">
        <f>IFERROR(__xludf.DUMMYFUNCTION("""COMPUTED_VALUE"""),"CX")</f>
        <v>CX</v>
      </c>
      <c r="E1894" s="2" t="str">
        <f>IFERROR(__xludf.DUMMYFUNCTION("""COMPUTED_VALUE"""),"木22")</f>
        <v>木22</v>
      </c>
      <c r="F1894" s="2" t="s">
        <v>6016</v>
      </c>
      <c r="G1894" s="2" t="s">
        <v>6026</v>
      </c>
      <c r="H1894" s="1">
        <v>4.0</v>
      </c>
      <c r="I1894" s="1" t="s">
        <v>25</v>
      </c>
      <c r="J1894" s="1" t="s">
        <v>86</v>
      </c>
      <c r="K1894" s="2" t="s">
        <v>6027</v>
      </c>
      <c r="L1894" s="2" t="s">
        <v>6028</v>
      </c>
      <c r="M1894" s="2" t="str">
        <f>IFERROR(__xludf.DUMMYFUNCTION("split(split(K1894,""中井貴一　"",false),""sta/"",false)"),"貞美(中井貴一)を「大天使ガブリエル」だと思いこんでいる岳(神木隆之介)は、貞美の姿を見て逃げ出したルイ(黒木メイサ)を責める。ルイは修(平野勇樹)に頼んで森の中の足跡をたどり、貞美のキャンピングカーを見つけた。  　エリカ(石田えり)に、小玉理容室を自分宛の郵便物の送り先とさせてほしいと頼んだ貞美。エリカは、同級生たちと一緒に、貞美の歓迎会をするつもりだと話す。　岳は貞三(緒形拳)に「ガブリエル天使を怒らせてしまった」と相談する。貞三は、いつものように岳の話を真剣に聞いてあげる。  　携帯の番号を変え、"&amp;"つかの間東京に戻った貞美は、妙子(伊藤蘭)に必要な薬を富良野へ送ってほしいと頼み、「俺が死んだらおやじに渡して」と一通の封筒を渡す。泣き出す妙子に富良野で息子のピアノでチェロを弾いた話を打ち明ける貞美。　貞美は姉・冬美(木内みどり)の家を訪ね、病院を辞めて、しばらく富良野に帰ることを告げる。子供は何を喜ぶのかと相談する貞美。  　貞美が富良野へ戻り、キャンピングカーに荷物を運んでいると、そこにルイがやってきた。")</f>
        <v>貞美(中井貴一)を「大天使ガブリエル」だと思いこんでいる岳(神木隆之介)は、貞美の姿を見て逃げ出したルイ(黒木メイサ)を責める。ルイは修(平野勇樹)に頼んで森の中の足跡をたどり、貞美のキャンピングカーを見つけた。  　エリカ(石田えり)に、小玉理容室を自分宛の郵便物の送り先とさせてほしいと頼んだ貞美。エリカは、同級生たちと一緒に、貞美の歓迎会をするつもりだと話す。　岳は貞三(緒形拳)に「ガブリエル天使を怒らせてしまった」と相談する。貞三は、いつものように岳の話を真剣に聞いてあげる。  　携帯の番号を変え、つかの間東京に戻った貞美は、妙子(伊藤蘭)に必要な薬を富良野へ送ってほしいと頼み、「俺が死んだらおやじに渡して」と一通の封筒を渡す。泣き出す妙子に富良野で息子のピアノでチェロを弾いた話を打ち明ける貞美。　貞美は姉・冬美(木内みどり)の家を訪ね、病院を辞めて、しばらく富良野に帰ることを告げる。子供は何を喜ぶのかと相談する貞美。  　貞美が富良野へ戻り、キャンピングカーに荷物を運んでいると、そこにルイがやってきた。</v>
      </c>
      <c r="N1894" s="2"/>
      <c r="O1894" s="2"/>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row>
    <row r="1895" ht="204.75" customHeight="1">
      <c r="A1895" s="1">
        <v>5572.0</v>
      </c>
      <c r="B1895" s="2" t="s">
        <v>6015</v>
      </c>
      <c r="C1895" s="2">
        <f>IFERROR(__xludf.DUMMYFUNCTION("split(B1895,""_"")"),810.0)</f>
        <v>810</v>
      </c>
      <c r="D1895" s="2" t="str">
        <f>IFERROR(__xludf.DUMMYFUNCTION("""COMPUTED_VALUE"""),"CX")</f>
        <v>CX</v>
      </c>
      <c r="E1895" s="2" t="str">
        <f>IFERROR(__xludf.DUMMYFUNCTION("""COMPUTED_VALUE"""),"木22")</f>
        <v>木22</v>
      </c>
      <c r="F1895" s="2" t="s">
        <v>6016</v>
      </c>
      <c r="G1895" s="2" t="s">
        <v>6029</v>
      </c>
      <c r="H1895" s="1">
        <v>5.0</v>
      </c>
      <c r="I1895" s="1" t="s">
        <v>29</v>
      </c>
      <c r="J1895" s="1" t="s">
        <v>86</v>
      </c>
      <c r="K1895" s="2" t="s">
        <v>6030</v>
      </c>
      <c r="L1895" s="2" t="s">
        <v>6031</v>
      </c>
      <c r="M1895" s="2" t="str">
        <f>IFERROR(__xludf.DUMMYFUNCTION("split(split(K1895,""中井貴一　"",false),""sta/"",false)"),"岳(神木隆之介)が森でエゾエンゴサクの球根を掘っているところへ貞美(中井貴一)がやってきた。貞美を怒らせてしまったのではないかと心を痛めていた岳は、再会を喜ぶ。貞美は岳と一緒に球根を掘る。  　水木(布施博)から貞美に電話が入る。富良野の病院で事故に遭って運び込まれてきた患者の緊急手術を手伝ってほしいと言う。貞美は病院へ駆けつけ、手術に立ち合う。見事な施術に感謝する医師ら。しかし貞美はひどく疲労し、帰り道、運転中に激しい睡魔に襲われ・・・。  　キャンピングカーへ、ルイ(黒木メイサ)とさゆり(森上千絵)が"&amp;"やってきた。貞美が父・貞三(緒形拳)に会いに行かないでいることを心配していると話す2人。と、そこへ修(平野勇樹)が突然やってきて自分はルイの婚約者だと言い出して・・・?  　そして、エリカ(石田えり)らおさななじみの同級生たちが、歓迎会を開くと貞美を連れ出した。そこは、同級生が住職をしている寺で、歓迎会は、貞美の生前葬として企画されていた。喪服で集まった友人たちは、貞美の昔話で大いに盛り上がり・・・。")</f>
        <v>岳(神木隆之介)が森でエゾエンゴサクの球根を掘っているところへ貞美(中井貴一)がやってきた。貞美を怒らせてしまったのではないかと心を痛めていた岳は、再会を喜ぶ。貞美は岳と一緒に球根を掘る。  　水木(布施博)から貞美に電話が入る。富良野の病院で事故に遭って運び込まれてきた患者の緊急手術を手伝ってほしいと言う。貞美は病院へ駆けつけ、手術に立ち合う。見事な施術に感謝する医師ら。しかし貞美はひどく疲労し、帰り道、運転中に激しい睡魔に襲われ・・・。  　キャンピングカーへ、ルイ(黒木メイサ)とさゆり(森上千絵)がやってきた。貞美が父・貞三(緒形拳)に会いに行かないでいることを心配していると話す2人。と、そこへ修(平野勇樹)が突然やってきて自分はルイの婚約者だと言い出して・・・?  　そして、エリカ(石田えり)らおさななじみの同級生たちが、歓迎会を開くと貞美を連れ出した。そこは、同級生が住職をしている寺で、歓迎会は、貞美の生前葬として企画されていた。喪服で集まった友人たちは、貞美の昔話で大いに盛り上がり・・・。</v>
      </c>
      <c r="N1895" s="2"/>
      <c r="O1895" s="2"/>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row>
    <row r="1896" ht="204.75" customHeight="1">
      <c r="A1896" s="1">
        <v>5573.0</v>
      </c>
      <c r="B1896" s="2" t="s">
        <v>6015</v>
      </c>
      <c r="C1896" s="2">
        <f>IFERROR(__xludf.DUMMYFUNCTION("split(B1896,""_"")"),810.0)</f>
        <v>810</v>
      </c>
      <c r="D1896" s="2" t="str">
        <f>IFERROR(__xludf.DUMMYFUNCTION("""COMPUTED_VALUE"""),"CX")</f>
        <v>CX</v>
      </c>
      <c r="E1896" s="2" t="str">
        <f>IFERROR(__xludf.DUMMYFUNCTION("""COMPUTED_VALUE"""),"木22")</f>
        <v>木22</v>
      </c>
      <c r="F1896" s="2" t="s">
        <v>6016</v>
      </c>
      <c r="G1896" s="2" t="s">
        <v>6032</v>
      </c>
      <c r="H1896" s="1">
        <v>6.0</v>
      </c>
      <c r="I1896" s="1" t="s">
        <v>33</v>
      </c>
      <c r="J1896" s="1" t="s">
        <v>86</v>
      </c>
      <c r="K1896" s="2" t="s">
        <v>6033</v>
      </c>
      <c r="L1896" s="2" t="s">
        <v>6034</v>
      </c>
      <c r="M1896" s="2" t="str">
        <f>IFERROR(__xludf.DUMMYFUNCTION("split(split(K1896,""中井貴一　"",false),""sta/"",false)"),"貞三(緒形拳)は、キャンピングカーの中で見たことを確かめるために、札幌の水木(布施博)のクリニックを訪れた。そして貞美(中井貴一)が余命数カ月であることを知る。衝撃を受けた貞三は、その足で義姉・春江(草笛光子)に会いに行く。春江に思いを打ち明ける貞三。  　ガーデンでは、岳(神木隆之介)が貞美に花の講義中だ。岳が花を指さしては教えてくれる花言葉は父・貞三が作ったものだと知り、心動かされる貞美。それらはルイ(黒木メイサ)のこと、岳のこと、亡き妻・冴子のことをよみこんだ花言葉で、貞美のものはなかった。  　ル"&amp;"イは、貞三から貞美の病のことを聞かされ呆然とする。岳には伏せておこうと貞三が話した後、家に岳がいないことに気付き・・・!?  　貞美の病のことを知って動揺したエリカ(石田えり)は貞美のキャンピングカーを訪れた。とりとめもない話をしていたエリカが急に話を止めた。視線の先には貞三がいた。驚きで動けない貞美・・・。そしてエリカが立ち去った後、貞美と貞三は、数年ぶりに言葉を交わした。")</f>
        <v>貞三(緒形拳)は、キャンピングカーの中で見たことを確かめるために、札幌の水木(布施博)のクリニックを訪れた。そして貞美(中井貴一)が余命数カ月であることを知る。衝撃を受けた貞三は、その足で義姉・春江(草笛光子)に会いに行く。春江に思いを打ち明ける貞三。  　ガーデンでは、岳(神木隆之介)が貞美に花の講義中だ。岳が花を指さしては教えてくれる花言葉は父・貞三が作ったものだと知り、心動かされる貞美。それらはルイ(黒木メイサ)のこと、岳のこと、亡き妻・冴子のことをよみこんだ花言葉で、貞美のものはなかった。  　ルイは、貞三から貞美の病のことを聞かされ呆然とする。岳には伏せておこうと貞三が話した後、家に岳がいないことに気付き・・・!?  　貞美の病のことを知って動揺したエリカ(石田えり)は貞美のキャンピングカーを訪れた。とりとめもない話をしていたエリカが急に話を止めた。視線の先には貞三がいた。驚きで動けない貞美・・・。そしてエリカが立ち去った後、貞美と貞三は、数年ぶりに言葉を交わした。</v>
      </c>
      <c r="N1896" s="2"/>
      <c r="O1896" s="2"/>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row>
    <row r="1897" ht="204.75" customHeight="1">
      <c r="A1897" s="1">
        <v>5574.0</v>
      </c>
      <c r="B1897" s="2" t="s">
        <v>6015</v>
      </c>
      <c r="C1897" s="2">
        <f>IFERROR(__xludf.DUMMYFUNCTION("split(B1897,""_"")"),810.0)</f>
        <v>810</v>
      </c>
      <c r="D1897" s="2" t="str">
        <f>IFERROR(__xludf.DUMMYFUNCTION("""COMPUTED_VALUE"""),"CX")</f>
        <v>CX</v>
      </c>
      <c r="E1897" s="2" t="str">
        <f>IFERROR(__xludf.DUMMYFUNCTION("""COMPUTED_VALUE"""),"木22")</f>
        <v>木22</v>
      </c>
      <c r="F1897" s="2" t="s">
        <v>6016</v>
      </c>
      <c r="G1897" s="2" t="s">
        <v>6035</v>
      </c>
      <c r="H1897" s="1">
        <v>7.0</v>
      </c>
      <c r="I1897" s="1" t="s">
        <v>37</v>
      </c>
      <c r="J1897" s="1" t="s">
        <v>86</v>
      </c>
      <c r="K1897" s="2" t="s">
        <v>6036</v>
      </c>
      <c r="L1897" s="2" t="s">
        <v>6037</v>
      </c>
      <c r="M1897" s="2" t="str">
        <f>IFERROR(__xludf.DUMMYFUNCTION("split(split(K1897,""中井貴一　"",false),""sta/"",false)"),"貞三(緒形拳)はルイ(黒木メイサ)に、貞美(中井貴一)を家に呼び戻して家族の時間を取り戻させてやろうと話す。  　眠れない日々を送っていたルイは、エリカ(石田えり)に自分は父親のために何をしたらいいのかわからないと打ち明ける。貞美がルイの花嫁姿を見たかったと言っていたと聞いたエリカは、ルイに結婚式を挙げるふりをしようと持ちかける。無理だと言うルイを説得し、修(平野勇樹)のもとを訪れ、偽の結婚相手を務めてほしいと頼むエリカ。  　キャンピングカーで悪夢にうなされていた貞美を、貞三が起こし、外へ連れ出した。ル"&amp;"イがもうじき結婚するという話をする貞三。貞美に、ガーデンで行う結婚式に出席し、ルイとバージンロードを歩いてほしいと頼んだ。  　貞美はエリカの理容室を訪ね、結婚式用のタキシードを用意してほしいと頼んだ。その時、ラジオから氷室茜(平原綾香)の歌声が流れ出し・・・。  　岳(神木隆之介)は旭川の親戚にしばらく預けられることになった。貞美はさりげなく別れを告げにいくが・・・。")</f>
        <v>貞三(緒形拳)はルイ(黒木メイサ)に、貞美(中井貴一)を家に呼び戻して家族の時間を取り戻させてやろうと話す。  　眠れない日々を送っていたルイは、エリカ(石田えり)に自分は父親のために何をしたらいいのかわからないと打ち明ける。貞美がルイの花嫁姿を見たかったと言っていたと聞いたエリカは、ルイに結婚式を挙げるふりをしようと持ちかける。無理だと言うルイを説得し、修(平野勇樹)のもとを訪れ、偽の結婚相手を務めてほしいと頼むエリカ。  　キャンピングカーで悪夢にうなされていた貞美を、貞三が起こし、外へ連れ出した。ルイがもうじき結婚するという話をする貞三。貞美に、ガーデンで行う結婚式に出席し、ルイとバージンロードを歩いてほしいと頼んだ。  　貞美はエリカの理容室を訪ね、結婚式用のタキシードを用意してほしいと頼んだ。その時、ラジオから氷室茜(平原綾香)の歌声が流れ出し・・・。  　岳(神木隆之介)は旭川の親戚にしばらく預けられることになった。貞美はさりげなく別れを告げにいくが・・・。</v>
      </c>
      <c r="N1897" s="2"/>
      <c r="O1897" s="2"/>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row>
    <row r="1898" ht="204.75" customHeight="1">
      <c r="A1898" s="1">
        <v>5575.0</v>
      </c>
      <c r="B1898" s="2" t="s">
        <v>6015</v>
      </c>
      <c r="C1898" s="2">
        <f>IFERROR(__xludf.DUMMYFUNCTION("split(B1898,""_"")"),810.0)</f>
        <v>810</v>
      </c>
      <c r="D1898" s="2" t="str">
        <f>IFERROR(__xludf.DUMMYFUNCTION("""COMPUTED_VALUE"""),"CX")</f>
        <v>CX</v>
      </c>
      <c r="E1898" s="2" t="str">
        <f>IFERROR(__xludf.DUMMYFUNCTION("""COMPUTED_VALUE"""),"木22")</f>
        <v>木22</v>
      </c>
      <c r="F1898" s="2" t="s">
        <v>6016</v>
      </c>
      <c r="G1898" s="2" t="s">
        <v>6038</v>
      </c>
      <c r="H1898" s="1">
        <v>8.0</v>
      </c>
      <c r="I1898" s="1" t="s">
        <v>41</v>
      </c>
      <c r="J1898" s="1" t="s">
        <v>82</v>
      </c>
      <c r="K1898" s="2" t="s">
        <v>6039</v>
      </c>
      <c r="L1898" s="2" t="s">
        <v>6040</v>
      </c>
      <c r="M1898" s="2" t="str">
        <f>IFERROR(__xludf.DUMMYFUNCTION("split(split(K1898,""中井貴一　"",false),""sta/"",false)"),"花々が咲き乱れるガーデンで、ルイ(黒木メイサ)の結婚式が執り行われた。貞美(中井貴一)は、花嫁の父としてバージンロードを歩いた感動を、妙子(伊藤蘭)へ宛てた手紙にしたためた。  　貞三(緒形拳)の勧めに従い、キャンピングカーを出て、家に戻った貞美は、ルイになつかしい実家の部屋をひとつひとつ案内される。貞美は「もう芝居は止めよう」とルイに微笑みかけた。貞美はルイの結婚式が本物ではないことを知っていながら、その優しさを受け止めていたことを明かす。そして、修(平野勇樹)にキャンピングカーの鍵を渡すようルイに告げ"&amp;"る。  　妙子が白鳥医院を訪ねて来た。妙子は貞三に、貞美の面倒を見たいと申し出るが、貞三は、家族みんなで闘っているからと、断る。　痛みが強くなり薬の量を増やしている貞美は、ほとんど眠っている状態ながら、時々目覚めては冗談を言ってルイを笑わせようとする。家のベッドで、貞三とルイに見守られ、思いを打ち明ける貞美・・・。")</f>
        <v>花々が咲き乱れるガーデンで、ルイ(黒木メイサ)の結婚式が執り行われた。貞美(中井貴一)は、花嫁の父としてバージンロードを歩いた感動を、妙子(伊藤蘭)へ宛てた手紙にしたためた。  　貞三(緒形拳)の勧めに従い、キャンピングカーを出て、家に戻った貞美は、ルイになつかしい実家の部屋をひとつひとつ案内される。貞美は「もう芝居は止めよう」とルイに微笑みかけた。貞美はルイの結婚式が本物ではないことを知っていながら、その優しさを受け止めていたことを明かす。そして、修(平野勇樹)にキャンピングカーの鍵を渡すようルイに告げる。  　妙子が白鳥医院を訪ねて来た。妙子は貞三に、貞美の面倒を見たいと申し出るが、貞三は、家族みんなで闘っているからと、断る。　痛みが強くなり薬の量を増やしている貞美は、ほとんど眠っている状態ながら、時々目覚めては冗談を言ってルイを笑わせようとする。家のベッドで、貞三とルイに見守られ、思いを打ち明ける貞美・・・。</v>
      </c>
      <c r="N1898" s="2"/>
      <c r="O1898" s="2"/>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row>
    <row r="1899" ht="204.75" customHeight="1">
      <c r="A1899" s="1">
        <v>5643.0</v>
      </c>
      <c r="B1899" s="2" t="s">
        <v>6041</v>
      </c>
      <c r="C1899" s="2">
        <f>IFERROR(__xludf.DUMMYFUNCTION("split(B1899,""_"")"),807.0)</f>
        <v>807</v>
      </c>
      <c r="D1899" s="2" t="str">
        <f>IFERROR(__xludf.DUMMYFUNCTION("""COMPUTED_VALUE"""),"CX")</f>
        <v>CX</v>
      </c>
      <c r="E1899" s="2" t="str">
        <f>IFERROR(__xludf.DUMMYFUNCTION("""COMPUTED_VALUE"""),"月21")</f>
        <v>月21</v>
      </c>
      <c r="F1899" s="2" t="s">
        <v>6042</v>
      </c>
      <c r="G1899" s="2" t="s">
        <v>6043</v>
      </c>
      <c r="H1899" s="1">
        <v>1.0</v>
      </c>
      <c r="I1899" s="1" t="s">
        <v>3</v>
      </c>
      <c r="J1899" s="1" t="s">
        <v>4</v>
      </c>
      <c r="K1899" s="4" t="s">
        <v>6044</v>
      </c>
      <c r="L1899" s="2" t="s">
        <v>6045</v>
      </c>
      <c r="M1899" s="2" t="str">
        <f>IFERROR(__xludf.DUMMYFUNCTION("split(split(K1899,""織田裕二  "",false),""公式LINE"",false)"),"湘南学館に、型破りな教師、櫻井朔太郎(織田裕二)が赴任。  　夏を目の前にした3年1組の仲間、根岸洋貴(岡田将生)、白崎凛久(北乃きい)、田幡八朗(濱田岳)、屋嶋灯里(吉高由里子)、楠木大和(冨浦智嗣)、日垣茂市(鍵本輝)、澤水羽菜(谷村美月)たちは、夜の浜辺に集い、自分たちだけの卒業式をしようと花火を楽しむ。帰り道、凛久と洋貴は他校の生徒に呼び止められた。中心人物の末吉春臣(中村倫也)は、次々と洋貴に用事を命令。さらには、翌日の水泳部対抗戦でわざと負けろと言う。  　翌朝、凛久と洋貴は救助を求める声を聞"&amp;"きつけた。子供が波にさらわれたらしいが、すでに何者かが救助を始めていたのだ。荒波にもまれる男は、子供2人を無事救出。この男こそ、櫻井朔太郎だった。  　体育館では、神谷龍之介理事長(小日向文世)が訓話中。教師の柴草修平(八嶋智人)は3年1組新担任の到着を待っていた。新担任となるはずの榎戸若葉(北川景子)は、校門を駆け抜けたところで、川辺英二(山本裕典)と激突。若葉が声をかけるが、英二は学校を辞めるとあっさり。  　若葉が体育館に入ると、3年1組の担任が発表されようとしていた。しかし、長谷部杏花校長(戸田恵"&amp;"子)が担任に指名したのは櫻井だった。  　早速、櫻井の初授業が始まるのだが、それは進学校の生徒たちが経験したことのないもので…。")</f>
        <v>湘南学館に、型破りな教師、櫻井朔太郎(織田裕二)が赴任。  　夏を目の前にした3年1組の仲間、根岸洋貴(岡田将生)、白崎凛久(北乃きい)、田幡八朗(濱田岳)、屋嶋灯里(吉高由里子)、楠木大和(冨浦智嗣)、日垣茂市(鍵本輝)、澤水羽菜(谷村美月)たちは、夜の浜辺に集い、自分たちだけの卒業式をしようと花火を楽しむ。帰り道、凛久と洋貴は他校の生徒に呼び止められた。中心人物の末吉春臣(中村倫也)は、次々と洋貴に用事を命令。さらには、翌日の水泳部対抗戦でわざと負けろと言う。  　翌朝、凛久と洋貴は救助を求める声を聞きつけた。子供が波にさらわれたらしいが、すでに何者かが救助を始めていたのだ。荒波にもまれる男は、子供2人を無事救出。この男こそ、櫻井朔太郎だった。  　体育館では、神谷龍之介理事長(小日向文世)が訓話中。教師の柴草修平(八嶋智人)は3年1組新担任の到着を待っていた。新担任となるはずの榎戸若葉(北川景子)は、校門を駆け抜けたところで、川辺英二(山本裕典)と激突。若葉が声をかけるが、英二は学校を辞めるとあっさり。  　若葉が体育館に入ると、3年1組の担任が発表されようとしていた。しかし、長谷部杏花校長(戸田恵子)が担任に指名したのは櫻井だった。  　早速、櫻井の初授業が始まるのだが、それは進学校の生徒たちが経験したことのないもので…。</v>
      </c>
      <c r="N1899" s="2"/>
      <c r="O1899" s="2"/>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row>
    <row r="1900" ht="204.75" customHeight="1">
      <c r="A1900" s="1">
        <v>5644.0</v>
      </c>
      <c r="B1900" s="2" t="s">
        <v>6041</v>
      </c>
      <c r="C1900" s="2">
        <f>IFERROR(__xludf.DUMMYFUNCTION("split(B1900,""_"")"),807.0)</f>
        <v>807</v>
      </c>
      <c r="D1900" s="2" t="str">
        <f>IFERROR(__xludf.DUMMYFUNCTION("""COMPUTED_VALUE"""),"CX")</f>
        <v>CX</v>
      </c>
      <c r="E1900" s="2" t="str">
        <f>IFERROR(__xludf.DUMMYFUNCTION("""COMPUTED_VALUE"""),"月21")</f>
        <v>月21</v>
      </c>
      <c r="F1900" s="2" t="s">
        <v>6042</v>
      </c>
      <c r="G1900" s="2" t="s">
        <v>6046</v>
      </c>
      <c r="H1900" s="1">
        <v>2.0</v>
      </c>
      <c r="I1900" s="1" t="s">
        <v>7</v>
      </c>
      <c r="J1900" s="1" t="s">
        <v>11</v>
      </c>
      <c r="K1900" s="2" t="s">
        <v>6047</v>
      </c>
      <c r="L1900" s="2" t="s">
        <v>6048</v>
      </c>
      <c r="M1900" s="2" t="str">
        <f>IFERROR(__xludf.DUMMYFUNCTION("split(split(K1900,""織田裕二  "",false),""公式LINE"",false)"),"新担任、櫻井朔太郎(織田裕二)の生徒、屋嶋灯里(吉高由里子)に淫行疑惑が持ち上がる。淫行を糾弾する怪文書が見つかったのだ。その事実はないものの、灯里は高額のプレゼントをもらって7人の男と交際していた。  　灯里に想いを寄せる田幡八朗(濱田岳)や、根岸洋貴(岡田将生)、白崎凛久(北乃きい)、楠木大和(冨浦智嗣)、日垣茂市(鍵本輝)らは、怪文書を教師の目から伏せ、かばおうとする。だが、そんなことはものともせず、櫻井が首を突っ込んでいく。  　灯里に犯人探しを持ちかけられた八朗は、もらったものを返して謝れと勧め"&amp;"るが、灯里は自分の非を認めず立ち去ってしまう。そこに櫻井が現れ、灯里への無償の愛を示してやれと、八朗にラブレタ―を書かせる。  　その頃、神谷龍之介理事長(小日向文世)たちに怪文書が発覚してしまう。自分が書いたと嘘をつく櫻井は、他校に移るようにと神谷から切り出される。　放課後、灯里は交際中の男性の高級車に乗って行ってしまう。一方、凛久や洋貴らは受験勉強のために集ったものの、話は自然と灯里のことに。灯里への想いを断とうとする八朗。そんな彼らの元に櫻井が顔を出した時、八朗の携帯電話が灯里の電話を着信。無視しよ"&amp;"うとする八朗に、櫻井は灯里への想いがそんなものだったのかと切り込む。ようやく八朗が電話を受けると、悲鳴が聞こえるではないか。八朗は…そして、櫻井は!")</f>
        <v>新担任、櫻井朔太郎(織田裕二)の生徒、屋嶋灯里(吉高由里子)に淫行疑惑が持ち上がる。淫行を糾弾する怪文書が見つかったのだ。その事実はないものの、灯里は高額のプレゼントをもらって7人の男と交際していた。  　灯里に想いを寄せる田幡八朗(濱田岳)や、根岸洋貴(岡田将生)、白崎凛久(北乃きい)、楠木大和(冨浦智嗣)、日垣茂市(鍵本輝)らは、怪文書を教師の目から伏せ、かばおうとする。だが、そんなことはものともせず、櫻井が首を突っ込んでいく。  　灯里に犯人探しを持ちかけられた八朗は、もらったものを返して謝れと勧めるが、灯里は自分の非を認めず立ち去ってしまう。そこに櫻井が現れ、灯里への無償の愛を示してやれと、八朗にラブレタ―を書かせる。  　その頃、神谷龍之介理事長(小日向文世)たちに怪文書が発覚してしまう。自分が書いたと嘘をつく櫻井は、他校に移るようにと神谷から切り出される。　放課後、灯里は交際中の男性の高級車に乗って行ってしまう。一方、凛久や洋貴らは受験勉強のために集ったものの、話は自然と灯里のことに。灯里への想いを断とうとする八朗。そんな彼らの元に櫻井が顔を出した時、八朗の携帯電話が灯里の電話を着信。無視しようとする八朗に、櫻井は灯里への想いがそんなものだったのかと切り込む。ようやく八朗が電話を受けると、悲鳴が聞こえるではないか。八朗は…そして、櫻井は!</v>
      </c>
      <c r="N1900" s="2"/>
      <c r="O1900" s="2"/>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row>
    <row r="1901" ht="204.75" customHeight="1">
      <c r="A1901" s="1">
        <v>5645.0</v>
      </c>
      <c r="B1901" s="2" t="s">
        <v>6041</v>
      </c>
      <c r="C1901" s="2">
        <f>IFERROR(__xludf.DUMMYFUNCTION("split(B1901,""_"")"),807.0)</f>
        <v>807</v>
      </c>
      <c r="D1901" s="2" t="str">
        <f>IFERROR(__xludf.DUMMYFUNCTION("""COMPUTED_VALUE"""),"CX")</f>
        <v>CX</v>
      </c>
      <c r="E1901" s="2" t="str">
        <f>IFERROR(__xludf.DUMMYFUNCTION("""COMPUTED_VALUE"""),"月21")</f>
        <v>月21</v>
      </c>
      <c r="F1901" s="2" t="s">
        <v>6042</v>
      </c>
      <c r="G1901" s="2" t="s">
        <v>6049</v>
      </c>
      <c r="H1901" s="1">
        <v>3.0</v>
      </c>
      <c r="I1901" s="1" t="s">
        <v>10</v>
      </c>
      <c r="J1901" s="1" t="s">
        <v>11</v>
      </c>
      <c r="K1901" s="2" t="s">
        <v>6050</v>
      </c>
      <c r="L1901" s="2" t="s">
        <v>6051</v>
      </c>
      <c r="M1901" s="2" t="str">
        <f>IFERROR(__xludf.DUMMYFUNCTION("split(split(K1901,""織田裕二  "",false),""公式LINE"",false)"),"櫻井朔太郎(織田裕二)が担任するクラスの生徒、川辺英二(山本裕典)の成績が3年生になってから急落。理事長の神谷龍之介(小日向文世)は、榎戸若葉(北川景子)に英二へ自分からの手紙を渡してくるようにと依頼する。  　放課後、若葉は根岸洋貴(岡田将生)、白崎凛久(北乃きい)、田幡八朗(濱田岳)に案内をさせて英二の家へ。そこで、意外な英二の姿と生活を知る。　次の日、朔太郎が3年1組で授業を行っていると、昨日英二の家で若葉たちが見た2人の子供が乱入。子供たちを手なずけた朔太郎は、英二に関するあることを聞く。  　そ"&amp;"の頃、英二は理事長室にいた。神谷は英二への期待を手紙にしたためていたらしい。英二は、手紙に書かれたことを実践し、これからは受験勉強に集中できると話す。  　英二が教室に戻ると、朔太郎の傍らにいた子供たちが駆け寄って行った。その姿を見た朔太郎は、英二を屋上に連れて行く。一緒に来た若葉は、英二の決断を褒めるが、朔太郎は不審に感じている様子。  　英二と子供たちが抱える問題に、またしても首を突っ込んでいく朔太郎。そしてそこに巻き込まれる若葉だが、長谷部杏花(戸田恵子)が持っていた写真から、朔太郎の信じられないよ"&amp;"うな過去を知ることになって…。")</f>
        <v>櫻井朔太郎(織田裕二)が担任するクラスの生徒、川辺英二(山本裕典)の成績が3年生になってから急落。理事長の神谷龍之介(小日向文世)は、榎戸若葉(北川景子)に英二へ自分からの手紙を渡してくるようにと依頼する。  　放課後、若葉は根岸洋貴(岡田将生)、白崎凛久(北乃きい)、田幡八朗(濱田岳)に案内をさせて英二の家へ。そこで、意外な英二の姿と生活を知る。　次の日、朔太郎が3年1組で授業を行っていると、昨日英二の家で若葉たちが見た2人の子供が乱入。子供たちを手なずけた朔太郎は、英二に関するあることを聞く。  　その頃、英二は理事長室にいた。神谷は英二への期待を手紙にしたためていたらしい。英二は、手紙に書かれたことを実践し、これからは受験勉強に集中できると話す。  　英二が教室に戻ると、朔太郎の傍らにいた子供たちが駆け寄って行った。その姿を見た朔太郎は、英二を屋上に連れて行く。一緒に来た若葉は、英二の決断を褒めるが、朔太郎は不審に感じている様子。  　英二と子供たちが抱える問題に、またしても首を突っ込んでいく朔太郎。そしてそこに巻き込まれる若葉だが、長谷部杏花(戸田恵子)が持っていた写真から、朔太郎の信じられないような過去を知ることになって…。</v>
      </c>
      <c r="N1901" s="2"/>
      <c r="O1901" s="2"/>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row>
    <row r="1902" ht="204.75" customHeight="1">
      <c r="A1902" s="1">
        <v>5646.0</v>
      </c>
      <c r="B1902" s="2" t="s">
        <v>6041</v>
      </c>
      <c r="C1902" s="2">
        <f>IFERROR(__xludf.DUMMYFUNCTION("split(B1902,""_"")"),807.0)</f>
        <v>807</v>
      </c>
      <c r="D1902" s="2" t="str">
        <f>IFERROR(__xludf.DUMMYFUNCTION("""COMPUTED_VALUE"""),"CX")</f>
        <v>CX</v>
      </c>
      <c r="E1902" s="2" t="str">
        <f>IFERROR(__xludf.DUMMYFUNCTION("""COMPUTED_VALUE"""),"月21")</f>
        <v>月21</v>
      </c>
      <c r="F1902" s="2" t="s">
        <v>6042</v>
      </c>
      <c r="G1902" s="2" t="s">
        <v>6052</v>
      </c>
      <c r="H1902" s="1">
        <v>4.0</v>
      </c>
      <c r="I1902" s="1" t="s">
        <v>14</v>
      </c>
      <c r="J1902" s="1" t="s">
        <v>11</v>
      </c>
      <c r="K1902" s="2" t="s">
        <v>6053</v>
      </c>
      <c r="L1902" s="2" t="s">
        <v>6054</v>
      </c>
      <c r="M1902" s="2" t="str">
        <f>IFERROR(__xludf.DUMMYFUNCTION("split(split(K1902,""織田裕二  "",false),""公式LINE"",false)"),"ピアノでの大学推薦を得られる演奏会に出場予定の櫻井朔太郎(織田裕二)が担任をする3年1組の生徒、三崎雅行(中村優一)が“湘南海岸高校対抗ビ―チバレ―大会""に出場すると言い出す。廃部寸前のバレ―部のために選手を募った朔太郎は大喜びだが、雅行の出場希望にはある理由があった。  　一方、幼馴染の根岸洋貴(岡田将生)と白崎凛久(北乃きい)は、微妙な関係。その凛久を雅行がビ―チバレ―のペアに誘う。この指名に貴林優奈(黒瀬真奈美)が反応して練習要員に名乗りを上げる。雅行と優奈の関係は誰もが認めるところ。だが最近、雅"&amp;"行は優奈を避け、凛久に接近していた。もうひとりの練習要員として、洋貴も加わった。  　4人は練習を始めるが、何ともギクシャクしっぱなし。そんな時、優奈がアタックしたボ―ルが凛久の顔面を直撃。非難する雅行に、優奈はどうして凛久とペアを組むのかと聞く。すると、雅行は凛久が好きだからとあっさり告白。ショックを受けた優奈は、泣きながら去ってしまう。と、そこに、赤木保則(池田鉄洋)がやって来た。音楽室に戻り、ピアノに専念するよう雅行を説得する赤木を朔太郎、若葉(北川景子)、凛久が見守る。だが、雅行は今やりたいことは"&amp;"バレ―だと話して、出て行ってしまった。  　朔太郎と凛久が海岸に行くと、雅行が1人でバレ―の練習をしていた。せっかくピアノで推薦を受けられるのにと雅行を心配する凛久に、朔太郎は…。")</f>
        <v>ピアノでの大学推薦を得られる演奏会に出場予定の櫻井朔太郎(織田裕二)が担任をする3年1組の生徒、三崎雅行(中村優一)が“湘南海岸高校対抗ビ―チバレ―大会"に出場すると言い出す。廃部寸前のバレ―部のために選手を募った朔太郎は大喜びだが、雅行の出場希望にはある理由があった。  　一方、幼馴染の根岸洋貴(岡田将生)と白崎凛久(北乃きい)は、微妙な関係。その凛久を雅行がビ―チバレ―のペアに誘う。この指名に貴林優奈(黒瀬真奈美)が反応して練習要員に名乗りを上げる。雅行と優奈の関係は誰もが認めるところ。だが最近、雅行は優奈を避け、凛久に接近していた。もうひとりの練習要員として、洋貴も加わった。  　4人は練習を始めるが、何ともギクシャクしっぱなし。そんな時、優奈がアタックしたボ―ルが凛久の顔面を直撃。非難する雅行に、優奈はどうして凛久とペアを組むのかと聞く。すると、雅行は凛久が好きだからとあっさり告白。ショックを受けた優奈は、泣きながら去ってしまう。と、そこに、赤木保則(池田鉄洋)がやって来た。音楽室に戻り、ピアノに専念するよう雅行を説得する赤木を朔太郎、若葉(北川景子)、凛久が見守る。だが、雅行は今やりたいことはバレ―だと話して、出て行ってしまった。  　朔太郎と凛久が海岸に行くと、雅行が1人でバレ―の練習をしていた。せっかくピアノで推薦を受けられるのにと雅行を心配する凛久に、朔太郎は…。</v>
      </c>
      <c r="N1902" s="2"/>
      <c r="O1902" s="2"/>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row>
    <row r="1903" ht="204.75" customHeight="1">
      <c r="A1903" s="1">
        <v>5647.0</v>
      </c>
      <c r="B1903" s="2" t="s">
        <v>6041</v>
      </c>
      <c r="C1903" s="2">
        <f>IFERROR(__xludf.DUMMYFUNCTION("split(B1903,""_"")"),807.0)</f>
        <v>807</v>
      </c>
      <c r="D1903" s="2" t="str">
        <f>IFERROR(__xludf.DUMMYFUNCTION("""COMPUTED_VALUE"""),"CX")</f>
        <v>CX</v>
      </c>
      <c r="E1903" s="2" t="str">
        <f>IFERROR(__xludf.DUMMYFUNCTION("""COMPUTED_VALUE"""),"月21")</f>
        <v>月21</v>
      </c>
      <c r="F1903" s="2" t="s">
        <v>6042</v>
      </c>
      <c r="G1903" s="2" t="s">
        <v>6055</v>
      </c>
      <c r="H1903" s="1">
        <v>5.0</v>
      </c>
      <c r="I1903" s="1" t="s">
        <v>17</v>
      </c>
      <c r="J1903" s="1" t="s">
        <v>11</v>
      </c>
      <c r="K1903" s="2" t="s">
        <v>6056</v>
      </c>
      <c r="L1903" s="2" t="s">
        <v>6057</v>
      </c>
      <c r="M1903" s="2" t="str">
        <f>IFERROR(__xludf.DUMMYFUNCTION("split(split(K1903,""織田裕二  "",false),""公式LINE"",false)"),"櫻井朔太郎(織田裕二)が担任する3年1組の優等生、澤水羽菜(谷村美月)と楠木大和(冨浦智嗣)が恋に落ちた。だが、心を通わせたと同時に、微妙なすれ違いも始まる。自分の心に一段落つけたとク―ルな大和に対し、羽菜は恋のスタ―トで受験勉強に対して感じていた疑問が一気に膨れ上がっていく。  　次の日、模試でトップテンに入った羽菜は全校集会のスピ―チをさせられる。スピ―チ用の原稿は、柴草修平(八嶋智人)から渡された。しかし、壇上に立った羽菜は渡された原稿を読まず、自分の言葉で勉強への疑問を問い始める。教師陣の制止も無"&amp;"視して、次々と疑問をぶつける羽菜。異変に気づいた根岸洋貴(岡田将生)たちも、羽菜を止めるよう側にいた朔太郎に頼む。だが、朔太郎は生徒たちに話を聞けと促し、壇上から強制的に降ろされる羽菜にただ1人で大拍手を送る。　この日から、羽菜は朔太郎と長谷部杏花校長(戸田恵子)の擁護とは裏腹に、神谷龍之介理事長(小日向文世)たちから異端視扱いされてしまう。それでも、羽菜は清々した様子。逆に、羽菜は大和との恋を進めようとする。だが、大和には羽菜の一連の行為が理解出来なかった。そんな2人を見つめる朔太郎は…。そんな時、杏花"&amp;"が懸念する学園の問題も、ついに公になろうとしていた。")</f>
        <v>櫻井朔太郎(織田裕二)が担任する3年1組の優等生、澤水羽菜(谷村美月)と楠木大和(冨浦智嗣)が恋に落ちた。だが、心を通わせたと同時に、微妙なすれ違いも始まる。自分の心に一段落つけたとク―ルな大和に対し、羽菜は恋のスタ―トで受験勉強に対して感じていた疑問が一気に膨れ上がっていく。  　次の日、模試でトップテンに入った羽菜は全校集会のスピ―チをさせられる。スピ―チ用の原稿は、柴草修平(八嶋智人)から渡された。しかし、壇上に立った羽菜は渡された原稿を読まず、自分の言葉で勉強への疑問を問い始める。教師陣の制止も無視して、次々と疑問をぶつける羽菜。異変に気づいた根岸洋貴(岡田将生)たちも、羽菜を止めるよう側にいた朔太郎に頼む。だが、朔太郎は生徒たちに話を聞けと促し、壇上から強制的に降ろされる羽菜にただ1人で大拍手を送る。　この日から、羽菜は朔太郎と長谷部杏花校長(戸田恵子)の擁護とは裏腹に、神谷龍之介理事長(小日向文世)たちから異端視扱いされてしまう。それでも、羽菜は清々した様子。逆に、羽菜は大和との恋を進めようとする。だが、大和には羽菜の一連の行為が理解出来なかった。そんな2人を見つめる朔太郎は…。そんな時、杏花が懸念する学園の問題も、ついに公になろうとしていた。</v>
      </c>
      <c r="N1903" s="2"/>
      <c r="O1903" s="2"/>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row>
    <row r="1904" ht="204.75" customHeight="1">
      <c r="A1904" s="1">
        <v>5648.0</v>
      </c>
      <c r="B1904" s="2" t="s">
        <v>6041</v>
      </c>
      <c r="C1904" s="2">
        <f>IFERROR(__xludf.DUMMYFUNCTION("split(B1904,""_"")"),807.0)</f>
        <v>807</v>
      </c>
      <c r="D1904" s="2" t="str">
        <f>IFERROR(__xludf.DUMMYFUNCTION("""COMPUTED_VALUE"""),"CX")</f>
        <v>CX</v>
      </c>
      <c r="E1904" s="2" t="str">
        <f>IFERROR(__xludf.DUMMYFUNCTION("""COMPUTED_VALUE"""),"月21")</f>
        <v>月21</v>
      </c>
      <c r="F1904" s="2" t="s">
        <v>6042</v>
      </c>
      <c r="G1904" s="2" t="s">
        <v>6058</v>
      </c>
      <c r="H1904" s="1">
        <v>6.0</v>
      </c>
      <c r="I1904" s="1" t="s">
        <v>21</v>
      </c>
      <c r="J1904" s="1" t="s">
        <v>11</v>
      </c>
      <c r="K1904" s="2" t="s">
        <v>6059</v>
      </c>
      <c r="L1904" s="2" t="s">
        <v>6060</v>
      </c>
      <c r="M1904" s="2" t="str">
        <f>IFERROR(__xludf.DUMMYFUNCTION("split(split(K1904,""織田裕二  "",false),""公式LINE"",false)"),"櫻井朔太郎(織田裕二)が教師を務める湘南学館で、ある問題が明らかになろうとしていた。  　榎戸若葉(北川景子)は、柴草修平(八嶋智人)から聞いてしまった湘南学館が抱える問題について、その真偽を校長であり母でもある長谷部杏花(戸田恵子)に尋ねる。すると杏花は、問題が事実であることを認め、辞任覚悟でそのことを教育委員会に告発するつもりだと若葉に言う。そして、自分がいなくなった後の残された生徒たちを託すために朔太郎を呼んだと告げた。  　そんなある日、白崎凛久(北乃きい)はホ―ムル―ムで、学校伝統の祭り、日輪祭"&amp;"の実行委員長に選ばれる。迷惑がる凛久に、朔太郎は全てを任せると言う。その時、いきなり船木真由(前田敦子)が立ち上がり、あと39時間で地球が滅亡すると言い出し、悲鳴を上げて教室から出て行ってしまった。凛久は、真由が騒いだ時に落ちた本屋のレシ―トを拾い、買った本の題名に驚く。  　校庭に出た真由は、白線で円を書き、その中に寝そべった。朔太郎が話しかけると、真由は自分が気持ち悪くてブスだと両親から毎日言われていると語り、今の両親が本当の両親ではないと真由は続けた。  　言葉どおり、真由の両親は里親だった。真由の"&amp;"家を訪ねた朔太郎と若葉は、両親から意外なことを聞かされる。")</f>
        <v>櫻井朔太郎(織田裕二)が教師を務める湘南学館で、ある問題が明らかになろうとしていた。  　榎戸若葉(北川景子)は、柴草修平(八嶋智人)から聞いてしまった湘南学館が抱える問題について、その真偽を校長であり母でもある長谷部杏花(戸田恵子)に尋ねる。すると杏花は、問題が事実であることを認め、辞任覚悟でそのことを教育委員会に告発するつもりだと若葉に言う。そして、自分がいなくなった後の残された生徒たちを託すために朔太郎を呼んだと告げた。  　そんなある日、白崎凛久(北乃きい)はホ―ムル―ムで、学校伝統の祭り、日輪祭の実行委員長に選ばれる。迷惑がる凛久に、朔太郎は全てを任せると言う。その時、いきなり船木真由(前田敦子)が立ち上がり、あと39時間で地球が滅亡すると言い出し、悲鳴を上げて教室から出て行ってしまった。凛久は、真由が騒いだ時に落ちた本屋のレシ―トを拾い、買った本の題名に驚く。  　校庭に出た真由は、白線で円を書き、その中に寝そべった。朔太郎が話しかけると、真由は自分が気持ち悪くてブスだと両親から毎日言われていると語り、今の両親が本当の両親ではないと真由は続けた。  　言葉どおり、真由の両親は里親だった。真由の家を訪ねた朔太郎と若葉は、両親から意外なことを聞かされる。</v>
      </c>
      <c r="N1904" s="2"/>
      <c r="O1904" s="2"/>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row>
    <row r="1905" ht="204.75" customHeight="1">
      <c r="A1905" s="1">
        <v>5649.0</v>
      </c>
      <c r="B1905" s="2" t="s">
        <v>6041</v>
      </c>
      <c r="C1905" s="2">
        <f>IFERROR(__xludf.DUMMYFUNCTION("split(B1905,""_"")"),807.0)</f>
        <v>807</v>
      </c>
      <c r="D1905" s="2" t="str">
        <f>IFERROR(__xludf.DUMMYFUNCTION("""COMPUTED_VALUE"""),"CX")</f>
        <v>CX</v>
      </c>
      <c r="E1905" s="2" t="str">
        <f>IFERROR(__xludf.DUMMYFUNCTION("""COMPUTED_VALUE"""),"月21")</f>
        <v>月21</v>
      </c>
      <c r="F1905" s="2" t="s">
        <v>6042</v>
      </c>
      <c r="G1905" s="2" t="s">
        <v>6061</v>
      </c>
      <c r="H1905" s="1">
        <v>7.0</v>
      </c>
      <c r="I1905" s="1" t="s">
        <v>25</v>
      </c>
      <c r="J1905" s="1" t="s">
        <v>11</v>
      </c>
      <c r="K1905" s="2" t="s">
        <v>6062</v>
      </c>
      <c r="L1905" s="2" t="s">
        <v>6063</v>
      </c>
      <c r="M1905" s="2" t="str">
        <f>IFERROR(__xludf.DUMMYFUNCTION("split(split(K1905,""織田裕二  "",false),""公式LINE"",false)"),"櫻井朔太郎(織田裕二)は、榎戸若葉(北川景子)が発見した3年1組の生徒による書き込みと思われるネット掲示板の自殺予告が気になっていた。一方、次原雪乃(大政絢)に一緒に死んで欲しいと懇願された田幡八朗(濱田岳)は、思いとどまるよう説得。その結果、雪乃を裏切らないこと、自殺しようとしたことを誰にも話さないことを約束させられ交際することになる。  　2学期がスタ―トすると、朔太郎は掲示板にあった書き込みのことを生徒たちに話し、アンケ―トを募ろうとする。だが、それは神谷龍之介理事長(小日向文世)に阻止され、担任が"&amp;"若葉に代わることも生徒に宣言されてしまう。カリキュラムの問題で神谷に逆らった朔太郎は、担任を外されてしまった。  　放課後、屋嶋灯里(吉高由里子)は八朗と一緒に帰ろうとした。だが、雪乃に呼び出されていた八朗は、灯里を避けてしまう。校門では朔太郎が、生徒に掲示板のプリントアウトを見せて情報を募っていた。  　その夜、若葉は会議室で朔太郎を見かける。朔太郎はプロバイダ―から自殺予告の発信元をつきとめようとしていた。何も問題はないようだと生徒たちのアンケ―トを渡す若葉は、次の対策を促す。  　朔太郎は家庭訪問を"&amp;"始めたが、保護者の間で問題に。理事長室に呼ばれた朔太郎は、学内の清掃を命じられてしまう。一方、雪乃と行動をともにしていた八朗は、雪乃と歩いている姿を灯里に見られてしまい…。")</f>
        <v>櫻井朔太郎(織田裕二)は、榎戸若葉(北川景子)が発見した3年1組の生徒による書き込みと思われるネット掲示板の自殺予告が気になっていた。一方、次原雪乃(大政絢)に一緒に死んで欲しいと懇願された田幡八朗(濱田岳)は、思いとどまるよう説得。その結果、雪乃を裏切らないこと、自殺しようとしたことを誰にも話さないことを約束させられ交際することになる。  　2学期がスタ―トすると、朔太郎は掲示板にあった書き込みのことを生徒たちに話し、アンケ―トを募ろうとする。だが、それは神谷龍之介理事長(小日向文世)に阻止され、担任が若葉に代わることも生徒に宣言されてしまう。カリキュラムの問題で神谷に逆らった朔太郎は、担任を外されてしまった。  　放課後、屋嶋灯里(吉高由里子)は八朗と一緒に帰ろうとした。だが、雪乃に呼び出されていた八朗は、灯里を避けてしまう。校門では朔太郎が、生徒に掲示板のプリントアウトを見せて情報を募っていた。  　その夜、若葉は会議室で朔太郎を見かける。朔太郎はプロバイダ―から自殺予告の発信元をつきとめようとしていた。何も問題はないようだと生徒たちのアンケ―トを渡す若葉は、次の対策を促す。  　朔太郎は家庭訪問を始めたが、保護者の間で問題に。理事長室に呼ばれた朔太郎は、学内の清掃を命じられてしまう。一方、雪乃と行動をともにしていた八朗は、雪乃と歩いている姿を灯里に見られてしまい…。</v>
      </c>
      <c r="N1905" s="2"/>
      <c r="O1905" s="2"/>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row>
    <row r="1906" ht="204.75" customHeight="1">
      <c r="A1906" s="1">
        <v>5650.0</v>
      </c>
      <c r="B1906" s="2" t="s">
        <v>6041</v>
      </c>
      <c r="C1906" s="2">
        <f>IFERROR(__xludf.DUMMYFUNCTION("split(B1906,""_"")"),807.0)</f>
        <v>807</v>
      </c>
      <c r="D1906" s="2" t="str">
        <f>IFERROR(__xludf.DUMMYFUNCTION("""COMPUTED_VALUE"""),"CX")</f>
        <v>CX</v>
      </c>
      <c r="E1906" s="2" t="str">
        <f>IFERROR(__xludf.DUMMYFUNCTION("""COMPUTED_VALUE"""),"月21")</f>
        <v>月21</v>
      </c>
      <c r="F1906" s="2" t="s">
        <v>6042</v>
      </c>
      <c r="G1906" s="2" t="s">
        <v>6064</v>
      </c>
      <c r="H1906" s="1">
        <v>8.0</v>
      </c>
      <c r="I1906" s="1" t="s">
        <v>29</v>
      </c>
      <c r="J1906" s="1" t="s">
        <v>11</v>
      </c>
      <c r="K1906" s="2" t="s">
        <v>6065</v>
      </c>
      <c r="L1906" s="2" t="s">
        <v>6066</v>
      </c>
      <c r="M1906" s="2" t="str">
        <f>IFERROR(__xludf.DUMMYFUNCTION("split(split(K1906,""織田裕二  "",false),""公式LINE"",false)"),"櫻井朔太郎(織田裕二)は、次原雪乃(大政絢)をかばって負傷。逃げる雪乃は、田幡八朗(濱田岳)、榎戸若葉(北川景子)と柴草修平(八嶋智人)に保護された。  　翌日、八朗は屋嶋灯里(吉高由里子)に雪乃との事情を打ち明ける。一方、雪乃のマンションを訪れた朔太郎に、両親は、雪乃を転校させると話す。転校は、神谷龍之介理事長(小日向文世)の勧めでもあった。  　朔太郎は神谷に雪乃の転校反対を訴えるが、神谷は、雪乃をカウンセリングのプロに任せるべきだと主張。朔太郎は、その発言が本気ならここはもはや学校ではないと反論する"&amp;"が、神谷は聞く耳を持たない。一方、雪乃の荷物を整理していた若葉は、その中にアンデルセンの『人魚姫』が収録された本を見つける。  　八朗が朔太郎と雪乃のことを話していると、根岸洋貴(岡田将生)、白崎凛久(北乃きい)、灯里たちが来た。灯里から事情を聞いた洋貴は八朗に謝り、仲間たちは和解。その時、自分たちの思い出を作れないかと提案する八朗の言葉に、凛久は日輪祭の存在を思い出す。そんな中、八朗は改めて灯里から告白された。  　一方、電話連絡のつかない雪乃に手紙を書き続けていた朔太郎に封書が届く。中には、朔太郎が雪"&amp;"乃に書いた手紙が粉々になって入っていた。雪乃を案じた朔太郎は、雪乃の実家へと向かう。その頃、灯里にアイスの当たりを交換するよう頼まれ、ひとりで店に向かった八朗の携帯が鳴って…。")</f>
        <v>櫻井朔太郎(織田裕二)は、次原雪乃(大政絢)をかばって負傷。逃げる雪乃は、田幡八朗(濱田岳)、榎戸若葉(北川景子)と柴草修平(八嶋智人)に保護された。  　翌日、八朗は屋嶋灯里(吉高由里子)に雪乃との事情を打ち明ける。一方、雪乃のマンションを訪れた朔太郎に、両親は、雪乃を転校させると話す。転校は、神谷龍之介理事長(小日向文世)の勧めでもあった。  　朔太郎は神谷に雪乃の転校反対を訴えるが、神谷は、雪乃をカウンセリングのプロに任せるべきだと主張。朔太郎は、その発言が本気ならここはもはや学校ではないと反論するが、神谷は聞く耳を持たない。一方、雪乃の荷物を整理していた若葉は、その中にアンデルセンの『人魚姫』が収録された本を見つける。  　八朗が朔太郎と雪乃のことを話していると、根岸洋貴(岡田将生)、白崎凛久(北乃きい)、灯里たちが来た。灯里から事情を聞いた洋貴は八朗に謝り、仲間たちは和解。その時、自分たちの思い出を作れないかと提案する八朗の言葉に、凛久は日輪祭の存在を思い出す。そんな中、八朗は改めて灯里から告白された。  　一方、電話連絡のつかない雪乃に手紙を書き続けていた朔太郎に封書が届く。中には、朔太郎が雪乃に書いた手紙が粉々になって入っていた。雪乃を案じた朔太郎は、雪乃の実家へと向かう。その頃、灯里にアイスの当たりを交換するよう頼まれ、ひとりで店に向かった八朗の携帯が鳴って…。</v>
      </c>
      <c r="N1906" s="2"/>
      <c r="O1906" s="2"/>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row>
    <row r="1907" ht="204.75" customHeight="1">
      <c r="A1907" s="1">
        <v>5651.0</v>
      </c>
      <c r="B1907" s="2" t="s">
        <v>6041</v>
      </c>
      <c r="C1907" s="2">
        <f>IFERROR(__xludf.DUMMYFUNCTION("split(B1907,""_"")"),807.0)</f>
        <v>807</v>
      </c>
      <c r="D1907" s="2" t="str">
        <f>IFERROR(__xludf.DUMMYFUNCTION("""COMPUTED_VALUE"""),"CX")</f>
        <v>CX</v>
      </c>
      <c r="E1907" s="2" t="str">
        <f>IFERROR(__xludf.DUMMYFUNCTION("""COMPUTED_VALUE"""),"月21")</f>
        <v>月21</v>
      </c>
      <c r="F1907" s="2" t="s">
        <v>6042</v>
      </c>
      <c r="G1907" s="2" t="s">
        <v>6067</v>
      </c>
      <c r="H1907" s="1">
        <v>9.0</v>
      </c>
      <c r="I1907" s="1" t="s">
        <v>33</v>
      </c>
      <c r="J1907" s="1" t="s">
        <v>11</v>
      </c>
      <c r="K1907" s="2" t="s">
        <v>6068</v>
      </c>
      <c r="L1907" s="2" t="s">
        <v>6069</v>
      </c>
      <c r="M1907" s="2" t="str">
        <f>IFERROR(__xludf.DUMMYFUNCTION("split(split(K1907,""織田裕二  "",false),""公式LINE"",false)"),"櫻井朔太郎(織田裕二)の願いもむなしく、田幡八朗(濱田岳)は亡骸となって港に戻ってきた。根岸洋貴(岡田将生)、白崎凛久(北乃きい)、楠木大和(冨浦智嗣)、日垣茂市(鍵本輝)、澤水羽菜(谷村美月)、川辺英二(山本裕典)らも八朗の死に言葉を失う。  　朔太郎は、海岸でひとり八朗を待つ屋嶋灯里(吉高由里子)の元へ行く。しかし、灯里は八朗の死を容易に受け入れることが出来ない。朔太郎は、警察署の霊安室に灯里を連れて行くが、灯里は八朗の顔をまともに見ることが出来ずにその場を去ってしまう。  　家に帰ったはずの灯里は公"&amp;"園にいた。ひとりぼんやりしている灯里を見かけた洋貴は声をかけるが、灯里から思いがけない言葉が返ってきて、思わず言葉を失う。  　次の日、朔太郎は雪乃(大政絢)の病室を訪ね、雪乃とともに八朗の家に行く。八朗の部屋に入った朔太郎は、そこで雪乃に命の意味を訴える。　一方、湘南学館では神谷龍之介(小日向文世)がねじ伏せた未履修問題について、マスコミからの問い合わせが入る。  　その頃、朔太郎と長谷部杏花(戸田恵子)が、雪乃の母親に、雪乃を湘南学館に残すことを提案。話を終えた朔太郎が、教室で待つ雪乃を呼びに行こうと"&amp;"すると、凛久たちから電話が。凛久は、灯里が八朗の死を信じていないと朔太郎に告げ、さらに洋貴は、公園で聞いた灯里の言葉を教えた。朔太郎は、教室へと急ぐ。")</f>
        <v>櫻井朔太郎(織田裕二)の願いもむなしく、田幡八朗(濱田岳)は亡骸となって港に戻ってきた。根岸洋貴(岡田将生)、白崎凛久(北乃きい)、楠木大和(冨浦智嗣)、日垣茂市(鍵本輝)、澤水羽菜(谷村美月)、川辺英二(山本裕典)らも八朗の死に言葉を失う。  　朔太郎は、海岸でひとり八朗を待つ屋嶋灯里(吉高由里子)の元へ行く。しかし、灯里は八朗の死を容易に受け入れることが出来ない。朔太郎は、警察署の霊安室に灯里を連れて行くが、灯里は八朗の顔をまともに見ることが出来ずにその場を去ってしまう。  　家に帰ったはずの灯里は公園にいた。ひとりぼんやりしている灯里を見かけた洋貴は声をかけるが、灯里から思いがけない言葉が返ってきて、思わず言葉を失う。  　次の日、朔太郎は雪乃(大政絢)の病室を訪ね、雪乃とともに八朗の家に行く。八朗の部屋に入った朔太郎は、そこで雪乃に命の意味を訴える。　一方、湘南学館では神谷龍之介(小日向文世)がねじ伏せた未履修問題について、マスコミからの問い合わせが入る。  　その頃、朔太郎と長谷部杏花(戸田恵子)が、雪乃の母親に、雪乃を湘南学館に残すことを提案。話を終えた朔太郎が、教室で待つ雪乃を呼びに行こうとすると、凛久たちから電話が。凛久は、灯里が八朗の死を信じていないと朔太郎に告げ、さらに洋貴は、公園で聞いた灯里の言葉を教えた。朔太郎は、教室へと急ぐ。</v>
      </c>
      <c r="N1907" s="2"/>
      <c r="O1907" s="2"/>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row>
    <row r="1908" ht="204.75" customHeight="1">
      <c r="A1908" s="1">
        <v>5652.0</v>
      </c>
      <c r="B1908" s="2" t="s">
        <v>6041</v>
      </c>
      <c r="C1908" s="2">
        <f>IFERROR(__xludf.DUMMYFUNCTION("split(B1908,""_"")"),807.0)</f>
        <v>807</v>
      </c>
      <c r="D1908" s="2" t="str">
        <f>IFERROR(__xludf.DUMMYFUNCTION("""COMPUTED_VALUE"""),"CX")</f>
        <v>CX</v>
      </c>
      <c r="E1908" s="2" t="str">
        <f>IFERROR(__xludf.DUMMYFUNCTION("""COMPUTED_VALUE"""),"月21")</f>
        <v>月21</v>
      </c>
      <c r="F1908" s="2" t="s">
        <v>6042</v>
      </c>
      <c r="G1908" s="2" t="s">
        <v>6070</v>
      </c>
      <c r="H1908" s="1">
        <v>10.0</v>
      </c>
      <c r="I1908" s="1" t="s">
        <v>37</v>
      </c>
      <c r="J1908" s="1" t="s">
        <v>4</v>
      </c>
      <c r="K1908" s="2" t="s">
        <v>6071</v>
      </c>
      <c r="L1908" s="2" t="s">
        <v>6072</v>
      </c>
      <c r="M1908" s="2" t="str">
        <f>IFERROR(__xludf.DUMMYFUNCTION("split(split(K1908,""織田裕二  "",false),""公式LINE"",false)"),"櫻井朔太郎(織田裕二)の願いも虚しく海に散った田幡八朗(濱田岳)。その悲しみも癒えぬうち、湘南学館に激震が走る。ついに履修不足問題が表面化し、学園に調査委員会が乗り込んできたのだ。朔太郎は長谷部杏花校長(戸田恵子)とともに、あらかじめ作成しておいた補習計画表を理事長の神谷龍之介(小日向文世)に提出。だが、神谷は受験終了後に未履修教科のレポ―トを提出することで生徒たちの卒業を認めてくれるよう調査委員会に要請したと言い、その提案を退ける。朔太郎は、生徒たちを不正に巻き込むつもりかと反対するのだが、当の生徒たち"&amp;"も神谷の考えに賛成。受験を最優先することに迷いはない様子。だが、根岸洋貴(岡田将生)、澤水羽菜(谷村美月)と屋嶋灯里(吉高由里子)だけは朔太郎に賛成する。納得できない白崎凛久(北乃きい)に、洋貴は八朗のことを考えたのだと告げた。それは灯里も同じだった。  　文部科学省への直談判を促す榎戸若葉(北川景子)の提案をよそに、朔太郎が1人で放課後の補習授業を始めると、そこに意外な協力者が現れる。それはなんと、柴草修平(八嶋智人)だった。生徒たちより先に、立ち上がる教師たち。そんな時、朔太郎は辞表を持って来るように"&amp;"と神谷に呼ばれる。湘南学館を辞するよう告げる神谷に、頑として受け付けようとしない朔太郎。すると、神谷は自身の生徒たち、教育への思いを語りだす。そんな神谷に、朔太郎は…。")</f>
        <v>櫻井朔太郎(織田裕二)の願いも虚しく海に散った田幡八朗(濱田岳)。その悲しみも癒えぬうち、湘南学館に激震が走る。ついに履修不足問題が表面化し、学園に調査委員会が乗り込んできたのだ。朔太郎は長谷部杏花校長(戸田恵子)とともに、あらかじめ作成しておいた補習計画表を理事長の神谷龍之介(小日向文世)に提出。だが、神谷は受験終了後に未履修教科のレポ―トを提出することで生徒たちの卒業を認めてくれるよう調査委員会に要請したと言い、その提案を退ける。朔太郎は、生徒たちを不正に巻き込むつもりかと反対するのだが、当の生徒たちも神谷の考えに賛成。受験を最優先することに迷いはない様子。だが、根岸洋貴(岡田将生)、澤水羽菜(谷村美月)と屋嶋灯里(吉高由里子)だけは朔太郎に賛成する。納得できない白崎凛久(北乃きい)に、洋貴は八朗のことを考えたのだと告げた。それは灯里も同じだった。  　文部科学省への直談判を促す榎戸若葉(北川景子)の提案をよそに、朔太郎が1人で放課後の補習授業を始めると、そこに意外な協力者が現れる。それはなんと、柴草修平(八嶋智人)だった。生徒たちより先に、立ち上がる教師たち。そんな時、朔太郎は辞表を持って来るようにと神谷に呼ばれる。湘南学館を辞するよう告げる神谷に、頑として受け付けようとしない朔太郎。すると、神谷は自身の生徒たち、教育への思いを語りだす。そんな神谷に、朔太郎は…。</v>
      </c>
      <c r="N1908" s="2"/>
      <c r="O1908" s="2"/>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row>
    <row r="1909" ht="204.75" customHeight="1">
      <c r="A1909" s="1">
        <v>5653.0</v>
      </c>
      <c r="B1909" s="2" t="s">
        <v>6073</v>
      </c>
      <c r="C1909" s="2">
        <f>IFERROR(__xludf.DUMMYFUNCTION("split(B1909,""_"")"),807.0)</f>
        <v>807</v>
      </c>
      <c r="D1909" s="2" t="str">
        <f>IFERROR(__xludf.DUMMYFUNCTION("""COMPUTED_VALUE"""),"CX")</f>
        <v>CX</v>
      </c>
      <c r="E1909" s="2" t="str">
        <f>IFERROR(__xludf.DUMMYFUNCTION("""COMPUTED_VALUE"""),"火21")</f>
        <v>火21</v>
      </c>
      <c r="F1909" s="2" t="s">
        <v>6074</v>
      </c>
      <c r="G1909" s="2" t="s">
        <v>6075</v>
      </c>
      <c r="H1909" s="1">
        <v>1.0</v>
      </c>
      <c r="I1909" s="1" t="s">
        <v>3</v>
      </c>
      <c r="J1909" s="1" t="s">
        <v>4</v>
      </c>
      <c r="K1909" s="2" t="s">
        <v>6076</v>
      </c>
      <c r="L1909" s="11" t="s">
        <v>6077</v>
      </c>
      <c r="M1909" s="2" t="str">
        <f>IFERROR(__xludf.DUMMYFUNCTION("split(split(K1909,""小池徹平   "",false),""公式LINE"",false)"),"ある雨の日の横浜・繁華街――。その路地裏で、柴田竹虎(小池徹平)は、ヤンキ―に金をせびられていた。すると、そこへスク―タ―が投げ込まれる。驚いたヤンキ―が見ると、男が立っている――藤木小次郎(藤木直人)だ。小次郎はヤンキ―にお前らを救ってやったんだと、竹虎のレインコ―トを脱がす。あらわになったのは、警察の制服。竹虎は、警察官なのだ。竹虎は、自分を助けた小次郎をスク―タ―の窃盗と器物損壊の容疑で逮捕し派出所へ連行する。そして、調書をまとめていると、突然、巡査部長・木下満男(今田耕司)から辞令を渡される。なん"&amp;"と、刑事として「横浜みなみ署生活安全課少年係」への配属が命じられたのだ。その日の夕方、小次郎がオ―ナ―の古着店で、竹虎の刑事就任を祝う会が催される。するとそこへ、刑務所から出てきたばかりの白豚(塚地武雅)がやってくる。白豚は初対面の竹虎が刑事だと知ると悪態をつく。そんな中、竹虎は古着店にいた客・宝生美月(大後寿々花)が万引きするのを目撃。店を出ようとする美月の腕を掴むが、逃げられてしまう。翌日、「横浜みなみ署」に初出勤した竹虎は、先輩刑事・新庄徹(宮川大輔)や、交通課の巡査・鮎川環(南明奈)らと出会う。そ"&amp;"んなとき、竹虎の背後からふいに女性の声がする。竹虎が振り向くと、女性は竹虎に銃を突きつけていた。その人こそ、少年係の“要注意人物""とされる係長・千葉さくら(真矢みき)だった。")</f>
        <v>ある雨の日の横浜・繁華街――。その路地裏で、柴田竹虎(小池徹平)は、ヤンキ―に金をせびられていた。すると、そこへスク―タ―が投げ込まれる。驚いたヤンキ―が見ると、男が立っている――藤木小次郎(藤木直人)だ。小次郎はヤンキ―にお前らを救ってやったんだと、竹虎のレインコ―トを脱がす。あらわになったのは、警察の制服。竹虎は、警察官なのだ。竹虎は、自分を助けた小次郎をスク―タ―の窃盗と器物損壊の容疑で逮捕し派出所へ連行する。そして、調書をまとめていると、突然、巡査部長・木下満男(今田耕司)から辞令を渡される。なんと、刑事として「横浜みなみ署生活安全課少年係」への配属が命じられたのだ。その日の夕方、小次郎がオ―ナ―の古着店で、竹虎の刑事就任を祝う会が催される。するとそこへ、刑務所から出てきたばかりの白豚(塚地武雅)がやってくる。白豚は初対面の竹虎が刑事だと知ると悪態をつく。そんな中、竹虎は古着店にいた客・宝生美月(大後寿々花)が万引きするのを目撃。店を出ようとする美月の腕を掴むが、逃げられてしまう。翌日、「横浜みなみ署」に初出勤した竹虎は、先輩刑事・新庄徹(宮川大輔)や、交通課の巡査・鮎川環(南明奈)らと出会う。そんなとき、竹虎の背後からふいに女性の声がする。竹虎が振り向くと、女性は竹虎に銃を突きつけていた。その人こそ、少年係の“要注意人物"とされる係長・千葉さくら(真矢みき)だった。</v>
      </c>
      <c r="N1909" s="2"/>
      <c r="O1909" s="2"/>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row>
    <row r="1910" ht="204.75" customHeight="1">
      <c r="A1910" s="1">
        <v>5654.0</v>
      </c>
      <c r="B1910" s="2" t="s">
        <v>6073</v>
      </c>
      <c r="C1910" s="2">
        <f>IFERROR(__xludf.DUMMYFUNCTION("split(B1910,""_"")"),807.0)</f>
        <v>807</v>
      </c>
      <c r="D1910" s="2" t="str">
        <f>IFERROR(__xludf.DUMMYFUNCTION("""COMPUTED_VALUE"""),"CX")</f>
        <v>CX</v>
      </c>
      <c r="E1910" s="2" t="str">
        <f>IFERROR(__xludf.DUMMYFUNCTION("""COMPUTED_VALUE"""),"火21")</f>
        <v>火21</v>
      </c>
      <c r="F1910" s="2" t="s">
        <v>6074</v>
      </c>
      <c r="G1910" s="2" t="s">
        <v>6078</v>
      </c>
      <c r="H1910" s="1">
        <v>2.0</v>
      </c>
      <c r="I1910" s="1" t="s">
        <v>7</v>
      </c>
      <c r="J1910" s="1" t="s">
        <v>11</v>
      </c>
      <c r="K1910" s="2" t="s">
        <v>6079</v>
      </c>
      <c r="L1910" s="11" t="s">
        <v>6080</v>
      </c>
      <c r="M1910" s="2" t="str">
        <f>IFERROR(__xludf.DUMMYFUNCTION("split(split(K1910,""小池徹平   "",false),""公式LINE"",false)"),"柴田竹虎(小池徹平)は千葉さくら(真矢みき)の指示で、宝生美月(大後寿々花)も通う本牧高校2年B組に潜入。最近、中高生を使い事件を起こしている「鬼神」と呼ばれる者が、2年B組の生徒かもしれないという情報を受けての捜査だ。「鬼神」が送る犯罪指令メ―ルが、本牧高校のサ―バ―を経由していると聞き調べると、楠木裕二(川野直輝)という生徒が頻繁にパソコンを使用していることがわかる。  　そして、美月が楠木が使っていたパソコンを調べると「我々の未来を奪う大人には死の制裁を!」という文字が書かれた裏サイトが現れる。それ"&amp;"にピンと来た竹虎は、楠木の家を訪ねる。  　竹虎が通された楠木の部屋を物色していると、楠木が現れ刑事がなぜ部屋をあさるのかと問い詰める。竹虎は、なぜ自分が刑事だと知っているのかと尋ねると、楠木は「鬼神サイト」に美月の事件現場の写真があり、そこに刑事の新庄徹(宮川大輔)と一緒に竹虎が写っていたと言う。楠木は新庄のせいで人生を狂わされたと話す。新庄に万引き容疑で逮捕されたことで、楠木は名門校を退学させられたのだ。  　帰り道、竹虎はフルフェイスの集団に襲われる。武器を手に襲い掛かってくる男たちを、竹虎は次々と"&amp;"倒していく。すると、そこに藤木小次郎(藤木直人)と白豚(塚地武雅)が助っ人に入る。小次郎がその中のひとりを捕まえてヘルメットを取ると、2年B組の生徒の顔があらわになり…。")</f>
        <v>柴田竹虎(小池徹平)は千葉さくら(真矢みき)の指示で、宝生美月(大後寿々花)も通う本牧高校2年B組に潜入。最近、中高生を使い事件を起こしている「鬼神」と呼ばれる者が、2年B組の生徒かもしれないという情報を受けての捜査だ。「鬼神」が送る犯罪指令メ―ルが、本牧高校のサ―バ―を経由していると聞き調べると、楠木裕二(川野直輝)という生徒が頻繁にパソコンを使用していることがわかる。  　そして、美月が楠木が使っていたパソコンを調べると「我々の未来を奪う大人には死の制裁を!」という文字が書かれた裏サイトが現れる。それにピンと来た竹虎は、楠木の家を訪ねる。  　竹虎が通された楠木の部屋を物色していると、楠木が現れ刑事がなぜ部屋をあさるのかと問い詰める。竹虎は、なぜ自分が刑事だと知っているのかと尋ねると、楠木は「鬼神サイト」に美月の事件現場の写真があり、そこに刑事の新庄徹(宮川大輔)と一緒に竹虎が写っていたと言う。楠木は新庄のせいで人生を狂わされたと話す。新庄に万引き容疑で逮捕されたことで、楠木は名門校を退学させられたのだ。  　帰り道、竹虎はフルフェイスの集団に襲われる。武器を手に襲い掛かってくる男たちを、竹虎は次々と倒していく。すると、そこに藤木小次郎(藤木直人)と白豚(塚地武雅)が助っ人に入る。小次郎がその中のひとりを捕まえてヘルメットを取ると、2年B組の生徒の顔があらわになり…。</v>
      </c>
      <c r="N1910" s="2"/>
      <c r="O1910" s="2"/>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row>
    <row r="1911" ht="204.75" customHeight="1">
      <c r="A1911" s="1">
        <v>5655.0</v>
      </c>
      <c r="B1911" s="2" t="s">
        <v>6073</v>
      </c>
      <c r="C1911" s="2">
        <f>IFERROR(__xludf.DUMMYFUNCTION("split(B1911,""_"")"),807.0)</f>
        <v>807</v>
      </c>
      <c r="D1911" s="2" t="str">
        <f>IFERROR(__xludf.DUMMYFUNCTION("""COMPUTED_VALUE"""),"CX")</f>
        <v>CX</v>
      </c>
      <c r="E1911" s="2" t="str">
        <f>IFERROR(__xludf.DUMMYFUNCTION("""COMPUTED_VALUE"""),"火21")</f>
        <v>火21</v>
      </c>
      <c r="F1911" s="2" t="s">
        <v>6074</v>
      </c>
      <c r="G1911" s="2" t="s">
        <v>6081</v>
      </c>
      <c r="H1911" s="1">
        <v>3.0</v>
      </c>
      <c r="I1911" s="1" t="s">
        <v>10</v>
      </c>
      <c r="J1911" s="1" t="s">
        <v>11</v>
      </c>
      <c r="K1911" s="2" t="s">
        <v>6082</v>
      </c>
      <c r="L1911" s="11" t="s">
        <v>6083</v>
      </c>
      <c r="M1911" s="2" t="str">
        <f>IFERROR(__xludf.DUMMYFUNCTION("split(split(K1911,""小池徹平   "",false),""公式LINE"",false)"),"本牧高校に潜入中の柴田竹虎(小池徹平)は、停学から復帰したばかりで孤立する武良広海(鈴木亮平)が気になっていた。そんなとき、パソコンで「鬼神」の掲示板を見ていた生徒たちが、元担任で武良と懇意だった溝口(唐渡亮)の話題を口にする。すると突然、武良は生徒たちを殴る。竹虎は、武良の停学の理由が学年主任と体育教師を殴ったからだと聞く。  　その夜、古着店では藤木小次郎(藤木直人)と白豚(塚地武雅)が「鬼神」を探し出す方法を模索していた。  　翌朝、黒板に「鬼神は武良!」と書かれた文字を見た武良は、自分が「鬼神」な"&amp;"らかっこいいだろうとうそぶく。  　その頃、横浜みなみ署では、新庄徹(宮川大輔)がガサ入れに竹虎を伴いたいと、千葉さくら(真矢みき)に所在を尋ねるが、はぐらかされる。それを聞いた鮎川環(南明奈)は、爆破事件のとき学生服姿の竹虎が高校の屋上にいたことを思い出す。　一方、竹虎は美月(大後寿々花)から、幼い頃に両親を亡くした武良が高校で出会った溝口を親のように慕っていたが、突然、溝口が高校を辞めて以来、再び素行が悪くなったのだと聞く。そんな折、生徒たちは武良が「鬼神」である証拠を見つけたという。武良の机から見つ"&amp;"けたというメモには、学年主任、体育教師、そして、溝口とタ―ゲットの名前が書かれていて・・・。")</f>
        <v>本牧高校に潜入中の柴田竹虎(小池徹平)は、停学から復帰したばかりで孤立する武良広海(鈴木亮平)が気になっていた。そんなとき、パソコンで「鬼神」の掲示板を見ていた生徒たちが、元担任で武良と懇意だった溝口(唐渡亮)の話題を口にする。すると突然、武良は生徒たちを殴る。竹虎は、武良の停学の理由が学年主任と体育教師を殴ったからだと聞く。  　その夜、古着店では藤木小次郎(藤木直人)と白豚(塚地武雅)が「鬼神」を探し出す方法を模索していた。  　翌朝、黒板に「鬼神は武良!」と書かれた文字を見た武良は、自分が「鬼神」ならかっこいいだろうとうそぶく。  　その頃、横浜みなみ署では、新庄徹(宮川大輔)がガサ入れに竹虎を伴いたいと、千葉さくら(真矢みき)に所在を尋ねるが、はぐらかされる。それを聞いた鮎川環(南明奈)は、爆破事件のとき学生服姿の竹虎が高校の屋上にいたことを思い出す。　一方、竹虎は美月(大後寿々花)から、幼い頃に両親を亡くした武良が高校で出会った溝口を親のように慕っていたが、突然、溝口が高校を辞めて以来、再び素行が悪くなったのだと聞く。そんな折、生徒たちは武良が「鬼神」である証拠を見つけたという。武良の机から見つけたというメモには、学年主任、体育教師、そして、溝口とタ―ゲットの名前が書かれていて・・・。</v>
      </c>
      <c r="N1911" s="2"/>
      <c r="O1911" s="2"/>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row>
    <row r="1912" ht="204.75" customHeight="1">
      <c r="A1912" s="1">
        <v>5656.0</v>
      </c>
      <c r="B1912" s="2" t="s">
        <v>6073</v>
      </c>
      <c r="C1912" s="2">
        <f>IFERROR(__xludf.DUMMYFUNCTION("split(B1912,""_"")"),807.0)</f>
        <v>807</v>
      </c>
      <c r="D1912" s="2" t="str">
        <f>IFERROR(__xludf.DUMMYFUNCTION("""COMPUTED_VALUE"""),"CX")</f>
        <v>CX</v>
      </c>
      <c r="E1912" s="2" t="str">
        <f>IFERROR(__xludf.DUMMYFUNCTION("""COMPUTED_VALUE"""),"火21")</f>
        <v>火21</v>
      </c>
      <c r="F1912" s="2" t="s">
        <v>6074</v>
      </c>
      <c r="G1912" s="2" t="s">
        <v>6084</v>
      </c>
      <c r="H1912" s="1">
        <v>4.0</v>
      </c>
      <c r="I1912" s="1" t="s">
        <v>14</v>
      </c>
      <c r="J1912" s="1" t="s">
        <v>11</v>
      </c>
      <c r="K1912" s="2" t="s">
        <v>6085</v>
      </c>
      <c r="L1912" s="11" t="s">
        <v>6086</v>
      </c>
      <c r="M1912" s="2" t="str">
        <f>IFERROR(__xludf.DUMMYFUNCTION("split(split(K1912,""小池徹平   "",false),""公式LINE"",false)"),"柴田竹虎(小池徹平)は、宝生美月(大後寿々花)と鬼神からのメ―ルを読み返していた。鬼神は2年B組全員に千手峠まで来るよう指示、そこで自分の正体を明かすという。それを見た藤木小次郎(藤木直人)と白豚(塚地武雅)は鬼神の正体について推測するが、竹虎は千手峠に来ないよう念を押す。  翌朝、千手峠へ向うバスに乗るために、生徒たちが集まり始める。河東学人(大東俊介)と武良広海(鈴木亮平)がいがみ合い、そのうち河東が道路に突き飛ばされる。そこへ、大型車が。竹虎が飛び込み河東を抱えて避難し、事なきを得るが、河東は武良を"&amp;"睨みつける。  その後、竹虎らは鬼神が指定した廃屋に着く。中に入ると「助けを呼んだ者には、死の制裁を!」というメッセ―ジが壁に書かれていた。そんな中、武良がそこに美月がいないことに気づく。  竹虎らは付近を捜索し、倒れている美月を見つける。周囲には鬼神の手下と思われるフルフェイス集団の姿も。助けを呼ぶことも、逃げることもできず、竹虎らは廃屋に戻る。  精神的に追い込まれた生徒たちは、誰が鬼神かを巡って警戒し合い、緊張が高まる。そんな中、河東と毛利文明(倉貫匡弘)が助けを求めに行くと外に出る。ところが、すぐ"&amp;"に河東がフルフェイス集団に捕まってしまう。毛利はその場を走り去るが、振り返ると、河東はひどい暴行を受けていた。戻ってきた毛利が生徒たちにその一件を報告。竹虎には、ある思いがよぎる…。")</f>
        <v>柴田竹虎(小池徹平)は、宝生美月(大後寿々花)と鬼神からのメ―ルを読み返していた。鬼神は2年B組全員に千手峠まで来るよう指示、そこで自分の正体を明かすという。それを見た藤木小次郎(藤木直人)と白豚(塚地武雅)は鬼神の正体について推測するが、竹虎は千手峠に来ないよう念を押す。  翌朝、千手峠へ向うバスに乗るために、生徒たちが集まり始める。河東学人(大東俊介)と武良広海(鈴木亮平)がいがみ合い、そのうち河東が道路に突き飛ばされる。そこへ、大型車が。竹虎が飛び込み河東を抱えて避難し、事なきを得るが、河東は武良を睨みつける。  その後、竹虎らは鬼神が指定した廃屋に着く。中に入ると「助けを呼んだ者には、死の制裁を!」というメッセ―ジが壁に書かれていた。そんな中、武良がそこに美月がいないことに気づく。  竹虎らは付近を捜索し、倒れている美月を見つける。周囲には鬼神の手下と思われるフルフェイス集団の姿も。助けを呼ぶことも、逃げることもできず、竹虎らは廃屋に戻る。  精神的に追い込まれた生徒たちは、誰が鬼神かを巡って警戒し合い、緊張が高まる。そんな中、河東と毛利文明(倉貫匡弘)が助けを求めに行くと外に出る。ところが、すぐに河東がフルフェイス集団に捕まってしまう。毛利はその場を走り去るが、振り返ると、河東はひどい暴行を受けていた。戻ってきた毛利が生徒たちにその一件を報告。竹虎には、ある思いがよぎる…。</v>
      </c>
      <c r="N1912" s="2"/>
      <c r="O1912" s="2"/>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row>
    <row r="1913" ht="204.75" customHeight="1">
      <c r="A1913" s="1">
        <v>5657.0</v>
      </c>
      <c r="B1913" s="2" t="s">
        <v>6073</v>
      </c>
      <c r="C1913" s="2">
        <f>IFERROR(__xludf.DUMMYFUNCTION("split(B1913,""_"")"),807.0)</f>
        <v>807</v>
      </c>
      <c r="D1913" s="2" t="str">
        <f>IFERROR(__xludf.DUMMYFUNCTION("""COMPUTED_VALUE"""),"CX")</f>
        <v>CX</v>
      </c>
      <c r="E1913" s="2" t="str">
        <f>IFERROR(__xludf.DUMMYFUNCTION("""COMPUTED_VALUE"""),"火21")</f>
        <v>火21</v>
      </c>
      <c r="F1913" s="2" t="s">
        <v>6074</v>
      </c>
      <c r="G1913" s="2" t="s">
        <v>6087</v>
      </c>
      <c r="H1913" s="1">
        <v>5.0</v>
      </c>
      <c r="I1913" s="1" t="s">
        <v>17</v>
      </c>
      <c r="J1913" s="1" t="s">
        <v>11</v>
      </c>
      <c r="K1913" s="2" t="s">
        <v>6088</v>
      </c>
      <c r="L1913" s="11" t="s">
        <v>6089</v>
      </c>
      <c r="M1913" s="2" t="str">
        <f>IFERROR(__xludf.DUMMYFUNCTION("split(split(K1913,""小池徹平   "",false),""公式LINE"",false)"),"柴田竹虎(小池徹平)は千葉さくら(真矢みき)に呼び出され、再び潜入捜査を命じられる。18歳の少女・生島透子(志田菜々子)の失踪事件の捜査で、透子のアルバイト先のメイド喫茶への潜入だ。採用された竹虎はメイド服を着て接客。するとそこにはメイド服姿で立つ宝生美月(大後寿々花)と、メアリ―(小池彩夢)の接客を受ける白豚(塚地武雅)の姿が。その夜、古着店に戻った美月は、竹虎らにメイド喫茶に新庄徹(宮川大輔)が来たことを伝える。新庄は、竹虎のメイド喫茶への潜入は、落合建夫(橋爪遼)が絡んでいるからだろうと話していたと"&amp;"いう。落合という名前に、藤木小次郎(藤木直人)は誰よりも反応する。後日、竹虎と小次郎は、メアリ―とデ―トをすることになった白豚を尾行する。メアリ―が失踪事件の有力な情報を持っているかもしれないからだ。そこへランドセルを背負ったメアリ―がやってくる。驚く白豚が年齢を尋ねると、なんと小学6年生だという。そんなメアリ―のところへメイド喫茶の店長岩城(青木伸輔)から電話が入る。仕事を頼みたいという岩城に彼女は喜んで応じる。メアリ―との電話の後、岩城は別室で待たせていた美月の元に来ると、もっとお金が欲しくないかと尋"&amp;"ねる。岩城が裏で何をしているのか感づいた美月は竹虎を呼び出し、メイド喫茶に乗り込むが…。数日後、白豚にメアリ―から泣きながら電話が入る。白豚がメアリ―の元に駆けつけると…。")</f>
        <v>柴田竹虎(小池徹平)は千葉さくら(真矢みき)に呼び出され、再び潜入捜査を命じられる。18歳の少女・生島透子(志田菜々子)の失踪事件の捜査で、透子のアルバイト先のメイド喫茶への潜入だ。採用された竹虎はメイド服を着て接客。するとそこにはメイド服姿で立つ宝生美月(大後寿々花)と、メアリ―(小池彩夢)の接客を受ける白豚(塚地武雅)の姿が。その夜、古着店に戻った美月は、竹虎らにメイド喫茶に新庄徹(宮川大輔)が来たことを伝える。新庄は、竹虎のメイド喫茶への潜入は、落合建夫(橋爪遼)が絡んでいるからだろうと話していたという。落合という名前に、藤木小次郎(藤木直人)は誰よりも反応する。後日、竹虎と小次郎は、メアリ―とデ―トをすることになった白豚を尾行する。メアリ―が失踪事件の有力な情報を持っているかもしれないからだ。そこへランドセルを背負ったメアリ―がやってくる。驚く白豚が年齢を尋ねると、なんと小学6年生だという。そんなメアリ―のところへメイド喫茶の店長岩城(青木伸輔)から電話が入る。仕事を頼みたいという岩城に彼女は喜んで応じる。メアリ―との電話の後、岩城は別室で待たせていた美月の元に来ると、もっとお金が欲しくないかと尋ねる。岩城が裏で何をしているのか感づいた美月は竹虎を呼び出し、メイド喫茶に乗り込むが…。数日後、白豚にメアリ―から泣きながら電話が入る。白豚がメアリ―の元に駆けつけると…。</v>
      </c>
      <c r="N1913" s="2"/>
      <c r="O1913" s="2"/>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row>
    <row r="1914" ht="204.75" customHeight="1">
      <c r="A1914" s="1">
        <v>5658.0</v>
      </c>
      <c r="B1914" s="2" t="s">
        <v>6073</v>
      </c>
      <c r="C1914" s="2">
        <f>IFERROR(__xludf.DUMMYFUNCTION("split(B1914,""_"")"),807.0)</f>
        <v>807</v>
      </c>
      <c r="D1914" s="2" t="str">
        <f>IFERROR(__xludf.DUMMYFUNCTION("""COMPUTED_VALUE"""),"CX")</f>
        <v>CX</v>
      </c>
      <c r="E1914" s="2" t="str">
        <f>IFERROR(__xludf.DUMMYFUNCTION("""COMPUTED_VALUE"""),"火21")</f>
        <v>火21</v>
      </c>
      <c r="F1914" s="2" t="s">
        <v>6074</v>
      </c>
      <c r="G1914" s="2" t="s">
        <v>6090</v>
      </c>
      <c r="H1914" s="1">
        <v>6.0</v>
      </c>
      <c r="I1914" s="1" t="s">
        <v>21</v>
      </c>
      <c r="J1914" s="1" t="s">
        <v>11</v>
      </c>
      <c r="K1914" s="2" t="s">
        <v>6091</v>
      </c>
      <c r="L1914" s="11" t="s">
        <v>6092</v>
      </c>
      <c r="M1914" s="2" t="str">
        <f>IFERROR(__xludf.DUMMYFUNCTION("split(split(K1914,""小池徹平   "",false),""公式LINE"",false)"),"柴田竹虎(小池徹平)は、千葉さくら(真矢みき)からメイド喫茶で働く小中学生に売春を斡旋していた落合建夫(橋爪遼)について聞かれる。落合は、竹虎の父とさくらの妹・ゆり(原田佳奈)を殺した犯人。竹虎の同級生でもある。竹虎は、2人が高校で知り合い意気投合したが、やがてそりが合わなくなったと話す。するとさくらは、落合が失踪中の生島透子(志田菜々子)と最後に通話した人物だと明かす。竹虎は、透子の事件の再調査のため、新庄徹(宮川大輔)と組んでメイド喫茶へと向かう。  藤木小次郎(藤木直人)が白豚(塚地武雅)や宝生美月"&amp;"(大後寿々花)と古着店にいると、竹虎あてに電話が入る。小次郎が受けると電話の男は「また誰か殺されたくなければ、これ以上、俺の邪魔をするな」と冷徹に言う。それが落合だと確信した小次郎は、竹虎に落合に関わるなと忠告するが、竹虎は聞き入れない。  後日、竹虎は古着店の外で小次郎と出くわす。小次郎は昨日、店の前に落合がいたこと、一瞬、見ただけで落合が根っからの悪人だと感じたということを話す。そして、もう誰かが傷つく姿を見たくないと言い去っていく。  2人のやりとりを見ていた美月は店に戻った竹虎に、小次郎は恋人のゆ"&amp;"りを失った悲しみが大きいんだろうと話しながらひとつの疑問を口にする。竹虎の父が落合に撃たれた日、ゆりはなぜ襲撃現場に行ったのか、と。すると、竹虎は自分のせいだと言い、事件を語り始める…。")</f>
        <v>柴田竹虎(小池徹平)は、千葉さくら(真矢みき)からメイド喫茶で働く小中学生に売春を斡旋していた落合建夫(橋爪遼)について聞かれる。落合は、竹虎の父とさくらの妹・ゆり(原田佳奈)を殺した犯人。竹虎の同級生でもある。竹虎は、2人が高校で知り合い意気投合したが、やがてそりが合わなくなったと話す。するとさくらは、落合が失踪中の生島透子(志田菜々子)と最後に通話した人物だと明かす。竹虎は、透子の事件の再調査のため、新庄徹(宮川大輔)と組んでメイド喫茶へと向かう。  藤木小次郎(藤木直人)が白豚(塚地武雅)や宝生美月(大後寿々花)と古着店にいると、竹虎あてに電話が入る。小次郎が受けると電話の男は「また誰か殺されたくなければ、これ以上、俺の邪魔をするな」と冷徹に言う。それが落合だと確信した小次郎は、竹虎に落合に関わるなと忠告するが、竹虎は聞き入れない。  後日、竹虎は古着店の外で小次郎と出くわす。小次郎は昨日、店の前に落合がいたこと、一瞬、見ただけで落合が根っからの悪人だと感じたということを話す。そして、もう誰かが傷つく姿を見たくないと言い去っていく。  2人のやりとりを見ていた美月は店に戻った竹虎に、小次郎は恋人のゆりを失った悲しみが大きいんだろうと話しながらひとつの疑問を口にする。竹虎の父が落合に撃たれた日、ゆりはなぜ襲撃現場に行ったのか、と。すると、竹虎は自分のせいだと言い、事件を語り始める…。</v>
      </c>
      <c r="N1914" s="2"/>
      <c r="O1914" s="2"/>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row>
    <row r="1915" ht="204.75" customHeight="1">
      <c r="A1915" s="1">
        <v>5659.0</v>
      </c>
      <c r="B1915" s="2" t="s">
        <v>6073</v>
      </c>
      <c r="C1915" s="2">
        <f>IFERROR(__xludf.DUMMYFUNCTION("split(B1915,""_"")"),807.0)</f>
        <v>807</v>
      </c>
      <c r="D1915" s="2" t="str">
        <f>IFERROR(__xludf.DUMMYFUNCTION("""COMPUTED_VALUE"""),"CX")</f>
        <v>CX</v>
      </c>
      <c r="E1915" s="2" t="str">
        <f>IFERROR(__xludf.DUMMYFUNCTION("""COMPUTED_VALUE"""),"火21")</f>
        <v>火21</v>
      </c>
      <c r="F1915" s="2" t="s">
        <v>6074</v>
      </c>
      <c r="G1915" s="2" t="s">
        <v>6093</v>
      </c>
      <c r="H1915" s="1">
        <v>7.0</v>
      </c>
      <c r="I1915" s="1" t="s">
        <v>25</v>
      </c>
      <c r="J1915" s="1" t="s">
        <v>11</v>
      </c>
      <c r="K1915" s="2" t="s">
        <v>6094</v>
      </c>
      <c r="L1915" s="11" t="s">
        <v>6095</v>
      </c>
      <c r="M1915" s="2" t="str">
        <f>IFERROR(__xludf.DUMMYFUNCTION("split(split(K1915,""小池徹平   "",false),""公式LINE"",false)"),"柴田竹虎(小池徹平)は千葉さくら(真矢みき)から、中高生に流行している覚せい剤入りキャンディ―の捜査を命じられる。竹虎が、中高生が覚せい剤に手を出していることにピンと来ないと言うと、さくらは竹虎を取調室に連れていく。そこでは、新庄徹(宮川大輔)が17歳の生野弥生(大平奈津美)を取り調べていた。竹虎が話しかけると弥生は、自分を殺すつもりなんだろうと、尋常ではない様子を見せる。そして飲めば苦しくない「アレ」を飲みたいからここから出してくれと訴える。そんな弥生にさくらは帰宅を許可、同時に竹虎に尾行を命じる。弥生"&amp;"がやってきたのは「サティスファクション」という女子高生に人気のショップだった。店内には宝生美月(大後寿々花)、藤木小次郎(藤木直人)、白豚(塚地武雅)の姿があった。そんな中、弥生は店長(弓削智久)に「アレ」をくれとせがむが白を切られる。そのうち押し問答となり弥生は興奮状態で床に倒れ込む。　後日、竹虎と美月が店を訪れると店長が声をかけてくる。美月はキャンディ―以上に刺激のあるものが欲しいと言い、さらに、友達が世話になっている事務所を紹介してほしいと頼む。すると店長は、ある芸能事務所の名刺を渡す。事務所を訪ね"&amp;"た竹虎と美月にスタッフは、テレビに出るにはダイエットが必要だと、ダイエット食品を手渡す。覚せい剤が入っていると思われる食品を手に事務所を出ると、突然、少年たちに取り囲まれ…。")</f>
        <v>柴田竹虎(小池徹平)は千葉さくら(真矢みき)から、中高生に流行している覚せい剤入りキャンディ―の捜査を命じられる。竹虎が、中高生が覚せい剤に手を出していることにピンと来ないと言うと、さくらは竹虎を取調室に連れていく。そこでは、新庄徹(宮川大輔)が17歳の生野弥生(大平奈津美)を取り調べていた。竹虎が話しかけると弥生は、自分を殺すつもりなんだろうと、尋常ではない様子を見せる。そして飲めば苦しくない「アレ」を飲みたいからここから出してくれと訴える。そんな弥生にさくらは帰宅を許可、同時に竹虎に尾行を命じる。弥生がやってきたのは「サティスファクション」という女子高生に人気のショップだった。店内には宝生美月(大後寿々花)、藤木小次郎(藤木直人)、白豚(塚地武雅)の姿があった。そんな中、弥生は店長(弓削智久)に「アレ」をくれとせがむが白を切られる。そのうち押し問答となり弥生は興奮状態で床に倒れ込む。　後日、竹虎と美月が店を訪れると店長が声をかけてくる。美月はキャンディ―以上に刺激のあるものが欲しいと言い、さらに、友達が世話になっている事務所を紹介してほしいと頼む。すると店長は、ある芸能事務所の名刺を渡す。事務所を訪ねた竹虎と美月にスタッフは、テレビに出るにはダイエットが必要だと、ダイエット食品を手渡す。覚せい剤が入っていると思われる食品を手に事務所を出ると、突然、少年たちに取り囲まれ…。</v>
      </c>
      <c r="N1915" s="2"/>
      <c r="O1915" s="2"/>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row>
    <row r="1916" ht="204.75" customHeight="1">
      <c r="A1916" s="1">
        <v>5660.0</v>
      </c>
      <c r="B1916" s="2" t="s">
        <v>6073</v>
      </c>
      <c r="C1916" s="2">
        <f>IFERROR(__xludf.DUMMYFUNCTION("split(B1916,""_"")"),807.0)</f>
        <v>807</v>
      </c>
      <c r="D1916" s="2" t="str">
        <f>IFERROR(__xludf.DUMMYFUNCTION("""COMPUTED_VALUE"""),"CX")</f>
        <v>CX</v>
      </c>
      <c r="E1916" s="2" t="str">
        <f>IFERROR(__xludf.DUMMYFUNCTION("""COMPUTED_VALUE"""),"火21")</f>
        <v>火21</v>
      </c>
      <c r="F1916" s="2" t="s">
        <v>6074</v>
      </c>
      <c r="G1916" s="2" t="s">
        <v>6096</v>
      </c>
      <c r="H1916" s="1">
        <v>8.0</v>
      </c>
      <c r="I1916" s="1" t="s">
        <v>29</v>
      </c>
      <c r="J1916" s="1" t="s">
        <v>11</v>
      </c>
      <c r="K1916" s="2" t="s">
        <v>6097</v>
      </c>
      <c r="L1916" s="11" t="s">
        <v>6098</v>
      </c>
      <c r="M1916" s="2" t="str">
        <f>IFERROR(__xludf.DUMMYFUNCTION("split(split(K1916,""小池徹平   "",false),""公式LINE"",false)"),"柴田竹虎(小池徹平)は町田リカ(末永遥)と共に樹海に連れて来られると、竹虎らを拘束した芸能事務所の男たちが掘った穴に埋められてしまう。同じ頃、宝生美月(大後寿々花)は対峙する落合建夫(橋爪遼)から竹虎が命の危機に瀕していると聞かされる。また、暴行され倒れていた藤木小次郎(藤木直人)と白豚(塚地武雅)は意識を取り戻す。竹虎の居場所の手がかりを得たい小次郎らは、芸能事務所に忍び込み捜索をする。そこへ新庄徹(宮川大輔)がやってくる。いらついた態度で何をしているのかと聞く新庄に、美月は警察が竹虎の捜索をしないから"&amp;"自分たちで探しているのだと怒りをあらわにする。その後、持ち帰った資料を調べていた美月が、ある工場の領収書を見つけ出す。美月は出かけていた小次郎に電話をし、住所を告げる。小次郎と白豚は、事件の黒幕と思われる芸能事務所の代表・金井正紀(木幡竜)がいると聞いたプ―ルバ―に来ていた。ところが現れたのはへルタ―スケルタ―で、小次郎らは再び襲われる。小次郎たちをはめた金井らが、とあるマンションで高飛び計画を練っているとそこに血だらけの小次郎が現れる。突然の来訪に驚く金井らを、小次郎は全身に怒りをみなぎらせ殴り倒し、つ"&amp;"いに、竹虎の居場所を聞きだす。古着店に戻った小次郎が、負傷した白豚を残し、美月とともに竹虎の救出に向かおうとすると、千葉さくら(真矢みき)が現れて…。")</f>
        <v>柴田竹虎(小池徹平)は町田リカ(末永遥)と共に樹海に連れて来られると、竹虎らを拘束した芸能事務所の男たちが掘った穴に埋められてしまう。同じ頃、宝生美月(大後寿々花)は対峙する落合建夫(橋爪遼)から竹虎が命の危機に瀕していると聞かされる。また、暴行され倒れていた藤木小次郎(藤木直人)と白豚(塚地武雅)は意識を取り戻す。竹虎の居場所の手がかりを得たい小次郎らは、芸能事務所に忍び込み捜索をする。そこへ新庄徹(宮川大輔)がやってくる。いらついた態度で何をしているのかと聞く新庄に、美月は警察が竹虎の捜索をしないから自分たちで探しているのだと怒りをあらわにする。その後、持ち帰った資料を調べていた美月が、ある工場の領収書を見つけ出す。美月は出かけていた小次郎に電話をし、住所を告げる。小次郎と白豚は、事件の黒幕と思われる芸能事務所の代表・金井正紀(木幡竜)がいると聞いたプ―ルバ―に来ていた。ところが現れたのはへルタ―スケルタ―で、小次郎らは再び襲われる。小次郎たちをはめた金井らが、とあるマンションで高飛び計画を練っているとそこに血だらけの小次郎が現れる。突然の来訪に驚く金井らを、小次郎は全身に怒りをみなぎらせ殴り倒し、ついに、竹虎の居場所を聞きだす。古着店に戻った小次郎が、負傷した白豚を残し、美月とともに竹虎の救出に向かおうとすると、千葉さくら(真矢みき)が現れて…。</v>
      </c>
      <c r="N1916" s="2"/>
      <c r="O1916" s="2"/>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row>
    <row r="1917" ht="204.75" customHeight="1">
      <c r="A1917" s="1">
        <v>5661.0</v>
      </c>
      <c r="B1917" s="2" t="s">
        <v>6073</v>
      </c>
      <c r="C1917" s="2">
        <f>IFERROR(__xludf.DUMMYFUNCTION("split(B1917,""_"")"),807.0)</f>
        <v>807</v>
      </c>
      <c r="D1917" s="2" t="str">
        <f>IFERROR(__xludf.DUMMYFUNCTION("""COMPUTED_VALUE"""),"CX")</f>
        <v>CX</v>
      </c>
      <c r="E1917" s="2" t="str">
        <f>IFERROR(__xludf.DUMMYFUNCTION("""COMPUTED_VALUE"""),"火21")</f>
        <v>火21</v>
      </c>
      <c r="F1917" s="2" t="s">
        <v>6074</v>
      </c>
      <c r="G1917" s="2" t="s">
        <v>6099</v>
      </c>
      <c r="H1917" s="1">
        <v>9.0</v>
      </c>
      <c r="I1917" s="1" t="s">
        <v>33</v>
      </c>
      <c r="J1917" s="1" t="s">
        <v>11</v>
      </c>
      <c r="K1917" s="2" t="s">
        <v>6100</v>
      </c>
      <c r="L1917" s="11" t="s">
        <v>6101</v>
      </c>
      <c r="M1917" s="2" t="str">
        <f>IFERROR(__xludf.DUMMYFUNCTION("split(split(K1917,""小池徹平   "",false),""公式LINE"",false)"),"柴田竹虎(小池徹平)は千葉さくら(真矢みき)と対峙すると、落合建夫(橋爪遼)が事件を起こす目的を「誰も信じられない世界を創ること」だと報告。さくらは竹虎に、落合が服役した少年刑務所に現れる映像を見せ、刑務所にいる仲間が落合の目的に関係があるかもしれないと話す。それを聞いた竹虎は、刑務所への潜入捜査を願い出る。  　後日、竹虎はさくらから落合が面会したのは若林(杉浦太雄)という男で、竹虎と同部屋になるよう手配したと聞かされる。そして、竹虎の潜入捜査が始まる。  　潜入の件を聞いた藤木小次郎(藤木直人)は、宝"&amp;"生美月(大後寿々花)、白豚(塚地武雅)に報告。役に立ちたいと、独自に落合を追うことを決める。  　その頃、竹虎は誰が若林か探ろうとするが受刑者は番号で呼ばれるため見つけ出せない。さらに、新入りということで激しい暴行を受けたりしていた。  　ある日、ある受刑者が、看守・小杉(大河内浩)に警棒で叩かれる。受刑者は謝るが、小杉は激高し叩き続ける。行き過ぎの暴力を見過ごせない竹虎が止めに行こうとすると、何者かにそれを制される。“鬼神事件""の主犯として服役中の河東学人(大東俊介)だった。河東によれば、小杉は受刑者"&amp;"を人間だと思っておらず、狙われたら独房に入れられひどい暴力を受けることになるという。しかも、若林へのいじめはすさまじく、いつか若林がキレて小杉を殺すのではないかと噂になっていると言う。")</f>
        <v>柴田竹虎(小池徹平)は千葉さくら(真矢みき)と対峙すると、落合建夫(橋爪遼)が事件を起こす目的を「誰も信じられない世界を創ること」だと報告。さくらは竹虎に、落合が服役した少年刑務所に現れる映像を見せ、刑務所にいる仲間が落合の目的に関係があるかもしれないと話す。それを聞いた竹虎は、刑務所への潜入捜査を願い出る。  　後日、竹虎はさくらから落合が面会したのは若林(杉浦太雄)という男で、竹虎と同部屋になるよう手配したと聞かされる。そして、竹虎の潜入捜査が始まる。  　潜入の件を聞いた藤木小次郎(藤木直人)は、宝生美月(大後寿々花)、白豚(塚地武雅)に報告。役に立ちたいと、独自に落合を追うことを決める。  　その頃、竹虎は誰が若林か探ろうとするが受刑者は番号で呼ばれるため見つけ出せない。さらに、新入りということで激しい暴行を受けたりしていた。  　ある日、ある受刑者が、看守・小杉(大河内浩)に警棒で叩かれる。受刑者は謝るが、小杉は激高し叩き続ける。行き過ぎの暴力を見過ごせない竹虎が止めに行こうとすると、何者かにそれを制される。“鬼神事件"の主犯として服役中の河東学人(大東俊介)だった。河東によれば、小杉は受刑者を人間だと思っておらず、狙われたら独房に入れられひどい暴力を受けることになるという。しかも、若林へのいじめはすさまじく、いつか若林がキレて小杉を殺すのではないかと噂になっていると言う。</v>
      </c>
      <c r="N1917" s="2"/>
      <c r="O1917" s="2"/>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row>
    <row r="1918" ht="204.75" customHeight="1">
      <c r="A1918" s="1">
        <v>5662.0</v>
      </c>
      <c r="B1918" s="2" t="s">
        <v>6073</v>
      </c>
      <c r="C1918" s="2">
        <f>IFERROR(__xludf.DUMMYFUNCTION("split(B1918,""_"")"),807.0)</f>
        <v>807</v>
      </c>
      <c r="D1918" s="2" t="str">
        <f>IFERROR(__xludf.DUMMYFUNCTION("""COMPUTED_VALUE"""),"CX")</f>
        <v>CX</v>
      </c>
      <c r="E1918" s="2" t="str">
        <f>IFERROR(__xludf.DUMMYFUNCTION("""COMPUTED_VALUE"""),"火21")</f>
        <v>火21</v>
      </c>
      <c r="F1918" s="2" t="s">
        <v>6074</v>
      </c>
      <c r="G1918" s="2" t="s">
        <v>6102</v>
      </c>
      <c r="H1918" s="1">
        <v>10.0</v>
      </c>
      <c r="I1918" s="1" t="s">
        <v>37</v>
      </c>
      <c r="J1918" s="1" t="s">
        <v>11</v>
      </c>
      <c r="K1918" s="2" t="s">
        <v>6103</v>
      </c>
      <c r="L1918" s="11" t="s">
        <v>6104</v>
      </c>
      <c r="M1918" s="2" t="str">
        <f>IFERROR(__xludf.DUMMYFUNCTION("split(split(K1918,""小池徹平   "",false),""公式LINE"",false)"),"柴田竹虎(小池徹平)は、少年刑務所の服役囚・伊能孝義(姜暢雄)らの脱獄計画について明かされる。伊能らは脱獄後、落合建夫(橋爪遼)と会う段取りになっているとも話し、結局、竹虎も計画に参加することに。  　その頃、宝生美月(大後寿々花)は、一命は取り留めたものの意識が戻らない白豚(塚地武雅)の病室にいた。  　また、藤木小次郎(藤木直人)は、千葉さくら(真矢みき)に呼び出され白豚の事件についての事情聴取を受けていた。落合の犯行だと確信するものの証拠がない小次郎は、いらだちを隠せない。  　翌日、竹虎は河東学人"&amp;"(大東俊介)から、実は伊能が「鬼神」かもしれないと聞かされる。河東は「鬼神」として捕まったが、実は河東が名乗る前から「鬼神」は存在しており、そのオリジナルが伊能かもしれないというのだ。  　同じ日の夕方、伊能らは明日決行する脱獄について話し合っていた。そんな折、看守から明後日の予定だった外壁の工事が明日に変更になったと聞かされる。工事が入れば、壁に開けた脱出用の穴が見つかってしまう。となれば、今夜しかない。しかし、外塀を乗り越えるために必要なカマは、明日の農作業中に盗む手はずとなっている。そこで、食中毒を"&amp;"装い医務室に運ばれた竹虎と若林(杉浦太雄)が、カマの代用品を物色することに。竹虎が見事に代用品を持ち帰り、いよいよ脱獄が始まる――。")</f>
        <v>柴田竹虎(小池徹平)は、少年刑務所の服役囚・伊能孝義(姜暢雄)らの脱獄計画について明かされる。伊能らは脱獄後、落合建夫(橋爪遼)と会う段取りになっているとも話し、結局、竹虎も計画に参加することに。  　その頃、宝生美月(大後寿々花)は、一命は取り留めたものの意識が戻らない白豚(塚地武雅)の病室にいた。  　また、藤木小次郎(藤木直人)は、千葉さくら(真矢みき)に呼び出され白豚の事件についての事情聴取を受けていた。落合の犯行だと確信するものの証拠がない小次郎は、いらだちを隠せない。  　翌日、竹虎は河東学人(大東俊介)から、実は伊能が「鬼神」かもしれないと聞かされる。河東は「鬼神」として捕まったが、実は河東が名乗る前から「鬼神」は存在しており、そのオリジナルが伊能かもしれないというのだ。  　同じ日の夕方、伊能らは明日決行する脱獄について話し合っていた。そんな折、看守から明後日の予定だった外壁の工事が明日に変更になったと聞かされる。工事が入れば、壁に開けた脱出用の穴が見つかってしまう。となれば、今夜しかない。しかし、外塀を乗り越えるために必要なカマは、明日の農作業中に盗む手はずとなっている。そこで、食中毒を装い医務室に運ばれた竹虎と若林(杉浦太雄)が、カマの代用品を物色することに。竹虎が見事に代用品を持ち帰り、いよいよ脱獄が始まる――。</v>
      </c>
      <c r="N1918" s="2"/>
      <c r="O1918" s="2"/>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row>
    <row r="1919" ht="204.75" customHeight="1">
      <c r="A1919" s="1">
        <v>5663.0</v>
      </c>
      <c r="B1919" s="2" t="s">
        <v>6073</v>
      </c>
      <c r="C1919" s="2">
        <f>IFERROR(__xludf.DUMMYFUNCTION("split(B1919,""_"")"),807.0)</f>
        <v>807</v>
      </c>
      <c r="D1919" s="2" t="str">
        <f>IFERROR(__xludf.DUMMYFUNCTION("""COMPUTED_VALUE"""),"CX")</f>
        <v>CX</v>
      </c>
      <c r="E1919" s="2" t="str">
        <f>IFERROR(__xludf.DUMMYFUNCTION("""COMPUTED_VALUE"""),"火21")</f>
        <v>火21</v>
      </c>
      <c r="F1919" s="2" t="s">
        <v>6074</v>
      </c>
      <c r="G1919" s="2" t="s">
        <v>6105</v>
      </c>
      <c r="H1919" s="1">
        <v>11.0</v>
      </c>
      <c r="I1919" s="1" t="s">
        <v>41</v>
      </c>
      <c r="J1919" s="1" t="s">
        <v>11</v>
      </c>
      <c r="K1919" s="2" t="s">
        <v>6106</v>
      </c>
      <c r="L1919" s="11" t="s">
        <v>6107</v>
      </c>
      <c r="M1919" s="2" t="str">
        <f>IFERROR(__xludf.DUMMYFUNCTION("split(split(K1919,""小池徹平   "",false),""公式LINE"",false)"),"柴田竹虎(小池徹平)は落合建夫(橋爪遼)の胸に刺さったナイフの柄に付いていた紙を開く。そこには「鬼神が復讐の裁きを下す」というメッセ―ジが書かれていた。そこへ新庄徹(宮川大輔)が来て竹虎が落合を殺したのではと疑いの目を向ける。竹虎が鬼神のメッセ―ジを見せても信じてもらえず、結局、警察に連行される。するとそのとき、竹虎は床に羽根が落ちているのに気づく。  　警察に向かう車の中で竹虎は、新庄から藤木小次郎(藤木直人)が白豚(塚地武雅)の事件で拘留されていること、千葉さくら(真矢みき)も竹虎の潜入捜査の責任を取"&amp;"って拘束されていることを聞く。そんな時、通りかかったビルのデッキに宝生美月(大後寿々花)がいるのを新庄が見つけるが、竹虎は、美月の体に死神の手がまとわりついているのが見えてしまう。そこへ竹虎の携帯に楠木裕二(川野直輝)から「鬼神メ―ル」が届いたと連絡が入る。メ―ルには、今夜7時23分に鬼神が美月に死の制裁を下すと書かれているという。すると新庄が突然、竹虎の携帯を取り上げ、ストラップの羽根が落合殺害の現場に落ちていたものと同じだと指摘。竹虎は、携帯を奪い返すと車を飛び出し、走り去る。  　古着店に戻るが刑事"&amp;"らが張り込んでいて中に入れない竹虎は、物陰に隠れて携帯を取り出す。そこについた羽根は、白豚が作ったオリジナルで竹虎、美月、小次郎、さくら、白豚、鮎川環(南明奈)に渡されたものなのだ。")</f>
        <v>柴田竹虎(小池徹平)は落合建夫(橋爪遼)の胸に刺さったナイフの柄に付いていた紙を開く。そこには「鬼神が復讐の裁きを下す」というメッセ―ジが書かれていた。そこへ新庄徹(宮川大輔)が来て竹虎が落合を殺したのではと疑いの目を向ける。竹虎が鬼神のメッセ―ジを見せても信じてもらえず、結局、警察に連行される。するとそのとき、竹虎は床に羽根が落ちているのに気づく。  　警察に向かう車の中で竹虎は、新庄から藤木小次郎(藤木直人)が白豚(塚地武雅)の事件で拘留されていること、千葉さくら(真矢みき)も竹虎の潜入捜査の責任を取って拘束されていることを聞く。そんな時、通りかかったビルのデッキに宝生美月(大後寿々花)がいるのを新庄が見つけるが、竹虎は、美月の体に死神の手がまとわりついているのが見えてしまう。そこへ竹虎の携帯に楠木裕二(川野直輝)から「鬼神メ―ル」が届いたと連絡が入る。メ―ルには、今夜7時23分に鬼神が美月に死の制裁を下すと書かれているという。すると新庄が突然、竹虎の携帯を取り上げ、ストラップの羽根が落合殺害の現場に落ちていたものと同じだと指摘。竹虎は、携帯を奪い返すと車を飛び出し、走り去る。  　古着店に戻るが刑事らが張り込んでいて中に入れない竹虎は、物陰に隠れて携帯を取り出す。そこについた羽根は、白豚が作ったオリジナルで竹虎、美月、小次郎、さくら、白豚、鮎川環(南明奈)に渡されたものなのだ。</v>
      </c>
      <c r="N1919" s="2"/>
      <c r="O1919" s="2"/>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row>
    <row r="1920" ht="204.75" customHeight="1">
      <c r="A1920" s="1">
        <v>5737.0</v>
      </c>
      <c r="B1920" s="2" t="s">
        <v>6108</v>
      </c>
      <c r="C1920" s="2">
        <f>IFERROR(__xludf.DUMMYFUNCTION("split(B1920,""_"")"),807.0)</f>
        <v>807</v>
      </c>
      <c r="D1920" s="2" t="str">
        <f>IFERROR(__xludf.DUMMYFUNCTION("""COMPUTED_VALUE"""),"CX")</f>
        <v>CX</v>
      </c>
      <c r="E1920" s="2" t="str">
        <f>IFERROR(__xludf.DUMMYFUNCTION("""COMPUTED_VALUE"""),"土23")</f>
        <v>土23</v>
      </c>
      <c r="F1920" s="2" t="s">
        <v>5747</v>
      </c>
      <c r="G1920" s="2" t="s">
        <v>6109</v>
      </c>
      <c r="H1920" s="1">
        <v>1.0</v>
      </c>
      <c r="I1920" s="1" t="s">
        <v>3</v>
      </c>
      <c r="J1920" s="1" t="s">
        <v>2429</v>
      </c>
      <c r="K1920" s="4" t="s">
        <v>6110</v>
      </c>
      <c r="L1920" s="11" t="s">
        <v>6111</v>
      </c>
      <c r="M1920" s="2" t="str">
        <f>IFERROR(__xludf.DUMMYFUNCTION("split(split(K1920,""堂本剛    "",false),""公式LINE"",false)"),"鞍馬六郎(堂本剛)探偵事務所に大田原警部(高橋克実)が駆け込んできた。大田原の部下、茂木刑事(戸次重幸)の結婚式に出席していたところ、隣の式場で新婦の吉沢京子(井上佳子)が殺害される事件が起きたのだ。が、六郎は「探してください」との置手紙を残して失踪中。大田原は六郎の代わりに、助手の武藤リカコ(水川あさみ)と共に現場に向かう。  　するとそこには、京子の死体を前に手を合わせる六郎の姿がすでにあった。そのかたわらでは式を挙げていた茂木が京子の着付け係の双子の女性に聞きこみをしており、その結果、双子はナイフを"&amp;"持って返り血を浴びた男が部屋から去る姿を目撃していたということがわかる。  　直後、血だらけでナイフを持った男・山口(山本雅幸)が連行されてきた。一件落着とばかりに、山口を逮捕しようとする大田原。そこへ「果たしてそうでしょうか」という六郎の声が響く。六郎の助手のリカコはまた始まった…とあきらめ気味。「この簡単な事件、俺が33分もたせてやる!」という六郎の一言で周囲には緊張が走るのだった。")</f>
        <v>鞍馬六郎(堂本剛)探偵事務所に大田原警部(高橋克実)が駆け込んできた。大田原の部下、茂木刑事(戸次重幸)の結婚式に出席していたところ、隣の式場で新婦の吉沢京子(井上佳子)が殺害される事件が起きたのだ。が、六郎は「探してください」との置手紙を残して失踪中。大田原は六郎の代わりに、助手の武藤リカコ(水川あさみ)と共に現場に向かう。  　するとそこには、京子の死体を前に手を合わせる六郎の姿がすでにあった。そのかたわらでは式を挙げていた茂木が京子の着付け係の双子の女性に聞きこみをしており、その結果、双子はナイフを持って返り血を浴びた男が部屋から去る姿を目撃していたということがわかる。  　直後、血だらけでナイフを持った男・山口(山本雅幸)が連行されてきた。一件落着とばかりに、山口を逮捕しようとする大田原。そこへ「果たしてそうでしょうか」という六郎の声が響く。六郎の助手のリカコはまた始まった…とあきらめ気味。「この簡単な事件、俺が33分もたせてやる!」という六郎の一言で周囲には緊張が走るのだった。</v>
      </c>
      <c r="N1920" s="2"/>
      <c r="O1920" s="2"/>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row>
    <row r="1921" ht="204.75" customHeight="1">
      <c r="A1921" s="1">
        <v>5738.0</v>
      </c>
      <c r="B1921" s="2" t="s">
        <v>6108</v>
      </c>
      <c r="C1921" s="2">
        <f>IFERROR(__xludf.DUMMYFUNCTION("split(B1921,""_"")"),807.0)</f>
        <v>807</v>
      </c>
      <c r="D1921" s="2" t="str">
        <f>IFERROR(__xludf.DUMMYFUNCTION("""COMPUTED_VALUE"""),"CX")</f>
        <v>CX</v>
      </c>
      <c r="E1921" s="2" t="str">
        <f>IFERROR(__xludf.DUMMYFUNCTION("""COMPUTED_VALUE"""),"土23")</f>
        <v>土23</v>
      </c>
      <c r="F1921" s="2" t="s">
        <v>5747</v>
      </c>
      <c r="G1921" s="2" t="s">
        <v>6112</v>
      </c>
      <c r="H1921" s="1">
        <v>2.0</v>
      </c>
      <c r="I1921" s="1" t="s">
        <v>7</v>
      </c>
      <c r="J1921" s="1" t="s">
        <v>6113</v>
      </c>
      <c r="K1921" s="2" t="s">
        <v>6114</v>
      </c>
      <c r="L1921" s="11" t="s">
        <v>6115</v>
      </c>
      <c r="M1921" s="2" t="str">
        <f>IFERROR(__xludf.DUMMYFUNCTION("split(split(K1921,""堂本剛    "",false),""公式LINE"",false)"),"鞍馬六郎(堂本剛)とリカコ(水川あさみ)は大田原警部(高橋克実)の依頼を受け、差出人不明の脅迫状が届き別荘へ避難しているおもちゃメ―カ―・宇宙堂の権藤社長(山田明郷)の警護のために富士見湖に向かった。  　3人が自室にこもる権藤に挨拶を済ませ、茂木(戸次重幸)、権藤の妻・美沙子(宮田早苗)、秘書の小宮山(飯田基祐)、お手伝いの吉田(片岡富枝)と食事をしようとしたその時、窓越しに首を吊っている権藤を発見した庭師の木島(春海四方)の悲鳴が響き渡った。外部からの侵入者がなかったことや遺書があったことから自殺と断"&amp;"定する大田原だが、六郎はまたしても事件を33分もたせると宣言する。  　強引な仮説とまったく根拠のない美沙子との不倫疑惑を訴え、小宮山に容疑をかける六郎。案の定、一蹴されてしまうが六郎たちが情報収集に駆け回っていた頃、小宮山は誰かに電話で権藤の死を報告、美沙子は1人倉庫に入り置いてあるロ―プを見つめていた…。  　そんな中、木島が元エリ―トで権藤によって別荘番にさせられたという情報を得た六郎は、木島がペットの犬のゴロ―や九官鳥にビックリ芸を教え込み権藤を殺害したと推理を唱えるが…。  　その後、鑑識官(佐"&amp;"藤二朗)から使用されたロ―プの強度が弱いこととロ―プからある人物の指紋が検出されたこと、また情報屋(小島よしお)からは権藤を疎ましく思っていた社員がいることを聞いた六郎は…。")</f>
        <v>鞍馬六郎(堂本剛)とリカコ(水川あさみ)は大田原警部(高橋克実)の依頼を受け、差出人不明の脅迫状が届き別荘へ避難しているおもちゃメ―カ―・宇宙堂の権藤社長(山田明郷)の警護のために富士見湖に向かった。  　3人が自室にこもる権藤に挨拶を済ませ、茂木(戸次重幸)、権藤の妻・美沙子(宮田早苗)、秘書の小宮山(飯田基祐)、お手伝いの吉田(片岡富枝)と食事をしようとしたその時、窓越しに首を吊っている権藤を発見した庭師の木島(春海四方)の悲鳴が響き渡った。外部からの侵入者がなかったことや遺書があったことから自殺と断定する大田原だが、六郎はまたしても事件を33分もたせると宣言する。  　強引な仮説とまったく根拠のない美沙子との不倫疑惑を訴え、小宮山に容疑をかける六郎。案の定、一蹴されてしまうが六郎たちが情報収集に駆け回っていた頃、小宮山は誰かに電話で権藤の死を報告、美沙子は1人倉庫に入り置いてあるロ―プを見つめていた…。  　そんな中、木島が元エリ―トで権藤によって別荘番にさせられたという情報を得た六郎は、木島がペットの犬のゴロ―や九官鳥にビックリ芸を教え込み権藤を殺害したと推理を唱えるが…。  　その後、鑑識官(佐藤二朗)から使用されたロ―プの強度が弱いこととロ―プからある人物の指紋が検出されたこと、また情報屋(小島よしお)からは権藤を疎ましく思っていた社員がいることを聞いた六郎は…。</v>
      </c>
      <c r="N1921" s="2"/>
      <c r="O1921" s="2"/>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row>
    <row r="1922" ht="204.75" customHeight="1">
      <c r="A1922" s="1">
        <v>5739.0</v>
      </c>
      <c r="B1922" s="2" t="s">
        <v>6108</v>
      </c>
      <c r="C1922" s="2">
        <f>IFERROR(__xludf.DUMMYFUNCTION("split(B1922,""_"")"),807.0)</f>
        <v>807</v>
      </c>
      <c r="D1922" s="2" t="str">
        <f>IFERROR(__xludf.DUMMYFUNCTION("""COMPUTED_VALUE"""),"CX")</f>
        <v>CX</v>
      </c>
      <c r="E1922" s="2" t="str">
        <f>IFERROR(__xludf.DUMMYFUNCTION("""COMPUTED_VALUE"""),"土23")</f>
        <v>土23</v>
      </c>
      <c r="F1922" s="2" t="s">
        <v>5747</v>
      </c>
      <c r="G1922" s="2" t="s">
        <v>6116</v>
      </c>
      <c r="H1922" s="1">
        <v>3.0</v>
      </c>
      <c r="I1922" s="1" t="s">
        <v>10</v>
      </c>
      <c r="J1922" s="1" t="s">
        <v>2429</v>
      </c>
      <c r="K1922" s="2" t="s">
        <v>6117</v>
      </c>
      <c r="L1922" s="11" t="s">
        <v>6118</v>
      </c>
      <c r="M1922" s="2" t="str">
        <f>IFERROR(__xludf.DUMMYFUNCTION("split(split(K1922,""堂本剛    "",false),""公式LINE"",false)"),"女子校で教師が死亡した事件を捜査することになった鞍馬六郎(堂本剛)とリカコ(水川あさみ)。大田原警部(高橋克実)によると被害者は化学教師の田所(古舘寛治)で放課後の理科室で1人晩酌中にいきなり亡くなったという。毒を盛られた形跡もなく心臓麻痺と考えられていたが、六郎は田所の腕に注射痕を発見。その矢先、茂木(戸次重幸)が保健教師の手島(松田沙紀)を連れて来た。田所がカニアレルギ―と知っていた手島は、セクハラの仕返しでカニエキスを注射したのだ。さらにパソコン画面には田所の残した“TESHIMA""の文字が。事件"&amp;"解決と思われたその時、「33分もたせてやる!」と宣言する六郎。  　六郎は国語教師の海東(マギ―)が手島にセクハラを繰り返す田所が許せずに殺意を抱いたと推理。犯行時刻に音楽教師の小山(池田成志)と一緒にいた海東が席を外した5分間で田所を殺害したトリックを説明していく。33分もたせなくてはならない六郎たちは聞き込みを始める。そんな中、音楽室では警察に“あのこと""を話すべきかと悩む校務員の木下(江良潤)を小山が制止。そこへやってきた六郎は2音だけピアノの調律がズレていることに気付く。さらに鑑識官(佐藤二朗)"&amp;"から死因のカニアレルギ―によるアナフィラキシ―ショックのほかに死体にあった特徴を聞き、情報屋(小島よしお)の情報と女子高生から新たなる証言を得た六郎は1つの結論に達するのだが…。")</f>
        <v>女子校で教師が死亡した事件を捜査することになった鞍馬六郎(堂本剛)とリカコ(水川あさみ)。大田原警部(高橋克実)によると被害者は化学教師の田所(古舘寛治)で放課後の理科室で1人晩酌中にいきなり亡くなったという。毒を盛られた形跡もなく心臓麻痺と考えられていたが、六郎は田所の腕に注射痕を発見。その矢先、茂木(戸次重幸)が保健教師の手島(松田沙紀)を連れて来た。田所がカニアレルギ―と知っていた手島は、セクハラの仕返しでカニエキスを注射したのだ。さらにパソコン画面には田所の残した“TESHIMA"の文字が。事件解決と思われたその時、「33分もたせてやる!」と宣言する六郎。  　六郎は国語教師の海東(マギ―)が手島にセクハラを繰り返す田所が許せずに殺意を抱いたと推理。犯行時刻に音楽教師の小山(池田成志)と一緒にいた海東が席を外した5分間で田所を殺害したトリックを説明していく。33分もたせなくてはならない六郎たちは聞き込みを始める。そんな中、音楽室では警察に“あのこと"を話すべきかと悩む校務員の木下(江良潤)を小山が制止。そこへやってきた六郎は2音だけピアノの調律がズレていることに気付く。さらに鑑識官(佐藤二朗)から死因のカニアレルギ―によるアナフィラキシ―ショックのほかに死体にあった特徴を聞き、情報屋(小島よしお)の情報と女子高生から新たなる証言を得た六郎は1つの結論に達するのだが…。</v>
      </c>
      <c r="N1922" s="2"/>
      <c r="O1922" s="2"/>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row>
    <row r="1923" ht="204.75" customHeight="1">
      <c r="A1923" s="1">
        <v>5740.0</v>
      </c>
      <c r="B1923" s="2" t="s">
        <v>6108</v>
      </c>
      <c r="C1923" s="2">
        <f>IFERROR(__xludf.DUMMYFUNCTION("split(B1923,""_"")"),807.0)</f>
        <v>807</v>
      </c>
      <c r="D1923" s="2" t="str">
        <f>IFERROR(__xludf.DUMMYFUNCTION("""COMPUTED_VALUE"""),"CX")</f>
        <v>CX</v>
      </c>
      <c r="E1923" s="2" t="str">
        <f>IFERROR(__xludf.DUMMYFUNCTION("""COMPUTED_VALUE"""),"土23")</f>
        <v>土23</v>
      </c>
      <c r="F1923" s="2" t="s">
        <v>5747</v>
      </c>
      <c r="G1923" s="2" t="s">
        <v>6119</v>
      </c>
      <c r="H1923" s="1">
        <v>4.0</v>
      </c>
      <c r="I1923" s="1" t="s">
        <v>14</v>
      </c>
      <c r="J1923" s="1" t="s">
        <v>2429</v>
      </c>
      <c r="K1923" s="2" t="s">
        <v>6120</v>
      </c>
      <c r="L1923" s="11" t="s">
        <v>6121</v>
      </c>
      <c r="M1923" s="2" t="str">
        <f>IFERROR(__xludf.DUMMYFUNCTION("split(split(K1923,""堂本剛    "",false),""公式LINE"",false)"),"湾岸テレビ局内で女優が殺害される事件が発生。鞍馬六郎(堂本剛)とリカコ(水川あさみ)が大田原(高橋克実)と女優・入江加奈子(遠野凪子)の殺害現場へ行くと、待っていた茂木(戸次重幸)から死因はピストルによる銃殺で楽屋は中から鍵がかかっていたと報告を受ける。密室殺人に意気込む六郎や大田原だが、すでに犯人は逮捕されていた。犯人は食堂でバイトをしていた後藤信吾(本多力)で、ファンだった加奈子に嫌いと言われて恨み、犯行に及んだと自白していた。が、ここで終わらせるわけにはいかない六郎はこの事件を33分もたすと宣言。 "&amp;" 　六郎は、普段から高圧的な態度でこき使われていた加奈子のマネジャ―・島田(山中聡)に容疑をかける。しかし、島田のある驚愕の告白により捜査は振り出しに。聞きこみの結果、次期連ドラの主役を女優の松本りんこ(高橋かおり)から加奈子へ急遽変更していたという証言を得た。さらに情報屋(小島よしお)から加奈子がプロデュ―サ―を色仕掛けで口説いていたことも知る。しかし、りんこにもまた完璧なアリバイがあった。  　33分もたせることが困難になってきた六郎は焦りを隠せない。そんな矢先、現場の楽屋に戻った六郎はスリッパの下に"&amp;"落ちていたピアスを発見。さらに鑑識官(佐藤二朗)から体を貫通していなかった弾丸が、死体に残されていなかったことを聞く。新たに出てきた情報を事件と照らし合わせた六郎は…。")</f>
        <v>湾岸テレビ局内で女優が殺害される事件が発生。鞍馬六郎(堂本剛)とリカコ(水川あさみ)が大田原(高橋克実)と女優・入江加奈子(遠野凪子)の殺害現場へ行くと、待っていた茂木(戸次重幸)から死因はピストルによる銃殺で楽屋は中から鍵がかかっていたと報告を受ける。密室殺人に意気込む六郎や大田原だが、すでに犯人は逮捕されていた。犯人は食堂でバイトをしていた後藤信吾(本多力)で、ファンだった加奈子に嫌いと言われて恨み、犯行に及んだと自白していた。が、ここで終わらせるわけにはいかない六郎はこの事件を33分もたすと宣言。  　六郎は、普段から高圧的な態度でこき使われていた加奈子のマネジャ―・島田(山中聡)に容疑をかける。しかし、島田のある驚愕の告白により捜査は振り出しに。聞きこみの結果、次期連ドラの主役を女優の松本りんこ(高橋かおり)から加奈子へ急遽変更していたという証言を得た。さらに情報屋(小島よしお)から加奈子がプロデュ―サ―を色仕掛けで口説いていたことも知る。しかし、りんこにもまた完璧なアリバイがあった。  　33分もたせることが困難になってきた六郎は焦りを隠せない。そんな矢先、現場の楽屋に戻った六郎はスリッパの下に落ちていたピアスを発見。さらに鑑識官(佐藤二朗)から体を貫通していなかった弾丸が、死体に残されていなかったことを聞く。新たに出てきた情報を事件と照らし合わせた六郎は…。</v>
      </c>
      <c r="N1923" s="2"/>
      <c r="O1923" s="2"/>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row>
    <row r="1924" ht="204.75" customHeight="1">
      <c r="A1924" s="1">
        <v>5741.0</v>
      </c>
      <c r="B1924" s="2" t="s">
        <v>6108</v>
      </c>
      <c r="C1924" s="2">
        <f>IFERROR(__xludf.DUMMYFUNCTION("split(B1924,""_"")"),807.0)</f>
        <v>807</v>
      </c>
      <c r="D1924" s="2" t="str">
        <f>IFERROR(__xludf.DUMMYFUNCTION("""COMPUTED_VALUE"""),"CX")</f>
        <v>CX</v>
      </c>
      <c r="E1924" s="2" t="str">
        <f>IFERROR(__xludf.DUMMYFUNCTION("""COMPUTED_VALUE"""),"土23")</f>
        <v>土23</v>
      </c>
      <c r="F1924" s="2" t="s">
        <v>5747</v>
      </c>
      <c r="G1924" s="2" t="s">
        <v>6122</v>
      </c>
      <c r="H1924" s="1">
        <v>5.0</v>
      </c>
      <c r="I1924" s="1" t="s">
        <v>17</v>
      </c>
      <c r="J1924" s="1" t="s">
        <v>2429</v>
      </c>
      <c r="K1924" s="2" t="s">
        <v>6123</v>
      </c>
      <c r="L1924" s="11" t="s">
        <v>6124</v>
      </c>
      <c r="M1924" s="2" t="str">
        <f>IFERROR(__xludf.DUMMYFUNCTION("split(split(K1924,""堂本剛    "",false),""公式LINE"",false)"),"鞍馬六郎(堂本剛)とリカコ(水川あさみ)は、見合いをする大田原警部(高橋克実)にアドバイスを頼まれフレンチレストランにやってきた。レストランのオ―ナ―・中田修二(大高洋夫)の妻・めぐみ(阿南敦子)が、親友・前島慶子(堀内敬子)を心配して見合いを計画。修二の友人である大田原に話が回ってきたのだ。意外にも好感触の見合いになったが慶子がトイレで席を外した直後、バルコニ―でめぐみが殺害される。めぐみの脇にはナイフを片手に呆然とへたりこんでいる慶子の姿が。大田原が慶子の逮捕を躊躇していると、六郎が事件を33分もたせ"&amp;"ることを宣言する。  　めぐみの幸せが妬ましく、また次々と男性を紹介してくることにも苛立っていたと慶子が自供する中、六郎は事件発生直前に店内で大ゲンカしていた夫婦に容疑をかける。しかし、夫婦ゲンカの末に妻を殺そうとした夫が仲裁に入っためぐみをあやまって殺してしまったという六郎の推理は、完全なアリバイの前に崩れる。一同が聞き込みに走り回っている頃、こっそりと電話をしていた修二は電話相手に「友人が殺したことになってる」と告げていた…。その後、中田夫婦は修二の浮気が原因でケンカが絶えなかったとの証言を得た。さら"&amp;"に鑑識官(佐藤二朗)からめぐみの傷口から魚類のエキスが検出されたこと、情報屋(小島よしお)から修二の浮気相手が離婚を迫っていたことを聞いた六郎は…。")</f>
        <v>鞍馬六郎(堂本剛)とリカコ(水川あさみ)は、見合いをする大田原警部(高橋克実)にアドバイスを頼まれフレンチレストランにやってきた。レストランのオ―ナ―・中田修二(大高洋夫)の妻・めぐみ(阿南敦子)が、親友・前島慶子(堀内敬子)を心配して見合いを計画。修二の友人である大田原に話が回ってきたのだ。意外にも好感触の見合いになったが慶子がトイレで席を外した直後、バルコニ―でめぐみが殺害される。めぐみの脇にはナイフを片手に呆然とへたりこんでいる慶子の姿が。大田原が慶子の逮捕を躊躇していると、六郎が事件を33分もたせることを宣言する。  　めぐみの幸せが妬ましく、また次々と男性を紹介してくることにも苛立っていたと慶子が自供する中、六郎は事件発生直前に店内で大ゲンカしていた夫婦に容疑をかける。しかし、夫婦ゲンカの末に妻を殺そうとした夫が仲裁に入っためぐみをあやまって殺してしまったという六郎の推理は、完全なアリバイの前に崩れる。一同が聞き込みに走り回っている頃、こっそりと電話をしていた修二は電話相手に「友人が殺したことになってる」と告げていた…。その後、中田夫婦は修二の浮気が原因でケンカが絶えなかったとの証言を得た。さらに鑑識官(佐藤二朗)からめぐみの傷口から魚類のエキスが検出されたこと、情報屋(小島よしお)から修二の浮気相手が離婚を迫っていたことを聞いた六郎は…。</v>
      </c>
      <c r="N1924" s="2"/>
      <c r="O1924" s="2"/>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row>
    <row r="1925" ht="204.75" customHeight="1">
      <c r="A1925" s="1">
        <v>5742.0</v>
      </c>
      <c r="B1925" s="2" t="s">
        <v>6108</v>
      </c>
      <c r="C1925" s="2">
        <f>IFERROR(__xludf.DUMMYFUNCTION("split(B1925,""_"")"),807.0)</f>
        <v>807</v>
      </c>
      <c r="D1925" s="2" t="str">
        <f>IFERROR(__xludf.DUMMYFUNCTION("""COMPUTED_VALUE"""),"CX")</f>
        <v>CX</v>
      </c>
      <c r="E1925" s="2" t="str">
        <f>IFERROR(__xludf.DUMMYFUNCTION("""COMPUTED_VALUE"""),"土23")</f>
        <v>土23</v>
      </c>
      <c r="F1925" s="2" t="s">
        <v>5747</v>
      </c>
      <c r="G1925" s="2" t="s">
        <v>6125</v>
      </c>
      <c r="H1925" s="1">
        <v>6.0</v>
      </c>
      <c r="I1925" s="1" t="s">
        <v>21</v>
      </c>
      <c r="J1925" s="1" t="s">
        <v>6113</v>
      </c>
      <c r="K1925" s="2" t="s">
        <v>6126</v>
      </c>
      <c r="L1925" s="11" t="s">
        <v>6127</v>
      </c>
      <c r="M1925" s="2" t="str">
        <f>IFERROR(__xludf.DUMMYFUNCTION("split(split(K1925,""堂本剛    "",false),""公式LINE"",false)"),"山の神様が突然村人の魂を奪って行くという言い伝えが残る玉取村で老人の不審死が続いた。鞍馬六郎(堂本剛)とリカコ(水川あさみ)は大田原警部(高橋克実)の依頼を受け死の真相を調べるため玉取村に向かう。2人目の被害者も外傷や毒物反応はなく高齢であったことから自然死で解決しようとする大田原だったが、六郎は言い伝えを利用した殺人だと主張し、事件を33分もたせることを宣言。  　六郎は神社の屏風に飾られた3つの俳句に注目。2つの事件を強引に俳句に結びつけると、残った1つの句になぞらえた殺人が起こると予言し捜査を始める"&amp;"。すると、亡くなった2人は地上げ屋・三島(田中要次)に脅されていたことがわかる。そんな中、3人目の犠牲者が出た。  　残り時間で解決できるか不安になる六郎。一方、三島は村に警察が来たことに動揺する。  　村に咲くスズランを見つめ何かを思いついた六郎は鑑識室に向かう。鑑識官(佐藤二朗)から3人にはゲ―トボ―ルのタコがあり、体からは強心作用のある物質が発見されたと聞き村に戻った六郎。すると就寝中に三島に襲われた。間一髪のところで茂木(戸次重幸)が目を覚まし、連続殺人事件の犯人として逮捕しようとするが三島は犯行"&amp;"を全面否定。  　つかまえた三島も含め村人たちを神社に集めた六郎は事件の真相を話し始める…。")</f>
        <v>山の神様が突然村人の魂を奪って行くという言い伝えが残る玉取村で老人の不審死が続いた。鞍馬六郎(堂本剛)とリカコ(水川あさみ)は大田原警部(高橋克実)の依頼を受け死の真相を調べるため玉取村に向かう。2人目の被害者も外傷や毒物反応はなく高齢であったことから自然死で解決しようとする大田原だったが、六郎は言い伝えを利用した殺人だと主張し、事件を33分もたせることを宣言。  　六郎は神社の屏風に飾られた3つの俳句に注目。2つの事件を強引に俳句に結びつけると、残った1つの句になぞらえた殺人が起こると予言し捜査を始める。すると、亡くなった2人は地上げ屋・三島(田中要次)に脅されていたことがわかる。そんな中、3人目の犠牲者が出た。  　残り時間で解決できるか不安になる六郎。一方、三島は村に警察が来たことに動揺する。  　村に咲くスズランを見つめ何かを思いついた六郎は鑑識室に向かう。鑑識官(佐藤二朗)から3人にはゲ―トボ―ルのタコがあり、体からは強心作用のある物質が発見されたと聞き村に戻った六郎。すると就寝中に三島に襲われた。間一髪のところで茂木(戸次重幸)が目を覚まし、連続殺人事件の犯人として逮捕しようとするが三島は犯行を全面否定。  　つかまえた三島も含め村人たちを神社に集めた六郎は事件の真相を話し始める…。</v>
      </c>
      <c r="N1925" s="2"/>
      <c r="O1925" s="2"/>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row>
    <row r="1926" ht="204.75" customHeight="1">
      <c r="A1926" s="1">
        <v>5743.0</v>
      </c>
      <c r="B1926" s="2" t="s">
        <v>6108</v>
      </c>
      <c r="C1926" s="2">
        <f>IFERROR(__xludf.DUMMYFUNCTION("split(B1926,""_"")"),807.0)</f>
        <v>807</v>
      </c>
      <c r="D1926" s="2" t="str">
        <f>IFERROR(__xludf.DUMMYFUNCTION("""COMPUTED_VALUE"""),"CX")</f>
        <v>CX</v>
      </c>
      <c r="E1926" s="2" t="str">
        <f>IFERROR(__xludf.DUMMYFUNCTION("""COMPUTED_VALUE"""),"土23")</f>
        <v>土23</v>
      </c>
      <c r="F1926" s="2" t="s">
        <v>5747</v>
      </c>
      <c r="G1926" s="2" t="s">
        <v>6128</v>
      </c>
      <c r="H1926" s="1">
        <v>7.0</v>
      </c>
      <c r="I1926" s="1" t="s">
        <v>25</v>
      </c>
      <c r="J1926" s="1" t="s">
        <v>2429</v>
      </c>
      <c r="K1926" s="2" t="s">
        <v>6129</v>
      </c>
      <c r="L1926" s="11" t="s">
        <v>6130</v>
      </c>
      <c r="M1926" s="2" t="str">
        <f>IFERROR(__xludf.DUMMYFUNCTION("split(split(K1926,""堂本剛    "",false),""公式LINE"",false)"),"ミュ―ジカル鑑賞にやって来た鞍馬六郎(堂本剛)とリカコ(水川あさみ)。劇場には偶然来ていたアイ(野波麻帆)の姿もあった。劇場のリハ―サル室では女優の三木いずみ(原史奈)が演出家の芦田(大石継太)から演技にダメを出され、灰皿を投げつけられる目にあっていた。  　ミュ―ジカルが始まるとステ―ジ上のセットから芦田の死体が転がり出てくる。事件解決に意欲を見せる六郎だが、茂木刑事(戸次重幸)が犯行を自供したいずみを連行してくる。いずみの手が小さく震えていることに気付いた六郎は誰かをかばっていると判断。駆けつけた大田"&amp;"原(高橋克実)らに事件を33分もたせると宣言する。  　いずみと芦田は付き合っていたらしく、いずみへの容疑がますます深まる中、役者の石橋(北条隆博)は公演続行を強く希望。芦田を恨んでいたと察した六郎は石橋に容疑をかけるがアリバイが成立してしまう。  　聞き込み中、スタッフの狩野(佐藤正和)、役者の吉村(山本泰弘)、演出助手の大蔵(古山憲太郎)がもめている声を聞いたリカコとアイは舞台袖にいた六郎の元へ報告に行くが、直後、ワイヤ―が切れて照明が落ちてきた。とっさに2人をかばった六郎は血を流して舞台に倒れる。そ"&amp;"の一部始終を離れた所から見ていた何者かがいて…。")</f>
        <v>ミュ―ジカル鑑賞にやって来た鞍馬六郎(堂本剛)とリカコ(水川あさみ)。劇場には偶然来ていたアイ(野波麻帆)の姿もあった。劇場のリハ―サル室では女優の三木いずみ(原史奈)が演出家の芦田(大石継太)から演技にダメを出され、灰皿を投げつけられる目にあっていた。  　ミュ―ジカルが始まるとステ―ジ上のセットから芦田の死体が転がり出てくる。事件解決に意欲を見せる六郎だが、茂木刑事(戸次重幸)が犯行を自供したいずみを連行してくる。いずみの手が小さく震えていることに気付いた六郎は誰かをかばっていると判断。駆けつけた大田原(高橋克実)らに事件を33分もたせると宣言する。  　いずみと芦田は付き合っていたらしく、いずみへの容疑がますます深まる中、役者の石橋(北条隆博)は公演続行を強く希望。芦田を恨んでいたと察した六郎は石橋に容疑をかけるがアリバイが成立してしまう。  　聞き込み中、スタッフの狩野(佐藤正和)、役者の吉村(山本泰弘)、演出助手の大蔵(古山憲太郎)がもめている声を聞いたリカコとアイは舞台袖にいた六郎の元へ報告に行くが、直後、ワイヤ―が切れて照明が落ちてきた。とっさに2人をかばった六郎は血を流して舞台に倒れる。その一部始終を離れた所から見ていた何者かがいて…。</v>
      </c>
      <c r="N1926" s="2"/>
      <c r="O1926" s="2"/>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row>
    <row r="1927" ht="204.75" customHeight="1">
      <c r="A1927" s="1">
        <v>5744.0</v>
      </c>
      <c r="B1927" s="2" t="s">
        <v>6108</v>
      </c>
      <c r="C1927" s="2">
        <f>IFERROR(__xludf.DUMMYFUNCTION("split(B1927,""_"")"),807.0)</f>
        <v>807</v>
      </c>
      <c r="D1927" s="2" t="str">
        <f>IFERROR(__xludf.DUMMYFUNCTION("""COMPUTED_VALUE"""),"CX")</f>
        <v>CX</v>
      </c>
      <c r="E1927" s="2" t="str">
        <f>IFERROR(__xludf.DUMMYFUNCTION("""COMPUTED_VALUE"""),"土23")</f>
        <v>土23</v>
      </c>
      <c r="F1927" s="2" t="s">
        <v>5747</v>
      </c>
      <c r="G1927" s="2" t="s">
        <v>6131</v>
      </c>
      <c r="H1927" s="1">
        <v>8.0</v>
      </c>
      <c r="I1927" s="1" t="s">
        <v>29</v>
      </c>
      <c r="J1927" s="1" t="s">
        <v>2429</v>
      </c>
      <c r="K1927" s="2" t="s">
        <v>6132</v>
      </c>
      <c r="L1927" s="11" t="s">
        <v>6133</v>
      </c>
      <c r="M1927" s="2" t="str">
        <f>IFERROR(__xludf.DUMMYFUNCTION("split(split(K1927,""堂本剛    "",false),""公式LINE"",false)"),"小学生の誘拐事件が発生した。鞍馬六郎(堂本剛)とリカコ(水川あさみ)に協力をあおぎ、被害者宅に向かう大田原警部(高橋克実)。そこへ犯人から電話がかかってきた。犯人は3時間後に3千万円を近所の公園に持ってくるように指示。電話の様子から犯人を素人と判断し、公園で逮捕できそうという大田原に、六郎はこの誘拐事件を33分もたせることを宣言する。  　六郎は公園で遊ぶ子供たちに危険が及ばないように受け渡し場所の変更を申し出た。犯人はそれを受け入れ1時間後に駅前に母親が身代金を持ってくるように指示。リカコが母親の代わり"&amp;"に現金を持っていくことになる。1時間後、駅前に立つリカコの携帯に犯人から電話が入った。ヘンテコな指示に渋々と従うリカコに、犯人は喫茶店へ移動を命じた。そこで子供の無事を確認できるビデオを渡すという。  　ビデオを持って現れた腹話術師を捕まえた大田原だが、腹話術師は雇われただけ。犯人からの連絡が途絶えてしまい困った六郎はヒントを探しに鑑識へ向かう。ビデオや電話を分析した鑑識官(佐藤二朗)から背後に鳥の鳴き声と船の音が入っていることを聞き、さらに情報屋(小島よしお)から犯人は公園をうろついていたフリ―タ―の男"&amp;"(ムロツヨシ)でアジトは湾岸の倉庫だと聞きだすが…。")</f>
        <v>小学生の誘拐事件が発生した。鞍馬六郎(堂本剛)とリカコ(水川あさみ)に協力をあおぎ、被害者宅に向かう大田原警部(高橋克実)。そこへ犯人から電話がかかってきた。犯人は3時間後に3千万円を近所の公園に持ってくるように指示。電話の様子から犯人を素人と判断し、公園で逮捕できそうという大田原に、六郎はこの誘拐事件を33分もたせることを宣言する。  　六郎は公園で遊ぶ子供たちに危険が及ばないように受け渡し場所の変更を申し出た。犯人はそれを受け入れ1時間後に駅前に母親が身代金を持ってくるように指示。リカコが母親の代わりに現金を持っていくことになる。1時間後、駅前に立つリカコの携帯に犯人から電話が入った。ヘンテコな指示に渋々と従うリカコに、犯人は喫茶店へ移動を命じた。そこで子供の無事を確認できるビデオを渡すという。  　ビデオを持って現れた腹話術師を捕まえた大田原だが、腹話術師は雇われただけ。犯人からの連絡が途絶えてしまい困った六郎はヒントを探しに鑑識へ向かう。ビデオや電話を分析した鑑識官(佐藤二朗)から背後に鳥の鳴き声と船の音が入っていることを聞き、さらに情報屋(小島よしお)から犯人は公園をうろついていたフリ―タ―の男(ムロツヨシ)でアジトは湾岸の倉庫だと聞きだすが…。</v>
      </c>
      <c r="N1927" s="2"/>
      <c r="O1927" s="2"/>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row>
    <row r="1928" ht="204.75" customHeight="1">
      <c r="A1928" s="1">
        <v>5745.0</v>
      </c>
      <c r="B1928" s="2" t="s">
        <v>6108</v>
      </c>
      <c r="C1928" s="2">
        <f>IFERROR(__xludf.DUMMYFUNCTION("split(B1928,""_"")"),807.0)</f>
        <v>807</v>
      </c>
      <c r="D1928" s="2" t="str">
        <f>IFERROR(__xludf.DUMMYFUNCTION("""COMPUTED_VALUE"""),"CX")</f>
        <v>CX</v>
      </c>
      <c r="E1928" s="2" t="str">
        <f>IFERROR(__xludf.DUMMYFUNCTION("""COMPUTED_VALUE"""),"土23")</f>
        <v>土23</v>
      </c>
      <c r="F1928" s="2" t="s">
        <v>5747</v>
      </c>
      <c r="G1928" s="2" t="s">
        <v>6134</v>
      </c>
      <c r="H1928" s="1">
        <v>9.0</v>
      </c>
      <c r="I1928" s="1" t="s">
        <v>33</v>
      </c>
      <c r="J1928" s="1" t="s">
        <v>2429</v>
      </c>
      <c r="K1928" s="2" t="s">
        <v>6135</v>
      </c>
      <c r="L1928" s="11" t="s">
        <v>6136</v>
      </c>
      <c r="M1928" s="2" t="str">
        <f>IFERROR(__xludf.DUMMYFUNCTION("split(split(K1928,""堂本剛    "",false),""公式LINE"",false)"),"懸賞に当たり豪華客船でランチをとることになった鞍馬六郎(堂本剛)とリカコ(水川あさみ)と大田原(高橋克実)。同じ頃、児玉一郎(小倉馨)の誕生日パ―ティ―を開くため児玉一家も船に乗り込んでいた。出港後、六郎たちがステ―ジを楽しんでいると突然船体が大きく揺れ船内に女性の悲鳴が響き渡った。駆けつけると部屋の中で絶命している一郎の姿が。指先には血で書かれた“赤""という文字が残されていた。捜査にやる気を見せる六郎の前に、茂木(戸次重幸)が赤いシャツを着て血まみれの男・進藤(豊永利行)を連行してきた。六郎は自白する"&amp;"進藤を犯人じゃないと断言、事件を33分もたせると宣言。  　六郎は、一郎と仲が悪かった家族全員が共謀して殺害したと推理。ところが監視カメラの映像から家族の無実が証明される。鑑識官(佐藤二朗)から、一郎は廊下で被害にあった後に自ら部屋に入り鍵をかけたとの見解が示され、一同は聞き込みに走る。一方、船内の倉庫ではバンドマンの鶴田(迫田孝也)が、以前メンバ―の風見(岡田義徳)から一郎の名前を聞いたことを思い出す。慌てて否定する風見。そこに六郎とリカコがやってきた。六郎は風見らが持っていたギタ―ケ―スに注目する。直"&amp;"後、目撃者が現れた。犯人は赤い布をかぶり、手に大きな黒い荷物を持っていたという。さらに情報屋(小島よしお)から、風見は一郎に会社を乗っ取られた男の息子であることを聞いた六郎は…。")</f>
        <v>懸賞に当たり豪華客船でランチをとることになった鞍馬六郎(堂本剛)とリカコ(水川あさみ)と大田原(高橋克実)。同じ頃、児玉一郎(小倉馨)の誕生日パ―ティ―を開くため児玉一家も船に乗り込んでいた。出港後、六郎たちがステ―ジを楽しんでいると突然船体が大きく揺れ船内に女性の悲鳴が響き渡った。駆けつけると部屋の中で絶命している一郎の姿が。指先には血で書かれた“赤"という文字が残されていた。捜査にやる気を見せる六郎の前に、茂木(戸次重幸)が赤いシャツを着て血まみれの男・進藤(豊永利行)を連行してきた。六郎は自白する進藤を犯人じゃないと断言、事件を33分もたせると宣言。  　六郎は、一郎と仲が悪かった家族全員が共謀して殺害したと推理。ところが監視カメラの映像から家族の無実が証明される。鑑識官(佐藤二朗)から、一郎は廊下で被害にあった後に自ら部屋に入り鍵をかけたとの見解が示され、一同は聞き込みに走る。一方、船内の倉庫ではバンドマンの鶴田(迫田孝也)が、以前メンバ―の風見(岡田義徳)から一郎の名前を聞いたことを思い出す。慌てて否定する風見。そこに六郎とリカコがやってきた。六郎は風見らが持っていたギタ―ケ―スに注目する。直後、目撃者が現れた。犯人は赤い布をかぶり、手に大きな黒い荷物を持っていたという。さらに情報屋(小島よしお)から、風見は一郎に会社を乗っ取られた男の息子であることを聞いた六郎は…。</v>
      </c>
      <c r="N1928" s="2"/>
      <c r="O1928" s="2"/>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row>
    <row r="1929" ht="204.75" customHeight="1">
      <c r="A1929" s="1">
        <v>5756.0</v>
      </c>
      <c r="B1929" s="2" t="s">
        <v>6137</v>
      </c>
      <c r="C1929" s="2">
        <f>IFERROR(__xludf.DUMMYFUNCTION("split(B1929,""_"")"),804.0)</f>
        <v>804</v>
      </c>
      <c r="D1929" s="2" t="str">
        <f>IFERROR(__xludf.DUMMYFUNCTION("""COMPUTED_VALUE"""),"CX")</f>
        <v>CX</v>
      </c>
      <c r="E1929" s="2" t="str">
        <f>IFERROR(__xludf.DUMMYFUNCTION("""COMPUTED_VALUE"""),"月21")</f>
        <v>月21</v>
      </c>
      <c r="F1929" s="2" t="s">
        <v>6138</v>
      </c>
      <c r="G1929" s="2" t="s">
        <v>6139</v>
      </c>
      <c r="H1929" s="1">
        <v>1.0</v>
      </c>
      <c r="I1929" s="1" t="s">
        <v>3</v>
      </c>
      <c r="J1929" s="1" t="s">
        <v>4</v>
      </c>
      <c r="K1929" s="4" t="s">
        <v>6140</v>
      </c>
      <c r="L1929" s="11" t="s">
        <v>6141</v>
      </c>
      <c r="M1929" s="2" t="str">
        <f>IFERROR(__xludf.DUMMYFUNCTION("split(split(K1929,""木村拓哉  "",false),""公式LINE"",false)"),"内閣支持率はここ10年で最低の数字をたたき出していた。  　ある日、福岡選出の与党議員・朝倉誠と後継者である長男が事故で死亡、補欠選挙が行われることになった。与党にとっては総選挙に影響するため負けられない選挙。与党総務会長・神林正一(寺尾聰)と秘書の美山理香(深津絵里)は候補者に父・誠に勘当された啓太という次男に目を向ける。  　長野の小学校。そこに5年生の担任、朝倉啓太(木村拓哉)がいた。子供たちに慕われ、大好きな天体観測も堪能し、充実した日々を送っていた。  　啓太を訪ねて長野まで理香がやってくる。選"&amp;"挙に出るよう説得するが啓太はまったく政治には興味がない。啓太は高校卒業後、星の美しい場所で暮らしたいという理由で福岡を離れ信州の大学に進み、教師となったのだった。選挙に勝つためには身内を出して弔い合戦を演出するのが1番。無理を押して立候補しようとする母・貴江(富司純子)を前にしてもはや断れない啓太は、渋々立候補を決意する。  　福岡に帰ってきた啓太を大歓迎する後援会の人々。父親の代からのさまざまな応援者の中には宮本ひかる(加藤ロ―サ)もいた。  　やがて選対本部に、韮沢勝利(阿部寛)が到着した。この男こそ"&amp;"「選挙こそは唯一法律で許された戦争なんだ」と言い切る、選挙に勝つためだけに送り込まれた選挙プランナ―だ。ついに啓太の選挙戦がスタ―トする…。")</f>
        <v>内閣支持率はここ10年で最低の数字をたたき出していた。  　ある日、福岡選出の与党議員・朝倉誠と後継者である長男が事故で死亡、補欠選挙が行われることになった。与党にとっては総選挙に影響するため負けられない選挙。与党総務会長・神林正一(寺尾聰)と秘書の美山理香(深津絵里)は候補者に父・誠に勘当された啓太という次男に目を向ける。  　長野の小学校。そこに5年生の担任、朝倉啓太(木村拓哉)がいた。子供たちに慕われ、大好きな天体観測も堪能し、充実した日々を送っていた。  　啓太を訪ねて長野まで理香がやってくる。選挙に出るよう説得するが啓太はまったく政治には興味がない。啓太は高校卒業後、星の美しい場所で暮らしたいという理由で福岡を離れ信州の大学に進み、教師となったのだった。選挙に勝つためには身内を出して弔い合戦を演出するのが1番。無理を押して立候補しようとする母・貴江(富司純子)を前にしてもはや断れない啓太は、渋々立候補を決意する。  　福岡に帰ってきた啓太を大歓迎する後援会の人々。父親の代からのさまざまな応援者の中には宮本ひかる(加藤ロ―サ)もいた。  　やがて選対本部に、韮沢勝利(阿部寛)が到着した。この男こそ「選挙こそは唯一法律で許された戦争なんだ」と言い切る、選挙に勝つためだけに送り込まれた選挙プランナ―だ。ついに啓太の選挙戦がスタ―トする…。</v>
      </c>
      <c r="N1929" s="2"/>
      <c r="O1929" s="2"/>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row>
    <row r="1930" ht="204.75" customHeight="1">
      <c r="A1930" s="1">
        <v>5757.0</v>
      </c>
      <c r="B1930" s="2" t="s">
        <v>6137</v>
      </c>
      <c r="C1930" s="2">
        <f>IFERROR(__xludf.DUMMYFUNCTION("split(B1930,""_"")"),804.0)</f>
        <v>804</v>
      </c>
      <c r="D1930" s="2" t="str">
        <f>IFERROR(__xludf.DUMMYFUNCTION("""COMPUTED_VALUE"""),"CX")</f>
        <v>CX</v>
      </c>
      <c r="E1930" s="2" t="str">
        <f>IFERROR(__xludf.DUMMYFUNCTION("""COMPUTED_VALUE"""),"月21")</f>
        <v>月21</v>
      </c>
      <c r="F1930" s="2" t="s">
        <v>6138</v>
      </c>
      <c r="G1930" s="2" t="s">
        <v>6142</v>
      </c>
      <c r="H1930" s="1">
        <v>2.0</v>
      </c>
      <c r="I1930" s="1" t="s">
        <v>7</v>
      </c>
      <c r="J1930" s="1" t="s">
        <v>11</v>
      </c>
      <c r="K1930" s="2" t="s">
        <v>6143</v>
      </c>
      <c r="L1930" s="11" t="s">
        <v>6144</v>
      </c>
      <c r="M1930" s="2" t="str">
        <f>IFERROR(__xludf.DUMMYFUNCTION("split(split(K1930,""木村拓哉  "",false),""公式LINE"",false)"),"朝倉啓太(木村拓哉)は美山理香(深津絵里)や韮沢勝利(阿部寛)らの協力を得ながら、啓太の誠実さが民心を動かし見事補欠選選挙に当選した。  　早速上京し国会議事堂に向った啓太を迎えたのは理香と数人の職員のみ。総選挙ではなく補欠選挙で当選した議員を追いかけるマスコミはいない、はずだった。が、偶然廊下で現内閣総理大臣の鵜飼武彦(伊東四朗)に遭遇し、はからずも啓太は鵜飼総理と共にニュ―ス番組でとりあげられることとなる。一躍時の人となり、「国会王子」という愛称までつけられるほど。が一方、政友党議員たちからは、啓太が"&amp;"、父親の過去の不正を認めたことを指摘され、厳しい言葉を投げられる。  　ただ、総務会長の神林正一(寺尾聰)だけは啓太を守る。神林は理香に啓太の秘書になるよう命じるのだった。理香の指導のもと啓太はわけも分らぬまま常任委員会に出席する日々を送る。　そんな中、啓太が住む家に韮沢が転がり込む。さらにはウグイス嬢だった後援会会長の姪、宮本ひかる(加藤ロ―サ)までが啓太を慕って突如家を訪れ、3人の共同生活を強いられることになってしまう。こうして啓太の議員生活が混乱の中ついにスタ―トしたのだった。理香は、素人議員である"&amp;"啓太の秘書に自分をつけた神林の意図を量りきれずにいた。神林の狙いとは…。そして新人議員の啓太にこの先一体何が待ち受けているのか。")</f>
        <v>朝倉啓太(木村拓哉)は美山理香(深津絵里)や韮沢勝利(阿部寛)らの協力を得ながら、啓太の誠実さが民心を動かし見事補欠選選挙に当選した。  　早速上京し国会議事堂に向った啓太を迎えたのは理香と数人の職員のみ。総選挙ではなく補欠選挙で当選した議員を追いかけるマスコミはいない、はずだった。が、偶然廊下で現内閣総理大臣の鵜飼武彦(伊東四朗)に遭遇し、はからずも啓太は鵜飼総理と共にニュ―ス番組でとりあげられることとなる。一躍時の人となり、「国会王子」という愛称までつけられるほど。が一方、政友党議員たちからは、啓太が、父親の過去の不正を認めたことを指摘され、厳しい言葉を投げられる。  　ただ、総務会長の神林正一(寺尾聰)だけは啓太を守る。神林は理香に啓太の秘書になるよう命じるのだった。理香の指導のもと啓太はわけも分らぬまま常任委員会に出席する日々を送る。　そんな中、啓太が住む家に韮沢が転がり込む。さらにはウグイス嬢だった後援会会長の姪、宮本ひかる(加藤ロ―サ)までが啓太を慕って突如家を訪れ、3人の共同生活を強いられることになってしまう。こうして啓太の議員生活が混乱の中ついにスタ―トしたのだった。理香は、素人議員である啓太の秘書に自分をつけた神林の意図を量りきれずにいた。神林の狙いとは…。そして新人議員の啓太にこの先一体何が待ち受けているのか。</v>
      </c>
      <c r="N1930" s="2"/>
      <c r="O1930" s="2"/>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row>
    <row r="1931" ht="204.75" customHeight="1">
      <c r="A1931" s="1">
        <v>5758.0</v>
      </c>
      <c r="B1931" s="2" t="s">
        <v>6137</v>
      </c>
      <c r="C1931" s="2">
        <f>IFERROR(__xludf.DUMMYFUNCTION("split(B1931,""_"")"),804.0)</f>
        <v>804</v>
      </c>
      <c r="D1931" s="2" t="str">
        <f>IFERROR(__xludf.DUMMYFUNCTION("""COMPUTED_VALUE"""),"CX")</f>
        <v>CX</v>
      </c>
      <c r="E1931" s="2" t="str">
        <f>IFERROR(__xludf.DUMMYFUNCTION("""COMPUTED_VALUE"""),"月21")</f>
        <v>月21</v>
      </c>
      <c r="F1931" s="2" t="s">
        <v>6138</v>
      </c>
      <c r="G1931" s="2" t="s">
        <v>6145</v>
      </c>
      <c r="H1931" s="1">
        <v>3.0</v>
      </c>
      <c r="I1931" s="1" t="s">
        <v>10</v>
      </c>
      <c r="J1931" s="1" t="s">
        <v>11</v>
      </c>
      <c r="K1931" s="2" t="s">
        <v>6146</v>
      </c>
      <c r="L1931" s="11" t="s">
        <v>6147</v>
      </c>
      <c r="M1931" s="2" t="str">
        <f>IFERROR(__xludf.DUMMYFUNCTION("split(split(K1931,""木村拓哉  "",false),""公式LINE"",false)"),"朝倉啓太(木村拓哉)は、小学校教師から補欠選挙に僅差の勝利を収めついに新人議員としての一歩を踏み出した。そんな折、史上最低の支持率をたたき出してしまっていた鵜飼武彦総理(伊東四朗)がついに辞任を発表する。様々な思惑がうごめく中、啓太は驚くべき事態に襲われる。  　なんと啓太は、神林正一総務会長(寺尾聰)より総裁選に立候補してほしいという依頼を受ける。既に政友党幹部らの応援も取り付けたという。戸惑う啓太をよそに、幹部ばかりか信頼を寄せる若手議員、生方恒男(石黒賢)らも若手の声を届けてほしい、と推薦人に加わっ"&amp;"てくる。政治家になって誰のために何をすればいいのか・・・。  　答えを見つけられるかもしれない、と啓太は教え子たちの顔を見るため長野を訪れるのだった。美山理香(深津絵里)は啓太を追い、啓太に率直な思いをぶつけるのだった。それらの様々な声に応え、ついに啓太は総裁選出馬を決意する。啓太の言葉ひとつひとつが国民の心に届き、国民は心を揺さぶられる。啓太が内閣総理大臣になる時は刻一刻と近づいているのだった。")</f>
        <v>朝倉啓太(木村拓哉)は、小学校教師から補欠選挙に僅差の勝利を収めついに新人議員としての一歩を踏み出した。そんな折、史上最低の支持率をたたき出してしまっていた鵜飼武彦総理(伊東四朗)がついに辞任を発表する。様々な思惑がうごめく中、啓太は驚くべき事態に襲われる。  　なんと啓太は、神林正一総務会長(寺尾聰)より総裁選に立候補してほしいという依頼を受ける。既に政友党幹部らの応援も取り付けたという。戸惑う啓太をよそに、幹部ばかりか信頼を寄せる若手議員、生方恒男(石黒賢)らも若手の声を届けてほしい、と推薦人に加わってくる。政治家になって誰のために何をすればいいのか・・・。  　答えを見つけられるかもしれない、と啓太は教え子たちの顔を見るため長野を訪れるのだった。美山理香(深津絵里)は啓太を追い、啓太に率直な思いをぶつけるのだった。それらの様々な声に応え、ついに啓太は総裁選出馬を決意する。啓太の言葉ひとつひとつが国民の心に届き、国民は心を揺さぶられる。啓太が内閣総理大臣になる時は刻一刻と近づいているのだった。</v>
      </c>
      <c r="N1931" s="2"/>
      <c r="O1931" s="2"/>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row>
    <row r="1932" ht="204.75" customHeight="1">
      <c r="A1932" s="1">
        <v>5759.0</v>
      </c>
      <c r="B1932" s="2" t="s">
        <v>6137</v>
      </c>
      <c r="C1932" s="2">
        <f>IFERROR(__xludf.DUMMYFUNCTION("split(B1932,""_"")"),804.0)</f>
        <v>804</v>
      </c>
      <c r="D1932" s="2" t="str">
        <f>IFERROR(__xludf.DUMMYFUNCTION("""COMPUTED_VALUE"""),"CX")</f>
        <v>CX</v>
      </c>
      <c r="E1932" s="2" t="str">
        <f>IFERROR(__xludf.DUMMYFUNCTION("""COMPUTED_VALUE"""),"月21")</f>
        <v>月21</v>
      </c>
      <c r="F1932" s="2" t="s">
        <v>6138</v>
      </c>
      <c r="G1932" s="2" t="s">
        <v>6148</v>
      </c>
      <c r="H1932" s="1">
        <v>4.0</v>
      </c>
      <c r="I1932" s="1" t="s">
        <v>14</v>
      </c>
      <c r="J1932" s="1" t="s">
        <v>11</v>
      </c>
      <c r="K1932" s="2" t="s">
        <v>6149</v>
      </c>
      <c r="L1932" s="11" t="s">
        <v>6150</v>
      </c>
      <c r="M1932" s="2" t="str">
        <f>IFERROR(__xludf.DUMMYFUNCTION("split(split(K1932,""木村拓哉  "",false),""公式LINE"",false)"),"「僕のすべては、皆さんと同じです。」朝倉啓太(木村拓哉)の国民目線の発言が人々の心を打ち、総裁選に圧勝、日本政友党総裁となり、ついに史上最年少の朝倉啓太第92代内閣総理大臣が誕生した。  　啓太にはトイレに行くにもどこへ行くにもSPが付き、秘書の美山理香(深津絵里)は首席秘書官となりいずれも先輩ばかりの事務秘書官4人を従えることとなる。  　早速組閣に取りかかることとなるが何も分からない啓太は、神林正一(寺尾聰)に一切の組閣を託してしまう。啓太に期待していた若手議員らは神林のいいなりとなっている啓太に失望"&amp;"し始める。  　啓太の新総理生活に待ったはない。次々と各省から総理の署名を待つばかりの様々な文書が持ち込まれる、一方、首相親任式、記者会見、閣議、と分刻みのスケジュ―ルが啓太に襲いかかる。理香には文書は読まずに署名するだけでいいと言われるが、1つの文書に目を止める。八ツ島湾の漁業関係者より、湾でクラゲが異常発生、漁業に影響を与えたことはダム建設によるものという訴えがあり、地裁は国の責任を認める判決を下した。が、これに控訴するため総理の了承を得たいという文書だった。理香の説明を聞いても、担当事務次官らの説明"&amp;"を聞いても納得がいかない啓太。その姿に事務官たちは反発を覚える。  　一方、神林は啓太抜きで新閣僚たちを集めなにやら議論を始めた。啓太は孤立してしまうのか。")</f>
        <v>「僕のすべては、皆さんと同じです。」朝倉啓太(木村拓哉)の国民目線の発言が人々の心を打ち、総裁選に圧勝、日本政友党総裁となり、ついに史上最年少の朝倉啓太第92代内閣総理大臣が誕生した。  　啓太にはトイレに行くにもどこへ行くにもSPが付き、秘書の美山理香(深津絵里)は首席秘書官となりいずれも先輩ばかりの事務秘書官4人を従えることとなる。  　早速組閣に取りかかることとなるが何も分からない啓太は、神林正一(寺尾聰)に一切の組閣を託してしまう。啓太に期待していた若手議員らは神林のいいなりとなっている啓太に失望し始める。  　啓太の新総理生活に待ったはない。次々と各省から総理の署名を待つばかりの様々な文書が持ち込まれる、一方、首相親任式、記者会見、閣議、と分刻みのスケジュ―ルが啓太に襲いかかる。理香には文書は読まずに署名するだけでいいと言われるが、1つの文書に目を止める。八ツ島湾の漁業関係者より、湾でクラゲが異常発生、漁業に影響を与えたことはダム建設によるものという訴えがあり、地裁は国の責任を認める判決を下した。が、これに控訴するため総理の了承を得たいという文書だった。理香の説明を聞いても、担当事務次官らの説明を聞いても納得がいかない啓太。その姿に事務官たちは反発を覚える。  　一方、神林は啓太抜きで新閣僚たちを集めなにやら議論を始めた。啓太は孤立してしまうのか。</v>
      </c>
      <c r="N1932" s="2"/>
      <c r="O1932" s="2"/>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row>
    <row r="1933" ht="204.75" customHeight="1">
      <c r="A1933" s="1">
        <v>5760.0</v>
      </c>
      <c r="B1933" s="2" t="s">
        <v>6137</v>
      </c>
      <c r="C1933" s="2">
        <f>IFERROR(__xludf.DUMMYFUNCTION("split(B1933,""_"")"),804.0)</f>
        <v>804</v>
      </c>
      <c r="D1933" s="2" t="str">
        <f>IFERROR(__xludf.DUMMYFUNCTION("""COMPUTED_VALUE"""),"CX")</f>
        <v>CX</v>
      </c>
      <c r="E1933" s="2" t="str">
        <f>IFERROR(__xludf.DUMMYFUNCTION("""COMPUTED_VALUE"""),"月21")</f>
        <v>月21</v>
      </c>
      <c r="F1933" s="2" t="s">
        <v>6138</v>
      </c>
      <c r="G1933" s="2" t="s">
        <v>6151</v>
      </c>
      <c r="H1933" s="1">
        <v>5.0</v>
      </c>
      <c r="I1933" s="1" t="s">
        <v>17</v>
      </c>
      <c r="J1933" s="1" t="s">
        <v>11</v>
      </c>
      <c r="K1933" s="2" t="s">
        <v>6152</v>
      </c>
      <c r="L1933" s="11" t="s">
        <v>6153</v>
      </c>
      <c r="M1933" s="2" t="str">
        <f>IFERROR(__xludf.DUMMYFUNCTION("split(split(K1933,""木村拓哉  "",false),""公式LINE"",false)"),"総理として多忙な日々を過ごす中、レクチャ―や会談の予定が急遽飛んでしまい、はからずも朝倉啓太(木村拓哉)は翌日休みを取れることとなる。  　啓太は東京見物をしたいと望むが、総理の外出は事前に警備計画を立てる必要があるということで断念、せめてかねてから行きたかったビバリ―ヒルズド―ナッツに行きたいと切望する。美山理香(深津絵里)の調整によりビバリ―ヒルズド―ナッツだけは警備体制を整えられることとなり啓太の願いがかなう。正式に首相補佐官となった韮沢勝利(阿部寛)らと共に早速出発しようとする。  　当番秘書官の"&amp;"郡司敏夫(平泉成)も到着して出発、となったその時、韮沢が奇声を発する。1年前に別れた妻の娘がたずねてくるというのだ。娘からの突然の連絡に、普段は頑強な韮沢がへたりこんでしまう。  　鳴り響く玄関ドアチャイム。とそこに現れたのは、アメリカ通商代表ハリ―・ビンガム(ニコラス・ペタス)。現在来日中で日米構造協議に臨み日本に無理な要求を突きつけている張本人だ。構造協議で日本側が拒否した農産物輸入拡大要求について直接総理と話したいという。  　当番秘書の郡司は、官房長官室にいる神林正一(寺尾聰)から電話で指示を受け"&amp;"つつ啓太には下手に何もしゃべらせないよう力を尽くす。本題に入ろうとしたその瞬間またドアチャイムの音が。ついに韮沢の娘が登場する。")</f>
        <v>総理として多忙な日々を過ごす中、レクチャ―や会談の予定が急遽飛んでしまい、はからずも朝倉啓太(木村拓哉)は翌日休みを取れることとなる。  　啓太は東京見物をしたいと望むが、総理の外出は事前に警備計画を立てる必要があるということで断念、せめてかねてから行きたかったビバリ―ヒルズド―ナッツに行きたいと切望する。美山理香(深津絵里)の調整によりビバリ―ヒルズド―ナッツだけは警備体制を整えられることとなり啓太の願いがかなう。正式に首相補佐官となった韮沢勝利(阿部寛)らと共に早速出発しようとする。  　当番秘書官の郡司敏夫(平泉成)も到着して出発、となったその時、韮沢が奇声を発する。1年前に別れた妻の娘がたずねてくるというのだ。娘からの突然の連絡に、普段は頑強な韮沢がへたりこんでしまう。  　鳴り響く玄関ドアチャイム。とそこに現れたのは、アメリカ通商代表ハリ―・ビンガム(ニコラス・ペタス)。現在来日中で日米構造協議に臨み日本に無理な要求を突きつけている張本人だ。構造協議で日本側が拒否した農産物輸入拡大要求について直接総理と話したいという。  　当番秘書の郡司は、官房長官室にいる神林正一(寺尾聰)から電話で指示を受けつつ啓太には下手に何もしゃべらせないよう力を尽くす。本題に入ろうとしたその瞬間またドアチャイムの音が。ついに韮沢の娘が登場する。</v>
      </c>
      <c r="N1933" s="2"/>
      <c r="O1933" s="2"/>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row>
    <row r="1934" ht="204.75" customHeight="1">
      <c r="A1934" s="1">
        <v>5761.0</v>
      </c>
      <c r="B1934" s="2" t="s">
        <v>6137</v>
      </c>
      <c r="C1934" s="2">
        <f>IFERROR(__xludf.DUMMYFUNCTION("split(B1934,""_"")"),804.0)</f>
        <v>804</v>
      </c>
      <c r="D1934" s="2" t="str">
        <f>IFERROR(__xludf.DUMMYFUNCTION("""COMPUTED_VALUE"""),"CX")</f>
        <v>CX</v>
      </c>
      <c r="E1934" s="2" t="str">
        <f>IFERROR(__xludf.DUMMYFUNCTION("""COMPUTED_VALUE"""),"月21")</f>
        <v>月21</v>
      </c>
      <c r="F1934" s="2" t="s">
        <v>6138</v>
      </c>
      <c r="G1934" s="2" t="s">
        <v>6154</v>
      </c>
      <c r="H1934" s="1">
        <v>6.0</v>
      </c>
      <c r="I1934" s="1" t="s">
        <v>21</v>
      </c>
      <c r="J1934" s="1" t="s">
        <v>11</v>
      </c>
      <c r="K1934" s="2" t="s">
        <v>6155</v>
      </c>
      <c r="L1934" s="11" t="s">
        <v>6156</v>
      </c>
      <c r="M1934" s="2" t="str">
        <f>IFERROR(__xludf.DUMMYFUNCTION("split(split(K1934,""木村拓哉  "",false),""公式LINE"",false)"),"朝倉啓太(木村拓哉)、美山理香(深津絵里)の2人が新聞にただならぬ関係であると書き立てられ、ショックを受ける理香。以来理香は不自然なまでに啓太との距離を取ろうとするが、啓太はいつもの調子だった。  　一方、補正予算案が啓太のもとへ持ち込まれる。朝倉総理の承認が得られれば、閣議決定し、国会に提出するばかり。だったのだが、内容を吟味した啓太は補正予算案の変更を求める。　理香の元同僚の息子が病院のたらい回しにあい、処置が遅れたことを耳にした啓太は、医師の声も聞いた上で小児科医療対策を最優先した予算案に変更すると"&amp;"いうのだ。  　動揺する内閣官房長官・神林正一(寺尾聰)、そして事務秘書官たち。  　その日から、百坂哲也(西村雅彦)ら秘書官たちは各担当局長へ変更のための交渉を始めるが案の定、激しい抵抗にあう。啓太も寝ずに資料と格闘しつつ、各大臣の説得に当たっていた。　そんな啓太の姿に次第に百坂も心を動かされ始める。  　一方、野党革進党の野呂代表(高橋英樹)も小児科医療対策に予算をあてるべきと考えているという情報を耳にした啓太は素直に喜び、まわりを驚かす。  　しかし、与党内の反発は依然強く、さらに理香との新たなスキ"&amp;"ャンダル記事が雑誌に掲載され、啓太の劣勢は続いていた・・・。")</f>
        <v>朝倉啓太(木村拓哉)、美山理香(深津絵里)の2人が新聞にただならぬ関係であると書き立てられ、ショックを受ける理香。以来理香は不自然なまでに啓太との距離を取ろうとするが、啓太はいつもの調子だった。  　一方、補正予算案が啓太のもとへ持ち込まれる。朝倉総理の承認が得られれば、閣議決定し、国会に提出するばかり。だったのだが、内容を吟味した啓太は補正予算案の変更を求める。　理香の元同僚の息子が病院のたらい回しにあい、処置が遅れたことを耳にした啓太は、医師の声も聞いた上で小児科医療対策を最優先した予算案に変更するというのだ。  　動揺する内閣官房長官・神林正一(寺尾聰)、そして事務秘書官たち。  　その日から、百坂哲也(西村雅彦)ら秘書官たちは各担当局長へ変更のための交渉を始めるが案の定、激しい抵抗にあう。啓太も寝ずに資料と格闘しつつ、各大臣の説得に当たっていた。　そんな啓太の姿に次第に百坂も心を動かされ始める。  　一方、野党革進党の野呂代表(高橋英樹)も小児科医療対策に予算をあてるべきと考えているという情報を耳にした啓太は素直に喜び、まわりを驚かす。  　しかし、与党内の反発は依然強く、さらに理香との新たなスキャンダル記事が雑誌に掲載され、啓太の劣勢は続いていた・・・。</v>
      </c>
      <c r="N1934" s="2"/>
      <c r="O1934" s="2"/>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row>
    <row r="1935" ht="204.75" customHeight="1">
      <c r="A1935" s="1">
        <v>5762.0</v>
      </c>
      <c r="B1935" s="2" t="s">
        <v>6137</v>
      </c>
      <c r="C1935" s="2">
        <f>IFERROR(__xludf.DUMMYFUNCTION("split(B1935,""_"")"),804.0)</f>
        <v>804</v>
      </c>
      <c r="D1935" s="2" t="str">
        <f>IFERROR(__xludf.DUMMYFUNCTION("""COMPUTED_VALUE"""),"CX")</f>
        <v>CX</v>
      </c>
      <c r="E1935" s="2" t="str">
        <f>IFERROR(__xludf.DUMMYFUNCTION("""COMPUTED_VALUE"""),"月21")</f>
        <v>月21</v>
      </c>
      <c r="F1935" s="2" t="s">
        <v>6138</v>
      </c>
      <c r="G1935" s="2" t="s">
        <v>6157</v>
      </c>
      <c r="H1935" s="1">
        <v>7.0</v>
      </c>
      <c r="I1935" s="1" t="s">
        <v>25</v>
      </c>
      <c r="J1935" s="1" t="s">
        <v>4</v>
      </c>
      <c r="K1935" s="2" t="s">
        <v>6158</v>
      </c>
      <c r="L1935" s="11" t="s">
        <v>6159</v>
      </c>
      <c r="M1935" s="2" t="str">
        <f>IFERROR(__xludf.DUMMYFUNCTION("split(split(K1935,""木村拓哉  "",false),""公式LINE"",false)"),"朝倉啓太総理(木村拓哉)は補正予算案に小児科医療対策を優先させるべきという異論を唱え、与党内から強い反発をくらったが、考えを同じくする野党代表野呂議員(高橋英樹)とも協力体制を構築するなど斬新な発想で自身の予算案を通すべく総理自ら、そして秘書官たち、韮沢勝利(阿部寛)、宮本ひかる(加藤ロ―サ)、皆で日夜奔走していた。  　しかしもはや神林正一(寺尾聰)にとって啓太はもう必要のない存在だった。啓太のまわりの人間を引き離すことにより啓太自身から辞職する状況に追い込もうと企む。  　まずは理香(深津絵里)に総理"&amp;"首席秘書官を辞するよう指示する。辛いながらも理香は神林の指示通り啓太に辞職を願い出る。啓太はショックを受けるが理香の意志を尊重し要望を受け入れる。まわりが説得するも理香は耳を貸さない。早速首席秘書官を総理のブログ内で公募し多くの応募が寄せられる。理香は、首席秘書官の面接を行うが、人一倍厳しい審査を行い片っ端から落としてしまう。  　一方、神林はさらに啓太に致命傷を与えるべく、与党内で唯一応援していた小野田グル―プ35人を買収にかかっていた。  　何も知らない啓太は、病院をたらい回しにされた末に入院中の亮介"&amp;"(広田亮平)を見舞いながら、日々小児医療問題を優先させた補正予算案を通す準備を進めていた。果たして啓太を待ち受けているものとは。")</f>
        <v>朝倉啓太総理(木村拓哉)は補正予算案に小児科医療対策を優先させるべきという異論を唱え、与党内から強い反発をくらったが、考えを同じくする野党代表野呂議員(高橋英樹)とも協力体制を構築するなど斬新な発想で自身の予算案を通すべく総理自ら、そして秘書官たち、韮沢勝利(阿部寛)、宮本ひかる(加藤ロ―サ)、皆で日夜奔走していた。  　しかしもはや神林正一(寺尾聰)にとって啓太はもう必要のない存在だった。啓太のまわりの人間を引き離すことにより啓太自身から辞職する状況に追い込もうと企む。  　まずは理香(深津絵里)に総理首席秘書官を辞するよう指示する。辛いながらも理香は神林の指示通り啓太に辞職を願い出る。啓太はショックを受けるが理香の意志を尊重し要望を受け入れる。まわりが説得するも理香は耳を貸さない。早速首席秘書官を総理のブログ内で公募し多くの応募が寄せられる。理香は、首席秘書官の面接を行うが、人一倍厳しい審査を行い片っ端から落としてしまう。  　一方、神林はさらに啓太に致命傷を与えるべく、与党内で唯一応援していた小野田グル―プ35人を買収にかかっていた。  　何も知らない啓太は、病院をたらい回しにされた末に入院中の亮介(広田亮平)を見舞いながら、日々小児医療問題を優先させた補正予算案を通す準備を進めていた。果たして啓太を待ち受けているものとは。</v>
      </c>
      <c r="N1935" s="2"/>
      <c r="O1935" s="2"/>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row>
    <row r="1936" ht="204.75" customHeight="1">
      <c r="A1936" s="1">
        <v>5763.0</v>
      </c>
      <c r="B1936" s="2" t="s">
        <v>6137</v>
      </c>
      <c r="C1936" s="2">
        <f>IFERROR(__xludf.DUMMYFUNCTION("split(B1936,""_"")"),804.0)</f>
        <v>804</v>
      </c>
      <c r="D1936" s="2" t="str">
        <f>IFERROR(__xludf.DUMMYFUNCTION("""COMPUTED_VALUE"""),"CX")</f>
        <v>CX</v>
      </c>
      <c r="E1936" s="2" t="str">
        <f>IFERROR(__xludf.DUMMYFUNCTION("""COMPUTED_VALUE"""),"月21")</f>
        <v>月21</v>
      </c>
      <c r="F1936" s="2" t="s">
        <v>6138</v>
      </c>
      <c r="G1936" s="2" t="s">
        <v>6160</v>
      </c>
      <c r="H1936" s="1">
        <v>8.0</v>
      </c>
      <c r="I1936" s="1" t="s">
        <v>29</v>
      </c>
      <c r="J1936" s="1" t="s">
        <v>11</v>
      </c>
      <c r="K1936" s="2" t="s">
        <v>6161</v>
      </c>
      <c r="L1936" s="11" t="s">
        <v>6162</v>
      </c>
      <c r="M1936" s="2" t="str">
        <f>IFERROR(__xludf.DUMMYFUNCTION("split(split(K1936,""木村拓哉  "",false),""公式LINE"",false)"),"朝倉啓太内閣総理大臣(木村拓哉)を下ろすため、神林正一(寺尾聰)はあらゆる手をつくす。美山理香(深津絵里)に首席秘書官を辞めさせ、朝倉総理の補正予算案を支援する小野田(中村敦夫)グル―プの切り崩しにかかり、補正予算案は過半数割れにより否決されることが確実となる。衝撃を受ける啓太。しかも全ての黒幕が神林であることを啓太は知ってしまう。理香も全てを知っていたと知り愕然とする啓太。失意の啓太のもとにさらに訃報が襲う。入院中だった亮介が亡くなったという。啓太は誰にも告げず姿を消すのだった。  　翌朝、啓太の失踪に"&amp;"気づいた韮沢勝利(阿部寛)、宮本ひかる(加藤ロ―サ)、檀原段(大倉孝二)は思い当たるところを探し尽くした上で理香を交え4人で対応に頭を悩ませていた。すると理香の元に啓太の母、貴江(富司純子)から電話がかかる。福岡の実家に啓太が帰ってきたと言う。理香は早速福岡に飛ぶ。啓太は目の前に理香がいることに驚くのだった。  　理香は啓太に、総理不在のまま小児科医療対策のための予算案は採決されなかったことを報告する。深夜、ニュ―スを見ていた啓太は、突如、朝までに東京へ帰ると言いだす。車を飛ばし2人は明け方の東京に無事到"&amp;"着する。が、それは2人の別れを意味していた。理香を失ったまま啓太は前に進まねばならなかった。  　そんな折、啓太は、神林に会って話がしたい、と理香に告げる。")</f>
        <v>朝倉啓太内閣総理大臣(木村拓哉)を下ろすため、神林正一(寺尾聰)はあらゆる手をつくす。美山理香(深津絵里)に首席秘書官を辞めさせ、朝倉総理の補正予算案を支援する小野田(中村敦夫)グル―プの切り崩しにかかり、補正予算案は過半数割れにより否決されることが確実となる。衝撃を受ける啓太。しかも全ての黒幕が神林であることを啓太は知ってしまう。理香も全てを知っていたと知り愕然とする啓太。失意の啓太のもとにさらに訃報が襲う。入院中だった亮介が亡くなったという。啓太は誰にも告げず姿を消すのだった。  　翌朝、啓太の失踪に気づいた韮沢勝利(阿部寛)、宮本ひかる(加藤ロ―サ)、檀原段(大倉孝二)は思い当たるところを探し尽くした上で理香を交え4人で対応に頭を悩ませていた。すると理香の元に啓太の母、貴江(富司純子)から電話がかかる。福岡の実家に啓太が帰ってきたと言う。理香は早速福岡に飛ぶ。啓太は目の前に理香がいることに驚くのだった。  　理香は啓太に、総理不在のまま小児科医療対策のための予算案は採決されなかったことを報告する。深夜、ニュ―スを見ていた啓太は、突如、朝までに東京へ帰ると言いだす。車を飛ばし2人は明け方の東京に無事到着する。が、それは2人の別れを意味していた。理香を失ったまま啓太は前に進まねばならなかった。  　そんな折、啓太は、神林に会って話がしたい、と理香に告げる。</v>
      </c>
      <c r="N1936" s="2"/>
      <c r="O1936" s="2"/>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row>
    <row r="1937" ht="204.75" customHeight="1">
      <c r="A1937" s="1">
        <v>5764.0</v>
      </c>
      <c r="B1937" s="2" t="s">
        <v>6163</v>
      </c>
      <c r="C1937" s="2">
        <f>IFERROR(__xludf.DUMMYFUNCTION("split(B1937,""_"")"),804.0)</f>
        <v>804</v>
      </c>
      <c r="D1937" s="2" t="str">
        <f>IFERROR(__xludf.DUMMYFUNCTION("""COMPUTED_VALUE"""),"CX")</f>
        <v>CX</v>
      </c>
      <c r="E1937" s="2" t="str">
        <f>IFERROR(__xludf.DUMMYFUNCTION("""COMPUTED_VALUE"""),"火21")</f>
        <v>火21</v>
      </c>
      <c r="F1937" s="2" t="s">
        <v>6164</v>
      </c>
      <c r="G1937" s="2" t="s">
        <v>6165</v>
      </c>
      <c r="H1937" s="1">
        <v>1.0</v>
      </c>
      <c r="I1937" s="1" t="s">
        <v>3</v>
      </c>
      <c r="J1937" s="1" t="s">
        <v>4</v>
      </c>
      <c r="K1937" s="4" t="s">
        <v>6166</v>
      </c>
      <c r="L1937" s="11" t="s">
        <v>6167</v>
      </c>
      <c r="M1937" s="2" t="str">
        <f>IFERROR(__xludf.DUMMYFUNCTION("split(split(K1937,""速水もこみち  "",false),""公式LINE"",false)"),"クロノスヘヴン社の一室では“愛を捧げぬくロボット""試作品1号(速水もこみち)が完成目前となっていた。  　製菓会社「ASAMOTO」の企画開発室で派遣社員として働く井沢梨衣子(相武紗季)は、憧れの先輩・石関隼人(姜暢雄)に告白する前にあっさりと振られた。落ち込んでいた梨衣子に並切岳(佐々木蔵之介)から理想の彼氏を無料で紹介すると声をかけられ、梨衣子は契約書にサインする。翌日、会社で新商品試食会議が行われるが、御曹司でありながらグ―タラと評判の浅元創志(水嶋ヒロ)の姿はなかった。新作ケ―キを届けるよう言い"&amp;"渡された梨衣子は、創志に求められるまま新作ケ―キの意見を述べる。  　ある朝、梨衣子の元へ裸の美青年ロボットが届けられた。それが5日間無料お試し期間の“理想の彼氏型ロボット""であることを知った梨衣子は、戸惑いながらも5日間だけと自分に言い聞かせ同棲生活を始める。そんな中、石関から誘われ有頂天でデ―トに出かけた梨衣子。しかし、梨衣子を愛するようにプログラムされているロボットはデ―ト中にも現れる。邪魔をされたと怒った梨衣子はロボット返却を決意。そんな折、「ASAMOTO」の新作発表会が行われた。盛大な発表会"&amp;"にもかかわらず、石関のミスで肝心なケ―キが届かない。石関をかばって自分のミスとしてみんなに謝る梨衣子。そして、梨衣子に会いにきていたロボットは、その光景を見て走り出し…。")</f>
        <v>クロノスヘヴン社の一室では“愛を捧げぬくロボット"試作品1号(速水もこみち)が完成目前となっていた。  　製菓会社「ASAMOTO」の企画開発室で派遣社員として働く井沢梨衣子(相武紗季)は、憧れの先輩・石関隼人(姜暢雄)に告白する前にあっさりと振られた。落ち込んでいた梨衣子に並切岳(佐々木蔵之介)から理想の彼氏を無料で紹介すると声をかけられ、梨衣子は契約書にサインする。翌日、会社で新商品試食会議が行われるが、御曹司でありながらグ―タラと評判の浅元創志(水嶋ヒロ)の姿はなかった。新作ケ―キを届けるよう言い渡された梨衣子は、創志に求められるまま新作ケ―キの意見を述べる。  　ある朝、梨衣子の元へ裸の美青年ロボットが届けられた。それが5日間無料お試し期間の“理想の彼氏型ロボット"であることを知った梨衣子は、戸惑いながらも5日間だけと自分に言い聞かせ同棲生活を始める。そんな中、石関から誘われ有頂天でデ―トに出かけた梨衣子。しかし、梨衣子を愛するようにプログラムされているロボットはデ―ト中にも現れる。邪魔をされたと怒った梨衣子はロボット返却を決意。そんな折、「ASAMOTO」の新作発表会が行われた。盛大な発表会にもかかわらず、石関のミスで肝心なケ―キが届かない。石関をかばって自分のミスとしてみんなに謝る梨衣子。そして、梨衣子に会いにきていたロボットは、その光景を見て走り出し…。</v>
      </c>
      <c r="N1937" s="2"/>
      <c r="O1937" s="2"/>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row>
    <row r="1938" ht="204.75" customHeight="1">
      <c r="A1938" s="1">
        <v>5765.0</v>
      </c>
      <c r="B1938" s="2" t="s">
        <v>6163</v>
      </c>
      <c r="C1938" s="2">
        <f>IFERROR(__xludf.DUMMYFUNCTION("split(B1938,""_"")"),804.0)</f>
        <v>804</v>
      </c>
      <c r="D1938" s="2" t="str">
        <f>IFERROR(__xludf.DUMMYFUNCTION("""COMPUTED_VALUE"""),"CX")</f>
        <v>CX</v>
      </c>
      <c r="E1938" s="2" t="str">
        <f>IFERROR(__xludf.DUMMYFUNCTION("""COMPUTED_VALUE"""),"火21")</f>
        <v>火21</v>
      </c>
      <c r="F1938" s="2" t="s">
        <v>6164</v>
      </c>
      <c r="G1938" s="2" t="s">
        <v>6168</v>
      </c>
      <c r="H1938" s="1">
        <v>2.0</v>
      </c>
      <c r="I1938" s="1" t="s">
        <v>7</v>
      </c>
      <c r="J1938" s="1" t="s">
        <v>11</v>
      </c>
      <c r="K1938" s="2" t="s">
        <v>6169</v>
      </c>
      <c r="L1938" s="11" t="s">
        <v>6170</v>
      </c>
      <c r="M1938" s="2" t="str">
        <f>IFERROR(__xludf.DUMMYFUNCTION("split(split(K1938,""速水もこみち  "",false),""公式LINE"",false)"),"ナイト(速水もこみち)との同棲生活に慣れず、戸惑いばかりの梨衣子(相武紗季)だったが、今日が無料お試し期間の最終日となっていた。  「ASAMOTO」では、社長の和志(山本圭)が反対する将志(中村俊介)を押し切り、百貨店に出す新商品の開発を創志(水嶋ヒロ)に任せると言い出した。渋々と引き受けた創志は、梨衣子にシュ―クリ―ムを作ってくるように強引に依頼する。ナイトが手作り弁当を届けにきたことで、美加(上野なつひ)らにナイトの存在がばれてしまい大慌ての梨衣子。また、クロノスヘヴン社でも梨衣子がナイトに恋愛感情"&amp;"を示さないことに困惑をしていた。その夜、梨衣子が家に帰ると、岳(佐々木蔵之介)が訪ねてきた。ナイトを買い取れと言い出した岳に、代金が1億円と聞いた梨衣子は修理費用100万円を1週間以内に用意する約束をする。金策に困った梨衣子は、美加からのアドバイスを受けて、翌日からキャバクラでアルバイトを始めた。たまたまキャバクラに遊びに来ていた創志は、梨衣子の姿を見つける。一方、美加は梨衣子がバイトに行っている時間を見計らって家を訪ねる。梨衣子の行き先を知らないというナイトに美加は意味深な言葉を告げる。梨衣子を探しに外"&amp;"に出たナイトは、泥酔して眠っている梨衣子をおんぶしている創志と遭遇してしまう。そして梨衣子を家に連れて帰ってきたナイトは、寝言で「40万…」とつぶやく梨衣子の顔を見つめ…。")</f>
        <v>ナイト(速水もこみち)との同棲生活に慣れず、戸惑いばかりの梨衣子(相武紗季)だったが、今日が無料お試し期間の最終日となっていた。  「ASAMOTO」では、社長の和志(山本圭)が反対する将志(中村俊介)を押し切り、百貨店に出す新商品の開発を創志(水嶋ヒロ)に任せると言い出した。渋々と引き受けた創志は、梨衣子にシュ―クリ―ムを作ってくるように強引に依頼する。ナイトが手作り弁当を届けにきたことで、美加(上野なつひ)らにナイトの存在がばれてしまい大慌ての梨衣子。また、クロノスヘヴン社でも梨衣子がナイトに恋愛感情を示さないことに困惑をしていた。その夜、梨衣子が家に帰ると、岳(佐々木蔵之介)が訪ねてきた。ナイトを買い取れと言い出した岳に、代金が1億円と聞いた梨衣子は修理費用100万円を1週間以内に用意する約束をする。金策に困った梨衣子は、美加からのアドバイスを受けて、翌日からキャバクラでアルバイトを始めた。たまたまキャバクラに遊びに来ていた創志は、梨衣子の姿を見つける。一方、美加は梨衣子がバイトに行っている時間を見計らって家を訪ねる。梨衣子の行き先を知らないというナイトに美加は意味深な言葉を告げる。梨衣子を探しに外に出たナイトは、泥酔して眠っている梨衣子をおんぶしている創志と遭遇してしまう。そして梨衣子を家に連れて帰ってきたナイトは、寝言で「40万…」とつぶやく梨衣子の顔を見つめ…。</v>
      </c>
      <c r="N1938" s="2"/>
      <c r="O1938" s="2"/>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row>
    <row r="1939" ht="204.75" customHeight="1">
      <c r="A1939" s="1">
        <v>5766.0</v>
      </c>
      <c r="B1939" s="2" t="s">
        <v>6163</v>
      </c>
      <c r="C1939" s="2">
        <f>IFERROR(__xludf.DUMMYFUNCTION("split(B1939,""_"")"),804.0)</f>
        <v>804</v>
      </c>
      <c r="D1939" s="2" t="str">
        <f>IFERROR(__xludf.DUMMYFUNCTION("""COMPUTED_VALUE"""),"CX")</f>
        <v>CX</v>
      </c>
      <c r="E1939" s="2" t="str">
        <f>IFERROR(__xludf.DUMMYFUNCTION("""COMPUTED_VALUE"""),"火21")</f>
        <v>火21</v>
      </c>
      <c r="F1939" s="2" t="s">
        <v>6164</v>
      </c>
      <c r="G1939" s="2" t="s">
        <v>6171</v>
      </c>
      <c r="H1939" s="1">
        <v>3.0</v>
      </c>
      <c r="I1939" s="1" t="s">
        <v>10</v>
      </c>
      <c r="J1939" s="1" t="s">
        <v>11</v>
      </c>
      <c r="K1939" s="2" t="s">
        <v>6172</v>
      </c>
      <c r="L1939" s="11" t="s">
        <v>6173</v>
      </c>
      <c r="M1939" s="2" t="str">
        <f>IFERROR(__xludf.DUMMYFUNCTION("split(split(K1939,""速水もこみち  "",false),""公式LINE"",false)"),"勢いでナイト(速水もこみち)を購入してしまった梨衣子(相武紗季)は、70年ロ―ンに頭を抱える。翌日、梨衣子が会社に行くとナイトが清掃員として働いていた。同僚たちに従兄弟だと紹介する梨衣子だが、2人の様子を美加(上野なつひ)が見つめていて…。一方、創志(水嶋ヒロ)は梨衣子が作ったシュ―クリ―ムを企画会議に出すが、将志(中村俊介)に見た目が地味だと却下される。創志は祖父の代からASAMOTOで働く三浦(石田太郎)の支店を訪ね、シュ―クリ―ムを店頭に並べる約束をこぎつけた。その夜、残業代につられた梨衣子は再び創"&amp;"志とシュ―クリ―ム作りを始める。梨衣子を会社前で待っていたナイトの前には美加が現れアプロ―チをするが、なびかないナイトにいら立ち2人で残業していることを教える。会社に引き返したナイトは会社前で梨衣子を待ち続ける。  　翌朝5時。シュ―クリ―ムが完成し、運び出す創志と梨衣子の前にナイトが現れた。プログラムにより嫉妬をするナイトを冷たくあしらう梨衣子。クロノスヘヴン社では、岳(佐々木蔵之介)が梨衣子の感情が恋愛の喜びを示すピンクにならないことに焦りを感じていた。シュ―クリ―ムを届け終わった梨衣子は、みんなと合"&amp;"流して企画室の温泉旅行に旅立つ。バスが温泉旅館に到着し、梨衣子がトランクを開けると、そこにはナイトが…。同じ頃遅れて温泉に向かおうとしていた創志の携帯電話に将志からの着信が入る。")</f>
        <v>勢いでナイト(速水もこみち)を購入してしまった梨衣子(相武紗季)は、70年ロ―ンに頭を抱える。翌日、梨衣子が会社に行くとナイトが清掃員として働いていた。同僚たちに従兄弟だと紹介する梨衣子だが、2人の様子を美加(上野なつひ)が見つめていて…。一方、創志(水嶋ヒロ)は梨衣子が作ったシュ―クリ―ムを企画会議に出すが、将志(中村俊介)に見た目が地味だと却下される。創志は祖父の代からASAMOTOで働く三浦(石田太郎)の支店を訪ね、シュ―クリ―ムを店頭に並べる約束をこぎつけた。その夜、残業代につられた梨衣子は再び創志とシュ―クリ―ム作りを始める。梨衣子を会社前で待っていたナイトの前には美加が現れアプロ―チをするが、なびかないナイトにいら立ち2人で残業していることを教える。会社に引き返したナイトは会社前で梨衣子を待ち続ける。  　翌朝5時。シュ―クリ―ムが完成し、運び出す創志と梨衣子の前にナイトが現れた。プログラムにより嫉妬をするナイトを冷たくあしらう梨衣子。クロノスヘヴン社では、岳(佐々木蔵之介)が梨衣子の感情が恋愛の喜びを示すピンクにならないことに焦りを感じていた。シュ―クリ―ムを届け終わった梨衣子は、みんなと合流して企画室の温泉旅行に旅立つ。バスが温泉旅館に到着し、梨衣子がトランクを開けると、そこにはナイトが…。同じ頃遅れて温泉に向かおうとしていた創志の携帯電話に将志からの着信が入る。</v>
      </c>
      <c r="N1939" s="2"/>
      <c r="O1939" s="2"/>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row>
    <row r="1940" ht="204.75" customHeight="1">
      <c r="A1940" s="1">
        <v>5767.0</v>
      </c>
      <c r="B1940" s="2" t="s">
        <v>6163</v>
      </c>
      <c r="C1940" s="2">
        <f>IFERROR(__xludf.DUMMYFUNCTION("split(B1940,""_"")"),804.0)</f>
        <v>804</v>
      </c>
      <c r="D1940" s="2" t="str">
        <f>IFERROR(__xludf.DUMMYFUNCTION("""COMPUTED_VALUE"""),"CX")</f>
        <v>CX</v>
      </c>
      <c r="E1940" s="2" t="str">
        <f>IFERROR(__xludf.DUMMYFUNCTION("""COMPUTED_VALUE"""),"火21")</f>
        <v>火21</v>
      </c>
      <c r="F1940" s="2" t="s">
        <v>6164</v>
      </c>
      <c r="G1940" s="2" t="s">
        <v>6174</v>
      </c>
      <c r="H1940" s="1">
        <v>4.0</v>
      </c>
      <c r="I1940" s="1" t="s">
        <v>14</v>
      </c>
      <c r="J1940" s="1" t="s">
        <v>11</v>
      </c>
      <c r="K1940" s="2" t="s">
        <v>6175</v>
      </c>
      <c r="L1940" s="11" t="s">
        <v>6176</v>
      </c>
      <c r="M1940" s="2" t="str">
        <f>IFERROR(__xludf.DUMMYFUNCTION("split(split(K1940,""速水もこみち  "",false),""公式LINE"",false)"),"ナイト(速水もこみち)と美加(上野なつひ)のキス現場を目撃した梨衣子(相武紗季)。ナイトには所有者以外にキスをされるとそれまでの記憶が消えてキスした人間を恋人と認識して再起動する機能があるため、キス以来のナイトは美加にべったり。契約解除はできないため、ナイトにキスをして再起動させるべきだという岳(佐々木蔵之介)だが、梨衣子は乗り気でない。一方、会社に内緒でシュ―クリ―ムを売った創志(水嶋ヒロ)は1週間の謹慎処分になる。ある日岳はナイトにキスをする気配のない梨衣子を訪ね、ナイトがロボットだとバレると違約金が"&amp;"発生することを告げる。慌ててキスを試みる梨衣子だが、ことごとく失敗。ナイトと美加のデ―トを尾行する。レストランで美加が席を外したところを見計らいナイトを外に連れ出した梨衣子。しかし、デ―トを邪魔されて怒ったナイトから「君には恋をする資格はない」と言われてしまう。怒り心頭で立ち去った梨衣子は、シュ―クリ―ムを置いて欲しいとデパ―トやコンビニ回りをしたものの全滅だったという創志と遭遇。実際に食べてもらおうとシュ―クリ―ム作りを提案する。同じ頃クロノスヘヴン社では事の成り行きを聞いた白鷺(篠井英介)から、2日の"&amp;"間に梨衣子が再起動させなければナイトを回収し強制終了をかけることを告げられた。深夜、閉店後の「リベルテ」を借りてシュ―クリ―ム作りを始めた創志と梨衣子の前にナイトが現れ…。")</f>
        <v>ナイト(速水もこみち)と美加(上野なつひ)のキス現場を目撃した梨衣子(相武紗季)。ナイトには所有者以外にキスをされるとそれまでの記憶が消えてキスした人間を恋人と認識して再起動する機能があるため、キス以来のナイトは美加にべったり。契約解除はできないため、ナイトにキスをして再起動させるべきだという岳(佐々木蔵之介)だが、梨衣子は乗り気でない。一方、会社に内緒でシュ―クリ―ムを売った創志(水嶋ヒロ)は1週間の謹慎処分になる。ある日岳はナイトにキスをする気配のない梨衣子を訪ね、ナイトがロボットだとバレると違約金が発生することを告げる。慌ててキスを試みる梨衣子だが、ことごとく失敗。ナイトと美加のデ―トを尾行する。レストランで美加が席を外したところを見計らいナイトを外に連れ出した梨衣子。しかし、デ―トを邪魔されて怒ったナイトから「君には恋をする資格はない」と言われてしまう。怒り心頭で立ち去った梨衣子は、シュ―クリ―ムを置いて欲しいとデパ―トやコンビニ回りをしたものの全滅だったという創志と遭遇。実際に食べてもらおうとシュ―クリ―ム作りを提案する。同じ頃クロノスヘヴン社では事の成り行きを聞いた白鷺(篠井英介)から、2日の間に梨衣子が再起動させなければナイトを回収し強制終了をかけることを告げられた。深夜、閉店後の「リベルテ」を借りてシュ―クリ―ム作りを始めた創志と梨衣子の前にナイトが現れ…。</v>
      </c>
      <c r="N1940" s="2"/>
      <c r="O1940" s="2"/>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row>
    <row r="1941" ht="204.75" customHeight="1">
      <c r="A1941" s="1">
        <v>5768.0</v>
      </c>
      <c r="B1941" s="2" t="s">
        <v>6163</v>
      </c>
      <c r="C1941" s="2">
        <f>IFERROR(__xludf.DUMMYFUNCTION("split(B1941,""_"")"),804.0)</f>
        <v>804</v>
      </c>
      <c r="D1941" s="2" t="str">
        <f>IFERROR(__xludf.DUMMYFUNCTION("""COMPUTED_VALUE"""),"CX")</f>
        <v>CX</v>
      </c>
      <c r="E1941" s="2" t="str">
        <f>IFERROR(__xludf.DUMMYFUNCTION("""COMPUTED_VALUE"""),"火21")</f>
        <v>火21</v>
      </c>
      <c r="F1941" s="2" t="s">
        <v>6164</v>
      </c>
      <c r="G1941" s="2" t="s">
        <v>6177</v>
      </c>
      <c r="H1941" s="1">
        <v>5.0</v>
      </c>
      <c r="I1941" s="1" t="s">
        <v>17</v>
      </c>
      <c r="J1941" s="1" t="s">
        <v>11</v>
      </c>
      <c r="K1941" s="2" t="s">
        <v>6178</v>
      </c>
      <c r="L1941" s="11" t="s">
        <v>6179</v>
      </c>
      <c r="M1941" s="2" t="str">
        <f>IFERROR(__xludf.DUMMYFUNCTION("split(split(K1941,""速水もこみち  "",false),""公式LINE"",false)"),"再起動したナイト(速水もこみち)は梨衣子(相武紗季)の元に戻ってきたが、ロ―ンの支払いで極貧生活を送ることに。そんな中、会社でシュ―クリ―ムが東京スイ―ツ展に出品されることが話題になっていた。恋も仕事も順調な梨衣子を妬む美加(上野なつひ)はナイトにアプロ―チするが相手にされず怒りを募らせる。役員会議では創志(水嶋ヒロ)が将志(中村俊介)の意見を遮り、出品のシュ―クリ―ムは手作りにすると断言。その夜、ナイトが再起動直後から梨衣子を覚えていたことに疑問を抱く岳(佐々木蔵之介)がナイトのパ―ツ交換をする。しかし"&amp;"、スイ―ツ展の準備で一緒にいる創志と梨衣子に嫉妬をあらわにするナイト。梨衣子はプログラムだと受け流すが、ナイトは嫉妬している記憶がないようだ。一方、美加はパソコンの掲示板にシュ―クリ―ムの悪評を書きたてる。  　スイ―ツ展当日。シュ―クリ―ムはさっぱり売れずショックを隠せない梨衣子を明るく励ます創志。同じ頃、クロノスヘヴン社では“恋人型ロボット""の量産化が決定。ナイトの不調を隠しているだけに岳は複雑な気持ちだ。  　翌日、創志は将志にパソコンの中傷記事を見せられた。信用問題だと責め、梨衣子を解雇するとい"&amp;"う将志に自分が責任をとると言いきった創志は…。そんな折、梨衣子にあるプレゼントをするために街を歩いていたナイトは美加を見つけ後をつける。")</f>
        <v>再起動したナイト(速水もこみち)は梨衣子(相武紗季)の元に戻ってきたが、ロ―ンの支払いで極貧生活を送ることに。そんな中、会社でシュ―クリ―ムが東京スイ―ツ展に出品されることが話題になっていた。恋も仕事も順調な梨衣子を妬む美加(上野なつひ)はナイトにアプロ―チするが相手にされず怒りを募らせる。役員会議では創志(水嶋ヒロ)が将志(中村俊介)の意見を遮り、出品のシュ―クリ―ムは手作りにすると断言。その夜、ナイトが再起動直後から梨衣子を覚えていたことに疑問を抱く岳(佐々木蔵之介)がナイトのパ―ツ交換をする。しかし、スイ―ツ展の準備で一緒にいる創志と梨衣子に嫉妬をあらわにするナイト。梨衣子はプログラムだと受け流すが、ナイトは嫉妬している記憶がないようだ。一方、美加はパソコンの掲示板にシュ―クリ―ムの悪評を書きたてる。  　スイ―ツ展当日。シュ―クリ―ムはさっぱり売れずショックを隠せない梨衣子を明るく励ます創志。同じ頃、クロノスヘヴン社では“恋人型ロボット"の量産化が決定。ナイトの不調を隠しているだけに岳は複雑な気持ちだ。  　翌日、創志は将志にパソコンの中傷記事を見せられた。信用問題だと責め、梨衣子を解雇するという将志に自分が責任をとると言いきった創志は…。そんな折、梨衣子にあるプレゼントをするために街を歩いていたナイトは美加を見つけ後をつける。</v>
      </c>
      <c r="N1941" s="2"/>
      <c r="O1941" s="2"/>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row>
    <row r="1942" ht="204.75" customHeight="1">
      <c r="A1942" s="1">
        <v>5769.0</v>
      </c>
      <c r="B1942" s="2" t="s">
        <v>6163</v>
      </c>
      <c r="C1942" s="2">
        <f>IFERROR(__xludf.DUMMYFUNCTION("split(B1942,""_"")"),804.0)</f>
        <v>804</v>
      </c>
      <c r="D1942" s="2" t="str">
        <f>IFERROR(__xludf.DUMMYFUNCTION("""COMPUTED_VALUE"""),"CX")</f>
        <v>CX</v>
      </c>
      <c r="E1942" s="2" t="str">
        <f>IFERROR(__xludf.DUMMYFUNCTION("""COMPUTED_VALUE"""),"火21")</f>
        <v>火21</v>
      </c>
      <c r="F1942" s="2" t="s">
        <v>6164</v>
      </c>
      <c r="G1942" s="2" t="s">
        <v>6180</v>
      </c>
      <c r="H1942" s="1">
        <v>6.0</v>
      </c>
      <c r="I1942" s="1" t="s">
        <v>21</v>
      </c>
      <c r="J1942" s="1" t="s">
        <v>11</v>
      </c>
      <c r="K1942" s="2" t="s">
        <v>6181</v>
      </c>
      <c r="L1942" s="11" t="s">
        <v>6182</v>
      </c>
      <c r="M1942" s="2" t="str">
        <f>IFERROR(__xludf.DUMMYFUNCTION("split(split(K1942,""速水もこみち  "",false),""公式LINE"",false)"),"ナイト(速水もこみち)が自分の意思を持ち始めたことを察した岳(佐々木蔵之介)は、ナイトに記録装置を取り付け24時間の監視体制をとる。梨衣子(相武紗季)が創志(水嶋ヒロ)のことを思うとナイトの視野画像が乱れることがわかった。そんな中、梨衣子の部屋に父・芳春(岩松了)と母・牧子(高橋ひとみ)がやってきた。芳春に部屋から追い出されたナイトは、ふじ子(真矢みき)から父親に認められるべきとアドバイスを受ける。ASAMOTOでは、まもなく開催される「国際スイ―ツコンク―ル」に向けて会議が行われていた。やる気をみせない"&amp;"創志は将志(中村俊介)から会社に必要ない人間だと言われてしまう。そんな矢先、ナイトに梨衣子への気持ちを聞かれた創志はなんとも思っていないと答え、隠れて聞いていた梨衣子はショックを受ける。  翌日、ケンカばかりの梨衣子と芳春を仲直りさせようとするナイトの提案で4人はピクニックに出かけるが、田舎に帰ってこいという芳春の言葉に梨衣子の怒りは爆発、ひとり帰ってしまう。クロノスヘヴン社では岳と田中(加治将樹)がその一部始終のデ―タからナイトが意思を持って発言していることを確信。その2人の会話をドアの外で森川(桜木涼"&amp;"介)が聞いていた。その頃、梨衣子の携帯電話に創志から着信が入った。躊躇しながらも出た梨衣子に創志は…。また、森林に残っていたナイトは突然地面に倒れこみ…。")</f>
        <v>ナイト(速水もこみち)が自分の意思を持ち始めたことを察した岳(佐々木蔵之介)は、ナイトに記録装置を取り付け24時間の監視体制をとる。梨衣子(相武紗季)が創志(水嶋ヒロ)のことを思うとナイトの視野画像が乱れることがわかった。そんな中、梨衣子の部屋に父・芳春(岩松了)と母・牧子(高橋ひとみ)がやってきた。芳春に部屋から追い出されたナイトは、ふじ子(真矢みき)から父親に認められるべきとアドバイスを受ける。ASAMOTOでは、まもなく開催される「国際スイ―ツコンク―ル」に向けて会議が行われていた。やる気をみせない創志は将志(中村俊介)から会社に必要ない人間だと言われてしまう。そんな矢先、ナイトに梨衣子への気持ちを聞かれた創志はなんとも思っていないと答え、隠れて聞いていた梨衣子はショックを受ける。  翌日、ケンカばかりの梨衣子と芳春を仲直りさせようとするナイトの提案で4人はピクニックに出かけるが、田舎に帰ってこいという芳春の言葉に梨衣子の怒りは爆発、ひとり帰ってしまう。クロノスヘヴン社では岳と田中(加治将樹)がその一部始終のデ―タからナイトが意思を持って発言していることを確信。その2人の会話をドアの外で森川(桜木涼介)が聞いていた。その頃、梨衣子の携帯電話に創志から着信が入った。躊躇しながらも出た梨衣子に創志は…。また、森林に残っていたナイトは突然地面に倒れこみ…。</v>
      </c>
      <c r="N1942" s="2"/>
      <c r="O1942" s="2"/>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row>
    <row r="1943" ht="204.75" customHeight="1">
      <c r="A1943" s="1">
        <v>5770.0</v>
      </c>
      <c r="B1943" s="2" t="s">
        <v>6163</v>
      </c>
      <c r="C1943" s="2">
        <f>IFERROR(__xludf.DUMMYFUNCTION("split(B1943,""_"")"),804.0)</f>
        <v>804</v>
      </c>
      <c r="D1943" s="2" t="str">
        <f>IFERROR(__xludf.DUMMYFUNCTION("""COMPUTED_VALUE"""),"CX")</f>
        <v>CX</v>
      </c>
      <c r="E1943" s="2" t="str">
        <f>IFERROR(__xludf.DUMMYFUNCTION("""COMPUTED_VALUE"""),"火21")</f>
        <v>火21</v>
      </c>
      <c r="F1943" s="2" t="s">
        <v>6164</v>
      </c>
      <c r="G1943" s="2" t="s">
        <v>6183</v>
      </c>
      <c r="H1943" s="1">
        <v>7.0</v>
      </c>
      <c r="I1943" s="1" t="s">
        <v>25</v>
      </c>
      <c r="J1943" s="1" t="s">
        <v>11</v>
      </c>
      <c r="K1943" s="2" t="s">
        <v>6184</v>
      </c>
      <c r="L1943" s="11" t="s">
        <v>6185</v>
      </c>
      <c r="M1943" s="2" t="str">
        <f>IFERROR(__xludf.DUMMYFUNCTION("split(split(K1943,""速水もこみち  "",false),""公式LINE"",false)"),"ナイト(速水もこみち)は、白鷺(篠井英介)の監視のもと岳(佐々木蔵之介)によって修理を受けるが、岳は修理を完了したとウソの報告をする。また、創志(水嶋ヒロ)に抱きしめられた真意がわからずに悩んだ梨衣子(相武紗季)は美加(上野なつひ)に相談を持ちかけていた。  　翌日、創志は梨衣子と作る新スイ―ツを国際スイ―ツコンク―ルに出展させて欲しいと申し出るが将志(中村俊介)は大反対。競い合って出場者を決めることになったが将志はパリで活躍するパティシエで創志の元彼女の平井夏美(酒井彩名)を呼びつけていた。創志と梨衣子"&amp;"は人参のクリ―ムを使った新しいスイ―ツ作りを始めたが、作業は難航。フラフラな梨衣子は、必死に応援するナイトをぞんざいに扱うようになる。  　そんなある日、夏美の元へ匿名で人参のクリ―ムが届いた。夏美は食べることなく創志たちに事実を報告するが、何者かによる嫌がらせだとわかりショックを隠せない梨衣子。その夜、梨衣子は過労で倒れ病院へ。付き添いで来ていたふじ子(真矢みき)は看護師がナイトについて話していた奇妙な会話を耳にする。  　体調が回復した梨衣子は、創志が考案したデッサンを基に再び新スイ―ツ作りに励む。徹"&amp;"夜の末、新スイ―ツを完成させた梨衣子は大喜びで会社に走るが、そこには創志と夏美の姿が。2人の話を聞いた梨衣子は逃げるように走り出し…。")</f>
        <v>ナイト(速水もこみち)は、白鷺(篠井英介)の監視のもと岳(佐々木蔵之介)によって修理を受けるが、岳は修理を完了したとウソの報告をする。また、創志(水嶋ヒロ)に抱きしめられた真意がわからずに悩んだ梨衣子(相武紗季)は美加(上野なつひ)に相談を持ちかけていた。  　翌日、創志は梨衣子と作る新スイ―ツを国際スイ―ツコンク―ルに出展させて欲しいと申し出るが将志(中村俊介)は大反対。競い合って出場者を決めることになったが将志はパリで活躍するパティシエで創志の元彼女の平井夏美(酒井彩名)を呼びつけていた。創志と梨衣子は人参のクリ―ムを使った新しいスイ―ツ作りを始めたが、作業は難航。フラフラな梨衣子は、必死に応援するナイトをぞんざいに扱うようになる。  　そんなある日、夏美の元へ匿名で人参のクリ―ムが届いた。夏美は食べることなく創志たちに事実を報告するが、何者かによる嫌がらせだとわかりショックを隠せない梨衣子。その夜、梨衣子は過労で倒れ病院へ。付き添いで来ていたふじ子(真矢みき)は看護師がナイトについて話していた奇妙な会話を耳にする。  　体調が回復した梨衣子は、創志が考案したデッサンを基に再び新スイ―ツ作りに励む。徹夜の末、新スイ―ツを完成させた梨衣子は大喜びで会社に走るが、そこには創志と夏美の姿が。2人の話を聞いた梨衣子は逃げるように走り出し…。</v>
      </c>
      <c r="N1943" s="2"/>
      <c r="O1943" s="2"/>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row>
    <row r="1944" ht="204.75" customHeight="1">
      <c r="A1944" s="1">
        <v>5771.0</v>
      </c>
      <c r="B1944" s="2" t="s">
        <v>6163</v>
      </c>
      <c r="C1944" s="2">
        <f>IFERROR(__xludf.DUMMYFUNCTION("split(B1944,""_"")"),804.0)</f>
        <v>804</v>
      </c>
      <c r="D1944" s="2" t="str">
        <f>IFERROR(__xludf.DUMMYFUNCTION("""COMPUTED_VALUE"""),"CX")</f>
        <v>CX</v>
      </c>
      <c r="E1944" s="2" t="str">
        <f>IFERROR(__xludf.DUMMYFUNCTION("""COMPUTED_VALUE"""),"火21")</f>
        <v>火21</v>
      </c>
      <c r="F1944" s="2" t="s">
        <v>6164</v>
      </c>
      <c r="G1944" s="2" t="s">
        <v>6186</v>
      </c>
      <c r="H1944" s="1">
        <v>8.0</v>
      </c>
      <c r="I1944" s="1" t="s">
        <v>29</v>
      </c>
      <c r="J1944" s="1" t="s">
        <v>11</v>
      </c>
      <c r="K1944" s="2" t="s">
        <v>6187</v>
      </c>
      <c r="L1944" s="11" t="s">
        <v>6188</v>
      </c>
      <c r="M1944" s="2" t="str">
        <f>IFERROR(__xludf.DUMMYFUNCTION("split(split(K1944,""速水もこみち  "",false),""公式LINE"",false)"),"出社してきたナイト(速水もこみち)と梨衣子(相武紗季)は、一緒に歩く創志(水嶋ヒロ)と夏美(酒井彩名)と遭遇。無理して明るく振る舞った梨衣子だが、美加(上野なつひ)からは無視され、夏美のスイ―ツ開発に創志が協力することが決まり気持ちは落ち込む一方だ。その頃、クロノスヘヴン社では、岳(佐々木蔵之介)とは別チ―ムが作った、より高性能になった恋人型ロボット02・トシキ(阿部力)が完成していた。ナイトと性能を比較して劣っている方が処分となると聞いて焦る岳。  　トシキは自分がロボットであることを隠し、偶然を装い梨"&amp;"衣子に近づくことに成功。そんな中、梨衣子はふじ子(真矢みき)からナイトがロボットだと知っていると告げられ慌てて口止めをする。一方、創志はキャバクラ嬢からの電話に「もう店には行かない」と告げていた。  　ある日、思いを断ち切るように部屋にある製菓道具をダンボ―ルに積めこむ梨衣子。そのダンボ―ルを見たナイトはパティシエになる夢を諦めないように説得するが、梨衣子の気持ちを変えられない。2人の会話を偶然聞いてしまった創志は何かを考え込みはじめ…。その直後、ナイトはトシキに資料室に閉じ込められ、鍵をかけられてしまっ"&amp;"た。服務規程違反のためドアを破れないナイトにトシキは「オレの方が梨衣子を幸せにできる」と言い残して去っていく。梨衣子の元へやってきたトシキは星を見に行こうと、腕を取って…。")</f>
        <v>出社してきたナイト(速水もこみち)と梨衣子(相武紗季)は、一緒に歩く創志(水嶋ヒロ)と夏美(酒井彩名)と遭遇。無理して明るく振る舞った梨衣子だが、美加(上野なつひ)からは無視され、夏美のスイ―ツ開発に創志が協力することが決まり気持ちは落ち込む一方だ。その頃、クロノスヘヴン社では、岳(佐々木蔵之介)とは別チ―ムが作った、より高性能になった恋人型ロボット02・トシキ(阿部力)が完成していた。ナイトと性能を比較して劣っている方が処分となると聞いて焦る岳。  　トシキは自分がロボットであることを隠し、偶然を装い梨衣子に近づくことに成功。そんな中、梨衣子はふじ子(真矢みき)からナイトがロボットだと知っていると告げられ慌てて口止めをする。一方、創志はキャバクラ嬢からの電話に「もう店には行かない」と告げていた。  　ある日、思いを断ち切るように部屋にある製菓道具をダンボ―ルに積めこむ梨衣子。そのダンボ―ルを見たナイトはパティシエになる夢を諦めないように説得するが、梨衣子の気持ちを変えられない。2人の会話を偶然聞いてしまった創志は何かを考え込みはじめ…。その直後、ナイトはトシキに資料室に閉じ込められ、鍵をかけられてしまった。服務規程違反のためドアを破れないナイトにトシキは「オレの方が梨衣子を幸せにできる」と言い残して去っていく。梨衣子の元へやってきたトシキは星を見に行こうと、腕を取って…。</v>
      </c>
      <c r="N1944" s="2"/>
      <c r="O1944" s="2"/>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row>
    <row r="1945" ht="204.75" customHeight="1">
      <c r="A1945" s="1">
        <v>5772.0</v>
      </c>
      <c r="B1945" s="2" t="s">
        <v>6163</v>
      </c>
      <c r="C1945" s="2">
        <f>IFERROR(__xludf.DUMMYFUNCTION("split(B1945,""_"")"),804.0)</f>
        <v>804</v>
      </c>
      <c r="D1945" s="2" t="str">
        <f>IFERROR(__xludf.DUMMYFUNCTION("""COMPUTED_VALUE"""),"CX")</f>
        <v>CX</v>
      </c>
      <c r="E1945" s="2" t="str">
        <f>IFERROR(__xludf.DUMMYFUNCTION("""COMPUTED_VALUE"""),"火21")</f>
        <v>火21</v>
      </c>
      <c r="F1945" s="2" t="s">
        <v>6164</v>
      </c>
      <c r="G1945" s="2" t="s">
        <v>6189</v>
      </c>
      <c r="H1945" s="1">
        <v>9.0</v>
      </c>
      <c r="I1945" s="1" t="s">
        <v>33</v>
      </c>
      <c r="J1945" s="1" t="s">
        <v>11</v>
      </c>
      <c r="K1945" s="2" t="s">
        <v>6190</v>
      </c>
      <c r="L1945" s="11" t="s">
        <v>6191</v>
      </c>
      <c r="M1945" s="2" t="str">
        <f>IFERROR(__xludf.DUMMYFUNCTION("split(split(K1945,""速水もこみち  "",false),""公式LINE"",false)"),"ナイト(速水もこみち)の改ざんデ―タを提出し続ける岳(佐々木蔵之介)に田中(加治将樹)は不安を募らせる。一方、ASAMOTOに辞表を提出した創志(水嶋ヒロ)は、家も飛び出し「リベルテ」で住み込みで働き始めた。ナイトがロボットと知っているふじ子(真矢みき)は、梨衣子(相武紗季)に本気にならないよう忠告する。  　翌日、出社した梨衣子は美加(上野なつひ)が会社を辞めたことを聞く。慌てて追いかけてきた梨衣子に美加は…。その夜、夏美(酒井彩名)が将志(中村俊介)と「リベルテ」へやってきた。呆れる将志とASAMOT"&amp;"Oの経営方針を批判する創志は口論になる。  　スイ―ツコンク―ル1次審査が発表になり梨衣子も夏美も通過、日本予選に出場できることになった。それを祝って4人で遊園地に行くが、その帰り道、夏美は創志に日本予選で勝つことができたら一緒にパリへ行こうと誘う。同じ頃、「リベルテ」では日本予選に向け、ナイトがリメイクしたパティシエ用の白衣を梨衣子へプレゼントしていた。大喜びでナイトのためにも頑張ると言う梨衣子を心配そうに見つめるふじ子は、岳の名刺を取り出し…。クロノスヘヴン社では、異常を報告するべきだと訴える田中に、"&amp;"岳が感情を奪うのは命を奪うのと同じだと拒否をする。  　そして、コンク―ル日本予選当日。会場で審査が続く中、「リベルテ」にはふじ子に呼び出された岳がやってきて…。")</f>
        <v>ナイト(速水もこみち)の改ざんデ―タを提出し続ける岳(佐々木蔵之介)に田中(加治将樹)は不安を募らせる。一方、ASAMOTOに辞表を提出した創志(水嶋ヒロ)は、家も飛び出し「リベルテ」で住み込みで働き始めた。ナイトがロボットと知っているふじ子(真矢みき)は、梨衣子(相武紗季)に本気にならないよう忠告する。  　翌日、出社した梨衣子は美加(上野なつひ)が会社を辞めたことを聞く。慌てて追いかけてきた梨衣子に美加は…。その夜、夏美(酒井彩名)が将志(中村俊介)と「リベルテ」へやってきた。呆れる将志とASAMOTOの経営方針を批判する創志は口論になる。  　スイ―ツコンク―ル1次審査が発表になり梨衣子も夏美も通過、日本予選に出場できることになった。それを祝って4人で遊園地に行くが、その帰り道、夏美は創志に日本予選で勝つことができたら一緒にパリへ行こうと誘う。同じ頃、「リベルテ」では日本予選に向け、ナイトがリメイクしたパティシエ用の白衣を梨衣子へプレゼントしていた。大喜びでナイトのためにも頑張ると言う梨衣子を心配そうに見つめるふじ子は、岳の名刺を取り出し…。クロノスヘヴン社では、異常を報告するべきだと訴える田中に、岳が感情を奪うのは命を奪うのと同じだと拒否をする。  　そして、コンク―ル日本予選当日。会場で審査が続く中、「リベルテ」にはふじ子に呼び出された岳がやってきて…。</v>
      </c>
      <c r="N1945" s="2"/>
      <c r="O1945" s="2"/>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row>
    <row r="1946" ht="204.75" customHeight="1">
      <c r="A1946" s="1">
        <v>5773.0</v>
      </c>
      <c r="B1946" s="2" t="s">
        <v>6163</v>
      </c>
      <c r="C1946" s="2">
        <f>IFERROR(__xludf.DUMMYFUNCTION("split(B1946,""_"")"),804.0)</f>
        <v>804</v>
      </c>
      <c r="D1946" s="2" t="str">
        <f>IFERROR(__xludf.DUMMYFUNCTION("""COMPUTED_VALUE"""),"CX")</f>
        <v>CX</v>
      </c>
      <c r="E1946" s="2" t="str">
        <f>IFERROR(__xludf.DUMMYFUNCTION("""COMPUTED_VALUE"""),"火21")</f>
        <v>火21</v>
      </c>
      <c r="F1946" s="2" t="s">
        <v>6164</v>
      </c>
      <c r="G1946" s="2" t="s">
        <v>6192</v>
      </c>
      <c r="H1946" s="1">
        <v>10.0</v>
      </c>
      <c r="I1946" s="1" t="s">
        <v>37</v>
      </c>
      <c r="J1946" s="1" t="s">
        <v>11</v>
      </c>
      <c r="K1946" s="2" t="s">
        <v>6193</v>
      </c>
      <c r="L1946" s="11" t="s">
        <v>6194</v>
      </c>
      <c r="M1946" s="2" t="str">
        <f>IFERROR(__xludf.DUMMYFUNCTION("split(split(K1946,""速水もこみち  "",false),""公式LINE"",false)"),"告白シ―ンを目撃したナイト(速水もこみち)に度々エラ―が表示されるようになる。梨衣子(相武紗季)は、創志(水嶋ヒロ)に告白をされたものの素直に喜べない自分に戸惑っていた。クロノスヘヴン社ではナイトの異常を知った白鷺(篠井英介)が初期化を命令。反論した岳(佐々木蔵之介)はナイトと梨衣子への接触禁止を言い渡される。梨衣子は経費節減を理由に来月末でASAMOTOとの契約打ち切りを告げられた。その矢先、創志の元にパティシエのルシアンから、梨衣子がパリで行われるコンク―ル本選に出場できると連絡が入る。さらに梨衣子の"&amp;"修業の提案もあった。3日後に出発し、最低3年は戻れないと聞き返事に詰まる梨衣子だが、一緒に行こうという創志の言葉に渡仏を決める。  　その日の夕方、梨衣子の部屋に田中(加治将樹)と森川(桜木涼介)が訪ねてきた。森川は初期化することは隠し、機能停止の可能性を訴えてナイトのパ―ツ交換を申し出る。修理の際に記憶が無くなることがあると聞いて返事を保留するも不安を募らせる梨衣子。  　ある日、創志の気持ちを確認するため創志の元を訪ねたナイトは梨衣子のパリ行きの話を聞いて倒れてしまう。ナイトを運んできた創志は、梨衣子"&amp;"の部屋である本に気付き…。  　パリ行きを翌日に控え、梨衣子はある思いを胸に美加(上野なつひ)を訪ねた。その夜、再びナイトが倒れた。森川の言葉を思い出した梨衣子は決意を固め…。")</f>
        <v>告白シ―ンを目撃したナイト(速水もこみち)に度々エラ―が表示されるようになる。梨衣子(相武紗季)は、創志(水嶋ヒロ)に告白をされたものの素直に喜べない自分に戸惑っていた。クロノスヘヴン社ではナイトの異常を知った白鷺(篠井英介)が初期化を命令。反論した岳(佐々木蔵之介)はナイトと梨衣子への接触禁止を言い渡される。梨衣子は経費節減を理由に来月末でASAMOTOとの契約打ち切りを告げられた。その矢先、創志の元にパティシエのルシアンから、梨衣子がパリで行われるコンク―ル本選に出場できると連絡が入る。さらに梨衣子の修業の提案もあった。3日後に出発し、最低3年は戻れないと聞き返事に詰まる梨衣子だが、一緒に行こうという創志の言葉に渡仏を決める。  　その日の夕方、梨衣子の部屋に田中(加治将樹)と森川(桜木涼介)が訪ねてきた。森川は初期化することは隠し、機能停止の可能性を訴えてナイトのパ―ツ交換を申し出る。修理の際に記憶が無くなることがあると聞いて返事を保留するも不安を募らせる梨衣子。  　ある日、創志の気持ちを確認するため創志の元を訪ねたナイトは梨衣子のパリ行きの話を聞いて倒れてしまう。ナイトを運んできた創志は、梨衣子の部屋である本に気付き…。  　パリ行きを翌日に控え、梨衣子はある思いを胸に美加(上野なつひ)を訪ねた。その夜、再びナイトが倒れた。森川の言葉を思い出した梨衣子は決意を固め…。</v>
      </c>
      <c r="N1946" s="2"/>
      <c r="O1946" s="2"/>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row>
    <row r="1947" ht="204.75" customHeight="1">
      <c r="A1947" s="1">
        <v>5774.0</v>
      </c>
      <c r="B1947" s="2" t="s">
        <v>6163</v>
      </c>
      <c r="C1947" s="2">
        <f>IFERROR(__xludf.DUMMYFUNCTION("split(B1947,""_"")"),804.0)</f>
        <v>804</v>
      </c>
      <c r="D1947" s="2" t="str">
        <f>IFERROR(__xludf.DUMMYFUNCTION("""COMPUTED_VALUE"""),"CX")</f>
        <v>CX</v>
      </c>
      <c r="E1947" s="2" t="str">
        <f>IFERROR(__xludf.DUMMYFUNCTION("""COMPUTED_VALUE"""),"火21")</f>
        <v>火21</v>
      </c>
      <c r="F1947" s="2" t="s">
        <v>6164</v>
      </c>
      <c r="G1947" s="2" t="s">
        <v>6195</v>
      </c>
      <c r="H1947" s="1">
        <v>11.0</v>
      </c>
      <c r="I1947" s="1" t="s">
        <v>41</v>
      </c>
      <c r="J1947" s="1" t="s">
        <v>11</v>
      </c>
      <c r="K1947" s="2" t="s">
        <v>6196</v>
      </c>
      <c r="L1947" s="11" t="s">
        <v>6197</v>
      </c>
      <c r="M1947" s="2" t="str">
        <f>IFERROR(__xludf.DUMMYFUNCTION("split(split(K1947,""速水もこみち  "",false),""公式LINE"",false)"),"ナイト(速水もこみち)の初期化スイッチが押された。怒った岳(佐々木蔵之介)と梨衣子(相武紗季)は白鷺(篠井英介)らに詰め寄るが、その直後、初期化のエラ―表示と共にナイトが起き上がった。梨衣子は白鷺にナイトは欠陥品じゃないと訴えて連れて帰る。その夜、梨衣子は創志(水嶋ヒロ)にパリ行きをきっぱりと断った。創志はナイトがロボットだと知っていることを告げるが、梨衣子の意思は変わらない。部屋に戻った梨衣子は、不調の続くナイトに優しくキスをする。  　キスの効果か、翌朝にはナイトの体調が復活。パリに行かなかった梨衣子"&amp;"に驚くASAMOTOの社員たちだが、梨衣子は「もっと大事なものを見つけた」と晴れ晴れしい笑顔を浮かべた。笑顔を見た創志は1人でパリに渡ることを決意。その後、創志とふじ子(真矢みき)は岳から2人のこれまでの経緯からナイトが自我に目覚めたまでを聞く。すべてを聞いたふじ子は、2人を応援するように。  　買い物やピクニックなどデ―トを重ね、仲を深めていくナイトと梨衣子。梨衣子はナイトに内緒で編み物を始めていた。そんな中、創志は和志(山本圭)からパリ行きをルシアンに頼んだのは将志(中村俊介)であることを教えられる。"&amp;"ナイトは創志が1人でパリに渡ろうとしていることを知り、何か考え込む。その頃、ナイトの体には少しずつ異変が起きていて…。")</f>
        <v>ナイト(速水もこみち)の初期化スイッチが押された。怒った岳(佐々木蔵之介)と梨衣子(相武紗季)は白鷺(篠井英介)らに詰め寄るが、その直後、初期化のエラ―表示と共にナイトが起き上がった。梨衣子は白鷺にナイトは欠陥品じゃないと訴えて連れて帰る。その夜、梨衣子は創志(水嶋ヒロ)にパリ行きをきっぱりと断った。創志はナイトがロボットだと知っていることを告げるが、梨衣子の意思は変わらない。部屋に戻った梨衣子は、不調の続くナイトに優しくキスをする。  　キスの効果か、翌朝にはナイトの体調が復活。パリに行かなかった梨衣子に驚くASAMOTOの社員たちだが、梨衣子は「もっと大事なものを見つけた」と晴れ晴れしい笑顔を浮かべた。笑顔を見た創志は1人でパリに渡ることを決意。その後、創志とふじ子(真矢みき)は岳から2人のこれまでの経緯からナイトが自我に目覚めたまでを聞く。すべてを聞いたふじ子は、2人を応援するように。  　買い物やピクニックなどデ―トを重ね、仲を深めていくナイトと梨衣子。梨衣子はナイトに内緒で編み物を始めていた。そんな中、創志は和志(山本圭)からパリ行きをルシアンに頼んだのは将志(中村俊介)であることを教えられる。ナイトは創志が1人でパリに渡ろうとしていることを知り、何か考え込む。その頃、ナイトの体には少しずつ異変が起きていて…。</v>
      </c>
      <c r="N1947" s="2"/>
      <c r="O1947" s="2"/>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row>
    <row r="1948" ht="204.75" customHeight="1">
      <c r="A1948" s="1">
        <v>5775.0</v>
      </c>
      <c r="B1948" s="2" t="s">
        <v>6198</v>
      </c>
      <c r="C1948" s="2">
        <f>IFERROR(__xludf.DUMMYFUNCTION("split(B1948,""_"")"),804.0)</f>
        <v>804</v>
      </c>
      <c r="D1948" s="2" t="str">
        <f>IFERROR(__xludf.DUMMYFUNCTION("""COMPUTED_VALUE"""),"CX")</f>
        <v>CX</v>
      </c>
      <c r="E1948" s="2" t="str">
        <f>IFERROR(__xludf.DUMMYFUNCTION("""COMPUTED_VALUE"""),"火22")</f>
        <v>火22</v>
      </c>
      <c r="F1948" s="2" t="s">
        <v>6199</v>
      </c>
      <c r="G1948" s="2" t="s">
        <v>6200</v>
      </c>
      <c r="H1948" s="1">
        <v>1.0</v>
      </c>
      <c r="I1948" s="1" t="s">
        <v>3</v>
      </c>
      <c r="J1948" s="1" t="s">
        <v>82</v>
      </c>
      <c r="K1948" s="4" t="s">
        <v>6201</v>
      </c>
      <c r="L1948" s="11" t="s">
        <v>6202</v>
      </c>
      <c r="M1948" s="2" t="str">
        <f>IFERROR(__xludf.DUMMYFUNCTION("split(split(K1948,""堺正章  "",false),""http://ktv.jp/muri/"",false)"),"元グル―プサウンズの人気者・正午(堺正章)は、現在はレコ―ド会社の役員待遇プロデュ―サ―。60歳の誕生日に部下の祥子(青木さやか)や文平(田中圭)たちから赤いチャンチャンコを贈られ、密かにショックを受ける。その帰り、昔のバンド仲間・ケンちゃん(ムッシュかまやつ)が開くロックバ―に立ち寄り、寂しい本音を漏らす。  さらに、元妻の光代(夏木マリ)に会い、12歳も年下の圭介(尾美としのり)と再婚し、正午の娘・朝子(小嶋陽菜)も女子大生になったと聞いた正午は、寂しさを募らせ風邪を引いてしまう。  売れない女優のか"&amp;"えで(夏川結衣)は、仲間の律子(鈴木砂羽)、新人の姫野まどか(スザンヌ)とともに、再現ドラマディレクタ―の水田(福田充徳)に文句を言われながら、再現ドラマの女子高生役など望んでもいない仕事を受け続けていた。さらにバイト先の居酒屋で大学生の田代(永田彬)に「東京のお母さん」扱いをされて愕然。癒やしを求めて子犬を衝動買いしてしまう。  翌朝、恋人で小説家志望の龍彦(徳井義実)が束縛しない恋愛を提案するが、かえでは拒む。  薬を買いに自力で買い物に出た帰り、公園の池に落ちた正午は、犬の散歩をしていたかえでに介抱"&amp;"されて恋に落ちる。お礼にと、かえでを食事に誘ってOKの返事をもらった正午は、喜びに満たされるが・・・?")</f>
        <v>元グル―プサウンズの人気者・正午(堺正章)は、現在はレコ―ド会社の役員待遇プロデュ―サ―。60歳の誕生日に部下の祥子(青木さやか)や文平(田中圭)たちから赤いチャンチャンコを贈られ、密かにショックを受ける。その帰り、昔のバンド仲間・ケンちゃん(ムッシュかまやつ)が開くロックバ―に立ち寄り、寂しい本音を漏らす。  さらに、元妻の光代(夏木マリ)に会い、12歳も年下の圭介(尾美としのり)と再婚し、正午の娘・朝子(小嶋陽菜)も女子大生になったと聞いた正午は、寂しさを募らせ風邪を引いてしまう。  売れない女優のかえで(夏川結衣)は、仲間の律子(鈴木砂羽)、新人の姫野まどか(スザンヌ)とともに、再現ドラマディレクタ―の水田(福田充徳)に文句を言われながら、再現ドラマの女子高生役など望んでもいない仕事を受け続けていた。さらにバイト先の居酒屋で大学生の田代(永田彬)に「東京のお母さん」扱いをされて愕然。癒やしを求めて子犬を衝動買いしてしまう。  翌朝、恋人で小説家志望の龍彦(徳井義実)が束縛しない恋愛を提案するが、かえでは拒む。  薬を買いに自力で買い物に出た帰り、公園の池に落ちた正午は、犬の散歩をしていたかえでに介抱されて恋に落ちる。お礼にと、かえでを食事に誘ってOKの返事をもらった正午は、喜びに満たされるが・・・?</v>
      </c>
      <c r="N1948" s="2"/>
      <c r="O1948" s="2"/>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row>
    <row r="1949" ht="204.75" customHeight="1">
      <c r="A1949" s="1">
        <v>5776.0</v>
      </c>
      <c r="B1949" s="2" t="s">
        <v>6198</v>
      </c>
      <c r="C1949" s="2">
        <f>IFERROR(__xludf.DUMMYFUNCTION("split(B1949,""_"")"),804.0)</f>
        <v>804</v>
      </c>
      <c r="D1949" s="2" t="str">
        <f>IFERROR(__xludf.DUMMYFUNCTION("""COMPUTED_VALUE"""),"CX")</f>
        <v>CX</v>
      </c>
      <c r="E1949" s="2" t="str">
        <f>IFERROR(__xludf.DUMMYFUNCTION("""COMPUTED_VALUE"""),"火22")</f>
        <v>火22</v>
      </c>
      <c r="F1949" s="2" t="s">
        <v>6199</v>
      </c>
      <c r="G1949" s="2" t="s">
        <v>6203</v>
      </c>
      <c r="H1949" s="1">
        <v>2.0</v>
      </c>
      <c r="I1949" s="1" t="s">
        <v>7</v>
      </c>
      <c r="J1949" s="1" t="s">
        <v>82</v>
      </c>
      <c r="K1949" s="2" t="s">
        <v>6204</v>
      </c>
      <c r="L1949" s="11" t="s">
        <v>6205</v>
      </c>
      <c r="M1949" s="2" t="str">
        <f>IFERROR(__xludf.DUMMYFUNCTION("split(split(K1949,""堺正章  "",false),""http://ktv.jp/muri/"",false)"),"　かえで(夏川結衣)が『正午を恋愛対象に見るのは無理』と話すのを聞いてしまい、ショックを受けた正午(堺正章)。だが、かえでから先日のお礼にと食事に誘われ、元気を取り戻す。  　龍彦(徳井義実)は、結局はかえでの部屋に転がり込んでしまった。かえでは働くと宣言した龍彦に期待を抱き、ご褒美に食事を作っておくとメ―ルを送るが、そのメ―ルを重荷に感じた龍彦はたった1日でバイトを辞めてしまう。　家に帰りづらい龍彦は、ふとしたことから電車で知り合った正午を強引に酒に誘い、正午もかえでとの関係は黙ったまま、龍彦について行"&amp;"く。そして女に束縛されるのは嫌だとこぼす龍彦に、それを我慢しても彼女を幸せにするか、別れるかのどちらかしかないと話し、「幸せにしてやれよ」と龍彦の背中を押してしまう。龍彦はかえでも店に呼ぼうと電話をかけるが、帰ってこない龍彦に腹を立て律子(鈴木砂羽)と料理を食べていたかえでは、電話を切ってしまう。正午は帰り道、なぜか龍彦を応援してしまった自分に呆れながら、改めてかえでのことが好きだと自覚する。  　翌日、まるで龍彦が着ていたような若い男性が着る服に惹かれ、ふと店に入った正午は、たまたまショッピングをしてい"&amp;"た元の妻・光代(夏木マリ)と遭遇。さらに光代の現在の夫・圭介(尾美としのり)とも対面し、ついには3人でお茶を飲むことに・・・。")</f>
        <v>　かえで(夏川結衣)が『正午を恋愛対象に見るのは無理』と話すのを聞いてしまい、ショックを受けた正午(堺正章)。だが、かえでから先日のお礼にと食事に誘われ、元気を取り戻す。  　龍彦(徳井義実)は、結局はかえでの部屋に転がり込んでしまった。かえでは働くと宣言した龍彦に期待を抱き、ご褒美に食事を作っておくとメ―ルを送るが、そのメ―ルを重荷に感じた龍彦はたった1日でバイトを辞めてしまう。　家に帰りづらい龍彦は、ふとしたことから電車で知り合った正午を強引に酒に誘い、正午もかえでとの関係は黙ったまま、龍彦について行く。そして女に束縛されるのは嫌だとこぼす龍彦に、それを我慢しても彼女を幸せにするか、別れるかのどちらかしかないと話し、「幸せにしてやれよ」と龍彦の背中を押してしまう。龍彦はかえでも店に呼ぼうと電話をかけるが、帰ってこない龍彦に腹を立て律子(鈴木砂羽)と料理を食べていたかえでは、電話を切ってしまう。正午は帰り道、なぜか龍彦を応援してしまった自分に呆れながら、改めてかえでのことが好きだと自覚する。  　翌日、まるで龍彦が着ていたような若い男性が着る服に惹かれ、ふと店に入った正午は、たまたまショッピングをしていた元の妻・光代(夏木マリ)と遭遇。さらに光代の現在の夫・圭介(尾美としのり)とも対面し、ついには3人でお茶を飲むことに・・・。</v>
      </c>
      <c r="N1949" s="2"/>
      <c r="O1949" s="2"/>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row>
    <row r="1950" ht="204.75" customHeight="1">
      <c r="A1950" s="1">
        <v>5777.0</v>
      </c>
      <c r="B1950" s="2" t="s">
        <v>6198</v>
      </c>
      <c r="C1950" s="2">
        <f>IFERROR(__xludf.DUMMYFUNCTION("split(B1950,""_"")"),804.0)</f>
        <v>804</v>
      </c>
      <c r="D1950" s="2" t="str">
        <f>IFERROR(__xludf.DUMMYFUNCTION("""COMPUTED_VALUE"""),"CX")</f>
        <v>CX</v>
      </c>
      <c r="E1950" s="2" t="str">
        <f>IFERROR(__xludf.DUMMYFUNCTION("""COMPUTED_VALUE"""),"火22")</f>
        <v>火22</v>
      </c>
      <c r="F1950" s="2" t="s">
        <v>6199</v>
      </c>
      <c r="G1950" s="2" t="s">
        <v>6206</v>
      </c>
      <c r="H1950" s="1">
        <v>3.0</v>
      </c>
      <c r="I1950" s="1" t="s">
        <v>10</v>
      </c>
      <c r="J1950" s="1" t="s">
        <v>86</v>
      </c>
      <c r="K1950" s="2" t="s">
        <v>6207</v>
      </c>
      <c r="L1950" s="11" t="s">
        <v>6208</v>
      </c>
      <c r="M1950" s="2" t="str">
        <f>IFERROR(__xludf.DUMMYFUNCTION("split(split(K1950,""堺正章  "",false),""http://ktv.jp/muri/"",false)"),"　正午(堺正章)の会社に元妻の光代(夏木マリ)が生命保険の勧誘に押しかけて来た。かえで(夏川結衣)と結婚する気なのかと聞かれ、片思いなのだと打ち明けた正午は、保険の契約に関してある提案をする。  　かえでの家ではシャワ―が壊れて水しか出なくなってしまった。龍彦(徳井義実)は自分で修理すると言い張るが、悪戦苦闘の末、ますます壊れてしまう。近所の銭湯も廃業しており途方に暮れていると、ちょうど正午がタクシ―で通りかかり、かえでと龍彦は正午のマンションで風呂を借りることになる。かえでに正午のお陰で別れなくて済んだ"&amp;"と感謝された上、仲のよさそうな姿を見せ付けられた正午は切なさを募らせるが、風呂が直るまでうちで暮らせばいいと2人に言ってしまう。その頃、光代は圭介(尾美としのり)に、正午が保険金の受取人を朝子(小嶋陽菜)にしたがっていると報告していた。正午は圭介が嫌がるのではないかと気にしていたが・・・?  　正午はかえでと龍彦を泊めるが、夜が更けても全く眠れずにいた。ベランダに出てため息をついていると、背後にかえでが立っていて・・・。")</f>
        <v>　正午(堺正章)の会社に元妻の光代(夏木マリ)が生命保険の勧誘に押しかけて来た。かえで(夏川結衣)と結婚する気なのかと聞かれ、片思いなのだと打ち明けた正午は、保険の契約に関してある提案をする。  　かえでの家ではシャワ―が壊れて水しか出なくなってしまった。龍彦(徳井義実)は自分で修理すると言い張るが、悪戦苦闘の末、ますます壊れてしまう。近所の銭湯も廃業しており途方に暮れていると、ちょうど正午がタクシ―で通りかかり、かえでと龍彦は正午のマンションで風呂を借りることになる。かえでに正午のお陰で別れなくて済んだと感謝された上、仲のよさそうな姿を見せ付けられた正午は切なさを募らせるが、風呂が直るまでうちで暮らせばいいと2人に言ってしまう。その頃、光代は圭介(尾美としのり)に、正午が保険金の受取人を朝子(小嶋陽菜)にしたがっていると報告していた。正午は圭介が嫌がるのではないかと気にしていたが・・・?  　正午はかえでと龍彦を泊めるが、夜が更けても全く眠れずにいた。ベランダに出てため息をついていると、背後にかえでが立っていて・・・。</v>
      </c>
      <c r="N1950" s="2"/>
      <c r="O1950" s="2"/>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row>
    <row r="1951" ht="204.75" customHeight="1">
      <c r="A1951" s="1">
        <v>5778.0</v>
      </c>
      <c r="B1951" s="2" t="s">
        <v>6198</v>
      </c>
      <c r="C1951" s="2">
        <f>IFERROR(__xludf.DUMMYFUNCTION("split(B1951,""_"")"),804.0)</f>
        <v>804</v>
      </c>
      <c r="D1951" s="2" t="str">
        <f>IFERROR(__xludf.DUMMYFUNCTION("""COMPUTED_VALUE"""),"CX")</f>
        <v>CX</v>
      </c>
      <c r="E1951" s="2" t="str">
        <f>IFERROR(__xludf.DUMMYFUNCTION("""COMPUTED_VALUE"""),"火22")</f>
        <v>火22</v>
      </c>
      <c r="F1951" s="2" t="s">
        <v>6199</v>
      </c>
      <c r="G1951" s="2" t="s">
        <v>6209</v>
      </c>
      <c r="H1951" s="1">
        <v>4.0</v>
      </c>
      <c r="I1951" s="1" t="s">
        <v>14</v>
      </c>
      <c r="J1951" s="1" t="s">
        <v>86</v>
      </c>
      <c r="K1951" s="2" t="s">
        <v>6210</v>
      </c>
      <c r="L1951" s="11" t="s">
        <v>6211</v>
      </c>
      <c r="M1951" s="2" t="str">
        <f>IFERROR(__xludf.DUMMYFUNCTION("split(split(K1951,""堺正章  "",false),""http://ktv.jp/muri/"",false)"),"仲間が小説で新人賞を受賞し、落ち込んだ龍彦(徳井義実)は夜になっても帰って来ず、正午(堺正章)とかえで(夏川結衣)は2人で食事をすることに。そこに光代(夏木マリ)が保険の手続きにやって来る。かえでの前で余計なことを言わないかと正午は気が気でない。光代は正午がかえでとうまくやっていると勘繰るが、龍彦も一緒に居候していることを知り、正午の胸のうちを察する。光代が帰った後、ようやく龍彦が帰ってきた。ひどく酔って飲み屋の女の子たちも大勢連れてきた龍彦を、かえでは頭ごなしに怒鳴りつけるが、正午は辛いことがあったのを"&amp;"察してかえでをなだめ、2人きりにしようと部屋を出て行く。龍彦は酔った頭で、正午がかえでを好きなのではないかと指摘するが、かえでは取り合わない。一方の正午は、ケンちゃん(ムッシュかまやつ)が開くロックバ―に向かうも臨時休業。結局は文平(田中圭)の部屋に泊まることに。翌朝、かえでは龍彦が持っていた仲間の著書を発見。先を越されて落ち込んでいるのではないと強がる龍彦に、かえではまた小説を書くように励ます。そしてアパ―トに帰ったかえでは、ようやく龍彦が小説を書き始めたことに喜び、応援。お礼を兼ねて正午に電話で龍彦の"&amp;"ことを報告する。だが当の龍彦はまるで書く気が起こらず、かえでの期待がプレッシャ―になっていた。そして次の夜、買い物袋を抱えてかえでがアパ―トに帰ると、龍彦の姿は消えていた・・・。")</f>
        <v>仲間が小説で新人賞を受賞し、落ち込んだ龍彦(徳井義実)は夜になっても帰って来ず、正午(堺正章)とかえで(夏川結衣)は2人で食事をすることに。そこに光代(夏木マリ)が保険の手続きにやって来る。かえでの前で余計なことを言わないかと正午は気が気でない。光代は正午がかえでとうまくやっていると勘繰るが、龍彦も一緒に居候していることを知り、正午の胸のうちを察する。光代が帰った後、ようやく龍彦が帰ってきた。ひどく酔って飲み屋の女の子たちも大勢連れてきた龍彦を、かえでは頭ごなしに怒鳴りつけるが、正午は辛いことがあったのを察してかえでをなだめ、2人きりにしようと部屋を出て行く。龍彦は酔った頭で、正午がかえでを好きなのではないかと指摘するが、かえでは取り合わない。一方の正午は、ケンちゃん(ムッシュかまやつ)が開くロックバ―に向かうも臨時休業。結局は文平(田中圭)の部屋に泊まることに。翌朝、かえでは龍彦が持っていた仲間の著書を発見。先を越されて落ち込んでいるのではないと強がる龍彦に、かえではまた小説を書くように励ます。そしてアパ―トに帰ったかえでは、ようやく龍彦が小説を書き始めたことに喜び、応援。お礼を兼ねて正午に電話で龍彦のことを報告する。だが当の龍彦はまるで書く気が起こらず、かえでの期待がプレッシャ―になっていた。そして次の夜、買い物袋を抱えてかえでがアパ―トに帰ると、龍彦の姿は消えていた・・・。</v>
      </c>
      <c r="N1951" s="2"/>
      <c r="O1951" s="2"/>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row>
    <row r="1952" ht="204.75" customHeight="1">
      <c r="A1952" s="1">
        <v>5779.0</v>
      </c>
      <c r="B1952" s="2" t="s">
        <v>6198</v>
      </c>
      <c r="C1952" s="2">
        <f>IFERROR(__xludf.DUMMYFUNCTION("split(B1952,""_"")"),804.0)</f>
        <v>804</v>
      </c>
      <c r="D1952" s="2" t="str">
        <f>IFERROR(__xludf.DUMMYFUNCTION("""COMPUTED_VALUE"""),"CX")</f>
        <v>CX</v>
      </c>
      <c r="E1952" s="2" t="str">
        <f>IFERROR(__xludf.DUMMYFUNCTION("""COMPUTED_VALUE"""),"火22")</f>
        <v>火22</v>
      </c>
      <c r="F1952" s="2" t="s">
        <v>6199</v>
      </c>
      <c r="G1952" s="2" t="s">
        <v>6212</v>
      </c>
      <c r="H1952" s="1">
        <v>5.0</v>
      </c>
      <c r="I1952" s="1" t="s">
        <v>17</v>
      </c>
      <c r="J1952" s="1" t="s">
        <v>86</v>
      </c>
      <c r="K1952" s="2" t="s">
        <v>6213</v>
      </c>
      <c r="L1952" s="11" t="s">
        <v>6214</v>
      </c>
      <c r="M1952" s="2" t="str">
        <f>IFERROR(__xludf.DUMMYFUNCTION("split(split(K1952,""堺正章  "",false),""http://ktv.jp/muri/"",false)"),"　正午(堺正章)に龍彦(徳井義実)が出て行ったことを話し、スッキリしたかえで(夏川結衣)は、龍彦が正午を頼って行っても、会いたくなってしまうから自分には教えないでほしいと告げる。正午がマンションに帰ってくると、部屋の前では案の定龍彦と、なぜか光代(夏木マリ)が酒盛りをしており、結局、正午は龍彦を家に置くことになる。光代は朝子(小嶋陽菜)のことは伏せて、知り合いがオ―ディションを受けたら優遇してくれるかと聞くが、正午はコネは嫌いだと言い切る。  翌日、ドラマのプロデュ―サ―にいい女優はいないかと聞かれた正午"&amp;"は、あることを思いつく。その後、かえでと律子(鈴木砂羽)にオ―ディションの話が舞い込み、見事2人は揃って合格。ドラマの撮影が進んだ頃、かえでと律子と酒を飲んだ正午は、2人が心底楽しそうに撮影に臨んでいることを知り、嬉しく思う。  その頃、光代と圭介(尾美としのり)は、朝子が正午に会いたいのではないかと悩んでいた。そんな悩みを断ち切るように、圭介は朝子の為にオ―ディション対策グッズを買い込んで来るが、オ―ディションを受けることがばれた朝子は複雑な気持ちになる。  そんなある日、かえではプロデュ―サ―から正午"&amp;"によろしく伝えてほしいと言われる。さらに事務所の社長から、この仕事が正午の推薦で決まったと聞かされたかえでは愕然となる。そしてかえでは、ある決意を持って正午の会社を訪ねていくが・・・。")</f>
        <v>　正午(堺正章)に龍彦(徳井義実)が出て行ったことを話し、スッキリしたかえで(夏川結衣)は、龍彦が正午を頼って行っても、会いたくなってしまうから自分には教えないでほしいと告げる。正午がマンションに帰ってくると、部屋の前では案の定龍彦と、なぜか光代(夏木マリ)が酒盛りをしており、結局、正午は龍彦を家に置くことになる。光代は朝子(小嶋陽菜)のことは伏せて、知り合いがオ―ディションを受けたら優遇してくれるかと聞くが、正午はコネは嫌いだと言い切る。  翌日、ドラマのプロデュ―サ―にいい女優はいないかと聞かれた正午は、あることを思いつく。その後、かえでと律子(鈴木砂羽)にオ―ディションの話が舞い込み、見事2人は揃って合格。ドラマの撮影が進んだ頃、かえでと律子と酒を飲んだ正午は、2人が心底楽しそうに撮影に臨んでいることを知り、嬉しく思う。  その頃、光代と圭介(尾美としのり)は、朝子が正午に会いたいのではないかと悩んでいた。そんな悩みを断ち切るように、圭介は朝子の為にオ―ディション対策グッズを買い込んで来るが、オ―ディションを受けることがばれた朝子は複雑な気持ちになる。  そんなある日、かえではプロデュ―サ―から正午によろしく伝えてほしいと言われる。さらに事務所の社長から、この仕事が正午の推薦で決まったと聞かされたかえでは愕然となる。そしてかえでは、ある決意を持って正午の会社を訪ねていくが・・・。</v>
      </c>
      <c r="N1952" s="2"/>
      <c r="O1952" s="2"/>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row>
    <row r="1953" ht="204.75" customHeight="1">
      <c r="A1953" s="1">
        <v>5780.0</v>
      </c>
      <c r="B1953" s="2" t="s">
        <v>6198</v>
      </c>
      <c r="C1953" s="2">
        <f>IFERROR(__xludf.DUMMYFUNCTION("split(B1953,""_"")"),804.0)</f>
        <v>804</v>
      </c>
      <c r="D1953" s="2" t="str">
        <f>IFERROR(__xludf.DUMMYFUNCTION("""COMPUTED_VALUE"""),"CX")</f>
        <v>CX</v>
      </c>
      <c r="E1953" s="2" t="str">
        <f>IFERROR(__xludf.DUMMYFUNCTION("""COMPUTED_VALUE"""),"火22")</f>
        <v>火22</v>
      </c>
      <c r="F1953" s="2" t="s">
        <v>6199</v>
      </c>
      <c r="G1953" s="2" t="s">
        <v>6215</v>
      </c>
      <c r="H1953" s="1">
        <v>6.0</v>
      </c>
      <c r="I1953" s="1" t="s">
        <v>21</v>
      </c>
      <c r="J1953" s="1" t="s">
        <v>86</v>
      </c>
      <c r="K1953" s="2" t="s">
        <v>6216</v>
      </c>
      <c r="L1953" s="11" t="s">
        <v>6217</v>
      </c>
      <c r="M1953" s="2" t="str">
        <f>IFERROR(__xludf.DUMMYFUNCTION("split(split(K1953,""堺正章  "",false),""http://ktv.jp/muri/"",false)"),"正午(堺正章)の恋心を知ったかえで(夏川結衣)は律子(鈴木砂羽)に「正午のことは嫌いではないが、全くの予想外だった」と話す。一方、落ち込む正午に祥子(青木さやか)は恋心を代弁して伝えたことを報告。かえでの反応から、正午は自分が恋愛対象に入っていないことを再認識する。そんな時、かえでの母・秀子(高畑淳子)が正午に会いたいと東京に押しかけて来た。かえでは渋々正午に電話をかけるが…。さらに、街を歩いていた秀子は光代(夏木マリ)と遭遇。実は秀子と光代はザ・レインドロップスの追っかけ仲間で、光代はかえでが秀子の娘と"&amp;"知り驚く。正午は、かえでに対して“お母さんがファンだった人""という役割を全うして諦めると決意。かえでと秀子が正午に指定された店に行くと龍彦(徳井義実)も来ており、ステ―ジに立った正午は思いを込めて歌う。その頬に涙がこぼれているのを、かえでと龍彦は気付いていた。ディナ―の後かえでは、正午が自分に好意を持っていることを龍彦に話す。龍彦は恋愛に関してはいい勝負だと正午を慰めに行くが、正午は、かえでにとっての自分と龍彦は恋愛対象であるかないかが決定的に違うと言い、今は一人にしてほしいと部屋を出て行ってもらう。そ"&amp;"れから暫くして圭介(尾美としのり)が、朝子(小嶋陽菜)がオ―ディションを受けるから力になってやってほしいと正午のもとを訪れる。正午から電話を受けた光代は前置きをして話し始める…。")</f>
        <v>正午(堺正章)の恋心を知ったかえで(夏川結衣)は律子(鈴木砂羽)に「正午のことは嫌いではないが、全くの予想外だった」と話す。一方、落ち込む正午に祥子(青木さやか)は恋心を代弁して伝えたことを報告。かえでの反応から、正午は自分が恋愛対象に入っていないことを再認識する。そんな時、かえでの母・秀子(高畑淳子)が正午に会いたいと東京に押しかけて来た。かえでは渋々正午に電話をかけるが…。さらに、街を歩いていた秀子は光代(夏木マリ)と遭遇。実は秀子と光代はザ・レインドロップスの追っかけ仲間で、光代はかえでが秀子の娘と知り驚く。正午は、かえでに対して“お母さんがファンだった人"という役割を全うして諦めると決意。かえでと秀子が正午に指定された店に行くと龍彦(徳井義実)も来ており、ステ―ジに立った正午は思いを込めて歌う。その頬に涙がこぼれているのを、かえでと龍彦は気付いていた。ディナ―の後かえでは、正午が自分に好意を持っていることを龍彦に話す。龍彦は恋愛に関してはいい勝負だと正午を慰めに行くが、正午は、かえでにとっての自分と龍彦は恋愛対象であるかないかが決定的に違うと言い、今は一人にしてほしいと部屋を出て行ってもらう。それから暫くして圭介(尾美としのり)が、朝子(小嶋陽菜)がオ―ディションを受けるから力になってやってほしいと正午のもとを訪れる。正午から電話を受けた光代は前置きをして話し始める…。</v>
      </c>
      <c r="N1953" s="2"/>
      <c r="O1953" s="2"/>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row>
    <row r="1954" ht="204.75" customHeight="1">
      <c r="A1954" s="1">
        <v>5781.0</v>
      </c>
      <c r="B1954" s="2" t="s">
        <v>6198</v>
      </c>
      <c r="C1954" s="2">
        <f>IFERROR(__xludf.DUMMYFUNCTION("split(B1954,""_"")"),804.0)</f>
        <v>804</v>
      </c>
      <c r="D1954" s="2" t="str">
        <f>IFERROR(__xludf.DUMMYFUNCTION("""COMPUTED_VALUE"""),"CX")</f>
        <v>CX</v>
      </c>
      <c r="E1954" s="2" t="str">
        <f>IFERROR(__xludf.DUMMYFUNCTION("""COMPUTED_VALUE"""),"火22")</f>
        <v>火22</v>
      </c>
      <c r="F1954" s="2" t="s">
        <v>6199</v>
      </c>
      <c r="G1954" s="2" t="s">
        <v>6218</v>
      </c>
      <c r="H1954" s="1">
        <v>7.0</v>
      </c>
      <c r="I1954" s="1" t="s">
        <v>25</v>
      </c>
      <c r="J1954" s="1" t="s">
        <v>86</v>
      </c>
      <c r="K1954" s="2" t="s">
        <v>6219</v>
      </c>
      <c r="L1954" s="11" t="s">
        <v>6220</v>
      </c>
      <c r="M1954" s="2" t="str">
        <f>IFERROR(__xludf.DUMMYFUNCTION("split(split(K1954,""堺正章  "",false),""http://ktv.jp/muri/"",false)"),"正午(堺正章)の気持ちを知ったかえで(夏川結衣)は、自分の正直な気持ちを話そうと正午のもとを訪れる。年寄りに好きになられて迷惑したのではないかと心配する正午に、かえでは自信を持ってほしいと答える。その帰り道、正午はかえでに告白、かえでも心を動かされる。  一方、正午は龍彦(徳井義実)が部屋に戻って来ると、かえでに告白したことを報告。ライバルと思っていない様子の龍彦に、トランプで負けた方がかえでを諦めると勝負を持ちかけるが…。  翌朝、オフィスに出社した正午は、新人バンド・ZUKANのデビュ―を目前に控えて"&amp;"弱気になる文平(田中圭)を励ます。そして昨夜、かえでに告白したことを報告。文平も最近好きな女の子に告白したことを明かすが、それが自分の娘・朝子(小嶋陽菜)と知らない正午も盛り上がる。  かえでの36歳の誕生日が近づいて、律子(鈴木砂羽)は誕生会を企画。かえでから彼氏も連れて来てと言われた律子は、水田(福田充徳)のことを打ち明けるべきか頭を悩ませる。そんな時、ロケ現場に龍彦がやって来る。やっぱりかえでが好きだから、もうどこにも行かないと告げる龍彦に、かえでは職を探しお金を入れることを条件に部屋に戻ることを認"&amp;"める。  律子の提案で誕生会には正午も呼ぶことになるが、正午が入れたZUKANのラジオ出演とかえでの誕生会が重なってしまう。すると正午はかえでの携帯に電話をかけ…。")</f>
        <v>正午(堺正章)の気持ちを知ったかえで(夏川結衣)は、自分の正直な気持ちを話そうと正午のもとを訪れる。年寄りに好きになられて迷惑したのではないかと心配する正午に、かえでは自信を持ってほしいと答える。その帰り道、正午はかえでに告白、かえでも心を動かされる。  一方、正午は龍彦(徳井義実)が部屋に戻って来ると、かえでに告白したことを報告。ライバルと思っていない様子の龍彦に、トランプで負けた方がかえでを諦めると勝負を持ちかけるが…。  翌朝、オフィスに出社した正午は、新人バンド・ZUKANのデビュ―を目前に控えて弱気になる文平(田中圭)を励ます。そして昨夜、かえでに告白したことを報告。文平も最近好きな女の子に告白したことを明かすが、それが自分の娘・朝子(小嶋陽菜)と知らない正午も盛り上がる。  かえでの36歳の誕生日が近づいて、律子(鈴木砂羽)は誕生会を企画。かえでから彼氏も連れて来てと言われた律子は、水田(福田充徳)のことを打ち明けるべきか頭を悩ませる。そんな時、ロケ現場に龍彦がやって来る。やっぱりかえでが好きだから、もうどこにも行かないと告げる龍彦に、かえでは職を探しお金を入れることを条件に部屋に戻ることを認める。  律子の提案で誕生会には正午も呼ぶことになるが、正午が入れたZUKANのラジオ出演とかえでの誕生会が重なってしまう。すると正午はかえでの携帯に電話をかけ…。</v>
      </c>
      <c r="N1954" s="2"/>
      <c r="O1954" s="2"/>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row>
    <row r="1955" ht="204.75" customHeight="1">
      <c r="A1955" s="1">
        <v>5782.0</v>
      </c>
      <c r="B1955" s="2" t="s">
        <v>6198</v>
      </c>
      <c r="C1955" s="2">
        <f>IFERROR(__xludf.DUMMYFUNCTION("split(B1955,""_"")"),804.0)</f>
        <v>804</v>
      </c>
      <c r="D1955" s="2" t="str">
        <f>IFERROR(__xludf.DUMMYFUNCTION("""COMPUTED_VALUE"""),"CX")</f>
        <v>CX</v>
      </c>
      <c r="E1955" s="2" t="str">
        <f>IFERROR(__xludf.DUMMYFUNCTION("""COMPUTED_VALUE"""),"火22")</f>
        <v>火22</v>
      </c>
      <c r="F1955" s="2" t="s">
        <v>6199</v>
      </c>
      <c r="G1955" s="2" t="s">
        <v>6221</v>
      </c>
      <c r="H1955" s="1">
        <v>8.0</v>
      </c>
      <c r="I1955" s="1" t="s">
        <v>29</v>
      </c>
      <c r="J1955" s="1" t="s">
        <v>86</v>
      </c>
      <c r="K1955" s="2" t="s">
        <v>6222</v>
      </c>
      <c r="L1955" s="11" t="s">
        <v>6223</v>
      </c>
      <c r="M1955" s="2" t="str">
        <f>IFERROR(__xludf.DUMMYFUNCTION("split(split(K1955,""堺正章  "",false),""http://ktv.jp/muri/"",false)"),"　正午(堺正章)は誕生会に欠席したお詫びに、かえで(夏川結衣)を食事に誘う。返事をもらい喜ぶ正午に、祥子(青木さやか)は人間ドックに行くように強く通告。渋々人間ドックを受けるとポリ―プが見つかり、精密検査のため入院が必要と言い渡されてしまう。年寄りと思われたくない一心で、正午は急に出張が入ったとかえでにウソをつき、デ―トをキャンセル。  龍彦(徳井義実)はアルバイトを始め、かえでの言いつけを守っていた。それを聞いた律子(鈴木砂羽)は、正午というライバルが現れて危機感を持った龍彦は母性本能に訴える作戦に出た"&amp;"のではと推察。その後、かえでが龍彦と律子、水田(福田充徳)と飲んでいると、水田が緊張した面持ちで律子にプロポ―ズ。茶化しながら涙をこぼす律子に、かえでももらい泣きしてしまう。別の日、かえでのことを考えながら歩いていた龍彦は、道で転倒して腰を強打、病院に担ぎ込まれる。  一方、文平(田中圭)は朝子(小嶋陽菜)から正午の別れた妻との娘と聞かされ絶句。正午と話をしようと病室を訪れると、ちょうど圭介(尾美としのり)も見舞いにやって来ていた。意を決し、文平は朝子と付き合いたいと正午に言うが…。  翌日、正午が病院内"&amp;"を歩いていると、龍彦が同じ病院に入院しているのを目撃。かえでも見舞いに来るかもしれないと正午は病室に戻ろうとするが、背後から来た人とぶつかってしまう。振り返るとそれはかえで本人で…。")</f>
        <v>　正午(堺正章)は誕生会に欠席したお詫びに、かえで(夏川結衣)を食事に誘う。返事をもらい喜ぶ正午に、祥子(青木さやか)は人間ドックに行くように強く通告。渋々人間ドックを受けるとポリ―プが見つかり、精密検査のため入院が必要と言い渡されてしまう。年寄りと思われたくない一心で、正午は急に出張が入ったとかえでにウソをつき、デ―トをキャンセル。  龍彦(徳井義実)はアルバイトを始め、かえでの言いつけを守っていた。それを聞いた律子(鈴木砂羽)は、正午というライバルが現れて危機感を持った龍彦は母性本能に訴える作戦に出たのではと推察。その後、かえでが龍彦と律子、水田(福田充徳)と飲んでいると、水田が緊張した面持ちで律子にプロポ―ズ。茶化しながら涙をこぼす律子に、かえでももらい泣きしてしまう。別の日、かえでのことを考えながら歩いていた龍彦は、道で転倒して腰を強打、病院に担ぎ込まれる。  一方、文平(田中圭)は朝子(小嶋陽菜)から正午の別れた妻との娘と聞かされ絶句。正午と話をしようと病室を訪れると、ちょうど圭介(尾美としのり)も見舞いにやって来ていた。意を決し、文平は朝子と付き合いたいと正午に言うが…。  翌日、正午が病院内を歩いていると、龍彦が同じ病院に入院しているのを目撃。かえでも見舞いに来るかもしれないと正午は病室に戻ろうとするが、背後から来た人とぶつかってしまう。振り返るとそれはかえで本人で…。</v>
      </c>
      <c r="N1955" s="2"/>
      <c r="O1955" s="2"/>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row>
    <row r="1956" ht="204.75" customHeight="1">
      <c r="A1956" s="1">
        <v>5783.0</v>
      </c>
      <c r="B1956" s="2" t="s">
        <v>6198</v>
      </c>
      <c r="C1956" s="2">
        <f>IFERROR(__xludf.DUMMYFUNCTION("split(B1956,""_"")"),804.0)</f>
        <v>804</v>
      </c>
      <c r="D1956" s="2" t="str">
        <f>IFERROR(__xludf.DUMMYFUNCTION("""COMPUTED_VALUE"""),"CX")</f>
        <v>CX</v>
      </c>
      <c r="E1956" s="2" t="str">
        <f>IFERROR(__xludf.DUMMYFUNCTION("""COMPUTED_VALUE"""),"火22")</f>
        <v>火22</v>
      </c>
      <c r="F1956" s="2" t="s">
        <v>6199</v>
      </c>
      <c r="G1956" s="2" t="s">
        <v>6224</v>
      </c>
      <c r="H1956" s="1">
        <v>9.0</v>
      </c>
      <c r="I1956" s="1" t="s">
        <v>33</v>
      </c>
      <c r="J1956" s="1" t="s">
        <v>86</v>
      </c>
      <c r="K1956" s="2" t="s">
        <v>6225</v>
      </c>
      <c r="L1956" s="11" t="s">
        <v>6226</v>
      </c>
      <c r="M1956" s="2" t="str">
        <f>IFERROR(__xludf.DUMMYFUNCTION("split(split(K1956,""堺正章  "",false),""http://ktv.jp/muri/"",false)"),"新人バンド・ZUKANのCDデビュ―が明日に迫り、正午(堺正章)は営業の反対を押し切って強力にプッシュを進める。かえで(夏川結衣)、律子(鈴木砂羽)、龍彦(徳井義実)、水田(福田充徳)は、かえでと律子が出演したドラマを見るため集まっていた。正午も打ち合わせを終え、オフィスで放送を心待ちにしていた。放送が終わり、かえでの幸せそうな表情を見た龍彦は、自分が正午と同様にかえでを幸せにできるのか不安になる。そんな龍彦は、水田に自らが書いた映画の脚本を読んでほしいと依頼されるが、龍彦はあまり気乗りがしない。  その"&amp;"晩、正午はバ―で同年輩の男性と遭遇し、意気投合。現在36歳の女性に恋をしていると告げるが、その男性はかえでの父・幹二(前田吟)だった。今後も連絡を取り合おうと2人は名刺交換をするが、互いの素性が分かり気まずい空気に包まれる。  翌日、龍彦が正午の会社を訪れ、自分と正午と、どちらがかえでを幸せにできるかと切り出す。自信喪失気味の龍彦に、正午は若いのだからこれから変われるチャンスがたくさんあると励ます。かえでは幹二と会い、夢に向かって100%力を出しきっているのかと説教される。父の言葉や正午の姿に背中を押され"&amp;"たかえでは、女優としてできることを頑張ってみようと奮起。だが正午自身はピンチに立たされていた。ZUKANのCDの売れ行きがかなり厳しい状況だったのだ・・・。")</f>
        <v>新人バンド・ZUKANのCDデビュ―が明日に迫り、正午(堺正章)は営業の反対を押し切って強力にプッシュを進める。かえで(夏川結衣)、律子(鈴木砂羽)、龍彦(徳井義実)、水田(福田充徳)は、かえでと律子が出演したドラマを見るため集まっていた。正午も打ち合わせを終え、オフィスで放送を心待ちにしていた。放送が終わり、かえでの幸せそうな表情を見た龍彦は、自分が正午と同様にかえでを幸せにできるのか不安になる。そんな龍彦は、水田に自らが書いた映画の脚本を読んでほしいと依頼されるが、龍彦はあまり気乗りがしない。  その晩、正午はバ―で同年輩の男性と遭遇し、意気投合。現在36歳の女性に恋をしていると告げるが、その男性はかえでの父・幹二(前田吟)だった。今後も連絡を取り合おうと2人は名刺交換をするが、互いの素性が分かり気まずい空気に包まれる。  翌日、龍彦が正午の会社を訪れ、自分と正午と、どちらがかえでを幸せにできるかと切り出す。自信喪失気味の龍彦に、正午は若いのだからこれから変われるチャンスがたくさんあると励ます。かえでは幹二と会い、夢に向かって100%力を出しきっているのかと説教される。父の言葉や正午の姿に背中を押されたかえでは、女優としてできることを頑張ってみようと奮起。だが正午自身はピンチに立たされていた。ZUKANのCDの売れ行きがかなり厳しい状況だったのだ・・・。</v>
      </c>
      <c r="N1956" s="2"/>
      <c r="O1956" s="2"/>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row>
    <row r="1957" ht="204.75" customHeight="1">
      <c r="A1957" s="1">
        <v>5784.0</v>
      </c>
      <c r="B1957" s="2" t="s">
        <v>6198</v>
      </c>
      <c r="C1957" s="2">
        <f>IFERROR(__xludf.DUMMYFUNCTION("split(B1957,""_"")"),804.0)</f>
        <v>804</v>
      </c>
      <c r="D1957" s="2" t="str">
        <f>IFERROR(__xludf.DUMMYFUNCTION("""COMPUTED_VALUE"""),"CX")</f>
        <v>CX</v>
      </c>
      <c r="E1957" s="2" t="str">
        <f>IFERROR(__xludf.DUMMYFUNCTION("""COMPUTED_VALUE"""),"火22")</f>
        <v>火22</v>
      </c>
      <c r="F1957" s="2" t="s">
        <v>6199</v>
      </c>
      <c r="G1957" s="2" t="s">
        <v>6227</v>
      </c>
      <c r="H1957" s="1">
        <v>10.0</v>
      </c>
      <c r="I1957" s="1" t="s">
        <v>37</v>
      </c>
      <c r="J1957" s="1" t="s">
        <v>86</v>
      </c>
      <c r="K1957" s="2" t="s">
        <v>6228</v>
      </c>
      <c r="L1957" s="11" t="s">
        <v>6229</v>
      </c>
      <c r="M1957" s="2" t="str">
        <f>IFERROR(__xludf.DUMMYFUNCTION("split(split(K1957,""堺正章  "",false),""http://ktv.jp/muri/"",false)"),"正午(堺正章)は新人バンド・ZUKANのCDの売れ行きが不調なことを理由に、社員たちから現場を離れるよう言われてしまった。カラ元気でオフィスの整理を始めたり、自ら率先してZUKANに声をかける正午を見て、祥子(青木さやか)は会社を辞めようとしているのだと気づく。  その帰り、正午がケンちゃん(ムッシュかまやつ)の店に寄り「何もなくなった60歳に恋は厳しい」と自嘲していると、かえで(夏川結衣)が店にやって来た。かえではオ―ディションや営業活動を続けているが、やはり年齢がネックになっていた。それでも女優業を頑"&amp;"張る気になったのは、正午に負けたくないからだと聞き、正午は今の自分の境遇が切なくなる。  その後、かえではダメもとで受けた映画のオ―ディションで、ヒロインの叔母さん役で起用を検討しているので、もう一度会ってみたいと連絡を受ける。正午は遂に会社に辞表を提出し、自分から誘って光代(夏木マリ)一家と食事をする。光代はそんな正午を見て、姿を消そうとしているのではないかと言い当てる。正午は最後に龍彦(徳井義実)にだけ会って、遠回しにかえでを幸せにするよう伝えておこうと電話を掛けるが、成り行きで、かえでたちと一緒に居"&amp;"酒屋で酒を飲むことになる。かえではダメもとで受けた映画のオ―ディションで脇役に合格。そんなかえでを、正午はある決意を秘めてデ―トに誘う・・・。")</f>
        <v>正午(堺正章)は新人バンド・ZUKANのCDの売れ行きが不調なことを理由に、社員たちから現場を離れるよう言われてしまった。カラ元気でオフィスの整理を始めたり、自ら率先してZUKANに声をかける正午を見て、祥子(青木さやか)は会社を辞めようとしているのだと気づく。  その帰り、正午がケンちゃん(ムッシュかまやつ)の店に寄り「何もなくなった60歳に恋は厳しい」と自嘲していると、かえで(夏川結衣)が店にやって来た。かえではオ―ディションや営業活動を続けているが、やはり年齢がネックになっていた。それでも女優業を頑張る気になったのは、正午に負けたくないからだと聞き、正午は今の自分の境遇が切なくなる。  その後、かえではダメもとで受けた映画のオ―ディションで、ヒロインの叔母さん役で起用を検討しているので、もう一度会ってみたいと連絡を受ける。正午は遂に会社に辞表を提出し、自分から誘って光代(夏木マリ)一家と食事をする。光代はそんな正午を見て、姿を消そうとしているのではないかと言い当てる。正午は最後に龍彦(徳井義実)にだけ会って、遠回しにかえでを幸せにするよう伝えておこうと電話を掛けるが、成り行きで、かえでたちと一緒に居酒屋で酒を飲むことになる。かえではダメもとで受けた映画のオ―ディションで脇役に合格。そんなかえでを、正午はある決意を秘めてデ―トに誘う・・・。</v>
      </c>
      <c r="N1957" s="2"/>
      <c r="O1957" s="2"/>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row>
    <row r="1958" ht="204.75" customHeight="1">
      <c r="A1958" s="1">
        <v>5785.0</v>
      </c>
      <c r="B1958" s="2" t="s">
        <v>6198</v>
      </c>
      <c r="C1958" s="2">
        <f>IFERROR(__xludf.DUMMYFUNCTION("split(B1958,""_"")"),804.0)</f>
        <v>804</v>
      </c>
      <c r="D1958" s="2" t="str">
        <f>IFERROR(__xludf.DUMMYFUNCTION("""COMPUTED_VALUE"""),"CX")</f>
        <v>CX</v>
      </c>
      <c r="E1958" s="2" t="str">
        <f>IFERROR(__xludf.DUMMYFUNCTION("""COMPUTED_VALUE"""),"火22")</f>
        <v>火22</v>
      </c>
      <c r="F1958" s="2" t="s">
        <v>6199</v>
      </c>
      <c r="G1958" s="2" t="s">
        <v>6230</v>
      </c>
      <c r="H1958" s="1">
        <v>11.0</v>
      </c>
      <c r="I1958" s="1" t="s">
        <v>41</v>
      </c>
      <c r="J1958" s="1" t="s">
        <v>86</v>
      </c>
      <c r="K1958" s="2" t="s">
        <v>6231</v>
      </c>
      <c r="L1958" s="11" t="s">
        <v>6232</v>
      </c>
      <c r="M1958" s="2" t="str">
        <f>IFERROR(__xludf.DUMMYFUNCTION("split(split(K1958,""堺正章  "",false),""http://ktv.jp/muri/"",false)"),"　正午(堺正章)が皆の前から姿を消し、自責の念に駆られていたかえで(夏川結衣)に、正午から手紙が届く。そこには、かえでの前から姿を消せば恋は終わらず、ずっと恋をしていられるからと、失踪の理由が綴られていた。  　その頃、正午は海辺の町で偶然、元部下の菊原(坂口憲二)と再会。音楽の話で盛り上がった2人は、新レ―ベル「チャッピ―ズ」をスタ―トさせ、新人発掘を始める。その後、ZUKANのCDチャ―トが急上昇し、祥子(青木さやか)と矢代(田中圭)は正午を連れ戻しにやって来るが、正午は自分のために新しいことを始めた"&amp;"いと会社復帰を断る。  　そして1年後。かえでは出演した映画が封切りになり、正午は新人を売り出すために営業に精を出していた。律子(鈴木砂羽)は臨月を迎え、水田(福田充徳)と結婚式を挙げる。龍彦(徳井義実)は脚本コンク―ルに再チャレンジするために自主取材に出かけるが、海辺の町で楽しそうに仕事をする正午を偶然見かけ、思わず物陰に隠れてしまう。東京に戻り、そのことを言い出しかねている龍彦に、かえでは自分と龍彦が頑張り続けるのが正午への恩返しなのだと話し、龍彦は正午の存在の大きさを思い知る。かえでは小さな映画祭の"&amp;"助演女優賞に選ばれ、そのことを新聞記事で読んだ正午は遠い町で秘かに感動するのだった。  　映画祭当日、龍彦は指輪を持参。授賞式の会場でかえでにプロポ―ズをしようとするが・・・?")</f>
        <v>　正午(堺正章)が皆の前から姿を消し、自責の念に駆られていたかえで(夏川結衣)に、正午から手紙が届く。そこには、かえでの前から姿を消せば恋は終わらず、ずっと恋をしていられるからと、失踪の理由が綴られていた。  　その頃、正午は海辺の町で偶然、元部下の菊原(坂口憲二)と再会。音楽の話で盛り上がった2人は、新レ―ベル「チャッピ―ズ」をスタ―トさせ、新人発掘を始める。その後、ZUKANのCDチャ―トが急上昇し、祥子(青木さやか)と矢代(田中圭)は正午を連れ戻しにやって来るが、正午は自分のために新しいことを始めたいと会社復帰を断る。  　そして1年後。かえでは出演した映画が封切りになり、正午は新人を売り出すために営業に精を出していた。律子(鈴木砂羽)は臨月を迎え、水田(福田充徳)と結婚式を挙げる。龍彦(徳井義実)は脚本コンク―ルに再チャレンジするために自主取材に出かけるが、海辺の町で楽しそうに仕事をする正午を偶然見かけ、思わず物陰に隠れてしまう。東京に戻り、そのことを言い出しかねている龍彦に、かえでは自分と龍彦が頑張り続けるのが正午への恩返しなのだと話し、龍彦は正午の存在の大きさを思い知る。かえでは小さな映画祭の助演女優賞に選ばれ、そのことを新聞記事で読んだ正午は遠い町で秘かに感動するのだった。  　映画祭当日、龍彦は指輪を持参。授賞式の会場でかえでにプロポ―ズをしようとするが・・・?</v>
      </c>
      <c r="N1958" s="2"/>
      <c r="O1958" s="2"/>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row>
    <row r="1959" ht="204.75" customHeight="1">
      <c r="A1959" s="1">
        <v>5817.0</v>
      </c>
      <c r="B1959" s="2" t="s">
        <v>6233</v>
      </c>
      <c r="C1959" s="2">
        <f>IFERROR(__xludf.DUMMYFUNCTION("split(B1959,""_"")"),804.0)</f>
        <v>804</v>
      </c>
      <c r="D1959" s="2" t="str">
        <f>IFERROR(__xludf.DUMMYFUNCTION("""COMPUTED_VALUE"""),"CX")</f>
        <v>CX</v>
      </c>
      <c r="E1959" s="2" t="str">
        <f>IFERROR(__xludf.DUMMYFUNCTION("""COMPUTED_VALUE"""),"木22")</f>
        <v>木22</v>
      </c>
      <c r="F1959" s="2" t="s">
        <v>6234</v>
      </c>
      <c r="G1959" s="2" t="s">
        <v>6235</v>
      </c>
      <c r="H1959" s="1">
        <v>1.0</v>
      </c>
      <c r="I1959" s="1" t="s">
        <v>3</v>
      </c>
      <c r="J1959" s="1" t="s">
        <v>82</v>
      </c>
      <c r="K1959" s="4" t="s">
        <v>6236</v>
      </c>
      <c r="L1959" s="11" t="s">
        <v>6237</v>
      </c>
      <c r="M1959" s="2" t="str">
        <f>IFERROR(__xludf.DUMMYFUNCTION("split(split(K1959,""長澤まさみ  "",false),""公式LINE"",false)"),"美容師のアシスタントをしている藍田美知留(長澤まさみ)は、高校時代の親友・岸本瑠可(上野樹里)と偶然再会する。瑠可は、友人のエリ(水川あさみ)とシェアハウスと呼ばれる共同住宅に暮らしながら、モトクロスのレ―サ―を目指していた。  　瑠可は、シェアハウスで一緒に暮らさないか、と美知留を誘った。が、区役所の児童福祉課に勤務する恋人・及川宗佑(錦戸亮)と同棲することを決めたばかりの美知留はそれを断る。　一方、ヘアメイクア―ティストの卵、水島タケル(瑛太)は、雑貨店で瑠可とぶつかり、彼女が落としたマグカップを拾う"&amp;"。瑠可が美知留を見かけ、後を追いかけた際の出来事だった。その夜、タケルは、信号待ちをしている瑠可に気づき、声をかけようとする。が、ナンパだと勘違いした瑠可に怒鳴られ、持っていたマグカップを渡すことができない。  　別の日、瑠可は、エリとともにとあるバ―を訪れる。そこは、タケルがバ―テンダ―をしている店だった。タケルは、瑠可に事情を話すと、割れたところを修復したマグカップを彼女に見せて誤解を解く。  　そんな中、美知留は、宗佑のマンションに引っ越す。美知留は、何があっても絶対に側を離れない、という宗佑の言葉"&amp;"に幸せを実感していた。ところがその翌日、美知留が目を覚ますと、宗佑が美知留の携帯電話を開いて見ており…。")</f>
        <v>美容師のアシスタントをしている藍田美知留(長澤まさみ)は、高校時代の親友・岸本瑠可(上野樹里)と偶然再会する。瑠可は、友人のエリ(水川あさみ)とシェアハウスと呼ばれる共同住宅に暮らしながら、モトクロスのレ―サ―を目指していた。  　瑠可は、シェアハウスで一緒に暮らさないか、と美知留を誘った。が、区役所の児童福祉課に勤務する恋人・及川宗佑(錦戸亮)と同棲することを決めたばかりの美知留はそれを断る。　一方、ヘアメイクア―ティストの卵、水島タケル(瑛太)は、雑貨店で瑠可とぶつかり、彼女が落としたマグカップを拾う。瑠可が美知留を見かけ、後を追いかけた際の出来事だった。その夜、タケルは、信号待ちをしている瑠可に気づき、声をかけようとする。が、ナンパだと勘違いした瑠可に怒鳴られ、持っていたマグカップを渡すことができない。  　別の日、瑠可は、エリとともにとあるバ―を訪れる。そこは、タケルがバ―テンダ―をしている店だった。タケルは、瑠可に事情を話すと、割れたところを修復したマグカップを彼女に見せて誤解を解く。  　そんな中、美知留は、宗佑のマンションに引っ越す。美知留は、何があっても絶対に側を離れない、という宗佑の言葉に幸せを実感していた。ところがその翌日、美知留が目を覚ますと、宗佑が美知留の携帯電話を開いて見ており…。</v>
      </c>
      <c r="N1959" s="2"/>
      <c r="O1959" s="2"/>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row>
    <row r="1960" ht="204.75" customHeight="1">
      <c r="A1960" s="1">
        <v>5818.0</v>
      </c>
      <c r="B1960" s="2" t="s">
        <v>6233</v>
      </c>
      <c r="C1960" s="2">
        <f>IFERROR(__xludf.DUMMYFUNCTION("split(B1960,""_"")"),804.0)</f>
        <v>804</v>
      </c>
      <c r="D1960" s="2" t="str">
        <f>IFERROR(__xludf.DUMMYFUNCTION("""COMPUTED_VALUE"""),"CX")</f>
        <v>CX</v>
      </c>
      <c r="E1960" s="2" t="str">
        <f>IFERROR(__xludf.DUMMYFUNCTION("""COMPUTED_VALUE"""),"木22")</f>
        <v>木22</v>
      </c>
      <c r="F1960" s="2" t="s">
        <v>6234</v>
      </c>
      <c r="G1960" s="2" t="s">
        <v>6238</v>
      </c>
      <c r="H1960" s="1">
        <v>2.0</v>
      </c>
      <c r="I1960" s="1" t="s">
        <v>7</v>
      </c>
      <c r="J1960" s="1" t="s">
        <v>86</v>
      </c>
      <c r="K1960" s="2" t="s">
        <v>6239</v>
      </c>
      <c r="L1960" s="11" t="s">
        <v>6240</v>
      </c>
      <c r="M1960" s="2" t="str">
        <f>IFERROR(__xludf.DUMMYFUNCTION("split(split(K1960,""長澤まさみ  "",false),""公式LINE"",false)"),"美知留(長澤まさみ)は、恋人の宗佑(錦戸亮)に何も言わずに、瑠可(上野樹里)とエリ(水川あさみ)が暮らすシェアハウスで一夜を明かす。宗佑は、そんな美知留を迎えに、彼女が働く美容室を訪れた。美知留は、連絡もせずに外泊したことを怒っていないのか、と宗佑に尋ねた。すると宗佑は、美知留を抱きしめ、どこにも行かないでほしい、と告げる。  　あくる日、瑠可のアルバイト先に、父親の修治(平田満)が訪ねてくる。瑠可は、修治を連れて、タケル(瑛太)がアルバイトをしているバ―を訪れ、一緒に酒を飲んだ。修治は、瑠可がタケルと交"&amp;"際しているのではないかと疑うが、それが誤解だと分かると安心したようすだった。  　同じころ、食事の準備をしていた美知留は、実家で見つけることができなかった高校の卒業アルバムが何故かクロ―ゼットの奥にあることを知り、不審を抱く。しかも、アルバムの中にあった集合写真の瑠可の名前には×印がしてあった。  　別の日、エリは、航空会社の先輩・友彦(山崎樹範)のようすがおかしいことに気付く。理由を尋ねると、妻が家に男を連れ込んでいることを知り、どうすればいいのか分からないのだと言う。エリは、そんな友彦をシェアハウスに"&amp;"誘った。  　その夜、美知留は、急な残業で帰宅が遅くなってしまう。すると宗佑は、いきなり美知留を殴りつけた。そのとき、瑠可からの電話が入り…。")</f>
        <v>美知留(長澤まさみ)は、恋人の宗佑(錦戸亮)に何も言わずに、瑠可(上野樹里)とエリ(水川あさみ)が暮らすシェアハウスで一夜を明かす。宗佑は、そんな美知留を迎えに、彼女が働く美容室を訪れた。美知留は、連絡もせずに外泊したことを怒っていないのか、と宗佑に尋ねた。すると宗佑は、美知留を抱きしめ、どこにも行かないでほしい、と告げる。  　あくる日、瑠可のアルバイト先に、父親の修治(平田満)が訪ねてくる。瑠可は、修治を連れて、タケル(瑛太)がアルバイトをしているバ―を訪れ、一緒に酒を飲んだ。修治は、瑠可がタケルと交際しているのではないかと疑うが、それが誤解だと分かると安心したようすだった。  　同じころ、食事の準備をしていた美知留は、実家で見つけることができなかった高校の卒業アルバムが何故かクロ―ゼットの奥にあることを知り、不審を抱く。しかも、アルバムの中にあった集合写真の瑠可の名前には×印がしてあった。  　別の日、エリは、航空会社の先輩・友彦(山崎樹範)のようすがおかしいことに気付く。理由を尋ねると、妻が家に男を連れ込んでいることを知り、どうすればいいのか分からないのだと言う。エリは、そんな友彦をシェアハウスに誘った。  　その夜、美知留は、急な残業で帰宅が遅くなってしまう。すると宗佑は、いきなり美知留を殴りつけた。そのとき、瑠可からの電話が入り…。</v>
      </c>
      <c r="N1960" s="2"/>
      <c r="O1960" s="2"/>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row>
    <row r="1961" ht="204.75" customHeight="1">
      <c r="A1961" s="1">
        <v>5819.0</v>
      </c>
      <c r="B1961" s="2" t="s">
        <v>6233</v>
      </c>
      <c r="C1961" s="2">
        <f>IFERROR(__xludf.DUMMYFUNCTION("split(B1961,""_"")"),804.0)</f>
        <v>804</v>
      </c>
      <c r="D1961" s="2" t="str">
        <f>IFERROR(__xludf.DUMMYFUNCTION("""COMPUTED_VALUE"""),"CX")</f>
        <v>CX</v>
      </c>
      <c r="E1961" s="2" t="str">
        <f>IFERROR(__xludf.DUMMYFUNCTION("""COMPUTED_VALUE"""),"木22")</f>
        <v>木22</v>
      </c>
      <c r="F1961" s="2" t="s">
        <v>6234</v>
      </c>
      <c r="G1961" s="2" t="s">
        <v>6241</v>
      </c>
      <c r="H1961" s="1">
        <v>3.0</v>
      </c>
      <c r="I1961" s="1" t="s">
        <v>10</v>
      </c>
      <c r="J1961" s="1" t="s">
        <v>86</v>
      </c>
      <c r="K1961" s="2" t="s">
        <v>6242</v>
      </c>
      <c r="L1961" s="11" t="s">
        <v>6243</v>
      </c>
      <c r="M1961" s="2" t="str">
        <f>IFERROR(__xludf.DUMMYFUNCTION("split(split(K1961,""長澤まさみ  "",false),""公式LINE"",false)"),"美知留(長澤まさみ)は、モトクロスの大会で転倒し、病院に搬送された瑠可(上野樹里)に付き添っていた。そこにやってきた宗佑(錦戸亮)は、美知留を連れ出すと、帰宅時間を守らなかった彼女を責め、暴力を振るった。偶然その現場を目撃してしまった瑠可は、美知留を庇い、宗佑の前に立ちはだかった。  　ほどなく、瑠可の戻りが遅いことを心配したタケル(瑛太)もやってきた。異変を感じ、イスを持ったまま立ち尽くす宗佑の腕を押さえつけるタケル。瑠可は、何故暴力を振るったのかと宗佑を責めた。すると宗佑は、ふざけていてイスが倒れただ"&amp;"けだ、などと答える。  　退院した瑠可は、美知留が働く美容院を訪ね、ランチを共にする。そこで、宗佑の話を切り出す瑠可。それに対して美知留は、一緒に暮らしていればケンカをすることもあるのだからたいしたことではない、と答えた。いままで人から愛されていると感じたことがなかったが、宗佑からは愛されていると感じる、というのだ。  　そんな折、美知留は、男性客からの指名を受ける。美知留は、男性客の髪は切らない、という宗佑との約束を思い出して一瞬戸惑うが、意を決してそれを引き受けた。  　その夜、宗佑と夕食を共にした美"&amp;"知留は、仕事のことを尋ねられる。宗佑の理不尽な要求に不満を抱いていた美知留は、仕事なのだから断れないと訴えた。すると宗佑は、自分と客のどちらが大事なのか、と美知留に詰め寄り…。")</f>
        <v>美知留(長澤まさみ)は、モトクロスの大会で転倒し、病院に搬送された瑠可(上野樹里)に付き添っていた。そこにやってきた宗佑(錦戸亮)は、美知留を連れ出すと、帰宅時間を守らなかった彼女を責め、暴力を振るった。偶然その現場を目撃してしまった瑠可は、美知留を庇い、宗佑の前に立ちはだかった。  　ほどなく、瑠可の戻りが遅いことを心配したタケル(瑛太)もやってきた。異変を感じ、イスを持ったまま立ち尽くす宗佑の腕を押さえつけるタケル。瑠可は、何故暴力を振るったのかと宗佑を責めた。すると宗佑は、ふざけていてイスが倒れただけだ、などと答える。  　退院した瑠可は、美知留が働く美容院を訪ね、ランチを共にする。そこで、宗佑の話を切り出す瑠可。それに対して美知留は、一緒に暮らしていればケンカをすることもあるのだからたいしたことではない、と答えた。いままで人から愛されていると感じたことがなかったが、宗佑からは愛されていると感じる、というのだ。  　そんな折、美知留は、男性客からの指名を受ける。美知留は、男性客の髪は切らない、という宗佑との約束を思い出して一瞬戸惑うが、意を決してそれを引き受けた。  　その夜、宗佑と夕食を共にした美知留は、仕事のことを尋ねられる。宗佑の理不尽な要求に不満を抱いていた美知留は、仕事なのだから断れないと訴えた。すると宗佑は、自分と客のどちらが大事なのか、と美知留に詰め寄り…。</v>
      </c>
      <c r="N1961" s="2"/>
      <c r="O1961" s="2"/>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row>
    <row r="1962" ht="204.75" customHeight="1">
      <c r="A1962" s="1">
        <v>5820.0</v>
      </c>
      <c r="B1962" s="2" t="s">
        <v>6233</v>
      </c>
      <c r="C1962" s="2">
        <f>IFERROR(__xludf.DUMMYFUNCTION("split(B1962,""_"")"),804.0)</f>
        <v>804</v>
      </c>
      <c r="D1962" s="2" t="str">
        <f>IFERROR(__xludf.DUMMYFUNCTION("""COMPUTED_VALUE"""),"CX")</f>
        <v>CX</v>
      </c>
      <c r="E1962" s="2" t="str">
        <f>IFERROR(__xludf.DUMMYFUNCTION("""COMPUTED_VALUE"""),"木22")</f>
        <v>木22</v>
      </c>
      <c r="F1962" s="2" t="s">
        <v>6234</v>
      </c>
      <c r="G1962" s="2" t="s">
        <v>6244</v>
      </c>
      <c r="H1962" s="1">
        <v>4.0</v>
      </c>
      <c r="I1962" s="1" t="s">
        <v>14</v>
      </c>
      <c r="J1962" s="1" t="s">
        <v>86</v>
      </c>
      <c r="K1962" s="2" t="s">
        <v>6245</v>
      </c>
      <c r="L1962" s="11" t="s">
        <v>6246</v>
      </c>
      <c r="M1962" s="2" t="str">
        <f>IFERROR(__xludf.DUMMYFUNCTION("split(split(K1962,""長澤まさみ  "",false),""公式LINE"",false)"),"美知留(長澤まさみ)は、瑠可(上野樹里)のことで宗佑(錦戸亮)と口論になり、激しい暴力を受ける。美知留は、瑠可やタケル(瑛太)たちが暮らすシェアハウスに向かい、助けを求めた。瑠可は、美知留を落ち着かせると、宗佑とは別れたほうがいい、と告げた。暴力で相手を自分の思い通りにしようとするのは愛じゃない、という瑠可の言葉に、涙を浮かべる美知留。瑠可は、タケルやエリ(水川あさみ)、友彦(山崎樹範)にも協力を求め、宗佑から美知留を守ろうと決意する。瑠可は、美容室を辞めて、携帯電話にも出るな、と美知留にアドバイスする。"&amp;"美知留は、タケルやエリたちの優しさを感じながら、シェアハウスで落ち着いた生活を送る。その間も、美知留の携帯電話には、何度も宗佑からの電話が入っていた。  　そんな折、モトクロスの練習場でトレ―ニングをしていた瑠可は、遠くからじっとこちらを見つめている宗佑の姿に気づく。瑠可は、タケルに連絡を入れ、宗佑がきたことを伝えると、美知留をひとりにしないでほしい、と頼んだ。瑠可は、ちょうどそこにやってきたチ―ムの監督・林田(田中哲司)を誘って飲みに行く。宗佑の尾行を防ぐためだった。その夜遅く、酒に酔った瑠可と林田は、"&amp;"互いにふざけ合いながら帰路についた。が、そこで瑠可は、林田に抱きつかれ、唇を奪われてしまう。  　そしてついに宗佑は瑠可の住むシェアハウスをつきとめ、訪ねてくる。そして・・・!!")</f>
        <v>美知留(長澤まさみ)は、瑠可(上野樹里)のことで宗佑(錦戸亮)と口論になり、激しい暴力を受ける。美知留は、瑠可やタケル(瑛太)たちが暮らすシェアハウスに向かい、助けを求めた。瑠可は、美知留を落ち着かせると、宗佑とは別れたほうがいい、と告げた。暴力で相手を自分の思い通りにしようとするのは愛じゃない、という瑠可の言葉に、涙を浮かべる美知留。瑠可は、タケルやエリ(水川あさみ)、友彦(山崎樹範)にも協力を求め、宗佑から美知留を守ろうと決意する。瑠可は、美容室を辞めて、携帯電話にも出るな、と美知留にアドバイスする。美知留は、タケルやエリたちの優しさを感じながら、シェアハウスで落ち着いた生活を送る。その間も、美知留の携帯電話には、何度も宗佑からの電話が入っていた。  　そんな折、モトクロスの練習場でトレ―ニングをしていた瑠可は、遠くからじっとこちらを見つめている宗佑の姿に気づく。瑠可は、タケルに連絡を入れ、宗佑がきたことを伝えると、美知留をひとりにしないでほしい、と頼んだ。瑠可は、ちょうどそこにやってきたチ―ムの監督・林田(田中哲司)を誘って飲みに行く。宗佑の尾行を防ぐためだった。その夜遅く、酒に酔った瑠可と林田は、互いにふざけ合いながら帰路についた。が、そこで瑠可は、林田に抱きつかれ、唇を奪われてしまう。  　そしてついに宗佑は瑠可の住むシェアハウスをつきとめ、訪ねてくる。そして・・・!!</v>
      </c>
      <c r="N1962" s="2"/>
      <c r="O1962" s="2"/>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row>
    <row r="1963" ht="204.75" customHeight="1">
      <c r="A1963" s="1">
        <v>5821.0</v>
      </c>
      <c r="B1963" s="2" t="s">
        <v>6233</v>
      </c>
      <c r="C1963" s="2">
        <f>IFERROR(__xludf.DUMMYFUNCTION("split(B1963,""_"")"),804.0)</f>
        <v>804</v>
      </c>
      <c r="D1963" s="2" t="str">
        <f>IFERROR(__xludf.DUMMYFUNCTION("""COMPUTED_VALUE"""),"CX")</f>
        <v>CX</v>
      </c>
      <c r="E1963" s="2" t="str">
        <f>IFERROR(__xludf.DUMMYFUNCTION("""COMPUTED_VALUE"""),"木22")</f>
        <v>木22</v>
      </c>
      <c r="F1963" s="2" t="s">
        <v>6234</v>
      </c>
      <c r="G1963" s="2" t="s">
        <v>6247</v>
      </c>
      <c r="H1963" s="1">
        <v>5.0</v>
      </c>
      <c r="I1963" s="1" t="s">
        <v>17</v>
      </c>
      <c r="J1963" s="1" t="s">
        <v>86</v>
      </c>
      <c r="K1963" s="2" t="s">
        <v>6248</v>
      </c>
      <c r="L1963" s="11" t="s">
        <v>6249</v>
      </c>
      <c r="M1963" s="2" t="str">
        <f>IFERROR(__xludf.DUMMYFUNCTION("split(split(K1963,""長澤まさみ  "",false),""公式LINE"",false)"),"美知留(長澤まさみ)は、シェアハウスの前でずぶ濡れになってうずくまっている宗佑(錦戸亮)を見つける。美知留は、宗佑をタクシ―に乗せてマンションまで送り、布団に寝かしつけた。宗佑は、帰ろうとする美知留の手をつかみ、行かないでほしいと頼んだ。しかし美知留は、もう一緒には住めない、と宗佑に告げ、彼の部屋を後にする。  　その夜、シェアハウスに戻った美知留は、もう1度同じ美容室で働くことにしたと瑠可(上野樹里)やタケル(瑛太)たちに報告。美知留は、心配するエリ(水川あさみ)たちに向かって、自分がしっかりしていれば"&amp;"大丈夫だと告げた。  　あくる日、タケルは、仕事を終えた美知留を迎えに行く。瑠可の実家で開かれるパ―ティ―に美知留と一緒に来てほしい、と瑠可から頼まれたのだ。  　美知留たちは、瑠可の父親・修治(平田満)や母親の陽子(朝加真由美)から歓迎を受ける。楽しいひと時を過ごした美知留は、瑠可と一緒に岸本家に泊まる。遠慮して岸本家を後にしたタケルは、シェアハウスに戻った。  　すると、エリがひとりでグラスを傾けていた。エリは、離婚の話し合いをするという友彦(山崎樹範)に付き添ったが、彼はそのまま自宅に泊まることにな"&amp;"ったのだという。酒に酔ったエリは、寂しさを紛らわすようにしてタケルに迫り、キスしようとした。その瞬間、タケルは、言いようのない嫌悪感に襲われ…。")</f>
        <v>美知留(長澤まさみ)は、シェアハウスの前でずぶ濡れになってうずくまっている宗佑(錦戸亮)を見つける。美知留は、宗佑をタクシ―に乗せてマンションまで送り、布団に寝かしつけた。宗佑は、帰ろうとする美知留の手をつかみ、行かないでほしいと頼んだ。しかし美知留は、もう一緒には住めない、と宗佑に告げ、彼の部屋を後にする。  　その夜、シェアハウスに戻った美知留は、もう1度同じ美容室で働くことにしたと瑠可(上野樹里)やタケル(瑛太)たちに報告。美知留は、心配するエリ(水川あさみ)たちに向かって、自分がしっかりしていれば大丈夫だと告げた。  　あくる日、タケルは、仕事を終えた美知留を迎えに行く。瑠可の実家で開かれるパ―ティ―に美知留と一緒に来てほしい、と瑠可から頼まれたのだ。  　美知留たちは、瑠可の父親・修治(平田満)や母親の陽子(朝加真由美)から歓迎を受ける。楽しいひと時を過ごした美知留は、瑠可と一緒に岸本家に泊まる。遠慮して岸本家を後にしたタケルは、シェアハウスに戻った。  　すると、エリがひとりでグラスを傾けていた。エリは、離婚の話し合いをするという友彦(山崎樹範)に付き添ったが、彼はそのまま自宅に泊まることになったのだという。酒に酔ったエリは、寂しさを紛らわすようにしてタケルに迫り、キスしようとした。その瞬間、タケルは、言いようのない嫌悪感に襲われ…。</v>
      </c>
      <c r="N1963" s="2"/>
      <c r="O1963" s="2"/>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row>
    <row r="1964" ht="204.75" customHeight="1">
      <c r="A1964" s="1">
        <v>5822.0</v>
      </c>
      <c r="B1964" s="2" t="s">
        <v>6233</v>
      </c>
      <c r="C1964" s="2">
        <f>IFERROR(__xludf.DUMMYFUNCTION("split(B1964,""_"")"),804.0)</f>
        <v>804</v>
      </c>
      <c r="D1964" s="2" t="str">
        <f>IFERROR(__xludf.DUMMYFUNCTION("""COMPUTED_VALUE"""),"CX")</f>
        <v>CX</v>
      </c>
      <c r="E1964" s="2" t="str">
        <f>IFERROR(__xludf.DUMMYFUNCTION("""COMPUTED_VALUE"""),"木22")</f>
        <v>木22</v>
      </c>
      <c r="F1964" s="2" t="s">
        <v>6234</v>
      </c>
      <c r="G1964" s="2" t="s">
        <v>6250</v>
      </c>
      <c r="H1964" s="1">
        <v>6.0</v>
      </c>
      <c r="I1964" s="1" t="s">
        <v>21</v>
      </c>
      <c r="J1964" s="1" t="s">
        <v>86</v>
      </c>
      <c r="K1964" s="2" t="s">
        <v>6251</v>
      </c>
      <c r="L1964" s="11" t="s">
        <v>6252</v>
      </c>
      <c r="M1964" s="2" t="str">
        <f>IFERROR(__xludf.DUMMYFUNCTION("split(split(K1964,""長澤まさみ  "",false),""公式LINE"",false)"),"美知留(長澤まさみ)は、宗佑(錦戸亮)のそばにいてあげたい、と瑠可(上野樹里)に訴える。美知留は、自分自身も弱い人間だから宗佑の弱さがわかる、と瑠可にいうと、宗佑のマンションへと急いだ。瑠可は、そんな美知留の言葉に傷つき、激しく動揺してしまう。  　宗佑は、息を切らしながらマンションにやってきた美知留を出迎える。宗佑は、いたって元気なようすだった。そこで宗佑は、新しい携帯電話を買うから、といって美知留の携帯電話を取り上げた。  　その夜、タケル(瑛太)やエリ(水川あさみ)を誘って酒を飲みにいった瑠可は、泥"&amp;"酔してしまい、タケルたちに抱きかかえられるようにして家に戻る。シェアハウスには、妻の元に戻ったはずの友彦(山崎樹範)の姿があった。友彦は、妻と話し合い、試験的に別居しようという結論に落ち着いたのだという。友彦の話を聞いていた瑠可は、エリの気持ちも考えたらどうか、と友彦を責めた。するとエリは、いまのままの関係でいいからシェアハウスにいていい、といって友彦を助ける。  　ある日、タケルは、美知留が働いていた美容室を訪れる。が、美知留はすでに店を辞めていた。美容室で宗佑のマンションの住所を聞いたタケルは、美知留"&amp;"を訪ねた。ドアチャイムを押しても返事はなかったが、玄関のドアには鍵がかかっていなかった。不審を抱き、ドアを開けるタケル。そこでタケルは、変わり果てた美知留の姿を目撃し…。")</f>
        <v>美知留(長澤まさみ)は、宗佑(錦戸亮)のそばにいてあげたい、と瑠可(上野樹里)に訴える。美知留は、自分自身も弱い人間だから宗佑の弱さがわかる、と瑠可にいうと、宗佑のマンションへと急いだ。瑠可は、そんな美知留の言葉に傷つき、激しく動揺してしまう。  　宗佑は、息を切らしながらマンションにやってきた美知留を出迎える。宗佑は、いたって元気なようすだった。そこで宗佑は、新しい携帯電話を買うから、といって美知留の携帯電話を取り上げた。  　その夜、タケル(瑛太)やエリ(水川あさみ)を誘って酒を飲みにいった瑠可は、泥酔してしまい、タケルたちに抱きかかえられるようにして家に戻る。シェアハウスには、妻の元に戻ったはずの友彦(山崎樹範)の姿があった。友彦は、妻と話し合い、試験的に別居しようという結論に落ち着いたのだという。友彦の話を聞いていた瑠可は、エリの気持ちも考えたらどうか、と友彦を責めた。するとエリは、いまのままの関係でいいからシェアハウスにいていい、といって友彦を助ける。  　ある日、タケルは、美知留が働いていた美容室を訪れる。が、美知留はすでに店を辞めていた。美容室で宗佑のマンションの住所を聞いたタケルは、美知留を訪ねた。ドアチャイムを押しても返事はなかったが、玄関のドアには鍵がかかっていなかった。不審を抱き、ドアを開けるタケル。そこでタケルは、変わり果てた美知留の姿を目撃し…。</v>
      </c>
      <c r="N1964" s="2"/>
      <c r="O1964" s="2"/>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row>
    <row r="1965" ht="204.75" customHeight="1">
      <c r="A1965" s="1">
        <v>5823.0</v>
      </c>
      <c r="B1965" s="2" t="s">
        <v>6233</v>
      </c>
      <c r="C1965" s="2">
        <f>IFERROR(__xludf.DUMMYFUNCTION("split(B1965,""_"")"),804.0)</f>
        <v>804</v>
      </c>
      <c r="D1965" s="2" t="str">
        <f>IFERROR(__xludf.DUMMYFUNCTION("""COMPUTED_VALUE"""),"CX")</f>
        <v>CX</v>
      </c>
      <c r="E1965" s="2" t="str">
        <f>IFERROR(__xludf.DUMMYFUNCTION("""COMPUTED_VALUE"""),"木22")</f>
        <v>木22</v>
      </c>
      <c r="F1965" s="2" t="s">
        <v>6234</v>
      </c>
      <c r="G1965" s="2" t="s">
        <v>6253</v>
      </c>
      <c r="H1965" s="1">
        <v>7.0</v>
      </c>
      <c r="I1965" s="1" t="s">
        <v>25</v>
      </c>
      <c r="J1965" s="1" t="s">
        <v>86</v>
      </c>
      <c r="K1965" s="2" t="s">
        <v>6254</v>
      </c>
      <c r="L1965" s="11" t="s">
        <v>6255</v>
      </c>
      <c r="M1965" s="2" t="str">
        <f>IFERROR(__xludf.DUMMYFUNCTION("split(split(K1965,""長澤まさみ  "",false),""公式LINE"",false)"),"美知留(長澤まさみ)は、瑠可(上野樹里)との関係がギクシャクしていることに悩みタケル(瑛太)に相談を持ちかけた。美知留は、瑠可には他人を入り込ませない壁のようなものがあると感じていたという。ふたりの会話を偶然聞いていた瑠可は、美知留の言ったことは本当だ、とタケルに打ち明けると、誰にも話したことがない秘密を聞いてほしいと告げた。瑠可に心をひかれていたタケルは、そんな彼女を制し「君が好きだ」と伝えた。瑠可は激しい動揺を抑えながら、タケルの気持ちには応えられないと返す。  　そんな折、美知留たちはエリ(水川あさ"&amp;"み)と友彦(山崎樹範)らと遊園地へ行く。朝、皆が出発の準備をしていると林田(田中哲司)がやってくる。実は瑠可は、林田に恋人役を務めて欲しいと頼んでいた。シェアハウスの面々に林田を加えた6人は、遊園地を訪れた。そこでタケルは、白幡優子(伊藤裕子)の姿に気づく。次の瞬間、急に気分が悪くなったタケルはその場から逃げ出し、ベンチに倒れこんだ。タケルの異変に気づいた美知留は、彼を介抱した後、一緒にシェアハウスに戻った。その夜、美知留は瑠可に、宗佑(錦戸亮)に別れを伝えると告げる。自分でけじめをつけたい、という美知留"&amp;"の決意を知った瑠可は何も言わなかった。  　翌日、美知留は宗佑に電話をするが、やはり心は揺れる。そんな美知留をタケルは優しく慰める。すると・・・。")</f>
        <v>美知留(長澤まさみ)は、瑠可(上野樹里)との関係がギクシャクしていることに悩みタケル(瑛太)に相談を持ちかけた。美知留は、瑠可には他人を入り込ませない壁のようなものがあると感じていたという。ふたりの会話を偶然聞いていた瑠可は、美知留の言ったことは本当だ、とタケルに打ち明けると、誰にも話したことがない秘密を聞いてほしいと告げた。瑠可に心をひかれていたタケルは、そんな彼女を制し「君が好きだ」と伝えた。瑠可は激しい動揺を抑えながら、タケルの気持ちには応えられないと返す。  　そんな折、美知留たちはエリ(水川あさみ)と友彦(山崎樹範)らと遊園地へ行く。朝、皆が出発の準備をしていると林田(田中哲司)がやってくる。実は瑠可は、林田に恋人役を務めて欲しいと頼んでいた。シェアハウスの面々に林田を加えた6人は、遊園地を訪れた。そこでタケルは、白幡優子(伊藤裕子)の姿に気づく。次の瞬間、急に気分が悪くなったタケルはその場から逃げ出し、ベンチに倒れこんだ。タケルの異変に気づいた美知留は、彼を介抱した後、一緒にシェアハウスに戻った。その夜、美知留は瑠可に、宗佑(錦戸亮)に別れを伝えると告げる。自分でけじめをつけたい、という美知留の決意を知った瑠可は何も言わなかった。  　翌日、美知留は宗佑に電話をするが、やはり心は揺れる。そんな美知留をタケルは優しく慰める。すると・・・。</v>
      </c>
      <c r="N1965" s="2"/>
      <c r="O1965" s="2"/>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row>
    <row r="1966" ht="204.75" customHeight="1">
      <c r="A1966" s="1">
        <v>5824.0</v>
      </c>
      <c r="B1966" s="2" t="s">
        <v>6233</v>
      </c>
      <c r="C1966" s="2">
        <f>IFERROR(__xludf.DUMMYFUNCTION("split(B1966,""_"")"),804.0)</f>
        <v>804</v>
      </c>
      <c r="D1966" s="2" t="str">
        <f>IFERROR(__xludf.DUMMYFUNCTION("""COMPUTED_VALUE"""),"CX")</f>
        <v>CX</v>
      </c>
      <c r="E1966" s="2" t="str">
        <f>IFERROR(__xludf.DUMMYFUNCTION("""COMPUTED_VALUE"""),"木22")</f>
        <v>木22</v>
      </c>
      <c r="F1966" s="2" t="s">
        <v>6234</v>
      </c>
      <c r="G1966" s="2" t="s">
        <v>6256</v>
      </c>
      <c r="H1966" s="1">
        <v>8.0</v>
      </c>
      <c r="I1966" s="1" t="s">
        <v>29</v>
      </c>
      <c r="J1966" s="1" t="s">
        <v>86</v>
      </c>
      <c r="K1966" s="2" t="s">
        <v>6257</v>
      </c>
      <c r="L1966" s="11" t="s">
        <v>6258</v>
      </c>
      <c r="M1966" s="2" t="str">
        <f>IFERROR(__xludf.DUMMYFUNCTION("split(split(K1966,""長澤まさみ  "",false),""公式LINE"",false)"),"美知留(長澤まさみ)は、タケル(瑛太)のアシスタントとしてメイクアップア―ティストの勉強を始める。一方、シェアハウスを出ようと決意した瑠可(上野樹里)は、美知留たちに内緒で不動産会社を訪れる。  　そんな折、シェアハウスに直也(澁谷武尊)がやってくる。直也は、応対したエリ(水川あさみ)に、美知留宛ての手紙を差し出した。宗佑(錦戸亮)からの手紙だった。その手紙には、病院に入院していて動けないことや、美知留への思いが書かれていた。それを見た瑠可は、宗佑の罠に決まっているから美知留に渡す必要はない、と吐き捨てた"&amp;"。  　あくる日、エリは、宗佑の手紙に書かれていた病院を訪れる。宗佑が本当に入院していたことに驚きながらも、美知留に手紙を渡さなかったことを彼に伝えるエリ。宗佑はそんなエリに、いままでに書いた何通かの手紙を預け、美知留に渡してほしいと頼む。帰宅したエリは、宗佑から預かった手紙に目を通す。そして、友彦(山崎樹範)と温泉に行く計画を立てていたエリは、宿の予約状況を調べるため、瑠可のパソコンを借りようとする。その際、瑠可が閉じ忘れていたペ―ジを見てしまう。  　その夜、タケルはポストの中に、瑠可宛てに送られてき"&amp;"た不動産会社からの封筒があることに気づく。タケルに封筒のことを尋ねられた瑠可は、引っ越すことにしたと皆に告げる。")</f>
        <v>美知留(長澤まさみ)は、タケル(瑛太)のアシスタントとしてメイクアップア―ティストの勉強を始める。一方、シェアハウスを出ようと決意した瑠可(上野樹里)は、美知留たちに内緒で不動産会社を訪れる。  　そんな折、シェアハウスに直也(澁谷武尊)がやってくる。直也は、応対したエリ(水川あさみ)に、美知留宛ての手紙を差し出した。宗佑(錦戸亮)からの手紙だった。その手紙には、病院に入院していて動けないことや、美知留への思いが書かれていた。それを見た瑠可は、宗佑の罠に決まっているから美知留に渡す必要はない、と吐き捨てた。  　あくる日、エリは、宗佑の手紙に書かれていた病院を訪れる。宗佑が本当に入院していたことに驚きながらも、美知留に手紙を渡さなかったことを彼に伝えるエリ。宗佑はそんなエリに、いままでに書いた何通かの手紙を預け、美知留に渡してほしいと頼む。帰宅したエリは、宗佑から預かった手紙に目を通す。そして、友彦(山崎樹範)と温泉に行く計画を立てていたエリは、宿の予約状況を調べるため、瑠可のパソコンを借りようとする。その際、瑠可が閉じ忘れていたペ―ジを見てしまう。  　その夜、タケルはポストの中に、瑠可宛てに送られてきた不動産会社からの封筒があることに気づく。タケルに封筒のことを尋ねられた瑠可は、引っ越すことにしたと皆に告げる。</v>
      </c>
      <c r="N1966" s="2"/>
      <c r="O1966" s="2"/>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row>
    <row r="1967" ht="204.75" customHeight="1">
      <c r="A1967" s="1">
        <v>5825.0</v>
      </c>
      <c r="B1967" s="2" t="s">
        <v>6233</v>
      </c>
      <c r="C1967" s="2">
        <f>IFERROR(__xludf.DUMMYFUNCTION("split(B1967,""_"")"),804.0)</f>
        <v>804</v>
      </c>
      <c r="D1967" s="2" t="str">
        <f>IFERROR(__xludf.DUMMYFUNCTION("""COMPUTED_VALUE"""),"CX")</f>
        <v>CX</v>
      </c>
      <c r="E1967" s="2" t="str">
        <f>IFERROR(__xludf.DUMMYFUNCTION("""COMPUTED_VALUE"""),"木22")</f>
        <v>木22</v>
      </c>
      <c r="F1967" s="2" t="s">
        <v>6234</v>
      </c>
      <c r="G1967" s="2" t="s">
        <v>6259</v>
      </c>
      <c r="H1967" s="1">
        <v>9.0</v>
      </c>
      <c r="I1967" s="1" t="s">
        <v>33</v>
      </c>
      <c r="J1967" s="1" t="s">
        <v>86</v>
      </c>
      <c r="K1967" s="2" t="s">
        <v>6260</v>
      </c>
      <c r="L1967" s="11" t="s">
        <v>6261</v>
      </c>
      <c r="M1967" s="2" t="str">
        <f>IFERROR(__xludf.DUMMYFUNCTION("split(split(K1967,""長澤まさみ  "",false),""公式LINE"",false)"),"美知留(長澤まさみ)、タケル(瑛太)やエリ(水川あさみ)、友彦(山崎樹範)は、瑠可(上野樹里)の優勝を祝してパ―ティ―を開いた。ひと晩飲み明かしてそのままリビングで雑魚寝していると、ドアチャイムが鳴った。先に目を覚ましていた美知留がドアを開けると、そこに立っていたのはタケルの姉・優子(伊藤裕子)だった。  　優子は、法事にも顔を出さなかったタケルのことを心配して訪ねてきたのだという。半ば強引に上がりこんだ優子だが、寝ているタケルの姿を見て、目を覚ましたら渡してほしいと言って、手作りのバナナブレッドを美知留"&amp;"に預けて帰ってしまう。ほどなく、タケルが目を覚ました。美知留から優子のことを教えられたタケルは急に青ざめ、姉が来たことは誰にも言わないでほしいと頼んだ。  　そんな折、美知留は、タケルをともなって母親の千夏(倍賞美津子)に会いにいく。住民台帳を提出するにあたり、保証人として千夏のサインが必要だったからだ。そんな美知留たちの姿を見つめる男性の姿があった。宗佑(錦戸亮)だった。  　その後、美知留に「ほかに好きな人ができた」と告白された宗佑は、その相手がタケルだと確信。ある日、タケルを待ち伏せして襲いかかる。"&amp;"不意をつかれたタケルは自転車ごと階段からまっさかさまに転げ落ちてしまう。さらに容赦なく宗佑は・・・!!")</f>
        <v>美知留(長澤まさみ)、タケル(瑛太)やエリ(水川あさみ)、友彦(山崎樹範)は、瑠可(上野樹里)の優勝を祝してパ―ティ―を開いた。ひと晩飲み明かしてそのままリビングで雑魚寝していると、ドアチャイムが鳴った。先に目を覚ましていた美知留がドアを開けると、そこに立っていたのはタケルの姉・優子(伊藤裕子)だった。  　優子は、法事にも顔を出さなかったタケルのことを心配して訪ねてきたのだという。半ば強引に上がりこんだ優子だが、寝ているタケルの姿を見て、目を覚ましたら渡してほしいと言って、手作りのバナナブレッドを美知留に預けて帰ってしまう。ほどなく、タケルが目を覚ました。美知留から優子のことを教えられたタケルは急に青ざめ、姉が来たことは誰にも言わないでほしいと頼んだ。  　そんな折、美知留は、タケルをともなって母親の千夏(倍賞美津子)に会いにいく。住民台帳を提出するにあたり、保証人として千夏のサインが必要だったからだ。そんな美知留たちの姿を見つめる男性の姿があった。宗佑(錦戸亮)だった。  　その後、美知留に「ほかに好きな人ができた」と告白された宗佑は、その相手がタケルだと確信。ある日、タケルを待ち伏せして襲いかかる。不意をつかれたタケルは自転車ごと階段からまっさかさまに転げ落ちてしまう。さらに容赦なく宗佑は・・・!!</v>
      </c>
      <c r="N1967" s="2"/>
      <c r="O1967" s="2"/>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row>
    <row r="1968" ht="204.75" customHeight="1">
      <c r="A1968" s="1">
        <v>5826.0</v>
      </c>
      <c r="B1968" s="2" t="s">
        <v>6233</v>
      </c>
      <c r="C1968" s="2">
        <f>IFERROR(__xludf.DUMMYFUNCTION("split(B1968,""_"")"),804.0)</f>
        <v>804</v>
      </c>
      <c r="D1968" s="2" t="str">
        <f>IFERROR(__xludf.DUMMYFUNCTION("""COMPUTED_VALUE"""),"CX")</f>
        <v>CX</v>
      </c>
      <c r="E1968" s="2" t="str">
        <f>IFERROR(__xludf.DUMMYFUNCTION("""COMPUTED_VALUE"""),"木22")</f>
        <v>木22</v>
      </c>
      <c r="F1968" s="2" t="s">
        <v>6234</v>
      </c>
      <c r="G1968" s="2" t="s">
        <v>6262</v>
      </c>
      <c r="H1968" s="1">
        <v>10.0</v>
      </c>
      <c r="I1968" s="1" t="s">
        <v>37</v>
      </c>
      <c r="J1968" s="1" t="s">
        <v>82</v>
      </c>
      <c r="K1968" s="2" t="s">
        <v>6263</v>
      </c>
      <c r="L1968" s="11" t="s">
        <v>6264</v>
      </c>
      <c r="M1968" s="2" t="str">
        <f>IFERROR(__xludf.DUMMYFUNCTION("split(split(K1968,""長澤まさみ  "",false),""公式LINE"",false)"),"美知留(長澤まさみ)とタケル(瑛太)は、シェアハウスに帰ってきた瑠可(上野樹里)を見て驚く。瑠可の頬に傷があったのだ。瑠可は、練習で転んでケガをした、と美知留たちに説明した。しかしタケルは、瑠可が嘘をついているのではないかと感じていた。  　その夜、シェアハウスの面々が食事をしているとドアチャイムが鳴った。瞬間、凍りつく一同。が、チャイムを鳴らしたのは宅配業者だった。そのようすを見た美知留は、シェアハウスを出て行くと皆に告げる。自分が出て行けば、皆がビクビクして暮らす必要はなくなるというのだ。瑠可はそんな"&amp;"美知留に、宗佑(錦戸亮)はどんなことをしても美知留の居場所を突き止めるはずだからひとりになるのは危ないと言って止める。  　別の日、エリ(水川あさみ)は、モトクロスの人気女子選手が性同一性障害だった、という週刊誌の記事を見つける。シェアハウスに戻ったエリがタケルにその記事を見せていると、ちょうどそこに瑠可が帰ってきた。週刊誌を奪いとった瑠可は、美知留には絶対に見せるなとエリに告げる。瑠可の部屋を訪れたタケルは、美知留に自分の気持ちを話さなくていいのか、と問いかけた。しかし瑠可は、美知留にだけは言えない、と"&amp;"思いつめた顔で答える。自分の気持ちを知ったら美知留の思い出が灰色になる、と言うのだ。ドアの外で瑠可たちの話を聞いていた美知留は、シェアハウスを飛び出し…。")</f>
        <v>美知留(長澤まさみ)とタケル(瑛太)は、シェアハウスに帰ってきた瑠可(上野樹里)を見て驚く。瑠可の頬に傷があったのだ。瑠可は、練習で転んでケガをした、と美知留たちに説明した。しかしタケルは、瑠可が嘘をついているのではないかと感じていた。  　その夜、シェアハウスの面々が食事をしているとドアチャイムが鳴った。瞬間、凍りつく一同。が、チャイムを鳴らしたのは宅配業者だった。そのようすを見た美知留は、シェアハウスを出て行くと皆に告げる。自分が出て行けば、皆がビクビクして暮らす必要はなくなるというのだ。瑠可はそんな美知留に、宗佑(錦戸亮)はどんなことをしても美知留の居場所を突き止めるはずだからひとりになるのは危ないと言って止める。  　別の日、エリ(水川あさみ)は、モトクロスの人気女子選手が性同一性障害だった、という週刊誌の記事を見つける。シェアハウスに戻ったエリがタケルにその記事を見せていると、ちょうどそこに瑠可が帰ってきた。週刊誌を奪いとった瑠可は、美知留には絶対に見せるなとエリに告げる。瑠可の部屋を訪れたタケルは、美知留に自分の気持ちを話さなくていいのか、と問いかけた。しかし瑠可は、美知留にだけは言えない、と思いつめた顔で答える。自分の気持ちを知ったら美知留の思い出が灰色になる、と言うのだ。ドアの外で瑠可たちの話を聞いていた美知留は、シェアハウスを飛び出し…。</v>
      </c>
      <c r="N1968" s="2"/>
      <c r="O1968" s="2"/>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row>
    <row r="1969" ht="204.75" customHeight="1">
      <c r="A1969" s="1">
        <v>5827.0</v>
      </c>
      <c r="B1969" s="2" t="s">
        <v>6233</v>
      </c>
      <c r="C1969" s="2">
        <f>IFERROR(__xludf.DUMMYFUNCTION("split(B1969,""_"")"),804.0)</f>
        <v>804</v>
      </c>
      <c r="D1969" s="2" t="str">
        <f>IFERROR(__xludf.DUMMYFUNCTION("""COMPUTED_VALUE"""),"CX")</f>
        <v>CX</v>
      </c>
      <c r="E1969" s="2" t="str">
        <f>IFERROR(__xludf.DUMMYFUNCTION("""COMPUTED_VALUE"""),"木22")</f>
        <v>木22</v>
      </c>
      <c r="F1969" s="2" t="s">
        <v>6234</v>
      </c>
      <c r="G1969" s="2" t="s">
        <v>6265</v>
      </c>
      <c r="H1969" s="1">
        <v>11.0</v>
      </c>
      <c r="I1969" s="1" t="s">
        <v>41</v>
      </c>
      <c r="J1969" s="1" t="s">
        <v>82</v>
      </c>
      <c r="K1969" s="2" t="s">
        <v>6266</v>
      </c>
      <c r="L1969" s="11" t="s">
        <v>6267</v>
      </c>
      <c r="M1969" s="2" t="str">
        <f>IFERROR(__xludf.DUMMYFUNCTION("split(split(K1969,""長澤まさみ  "",false),""公式LINE"",false)"),"美知留(長澤まさみ)は、自ら命を絶った宗佑(錦戸亮)の遺書を見つける。遺書には、美知留に対する懺悔(ざんげ)の気持ちが綴られていた。同じころ、モトクロス全日本選手権の関東大会で優勝した瑠可(上野樹里)は、記者会見に臨んでいた。そこで瑠可は、自分を応援してくれた家族や友人に支えられてここまでくることができた、と堂々と答える。　あくる日、シェアハウスに美知留の母・千夏(倍賞美津子)から電話が入る。そこで初めて宗佑の死を知った瑠可やタケル(瑛太)たちは、さすがにショックを隠せなかった。ほどなく、瑠可のもとに、美"&amp;"知留からのハガキが届く。そこには、「レ―スに行けなくてごめんなさい。私は1人でやっていきます。心配しないで下さい」とだけ書かれていた。美知留が向かったのは、かつて千夏と暮らしていた港町だった。そこで、千夏の知り合いだったシズエ(大森暁美)に出会った美知留は、シズエが仲居頭を務める旅館の仕事を世話してもらう。  　そんな折、美知留が妊娠していることが判明、しかも出産する場合、母子ともにリスクがあって危険な出産になると医師から告げられる。美知留は、自分の命をかけて出産に臨む・・・。")</f>
        <v>美知留(長澤まさみ)は、自ら命を絶った宗佑(錦戸亮)の遺書を見つける。遺書には、美知留に対する懺悔(ざんげ)の気持ちが綴られていた。同じころ、モトクロス全日本選手権の関東大会で優勝した瑠可(上野樹里)は、記者会見に臨んでいた。そこで瑠可は、自分を応援してくれた家族や友人に支えられてここまでくることができた、と堂々と答える。　あくる日、シェアハウスに美知留の母・千夏(倍賞美津子)から電話が入る。そこで初めて宗佑の死を知った瑠可やタケル(瑛太)たちは、さすがにショックを隠せなかった。ほどなく、瑠可のもとに、美知留からのハガキが届く。そこには、「レ―スに行けなくてごめんなさい。私は1人でやっていきます。心配しないで下さい」とだけ書かれていた。美知留が向かったのは、かつて千夏と暮らしていた港町だった。そこで、千夏の知り合いだったシズエ(大森暁美)に出会った美知留は、シズエが仲居頭を務める旅館の仕事を世話してもらう。  　そんな折、美知留が妊娠していることが判明、しかも出産する場合、母子ともにリスクがあって危険な出産になると医師から告げられる。美知留は、自分の命をかけて出産に臨む・・・。</v>
      </c>
      <c r="N1969" s="2"/>
      <c r="O1969" s="2"/>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row>
    <row r="1970" ht="204.75" customHeight="1">
      <c r="A1970" s="1">
        <v>5878.0</v>
      </c>
      <c r="B1970" s="2" t="s">
        <v>6268</v>
      </c>
      <c r="C1970" s="2">
        <f>IFERROR(__xludf.DUMMYFUNCTION("split(B1970,""_"")"),804.0)</f>
        <v>804</v>
      </c>
      <c r="D1970" s="2" t="str">
        <f>IFERROR(__xludf.DUMMYFUNCTION("""COMPUTED_VALUE"""),"CX")</f>
        <v>CX</v>
      </c>
      <c r="E1970" s="2" t="str">
        <f>IFERROR(__xludf.DUMMYFUNCTION("""COMPUTED_VALUE"""),"土23")</f>
        <v>土23</v>
      </c>
      <c r="F1970" s="2" t="s">
        <v>6269</v>
      </c>
      <c r="G1970" s="2" t="s">
        <v>6270</v>
      </c>
      <c r="H1970" s="1">
        <v>1.0</v>
      </c>
      <c r="I1970" s="1" t="s">
        <v>3</v>
      </c>
      <c r="J1970" s="1" t="s">
        <v>2429</v>
      </c>
      <c r="K1970" s="4" t="s">
        <v>6271</v>
      </c>
      <c r="L1970" s="11" t="s">
        <v>6272</v>
      </c>
      <c r="M1970" s="2" t="str">
        <f>IFERROR(__xludf.DUMMYFUNCTION("split(split(K1970,""溝端淳平  "",false),""公式LINE"",false)"),"菅田(溝端淳平)は、賭け将棋を生業とする真剣師(しんけんし)として圧倒的な強さを誇る。菅田はかつてプロの棋士養成機関「奨励会」でプロを目指していた。  そんな菅田の強さは評判となり、やがて対局相手がいなくなる。そんな折、どんな金額でも相手をする“受け師""がいると聞き、会いに行く。  菅田が将棋道場を訪ねると“受け師""は対局中だった。菅田は“受け師""を見て驚く。年若い女性だったからだ。菅田は、その女性・中静そよ(仲里依紗)に一局5万円の勝負を頼む。そよはそれを受けると、“持ち時間10分切れ負け""での"&amp;"勝負を提案する。つまり、持ち時間の10分を消化した時点で負けというル―ルだ。菅田は逆に“5分切れ負け""を提案。  対局が始まった。  7分58秒後…負けたのは、菅田だった。  アパ―トに戻った菅田はショックから立ち直ると、そよへのリベンジを誓い、再び将棋の勉強をしようと意気込む…が、あまりの部屋の散乱ぶりに、目当ての本が探せない。勉強の前に掃除だと気負ってはみるが断念。そこで、清掃代行サ―ビスを頼む。  ほどなくして、清掃サ―ビスのスタッフと称してやってきたのは、セクシ―なメイド服姿の女性だった。とまど"&amp;"いながらも女性の顔を見た菅田は衝撃を受ける。そよにそっくりなのだ。思わず、「“受け師""さん?」と尋ねた菅田に、彼女は…。")</f>
        <v>菅田(溝端淳平)は、賭け将棋を生業とする真剣師(しんけんし)として圧倒的な強さを誇る。菅田はかつてプロの棋士養成機関「奨励会」でプロを目指していた。  そんな菅田の強さは評判となり、やがて対局相手がいなくなる。そんな折、どんな金額でも相手をする“受け師"がいると聞き、会いに行く。  菅田が将棋道場を訪ねると“受け師"は対局中だった。菅田は“受け師"を見て驚く。年若い女性だったからだ。菅田は、その女性・中静そよ(仲里依紗)に一局5万円の勝負を頼む。そよはそれを受けると、“持ち時間10分切れ負け"での勝負を提案する。つまり、持ち時間の10分を消化した時点で負けというル―ルだ。菅田は逆に“5分切れ負け"を提案。  対局が始まった。  7分58秒後…負けたのは、菅田だった。  アパ―トに戻った菅田はショックから立ち直ると、そよへのリベンジを誓い、再び将棋の勉強をしようと意気込む…が、あまりの部屋の散乱ぶりに、目当ての本が探せない。勉強の前に掃除だと気負ってはみるが断念。そこで、清掃代行サ―ビスを頼む。  ほどなくして、清掃サ―ビスのスタッフと称してやってきたのは、セクシ―なメイド服姿の女性だった。とまどいながらも女性の顔を見た菅田は衝撃を受ける。そよにそっくりなのだ。思わず、「“受け師"さん?」と尋ねた菅田に、彼女は…。</v>
      </c>
      <c r="N1970" s="2"/>
      <c r="O1970" s="2"/>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row>
    <row r="1971" ht="204.75" customHeight="1">
      <c r="A1971" s="1">
        <v>5879.0</v>
      </c>
      <c r="B1971" s="2" t="s">
        <v>6268</v>
      </c>
      <c r="C1971" s="2">
        <f>IFERROR(__xludf.DUMMYFUNCTION("split(B1971,""_"")"),804.0)</f>
        <v>804</v>
      </c>
      <c r="D1971" s="2" t="str">
        <f>IFERROR(__xludf.DUMMYFUNCTION("""COMPUTED_VALUE"""),"CX")</f>
        <v>CX</v>
      </c>
      <c r="E1971" s="2" t="str">
        <f>IFERROR(__xludf.DUMMYFUNCTION("""COMPUTED_VALUE"""),"土23")</f>
        <v>土23</v>
      </c>
      <c r="F1971" s="2" t="s">
        <v>6269</v>
      </c>
      <c r="G1971" s="2" t="s">
        <v>6273</v>
      </c>
      <c r="H1971" s="1">
        <v>2.0</v>
      </c>
      <c r="I1971" s="1" t="s">
        <v>7</v>
      </c>
      <c r="J1971" s="1" t="s">
        <v>6113</v>
      </c>
      <c r="K1971" s="2" t="s">
        <v>6274</v>
      </c>
      <c r="L1971" s="11" t="s">
        <v>6275</v>
      </c>
      <c r="M1971" s="2" t="str">
        <f>IFERROR(__xludf.DUMMYFUNCTION("split(split(K1971,""溝端淳平  "",false),""公式LINE"",false)"),"81マスの将棋盤の底に潜り、必殺技を手に入れるという不思議な体験をした真剣師・菅田(溝端淳平)は、再び“アキバの受け師""の中静そよ(仲里依紗)と対局する。相変わらず鋼鉄のような受けをするそよに菅田はたじろぐが、真剣師・飛鷹(富澤たけし)に勝ったときのように、再び将棋盤へ潜ろうとする。しかし、なぜかダイブができない。動揺する菅田だったが、結果、時間切れで負けてしまう。　所持金がわずかとなった菅田は、将棋センタ―で客に声をかけるが、強いと評判の菅田に相手は見つからない。勝ち過ぎるとろくなことがない、真剣師・"&amp;"角田(伊達みきお)からそう言われたとき、荒稼ぎをしていると噂の真剣師・桂(デビット伊東)が入ってくる。菅田は桂と10万円の勝負に挑む。追い詰められた菅田は潜ろうとするが失敗し、またもや時間切れに。  　あきれながらも10万円を立て替えてやった角田は、真剣師の正しい稼ぎ方を教えてやると言い、菅田を将棋サロンへ連れて行く。角田が伝授したのは、顔が知られていない場所で負けながらカモを探すという方法だった。  　菅田の脳裏には、「自分の将棋に嘘をつくな、プロを目指すなら常に高みを目指して指し続けろ」という師匠・鈴"&amp;"木歩人(小日向文世)の言葉がよみがえる。そして、菅田は凶悪な敵・マムシ(姜暢雄)との対決に挑む。そこで彼を待ち受けるものとは…。")</f>
        <v>81マスの将棋盤の底に潜り、必殺技を手に入れるという不思議な体験をした真剣師・菅田(溝端淳平)は、再び“アキバの受け師"の中静そよ(仲里依紗)と対局する。相変わらず鋼鉄のような受けをするそよに菅田はたじろぐが、真剣師・飛鷹(富澤たけし)に勝ったときのように、再び将棋盤へ潜ろうとする。しかし、なぜかダイブができない。動揺する菅田だったが、結果、時間切れで負けてしまう。　所持金がわずかとなった菅田は、将棋センタ―で客に声をかけるが、強いと評判の菅田に相手は見つからない。勝ち過ぎるとろくなことがない、真剣師・角田(伊達みきお)からそう言われたとき、荒稼ぎをしていると噂の真剣師・桂(デビット伊東)が入ってくる。菅田は桂と10万円の勝負に挑む。追い詰められた菅田は潜ろうとするが失敗し、またもや時間切れに。  　あきれながらも10万円を立て替えてやった角田は、真剣師の正しい稼ぎ方を教えてやると言い、菅田を将棋サロンへ連れて行く。角田が伝授したのは、顔が知られていない場所で負けながらカモを探すという方法だった。  　菅田の脳裏には、「自分の将棋に嘘をつくな、プロを目指すなら常に高みを目指して指し続けろ」という師匠・鈴木歩人(小日向文世)の言葉がよみがえる。そして、菅田は凶悪な敵・マムシ(姜暢雄)との対決に挑む。そこで彼を待ち受けるものとは…。</v>
      </c>
      <c r="N1971" s="2"/>
      <c r="O1971" s="2"/>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row>
    <row r="1972" ht="204.75" customHeight="1">
      <c r="A1972" s="1">
        <v>5880.0</v>
      </c>
      <c r="B1972" s="2" t="s">
        <v>6268</v>
      </c>
      <c r="C1972" s="2">
        <f>IFERROR(__xludf.DUMMYFUNCTION("split(B1972,""_"")"),804.0)</f>
        <v>804</v>
      </c>
      <c r="D1972" s="2" t="str">
        <f>IFERROR(__xludf.DUMMYFUNCTION("""COMPUTED_VALUE"""),"CX")</f>
        <v>CX</v>
      </c>
      <c r="E1972" s="2" t="str">
        <f>IFERROR(__xludf.DUMMYFUNCTION("""COMPUTED_VALUE"""),"土23")</f>
        <v>土23</v>
      </c>
      <c r="F1972" s="2" t="s">
        <v>6269</v>
      </c>
      <c r="G1972" s="2" t="s">
        <v>6276</v>
      </c>
      <c r="H1972" s="1">
        <v>3.0</v>
      </c>
      <c r="I1972" s="1" t="s">
        <v>10</v>
      </c>
      <c r="J1972" s="1" t="s">
        <v>2429</v>
      </c>
      <c r="K1972" s="2" t="s">
        <v>6277</v>
      </c>
      <c r="L1972" s="11" t="s">
        <v>6278</v>
      </c>
      <c r="M1972" s="2" t="str">
        <f>IFERROR(__xludf.DUMMYFUNCTION("split(split(K1972,""溝端淳平  "",false),""公式LINE"",false)"),"菅田健太郎(溝端淳平)は、中静そよ(仲里依紗)に連れられ、ホ―ムレスの真剣師・二こ神(大杉漣)と対局することに。健太郎を3人の“本物の真剣師""と対戦させると言うそよが、1人目に選んだのが二こ神。  　二こ神を訪ねた健太郎に初老の真剣師は、本物の真剣とは意地とプライドを賭けて戦うものだと言い、お前にとって命の次に大事なものは何かと尋ねる。答えに困った健太郎は二こ神に同じことを尋ね、あなたが勝ったらどうするかと迫る。すると、二こ神は自分が勝ったらそよの胸を揉むと返答。  　そよが居心地の悪さを感じる一方、「"&amp;"オッパイとはロマンだ」と言う二こ神の気持ちが理解できる健太郎は、自分もオッパイを賭けると宣言する。  　20分切れ負けの勝負の中、健太郎は二こ神の指し手が江戸時代に生まれた「雁木(がんぎ)の構え」であることに気づく。自信の手なのだろうが、そんな古い戦法に負けるわけがないと健太郎は強気に攻めるが、次第に押されていく。  　そんな中、健太郎は幼少の頃にこの戦法が流行ったことを思い出す。それは、神野神太郎という強豪が「雁木の構え」でアマチュア名人戦三連覇という偉業を成し遂げたことがきっかけだった。ちなみに、神野"&amp;"神太郎は、名前に神がふたつあることから“二こ神""と呼ばれていた。記憶がよみがえった健太郎は、この初老の男が二こ神と呼ばれていたことを思い出す。")</f>
        <v>菅田健太郎(溝端淳平)は、中静そよ(仲里依紗)に連れられ、ホ―ムレスの真剣師・二こ神(大杉漣)と対局することに。健太郎を3人の“本物の真剣師"と対戦させると言うそよが、1人目に選んだのが二こ神。  　二こ神を訪ねた健太郎に初老の真剣師は、本物の真剣とは意地とプライドを賭けて戦うものだと言い、お前にとって命の次に大事なものは何かと尋ねる。答えに困った健太郎は二こ神に同じことを尋ね、あなたが勝ったらどうするかと迫る。すると、二こ神は自分が勝ったらそよの胸を揉むと返答。  　そよが居心地の悪さを感じる一方、「オッパイとはロマンだ」と言う二こ神の気持ちが理解できる健太郎は、自分もオッパイを賭けると宣言する。  　20分切れ負けの勝負の中、健太郎は二こ神の指し手が江戸時代に生まれた「雁木(がんぎ)の構え」であることに気づく。自信の手なのだろうが、そんな古い戦法に負けるわけがないと健太郎は強気に攻めるが、次第に押されていく。  　そんな中、健太郎は幼少の頃にこの戦法が流行ったことを思い出す。それは、神野神太郎という強豪が「雁木の構え」でアマチュア名人戦三連覇という偉業を成し遂げたことがきっかけだった。ちなみに、神野神太郎は、名前に神がふたつあることから“二こ神"と呼ばれていた。記憶がよみがえった健太郎は、この初老の男が二こ神と呼ばれていたことを思い出す。</v>
      </c>
      <c r="N1972" s="2"/>
      <c r="O1972" s="2"/>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row>
    <row r="1973" ht="204.75" customHeight="1">
      <c r="A1973" s="1">
        <v>5881.0</v>
      </c>
      <c r="B1973" s="2" t="s">
        <v>6268</v>
      </c>
      <c r="C1973" s="2">
        <f>IFERROR(__xludf.DUMMYFUNCTION("split(B1973,""_"")"),804.0)</f>
        <v>804</v>
      </c>
      <c r="D1973" s="2" t="str">
        <f>IFERROR(__xludf.DUMMYFUNCTION("""COMPUTED_VALUE"""),"CX")</f>
        <v>CX</v>
      </c>
      <c r="E1973" s="2" t="str">
        <f>IFERROR(__xludf.DUMMYFUNCTION("""COMPUTED_VALUE"""),"土23")</f>
        <v>土23</v>
      </c>
      <c r="F1973" s="2" t="s">
        <v>6269</v>
      </c>
      <c r="G1973" s="2" t="s">
        <v>6279</v>
      </c>
      <c r="H1973" s="1">
        <v>4.0</v>
      </c>
      <c r="I1973" s="1" t="s">
        <v>14</v>
      </c>
      <c r="J1973" s="1" t="s">
        <v>2429</v>
      </c>
      <c r="K1973" s="2" t="s">
        <v>6280</v>
      </c>
      <c r="L1973" s="11" t="s">
        <v>6281</v>
      </c>
      <c r="M1973" s="2" t="str">
        <f>IFERROR(__xludf.DUMMYFUNCTION("split(split(K1973,""溝端淳平  "",false),""公式LINE"",false)"),"菅田(溝端淳平)は、中静そよ(仲里依紗)の指示で売れっ子マンガ家の文字山ジロ―(劇団ひとり)と戦うことに。超高級車を乗り回す文字山は、ハンパなヤツが嫌いだと、プロになり損ねた菅田を見下すような態度を取る。  　菅田が苦々しい思いをする中、文字山は「人生を賭けてみないか?」と言い、菅田が敗れたら、自分の下で働きながらマンガ家を目指してもらいたいと条件を提示。冗談のような提示に面食らうが、文字山と対局したい菅田はこれを飲む。そして代わりに、自分が勝ったら文字山が描くマンガの主人公を自分をモデルにした『ハチワン"&amp;"くん』に変えてほしいと条件を出す。  　そして、対局開始。先手の菅田が第一手を指すと、それまで黙って盤を睨んでいた文字山が、何やらブツブツ言いはじめる。怪訝(けげん)な顔をする菅田に文字山は、しゃべっているのは自分ではなく駒なのだと説明。荒唐無稽な話だが、自信満々に言う文字山を見ているとあながち作り話には思えない。  　一方、菅田は文字山が組む「穴熊」という戦型に押さえ込まれてしまう。時間が経過する中、よくなる筋が見えてこない菅田は将棋盤の底に“ダイブ""する。そして、必殺技を手に入れると、俄然強気な姿勢"&amp;"で攻めはじめ、とうとう文字山を押さえ込む。勝利を予感した菅田は、笑みを浮かべ文字山を見る。ところが、文字山は微笑んだまま「このスト―リ―は、読んでいた」とつぶやく。")</f>
        <v>菅田(溝端淳平)は、中静そよ(仲里依紗)の指示で売れっ子マンガ家の文字山ジロ―(劇団ひとり)と戦うことに。超高級車を乗り回す文字山は、ハンパなヤツが嫌いだと、プロになり損ねた菅田を見下すような態度を取る。  　菅田が苦々しい思いをする中、文字山は「人生を賭けてみないか?」と言い、菅田が敗れたら、自分の下で働きながらマンガ家を目指してもらいたいと条件を提示。冗談のような提示に面食らうが、文字山と対局したい菅田はこれを飲む。そして代わりに、自分が勝ったら文字山が描くマンガの主人公を自分をモデルにした『ハチワンくん』に変えてほしいと条件を出す。  　そして、対局開始。先手の菅田が第一手を指すと、それまで黙って盤を睨んでいた文字山が、何やらブツブツ言いはじめる。怪訝(けげん)な顔をする菅田に文字山は、しゃべっているのは自分ではなく駒なのだと説明。荒唐無稽な話だが、自信満々に言う文字山を見ているとあながち作り話には思えない。  　一方、菅田は文字山が組む「穴熊」という戦型に押さえ込まれてしまう。時間が経過する中、よくなる筋が見えてこない菅田は将棋盤の底に“ダイブ"する。そして、必殺技を手に入れると、俄然強気な姿勢で攻めはじめ、とうとう文字山を押さえ込む。勝利を予感した菅田は、笑みを浮かべ文字山を見る。ところが、文字山は微笑んだまま「このスト―リ―は、読んでいた」とつぶやく。</v>
      </c>
      <c r="N1973" s="2"/>
      <c r="O1973" s="2"/>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row>
    <row r="1974" ht="204.75" customHeight="1">
      <c r="A1974" s="1">
        <v>5882.0</v>
      </c>
      <c r="B1974" s="2" t="s">
        <v>6268</v>
      </c>
      <c r="C1974" s="2">
        <f>IFERROR(__xludf.DUMMYFUNCTION("split(B1974,""_"")"),804.0)</f>
        <v>804</v>
      </c>
      <c r="D1974" s="2" t="str">
        <f>IFERROR(__xludf.DUMMYFUNCTION("""COMPUTED_VALUE"""),"CX")</f>
        <v>CX</v>
      </c>
      <c r="E1974" s="2" t="str">
        <f>IFERROR(__xludf.DUMMYFUNCTION("""COMPUTED_VALUE"""),"土23")</f>
        <v>土23</v>
      </c>
      <c r="F1974" s="2" t="s">
        <v>6269</v>
      </c>
      <c r="G1974" s="2" t="s">
        <v>6282</v>
      </c>
      <c r="H1974" s="1">
        <v>5.0</v>
      </c>
      <c r="I1974" s="1" t="s">
        <v>17</v>
      </c>
      <c r="J1974" s="1" t="s">
        <v>6113</v>
      </c>
      <c r="K1974" s="2" t="s">
        <v>6283</v>
      </c>
      <c r="L1974" s="11" t="s">
        <v>6284</v>
      </c>
      <c r="M1974" s="2" t="str">
        <f>IFERROR(__xludf.DUMMYFUNCTION("split(split(K1974,""溝端淳平  "",false),""公式LINE"",false)"),"菅田健太郎(溝端淳平)は、中静そよ(仲里依紗)が見守る中、売れっ子マンガ家・文字山ジロ―(劇団ひとり)と互いの人生を賭けた勝負に挑み、追い込まれていた。ピンチの中、菅田は、文字山に局面を読ませるという無謀な賭けに出る。  　失うものがない菅田が余裕を取り戻す一方、ペ―スを狂わされた文字山は、救いを求めるように盤上を見つめる。すると、文字山の精神世界に現れる、しゃべる駒たちまでもが焦った様子で悲鳴をあげ始める。そして、敗戦が色濃くなる中、それでも駒たちに励まされた文字山は粘りを見せ、猛烈な指し手で攻めに転じ"&amp;"る。  　そんな文字山に対し、菅田も一瞬で駒を指し返しチェスクロックを叩く。怯んだ方が奈落の底へと突き落とされてしまう、まさに真剣勝負の応酬だ。そよも、角田(伊達みきお)と飛鷹(富澤たけし)も、固唾(かたず)をのんで戦況を見守る。ふたりの男の意地とプライドを賭けた戦いは、やがて、もっとも軽いとされる「歩」で劇的な幕切れを迎える…。  　数日後、アパ―トに戻った菅田は、郵便受けに自分宛てではない封書を見つける。どうやら、隣人・六車里花(安田美沙子)のものが間違って配達されたらしいのだが、「六車里花」という宛"&amp;"て名を見た菅田の脳裏に、幼少時代のある記憶がよみがえる。  　その後、菅田は3人目にして最強の対戦相手・斬野シト(京本政樹)と戦うことになる…。")</f>
        <v>菅田健太郎(溝端淳平)は、中静そよ(仲里依紗)が見守る中、売れっ子マンガ家・文字山ジロ―(劇団ひとり)と互いの人生を賭けた勝負に挑み、追い込まれていた。ピンチの中、菅田は、文字山に局面を読ませるという無謀な賭けに出る。  　失うものがない菅田が余裕を取り戻す一方、ペ―スを狂わされた文字山は、救いを求めるように盤上を見つめる。すると、文字山の精神世界に現れる、しゃべる駒たちまでもが焦った様子で悲鳴をあげ始める。そして、敗戦が色濃くなる中、それでも駒たちに励まされた文字山は粘りを見せ、猛烈な指し手で攻めに転じる。  　そんな文字山に対し、菅田も一瞬で駒を指し返しチェスクロックを叩く。怯んだ方が奈落の底へと突き落とされてしまう、まさに真剣勝負の応酬だ。そよも、角田(伊達みきお)と飛鷹(富澤たけし)も、固唾(かたず)をのんで戦況を見守る。ふたりの男の意地とプライドを賭けた戦いは、やがて、もっとも軽いとされる「歩」で劇的な幕切れを迎える…。  　数日後、アパ―トに戻った菅田は、郵便受けに自分宛てではない封書を見つける。どうやら、隣人・六車里花(安田美沙子)のものが間違って配達されたらしいのだが、「六車里花」という宛て名を見た菅田の脳裏に、幼少時代のある記憶がよみがえる。  　その後、菅田は3人目にして最強の対戦相手・斬野シト(京本政樹)と戦うことになる…。</v>
      </c>
      <c r="N1974" s="2"/>
      <c r="O1974" s="2"/>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row>
    <row r="1975" ht="204.75" customHeight="1">
      <c r="A1975" s="1">
        <v>5883.0</v>
      </c>
      <c r="B1975" s="2" t="s">
        <v>6268</v>
      </c>
      <c r="C1975" s="2">
        <f>IFERROR(__xludf.DUMMYFUNCTION("split(B1975,""_"")"),804.0)</f>
        <v>804</v>
      </c>
      <c r="D1975" s="2" t="str">
        <f>IFERROR(__xludf.DUMMYFUNCTION("""COMPUTED_VALUE"""),"CX")</f>
        <v>CX</v>
      </c>
      <c r="E1975" s="2" t="str">
        <f>IFERROR(__xludf.DUMMYFUNCTION("""COMPUTED_VALUE"""),"土23")</f>
        <v>土23</v>
      </c>
      <c r="F1975" s="2" t="s">
        <v>6269</v>
      </c>
      <c r="G1975" s="2" t="s">
        <v>6285</v>
      </c>
      <c r="H1975" s="1">
        <v>6.0</v>
      </c>
      <c r="I1975" s="1" t="s">
        <v>21</v>
      </c>
      <c r="J1975" s="1" t="s">
        <v>2429</v>
      </c>
      <c r="K1975" s="2" t="s">
        <v>6286</v>
      </c>
      <c r="L1975" s="11" t="s">
        <v>6287</v>
      </c>
      <c r="M1975" s="2" t="str">
        <f>IFERROR(__xludf.DUMMYFUNCTION("split(split(K1975,""溝端淳平  "",false),""公式LINE"",false)"),"菅田健太郎(溝端淳平)は、勝てば中静そよ(仲里依紗)を自分のものにすると宣言した3人目の対局相手・斬野シト(京本政樹)に敗れてしまう。その結果に呆然とする菅田は、気づくと二こ神(大杉漣)の小屋の前にいた。そんな菅田の事情を察した二こ神は、オッパイを揉んだことが敗戦の原因だろうと見解を示す。  　まさか、そんなことで…と半信半疑の菅田に二こ神は、必死で積み上げてきたものの隣に1秒で鎮座するのが「女」なのだと諭す。  　オッパイの感触を知った今、菅田の棋力は半分になっているという二こ神。その力を戻すためにも弟"&amp;"子になれと迫るが、自分には師匠・鈴木歩人八段(小日向文世)がいるからと断る。  　そんなところへ、男が二こ神を訪ねてくる。20年前に二こ神が打ち負かした、プロ棋士・海豚一郎(池田鉄洋)だ。二こ神に再会した海豚は、自分を凌ぐ棋力の持ち主の二こ神が落ちぶれていることが信じられないという。　その後、ふたりは一局交えるが、海豚が二こ神に対して、見下したような発言をする。これを聞いた菅田はカッと熱くなり、アマチュアのプライドに賭けて、二こ神に勝ってほしいと願う。そんな思いが通じたのか、二こ神は自信をのぞかせる。そし"&amp;"て、自分が勝ったら弟子になれと念を押すように言うと、菅田はついに「はい!」と返事をする。")</f>
        <v>菅田健太郎(溝端淳平)は、勝てば中静そよ(仲里依紗)を自分のものにすると宣言した3人目の対局相手・斬野シト(京本政樹)に敗れてしまう。その結果に呆然とする菅田は、気づくと二こ神(大杉漣)の小屋の前にいた。そんな菅田の事情を察した二こ神は、オッパイを揉んだことが敗戦の原因だろうと見解を示す。  　まさか、そんなことで…と半信半疑の菅田に二こ神は、必死で積み上げてきたものの隣に1秒で鎮座するのが「女」なのだと諭す。  　オッパイの感触を知った今、菅田の棋力は半分になっているという二こ神。その力を戻すためにも弟子になれと迫るが、自分には師匠・鈴木歩人八段(小日向文世)がいるからと断る。  　そんなところへ、男が二こ神を訪ねてくる。20年前に二こ神が打ち負かした、プロ棋士・海豚一郎(池田鉄洋)だ。二こ神に再会した海豚は、自分を凌ぐ棋力の持ち主の二こ神が落ちぶれていることが信じられないという。　その後、ふたりは一局交えるが、海豚が二こ神に対して、見下したような発言をする。これを聞いた菅田はカッと熱くなり、アマチュアのプライドに賭けて、二こ神に勝ってほしいと願う。そんな思いが通じたのか、二こ神は自信をのぞかせる。そして、自分が勝ったら弟子になれと念を押すように言うと、菅田はついに「はい!」と返事をする。</v>
      </c>
      <c r="N1975" s="2"/>
      <c r="O1975" s="2"/>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row>
    <row r="1976" ht="204.75" customHeight="1">
      <c r="A1976" s="1">
        <v>5884.0</v>
      </c>
      <c r="B1976" s="2" t="s">
        <v>6268</v>
      </c>
      <c r="C1976" s="2">
        <f>IFERROR(__xludf.DUMMYFUNCTION("split(B1976,""_"")"),804.0)</f>
        <v>804</v>
      </c>
      <c r="D1976" s="2" t="str">
        <f>IFERROR(__xludf.DUMMYFUNCTION("""COMPUTED_VALUE"""),"CX")</f>
        <v>CX</v>
      </c>
      <c r="E1976" s="2" t="str">
        <f>IFERROR(__xludf.DUMMYFUNCTION("""COMPUTED_VALUE"""),"土23")</f>
        <v>土23</v>
      </c>
      <c r="F1976" s="2" t="s">
        <v>6269</v>
      </c>
      <c r="G1976" s="2" t="s">
        <v>6288</v>
      </c>
      <c r="H1976" s="1">
        <v>7.0</v>
      </c>
      <c r="I1976" s="1" t="s">
        <v>25</v>
      </c>
      <c r="J1976" s="1" t="s">
        <v>2429</v>
      </c>
      <c r="K1976" s="2" t="s">
        <v>6289</v>
      </c>
      <c r="L1976" s="11" t="s">
        <v>6290</v>
      </c>
      <c r="M1976" s="2" t="str">
        <f>IFERROR(__xludf.DUMMYFUNCTION("split(split(K1976,""溝端淳平  "",false),""公式LINE"",false)"),"菅田健太郎(溝端淳平)は、斬野シト(京本政樹)と再び対峙した将棋道場で、ガラスケ―スに入れられたみるく/中静そよ(仲里依紗)を目撃する。それは、本職が人形師の斬野が作った等身大の人形だという。  　体の細部まで再現していると聞いた菅田は、自分が勝ったら人形をもらうと宣言するが却下され、代わりにそよへの告白を賭けることに。すると、そこにそよが現れる。  　そよに気持ちを知られた菅田は、対局に集中できない。そこで、告白を忘れてくれと頼むが、簡単には忘れられないと言われ、ますます混乱する。そんな菅田にそよは「勝"&amp;"って!」と声をかける。これで自分を取り戻した菅田だが、間もなく苦しい局面に陥る。すると、突然、大声でそよへの告白を始める。その叫びを断ち切るように、冷酷に指し返す斬野。追い詰められた菅田は、無言のそよに対し、自分が勝っている間だけは嫌わないでほしいと懇願。そよが同意すると、力をみなぎらせ“ダイブ""する。  　対局が終わり、角田(伊達みきお)と飛鷹(富澤たけし)がやってくる。ふたりが『鬼』の駒を見せるとそよの表情が変わり、その駒に通じる組織を潰そうとしていると明かす。しかし、それは命を賭けた戦いになると言"&amp;"うと、菅田は一緒に戦うと乗るが、角田と飛鷹は去っていく。  　そんなところへ、突然、女子高生(大政絢)が入ってきて菅田を飛び蹴りする。")</f>
        <v>菅田健太郎(溝端淳平)は、斬野シト(京本政樹)と再び対峙した将棋道場で、ガラスケ―スに入れられたみるく/中静そよ(仲里依紗)を目撃する。それは、本職が人形師の斬野が作った等身大の人形だという。  　体の細部まで再現していると聞いた菅田は、自分が勝ったら人形をもらうと宣言するが却下され、代わりにそよへの告白を賭けることに。すると、そこにそよが現れる。  　そよに気持ちを知られた菅田は、対局に集中できない。そこで、告白を忘れてくれと頼むが、簡単には忘れられないと言われ、ますます混乱する。そんな菅田にそよは「勝って!」と声をかける。これで自分を取り戻した菅田だが、間もなく苦しい局面に陥る。すると、突然、大声でそよへの告白を始める。その叫びを断ち切るように、冷酷に指し返す斬野。追い詰められた菅田は、無言のそよに対し、自分が勝っている間だけは嫌わないでほしいと懇願。そよが同意すると、力をみなぎらせ“ダイブ"する。  　対局が終わり、角田(伊達みきお)と飛鷹(富澤たけし)がやってくる。ふたりが『鬼』の駒を見せるとそよの表情が変わり、その駒に通じる組織を潰そうとしていると明かす。しかし、それは命を賭けた戦いになると言うと、菅田は一緒に戦うと乗るが、角田と飛鷹は去っていく。  　そんなところへ、突然、女子高生(大政絢)が入ってきて菅田を飛び蹴りする。</v>
      </c>
      <c r="N1976" s="2"/>
      <c r="O1976" s="2"/>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row>
    <row r="1977" ht="204.75" customHeight="1">
      <c r="A1977" s="1">
        <v>5885.0</v>
      </c>
      <c r="B1977" s="2" t="s">
        <v>6268</v>
      </c>
      <c r="C1977" s="2">
        <f>IFERROR(__xludf.DUMMYFUNCTION("split(B1977,""_"")"),804.0)</f>
        <v>804</v>
      </c>
      <c r="D1977" s="2" t="str">
        <f>IFERROR(__xludf.DUMMYFUNCTION("""COMPUTED_VALUE"""),"CX")</f>
        <v>CX</v>
      </c>
      <c r="E1977" s="2" t="str">
        <f>IFERROR(__xludf.DUMMYFUNCTION("""COMPUTED_VALUE"""),"土23")</f>
        <v>土23</v>
      </c>
      <c r="F1977" s="2" t="s">
        <v>6269</v>
      </c>
      <c r="G1977" s="2" t="s">
        <v>6291</v>
      </c>
      <c r="H1977" s="1">
        <v>8.0</v>
      </c>
      <c r="I1977" s="1" t="s">
        <v>29</v>
      </c>
      <c r="J1977" s="1" t="s">
        <v>6113</v>
      </c>
      <c r="K1977" s="2" t="s">
        <v>6292</v>
      </c>
      <c r="L1977" s="11" t="s">
        <v>6293</v>
      </c>
      <c r="M1977" s="2" t="str">
        <f>IFERROR(__xludf.DUMMYFUNCTION("split(split(K1977,""溝端淳平  "",false),""公式LINE"",false)"),"菅田健太郎(溝端淳平)は、そよ(仲里依紗)と菅田の妹・歩美(大政絢)とともに、みさき(木下優樹菜)に連れられある雑居ビルの屋上へ。  怪しげな男に先導され、賭場へ入った菅田は中を見て驚く。さまざまな花で色鮮やかに飾られた、幻想的な異世界が広がっていたからだ。そして、そこには2人の男がいた。春日京介(袴田吉彦)と弟・智也(忍成修吾)だ。最近“春日兄弟""として人気の芸術家だが、その裏で「鬼将会」のメンバ―として活動する真剣師だという。そして、智也の側には口をふさがれ椅子に縛られている六車里花(安田美沙子)の"&amp;"姿もある。  そんな中、偽物の「鬼将会」の駒をばらまいた罰だといい、歩美が捕まり猛毒を飲まされる。毒は即効性で、解毒剤を飲まないと2時間で死に至るという。それを聞いた菅田は、解毒剤を奪おうとするが取り押さえられてしまう。すると、京介は、「真剣」で自分たちに勝てば解毒剤をやると宣言し、京介、智也も自ら毒を飲み干す。お互いの命を賭けて「真剣」に臨む――それが、鬼将会の将棋だという。  歩美の命がかかった菅田は、勢い込んで将棋盤に向かうが、そよは自分が戦うと言って菅田を退ける。菅田が冷静さを失っていると判断した"&amp;"のだ。そして、そよと智也の真剣が始まる…。  同じ頃、鈴木歩人八段(小日向文世)の自宅に、「鬼将会」からの封筒が届いていた。そこには、彼らの目的とも思われるものが書かれていて…。")</f>
        <v>菅田健太郎(溝端淳平)は、そよ(仲里依紗)と菅田の妹・歩美(大政絢)とともに、みさき(木下優樹菜)に連れられある雑居ビルの屋上へ。  怪しげな男に先導され、賭場へ入った菅田は中を見て驚く。さまざまな花で色鮮やかに飾られた、幻想的な異世界が広がっていたからだ。そして、そこには2人の男がいた。春日京介(袴田吉彦)と弟・智也(忍成修吾)だ。最近“春日兄弟"として人気の芸術家だが、その裏で「鬼将会」のメンバ―として活動する真剣師だという。そして、智也の側には口をふさがれ椅子に縛られている六車里花(安田美沙子)の姿もある。  そんな中、偽物の「鬼将会」の駒をばらまいた罰だといい、歩美が捕まり猛毒を飲まされる。毒は即効性で、解毒剤を飲まないと2時間で死に至るという。それを聞いた菅田は、解毒剤を奪おうとするが取り押さえられてしまう。すると、京介は、「真剣」で自分たちに勝てば解毒剤をやると宣言し、京介、智也も自ら毒を飲み干す。お互いの命を賭けて「真剣」に臨む――それが、鬼将会の将棋だという。  歩美の命がかかった菅田は、勢い込んで将棋盤に向かうが、そよは自分が戦うと言って菅田を退ける。菅田が冷静さを失っていると判断したのだ。そして、そよと智也の真剣が始まる…。  同じ頃、鈴木歩人八段(小日向文世)の自宅に、「鬼将会」からの封筒が届いていた。そこには、彼らの目的とも思われるものが書かれていて…。</v>
      </c>
      <c r="N1977" s="2"/>
      <c r="O1977" s="2"/>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row>
    <row r="1978" ht="204.75" customHeight="1">
      <c r="A1978" s="1">
        <v>5897.0</v>
      </c>
      <c r="B1978" s="2" t="s">
        <v>6294</v>
      </c>
      <c r="C1978" s="2">
        <f>IFERROR(__xludf.DUMMYFUNCTION("split(B1978,""_"")"),801.0)</f>
        <v>801</v>
      </c>
      <c r="D1978" s="2" t="str">
        <f>IFERROR(__xludf.DUMMYFUNCTION("""COMPUTED_VALUE"""),"CX")</f>
        <v>CX</v>
      </c>
      <c r="E1978" s="2" t="str">
        <f>IFERROR(__xludf.DUMMYFUNCTION("""COMPUTED_VALUE"""),"月21")</f>
        <v>月21</v>
      </c>
      <c r="F1978" s="2" t="s">
        <v>6295</v>
      </c>
      <c r="G1978" s="2" t="s">
        <v>6296</v>
      </c>
      <c r="H1978" s="1">
        <v>1.0</v>
      </c>
      <c r="J1978" s="1" t="s">
        <v>4</v>
      </c>
      <c r="K1978" s="4" t="s">
        <v>6297</v>
      </c>
      <c r="L1978" s="11" t="s">
        <v>6297</v>
      </c>
      <c r="M1978" s="2" t="str">
        <f>IFERROR(__xludf.DUMMYFUNCTION("split(split(K1978,""【"",false),""公式LINE"",false)"),"花店を経営しながら一人娘を育てる男性と盲目の女性を中心に、さまざまな愛の形を描く。脚本・野島伸司、演出・中江功。　英治(香取慎吾)は幼い娘を一人で育てながら、小さな花店を営んでいる。ある日、英治は、雨宿りのために店の軒下に立っていた盲目の女性・美桜(竹内結子)と出会う。そんな折、娘の担任・優貴(釈由美子)から連絡があり、英治はすぐに学校へ駆け付ける。娘が何か問題を起こしたと考えていた英治だったが、教室で目にしたのは意外な光景だった。その夜、英治は配達先のホストクラブで直哉(松田翔太)という青年に出会い、彼"&amp;"を家に連れ帰る。娘とすっかり仲良くなった美桜、居候の直哉が加わり、不思議な共同生活が始まる。")</f>
        <v>花店を経営しながら一人娘を育てる男性と盲目の女性を中心に、さまざまな愛の形を描く。脚本・野島伸司、演出・中江功。　英治(香取慎吾)は幼い娘を一人で育てながら、小さな花店を営んでいる。ある日、英治は、雨宿りのために店の軒下に立っていた盲目の女性・美桜(竹内結子)と出会う。そんな折、娘の担任・優貴(釈由美子)から連絡があり、英治はすぐに学校へ駆け付ける。娘が何か問題を起こしたと考えていた英治だったが、教室で目にしたのは意外な光景だった。その夜、英治は配達先のホストクラブで直哉(松田翔太)という青年に出会い、彼を家に連れ帰る。娘とすっかり仲良くなった美桜、居候の直哉が加わり、不思議な共同生活が始まる。</v>
      </c>
      <c r="N1978" s="2"/>
      <c r="O1978" s="2"/>
      <c r="P1978" s="1"/>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row>
    <row r="1979" ht="204.75" customHeight="1">
      <c r="A1979" s="1">
        <v>5898.0</v>
      </c>
      <c r="B1979" s="2" t="s">
        <v>6294</v>
      </c>
      <c r="C1979" s="2">
        <f>IFERROR(__xludf.DUMMYFUNCTION("split(B1979,""_"")"),801.0)</f>
        <v>801</v>
      </c>
      <c r="D1979" s="2" t="str">
        <f>IFERROR(__xludf.DUMMYFUNCTION("""COMPUTED_VALUE"""),"CX")</f>
        <v>CX</v>
      </c>
      <c r="E1979" s="2" t="str">
        <f>IFERROR(__xludf.DUMMYFUNCTION("""COMPUTED_VALUE"""),"月21")</f>
        <v>月21</v>
      </c>
      <c r="F1979" s="2" t="s">
        <v>6295</v>
      </c>
      <c r="G1979" s="2" t="s">
        <v>6298</v>
      </c>
      <c r="H1979" s="1">
        <v>2.0</v>
      </c>
      <c r="J1979" s="1" t="s">
        <v>11</v>
      </c>
      <c r="K1979" s="2" t="s">
        <v>6299</v>
      </c>
      <c r="L1979" s="11" t="s">
        <v>6299</v>
      </c>
      <c r="M1979" s="2" t="str">
        <f>IFERROR(__xludf.DUMMYFUNCTION("split(split(K1979,""【"",false),""公式LINE"",false)"),"汐見家を訪れるようになった美桜(竹内結子)は、ある日、英治(香取慎吾)と直哉(松田翔太)のやりとりを偶然に聞いてしまう。善意は同情で、恋愛感情を持たれたら迷惑だと英治が主張しているように聞こえた美桜は、ショックを受けて飛び出していく。そんな折、桂子(池内淳子)が老人ホームに入ることになる。喫茶店のマスター・四条(寺島進)の提案で、英治たちはお別れ会をすることに。しかし、いくら待っても、桂子は姿を見せなかった。一方、美桜は病院の同僚たちと飲みに出掛ける。しかし、その席で屈辱的な出来事に見舞われる。美桜は気付"&amp;"くと、英治に電話をかけていた。")</f>
        <v>汐見家を訪れるようになった美桜(竹内結子)は、ある日、英治(香取慎吾)と直哉(松田翔太)のやりとりを偶然に聞いてしまう。善意は同情で、恋愛感情を持たれたら迷惑だと英治が主張しているように聞こえた美桜は、ショックを受けて飛び出していく。そんな折、桂子(池内淳子)が老人ホームに入ることになる。喫茶店のマスター・四条(寺島進)の提案で、英治たちはお別れ会をすることに。しかし、いくら待っても、桂子は姿を見せなかった。一方、美桜は病院の同僚たちと飲みに出掛ける。しかし、その席で屈辱的な出来事に見舞われる。美桜は気付くと、英治に電話をかけていた。</v>
      </c>
      <c r="N1979" s="2"/>
      <c r="O1979" s="2"/>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row>
    <row r="1980" ht="204.75" customHeight="1">
      <c r="A1980" s="1">
        <v>5899.0</v>
      </c>
      <c r="B1980" s="2" t="s">
        <v>6294</v>
      </c>
      <c r="C1980" s="2">
        <f>IFERROR(__xludf.DUMMYFUNCTION("split(B1980,""_"")"),801.0)</f>
        <v>801</v>
      </c>
      <c r="D1980" s="2" t="str">
        <f>IFERROR(__xludf.DUMMYFUNCTION("""COMPUTED_VALUE"""),"CX")</f>
        <v>CX</v>
      </c>
      <c r="E1980" s="2" t="str">
        <f>IFERROR(__xludf.DUMMYFUNCTION("""COMPUTED_VALUE"""),"月21")</f>
        <v>月21</v>
      </c>
      <c r="F1980" s="2" t="s">
        <v>6295</v>
      </c>
      <c r="G1980" s="2" t="s">
        <v>6300</v>
      </c>
      <c r="H1980" s="1">
        <v>3.0</v>
      </c>
      <c r="J1980" s="1" t="s">
        <v>11</v>
      </c>
      <c r="K1980" s="2" t="s">
        <v>6301</v>
      </c>
      <c r="L1980" s="11" t="s">
        <v>6301</v>
      </c>
      <c r="M1980" s="2" t="str">
        <f>IFERROR(__xludf.DUMMYFUNCTION("split(split(K1980,""【"",false),""公式LINE"",false)"),"英治(香取慎吾)は近所のスーパーマーケットで、雫(八木優希)の同級生・省吾(今井悠貴)が万引きで店員に取り押さえられているところに遭遇。英治は省吾をかばい、自宅へと連れていく。しかし、担任の優貴(釈由美子)は勝手なことをされては困ると英治を非難し、強引に省吾を引き取っていく。そんな中、直哉(松田翔太)は美桜(竹内結子)に、英治と優貴が親密になり始めていると伝える。美桜はいら立ち、そんな自分に驚く。程なく、美桜は久しぶりに再会した父・平川(尾藤イサオ)から、幼いころの自分の話を聞かされる。美桜はその話から、"&amp;"あるいたずらを思い付く。")</f>
        <v>英治(香取慎吾)は近所のスーパーマーケットで、雫(八木優希)の同級生・省吾(今井悠貴)が万引きで店員に取り押さえられているところに遭遇。英治は省吾をかばい、自宅へと連れていく。しかし、担任の優貴(釈由美子)は勝手なことをされては困ると英治を非難し、強引に省吾を引き取っていく。そんな中、直哉(松田翔太)は美桜(竹内結子)に、英治と優貴が親密になり始めていると伝える。美桜はいら立ち、そんな自分に驚く。程なく、美桜は久しぶりに再会した父・平川(尾藤イサオ)から、幼いころの自分の話を聞かされる。美桜はその話から、あるいたずらを思い付く。</v>
      </c>
      <c r="N1980" s="2"/>
      <c r="O1980" s="2"/>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row>
    <row r="1981" ht="204.75" customHeight="1">
      <c r="A1981" s="1">
        <v>5900.0</v>
      </c>
      <c r="B1981" s="2" t="s">
        <v>6294</v>
      </c>
      <c r="C1981" s="2">
        <f>IFERROR(__xludf.DUMMYFUNCTION("split(B1981,""_"")"),801.0)</f>
        <v>801</v>
      </c>
      <c r="D1981" s="2" t="str">
        <f>IFERROR(__xludf.DUMMYFUNCTION("""COMPUTED_VALUE"""),"CX")</f>
        <v>CX</v>
      </c>
      <c r="E1981" s="2" t="str">
        <f>IFERROR(__xludf.DUMMYFUNCTION("""COMPUTED_VALUE"""),"月21")</f>
        <v>月21</v>
      </c>
      <c r="F1981" s="2" t="s">
        <v>6295</v>
      </c>
      <c r="G1981" s="2" t="s">
        <v>6302</v>
      </c>
      <c r="H1981" s="1">
        <v>4.0</v>
      </c>
      <c r="J1981" s="1" t="s">
        <v>11</v>
      </c>
      <c r="K1981" s="2" t="s">
        <v>6303</v>
      </c>
      <c r="L1981" s="11" t="s">
        <v>6303</v>
      </c>
      <c r="M1981" s="2" t="str">
        <f>IFERROR(__xludf.DUMMYFUNCTION("split(split(K1981,""【"",false),""公式LINE"",false)"),"英治(香取慎吾)の元に、省吾(今井悠貴)がスーパーマーケットで再び万引きをしたという知らせが入る。今回はぬれぎぬだったが、スーパーに親が現れ、息子にあらぬ疑いを掛けたと慰謝料を請求。一部始終を店長から聞いた英治は、省吾の親が育児を放棄していると確信する。英治が優貴(釈由美子)と一緒に話を聞くと、省吾の親の実態が明らかになる。一方、美桜(竹内結子)は英治にうそをつくことに耐え切れず、安西(三浦友和)に英治への誤解を解くよう懇願する。しかし、安西は娘の日記から、娘と付き合っていた男が妊娠発覚とともに姿を消し、"&amp;"その後、会いにさえ来なかったと英治の冷淡さをののしる。そんな折、桂子(池内淳子)は友人の見舞いに行った病院で、美桜にそっくりな看護師を見掛ける。")</f>
        <v>英治(香取慎吾)の元に、省吾(今井悠貴)がスーパーマーケットで再び万引きをしたという知らせが入る。今回はぬれぎぬだったが、スーパーに親が現れ、息子にあらぬ疑いを掛けたと慰謝料を請求。一部始終を店長から聞いた英治は、省吾の親が育児を放棄していると確信する。英治が優貴(釈由美子)と一緒に話を聞くと、省吾の親の実態が明らかになる。一方、美桜(竹内結子)は英治にうそをつくことに耐え切れず、安西(三浦友和)に英治への誤解を解くよう懇願する。しかし、安西は娘の日記から、娘と付き合っていた男が妊娠発覚とともに姿を消し、その後、会いにさえ来なかったと英治の冷淡さをののしる。そんな折、桂子(池内淳子)は友人の見舞いに行った病院で、美桜にそっくりな看護師を見掛ける。</v>
      </c>
      <c r="N1981" s="2"/>
      <c r="O1981" s="2"/>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row>
    <row r="1982" ht="204.75" customHeight="1">
      <c r="A1982" s="1">
        <v>5901.0</v>
      </c>
      <c r="B1982" s="2" t="s">
        <v>6294</v>
      </c>
      <c r="C1982" s="2">
        <f>IFERROR(__xludf.DUMMYFUNCTION("split(B1982,""_"")"),801.0)</f>
        <v>801</v>
      </c>
      <c r="D1982" s="2" t="str">
        <f>IFERROR(__xludf.DUMMYFUNCTION("""COMPUTED_VALUE"""),"CX")</f>
        <v>CX</v>
      </c>
      <c r="E1982" s="2" t="str">
        <f>IFERROR(__xludf.DUMMYFUNCTION("""COMPUTED_VALUE"""),"月21")</f>
        <v>月21</v>
      </c>
      <c r="F1982" s="2" t="s">
        <v>6295</v>
      </c>
      <c r="G1982" s="2" t="s">
        <v>6304</v>
      </c>
      <c r="H1982" s="1">
        <v>5.0</v>
      </c>
      <c r="J1982" s="1" t="s">
        <v>11</v>
      </c>
      <c r="K1982" s="2" t="s">
        <v>6305</v>
      </c>
      <c r="L1982" s="11" t="s">
        <v>6305</v>
      </c>
      <c r="M1982" s="2" t="str">
        <f>IFERROR(__xludf.DUMMYFUNCTION("split(split(K1982,""【"",false),""公式LINE"",false)"),"英治(香取慎吾)は直哉(松田翔太)から、美桜(竹内結子)の目は手術すれば見えるようになるが、金の問題でできないでいることを知らされる。さらに、結婚と引き換えに金を出すという人物が現れたと聞き、英治は動揺。しかしそれは、安西(三浦友和)が仕組んだ英治への報復計画だった。美桜は英治に迷惑が掛からないように、計画から降りて姿を消そうと決意する。早速、父・平川(尾藤イサオ)を別の病院へ移そうとするが、病状が悪化。結局、安西の病院に舞い戻ることに。そんな折、雫(八木優希)が天国の母親と相談したと話し、英治に美桜の手"&amp;"術費用を出すことを勧める。")</f>
        <v>英治(香取慎吾)は直哉(松田翔太)から、美桜(竹内結子)の目は手術すれば見えるようになるが、金の問題でできないでいることを知らされる。さらに、結婚と引き換えに金を出すという人物が現れたと聞き、英治は動揺。しかしそれは、安西(三浦友和)が仕組んだ英治への報復計画だった。美桜は英治に迷惑が掛からないように、計画から降りて姿を消そうと決意する。早速、父・平川(尾藤イサオ)を別の病院へ移そうとするが、病状が悪化。結局、安西の病院に舞い戻ることに。そんな折、雫(八木優希)が天国の母親と相談したと話し、英治に美桜の手術費用を出すことを勧める。</v>
      </c>
      <c r="N1982" s="2"/>
      <c r="O1982" s="2"/>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row>
    <row r="1983" ht="204.75" customHeight="1">
      <c r="A1983" s="1">
        <v>5902.0</v>
      </c>
      <c r="B1983" s="2" t="s">
        <v>6294</v>
      </c>
      <c r="C1983" s="2">
        <f>IFERROR(__xludf.DUMMYFUNCTION("split(B1983,""_"")"),801.0)</f>
        <v>801</v>
      </c>
      <c r="D1983" s="2" t="str">
        <f>IFERROR(__xludf.DUMMYFUNCTION("""COMPUTED_VALUE"""),"CX")</f>
        <v>CX</v>
      </c>
      <c r="E1983" s="2" t="str">
        <f>IFERROR(__xludf.DUMMYFUNCTION("""COMPUTED_VALUE"""),"月21")</f>
        <v>月21</v>
      </c>
      <c r="F1983" s="2" t="s">
        <v>6295</v>
      </c>
      <c r="G1983" s="2" t="s">
        <v>6306</v>
      </c>
      <c r="H1983" s="1">
        <v>6.0</v>
      </c>
      <c r="J1983" s="1" t="s">
        <v>11</v>
      </c>
      <c r="K1983" s="2" t="s">
        <v>6307</v>
      </c>
      <c r="L1983" s="11" t="s">
        <v>6307</v>
      </c>
      <c r="M1983" s="2" t="str">
        <f>IFERROR(__xludf.DUMMYFUNCTION("split(split(K1983,""【"",false),""公式LINE"",false)"),"桂子(池内淳子)は、英治(香取慎吾)が美桜(竹内結子)の目の手術費用を負担したと知る。驚いた桂子は、英治に美桜という名前の看護師が病院にいたことをあらためて伝え、自分で確かめるよう迫る。一方、美桜が手術費用を受け取ったと知った直哉(松田翔太)は、その金を自分に預けるように指示する。喫茶コロンには安西(三浦友和)が現れ、雫(八木優希)に接触していた。そんな中、英治は桂子の気が済むようにと、念のために病院を訪れる。")</f>
        <v>桂子(池内淳子)は、英治(香取慎吾)が美桜(竹内結子)の目の手術費用を負担したと知る。驚いた桂子は、英治に美桜という名前の看護師が病院にいたことをあらためて伝え、自分で確かめるよう迫る。一方、美桜が手術費用を受け取ったと知った直哉(松田翔太)は、その金を自分に預けるように指示する。喫茶コロンには安西(三浦友和)が現れ、雫(八木優希)に接触していた。そんな中、英治は桂子の気が済むようにと、念のために病院を訪れる。</v>
      </c>
      <c r="N1983" s="2"/>
      <c r="O1983" s="2"/>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row>
    <row r="1984" ht="204.75" customHeight="1">
      <c r="A1984" s="1">
        <v>5903.0</v>
      </c>
      <c r="B1984" s="2" t="s">
        <v>6294</v>
      </c>
      <c r="C1984" s="2">
        <f>IFERROR(__xludf.DUMMYFUNCTION("split(B1984,""_"")"),801.0)</f>
        <v>801</v>
      </c>
      <c r="D1984" s="2" t="str">
        <f>IFERROR(__xludf.DUMMYFUNCTION("""COMPUTED_VALUE"""),"CX")</f>
        <v>CX</v>
      </c>
      <c r="E1984" s="2" t="str">
        <f>IFERROR(__xludf.DUMMYFUNCTION("""COMPUTED_VALUE"""),"月21")</f>
        <v>月21</v>
      </c>
      <c r="F1984" s="2" t="s">
        <v>6295</v>
      </c>
      <c r="G1984" s="2" t="s">
        <v>6308</v>
      </c>
      <c r="H1984" s="1">
        <v>7.0</v>
      </c>
      <c r="J1984" s="1" t="s">
        <v>11</v>
      </c>
      <c r="K1984" s="2" t="s">
        <v>6309</v>
      </c>
      <c r="L1984" s="11" t="s">
        <v>6309</v>
      </c>
      <c r="M1984" s="2" t="str">
        <f>IFERROR(__xludf.DUMMYFUNCTION("split(split(K1984,""【"",false),""公式LINE"",false)"),"薔薇のない花屋◇英治（香取慎吾）のもとに弁護士がやって来る。雫（八木優希）の祖父である安西（三浦友和）が親権をめぐって裁判を起こすというのだ。英治は雫のためには安西と裁判で争うつもりはないと小野（釈由美子）と四条（寺島進）に話す。一方、美桜（竹内結子）は安西から親権裁判のことを聞き、安西の病院に入院している美桜自身の父親を犠牲にしても雫を英治から奪うようなことはさせないと息巻く。そんな中、桂子（池内淳子）は秘密を知っている苦しさから、小野に美桜の真実を打ち明けてしまう。")</f>
        <v>薔薇のない花屋◇英治（香取慎吾）のもとに弁護士がやって来る。雫（八木優希）の祖父である安西（三浦友和）が親権をめぐって裁判を起こすというのだ。英治は雫のためには安西と裁判で争うつもりはないと小野（釈由美子）と四条（寺島進）に話す。一方、美桜（竹内結子）は安西から親権裁判のことを聞き、安西の病院に入院している美桜自身の父親を犠牲にしても雫を英治から奪うようなことはさせないと息巻く。そんな中、桂子（池内淳子）は秘密を知っている苦しさから、小野に美桜の真実を打ち明けてしまう。</v>
      </c>
      <c r="N1984" s="2"/>
      <c r="O1984" s="2"/>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row>
    <row r="1985" ht="204.75" customHeight="1">
      <c r="A1985" s="1">
        <v>5904.0</v>
      </c>
      <c r="B1985" s="2" t="s">
        <v>6294</v>
      </c>
      <c r="C1985" s="2">
        <f>IFERROR(__xludf.DUMMYFUNCTION("split(B1985,""_"")"),801.0)</f>
        <v>801</v>
      </c>
      <c r="D1985" s="2" t="str">
        <f>IFERROR(__xludf.DUMMYFUNCTION("""COMPUTED_VALUE"""),"CX")</f>
        <v>CX</v>
      </c>
      <c r="E1985" s="2" t="str">
        <f>IFERROR(__xludf.DUMMYFUNCTION("""COMPUTED_VALUE"""),"月21")</f>
        <v>月21</v>
      </c>
      <c r="F1985" s="2" t="s">
        <v>6295</v>
      </c>
      <c r="G1985" s="2" t="s">
        <v>6310</v>
      </c>
      <c r="H1985" s="1">
        <v>8.0</v>
      </c>
      <c r="I1985" s="1" t="s">
        <v>29</v>
      </c>
      <c r="J1985" s="1" t="s">
        <v>11</v>
      </c>
      <c r="K1985" s="2" t="s">
        <v>6311</v>
      </c>
      <c r="L1985" s="10" t="s">
        <v>6312</v>
      </c>
      <c r="M1985" s="2" t="str">
        <f>IFERROR(__xludf.DUMMYFUNCTION("split(split(K1985,""【"",false),""公式LINE"",false)"),"英治(香取慎吾)は雫(八木優希)を手放す決意を固め、フラワ—ショップ雫閉店の準備を進めていた。  　そんなある日、英治は、雫が学校でバリケ—ドを組んでいるという報告を小野先生(釈由美子)から聞き、学校に駆けつける。教室の中には、色とりどりの頭巾をかぶった雫と同じくらいの背格好の女子小学生たちが並んでいた。  　雫の要求は、この中から本物の雫を英治にあててほしい、当てた時にだけ英治の言うとおりにおじいちゃんのもとに行く、というのだ。小野先生をはじめ、学校の皆が雫に協力的な中、雫が持つ様々な特徴を細かいところ"&amp;"まで知りつくしている英治は、確実に候補を絞り込んでいく。  　一方美桜(竹内結子)は、雫の母「彼女」が残したビデオを撮影していた「彼女」の友人こそが英治であったことを、菱田桂子(池内淳子)にも伝える。桂子は混乱するばかり。しかも英治と美桜は今やお互い全て分かっていながら知らない振りをしたまま2人の関係を続けていることを知り、さらに驚く。  　一方直哉(松田翔太)は自分の借金返済のために、英治が美桜に渡した金を使ってしまったため皆の目を避けていた。  　美桜は安西輝夫(三浦友和)から、安西自身はもはや手術が"&amp;"できない体であることを伝えられると同時に、父親の手術執刀医として突如別の医師を紹介されるのだった。香取慎吾  竹内結子  釈由美子  松田翔太  　/  本仮屋ユイカ  八木優希  今井悠貴  　・  尾藤イサオ  　/  寺島進  　・  池内淳子  三浦友和脚本:野島伸司演出:中江功  プロデュ—ス:関卓也  　　　　　　　稲田秀樹主題歌:山下達郎")</f>
        <v>英治(香取慎吾)は雫(八木優希)を手放す決意を固め、フラワ—ショップ雫閉店の準備を進めていた。  　そんなある日、英治は、雫が学校でバリケ—ドを組んでいるという報告を小野先生(釈由美子)から聞き、学校に駆けつける。教室の中には、色とりどりの頭巾をかぶった雫と同じくらいの背格好の女子小学生たちが並んでいた。  　雫の要求は、この中から本物の雫を英治にあててほしい、当てた時にだけ英治の言うとおりにおじいちゃんのもとに行く、というのだ。小野先生をはじめ、学校の皆が雫に協力的な中、雫が持つ様々な特徴を細かいところまで知りつくしている英治は、確実に候補を絞り込んでいく。  　一方美桜(竹内結子)は、雫の母「彼女」が残したビデオを撮影していた「彼女」の友人こそが英治であったことを、菱田桂子(池内淳子)にも伝える。桂子は混乱するばかり。しかも英治と美桜は今やお互い全て分かっていながら知らない振りをしたまま2人の関係を続けていることを知り、さらに驚く。  　一方直哉(松田翔太)は自分の借金返済のために、英治が美桜に渡した金を使ってしまったため皆の目を避けていた。  　美桜は安西輝夫(三浦友和)から、安西自身はもはや手術ができない体であることを伝えられると同時に、父親の手術執刀医として突如別の医師を紹介されるのだった。香取慎吾  竹内結子  釈由美子  松田翔太  　/  本仮屋ユイカ  八木優希  今井悠貴  　・  尾藤イサオ  　/  寺島進  　・  池内淳子  三浦友和脚本:野島伸司演出:中江功  プロデュ—ス:関卓也  　　　　　　　稲田秀樹主題歌:山下達郎</v>
      </c>
      <c r="N1985" s="2"/>
      <c r="O1985" s="2"/>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row>
    <row r="1986" ht="204.75" customHeight="1">
      <c r="A1986" s="1">
        <v>5905.0</v>
      </c>
      <c r="B1986" s="2" t="s">
        <v>6294</v>
      </c>
      <c r="C1986" s="2">
        <f>IFERROR(__xludf.DUMMYFUNCTION("split(B1986,""_"")"),801.0)</f>
        <v>801</v>
      </c>
      <c r="D1986" s="2" t="str">
        <f>IFERROR(__xludf.DUMMYFUNCTION("""COMPUTED_VALUE"""),"CX")</f>
        <v>CX</v>
      </c>
      <c r="E1986" s="2" t="str">
        <f>IFERROR(__xludf.DUMMYFUNCTION("""COMPUTED_VALUE"""),"月21")</f>
        <v>月21</v>
      </c>
      <c r="F1986" s="2" t="s">
        <v>6295</v>
      </c>
      <c r="G1986" s="2" t="s">
        <v>6313</v>
      </c>
      <c r="H1986" s="1">
        <v>9.0</v>
      </c>
      <c r="I1986" s="1" t="s">
        <v>33</v>
      </c>
      <c r="J1986" s="1" t="s">
        <v>11</v>
      </c>
      <c r="K1986" s="2" t="s">
        <v>6314</v>
      </c>
      <c r="L1986" s="10" t="s">
        <v>6315</v>
      </c>
      <c r="M1986" s="2" t="str">
        <f>IFERROR(__xludf.DUMMYFUNCTION("split(split(K1986,""【"",false),""公式LINE"",false)"),"英治(香取慎吾)の前に突如現れた神山舜(玉山鉄二)。海外で外科医をしていた舜は今回、難しいオペのために安西院長(三浦友和)から呼ばれたことを英治に伝える。舜は、安西と英治の関係についてはもちろんまだ何も知らなかった。  　そんな中、フラワ—ショップ雫を閉めた英治は美桜(竹内結子)の勧めもあって彼女のアパ—トに身を寄せる。ある日、病院からの帰宅途中、美桜は偶然、舜と会い、そのままタクシ—で送られることになる。ちょうどその時、小野先生(釈由美子)が直哉(松田翔太)の借金を取り戻すと言ってから姿を消したままの四"&amp;"条(寺島進)を心配し、美桜のアパ—トに住む英治のもとに相談に訪れていた。4人が顔を合わせることになった。  　舜は英治が止めるのも聞かず、舜と英治が子供時代から施設の仲間であり、「名も無き戦士」だったと明かすのだった。　その後、美桜はあらためて英治に雨の日の出会いから全てのことを話す。これで何も隠し事のなくなった2人だったが、それはゲ—ムの終わりを予感させることでもあった。  　一方、安西は英治が娘の相手でないことを知り、大きなショックを受ける。早速、直哉を呼び付けると本当の相手を探すよう依頼する。直哉も"&amp;"英治の濡れ衣をはらすため、今や、新たなミッションを無償で受けるのだった。果たして雫(八木優希)の本当の父親は。香取慎吾  竹内結子  釈由美子  松田翔太  　/  本仮屋ユイカ  八木優希  今井悠貴  　・  尾藤イサオ  　/  寺島進  　・  池内淳子  三浦友和      8話からの登場  玉山鉄二脚本:野島伸司演出:中江功  プロデュ—ス:関卓也  　　　　　　　稲田秀樹主題歌:山下達郎")</f>
        <v>英治(香取慎吾)の前に突如現れた神山舜(玉山鉄二)。海外で外科医をしていた舜は今回、難しいオペのために安西院長(三浦友和)から呼ばれたことを英治に伝える。舜は、安西と英治の関係についてはもちろんまだ何も知らなかった。  　そんな中、フラワ—ショップ雫を閉めた英治は美桜(竹内結子)の勧めもあって彼女のアパ—トに身を寄せる。ある日、病院からの帰宅途中、美桜は偶然、舜と会い、そのままタクシ—で送られることになる。ちょうどその時、小野先生(釈由美子)が直哉(松田翔太)の借金を取り戻すと言ってから姿を消したままの四条(寺島進)を心配し、美桜のアパ—トに住む英治のもとに相談に訪れていた。4人が顔を合わせることになった。  　舜は英治が止めるのも聞かず、舜と英治が子供時代から施設の仲間であり、「名も無き戦士」だったと明かすのだった。　その後、美桜はあらためて英治に雨の日の出会いから全てのことを話す。これで何も隠し事のなくなった2人だったが、それはゲ—ムの終わりを予感させることでもあった。  　一方、安西は英治が娘の相手でないことを知り、大きなショックを受ける。早速、直哉を呼び付けると本当の相手を探すよう依頼する。直哉も英治の濡れ衣をはらすため、今や、新たなミッションを無償で受けるのだった。果たして雫(八木優希)の本当の父親は。香取慎吾  竹内結子  釈由美子  松田翔太  　/  本仮屋ユイカ  八木優希  今井悠貴  　・  尾藤イサオ  　/  寺島進  　・  池内淳子  三浦友和      8話からの登場  玉山鉄二脚本:野島伸司演出:中江功  プロデュ—ス:関卓也  　　　　　　　稲田秀樹主題歌:山下達郎</v>
      </c>
      <c r="N1986" s="2"/>
      <c r="O1986" s="2"/>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row>
    <row r="1987" ht="204.75" customHeight="1">
      <c r="A1987" s="1">
        <v>5906.0</v>
      </c>
      <c r="B1987" s="2" t="s">
        <v>6294</v>
      </c>
      <c r="C1987" s="2">
        <f>IFERROR(__xludf.DUMMYFUNCTION("split(B1987,""_"")"),801.0)</f>
        <v>801</v>
      </c>
      <c r="D1987" s="2" t="str">
        <f>IFERROR(__xludf.DUMMYFUNCTION("""COMPUTED_VALUE"""),"CX")</f>
        <v>CX</v>
      </c>
      <c r="E1987" s="2" t="str">
        <f>IFERROR(__xludf.DUMMYFUNCTION("""COMPUTED_VALUE"""),"月21")</f>
        <v>月21</v>
      </c>
      <c r="F1987" s="2" t="s">
        <v>6295</v>
      </c>
      <c r="G1987" s="2" t="s">
        <v>6316</v>
      </c>
      <c r="H1987" s="1">
        <v>10.0</v>
      </c>
      <c r="I1987" s="1" t="s">
        <v>37</v>
      </c>
      <c r="J1987" s="1" t="s">
        <v>11</v>
      </c>
      <c r="K1987" s="2" t="s">
        <v>6317</v>
      </c>
      <c r="L1987" s="10" t="s">
        <v>6318</v>
      </c>
      <c r="M1987" s="2" t="str">
        <f>IFERROR(__xludf.DUMMYFUNCTION("split(split(K1987,""【"",false),""公式LINE"",false)"),"英治(香取慎吾)と美桜(竹内結子)の間にすれ違いが生じ、2人の共同生活はあっけなく終わってしまった。  　その美桜は病院で、父(尾藤イサオ)の難しい手術を可能にする医師として現れた神山舜(玉山鉄二)こそが、「雫(八木優希)の本当の父親」であることを知る。  　一方、小野先生(釈由美子)は舜と2人で会い、英治と舜の子供時代の衝撃的な事実を聞いた。そしてその舜も自分に子どもがいることをついに知り、英治を訪ねる。そこで自分が雫の父親であるという事実は安西院長(三浦友和)にも知られていたと知って、舜はある条件を安"&amp;"西に提示する。香取慎吾  竹内結子  釈由美子  松田翔太  　/  本仮屋ユイカ  八木優希  今井悠貴  　・  尾藤イサオ  　/  寺島進  　・  池内淳子  三浦友和    8話からの登場  玉山鉄二脚本:野島伸司演出:中江功  プロデュ—ス:関卓也  　　　　　　　稲田秀樹主題歌:山下達郎")</f>
        <v>英治(香取慎吾)と美桜(竹内結子)の間にすれ違いが生じ、2人の共同生活はあっけなく終わってしまった。  　その美桜は病院で、父(尾藤イサオ)の難しい手術を可能にする医師として現れた神山舜(玉山鉄二)こそが、「雫(八木優希)の本当の父親」であることを知る。  　一方、小野先生(釈由美子)は舜と2人で会い、英治と舜の子供時代の衝撃的な事実を聞いた。そしてその舜も自分に子どもがいることをついに知り、英治を訪ねる。そこで自分が雫の父親であるという事実は安西院長(三浦友和)にも知られていたと知って、舜はある条件を安西に提示する。香取慎吾  竹内結子  釈由美子  松田翔太  　/  本仮屋ユイカ  八木優希  今井悠貴  　・  尾藤イサオ  　/  寺島進  　・  池内淳子  三浦友和    8話からの登場  玉山鉄二脚本:野島伸司演出:中江功  プロデュ—ス:関卓也  　　　　　　　稲田秀樹主題歌:山下達郎</v>
      </c>
      <c r="N1987" s="2"/>
      <c r="O1987" s="2"/>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row>
    <row r="1988" ht="204.75" customHeight="1">
      <c r="A1988" s="1">
        <v>5907.0</v>
      </c>
      <c r="B1988" s="2" t="s">
        <v>6294</v>
      </c>
      <c r="C1988" s="2">
        <f>IFERROR(__xludf.DUMMYFUNCTION("split(B1988,""_"")"),801.0)</f>
        <v>801</v>
      </c>
      <c r="D1988" s="2" t="str">
        <f>IFERROR(__xludf.DUMMYFUNCTION("""COMPUTED_VALUE"""),"CX")</f>
        <v>CX</v>
      </c>
      <c r="E1988" s="2" t="str">
        <f>IFERROR(__xludf.DUMMYFUNCTION("""COMPUTED_VALUE"""),"月21")</f>
        <v>月21</v>
      </c>
      <c r="F1988" s="2" t="s">
        <v>6295</v>
      </c>
      <c r="G1988" s="2" t="s">
        <v>6319</v>
      </c>
      <c r="H1988" s="1">
        <v>11.0</v>
      </c>
      <c r="I1988" s="1" t="s">
        <v>41</v>
      </c>
      <c r="J1988" s="1" t="s">
        <v>4</v>
      </c>
      <c r="K1988" s="2" t="s">
        <v>6320</v>
      </c>
      <c r="L1988" s="10" t="s">
        <v>6321</v>
      </c>
      <c r="M1988" s="2" t="str">
        <f>IFERROR(__xludf.DUMMYFUNCTION("split(split(K1988,""【"",false),""公式LINE"",false)"),"自分に子供がいる事を知った舜(玉山鉄二)は英治(香取慎吾)を訪ねるが、そこで、瑠璃(本仮屋ユイカ)の舜への「家族を作って欲しい」との想いを拒否、子供が生まれた事は英治の過失であることを確認する。しかし、雫(八木優希)の父親が舜であることを安西院長(三浦友和)も知っていることを知った舜は、保身の為に安西を訪ねる。その舜の弁解的な態度と保身的な条件に憤慨した安西は舜を帰らせ、自ら平川(尾藤イサオ)の執刀を試みるが、持病である手の震えからオペは致命的な状況に陥る。その父の状況を察知した美桜(竹内結子)は、連絡を"&amp;"取っていなかった英治に電話をし、助けてほしいと叫ぶのだった。美桜の気持ちを汲んだ英治はアメリカへ戻ろうとしていた舜の前に立ちふさがり、病院に戻って欲しいと説得する。  　舜のもとに説得に走った英治に、舜は戻るための残酷な条件を出してくるのだった。英治のとった行動とは。    　急遽、平川の手術室に戻った舜。その致命的な状況を救うために執刀を始めた舜は何故か美桜をオペ室に呼ぶ。果たして手術は成功するのか?さらに英治のもとに雫は戻ってくるのか?そして英治と美桜の関係はこのままで終わってしまうのか。  　究極の"&amp;"ヒュ—マンラブスト—リ—がここに完結!!怒涛の最終回となる。香取慎吾  竹内結子  釈由美子  松田翔太  　/  本仮屋ユイカ  八木優希  今井悠貴  　・  尾藤イサオ  　/  寺島進  　・  池内淳子  三浦友和    8話からの登場  玉山鉄二脚本:野島伸司演出:中江功  プロデュ—ス:関卓也  　　　　　　　稲田秀樹主題歌:山下達郎")</f>
        <v>自分に子供がいる事を知った舜(玉山鉄二)は英治(香取慎吾)を訪ねるが、そこで、瑠璃(本仮屋ユイカ)の舜への「家族を作って欲しい」との想いを拒否、子供が生まれた事は英治の過失であることを確認する。しかし、雫(八木優希)の父親が舜であることを安西院長(三浦友和)も知っていることを知った舜は、保身の為に安西を訪ねる。その舜の弁解的な態度と保身的な条件に憤慨した安西は舜を帰らせ、自ら平川(尾藤イサオ)の執刀を試みるが、持病である手の震えからオペは致命的な状況に陥る。その父の状況を察知した美桜(竹内結子)は、連絡を取っていなかった英治に電話をし、助けてほしいと叫ぶのだった。美桜の気持ちを汲んだ英治はアメリカへ戻ろうとしていた舜の前に立ちふさがり、病院に戻って欲しいと説得する。  　舜のもとに説得に走った英治に、舜は戻るための残酷な条件を出してくるのだった。英治のとった行動とは。    　急遽、平川の手術室に戻った舜。その致命的な状況を救うために執刀を始めた舜は何故か美桜をオペ室に呼ぶ。果たして手術は成功するのか?さらに英治のもとに雫は戻ってくるのか?そして英治と美桜の関係はこのままで終わってしまうのか。  　究極のヒュ—マンラブスト—リ—がここに完結!!怒涛の最終回となる。香取慎吾  竹内結子  釈由美子  松田翔太  　/  本仮屋ユイカ  八木優希  今井悠貴  　・  尾藤イサオ  　/  寺島進  　・  池内淳子  三浦友和    8話からの登場  玉山鉄二脚本:野島伸司演出:中江功  プロデュ—ス:関卓也  　　　　　　　稲田秀樹主題歌:山下達郎</v>
      </c>
      <c r="N1988" s="2"/>
      <c r="O1988" s="2"/>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row>
    <row r="1989" ht="204.75" customHeight="1">
      <c r="A1989" s="1">
        <v>5908.0</v>
      </c>
      <c r="B1989" s="2" t="s">
        <v>6322</v>
      </c>
      <c r="C1989" s="2">
        <f>IFERROR(__xludf.DUMMYFUNCTION("split(B1989,""_"")"),801.0)</f>
        <v>801</v>
      </c>
      <c r="D1989" s="2" t="str">
        <f>IFERROR(__xludf.DUMMYFUNCTION("""COMPUTED_VALUE"""),"CX")</f>
        <v>CX</v>
      </c>
      <c r="E1989" s="2" t="str">
        <f>IFERROR(__xludf.DUMMYFUNCTION("""COMPUTED_VALUE"""),"火21")</f>
        <v>火21</v>
      </c>
      <c r="F1989" s="2" t="s">
        <v>6323</v>
      </c>
      <c r="G1989" s="2" t="s">
        <v>6324</v>
      </c>
      <c r="H1989" s="1">
        <v>1.0</v>
      </c>
      <c r="J1989" s="1" t="s">
        <v>4</v>
      </c>
      <c r="K1989" s="2" t="s">
        <v>6325</v>
      </c>
      <c r="L1989" s="13" t="s">
        <v>6325</v>
      </c>
      <c r="M1989" s="2" t="str">
        <f>IFERROR(__xludf.DUMMYFUNCTION("split(split(K1989,""【"",false),""公式LINE"",false)"),"羽海野チカの同名漫画をドラマ化。美術大学に通う学生たちの恋を描く。脚本・金子茂樹、演出・谷村政樹、松山博昭。　浜田山美術大学の油絵科に入学した花本はぐみ(成海璃子)は、芸術に関して天才的な才能を持っているが、極度の人見知り。四月のある日、建築科三年生の竹本(生田斗真)はキャンパス内で、はぐみの姿を見掛け、一目ぼれする。しかし、彫刻科の森田(成宮寛貴)と建築科の真山(向井理)がやって来て、竹本を無理やり連れ去ってしまう。そんな折、大学で校内展の発表が行われる。グランプリに選ばれたのは、はぐみの作品だった。作"&amp;"品を見た森田は、絵を見て心をつかまれたと話し、いきなりはぐみを抱き締める。")</f>
        <v>羽海野チカの同名漫画をドラマ化。美術大学に通う学生たちの恋を描く。脚本・金子茂樹、演出・谷村政樹、松山博昭。　浜田山美術大学の油絵科に入学した花本はぐみ(成海璃子)は、芸術に関して天才的な才能を持っているが、極度の人見知り。四月のある日、建築科三年生の竹本(生田斗真)はキャンパス内で、はぐみの姿を見掛け、一目ぼれする。しかし、彫刻科の森田(成宮寛貴)と建築科の真山(向井理)がやって来て、竹本を無理やり連れ去ってしまう。そんな折、大学で校内展の発表が行われる。グランプリに選ばれたのは、はぐみの作品だった。作品を見た森田は、絵を見て心をつかまれたと話し、いきなりはぐみを抱き締める。</v>
      </c>
      <c r="N1989" s="2"/>
      <c r="O1989" s="2"/>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row>
    <row r="1990" ht="204.75" customHeight="1">
      <c r="A1990" s="1">
        <v>5909.0</v>
      </c>
      <c r="B1990" s="2" t="s">
        <v>6322</v>
      </c>
      <c r="C1990" s="2">
        <f>IFERROR(__xludf.DUMMYFUNCTION("split(B1990,""_"")"),801.0)</f>
        <v>801</v>
      </c>
      <c r="D1990" s="2" t="str">
        <f>IFERROR(__xludf.DUMMYFUNCTION("""COMPUTED_VALUE"""),"CX")</f>
        <v>CX</v>
      </c>
      <c r="E1990" s="2" t="str">
        <f>IFERROR(__xludf.DUMMYFUNCTION("""COMPUTED_VALUE"""),"火21")</f>
        <v>火21</v>
      </c>
      <c r="F1990" s="2" t="s">
        <v>6323</v>
      </c>
      <c r="G1990" s="2" t="s">
        <v>6326</v>
      </c>
      <c r="H1990" s="1">
        <v>2.0</v>
      </c>
      <c r="J1990" s="1" t="s">
        <v>11</v>
      </c>
      <c r="K1990" s="2" t="s">
        <v>6327</v>
      </c>
      <c r="L1990" s="11" t="s">
        <v>6327</v>
      </c>
      <c r="M1990" s="2" t="str">
        <f>IFERROR(__xludf.DUMMYFUNCTION("split(split(K1990,""【"",false),""公式LINE"",false)"),"修司(村上淳)に頼まれて竹本(生田斗真)は、はぐみ(成海璃子)の買い物に付き合うことに。デート気分を楽しむ竹本は、クレーンゲームではぐみが気に入ったアクセサリーを取ろうとする。一方、修司の研究室にいた森田(成宮寛貴)は、商店街で行われる福引の抽選券の偽物作りをしていた。父が商店街の自治会長であるあゆみ(原田夏希)は、必死になっている森田を止めようとする。二人がもみ合っていると、書類が山積みになっている修司の机から写真立てが落ちる。そこには、修司と理花(瀬戸朝香)が見知らぬ男性と一緒にいる写真が入っていた。"&amp;"真山(向井理)が理花に恋をしていると知るあゆみは、複雑な思いで写真を見詰める。")</f>
        <v>修司(村上淳)に頼まれて竹本(生田斗真)は、はぐみ(成海璃子)の買い物に付き合うことに。デート気分を楽しむ竹本は、クレーンゲームではぐみが気に入ったアクセサリーを取ろうとする。一方、修司の研究室にいた森田(成宮寛貴)は、商店街で行われる福引の抽選券の偽物作りをしていた。父が商店街の自治会長であるあゆみ(原田夏希)は、必死になっている森田を止めようとする。二人がもみ合っていると、書類が山積みになっている修司の机から写真立てが落ちる。そこには、修司と理花(瀬戸朝香)が見知らぬ男性と一緒にいる写真が入っていた。真山(向井理)が理花に恋をしていると知るあゆみは、複雑な思いで写真を見詰める。</v>
      </c>
      <c r="N1990" s="2"/>
      <c r="O1990" s="2"/>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row>
    <row r="1991" ht="204.75" customHeight="1">
      <c r="A1991" s="1">
        <v>5910.0</v>
      </c>
      <c r="B1991" s="2" t="s">
        <v>6322</v>
      </c>
      <c r="C1991" s="2">
        <f>IFERROR(__xludf.DUMMYFUNCTION("split(B1991,""_"")"),801.0)</f>
        <v>801</v>
      </c>
      <c r="D1991" s="2" t="str">
        <f>IFERROR(__xludf.DUMMYFUNCTION("""COMPUTED_VALUE"""),"CX")</f>
        <v>CX</v>
      </c>
      <c r="E1991" s="2" t="str">
        <f>IFERROR(__xludf.DUMMYFUNCTION("""COMPUTED_VALUE"""),"火21")</f>
        <v>火21</v>
      </c>
      <c r="F1991" s="2" t="s">
        <v>6323</v>
      </c>
      <c r="G1991" s="2" t="s">
        <v>6328</v>
      </c>
      <c r="H1991" s="1">
        <v>3.0</v>
      </c>
      <c r="J1991" s="1" t="s">
        <v>11</v>
      </c>
      <c r="K1991" s="2" t="s">
        <v>6329</v>
      </c>
      <c r="L1991" s="11" t="s">
        <v>6329</v>
      </c>
      <c r="M1991" s="2" t="str">
        <f>IFERROR(__xludf.DUMMYFUNCTION("split(split(K1991,""【"",false),""公式LINE"",false)"),"長野に帰省していたはぐみ(成海璃子)が東京に帰ってきた。竹本(生田斗真)は、はぐみから土産のそばを食べようと誘われ、大喜びで修司(村上淳)の研究室へ急ぐ。一方、一足先に大学に着いたはぐみは、巨大な彫刻を制作中の森田(成宮寛貴)を見掛ける。みんなと海に行った時に、森田からいきなりキスをされたはぐみは、彼の姿を見ただけで動揺して、その場から逃げ出してしまう。竹本が研究室に着くと、そこにははぐみだけではなく、あゆみ(原田夏希)の姿もあった。真山(向井理)や森田も合流し、結局みんなでそばを食べることに。その席で、"&amp;"ぼんやりしているはぐみを森田がからかう。竹本は、はぐみをかばうため、慌ててその場を取り繕う。その姿を見て、森田は竹本がはぐみに恋をしていることを見抜く。")</f>
        <v>長野に帰省していたはぐみ(成海璃子)が東京に帰ってきた。竹本(生田斗真)は、はぐみから土産のそばを食べようと誘われ、大喜びで修司(村上淳)の研究室へ急ぐ。一方、一足先に大学に着いたはぐみは、巨大な彫刻を制作中の森田(成宮寛貴)を見掛ける。みんなと海に行った時に、森田からいきなりキスをされたはぐみは、彼の姿を見ただけで動揺して、その場から逃げ出してしまう。竹本が研究室に着くと、そこにははぐみだけではなく、あゆみ(原田夏希)の姿もあった。真山(向井理)や森田も合流し、結局みんなでそばを食べることに。その席で、ぼんやりしているはぐみを森田がからかう。竹本は、はぐみをかばうため、慌ててその場を取り繕う。その姿を見て、森田は竹本がはぐみに恋をしていることを見抜く。</v>
      </c>
      <c r="N1991" s="2"/>
      <c r="O1991" s="2"/>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row>
    <row r="1992" ht="204.75" customHeight="1">
      <c r="A1992" s="1">
        <v>5911.0</v>
      </c>
      <c r="B1992" s="2" t="s">
        <v>6322</v>
      </c>
      <c r="C1992" s="2">
        <f>IFERROR(__xludf.DUMMYFUNCTION("split(B1992,""_"")"),801.0)</f>
        <v>801</v>
      </c>
      <c r="D1992" s="2" t="str">
        <f>IFERROR(__xludf.DUMMYFUNCTION("""COMPUTED_VALUE"""),"CX")</f>
        <v>CX</v>
      </c>
      <c r="E1992" s="2" t="str">
        <f>IFERROR(__xludf.DUMMYFUNCTION("""COMPUTED_VALUE"""),"火21")</f>
        <v>火21</v>
      </c>
      <c r="F1992" s="2" t="s">
        <v>6323</v>
      </c>
      <c r="G1992" s="2" t="s">
        <v>6330</v>
      </c>
      <c r="H1992" s="1">
        <v>4.0</v>
      </c>
      <c r="J1992" s="1" t="s">
        <v>11</v>
      </c>
      <c r="K1992" s="2" t="s">
        <v>6331</v>
      </c>
      <c r="L1992" s="11" t="s">
        <v>6331</v>
      </c>
      <c r="M1992" s="2" t="str">
        <f>IFERROR(__xludf.DUMMYFUNCTION("split(split(K1992,""【"",false),""公式LINE"",false)"),"クリスマスシーズンを迎え、浜田山商店街も活気づいていた。はぐみ(成海璃子)や竹本(生田斗真)たちが商店街のイベントスペースで手伝いをしていると、大五郎(泉谷しげる)がやって来る。彼は森田(成宮寛貴)がデザインした特製ジャンパーにけちをつけ、森田とつかみ合いのけんかを始める。竹本は二人を止めようとして、商品の酒を割ってしまう。弁償できない竹本は、大五郎の酒店でアルバイトをすることに。そのころ、はぐみはある理由からスランプに陥り、絵が描けなくなっていた。そんなはぐみに、竹本は大五郎からもらった給料でクリスマス"&amp;"プレゼントを買う。")</f>
        <v>クリスマスシーズンを迎え、浜田山商店街も活気づいていた。はぐみ(成海璃子)や竹本(生田斗真)たちが商店街のイベントスペースで手伝いをしていると、大五郎(泉谷しげる)がやって来る。彼は森田(成宮寛貴)がデザインした特製ジャンパーにけちをつけ、森田とつかみ合いのけんかを始める。竹本は二人を止めようとして、商品の酒を割ってしまう。弁償できない竹本は、大五郎の酒店でアルバイトをすることに。そのころ、はぐみはある理由からスランプに陥り、絵が描けなくなっていた。そんなはぐみに、竹本は大五郎からもらった給料でクリスマスプレゼントを買う。</v>
      </c>
      <c r="N1992" s="2"/>
      <c r="O1992" s="2"/>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row>
    <row r="1993" ht="204.75" customHeight="1">
      <c r="A1993" s="1">
        <v>5912.0</v>
      </c>
      <c r="B1993" s="2" t="s">
        <v>6322</v>
      </c>
      <c r="C1993" s="2">
        <f>IFERROR(__xludf.DUMMYFUNCTION("split(B1993,""_"")"),801.0)</f>
        <v>801</v>
      </c>
      <c r="D1993" s="2" t="str">
        <f>IFERROR(__xludf.DUMMYFUNCTION("""COMPUTED_VALUE"""),"CX")</f>
        <v>CX</v>
      </c>
      <c r="E1993" s="2" t="str">
        <f>IFERROR(__xludf.DUMMYFUNCTION("""COMPUTED_VALUE"""),"火21")</f>
        <v>火21</v>
      </c>
      <c r="F1993" s="2" t="s">
        <v>6323</v>
      </c>
      <c r="G1993" s="2" t="s">
        <v>6332</v>
      </c>
      <c r="H1993" s="1">
        <v>5.0</v>
      </c>
      <c r="J1993" s="1" t="s">
        <v>11</v>
      </c>
      <c r="K1993" s="2" t="s">
        <v>6333</v>
      </c>
      <c r="L1993" s="11" t="s">
        <v>6333</v>
      </c>
      <c r="M1993" s="2" t="str">
        <f>IFERROR(__xludf.DUMMYFUNCTION("split(split(K1993,""【"",false),""公式LINE"",false)"),"はぐみ(成海璃子)が大学に入学してから、一年が過ぎようとしていた。有名なコンクールで最年少受賞したはぐみは、海外のメディアからも注目を集める。インタビューで、はぐみは影響を受けたアーティストとして森田(成宮寛貴)の名前を挙げる。そんな森田は、海外に行ったまま音信不通。真山(向井理)は無事に大学を卒業し、藤原デザイン事務所の正社員として働き始める。真山に思いを寄せるあゆみ(原田夏希)は、大学院に進んで勉強を続けている。竹本(生田斗真)だけは時が止まったかのように、何も変わらない生活を送っていた。そんな折、竹"&amp;"本を母の再婚相手・稼頭男(橋本じゅん)が訪ねて来る。")</f>
        <v>はぐみ(成海璃子)が大学に入学してから、一年が過ぎようとしていた。有名なコンクールで最年少受賞したはぐみは、海外のメディアからも注目を集める。インタビューで、はぐみは影響を受けたアーティストとして森田(成宮寛貴)の名前を挙げる。そんな森田は、海外に行ったまま音信不通。真山(向井理)は無事に大学を卒業し、藤原デザイン事務所の正社員として働き始める。真山に思いを寄せるあゆみ(原田夏希)は、大学院に進んで勉強を続けている。竹本(生田斗真)だけは時が止まったかのように、何も変わらない生活を送っていた。そんな折、竹本を母の再婚相手・稼頭男(橋本じゅん)が訪ねて来る。</v>
      </c>
      <c r="N1993" s="2"/>
      <c r="O1993" s="2"/>
      <c r="P1993" s="1"/>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row>
    <row r="1994" ht="204.75" customHeight="1">
      <c r="A1994" s="1">
        <v>5913.0</v>
      </c>
      <c r="B1994" s="2" t="s">
        <v>6322</v>
      </c>
      <c r="C1994" s="2">
        <f>IFERROR(__xludf.DUMMYFUNCTION("split(B1994,""_"")"),801.0)</f>
        <v>801</v>
      </c>
      <c r="D1994" s="2" t="str">
        <f>IFERROR(__xludf.DUMMYFUNCTION("""COMPUTED_VALUE"""),"CX")</f>
        <v>CX</v>
      </c>
      <c r="E1994" s="2" t="str">
        <f>IFERROR(__xludf.DUMMYFUNCTION("""COMPUTED_VALUE"""),"火21")</f>
        <v>火21</v>
      </c>
      <c r="F1994" s="2" t="s">
        <v>6323</v>
      </c>
      <c r="G1994" s="2" t="s">
        <v>6334</v>
      </c>
      <c r="H1994" s="1">
        <v>6.0</v>
      </c>
      <c r="J1994" s="1" t="s">
        <v>11</v>
      </c>
      <c r="K1994" s="2" t="s">
        <v>6335</v>
      </c>
      <c r="L1994" s="11" t="s">
        <v>6335</v>
      </c>
      <c r="M1994" s="2" t="str">
        <f>IFERROR(__xludf.DUMMYFUNCTION("split(split(K1994,""【"",false),""公式LINE"",false)"),"森田(成宮寛貴)がニューヨークから帰国した。竹本(生田斗真)は帰国パーティーを開いてくれとわがままを言う森田に、はぐみ(成海璃子)の気持ちを考えたことがあるのか、と言い放つ。そんな竹本は就職活動に追われていた。しかし、会社から届くのは不採用の通知ばかり。修司(村上淳)は、あらためて知り合いが営む家具メーカーの試験を受けるよう竹本に勧める。竹本は社長の薄井(中村靖日)に気に入られるものの、このまま就職すべきか迷う。真山(向井理)は竹本に、誰かから必要とされるのは簡単なことではない、と助言。真山自身も、一人前"&amp;"になるまで理花(瀬戸朝香)に会わないと決意していたのだ。悩んだ末に、竹本は薄井の会社に就職することを決意する。")</f>
        <v>森田(成宮寛貴)がニューヨークから帰国した。竹本(生田斗真)は帰国パーティーを開いてくれとわがままを言う森田に、はぐみ(成海璃子)の気持ちを考えたことがあるのか、と言い放つ。そんな竹本は就職活動に追われていた。しかし、会社から届くのは不採用の通知ばかり。修司(村上淳)は、あらためて知り合いが営む家具メーカーの試験を受けるよう竹本に勧める。竹本は社長の薄井(中村靖日)に気に入られるものの、このまま就職すべきか迷う。真山(向井理)は竹本に、誰かから必要とされるのは簡単なことではない、と助言。真山自身も、一人前になるまで理花(瀬戸朝香)に会わないと決意していたのだ。悩んだ末に、竹本は薄井の会社に就職することを決意する。</v>
      </c>
      <c r="N1994" s="2"/>
      <c r="O1994" s="2"/>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row>
    <row r="1995" ht="204.75" customHeight="1">
      <c r="A1995" s="1">
        <v>5914.0</v>
      </c>
      <c r="B1995" s="2" t="s">
        <v>6322</v>
      </c>
      <c r="C1995" s="2">
        <f>IFERROR(__xludf.DUMMYFUNCTION("split(B1995,""_"")"),801.0)</f>
        <v>801</v>
      </c>
      <c r="D1995" s="2" t="str">
        <f>IFERROR(__xludf.DUMMYFUNCTION("""COMPUTED_VALUE"""),"CX")</f>
        <v>CX</v>
      </c>
      <c r="E1995" s="2" t="str">
        <f>IFERROR(__xludf.DUMMYFUNCTION("""COMPUTED_VALUE"""),"火21")</f>
        <v>火21</v>
      </c>
      <c r="F1995" s="2" t="s">
        <v>6323</v>
      </c>
      <c r="G1995" s="2" t="s">
        <v>6336</v>
      </c>
      <c r="H1995" s="1">
        <v>7.0</v>
      </c>
      <c r="J1995" s="1" t="s">
        <v>11</v>
      </c>
      <c r="K1995" s="2" t="s">
        <v>6337</v>
      </c>
      <c r="L1995" s="11" t="s">
        <v>6337</v>
      </c>
      <c r="M1995" s="2" t="str">
        <f>IFERROR(__xludf.DUMMYFUNCTION("split(split(K1995,""【"",false),""公式LINE"",false)"),"ハチミツとクローバー◇はぐみ（成海璃子）は教授の大神（高橋ひとみ）から、あるコンクールに絵を出品するよう命じられる。一方、就職するはずだった会社が倒産した祐太（生田斗真）は就職をあきらめようとしていた。そんな祐太に森田（成宮寛貴）は、専門とする彫刻ではなく絵のコンクールで賞を取り、はぐみと向き合おうと決めたことを伝える。そんな折、真山（向井理）は野宮（柏原崇）があゆみ（原田夏希）に興味を持っていることを知る。真山は、友人であるあゆみにあまり近づかないでほしいと野宮に告げる。すると野宮は、友だち面したその態"&amp;"度があゆみにとって一番つらいことだと気付けと反論する。")</f>
        <v>ハチミツとクローバー◇はぐみ（成海璃子）は教授の大神（高橋ひとみ）から、あるコンクールに絵を出品するよう命じられる。一方、就職するはずだった会社が倒産した祐太（生田斗真）は就職をあきらめようとしていた。そんな祐太に森田（成宮寛貴）は、専門とする彫刻ではなく絵のコンクールで賞を取り、はぐみと向き合おうと決めたことを伝える。そんな折、真山（向井理）は野宮（柏原崇）があゆみ（原田夏希）に興味を持っていることを知る。真山は、友人であるあゆみにあまり近づかないでほしいと野宮に告げる。すると野宮は、友だち面したその態度があゆみにとって一番つらいことだと気付けと反論する。</v>
      </c>
      <c r="N1995" s="2"/>
      <c r="O1995" s="2"/>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row>
    <row r="1996" ht="204.75" customHeight="1">
      <c r="A1996" s="1">
        <v>5915.0</v>
      </c>
      <c r="B1996" s="2" t="s">
        <v>6322</v>
      </c>
      <c r="C1996" s="2">
        <f>IFERROR(__xludf.DUMMYFUNCTION("split(B1996,""_"")"),801.0)</f>
        <v>801</v>
      </c>
      <c r="D1996" s="2" t="str">
        <f>IFERROR(__xludf.DUMMYFUNCTION("""COMPUTED_VALUE"""),"CX")</f>
        <v>CX</v>
      </c>
      <c r="E1996" s="2" t="str">
        <f>IFERROR(__xludf.DUMMYFUNCTION("""COMPUTED_VALUE"""),"火21")</f>
        <v>火21</v>
      </c>
      <c r="F1996" s="2" t="s">
        <v>6323</v>
      </c>
      <c r="G1996" s="2" t="s">
        <v>6336</v>
      </c>
      <c r="H1996" s="1">
        <v>8.0</v>
      </c>
      <c r="J1996" s="1" t="s">
        <v>11</v>
      </c>
      <c r="K1996" s="2" t="s">
        <v>6338</v>
      </c>
      <c r="L1996" s="11" t="s">
        <v>6338</v>
      </c>
      <c r="M1996" s="2" t="str">
        <f>IFERROR(__xludf.DUMMYFUNCTION("split(split(K1996,""【"",false),""公式LINE"",false)"),"ハチミツとクローバー◇はぐみ（成海璃子）は、周囲の期待に応えようとコンクールに出品するための絵を描こうとする。だが何度描いても思うように描けず、激しく泣き崩れてしまう。そんなはぐみの姿を目の当たりにした花本（村上淳）は、もう描かなくてもいいと告げる。一方、自分の作品を衝動的にたたき壊した祐太（生田斗真）は、行く当てもないまま自転車に乗って無我夢中でペダルをこぎ続けていた。そんな中、真山（向井理）のことでショックを受けたあゆみ（原田夏希）は野宮（柏原崇）とともに、彼が初めて内装を手掛けたホテルにチェックイン"&amp;"する。翌日、夜になって森田（成宮寛貴）と真山は祐太がいないことに気付く。")</f>
        <v>ハチミツとクローバー◇はぐみ（成海璃子）は、周囲の期待に応えようとコンクールに出品するための絵を描こうとする。だが何度描いても思うように描けず、激しく泣き崩れてしまう。そんなはぐみの姿を目の当たりにした花本（村上淳）は、もう描かなくてもいいと告げる。一方、自分の作品を衝動的にたたき壊した祐太（生田斗真）は、行く当てもないまま自転車に乗って無我夢中でペダルをこぎ続けていた。そんな中、真山（向井理）のことでショックを受けたあゆみ（原田夏希）は野宮（柏原崇）とともに、彼が初めて内装を手掛けたホテルにチェックインする。翌日、夜になって森田（成宮寛貴）と真山は祐太がいないことに気付く。</v>
      </c>
      <c r="N1996" s="2"/>
      <c r="O1996" s="2"/>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row>
    <row r="1997" ht="204.75" customHeight="1">
      <c r="A1997" s="1">
        <v>5916.0</v>
      </c>
      <c r="B1997" s="2" t="s">
        <v>6339</v>
      </c>
      <c r="C1997" s="2">
        <f>IFERROR(__xludf.DUMMYFUNCTION("split(B1997,""_"")"),801.0)</f>
        <v>801</v>
      </c>
      <c r="D1997" s="2" t="str">
        <f>IFERROR(__xludf.DUMMYFUNCTION("""COMPUTED_VALUE"""),"CX")</f>
        <v>CX</v>
      </c>
      <c r="E1997" s="2" t="str">
        <f>IFERROR(__xludf.DUMMYFUNCTION("""COMPUTED_VALUE"""),"火22")</f>
        <v>火22</v>
      </c>
      <c r="F1997" s="2" t="s">
        <v>6340</v>
      </c>
      <c r="G1997" s="2" t="s">
        <v>6341</v>
      </c>
      <c r="H1997" s="1">
        <v>1.0</v>
      </c>
      <c r="J1997" s="1" t="s">
        <v>82</v>
      </c>
      <c r="K1997" s="2" t="s">
        <v>6342</v>
      </c>
      <c r="L1997" s="11" t="s">
        <v>6342</v>
      </c>
      <c r="M1997" s="2" t="str">
        <f>IFERROR(__xludf.DUMMYFUNCTION("split(split(K1997,""【"",false),""公式LINE"",false)"),"自殺することを決意した中年男性が、生きることへの喜びを実感していく十一日間を描く。脚本・飯田譲治、演出・下山天。　善良だがさえない中年男性・喜多善男(小日向文世)は、友人の命日である十一日後に死ぬことを決意する。偶然に出会ったキャバクラのスカウトマン・矢代(松田龍平)は、そんな善男に興味を抱き、何かと面倒を見ようとする。矢代に「死ぬ前にやっておきたいこと」を聞かれた善男は、別れた妻・みずほ(小西真奈美)に会いたいことなどを打ち明ける。死を決意した一日目の夜、善男は矢代が案内したマンションの一室にいた。そこ"&amp;"へ、ナイフを持った男が踏み込んでくる。予想もしなかった、善男の十一日間が始まる。")</f>
        <v>自殺することを決意した中年男性が、生きることへの喜びを実感していく十一日間を描く。脚本・飯田譲治、演出・下山天。　善良だがさえない中年男性・喜多善男(小日向文世)は、友人の命日である十一日後に死ぬことを決意する。偶然に出会ったキャバクラのスカウトマン・矢代(松田龍平)は、そんな善男に興味を抱き、何かと面倒を見ようとする。矢代に「死ぬ前にやっておきたいこと」を聞かれた善男は、別れた妻・みずほ(小西真奈美)に会いたいことなどを打ち明ける。死を決意した一日目の夜、善男は矢代が案内したマンションの一室にいた。そこへ、ナイフを持った男が踏み込んでくる。予想もしなかった、善男の十一日間が始まる。</v>
      </c>
      <c r="N1997" s="2"/>
      <c r="O1997" s="2"/>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row>
    <row r="1998" ht="204.75" customHeight="1">
      <c r="A1998" s="1">
        <v>5917.0</v>
      </c>
      <c r="B1998" s="2" t="s">
        <v>6339</v>
      </c>
      <c r="C1998" s="2">
        <f>IFERROR(__xludf.DUMMYFUNCTION("split(B1998,""_"")"),801.0)</f>
        <v>801</v>
      </c>
      <c r="D1998" s="2" t="str">
        <f>IFERROR(__xludf.DUMMYFUNCTION("""COMPUTED_VALUE"""),"CX")</f>
        <v>CX</v>
      </c>
      <c r="E1998" s="2" t="str">
        <f>IFERROR(__xludf.DUMMYFUNCTION("""COMPUTED_VALUE"""),"火22")</f>
        <v>火22</v>
      </c>
      <c r="F1998" s="2" t="s">
        <v>6340</v>
      </c>
      <c r="G1998" s="2" t="s">
        <v>6343</v>
      </c>
      <c r="H1998" s="1">
        <v>2.0</v>
      </c>
      <c r="J1998" s="1" t="s">
        <v>86</v>
      </c>
      <c r="K1998" s="2" t="s">
        <v>6344</v>
      </c>
      <c r="L1998" s="11" t="s">
        <v>6344</v>
      </c>
      <c r="M1998" s="2" t="str">
        <f>IFERROR(__xludf.DUMMYFUNCTION("split(split(K1998,""【"",false),""公式LINE"",false)"),"善男(小日向文世)は、残り十日間に何をすればいいのか考えていた。そこへ、平太(松田龍平)がやって来る。彼は善男が会いたがっていた元妻・みずほ(小西真奈美)の行方を報告しに来たのだ。何かと善男の面倒を見る平太は、恋人・リカ(栗山千明)の借金を返すために善男を利用しようとしていた。一方、みずほは、保険調査員の杉本(生瀬勝久)に警戒心を強めていた。杉本はみずほの秘密をつかんで、保険金の受け取りを拒否させようとたくらんでいる。そして、その秘密の鍵を握るのが善男だと考え、彼の行動を監視していた。そんなことを知る由も"&amp;"ない善男が街を歩いていると、頭上に巨大な看板が落下してくる。間一髪のところで平太に助けられた善男は、彼からある頼み事をされる。")</f>
        <v>善男(小日向文世)は、残り十日間に何をすればいいのか考えていた。そこへ、平太(松田龍平)がやって来る。彼は善男が会いたがっていた元妻・みずほ(小西真奈美)の行方を報告しに来たのだ。何かと善男の面倒を見る平太は、恋人・リカ(栗山千明)の借金を返すために善男を利用しようとしていた。一方、みずほは、保険調査員の杉本(生瀬勝久)に警戒心を強めていた。杉本はみずほの秘密をつかんで、保険金の受け取りを拒否させようとたくらんでいる。そして、その秘密の鍵を握るのが善男だと考え、彼の行動を監視していた。そんなことを知る由もない善男が街を歩いていると、頭上に巨大な看板が落下してくる。間一髪のところで平太に助けられた善男は、彼からある頼み事をされる。</v>
      </c>
      <c r="N1998" s="2"/>
      <c r="O1998" s="2"/>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row>
    <row r="1999" ht="204.75" customHeight="1">
      <c r="A1999" s="1">
        <v>5918.0</v>
      </c>
      <c r="B1999" s="2" t="s">
        <v>6339</v>
      </c>
      <c r="C1999" s="2">
        <f>IFERROR(__xludf.DUMMYFUNCTION("split(B1999,""_"")"),801.0)</f>
        <v>801</v>
      </c>
      <c r="D1999" s="2" t="str">
        <f>IFERROR(__xludf.DUMMYFUNCTION("""COMPUTED_VALUE"""),"CX")</f>
        <v>CX</v>
      </c>
      <c r="E1999" s="2" t="str">
        <f>IFERROR(__xludf.DUMMYFUNCTION("""COMPUTED_VALUE"""),"火22")</f>
        <v>火22</v>
      </c>
      <c r="F1999" s="2" t="s">
        <v>6340</v>
      </c>
      <c r="G1999" s="2" t="s">
        <v>6345</v>
      </c>
      <c r="H1999" s="1">
        <v>3.0</v>
      </c>
      <c r="J1999" s="1" t="s">
        <v>86</v>
      </c>
      <c r="K1999" s="2" t="s">
        <v>6346</v>
      </c>
      <c r="L1999" s="11" t="s">
        <v>6346</v>
      </c>
      <c r="M1999" s="2" t="str">
        <f>IFERROR(__xludf.DUMMYFUNCTION("split(split(K1999,""【"",false),""公式LINE"",false)"),"善男(小日向文世)は平太(松田龍平)とリカ(栗山千明)に頼まれ、受取人が母親・静子(加藤治子)になっている生命保険契約書にサインをする。その後、平太から元妻・みずほ(小西真奈美)の居場所を教えられた善男は、彼女の仕事場を訪れる。しかし、善男は警備員から怪しまれ、中に入ることができない。一方、保険調査員の杉本(生瀬勝久)はみずほの会社の経営状態が良くないことを知り、彼女の夫の死について疑いを濃くする。勇気を出して再び会社を訪ねた善男は、思いがけない方法で中に入ることに成功。そのころ、みずほは社員たちを集め、"&amp;"夫の死に疑うような点はないと必死のスピーチをしていた。そこへ、善男が一歩ずつ近づいていく。")</f>
        <v>善男(小日向文世)は平太(松田龍平)とリカ(栗山千明)に頼まれ、受取人が母親・静子(加藤治子)になっている生命保険契約書にサインをする。その後、平太から元妻・みずほ(小西真奈美)の居場所を教えられた善男は、彼女の仕事場を訪れる。しかし、善男は警備員から怪しまれ、中に入ることができない。一方、保険調査員の杉本(生瀬勝久)はみずほの会社の経営状態が良くないことを知り、彼女の夫の死について疑いを濃くする。勇気を出して再び会社を訪ねた善男は、思いがけない方法で中に入ることに成功。そのころ、みずほは社員たちを集め、夫の死に疑うような点はないと必死のスピーチをしていた。そこへ、善男が一歩ずつ近づいていく。</v>
      </c>
      <c r="N1999" s="2"/>
      <c r="O1999" s="2"/>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row>
    <row r="2000" ht="204.75" customHeight="1">
      <c r="A2000" s="1">
        <v>5919.0</v>
      </c>
      <c r="B2000" s="2" t="s">
        <v>6339</v>
      </c>
      <c r="C2000" s="2">
        <f>IFERROR(__xludf.DUMMYFUNCTION("split(B2000,""_"")"),801.0)</f>
        <v>801</v>
      </c>
      <c r="D2000" s="2" t="str">
        <f>IFERROR(__xludf.DUMMYFUNCTION("""COMPUTED_VALUE"""),"CX")</f>
        <v>CX</v>
      </c>
      <c r="E2000" s="2" t="str">
        <f>IFERROR(__xludf.DUMMYFUNCTION("""COMPUTED_VALUE"""),"火22")</f>
        <v>火22</v>
      </c>
      <c r="F2000" s="2" t="s">
        <v>6340</v>
      </c>
      <c r="G2000" s="2" t="s">
        <v>6347</v>
      </c>
      <c r="H2000" s="1">
        <v>4.0</v>
      </c>
      <c r="J2000" s="1" t="s">
        <v>86</v>
      </c>
      <c r="K2000" s="2" t="s">
        <v>6348</v>
      </c>
      <c r="L2000" s="11" t="s">
        <v>6348</v>
      </c>
      <c r="M2000" s="2" t="str">
        <f>IFERROR(__xludf.DUMMYFUNCTION("split(split(K2000,""【"",false),""公式LINE"",false)"),"善男(小日向文世)は、十一年ぶりに会った元妻・みずほ(小西真奈美)に完全に拒絶されたショックを抱えたまま、元アイドル・しのぶ(吉高由里子)にせがまれて箱根に泊まることに。同じ夜、みずほは再会した善男ではなく、彼の親友・三波(今井雅之)に思いをはせていた。そのころ、保険調査員の杉本(生瀬勝久)は、以前にみずほが勤めていた病院に入り込み、三波のカルテを見つけ出す。一方、平太(松田龍平)は殺し屋の片山(温水洋一)に善男の殺害を依頼。リカ(栗山千明)は身分を偽って善男の母・静子(加藤治子)の家を訪ね、生命保険契約"&amp;"書に署名させて保険証まで預かる。二人の保険金殺人の準備は、着々と進んでいた。")</f>
        <v>善男(小日向文世)は、十一年ぶりに会った元妻・みずほ(小西真奈美)に完全に拒絶されたショックを抱えたまま、元アイドル・しのぶ(吉高由里子)にせがまれて箱根に泊まることに。同じ夜、みずほは再会した善男ではなく、彼の親友・三波(今井雅之)に思いをはせていた。そのころ、保険調査員の杉本(生瀬勝久)は、以前にみずほが勤めていた病院に入り込み、三波のカルテを見つけ出す。一方、平太(松田龍平)は殺し屋の片山(温水洋一)に善男の殺害を依頼。リカ(栗山千明)は身分を偽って善男の母・静子(加藤治子)の家を訪ね、生命保険契約書に署名させて保険証まで預かる。二人の保険金殺人の準備は、着々と進んでいた。</v>
      </c>
      <c r="N2000" s="2"/>
      <c r="O2000" s="2"/>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row>
    <row r="2001" ht="204.75" customHeight="1">
      <c r="A2001" s="1">
        <v>5920.0</v>
      </c>
      <c r="B2001" s="2" t="s">
        <v>6339</v>
      </c>
      <c r="C2001" s="2">
        <f>IFERROR(__xludf.DUMMYFUNCTION("split(B2001,""_"")"),801.0)</f>
        <v>801</v>
      </c>
      <c r="D2001" s="2" t="str">
        <f>IFERROR(__xludf.DUMMYFUNCTION("""COMPUTED_VALUE"""),"CX")</f>
        <v>CX</v>
      </c>
      <c r="E2001" s="2" t="str">
        <f>IFERROR(__xludf.DUMMYFUNCTION("""COMPUTED_VALUE"""),"火22")</f>
        <v>火22</v>
      </c>
      <c r="F2001" s="2" t="s">
        <v>6340</v>
      </c>
      <c r="G2001" s="2" t="s">
        <v>6349</v>
      </c>
      <c r="H2001" s="1">
        <v>5.0</v>
      </c>
      <c r="J2001" s="1" t="s">
        <v>86</v>
      </c>
      <c r="K2001" s="2" t="s">
        <v>6350</v>
      </c>
      <c r="L2001" s="11" t="s">
        <v>6350</v>
      </c>
      <c r="M2001" s="2" t="str">
        <f>IFERROR(__xludf.DUMMYFUNCTION("split(split(K2001,""【"",false),""公式LINE"",false)"),"善男(小日向文世)はしのぶ(吉高由里子)の気まぐれで、誘拐犯に仕立てられてしまう。しかし、善男はある目的のために、自らしのぶの事務所に身代金を要求する。二人の行方を追って、平太(松田龍平)や杉本(生瀬勝久)、善男の殺害を依頼された片山(温水洋一)も箱根に来ていた。それを知らない善男たちは、神社で倒れている観光客らしい老人(梅野泰靖)を助ける。一方、東京では事故死とされるみずほ(小西真奈美)の夫の死因について、警察が新事実をつかむ。事件の可能性があると聞き、みずほは警察へ出向く。")</f>
        <v>善男(小日向文世)はしのぶ(吉高由里子)の気まぐれで、誘拐犯に仕立てられてしまう。しかし、善男はある目的のために、自らしのぶの事務所に身代金を要求する。二人の行方を追って、平太(松田龍平)や杉本(生瀬勝久)、善男の殺害を依頼された片山(温水洋一)も箱根に来ていた。それを知らない善男たちは、神社で倒れている観光客らしい老人(梅野泰靖)を助ける。一方、東京では事故死とされるみずほ(小西真奈美)の夫の死因について、警察が新事実をつかむ。事件の可能性があると聞き、みずほは警察へ出向く。</v>
      </c>
      <c r="N2001" s="2"/>
      <c r="O2001" s="2"/>
      <c r="P2001" s="1"/>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1"/>
      <c r="AY2001" s="1"/>
      <c r="AZ2001" s="1"/>
      <c r="BA2001" s="1"/>
      <c r="BB2001" s="1"/>
    </row>
    <row r="2002" ht="204.75" customHeight="1">
      <c r="A2002" s="1">
        <v>5921.0</v>
      </c>
      <c r="B2002" s="2" t="s">
        <v>6339</v>
      </c>
      <c r="C2002" s="2">
        <f>IFERROR(__xludf.DUMMYFUNCTION("split(B2002,""_"")"),801.0)</f>
        <v>801</v>
      </c>
      <c r="D2002" s="2" t="str">
        <f>IFERROR(__xludf.DUMMYFUNCTION("""COMPUTED_VALUE"""),"CX")</f>
        <v>CX</v>
      </c>
      <c r="E2002" s="2" t="str">
        <f>IFERROR(__xludf.DUMMYFUNCTION("""COMPUTED_VALUE"""),"火22")</f>
        <v>火22</v>
      </c>
      <c r="F2002" s="2" t="s">
        <v>6340</v>
      </c>
      <c r="G2002" s="2" t="s">
        <v>6351</v>
      </c>
      <c r="H2002" s="1">
        <v>6.0</v>
      </c>
      <c r="J2002" s="1" t="s">
        <v>86</v>
      </c>
      <c r="K2002" s="2" t="s">
        <v>6352</v>
      </c>
      <c r="L2002" s="11" t="s">
        <v>6352</v>
      </c>
      <c r="M2002" s="2" t="str">
        <f>IFERROR(__xludf.DUMMYFUNCTION("split(split(K2002,""【"",false),""公式LINE"",false)"),"善男(小日向文世)、平太(松田龍平)、しのぶ(吉高由里子)の三人は箱根から東京に逃げ帰ってきた。翌日のテレビで、三人は善男の要求通りにしのぶの事務所が二千万円の寄付をしたことを知る。しかし、金が手に入らなかったことに腹を立てたしのぶが、善男を絶対に許さないと言い捨てて姿を消してしまう。一方、みずほ(小西真奈美)は杉本(生瀬勝久)にだまされ、飛行機事故に遭った三波(今井雅之)が生きているのでは、と思い始める。普段と異なるみずほの言動を不安に思った森脇(要潤)は、ある行動に出る。そのころ、杉本はみずほの夫の死"&amp;"因について、思いがけない事実を発見。善男に接触し、さりげなくあることを告げる。それは、善男にとって衝撃の事実だった。")</f>
        <v>善男(小日向文世)、平太(松田龍平)、しのぶ(吉高由里子)の三人は箱根から東京に逃げ帰ってきた。翌日のテレビで、三人は善男の要求通りにしのぶの事務所が二千万円の寄付をしたことを知る。しかし、金が手に入らなかったことに腹を立てたしのぶが、善男を絶対に許さないと言い捨てて姿を消してしまう。一方、みずほ(小西真奈美)は杉本(生瀬勝久)にだまされ、飛行機事故に遭った三波(今井雅之)が生きているのでは、と思い始める。普段と異なるみずほの言動を不安に思った森脇(要潤)は、ある行動に出る。そのころ、杉本はみずほの夫の死因について、思いがけない事実を発見。善男に接触し、さりげなくあることを告げる。それは、善男にとって衝撃の事実だった。</v>
      </c>
      <c r="N2002" s="2"/>
      <c r="O2002" s="2"/>
      <c r="P2002" s="1"/>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c r="BA2002" s="1"/>
      <c r="BB2002" s="1"/>
    </row>
    <row r="2003" ht="204.75" customHeight="1">
      <c r="A2003" s="1">
        <v>5922.0</v>
      </c>
      <c r="B2003" s="2" t="s">
        <v>6339</v>
      </c>
      <c r="C2003" s="2">
        <f>IFERROR(__xludf.DUMMYFUNCTION("split(B2003,""_"")"),801.0)</f>
        <v>801</v>
      </c>
      <c r="D2003" s="2" t="str">
        <f>IFERROR(__xludf.DUMMYFUNCTION("""COMPUTED_VALUE"""),"CX")</f>
        <v>CX</v>
      </c>
      <c r="E2003" s="2" t="str">
        <f>IFERROR(__xludf.DUMMYFUNCTION("""COMPUTED_VALUE"""),"火22")</f>
        <v>火22</v>
      </c>
      <c r="F2003" s="2" t="s">
        <v>6340</v>
      </c>
      <c r="G2003" s="2" t="s">
        <v>6353</v>
      </c>
      <c r="H2003" s="1">
        <v>7.0</v>
      </c>
      <c r="J2003" s="1" t="s">
        <v>86</v>
      </c>
      <c r="K2003" s="2" t="s">
        <v>6354</v>
      </c>
      <c r="L2003" s="11" t="s">
        <v>6354</v>
      </c>
      <c r="M2003" s="2" t="str">
        <f>IFERROR(__xludf.DUMMYFUNCTION("split(split(K2003,""【"",false),""公式LINE"",false)"),"あしたの、喜多善男◇リカ（栗山千明）のために、自分の手で善男（小日向文世）を殺そうと決めた平太（松田龍平）は、善男の行方を捜す手掛かりを得ようと、みずほ（小西真奈美）の会社を訪れる。一方、杉本（生瀬勝久）から三波（今井雅之）が生きているといううわさがあると聞いた善男は、死んだはずの三波を見掛けたという女性、宇佐美（室井滋）に会いに行く。宇佐美は三波を見掛けていないと言うが、三波は怖い男性だと彼にまつわる話をする。それは善男にとって戦慄（せんりつ）の事実だった。そのころ、杉本は三波が心理学研究室にいたころの"&amp;"映像を入手。その中で三波は、人が持つある感情にまつわる特殊な仮説を展開していた。")</f>
        <v>あしたの、喜多善男◇リカ（栗山千明）のために、自分の手で善男（小日向文世）を殺そうと決めた平太（松田龍平）は、善男の行方を捜す手掛かりを得ようと、みずほ（小西真奈美）の会社を訪れる。一方、杉本（生瀬勝久）から三波（今井雅之）が生きているといううわさがあると聞いた善男は、死んだはずの三波を見掛けたという女性、宇佐美（室井滋）に会いに行く。宇佐美は三波を見掛けていないと言うが、三波は怖い男性だと彼にまつわる話をする。それは善男にとって戦慄（せんりつ）の事実だった。そのころ、杉本は三波が心理学研究室にいたころの映像を入手。その中で三波は、人が持つある感情にまつわる特殊な仮説を展開していた。</v>
      </c>
      <c r="N2003" s="2"/>
      <c r="O2003" s="2"/>
      <c r="P2003" s="1"/>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1"/>
      <c r="AY2003" s="1"/>
      <c r="AZ2003" s="1"/>
      <c r="BA2003" s="1"/>
      <c r="BB2003" s="1"/>
    </row>
    <row r="2004" ht="204.75" customHeight="1">
      <c r="A2004" s="1">
        <v>5923.0</v>
      </c>
      <c r="B2004" s="2" t="s">
        <v>6339</v>
      </c>
      <c r="C2004" s="2">
        <f>IFERROR(__xludf.DUMMYFUNCTION("split(B2004,""_"")"),801.0)</f>
        <v>801</v>
      </c>
      <c r="D2004" s="2" t="str">
        <f>IFERROR(__xludf.DUMMYFUNCTION("""COMPUTED_VALUE"""),"CX")</f>
        <v>CX</v>
      </c>
      <c r="E2004" s="2" t="str">
        <f>IFERROR(__xludf.DUMMYFUNCTION("""COMPUTED_VALUE"""),"火22")</f>
        <v>火22</v>
      </c>
      <c r="F2004" s="2" t="s">
        <v>6340</v>
      </c>
      <c r="G2004" s="2" t="s">
        <v>6353</v>
      </c>
      <c r="H2004" s="1">
        <v>8.0</v>
      </c>
      <c r="J2004" s="1" t="s">
        <v>86</v>
      </c>
      <c r="K2004" s="2" t="s">
        <v>6355</v>
      </c>
      <c r="L2004" s="11" t="s">
        <v>6355</v>
      </c>
      <c r="M2004" s="2" t="str">
        <f>IFERROR(__xludf.DUMMYFUNCTION("split(split(K2004,""【"",false),""公式LINE"",false)"),"あしたの、喜多善男◇善男（小日向文世）にかつて多額の生命保険がかけられていた記録を発見した保険調査員の杉本（生瀬勝久）は、みずほ（小西真奈美）と三波（今井雅之）が共謀して保険金殺人を企てていたと確信する。三波は生きていて、みずほの再婚相手の死にも絡んでいるはずだと考えた杉本は、三波の消息を調べ始める。一方、前夜から部屋にいないリカ（栗山千明）を捜していた平太（松田龍平）は、リカの父親が借金をした丸山（真島秀和）から呼び出される。リカは、丸山のオフィスに捕らわれていた。そして三波の消息を追っていた杉本が、つ"&amp;"いに手応えをつかんだころ、みずほは善男の部屋に来ていた。本当のことを話しに来たと言うみずほは、11年前の結婚の真相を語り始める。")</f>
        <v>あしたの、喜多善男◇善男（小日向文世）にかつて多額の生命保険がかけられていた記録を発見した保険調査員の杉本（生瀬勝久）は、みずほ（小西真奈美）と三波（今井雅之）が共謀して保険金殺人を企てていたと確信する。三波は生きていて、みずほの再婚相手の死にも絡んでいるはずだと考えた杉本は、三波の消息を調べ始める。一方、前夜から部屋にいないリカ（栗山千明）を捜していた平太（松田龍平）は、リカの父親が借金をした丸山（真島秀和）から呼び出される。リカは、丸山のオフィスに捕らわれていた。そして三波の消息を追っていた杉本が、ついに手応えをつかんだころ、みずほは善男の部屋に来ていた。本当のことを話しに来たと言うみずほは、11年前の結婚の真相を語り始める。</v>
      </c>
      <c r="N2004" s="2"/>
      <c r="O2004" s="2"/>
      <c r="P2004" s="1"/>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1"/>
      <c r="AY2004" s="1"/>
      <c r="AZ2004" s="1"/>
      <c r="BA2004" s="1"/>
      <c r="BB2004" s="1"/>
    </row>
    <row r="2005" ht="204.75" customHeight="1">
      <c r="A2005" s="1">
        <v>5924.0</v>
      </c>
      <c r="B2005" s="2" t="s">
        <v>6339</v>
      </c>
      <c r="C2005" s="2">
        <f>IFERROR(__xludf.DUMMYFUNCTION("split(B2005,""_"")"),801.0)</f>
        <v>801</v>
      </c>
      <c r="D2005" s="2" t="str">
        <f>IFERROR(__xludf.DUMMYFUNCTION("""COMPUTED_VALUE"""),"CX")</f>
        <v>CX</v>
      </c>
      <c r="E2005" s="2" t="str">
        <f>IFERROR(__xludf.DUMMYFUNCTION("""COMPUTED_VALUE"""),"火22")</f>
        <v>火22</v>
      </c>
      <c r="F2005" s="2" t="s">
        <v>6340</v>
      </c>
      <c r="G2005" s="2" t="s">
        <v>6356</v>
      </c>
      <c r="H2005" s="1">
        <v>9.0</v>
      </c>
      <c r="I2005" s="1" t="s">
        <v>33</v>
      </c>
      <c r="J2005" s="1" t="s">
        <v>86</v>
      </c>
      <c r="K2005" s="4" t="s">
        <v>6357</v>
      </c>
      <c r="L2005" s="11" t="s">
        <v>6358</v>
      </c>
      <c r="M2005" s="2" t="str">
        <f>IFERROR(__xludf.DUMMYFUNCTION("split(split(K2005,""小日向文世  "",false),""http://www.ktv.co.jp/yoshio/index.html"",false)"),"　残りの人生があと3日となった善男(小日向文世)は、遺書を書くなど、最期の日に向けての準備を進めていた。  　一方、死んだはずの三波(今井雅之)を名乗る男から電話を受け、期待と不安が入り混じるみずほ(小西真奈美)。ついにみずほは、夜、その男と会う約束をする。三波が生きていれば・・・、あとはビジネスが成功すれば・・・。森脇(要潤)から介護衣服プロジェクトの利益の大きさを聞き、なんとしても館道(平泉成)の援助を得るため、しのぶ(吉高由里子)との約束どおり善男(小日向文世)を死なせてはいけないと焦る。  　保険"&amp;"調査員の杉本(生瀬勝久)は、三波の仮説を証拠に、三波とみずほが企てた善男の保険金殺人計画を立証できると確信。三波がやはり生きているのではと意気込む。  　平太(松田龍平)は、キャバクラに現れたしのぶから善男を死なせないでと頼まれ、みずほにある取引きをもちかける。取引きは成立するが、それを聞いたリカ(栗山千明)は混乱して・・・?  　そのころ、買い物から帰る途中、善男は何者かに拉致されてしまう。")</f>
        <v>　残りの人生があと3日となった善男(小日向文世)は、遺書を書くなど、最期の日に向けての準備を進めていた。  　一方、死んだはずの三波(今井雅之)を名乗る男から電話を受け、期待と不安が入り混じるみずほ(小西真奈美)。ついにみずほは、夜、その男と会う約束をする。三波が生きていれば・・・、あとはビジネスが成功すれば・・・。森脇(要潤)から介護衣服プロジェクトの利益の大きさを聞き、なんとしても館道(平泉成)の援助を得るため、しのぶ(吉高由里子)との約束どおり善男(小日向文世)を死なせてはいけないと焦る。  　保険調査員の杉本(生瀬勝久)は、三波の仮説を証拠に、三波とみずほが企てた善男の保険金殺人計画を立証できると確信。三波がやはり生きているのではと意気込む。  　平太(松田龍平)は、キャバクラに現れたしのぶから善男を死なせないでと頼まれ、みずほにある取引きをもちかける。取引きは成立するが、それを聞いたリカ(栗山千明)は混乱して・・・?  　そのころ、買い物から帰る途中、善男は何者かに拉致されてしまう。</v>
      </c>
      <c r="N2005" s="2"/>
      <c r="O2005" s="2"/>
      <c r="P2005" s="1"/>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c r="AY2005" s="1"/>
      <c r="AZ2005" s="1"/>
      <c r="BA2005" s="1"/>
      <c r="BB2005" s="1"/>
    </row>
    <row r="2006" ht="204.75" customHeight="1">
      <c r="A2006" s="1">
        <v>5925.0</v>
      </c>
      <c r="B2006" s="2" t="s">
        <v>6339</v>
      </c>
      <c r="C2006" s="2">
        <f>IFERROR(__xludf.DUMMYFUNCTION("split(B2006,""_"")"),801.0)</f>
        <v>801</v>
      </c>
      <c r="D2006" s="2" t="str">
        <f>IFERROR(__xludf.DUMMYFUNCTION("""COMPUTED_VALUE"""),"CX")</f>
        <v>CX</v>
      </c>
      <c r="E2006" s="2" t="str">
        <f>IFERROR(__xludf.DUMMYFUNCTION("""COMPUTED_VALUE"""),"火22")</f>
        <v>火22</v>
      </c>
      <c r="F2006" s="2" t="s">
        <v>6340</v>
      </c>
      <c r="G2006" s="2" t="s">
        <v>6359</v>
      </c>
      <c r="H2006" s="1">
        <v>10.0</v>
      </c>
      <c r="I2006" s="1" t="s">
        <v>37</v>
      </c>
      <c r="J2006" s="1" t="s">
        <v>86</v>
      </c>
      <c r="K2006" s="2" t="s">
        <v>6360</v>
      </c>
      <c r="L2006" s="11" t="s">
        <v>6361</v>
      </c>
      <c r="M2006" s="2" t="str">
        <f>IFERROR(__xludf.DUMMYFUNCTION("split(split(K2006,""小日向文世  "",false),""http://www.ktv.co.jp/yoshio/index.html"",false)"),"　残りの人生、あと2日となった善男(小日向文世)。みずほ(小西真奈美)は平太(松田龍平)に電話をかけ、三波(今井雅之)が生きていることを伝えれば善男が死ぬのをやめるはずだと告げる。平太は三波に会い行こうと強引に善男を連れ出す。  　一方みずほは、前社長・鷲巣殺しの容疑者がみずほの指示だと自供したことで、森脇(要潤)らから社長職辞任を要求される。みずほは無実を主張するが、容疑者の携帯にはみずほとの通話記録が残っていた。  　リカ(栗山千明)は丸山(眞島秀和)が善男殺害に失敗したと聞き慌てる。  　そのころ善"&amp;"男は、平太とともに三波の会社にたどり着く。ついに11年の時を経て、三波と対峙する善男。封印していたはずの何かが爆発してしまいそうな予感が、善男の中で膨らみ始めていた・・・!")</f>
        <v>　残りの人生、あと2日となった善男(小日向文世)。みずほ(小西真奈美)は平太(松田龍平)に電話をかけ、三波(今井雅之)が生きていることを伝えれば善男が死ぬのをやめるはずだと告げる。平太は三波に会い行こうと強引に善男を連れ出す。  　一方みずほは、前社長・鷲巣殺しの容疑者がみずほの指示だと自供したことで、森脇(要潤)らから社長職辞任を要求される。みずほは無実を主張するが、容疑者の携帯にはみずほとの通話記録が残っていた。  　リカ(栗山千明)は丸山(眞島秀和)が善男殺害に失敗したと聞き慌てる。  　そのころ善男は、平太とともに三波の会社にたどり着く。ついに11年の時を経て、三波と対峙する善男。封印していたはずの何かが爆発してしまいそうな予感が、善男の中で膨らみ始めていた・・・!</v>
      </c>
      <c r="N2006" s="2"/>
      <c r="O2006" s="2"/>
      <c r="P2006" s="1"/>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1"/>
      <c r="AY2006" s="1"/>
      <c r="AZ2006" s="1"/>
      <c r="BA2006" s="1"/>
      <c r="BB2006" s="1"/>
    </row>
    <row r="2007" ht="204.75" customHeight="1">
      <c r="A2007" s="1">
        <v>5926.0</v>
      </c>
      <c r="B2007" s="2" t="s">
        <v>6339</v>
      </c>
      <c r="C2007" s="2">
        <f>IFERROR(__xludf.DUMMYFUNCTION("split(B2007,""_"")"),801.0)</f>
        <v>801</v>
      </c>
      <c r="D2007" s="2" t="str">
        <f>IFERROR(__xludf.DUMMYFUNCTION("""COMPUTED_VALUE"""),"CX")</f>
        <v>CX</v>
      </c>
      <c r="E2007" s="2" t="str">
        <f>IFERROR(__xludf.DUMMYFUNCTION("""COMPUTED_VALUE"""),"火22")</f>
        <v>火22</v>
      </c>
      <c r="F2007" s="2" t="s">
        <v>6340</v>
      </c>
      <c r="G2007" s="2" t="s">
        <v>6362</v>
      </c>
      <c r="H2007" s="1">
        <v>11.0</v>
      </c>
      <c r="I2007" s="1" t="s">
        <v>41</v>
      </c>
      <c r="J2007" s="1" t="s">
        <v>86</v>
      </c>
      <c r="K2007" s="2" t="s">
        <v>6363</v>
      </c>
      <c r="L2007" s="11" t="s">
        <v>6364</v>
      </c>
      <c r="M2007" s="2" t="str">
        <f>IFERROR(__xludf.DUMMYFUNCTION("split(split(K2007,""小日向文世  "",false),""http://www.ktv.co.jp/yoshio/index.html"",false)"),"　全ての真実を突きつけられた善男(小日向文世)は、いよいよ死ぬ決意を固め行方をくらます。善男を止めたい平太(松田龍平)だが、善男が話していた「二人の心がつながった場所」を、みずほ(小西真奈美)は思い出すことができない。  　保険金殺人の疑いをかけられたリカ(栗山千明)。夫殺しの容疑をかけられているみずほ。善男を探し出せない平太、しのぶ(吉高由里子)。全員が絶望の底にいた。　その頃夫殺しの容疑がかかったみずほと接見した杉本(生瀬勝久)は、みずほの夫・鷲巣殺しに使われた携帯電話のトリックから事件の真相をつきと"&amp;"め、ある場所へと乗り込んでいく。    　ついに最期の場所にたどり着いた善男。その背後から現れたのは・・・?")</f>
        <v>　全ての真実を突きつけられた善男(小日向文世)は、いよいよ死ぬ決意を固め行方をくらます。善男を止めたい平太(松田龍平)だが、善男が話していた「二人の心がつながった場所」を、みずほ(小西真奈美)は思い出すことができない。  　保険金殺人の疑いをかけられたリカ(栗山千明)。夫殺しの容疑をかけられているみずほ。善男を探し出せない平太、しのぶ(吉高由里子)。全員が絶望の底にいた。　その頃夫殺しの容疑がかかったみずほと接見した杉本(生瀬勝久)は、みずほの夫・鷲巣殺しに使われた携帯電話のトリックから事件の真相をつきとめ、ある場所へと乗り込んでいく。    　ついに最期の場所にたどり着いた善男。その背後から現れたのは・・・?</v>
      </c>
      <c r="N2007" s="2"/>
      <c r="O2007" s="2"/>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1"/>
      <c r="AY2007" s="1"/>
      <c r="AZ2007" s="1"/>
      <c r="BA2007" s="1"/>
      <c r="BB2007" s="1"/>
    </row>
    <row r="2008" ht="204.75" customHeight="1">
      <c r="A2008" s="1">
        <v>5960.0</v>
      </c>
      <c r="B2008" s="2" t="s">
        <v>6365</v>
      </c>
      <c r="C2008" s="2">
        <f>IFERROR(__xludf.DUMMYFUNCTION("split(B2008,""_"")"),801.0)</f>
        <v>801</v>
      </c>
      <c r="D2008" s="2" t="str">
        <f>IFERROR(__xludf.DUMMYFUNCTION("""COMPUTED_VALUE"""),"CX")</f>
        <v>CX</v>
      </c>
      <c r="E2008" s="2" t="str">
        <f>IFERROR(__xludf.DUMMYFUNCTION("""COMPUTED_VALUE"""),"木22")</f>
        <v>木22</v>
      </c>
      <c r="F2008" s="2" t="s">
        <v>6366</v>
      </c>
      <c r="G2008" s="2" t="s">
        <v>6367</v>
      </c>
      <c r="H2008" s="1">
        <v>1.0</v>
      </c>
      <c r="J2008" s="1" t="s">
        <v>82</v>
      </c>
      <c r="K2008" s="4" t="s">
        <v>6368</v>
      </c>
      <c r="L2008" s="11" t="s">
        <v>6368</v>
      </c>
      <c r="M2008" s="2" t="str">
        <f>IFERROR(__xludf.DUMMYFUNCTION("split(split(K2008,""【"",false),""公式LINE"",false)"),"万城目学の同名小説をドラマ化。奈良の女子高校に赴任した男性教師の奇妙な体験を描く。脚本・相沢友子、演出・鈴木雅之。　小川(玉木宏)は、同僚とのトラブルが原因で勤めていた大学の研究室を追われ、上司である教授から女子高校の臨時教員になることを勧められる。学校がある奈良へと旅立つ途中、小川は電車の中で、ある不運な女性を目撃。その女性は、小川の同僚で同じ下宿に暮らすことになる道子(綾瀬はるか)だった。翌日、小川は担任を務めることになった生徒たちに、自己紹介をさせる。そんな中、遅刻してきたイト(多部未華子)の態度に"&amp;"腹を立てた小川は、遅刻の理由を説明しろと迫る。イトは自分のシカを駅前に止めようとして駐車禁止を取られた、と平然と言い放つ。")</f>
        <v>万城目学の同名小説をドラマ化。奈良の女子高校に赴任した男性教師の奇妙な体験を描く。脚本・相沢友子、演出・鈴木雅之。　小川(玉木宏)は、同僚とのトラブルが原因で勤めていた大学の研究室を追われ、上司である教授から女子高校の臨時教員になることを勧められる。学校がある奈良へと旅立つ途中、小川は電車の中で、ある不運な女性を目撃。その女性は、小川の同僚で同じ下宿に暮らすことになる道子(綾瀬はるか)だった。翌日、小川は担任を務めることになった生徒たちに、自己紹介をさせる。そんな中、遅刻してきたイト(多部未華子)の態度に腹を立てた小川は、遅刻の理由を説明しろと迫る。イトは自分のシカを駅前に止めようとして駐車禁止を取られた、と平然と言い放つ。</v>
      </c>
      <c r="N2008" s="2"/>
      <c r="O2008" s="2"/>
      <c r="P2008" s="1"/>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1"/>
      <c r="AY2008" s="1"/>
      <c r="AZ2008" s="1"/>
      <c r="BA2008" s="1"/>
      <c r="BB2008" s="1"/>
    </row>
    <row r="2009" ht="204.75" customHeight="1">
      <c r="A2009" s="1">
        <v>5961.0</v>
      </c>
      <c r="B2009" s="2" t="s">
        <v>6365</v>
      </c>
      <c r="C2009" s="2">
        <f>IFERROR(__xludf.DUMMYFUNCTION("split(B2009,""_"")"),801.0)</f>
        <v>801</v>
      </c>
      <c r="D2009" s="2" t="str">
        <f>IFERROR(__xludf.DUMMYFUNCTION("""COMPUTED_VALUE"""),"CX")</f>
        <v>CX</v>
      </c>
      <c r="E2009" s="2" t="str">
        <f>IFERROR(__xludf.DUMMYFUNCTION("""COMPUTED_VALUE"""),"木22")</f>
        <v>木22</v>
      </c>
      <c r="F2009" s="2" t="s">
        <v>6366</v>
      </c>
      <c r="G2009" s="2" t="s">
        <v>6369</v>
      </c>
      <c r="H2009" s="1">
        <v>2.0</v>
      </c>
      <c r="J2009" s="1" t="s">
        <v>86</v>
      </c>
      <c r="K2009" s="2" t="s">
        <v>6370</v>
      </c>
      <c r="L2009" s="11" t="s">
        <v>6370</v>
      </c>
      <c r="M2009" s="2" t="str">
        <f>IFERROR(__xludf.DUMMYFUNCTION("split(split(K2009,""【"",false),""公式LINE"",false)"),"小川(玉木宏)は突然、シカに話し掛けられる。”運び番”に選ばれたとか、日本を救えなど意味不明なことを言われ、小川は慌ててその場を立ち去る。彼は、ここ数日のうちに経験した奇妙な出来事を、ただの夢だったと結論付けた。後日、教頭の小治田(児玉清)とゴルフに行って気分転換ができた小川は、帰り道に奈良公園で素振りの練習を始める。しかし、その場所がゴルフ禁止であると注意を受ける。声が聞こえた方を見ると、そこには雌のシカがいた。幻想に違いないと自分に言い聞かせる小川に、シカは京都で渡される物を自分に届けろと言う。さらに"&amp;"、相手はキツネの”使い番”である人間の女性で、渡される物は人間が”サンカク”と呼ぶ物だと小川に教える。")</f>
        <v>小川(玉木宏)は突然、シカに話し掛けられる。”運び番”に選ばれたとか、日本を救えなど意味不明なことを言われ、小川は慌ててその場を立ち去る。彼は、ここ数日のうちに経験した奇妙な出来事を、ただの夢だったと結論付けた。後日、教頭の小治田(児玉清)とゴルフに行って気分転換ができた小川は、帰り道に奈良公園で素振りの練習を始める。しかし、その場所がゴルフ禁止であると注意を受ける。声が聞こえた方を見ると、そこには雌のシカがいた。幻想に違いないと自分に言い聞かせる小川に、シカは京都で渡される物を自分に届けろと言う。さらに、相手はキツネの”使い番”である人間の女性で、渡される物は人間が”サンカク”と呼ぶ物だと小川に教える。</v>
      </c>
      <c r="N2009" s="2"/>
      <c r="O2009" s="2"/>
      <c r="P2009" s="1"/>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1"/>
      <c r="AY2009" s="1"/>
      <c r="AZ2009" s="1"/>
      <c r="BA2009" s="1"/>
      <c r="BB2009" s="1"/>
    </row>
    <row r="2010" ht="204.75" customHeight="1">
      <c r="A2010" s="1">
        <v>5962.0</v>
      </c>
      <c r="B2010" s="2" t="s">
        <v>6365</v>
      </c>
      <c r="C2010" s="2">
        <f>IFERROR(__xludf.DUMMYFUNCTION("split(B2010,""_"")"),801.0)</f>
        <v>801</v>
      </c>
      <c r="D2010" s="2" t="str">
        <f>IFERROR(__xludf.DUMMYFUNCTION("""COMPUTED_VALUE"""),"CX")</f>
        <v>CX</v>
      </c>
      <c r="E2010" s="2" t="str">
        <f>IFERROR(__xludf.DUMMYFUNCTION("""COMPUTED_VALUE"""),"木22")</f>
        <v>木22</v>
      </c>
      <c r="F2010" s="2" t="s">
        <v>6366</v>
      </c>
      <c r="G2010" s="2" t="s">
        <v>6371</v>
      </c>
      <c r="H2010" s="1">
        <v>3.0</v>
      </c>
      <c r="J2010" s="1" t="s">
        <v>86</v>
      </c>
      <c r="K2010" s="2" t="s">
        <v>6372</v>
      </c>
      <c r="L2010" s="11" t="s">
        <v>6372</v>
      </c>
      <c r="M2010" s="2" t="str">
        <f>IFERROR(__xludf.DUMMYFUNCTION("split(split(K2010,""【"",false),""公式LINE"",false)"),"シカに”運び番”失格と告げられた小川(玉木宏)が鏡で自分の顔を見ると、そこには雄のシカの顔があった。驚く小川だったが、下宿の道子(綾瀬はるか)たちは小川の顔を見ても驚かない。どうやら、自分にだけそう見えるらしい。小川が公園のシカに元に戻してほしいと頼むと、シカはネズミから、人間が”サンカク”と呼ぶ物を取り戻せという。サンカクとは、小川の学校の剣道部が参加する大会で優勝校に授けられるプレートのこと。小川は京都女学館の剣道部顧問・美栄(柴本幸)から、そのプレートが大阪の工芸店へ修理に出されていることを知る。")</f>
        <v>シカに”運び番”失格と告げられた小川(玉木宏)が鏡で自分の顔を見ると、そこには雄のシカの顔があった。驚く小川だったが、下宿の道子(綾瀬はるか)たちは小川の顔を見ても驚かない。どうやら、自分にだけそう見えるらしい。小川が公園のシカに元に戻してほしいと頼むと、シカはネズミから、人間が”サンカク”と呼ぶ物を取り戻せという。サンカクとは、小川の学校の剣道部が参加する大会で優勝校に授けられるプレートのこと。小川は京都女学館の剣道部顧問・美栄(柴本幸)から、そのプレートが大阪の工芸店へ修理に出されていることを知る。</v>
      </c>
      <c r="N2010" s="2"/>
      <c r="O2010" s="2"/>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row>
    <row r="2011" ht="204.75" customHeight="1">
      <c r="A2011" s="1">
        <v>5963.0</v>
      </c>
      <c r="B2011" s="2" t="s">
        <v>6365</v>
      </c>
      <c r="C2011" s="2">
        <f>IFERROR(__xludf.DUMMYFUNCTION("split(B2011,""_"")"),801.0)</f>
        <v>801</v>
      </c>
      <c r="D2011" s="2" t="str">
        <f>IFERROR(__xludf.DUMMYFUNCTION("""COMPUTED_VALUE"""),"CX")</f>
        <v>CX</v>
      </c>
      <c r="E2011" s="2" t="str">
        <f>IFERROR(__xludf.DUMMYFUNCTION("""COMPUTED_VALUE"""),"木22")</f>
        <v>木22</v>
      </c>
      <c r="F2011" s="2" t="s">
        <v>6366</v>
      </c>
      <c r="G2011" s="2" t="s">
        <v>6373</v>
      </c>
      <c r="H2011" s="1">
        <v>4.0</v>
      </c>
      <c r="J2011" s="1" t="s">
        <v>86</v>
      </c>
      <c r="K2011" s="2" t="s">
        <v>6374</v>
      </c>
      <c r="L2011" s="11" t="s">
        <v>6374</v>
      </c>
      <c r="M2011" s="2" t="str">
        <f>IFERROR(__xludf.DUMMYFUNCTION("split(split(K2011,""【"",false),""公式LINE"",false)"),"堀田(多部未華子)が突然、剣道部に入部した。父親が剣道の道場を経営する堀田はかなりの実力者だったが、小川(玉木宏)は堀田が何かをたくらんでいるのでは、と考えて素直に歓迎できない。そんな折、小川と道子(綾瀬はるか)は、大和杯のルールは開催校が決められると知る。二人は慌てて参加校に勝ち抜き戦へのルール変更を連絡。小川は大和杯で優勝する可能性が出てきたことを、シカに報告しに行く。これ以上の失敗は許せないと厳しく責めるシカに小川は頭を下げ、これまでの失敗を謝る。そんな小川とシカのやりとりを、道子が見ていた。")</f>
        <v>堀田(多部未華子)が突然、剣道部に入部した。父親が剣道の道場を経営する堀田はかなりの実力者だったが、小川(玉木宏)は堀田が何かをたくらんでいるのでは、と考えて素直に歓迎できない。そんな折、小川と道子(綾瀬はるか)は、大和杯のルールは開催校が決められると知る。二人は慌てて参加校に勝ち抜き戦へのルール変更を連絡。小川は大和杯で優勝する可能性が出てきたことを、シカに報告しに行く。これ以上の失敗は許せないと厳しく責めるシカに小川は頭を下げ、これまでの失敗を謝る。そんな小川とシカのやりとりを、道子が見ていた。</v>
      </c>
      <c r="N2011" s="2"/>
      <c r="O2011" s="2"/>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1"/>
      <c r="BB2011" s="1"/>
    </row>
    <row r="2012" ht="204.75" customHeight="1">
      <c r="A2012" s="1">
        <v>5964.0</v>
      </c>
      <c r="B2012" s="2" t="s">
        <v>6365</v>
      </c>
      <c r="C2012" s="2">
        <f>IFERROR(__xludf.DUMMYFUNCTION("split(B2012,""_"")"),801.0)</f>
        <v>801</v>
      </c>
      <c r="D2012" s="2" t="str">
        <f>IFERROR(__xludf.DUMMYFUNCTION("""COMPUTED_VALUE"""),"CX")</f>
        <v>CX</v>
      </c>
      <c r="E2012" s="2" t="str">
        <f>IFERROR(__xludf.DUMMYFUNCTION("""COMPUTED_VALUE"""),"木22")</f>
        <v>木22</v>
      </c>
      <c r="F2012" s="2" t="s">
        <v>6366</v>
      </c>
      <c r="G2012" s="2" t="s">
        <v>6375</v>
      </c>
      <c r="H2012" s="1">
        <v>5.0</v>
      </c>
      <c r="J2012" s="1" t="s">
        <v>86</v>
      </c>
      <c r="K2012" s="2" t="s">
        <v>6376</v>
      </c>
      <c r="L2012" s="11" t="s">
        <v>6376</v>
      </c>
      <c r="M2012" s="2" t="str">
        <f>IFERROR(__xludf.DUMMYFUNCTION("split(split(K2012,""【"",false),""公式LINE"",false)"),"堀田(多部未華子)の活躍で剣道部が大阪女学館に勝った。道子(綾瀬はるか)や福原(佐々木蔵之介)も、予想外の結果に喜びを隠せない。小川(玉木宏)は、続く京都女学館にも勝とうと意欲を燃やす。しかし、学校創立から五十九連勝を誇る京都女学館の先鋒(せんぽう)を相手に、小川の学校は三人目まで負けてしまう。副将の雅代(藤井美菜)が何とか先鋒を破るが、けがのためにリタイア。どこかあきらめたような態度の小川に、堀田が活を入れる。張り詰めたような緊張感が漂う中、堀田は四人目まで勝ち進む。そのころ、剣道部の活躍を聞き付けた生"&amp;"徒たちが次々に体育館に集まり始めていた。そして、ついに大将戦が始まる。")</f>
        <v>堀田(多部未華子)の活躍で剣道部が大阪女学館に勝った。道子(綾瀬はるか)や福原(佐々木蔵之介)も、予想外の結果に喜びを隠せない。小川(玉木宏)は、続く京都女学館にも勝とうと意欲を燃やす。しかし、学校創立から五十九連勝を誇る京都女学館の先鋒(せんぽう)を相手に、小川の学校は三人目まで負けてしまう。副将の雅代(藤井美菜)が何とか先鋒を破るが、けがのためにリタイア。どこかあきらめたような態度の小川に、堀田が活を入れる。張り詰めたような緊張感が漂う中、堀田は四人目まで勝ち進む。そのころ、剣道部の活躍を聞き付けた生徒たちが次々に体育館に集まり始めていた。そして、ついに大将戦が始まる。</v>
      </c>
      <c r="N2012" s="2"/>
      <c r="O2012" s="2"/>
      <c r="P2012" s="1"/>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1"/>
      <c r="AY2012" s="1"/>
      <c r="AZ2012" s="1"/>
      <c r="BA2012" s="1"/>
      <c r="BB2012" s="1"/>
    </row>
    <row r="2013" ht="204.75" customHeight="1">
      <c r="A2013" s="1">
        <v>5965.0</v>
      </c>
      <c r="B2013" s="2" t="s">
        <v>6365</v>
      </c>
      <c r="C2013" s="2">
        <f>IFERROR(__xludf.DUMMYFUNCTION("split(B2013,""_"")"),801.0)</f>
        <v>801</v>
      </c>
      <c r="D2013" s="2" t="str">
        <f>IFERROR(__xludf.DUMMYFUNCTION("""COMPUTED_VALUE"""),"CX")</f>
        <v>CX</v>
      </c>
      <c r="E2013" s="2" t="str">
        <f>IFERROR(__xludf.DUMMYFUNCTION("""COMPUTED_VALUE"""),"木22")</f>
        <v>木22</v>
      </c>
      <c r="F2013" s="2" t="s">
        <v>6366</v>
      </c>
      <c r="G2013" s="2" t="s">
        <v>6377</v>
      </c>
      <c r="H2013" s="1">
        <v>6.0</v>
      </c>
      <c r="J2013" s="1" t="s">
        <v>86</v>
      </c>
      <c r="K2013" s="2" t="s">
        <v>6378</v>
      </c>
      <c r="L2013" s="11" t="s">
        <v>6378</v>
      </c>
      <c r="M2013" s="2" t="str">
        <f>IFERROR(__xludf.DUMMYFUNCTION("split(split(K2013,""【"",false),""公式LINE"",false)"),"鹿男あをによし◇小川（玉木宏）は大和杯で入手した”サンカク”を鹿に届けるが、それは鹿が欲しかった”目”ではないと言われてしまう。どうやらネズミにだまされたらしい。小川は藤原（綾瀬はるか）に、目がなくてはナマズを鎮められないと投げやりに言う。そんな小川に藤原は、味方であるキツネに協力してもらえばいいと提案。実は小川は鹿からもキツネの”使い番”に会うように言われていたのだ。キツネの使い番を見つける手掛かりを聞いた藤原は、長岡（柴本幸）しかいないと断言。長岡に会って真相を確かめようと意気込むが、小川は賛同しなか"&amp;"った。そんな小川の態度にしびれを切らした藤原は翌日、奈良公園へ出掛ける。")</f>
        <v>鹿男あをによし◇小川（玉木宏）は大和杯で入手した”サンカク”を鹿に届けるが、それは鹿が欲しかった”目”ではないと言われてしまう。どうやらネズミにだまされたらしい。小川は藤原（綾瀬はるか）に、目がなくてはナマズを鎮められないと投げやりに言う。そんな小川に藤原は、味方であるキツネに協力してもらえばいいと提案。実は小川は鹿からもキツネの”使い番”に会うように言われていたのだ。キツネの使い番を見つける手掛かりを聞いた藤原は、長岡（柴本幸）しかいないと断言。長岡に会って真相を確かめようと意気込むが、小川は賛同しなかった。そんな小川の態度にしびれを切らした藤原は翌日、奈良公園へ出掛ける。</v>
      </c>
      <c r="N2013" s="2"/>
      <c r="O2013" s="2"/>
      <c r="P2013" s="1"/>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c r="AY2013" s="1"/>
      <c r="AZ2013" s="1"/>
      <c r="BA2013" s="1"/>
      <c r="BB2013" s="1"/>
    </row>
    <row r="2014" ht="204.75" customHeight="1">
      <c r="A2014" s="1">
        <v>5966.0</v>
      </c>
      <c r="B2014" s="2" t="s">
        <v>6365</v>
      </c>
      <c r="C2014" s="2">
        <f>IFERROR(__xludf.DUMMYFUNCTION("split(B2014,""_"")"),801.0)</f>
        <v>801</v>
      </c>
      <c r="D2014" s="2" t="str">
        <f>IFERROR(__xludf.DUMMYFUNCTION("""COMPUTED_VALUE"""),"CX")</f>
        <v>CX</v>
      </c>
      <c r="E2014" s="2" t="str">
        <f>IFERROR(__xludf.DUMMYFUNCTION("""COMPUTED_VALUE"""),"木22")</f>
        <v>木22</v>
      </c>
      <c r="F2014" s="2" t="s">
        <v>6366</v>
      </c>
      <c r="G2014" s="2" t="s">
        <v>6379</v>
      </c>
      <c r="H2014" s="1">
        <v>7.0</v>
      </c>
      <c r="I2014" s="1" t="s">
        <v>25</v>
      </c>
      <c r="J2014" s="1" t="s">
        <v>86</v>
      </c>
      <c r="K2014" s="2" t="s">
        <v>6380</v>
      </c>
      <c r="L2014" s="10" t="s">
        <v>6381</v>
      </c>
      <c r="M2014" s="2" t="str">
        <f>IFERROR(__xludf.DUMMYFUNCTION("split(split(K2014,""【"",false),""公式LINE"",false)"),"小川孝信(玉木宏)は学校を辞めたいと言いだした堀田イト(多部未華子)を退ける。堀田は食い下がるが小川も譲らない。すると堀田は表情を和らげ、冗談ですと言い残し帰っていく。小川からそのことを聞いた藤原道子(綾瀬はるか)は安堵する。  　ところが翌日も堀田は学校を欠席。自宅に連絡すると、昨夜も帰宅していないことがわかる。そこへ、京都女学館の長岡美栄(柴本幸)が教頭の小治田史明(児玉清)を訪ねてくる。教頭室で話す2人に、小川も藤原も落ち着かない。すると小治田が出てきて、昨夜、堀田が長岡を訪ねてきたと言う。堀田は思"&amp;"い詰めた様子だったが、何も語らずに帰ってしまったと言うのだ。  　その後発見された堀田は、家に帰りたがらず、結局、藤原の部屋に泊まることに。堀田は依然として何も語らないが、落ち着いた様子だったため、小川は少し安堵する。  　翌朝、鹿に会った小川は、鹿から鼠が儀式の邪魔をする理由を聞く。鹿によれば、鼠は鹿と狐が自分を仲間はずれにしていると思い込んでいるらしいのだ。小川が、そんなことで日本は滅亡の危機にあるのかと聞くと、鹿は、長年儀式を続けてきた自分たちは感謝されこそすれ、文句を言われる筋合いはないと憤慨。そ"&amp;"こで小川が、儀式を続けている理由を尋ねると、鹿は頼まれたからとだけ説明する。  　下宿に戻った小川は、鹿から聞いた話を藤原に報告する。その会話を堀田がじっと聞き入り——。玉木宏    綾瀬はるか    多部未華子    柴本幸      篠井英介  キムラ緑子  酒井敏也  鷲尾真知子  田山涼成    川辺菜月  藤井美菜  東亜優  江頭由衣    山寺宏一    佐々木蔵之介    児玉清原作:「鹿男あをによし」万城目学(幻冬舎刊)  脚本:相沢友子演出:河野圭太佐橋俊彦")</f>
        <v>小川孝信(玉木宏)は学校を辞めたいと言いだした堀田イト(多部未華子)を退ける。堀田は食い下がるが小川も譲らない。すると堀田は表情を和らげ、冗談ですと言い残し帰っていく。小川からそのことを聞いた藤原道子(綾瀬はるか)は安堵する。  　ところが翌日も堀田は学校を欠席。自宅に連絡すると、昨夜も帰宅していないことがわかる。そこへ、京都女学館の長岡美栄(柴本幸)が教頭の小治田史明(児玉清)を訪ねてくる。教頭室で話す2人に、小川も藤原も落ち着かない。すると小治田が出てきて、昨夜、堀田が長岡を訪ねてきたと言う。堀田は思い詰めた様子だったが、何も語らずに帰ってしまったと言うのだ。  　その後発見された堀田は、家に帰りたがらず、結局、藤原の部屋に泊まることに。堀田は依然として何も語らないが、落ち着いた様子だったため、小川は少し安堵する。  　翌朝、鹿に会った小川は、鹿から鼠が儀式の邪魔をする理由を聞く。鹿によれば、鼠は鹿と狐が自分を仲間はずれにしていると思い込んでいるらしいのだ。小川が、そんなことで日本は滅亡の危機にあるのかと聞くと、鹿は、長年儀式を続けてきた自分たちは感謝されこそすれ、文句を言われる筋合いはないと憤慨。そこで小川が、儀式を続けている理由を尋ねると、鹿は頼まれたからとだけ説明する。  　下宿に戻った小川は、鹿から聞いた話を藤原に報告する。その会話を堀田がじっと聞き入り——。玉木宏    綾瀬はるか    多部未華子    柴本幸      篠井英介  キムラ緑子  酒井敏也  鷲尾真知子  田山涼成    川辺菜月  藤井美菜  東亜優  江頭由衣    山寺宏一    佐々木蔵之介    児玉清原作:「鹿男あをによし」万城目学(幻冬舎刊)  脚本:相沢友子演出:河野圭太佐橋俊彦</v>
      </c>
      <c r="N2014" s="2"/>
      <c r="O2014" s="2"/>
      <c r="P2014" s="1"/>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row>
    <row r="2015" ht="204.75" customHeight="1">
      <c r="A2015" s="1">
        <v>5967.0</v>
      </c>
      <c r="B2015" s="2" t="s">
        <v>6365</v>
      </c>
      <c r="C2015" s="2">
        <f>IFERROR(__xludf.DUMMYFUNCTION("split(B2015,""_"")"),801.0)</f>
        <v>801</v>
      </c>
      <c r="D2015" s="2" t="str">
        <f>IFERROR(__xludf.DUMMYFUNCTION("""COMPUTED_VALUE"""),"CX")</f>
        <v>CX</v>
      </c>
      <c r="E2015" s="2" t="str">
        <f>IFERROR(__xludf.DUMMYFUNCTION("""COMPUTED_VALUE"""),"木22")</f>
        <v>木22</v>
      </c>
      <c r="F2015" s="2" t="s">
        <v>6366</v>
      </c>
      <c r="G2015" s="2" t="s">
        <v>6382</v>
      </c>
      <c r="H2015" s="1">
        <v>8.0</v>
      </c>
      <c r="I2015" s="1" t="s">
        <v>29</v>
      </c>
      <c r="J2015" s="1" t="s">
        <v>86</v>
      </c>
      <c r="K2015" s="2" t="s">
        <v>6383</v>
      </c>
      <c r="L2015" s="10" t="s">
        <v>6384</v>
      </c>
      <c r="M2015" s="2" t="str">
        <f>IFERROR(__xludf.DUMMYFUNCTION("split(split(K2015,""【"",false),""公式LINE"",false)"),"小川孝信(玉木宏)は、藤原道子(綾瀬はるか)、堀田イト(多部未華子)とこれまでの事柄を整理した結果、鼠の“運び番""が、教頭・小治田史明(児玉清)だと確信する。そして、1番乗りで出勤すると教頭室に忍び込むが、正体を裏付ける証拠を発見できない。そんな小川を、出勤してきた体育教師の前村さおり(キムラ緑子)が見てしまう。  　藤原は小川に、小治田に直接聞いてみるのがいいと言うが、小川は賛同しない。すると、藤原は小川や堀田同様に、教頭も“鼠顔""になっているのではとひらめく。早速、小川はトイレで小治田を待ち伏せし"&amp;"鏡に映る顔を見るが、そこには人間の小治田がいるだけだった。  　授業を終えた小川が職員室に戻ると、雰囲気がおかしい。どうやら、前村が小川の件を教師たちに話したらしい。福原重久(佐々木蔵之介)から噂を聞いた藤原が小川に確かめると、教頭室には入ったが何も盗んでいないと言う。そして、今は疑いを晴らすよりも“目""を取り返すのが先決だから、自分を敵だと思っている長岡美栄(柴本幸)の誤解を解きに行こうと藤原を促す。  　京都女学館を訪れた小川、藤原、堀田を目の前に、長岡は不信感をあらわにする。そんな長岡に堀田が、「"&amp;"長岡先生は、狐の“使い番""なんでしょう?」と切り込む。そして、長岡を見据えると自分が鹿の“使い番""であることを明かす。これに面食らった長岡は、堀田をながめると…。玉木宏    綾瀬はるか    多部未華子    柴本幸      篠井英介  キムラ緑子  酒井敏也  鷲尾真知子  田山涼成    川辺菜月  藤井美菜  東亜優  江頭由衣    山寺宏一    佐々木蔵之介    児玉清原作:「鹿男あをによし」万城目学(幻冬舎刊)  脚本:相沢友子演出:村谷嘉則佐橋俊彦")</f>
        <v>小川孝信(玉木宏)は、藤原道子(綾瀬はるか)、堀田イト(多部未華子)とこれまでの事柄を整理した結果、鼠の“運び番"が、教頭・小治田史明(児玉清)だと確信する。そして、1番乗りで出勤すると教頭室に忍び込むが、正体を裏付ける証拠を発見できない。そんな小川を、出勤してきた体育教師の前村さおり(キムラ緑子)が見てしまう。  　藤原は小川に、小治田に直接聞いてみるのがいいと言うが、小川は賛同しない。すると、藤原は小川や堀田同様に、教頭も“鼠顔"になっているのではとひらめく。早速、小川はトイレで小治田を待ち伏せし鏡に映る顔を見るが、そこには人間の小治田がいるだけだった。  　授業を終えた小川が職員室に戻ると、雰囲気がおかしい。どうやら、前村が小川の件を教師たちに話したらしい。福原重久(佐々木蔵之介)から噂を聞いた藤原が小川に確かめると、教頭室には入ったが何も盗んでいないと言う。そして、今は疑いを晴らすよりも“目"を取り返すのが先決だから、自分を敵だと思っている長岡美栄(柴本幸)の誤解を解きに行こうと藤原を促す。  　京都女学館を訪れた小川、藤原、堀田を目の前に、長岡は不信感をあらわにする。そんな長岡に堀田が、「長岡先生は、狐の“使い番"なんでしょう?」と切り込む。そして、長岡を見据えると自分が鹿の“使い番"であることを明かす。これに面食らった長岡は、堀田をながめると…。玉木宏    綾瀬はるか    多部未華子    柴本幸      篠井英介  キムラ緑子  酒井敏也  鷲尾真知子  田山涼成    川辺菜月  藤井美菜  東亜優  江頭由衣    山寺宏一    佐々木蔵之介    児玉清原作:「鹿男あをによし」万城目学(幻冬舎刊)  脚本:相沢友子演出:村谷嘉則佐橋俊彦</v>
      </c>
      <c r="N2015" s="2"/>
      <c r="O2015" s="2"/>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row>
    <row r="2016" ht="204.75" customHeight="1">
      <c r="A2016" s="1">
        <v>5968.0</v>
      </c>
      <c r="B2016" s="2" t="s">
        <v>6365</v>
      </c>
      <c r="C2016" s="2">
        <f>IFERROR(__xludf.DUMMYFUNCTION("split(B2016,""_"")"),801.0)</f>
        <v>801</v>
      </c>
      <c r="D2016" s="2" t="str">
        <f>IFERROR(__xludf.DUMMYFUNCTION("""COMPUTED_VALUE"""),"CX")</f>
        <v>CX</v>
      </c>
      <c r="E2016" s="2" t="str">
        <f>IFERROR(__xludf.DUMMYFUNCTION("""COMPUTED_VALUE"""),"木22")</f>
        <v>木22</v>
      </c>
      <c r="F2016" s="2" t="s">
        <v>6366</v>
      </c>
      <c r="G2016" s="2" t="s">
        <v>6385</v>
      </c>
      <c r="H2016" s="1">
        <v>9.0</v>
      </c>
      <c r="I2016" s="1" t="s">
        <v>33</v>
      </c>
      <c r="J2016" s="1" t="s">
        <v>86</v>
      </c>
      <c r="K2016" s="2" t="s">
        <v>6386</v>
      </c>
      <c r="L2016" s="10" t="s">
        <v>6387</v>
      </c>
      <c r="M2016" s="2" t="str">
        <f>IFERROR(__xludf.DUMMYFUNCTION("split(split(K2016,""【"",false),""公式LINE"",false)"),"小川孝信(玉木宏)は、自分が鼠の“運び番""だと認めた小治田史明(児玉清)に“目""を返すように迫ると、小治田は、高松塚古墳に隠してあると明かす。小川はすぐに取りに行こうと急がすが、小治田は自分が取りに行き、明日必ず学校へ持って行くと言う。だが、小川はそれを信じず、自分も一緒に行くと譲らない。結局、小治田が折れて翌日、古墳の事務局が開く時間に待ち合わせることに。　翌日、小川が高松塚古墳に着くと、藤原道子(綾瀬はるか)と堀田イト(多部未華子)もやってくる。3人揃って小治田を待つが、約束を過ぎても現れない。 "&amp;" 　小治田に騙された3人が下宿に戻り“目""の隠し場所を推測していると、突然、大きな地震が起こる。開店準備中の小料理屋では食器類が床に散乱してしまう。小川たちも、女将の福原房江(鷲尾真知子)や店員の原和歌子(川辺菜月)と一緒に後片付けをすることに。　そんなとき、藤原が和歌子のピアスが片方無くなっていることに気づく。地震で身をかがめたときに床に落ちてしまったらしい。小川たちも床を探すが、散乱するガラスの欠片が邪魔をして見つけられない。買ったばかりだがあきらめると、残念そうな顔をする和歌子。そのやりとりを見て"&amp;"いた堀田は何かを思いついたように小川を見上げ、「木を隠すなら森」とつぶやく…。玉木宏    綾瀬はるか    多部未華子    柴本幸      篠井英介  キムラ緑子  酒井敏也  鷲尾真知子  田山涼成    川辺菜月  藤井美菜  東亜優  江頭由衣    山寺宏一    佐々木蔵之介    児玉清原作:「鹿男あをによし」万城目学(幻冬舎刊)  脚本:相沢友子演出:村上正典佐橋俊彦")</f>
        <v>小川孝信(玉木宏)は、自分が鼠の“運び番"だと認めた小治田史明(児玉清)に“目"を返すように迫ると、小治田は、高松塚古墳に隠してあると明かす。小川はすぐに取りに行こうと急がすが、小治田は自分が取りに行き、明日必ず学校へ持って行くと言う。だが、小川はそれを信じず、自分も一緒に行くと譲らない。結局、小治田が折れて翌日、古墳の事務局が開く時間に待ち合わせることに。　翌日、小川が高松塚古墳に着くと、藤原道子(綾瀬はるか)と堀田イト(多部未華子)もやってくる。3人揃って小治田を待つが、約束を過ぎても現れない。  　小治田に騙された3人が下宿に戻り“目"の隠し場所を推測していると、突然、大きな地震が起こる。開店準備中の小料理屋では食器類が床に散乱してしまう。小川たちも、女将の福原房江(鷲尾真知子)や店員の原和歌子(川辺菜月)と一緒に後片付けをすることに。　そんなとき、藤原が和歌子のピアスが片方無くなっていることに気づく。地震で身をかがめたときに床に落ちてしまったらしい。小川たちも床を探すが、散乱するガラスの欠片が邪魔をして見つけられない。買ったばかりだがあきらめると、残念そうな顔をする和歌子。そのやりとりを見ていた堀田は何かを思いついたように小川を見上げ、「木を隠すなら森」とつぶやく…。玉木宏    綾瀬はるか    多部未華子    柴本幸      篠井英介  キムラ緑子  酒井敏也  鷲尾真知子  田山涼成    川辺菜月  藤井美菜  東亜優  江頭由衣    山寺宏一    佐々木蔵之介    児玉清原作:「鹿男あをによし」万城目学(幻冬舎刊)  脚本:相沢友子演出:村上正典佐橋俊彦</v>
      </c>
      <c r="N2016" s="2"/>
      <c r="O2016" s="2"/>
      <c r="P2016" s="1"/>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c r="AY2016" s="1"/>
      <c r="AZ2016" s="1"/>
      <c r="BA2016" s="1"/>
      <c r="BB2016" s="1"/>
    </row>
    <row r="2017" ht="204.75" customHeight="1">
      <c r="A2017" s="1">
        <v>5969.0</v>
      </c>
      <c r="B2017" s="2" t="s">
        <v>6365</v>
      </c>
      <c r="C2017" s="2">
        <f>IFERROR(__xludf.DUMMYFUNCTION("split(B2017,""_"")"),801.0)</f>
        <v>801</v>
      </c>
      <c r="D2017" s="2" t="str">
        <f>IFERROR(__xludf.DUMMYFUNCTION("""COMPUTED_VALUE"""),"CX")</f>
        <v>CX</v>
      </c>
      <c r="E2017" s="2" t="str">
        <f>IFERROR(__xludf.DUMMYFUNCTION("""COMPUTED_VALUE"""),"木22")</f>
        <v>木22</v>
      </c>
      <c r="F2017" s="2" t="s">
        <v>6366</v>
      </c>
      <c r="G2017" s="2" t="s">
        <v>6388</v>
      </c>
      <c r="H2017" s="1">
        <v>10.0</v>
      </c>
      <c r="I2017" s="1" t="s">
        <v>37</v>
      </c>
      <c r="J2017" s="1" t="s">
        <v>86</v>
      </c>
      <c r="K2017" s="2" t="s">
        <v>6389</v>
      </c>
      <c r="L2017" s="10" t="s">
        <v>6390</v>
      </c>
      <c r="M2017" s="2" t="str">
        <f>IFERROR(__xludf.DUMMYFUNCTION("split(split(K2017,""【"",false),""公式LINE"",false)"),"小川孝信(玉木宏)は、堀田イト(多部未華子)から受け取った“目""=銅鏡を草の上に置く。それを、藤原道子(綾瀬はるか)、鹿、鼠が見守る。最後まで私欲をむき出しにした小治田史明(児玉清)は、離れた場所で放心したように座っている。  　そして、鹿の呼びかけで、いよいよ儀式が始まる——。  　草の上に置かれた銅鏡に堀田が水を注ぐと、水面の中央に映った満月が小さな点となり光を反射させる。それを鹿が舐めると、水が満月に吸い寄せられるように集まり、やがて光る球形となっていく…。  　翌日、盗難疑惑は解けたものの、小川"&amp;"はやはり学校にいられなくなる。藤原は教師たちに反発するが、小川は疑惑が解けただけで十分だと告げる。そして鹿に会いに行き、自分と堀田の顔を元に戻してくれと頼む。ところが、鹿は叶えられる望みは1つだけ。つまり、小川か堀田のどちらかしか元には戻せないと言うのだ。  　翌日、小川が職員室にいると、堀田がやってきて小川を連れ出す。2人が鏡の前に並ぶと、そこには人間の顔をした堀田と、鹿顔のままの小川が立っている。そこへ来た藤原が2人の様子をうかがうように見る。堀田は鹿から事情を聞いたが、自分だけ元に戻るのは納得がいか"&amp;"ないと言う。  　しかし小川は、堀田が鹿顔になった原因は自分にあるから当然だと言うが、堀田は無言で小川をにらみ続ける。やりきれない気持ちになる小川。そんな2人を見ていた藤原は…。玉木宏    綾瀬はるか    多部未華子    柴本幸      篠井英介  キムラ緑子  酒井敏也  鷲尾真知子  田山涼成    川辺菜月  藤井美菜  東亜優  江頭由衣    山寺宏一    佐々木蔵之介    児玉清原作:「鹿男あをによし」万城目学(幻冬舎刊)  脚本:相沢友子演出:鈴木雅之佐橋俊彦")</f>
        <v>小川孝信(玉木宏)は、堀田イト(多部未華子)から受け取った“目"=銅鏡を草の上に置く。それを、藤原道子(綾瀬はるか)、鹿、鼠が見守る。最後まで私欲をむき出しにした小治田史明(児玉清)は、離れた場所で放心したように座っている。  　そして、鹿の呼びかけで、いよいよ儀式が始まる——。  　草の上に置かれた銅鏡に堀田が水を注ぐと、水面の中央に映った満月が小さな点となり光を反射させる。それを鹿が舐めると、水が満月に吸い寄せられるように集まり、やがて光る球形となっていく…。  　翌日、盗難疑惑は解けたものの、小川はやはり学校にいられなくなる。藤原は教師たちに反発するが、小川は疑惑が解けただけで十分だと告げる。そして鹿に会いに行き、自分と堀田の顔を元に戻してくれと頼む。ところが、鹿は叶えられる望みは1つだけ。つまり、小川か堀田のどちらかしか元には戻せないと言うのだ。  　翌日、小川が職員室にいると、堀田がやってきて小川を連れ出す。2人が鏡の前に並ぶと、そこには人間の顔をした堀田と、鹿顔のままの小川が立っている。そこへ来た藤原が2人の様子をうかがうように見る。堀田は鹿から事情を聞いたが、自分だけ元に戻るのは納得がいかないと言う。  　しかし小川は、堀田が鹿顔になった原因は自分にあるから当然だと言うが、堀田は無言で小川をにらみ続ける。やりきれない気持ちになる小川。そんな2人を見ていた藤原は…。玉木宏    綾瀬はるか    多部未華子    柴本幸      篠井英介  キムラ緑子  酒井敏也  鷲尾真知子  田山涼成    川辺菜月  藤井美菜  東亜優  江頭由衣    山寺宏一    佐々木蔵之介    児玉清原作:「鹿男あをによし」万城目学(幻冬舎刊)  脚本:相沢友子演出:鈴木雅之佐橋俊彦</v>
      </c>
      <c r="N2017" s="2"/>
      <c r="O2017" s="2"/>
      <c r="P2017" s="1"/>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row>
    <row r="2018" ht="204.75" customHeight="1">
      <c r="A2018" s="1">
        <v>6006.0</v>
      </c>
      <c r="B2018" s="2" t="s">
        <v>6391</v>
      </c>
      <c r="C2018" s="2">
        <f>IFERROR(__xludf.DUMMYFUNCTION("split(B2018,""_"")"),801.0)</f>
        <v>801</v>
      </c>
      <c r="D2018" s="2" t="str">
        <f>IFERROR(__xludf.DUMMYFUNCTION("""COMPUTED_VALUE"""),"CX")</f>
        <v>CX</v>
      </c>
      <c r="E2018" s="2" t="str">
        <f>IFERROR(__xludf.DUMMYFUNCTION("""COMPUTED_VALUE"""),"土23")</f>
        <v>土23</v>
      </c>
      <c r="F2018" s="2" t="s">
        <v>6392</v>
      </c>
      <c r="G2018" s="2" t="s">
        <v>6393</v>
      </c>
      <c r="H2018" s="1">
        <v>1.0</v>
      </c>
      <c r="I2018" s="1" t="s">
        <v>17</v>
      </c>
      <c r="J2018" s="1" t="s">
        <v>6113</v>
      </c>
      <c r="K2018" s="4" t="s">
        <v>6394</v>
      </c>
      <c r="L2018" s="11" t="s">
        <v>6395</v>
      </c>
      <c r="M2018" s="2" t="s">
        <v>6395</v>
      </c>
      <c r="N2018" s="2"/>
      <c r="O2018" s="2"/>
      <c r="P2018" s="1"/>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row>
    <row r="2019" ht="204.75" customHeight="1">
      <c r="A2019" s="1">
        <v>6007.0</v>
      </c>
      <c r="B2019" s="2" t="s">
        <v>6391</v>
      </c>
      <c r="C2019" s="2">
        <f>IFERROR(__xludf.DUMMYFUNCTION("split(B2019,""_"")"),801.0)</f>
        <v>801</v>
      </c>
      <c r="D2019" s="2" t="str">
        <f>IFERROR(__xludf.DUMMYFUNCTION("""COMPUTED_VALUE"""),"CX")</f>
        <v>CX</v>
      </c>
      <c r="E2019" s="2" t="str">
        <f>IFERROR(__xludf.DUMMYFUNCTION("""COMPUTED_VALUE"""),"土23")</f>
        <v>土23</v>
      </c>
      <c r="F2019" s="2" t="s">
        <v>6392</v>
      </c>
      <c r="G2019" s="2" t="s">
        <v>6396</v>
      </c>
      <c r="H2019" s="1">
        <v>2.0</v>
      </c>
      <c r="I2019" s="1" t="s">
        <v>21</v>
      </c>
      <c r="J2019" s="1" t="s">
        <v>2429</v>
      </c>
      <c r="K2019" s="2" t="s">
        <v>6397</v>
      </c>
      <c r="L2019" s="11" t="s">
        <v>6395</v>
      </c>
      <c r="M2019" s="2" t="s">
        <v>6395</v>
      </c>
      <c r="N2019" s="2"/>
      <c r="O2019" s="2"/>
      <c r="P2019" s="1"/>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row>
    <row r="2020" ht="204.75" customHeight="1">
      <c r="A2020" s="1">
        <v>6008.0</v>
      </c>
      <c r="B2020" s="2" t="s">
        <v>6391</v>
      </c>
      <c r="C2020" s="2">
        <f>IFERROR(__xludf.DUMMYFUNCTION("split(B2020,""_"")"),801.0)</f>
        <v>801</v>
      </c>
      <c r="D2020" s="2" t="str">
        <f>IFERROR(__xludf.DUMMYFUNCTION("""COMPUTED_VALUE"""),"CX")</f>
        <v>CX</v>
      </c>
      <c r="E2020" s="2" t="str">
        <f>IFERROR(__xludf.DUMMYFUNCTION("""COMPUTED_VALUE"""),"土23")</f>
        <v>土23</v>
      </c>
      <c r="F2020" s="2" t="s">
        <v>6392</v>
      </c>
      <c r="G2020" s="2" t="s">
        <v>6398</v>
      </c>
      <c r="H2020" s="1">
        <v>3.0</v>
      </c>
      <c r="I2020" s="1" t="s">
        <v>25</v>
      </c>
      <c r="J2020" s="1" t="s">
        <v>6113</v>
      </c>
      <c r="K2020" s="2" t="s">
        <v>6399</v>
      </c>
      <c r="L2020" s="11" t="s">
        <v>6395</v>
      </c>
      <c r="M2020" s="2" t="s">
        <v>6395</v>
      </c>
      <c r="N2020" s="2"/>
      <c r="O2020" s="2"/>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row>
    <row r="2021" ht="204.75" customHeight="1">
      <c r="A2021" s="1">
        <v>6009.0</v>
      </c>
      <c r="B2021" s="2" t="s">
        <v>6391</v>
      </c>
      <c r="C2021" s="2">
        <f>IFERROR(__xludf.DUMMYFUNCTION("split(B2021,""_"")"),801.0)</f>
        <v>801</v>
      </c>
      <c r="D2021" s="2" t="str">
        <f>IFERROR(__xludf.DUMMYFUNCTION("""COMPUTED_VALUE"""),"CX")</f>
        <v>CX</v>
      </c>
      <c r="E2021" s="2" t="str">
        <f>IFERROR(__xludf.DUMMYFUNCTION("""COMPUTED_VALUE"""),"土23")</f>
        <v>土23</v>
      </c>
      <c r="F2021" s="2" t="s">
        <v>6392</v>
      </c>
      <c r="G2021" s="2" t="s">
        <v>6400</v>
      </c>
      <c r="H2021" s="1">
        <v>4.0</v>
      </c>
      <c r="I2021" s="1" t="s">
        <v>29</v>
      </c>
      <c r="J2021" s="1" t="s">
        <v>2429</v>
      </c>
      <c r="K2021" s="2" t="s">
        <v>6401</v>
      </c>
      <c r="L2021" s="11" t="s">
        <v>6395</v>
      </c>
      <c r="M2021" s="2" t="s">
        <v>6395</v>
      </c>
      <c r="N2021" s="2"/>
      <c r="O2021" s="2"/>
      <c r="P2021" s="1"/>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c r="BA2021" s="1"/>
      <c r="BB2021" s="1"/>
    </row>
    <row r="2022" ht="204.75" customHeight="1">
      <c r="A2022" s="1">
        <v>6020.0</v>
      </c>
      <c r="B2022" s="2" t="s">
        <v>6402</v>
      </c>
      <c r="C2022" s="2">
        <f>IFERROR(__xludf.DUMMYFUNCTION("split(B2022,""_"")"),710.0)</f>
        <v>710</v>
      </c>
      <c r="D2022" s="2" t="str">
        <f>IFERROR(__xludf.DUMMYFUNCTION("""COMPUTED_VALUE"""),"CX")</f>
        <v>CX</v>
      </c>
      <c r="E2022" s="2" t="str">
        <f>IFERROR(__xludf.DUMMYFUNCTION("""COMPUTED_VALUE"""),"月21")</f>
        <v>月21</v>
      </c>
      <c r="F2022" s="2" t="s">
        <v>3227</v>
      </c>
      <c r="G2022" s="2" t="s">
        <v>6403</v>
      </c>
      <c r="H2022" s="1">
        <v>1.0</v>
      </c>
      <c r="J2022" s="1" t="s">
        <v>4</v>
      </c>
      <c r="K2022" s="2" t="s">
        <v>6404</v>
      </c>
      <c r="L2022" s="11" t="s">
        <v>6404</v>
      </c>
      <c r="M2022" s="2" t="str">
        <f>IFERROR(__xludf.DUMMYFUNCTION("split(split(K2022,""【"",false),""公式LINE"",false)"),"天才物理学者(福山雅治)と女性刑事(柴咲コウ)が不可思議な事件を解決していく。原作・東野圭吾、脚本・福田靖、演出・西谷弘。　帝都大学理工学部物理学科の准教授・湯川(福山)の元に、貝塚北署の新人刑事・薫(柴咲)が訪ねて来る。薫は尊敬する先輩刑事・草薙(北村一輝)のアドバイスで、ある事件について湯川に捜査協力を求める。それは、住宅街でたむろしていた若者の一人の頭が発火し、死亡するという事件だった。事件に興味を持った湯川は、薫とともに現場を訪れる。湯川は現場近くで機械部品を作っている製作所に注目。勝手に工場内を"&amp;"見回り、自然発生したプラズマによる事故ではないかという見解を示す。")</f>
        <v>天才物理学者(福山雅治)と女性刑事(柴咲コウ)が不可思議な事件を解決していく。原作・東野圭吾、脚本・福田靖、演出・西谷弘。　帝都大学理工学部物理学科の准教授・湯川(福山)の元に、貝塚北署の新人刑事・薫(柴咲)が訪ねて来る。薫は尊敬する先輩刑事・草薙(北村一輝)のアドバイスで、ある事件について湯川に捜査協力を求める。それは、住宅街でたむろしていた若者の一人の頭が発火し、死亡するという事件だった。事件に興味を持った湯川は、薫とともに現場を訪れる。湯川は現場近くで機械部品を作っている製作所に注目。勝手に工場内を見回り、自然発生したプラズマによる事故ではないかという見解を示す。</v>
      </c>
      <c r="N2022" s="2"/>
      <c r="O2022" s="2"/>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c r="BA2022" s="1"/>
      <c r="BB2022" s="1"/>
    </row>
    <row r="2023" ht="204.75" customHeight="1">
      <c r="A2023" s="1">
        <v>6021.0</v>
      </c>
      <c r="B2023" s="2" t="s">
        <v>6402</v>
      </c>
      <c r="C2023" s="2">
        <f>IFERROR(__xludf.DUMMYFUNCTION("split(B2023,""_"")"),710.0)</f>
        <v>710</v>
      </c>
      <c r="D2023" s="2" t="str">
        <f>IFERROR(__xludf.DUMMYFUNCTION("""COMPUTED_VALUE"""),"CX")</f>
        <v>CX</v>
      </c>
      <c r="E2023" s="2" t="str">
        <f>IFERROR(__xludf.DUMMYFUNCTION("""COMPUTED_VALUE"""),"月21")</f>
        <v>月21</v>
      </c>
      <c r="F2023" s="2" t="s">
        <v>3227</v>
      </c>
      <c r="G2023" s="2" t="s">
        <v>6405</v>
      </c>
      <c r="H2023" s="1">
        <v>2.0</v>
      </c>
      <c r="J2023" s="1" t="s">
        <v>11</v>
      </c>
      <c r="K2023" s="2" t="s">
        <v>6406</v>
      </c>
      <c r="L2023" s="11" t="s">
        <v>6406</v>
      </c>
      <c r="M2023" s="2" t="str">
        <f>IFERROR(__xludf.DUMMYFUNCTION("split(split(K2023,""【"",false),""公式LINE"",false)"),"ワンルームマンションで女性の遺体が発見された。薫(柴咲コウ)たちは死亡推定時刻から、事件があった時刻に被害者を訪ねたと思われる保険外交員・栗田(石井正則)に事情を聴く。しかし栗田は、その時間は川沿いに車を止めて寝ていたと主張。そんな折、事件を知った上村(小市慢太郎)が、栗田のアリバイを裏付ける証拠として息子の忠広(今井悠貴)が描いたという絵を郵送してくる。その絵は、忠広が熱を出して寝込んでいた時に幽体離脱をして、マンションの窓から外に出て見えた風景画だという。そこには、川沿いに止まっている赤い車が描かれて"&amp;"いた。困った薫は、絵を持って湯川(福山雅治)の元を訪れる。湯川は事件に興味を示し、検証を始める。")</f>
        <v>ワンルームマンションで女性の遺体が発見された。薫(柴咲コウ)たちは死亡推定時刻から、事件があった時刻に被害者を訪ねたと思われる保険外交員・栗田(石井正則)に事情を聴く。しかし栗田は、その時間は川沿いに車を止めて寝ていたと主張。そんな折、事件を知った上村(小市慢太郎)が、栗田のアリバイを裏付ける証拠として息子の忠広(今井悠貴)が描いたという絵を郵送してくる。その絵は、忠広が熱を出して寝込んでいた時に幽体離脱をして、マンションの窓から外に出て見えた風景画だという。そこには、川沿いに止まっている赤い車が描かれていた。困った薫は、絵を持って湯川(福山雅治)の元を訪れる。湯川は事件に興味を示し、検証を始める。</v>
      </c>
      <c r="N2023" s="2"/>
      <c r="O2023" s="2"/>
      <c r="P2023" s="1"/>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c r="AY2023" s="1"/>
      <c r="AZ2023" s="1"/>
      <c r="BA2023" s="1"/>
      <c r="BB2023" s="1"/>
    </row>
    <row r="2024" ht="204.75" customHeight="1">
      <c r="A2024" s="1">
        <v>6022.0</v>
      </c>
      <c r="B2024" s="2" t="s">
        <v>6402</v>
      </c>
      <c r="C2024" s="2">
        <f>IFERROR(__xludf.DUMMYFUNCTION("split(B2024,""_"")"),710.0)</f>
        <v>710</v>
      </c>
      <c r="D2024" s="2" t="str">
        <f>IFERROR(__xludf.DUMMYFUNCTION("""COMPUTED_VALUE"""),"CX")</f>
        <v>CX</v>
      </c>
      <c r="E2024" s="2" t="str">
        <f>IFERROR(__xludf.DUMMYFUNCTION("""COMPUTED_VALUE"""),"月21")</f>
        <v>月21</v>
      </c>
      <c r="F2024" s="2" t="s">
        <v>3227</v>
      </c>
      <c r="G2024" s="2" t="s">
        <v>6407</v>
      </c>
      <c r="H2024" s="1">
        <v>3.0</v>
      </c>
      <c r="J2024" s="1" t="s">
        <v>11</v>
      </c>
      <c r="K2024" s="2" t="s">
        <v>6408</v>
      </c>
      <c r="L2024" s="11" t="s">
        <v>6408</v>
      </c>
      <c r="M2024" s="2" t="str">
        <f>IFERROR(__xludf.DUMMYFUNCTION("split(split(K2024,""【"",false),""公式LINE"",false)"),"湯川(福山雅治)から呼び出された薫(柴咲コウ)は、彼に紹介された弥生(広末涼子)という女性から、失跡した夫・直樹(渡辺裕樹)を捜す手助けをしてほしいと頼まれる。弥生によると、介護用品メーカーに勤めていた直樹は、五日前に独り暮らしの老婦人・ヒデ(森康子)の家に行くと言ったまま行方不明になった。しかも、ヒデは同じ日に死亡していて、その日から家にはヒデのおいだという高野(甲本雅裕)ら四人の男女が住んでいるという。薫と弥生は高野らが外出したのを見計らって、家の中に潜入する。室内に直樹の姿はなかったが、突然部屋全体"&amp;"が激しく揺れ始める。外に逃げた二人だったが、家の周囲は静まり返っていた。薫はそれがポルターガイスト現象だと湯川に報告する。")</f>
        <v>湯川(福山雅治)から呼び出された薫(柴咲コウ)は、彼に紹介された弥生(広末涼子)という女性から、失跡した夫・直樹(渡辺裕樹)を捜す手助けをしてほしいと頼まれる。弥生によると、介護用品メーカーに勤めていた直樹は、五日前に独り暮らしの老婦人・ヒデ(森康子)の家に行くと言ったまま行方不明になった。しかも、ヒデは同じ日に死亡していて、その日から家にはヒデのおいだという高野(甲本雅裕)ら四人の男女が住んでいるという。薫と弥生は高野らが外出したのを見計らって、家の中に潜入する。室内に直樹の姿はなかったが、突然部屋全体が激しく揺れ始める。外に逃げた二人だったが、家の周囲は静まり返っていた。薫はそれがポルターガイスト現象だと湯川に報告する。</v>
      </c>
      <c r="N2024" s="2"/>
      <c r="O2024" s="2"/>
      <c r="P2024" s="1"/>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c r="AY2024" s="1"/>
      <c r="AZ2024" s="1"/>
      <c r="BA2024" s="1"/>
      <c r="BB2024" s="1"/>
    </row>
    <row r="2025" ht="204.75" customHeight="1">
      <c r="A2025" s="1">
        <v>6023.0</v>
      </c>
      <c r="B2025" s="2" t="s">
        <v>6402</v>
      </c>
      <c r="C2025" s="2">
        <f>IFERROR(__xludf.DUMMYFUNCTION("split(B2025,""_"")"),710.0)</f>
        <v>710</v>
      </c>
      <c r="D2025" s="2" t="str">
        <f>IFERROR(__xludf.DUMMYFUNCTION("""COMPUTED_VALUE"""),"CX")</f>
        <v>CX</v>
      </c>
      <c r="E2025" s="2" t="str">
        <f>IFERROR(__xludf.DUMMYFUNCTION("""COMPUTED_VALUE"""),"月21")</f>
        <v>月21</v>
      </c>
      <c r="F2025" s="2" t="s">
        <v>3227</v>
      </c>
      <c r="G2025" s="2" t="s">
        <v>6409</v>
      </c>
      <c r="H2025" s="1">
        <v>4.0</v>
      </c>
      <c r="J2025" s="1" t="s">
        <v>11</v>
      </c>
      <c r="K2025" s="2" t="s">
        <v>6410</v>
      </c>
      <c r="L2025" s="11" t="s">
        <v>6410</v>
      </c>
      <c r="M2025" s="2" t="str">
        <f>IFERROR(__xludf.DUMMYFUNCTION("split(split(K2025,""【"",false),""公式LINE"",false)"),"豪邸の室内プールで、若い女性の水死体が発見される。死因は心臓まひだったが、なぜか胸の皮膚の一部だけが壊死(えし)していた。薫(柴咲コウ)は死亡した女性が通っていた大学を訪れる。そのころ、偶然に同じ大学での講演を終えた湯川(福山雅治)は、大学院生の田上(香取慎吾)に呼び止められる。講演に感銘を受けたと話す田上に、湯川はいつでも連絡してくれと名刺を渡す。湯川を見つけた薫は、事件のことで相談を持ち掛けるが、全く取り合ってもらえない。その時、薫は大学の掲示板に”皮膚疾患の先端技術”という文字を見つけ、研究室を訪れ"&amp;"る。そこにいたのは、白衣姿の田上だった。")</f>
        <v>豪邸の室内プールで、若い女性の水死体が発見される。死因は心臓まひだったが、なぜか胸の皮膚の一部だけが壊死(えし)していた。薫(柴咲コウ)は死亡した女性が通っていた大学を訪れる。そのころ、偶然に同じ大学での講演を終えた湯川(福山雅治)は、大学院生の田上(香取慎吾)に呼び止められる。講演に感銘を受けたと話す田上に、湯川はいつでも連絡してくれと名刺を渡す。湯川を見つけた薫は、事件のことで相談を持ち掛けるが、全く取り合ってもらえない。その時、薫は大学の掲示板に”皮膚疾患の先端技術”という文字を見つけ、研究室を訪れる。そこにいたのは、白衣姿の田上だった。</v>
      </c>
      <c r="N2025" s="2"/>
      <c r="O2025" s="2"/>
      <c r="P2025" s="1"/>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1"/>
      <c r="AY2025" s="1"/>
      <c r="AZ2025" s="1"/>
      <c r="BA2025" s="1"/>
      <c r="BB2025" s="1"/>
    </row>
    <row r="2026" ht="204.75" customHeight="1">
      <c r="A2026" s="1">
        <v>6024.0</v>
      </c>
      <c r="B2026" s="2" t="s">
        <v>6402</v>
      </c>
      <c r="C2026" s="2">
        <f>IFERROR(__xludf.DUMMYFUNCTION("split(B2026,""_"")"),710.0)</f>
        <v>710</v>
      </c>
      <c r="D2026" s="2" t="str">
        <f>IFERROR(__xludf.DUMMYFUNCTION("""COMPUTED_VALUE"""),"CX")</f>
        <v>CX</v>
      </c>
      <c r="E2026" s="2" t="str">
        <f>IFERROR(__xludf.DUMMYFUNCTION("""COMPUTED_VALUE"""),"月21")</f>
        <v>月21</v>
      </c>
      <c r="F2026" s="2" t="s">
        <v>3227</v>
      </c>
      <c r="G2026" s="2" t="s">
        <v>6411</v>
      </c>
      <c r="H2026" s="1">
        <v>5.0</v>
      </c>
      <c r="J2026" s="1" t="s">
        <v>11</v>
      </c>
      <c r="K2026" s="2" t="s">
        <v>6412</v>
      </c>
      <c r="L2026" s="11" t="s">
        <v>6412</v>
      </c>
      <c r="M2026" s="2" t="str">
        <f>IFERROR(__xludf.DUMMYFUNCTION("split(split(K2026,""【"",false),""公式LINE"",false)"),"湯川(福山雅治)は薫(柴咲コウ)から、管内のホテルで起こった密室殺人について意見を求められる。被害者はペンションを経営する矢島(岡本光太郎)という男性で、部屋に出入りしたのは本人だけだという証言がある。さらに、ホテルの向かいにあるビルで働く会社員が、矢島の部屋で火の玉が飛んだのを目撃している。警察は数カ月の間に矢島が複数の生命保険に加入していることから、妻の貴子(水野美紀)に疑いの目を向ける。しかし、彼女にはアリバイがあった。事件に興味を抱いた湯川は、薫とともに貴子に会いに行く。貴子は犯人や火の玉にも心当"&amp;"たりはないと話すが、矢島の娘・秋穂(大後寿々花)は貴子がうそをついていると言いだす。")</f>
        <v>湯川(福山雅治)は薫(柴咲コウ)から、管内のホテルで起こった密室殺人について意見を求められる。被害者はペンションを経営する矢島(岡本光太郎)という男性で、部屋に出入りしたのは本人だけだという証言がある。さらに、ホテルの向かいにあるビルで働く会社員が、矢島の部屋で火の玉が飛んだのを目撃している。警察は数カ月の間に矢島が複数の生命保険に加入していることから、妻の貴子(水野美紀)に疑いの目を向ける。しかし、彼女にはアリバイがあった。事件に興味を抱いた湯川は、薫とともに貴子に会いに行く。貴子は犯人や火の玉にも心当たりはないと話すが、矢島の娘・秋穂(大後寿々花)は貴子がうそをついていると言いだす。</v>
      </c>
      <c r="N2026" s="2"/>
      <c r="O2026" s="2"/>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1"/>
      <c r="AY2026" s="1"/>
      <c r="AZ2026" s="1"/>
      <c r="BA2026" s="1"/>
      <c r="BB2026" s="1"/>
    </row>
    <row r="2027" ht="204.75" customHeight="1">
      <c r="A2027" s="1">
        <v>6025.0</v>
      </c>
      <c r="B2027" s="2" t="s">
        <v>6402</v>
      </c>
      <c r="C2027" s="2">
        <f>IFERROR(__xludf.DUMMYFUNCTION("split(B2027,""_"")"),710.0)</f>
        <v>710</v>
      </c>
      <c r="D2027" s="2" t="str">
        <f>IFERROR(__xludf.DUMMYFUNCTION("""COMPUTED_VALUE"""),"CX")</f>
        <v>CX</v>
      </c>
      <c r="E2027" s="2" t="str">
        <f>IFERROR(__xludf.DUMMYFUNCTION("""COMPUTED_VALUE"""),"月21")</f>
        <v>月21</v>
      </c>
      <c r="F2027" s="2" t="s">
        <v>3227</v>
      </c>
      <c r="G2027" s="2" t="s">
        <v>6413</v>
      </c>
      <c r="H2027" s="1">
        <v>6.0</v>
      </c>
      <c r="J2027" s="1" t="s">
        <v>11</v>
      </c>
      <c r="K2027" s="2" t="s">
        <v>6414</v>
      </c>
      <c r="L2027" s="11" t="s">
        <v>6414</v>
      </c>
      <c r="M2027" s="2" t="str">
        <f>IFERROR(__xludf.DUMMYFUNCTION("split(split(K2027,""【"",false),""公式LINE"",false)"),"薫(柴咲コウ)の幼なじみで占い師の坂木(新井浩文)が、十七歳の少女・森崎礼美(堀北真希)の部屋に侵入して乱暴しようとした。物音に気付いた母親の由美子(手塚理美)が猟銃で撃退したが、坂木は現在も逃亡中だ。捜査に当たった弓削(品川祐)の話では、坂木が客の礼美に一カ月ほど付きまとっていたという。程なく、薫の元に坂木から電話が入る。坂木は占い用の水がめに「会いに来て」と礼美からのメッセージが浮かんだと主張。薫は湯川(福山雅治)に相談するが、湯川にはストーカーの妄想としか思えない。すると、薫は坂木が小学校時代に書い"&amp;"た作文を見せる。そこには「ぼくの夢は、モリサキレミと結婚すること」と書かれていた。")</f>
        <v>薫(柴咲コウ)の幼なじみで占い師の坂木(新井浩文)が、十七歳の少女・森崎礼美(堀北真希)の部屋に侵入して乱暴しようとした。物音に気付いた母親の由美子(手塚理美)が猟銃で撃退したが、坂木は現在も逃亡中だ。捜査に当たった弓削(品川祐)の話では、坂木が客の礼美に一カ月ほど付きまとっていたという。程なく、薫の元に坂木から電話が入る。坂木は占い用の水がめに「会いに来て」と礼美からのメッセージが浮かんだと主張。薫は湯川(福山雅治)に相談するが、湯川にはストーカーの妄想としか思えない。すると、薫は坂木が小学校時代に書いた作文を見せる。そこには「ぼくの夢は、モリサキレミと結婚すること」と書かれていた。</v>
      </c>
      <c r="N2027" s="2"/>
      <c r="O2027" s="2"/>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c r="AY2027" s="1"/>
      <c r="AZ2027" s="1"/>
      <c r="BA2027" s="1"/>
      <c r="BB2027" s="1"/>
    </row>
    <row r="2028" ht="204.75" customHeight="1">
      <c r="A2028" s="1">
        <v>6026.0</v>
      </c>
      <c r="B2028" s="2" t="s">
        <v>6402</v>
      </c>
      <c r="C2028" s="2">
        <f>IFERROR(__xludf.DUMMYFUNCTION("split(B2028,""_"")"),710.0)</f>
        <v>710</v>
      </c>
      <c r="D2028" s="2" t="str">
        <f>IFERROR(__xludf.DUMMYFUNCTION("""COMPUTED_VALUE"""),"CX")</f>
        <v>CX</v>
      </c>
      <c r="E2028" s="2" t="str">
        <f>IFERROR(__xludf.DUMMYFUNCTION("""COMPUTED_VALUE"""),"月21")</f>
        <v>月21</v>
      </c>
      <c r="F2028" s="2" t="s">
        <v>3227</v>
      </c>
      <c r="G2028" s="2" t="s">
        <v>6415</v>
      </c>
      <c r="H2028" s="1">
        <v>7.0</v>
      </c>
      <c r="J2028" s="1" t="s">
        <v>11</v>
      </c>
      <c r="K2028" s="2" t="s">
        <v>6416</v>
      </c>
      <c r="L2028" s="11" t="s">
        <v>6416</v>
      </c>
      <c r="M2028" s="2" t="str">
        <f>IFERROR(__xludf.DUMMYFUNCTION("split(split(K2028,""【"",false),""公式LINE"",false)"),"湯川(福山雅治)と薫(柴咲コウ)は栗林(渡辺いっけい)から、ある事件について相談を持ち掛けられる。半年前、食品加工会社を経営する菅原(塚地武雅)の愛人・冬美(桜井千寿)が、菅原の住むマンションの向かいの部屋で首をつって自殺した。この一件が原因で菅原は妻・静子(深田恭子)から離婚を言い渡され、多額の慰謝料を請求されている。しかし、事件には不思議な点があった。菅原は冬美が自殺する一週間前に、同じ部屋で女性が首をつるのを見たというのだ。その女性は誰だか分からなかったが、菅原は一緒にいた友人にもその話をしている。"&amp;"栗林は、菅原が冬美の自殺を予知していたと主張する。")</f>
        <v>湯川(福山雅治)と薫(柴咲コウ)は栗林(渡辺いっけい)から、ある事件について相談を持ち掛けられる。半年前、食品加工会社を経営する菅原(塚地武雅)の愛人・冬美(桜井千寿)が、菅原の住むマンションの向かいの部屋で首をつって自殺した。この一件が原因で菅原は妻・静子(深田恭子)から離婚を言い渡され、多額の慰謝料を請求されている。しかし、事件には不思議な点があった。菅原は冬美が自殺する一週間前に、同じ部屋で女性が首をつるのを見たというのだ。その女性は誰だか分からなかったが、菅原は一緒にいた友人にもその話をしている。栗林は、菅原が冬美の自殺を予知していたと主張する。</v>
      </c>
      <c r="N2028" s="2"/>
      <c r="O2028" s="2"/>
      <c r="P2028" s="1"/>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row>
    <row r="2029" ht="204.75" customHeight="1">
      <c r="A2029" s="1">
        <v>6027.0</v>
      </c>
      <c r="B2029" s="2" t="s">
        <v>6402</v>
      </c>
      <c r="C2029" s="2">
        <f>IFERROR(__xludf.DUMMYFUNCTION("split(B2029,""_"")"),710.0)</f>
        <v>710</v>
      </c>
      <c r="D2029" s="2" t="str">
        <f>IFERROR(__xludf.DUMMYFUNCTION("""COMPUTED_VALUE"""),"CX")</f>
        <v>CX</v>
      </c>
      <c r="E2029" s="2" t="str">
        <f>IFERROR(__xludf.DUMMYFUNCTION("""COMPUTED_VALUE"""),"月21")</f>
        <v>月21</v>
      </c>
      <c r="F2029" s="2" t="s">
        <v>3227</v>
      </c>
      <c r="G2029" s="2" t="s">
        <v>6417</v>
      </c>
      <c r="H2029" s="1">
        <v>8.0</v>
      </c>
      <c r="J2029" s="1" t="s">
        <v>11</v>
      </c>
      <c r="K2029" s="2" t="s">
        <v>6418</v>
      </c>
      <c r="L2029" s="11" t="s">
        <v>6418</v>
      </c>
      <c r="M2029" s="2" t="str">
        <f>IFERROR(__xludf.DUMMYFUNCTION("split(split(K2029,""【"",false),""公式LINE"",false)"),"料理教室を経営する女性が刺殺された。犯人と思われる男も、逃亡途中に窓から落ちて転落死していた。両者に接点はなかったが、被害者が一カ月ほど前から警察にストーカー被害を訴えていたことで、事件はストーカー殺人とみられている。薫(柴咲コウ)は湯川(福山雅治)に、事件のことではなく、被害者の妹・千晶(釈由美子)の奇妙な証言について相談する。千晶は姉がストーカー被害に悩んでいることを知っていて、事件当日も姉の部屋で帰りを待っていた。その時彼女は、窓の外から姉が室内をのぞいている姿を目撃したという。しかし、その時間には"&amp;"遠く離れた現場で姉の死が確認されている。薫から事件の詳細を聞いた湯川は、この事件に強い興味を示す。")</f>
        <v>料理教室を経営する女性が刺殺された。犯人と思われる男も、逃亡途中に窓から落ちて転落死していた。両者に接点はなかったが、被害者が一カ月ほど前から警察にストーカー被害を訴えていたことで、事件はストーカー殺人とみられている。薫(柴咲コウ)は湯川(福山雅治)に、事件のことではなく、被害者の妹・千晶(釈由美子)の奇妙な証言について相談する。千晶は姉がストーカー被害に悩んでいることを知っていて、事件当日も姉の部屋で帰りを待っていた。その時彼女は、窓の外から姉が室内をのぞいている姿を目撃したという。しかし、その時間には遠く離れた現場で姉の死が確認されている。薫から事件の詳細を聞いた湯川は、この事件に強い興味を示す。</v>
      </c>
      <c r="N2029" s="2"/>
      <c r="O2029" s="2"/>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row>
    <row r="2030" ht="204.75" customHeight="1">
      <c r="A2030" s="1">
        <v>6028.0</v>
      </c>
      <c r="B2030" s="2" t="s">
        <v>6402</v>
      </c>
      <c r="C2030" s="2">
        <f>IFERROR(__xludf.DUMMYFUNCTION("split(B2030,""_"")"),710.0)</f>
        <v>710</v>
      </c>
      <c r="D2030" s="2" t="str">
        <f>IFERROR(__xludf.DUMMYFUNCTION("""COMPUTED_VALUE"""),"CX")</f>
        <v>CX</v>
      </c>
      <c r="E2030" s="2" t="str">
        <f>IFERROR(__xludf.DUMMYFUNCTION("""COMPUTED_VALUE"""),"月21")</f>
        <v>月21</v>
      </c>
      <c r="F2030" s="2" t="s">
        <v>3227</v>
      </c>
      <c r="G2030" s="2" t="s">
        <v>6419</v>
      </c>
      <c r="H2030" s="1">
        <v>9.0</v>
      </c>
      <c r="J2030" s="1" t="s">
        <v>11</v>
      </c>
      <c r="K2030" s="2" t="s">
        <v>6420</v>
      </c>
      <c r="L2030" s="11" t="s">
        <v>6420</v>
      </c>
      <c r="M2030" s="2" t="str">
        <f>IFERROR(__xludf.DUMMYFUNCTION("split(split(K2030,""【"",false),""公式LINE"",false)"),"管内の中学校を訪れた薫(柴咲コウ)と弓削(品川祐)は、生徒が展示した石こうの仮面を見つける。それを見た伸江(泉晶子)という女性が、その仮面の顔は自分の息子に間違いないと言い始めた。仮面を制作した生徒は、公園の池で拾った金属製の仮面を型にして作ったという。公園を調査した薫たちは、池の底で男性の遺体を発見。遺体は帝都大学原子力工学科の卒業生で、医療機器メーカーに勤務する伸江の息子・藤川(坂本真)だった。薫から事件の相談を受けた湯川(福山雅治)も、公園にやって来る。すると、監察医の桜子(真矢みき)から連絡が入り"&amp;"、藤川が放射線に被ばくしていたことが判明。一方、薫は藤川の勤める会社を設立したのが、帝都大学原子力工学科の元教授・木島(久米宏)だと知る。")</f>
        <v>管内の中学校を訪れた薫(柴咲コウ)と弓削(品川祐)は、生徒が展示した石こうの仮面を見つける。それを見た伸江(泉晶子)という女性が、その仮面の顔は自分の息子に間違いないと言い始めた。仮面を制作した生徒は、公園の池で拾った金属製の仮面を型にして作ったという。公園を調査した薫たちは、池の底で男性の遺体を発見。遺体は帝都大学原子力工学科の卒業生で、医療機器メーカーに勤務する伸江の息子・藤川(坂本真)だった。薫から事件の相談を受けた湯川(福山雅治)も、公園にやって来る。すると、監察医の桜子(真矢みき)から連絡が入り、藤川が放射線に被ばくしていたことが判明。一方、薫は藤川の勤める会社を設立したのが、帝都大学原子力工学科の元教授・木島(久米宏)だと知る。</v>
      </c>
      <c r="N2030" s="2"/>
      <c r="O2030" s="2"/>
      <c r="P2030" s="1"/>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1"/>
      <c r="AY2030" s="1"/>
      <c r="AZ2030" s="1"/>
      <c r="BA2030" s="1"/>
      <c r="BB2030" s="1"/>
    </row>
    <row r="2031" ht="204.75" customHeight="1">
      <c r="A2031" s="1">
        <v>6029.0</v>
      </c>
      <c r="B2031" s="2" t="s">
        <v>6402</v>
      </c>
      <c r="C2031" s="2">
        <f>IFERROR(__xludf.DUMMYFUNCTION("split(B2031,""_"")"),710.0)</f>
        <v>710</v>
      </c>
      <c r="D2031" s="2" t="str">
        <f>IFERROR(__xludf.DUMMYFUNCTION("""COMPUTED_VALUE"""),"CX")</f>
        <v>CX</v>
      </c>
      <c r="E2031" s="2" t="str">
        <f>IFERROR(__xludf.DUMMYFUNCTION("""COMPUTED_VALUE"""),"月21")</f>
        <v>月21</v>
      </c>
      <c r="F2031" s="2" t="s">
        <v>3227</v>
      </c>
      <c r="G2031" s="2" t="s">
        <v>6421</v>
      </c>
      <c r="H2031" s="1">
        <v>10.0</v>
      </c>
      <c r="J2031" s="1" t="s">
        <v>4</v>
      </c>
      <c r="K2031" s="2" t="s">
        <v>6422</v>
      </c>
      <c r="L2031" s="11" t="s">
        <v>6422</v>
      </c>
      <c r="M2031" s="2" t="str">
        <f>IFERROR(__xludf.DUMMYFUNCTION("split(split(K2031,""【"",false),""公式LINE"",false)"),"湯川(福山雅治)は、自然公園で発見された射殺体と、湖で起こった爆死事件の被害者がかつての恩師・木島(久米宏)の会社の社員だと知り、彼に会いに行く。同じころ、湯川の研究室を訪れた薫(柴咲コウ)は、栗林(渡辺いっけい)から湯川と木島の因縁を明かされる。その話にショックを受けた薫は湯川からの電話に出ないで、弓削(品川祐)とともに木島の会社を洗い直す。その夜、湯川は薫の元を訪れ、電話に出ない理由を聞く。迷惑を掛けたと謝る薫に、湯川は事件の謎を自分の手で解明すると宣言。しかし翌日、木島の秘書・京子(本上まなみ)が、"&amp;"二つの事件は自分の犯行だという遺書を残して自殺する。")</f>
        <v>湯川(福山雅治)は、自然公園で発見された射殺体と、湖で起こった爆死事件の被害者がかつての恩師・木島(久米宏)の会社の社員だと知り、彼に会いに行く。同じころ、湯川の研究室を訪れた薫(柴咲コウ)は、栗林(渡辺いっけい)から湯川と木島の因縁を明かされる。その話にショックを受けた薫は湯川からの電話に出ないで、弓削(品川祐)とともに木島の会社を洗い直す。その夜、湯川は薫の元を訪れ、電話に出ない理由を聞く。迷惑を掛けたと謝る薫に、湯川は事件の謎を自分の手で解明すると宣言。しかし翌日、木島の秘書・京子(本上まなみ)が、二つの事件は自分の犯行だという遺書を残して自殺する。</v>
      </c>
      <c r="N2031" s="2"/>
      <c r="O2031" s="2"/>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1"/>
      <c r="AY2031" s="1"/>
      <c r="AZ2031" s="1"/>
      <c r="BA2031" s="1"/>
      <c r="BB2031" s="1"/>
    </row>
    <row r="2032" ht="204.75" customHeight="1">
      <c r="A2032" s="1">
        <v>6030.0</v>
      </c>
      <c r="B2032" s="2" t="s">
        <v>6423</v>
      </c>
      <c r="C2032" s="2">
        <f>IFERROR(__xludf.DUMMYFUNCTION("split(B2032,""_"")"),710.0)</f>
        <v>710</v>
      </c>
      <c r="D2032" s="2" t="str">
        <f>IFERROR(__xludf.DUMMYFUNCTION("""COMPUTED_VALUE"""),"CX")</f>
        <v>CX</v>
      </c>
      <c r="E2032" s="2" t="str">
        <f>IFERROR(__xludf.DUMMYFUNCTION("""COMPUTED_VALUE"""),"火21")</f>
        <v>火21</v>
      </c>
      <c r="F2032" s="2" t="s">
        <v>6424</v>
      </c>
      <c r="G2032" s="2" t="s">
        <v>6425</v>
      </c>
      <c r="H2032" s="1">
        <v>1.0</v>
      </c>
      <c r="J2032" s="1" t="s">
        <v>4</v>
      </c>
      <c r="K2032" s="2" t="s">
        <v>6426</v>
      </c>
      <c r="L2032" s="11" t="s">
        <v>6426</v>
      </c>
      <c r="M2032" s="2" t="str">
        <f>IFERROR(__xludf.DUMMYFUNCTION("split(split(K2032,""【"",false),""公式LINE"",false)"),"家族や子育てという不変なテーマを、現代ならではの話題と視点でコミカルに描くホームコメディー。脚本・大石静、演出・佐藤祐市。　あゆ(上戸彩)は、十二歳年上で美容師の哲(大泉洋)と結婚したばかり。哲が営む美容院が開店を迎えた日、店に佑樹(渋谷武尊)という男の子が現れる。哲はその男の子が自分の息子だと説明するが、哲に子供がいるとは知らなかったあゆは激怒する。哲に自分が面倒を見ると説得され、あゆは佑樹と同居することに同意する。しかし、佑樹はあゆに心を開こうとしない。困惑する哲は中学時代の同級生・北条(東幹久)に相"&amp;"談し、彼の妻・翠子(ともさかりえ)が父母会の会長を務める幼稚園に佑樹を入園させてもらうことに。")</f>
        <v>家族や子育てという不変なテーマを、現代ならではの話題と視点でコミカルに描くホームコメディー。脚本・大石静、演出・佐藤祐市。　あゆ(上戸彩)は、十二歳年上で美容師の哲(大泉洋)と結婚したばかり。哲が営む美容院が開店を迎えた日、店に佑樹(渋谷武尊)という男の子が現れる。哲はその男の子が自分の息子だと説明するが、哲に子供がいるとは知らなかったあゆは激怒する。哲に自分が面倒を見ると説得され、あゆは佑樹と同居することに同意する。しかし、佑樹はあゆに心を開こうとしない。困惑する哲は中学時代の同級生・北条(東幹久)に相談し、彼の妻・翠子(ともさかりえ)が父母会の会長を務める幼稚園に佑樹を入園させてもらうことに。</v>
      </c>
      <c r="N2032" s="2"/>
      <c r="O2032" s="2"/>
      <c r="P2032" s="1"/>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row>
    <row r="2033" ht="204.75" customHeight="1">
      <c r="A2033" s="1">
        <v>6031.0</v>
      </c>
      <c r="B2033" s="2" t="s">
        <v>6423</v>
      </c>
      <c r="C2033" s="2">
        <f>IFERROR(__xludf.DUMMYFUNCTION("split(B2033,""_"")"),710.0)</f>
        <v>710</v>
      </c>
      <c r="D2033" s="2" t="str">
        <f>IFERROR(__xludf.DUMMYFUNCTION("""COMPUTED_VALUE"""),"CX")</f>
        <v>CX</v>
      </c>
      <c r="E2033" s="2" t="str">
        <f>IFERROR(__xludf.DUMMYFUNCTION("""COMPUTED_VALUE"""),"火21")</f>
        <v>火21</v>
      </c>
      <c r="F2033" s="2" t="s">
        <v>6424</v>
      </c>
      <c r="G2033" s="2" t="s">
        <v>6427</v>
      </c>
      <c r="H2033" s="1">
        <v>2.0</v>
      </c>
      <c r="J2033" s="1" t="s">
        <v>11</v>
      </c>
      <c r="K2033" s="2" t="s">
        <v>6428</v>
      </c>
      <c r="L2033" s="11" t="s">
        <v>6428</v>
      </c>
      <c r="M2033" s="2" t="str">
        <f>IFERROR(__xludf.DUMMYFUNCTION("split(split(K2033,""【"",false),""公式LINE"",false)"),"あゆ(上戸彩)は、佑樹(渋谷武尊)を連れて幼稚園にやって来るが、翠子(ともさかりえ)ら園児の母親たちから無視されてしまう。その日は、間近に迫った運動会の説明が行われ、あゆは園長の高沢(岡江久美子)から親子三人四脚に両親で参加するようにくぎを刺される。さらに、運動会で規則を守らない親を注意する”家族席係”を押し付けられる。家に戻ったあゆは、哲(大泉洋)に運動会の日に客の予約を入れないように頼む。しかし、哲は運動会の前日に客からの予約を受けてしまい、あゆと口論に。あゆは怒り、母親を放棄すると宣言する。")</f>
        <v>あゆ(上戸彩)は、佑樹(渋谷武尊)を連れて幼稚園にやって来るが、翠子(ともさかりえ)ら園児の母親たちから無視されてしまう。その日は、間近に迫った運動会の説明が行われ、あゆは園長の高沢(岡江久美子)から親子三人四脚に両親で参加するようにくぎを刺される。さらに、運動会で規則を守らない親を注意する”家族席係”を押し付けられる。家に戻ったあゆは、哲(大泉洋)に運動会の日に客の予約を入れないように頼む。しかし、哲は運動会の前日に客からの予約を受けてしまい、あゆと口論に。あゆは怒り、母親を放棄すると宣言する。</v>
      </c>
      <c r="N2033" s="2"/>
      <c r="O2033" s="2"/>
      <c r="P2033" s="1"/>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c r="AY2033" s="1"/>
      <c r="AZ2033" s="1"/>
      <c r="BA2033" s="1"/>
      <c r="BB2033" s="1"/>
    </row>
    <row r="2034" ht="204.75" customHeight="1">
      <c r="A2034" s="1">
        <v>6032.0</v>
      </c>
      <c r="B2034" s="2" t="s">
        <v>6423</v>
      </c>
      <c r="C2034" s="2">
        <f>IFERROR(__xludf.DUMMYFUNCTION("split(B2034,""_"")"),710.0)</f>
        <v>710</v>
      </c>
      <c r="D2034" s="2" t="str">
        <f>IFERROR(__xludf.DUMMYFUNCTION("""COMPUTED_VALUE"""),"CX")</f>
        <v>CX</v>
      </c>
      <c r="E2034" s="2" t="str">
        <f>IFERROR(__xludf.DUMMYFUNCTION("""COMPUTED_VALUE"""),"火21")</f>
        <v>火21</v>
      </c>
      <c r="F2034" s="2" t="s">
        <v>6424</v>
      </c>
      <c r="G2034" s="2" t="s">
        <v>6429</v>
      </c>
      <c r="H2034" s="1">
        <v>3.0</v>
      </c>
      <c r="J2034" s="1" t="s">
        <v>11</v>
      </c>
      <c r="K2034" s="2" t="s">
        <v>6430</v>
      </c>
      <c r="L2034" s="11" t="s">
        <v>6430</v>
      </c>
      <c r="M2034" s="2" t="str">
        <f>IFERROR(__xludf.DUMMYFUNCTION("split(split(K2034,""【"",false),""公式LINE"",false)"),"あゆ(上戸彩)の父・吾郎(大和田伸也)が突然、家にやって来る。吾郎はあゆが帰るまで帰らないと言って川野家に居座ることに。心を開きかけていた佑樹(渋谷武尊)も、再び心を閉ざしてしまう。そんなある朝、吾郎がトイレを占拠していたせいで、佑樹はトイレを我慢したまま登園する羽目に。佑樹はトイレに間に合わず、幼稚園で漏らしてしまう。さらに、幼稚園からあゆに、佑樹が翠子(ともさかりえ)の息子・蓮(谷端奏人)を傷つけたという連絡が入る。")</f>
        <v>あゆ(上戸彩)の父・吾郎(大和田伸也)が突然、家にやって来る。吾郎はあゆが帰るまで帰らないと言って川野家に居座ることに。心を開きかけていた佑樹(渋谷武尊)も、再び心を閉ざしてしまう。そんなある朝、吾郎がトイレを占拠していたせいで、佑樹はトイレを我慢したまま登園する羽目に。佑樹はトイレに間に合わず、幼稚園で漏らしてしまう。さらに、幼稚園からあゆに、佑樹が翠子(ともさかりえ)の息子・蓮(谷端奏人)を傷つけたという連絡が入る。</v>
      </c>
      <c r="N2034" s="2"/>
      <c r="O2034" s="2"/>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1"/>
      <c r="AY2034" s="1"/>
      <c r="AZ2034" s="1"/>
      <c r="BA2034" s="1"/>
      <c r="BB2034" s="1"/>
    </row>
    <row r="2035" ht="204.75" customHeight="1">
      <c r="A2035" s="1">
        <v>6033.0</v>
      </c>
      <c r="B2035" s="2" t="s">
        <v>6423</v>
      </c>
      <c r="C2035" s="2">
        <f>IFERROR(__xludf.DUMMYFUNCTION("split(B2035,""_"")"),710.0)</f>
        <v>710</v>
      </c>
      <c r="D2035" s="2" t="str">
        <f>IFERROR(__xludf.DUMMYFUNCTION("""COMPUTED_VALUE"""),"CX")</f>
        <v>CX</v>
      </c>
      <c r="E2035" s="2" t="str">
        <f>IFERROR(__xludf.DUMMYFUNCTION("""COMPUTED_VALUE"""),"火21")</f>
        <v>火21</v>
      </c>
      <c r="F2035" s="2" t="s">
        <v>6424</v>
      </c>
      <c r="G2035" s="2" t="s">
        <v>6431</v>
      </c>
      <c r="H2035" s="1">
        <v>4.0</v>
      </c>
      <c r="J2035" s="1" t="s">
        <v>11</v>
      </c>
      <c r="K2035" s="2" t="s">
        <v>6432</v>
      </c>
      <c r="L2035" s="11" t="s">
        <v>6432</v>
      </c>
      <c r="M2035" s="2" t="str">
        <f>IFERROR(__xludf.DUMMYFUNCTION("split(split(K2035,""【"",false),""公式LINE"",false)"),"あゆ(上戸彩)と哲(大泉洋)は、経営している美容室が暇なことを嘆いていた。そんな折、八重(山口紗弥加)がファッション誌の”ママ特集”に載り、幼稚園でほかの母親たちから羨望(せんぼう)の的に。そこで、あゆは自分を次号の特集に推薦してもらい、店を繁盛させようと八重に必死にアプローチする。面白くない翠子(ともさかりえ)や倫子(片瀬那奈)たちは、調子に乗っている八重の秘密を探る。")</f>
        <v>あゆ(上戸彩)と哲(大泉洋)は、経営している美容室が暇なことを嘆いていた。そんな折、八重(山口紗弥加)がファッション誌の”ママ特集”に載り、幼稚園でほかの母親たちから羨望(せんぼう)の的に。そこで、あゆは自分を次号の特集に推薦してもらい、店を繁盛させようと八重に必死にアプローチする。面白くない翠子(ともさかりえ)や倫子(片瀬那奈)たちは、調子に乗っている八重の秘密を探る。</v>
      </c>
      <c r="N2035" s="2"/>
      <c r="O2035" s="2"/>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1"/>
      <c r="AY2035" s="1"/>
      <c r="AZ2035" s="1"/>
      <c r="BA2035" s="1"/>
      <c r="BB2035" s="1"/>
    </row>
    <row r="2036" ht="204.75" customHeight="1">
      <c r="A2036" s="1">
        <v>6034.0</v>
      </c>
      <c r="B2036" s="2" t="s">
        <v>6423</v>
      </c>
      <c r="C2036" s="2">
        <f>IFERROR(__xludf.DUMMYFUNCTION("split(B2036,""_"")"),710.0)</f>
        <v>710</v>
      </c>
      <c r="D2036" s="2" t="str">
        <f>IFERROR(__xludf.DUMMYFUNCTION("""COMPUTED_VALUE"""),"CX")</f>
        <v>CX</v>
      </c>
      <c r="E2036" s="2" t="str">
        <f>IFERROR(__xludf.DUMMYFUNCTION("""COMPUTED_VALUE"""),"火21")</f>
        <v>火21</v>
      </c>
      <c r="F2036" s="2" t="s">
        <v>6424</v>
      </c>
      <c r="G2036" s="2" t="s">
        <v>6433</v>
      </c>
      <c r="H2036" s="1">
        <v>5.0</v>
      </c>
      <c r="J2036" s="1" t="s">
        <v>11</v>
      </c>
      <c r="K2036" s="2" t="s">
        <v>6434</v>
      </c>
      <c r="L2036" s="11" t="s">
        <v>6434</v>
      </c>
      <c r="M2036" s="2" t="str">
        <f>IFERROR(__xludf.DUMMYFUNCTION("split(split(K2036,""【"",false),""公式LINE"",false)"),"あゆ(上戸彩)と哲(大泉洋)の前に突然、哲の前妻・景子(紺野まひる)が現れる。連絡もせずに訪ねて来た景子に哲は不快感をあらわにするが、佑樹(渋谷武尊)を捨てたはずの彼女には悪びれる様子がない。そんな折、あゆは幼稚園に佑樹を迎えに行くが、姿が見えない。慌てて捜し回ったあゆは、景子と一緒にいる佑樹を発見。無事だったことに安心しつつも、あゆは景子の行動に戸惑う。さらに、佑樹が自分には見せない顔を景子に見せていることでショックを受ける。景子の存在があゆを不安にしていると察した哲は、景子に二度と家へ来ないでほしいと"&amp;"告げる。")</f>
        <v>あゆ(上戸彩)と哲(大泉洋)の前に突然、哲の前妻・景子(紺野まひる)が現れる。連絡もせずに訪ねて来た景子に哲は不快感をあらわにするが、佑樹(渋谷武尊)を捨てたはずの彼女には悪びれる様子がない。そんな折、あゆは幼稚園に佑樹を迎えに行くが、姿が見えない。慌てて捜し回ったあゆは、景子と一緒にいる佑樹を発見。無事だったことに安心しつつも、あゆは景子の行動に戸惑う。さらに、佑樹が自分には見せない顔を景子に見せていることでショックを受ける。景子の存在があゆを不安にしていると察した哲は、景子に二度と家へ来ないでほしいと告げる。</v>
      </c>
      <c r="N2036" s="2"/>
      <c r="O2036" s="2"/>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c r="AY2036" s="1"/>
      <c r="AZ2036" s="1"/>
      <c r="BA2036" s="1"/>
      <c r="BB2036" s="1"/>
    </row>
    <row r="2037" ht="204.75" customHeight="1">
      <c r="A2037" s="1">
        <v>6035.0</v>
      </c>
      <c r="B2037" s="2" t="s">
        <v>6423</v>
      </c>
      <c r="C2037" s="2">
        <f>IFERROR(__xludf.DUMMYFUNCTION("split(B2037,""_"")"),710.0)</f>
        <v>710</v>
      </c>
      <c r="D2037" s="2" t="str">
        <f>IFERROR(__xludf.DUMMYFUNCTION("""COMPUTED_VALUE"""),"CX")</f>
        <v>CX</v>
      </c>
      <c r="E2037" s="2" t="str">
        <f>IFERROR(__xludf.DUMMYFUNCTION("""COMPUTED_VALUE"""),"火21")</f>
        <v>火21</v>
      </c>
      <c r="F2037" s="2" t="s">
        <v>6424</v>
      </c>
      <c r="G2037" s="2" t="s">
        <v>6435</v>
      </c>
      <c r="H2037" s="1">
        <v>6.0</v>
      </c>
      <c r="J2037" s="1" t="s">
        <v>11</v>
      </c>
      <c r="K2037" s="2" t="s">
        <v>6436</v>
      </c>
      <c r="L2037" s="11" t="s">
        <v>6436</v>
      </c>
      <c r="M2037" s="2" t="str">
        <f>IFERROR(__xludf.DUMMYFUNCTION("split(split(K2037,""【"",false),""公式LINE"",false)"),"あゆ(上戸彩)と哲(大泉洋)は、佑樹(渋谷武尊)が幼稚園をやめないことを翠子(ともさかりえ)らに報告するが、大反発される。そんな中、幼稚園で開かれる”お遊戯会”の説明会が行われる。そこで園長から、当日に有名私立小学校の校長がやって来ると伝えられた。自分の子供をアピールしたい母親たちは、上演する劇で少しでもいい役をもらおうと火花を散らす。あゆは忘れ物を取りに来た教室で、先生たちが配役を決めているところを見てしまう。佑樹が王子役だと知って喜ぶあゆと哲だったが、佑樹には秘めた思いがあった。")</f>
        <v>あゆ(上戸彩)と哲(大泉洋)は、佑樹(渋谷武尊)が幼稚園をやめないことを翠子(ともさかりえ)らに報告するが、大反発される。そんな中、幼稚園で開かれる”お遊戯会”の説明会が行われる。そこで園長から、当日に有名私立小学校の校長がやって来ると伝えられた。自分の子供をアピールしたい母親たちは、上演する劇で少しでもいい役をもらおうと火花を散らす。あゆは忘れ物を取りに来た教室で、先生たちが配役を決めているところを見てしまう。佑樹が王子役だと知って喜ぶあゆと哲だったが、佑樹には秘めた思いがあった。</v>
      </c>
      <c r="N2037" s="2"/>
      <c r="O2037" s="2"/>
      <c r="P2037" s="1"/>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c r="AY2037" s="1"/>
      <c r="AZ2037" s="1"/>
      <c r="BA2037" s="1"/>
      <c r="BB2037" s="1"/>
    </row>
    <row r="2038" ht="204.75" customHeight="1">
      <c r="A2038" s="1">
        <v>6036.0</v>
      </c>
      <c r="B2038" s="2" t="s">
        <v>6423</v>
      </c>
      <c r="C2038" s="2">
        <f>IFERROR(__xludf.DUMMYFUNCTION("split(B2038,""_"")"),710.0)</f>
        <v>710</v>
      </c>
      <c r="D2038" s="2" t="str">
        <f>IFERROR(__xludf.DUMMYFUNCTION("""COMPUTED_VALUE"""),"CX")</f>
        <v>CX</v>
      </c>
      <c r="E2038" s="2" t="str">
        <f>IFERROR(__xludf.DUMMYFUNCTION("""COMPUTED_VALUE"""),"火21")</f>
        <v>火21</v>
      </c>
      <c r="F2038" s="2" t="s">
        <v>6424</v>
      </c>
      <c r="G2038" s="2" t="s">
        <v>6437</v>
      </c>
      <c r="H2038" s="1">
        <v>7.0</v>
      </c>
      <c r="J2038" s="1" t="s">
        <v>11</v>
      </c>
      <c r="K2038" s="2" t="s">
        <v>6438</v>
      </c>
      <c r="L2038" s="11" t="s">
        <v>6438</v>
      </c>
      <c r="M2038" s="2" t="str">
        <f>IFERROR(__xludf.DUMMYFUNCTION("split(split(K2038,""【"",false),""公式LINE"",false)"),"佑樹(渋谷武尊)が突然、私立小学校を受験すると言いだす。あゆ(上戸彩)は佑樹の気持ちを尊重したいと賛成するが、哲(大泉洋)は金銭的な理由もあってあきらめさせるべきだと主張。そんな折、翠子(ともさかりえ)の提案で、あゆは佑樹を連れて有名進学塾の授業を見学することに。張り詰めた空気が流れる教室では、子供たちが真剣に難しい問題を解いている。そんな中、佑樹が問題を答えることに。誰もができないと思っていたが、佑樹はすらすらと答え始める。")</f>
        <v>佑樹(渋谷武尊)が突然、私立小学校を受験すると言いだす。あゆ(上戸彩)は佑樹の気持ちを尊重したいと賛成するが、哲(大泉洋)は金銭的な理由もあってあきらめさせるべきだと主張。そんな折、翠子(ともさかりえ)の提案で、あゆは佑樹を連れて有名進学塾の授業を見学することに。張り詰めた空気が流れる教室では、子供たちが真剣に難しい問題を解いている。そんな中、佑樹が問題を答えることに。誰もができないと思っていたが、佑樹はすらすらと答え始める。</v>
      </c>
      <c r="N2038" s="2"/>
      <c r="O2038" s="2"/>
      <c r="P2038" s="1"/>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1"/>
      <c r="AY2038" s="1"/>
      <c r="AZ2038" s="1"/>
      <c r="BA2038" s="1"/>
      <c r="BB2038" s="1"/>
    </row>
    <row r="2039" ht="204.75" customHeight="1">
      <c r="A2039" s="1">
        <v>6037.0</v>
      </c>
      <c r="B2039" s="2" t="s">
        <v>6423</v>
      </c>
      <c r="C2039" s="2">
        <f>IFERROR(__xludf.DUMMYFUNCTION("split(B2039,""_"")"),710.0)</f>
        <v>710</v>
      </c>
      <c r="D2039" s="2" t="str">
        <f>IFERROR(__xludf.DUMMYFUNCTION("""COMPUTED_VALUE"""),"CX")</f>
        <v>CX</v>
      </c>
      <c r="E2039" s="2" t="str">
        <f>IFERROR(__xludf.DUMMYFUNCTION("""COMPUTED_VALUE"""),"火21")</f>
        <v>火21</v>
      </c>
      <c r="F2039" s="2" t="s">
        <v>6424</v>
      </c>
      <c r="G2039" s="2" t="s">
        <v>6439</v>
      </c>
      <c r="H2039" s="1">
        <v>8.0</v>
      </c>
      <c r="J2039" s="1" t="s">
        <v>11</v>
      </c>
      <c r="K2039" s="2" t="s">
        <v>6440</v>
      </c>
      <c r="L2039" s="11" t="s">
        <v>6440</v>
      </c>
      <c r="M2039" s="2" t="str">
        <f>IFERROR(__xludf.DUMMYFUNCTION("split(split(K2039,""【"",false),""公式LINE"",false)"),"試験当日、佑樹(渋谷武尊)の受験をやめたあゆ(上戸彩)と哲(大泉洋)は、いつものように美容室で働いていた。そこへ、受験帰りの一(東幹久)がやって来て、二人に受験に来なかった理由を問い詰める。哲は受験するのをやめたと説明するが、息子同士を同じ学校に行かせたい一は納得がいかない。後日、一は再び哲に受験を勧める。往生際の悪い一にいら立つ哲は「おまえが嫌いなんだ」と気持ちをぶちまけてしまう。一は突然の告白に驚き、店を飛び出していく。")</f>
        <v>試験当日、佑樹(渋谷武尊)の受験をやめたあゆ(上戸彩)と哲(大泉洋)は、いつものように美容室で働いていた。そこへ、受験帰りの一(東幹久)がやって来て、二人に受験に来なかった理由を問い詰める。哲は受験するのをやめたと説明するが、息子同士を同じ学校に行かせたい一は納得がいかない。後日、一は再び哲に受験を勧める。往生際の悪い一にいら立つ哲は「おまえが嫌いなんだ」と気持ちをぶちまけてしまう。一は突然の告白に驚き、店を飛び出していく。</v>
      </c>
      <c r="N2039" s="2"/>
      <c r="O2039" s="2"/>
      <c r="P2039" s="1"/>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1"/>
      <c r="AY2039" s="1"/>
      <c r="AZ2039" s="1"/>
      <c r="BA2039" s="1"/>
      <c r="BB2039" s="1"/>
    </row>
    <row r="2040" ht="204.75" customHeight="1">
      <c r="A2040" s="1">
        <v>6038.0</v>
      </c>
      <c r="B2040" s="2" t="s">
        <v>6423</v>
      </c>
      <c r="C2040" s="2">
        <f>IFERROR(__xludf.DUMMYFUNCTION("split(B2040,""_"")"),710.0)</f>
        <v>710</v>
      </c>
      <c r="D2040" s="2" t="str">
        <f>IFERROR(__xludf.DUMMYFUNCTION("""COMPUTED_VALUE"""),"CX")</f>
        <v>CX</v>
      </c>
      <c r="E2040" s="2" t="str">
        <f>IFERROR(__xludf.DUMMYFUNCTION("""COMPUTED_VALUE"""),"火21")</f>
        <v>火21</v>
      </c>
      <c r="F2040" s="2" t="s">
        <v>6424</v>
      </c>
      <c r="G2040" s="2" t="s">
        <v>6441</v>
      </c>
      <c r="H2040" s="1">
        <v>9.0</v>
      </c>
      <c r="J2040" s="1" t="s">
        <v>11</v>
      </c>
      <c r="K2040" s="2" t="s">
        <v>6442</v>
      </c>
      <c r="L2040" s="11" t="s">
        <v>6442</v>
      </c>
      <c r="M2040" s="2" t="str">
        <f>IFERROR(__xludf.DUMMYFUNCTION("split(split(K2040,""【"",false),""公式LINE"",false)"),"クリスマスが近づき、あゆ(上戸彩)と哲(大泉洋)は佑樹(渋谷武尊)の欲しい物を聞き出そうとする。だが、佑樹はサンタクロースにだけ伝えると言い張り、決して明かそうとしない。そんな中、哲が大けがをしてしまい、あゆが仕事に出ることに。代わりに佑樹を送り迎えする哲は、母親たちの変化に驚く。受験に合格した子供の母親と、落ちた母親の力関係が逆転していたのだ。そんな中、幼稚園でクリスマス会が開かれる。")</f>
        <v>クリスマスが近づき、あゆ(上戸彩)と哲(大泉洋)は佑樹(渋谷武尊)の欲しい物を聞き出そうとする。だが、佑樹はサンタクロースにだけ伝えると言い張り、決して明かそうとしない。そんな中、哲が大けがをしてしまい、あゆが仕事に出ることに。代わりに佑樹を送り迎えする哲は、母親たちの変化に驚く。受験に合格した子供の母親と、落ちた母親の力関係が逆転していたのだ。そんな中、幼稚園でクリスマス会が開かれる。</v>
      </c>
      <c r="N2040" s="2"/>
      <c r="O2040" s="2"/>
      <c r="P2040" s="1"/>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1"/>
      <c r="AY2040" s="1"/>
      <c r="AZ2040" s="1"/>
      <c r="BA2040" s="1"/>
      <c r="BB2040" s="1"/>
    </row>
    <row r="2041" ht="204.75" customHeight="1">
      <c r="A2041" s="1">
        <v>6039.0</v>
      </c>
      <c r="B2041" s="2" t="s">
        <v>6423</v>
      </c>
      <c r="C2041" s="2">
        <f>IFERROR(__xludf.DUMMYFUNCTION("split(B2041,""_"")"),710.0)</f>
        <v>710</v>
      </c>
      <c r="D2041" s="2" t="str">
        <f>IFERROR(__xludf.DUMMYFUNCTION("""COMPUTED_VALUE"""),"CX")</f>
        <v>CX</v>
      </c>
      <c r="E2041" s="2" t="str">
        <f>IFERROR(__xludf.DUMMYFUNCTION("""COMPUTED_VALUE"""),"火21")</f>
        <v>火21</v>
      </c>
      <c r="F2041" s="2" t="s">
        <v>6424</v>
      </c>
      <c r="G2041" s="2" t="s">
        <v>6443</v>
      </c>
      <c r="H2041" s="1">
        <v>10.0</v>
      </c>
      <c r="J2041" s="1" t="s">
        <v>11</v>
      </c>
      <c r="K2041" s="2" t="s">
        <v>6444</v>
      </c>
      <c r="L2041" s="11" t="s">
        <v>6444</v>
      </c>
      <c r="M2041" s="2" t="str">
        <f>IFERROR(__xludf.DUMMYFUNCTION("split(split(K2041,""【"",false),""公式LINE"",false)"),"あゆ(上戸彩)たちは、事故を起こした飛行機に佑樹(渋谷武尊)の母と同姓同名の日本人が乗っていたことを知り、衝撃を受ける。そんな中、哲(大泉洋)の元に、その女性が入院しているという病院から連絡が入る。急いで病院へ向かったあゆたちが目にしたのは、ベッドに横たわる景子(紺野まひる)の姿だった。意識不明の景子を見て、佑樹はひどく動揺していた。景子が日本に来た目的に疑問を抱いた哲は、外国での景子の消息をたどる。外国で仕事をしていたことは分かったが、結婚しているという形跡がどうしても見つからない。あゆと哲は、景子が離"&amp;"婚して佑樹を取り戻しに来たのでは、と考え不安になる。")</f>
        <v>あゆ(上戸彩)たちは、事故を起こした飛行機に佑樹(渋谷武尊)の母と同姓同名の日本人が乗っていたことを知り、衝撃を受ける。そんな中、哲(大泉洋)の元に、その女性が入院しているという病院から連絡が入る。急いで病院へ向かったあゆたちが目にしたのは、ベッドに横たわる景子(紺野まひる)の姿だった。意識不明の景子を見て、佑樹はひどく動揺していた。景子が日本に来た目的に疑問を抱いた哲は、外国での景子の消息をたどる。外国で仕事をしていたことは分かったが、結婚しているという形跡がどうしても見つからない。あゆと哲は、景子が離婚して佑樹を取り戻しに来たのでは、と考え不安になる。</v>
      </c>
      <c r="N2041" s="2"/>
      <c r="O2041" s="2"/>
      <c r="P2041" s="1"/>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1"/>
      <c r="AY2041" s="1"/>
      <c r="AZ2041" s="1"/>
      <c r="BA2041" s="1"/>
      <c r="BB2041" s="1"/>
    </row>
    <row r="2042" ht="204.75" customHeight="1">
      <c r="A2042" s="1">
        <v>6040.0</v>
      </c>
      <c r="B2042" s="2" t="s">
        <v>6445</v>
      </c>
      <c r="C2042" s="2">
        <f>IFERROR(__xludf.DUMMYFUNCTION("split(B2042,""_"")"),710.0)</f>
        <v>710</v>
      </c>
      <c r="D2042" s="2" t="str">
        <f>IFERROR(__xludf.DUMMYFUNCTION("""COMPUTED_VALUE"""),"CX")</f>
        <v>CX</v>
      </c>
      <c r="E2042" s="2" t="str">
        <f>IFERROR(__xludf.DUMMYFUNCTION("""COMPUTED_VALUE"""),"火22")</f>
        <v>火22</v>
      </c>
      <c r="F2042" s="2" t="s">
        <v>6446</v>
      </c>
      <c r="G2042" s="2" t="s">
        <v>6447</v>
      </c>
      <c r="H2042" s="1">
        <v>1.0</v>
      </c>
      <c r="J2042" s="1" t="s">
        <v>82</v>
      </c>
      <c r="K2042" s="2" t="s">
        <v>6448</v>
      </c>
      <c r="L2042" s="2"/>
      <c r="M2042" s="2" t="str">
        <f>IFERROR(__xludf.DUMMYFUNCTION("split(split(K2042,""【"",false),""公式LINE"",false)"),"月々の小遣いを減らされたサラリーマンが、悪戦苦闘する姿を描くコメディー。脚本・山田俊昌、演出・河野圭太。　文具メーカーの課長代理・諏訪野大輔(上川隆也)は職場でもよき夫として知られているが、月額五万円の小遣いのやりくりに苦心していた。ある日、大輔は同じビルにあるカフェの店長代理・加茂(劇団ひとり)と食品会社の時田(梶原善)から、お見合いパーティーのさくらのアルバイトをしないかと誘われる。妻子がいるからと断った大輔だったが、妻の真澄(田中美佐子)から、娘の理英(美山加恋)を塾に通わせるために小遣いを三万円に"&amp;"減らすと告げられる。仕方なく加茂たちとお見合いパーティーに参加した大輔は、大学時代の恋人・志摩子(森口瑤子)と再会する。")</f>
        <v>月々の小遣いを減らされたサラリーマンが、悪戦苦闘する姿を描くコメディー。脚本・山田俊昌、演出・河野圭太。　文具メーカーの課長代理・諏訪野大輔(上川隆也)は職場でもよき夫として知られているが、月額五万円の小遣いのやりくりに苦心していた。ある日、大輔は同じビルにあるカフェの店長代理・加茂(劇団ひとり)と食品会社の時田(梶原善)から、お見合いパーティーのさくらのアルバイトをしないかと誘われる。妻子がいるからと断った大輔だったが、妻の真澄(田中美佐子)から、娘の理英(美山加恋)を塾に通わせるために小遣いを三万円に減らすと告げられる。仕方なく加茂たちとお見合いパーティーに参加した大輔は、大学時代の恋人・志摩子(森口瑤子)と再会する。</v>
      </c>
      <c r="N2042" s="2"/>
      <c r="O2042" s="2"/>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row>
    <row r="2043" ht="204.75" customHeight="1">
      <c r="A2043" s="1">
        <v>6041.0</v>
      </c>
      <c r="B2043" s="2" t="s">
        <v>6445</v>
      </c>
      <c r="C2043" s="2">
        <f>IFERROR(__xludf.DUMMYFUNCTION("split(B2043,""_"")"),710.0)</f>
        <v>710</v>
      </c>
      <c r="D2043" s="2" t="str">
        <f>IFERROR(__xludf.DUMMYFUNCTION("""COMPUTED_VALUE"""),"CX")</f>
        <v>CX</v>
      </c>
      <c r="E2043" s="2" t="str">
        <f>IFERROR(__xludf.DUMMYFUNCTION("""COMPUTED_VALUE"""),"火22")</f>
        <v>火22</v>
      </c>
      <c r="F2043" s="2" t="s">
        <v>6446</v>
      </c>
      <c r="G2043" s="2" t="s">
        <v>6449</v>
      </c>
      <c r="H2043" s="1">
        <v>2.0</v>
      </c>
      <c r="J2043" s="1" t="s">
        <v>86</v>
      </c>
      <c r="K2043" s="2" t="s">
        <v>6450</v>
      </c>
      <c r="L2043" s="11" t="s">
        <v>6450</v>
      </c>
      <c r="M2043" s="2" t="str">
        <f>IFERROR(__xludf.DUMMYFUNCTION("split(split(K2043,""【"",false),""公式LINE"",false)"),"川瀬(成宮寛貴)を殴ってしまった大輔(上川隆也)は、彼の報復を心配していた。そんな折、大輔は絢菜(芦名星)の勤め先である会社から、事務機器一式の発注を打診される。大輔は徹夜で見積書を完成させ、絢菜の上司からも正式な発注の返事が来る。その夜、帰宅した大輔は、大事にしていた水球選手時代のトロフィーを娘の理英(美山加恋)が壊してしまったことを知る。頭ごなしにしかる大輔に、理英は「パパなんか大嫌い」と言って自分の部屋に閉じこもってしまう。納品の日、慌てた様子の絢菜からの電話で現場に駆け付けた大輔はあぜんとする。オ"&amp;"フィスは広々としていて、大輔が納品した備品を置いてもがらがらの状態だった。")</f>
        <v>川瀬(成宮寛貴)を殴ってしまった大輔(上川隆也)は、彼の報復を心配していた。そんな折、大輔は絢菜(芦名星)の勤め先である会社から、事務機器一式の発注を打診される。大輔は徹夜で見積書を完成させ、絢菜の上司からも正式な発注の返事が来る。その夜、帰宅した大輔は、大事にしていた水球選手時代のトロフィーを娘の理英(美山加恋)が壊してしまったことを知る。頭ごなしにしかる大輔に、理英は「パパなんか大嫌い」と言って自分の部屋に閉じこもってしまう。納品の日、慌てた様子の絢菜からの電話で現場に駆け付けた大輔はあぜんとする。オフィスは広々としていて、大輔が納品した備品を置いてもがらがらの状態だった。</v>
      </c>
      <c r="N2043" s="2"/>
      <c r="O2043" s="2"/>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1"/>
      <c r="BB2043" s="1"/>
    </row>
    <row r="2044" ht="204.75" customHeight="1">
      <c r="A2044" s="1">
        <v>6042.0</v>
      </c>
      <c r="B2044" s="2" t="s">
        <v>6445</v>
      </c>
      <c r="C2044" s="2">
        <f>IFERROR(__xludf.DUMMYFUNCTION("split(B2044,""_"")"),710.0)</f>
        <v>710</v>
      </c>
      <c r="D2044" s="2" t="str">
        <f>IFERROR(__xludf.DUMMYFUNCTION("""COMPUTED_VALUE"""),"CX")</f>
        <v>CX</v>
      </c>
      <c r="E2044" s="2" t="str">
        <f>IFERROR(__xludf.DUMMYFUNCTION("""COMPUTED_VALUE"""),"火22")</f>
        <v>火22</v>
      </c>
      <c r="F2044" s="2" t="s">
        <v>6446</v>
      </c>
      <c r="G2044" s="2" t="s">
        <v>6451</v>
      </c>
      <c r="H2044" s="1">
        <v>3.0</v>
      </c>
      <c r="J2044" s="1" t="s">
        <v>86</v>
      </c>
      <c r="K2044" s="2" t="s">
        <v>6452</v>
      </c>
      <c r="L2044" s="11" t="s">
        <v>6452</v>
      </c>
      <c r="M2044" s="2" t="str">
        <f>IFERROR(__xludf.DUMMYFUNCTION("split(split(K2044,""【"",false),""公式LINE"",false)"),"絢菜(芦名星)から時間をつくってほしいと言われた大輔(上川隆也)は、加茂(劇団ひとり)たちから食事に誘うべきだとけしかけられるが、財布に金がない。家では、思春期に入った理英(美山加恋)が大輔と一緒に風呂に入るのを嫌がる。ショックを受けた大輔は父娘の関係を取り戻そうと、運動会に向けて一輪車の練習をしている理英の手助けをする。デート当日、待ち合わせ場所で待っていた絢菜は大輔に笑顔を見せる。その瞬間、大輔の携帯電話に理英から「ごめんね」というメールが届く。")</f>
        <v>絢菜(芦名星)から時間をつくってほしいと言われた大輔(上川隆也)は、加茂(劇団ひとり)たちから食事に誘うべきだとけしかけられるが、財布に金がない。家では、思春期に入った理英(美山加恋)が大輔と一緒に風呂に入るのを嫌がる。ショックを受けた大輔は父娘の関係を取り戻そうと、運動会に向けて一輪車の練習をしている理英の手助けをする。デート当日、待ち合わせ場所で待っていた絢菜は大輔に笑顔を見せる。その瞬間、大輔の携帯電話に理英から「ごめんね」というメールが届く。</v>
      </c>
      <c r="N2044" s="2"/>
      <c r="O2044" s="2"/>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1"/>
      <c r="AZ2044" s="1"/>
      <c r="BA2044" s="1"/>
      <c r="BB2044" s="1"/>
    </row>
    <row r="2045" ht="204.75" customHeight="1">
      <c r="A2045" s="1">
        <v>6043.0</v>
      </c>
      <c r="B2045" s="2" t="s">
        <v>6445</v>
      </c>
      <c r="C2045" s="2">
        <f>IFERROR(__xludf.DUMMYFUNCTION("split(B2045,""_"")"),710.0)</f>
        <v>710</v>
      </c>
      <c r="D2045" s="2" t="str">
        <f>IFERROR(__xludf.DUMMYFUNCTION("""COMPUTED_VALUE"""),"CX")</f>
        <v>CX</v>
      </c>
      <c r="E2045" s="2" t="str">
        <f>IFERROR(__xludf.DUMMYFUNCTION("""COMPUTED_VALUE"""),"火22")</f>
        <v>火22</v>
      </c>
      <c r="F2045" s="2" t="s">
        <v>6446</v>
      </c>
      <c r="G2045" s="2" t="s">
        <v>6453</v>
      </c>
      <c r="H2045" s="1">
        <v>4.0</v>
      </c>
      <c r="J2045" s="1" t="s">
        <v>86</v>
      </c>
      <c r="K2045" s="2" t="s">
        <v>6454</v>
      </c>
      <c r="L2045" s="11" t="s">
        <v>6454</v>
      </c>
      <c r="M2045" s="2" t="str">
        <f>IFERROR(__xludf.DUMMYFUNCTION("split(split(K2045,""【"",false),""公式LINE"",false)"),"絢菜(芦名星)との約束をすっぽかした大輔(上川隆也)は、再び彼女を食事に誘う。ちょうど真澄(田中美佐子)が同窓会に出席する日を選んだが、同窓会に真澄の元恋人が来ると聞いて動揺する。そんな折、大輔の会社では洋菓子店のチーズケーキが話題になっていた。雑誌の記事では、大輔の元恋人・志摩子(森口瑤子)が経営するインターネット通販会社でもそのケーキを扱うという。しかし、洋菓子店では店主の半田(竜雷太)が息子・俊哉(逸見太郎)が作ったケーキを認めず、志摩子の会社との契約も難航していた。大輔と絢菜が食事に行く日、志摩子"&amp;"の会社がケーキの取り扱い中止を発表し、インターネット上で激しい非難を浴びる。心配する大輔は、慌てて洋菓子店へ急ぐ。")</f>
        <v>絢菜(芦名星)との約束をすっぽかした大輔(上川隆也)は、再び彼女を食事に誘う。ちょうど真澄(田中美佐子)が同窓会に出席する日を選んだが、同窓会に真澄の元恋人が来ると聞いて動揺する。そんな折、大輔の会社では洋菓子店のチーズケーキが話題になっていた。雑誌の記事では、大輔の元恋人・志摩子(森口瑤子)が経営するインターネット通販会社でもそのケーキを扱うという。しかし、洋菓子店では店主の半田(竜雷太)が息子・俊哉(逸見太郎)が作ったケーキを認めず、志摩子の会社との契約も難航していた。大輔と絢菜が食事に行く日、志摩子の会社がケーキの取り扱い中止を発表し、インターネット上で激しい非難を浴びる。心配する大輔は、慌てて洋菓子店へ急ぐ。</v>
      </c>
      <c r="N2045" s="2"/>
      <c r="O2045" s="2"/>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1"/>
      <c r="AZ2045" s="1"/>
      <c r="BA2045" s="1"/>
      <c r="BB2045" s="1"/>
    </row>
    <row r="2046" ht="204.75" customHeight="1">
      <c r="A2046" s="1">
        <v>6044.0</v>
      </c>
      <c r="B2046" s="2" t="s">
        <v>6445</v>
      </c>
      <c r="C2046" s="2">
        <f>IFERROR(__xludf.DUMMYFUNCTION("split(B2046,""_"")"),710.0)</f>
        <v>710</v>
      </c>
      <c r="D2046" s="2" t="str">
        <f>IFERROR(__xludf.DUMMYFUNCTION("""COMPUTED_VALUE"""),"CX")</f>
        <v>CX</v>
      </c>
      <c r="E2046" s="2" t="str">
        <f>IFERROR(__xludf.DUMMYFUNCTION("""COMPUTED_VALUE"""),"火22")</f>
        <v>火22</v>
      </c>
      <c r="F2046" s="2" t="s">
        <v>6446</v>
      </c>
      <c r="G2046" s="2" t="s">
        <v>6455</v>
      </c>
      <c r="H2046" s="1">
        <v>5.0</v>
      </c>
      <c r="J2046" s="1" t="s">
        <v>86</v>
      </c>
      <c r="K2046" s="2" t="s">
        <v>6456</v>
      </c>
      <c r="L2046" s="11" t="s">
        <v>6456</v>
      </c>
      <c r="M2046" s="2" t="str">
        <f>IFERROR(__xludf.DUMMYFUNCTION("split(split(K2046,""【"",false),""公式LINE"",false)"),"志摩子(森口瑤子)の娘・比奈子(前田敦子)が、自分の父親は大輔(上川隆也)だと断言。比奈子は十七歳で、大輔と志摩子が付き合っていた時期とも一致していた。ショックを受けた大輔は真澄(田中美佐子)に打ち明けようとするが、なかなか言いだせない。そんな折、志摩子と真澄が知り合い、話をするうちに比奈子と理英(美山加恋)を交えて食事会をすることに。大輔は食事会をやめさせようと志摩子に電話をするが、彼女は聞き入れない。一方で、大輔は絢菜(芦名星)から食事に誘われる。大輔はけじめをつけて絢菜に別れを告げ、真澄にも隠し子の"&amp;"ことを告白しようと家に向かう。")</f>
        <v>志摩子(森口瑤子)の娘・比奈子(前田敦子)が、自分の父親は大輔(上川隆也)だと断言。比奈子は十七歳で、大輔と志摩子が付き合っていた時期とも一致していた。ショックを受けた大輔は真澄(田中美佐子)に打ち明けようとするが、なかなか言いだせない。そんな折、志摩子と真澄が知り合い、話をするうちに比奈子と理英(美山加恋)を交えて食事会をすることに。大輔は食事会をやめさせようと志摩子に電話をするが、彼女は聞き入れない。一方で、大輔は絢菜(芦名星)から食事に誘われる。大輔はけじめをつけて絢菜に別れを告げ、真澄にも隠し子のことを告白しようと家に向かう。</v>
      </c>
      <c r="N2046" s="2"/>
      <c r="O2046" s="2"/>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1"/>
      <c r="AZ2046" s="1"/>
      <c r="BA2046" s="1"/>
      <c r="BB2046" s="1"/>
    </row>
    <row r="2047" ht="204.75" customHeight="1">
      <c r="A2047" s="1">
        <v>6045.0</v>
      </c>
      <c r="B2047" s="2" t="s">
        <v>6445</v>
      </c>
      <c r="C2047" s="2">
        <f>IFERROR(__xludf.DUMMYFUNCTION("split(B2047,""_"")"),710.0)</f>
        <v>710</v>
      </c>
      <c r="D2047" s="2" t="str">
        <f>IFERROR(__xludf.DUMMYFUNCTION("""COMPUTED_VALUE"""),"CX")</f>
        <v>CX</v>
      </c>
      <c r="E2047" s="2" t="str">
        <f>IFERROR(__xludf.DUMMYFUNCTION("""COMPUTED_VALUE"""),"火22")</f>
        <v>火22</v>
      </c>
      <c r="F2047" s="2" t="s">
        <v>6446</v>
      </c>
      <c r="G2047" s="2" t="s">
        <v>6457</v>
      </c>
      <c r="H2047" s="1">
        <v>6.0</v>
      </c>
      <c r="J2047" s="1" t="s">
        <v>86</v>
      </c>
      <c r="K2047" s="2" t="s">
        <v>6458</v>
      </c>
      <c r="L2047" s="11" t="s">
        <v>6458</v>
      </c>
      <c r="M2047" s="2" t="str">
        <f>IFERROR(__xludf.DUMMYFUNCTION("split(split(K2047,""【"",false),""公式LINE"",false)"),"愛妻家の加茂(劇団ひとり)が、妻・彩子(小野香織)とけんかして離婚届を突き付けられる。けんかの原因が携帯電話に残っていた絢菜(芦名星)の写真だったため、加茂は大輔(上川隆也)に事情を説明して彩子の誤解を解いてほしいと頼む。大輔と絢菜、加茂の三人は彩子を呼び出し、加茂と絢菜に特別な関係がないことを告げる。しかし、彩子は加茂の欠点を次々と挙げ、やはり離婚すると宣言。翌日、大輔が再び加茂の気持ちを彩子に伝えると、彼女は「私じゃ駄目なんです」と謎めいた言葉を残す。彩子の事情を聴いた大輔からアドバイスを授けられた加"&amp;"茂は、最後の作戦に打って出る。")</f>
        <v>愛妻家の加茂(劇団ひとり)が、妻・彩子(小野香織)とけんかして離婚届を突き付けられる。けんかの原因が携帯電話に残っていた絢菜(芦名星)の写真だったため、加茂は大輔(上川隆也)に事情を説明して彩子の誤解を解いてほしいと頼む。大輔と絢菜、加茂の三人は彩子を呼び出し、加茂と絢菜に特別な関係がないことを告げる。しかし、彩子は加茂の欠点を次々と挙げ、やはり離婚すると宣言。翌日、大輔が再び加茂の気持ちを彩子に伝えると、彼女は「私じゃ駄目なんです」と謎めいた言葉を残す。彩子の事情を聴いた大輔からアドバイスを授けられた加茂は、最後の作戦に打って出る。</v>
      </c>
      <c r="N2047" s="2"/>
      <c r="O2047" s="2"/>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1"/>
      <c r="AZ2047" s="1"/>
      <c r="BA2047" s="1"/>
      <c r="BB2047" s="1"/>
    </row>
    <row r="2048" ht="204.75" customHeight="1">
      <c r="A2048" s="1">
        <v>6046.0</v>
      </c>
      <c r="B2048" s="2" t="s">
        <v>6445</v>
      </c>
      <c r="C2048" s="2">
        <f>IFERROR(__xludf.DUMMYFUNCTION("split(B2048,""_"")"),710.0)</f>
        <v>710</v>
      </c>
      <c r="D2048" s="2" t="str">
        <f>IFERROR(__xludf.DUMMYFUNCTION("""COMPUTED_VALUE"""),"CX")</f>
        <v>CX</v>
      </c>
      <c r="E2048" s="2" t="str">
        <f>IFERROR(__xludf.DUMMYFUNCTION("""COMPUTED_VALUE"""),"火22")</f>
        <v>火22</v>
      </c>
      <c r="F2048" s="2" t="s">
        <v>6446</v>
      </c>
      <c r="G2048" s="2" t="s">
        <v>6459</v>
      </c>
      <c r="H2048" s="1">
        <v>7.0</v>
      </c>
      <c r="J2048" s="1" t="s">
        <v>86</v>
      </c>
      <c r="K2048" s="2" t="s">
        <v>6460</v>
      </c>
      <c r="L2048" s="11" t="s">
        <v>6460</v>
      </c>
      <c r="M2048" s="2" t="str">
        <f>IFERROR(__xludf.DUMMYFUNCTION("split(split(K2048,""【"",false),""公式LINE"",false)"),"時田(梶原善)は元妻から、京都の男性と再婚するので、息子・元気(深沢嵐)とはもう会わないでほしいと告げられる。しかし、元気が時田と会うために会社に現れる。引っ越す前に会いたかったという言葉に喜ぶ時田だが、仕事の都合で元気を大輔(上川隆也)の家で預かってもらうことに。元気が野球のグラブを二つ持っていることに気付いた大輔は、元気が時田とキャッチボールをしたいのではないかと考える。その後、別れのあいさつをするために元気が再び会社に現れる。しかし、時田の姿が見当たらない。大輔は加茂(劇団ひとり)と一緒に、時田を捜"&amp;"す。")</f>
        <v>時田(梶原善)は元妻から、京都の男性と再婚するので、息子・元気(深沢嵐)とはもう会わないでほしいと告げられる。しかし、元気が時田と会うために会社に現れる。引っ越す前に会いたかったという言葉に喜ぶ時田だが、仕事の都合で元気を大輔(上川隆也)の家で預かってもらうことに。元気が野球のグラブを二つ持っていることに気付いた大輔は、元気が時田とキャッチボールをしたいのではないかと考える。その後、別れのあいさつをするために元気が再び会社に現れる。しかし、時田の姿が見当たらない。大輔は加茂(劇団ひとり)と一緒に、時田を捜す。</v>
      </c>
      <c r="N2048" s="2"/>
      <c r="O2048" s="2"/>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1"/>
      <c r="AZ2048" s="1"/>
      <c r="BA2048" s="1"/>
      <c r="BB2048" s="1"/>
    </row>
    <row r="2049" ht="204.75" customHeight="1">
      <c r="A2049" s="1">
        <v>6047.0</v>
      </c>
      <c r="B2049" s="2" t="s">
        <v>6445</v>
      </c>
      <c r="C2049" s="2">
        <f>IFERROR(__xludf.DUMMYFUNCTION("split(B2049,""_"")"),710.0)</f>
        <v>710</v>
      </c>
      <c r="D2049" s="2" t="str">
        <f>IFERROR(__xludf.DUMMYFUNCTION("""COMPUTED_VALUE"""),"CX")</f>
        <v>CX</v>
      </c>
      <c r="E2049" s="2" t="str">
        <f>IFERROR(__xludf.DUMMYFUNCTION("""COMPUTED_VALUE"""),"火22")</f>
        <v>火22</v>
      </c>
      <c r="F2049" s="2" t="s">
        <v>6446</v>
      </c>
      <c r="G2049" s="2" t="s">
        <v>6461</v>
      </c>
      <c r="H2049" s="1">
        <v>8.0</v>
      </c>
      <c r="J2049" s="1" t="s">
        <v>86</v>
      </c>
      <c r="K2049" s="2" t="s">
        <v>6462</v>
      </c>
      <c r="L2049" s="11" t="s">
        <v>6462</v>
      </c>
      <c r="M2049" s="2" t="str">
        <f>IFERROR(__xludf.DUMMYFUNCTION("split(split(K2049,""【"",false),""公式LINE"",false)"),"父親の納骨のために福島に行く絢菜(芦名星)に付き添うことになった大輔(上川隆也)は、不倫旅行と誤解されることを恐れて時田(梶原善)に同行を頼む。真澄(田中美佐子)からは同じ日に買い物に付き合うよう頼まれるが、時田や加茂(劇団ひとり)と釣りに行くとうそをつく。一方、川瀬(成宮寛貴)は、絢菜の上司・服部(上杉祥三)に勧められた見合いを断ったため、リスクの大きいプロジェクトの担当にされる。そんな折、絢菜は偶然に服部の電話を盗み聞きしてしまう。絢菜はその会話から、服部の狙いは川瀬を失脚させることで、絢菜を川瀬の会"&amp;"社に出向させたのも作戦の一つだったと知る。")</f>
        <v>父親の納骨のために福島に行く絢菜(芦名星)に付き添うことになった大輔(上川隆也)は、不倫旅行と誤解されることを恐れて時田(梶原善)に同行を頼む。真澄(田中美佐子)からは同じ日に買い物に付き合うよう頼まれるが、時田や加茂(劇団ひとり)と釣りに行くとうそをつく。一方、川瀬(成宮寛貴)は、絢菜の上司・服部(上杉祥三)に勧められた見合いを断ったため、リスクの大きいプロジェクトの担当にされる。そんな折、絢菜は偶然に服部の電話を盗み聞きしてしまう。絢菜はその会話から、服部の狙いは川瀬を失脚させることで、絢菜を川瀬の会社に出向させたのも作戦の一つだったと知る。</v>
      </c>
      <c r="N2049" s="2"/>
      <c r="O2049" s="2"/>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1"/>
      <c r="AZ2049" s="1"/>
      <c r="BA2049" s="1"/>
      <c r="BB2049" s="1"/>
    </row>
    <row r="2050" ht="204.75" customHeight="1">
      <c r="A2050" s="1">
        <v>6048.0</v>
      </c>
      <c r="B2050" s="2" t="s">
        <v>6445</v>
      </c>
      <c r="C2050" s="2">
        <f>IFERROR(__xludf.DUMMYFUNCTION("split(B2050,""_"")"),710.0)</f>
        <v>710</v>
      </c>
      <c r="D2050" s="2" t="str">
        <f>IFERROR(__xludf.DUMMYFUNCTION("""COMPUTED_VALUE"""),"CX")</f>
        <v>CX</v>
      </c>
      <c r="E2050" s="2" t="str">
        <f>IFERROR(__xludf.DUMMYFUNCTION("""COMPUTED_VALUE"""),"火22")</f>
        <v>火22</v>
      </c>
      <c r="F2050" s="2" t="s">
        <v>6446</v>
      </c>
      <c r="G2050" s="2" t="s">
        <v>6463</v>
      </c>
      <c r="H2050" s="1">
        <v>9.0</v>
      </c>
      <c r="J2050" s="1" t="s">
        <v>86</v>
      </c>
      <c r="K2050" s="2" t="s">
        <v>6464</v>
      </c>
      <c r="L2050" s="11" t="s">
        <v>6464</v>
      </c>
      <c r="M2050" s="2" t="str">
        <f>IFERROR(__xludf.DUMMYFUNCTION("split(split(K2050,""【"",false),""公式LINE"",false)"),"大輔(上川隆也)は、加茂(劇団ひとり)と時田(梶原善)がアリバイ工作に用意してくれた魚を持って帰宅する。大輔の行動を怪しむ真澄(田中美佐子)は、加茂と時田を夕食に招待し、うそを見破ろうとする。追い込まれた加茂が口を滑らせるが、時田がうそをついて何とかその場を切り抜ける。しかし、理英(美山加恋)の「浮気してたら慰謝料をもらって離婚だ」という言葉に、大輔は凍りつく。一方、川瀬(成宮寛貴)を心配する絢菜(芦名星)は、彼に服部(上杉祥三)のたくらみを教える。絢菜の協力を得て必死に服部と連絡を取ろうとする川瀬だった"&amp;"が、全くつかまらない。そしてついに、川瀬が私財を投じて買収を進めていた企業が倒産してしまう。")</f>
        <v>大輔(上川隆也)は、加茂(劇団ひとり)と時田(梶原善)がアリバイ工作に用意してくれた魚を持って帰宅する。大輔の行動を怪しむ真澄(田中美佐子)は、加茂と時田を夕食に招待し、うそを見破ろうとする。追い込まれた加茂が口を滑らせるが、時田がうそをついて何とかその場を切り抜ける。しかし、理英(美山加恋)の「浮気してたら慰謝料をもらって離婚だ」という言葉に、大輔は凍りつく。一方、川瀬(成宮寛貴)を心配する絢菜(芦名星)は、彼に服部(上杉祥三)のたくらみを教える。絢菜の協力を得て必死に服部と連絡を取ろうとする川瀬だったが、全くつかまらない。そしてついに、川瀬が私財を投じて買収を進めていた企業が倒産してしまう。</v>
      </c>
      <c r="N2050" s="2"/>
      <c r="O2050" s="2"/>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1"/>
      <c r="AZ2050" s="1"/>
      <c r="BA2050" s="1"/>
      <c r="BB2050" s="1"/>
    </row>
    <row r="2051" ht="204.75" customHeight="1">
      <c r="A2051" s="1">
        <v>6049.0</v>
      </c>
      <c r="B2051" s="2" t="s">
        <v>6445</v>
      </c>
      <c r="C2051" s="2">
        <f>IFERROR(__xludf.DUMMYFUNCTION("split(B2051,""_"")"),710.0)</f>
        <v>710</v>
      </c>
      <c r="D2051" s="2" t="str">
        <f>IFERROR(__xludf.DUMMYFUNCTION("""COMPUTED_VALUE"""),"CX")</f>
        <v>CX</v>
      </c>
      <c r="E2051" s="2" t="str">
        <f>IFERROR(__xludf.DUMMYFUNCTION("""COMPUTED_VALUE"""),"火22")</f>
        <v>火22</v>
      </c>
      <c r="F2051" s="2" t="s">
        <v>6446</v>
      </c>
      <c r="G2051" s="2" t="s">
        <v>6465</v>
      </c>
      <c r="H2051" s="1">
        <v>10.0</v>
      </c>
      <c r="J2051" s="1" t="s">
        <v>86</v>
      </c>
      <c r="K2051" s="2" t="s">
        <v>6466</v>
      </c>
      <c r="L2051" s="11" t="s">
        <v>6466</v>
      </c>
      <c r="M2051" s="2" t="str">
        <f>IFERROR(__xludf.DUMMYFUNCTION("split(split(K2051,""【"",false),""公式LINE"",false)"),"絢菜(芦名星)は川瀬(成宮寛貴)が姿を消し、連絡も取れないことを心配していた。そんな中、服部(上杉祥三)が違法な企業買収で逮捕され、絢菜の父の会社を買収したのは川瀬ではなく服部だったことが判明。大輔(上川隆也)は川瀬を捜し出し、その事実を伝える。一方、絢菜から大輔にかかってきた電話に出てしまった真澄(田中美佐子)は、大輔が浮気をしているとの疑いを深め、理英(美山加恋)を連れて家を出ていく。翌日、大輔は意を決して真澄の滞在先を訪れる。時田(梶原善)と加茂(劇団ひとり)も加勢して三人は必死に頭を下げるが、冷た"&amp;"く追い返されてしまう。")</f>
        <v>絢菜(芦名星)は川瀬(成宮寛貴)が姿を消し、連絡も取れないことを心配していた。そんな中、服部(上杉祥三)が違法な企業買収で逮捕され、絢菜の父の会社を買収したのは川瀬ではなく服部だったことが判明。大輔(上川隆也)は川瀬を捜し出し、その事実を伝える。一方、絢菜から大輔にかかってきた電話に出てしまった真澄(田中美佐子)は、大輔が浮気をしているとの疑いを深め、理英(美山加恋)を連れて家を出ていく。翌日、大輔は意を決して真澄の滞在先を訪れる。時田(梶原善)と加茂(劇団ひとり)も加勢して三人は必死に頭を下げるが、冷たく追い返されてしまう。</v>
      </c>
      <c r="N2051" s="2"/>
      <c r="O2051" s="2"/>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1"/>
      <c r="AZ2051" s="1"/>
      <c r="BA2051" s="1"/>
      <c r="BB2051" s="1"/>
    </row>
    <row r="2052" ht="204.75" customHeight="1">
      <c r="A2052" s="1">
        <v>6089.0</v>
      </c>
      <c r="B2052" s="2" t="s">
        <v>6467</v>
      </c>
      <c r="C2052" s="2">
        <f>IFERROR(__xludf.DUMMYFUNCTION("split(B2052,""_"")"),710.0)</f>
        <v>710</v>
      </c>
      <c r="D2052" s="2" t="str">
        <f>IFERROR(__xludf.DUMMYFUNCTION("""COMPUTED_VALUE"""),"CX")</f>
        <v>CX</v>
      </c>
      <c r="E2052" s="2" t="str">
        <f>IFERROR(__xludf.DUMMYFUNCTION("""COMPUTED_VALUE"""),"木22")</f>
        <v>木22</v>
      </c>
      <c r="F2052" s="2" t="s">
        <v>6468</v>
      </c>
      <c r="G2052" s="2" t="s">
        <v>6469</v>
      </c>
      <c r="H2052" s="1">
        <v>1.0</v>
      </c>
      <c r="J2052" s="1" t="s">
        <v>1647</v>
      </c>
      <c r="K2052" s="3"/>
      <c r="L2052" s="2"/>
      <c r="M2052" s="2" t="str">
        <f>IFERROR(__xludf.DUMMYFUNCTION("split(split(K2052,""【"",false),""公式LINE"",false)"),"#VALUE!")</f>
        <v>#VALUE!</v>
      </c>
      <c r="N2052" s="3"/>
      <c r="O2052" s="3"/>
    </row>
    <row r="2053" ht="204.75" customHeight="1">
      <c r="A2053" s="1">
        <v>6090.0</v>
      </c>
      <c r="B2053" s="2" t="s">
        <v>6467</v>
      </c>
      <c r="C2053" s="2">
        <f>IFERROR(__xludf.DUMMYFUNCTION("split(B2053,""_"")"),710.0)</f>
        <v>710</v>
      </c>
      <c r="D2053" s="2" t="str">
        <f>IFERROR(__xludf.DUMMYFUNCTION("""COMPUTED_VALUE"""),"CX")</f>
        <v>CX</v>
      </c>
      <c r="E2053" s="2" t="str">
        <f>IFERROR(__xludf.DUMMYFUNCTION("""COMPUTED_VALUE"""),"木22")</f>
        <v>木22</v>
      </c>
      <c r="F2053" s="2" t="s">
        <v>6468</v>
      </c>
      <c r="G2053" s="2" t="s">
        <v>6470</v>
      </c>
      <c r="H2053" s="1">
        <v>2.0</v>
      </c>
      <c r="J2053" s="1" t="s">
        <v>86</v>
      </c>
      <c r="K2053" s="3"/>
      <c r="L2053" s="2"/>
      <c r="M2053" s="2" t="str">
        <f>IFERROR(__xludf.DUMMYFUNCTION("split(split(K2053,""【"",false),""公式LINE"",false)"),"#VALUE!")</f>
        <v>#VALUE!</v>
      </c>
      <c r="N2053" s="3"/>
      <c r="O2053" s="3"/>
    </row>
    <row r="2054" ht="204.75" customHeight="1">
      <c r="A2054" s="1">
        <v>6091.0</v>
      </c>
      <c r="B2054" s="2" t="s">
        <v>6467</v>
      </c>
      <c r="C2054" s="2">
        <f>IFERROR(__xludf.DUMMYFUNCTION("split(B2054,""_"")"),710.0)</f>
        <v>710</v>
      </c>
      <c r="D2054" s="2" t="str">
        <f>IFERROR(__xludf.DUMMYFUNCTION("""COMPUTED_VALUE"""),"CX")</f>
        <v>CX</v>
      </c>
      <c r="E2054" s="2" t="str">
        <f>IFERROR(__xludf.DUMMYFUNCTION("""COMPUTED_VALUE"""),"木22")</f>
        <v>木22</v>
      </c>
      <c r="F2054" s="2" t="s">
        <v>6468</v>
      </c>
      <c r="G2054" s="2" t="s">
        <v>6471</v>
      </c>
      <c r="H2054" s="1">
        <v>3.0</v>
      </c>
      <c r="J2054" s="1" t="s">
        <v>86</v>
      </c>
      <c r="K2054" s="3"/>
      <c r="L2054" s="2"/>
      <c r="M2054" s="2" t="str">
        <f>IFERROR(__xludf.DUMMYFUNCTION("split(split(K2054,""【"",false),""公式LINE"",false)"),"#VALUE!")</f>
        <v>#VALUE!</v>
      </c>
      <c r="N2054" s="3"/>
      <c r="O2054" s="3"/>
    </row>
    <row r="2055" ht="204.75" customHeight="1">
      <c r="A2055" s="1">
        <v>6092.0</v>
      </c>
      <c r="B2055" s="2" t="s">
        <v>6467</v>
      </c>
      <c r="C2055" s="2">
        <f>IFERROR(__xludf.DUMMYFUNCTION("split(B2055,""_"")"),710.0)</f>
        <v>710</v>
      </c>
      <c r="D2055" s="2" t="str">
        <f>IFERROR(__xludf.DUMMYFUNCTION("""COMPUTED_VALUE"""),"CX")</f>
        <v>CX</v>
      </c>
      <c r="E2055" s="2" t="str">
        <f>IFERROR(__xludf.DUMMYFUNCTION("""COMPUTED_VALUE"""),"木22")</f>
        <v>木22</v>
      </c>
      <c r="F2055" s="2" t="s">
        <v>6468</v>
      </c>
      <c r="G2055" s="2" t="s">
        <v>6472</v>
      </c>
      <c r="H2055" s="1">
        <v>4.0</v>
      </c>
      <c r="J2055" s="1" t="s">
        <v>86</v>
      </c>
      <c r="K2055" s="3"/>
      <c r="L2055" s="2"/>
      <c r="M2055" s="2" t="str">
        <f>IFERROR(__xludf.DUMMYFUNCTION("split(split(K2055,""【"",false),""公式LINE"",false)"),"#VALUE!")</f>
        <v>#VALUE!</v>
      </c>
      <c r="N2055" s="3"/>
      <c r="O2055" s="3"/>
    </row>
    <row r="2056" ht="204.75" customHeight="1">
      <c r="A2056" s="1">
        <v>6093.0</v>
      </c>
      <c r="B2056" s="2" t="s">
        <v>6467</v>
      </c>
      <c r="C2056" s="2">
        <f>IFERROR(__xludf.DUMMYFUNCTION("split(B2056,""_"")"),710.0)</f>
        <v>710</v>
      </c>
      <c r="D2056" s="2" t="str">
        <f>IFERROR(__xludf.DUMMYFUNCTION("""COMPUTED_VALUE"""),"CX")</f>
        <v>CX</v>
      </c>
      <c r="E2056" s="2" t="str">
        <f>IFERROR(__xludf.DUMMYFUNCTION("""COMPUTED_VALUE"""),"木22")</f>
        <v>木22</v>
      </c>
      <c r="F2056" s="2" t="s">
        <v>6468</v>
      </c>
      <c r="G2056" s="2" t="s">
        <v>6473</v>
      </c>
      <c r="H2056" s="1">
        <v>5.0</v>
      </c>
      <c r="J2056" s="1" t="s">
        <v>86</v>
      </c>
      <c r="K2056" s="3"/>
      <c r="L2056" s="2"/>
      <c r="M2056" s="2" t="str">
        <f>IFERROR(__xludf.DUMMYFUNCTION("split(split(K2056,""【"",false),""公式LINE"",false)"),"#VALUE!")</f>
        <v>#VALUE!</v>
      </c>
      <c r="N2056" s="3"/>
      <c r="O2056" s="3"/>
    </row>
    <row r="2057" ht="204.75" customHeight="1">
      <c r="A2057" s="1">
        <v>6094.0</v>
      </c>
      <c r="B2057" s="2" t="s">
        <v>6467</v>
      </c>
      <c r="C2057" s="2">
        <f>IFERROR(__xludf.DUMMYFUNCTION("split(B2057,""_"")"),710.0)</f>
        <v>710</v>
      </c>
      <c r="D2057" s="2" t="str">
        <f>IFERROR(__xludf.DUMMYFUNCTION("""COMPUTED_VALUE"""),"CX")</f>
        <v>CX</v>
      </c>
      <c r="E2057" s="2" t="str">
        <f>IFERROR(__xludf.DUMMYFUNCTION("""COMPUTED_VALUE"""),"木22")</f>
        <v>木22</v>
      </c>
      <c r="F2057" s="2" t="s">
        <v>6468</v>
      </c>
      <c r="G2057" s="2" t="s">
        <v>6474</v>
      </c>
      <c r="H2057" s="1">
        <v>6.0</v>
      </c>
      <c r="J2057" s="1" t="s">
        <v>86</v>
      </c>
      <c r="K2057" s="3"/>
      <c r="L2057" s="2"/>
      <c r="M2057" s="2" t="str">
        <f>IFERROR(__xludf.DUMMYFUNCTION("split(split(K2057,""【"",false),""公式LINE"",false)"),"#VALUE!")</f>
        <v>#VALUE!</v>
      </c>
      <c r="N2057" s="3"/>
      <c r="O2057" s="3"/>
    </row>
    <row r="2058" ht="204.75" customHeight="1">
      <c r="A2058" s="1">
        <v>6095.0</v>
      </c>
      <c r="B2058" s="2" t="s">
        <v>6467</v>
      </c>
      <c r="C2058" s="2">
        <f>IFERROR(__xludf.DUMMYFUNCTION("split(B2058,""_"")"),710.0)</f>
        <v>710</v>
      </c>
      <c r="D2058" s="2" t="str">
        <f>IFERROR(__xludf.DUMMYFUNCTION("""COMPUTED_VALUE"""),"CX")</f>
        <v>CX</v>
      </c>
      <c r="E2058" s="2" t="str">
        <f>IFERROR(__xludf.DUMMYFUNCTION("""COMPUTED_VALUE"""),"木22")</f>
        <v>木22</v>
      </c>
      <c r="F2058" s="2" t="s">
        <v>6468</v>
      </c>
      <c r="G2058" s="2" t="s">
        <v>6475</v>
      </c>
      <c r="H2058" s="1">
        <v>7.0</v>
      </c>
      <c r="J2058" s="1" t="s">
        <v>86</v>
      </c>
      <c r="K2058" s="3"/>
      <c r="L2058" s="2"/>
      <c r="M2058" s="2" t="str">
        <f>IFERROR(__xludf.DUMMYFUNCTION("split(split(K2058,""【"",false),""公式LINE"",false)"),"#VALUE!")</f>
        <v>#VALUE!</v>
      </c>
      <c r="N2058" s="3"/>
      <c r="O2058" s="3"/>
    </row>
    <row r="2059" ht="204.75" customHeight="1">
      <c r="A2059" s="1">
        <v>6096.0</v>
      </c>
      <c r="B2059" s="2" t="s">
        <v>6467</v>
      </c>
      <c r="C2059" s="2">
        <f>IFERROR(__xludf.DUMMYFUNCTION("split(B2059,""_"")"),710.0)</f>
        <v>710</v>
      </c>
      <c r="D2059" s="2" t="str">
        <f>IFERROR(__xludf.DUMMYFUNCTION("""COMPUTED_VALUE"""),"CX")</f>
        <v>CX</v>
      </c>
      <c r="E2059" s="2" t="str">
        <f>IFERROR(__xludf.DUMMYFUNCTION("""COMPUTED_VALUE"""),"木22")</f>
        <v>木22</v>
      </c>
      <c r="F2059" s="2" t="s">
        <v>6468</v>
      </c>
      <c r="G2059" s="2" t="s">
        <v>6476</v>
      </c>
      <c r="H2059" s="1">
        <v>8.0</v>
      </c>
      <c r="J2059" s="1" t="s">
        <v>86</v>
      </c>
      <c r="K2059" s="3"/>
      <c r="L2059" s="2"/>
      <c r="M2059" s="2" t="str">
        <f>IFERROR(__xludf.DUMMYFUNCTION("split(split(K2059,""【"",false),""公式LINE"",false)"),"#VALUE!")</f>
        <v>#VALUE!</v>
      </c>
      <c r="N2059" s="3"/>
      <c r="O2059" s="3"/>
    </row>
    <row r="2060" ht="204.75" customHeight="1">
      <c r="A2060" s="1">
        <v>6097.0</v>
      </c>
      <c r="B2060" s="2" t="s">
        <v>6467</v>
      </c>
      <c r="C2060" s="2">
        <f>IFERROR(__xludf.DUMMYFUNCTION("split(B2060,""_"")"),710.0)</f>
        <v>710</v>
      </c>
      <c r="D2060" s="2" t="str">
        <f>IFERROR(__xludf.DUMMYFUNCTION("""COMPUTED_VALUE"""),"CX")</f>
        <v>CX</v>
      </c>
      <c r="E2060" s="2" t="str">
        <f>IFERROR(__xludf.DUMMYFUNCTION("""COMPUTED_VALUE"""),"木22")</f>
        <v>木22</v>
      </c>
      <c r="F2060" s="2" t="s">
        <v>6468</v>
      </c>
      <c r="G2060" s="2" t="s">
        <v>6477</v>
      </c>
      <c r="H2060" s="1">
        <v>9.0</v>
      </c>
      <c r="J2060" s="1" t="s">
        <v>86</v>
      </c>
      <c r="K2060" s="3"/>
      <c r="L2060" s="2"/>
      <c r="M2060" s="2" t="str">
        <f>IFERROR(__xludf.DUMMYFUNCTION("split(split(K2060,""【"",false),""公式LINE"",false)"),"#VALUE!")</f>
        <v>#VALUE!</v>
      </c>
      <c r="N2060" s="3"/>
      <c r="O2060" s="3"/>
    </row>
    <row r="2061" ht="204.75" customHeight="1">
      <c r="A2061" s="1">
        <v>6098.0</v>
      </c>
      <c r="B2061" s="2" t="s">
        <v>6467</v>
      </c>
      <c r="C2061" s="2">
        <f>IFERROR(__xludf.DUMMYFUNCTION("split(B2061,""_"")"),710.0)</f>
        <v>710</v>
      </c>
      <c r="D2061" s="2" t="str">
        <f>IFERROR(__xludf.DUMMYFUNCTION("""COMPUTED_VALUE"""),"CX")</f>
        <v>CX</v>
      </c>
      <c r="E2061" s="2" t="str">
        <f>IFERROR(__xludf.DUMMYFUNCTION("""COMPUTED_VALUE"""),"木22")</f>
        <v>木22</v>
      </c>
      <c r="F2061" s="2" t="s">
        <v>6468</v>
      </c>
      <c r="G2061" s="2" t="s">
        <v>6478</v>
      </c>
      <c r="H2061" s="1">
        <v>10.0</v>
      </c>
      <c r="J2061" s="1" t="s">
        <v>86</v>
      </c>
      <c r="K2061" s="3"/>
      <c r="L2061" s="2"/>
      <c r="M2061" s="2" t="str">
        <f>IFERROR(__xludf.DUMMYFUNCTION("split(split(K2061,""【"",false),""公式LINE"",false)"),"#VALUE!")</f>
        <v>#VALUE!</v>
      </c>
      <c r="N2061" s="3"/>
      <c r="O2061" s="3"/>
    </row>
    <row r="2062" ht="204.75" customHeight="1">
      <c r="A2062" s="1">
        <v>6099.0</v>
      </c>
      <c r="B2062" s="2" t="s">
        <v>6467</v>
      </c>
      <c r="C2062" s="2">
        <f>IFERROR(__xludf.DUMMYFUNCTION("split(B2062,""_"")"),710.0)</f>
        <v>710</v>
      </c>
      <c r="D2062" s="2" t="str">
        <f>IFERROR(__xludf.DUMMYFUNCTION("""COMPUTED_VALUE"""),"CX")</f>
        <v>CX</v>
      </c>
      <c r="E2062" s="2" t="str">
        <f>IFERROR(__xludf.DUMMYFUNCTION("""COMPUTED_VALUE"""),"木22")</f>
        <v>木22</v>
      </c>
      <c r="F2062" s="2" t="s">
        <v>6468</v>
      </c>
      <c r="G2062" s="2" t="s">
        <v>6479</v>
      </c>
      <c r="H2062" s="1">
        <v>11.0</v>
      </c>
      <c r="J2062" s="1" t="s">
        <v>82</v>
      </c>
      <c r="K2062" s="3"/>
      <c r="L2062" s="2"/>
      <c r="M2062" s="2" t="str">
        <f>IFERROR(__xludf.DUMMYFUNCTION("split(split(K2062,""【"",false),""公式LINE"",false)"),"#VALUE!")</f>
        <v>#VALUE!</v>
      </c>
      <c r="N2062" s="3"/>
      <c r="O2062" s="3"/>
    </row>
    <row r="2063" ht="204.75" customHeight="1">
      <c r="A2063" s="1">
        <v>6150.0</v>
      </c>
      <c r="B2063" s="2" t="s">
        <v>6480</v>
      </c>
      <c r="C2063" s="2">
        <f>IFERROR(__xludf.DUMMYFUNCTION("split(B2063,""_"")"),707.0)</f>
        <v>707</v>
      </c>
      <c r="D2063" s="2" t="str">
        <f>IFERROR(__xludf.DUMMYFUNCTION("""COMPUTED_VALUE"""),"CX")</f>
        <v>CX</v>
      </c>
      <c r="E2063" s="2" t="str">
        <f>IFERROR(__xludf.DUMMYFUNCTION("""COMPUTED_VALUE"""),"月21")</f>
        <v>月21</v>
      </c>
      <c r="F2063" s="2" t="s">
        <v>6481</v>
      </c>
      <c r="G2063" s="2" t="s">
        <v>6482</v>
      </c>
      <c r="H2063" s="1">
        <v>1.0</v>
      </c>
      <c r="J2063" s="1" t="s">
        <v>11</v>
      </c>
      <c r="K2063" s="2" t="s">
        <v>6483</v>
      </c>
      <c r="L2063" s="11" t="s">
        <v>6483</v>
      </c>
      <c r="M2063" s="2" t="str">
        <f>IFERROR(__xludf.DUMMYFUNCTION("split(split(K2063,""【"",false),""公式LINE"",false)"),"ファースト・キス◇秋生（平岡祐太）への思いを捨て、ロサンゼルスに帰ることを決意した美緒（井上真央）。帰国前日の朝、美緒の携帯電話に秋生から連絡が入るが、美緒は出ようとしない。秋生との交際に反対した和樹（伊藤英明）は、矛盾を感じながらも帰国することを秋生に教えなくてもいいのかと美緒に問い掛ける。同じころ、秋生は教授の青木（柴俊夫）から転勤を命じられていた。そこへ蓮子（松雪泰子）が現れ、明日行われる手術の助手を秋生に務めさせたいと青木に申し出る。蓮子は、秋生が外科医として成長している姿を見てから転勤させるかど"&amp;"うかの判断をしてほしいと進言し、青木の了解を得る。")</f>
        <v>ファースト・キス◇秋生（平岡祐太）への思いを捨て、ロサンゼルスに帰ることを決意した美緒（井上真央）。帰国前日の朝、美緒の携帯電話に秋生から連絡が入るが、美緒は出ようとしない。秋生との交際に反対した和樹（伊藤英明）は、矛盾を感じながらも帰国することを秋生に教えなくてもいいのかと美緒に問い掛ける。同じころ、秋生は教授の青木（柴俊夫）から転勤を命じられていた。そこへ蓮子（松雪泰子）が現れ、明日行われる手術の助手を秋生に務めさせたいと青木に申し出る。蓮子は、秋生が外科医として成長している姿を見てから転勤させるかどうかの判断をしてほしいと進言し、青木の了解を得る。</v>
      </c>
      <c r="N2063" s="2"/>
      <c r="O2063" s="2"/>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c r="BA2063" s="1"/>
      <c r="BB2063" s="1"/>
    </row>
    <row r="2064" ht="204.75" customHeight="1">
      <c r="A2064" s="1">
        <v>6151.0</v>
      </c>
      <c r="B2064" s="2" t="s">
        <v>6480</v>
      </c>
      <c r="C2064" s="2">
        <f>IFERROR(__xludf.DUMMYFUNCTION("split(B2064,""_"")"),707.0)</f>
        <v>707</v>
      </c>
      <c r="D2064" s="2" t="str">
        <f>IFERROR(__xludf.DUMMYFUNCTION("""COMPUTED_VALUE"""),"CX")</f>
        <v>CX</v>
      </c>
      <c r="E2064" s="2" t="str">
        <f>IFERROR(__xludf.DUMMYFUNCTION("""COMPUTED_VALUE"""),"月21")</f>
        <v>月21</v>
      </c>
      <c r="F2064" s="2" t="s">
        <v>6481</v>
      </c>
      <c r="G2064" s="2" t="s">
        <v>6484</v>
      </c>
      <c r="H2064" s="1">
        <v>2.0</v>
      </c>
      <c r="J2064" s="1" t="s">
        <v>11</v>
      </c>
      <c r="K2064" s="2" t="s">
        <v>6485</v>
      </c>
      <c r="L2064" s="11" t="s">
        <v>6485</v>
      </c>
      <c r="M2064" s="2" t="str">
        <f>IFERROR(__xludf.DUMMYFUNCTION("split(split(K2064,""【"",false),""公式LINE"",false)"),"成田空港で飛行機に乗ろうとしていた美緒(井上真央)の前に、和樹(伊藤英明)が現れる。和樹は「美緒とは別れない」という秋生(平岡祐太)の言葉を伝えて、その場に倒れてしまう。翌日、和樹は白鷺大学付属病院へ運ばれる。そこに秋生がやって来る。秋生は、和樹に付き添っていた美緒を近くの公園に連れ出し、手術が終わって日本に戻ってくるまでずっと待っていると思いを伝える。そのころ、和樹の元には蓮子(松雪泰子)が訪れていた。蓮子は、秋生が大学病院に残れることになったと報告し、和樹に感謝の言葉を伝える。その夜、秋生は蓮子が函館"&amp;"医大へ異動になることを知る。")</f>
        <v>成田空港で飛行機に乗ろうとしていた美緒(井上真央)の前に、和樹(伊藤英明)が現れる。和樹は「美緒とは別れない」という秋生(平岡祐太)の言葉を伝えて、その場に倒れてしまう。翌日、和樹は白鷺大学付属病院へ運ばれる。そこに秋生がやって来る。秋生は、和樹に付き添っていた美緒を近くの公園に連れ出し、手術が終わって日本に戻ってくるまでずっと待っていると思いを伝える。そのころ、和樹の元には蓮子(松雪泰子)が訪れていた。蓮子は、秋生が大学病院に残れることになったと報告し、和樹に感謝の言葉を伝える。その夜、秋生は蓮子が函館医大へ異動になることを知る。</v>
      </c>
      <c r="N2064" s="2"/>
      <c r="O2064" s="2"/>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row>
    <row r="2065" ht="204.75" customHeight="1">
      <c r="A2065" s="1">
        <v>6152.0</v>
      </c>
      <c r="B2065" s="2" t="s">
        <v>6480</v>
      </c>
      <c r="C2065" s="2">
        <f>IFERROR(__xludf.DUMMYFUNCTION("split(B2065,""_"")"),707.0)</f>
        <v>707</v>
      </c>
      <c r="D2065" s="2" t="str">
        <f>IFERROR(__xludf.DUMMYFUNCTION("""COMPUTED_VALUE"""),"CX")</f>
        <v>CX</v>
      </c>
      <c r="E2065" s="2" t="str">
        <f>IFERROR(__xludf.DUMMYFUNCTION("""COMPUTED_VALUE"""),"月21")</f>
        <v>月21</v>
      </c>
      <c r="F2065" s="2" t="s">
        <v>6481</v>
      </c>
      <c r="G2065" s="2" t="s">
        <v>6486</v>
      </c>
      <c r="H2065" s="1">
        <v>3.0</v>
      </c>
      <c r="J2065" s="1" t="s">
        <v>11</v>
      </c>
      <c r="K2065" s="2" t="s">
        <v>6487</v>
      </c>
      <c r="L2065" s="11" t="s">
        <v>6487</v>
      </c>
      <c r="M2065" s="2" t="str">
        <f>IFERROR(__xludf.DUMMYFUNCTION("split(split(K2065,""【"",false),""公式LINE"",false)"),"和樹(伊藤英明)たちと楽しい時間を過ごし、秋生(平岡祐太)と恋をして幸せを感じるようになった美緒(井上真央)は、手術を受けるのが怖くなる。それを聞いた和樹は驚きを隠せない。しかし、秋生は手術を受けるべきだと主張。美緒は秋生に、何十年生きるよりも今の方が大事だと言い放って出ていってしまう。後を追った和樹は、秋生や自分の思い、プロの写真家になるという強い決意を伝える。それを聞いた美緒は、手術を受ける代わりに、和樹に写真を撮ってほしいと言う。和樹は一流(劇団ひとり)らに協力を頼み、美緒のウエディングドレス姿を撮"&amp;"ろうとする。")</f>
        <v>和樹(伊藤英明)たちと楽しい時間を過ごし、秋生(平岡祐太)と恋をして幸せを感じるようになった美緒(井上真央)は、手術を受けるのが怖くなる。それを聞いた和樹は驚きを隠せない。しかし、秋生は手術を受けるべきだと主張。美緒は秋生に、何十年生きるよりも今の方が大事だと言い放って出ていってしまう。後を追った和樹は、秋生や自分の思い、プロの写真家になるという強い決意を伝える。それを聞いた美緒は、手術を受ける代わりに、和樹に写真を撮ってほしいと言う。和樹は一流(劇団ひとり)らに協力を頼み、美緒のウエディングドレス姿を撮ろうとする。</v>
      </c>
      <c r="N2065" s="2"/>
      <c r="O2065" s="2"/>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1"/>
      <c r="AZ2065" s="1"/>
      <c r="BA2065" s="1"/>
      <c r="BB2065" s="1"/>
    </row>
    <row r="2066" ht="204.75" customHeight="1">
      <c r="A2066" s="1">
        <v>42.0</v>
      </c>
      <c r="B2066" s="2" t="s">
        <v>6488</v>
      </c>
      <c r="C2066" s="2">
        <f>IFERROR(__xludf.DUMMYFUNCTION("split(B2066,""_"")"),1910.0)</f>
        <v>1910</v>
      </c>
      <c r="D2066" s="2" t="str">
        <f>IFERROR(__xludf.DUMMYFUNCTION("""COMPUTED_VALUE"""),"EX")</f>
        <v>EX</v>
      </c>
      <c r="E2066" s="2" t="str">
        <f>IFERROR(__xludf.DUMMYFUNCTION("""COMPUTED_VALUE"""),"木22")</f>
        <v>木22</v>
      </c>
      <c r="F2066" s="2" t="s">
        <v>6489</v>
      </c>
      <c r="G2066" s="2" t="s">
        <v>6490</v>
      </c>
      <c r="H2066" s="1">
        <v>1.0</v>
      </c>
      <c r="J2066" s="1" t="s">
        <v>4</v>
      </c>
      <c r="K2066" s="2" t="s">
        <v>6491</v>
      </c>
      <c r="L2066" s="11" t="s">
        <v>6492</v>
      </c>
      <c r="M2066" s="2" t="str">
        <f>IFERROR(__xludf.DUMMYFUNCTION("split(split(K2066,""【"",false),""公式LINE"",false)"),"フリーランスの外科医・大門未知子(米倉涼子)は、山奥のポツンと一軒家でニコラス丹下(市村正親)と出会う。その頃、蛭間重勝(西田敏行)率いる東帝大学病院は財政危機を脱するため「今世紀最大のコストカッター」を副院長として招へいすることを決定…それが丹下だった!そんな中、食堂スタッフの岩田一子(松坂慶子)が突然胸の痛みを訴える。丹下が導入した医療AIシステムにより、一子は手術台にあげられてしまい…!?")</f>
        <v>フリーランスの外科医・大門未知子(米倉涼子)は、山奥のポツンと一軒家でニコラス丹下(市村正親)と出会う。その頃、蛭間重勝(西田敏行)率いる東帝大学病院は財政危機を脱するため「今世紀最大のコストカッター」を副院長として招へいすることを決定…それが丹下だった!そんな中、食堂スタッフの岩田一子(松坂慶子)が突然胸の痛みを訴える。丹下が導入した医療AIシステムにより、一子は手術台にあげられてしまい…!?</v>
      </c>
      <c r="N2066" s="2"/>
      <c r="O2066" s="2"/>
      <c r="P2066" s="2"/>
      <c r="Q2066" s="2"/>
      <c r="R2066" s="2"/>
      <c r="S2066" s="2"/>
      <c r="T2066" s="2"/>
      <c r="U2066" s="2"/>
      <c r="V2066" s="2"/>
      <c r="W2066" s="2"/>
      <c r="X2066" s="2"/>
      <c r="Y2066" s="2"/>
      <c r="Z2066" s="2"/>
      <c r="AA2066" s="2"/>
      <c r="AB2066" s="2"/>
      <c r="AC2066" s="2"/>
      <c r="AD2066" s="2"/>
      <c r="AE2066" s="2"/>
      <c r="AF2066" s="2"/>
      <c r="AG2066" s="2"/>
      <c r="AH2066" s="2"/>
      <c r="AI2066" s="2"/>
      <c r="AJ2066" s="2"/>
      <c r="AK2066" s="2"/>
      <c r="AL2066" s="2"/>
      <c r="AM2066" s="2"/>
      <c r="AN2066" s="2"/>
      <c r="AO2066" s="2"/>
      <c r="AP2066" s="2"/>
      <c r="AQ2066" s="2"/>
      <c r="AR2066" s="2"/>
      <c r="AS2066" s="2"/>
      <c r="AT2066" s="2"/>
      <c r="AU2066" s="2"/>
      <c r="AV2066" s="2"/>
      <c r="AW2066" s="2"/>
      <c r="AX2066" s="2"/>
      <c r="AY2066" s="2"/>
      <c r="AZ2066" s="2"/>
      <c r="BA2066" s="2"/>
      <c r="BB2066" s="2"/>
    </row>
    <row r="2067" ht="204.75" customHeight="1">
      <c r="A2067" s="1">
        <v>43.0</v>
      </c>
      <c r="B2067" s="2" t="s">
        <v>6488</v>
      </c>
      <c r="C2067" s="2">
        <f>IFERROR(__xludf.DUMMYFUNCTION("split(B2067,""_"")"),1910.0)</f>
        <v>1910</v>
      </c>
      <c r="D2067" s="2" t="str">
        <f>IFERROR(__xludf.DUMMYFUNCTION("""COMPUTED_VALUE"""),"EX")</f>
        <v>EX</v>
      </c>
      <c r="E2067" s="2" t="str">
        <f>IFERROR(__xludf.DUMMYFUNCTION("""COMPUTED_VALUE"""),"木22")</f>
        <v>木22</v>
      </c>
      <c r="F2067" s="2" t="s">
        <v>6489</v>
      </c>
      <c r="G2067" s="2" t="s">
        <v>6493</v>
      </c>
      <c r="H2067" s="1">
        <v>2.0</v>
      </c>
      <c r="I2067" s="1" t="s">
        <v>2872</v>
      </c>
      <c r="J2067" s="1" t="s">
        <v>4</v>
      </c>
      <c r="K2067" s="2" t="s">
        <v>6494</v>
      </c>
      <c r="L2067" s="11" t="s">
        <v>6495</v>
      </c>
      <c r="M2067" s="2" t="str">
        <f>IFERROR(__xludf.DUMMYFUNCTION("split(split(K2067,""【"",false),""公式LINE"",false)"),"大企業CEOの二色(モロ師岡)が東帝大学病院に入院。高額出資が期待できるとあって、丹下(市村正親)は丁重に迎える。しかし肝臓提供をしてくれる家族がおらず、未知子(米倉涼子)もオペができない。一方、生体肝移植を待つドミノ師の古沢(清原翔)の恋人・由理(上白石萌歌)は、肝臓提供を望むが、日本では他人同士の移植は出来ない。やがて由理が二色の末娘だということが判明!しかし、父親への肝臓提供は頑なに拒み…。")</f>
        <v>大企業CEOの二色(モロ師岡)が東帝大学病院に入院。高額出資が期待できるとあって、丹下(市村正親)は丁重に迎える。しかし肝臓提供をしてくれる家族がおらず、未知子(米倉涼子)もオペができない。一方、生体肝移植を待つドミノ師の古沢(清原翔)の恋人・由理(上白石萌歌)は、肝臓提供を望むが、日本では他人同士の移植は出来ない。やがて由理が二色の末娘だということが判明!しかし、父親への肝臓提供は頑なに拒み…。</v>
      </c>
      <c r="N2067" s="2"/>
      <c r="O2067" s="2"/>
      <c r="P2067" s="2"/>
      <c r="Q2067" s="2"/>
      <c r="R2067" s="2"/>
      <c r="S2067" s="2"/>
      <c r="T2067" s="2"/>
      <c r="U2067" s="2"/>
      <c r="V2067" s="2"/>
      <c r="W2067" s="2"/>
      <c r="X2067" s="2"/>
      <c r="Y2067" s="2"/>
      <c r="Z2067" s="2"/>
      <c r="AA2067" s="2"/>
      <c r="AB2067" s="2"/>
      <c r="AC2067" s="2"/>
      <c r="AD2067" s="2"/>
      <c r="AE2067" s="2"/>
      <c r="AF2067" s="2"/>
      <c r="AG2067" s="2"/>
      <c r="AH2067" s="2"/>
      <c r="AI2067" s="2"/>
      <c r="AJ2067" s="2"/>
      <c r="AK2067" s="2"/>
      <c r="AL2067" s="2"/>
      <c r="AM2067" s="2"/>
      <c r="AN2067" s="2"/>
      <c r="AO2067" s="2"/>
      <c r="AP2067" s="2"/>
      <c r="AQ2067" s="2"/>
      <c r="AR2067" s="2"/>
      <c r="AS2067" s="2"/>
      <c r="AT2067" s="2"/>
      <c r="AU2067" s="2"/>
      <c r="AV2067" s="2"/>
      <c r="AW2067" s="2"/>
      <c r="AX2067" s="2"/>
      <c r="AY2067" s="2"/>
      <c r="AZ2067" s="2"/>
      <c r="BA2067" s="2"/>
      <c r="BB2067" s="2"/>
    </row>
    <row r="2068" ht="204.75" customHeight="1">
      <c r="A2068" s="1">
        <v>44.0</v>
      </c>
      <c r="B2068" s="2" t="s">
        <v>6488</v>
      </c>
      <c r="C2068" s="2">
        <f>IFERROR(__xludf.DUMMYFUNCTION("split(B2068,""_"")"),1910.0)</f>
        <v>1910</v>
      </c>
      <c r="D2068" s="2" t="str">
        <f>IFERROR(__xludf.DUMMYFUNCTION("""COMPUTED_VALUE"""),"EX")</f>
        <v>EX</v>
      </c>
      <c r="E2068" s="2" t="str">
        <f>IFERROR(__xludf.DUMMYFUNCTION("""COMPUTED_VALUE"""),"木22")</f>
        <v>木22</v>
      </c>
      <c r="F2068" s="2" t="s">
        <v>6489</v>
      </c>
      <c r="G2068" s="2" t="s">
        <v>6496</v>
      </c>
      <c r="H2068" s="1">
        <v>3.0</v>
      </c>
      <c r="I2068" s="1" t="s">
        <v>2876</v>
      </c>
      <c r="J2068" s="1" t="s">
        <v>11</v>
      </c>
      <c r="K2068" s="2" t="s">
        <v>6497</v>
      </c>
      <c r="L2068" s="11" t="s">
        <v>6498</v>
      </c>
      <c r="M2068" s="2" t="str">
        <f>IFERROR(__xludf.DUMMYFUNCTION("split(split(K2068,""【"",false),""公式LINE"",false)"),"失言を繰り返す大臣・梅沢三郎(角野卓造)が東帝大学病院に「マスコミから匿ってほしい」とやってくる。その頃、蛭間(西田敏行)は不起訴になり病院長に復帰。どこも悪くないはずの梅沢だったが、未知子(米倉涼子)が舌がんを発見する。丹下(市村正親)は梅沢を少しでも長く入院させようと、内科部長の浜地(清水ミチコ)による化学療法を選択。担当を外された未知子だが、名医紹介所にやってきた梅沢のある奇妙な点に気づき…")</f>
        <v>失言を繰り返す大臣・梅沢三郎(角野卓造)が東帝大学病院に「マスコミから匿ってほしい」とやってくる。その頃、蛭間(西田敏行)は不起訴になり病院長に復帰。どこも悪くないはずの梅沢だったが、未知子(米倉涼子)が舌がんを発見する。丹下(市村正親)は梅沢を少しでも長く入院させようと、内科部長の浜地(清水ミチコ)による化学療法を選択。担当を外された未知子だが、名医紹介所にやってきた梅沢のある奇妙な点に気づき…</v>
      </c>
      <c r="N2068" s="2"/>
      <c r="O2068" s="2"/>
      <c r="P2068" s="2"/>
      <c r="Q2068" s="2"/>
      <c r="R2068" s="2"/>
      <c r="S2068" s="2"/>
      <c r="T2068" s="2"/>
      <c r="U2068" s="2"/>
      <c r="V2068" s="2"/>
      <c r="W2068" s="2"/>
      <c r="X2068" s="2"/>
      <c r="Y2068" s="2"/>
      <c r="Z2068" s="2"/>
      <c r="AA2068" s="2"/>
      <c r="AB2068" s="2"/>
      <c r="AC2068" s="2"/>
      <c r="AD2068" s="2"/>
      <c r="AE2068" s="2"/>
      <c r="AF2068" s="2"/>
      <c r="AG2068" s="2"/>
      <c r="AH2068" s="2"/>
      <c r="AI2068" s="2"/>
      <c r="AJ2068" s="2"/>
      <c r="AK2068" s="2"/>
      <c r="AL2068" s="2"/>
      <c r="AM2068" s="2"/>
      <c r="AN2068" s="2"/>
      <c r="AO2068" s="2"/>
      <c r="AP2068" s="2"/>
      <c r="AQ2068" s="2"/>
      <c r="AR2068" s="2"/>
      <c r="AS2068" s="2"/>
      <c r="AT2068" s="2"/>
      <c r="AU2068" s="2"/>
      <c r="AV2068" s="2"/>
      <c r="AW2068" s="2"/>
      <c r="AX2068" s="2"/>
      <c r="AY2068" s="2"/>
      <c r="AZ2068" s="2"/>
      <c r="BA2068" s="2"/>
      <c r="BB2068" s="2"/>
    </row>
    <row r="2069" ht="204.75" customHeight="1">
      <c r="A2069" s="1">
        <v>45.0</v>
      </c>
      <c r="B2069" s="2" t="s">
        <v>6488</v>
      </c>
      <c r="C2069" s="2">
        <f>IFERROR(__xludf.DUMMYFUNCTION("split(B2069,""_"")"),1910.0)</f>
        <v>1910</v>
      </c>
      <c r="D2069" s="2" t="str">
        <f>IFERROR(__xludf.DUMMYFUNCTION("""COMPUTED_VALUE"""),"EX")</f>
        <v>EX</v>
      </c>
      <c r="E2069" s="2" t="str">
        <f>IFERROR(__xludf.DUMMYFUNCTION("""COMPUTED_VALUE"""),"木22")</f>
        <v>木22</v>
      </c>
      <c r="F2069" s="2" t="s">
        <v>6489</v>
      </c>
      <c r="G2069" s="2" t="s">
        <v>6499</v>
      </c>
      <c r="H2069" s="1">
        <v>4.0</v>
      </c>
      <c r="I2069" s="1" t="s">
        <v>2880</v>
      </c>
      <c r="J2069" s="1" t="s">
        <v>11</v>
      </c>
      <c r="K2069" s="2" t="s">
        <v>6500</v>
      </c>
      <c r="L2069" s="11" t="s">
        <v>6501</v>
      </c>
      <c r="M2069" s="2" t="str">
        <f>IFERROR(__xludf.DUMMYFUNCTION("split(split(K2069,""【"",false),""公式LINE"",false)"),"東帝大学病院に潮(ユースケ・サンタマリア)の母・四糸乃(倍賞美津子)がやってくる。未知子(米倉涼子)はロビーで出会ったにも関わらず、その後医局で初対面のような対応をされ困惑。AIがはじき出した診断は「アルツハイマー型認知症」…。そんな中、陸上100mのスーパースター・四日市清昭(岡田健史)が右足の痛みを訴え極秘入院。膝にガンが見つかるが、「半年で走れるようにならないのなら退院する」と言い放ち…")</f>
        <v>東帝大学病院に潮(ユースケ・サンタマリア)の母・四糸乃(倍賞美津子)がやってくる。未知子(米倉涼子)はロビーで出会ったにも関わらず、その後医局で初対面のような対応をされ困惑。AIがはじき出した診断は「アルツハイマー型認知症」…。そんな中、陸上100mのスーパースター・四日市清昭(岡田健史)が右足の痛みを訴え極秘入院。膝にガンが見つかるが、「半年で走れるようにならないのなら退院する」と言い放ち…</v>
      </c>
      <c r="N2069" s="2"/>
      <c r="O2069" s="2"/>
      <c r="P2069" s="2"/>
      <c r="Q2069" s="2"/>
      <c r="R2069" s="2"/>
      <c r="S2069" s="2"/>
      <c r="T2069" s="2"/>
      <c r="U2069" s="2"/>
      <c r="V2069" s="2"/>
      <c r="W2069" s="2"/>
      <c r="X2069" s="2"/>
      <c r="Y2069" s="2"/>
      <c r="Z2069" s="2"/>
      <c r="AA2069" s="2"/>
      <c r="AB2069" s="2"/>
      <c r="AC2069" s="2"/>
      <c r="AD2069" s="2"/>
      <c r="AE2069" s="2"/>
      <c r="AF2069" s="2"/>
      <c r="AG2069" s="2"/>
      <c r="AH2069" s="2"/>
      <c r="AI2069" s="2"/>
      <c r="AJ2069" s="2"/>
      <c r="AK2069" s="2"/>
      <c r="AL2069" s="2"/>
      <c r="AM2069" s="2"/>
      <c r="AN2069" s="2"/>
      <c r="AO2069" s="2"/>
      <c r="AP2069" s="2"/>
      <c r="AQ2069" s="2"/>
      <c r="AR2069" s="2"/>
      <c r="AS2069" s="2"/>
      <c r="AT2069" s="2"/>
      <c r="AU2069" s="2"/>
      <c r="AV2069" s="2"/>
      <c r="AW2069" s="2"/>
      <c r="AX2069" s="2"/>
      <c r="AY2069" s="2"/>
      <c r="AZ2069" s="2"/>
      <c r="BA2069" s="2"/>
      <c r="BB2069" s="2"/>
    </row>
    <row r="2070" ht="204.75" customHeight="1">
      <c r="A2070" s="1">
        <v>46.0</v>
      </c>
      <c r="B2070" s="2" t="s">
        <v>6488</v>
      </c>
      <c r="C2070" s="2">
        <f>IFERROR(__xludf.DUMMYFUNCTION("split(B2070,""_"")"),1910.0)</f>
        <v>1910</v>
      </c>
      <c r="D2070" s="2" t="str">
        <f>IFERROR(__xludf.DUMMYFUNCTION("""COMPUTED_VALUE"""),"EX")</f>
        <v>EX</v>
      </c>
      <c r="E2070" s="2" t="str">
        <f>IFERROR(__xludf.DUMMYFUNCTION("""COMPUTED_VALUE"""),"木22")</f>
        <v>木22</v>
      </c>
      <c r="F2070" s="2" t="s">
        <v>6489</v>
      </c>
      <c r="G2070" s="2" t="s">
        <v>6502</v>
      </c>
      <c r="H2070" s="1">
        <v>5.0</v>
      </c>
      <c r="I2070" s="1" t="s">
        <v>2884</v>
      </c>
      <c r="J2070" s="1" t="s">
        <v>11</v>
      </c>
      <c r="K2070" s="2" t="s">
        <v>6503</v>
      </c>
      <c r="L2070" s="11" t="s">
        <v>6504</v>
      </c>
      <c r="M2070" s="2" t="str">
        <f>IFERROR(__xludf.DUMMYFUNCTION("split(split(K2070,""【"",false),""公式LINE"",false)"),"東帝大学病院長・蛭間(西田敏行)は、日本看護師連合会名誉会長の三原雅恵(岩下志麻)を招き、講演会を開催する。その後、自宅で倒れた雅恵が東帝大学病院に救急搬送されてくる!しかし、なぜか雅恵は検査も治療も拒否。海老名(遠藤憲一)が他病院から入手してきた半年前のCT画像により、ダンベル型神経鞘腫だと判明するが、雅恵は頑なに手術を拒否し続ける!ここまで固い意志を見せるのには、ある衝撃的な理由があり…!?")</f>
        <v>東帝大学病院長・蛭間(西田敏行)は、日本看護師連合会名誉会長の三原雅恵(岩下志麻)を招き、講演会を開催する。その後、自宅で倒れた雅恵が東帝大学病院に救急搬送されてくる!しかし、なぜか雅恵は検査も治療も拒否。海老名(遠藤憲一)が他病院から入手してきた半年前のCT画像により、ダンベル型神経鞘腫だと判明するが、雅恵は頑なに手術を拒否し続ける!ここまで固い意志を見せるのには、ある衝撃的な理由があり…!?</v>
      </c>
      <c r="N2070" s="2"/>
      <c r="O2070" s="2"/>
      <c r="P2070" s="2"/>
      <c r="Q2070" s="2"/>
      <c r="R2070" s="2"/>
      <c r="S2070" s="2"/>
      <c r="T2070" s="2"/>
      <c r="U2070" s="2"/>
      <c r="V2070" s="2"/>
      <c r="W2070" s="2"/>
      <c r="X2070" s="2"/>
      <c r="Y2070" s="2"/>
      <c r="Z2070" s="2"/>
      <c r="AA2070" s="2"/>
      <c r="AB2070" s="2"/>
      <c r="AC2070" s="2"/>
      <c r="AD2070" s="2"/>
      <c r="AE2070" s="2"/>
      <c r="AF2070" s="2"/>
      <c r="AG2070" s="2"/>
      <c r="AH2070" s="2"/>
      <c r="AI2070" s="2"/>
      <c r="AJ2070" s="2"/>
      <c r="AK2070" s="2"/>
      <c r="AL2070" s="2"/>
      <c r="AM2070" s="2"/>
      <c r="AN2070" s="2"/>
      <c r="AO2070" s="2"/>
      <c r="AP2070" s="2"/>
      <c r="AQ2070" s="2"/>
      <c r="AR2070" s="2"/>
      <c r="AS2070" s="2"/>
      <c r="AT2070" s="2"/>
      <c r="AU2070" s="2"/>
      <c r="AV2070" s="2"/>
      <c r="AW2070" s="2"/>
      <c r="AX2070" s="2"/>
      <c r="AY2070" s="2"/>
      <c r="AZ2070" s="2"/>
      <c r="BA2070" s="2"/>
      <c r="BB2070" s="2"/>
    </row>
    <row r="2071" ht="204.75" customHeight="1">
      <c r="A2071" s="1">
        <v>47.0</v>
      </c>
      <c r="B2071" s="2" t="s">
        <v>6488</v>
      </c>
      <c r="C2071" s="2">
        <f>IFERROR(__xludf.DUMMYFUNCTION("split(B2071,""_"")"),1910.0)</f>
        <v>1910</v>
      </c>
      <c r="D2071" s="2" t="str">
        <f>IFERROR(__xludf.DUMMYFUNCTION("""COMPUTED_VALUE"""),"EX")</f>
        <v>EX</v>
      </c>
      <c r="E2071" s="2" t="str">
        <f>IFERROR(__xludf.DUMMYFUNCTION("""COMPUTED_VALUE"""),"木22")</f>
        <v>木22</v>
      </c>
      <c r="F2071" s="2" t="s">
        <v>6489</v>
      </c>
      <c r="G2071" s="2" t="s">
        <v>6505</v>
      </c>
      <c r="H2071" s="1">
        <v>6.0</v>
      </c>
      <c r="I2071" s="1" t="s">
        <v>2888</v>
      </c>
      <c r="J2071" s="1" t="s">
        <v>11</v>
      </c>
      <c r="K2071" s="2" t="s">
        <v>6506</v>
      </c>
      <c r="L2071" s="11" t="s">
        <v>6507</v>
      </c>
      <c r="M2071" s="2" t="str">
        <f>IFERROR(__xludf.DUMMYFUNCTION("split(split(K2071,""【"",false),""公式LINE"",false)"),"個人資産1000億円の実業家・六角橋翔太(平岡祐太)が神原名医紹介所を訪れ、7歳の少女・むつみの手術を「お金はいくらでも払うので未知子(米倉涼子)に依頼したい」と言う。その手術中に唐突に術式を変更した未知子を麻酔医の博美(内田有紀)は強く非難し、二人の間にこれまでにない不穏な空気が流れる。その頃、六角橋が肝細胞がんであることが判明。麻酔医に指名された博美は、なんと海老名(遠藤憲一)を執刀医に選び…")</f>
        <v>個人資産1000億円の実業家・六角橋翔太(平岡祐太)が神原名医紹介所を訪れ、7歳の少女・むつみの手術を「お金はいくらでも払うので未知子(米倉涼子)に依頼したい」と言う。その手術中に唐突に術式を変更した未知子を麻酔医の博美(内田有紀)は強く非難し、二人の間にこれまでにない不穏な空気が流れる。その頃、六角橋が肝細胞がんであることが判明。麻酔医に指名された博美は、なんと海老名(遠藤憲一)を執刀医に選び…</v>
      </c>
      <c r="N2071" s="2"/>
      <c r="O2071" s="2"/>
      <c r="P2071" s="2"/>
      <c r="Q2071" s="2"/>
      <c r="R2071" s="2"/>
      <c r="S2071" s="2"/>
      <c r="T2071" s="2"/>
      <c r="U2071" s="2"/>
      <c r="V2071" s="2"/>
      <c r="W2071" s="2"/>
      <c r="X2071" s="2"/>
      <c r="Y2071" s="2"/>
      <c r="Z2071" s="2"/>
      <c r="AA2071" s="2"/>
      <c r="AB2071" s="2"/>
      <c r="AC2071" s="2"/>
      <c r="AD2071" s="2"/>
      <c r="AE2071" s="2"/>
      <c r="AF2071" s="2"/>
      <c r="AG2071" s="2"/>
      <c r="AH2071" s="2"/>
      <c r="AI2071" s="2"/>
      <c r="AJ2071" s="2"/>
      <c r="AK2071" s="2"/>
      <c r="AL2071" s="2"/>
      <c r="AM2071" s="2"/>
      <c r="AN2071" s="2"/>
      <c r="AO2071" s="2"/>
      <c r="AP2071" s="2"/>
      <c r="AQ2071" s="2"/>
      <c r="AR2071" s="2"/>
      <c r="AS2071" s="2"/>
      <c r="AT2071" s="2"/>
      <c r="AU2071" s="2"/>
      <c r="AV2071" s="2"/>
      <c r="AW2071" s="2"/>
      <c r="AX2071" s="2"/>
      <c r="AY2071" s="2"/>
      <c r="AZ2071" s="2"/>
      <c r="BA2071" s="2"/>
      <c r="BB2071" s="2"/>
    </row>
    <row r="2072" ht="204.75" customHeight="1">
      <c r="A2072" s="1">
        <v>48.0</v>
      </c>
      <c r="B2072" s="2" t="s">
        <v>6488</v>
      </c>
      <c r="C2072" s="2">
        <f>IFERROR(__xludf.DUMMYFUNCTION("split(B2072,""_"")"),1910.0)</f>
        <v>1910</v>
      </c>
      <c r="D2072" s="2" t="str">
        <f>IFERROR(__xludf.DUMMYFUNCTION("""COMPUTED_VALUE"""),"EX")</f>
        <v>EX</v>
      </c>
      <c r="E2072" s="2" t="str">
        <f>IFERROR(__xludf.DUMMYFUNCTION("""COMPUTED_VALUE"""),"木22")</f>
        <v>木22</v>
      </c>
      <c r="F2072" s="2" t="s">
        <v>6489</v>
      </c>
      <c r="G2072" s="2" t="s">
        <v>6508</v>
      </c>
      <c r="H2072" s="1">
        <v>7.0</v>
      </c>
      <c r="I2072" s="1" t="s">
        <v>2892</v>
      </c>
      <c r="J2072" s="1" t="s">
        <v>11</v>
      </c>
      <c r="K2072" s="2" t="s">
        <v>6509</v>
      </c>
      <c r="L2072" s="11" t="s">
        <v>6510</v>
      </c>
      <c r="M2072" s="2" t="str">
        <f>IFERROR(__xludf.DUMMYFUNCTION("split(split(K2072,""【"",false),""公式LINE"",false)"),"世界的銀行家のセブン・ゴールドバーグが東帝大学病院にやってくる。未知子(米倉涼子)を頼り、最先端の植毛を依頼しに来たのだ。しかし、その後セブンが胃がんのステージIBであることが判明。失礼な言葉を浴びせられ激怒したセブンは、未知子の手術を拒絶。加地(勝村政信)による腹腔鏡下手術が決定する。だが加地は英語による問診で重大なヒアリングミスをしてしまう!問診での行き違いを解消できないまま手術が始まるが…?")</f>
        <v>世界的銀行家のセブン・ゴールドバーグが東帝大学病院にやってくる。未知子(米倉涼子)を頼り、最先端の植毛を依頼しに来たのだ。しかし、その後セブンが胃がんのステージIBであることが判明。失礼な言葉を浴びせられ激怒したセブンは、未知子の手術を拒絶。加地(勝村政信)による腹腔鏡下手術が決定する。だが加地は英語による問診で重大なヒアリングミスをしてしまう!問診での行き違いを解消できないまま手術が始まるが…?</v>
      </c>
      <c r="N2072" s="2"/>
      <c r="O2072" s="2"/>
      <c r="P2072" s="2"/>
      <c r="Q2072" s="2"/>
      <c r="R2072" s="2"/>
      <c r="S2072" s="2"/>
      <c r="T2072" s="2"/>
      <c r="U2072" s="2"/>
      <c r="V2072" s="2"/>
      <c r="W2072" s="2"/>
      <c r="X2072" s="2"/>
      <c r="Y2072" s="2"/>
      <c r="Z2072" s="2"/>
      <c r="AA2072" s="2"/>
      <c r="AB2072" s="2"/>
      <c r="AC2072" s="2"/>
      <c r="AD2072" s="2"/>
      <c r="AE2072" s="2"/>
      <c r="AF2072" s="2"/>
      <c r="AG2072" s="2"/>
      <c r="AH2072" s="2"/>
      <c r="AI2072" s="2"/>
      <c r="AJ2072" s="2"/>
      <c r="AK2072" s="2"/>
      <c r="AL2072" s="2"/>
      <c r="AM2072" s="2"/>
      <c r="AN2072" s="2"/>
      <c r="AO2072" s="2"/>
      <c r="AP2072" s="2"/>
      <c r="AQ2072" s="2"/>
      <c r="AR2072" s="2"/>
      <c r="AS2072" s="2"/>
      <c r="AT2072" s="2"/>
      <c r="AU2072" s="2"/>
      <c r="AV2072" s="2"/>
      <c r="AW2072" s="2"/>
      <c r="AX2072" s="2"/>
      <c r="AY2072" s="2"/>
      <c r="AZ2072" s="2"/>
      <c r="BA2072" s="2"/>
      <c r="BB2072" s="2"/>
    </row>
    <row r="2073" ht="204.75" customHeight="1">
      <c r="A2073" s="1">
        <v>49.0</v>
      </c>
      <c r="B2073" s="2" t="s">
        <v>6488</v>
      </c>
      <c r="C2073" s="2">
        <f>IFERROR(__xludf.DUMMYFUNCTION("split(B2073,""_"")"),1910.0)</f>
        <v>1910</v>
      </c>
      <c r="D2073" s="2" t="str">
        <f>IFERROR(__xludf.DUMMYFUNCTION("""COMPUTED_VALUE"""),"EX")</f>
        <v>EX</v>
      </c>
      <c r="E2073" s="2" t="str">
        <f>IFERROR(__xludf.DUMMYFUNCTION("""COMPUTED_VALUE"""),"木22")</f>
        <v>木22</v>
      </c>
      <c r="F2073" s="2" t="s">
        <v>6489</v>
      </c>
      <c r="G2073" s="2" t="s">
        <v>6511</v>
      </c>
      <c r="H2073" s="1">
        <v>8.0</v>
      </c>
      <c r="I2073" s="1" t="s">
        <v>2896</v>
      </c>
      <c r="J2073" s="1" t="s">
        <v>11</v>
      </c>
      <c r="K2073" s="2" t="s">
        <v>6512</v>
      </c>
      <c r="L2073" s="11" t="s">
        <v>6513</v>
      </c>
      <c r="M2073" s="2" t="str">
        <f>IFERROR(__xludf.DUMMYFUNCTION("split(split(K2073,""【"",false),""公式LINE"",false)"),"東帝大学病院に中山麻里亜(松本まりか)という医師が現れる。“失敗しないプリンセス""と称された優秀な外科医である上、“元ミス東帝大""でもある麻里亜に、男性医師たちはすっかり骨抜き状態。そんな中、次期総理候補と言われる政界のプリンス・八村正義(竹財輝之助)が入院してくる。虚血性心筋症を患う八村に、未知子(米倉涼子)は人工心肺を使った術式を提案。だが、麻里亜は「令和の時代に古すぎる」と反対意見を表明し…")</f>
        <v>東帝大学病院に中山麻里亜(松本まりか)という医師が現れる。“失敗しないプリンセス"と称された優秀な外科医である上、“元ミス東帝大"でもある麻里亜に、男性医師たちはすっかり骨抜き状態。そんな中、次期総理候補と言われる政界のプリンス・八村正義(竹財輝之助)が入院してくる。虚血性心筋症を患う八村に、未知子(米倉涼子)は人工心肺を使った術式を提案。だが、麻里亜は「令和の時代に古すぎる」と反対意見を表明し…</v>
      </c>
      <c r="N2073" s="2"/>
      <c r="O2073" s="2"/>
      <c r="P2073" s="2"/>
      <c r="Q2073" s="2"/>
      <c r="R2073" s="2"/>
      <c r="S2073" s="2"/>
      <c r="T2073" s="2"/>
      <c r="U2073" s="2"/>
      <c r="V2073" s="2"/>
      <c r="W2073" s="2"/>
      <c r="X2073" s="2"/>
      <c r="Y2073" s="2"/>
      <c r="Z2073" s="2"/>
      <c r="AA2073" s="2"/>
      <c r="AB2073" s="2"/>
      <c r="AC2073" s="2"/>
      <c r="AD2073" s="2"/>
      <c r="AE2073" s="2"/>
      <c r="AF2073" s="2"/>
      <c r="AG2073" s="2"/>
      <c r="AH2073" s="2"/>
      <c r="AI2073" s="2"/>
      <c r="AJ2073" s="2"/>
      <c r="AK2073" s="2"/>
      <c r="AL2073" s="2"/>
      <c r="AM2073" s="2"/>
      <c r="AN2073" s="2"/>
      <c r="AO2073" s="2"/>
      <c r="AP2073" s="2"/>
      <c r="AQ2073" s="2"/>
      <c r="AR2073" s="2"/>
      <c r="AS2073" s="2"/>
      <c r="AT2073" s="2"/>
      <c r="AU2073" s="2"/>
      <c r="AV2073" s="2"/>
      <c r="AW2073" s="2"/>
      <c r="AX2073" s="2"/>
      <c r="AY2073" s="2"/>
      <c r="AZ2073" s="2"/>
      <c r="BA2073" s="2"/>
      <c r="BB2073" s="2"/>
    </row>
    <row r="2074" ht="204.75" customHeight="1">
      <c r="A2074" s="1">
        <v>50.0</v>
      </c>
      <c r="B2074" s="2" t="s">
        <v>6488</v>
      </c>
      <c r="C2074" s="2">
        <f>IFERROR(__xludf.DUMMYFUNCTION("split(B2074,""_"")"),1910.0)</f>
        <v>1910</v>
      </c>
      <c r="D2074" s="2" t="str">
        <f>IFERROR(__xludf.DUMMYFUNCTION("""COMPUTED_VALUE"""),"EX")</f>
        <v>EX</v>
      </c>
      <c r="E2074" s="2" t="str">
        <f>IFERROR(__xludf.DUMMYFUNCTION("""COMPUTED_VALUE"""),"木22")</f>
        <v>木22</v>
      </c>
      <c r="F2074" s="2" t="s">
        <v>6489</v>
      </c>
      <c r="G2074" s="2" t="s">
        <v>6514</v>
      </c>
      <c r="H2074" s="1">
        <v>9.0</v>
      </c>
      <c r="I2074" s="1" t="s">
        <v>2900</v>
      </c>
      <c r="J2074" s="1" t="s">
        <v>11</v>
      </c>
      <c r="K2074" s="2" t="s">
        <v>6515</v>
      </c>
      <c r="L2074" s="11" t="s">
        <v>6516</v>
      </c>
      <c r="M2074" s="2" t="str">
        <f>IFERROR(__xludf.DUMMYFUNCTION("split(split(K2074,""【"",false),""公式LINE"",false)"),"日本が誇るロックスター“勇チャン""こと、九藤勇次(宇崎竜童)が東帝大学病院に入院する。九藤の大ファンである原守(鈴木浩介)は、主治医を任され有頂天に!派手なことを好む九藤は記者会見を開くも、会見中に昏倒してしまう。検査の結果、後腹膜肉腫ステージIIIが判明!過去に同じ病に侵された未知子は、「自分のときよりも腫瘍が大きく、厳しいオペになる…」と逡巡する。その矢先、九藤が病室から姿を消してしまい…")</f>
        <v>日本が誇るロックスター“勇チャン"こと、九藤勇次(宇崎竜童)が東帝大学病院に入院する。九藤の大ファンである原守(鈴木浩介)は、主治医を任され有頂天に!派手なことを好む九藤は記者会見を開くも、会見中に昏倒してしまう。検査の結果、後腹膜肉腫ステージIIIが判明!過去に同じ病に侵された未知子は、「自分のときよりも腫瘍が大きく、厳しいオペになる…」と逡巡する。その矢先、九藤が病室から姿を消してしまい…</v>
      </c>
      <c r="N2074" s="2"/>
      <c r="O2074" s="2"/>
      <c r="P2074" s="2"/>
      <c r="Q2074" s="2"/>
      <c r="R2074" s="2"/>
      <c r="S2074" s="2"/>
      <c r="T2074" s="2"/>
      <c r="U2074" s="2"/>
      <c r="V2074" s="2"/>
      <c r="W2074" s="2"/>
      <c r="X2074" s="2"/>
      <c r="Y2074" s="2"/>
      <c r="Z2074" s="2"/>
      <c r="AA2074" s="2"/>
      <c r="AB2074" s="2"/>
      <c r="AC2074" s="2"/>
      <c r="AD2074" s="2"/>
      <c r="AE2074" s="2"/>
      <c r="AF2074" s="2"/>
      <c r="AG2074" s="2"/>
      <c r="AH2074" s="2"/>
      <c r="AI2074" s="2"/>
      <c r="AJ2074" s="2"/>
      <c r="AK2074" s="2"/>
      <c r="AL2074" s="2"/>
      <c r="AM2074" s="2"/>
      <c r="AN2074" s="2"/>
      <c r="AO2074" s="2"/>
      <c r="AP2074" s="2"/>
      <c r="AQ2074" s="2"/>
      <c r="AR2074" s="2"/>
      <c r="AS2074" s="2"/>
      <c r="AT2074" s="2"/>
      <c r="AU2074" s="2"/>
      <c r="AV2074" s="2"/>
      <c r="AW2074" s="2"/>
      <c r="AX2074" s="2"/>
      <c r="AY2074" s="2"/>
      <c r="AZ2074" s="2"/>
      <c r="BA2074" s="2"/>
      <c r="BB2074" s="2"/>
    </row>
    <row r="2075" ht="204.75" customHeight="1">
      <c r="A2075" s="1">
        <v>51.0</v>
      </c>
      <c r="B2075" s="2" t="s">
        <v>6488</v>
      </c>
      <c r="C2075" s="2">
        <f>IFERROR(__xludf.DUMMYFUNCTION("split(B2075,""_"")"),1910.0)</f>
        <v>1910</v>
      </c>
      <c r="D2075" s="2" t="str">
        <f>IFERROR(__xludf.DUMMYFUNCTION("""COMPUTED_VALUE"""),"EX")</f>
        <v>EX</v>
      </c>
      <c r="E2075" s="2" t="str">
        <f>IFERROR(__xludf.DUMMYFUNCTION("""COMPUTED_VALUE"""),"木22")</f>
        <v>木22</v>
      </c>
      <c r="F2075" s="2" t="s">
        <v>6489</v>
      </c>
      <c r="G2075" s="2" t="s">
        <v>6517</v>
      </c>
      <c r="H2075" s="1">
        <v>10.0</v>
      </c>
      <c r="J2075" s="1" t="s">
        <v>4</v>
      </c>
      <c r="K2075" s="2" t="s">
        <v>6518</v>
      </c>
      <c r="L2075" s="11" t="s">
        <v>6519</v>
      </c>
      <c r="M2075" s="2" t="str">
        <f>IFERROR(__xludf.DUMMYFUNCTION("split(split(K2075,""【"",false),""公式LINE"",false)"),"修正大血管転位症という先天性の心疾患があることが判明したニコラス丹下(市村正親)は、一切の治療を拒否。以前に未知子(米倉涼子)に命を救われた一子(松坂慶子)が説得するため拘置所を訪問するも、その目の前で意識を失い倒れてしまう!丹下はようやく手術を承諾するが、蛭間院長(西田敏行)をはじめとした上層部は「手術は不可能」と判断し、阻止しようと企む。一方、海老名(遠藤憲一)は自分がガンであることを告白し…")</f>
        <v>修正大血管転位症という先天性の心疾患があることが判明したニコラス丹下(市村正親)は、一切の治療を拒否。以前に未知子(米倉涼子)に命を救われた一子(松坂慶子)が説得するため拘置所を訪問するも、その目の前で意識を失い倒れてしまう!丹下はようやく手術を承諾するが、蛭間院長(西田敏行)をはじめとした上層部は「手術は不可能」と判断し、阻止しようと企む。一方、海老名(遠藤憲一)は自分がガンであることを告白し…</v>
      </c>
      <c r="N2075" s="2"/>
      <c r="O2075" s="2"/>
      <c r="P2075" s="2"/>
      <c r="Q2075" s="2"/>
      <c r="R2075" s="2"/>
      <c r="S2075" s="2"/>
      <c r="T2075" s="2"/>
      <c r="U2075" s="2"/>
      <c r="V2075" s="2"/>
      <c r="W2075" s="2"/>
      <c r="X2075" s="2"/>
      <c r="Y2075" s="2"/>
      <c r="Z2075" s="2"/>
      <c r="AA2075" s="2"/>
      <c r="AB2075" s="2"/>
      <c r="AC2075" s="2"/>
      <c r="AD2075" s="2"/>
      <c r="AE2075" s="2"/>
      <c r="AF2075" s="2"/>
      <c r="AG2075" s="2"/>
      <c r="AH2075" s="2"/>
      <c r="AI2075" s="2"/>
      <c r="AJ2075" s="2"/>
      <c r="AK2075" s="2"/>
      <c r="AL2075" s="2"/>
      <c r="AM2075" s="2"/>
      <c r="AN2075" s="2"/>
      <c r="AO2075" s="2"/>
      <c r="AP2075" s="2"/>
      <c r="AQ2075" s="2"/>
      <c r="AR2075" s="2"/>
      <c r="AS2075" s="2"/>
      <c r="AT2075" s="2"/>
      <c r="AU2075" s="2"/>
      <c r="AV2075" s="2"/>
      <c r="AW2075" s="2"/>
      <c r="AX2075" s="2"/>
      <c r="AY2075" s="2"/>
      <c r="AZ2075" s="2"/>
      <c r="BA2075" s="2"/>
      <c r="BB2075" s="2"/>
    </row>
    <row r="2076" ht="204.75" customHeight="1">
      <c r="A2076" s="1">
        <v>71.0</v>
      </c>
      <c r="B2076" s="2" t="s">
        <v>6520</v>
      </c>
      <c r="C2076" s="2">
        <f>IFERROR(__xludf.DUMMYFUNCTION("split(B2076,""_"")"),1910.0)</f>
        <v>1910</v>
      </c>
      <c r="D2076" s="2" t="str">
        <f>IFERROR(__xludf.DUMMYFUNCTION("""COMPUTED_VALUE"""),"EX")</f>
        <v>EX</v>
      </c>
      <c r="E2076" s="2" t="str">
        <f>IFERROR(__xludf.DUMMYFUNCTION("""COMPUTED_VALUE"""),"金23")</f>
        <v>金23</v>
      </c>
      <c r="F2076" s="2" t="s">
        <v>6521</v>
      </c>
      <c r="G2076" s="2" t="s">
        <v>6522</v>
      </c>
      <c r="H2076" s="1">
        <v>1.0</v>
      </c>
      <c r="I2076" s="1" t="s">
        <v>2868</v>
      </c>
      <c r="J2076" s="1" t="s">
        <v>1435</v>
      </c>
      <c r="K2076" s="2" t="s">
        <v>6523</v>
      </c>
      <c r="L2076" s="11" t="s">
        <v>6524</v>
      </c>
      <c r="M2076" s="2" t="str">
        <f>IFERROR(__xludf.DUMMYFUNCTION("split(split(K2076,""【"",false),""公式LINE"",false)"),"霧山修一朗(オダギリジョー)はある日、冷蔵庫に入れっぱなしになっていた遺留品の箱を預かる。それは凍死体で見つかった「総武のウタマロ」と呼ばれた男・要玲蔵(村松利史)のものだった。要玲蔵の死にまつわる時効事件を調べることにした霧山は、助手の三日月しずか(麻生久美子)と刑事課の新人刑事・彩雲真空(吉岡里帆)と共にウタマロの妻でもあり新興宗教「阿修羅の水」2代目教祖・神沼美沙子(小雪)のもとを訪れるが…")</f>
        <v>霧山修一朗(オダギリジョー)はある日、冷蔵庫に入れっぱなしになっていた遺留品の箱を預かる。それは凍死体で見つかった「総武のウタマロ」と呼ばれた男・要玲蔵(村松利史)のものだった。要玲蔵の死にまつわる時効事件を調べることにした霧山は、助手の三日月しずか(麻生久美子)と刑事課の新人刑事・彩雲真空(吉岡里帆)と共にウタマロの妻でもあり新興宗教「阿修羅の水」2代目教祖・神沼美沙子(小雪)のもとを訪れるが…</v>
      </c>
      <c r="N2076" s="2"/>
      <c r="O2076" s="2"/>
      <c r="P2076" s="2"/>
      <c r="Q2076" s="2"/>
      <c r="R2076" s="2"/>
      <c r="S2076" s="2"/>
      <c r="T2076" s="2"/>
      <c r="U2076" s="2"/>
      <c r="V2076" s="2"/>
      <c r="W2076" s="2"/>
      <c r="X2076" s="2"/>
      <c r="Y2076" s="2"/>
      <c r="Z2076" s="2"/>
      <c r="AA2076" s="2"/>
      <c r="AB2076" s="2"/>
      <c r="AC2076" s="2"/>
      <c r="AD2076" s="2"/>
      <c r="AE2076" s="2"/>
      <c r="AF2076" s="2"/>
      <c r="AG2076" s="2"/>
      <c r="AH2076" s="2"/>
      <c r="AI2076" s="2"/>
      <c r="AJ2076" s="2"/>
      <c r="AK2076" s="2"/>
      <c r="AL2076" s="2"/>
      <c r="AM2076" s="2"/>
      <c r="AN2076" s="2"/>
      <c r="AO2076" s="2"/>
      <c r="AP2076" s="2"/>
      <c r="AQ2076" s="2"/>
      <c r="AR2076" s="2"/>
      <c r="AS2076" s="2"/>
      <c r="AT2076" s="2"/>
      <c r="AU2076" s="2"/>
      <c r="AV2076" s="2"/>
      <c r="AW2076" s="2"/>
      <c r="AX2076" s="2"/>
      <c r="AY2076" s="2"/>
      <c r="AZ2076" s="2"/>
      <c r="BA2076" s="2"/>
      <c r="BB2076" s="2"/>
    </row>
    <row r="2077" ht="204.75" customHeight="1">
      <c r="A2077" s="1">
        <v>72.0</v>
      </c>
      <c r="B2077" s="2" t="s">
        <v>6520</v>
      </c>
      <c r="C2077" s="2">
        <f>IFERROR(__xludf.DUMMYFUNCTION("split(B2077,""_"")"),1910.0)</f>
        <v>1910</v>
      </c>
      <c r="D2077" s="2" t="str">
        <f>IFERROR(__xludf.DUMMYFUNCTION("""COMPUTED_VALUE"""),"EX")</f>
        <v>EX</v>
      </c>
      <c r="E2077" s="2" t="str">
        <f>IFERROR(__xludf.DUMMYFUNCTION("""COMPUTED_VALUE"""),"金23")</f>
        <v>金23</v>
      </c>
      <c r="F2077" s="2" t="s">
        <v>6521</v>
      </c>
      <c r="G2077" s="2" t="s">
        <v>6525</v>
      </c>
      <c r="H2077" s="1">
        <v>2.0</v>
      </c>
      <c r="I2077" s="1" t="s">
        <v>2872</v>
      </c>
      <c r="J2077" s="1" t="s">
        <v>1435</v>
      </c>
      <c r="K2077" s="2" t="s">
        <v>6526</v>
      </c>
      <c r="L2077" s="11" t="s">
        <v>6527</v>
      </c>
      <c r="M2077" s="2" t="str">
        <f>IFERROR(__xludf.DUMMYFUNCTION("split(split(K2077,""【"",false),""公式LINE"",false)"),"アイドル的人気を博すミステリー作家・日下部秋斗(向井理)。彼には、時効になった事件を“趣味""で捜査する男・霧山修一朗(オダギリジョー)が興味を抱く過去が。秋斗の父で、有名ミステリー作家だった日下部光晴(古舘寛治)は25年前、密室殺人事件で死亡していたのだ。しかし、犯人は見つからず事件は時効を迎えていた。この事件を調べることにした霧山は、助手の三日月しずか(麻生久美子)と秋斗のもとを訪ねるが…")</f>
        <v>アイドル的人気を博すミステリー作家・日下部秋斗(向井理)。彼には、時効になった事件を“趣味"で捜査する男・霧山修一朗(オダギリジョー)が興味を抱く過去が。秋斗の父で、有名ミステリー作家だった日下部光晴(古舘寛治)は25年前、密室殺人事件で死亡していたのだ。しかし、犯人は見つからず事件は時効を迎えていた。この事件を調べることにした霧山は、助手の三日月しずか(麻生久美子)と秋斗のもとを訪ねるが…</v>
      </c>
      <c r="N2077" s="2"/>
      <c r="O2077" s="2"/>
      <c r="P2077" s="2"/>
      <c r="Q2077" s="2"/>
      <c r="R2077" s="2"/>
      <c r="S2077" s="2"/>
      <c r="T2077" s="2"/>
      <c r="U2077" s="2"/>
      <c r="V2077" s="2"/>
      <c r="W2077" s="2"/>
      <c r="X2077" s="2"/>
      <c r="Y2077" s="2"/>
      <c r="Z2077" s="2"/>
      <c r="AA2077" s="2"/>
      <c r="AB2077" s="2"/>
      <c r="AC2077" s="2"/>
      <c r="AD2077" s="2"/>
      <c r="AE2077" s="2"/>
      <c r="AF2077" s="2"/>
      <c r="AG2077" s="2"/>
      <c r="AH2077" s="2"/>
      <c r="AI2077" s="2"/>
      <c r="AJ2077" s="2"/>
      <c r="AK2077" s="2"/>
      <c r="AL2077" s="2"/>
      <c r="AM2077" s="2"/>
      <c r="AN2077" s="2"/>
      <c r="AO2077" s="2"/>
      <c r="AP2077" s="2"/>
      <c r="AQ2077" s="2"/>
      <c r="AR2077" s="2"/>
      <c r="AS2077" s="2"/>
      <c r="AT2077" s="2"/>
      <c r="AU2077" s="2"/>
      <c r="AV2077" s="2"/>
      <c r="AW2077" s="2"/>
      <c r="AX2077" s="2"/>
      <c r="AY2077" s="2"/>
      <c r="AZ2077" s="2"/>
      <c r="BA2077" s="2"/>
      <c r="BB2077" s="2"/>
    </row>
    <row r="2078" ht="204.75" customHeight="1">
      <c r="A2078" s="1">
        <v>73.0</v>
      </c>
      <c r="B2078" s="2" t="s">
        <v>6520</v>
      </c>
      <c r="C2078" s="2">
        <f>IFERROR(__xludf.DUMMYFUNCTION("split(B2078,""_"")"),1910.0)</f>
        <v>1910</v>
      </c>
      <c r="D2078" s="2" t="str">
        <f>IFERROR(__xludf.DUMMYFUNCTION("""COMPUTED_VALUE"""),"EX")</f>
        <v>EX</v>
      </c>
      <c r="E2078" s="2" t="str">
        <f>IFERROR(__xludf.DUMMYFUNCTION("""COMPUTED_VALUE"""),"金23")</f>
        <v>金23</v>
      </c>
      <c r="F2078" s="2" t="s">
        <v>6521</v>
      </c>
      <c r="G2078" s="2" t="s">
        <v>6528</v>
      </c>
      <c r="H2078" s="1">
        <v>3.0</v>
      </c>
      <c r="I2078" s="1" t="s">
        <v>2876</v>
      </c>
      <c r="J2078" s="1" t="s">
        <v>1435</v>
      </c>
      <c r="K2078" s="2" t="s">
        <v>6529</v>
      </c>
      <c r="L2078" s="11" t="s">
        <v>6530</v>
      </c>
      <c r="M2078" s="2" t="str">
        <f>IFERROR(__xludf.DUMMYFUNCTION("split(split(K2078,""【"",false),""公式LINE"",false)"),"霧山修一朗(オダギリジョー)はある日、凄腕婚活アドバイザー・琴吹町子(中山美穂)に関する話に興味を抱く。町子が講師を務める婚活セミナーのプレミアム会員は、ほぼ全員が結婚。結婚できなかったのは時効事件で殺された女性だけらしい!その女性とは、町子の夫・城崎公彦(別所哲也)の当時の婚約者・後藤紗良(安藤聖)。“アリバイ証言者と被疑者の結婚""という事実に引っかかった霧山は町子から話を聞くためセミナーへ…。")</f>
        <v>霧山修一朗(オダギリジョー)はある日、凄腕婚活アドバイザー・琴吹町子(中山美穂)に関する話に興味を抱く。町子が講師を務める婚活セミナーのプレミアム会員は、ほぼ全員が結婚。結婚できなかったのは時効事件で殺された女性だけらしい!その女性とは、町子の夫・城崎公彦(別所哲也)の当時の婚約者・後藤紗良(安藤聖)。“アリバイ証言者と被疑者の結婚"という事実に引っかかった霧山は町子から話を聞くためセミナーへ…。</v>
      </c>
      <c r="N2078" s="2"/>
      <c r="O2078" s="2"/>
      <c r="P2078" s="2"/>
      <c r="Q2078" s="2"/>
      <c r="R2078" s="2"/>
      <c r="S2078" s="2"/>
      <c r="T2078" s="2"/>
      <c r="U2078" s="2"/>
      <c r="V2078" s="2"/>
      <c r="W2078" s="2"/>
      <c r="X2078" s="2"/>
      <c r="Y2078" s="2"/>
      <c r="Z2078" s="2"/>
      <c r="AA2078" s="2"/>
      <c r="AB2078" s="2"/>
      <c r="AC2078" s="2"/>
      <c r="AD2078" s="2"/>
      <c r="AE2078" s="2"/>
      <c r="AF2078" s="2"/>
      <c r="AG2078" s="2"/>
      <c r="AH2078" s="2"/>
      <c r="AI2078" s="2"/>
      <c r="AJ2078" s="2"/>
      <c r="AK2078" s="2"/>
      <c r="AL2078" s="2"/>
      <c r="AM2078" s="2"/>
      <c r="AN2078" s="2"/>
      <c r="AO2078" s="2"/>
      <c r="AP2078" s="2"/>
      <c r="AQ2078" s="2"/>
      <c r="AR2078" s="2"/>
      <c r="AS2078" s="2"/>
      <c r="AT2078" s="2"/>
      <c r="AU2078" s="2"/>
      <c r="AV2078" s="2"/>
      <c r="AW2078" s="2"/>
      <c r="AX2078" s="2"/>
      <c r="AY2078" s="2"/>
      <c r="AZ2078" s="2"/>
      <c r="BA2078" s="2"/>
      <c r="BB2078" s="2"/>
    </row>
    <row r="2079" ht="204.75" customHeight="1">
      <c r="A2079" s="1">
        <v>74.0</v>
      </c>
      <c r="B2079" s="2" t="s">
        <v>6520</v>
      </c>
      <c r="C2079" s="2">
        <f>IFERROR(__xludf.DUMMYFUNCTION("split(B2079,""_"")"),1910.0)</f>
        <v>1910</v>
      </c>
      <c r="D2079" s="2" t="str">
        <f>IFERROR(__xludf.DUMMYFUNCTION("""COMPUTED_VALUE"""),"EX")</f>
        <v>EX</v>
      </c>
      <c r="E2079" s="2" t="str">
        <f>IFERROR(__xludf.DUMMYFUNCTION("""COMPUTED_VALUE"""),"金23")</f>
        <v>金23</v>
      </c>
      <c r="F2079" s="2" t="s">
        <v>6521</v>
      </c>
      <c r="G2079" s="2" t="s">
        <v>6531</v>
      </c>
      <c r="H2079" s="1">
        <v>4.0</v>
      </c>
      <c r="I2079" s="1" t="s">
        <v>2880</v>
      </c>
      <c r="J2079" s="1" t="s">
        <v>1435</v>
      </c>
      <c r="K2079" s="2" t="s">
        <v>6532</v>
      </c>
      <c r="L2079" s="11" t="s">
        <v>6533</v>
      </c>
      <c r="M2079" s="2" t="str">
        <f>IFERROR(__xludf.DUMMYFUNCTION("split(split(K2079,""【"",false),""公式LINE"",false)"),"長回し1カットの異色ゾンビ映画『ロマンティックを止めるな』が、25年ぶりにリメイクされることに!しかし、この映画は曰くつきだった。元祖『ロマ止め』撮影中に監督・唐沢浩一郎(津田寛治)が殺されたのだ。時効を迎えたこの事件に興味を持った霧山修一朗(オダギリジョー)は助手の三日月しずか(麻生久美子)と共に主演女優・折原千香子(中島美嘉)が審査員を務めるゾンビエキストラのオーディションを受けにいくことに。")</f>
        <v>長回し1カットの異色ゾンビ映画『ロマンティックを止めるな』が、25年ぶりにリメイクされることに!しかし、この映画は曰くつきだった。元祖『ロマ止め』撮影中に監督・唐沢浩一郎(津田寛治)が殺されたのだ。時効を迎えたこの事件に興味を持った霧山修一朗(オダギリジョー)は助手の三日月しずか(麻生久美子)と共に主演女優・折原千香子(中島美嘉)が審査員を務めるゾンビエキストラのオーディションを受けにいくことに。</v>
      </c>
      <c r="N2079" s="2"/>
      <c r="O2079" s="2"/>
      <c r="P2079" s="2"/>
      <c r="Q2079" s="2"/>
      <c r="R2079" s="2"/>
      <c r="S2079" s="2"/>
      <c r="T2079" s="2"/>
      <c r="U2079" s="2"/>
      <c r="V2079" s="2"/>
      <c r="W2079" s="2"/>
      <c r="X2079" s="2"/>
      <c r="Y2079" s="2"/>
      <c r="Z2079" s="2"/>
      <c r="AA2079" s="2"/>
      <c r="AB2079" s="2"/>
      <c r="AC2079" s="2"/>
      <c r="AD2079" s="2"/>
      <c r="AE2079" s="2"/>
      <c r="AF2079" s="2"/>
      <c r="AG2079" s="2"/>
      <c r="AH2079" s="2"/>
      <c r="AI2079" s="2"/>
      <c r="AJ2079" s="2"/>
      <c r="AK2079" s="2"/>
      <c r="AL2079" s="2"/>
      <c r="AM2079" s="2"/>
      <c r="AN2079" s="2"/>
      <c r="AO2079" s="2"/>
      <c r="AP2079" s="2"/>
      <c r="AQ2079" s="2"/>
      <c r="AR2079" s="2"/>
      <c r="AS2079" s="2"/>
      <c r="AT2079" s="2"/>
      <c r="AU2079" s="2"/>
      <c r="AV2079" s="2"/>
      <c r="AW2079" s="2"/>
      <c r="AX2079" s="2"/>
      <c r="AY2079" s="2"/>
      <c r="AZ2079" s="2"/>
      <c r="BA2079" s="2"/>
      <c r="BB2079" s="2"/>
    </row>
    <row r="2080" ht="204.75" customHeight="1">
      <c r="A2080" s="1">
        <v>75.0</v>
      </c>
      <c r="B2080" s="2" t="s">
        <v>6520</v>
      </c>
      <c r="C2080" s="2">
        <f>IFERROR(__xludf.DUMMYFUNCTION("split(B2080,""_"")"),1910.0)</f>
        <v>1910</v>
      </c>
      <c r="D2080" s="2" t="str">
        <f>IFERROR(__xludf.DUMMYFUNCTION("""COMPUTED_VALUE"""),"EX")</f>
        <v>EX</v>
      </c>
      <c r="E2080" s="2" t="str">
        <f>IFERROR(__xludf.DUMMYFUNCTION("""COMPUTED_VALUE"""),"金23")</f>
        <v>金23</v>
      </c>
      <c r="F2080" s="2" t="s">
        <v>6521</v>
      </c>
      <c r="G2080" s="2" t="s">
        <v>6534</v>
      </c>
      <c r="H2080" s="1">
        <v>5.0</v>
      </c>
      <c r="I2080" s="1" t="s">
        <v>2884</v>
      </c>
      <c r="J2080" s="1" t="s">
        <v>1435</v>
      </c>
      <c r="K2080" s="2" t="s">
        <v>6535</v>
      </c>
      <c r="L2080" s="11" t="s">
        <v>6536</v>
      </c>
      <c r="M2080" s="2" t="str">
        <f>IFERROR(__xludf.DUMMYFUNCTION("split(split(K2080,""【"",false),""公式LINE"",false)"),"刑事課の彩雲真空(吉岡里帆)はSNSで知り合った“親友""夏歩(趣里)から“ある時効事件""の捜査を依頼される。それは、夏歩の父親で“伝説のコント師""と呼ばれた村瀬ベルギーワッフル(水川かたまり)の死にまつわる事件だった。村瀬の相方で有名芸能人として活躍中の栗原くりごはん(鈴木もぐら)のことを犯人だと確信している夏歩は、霧山修一朗(オダギリジョー)と三日月しずか(麻生久美子)を巻き込み捜査を始める。")</f>
        <v>刑事課の彩雲真空(吉岡里帆)はSNSで知り合った“親友"夏歩(趣里)から“ある時効事件"の捜査を依頼される。それは、夏歩の父親で“伝説のコント師"と呼ばれた村瀬ベルギーワッフル(水川かたまり)の死にまつわる事件だった。村瀬の相方で有名芸能人として活躍中の栗原くりごはん(鈴木もぐら)のことを犯人だと確信している夏歩は、霧山修一朗(オダギリジョー)と三日月しずか(麻生久美子)を巻き込み捜査を始める。</v>
      </c>
      <c r="N2080" s="2"/>
      <c r="O2080" s="2"/>
      <c r="P2080" s="2"/>
      <c r="Q2080" s="2"/>
      <c r="R2080" s="2"/>
      <c r="S2080" s="2"/>
      <c r="T2080" s="2"/>
      <c r="U2080" s="2"/>
      <c r="V2080" s="2"/>
      <c r="W2080" s="2"/>
      <c r="X2080" s="2"/>
      <c r="Y2080" s="2"/>
      <c r="Z2080" s="2"/>
      <c r="AA2080" s="2"/>
      <c r="AB2080" s="2"/>
      <c r="AC2080" s="2"/>
      <c r="AD2080" s="2"/>
      <c r="AE2080" s="2"/>
      <c r="AF2080" s="2"/>
      <c r="AG2080" s="2"/>
      <c r="AH2080" s="2"/>
      <c r="AI2080" s="2"/>
      <c r="AJ2080" s="2"/>
      <c r="AK2080" s="2"/>
      <c r="AL2080" s="2"/>
      <c r="AM2080" s="2"/>
      <c r="AN2080" s="2"/>
      <c r="AO2080" s="2"/>
      <c r="AP2080" s="2"/>
      <c r="AQ2080" s="2"/>
      <c r="AR2080" s="2"/>
      <c r="AS2080" s="2"/>
      <c r="AT2080" s="2"/>
      <c r="AU2080" s="2"/>
      <c r="AV2080" s="2"/>
      <c r="AW2080" s="2"/>
      <c r="AX2080" s="2"/>
      <c r="AY2080" s="2"/>
      <c r="AZ2080" s="2"/>
      <c r="BA2080" s="2"/>
      <c r="BB2080" s="2"/>
    </row>
    <row r="2081" ht="204.75" customHeight="1">
      <c r="A2081" s="1">
        <v>76.0</v>
      </c>
      <c r="B2081" s="2" t="s">
        <v>6520</v>
      </c>
      <c r="C2081" s="2">
        <f>IFERROR(__xludf.DUMMYFUNCTION("split(B2081,""_"")"),1910.0)</f>
        <v>1910</v>
      </c>
      <c r="D2081" s="2" t="str">
        <f>IFERROR(__xludf.DUMMYFUNCTION("""COMPUTED_VALUE"""),"EX")</f>
        <v>EX</v>
      </c>
      <c r="E2081" s="2" t="str">
        <f>IFERROR(__xludf.DUMMYFUNCTION("""COMPUTED_VALUE"""),"金23")</f>
        <v>金23</v>
      </c>
      <c r="F2081" s="2" t="s">
        <v>6521</v>
      </c>
      <c r="G2081" s="2" t="s">
        <v>6537</v>
      </c>
      <c r="H2081" s="1">
        <v>6.0</v>
      </c>
      <c r="I2081" s="1" t="s">
        <v>2888</v>
      </c>
      <c r="J2081" s="1" t="s">
        <v>1435</v>
      </c>
      <c r="K2081" s="2" t="s">
        <v>6538</v>
      </c>
      <c r="L2081" s="11" t="s">
        <v>6539</v>
      </c>
      <c r="M2081" s="2" t="str">
        <f>IFERROR(__xludf.DUMMYFUNCTION("split(split(K2081,""【"",false),""公式LINE"",false)"),"CEO枕木葵(寺島しのぶ)のもと、人気プロレス団体へと成長した「気合プロレス」。しかし、その裏には、ある時効事件が…。25年前、看板選手であった丸山真剣(佐々木大輔)がリング上で立ったまま息絶えていたのだ。この事件を調べることにした霧山修一朗(オダギリジョー)と三日月しずか(麻生久美子)は、彩雲真空(吉岡里帆)と共に「気合プロレス」を訪問。葵やレフェリーのシューレス猿又(柳葉敏郎)から話を聞くと…")</f>
        <v>CEO枕木葵(寺島しのぶ)のもと、人気プロレス団体へと成長した「気合プロレス」。しかし、その裏には、ある時効事件が…。25年前、看板選手であった丸山真剣(佐々木大輔)がリング上で立ったまま息絶えていたのだ。この事件を調べることにした霧山修一朗(オダギリジョー)と三日月しずか(麻生久美子)は、彩雲真空(吉岡里帆)と共に「気合プロレス」を訪問。葵やレフェリーのシューレス猿又(柳葉敏郎)から話を聞くと…</v>
      </c>
      <c r="N2081" s="2"/>
      <c r="O2081" s="2"/>
      <c r="P2081" s="2"/>
      <c r="Q2081" s="2"/>
      <c r="R2081" s="2"/>
      <c r="S2081" s="2"/>
      <c r="T2081" s="2"/>
      <c r="U2081" s="2"/>
      <c r="V2081" s="2"/>
      <c r="W2081" s="2"/>
      <c r="X2081" s="2"/>
      <c r="Y2081" s="2"/>
      <c r="Z2081" s="2"/>
      <c r="AA2081" s="2"/>
      <c r="AB2081" s="2"/>
      <c r="AC2081" s="2"/>
      <c r="AD2081" s="2"/>
      <c r="AE2081" s="2"/>
      <c r="AF2081" s="2"/>
      <c r="AG2081" s="2"/>
      <c r="AH2081" s="2"/>
      <c r="AI2081" s="2"/>
      <c r="AJ2081" s="2"/>
      <c r="AK2081" s="2"/>
      <c r="AL2081" s="2"/>
      <c r="AM2081" s="2"/>
      <c r="AN2081" s="2"/>
      <c r="AO2081" s="2"/>
      <c r="AP2081" s="2"/>
      <c r="AQ2081" s="2"/>
      <c r="AR2081" s="2"/>
      <c r="AS2081" s="2"/>
      <c r="AT2081" s="2"/>
      <c r="AU2081" s="2"/>
      <c r="AV2081" s="2"/>
      <c r="AW2081" s="2"/>
      <c r="AX2081" s="2"/>
      <c r="AY2081" s="2"/>
      <c r="AZ2081" s="2"/>
      <c r="BA2081" s="2"/>
      <c r="BB2081" s="2"/>
    </row>
    <row r="2082" ht="204.75" customHeight="1">
      <c r="A2082" s="1">
        <v>77.0</v>
      </c>
      <c r="B2082" s="2" t="s">
        <v>6520</v>
      </c>
      <c r="C2082" s="2">
        <f>IFERROR(__xludf.DUMMYFUNCTION("split(B2082,""_"")"),1910.0)</f>
        <v>1910</v>
      </c>
      <c r="D2082" s="2" t="str">
        <f>IFERROR(__xludf.DUMMYFUNCTION("""COMPUTED_VALUE"""),"EX")</f>
        <v>EX</v>
      </c>
      <c r="E2082" s="2" t="str">
        <f>IFERROR(__xludf.DUMMYFUNCTION("""COMPUTED_VALUE"""),"金23")</f>
        <v>金23</v>
      </c>
      <c r="F2082" s="2" t="s">
        <v>6521</v>
      </c>
      <c r="G2082" s="2" t="s">
        <v>6540</v>
      </c>
      <c r="H2082" s="1">
        <v>7.0</v>
      </c>
      <c r="I2082" s="1" t="s">
        <v>2892</v>
      </c>
      <c r="J2082" s="1" t="s">
        <v>1435</v>
      </c>
      <c r="K2082" s="2" t="s">
        <v>6541</v>
      </c>
      <c r="L2082" s="11" t="s">
        <v>6542</v>
      </c>
      <c r="M2082" s="2" t="str">
        <f>IFERROR(__xludf.DUMMYFUNCTION("split(split(K2082,""【"",false),""公式LINE"",false)"),"巷で大流行中だという“開運メガネ""。このメガネを売り出した“桃瀬メガネ""の社長・桃瀬多恵子(檀れい)には“ある時効事件""と関係が。桃瀬の夫で、メガネがトレードマークの一発屋歌手・蝙蝠ユキオ(前野健太)が殺されたのだ。「犯人はメガネ」というダイイングメッセージが残されるも捜査は難航。この事件を趣味で調べることにした霧山修一朗(オダギリジョー)は、三日月しずか(麻生久美子)と共に多恵子のもとへ…。")</f>
        <v>巷で大流行中だという“開運メガネ"。このメガネを売り出した“桃瀬メガネ"の社長・桃瀬多恵子(檀れい)には“ある時効事件"と関係が。桃瀬の夫で、メガネがトレードマークの一発屋歌手・蝙蝠ユキオ(前野健太)が殺されたのだ。「犯人はメガネ」というダイイングメッセージが残されるも捜査は難航。この事件を趣味で調べることにした霧山修一朗(オダギリジョー)は、三日月しずか(麻生久美子)と共に多恵子のもとへ…。</v>
      </c>
      <c r="N2082" s="2"/>
      <c r="O2082" s="2"/>
      <c r="P2082" s="2"/>
      <c r="Q2082" s="2"/>
      <c r="R2082" s="2"/>
      <c r="S2082" s="2"/>
      <c r="T2082" s="2"/>
      <c r="U2082" s="2"/>
      <c r="V2082" s="2"/>
      <c r="W2082" s="2"/>
      <c r="X2082" s="2"/>
      <c r="Y2082" s="2"/>
      <c r="Z2082" s="2"/>
      <c r="AA2082" s="2"/>
      <c r="AB2082" s="2"/>
      <c r="AC2082" s="2"/>
      <c r="AD2082" s="2"/>
      <c r="AE2082" s="2"/>
      <c r="AF2082" s="2"/>
      <c r="AG2082" s="2"/>
      <c r="AH2082" s="2"/>
      <c r="AI2082" s="2"/>
      <c r="AJ2082" s="2"/>
      <c r="AK2082" s="2"/>
      <c r="AL2082" s="2"/>
      <c r="AM2082" s="2"/>
      <c r="AN2082" s="2"/>
      <c r="AO2082" s="2"/>
      <c r="AP2082" s="2"/>
      <c r="AQ2082" s="2"/>
      <c r="AR2082" s="2"/>
      <c r="AS2082" s="2"/>
      <c r="AT2082" s="2"/>
      <c r="AU2082" s="2"/>
      <c r="AV2082" s="2"/>
      <c r="AW2082" s="2"/>
      <c r="AX2082" s="2"/>
      <c r="AY2082" s="2"/>
      <c r="AZ2082" s="2"/>
      <c r="BA2082" s="2"/>
      <c r="BB2082" s="2"/>
    </row>
    <row r="2083" ht="204.75" customHeight="1">
      <c r="A2083" s="1">
        <v>78.0</v>
      </c>
      <c r="B2083" s="2" t="s">
        <v>6520</v>
      </c>
      <c r="C2083" s="2">
        <f>IFERROR(__xludf.DUMMYFUNCTION("split(B2083,""_"")"),1910.0)</f>
        <v>1910</v>
      </c>
      <c r="D2083" s="2" t="str">
        <f>IFERROR(__xludf.DUMMYFUNCTION("""COMPUTED_VALUE"""),"EX")</f>
        <v>EX</v>
      </c>
      <c r="E2083" s="2" t="str">
        <f>IFERROR(__xludf.DUMMYFUNCTION("""COMPUTED_VALUE"""),"金23")</f>
        <v>金23</v>
      </c>
      <c r="F2083" s="2" t="s">
        <v>6521</v>
      </c>
      <c r="G2083" s="2" t="s">
        <v>6543</v>
      </c>
      <c r="H2083" s="1">
        <v>8.0</v>
      </c>
      <c r="I2083" s="1" t="s">
        <v>2896</v>
      </c>
      <c r="J2083" s="1" t="s">
        <v>1435</v>
      </c>
      <c r="K2083" s="2" t="s">
        <v>6544</v>
      </c>
      <c r="L2083" s="11" t="s">
        <v>6545</v>
      </c>
      <c r="M2083" s="2" t="str">
        <f>IFERROR(__xludf.DUMMYFUNCTION("split(split(K2083,""【"",false),""公式LINE"",false)"),"霧山(オダギリジョー)は高飛び込み部コーチが飛び降りて死亡した時効事件の捜査を始める。ある生徒がその飛び降りを同級生・味澤宙夫(染谷将太)に事前に予言していたという。その生徒・雨夜翔太(山崎賢人)とは現在・スピリチャル雨夜として活躍する人物。同級生の朝霞鈴音(二階堂ふみ)、雨夜の担当医だった只野教授(松重豊)…その関係は?さらに霧山を連れ戻すためFBIも現れ…三日月(麻生久美子)との運命やいかに!?")</f>
        <v>霧山(オダギリジョー)は高飛び込み部コーチが飛び降りて死亡した時効事件の捜査を始める。ある生徒がその飛び降りを同級生・味澤宙夫(染谷将太)に事前に予言していたという。その生徒・雨夜翔太(山崎賢人)とは現在・スピリチャル雨夜として活躍する人物。同級生の朝霞鈴音(二階堂ふみ)、雨夜の担当医だった只野教授(松重豊)…その関係は?さらに霧山を連れ戻すためFBIも現れ…三日月(麻生久美子)との運命やいかに!?</v>
      </c>
      <c r="N2083" s="2"/>
      <c r="O2083" s="2"/>
      <c r="P2083" s="2"/>
      <c r="Q2083" s="2"/>
      <c r="R2083" s="2"/>
      <c r="S2083" s="2"/>
      <c r="T2083" s="2"/>
      <c r="U2083" s="2"/>
      <c r="V2083" s="2"/>
      <c r="W2083" s="2"/>
      <c r="X2083" s="2"/>
      <c r="Y2083" s="2"/>
      <c r="Z2083" s="2"/>
      <c r="AA2083" s="2"/>
      <c r="AB2083" s="2"/>
      <c r="AC2083" s="2"/>
      <c r="AD2083" s="2"/>
      <c r="AE2083" s="2"/>
      <c r="AF2083" s="2"/>
      <c r="AG2083" s="2"/>
      <c r="AH2083" s="2"/>
      <c r="AI2083" s="2"/>
      <c r="AJ2083" s="2"/>
      <c r="AK2083" s="2"/>
      <c r="AL2083" s="2"/>
      <c r="AM2083" s="2"/>
      <c r="AN2083" s="2"/>
      <c r="AO2083" s="2"/>
      <c r="AP2083" s="2"/>
      <c r="AQ2083" s="2"/>
      <c r="AR2083" s="2"/>
      <c r="AS2083" s="2"/>
      <c r="AT2083" s="2"/>
      <c r="AU2083" s="2"/>
      <c r="AV2083" s="2"/>
      <c r="AW2083" s="2"/>
      <c r="AX2083" s="2"/>
      <c r="AY2083" s="2"/>
      <c r="AZ2083" s="2"/>
      <c r="BA2083" s="2"/>
      <c r="BB2083" s="2"/>
    </row>
    <row r="2084" ht="204.75" customHeight="1">
      <c r="A2084" s="1">
        <v>89.0</v>
      </c>
      <c r="B2084" s="2" t="s">
        <v>6546</v>
      </c>
      <c r="C2084" s="2">
        <f>IFERROR(__xludf.DUMMYFUNCTION("split(B2084,""_"")"),1910.0)</f>
        <v>1910</v>
      </c>
      <c r="D2084" s="2" t="str">
        <f>IFERROR(__xludf.DUMMYFUNCTION("""COMPUTED_VALUE"""),"EX")</f>
        <v>EX</v>
      </c>
      <c r="E2084" s="2" t="str">
        <f>IFERROR(__xludf.DUMMYFUNCTION("""COMPUTED_VALUE"""),"土23")</f>
        <v>土23</v>
      </c>
      <c r="F2084" s="2" t="s">
        <v>6547</v>
      </c>
      <c r="G2084" s="2" t="s">
        <v>6548</v>
      </c>
      <c r="H2084" s="1">
        <v>1.0</v>
      </c>
      <c r="I2084" s="1" t="s">
        <v>2868</v>
      </c>
      <c r="J2084" s="1" t="s">
        <v>1435</v>
      </c>
      <c r="K2084" s="2" t="s">
        <v>6549</v>
      </c>
      <c r="L2084" s="11" t="s">
        <v>6550</v>
      </c>
      <c r="M2084" s="2" t="str">
        <f>IFERROR(__xludf.DUMMYFUNCTION("split(split(K2084,""【"",false),""公式LINE"",false)"),"社会現象を巻き起こしたおっさん同士のピュアラブが、舞台を“空""に生まれ変わるー!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f>
        <v>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v>
      </c>
      <c r="N2084" s="2"/>
      <c r="O2084" s="2"/>
      <c r="P2084" s="2"/>
      <c r="Q2084" s="2"/>
      <c r="R2084" s="2"/>
      <c r="S2084" s="2"/>
      <c r="T2084" s="2"/>
      <c r="U2084" s="2"/>
      <c r="V2084" s="2"/>
      <c r="W2084" s="2"/>
      <c r="X2084" s="2"/>
      <c r="Y2084" s="2"/>
      <c r="Z2084" s="2"/>
      <c r="AA2084" s="2"/>
      <c r="AB2084" s="2"/>
      <c r="AC2084" s="2"/>
      <c r="AD2084" s="2"/>
      <c r="AE2084" s="2"/>
      <c r="AF2084" s="2"/>
      <c r="AG2084" s="2"/>
      <c r="AH2084" s="2"/>
      <c r="AI2084" s="2"/>
      <c r="AJ2084" s="2"/>
      <c r="AK2084" s="2"/>
      <c r="AL2084" s="2"/>
      <c r="AM2084" s="2"/>
      <c r="AN2084" s="2"/>
      <c r="AO2084" s="2"/>
      <c r="AP2084" s="2"/>
      <c r="AQ2084" s="2"/>
      <c r="AR2084" s="2"/>
      <c r="AS2084" s="2"/>
      <c r="AT2084" s="2"/>
      <c r="AU2084" s="2"/>
      <c r="AV2084" s="2"/>
      <c r="AW2084" s="2"/>
      <c r="AX2084" s="2"/>
      <c r="AY2084" s="2"/>
      <c r="AZ2084" s="2"/>
      <c r="BA2084" s="2"/>
      <c r="BB2084" s="2"/>
    </row>
    <row r="2085" ht="204.75" customHeight="1">
      <c r="A2085" s="1">
        <v>90.0</v>
      </c>
      <c r="B2085" s="2" t="s">
        <v>6546</v>
      </c>
      <c r="C2085" s="2">
        <f>IFERROR(__xludf.DUMMYFUNCTION("split(B2085,""_"")"),1910.0)</f>
        <v>1910</v>
      </c>
      <c r="D2085" s="2" t="str">
        <f>IFERROR(__xludf.DUMMYFUNCTION("""COMPUTED_VALUE"""),"EX")</f>
        <v>EX</v>
      </c>
      <c r="E2085" s="2" t="str">
        <f>IFERROR(__xludf.DUMMYFUNCTION("""COMPUTED_VALUE"""),"土23")</f>
        <v>土23</v>
      </c>
      <c r="F2085" s="2" t="s">
        <v>6547</v>
      </c>
      <c r="G2085" s="2" t="s">
        <v>6551</v>
      </c>
      <c r="H2085" s="1">
        <v>2.0</v>
      </c>
      <c r="I2085" s="1" t="s">
        <v>2872</v>
      </c>
      <c r="J2085" s="1" t="s">
        <v>1435</v>
      </c>
      <c r="K2085" s="2" t="s">
        <v>6552</v>
      </c>
      <c r="L2085" s="11" t="s">
        <v>6550</v>
      </c>
      <c r="M2085" s="2" t="str">
        <f>IFERROR(__xludf.DUMMYFUNCTION("split(split(K2085,""【"",false),""公式LINE"",false)"),"社会現象を巻き起こしたおっさん同士のピュアラブが、舞台を“空""に生まれ変わるー!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f>
        <v>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v>
      </c>
      <c r="N2085" s="2"/>
      <c r="O2085" s="2"/>
      <c r="P2085" s="2"/>
      <c r="Q2085" s="2"/>
      <c r="R2085" s="2"/>
      <c r="S2085" s="2"/>
      <c r="T2085" s="2"/>
      <c r="U2085" s="2"/>
      <c r="V2085" s="2"/>
      <c r="W2085" s="2"/>
      <c r="X2085" s="2"/>
      <c r="Y2085" s="2"/>
      <c r="Z2085" s="2"/>
      <c r="AA2085" s="2"/>
      <c r="AB2085" s="2"/>
      <c r="AC2085" s="2"/>
      <c r="AD2085" s="2"/>
      <c r="AE2085" s="2"/>
      <c r="AF2085" s="2"/>
      <c r="AG2085" s="2"/>
      <c r="AH2085" s="2"/>
      <c r="AI2085" s="2"/>
      <c r="AJ2085" s="2"/>
      <c r="AK2085" s="2"/>
      <c r="AL2085" s="2"/>
      <c r="AM2085" s="2"/>
      <c r="AN2085" s="2"/>
      <c r="AO2085" s="2"/>
      <c r="AP2085" s="2"/>
      <c r="AQ2085" s="2"/>
      <c r="AR2085" s="2"/>
      <c r="AS2085" s="2"/>
      <c r="AT2085" s="2"/>
      <c r="AU2085" s="2"/>
      <c r="AV2085" s="2"/>
      <c r="AW2085" s="2"/>
      <c r="AX2085" s="2"/>
      <c r="AY2085" s="2"/>
      <c r="AZ2085" s="2"/>
      <c r="BA2085" s="2"/>
      <c r="BB2085" s="2"/>
    </row>
    <row r="2086" ht="204.75" customHeight="1">
      <c r="A2086" s="1">
        <v>91.0</v>
      </c>
      <c r="B2086" s="2" t="s">
        <v>6546</v>
      </c>
      <c r="C2086" s="2">
        <f>IFERROR(__xludf.DUMMYFUNCTION("split(B2086,""_"")"),1910.0)</f>
        <v>1910</v>
      </c>
      <c r="D2086" s="2" t="str">
        <f>IFERROR(__xludf.DUMMYFUNCTION("""COMPUTED_VALUE"""),"EX")</f>
        <v>EX</v>
      </c>
      <c r="E2086" s="2" t="str">
        <f>IFERROR(__xludf.DUMMYFUNCTION("""COMPUTED_VALUE"""),"土23")</f>
        <v>土23</v>
      </c>
      <c r="F2086" s="2" t="s">
        <v>6547</v>
      </c>
      <c r="G2086" s="2" t="s">
        <v>6553</v>
      </c>
      <c r="H2086" s="1">
        <v>3.0</v>
      </c>
      <c r="I2086" s="1" t="s">
        <v>2876</v>
      </c>
      <c r="J2086" s="1" t="s">
        <v>1435</v>
      </c>
      <c r="K2086" s="2" t="s">
        <v>6554</v>
      </c>
      <c r="L2086" s="11" t="s">
        <v>6550</v>
      </c>
      <c r="M2086" s="2" t="str">
        <f>IFERROR(__xludf.DUMMYFUNCTION("split(split(K2086,""【"",false),""公式LINE"",false)"),"社会現象を巻き起こしたおっさん同士のピュアラブが、舞台を“空""に生まれ変わるー!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f>
        <v>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v>
      </c>
      <c r="N2086" s="2"/>
      <c r="O2086" s="2"/>
      <c r="P2086" s="2"/>
      <c r="Q2086" s="2"/>
      <c r="R2086" s="2"/>
      <c r="S2086" s="2"/>
      <c r="T2086" s="2"/>
      <c r="U2086" s="2"/>
      <c r="V2086" s="2"/>
      <c r="W2086" s="2"/>
      <c r="X2086" s="2"/>
      <c r="Y2086" s="2"/>
      <c r="Z2086" s="2"/>
      <c r="AA2086" s="2"/>
      <c r="AB2086" s="2"/>
      <c r="AC2086" s="2"/>
      <c r="AD2086" s="2"/>
      <c r="AE2086" s="2"/>
      <c r="AF2086" s="2"/>
      <c r="AG2086" s="2"/>
      <c r="AH2086" s="2"/>
      <c r="AI2086" s="2"/>
      <c r="AJ2086" s="2"/>
      <c r="AK2086" s="2"/>
      <c r="AL2086" s="2"/>
      <c r="AM2086" s="2"/>
      <c r="AN2086" s="2"/>
      <c r="AO2086" s="2"/>
      <c r="AP2086" s="2"/>
      <c r="AQ2086" s="2"/>
      <c r="AR2086" s="2"/>
      <c r="AS2086" s="2"/>
      <c r="AT2086" s="2"/>
      <c r="AU2086" s="2"/>
      <c r="AV2086" s="2"/>
      <c r="AW2086" s="2"/>
      <c r="AX2086" s="2"/>
      <c r="AY2086" s="2"/>
      <c r="AZ2086" s="2"/>
      <c r="BA2086" s="2"/>
      <c r="BB2086" s="2"/>
    </row>
    <row r="2087" ht="204.75" customHeight="1">
      <c r="A2087" s="1">
        <v>92.0</v>
      </c>
      <c r="B2087" s="2" t="s">
        <v>6546</v>
      </c>
      <c r="C2087" s="2">
        <f>IFERROR(__xludf.DUMMYFUNCTION("split(B2087,""_"")"),1910.0)</f>
        <v>1910</v>
      </c>
      <c r="D2087" s="2" t="str">
        <f>IFERROR(__xludf.DUMMYFUNCTION("""COMPUTED_VALUE"""),"EX")</f>
        <v>EX</v>
      </c>
      <c r="E2087" s="2" t="str">
        <f>IFERROR(__xludf.DUMMYFUNCTION("""COMPUTED_VALUE"""),"土23")</f>
        <v>土23</v>
      </c>
      <c r="F2087" s="2" t="s">
        <v>6547</v>
      </c>
      <c r="G2087" s="2" t="s">
        <v>6555</v>
      </c>
      <c r="H2087" s="1">
        <v>4.0</v>
      </c>
      <c r="I2087" s="1" t="s">
        <v>2880</v>
      </c>
      <c r="J2087" s="1" t="s">
        <v>1435</v>
      </c>
      <c r="K2087" s="2" t="s">
        <v>6556</v>
      </c>
      <c r="L2087" s="11" t="s">
        <v>6550</v>
      </c>
      <c r="M2087" s="2" t="str">
        <f>IFERROR(__xludf.DUMMYFUNCTION("split(split(K2087,""【"",false),""公式LINE"",false)"),"社会現象を巻き起こしたおっさん同士のピュアラブが、舞台を“空""に生まれ変わるー!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f>
        <v>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v>
      </c>
      <c r="N2087" s="2"/>
      <c r="O2087" s="2"/>
      <c r="P2087" s="2"/>
      <c r="Q2087" s="2"/>
      <c r="R2087" s="2"/>
      <c r="S2087" s="2"/>
      <c r="T2087" s="2"/>
      <c r="U2087" s="2"/>
      <c r="V2087" s="2"/>
      <c r="W2087" s="2"/>
      <c r="X2087" s="2"/>
      <c r="Y2087" s="2"/>
      <c r="Z2087" s="2"/>
      <c r="AA2087" s="2"/>
      <c r="AB2087" s="2"/>
      <c r="AC2087" s="2"/>
      <c r="AD2087" s="2"/>
      <c r="AE2087" s="2"/>
      <c r="AF2087" s="2"/>
      <c r="AG2087" s="2"/>
      <c r="AH2087" s="2"/>
      <c r="AI2087" s="2"/>
      <c r="AJ2087" s="2"/>
      <c r="AK2087" s="2"/>
      <c r="AL2087" s="2"/>
      <c r="AM2087" s="2"/>
      <c r="AN2087" s="2"/>
      <c r="AO2087" s="2"/>
      <c r="AP2087" s="2"/>
      <c r="AQ2087" s="2"/>
      <c r="AR2087" s="2"/>
      <c r="AS2087" s="2"/>
      <c r="AT2087" s="2"/>
      <c r="AU2087" s="2"/>
      <c r="AV2087" s="2"/>
      <c r="AW2087" s="2"/>
      <c r="AX2087" s="2"/>
      <c r="AY2087" s="2"/>
      <c r="AZ2087" s="2"/>
      <c r="BA2087" s="2"/>
      <c r="BB2087" s="2"/>
    </row>
    <row r="2088" ht="204.75" customHeight="1">
      <c r="A2088" s="1">
        <v>93.0</v>
      </c>
      <c r="B2088" s="2" t="s">
        <v>6546</v>
      </c>
      <c r="C2088" s="2">
        <f>IFERROR(__xludf.DUMMYFUNCTION("split(B2088,""_"")"),1910.0)</f>
        <v>1910</v>
      </c>
      <c r="D2088" s="2" t="str">
        <f>IFERROR(__xludf.DUMMYFUNCTION("""COMPUTED_VALUE"""),"EX")</f>
        <v>EX</v>
      </c>
      <c r="E2088" s="2" t="str">
        <f>IFERROR(__xludf.DUMMYFUNCTION("""COMPUTED_VALUE"""),"土23")</f>
        <v>土23</v>
      </c>
      <c r="F2088" s="2" t="s">
        <v>6547</v>
      </c>
      <c r="G2088" s="2" t="s">
        <v>6557</v>
      </c>
      <c r="H2088" s="1">
        <v>5.0</v>
      </c>
      <c r="I2088" s="1" t="s">
        <v>2884</v>
      </c>
      <c r="J2088" s="1" t="s">
        <v>1435</v>
      </c>
      <c r="K2088" s="2" t="s">
        <v>6558</v>
      </c>
      <c r="L2088" s="11" t="s">
        <v>6550</v>
      </c>
      <c r="M2088" s="2" t="str">
        <f>IFERROR(__xludf.DUMMYFUNCTION("split(split(K2088,""【"",false),""公式LINE"",false)"),"社会現象を巻き起こしたおっさん同士のピュアラブが、舞台を“空""に生まれ変わるー!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f>
        <v>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v>
      </c>
      <c r="N2088" s="2"/>
      <c r="O2088" s="2"/>
      <c r="P2088" s="2"/>
      <c r="Q2088" s="2"/>
      <c r="R2088" s="2"/>
      <c r="S2088" s="2"/>
      <c r="T2088" s="2"/>
      <c r="U2088" s="2"/>
      <c r="V2088" s="2"/>
      <c r="W2088" s="2"/>
      <c r="X2088" s="2"/>
      <c r="Y2088" s="2"/>
      <c r="Z2088" s="2"/>
      <c r="AA2088" s="2"/>
      <c r="AB2088" s="2"/>
      <c r="AC2088" s="2"/>
      <c r="AD2088" s="2"/>
      <c r="AE2088" s="2"/>
      <c r="AF2088" s="2"/>
      <c r="AG2088" s="2"/>
      <c r="AH2088" s="2"/>
      <c r="AI2088" s="2"/>
      <c r="AJ2088" s="2"/>
      <c r="AK2088" s="2"/>
      <c r="AL2088" s="2"/>
      <c r="AM2088" s="2"/>
      <c r="AN2088" s="2"/>
      <c r="AO2088" s="2"/>
      <c r="AP2088" s="2"/>
      <c r="AQ2088" s="2"/>
      <c r="AR2088" s="2"/>
      <c r="AS2088" s="2"/>
      <c r="AT2088" s="2"/>
      <c r="AU2088" s="2"/>
      <c r="AV2088" s="2"/>
      <c r="AW2088" s="2"/>
      <c r="AX2088" s="2"/>
      <c r="AY2088" s="2"/>
      <c r="AZ2088" s="2"/>
      <c r="BA2088" s="2"/>
      <c r="BB2088" s="2"/>
    </row>
    <row r="2089" ht="204.75" customHeight="1">
      <c r="A2089" s="1">
        <v>94.0</v>
      </c>
      <c r="B2089" s="2" t="s">
        <v>6546</v>
      </c>
      <c r="C2089" s="2">
        <f>IFERROR(__xludf.DUMMYFUNCTION("split(B2089,""_"")"),1910.0)</f>
        <v>1910</v>
      </c>
      <c r="D2089" s="2" t="str">
        <f>IFERROR(__xludf.DUMMYFUNCTION("""COMPUTED_VALUE"""),"EX")</f>
        <v>EX</v>
      </c>
      <c r="E2089" s="2" t="str">
        <f>IFERROR(__xludf.DUMMYFUNCTION("""COMPUTED_VALUE"""),"土23")</f>
        <v>土23</v>
      </c>
      <c r="F2089" s="2" t="s">
        <v>6547</v>
      </c>
      <c r="G2089" s="2" t="s">
        <v>6559</v>
      </c>
      <c r="H2089" s="1">
        <v>6.0</v>
      </c>
      <c r="I2089" s="1" t="s">
        <v>2888</v>
      </c>
      <c r="J2089" s="1" t="s">
        <v>1435</v>
      </c>
      <c r="K2089" s="2" t="s">
        <v>6560</v>
      </c>
      <c r="L2089" s="11" t="s">
        <v>6550</v>
      </c>
      <c r="M2089" s="2" t="str">
        <f>IFERROR(__xludf.DUMMYFUNCTION("split(split(K2089,""【"",false),""公式LINE"",false)"),"社会現象を巻き起こしたおっさん同士のピュアラブが、舞台を“空""に生まれ変わるー!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f>
        <v>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v>
      </c>
      <c r="N2089" s="2"/>
      <c r="O2089" s="2"/>
      <c r="P2089" s="2"/>
      <c r="Q2089" s="2"/>
      <c r="R2089" s="2"/>
      <c r="S2089" s="2"/>
      <c r="T2089" s="2"/>
      <c r="U2089" s="2"/>
      <c r="V2089" s="2"/>
      <c r="W2089" s="2"/>
      <c r="X2089" s="2"/>
      <c r="Y2089" s="2"/>
      <c r="Z2089" s="2"/>
      <c r="AA2089" s="2"/>
      <c r="AB2089" s="2"/>
      <c r="AC2089" s="2"/>
      <c r="AD2089" s="2"/>
      <c r="AE2089" s="2"/>
      <c r="AF2089" s="2"/>
      <c r="AG2089" s="2"/>
      <c r="AH2089" s="2"/>
      <c r="AI2089" s="2"/>
      <c r="AJ2089" s="2"/>
      <c r="AK2089" s="2"/>
      <c r="AL2089" s="2"/>
      <c r="AM2089" s="2"/>
      <c r="AN2089" s="2"/>
      <c r="AO2089" s="2"/>
      <c r="AP2089" s="2"/>
      <c r="AQ2089" s="2"/>
      <c r="AR2089" s="2"/>
      <c r="AS2089" s="2"/>
      <c r="AT2089" s="2"/>
      <c r="AU2089" s="2"/>
      <c r="AV2089" s="2"/>
      <c r="AW2089" s="2"/>
      <c r="AX2089" s="2"/>
      <c r="AY2089" s="2"/>
      <c r="AZ2089" s="2"/>
      <c r="BA2089" s="2"/>
      <c r="BB2089" s="2"/>
    </row>
    <row r="2090" ht="204.75" customHeight="1">
      <c r="A2090" s="1">
        <v>95.0</v>
      </c>
      <c r="B2090" s="2" t="s">
        <v>6546</v>
      </c>
      <c r="C2090" s="2">
        <f>IFERROR(__xludf.DUMMYFUNCTION("split(B2090,""_"")"),1910.0)</f>
        <v>1910</v>
      </c>
      <c r="D2090" s="2" t="str">
        <f>IFERROR(__xludf.DUMMYFUNCTION("""COMPUTED_VALUE"""),"EX")</f>
        <v>EX</v>
      </c>
      <c r="E2090" s="2" t="str">
        <f>IFERROR(__xludf.DUMMYFUNCTION("""COMPUTED_VALUE"""),"土23")</f>
        <v>土23</v>
      </c>
      <c r="F2090" s="2" t="s">
        <v>6547</v>
      </c>
      <c r="G2090" s="2" t="s">
        <v>6561</v>
      </c>
      <c r="H2090" s="1">
        <v>7.0</v>
      </c>
      <c r="I2090" s="1" t="s">
        <v>2892</v>
      </c>
      <c r="J2090" s="1" t="s">
        <v>1435</v>
      </c>
      <c r="K2090" s="2" t="s">
        <v>6562</v>
      </c>
      <c r="L2090" s="11" t="s">
        <v>6550</v>
      </c>
      <c r="M2090" s="2" t="str">
        <f>IFERROR(__xludf.DUMMYFUNCTION("split(split(K2090,""【"",false),""公式LINE"",false)"),"社会現象を巻き起こしたおっさん同士のピュアラブが、舞台を“空""に生まれ変わるー!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f>
        <v>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v>
      </c>
      <c r="N2090" s="2"/>
      <c r="O2090" s="2"/>
      <c r="P2090" s="2"/>
      <c r="Q2090" s="2"/>
      <c r="R2090" s="2"/>
      <c r="S2090" s="2"/>
      <c r="T2090" s="2"/>
      <c r="U2090" s="2"/>
      <c r="V2090" s="2"/>
      <c r="W2090" s="2"/>
      <c r="X2090" s="2"/>
      <c r="Y2090" s="2"/>
      <c r="Z2090" s="2"/>
      <c r="AA2090" s="2"/>
      <c r="AB2090" s="2"/>
      <c r="AC2090" s="2"/>
      <c r="AD2090" s="2"/>
      <c r="AE2090" s="2"/>
      <c r="AF2090" s="2"/>
      <c r="AG2090" s="2"/>
      <c r="AH2090" s="2"/>
      <c r="AI2090" s="2"/>
      <c r="AJ2090" s="2"/>
      <c r="AK2090" s="2"/>
      <c r="AL2090" s="2"/>
      <c r="AM2090" s="2"/>
      <c r="AN2090" s="2"/>
      <c r="AO2090" s="2"/>
      <c r="AP2090" s="2"/>
      <c r="AQ2090" s="2"/>
      <c r="AR2090" s="2"/>
      <c r="AS2090" s="2"/>
      <c r="AT2090" s="2"/>
      <c r="AU2090" s="2"/>
      <c r="AV2090" s="2"/>
      <c r="AW2090" s="2"/>
      <c r="AX2090" s="2"/>
      <c r="AY2090" s="2"/>
      <c r="AZ2090" s="2"/>
      <c r="BA2090" s="2"/>
      <c r="BB2090" s="2"/>
    </row>
    <row r="2091" ht="204.75" customHeight="1">
      <c r="A2091" s="1">
        <v>96.0</v>
      </c>
      <c r="B2091" s="2" t="s">
        <v>6546</v>
      </c>
      <c r="C2091" s="2">
        <f>IFERROR(__xludf.DUMMYFUNCTION("split(B2091,""_"")"),1910.0)</f>
        <v>1910</v>
      </c>
      <c r="D2091" s="2" t="str">
        <f>IFERROR(__xludf.DUMMYFUNCTION("""COMPUTED_VALUE"""),"EX")</f>
        <v>EX</v>
      </c>
      <c r="E2091" s="2" t="str">
        <f>IFERROR(__xludf.DUMMYFUNCTION("""COMPUTED_VALUE"""),"土23")</f>
        <v>土23</v>
      </c>
      <c r="F2091" s="2" t="s">
        <v>6547</v>
      </c>
      <c r="G2091" s="2" t="s">
        <v>6563</v>
      </c>
      <c r="H2091" s="1">
        <v>8.0</v>
      </c>
      <c r="I2091" s="1" t="s">
        <v>2896</v>
      </c>
      <c r="J2091" s="1" t="s">
        <v>1435</v>
      </c>
      <c r="K2091" s="2" t="s">
        <v>6564</v>
      </c>
      <c r="L2091" s="11" t="s">
        <v>6550</v>
      </c>
      <c r="M2091" s="2" t="str">
        <f>IFERROR(__xludf.DUMMYFUNCTION("split(split(K2091,""【"",false),""公式LINE"",false)"),"社会現象を巻き起こしたおっさん同士のピュアラブが、舞台を“空""に生まれ変わるー!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f>
        <v>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v>
      </c>
      <c r="N2091" s="2"/>
      <c r="O2091" s="2"/>
      <c r="P2091" s="2"/>
      <c r="Q2091" s="2"/>
      <c r="R2091" s="2"/>
      <c r="S2091" s="2"/>
      <c r="T2091" s="2"/>
      <c r="U2091" s="2"/>
      <c r="V2091" s="2"/>
      <c r="W2091" s="2"/>
      <c r="X2091" s="2"/>
      <c r="Y2091" s="2"/>
      <c r="Z2091" s="2"/>
      <c r="AA2091" s="2"/>
      <c r="AB2091" s="2"/>
      <c r="AC2091" s="2"/>
      <c r="AD2091" s="2"/>
      <c r="AE2091" s="2"/>
      <c r="AF2091" s="2"/>
      <c r="AG2091" s="2"/>
      <c r="AH2091" s="2"/>
      <c r="AI2091" s="2"/>
      <c r="AJ2091" s="2"/>
      <c r="AK2091" s="2"/>
      <c r="AL2091" s="2"/>
      <c r="AM2091" s="2"/>
      <c r="AN2091" s="2"/>
      <c r="AO2091" s="2"/>
      <c r="AP2091" s="2"/>
      <c r="AQ2091" s="2"/>
      <c r="AR2091" s="2"/>
      <c r="AS2091" s="2"/>
      <c r="AT2091" s="2"/>
      <c r="AU2091" s="2"/>
      <c r="AV2091" s="2"/>
      <c r="AW2091" s="2"/>
      <c r="AX2091" s="2"/>
      <c r="AY2091" s="2"/>
      <c r="AZ2091" s="2"/>
      <c r="BA2091" s="2"/>
      <c r="BB2091" s="2"/>
    </row>
    <row r="2092" ht="204.75" customHeight="1">
      <c r="A2092" s="1">
        <v>138.0</v>
      </c>
      <c r="B2092" s="2" t="s">
        <v>6565</v>
      </c>
      <c r="C2092" s="2">
        <f>IFERROR(__xludf.DUMMYFUNCTION("split(B2092,""_"")"),1907.0)</f>
        <v>1907</v>
      </c>
      <c r="D2092" s="2" t="str">
        <f>IFERROR(__xludf.DUMMYFUNCTION("""COMPUTED_VALUE"""),"EX")</f>
        <v>EX</v>
      </c>
      <c r="E2092" s="2" t="str">
        <f>IFERROR(__xludf.DUMMYFUNCTION("""COMPUTED_VALUE"""),"木21")</f>
        <v>木21</v>
      </c>
      <c r="F2092" s="2" t="s">
        <v>6566</v>
      </c>
      <c r="G2092" s="2" t="s">
        <v>6567</v>
      </c>
      <c r="H2092" s="1">
        <v>1.0</v>
      </c>
      <c r="I2092" s="1" t="s">
        <v>2868</v>
      </c>
      <c r="J2092" s="1" t="s">
        <v>4</v>
      </c>
      <c r="K2092" s="2" t="s">
        <v>6568</v>
      </c>
      <c r="L2092" s="11" t="s">
        <v>6569</v>
      </c>
      <c r="M2092" s="2" t="str">
        <f>IFERROR(__xludf.DUMMYFUNCTION("split(split(K2092,""【"",false),""公式LINE"",false)"),"国民的人気歌手・北見永士(横山涼)がライブ会場で死んでいるのが発見された!解剖医・柚木貴志(大森南朋)が、北見の司法解剖を一任されるが、解剖直前になって、急な解剖医の変更が…。納得のいかない柚木は、遺体を保管庫から盗み出すという暴挙に出る!?偶発的に解剖室へ引きずり込んだ新人解剖医・中園景(飯豊まりえ)も巻き込み、無許可で解剖を開始!死因は「100%他殺」と断言し…!?")</f>
        <v>国民的人気歌手・北見永士(横山涼)がライブ会場で死んでいるのが発見された!解剖医・柚木貴志(大森南朋)が、北見の司法解剖を一任されるが、解剖直前になって、急な解剖医の変更が…。納得のいかない柚木は、遺体を保管庫から盗み出すという暴挙に出る!?偶発的に解剖室へ引きずり込んだ新人解剖医・中園景(飯豊まりえ)も巻き込み、無許可で解剖を開始!死因は「100%他殺」と断言し…!?</v>
      </c>
      <c r="N2092" s="2"/>
      <c r="O2092" s="2"/>
      <c r="P2092" s="2"/>
      <c r="Q2092" s="2"/>
      <c r="R2092" s="2"/>
      <c r="S2092" s="2"/>
      <c r="T2092" s="2"/>
      <c r="U2092" s="2"/>
      <c r="V2092" s="2"/>
      <c r="W2092" s="2"/>
      <c r="X2092" s="2"/>
      <c r="Y2092" s="2"/>
      <c r="Z2092" s="2"/>
      <c r="AA2092" s="2"/>
      <c r="AB2092" s="2"/>
      <c r="AC2092" s="2"/>
      <c r="AD2092" s="2"/>
      <c r="AE2092" s="2"/>
      <c r="AF2092" s="2"/>
      <c r="AG2092" s="2"/>
      <c r="AH2092" s="2"/>
      <c r="AI2092" s="2"/>
      <c r="AJ2092" s="2"/>
      <c r="AK2092" s="2"/>
      <c r="AL2092" s="2"/>
      <c r="AM2092" s="2"/>
      <c r="AN2092" s="2"/>
      <c r="AO2092" s="2"/>
      <c r="AP2092" s="2"/>
      <c r="AQ2092" s="2"/>
      <c r="AR2092" s="2"/>
      <c r="AS2092" s="2"/>
      <c r="AT2092" s="2"/>
      <c r="AU2092" s="2"/>
      <c r="AV2092" s="2"/>
      <c r="AW2092" s="2"/>
      <c r="AX2092" s="2"/>
      <c r="AY2092" s="2"/>
      <c r="AZ2092" s="2"/>
      <c r="BA2092" s="2"/>
      <c r="BB2092" s="2"/>
    </row>
    <row r="2093" ht="204.75" customHeight="1">
      <c r="A2093" s="1">
        <v>139.0</v>
      </c>
      <c r="B2093" s="2" t="s">
        <v>6565</v>
      </c>
      <c r="C2093" s="2">
        <f>IFERROR(__xludf.DUMMYFUNCTION("split(B2093,""_"")"),1907.0)</f>
        <v>1907</v>
      </c>
      <c r="D2093" s="2" t="str">
        <f>IFERROR(__xludf.DUMMYFUNCTION("""COMPUTED_VALUE"""),"EX")</f>
        <v>EX</v>
      </c>
      <c r="E2093" s="2" t="str">
        <f>IFERROR(__xludf.DUMMYFUNCTION("""COMPUTED_VALUE"""),"木21")</f>
        <v>木21</v>
      </c>
      <c r="F2093" s="2" t="s">
        <v>6566</v>
      </c>
      <c r="G2093" s="2" t="s">
        <v>6570</v>
      </c>
      <c r="H2093" s="1">
        <v>2.0</v>
      </c>
      <c r="I2093" s="1" t="s">
        <v>2872</v>
      </c>
      <c r="J2093" s="1" t="s">
        <v>11</v>
      </c>
      <c r="K2093" s="2" t="s">
        <v>6571</v>
      </c>
      <c r="L2093" s="11" t="s">
        <v>6572</v>
      </c>
      <c r="M2093" s="2" t="str">
        <f>IFERROR(__xludf.DUMMYFUNCTION("split(split(K2093,""【"",false),""公式LINE"",false)"),"東京と埼玉で、同時期に胸に奇妙なアザのある女性の首吊り死体が見つかった。埼玉で解剖した柚木(大森南朋)は「自殺に見せかけた他殺」と結論づける。一方、東京の伊達(仲村トオル)はある事情から早々に解剖を終了。「首吊りによる自殺で間違いない」と言い切り…2人の見解は“他殺""と“自殺""の真っ二つに割れる。そんな中、埼玉で新たな首吊り死体が立て続けに発見される。  震撼の連続殺人事件ーその真相を法医学が暴く!!")</f>
        <v>東京と埼玉で、同時期に胸に奇妙なアザのある女性の首吊り死体が見つかった。埼玉で解剖した柚木(大森南朋)は「自殺に見せかけた他殺」と結論づける。一方、東京の伊達(仲村トオル)はある事情から早々に解剖を終了。「首吊りによる自殺で間違いない」と言い切り…2人の見解は“他殺"と“自殺"の真っ二つに割れる。そんな中、埼玉で新たな首吊り死体が立て続けに発見される。  震撼の連続殺人事件ーその真相を法医学が暴く!!</v>
      </c>
      <c r="N2093" s="2"/>
      <c r="O2093" s="2"/>
      <c r="P2093" s="2"/>
      <c r="Q2093" s="2"/>
      <c r="R2093" s="2"/>
      <c r="S2093" s="2"/>
      <c r="T2093" s="2"/>
      <c r="U2093" s="2"/>
      <c r="V2093" s="2"/>
      <c r="W2093" s="2"/>
      <c r="X2093" s="2"/>
      <c r="Y2093" s="2"/>
      <c r="Z2093" s="2"/>
      <c r="AA2093" s="2"/>
      <c r="AB2093" s="2"/>
      <c r="AC2093" s="2"/>
      <c r="AD2093" s="2"/>
      <c r="AE2093" s="2"/>
      <c r="AF2093" s="2"/>
      <c r="AG2093" s="2"/>
      <c r="AH2093" s="2"/>
      <c r="AI2093" s="2"/>
      <c r="AJ2093" s="2"/>
      <c r="AK2093" s="2"/>
      <c r="AL2093" s="2"/>
      <c r="AM2093" s="2"/>
      <c r="AN2093" s="2"/>
      <c r="AO2093" s="2"/>
      <c r="AP2093" s="2"/>
      <c r="AQ2093" s="2"/>
      <c r="AR2093" s="2"/>
      <c r="AS2093" s="2"/>
      <c r="AT2093" s="2"/>
      <c r="AU2093" s="2"/>
      <c r="AV2093" s="2"/>
      <c r="AW2093" s="2"/>
      <c r="AX2093" s="2"/>
      <c r="AY2093" s="2"/>
      <c r="AZ2093" s="2"/>
      <c r="BA2093" s="2"/>
      <c r="BB2093" s="2"/>
    </row>
    <row r="2094" ht="204.75" customHeight="1">
      <c r="A2094" s="1">
        <v>140.0</v>
      </c>
      <c r="B2094" s="2" t="s">
        <v>6565</v>
      </c>
      <c r="C2094" s="2">
        <f>IFERROR(__xludf.DUMMYFUNCTION("split(B2094,""_"")"),1907.0)</f>
        <v>1907</v>
      </c>
      <c r="D2094" s="2" t="str">
        <f>IFERROR(__xludf.DUMMYFUNCTION("""COMPUTED_VALUE"""),"EX")</f>
        <v>EX</v>
      </c>
      <c r="E2094" s="2" t="str">
        <f>IFERROR(__xludf.DUMMYFUNCTION("""COMPUTED_VALUE"""),"木21")</f>
        <v>木21</v>
      </c>
      <c r="F2094" s="2" t="s">
        <v>6566</v>
      </c>
      <c r="G2094" s="2" t="s">
        <v>6573</v>
      </c>
      <c r="H2094" s="1">
        <v>3.0</v>
      </c>
      <c r="I2094" s="1" t="s">
        <v>2876</v>
      </c>
      <c r="J2094" s="1" t="s">
        <v>11</v>
      </c>
      <c r="K2094" s="2" t="s">
        <v>6574</v>
      </c>
      <c r="L2094" s="11" t="s">
        <v>6575</v>
      </c>
      <c r="M2094" s="2" t="str">
        <f>IFERROR(__xludf.DUMMYFUNCTION("split(split(K2094,""【"",false),""公式LINE"",false)"),"暴力団員がスナック店内で、腹部と眉間を撃たれて死亡!警視庁組織犯罪対策四課は「逃走中の暴力団員が抗争の末に射殺した」とにらみ、解剖を担当した日本法医学研究院の副院長・橘(淵上泰史)も同じ結論を出す。だが、疑問を抱いた解剖医・柚木(大森南朋)は、千聖(松雪泰子)に協力してもらい、景(飯豊まりえ)とともに事件現場となったスナック店内に潜入。飛び散った血痕の状況から、“ある矛盾のサイン""を嗅ぎ取るが…!?")</f>
        <v>暴力団員がスナック店内で、腹部と眉間を撃たれて死亡!警視庁組織犯罪対策四課は「逃走中の暴力団員が抗争の末に射殺した」とにらみ、解剖を担当した日本法医学研究院の副院長・橘(淵上泰史)も同じ結論を出す。だが、疑問を抱いた解剖医・柚木(大森南朋)は、千聖(松雪泰子)に協力してもらい、景(飯豊まりえ)とともに事件現場となったスナック店内に潜入。飛び散った血痕の状況から、“ある矛盾のサイン"を嗅ぎ取るが…!?</v>
      </c>
      <c r="N2094" s="2"/>
      <c r="O2094" s="2"/>
      <c r="P2094" s="2"/>
      <c r="Q2094" s="2"/>
      <c r="R2094" s="2"/>
      <c r="S2094" s="2"/>
      <c r="T2094" s="2"/>
      <c r="U2094" s="2"/>
      <c r="V2094" s="2"/>
      <c r="W2094" s="2"/>
      <c r="X2094" s="2"/>
      <c r="Y2094" s="2"/>
      <c r="Z2094" s="2"/>
      <c r="AA2094" s="2"/>
      <c r="AB2094" s="2"/>
      <c r="AC2094" s="2"/>
      <c r="AD2094" s="2"/>
      <c r="AE2094" s="2"/>
      <c r="AF2094" s="2"/>
      <c r="AG2094" s="2"/>
      <c r="AH2094" s="2"/>
      <c r="AI2094" s="2"/>
      <c r="AJ2094" s="2"/>
      <c r="AK2094" s="2"/>
      <c r="AL2094" s="2"/>
      <c r="AM2094" s="2"/>
      <c r="AN2094" s="2"/>
      <c r="AO2094" s="2"/>
      <c r="AP2094" s="2"/>
      <c r="AQ2094" s="2"/>
      <c r="AR2094" s="2"/>
      <c r="AS2094" s="2"/>
      <c r="AT2094" s="2"/>
      <c r="AU2094" s="2"/>
      <c r="AV2094" s="2"/>
      <c r="AW2094" s="2"/>
      <c r="AX2094" s="2"/>
      <c r="AY2094" s="2"/>
      <c r="AZ2094" s="2"/>
      <c r="BA2094" s="2"/>
      <c r="BB2094" s="2"/>
    </row>
    <row r="2095" ht="204.75" customHeight="1">
      <c r="A2095" s="1">
        <v>141.0</v>
      </c>
      <c r="B2095" s="2" t="s">
        <v>6565</v>
      </c>
      <c r="C2095" s="2">
        <f>IFERROR(__xludf.DUMMYFUNCTION("split(B2095,""_"")"),1907.0)</f>
        <v>1907</v>
      </c>
      <c r="D2095" s="2" t="str">
        <f>IFERROR(__xludf.DUMMYFUNCTION("""COMPUTED_VALUE"""),"EX")</f>
        <v>EX</v>
      </c>
      <c r="E2095" s="2" t="str">
        <f>IFERROR(__xludf.DUMMYFUNCTION("""COMPUTED_VALUE"""),"木21")</f>
        <v>木21</v>
      </c>
      <c r="F2095" s="2" t="s">
        <v>6566</v>
      </c>
      <c r="G2095" s="2" t="s">
        <v>6576</v>
      </c>
      <c r="H2095" s="1">
        <v>4.0</v>
      </c>
      <c r="I2095" s="1" t="s">
        <v>2880</v>
      </c>
      <c r="J2095" s="1" t="s">
        <v>11</v>
      </c>
      <c r="K2095" s="2" t="s">
        <v>6577</v>
      </c>
      <c r="L2095" s="11" t="s">
        <v>6578</v>
      </c>
      <c r="M2095" s="2" t="str">
        <f>IFERROR(__xludf.DUMMYFUNCTION("split(split(K2095,""【"",false),""公式LINE"",false)"),"柚木(大森南朋)の亡き父が務めていた病院の医師2人が、ほぼ同時刻に別々の場所で突然死した。千聖(松雪泰子)らは事件性を疑うが、解剖結果は特に異常なし。心不全としか言いようのない状態で…!?一方、柚木のもとへ「やすもとしょうこ」と名乗る人物から、「日本法医学研究院」の解剖結果ねつ造を暴露する封書が届き…!?そんな中、柚木を奈落の底へと突き落とす“あってはならない出来事""が起こってしまうー!")</f>
        <v>柚木(大森南朋)の亡き父が務めていた病院の医師2人が、ほぼ同時刻に別々の場所で突然死した。千聖(松雪泰子)らは事件性を疑うが、解剖結果は特に異常なし。心不全としか言いようのない状態で…!?一方、柚木のもとへ「やすもとしょうこ」と名乗る人物から、「日本法医学研究院」の解剖結果ねつ造を暴露する封書が届き…!?そんな中、柚木を奈落の底へと突き落とす“あってはならない出来事"が起こってしまうー!</v>
      </c>
      <c r="N2095" s="2"/>
      <c r="O2095" s="2"/>
      <c r="P2095" s="2"/>
      <c r="Q2095" s="2"/>
      <c r="R2095" s="2"/>
      <c r="S2095" s="2"/>
      <c r="T2095" s="2"/>
      <c r="U2095" s="2"/>
      <c r="V2095" s="2"/>
      <c r="W2095" s="2"/>
      <c r="X2095" s="2"/>
      <c r="Y2095" s="2"/>
      <c r="Z2095" s="2"/>
      <c r="AA2095" s="2"/>
      <c r="AB2095" s="2"/>
      <c r="AC2095" s="2"/>
      <c r="AD2095" s="2"/>
      <c r="AE2095" s="2"/>
      <c r="AF2095" s="2"/>
      <c r="AG2095" s="2"/>
      <c r="AH2095" s="2"/>
      <c r="AI2095" s="2"/>
      <c r="AJ2095" s="2"/>
      <c r="AK2095" s="2"/>
      <c r="AL2095" s="2"/>
      <c r="AM2095" s="2"/>
      <c r="AN2095" s="2"/>
      <c r="AO2095" s="2"/>
      <c r="AP2095" s="2"/>
      <c r="AQ2095" s="2"/>
      <c r="AR2095" s="2"/>
      <c r="AS2095" s="2"/>
      <c r="AT2095" s="2"/>
      <c r="AU2095" s="2"/>
      <c r="AV2095" s="2"/>
      <c r="AW2095" s="2"/>
      <c r="AX2095" s="2"/>
      <c r="AY2095" s="2"/>
      <c r="AZ2095" s="2"/>
      <c r="BA2095" s="2"/>
      <c r="BB2095" s="2"/>
    </row>
    <row r="2096" ht="204.75" customHeight="1">
      <c r="A2096" s="1">
        <v>142.0</v>
      </c>
      <c r="B2096" s="2" t="s">
        <v>6565</v>
      </c>
      <c r="C2096" s="2">
        <f>IFERROR(__xludf.DUMMYFUNCTION("split(B2096,""_"")"),1907.0)</f>
        <v>1907</v>
      </c>
      <c r="D2096" s="2" t="str">
        <f>IFERROR(__xludf.DUMMYFUNCTION("""COMPUTED_VALUE"""),"EX")</f>
        <v>EX</v>
      </c>
      <c r="E2096" s="2" t="str">
        <f>IFERROR(__xludf.DUMMYFUNCTION("""COMPUTED_VALUE"""),"木21")</f>
        <v>木21</v>
      </c>
      <c r="F2096" s="2" t="s">
        <v>6566</v>
      </c>
      <c r="G2096" s="2" t="s">
        <v>6579</v>
      </c>
      <c r="H2096" s="1">
        <v>5.0</v>
      </c>
      <c r="I2096" s="1" t="s">
        <v>2884</v>
      </c>
      <c r="J2096" s="1" t="s">
        <v>11</v>
      </c>
      <c r="K2096" s="2" t="s">
        <v>6580</v>
      </c>
      <c r="L2096" s="11" t="s">
        <v>6581</v>
      </c>
      <c r="M2096" s="2" t="str">
        <f>IFERROR(__xludf.DUMMYFUNCTION("split(split(K2096,""【"",false),""公式LINE"",false)"),"恩人である「日本法医学研究院」の元院長・兵藤邦昭(西田敏行)の自殺に、激しいショックと疑念を抱く柚木(大森南朋)。その矢先、不審な死を遂げた医師2人に続き、元看護師も遺体で見つかり、3人の接点が“25年前の医療ミス疑惑""にあることが判明!混迷を極める事態…。やがて、同じく25年前にこの世を去った柚木の父の死因に関する“衝撃の真実""も明らかに!この真実が、柚木の確固たる信念に揺さぶりをかけ…!?")</f>
        <v>恩人である「日本法医学研究院」の元院長・兵藤邦昭(西田敏行)の自殺に、激しいショックと疑念を抱く柚木(大森南朋)。その矢先、不審な死を遂げた医師2人に続き、元看護師も遺体で見つかり、3人の接点が“25年前の医療ミス疑惑"にあることが判明!混迷を極める事態…。やがて、同じく25年前にこの世を去った柚木の父の死因に関する“衝撃の真実"も明らかに!この真実が、柚木の確固たる信念に揺さぶりをかけ…!?</v>
      </c>
      <c r="N2096" s="2"/>
      <c r="O2096" s="2"/>
      <c r="P2096" s="2"/>
      <c r="Q2096" s="2"/>
      <c r="R2096" s="2"/>
      <c r="S2096" s="2"/>
      <c r="T2096" s="2"/>
      <c r="U2096" s="2"/>
      <c r="V2096" s="2"/>
      <c r="W2096" s="2"/>
      <c r="X2096" s="2"/>
      <c r="Y2096" s="2"/>
      <c r="Z2096" s="2"/>
      <c r="AA2096" s="2"/>
      <c r="AB2096" s="2"/>
      <c r="AC2096" s="2"/>
      <c r="AD2096" s="2"/>
      <c r="AE2096" s="2"/>
      <c r="AF2096" s="2"/>
      <c r="AG2096" s="2"/>
      <c r="AH2096" s="2"/>
      <c r="AI2096" s="2"/>
      <c r="AJ2096" s="2"/>
      <c r="AK2096" s="2"/>
      <c r="AL2096" s="2"/>
      <c r="AM2096" s="2"/>
      <c r="AN2096" s="2"/>
      <c r="AO2096" s="2"/>
      <c r="AP2096" s="2"/>
      <c r="AQ2096" s="2"/>
      <c r="AR2096" s="2"/>
      <c r="AS2096" s="2"/>
      <c r="AT2096" s="2"/>
      <c r="AU2096" s="2"/>
      <c r="AV2096" s="2"/>
      <c r="AW2096" s="2"/>
      <c r="AX2096" s="2"/>
      <c r="AY2096" s="2"/>
      <c r="AZ2096" s="2"/>
      <c r="BA2096" s="2"/>
      <c r="BB2096" s="2"/>
    </row>
    <row r="2097" ht="204.75" customHeight="1">
      <c r="A2097" s="1">
        <v>143.0</v>
      </c>
      <c r="B2097" s="2" t="s">
        <v>6565</v>
      </c>
      <c r="C2097" s="2">
        <f>IFERROR(__xludf.DUMMYFUNCTION("split(B2097,""_"")"),1907.0)</f>
        <v>1907</v>
      </c>
      <c r="D2097" s="2" t="str">
        <f>IFERROR(__xludf.DUMMYFUNCTION("""COMPUTED_VALUE"""),"EX")</f>
        <v>EX</v>
      </c>
      <c r="E2097" s="2" t="str">
        <f>IFERROR(__xludf.DUMMYFUNCTION("""COMPUTED_VALUE"""),"木21")</f>
        <v>木21</v>
      </c>
      <c r="F2097" s="2" t="s">
        <v>6566</v>
      </c>
      <c r="G2097" s="2" t="s">
        <v>6582</v>
      </c>
      <c r="H2097" s="1">
        <v>6.0</v>
      </c>
      <c r="I2097" s="1" t="s">
        <v>2888</v>
      </c>
      <c r="J2097" s="1" t="s">
        <v>11</v>
      </c>
      <c r="K2097" s="2" t="s">
        <v>6583</v>
      </c>
      <c r="L2097" s="11" t="s">
        <v>6584</v>
      </c>
      <c r="M2097" s="2" t="str">
        <f>IFERROR(__xludf.DUMMYFUNCTION("split(split(K2097,""【"",false),""公式LINE"",false)"),"法医学の未来を守るため解剖結果をねつ造してしまった柚木(大森南朋)は、自責の念にかられ「日本法医学研究院」を辞職。その矢先、女性会社員が金槌で撲殺される事件が発生し、落合という不審者が連行された。だが、落合にはアリバイがあり、有罪を裏付ける証拠は皆無…。  一方、3年前に自分の妹を意識不明の重体に陥らせたのも落合だと確信した新人解剖医・景(飯豊まりえ)は憎悪をたぎらせ、証拠探しに躍起になるが…!?")</f>
        <v>法医学の未来を守るため解剖結果をねつ造してしまった柚木(大森南朋)は、自責の念にかられ「日本法医学研究院」を辞職。その矢先、女性会社員が金槌で撲殺される事件が発生し、落合という不審者が連行された。だが、落合にはアリバイがあり、有罪を裏付ける証拠は皆無…。  一方、3年前に自分の妹を意識不明の重体に陥らせたのも落合だと確信した新人解剖医・景(飯豊まりえ)は憎悪をたぎらせ、証拠探しに躍起になるが…!?</v>
      </c>
      <c r="N2097" s="2"/>
      <c r="O2097" s="2"/>
      <c r="P2097" s="2"/>
      <c r="Q2097" s="2"/>
      <c r="R2097" s="2"/>
      <c r="S2097" s="2"/>
      <c r="T2097" s="2"/>
      <c r="U2097" s="2"/>
      <c r="V2097" s="2"/>
      <c r="W2097" s="2"/>
      <c r="X2097" s="2"/>
      <c r="Y2097" s="2"/>
      <c r="Z2097" s="2"/>
      <c r="AA2097" s="2"/>
      <c r="AB2097" s="2"/>
      <c r="AC2097" s="2"/>
      <c r="AD2097" s="2"/>
      <c r="AE2097" s="2"/>
      <c r="AF2097" s="2"/>
      <c r="AG2097" s="2"/>
      <c r="AH2097" s="2"/>
      <c r="AI2097" s="2"/>
      <c r="AJ2097" s="2"/>
      <c r="AK2097" s="2"/>
      <c r="AL2097" s="2"/>
      <c r="AM2097" s="2"/>
      <c r="AN2097" s="2"/>
      <c r="AO2097" s="2"/>
      <c r="AP2097" s="2"/>
      <c r="AQ2097" s="2"/>
      <c r="AR2097" s="2"/>
      <c r="AS2097" s="2"/>
      <c r="AT2097" s="2"/>
      <c r="AU2097" s="2"/>
      <c r="AV2097" s="2"/>
      <c r="AW2097" s="2"/>
      <c r="AX2097" s="2"/>
      <c r="AY2097" s="2"/>
      <c r="AZ2097" s="2"/>
      <c r="BA2097" s="2"/>
      <c r="BB2097" s="2"/>
    </row>
    <row r="2098" ht="204.75" customHeight="1">
      <c r="A2098" s="1">
        <v>144.0</v>
      </c>
      <c r="B2098" s="2" t="s">
        <v>6565</v>
      </c>
      <c r="C2098" s="2">
        <f>IFERROR(__xludf.DUMMYFUNCTION("split(B2098,""_"")"),1907.0)</f>
        <v>1907</v>
      </c>
      <c r="D2098" s="2" t="str">
        <f>IFERROR(__xludf.DUMMYFUNCTION("""COMPUTED_VALUE"""),"EX")</f>
        <v>EX</v>
      </c>
      <c r="E2098" s="2" t="str">
        <f>IFERROR(__xludf.DUMMYFUNCTION("""COMPUTED_VALUE"""),"木21")</f>
        <v>木21</v>
      </c>
      <c r="F2098" s="2" t="s">
        <v>6566</v>
      </c>
      <c r="G2098" s="2" t="s">
        <v>6585</v>
      </c>
      <c r="H2098" s="1">
        <v>7.0</v>
      </c>
      <c r="I2098" s="1" t="s">
        <v>2892</v>
      </c>
      <c r="J2098" s="1" t="s">
        <v>11</v>
      </c>
      <c r="K2098" s="2" t="s">
        <v>6586</v>
      </c>
      <c r="L2098" s="11" t="s">
        <v>6587</v>
      </c>
      <c r="M2098" s="2" t="str">
        <f>IFERROR(__xludf.DUMMYFUNCTION("split(split(K2098,""【"",false),""公式LINE"",false)"),"新人解剖医・景(飯豊まりえ)の妹も被害を受けた、不気味なゲーム殺人事件に急展開!さらに、解剖医・柚木(大森南朋)にとって“因縁の事件""も再び大きく動き出す!!なんと人気歌手・北見永士(横山涼)を殺したと自首して服役中の清花(柳美稀)が一転、無実を主張。その清花がまたも主張を覆した直後、突然シャワー室で死んでしまう。調べを進めると、北見事件に関する“驚愕の事実""と“さらなる謎""が浮かび上がり…")</f>
        <v>新人解剖医・景(飯豊まりえ)の妹も被害を受けた、不気味なゲーム殺人事件に急展開!さらに、解剖医・柚木(大森南朋)にとって“因縁の事件"も再び大きく動き出す!!なんと人気歌手・北見永士(横山涼)を殺したと自首して服役中の清花(柳美稀)が一転、無実を主張。その清花がまたも主張を覆した直後、突然シャワー室で死んでしまう。調べを進めると、北見事件に関する“驚愕の事実"と“さらなる謎"が浮かび上がり…</v>
      </c>
      <c r="N2098" s="2"/>
      <c r="O2098" s="2"/>
      <c r="P2098" s="2"/>
      <c r="Q2098" s="2"/>
      <c r="R2098" s="2"/>
      <c r="S2098" s="2"/>
      <c r="T2098" s="2"/>
      <c r="U2098" s="2"/>
      <c r="V2098" s="2"/>
      <c r="W2098" s="2"/>
      <c r="X2098" s="2"/>
      <c r="Y2098" s="2"/>
      <c r="Z2098" s="2"/>
      <c r="AA2098" s="2"/>
      <c r="AB2098" s="2"/>
      <c r="AC2098" s="2"/>
      <c r="AD2098" s="2"/>
      <c r="AE2098" s="2"/>
      <c r="AF2098" s="2"/>
      <c r="AG2098" s="2"/>
      <c r="AH2098" s="2"/>
      <c r="AI2098" s="2"/>
      <c r="AJ2098" s="2"/>
      <c r="AK2098" s="2"/>
      <c r="AL2098" s="2"/>
      <c r="AM2098" s="2"/>
      <c r="AN2098" s="2"/>
      <c r="AO2098" s="2"/>
      <c r="AP2098" s="2"/>
      <c r="AQ2098" s="2"/>
      <c r="AR2098" s="2"/>
      <c r="AS2098" s="2"/>
      <c r="AT2098" s="2"/>
      <c r="AU2098" s="2"/>
      <c r="AV2098" s="2"/>
      <c r="AW2098" s="2"/>
      <c r="AX2098" s="2"/>
      <c r="AY2098" s="2"/>
      <c r="AZ2098" s="2"/>
      <c r="BA2098" s="2"/>
      <c r="BB2098" s="2"/>
    </row>
    <row r="2099" ht="204.75" customHeight="1">
      <c r="A2099" s="1">
        <v>145.0</v>
      </c>
      <c r="B2099" s="2" t="s">
        <v>6565</v>
      </c>
      <c r="C2099" s="2">
        <f>IFERROR(__xludf.DUMMYFUNCTION("split(B2099,""_"")"),1907.0)</f>
        <v>1907</v>
      </c>
      <c r="D2099" s="2" t="str">
        <f>IFERROR(__xludf.DUMMYFUNCTION("""COMPUTED_VALUE"""),"EX")</f>
        <v>EX</v>
      </c>
      <c r="E2099" s="2" t="str">
        <f>IFERROR(__xludf.DUMMYFUNCTION("""COMPUTED_VALUE"""),"木21")</f>
        <v>木21</v>
      </c>
      <c r="F2099" s="2" t="s">
        <v>6566</v>
      </c>
      <c r="G2099" s="2" t="s">
        <v>6588</v>
      </c>
      <c r="H2099" s="1">
        <v>8.0</v>
      </c>
      <c r="I2099" s="1" t="s">
        <v>2896</v>
      </c>
      <c r="J2099" s="1" t="s">
        <v>11</v>
      </c>
      <c r="K2099" s="2" t="s">
        <v>6589</v>
      </c>
      <c r="L2099" s="11" t="s">
        <v>6590</v>
      </c>
      <c r="M2099" s="2" t="str">
        <f>IFERROR(__xludf.DUMMYFUNCTION("split(split(K2099,""【"",false),""公式LINE"",false)"),"人気歌手・北見永士(横山涼)殺害事件の主犯は、次期総裁候補の娘・楓(森川葵)であり、彼女こそが北見を窒息死させてとどめを刺したに違いない-。それが真実だと証明するため、解剖医・柚木(大森南朋)は警視庁捜査一課の千聖(松雪泰子)らと共に奔走する。だが、その矢先に共犯者の一人・会田(猪野学)が死亡してしまう!さらに、楓がとうとう任意聴取に応じるが、そこには“思わぬ落とし穴""が待ち受けていて…!?")</f>
        <v>人気歌手・北見永士(横山涼)殺害事件の主犯は、次期総裁候補の娘・楓(森川葵)であり、彼女こそが北見を窒息死させてとどめを刺したに違いない-。それが真実だと証明するため、解剖医・柚木(大森南朋)は警視庁捜査一課の千聖(松雪泰子)らと共に奔走する。だが、その矢先に共犯者の一人・会田(猪野学)が死亡してしまう!さらに、楓がとうとう任意聴取に応じるが、そこには“思わぬ落とし穴"が待ち受けていて…!?</v>
      </c>
      <c r="N2099" s="2"/>
      <c r="O2099" s="2"/>
      <c r="P2099" s="2"/>
      <c r="Q2099" s="2"/>
      <c r="R2099" s="2"/>
      <c r="S2099" s="2"/>
      <c r="T2099" s="2"/>
      <c r="U2099" s="2"/>
      <c r="V2099" s="2"/>
      <c r="W2099" s="2"/>
      <c r="X2099" s="2"/>
      <c r="Y2099" s="2"/>
      <c r="Z2099" s="2"/>
      <c r="AA2099" s="2"/>
      <c r="AB2099" s="2"/>
      <c r="AC2099" s="2"/>
      <c r="AD2099" s="2"/>
      <c r="AE2099" s="2"/>
      <c r="AF2099" s="2"/>
      <c r="AG2099" s="2"/>
      <c r="AH2099" s="2"/>
      <c r="AI2099" s="2"/>
      <c r="AJ2099" s="2"/>
      <c r="AK2099" s="2"/>
      <c r="AL2099" s="2"/>
      <c r="AM2099" s="2"/>
      <c r="AN2099" s="2"/>
      <c r="AO2099" s="2"/>
      <c r="AP2099" s="2"/>
      <c r="AQ2099" s="2"/>
      <c r="AR2099" s="2"/>
      <c r="AS2099" s="2"/>
      <c r="AT2099" s="2"/>
      <c r="AU2099" s="2"/>
      <c r="AV2099" s="2"/>
      <c r="AW2099" s="2"/>
      <c r="AX2099" s="2"/>
      <c r="AY2099" s="2"/>
      <c r="AZ2099" s="2"/>
      <c r="BA2099" s="2"/>
      <c r="BB2099" s="2"/>
    </row>
    <row r="2100" ht="204.75" customHeight="1">
      <c r="A2100" s="1">
        <v>146.0</v>
      </c>
      <c r="B2100" s="2" t="s">
        <v>6565</v>
      </c>
      <c r="C2100" s="2">
        <f>IFERROR(__xludf.DUMMYFUNCTION("split(B2100,""_"")"),1907.0)</f>
        <v>1907</v>
      </c>
      <c r="D2100" s="2" t="str">
        <f>IFERROR(__xludf.DUMMYFUNCTION("""COMPUTED_VALUE"""),"EX")</f>
        <v>EX</v>
      </c>
      <c r="E2100" s="2" t="str">
        <f>IFERROR(__xludf.DUMMYFUNCTION("""COMPUTED_VALUE"""),"木21")</f>
        <v>木21</v>
      </c>
      <c r="F2100" s="2" t="s">
        <v>6566</v>
      </c>
      <c r="G2100" s="2" t="s">
        <v>6591</v>
      </c>
      <c r="H2100" s="1">
        <v>9.0</v>
      </c>
      <c r="I2100" s="1" t="s">
        <v>2900</v>
      </c>
      <c r="J2100" s="1" t="s">
        <v>4</v>
      </c>
      <c r="K2100" s="2" t="s">
        <v>6592</v>
      </c>
      <c r="L2100" s="11" t="s">
        <v>6593</v>
      </c>
      <c r="M2100" s="2" t="str">
        <f>IFERROR(__xludf.DUMMYFUNCTION("split(split(K2100,""【"",false),""公式LINE"",false)"),"法医学vs.巨大権力“真実""をめぐる攻防戦、ここに完結!  殺された人気歌手の喉から見つかった“青い繊維""と、次期総裁候補の娘・楓(森川葵)の自宅から押収した凶器と思われる“青いぬいぐるみ""。柚木(大森南朋)らはこの2つを照合検査にかけるが、結果は「不一致」で…!権力によって次々と消されていく証拠…。やがて、柚木は楓の罪を暴く“真実のサイン""を手に入れるため、想像を絶する“決死の勝負""に出るーー。")</f>
        <v>法医学vs.巨大権力“真実"をめぐる攻防戦、ここに完結!  殺された人気歌手の喉から見つかった“青い繊維"と、次期総裁候補の娘・楓(森川葵)の自宅から押収した凶器と思われる“青いぬいぐるみ"。柚木(大森南朋)らはこの2つを照合検査にかけるが、結果は「不一致」で…!権力によって次々と消されていく証拠…。やがて、柚木は楓の罪を暴く“真実のサイン"を手に入れるため、想像を絶する“決死の勝負"に出るーー。</v>
      </c>
      <c r="N2100" s="2"/>
      <c r="O2100" s="2"/>
      <c r="P2100" s="2"/>
      <c r="Q2100" s="2"/>
      <c r="R2100" s="2"/>
      <c r="S2100" s="2"/>
      <c r="T2100" s="2"/>
      <c r="U2100" s="2"/>
      <c r="V2100" s="2"/>
      <c r="W2100" s="2"/>
      <c r="X2100" s="2"/>
      <c r="Y2100" s="2"/>
      <c r="Z2100" s="2"/>
      <c r="AA2100" s="2"/>
      <c r="AB2100" s="2"/>
      <c r="AC2100" s="2"/>
      <c r="AD2100" s="2"/>
      <c r="AE2100" s="2"/>
      <c r="AF2100" s="2"/>
      <c r="AG2100" s="2"/>
      <c r="AH2100" s="2"/>
      <c r="AI2100" s="2"/>
      <c r="AJ2100" s="2"/>
      <c r="AK2100" s="2"/>
      <c r="AL2100" s="2"/>
      <c r="AM2100" s="2"/>
      <c r="AN2100" s="2"/>
      <c r="AO2100" s="2"/>
      <c r="AP2100" s="2"/>
      <c r="AQ2100" s="2"/>
      <c r="AR2100" s="2"/>
      <c r="AS2100" s="2"/>
      <c r="AT2100" s="2"/>
      <c r="AU2100" s="2"/>
      <c r="AV2100" s="2"/>
      <c r="AW2100" s="2"/>
      <c r="AX2100" s="2"/>
      <c r="AY2100" s="2"/>
      <c r="AZ2100" s="2"/>
      <c r="BA2100" s="2"/>
      <c r="BB2100" s="2"/>
    </row>
    <row r="2101" ht="204.75" customHeight="1">
      <c r="A2101" s="1">
        <v>177.0</v>
      </c>
      <c r="B2101" s="2" t="s">
        <v>6594</v>
      </c>
      <c r="C2101" s="2">
        <f>IFERROR(__xludf.DUMMYFUNCTION("split(B2101,""_"")"),1907.0)</f>
        <v>1907</v>
      </c>
      <c r="D2101" s="2" t="str">
        <f>IFERROR(__xludf.DUMMYFUNCTION("""COMPUTED_VALUE"""),"EX")</f>
        <v>EX</v>
      </c>
      <c r="E2101" s="2" t="str">
        <f>IFERROR(__xludf.DUMMYFUNCTION("""COMPUTED_VALUE"""),"金23")</f>
        <v>金23</v>
      </c>
      <c r="F2101" s="2" t="s">
        <v>6595</v>
      </c>
      <c r="G2101" s="2" t="s">
        <v>6596</v>
      </c>
      <c r="H2101" s="1">
        <v>1.0</v>
      </c>
      <c r="I2101" s="1" t="s">
        <v>2868</v>
      </c>
      <c r="J2101" s="1" t="s">
        <v>1435</v>
      </c>
      <c r="K2101" s="2" t="s">
        <v>6597</v>
      </c>
      <c r="L2101" s="11" t="s">
        <v>6598</v>
      </c>
      <c r="M2101" s="2" t="str">
        <f>IFERROR(__xludf.DUMMYFUNCTION("split(split(K2101,""【"",false),""公式LINE"",false)"),"『うつせみ荘』に続く庭の地中、1匹のセミ(山田涼介)が羽化のときを待ちわびていた。  ついに迎えた羽化の瞬間。地上へと這い出たセミの頭上から、『うつせみ荘』に住む女性・大川由香(木南晴夏)が落下してくる!しかし由香は鮮やかにセミを避けて着地。  自分の命を救ってくれた由香に感動し、由香を幸せにしてあげたいと考えたセミは、7日間だけ人間の姿となり、由香の望みを叶えてあげようとするが…?")</f>
        <v>『うつせみ荘』に続く庭の地中、1匹のセミ(山田涼介)が羽化のときを待ちわびていた。  ついに迎えた羽化の瞬間。地上へと這い出たセミの頭上から、『うつせみ荘』に住む女性・大川由香(木南晴夏)が落下してくる!しかし由香は鮮やかにセミを避けて着地。  自分の命を救ってくれた由香に感動し、由香を幸せにしてあげたいと考えたセミは、7日間だけ人間の姿となり、由香の望みを叶えてあげようとするが…?</v>
      </c>
      <c r="N2101" s="2"/>
      <c r="O2101" s="2"/>
      <c r="P2101" s="2"/>
      <c r="Q2101" s="2"/>
      <c r="R2101" s="2"/>
      <c r="S2101" s="2"/>
      <c r="T2101" s="2"/>
      <c r="U2101" s="2"/>
      <c r="V2101" s="2"/>
      <c r="W2101" s="2"/>
      <c r="X2101" s="2"/>
      <c r="Y2101" s="2"/>
      <c r="Z2101" s="2"/>
      <c r="AA2101" s="2"/>
      <c r="AB2101" s="2"/>
      <c r="AC2101" s="2"/>
      <c r="AD2101" s="2"/>
      <c r="AE2101" s="2"/>
      <c r="AF2101" s="2"/>
      <c r="AG2101" s="2"/>
      <c r="AH2101" s="2"/>
      <c r="AI2101" s="2"/>
      <c r="AJ2101" s="2"/>
      <c r="AK2101" s="2"/>
      <c r="AL2101" s="2"/>
      <c r="AM2101" s="2"/>
      <c r="AN2101" s="2"/>
      <c r="AO2101" s="2"/>
      <c r="AP2101" s="2"/>
      <c r="AQ2101" s="2"/>
      <c r="AR2101" s="2"/>
      <c r="AS2101" s="2"/>
      <c r="AT2101" s="2"/>
      <c r="AU2101" s="2"/>
      <c r="AV2101" s="2"/>
      <c r="AW2101" s="2"/>
      <c r="AX2101" s="2"/>
      <c r="AY2101" s="2"/>
      <c r="AZ2101" s="2"/>
      <c r="BA2101" s="2"/>
      <c r="BB2101" s="2"/>
    </row>
    <row r="2102" ht="204.75" customHeight="1">
      <c r="A2102" s="1">
        <v>178.0</v>
      </c>
      <c r="B2102" s="2" t="s">
        <v>6594</v>
      </c>
      <c r="C2102" s="2">
        <f>IFERROR(__xludf.DUMMYFUNCTION("split(B2102,""_"")"),1907.0)</f>
        <v>1907</v>
      </c>
      <c r="D2102" s="2" t="str">
        <f>IFERROR(__xludf.DUMMYFUNCTION("""COMPUTED_VALUE"""),"EX")</f>
        <v>EX</v>
      </c>
      <c r="E2102" s="2" t="str">
        <f>IFERROR(__xludf.DUMMYFUNCTION("""COMPUTED_VALUE"""),"金23")</f>
        <v>金23</v>
      </c>
      <c r="F2102" s="2" t="s">
        <v>6595</v>
      </c>
      <c r="G2102" s="2" t="s">
        <v>6599</v>
      </c>
      <c r="H2102" s="1">
        <v>2.0</v>
      </c>
      <c r="I2102" s="1" t="s">
        <v>2872</v>
      </c>
      <c r="J2102" s="1" t="s">
        <v>1435</v>
      </c>
      <c r="K2102" s="2" t="s">
        <v>6600</v>
      </c>
      <c r="L2102" s="11" t="s">
        <v>6601</v>
      </c>
      <c r="M2102" s="2" t="str">
        <f>IFERROR(__xludf.DUMMYFUNCTION("split(split(K2102,""【"",false),""公式LINE"",false)"),"羽化し、人間の姿になったセミ(山田涼介)は、“地上で生きる最後の7日間""を大川由香(木南晴夏)の部屋で過ごすことに。由香によって急きょ「セミオ」と名付けられ、庄野くぎこ(檀ふみ)・ねじこ(阿川佐和子)姉妹ら『うつせみ荘』の住人たちに紹介される。セミオとくぎこ&amp;ねじこ、春(山崎静代)らは、優雅なティータイムを過ごしながら、“幸せ""について考える。セミオが由香に与えたい“幸せ""とは…?")</f>
        <v>羽化し、人間の姿になったセミ(山田涼介)は、“地上で生きる最後の7日間"を大川由香(木南晴夏)の部屋で過ごすことに。由香によって急きょ「セミオ」と名付けられ、庄野くぎこ(檀ふみ)・ねじこ(阿川佐和子)姉妹ら『うつせみ荘』の住人たちに紹介される。セミオとくぎこ&amp;ねじこ、春(山崎静代)らは、優雅なティータイムを過ごしながら、“幸せ"について考える。セミオが由香に与えたい“幸せ"とは…?</v>
      </c>
      <c r="N2102" s="2"/>
      <c r="O2102" s="2"/>
      <c r="P2102" s="2"/>
      <c r="Q2102" s="2"/>
      <c r="R2102" s="2"/>
      <c r="S2102" s="2"/>
      <c r="T2102" s="2"/>
      <c r="U2102" s="2"/>
      <c r="V2102" s="2"/>
      <c r="W2102" s="2"/>
      <c r="X2102" s="2"/>
      <c r="Y2102" s="2"/>
      <c r="Z2102" s="2"/>
      <c r="AA2102" s="2"/>
      <c r="AB2102" s="2"/>
      <c r="AC2102" s="2"/>
      <c r="AD2102" s="2"/>
      <c r="AE2102" s="2"/>
      <c r="AF2102" s="2"/>
      <c r="AG2102" s="2"/>
      <c r="AH2102" s="2"/>
      <c r="AI2102" s="2"/>
      <c r="AJ2102" s="2"/>
      <c r="AK2102" s="2"/>
      <c r="AL2102" s="2"/>
      <c r="AM2102" s="2"/>
      <c r="AN2102" s="2"/>
      <c r="AO2102" s="2"/>
      <c r="AP2102" s="2"/>
      <c r="AQ2102" s="2"/>
      <c r="AR2102" s="2"/>
      <c r="AS2102" s="2"/>
      <c r="AT2102" s="2"/>
      <c r="AU2102" s="2"/>
      <c r="AV2102" s="2"/>
      <c r="AW2102" s="2"/>
      <c r="AX2102" s="2"/>
      <c r="AY2102" s="2"/>
      <c r="AZ2102" s="2"/>
      <c r="BA2102" s="2"/>
      <c r="BB2102" s="2"/>
    </row>
    <row r="2103" ht="204.75" customHeight="1">
      <c r="A2103" s="1">
        <v>179.0</v>
      </c>
      <c r="B2103" s="2" t="s">
        <v>6594</v>
      </c>
      <c r="C2103" s="2">
        <f>IFERROR(__xludf.DUMMYFUNCTION("split(B2103,""_"")"),1907.0)</f>
        <v>1907</v>
      </c>
      <c r="D2103" s="2" t="str">
        <f>IFERROR(__xludf.DUMMYFUNCTION("""COMPUTED_VALUE"""),"EX")</f>
        <v>EX</v>
      </c>
      <c r="E2103" s="2" t="str">
        <f>IFERROR(__xludf.DUMMYFUNCTION("""COMPUTED_VALUE"""),"金23")</f>
        <v>金23</v>
      </c>
      <c r="F2103" s="2" t="s">
        <v>6595</v>
      </c>
      <c r="G2103" s="2" t="s">
        <v>6602</v>
      </c>
      <c r="H2103" s="1">
        <v>3.0</v>
      </c>
      <c r="I2103" s="1" t="s">
        <v>2876</v>
      </c>
      <c r="J2103" s="1" t="s">
        <v>1435</v>
      </c>
      <c r="K2103" s="2" t="s">
        <v>6603</v>
      </c>
      <c r="L2103" s="11" t="s">
        <v>6604</v>
      </c>
      <c r="M2103" s="2" t="str">
        <f>IFERROR(__xludf.DUMMYFUNCTION("split(split(K2103,""【"",false),""公式LINE"",false)"),"寝ているセミオ(山田涼介)にこっそり“チュウ""をした由香(木南晴夏)。翌朝『うつせみ荘』の住人たちにカマをかけられた由香は、その事実をセミオにまで知られてしまう!思いがけないセミオの反応に戸惑う由香だったが…?そんな中、食品工場では“お仕事参観""が開催され、小学生たちが見学に訪れる。小学生に混じり由香の仕事ぶりを見にきたセミオ。すると、セミオの胸の奥が、なぜかチクチクと痛み出し…")</f>
        <v>寝ているセミオ(山田涼介)にこっそり“チュウ"をした由香(木南晴夏)。翌朝『うつせみ荘』の住人たちにカマをかけられた由香は、その事実をセミオにまで知られてしまう!思いがけないセミオの反応に戸惑う由香だったが…?そんな中、食品工場では“お仕事参観"が開催され、小学生たちが見学に訪れる。小学生に混じり由香の仕事ぶりを見にきたセミオ。すると、セミオの胸の奥が、なぜかチクチクと痛み出し…</v>
      </c>
      <c r="N2103" s="2"/>
      <c r="O2103" s="2"/>
      <c r="P2103" s="2"/>
      <c r="Q2103" s="2"/>
      <c r="R2103" s="2"/>
      <c r="S2103" s="2"/>
      <c r="T2103" s="2"/>
      <c r="U2103" s="2"/>
      <c r="V2103" s="2"/>
      <c r="W2103" s="2"/>
      <c r="X2103" s="2"/>
      <c r="Y2103" s="2"/>
      <c r="Z2103" s="2"/>
      <c r="AA2103" s="2"/>
      <c r="AB2103" s="2"/>
      <c r="AC2103" s="2"/>
      <c r="AD2103" s="2"/>
      <c r="AE2103" s="2"/>
      <c r="AF2103" s="2"/>
      <c r="AG2103" s="2"/>
      <c r="AH2103" s="2"/>
      <c r="AI2103" s="2"/>
      <c r="AJ2103" s="2"/>
      <c r="AK2103" s="2"/>
      <c r="AL2103" s="2"/>
      <c r="AM2103" s="2"/>
      <c r="AN2103" s="2"/>
      <c r="AO2103" s="2"/>
      <c r="AP2103" s="2"/>
      <c r="AQ2103" s="2"/>
      <c r="AR2103" s="2"/>
      <c r="AS2103" s="2"/>
      <c r="AT2103" s="2"/>
      <c r="AU2103" s="2"/>
      <c r="AV2103" s="2"/>
      <c r="AW2103" s="2"/>
      <c r="AX2103" s="2"/>
      <c r="AY2103" s="2"/>
      <c r="AZ2103" s="2"/>
      <c r="BA2103" s="2"/>
      <c r="BB2103" s="2"/>
    </row>
    <row r="2104" ht="204.75" customHeight="1">
      <c r="A2104" s="1">
        <v>180.0</v>
      </c>
      <c r="B2104" s="2" t="s">
        <v>6594</v>
      </c>
      <c r="C2104" s="2">
        <f>IFERROR(__xludf.DUMMYFUNCTION("split(B2104,""_"")"),1907.0)</f>
        <v>1907</v>
      </c>
      <c r="D2104" s="2" t="str">
        <f>IFERROR(__xludf.DUMMYFUNCTION("""COMPUTED_VALUE"""),"EX")</f>
        <v>EX</v>
      </c>
      <c r="E2104" s="2" t="str">
        <f>IFERROR(__xludf.DUMMYFUNCTION("""COMPUTED_VALUE"""),"金23")</f>
        <v>金23</v>
      </c>
      <c r="F2104" s="2" t="s">
        <v>6595</v>
      </c>
      <c r="G2104" s="2" t="s">
        <v>6605</v>
      </c>
      <c r="H2104" s="1">
        <v>4.0</v>
      </c>
      <c r="I2104" s="1" t="s">
        <v>2880</v>
      </c>
      <c r="J2104" s="1" t="s">
        <v>1435</v>
      </c>
      <c r="K2104" s="2" t="s">
        <v>6606</v>
      </c>
      <c r="L2104" s="11" t="s">
        <v>6607</v>
      </c>
      <c r="M2104" s="2" t="str">
        <f>IFERROR(__xludf.DUMMYFUNCTION("split(split(K2104,""【"",false),""公式LINE"",false)"),"セミオ(山田涼介)との残りの時間を考えると切ない由香(木南晴夏)は、セミオに手作りのメイプルシロップケースをプレゼントする。思いがけず大喜びするセミオに安心する由香ーーそんな由香にセミオは「おかゆさんに恋しています」と告白し…?  「一緒にいたい」というセミオの願いを叶えるため、一緒に食品工場に出勤した由香。そんな中、『うつせみ荘』では春(山崎静代)がひとり部屋で苦しんでいた!")</f>
        <v>セミオ(山田涼介)との残りの時間を考えると切ない由香(木南晴夏)は、セミオに手作りのメイプルシロップケースをプレゼントする。思いがけず大喜びするセミオに安心する由香ーーそんな由香にセミオは「おかゆさんに恋しています」と告白し…?  「一緒にいたい」というセミオの願いを叶えるため、一緒に食品工場に出勤した由香。そんな中、『うつせみ荘』では春(山崎静代)がひとり部屋で苦しんでいた!</v>
      </c>
      <c r="N2104" s="2"/>
      <c r="O2104" s="2"/>
      <c r="P2104" s="2"/>
      <c r="Q2104" s="2"/>
      <c r="R2104" s="2"/>
      <c r="S2104" s="2"/>
      <c r="T2104" s="2"/>
      <c r="U2104" s="2"/>
      <c r="V2104" s="2"/>
      <c r="W2104" s="2"/>
      <c r="X2104" s="2"/>
      <c r="Y2104" s="2"/>
      <c r="Z2104" s="2"/>
      <c r="AA2104" s="2"/>
      <c r="AB2104" s="2"/>
      <c r="AC2104" s="2"/>
      <c r="AD2104" s="2"/>
      <c r="AE2104" s="2"/>
      <c r="AF2104" s="2"/>
      <c r="AG2104" s="2"/>
      <c r="AH2104" s="2"/>
      <c r="AI2104" s="2"/>
      <c r="AJ2104" s="2"/>
      <c r="AK2104" s="2"/>
      <c r="AL2104" s="2"/>
      <c r="AM2104" s="2"/>
      <c r="AN2104" s="2"/>
      <c r="AO2104" s="2"/>
      <c r="AP2104" s="2"/>
      <c r="AQ2104" s="2"/>
      <c r="AR2104" s="2"/>
      <c r="AS2104" s="2"/>
      <c r="AT2104" s="2"/>
      <c r="AU2104" s="2"/>
      <c r="AV2104" s="2"/>
      <c r="AW2104" s="2"/>
      <c r="AX2104" s="2"/>
      <c r="AY2104" s="2"/>
      <c r="AZ2104" s="2"/>
      <c r="BA2104" s="2"/>
      <c r="BB2104" s="2"/>
    </row>
    <row r="2105" ht="204.75" customHeight="1">
      <c r="A2105" s="1">
        <v>181.0</v>
      </c>
      <c r="B2105" s="2" t="s">
        <v>6594</v>
      </c>
      <c r="C2105" s="2">
        <f>IFERROR(__xludf.DUMMYFUNCTION("split(B2105,""_"")"),1907.0)</f>
        <v>1907</v>
      </c>
      <c r="D2105" s="2" t="str">
        <f>IFERROR(__xludf.DUMMYFUNCTION("""COMPUTED_VALUE"""),"EX")</f>
        <v>EX</v>
      </c>
      <c r="E2105" s="2" t="str">
        <f>IFERROR(__xludf.DUMMYFUNCTION("""COMPUTED_VALUE"""),"金23")</f>
        <v>金23</v>
      </c>
      <c r="F2105" s="2" t="s">
        <v>6595</v>
      </c>
      <c r="G2105" s="2" t="s">
        <v>6608</v>
      </c>
      <c r="H2105" s="1">
        <v>5.0</v>
      </c>
      <c r="I2105" s="1" t="s">
        <v>2884</v>
      </c>
      <c r="J2105" s="1" t="s">
        <v>1435</v>
      </c>
      <c r="K2105" s="2" t="s">
        <v>6609</v>
      </c>
      <c r="L2105" s="11" t="s">
        <v>6610</v>
      </c>
      <c r="M2105" s="2" t="str">
        <f>IFERROR(__xludf.DUMMYFUNCTION("split(split(K2105,""【"",false),""公式LINE"",false)"),"春(山崎静代)の危機を救ったセミオ(山田涼介)は、みんなから「お手柄」と感謝される。しかし、セミオは初めて自分の命があとわずかなことに悲しみを覚えていた…。住人たちが集まる中、6年前に起きた出来事を話し始める春。さらに、ねじこ(阿川佐和子)&amp;くぎこ(檀ふみ)姉妹、美奈子(今田美桜)もこれまでに話したことがなかった過去を告白。住人たちが『うつせみ荘』の心地よさを感じる中、セミオの体にはある異変が…")</f>
        <v>春(山崎静代)の危機を救ったセミオ(山田涼介)は、みんなから「お手柄」と感謝される。しかし、セミオは初めて自分の命があとわずかなことに悲しみを覚えていた…。住人たちが集まる中、6年前に起きた出来事を話し始める春。さらに、ねじこ(阿川佐和子)&amp;くぎこ(檀ふみ)姉妹、美奈子(今田美桜)もこれまでに話したことがなかった過去を告白。住人たちが『うつせみ荘』の心地よさを感じる中、セミオの体にはある異変が…</v>
      </c>
      <c r="N2105" s="2"/>
      <c r="O2105" s="2"/>
      <c r="P2105" s="2"/>
      <c r="Q2105" s="2"/>
      <c r="R2105" s="2"/>
      <c r="S2105" s="2"/>
      <c r="T2105" s="2"/>
      <c r="U2105" s="2"/>
      <c r="V2105" s="2"/>
      <c r="W2105" s="2"/>
      <c r="X2105" s="2"/>
      <c r="Y2105" s="2"/>
      <c r="Z2105" s="2"/>
      <c r="AA2105" s="2"/>
      <c r="AB2105" s="2"/>
      <c r="AC2105" s="2"/>
      <c r="AD2105" s="2"/>
      <c r="AE2105" s="2"/>
      <c r="AF2105" s="2"/>
      <c r="AG2105" s="2"/>
      <c r="AH2105" s="2"/>
      <c r="AI2105" s="2"/>
      <c r="AJ2105" s="2"/>
      <c r="AK2105" s="2"/>
      <c r="AL2105" s="2"/>
      <c r="AM2105" s="2"/>
      <c r="AN2105" s="2"/>
      <c r="AO2105" s="2"/>
      <c r="AP2105" s="2"/>
      <c r="AQ2105" s="2"/>
      <c r="AR2105" s="2"/>
      <c r="AS2105" s="2"/>
      <c r="AT2105" s="2"/>
      <c r="AU2105" s="2"/>
      <c r="AV2105" s="2"/>
      <c r="AW2105" s="2"/>
      <c r="AX2105" s="2"/>
      <c r="AY2105" s="2"/>
      <c r="AZ2105" s="2"/>
      <c r="BA2105" s="2"/>
      <c r="BB2105" s="2"/>
    </row>
    <row r="2106" ht="204.75" customHeight="1">
      <c r="A2106" s="1">
        <v>182.0</v>
      </c>
      <c r="B2106" s="2" t="s">
        <v>6594</v>
      </c>
      <c r="C2106" s="2">
        <f>IFERROR(__xludf.DUMMYFUNCTION("split(B2106,""_"")"),1907.0)</f>
        <v>1907</v>
      </c>
      <c r="D2106" s="2" t="str">
        <f>IFERROR(__xludf.DUMMYFUNCTION("""COMPUTED_VALUE"""),"EX")</f>
        <v>EX</v>
      </c>
      <c r="E2106" s="2" t="str">
        <f>IFERROR(__xludf.DUMMYFUNCTION("""COMPUTED_VALUE"""),"金23")</f>
        <v>金23</v>
      </c>
      <c r="F2106" s="2" t="s">
        <v>6595</v>
      </c>
      <c r="G2106" s="2" t="s">
        <v>6611</v>
      </c>
      <c r="H2106" s="1">
        <v>6.0</v>
      </c>
      <c r="I2106" s="1" t="s">
        <v>2888</v>
      </c>
      <c r="J2106" s="1" t="s">
        <v>1435</v>
      </c>
      <c r="K2106" s="2" t="s">
        <v>6612</v>
      </c>
      <c r="L2106" s="11" t="s">
        <v>6613</v>
      </c>
      <c r="M2106" s="2" t="str">
        <f>IFERROR(__xludf.DUMMYFUNCTION("split(split(K2106,""【"",false),""公式LINE"",false)"),"とうとう『うつせみ荘』の住人たちに自分の正体を告げたセミオ(山田涼介)。住人たちは静かに、その事実を受け入れる。だが、由香(木南晴夏)だけはひとりその現実に混乱。そんな由香の気持ちを察し、住人たちもまた悲しくやりきれない気持ちになっていた。そんな中、由香とセミオはデートに出かけることに!楽しい時間を過ごす一方で、由香は密かにある決意をする…。")</f>
        <v>とうとう『うつせみ荘』の住人たちに自分の正体を告げたセミオ(山田涼介)。住人たちは静かに、その事実を受け入れる。だが、由香(木南晴夏)だけはひとりその現実に混乱。そんな由香の気持ちを察し、住人たちもまた悲しくやりきれない気持ちになっていた。そんな中、由香とセミオはデートに出かけることに!楽しい時間を過ごす一方で、由香は密かにある決意をする…。</v>
      </c>
      <c r="N2106" s="2"/>
      <c r="O2106" s="2"/>
      <c r="P2106" s="2"/>
      <c r="Q2106" s="2"/>
      <c r="R2106" s="2"/>
      <c r="S2106" s="2"/>
      <c r="T2106" s="2"/>
      <c r="U2106" s="2"/>
      <c r="V2106" s="2"/>
      <c r="W2106" s="2"/>
      <c r="X2106" s="2"/>
      <c r="Y2106" s="2"/>
      <c r="Z2106" s="2"/>
      <c r="AA2106" s="2"/>
      <c r="AB2106" s="2"/>
      <c r="AC2106" s="2"/>
      <c r="AD2106" s="2"/>
      <c r="AE2106" s="2"/>
      <c r="AF2106" s="2"/>
      <c r="AG2106" s="2"/>
      <c r="AH2106" s="2"/>
      <c r="AI2106" s="2"/>
      <c r="AJ2106" s="2"/>
      <c r="AK2106" s="2"/>
      <c r="AL2106" s="2"/>
      <c r="AM2106" s="2"/>
      <c r="AN2106" s="2"/>
      <c r="AO2106" s="2"/>
      <c r="AP2106" s="2"/>
      <c r="AQ2106" s="2"/>
      <c r="AR2106" s="2"/>
      <c r="AS2106" s="2"/>
      <c r="AT2106" s="2"/>
      <c r="AU2106" s="2"/>
      <c r="AV2106" s="2"/>
      <c r="AW2106" s="2"/>
      <c r="AX2106" s="2"/>
      <c r="AY2106" s="2"/>
      <c r="AZ2106" s="2"/>
      <c r="BA2106" s="2"/>
      <c r="BB2106" s="2"/>
    </row>
    <row r="2107" ht="204.75" customHeight="1">
      <c r="A2107" s="1">
        <v>183.0</v>
      </c>
      <c r="B2107" s="2" t="s">
        <v>6594</v>
      </c>
      <c r="C2107" s="2">
        <f>IFERROR(__xludf.DUMMYFUNCTION("split(B2107,""_"")"),1907.0)</f>
        <v>1907</v>
      </c>
      <c r="D2107" s="2" t="str">
        <f>IFERROR(__xludf.DUMMYFUNCTION("""COMPUTED_VALUE"""),"EX")</f>
        <v>EX</v>
      </c>
      <c r="E2107" s="2" t="str">
        <f>IFERROR(__xludf.DUMMYFUNCTION("""COMPUTED_VALUE"""),"金23")</f>
        <v>金23</v>
      </c>
      <c r="F2107" s="2" t="s">
        <v>6595</v>
      </c>
      <c r="G2107" s="2" t="s">
        <v>6614</v>
      </c>
      <c r="H2107" s="1">
        <v>7.0</v>
      </c>
      <c r="I2107" s="1" t="s">
        <v>2892</v>
      </c>
      <c r="J2107" s="1" t="s">
        <v>1435</v>
      </c>
      <c r="K2107" s="2" t="s">
        <v>6615</v>
      </c>
      <c r="L2107" s="11" t="s">
        <v>6616</v>
      </c>
      <c r="M2107" s="2" t="str">
        <f>IFERROR(__xludf.DUMMYFUNCTION("split(split(K2107,""【"",false),""公式LINE"",false)"),"街へデートに出かけたセミオ(山田涼介)と由香(木南晴夏)。楽しい時間を過ごした帰り道、由香は思いがけず家族と再会する!もう二度と会うことはないと思っていた家族と“最後に""会えたことを喜ぶ由香。「会えてよかった」と呟く由香に、セミオは最後の願いを伝える。そして『うつせみ荘』の住人たちもまた、由香のために何かできないかと考えていた…。")</f>
        <v>街へデートに出かけたセミオ(山田涼介)と由香(木南晴夏)。楽しい時間を過ごした帰り道、由香は思いがけず家族と再会する!もう二度と会うことはないと思っていた家族と“最後に"会えたことを喜ぶ由香。「会えてよかった」と呟く由香に、セミオは最後の願いを伝える。そして『うつせみ荘』の住人たちもまた、由香のために何かできないかと考えていた…。</v>
      </c>
      <c r="N2107" s="2"/>
      <c r="O2107" s="2"/>
      <c r="P2107" s="2"/>
      <c r="Q2107" s="2"/>
      <c r="R2107" s="2"/>
      <c r="S2107" s="2"/>
      <c r="T2107" s="2"/>
      <c r="U2107" s="2"/>
      <c r="V2107" s="2"/>
      <c r="W2107" s="2"/>
      <c r="X2107" s="2"/>
      <c r="Y2107" s="2"/>
      <c r="Z2107" s="2"/>
      <c r="AA2107" s="2"/>
      <c r="AB2107" s="2"/>
      <c r="AC2107" s="2"/>
      <c r="AD2107" s="2"/>
      <c r="AE2107" s="2"/>
      <c r="AF2107" s="2"/>
      <c r="AG2107" s="2"/>
      <c r="AH2107" s="2"/>
      <c r="AI2107" s="2"/>
      <c r="AJ2107" s="2"/>
      <c r="AK2107" s="2"/>
      <c r="AL2107" s="2"/>
      <c r="AM2107" s="2"/>
      <c r="AN2107" s="2"/>
      <c r="AO2107" s="2"/>
      <c r="AP2107" s="2"/>
      <c r="AQ2107" s="2"/>
      <c r="AR2107" s="2"/>
      <c r="AS2107" s="2"/>
      <c r="AT2107" s="2"/>
      <c r="AU2107" s="2"/>
      <c r="AV2107" s="2"/>
      <c r="AW2107" s="2"/>
      <c r="AX2107" s="2"/>
      <c r="AY2107" s="2"/>
      <c r="AZ2107" s="2"/>
      <c r="BA2107" s="2"/>
      <c r="BB2107" s="2"/>
    </row>
    <row r="2108" ht="204.75" customHeight="1">
      <c r="A2108" s="1">
        <v>184.0</v>
      </c>
      <c r="B2108" s="2" t="s">
        <v>6594</v>
      </c>
      <c r="C2108" s="2">
        <f>IFERROR(__xludf.DUMMYFUNCTION("split(B2108,""_"")"),1907.0)</f>
        <v>1907</v>
      </c>
      <c r="D2108" s="2" t="str">
        <f>IFERROR(__xludf.DUMMYFUNCTION("""COMPUTED_VALUE"""),"EX")</f>
        <v>EX</v>
      </c>
      <c r="E2108" s="2" t="str">
        <f>IFERROR(__xludf.DUMMYFUNCTION("""COMPUTED_VALUE"""),"金23")</f>
        <v>金23</v>
      </c>
      <c r="F2108" s="2" t="s">
        <v>6595</v>
      </c>
      <c r="G2108" s="2" t="s">
        <v>6617</v>
      </c>
      <c r="H2108" s="1">
        <v>8.0</v>
      </c>
      <c r="I2108" s="1" t="s">
        <v>2896</v>
      </c>
      <c r="J2108" s="1" t="s">
        <v>1435</v>
      </c>
      <c r="K2108" s="2" t="s">
        <v>6618</v>
      </c>
      <c r="L2108" s="11" t="s">
        <v>6619</v>
      </c>
      <c r="M2108" s="2" t="str">
        <f>IFERROR(__xludf.DUMMYFUNCTION("split(split(K2108,""【"",false),""公式LINE"",false)"),"花火をしながら最後の夜を過ごすセミオ(山田涼介)と由香(木南晴夏)。『うつせみ荘』の住人たちはそんな二人の姿を見ながら、来たるべき明日に備え、「なるべく普通に」と意思を統一する。  そして、迎えたセミオにとって最後の朝ーー。  自分と由香のことを心配してくれる住人たちにセミオはある宣言を…。")</f>
        <v>花火をしながら最後の夜を過ごすセミオ(山田涼介)と由香(木南晴夏)。『うつせみ荘』の住人たちはそんな二人の姿を見ながら、来たるべき明日に備え、「なるべく普通に」と意思を統一する。  そして、迎えたセミオにとって最後の朝ーー。  自分と由香のことを心配してくれる住人たちにセミオはある宣言を…。</v>
      </c>
      <c r="N2108" s="2"/>
      <c r="O2108" s="2"/>
      <c r="P2108" s="2"/>
      <c r="Q2108" s="2"/>
      <c r="R2108" s="2"/>
      <c r="S2108" s="2"/>
      <c r="T2108" s="2"/>
      <c r="U2108" s="2"/>
      <c r="V2108" s="2"/>
      <c r="W2108" s="2"/>
      <c r="X2108" s="2"/>
      <c r="Y2108" s="2"/>
      <c r="Z2108" s="2"/>
      <c r="AA2108" s="2"/>
      <c r="AB2108" s="2"/>
      <c r="AC2108" s="2"/>
      <c r="AD2108" s="2"/>
      <c r="AE2108" s="2"/>
      <c r="AF2108" s="2"/>
      <c r="AG2108" s="2"/>
      <c r="AH2108" s="2"/>
      <c r="AI2108" s="2"/>
      <c r="AJ2108" s="2"/>
      <c r="AK2108" s="2"/>
      <c r="AL2108" s="2"/>
      <c r="AM2108" s="2"/>
      <c r="AN2108" s="2"/>
      <c r="AO2108" s="2"/>
      <c r="AP2108" s="2"/>
      <c r="AQ2108" s="2"/>
      <c r="AR2108" s="2"/>
      <c r="AS2108" s="2"/>
      <c r="AT2108" s="2"/>
      <c r="AU2108" s="2"/>
      <c r="AV2108" s="2"/>
      <c r="AW2108" s="2"/>
      <c r="AX2108" s="2"/>
      <c r="AY2108" s="2"/>
      <c r="AZ2108" s="2"/>
      <c r="BA2108" s="2"/>
      <c r="BB2108" s="2"/>
    </row>
    <row r="2109" ht="204.75" customHeight="1">
      <c r="A2109" s="1">
        <v>195.0</v>
      </c>
      <c r="B2109" s="2" t="s">
        <v>6620</v>
      </c>
      <c r="C2109" s="2">
        <f>IFERROR(__xludf.DUMMYFUNCTION("split(B2109,""_"")"),1907.0)</f>
        <v>1907</v>
      </c>
      <c r="D2109" s="2" t="str">
        <f>IFERROR(__xludf.DUMMYFUNCTION("""COMPUTED_VALUE"""),"EX")</f>
        <v>EX</v>
      </c>
      <c r="E2109" s="2" t="str">
        <f>IFERROR(__xludf.DUMMYFUNCTION("""COMPUTED_VALUE"""),"土23")</f>
        <v>土23</v>
      </c>
      <c r="F2109" s="2" t="s">
        <v>6621</v>
      </c>
      <c r="G2109" s="2" t="s">
        <v>6622</v>
      </c>
      <c r="H2109" s="1">
        <v>1.0</v>
      </c>
      <c r="I2109" s="1" t="s">
        <v>2868</v>
      </c>
      <c r="J2109" s="1" t="s">
        <v>1435</v>
      </c>
      <c r="K2109" s="2" t="s">
        <v>6623</v>
      </c>
      <c r="L2109" s="11" t="s">
        <v>6624</v>
      </c>
      <c r="M2109" s="2" t="str">
        <f>IFERROR(__xludf.DUMMYFUNCTION("split(split(K2109,""【"",false),""公式LINE"",false)"),"笑いのためなら何でもやる“学園の爆笑王""こと主人公・上妻圭右(間宮祥太朗)の前に、ある日現れた転校生の辻本潤(渡辺大知)は、なんと高校生ながら元プロ漫才師だった…!激しく嫉妬する圭右に対し辻本は、学園の漫才コンテストでコンビを組まないかと持ち掛ける。2人は、笑いの天下を“べしゃり""で掴み取ることができるのか!?一方、お笑い嫌い圭右の父・潔(寺島進)と死別した母。上妻家の壮絶な過去が明らかになる!")</f>
        <v>笑いのためなら何でもやる“学園の爆笑王"こと主人公・上妻圭右(間宮祥太朗)の前に、ある日現れた転校生の辻本潤(渡辺大知)は、なんと高校生ながら元プロ漫才師だった…!激しく嫉妬する圭右に対し辻本は、学園の漫才コンテストでコンビを組まないかと持ち掛ける。2人は、笑いの天下を“べしゃり"で掴み取ることができるのか!?一方、お笑い嫌い圭右の父・潔(寺島進)と死別した母。上妻家の壮絶な過去が明らかになる!</v>
      </c>
      <c r="N2109" s="2"/>
      <c r="O2109" s="2"/>
      <c r="P2109" s="2"/>
      <c r="Q2109" s="2"/>
      <c r="R2109" s="2"/>
      <c r="S2109" s="2"/>
      <c r="T2109" s="2"/>
      <c r="U2109" s="2"/>
      <c r="V2109" s="2"/>
      <c r="W2109" s="2"/>
      <c r="X2109" s="2"/>
      <c r="Y2109" s="2"/>
      <c r="Z2109" s="2"/>
      <c r="AA2109" s="2"/>
      <c r="AB2109" s="2"/>
      <c r="AC2109" s="2"/>
      <c r="AD2109" s="2"/>
      <c r="AE2109" s="2"/>
      <c r="AF2109" s="2"/>
      <c r="AG2109" s="2"/>
      <c r="AH2109" s="2"/>
      <c r="AI2109" s="2"/>
      <c r="AJ2109" s="2"/>
      <c r="AK2109" s="2"/>
      <c r="AL2109" s="2"/>
      <c r="AM2109" s="2"/>
      <c r="AN2109" s="2"/>
      <c r="AO2109" s="2"/>
      <c r="AP2109" s="2"/>
      <c r="AQ2109" s="2"/>
      <c r="AR2109" s="2"/>
      <c r="AS2109" s="2"/>
      <c r="AT2109" s="2"/>
      <c r="AU2109" s="2"/>
      <c r="AV2109" s="2"/>
      <c r="AW2109" s="2"/>
      <c r="AX2109" s="2"/>
      <c r="AY2109" s="2"/>
      <c r="AZ2109" s="2"/>
      <c r="BA2109" s="2"/>
      <c r="BB2109" s="2"/>
    </row>
    <row r="2110" ht="204.75" customHeight="1">
      <c r="A2110" s="1">
        <v>196.0</v>
      </c>
      <c r="B2110" s="2" t="s">
        <v>6620</v>
      </c>
      <c r="C2110" s="2">
        <f>IFERROR(__xludf.DUMMYFUNCTION("split(B2110,""_"")"),1907.0)</f>
        <v>1907</v>
      </c>
      <c r="D2110" s="2" t="str">
        <f>IFERROR(__xludf.DUMMYFUNCTION("""COMPUTED_VALUE"""),"EX")</f>
        <v>EX</v>
      </c>
      <c r="E2110" s="2" t="str">
        <f>IFERROR(__xludf.DUMMYFUNCTION("""COMPUTED_VALUE"""),"土23")</f>
        <v>土23</v>
      </c>
      <c r="F2110" s="2" t="s">
        <v>6621</v>
      </c>
      <c r="G2110" s="2" t="s">
        <v>6625</v>
      </c>
      <c r="H2110" s="1">
        <v>2.0</v>
      </c>
      <c r="I2110" s="1" t="s">
        <v>2872</v>
      </c>
      <c r="J2110" s="1" t="s">
        <v>1435</v>
      </c>
      <c r="K2110" s="2" t="s">
        <v>6626</v>
      </c>
      <c r="L2110" s="11" t="s">
        <v>6627</v>
      </c>
      <c r="M2110" s="2" t="str">
        <f>IFERROR(__xludf.DUMMYFUNCTION("split(split(K2110,""【"",false),""公式LINE"",false)"),"文化祭でアドリブ漫才を大成功させた圭右(間宮祥太朗)と辻本(渡辺大知)のコンビ・きそばATだが、以降圭右は、お笑い嫌いの父・潔(寺島進)に気兼ねしてか消極的。そんな圭右に辻本は、先輩の人気漫才コンビ・デジタルきんぎょの金本(駿河太郎)と藤川(尾上寛之)を引き合わせるが…。そんな中、辻本から一方的にコンビを解消された元相方・静代(小芝風花)が現れ、急遽辻本と静代が漫才をすることになり…!?")</f>
        <v>文化祭でアドリブ漫才を大成功させた圭右(間宮祥太朗)と辻本(渡辺大知)のコンビ・きそばATだが、以降圭右は、お笑い嫌いの父・潔(寺島進)に気兼ねしてか消極的。そんな圭右に辻本は、先輩の人気漫才コンビ・デジタルきんぎょの金本(駿河太郎)と藤川(尾上寛之)を引き合わせるが…。そんな中、辻本から一方的にコンビを解消された元相方・静代(小芝風花)が現れ、急遽辻本と静代が漫才をすることになり…!?</v>
      </c>
      <c r="N2110" s="2"/>
      <c r="O2110" s="2"/>
      <c r="P2110" s="2"/>
      <c r="Q2110" s="2"/>
      <c r="R2110" s="2"/>
      <c r="S2110" s="2"/>
      <c r="T2110" s="2"/>
      <c r="U2110" s="2"/>
      <c r="V2110" s="2"/>
      <c r="W2110" s="2"/>
      <c r="X2110" s="2"/>
      <c r="Y2110" s="2"/>
      <c r="Z2110" s="2"/>
      <c r="AA2110" s="2"/>
      <c r="AB2110" s="2"/>
      <c r="AC2110" s="2"/>
      <c r="AD2110" s="2"/>
      <c r="AE2110" s="2"/>
      <c r="AF2110" s="2"/>
      <c r="AG2110" s="2"/>
      <c r="AH2110" s="2"/>
      <c r="AI2110" s="2"/>
      <c r="AJ2110" s="2"/>
      <c r="AK2110" s="2"/>
      <c r="AL2110" s="2"/>
      <c r="AM2110" s="2"/>
      <c r="AN2110" s="2"/>
      <c r="AO2110" s="2"/>
      <c r="AP2110" s="2"/>
      <c r="AQ2110" s="2"/>
      <c r="AR2110" s="2"/>
      <c r="AS2110" s="2"/>
      <c r="AT2110" s="2"/>
      <c r="AU2110" s="2"/>
      <c r="AV2110" s="2"/>
      <c r="AW2110" s="2"/>
      <c r="AX2110" s="2"/>
      <c r="AY2110" s="2"/>
      <c r="AZ2110" s="2"/>
      <c r="BA2110" s="2"/>
      <c r="BB2110" s="2"/>
    </row>
    <row r="2111" ht="204.75" customHeight="1">
      <c r="A2111" s="1">
        <v>197.0</v>
      </c>
      <c r="B2111" s="2" t="s">
        <v>6620</v>
      </c>
      <c r="C2111" s="2">
        <f>IFERROR(__xludf.DUMMYFUNCTION("split(B2111,""_"")"),1907.0)</f>
        <v>1907</v>
      </c>
      <c r="D2111" s="2" t="str">
        <f>IFERROR(__xludf.DUMMYFUNCTION("""COMPUTED_VALUE"""),"EX")</f>
        <v>EX</v>
      </c>
      <c r="E2111" s="2" t="str">
        <f>IFERROR(__xludf.DUMMYFUNCTION("""COMPUTED_VALUE"""),"土23")</f>
        <v>土23</v>
      </c>
      <c r="F2111" s="2" t="s">
        <v>6621</v>
      </c>
      <c r="G2111" s="2" t="s">
        <v>6628</v>
      </c>
      <c r="H2111" s="1">
        <v>3.0</v>
      </c>
      <c r="I2111" s="1" t="s">
        <v>2876</v>
      </c>
      <c r="J2111" s="1" t="s">
        <v>1435</v>
      </c>
      <c r="K2111" s="2" t="s">
        <v>6629</v>
      </c>
      <c r="L2111" s="11" t="s">
        <v>6630</v>
      </c>
      <c r="M2111" s="2" t="str">
        <f>IFERROR(__xludf.DUMMYFUNCTION("split(split(K2111,""【"",false),""公式LINE"",false)"),"本気で芸人を目指す決意を固めた圭右(間宮祥太朗)と辻本(渡辺大知)は、漫才日本一を決めるコンテスト・NMCに出場するが、会場の空気は大爆笑をさらった文化祭とは違い、重たく緊張感に満ちていた。全くウケず焦った圭右は、とんでもない行動に出てしまう…。その光景を見た静代(小芝風花)は、元相方の辻本を叱責。一方デジきん・金本(駿河太郎)は1枚のDVDを辻本に託す!険悪ムードの圭右と辻本、コンビの行方は…!?")</f>
        <v>本気で芸人を目指す決意を固めた圭右(間宮祥太朗)と辻本(渡辺大知)は、漫才日本一を決めるコンテスト・NMCに出場するが、会場の空気は大爆笑をさらった文化祭とは違い、重たく緊張感に満ちていた。全くウケず焦った圭右は、とんでもない行動に出てしまう…。その光景を見た静代(小芝風花)は、元相方の辻本を叱責。一方デジきん・金本(駿河太郎)は1枚のDVDを辻本に託す!険悪ムードの圭右と辻本、コンビの行方は…!?</v>
      </c>
      <c r="N2111" s="2"/>
      <c r="O2111" s="2"/>
      <c r="P2111" s="2"/>
      <c r="Q2111" s="2"/>
      <c r="R2111" s="2"/>
      <c r="S2111" s="2"/>
      <c r="T2111" s="2"/>
      <c r="U2111" s="2"/>
      <c r="V2111" s="2"/>
      <c r="W2111" s="2"/>
      <c r="X2111" s="2"/>
      <c r="Y2111" s="2"/>
      <c r="Z2111" s="2"/>
      <c r="AA2111" s="2"/>
      <c r="AB2111" s="2"/>
      <c r="AC2111" s="2"/>
      <c r="AD2111" s="2"/>
      <c r="AE2111" s="2"/>
      <c r="AF2111" s="2"/>
      <c r="AG2111" s="2"/>
      <c r="AH2111" s="2"/>
      <c r="AI2111" s="2"/>
      <c r="AJ2111" s="2"/>
      <c r="AK2111" s="2"/>
      <c r="AL2111" s="2"/>
      <c r="AM2111" s="2"/>
      <c r="AN2111" s="2"/>
      <c r="AO2111" s="2"/>
      <c r="AP2111" s="2"/>
      <c r="AQ2111" s="2"/>
      <c r="AR2111" s="2"/>
      <c r="AS2111" s="2"/>
      <c r="AT2111" s="2"/>
      <c r="AU2111" s="2"/>
      <c r="AV2111" s="2"/>
      <c r="AW2111" s="2"/>
      <c r="AX2111" s="2"/>
      <c r="AY2111" s="2"/>
      <c r="AZ2111" s="2"/>
      <c r="BA2111" s="2"/>
      <c r="BB2111" s="2"/>
    </row>
    <row r="2112" ht="204.75" customHeight="1">
      <c r="A2112" s="1">
        <v>198.0</v>
      </c>
      <c r="B2112" s="2" t="s">
        <v>6620</v>
      </c>
      <c r="C2112" s="2">
        <f>IFERROR(__xludf.DUMMYFUNCTION("split(B2112,""_"")"),1907.0)</f>
        <v>1907</v>
      </c>
      <c r="D2112" s="2" t="str">
        <f>IFERROR(__xludf.DUMMYFUNCTION("""COMPUTED_VALUE"""),"EX")</f>
        <v>EX</v>
      </c>
      <c r="E2112" s="2" t="str">
        <f>IFERROR(__xludf.DUMMYFUNCTION("""COMPUTED_VALUE"""),"土23")</f>
        <v>土23</v>
      </c>
      <c r="F2112" s="2" t="s">
        <v>6621</v>
      </c>
      <c r="G2112" s="2" t="s">
        <v>6631</v>
      </c>
      <c r="H2112" s="1">
        <v>4.0</v>
      </c>
      <c r="I2112" s="1" t="s">
        <v>2880</v>
      </c>
      <c r="J2112" s="1" t="s">
        <v>1435</v>
      </c>
      <c r="K2112" s="2" t="s">
        <v>6632</v>
      </c>
      <c r="L2112" s="11" t="s">
        <v>6633</v>
      </c>
      <c r="M2112" s="2" t="str">
        <f>IFERROR(__xludf.DUMMYFUNCTION("split(split(K2112,""【"",false),""公式LINE"",false)"),"圭右(間宮祥太朗)は、解散した漫才コンビ・ねずみ花火の根津(田中幸太朗)と姉・しのぶ(徳永えり)の交際を知る。十年前、ねずみ花火が漫才の中で「きそば上妻」をいじったことで客が激減。圭右の母は家計を支えるため働きづめになり、その結果亡くなった。そんな過去があり、父・潔(寺島進)が交際を知ればただでは済まない。姉の幸せを願う圭右は辻本(渡辺大知)らと2人を見張るが、そこに根津を探す謎の女性が現れて…!?")</f>
        <v>圭右(間宮祥太朗)は、解散した漫才コンビ・ねずみ花火の根津(田中幸太朗)と姉・しのぶ(徳永えり)の交際を知る。十年前、ねずみ花火が漫才の中で「きそば上妻」をいじったことで客が激減。圭右の母は家計を支えるため働きづめになり、その結果亡くなった。そんな過去があり、父・潔(寺島進)が交際を知ればただでは済まない。姉の幸せを願う圭右は辻本(渡辺大知)らと2人を見張るが、そこに根津を探す謎の女性が現れて…!?</v>
      </c>
      <c r="N2112" s="2"/>
      <c r="O2112" s="2"/>
      <c r="P2112" s="2"/>
      <c r="Q2112" s="2"/>
      <c r="R2112" s="2"/>
      <c r="S2112" s="2"/>
      <c r="T2112" s="2"/>
      <c r="U2112" s="2"/>
      <c r="V2112" s="2"/>
      <c r="W2112" s="2"/>
      <c r="X2112" s="2"/>
      <c r="Y2112" s="2"/>
      <c r="Z2112" s="2"/>
      <c r="AA2112" s="2"/>
      <c r="AB2112" s="2"/>
      <c r="AC2112" s="2"/>
      <c r="AD2112" s="2"/>
      <c r="AE2112" s="2"/>
      <c r="AF2112" s="2"/>
      <c r="AG2112" s="2"/>
      <c r="AH2112" s="2"/>
      <c r="AI2112" s="2"/>
      <c r="AJ2112" s="2"/>
      <c r="AK2112" s="2"/>
      <c r="AL2112" s="2"/>
      <c r="AM2112" s="2"/>
      <c r="AN2112" s="2"/>
      <c r="AO2112" s="2"/>
      <c r="AP2112" s="2"/>
      <c r="AQ2112" s="2"/>
      <c r="AR2112" s="2"/>
      <c r="AS2112" s="2"/>
      <c r="AT2112" s="2"/>
      <c r="AU2112" s="2"/>
      <c r="AV2112" s="2"/>
      <c r="AW2112" s="2"/>
      <c r="AX2112" s="2"/>
      <c r="AY2112" s="2"/>
      <c r="AZ2112" s="2"/>
      <c r="BA2112" s="2"/>
      <c r="BB2112" s="2"/>
    </row>
    <row r="2113" ht="204.75" customHeight="1">
      <c r="A2113" s="1">
        <v>199.0</v>
      </c>
      <c r="B2113" s="2" t="s">
        <v>6620</v>
      </c>
      <c r="C2113" s="2">
        <f>IFERROR(__xludf.DUMMYFUNCTION("split(B2113,""_"")"),1907.0)</f>
        <v>1907</v>
      </c>
      <c r="D2113" s="2" t="str">
        <f>IFERROR(__xludf.DUMMYFUNCTION("""COMPUTED_VALUE"""),"EX")</f>
        <v>EX</v>
      </c>
      <c r="E2113" s="2" t="str">
        <f>IFERROR(__xludf.DUMMYFUNCTION("""COMPUTED_VALUE"""),"土23")</f>
        <v>土23</v>
      </c>
      <c r="F2113" s="2" t="s">
        <v>6621</v>
      </c>
      <c r="G2113" s="2" t="s">
        <v>6634</v>
      </c>
      <c r="H2113" s="1">
        <v>5.0</v>
      </c>
      <c r="I2113" s="1" t="s">
        <v>2884</v>
      </c>
      <c r="J2113" s="1" t="s">
        <v>1435</v>
      </c>
      <c r="K2113" s="2" t="s">
        <v>6635</v>
      </c>
      <c r="L2113" s="11" t="s">
        <v>6636</v>
      </c>
      <c r="M2113" s="2" t="str">
        <f>IFERROR(__xludf.DUMMYFUNCTION("split(split(K2113,""【"",false),""公式LINE"",false)"),"圭右(間宮祥太朗)の笑いに対するまっすぐな姿勢に胸打たれ、自分たちの原点を取り戻したデジタルきんぎょの金本(駿河太郎)と藤川(尾上寛之)。険悪だったコンビ仲も回復し、漫才日本一を決めるNMCの準決勝に進出。一方、藤川から圭右のエセ関西弁を正すよう忠告された圭右の相方・辻本(渡辺大知)だが、遠慮から言い出せずに悩む。そしてデジきんは準決勝のステージへ。2人を待ち受ける、思いもよらない涙の結末とは…!?")</f>
        <v>圭右(間宮祥太朗)の笑いに対するまっすぐな姿勢に胸打たれ、自分たちの原点を取り戻したデジタルきんぎょの金本(駿河太郎)と藤川(尾上寛之)。険悪だったコンビ仲も回復し、漫才日本一を決めるNMCの準決勝に進出。一方、藤川から圭右のエセ関西弁を正すよう忠告された圭右の相方・辻本(渡辺大知)だが、遠慮から言い出せずに悩む。そしてデジきんは準決勝のステージへ。2人を待ち受ける、思いもよらない涙の結末とは…!?</v>
      </c>
      <c r="N2113" s="2"/>
      <c r="O2113" s="2"/>
      <c r="P2113" s="2"/>
      <c r="Q2113" s="2"/>
      <c r="R2113" s="2"/>
      <c r="S2113" s="2"/>
      <c r="T2113" s="2"/>
      <c r="U2113" s="2"/>
      <c r="V2113" s="2"/>
      <c r="W2113" s="2"/>
      <c r="X2113" s="2"/>
      <c r="Y2113" s="2"/>
      <c r="Z2113" s="2"/>
      <c r="AA2113" s="2"/>
      <c r="AB2113" s="2"/>
      <c r="AC2113" s="2"/>
      <c r="AD2113" s="2"/>
      <c r="AE2113" s="2"/>
      <c r="AF2113" s="2"/>
      <c r="AG2113" s="2"/>
      <c r="AH2113" s="2"/>
      <c r="AI2113" s="2"/>
      <c r="AJ2113" s="2"/>
      <c r="AK2113" s="2"/>
      <c r="AL2113" s="2"/>
      <c r="AM2113" s="2"/>
      <c r="AN2113" s="2"/>
      <c r="AO2113" s="2"/>
      <c r="AP2113" s="2"/>
      <c r="AQ2113" s="2"/>
      <c r="AR2113" s="2"/>
      <c r="AS2113" s="2"/>
      <c r="AT2113" s="2"/>
      <c r="AU2113" s="2"/>
      <c r="AV2113" s="2"/>
      <c r="AW2113" s="2"/>
      <c r="AX2113" s="2"/>
      <c r="AY2113" s="2"/>
      <c r="AZ2113" s="2"/>
      <c r="BA2113" s="2"/>
      <c r="BB2113" s="2"/>
    </row>
    <row r="2114" ht="204.75" customHeight="1">
      <c r="A2114" s="1">
        <v>200.0</v>
      </c>
      <c r="B2114" s="2" t="s">
        <v>6620</v>
      </c>
      <c r="C2114" s="2">
        <f>IFERROR(__xludf.DUMMYFUNCTION("split(B2114,""_"")"),1907.0)</f>
        <v>1907</v>
      </c>
      <c r="D2114" s="2" t="str">
        <f>IFERROR(__xludf.DUMMYFUNCTION("""COMPUTED_VALUE"""),"EX")</f>
        <v>EX</v>
      </c>
      <c r="E2114" s="2" t="str">
        <f>IFERROR(__xludf.DUMMYFUNCTION("""COMPUTED_VALUE"""),"土23")</f>
        <v>土23</v>
      </c>
      <c r="F2114" s="2" t="s">
        <v>6621</v>
      </c>
      <c r="G2114" s="2" t="s">
        <v>6637</v>
      </c>
      <c r="H2114" s="1">
        <v>6.0</v>
      </c>
      <c r="I2114" s="1" t="s">
        <v>2888</v>
      </c>
      <c r="J2114" s="1" t="s">
        <v>1435</v>
      </c>
      <c r="K2114" s="2" t="s">
        <v>6638</v>
      </c>
      <c r="L2114" s="11" t="s">
        <v>6639</v>
      </c>
      <c r="M2114" s="2" t="str">
        <f>IFERROR(__xludf.DUMMYFUNCTION("split(split(K2114,""【"",false),""公式LINE"",false)"),"漫才日本一を決めるNMC決勝進出を決めたコンビ・デジタルきんぎょの藤川(尾上寛之)が、非業の死を遂げた…。一同が深い悲しみに沈む中、相方の金本(駿河太郎)だけは藤川の遺体との対面もそこそこに、レギュラーラジオの生放送へと向かう。平静を装う金本は、代わりに圭右(間宮祥太朗)を座らせて何事もなかったように喋り始めるが、やがて想いは溢れ…。金本の魂の叫びを間近で感じた圭右は、思いもよらない行動に出る!")</f>
        <v>漫才日本一を決めるNMC決勝進出を決めたコンビ・デジタルきんぎょの藤川(尾上寛之)が、非業の死を遂げた…。一同が深い悲しみに沈む中、相方の金本(駿河太郎)だけは藤川の遺体との対面もそこそこに、レギュラーラジオの生放送へと向かう。平静を装う金本は、代わりに圭右(間宮祥太朗)を座らせて何事もなかったように喋り始めるが、やがて想いは溢れ…。金本の魂の叫びを間近で感じた圭右は、思いもよらない行動に出る!</v>
      </c>
      <c r="N2114" s="2"/>
      <c r="O2114" s="2"/>
      <c r="P2114" s="2"/>
      <c r="Q2114" s="2"/>
      <c r="R2114" s="2"/>
      <c r="S2114" s="2"/>
      <c r="T2114" s="2"/>
      <c r="U2114" s="2"/>
      <c r="V2114" s="2"/>
      <c r="W2114" s="2"/>
      <c r="X2114" s="2"/>
      <c r="Y2114" s="2"/>
      <c r="Z2114" s="2"/>
      <c r="AA2114" s="2"/>
      <c r="AB2114" s="2"/>
      <c r="AC2114" s="2"/>
      <c r="AD2114" s="2"/>
      <c r="AE2114" s="2"/>
      <c r="AF2114" s="2"/>
      <c r="AG2114" s="2"/>
      <c r="AH2114" s="2"/>
      <c r="AI2114" s="2"/>
      <c r="AJ2114" s="2"/>
      <c r="AK2114" s="2"/>
      <c r="AL2114" s="2"/>
      <c r="AM2114" s="2"/>
      <c r="AN2114" s="2"/>
      <c r="AO2114" s="2"/>
      <c r="AP2114" s="2"/>
      <c r="AQ2114" s="2"/>
      <c r="AR2114" s="2"/>
      <c r="AS2114" s="2"/>
      <c r="AT2114" s="2"/>
      <c r="AU2114" s="2"/>
      <c r="AV2114" s="2"/>
      <c r="AW2114" s="2"/>
      <c r="AX2114" s="2"/>
      <c r="AY2114" s="2"/>
      <c r="AZ2114" s="2"/>
      <c r="BA2114" s="2"/>
      <c r="BB2114" s="2"/>
    </row>
    <row r="2115" ht="204.75" customHeight="1">
      <c r="A2115" s="1">
        <v>201.0</v>
      </c>
      <c r="B2115" s="2" t="s">
        <v>6620</v>
      </c>
      <c r="C2115" s="2">
        <f>IFERROR(__xludf.DUMMYFUNCTION("split(B2115,""_"")"),1907.0)</f>
        <v>1907</v>
      </c>
      <c r="D2115" s="2" t="str">
        <f>IFERROR(__xludf.DUMMYFUNCTION("""COMPUTED_VALUE"""),"EX")</f>
        <v>EX</v>
      </c>
      <c r="E2115" s="2" t="str">
        <f>IFERROR(__xludf.DUMMYFUNCTION("""COMPUTED_VALUE"""),"土23")</f>
        <v>土23</v>
      </c>
      <c r="F2115" s="2" t="s">
        <v>6621</v>
      </c>
      <c r="G2115" s="2" t="s">
        <v>6640</v>
      </c>
      <c r="H2115" s="1">
        <v>7.0</v>
      </c>
      <c r="I2115" s="1" t="s">
        <v>2892</v>
      </c>
      <c r="J2115" s="1" t="s">
        <v>1435</v>
      </c>
      <c r="K2115" s="2" t="s">
        <v>6641</v>
      </c>
      <c r="L2115" s="11" t="s">
        <v>6642</v>
      </c>
      <c r="M2115" s="2" t="str">
        <f>IFERROR(__xludf.DUMMYFUNCTION("split(split(K2115,""【"",false),""公式LINE"",false)"),"ついに最終章!高校を卒業した圭右(間宮祥太朗)は一人暮らしを始め、辻本(渡辺大知)とお笑い養成所・YCAへ入学。圭右は子安(矢本悠馬)のネタ作りの才能に気づき、グループ名を“べしゃり暮らし""と改めた上、3人トリオとして若手芸人の登竜門『漫才新人グランプリ』の出場を目指すことに。YCAの同期ライバル達と切磋琢磨しながらお笑いの修業に励む圭右だが、得意とするアドリブと子安の作ったネタとの間で葛藤し…!?")</f>
        <v>ついに最終章!高校を卒業した圭右(間宮祥太朗)は一人暮らしを始め、辻本(渡辺大知)とお笑い養成所・YCAへ入学。圭右は子安(矢本悠馬)のネタ作りの才能に気づき、グループ名を“べしゃり暮らし"と改めた上、3人トリオとして若手芸人の登竜門『漫才新人グランプリ』の出場を目指すことに。YCAの同期ライバル達と切磋琢磨しながらお笑いの修業に励む圭右だが、得意とするアドリブと子安の作ったネタとの間で葛藤し…!?</v>
      </c>
      <c r="N2115" s="2"/>
      <c r="O2115" s="2"/>
      <c r="P2115" s="2"/>
      <c r="Q2115" s="2"/>
      <c r="R2115" s="2"/>
      <c r="S2115" s="2"/>
      <c r="T2115" s="2"/>
      <c r="U2115" s="2"/>
      <c r="V2115" s="2"/>
      <c r="W2115" s="2"/>
      <c r="X2115" s="2"/>
      <c r="Y2115" s="2"/>
      <c r="Z2115" s="2"/>
      <c r="AA2115" s="2"/>
      <c r="AB2115" s="2"/>
      <c r="AC2115" s="2"/>
      <c r="AD2115" s="2"/>
      <c r="AE2115" s="2"/>
      <c r="AF2115" s="2"/>
      <c r="AG2115" s="2"/>
      <c r="AH2115" s="2"/>
      <c r="AI2115" s="2"/>
      <c r="AJ2115" s="2"/>
      <c r="AK2115" s="2"/>
      <c r="AL2115" s="2"/>
      <c r="AM2115" s="2"/>
      <c r="AN2115" s="2"/>
      <c r="AO2115" s="2"/>
      <c r="AP2115" s="2"/>
      <c r="AQ2115" s="2"/>
      <c r="AR2115" s="2"/>
      <c r="AS2115" s="2"/>
      <c r="AT2115" s="2"/>
      <c r="AU2115" s="2"/>
      <c r="AV2115" s="2"/>
      <c r="AW2115" s="2"/>
      <c r="AX2115" s="2"/>
      <c r="AY2115" s="2"/>
      <c r="AZ2115" s="2"/>
      <c r="BA2115" s="2"/>
      <c r="BB2115" s="2"/>
    </row>
    <row r="2116" ht="204.75" customHeight="1">
      <c r="A2116" s="1">
        <v>202.0</v>
      </c>
      <c r="B2116" s="2" t="s">
        <v>6620</v>
      </c>
      <c r="C2116" s="2">
        <f>IFERROR(__xludf.DUMMYFUNCTION("split(B2116,""_"")"),1907.0)</f>
        <v>1907</v>
      </c>
      <c r="D2116" s="2" t="str">
        <f>IFERROR(__xludf.DUMMYFUNCTION("""COMPUTED_VALUE"""),"EX")</f>
        <v>EX</v>
      </c>
      <c r="E2116" s="2" t="str">
        <f>IFERROR(__xludf.DUMMYFUNCTION("""COMPUTED_VALUE"""),"土23")</f>
        <v>土23</v>
      </c>
      <c r="F2116" s="2" t="s">
        <v>6621</v>
      </c>
      <c r="G2116" s="2" t="s">
        <v>6643</v>
      </c>
      <c r="H2116" s="1">
        <v>8.0</v>
      </c>
      <c r="I2116" s="1" t="s">
        <v>2896</v>
      </c>
      <c r="J2116" s="1" t="s">
        <v>1435</v>
      </c>
      <c r="K2116" s="2" t="s">
        <v>6644</v>
      </c>
      <c r="L2116" s="11" t="s">
        <v>6645</v>
      </c>
      <c r="M2116" s="2" t="str">
        <f>IFERROR(__xludf.DUMMYFUNCTION("split(split(K2116,""【"",false),""公式LINE"",false)"),"再び圭右(間宮祥太朗)と辻本(渡辺大知)のコンビに戻ったべしゃり暮らしは、芸人選抜クラスで芸を磨き、静代(小芝風花)や梵(浅香航大)といったライバルがひしめき合う中『漫才新人グランプリ』での優勝を目指す。1次、2次予選と進む中、互いの思いはかみ合わないまま。ついに“お前が信じてくれるような相方になれなかった""と、辻本は圭右のもとを去ってしまう…。このまま2人は解散してしまうのか!?運命の最終回!")</f>
        <v>再び圭右(間宮祥太朗)と辻本(渡辺大知)のコンビに戻ったべしゃり暮らしは、芸人選抜クラスで芸を磨き、静代(小芝風花)や梵(浅香航大)といったライバルがひしめき合う中『漫才新人グランプリ』での優勝を目指す。1次、2次予選と進む中、互いの思いはかみ合わないまま。ついに“お前が信じてくれるような相方になれなかった"と、辻本は圭右のもとを去ってしまう…。このまま2人は解散してしまうのか!?運命の最終回!</v>
      </c>
      <c r="N2116" s="2"/>
      <c r="O2116" s="2"/>
      <c r="P2116" s="2"/>
      <c r="Q2116" s="2"/>
      <c r="R2116" s="2"/>
      <c r="S2116" s="2"/>
      <c r="T2116" s="2"/>
      <c r="U2116" s="2"/>
      <c r="V2116" s="2"/>
      <c r="W2116" s="2"/>
      <c r="X2116" s="2"/>
      <c r="Y2116" s="2"/>
      <c r="Z2116" s="2"/>
      <c r="AA2116" s="2"/>
      <c r="AB2116" s="2"/>
      <c r="AC2116" s="2"/>
      <c r="AD2116" s="2"/>
      <c r="AE2116" s="2"/>
      <c r="AF2116" s="2"/>
      <c r="AG2116" s="2"/>
      <c r="AH2116" s="2"/>
      <c r="AI2116" s="2"/>
      <c r="AJ2116" s="2"/>
      <c r="AK2116" s="2"/>
      <c r="AL2116" s="2"/>
      <c r="AM2116" s="2"/>
      <c r="AN2116" s="2"/>
      <c r="AO2116" s="2"/>
      <c r="AP2116" s="2"/>
      <c r="AQ2116" s="2"/>
      <c r="AR2116" s="2"/>
      <c r="AS2116" s="2"/>
      <c r="AT2116" s="2"/>
      <c r="AU2116" s="2"/>
      <c r="AV2116" s="2"/>
      <c r="AW2116" s="2"/>
      <c r="AX2116" s="2"/>
      <c r="AY2116" s="2"/>
      <c r="AZ2116" s="2"/>
      <c r="BA2116" s="2"/>
      <c r="BB2116" s="2"/>
    </row>
    <row r="2117" ht="204.75" customHeight="1">
      <c r="A2117" s="1">
        <v>265.0</v>
      </c>
      <c r="B2117" s="2" t="s">
        <v>6646</v>
      </c>
      <c r="C2117" s="2">
        <f>IFERROR(__xludf.DUMMYFUNCTION("split(B2117,""_"")"),1904.0)</f>
        <v>1904</v>
      </c>
      <c r="D2117" s="2" t="str">
        <f>IFERROR(__xludf.DUMMYFUNCTION("""COMPUTED_VALUE"""),"EX")</f>
        <v>EX</v>
      </c>
      <c r="E2117" s="2" t="str">
        <f>IFERROR(__xludf.DUMMYFUNCTION("""COMPUTED_VALUE"""),"木21")</f>
        <v>木21</v>
      </c>
      <c r="F2117" s="2" t="s">
        <v>6647</v>
      </c>
      <c r="G2117" s="2" t="s">
        <v>6648</v>
      </c>
      <c r="H2117" s="1">
        <v>1.0</v>
      </c>
      <c r="I2117" s="1" t="s">
        <v>2868</v>
      </c>
      <c r="J2117" s="1" t="s">
        <v>4</v>
      </c>
      <c r="K2117" s="2" t="s">
        <v>6649</v>
      </c>
      <c r="L2117" s="11" t="s">
        <v>6650</v>
      </c>
      <c r="M2117" s="2" t="str">
        <f>IFERROR(__xludf.DUMMYFUNCTION("split(split(K2117,""【"",false),""公式LINE"",false)"),"懲役12年の判決が確定し、護送中の受刑者・野本雄太(淵上泰史)が逃走。主婦・藤沢さおり(市川由衣)を人質にして民家に立てこもる。交渉役に指名された警視庁初の女性刑事部参事官・菊池玲子(浅野温子)は、なんと犯人を射殺。真壁有希子(天海祐希)ら“キントリ""チームは菊池の取り調べを開始するが、職務執行法に抵触する点は見受けられない…。果たして、本当に正当防衛なのか!?それとも…!?")</f>
        <v>懲役12年の判決が確定し、護送中の受刑者・野本雄太(淵上泰史)が逃走。主婦・藤沢さおり(市川由衣)を人質にして民家に立てこもる。交渉役に指名された警視庁初の女性刑事部参事官・菊池玲子(浅野温子)は、なんと犯人を射殺。真壁有希子(天海祐希)ら“キントリ"チームは菊池の取り調べを開始するが、職務執行法に抵触する点は見受けられない…。果たして、本当に正当防衛なのか!?それとも…!?</v>
      </c>
      <c r="N2117" s="2"/>
      <c r="O2117" s="2"/>
      <c r="P2117" s="2"/>
      <c r="Q2117" s="2"/>
      <c r="R2117" s="2"/>
      <c r="S2117" s="2"/>
      <c r="T2117" s="2"/>
      <c r="U2117" s="2"/>
      <c r="V2117" s="2"/>
      <c r="W2117" s="2"/>
      <c r="X2117" s="2"/>
      <c r="Y2117" s="2"/>
      <c r="Z2117" s="2"/>
      <c r="AA2117" s="2"/>
      <c r="AB2117" s="2"/>
      <c r="AC2117" s="2"/>
      <c r="AD2117" s="2"/>
      <c r="AE2117" s="2"/>
      <c r="AF2117" s="2"/>
      <c r="AG2117" s="2"/>
      <c r="AH2117" s="2"/>
      <c r="AI2117" s="2"/>
      <c r="AJ2117" s="2"/>
      <c r="AK2117" s="2"/>
      <c r="AL2117" s="2"/>
      <c r="AM2117" s="2"/>
      <c r="AN2117" s="2"/>
      <c r="AO2117" s="2"/>
      <c r="AP2117" s="2"/>
      <c r="AQ2117" s="2"/>
      <c r="AR2117" s="2"/>
      <c r="AS2117" s="2"/>
      <c r="AT2117" s="2"/>
      <c r="AU2117" s="2"/>
      <c r="AV2117" s="2"/>
      <c r="AW2117" s="2"/>
      <c r="AX2117" s="2"/>
      <c r="AY2117" s="2"/>
      <c r="AZ2117" s="2"/>
      <c r="BA2117" s="2"/>
      <c r="BB2117" s="2"/>
    </row>
    <row r="2118" ht="204.75" customHeight="1">
      <c r="A2118" s="1">
        <v>266.0</v>
      </c>
      <c r="B2118" s="2" t="s">
        <v>6646</v>
      </c>
      <c r="C2118" s="2">
        <f>IFERROR(__xludf.DUMMYFUNCTION("split(B2118,""_"")"),1904.0)</f>
        <v>1904</v>
      </c>
      <c r="D2118" s="2" t="str">
        <f>IFERROR(__xludf.DUMMYFUNCTION("""COMPUTED_VALUE"""),"EX")</f>
        <v>EX</v>
      </c>
      <c r="E2118" s="2" t="str">
        <f>IFERROR(__xludf.DUMMYFUNCTION("""COMPUTED_VALUE"""),"木21")</f>
        <v>木21</v>
      </c>
      <c r="F2118" s="2" t="s">
        <v>6647</v>
      </c>
      <c r="G2118" s="2" t="s">
        <v>6651</v>
      </c>
      <c r="H2118" s="1">
        <v>2.0</v>
      </c>
      <c r="I2118" s="1" t="s">
        <v>2872</v>
      </c>
      <c r="J2118" s="1" t="s">
        <v>11</v>
      </c>
      <c r="K2118" s="2" t="s">
        <v>6652</v>
      </c>
      <c r="L2118" s="11" t="s">
        <v>6653</v>
      </c>
      <c r="M2118" s="2" t="str">
        <f>IFERROR(__xludf.DUMMYFUNCTION("split(split(K2118,""【"",false),""公式LINE"",false)"),"世間が注目する女流棋戦の最終対局が行われる中、スポンサーが毒殺された!新進女流棋士・橘日名子(松井珠理奈)とベテラン女流棋士・宗形あずさ(紺野まひる)。あずさの“ある証言""により、殺害の疑いの目は日名子に注がれる。有希子(天海祐希)らキントリチームは、王手をかけるべく、なんと日名子とあずさを同じ日時に別室へ呼び出し、前代未聞の“二元同時取り調べ""を始める…。")</f>
        <v>世間が注目する女流棋戦の最終対局が行われる中、スポンサーが毒殺された!新進女流棋士・橘日名子(松井珠理奈)とベテラン女流棋士・宗形あずさ(紺野まひる)。あずさの“ある証言"により、殺害の疑いの目は日名子に注がれる。有希子(天海祐希)らキントリチームは、王手をかけるべく、なんと日名子とあずさを同じ日時に別室へ呼び出し、前代未聞の“二元同時取り調べ"を始める…。</v>
      </c>
      <c r="N2118" s="2"/>
      <c r="O2118" s="2"/>
      <c r="P2118" s="2"/>
      <c r="Q2118" s="2"/>
      <c r="R2118" s="2"/>
      <c r="S2118" s="2"/>
      <c r="T2118" s="2"/>
      <c r="U2118" s="2"/>
      <c r="V2118" s="2"/>
      <c r="W2118" s="2"/>
      <c r="X2118" s="2"/>
      <c r="Y2118" s="2"/>
      <c r="Z2118" s="2"/>
      <c r="AA2118" s="2"/>
      <c r="AB2118" s="2"/>
      <c r="AC2118" s="2"/>
      <c r="AD2118" s="2"/>
      <c r="AE2118" s="2"/>
      <c r="AF2118" s="2"/>
      <c r="AG2118" s="2"/>
      <c r="AH2118" s="2"/>
      <c r="AI2118" s="2"/>
      <c r="AJ2118" s="2"/>
      <c r="AK2118" s="2"/>
      <c r="AL2118" s="2"/>
      <c r="AM2118" s="2"/>
      <c r="AN2118" s="2"/>
      <c r="AO2118" s="2"/>
      <c r="AP2118" s="2"/>
      <c r="AQ2118" s="2"/>
      <c r="AR2118" s="2"/>
      <c r="AS2118" s="2"/>
      <c r="AT2118" s="2"/>
      <c r="AU2118" s="2"/>
      <c r="AV2118" s="2"/>
      <c r="AW2118" s="2"/>
      <c r="AX2118" s="2"/>
      <c r="AY2118" s="2"/>
      <c r="AZ2118" s="2"/>
      <c r="BA2118" s="2"/>
      <c r="BB2118" s="2"/>
    </row>
    <row r="2119" ht="204.75" customHeight="1">
      <c r="A2119" s="1">
        <v>267.0</v>
      </c>
      <c r="B2119" s="2" t="s">
        <v>6646</v>
      </c>
      <c r="C2119" s="2">
        <f>IFERROR(__xludf.DUMMYFUNCTION("split(B2119,""_"")"),1904.0)</f>
        <v>1904</v>
      </c>
      <c r="D2119" s="2" t="str">
        <f>IFERROR(__xludf.DUMMYFUNCTION("""COMPUTED_VALUE"""),"EX")</f>
        <v>EX</v>
      </c>
      <c r="E2119" s="2" t="str">
        <f>IFERROR(__xludf.DUMMYFUNCTION("""COMPUTED_VALUE"""),"木21")</f>
        <v>木21</v>
      </c>
      <c r="F2119" s="2" t="s">
        <v>6647</v>
      </c>
      <c r="G2119" s="2" t="s">
        <v>6654</v>
      </c>
      <c r="H2119" s="1">
        <v>3.0</v>
      </c>
      <c r="I2119" s="1" t="s">
        <v>2876</v>
      </c>
      <c r="J2119" s="1" t="s">
        <v>11</v>
      </c>
      <c r="K2119" s="2" t="s">
        <v>6655</v>
      </c>
      <c r="L2119" s="11" t="s">
        <v>6656</v>
      </c>
      <c r="M2119" s="2" t="str">
        <f>IFERROR(__xludf.DUMMYFUNCTION("split(split(K2119,""【"",false),""公式LINE"",false)"),"“5億稼ぐ女""と呼ばれるカリスマトレーダー・宝城理沙(筧美和子)が殺害された。刑事・監物(鈴木浩介)と渡辺(速水もこみち)は、同じマンションに住む第一発見者・平井かすみ(仙道敦子)を逮捕。さらに“5億稼ぐ女""の正体は理沙ではなく、かすみだと判明する。しかし捜査は行き詰まり、有希子(天海祐希)らキントリ・チームが取り調べることに。かすみの“別の顔""を暴こうとしたところ、“完全黙秘""に転じてしまい…!?")</f>
        <v>“5億稼ぐ女"と呼ばれるカリスマトレーダー・宝城理沙(筧美和子)が殺害された。刑事・監物(鈴木浩介)と渡辺(速水もこみち)は、同じマンションに住む第一発見者・平井かすみ(仙道敦子)を逮捕。さらに“5億稼ぐ女"の正体は理沙ではなく、かすみだと判明する。しかし捜査は行き詰まり、有希子(天海祐希)らキントリ・チームが取り調べることに。かすみの“別の顔"を暴こうとしたところ、“完全黙秘"に転じてしまい…!?</v>
      </c>
      <c r="N2119" s="2"/>
      <c r="O2119" s="2"/>
      <c r="P2119" s="2"/>
      <c r="Q2119" s="2"/>
      <c r="R2119" s="2"/>
      <c r="S2119" s="2"/>
      <c r="T2119" s="2"/>
      <c r="U2119" s="2"/>
      <c r="V2119" s="2"/>
      <c r="W2119" s="2"/>
      <c r="X2119" s="2"/>
      <c r="Y2119" s="2"/>
      <c r="Z2119" s="2"/>
      <c r="AA2119" s="2"/>
      <c r="AB2119" s="2"/>
      <c r="AC2119" s="2"/>
      <c r="AD2119" s="2"/>
      <c r="AE2119" s="2"/>
      <c r="AF2119" s="2"/>
      <c r="AG2119" s="2"/>
      <c r="AH2119" s="2"/>
      <c r="AI2119" s="2"/>
      <c r="AJ2119" s="2"/>
      <c r="AK2119" s="2"/>
      <c r="AL2119" s="2"/>
      <c r="AM2119" s="2"/>
      <c r="AN2119" s="2"/>
      <c r="AO2119" s="2"/>
      <c r="AP2119" s="2"/>
      <c r="AQ2119" s="2"/>
      <c r="AR2119" s="2"/>
      <c r="AS2119" s="2"/>
      <c r="AT2119" s="2"/>
      <c r="AU2119" s="2"/>
      <c r="AV2119" s="2"/>
      <c r="AW2119" s="2"/>
      <c r="AX2119" s="2"/>
      <c r="AY2119" s="2"/>
      <c r="AZ2119" s="2"/>
      <c r="BA2119" s="2"/>
      <c r="BB2119" s="2"/>
    </row>
    <row r="2120" ht="204.75" customHeight="1">
      <c r="A2120" s="1">
        <v>268.0</v>
      </c>
      <c r="B2120" s="2" t="s">
        <v>6646</v>
      </c>
      <c r="C2120" s="2">
        <f>IFERROR(__xludf.DUMMYFUNCTION("split(B2120,""_"")"),1904.0)</f>
        <v>1904</v>
      </c>
      <c r="D2120" s="2" t="str">
        <f>IFERROR(__xludf.DUMMYFUNCTION("""COMPUTED_VALUE"""),"EX")</f>
        <v>EX</v>
      </c>
      <c r="E2120" s="2" t="str">
        <f>IFERROR(__xludf.DUMMYFUNCTION("""COMPUTED_VALUE"""),"木21")</f>
        <v>木21</v>
      </c>
      <c r="F2120" s="2" t="s">
        <v>6647</v>
      </c>
      <c r="G2120" s="2" t="s">
        <v>6657</v>
      </c>
      <c r="H2120" s="1">
        <v>4.0</v>
      </c>
      <c r="I2120" s="1" t="s">
        <v>2880</v>
      </c>
      <c r="J2120" s="1" t="s">
        <v>11</v>
      </c>
      <c r="K2120" s="2" t="s">
        <v>6658</v>
      </c>
      <c r="L2120" s="11" t="s">
        <v>6659</v>
      </c>
      <c r="M2120" s="2" t="str">
        <f>IFERROR(__xludf.DUMMYFUNCTION("split(split(K2120,""【"",false),""公式LINE"",false)"),"女子高校生連続殺人事件の被疑者として、樫村荘介(今井悠貴)を逮捕。さらに樫村は、2日前の夜に失踪した女子高校生・福永真希を監禁している疑惑が浮上。樫村の殺害方法から推測すると、真希の生存可能時間は残りたったの30時間…。有希子(天海祐希)らキントリ・チームが取り調べるも、樫村は完全黙秘。さらなる手がかりを求め、寝たきりの祖母・澄江(鷲尾真知子)と暮らす樫村の姉・茜(松本まりか)と引き合わせるが…")</f>
        <v>女子高校生連続殺人事件の被疑者として、樫村荘介(今井悠貴)を逮捕。さらに樫村は、2日前の夜に失踪した女子高校生・福永真希を監禁している疑惑が浮上。樫村の殺害方法から推測すると、真希の生存可能時間は残りたったの30時間…。有希子(天海祐希)らキントリ・チームが取り調べるも、樫村は完全黙秘。さらなる手がかりを求め、寝たきりの祖母・澄江(鷲尾真知子)と暮らす樫村の姉・茜(松本まりか)と引き合わせるが…</v>
      </c>
      <c r="N2120" s="2"/>
      <c r="O2120" s="2"/>
      <c r="P2120" s="2"/>
      <c r="Q2120" s="2"/>
      <c r="R2120" s="2"/>
      <c r="S2120" s="2"/>
      <c r="T2120" s="2"/>
      <c r="U2120" s="2"/>
      <c r="V2120" s="2"/>
      <c r="W2120" s="2"/>
      <c r="X2120" s="2"/>
      <c r="Y2120" s="2"/>
      <c r="Z2120" s="2"/>
      <c r="AA2120" s="2"/>
      <c r="AB2120" s="2"/>
      <c r="AC2120" s="2"/>
      <c r="AD2120" s="2"/>
      <c r="AE2120" s="2"/>
      <c r="AF2120" s="2"/>
      <c r="AG2120" s="2"/>
      <c r="AH2120" s="2"/>
      <c r="AI2120" s="2"/>
      <c r="AJ2120" s="2"/>
      <c r="AK2120" s="2"/>
      <c r="AL2120" s="2"/>
      <c r="AM2120" s="2"/>
      <c r="AN2120" s="2"/>
      <c r="AO2120" s="2"/>
      <c r="AP2120" s="2"/>
      <c r="AQ2120" s="2"/>
      <c r="AR2120" s="2"/>
      <c r="AS2120" s="2"/>
      <c r="AT2120" s="2"/>
      <c r="AU2120" s="2"/>
      <c r="AV2120" s="2"/>
      <c r="AW2120" s="2"/>
      <c r="AX2120" s="2"/>
      <c r="AY2120" s="2"/>
      <c r="AZ2120" s="2"/>
      <c r="BA2120" s="2"/>
      <c r="BB2120" s="2"/>
    </row>
    <row r="2121" ht="204.75" customHeight="1">
      <c r="A2121" s="1">
        <v>269.0</v>
      </c>
      <c r="B2121" s="2" t="s">
        <v>6646</v>
      </c>
      <c r="C2121" s="2">
        <f>IFERROR(__xludf.DUMMYFUNCTION("split(B2121,""_"")"),1904.0)</f>
        <v>1904</v>
      </c>
      <c r="D2121" s="2" t="str">
        <f>IFERROR(__xludf.DUMMYFUNCTION("""COMPUTED_VALUE"""),"EX")</f>
        <v>EX</v>
      </c>
      <c r="E2121" s="2" t="str">
        <f>IFERROR(__xludf.DUMMYFUNCTION("""COMPUTED_VALUE"""),"木21")</f>
        <v>木21</v>
      </c>
      <c r="F2121" s="2" t="s">
        <v>6647</v>
      </c>
      <c r="G2121" s="2" t="s">
        <v>6660</v>
      </c>
      <c r="H2121" s="1">
        <v>5.0</v>
      </c>
      <c r="I2121" s="1" t="s">
        <v>2884</v>
      </c>
      <c r="J2121" s="1" t="s">
        <v>11</v>
      </c>
      <c r="K2121" s="2" t="s">
        <v>6661</v>
      </c>
      <c r="L2121" s="11" t="s">
        <v>6662</v>
      </c>
      <c r="M2121" s="2" t="str">
        <f>IFERROR(__xludf.DUMMYFUNCTION("split(split(K2121,""【"",false),""公式LINE"",false)"),"姑・山下昌子(真野響子)に頼まれ、夕食のスープに使うカボチャを買いに出かけた嫁・彩矢(国分佐智子)が行方不明に。有希子(天海祐希)は山下家に向かい、涙ながらに嫁の安否を案じる昌子から話を聞くことに。そんな中、夫・翔太が妻を殺したと自首してきた!だが、有希子は昌子こそが真犯人だと確信し、重要参考人として出頭するよう依頼するが拒否される。しかし、自宅で有希子と2人きりなら事情聴取に応じると言い出し…!?")</f>
        <v>姑・山下昌子(真野響子)に頼まれ、夕食のスープに使うカボチャを買いに出かけた嫁・彩矢(国分佐智子)が行方不明に。有希子(天海祐希)は山下家に向かい、涙ながらに嫁の安否を案じる昌子から話を聞くことに。そんな中、夫・翔太が妻を殺したと自首してきた!だが、有希子は昌子こそが真犯人だと確信し、重要参考人として出頭するよう依頼するが拒否される。しかし、自宅で有希子と2人きりなら事情聴取に応じると言い出し…!?</v>
      </c>
      <c r="N2121" s="2"/>
      <c r="O2121" s="2"/>
      <c r="P2121" s="2"/>
      <c r="Q2121" s="2"/>
      <c r="R2121" s="2"/>
      <c r="S2121" s="2"/>
      <c r="T2121" s="2"/>
      <c r="U2121" s="2"/>
      <c r="V2121" s="2"/>
      <c r="W2121" s="2"/>
      <c r="X2121" s="2"/>
      <c r="Y2121" s="2"/>
      <c r="Z2121" s="2"/>
      <c r="AA2121" s="2"/>
      <c r="AB2121" s="2"/>
      <c r="AC2121" s="2"/>
      <c r="AD2121" s="2"/>
      <c r="AE2121" s="2"/>
      <c r="AF2121" s="2"/>
      <c r="AG2121" s="2"/>
      <c r="AH2121" s="2"/>
      <c r="AI2121" s="2"/>
      <c r="AJ2121" s="2"/>
      <c r="AK2121" s="2"/>
      <c r="AL2121" s="2"/>
      <c r="AM2121" s="2"/>
      <c r="AN2121" s="2"/>
      <c r="AO2121" s="2"/>
      <c r="AP2121" s="2"/>
      <c r="AQ2121" s="2"/>
      <c r="AR2121" s="2"/>
      <c r="AS2121" s="2"/>
      <c r="AT2121" s="2"/>
      <c r="AU2121" s="2"/>
      <c r="AV2121" s="2"/>
      <c r="AW2121" s="2"/>
      <c r="AX2121" s="2"/>
      <c r="AY2121" s="2"/>
      <c r="AZ2121" s="2"/>
      <c r="BA2121" s="2"/>
      <c r="BB2121" s="2"/>
    </row>
    <row r="2122" ht="204.75" customHeight="1">
      <c r="A2122" s="1">
        <v>270.0</v>
      </c>
      <c r="B2122" s="2" t="s">
        <v>6646</v>
      </c>
      <c r="C2122" s="2">
        <f>IFERROR(__xludf.DUMMYFUNCTION("split(B2122,""_"")"),1904.0)</f>
        <v>1904</v>
      </c>
      <c r="D2122" s="2" t="str">
        <f>IFERROR(__xludf.DUMMYFUNCTION("""COMPUTED_VALUE"""),"EX")</f>
        <v>EX</v>
      </c>
      <c r="E2122" s="2" t="str">
        <f>IFERROR(__xludf.DUMMYFUNCTION("""COMPUTED_VALUE"""),"木21")</f>
        <v>木21</v>
      </c>
      <c r="F2122" s="2" t="s">
        <v>6647</v>
      </c>
      <c r="G2122" s="2" t="s">
        <v>6663</v>
      </c>
      <c r="H2122" s="1">
        <v>6.0</v>
      </c>
      <c r="I2122" s="1" t="s">
        <v>2888</v>
      </c>
      <c r="J2122" s="1" t="s">
        <v>11</v>
      </c>
      <c r="K2122" s="2" t="s">
        <v>6664</v>
      </c>
      <c r="L2122" s="11" t="s">
        <v>6665</v>
      </c>
      <c r="M2122" s="2" t="str">
        <f>IFERROR(__xludf.DUMMYFUNCTION("split(split(K2122,""【"",false),""公式LINE"",false)"),"保育園児・凛が自宅から誘拐され、園児の父親・康弘が遺体で発見された。情報提供により、ウサギの着ぐるみをまとった不審者が、凛を抱きかかえて歩く姿を撮影した映像を入手!捜査協力を命じられたキントリ・チームは、母親・明日香(土居志央梨)と凛の担任保育士・柴田七海(倉科カナ)の取り調べに乗り出すが、有希子(天海祐希)は七海が嘘をつき、頑なに何かを隠そうとしているような気がしてならず…")</f>
        <v>保育園児・凛が自宅から誘拐され、園児の父親・康弘が遺体で発見された。情報提供により、ウサギの着ぐるみをまとった不審者が、凛を抱きかかえて歩く姿を撮影した映像を入手!捜査協力を命じられたキントリ・チームは、母親・明日香(土居志央梨)と凛の担任保育士・柴田七海(倉科カナ)の取り調べに乗り出すが、有希子(天海祐希)は七海が嘘をつき、頑なに何かを隠そうとしているような気がしてならず…</v>
      </c>
      <c r="N2122" s="2"/>
      <c r="O2122" s="2"/>
      <c r="P2122" s="2"/>
      <c r="Q2122" s="2"/>
      <c r="R2122" s="2"/>
      <c r="S2122" s="2"/>
      <c r="T2122" s="2"/>
      <c r="U2122" s="2"/>
      <c r="V2122" s="2"/>
      <c r="W2122" s="2"/>
      <c r="X2122" s="2"/>
      <c r="Y2122" s="2"/>
      <c r="Z2122" s="2"/>
      <c r="AA2122" s="2"/>
      <c r="AB2122" s="2"/>
      <c r="AC2122" s="2"/>
      <c r="AD2122" s="2"/>
      <c r="AE2122" s="2"/>
      <c r="AF2122" s="2"/>
      <c r="AG2122" s="2"/>
      <c r="AH2122" s="2"/>
      <c r="AI2122" s="2"/>
      <c r="AJ2122" s="2"/>
      <c r="AK2122" s="2"/>
      <c r="AL2122" s="2"/>
      <c r="AM2122" s="2"/>
      <c r="AN2122" s="2"/>
      <c r="AO2122" s="2"/>
      <c r="AP2122" s="2"/>
      <c r="AQ2122" s="2"/>
      <c r="AR2122" s="2"/>
      <c r="AS2122" s="2"/>
      <c r="AT2122" s="2"/>
      <c r="AU2122" s="2"/>
      <c r="AV2122" s="2"/>
      <c r="AW2122" s="2"/>
      <c r="AX2122" s="2"/>
      <c r="AY2122" s="2"/>
      <c r="AZ2122" s="2"/>
      <c r="BA2122" s="2"/>
      <c r="BB2122" s="2"/>
    </row>
    <row r="2123" ht="204.75" customHeight="1">
      <c r="A2123" s="1">
        <v>271.0</v>
      </c>
      <c r="B2123" s="2" t="s">
        <v>6646</v>
      </c>
      <c r="C2123" s="2">
        <f>IFERROR(__xludf.DUMMYFUNCTION("split(B2123,""_"")"),1904.0)</f>
        <v>1904</v>
      </c>
      <c r="D2123" s="2" t="str">
        <f>IFERROR(__xludf.DUMMYFUNCTION("""COMPUTED_VALUE"""),"EX")</f>
        <v>EX</v>
      </c>
      <c r="E2123" s="2" t="str">
        <f>IFERROR(__xludf.DUMMYFUNCTION("""COMPUTED_VALUE"""),"木21")</f>
        <v>木21</v>
      </c>
      <c r="F2123" s="2" t="s">
        <v>6647</v>
      </c>
      <c r="G2123" s="2" t="s">
        <v>6666</v>
      </c>
      <c r="H2123" s="1">
        <v>7.0</v>
      </c>
      <c r="I2123" s="1" t="s">
        <v>2892</v>
      </c>
      <c r="J2123" s="1" t="s">
        <v>11</v>
      </c>
      <c r="K2123" s="2" t="s">
        <v>6667</v>
      </c>
      <c r="L2123" s="11" t="s">
        <v>6668</v>
      </c>
      <c r="M2123" s="2" t="str">
        <f>IFERROR(__xludf.DUMMYFUNCTION("split(split(K2123,""【"",false),""公式LINE"",false)"),"宝石販売会社社長・伴佐知恵(大久保佳代子)が、元夫を殺害したと自首。有希子(天海祐希)らキントリチームが取り調べをすると、佐知恵は24歳年下のイケメン販売員・若杉純(稲葉友)と再婚するため、罪を償いたいと打ち明ける。佐知恵は、取り調べでも素直に供述。物証もそろっており、容疑は固まったも同然。ところが、キントリきっての頭脳派・小石川(小日向文世)が、事件をめぐり有希子と対立してしまい…!?")</f>
        <v>宝石販売会社社長・伴佐知恵(大久保佳代子)が、元夫を殺害したと自首。有希子(天海祐希)らキントリチームが取り調べをすると、佐知恵は24歳年下のイケメン販売員・若杉純(稲葉友)と再婚するため、罪を償いたいと打ち明ける。佐知恵は、取り調べでも素直に供述。物証もそろっており、容疑は固まったも同然。ところが、キントリきっての頭脳派・小石川(小日向文世)が、事件をめぐり有希子と対立してしまい…!?</v>
      </c>
      <c r="N2123" s="2"/>
      <c r="O2123" s="2"/>
      <c r="P2123" s="2"/>
      <c r="Q2123" s="2"/>
      <c r="R2123" s="2"/>
      <c r="S2123" s="2"/>
      <c r="T2123" s="2"/>
      <c r="U2123" s="2"/>
      <c r="V2123" s="2"/>
      <c r="W2123" s="2"/>
      <c r="X2123" s="2"/>
      <c r="Y2123" s="2"/>
      <c r="Z2123" s="2"/>
      <c r="AA2123" s="2"/>
      <c r="AB2123" s="2"/>
      <c r="AC2123" s="2"/>
      <c r="AD2123" s="2"/>
      <c r="AE2123" s="2"/>
      <c r="AF2123" s="2"/>
      <c r="AG2123" s="2"/>
      <c r="AH2123" s="2"/>
      <c r="AI2123" s="2"/>
      <c r="AJ2123" s="2"/>
      <c r="AK2123" s="2"/>
      <c r="AL2123" s="2"/>
      <c r="AM2123" s="2"/>
      <c r="AN2123" s="2"/>
      <c r="AO2123" s="2"/>
      <c r="AP2123" s="2"/>
      <c r="AQ2123" s="2"/>
      <c r="AR2123" s="2"/>
      <c r="AS2123" s="2"/>
      <c r="AT2123" s="2"/>
      <c r="AU2123" s="2"/>
      <c r="AV2123" s="2"/>
      <c r="AW2123" s="2"/>
      <c r="AX2123" s="2"/>
      <c r="AY2123" s="2"/>
      <c r="AZ2123" s="2"/>
      <c r="BA2123" s="2"/>
      <c r="BB2123" s="2"/>
    </row>
    <row r="2124" ht="204.75" customHeight="1">
      <c r="A2124" s="1">
        <v>272.0</v>
      </c>
      <c r="B2124" s="2" t="s">
        <v>6646</v>
      </c>
      <c r="C2124" s="2">
        <f>IFERROR(__xludf.DUMMYFUNCTION("split(B2124,""_"")"),1904.0)</f>
        <v>1904</v>
      </c>
      <c r="D2124" s="2" t="str">
        <f>IFERROR(__xludf.DUMMYFUNCTION("""COMPUTED_VALUE"""),"EX")</f>
        <v>EX</v>
      </c>
      <c r="E2124" s="2" t="str">
        <f>IFERROR(__xludf.DUMMYFUNCTION("""COMPUTED_VALUE"""),"木21")</f>
        <v>木21</v>
      </c>
      <c r="F2124" s="2" t="s">
        <v>6647</v>
      </c>
      <c r="G2124" s="2" t="s">
        <v>6669</v>
      </c>
      <c r="H2124" s="1">
        <v>8.0</v>
      </c>
      <c r="I2124" s="1" t="s">
        <v>2896</v>
      </c>
      <c r="J2124" s="1" t="s">
        <v>11</v>
      </c>
      <c r="K2124" s="2" t="s">
        <v>6670</v>
      </c>
      <c r="L2124" s="11" t="s">
        <v>6671</v>
      </c>
      <c r="M2124" s="2" t="str">
        <f>IFERROR(__xludf.DUMMYFUNCTION("split(split(K2124,""【"",false),""公式LINE"",false)"),"会社社長・宇佐美友香が殺害された!有希子(天海祐希)らキントリ・チームは初動捜査の応援を要請され、事件現場へと急行。捜査線上には、第一発見者の梅田(三宅弘城)、事件直前に社長から叱責されていた橋下(入江甚儀)、橋下と事件当時一緒にいた木崎(橋本じゅん)の3人の名前が挙がり、取り調べを開始。だが、世代も部署も違う3人をつなぐ線も、殺害動機もまるで見えてこず…!?")</f>
        <v>会社社長・宇佐美友香が殺害された!有希子(天海祐希)らキントリ・チームは初動捜査の応援を要請され、事件現場へと急行。捜査線上には、第一発見者の梅田(三宅弘城)、事件直前に社長から叱責されていた橋下(入江甚儀)、橋下と事件当時一緒にいた木崎(橋本じゅん)の3人の名前が挙がり、取り調べを開始。だが、世代も部署も違う3人をつなぐ線も、殺害動機もまるで見えてこず…!?</v>
      </c>
      <c r="N2124" s="2"/>
      <c r="O2124" s="2"/>
      <c r="P2124" s="2"/>
      <c r="Q2124" s="2"/>
      <c r="R2124" s="2"/>
      <c r="S2124" s="2"/>
      <c r="T2124" s="2"/>
      <c r="U2124" s="2"/>
      <c r="V2124" s="2"/>
      <c r="W2124" s="2"/>
      <c r="X2124" s="2"/>
      <c r="Y2124" s="2"/>
      <c r="Z2124" s="2"/>
      <c r="AA2124" s="2"/>
      <c r="AB2124" s="2"/>
      <c r="AC2124" s="2"/>
      <c r="AD2124" s="2"/>
      <c r="AE2124" s="2"/>
      <c r="AF2124" s="2"/>
      <c r="AG2124" s="2"/>
      <c r="AH2124" s="2"/>
      <c r="AI2124" s="2"/>
      <c r="AJ2124" s="2"/>
      <c r="AK2124" s="2"/>
      <c r="AL2124" s="2"/>
      <c r="AM2124" s="2"/>
      <c r="AN2124" s="2"/>
      <c r="AO2124" s="2"/>
      <c r="AP2124" s="2"/>
      <c r="AQ2124" s="2"/>
      <c r="AR2124" s="2"/>
      <c r="AS2124" s="2"/>
      <c r="AT2124" s="2"/>
      <c r="AU2124" s="2"/>
      <c r="AV2124" s="2"/>
      <c r="AW2124" s="2"/>
      <c r="AX2124" s="2"/>
      <c r="AY2124" s="2"/>
      <c r="AZ2124" s="2"/>
      <c r="BA2124" s="2"/>
      <c r="BB2124" s="2"/>
    </row>
    <row r="2125" ht="204.75" customHeight="1">
      <c r="A2125" s="1">
        <v>273.0</v>
      </c>
      <c r="B2125" s="2" t="s">
        <v>6646</v>
      </c>
      <c r="C2125" s="2">
        <f>IFERROR(__xludf.DUMMYFUNCTION("split(B2125,""_"")"),1904.0)</f>
        <v>1904</v>
      </c>
      <c r="D2125" s="2" t="str">
        <f>IFERROR(__xludf.DUMMYFUNCTION("""COMPUTED_VALUE"""),"EX")</f>
        <v>EX</v>
      </c>
      <c r="E2125" s="2" t="str">
        <f>IFERROR(__xludf.DUMMYFUNCTION("""COMPUTED_VALUE"""),"木21")</f>
        <v>木21</v>
      </c>
      <c r="F2125" s="2" t="s">
        <v>6647</v>
      </c>
      <c r="G2125" s="2" t="s">
        <v>6672</v>
      </c>
      <c r="H2125" s="1">
        <v>9.0</v>
      </c>
      <c r="I2125" s="1" t="s">
        <v>2900</v>
      </c>
      <c r="J2125" s="1" t="s">
        <v>4</v>
      </c>
      <c r="K2125" s="2" t="s">
        <v>6673</v>
      </c>
      <c r="L2125" s="11" t="s">
        <v>6674</v>
      </c>
      <c r="M2125" s="2" t="str">
        <f>IFERROR(__xludf.DUMMYFUNCTION("split(split(K2125,""【"",false),""公式LINE"",false)"),"有希子(天海祐希)らキントリ・チームが最後の取り調べをすることになったのは、医大生・藤井(坂東龍汰)が同級生を刺殺したと目される事件。実はこの事件、かつてキントリが自供を引き出せなかった連続殺人事件の被告人・未亜(吉川愛)との関連性が疑われていた。有希子らは、藤井や未亜と関わりのあった染谷(吉田鋼太郎)のもとを訪問するが…!?")</f>
        <v>有希子(天海祐希)らキントリ・チームが最後の取り調べをすることになったのは、医大生・藤井(坂東龍汰)が同級生を刺殺したと目される事件。実はこの事件、かつてキントリが自供を引き出せなかった連続殺人事件の被告人・未亜(吉川愛)との関連性が疑われていた。有希子らは、藤井や未亜と関わりのあった染谷(吉田鋼太郎)のもとを訪問するが…!?</v>
      </c>
      <c r="N2125" s="2"/>
      <c r="O2125" s="2"/>
      <c r="P2125" s="2"/>
      <c r="Q2125" s="2"/>
      <c r="R2125" s="2"/>
      <c r="S2125" s="2"/>
      <c r="T2125" s="2"/>
      <c r="U2125" s="2"/>
      <c r="V2125" s="2"/>
      <c r="W2125" s="2"/>
      <c r="X2125" s="2"/>
      <c r="Y2125" s="2"/>
      <c r="Z2125" s="2"/>
      <c r="AA2125" s="2"/>
      <c r="AB2125" s="2"/>
      <c r="AC2125" s="2"/>
      <c r="AD2125" s="2"/>
      <c r="AE2125" s="2"/>
      <c r="AF2125" s="2"/>
      <c r="AG2125" s="2"/>
      <c r="AH2125" s="2"/>
      <c r="AI2125" s="2"/>
      <c r="AJ2125" s="2"/>
      <c r="AK2125" s="2"/>
      <c r="AL2125" s="2"/>
      <c r="AM2125" s="2"/>
      <c r="AN2125" s="2"/>
      <c r="AO2125" s="2"/>
      <c r="AP2125" s="2"/>
      <c r="AQ2125" s="2"/>
      <c r="AR2125" s="2"/>
      <c r="AS2125" s="2"/>
      <c r="AT2125" s="2"/>
      <c r="AU2125" s="2"/>
      <c r="AV2125" s="2"/>
      <c r="AW2125" s="2"/>
      <c r="AX2125" s="2"/>
      <c r="AY2125" s="2"/>
      <c r="AZ2125" s="2"/>
      <c r="BA2125" s="2"/>
      <c r="BB2125" s="2"/>
    </row>
    <row r="2126" ht="204.75" customHeight="1">
      <c r="A2126" s="1">
        <v>274.0</v>
      </c>
      <c r="B2126" s="2" t="s">
        <v>6646</v>
      </c>
      <c r="C2126" s="2">
        <f>IFERROR(__xludf.DUMMYFUNCTION("split(B2126,""_"")"),1904.0)</f>
        <v>1904</v>
      </c>
      <c r="D2126" s="2" t="str">
        <f>IFERROR(__xludf.DUMMYFUNCTION("""COMPUTED_VALUE"""),"EX")</f>
        <v>EX</v>
      </c>
      <c r="E2126" s="2" t="str">
        <f>IFERROR(__xludf.DUMMYFUNCTION("""COMPUTED_VALUE"""),"木21")</f>
        <v>木21</v>
      </c>
      <c r="F2126" s="2" t="s">
        <v>6647</v>
      </c>
      <c r="G2126" s="2" t="s">
        <v>6675</v>
      </c>
      <c r="H2126" s="1">
        <v>10.0</v>
      </c>
      <c r="I2126" s="1" t="s">
        <v>37</v>
      </c>
      <c r="J2126" s="1" t="s">
        <v>4</v>
      </c>
      <c r="K2126" s="2" t="s">
        <v>6676</v>
      </c>
      <c r="L2126" s="11" t="s">
        <v>6677</v>
      </c>
      <c r="M2126" s="2" t="str">
        <f>IFERROR(__xludf.DUMMYFUNCTION("split(split(K2126,""【"",false),""公式LINE"",false)"),"同級生毒殺の罪で起訴された被告人・未亜(吉川愛)と、同級生刺殺事件の被疑者・藤井(坂東龍汰)。2人は事件前に、命の恩人である染谷(吉田鋼太郎)と会っていたことが判明。3人の間に一体、何があったのか?有希子(天海祐希)らキントリチームは、未亜を徹底的に追及。ついに未亜は重い口を開くが…。さらに、有希子は事件の鍵を握る染谷の聴取を開始する。  解散を目前に控えたキントリが挑む“最後の事件""の真相とは…!?")</f>
        <v>同級生毒殺の罪で起訴された被告人・未亜(吉川愛)と、同級生刺殺事件の被疑者・藤井(坂東龍汰)。2人は事件前に、命の恩人である染谷(吉田鋼太郎)と会っていたことが判明。3人の間に一体、何があったのか?有希子(天海祐希)らキントリチームは、未亜を徹底的に追及。ついに未亜は重い口を開くが…。さらに、有希子は事件の鍵を握る染谷の聴取を開始する。  解散を目前に控えたキントリが挑む“最後の事件"の真相とは…!?</v>
      </c>
      <c r="N2126" s="2"/>
      <c r="O2126" s="2"/>
      <c r="P2126" s="2"/>
      <c r="Q2126" s="2"/>
      <c r="R2126" s="2"/>
      <c r="S2126" s="2"/>
      <c r="T2126" s="2"/>
      <c r="U2126" s="2"/>
      <c r="V2126" s="2"/>
      <c r="W2126" s="2"/>
      <c r="X2126" s="2"/>
      <c r="Y2126" s="2"/>
      <c r="Z2126" s="2"/>
      <c r="AA2126" s="2"/>
      <c r="AB2126" s="2"/>
      <c r="AC2126" s="2"/>
      <c r="AD2126" s="2"/>
      <c r="AE2126" s="2"/>
      <c r="AF2126" s="2"/>
      <c r="AG2126" s="2"/>
      <c r="AH2126" s="2"/>
      <c r="AI2126" s="2"/>
      <c r="AJ2126" s="2"/>
      <c r="AK2126" s="2"/>
      <c r="AL2126" s="2"/>
      <c r="AM2126" s="2"/>
      <c r="AN2126" s="2"/>
      <c r="AO2126" s="2"/>
      <c r="AP2126" s="2"/>
      <c r="AQ2126" s="2"/>
      <c r="AR2126" s="2"/>
      <c r="AS2126" s="2"/>
      <c r="AT2126" s="2"/>
      <c r="AU2126" s="2"/>
      <c r="AV2126" s="2"/>
      <c r="AW2126" s="2"/>
      <c r="AX2126" s="2"/>
      <c r="AY2126" s="2"/>
      <c r="AZ2126" s="2"/>
      <c r="BA2126" s="2"/>
      <c r="BB2126" s="2"/>
    </row>
    <row r="2127" ht="204.75" customHeight="1">
      <c r="A2127" s="1">
        <v>306.0</v>
      </c>
      <c r="B2127" s="2" t="s">
        <v>6678</v>
      </c>
      <c r="C2127" s="2">
        <f>IFERROR(__xludf.DUMMYFUNCTION("split(B2127,""_"")"),1904.0)</f>
        <v>1904</v>
      </c>
      <c r="D2127" s="2" t="str">
        <f>IFERROR(__xludf.DUMMYFUNCTION("""COMPUTED_VALUE"""),"EX")</f>
        <v>EX</v>
      </c>
      <c r="E2127" s="2" t="str">
        <f>IFERROR(__xludf.DUMMYFUNCTION("""COMPUTED_VALUE"""),"金23")</f>
        <v>金23</v>
      </c>
      <c r="F2127" s="2" t="s">
        <v>6679</v>
      </c>
      <c r="G2127" s="2" t="s">
        <v>6680</v>
      </c>
      <c r="H2127" s="1">
        <v>1.0</v>
      </c>
      <c r="I2127" s="1" t="s">
        <v>2868</v>
      </c>
      <c r="J2127" s="1" t="s">
        <v>1435</v>
      </c>
      <c r="K2127" s="2" t="s">
        <v>6681</v>
      </c>
      <c r="L2127" s="11" t="s">
        <v>6682</v>
      </c>
      <c r="M2127" s="2" t="str">
        <f>IFERROR(__xludf.DUMMYFUNCTION("split(split(K2127,""【"",false),""公式LINE"",false)"),"家政夫・三田園薫(松岡昌宏)は、新人家政婦の村田光(伊野尾慧)と恩田萌(川栄李奈)と共に、丼専門店で成功を収めた“豊洲のドンタン""こと丹波幸之助(大和田伸也)のもとへ派遣される。資産800億とも言われる丹波は、何者かに命を狙われていた…若妻・ユリア(太田莉菜)や妹夫婦、弁護士、記者など、周りには怪しい人ばかり…三田園たちは家政婦兼、ボディーガード兼、探偵として雇われるが…!?")</f>
        <v>家政夫・三田園薫(松岡昌宏)は、新人家政婦の村田光(伊野尾慧)と恩田萌(川栄李奈)と共に、丼専門店で成功を収めた“豊洲のドンタン"こと丹波幸之助(大和田伸也)のもとへ派遣される。資産800億とも言われる丹波は、何者かに命を狙われていた…若妻・ユリア(太田莉菜)や妹夫婦、弁護士、記者など、周りには怪しい人ばかり…三田園たちは家政婦兼、ボディーガード兼、探偵として雇われるが…!?</v>
      </c>
      <c r="N2127" s="2"/>
      <c r="O2127" s="2"/>
      <c r="P2127" s="2"/>
      <c r="Q2127" s="2"/>
      <c r="R2127" s="2"/>
      <c r="S2127" s="2"/>
      <c r="T2127" s="2"/>
      <c r="U2127" s="2"/>
      <c r="V2127" s="2"/>
      <c r="W2127" s="2"/>
      <c r="X2127" s="2"/>
      <c r="Y2127" s="2"/>
      <c r="Z2127" s="2"/>
      <c r="AA2127" s="2"/>
      <c r="AB2127" s="2"/>
      <c r="AC2127" s="2"/>
      <c r="AD2127" s="2"/>
      <c r="AE2127" s="2"/>
      <c r="AF2127" s="2"/>
      <c r="AG2127" s="2"/>
      <c r="AH2127" s="2"/>
      <c r="AI2127" s="2"/>
      <c r="AJ2127" s="2"/>
      <c r="AK2127" s="2"/>
      <c r="AL2127" s="2"/>
      <c r="AM2127" s="2"/>
      <c r="AN2127" s="2"/>
      <c r="AO2127" s="2"/>
      <c r="AP2127" s="2"/>
      <c r="AQ2127" s="2"/>
      <c r="AR2127" s="2"/>
      <c r="AS2127" s="2"/>
      <c r="AT2127" s="2"/>
      <c r="AU2127" s="2"/>
      <c r="AV2127" s="2"/>
      <c r="AW2127" s="2"/>
      <c r="AX2127" s="2"/>
      <c r="AY2127" s="2"/>
      <c r="AZ2127" s="2"/>
      <c r="BA2127" s="2"/>
      <c r="BB2127" s="2"/>
    </row>
    <row r="2128" ht="204.75" customHeight="1">
      <c r="A2128" s="1">
        <v>307.0</v>
      </c>
      <c r="B2128" s="2" t="s">
        <v>6678</v>
      </c>
      <c r="C2128" s="2">
        <f>IFERROR(__xludf.DUMMYFUNCTION("split(B2128,""_"")"),1904.0)</f>
        <v>1904</v>
      </c>
      <c r="D2128" s="2" t="str">
        <f>IFERROR(__xludf.DUMMYFUNCTION("""COMPUTED_VALUE"""),"EX")</f>
        <v>EX</v>
      </c>
      <c r="E2128" s="2" t="str">
        <f>IFERROR(__xludf.DUMMYFUNCTION("""COMPUTED_VALUE"""),"金23")</f>
        <v>金23</v>
      </c>
      <c r="F2128" s="2" t="s">
        <v>6679</v>
      </c>
      <c r="G2128" s="2" t="s">
        <v>6683</v>
      </c>
      <c r="H2128" s="1">
        <v>2.0</v>
      </c>
      <c r="I2128" s="1" t="s">
        <v>2872</v>
      </c>
      <c r="J2128" s="1" t="s">
        <v>1435</v>
      </c>
      <c r="K2128" s="2" t="s">
        <v>6684</v>
      </c>
      <c r="L2128" s="11" t="s">
        <v>6685</v>
      </c>
      <c r="M2128" s="2" t="str">
        <f>IFERROR(__xludf.DUMMYFUNCTION("split(split(K2128,""【"",false),""公式LINE"",false)"),"100年に1度の美人すぎるカリスマ姉妹として話題のハム会社社長・三ツ輪公子(青山倫子)と副社長・沙織(知花くらら)の家に派遣された三田園薫(松岡昌宏)と村田光(伊野尾慧)。実は、会社は金銭面で苦しんでおり、公子は資産100億の男(桐山漣)との玉の輿婚を狙っていた!!三田園は公子の女子力を偽装し…!?さらにミタゾノ流、男を落とす家事ワザとは!?一方、恩田萌(川栄李奈)は姉妹に隠された秘密を見つけてしまい…")</f>
        <v>100年に1度の美人すぎるカリスマ姉妹として話題のハム会社社長・三ツ輪公子(青山倫子)と副社長・沙織(知花くらら)の家に派遣された三田園薫(松岡昌宏)と村田光(伊野尾慧)。実は、会社は金銭面で苦しんでおり、公子は資産100億の男(桐山漣)との玉の輿婚を狙っていた!!三田園は公子の女子力を偽装し…!?さらにミタゾノ流、男を落とす家事ワザとは!?一方、恩田萌(川栄李奈)は姉妹に隠された秘密を見つけてしまい…</v>
      </c>
      <c r="N2128" s="2"/>
      <c r="O2128" s="2"/>
      <c r="P2128" s="2"/>
      <c r="Q2128" s="2"/>
      <c r="R2128" s="2"/>
      <c r="S2128" s="2"/>
      <c r="T2128" s="2"/>
      <c r="U2128" s="2"/>
      <c r="V2128" s="2"/>
      <c r="W2128" s="2"/>
      <c r="X2128" s="2"/>
      <c r="Y2128" s="2"/>
      <c r="Z2128" s="2"/>
      <c r="AA2128" s="2"/>
      <c r="AB2128" s="2"/>
      <c r="AC2128" s="2"/>
      <c r="AD2128" s="2"/>
      <c r="AE2128" s="2"/>
      <c r="AF2128" s="2"/>
      <c r="AG2128" s="2"/>
      <c r="AH2128" s="2"/>
      <c r="AI2128" s="2"/>
      <c r="AJ2128" s="2"/>
      <c r="AK2128" s="2"/>
      <c r="AL2128" s="2"/>
      <c r="AM2128" s="2"/>
      <c r="AN2128" s="2"/>
      <c r="AO2128" s="2"/>
      <c r="AP2128" s="2"/>
      <c r="AQ2128" s="2"/>
      <c r="AR2128" s="2"/>
      <c r="AS2128" s="2"/>
      <c r="AT2128" s="2"/>
      <c r="AU2128" s="2"/>
      <c r="AV2128" s="2"/>
      <c r="AW2128" s="2"/>
      <c r="AX2128" s="2"/>
      <c r="AY2128" s="2"/>
      <c r="AZ2128" s="2"/>
      <c r="BA2128" s="2"/>
      <c r="BB2128" s="2"/>
    </row>
    <row r="2129" ht="204.75" customHeight="1">
      <c r="A2129" s="1">
        <v>308.0</v>
      </c>
      <c r="B2129" s="2" t="s">
        <v>6678</v>
      </c>
      <c r="C2129" s="2">
        <f>IFERROR(__xludf.DUMMYFUNCTION("split(B2129,""_"")"),1904.0)</f>
        <v>1904</v>
      </c>
      <c r="D2129" s="2" t="str">
        <f>IFERROR(__xludf.DUMMYFUNCTION("""COMPUTED_VALUE"""),"EX")</f>
        <v>EX</v>
      </c>
      <c r="E2129" s="2" t="str">
        <f>IFERROR(__xludf.DUMMYFUNCTION("""COMPUTED_VALUE"""),"金23")</f>
        <v>金23</v>
      </c>
      <c r="F2129" s="2" t="s">
        <v>6679</v>
      </c>
      <c r="G2129" s="2" t="s">
        <v>6686</v>
      </c>
      <c r="H2129" s="1">
        <v>3.0</v>
      </c>
      <c r="I2129" s="1" t="s">
        <v>2876</v>
      </c>
      <c r="J2129" s="1" t="s">
        <v>1435</v>
      </c>
      <c r="K2129" s="2" t="s">
        <v>6687</v>
      </c>
      <c r="L2129" s="11" t="s">
        <v>6688</v>
      </c>
      <c r="M2129" s="2" t="str">
        <f>IFERROR(__xludf.DUMMYFUNCTION("split(split(K2129,""【"",false),""公式LINE"",false)"),"内閣官房長官・内部忠(小堺一機)の家に派遣された三田園薫(松岡昌宏)と村田光(伊野尾慧)は、内部が総理の“ある""スキャンダルを隠蔽している真っ最中であることを知る!さらに、総理大臣賞を授与した新薬の開発も“偽物""だったという新たな疑惑が発覚!?隠蔽工作中に次々と問題発生!国を揺るがす“秘密""をめぐり、三田園と内部の忖度バトルに発展!?一方、恩田萌(川栄李奈)は総理の“ハワイの秘密""に気付き…!?")</f>
        <v>内閣官房長官・内部忠(小堺一機)の家に派遣された三田園薫(松岡昌宏)と村田光(伊野尾慧)は、内部が総理の“ある"スキャンダルを隠蔽している真っ最中であることを知る!さらに、総理大臣賞を授与した新薬の開発も“偽物"だったという新たな疑惑が発覚!?隠蔽工作中に次々と問題発生!国を揺るがす“秘密"をめぐり、三田園と内部の忖度バトルに発展!?一方、恩田萌(川栄李奈)は総理の“ハワイの秘密"に気付き…!?</v>
      </c>
      <c r="N2129" s="2"/>
      <c r="O2129" s="2"/>
      <c r="P2129" s="2"/>
      <c r="Q2129" s="2"/>
      <c r="R2129" s="2"/>
      <c r="S2129" s="2"/>
      <c r="T2129" s="2"/>
      <c r="U2129" s="2"/>
      <c r="V2129" s="2"/>
      <c r="W2129" s="2"/>
      <c r="X2129" s="2"/>
      <c r="Y2129" s="2"/>
      <c r="Z2129" s="2"/>
      <c r="AA2129" s="2"/>
      <c r="AB2129" s="2"/>
      <c r="AC2129" s="2"/>
      <c r="AD2129" s="2"/>
      <c r="AE2129" s="2"/>
      <c r="AF2129" s="2"/>
      <c r="AG2129" s="2"/>
      <c r="AH2129" s="2"/>
      <c r="AI2129" s="2"/>
      <c r="AJ2129" s="2"/>
      <c r="AK2129" s="2"/>
      <c r="AL2129" s="2"/>
      <c r="AM2129" s="2"/>
      <c r="AN2129" s="2"/>
      <c r="AO2129" s="2"/>
      <c r="AP2129" s="2"/>
      <c r="AQ2129" s="2"/>
      <c r="AR2129" s="2"/>
      <c r="AS2129" s="2"/>
      <c r="AT2129" s="2"/>
      <c r="AU2129" s="2"/>
      <c r="AV2129" s="2"/>
      <c r="AW2129" s="2"/>
      <c r="AX2129" s="2"/>
      <c r="AY2129" s="2"/>
      <c r="AZ2129" s="2"/>
      <c r="BA2129" s="2"/>
      <c r="BB2129" s="2"/>
    </row>
    <row r="2130" ht="204.75" customHeight="1">
      <c r="A2130" s="1">
        <v>309.0</v>
      </c>
      <c r="B2130" s="2" t="s">
        <v>6678</v>
      </c>
      <c r="C2130" s="2">
        <f>IFERROR(__xludf.DUMMYFUNCTION("split(B2130,""_"")"),1904.0)</f>
        <v>1904</v>
      </c>
      <c r="D2130" s="2" t="str">
        <f>IFERROR(__xludf.DUMMYFUNCTION("""COMPUTED_VALUE"""),"EX")</f>
        <v>EX</v>
      </c>
      <c r="E2130" s="2" t="str">
        <f>IFERROR(__xludf.DUMMYFUNCTION("""COMPUTED_VALUE"""),"金23")</f>
        <v>金23</v>
      </c>
      <c r="F2130" s="2" t="s">
        <v>6679</v>
      </c>
      <c r="G2130" s="2" t="s">
        <v>6689</v>
      </c>
      <c r="H2130" s="1">
        <v>4.0</v>
      </c>
      <c r="I2130" s="1" t="s">
        <v>2880</v>
      </c>
      <c r="J2130" s="1" t="s">
        <v>1435</v>
      </c>
      <c r="K2130" s="2" t="s">
        <v>6690</v>
      </c>
      <c r="L2130" s="11" t="s">
        <v>6691</v>
      </c>
      <c r="M2130" s="2" t="str">
        <f>IFERROR(__xludf.DUMMYFUNCTION("split(split(K2130,""【"",false),""公式LINE"",false)"),"どんな不正も絶対に許さない裁判官・玄角厳吾(山崎一)の家に派遣された三田園薫(松岡昌宏)と村田光(伊野尾慧)と恩田萌(川栄李奈)。玄角は、家族にも正しく生きることを強制していたが…家に『クソ裁判官一家』と書かれたイタズラ書きを発見したことで、家族の裏の顔が次々と明らかになっていく!?裁判官一家は、なんと不正だらけの犯罪一家!?家族を守るべきか…それとも公平に裁くべきか…ミタゾノ・リーガル編が始動!")</f>
        <v>どんな不正も絶対に許さない裁判官・玄角厳吾(山崎一)の家に派遣された三田園薫(松岡昌宏)と村田光(伊野尾慧)と恩田萌(川栄李奈)。玄角は、家族にも正しく生きることを強制していたが…家に『クソ裁判官一家』と書かれたイタズラ書きを発見したことで、家族の裏の顔が次々と明らかになっていく!?裁判官一家は、なんと不正だらけの犯罪一家!?家族を守るべきか…それとも公平に裁くべきか…ミタゾノ・リーガル編が始動!</v>
      </c>
      <c r="N2130" s="2"/>
      <c r="O2130" s="2"/>
      <c r="P2130" s="2"/>
      <c r="Q2130" s="2"/>
      <c r="R2130" s="2"/>
      <c r="S2130" s="2"/>
      <c r="T2130" s="2"/>
      <c r="U2130" s="2"/>
      <c r="V2130" s="2"/>
      <c r="W2130" s="2"/>
      <c r="X2130" s="2"/>
      <c r="Y2130" s="2"/>
      <c r="Z2130" s="2"/>
      <c r="AA2130" s="2"/>
      <c r="AB2130" s="2"/>
      <c r="AC2130" s="2"/>
      <c r="AD2130" s="2"/>
      <c r="AE2130" s="2"/>
      <c r="AF2130" s="2"/>
      <c r="AG2130" s="2"/>
      <c r="AH2130" s="2"/>
      <c r="AI2130" s="2"/>
      <c r="AJ2130" s="2"/>
      <c r="AK2130" s="2"/>
      <c r="AL2130" s="2"/>
      <c r="AM2130" s="2"/>
      <c r="AN2130" s="2"/>
      <c r="AO2130" s="2"/>
      <c r="AP2130" s="2"/>
      <c r="AQ2130" s="2"/>
      <c r="AR2130" s="2"/>
      <c r="AS2130" s="2"/>
      <c r="AT2130" s="2"/>
      <c r="AU2130" s="2"/>
      <c r="AV2130" s="2"/>
      <c r="AW2130" s="2"/>
      <c r="AX2130" s="2"/>
      <c r="AY2130" s="2"/>
      <c r="AZ2130" s="2"/>
      <c r="BA2130" s="2"/>
      <c r="BB2130" s="2"/>
    </row>
    <row r="2131" ht="204.75" customHeight="1">
      <c r="A2131" s="1">
        <v>310.0</v>
      </c>
      <c r="B2131" s="2" t="s">
        <v>6678</v>
      </c>
      <c r="C2131" s="2">
        <f>IFERROR(__xludf.DUMMYFUNCTION("split(B2131,""_"")"),1904.0)</f>
        <v>1904</v>
      </c>
      <c r="D2131" s="2" t="str">
        <f>IFERROR(__xludf.DUMMYFUNCTION("""COMPUTED_VALUE"""),"EX")</f>
        <v>EX</v>
      </c>
      <c r="E2131" s="2" t="str">
        <f>IFERROR(__xludf.DUMMYFUNCTION("""COMPUTED_VALUE"""),"金23")</f>
        <v>金23</v>
      </c>
      <c r="F2131" s="2" t="s">
        <v>6679</v>
      </c>
      <c r="G2131" s="2" t="s">
        <v>6692</v>
      </c>
      <c r="H2131" s="1">
        <v>5.0</v>
      </c>
      <c r="I2131" s="1" t="s">
        <v>2884</v>
      </c>
      <c r="J2131" s="1" t="s">
        <v>1435</v>
      </c>
      <c r="K2131" s="2" t="s">
        <v>6693</v>
      </c>
      <c r="L2131" s="11" t="s">
        <v>6694</v>
      </c>
      <c r="M2131" s="2" t="str">
        <f>IFERROR(__xludf.DUMMYFUNCTION("split(split(K2131,""【"",false),""公式LINE"",false)"),"事故で妻が亡くなったばかりの考古学者の家に派遣された三田園薫(松岡昌宏)、村田光(伊野尾慧)、恩田萌(川栄李奈)。価値の高い古民家に住んでいるため、不動産店員が家の売却を望み連日訪れてくる。その中に、学者の死んだ妻と同じ顔の筧真子(安達祐実)が!?2億円で家を買おうとたくらむ真子は、家族乗っ取りを計画!?さらにミタゾノの弱点“アレ""が登場!呪われた家の秘密を…ミタゾノ流タピオカミルクティーが暴く!?")</f>
        <v>事故で妻が亡くなったばかりの考古学者の家に派遣された三田園薫(松岡昌宏)、村田光(伊野尾慧)、恩田萌(川栄李奈)。価値の高い古民家に住んでいるため、不動産店員が家の売却を望み連日訪れてくる。その中に、学者の死んだ妻と同じ顔の筧真子(安達祐実)が!?2億円で家を買おうとたくらむ真子は、家族乗っ取りを計画!?さらにミタゾノの弱点“アレ"が登場!呪われた家の秘密を…ミタゾノ流タピオカミルクティーが暴く!?</v>
      </c>
      <c r="N2131" s="2"/>
      <c r="O2131" s="2"/>
      <c r="P2131" s="2"/>
      <c r="Q2131" s="2"/>
      <c r="R2131" s="2"/>
      <c r="S2131" s="2"/>
      <c r="T2131" s="2"/>
      <c r="U2131" s="2"/>
      <c r="V2131" s="2"/>
      <c r="W2131" s="2"/>
      <c r="X2131" s="2"/>
      <c r="Y2131" s="2"/>
      <c r="Z2131" s="2"/>
      <c r="AA2131" s="2"/>
      <c r="AB2131" s="2"/>
      <c r="AC2131" s="2"/>
      <c r="AD2131" s="2"/>
      <c r="AE2131" s="2"/>
      <c r="AF2131" s="2"/>
      <c r="AG2131" s="2"/>
      <c r="AH2131" s="2"/>
      <c r="AI2131" s="2"/>
      <c r="AJ2131" s="2"/>
      <c r="AK2131" s="2"/>
      <c r="AL2131" s="2"/>
      <c r="AM2131" s="2"/>
      <c r="AN2131" s="2"/>
      <c r="AO2131" s="2"/>
      <c r="AP2131" s="2"/>
      <c r="AQ2131" s="2"/>
      <c r="AR2131" s="2"/>
      <c r="AS2131" s="2"/>
      <c r="AT2131" s="2"/>
      <c r="AU2131" s="2"/>
      <c r="AV2131" s="2"/>
      <c r="AW2131" s="2"/>
      <c r="AX2131" s="2"/>
      <c r="AY2131" s="2"/>
      <c r="AZ2131" s="2"/>
      <c r="BA2131" s="2"/>
      <c r="BB2131" s="2"/>
    </row>
    <row r="2132" ht="204.75" customHeight="1">
      <c r="A2132" s="1">
        <v>311.0</v>
      </c>
      <c r="B2132" s="2" t="s">
        <v>6678</v>
      </c>
      <c r="C2132" s="2">
        <f>IFERROR(__xludf.DUMMYFUNCTION("split(B2132,""_"")"),1904.0)</f>
        <v>1904</v>
      </c>
      <c r="D2132" s="2" t="str">
        <f>IFERROR(__xludf.DUMMYFUNCTION("""COMPUTED_VALUE"""),"EX")</f>
        <v>EX</v>
      </c>
      <c r="E2132" s="2" t="str">
        <f>IFERROR(__xludf.DUMMYFUNCTION("""COMPUTED_VALUE"""),"金23")</f>
        <v>金23</v>
      </c>
      <c r="F2132" s="2" t="s">
        <v>6679</v>
      </c>
      <c r="G2132" s="2" t="s">
        <v>6695</v>
      </c>
      <c r="H2132" s="1">
        <v>6.0</v>
      </c>
      <c r="I2132" s="1" t="s">
        <v>2888</v>
      </c>
      <c r="J2132" s="1" t="s">
        <v>1435</v>
      </c>
      <c r="K2132" s="2" t="s">
        <v>6696</v>
      </c>
      <c r="L2132" s="11" t="s">
        <v>6697</v>
      </c>
      <c r="M2132" s="2" t="str">
        <f>IFERROR(__xludf.DUMMYFUNCTION("split(split(K2132,""【"",false),""公式LINE"",false)"),"ガンで余命半年と宣告された丸山武(小林隆)の家に派遣された三田園薫(松岡昌宏)、村田光(伊野尾慧)、恩田萌(川栄李奈)。しかし、病院の診断ミスが発覚…武はガンではなかった!?「家族に話すのを待ってほしい」と三田園に懇願するが、どんどん結束が強まる家族に武は真実が言い出しにくくなり…。やがて、取り返しのつかない事態が!!1枚の家族写真とミタゾノ流パンケーキが、隠された家族の秘密を暴く!?")</f>
        <v>ガンで余命半年と宣告された丸山武(小林隆)の家に派遣された三田園薫(松岡昌宏)、村田光(伊野尾慧)、恩田萌(川栄李奈)。しかし、病院の診断ミスが発覚…武はガンではなかった!?「家族に話すのを待ってほしい」と三田園に懇願するが、どんどん結束が強まる家族に武は真実が言い出しにくくなり…。やがて、取り返しのつかない事態が!!1枚の家族写真とミタゾノ流パンケーキが、隠された家族の秘密を暴く!?</v>
      </c>
      <c r="N2132" s="2"/>
      <c r="O2132" s="2"/>
      <c r="P2132" s="2"/>
      <c r="Q2132" s="2"/>
      <c r="R2132" s="2"/>
      <c r="S2132" s="2"/>
      <c r="T2132" s="2"/>
      <c r="U2132" s="2"/>
      <c r="V2132" s="2"/>
      <c r="W2132" s="2"/>
      <c r="X2132" s="2"/>
      <c r="Y2132" s="2"/>
      <c r="Z2132" s="2"/>
      <c r="AA2132" s="2"/>
      <c r="AB2132" s="2"/>
      <c r="AC2132" s="2"/>
      <c r="AD2132" s="2"/>
      <c r="AE2132" s="2"/>
      <c r="AF2132" s="2"/>
      <c r="AG2132" s="2"/>
      <c r="AH2132" s="2"/>
      <c r="AI2132" s="2"/>
      <c r="AJ2132" s="2"/>
      <c r="AK2132" s="2"/>
      <c r="AL2132" s="2"/>
      <c r="AM2132" s="2"/>
      <c r="AN2132" s="2"/>
      <c r="AO2132" s="2"/>
      <c r="AP2132" s="2"/>
      <c r="AQ2132" s="2"/>
      <c r="AR2132" s="2"/>
      <c r="AS2132" s="2"/>
      <c r="AT2132" s="2"/>
      <c r="AU2132" s="2"/>
      <c r="AV2132" s="2"/>
      <c r="AW2132" s="2"/>
      <c r="AX2132" s="2"/>
      <c r="AY2132" s="2"/>
      <c r="AZ2132" s="2"/>
      <c r="BA2132" s="2"/>
      <c r="BB2132" s="2"/>
    </row>
    <row r="2133" ht="204.75" customHeight="1">
      <c r="A2133" s="1">
        <v>312.0</v>
      </c>
      <c r="B2133" s="2" t="s">
        <v>6678</v>
      </c>
      <c r="C2133" s="2">
        <f>IFERROR(__xludf.DUMMYFUNCTION("split(B2133,""_"")"),1904.0)</f>
        <v>1904</v>
      </c>
      <c r="D2133" s="2" t="str">
        <f>IFERROR(__xludf.DUMMYFUNCTION("""COMPUTED_VALUE"""),"EX")</f>
        <v>EX</v>
      </c>
      <c r="E2133" s="2" t="str">
        <f>IFERROR(__xludf.DUMMYFUNCTION("""COMPUTED_VALUE"""),"金23")</f>
        <v>金23</v>
      </c>
      <c r="F2133" s="2" t="s">
        <v>6679</v>
      </c>
      <c r="G2133" s="2" t="s">
        <v>6698</v>
      </c>
      <c r="H2133" s="1">
        <v>7.0</v>
      </c>
      <c r="I2133" s="1" t="s">
        <v>2892</v>
      </c>
      <c r="J2133" s="1" t="s">
        <v>1435</v>
      </c>
      <c r="K2133" s="2" t="s">
        <v>6699</v>
      </c>
      <c r="L2133" s="11" t="s">
        <v>6700</v>
      </c>
      <c r="M2133" s="2" t="str">
        <f>IFERROR(__xludf.DUMMYFUNCTION("split(split(K2133,""【"",false),""公式LINE"",false)"),"“完璧な妻""と世間を賑わせている黒部静子(黒谷友香)の家に派遣された三田園薫(松岡昌宏)、村田光(伊野尾慧)、恩田萌(川栄李奈)。静子は不倫疑惑で騒がれるレスリングコーチの夫(大澄賢也)の釈明会見で神対応をみせ、不倫疑惑を晴らす。ミタゾノは夫の不倫の証拠を静子に突き付けるが、「都合の悪いものは見なかったことにすれば、何もなかったのと同じ…」と、脅迫!?夫の不倫をもみ消す“完璧な妻""…本当の目的とは!?")</f>
        <v>“完璧な妻"と世間を賑わせている黒部静子(黒谷友香)の家に派遣された三田園薫(松岡昌宏)、村田光(伊野尾慧)、恩田萌(川栄李奈)。静子は不倫疑惑で騒がれるレスリングコーチの夫(大澄賢也)の釈明会見で神対応をみせ、不倫疑惑を晴らす。ミタゾノは夫の不倫の証拠を静子に突き付けるが、「都合の悪いものは見なかったことにすれば、何もなかったのと同じ…」と、脅迫!?夫の不倫をもみ消す“完璧な妻"…本当の目的とは!?</v>
      </c>
      <c r="N2133" s="2"/>
      <c r="O2133" s="2"/>
      <c r="P2133" s="2"/>
      <c r="Q2133" s="2"/>
      <c r="R2133" s="2"/>
      <c r="S2133" s="2"/>
      <c r="T2133" s="2"/>
      <c r="U2133" s="2"/>
      <c r="V2133" s="2"/>
      <c r="W2133" s="2"/>
      <c r="X2133" s="2"/>
      <c r="Y2133" s="2"/>
      <c r="Z2133" s="2"/>
      <c r="AA2133" s="2"/>
      <c r="AB2133" s="2"/>
      <c r="AC2133" s="2"/>
      <c r="AD2133" s="2"/>
      <c r="AE2133" s="2"/>
      <c r="AF2133" s="2"/>
      <c r="AG2133" s="2"/>
      <c r="AH2133" s="2"/>
      <c r="AI2133" s="2"/>
      <c r="AJ2133" s="2"/>
      <c r="AK2133" s="2"/>
      <c r="AL2133" s="2"/>
      <c r="AM2133" s="2"/>
      <c r="AN2133" s="2"/>
      <c r="AO2133" s="2"/>
      <c r="AP2133" s="2"/>
      <c r="AQ2133" s="2"/>
      <c r="AR2133" s="2"/>
      <c r="AS2133" s="2"/>
      <c r="AT2133" s="2"/>
      <c r="AU2133" s="2"/>
      <c r="AV2133" s="2"/>
      <c r="AW2133" s="2"/>
      <c r="AX2133" s="2"/>
      <c r="AY2133" s="2"/>
      <c r="AZ2133" s="2"/>
      <c r="BA2133" s="2"/>
      <c r="BB2133" s="2"/>
    </row>
    <row r="2134" ht="204.75" customHeight="1">
      <c r="A2134" s="1">
        <v>313.0</v>
      </c>
      <c r="B2134" s="2" t="s">
        <v>6678</v>
      </c>
      <c r="C2134" s="2">
        <f>IFERROR(__xludf.DUMMYFUNCTION("split(B2134,""_"")"),1904.0)</f>
        <v>1904</v>
      </c>
      <c r="D2134" s="2" t="str">
        <f>IFERROR(__xludf.DUMMYFUNCTION("""COMPUTED_VALUE"""),"EX")</f>
        <v>EX</v>
      </c>
      <c r="E2134" s="2" t="str">
        <f>IFERROR(__xludf.DUMMYFUNCTION("""COMPUTED_VALUE"""),"金23")</f>
        <v>金23</v>
      </c>
      <c r="F2134" s="2" t="s">
        <v>6679</v>
      </c>
      <c r="G2134" s="2" t="s">
        <v>6701</v>
      </c>
      <c r="H2134" s="1">
        <v>8.0</v>
      </c>
      <c r="I2134" s="1" t="s">
        <v>2896</v>
      </c>
      <c r="J2134" s="1" t="s">
        <v>1435</v>
      </c>
      <c r="K2134" s="2" t="s">
        <v>6702</v>
      </c>
      <c r="L2134" s="11" t="s">
        <v>6703</v>
      </c>
      <c r="M2134" s="2" t="str">
        <f>IFERROR(__xludf.DUMMYFUNCTION("split(split(K2134,""【"",false),""公式LINE"",false)"),"伝説的ロックバンド“ハングリーズ""のボーカル・ケビン小須田(宇梶剛士)の家に派遣された三田園薫(松岡昌宏)、村田光(伊野尾慧)、恩田萌(川栄李奈)。ライブをドタキャンしたケビンの元に『今度、ライブをしたら殺す』と脅迫状が届く。熱狂的なファンによる仕返しか…!?光は犯人を捜すが襲われてしまい…家政婦崩壊の危機!?スターを伝説にするための家事ネタとは…!?衝撃の最終回…ミタゾノが星になる!?")</f>
        <v>伝説的ロックバンド“ハングリーズ"のボーカル・ケビン小須田(宇梶剛士)の家に派遣された三田園薫(松岡昌宏)、村田光(伊野尾慧)、恩田萌(川栄李奈)。ライブをドタキャンしたケビンの元に『今度、ライブをしたら殺す』と脅迫状が届く。熱狂的なファンによる仕返しか…!?光は犯人を捜すが襲われてしまい…家政婦崩壊の危機!?スターを伝説にするための家事ネタとは…!?衝撃の最終回…ミタゾノが星になる!?</v>
      </c>
      <c r="N2134" s="2"/>
      <c r="O2134" s="2"/>
      <c r="P2134" s="2"/>
      <c r="Q2134" s="2"/>
      <c r="R2134" s="2"/>
      <c r="S2134" s="2"/>
      <c r="T2134" s="2"/>
      <c r="U2134" s="2"/>
      <c r="V2134" s="2"/>
      <c r="W2134" s="2"/>
      <c r="X2134" s="2"/>
      <c r="Y2134" s="2"/>
      <c r="Z2134" s="2"/>
      <c r="AA2134" s="2"/>
      <c r="AB2134" s="2"/>
      <c r="AC2134" s="2"/>
      <c r="AD2134" s="2"/>
      <c r="AE2134" s="2"/>
      <c r="AF2134" s="2"/>
      <c r="AG2134" s="2"/>
      <c r="AH2134" s="2"/>
      <c r="AI2134" s="2"/>
      <c r="AJ2134" s="2"/>
      <c r="AK2134" s="2"/>
      <c r="AL2134" s="2"/>
      <c r="AM2134" s="2"/>
      <c r="AN2134" s="2"/>
      <c r="AO2134" s="2"/>
      <c r="AP2134" s="2"/>
      <c r="AQ2134" s="2"/>
      <c r="AR2134" s="2"/>
      <c r="AS2134" s="2"/>
      <c r="AT2134" s="2"/>
      <c r="AU2134" s="2"/>
      <c r="AV2134" s="2"/>
      <c r="AW2134" s="2"/>
      <c r="AX2134" s="2"/>
      <c r="AY2134" s="2"/>
      <c r="AZ2134" s="2"/>
      <c r="BA2134" s="2"/>
      <c r="BB2134" s="2"/>
    </row>
    <row r="2135" ht="204.75" customHeight="1">
      <c r="A2135" s="1">
        <v>324.0</v>
      </c>
      <c r="B2135" s="2" t="s">
        <v>6704</v>
      </c>
      <c r="C2135" s="2">
        <f>IFERROR(__xludf.DUMMYFUNCTION("split(B2135,""_"")"),1904.0)</f>
        <v>1904</v>
      </c>
      <c r="D2135" s="2" t="str">
        <f>IFERROR(__xludf.DUMMYFUNCTION("""COMPUTED_VALUE"""),"EX")</f>
        <v>EX</v>
      </c>
      <c r="E2135" s="2" t="str">
        <f>IFERROR(__xludf.DUMMYFUNCTION("""COMPUTED_VALUE"""),"土23")</f>
        <v>土23</v>
      </c>
      <c r="F2135" s="2" t="s">
        <v>6705</v>
      </c>
      <c r="G2135" s="2" t="s">
        <v>6706</v>
      </c>
      <c r="H2135" s="1">
        <v>1.0</v>
      </c>
      <c r="I2135" s="1" t="s">
        <v>2868</v>
      </c>
      <c r="J2135" s="1" t="s">
        <v>1435</v>
      </c>
      <c r="K2135" s="2" t="s">
        <v>6707</v>
      </c>
      <c r="L2135" s="11" t="s">
        <v>6708</v>
      </c>
      <c r="M2135" s="2" t="str">
        <f>IFERROR(__xludf.DUMMYFUNCTION("split(split(K2135,""【"",false),""公式LINE"",false)"),"メガバンク勤務の石橋太郎(高橋一生)、審美歯科院長の三好玲也(斎藤工)、法律事務所のボス弁・岩倉和彦(滝藤賢一)は仕事も私生活も充実している『AK(あえて結婚しない)男子』。太郎の部屋で、時に三好の妹・かずな(仲里依紗)も交え食事をしたり楽しんでいる。そんなある日、太郎は元恋人の舞衣(高橋メアリージュン)と再会。三好はバーで出会った透子(桜井ユキ)とイイ雰囲気になるも問題発生。岩倉は父が病で倒れ…")</f>
        <v>メガバンク勤務の石橋太郎(高橋一生)、審美歯科院長の三好玲也(斎藤工)、法律事務所のボス弁・岩倉和彦(滝藤賢一)は仕事も私生活も充実している『AK(あえて結婚しない)男子』。太郎の部屋で、時に三好の妹・かずな(仲里依紗)も交え食事をしたり楽しんでいる。そんなある日、太郎は元恋人の舞衣(高橋メアリージュン)と再会。三好はバーで出会った透子(桜井ユキ)とイイ雰囲気になるも問題発生。岩倉は父が病で倒れ…</v>
      </c>
      <c r="N2135" s="2"/>
      <c r="O2135" s="2"/>
      <c r="P2135" s="2"/>
      <c r="Q2135" s="2"/>
      <c r="R2135" s="2"/>
      <c r="S2135" s="2"/>
      <c r="T2135" s="2"/>
      <c r="U2135" s="2"/>
      <c r="V2135" s="2"/>
      <c r="W2135" s="2"/>
      <c r="X2135" s="2"/>
      <c r="Y2135" s="2"/>
      <c r="Z2135" s="2"/>
      <c r="AA2135" s="2"/>
      <c r="AB2135" s="2"/>
      <c r="AC2135" s="2"/>
      <c r="AD2135" s="2"/>
      <c r="AE2135" s="2"/>
      <c r="AF2135" s="2"/>
      <c r="AG2135" s="2"/>
      <c r="AH2135" s="2"/>
      <c r="AI2135" s="2"/>
      <c r="AJ2135" s="2"/>
      <c r="AK2135" s="2"/>
      <c r="AL2135" s="2"/>
      <c r="AM2135" s="2"/>
      <c r="AN2135" s="2"/>
      <c r="AO2135" s="2"/>
      <c r="AP2135" s="2"/>
      <c r="AQ2135" s="2"/>
      <c r="AR2135" s="2"/>
      <c r="AS2135" s="2"/>
      <c r="AT2135" s="2"/>
      <c r="AU2135" s="2"/>
      <c r="AV2135" s="2"/>
      <c r="AW2135" s="2"/>
      <c r="AX2135" s="2"/>
      <c r="AY2135" s="2"/>
      <c r="AZ2135" s="2"/>
      <c r="BA2135" s="2"/>
      <c r="BB2135" s="2"/>
    </row>
    <row r="2136" ht="204.75" customHeight="1">
      <c r="A2136" s="1">
        <v>325.0</v>
      </c>
      <c r="B2136" s="2" t="s">
        <v>6704</v>
      </c>
      <c r="C2136" s="2">
        <f>IFERROR(__xludf.DUMMYFUNCTION("split(B2136,""_"")"),1904.0)</f>
        <v>1904</v>
      </c>
      <c r="D2136" s="2" t="str">
        <f>IFERROR(__xludf.DUMMYFUNCTION("""COMPUTED_VALUE"""),"EX")</f>
        <v>EX</v>
      </c>
      <c r="E2136" s="2" t="str">
        <f>IFERROR(__xludf.DUMMYFUNCTION("""COMPUTED_VALUE"""),"土23")</f>
        <v>土23</v>
      </c>
      <c r="F2136" s="2" t="s">
        <v>6705</v>
      </c>
      <c r="G2136" s="2" t="s">
        <v>6709</v>
      </c>
      <c r="H2136" s="1">
        <v>2.0</v>
      </c>
      <c r="I2136" s="1" t="s">
        <v>2872</v>
      </c>
      <c r="J2136" s="1" t="s">
        <v>1435</v>
      </c>
      <c r="K2136" s="2" t="s">
        <v>6710</v>
      </c>
      <c r="L2136" s="11" t="s">
        <v>6711</v>
      </c>
      <c r="M2136" s="2" t="str">
        <f>IFERROR(__xludf.DUMMYFUNCTION("split(split(K2136,""【"",false),""公式LINE"",false)"),"太郎(高橋一生)は元恋人・舞衣(高橋メアリージュン)にプロポーズ!話し合いをするも、舞衣の元婚約者が怒鳴り込んできて…。一方、岩倉(滝藤賢一)は介護のため同居中の父に手を焼く。片や体力減退を感じていた三好(斎藤工)は透子(桜井ユキ)を部屋に招き入れるも、とんでもないハプニングが!そんな中、太郎は舞衣から温泉へと誘われ、三好と岩倉を引き連れていくことに。そこに三好の妹かずな(仲里依紗)もやってきて…")</f>
        <v>太郎(高橋一生)は元恋人・舞衣(高橋メアリージュン)にプロポーズ!話し合いをするも、舞衣の元婚約者が怒鳴り込んできて…。一方、岩倉(滝藤賢一)は介護のため同居中の父に手を焼く。片や体力減退を感じていた三好(斎藤工)は透子(桜井ユキ)を部屋に招き入れるも、とんでもないハプニングが!そんな中、太郎は舞衣から温泉へと誘われ、三好と岩倉を引き連れていくことに。そこに三好の妹かずな(仲里依紗)もやってきて…</v>
      </c>
      <c r="N2136" s="2"/>
      <c r="O2136" s="2"/>
      <c r="P2136" s="2"/>
      <c r="Q2136" s="2"/>
      <c r="R2136" s="2"/>
      <c r="S2136" s="2"/>
      <c r="T2136" s="2"/>
      <c r="U2136" s="2"/>
      <c r="V2136" s="2"/>
      <c r="W2136" s="2"/>
      <c r="X2136" s="2"/>
      <c r="Y2136" s="2"/>
      <c r="Z2136" s="2"/>
      <c r="AA2136" s="2"/>
      <c r="AB2136" s="2"/>
      <c r="AC2136" s="2"/>
      <c r="AD2136" s="2"/>
      <c r="AE2136" s="2"/>
      <c r="AF2136" s="2"/>
      <c r="AG2136" s="2"/>
      <c r="AH2136" s="2"/>
      <c r="AI2136" s="2"/>
      <c r="AJ2136" s="2"/>
      <c r="AK2136" s="2"/>
      <c r="AL2136" s="2"/>
      <c r="AM2136" s="2"/>
      <c r="AN2136" s="2"/>
      <c r="AO2136" s="2"/>
      <c r="AP2136" s="2"/>
      <c r="AQ2136" s="2"/>
      <c r="AR2136" s="2"/>
      <c r="AS2136" s="2"/>
      <c r="AT2136" s="2"/>
      <c r="AU2136" s="2"/>
      <c r="AV2136" s="2"/>
      <c r="AW2136" s="2"/>
      <c r="AX2136" s="2"/>
      <c r="AY2136" s="2"/>
      <c r="AZ2136" s="2"/>
      <c r="BA2136" s="2"/>
      <c r="BB2136" s="2"/>
    </row>
    <row r="2137" ht="204.75" customHeight="1">
      <c r="A2137" s="1">
        <v>326.0</v>
      </c>
      <c r="B2137" s="2" t="s">
        <v>6704</v>
      </c>
      <c r="C2137" s="2">
        <f>IFERROR(__xludf.DUMMYFUNCTION("split(B2137,""_"")"),1904.0)</f>
        <v>1904</v>
      </c>
      <c r="D2137" s="2" t="str">
        <f>IFERROR(__xludf.DUMMYFUNCTION("""COMPUTED_VALUE"""),"EX")</f>
        <v>EX</v>
      </c>
      <c r="E2137" s="2" t="str">
        <f>IFERROR(__xludf.DUMMYFUNCTION("""COMPUTED_VALUE"""),"土23")</f>
        <v>土23</v>
      </c>
      <c r="F2137" s="2" t="s">
        <v>6705</v>
      </c>
      <c r="G2137" s="2" t="s">
        <v>6712</v>
      </c>
      <c r="H2137" s="1">
        <v>3.0</v>
      </c>
      <c r="I2137" s="1" t="s">
        <v>2876</v>
      </c>
      <c r="J2137" s="1" t="s">
        <v>1435</v>
      </c>
      <c r="K2137" s="2" t="s">
        <v>6713</v>
      </c>
      <c r="L2137" s="11" t="s">
        <v>6714</v>
      </c>
      <c r="M2137" s="2" t="str">
        <f>IFERROR(__xludf.DUMMYFUNCTION("split(split(K2137,""【"",false),""公式LINE"",false)"),"太郎(高橋一生)は舞衣(高橋メアリージュン)への想いを断ち切ろうとする中、かずな(仲里依紗)から突然のキスをされ、関係を決めあぐねていた。そんな太郎に三好(斎藤工)は、妹・かずなをもらってくれたら嬉しいと言い、岩倉(滝藤賢一)には父・和雄(小野武彦)と離れた方が良いと、真逆の忠告をする。そんな中、舞衣と糸井(早乙女太一)の結婚パーティーに出席した太郎。舞衣への想いは…そして、かずなとの関係は…!?")</f>
        <v>太郎(高橋一生)は舞衣(高橋メアリージュン)への想いを断ち切ろうとする中、かずな(仲里依紗)から突然のキスをされ、関係を決めあぐねていた。そんな太郎に三好(斎藤工)は、妹・かずなをもらってくれたら嬉しいと言い、岩倉(滝藤賢一)には父・和雄(小野武彦)と離れた方が良いと、真逆の忠告をする。そんな中、舞衣と糸井(早乙女太一)の結婚パーティーに出席した太郎。舞衣への想いは…そして、かずなとの関係は…!?</v>
      </c>
      <c r="N2137" s="2"/>
      <c r="O2137" s="2"/>
      <c r="P2137" s="2"/>
      <c r="Q2137" s="2"/>
      <c r="R2137" s="2"/>
      <c r="S2137" s="2"/>
      <c r="T2137" s="2"/>
      <c r="U2137" s="2"/>
      <c r="V2137" s="2"/>
      <c r="W2137" s="2"/>
      <c r="X2137" s="2"/>
      <c r="Y2137" s="2"/>
      <c r="Z2137" s="2"/>
      <c r="AA2137" s="2"/>
      <c r="AB2137" s="2"/>
      <c r="AC2137" s="2"/>
      <c r="AD2137" s="2"/>
      <c r="AE2137" s="2"/>
      <c r="AF2137" s="2"/>
      <c r="AG2137" s="2"/>
      <c r="AH2137" s="2"/>
      <c r="AI2137" s="2"/>
      <c r="AJ2137" s="2"/>
      <c r="AK2137" s="2"/>
      <c r="AL2137" s="2"/>
      <c r="AM2137" s="2"/>
      <c r="AN2137" s="2"/>
      <c r="AO2137" s="2"/>
      <c r="AP2137" s="2"/>
      <c r="AQ2137" s="2"/>
      <c r="AR2137" s="2"/>
      <c r="AS2137" s="2"/>
      <c r="AT2137" s="2"/>
      <c r="AU2137" s="2"/>
      <c r="AV2137" s="2"/>
      <c r="AW2137" s="2"/>
      <c r="AX2137" s="2"/>
      <c r="AY2137" s="2"/>
      <c r="AZ2137" s="2"/>
      <c r="BA2137" s="2"/>
      <c r="BB2137" s="2"/>
    </row>
    <row r="2138" ht="204.75" customHeight="1">
      <c r="A2138" s="1">
        <v>327.0</v>
      </c>
      <c r="B2138" s="2" t="s">
        <v>6704</v>
      </c>
      <c r="C2138" s="2">
        <f>IFERROR(__xludf.DUMMYFUNCTION("split(B2138,""_"")"),1904.0)</f>
        <v>1904</v>
      </c>
      <c r="D2138" s="2" t="str">
        <f>IFERROR(__xludf.DUMMYFUNCTION("""COMPUTED_VALUE"""),"EX")</f>
        <v>EX</v>
      </c>
      <c r="E2138" s="2" t="str">
        <f>IFERROR(__xludf.DUMMYFUNCTION("""COMPUTED_VALUE"""),"土23")</f>
        <v>土23</v>
      </c>
      <c r="F2138" s="2" t="s">
        <v>6705</v>
      </c>
      <c r="G2138" s="2" t="s">
        <v>6715</v>
      </c>
      <c r="H2138" s="1">
        <v>4.0</v>
      </c>
      <c r="I2138" s="1" t="s">
        <v>2880</v>
      </c>
      <c r="J2138" s="1" t="s">
        <v>1435</v>
      </c>
      <c r="K2138" s="2" t="s">
        <v>6716</v>
      </c>
      <c r="L2138" s="11" t="s">
        <v>6717</v>
      </c>
      <c r="M2138" s="2" t="str">
        <f>IFERROR(__xludf.DUMMYFUNCTION("split(split(K2138,""【"",false),""公式LINE"",false)"),"太郎(高橋一生)はかずな(仲里依紗)に付き合ってほしいと告白したが、「結婚を前提に」という条件を突き付けられ、態度を保留してしまう。三好(斎藤工)と岩倉(滝藤賢一)と話し合い、AK男子3人は“視野を広げる""ため、ナイトライフへ繰り出すことに!マッチングアプリで太郎も女性と会う約束を取り付けるが、現れたのはなんとかずなで…!一方、三好と岩倉の透子(桜井ユキ)をめぐる三角関係もこじれて…")</f>
        <v>太郎(高橋一生)はかずな(仲里依紗)に付き合ってほしいと告白したが、「結婚を前提に」という条件を突き付けられ、態度を保留してしまう。三好(斎藤工)と岩倉(滝藤賢一)と話し合い、AK男子3人は“視野を広げる"ため、ナイトライフへ繰り出すことに!マッチングアプリで太郎も女性と会う約束を取り付けるが、現れたのはなんとかずなで…!一方、三好と岩倉の透子(桜井ユキ)をめぐる三角関係もこじれて…</v>
      </c>
      <c r="N2138" s="2"/>
      <c r="O2138" s="2"/>
      <c r="P2138" s="2"/>
      <c r="Q2138" s="2"/>
      <c r="R2138" s="2"/>
      <c r="S2138" s="2"/>
      <c r="T2138" s="2"/>
      <c r="U2138" s="2"/>
      <c r="V2138" s="2"/>
      <c r="W2138" s="2"/>
      <c r="X2138" s="2"/>
      <c r="Y2138" s="2"/>
      <c r="Z2138" s="2"/>
      <c r="AA2138" s="2"/>
      <c r="AB2138" s="2"/>
      <c r="AC2138" s="2"/>
      <c r="AD2138" s="2"/>
      <c r="AE2138" s="2"/>
      <c r="AF2138" s="2"/>
      <c r="AG2138" s="2"/>
      <c r="AH2138" s="2"/>
      <c r="AI2138" s="2"/>
      <c r="AJ2138" s="2"/>
      <c r="AK2138" s="2"/>
      <c r="AL2138" s="2"/>
      <c r="AM2138" s="2"/>
      <c r="AN2138" s="2"/>
      <c r="AO2138" s="2"/>
      <c r="AP2138" s="2"/>
      <c r="AQ2138" s="2"/>
      <c r="AR2138" s="2"/>
      <c r="AS2138" s="2"/>
      <c r="AT2138" s="2"/>
      <c r="AU2138" s="2"/>
      <c r="AV2138" s="2"/>
      <c r="AW2138" s="2"/>
      <c r="AX2138" s="2"/>
      <c r="AY2138" s="2"/>
      <c r="AZ2138" s="2"/>
      <c r="BA2138" s="2"/>
      <c r="BB2138" s="2"/>
    </row>
    <row r="2139" ht="204.75" customHeight="1">
      <c r="A2139" s="1">
        <v>328.0</v>
      </c>
      <c r="B2139" s="2" t="s">
        <v>6704</v>
      </c>
      <c r="C2139" s="2">
        <f>IFERROR(__xludf.DUMMYFUNCTION("split(B2139,""_"")"),1904.0)</f>
        <v>1904</v>
      </c>
      <c r="D2139" s="2" t="str">
        <f>IFERROR(__xludf.DUMMYFUNCTION("""COMPUTED_VALUE"""),"EX")</f>
        <v>EX</v>
      </c>
      <c r="E2139" s="2" t="str">
        <f>IFERROR(__xludf.DUMMYFUNCTION("""COMPUTED_VALUE"""),"土23")</f>
        <v>土23</v>
      </c>
      <c r="F2139" s="2" t="s">
        <v>6705</v>
      </c>
      <c r="G2139" s="2" t="s">
        <v>6718</v>
      </c>
      <c r="H2139" s="1">
        <v>5.0</v>
      </c>
      <c r="I2139" s="1" t="s">
        <v>2884</v>
      </c>
      <c r="J2139" s="1" t="s">
        <v>1435</v>
      </c>
      <c r="K2139" s="2" t="s">
        <v>6719</v>
      </c>
      <c r="L2139" s="11" t="s">
        <v>6720</v>
      </c>
      <c r="M2139" s="2" t="str">
        <f>IFERROR(__xludf.DUMMYFUNCTION("split(split(K2139,""【"",false),""公式LINE"",false)"),"太郎(高橋一生)がかずな(仲里依紗)と結ばれることを決意した矢先、目の前に現れたのは、海外に行ったはずの元恋人・舞衣(高橋メアリージュン)だった!同じ頃、三好(斎藤工)と岩倉(滝藤賢一)は透子(桜井ユキ)を巡り激論に…。そんな中、父・和雄(小野武彦)の看病の御礼にと、透子をささやかな食事会に招待した岩倉。しかし、そこへ太郎と三好が押しかけ、さらにかずなと舞衣も加わり、一堂に会した6人は波乱模様で…")</f>
        <v>太郎(高橋一生)がかずな(仲里依紗)と結ばれることを決意した矢先、目の前に現れたのは、海外に行ったはずの元恋人・舞衣(高橋メアリージュン)だった!同じ頃、三好(斎藤工)と岩倉(滝藤賢一)は透子(桜井ユキ)を巡り激論に…。そんな中、父・和雄(小野武彦)の看病の御礼にと、透子をささやかな食事会に招待した岩倉。しかし、そこへ太郎と三好が押しかけ、さらにかずなと舞衣も加わり、一堂に会した6人は波乱模様で…</v>
      </c>
      <c r="N2139" s="2"/>
      <c r="O2139" s="2"/>
      <c r="P2139" s="2"/>
      <c r="Q2139" s="2"/>
      <c r="R2139" s="2"/>
      <c r="S2139" s="2"/>
      <c r="T2139" s="2"/>
      <c r="U2139" s="2"/>
      <c r="V2139" s="2"/>
      <c r="W2139" s="2"/>
      <c r="X2139" s="2"/>
      <c r="Y2139" s="2"/>
      <c r="Z2139" s="2"/>
      <c r="AA2139" s="2"/>
      <c r="AB2139" s="2"/>
      <c r="AC2139" s="2"/>
      <c r="AD2139" s="2"/>
      <c r="AE2139" s="2"/>
      <c r="AF2139" s="2"/>
      <c r="AG2139" s="2"/>
      <c r="AH2139" s="2"/>
      <c r="AI2139" s="2"/>
      <c r="AJ2139" s="2"/>
      <c r="AK2139" s="2"/>
      <c r="AL2139" s="2"/>
      <c r="AM2139" s="2"/>
      <c r="AN2139" s="2"/>
      <c r="AO2139" s="2"/>
      <c r="AP2139" s="2"/>
      <c r="AQ2139" s="2"/>
      <c r="AR2139" s="2"/>
      <c r="AS2139" s="2"/>
      <c r="AT2139" s="2"/>
      <c r="AU2139" s="2"/>
      <c r="AV2139" s="2"/>
      <c r="AW2139" s="2"/>
      <c r="AX2139" s="2"/>
      <c r="AY2139" s="2"/>
      <c r="AZ2139" s="2"/>
      <c r="BA2139" s="2"/>
      <c r="BB2139" s="2"/>
    </row>
    <row r="2140" ht="204.75" customHeight="1">
      <c r="A2140" s="1">
        <v>329.0</v>
      </c>
      <c r="B2140" s="2" t="s">
        <v>6704</v>
      </c>
      <c r="C2140" s="2">
        <f>IFERROR(__xludf.DUMMYFUNCTION("split(B2140,""_"")"),1904.0)</f>
        <v>1904</v>
      </c>
      <c r="D2140" s="2" t="str">
        <f>IFERROR(__xludf.DUMMYFUNCTION("""COMPUTED_VALUE"""),"EX")</f>
        <v>EX</v>
      </c>
      <c r="E2140" s="2" t="str">
        <f>IFERROR(__xludf.DUMMYFUNCTION("""COMPUTED_VALUE"""),"土23")</f>
        <v>土23</v>
      </c>
      <c r="F2140" s="2" t="s">
        <v>6705</v>
      </c>
      <c r="G2140" s="2" t="s">
        <v>6721</v>
      </c>
      <c r="H2140" s="1">
        <v>6.0</v>
      </c>
      <c r="I2140" s="1" t="s">
        <v>2888</v>
      </c>
      <c r="J2140" s="1" t="s">
        <v>1435</v>
      </c>
      <c r="K2140" s="2" t="s">
        <v>6722</v>
      </c>
      <c r="L2140" s="11" t="s">
        <v>6723</v>
      </c>
      <c r="M2140" s="2" t="str">
        <f>IFERROR(__xludf.DUMMYFUNCTION("split(split(K2140,""【"",false),""公式LINE"",false)"),"太郎(高橋一生)は、かずな(仲里依紗)から「太郎ちゃんが好きなのは、自分自身」と強烈な一言を浴びせられ、舞衣(高橋メアリージュン)には「友達じゃ嫌」と切り出される。一方、三好(斎藤工)は元妻・薫に、夫婦時代に購入した墓が欲しいと迫られる。そこで、三好の墓問題に岩倉(滝藤賢一)が仲介役を買って出る。そんな中、人間ドックを訪れたAK男子3人。すると人間ドックの結果、“再検査""の知らせが届く者がいて…")</f>
        <v>太郎(高橋一生)は、かずな(仲里依紗)から「太郎ちゃんが好きなのは、自分自身」と強烈な一言を浴びせられ、舞衣(高橋メアリージュン)には「友達じゃ嫌」と切り出される。一方、三好(斎藤工)は元妻・薫に、夫婦時代に購入した墓が欲しいと迫られる。そこで、三好の墓問題に岩倉(滝藤賢一)が仲介役を買って出る。そんな中、人間ドックを訪れたAK男子3人。すると人間ドックの結果、“再検査"の知らせが届く者がいて…</v>
      </c>
      <c r="N2140" s="2"/>
      <c r="O2140" s="2"/>
      <c r="P2140" s="2"/>
      <c r="Q2140" s="2"/>
      <c r="R2140" s="2"/>
      <c r="S2140" s="2"/>
      <c r="T2140" s="2"/>
      <c r="U2140" s="2"/>
      <c r="V2140" s="2"/>
      <c r="W2140" s="2"/>
      <c r="X2140" s="2"/>
      <c r="Y2140" s="2"/>
      <c r="Z2140" s="2"/>
      <c r="AA2140" s="2"/>
      <c r="AB2140" s="2"/>
      <c r="AC2140" s="2"/>
      <c r="AD2140" s="2"/>
      <c r="AE2140" s="2"/>
      <c r="AF2140" s="2"/>
      <c r="AG2140" s="2"/>
      <c r="AH2140" s="2"/>
      <c r="AI2140" s="2"/>
      <c r="AJ2140" s="2"/>
      <c r="AK2140" s="2"/>
      <c r="AL2140" s="2"/>
      <c r="AM2140" s="2"/>
      <c r="AN2140" s="2"/>
      <c r="AO2140" s="2"/>
      <c r="AP2140" s="2"/>
      <c r="AQ2140" s="2"/>
      <c r="AR2140" s="2"/>
      <c r="AS2140" s="2"/>
      <c r="AT2140" s="2"/>
      <c r="AU2140" s="2"/>
      <c r="AV2140" s="2"/>
      <c r="AW2140" s="2"/>
      <c r="AX2140" s="2"/>
      <c r="AY2140" s="2"/>
      <c r="AZ2140" s="2"/>
      <c r="BA2140" s="2"/>
      <c r="BB2140" s="2"/>
    </row>
    <row r="2141" ht="204.75" customHeight="1">
      <c r="A2141" s="1">
        <v>330.0</v>
      </c>
      <c r="B2141" s="2" t="s">
        <v>6704</v>
      </c>
      <c r="C2141" s="2">
        <f>IFERROR(__xludf.DUMMYFUNCTION("split(B2141,""_"")"),1904.0)</f>
        <v>1904</v>
      </c>
      <c r="D2141" s="2" t="str">
        <f>IFERROR(__xludf.DUMMYFUNCTION("""COMPUTED_VALUE"""),"EX")</f>
        <v>EX</v>
      </c>
      <c r="E2141" s="2" t="str">
        <f>IFERROR(__xludf.DUMMYFUNCTION("""COMPUTED_VALUE"""),"土23")</f>
        <v>土23</v>
      </c>
      <c r="F2141" s="2" t="s">
        <v>6705</v>
      </c>
      <c r="G2141" s="2" t="s">
        <v>6724</v>
      </c>
      <c r="H2141" s="1">
        <v>7.0</v>
      </c>
      <c r="I2141" s="1" t="s">
        <v>2892</v>
      </c>
      <c r="J2141" s="1" t="s">
        <v>1435</v>
      </c>
      <c r="K2141" s="2" t="s">
        <v>6725</v>
      </c>
      <c r="L2141" s="11" t="s">
        <v>6726</v>
      </c>
      <c r="M2141" s="2" t="str">
        <f>IFERROR(__xludf.DUMMYFUNCTION("split(split(K2141,""【"",false),""公式LINE"",false)"),"太郎(高橋一生)は、かずな(仲里依紗)に恋人ができたらしいと聞き、ショックを受け、仕事も行き詰まる。そんな中、サラリーマン人生に大きな転機が訪れ…。一方、実はクリニックが経営不振に陥っていた三好(斎藤工)。岩倉(滝藤賢一)も、透子(桜井ユキ)と父との3人暮らしを開始したものの、困難を極め…。悩める3人はいつものように互いの将来について話し合う内、激しい口論へと発展!ついに、喧嘩別れをしてしまい…")</f>
        <v>太郎(高橋一生)は、かずな(仲里依紗)に恋人ができたらしいと聞き、ショックを受け、仕事も行き詰まる。そんな中、サラリーマン人生に大きな転機が訪れ…。一方、実はクリニックが経営不振に陥っていた三好(斎藤工)。岩倉(滝藤賢一)も、透子(桜井ユキ)と父との3人暮らしを開始したものの、困難を極め…。悩める3人はいつものように互いの将来について話し合う内、激しい口論へと発展!ついに、喧嘩別れをしてしまい…</v>
      </c>
      <c r="N2141" s="2"/>
      <c r="O2141" s="2"/>
      <c r="P2141" s="2"/>
      <c r="Q2141" s="2"/>
      <c r="R2141" s="2"/>
      <c r="S2141" s="2"/>
      <c r="T2141" s="2"/>
      <c r="U2141" s="2"/>
      <c r="V2141" s="2"/>
      <c r="W2141" s="2"/>
      <c r="X2141" s="2"/>
      <c r="Y2141" s="2"/>
      <c r="Z2141" s="2"/>
      <c r="AA2141" s="2"/>
      <c r="AB2141" s="2"/>
      <c r="AC2141" s="2"/>
      <c r="AD2141" s="2"/>
      <c r="AE2141" s="2"/>
      <c r="AF2141" s="2"/>
      <c r="AG2141" s="2"/>
      <c r="AH2141" s="2"/>
      <c r="AI2141" s="2"/>
      <c r="AJ2141" s="2"/>
      <c r="AK2141" s="2"/>
      <c r="AL2141" s="2"/>
      <c r="AM2141" s="2"/>
      <c r="AN2141" s="2"/>
      <c r="AO2141" s="2"/>
      <c r="AP2141" s="2"/>
      <c r="AQ2141" s="2"/>
      <c r="AR2141" s="2"/>
      <c r="AS2141" s="2"/>
      <c r="AT2141" s="2"/>
      <c r="AU2141" s="2"/>
      <c r="AV2141" s="2"/>
      <c r="AW2141" s="2"/>
      <c r="AX2141" s="2"/>
      <c r="AY2141" s="2"/>
      <c r="AZ2141" s="2"/>
      <c r="BA2141" s="2"/>
      <c r="BB2141" s="2"/>
    </row>
    <row r="2142" ht="204.75" customHeight="1">
      <c r="A2142" s="1">
        <v>331.0</v>
      </c>
      <c r="B2142" s="2" t="s">
        <v>6704</v>
      </c>
      <c r="C2142" s="2">
        <f>IFERROR(__xludf.DUMMYFUNCTION("split(B2142,""_"")"),1904.0)</f>
        <v>1904</v>
      </c>
      <c r="D2142" s="2" t="str">
        <f>IFERROR(__xludf.DUMMYFUNCTION("""COMPUTED_VALUE"""),"EX")</f>
        <v>EX</v>
      </c>
      <c r="E2142" s="2" t="str">
        <f>IFERROR(__xludf.DUMMYFUNCTION("""COMPUTED_VALUE"""),"土23")</f>
        <v>土23</v>
      </c>
      <c r="F2142" s="2" t="s">
        <v>6705</v>
      </c>
      <c r="G2142" s="2" t="s">
        <v>6727</v>
      </c>
      <c r="H2142" s="1">
        <v>8.0</v>
      </c>
      <c r="J2142" s="1" t="s">
        <v>1435</v>
      </c>
      <c r="K2142" s="2" t="s">
        <v>6728</v>
      </c>
      <c r="L2142" s="11" t="s">
        <v>6729</v>
      </c>
      <c r="M2142" s="2" t="str">
        <f>IFERROR(__xludf.DUMMYFUNCTION("split(split(K2142,""【"",false),""公式LINE"",false)"),"太郎(高橋一生)はかずな(仲里依紗)に再び自分の想いを伝えるも「これ以上、振り回されたくない…」と去られてしまう。一方、岩倉(滝藤賢一)は同居を始めたばかりの透子(桜井ユキ)に出ていかれ、三好(斎藤工)はクリニックの経営を改善すべく太郎が暮らす部屋の売却を迫られてしまう。そんな中、太郎の母・寿美代(萬田久子)が上京するとの知らせが…。それぞれの試練を前に、AK男子3人が下した人生の決断とは…!?")</f>
        <v>太郎(高橋一生)はかずな(仲里依紗)に再び自分の想いを伝えるも「これ以上、振り回されたくない…」と去られてしまう。一方、岩倉(滝藤賢一)は同居を始めたばかりの透子(桜井ユキ)に出ていかれ、三好(斎藤工)はクリニックの経営を改善すべく太郎が暮らす部屋の売却を迫られてしまう。そんな中、太郎の母・寿美代(萬田久子)が上京するとの知らせが…。それぞれの試練を前に、AK男子3人が下した人生の決断とは…!?</v>
      </c>
      <c r="N2142" s="2"/>
      <c r="O2142" s="2"/>
      <c r="P2142" s="2"/>
      <c r="Q2142" s="2"/>
      <c r="R2142" s="2"/>
      <c r="S2142" s="2"/>
      <c r="T2142" s="2"/>
      <c r="U2142" s="2"/>
      <c r="V2142" s="2"/>
      <c r="W2142" s="2"/>
      <c r="X2142" s="2"/>
      <c r="Y2142" s="2"/>
      <c r="Z2142" s="2"/>
      <c r="AA2142" s="2"/>
      <c r="AB2142" s="2"/>
      <c r="AC2142" s="2"/>
      <c r="AD2142" s="2"/>
      <c r="AE2142" s="2"/>
      <c r="AF2142" s="2"/>
      <c r="AG2142" s="2"/>
      <c r="AH2142" s="2"/>
      <c r="AI2142" s="2"/>
      <c r="AJ2142" s="2"/>
      <c r="AK2142" s="2"/>
      <c r="AL2142" s="2"/>
      <c r="AM2142" s="2"/>
      <c r="AN2142" s="2"/>
      <c r="AO2142" s="2"/>
      <c r="AP2142" s="2"/>
      <c r="AQ2142" s="2"/>
      <c r="AR2142" s="2"/>
      <c r="AS2142" s="2"/>
      <c r="AT2142" s="2"/>
      <c r="AU2142" s="2"/>
      <c r="AV2142" s="2"/>
      <c r="AW2142" s="2"/>
      <c r="AX2142" s="2"/>
      <c r="AY2142" s="2"/>
      <c r="AZ2142" s="2"/>
      <c r="BA2142" s="2"/>
      <c r="BB2142" s="2"/>
    </row>
    <row r="2143" ht="204.75" customHeight="1">
      <c r="A2143" s="1">
        <v>394.0</v>
      </c>
      <c r="B2143" s="2" t="s">
        <v>6730</v>
      </c>
      <c r="C2143" s="2">
        <f>IFERROR(__xludf.DUMMYFUNCTION("split(B2143,""_"")"),1901.0)</f>
        <v>1901</v>
      </c>
      <c r="D2143" s="2" t="str">
        <f>IFERROR(__xludf.DUMMYFUNCTION("""COMPUTED_VALUE"""),"EX")</f>
        <v>EX</v>
      </c>
      <c r="E2143" s="2" t="str">
        <f>IFERROR(__xludf.DUMMYFUNCTION("""COMPUTED_VALUE"""),"木21")</f>
        <v>木21</v>
      </c>
      <c r="F2143" s="2" t="s">
        <v>6731</v>
      </c>
      <c r="G2143" s="2" t="s">
        <v>6732</v>
      </c>
      <c r="H2143" s="1">
        <v>1.0</v>
      </c>
      <c r="I2143" s="1" t="s">
        <v>2868</v>
      </c>
      <c r="J2143" s="1" t="s">
        <v>4</v>
      </c>
      <c r="K2143" s="2" t="s">
        <v>6733</v>
      </c>
      <c r="L2143" s="11" t="s">
        <v>6734</v>
      </c>
      <c r="M2143" s="2" t="str">
        <f>IFERROR(__xludf.DUMMYFUNCTION("split(split(K2143,""【"",false),""公式LINE"",false)"),"イベント会社に派遣社員の的場中=アタル(杉咲花)が入ってきた。社会人経験のないアタルは、神田(志田未来)の下で働き始めることに…。その矢先、代々木部長(及川光博)から、あるイベントに50人の赤ちゃんを招き、笑顔の集合写真を撮影するという無理難題を押し付けられる。わずか1週間後に迫るイベントで、初めて運営を任された神田は戸惑うばかり…。神田に対しアタルはたびたび不可思議な言動を…!?")</f>
        <v>イベント会社に派遣社員の的場中=アタル(杉咲花)が入ってきた。社会人経験のないアタルは、神田(志田未来)の下で働き始めることに…。その矢先、代々木部長(及川光博)から、あるイベントに50人の赤ちゃんを招き、笑顔の集合写真を撮影するという無理難題を押し付けられる。わずか1週間後に迫るイベントで、初めて運営を任された神田は戸惑うばかり…。神田に対しアタルはたびたび不可思議な言動を…!?</v>
      </c>
      <c r="N2143" s="2"/>
      <c r="O2143" s="2"/>
      <c r="P2143" s="2"/>
      <c r="Q2143" s="2"/>
      <c r="R2143" s="2"/>
      <c r="S2143" s="2"/>
      <c r="T2143" s="2"/>
      <c r="U2143" s="2"/>
      <c r="V2143" s="2"/>
      <c r="W2143" s="2"/>
      <c r="X2143" s="2"/>
      <c r="Y2143" s="2"/>
      <c r="Z2143" s="2"/>
      <c r="AA2143" s="2"/>
      <c r="AB2143" s="2"/>
      <c r="AC2143" s="2"/>
      <c r="AD2143" s="2"/>
      <c r="AE2143" s="2"/>
      <c r="AF2143" s="2"/>
      <c r="AG2143" s="2"/>
      <c r="AH2143" s="2"/>
      <c r="AI2143" s="2"/>
      <c r="AJ2143" s="2"/>
      <c r="AK2143" s="2"/>
      <c r="AL2143" s="2"/>
      <c r="AM2143" s="2"/>
      <c r="AN2143" s="2"/>
      <c r="AO2143" s="2"/>
      <c r="AP2143" s="2"/>
      <c r="AQ2143" s="2"/>
      <c r="AR2143" s="2"/>
      <c r="AS2143" s="2"/>
      <c r="AT2143" s="2"/>
      <c r="AU2143" s="2"/>
      <c r="AV2143" s="2"/>
      <c r="AW2143" s="2"/>
      <c r="AX2143" s="2"/>
      <c r="AY2143" s="2"/>
      <c r="AZ2143" s="2"/>
      <c r="BA2143" s="2"/>
      <c r="BB2143" s="2"/>
    </row>
    <row r="2144" ht="204.75" customHeight="1">
      <c r="A2144" s="1">
        <v>395.0</v>
      </c>
      <c r="B2144" s="2" t="s">
        <v>6730</v>
      </c>
      <c r="C2144" s="2">
        <f>IFERROR(__xludf.DUMMYFUNCTION("split(B2144,""_"")"),1901.0)</f>
        <v>1901</v>
      </c>
      <c r="D2144" s="2" t="str">
        <f>IFERROR(__xludf.DUMMYFUNCTION("""COMPUTED_VALUE"""),"EX")</f>
        <v>EX</v>
      </c>
      <c r="E2144" s="2" t="str">
        <f>IFERROR(__xludf.DUMMYFUNCTION("""COMPUTED_VALUE"""),"木21")</f>
        <v>木21</v>
      </c>
      <c r="F2144" s="2" t="s">
        <v>6731</v>
      </c>
      <c r="G2144" s="2" t="s">
        <v>6735</v>
      </c>
      <c r="H2144" s="1">
        <v>2.0</v>
      </c>
      <c r="I2144" s="1" t="s">
        <v>2872</v>
      </c>
      <c r="J2144" s="1" t="s">
        <v>11</v>
      </c>
      <c r="K2144" s="2" t="s">
        <v>6736</v>
      </c>
      <c r="L2144" s="11" t="s">
        <v>6737</v>
      </c>
      <c r="M2144" s="2" t="str">
        <f>IFERROR(__xludf.DUMMYFUNCTION("split(split(K2144,""【"",false),""公式LINE"",false)"),"父親のコネでイベント会社に入社して3年ー。目黒円(間宮祥太朗)は失敗続き…。部長の代々木(及川光博)があるイベントのコンペの話を持ちかける。目黒は、ここぞとばかりに立候補。周囲に不安視されても意に介さず、企画書も一人で作ると言って張り切りだす。派遣社員の的場中=アタル(杉咲花)は、目黒を手伝うことになるが…。奇跡を起こせると信じ勢いづく目黒だったが、どん底に突き落とされるような出来事が起き…!")</f>
        <v>父親のコネでイベント会社に入社して3年ー。目黒円(間宮祥太朗)は失敗続き…。部長の代々木(及川光博)があるイベントのコンペの話を持ちかける。目黒は、ここぞとばかりに立候補。周囲に不安視されても意に介さず、企画書も一人で作ると言って張り切りだす。派遣社員の的場中=アタル(杉咲花)は、目黒を手伝うことになるが…。奇跡を起こせると信じ勢いづく目黒だったが、どん底に突き落とされるような出来事が起き…!</v>
      </c>
      <c r="N2144" s="2"/>
      <c r="O2144" s="2"/>
      <c r="P2144" s="2"/>
      <c r="Q2144" s="2"/>
      <c r="R2144" s="2"/>
      <c r="S2144" s="2"/>
      <c r="T2144" s="2"/>
      <c r="U2144" s="2"/>
      <c r="V2144" s="2"/>
      <c r="W2144" s="2"/>
      <c r="X2144" s="2"/>
      <c r="Y2144" s="2"/>
      <c r="Z2144" s="2"/>
      <c r="AA2144" s="2"/>
      <c r="AB2144" s="2"/>
      <c r="AC2144" s="2"/>
      <c r="AD2144" s="2"/>
      <c r="AE2144" s="2"/>
      <c r="AF2144" s="2"/>
      <c r="AG2144" s="2"/>
      <c r="AH2144" s="2"/>
      <c r="AI2144" s="2"/>
      <c r="AJ2144" s="2"/>
      <c r="AK2144" s="2"/>
      <c r="AL2144" s="2"/>
      <c r="AM2144" s="2"/>
      <c r="AN2144" s="2"/>
      <c r="AO2144" s="2"/>
      <c r="AP2144" s="2"/>
      <c r="AQ2144" s="2"/>
      <c r="AR2144" s="2"/>
      <c r="AS2144" s="2"/>
      <c r="AT2144" s="2"/>
      <c r="AU2144" s="2"/>
      <c r="AV2144" s="2"/>
      <c r="AW2144" s="2"/>
      <c r="AX2144" s="2"/>
      <c r="AY2144" s="2"/>
      <c r="AZ2144" s="2"/>
      <c r="BA2144" s="2"/>
      <c r="BB2144" s="2"/>
    </row>
    <row r="2145" ht="204.75" customHeight="1">
      <c r="A2145" s="1">
        <v>396.0</v>
      </c>
      <c r="B2145" s="2" t="s">
        <v>6730</v>
      </c>
      <c r="C2145" s="2">
        <f>IFERROR(__xludf.DUMMYFUNCTION("split(B2145,""_"")"),1901.0)</f>
        <v>1901</v>
      </c>
      <c r="D2145" s="2" t="str">
        <f>IFERROR(__xludf.DUMMYFUNCTION("""COMPUTED_VALUE"""),"EX")</f>
        <v>EX</v>
      </c>
      <c r="E2145" s="2" t="str">
        <f>IFERROR(__xludf.DUMMYFUNCTION("""COMPUTED_VALUE"""),"木21")</f>
        <v>木21</v>
      </c>
      <c r="F2145" s="2" t="s">
        <v>6731</v>
      </c>
      <c r="G2145" s="2" t="s">
        <v>6738</v>
      </c>
      <c r="H2145" s="1">
        <v>3.0</v>
      </c>
      <c r="I2145" s="1" t="s">
        <v>2876</v>
      </c>
      <c r="J2145" s="1" t="s">
        <v>11</v>
      </c>
      <c r="K2145" s="2" t="s">
        <v>6739</v>
      </c>
      <c r="L2145" s="11" t="s">
        <v>6740</v>
      </c>
      <c r="M2145" s="2" t="str">
        <f>IFERROR(__xludf.DUMMYFUNCTION("split(split(K2145,""【"",false),""公式LINE"",false)"),"入社1年目の品川一真(志尊淳)は、学生時代の友人たちのリア充ぶりにため息をつく毎日。勤務先でも連日、直属の上司・上野誠治(小澤征悦)から不当なパワハラを受け、我慢も限界に近づいていた。そんな品川は、イベントの実施提案書の作成を押し付けられ、派遣社員の的場中=アタル(杉咲花)は手を貸そうとするのだが…!?上野から猛烈なダメ出しを食らった品川は、会社を辞めると宣言し…!?")</f>
        <v>入社1年目の品川一真(志尊淳)は、学生時代の友人たちのリア充ぶりにため息をつく毎日。勤務先でも連日、直属の上司・上野誠治(小澤征悦)から不当なパワハラを受け、我慢も限界に近づいていた。そんな品川は、イベントの実施提案書の作成を押し付けられ、派遣社員の的場中=アタル(杉咲花)は手を貸そうとするのだが…!?上野から猛烈なダメ出しを食らった品川は、会社を辞めると宣言し…!?</v>
      </c>
      <c r="N2145" s="2"/>
      <c r="O2145" s="2"/>
      <c r="P2145" s="2"/>
      <c r="Q2145" s="2"/>
      <c r="R2145" s="2"/>
      <c r="S2145" s="2"/>
      <c r="T2145" s="2"/>
      <c r="U2145" s="2"/>
      <c r="V2145" s="2"/>
      <c r="W2145" s="2"/>
      <c r="X2145" s="2"/>
      <c r="Y2145" s="2"/>
      <c r="Z2145" s="2"/>
      <c r="AA2145" s="2"/>
      <c r="AB2145" s="2"/>
      <c r="AC2145" s="2"/>
      <c r="AD2145" s="2"/>
      <c r="AE2145" s="2"/>
      <c r="AF2145" s="2"/>
      <c r="AG2145" s="2"/>
      <c r="AH2145" s="2"/>
      <c r="AI2145" s="2"/>
      <c r="AJ2145" s="2"/>
      <c r="AK2145" s="2"/>
      <c r="AL2145" s="2"/>
      <c r="AM2145" s="2"/>
      <c r="AN2145" s="2"/>
      <c r="AO2145" s="2"/>
      <c r="AP2145" s="2"/>
      <c r="AQ2145" s="2"/>
      <c r="AR2145" s="2"/>
      <c r="AS2145" s="2"/>
      <c r="AT2145" s="2"/>
      <c r="AU2145" s="2"/>
      <c r="AV2145" s="2"/>
      <c r="AW2145" s="2"/>
      <c r="AX2145" s="2"/>
      <c r="AY2145" s="2"/>
      <c r="AZ2145" s="2"/>
      <c r="BA2145" s="2"/>
      <c r="BB2145" s="2"/>
    </row>
    <row r="2146" ht="204.75" customHeight="1">
      <c r="A2146" s="1">
        <v>397.0</v>
      </c>
      <c r="B2146" s="2" t="s">
        <v>6730</v>
      </c>
      <c r="C2146" s="2">
        <f>IFERROR(__xludf.DUMMYFUNCTION("split(B2146,""_"")"),1901.0)</f>
        <v>1901</v>
      </c>
      <c r="D2146" s="2" t="str">
        <f>IFERROR(__xludf.DUMMYFUNCTION("""COMPUTED_VALUE"""),"EX")</f>
        <v>EX</v>
      </c>
      <c r="E2146" s="2" t="str">
        <f>IFERROR(__xludf.DUMMYFUNCTION("""COMPUTED_VALUE"""),"木21")</f>
        <v>木21</v>
      </c>
      <c r="F2146" s="2" t="s">
        <v>6731</v>
      </c>
      <c r="G2146" s="2" t="s">
        <v>6741</v>
      </c>
      <c r="H2146" s="1">
        <v>4.0</v>
      </c>
      <c r="I2146" s="1" t="s">
        <v>2880</v>
      </c>
      <c r="J2146" s="1" t="s">
        <v>11</v>
      </c>
      <c r="K2146" s="2" t="s">
        <v>6742</v>
      </c>
      <c r="L2146" s="11" t="s">
        <v>6743</v>
      </c>
      <c r="M2146" s="2" t="str">
        <f>IFERROR(__xludf.DUMMYFUNCTION("split(split(K2146,""【"",false),""公式LINE"",false)"),"10年前に“伝説のイベント""を手がけた上野誠治(小澤征悦)は、俺様的性格のせいで降格され出世の道は途絶えた。そんなとき、新たなイベントで上野を指名した仕事が舞い込む。気合が入った上野は奮起するも周りが見えなくなり、派遣社員のアタル(杉咲花)らをこき使ったり悪態をついたり…と、傍若無人ぶりを加速させる。自らの鼻をへし折られるような事態に直面した上野は、絶対に言ってはいけないことを口にしてしまい…!?")</f>
        <v>10年前に“伝説のイベント"を手がけた上野誠治(小澤征悦)は、俺様的性格のせいで降格され出世の道は途絶えた。そんなとき、新たなイベントで上野を指名した仕事が舞い込む。気合が入った上野は奮起するも周りが見えなくなり、派遣社員のアタル(杉咲花)らをこき使ったり悪態をついたり…と、傍若無人ぶりを加速させる。自らの鼻をへし折られるような事態に直面した上野は、絶対に言ってはいけないことを口にしてしまい…!?</v>
      </c>
      <c r="N2146" s="2"/>
      <c r="O2146" s="2"/>
      <c r="P2146" s="2"/>
      <c r="Q2146" s="2"/>
      <c r="R2146" s="2"/>
      <c r="S2146" s="2"/>
      <c r="T2146" s="2"/>
      <c r="U2146" s="2"/>
      <c r="V2146" s="2"/>
      <c r="W2146" s="2"/>
      <c r="X2146" s="2"/>
      <c r="Y2146" s="2"/>
      <c r="Z2146" s="2"/>
      <c r="AA2146" s="2"/>
      <c r="AB2146" s="2"/>
      <c r="AC2146" s="2"/>
      <c r="AD2146" s="2"/>
      <c r="AE2146" s="2"/>
      <c r="AF2146" s="2"/>
      <c r="AG2146" s="2"/>
      <c r="AH2146" s="2"/>
      <c r="AI2146" s="2"/>
      <c r="AJ2146" s="2"/>
      <c r="AK2146" s="2"/>
      <c r="AL2146" s="2"/>
      <c r="AM2146" s="2"/>
      <c r="AN2146" s="2"/>
      <c r="AO2146" s="2"/>
      <c r="AP2146" s="2"/>
      <c r="AQ2146" s="2"/>
      <c r="AR2146" s="2"/>
      <c r="AS2146" s="2"/>
      <c r="AT2146" s="2"/>
      <c r="AU2146" s="2"/>
      <c r="AV2146" s="2"/>
      <c r="AW2146" s="2"/>
      <c r="AX2146" s="2"/>
      <c r="AY2146" s="2"/>
      <c r="AZ2146" s="2"/>
      <c r="BA2146" s="2"/>
      <c r="BB2146" s="2"/>
    </row>
    <row r="2147" ht="204.75" customHeight="1">
      <c r="A2147" s="1">
        <v>398.0</v>
      </c>
      <c r="B2147" s="2" t="s">
        <v>6730</v>
      </c>
      <c r="C2147" s="2">
        <f>IFERROR(__xludf.DUMMYFUNCTION("split(B2147,""_"")"),1901.0)</f>
        <v>1901</v>
      </c>
      <c r="D2147" s="2" t="str">
        <f>IFERROR(__xludf.DUMMYFUNCTION("""COMPUTED_VALUE"""),"EX")</f>
        <v>EX</v>
      </c>
      <c r="E2147" s="2" t="str">
        <f>IFERROR(__xludf.DUMMYFUNCTION("""COMPUTED_VALUE"""),"木21")</f>
        <v>木21</v>
      </c>
      <c r="F2147" s="2" t="s">
        <v>6731</v>
      </c>
      <c r="G2147" s="2" t="s">
        <v>6744</v>
      </c>
      <c r="H2147" s="1">
        <v>5.0</v>
      </c>
      <c r="I2147" s="1" t="s">
        <v>2884</v>
      </c>
      <c r="J2147" s="1" t="s">
        <v>11</v>
      </c>
      <c r="K2147" s="2" t="s">
        <v>6745</v>
      </c>
      <c r="L2147" s="11" t="s">
        <v>6746</v>
      </c>
      <c r="M2147" s="2" t="str">
        <f>IFERROR(__xludf.DUMMYFUNCTION("split(split(K2147,""【"",false),""公式LINE"",false)"),"いつもピリピリムードの田端友代(野波麻帆)は淡々と的確な仕事をする一方、家庭の事情から残業や余計な仕事は徹底して断る主義を貫いている。その田端が社長の肝いりである“女性躍進プロジェクト""のモデルケースとし、社内報の密着取材を受けるハメに。しかし、部長の代々木匠(及川光博)のセクハラ発言が導火線となって、田端は煮え立った感情を抑えられなくなり、派遣社員・アタル(杉咲花)の前で怒りを爆発させてしまう…")</f>
        <v>いつもピリピリムードの田端友代(野波麻帆)は淡々と的確な仕事をする一方、家庭の事情から残業や余計な仕事は徹底して断る主義を貫いている。その田端が社長の肝いりである“女性躍進プロジェクト"のモデルケースとし、社内報の密着取材を受けるハメに。しかし、部長の代々木匠(及川光博)のセクハラ発言が導火線となって、田端は煮え立った感情を抑えられなくなり、派遣社員・アタル(杉咲花)の前で怒りを爆発させてしまう…</v>
      </c>
      <c r="N2147" s="2"/>
      <c r="O2147" s="2"/>
      <c r="P2147" s="2"/>
      <c r="Q2147" s="2"/>
      <c r="R2147" s="2"/>
      <c r="S2147" s="2"/>
      <c r="T2147" s="2"/>
      <c r="U2147" s="2"/>
      <c r="V2147" s="2"/>
      <c r="W2147" s="2"/>
      <c r="X2147" s="2"/>
      <c r="Y2147" s="2"/>
      <c r="Z2147" s="2"/>
      <c r="AA2147" s="2"/>
      <c r="AB2147" s="2"/>
      <c r="AC2147" s="2"/>
      <c r="AD2147" s="2"/>
      <c r="AE2147" s="2"/>
      <c r="AF2147" s="2"/>
      <c r="AG2147" s="2"/>
      <c r="AH2147" s="2"/>
      <c r="AI2147" s="2"/>
      <c r="AJ2147" s="2"/>
      <c r="AK2147" s="2"/>
      <c r="AL2147" s="2"/>
      <c r="AM2147" s="2"/>
      <c r="AN2147" s="2"/>
      <c r="AO2147" s="2"/>
      <c r="AP2147" s="2"/>
      <c r="AQ2147" s="2"/>
      <c r="AR2147" s="2"/>
      <c r="AS2147" s="2"/>
      <c r="AT2147" s="2"/>
      <c r="AU2147" s="2"/>
      <c r="AV2147" s="2"/>
      <c r="AW2147" s="2"/>
      <c r="AX2147" s="2"/>
      <c r="AY2147" s="2"/>
      <c r="AZ2147" s="2"/>
      <c r="BA2147" s="2"/>
      <c r="BB2147" s="2"/>
    </row>
    <row r="2148" ht="204.75" customHeight="1">
      <c r="A2148" s="1">
        <v>399.0</v>
      </c>
      <c r="B2148" s="2" t="s">
        <v>6730</v>
      </c>
      <c r="C2148" s="2">
        <f>IFERROR(__xludf.DUMMYFUNCTION("split(B2148,""_"")"),1901.0)</f>
        <v>1901</v>
      </c>
      <c r="D2148" s="2" t="str">
        <f>IFERROR(__xludf.DUMMYFUNCTION("""COMPUTED_VALUE"""),"EX")</f>
        <v>EX</v>
      </c>
      <c r="E2148" s="2" t="str">
        <f>IFERROR(__xludf.DUMMYFUNCTION("""COMPUTED_VALUE"""),"木21")</f>
        <v>木21</v>
      </c>
      <c r="F2148" s="2" t="s">
        <v>6731</v>
      </c>
      <c r="G2148" s="2" t="s">
        <v>6747</v>
      </c>
      <c r="H2148" s="1">
        <v>6.0</v>
      </c>
      <c r="I2148" s="1" t="s">
        <v>2888</v>
      </c>
      <c r="J2148" s="1" t="s">
        <v>11</v>
      </c>
      <c r="K2148" s="2" t="s">
        <v>6748</v>
      </c>
      <c r="L2148" s="11" t="s">
        <v>6749</v>
      </c>
      <c r="M2148" s="2" t="str">
        <f>IFERROR(__xludf.DUMMYFUNCTION("split(split(K2148,""【"",false),""公式LINE"",false)"),"大崎(板谷由夏)はいつものように中学生の息子から無視され、夫にもろくに話を聞いてもらえない、ため息混じりの朝を迎えていた。そんな大崎に、部長の代々木(及川光博)からリストラ候補者を1人選べという指令が…。彼女は実情を伏せたまま、部下たちと個別面談を始めるが、図らずもリストラの話を耳にした部下たちが、大崎に詰め寄る!この一件は巡り巡って、アタル(杉咲花)の心にも不穏な影を落とす事態を招いてしまい…!?")</f>
        <v>大崎(板谷由夏)はいつものように中学生の息子から無視され、夫にもろくに話を聞いてもらえない、ため息混じりの朝を迎えていた。そんな大崎に、部長の代々木(及川光博)からリストラ候補者を1人選べという指令が…。彼女は実情を伏せたまま、部下たちと個別面談を始めるが、図らずもリストラの話を耳にした部下たちが、大崎に詰め寄る!この一件は巡り巡って、アタル(杉咲花)の心にも不穏な影を落とす事態を招いてしまい…!?</v>
      </c>
      <c r="N2148" s="2"/>
      <c r="O2148" s="2"/>
      <c r="P2148" s="2"/>
      <c r="Q2148" s="2"/>
      <c r="R2148" s="2"/>
      <c r="S2148" s="2"/>
      <c r="T2148" s="2"/>
      <c r="U2148" s="2"/>
      <c r="V2148" s="2"/>
      <c r="W2148" s="2"/>
      <c r="X2148" s="2"/>
      <c r="Y2148" s="2"/>
      <c r="Z2148" s="2"/>
      <c r="AA2148" s="2"/>
      <c r="AB2148" s="2"/>
      <c r="AC2148" s="2"/>
      <c r="AD2148" s="2"/>
      <c r="AE2148" s="2"/>
      <c r="AF2148" s="2"/>
      <c r="AG2148" s="2"/>
      <c r="AH2148" s="2"/>
      <c r="AI2148" s="2"/>
      <c r="AJ2148" s="2"/>
      <c r="AK2148" s="2"/>
      <c r="AL2148" s="2"/>
      <c r="AM2148" s="2"/>
      <c r="AN2148" s="2"/>
      <c r="AO2148" s="2"/>
      <c r="AP2148" s="2"/>
      <c r="AQ2148" s="2"/>
      <c r="AR2148" s="2"/>
      <c r="AS2148" s="2"/>
      <c r="AT2148" s="2"/>
      <c r="AU2148" s="2"/>
      <c r="AV2148" s="2"/>
      <c r="AW2148" s="2"/>
      <c r="AX2148" s="2"/>
      <c r="AY2148" s="2"/>
      <c r="AZ2148" s="2"/>
      <c r="BA2148" s="2"/>
      <c r="BB2148" s="2"/>
    </row>
    <row r="2149" ht="204.75" customHeight="1">
      <c r="A2149" s="1">
        <v>400.0</v>
      </c>
      <c r="B2149" s="2" t="s">
        <v>6730</v>
      </c>
      <c r="C2149" s="2">
        <f>IFERROR(__xludf.DUMMYFUNCTION("split(B2149,""_"")"),1901.0)</f>
        <v>1901</v>
      </c>
      <c r="D2149" s="2" t="str">
        <f>IFERROR(__xludf.DUMMYFUNCTION("""COMPUTED_VALUE"""),"EX")</f>
        <v>EX</v>
      </c>
      <c r="E2149" s="2" t="str">
        <f>IFERROR(__xludf.DUMMYFUNCTION("""COMPUTED_VALUE"""),"木21")</f>
        <v>木21</v>
      </c>
      <c r="F2149" s="2" t="s">
        <v>6731</v>
      </c>
      <c r="G2149" s="2" t="s">
        <v>6750</v>
      </c>
      <c r="H2149" s="1">
        <v>7.0</v>
      </c>
      <c r="I2149" s="1" t="s">
        <v>2892</v>
      </c>
      <c r="J2149" s="1" t="s">
        <v>11</v>
      </c>
      <c r="K2149" s="2" t="s">
        <v>6751</v>
      </c>
      <c r="L2149" s="11" t="s">
        <v>6752</v>
      </c>
      <c r="M2149" s="2" t="str">
        <f>IFERROR(__xludf.DUMMYFUNCTION("split(split(K2149,""【"",false),""公式LINE"",false)"),"華々しい出世を夢見る部長・代々木匠(及川光博)は、企みを阻止されたDチームを逆恨みし、過去最大の難題を押し付ける。その難題とは…人気ピアニスト・タカオのコンサート。気難しいタカオが、急にコンサートの開催自体を拒否し始めたというのだ!そんな中、代々木が親会社へ戻る道が突如絶たれ、Dチームの専任部長に任命されてしまう。さらに、アタル(杉咲花)の母・キズナ(若村麻由美)が会社を訪れ…!?")</f>
        <v>華々しい出世を夢見る部長・代々木匠(及川光博)は、企みを阻止されたDチームを逆恨みし、過去最大の難題を押し付ける。その難題とは…人気ピアニスト・タカオのコンサート。気難しいタカオが、急にコンサートの開催自体を拒否し始めたというのだ!そんな中、代々木が親会社へ戻る道が突如絶たれ、Dチームの専任部長に任命されてしまう。さらに、アタル(杉咲花)の母・キズナ(若村麻由美)が会社を訪れ…!?</v>
      </c>
      <c r="N2149" s="2"/>
      <c r="O2149" s="2"/>
      <c r="P2149" s="2"/>
      <c r="Q2149" s="2"/>
      <c r="R2149" s="2"/>
      <c r="S2149" s="2"/>
      <c r="T2149" s="2"/>
      <c r="U2149" s="2"/>
      <c r="V2149" s="2"/>
      <c r="W2149" s="2"/>
      <c r="X2149" s="2"/>
      <c r="Y2149" s="2"/>
      <c r="Z2149" s="2"/>
      <c r="AA2149" s="2"/>
      <c r="AB2149" s="2"/>
      <c r="AC2149" s="2"/>
      <c r="AD2149" s="2"/>
      <c r="AE2149" s="2"/>
      <c r="AF2149" s="2"/>
      <c r="AG2149" s="2"/>
      <c r="AH2149" s="2"/>
      <c r="AI2149" s="2"/>
      <c r="AJ2149" s="2"/>
      <c r="AK2149" s="2"/>
      <c r="AL2149" s="2"/>
      <c r="AM2149" s="2"/>
      <c r="AN2149" s="2"/>
      <c r="AO2149" s="2"/>
      <c r="AP2149" s="2"/>
      <c r="AQ2149" s="2"/>
      <c r="AR2149" s="2"/>
      <c r="AS2149" s="2"/>
      <c r="AT2149" s="2"/>
      <c r="AU2149" s="2"/>
      <c r="AV2149" s="2"/>
      <c r="AW2149" s="2"/>
      <c r="AX2149" s="2"/>
      <c r="AY2149" s="2"/>
      <c r="AZ2149" s="2"/>
      <c r="BA2149" s="2"/>
      <c r="BB2149" s="2"/>
    </row>
    <row r="2150" ht="204.75" customHeight="1">
      <c r="A2150" s="1">
        <v>401.0</v>
      </c>
      <c r="B2150" s="2" t="s">
        <v>6730</v>
      </c>
      <c r="C2150" s="2">
        <f>IFERROR(__xludf.DUMMYFUNCTION("split(B2150,""_"")"),1901.0)</f>
        <v>1901</v>
      </c>
      <c r="D2150" s="2" t="str">
        <f>IFERROR(__xludf.DUMMYFUNCTION("""COMPUTED_VALUE"""),"EX")</f>
        <v>EX</v>
      </c>
      <c r="E2150" s="2" t="str">
        <f>IFERROR(__xludf.DUMMYFUNCTION("""COMPUTED_VALUE"""),"木21")</f>
        <v>木21</v>
      </c>
      <c r="F2150" s="2" t="s">
        <v>6731</v>
      </c>
      <c r="G2150" s="2" t="s">
        <v>6753</v>
      </c>
      <c r="H2150" s="1">
        <v>8.0</v>
      </c>
      <c r="I2150" s="1" t="s">
        <v>2896</v>
      </c>
      <c r="J2150" s="1" t="s">
        <v>11</v>
      </c>
      <c r="K2150" s="2" t="s">
        <v>6754</v>
      </c>
      <c r="L2150" s="11" t="s">
        <v>6755</v>
      </c>
      <c r="M2150" s="2" t="str">
        <f>IFERROR(__xludf.DUMMYFUNCTION("split(split(K2150,""【"",false),""公式LINE"",false)"),"占い師・キズナ(若村麻由美)は、自分のもとから突然逃げ出した娘・的場中=アタル(杉咲花)を連れ戻そうとするが、アタルは頑として拒否し、「占い以外にも、この会社でアタシにしかできないことがあると証明する」と宣言!生まれて初めて“仕事の壁""にぶつかり、悩み苦しむアタル。そんなアタルを突如、Dチームの面々が占うと言い出し…!?そして、ある結論にたどり着いたアタルは、キズナと対峙することを決意する。")</f>
        <v>占い師・キズナ(若村麻由美)は、自分のもとから突然逃げ出した娘・的場中=アタル(杉咲花)を連れ戻そうとするが、アタルは頑として拒否し、「占い以外にも、この会社でアタシにしかできないことがあると証明する」と宣言!生まれて初めて“仕事の壁"にぶつかり、悩み苦しむアタル。そんなアタルを突如、Dチームの面々が占うと言い出し…!?そして、ある結論にたどり着いたアタルは、キズナと対峙することを決意する。</v>
      </c>
      <c r="N2150" s="2"/>
      <c r="O2150" s="2"/>
      <c r="P2150" s="2"/>
      <c r="Q2150" s="2"/>
      <c r="R2150" s="2"/>
      <c r="S2150" s="2"/>
      <c r="T2150" s="2"/>
      <c r="U2150" s="2"/>
      <c r="V2150" s="2"/>
      <c r="W2150" s="2"/>
      <c r="X2150" s="2"/>
      <c r="Y2150" s="2"/>
      <c r="Z2150" s="2"/>
      <c r="AA2150" s="2"/>
      <c r="AB2150" s="2"/>
      <c r="AC2150" s="2"/>
      <c r="AD2150" s="2"/>
      <c r="AE2150" s="2"/>
      <c r="AF2150" s="2"/>
      <c r="AG2150" s="2"/>
      <c r="AH2150" s="2"/>
      <c r="AI2150" s="2"/>
      <c r="AJ2150" s="2"/>
      <c r="AK2150" s="2"/>
      <c r="AL2150" s="2"/>
      <c r="AM2150" s="2"/>
      <c r="AN2150" s="2"/>
      <c r="AO2150" s="2"/>
      <c r="AP2150" s="2"/>
      <c r="AQ2150" s="2"/>
      <c r="AR2150" s="2"/>
      <c r="AS2150" s="2"/>
      <c r="AT2150" s="2"/>
      <c r="AU2150" s="2"/>
      <c r="AV2150" s="2"/>
      <c r="AW2150" s="2"/>
      <c r="AX2150" s="2"/>
      <c r="AY2150" s="2"/>
      <c r="AZ2150" s="2"/>
      <c r="BA2150" s="2"/>
      <c r="BB2150" s="2"/>
    </row>
    <row r="2151" ht="204.75" customHeight="1">
      <c r="A2151" s="1">
        <v>402.0</v>
      </c>
      <c r="B2151" s="2" t="s">
        <v>6730</v>
      </c>
      <c r="C2151" s="2">
        <f>IFERROR(__xludf.DUMMYFUNCTION("split(B2151,""_"")"),1901.0)</f>
        <v>1901</v>
      </c>
      <c r="D2151" s="2" t="str">
        <f>IFERROR(__xludf.DUMMYFUNCTION("""COMPUTED_VALUE"""),"EX")</f>
        <v>EX</v>
      </c>
      <c r="E2151" s="2" t="str">
        <f>IFERROR(__xludf.DUMMYFUNCTION("""COMPUTED_VALUE"""),"木21")</f>
        <v>木21</v>
      </c>
      <c r="F2151" s="2" t="s">
        <v>6731</v>
      </c>
      <c r="G2151" s="2" t="s">
        <v>6756</v>
      </c>
      <c r="H2151" s="1">
        <v>9.0</v>
      </c>
      <c r="I2151" s="1" t="s">
        <v>2900</v>
      </c>
      <c r="J2151" s="1" t="s">
        <v>4</v>
      </c>
      <c r="K2151" s="2" t="s">
        <v>6757</v>
      </c>
      <c r="L2151" s="11" t="s">
        <v>6758</v>
      </c>
      <c r="M2151" s="2" t="str">
        <f>IFERROR(__xludf.DUMMYFUNCTION("split(split(K2151,""【"",false),""公式LINE"",false)"),"占いはやめて、イベント会社「シンシアイベンツ」制作Dチームで働き続けることを決意した的場中=アタル(杉咲花)が、過労で倒れてしまう。占いをすると、相手の不安や苦しみを共有してしまうらしい…。Dチームの面々はアタルを心配し、チーム内の占い禁止令を掲げることに。そんな中、アタル発案のイベントが開催される。様々なトラブルが起きる中、アタルの心にも制御不能の大きなうねりが生まれ始め…")</f>
        <v>占いはやめて、イベント会社「シンシアイベンツ」制作Dチームで働き続けることを決意した的場中=アタル(杉咲花)が、過労で倒れてしまう。占いをすると、相手の不安や苦しみを共有してしまうらしい…。Dチームの面々はアタルを心配し、チーム内の占い禁止令を掲げることに。そんな中、アタル発案のイベントが開催される。様々なトラブルが起きる中、アタルの心にも制御不能の大きなうねりが生まれ始め…</v>
      </c>
      <c r="N2151" s="2"/>
      <c r="O2151" s="2"/>
      <c r="P2151" s="2"/>
      <c r="Q2151" s="2"/>
      <c r="R2151" s="2"/>
      <c r="S2151" s="2"/>
      <c r="T2151" s="2"/>
      <c r="U2151" s="2"/>
      <c r="V2151" s="2"/>
      <c r="W2151" s="2"/>
      <c r="X2151" s="2"/>
      <c r="Y2151" s="2"/>
      <c r="Z2151" s="2"/>
      <c r="AA2151" s="2"/>
      <c r="AB2151" s="2"/>
      <c r="AC2151" s="2"/>
      <c r="AD2151" s="2"/>
      <c r="AE2151" s="2"/>
      <c r="AF2151" s="2"/>
      <c r="AG2151" s="2"/>
      <c r="AH2151" s="2"/>
      <c r="AI2151" s="2"/>
      <c r="AJ2151" s="2"/>
      <c r="AK2151" s="2"/>
      <c r="AL2151" s="2"/>
      <c r="AM2151" s="2"/>
      <c r="AN2151" s="2"/>
      <c r="AO2151" s="2"/>
      <c r="AP2151" s="2"/>
      <c r="AQ2151" s="2"/>
      <c r="AR2151" s="2"/>
      <c r="AS2151" s="2"/>
      <c r="AT2151" s="2"/>
      <c r="AU2151" s="2"/>
      <c r="AV2151" s="2"/>
      <c r="AW2151" s="2"/>
      <c r="AX2151" s="2"/>
      <c r="AY2151" s="2"/>
      <c r="AZ2151" s="2"/>
      <c r="BA2151" s="2"/>
      <c r="BB2151" s="2"/>
    </row>
    <row r="2152" ht="204.75" customHeight="1">
      <c r="A2152" s="1">
        <v>433.0</v>
      </c>
      <c r="B2152" s="2" t="s">
        <v>6759</v>
      </c>
      <c r="C2152" s="2">
        <f>IFERROR(__xludf.DUMMYFUNCTION("split(B2152,""_"")"),1901.0)</f>
        <v>1901</v>
      </c>
      <c r="D2152" s="2" t="str">
        <f>IFERROR(__xludf.DUMMYFUNCTION("""COMPUTED_VALUE"""),"EX")</f>
        <v>EX</v>
      </c>
      <c r="E2152" s="2" t="str">
        <f>IFERROR(__xludf.DUMMYFUNCTION("""COMPUTED_VALUE"""),"金23")</f>
        <v>金23</v>
      </c>
      <c r="F2152" s="2" t="s">
        <v>6760</v>
      </c>
      <c r="G2152" s="2" t="s">
        <v>6761</v>
      </c>
      <c r="H2152" s="1">
        <v>1.0</v>
      </c>
      <c r="I2152" s="1" t="s">
        <v>2868</v>
      </c>
      <c r="J2152" s="1" t="s">
        <v>1435</v>
      </c>
      <c r="K2152" s="2" t="s">
        <v>6762</v>
      </c>
      <c r="L2152" s="11" t="s">
        <v>6763</v>
      </c>
      <c r="M2152" s="2" t="str">
        <f>IFERROR(__xludf.DUMMYFUNCTION("split(split(K2152,""【"",false),""公式LINE"",false)"),"恋に破れ、働き口も無くし、崖っぷちのひかり(岡田結実)が就職したのは、超過酷ロケで有名なバラエティ番組のAD。無理難題を押し付けられ「もう辞めてやる!」とトイレに駆け込むと、突如“妖精""を名乗るおじさん(遠藤憲一)が現れ…?ひかりにしか見えないおじさんは会社でも家でも四六時中つきまとい、言いたいことも言えないひかりに代わり忖度0で毒を吐きまくり…?我慢ばかりの全ての日本人に送る痛快社会派コメディ!岡田結実、城田優、小手伸也、戸塚純貴・田辺誠一・青木さやか、遠藤憲一岸本鮎佳竹園元aiko『愛した日』(ポニ"&amp;"ーキャニオン)")</f>
        <v>恋に破れ、働き口も無くし、崖っぷちのひかり(岡田結実)が就職したのは、超過酷ロケで有名なバラエティ番組のAD。無理難題を押し付けられ「もう辞めてやる!」とトイレに駆け込むと、突如“妖精"を名乗るおじさん(遠藤憲一)が現れ…?ひかりにしか見えないおじさんは会社でも家でも四六時中つきまとい、言いたいことも言えないひかりに代わり忖度0で毒を吐きまくり…?我慢ばかりの全ての日本人に送る痛快社会派コメディ!岡田結実、城田優、小手伸也、戸塚純貴・田辺誠一・青木さやか、遠藤憲一岸本鮎佳竹園元aiko『愛した日』(ポニーキャニオン)</v>
      </c>
      <c r="N2152" s="2"/>
      <c r="O2152" s="2"/>
      <c r="P2152" s="2"/>
      <c r="Q2152" s="2"/>
      <c r="R2152" s="2"/>
      <c r="S2152" s="2"/>
      <c r="T2152" s="2"/>
      <c r="U2152" s="2"/>
      <c r="V2152" s="2"/>
      <c r="W2152" s="2"/>
      <c r="X2152" s="2"/>
      <c r="Y2152" s="2"/>
      <c r="Z2152" s="2"/>
      <c r="AA2152" s="2"/>
      <c r="AB2152" s="2"/>
      <c r="AC2152" s="2"/>
      <c r="AD2152" s="2"/>
      <c r="AE2152" s="2"/>
      <c r="AF2152" s="2"/>
      <c r="AG2152" s="2"/>
      <c r="AH2152" s="2"/>
      <c r="AI2152" s="2"/>
      <c r="AJ2152" s="2"/>
      <c r="AK2152" s="2"/>
      <c r="AL2152" s="2"/>
      <c r="AM2152" s="2"/>
      <c r="AN2152" s="2"/>
      <c r="AO2152" s="2"/>
      <c r="AP2152" s="2"/>
      <c r="AQ2152" s="2"/>
      <c r="AR2152" s="2"/>
      <c r="AS2152" s="2"/>
      <c r="AT2152" s="2"/>
      <c r="AU2152" s="2"/>
      <c r="AV2152" s="2"/>
      <c r="AW2152" s="2"/>
      <c r="AX2152" s="2"/>
      <c r="AY2152" s="2"/>
      <c r="AZ2152" s="2"/>
      <c r="BA2152" s="2"/>
      <c r="BB2152" s="2"/>
    </row>
    <row r="2153" ht="204.75" customHeight="1">
      <c r="A2153" s="1">
        <v>434.0</v>
      </c>
      <c r="B2153" s="2" t="s">
        <v>6759</v>
      </c>
      <c r="C2153" s="2">
        <f>IFERROR(__xludf.DUMMYFUNCTION("split(B2153,""_"")"),1901.0)</f>
        <v>1901</v>
      </c>
      <c r="D2153" s="2" t="str">
        <f>IFERROR(__xludf.DUMMYFUNCTION("""COMPUTED_VALUE"""),"EX")</f>
        <v>EX</v>
      </c>
      <c r="E2153" s="2" t="str">
        <f>IFERROR(__xludf.DUMMYFUNCTION("""COMPUTED_VALUE"""),"金23")</f>
        <v>金23</v>
      </c>
      <c r="F2153" s="2" t="s">
        <v>6760</v>
      </c>
      <c r="G2153" s="2" t="s">
        <v>6764</v>
      </c>
      <c r="H2153" s="1">
        <v>2.0</v>
      </c>
      <c r="I2153" s="1" t="s">
        <v>2872</v>
      </c>
      <c r="J2153" s="1" t="s">
        <v>1435</v>
      </c>
      <c r="K2153" s="2" t="s">
        <v>6765</v>
      </c>
      <c r="L2153" s="11" t="s">
        <v>6766</v>
      </c>
      <c r="M2153" s="2" t="str">
        <f>IFERROR(__xludf.DUMMYFUNCTION("split(split(K2153,""【"",false),""公式LINE"",false)"),"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「会社でガマン、やめちゃえば?」--疲れ切った全ての日本人に送る、痛快社会派コメディ!テレビ朝日が送る第2の“おっさん""シリーズ開幕!")</f>
        <v>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「会社でガマン、やめちゃえば?」--疲れ切った全ての日本人に送る、痛快社会派コメディ!テレビ朝日が送る第2の“おっさん"シリーズ開幕!</v>
      </c>
      <c r="N2153" s="2"/>
      <c r="O2153" s="2"/>
      <c r="P2153" s="2"/>
      <c r="Q2153" s="2"/>
      <c r="R2153" s="2"/>
      <c r="S2153" s="2"/>
      <c r="T2153" s="2"/>
      <c r="U2153" s="2"/>
      <c r="V2153" s="2"/>
      <c r="W2153" s="2"/>
      <c r="X2153" s="2"/>
      <c r="Y2153" s="2"/>
      <c r="Z2153" s="2"/>
      <c r="AA2153" s="2"/>
      <c r="AB2153" s="2"/>
      <c r="AC2153" s="2"/>
      <c r="AD2153" s="2"/>
      <c r="AE2153" s="2"/>
      <c r="AF2153" s="2"/>
      <c r="AG2153" s="2"/>
      <c r="AH2153" s="2"/>
      <c r="AI2153" s="2"/>
      <c r="AJ2153" s="2"/>
      <c r="AK2153" s="2"/>
      <c r="AL2153" s="2"/>
      <c r="AM2153" s="2"/>
      <c r="AN2153" s="2"/>
      <c r="AO2153" s="2"/>
      <c r="AP2153" s="2"/>
      <c r="AQ2153" s="2"/>
      <c r="AR2153" s="2"/>
      <c r="AS2153" s="2"/>
      <c r="AT2153" s="2"/>
      <c r="AU2153" s="2"/>
      <c r="AV2153" s="2"/>
      <c r="AW2153" s="2"/>
      <c r="AX2153" s="2"/>
      <c r="AY2153" s="2"/>
      <c r="AZ2153" s="2"/>
      <c r="BA2153" s="2"/>
      <c r="BB2153" s="2"/>
    </row>
    <row r="2154" ht="204.75" customHeight="1">
      <c r="A2154" s="1">
        <v>435.0</v>
      </c>
      <c r="B2154" s="2" t="s">
        <v>6759</v>
      </c>
      <c r="C2154" s="2">
        <f>IFERROR(__xludf.DUMMYFUNCTION("split(B2154,""_"")"),1901.0)</f>
        <v>1901</v>
      </c>
      <c r="D2154" s="2" t="str">
        <f>IFERROR(__xludf.DUMMYFUNCTION("""COMPUTED_VALUE"""),"EX")</f>
        <v>EX</v>
      </c>
      <c r="E2154" s="2" t="str">
        <f>IFERROR(__xludf.DUMMYFUNCTION("""COMPUTED_VALUE"""),"金23")</f>
        <v>金23</v>
      </c>
      <c r="F2154" s="2" t="s">
        <v>6760</v>
      </c>
      <c r="G2154" s="2" t="s">
        <v>6767</v>
      </c>
      <c r="H2154" s="1">
        <v>3.0</v>
      </c>
      <c r="I2154" s="1" t="s">
        <v>2876</v>
      </c>
      <c r="J2154" s="1" t="s">
        <v>1435</v>
      </c>
      <c r="K2154" s="2" t="s">
        <v>6768</v>
      </c>
      <c r="L2154" s="11" t="s">
        <v>6766</v>
      </c>
      <c r="M2154" s="2" t="str">
        <f>IFERROR(__xludf.DUMMYFUNCTION("split(split(K2154,""【"",false),""公式LINE"",false)"),"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「会社でガマン、やめちゃえば?」--疲れ切った全ての日本人に送る、痛快社会派コメディ!テレビ朝日が送る第2の“おっさん""シリーズ開幕!")</f>
        <v>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「会社でガマン、やめちゃえば?」--疲れ切った全ての日本人に送る、痛快社会派コメディ!テレビ朝日が送る第2の“おっさん"シリーズ開幕!</v>
      </c>
      <c r="N2154" s="2"/>
      <c r="O2154" s="2"/>
      <c r="P2154" s="2"/>
      <c r="Q2154" s="2"/>
      <c r="R2154" s="2"/>
      <c r="S2154" s="2"/>
      <c r="T2154" s="2"/>
      <c r="U2154" s="2"/>
      <c r="V2154" s="2"/>
      <c r="W2154" s="2"/>
      <c r="X2154" s="2"/>
      <c r="Y2154" s="2"/>
      <c r="Z2154" s="2"/>
      <c r="AA2154" s="2"/>
      <c r="AB2154" s="2"/>
      <c r="AC2154" s="2"/>
      <c r="AD2154" s="2"/>
      <c r="AE2154" s="2"/>
      <c r="AF2154" s="2"/>
      <c r="AG2154" s="2"/>
      <c r="AH2154" s="2"/>
      <c r="AI2154" s="2"/>
      <c r="AJ2154" s="2"/>
      <c r="AK2154" s="2"/>
      <c r="AL2154" s="2"/>
      <c r="AM2154" s="2"/>
      <c r="AN2154" s="2"/>
      <c r="AO2154" s="2"/>
      <c r="AP2154" s="2"/>
      <c r="AQ2154" s="2"/>
      <c r="AR2154" s="2"/>
      <c r="AS2154" s="2"/>
      <c r="AT2154" s="2"/>
      <c r="AU2154" s="2"/>
      <c r="AV2154" s="2"/>
      <c r="AW2154" s="2"/>
      <c r="AX2154" s="2"/>
      <c r="AY2154" s="2"/>
      <c r="AZ2154" s="2"/>
      <c r="BA2154" s="2"/>
      <c r="BB2154" s="2"/>
    </row>
    <row r="2155" ht="204.75" customHeight="1">
      <c r="A2155" s="1">
        <v>436.0</v>
      </c>
      <c r="B2155" s="2" t="s">
        <v>6759</v>
      </c>
      <c r="C2155" s="2">
        <f>IFERROR(__xludf.DUMMYFUNCTION("split(B2155,""_"")"),1901.0)</f>
        <v>1901</v>
      </c>
      <c r="D2155" s="2" t="str">
        <f>IFERROR(__xludf.DUMMYFUNCTION("""COMPUTED_VALUE"""),"EX")</f>
        <v>EX</v>
      </c>
      <c r="E2155" s="2" t="str">
        <f>IFERROR(__xludf.DUMMYFUNCTION("""COMPUTED_VALUE"""),"金23")</f>
        <v>金23</v>
      </c>
      <c r="F2155" s="2" t="s">
        <v>6760</v>
      </c>
      <c r="G2155" s="2" t="s">
        <v>6769</v>
      </c>
      <c r="H2155" s="1">
        <v>4.0</v>
      </c>
      <c r="I2155" s="1" t="s">
        <v>2880</v>
      </c>
      <c r="J2155" s="1" t="s">
        <v>1435</v>
      </c>
      <c r="K2155" s="2" t="s">
        <v>6770</v>
      </c>
      <c r="L2155" s="11" t="s">
        <v>6766</v>
      </c>
      <c r="M2155" s="2" t="str">
        <f>IFERROR(__xludf.DUMMYFUNCTION("split(split(K2155,""【"",false),""公式LINE"",false)"),"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「会社でガマン、やめちゃえば?」--疲れ切った全ての日本人に送る、痛快社会派コメディ!テレビ朝日が送る第2の“おっさん""シリーズ開幕!")</f>
        <v>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「会社でガマン、やめちゃえば?」--疲れ切った全ての日本人に送る、痛快社会派コメディ!テレビ朝日が送る第2の“おっさん"シリーズ開幕!</v>
      </c>
      <c r="N2155" s="2"/>
      <c r="O2155" s="2"/>
      <c r="P2155" s="2"/>
      <c r="Q2155" s="2"/>
      <c r="R2155" s="2"/>
      <c r="S2155" s="2"/>
      <c r="T2155" s="2"/>
      <c r="U2155" s="2"/>
      <c r="V2155" s="2"/>
      <c r="W2155" s="2"/>
      <c r="X2155" s="2"/>
      <c r="Y2155" s="2"/>
      <c r="Z2155" s="2"/>
      <c r="AA2155" s="2"/>
      <c r="AB2155" s="2"/>
      <c r="AC2155" s="2"/>
      <c r="AD2155" s="2"/>
      <c r="AE2155" s="2"/>
      <c r="AF2155" s="2"/>
      <c r="AG2155" s="2"/>
      <c r="AH2155" s="2"/>
      <c r="AI2155" s="2"/>
      <c r="AJ2155" s="2"/>
      <c r="AK2155" s="2"/>
      <c r="AL2155" s="2"/>
      <c r="AM2155" s="2"/>
      <c r="AN2155" s="2"/>
      <c r="AO2155" s="2"/>
      <c r="AP2155" s="2"/>
      <c r="AQ2155" s="2"/>
      <c r="AR2155" s="2"/>
      <c r="AS2155" s="2"/>
      <c r="AT2155" s="2"/>
      <c r="AU2155" s="2"/>
      <c r="AV2155" s="2"/>
      <c r="AW2155" s="2"/>
      <c r="AX2155" s="2"/>
      <c r="AY2155" s="2"/>
      <c r="AZ2155" s="2"/>
      <c r="BA2155" s="2"/>
      <c r="BB2155" s="2"/>
    </row>
    <row r="2156" ht="204.75" customHeight="1">
      <c r="A2156" s="1">
        <v>437.0</v>
      </c>
      <c r="B2156" s="2" t="s">
        <v>6759</v>
      </c>
      <c r="C2156" s="2">
        <f>IFERROR(__xludf.DUMMYFUNCTION("split(B2156,""_"")"),1901.0)</f>
        <v>1901</v>
      </c>
      <c r="D2156" s="2" t="str">
        <f>IFERROR(__xludf.DUMMYFUNCTION("""COMPUTED_VALUE"""),"EX")</f>
        <v>EX</v>
      </c>
      <c r="E2156" s="2" t="str">
        <f>IFERROR(__xludf.DUMMYFUNCTION("""COMPUTED_VALUE"""),"金23")</f>
        <v>金23</v>
      </c>
      <c r="F2156" s="2" t="s">
        <v>6760</v>
      </c>
      <c r="G2156" s="2" t="s">
        <v>6771</v>
      </c>
      <c r="H2156" s="1">
        <v>5.0</v>
      </c>
      <c r="I2156" s="1" t="s">
        <v>2884</v>
      </c>
      <c r="J2156" s="1" t="s">
        <v>1435</v>
      </c>
      <c r="K2156" s="2" t="s">
        <v>6772</v>
      </c>
      <c r="L2156" s="11" t="s">
        <v>6773</v>
      </c>
      <c r="M2156" s="2" t="str">
        <f>IFERROR(__xludf.DUMMYFUNCTION("split(split(K2156,""【"",false),""公式LINE"",false)"),"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f>
        <v>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v>
      </c>
      <c r="N2156" s="2"/>
      <c r="O2156" s="2"/>
      <c r="P2156" s="2"/>
      <c r="Q2156" s="2"/>
      <c r="R2156" s="2"/>
      <c r="S2156" s="2"/>
      <c r="T2156" s="2"/>
      <c r="U2156" s="2"/>
      <c r="V2156" s="2"/>
      <c r="W2156" s="2"/>
      <c r="X2156" s="2"/>
      <c r="Y2156" s="2"/>
      <c r="Z2156" s="2"/>
      <c r="AA2156" s="2"/>
      <c r="AB2156" s="2"/>
      <c r="AC2156" s="2"/>
      <c r="AD2156" s="2"/>
      <c r="AE2156" s="2"/>
      <c r="AF2156" s="2"/>
      <c r="AG2156" s="2"/>
      <c r="AH2156" s="2"/>
      <c r="AI2156" s="2"/>
      <c r="AJ2156" s="2"/>
      <c r="AK2156" s="2"/>
      <c r="AL2156" s="2"/>
      <c r="AM2156" s="2"/>
      <c r="AN2156" s="2"/>
      <c r="AO2156" s="2"/>
      <c r="AP2156" s="2"/>
      <c r="AQ2156" s="2"/>
      <c r="AR2156" s="2"/>
      <c r="AS2156" s="2"/>
      <c r="AT2156" s="2"/>
      <c r="AU2156" s="2"/>
      <c r="AV2156" s="2"/>
      <c r="AW2156" s="2"/>
      <c r="AX2156" s="2"/>
      <c r="AY2156" s="2"/>
      <c r="AZ2156" s="2"/>
      <c r="BA2156" s="2"/>
      <c r="BB2156" s="2"/>
    </row>
    <row r="2157" ht="204.75" customHeight="1">
      <c r="A2157" s="1">
        <v>438.0</v>
      </c>
      <c r="B2157" s="2" t="s">
        <v>6759</v>
      </c>
      <c r="C2157" s="2">
        <f>IFERROR(__xludf.DUMMYFUNCTION("split(B2157,""_"")"),1901.0)</f>
        <v>1901</v>
      </c>
      <c r="D2157" s="2" t="str">
        <f>IFERROR(__xludf.DUMMYFUNCTION("""COMPUTED_VALUE"""),"EX")</f>
        <v>EX</v>
      </c>
      <c r="E2157" s="2" t="str">
        <f>IFERROR(__xludf.DUMMYFUNCTION("""COMPUTED_VALUE"""),"金23")</f>
        <v>金23</v>
      </c>
      <c r="F2157" s="2" t="s">
        <v>6760</v>
      </c>
      <c r="G2157" s="2" t="s">
        <v>6774</v>
      </c>
      <c r="H2157" s="1">
        <v>6.0</v>
      </c>
      <c r="I2157" s="1" t="s">
        <v>2888</v>
      </c>
      <c r="J2157" s="1" t="s">
        <v>1435</v>
      </c>
      <c r="K2157" s="2" t="s">
        <v>6775</v>
      </c>
      <c r="L2157" s="11" t="s">
        <v>6773</v>
      </c>
      <c r="M2157" s="2" t="str">
        <f>IFERROR(__xludf.DUMMYFUNCTION("split(split(K2157,""【"",false),""公式LINE"",false)"),"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f>
        <v>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v>
      </c>
      <c r="N2157" s="2"/>
      <c r="O2157" s="2"/>
      <c r="P2157" s="2"/>
      <c r="Q2157" s="2"/>
      <c r="R2157" s="2"/>
      <c r="S2157" s="2"/>
      <c r="T2157" s="2"/>
      <c r="U2157" s="2"/>
      <c r="V2157" s="2"/>
      <c r="W2157" s="2"/>
      <c r="X2157" s="2"/>
      <c r="Y2157" s="2"/>
      <c r="Z2157" s="2"/>
      <c r="AA2157" s="2"/>
      <c r="AB2157" s="2"/>
      <c r="AC2157" s="2"/>
      <c r="AD2157" s="2"/>
      <c r="AE2157" s="2"/>
      <c r="AF2157" s="2"/>
      <c r="AG2157" s="2"/>
      <c r="AH2157" s="2"/>
      <c r="AI2157" s="2"/>
      <c r="AJ2157" s="2"/>
      <c r="AK2157" s="2"/>
      <c r="AL2157" s="2"/>
      <c r="AM2157" s="2"/>
      <c r="AN2157" s="2"/>
      <c r="AO2157" s="2"/>
      <c r="AP2157" s="2"/>
      <c r="AQ2157" s="2"/>
      <c r="AR2157" s="2"/>
      <c r="AS2157" s="2"/>
      <c r="AT2157" s="2"/>
      <c r="AU2157" s="2"/>
      <c r="AV2157" s="2"/>
      <c r="AW2157" s="2"/>
      <c r="AX2157" s="2"/>
      <c r="AY2157" s="2"/>
      <c r="AZ2157" s="2"/>
      <c r="BA2157" s="2"/>
      <c r="BB2157" s="2"/>
    </row>
    <row r="2158" ht="204.75" customHeight="1">
      <c r="A2158" s="1">
        <v>439.0</v>
      </c>
      <c r="B2158" s="2" t="s">
        <v>6759</v>
      </c>
      <c r="C2158" s="2">
        <f>IFERROR(__xludf.DUMMYFUNCTION("split(B2158,""_"")"),1901.0)</f>
        <v>1901</v>
      </c>
      <c r="D2158" s="2" t="str">
        <f>IFERROR(__xludf.DUMMYFUNCTION("""COMPUTED_VALUE"""),"EX")</f>
        <v>EX</v>
      </c>
      <c r="E2158" s="2" t="str">
        <f>IFERROR(__xludf.DUMMYFUNCTION("""COMPUTED_VALUE"""),"金23")</f>
        <v>金23</v>
      </c>
      <c r="F2158" s="2" t="s">
        <v>6760</v>
      </c>
      <c r="G2158" s="2" t="s">
        <v>6776</v>
      </c>
      <c r="H2158" s="1">
        <v>7.0</v>
      </c>
      <c r="I2158" s="1" t="s">
        <v>2892</v>
      </c>
      <c r="J2158" s="1" t="s">
        <v>1435</v>
      </c>
      <c r="K2158" s="2" t="s">
        <v>6777</v>
      </c>
      <c r="L2158" s="11" t="s">
        <v>6773</v>
      </c>
      <c r="M2158" s="2" t="str">
        <f>IFERROR(__xludf.DUMMYFUNCTION("split(split(K2158,""【"",false),""公式LINE"",false)"),"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f>
        <v>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v>
      </c>
      <c r="N2158" s="2"/>
      <c r="O2158" s="2"/>
      <c r="P2158" s="2"/>
      <c r="Q2158" s="2"/>
      <c r="R2158" s="2"/>
      <c r="S2158" s="2"/>
      <c r="T2158" s="2"/>
      <c r="U2158" s="2"/>
      <c r="V2158" s="2"/>
      <c r="W2158" s="2"/>
      <c r="X2158" s="2"/>
      <c r="Y2158" s="2"/>
      <c r="Z2158" s="2"/>
      <c r="AA2158" s="2"/>
      <c r="AB2158" s="2"/>
      <c r="AC2158" s="2"/>
      <c r="AD2158" s="2"/>
      <c r="AE2158" s="2"/>
      <c r="AF2158" s="2"/>
      <c r="AG2158" s="2"/>
      <c r="AH2158" s="2"/>
      <c r="AI2158" s="2"/>
      <c r="AJ2158" s="2"/>
      <c r="AK2158" s="2"/>
      <c r="AL2158" s="2"/>
      <c r="AM2158" s="2"/>
      <c r="AN2158" s="2"/>
      <c r="AO2158" s="2"/>
      <c r="AP2158" s="2"/>
      <c r="AQ2158" s="2"/>
      <c r="AR2158" s="2"/>
      <c r="AS2158" s="2"/>
      <c r="AT2158" s="2"/>
      <c r="AU2158" s="2"/>
      <c r="AV2158" s="2"/>
      <c r="AW2158" s="2"/>
      <c r="AX2158" s="2"/>
      <c r="AY2158" s="2"/>
      <c r="AZ2158" s="2"/>
      <c r="BA2158" s="2"/>
      <c r="BB2158" s="2"/>
    </row>
    <row r="2159" ht="204.75" customHeight="1">
      <c r="A2159" s="1">
        <v>440.0</v>
      </c>
      <c r="B2159" s="2" t="s">
        <v>6759</v>
      </c>
      <c r="C2159" s="2">
        <f>IFERROR(__xludf.DUMMYFUNCTION("split(B2159,""_"")"),1901.0)</f>
        <v>1901</v>
      </c>
      <c r="D2159" s="2" t="str">
        <f>IFERROR(__xludf.DUMMYFUNCTION("""COMPUTED_VALUE"""),"EX")</f>
        <v>EX</v>
      </c>
      <c r="E2159" s="2" t="str">
        <f>IFERROR(__xludf.DUMMYFUNCTION("""COMPUTED_VALUE"""),"金23")</f>
        <v>金23</v>
      </c>
      <c r="F2159" s="2" t="s">
        <v>6760</v>
      </c>
      <c r="G2159" s="2" t="s">
        <v>6778</v>
      </c>
      <c r="H2159" s="1">
        <v>8.0</v>
      </c>
      <c r="I2159" s="1" t="s">
        <v>2896</v>
      </c>
      <c r="J2159" s="1" t="s">
        <v>1435</v>
      </c>
      <c r="K2159" s="2" t="s">
        <v>6779</v>
      </c>
      <c r="L2159" s="11" t="s">
        <v>6773</v>
      </c>
      <c r="M2159" s="2" t="str">
        <f>IFERROR(__xludf.DUMMYFUNCTION("split(split(K2159,""【"",false),""公式LINE"",false)"),"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f>
        <v>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v>
      </c>
      <c r="N2159" s="2"/>
      <c r="O2159" s="2"/>
      <c r="P2159" s="2"/>
      <c r="Q2159" s="2"/>
      <c r="R2159" s="2"/>
      <c r="S2159" s="2"/>
      <c r="T2159" s="2"/>
      <c r="U2159" s="2"/>
      <c r="V2159" s="2"/>
      <c r="W2159" s="2"/>
      <c r="X2159" s="2"/>
      <c r="Y2159" s="2"/>
      <c r="Z2159" s="2"/>
      <c r="AA2159" s="2"/>
      <c r="AB2159" s="2"/>
      <c r="AC2159" s="2"/>
      <c r="AD2159" s="2"/>
      <c r="AE2159" s="2"/>
      <c r="AF2159" s="2"/>
      <c r="AG2159" s="2"/>
      <c r="AH2159" s="2"/>
      <c r="AI2159" s="2"/>
      <c r="AJ2159" s="2"/>
      <c r="AK2159" s="2"/>
      <c r="AL2159" s="2"/>
      <c r="AM2159" s="2"/>
      <c r="AN2159" s="2"/>
      <c r="AO2159" s="2"/>
      <c r="AP2159" s="2"/>
      <c r="AQ2159" s="2"/>
      <c r="AR2159" s="2"/>
      <c r="AS2159" s="2"/>
      <c r="AT2159" s="2"/>
      <c r="AU2159" s="2"/>
      <c r="AV2159" s="2"/>
      <c r="AW2159" s="2"/>
      <c r="AX2159" s="2"/>
      <c r="AY2159" s="2"/>
      <c r="AZ2159" s="2"/>
      <c r="BA2159" s="2"/>
      <c r="BB2159" s="2"/>
    </row>
    <row r="2160" ht="204.75" customHeight="1">
      <c r="A2160" s="1">
        <v>451.0</v>
      </c>
      <c r="B2160" s="2" t="s">
        <v>6780</v>
      </c>
      <c r="C2160" s="2">
        <f>IFERROR(__xludf.DUMMYFUNCTION("split(B2160,""_"")"),1901.0)</f>
        <v>1901</v>
      </c>
      <c r="D2160" s="2" t="str">
        <f>IFERROR(__xludf.DUMMYFUNCTION("""COMPUTED_VALUE"""),"EX")</f>
        <v>EX</v>
      </c>
      <c r="E2160" s="2" t="str">
        <f>IFERROR(__xludf.DUMMYFUNCTION("""COMPUTED_VALUE"""),"土23")</f>
        <v>土23</v>
      </c>
      <c r="F2160" s="2" t="s">
        <v>6781</v>
      </c>
      <c r="G2160" s="2" t="s">
        <v>6782</v>
      </c>
      <c r="H2160" s="1">
        <v>1.0</v>
      </c>
      <c r="I2160" s="1" t="s">
        <v>2868</v>
      </c>
      <c r="J2160" s="1" t="s">
        <v>1435</v>
      </c>
      <c r="K2160" s="2" t="s">
        <v>6783</v>
      </c>
      <c r="L2160" s="11" t="s">
        <v>6784</v>
      </c>
      <c r="M2160" s="2" t="str">
        <f>IFERROR(__xludf.DUMMYFUNCTION("split(split(K2160,""【"",false),""公式LINE"",false)"),"垣野内逞(野村周平)は高校に入学するが、新入生代表の挨拶で壇に上がった女子生徒の顔を見て驚く。その女子生徒は、幼い頃に星空の下で結婚の約束をした繭(桜井日奈子)だったのだ!彼女は…誰よりも会うのを避けていた大切な初恋の相手だった。  隠れて猛勉強してまで自分を追いかけてきた繭に対し、逞は戸惑いを隠せない。二十歳までしか生きられない病を抱えている逞は、繭を泣かせないために関係を終わらせようとするが…")</f>
        <v>垣野内逞(野村周平)は高校に入学するが、新入生代表の挨拶で壇に上がった女子生徒の顔を見て驚く。その女子生徒は、幼い頃に星空の下で結婚の約束をした繭(桜井日奈子)だったのだ!彼女は…誰よりも会うのを避けていた大切な初恋の相手だった。  隠れて猛勉強してまで自分を追いかけてきた繭に対し、逞は戸惑いを隠せない。二十歳までしか生きられない病を抱えている逞は、繭を泣かせないために関係を終わらせようとするが…</v>
      </c>
      <c r="N2160" s="2"/>
      <c r="O2160" s="2"/>
      <c r="P2160" s="2"/>
      <c r="Q2160" s="2"/>
      <c r="R2160" s="2"/>
      <c r="S2160" s="2"/>
      <c r="T2160" s="2"/>
      <c r="U2160" s="2"/>
      <c r="V2160" s="2"/>
      <c r="W2160" s="2"/>
      <c r="X2160" s="2"/>
      <c r="Y2160" s="2"/>
      <c r="Z2160" s="2"/>
      <c r="AA2160" s="2"/>
      <c r="AB2160" s="2"/>
      <c r="AC2160" s="2"/>
      <c r="AD2160" s="2"/>
      <c r="AE2160" s="2"/>
      <c r="AF2160" s="2"/>
      <c r="AG2160" s="2"/>
      <c r="AH2160" s="2"/>
      <c r="AI2160" s="2"/>
      <c r="AJ2160" s="2"/>
      <c r="AK2160" s="2"/>
      <c r="AL2160" s="2"/>
      <c r="AM2160" s="2"/>
      <c r="AN2160" s="2"/>
      <c r="AO2160" s="2"/>
      <c r="AP2160" s="2"/>
      <c r="AQ2160" s="2"/>
      <c r="AR2160" s="2"/>
      <c r="AS2160" s="2"/>
      <c r="AT2160" s="2"/>
      <c r="AU2160" s="2"/>
      <c r="AV2160" s="2"/>
      <c r="AW2160" s="2"/>
      <c r="AX2160" s="2"/>
      <c r="AY2160" s="2"/>
      <c r="AZ2160" s="2"/>
      <c r="BA2160" s="2"/>
      <c r="BB2160" s="2"/>
    </row>
    <row r="2161" ht="204.75" customHeight="1">
      <c r="A2161" s="1">
        <v>452.0</v>
      </c>
      <c r="B2161" s="2" t="s">
        <v>6780</v>
      </c>
      <c r="C2161" s="2">
        <f>IFERROR(__xludf.DUMMYFUNCTION("split(B2161,""_"")"),1901.0)</f>
        <v>1901</v>
      </c>
      <c r="D2161" s="2" t="str">
        <f>IFERROR(__xludf.DUMMYFUNCTION("""COMPUTED_VALUE"""),"EX")</f>
        <v>EX</v>
      </c>
      <c r="E2161" s="2" t="str">
        <f>IFERROR(__xludf.DUMMYFUNCTION("""COMPUTED_VALUE"""),"土23")</f>
        <v>土23</v>
      </c>
      <c r="F2161" s="2" t="s">
        <v>6781</v>
      </c>
      <c r="G2161" s="2" t="s">
        <v>6785</v>
      </c>
      <c r="H2161" s="1">
        <v>2.0</v>
      </c>
      <c r="I2161" s="1" t="s">
        <v>2872</v>
      </c>
      <c r="J2161" s="1" t="s">
        <v>1435</v>
      </c>
      <c r="K2161" s="2" t="s">
        <v>6786</v>
      </c>
      <c r="L2161" s="11" t="s">
        <v>6787</v>
      </c>
      <c r="M2161" s="2" t="str">
        <f>IFERROR(__xludf.DUMMYFUNCTION("split(split(K2161,""【"",false),""公式LINE"",false)"),"友達になるという道を選んだ逞(野村周平)と繭(桜井日奈子)は、律(佐藤寛太)らと楽しい日々を過ごしつつも、友達という関係に複雑な思いを感じ始めていた。そんな二人の微妙な関係を崩そうと生徒会長・昂(宮沢氷魚)は、繭を“姫""と呼び、自分の方へ振り向かせようと画策する。  そんな中、球技大会で繭が足を痛めてしまう。繭を連れて病院へ向かった逞は、自分と同じ病気で入院中の照(馬場ふみか)と4年ぶりに再会する。")</f>
        <v>友達になるという道を選んだ逞(野村周平)と繭(桜井日奈子)は、律(佐藤寛太)らと楽しい日々を過ごしつつも、友達という関係に複雑な思いを感じ始めていた。そんな二人の微妙な関係を崩そうと生徒会長・昂(宮沢氷魚)は、繭を“姫"と呼び、自分の方へ振り向かせようと画策する。  そんな中、球技大会で繭が足を痛めてしまう。繭を連れて病院へ向かった逞は、自分と同じ病気で入院中の照(馬場ふみか)と4年ぶりに再会する。</v>
      </c>
      <c r="N2161" s="2"/>
      <c r="O2161" s="2"/>
      <c r="P2161" s="2"/>
      <c r="Q2161" s="2"/>
      <c r="R2161" s="2"/>
      <c r="S2161" s="2"/>
      <c r="T2161" s="2"/>
      <c r="U2161" s="2"/>
      <c r="V2161" s="2"/>
      <c r="W2161" s="2"/>
      <c r="X2161" s="2"/>
      <c r="Y2161" s="2"/>
      <c r="Z2161" s="2"/>
      <c r="AA2161" s="2"/>
      <c r="AB2161" s="2"/>
      <c r="AC2161" s="2"/>
      <c r="AD2161" s="2"/>
      <c r="AE2161" s="2"/>
      <c r="AF2161" s="2"/>
      <c r="AG2161" s="2"/>
      <c r="AH2161" s="2"/>
      <c r="AI2161" s="2"/>
      <c r="AJ2161" s="2"/>
      <c r="AK2161" s="2"/>
      <c r="AL2161" s="2"/>
      <c r="AM2161" s="2"/>
      <c r="AN2161" s="2"/>
      <c r="AO2161" s="2"/>
      <c r="AP2161" s="2"/>
      <c r="AQ2161" s="2"/>
      <c r="AR2161" s="2"/>
      <c r="AS2161" s="2"/>
      <c r="AT2161" s="2"/>
      <c r="AU2161" s="2"/>
      <c r="AV2161" s="2"/>
      <c r="AW2161" s="2"/>
      <c r="AX2161" s="2"/>
      <c r="AY2161" s="2"/>
      <c r="AZ2161" s="2"/>
      <c r="BA2161" s="2"/>
      <c r="BB2161" s="2"/>
    </row>
    <row r="2162" ht="204.75" customHeight="1">
      <c r="A2162" s="1">
        <v>453.0</v>
      </c>
      <c r="B2162" s="2" t="s">
        <v>6780</v>
      </c>
      <c r="C2162" s="2">
        <f>IFERROR(__xludf.DUMMYFUNCTION("split(B2162,""_"")"),1901.0)</f>
        <v>1901</v>
      </c>
      <c r="D2162" s="2" t="str">
        <f>IFERROR(__xludf.DUMMYFUNCTION("""COMPUTED_VALUE"""),"EX")</f>
        <v>EX</v>
      </c>
      <c r="E2162" s="2" t="str">
        <f>IFERROR(__xludf.DUMMYFUNCTION("""COMPUTED_VALUE"""),"土23")</f>
        <v>土23</v>
      </c>
      <c r="F2162" s="2" t="s">
        <v>6781</v>
      </c>
      <c r="G2162" s="2" t="s">
        <v>6788</v>
      </c>
      <c r="H2162" s="1">
        <v>3.0</v>
      </c>
      <c r="I2162" s="1" t="s">
        <v>2876</v>
      </c>
      <c r="J2162" s="1" t="s">
        <v>1435</v>
      </c>
      <c r="K2162" s="2" t="s">
        <v>6789</v>
      </c>
      <c r="L2162" s="11" t="s">
        <v>6790</v>
      </c>
      <c r="M2162" s="2" t="str">
        <f>IFERROR(__xludf.DUMMYFUNCTION("split(split(K2162,""【"",false),""公式LINE"",false)"),"病院で再会した逞(野村周平)と照(馬場ふみか)。繭(桜井日奈子)は、除け者にされたような気持ちになる。さらに、照が逞にキスをねだる場面を目撃し、思わず逃げ出してしまう。「逞と照が付き合うことになったらしい」という話が学校で一気に広まる中、昂(宮沢氷魚)からデートに誘われた繭は、ヤケクソで了解する。そんな中、逞が友達を連れてお見舞いに来てくれたことに大喜びしていた照が、突然胸を押さえて苦しみ始め…")</f>
        <v>病院で再会した逞(野村周平)と照(馬場ふみか)。繭(桜井日奈子)は、除け者にされたような気持ちになる。さらに、照が逞にキスをねだる場面を目撃し、思わず逃げ出してしまう。「逞と照が付き合うことになったらしい」という話が学校で一気に広まる中、昂(宮沢氷魚)からデートに誘われた繭は、ヤケクソで了解する。そんな中、逞が友達を連れてお見舞いに来てくれたことに大喜びしていた照が、突然胸を押さえて苦しみ始め…</v>
      </c>
      <c r="N2162" s="2"/>
      <c r="O2162" s="2"/>
      <c r="P2162" s="2"/>
      <c r="Q2162" s="2"/>
      <c r="R2162" s="2"/>
      <c r="S2162" s="2"/>
      <c r="T2162" s="2"/>
      <c r="U2162" s="2"/>
      <c r="V2162" s="2"/>
      <c r="W2162" s="2"/>
      <c r="X2162" s="2"/>
      <c r="Y2162" s="2"/>
      <c r="Z2162" s="2"/>
      <c r="AA2162" s="2"/>
      <c r="AB2162" s="2"/>
      <c r="AC2162" s="2"/>
      <c r="AD2162" s="2"/>
      <c r="AE2162" s="2"/>
      <c r="AF2162" s="2"/>
      <c r="AG2162" s="2"/>
      <c r="AH2162" s="2"/>
      <c r="AI2162" s="2"/>
      <c r="AJ2162" s="2"/>
      <c r="AK2162" s="2"/>
      <c r="AL2162" s="2"/>
      <c r="AM2162" s="2"/>
      <c r="AN2162" s="2"/>
      <c r="AO2162" s="2"/>
      <c r="AP2162" s="2"/>
      <c r="AQ2162" s="2"/>
      <c r="AR2162" s="2"/>
      <c r="AS2162" s="2"/>
      <c r="AT2162" s="2"/>
      <c r="AU2162" s="2"/>
      <c r="AV2162" s="2"/>
      <c r="AW2162" s="2"/>
      <c r="AX2162" s="2"/>
      <c r="AY2162" s="2"/>
      <c r="AZ2162" s="2"/>
      <c r="BA2162" s="2"/>
      <c r="BB2162" s="2"/>
    </row>
    <row r="2163" ht="204.75" customHeight="1">
      <c r="A2163" s="1">
        <v>454.0</v>
      </c>
      <c r="B2163" s="2" t="s">
        <v>6780</v>
      </c>
      <c r="C2163" s="2">
        <f>IFERROR(__xludf.DUMMYFUNCTION("split(B2163,""_"")"),1901.0)</f>
        <v>1901</v>
      </c>
      <c r="D2163" s="2" t="str">
        <f>IFERROR(__xludf.DUMMYFUNCTION("""COMPUTED_VALUE"""),"EX")</f>
        <v>EX</v>
      </c>
      <c r="E2163" s="2" t="str">
        <f>IFERROR(__xludf.DUMMYFUNCTION("""COMPUTED_VALUE"""),"土23")</f>
        <v>土23</v>
      </c>
      <c r="F2163" s="2" t="s">
        <v>6781</v>
      </c>
      <c r="G2163" s="2" t="s">
        <v>6791</v>
      </c>
      <c r="H2163" s="1">
        <v>4.0</v>
      </c>
      <c r="I2163" s="1" t="s">
        <v>2880</v>
      </c>
      <c r="J2163" s="1" t="s">
        <v>1435</v>
      </c>
      <c r="K2163" s="2" t="s">
        <v>6792</v>
      </c>
      <c r="L2163" s="11" t="s">
        <v>6793</v>
      </c>
      <c r="M2163" s="2" t="str">
        <f>IFERROR(__xludf.DUMMYFUNCTION("split(split(K2163,""【"",false),""公式LINE"",false)"),"自分の気持ちにケリをつけると決めた繭(桜井日奈子)は「来なければ諦める」と言い、逞(野村周平)を呼び出す。逞も律(佐藤寛太)に背中を押され、自分の気持ちに正直になると決めると、自分を思ってくれる照(馬場ふみか)との関係にケジメをつけるため病院へ向かう。しかし、すがってくる照に背を向けた時、苦しそうな呼吸音が聞こえて来る。振り向いた逞の目に飛び込んできたのは、胸を押さえて苦しむ照の姿だった…。")</f>
        <v>自分の気持ちにケリをつけると決めた繭(桜井日奈子)は「来なければ諦める」と言い、逞(野村周平)を呼び出す。逞も律(佐藤寛太)に背中を押され、自分の気持ちに正直になると決めると、自分を思ってくれる照(馬場ふみか)との関係にケジメをつけるため病院へ向かう。しかし、すがってくる照に背を向けた時、苦しそうな呼吸音が聞こえて来る。振り向いた逞の目に飛び込んできたのは、胸を押さえて苦しむ照の姿だった…。</v>
      </c>
      <c r="N2163" s="2"/>
      <c r="O2163" s="2"/>
      <c r="P2163" s="2"/>
      <c r="Q2163" s="2"/>
      <c r="R2163" s="2"/>
      <c r="S2163" s="2"/>
      <c r="T2163" s="2"/>
      <c r="U2163" s="2"/>
      <c r="V2163" s="2"/>
      <c r="W2163" s="2"/>
      <c r="X2163" s="2"/>
      <c r="Y2163" s="2"/>
      <c r="Z2163" s="2"/>
      <c r="AA2163" s="2"/>
      <c r="AB2163" s="2"/>
      <c r="AC2163" s="2"/>
      <c r="AD2163" s="2"/>
      <c r="AE2163" s="2"/>
      <c r="AF2163" s="2"/>
      <c r="AG2163" s="2"/>
      <c r="AH2163" s="2"/>
      <c r="AI2163" s="2"/>
      <c r="AJ2163" s="2"/>
      <c r="AK2163" s="2"/>
      <c r="AL2163" s="2"/>
      <c r="AM2163" s="2"/>
      <c r="AN2163" s="2"/>
      <c r="AO2163" s="2"/>
      <c r="AP2163" s="2"/>
      <c r="AQ2163" s="2"/>
      <c r="AR2163" s="2"/>
      <c r="AS2163" s="2"/>
      <c r="AT2163" s="2"/>
      <c r="AU2163" s="2"/>
      <c r="AV2163" s="2"/>
      <c r="AW2163" s="2"/>
      <c r="AX2163" s="2"/>
      <c r="AY2163" s="2"/>
      <c r="AZ2163" s="2"/>
      <c r="BA2163" s="2"/>
      <c r="BB2163" s="2"/>
    </row>
    <row r="2164" ht="204.75" customHeight="1">
      <c r="A2164" s="1">
        <v>455.0</v>
      </c>
      <c r="B2164" s="2" t="s">
        <v>6780</v>
      </c>
      <c r="C2164" s="2">
        <f>IFERROR(__xludf.DUMMYFUNCTION("split(B2164,""_"")"),1901.0)</f>
        <v>1901</v>
      </c>
      <c r="D2164" s="2" t="str">
        <f>IFERROR(__xludf.DUMMYFUNCTION("""COMPUTED_VALUE"""),"EX")</f>
        <v>EX</v>
      </c>
      <c r="E2164" s="2" t="str">
        <f>IFERROR(__xludf.DUMMYFUNCTION("""COMPUTED_VALUE"""),"土23")</f>
        <v>土23</v>
      </c>
      <c r="F2164" s="2" t="s">
        <v>6781</v>
      </c>
      <c r="G2164" s="2" t="s">
        <v>6794</v>
      </c>
      <c r="H2164" s="1">
        <v>5.0</v>
      </c>
      <c r="I2164" s="1" t="s">
        <v>2884</v>
      </c>
      <c r="J2164" s="1" t="s">
        <v>1435</v>
      </c>
      <c r="K2164" s="2" t="s">
        <v>6795</v>
      </c>
      <c r="L2164" s="11" t="s">
        <v>6796</v>
      </c>
      <c r="M2164" s="2" t="str">
        <f>IFERROR(__xludf.DUMMYFUNCTION("split(split(K2164,""【"",false),""公式LINE"",false)"),"主治医の種田(生瀬勝久)から心臓移植の話を聞き、希望が湧いてきた逞(野村周平)に律(佐藤寛太)から電話がかかってくる。ドライブに出かけた昂(宮沢氷魚)と繭(桜井日奈子)が事故に遭ったという。慌てて病院に向かった逞は絶望の淵に…だが、振り向いた瞬間に繭が現れ、思わず抱きしめ本心を打ち明ける。そして文化祭の日。繭の出し物の喫茶店に昂がやって来る。繭は昂に自分の気持ちを伝えようとするが、全てお見通しで…")</f>
        <v>主治医の種田(生瀬勝久)から心臓移植の話を聞き、希望が湧いてきた逞(野村周平)に律(佐藤寛太)から電話がかかってくる。ドライブに出かけた昂(宮沢氷魚)と繭(桜井日奈子)が事故に遭ったという。慌てて病院に向かった逞は絶望の淵に…だが、振り向いた瞬間に繭が現れ、思わず抱きしめ本心を打ち明ける。そして文化祭の日。繭の出し物の喫茶店に昂がやって来る。繭は昂に自分の気持ちを伝えようとするが、全てお見通しで…</v>
      </c>
      <c r="N2164" s="2"/>
      <c r="O2164" s="2"/>
      <c r="P2164" s="2"/>
      <c r="Q2164" s="2"/>
      <c r="R2164" s="2"/>
      <c r="S2164" s="2"/>
      <c r="T2164" s="2"/>
      <c r="U2164" s="2"/>
      <c r="V2164" s="2"/>
      <c r="W2164" s="2"/>
      <c r="X2164" s="2"/>
      <c r="Y2164" s="2"/>
      <c r="Z2164" s="2"/>
      <c r="AA2164" s="2"/>
      <c r="AB2164" s="2"/>
      <c r="AC2164" s="2"/>
      <c r="AD2164" s="2"/>
      <c r="AE2164" s="2"/>
      <c r="AF2164" s="2"/>
      <c r="AG2164" s="2"/>
      <c r="AH2164" s="2"/>
      <c r="AI2164" s="2"/>
      <c r="AJ2164" s="2"/>
      <c r="AK2164" s="2"/>
      <c r="AL2164" s="2"/>
      <c r="AM2164" s="2"/>
      <c r="AN2164" s="2"/>
      <c r="AO2164" s="2"/>
      <c r="AP2164" s="2"/>
      <c r="AQ2164" s="2"/>
      <c r="AR2164" s="2"/>
      <c r="AS2164" s="2"/>
      <c r="AT2164" s="2"/>
      <c r="AU2164" s="2"/>
      <c r="AV2164" s="2"/>
      <c r="AW2164" s="2"/>
      <c r="AX2164" s="2"/>
      <c r="AY2164" s="2"/>
      <c r="AZ2164" s="2"/>
      <c r="BA2164" s="2"/>
      <c r="BB2164" s="2"/>
    </row>
    <row r="2165" ht="204.75" customHeight="1">
      <c r="A2165" s="1">
        <v>456.0</v>
      </c>
      <c r="B2165" s="2" t="s">
        <v>6780</v>
      </c>
      <c r="C2165" s="2">
        <f>IFERROR(__xludf.DUMMYFUNCTION("split(B2165,""_"")"),1901.0)</f>
        <v>1901</v>
      </c>
      <c r="D2165" s="2" t="str">
        <f>IFERROR(__xludf.DUMMYFUNCTION("""COMPUTED_VALUE"""),"EX")</f>
        <v>EX</v>
      </c>
      <c r="E2165" s="2" t="str">
        <f>IFERROR(__xludf.DUMMYFUNCTION("""COMPUTED_VALUE"""),"土23")</f>
        <v>土23</v>
      </c>
      <c r="F2165" s="2" t="s">
        <v>6781</v>
      </c>
      <c r="G2165" s="2" t="s">
        <v>6797</v>
      </c>
      <c r="H2165" s="1">
        <v>6.0</v>
      </c>
      <c r="I2165" s="1" t="s">
        <v>2888</v>
      </c>
      <c r="J2165" s="1" t="s">
        <v>1435</v>
      </c>
      <c r="K2165" s="2" t="s">
        <v>6798</v>
      </c>
      <c r="L2165" s="11" t="s">
        <v>6799</v>
      </c>
      <c r="M2165" s="2" t="str">
        <f>IFERROR(__xludf.DUMMYFUNCTION("split(split(K2165,""【"",false),""公式LINE"",false)"),"逞(野村周平)が体調に異変を感じている中、繭(桜井日奈子)から「助けて」と連絡がくる。優実(松井愛莉)と一緒にいた繭は、男に後をつけられて困っていた。息苦しいのをこらえ出かけようとする逞だったが、繭の元には昂(宮沢氷魚)が駆けつける。数日後、病院を訪れた逞に種田(生瀬勝久)は「予想外に病状が進行しているかもしれないので入院した方がいい」と告げる。そして逞と繭は、入院前、最後のデートに出かける。")</f>
        <v>逞(野村周平)が体調に異変を感じている中、繭(桜井日奈子)から「助けて」と連絡がくる。優実(松井愛莉)と一緒にいた繭は、男に後をつけられて困っていた。息苦しいのをこらえ出かけようとする逞だったが、繭の元には昂(宮沢氷魚)が駆けつける。数日後、病院を訪れた逞に種田(生瀬勝久)は「予想外に病状が進行しているかもしれないので入院した方がいい」と告げる。そして逞と繭は、入院前、最後のデートに出かける。</v>
      </c>
      <c r="N2165" s="2"/>
      <c r="O2165" s="2"/>
      <c r="P2165" s="2"/>
      <c r="Q2165" s="2"/>
      <c r="R2165" s="2"/>
      <c r="S2165" s="2"/>
      <c r="T2165" s="2"/>
      <c r="U2165" s="2"/>
      <c r="V2165" s="2"/>
      <c r="W2165" s="2"/>
      <c r="X2165" s="2"/>
      <c r="Y2165" s="2"/>
      <c r="Z2165" s="2"/>
      <c r="AA2165" s="2"/>
      <c r="AB2165" s="2"/>
      <c r="AC2165" s="2"/>
      <c r="AD2165" s="2"/>
      <c r="AE2165" s="2"/>
      <c r="AF2165" s="2"/>
      <c r="AG2165" s="2"/>
      <c r="AH2165" s="2"/>
      <c r="AI2165" s="2"/>
      <c r="AJ2165" s="2"/>
      <c r="AK2165" s="2"/>
      <c r="AL2165" s="2"/>
      <c r="AM2165" s="2"/>
      <c r="AN2165" s="2"/>
      <c r="AO2165" s="2"/>
      <c r="AP2165" s="2"/>
      <c r="AQ2165" s="2"/>
      <c r="AR2165" s="2"/>
      <c r="AS2165" s="2"/>
      <c r="AT2165" s="2"/>
      <c r="AU2165" s="2"/>
      <c r="AV2165" s="2"/>
      <c r="AW2165" s="2"/>
      <c r="AX2165" s="2"/>
      <c r="AY2165" s="2"/>
      <c r="AZ2165" s="2"/>
      <c r="BA2165" s="2"/>
      <c r="BB2165" s="2"/>
    </row>
    <row r="2166" ht="204.75" customHeight="1">
      <c r="A2166" s="1">
        <v>457.0</v>
      </c>
      <c r="B2166" s="2" t="s">
        <v>6780</v>
      </c>
      <c r="C2166" s="2">
        <f>IFERROR(__xludf.DUMMYFUNCTION("split(B2166,""_"")"),1901.0)</f>
        <v>1901</v>
      </c>
      <c r="D2166" s="2" t="str">
        <f>IFERROR(__xludf.DUMMYFUNCTION("""COMPUTED_VALUE"""),"EX")</f>
        <v>EX</v>
      </c>
      <c r="E2166" s="2" t="str">
        <f>IFERROR(__xludf.DUMMYFUNCTION("""COMPUTED_VALUE"""),"土23")</f>
        <v>土23</v>
      </c>
      <c r="F2166" s="2" t="s">
        <v>6781</v>
      </c>
      <c r="G2166" s="2" t="s">
        <v>6800</v>
      </c>
      <c r="H2166" s="1">
        <v>7.0</v>
      </c>
      <c r="I2166" s="1" t="s">
        <v>2892</v>
      </c>
      <c r="J2166" s="1" t="s">
        <v>1435</v>
      </c>
      <c r="K2166" s="2" t="s">
        <v>6801</v>
      </c>
      <c r="L2166" s="11" t="s">
        <v>6802</v>
      </c>
      <c r="M2166" s="2" t="str">
        <f>IFERROR(__xludf.DUMMYFUNCTION("split(split(K2166,""【"",false),""公式LINE"",false)"),"突然、心臓移植が受けられることになった逞(野村周平)。繭(桜井日奈子)は安堵と喜びを覚えるが、心臓の提供者は脳死状態に陥った昂(宮沢氷魚)だった。逞は悩んだ末、「移植手術を拒否する」と書いた手紙を残し、病院から姿を消してしまう。絶望する逞の母・えみ(石田ひかり)。繭は「逞の居場所が分かるのは私だけ」と夜の街へ飛び出す。すると、逞は思い出の公園に。2人は一夜を共にし、未来を信じてある決断を下すが…!?")</f>
        <v>突然、心臓移植が受けられることになった逞(野村周平)。繭(桜井日奈子)は安堵と喜びを覚えるが、心臓の提供者は脳死状態に陥った昂(宮沢氷魚)だった。逞は悩んだ末、「移植手術を拒否する」と書いた手紙を残し、病院から姿を消してしまう。絶望する逞の母・えみ(石田ひかり)。繭は「逞の居場所が分かるのは私だけ」と夜の街へ飛び出す。すると、逞は思い出の公園に。2人は一夜を共にし、未来を信じてある決断を下すが…!?</v>
      </c>
      <c r="N2166" s="2"/>
      <c r="O2166" s="2"/>
      <c r="P2166" s="2"/>
      <c r="Q2166" s="2"/>
      <c r="R2166" s="2"/>
      <c r="S2166" s="2"/>
      <c r="T2166" s="2"/>
      <c r="U2166" s="2"/>
      <c r="V2166" s="2"/>
      <c r="W2166" s="2"/>
      <c r="X2166" s="2"/>
      <c r="Y2166" s="2"/>
      <c r="Z2166" s="2"/>
      <c r="AA2166" s="2"/>
      <c r="AB2166" s="2"/>
      <c r="AC2166" s="2"/>
      <c r="AD2166" s="2"/>
      <c r="AE2166" s="2"/>
      <c r="AF2166" s="2"/>
      <c r="AG2166" s="2"/>
      <c r="AH2166" s="2"/>
      <c r="AI2166" s="2"/>
      <c r="AJ2166" s="2"/>
      <c r="AK2166" s="2"/>
      <c r="AL2166" s="2"/>
      <c r="AM2166" s="2"/>
      <c r="AN2166" s="2"/>
      <c r="AO2166" s="2"/>
      <c r="AP2166" s="2"/>
      <c r="AQ2166" s="2"/>
      <c r="AR2166" s="2"/>
      <c r="AS2166" s="2"/>
      <c r="AT2166" s="2"/>
      <c r="AU2166" s="2"/>
      <c r="AV2166" s="2"/>
      <c r="AW2166" s="2"/>
      <c r="AX2166" s="2"/>
      <c r="AY2166" s="2"/>
      <c r="AZ2166" s="2"/>
      <c r="BA2166" s="2"/>
      <c r="BB2166" s="2"/>
    </row>
    <row r="2167" ht="204.75" customHeight="1">
      <c r="A2167" s="1">
        <v>510.0</v>
      </c>
      <c r="B2167" s="2" t="s">
        <v>6803</v>
      </c>
      <c r="C2167" s="2">
        <f>IFERROR(__xludf.DUMMYFUNCTION("split(B2167,""_"")"),1810.0)</f>
        <v>1810</v>
      </c>
      <c r="D2167" s="2" t="str">
        <f>IFERROR(__xludf.DUMMYFUNCTION("""COMPUTED_VALUE"""),"EX")</f>
        <v>EX</v>
      </c>
      <c r="E2167" s="2" t="str">
        <f>IFERROR(__xludf.DUMMYFUNCTION("""COMPUTED_VALUE"""),"木21")</f>
        <v>木21</v>
      </c>
      <c r="F2167" s="2" t="s">
        <v>6804</v>
      </c>
      <c r="G2167" s="2" t="s">
        <v>6805</v>
      </c>
      <c r="H2167" s="1">
        <v>1.0</v>
      </c>
      <c r="I2167" s="1" t="s">
        <v>2868</v>
      </c>
      <c r="J2167" s="1" t="s">
        <v>4</v>
      </c>
      <c r="K2167" s="2" t="s">
        <v>6806</v>
      </c>
      <c r="L2167" s="11" t="s">
        <v>6807</v>
      </c>
      <c r="M2167" s="2" t="str">
        <f>IFERROR(__xludf.DUMMYFUNCTION("split(split(K2167,""【"",false),""公式LINE"",false)"),"翔子はペーパー弁護士の大学教授・京極(高橋英樹)を誘い、若手弁護士・青島(林遣都)をスカウト、さらに前科のあるパラリーガル・馬場(荒川良々)、伊藤(安達祐実)、茅野(三浦翔平)も雇って法律事務所を立ち上げる。事務所の初仕事は痴漢騒動。一流企業の社員・安田(児嶋一哉)は無実を主張するも、痴漢事件は圧倒的に被害者が有利。ところが当初はバッサリ切り捨てていた翔子が、安田が発したある一言に目の色を変え…")</f>
        <v>翔子はペーパー弁護士の大学教授・京極(高橋英樹)を誘い、若手弁護士・青島(林遣都)をスカウト、さらに前科のあるパラリーガル・馬場(荒川良々)、伊藤(安達祐実)、茅野(三浦翔平)も雇って法律事務所を立ち上げる。事務所の初仕事は痴漢騒動。一流企業の社員・安田(児嶋一哉)は無実を主張するも、痴漢事件は圧倒的に被害者が有利。ところが当初はバッサリ切り捨てていた翔子が、安田が発したある一言に目の色を変え…</v>
      </c>
      <c r="N2167" s="2"/>
      <c r="O2167" s="2"/>
      <c r="P2167" s="2"/>
      <c r="Q2167" s="2"/>
      <c r="R2167" s="2"/>
      <c r="S2167" s="2"/>
      <c r="T2167" s="2"/>
      <c r="U2167" s="2"/>
      <c r="V2167" s="2"/>
      <c r="W2167" s="2"/>
      <c r="X2167" s="2"/>
      <c r="Y2167" s="2"/>
      <c r="Z2167" s="2"/>
      <c r="AA2167" s="2"/>
      <c r="AB2167" s="2"/>
      <c r="AC2167" s="2"/>
      <c r="AD2167" s="2"/>
      <c r="AE2167" s="2"/>
      <c r="AF2167" s="2"/>
      <c r="AG2167" s="2"/>
      <c r="AH2167" s="2"/>
      <c r="AI2167" s="2"/>
      <c r="AJ2167" s="2"/>
      <c r="AK2167" s="2"/>
      <c r="AL2167" s="2"/>
      <c r="AM2167" s="2"/>
      <c r="AN2167" s="2"/>
      <c r="AO2167" s="2"/>
      <c r="AP2167" s="2"/>
      <c r="AQ2167" s="2"/>
      <c r="AR2167" s="2"/>
      <c r="AS2167" s="2"/>
      <c r="AT2167" s="2"/>
      <c r="AU2167" s="2"/>
      <c r="AV2167" s="2"/>
      <c r="AW2167" s="2"/>
      <c r="AX2167" s="2"/>
      <c r="AY2167" s="2"/>
      <c r="AZ2167" s="2"/>
      <c r="BA2167" s="2"/>
      <c r="BB2167" s="2"/>
    </row>
    <row r="2168" ht="204.75" customHeight="1">
      <c r="A2168" s="1">
        <v>511.0</v>
      </c>
      <c r="B2168" s="2" t="s">
        <v>6803</v>
      </c>
      <c r="C2168" s="2">
        <f>IFERROR(__xludf.DUMMYFUNCTION("split(B2168,""_"")"),1810.0)</f>
        <v>1810</v>
      </c>
      <c r="D2168" s="2" t="str">
        <f>IFERROR(__xludf.DUMMYFUNCTION("""COMPUTED_VALUE"""),"EX")</f>
        <v>EX</v>
      </c>
      <c r="E2168" s="2" t="str">
        <f>IFERROR(__xludf.DUMMYFUNCTION("""COMPUTED_VALUE"""),"木21")</f>
        <v>木21</v>
      </c>
      <c r="F2168" s="2" t="s">
        <v>6804</v>
      </c>
      <c r="G2168" s="2" t="s">
        <v>6808</v>
      </c>
      <c r="H2168" s="1">
        <v>2.0</v>
      </c>
      <c r="I2168" s="1" t="s">
        <v>2872</v>
      </c>
      <c r="J2168" s="1" t="s">
        <v>4</v>
      </c>
      <c r="K2168" s="2" t="s">
        <v>6809</v>
      </c>
      <c r="L2168" s="11" t="s">
        <v>6810</v>
      </c>
      <c r="M2168" s="2" t="str">
        <f>IFERROR(__xludf.DUMMYFUNCTION("split(split(K2168,""【"",false),""公式LINE"",false)"),"翔子が管理人を務める京極法律事務所に、世界的企業の元取締役・永島美鈴(斉藤由貴)が弁護を依頼。3人の部下からパワーハラスメントで告発され解任、会社を相手に民事訴訟を起こしたという。ところが、会社側を弁護するFelix&amp;Temma法律事務所の白鳥(菜々緒)が青島(林遣都)と京極(高橋英樹)に手渡した音声データには、美鈴が部下にビルから飛び降りるよう迫り、暴力を振るっている様子が録音されていて…")</f>
        <v>翔子が管理人を務める京極法律事務所に、世界的企業の元取締役・永島美鈴(斉藤由貴)が弁護を依頼。3人の部下からパワーハラスメントで告発され解任、会社を相手に民事訴訟を起こしたという。ところが、会社側を弁護するFelix&amp;Temma法律事務所の白鳥(菜々緒)が青島(林遣都)と京極(高橋英樹)に手渡した音声データには、美鈴が部下にビルから飛び降りるよう迫り、暴力を振るっている様子が録音されていて…</v>
      </c>
      <c r="N2168" s="2"/>
      <c r="O2168" s="2"/>
      <c r="P2168" s="2"/>
      <c r="Q2168" s="2"/>
      <c r="R2168" s="2"/>
      <c r="S2168" s="2"/>
      <c r="T2168" s="2"/>
      <c r="U2168" s="2"/>
      <c r="V2168" s="2"/>
      <c r="W2168" s="2"/>
      <c r="X2168" s="2"/>
      <c r="Y2168" s="2"/>
      <c r="Z2168" s="2"/>
      <c r="AA2168" s="2"/>
      <c r="AB2168" s="2"/>
      <c r="AC2168" s="2"/>
      <c r="AD2168" s="2"/>
      <c r="AE2168" s="2"/>
      <c r="AF2168" s="2"/>
      <c r="AG2168" s="2"/>
      <c r="AH2168" s="2"/>
      <c r="AI2168" s="2"/>
      <c r="AJ2168" s="2"/>
      <c r="AK2168" s="2"/>
      <c r="AL2168" s="2"/>
      <c r="AM2168" s="2"/>
      <c r="AN2168" s="2"/>
      <c r="AO2168" s="2"/>
      <c r="AP2168" s="2"/>
      <c r="AQ2168" s="2"/>
      <c r="AR2168" s="2"/>
      <c r="AS2168" s="2"/>
      <c r="AT2168" s="2"/>
      <c r="AU2168" s="2"/>
      <c r="AV2168" s="2"/>
      <c r="AW2168" s="2"/>
      <c r="AX2168" s="2"/>
      <c r="AY2168" s="2"/>
      <c r="AZ2168" s="2"/>
      <c r="BA2168" s="2"/>
      <c r="BB2168" s="2"/>
    </row>
    <row r="2169" ht="204.75" customHeight="1">
      <c r="A2169" s="1">
        <v>512.0</v>
      </c>
      <c r="B2169" s="2" t="s">
        <v>6803</v>
      </c>
      <c r="C2169" s="2">
        <f>IFERROR(__xludf.DUMMYFUNCTION("split(B2169,""_"")"),1810.0)</f>
        <v>1810</v>
      </c>
      <c r="D2169" s="2" t="str">
        <f>IFERROR(__xludf.DUMMYFUNCTION("""COMPUTED_VALUE"""),"EX")</f>
        <v>EX</v>
      </c>
      <c r="E2169" s="2" t="str">
        <f>IFERROR(__xludf.DUMMYFUNCTION("""COMPUTED_VALUE"""),"木21")</f>
        <v>木21</v>
      </c>
      <c r="F2169" s="2" t="s">
        <v>6804</v>
      </c>
      <c r="G2169" s="2" t="s">
        <v>6811</v>
      </c>
      <c r="H2169" s="1">
        <v>3.0</v>
      </c>
      <c r="I2169" s="1" t="s">
        <v>2876</v>
      </c>
      <c r="J2169" s="1" t="s">
        <v>11</v>
      </c>
      <c r="K2169" s="2" t="s">
        <v>6812</v>
      </c>
      <c r="L2169" s="11" t="s">
        <v>6813</v>
      </c>
      <c r="M2169" s="2" t="str">
        <f>IFERROR(__xludf.DUMMYFUNCTION("split(split(K2169,""【"",false),""公式LINE"",false)"),"ヤメ検弁護士・大鷹(勝村政信)が殺人事件の弁護を担当することに。被告人は被害者の夫・浅野(桐山漣)。しかし浅野には愛人がおり、妻に多額の生命保険をかけていたことまで発覚!話を聞いた翔子は、勝った場合は事務所を宣伝する条件で調査協力を約束。そんな中、浅野が事件当日、新宿で高校時代の恩師・蟹江(岡本信人)夫妻と出会ったことを思い出す。だが、蟹江も妻の光代(原日出子)も新宿には行っていないと言い…")</f>
        <v>ヤメ検弁護士・大鷹(勝村政信)が殺人事件の弁護を担当することに。被告人は被害者の夫・浅野(桐山漣)。しかし浅野には愛人がおり、妻に多額の生命保険をかけていたことまで発覚!話を聞いた翔子は、勝った場合は事務所を宣伝する条件で調査協力を約束。そんな中、浅野が事件当日、新宿で高校時代の恩師・蟹江(岡本信人)夫妻と出会ったことを思い出す。だが、蟹江も妻の光代(原日出子)も新宿には行っていないと言い…</v>
      </c>
      <c r="N2169" s="2"/>
      <c r="O2169" s="2"/>
      <c r="P2169" s="2"/>
      <c r="Q2169" s="2"/>
      <c r="R2169" s="2"/>
      <c r="S2169" s="2"/>
      <c r="T2169" s="2"/>
      <c r="U2169" s="2"/>
      <c r="V2169" s="2"/>
      <c r="W2169" s="2"/>
      <c r="X2169" s="2"/>
      <c r="Y2169" s="2"/>
      <c r="Z2169" s="2"/>
      <c r="AA2169" s="2"/>
      <c r="AB2169" s="2"/>
      <c r="AC2169" s="2"/>
      <c r="AD2169" s="2"/>
      <c r="AE2169" s="2"/>
      <c r="AF2169" s="2"/>
      <c r="AG2169" s="2"/>
      <c r="AH2169" s="2"/>
      <c r="AI2169" s="2"/>
      <c r="AJ2169" s="2"/>
      <c r="AK2169" s="2"/>
      <c r="AL2169" s="2"/>
      <c r="AM2169" s="2"/>
      <c r="AN2169" s="2"/>
      <c r="AO2169" s="2"/>
      <c r="AP2169" s="2"/>
      <c r="AQ2169" s="2"/>
      <c r="AR2169" s="2"/>
      <c r="AS2169" s="2"/>
      <c r="AT2169" s="2"/>
      <c r="AU2169" s="2"/>
      <c r="AV2169" s="2"/>
      <c r="AW2169" s="2"/>
      <c r="AX2169" s="2"/>
      <c r="AY2169" s="2"/>
      <c r="AZ2169" s="2"/>
      <c r="BA2169" s="2"/>
      <c r="BB2169" s="2"/>
    </row>
    <row r="2170" ht="204.75" customHeight="1">
      <c r="A2170" s="1">
        <v>513.0</v>
      </c>
      <c r="B2170" s="2" t="s">
        <v>6803</v>
      </c>
      <c r="C2170" s="2">
        <f>IFERROR(__xludf.DUMMYFUNCTION("split(B2170,""_"")"),1810.0)</f>
        <v>1810</v>
      </c>
      <c r="D2170" s="2" t="str">
        <f>IFERROR(__xludf.DUMMYFUNCTION("""COMPUTED_VALUE"""),"EX")</f>
        <v>EX</v>
      </c>
      <c r="E2170" s="2" t="str">
        <f>IFERROR(__xludf.DUMMYFUNCTION("""COMPUTED_VALUE"""),"木21")</f>
        <v>木21</v>
      </c>
      <c r="F2170" s="2" t="s">
        <v>6804</v>
      </c>
      <c r="G2170" s="2" t="s">
        <v>6814</v>
      </c>
      <c r="H2170" s="1">
        <v>4.0</v>
      </c>
      <c r="I2170" s="1" t="s">
        <v>2880</v>
      </c>
      <c r="J2170" s="1" t="s">
        <v>11</v>
      </c>
      <c r="K2170" s="2" t="s">
        <v>6815</v>
      </c>
      <c r="L2170" s="11" t="s">
        <v>6816</v>
      </c>
      <c r="M2170" s="2" t="str">
        <f>IFERROR(__xludf.DUMMYFUNCTION("split(split(K2170,""【"",false),""公式LINE"",false)"),"200億円の遺産を残し、峰島興業の会長(竜雷太)が死亡。葬儀に謎の女性・玲奈(島崎遥香)が現れ、自分は会長の妻であると主張。亡くなる4時間前に婚姻届を提出したという。全額を相続するはずだった一人息子の社長(袴田吉彦)は玲奈を訴え、玲奈は京極法律事務所に弁護を依頼。担当になったペーパー弁護士・京極雅彦(高橋英樹)は初法廷に大はりきり。一方、翔子(米倉涼子)はなぜ玲奈が遺産に執着するのか疑問に感じ…!?")</f>
        <v>200億円の遺産を残し、峰島興業の会長(竜雷太)が死亡。葬儀に謎の女性・玲奈(島崎遥香)が現れ、自分は会長の妻であると主張。亡くなる4時間前に婚姻届を提出したという。全額を相続するはずだった一人息子の社長(袴田吉彦)は玲奈を訴え、玲奈は京極法律事務所に弁護を依頼。担当になったペーパー弁護士・京極雅彦(高橋英樹)は初法廷に大はりきり。一方、翔子(米倉涼子)はなぜ玲奈が遺産に執着するのか疑問に感じ…!?</v>
      </c>
      <c r="N2170" s="2"/>
      <c r="O2170" s="2"/>
      <c r="P2170" s="2"/>
      <c r="Q2170" s="2"/>
      <c r="R2170" s="2"/>
      <c r="S2170" s="2"/>
      <c r="T2170" s="2"/>
      <c r="U2170" s="2"/>
      <c r="V2170" s="2"/>
      <c r="W2170" s="2"/>
      <c r="X2170" s="2"/>
      <c r="Y2170" s="2"/>
      <c r="Z2170" s="2"/>
      <c r="AA2170" s="2"/>
      <c r="AB2170" s="2"/>
      <c r="AC2170" s="2"/>
      <c r="AD2170" s="2"/>
      <c r="AE2170" s="2"/>
      <c r="AF2170" s="2"/>
      <c r="AG2170" s="2"/>
      <c r="AH2170" s="2"/>
      <c r="AI2170" s="2"/>
      <c r="AJ2170" s="2"/>
      <c r="AK2170" s="2"/>
      <c r="AL2170" s="2"/>
      <c r="AM2170" s="2"/>
      <c r="AN2170" s="2"/>
      <c r="AO2170" s="2"/>
      <c r="AP2170" s="2"/>
      <c r="AQ2170" s="2"/>
      <c r="AR2170" s="2"/>
      <c r="AS2170" s="2"/>
      <c r="AT2170" s="2"/>
      <c r="AU2170" s="2"/>
      <c r="AV2170" s="2"/>
      <c r="AW2170" s="2"/>
      <c r="AX2170" s="2"/>
      <c r="AY2170" s="2"/>
      <c r="AZ2170" s="2"/>
      <c r="BA2170" s="2"/>
      <c r="BB2170" s="2"/>
    </row>
    <row r="2171" ht="204.75" customHeight="1">
      <c r="A2171" s="1">
        <v>514.0</v>
      </c>
      <c r="B2171" s="2" t="s">
        <v>6803</v>
      </c>
      <c r="C2171" s="2">
        <f>IFERROR(__xludf.DUMMYFUNCTION("split(B2171,""_"")"),1810.0)</f>
        <v>1810</v>
      </c>
      <c r="D2171" s="2" t="str">
        <f>IFERROR(__xludf.DUMMYFUNCTION("""COMPUTED_VALUE"""),"EX")</f>
        <v>EX</v>
      </c>
      <c r="E2171" s="2" t="str">
        <f>IFERROR(__xludf.DUMMYFUNCTION("""COMPUTED_VALUE"""),"木21")</f>
        <v>木21</v>
      </c>
      <c r="F2171" s="2" t="s">
        <v>6804</v>
      </c>
      <c r="G2171" s="2" t="s">
        <v>6817</v>
      </c>
      <c r="H2171" s="1">
        <v>5.0</v>
      </c>
      <c r="I2171" s="1" t="s">
        <v>2884</v>
      </c>
      <c r="J2171" s="1" t="s">
        <v>11</v>
      </c>
      <c r="K2171" s="2" t="s">
        <v>6818</v>
      </c>
      <c r="L2171" s="11" t="s">
        <v>6819</v>
      </c>
      <c r="M2171" s="2" t="str">
        <f>IFERROR(__xludf.DUMMYFUNCTION("split(split(K2171,""【"",false),""公式LINE"",false)"),"ベンチャー企業代表の大学生・町村(瀬戸利樹)が暴行を受け重傷を負う。凶器から指紋が検出されたため同級生の武藤(戸塚純貴)が起訴され、青島(林遣都)が弁護することに。ところが、町村が「武藤から暴行を受けた」と証言…武藤は一審で実刑判決を受ける。その後、ネットの誹謗中傷に耐えながら無実を証明しようと戦っていた武藤の母(片岡礼子)が自殺してしまう。圧倒的不利な状況の中、翔子は諦めず青島を鼓舞し続けるが…")</f>
        <v>ベンチャー企業代表の大学生・町村(瀬戸利樹)が暴行を受け重傷を負う。凶器から指紋が検出されたため同級生の武藤(戸塚純貴)が起訴され、青島(林遣都)が弁護することに。ところが、町村が「武藤から暴行を受けた」と証言…武藤は一審で実刑判決を受ける。その後、ネットの誹謗中傷に耐えながら無実を証明しようと戦っていた武藤の母(片岡礼子)が自殺してしまう。圧倒的不利な状況の中、翔子は諦めず青島を鼓舞し続けるが…</v>
      </c>
      <c r="N2171" s="2"/>
      <c r="O2171" s="2"/>
      <c r="P2171" s="2"/>
      <c r="Q2171" s="2"/>
      <c r="R2171" s="2"/>
      <c r="S2171" s="2"/>
      <c r="T2171" s="2"/>
      <c r="U2171" s="2"/>
      <c r="V2171" s="2"/>
      <c r="W2171" s="2"/>
      <c r="X2171" s="2"/>
      <c r="Y2171" s="2"/>
      <c r="Z2171" s="2"/>
      <c r="AA2171" s="2"/>
      <c r="AB2171" s="2"/>
      <c r="AC2171" s="2"/>
      <c r="AD2171" s="2"/>
      <c r="AE2171" s="2"/>
      <c r="AF2171" s="2"/>
      <c r="AG2171" s="2"/>
      <c r="AH2171" s="2"/>
      <c r="AI2171" s="2"/>
      <c r="AJ2171" s="2"/>
      <c r="AK2171" s="2"/>
      <c r="AL2171" s="2"/>
      <c r="AM2171" s="2"/>
      <c r="AN2171" s="2"/>
      <c r="AO2171" s="2"/>
      <c r="AP2171" s="2"/>
      <c r="AQ2171" s="2"/>
      <c r="AR2171" s="2"/>
      <c r="AS2171" s="2"/>
      <c r="AT2171" s="2"/>
      <c r="AU2171" s="2"/>
      <c r="AV2171" s="2"/>
      <c r="AW2171" s="2"/>
      <c r="AX2171" s="2"/>
      <c r="AY2171" s="2"/>
      <c r="AZ2171" s="2"/>
      <c r="BA2171" s="2"/>
      <c r="BB2171" s="2"/>
    </row>
    <row r="2172" ht="204.75" customHeight="1">
      <c r="A2172" s="1">
        <v>515.0</v>
      </c>
      <c r="B2172" s="2" t="s">
        <v>6803</v>
      </c>
      <c r="C2172" s="2">
        <f>IFERROR(__xludf.DUMMYFUNCTION("split(B2172,""_"")"),1810.0)</f>
        <v>1810</v>
      </c>
      <c r="D2172" s="2" t="str">
        <f>IFERROR(__xludf.DUMMYFUNCTION("""COMPUTED_VALUE"""),"EX")</f>
        <v>EX</v>
      </c>
      <c r="E2172" s="2" t="str">
        <f>IFERROR(__xludf.DUMMYFUNCTION("""COMPUTED_VALUE"""),"木21")</f>
        <v>木21</v>
      </c>
      <c r="F2172" s="2" t="s">
        <v>6804</v>
      </c>
      <c r="G2172" s="2" t="s">
        <v>6820</v>
      </c>
      <c r="H2172" s="1">
        <v>6.0</v>
      </c>
      <c r="I2172" s="1" t="s">
        <v>2888</v>
      </c>
      <c r="J2172" s="1" t="s">
        <v>11</v>
      </c>
      <c r="K2172" s="2" t="s">
        <v>6821</v>
      </c>
      <c r="L2172" s="11" t="s">
        <v>6822</v>
      </c>
      <c r="M2172" s="2" t="str">
        <f>IFERROR(__xludf.DUMMYFUNCTION("split(split(K2172,""【"",false),""公式LINE"",false)"),"京極法律事務所に塩見一郎(矢部太郎)が相談に訪れた。婚約者に超お得だと言われ3000万円で土地を購入したものの、実際はひどい土地だったことが判明。しかも、その婚約者と連絡が取れなくなっていた。塩見は「ローズブライダル」という婚活相談所で婚約者を紹介してもらったというが、その女性は馬場雄一(荒川良々)が失恋した相手と同一人物だった!そこで、伊藤理恵(安達祐実)が婚活中を装い、初の潜入捜査を試みるが…")</f>
        <v>京極法律事務所に塩見一郎(矢部太郎)が相談に訪れた。婚約者に超お得だと言われ3000万円で土地を購入したものの、実際はひどい土地だったことが判明。しかも、その婚約者と連絡が取れなくなっていた。塩見は「ローズブライダル」という婚活相談所で婚約者を紹介してもらったというが、その女性は馬場雄一(荒川良々)が失恋した相手と同一人物だった!そこで、伊藤理恵(安達祐実)が婚活中を装い、初の潜入捜査を試みるが…</v>
      </c>
      <c r="N2172" s="2"/>
      <c r="O2172" s="2"/>
      <c r="P2172" s="2"/>
      <c r="Q2172" s="2"/>
      <c r="R2172" s="2"/>
      <c r="S2172" s="2"/>
      <c r="T2172" s="2"/>
      <c r="U2172" s="2"/>
      <c r="V2172" s="2"/>
      <c r="W2172" s="2"/>
      <c r="X2172" s="2"/>
      <c r="Y2172" s="2"/>
      <c r="Z2172" s="2"/>
      <c r="AA2172" s="2"/>
      <c r="AB2172" s="2"/>
      <c r="AC2172" s="2"/>
      <c r="AD2172" s="2"/>
      <c r="AE2172" s="2"/>
      <c r="AF2172" s="2"/>
      <c r="AG2172" s="2"/>
      <c r="AH2172" s="2"/>
      <c r="AI2172" s="2"/>
      <c r="AJ2172" s="2"/>
      <c r="AK2172" s="2"/>
      <c r="AL2172" s="2"/>
      <c r="AM2172" s="2"/>
      <c r="AN2172" s="2"/>
      <c r="AO2172" s="2"/>
      <c r="AP2172" s="2"/>
      <c r="AQ2172" s="2"/>
      <c r="AR2172" s="2"/>
      <c r="AS2172" s="2"/>
      <c r="AT2172" s="2"/>
      <c r="AU2172" s="2"/>
      <c r="AV2172" s="2"/>
      <c r="AW2172" s="2"/>
      <c r="AX2172" s="2"/>
      <c r="AY2172" s="2"/>
      <c r="AZ2172" s="2"/>
      <c r="BA2172" s="2"/>
      <c r="BB2172" s="2"/>
    </row>
    <row r="2173" ht="204.75" customHeight="1">
      <c r="A2173" s="1">
        <v>516.0</v>
      </c>
      <c r="B2173" s="2" t="s">
        <v>6803</v>
      </c>
      <c r="C2173" s="2">
        <f>IFERROR(__xludf.DUMMYFUNCTION("split(B2173,""_"")"),1810.0)</f>
        <v>1810</v>
      </c>
      <c r="D2173" s="2" t="str">
        <f>IFERROR(__xludf.DUMMYFUNCTION("""COMPUTED_VALUE"""),"EX")</f>
        <v>EX</v>
      </c>
      <c r="E2173" s="2" t="str">
        <f>IFERROR(__xludf.DUMMYFUNCTION("""COMPUTED_VALUE"""),"木21")</f>
        <v>木21</v>
      </c>
      <c r="F2173" s="2" t="s">
        <v>6804</v>
      </c>
      <c r="G2173" s="2" t="s">
        <v>6823</v>
      </c>
      <c r="H2173" s="1">
        <v>7.0</v>
      </c>
      <c r="I2173" s="1" t="s">
        <v>2892</v>
      </c>
      <c r="J2173" s="1" t="s">
        <v>11</v>
      </c>
      <c r="K2173" s="2" t="s">
        <v>6824</v>
      </c>
      <c r="L2173" s="11" t="s">
        <v>6825</v>
      </c>
      <c r="M2173" s="2" t="str">
        <f>IFERROR(__xludf.DUMMYFUNCTION("split(split(K2173,""【"",false),""公式LINE"",false)"),"婚活詐欺を繰り返す高級婚活相談所・ローズブライダルを相手に、集団訴訟を起こそうとする京極法律事務所。そんな中、社会学者・高市哲也(野間口徹)もかつて騙されたらしいという情報が!人気コメンテーターでもある高市が声を上げれば、世の流れは一気に変わるはずだが、本人はその事実を認めようとはせず…そしてパラリーガル・茅野(三浦翔平)が思いがけず、“ある意外な人物""に関する“実に興味深いネタ""を入手してきて…")</f>
        <v>婚活詐欺を繰り返す高級婚活相談所・ローズブライダルを相手に、集団訴訟を起こそうとする京極法律事務所。そんな中、社会学者・高市哲也(野間口徹)もかつて騙されたらしいという情報が!人気コメンテーターでもある高市が声を上げれば、世の流れは一気に変わるはずだが、本人はその事実を認めようとはせず…そしてパラリーガル・茅野(三浦翔平)が思いがけず、“ある意外な人物"に関する“実に興味深いネタ"を入手してきて…</v>
      </c>
      <c r="N2173" s="2"/>
      <c r="O2173" s="2"/>
      <c r="P2173" s="2"/>
      <c r="Q2173" s="2"/>
      <c r="R2173" s="2"/>
      <c r="S2173" s="2"/>
      <c r="T2173" s="2"/>
      <c r="U2173" s="2"/>
      <c r="V2173" s="2"/>
      <c r="W2173" s="2"/>
      <c r="X2173" s="2"/>
      <c r="Y2173" s="2"/>
      <c r="Z2173" s="2"/>
      <c r="AA2173" s="2"/>
      <c r="AB2173" s="2"/>
      <c r="AC2173" s="2"/>
      <c r="AD2173" s="2"/>
      <c r="AE2173" s="2"/>
      <c r="AF2173" s="2"/>
      <c r="AG2173" s="2"/>
      <c r="AH2173" s="2"/>
      <c r="AI2173" s="2"/>
      <c r="AJ2173" s="2"/>
      <c r="AK2173" s="2"/>
      <c r="AL2173" s="2"/>
      <c r="AM2173" s="2"/>
      <c r="AN2173" s="2"/>
      <c r="AO2173" s="2"/>
      <c r="AP2173" s="2"/>
      <c r="AQ2173" s="2"/>
      <c r="AR2173" s="2"/>
      <c r="AS2173" s="2"/>
      <c r="AT2173" s="2"/>
      <c r="AU2173" s="2"/>
      <c r="AV2173" s="2"/>
      <c r="AW2173" s="2"/>
      <c r="AX2173" s="2"/>
      <c r="AY2173" s="2"/>
      <c r="AZ2173" s="2"/>
      <c r="BA2173" s="2"/>
      <c r="BB2173" s="2"/>
    </row>
    <row r="2174" ht="204.75" customHeight="1">
      <c r="A2174" s="1">
        <v>517.0</v>
      </c>
      <c r="B2174" s="2" t="s">
        <v>6803</v>
      </c>
      <c r="C2174" s="2">
        <f>IFERROR(__xludf.DUMMYFUNCTION("split(B2174,""_"")"),1810.0)</f>
        <v>1810</v>
      </c>
      <c r="D2174" s="2" t="str">
        <f>IFERROR(__xludf.DUMMYFUNCTION("""COMPUTED_VALUE"""),"EX")</f>
        <v>EX</v>
      </c>
      <c r="E2174" s="2" t="str">
        <f>IFERROR(__xludf.DUMMYFUNCTION("""COMPUTED_VALUE"""),"木21")</f>
        <v>木21</v>
      </c>
      <c r="F2174" s="2" t="s">
        <v>6804</v>
      </c>
      <c r="G2174" s="2" t="s">
        <v>6826</v>
      </c>
      <c r="H2174" s="1">
        <v>8.0</v>
      </c>
      <c r="I2174" s="1" t="s">
        <v>2896</v>
      </c>
      <c r="J2174" s="1" t="s">
        <v>11</v>
      </c>
      <c r="K2174" s="2" t="s">
        <v>6827</v>
      </c>
      <c r="L2174" s="11" t="s">
        <v>6828</v>
      </c>
      <c r="M2174" s="2" t="str">
        <f>IFERROR(__xludf.DUMMYFUNCTION("split(split(K2174,""【"",false),""公式LINE"",false)"),"翔子(米倉涼子)はかつて弁護していた受刑者・守屋至(寛一郎)と面会する。NPO法人の幹部職員を殺害した至だが、翔子は事件の奥に何かがあると直感。京極法律事務所の面々も協力し、背景を探る!その矢先、天馬(小日向文世)の差し金で弁護士会から業務停止処分の可能性を記載した警告書が事務所に届く。しかもその直後、翔子がこつ然と姿を消してしまう!翔子を失ったメンバーは次々に去っていき、事務所は解散の危機に…!?")</f>
        <v>翔子(米倉涼子)はかつて弁護していた受刑者・守屋至(寛一郎)と面会する。NPO法人の幹部職員を殺害した至だが、翔子は事件の奥に何かがあると直感。京極法律事務所の面々も協力し、背景を探る!その矢先、天馬(小日向文世)の差し金で弁護士会から業務停止処分の可能性を記載した警告書が事務所に届く。しかもその直後、翔子がこつ然と姿を消してしまう!翔子を失ったメンバーは次々に去っていき、事務所は解散の危機に…!?</v>
      </c>
      <c r="N2174" s="2"/>
      <c r="O2174" s="2"/>
      <c r="P2174" s="2"/>
      <c r="Q2174" s="2"/>
      <c r="R2174" s="2"/>
      <c r="S2174" s="2"/>
      <c r="T2174" s="2"/>
      <c r="U2174" s="2"/>
      <c r="V2174" s="2"/>
      <c r="W2174" s="2"/>
      <c r="X2174" s="2"/>
      <c r="Y2174" s="2"/>
      <c r="Z2174" s="2"/>
      <c r="AA2174" s="2"/>
      <c r="AB2174" s="2"/>
      <c r="AC2174" s="2"/>
      <c r="AD2174" s="2"/>
      <c r="AE2174" s="2"/>
      <c r="AF2174" s="2"/>
      <c r="AG2174" s="2"/>
      <c r="AH2174" s="2"/>
      <c r="AI2174" s="2"/>
      <c r="AJ2174" s="2"/>
      <c r="AK2174" s="2"/>
      <c r="AL2174" s="2"/>
      <c r="AM2174" s="2"/>
      <c r="AN2174" s="2"/>
      <c r="AO2174" s="2"/>
      <c r="AP2174" s="2"/>
      <c r="AQ2174" s="2"/>
      <c r="AR2174" s="2"/>
      <c r="AS2174" s="2"/>
      <c r="AT2174" s="2"/>
      <c r="AU2174" s="2"/>
      <c r="AV2174" s="2"/>
      <c r="AW2174" s="2"/>
      <c r="AX2174" s="2"/>
      <c r="AY2174" s="2"/>
      <c r="AZ2174" s="2"/>
      <c r="BA2174" s="2"/>
      <c r="BB2174" s="2"/>
    </row>
    <row r="2175" ht="204.75" customHeight="1">
      <c r="A2175" s="1">
        <v>518.0</v>
      </c>
      <c r="B2175" s="2" t="s">
        <v>6803</v>
      </c>
      <c r="C2175" s="2">
        <f>IFERROR(__xludf.DUMMYFUNCTION("split(B2175,""_"")"),1810.0)</f>
        <v>1810</v>
      </c>
      <c r="D2175" s="2" t="str">
        <f>IFERROR(__xludf.DUMMYFUNCTION("""COMPUTED_VALUE"""),"EX")</f>
        <v>EX</v>
      </c>
      <c r="E2175" s="2" t="str">
        <f>IFERROR(__xludf.DUMMYFUNCTION("""COMPUTED_VALUE"""),"木21")</f>
        <v>木21</v>
      </c>
      <c r="F2175" s="2" t="s">
        <v>6804</v>
      </c>
      <c r="G2175" s="2" t="s">
        <v>6829</v>
      </c>
      <c r="H2175" s="1">
        <v>9.0</v>
      </c>
      <c r="I2175" s="1" t="s">
        <v>2900</v>
      </c>
      <c r="J2175" s="1" t="s">
        <v>4</v>
      </c>
      <c r="K2175" s="2" t="s">
        <v>6830</v>
      </c>
      <c r="L2175" s="11" t="s">
        <v>6831</v>
      </c>
      <c r="M2175" s="2" t="str">
        <f>IFERROR(__xludf.DUMMYFUNCTION("split(split(K2175,""【"",false),""公式LINE"",false)"),"小鳥遊翔子(米倉涼子)がかつて弁護した受刑者・守屋至(寛一郎)は、NPO法人「貧困を救う会」の代表に脅され、殺人の罪に手を染めていた…その真実を法廷で明らかにするため、翔子は天馬(小日向文世)を提訴。たった1円の損害賠償を求める民事訴訟を起こした。ところがその矢先、京極(高橋英樹)と理恵(安達祐実)が逮捕された上に、馬場(荒川良々)と茅野(三浦翔平)が暴力団に襲われて病院送りの身となってしまい…")</f>
        <v>小鳥遊翔子(米倉涼子)がかつて弁護した受刑者・守屋至(寛一郎)は、NPO法人「貧困を救う会」の代表に脅され、殺人の罪に手を染めていた…その真実を法廷で明らかにするため、翔子は天馬(小日向文世)を提訴。たった1円の損害賠償を求める民事訴訟を起こした。ところがその矢先、京極(高橋英樹)と理恵(安達祐実)が逮捕された上に、馬場(荒川良々)と茅野(三浦翔平)が暴力団に襲われて病院送りの身となってしまい…</v>
      </c>
      <c r="N2175" s="2"/>
      <c r="O2175" s="2"/>
      <c r="P2175" s="2"/>
      <c r="Q2175" s="2"/>
      <c r="R2175" s="2"/>
      <c r="S2175" s="2"/>
      <c r="T2175" s="2"/>
      <c r="U2175" s="2"/>
      <c r="V2175" s="2"/>
      <c r="W2175" s="2"/>
      <c r="X2175" s="2"/>
      <c r="Y2175" s="2"/>
      <c r="Z2175" s="2"/>
      <c r="AA2175" s="2"/>
      <c r="AB2175" s="2"/>
      <c r="AC2175" s="2"/>
      <c r="AD2175" s="2"/>
      <c r="AE2175" s="2"/>
      <c r="AF2175" s="2"/>
      <c r="AG2175" s="2"/>
      <c r="AH2175" s="2"/>
      <c r="AI2175" s="2"/>
      <c r="AJ2175" s="2"/>
      <c r="AK2175" s="2"/>
      <c r="AL2175" s="2"/>
      <c r="AM2175" s="2"/>
      <c r="AN2175" s="2"/>
      <c r="AO2175" s="2"/>
      <c r="AP2175" s="2"/>
      <c r="AQ2175" s="2"/>
      <c r="AR2175" s="2"/>
      <c r="AS2175" s="2"/>
      <c r="AT2175" s="2"/>
      <c r="AU2175" s="2"/>
      <c r="AV2175" s="2"/>
      <c r="AW2175" s="2"/>
      <c r="AX2175" s="2"/>
      <c r="AY2175" s="2"/>
      <c r="AZ2175" s="2"/>
      <c r="BA2175" s="2"/>
      <c r="BB2175" s="2"/>
    </row>
    <row r="2176" ht="204.75" customHeight="1">
      <c r="A2176" s="1">
        <v>548.0</v>
      </c>
      <c r="B2176" s="2" t="s">
        <v>6832</v>
      </c>
      <c r="C2176" s="2">
        <f>IFERROR(__xludf.DUMMYFUNCTION("split(B2176,""_"")"),1810.0)</f>
        <v>1810</v>
      </c>
      <c r="D2176" s="2" t="str">
        <f>IFERROR(__xludf.DUMMYFUNCTION("""COMPUTED_VALUE"""),"EX")</f>
        <v>EX</v>
      </c>
      <c r="E2176" s="2" t="str">
        <f>IFERROR(__xludf.DUMMYFUNCTION("""COMPUTED_VALUE"""),"金23")</f>
        <v>金23</v>
      </c>
      <c r="F2176" s="2" t="s">
        <v>6833</v>
      </c>
      <c r="G2176" s="2" t="s">
        <v>6834</v>
      </c>
      <c r="H2176" s="1">
        <v>1.0</v>
      </c>
      <c r="I2176" s="1" t="s">
        <v>2868</v>
      </c>
      <c r="J2176" s="1" t="s">
        <v>1435</v>
      </c>
      <c r="K2176" s="2" t="s">
        <v>6835</v>
      </c>
      <c r="L2176" s="11" t="s">
        <v>6836</v>
      </c>
      <c r="M2176" s="2" t="str">
        <f>IFERROR(__xludf.DUMMYFUNCTION("split(split(K2176,""【"",false),""公式LINE"",false)"),"実家のある神楽坂に帰ってきた獣医師の高円寺達也(相葉雅紀)。尊敬する獣医師・徳丸善次郎(イッセー尾形)の元で働くつもりだったが、病院には徳丸の姿はなく、預かり犬のダイキチだけが残されていた…。  そんなある日、達也は車に轢かれたパピヨン犬と、その犬に付き添う少年・大地(矢村央希)と出会う。息子の大地を心配して病院に駆け付けた母親の加瀬トキワ(広末涼子)だが、緊急を要したった二人で手術をすることに…!?")</f>
        <v>実家のある神楽坂に帰ってきた獣医師の高円寺達也(相葉雅紀)。尊敬する獣医師・徳丸善次郎(イッセー尾形)の元で働くつもりだったが、病院には徳丸の姿はなく、預かり犬のダイキチだけが残されていた…。  そんなある日、達也は車に轢かれたパピヨン犬と、その犬に付き添う少年・大地(矢村央希)と出会う。息子の大地を心配して病院に駆け付けた母親の加瀬トキワ(広末涼子)だが、緊急を要したった二人で手術をすることに…!?</v>
      </c>
      <c r="N2176" s="2"/>
      <c r="O2176" s="2"/>
      <c r="P2176" s="2"/>
      <c r="Q2176" s="2"/>
      <c r="R2176" s="2"/>
      <c r="S2176" s="2"/>
      <c r="T2176" s="2"/>
      <c r="U2176" s="2"/>
      <c r="V2176" s="2"/>
      <c r="W2176" s="2"/>
      <c r="X2176" s="2"/>
      <c r="Y2176" s="2"/>
      <c r="Z2176" s="2"/>
      <c r="AA2176" s="2"/>
      <c r="AB2176" s="2"/>
      <c r="AC2176" s="2"/>
      <c r="AD2176" s="2"/>
      <c r="AE2176" s="2"/>
      <c r="AF2176" s="2"/>
      <c r="AG2176" s="2"/>
      <c r="AH2176" s="2"/>
      <c r="AI2176" s="2"/>
      <c r="AJ2176" s="2"/>
      <c r="AK2176" s="2"/>
      <c r="AL2176" s="2"/>
      <c r="AM2176" s="2"/>
      <c r="AN2176" s="2"/>
      <c r="AO2176" s="2"/>
      <c r="AP2176" s="2"/>
      <c r="AQ2176" s="2"/>
      <c r="AR2176" s="2"/>
      <c r="AS2176" s="2"/>
      <c r="AT2176" s="2"/>
      <c r="AU2176" s="2"/>
      <c r="AV2176" s="2"/>
      <c r="AW2176" s="2"/>
      <c r="AX2176" s="2"/>
      <c r="AY2176" s="2"/>
      <c r="AZ2176" s="2"/>
      <c r="BA2176" s="2"/>
      <c r="BB2176" s="2"/>
    </row>
    <row r="2177" ht="204.75" customHeight="1">
      <c r="A2177" s="1">
        <v>549.0</v>
      </c>
      <c r="B2177" s="2" t="s">
        <v>6832</v>
      </c>
      <c r="C2177" s="2">
        <f>IFERROR(__xludf.DUMMYFUNCTION("split(B2177,""_"")"),1810.0)</f>
        <v>1810</v>
      </c>
      <c r="D2177" s="2" t="str">
        <f>IFERROR(__xludf.DUMMYFUNCTION("""COMPUTED_VALUE"""),"EX")</f>
        <v>EX</v>
      </c>
      <c r="E2177" s="2" t="str">
        <f>IFERROR(__xludf.DUMMYFUNCTION("""COMPUTED_VALUE"""),"金23")</f>
        <v>金23</v>
      </c>
      <c r="F2177" s="2" t="s">
        <v>6833</v>
      </c>
      <c r="G2177" s="2" t="s">
        <v>6837</v>
      </c>
      <c r="H2177" s="1">
        <v>2.0</v>
      </c>
      <c r="I2177" s="1" t="s">
        <v>2872</v>
      </c>
      <c r="J2177" s="1" t="s">
        <v>1435</v>
      </c>
      <c r="K2177" s="2" t="s">
        <v>6838</v>
      </c>
      <c r="L2177" s="11" t="s">
        <v>6839</v>
      </c>
      <c r="M2177" s="2" t="str">
        <f>IFERROR(__xludf.DUMMYFUNCTION("split(split(K2177,""【"",false),""公式LINE"",false)"),"トキワ(広末涼子)を看護師に迎え、達也(相葉雅紀)は、『坂の上動物病院』の院長として再出発する。そんな達也のもとにやってきたのは大沢香子(喜多乃愛)。骨肉種を患う愛犬・ジュリは、がんの転移の可能性から断脚手術を考えるべき…と告げられていたが、母・頼子から猛反対をされていた。「ジュリを診てください」と達也に頼む香子。そんな香子の懇願に、達也の下した判断とは…!?")</f>
        <v>トキワ(広末涼子)を看護師に迎え、達也(相葉雅紀)は、『坂の上動物病院』の院長として再出発する。そんな達也のもとにやってきたのは大沢香子(喜多乃愛)。骨肉種を患う愛犬・ジュリは、がんの転移の可能性から断脚手術を考えるべき…と告げられていたが、母・頼子から猛反対をされていた。「ジュリを診てください」と達也に頼む香子。そんな香子の懇願に、達也の下した判断とは…!?</v>
      </c>
      <c r="N2177" s="2"/>
      <c r="O2177" s="2"/>
      <c r="P2177" s="2"/>
      <c r="Q2177" s="2"/>
      <c r="R2177" s="2"/>
      <c r="S2177" s="2"/>
      <c r="T2177" s="2"/>
      <c r="U2177" s="2"/>
      <c r="V2177" s="2"/>
      <c r="W2177" s="2"/>
      <c r="X2177" s="2"/>
      <c r="Y2177" s="2"/>
      <c r="Z2177" s="2"/>
      <c r="AA2177" s="2"/>
      <c r="AB2177" s="2"/>
      <c r="AC2177" s="2"/>
      <c r="AD2177" s="2"/>
      <c r="AE2177" s="2"/>
      <c r="AF2177" s="2"/>
      <c r="AG2177" s="2"/>
      <c r="AH2177" s="2"/>
      <c r="AI2177" s="2"/>
      <c r="AJ2177" s="2"/>
      <c r="AK2177" s="2"/>
      <c r="AL2177" s="2"/>
      <c r="AM2177" s="2"/>
      <c r="AN2177" s="2"/>
      <c r="AO2177" s="2"/>
      <c r="AP2177" s="2"/>
      <c r="AQ2177" s="2"/>
      <c r="AR2177" s="2"/>
      <c r="AS2177" s="2"/>
      <c r="AT2177" s="2"/>
      <c r="AU2177" s="2"/>
      <c r="AV2177" s="2"/>
      <c r="AW2177" s="2"/>
      <c r="AX2177" s="2"/>
      <c r="AY2177" s="2"/>
      <c r="AZ2177" s="2"/>
      <c r="BA2177" s="2"/>
      <c r="BB2177" s="2"/>
    </row>
    <row r="2178" ht="204.75" customHeight="1">
      <c r="A2178" s="1">
        <v>550.0</v>
      </c>
      <c r="B2178" s="2" t="s">
        <v>6832</v>
      </c>
      <c r="C2178" s="2">
        <f>IFERROR(__xludf.DUMMYFUNCTION("split(B2178,""_"")"),1810.0)</f>
        <v>1810</v>
      </c>
      <c r="D2178" s="2" t="str">
        <f>IFERROR(__xludf.DUMMYFUNCTION("""COMPUTED_VALUE"""),"EX")</f>
        <v>EX</v>
      </c>
      <c r="E2178" s="2" t="str">
        <f>IFERROR(__xludf.DUMMYFUNCTION("""COMPUTED_VALUE"""),"金23")</f>
        <v>金23</v>
      </c>
      <c r="F2178" s="2" t="s">
        <v>6833</v>
      </c>
      <c r="G2178" s="2" t="s">
        <v>6840</v>
      </c>
      <c r="H2178" s="1">
        <v>3.0</v>
      </c>
      <c r="I2178" s="1" t="s">
        <v>2876</v>
      </c>
      <c r="J2178" s="1" t="s">
        <v>1435</v>
      </c>
      <c r="K2178" s="2" t="s">
        <v>6841</v>
      </c>
      <c r="L2178" s="11" t="s">
        <v>6842</v>
      </c>
      <c r="M2178" s="2" t="str">
        <f>IFERROR(__xludf.DUMMYFUNCTION("split(split(K2178,""【"",false),""公式LINE"",false)"),"トキワ(広末涼子)は、ひょんなことから扇店『かなめ屋』を営む小宮千津(加賀まりこ)と出会い、愛猫・カナメを残して逝くことになるかもしれないという千津の不安を聞き、達也(相葉雅紀)にそのことを話す。二人は、神楽坂で動物を飼うお年寄りのために往診をすることを考える。突然病院に姿を現した徳丸(イッセー尾形)は、二人の様子を見て安堵の表情を浮かべる。そんな中、千津の愛猫・カナメの病気が発覚して…!?")</f>
        <v>トキワ(広末涼子)は、ひょんなことから扇店『かなめ屋』を営む小宮千津(加賀まりこ)と出会い、愛猫・カナメを残して逝くことになるかもしれないという千津の不安を聞き、達也(相葉雅紀)にそのことを話す。二人は、神楽坂で動物を飼うお年寄りのために往診をすることを考える。突然病院に姿を現した徳丸(イッセー尾形)は、二人の様子を見て安堵の表情を浮かべる。そんな中、千津の愛猫・カナメの病気が発覚して…!?</v>
      </c>
      <c r="N2178" s="2"/>
      <c r="O2178" s="2"/>
      <c r="P2178" s="2"/>
      <c r="Q2178" s="2"/>
      <c r="R2178" s="2"/>
      <c r="S2178" s="2"/>
      <c r="T2178" s="2"/>
      <c r="U2178" s="2"/>
      <c r="V2178" s="2"/>
      <c r="W2178" s="2"/>
      <c r="X2178" s="2"/>
      <c r="Y2178" s="2"/>
      <c r="Z2178" s="2"/>
      <c r="AA2178" s="2"/>
      <c r="AB2178" s="2"/>
      <c r="AC2178" s="2"/>
      <c r="AD2178" s="2"/>
      <c r="AE2178" s="2"/>
      <c r="AF2178" s="2"/>
      <c r="AG2178" s="2"/>
      <c r="AH2178" s="2"/>
      <c r="AI2178" s="2"/>
      <c r="AJ2178" s="2"/>
      <c r="AK2178" s="2"/>
      <c r="AL2178" s="2"/>
      <c r="AM2178" s="2"/>
      <c r="AN2178" s="2"/>
      <c r="AO2178" s="2"/>
      <c r="AP2178" s="2"/>
      <c r="AQ2178" s="2"/>
      <c r="AR2178" s="2"/>
      <c r="AS2178" s="2"/>
      <c r="AT2178" s="2"/>
      <c r="AU2178" s="2"/>
      <c r="AV2178" s="2"/>
      <c r="AW2178" s="2"/>
      <c r="AX2178" s="2"/>
      <c r="AY2178" s="2"/>
      <c r="AZ2178" s="2"/>
      <c r="BA2178" s="2"/>
      <c r="BB2178" s="2"/>
    </row>
    <row r="2179" ht="204.75" customHeight="1">
      <c r="A2179" s="1">
        <v>551.0</v>
      </c>
      <c r="B2179" s="2" t="s">
        <v>6832</v>
      </c>
      <c r="C2179" s="2">
        <f>IFERROR(__xludf.DUMMYFUNCTION("split(B2179,""_"")"),1810.0)</f>
        <v>1810</v>
      </c>
      <c r="D2179" s="2" t="str">
        <f>IFERROR(__xludf.DUMMYFUNCTION("""COMPUTED_VALUE"""),"EX")</f>
        <v>EX</v>
      </c>
      <c r="E2179" s="2" t="str">
        <f>IFERROR(__xludf.DUMMYFUNCTION("""COMPUTED_VALUE"""),"金23")</f>
        <v>金23</v>
      </c>
      <c r="F2179" s="2" t="s">
        <v>6833</v>
      </c>
      <c r="G2179" s="2" t="s">
        <v>6843</v>
      </c>
      <c r="H2179" s="1">
        <v>4.0</v>
      </c>
      <c r="I2179" s="1" t="s">
        <v>2880</v>
      </c>
      <c r="J2179" s="1" t="s">
        <v>1435</v>
      </c>
      <c r="K2179" s="2" t="s">
        <v>6844</v>
      </c>
      <c r="L2179" s="11" t="s">
        <v>6845</v>
      </c>
      <c r="M2179" s="2" t="str">
        <f>IFERROR(__xludf.DUMMYFUNCTION("split(split(K2179,""【"",false),""公式LINE"",false)"),"獣医学生の広樹(小瀧望)が、心臓に腫瘍がある犬・ぐりと、飼い主・早苗(滝沢涼子)を連れて達也(相葉雅紀)のもとにやってくる。ぐりの年齢や心臓の状態を考えると手術は難しい…。達也は「1%でも可能性があるなら、見捨てるわけにいかない」と、トキワ(広末涼子)の反対を押し切って手術に臨む!手術は成功したが、ぐりの容態が急変し…!?その翌日から、坂の上動物病院に対する心無い噂が飛び交い始め…?")</f>
        <v>獣医学生の広樹(小瀧望)が、心臓に腫瘍がある犬・ぐりと、飼い主・早苗(滝沢涼子)を連れて達也(相葉雅紀)のもとにやってくる。ぐりの年齢や心臓の状態を考えると手術は難しい…。達也は「1%でも可能性があるなら、見捨てるわけにいかない」と、トキワ(広末涼子)の反対を押し切って手術に臨む!手術は成功したが、ぐりの容態が急変し…!?その翌日から、坂の上動物病院に対する心無い噂が飛び交い始め…?</v>
      </c>
      <c r="N2179" s="2"/>
      <c r="O2179" s="2"/>
      <c r="P2179" s="2"/>
      <c r="Q2179" s="2"/>
      <c r="R2179" s="2"/>
      <c r="S2179" s="2"/>
      <c r="T2179" s="2"/>
      <c r="U2179" s="2"/>
      <c r="V2179" s="2"/>
      <c r="W2179" s="2"/>
      <c r="X2179" s="2"/>
      <c r="Y2179" s="2"/>
      <c r="Z2179" s="2"/>
      <c r="AA2179" s="2"/>
      <c r="AB2179" s="2"/>
      <c r="AC2179" s="2"/>
      <c r="AD2179" s="2"/>
      <c r="AE2179" s="2"/>
      <c r="AF2179" s="2"/>
      <c r="AG2179" s="2"/>
      <c r="AH2179" s="2"/>
      <c r="AI2179" s="2"/>
      <c r="AJ2179" s="2"/>
      <c r="AK2179" s="2"/>
      <c r="AL2179" s="2"/>
      <c r="AM2179" s="2"/>
      <c r="AN2179" s="2"/>
      <c r="AO2179" s="2"/>
      <c r="AP2179" s="2"/>
      <c r="AQ2179" s="2"/>
      <c r="AR2179" s="2"/>
      <c r="AS2179" s="2"/>
      <c r="AT2179" s="2"/>
      <c r="AU2179" s="2"/>
      <c r="AV2179" s="2"/>
      <c r="AW2179" s="2"/>
      <c r="AX2179" s="2"/>
      <c r="AY2179" s="2"/>
      <c r="AZ2179" s="2"/>
      <c r="BA2179" s="2"/>
      <c r="BB2179" s="2"/>
    </row>
    <row r="2180" ht="204.75" customHeight="1">
      <c r="A2180" s="1">
        <v>552.0</v>
      </c>
      <c r="B2180" s="2" t="s">
        <v>6832</v>
      </c>
      <c r="C2180" s="2">
        <f>IFERROR(__xludf.DUMMYFUNCTION("split(B2180,""_"")"),1810.0)</f>
        <v>1810</v>
      </c>
      <c r="D2180" s="2" t="str">
        <f>IFERROR(__xludf.DUMMYFUNCTION("""COMPUTED_VALUE"""),"EX")</f>
        <v>EX</v>
      </c>
      <c r="E2180" s="2" t="str">
        <f>IFERROR(__xludf.DUMMYFUNCTION("""COMPUTED_VALUE"""),"金23")</f>
        <v>金23</v>
      </c>
      <c r="F2180" s="2" t="s">
        <v>6833</v>
      </c>
      <c r="G2180" s="2" t="s">
        <v>6846</v>
      </c>
      <c r="H2180" s="1">
        <v>5.0</v>
      </c>
      <c r="I2180" s="1" t="s">
        <v>2884</v>
      </c>
      <c r="J2180" s="1" t="s">
        <v>1435</v>
      </c>
      <c r="K2180" s="2" t="s">
        <v>6847</v>
      </c>
      <c r="L2180" s="11" t="s">
        <v>6848</v>
      </c>
      <c r="M2180" s="2" t="str">
        <f>IFERROR(__xludf.DUMMYFUNCTION("split(split(K2180,""【"",false),""公式LINE"",false)"),"獣医師・達也(相葉雅紀)のもとに、神楽坂の芸者・すず芽(趣里)がセキセイインコを連れてやってくる。断絶状態にある母・咲江(池谷のぶえ)が入院することになり、世話をすることになったのだ。その頃、トキワ(広末涼子)は、行方不明の夫・佑(眞島秀和)の両親がやってきて「大地(矢村央希)を返して」と懇願される。トキワと大地、そして咲江とすず芽…ふたつの“親子""の運命は!?")</f>
        <v>獣医師・達也(相葉雅紀)のもとに、神楽坂の芸者・すず芽(趣里)がセキセイインコを連れてやってくる。断絶状態にある母・咲江(池谷のぶえ)が入院することになり、世話をすることになったのだ。その頃、トキワ(広末涼子)は、行方不明の夫・佑(眞島秀和)の両親がやってきて「大地(矢村央希)を返して」と懇願される。トキワと大地、そして咲江とすず芽…ふたつの“親子"の運命は!?</v>
      </c>
      <c r="N2180" s="2"/>
      <c r="O2180" s="2"/>
      <c r="P2180" s="2"/>
      <c r="Q2180" s="2"/>
      <c r="R2180" s="2"/>
      <c r="S2180" s="2"/>
      <c r="T2180" s="2"/>
      <c r="U2180" s="2"/>
      <c r="V2180" s="2"/>
      <c r="W2180" s="2"/>
      <c r="X2180" s="2"/>
      <c r="Y2180" s="2"/>
      <c r="Z2180" s="2"/>
      <c r="AA2180" s="2"/>
      <c r="AB2180" s="2"/>
      <c r="AC2180" s="2"/>
      <c r="AD2180" s="2"/>
      <c r="AE2180" s="2"/>
      <c r="AF2180" s="2"/>
      <c r="AG2180" s="2"/>
      <c r="AH2180" s="2"/>
      <c r="AI2180" s="2"/>
      <c r="AJ2180" s="2"/>
      <c r="AK2180" s="2"/>
      <c r="AL2180" s="2"/>
      <c r="AM2180" s="2"/>
      <c r="AN2180" s="2"/>
      <c r="AO2180" s="2"/>
      <c r="AP2180" s="2"/>
      <c r="AQ2180" s="2"/>
      <c r="AR2180" s="2"/>
      <c r="AS2180" s="2"/>
      <c r="AT2180" s="2"/>
      <c r="AU2180" s="2"/>
      <c r="AV2180" s="2"/>
      <c r="AW2180" s="2"/>
      <c r="AX2180" s="2"/>
      <c r="AY2180" s="2"/>
      <c r="AZ2180" s="2"/>
      <c r="BA2180" s="2"/>
      <c r="BB2180" s="2"/>
    </row>
    <row r="2181" ht="204.75" customHeight="1">
      <c r="A2181" s="1">
        <v>553.0</v>
      </c>
      <c r="B2181" s="2" t="s">
        <v>6832</v>
      </c>
      <c r="C2181" s="2">
        <f>IFERROR(__xludf.DUMMYFUNCTION("split(B2181,""_"")"),1810.0)</f>
        <v>1810</v>
      </c>
      <c r="D2181" s="2" t="str">
        <f>IFERROR(__xludf.DUMMYFUNCTION("""COMPUTED_VALUE"""),"EX")</f>
        <v>EX</v>
      </c>
      <c r="E2181" s="2" t="str">
        <f>IFERROR(__xludf.DUMMYFUNCTION("""COMPUTED_VALUE"""),"金23")</f>
        <v>金23</v>
      </c>
      <c r="F2181" s="2" t="s">
        <v>6833</v>
      </c>
      <c r="G2181" s="2" t="s">
        <v>6849</v>
      </c>
      <c r="H2181" s="1">
        <v>6.0</v>
      </c>
      <c r="I2181" s="1" t="s">
        <v>2888</v>
      </c>
      <c r="J2181" s="1" t="s">
        <v>1435</v>
      </c>
      <c r="K2181" s="2" t="s">
        <v>6850</v>
      </c>
      <c r="L2181" s="11" t="s">
        <v>6851</v>
      </c>
      <c r="M2181" s="2" t="str">
        <f>IFERROR(__xludf.DUMMYFUNCTION("split(split(K2181,""【"",false),""公式LINE"",false)"),"獣医師・達也(相葉雅紀)のもとに、大沢香子(喜多乃愛)が弱ったチワワを連れてやってくる。新しい飼い主が見つかるまで香子の家で暮らすことに。香子は「チワワを飼いたい」と母親に切望するが大反対される…。果たしてチワワの運命は!?そんな中、「達也とトキワ(広末涼子)がキスをしていた」という噂が流れ始める。根も葉もない噂に困惑する達也とトキワだったが、二人の距離が急激に縮まるある出来事が起きて…?")</f>
        <v>獣医師・達也(相葉雅紀)のもとに、大沢香子(喜多乃愛)が弱ったチワワを連れてやってくる。新しい飼い主が見つかるまで香子の家で暮らすことに。香子は「チワワを飼いたい」と母親に切望するが大反対される…。果たしてチワワの運命は!?そんな中、「達也とトキワ(広末涼子)がキスをしていた」という噂が流れ始める。根も葉もない噂に困惑する達也とトキワだったが、二人の距離が急激に縮まるある出来事が起きて…?</v>
      </c>
      <c r="N2181" s="2"/>
      <c r="O2181" s="2"/>
      <c r="P2181" s="2"/>
      <c r="Q2181" s="2"/>
      <c r="R2181" s="2"/>
      <c r="S2181" s="2"/>
      <c r="T2181" s="2"/>
      <c r="U2181" s="2"/>
      <c r="V2181" s="2"/>
      <c r="W2181" s="2"/>
      <c r="X2181" s="2"/>
      <c r="Y2181" s="2"/>
      <c r="Z2181" s="2"/>
      <c r="AA2181" s="2"/>
      <c r="AB2181" s="2"/>
      <c r="AC2181" s="2"/>
      <c r="AD2181" s="2"/>
      <c r="AE2181" s="2"/>
      <c r="AF2181" s="2"/>
      <c r="AG2181" s="2"/>
      <c r="AH2181" s="2"/>
      <c r="AI2181" s="2"/>
      <c r="AJ2181" s="2"/>
      <c r="AK2181" s="2"/>
      <c r="AL2181" s="2"/>
      <c r="AM2181" s="2"/>
      <c r="AN2181" s="2"/>
      <c r="AO2181" s="2"/>
      <c r="AP2181" s="2"/>
      <c r="AQ2181" s="2"/>
      <c r="AR2181" s="2"/>
      <c r="AS2181" s="2"/>
      <c r="AT2181" s="2"/>
      <c r="AU2181" s="2"/>
      <c r="AV2181" s="2"/>
      <c r="AW2181" s="2"/>
      <c r="AX2181" s="2"/>
      <c r="AY2181" s="2"/>
      <c r="AZ2181" s="2"/>
      <c r="BA2181" s="2"/>
      <c r="BB2181" s="2"/>
    </row>
    <row r="2182" ht="204.75" customHeight="1">
      <c r="A2182" s="1">
        <v>554.0</v>
      </c>
      <c r="B2182" s="2" t="s">
        <v>6832</v>
      </c>
      <c r="C2182" s="2">
        <f>IFERROR(__xludf.DUMMYFUNCTION("split(B2182,""_"")"),1810.0)</f>
        <v>1810</v>
      </c>
      <c r="D2182" s="2" t="str">
        <f>IFERROR(__xludf.DUMMYFUNCTION("""COMPUTED_VALUE"""),"EX")</f>
        <v>EX</v>
      </c>
      <c r="E2182" s="2" t="str">
        <f>IFERROR(__xludf.DUMMYFUNCTION("""COMPUTED_VALUE"""),"金23")</f>
        <v>金23</v>
      </c>
      <c r="F2182" s="2" t="s">
        <v>6833</v>
      </c>
      <c r="G2182" s="2" t="s">
        <v>6852</v>
      </c>
      <c r="H2182" s="1">
        <v>7.0</v>
      </c>
      <c r="I2182" s="1" t="s">
        <v>2892</v>
      </c>
      <c r="J2182" s="1" t="s">
        <v>1435</v>
      </c>
      <c r="K2182" s="2" t="s">
        <v>6853</v>
      </c>
      <c r="L2182" s="11" t="s">
        <v>6854</v>
      </c>
      <c r="M2182" s="2" t="str">
        <f>IFERROR(__xludf.DUMMYFUNCTION("split(split(K2182,""【"",false),""公式LINE"",false)"),"トキワ(広末涼子)が熱を出し、坂の上動物病院は達也(相葉雅紀)と広樹(小瀧望)だけで診療を行わなければならず、てんてこ舞いに!そんな中、まめ福(渚)は老舗ホテル社長にプロポーズされ、達也に相談をしていた。結婚観を名倉(大倉孝二)と話したばかりだった達也は、妙にトキワのことを意識してしまい…?そんな中、名倉の飼い犬が急患として病院にやってくる。脳腫瘍を患っていることを知った名倉が選んだ答えは…?")</f>
        <v>トキワ(広末涼子)が熱を出し、坂の上動物病院は達也(相葉雅紀)と広樹(小瀧望)だけで診療を行わなければならず、てんてこ舞いに!そんな中、まめ福(渚)は老舗ホテル社長にプロポーズされ、達也に相談をしていた。結婚観を名倉(大倉孝二)と話したばかりだった達也は、妙にトキワのことを意識してしまい…?そんな中、名倉の飼い犬が急患として病院にやってくる。脳腫瘍を患っていることを知った名倉が選んだ答えは…?</v>
      </c>
      <c r="N2182" s="2"/>
      <c r="O2182" s="2"/>
      <c r="P2182" s="2"/>
      <c r="Q2182" s="2"/>
      <c r="R2182" s="2"/>
      <c r="S2182" s="2"/>
      <c r="T2182" s="2"/>
      <c r="U2182" s="2"/>
      <c r="V2182" s="2"/>
      <c r="W2182" s="2"/>
      <c r="X2182" s="2"/>
      <c r="Y2182" s="2"/>
      <c r="Z2182" s="2"/>
      <c r="AA2182" s="2"/>
      <c r="AB2182" s="2"/>
      <c r="AC2182" s="2"/>
      <c r="AD2182" s="2"/>
      <c r="AE2182" s="2"/>
      <c r="AF2182" s="2"/>
      <c r="AG2182" s="2"/>
      <c r="AH2182" s="2"/>
      <c r="AI2182" s="2"/>
      <c r="AJ2182" s="2"/>
      <c r="AK2182" s="2"/>
      <c r="AL2182" s="2"/>
      <c r="AM2182" s="2"/>
      <c r="AN2182" s="2"/>
      <c r="AO2182" s="2"/>
      <c r="AP2182" s="2"/>
      <c r="AQ2182" s="2"/>
      <c r="AR2182" s="2"/>
      <c r="AS2182" s="2"/>
      <c r="AT2182" s="2"/>
      <c r="AU2182" s="2"/>
      <c r="AV2182" s="2"/>
      <c r="AW2182" s="2"/>
      <c r="AX2182" s="2"/>
      <c r="AY2182" s="2"/>
      <c r="AZ2182" s="2"/>
      <c r="BA2182" s="2"/>
      <c r="BB2182" s="2"/>
    </row>
    <row r="2183" ht="204.75" customHeight="1">
      <c r="A2183" s="1">
        <v>555.0</v>
      </c>
      <c r="B2183" s="2" t="s">
        <v>6832</v>
      </c>
      <c r="C2183" s="2">
        <f>IFERROR(__xludf.DUMMYFUNCTION("split(B2183,""_"")"),1810.0)</f>
        <v>1810</v>
      </c>
      <c r="D2183" s="2" t="str">
        <f>IFERROR(__xludf.DUMMYFUNCTION("""COMPUTED_VALUE"""),"EX")</f>
        <v>EX</v>
      </c>
      <c r="E2183" s="2" t="str">
        <f>IFERROR(__xludf.DUMMYFUNCTION("""COMPUTED_VALUE"""),"金23")</f>
        <v>金23</v>
      </c>
      <c r="F2183" s="2" t="s">
        <v>6833</v>
      </c>
      <c r="G2183" s="2" t="s">
        <v>6855</v>
      </c>
      <c r="H2183" s="1">
        <v>8.0</v>
      </c>
      <c r="I2183" s="1" t="s">
        <v>2896</v>
      </c>
      <c r="J2183" s="1" t="s">
        <v>1435</v>
      </c>
      <c r="K2183" s="2" t="s">
        <v>6856</v>
      </c>
      <c r="L2183" s="11" t="s">
        <v>6857</v>
      </c>
      <c r="M2183" s="2" t="str">
        <f>IFERROR(__xludf.DUMMYFUNCTION("split(split(K2183,""【"",false),""公式LINE"",false)"),"トキワ(広末涼子)のもとに、夫の佑(眞島秀和)と見られる日本人男性が南米で見つかったと連絡が入る。神楽坂界隈は、その話題で持ちきりになる。しかし、衝撃の真実が明らかになり、トキワは大きなショックを受ける。達也(相葉雅紀)にも、大地(矢村央希)にも言い出せず、今後のことを考えて不安になるトキワだったが…?そんな中、病院に認知症を患った犬が迷い込んでくる。飼い主の蔦子がその犬を迎えにくるが…")</f>
        <v>トキワ(広末涼子)のもとに、夫の佑(眞島秀和)と見られる日本人男性が南米で見つかったと連絡が入る。神楽坂界隈は、その話題で持ちきりになる。しかし、衝撃の真実が明らかになり、トキワは大きなショックを受ける。達也(相葉雅紀)にも、大地(矢村央希)にも言い出せず、今後のことを考えて不安になるトキワだったが…?そんな中、病院に認知症を患った犬が迷い込んでくる。飼い主の蔦子がその犬を迎えにくるが…</v>
      </c>
      <c r="N2183" s="2"/>
      <c r="O2183" s="2"/>
      <c r="P2183" s="2"/>
      <c r="Q2183" s="2"/>
      <c r="R2183" s="2"/>
      <c r="S2183" s="2"/>
      <c r="T2183" s="2"/>
      <c r="U2183" s="2"/>
      <c r="V2183" s="2"/>
      <c r="W2183" s="2"/>
      <c r="X2183" s="2"/>
      <c r="Y2183" s="2"/>
      <c r="Z2183" s="2"/>
      <c r="AA2183" s="2"/>
      <c r="AB2183" s="2"/>
      <c r="AC2183" s="2"/>
      <c r="AD2183" s="2"/>
      <c r="AE2183" s="2"/>
      <c r="AF2183" s="2"/>
      <c r="AG2183" s="2"/>
      <c r="AH2183" s="2"/>
      <c r="AI2183" s="2"/>
      <c r="AJ2183" s="2"/>
      <c r="AK2183" s="2"/>
      <c r="AL2183" s="2"/>
      <c r="AM2183" s="2"/>
      <c r="AN2183" s="2"/>
      <c r="AO2183" s="2"/>
      <c r="AP2183" s="2"/>
      <c r="AQ2183" s="2"/>
      <c r="AR2183" s="2"/>
      <c r="AS2183" s="2"/>
      <c r="AT2183" s="2"/>
      <c r="AU2183" s="2"/>
      <c r="AV2183" s="2"/>
      <c r="AW2183" s="2"/>
      <c r="AX2183" s="2"/>
      <c r="AY2183" s="2"/>
      <c r="AZ2183" s="2"/>
      <c r="BA2183" s="2"/>
      <c r="BB2183" s="2"/>
    </row>
    <row r="2184" ht="204.75" customHeight="1">
      <c r="A2184" s="1">
        <v>566.0</v>
      </c>
      <c r="B2184" s="2" t="s">
        <v>6858</v>
      </c>
      <c r="C2184" s="2">
        <f>IFERROR(__xludf.DUMMYFUNCTION("split(B2184,""_"")"),1810.0)</f>
        <v>1810</v>
      </c>
      <c r="D2184" s="2" t="str">
        <f>IFERROR(__xludf.DUMMYFUNCTION("""COMPUTED_VALUE"""),"EX")</f>
        <v>EX</v>
      </c>
      <c r="E2184" s="2" t="str">
        <f>IFERROR(__xludf.DUMMYFUNCTION("""COMPUTED_VALUE"""),"土23")</f>
        <v>土23</v>
      </c>
      <c r="F2184" s="2" t="s">
        <v>6859</v>
      </c>
      <c r="G2184" s="2" t="s">
        <v>6860</v>
      </c>
      <c r="H2184" s="1">
        <v>1.0</v>
      </c>
      <c r="I2184" s="1" t="s">
        <v>2868</v>
      </c>
      <c r="J2184" s="1" t="s">
        <v>1435</v>
      </c>
      <c r="K2184" s="2" t="s">
        <v>6861</v>
      </c>
      <c r="L2184" s="11" t="s">
        <v>6862</v>
      </c>
      <c r="M2184" s="2" t="str">
        <f>IFERROR(__xludf.DUMMYFUNCTION("split(split(K2184,""【"",false),""公式LINE"",false)"),"夫・旬平(萩原聖人)から「酒造会社の社長が来るから、迎えに行ってくれ」と言われた通子(木村佳乃)は、東京駅へ。男性社長だと思って待っていた通子の前に現れたのは、着物姿の多衣(水野美紀)。多衣は通子を自身が泊まっているホテルの喫茶に誘うと、勝ち誇った顔で言う。     「わたくし、ご主人をいただきにまいりました」ーー。    通子の幼なじみ・笠井(田中哲司)も巻き込んで、男女4人のドロ沼愛憎劇が幕を開ける!")</f>
        <v>夫・旬平(萩原聖人)から「酒造会社の社長が来るから、迎えに行ってくれ」と言われた通子(木村佳乃)は、東京駅へ。男性社長だと思って待っていた通子の前に現れたのは、着物姿の多衣(水野美紀)。多衣は通子を自身が泊まっているホテルの喫茶に誘うと、勝ち誇った顔で言う。     「わたくし、ご主人をいただきにまいりました」ーー。    通子の幼なじみ・笠井(田中哲司)も巻き込んで、男女4人のドロ沼愛憎劇が幕を開ける!</v>
      </c>
      <c r="N2184" s="2"/>
      <c r="O2184" s="2"/>
      <c r="P2184" s="2"/>
      <c r="Q2184" s="2"/>
      <c r="R2184" s="2"/>
      <c r="S2184" s="2"/>
      <c r="T2184" s="2"/>
      <c r="U2184" s="2"/>
      <c r="V2184" s="2"/>
      <c r="W2184" s="2"/>
      <c r="X2184" s="2"/>
      <c r="Y2184" s="2"/>
      <c r="Z2184" s="2"/>
      <c r="AA2184" s="2"/>
      <c r="AB2184" s="2"/>
      <c r="AC2184" s="2"/>
      <c r="AD2184" s="2"/>
      <c r="AE2184" s="2"/>
      <c r="AF2184" s="2"/>
      <c r="AG2184" s="2"/>
      <c r="AH2184" s="2"/>
      <c r="AI2184" s="2"/>
      <c r="AJ2184" s="2"/>
      <c r="AK2184" s="2"/>
      <c r="AL2184" s="2"/>
      <c r="AM2184" s="2"/>
      <c r="AN2184" s="2"/>
      <c r="AO2184" s="2"/>
      <c r="AP2184" s="2"/>
      <c r="AQ2184" s="2"/>
      <c r="AR2184" s="2"/>
      <c r="AS2184" s="2"/>
      <c r="AT2184" s="2"/>
      <c r="AU2184" s="2"/>
      <c r="AV2184" s="2"/>
      <c r="AW2184" s="2"/>
      <c r="AX2184" s="2"/>
      <c r="AY2184" s="2"/>
      <c r="AZ2184" s="2"/>
      <c r="BA2184" s="2"/>
      <c r="BB2184" s="2"/>
    </row>
    <row r="2185" ht="204.75" customHeight="1">
      <c r="A2185" s="1">
        <v>567.0</v>
      </c>
      <c r="B2185" s="2" t="s">
        <v>6858</v>
      </c>
      <c r="C2185" s="2">
        <f>IFERROR(__xludf.DUMMYFUNCTION("split(B2185,""_"")"),1810.0)</f>
        <v>1810</v>
      </c>
      <c r="D2185" s="2" t="str">
        <f>IFERROR(__xludf.DUMMYFUNCTION("""COMPUTED_VALUE"""),"EX")</f>
        <v>EX</v>
      </c>
      <c r="E2185" s="2" t="str">
        <f>IFERROR(__xludf.DUMMYFUNCTION("""COMPUTED_VALUE"""),"土23")</f>
        <v>土23</v>
      </c>
      <c r="F2185" s="2" t="s">
        <v>6859</v>
      </c>
      <c r="G2185" s="2" t="s">
        <v>6863</v>
      </c>
      <c r="H2185" s="1">
        <v>2.0</v>
      </c>
      <c r="I2185" s="1" t="s">
        <v>2872</v>
      </c>
      <c r="J2185" s="1" t="s">
        <v>1435</v>
      </c>
      <c r="K2185" s="2" t="s">
        <v>6864</v>
      </c>
      <c r="L2185" s="11" t="s">
        <v>6865</v>
      </c>
      <c r="M2185" s="2" t="str">
        <f>IFERROR(__xludf.DUMMYFUNCTION("split(split(K2185,""【"",false),""公式LINE"",false)"),"夫・旬平(萩原聖人)の愛人・多衣(水野美紀)から6000万円を借りることになった通子(木村佳乃)は、金が用意できるまでの間、多衣の紹介で金沢の旅館に泊まる。しかし、そこには多衣の仕掛けた罠が…!その後、新生『花ずみ』の開店準備をする通子と旬平の前に、通子の幼なじみ笠井(田中哲司)が様子を伺いに訪問。さらに多衣までが現れ、四角関係の当事者が一堂に会する修羅場に!そして、いよいよ開店初日を迎えるが…!?")</f>
        <v>夫・旬平(萩原聖人)の愛人・多衣(水野美紀)から6000万円を借りることになった通子(木村佳乃)は、金が用意できるまでの間、多衣の紹介で金沢の旅館に泊まる。しかし、そこには多衣の仕掛けた罠が…!その後、新生『花ずみ』の開店準備をする通子と旬平の前に、通子の幼なじみ笠井(田中哲司)が様子を伺いに訪問。さらに多衣までが現れ、四角関係の当事者が一堂に会する修羅場に!そして、いよいよ開店初日を迎えるが…!?</v>
      </c>
      <c r="N2185" s="2"/>
      <c r="O2185" s="2"/>
      <c r="P2185" s="2"/>
      <c r="Q2185" s="2"/>
      <c r="R2185" s="2"/>
      <c r="S2185" s="2"/>
      <c r="T2185" s="2"/>
      <c r="U2185" s="2"/>
      <c r="V2185" s="2"/>
      <c r="W2185" s="2"/>
      <c r="X2185" s="2"/>
      <c r="Y2185" s="2"/>
      <c r="Z2185" s="2"/>
      <c r="AA2185" s="2"/>
      <c r="AB2185" s="2"/>
      <c r="AC2185" s="2"/>
      <c r="AD2185" s="2"/>
      <c r="AE2185" s="2"/>
      <c r="AF2185" s="2"/>
      <c r="AG2185" s="2"/>
      <c r="AH2185" s="2"/>
      <c r="AI2185" s="2"/>
      <c r="AJ2185" s="2"/>
      <c r="AK2185" s="2"/>
      <c r="AL2185" s="2"/>
      <c r="AM2185" s="2"/>
      <c r="AN2185" s="2"/>
      <c r="AO2185" s="2"/>
      <c r="AP2185" s="2"/>
      <c r="AQ2185" s="2"/>
      <c r="AR2185" s="2"/>
      <c r="AS2185" s="2"/>
      <c r="AT2185" s="2"/>
      <c r="AU2185" s="2"/>
      <c r="AV2185" s="2"/>
      <c r="AW2185" s="2"/>
      <c r="AX2185" s="2"/>
      <c r="AY2185" s="2"/>
      <c r="AZ2185" s="2"/>
      <c r="BA2185" s="2"/>
      <c r="BB2185" s="2"/>
    </row>
    <row r="2186" ht="204.75" customHeight="1">
      <c r="A2186" s="1">
        <v>568.0</v>
      </c>
      <c r="B2186" s="2" t="s">
        <v>6858</v>
      </c>
      <c r="C2186" s="2">
        <f>IFERROR(__xludf.DUMMYFUNCTION("split(B2186,""_"")"),1810.0)</f>
        <v>1810</v>
      </c>
      <c r="D2186" s="2" t="str">
        <f>IFERROR(__xludf.DUMMYFUNCTION("""COMPUTED_VALUE"""),"EX")</f>
        <v>EX</v>
      </c>
      <c r="E2186" s="2" t="str">
        <f>IFERROR(__xludf.DUMMYFUNCTION("""COMPUTED_VALUE"""),"土23")</f>
        <v>土23</v>
      </c>
      <c r="F2186" s="2" t="s">
        <v>6859</v>
      </c>
      <c r="G2186" s="2" t="s">
        <v>6866</v>
      </c>
      <c r="H2186" s="1">
        <v>3.0</v>
      </c>
      <c r="I2186" s="1" t="s">
        <v>2876</v>
      </c>
      <c r="J2186" s="1" t="s">
        <v>1435</v>
      </c>
      <c r="K2186" s="2" t="s">
        <v>6867</v>
      </c>
      <c r="L2186" s="11" t="s">
        <v>6868</v>
      </c>
      <c r="M2186" s="2" t="str">
        <f>IFERROR(__xludf.DUMMYFUNCTION("split(split(K2186,""【"",false),""公式LINE"",false)"),"料亭『花ずみ』の女将として順調なスタートを切った通子(木村佳乃)。しかしそこに“もう一人の愛人""が出現!その女性は、旬平(萩原聖人)の父親で先代板長の愛人・鶴代(萬田久子)。そしてその後ろから、旬平を通子から奪った多衣(水野美紀)までもが現れる!義父の愛人だった鶴代と、夫の愛人だった多衣…。最初は別々の場所に座っていた鶴代と多衣だが、やがて2人の愛人は通子を巻き込んだバトルを展開し始め…!?")</f>
        <v>料亭『花ずみ』の女将として順調なスタートを切った通子(木村佳乃)。しかしそこに“もう一人の愛人"が出現!その女性は、旬平(萩原聖人)の父親で先代板長の愛人・鶴代(萬田久子)。そしてその後ろから、旬平を通子から奪った多衣(水野美紀)までもが現れる!義父の愛人だった鶴代と、夫の愛人だった多衣…。最初は別々の場所に座っていた鶴代と多衣だが、やがて2人の愛人は通子を巻き込んだバトルを展開し始め…!?</v>
      </c>
      <c r="N2186" s="2"/>
      <c r="O2186" s="2"/>
      <c r="P2186" s="2"/>
      <c r="Q2186" s="2"/>
      <c r="R2186" s="2"/>
      <c r="S2186" s="2"/>
      <c r="T2186" s="2"/>
      <c r="U2186" s="2"/>
      <c r="V2186" s="2"/>
      <c r="W2186" s="2"/>
      <c r="X2186" s="2"/>
      <c r="Y2186" s="2"/>
      <c r="Z2186" s="2"/>
      <c r="AA2186" s="2"/>
      <c r="AB2186" s="2"/>
      <c r="AC2186" s="2"/>
      <c r="AD2186" s="2"/>
      <c r="AE2186" s="2"/>
      <c r="AF2186" s="2"/>
      <c r="AG2186" s="2"/>
      <c r="AH2186" s="2"/>
      <c r="AI2186" s="2"/>
      <c r="AJ2186" s="2"/>
      <c r="AK2186" s="2"/>
      <c r="AL2186" s="2"/>
      <c r="AM2186" s="2"/>
      <c r="AN2186" s="2"/>
      <c r="AO2186" s="2"/>
      <c r="AP2186" s="2"/>
      <c r="AQ2186" s="2"/>
      <c r="AR2186" s="2"/>
      <c r="AS2186" s="2"/>
      <c r="AT2186" s="2"/>
      <c r="AU2186" s="2"/>
      <c r="AV2186" s="2"/>
      <c r="AW2186" s="2"/>
      <c r="AX2186" s="2"/>
      <c r="AY2186" s="2"/>
      <c r="AZ2186" s="2"/>
      <c r="BA2186" s="2"/>
      <c r="BB2186" s="2"/>
    </row>
    <row r="2187" ht="204.75" customHeight="1">
      <c r="A2187" s="1">
        <v>569.0</v>
      </c>
      <c r="B2187" s="2" t="s">
        <v>6858</v>
      </c>
      <c r="C2187" s="2">
        <f>IFERROR(__xludf.DUMMYFUNCTION("split(B2187,""_"")"),1810.0)</f>
        <v>1810</v>
      </c>
      <c r="D2187" s="2" t="str">
        <f>IFERROR(__xludf.DUMMYFUNCTION("""COMPUTED_VALUE"""),"EX")</f>
        <v>EX</v>
      </c>
      <c r="E2187" s="2" t="str">
        <f>IFERROR(__xludf.DUMMYFUNCTION("""COMPUTED_VALUE"""),"土23")</f>
        <v>土23</v>
      </c>
      <c r="F2187" s="2" t="s">
        <v>6859</v>
      </c>
      <c r="G2187" s="2" t="s">
        <v>6869</v>
      </c>
      <c r="H2187" s="1">
        <v>4.0</v>
      </c>
      <c r="I2187" s="1" t="s">
        <v>2880</v>
      </c>
      <c r="J2187" s="1" t="s">
        <v>1435</v>
      </c>
      <c r="K2187" s="2" t="s">
        <v>6870</v>
      </c>
      <c r="L2187" s="11" t="s">
        <v>6871</v>
      </c>
      <c r="M2187" s="2" t="str">
        <f>IFERROR(__xludf.DUMMYFUNCTION("split(split(K2187,""【"",false),""公式LINE"",false)"),"元夫・旬平(萩原聖人)への未練を断ち切り、料亭『花ずみ』の女将として邁進する通子(木村佳乃)。そんな通子の手腕によって1000食分の弁当を引き受けることになり、夫を奪った多衣(水野美紀)にも手伝ってもらうことに。そんな中、スパイ疑惑で『花ずみ』を辞めた八重(荻野目慶子)が店に飛び込んでくる!しかもその手は血まみれで…!?さらに、通子に思いを寄せる幼なじみの笠井(田中哲司)もついに行動に出るが…!?")</f>
        <v>元夫・旬平(萩原聖人)への未練を断ち切り、料亭『花ずみ』の女将として邁進する通子(木村佳乃)。そんな通子の手腕によって1000食分の弁当を引き受けることになり、夫を奪った多衣(水野美紀)にも手伝ってもらうことに。そんな中、スパイ疑惑で『花ずみ』を辞めた八重(荻野目慶子)が店に飛び込んでくる!しかもその手は血まみれで…!?さらに、通子に思いを寄せる幼なじみの笠井(田中哲司)もついに行動に出るが…!?</v>
      </c>
      <c r="N2187" s="2"/>
      <c r="O2187" s="2"/>
      <c r="P2187" s="2"/>
      <c r="Q2187" s="2"/>
      <c r="R2187" s="2"/>
      <c r="S2187" s="2"/>
      <c r="T2187" s="2"/>
      <c r="U2187" s="2"/>
      <c r="V2187" s="2"/>
      <c r="W2187" s="2"/>
      <c r="X2187" s="2"/>
      <c r="Y2187" s="2"/>
      <c r="Z2187" s="2"/>
      <c r="AA2187" s="2"/>
      <c r="AB2187" s="2"/>
      <c r="AC2187" s="2"/>
      <c r="AD2187" s="2"/>
      <c r="AE2187" s="2"/>
      <c r="AF2187" s="2"/>
      <c r="AG2187" s="2"/>
      <c r="AH2187" s="2"/>
      <c r="AI2187" s="2"/>
      <c r="AJ2187" s="2"/>
      <c r="AK2187" s="2"/>
      <c r="AL2187" s="2"/>
      <c r="AM2187" s="2"/>
      <c r="AN2187" s="2"/>
      <c r="AO2187" s="2"/>
      <c r="AP2187" s="2"/>
      <c r="AQ2187" s="2"/>
      <c r="AR2187" s="2"/>
      <c r="AS2187" s="2"/>
      <c r="AT2187" s="2"/>
      <c r="AU2187" s="2"/>
      <c r="AV2187" s="2"/>
      <c r="AW2187" s="2"/>
      <c r="AX2187" s="2"/>
      <c r="AY2187" s="2"/>
      <c r="AZ2187" s="2"/>
      <c r="BA2187" s="2"/>
      <c r="BB2187" s="2"/>
    </row>
    <row r="2188" ht="204.75" customHeight="1">
      <c r="A2188" s="1">
        <v>570.0</v>
      </c>
      <c r="B2188" s="2" t="s">
        <v>6858</v>
      </c>
      <c r="C2188" s="2">
        <f>IFERROR(__xludf.DUMMYFUNCTION("split(B2188,""_"")"),1810.0)</f>
        <v>1810</v>
      </c>
      <c r="D2188" s="2" t="str">
        <f>IFERROR(__xludf.DUMMYFUNCTION("""COMPUTED_VALUE"""),"EX")</f>
        <v>EX</v>
      </c>
      <c r="E2188" s="2" t="str">
        <f>IFERROR(__xludf.DUMMYFUNCTION("""COMPUTED_VALUE"""),"土23")</f>
        <v>土23</v>
      </c>
      <c r="F2188" s="2" t="s">
        <v>6859</v>
      </c>
      <c r="G2188" s="2" t="s">
        <v>6872</v>
      </c>
      <c r="H2188" s="1">
        <v>5.0</v>
      </c>
      <c r="I2188" s="1" t="s">
        <v>2884</v>
      </c>
      <c r="J2188" s="1" t="s">
        <v>1435</v>
      </c>
      <c r="K2188" s="2" t="s">
        <v>6873</v>
      </c>
      <c r="L2188" s="11" t="s">
        <v>6874</v>
      </c>
      <c r="M2188" s="2" t="str">
        <f>IFERROR(__xludf.DUMMYFUNCTION("split(split(K2188,""【"",false),""公式LINE"",false)"),"夫・旬平(萩原聖人)を奪った多衣(水野美紀)への復讐のため、通子(木村佳乃)は彼女を薪能を観る一泊旅行に誘い、二人で会場へ。その晩、旅館の客室で、突然通子は多衣に向かって「脱ぎなさい」と告げ、無理やり多衣の着物を剥ぎ取り始める…!通子の思惑とは?多衣の反応は?そして、多衣が通子のために用意した6000万円の出どころが、初めて明らかになるー!")</f>
        <v>夫・旬平(萩原聖人)を奪った多衣(水野美紀)への復讐のため、通子(木村佳乃)は彼女を薪能を観る一泊旅行に誘い、二人で会場へ。その晩、旅館の客室で、突然通子は多衣に向かって「脱ぎなさい」と告げ、無理やり多衣の着物を剥ぎ取り始める…!通子の思惑とは?多衣の反応は?そして、多衣が通子のために用意した6000万円の出どころが、初めて明らかになるー!</v>
      </c>
      <c r="N2188" s="2"/>
      <c r="O2188" s="2"/>
      <c r="P2188" s="2"/>
      <c r="Q2188" s="2"/>
      <c r="R2188" s="2"/>
      <c r="S2188" s="2"/>
      <c r="T2188" s="2"/>
      <c r="U2188" s="2"/>
      <c r="V2188" s="2"/>
      <c r="W2188" s="2"/>
      <c r="X2188" s="2"/>
      <c r="Y2188" s="2"/>
      <c r="Z2188" s="2"/>
      <c r="AA2188" s="2"/>
      <c r="AB2188" s="2"/>
      <c r="AC2188" s="2"/>
      <c r="AD2188" s="2"/>
      <c r="AE2188" s="2"/>
      <c r="AF2188" s="2"/>
      <c r="AG2188" s="2"/>
      <c r="AH2188" s="2"/>
      <c r="AI2188" s="2"/>
      <c r="AJ2188" s="2"/>
      <c r="AK2188" s="2"/>
      <c r="AL2188" s="2"/>
      <c r="AM2188" s="2"/>
      <c r="AN2188" s="2"/>
      <c r="AO2188" s="2"/>
      <c r="AP2188" s="2"/>
      <c r="AQ2188" s="2"/>
      <c r="AR2188" s="2"/>
      <c r="AS2188" s="2"/>
      <c r="AT2188" s="2"/>
      <c r="AU2188" s="2"/>
      <c r="AV2188" s="2"/>
      <c r="AW2188" s="2"/>
      <c r="AX2188" s="2"/>
      <c r="AY2188" s="2"/>
      <c r="AZ2188" s="2"/>
      <c r="BA2188" s="2"/>
      <c r="BB2188" s="2"/>
    </row>
    <row r="2189" ht="204.75" customHeight="1">
      <c r="A2189" s="1">
        <v>571.0</v>
      </c>
      <c r="B2189" s="2" t="s">
        <v>6858</v>
      </c>
      <c r="C2189" s="2">
        <f>IFERROR(__xludf.DUMMYFUNCTION("split(B2189,""_"")"),1810.0)</f>
        <v>1810</v>
      </c>
      <c r="D2189" s="2" t="str">
        <f>IFERROR(__xludf.DUMMYFUNCTION("""COMPUTED_VALUE"""),"EX")</f>
        <v>EX</v>
      </c>
      <c r="E2189" s="2" t="str">
        <f>IFERROR(__xludf.DUMMYFUNCTION("""COMPUTED_VALUE"""),"土23")</f>
        <v>土23</v>
      </c>
      <c r="F2189" s="2" t="s">
        <v>6859</v>
      </c>
      <c r="G2189" s="2" t="s">
        <v>6875</v>
      </c>
      <c r="H2189" s="1">
        <v>6.0</v>
      </c>
      <c r="I2189" s="1" t="s">
        <v>2888</v>
      </c>
      <c r="J2189" s="1" t="s">
        <v>1435</v>
      </c>
      <c r="K2189" s="2" t="s">
        <v>6876</v>
      </c>
      <c r="L2189" s="11" t="s">
        <v>6877</v>
      </c>
      <c r="M2189" s="2" t="str">
        <f>IFERROR(__xludf.DUMMYFUNCTION("split(split(K2189,""【"",false),""公式LINE"",false)"),"通子(木村佳乃)の夫・旬平(萩原聖人)が突然いなくなってから1年半…。その夫を奪っていった愛人・多衣(水野美紀)の妊娠が発覚!だが、彼女は父親については口をつぐみーー。そんな中、通子に恋心を寄せていた笠井(田中哲司)が贈賄疑惑の罪に問われることに。様々な出来事に混乱した通子は、笠井に教えてもらった住所を頼りに旬平の元へ。そこには旬平と、幼子を抱えた見知らぬ女がいて…!?急展開の最終章!")</f>
        <v>通子(木村佳乃)の夫・旬平(萩原聖人)が突然いなくなってから1年半…。その夫を奪っていった愛人・多衣(水野美紀)の妊娠が発覚!だが、彼女は父親については口をつぐみーー。そんな中、通子に恋心を寄せていた笠井(田中哲司)が贈賄疑惑の罪に問われることに。様々な出来事に混乱した通子は、笠井に教えてもらった住所を頼りに旬平の元へ。そこには旬平と、幼子を抱えた見知らぬ女がいて…!?急展開の最終章!</v>
      </c>
      <c r="N2189" s="2"/>
      <c r="O2189" s="2"/>
      <c r="P2189" s="2"/>
      <c r="Q2189" s="2"/>
      <c r="R2189" s="2"/>
      <c r="S2189" s="2"/>
      <c r="T2189" s="2"/>
      <c r="U2189" s="2"/>
      <c r="V2189" s="2"/>
      <c r="W2189" s="2"/>
      <c r="X2189" s="2"/>
      <c r="Y2189" s="2"/>
      <c r="Z2189" s="2"/>
      <c r="AA2189" s="2"/>
      <c r="AB2189" s="2"/>
      <c r="AC2189" s="2"/>
      <c r="AD2189" s="2"/>
      <c r="AE2189" s="2"/>
      <c r="AF2189" s="2"/>
      <c r="AG2189" s="2"/>
      <c r="AH2189" s="2"/>
      <c r="AI2189" s="2"/>
      <c r="AJ2189" s="2"/>
      <c r="AK2189" s="2"/>
      <c r="AL2189" s="2"/>
      <c r="AM2189" s="2"/>
      <c r="AN2189" s="2"/>
      <c r="AO2189" s="2"/>
      <c r="AP2189" s="2"/>
      <c r="AQ2189" s="2"/>
      <c r="AR2189" s="2"/>
      <c r="AS2189" s="2"/>
      <c r="AT2189" s="2"/>
      <c r="AU2189" s="2"/>
      <c r="AV2189" s="2"/>
      <c r="AW2189" s="2"/>
      <c r="AX2189" s="2"/>
      <c r="AY2189" s="2"/>
      <c r="AZ2189" s="2"/>
      <c r="BA2189" s="2"/>
      <c r="BB2189" s="2"/>
    </row>
    <row r="2190" ht="204.75" customHeight="1">
      <c r="A2190" s="1">
        <v>572.0</v>
      </c>
      <c r="B2190" s="2" t="s">
        <v>6858</v>
      </c>
      <c r="C2190" s="2">
        <f>IFERROR(__xludf.DUMMYFUNCTION("split(B2190,""_"")"),1810.0)</f>
        <v>1810</v>
      </c>
      <c r="D2190" s="2" t="str">
        <f>IFERROR(__xludf.DUMMYFUNCTION("""COMPUTED_VALUE"""),"EX")</f>
        <v>EX</v>
      </c>
      <c r="E2190" s="2" t="str">
        <f>IFERROR(__xludf.DUMMYFUNCTION("""COMPUTED_VALUE"""),"土23")</f>
        <v>土23</v>
      </c>
      <c r="F2190" s="2" t="s">
        <v>6859</v>
      </c>
      <c r="G2190" s="2" t="s">
        <v>6878</v>
      </c>
      <c r="H2190" s="1">
        <v>7.0</v>
      </c>
      <c r="J2190" s="1" t="s">
        <v>1435</v>
      </c>
      <c r="K2190" s="2" t="s">
        <v>6879</v>
      </c>
      <c r="L2190" s="11" t="s">
        <v>6880</v>
      </c>
      <c r="M2190" s="2" t="str">
        <f>IFERROR(__xludf.DUMMYFUNCTION("split(split(K2190,""【"",false),""公式LINE"",false)"),"笠井(田中哲司)の贈賄疑惑に関わっているという噂により、料亭「花ずみ」の客足が途絶え、ピンチに陥る通子(木村佳乃)。そんな中、お腹の子を抱えたまま多衣(水野美紀)が忽然と姿を消してしまい、通子は別れた夫・旬平(萩原聖人)に相談する。さらに、逮捕された笠井が出所してくるも、意味深な言葉を通子に残し…。それを聞いた通子が取った驚くべき行動とは!?最後の最後で何かが起こる…全ての謎が解ける衝撃の最終回!")</f>
        <v>笠井(田中哲司)の贈賄疑惑に関わっているという噂により、料亭「花ずみ」の客足が途絶え、ピンチに陥る通子(木村佳乃)。そんな中、お腹の子を抱えたまま多衣(水野美紀)が忽然と姿を消してしまい、通子は別れた夫・旬平(萩原聖人)に相談する。さらに、逮捕された笠井が出所してくるも、意味深な言葉を通子に残し…。それを聞いた通子が取った驚くべき行動とは!?最後の最後で何かが起こる…全ての謎が解ける衝撃の最終回!</v>
      </c>
      <c r="N2190" s="2"/>
      <c r="O2190" s="2"/>
      <c r="P2190" s="2"/>
      <c r="Q2190" s="2"/>
      <c r="R2190" s="2"/>
      <c r="S2190" s="2"/>
      <c r="T2190" s="2"/>
      <c r="U2190" s="2"/>
      <c r="V2190" s="2"/>
      <c r="W2190" s="2"/>
      <c r="X2190" s="2"/>
      <c r="Y2190" s="2"/>
      <c r="Z2190" s="2"/>
      <c r="AA2190" s="2"/>
      <c r="AB2190" s="2"/>
      <c r="AC2190" s="2"/>
      <c r="AD2190" s="2"/>
      <c r="AE2190" s="2"/>
      <c r="AF2190" s="2"/>
      <c r="AG2190" s="2"/>
      <c r="AH2190" s="2"/>
      <c r="AI2190" s="2"/>
      <c r="AJ2190" s="2"/>
      <c r="AK2190" s="2"/>
      <c r="AL2190" s="2"/>
      <c r="AM2190" s="2"/>
      <c r="AN2190" s="2"/>
      <c r="AO2190" s="2"/>
      <c r="AP2190" s="2"/>
      <c r="AQ2190" s="2"/>
      <c r="AR2190" s="2"/>
      <c r="AS2190" s="2"/>
      <c r="AT2190" s="2"/>
      <c r="AU2190" s="2"/>
      <c r="AV2190" s="2"/>
      <c r="AW2190" s="2"/>
      <c r="AX2190" s="2"/>
      <c r="AY2190" s="2"/>
      <c r="AZ2190" s="2"/>
      <c r="BA2190" s="2"/>
      <c r="BB2190" s="2"/>
    </row>
    <row r="2191" ht="204.75" customHeight="1">
      <c r="A2191" s="1">
        <v>634.0</v>
      </c>
      <c r="B2191" s="2" t="s">
        <v>6881</v>
      </c>
      <c r="C2191" s="2">
        <f>IFERROR(__xludf.DUMMYFUNCTION("split(B2191,""_"")"),1807.0)</f>
        <v>1807</v>
      </c>
      <c r="D2191" s="2" t="str">
        <f>IFERROR(__xludf.DUMMYFUNCTION("""COMPUTED_VALUE"""),"EX")</f>
        <v>EX</v>
      </c>
      <c r="E2191" s="2" t="str">
        <f>IFERROR(__xludf.DUMMYFUNCTION("""COMPUTED_VALUE"""),"木21")</f>
        <v>木21</v>
      </c>
      <c r="F2191" s="2" t="s">
        <v>6882</v>
      </c>
      <c r="G2191" s="2" t="s">
        <v>6883</v>
      </c>
      <c r="H2191" s="1">
        <v>1.0</v>
      </c>
      <c r="J2191" s="1" t="s">
        <v>4</v>
      </c>
      <c r="K2191" s="2" t="s">
        <v>6884</v>
      </c>
      <c r="L2191" s="2" t="s">
        <v>6885</v>
      </c>
      <c r="M2191" s="2" t="str">
        <f>IFERROR(__xludf.DUMMYFUNCTION("split(split(K2191,""【"",false),""公式LINE"",false)"),"1997年。名門・三葉銀行はバブル崩壊後の金融危機を脱するため、回収困難な不良債権を投資会社に一括でまとめ売りする日本初の“バルクセール""を実施。銀行常務・飯島亮介(小林薫)の命を受けた行員・芝野健夫(渡部篤郎)は外資系投資ファンド代表・鷲津政彦に査定を依頼するが、通達額は驚くべき金額だった!一方、ホテルウーマン・松平貴子(沢尻エリカ)は、鷲津がある債務者から怒号を浴びせられる光景を偶然目撃し…!?綾野剛、渡部篤郎、沢尻エリカ、池内博之、木南晴夏、堀内敬子、佐倉絵麻・杉本哲太・光石研、小林薫  ")</f>
        <v>1997年。名門・三葉銀行はバブル崩壊後の金融危機を脱するため、回収困難な不良債権を投資会社に一括でまとめ売りする日本初の“バルクセール"を実施。銀行常務・飯島亮介(小林薫)の命を受けた行員・芝野健夫(渡部篤郎)は外資系投資ファンド代表・鷲津政彦に査定を依頼するが、通達額は驚くべき金額だった!一方、ホテルウーマン・松平貴子(沢尻エリカ)は、鷲津がある債務者から怒号を浴びせられる光景を偶然目撃し…!?綾野剛、渡部篤郎、沢尻エリカ、池内博之、木南晴夏、堀内敬子、佐倉絵麻・杉本哲太・光石研、小林薫  </v>
      </c>
      <c r="N2191" s="2"/>
      <c r="O2191" s="2"/>
      <c r="P2191" s="2"/>
      <c r="Q2191" s="2"/>
      <c r="R2191" s="2"/>
      <c r="S2191" s="2"/>
      <c r="T2191" s="2"/>
      <c r="U2191" s="2"/>
      <c r="V2191" s="2"/>
      <c r="W2191" s="2"/>
      <c r="X2191" s="2"/>
      <c r="Y2191" s="2"/>
      <c r="Z2191" s="2"/>
      <c r="AA2191" s="2"/>
      <c r="AB2191" s="2"/>
      <c r="AC2191" s="2"/>
      <c r="AD2191" s="2"/>
      <c r="AE2191" s="2"/>
      <c r="AF2191" s="2"/>
      <c r="AG2191" s="2"/>
      <c r="AH2191" s="2"/>
      <c r="AI2191" s="2"/>
      <c r="AJ2191" s="2"/>
      <c r="AK2191" s="2"/>
      <c r="AL2191" s="2"/>
      <c r="AM2191" s="2"/>
      <c r="AN2191" s="2"/>
      <c r="AO2191" s="2"/>
      <c r="AP2191" s="2"/>
      <c r="AQ2191" s="2"/>
      <c r="AR2191" s="2"/>
      <c r="AS2191" s="2"/>
      <c r="AT2191" s="2"/>
      <c r="AU2191" s="2"/>
      <c r="AV2191" s="2"/>
      <c r="AW2191" s="2"/>
      <c r="AX2191" s="2"/>
      <c r="AY2191" s="2"/>
      <c r="AZ2191" s="2"/>
      <c r="BA2191" s="2"/>
      <c r="BB2191" s="2"/>
    </row>
    <row r="2192" ht="204.75" customHeight="1">
      <c r="A2192" s="1">
        <v>635.0</v>
      </c>
      <c r="B2192" s="2" t="s">
        <v>6881</v>
      </c>
      <c r="C2192" s="2">
        <f>IFERROR(__xludf.DUMMYFUNCTION("split(B2192,""_"")"),1807.0)</f>
        <v>1807</v>
      </c>
      <c r="D2192" s="2" t="str">
        <f>IFERROR(__xludf.DUMMYFUNCTION("""COMPUTED_VALUE"""),"EX")</f>
        <v>EX</v>
      </c>
      <c r="E2192" s="2" t="str">
        <f>IFERROR(__xludf.DUMMYFUNCTION("""COMPUTED_VALUE"""),"木21")</f>
        <v>木21</v>
      </c>
      <c r="F2192" s="2" t="s">
        <v>6882</v>
      </c>
      <c r="G2192" s="2" t="s">
        <v>6886</v>
      </c>
      <c r="H2192" s="1">
        <v>2.0</v>
      </c>
      <c r="J2192" s="1" t="s">
        <v>4</v>
      </c>
      <c r="K2192" s="2" t="s">
        <v>6887</v>
      </c>
      <c r="L2192" s="2" t="s">
        <v>6888</v>
      </c>
      <c r="M2192" s="2" t="str">
        <f>IFERROR(__xludf.DUMMYFUNCTION("split(split(K2192,""【"",false),""公式LINE"",false)"),"2001年。名門・三葉銀行が行った日本初の“バルクセール""から4年が経ち、再び銀行常務・飯島(小林薫)の前に現れた鷲津(綾野剛)は、社長・中森瑞恵(かたせ梨乃)ら経営者一族の浪費と乱脈経営で多額の負債を抱える老舗ベッドメーカー・太陽ベッドの債権譲渡を迫る。一方、経営悪化の一途をたどる日光みやびホテルの支配人となった貴子(沢尻エリカ)は、融資の依頼にエリート銀行マン・芝野(渡部篤郎)を訪ねるが…!?綾野剛、渡部篤郎、沢尻エリカ、池内博之、木南晴夏、堀内敬子、佐倉絵麻・杉本哲太・光石研、小林薫  ")</f>
        <v>2001年。名門・三葉銀行が行った日本初の“バルクセール"から4年が経ち、再び銀行常務・飯島(小林薫)の前に現れた鷲津(綾野剛)は、社長・中森瑞恵(かたせ梨乃)ら経営者一族の浪費と乱脈経営で多額の負債を抱える老舗ベッドメーカー・太陽ベッドの債権譲渡を迫る。一方、経営悪化の一途をたどる日光みやびホテルの支配人となった貴子(沢尻エリカ)は、融資の依頼にエリート銀行マン・芝野(渡部篤郎)を訪ねるが…!?綾野剛、渡部篤郎、沢尻エリカ、池内博之、木南晴夏、堀内敬子、佐倉絵麻・杉本哲太・光石研、小林薫  </v>
      </c>
      <c r="N2192" s="2"/>
      <c r="O2192" s="2"/>
      <c r="P2192" s="2"/>
      <c r="Q2192" s="2"/>
      <c r="R2192" s="2"/>
      <c r="S2192" s="2"/>
      <c r="T2192" s="2"/>
      <c r="U2192" s="2"/>
      <c r="V2192" s="2"/>
      <c r="W2192" s="2"/>
      <c r="X2192" s="2"/>
      <c r="Y2192" s="2"/>
      <c r="Z2192" s="2"/>
      <c r="AA2192" s="2"/>
      <c r="AB2192" s="2"/>
      <c r="AC2192" s="2"/>
      <c r="AD2192" s="2"/>
      <c r="AE2192" s="2"/>
      <c r="AF2192" s="2"/>
      <c r="AG2192" s="2"/>
      <c r="AH2192" s="2"/>
      <c r="AI2192" s="2"/>
      <c r="AJ2192" s="2"/>
      <c r="AK2192" s="2"/>
      <c r="AL2192" s="2"/>
      <c r="AM2192" s="2"/>
      <c r="AN2192" s="2"/>
      <c r="AO2192" s="2"/>
      <c r="AP2192" s="2"/>
      <c r="AQ2192" s="2"/>
      <c r="AR2192" s="2"/>
      <c r="AS2192" s="2"/>
      <c r="AT2192" s="2"/>
      <c r="AU2192" s="2"/>
      <c r="AV2192" s="2"/>
      <c r="AW2192" s="2"/>
      <c r="AX2192" s="2"/>
      <c r="AY2192" s="2"/>
      <c r="AZ2192" s="2"/>
      <c r="BA2192" s="2"/>
      <c r="BB2192" s="2"/>
    </row>
    <row r="2193" ht="204.75" customHeight="1">
      <c r="A2193" s="1">
        <v>636.0</v>
      </c>
      <c r="B2193" s="2" t="s">
        <v>6881</v>
      </c>
      <c r="C2193" s="2">
        <f>IFERROR(__xludf.DUMMYFUNCTION("split(B2193,""_"")"),1807.0)</f>
        <v>1807</v>
      </c>
      <c r="D2193" s="2" t="str">
        <f>IFERROR(__xludf.DUMMYFUNCTION("""COMPUTED_VALUE"""),"EX")</f>
        <v>EX</v>
      </c>
      <c r="E2193" s="2" t="str">
        <f>IFERROR(__xludf.DUMMYFUNCTION("""COMPUTED_VALUE"""),"木21")</f>
        <v>木21</v>
      </c>
      <c r="F2193" s="2" t="s">
        <v>6882</v>
      </c>
      <c r="G2193" s="2" t="s">
        <v>6889</v>
      </c>
      <c r="H2193" s="1">
        <v>3.0</v>
      </c>
      <c r="I2193" s="1" t="s">
        <v>2876</v>
      </c>
      <c r="J2193" s="1" t="s">
        <v>11</v>
      </c>
      <c r="K2193" s="2" t="s">
        <v>6890</v>
      </c>
      <c r="L2193" s="2" t="s">
        <v>6891</v>
      </c>
      <c r="M2193" s="2" t="str">
        <f>IFERROR(__xludf.DUMMYFUNCTION("split(split(K2193,""【"",false),""公式LINE"",false)"),"貴子(沢尻エリカ)は、新社長に就任したホテルの買収を鷲津(綾野剛)から宣言され、がく然とする。一方、三葉銀行は常務・飯島(小林薫)の指揮のもと、地方と企業を支援する『三葉ふるさとファンド』を設立し、同ホテルが支援候補に。しかし、プロジェクトの真の目的を知った銀行員・芝野(渡部篤郎)は、複雑な思いを抱え…!?そして遂に、鷲津が貴子や飯島に近づいた本当の理由が明らかに!「ハゲタカ」第一章、いよいよ完結!!綾野剛、渡部篤郎、沢尻エリカ、池内博之、木南晴夏、堀内敬子、佐倉絵麻・杉本哲太・光石研、小林薫真山仁『ハゲ"&amp;"タカ』『ハゲタカII』(講談社文庫)古家和尚和泉聖治富貴晴美    ")</f>
        <v>貴子(沢尻エリカ)は、新社長に就任したホテルの買収を鷲津(綾野剛)から宣言され、がく然とする。一方、三葉銀行は常務・飯島(小林薫)の指揮のもと、地方と企業を支援する『三葉ふるさとファンド』を設立し、同ホテルが支援候補に。しかし、プロジェクトの真の目的を知った銀行員・芝野(渡部篤郎)は、複雑な思いを抱え…!?そして遂に、鷲津が貴子や飯島に近づいた本当の理由が明らかに!「ハゲタカ」第一章、いよいよ完結!!綾野剛、渡部篤郎、沢尻エリカ、池内博之、木南晴夏、堀内敬子、佐倉絵麻・杉本哲太・光石研、小林薫真山仁『ハゲタカ』『ハゲタカII』(講談社文庫)古家和尚和泉聖治富貴晴美    </v>
      </c>
      <c r="N2193" s="14"/>
      <c r="O2193" s="14"/>
      <c r="P2193" s="2"/>
      <c r="Q2193" s="2"/>
      <c r="R2193" s="2"/>
      <c r="S2193" s="2"/>
      <c r="T2193" s="2"/>
      <c r="U2193" s="2"/>
      <c r="V2193" s="2"/>
      <c r="W2193" s="2"/>
      <c r="X2193" s="2"/>
      <c r="Y2193" s="2"/>
      <c r="Z2193" s="2"/>
      <c r="AA2193" s="2"/>
      <c r="AB2193" s="2"/>
      <c r="AC2193" s="2"/>
      <c r="AD2193" s="2"/>
      <c r="AE2193" s="2"/>
      <c r="AF2193" s="2"/>
      <c r="AG2193" s="2"/>
      <c r="AH2193" s="2"/>
      <c r="AI2193" s="2"/>
      <c r="AJ2193" s="2"/>
      <c r="AK2193" s="2"/>
      <c r="AL2193" s="2"/>
      <c r="AM2193" s="2"/>
      <c r="AN2193" s="2"/>
      <c r="AO2193" s="2"/>
      <c r="AP2193" s="2"/>
      <c r="AQ2193" s="2"/>
      <c r="AR2193" s="2"/>
      <c r="AS2193" s="2"/>
      <c r="AT2193" s="2"/>
      <c r="AU2193" s="2"/>
      <c r="AV2193" s="2"/>
      <c r="AW2193" s="2"/>
      <c r="AX2193" s="2"/>
      <c r="AY2193" s="2"/>
      <c r="AZ2193" s="2"/>
      <c r="BA2193" s="2"/>
      <c r="BB2193" s="2"/>
    </row>
    <row r="2194" ht="204.75" customHeight="1">
      <c r="A2194" s="1">
        <v>637.0</v>
      </c>
      <c r="B2194" s="2" t="s">
        <v>6881</v>
      </c>
      <c r="C2194" s="2">
        <f>IFERROR(__xludf.DUMMYFUNCTION("split(B2194,""_"")"),1807.0)</f>
        <v>1807</v>
      </c>
      <c r="D2194" s="2" t="str">
        <f>IFERROR(__xludf.DUMMYFUNCTION("""COMPUTED_VALUE"""),"EX")</f>
        <v>EX</v>
      </c>
      <c r="E2194" s="2" t="str">
        <f>IFERROR(__xludf.DUMMYFUNCTION("""COMPUTED_VALUE"""),"木21")</f>
        <v>木21</v>
      </c>
      <c r="F2194" s="2" t="s">
        <v>6882</v>
      </c>
      <c r="G2194" s="2" t="s">
        <v>6892</v>
      </c>
      <c r="H2194" s="1">
        <v>4.0</v>
      </c>
      <c r="I2194" s="1" t="s">
        <v>2880</v>
      </c>
      <c r="J2194" s="1" t="s">
        <v>11</v>
      </c>
      <c r="K2194" s="2" t="s">
        <v>6893</v>
      </c>
      <c r="L2194" s="2" t="s">
        <v>6894</v>
      </c>
      <c r="M2194" s="2" t="str">
        <f>IFERROR(__xludf.DUMMYFUNCTION("split(split(K2194,""【"",false),""公式LINE"",false)"),"いよいよ第2章突入!2010年。名実ともに日本最強の企業買収者となったハゲタカ・鷲津政彦(綾野剛)の次なる標的は、国内有数の大手電機メーカー『あけぼの』。一方、三葉銀行を辞めた芝野(渡部篤郎)が『あけぼの』の再生担当執行役員に就任したことを知った鷲津は、芝野を警戒し買収を一旦保留にするよう部下に命じる。さらにPCメーカー『ファインTD』のカリスマ社長・滝本(高嶋政伸)も『あけぼの』買収に動き始め…綾野剛、渡部篤郎、沢尻エリカ、池内博之、木南晴夏、堀内敬子、佐倉絵麻、是永瞳・杉本哲太・光石研、小林薫  ")</f>
        <v>いよいよ第2章突入!2010年。名実ともに日本最強の企業買収者となったハゲタカ・鷲津政彦(綾野剛)の次なる標的は、国内有数の大手電機メーカー『あけぼの』。一方、三葉銀行を辞めた芝野(渡部篤郎)が『あけぼの』の再生担当執行役員に就任したことを知った鷲津は、芝野を警戒し買収を一旦保留にするよう部下に命じる。さらにPCメーカー『ファインTD』のカリスマ社長・滝本(高嶋政伸)も『あけぼの』買収に動き始め…綾野剛、渡部篤郎、沢尻エリカ、池内博之、木南晴夏、堀内敬子、佐倉絵麻、是永瞳・杉本哲太・光石研、小林薫  </v>
      </c>
      <c r="N2194" s="2"/>
      <c r="O2194" s="2"/>
      <c r="P2194" s="2"/>
      <c r="Q2194" s="2"/>
      <c r="R2194" s="2"/>
      <c r="S2194" s="2"/>
      <c r="T2194" s="2"/>
      <c r="U2194" s="2"/>
      <c r="V2194" s="2"/>
      <c r="W2194" s="2"/>
      <c r="X2194" s="2"/>
      <c r="Y2194" s="2"/>
      <c r="Z2194" s="2"/>
      <c r="AA2194" s="2"/>
      <c r="AB2194" s="2"/>
      <c r="AC2194" s="2"/>
      <c r="AD2194" s="2"/>
      <c r="AE2194" s="2"/>
      <c r="AF2194" s="2"/>
      <c r="AG2194" s="2"/>
      <c r="AH2194" s="2"/>
      <c r="AI2194" s="2"/>
      <c r="AJ2194" s="2"/>
      <c r="AK2194" s="2"/>
      <c r="AL2194" s="2"/>
      <c r="AM2194" s="2"/>
      <c r="AN2194" s="2"/>
      <c r="AO2194" s="2"/>
      <c r="AP2194" s="2"/>
      <c r="AQ2194" s="2"/>
      <c r="AR2194" s="2"/>
      <c r="AS2194" s="2"/>
      <c r="AT2194" s="2"/>
      <c r="AU2194" s="2"/>
      <c r="AV2194" s="2"/>
      <c r="AW2194" s="2"/>
      <c r="AX2194" s="2"/>
      <c r="AY2194" s="2"/>
      <c r="AZ2194" s="2"/>
      <c r="BA2194" s="2"/>
      <c r="BB2194" s="2"/>
    </row>
    <row r="2195" ht="204.75" customHeight="1">
      <c r="A2195" s="1">
        <v>638.0</v>
      </c>
      <c r="B2195" s="2" t="s">
        <v>6881</v>
      </c>
      <c r="C2195" s="2">
        <f>IFERROR(__xludf.DUMMYFUNCTION("split(B2195,""_"")"),1807.0)</f>
        <v>1807</v>
      </c>
      <c r="D2195" s="2" t="str">
        <f>IFERROR(__xludf.DUMMYFUNCTION("""COMPUTED_VALUE"""),"EX")</f>
        <v>EX</v>
      </c>
      <c r="E2195" s="2" t="str">
        <f>IFERROR(__xludf.DUMMYFUNCTION("""COMPUTED_VALUE"""),"木21")</f>
        <v>木21</v>
      </c>
      <c r="F2195" s="2" t="s">
        <v>6882</v>
      </c>
      <c r="G2195" s="2" t="s">
        <v>6895</v>
      </c>
      <c r="H2195" s="1">
        <v>5.0</v>
      </c>
      <c r="I2195" s="1" t="s">
        <v>2884</v>
      </c>
      <c r="J2195" s="1" t="s">
        <v>11</v>
      </c>
      <c r="K2195" s="2" t="s">
        <v>6896</v>
      </c>
      <c r="L2195" s="2" t="s">
        <v>6897</v>
      </c>
      <c r="M2195" s="2" t="str">
        <f>IFERROR(__xludf.DUMMYFUNCTION("split(split(K2195,""【"",false),""公式LINE"",false)"),"総合電機メーカー『あけぼの』の買収を狙う『ファインTD』社長・滝本(高嶋政伸)の策略と部下からの思わぬ裏切りによって、ホライズンを解雇された鷲津(綾野剛)。しかし鷲津は新たに『サムライファンド』を立ち上げ、『あけぼの』再生担当執行役員の芝野(渡部篤郎)と共に、再び滝本と対峙する準備を始める。そして遂に、『サムライファンド』と『ファインTD』の壮絶な買収合戦の幕が切って落とされる…!綾野剛、渡部篤郎、沢尻エリカ、池内博之、木南晴夏、堀内敬子、佐倉絵麻、是永瞳・杉本哲太・光石研、小林薫  ")</f>
        <v>総合電機メーカー『あけぼの』の買収を狙う『ファインTD』社長・滝本(高嶋政伸)の策略と部下からの思わぬ裏切りによって、ホライズンを解雇された鷲津(綾野剛)。しかし鷲津は新たに『サムライファンド』を立ち上げ、『あけぼの』再生担当執行役員の芝野(渡部篤郎)と共に、再び滝本と対峙する準備を始める。そして遂に、『サムライファンド』と『ファインTD』の壮絶な買収合戦の幕が切って落とされる…!綾野剛、渡部篤郎、沢尻エリカ、池内博之、木南晴夏、堀内敬子、佐倉絵麻、是永瞳・杉本哲太・光石研、小林薫  </v>
      </c>
      <c r="N2195" s="2"/>
      <c r="O2195" s="2"/>
      <c r="P2195" s="2"/>
      <c r="Q2195" s="2"/>
      <c r="R2195" s="2"/>
      <c r="S2195" s="2"/>
      <c r="T2195" s="2"/>
      <c r="U2195" s="2"/>
      <c r="V2195" s="2"/>
      <c r="W2195" s="2"/>
      <c r="X2195" s="2"/>
      <c r="Y2195" s="2"/>
      <c r="Z2195" s="2"/>
      <c r="AA2195" s="2"/>
      <c r="AB2195" s="2"/>
      <c r="AC2195" s="2"/>
      <c r="AD2195" s="2"/>
      <c r="AE2195" s="2"/>
      <c r="AF2195" s="2"/>
      <c r="AG2195" s="2"/>
      <c r="AH2195" s="2"/>
      <c r="AI2195" s="2"/>
      <c r="AJ2195" s="2"/>
      <c r="AK2195" s="2"/>
      <c r="AL2195" s="2"/>
      <c r="AM2195" s="2"/>
      <c r="AN2195" s="2"/>
      <c r="AO2195" s="2"/>
      <c r="AP2195" s="2"/>
      <c r="AQ2195" s="2"/>
      <c r="AR2195" s="2"/>
      <c r="AS2195" s="2"/>
      <c r="AT2195" s="2"/>
      <c r="AU2195" s="2"/>
      <c r="AV2195" s="2"/>
      <c r="AW2195" s="2"/>
      <c r="AX2195" s="2"/>
      <c r="AY2195" s="2"/>
      <c r="AZ2195" s="2"/>
      <c r="BA2195" s="2"/>
      <c r="BB2195" s="2"/>
    </row>
    <row r="2196" ht="204.75" customHeight="1">
      <c r="A2196" s="1">
        <v>639.0</v>
      </c>
      <c r="B2196" s="2" t="s">
        <v>6881</v>
      </c>
      <c r="C2196" s="2">
        <f>IFERROR(__xludf.DUMMYFUNCTION("split(B2196,""_"")"),1807.0)</f>
        <v>1807</v>
      </c>
      <c r="D2196" s="2" t="str">
        <f>IFERROR(__xludf.DUMMYFUNCTION("""COMPUTED_VALUE"""),"EX")</f>
        <v>EX</v>
      </c>
      <c r="E2196" s="2" t="str">
        <f>IFERROR(__xludf.DUMMYFUNCTION("""COMPUTED_VALUE"""),"木21")</f>
        <v>木21</v>
      </c>
      <c r="F2196" s="2" t="s">
        <v>6882</v>
      </c>
      <c r="G2196" s="2" t="s">
        <v>6898</v>
      </c>
      <c r="H2196" s="1">
        <v>6.0</v>
      </c>
      <c r="I2196" s="1" t="s">
        <v>2888</v>
      </c>
      <c r="J2196" s="1" t="s">
        <v>11</v>
      </c>
      <c r="K2196" s="2" t="s">
        <v>6899</v>
      </c>
      <c r="L2196" s="2" t="s">
        <v>6900</v>
      </c>
      <c r="M2196" s="2" t="str">
        <f>IFERROR(__xludf.DUMMYFUNCTION("split(split(K2196,""【"",false),""公式LINE"",false)"),"「ハゲタカ」第2章、ついに決着!総合電機メーカー『あけぼの』を巡る買収合戦が激化!鷲津(綾野剛)は、敵対するPCメーカー『ファインTD』社長・滝本(高嶋政伸)からの執拗な裏工作の数々にも一歩も引かず、出演した報道番組の中で「『あけぼの』を狙う『ファインTD』の背後には、米最大の軍需産業ファンド『プラザ・グループ』が潜んでいる」と激白。そして『プラザ・グループ』は直接『あけぼの』買収に動き出し…?綾野剛、渡部篤郎、沢尻エリカ、池内博之、木南晴夏、堀内敬子、佐倉絵麻、是永瞳・杉本哲太・光石研、小林薫  ")</f>
        <v>「ハゲタカ」第2章、ついに決着!総合電機メーカー『あけぼの』を巡る買収合戦が激化!鷲津(綾野剛)は、敵対するPCメーカー『ファインTD』社長・滝本(高嶋政伸)からの執拗な裏工作の数々にも一歩も引かず、出演した報道番組の中で「『あけぼの』を狙う『ファインTD』の背後には、米最大の軍需産業ファンド『プラザ・グループ』が潜んでいる」と激白。そして『プラザ・グループ』は直接『あけぼの』買収に動き出し…?綾野剛、渡部篤郎、沢尻エリカ、池内博之、木南晴夏、堀内敬子、佐倉絵麻、是永瞳・杉本哲太・光石研、小林薫  </v>
      </c>
      <c r="N2196" s="2"/>
      <c r="O2196" s="2"/>
      <c r="P2196" s="2"/>
      <c r="Q2196" s="2"/>
      <c r="R2196" s="2"/>
      <c r="S2196" s="2"/>
      <c r="T2196" s="2"/>
      <c r="U2196" s="2"/>
      <c r="V2196" s="2"/>
      <c r="W2196" s="2"/>
      <c r="X2196" s="2"/>
      <c r="Y2196" s="2"/>
      <c r="Z2196" s="2"/>
      <c r="AA2196" s="2"/>
      <c r="AB2196" s="2"/>
      <c r="AC2196" s="2"/>
      <c r="AD2196" s="2"/>
      <c r="AE2196" s="2"/>
      <c r="AF2196" s="2"/>
      <c r="AG2196" s="2"/>
      <c r="AH2196" s="2"/>
      <c r="AI2196" s="2"/>
      <c r="AJ2196" s="2"/>
      <c r="AK2196" s="2"/>
      <c r="AL2196" s="2"/>
      <c r="AM2196" s="2"/>
      <c r="AN2196" s="2"/>
      <c r="AO2196" s="2"/>
      <c r="AP2196" s="2"/>
      <c r="AQ2196" s="2"/>
      <c r="AR2196" s="2"/>
      <c r="AS2196" s="2"/>
      <c r="AT2196" s="2"/>
      <c r="AU2196" s="2"/>
      <c r="AV2196" s="2"/>
      <c r="AW2196" s="2"/>
      <c r="AX2196" s="2"/>
      <c r="AY2196" s="2"/>
      <c r="AZ2196" s="2"/>
      <c r="BA2196" s="2"/>
      <c r="BB2196" s="2"/>
    </row>
    <row r="2197" ht="204.75" customHeight="1">
      <c r="A2197" s="1">
        <v>640.0</v>
      </c>
      <c r="B2197" s="2" t="s">
        <v>6881</v>
      </c>
      <c r="C2197" s="2">
        <f>IFERROR(__xludf.DUMMYFUNCTION("split(B2197,""_"")"),1807.0)</f>
        <v>1807</v>
      </c>
      <c r="D2197" s="2" t="str">
        <f>IFERROR(__xludf.DUMMYFUNCTION("""COMPUTED_VALUE"""),"EX")</f>
        <v>EX</v>
      </c>
      <c r="E2197" s="2" t="str">
        <f>IFERROR(__xludf.DUMMYFUNCTION("""COMPUTED_VALUE"""),"木21")</f>
        <v>木21</v>
      </c>
      <c r="F2197" s="2" t="s">
        <v>6882</v>
      </c>
      <c r="G2197" s="2" t="s">
        <v>6901</v>
      </c>
      <c r="H2197" s="1">
        <v>7.0</v>
      </c>
      <c r="I2197" s="1" t="s">
        <v>2892</v>
      </c>
      <c r="J2197" s="1" t="s">
        <v>11</v>
      </c>
      <c r="K2197" s="2" t="s">
        <v>6902</v>
      </c>
      <c r="L2197" s="2" t="s">
        <v>6903</v>
      </c>
      <c r="M2197" s="2" t="str">
        <f>IFERROR(__xludf.DUMMYFUNCTION("split(split(K2197,""【"",false),""公式LINE"",false)"),"2018年。平成最後の夏、社長・真壁達臣(伊武雅刀)率いる名門重工業メーカー『帝都重工』でデータ改ざんの不祥事が発覚。日本ルネッサンス機構の飯島亮介(小林薫)は芝野健夫(渡部篤郎)にこの処理を依頼し、芝野はサムライファンド代表・鷲津政彦(綾野剛)に救済を求めるが、『帝都重工』の腐敗を察知した鷲津は驚きの行動に出る!一方、若きベンチャー企業の代表・天宮光一(森崎ウィン)は、とある依頼を鷲津に持ちかけ…?綾野剛、渡部篤郎、沢尻エリカ、池内博之、木南晴夏、堀内敬子、佐倉絵麻、是永瞳・杉本哲太・光石研、小林薫  ")</f>
        <v>2018年。平成最後の夏、社長・真壁達臣(伊武雅刀)率いる名門重工業メーカー『帝都重工』でデータ改ざんの不祥事が発覚。日本ルネッサンス機構の飯島亮介(小林薫)は芝野健夫(渡部篤郎)にこの処理を依頼し、芝野はサムライファンド代表・鷲津政彦(綾野剛)に救済を求めるが、『帝都重工』の腐敗を察知した鷲津は驚きの行動に出る!一方、若きベンチャー企業の代表・天宮光一(森崎ウィン)は、とある依頼を鷲津に持ちかけ…?綾野剛、渡部篤郎、沢尻エリカ、池内博之、木南晴夏、堀内敬子、佐倉絵麻、是永瞳・杉本哲太・光石研、小林薫  </v>
      </c>
      <c r="N2197" s="2"/>
      <c r="O2197" s="2"/>
      <c r="P2197" s="2"/>
      <c r="Q2197" s="2"/>
      <c r="R2197" s="2"/>
      <c r="S2197" s="2"/>
      <c r="T2197" s="2"/>
      <c r="U2197" s="2"/>
      <c r="V2197" s="2"/>
      <c r="W2197" s="2"/>
      <c r="X2197" s="2"/>
      <c r="Y2197" s="2"/>
      <c r="Z2197" s="2"/>
      <c r="AA2197" s="2"/>
      <c r="AB2197" s="2"/>
      <c r="AC2197" s="2"/>
      <c r="AD2197" s="2"/>
      <c r="AE2197" s="2"/>
      <c r="AF2197" s="2"/>
      <c r="AG2197" s="2"/>
      <c r="AH2197" s="2"/>
      <c r="AI2197" s="2"/>
      <c r="AJ2197" s="2"/>
      <c r="AK2197" s="2"/>
      <c r="AL2197" s="2"/>
      <c r="AM2197" s="2"/>
      <c r="AN2197" s="2"/>
      <c r="AO2197" s="2"/>
      <c r="AP2197" s="2"/>
      <c r="AQ2197" s="2"/>
      <c r="AR2197" s="2"/>
      <c r="AS2197" s="2"/>
      <c r="AT2197" s="2"/>
      <c r="AU2197" s="2"/>
      <c r="AV2197" s="2"/>
      <c r="AW2197" s="2"/>
      <c r="AX2197" s="2"/>
      <c r="AY2197" s="2"/>
      <c r="AZ2197" s="2"/>
      <c r="BA2197" s="2"/>
      <c r="BB2197" s="2"/>
    </row>
    <row r="2198" ht="204.75" customHeight="1">
      <c r="A2198" s="1">
        <v>641.0</v>
      </c>
      <c r="B2198" s="2" t="s">
        <v>6881</v>
      </c>
      <c r="C2198" s="2">
        <f>IFERROR(__xludf.DUMMYFUNCTION("split(B2198,""_"")"),1807.0)</f>
        <v>1807</v>
      </c>
      <c r="D2198" s="2" t="str">
        <f>IFERROR(__xludf.DUMMYFUNCTION("""COMPUTED_VALUE"""),"EX")</f>
        <v>EX</v>
      </c>
      <c r="E2198" s="2" t="str">
        <f>IFERROR(__xludf.DUMMYFUNCTION("""COMPUTED_VALUE"""),"木21")</f>
        <v>木21</v>
      </c>
      <c r="F2198" s="2" t="s">
        <v>6882</v>
      </c>
      <c r="G2198" s="2" t="s">
        <v>6904</v>
      </c>
      <c r="H2198" s="1">
        <v>8.0</v>
      </c>
      <c r="J2198" s="1" t="s">
        <v>4</v>
      </c>
      <c r="K2198" s="2" t="s">
        <v>6905</v>
      </c>
      <c r="L2198" s="2" t="s">
        <v>6906</v>
      </c>
      <c r="M2198" s="2" t="str">
        <f>IFERROR(__xludf.DUMMYFUNCTION("split(split(K2198,""【"",false),""公式LINE"",false)"),"超巨大企業『帝都重工』再建のため同社長に就任した鷲津政彦(綾野剛)は、再生担当執行役員に芝野健夫(渡部篤郎)を据え本格始動し、「30日以内に『帝都重工』に“革命""をもたらす」と会見で宣言する!様々な思惑が渦巻く中、松平貴子(沢尻エリカ)が社長を務める『日光みやびホテル』で開催された国際会議で、大事件が勃発し…!?一方、鷲津は若きベンチャー企業代表・天宮光一(森崎ウィン)に対し、まさかの行動に出る!綾野剛、渡部篤郎、沢尻エリカ、池内博之、木南晴夏、堀内敬子、佐倉絵麻、是永瞳・杉本哲太・光石研、小林薫  ")</f>
        <v>超巨大企業『帝都重工』再建のため同社長に就任した鷲津政彦(綾野剛)は、再生担当執行役員に芝野健夫(渡部篤郎)を据え本格始動し、「30日以内に『帝都重工』に“革命"をもたらす」と会見で宣言する!様々な思惑が渦巻く中、松平貴子(沢尻エリカ)が社長を務める『日光みやびホテル』で開催された国際会議で、大事件が勃発し…!?一方、鷲津は若きベンチャー企業代表・天宮光一(森崎ウィン)に対し、まさかの行動に出る!綾野剛、渡部篤郎、沢尻エリカ、池内博之、木南晴夏、堀内敬子、佐倉絵麻、是永瞳・杉本哲太・光石研、小林薫  </v>
      </c>
      <c r="N2198" s="2"/>
      <c r="O2198" s="2"/>
      <c r="P2198" s="2"/>
      <c r="Q2198" s="2"/>
      <c r="R2198" s="2"/>
      <c r="S2198" s="2"/>
      <c r="T2198" s="2"/>
      <c r="U2198" s="2"/>
      <c r="V2198" s="2"/>
      <c r="W2198" s="2"/>
      <c r="X2198" s="2"/>
      <c r="Y2198" s="2"/>
      <c r="Z2198" s="2"/>
      <c r="AA2198" s="2"/>
      <c r="AB2198" s="2"/>
      <c r="AC2198" s="2"/>
      <c r="AD2198" s="2"/>
      <c r="AE2198" s="2"/>
      <c r="AF2198" s="2"/>
      <c r="AG2198" s="2"/>
      <c r="AH2198" s="2"/>
      <c r="AI2198" s="2"/>
      <c r="AJ2198" s="2"/>
      <c r="AK2198" s="2"/>
      <c r="AL2198" s="2"/>
      <c r="AM2198" s="2"/>
      <c r="AN2198" s="2"/>
      <c r="AO2198" s="2"/>
      <c r="AP2198" s="2"/>
      <c r="AQ2198" s="2"/>
      <c r="AR2198" s="2"/>
      <c r="AS2198" s="2"/>
      <c r="AT2198" s="2"/>
      <c r="AU2198" s="2"/>
      <c r="AV2198" s="2"/>
      <c r="AW2198" s="2"/>
      <c r="AX2198" s="2"/>
      <c r="AY2198" s="2"/>
      <c r="AZ2198" s="2"/>
      <c r="BA2198" s="2"/>
      <c r="BB2198" s="2"/>
    </row>
    <row r="2199" ht="204.75" customHeight="1">
      <c r="A2199" s="1">
        <v>672.0</v>
      </c>
      <c r="B2199" s="2" t="s">
        <v>6907</v>
      </c>
      <c r="C2199" s="2">
        <f>IFERROR(__xludf.DUMMYFUNCTION("split(B2199,""_"")"),1807.0)</f>
        <v>1807</v>
      </c>
      <c r="D2199" s="2" t="str">
        <f>IFERROR(__xludf.DUMMYFUNCTION("""COMPUTED_VALUE"""),"EX")</f>
        <v>EX</v>
      </c>
      <c r="E2199" s="2" t="str">
        <f>IFERROR(__xludf.DUMMYFUNCTION("""COMPUTED_VALUE"""),"金23")</f>
        <v>金23</v>
      </c>
      <c r="F2199" s="2" t="s">
        <v>6908</v>
      </c>
      <c r="G2199" s="2" t="s">
        <v>6909</v>
      </c>
      <c r="H2199" s="1">
        <v>1.0</v>
      </c>
      <c r="I2199" s="1" t="s">
        <v>2868</v>
      </c>
      <c r="J2199" s="1" t="s">
        <v>1435</v>
      </c>
      <c r="K2199" s="2" t="s">
        <v>6910</v>
      </c>
      <c r="L2199" s="2" t="s">
        <v>6911</v>
      </c>
      <c r="M2199" s="2" t="str">
        <f>IFERROR(__xludf.DUMMYFUNCTION("split(split(K2199,""【"",false),""公式LINE"",false)"),"被告人として出廷した何でも屋・真柴祐太郎(菅田将暉)に興味を持った弁護士・坂上舞(麻生久美子)は、すぐさま保釈手続きを取り、彼に仕事を紹介する。それは舞の弟・坂上圭司(山田孝之)が「dele. LIFE」という会社を立ち上げ、単独従事している秘密裏の仕事…。クライアントの依頼を受け、その人の死後に不都合なデジタル遺品をすべて“内密に""抹消する仕事だった!そんな中、新たな依頼人からの仕事が舞い込む…。山田孝之、菅田将暉、麻生久美子  ")</f>
        <v>被告人として出廷した何でも屋・真柴祐太郎(菅田将暉)に興味を持った弁護士・坂上舞(麻生久美子)は、すぐさま保釈手続きを取り、彼に仕事を紹介する。それは舞の弟・坂上圭司(山田孝之)が「dele. LIFE」という会社を立ち上げ、単独従事している秘密裏の仕事…。クライアントの依頼を受け、その人の死後に不都合なデジタル遺品をすべて“内密に"抹消する仕事だった!そんな中、新たな依頼人からの仕事が舞い込む…。山田孝之、菅田将暉、麻生久美子  </v>
      </c>
      <c r="N2199" s="2"/>
      <c r="O2199" s="2"/>
      <c r="P2199" s="2"/>
      <c r="Q2199" s="2"/>
      <c r="R2199" s="2"/>
      <c r="S2199" s="2"/>
      <c r="T2199" s="2"/>
      <c r="U2199" s="2"/>
      <c r="V2199" s="2"/>
      <c r="W2199" s="2"/>
      <c r="X2199" s="2"/>
      <c r="Y2199" s="2"/>
      <c r="Z2199" s="2"/>
      <c r="AA2199" s="2"/>
      <c r="AB2199" s="2"/>
      <c r="AC2199" s="2"/>
      <c r="AD2199" s="2"/>
      <c r="AE2199" s="2"/>
      <c r="AF2199" s="2"/>
      <c r="AG2199" s="2"/>
      <c r="AH2199" s="2"/>
      <c r="AI2199" s="2"/>
      <c r="AJ2199" s="2"/>
      <c r="AK2199" s="2"/>
      <c r="AL2199" s="2"/>
      <c r="AM2199" s="2"/>
      <c r="AN2199" s="2"/>
      <c r="AO2199" s="2"/>
      <c r="AP2199" s="2"/>
      <c r="AQ2199" s="2"/>
      <c r="AR2199" s="2"/>
      <c r="AS2199" s="2"/>
      <c r="AT2199" s="2"/>
      <c r="AU2199" s="2"/>
      <c r="AV2199" s="2"/>
      <c r="AW2199" s="2"/>
      <c r="AX2199" s="2"/>
      <c r="AY2199" s="2"/>
      <c r="AZ2199" s="2"/>
      <c r="BA2199" s="2"/>
      <c r="BB2199" s="2"/>
    </row>
    <row r="2200" ht="204.75" customHeight="1">
      <c r="A2200" s="1">
        <v>673.0</v>
      </c>
      <c r="B2200" s="2" t="s">
        <v>6907</v>
      </c>
      <c r="C2200" s="2">
        <f>IFERROR(__xludf.DUMMYFUNCTION("split(B2200,""_"")"),1807.0)</f>
        <v>1807</v>
      </c>
      <c r="D2200" s="2" t="str">
        <f>IFERROR(__xludf.DUMMYFUNCTION("""COMPUTED_VALUE"""),"EX")</f>
        <v>EX</v>
      </c>
      <c r="E2200" s="2" t="str">
        <f>IFERROR(__xludf.DUMMYFUNCTION("""COMPUTED_VALUE"""),"金23")</f>
        <v>金23</v>
      </c>
      <c r="F2200" s="2" t="s">
        <v>6908</v>
      </c>
      <c r="G2200" s="2" t="s">
        <v>6912</v>
      </c>
      <c r="H2200" s="1">
        <v>2.0</v>
      </c>
      <c r="I2200" s="1" t="s">
        <v>2872</v>
      </c>
      <c r="J2200" s="1" t="s">
        <v>1435</v>
      </c>
      <c r="K2200" s="2" t="s">
        <v>6913</v>
      </c>
      <c r="L2200" s="2" t="s">
        <v>6914</v>
      </c>
      <c r="M2200" s="2" t="str">
        <f>IFERROR(__xludf.DUMMYFUNCTION("split(split(K2200,""【"",false),""公式LINE"",false)"),"『dele. LIFE』にスマホ・データの死後削除を依頼していた詩織(コムアイ)が突然、「やっぱりデータは消さないでください」と書き残して死亡した。詩織の心変わりの理由を探ろうとする圭司(山田孝之)と祐太郎(菅田将暉)。そんな中、祐太郎は詩織と交流のあった沙也加(石橋静河)を訪ねるが…!?やがて圭司らは、詩織のスマホから“微塵も想像していなかったデータ""を見つけるーー。山田孝之、菅田将暉、麻生久美子  ")</f>
        <v>『dele. LIFE』にスマホ・データの死後削除を依頼していた詩織(コムアイ)が突然、「やっぱりデータは消さないでください」と書き残して死亡した。詩織の心変わりの理由を探ろうとする圭司(山田孝之)と祐太郎(菅田将暉)。そんな中、祐太郎は詩織と交流のあった沙也加(石橋静河)を訪ねるが…!?やがて圭司らは、詩織のスマホから“微塵も想像していなかったデータ"を見つけるーー。山田孝之、菅田将暉、麻生久美子  </v>
      </c>
      <c r="N2200" s="2"/>
      <c r="O2200" s="2"/>
      <c r="P2200" s="2"/>
      <c r="Q2200" s="2"/>
      <c r="R2200" s="2"/>
      <c r="S2200" s="2"/>
      <c r="T2200" s="2"/>
      <c r="U2200" s="2"/>
      <c r="V2200" s="2"/>
      <c r="W2200" s="2"/>
      <c r="X2200" s="2"/>
      <c r="Y2200" s="2"/>
      <c r="Z2200" s="2"/>
      <c r="AA2200" s="2"/>
      <c r="AB2200" s="2"/>
      <c r="AC2200" s="2"/>
      <c r="AD2200" s="2"/>
      <c r="AE2200" s="2"/>
      <c r="AF2200" s="2"/>
      <c r="AG2200" s="2"/>
      <c r="AH2200" s="2"/>
      <c r="AI2200" s="2"/>
      <c r="AJ2200" s="2"/>
      <c r="AK2200" s="2"/>
      <c r="AL2200" s="2"/>
      <c r="AM2200" s="2"/>
      <c r="AN2200" s="2"/>
      <c r="AO2200" s="2"/>
      <c r="AP2200" s="2"/>
      <c r="AQ2200" s="2"/>
      <c r="AR2200" s="2"/>
      <c r="AS2200" s="2"/>
      <c r="AT2200" s="2"/>
      <c r="AU2200" s="2"/>
      <c r="AV2200" s="2"/>
      <c r="AW2200" s="2"/>
      <c r="AX2200" s="2"/>
      <c r="AY2200" s="2"/>
      <c r="AZ2200" s="2"/>
      <c r="BA2200" s="2"/>
      <c r="BB2200" s="2"/>
    </row>
    <row r="2201" ht="204.75" customHeight="1">
      <c r="A2201" s="1">
        <v>674.0</v>
      </c>
      <c r="B2201" s="2" t="s">
        <v>6907</v>
      </c>
      <c r="C2201" s="2">
        <f>IFERROR(__xludf.DUMMYFUNCTION("split(B2201,""_"")"),1807.0)</f>
        <v>1807</v>
      </c>
      <c r="D2201" s="2" t="str">
        <f>IFERROR(__xludf.DUMMYFUNCTION("""COMPUTED_VALUE"""),"EX")</f>
        <v>EX</v>
      </c>
      <c r="E2201" s="2" t="str">
        <f>IFERROR(__xludf.DUMMYFUNCTION("""COMPUTED_VALUE"""),"金23")</f>
        <v>金23</v>
      </c>
      <c r="F2201" s="2" t="s">
        <v>6908</v>
      </c>
      <c r="G2201" s="2" t="s">
        <v>6915</v>
      </c>
      <c r="H2201" s="1">
        <v>3.0</v>
      </c>
      <c r="I2201" s="1" t="s">
        <v>2876</v>
      </c>
      <c r="J2201" s="1" t="s">
        <v>1435</v>
      </c>
      <c r="K2201" s="2" t="s">
        <v>6916</v>
      </c>
      <c r="L2201" s="2" t="s">
        <v>6917</v>
      </c>
      <c r="M2201" s="2" t="str">
        <f>IFERROR(__xludf.DUMMYFUNCTION("split(split(K2201,""【"",false),""公式LINE"",false)"),"自分の死後、あるデータを削除する前にコピーし、バラの花と一緒に幸子(余貴美子)という女性に届けてほしいーー。そんな奇妙な依頼を『dele. LIFE』に託した老人・浦田(高橋源一郎)が自殺した!死亡確認に向かった祐太郎(菅田将暉)は、不審な男が浦田のパソコンを盗む現場を目撃。間もなく圭司(山田孝之)のPC端末に、浦田のパソコン起動を知らせる信号が送られてきて…!?山田孝之、菅田将暉、麻生久美子  ")</f>
        <v>自分の死後、あるデータを削除する前にコピーし、バラの花と一緒に幸子(余貴美子)という女性に届けてほしいーー。そんな奇妙な依頼を『dele. LIFE』に託した老人・浦田(高橋源一郎)が自殺した!死亡確認に向かった祐太郎(菅田将暉)は、不審な男が浦田のパソコンを盗む現場を目撃。間もなく圭司(山田孝之)のPC端末に、浦田のパソコン起動を知らせる信号が送られてきて…!?山田孝之、菅田将暉、麻生久美子  </v>
      </c>
      <c r="N2201" s="2"/>
      <c r="O2201" s="2"/>
      <c r="P2201" s="2"/>
      <c r="Q2201" s="2"/>
      <c r="R2201" s="2"/>
      <c r="S2201" s="2"/>
      <c r="T2201" s="2"/>
      <c r="U2201" s="2"/>
      <c r="V2201" s="2"/>
      <c r="W2201" s="2"/>
      <c r="X2201" s="2"/>
      <c r="Y2201" s="2"/>
      <c r="Z2201" s="2"/>
      <c r="AA2201" s="2"/>
      <c r="AB2201" s="2"/>
      <c r="AC2201" s="2"/>
      <c r="AD2201" s="2"/>
      <c r="AE2201" s="2"/>
      <c r="AF2201" s="2"/>
      <c r="AG2201" s="2"/>
      <c r="AH2201" s="2"/>
      <c r="AI2201" s="2"/>
      <c r="AJ2201" s="2"/>
      <c r="AK2201" s="2"/>
      <c r="AL2201" s="2"/>
      <c r="AM2201" s="2"/>
      <c r="AN2201" s="2"/>
      <c r="AO2201" s="2"/>
      <c r="AP2201" s="2"/>
      <c r="AQ2201" s="2"/>
      <c r="AR2201" s="2"/>
      <c r="AS2201" s="2"/>
      <c r="AT2201" s="2"/>
      <c r="AU2201" s="2"/>
      <c r="AV2201" s="2"/>
      <c r="AW2201" s="2"/>
      <c r="AX2201" s="2"/>
      <c r="AY2201" s="2"/>
      <c r="AZ2201" s="2"/>
      <c r="BA2201" s="2"/>
      <c r="BB2201" s="2"/>
    </row>
    <row r="2202" ht="204.75" customHeight="1">
      <c r="A2202" s="1">
        <v>675.0</v>
      </c>
      <c r="B2202" s="2" t="s">
        <v>6907</v>
      </c>
      <c r="C2202" s="2">
        <f>IFERROR(__xludf.DUMMYFUNCTION("split(B2202,""_"")"),1807.0)</f>
        <v>1807</v>
      </c>
      <c r="D2202" s="2" t="str">
        <f>IFERROR(__xludf.DUMMYFUNCTION("""COMPUTED_VALUE"""),"EX")</f>
        <v>EX</v>
      </c>
      <c r="E2202" s="2" t="str">
        <f>IFERROR(__xludf.DUMMYFUNCTION("""COMPUTED_VALUE"""),"金23")</f>
        <v>金23</v>
      </c>
      <c r="F2202" s="2" t="s">
        <v>6908</v>
      </c>
      <c r="G2202" s="2" t="s">
        <v>6918</v>
      </c>
      <c r="H2202" s="1">
        <v>4.0</v>
      </c>
      <c r="I2202" s="1" t="s">
        <v>2880</v>
      </c>
      <c r="J2202" s="1" t="s">
        <v>1435</v>
      </c>
      <c r="K2202" s="2" t="s">
        <v>6919</v>
      </c>
      <c r="L2202" s="2" t="s">
        <v>6920</v>
      </c>
      <c r="M2202" s="2" t="str">
        <f>IFERROR(__xludf.DUMMYFUNCTION("split(split(K2202,""【"",false),""公式LINE"",false)"),"あるファイルの死後削除を『dele. LIFE』に依頼していた日暮(野田洋次郎)が、葛藤に満ちた不可解な文章と、描きかけの絵を遺して死亡した。日暮はかつて天才超能力少年として一世を風靡し、圭司(山田孝之)も心酔していた人物。だが25年前、ある霊視に失敗し、メディアから姿を消していた…。圭司と祐太郎(菅田将暉)は、日暮の最期の思いを紐解こうとするが…!?山田孝之、菅田将暉、麻生久美子  ")</f>
        <v>あるファイルの死後削除を『dele. LIFE』に依頼していた日暮(野田洋次郎)が、葛藤に満ちた不可解な文章と、描きかけの絵を遺して死亡した。日暮はかつて天才超能力少年として一世を風靡し、圭司(山田孝之)も心酔していた人物。だが25年前、ある霊視に失敗し、メディアから姿を消していた…。圭司と祐太郎(菅田将暉)は、日暮の最期の思いを紐解こうとするが…!?山田孝之、菅田将暉、麻生久美子  </v>
      </c>
      <c r="N2202" s="2"/>
      <c r="O2202" s="2"/>
      <c r="P2202" s="2"/>
      <c r="Q2202" s="2"/>
      <c r="R2202" s="2"/>
      <c r="S2202" s="2"/>
      <c r="T2202" s="2"/>
      <c r="U2202" s="2"/>
      <c r="V2202" s="2"/>
      <c r="W2202" s="2"/>
      <c r="X2202" s="2"/>
      <c r="Y2202" s="2"/>
      <c r="Z2202" s="2"/>
      <c r="AA2202" s="2"/>
      <c r="AB2202" s="2"/>
      <c r="AC2202" s="2"/>
      <c r="AD2202" s="2"/>
      <c r="AE2202" s="2"/>
      <c r="AF2202" s="2"/>
      <c r="AG2202" s="2"/>
      <c r="AH2202" s="2"/>
      <c r="AI2202" s="2"/>
      <c r="AJ2202" s="2"/>
      <c r="AK2202" s="2"/>
      <c r="AL2202" s="2"/>
      <c r="AM2202" s="2"/>
      <c r="AN2202" s="2"/>
      <c r="AO2202" s="2"/>
      <c r="AP2202" s="2"/>
      <c r="AQ2202" s="2"/>
      <c r="AR2202" s="2"/>
      <c r="AS2202" s="2"/>
      <c r="AT2202" s="2"/>
      <c r="AU2202" s="2"/>
      <c r="AV2202" s="2"/>
      <c r="AW2202" s="2"/>
      <c r="AX2202" s="2"/>
      <c r="AY2202" s="2"/>
      <c r="AZ2202" s="2"/>
      <c r="BA2202" s="2"/>
      <c r="BB2202" s="2"/>
    </row>
    <row r="2203" ht="204.75" customHeight="1">
      <c r="A2203" s="1">
        <v>676.0</v>
      </c>
      <c r="B2203" s="2" t="s">
        <v>6907</v>
      </c>
      <c r="C2203" s="2">
        <f>IFERROR(__xludf.DUMMYFUNCTION("split(B2203,""_"")"),1807.0)</f>
        <v>1807</v>
      </c>
      <c r="D2203" s="2" t="str">
        <f>IFERROR(__xludf.DUMMYFUNCTION("""COMPUTED_VALUE"""),"EX")</f>
        <v>EX</v>
      </c>
      <c r="E2203" s="2" t="str">
        <f>IFERROR(__xludf.DUMMYFUNCTION("""COMPUTED_VALUE"""),"金23")</f>
        <v>金23</v>
      </c>
      <c r="F2203" s="2" t="s">
        <v>6908</v>
      </c>
      <c r="G2203" s="2" t="s">
        <v>6921</v>
      </c>
      <c r="H2203" s="1">
        <v>5.0</v>
      </c>
      <c r="I2203" s="1" t="s">
        <v>2884</v>
      </c>
      <c r="J2203" s="1" t="s">
        <v>1435</v>
      </c>
      <c r="K2203" s="2" t="s">
        <v>6922</v>
      </c>
      <c r="L2203" s="2" t="s">
        <v>6923</v>
      </c>
      <c r="M2203" s="2" t="str">
        <f>IFERROR(__xludf.DUMMYFUNCTION("split(split(K2203,""【"",false),""公式LINE"",false)"),"『dele. LIFE』にデータの死後削除を依頼していた聡史(朝比奈秀樹)のパソコンが、操作されなくなった。圭司(山田孝之)の指示で死亡確認に向かった祐太郎(菅田将暉)は、聡史が事故で意識不明状態だと知る。しかも、聡史の幼なじみで婚約者だという百合子(橋本愛)からは、削除依頼を取り消すと言われ…!一方、圭司は元恋人・明奈(柴咲コウ)と1年ぶりに再会するのだが…!?山田孝之、菅田将暉  ")</f>
        <v>『dele. LIFE』にデータの死後削除を依頼していた聡史(朝比奈秀樹)のパソコンが、操作されなくなった。圭司(山田孝之)の指示で死亡確認に向かった祐太郎(菅田将暉)は、聡史が事故で意識不明状態だと知る。しかも、聡史の幼なじみで婚約者だという百合子(橋本愛)からは、削除依頼を取り消すと言われ…!一方、圭司は元恋人・明奈(柴咲コウ)と1年ぶりに再会するのだが…!?山田孝之、菅田将暉  </v>
      </c>
      <c r="N2203" s="2"/>
      <c r="O2203" s="2"/>
      <c r="P2203" s="2"/>
      <c r="Q2203" s="2"/>
      <c r="R2203" s="2"/>
      <c r="S2203" s="2"/>
      <c r="T2203" s="2"/>
      <c r="U2203" s="2"/>
      <c r="V2203" s="2"/>
      <c r="W2203" s="2"/>
      <c r="X2203" s="2"/>
      <c r="Y2203" s="2"/>
      <c r="Z2203" s="2"/>
      <c r="AA2203" s="2"/>
      <c r="AB2203" s="2"/>
      <c r="AC2203" s="2"/>
      <c r="AD2203" s="2"/>
      <c r="AE2203" s="2"/>
      <c r="AF2203" s="2"/>
      <c r="AG2203" s="2"/>
      <c r="AH2203" s="2"/>
      <c r="AI2203" s="2"/>
      <c r="AJ2203" s="2"/>
      <c r="AK2203" s="2"/>
      <c r="AL2203" s="2"/>
      <c r="AM2203" s="2"/>
      <c r="AN2203" s="2"/>
      <c r="AO2203" s="2"/>
      <c r="AP2203" s="2"/>
      <c r="AQ2203" s="2"/>
      <c r="AR2203" s="2"/>
      <c r="AS2203" s="2"/>
      <c r="AT2203" s="2"/>
      <c r="AU2203" s="2"/>
      <c r="AV2203" s="2"/>
      <c r="AW2203" s="2"/>
      <c r="AX2203" s="2"/>
      <c r="AY2203" s="2"/>
      <c r="AZ2203" s="2"/>
      <c r="BA2203" s="2"/>
      <c r="BB2203" s="2"/>
    </row>
    <row r="2204" ht="204.75" customHeight="1">
      <c r="A2204" s="1">
        <v>677.0</v>
      </c>
      <c r="B2204" s="2" t="s">
        <v>6907</v>
      </c>
      <c r="C2204" s="2">
        <f>IFERROR(__xludf.DUMMYFUNCTION("split(B2204,""_"")"),1807.0)</f>
        <v>1807</v>
      </c>
      <c r="D2204" s="2" t="str">
        <f>IFERROR(__xludf.DUMMYFUNCTION("""COMPUTED_VALUE"""),"EX")</f>
        <v>EX</v>
      </c>
      <c r="E2204" s="2" t="str">
        <f>IFERROR(__xludf.DUMMYFUNCTION("""COMPUTED_VALUE"""),"金23")</f>
        <v>金23</v>
      </c>
      <c r="F2204" s="2" t="s">
        <v>6908</v>
      </c>
      <c r="G2204" s="2" t="s">
        <v>6924</v>
      </c>
      <c r="H2204" s="1">
        <v>6.0</v>
      </c>
      <c r="I2204" s="1" t="s">
        <v>2888</v>
      </c>
      <c r="J2204" s="1" t="s">
        <v>1435</v>
      </c>
      <c r="K2204" s="2" t="s">
        <v>6925</v>
      </c>
      <c r="L2204" s="2" t="s">
        <v>6926</v>
      </c>
      <c r="M2204" s="2" t="str">
        <f>IFERROR(__xludf.DUMMYFUNCTION("split(split(K2204,""【"",false),""公式LINE"",false)"),"家出していた中学生・純子(山田愛奈)が死体で見つかる。いじめが原因ではないかと疑う両親は、真の自殺理由を知りたい一心で、純子が日記をつけていたパソコンのパスワード解除を圭司(山田孝之)に依頼。ところが、苦労の末に解除するも、肝心なデータは何一つ残っておらず…!?山田孝之、菅田将暉、麻生久美子  ")</f>
        <v>家出していた中学生・純子(山田愛奈)が死体で見つかる。いじめが原因ではないかと疑う両親は、真の自殺理由を知りたい一心で、純子が日記をつけていたパソコンのパスワード解除を圭司(山田孝之)に依頼。ところが、苦労の末に解除するも、肝心なデータは何一つ残っておらず…!?山田孝之、菅田将暉、麻生久美子  </v>
      </c>
      <c r="N2204" s="2"/>
      <c r="O2204" s="2"/>
      <c r="P2204" s="2"/>
      <c r="Q2204" s="2"/>
      <c r="R2204" s="2"/>
      <c r="S2204" s="2"/>
      <c r="T2204" s="2"/>
      <c r="U2204" s="2"/>
      <c r="V2204" s="2"/>
      <c r="W2204" s="2"/>
      <c r="X2204" s="2"/>
      <c r="Y2204" s="2"/>
      <c r="Z2204" s="2"/>
      <c r="AA2204" s="2"/>
      <c r="AB2204" s="2"/>
      <c r="AC2204" s="2"/>
      <c r="AD2204" s="2"/>
      <c r="AE2204" s="2"/>
      <c r="AF2204" s="2"/>
      <c r="AG2204" s="2"/>
      <c r="AH2204" s="2"/>
      <c r="AI2204" s="2"/>
      <c r="AJ2204" s="2"/>
      <c r="AK2204" s="2"/>
      <c r="AL2204" s="2"/>
      <c r="AM2204" s="2"/>
      <c r="AN2204" s="2"/>
      <c r="AO2204" s="2"/>
      <c r="AP2204" s="2"/>
      <c r="AQ2204" s="2"/>
      <c r="AR2204" s="2"/>
      <c r="AS2204" s="2"/>
      <c r="AT2204" s="2"/>
      <c r="AU2204" s="2"/>
      <c r="AV2204" s="2"/>
      <c r="AW2204" s="2"/>
      <c r="AX2204" s="2"/>
      <c r="AY2204" s="2"/>
      <c r="AZ2204" s="2"/>
      <c r="BA2204" s="2"/>
      <c r="BB2204" s="2"/>
    </row>
    <row r="2205" ht="204.75" customHeight="1">
      <c r="A2205" s="1">
        <v>678.0</v>
      </c>
      <c r="B2205" s="2" t="s">
        <v>6907</v>
      </c>
      <c r="C2205" s="2">
        <f>IFERROR(__xludf.DUMMYFUNCTION("split(B2205,""_"")"),1807.0)</f>
        <v>1807</v>
      </c>
      <c r="D2205" s="2" t="str">
        <f>IFERROR(__xludf.DUMMYFUNCTION("""COMPUTED_VALUE"""),"EX")</f>
        <v>EX</v>
      </c>
      <c r="E2205" s="2" t="str">
        <f>IFERROR(__xludf.DUMMYFUNCTION("""COMPUTED_VALUE"""),"金23")</f>
        <v>金23</v>
      </c>
      <c r="F2205" s="2" t="s">
        <v>6908</v>
      </c>
      <c r="G2205" s="2" t="s">
        <v>6927</v>
      </c>
      <c r="H2205" s="1">
        <v>7.0</v>
      </c>
      <c r="I2205" s="1" t="s">
        <v>2892</v>
      </c>
      <c r="J2205" s="1" t="s">
        <v>1435</v>
      </c>
      <c r="K2205" s="2" t="s">
        <v>6928</v>
      </c>
      <c r="L2205" s="2" t="s">
        <v>6929</v>
      </c>
      <c r="M2205" s="2" t="str">
        <f>IFERROR(__xludf.DUMMYFUNCTION("split(split(K2205,""【"",false),""公式LINE"",false)"),"『dele. LIFE』の依頼人が死んだ。依頼人は、無実を訴え続ける死刑囚・笹本清一(塚本晋也)の息子。しかも、依頼人が死後削除を依頼したファイルは、真犯人をとらえた映像だった!やがて、この事件で娘を亡くした上野(Mummy-D)など周辺人物から、圭司(山田孝之)と祐太郎(菅田将暉)は、事件解決のカギになると思われる裏情報を入手。だが、調べれば調べるほど、容疑者となりうる人物が次々と浮上してきて…!?山田孝之、菅田将暉、麻生久美子  ")</f>
        <v>『dele. LIFE』の依頼人が死んだ。依頼人は、無実を訴え続ける死刑囚・笹本清一(塚本晋也)の息子。しかも、依頼人が死後削除を依頼したファイルは、真犯人をとらえた映像だった!やがて、この事件で娘を亡くした上野(Mummy-D)など周辺人物から、圭司(山田孝之)と祐太郎(菅田将暉)は、事件解決のカギになると思われる裏情報を入手。だが、調べれば調べるほど、容疑者となりうる人物が次々と浮上してきて…!?山田孝之、菅田将暉、麻生久美子  </v>
      </c>
      <c r="N2205" s="2"/>
      <c r="O2205" s="2"/>
      <c r="P2205" s="2"/>
      <c r="Q2205" s="2"/>
      <c r="R2205" s="2"/>
      <c r="S2205" s="2"/>
      <c r="T2205" s="2"/>
      <c r="U2205" s="2"/>
      <c r="V2205" s="2"/>
      <c r="W2205" s="2"/>
      <c r="X2205" s="2"/>
      <c r="Y2205" s="2"/>
      <c r="Z2205" s="2"/>
      <c r="AA2205" s="2"/>
      <c r="AB2205" s="2"/>
      <c r="AC2205" s="2"/>
      <c r="AD2205" s="2"/>
      <c r="AE2205" s="2"/>
      <c r="AF2205" s="2"/>
      <c r="AG2205" s="2"/>
      <c r="AH2205" s="2"/>
      <c r="AI2205" s="2"/>
      <c r="AJ2205" s="2"/>
      <c r="AK2205" s="2"/>
      <c r="AL2205" s="2"/>
      <c r="AM2205" s="2"/>
      <c r="AN2205" s="2"/>
      <c r="AO2205" s="2"/>
      <c r="AP2205" s="2"/>
      <c r="AQ2205" s="2"/>
      <c r="AR2205" s="2"/>
      <c r="AS2205" s="2"/>
      <c r="AT2205" s="2"/>
      <c r="AU2205" s="2"/>
      <c r="AV2205" s="2"/>
      <c r="AW2205" s="2"/>
      <c r="AX2205" s="2"/>
      <c r="AY2205" s="2"/>
      <c r="AZ2205" s="2"/>
      <c r="BA2205" s="2"/>
      <c r="BB2205" s="2"/>
    </row>
    <row r="2206" ht="204.75" customHeight="1">
      <c r="A2206" s="1">
        <v>679.0</v>
      </c>
      <c r="B2206" s="2" t="s">
        <v>6907</v>
      </c>
      <c r="C2206" s="2">
        <f>IFERROR(__xludf.DUMMYFUNCTION("split(B2206,""_"")"),1807.0)</f>
        <v>1807</v>
      </c>
      <c r="D2206" s="2" t="str">
        <f>IFERROR(__xludf.DUMMYFUNCTION("""COMPUTED_VALUE"""),"EX")</f>
        <v>EX</v>
      </c>
      <c r="E2206" s="2" t="str">
        <f>IFERROR(__xludf.DUMMYFUNCTION("""COMPUTED_VALUE"""),"金23")</f>
        <v>金23</v>
      </c>
      <c r="F2206" s="2" t="s">
        <v>6908</v>
      </c>
      <c r="G2206" s="2" t="s">
        <v>6930</v>
      </c>
      <c r="H2206" s="1">
        <v>8.0</v>
      </c>
      <c r="I2206" s="1" t="s">
        <v>2896</v>
      </c>
      <c r="J2206" s="1" t="s">
        <v>1435</v>
      </c>
      <c r="K2206" s="2" t="s">
        <v>6931</v>
      </c>
      <c r="L2206" s="2" t="s">
        <v>6932</v>
      </c>
      <c r="M2206" s="2" t="str">
        <f>IFERROR(__xludf.DUMMYFUNCTION("split(split(K2206,""【"",false),""公式LINE"",false)"),"祐太郎(菅田将暉)の妹・鈴の不審な死…それから9年。鈴が入院していた病院の弁護をしていた辰巳仁志(大塚明夫)が死亡した。しかも、辰巳が『dele. LIFE』に死後削除を依頼していた音声データには、“祐太郎の無念を晴らす真実""を示唆する大物政治家・仲村(麿赤兒)との会話が記録されていた!それを機に、あぶり出される祐太郎と圭司(山田孝之)の過去…。「dele」衝撃の最終回が、ついに幕を開けるー。山田孝之、菅田将暉、麻生久美子  ")</f>
        <v>祐太郎(菅田将暉)の妹・鈴の不審な死…それから9年。鈴が入院していた病院の弁護をしていた辰巳仁志(大塚明夫)が死亡した。しかも、辰巳が『dele. LIFE』に死後削除を依頼していた音声データには、“祐太郎の無念を晴らす真実"を示唆する大物政治家・仲村(麿赤兒)との会話が記録されていた!それを機に、あぶり出される祐太郎と圭司(山田孝之)の過去…。「dele」衝撃の最終回が、ついに幕を開けるー。山田孝之、菅田将暉、麻生久美子  </v>
      </c>
      <c r="N2206" s="2"/>
      <c r="O2206" s="2"/>
      <c r="P2206" s="2"/>
      <c r="Q2206" s="2"/>
      <c r="R2206" s="2"/>
      <c r="S2206" s="2"/>
      <c r="T2206" s="2"/>
      <c r="U2206" s="2"/>
      <c r="V2206" s="2"/>
      <c r="W2206" s="2"/>
      <c r="X2206" s="2"/>
      <c r="Y2206" s="2"/>
      <c r="Z2206" s="2"/>
      <c r="AA2206" s="2"/>
      <c r="AB2206" s="2"/>
      <c r="AC2206" s="2"/>
      <c r="AD2206" s="2"/>
      <c r="AE2206" s="2"/>
      <c r="AF2206" s="2"/>
      <c r="AG2206" s="2"/>
      <c r="AH2206" s="2"/>
      <c r="AI2206" s="2"/>
      <c r="AJ2206" s="2"/>
      <c r="AK2206" s="2"/>
      <c r="AL2206" s="2"/>
      <c r="AM2206" s="2"/>
      <c r="AN2206" s="2"/>
      <c r="AO2206" s="2"/>
      <c r="AP2206" s="2"/>
      <c r="AQ2206" s="2"/>
      <c r="AR2206" s="2"/>
      <c r="AS2206" s="2"/>
      <c r="AT2206" s="2"/>
      <c r="AU2206" s="2"/>
      <c r="AV2206" s="2"/>
      <c r="AW2206" s="2"/>
      <c r="AX2206" s="2"/>
      <c r="AY2206" s="2"/>
      <c r="AZ2206" s="2"/>
      <c r="BA2206" s="2"/>
      <c r="BB2206" s="2"/>
    </row>
    <row r="2207" ht="204.75" customHeight="1">
      <c r="A2207" s="1">
        <v>690.0</v>
      </c>
      <c r="B2207" s="2" t="s">
        <v>6933</v>
      </c>
      <c r="C2207" s="2">
        <f>IFERROR(__xludf.DUMMYFUNCTION("split(B2207,""_"")"),1807.0)</f>
        <v>1807</v>
      </c>
      <c r="D2207" s="2" t="str">
        <f>IFERROR(__xludf.DUMMYFUNCTION("""COMPUTED_VALUE"""),"EX")</f>
        <v>EX</v>
      </c>
      <c r="E2207" s="2" t="str">
        <f>IFERROR(__xludf.DUMMYFUNCTION("""COMPUTED_VALUE"""),"土23")</f>
        <v>土23</v>
      </c>
      <c r="F2207" s="2" t="s">
        <v>6934</v>
      </c>
      <c r="G2207" s="2" t="s">
        <v>6935</v>
      </c>
      <c r="H2207" s="1">
        <v>1.0</v>
      </c>
      <c r="I2207" s="1" t="s">
        <v>2868</v>
      </c>
      <c r="J2207" s="1" t="s">
        <v>1435</v>
      </c>
      <c r="K2207" s="2" t="s">
        <v>6936</v>
      </c>
      <c r="L2207" s="2" t="s">
        <v>6937</v>
      </c>
      <c r="M2207" s="2" t="str">
        <f>IFERROR(__xludf.DUMMYFUNCTION("split(split(K2207,""【"",false),""公式LINE"",false)"),"看護師・春日ゆり子(川口春奈)は彼氏・碑文谷翔(窪田正孝)と同棲していたが、彼女には誰にも言えない秘密があった。翔は女の金で暮らす無職の男ーそう“ヒモ""だったのだ…!ある日、ゆり子の勤務先に入院してきたVIP患者・矢沢(宇梶剛士)の愛鳥が失踪。ゆり子は責任を取らされ辞職の危機に!「ゆり子に捨てられたくない…でも、働きたくない」。人生最大の選択を迫られるヒモ男・翔が彼女のピンチにとった行動とは…!?窪田正孝、川口春奈、勝地涼、岡田結実、佐藤仁美、YOU、金田明夫  ")</f>
        <v>看護師・春日ゆり子(川口春奈)は彼氏・碑文谷翔(窪田正孝)と同棲していたが、彼女には誰にも言えない秘密があった。翔は女の金で暮らす無職の男ーそう“ヒモ"だったのだ…!ある日、ゆり子の勤務先に入院してきたVIP患者・矢沢(宇梶剛士)の愛鳥が失踪。ゆり子は責任を取らされ辞職の危機に!「ゆり子に捨てられたくない…でも、働きたくない」。人生最大の選択を迫られるヒモ男・翔が彼女のピンチにとった行動とは…!?窪田正孝、川口春奈、勝地涼、岡田結実、佐藤仁美、YOU、金田明夫  </v>
      </c>
      <c r="N2207" s="2"/>
      <c r="O2207" s="2"/>
      <c r="P2207" s="2"/>
      <c r="Q2207" s="2"/>
      <c r="R2207" s="2"/>
      <c r="S2207" s="2"/>
      <c r="T2207" s="2"/>
      <c r="U2207" s="2"/>
      <c r="V2207" s="2"/>
      <c r="W2207" s="2"/>
      <c r="X2207" s="2"/>
      <c r="Y2207" s="2"/>
      <c r="Z2207" s="2"/>
      <c r="AA2207" s="2"/>
      <c r="AB2207" s="2"/>
      <c r="AC2207" s="2"/>
      <c r="AD2207" s="2"/>
      <c r="AE2207" s="2"/>
      <c r="AF2207" s="2"/>
      <c r="AG2207" s="2"/>
      <c r="AH2207" s="2"/>
      <c r="AI2207" s="2"/>
      <c r="AJ2207" s="2"/>
      <c r="AK2207" s="2"/>
      <c r="AL2207" s="2"/>
      <c r="AM2207" s="2"/>
      <c r="AN2207" s="2"/>
      <c r="AO2207" s="2"/>
      <c r="AP2207" s="2"/>
      <c r="AQ2207" s="2"/>
      <c r="AR2207" s="2"/>
      <c r="AS2207" s="2"/>
      <c r="AT2207" s="2"/>
      <c r="AU2207" s="2"/>
      <c r="AV2207" s="2"/>
      <c r="AW2207" s="2"/>
      <c r="AX2207" s="2"/>
      <c r="AY2207" s="2"/>
      <c r="AZ2207" s="2"/>
      <c r="BA2207" s="2"/>
      <c r="BB2207" s="2"/>
    </row>
    <row r="2208" ht="204.75" customHeight="1">
      <c r="A2208" s="1">
        <v>691.0</v>
      </c>
      <c r="B2208" s="2" t="s">
        <v>6933</v>
      </c>
      <c r="C2208" s="2">
        <f>IFERROR(__xludf.DUMMYFUNCTION("split(B2208,""_"")"),1807.0)</f>
        <v>1807</v>
      </c>
      <c r="D2208" s="2" t="str">
        <f>IFERROR(__xludf.DUMMYFUNCTION("""COMPUTED_VALUE"""),"EX")</f>
        <v>EX</v>
      </c>
      <c r="E2208" s="2" t="str">
        <f>IFERROR(__xludf.DUMMYFUNCTION("""COMPUTED_VALUE"""),"土23")</f>
        <v>土23</v>
      </c>
      <c r="F2208" s="2" t="s">
        <v>6934</v>
      </c>
      <c r="G2208" s="2" t="s">
        <v>6938</v>
      </c>
      <c r="H2208" s="1">
        <v>2.0</v>
      </c>
      <c r="I2208" s="1" t="s">
        <v>2872</v>
      </c>
      <c r="J2208" s="1" t="s">
        <v>1435</v>
      </c>
      <c r="K2208" s="2" t="s">
        <v>6939</v>
      </c>
      <c r="L2208" s="2" t="s">
        <v>6940</v>
      </c>
      <c r="M2208" s="2" t="str">
        <f>IFERROR(__xludf.DUMMYFUNCTION("split(split(K2208,""【"",false),""公式LINE"",false)"),"同棲中のヒモ彼氏・碑文谷翔(窪田正孝)に連れ出された春日ゆり子(川口春奈)。到着した先はなんと結婚式場!ゆり子はプロポーズされたものと思い込み、感動の涙を浮かべる!ところが、ゆり子の姉でウエディングプランナーの桜子(片瀬那奈)とバッタリ遭遇!男性を仕事や年収で判断するタイプの桜子は、二人の交際に大反対。3日で128万円を集めてこなければ別れさせると宣言!人生最大のピンチを翔はどう乗り越えるのか!?窪田正孝、川口春奈、勝地涼、岡田結実 / 片瀬那奈 / 佐藤仁美、金田明夫  ")</f>
        <v>同棲中のヒモ彼氏・碑文谷翔(窪田正孝)に連れ出された春日ゆり子(川口春奈)。到着した先はなんと結婚式場!ゆり子はプロポーズされたものと思い込み、感動の涙を浮かべる!ところが、ゆり子の姉でウエディングプランナーの桜子(片瀬那奈)とバッタリ遭遇!男性を仕事や年収で判断するタイプの桜子は、二人の交際に大反対。3日で128万円を集めてこなければ別れさせると宣言!人生最大のピンチを翔はどう乗り越えるのか!?窪田正孝、川口春奈、勝地涼、岡田結実 / 片瀬那奈 / 佐藤仁美、金田明夫  </v>
      </c>
      <c r="N2208" s="2"/>
      <c r="O2208" s="2"/>
      <c r="P2208" s="2"/>
      <c r="Q2208" s="2"/>
      <c r="R2208" s="2"/>
      <c r="S2208" s="2"/>
      <c r="T2208" s="2"/>
      <c r="U2208" s="2"/>
      <c r="V2208" s="2"/>
      <c r="W2208" s="2"/>
      <c r="X2208" s="2"/>
      <c r="Y2208" s="2"/>
      <c r="Z2208" s="2"/>
      <c r="AA2208" s="2"/>
      <c r="AB2208" s="2"/>
      <c r="AC2208" s="2"/>
      <c r="AD2208" s="2"/>
      <c r="AE2208" s="2"/>
      <c r="AF2208" s="2"/>
      <c r="AG2208" s="2"/>
      <c r="AH2208" s="2"/>
      <c r="AI2208" s="2"/>
      <c r="AJ2208" s="2"/>
      <c r="AK2208" s="2"/>
      <c r="AL2208" s="2"/>
      <c r="AM2208" s="2"/>
      <c r="AN2208" s="2"/>
      <c r="AO2208" s="2"/>
      <c r="AP2208" s="2"/>
      <c r="AQ2208" s="2"/>
      <c r="AR2208" s="2"/>
      <c r="AS2208" s="2"/>
      <c r="AT2208" s="2"/>
      <c r="AU2208" s="2"/>
      <c r="AV2208" s="2"/>
      <c r="AW2208" s="2"/>
      <c r="AX2208" s="2"/>
      <c r="AY2208" s="2"/>
      <c r="AZ2208" s="2"/>
      <c r="BA2208" s="2"/>
      <c r="BB2208" s="2"/>
    </row>
    <row r="2209" ht="204.75" customHeight="1">
      <c r="A2209" s="1">
        <v>692.0</v>
      </c>
      <c r="B2209" s="2" t="s">
        <v>6933</v>
      </c>
      <c r="C2209" s="2">
        <f>IFERROR(__xludf.DUMMYFUNCTION("split(B2209,""_"")"),1807.0)</f>
        <v>1807</v>
      </c>
      <c r="D2209" s="2" t="str">
        <f>IFERROR(__xludf.DUMMYFUNCTION("""COMPUTED_VALUE"""),"EX")</f>
        <v>EX</v>
      </c>
      <c r="E2209" s="2" t="str">
        <f>IFERROR(__xludf.DUMMYFUNCTION("""COMPUTED_VALUE"""),"土23")</f>
        <v>土23</v>
      </c>
      <c r="F2209" s="2" t="s">
        <v>6934</v>
      </c>
      <c r="G2209" s="2" t="s">
        <v>6941</v>
      </c>
      <c r="H2209" s="1">
        <v>3.0</v>
      </c>
      <c r="I2209" s="1" t="s">
        <v>2876</v>
      </c>
      <c r="J2209" s="1" t="s">
        <v>1435</v>
      </c>
      <c r="K2209" s="2" t="s">
        <v>6942</v>
      </c>
      <c r="L2209" s="2" t="s">
        <v>6943</v>
      </c>
      <c r="M2209" s="2" t="str">
        <f>IFERROR(__xludf.DUMMYFUNCTION("split(split(K2209,""【"",false),""公式LINE"",false)"),"ヒモ彼氏・翔(窪田正孝)は、ゆり子(川口春奈)が大切にとっておいた3枚ある「お食事券」を1枚勝手に使い、ゆり子を激怒させてしまう。許してもらうために残り2枚の「お食事券」を探すが、奪われていることに気付く。そんな中、国会議員・森山(西尾まり)と秘書・長谷部(小沢真珠)が「お食事券」について話していることを聞きつけるが、それは…「汚職事件」のことだった。ヒモ男が政界を揺るがす事態に…!?窪田正孝、川口春奈、勝地涼、岡田結実、佐藤仁美、YOU、金田明夫  ")</f>
        <v>ヒモ彼氏・翔(窪田正孝)は、ゆり子(川口春奈)が大切にとっておいた3枚ある「お食事券」を1枚勝手に使い、ゆり子を激怒させてしまう。許してもらうために残り2枚の「お食事券」を探すが、奪われていることに気付く。そんな中、国会議員・森山(西尾まり)と秘書・長谷部(小沢真珠)が「お食事券」について話していることを聞きつけるが、それは…「汚職事件」のことだった。ヒモ男が政界を揺るがす事態に…!?窪田正孝、川口春奈、勝地涼、岡田結実、佐藤仁美、YOU、金田明夫  </v>
      </c>
      <c r="N2209" s="2"/>
      <c r="O2209" s="2"/>
      <c r="P2209" s="2"/>
      <c r="Q2209" s="2"/>
      <c r="R2209" s="2"/>
      <c r="S2209" s="2"/>
      <c r="T2209" s="2"/>
      <c r="U2209" s="2"/>
      <c r="V2209" s="2"/>
      <c r="W2209" s="2"/>
      <c r="X2209" s="2"/>
      <c r="Y2209" s="2"/>
      <c r="Z2209" s="2"/>
      <c r="AA2209" s="2"/>
      <c r="AB2209" s="2"/>
      <c r="AC2209" s="2"/>
      <c r="AD2209" s="2"/>
      <c r="AE2209" s="2"/>
      <c r="AF2209" s="2"/>
      <c r="AG2209" s="2"/>
      <c r="AH2209" s="2"/>
      <c r="AI2209" s="2"/>
      <c r="AJ2209" s="2"/>
      <c r="AK2209" s="2"/>
      <c r="AL2209" s="2"/>
      <c r="AM2209" s="2"/>
      <c r="AN2209" s="2"/>
      <c r="AO2209" s="2"/>
      <c r="AP2209" s="2"/>
      <c r="AQ2209" s="2"/>
      <c r="AR2209" s="2"/>
      <c r="AS2209" s="2"/>
      <c r="AT2209" s="2"/>
      <c r="AU2209" s="2"/>
      <c r="AV2209" s="2"/>
      <c r="AW2209" s="2"/>
      <c r="AX2209" s="2"/>
      <c r="AY2209" s="2"/>
      <c r="AZ2209" s="2"/>
      <c r="BA2209" s="2"/>
      <c r="BB2209" s="2"/>
    </row>
    <row r="2210" ht="204.75" customHeight="1">
      <c r="A2210" s="1">
        <v>693.0</v>
      </c>
      <c r="B2210" s="2" t="s">
        <v>6933</v>
      </c>
      <c r="C2210" s="2">
        <f>IFERROR(__xludf.DUMMYFUNCTION("split(B2210,""_"")"),1807.0)</f>
        <v>1807</v>
      </c>
      <c r="D2210" s="2" t="str">
        <f>IFERROR(__xludf.DUMMYFUNCTION("""COMPUTED_VALUE"""),"EX")</f>
        <v>EX</v>
      </c>
      <c r="E2210" s="2" t="str">
        <f>IFERROR(__xludf.DUMMYFUNCTION("""COMPUTED_VALUE"""),"土23")</f>
        <v>土23</v>
      </c>
      <c r="F2210" s="2" t="s">
        <v>6934</v>
      </c>
      <c r="G2210" s="2" t="s">
        <v>6944</v>
      </c>
      <c r="H2210" s="1">
        <v>4.0</v>
      </c>
      <c r="I2210" s="1" t="s">
        <v>2880</v>
      </c>
      <c r="J2210" s="1" t="s">
        <v>1435</v>
      </c>
      <c r="K2210" s="2" t="s">
        <v>6945</v>
      </c>
      <c r="L2210" s="2" t="s">
        <v>6946</v>
      </c>
      <c r="M2210" s="2" t="str">
        <f>IFERROR(__xludf.DUMMYFUNCTION("split(split(K2210,""【"",false),""公式LINE"",false)"),"恋人・春日ゆり子(川口春奈)に別れを告げられたヒモ彼氏・碑文谷翔(窪田正孝)が、ついに就職!?翔は、池目(勝地涼)の紹介を受けて大手電機メーカーの面接に行く。そこで中国のエリート技術者と間違われ、極秘AIロボの開発の手伝いをすることに。ゆり子と離れたくない翔は、「自分の仕事姿を見てほしい」とアピールするが、プロジェクトの発表イベントで、またしても人生最大のピンチに見舞われるー!窪田正孝、川口春奈、勝地涼、岡田結実、佐藤仁美、金田明夫  ")</f>
        <v>恋人・春日ゆり子(川口春奈)に別れを告げられたヒモ彼氏・碑文谷翔(窪田正孝)が、ついに就職!?翔は、池目(勝地涼)の紹介を受けて大手電機メーカーの面接に行く。そこで中国のエリート技術者と間違われ、極秘AIロボの開発の手伝いをすることに。ゆり子と離れたくない翔は、「自分の仕事姿を見てほしい」とアピールするが、プロジェクトの発表イベントで、またしても人生最大のピンチに見舞われるー!窪田正孝、川口春奈、勝地涼、岡田結実、佐藤仁美、金田明夫  </v>
      </c>
      <c r="N2210" s="2"/>
      <c r="O2210" s="2"/>
      <c r="P2210" s="2"/>
      <c r="Q2210" s="2"/>
      <c r="R2210" s="2"/>
      <c r="S2210" s="2"/>
      <c r="T2210" s="2"/>
      <c r="U2210" s="2"/>
      <c r="V2210" s="2"/>
      <c r="W2210" s="2"/>
      <c r="X2210" s="2"/>
      <c r="Y2210" s="2"/>
      <c r="Z2210" s="2"/>
      <c r="AA2210" s="2"/>
      <c r="AB2210" s="2"/>
      <c r="AC2210" s="2"/>
      <c r="AD2210" s="2"/>
      <c r="AE2210" s="2"/>
      <c r="AF2210" s="2"/>
      <c r="AG2210" s="2"/>
      <c r="AH2210" s="2"/>
      <c r="AI2210" s="2"/>
      <c r="AJ2210" s="2"/>
      <c r="AK2210" s="2"/>
      <c r="AL2210" s="2"/>
      <c r="AM2210" s="2"/>
      <c r="AN2210" s="2"/>
      <c r="AO2210" s="2"/>
      <c r="AP2210" s="2"/>
      <c r="AQ2210" s="2"/>
      <c r="AR2210" s="2"/>
      <c r="AS2210" s="2"/>
      <c r="AT2210" s="2"/>
      <c r="AU2210" s="2"/>
      <c r="AV2210" s="2"/>
      <c r="AW2210" s="2"/>
      <c r="AX2210" s="2"/>
      <c r="AY2210" s="2"/>
      <c r="AZ2210" s="2"/>
      <c r="BA2210" s="2"/>
      <c r="BB2210" s="2"/>
    </row>
    <row r="2211" ht="204.75" customHeight="1">
      <c r="A2211" s="1">
        <v>694.0</v>
      </c>
      <c r="B2211" s="2" t="s">
        <v>6933</v>
      </c>
      <c r="C2211" s="2">
        <f>IFERROR(__xludf.DUMMYFUNCTION("split(B2211,""_"")"),1807.0)</f>
        <v>1807</v>
      </c>
      <c r="D2211" s="2" t="str">
        <f>IFERROR(__xludf.DUMMYFUNCTION("""COMPUTED_VALUE"""),"EX")</f>
        <v>EX</v>
      </c>
      <c r="E2211" s="2" t="str">
        <f>IFERROR(__xludf.DUMMYFUNCTION("""COMPUTED_VALUE"""),"土23")</f>
        <v>土23</v>
      </c>
      <c r="F2211" s="2" t="s">
        <v>6934</v>
      </c>
      <c r="G2211" s="2" t="s">
        <v>6947</v>
      </c>
      <c r="H2211" s="1">
        <v>5.0</v>
      </c>
      <c r="I2211" s="1" t="s">
        <v>2884</v>
      </c>
      <c r="J2211" s="1" t="s">
        <v>1435</v>
      </c>
      <c r="K2211" s="2" t="s">
        <v>6948</v>
      </c>
      <c r="L2211" s="2" t="s">
        <v>6949</v>
      </c>
      <c r="M2211" s="2" t="str">
        <f>IFERROR(__xludf.DUMMYFUNCTION("split(split(K2211,""【"",false),""公式LINE"",false)"),"副音声～川口春奈×岡田結実×片瀬那奈による女子トーク開催!】  ヒモ男・碑文谷翔(窪田正孝)とその彼女・春日ゆり子(川口春奈)の前に、突然ある男(音尾琢真)が現れた。すると、ゆり子が1000万円の借金をしていることが判明!借金のかたに連れ去られようとするゆり子を救うため、翔が立ち上がる!ついに、ゆり子のために働くことに…だが、全ては「ヒモ更生プログラム」の一貫だった!?遂にヒモ男、ヒモを卒業!?窪田正孝、川口春奈、勝地涼、岡田結実 / 片瀬那奈 / 佐藤仁美、YOU、金田明夫  ")</f>
        <v>副音声～川口春奈×岡田結実×片瀬那奈による女子トーク開催!】  ヒモ男・碑文谷翔(窪田正孝)とその彼女・春日ゆり子(川口春奈)の前に、突然ある男(音尾琢真)が現れた。すると、ゆり子が1000万円の借金をしていることが判明!借金のかたに連れ去られようとするゆり子を救うため、翔が立ち上がる!ついに、ゆり子のために働くことに…だが、全ては「ヒモ更生プログラム」の一貫だった!?遂にヒモ男、ヒモを卒業!?窪田正孝、川口春奈、勝地涼、岡田結実 / 片瀬那奈 / 佐藤仁美、YOU、金田明夫  </v>
      </c>
      <c r="N2211" s="2"/>
      <c r="O2211" s="2"/>
      <c r="P2211" s="2"/>
      <c r="Q2211" s="2"/>
      <c r="R2211" s="2"/>
      <c r="S2211" s="2"/>
      <c r="T2211" s="2"/>
      <c r="U2211" s="2"/>
      <c r="V2211" s="2"/>
      <c r="W2211" s="2"/>
      <c r="X2211" s="2"/>
      <c r="Y2211" s="2"/>
      <c r="Z2211" s="2"/>
      <c r="AA2211" s="2"/>
      <c r="AB2211" s="2"/>
      <c r="AC2211" s="2"/>
      <c r="AD2211" s="2"/>
      <c r="AE2211" s="2"/>
      <c r="AF2211" s="2"/>
      <c r="AG2211" s="2"/>
      <c r="AH2211" s="2"/>
      <c r="AI2211" s="2"/>
      <c r="AJ2211" s="2"/>
      <c r="AK2211" s="2"/>
      <c r="AL2211" s="2"/>
      <c r="AM2211" s="2"/>
      <c r="AN2211" s="2"/>
      <c r="AO2211" s="2"/>
      <c r="AP2211" s="2"/>
      <c r="AQ2211" s="2"/>
      <c r="AR2211" s="2"/>
      <c r="AS2211" s="2"/>
      <c r="AT2211" s="2"/>
      <c r="AU2211" s="2"/>
      <c r="AV2211" s="2"/>
      <c r="AW2211" s="2"/>
      <c r="AX2211" s="2"/>
      <c r="AY2211" s="2"/>
      <c r="AZ2211" s="2"/>
      <c r="BA2211" s="2"/>
      <c r="BB2211" s="2"/>
    </row>
    <row r="2212" ht="204.75" customHeight="1">
      <c r="A2212" s="1">
        <v>695.0</v>
      </c>
      <c r="B2212" s="2" t="s">
        <v>6933</v>
      </c>
      <c r="C2212" s="2">
        <f>IFERROR(__xludf.DUMMYFUNCTION("split(B2212,""_"")"),1807.0)</f>
        <v>1807</v>
      </c>
      <c r="D2212" s="2" t="str">
        <f>IFERROR(__xludf.DUMMYFUNCTION("""COMPUTED_VALUE"""),"EX")</f>
        <v>EX</v>
      </c>
      <c r="E2212" s="2" t="str">
        <f>IFERROR(__xludf.DUMMYFUNCTION("""COMPUTED_VALUE"""),"土23")</f>
        <v>土23</v>
      </c>
      <c r="F2212" s="2" t="s">
        <v>6934</v>
      </c>
      <c r="G2212" s="2" t="s">
        <v>6950</v>
      </c>
      <c r="H2212" s="1">
        <v>6.0</v>
      </c>
      <c r="I2212" s="1" t="s">
        <v>2888</v>
      </c>
      <c r="J2212" s="1" t="s">
        <v>1435</v>
      </c>
      <c r="K2212" s="2" t="s">
        <v>6951</v>
      </c>
      <c r="L2212" s="2" t="s">
        <v>6952</v>
      </c>
      <c r="M2212" s="2" t="str">
        <f>IFERROR(__xludf.DUMMYFUNCTION("split(split(K2212,""【"",false),""公式LINE"",false)"),"ヒモ男・翔(窪田正孝)は、居酒屋でインテリア雑貨会社の社長・加賀美香(高岡早紀)から、突然「明日、仕事しない?」と声をかけられる。それは見合い相手との縁談を断るため、婚約者のフリをするという“契約""だった。しかも、翔のことが気に入った美香は「お金は欲しいだけあげるから契約を延長しよう」と言い出す。ヒモメン・翔は、美香と共に“永遠のヒモ""の道を進むのか、彼女・ゆり子(川口春奈)との愛に生きるのか…!?窪田正孝、川口春奈、勝地涼、岡田結実、佐藤仁美、YOU、金田明夫  ")</f>
        <v>ヒモ男・翔(窪田正孝)は、居酒屋でインテリア雑貨会社の社長・加賀美香(高岡早紀)から、突然「明日、仕事しない?」と声をかけられる。それは見合い相手との縁談を断るため、婚約者のフリをするという“契約"だった。しかも、翔のことが気に入った美香は「お金は欲しいだけあげるから契約を延長しよう」と言い出す。ヒモメン・翔は、美香と共に“永遠のヒモ"の道を進むのか、彼女・ゆり子(川口春奈)との愛に生きるのか…!?窪田正孝、川口春奈、勝地涼、岡田結実、佐藤仁美、YOU、金田明夫  </v>
      </c>
      <c r="N2212" s="2"/>
      <c r="O2212" s="2"/>
      <c r="P2212" s="2"/>
      <c r="Q2212" s="2"/>
      <c r="R2212" s="2"/>
      <c r="S2212" s="2"/>
      <c r="T2212" s="2"/>
      <c r="U2212" s="2"/>
      <c r="V2212" s="2"/>
      <c r="W2212" s="2"/>
      <c r="X2212" s="2"/>
      <c r="Y2212" s="2"/>
      <c r="Z2212" s="2"/>
      <c r="AA2212" s="2"/>
      <c r="AB2212" s="2"/>
      <c r="AC2212" s="2"/>
      <c r="AD2212" s="2"/>
      <c r="AE2212" s="2"/>
      <c r="AF2212" s="2"/>
      <c r="AG2212" s="2"/>
      <c r="AH2212" s="2"/>
      <c r="AI2212" s="2"/>
      <c r="AJ2212" s="2"/>
      <c r="AK2212" s="2"/>
      <c r="AL2212" s="2"/>
      <c r="AM2212" s="2"/>
      <c r="AN2212" s="2"/>
      <c r="AO2212" s="2"/>
      <c r="AP2212" s="2"/>
      <c r="AQ2212" s="2"/>
      <c r="AR2212" s="2"/>
      <c r="AS2212" s="2"/>
      <c r="AT2212" s="2"/>
      <c r="AU2212" s="2"/>
      <c r="AV2212" s="2"/>
      <c r="AW2212" s="2"/>
      <c r="AX2212" s="2"/>
      <c r="AY2212" s="2"/>
      <c r="AZ2212" s="2"/>
      <c r="BA2212" s="2"/>
      <c r="BB2212" s="2"/>
    </row>
    <row r="2213" ht="204.75" customHeight="1">
      <c r="A2213" s="1">
        <v>696.0</v>
      </c>
      <c r="B2213" s="2" t="s">
        <v>6933</v>
      </c>
      <c r="C2213" s="2">
        <f>IFERROR(__xludf.DUMMYFUNCTION("split(B2213,""_"")"),1807.0)</f>
        <v>1807</v>
      </c>
      <c r="D2213" s="2" t="str">
        <f>IFERROR(__xludf.DUMMYFUNCTION("""COMPUTED_VALUE"""),"EX")</f>
        <v>EX</v>
      </c>
      <c r="E2213" s="2" t="str">
        <f>IFERROR(__xludf.DUMMYFUNCTION("""COMPUTED_VALUE"""),"土23")</f>
        <v>土23</v>
      </c>
      <c r="F2213" s="2" t="s">
        <v>6934</v>
      </c>
      <c r="G2213" s="2" t="s">
        <v>6953</v>
      </c>
      <c r="H2213" s="1">
        <v>7.0</v>
      </c>
      <c r="I2213" s="1" t="s">
        <v>2892</v>
      </c>
      <c r="J2213" s="1" t="s">
        <v>1435</v>
      </c>
      <c r="K2213" s="2" t="s">
        <v>6954</v>
      </c>
      <c r="L2213" s="2" t="s">
        <v>6955</v>
      </c>
      <c r="M2213" s="2" t="str">
        <f>IFERROR(__xludf.DUMMYFUNCTION("split(split(K2213,""【"",false),""公式LINE"",false)"),"楽して生きたいヒモ男・翔(窪田正孝)vsヒモを更生させたい彼女・ゆり子(川口春奈)の戦いも遂に最終話!ゆり子は、姉・桜子(片瀬那奈)から「今すぐ結婚しなさい」と、いきなり命じられビックリ!翔を認めない桜子が結婚相手として指定したのは、ゆり子の幼なじみ・松平鷹彦(渡辺大)。鷹彦は元医師で、高身長&amp;イケメンという“ミスターパーフェクト""。ゆり子が選ぶのは、翔か鷹彦か、はたまた池目(勝地涼)か!?窪田正孝、川口春奈、勝地涼、岡田結実 / 片瀬那奈 / 佐藤仁美、YOU、金田明夫  ")</f>
        <v>楽して生きたいヒモ男・翔(窪田正孝)vsヒモを更生させたい彼女・ゆり子(川口春奈)の戦いも遂に最終話!ゆり子は、姉・桜子(片瀬那奈)から「今すぐ結婚しなさい」と、いきなり命じられビックリ!翔を認めない桜子が結婚相手として指定したのは、ゆり子の幼なじみ・松平鷹彦(渡辺大)。鷹彦は元医師で、高身長&amp;イケメンという“ミスターパーフェクト"。ゆり子が選ぶのは、翔か鷹彦か、はたまた池目(勝地涼)か!?窪田正孝、川口春奈、勝地涼、岡田結実 / 片瀬那奈 / 佐藤仁美、YOU、金田明夫  </v>
      </c>
      <c r="N2213" s="2"/>
      <c r="O2213" s="2"/>
      <c r="P2213" s="2"/>
      <c r="Q2213" s="2"/>
      <c r="R2213" s="2"/>
      <c r="S2213" s="2"/>
      <c r="T2213" s="2"/>
      <c r="U2213" s="2"/>
      <c r="V2213" s="2"/>
      <c r="W2213" s="2"/>
      <c r="X2213" s="2"/>
      <c r="Y2213" s="2"/>
      <c r="Z2213" s="2"/>
      <c r="AA2213" s="2"/>
      <c r="AB2213" s="2"/>
      <c r="AC2213" s="2"/>
      <c r="AD2213" s="2"/>
      <c r="AE2213" s="2"/>
      <c r="AF2213" s="2"/>
      <c r="AG2213" s="2"/>
      <c r="AH2213" s="2"/>
      <c r="AI2213" s="2"/>
      <c r="AJ2213" s="2"/>
      <c r="AK2213" s="2"/>
      <c r="AL2213" s="2"/>
      <c r="AM2213" s="2"/>
      <c r="AN2213" s="2"/>
      <c r="AO2213" s="2"/>
      <c r="AP2213" s="2"/>
      <c r="AQ2213" s="2"/>
      <c r="AR2213" s="2"/>
      <c r="AS2213" s="2"/>
      <c r="AT2213" s="2"/>
      <c r="AU2213" s="2"/>
      <c r="AV2213" s="2"/>
      <c r="AW2213" s="2"/>
      <c r="AX2213" s="2"/>
      <c r="AY2213" s="2"/>
      <c r="AZ2213" s="2"/>
      <c r="BA2213" s="2"/>
      <c r="BB2213" s="2"/>
    </row>
    <row r="2214" ht="204.75" customHeight="1">
      <c r="A2214" s="1">
        <v>757.0</v>
      </c>
      <c r="B2214" s="2" t="s">
        <v>6956</v>
      </c>
      <c r="C2214" s="2">
        <f>IFERROR(__xludf.DUMMYFUNCTION("split(B2214,""_"")"),1804.0)</f>
        <v>1804</v>
      </c>
      <c r="D2214" s="2" t="str">
        <f>IFERROR(__xludf.DUMMYFUNCTION("""COMPUTED_VALUE"""),"EX")</f>
        <v>EX</v>
      </c>
      <c r="E2214" s="2" t="str">
        <f>IFERROR(__xludf.DUMMYFUNCTION("""COMPUTED_VALUE"""),"木21")</f>
        <v>木21</v>
      </c>
      <c r="F2214" s="2" t="s">
        <v>6957</v>
      </c>
      <c r="G2214" s="2" t="s">
        <v>6958</v>
      </c>
      <c r="H2214" s="1">
        <v>1.0</v>
      </c>
      <c r="I2214" s="1" t="s">
        <v>2868</v>
      </c>
      <c r="J2214" s="1" t="s">
        <v>4</v>
      </c>
      <c r="K2214" s="2" t="s">
        <v>6959</v>
      </c>
      <c r="L2214" s="2" t="s">
        <v>6960</v>
      </c>
      <c r="M2214" s="2" t="str">
        <f>IFERROR(__xludf.DUMMYFUNCTION("split(split(K2214,""【"",false),""公式LINE"",false)"),"負傷した警視庁捜査一課の刑事・矢代朋(波瑠)は古賀(沢村一樹)率いる「特命捜査対策室」の第6係に異動。そこは未解決事件の文書解読係。朋は係長の財津(高田純次)、無口な草加(遠藤憲一)そして文書解読のエキスパート・鳴海理沙(鈴木京香)と働き始める。そんな折、10年前に発生し未解決のままになっているミステリー作家(中山美穂)密室殺人事件との関連を匂わせる変死事件が発生。朋は10年前の事件の再捜査を提案し…波瑠、沢村一樹、工藤阿須加、山内圭哉、西銘駿、高田純次、光石研、遠藤憲一、鈴木京香  ")</f>
        <v>負傷した警視庁捜査一課の刑事・矢代朋(波瑠)は古賀(沢村一樹)率いる「特命捜査対策室」の第6係に異動。そこは未解決事件の文書解読係。朋は係長の財津(高田純次)、無口な草加(遠藤憲一)そして文書解読のエキスパート・鳴海理沙(鈴木京香)と働き始める。そんな折、10年前に発生し未解決のままになっているミステリー作家(中山美穂)密室殺人事件との関連を匂わせる変死事件が発生。朋は10年前の事件の再捜査を提案し…波瑠、沢村一樹、工藤阿須加、山内圭哉、西銘駿、高田純次、光石研、遠藤憲一、鈴木京香  </v>
      </c>
      <c r="N2214" s="2"/>
      <c r="O2214" s="2"/>
      <c r="P2214" s="2"/>
      <c r="Q2214" s="2"/>
      <c r="R2214" s="2"/>
      <c r="S2214" s="2"/>
      <c r="T2214" s="2"/>
      <c r="U2214" s="2"/>
      <c r="V2214" s="2"/>
      <c r="W2214" s="2"/>
      <c r="X2214" s="2"/>
      <c r="Y2214" s="2"/>
      <c r="Z2214" s="2"/>
      <c r="AA2214" s="2"/>
      <c r="AB2214" s="2"/>
      <c r="AC2214" s="2"/>
      <c r="AD2214" s="2"/>
      <c r="AE2214" s="2"/>
      <c r="AF2214" s="2"/>
      <c r="AG2214" s="2"/>
      <c r="AH2214" s="2"/>
      <c r="AI2214" s="2"/>
      <c r="AJ2214" s="2"/>
      <c r="AK2214" s="2"/>
      <c r="AL2214" s="2"/>
      <c r="AM2214" s="2"/>
      <c r="AN2214" s="2"/>
      <c r="AO2214" s="2"/>
      <c r="AP2214" s="2"/>
      <c r="AQ2214" s="2"/>
      <c r="AR2214" s="2"/>
      <c r="AS2214" s="2"/>
      <c r="AT2214" s="2"/>
      <c r="AU2214" s="2"/>
      <c r="AV2214" s="2"/>
      <c r="AW2214" s="2"/>
      <c r="AX2214" s="2"/>
      <c r="AY2214" s="2"/>
      <c r="AZ2214" s="2"/>
      <c r="BA2214" s="2"/>
      <c r="BB2214" s="2"/>
    </row>
    <row r="2215" ht="204.75" customHeight="1">
      <c r="A2215" s="1">
        <v>758.0</v>
      </c>
      <c r="B2215" s="2" t="s">
        <v>6956</v>
      </c>
      <c r="C2215" s="2">
        <f>IFERROR(__xludf.DUMMYFUNCTION("split(B2215,""_"")"),1804.0)</f>
        <v>1804</v>
      </c>
      <c r="D2215" s="2" t="str">
        <f>IFERROR(__xludf.DUMMYFUNCTION("""COMPUTED_VALUE"""),"EX")</f>
        <v>EX</v>
      </c>
      <c r="E2215" s="2" t="str">
        <f>IFERROR(__xludf.DUMMYFUNCTION("""COMPUTED_VALUE"""),"木21")</f>
        <v>木21</v>
      </c>
      <c r="F2215" s="2" t="s">
        <v>6957</v>
      </c>
      <c r="G2215" s="2" t="s">
        <v>6961</v>
      </c>
      <c r="H2215" s="1">
        <v>2.0</v>
      </c>
      <c r="I2215" s="1" t="s">
        <v>2872</v>
      </c>
      <c r="J2215" s="1" t="s">
        <v>11</v>
      </c>
      <c r="K2215" s="2" t="s">
        <v>6962</v>
      </c>
      <c r="L2215" s="2" t="s">
        <v>6963</v>
      </c>
      <c r="M2215" s="2" t="str">
        <f>IFERROR(__xludf.DUMMYFUNCTION("split(split(K2215,""【"",false),""公式LINE"",false)"),"大手IT企業の社長令嬢で中学生の幸田遥花が誘拐された。身代金は1億円!犯人が電話で父親・雅也(戸次重幸)に遥花の声を聞かせた時、「かもめ」とだけ口にしたという。まるで意味が分からない朋(波瑠)だが、その一言は文字フェチの理沙(鈴木京香)に12年前の未解決事件を思い出させる…。それは主婦・坂下菜々美(高岡早紀)の娘・芽以が誘拐された事件。当時、芽以も今回と同様に「かもめ」という言葉を発していたのだ!波瑠、沢村一樹、工藤阿須加、山内圭哉、西銘駿、高田純次、光石研、遠藤憲一、鈴木京香  ")</f>
        <v>大手IT企業の社長令嬢で中学生の幸田遥花が誘拐された。身代金は1億円!犯人が電話で父親・雅也(戸次重幸)に遥花の声を聞かせた時、「かもめ」とだけ口にしたという。まるで意味が分からない朋(波瑠)だが、その一言は文字フェチの理沙(鈴木京香)に12年前の未解決事件を思い出させる…。それは主婦・坂下菜々美(高岡早紀)の娘・芽以が誘拐された事件。当時、芽以も今回と同様に「かもめ」という言葉を発していたのだ!波瑠、沢村一樹、工藤阿須加、山内圭哉、西銘駿、高田純次、光石研、遠藤憲一、鈴木京香  </v>
      </c>
      <c r="N2215" s="2"/>
      <c r="O2215" s="2"/>
      <c r="P2215" s="2"/>
      <c r="Q2215" s="2"/>
      <c r="R2215" s="2"/>
      <c r="S2215" s="2"/>
      <c r="T2215" s="2"/>
      <c r="U2215" s="2"/>
      <c r="V2215" s="2"/>
      <c r="W2215" s="2"/>
      <c r="X2215" s="2"/>
      <c r="Y2215" s="2"/>
      <c r="Z2215" s="2"/>
      <c r="AA2215" s="2"/>
      <c r="AB2215" s="2"/>
      <c r="AC2215" s="2"/>
      <c r="AD2215" s="2"/>
      <c r="AE2215" s="2"/>
      <c r="AF2215" s="2"/>
      <c r="AG2215" s="2"/>
      <c r="AH2215" s="2"/>
      <c r="AI2215" s="2"/>
      <c r="AJ2215" s="2"/>
      <c r="AK2215" s="2"/>
      <c r="AL2215" s="2"/>
      <c r="AM2215" s="2"/>
      <c r="AN2215" s="2"/>
      <c r="AO2215" s="2"/>
      <c r="AP2215" s="2"/>
      <c r="AQ2215" s="2"/>
      <c r="AR2215" s="2"/>
      <c r="AS2215" s="2"/>
      <c r="AT2215" s="2"/>
      <c r="AU2215" s="2"/>
      <c r="AV2215" s="2"/>
      <c r="AW2215" s="2"/>
      <c r="AX2215" s="2"/>
      <c r="AY2215" s="2"/>
      <c r="AZ2215" s="2"/>
      <c r="BA2215" s="2"/>
      <c r="BB2215" s="2"/>
    </row>
    <row r="2216" ht="204.75" customHeight="1">
      <c r="A2216" s="1">
        <v>759.0</v>
      </c>
      <c r="B2216" s="2" t="s">
        <v>6956</v>
      </c>
      <c r="C2216" s="2">
        <f>IFERROR(__xludf.DUMMYFUNCTION("split(B2216,""_"")"),1804.0)</f>
        <v>1804</v>
      </c>
      <c r="D2216" s="2" t="str">
        <f>IFERROR(__xludf.DUMMYFUNCTION("""COMPUTED_VALUE"""),"EX")</f>
        <v>EX</v>
      </c>
      <c r="E2216" s="2" t="str">
        <f>IFERROR(__xludf.DUMMYFUNCTION("""COMPUTED_VALUE"""),"木21")</f>
        <v>木21</v>
      </c>
      <c r="F2216" s="2" t="s">
        <v>6957</v>
      </c>
      <c r="G2216" s="2" t="s">
        <v>6964</v>
      </c>
      <c r="H2216" s="1">
        <v>3.0</v>
      </c>
      <c r="I2216" s="1" t="s">
        <v>2876</v>
      </c>
      <c r="J2216" s="1" t="s">
        <v>11</v>
      </c>
      <c r="K2216" s="2" t="s">
        <v>6965</v>
      </c>
      <c r="L2216" s="2" t="s">
        <v>6966</v>
      </c>
      <c r="M2216" s="2" t="str">
        <f>IFERROR(__xludf.DUMMYFUNCTION("split(split(K2216,""【"",false),""公式LINE"",false)"),"5年前、大学教授・塚本(吉田栄作)のもとで百人一首を研究していた大学生・佳織(福原遥)が殺され、事件は未解決のままになっていた。そして現在、当時佳織と交際していた男が殺害される!特命捜査対策室第6係の矢代朋(波瑠)は捜査を開始。佳織が持っていた百人一首の箱に“間違ったもの""が入っていた、との情報を得る。それと“彼女の日記に頻出する言葉""を分析した鳴海理沙(鈴木京香)は佳織の知られざる一面を推察し…波瑠、沢村一樹、工藤阿須加、山内圭哉、西銘駿、高田純次、光石研、遠藤憲一、鈴木京香  ")</f>
        <v>5年前、大学教授・塚本(吉田栄作)のもとで百人一首を研究していた大学生・佳織(福原遥)が殺され、事件は未解決のままになっていた。そして現在、当時佳織と交際していた男が殺害される!特命捜査対策室第6係の矢代朋(波瑠)は捜査を開始。佳織が持っていた百人一首の箱に“間違ったもの"が入っていた、との情報を得る。それと“彼女の日記に頻出する言葉"を分析した鳴海理沙(鈴木京香)は佳織の知られざる一面を推察し…波瑠、沢村一樹、工藤阿須加、山内圭哉、西銘駿、高田純次、光石研、遠藤憲一、鈴木京香  </v>
      </c>
      <c r="N2216" s="2"/>
      <c r="O2216" s="2"/>
      <c r="P2216" s="2"/>
      <c r="Q2216" s="2"/>
      <c r="R2216" s="2"/>
      <c r="S2216" s="2"/>
      <c r="T2216" s="2"/>
      <c r="U2216" s="2"/>
      <c r="V2216" s="2"/>
      <c r="W2216" s="2"/>
      <c r="X2216" s="2"/>
      <c r="Y2216" s="2"/>
      <c r="Z2216" s="2"/>
      <c r="AA2216" s="2"/>
      <c r="AB2216" s="2"/>
      <c r="AC2216" s="2"/>
      <c r="AD2216" s="2"/>
      <c r="AE2216" s="2"/>
      <c r="AF2216" s="2"/>
      <c r="AG2216" s="2"/>
      <c r="AH2216" s="2"/>
      <c r="AI2216" s="2"/>
      <c r="AJ2216" s="2"/>
      <c r="AK2216" s="2"/>
      <c r="AL2216" s="2"/>
      <c r="AM2216" s="2"/>
      <c r="AN2216" s="2"/>
      <c r="AO2216" s="2"/>
      <c r="AP2216" s="2"/>
      <c r="AQ2216" s="2"/>
      <c r="AR2216" s="2"/>
      <c r="AS2216" s="2"/>
      <c r="AT2216" s="2"/>
      <c r="AU2216" s="2"/>
      <c r="AV2216" s="2"/>
      <c r="AW2216" s="2"/>
      <c r="AX2216" s="2"/>
      <c r="AY2216" s="2"/>
      <c r="AZ2216" s="2"/>
      <c r="BA2216" s="2"/>
      <c r="BB2216" s="2"/>
    </row>
    <row r="2217" ht="204.75" customHeight="1">
      <c r="A2217" s="1">
        <v>760.0</v>
      </c>
      <c r="B2217" s="2" t="s">
        <v>6956</v>
      </c>
      <c r="C2217" s="2">
        <f>IFERROR(__xludf.DUMMYFUNCTION("split(B2217,""_"")"),1804.0)</f>
        <v>1804</v>
      </c>
      <c r="D2217" s="2" t="str">
        <f>IFERROR(__xludf.DUMMYFUNCTION("""COMPUTED_VALUE"""),"EX")</f>
        <v>EX</v>
      </c>
      <c r="E2217" s="2" t="str">
        <f>IFERROR(__xludf.DUMMYFUNCTION("""COMPUTED_VALUE"""),"木21")</f>
        <v>木21</v>
      </c>
      <c r="F2217" s="2" t="s">
        <v>6957</v>
      </c>
      <c r="G2217" s="2" t="s">
        <v>6967</v>
      </c>
      <c r="H2217" s="1">
        <v>4.0</v>
      </c>
      <c r="I2217" s="1" t="s">
        <v>2880</v>
      </c>
      <c r="J2217" s="1" t="s">
        <v>11</v>
      </c>
      <c r="K2217" s="2" t="s">
        <v>6968</v>
      </c>
      <c r="L2217" s="2" t="s">
        <v>6969</v>
      </c>
      <c r="M2217" s="2" t="str">
        <f>IFERROR(__xludf.DUMMYFUNCTION("split(split(K2217,""【"",false),""公式LINE"",false)"),"ショップ店員が山中の橋から転落し、意識不明の重体に陥った。そして、その女性の車から採取された毛髪のDNAが、15年前に失踪した主婦・藤田里美(真飛聖)のものと一致。里美は代議士の夫・晃一(堀部圭亮)と息子2人と共に祭りに行き、そこで神隠しのように姿を消してしまった。矢代朋(波瑠)と共に捜査に乗り出した鳴海理沙(鈴木京香)は、里美が息子たちに託した手書きレシピを見て「字が泣いている」と言い出し…波瑠、沢村一樹、工藤阿須加、山内圭哉、西銘駿、高田純次、光石研、遠藤憲一、鈴木京香  ")</f>
        <v>ショップ店員が山中の橋から転落し、意識不明の重体に陥った。そして、その女性の車から採取された毛髪のDNAが、15年前に失踪した主婦・藤田里美(真飛聖)のものと一致。里美は代議士の夫・晃一(堀部圭亮)と息子2人と共に祭りに行き、そこで神隠しのように姿を消してしまった。矢代朋(波瑠)と共に捜査に乗り出した鳴海理沙(鈴木京香)は、里美が息子たちに託した手書きレシピを見て「字が泣いている」と言い出し…波瑠、沢村一樹、工藤阿須加、山内圭哉、西銘駿、高田純次、光石研、遠藤憲一、鈴木京香  </v>
      </c>
      <c r="N2217" s="2"/>
      <c r="O2217" s="2"/>
      <c r="P2217" s="2"/>
      <c r="Q2217" s="2"/>
      <c r="R2217" s="2"/>
      <c r="S2217" s="2"/>
      <c r="T2217" s="2"/>
      <c r="U2217" s="2"/>
      <c r="V2217" s="2"/>
      <c r="W2217" s="2"/>
      <c r="X2217" s="2"/>
      <c r="Y2217" s="2"/>
      <c r="Z2217" s="2"/>
      <c r="AA2217" s="2"/>
      <c r="AB2217" s="2"/>
      <c r="AC2217" s="2"/>
      <c r="AD2217" s="2"/>
      <c r="AE2217" s="2"/>
      <c r="AF2217" s="2"/>
      <c r="AG2217" s="2"/>
      <c r="AH2217" s="2"/>
      <c r="AI2217" s="2"/>
      <c r="AJ2217" s="2"/>
      <c r="AK2217" s="2"/>
      <c r="AL2217" s="2"/>
      <c r="AM2217" s="2"/>
      <c r="AN2217" s="2"/>
      <c r="AO2217" s="2"/>
      <c r="AP2217" s="2"/>
      <c r="AQ2217" s="2"/>
      <c r="AR2217" s="2"/>
      <c r="AS2217" s="2"/>
      <c r="AT2217" s="2"/>
      <c r="AU2217" s="2"/>
      <c r="AV2217" s="2"/>
      <c r="AW2217" s="2"/>
      <c r="AX2217" s="2"/>
      <c r="AY2217" s="2"/>
      <c r="AZ2217" s="2"/>
      <c r="BA2217" s="2"/>
      <c r="BB2217" s="2"/>
    </row>
    <row r="2218" ht="204.75" customHeight="1">
      <c r="A2218" s="1">
        <v>761.0</v>
      </c>
      <c r="B2218" s="2" t="s">
        <v>6956</v>
      </c>
      <c r="C2218" s="2">
        <f>IFERROR(__xludf.DUMMYFUNCTION("split(B2218,""_"")"),1804.0)</f>
        <v>1804</v>
      </c>
      <c r="D2218" s="2" t="str">
        <f>IFERROR(__xludf.DUMMYFUNCTION("""COMPUTED_VALUE"""),"EX")</f>
        <v>EX</v>
      </c>
      <c r="E2218" s="2" t="str">
        <f>IFERROR(__xludf.DUMMYFUNCTION("""COMPUTED_VALUE"""),"木21")</f>
        <v>木21</v>
      </c>
      <c r="F2218" s="2" t="s">
        <v>6957</v>
      </c>
      <c r="G2218" s="2" t="s">
        <v>6970</v>
      </c>
      <c r="H2218" s="1">
        <v>5.0</v>
      </c>
      <c r="I2218" s="1" t="s">
        <v>2884</v>
      </c>
      <c r="J2218" s="1" t="s">
        <v>11</v>
      </c>
      <c r="K2218" s="2" t="s">
        <v>6971</v>
      </c>
      <c r="L2218" s="2" t="s">
        <v>6972</v>
      </c>
      <c r="M2218" s="2" t="str">
        <f>IFERROR(__xludf.DUMMYFUNCTION("split(split(K2218,""【"",false),""公式LINE"",false)"),"厚生労働省の官僚が突然死し、体内からモスキートペアンが見つかった。これは5年前の手術の際に放置されたもので、その手術の1週間後に放射線技師が刺殺されていた!現場には「も」の一文字が…。矢代朋(波瑠)と鳴海理沙(鈴木京香)は、この未解決事件に注目。だが、執刀医を務めた松河正一(植草克秀)らにはアリバイが。そして正一の弟・松河森次(宮迫博之)は、数カ月前、重傷を負った朋を死の淵から救ってくれた恩人で…波瑠、沢村一樹、工藤阿須加、山内圭哉、西銘駿、高田純次、光石研、遠藤憲一、鈴木京香  ")</f>
        <v>厚生労働省の官僚が突然死し、体内からモスキートペアンが見つかった。これは5年前の手術の際に放置されたもので、その手術の1週間後に放射線技師が刺殺されていた!現場には「も」の一文字が…。矢代朋(波瑠)と鳴海理沙(鈴木京香)は、この未解決事件に注目。だが、執刀医を務めた松河正一(植草克秀)らにはアリバイが。そして正一の弟・松河森次(宮迫博之)は、数カ月前、重傷を負った朋を死の淵から救ってくれた恩人で…波瑠、沢村一樹、工藤阿須加、山内圭哉、西銘駿、高田純次、光石研、遠藤憲一、鈴木京香  </v>
      </c>
      <c r="N2218" s="2"/>
      <c r="O2218" s="2"/>
      <c r="P2218" s="2"/>
      <c r="Q2218" s="2"/>
      <c r="R2218" s="2"/>
      <c r="S2218" s="2"/>
      <c r="T2218" s="2"/>
      <c r="U2218" s="2"/>
      <c r="V2218" s="2"/>
      <c r="W2218" s="2"/>
      <c r="X2218" s="2"/>
      <c r="Y2218" s="2"/>
      <c r="Z2218" s="2"/>
      <c r="AA2218" s="2"/>
      <c r="AB2218" s="2"/>
      <c r="AC2218" s="2"/>
      <c r="AD2218" s="2"/>
      <c r="AE2218" s="2"/>
      <c r="AF2218" s="2"/>
      <c r="AG2218" s="2"/>
      <c r="AH2218" s="2"/>
      <c r="AI2218" s="2"/>
      <c r="AJ2218" s="2"/>
      <c r="AK2218" s="2"/>
      <c r="AL2218" s="2"/>
      <c r="AM2218" s="2"/>
      <c r="AN2218" s="2"/>
      <c r="AO2218" s="2"/>
      <c r="AP2218" s="2"/>
      <c r="AQ2218" s="2"/>
      <c r="AR2218" s="2"/>
      <c r="AS2218" s="2"/>
      <c r="AT2218" s="2"/>
      <c r="AU2218" s="2"/>
      <c r="AV2218" s="2"/>
      <c r="AW2218" s="2"/>
      <c r="AX2218" s="2"/>
      <c r="AY2218" s="2"/>
      <c r="AZ2218" s="2"/>
      <c r="BA2218" s="2"/>
      <c r="BB2218" s="2"/>
    </row>
    <row r="2219" ht="204.75" customHeight="1">
      <c r="A2219" s="1">
        <v>762.0</v>
      </c>
      <c r="B2219" s="2" t="s">
        <v>6956</v>
      </c>
      <c r="C2219" s="2">
        <f>IFERROR(__xludf.DUMMYFUNCTION("split(B2219,""_"")"),1804.0)</f>
        <v>1804</v>
      </c>
      <c r="D2219" s="2" t="str">
        <f>IFERROR(__xludf.DUMMYFUNCTION("""COMPUTED_VALUE"""),"EX")</f>
        <v>EX</v>
      </c>
      <c r="E2219" s="2" t="str">
        <f>IFERROR(__xludf.DUMMYFUNCTION("""COMPUTED_VALUE"""),"木21")</f>
        <v>木21</v>
      </c>
      <c r="F2219" s="2" t="s">
        <v>6957</v>
      </c>
      <c r="G2219" s="2" t="s">
        <v>6973</v>
      </c>
      <c r="H2219" s="1">
        <v>6.0</v>
      </c>
      <c r="I2219" s="1" t="s">
        <v>2888</v>
      </c>
      <c r="J2219" s="1" t="s">
        <v>11</v>
      </c>
      <c r="K2219" s="2" t="s">
        <v>6974</v>
      </c>
      <c r="L2219" s="2" t="s">
        <v>6975</v>
      </c>
      <c r="M2219" s="2" t="str">
        <f>IFERROR(__xludf.DUMMYFUNCTION("split(split(K2219,""【"",false),""公式LINE"",false)"),"ダンサーの遠藤千鶴(板野友美)が鉄パイプで頭部を殴打され、殺害された。未解決のまま時が過ぎ、その6年後、矢代朋(波瑠)は高校の同窓会に参加。そこで再会した磯野から、千鶴を殺した犯人が分かったかもしれないと耳打ちされる。しかし、その磯野も何者かに刺殺されてしまい、激しく動揺する朋…。そんな中、鳴海理沙(鈴木京香)は、一見どうでもいい話を綴った千鶴のSNSへの投稿文の中に、ある暗号を見つけ出し…!?波瑠、沢村一樹、工藤阿須加、山内圭哉、西銘駿、高田純次、光石研、遠藤憲一、鈴木京香  ")</f>
        <v>ダンサーの遠藤千鶴(板野友美)が鉄パイプで頭部を殴打され、殺害された。未解決のまま時が過ぎ、その6年後、矢代朋(波瑠)は高校の同窓会に参加。そこで再会した磯野から、千鶴を殺した犯人が分かったかもしれないと耳打ちされる。しかし、その磯野も何者かに刺殺されてしまい、激しく動揺する朋…。そんな中、鳴海理沙(鈴木京香)は、一見どうでもいい話を綴った千鶴のSNSへの投稿文の中に、ある暗号を見つけ出し…!?波瑠、沢村一樹、工藤阿須加、山内圭哉、西銘駿、高田純次、光石研、遠藤憲一、鈴木京香  </v>
      </c>
      <c r="N2219" s="2"/>
      <c r="O2219" s="2"/>
      <c r="P2219" s="2"/>
      <c r="Q2219" s="2"/>
      <c r="R2219" s="2"/>
      <c r="S2219" s="2"/>
      <c r="T2219" s="2"/>
      <c r="U2219" s="2"/>
      <c r="V2219" s="2"/>
      <c r="W2219" s="2"/>
      <c r="X2219" s="2"/>
      <c r="Y2219" s="2"/>
      <c r="Z2219" s="2"/>
      <c r="AA2219" s="2"/>
      <c r="AB2219" s="2"/>
      <c r="AC2219" s="2"/>
      <c r="AD2219" s="2"/>
      <c r="AE2219" s="2"/>
      <c r="AF2219" s="2"/>
      <c r="AG2219" s="2"/>
      <c r="AH2219" s="2"/>
      <c r="AI2219" s="2"/>
      <c r="AJ2219" s="2"/>
      <c r="AK2219" s="2"/>
      <c r="AL2219" s="2"/>
      <c r="AM2219" s="2"/>
      <c r="AN2219" s="2"/>
      <c r="AO2219" s="2"/>
      <c r="AP2219" s="2"/>
      <c r="AQ2219" s="2"/>
      <c r="AR2219" s="2"/>
      <c r="AS2219" s="2"/>
      <c r="AT2219" s="2"/>
      <c r="AU2219" s="2"/>
      <c r="AV2219" s="2"/>
      <c r="AW2219" s="2"/>
      <c r="AX2219" s="2"/>
      <c r="AY2219" s="2"/>
      <c r="AZ2219" s="2"/>
      <c r="BA2219" s="2"/>
      <c r="BB2219" s="2"/>
    </row>
    <row r="2220" ht="204.75" customHeight="1">
      <c r="A2220" s="1">
        <v>763.0</v>
      </c>
      <c r="B2220" s="2" t="s">
        <v>6956</v>
      </c>
      <c r="C2220" s="2">
        <f>IFERROR(__xludf.DUMMYFUNCTION("split(B2220,""_"")"),1804.0)</f>
        <v>1804</v>
      </c>
      <c r="D2220" s="2" t="str">
        <f>IFERROR(__xludf.DUMMYFUNCTION("""COMPUTED_VALUE"""),"EX")</f>
        <v>EX</v>
      </c>
      <c r="E2220" s="2" t="str">
        <f>IFERROR(__xludf.DUMMYFUNCTION("""COMPUTED_VALUE"""),"木21")</f>
        <v>木21</v>
      </c>
      <c r="F2220" s="2" t="s">
        <v>6957</v>
      </c>
      <c r="G2220" s="2" t="s">
        <v>6976</v>
      </c>
      <c r="H2220" s="1">
        <v>7.0</v>
      </c>
      <c r="I2220" s="1" t="s">
        <v>2892</v>
      </c>
      <c r="J2220" s="1" t="s">
        <v>4</v>
      </c>
      <c r="K2220" s="2" t="s">
        <v>6977</v>
      </c>
      <c r="L2220" s="2" t="s">
        <v>6978</v>
      </c>
      <c r="M2220" s="2" t="str">
        <f>IFERROR(__xludf.DUMMYFUNCTION("split(split(K2220,""【"",false),""公式LINE"",false)"),"2003年秋、現金輸送車が襲われ3億円が強奪された。未解決のまま15年が過ぎた現在、都内で男性の死体が見つかり、その現場に3億円強奪事件で盗まれた二千円札が落ちていた!矢代朋(波瑠)もこの事件の捜査に参加し、殺害現場に残されたアルファベットカードの解読は鳴海理沙(鈴木京香)に託される。すると、このメッセージの発信者をめぐり、朋が“突拍子もない推理""を提示。しかし、そんな朋を絶体絶命の危機が襲い…波瑠、沢村一樹、工藤阿須加、山内圭哉、西銘駿、高田純次、光石研、遠藤憲一、鈴木京香  ")</f>
        <v>2003年秋、現金輸送車が襲われ3億円が強奪された。未解決のまま15年が過ぎた現在、都内で男性の死体が見つかり、その現場に3億円強奪事件で盗まれた二千円札が落ちていた!矢代朋(波瑠)もこの事件の捜査に参加し、殺害現場に残されたアルファベットカードの解読は鳴海理沙(鈴木京香)に託される。すると、このメッセージの発信者をめぐり、朋が“突拍子もない推理"を提示。しかし、そんな朋を絶体絶命の危機が襲い…波瑠、沢村一樹、工藤阿須加、山内圭哉、西銘駿、高田純次、光石研、遠藤憲一、鈴木京香  </v>
      </c>
      <c r="N2220" s="2"/>
      <c r="O2220" s="2"/>
      <c r="P2220" s="2"/>
      <c r="Q2220" s="2"/>
      <c r="R2220" s="2"/>
      <c r="S2220" s="2"/>
      <c r="T2220" s="2"/>
      <c r="U2220" s="2"/>
      <c r="V2220" s="2"/>
      <c r="W2220" s="2"/>
      <c r="X2220" s="2"/>
      <c r="Y2220" s="2"/>
      <c r="Z2220" s="2"/>
      <c r="AA2220" s="2"/>
      <c r="AB2220" s="2"/>
      <c r="AC2220" s="2"/>
      <c r="AD2220" s="2"/>
      <c r="AE2220" s="2"/>
      <c r="AF2220" s="2"/>
      <c r="AG2220" s="2"/>
      <c r="AH2220" s="2"/>
      <c r="AI2220" s="2"/>
      <c r="AJ2220" s="2"/>
      <c r="AK2220" s="2"/>
      <c r="AL2220" s="2"/>
      <c r="AM2220" s="2"/>
      <c r="AN2220" s="2"/>
      <c r="AO2220" s="2"/>
      <c r="AP2220" s="2"/>
      <c r="AQ2220" s="2"/>
      <c r="AR2220" s="2"/>
      <c r="AS2220" s="2"/>
      <c r="AT2220" s="2"/>
      <c r="AU2220" s="2"/>
      <c r="AV2220" s="2"/>
      <c r="AW2220" s="2"/>
      <c r="AX2220" s="2"/>
      <c r="AY2220" s="2"/>
      <c r="AZ2220" s="2"/>
      <c r="BA2220" s="2"/>
      <c r="BB2220" s="2"/>
    </row>
    <row r="2221" ht="204.75" customHeight="1">
      <c r="A2221" s="1">
        <v>764.0</v>
      </c>
      <c r="B2221" s="2" t="s">
        <v>6956</v>
      </c>
      <c r="C2221" s="2">
        <f>IFERROR(__xludf.DUMMYFUNCTION("split(B2221,""_"")"),1804.0)</f>
        <v>1804</v>
      </c>
      <c r="D2221" s="2" t="str">
        <f>IFERROR(__xludf.DUMMYFUNCTION("""COMPUTED_VALUE"""),"EX")</f>
        <v>EX</v>
      </c>
      <c r="E2221" s="2" t="str">
        <f>IFERROR(__xludf.DUMMYFUNCTION("""COMPUTED_VALUE"""),"木21")</f>
        <v>木21</v>
      </c>
      <c r="F2221" s="2" t="s">
        <v>6957</v>
      </c>
      <c r="G2221" s="2" t="s">
        <v>6979</v>
      </c>
      <c r="H2221" s="1">
        <v>8.0</v>
      </c>
      <c r="I2221" s="1" t="s">
        <v>2896</v>
      </c>
      <c r="J2221" s="1" t="s">
        <v>4</v>
      </c>
      <c r="K2221" s="2" t="s">
        <v>6980</v>
      </c>
      <c r="L2221" s="2" t="s">
        <v>6981</v>
      </c>
      <c r="M2221" s="2" t="str">
        <f>IFERROR(__xludf.DUMMYFUNCTION("split(split(K2221,""【"",false),""公式LINE"",false)"),"矢代朋(波瑠)が凶弾に倒れた!朋を撃った拳銃は、4日前の殺人事件で使用された拳銃と同じものだと判明。どちらも百々瀬佐智(谷村美月)を誘拐し、身代金をせしめて逃亡した秋田昇(岡田浩暉)の犯行と裏付けられる。その矢先、秋田が何者かに胸を刺され死亡。自宅からは、15年前の3億円強奪事件で盗まれた二千円札が見つかる!そして3億円強奪事件の捜査資料に目を通した鳴海理沙(鈴木京香)は、ある筆跡に違和感を覚え…波瑠、沢村一樹、工藤阿須加、山内圭哉、西銘駿、高田純次、光石研、遠藤憲一、鈴木京香  ")</f>
        <v>矢代朋(波瑠)が凶弾に倒れた!朋を撃った拳銃は、4日前の殺人事件で使用された拳銃と同じものだと判明。どちらも百々瀬佐智(谷村美月)を誘拐し、身代金をせしめて逃亡した秋田昇(岡田浩暉)の犯行と裏付けられる。その矢先、秋田が何者かに胸を刺され死亡。自宅からは、15年前の3億円強奪事件で盗まれた二千円札が見つかる!そして3億円強奪事件の捜査資料に目を通した鳴海理沙(鈴木京香)は、ある筆跡に違和感を覚え…波瑠、沢村一樹、工藤阿須加、山内圭哉、西銘駿、高田純次、光石研、遠藤憲一、鈴木京香  </v>
      </c>
      <c r="N2221" s="2"/>
      <c r="O2221" s="2"/>
      <c r="P2221" s="2"/>
      <c r="Q2221" s="2"/>
      <c r="R2221" s="2"/>
      <c r="S2221" s="2"/>
      <c r="T2221" s="2"/>
      <c r="U2221" s="2"/>
      <c r="V2221" s="2"/>
      <c r="W2221" s="2"/>
      <c r="X2221" s="2"/>
      <c r="Y2221" s="2"/>
      <c r="Z2221" s="2"/>
      <c r="AA2221" s="2"/>
      <c r="AB2221" s="2"/>
      <c r="AC2221" s="2"/>
      <c r="AD2221" s="2"/>
      <c r="AE2221" s="2"/>
      <c r="AF2221" s="2"/>
      <c r="AG2221" s="2"/>
      <c r="AH2221" s="2"/>
      <c r="AI2221" s="2"/>
      <c r="AJ2221" s="2"/>
      <c r="AK2221" s="2"/>
      <c r="AL2221" s="2"/>
      <c r="AM2221" s="2"/>
      <c r="AN2221" s="2"/>
      <c r="AO2221" s="2"/>
      <c r="AP2221" s="2"/>
      <c r="AQ2221" s="2"/>
      <c r="AR2221" s="2"/>
      <c r="AS2221" s="2"/>
      <c r="AT2221" s="2"/>
      <c r="AU2221" s="2"/>
      <c r="AV2221" s="2"/>
      <c r="AW2221" s="2"/>
      <c r="AX2221" s="2"/>
      <c r="AY2221" s="2"/>
      <c r="AZ2221" s="2"/>
      <c r="BA2221" s="2"/>
      <c r="BB2221" s="2"/>
    </row>
    <row r="2222" ht="204.75" customHeight="1">
      <c r="A2222" s="1">
        <v>793.0</v>
      </c>
      <c r="B2222" s="2" t="s">
        <v>6982</v>
      </c>
      <c r="C2222" s="2">
        <f>IFERROR(__xludf.DUMMYFUNCTION("split(B2222,""_"")"),1804.0)</f>
        <v>1804</v>
      </c>
      <c r="D2222" s="2" t="str">
        <f>IFERROR(__xludf.DUMMYFUNCTION("""COMPUTED_VALUE"""),"EX")</f>
        <v>EX</v>
      </c>
      <c r="E2222" s="2" t="str">
        <f>IFERROR(__xludf.DUMMYFUNCTION("""COMPUTED_VALUE"""),"金23")</f>
        <v>金23</v>
      </c>
      <c r="F2222" s="2" t="s">
        <v>6679</v>
      </c>
      <c r="G2222" s="2" t="s">
        <v>6680</v>
      </c>
      <c r="H2222" s="1">
        <v>1.0</v>
      </c>
      <c r="I2222" s="1" t="s">
        <v>2868</v>
      </c>
      <c r="J2222" s="1" t="s">
        <v>1435</v>
      </c>
      <c r="K2222" s="2" t="s">
        <v>6983</v>
      </c>
      <c r="L2222" s="2" t="s">
        <v>6984</v>
      </c>
      <c r="M2222" s="2" t="str">
        <f>IFERROR(__xludf.DUMMYFUNCTION("split(split(K2222,""【"",false),""公式LINE"",false)"),"家政夫の三田園薫(松岡昌宏)は、勤め先の家政婦紹介所所長・結頼子(余貴美子)から、新人家政婦の五味麻琴(剛力彩芽)とともに、小さな町工場に派遣される。従業員らを家族同然に思う社長の花沢進助(橋本じゅん)や、彼らを献身的に支える妻(森脇英理子)と接したミタゾノは「油の汚れの下に素顔を隠した人もいたりして…」と意味深な言葉を残す。その言葉通り、花沢夫妻の知られざる顔がミタゾノの手により次々と暴かれ…!?松岡昌宏、剛力彩芽、椿鬼奴、内藤理沙、余貴美子  ")</f>
        <v>家政夫の三田園薫(松岡昌宏)は、勤め先の家政婦紹介所所長・結頼子(余貴美子)から、新人家政婦の五味麻琴(剛力彩芽)とともに、小さな町工場に派遣される。従業員らを家族同然に思う社長の花沢進助(橋本じゅん)や、彼らを献身的に支える妻(森脇英理子)と接したミタゾノは「油の汚れの下に素顔を隠した人もいたりして…」と意味深な言葉を残す。その言葉通り、花沢夫妻の知られざる顔がミタゾノの手により次々と暴かれ…!?松岡昌宏、剛力彩芽、椿鬼奴、内藤理沙、余貴美子  </v>
      </c>
      <c r="N2222" s="2"/>
      <c r="O2222" s="2"/>
      <c r="P2222" s="2"/>
      <c r="Q2222" s="2"/>
      <c r="R2222" s="2"/>
      <c r="S2222" s="2"/>
      <c r="T2222" s="2"/>
      <c r="U2222" s="2"/>
      <c r="V2222" s="2"/>
      <c r="W2222" s="2"/>
      <c r="X2222" s="2"/>
      <c r="Y2222" s="2"/>
      <c r="Z2222" s="2"/>
      <c r="AA2222" s="2"/>
      <c r="AB2222" s="2"/>
      <c r="AC2222" s="2"/>
      <c r="AD2222" s="2"/>
      <c r="AE2222" s="2"/>
      <c r="AF2222" s="2"/>
      <c r="AG2222" s="2"/>
      <c r="AH2222" s="2"/>
      <c r="AI2222" s="2"/>
      <c r="AJ2222" s="2"/>
      <c r="AK2222" s="2"/>
      <c r="AL2222" s="2"/>
      <c r="AM2222" s="2"/>
      <c r="AN2222" s="2"/>
      <c r="AO2222" s="2"/>
      <c r="AP2222" s="2"/>
      <c r="AQ2222" s="2"/>
      <c r="AR2222" s="2"/>
      <c r="AS2222" s="2"/>
      <c r="AT2222" s="2"/>
      <c r="AU2222" s="2"/>
      <c r="AV2222" s="2"/>
      <c r="AW2222" s="2"/>
      <c r="AX2222" s="2"/>
      <c r="AY2222" s="2"/>
      <c r="AZ2222" s="2"/>
      <c r="BA2222" s="2"/>
      <c r="BB2222" s="2"/>
    </row>
    <row r="2223" ht="204.75" customHeight="1">
      <c r="A2223" s="1">
        <v>794.0</v>
      </c>
      <c r="B2223" s="2" t="s">
        <v>6982</v>
      </c>
      <c r="C2223" s="2">
        <f>IFERROR(__xludf.DUMMYFUNCTION("split(B2223,""_"")"),1804.0)</f>
        <v>1804</v>
      </c>
      <c r="D2223" s="2" t="str">
        <f>IFERROR(__xludf.DUMMYFUNCTION("""COMPUTED_VALUE"""),"EX")</f>
        <v>EX</v>
      </c>
      <c r="E2223" s="2" t="str">
        <f>IFERROR(__xludf.DUMMYFUNCTION("""COMPUTED_VALUE"""),"金23")</f>
        <v>金23</v>
      </c>
      <c r="F2223" s="2" t="s">
        <v>6679</v>
      </c>
      <c r="G2223" s="2" t="s">
        <v>6683</v>
      </c>
      <c r="H2223" s="1">
        <v>2.0</v>
      </c>
      <c r="I2223" s="1" t="s">
        <v>2872</v>
      </c>
      <c r="J2223" s="1" t="s">
        <v>1435</v>
      </c>
      <c r="K2223" s="2" t="s">
        <v>6985</v>
      </c>
      <c r="L2223" s="2" t="s">
        <v>6986</v>
      </c>
      <c r="M2223" s="2" t="str">
        <f>IFERROR(__xludf.DUMMYFUNCTION("split(split(K2223,""【"",false),""公式LINE"",false)"),"三田園薫(松岡昌宏)と五味麻琴(剛力彩芽)が派遣先を訪れると、家主の矢吹研一(近藤公園)が若い女性といる不倫現場に遭遇する…!研一は、妻・理沙子(矢田亜希子)が依頼した家政婦たちの登場に驚きつつ、酒にのまれ昨夜のことは覚えていないと弁明。麻琴はその態度に怒り心頭。一方ミタゾノは、不倫を隠すための家事テクを披露!そこに理沙子が帰宅し研一の行動を怪しむが、三田園はむしろ理沙子に疑問を抱き…!?松岡昌宏、剛力彩芽、椿鬼奴、内藤理沙、余貴美子  ")</f>
        <v>三田園薫(松岡昌宏)と五味麻琴(剛力彩芽)が派遣先を訪れると、家主の矢吹研一(近藤公園)が若い女性といる不倫現場に遭遇する…!研一は、妻・理沙子(矢田亜希子)が依頼した家政婦たちの登場に驚きつつ、酒にのまれ昨夜のことは覚えていないと弁明。麻琴はその態度に怒り心頭。一方ミタゾノは、不倫を隠すための家事テクを披露!そこに理沙子が帰宅し研一の行動を怪しむが、三田園はむしろ理沙子に疑問を抱き…!?松岡昌宏、剛力彩芽、椿鬼奴、内藤理沙、余貴美子  </v>
      </c>
      <c r="N2223" s="2"/>
      <c r="O2223" s="2"/>
      <c r="P2223" s="2"/>
      <c r="Q2223" s="2"/>
      <c r="R2223" s="2"/>
      <c r="S2223" s="2"/>
      <c r="T2223" s="2"/>
      <c r="U2223" s="2"/>
      <c r="V2223" s="2"/>
      <c r="W2223" s="2"/>
      <c r="X2223" s="2"/>
      <c r="Y2223" s="2"/>
      <c r="Z2223" s="2"/>
      <c r="AA2223" s="2"/>
      <c r="AB2223" s="2"/>
      <c r="AC2223" s="2"/>
      <c r="AD2223" s="2"/>
      <c r="AE2223" s="2"/>
      <c r="AF2223" s="2"/>
      <c r="AG2223" s="2"/>
      <c r="AH2223" s="2"/>
      <c r="AI2223" s="2"/>
      <c r="AJ2223" s="2"/>
      <c r="AK2223" s="2"/>
      <c r="AL2223" s="2"/>
      <c r="AM2223" s="2"/>
      <c r="AN2223" s="2"/>
      <c r="AO2223" s="2"/>
      <c r="AP2223" s="2"/>
      <c r="AQ2223" s="2"/>
      <c r="AR2223" s="2"/>
      <c r="AS2223" s="2"/>
      <c r="AT2223" s="2"/>
      <c r="AU2223" s="2"/>
      <c r="AV2223" s="2"/>
      <c r="AW2223" s="2"/>
      <c r="AX2223" s="2"/>
      <c r="AY2223" s="2"/>
      <c r="AZ2223" s="2"/>
      <c r="BA2223" s="2"/>
      <c r="BB2223" s="2"/>
    </row>
    <row r="2224" ht="204.75" customHeight="1">
      <c r="A2224" s="1">
        <v>795.0</v>
      </c>
      <c r="B2224" s="2" t="s">
        <v>6982</v>
      </c>
      <c r="C2224" s="2">
        <f>IFERROR(__xludf.DUMMYFUNCTION("split(B2224,""_"")"),1804.0)</f>
        <v>1804</v>
      </c>
      <c r="D2224" s="2" t="str">
        <f>IFERROR(__xludf.DUMMYFUNCTION("""COMPUTED_VALUE"""),"EX")</f>
        <v>EX</v>
      </c>
      <c r="E2224" s="2" t="str">
        <f>IFERROR(__xludf.DUMMYFUNCTION("""COMPUTED_VALUE"""),"金23")</f>
        <v>金23</v>
      </c>
      <c r="F2224" s="2" t="s">
        <v>6679</v>
      </c>
      <c r="G2224" s="2" t="s">
        <v>6686</v>
      </c>
      <c r="H2224" s="1">
        <v>3.0</v>
      </c>
      <c r="I2224" s="1" t="s">
        <v>2876</v>
      </c>
      <c r="J2224" s="1" t="s">
        <v>1435</v>
      </c>
      <c r="K2224" s="2" t="s">
        <v>6987</v>
      </c>
      <c r="L2224" s="2" t="s">
        <v>6988</v>
      </c>
      <c r="M2224" s="2" t="str">
        <f>IFERROR(__xludf.DUMMYFUNCTION("split(split(K2224,""【"",false),""公式LINE"",false)"),"三田園薫(松岡昌宏)と五味麻琴(剛力彩芽)が派遣された浅野家に、家主・堅一(升毅)の一人娘である真実(藤井美菜)との結婚を許してもらうため、恋人の孝文(戸塚純貴)がやってくる。しかし孝文は道中、見知らぬ男とぶつかった弾みでバッグを取り違えてしまう!バッグの中には血のついた服が入っており、動揺する孝文は巡回中の警察官に付近で多発中の連続殺人犯と疑われる。さらに、堅一も刑事だったことが分かり…!?松岡昌宏、剛力彩芽、椿鬼奴、内藤理沙、余貴美子  ")</f>
        <v>三田園薫(松岡昌宏)と五味麻琴(剛力彩芽)が派遣された浅野家に、家主・堅一(升毅)の一人娘である真実(藤井美菜)との結婚を許してもらうため、恋人の孝文(戸塚純貴)がやってくる。しかし孝文は道中、見知らぬ男とぶつかった弾みでバッグを取り違えてしまう!バッグの中には血のついた服が入っており、動揺する孝文は巡回中の警察官に付近で多発中の連続殺人犯と疑われる。さらに、堅一も刑事だったことが分かり…!?松岡昌宏、剛力彩芽、椿鬼奴、内藤理沙、余貴美子  </v>
      </c>
      <c r="N2224" s="2"/>
      <c r="O2224" s="2"/>
      <c r="P2224" s="2"/>
      <c r="Q2224" s="2"/>
      <c r="R2224" s="2"/>
      <c r="S2224" s="2"/>
      <c r="T2224" s="2"/>
      <c r="U2224" s="2"/>
      <c r="V2224" s="2"/>
      <c r="W2224" s="2"/>
      <c r="X2224" s="2"/>
      <c r="Y2224" s="2"/>
      <c r="Z2224" s="2"/>
      <c r="AA2224" s="2"/>
      <c r="AB2224" s="2"/>
      <c r="AC2224" s="2"/>
      <c r="AD2224" s="2"/>
      <c r="AE2224" s="2"/>
      <c r="AF2224" s="2"/>
      <c r="AG2224" s="2"/>
      <c r="AH2224" s="2"/>
      <c r="AI2224" s="2"/>
      <c r="AJ2224" s="2"/>
      <c r="AK2224" s="2"/>
      <c r="AL2224" s="2"/>
      <c r="AM2224" s="2"/>
      <c r="AN2224" s="2"/>
      <c r="AO2224" s="2"/>
      <c r="AP2224" s="2"/>
      <c r="AQ2224" s="2"/>
      <c r="AR2224" s="2"/>
      <c r="AS2224" s="2"/>
      <c r="AT2224" s="2"/>
      <c r="AU2224" s="2"/>
      <c r="AV2224" s="2"/>
      <c r="AW2224" s="2"/>
      <c r="AX2224" s="2"/>
      <c r="AY2224" s="2"/>
      <c r="AZ2224" s="2"/>
      <c r="BA2224" s="2"/>
      <c r="BB2224" s="2"/>
    </row>
    <row r="2225" ht="204.75" customHeight="1">
      <c r="A2225" s="1">
        <v>796.0</v>
      </c>
      <c r="B2225" s="2" t="s">
        <v>6982</v>
      </c>
      <c r="C2225" s="2">
        <f>IFERROR(__xludf.DUMMYFUNCTION("split(B2225,""_"")"),1804.0)</f>
        <v>1804</v>
      </c>
      <c r="D2225" s="2" t="str">
        <f>IFERROR(__xludf.DUMMYFUNCTION("""COMPUTED_VALUE"""),"EX")</f>
        <v>EX</v>
      </c>
      <c r="E2225" s="2" t="str">
        <f>IFERROR(__xludf.DUMMYFUNCTION("""COMPUTED_VALUE"""),"金23")</f>
        <v>金23</v>
      </c>
      <c r="F2225" s="2" t="s">
        <v>6679</v>
      </c>
      <c r="G2225" s="2" t="s">
        <v>6689</v>
      </c>
      <c r="H2225" s="1">
        <v>4.0</v>
      </c>
      <c r="I2225" s="1" t="s">
        <v>2880</v>
      </c>
      <c r="J2225" s="1" t="s">
        <v>1435</v>
      </c>
      <c r="K2225" s="2" t="s">
        <v>6989</v>
      </c>
      <c r="L2225" s="2" t="s">
        <v>6990</v>
      </c>
      <c r="M2225" s="2" t="str">
        <f>IFERROR(__xludf.DUMMYFUNCTION("split(split(K2225,""【"",false),""公式LINE"",false)"),"三田園薫(松岡昌宏)と五味麻琴(剛力彩芽)が派遣されたのは、美容界のカリスマと呼ばれた山脇美子(黒田福美)の葬式の手伝いだった。残された家族が悲しみに暮れる中、三田園の前に突如、真っ白な顔をした美子が現れる…!数少ない弱点であるオバケが怖い三田園は卒倒しそうになるが、聞くと美子は死んだフリをして、息子と娘の動向をこっそり観察し、どちらが跡継ぎに相応しいか見極めようとしていて…!?松岡昌宏、剛力彩芽、椿鬼奴、内藤理沙、余貴美子  ")</f>
        <v>三田園薫(松岡昌宏)と五味麻琴(剛力彩芽)が派遣されたのは、美容界のカリスマと呼ばれた山脇美子(黒田福美)の葬式の手伝いだった。残された家族が悲しみに暮れる中、三田園の前に突如、真っ白な顔をした美子が現れる…!数少ない弱点であるオバケが怖い三田園は卒倒しそうになるが、聞くと美子は死んだフリをして、息子と娘の動向をこっそり観察し、どちらが跡継ぎに相応しいか見極めようとしていて…!?松岡昌宏、剛力彩芽、椿鬼奴、内藤理沙、余貴美子  </v>
      </c>
      <c r="N2225" s="2"/>
      <c r="O2225" s="2"/>
      <c r="P2225" s="2"/>
      <c r="Q2225" s="2"/>
      <c r="R2225" s="2"/>
      <c r="S2225" s="2"/>
      <c r="T2225" s="2"/>
      <c r="U2225" s="2"/>
      <c r="V2225" s="2"/>
      <c r="W2225" s="2"/>
      <c r="X2225" s="2"/>
      <c r="Y2225" s="2"/>
      <c r="Z2225" s="2"/>
      <c r="AA2225" s="2"/>
      <c r="AB2225" s="2"/>
      <c r="AC2225" s="2"/>
      <c r="AD2225" s="2"/>
      <c r="AE2225" s="2"/>
      <c r="AF2225" s="2"/>
      <c r="AG2225" s="2"/>
      <c r="AH2225" s="2"/>
      <c r="AI2225" s="2"/>
      <c r="AJ2225" s="2"/>
      <c r="AK2225" s="2"/>
      <c r="AL2225" s="2"/>
      <c r="AM2225" s="2"/>
      <c r="AN2225" s="2"/>
      <c r="AO2225" s="2"/>
      <c r="AP2225" s="2"/>
      <c r="AQ2225" s="2"/>
      <c r="AR2225" s="2"/>
      <c r="AS2225" s="2"/>
      <c r="AT2225" s="2"/>
      <c r="AU2225" s="2"/>
      <c r="AV2225" s="2"/>
      <c r="AW2225" s="2"/>
      <c r="AX2225" s="2"/>
      <c r="AY2225" s="2"/>
      <c r="AZ2225" s="2"/>
      <c r="BA2225" s="2"/>
      <c r="BB2225" s="2"/>
    </row>
    <row r="2226" ht="204.75" customHeight="1">
      <c r="A2226" s="1">
        <v>797.0</v>
      </c>
      <c r="B2226" s="2" t="s">
        <v>6982</v>
      </c>
      <c r="C2226" s="2">
        <f>IFERROR(__xludf.DUMMYFUNCTION("split(B2226,""_"")"),1804.0)</f>
        <v>1804</v>
      </c>
      <c r="D2226" s="2" t="str">
        <f>IFERROR(__xludf.DUMMYFUNCTION("""COMPUTED_VALUE"""),"EX")</f>
        <v>EX</v>
      </c>
      <c r="E2226" s="2" t="str">
        <f>IFERROR(__xludf.DUMMYFUNCTION("""COMPUTED_VALUE"""),"金23")</f>
        <v>金23</v>
      </c>
      <c r="F2226" s="2" t="s">
        <v>6679</v>
      </c>
      <c r="G2226" s="2" t="s">
        <v>6692</v>
      </c>
      <c r="H2226" s="1">
        <v>5.0</v>
      </c>
      <c r="I2226" s="1" t="s">
        <v>2884</v>
      </c>
      <c r="J2226" s="1" t="s">
        <v>1435</v>
      </c>
      <c r="K2226" s="2" t="s">
        <v>6991</v>
      </c>
      <c r="L2226" s="2" t="s">
        <v>6992</v>
      </c>
      <c r="M2226" s="2" t="str">
        <f>IFERROR(__xludf.DUMMYFUNCTION("split(split(K2226,""【"",false),""公式LINE"",false)"),"デザイナーを夢見る木口一美(佐藤仁美)は、有名デザイナー・森品千恵子のもとで家政婦として働いていたが、自分のデザインが千恵子によって盗作されたことで口論となり、揉みあった末に誤って殺害してしまう。そこに、千恵子の依頼で派遣された三田園薫(松岡昌宏)と五味麻琴(剛力彩芽)がやってくる!一美は、千恵子になりすまし、その場をなんとか乗り切ろうとするが…?松岡昌宏、剛力彩芽、椿鬼奴、内藤理沙、余貴美子  ")</f>
        <v>デザイナーを夢見る木口一美(佐藤仁美)は、有名デザイナー・森品千恵子のもとで家政婦として働いていたが、自分のデザインが千恵子によって盗作されたことで口論となり、揉みあった末に誤って殺害してしまう。そこに、千恵子の依頼で派遣された三田園薫(松岡昌宏)と五味麻琴(剛力彩芽)がやってくる!一美は、千恵子になりすまし、その場をなんとか乗り切ろうとするが…?松岡昌宏、剛力彩芽、椿鬼奴、内藤理沙、余貴美子  </v>
      </c>
      <c r="N2226" s="2"/>
      <c r="O2226" s="2"/>
      <c r="P2226" s="2"/>
      <c r="Q2226" s="2"/>
      <c r="R2226" s="2"/>
      <c r="S2226" s="2"/>
      <c r="T2226" s="2"/>
      <c r="U2226" s="2"/>
      <c r="V2226" s="2"/>
      <c r="W2226" s="2"/>
      <c r="X2226" s="2"/>
      <c r="Y2226" s="2"/>
      <c r="Z2226" s="2"/>
      <c r="AA2226" s="2"/>
      <c r="AB2226" s="2"/>
      <c r="AC2226" s="2"/>
      <c r="AD2226" s="2"/>
      <c r="AE2226" s="2"/>
      <c r="AF2226" s="2"/>
      <c r="AG2226" s="2"/>
      <c r="AH2226" s="2"/>
      <c r="AI2226" s="2"/>
      <c r="AJ2226" s="2"/>
      <c r="AK2226" s="2"/>
      <c r="AL2226" s="2"/>
      <c r="AM2226" s="2"/>
      <c r="AN2226" s="2"/>
      <c r="AO2226" s="2"/>
      <c r="AP2226" s="2"/>
      <c r="AQ2226" s="2"/>
      <c r="AR2226" s="2"/>
      <c r="AS2226" s="2"/>
      <c r="AT2226" s="2"/>
      <c r="AU2226" s="2"/>
      <c r="AV2226" s="2"/>
      <c r="AW2226" s="2"/>
      <c r="AX2226" s="2"/>
      <c r="AY2226" s="2"/>
      <c r="AZ2226" s="2"/>
      <c r="BA2226" s="2"/>
      <c r="BB2226" s="2"/>
    </row>
    <row r="2227" ht="204.75" customHeight="1">
      <c r="A2227" s="1">
        <v>798.0</v>
      </c>
      <c r="B2227" s="2" t="s">
        <v>6982</v>
      </c>
      <c r="C2227" s="2">
        <f>IFERROR(__xludf.DUMMYFUNCTION("split(B2227,""_"")"),1804.0)</f>
        <v>1804</v>
      </c>
      <c r="D2227" s="2" t="str">
        <f>IFERROR(__xludf.DUMMYFUNCTION("""COMPUTED_VALUE"""),"EX")</f>
        <v>EX</v>
      </c>
      <c r="E2227" s="2" t="str">
        <f>IFERROR(__xludf.DUMMYFUNCTION("""COMPUTED_VALUE"""),"金23")</f>
        <v>金23</v>
      </c>
      <c r="F2227" s="2" t="s">
        <v>6679</v>
      </c>
      <c r="G2227" s="2" t="s">
        <v>6695</v>
      </c>
      <c r="H2227" s="1">
        <v>6.0</v>
      </c>
      <c r="I2227" s="1" t="s">
        <v>2888</v>
      </c>
      <c r="J2227" s="1" t="s">
        <v>1435</v>
      </c>
      <c r="K2227" s="2" t="s">
        <v>6993</v>
      </c>
      <c r="L2227" s="2" t="s">
        <v>6994</v>
      </c>
      <c r="M2227" s="2" t="str">
        <f>IFERROR(__xludf.DUMMYFUNCTION("split(split(K2227,""【"",false),""公式LINE"",false)"),"恋愛成就率99.9%の人気占い師・望月ルナ(鳥居みゆき)からの依頼で、自宅を訪れた三田園薫(松岡昌宏)と五味麻琴(剛力彩芽)。占いを的中させるルナの姿を目の当たりにした麻琴は、自らも占いを受けてある予言を授かる。一方、三田園はルナの寝室で札束を発見…!その夜、ジャーナリストの内山田洋子(東風万智子)から、ルナに騙されたと訴える女性が最近急増していること、巨額の所得隠しの噂があることを告げられて…?松岡昌宏、剛力彩芽、椿鬼奴、内藤理沙、余貴美子  ")</f>
        <v>恋愛成就率99.9%の人気占い師・望月ルナ(鳥居みゆき)からの依頼で、自宅を訪れた三田園薫(松岡昌宏)と五味麻琴(剛力彩芽)。占いを的中させるルナの姿を目の当たりにした麻琴は、自らも占いを受けてある予言を授かる。一方、三田園はルナの寝室で札束を発見…!その夜、ジャーナリストの内山田洋子(東風万智子)から、ルナに騙されたと訴える女性が最近急増していること、巨額の所得隠しの噂があることを告げられて…?松岡昌宏、剛力彩芽、椿鬼奴、内藤理沙、余貴美子  </v>
      </c>
      <c r="N2227" s="2"/>
      <c r="O2227" s="2"/>
      <c r="P2227" s="2"/>
      <c r="Q2227" s="2"/>
      <c r="R2227" s="2"/>
      <c r="S2227" s="2"/>
      <c r="T2227" s="2"/>
      <c r="U2227" s="2"/>
      <c r="V2227" s="2"/>
      <c r="W2227" s="2"/>
      <c r="X2227" s="2"/>
      <c r="Y2227" s="2"/>
      <c r="Z2227" s="2"/>
      <c r="AA2227" s="2"/>
      <c r="AB2227" s="2"/>
      <c r="AC2227" s="2"/>
      <c r="AD2227" s="2"/>
      <c r="AE2227" s="2"/>
      <c r="AF2227" s="2"/>
      <c r="AG2227" s="2"/>
      <c r="AH2227" s="2"/>
      <c r="AI2227" s="2"/>
      <c r="AJ2227" s="2"/>
      <c r="AK2227" s="2"/>
      <c r="AL2227" s="2"/>
      <c r="AM2227" s="2"/>
      <c r="AN2227" s="2"/>
      <c r="AO2227" s="2"/>
      <c r="AP2227" s="2"/>
      <c r="AQ2227" s="2"/>
      <c r="AR2227" s="2"/>
      <c r="AS2227" s="2"/>
      <c r="AT2227" s="2"/>
      <c r="AU2227" s="2"/>
      <c r="AV2227" s="2"/>
      <c r="AW2227" s="2"/>
      <c r="AX2227" s="2"/>
      <c r="AY2227" s="2"/>
      <c r="AZ2227" s="2"/>
      <c r="BA2227" s="2"/>
      <c r="BB2227" s="2"/>
    </row>
    <row r="2228" ht="204.75" customHeight="1">
      <c r="A2228" s="1">
        <v>799.0</v>
      </c>
      <c r="B2228" s="2" t="s">
        <v>6982</v>
      </c>
      <c r="C2228" s="2">
        <f>IFERROR(__xludf.DUMMYFUNCTION("split(B2228,""_"")"),1804.0)</f>
        <v>1804</v>
      </c>
      <c r="D2228" s="2" t="str">
        <f>IFERROR(__xludf.DUMMYFUNCTION("""COMPUTED_VALUE"""),"EX")</f>
        <v>EX</v>
      </c>
      <c r="E2228" s="2" t="str">
        <f>IFERROR(__xludf.DUMMYFUNCTION("""COMPUTED_VALUE"""),"金23")</f>
        <v>金23</v>
      </c>
      <c r="F2228" s="2" t="s">
        <v>6679</v>
      </c>
      <c r="G2228" s="2" t="s">
        <v>6698</v>
      </c>
      <c r="H2228" s="1">
        <v>7.0</v>
      </c>
      <c r="I2228" s="1" t="s">
        <v>2892</v>
      </c>
      <c r="J2228" s="1" t="s">
        <v>1435</v>
      </c>
      <c r="K2228" s="2" t="s">
        <v>6995</v>
      </c>
      <c r="L2228" s="2" t="s">
        <v>6996</v>
      </c>
      <c r="M2228" s="2" t="str">
        <f>IFERROR(__xludf.DUMMYFUNCTION("split(split(K2228,""【"",false),""公式LINE"",false)"),"三田園薫(松岡昌宏)と五味麻琴(剛力彩芽)が派遣された老舗高級旅館のオーナー・恩田が亡くなった。遺言状には「旅館の権利一切は、メアリー・アニンストン(ナタリー・エモンズ)に譲る」と書かれており、恩田の妻で女将の時江(岡本麗)らは唖然とする。そんな中、メアリーが来日し、遺言どおり旅館のオーナー兼女将を務めると宣言!老舗旅館に勃発した“日米女将対決""の行方は?そして、メアリーが来日した真の目的とは…!?松岡昌宏、剛力彩芽、椿鬼奴、内藤理沙、余貴美子  ")</f>
        <v>三田園薫(松岡昌宏)と五味麻琴(剛力彩芽)が派遣された老舗高級旅館のオーナー・恩田が亡くなった。遺言状には「旅館の権利一切は、メアリー・アニンストン(ナタリー・エモンズ)に譲る」と書かれており、恩田の妻で女将の時江(岡本麗)らは唖然とする。そんな中、メアリーが来日し、遺言どおり旅館のオーナー兼女将を務めると宣言!老舗旅館に勃発した“日米女将対決"の行方は?そして、メアリーが来日した真の目的とは…!?松岡昌宏、剛力彩芽、椿鬼奴、内藤理沙、余貴美子  </v>
      </c>
      <c r="N2228" s="2"/>
      <c r="O2228" s="2"/>
      <c r="P2228" s="2"/>
      <c r="Q2228" s="2"/>
      <c r="R2228" s="2"/>
      <c r="S2228" s="2"/>
      <c r="T2228" s="2"/>
      <c r="U2228" s="2"/>
      <c r="V2228" s="2"/>
      <c r="W2228" s="2"/>
      <c r="X2228" s="2"/>
      <c r="Y2228" s="2"/>
      <c r="Z2228" s="2"/>
      <c r="AA2228" s="2"/>
      <c r="AB2228" s="2"/>
      <c r="AC2228" s="2"/>
      <c r="AD2228" s="2"/>
      <c r="AE2228" s="2"/>
      <c r="AF2228" s="2"/>
      <c r="AG2228" s="2"/>
      <c r="AH2228" s="2"/>
      <c r="AI2228" s="2"/>
      <c r="AJ2228" s="2"/>
      <c r="AK2228" s="2"/>
      <c r="AL2228" s="2"/>
      <c r="AM2228" s="2"/>
      <c r="AN2228" s="2"/>
      <c r="AO2228" s="2"/>
      <c r="AP2228" s="2"/>
      <c r="AQ2228" s="2"/>
      <c r="AR2228" s="2"/>
      <c r="AS2228" s="2"/>
      <c r="AT2228" s="2"/>
      <c r="AU2228" s="2"/>
      <c r="AV2228" s="2"/>
      <c r="AW2228" s="2"/>
      <c r="AX2228" s="2"/>
      <c r="AY2228" s="2"/>
      <c r="AZ2228" s="2"/>
      <c r="BA2228" s="2"/>
      <c r="BB2228" s="2"/>
    </row>
    <row r="2229" ht="204.75" customHeight="1">
      <c r="A2229" s="1">
        <v>800.0</v>
      </c>
      <c r="B2229" s="2" t="s">
        <v>6982</v>
      </c>
      <c r="C2229" s="2">
        <f>IFERROR(__xludf.DUMMYFUNCTION("split(B2229,""_"")"),1804.0)</f>
        <v>1804</v>
      </c>
      <c r="D2229" s="2" t="str">
        <f>IFERROR(__xludf.DUMMYFUNCTION("""COMPUTED_VALUE"""),"EX")</f>
        <v>EX</v>
      </c>
      <c r="E2229" s="2" t="str">
        <f>IFERROR(__xludf.DUMMYFUNCTION("""COMPUTED_VALUE"""),"金23")</f>
        <v>金23</v>
      </c>
      <c r="F2229" s="2" t="s">
        <v>6679</v>
      </c>
      <c r="G2229" s="2" t="s">
        <v>6701</v>
      </c>
      <c r="H2229" s="1">
        <v>8.0</v>
      </c>
      <c r="I2229" s="1" t="s">
        <v>2896</v>
      </c>
      <c r="J2229" s="1" t="s">
        <v>1435</v>
      </c>
      <c r="K2229" s="2" t="s">
        <v>6997</v>
      </c>
      <c r="L2229" s="2" t="s">
        <v>6998</v>
      </c>
      <c r="M2229" s="2" t="str">
        <f>IFERROR(__xludf.DUMMYFUNCTION("split(split(K2229,""【"",false),""公式LINE"",false)"),"三田園薫(松岡昌宏)が派遣されたのは、五味麻琴(剛力彩芽)の家!かつて大金持ちだった麻琴の家は、ある家政婦によって壊されたことが明らかに!その家政婦は三田園ではと疑う一同だが、本当は森田順子(若村麻由美)という女性だった。するとなんとそこに、麻琴の父・隆志(デビット伊東)が順子を伴って帰宅し、順子との再婚を唐突に報告。しかし、順子が五味家に近づいたのには、ある思惑があって…!?衝撃の最終回!松岡昌宏、剛力彩芽、椿鬼奴、内藤理沙、余貴美子  ")</f>
        <v>三田園薫(松岡昌宏)が派遣されたのは、五味麻琴(剛力彩芽)の家!かつて大金持ちだった麻琴の家は、ある家政婦によって壊されたことが明らかに!その家政婦は三田園ではと疑う一同だが、本当は森田順子(若村麻由美)という女性だった。するとなんとそこに、麻琴の父・隆志(デビット伊東)が順子を伴って帰宅し、順子との再婚を唐突に報告。しかし、順子が五味家に近づいたのには、ある思惑があって…!?衝撃の最終回!松岡昌宏、剛力彩芽、椿鬼奴、内藤理沙、余貴美子  </v>
      </c>
      <c r="N2229" s="2"/>
      <c r="O2229" s="2"/>
      <c r="P2229" s="2"/>
      <c r="Q2229" s="2"/>
      <c r="R2229" s="2"/>
      <c r="S2229" s="2"/>
      <c r="T2229" s="2"/>
      <c r="U2229" s="2"/>
      <c r="V2229" s="2"/>
      <c r="W2229" s="2"/>
      <c r="X2229" s="2"/>
      <c r="Y2229" s="2"/>
      <c r="Z2229" s="2"/>
      <c r="AA2229" s="2"/>
      <c r="AB2229" s="2"/>
      <c r="AC2229" s="2"/>
      <c r="AD2229" s="2"/>
      <c r="AE2229" s="2"/>
      <c r="AF2229" s="2"/>
      <c r="AG2229" s="2"/>
      <c r="AH2229" s="2"/>
      <c r="AI2229" s="2"/>
      <c r="AJ2229" s="2"/>
      <c r="AK2229" s="2"/>
      <c r="AL2229" s="2"/>
      <c r="AM2229" s="2"/>
      <c r="AN2229" s="2"/>
      <c r="AO2229" s="2"/>
      <c r="AP2229" s="2"/>
      <c r="AQ2229" s="2"/>
      <c r="AR2229" s="2"/>
      <c r="AS2229" s="2"/>
      <c r="AT2229" s="2"/>
      <c r="AU2229" s="2"/>
      <c r="AV2229" s="2"/>
      <c r="AW2229" s="2"/>
      <c r="AX2229" s="2"/>
      <c r="AY2229" s="2"/>
      <c r="AZ2229" s="2"/>
      <c r="BA2229" s="2"/>
      <c r="BB2229" s="2"/>
    </row>
    <row r="2230" ht="204.75" customHeight="1">
      <c r="A2230" s="1">
        <v>811.0</v>
      </c>
      <c r="B2230" s="2" t="s">
        <v>6999</v>
      </c>
      <c r="C2230" s="2">
        <f>IFERROR(__xludf.DUMMYFUNCTION("split(B2230,""_"")"),1804.0)</f>
        <v>1804</v>
      </c>
      <c r="D2230" s="2" t="str">
        <f>IFERROR(__xludf.DUMMYFUNCTION("""COMPUTED_VALUE"""),"EX")</f>
        <v>EX</v>
      </c>
      <c r="E2230" s="2" t="str">
        <f>IFERROR(__xludf.DUMMYFUNCTION("""COMPUTED_VALUE"""),"土23")</f>
        <v>土23</v>
      </c>
      <c r="F2230" s="2" t="s">
        <v>6547</v>
      </c>
      <c r="G2230" s="2" t="s">
        <v>7000</v>
      </c>
      <c r="H2230" s="1">
        <v>1.0</v>
      </c>
      <c r="I2230" s="1" t="s">
        <v>2868</v>
      </c>
      <c r="J2230" s="1" t="s">
        <v>1435</v>
      </c>
      <c r="K2230" s="2" t="s">
        <v>7001</v>
      </c>
      <c r="L2230" s="2" t="s">
        <v>7002</v>
      </c>
      <c r="M2230" s="2" t="str">
        <f>IFERROR(__xludf.DUMMYFUNCTION("split(split(K2230,""【"",false),""公式LINE"",false)"),"モテない33歳独身の春田(田中圭)は、ある日、とんでもないものを見てしまう。それは上司・黒澤(吉田鋼太郎)のPCに保存された、大量の春田の隠し撮り写真…え、え、何?いまの何!?動揺する春田に黒澤は、トイレで壁ドンし「好きです」と愛の告白!一方、ルームメイトの牧(林遣都)からも風呂場で壁ドンされ…。常識で考えたらありえない?でも常識って何?人を好きになるって…何!?この春、1番ピュアな純愛ドラマ、開幕!田中圭、林遣都、内田理央、金子大地、伊藤修子、児嶋一哉、眞島秀和、大塚寧々、吉田鋼太郎徳尾浩司瑠東東一郎河"&amp;"野伸スキマスイッチ『Revival』(ユニバーサル ミュージック)")</f>
        <v>モテない33歳独身の春田(田中圭)は、ある日、とんでもないものを見てしまう。それは上司・黒澤(吉田鋼太郎)のPCに保存された、大量の春田の隠し撮り写真…え、え、何?いまの何!?動揺する春田に黒澤は、トイレで壁ドンし「好きです」と愛の告白!一方、ルームメイトの牧(林遣都)からも風呂場で壁ドンされ…。常識で考えたらありえない?でも常識って何?人を好きになるって…何!?この春、1番ピュアな純愛ドラマ、開幕!田中圭、林遣都、内田理央、金子大地、伊藤修子、児嶋一哉、眞島秀和、大塚寧々、吉田鋼太郎徳尾浩司瑠東東一郎河野伸スキマスイッチ『Revival』(ユニバーサル ミュージック)</v>
      </c>
      <c r="N2230" s="2"/>
      <c r="O2230" s="2"/>
      <c r="P2230" s="2"/>
      <c r="Q2230" s="2"/>
      <c r="R2230" s="2"/>
      <c r="S2230" s="2"/>
      <c r="T2230" s="2"/>
      <c r="U2230" s="2"/>
      <c r="V2230" s="2"/>
      <c r="W2230" s="2"/>
      <c r="X2230" s="2"/>
      <c r="Y2230" s="2"/>
      <c r="Z2230" s="2"/>
      <c r="AA2230" s="2"/>
      <c r="AB2230" s="2"/>
      <c r="AC2230" s="2"/>
      <c r="AD2230" s="2"/>
      <c r="AE2230" s="2"/>
      <c r="AF2230" s="2"/>
      <c r="AG2230" s="2"/>
      <c r="AH2230" s="2"/>
      <c r="AI2230" s="2"/>
      <c r="AJ2230" s="2"/>
      <c r="AK2230" s="2"/>
      <c r="AL2230" s="2"/>
      <c r="AM2230" s="2"/>
      <c r="AN2230" s="2"/>
      <c r="AO2230" s="2"/>
      <c r="AP2230" s="2"/>
      <c r="AQ2230" s="2"/>
      <c r="AR2230" s="2"/>
      <c r="AS2230" s="2"/>
      <c r="AT2230" s="2"/>
      <c r="AU2230" s="2"/>
      <c r="AV2230" s="2"/>
      <c r="AW2230" s="2"/>
      <c r="AX2230" s="2"/>
      <c r="AY2230" s="2"/>
      <c r="AZ2230" s="2"/>
      <c r="BA2230" s="2"/>
      <c r="BB2230" s="2"/>
    </row>
    <row r="2231" ht="204.75" customHeight="1">
      <c r="A2231" s="1">
        <v>812.0</v>
      </c>
      <c r="B2231" s="2" t="s">
        <v>6999</v>
      </c>
      <c r="C2231" s="2">
        <f>IFERROR(__xludf.DUMMYFUNCTION("split(B2231,""_"")"),1804.0)</f>
        <v>1804</v>
      </c>
      <c r="D2231" s="2" t="str">
        <f>IFERROR(__xludf.DUMMYFUNCTION("""COMPUTED_VALUE"""),"EX")</f>
        <v>EX</v>
      </c>
      <c r="E2231" s="2" t="str">
        <f>IFERROR(__xludf.DUMMYFUNCTION("""COMPUTED_VALUE"""),"土23")</f>
        <v>土23</v>
      </c>
      <c r="F2231" s="2" t="s">
        <v>6547</v>
      </c>
      <c r="G2231" s="2" t="s">
        <v>7003</v>
      </c>
      <c r="H2231" s="1">
        <v>2.0</v>
      </c>
      <c r="I2231" s="1" t="s">
        <v>2872</v>
      </c>
      <c r="J2231" s="1" t="s">
        <v>1435</v>
      </c>
      <c r="K2231" s="2" t="s">
        <v>7004</v>
      </c>
      <c r="L2231" s="2" t="s">
        <v>7005</v>
      </c>
      <c r="M2231" s="2" t="str">
        <f>IFERROR(__xludf.DUMMYFUNCTION("split(split(K2231,""【"",false),""公式LINE"",false)"),"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る。ちょっと待って神様、こんなモテ期いりません!ー常識で考えたらありえない?でも常識って何?人を好きになるって…何!?この春1番ピュアな、おっさん同士の胸キュン純愛ラブコメディ!!田中圭、林遣都、内田理央、金子大地、伊藤修子、児嶋一哉、眞島秀和、大塚寧々、吉田鋼太郎徳尾浩司山本大輔河野"&amp;"伸スキマスイッチ『Revival』(ユニバーサル ミュージック)")</f>
        <v>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る。ちょっと待って神様、こんなモテ期いりません!ー常識で考えたらありえない?でも常識って何?人を好きになるって…何!?この春1番ピュアな、おっさん同士の胸キュン純愛ラブコメディ!!田中圭、林遣都、内田理央、金子大地、伊藤修子、児嶋一哉、眞島秀和、大塚寧々、吉田鋼太郎徳尾浩司山本大輔河野伸スキマスイッチ『Revival』(ユニバーサル ミュージック)</v>
      </c>
      <c r="N2231" s="2"/>
      <c r="O2231" s="2"/>
      <c r="P2231" s="2"/>
      <c r="Q2231" s="2"/>
      <c r="R2231" s="2"/>
      <c r="S2231" s="2"/>
      <c r="T2231" s="2"/>
      <c r="U2231" s="2"/>
      <c r="V2231" s="2"/>
      <c r="W2231" s="2"/>
      <c r="X2231" s="2"/>
      <c r="Y2231" s="2"/>
      <c r="Z2231" s="2"/>
      <c r="AA2231" s="2"/>
      <c r="AB2231" s="2"/>
      <c r="AC2231" s="2"/>
      <c r="AD2231" s="2"/>
      <c r="AE2231" s="2"/>
      <c r="AF2231" s="2"/>
      <c r="AG2231" s="2"/>
      <c r="AH2231" s="2"/>
      <c r="AI2231" s="2"/>
      <c r="AJ2231" s="2"/>
      <c r="AK2231" s="2"/>
      <c r="AL2231" s="2"/>
      <c r="AM2231" s="2"/>
      <c r="AN2231" s="2"/>
      <c r="AO2231" s="2"/>
      <c r="AP2231" s="2"/>
      <c r="AQ2231" s="2"/>
      <c r="AR2231" s="2"/>
      <c r="AS2231" s="2"/>
      <c r="AT2231" s="2"/>
      <c r="AU2231" s="2"/>
      <c r="AV2231" s="2"/>
      <c r="AW2231" s="2"/>
      <c r="AX2231" s="2"/>
      <c r="AY2231" s="2"/>
      <c r="AZ2231" s="2"/>
      <c r="BA2231" s="2"/>
      <c r="BB2231" s="2"/>
    </row>
    <row r="2232" ht="204.75" customHeight="1">
      <c r="A2232" s="1">
        <v>813.0</v>
      </c>
      <c r="B2232" s="2" t="s">
        <v>6999</v>
      </c>
      <c r="C2232" s="2">
        <f>IFERROR(__xludf.DUMMYFUNCTION("split(B2232,""_"")"),1804.0)</f>
        <v>1804</v>
      </c>
      <c r="D2232" s="2" t="str">
        <f>IFERROR(__xludf.DUMMYFUNCTION("""COMPUTED_VALUE"""),"EX")</f>
        <v>EX</v>
      </c>
      <c r="E2232" s="2" t="str">
        <f>IFERROR(__xludf.DUMMYFUNCTION("""COMPUTED_VALUE"""),"土23")</f>
        <v>土23</v>
      </c>
      <c r="F2232" s="2" t="s">
        <v>6547</v>
      </c>
      <c r="G2232" s="2" t="s">
        <v>7006</v>
      </c>
      <c r="H2232" s="1">
        <v>3.0</v>
      </c>
      <c r="I2232" s="1" t="s">
        <v>2876</v>
      </c>
      <c r="J2232" s="1" t="s">
        <v>1435</v>
      </c>
      <c r="K2232" s="2" t="s">
        <v>7007</v>
      </c>
      <c r="L2232" s="2" t="s">
        <v>7008</v>
      </c>
      <c r="M2232" s="2" t="str">
        <f>IFERROR(__xludf.DUMMYFUNCTION("split(split(K2232,""【"",false),""公式LINE"",false)"),"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Yuki Saito"&amp;"河野伸スキマスイッチ『Revival』(ユニバーサル ミュージック)")</f>
        <v>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Yuki Saito河野伸スキマスイッチ『Revival』(ユニバーサル ミュージック)</v>
      </c>
      <c r="N2232" s="2"/>
      <c r="O2232" s="2"/>
      <c r="P2232" s="2"/>
      <c r="Q2232" s="2"/>
      <c r="R2232" s="2"/>
      <c r="S2232" s="2"/>
      <c r="T2232" s="2"/>
      <c r="U2232" s="2"/>
      <c r="V2232" s="2"/>
      <c r="W2232" s="2"/>
      <c r="X2232" s="2"/>
      <c r="Y2232" s="2"/>
      <c r="Z2232" s="2"/>
      <c r="AA2232" s="2"/>
      <c r="AB2232" s="2"/>
      <c r="AC2232" s="2"/>
      <c r="AD2232" s="2"/>
      <c r="AE2232" s="2"/>
      <c r="AF2232" s="2"/>
      <c r="AG2232" s="2"/>
      <c r="AH2232" s="2"/>
      <c r="AI2232" s="2"/>
      <c r="AJ2232" s="2"/>
      <c r="AK2232" s="2"/>
      <c r="AL2232" s="2"/>
      <c r="AM2232" s="2"/>
      <c r="AN2232" s="2"/>
      <c r="AO2232" s="2"/>
      <c r="AP2232" s="2"/>
      <c r="AQ2232" s="2"/>
      <c r="AR2232" s="2"/>
      <c r="AS2232" s="2"/>
      <c r="AT2232" s="2"/>
      <c r="AU2232" s="2"/>
      <c r="AV2232" s="2"/>
      <c r="AW2232" s="2"/>
      <c r="AX2232" s="2"/>
      <c r="AY2232" s="2"/>
      <c r="AZ2232" s="2"/>
      <c r="BA2232" s="2"/>
      <c r="BB2232" s="2"/>
    </row>
    <row r="2233" ht="204.75" customHeight="1">
      <c r="A2233" s="1">
        <v>814.0</v>
      </c>
      <c r="B2233" s="2" t="s">
        <v>6999</v>
      </c>
      <c r="C2233" s="2">
        <f>IFERROR(__xludf.DUMMYFUNCTION("split(B2233,""_"")"),1804.0)</f>
        <v>1804</v>
      </c>
      <c r="D2233" s="2" t="str">
        <f>IFERROR(__xludf.DUMMYFUNCTION("""COMPUTED_VALUE"""),"EX")</f>
        <v>EX</v>
      </c>
      <c r="E2233" s="2" t="str">
        <f>IFERROR(__xludf.DUMMYFUNCTION("""COMPUTED_VALUE"""),"土23")</f>
        <v>土23</v>
      </c>
      <c r="F2233" s="2" t="s">
        <v>6547</v>
      </c>
      <c r="G2233" s="2" t="s">
        <v>7009</v>
      </c>
      <c r="H2233" s="1">
        <v>4.0</v>
      </c>
      <c r="I2233" s="1" t="s">
        <v>2880</v>
      </c>
      <c r="J2233" s="1" t="s">
        <v>1435</v>
      </c>
      <c r="K2233" s="2" t="s">
        <v>7010</v>
      </c>
      <c r="L2233" s="2" t="s">
        <v>7008</v>
      </c>
      <c r="M2233" s="2" t="str">
        <f>IFERROR(__xludf.DUMMYFUNCTION("split(split(K2233,""【"",false),""公式LINE"",false)"),"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瑠東東一郎河野伸スキ"&amp;"マスイッチ『Revival』(ユニバーサル ミュージック)")</f>
        <v>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瑠東東一郎河野伸スキマスイッチ『Revival』(ユニバーサル ミュージック)</v>
      </c>
      <c r="N2233" s="2"/>
      <c r="O2233" s="2"/>
      <c r="P2233" s="2"/>
      <c r="Q2233" s="2"/>
      <c r="R2233" s="2"/>
      <c r="S2233" s="2"/>
      <c r="T2233" s="2"/>
      <c r="U2233" s="2"/>
      <c r="V2233" s="2"/>
      <c r="W2233" s="2"/>
      <c r="X2233" s="2"/>
      <c r="Y2233" s="2"/>
      <c r="Z2233" s="2"/>
      <c r="AA2233" s="2"/>
      <c r="AB2233" s="2"/>
      <c r="AC2233" s="2"/>
      <c r="AD2233" s="2"/>
      <c r="AE2233" s="2"/>
      <c r="AF2233" s="2"/>
      <c r="AG2233" s="2"/>
      <c r="AH2233" s="2"/>
      <c r="AI2233" s="2"/>
      <c r="AJ2233" s="2"/>
      <c r="AK2233" s="2"/>
      <c r="AL2233" s="2"/>
      <c r="AM2233" s="2"/>
      <c r="AN2233" s="2"/>
      <c r="AO2233" s="2"/>
      <c r="AP2233" s="2"/>
      <c r="AQ2233" s="2"/>
      <c r="AR2233" s="2"/>
      <c r="AS2233" s="2"/>
      <c r="AT2233" s="2"/>
      <c r="AU2233" s="2"/>
      <c r="AV2233" s="2"/>
      <c r="AW2233" s="2"/>
      <c r="AX2233" s="2"/>
      <c r="AY2233" s="2"/>
      <c r="AZ2233" s="2"/>
      <c r="BA2233" s="2"/>
      <c r="BB2233" s="2"/>
    </row>
    <row r="2234" ht="204.75" customHeight="1">
      <c r="A2234" s="1">
        <v>815.0</v>
      </c>
      <c r="B2234" s="2" t="s">
        <v>6999</v>
      </c>
      <c r="C2234" s="2">
        <f>IFERROR(__xludf.DUMMYFUNCTION("split(B2234,""_"")"),1804.0)</f>
        <v>1804</v>
      </c>
      <c r="D2234" s="2" t="str">
        <f>IFERROR(__xludf.DUMMYFUNCTION("""COMPUTED_VALUE"""),"EX")</f>
        <v>EX</v>
      </c>
      <c r="E2234" s="2" t="str">
        <f>IFERROR(__xludf.DUMMYFUNCTION("""COMPUTED_VALUE"""),"土23")</f>
        <v>土23</v>
      </c>
      <c r="F2234" s="2" t="s">
        <v>6547</v>
      </c>
      <c r="G2234" s="2" t="s">
        <v>7011</v>
      </c>
      <c r="H2234" s="1">
        <v>5.0</v>
      </c>
      <c r="I2234" s="1" t="s">
        <v>2884</v>
      </c>
      <c r="J2234" s="1" t="s">
        <v>1435</v>
      </c>
      <c r="K2234" s="2" t="s">
        <v>7012</v>
      </c>
      <c r="L2234" s="2" t="s">
        <v>7008</v>
      </c>
      <c r="M2234" s="2" t="str">
        <f>IFERROR(__xludf.DUMMYFUNCTION("split(split(K2234,""【"",false),""公式LINE"",false)"),"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山本大輔河野伸スキマ"&amp;"スイッチ『Revival』(ユニバーサル ミュージック)")</f>
        <v>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山本大輔河野伸スキマスイッチ『Revival』(ユニバーサル ミュージック)</v>
      </c>
      <c r="N2234" s="2"/>
      <c r="O2234" s="2"/>
      <c r="P2234" s="2"/>
      <c r="Q2234" s="2"/>
      <c r="R2234" s="2"/>
      <c r="S2234" s="2"/>
      <c r="T2234" s="2"/>
      <c r="U2234" s="2"/>
      <c r="V2234" s="2"/>
      <c r="W2234" s="2"/>
      <c r="X2234" s="2"/>
      <c r="Y2234" s="2"/>
      <c r="Z2234" s="2"/>
      <c r="AA2234" s="2"/>
      <c r="AB2234" s="2"/>
      <c r="AC2234" s="2"/>
      <c r="AD2234" s="2"/>
      <c r="AE2234" s="2"/>
      <c r="AF2234" s="2"/>
      <c r="AG2234" s="2"/>
      <c r="AH2234" s="2"/>
      <c r="AI2234" s="2"/>
      <c r="AJ2234" s="2"/>
      <c r="AK2234" s="2"/>
      <c r="AL2234" s="2"/>
      <c r="AM2234" s="2"/>
      <c r="AN2234" s="2"/>
      <c r="AO2234" s="2"/>
      <c r="AP2234" s="2"/>
      <c r="AQ2234" s="2"/>
      <c r="AR2234" s="2"/>
      <c r="AS2234" s="2"/>
      <c r="AT2234" s="2"/>
      <c r="AU2234" s="2"/>
      <c r="AV2234" s="2"/>
      <c r="AW2234" s="2"/>
      <c r="AX2234" s="2"/>
      <c r="AY2234" s="2"/>
      <c r="AZ2234" s="2"/>
      <c r="BA2234" s="2"/>
      <c r="BB2234" s="2"/>
    </row>
    <row r="2235" ht="204.75" customHeight="1">
      <c r="A2235" s="1">
        <v>816.0</v>
      </c>
      <c r="B2235" s="2" t="s">
        <v>6999</v>
      </c>
      <c r="C2235" s="2">
        <f>IFERROR(__xludf.DUMMYFUNCTION("split(B2235,""_"")"),1804.0)</f>
        <v>1804</v>
      </c>
      <c r="D2235" s="2" t="str">
        <f>IFERROR(__xludf.DUMMYFUNCTION("""COMPUTED_VALUE"""),"EX")</f>
        <v>EX</v>
      </c>
      <c r="E2235" s="2" t="str">
        <f>IFERROR(__xludf.DUMMYFUNCTION("""COMPUTED_VALUE"""),"土23")</f>
        <v>土23</v>
      </c>
      <c r="F2235" s="2" t="s">
        <v>6547</v>
      </c>
      <c r="G2235" s="2" t="s">
        <v>7013</v>
      </c>
      <c r="H2235" s="1">
        <v>6.0</v>
      </c>
      <c r="I2235" s="1" t="s">
        <v>2888</v>
      </c>
      <c r="J2235" s="1" t="s">
        <v>1435</v>
      </c>
      <c r="K2235" s="2" t="s">
        <v>7014</v>
      </c>
      <c r="L2235" s="2" t="s">
        <v>7008</v>
      </c>
      <c r="M2235" s="2" t="str">
        <f>IFERROR(__xludf.DUMMYFUNCTION("split(split(K2235,""【"",false),""公式LINE"",false)"),"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Yuki Saito"&amp;"河野伸スキマスイッチ『Revival』(ユニバーサル ミュージック)")</f>
        <v>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Yuki Saito河野伸スキマスイッチ『Revival』(ユニバーサル ミュージック)</v>
      </c>
      <c r="N2235" s="2"/>
      <c r="O2235" s="2"/>
      <c r="P2235" s="2"/>
      <c r="Q2235" s="2"/>
      <c r="R2235" s="2"/>
      <c r="S2235" s="2"/>
      <c r="T2235" s="2"/>
      <c r="U2235" s="2"/>
      <c r="V2235" s="2"/>
      <c r="W2235" s="2"/>
      <c r="X2235" s="2"/>
      <c r="Y2235" s="2"/>
      <c r="Z2235" s="2"/>
      <c r="AA2235" s="2"/>
      <c r="AB2235" s="2"/>
      <c r="AC2235" s="2"/>
      <c r="AD2235" s="2"/>
      <c r="AE2235" s="2"/>
      <c r="AF2235" s="2"/>
      <c r="AG2235" s="2"/>
      <c r="AH2235" s="2"/>
      <c r="AI2235" s="2"/>
      <c r="AJ2235" s="2"/>
      <c r="AK2235" s="2"/>
      <c r="AL2235" s="2"/>
      <c r="AM2235" s="2"/>
      <c r="AN2235" s="2"/>
      <c r="AO2235" s="2"/>
      <c r="AP2235" s="2"/>
      <c r="AQ2235" s="2"/>
      <c r="AR2235" s="2"/>
      <c r="AS2235" s="2"/>
      <c r="AT2235" s="2"/>
      <c r="AU2235" s="2"/>
      <c r="AV2235" s="2"/>
      <c r="AW2235" s="2"/>
      <c r="AX2235" s="2"/>
      <c r="AY2235" s="2"/>
      <c r="AZ2235" s="2"/>
      <c r="BA2235" s="2"/>
      <c r="BB2235" s="2"/>
    </row>
    <row r="2236" ht="204.75" customHeight="1">
      <c r="A2236" s="1">
        <v>817.0</v>
      </c>
      <c r="B2236" s="2" t="s">
        <v>6999</v>
      </c>
      <c r="C2236" s="2">
        <f>IFERROR(__xludf.DUMMYFUNCTION("split(B2236,""_"")"),1804.0)</f>
        <v>1804</v>
      </c>
      <c r="D2236" s="2" t="str">
        <f>IFERROR(__xludf.DUMMYFUNCTION("""COMPUTED_VALUE"""),"EX")</f>
        <v>EX</v>
      </c>
      <c r="E2236" s="2" t="str">
        <f>IFERROR(__xludf.DUMMYFUNCTION("""COMPUTED_VALUE"""),"土23")</f>
        <v>土23</v>
      </c>
      <c r="F2236" s="2" t="s">
        <v>6547</v>
      </c>
      <c r="G2236" s="2" t="s">
        <v>7015</v>
      </c>
      <c r="H2236" s="1">
        <v>7.0</v>
      </c>
      <c r="J2236" s="1" t="s">
        <v>1435</v>
      </c>
      <c r="K2236" s="2" t="s">
        <v>7010</v>
      </c>
      <c r="L2236" s="2" t="s">
        <v>7008</v>
      </c>
      <c r="M2236" s="2" t="str">
        <f>IFERROR(__xludf.DUMMYFUNCTION("split(split(K2236,""【"",false),""公式LINE"",false)"),"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瑠東東一郎河野伸スキ"&amp;"マスイッチ『Revival』(ユニバーサル ミュージック)")</f>
        <v>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瑠東東一郎河野伸スキマスイッチ『Revival』(ユニバーサル ミュージック)</v>
      </c>
      <c r="N2236" s="2"/>
      <c r="O2236" s="2"/>
      <c r="P2236" s="2"/>
      <c r="Q2236" s="2"/>
      <c r="R2236" s="2"/>
      <c r="S2236" s="2"/>
      <c r="T2236" s="2"/>
      <c r="U2236" s="2"/>
      <c r="V2236" s="2"/>
      <c r="W2236" s="2"/>
      <c r="X2236" s="2"/>
      <c r="Y2236" s="2"/>
      <c r="Z2236" s="2"/>
      <c r="AA2236" s="2"/>
      <c r="AB2236" s="2"/>
      <c r="AC2236" s="2"/>
      <c r="AD2236" s="2"/>
      <c r="AE2236" s="2"/>
      <c r="AF2236" s="2"/>
      <c r="AG2236" s="2"/>
      <c r="AH2236" s="2"/>
      <c r="AI2236" s="2"/>
      <c r="AJ2236" s="2"/>
      <c r="AK2236" s="2"/>
      <c r="AL2236" s="2"/>
      <c r="AM2236" s="2"/>
      <c r="AN2236" s="2"/>
      <c r="AO2236" s="2"/>
      <c r="AP2236" s="2"/>
      <c r="AQ2236" s="2"/>
      <c r="AR2236" s="2"/>
      <c r="AS2236" s="2"/>
      <c r="AT2236" s="2"/>
      <c r="AU2236" s="2"/>
      <c r="AV2236" s="2"/>
      <c r="AW2236" s="2"/>
      <c r="AX2236" s="2"/>
      <c r="AY2236" s="2"/>
      <c r="AZ2236" s="2"/>
      <c r="BA2236" s="2"/>
      <c r="BB2236" s="2"/>
    </row>
    <row r="2237" ht="204.75" customHeight="1">
      <c r="A2237" s="1">
        <v>868.0</v>
      </c>
      <c r="B2237" s="2" t="s">
        <v>7016</v>
      </c>
      <c r="C2237" s="2">
        <f>IFERROR(__xludf.DUMMYFUNCTION("split(B2237,""_"")"),1801.0)</f>
        <v>1801</v>
      </c>
      <c r="D2237" s="2" t="str">
        <f>IFERROR(__xludf.DUMMYFUNCTION("""COMPUTED_VALUE"""),"EX")</f>
        <v>EX</v>
      </c>
      <c r="E2237" s="2" t="str">
        <f>IFERROR(__xludf.DUMMYFUNCTION("""COMPUTED_VALUE"""),"木21")</f>
        <v>木21</v>
      </c>
      <c r="F2237" s="2" t="s">
        <v>7017</v>
      </c>
      <c r="G2237" s="2" t="s">
        <v>7018</v>
      </c>
      <c r="H2237" s="1">
        <v>6.0</v>
      </c>
      <c r="I2237" s="1" t="s">
        <v>2868</v>
      </c>
      <c r="J2237" s="1" t="s">
        <v>4</v>
      </c>
      <c r="K2237" s="2" t="s">
        <v>7019</v>
      </c>
      <c r="L2237" s="2" t="s">
        <v>7020</v>
      </c>
      <c r="M2237" s="2" t="str">
        <f>IFERROR(__xludf.DUMMYFUNCTION("split(split(K2237,""【"",false),""公式LINE"",false)"),"工事現場の警備員・島崎章(木村拓哉)は、所属会社が「身辺警護課」を新設したことをきっかけに、ボディーガードとなる。ボディーガードとして華々しく活躍していた過去は秘密にし、村田(上川隆也)、高梨(斎藤工)、菅沼(菜々緒)、沢口(間宮祥太朗)らと共にチームに加わる。最初の依頼は、マラソン大会に出席する社長の警護。そこには、脅迫を受けている立原大臣(石田ゆり子)と警視庁SP・落合(江口洋介)の姿が…!?島崎章…木村拓哉  落合義明…江口洋介  高梨雅也…斎藤工  菅沼まゆ…菜々緒  沢口正太郎…間宮祥太朗  立"&amp;"原愛子…石田ゆり子  村田五郎…上川隆也  ・  河野純也…満島真之介  今関重信…永島敏行  氷川修…宇梶剛士  清田春孝…阿部進之介  島崎瞬…田中奏生    ")</f>
        <v>工事現場の警備員・島崎章(木村拓哉)は、所属会社が「身辺警護課」を新設したことをきっかけに、ボディーガードとなる。ボディーガードとして華々しく活躍していた過去は秘密にし、村田(上川隆也)、高梨(斎藤工)、菅沼(菜々緒)、沢口(間宮祥太朗)らと共にチームに加わる。最初の依頼は、マラソン大会に出席する社長の警護。そこには、脅迫を受けている立原大臣(石田ゆり子)と警視庁SP・落合(江口洋介)の姿が…!?島崎章…木村拓哉  落合義明…江口洋介  高梨雅也…斎藤工  菅沼まゆ…菜々緒  沢口正太郎…間宮祥太朗  立原愛子…石田ゆり子  村田五郎…上川隆也  ・  河野純也…満島真之介  今関重信…永島敏行  氷川修…宇梶剛士  清田春孝…阿部進之介  島崎瞬…田中奏生    </v>
      </c>
      <c r="N2237" s="2"/>
      <c r="O2237" s="2"/>
      <c r="P2237" s="2"/>
      <c r="Q2237" s="2"/>
      <c r="R2237" s="2"/>
      <c r="S2237" s="2"/>
      <c r="T2237" s="2"/>
      <c r="U2237" s="2"/>
      <c r="V2237" s="2"/>
      <c r="W2237" s="2"/>
      <c r="X2237" s="2"/>
      <c r="Y2237" s="2"/>
      <c r="Z2237" s="2"/>
      <c r="AA2237" s="2"/>
      <c r="AB2237" s="2"/>
      <c r="AC2237" s="2"/>
      <c r="AD2237" s="2"/>
      <c r="AE2237" s="2"/>
      <c r="AF2237" s="2"/>
      <c r="AG2237" s="2"/>
      <c r="AH2237" s="2"/>
      <c r="AI2237" s="2"/>
      <c r="AJ2237" s="2"/>
      <c r="AK2237" s="2"/>
      <c r="AL2237" s="2"/>
      <c r="AM2237" s="2"/>
      <c r="AN2237" s="2"/>
      <c r="AO2237" s="2"/>
      <c r="AP2237" s="2"/>
      <c r="AQ2237" s="2"/>
      <c r="AR2237" s="2"/>
      <c r="AS2237" s="2"/>
      <c r="AT2237" s="2"/>
      <c r="AU2237" s="2"/>
      <c r="AV2237" s="2"/>
      <c r="AW2237" s="2"/>
      <c r="AX2237" s="2"/>
      <c r="AY2237" s="2"/>
      <c r="AZ2237" s="2"/>
      <c r="BA2237" s="2"/>
      <c r="BB2237" s="2"/>
    </row>
    <row r="2238" ht="204.75" customHeight="1">
      <c r="A2238" s="1">
        <v>869.0</v>
      </c>
      <c r="B2238" s="2" t="s">
        <v>7016</v>
      </c>
      <c r="C2238" s="2">
        <f>IFERROR(__xludf.DUMMYFUNCTION("split(B2238,""_"")"),1801.0)</f>
        <v>1801</v>
      </c>
      <c r="D2238" s="2" t="str">
        <f>IFERROR(__xludf.DUMMYFUNCTION("""COMPUTED_VALUE"""),"EX")</f>
        <v>EX</v>
      </c>
      <c r="E2238" s="2" t="str">
        <f>IFERROR(__xludf.DUMMYFUNCTION("""COMPUTED_VALUE"""),"木21")</f>
        <v>木21</v>
      </c>
      <c r="F2238" s="2" t="s">
        <v>7017</v>
      </c>
      <c r="G2238" s="2" t="s">
        <v>7021</v>
      </c>
      <c r="H2238" s="1">
        <v>8.0</v>
      </c>
      <c r="I2238" s="1" t="s">
        <v>2872</v>
      </c>
      <c r="J2238" s="1" t="s">
        <v>4</v>
      </c>
      <c r="K2238" s="2" t="s">
        <v>7022</v>
      </c>
      <c r="L2238" s="2" t="s">
        <v>7023</v>
      </c>
      <c r="M2238" s="2" t="str">
        <f>IFERROR(__xludf.DUMMYFUNCTION("split(split(K2238,""【"",false),""公式LINE"",false)"),"ある日、裁判官・行永(田中哲司)の自宅で自転車放火事件が発生。判決を目前に控えた裁判への脅迫行為と判断され、警視庁SP・落合(江口洋介)らが警護につく。一方、妻・亜佐美(大塚寧々)の警護には、SPではなく、章(木村拓哉)たち民間ボディーガードがつくことに!妻が隠した秘密の生活が次第に明らかになり…!?夫婦を狙う脅威とは…判決までの緊迫の24時間を護り抜け!島崎章…木村拓哉  落合義明…江口洋介  高梨雅也…斎藤工  菅沼まゆ…菜々緒  沢口正太郎…間宮祥太朗  立原愛子…石田ゆり子  村田五郎…上川隆也 "&amp;" ・  河野純也…満島真之介  清田春孝…阿部進之介  島崎瞬…田中奏生    ")</f>
        <v>ある日、裁判官・行永(田中哲司)の自宅で自転車放火事件が発生。判決を目前に控えた裁判への脅迫行為と判断され、警視庁SP・落合(江口洋介)らが警護につく。一方、妻・亜佐美(大塚寧々)の警護には、SPではなく、章(木村拓哉)たち民間ボディーガードがつくことに!妻が隠した秘密の生活が次第に明らかになり…!?夫婦を狙う脅威とは…判決までの緊迫の24時間を護り抜け!島崎章…木村拓哉  落合義明…江口洋介  高梨雅也…斎藤工  菅沼まゆ…菜々緒  沢口正太郎…間宮祥太朗  立原愛子…石田ゆり子  村田五郎…上川隆也  ・  河野純也…満島真之介  清田春孝…阿部進之介  島崎瞬…田中奏生    </v>
      </c>
      <c r="N2238" s="2"/>
      <c r="O2238" s="2"/>
      <c r="P2238" s="2"/>
      <c r="Q2238" s="2"/>
      <c r="R2238" s="2"/>
      <c r="S2238" s="2"/>
      <c r="T2238" s="2"/>
      <c r="U2238" s="2"/>
      <c r="V2238" s="2"/>
      <c r="W2238" s="2"/>
      <c r="X2238" s="2"/>
      <c r="Y2238" s="2"/>
      <c r="Z2238" s="2"/>
      <c r="AA2238" s="2"/>
      <c r="AB2238" s="2"/>
      <c r="AC2238" s="2"/>
      <c r="AD2238" s="2"/>
      <c r="AE2238" s="2"/>
      <c r="AF2238" s="2"/>
      <c r="AG2238" s="2"/>
      <c r="AH2238" s="2"/>
      <c r="AI2238" s="2"/>
      <c r="AJ2238" s="2"/>
      <c r="AK2238" s="2"/>
      <c r="AL2238" s="2"/>
      <c r="AM2238" s="2"/>
      <c r="AN2238" s="2"/>
      <c r="AO2238" s="2"/>
      <c r="AP2238" s="2"/>
      <c r="AQ2238" s="2"/>
      <c r="AR2238" s="2"/>
      <c r="AS2238" s="2"/>
      <c r="AT2238" s="2"/>
      <c r="AU2238" s="2"/>
      <c r="AV2238" s="2"/>
      <c r="AW2238" s="2"/>
      <c r="AX2238" s="2"/>
      <c r="AY2238" s="2"/>
      <c r="AZ2238" s="2"/>
      <c r="BA2238" s="2"/>
      <c r="BB2238" s="2"/>
    </row>
    <row r="2239" ht="204.75" customHeight="1">
      <c r="A2239" s="1">
        <v>870.0</v>
      </c>
      <c r="B2239" s="2" t="s">
        <v>7016</v>
      </c>
      <c r="C2239" s="2">
        <f>IFERROR(__xludf.DUMMYFUNCTION("split(B2239,""_"")"),1801.0)</f>
        <v>1801</v>
      </c>
      <c r="D2239" s="2" t="str">
        <f>IFERROR(__xludf.DUMMYFUNCTION("""COMPUTED_VALUE"""),"EX")</f>
        <v>EX</v>
      </c>
      <c r="E2239" s="2" t="str">
        <f>IFERROR(__xludf.DUMMYFUNCTION("""COMPUTED_VALUE"""),"木21")</f>
        <v>木21</v>
      </c>
      <c r="F2239" s="2" t="s">
        <v>7017</v>
      </c>
      <c r="G2239" s="2" t="s">
        <v>7024</v>
      </c>
      <c r="H2239" s="1">
        <v>11.0</v>
      </c>
      <c r="I2239" s="1" t="s">
        <v>2876</v>
      </c>
      <c r="J2239" s="1" t="s">
        <v>11</v>
      </c>
      <c r="K2239" s="2" t="s">
        <v>7025</v>
      </c>
      <c r="L2239" s="2" t="s">
        <v>7026</v>
      </c>
      <c r="M2239" s="2" t="str">
        <f>IFERROR(__xludf.DUMMYFUNCTION("split(split(K2239,""【"",false),""公式LINE"",false)"),"島崎章(木村拓哉)ら身辺警護課メンバーは、緊急事案だと課長の村田(上川隆也)に深夜呼び出される。今回の依頼は、引退をほのめかす人気タレント・かのん(三吉彩花)を引き留めるための、芸能事務所社長(西村まさ彦)が用意した現金一億円の警護!しかし、目的地が不明!?誰かの電話を待つ社長の様子から、章はこれが“誘拐事件""であると感じ…。警察に通報しようとするが、社長は警察を呼ぶ前に事件を解決しようと…!?島崎章…木村拓哉  落合義明…江口洋介  高梨雅也…斎藤工  菅沼まゆ…菜々緒  沢口正太郎…間宮祥太朗  立"&amp;"原愛子…石田ゆり子  村田五郎…上川隆也  ・  今関重信…永島敏行  氷川修…宇梶剛士  清田春孝…阿部進之介  島崎瞬…田中奏生    ")</f>
        <v>島崎章(木村拓哉)ら身辺警護課メンバーは、緊急事案だと課長の村田(上川隆也)に深夜呼び出される。今回の依頼は、引退をほのめかす人気タレント・かのん(三吉彩花)を引き留めるための、芸能事務所社長(西村まさ彦)が用意した現金一億円の警護!しかし、目的地が不明!?誰かの電話を待つ社長の様子から、章はこれが“誘拐事件"であると感じ…。警察に通報しようとするが、社長は警察を呼ぶ前に事件を解決しようと…!?島崎章…木村拓哉  落合義明…江口洋介  高梨雅也…斎藤工  菅沼まゆ…菜々緒  沢口正太郎…間宮祥太朗  立原愛子…石田ゆり子  村田五郎…上川隆也  ・  今関重信…永島敏行  氷川修…宇梶剛士  清田春孝…阿部進之介  島崎瞬…田中奏生    </v>
      </c>
      <c r="N2239" s="2"/>
      <c r="O2239" s="2"/>
      <c r="P2239" s="2"/>
      <c r="Q2239" s="2"/>
      <c r="R2239" s="2"/>
      <c r="S2239" s="2"/>
      <c r="T2239" s="2"/>
      <c r="U2239" s="2"/>
      <c r="V2239" s="2"/>
      <c r="W2239" s="2"/>
      <c r="X2239" s="2"/>
      <c r="Y2239" s="2"/>
      <c r="Z2239" s="2"/>
      <c r="AA2239" s="2"/>
      <c r="AB2239" s="2"/>
      <c r="AC2239" s="2"/>
      <c r="AD2239" s="2"/>
      <c r="AE2239" s="2"/>
      <c r="AF2239" s="2"/>
      <c r="AG2239" s="2"/>
      <c r="AH2239" s="2"/>
      <c r="AI2239" s="2"/>
      <c r="AJ2239" s="2"/>
      <c r="AK2239" s="2"/>
      <c r="AL2239" s="2"/>
      <c r="AM2239" s="2"/>
      <c r="AN2239" s="2"/>
      <c r="AO2239" s="2"/>
      <c r="AP2239" s="2"/>
      <c r="AQ2239" s="2"/>
      <c r="AR2239" s="2"/>
      <c r="AS2239" s="2"/>
      <c r="AT2239" s="2"/>
      <c r="AU2239" s="2"/>
      <c r="AV2239" s="2"/>
      <c r="AW2239" s="2"/>
      <c r="AX2239" s="2"/>
      <c r="AY2239" s="2"/>
      <c r="AZ2239" s="2"/>
      <c r="BA2239" s="2"/>
      <c r="BB2239" s="2"/>
    </row>
    <row r="2240" ht="204.75" customHeight="1">
      <c r="A2240" s="1">
        <v>871.0</v>
      </c>
      <c r="B2240" s="2" t="s">
        <v>7016</v>
      </c>
      <c r="C2240" s="2">
        <f>IFERROR(__xludf.DUMMYFUNCTION("split(B2240,""_"")"),1801.0)</f>
        <v>1801</v>
      </c>
      <c r="D2240" s="2" t="str">
        <f>IFERROR(__xludf.DUMMYFUNCTION("""COMPUTED_VALUE"""),"EX")</f>
        <v>EX</v>
      </c>
      <c r="E2240" s="2" t="str">
        <f>IFERROR(__xludf.DUMMYFUNCTION("""COMPUTED_VALUE"""),"木21")</f>
        <v>木21</v>
      </c>
      <c r="F2240" s="2" t="s">
        <v>7017</v>
      </c>
      <c r="G2240" s="2" t="s">
        <v>7027</v>
      </c>
      <c r="H2240" s="1">
        <v>12.0</v>
      </c>
      <c r="I2240" s="1" t="s">
        <v>2880</v>
      </c>
      <c r="J2240" s="1" t="s">
        <v>11</v>
      </c>
      <c r="K2240" s="2" t="s">
        <v>7028</v>
      </c>
      <c r="L2240" s="2" t="s">
        <v>7029</v>
      </c>
      <c r="M2240" s="2" t="str">
        <f>IFERROR(__xludf.DUMMYFUNCTION("split(split(K2240,""【"",false),""公式LINE"",false)"),"身辺警護課の章(木村拓哉)と課長・村田(上川隆也)は、重要かつ極秘の依頼として、厚生労働大臣・立原愛子(石田ゆり子)の個人的な警護を担当!?ホテルで、ある人物と密会するまでの3時間の警護…それは、愛子を警護する落合(江口洋介)ら警視庁SPを敵にまわす禁断の任務!愛子がホテルへ向かう本当の理由とは…仕掛けられた黒い罠!愛子が涙に隠した大スキャンダルとは…衝撃のラストへ!島崎章…木村拓哉  落合義明…江口洋介  高梨雅也…斎藤工  菅沼まゆ…菜々緒  沢口正太郎…間宮祥太朗  立原愛子…石田ゆり子  村田五郎"&amp;"…上川隆也  ・  河野純也…満島真之介  今関重信…永島敏行  氷川修…宇梶剛士  清田春孝…阿部進之介  島崎瞬…田中奏生    ")</f>
        <v>身辺警護課の章(木村拓哉)と課長・村田(上川隆也)は、重要かつ極秘の依頼として、厚生労働大臣・立原愛子(石田ゆり子)の個人的な警護を担当!?ホテルで、ある人物と密会するまでの3時間の警護…それは、愛子を警護する落合(江口洋介)ら警視庁SPを敵にまわす禁断の任務!愛子がホテルへ向かう本当の理由とは…仕掛けられた黒い罠!愛子が涙に隠した大スキャンダルとは…衝撃のラストへ!島崎章…木村拓哉  落合義明…江口洋介  高梨雅也…斎藤工  菅沼まゆ…菜々緒  沢口正太郎…間宮祥太朗  立原愛子…石田ゆり子  村田五郎…上川隆也  ・  河野純也…満島真之介  今関重信…永島敏行  氷川修…宇梶剛士  清田春孝…阿部進之介  島崎瞬…田中奏生    </v>
      </c>
      <c r="N2240" s="2"/>
      <c r="O2240" s="2"/>
      <c r="P2240" s="2"/>
      <c r="Q2240" s="2"/>
      <c r="R2240" s="2"/>
      <c r="S2240" s="2"/>
      <c r="T2240" s="2"/>
      <c r="U2240" s="2"/>
      <c r="V2240" s="2"/>
      <c r="W2240" s="2"/>
      <c r="X2240" s="2"/>
      <c r="Y2240" s="2"/>
      <c r="Z2240" s="2"/>
      <c r="AA2240" s="2"/>
      <c r="AB2240" s="2"/>
      <c r="AC2240" s="2"/>
      <c r="AD2240" s="2"/>
      <c r="AE2240" s="2"/>
      <c r="AF2240" s="2"/>
      <c r="AG2240" s="2"/>
      <c r="AH2240" s="2"/>
      <c r="AI2240" s="2"/>
      <c r="AJ2240" s="2"/>
      <c r="AK2240" s="2"/>
      <c r="AL2240" s="2"/>
      <c r="AM2240" s="2"/>
      <c r="AN2240" s="2"/>
      <c r="AO2240" s="2"/>
      <c r="AP2240" s="2"/>
      <c r="AQ2240" s="2"/>
      <c r="AR2240" s="2"/>
      <c r="AS2240" s="2"/>
      <c r="AT2240" s="2"/>
      <c r="AU2240" s="2"/>
      <c r="AV2240" s="2"/>
      <c r="AW2240" s="2"/>
      <c r="AX2240" s="2"/>
      <c r="AY2240" s="2"/>
      <c r="AZ2240" s="2"/>
      <c r="BA2240" s="2"/>
      <c r="BB2240" s="2"/>
    </row>
    <row r="2241" ht="204.75" customHeight="1">
      <c r="A2241" s="1">
        <v>872.0</v>
      </c>
      <c r="B2241" s="2" t="s">
        <v>7016</v>
      </c>
      <c r="C2241" s="2">
        <f>IFERROR(__xludf.DUMMYFUNCTION("split(B2241,""_"")"),1801.0)</f>
        <v>1801</v>
      </c>
      <c r="D2241" s="2" t="str">
        <f>IFERROR(__xludf.DUMMYFUNCTION("""COMPUTED_VALUE"""),"EX")</f>
        <v>EX</v>
      </c>
      <c r="E2241" s="2" t="str">
        <f>IFERROR(__xludf.DUMMYFUNCTION("""COMPUTED_VALUE"""),"木21")</f>
        <v>木21</v>
      </c>
      <c r="F2241" s="2" t="s">
        <v>7017</v>
      </c>
      <c r="G2241" s="2" t="s">
        <v>7030</v>
      </c>
      <c r="H2241" s="1">
        <v>13.0</v>
      </c>
      <c r="I2241" s="1" t="s">
        <v>2884</v>
      </c>
      <c r="J2241" s="1" t="s">
        <v>11</v>
      </c>
      <c r="K2241" s="2" t="s">
        <v>7031</v>
      </c>
      <c r="L2241" s="2" t="s">
        <v>7032</v>
      </c>
      <c r="M2241" s="2" t="str">
        <f>IFERROR(__xludf.DUMMYFUNCTION("split(split(K2241,""【"",false),""公式LINE"",false)"),"章(木村拓哉)の過去の秘密を知る元サッカー選手・河野純也(満島真之介)が、依頼人として登場。過去に因縁のある純也が、何故いまさら章に依頼を…復讐か、罠か!?6年前、章と純也の間には一体何があったのか…。そして、章はなぜ一度ボディーガードを辞めたのか…。章は悩んだ末、「この任務が終わったら、みんなにすべてを話す」と身辺警護課のメンバーに約束し、依頼を引き受けるが…?衝撃の過去がついに明らかになる!島崎章…木村拓哉  落合義明…江口洋介  高梨雅也…斎藤工  菅沼まゆ…菜々緒  沢口正太郎…間宮祥太朗  立原"&amp;"愛子…石田ゆり子  村田五郎…上川隆也  ・  河野純也…満島真之介  氷川修…宇梶剛士  清田春孝…阿部進之介  島崎瞬…田中奏生井上由美子常廣丈太(テレビ朝日)高見優")</f>
        <v>章(木村拓哉)の過去の秘密を知る元サッカー選手・河野純也(満島真之介)が、依頼人として登場。過去に因縁のある純也が、何故いまさら章に依頼を…復讐か、罠か!?6年前、章と純也の間には一体何があったのか…。そして、章はなぜ一度ボディーガードを辞めたのか…。章は悩んだ末、「この任務が終わったら、みんなにすべてを話す」と身辺警護課のメンバーに約束し、依頼を引き受けるが…?衝撃の過去がついに明らかになる!島崎章…木村拓哉  落合義明…江口洋介  高梨雅也…斎藤工  菅沼まゆ…菜々緒  沢口正太郎…間宮祥太朗  立原愛子…石田ゆり子  村田五郎…上川隆也  ・  河野純也…満島真之介  氷川修…宇梶剛士  清田春孝…阿部進之介  島崎瞬…田中奏生井上由美子常廣丈太(テレビ朝日)高見優</v>
      </c>
      <c r="N2241" s="2"/>
      <c r="O2241" s="2"/>
      <c r="P2241" s="2"/>
      <c r="Q2241" s="2"/>
      <c r="R2241" s="2"/>
      <c r="S2241" s="2"/>
      <c r="T2241" s="2"/>
      <c r="U2241" s="2"/>
      <c r="V2241" s="2"/>
      <c r="W2241" s="2"/>
      <c r="X2241" s="2"/>
      <c r="Y2241" s="2"/>
      <c r="Z2241" s="2"/>
      <c r="AA2241" s="2"/>
      <c r="AB2241" s="2"/>
      <c r="AC2241" s="2"/>
      <c r="AD2241" s="2"/>
      <c r="AE2241" s="2"/>
      <c r="AF2241" s="2"/>
      <c r="AG2241" s="2"/>
      <c r="AH2241" s="2"/>
      <c r="AI2241" s="2"/>
      <c r="AJ2241" s="2"/>
      <c r="AK2241" s="2"/>
      <c r="AL2241" s="2"/>
      <c r="AM2241" s="2"/>
      <c r="AN2241" s="2"/>
      <c r="AO2241" s="2"/>
      <c r="AP2241" s="2"/>
      <c r="AQ2241" s="2"/>
      <c r="AR2241" s="2"/>
      <c r="AS2241" s="2"/>
      <c r="AT2241" s="2"/>
      <c r="AU2241" s="2"/>
      <c r="AV2241" s="2"/>
      <c r="AW2241" s="2"/>
      <c r="AX2241" s="2"/>
      <c r="AY2241" s="2"/>
      <c r="AZ2241" s="2"/>
      <c r="BA2241" s="2"/>
      <c r="BB2241" s="2"/>
    </row>
    <row r="2242" ht="204.75" customHeight="1">
      <c r="A2242" s="1">
        <v>873.0</v>
      </c>
      <c r="B2242" s="2" t="s">
        <v>7016</v>
      </c>
      <c r="C2242" s="2">
        <f>IFERROR(__xludf.DUMMYFUNCTION("split(B2242,""_"")"),1801.0)</f>
        <v>1801</v>
      </c>
      <c r="D2242" s="2" t="str">
        <f>IFERROR(__xludf.DUMMYFUNCTION("""COMPUTED_VALUE"""),"EX")</f>
        <v>EX</v>
      </c>
      <c r="E2242" s="2" t="str">
        <f>IFERROR(__xludf.DUMMYFUNCTION("""COMPUTED_VALUE"""),"木21")</f>
        <v>木21</v>
      </c>
      <c r="F2242" s="2" t="s">
        <v>7017</v>
      </c>
      <c r="G2242" s="2" t="s">
        <v>7033</v>
      </c>
      <c r="H2242" s="1">
        <v>15.0</v>
      </c>
      <c r="I2242" s="1" t="s">
        <v>2888</v>
      </c>
      <c r="J2242" s="1" t="s">
        <v>11</v>
      </c>
      <c r="K2242" s="2" t="s">
        <v>7034</v>
      </c>
      <c r="L2242" s="2" t="s">
        <v>7035</v>
      </c>
      <c r="M2242" s="2" t="str">
        <f>IFERROR(__xludf.DUMMYFUNCTION("split(split(K2242,""【"",false),""公式LINE"",false)"),"今回の警護対象者は、元内閣総理大臣の鮫島匡一(橋爪功)。総理経験者には警視庁SPがつくのが通常だが、警護期間終了を言い渡される。SPが外れるタイミングを狙ってか、自宅に無言電話がかかるようになり…。不安に感じた鮫島は、章(木村拓哉)ら民間ボディーガードに警護を依頼。一体、誰が鮫島を狙っているのか?さらに、孫・彩矢(豊嶋花)にも怪しい影が忍び寄り…!?島崎章…木村拓哉  落合義明…江口洋介  高梨雅也…斎藤工  菅沼まゆ…菜々緒  沢口正太郎…間宮祥太朗  立原愛子…石田ゆり子  村田五郎…上川隆也  ・ "&amp;" 氷川修…宇梶剛士  島崎瞬…田中奏生  ")</f>
        <v>今回の警護対象者は、元内閣総理大臣の鮫島匡一(橋爪功)。総理経験者には警視庁SPがつくのが通常だが、警護期間終了を言い渡される。SPが外れるタイミングを狙ってか、自宅に無言電話がかかるようになり…。不安に感じた鮫島は、章(木村拓哉)ら民間ボディーガードに警護を依頼。一体、誰が鮫島を狙っているのか?さらに、孫・彩矢(豊嶋花)にも怪しい影が忍び寄り…!?島崎章…木村拓哉  落合義明…江口洋介  高梨雅也…斎藤工  菅沼まゆ…菜々緒  沢口正太郎…間宮祥太朗  立原愛子…石田ゆり子  村田五郎…上川隆也  ・  氷川修…宇梶剛士  島崎瞬…田中奏生  </v>
      </c>
      <c r="N2242" s="2"/>
      <c r="O2242" s="2"/>
      <c r="P2242" s="2"/>
      <c r="Q2242" s="2"/>
      <c r="R2242" s="2"/>
      <c r="S2242" s="2"/>
      <c r="T2242" s="2"/>
      <c r="U2242" s="2"/>
      <c r="V2242" s="2"/>
      <c r="W2242" s="2"/>
      <c r="X2242" s="2"/>
      <c r="Y2242" s="2"/>
      <c r="Z2242" s="2"/>
      <c r="AA2242" s="2"/>
      <c r="AB2242" s="2"/>
      <c r="AC2242" s="2"/>
      <c r="AD2242" s="2"/>
      <c r="AE2242" s="2"/>
      <c r="AF2242" s="2"/>
      <c r="AG2242" s="2"/>
      <c r="AH2242" s="2"/>
      <c r="AI2242" s="2"/>
      <c r="AJ2242" s="2"/>
      <c r="AK2242" s="2"/>
      <c r="AL2242" s="2"/>
      <c r="AM2242" s="2"/>
      <c r="AN2242" s="2"/>
      <c r="AO2242" s="2"/>
      <c r="AP2242" s="2"/>
      <c r="AQ2242" s="2"/>
      <c r="AR2242" s="2"/>
      <c r="AS2242" s="2"/>
      <c r="AT2242" s="2"/>
      <c r="AU2242" s="2"/>
      <c r="AV2242" s="2"/>
      <c r="AW2242" s="2"/>
      <c r="AX2242" s="2"/>
      <c r="AY2242" s="2"/>
      <c r="AZ2242" s="2"/>
      <c r="BA2242" s="2"/>
      <c r="BB2242" s="2"/>
    </row>
    <row r="2243" ht="204.75" customHeight="1">
      <c r="A2243" s="1">
        <v>874.0</v>
      </c>
      <c r="B2243" s="2" t="s">
        <v>7016</v>
      </c>
      <c r="C2243" s="2">
        <f>IFERROR(__xludf.DUMMYFUNCTION("split(B2243,""_"")"),1801.0)</f>
        <v>1801</v>
      </c>
      <c r="D2243" s="2" t="str">
        <f>IFERROR(__xludf.DUMMYFUNCTION("""COMPUTED_VALUE"""),"EX")</f>
        <v>EX</v>
      </c>
      <c r="E2243" s="2" t="str">
        <f>IFERROR(__xludf.DUMMYFUNCTION("""COMPUTED_VALUE"""),"木21")</f>
        <v>木21</v>
      </c>
      <c r="F2243" s="2" t="s">
        <v>7017</v>
      </c>
      <c r="G2243" s="2" t="s">
        <v>7036</v>
      </c>
      <c r="H2243" s="1">
        <v>18.0</v>
      </c>
      <c r="I2243" s="1" t="s">
        <v>2892</v>
      </c>
      <c r="J2243" s="1" t="s">
        <v>4</v>
      </c>
      <c r="K2243" s="2" t="s">
        <v>7037</v>
      </c>
      <c r="L2243" s="2" t="s">
        <v>7038</v>
      </c>
      <c r="M2243" s="2" t="str">
        <f>IFERROR(__xludf.DUMMYFUNCTION("split(split(K2243,""【"",false),""公式LINE"",false)"),"6年前に別れた元妻・小田切仁美(山口智子)から「誰かに狙われている…わたしを護って」と警護を依頼された章(木村拓哉)。あくまで“ボディーガード""として接する章だったが、時折り“元夫婦""を感じさせる瞬間も…。そんな中、仁美を付け狙っていた人物の正体が判明。警護の延長で、レストランで食事をすることになった二人…だが、突然の銃声に店内は騒然!!危機を乗り越えようとする元夫婦が辿りついた衝撃の別れ…!?島崎章…木村拓哉  落合義明…江口洋介  高梨雅也…斎藤工  菅沼まゆ…菜々緒  沢口正太郎…間宮祥太朗  "&amp;"立原愛子…石田ゆり子  村田五郎…上川隆也  ・  小田切仁美…山口智子  清田春孝…阿部進之介  島崎瞬…田中奏生井上由美子常廣丈太(テレビ朝日)高見優")</f>
        <v>6年前に別れた元妻・小田切仁美(山口智子)から「誰かに狙われている…わたしを護って」と警護を依頼された章(木村拓哉)。あくまで“ボディーガード"として接する章だったが、時折り“元夫婦"を感じさせる瞬間も…。そんな中、仁美を付け狙っていた人物の正体が判明。警護の延長で、レストランで食事をすることになった二人…だが、突然の銃声に店内は騒然!!危機を乗り越えようとする元夫婦が辿りついた衝撃の別れ…!?島崎章…木村拓哉  落合義明…江口洋介  高梨雅也…斎藤工  菅沼まゆ…菜々緒  沢口正太郎…間宮祥太朗  立原愛子…石田ゆり子  村田五郎…上川隆也  ・  小田切仁美…山口智子  清田春孝…阿部進之介  島崎瞬…田中奏生井上由美子常廣丈太(テレビ朝日)高見優</v>
      </c>
      <c r="N2243" s="2"/>
      <c r="O2243" s="2"/>
      <c r="P2243" s="2"/>
      <c r="Q2243" s="2"/>
      <c r="R2243" s="2"/>
      <c r="S2243" s="2"/>
      <c r="T2243" s="2"/>
      <c r="U2243" s="2"/>
      <c r="V2243" s="2"/>
      <c r="W2243" s="2"/>
      <c r="X2243" s="2"/>
      <c r="Y2243" s="2"/>
      <c r="Z2243" s="2"/>
      <c r="AA2243" s="2"/>
      <c r="AB2243" s="2"/>
      <c r="AC2243" s="2"/>
      <c r="AD2243" s="2"/>
      <c r="AE2243" s="2"/>
      <c r="AF2243" s="2"/>
      <c r="AG2243" s="2"/>
      <c r="AH2243" s="2"/>
      <c r="AI2243" s="2"/>
      <c r="AJ2243" s="2"/>
      <c r="AK2243" s="2"/>
      <c r="AL2243" s="2"/>
      <c r="AM2243" s="2"/>
      <c r="AN2243" s="2"/>
      <c r="AO2243" s="2"/>
      <c r="AP2243" s="2"/>
      <c r="AQ2243" s="2"/>
      <c r="AR2243" s="2"/>
      <c r="AS2243" s="2"/>
      <c r="AT2243" s="2"/>
      <c r="AU2243" s="2"/>
      <c r="AV2243" s="2"/>
      <c r="AW2243" s="2"/>
      <c r="AX2243" s="2"/>
      <c r="AY2243" s="2"/>
      <c r="AZ2243" s="2"/>
      <c r="BA2243" s="2"/>
      <c r="BB2243" s="2"/>
    </row>
    <row r="2244" ht="204.75" customHeight="1">
      <c r="A2244" s="1">
        <v>875.0</v>
      </c>
      <c r="B2244" s="2" t="s">
        <v>7016</v>
      </c>
      <c r="C2244" s="2">
        <f>IFERROR(__xludf.DUMMYFUNCTION("split(B2244,""_"")"),1801.0)</f>
        <v>1801</v>
      </c>
      <c r="D2244" s="2" t="str">
        <f>IFERROR(__xludf.DUMMYFUNCTION("""COMPUTED_VALUE"""),"EX")</f>
        <v>EX</v>
      </c>
      <c r="E2244" s="2" t="str">
        <f>IFERROR(__xludf.DUMMYFUNCTION("""COMPUTED_VALUE"""),"木21")</f>
        <v>木21</v>
      </c>
      <c r="F2244" s="2" t="s">
        <v>7017</v>
      </c>
      <c r="G2244" s="2" t="s">
        <v>7039</v>
      </c>
      <c r="H2244" s="1">
        <v>21.0</v>
      </c>
      <c r="I2244" s="1" t="s">
        <v>2896</v>
      </c>
      <c r="J2244" s="1" t="s">
        <v>4</v>
      </c>
      <c r="K2244" s="2" t="s">
        <v>7040</v>
      </c>
      <c r="L2244" s="2" t="s">
        <v>7041</v>
      </c>
      <c r="M2244" s="2" t="str">
        <f>IFERROR(__xludf.DUMMYFUNCTION("split(split(K2244,""【"",false),""公式LINE"",false)"),"身辺警護課・課長の村田(上川隆也)が、政治がらみの発砲事件に巻き込まれ撃たれた!だが、世間は「出しゃばった民間ボディーガードの無謀な行動で撃たれた」と否定的な目を向け、現場にいた厚労大臣の愛子(石田ゆり子)や警視庁SP・落合(江口洋介)らも、真実を公表しようとはしない。事件の真相が隠蔽され、章(木村拓哉)たち身辺警護課メンバーは、村田の汚名を返上するため奔走するが…?撃たれた仲間の名誉を護り抜け!島崎章…木村拓哉  落合義明…江口洋介  高梨雅也…斎藤工  菅沼まゆ…菜々緒  沢口正太郎…間宮祥太朗  立"&amp;"原愛子…石田ゆり子  村田五郎…上川隆也  ・  今関重信…永島敏行  氷川修…宇梶剛士  清田春孝…阿部進之介  島崎瞬…田中奏生  ")</f>
        <v>身辺警護課・課長の村田(上川隆也)が、政治がらみの発砲事件に巻き込まれ撃たれた!だが、世間は「出しゃばった民間ボディーガードの無謀な行動で撃たれた」と否定的な目を向け、現場にいた厚労大臣の愛子(石田ゆり子)や警視庁SP・落合(江口洋介)らも、真実を公表しようとはしない。事件の真相が隠蔽され、章(木村拓哉)たち身辺警護課メンバーは、村田の汚名を返上するため奔走するが…?撃たれた仲間の名誉を護り抜け!島崎章…木村拓哉  落合義明…江口洋介  高梨雅也…斎藤工  菅沼まゆ…菜々緒  沢口正太郎…間宮祥太朗  立原愛子…石田ゆり子  村田五郎…上川隆也  ・  今関重信…永島敏行  氷川修…宇梶剛士  清田春孝…阿部進之介  島崎瞬…田中奏生  </v>
      </c>
      <c r="N2244" s="2"/>
      <c r="O2244" s="2"/>
      <c r="P2244" s="2"/>
      <c r="Q2244" s="2"/>
      <c r="R2244" s="2"/>
      <c r="S2244" s="2"/>
      <c r="T2244" s="2"/>
      <c r="U2244" s="2"/>
      <c r="V2244" s="2"/>
      <c r="W2244" s="2"/>
      <c r="X2244" s="2"/>
      <c r="Y2244" s="2"/>
      <c r="Z2244" s="2"/>
      <c r="AA2244" s="2"/>
      <c r="AB2244" s="2"/>
      <c r="AC2244" s="2"/>
      <c r="AD2244" s="2"/>
      <c r="AE2244" s="2"/>
      <c r="AF2244" s="2"/>
      <c r="AG2244" s="2"/>
      <c r="AH2244" s="2"/>
      <c r="AI2244" s="2"/>
      <c r="AJ2244" s="2"/>
      <c r="AK2244" s="2"/>
      <c r="AL2244" s="2"/>
      <c r="AM2244" s="2"/>
      <c r="AN2244" s="2"/>
      <c r="AO2244" s="2"/>
      <c r="AP2244" s="2"/>
      <c r="AQ2244" s="2"/>
      <c r="AR2244" s="2"/>
      <c r="AS2244" s="2"/>
      <c r="AT2244" s="2"/>
      <c r="AU2244" s="2"/>
      <c r="AV2244" s="2"/>
      <c r="AW2244" s="2"/>
      <c r="AX2244" s="2"/>
      <c r="AY2244" s="2"/>
      <c r="AZ2244" s="2"/>
      <c r="BA2244" s="2"/>
      <c r="BB2244" s="2"/>
    </row>
    <row r="2245" ht="204.75" customHeight="1">
      <c r="A2245" s="1">
        <v>876.0</v>
      </c>
      <c r="B2245" s="2" t="s">
        <v>7016</v>
      </c>
      <c r="C2245" s="2">
        <f>IFERROR(__xludf.DUMMYFUNCTION("split(B2245,""_"")"),1801.0)</f>
        <v>1801</v>
      </c>
      <c r="D2245" s="2" t="str">
        <f>IFERROR(__xludf.DUMMYFUNCTION("""COMPUTED_VALUE"""),"EX")</f>
        <v>EX</v>
      </c>
      <c r="E2245" s="2" t="str">
        <f>IFERROR(__xludf.DUMMYFUNCTION("""COMPUTED_VALUE"""),"木21")</f>
        <v>木21</v>
      </c>
      <c r="F2245" s="2" t="s">
        <v>7017</v>
      </c>
      <c r="G2245" s="2" t="s">
        <v>7042</v>
      </c>
      <c r="H2245" s="1">
        <v>22.0</v>
      </c>
      <c r="I2245" s="1" t="s">
        <v>2900</v>
      </c>
      <c r="J2245" s="1" t="s">
        <v>4</v>
      </c>
      <c r="K2245" s="2" t="s">
        <v>7043</v>
      </c>
      <c r="L2245" s="2" t="s">
        <v>7044</v>
      </c>
      <c r="M2245" s="2" t="str">
        <f>IFERROR(__xludf.DUMMYFUNCTION("split(split(K2245,""【"",false),""公式LINE"",false)"),"ついに最終回!殉職した村田課長(上川隆也)に着せられた汚名を返上しようと誓う章(木村拓哉)たちの前に、厚労大臣の職を辞した愛子(石田ゆり子)が「私が真実を話します」と名乗り出てくる。真相を語る場所まで愛子を警護することを決めた章たちだったが…ボディーガードまでも脅威にさらされピンチに陥る…。落合(江口洋介)ら警視庁SPと、民間ボディーガードの信念を賭けた最終対決が始まる!!島崎章…木村拓哉  落合義明…江口洋介  高梨雅也…斎藤工  菅沼まゆ…菜々緒  沢口正太郎…間宮祥太朗  立原愛子…石田ゆり子  村"&amp;"田五郎…上川隆也  ・  今関重信…永島敏行  氷川修…宇梶剛士  清田春孝…阿部進之介  島崎瞬…田中奏生  ")</f>
        <v>ついに最終回!殉職した村田課長(上川隆也)に着せられた汚名を返上しようと誓う章(木村拓哉)たちの前に、厚労大臣の職を辞した愛子(石田ゆり子)が「私が真実を話します」と名乗り出てくる。真相を語る場所まで愛子を警護することを決めた章たちだったが…ボディーガードまでも脅威にさらされピンチに陥る…。落合(江口洋介)ら警視庁SPと、民間ボディーガードの信念を賭けた最終対決が始まる!!島崎章…木村拓哉  落合義明…江口洋介  高梨雅也…斎藤工  菅沼まゆ…菜々緒  沢口正太郎…間宮祥太朗  立原愛子…石田ゆり子  村田五郎…上川隆也  ・  今関重信…永島敏行  氷川修…宇梶剛士  清田春孝…阿部進之介  島崎瞬…田中奏生  </v>
      </c>
      <c r="N2245" s="2"/>
      <c r="O2245" s="2"/>
      <c r="P2245" s="2"/>
      <c r="Q2245" s="2"/>
      <c r="R2245" s="2"/>
      <c r="S2245" s="2"/>
      <c r="T2245" s="2"/>
      <c r="U2245" s="2"/>
      <c r="V2245" s="2"/>
      <c r="W2245" s="2"/>
      <c r="X2245" s="2"/>
      <c r="Y2245" s="2"/>
      <c r="Z2245" s="2"/>
      <c r="AA2245" s="2"/>
      <c r="AB2245" s="2"/>
      <c r="AC2245" s="2"/>
      <c r="AD2245" s="2"/>
      <c r="AE2245" s="2"/>
      <c r="AF2245" s="2"/>
      <c r="AG2245" s="2"/>
      <c r="AH2245" s="2"/>
      <c r="AI2245" s="2"/>
      <c r="AJ2245" s="2"/>
      <c r="AK2245" s="2"/>
      <c r="AL2245" s="2"/>
      <c r="AM2245" s="2"/>
      <c r="AN2245" s="2"/>
      <c r="AO2245" s="2"/>
      <c r="AP2245" s="2"/>
      <c r="AQ2245" s="2"/>
      <c r="AR2245" s="2"/>
      <c r="AS2245" s="2"/>
      <c r="AT2245" s="2"/>
      <c r="AU2245" s="2"/>
      <c r="AV2245" s="2"/>
      <c r="AW2245" s="2"/>
      <c r="AX2245" s="2"/>
      <c r="AY2245" s="2"/>
      <c r="AZ2245" s="2"/>
      <c r="BA2245" s="2"/>
      <c r="BB2245" s="2"/>
    </row>
    <row r="2246" ht="204.75" customHeight="1">
      <c r="A2246" s="1">
        <v>905.0</v>
      </c>
      <c r="B2246" s="2" t="s">
        <v>7045</v>
      </c>
      <c r="C2246" s="2">
        <f>IFERROR(__xludf.DUMMYFUNCTION("split(B2246,""_"")"),1801.0)</f>
        <v>1801</v>
      </c>
      <c r="D2246" s="2" t="str">
        <f>IFERROR(__xludf.DUMMYFUNCTION("""COMPUTED_VALUE"""),"EX")</f>
        <v>EX</v>
      </c>
      <c r="E2246" s="2" t="str">
        <f>IFERROR(__xludf.DUMMYFUNCTION("""COMPUTED_VALUE"""),"金23")</f>
        <v>金23</v>
      </c>
      <c r="F2246" s="2" t="s">
        <v>7046</v>
      </c>
      <c r="G2246" s="2" t="s">
        <v>7047</v>
      </c>
      <c r="H2246" s="1">
        <v>1.0</v>
      </c>
      <c r="I2246" s="1" t="s">
        <v>2868</v>
      </c>
      <c r="J2246" s="1" t="s">
        <v>1435</v>
      </c>
      <c r="K2246" s="2" t="s">
        <v>7048</v>
      </c>
      <c r="L2246" s="2" t="s">
        <v>7049</v>
      </c>
      <c r="M2246" s="2" t="str">
        <f>IFERROR(__xludf.DUMMYFUNCTION("split(split(K2246,""【"",false),""公式LINE"",false)"),"自宅でネイルサロンを経営する高森杏寿(仲里依紗)は、単身赴任中の夫・純平(塚本高史)と娘に支えられ、ごく普通の幸せな家庭を築いていた。しかし、ある日突然、どん底へと突き落とされる…。アザだらけの顔をした純平と共に見知らぬ男・井筒渡(中村倫也)が自宅に現れ、告げられたのは“愛する夫が浮気した""という信じがたい事実だったー。さらに驚愕の出来事が発覚し…!?  渡辺千穂脚本で送る“サレ妻""恋愛サスペンス!!仲里依紗、塚本高史、中村倫也、松本まりか、山田裕貴、飯島寛騎、岡田龍太郎、三津谷葉子、壇蜜、平岡祐太こ"&amp;"やまゆかり、草壁エリザ『ホリデイラブ～夫婦間恋愛～』(DeNA「マンガボックス」連載)渡辺千穂松田礼人(ドリマックス・テレビジョン)")</f>
        <v>自宅でネイルサロンを経営する高森杏寿(仲里依紗)は、単身赴任中の夫・純平(塚本高史)と娘に支えられ、ごく普通の幸せな家庭を築いていた。しかし、ある日突然、どん底へと突き落とされる…。アザだらけの顔をした純平と共に見知らぬ男・井筒渡(中村倫也)が自宅に現れ、告げられたのは“愛する夫が浮気した"という信じがたい事実だったー。さらに驚愕の出来事が発覚し…!?  渡辺千穂脚本で送る“サレ妻"恋愛サスペンス!!仲里依紗、塚本高史、中村倫也、松本まりか、山田裕貴、飯島寛騎、岡田龍太郎、三津谷葉子、壇蜜、平岡祐太こやまゆかり、草壁エリザ『ホリデイラブ～夫婦間恋愛～』(DeNA「マンガボックス」連載)渡辺千穂松田礼人(ドリマックス・テレビジョン)</v>
      </c>
      <c r="N2246" s="2"/>
      <c r="O2246" s="2"/>
      <c r="P2246" s="2"/>
      <c r="Q2246" s="2"/>
      <c r="R2246" s="2"/>
      <c r="S2246" s="2"/>
      <c r="T2246" s="2"/>
      <c r="U2246" s="2"/>
      <c r="V2246" s="2"/>
      <c r="W2246" s="2"/>
      <c r="X2246" s="2"/>
      <c r="Y2246" s="2"/>
      <c r="Z2246" s="2"/>
      <c r="AA2246" s="2"/>
      <c r="AB2246" s="2"/>
      <c r="AC2246" s="2"/>
      <c r="AD2246" s="2"/>
      <c r="AE2246" s="2"/>
      <c r="AF2246" s="2"/>
      <c r="AG2246" s="2"/>
      <c r="AH2246" s="2"/>
      <c r="AI2246" s="2"/>
      <c r="AJ2246" s="2"/>
      <c r="AK2246" s="2"/>
      <c r="AL2246" s="2"/>
      <c r="AM2246" s="2"/>
      <c r="AN2246" s="2"/>
      <c r="AO2246" s="2"/>
      <c r="AP2246" s="2"/>
      <c r="AQ2246" s="2"/>
      <c r="AR2246" s="2"/>
      <c r="AS2246" s="2"/>
      <c r="AT2246" s="2"/>
      <c r="AU2246" s="2"/>
      <c r="AV2246" s="2"/>
      <c r="AW2246" s="2"/>
      <c r="AX2246" s="2"/>
      <c r="AY2246" s="2"/>
      <c r="AZ2246" s="2"/>
      <c r="BA2246" s="2"/>
      <c r="BB2246" s="2"/>
    </row>
    <row r="2247" ht="204.75" customHeight="1">
      <c r="A2247" s="1">
        <v>906.0</v>
      </c>
      <c r="B2247" s="2" t="s">
        <v>7045</v>
      </c>
      <c r="C2247" s="2">
        <f>IFERROR(__xludf.DUMMYFUNCTION("split(B2247,""_"")"),1801.0)</f>
        <v>1801</v>
      </c>
      <c r="D2247" s="2" t="str">
        <f>IFERROR(__xludf.DUMMYFUNCTION("""COMPUTED_VALUE"""),"EX")</f>
        <v>EX</v>
      </c>
      <c r="E2247" s="2" t="str">
        <f>IFERROR(__xludf.DUMMYFUNCTION("""COMPUTED_VALUE"""),"金23")</f>
        <v>金23</v>
      </c>
      <c r="F2247" s="2" t="s">
        <v>7046</v>
      </c>
      <c r="G2247" s="2" t="s">
        <v>7050</v>
      </c>
      <c r="H2247" s="1">
        <v>2.0</v>
      </c>
      <c r="I2247" s="1" t="s">
        <v>2872</v>
      </c>
      <c r="J2247" s="1" t="s">
        <v>1435</v>
      </c>
      <c r="K2247" s="2" t="s">
        <v>7051</v>
      </c>
      <c r="L2247" s="2" t="s">
        <v>7052</v>
      </c>
      <c r="M2247" s="2" t="str">
        <f>IFERROR(__xludf.DUMMYFUNCTION("split(split(K2247,""【"",false),""公式LINE"",false)"),"「あなたの夫、浮気しているんです。」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サレ妻地獄へ、ようこそ。""仲里依紗、塚本高史、中村倫也、松本まりか、山田裕貴、飯島寛騎、岡田龍太郎、三津谷葉子、壇蜜、平岡祐太こや"&amp;"まゆかり、草壁エリザ『ホリデイラブ～夫婦間恋愛～』(DeNA「マンガボックス」連載)渡辺千穂松田礼人(ドリマックス・テレビジョン)")</f>
        <v>「あなたの夫、浮気しているんです。」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サレ妻地獄へ、ようこそ。"仲里依紗、塚本高史、中村倫也、松本まりか、山田裕貴、飯島寛騎、岡田龍太郎、三津谷葉子、壇蜜、平岡祐太こやまゆかり、草壁エリザ『ホリデイラブ～夫婦間恋愛～』(DeNA「マンガボックス」連載)渡辺千穂松田礼人(ドリマックス・テレビジョン)</v>
      </c>
      <c r="N2247" s="2"/>
      <c r="O2247" s="2"/>
      <c r="P2247" s="2"/>
      <c r="Q2247" s="2"/>
      <c r="R2247" s="2"/>
      <c r="S2247" s="2"/>
      <c r="T2247" s="2"/>
      <c r="U2247" s="2"/>
      <c r="V2247" s="2"/>
      <c r="W2247" s="2"/>
      <c r="X2247" s="2"/>
      <c r="Y2247" s="2"/>
      <c r="Z2247" s="2"/>
      <c r="AA2247" s="2"/>
      <c r="AB2247" s="2"/>
      <c r="AC2247" s="2"/>
      <c r="AD2247" s="2"/>
      <c r="AE2247" s="2"/>
      <c r="AF2247" s="2"/>
      <c r="AG2247" s="2"/>
      <c r="AH2247" s="2"/>
      <c r="AI2247" s="2"/>
      <c r="AJ2247" s="2"/>
      <c r="AK2247" s="2"/>
      <c r="AL2247" s="2"/>
      <c r="AM2247" s="2"/>
      <c r="AN2247" s="2"/>
      <c r="AO2247" s="2"/>
      <c r="AP2247" s="2"/>
      <c r="AQ2247" s="2"/>
      <c r="AR2247" s="2"/>
      <c r="AS2247" s="2"/>
      <c r="AT2247" s="2"/>
      <c r="AU2247" s="2"/>
      <c r="AV2247" s="2"/>
      <c r="AW2247" s="2"/>
      <c r="AX2247" s="2"/>
      <c r="AY2247" s="2"/>
      <c r="AZ2247" s="2"/>
      <c r="BA2247" s="2"/>
      <c r="BB2247" s="2"/>
    </row>
    <row r="2248" ht="204.75" customHeight="1">
      <c r="A2248" s="1">
        <v>907.0</v>
      </c>
      <c r="B2248" s="2" t="s">
        <v>7045</v>
      </c>
      <c r="C2248" s="2">
        <f>IFERROR(__xludf.DUMMYFUNCTION("split(B2248,""_"")"),1801.0)</f>
        <v>1801</v>
      </c>
      <c r="D2248" s="2" t="str">
        <f>IFERROR(__xludf.DUMMYFUNCTION("""COMPUTED_VALUE"""),"EX")</f>
        <v>EX</v>
      </c>
      <c r="E2248" s="2" t="str">
        <f>IFERROR(__xludf.DUMMYFUNCTION("""COMPUTED_VALUE"""),"金23")</f>
        <v>金23</v>
      </c>
      <c r="F2248" s="2" t="s">
        <v>7046</v>
      </c>
      <c r="G2248" s="2" t="s">
        <v>7053</v>
      </c>
      <c r="H2248" s="1">
        <v>3.0</v>
      </c>
      <c r="I2248" s="1" t="s">
        <v>2876</v>
      </c>
      <c r="J2248" s="1" t="s">
        <v>1435</v>
      </c>
      <c r="K2248" s="2" t="s">
        <v>7054</v>
      </c>
      <c r="L2248" s="2" t="s">
        <v>7055</v>
      </c>
      <c r="M2248" s="2" t="str">
        <f>IFERROR(__xludf.DUMMYFUNCTION("split(split(K2248,""【"",false),""公式LINE"",false)"),"「あなたの夫、浮気しているんです。」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三津谷葉子、壇蜜、平岡祐太こやまゆかり、草壁エリザ『ホリデイ"&amp;"ラブ～夫婦間恋愛～』(DeNA「マンガボックス」連載)渡辺千穂山本大輔(アズバーズ)")</f>
        <v>「あなたの夫、浮気しているんです。」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三津谷葉子、壇蜜、平岡祐太こやまゆかり、草壁エリザ『ホリデイラブ～夫婦間恋愛～』(DeNA「マンガボックス」連載)渡辺千穂山本大輔(アズバーズ)</v>
      </c>
      <c r="N2248" s="2"/>
      <c r="O2248" s="2"/>
      <c r="P2248" s="2"/>
      <c r="Q2248" s="2"/>
      <c r="R2248" s="2"/>
      <c r="S2248" s="2"/>
      <c r="T2248" s="2"/>
      <c r="U2248" s="2"/>
      <c r="V2248" s="2"/>
      <c r="W2248" s="2"/>
      <c r="X2248" s="2"/>
      <c r="Y2248" s="2"/>
      <c r="Z2248" s="2"/>
      <c r="AA2248" s="2"/>
      <c r="AB2248" s="2"/>
      <c r="AC2248" s="2"/>
      <c r="AD2248" s="2"/>
      <c r="AE2248" s="2"/>
      <c r="AF2248" s="2"/>
      <c r="AG2248" s="2"/>
      <c r="AH2248" s="2"/>
      <c r="AI2248" s="2"/>
      <c r="AJ2248" s="2"/>
      <c r="AK2248" s="2"/>
      <c r="AL2248" s="2"/>
      <c r="AM2248" s="2"/>
      <c r="AN2248" s="2"/>
      <c r="AO2248" s="2"/>
      <c r="AP2248" s="2"/>
      <c r="AQ2248" s="2"/>
      <c r="AR2248" s="2"/>
      <c r="AS2248" s="2"/>
      <c r="AT2248" s="2"/>
      <c r="AU2248" s="2"/>
      <c r="AV2248" s="2"/>
      <c r="AW2248" s="2"/>
      <c r="AX2248" s="2"/>
      <c r="AY2248" s="2"/>
      <c r="AZ2248" s="2"/>
      <c r="BA2248" s="2"/>
      <c r="BB2248" s="2"/>
    </row>
    <row r="2249" ht="204.75" customHeight="1">
      <c r="A2249" s="1">
        <v>908.0</v>
      </c>
      <c r="B2249" s="2" t="s">
        <v>7045</v>
      </c>
      <c r="C2249" s="2">
        <f>IFERROR(__xludf.DUMMYFUNCTION("split(B2249,""_"")"),1801.0)</f>
        <v>1801</v>
      </c>
      <c r="D2249" s="2" t="str">
        <f>IFERROR(__xludf.DUMMYFUNCTION("""COMPUTED_VALUE"""),"EX")</f>
        <v>EX</v>
      </c>
      <c r="E2249" s="2" t="str">
        <f>IFERROR(__xludf.DUMMYFUNCTION("""COMPUTED_VALUE"""),"金23")</f>
        <v>金23</v>
      </c>
      <c r="F2249" s="2" t="s">
        <v>7046</v>
      </c>
      <c r="G2249" s="2" t="s">
        <v>7056</v>
      </c>
      <c r="H2249" s="1">
        <v>4.0</v>
      </c>
      <c r="I2249" s="1" t="s">
        <v>2880</v>
      </c>
      <c r="J2249" s="1" t="s">
        <v>1435</v>
      </c>
      <c r="K2249" s="2" t="s">
        <v>7057</v>
      </c>
      <c r="L2249" s="2" t="s">
        <v>7055</v>
      </c>
      <c r="M2249" s="2" t="str">
        <f>IFERROR(__xludf.DUMMYFUNCTION("split(split(K2249,""【"",false),""公式LINE"",false)"),"「あなたの夫、浮気しているんです。」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平岡祐太こやまゆかり、草壁エリザ『ホリデイラブ～夫婦間恋愛～"&amp;"』(DeNA「マンガボックス」連載)渡辺千穂小野浩司(MMJ)")</f>
        <v>「あなたの夫、浮気しているんです。」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平岡祐太こやまゆかり、草壁エリザ『ホリデイラブ～夫婦間恋愛～』(DeNA「マンガボックス」連載)渡辺千穂小野浩司(MMJ)</v>
      </c>
      <c r="N2249" s="2"/>
      <c r="O2249" s="2"/>
      <c r="P2249" s="2"/>
      <c r="Q2249" s="2"/>
      <c r="R2249" s="2"/>
      <c r="S2249" s="2"/>
      <c r="T2249" s="2"/>
      <c r="U2249" s="2"/>
      <c r="V2249" s="2"/>
      <c r="W2249" s="2"/>
      <c r="X2249" s="2"/>
      <c r="Y2249" s="2"/>
      <c r="Z2249" s="2"/>
      <c r="AA2249" s="2"/>
      <c r="AB2249" s="2"/>
      <c r="AC2249" s="2"/>
      <c r="AD2249" s="2"/>
      <c r="AE2249" s="2"/>
      <c r="AF2249" s="2"/>
      <c r="AG2249" s="2"/>
      <c r="AH2249" s="2"/>
      <c r="AI2249" s="2"/>
      <c r="AJ2249" s="2"/>
      <c r="AK2249" s="2"/>
      <c r="AL2249" s="2"/>
      <c r="AM2249" s="2"/>
      <c r="AN2249" s="2"/>
      <c r="AO2249" s="2"/>
      <c r="AP2249" s="2"/>
      <c r="AQ2249" s="2"/>
      <c r="AR2249" s="2"/>
      <c r="AS2249" s="2"/>
      <c r="AT2249" s="2"/>
      <c r="AU2249" s="2"/>
      <c r="AV2249" s="2"/>
      <c r="AW2249" s="2"/>
      <c r="AX2249" s="2"/>
      <c r="AY2249" s="2"/>
      <c r="AZ2249" s="2"/>
      <c r="BA2249" s="2"/>
      <c r="BB2249" s="2"/>
    </row>
    <row r="2250" ht="204.75" customHeight="1">
      <c r="A2250" s="1">
        <v>909.0</v>
      </c>
      <c r="B2250" s="2" t="s">
        <v>7045</v>
      </c>
      <c r="C2250" s="2">
        <f>IFERROR(__xludf.DUMMYFUNCTION("split(B2250,""_"")"),1801.0)</f>
        <v>1801</v>
      </c>
      <c r="D2250" s="2" t="str">
        <f>IFERROR(__xludf.DUMMYFUNCTION("""COMPUTED_VALUE"""),"EX")</f>
        <v>EX</v>
      </c>
      <c r="E2250" s="2" t="str">
        <f>IFERROR(__xludf.DUMMYFUNCTION("""COMPUTED_VALUE"""),"金23")</f>
        <v>金23</v>
      </c>
      <c r="F2250" s="2" t="s">
        <v>7046</v>
      </c>
      <c r="G2250" s="2" t="s">
        <v>7058</v>
      </c>
      <c r="H2250" s="1">
        <v>5.0</v>
      </c>
      <c r="I2250" s="1" t="s">
        <v>2884</v>
      </c>
      <c r="J2250" s="1" t="s">
        <v>1435</v>
      </c>
      <c r="K2250" s="2" t="s">
        <v>7059</v>
      </c>
      <c r="L2250" s="2" t="s">
        <v>7055</v>
      </c>
      <c r="M2250" s="2" t="str">
        <f>IFERROR(__xludf.DUMMYFUNCTION("split(split(K2250,""【"",false),""公式LINE"",false)"),"「あなたの夫、浮気しているんです。」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三津谷葉子、壇蜜、平岡祐太こやまゆかり、草壁エリザ『ホリデイ"&amp;"ラブ～夫婦間恋愛～』(DeNA「マンガボックス」連載)渡辺千穂松田礼人(ドリマックス・テレビジョン)")</f>
        <v>「あなたの夫、浮気しているんです。」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三津谷葉子、壇蜜、平岡祐太こやまゆかり、草壁エリザ『ホリデイラブ～夫婦間恋愛～』(DeNA「マンガボックス」連載)渡辺千穂松田礼人(ドリマックス・テレビジョン)</v>
      </c>
      <c r="N2250" s="2"/>
      <c r="O2250" s="2"/>
      <c r="P2250" s="2"/>
      <c r="Q2250" s="2"/>
      <c r="R2250" s="2"/>
      <c r="S2250" s="2"/>
      <c r="T2250" s="2"/>
      <c r="U2250" s="2"/>
      <c r="V2250" s="2"/>
      <c r="W2250" s="2"/>
      <c r="X2250" s="2"/>
      <c r="Y2250" s="2"/>
      <c r="Z2250" s="2"/>
      <c r="AA2250" s="2"/>
      <c r="AB2250" s="2"/>
      <c r="AC2250" s="2"/>
      <c r="AD2250" s="2"/>
      <c r="AE2250" s="2"/>
      <c r="AF2250" s="2"/>
      <c r="AG2250" s="2"/>
      <c r="AH2250" s="2"/>
      <c r="AI2250" s="2"/>
      <c r="AJ2250" s="2"/>
      <c r="AK2250" s="2"/>
      <c r="AL2250" s="2"/>
      <c r="AM2250" s="2"/>
      <c r="AN2250" s="2"/>
      <c r="AO2250" s="2"/>
      <c r="AP2250" s="2"/>
      <c r="AQ2250" s="2"/>
      <c r="AR2250" s="2"/>
      <c r="AS2250" s="2"/>
      <c r="AT2250" s="2"/>
      <c r="AU2250" s="2"/>
      <c r="AV2250" s="2"/>
      <c r="AW2250" s="2"/>
      <c r="AX2250" s="2"/>
      <c r="AY2250" s="2"/>
      <c r="AZ2250" s="2"/>
      <c r="BA2250" s="2"/>
      <c r="BB2250" s="2"/>
    </row>
    <row r="2251" ht="204.75" customHeight="1">
      <c r="A2251" s="1">
        <v>910.0</v>
      </c>
      <c r="B2251" s="2" t="s">
        <v>7045</v>
      </c>
      <c r="C2251" s="2">
        <f>IFERROR(__xludf.DUMMYFUNCTION("split(B2251,""_"")"),1801.0)</f>
        <v>1801</v>
      </c>
      <c r="D2251" s="2" t="str">
        <f>IFERROR(__xludf.DUMMYFUNCTION("""COMPUTED_VALUE"""),"EX")</f>
        <v>EX</v>
      </c>
      <c r="E2251" s="2" t="str">
        <f>IFERROR(__xludf.DUMMYFUNCTION("""COMPUTED_VALUE"""),"金23")</f>
        <v>金23</v>
      </c>
      <c r="F2251" s="2" t="s">
        <v>7046</v>
      </c>
      <c r="G2251" s="2" t="s">
        <v>7060</v>
      </c>
      <c r="H2251" s="1">
        <v>6.0</v>
      </c>
      <c r="I2251" s="1" t="s">
        <v>2888</v>
      </c>
      <c r="J2251" s="1" t="s">
        <v>1435</v>
      </c>
      <c r="K2251" s="2" t="s">
        <v>7061</v>
      </c>
      <c r="L2251" s="2" t="s">
        <v>7055</v>
      </c>
      <c r="M2251" s="2" t="str">
        <f>IFERROR(__xludf.DUMMYFUNCTION("split(split(K2251,""【"",false),""公式LINE"",false)"),"「あなたの夫、浮気しているんです。」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壇蜜、平岡祐太こやまゆかり、草壁エリザ『ホリデイラブ～夫婦間"&amp;"恋愛～』(DeNA「マンガボックス」連載)渡辺千穂山本大輔(アズバーズ)")</f>
        <v>「あなたの夫、浮気しているんです。」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壇蜜、平岡祐太こやまゆかり、草壁エリザ『ホリデイラブ～夫婦間恋愛～』(DeNA「マンガボックス」連載)渡辺千穂山本大輔(アズバーズ)</v>
      </c>
      <c r="N2251" s="2"/>
      <c r="O2251" s="2"/>
      <c r="P2251" s="2"/>
      <c r="Q2251" s="2"/>
      <c r="R2251" s="2"/>
      <c r="S2251" s="2"/>
      <c r="T2251" s="2"/>
      <c r="U2251" s="2"/>
      <c r="V2251" s="2"/>
      <c r="W2251" s="2"/>
      <c r="X2251" s="2"/>
      <c r="Y2251" s="2"/>
      <c r="Z2251" s="2"/>
      <c r="AA2251" s="2"/>
      <c r="AB2251" s="2"/>
      <c r="AC2251" s="2"/>
      <c r="AD2251" s="2"/>
      <c r="AE2251" s="2"/>
      <c r="AF2251" s="2"/>
      <c r="AG2251" s="2"/>
      <c r="AH2251" s="2"/>
      <c r="AI2251" s="2"/>
      <c r="AJ2251" s="2"/>
      <c r="AK2251" s="2"/>
      <c r="AL2251" s="2"/>
      <c r="AM2251" s="2"/>
      <c r="AN2251" s="2"/>
      <c r="AO2251" s="2"/>
      <c r="AP2251" s="2"/>
      <c r="AQ2251" s="2"/>
      <c r="AR2251" s="2"/>
      <c r="AS2251" s="2"/>
      <c r="AT2251" s="2"/>
      <c r="AU2251" s="2"/>
      <c r="AV2251" s="2"/>
      <c r="AW2251" s="2"/>
      <c r="AX2251" s="2"/>
      <c r="AY2251" s="2"/>
      <c r="AZ2251" s="2"/>
      <c r="BA2251" s="2"/>
      <c r="BB2251" s="2"/>
    </row>
    <row r="2252" ht="204.75" customHeight="1">
      <c r="A2252" s="1">
        <v>911.0</v>
      </c>
      <c r="B2252" s="2" t="s">
        <v>7045</v>
      </c>
      <c r="C2252" s="2">
        <f>IFERROR(__xludf.DUMMYFUNCTION("split(B2252,""_"")"),1801.0)</f>
        <v>1801</v>
      </c>
      <c r="D2252" s="2" t="str">
        <f>IFERROR(__xludf.DUMMYFUNCTION("""COMPUTED_VALUE"""),"EX")</f>
        <v>EX</v>
      </c>
      <c r="E2252" s="2" t="str">
        <f>IFERROR(__xludf.DUMMYFUNCTION("""COMPUTED_VALUE"""),"金23")</f>
        <v>金23</v>
      </c>
      <c r="F2252" s="2" t="s">
        <v>7046</v>
      </c>
      <c r="G2252" s="2" t="s">
        <v>7062</v>
      </c>
      <c r="H2252" s="1">
        <v>7.0</v>
      </c>
      <c r="I2252" s="1" t="s">
        <v>2892</v>
      </c>
      <c r="J2252" s="1" t="s">
        <v>1435</v>
      </c>
      <c r="K2252" s="2" t="s">
        <v>7059</v>
      </c>
      <c r="L2252" s="2" t="s">
        <v>7055</v>
      </c>
      <c r="M2252" s="2" t="str">
        <f>IFERROR(__xludf.DUMMYFUNCTION("split(split(K2252,""【"",false),""公式LINE"",false)"),"「あなたの夫、浮気しているんです。」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三津谷葉子、壇蜜、平岡祐太こやまゆかり、草壁エリザ『ホリデイ"&amp;"ラブ～夫婦間恋愛～』(DeNA「マンガボックス」連載)渡辺千穂松田礼人(ドリマックス・テレビジョン)")</f>
        <v>「あなたの夫、浮気しているんです。」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三津谷葉子、壇蜜、平岡祐太こやまゆかり、草壁エリザ『ホリデイラブ～夫婦間恋愛～』(DeNA「マンガボックス」連載)渡辺千穂松田礼人(ドリマックス・テレビジョン)</v>
      </c>
      <c r="N2252" s="2"/>
      <c r="O2252" s="2"/>
      <c r="P2252" s="2"/>
      <c r="Q2252" s="2"/>
      <c r="R2252" s="2"/>
      <c r="S2252" s="2"/>
      <c r="T2252" s="2"/>
      <c r="U2252" s="2"/>
      <c r="V2252" s="2"/>
      <c r="W2252" s="2"/>
      <c r="X2252" s="2"/>
      <c r="Y2252" s="2"/>
      <c r="Z2252" s="2"/>
      <c r="AA2252" s="2"/>
      <c r="AB2252" s="2"/>
      <c r="AC2252" s="2"/>
      <c r="AD2252" s="2"/>
      <c r="AE2252" s="2"/>
      <c r="AF2252" s="2"/>
      <c r="AG2252" s="2"/>
      <c r="AH2252" s="2"/>
      <c r="AI2252" s="2"/>
      <c r="AJ2252" s="2"/>
      <c r="AK2252" s="2"/>
      <c r="AL2252" s="2"/>
      <c r="AM2252" s="2"/>
      <c r="AN2252" s="2"/>
      <c r="AO2252" s="2"/>
      <c r="AP2252" s="2"/>
      <c r="AQ2252" s="2"/>
      <c r="AR2252" s="2"/>
      <c r="AS2252" s="2"/>
      <c r="AT2252" s="2"/>
      <c r="AU2252" s="2"/>
      <c r="AV2252" s="2"/>
      <c r="AW2252" s="2"/>
      <c r="AX2252" s="2"/>
      <c r="AY2252" s="2"/>
      <c r="AZ2252" s="2"/>
      <c r="BA2252" s="2"/>
      <c r="BB2252" s="2"/>
    </row>
    <row r="2253" ht="204.75" customHeight="1">
      <c r="A2253" s="1">
        <v>912.0</v>
      </c>
      <c r="B2253" s="2" t="s">
        <v>7045</v>
      </c>
      <c r="C2253" s="2">
        <f>IFERROR(__xludf.DUMMYFUNCTION("split(B2253,""_"")"),1801.0)</f>
        <v>1801</v>
      </c>
      <c r="D2253" s="2" t="str">
        <f>IFERROR(__xludf.DUMMYFUNCTION("""COMPUTED_VALUE"""),"EX")</f>
        <v>EX</v>
      </c>
      <c r="E2253" s="2" t="str">
        <f>IFERROR(__xludf.DUMMYFUNCTION("""COMPUTED_VALUE"""),"金23")</f>
        <v>金23</v>
      </c>
      <c r="F2253" s="2" t="s">
        <v>7046</v>
      </c>
      <c r="G2253" s="2" t="s">
        <v>7063</v>
      </c>
      <c r="H2253" s="1">
        <v>8.0</v>
      </c>
      <c r="I2253" s="1" t="s">
        <v>2896</v>
      </c>
      <c r="J2253" s="1" t="s">
        <v>1435</v>
      </c>
      <c r="K2253" s="2" t="s">
        <v>7054</v>
      </c>
      <c r="L2253" s="2" t="s">
        <v>7055</v>
      </c>
      <c r="M2253" s="2" t="str">
        <f>IFERROR(__xludf.DUMMYFUNCTION("split(split(K2253,""【"",false),""公式LINE"",false)"),"「あなたの夫、浮気しているんです。」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三津谷葉子、壇蜜、平岡祐太こやまゆかり、草壁エリザ『ホリデイ"&amp;"ラブ～夫婦間恋愛～』(DeNA「マンガボックス」連載)渡辺千穂山本大輔(アズバーズ)")</f>
        <v>「あなたの夫、浮気しているんです。」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三津谷葉子、壇蜜、平岡祐太こやまゆかり、草壁エリザ『ホリデイラブ～夫婦間恋愛～』(DeNA「マンガボックス」連載)渡辺千穂山本大輔(アズバーズ)</v>
      </c>
      <c r="N2253" s="2"/>
      <c r="O2253" s="2"/>
      <c r="P2253" s="2"/>
      <c r="Q2253" s="2"/>
      <c r="R2253" s="2"/>
      <c r="S2253" s="2"/>
      <c r="T2253" s="2"/>
      <c r="U2253" s="2"/>
      <c r="V2253" s="2"/>
      <c r="W2253" s="2"/>
      <c r="X2253" s="2"/>
      <c r="Y2253" s="2"/>
      <c r="Z2253" s="2"/>
      <c r="AA2253" s="2"/>
      <c r="AB2253" s="2"/>
      <c r="AC2253" s="2"/>
      <c r="AD2253" s="2"/>
      <c r="AE2253" s="2"/>
      <c r="AF2253" s="2"/>
      <c r="AG2253" s="2"/>
      <c r="AH2253" s="2"/>
      <c r="AI2253" s="2"/>
      <c r="AJ2253" s="2"/>
      <c r="AK2253" s="2"/>
      <c r="AL2253" s="2"/>
      <c r="AM2253" s="2"/>
      <c r="AN2253" s="2"/>
      <c r="AO2253" s="2"/>
      <c r="AP2253" s="2"/>
      <c r="AQ2253" s="2"/>
      <c r="AR2253" s="2"/>
      <c r="AS2253" s="2"/>
      <c r="AT2253" s="2"/>
      <c r="AU2253" s="2"/>
      <c r="AV2253" s="2"/>
      <c r="AW2253" s="2"/>
      <c r="AX2253" s="2"/>
      <c r="AY2253" s="2"/>
      <c r="AZ2253" s="2"/>
      <c r="BA2253" s="2"/>
      <c r="BB2253" s="2"/>
    </row>
    <row r="2254" ht="204.75" customHeight="1">
      <c r="A2254" s="1">
        <v>923.0</v>
      </c>
      <c r="B2254" s="2" t="s">
        <v>7064</v>
      </c>
      <c r="C2254" s="2">
        <f>IFERROR(__xludf.DUMMYFUNCTION("split(B2254,""_"")"),1801.0)</f>
        <v>1801</v>
      </c>
      <c r="D2254" s="2" t="str">
        <f>IFERROR(__xludf.DUMMYFUNCTION("""COMPUTED_VALUE"""),"EX")</f>
        <v>EX</v>
      </c>
      <c r="E2254" s="2" t="str">
        <f>IFERROR(__xludf.DUMMYFUNCTION("""COMPUTED_VALUE"""),"土23")</f>
        <v>土23</v>
      </c>
      <c r="F2254" s="2" t="s">
        <v>7065</v>
      </c>
      <c r="G2254" s="2" t="s">
        <v>7066</v>
      </c>
      <c r="H2254" s="1">
        <v>1.0</v>
      </c>
      <c r="I2254" s="1" t="s">
        <v>2868</v>
      </c>
      <c r="J2254" s="1" t="s">
        <v>2429</v>
      </c>
      <c r="K2254" s="2" t="s">
        <v>7067</v>
      </c>
      <c r="L2254" s="10" t="s">
        <v>7068</v>
      </c>
      <c r="M2254" s="2" t="str">
        <f>IFERROR(__xludf.DUMMYFUNCTION("split(split(K2254,""【"",false),""公式LINE"",false)"),"造園デザイナーの松尾亮(市原隼人)は、社長秘書・里川茜(伊藤歩)のスカートが風でめくれ、つい目がいくものの恋愛には奥手。そんな茜に新入社員の城崎遥飛(白洲迅)は人懐っこく声をかける。亮は勤務先の社長・丹野文彦(柳葉敏郎)から、娘の香(森川葵)との結婚を切り出される。昼間は工事現場、夜はガールズバーで働く香は、性的アイデンティティーを見失っていた。そんな香の店に、茜の妹・梓(志田未来)がやってきて…市原隼人、伊藤歩、森川葵、白洲迅  渡辺大、小松和重、神永圭佑、大沢健、綾田俊樹、品川徹  志田未来、柳葉敏郎"&amp;"、三田佳子井沢満竹園元(テレビ朝日)")</f>
        <v>造園デザイナーの松尾亮(市原隼人)は、社長秘書・里川茜(伊藤歩)のスカートが風でめくれ、つい目がいくものの恋愛には奥手。そんな茜に新入社員の城崎遥飛(白洲迅)は人懐っこく声をかける。亮は勤務先の社長・丹野文彦(柳葉敏郎)から、娘の香(森川葵)との結婚を切り出される。昼間は工事現場、夜はガールズバーで働く香は、性的アイデンティティーを見失っていた。そんな香の店に、茜の妹・梓(志田未来)がやってきて…市原隼人、伊藤歩、森川葵、白洲迅  渡辺大、小松和重、神永圭佑、大沢健、綾田俊樹、品川徹  志田未来、柳葉敏郎、三田佳子井沢満竹園元(テレビ朝日)</v>
      </c>
      <c r="N2254" s="2"/>
      <c r="O2254" s="2"/>
      <c r="P2254" s="2"/>
      <c r="Q2254" s="2"/>
      <c r="R2254" s="2"/>
      <c r="S2254" s="2"/>
      <c r="T2254" s="2"/>
      <c r="U2254" s="2"/>
      <c r="V2254" s="2"/>
      <c r="W2254" s="2"/>
      <c r="X2254" s="2"/>
      <c r="Y2254" s="2"/>
      <c r="Z2254" s="2"/>
      <c r="AA2254" s="2"/>
      <c r="AB2254" s="2"/>
      <c r="AC2254" s="2"/>
      <c r="AD2254" s="2"/>
      <c r="AE2254" s="2"/>
      <c r="AF2254" s="2"/>
      <c r="AG2254" s="2"/>
      <c r="AH2254" s="2"/>
      <c r="AI2254" s="2"/>
      <c r="AJ2254" s="2"/>
      <c r="AK2254" s="2"/>
      <c r="AL2254" s="2"/>
      <c r="AM2254" s="2"/>
      <c r="AN2254" s="2"/>
      <c r="AO2254" s="2"/>
      <c r="AP2254" s="2"/>
      <c r="AQ2254" s="2"/>
      <c r="AR2254" s="2"/>
      <c r="AS2254" s="2"/>
      <c r="AT2254" s="2"/>
      <c r="AU2254" s="2"/>
      <c r="AV2254" s="2"/>
      <c r="AW2254" s="2"/>
      <c r="AX2254" s="2"/>
      <c r="AY2254" s="2"/>
      <c r="AZ2254" s="2"/>
      <c r="BA2254" s="2"/>
      <c r="BB2254" s="2"/>
    </row>
    <row r="2255" ht="204.75" customHeight="1">
      <c r="A2255" s="1">
        <v>924.0</v>
      </c>
      <c r="B2255" s="2" t="s">
        <v>7064</v>
      </c>
      <c r="C2255" s="2">
        <f>IFERROR(__xludf.DUMMYFUNCTION("split(B2255,""_"")"),1801.0)</f>
        <v>1801</v>
      </c>
      <c r="D2255" s="2" t="str">
        <f>IFERROR(__xludf.DUMMYFUNCTION("""COMPUTED_VALUE"""),"EX")</f>
        <v>EX</v>
      </c>
      <c r="E2255" s="2" t="str">
        <f>IFERROR(__xludf.DUMMYFUNCTION("""COMPUTED_VALUE"""),"土23")</f>
        <v>土23</v>
      </c>
      <c r="F2255" s="2" t="s">
        <v>7065</v>
      </c>
      <c r="G2255" s="2" t="s">
        <v>7069</v>
      </c>
      <c r="H2255" s="1">
        <v>2.0</v>
      </c>
      <c r="I2255" s="1" t="s">
        <v>2872</v>
      </c>
      <c r="J2255" s="1" t="s">
        <v>1435</v>
      </c>
      <c r="K2255" s="2" t="s">
        <v>7070</v>
      </c>
      <c r="L2255" s="2" t="s">
        <v>7071</v>
      </c>
      <c r="M2255" s="2" t="str">
        <f>IFERROR(__xludf.DUMMYFUNCTION("split(split(K2255,""【"",false),""公式LINE"",false)"),"香(森川葵)から性に関する悩みを打ち明けられた亮(市原隼人)は、戸惑いながらも受け入れる。その夜、梓(志田未来)は夫の智弘(渡辺大)に嘘をつき、香の勤めるガールズバーへと出かけていく。同じ頃、遥飛(白洲迅)は子持ちの美晴(釈由美子)を誘い、いつものように罵倒していた。そして、放って置かれるはめになった智弘は、ある女性を寿司屋に誘う。やってきた女性は、なんと元カノにして梓の姉・茜(伊藤歩)だった…市原隼人、伊藤歩、森川葵、白洲迅  渡辺大、小松和重、神永圭佑、朝倉えりか、釈由美子、綾田俊樹、品川徹  志田未"&amp;"来、柳葉敏郎、三田佳子井沢満竹園元(テレビ朝日)")</f>
        <v>香(森川葵)から性に関する悩みを打ち明けられた亮(市原隼人)は、戸惑いながらも受け入れる。その夜、梓(志田未来)は夫の智弘(渡辺大)に嘘をつき、香の勤めるガールズバーへと出かけていく。同じ頃、遥飛(白洲迅)は子持ちの美晴(釈由美子)を誘い、いつものように罵倒していた。そして、放って置かれるはめになった智弘は、ある女性を寿司屋に誘う。やってきた女性は、なんと元カノにして梓の姉・茜(伊藤歩)だった…市原隼人、伊藤歩、森川葵、白洲迅  渡辺大、小松和重、神永圭佑、朝倉えりか、釈由美子、綾田俊樹、品川徹  志田未来、柳葉敏郎、三田佳子井沢満竹園元(テレビ朝日)</v>
      </c>
      <c r="N2255" s="2"/>
      <c r="O2255" s="2"/>
      <c r="P2255" s="2"/>
      <c r="Q2255" s="2"/>
      <c r="R2255" s="2"/>
      <c r="S2255" s="2"/>
      <c r="T2255" s="2"/>
      <c r="U2255" s="2"/>
      <c r="V2255" s="2"/>
      <c r="W2255" s="2"/>
      <c r="X2255" s="2"/>
      <c r="Y2255" s="2"/>
      <c r="Z2255" s="2"/>
      <c r="AA2255" s="2"/>
      <c r="AB2255" s="2"/>
      <c r="AC2255" s="2"/>
      <c r="AD2255" s="2"/>
      <c r="AE2255" s="2"/>
      <c r="AF2255" s="2"/>
      <c r="AG2255" s="2"/>
      <c r="AH2255" s="2"/>
      <c r="AI2255" s="2"/>
      <c r="AJ2255" s="2"/>
      <c r="AK2255" s="2"/>
      <c r="AL2255" s="2"/>
      <c r="AM2255" s="2"/>
      <c r="AN2255" s="2"/>
      <c r="AO2255" s="2"/>
      <c r="AP2255" s="2"/>
      <c r="AQ2255" s="2"/>
      <c r="AR2255" s="2"/>
      <c r="AS2255" s="2"/>
      <c r="AT2255" s="2"/>
      <c r="AU2255" s="2"/>
      <c r="AV2255" s="2"/>
      <c r="AW2255" s="2"/>
      <c r="AX2255" s="2"/>
      <c r="AY2255" s="2"/>
      <c r="AZ2255" s="2"/>
      <c r="BA2255" s="2"/>
      <c r="BB2255" s="2"/>
    </row>
    <row r="2256" ht="204.75" customHeight="1">
      <c r="A2256" s="1">
        <v>925.0</v>
      </c>
      <c r="B2256" s="2" t="s">
        <v>7064</v>
      </c>
      <c r="C2256" s="2">
        <f>IFERROR(__xludf.DUMMYFUNCTION("split(B2256,""_"")"),1801.0)</f>
        <v>1801</v>
      </c>
      <c r="D2256" s="2" t="str">
        <f>IFERROR(__xludf.DUMMYFUNCTION("""COMPUTED_VALUE"""),"EX")</f>
        <v>EX</v>
      </c>
      <c r="E2256" s="2" t="str">
        <f>IFERROR(__xludf.DUMMYFUNCTION("""COMPUTED_VALUE"""),"土23")</f>
        <v>土23</v>
      </c>
      <c r="F2256" s="2" t="s">
        <v>7065</v>
      </c>
      <c r="G2256" s="2" t="s">
        <v>7072</v>
      </c>
      <c r="H2256" s="1">
        <v>3.0</v>
      </c>
      <c r="I2256" s="1" t="s">
        <v>2876</v>
      </c>
      <c r="J2256" s="1" t="s">
        <v>2429</v>
      </c>
      <c r="K2256" s="2" t="s">
        <v>7073</v>
      </c>
      <c r="L2256" s="2" t="s">
        <v>7074</v>
      </c>
      <c r="M2256" s="2" t="str">
        <f>IFERROR(__xludf.DUMMYFUNCTION("split(split(K2256,""【"",false),""公式LINE"",false)"),"里川家を訪れた亮(市原隼人)は、静子(三田佳子)の計らいで茜(伊藤歩)、梓(志田未来)、智弘(渡辺大)と夕食を共にする。そんな中、梓のスマートフォンに香(森川葵)からの着信が。香に会いたい気持ちを抑えられない梓は、香が勤めるガールズバーへと強引に3人を連れ出す。そこへ、酔っぱらった遥飛(白洲迅)が年上で子持ちの店員・美波(朝倉えりか)を求めて乱入。遥飛は、目撃した梓と香の秘密を亮たちに暴露し始め…市原隼人、伊藤歩、森川葵、白洲迅  渡辺大、小松和重、神永圭佑、朝倉えりか、品川徹  志田未来、柳葉敏郎、三田"&amp;"佳子井沢満片山修(テレビ朝日)")</f>
        <v>里川家を訪れた亮(市原隼人)は、静子(三田佳子)の計らいで茜(伊藤歩)、梓(志田未来)、智弘(渡辺大)と夕食を共にする。そんな中、梓のスマートフォンに香(森川葵)からの着信が。香に会いたい気持ちを抑えられない梓は、香が勤めるガールズバーへと強引に3人を連れ出す。そこへ、酔っぱらった遥飛(白洲迅)が年上で子持ちの店員・美波(朝倉えりか)を求めて乱入。遥飛は、目撃した梓と香の秘密を亮たちに暴露し始め…市原隼人、伊藤歩、森川葵、白洲迅  渡辺大、小松和重、神永圭佑、朝倉えりか、品川徹  志田未来、柳葉敏郎、三田佳子井沢満片山修(テレビ朝日)</v>
      </c>
      <c r="N2256" s="2"/>
      <c r="O2256" s="2"/>
      <c r="P2256" s="2"/>
      <c r="Q2256" s="2"/>
      <c r="R2256" s="2"/>
      <c r="S2256" s="2"/>
      <c r="T2256" s="2"/>
      <c r="U2256" s="2"/>
      <c r="V2256" s="2"/>
      <c r="W2256" s="2"/>
      <c r="X2256" s="2"/>
      <c r="Y2256" s="2"/>
      <c r="Z2256" s="2"/>
      <c r="AA2256" s="2"/>
      <c r="AB2256" s="2"/>
      <c r="AC2256" s="2"/>
      <c r="AD2256" s="2"/>
      <c r="AE2256" s="2"/>
      <c r="AF2256" s="2"/>
      <c r="AG2256" s="2"/>
      <c r="AH2256" s="2"/>
      <c r="AI2256" s="2"/>
      <c r="AJ2256" s="2"/>
      <c r="AK2256" s="2"/>
      <c r="AL2256" s="2"/>
      <c r="AM2256" s="2"/>
      <c r="AN2256" s="2"/>
      <c r="AO2256" s="2"/>
      <c r="AP2256" s="2"/>
      <c r="AQ2256" s="2"/>
      <c r="AR2256" s="2"/>
      <c r="AS2256" s="2"/>
      <c r="AT2256" s="2"/>
      <c r="AU2256" s="2"/>
      <c r="AV2256" s="2"/>
      <c r="AW2256" s="2"/>
      <c r="AX2256" s="2"/>
      <c r="AY2256" s="2"/>
      <c r="AZ2256" s="2"/>
      <c r="BA2256" s="2"/>
      <c r="BB2256" s="2"/>
    </row>
    <row r="2257" ht="204.75" customHeight="1">
      <c r="A2257" s="1">
        <v>926.0</v>
      </c>
      <c r="B2257" s="2" t="s">
        <v>7064</v>
      </c>
      <c r="C2257" s="2">
        <f>IFERROR(__xludf.DUMMYFUNCTION("split(B2257,""_"")"),1801.0)</f>
        <v>1801</v>
      </c>
      <c r="D2257" s="2" t="str">
        <f>IFERROR(__xludf.DUMMYFUNCTION("""COMPUTED_VALUE"""),"EX")</f>
        <v>EX</v>
      </c>
      <c r="E2257" s="2" t="str">
        <f>IFERROR(__xludf.DUMMYFUNCTION("""COMPUTED_VALUE"""),"土23")</f>
        <v>土23</v>
      </c>
      <c r="F2257" s="2" t="s">
        <v>7065</v>
      </c>
      <c r="G2257" s="2" t="s">
        <v>7075</v>
      </c>
      <c r="H2257" s="1">
        <v>4.0</v>
      </c>
      <c r="I2257" s="1" t="s">
        <v>2880</v>
      </c>
      <c r="J2257" s="1" t="s">
        <v>1435</v>
      </c>
      <c r="K2257" s="2" t="s">
        <v>7076</v>
      </c>
      <c r="L2257" s="2" t="s">
        <v>7077</v>
      </c>
      <c r="M2257" s="2" t="str">
        <f>IFERROR(__xludf.DUMMYFUNCTION("split(split(K2257,""【"",false),""公式LINE"",false)"),"茜(伊藤歩)の家に来たタクシー運転手の聖誠実(小松和重)は、結婚前提の付き合いを申し込み、断れば警察に行ってタクシー代を払わせると脅すが、そこに亮(市原隼人)が現れ…。遥飛(白洲迅)は、熟女達をいたぶっている写真が社内で流出し、会社に姿を見せなくなってしまう。一方、亮と香(森川葵)の関係が停滞していると見た文彦(柳葉敏郎)は、香のマンションへ。その時、香の部屋には梓(志田未来)が訪ねて来ており…市原隼人、伊藤歩、森川葵、白洲迅  渡辺大、小松和重、神永圭佑、須永慶、朝倉えりか、釈由美子  大島蓉子、綾田俊"&amp;"樹  志田未来、柳葉敏郎、三田佳子井沢満片山修(テレビ朝日)")</f>
        <v>茜(伊藤歩)の家に来たタクシー運転手の聖誠実(小松和重)は、結婚前提の付き合いを申し込み、断れば警察に行ってタクシー代を払わせると脅すが、そこに亮(市原隼人)が現れ…。遥飛(白洲迅)は、熟女達をいたぶっている写真が社内で流出し、会社に姿を見せなくなってしまう。一方、亮と香(森川葵)の関係が停滞していると見た文彦(柳葉敏郎)は、香のマンションへ。その時、香の部屋には梓(志田未来)が訪ねて来ており…市原隼人、伊藤歩、森川葵、白洲迅  渡辺大、小松和重、神永圭佑、須永慶、朝倉えりか、釈由美子  大島蓉子、綾田俊樹  志田未来、柳葉敏郎、三田佳子井沢満片山修(テレビ朝日)</v>
      </c>
      <c r="N2257" s="2"/>
      <c r="O2257" s="2"/>
      <c r="P2257" s="2"/>
      <c r="Q2257" s="2"/>
      <c r="R2257" s="2"/>
      <c r="S2257" s="2"/>
      <c r="T2257" s="2"/>
      <c r="U2257" s="2"/>
      <c r="V2257" s="2"/>
      <c r="W2257" s="2"/>
      <c r="X2257" s="2"/>
      <c r="Y2257" s="2"/>
      <c r="Z2257" s="2"/>
      <c r="AA2257" s="2"/>
      <c r="AB2257" s="2"/>
      <c r="AC2257" s="2"/>
      <c r="AD2257" s="2"/>
      <c r="AE2257" s="2"/>
      <c r="AF2257" s="2"/>
      <c r="AG2257" s="2"/>
      <c r="AH2257" s="2"/>
      <c r="AI2257" s="2"/>
      <c r="AJ2257" s="2"/>
      <c r="AK2257" s="2"/>
      <c r="AL2257" s="2"/>
      <c r="AM2257" s="2"/>
      <c r="AN2257" s="2"/>
      <c r="AO2257" s="2"/>
      <c r="AP2257" s="2"/>
      <c r="AQ2257" s="2"/>
      <c r="AR2257" s="2"/>
      <c r="AS2257" s="2"/>
      <c r="AT2257" s="2"/>
      <c r="AU2257" s="2"/>
      <c r="AV2257" s="2"/>
      <c r="AW2257" s="2"/>
      <c r="AX2257" s="2"/>
      <c r="AY2257" s="2"/>
      <c r="AZ2257" s="2"/>
      <c r="BA2257" s="2"/>
      <c r="BB2257" s="2"/>
    </row>
    <row r="2258" ht="204.75" customHeight="1">
      <c r="A2258" s="1">
        <v>927.0</v>
      </c>
      <c r="B2258" s="2" t="s">
        <v>7064</v>
      </c>
      <c r="C2258" s="2">
        <f>IFERROR(__xludf.DUMMYFUNCTION("split(B2258,""_"")"),1801.0)</f>
        <v>1801</v>
      </c>
      <c r="D2258" s="2" t="str">
        <f>IFERROR(__xludf.DUMMYFUNCTION("""COMPUTED_VALUE"""),"EX")</f>
        <v>EX</v>
      </c>
      <c r="E2258" s="2" t="str">
        <f>IFERROR(__xludf.DUMMYFUNCTION("""COMPUTED_VALUE"""),"土23")</f>
        <v>土23</v>
      </c>
      <c r="F2258" s="2" t="s">
        <v>7065</v>
      </c>
      <c r="G2258" s="2" t="s">
        <v>7078</v>
      </c>
      <c r="H2258" s="1">
        <v>5.0</v>
      </c>
      <c r="I2258" s="1" t="s">
        <v>2884</v>
      </c>
      <c r="J2258" s="1" t="s">
        <v>1435</v>
      </c>
      <c r="K2258" s="2" t="s">
        <v>7079</v>
      </c>
      <c r="L2258" s="2" t="s">
        <v>7080</v>
      </c>
      <c r="M2258" s="2" t="str">
        <f>IFERROR(__xludf.DUMMYFUNCTION("split(split(K2258,""【"",false),""公式LINE"",false)"),"香(森川葵)を連れ戻そうと里川家に乗り込んだ文彦(柳葉敏郎)は、香だけでなく静子(三田佳子)とも子どもの育て方をめぐり対立。その成り行きを見守っていた亮(市原隼人)と茜(伊藤歩)の間にも、亮と香の婚約のことで微妙な距離が生じる…。一方、出勤途中のバスで遥飛(白洲迅)は突然、痴漢の被害を訴えられ、警察に連れて行かれてしまう。訴えた女性は、かつて遥飛がいたぶった子持ち女性の美晴(釈由美子)だった!市原隼人、伊藤歩、森川葵、白洲迅  渡辺大、釈由美子、朝倉えりか、品川徹  志田未来、柳葉敏郎、三田佳子井沢満竹園"&amp;"元(テレビ朝日)")</f>
        <v>香(森川葵)を連れ戻そうと里川家に乗り込んだ文彦(柳葉敏郎)は、香だけでなく静子(三田佳子)とも子どもの育て方をめぐり対立。その成り行きを見守っていた亮(市原隼人)と茜(伊藤歩)の間にも、亮と香の婚約のことで微妙な距離が生じる…。一方、出勤途中のバスで遥飛(白洲迅)は突然、痴漢の被害を訴えられ、警察に連れて行かれてしまう。訴えた女性は、かつて遥飛がいたぶった子持ち女性の美晴(釈由美子)だった!市原隼人、伊藤歩、森川葵、白洲迅  渡辺大、釈由美子、朝倉えりか、品川徹  志田未来、柳葉敏郎、三田佳子井沢満竹園元(テレビ朝日)</v>
      </c>
      <c r="N2258" s="2"/>
      <c r="O2258" s="2"/>
      <c r="P2258" s="2"/>
      <c r="Q2258" s="2"/>
      <c r="R2258" s="2"/>
      <c r="S2258" s="2"/>
      <c r="T2258" s="2"/>
      <c r="U2258" s="2"/>
      <c r="V2258" s="2"/>
      <c r="W2258" s="2"/>
      <c r="X2258" s="2"/>
      <c r="Y2258" s="2"/>
      <c r="Z2258" s="2"/>
      <c r="AA2258" s="2"/>
      <c r="AB2258" s="2"/>
      <c r="AC2258" s="2"/>
      <c r="AD2258" s="2"/>
      <c r="AE2258" s="2"/>
      <c r="AF2258" s="2"/>
      <c r="AG2258" s="2"/>
      <c r="AH2258" s="2"/>
      <c r="AI2258" s="2"/>
      <c r="AJ2258" s="2"/>
      <c r="AK2258" s="2"/>
      <c r="AL2258" s="2"/>
      <c r="AM2258" s="2"/>
      <c r="AN2258" s="2"/>
      <c r="AO2258" s="2"/>
      <c r="AP2258" s="2"/>
      <c r="AQ2258" s="2"/>
      <c r="AR2258" s="2"/>
      <c r="AS2258" s="2"/>
      <c r="AT2258" s="2"/>
      <c r="AU2258" s="2"/>
      <c r="AV2258" s="2"/>
      <c r="AW2258" s="2"/>
      <c r="AX2258" s="2"/>
      <c r="AY2258" s="2"/>
      <c r="AZ2258" s="2"/>
      <c r="BA2258" s="2"/>
      <c r="BB2258" s="2"/>
    </row>
    <row r="2259" ht="204.75" customHeight="1">
      <c r="A2259" s="1">
        <v>928.0</v>
      </c>
      <c r="B2259" s="2" t="s">
        <v>7064</v>
      </c>
      <c r="C2259" s="2">
        <f>IFERROR(__xludf.DUMMYFUNCTION("split(B2259,""_"")"),1801.0)</f>
        <v>1801</v>
      </c>
      <c r="D2259" s="2" t="str">
        <f>IFERROR(__xludf.DUMMYFUNCTION("""COMPUTED_VALUE"""),"EX")</f>
        <v>EX</v>
      </c>
      <c r="E2259" s="2" t="str">
        <f>IFERROR(__xludf.DUMMYFUNCTION("""COMPUTED_VALUE"""),"土23")</f>
        <v>土23</v>
      </c>
      <c r="F2259" s="2" t="s">
        <v>7065</v>
      </c>
      <c r="G2259" s="2" t="s">
        <v>7081</v>
      </c>
      <c r="H2259" s="1">
        <v>6.0</v>
      </c>
      <c r="I2259" s="1" t="s">
        <v>2888</v>
      </c>
      <c r="J2259" s="1" t="s">
        <v>2429</v>
      </c>
      <c r="K2259" s="2" t="s">
        <v>7082</v>
      </c>
      <c r="L2259" s="2" t="s">
        <v>7083</v>
      </c>
      <c r="M2259" s="2" t="str">
        <f>IFERROR(__xludf.DUMMYFUNCTION("split(split(K2259,""【"",false),""公式LINE"",false)"),"茜(伊藤歩)と遥飛(白洲迅)がベッドインする姿を目撃した亮(市原隼人)は、燃え上がる嫉妬に苦しむ。そんなある日、亮の実家の大衆演劇団が東京公演のため上京。亮は家を飛び出して以来、一度も会っていなかった父(ベンガル)と16年ぶりの再会を果たす。また、静子(三田佳子)は学生時代の恋人(村井國夫)と半世紀ぶりのデートへ。そして、香(森川葵)は思いを断ち切れず梓(志田未来)に会いに行くのだが…市原隼人、伊藤歩、森川葵、白洲迅  渡辺大、朝倉えりか、村井國夫、ベンガル、黄川田将也、綾田俊樹、品川徹  志田未来、柳葉"&amp;"敏郎、三田佳子井沢満片山修(テレビ朝日)")</f>
        <v>茜(伊藤歩)と遥飛(白洲迅)がベッドインする姿を目撃した亮(市原隼人)は、燃え上がる嫉妬に苦しむ。そんなある日、亮の実家の大衆演劇団が東京公演のため上京。亮は家を飛び出して以来、一度も会っていなかった父(ベンガル)と16年ぶりの再会を果たす。また、静子(三田佳子)は学生時代の恋人(村井國夫)と半世紀ぶりのデートへ。そして、香(森川葵)は思いを断ち切れず梓(志田未来)に会いに行くのだが…市原隼人、伊藤歩、森川葵、白洲迅  渡辺大、朝倉えりか、村井國夫、ベンガル、黄川田将也、綾田俊樹、品川徹  志田未来、柳葉敏郎、三田佳子井沢満片山修(テレビ朝日)</v>
      </c>
      <c r="N2259" s="2"/>
      <c r="O2259" s="2"/>
      <c r="P2259" s="2"/>
      <c r="Q2259" s="2"/>
      <c r="R2259" s="2"/>
      <c r="S2259" s="2"/>
      <c r="T2259" s="2"/>
      <c r="U2259" s="2"/>
      <c r="V2259" s="2"/>
      <c r="W2259" s="2"/>
      <c r="X2259" s="2"/>
      <c r="Y2259" s="2"/>
      <c r="Z2259" s="2"/>
      <c r="AA2259" s="2"/>
      <c r="AB2259" s="2"/>
      <c r="AC2259" s="2"/>
      <c r="AD2259" s="2"/>
      <c r="AE2259" s="2"/>
      <c r="AF2259" s="2"/>
      <c r="AG2259" s="2"/>
      <c r="AH2259" s="2"/>
      <c r="AI2259" s="2"/>
      <c r="AJ2259" s="2"/>
      <c r="AK2259" s="2"/>
      <c r="AL2259" s="2"/>
      <c r="AM2259" s="2"/>
      <c r="AN2259" s="2"/>
      <c r="AO2259" s="2"/>
      <c r="AP2259" s="2"/>
      <c r="AQ2259" s="2"/>
      <c r="AR2259" s="2"/>
      <c r="AS2259" s="2"/>
      <c r="AT2259" s="2"/>
      <c r="AU2259" s="2"/>
      <c r="AV2259" s="2"/>
      <c r="AW2259" s="2"/>
      <c r="AX2259" s="2"/>
      <c r="AY2259" s="2"/>
      <c r="AZ2259" s="2"/>
      <c r="BA2259" s="2"/>
      <c r="BB2259" s="2"/>
    </row>
    <row r="2260" ht="204.75" customHeight="1">
      <c r="A2260" s="1">
        <v>929.0</v>
      </c>
      <c r="B2260" s="2" t="s">
        <v>7064</v>
      </c>
      <c r="C2260" s="2">
        <f>IFERROR(__xludf.DUMMYFUNCTION("split(B2260,""_"")"),1801.0)</f>
        <v>1801</v>
      </c>
      <c r="D2260" s="2" t="str">
        <f>IFERROR(__xludf.DUMMYFUNCTION("""COMPUTED_VALUE"""),"EX")</f>
        <v>EX</v>
      </c>
      <c r="E2260" s="2" t="str">
        <f>IFERROR(__xludf.DUMMYFUNCTION("""COMPUTED_VALUE"""),"土23")</f>
        <v>土23</v>
      </c>
      <c r="F2260" s="2" t="s">
        <v>7065</v>
      </c>
      <c r="G2260" s="2" t="s">
        <v>7084</v>
      </c>
      <c r="H2260" s="1">
        <v>7.0</v>
      </c>
      <c r="I2260" s="1" t="s">
        <v>2892</v>
      </c>
      <c r="J2260" s="1" t="s">
        <v>1435</v>
      </c>
      <c r="K2260" s="2" t="s">
        <v>7085</v>
      </c>
      <c r="L2260" s="2" t="s">
        <v>7086</v>
      </c>
      <c r="M2260" s="2" t="str">
        <f>IFERROR(__xludf.DUMMYFUNCTION("split(split(K2260,""【"",false),""公式LINE"",false)"),"亮(市原隼人)と香(森川葵)は結婚の準備を進めるが、香は指輪をはめることができない。そんな二人に文彦(柳葉敏郎)は、娘を想う気持ちを伝える。一方、一生独身で通すと決めた茜(伊藤歩)は、静子(三田佳子)から「女が天から授かった宝物」が何であるかを説かれ、気持ちが揺れ動く。遥飛(白洲迅)もロンドンへの旅立ちを決意…。4人はそれぞれに、明日を重ねていく相手が誰なのか、改めて自分の気持ちを見つめ直す。市原隼人、伊藤歩、森川葵、白洲迅  渡辺大、神永圭佑、朝倉えりか、綾田俊樹、品川徹  志田未来、柳葉敏郎、三田佳子"&amp;"井沢満竹園元(テレビ朝日)")</f>
        <v>亮(市原隼人)と香(森川葵)は結婚の準備を進めるが、香は指輪をはめることができない。そんな二人に文彦(柳葉敏郎)は、娘を想う気持ちを伝える。一方、一生独身で通すと決めた茜(伊藤歩)は、静子(三田佳子)から「女が天から授かった宝物」が何であるかを説かれ、気持ちが揺れ動く。遥飛(白洲迅)もロンドンへの旅立ちを決意…。4人はそれぞれに、明日を重ねていく相手が誰なのか、改めて自分の気持ちを見つめ直す。市原隼人、伊藤歩、森川葵、白洲迅  渡辺大、神永圭佑、朝倉えりか、綾田俊樹、品川徹  志田未来、柳葉敏郎、三田佳子井沢満竹園元(テレビ朝日)</v>
      </c>
      <c r="N2260" s="2"/>
      <c r="O2260" s="2"/>
      <c r="P2260" s="2"/>
      <c r="Q2260" s="2"/>
      <c r="R2260" s="2"/>
      <c r="S2260" s="2"/>
      <c r="T2260" s="2"/>
      <c r="U2260" s="2"/>
      <c r="V2260" s="2"/>
      <c r="W2260" s="2"/>
      <c r="X2260" s="2"/>
      <c r="Y2260" s="2"/>
      <c r="Z2260" s="2"/>
      <c r="AA2260" s="2"/>
      <c r="AB2260" s="2"/>
      <c r="AC2260" s="2"/>
      <c r="AD2260" s="2"/>
      <c r="AE2260" s="2"/>
      <c r="AF2260" s="2"/>
      <c r="AG2260" s="2"/>
      <c r="AH2260" s="2"/>
      <c r="AI2260" s="2"/>
      <c r="AJ2260" s="2"/>
      <c r="AK2260" s="2"/>
      <c r="AL2260" s="2"/>
      <c r="AM2260" s="2"/>
      <c r="AN2260" s="2"/>
      <c r="AO2260" s="2"/>
      <c r="AP2260" s="2"/>
      <c r="AQ2260" s="2"/>
      <c r="AR2260" s="2"/>
      <c r="AS2260" s="2"/>
      <c r="AT2260" s="2"/>
      <c r="AU2260" s="2"/>
      <c r="AV2260" s="2"/>
      <c r="AW2260" s="2"/>
      <c r="AX2260" s="2"/>
      <c r="AY2260" s="2"/>
      <c r="AZ2260" s="2"/>
      <c r="BA2260" s="2"/>
      <c r="BB2260" s="2"/>
    </row>
    <row r="2261" ht="204.75" customHeight="1">
      <c r="A2261" s="1">
        <v>989.0</v>
      </c>
      <c r="B2261" s="2" t="s">
        <v>7087</v>
      </c>
      <c r="C2261" s="2">
        <f>IFERROR(__xludf.DUMMYFUNCTION("split(B2261,""_"")"),1710.0)</f>
        <v>1710</v>
      </c>
      <c r="D2261" s="2" t="str">
        <f>IFERROR(__xludf.DUMMYFUNCTION("""COMPUTED_VALUE"""),"EX")</f>
        <v>EX</v>
      </c>
      <c r="E2261" s="2" t="str">
        <f>IFERROR(__xludf.DUMMYFUNCTION("""COMPUTED_VALUE"""),"木21")</f>
        <v>木21</v>
      </c>
      <c r="F2261" s="2" t="s">
        <v>6489</v>
      </c>
      <c r="G2261" s="2" t="s">
        <v>7088</v>
      </c>
      <c r="H2261" s="1">
        <v>1.0</v>
      </c>
      <c r="I2261" s="1" t="s">
        <v>2868</v>
      </c>
      <c r="J2261" s="1" t="s">
        <v>4</v>
      </c>
      <c r="K2261" s="2" t="s">
        <v>7089</v>
      </c>
      <c r="L2261" s="2" t="s">
        <v>7090</v>
      </c>
      <c r="M2261" s="2" t="str">
        <f>IFERROR(__xludf.DUMMYFUNCTION("split(split(K2261,""【"",false),""公式LINE"",false)"),"東帝大学病院でクリーンな医局を取り戻すべく、大改革を推し進める初の女性院長・志村まどか(大地真央)が大門未知子(米倉涼子)を雇う。しかし、まどかは未知子が救命措置を行った患者の手術を、アメリカにいる心臓外科の世界的権威に手術支援ロボットを遠隔操作して執刀するよう依頼。その頃トンカツ店にいた未知子は、目の前で倒れた有名ジャーナリスト・一色を東帝大学病院に搬送する。これが“とんでもない事態""を招き…!?米倉涼子、岸部一徳、草刈正雄、永山絢斗、内田有紀、遠藤憲一、鈴木浩介、田中圭、野村周平、是永瞳、久住小春、"&amp;"陣内孝則、段田安則、大地真央、西田敏行  ")</f>
        <v>東帝大学病院でクリーンな医局を取り戻すべく、大改革を推し進める初の女性院長・志村まどか(大地真央)が大門未知子(米倉涼子)を雇う。しかし、まどかは未知子が救命措置を行った患者の手術を、アメリカにいる心臓外科の世界的権威に手術支援ロボットを遠隔操作して執刀するよう依頼。その頃トンカツ店にいた未知子は、目の前で倒れた有名ジャーナリスト・一色を東帝大学病院に搬送する。これが“とんでもない事態"を招き…!?米倉涼子、岸部一徳、草刈正雄、永山絢斗、内田有紀、遠藤憲一、鈴木浩介、田中圭、野村周平、是永瞳、久住小春、陣内孝則、段田安則、大地真央、西田敏行  </v>
      </c>
      <c r="N2261" s="2"/>
      <c r="O2261" s="2"/>
      <c r="P2261" s="2"/>
      <c r="Q2261" s="2"/>
      <c r="R2261" s="2"/>
      <c r="S2261" s="2"/>
      <c r="T2261" s="2"/>
      <c r="U2261" s="2"/>
      <c r="V2261" s="2"/>
      <c r="W2261" s="2"/>
      <c r="X2261" s="2"/>
      <c r="Y2261" s="2"/>
      <c r="Z2261" s="2"/>
      <c r="AA2261" s="2"/>
      <c r="AB2261" s="2"/>
      <c r="AC2261" s="2"/>
      <c r="AD2261" s="2"/>
      <c r="AE2261" s="2"/>
      <c r="AF2261" s="2"/>
      <c r="AG2261" s="2"/>
      <c r="AH2261" s="2"/>
      <c r="AI2261" s="2"/>
      <c r="AJ2261" s="2"/>
      <c r="AK2261" s="2"/>
      <c r="AL2261" s="2"/>
      <c r="AM2261" s="2"/>
      <c r="AN2261" s="2"/>
      <c r="AO2261" s="2"/>
      <c r="AP2261" s="2"/>
      <c r="AQ2261" s="2"/>
      <c r="AR2261" s="2"/>
      <c r="AS2261" s="2"/>
      <c r="AT2261" s="2"/>
      <c r="AU2261" s="2"/>
      <c r="AV2261" s="2"/>
      <c r="AW2261" s="2"/>
      <c r="AX2261" s="2"/>
      <c r="AY2261" s="2"/>
      <c r="AZ2261" s="2"/>
      <c r="BA2261" s="2"/>
      <c r="BB2261" s="2"/>
    </row>
    <row r="2262" ht="204.75" customHeight="1">
      <c r="A2262" s="1">
        <v>990.0</v>
      </c>
      <c r="B2262" s="2" t="s">
        <v>7087</v>
      </c>
      <c r="C2262" s="2">
        <f>IFERROR(__xludf.DUMMYFUNCTION("split(B2262,""_"")"),1710.0)</f>
        <v>1710</v>
      </c>
      <c r="D2262" s="2" t="str">
        <f>IFERROR(__xludf.DUMMYFUNCTION("""COMPUTED_VALUE"""),"EX")</f>
        <v>EX</v>
      </c>
      <c r="E2262" s="2" t="str">
        <f>IFERROR(__xludf.DUMMYFUNCTION("""COMPUTED_VALUE"""),"木21")</f>
        <v>木21</v>
      </c>
      <c r="F2262" s="2" t="s">
        <v>6489</v>
      </c>
      <c r="G2262" s="2" t="s">
        <v>7091</v>
      </c>
      <c r="H2262" s="1">
        <v>2.0</v>
      </c>
      <c r="I2262" s="1" t="s">
        <v>2872</v>
      </c>
      <c r="J2262" s="1" t="s">
        <v>4</v>
      </c>
      <c r="K2262" s="2" t="s">
        <v>7092</v>
      </c>
      <c r="L2262" s="2" t="s">
        <v>7093</v>
      </c>
      <c r="M2262" s="2" t="str">
        <f>IFERROR(__xludf.DUMMYFUNCTION("split(split(K2262,""【"",false),""公式LINE"",false)"),"ゆとり世代の医師・伊東亮治(野村周平)の母・不二子(中田喜子)が倒れ、東帝大学病院に入院する。大門未知子(米倉涼子)が執刀を名乗り出るも、院長に返り咲いた蛭間重勝(西田敏行)は「母子オペ」で世の注目を集めようと、伊東を執刀医に指名。だが、伊東はなぜか、母親を心配する素振りを微塵も見せず、不二子も手術を拒否。未知子は何とか不二子の同意を得ようとするが…!?米倉涼子、岸部一徳、草刈正雄、永山絢斗、内田有紀、遠藤憲一、鈴木浩介、田中圭、野村周平、是永瞳、久住小春、陣内孝則、西田敏行  ")</f>
        <v>ゆとり世代の医師・伊東亮治(野村周平)の母・不二子(中田喜子)が倒れ、東帝大学病院に入院する。大門未知子(米倉涼子)が執刀を名乗り出るも、院長に返り咲いた蛭間重勝(西田敏行)は「母子オペ」で世の注目を集めようと、伊東を執刀医に指名。だが、伊東はなぜか、母親を心配する素振りを微塵も見せず、不二子も手術を拒否。未知子は何とか不二子の同意を得ようとするが…!?米倉涼子、岸部一徳、草刈正雄、永山絢斗、内田有紀、遠藤憲一、鈴木浩介、田中圭、野村周平、是永瞳、久住小春、陣内孝則、西田敏行  </v>
      </c>
      <c r="N2262" s="2"/>
      <c r="O2262" s="2"/>
      <c r="P2262" s="2"/>
      <c r="Q2262" s="2"/>
      <c r="R2262" s="2"/>
      <c r="S2262" s="2"/>
      <c r="T2262" s="2"/>
      <c r="U2262" s="2"/>
      <c r="V2262" s="2"/>
      <c r="W2262" s="2"/>
      <c r="X2262" s="2"/>
      <c r="Y2262" s="2"/>
      <c r="Z2262" s="2"/>
      <c r="AA2262" s="2"/>
      <c r="AB2262" s="2"/>
      <c r="AC2262" s="2"/>
      <c r="AD2262" s="2"/>
      <c r="AE2262" s="2"/>
      <c r="AF2262" s="2"/>
      <c r="AG2262" s="2"/>
      <c r="AH2262" s="2"/>
      <c r="AI2262" s="2"/>
      <c r="AJ2262" s="2"/>
      <c r="AK2262" s="2"/>
      <c r="AL2262" s="2"/>
      <c r="AM2262" s="2"/>
      <c r="AN2262" s="2"/>
      <c r="AO2262" s="2"/>
      <c r="AP2262" s="2"/>
      <c r="AQ2262" s="2"/>
      <c r="AR2262" s="2"/>
      <c r="AS2262" s="2"/>
      <c r="AT2262" s="2"/>
      <c r="AU2262" s="2"/>
      <c r="AV2262" s="2"/>
      <c r="AW2262" s="2"/>
      <c r="AX2262" s="2"/>
      <c r="AY2262" s="2"/>
      <c r="AZ2262" s="2"/>
      <c r="BA2262" s="2"/>
      <c r="BB2262" s="2"/>
    </row>
    <row r="2263" ht="204.75" customHeight="1">
      <c r="A2263" s="1">
        <v>991.0</v>
      </c>
      <c r="B2263" s="2" t="s">
        <v>7087</v>
      </c>
      <c r="C2263" s="2">
        <f>IFERROR(__xludf.DUMMYFUNCTION("split(B2263,""_"")"),1710.0)</f>
        <v>1710</v>
      </c>
      <c r="D2263" s="2" t="str">
        <f>IFERROR(__xludf.DUMMYFUNCTION("""COMPUTED_VALUE"""),"EX")</f>
        <v>EX</v>
      </c>
      <c r="E2263" s="2" t="str">
        <f>IFERROR(__xludf.DUMMYFUNCTION("""COMPUTED_VALUE"""),"木21")</f>
        <v>木21</v>
      </c>
      <c r="F2263" s="2" t="s">
        <v>6489</v>
      </c>
      <c r="G2263" s="2" t="s">
        <v>7094</v>
      </c>
      <c r="H2263" s="1">
        <v>3.0</v>
      </c>
      <c r="I2263" s="1" t="s">
        <v>2876</v>
      </c>
      <c r="J2263" s="1" t="s">
        <v>11</v>
      </c>
      <c r="K2263" s="2" t="s">
        <v>7095</v>
      </c>
      <c r="L2263" s="2" t="s">
        <v>7096</v>
      </c>
      <c r="M2263" s="2" t="str">
        <f>IFERROR(__xludf.DUMMYFUNCTION("split(split(K2263,""【"",false),""公式LINE"",false)"),"東帝大付属幼稚園園長・三鴨(平田満)が倒れた。執刀医の座をめぐり、外科副部長・猪又(陣内孝則)と未知子(米倉涼子)が激突!そんな中、三鴨はセカンドオピニオンを希望。内神田(草刈正雄)の命を受け、未知子を潰そうとする蛭間院長(西田敏行)は、ある企みを猪又に囁き…!?米倉涼子、岸部一徳、草刈正雄、永山絢斗、内田有紀、遠藤憲一、鈴木浩介、田中圭、是永瞳、陣内孝則、段田安則、西田敏行  ")</f>
        <v>東帝大付属幼稚園園長・三鴨(平田満)が倒れた。執刀医の座をめぐり、外科副部長・猪又(陣内孝則)と未知子(米倉涼子)が激突!そんな中、三鴨はセカンドオピニオンを希望。内神田(草刈正雄)の命を受け、未知子を潰そうとする蛭間院長(西田敏行)は、ある企みを猪又に囁き…!?米倉涼子、岸部一徳、草刈正雄、永山絢斗、内田有紀、遠藤憲一、鈴木浩介、田中圭、是永瞳、陣内孝則、段田安則、西田敏行  </v>
      </c>
      <c r="N2263" s="2"/>
      <c r="O2263" s="2"/>
      <c r="P2263" s="2"/>
      <c r="Q2263" s="2"/>
      <c r="R2263" s="2"/>
      <c r="S2263" s="2"/>
      <c r="T2263" s="2"/>
      <c r="U2263" s="2"/>
      <c r="V2263" s="2"/>
      <c r="W2263" s="2"/>
      <c r="X2263" s="2"/>
      <c r="Y2263" s="2"/>
      <c r="Z2263" s="2"/>
      <c r="AA2263" s="2"/>
      <c r="AB2263" s="2"/>
      <c r="AC2263" s="2"/>
      <c r="AD2263" s="2"/>
      <c r="AE2263" s="2"/>
      <c r="AF2263" s="2"/>
      <c r="AG2263" s="2"/>
      <c r="AH2263" s="2"/>
      <c r="AI2263" s="2"/>
      <c r="AJ2263" s="2"/>
      <c r="AK2263" s="2"/>
      <c r="AL2263" s="2"/>
      <c r="AM2263" s="2"/>
      <c r="AN2263" s="2"/>
      <c r="AO2263" s="2"/>
      <c r="AP2263" s="2"/>
      <c r="AQ2263" s="2"/>
      <c r="AR2263" s="2"/>
      <c r="AS2263" s="2"/>
      <c r="AT2263" s="2"/>
      <c r="AU2263" s="2"/>
      <c r="AV2263" s="2"/>
      <c r="AW2263" s="2"/>
      <c r="AX2263" s="2"/>
      <c r="AY2263" s="2"/>
      <c r="AZ2263" s="2"/>
      <c r="BA2263" s="2"/>
      <c r="BB2263" s="2"/>
    </row>
    <row r="2264" ht="204.75" customHeight="1">
      <c r="A2264" s="1">
        <v>992.0</v>
      </c>
      <c r="B2264" s="2" t="s">
        <v>7087</v>
      </c>
      <c r="C2264" s="2">
        <f>IFERROR(__xludf.DUMMYFUNCTION("split(B2264,""_"")"),1710.0)</f>
        <v>1710</v>
      </c>
      <c r="D2264" s="2" t="str">
        <f>IFERROR(__xludf.DUMMYFUNCTION("""COMPUTED_VALUE"""),"EX")</f>
        <v>EX</v>
      </c>
      <c r="E2264" s="2" t="str">
        <f>IFERROR(__xludf.DUMMYFUNCTION("""COMPUTED_VALUE"""),"木21")</f>
        <v>木21</v>
      </c>
      <c r="F2264" s="2" t="s">
        <v>6489</v>
      </c>
      <c r="G2264" s="2" t="s">
        <v>7097</v>
      </c>
      <c r="H2264" s="1">
        <v>4.0</v>
      </c>
      <c r="I2264" s="1" t="s">
        <v>2880</v>
      </c>
      <c r="J2264" s="1" t="s">
        <v>11</v>
      </c>
      <c r="K2264" s="2" t="s">
        <v>7098</v>
      </c>
      <c r="L2264" s="2" t="s">
        <v>7099</v>
      </c>
      <c r="M2264" s="2" t="str">
        <f>IFERROR(__xludf.DUMMYFUNCTION("split(split(K2264,""【"",false),""公式LINE"",false)"),"森本(田中圭)と婚活パーティーで出会い、婚約した内神田四織(仲里依紗)が倒れた!未知子(米倉涼子)が処置に当たるが、四織が日本医師倶楽部会長・内神田(草刈正雄)の娘であると告白し、蛭間院長(西田敏行)は大慌て。さらに、四織は「森本以外の手術は受けない」と宣言し…米倉涼子、岸部一徳、草刈正雄、永山絢斗、内田有紀、遠藤憲一、鈴木浩介、田中圭、是永瞳、陣内孝則、段田安則、西田敏行  ")</f>
        <v>森本(田中圭)と婚活パーティーで出会い、婚約した内神田四織(仲里依紗)が倒れた!未知子(米倉涼子)が処置に当たるが、四織が日本医師倶楽部会長・内神田(草刈正雄)の娘であると告白し、蛭間院長(西田敏行)は大慌て。さらに、四織は「森本以外の手術は受けない」と宣言し…米倉涼子、岸部一徳、草刈正雄、永山絢斗、内田有紀、遠藤憲一、鈴木浩介、田中圭、是永瞳、陣内孝則、段田安則、西田敏行  </v>
      </c>
      <c r="N2264" s="2"/>
      <c r="O2264" s="2"/>
      <c r="P2264" s="2"/>
      <c r="Q2264" s="2"/>
      <c r="R2264" s="2"/>
      <c r="S2264" s="2"/>
      <c r="T2264" s="2"/>
      <c r="U2264" s="2"/>
      <c r="V2264" s="2"/>
      <c r="W2264" s="2"/>
      <c r="X2264" s="2"/>
      <c r="Y2264" s="2"/>
      <c r="Z2264" s="2"/>
      <c r="AA2264" s="2"/>
      <c r="AB2264" s="2"/>
      <c r="AC2264" s="2"/>
      <c r="AD2264" s="2"/>
      <c r="AE2264" s="2"/>
      <c r="AF2264" s="2"/>
      <c r="AG2264" s="2"/>
      <c r="AH2264" s="2"/>
      <c r="AI2264" s="2"/>
      <c r="AJ2264" s="2"/>
      <c r="AK2264" s="2"/>
      <c r="AL2264" s="2"/>
      <c r="AM2264" s="2"/>
      <c r="AN2264" s="2"/>
      <c r="AO2264" s="2"/>
      <c r="AP2264" s="2"/>
      <c r="AQ2264" s="2"/>
      <c r="AR2264" s="2"/>
      <c r="AS2264" s="2"/>
      <c r="AT2264" s="2"/>
      <c r="AU2264" s="2"/>
      <c r="AV2264" s="2"/>
      <c r="AW2264" s="2"/>
      <c r="AX2264" s="2"/>
      <c r="AY2264" s="2"/>
      <c r="AZ2264" s="2"/>
      <c r="BA2264" s="2"/>
      <c r="BB2264" s="2"/>
    </row>
    <row r="2265" ht="204.75" customHeight="1">
      <c r="A2265" s="1">
        <v>993.0</v>
      </c>
      <c r="B2265" s="2" t="s">
        <v>7087</v>
      </c>
      <c r="C2265" s="2">
        <f>IFERROR(__xludf.DUMMYFUNCTION("split(B2265,""_"")"),1710.0)</f>
        <v>1710</v>
      </c>
      <c r="D2265" s="2" t="str">
        <f>IFERROR(__xludf.DUMMYFUNCTION("""COMPUTED_VALUE"""),"EX")</f>
        <v>EX</v>
      </c>
      <c r="E2265" s="2" t="str">
        <f>IFERROR(__xludf.DUMMYFUNCTION("""COMPUTED_VALUE"""),"木21")</f>
        <v>木21</v>
      </c>
      <c r="F2265" s="2" t="s">
        <v>6489</v>
      </c>
      <c r="G2265" s="2" t="s">
        <v>7100</v>
      </c>
      <c r="H2265" s="1">
        <v>5.0</v>
      </c>
      <c r="I2265" s="1" t="s">
        <v>2884</v>
      </c>
      <c r="J2265" s="1" t="s">
        <v>11</v>
      </c>
      <c r="K2265" s="2" t="s">
        <v>7101</v>
      </c>
      <c r="L2265" s="2" t="s">
        <v>7102</v>
      </c>
      <c r="M2265" s="2" t="str">
        <f>IFERROR(__xludf.DUMMYFUNCTION("split(split(K2265,""【"",false),""公式LINE"",false)"),"若き天才棋士・五反田五郎(間宮祥太朗)が、対局中に意識を消失。外科副部長・鳥井(段田安則)は、日本医師倶楽部会長・内神田(草刈正雄)の意向を受け、最先端の人工知能「ヒポクラテス」の診断結果を提示した。大門未知子(米倉涼子)は違和感を感じるも、病名までは特定できず…。米倉涼子、岸部一徳、草刈正雄、永山絢斗、内田有紀、遠藤憲一、鈴木浩介、是永瞳、久住小春、段田安則、西田敏行  ")</f>
        <v>若き天才棋士・五反田五郎(間宮祥太朗)が、対局中に意識を消失。外科副部長・鳥井(段田安則)は、日本医師倶楽部会長・内神田(草刈正雄)の意向を受け、最先端の人工知能「ヒポクラテス」の診断結果を提示した。大門未知子(米倉涼子)は違和感を感じるも、病名までは特定できず…。米倉涼子、岸部一徳、草刈正雄、永山絢斗、内田有紀、遠藤憲一、鈴木浩介、是永瞳、久住小春、段田安則、西田敏行  </v>
      </c>
      <c r="N2265" s="2"/>
      <c r="O2265" s="2"/>
      <c r="P2265" s="2"/>
      <c r="Q2265" s="2"/>
      <c r="R2265" s="2"/>
      <c r="S2265" s="2"/>
      <c r="T2265" s="2"/>
      <c r="U2265" s="2"/>
      <c r="V2265" s="2"/>
      <c r="W2265" s="2"/>
      <c r="X2265" s="2"/>
      <c r="Y2265" s="2"/>
      <c r="Z2265" s="2"/>
      <c r="AA2265" s="2"/>
      <c r="AB2265" s="2"/>
      <c r="AC2265" s="2"/>
      <c r="AD2265" s="2"/>
      <c r="AE2265" s="2"/>
      <c r="AF2265" s="2"/>
      <c r="AG2265" s="2"/>
      <c r="AH2265" s="2"/>
      <c r="AI2265" s="2"/>
      <c r="AJ2265" s="2"/>
      <c r="AK2265" s="2"/>
      <c r="AL2265" s="2"/>
      <c r="AM2265" s="2"/>
      <c r="AN2265" s="2"/>
      <c r="AO2265" s="2"/>
      <c r="AP2265" s="2"/>
      <c r="AQ2265" s="2"/>
      <c r="AR2265" s="2"/>
      <c r="AS2265" s="2"/>
      <c r="AT2265" s="2"/>
      <c r="AU2265" s="2"/>
      <c r="AV2265" s="2"/>
      <c r="AW2265" s="2"/>
      <c r="AX2265" s="2"/>
      <c r="AY2265" s="2"/>
      <c r="AZ2265" s="2"/>
      <c r="BA2265" s="2"/>
      <c r="BB2265" s="2"/>
    </row>
    <row r="2266" ht="204.75" customHeight="1">
      <c r="A2266" s="1">
        <v>994.0</v>
      </c>
      <c r="B2266" s="2" t="s">
        <v>7087</v>
      </c>
      <c r="C2266" s="2">
        <f>IFERROR(__xludf.DUMMYFUNCTION("split(B2266,""_"")"),1710.0)</f>
        <v>1710</v>
      </c>
      <c r="D2266" s="2" t="str">
        <f>IFERROR(__xludf.DUMMYFUNCTION("""COMPUTED_VALUE"""),"EX")</f>
        <v>EX</v>
      </c>
      <c r="E2266" s="2" t="str">
        <f>IFERROR(__xludf.DUMMYFUNCTION("""COMPUTED_VALUE"""),"木21")</f>
        <v>木21</v>
      </c>
      <c r="F2266" s="2" t="s">
        <v>6489</v>
      </c>
      <c r="G2266" s="2" t="s">
        <v>7103</v>
      </c>
      <c r="H2266" s="1">
        <v>6.0</v>
      </c>
      <c r="I2266" s="1" t="s">
        <v>2888</v>
      </c>
      <c r="J2266" s="1" t="s">
        <v>11</v>
      </c>
      <c r="K2266" s="2" t="s">
        <v>7104</v>
      </c>
      <c r="L2266" s="2" t="s">
        <v>7105</v>
      </c>
      <c r="M2266" s="2" t="str">
        <f>IFERROR(__xludf.DUMMYFUNCTION("split(split(K2266,""【"",false),""公式LINE"",false)"),"些細なことでケンカをした、未知子(米倉涼子)と博美(内田有紀)。そこへ名医紹介所にまつわるある事実が判明し、さらに険悪になってしまう。そんな中、二人が共に担当する予定だった、中華料理店の店主・六浦良夫(平泉成)の妻・敦子(松金よね子)の手術を前に、良夫の膵臓に複数の腫瘍があることが判明!夫婦同時オペとなるが、博美は患者の立場から手術をためらい、未知子は博美がいるなら自分は手術をしないと言い張り…米倉涼子、岸部一徳、永山絢斗、内田有紀、遠藤憲一、鈴木浩介、田中圭、是永瞳、久住小春、陣内孝則  ")</f>
        <v>些細なことでケンカをした、未知子(米倉涼子)と博美(内田有紀)。そこへ名医紹介所にまつわるある事実が判明し、さらに険悪になってしまう。そんな中、二人が共に担当する予定だった、中華料理店の店主・六浦良夫(平泉成)の妻・敦子(松金よね子)の手術を前に、良夫の膵臓に複数の腫瘍があることが判明!夫婦同時オペとなるが、博美は患者の立場から手術をためらい、未知子は博美がいるなら自分は手術をしないと言い張り…米倉涼子、岸部一徳、永山絢斗、内田有紀、遠藤憲一、鈴木浩介、田中圭、是永瞳、久住小春、陣内孝則  </v>
      </c>
      <c r="N2266" s="2"/>
      <c r="O2266" s="2"/>
      <c r="P2266" s="2"/>
      <c r="Q2266" s="2"/>
      <c r="R2266" s="2"/>
      <c r="S2266" s="2"/>
      <c r="T2266" s="2"/>
      <c r="U2266" s="2"/>
      <c r="V2266" s="2"/>
      <c r="W2266" s="2"/>
      <c r="X2266" s="2"/>
      <c r="Y2266" s="2"/>
      <c r="Z2266" s="2"/>
      <c r="AA2266" s="2"/>
      <c r="AB2266" s="2"/>
      <c r="AC2266" s="2"/>
      <c r="AD2266" s="2"/>
      <c r="AE2266" s="2"/>
      <c r="AF2266" s="2"/>
      <c r="AG2266" s="2"/>
      <c r="AH2266" s="2"/>
      <c r="AI2266" s="2"/>
      <c r="AJ2266" s="2"/>
      <c r="AK2266" s="2"/>
      <c r="AL2266" s="2"/>
      <c r="AM2266" s="2"/>
      <c r="AN2266" s="2"/>
      <c r="AO2266" s="2"/>
      <c r="AP2266" s="2"/>
      <c r="AQ2266" s="2"/>
      <c r="AR2266" s="2"/>
      <c r="AS2266" s="2"/>
      <c r="AT2266" s="2"/>
      <c r="AU2266" s="2"/>
      <c r="AV2266" s="2"/>
      <c r="AW2266" s="2"/>
      <c r="AX2266" s="2"/>
      <c r="AY2266" s="2"/>
      <c r="AZ2266" s="2"/>
      <c r="BA2266" s="2"/>
      <c r="BB2266" s="2"/>
    </row>
    <row r="2267" ht="204.75" customHeight="1">
      <c r="A2267" s="1">
        <v>995.0</v>
      </c>
      <c r="B2267" s="2" t="s">
        <v>7087</v>
      </c>
      <c r="C2267" s="2">
        <f>IFERROR(__xludf.DUMMYFUNCTION("split(B2267,""_"")"),1710.0)</f>
        <v>1710</v>
      </c>
      <c r="D2267" s="2" t="str">
        <f>IFERROR(__xludf.DUMMYFUNCTION("""COMPUTED_VALUE"""),"EX")</f>
        <v>EX</v>
      </c>
      <c r="E2267" s="2" t="str">
        <f>IFERROR(__xludf.DUMMYFUNCTION("""COMPUTED_VALUE"""),"木21")</f>
        <v>木21</v>
      </c>
      <c r="F2267" s="2" t="s">
        <v>6489</v>
      </c>
      <c r="G2267" s="2" t="s">
        <v>7106</v>
      </c>
      <c r="H2267" s="1">
        <v>7.0</v>
      </c>
      <c r="I2267" s="1" t="s">
        <v>2892</v>
      </c>
      <c r="J2267" s="1" t="s">
        <v>11</v>
      </c>
      <c r="K2267" s="2" t="s">
        <v>7107</v>
      </c>
      <c r="L2267" s="2" t="s">
        <v>7108</v>
      </c>
      <c r="M2267" s="2" t="str">
        <f>IFERROR(__xludf.DUMMYFUNCTION("split(split(K2267,""【"",false),""公式LINE"",false)"),"原守(鈴木浩介)と日本医師倶楽部会長・内神田(草刈正雄)夫人の従妹とのお見合いの場に、大門未知子(米倉涼子)が元恋人のナナーシャ(シャーロット・ケイト・フォックス)を連れてきた!お見合いはぶち壊しとなり、その後ナナーシャが脳腫瘍で余命3カ月と判明する。未知子はオペを申し出るも、ナナーシャは拒絶。さらに、お見合いを成立させたい蛭間院長(西田敏行)も手術を妨げようとし…。恋か?出世か?原守の決断は…米倉涼子、岸部一徳、永山絢斗、鈴木浩介、田中圭、是永瞳、久住小春、陣内孝則、段田安則、西田敏行  ")</f>
        <v>原守(鈴木浩介)と日本医師倶楽部会長・内神田(草刈正雄)夫人の従妹とのお見合いの場に、大門未知子(米倉涼子)が元恋人のナナーシャ(シャーロット・ケイト・フォックス)を連れてきた!お見合いはぶち壊しとなり、その後ナナーシャが脳腫瘍で余命3カ月と判明する。未知子はオペを申し出るも、ナナーシャは拒絶。さらに、お見合いを成立させたい蛭間院長(西田敏行)も手術を妨げようとし…。恋か?出世か?原守の決断は…米倉涼子、岸部一徳、永山絢斗、鈴木浩介、田中圭、是永瞳、久住小春、陣内孝則、段田安則、西田敏行  </v>
      </c>
      <c r="N2267" s="2"/>
      <c r="O2267" s="2"/>
      <c r="P2267" s="2"/>
      <c r="Q2267" s="2"/>
      <c r="R2267" s="2"/>
      <c r="S2267" s="2"/>
      <c r="T2267" s="2"/>
      <c r="U2267" s="2"/>
      <c r="V2267" s="2"/>
      <c r="W2267" s="2"/>
      <c r="X2267" s="2"/>
      <c r="Y2267" s="2"/>
      <c r="Z2267" s="2"/>
      <c r="AA2267" s="2"/>
      <c r="AB2267" s="2"/>
      <c r="AC2267" s="2"/>
      <c r="AD2267" s="2"/>
      <c r="AE2267" s="2"/>
      <c r="AF2267" s="2"/>
      <c r="AG2267" s="2"/>
      <c r="AH2267" s="2"/>
      <c r="AI2267" s="2"/>
      <c r="AJ2267" s="2"/>
      <c r="AK2267" s="2"/>
      <c r="AL2267" s="2"/>
      <c r="AM2267" s="2"/>
      <c r="AN2267" s="2"/>
      <c r="AO2267" s="2"/>
      <c r="AP2267" s="2"/>
      <c r="AQ2267" s="2"/>
      <c r="AR2267" s="2"/>
      <c r="AS2267" s="2"/>
      <c r="AT2267" s="2"/>
      <c r="AU2267" s="2"/>
      <c r="AV2267" s="2"/>
      <c r="AW2267" s="2"/>
      <c r="AX2267" s="2"/>
      <c r="AY2267" s="2"/>
      <c r="AZ2267" s="2"/>
      <c r="BA2267" s="2"/>
      <c r="BB2267" s="2"/>
    </row>
    <row r="2268" ht="204.75" customHeight="1">
      <c r="A2268" s="1">
        <v>996.0</v>
      </c>
      <c r="B2268" s="2" t="s">
        <v>7087</v>
      </c>
      <c r="C2268" s="2">
        <f>IFERROR(__xludf.DUMMYFUNCTION("split(B2268,""_"")"),1710.0)</f>
        <v>1710</v>
      </c>
      <c r="D2268" s="2" t="str">
        <f>IFERROR(__xludf.DUMMYFUNCTION("""COMPUTED_VALUE"""),"EX")</f>
        <v>EX</v>
      </c>
      <c r="E2268" s="2" t="str">
        <f>IFERROR(__xludf.DUMMYFUNCTION("""COMPUTED_VALUE"""),"木21")</f>
        <v>木21</v>
      </c>
      <c r="F2268" s="2" t="s">
        <v>6489</v>
      </c>
      <c r="G2268" s="2" t="s">
        <v>7109</v>
      </c>
      <c r="H2268" s="1">
        <v>8.0</v>
      </c>
      <c r="I2268" s="1" t="s">
        <v>2896</v>
      </c>
      <c r="J2268" s="1" t="s">
        <v>11</v>
      </c>
      <c r="K2268" s="2" t="s">
        <v>7110</v>
      </c>
      <c r="L2268" s="2" t="s">
        <v>7111</v>
      </c>
      <c r="M2268" s="2" t="str">
        <f>IFERROR(__xludf.DUMMYFUNCTION("split(split(K2268,""【"",false),""公式LINE"",false)"),"根治手術が不可能ながんであると診断され、死を覚悟した元大臣秘書官・八雲(林家正蔵)が厚労省の不祥事を告発。しかし、告発した人物らは日本医師倶楽部会長・内神田(草刈正雄)の友人だった!内神田に釘を刺された蛭間(西田敏行)は、未知子(米倉涼子)を八雲のオペから排除。納得のいかない未知子だが、そこで若手医師の西山(永山絢斗)が未知子に“これまで口にすることのなかった思い""をぶつけ、信じられない行動に出る米倉涼子、岸部一徳、草刈正雄、永山絢斗、内田有紀、遠藤憲一、田中圭、久住小春、陣内孝則、段田安則、西田敏行 "&amp;" ")</f>
        <v>根治手術が不可能ながんであると診断され、死を覚悟した元大臣秘書官・八雲(林家正蔵)が厚労省の不祥事を告発。しかし、告発した人物らは日本医師倶楽部会長・内神田(草刈正雄)の友人だった!内神田に釘を刺された蛭間(西田敏行)は、未知子(米倉涼子)を八雲のオペから排除。納得のいかない未知子だが、そこで若手医師の西山(永山絢斗)が未知子に“これまで口にすることのなかった思い"をぶつけ、信じられない行動に出る米倉涼子、岸部一徳、草刈正雄、永山絢斗、内田有紀、遠藤憲一、田中圭、久住小春、陣内孝則、段田安則、西田敏行  </v>
      </c>
      <c r="N2268" s="2"/>
      <c r="O2268" s="2"/>
      <c r="P2268" s="2"/>
      <c r="Q2268" s="2"/>
      <c r="R2268" s="2"/>
      <c r="S2268" s="2"/>
      <c r="T2268" s="2"/>
      <c r="U2268" s="2"/>
      <c r="V2268" s="2"/>
      <c r="W2268" s="2"/>
      <c r="X2268" s="2"/>
      <c r="Y2268" s="2"/>
      <c r="Z2268" s="2"/>
      <c r="AA2268" s="2"/>
      <c r="AB2268" s="2"/>
      <c r="AC2268" s="2"/>
      <c r="AD2268" s="2"/>
      <c r="AE2268" s="2"/>
      <c r="AF2268" s="2"/>
      <c r="AG2268" s="2"/>
      <c r="AH2268" s="2"/>
      <c r="AI2268" s="2"/>
      <c r="AJ2268" s="2"/>
      <c r="AK2268" s="2"/>
      <c r="AL2268" s="2"/>
      <c r="AM2268" s="2"/>
      <c r="AN2268" s="2"/>
      <c r="AO2268" s="2"/>
      <c r="AP2268" s="2"/>
      <c r="AQ2268" s="2"/>
      <c r="AR2268" s="2"/>
      <c r="AS2268" s="2"/>
      <c r="AT2268" s="2"/>
      <c r="AU2268" s="2"/>
      <c r="AV2268" s="2"/>
      <c r="AW2268" s="2"/>
      <c r="AX2268" s="2"/>
      <c r="AY2268" s="2"/>
      <c r="AZ2268" s="2"/>
      <c r="BA2268" s="2"/>
      <c r="BB2268" s="2"/>
    </row>
    <row r="2269" ht="204.75" customHeight="1">
      <c r="A2269" s="1">
        <v>997.0</v>
      </c>
      <c r="B2269" s="2" t="s">
        <v>7087</v>
      </c>
      <c r="C2269" s="2">
        <f>IFERROR(__xludf.DUMMYFUNCTION("split(B2269,""_"")"),1710.0)</f>
        <v>1710</v>
      </c>
      <c r="D2269" s="2" t="str">
        <f>IFERROR(__xludf.DUMMYFUNCTION("""COMPUTED_VALUE"""),"EX")</f>
        <v>EX</v>
      </c>
      <c r="E2269" s="2" t="str">
        <f>IFERROR(__xludf.DUMMYFUNCTION("""COMPUTED_VALUE"""),"木21")</f>
        <v>木21</v>
      </c>
      <c r="F2269" s="2" t="s">
        <v>6489</v>
      </c>
      <c r="G2269" s="2" t="s">
        <v>7112</v>
      </c>
      <c r="H2269" s="1">
        <v>9.0</v>
      </c>
      <c r="I2269" s="1" t="s">
        <v>2900</v>
      </c>
      <c r="J2269" s="1" t="s">
        <v>4</v>
      </c>
      <c r="K2269" s="2" t="s">
        <v>7113</v>
      </c>
      <c r="L2269" s="2" t="s">
        <v>7114</v>
      </c>
      <c r="M2269" s="2" t="str">
        <f>IFERROR(__xludf.DUMMYFUNCTION("split(split(K2269,""【"",false),""公式LINE"",false)"),"バレエ教室に通う少女・九重遥(井本彩花)が、足を骨折。通常の治療では、大事な選考会に間に合わない。そこで、未知子(米倉涼子)はたった1回の手術で完治できるという、「患者自身の骨で作った骨のネジで骨折部を固定する」術式を提案。一方、日本医師倶楽部会長・内神田(草刈正雄)は未知子を日本の医学界から排除すべく、本格的に暗躍し始める。そして、少女の治療にまい進する未知子の前に“高い壁""が立ちはだかり…米倉涼子、岸部一徳、草刈正雄、永山絢斗、内田有紀、遠藤憲一、鈴木浩介、田中圭、是永瞳、久住小春、陣内孝則、段田安"&amp;"則、西田敏行  ")</f>
        <v>バレエ教室に通う少女・九重遥(井本彩花)が、足を骨折。通常の治療では、大事な選考会に間に合わない。そこで、未知子(米倉涼子)はたった1回の手術で完治できるという、「患者自身の骨で作った骨のネジで骨折部を固定する」術式を提案。一方、日本医師倶楽部会長・内神田(草刈正雄)は未知子を日本の医学界から排除すべく、本格的に暗躍し始める。そして、少女の治療にまい進する未知子の前に“高い壁"が立ちはだかり…米倉涼子、岸部一徳、草刈正雄、永山絢斗、内田有紀、遠藤憲一、鈴木浩介、田中圭、是永瞳、久住小春、陣内孝則、段田安則、西田敏行  </v>
      </c>
      <c r="N2269" s="2"/>
      <c r="O2269" s="2"/>
      <c r="P2269" s="2"/>
      <c r="Q2269" s="2"/>
      <c r="R2269" s="2"/>
      <c r="S2269" s="2"/>
      <c r="T2269" s="2"/>
      <c r="U2269" s="2"/>
      <c r="V2269" s="2"/>
      <c r="W2269" s="2"/>
      <c r="X2269" s="2"/>
      <c r="Y2269" s="2"/>
      <c r="Z2269" s="2"/>
      <c r="AA2269" s="2"/>
      <c r="AB2269" s="2"/>
      <c r="AC2269" s="2"/>
      <c r="AD2269" s="2"/>
      <c r="AE2269" s="2"/>
      <c r="AF2269" s="2"/>
      <c r="AG2269" s="2"/>
      <c r="AH2269" s="2"/>
      <c r="AI2269" s="2"/>
      <c r="AJ2269" s="2"/>
      <c r="AK2269" s="2"/>
      <c r="AL2269" s="2"/>
      <c r="AM2269" s="2"/>
      <c r="AN2269" s="2"/>
      <c r="AO2269" s="2"/>
      <c r="AP2269" s="2"/>
      <c r="AQ2269" s="2"/>
      <c r="AR2269" s="2"/>
      <c r="AS2269" s="2"/>
      <c r="AT2269" s="2"/>
      <c r="AU2269" s="2"/>
      <c r="AV2269" s="2"/>
      <c r="AW2269" s="2"/>
      <c r="AX2269" s="2"/>
      <c r="AY2269" s="2"/>
      <c r="AZ2269" s="2"/>
      <c r="BA2269" s="2"/>
      <c r="BB2269" s="2"/>
    </row>
    <row r="2270" ht="204.75" customHeight="1">
      <c r="A2270" s="1">
        <v>998.0</v>
      </c>
      <c r="B2270" s="2" t="s">
        <v>7087</v>
      </c>
      <c r="C2270" s="2">
        <f>IFERROR(__xludf.DUMMYFUNCTION("split(B2270,""_"")"),1710.0)</f>
        <v>1710</v>
      </c>
      <c r="D2270" s="2" t="str">
        <f>IFERROR(__xludf.DUMMYFUNCTION("""COMPUTED_VALUE"""),"EX")</f>
        <v>EX</v>
      </c>
      <c r="E2270" s="2" t="str">
        <f>IFERROR(__xludf.DUMMYFUNCTION("""COMPUTED_VALUE"""),"木21")</f>
        <v>木21</v>
      </c>
      <c r="F2270" s="2" t="s">
        <v>6489</v>
      </c>
      <c r="G2270" s="2" t="s">
        <v>7115</v>
      </c>
      <c r="H2270" s="1">
        <v>10.0</v>
      </c>
      <c r="I2270" s="1" t="s">
        <v>37</v>
      </c>
      <c r="J2270" s="1" t="s">
        <v>4</v>
      </c>
      <c r="K2270" s="2" t="s">
        <v>7116</v>
      </c>
      <c r="L2270" s="2" t="s">
        <v>7117</v>
      </c>
      <c r="M2270" s="2" t="str">
        <f>IFERROR(__xludf.DUMMYFUNCTION("split(split(K2270,""【"",false),""公式LINE"",false)"),"大門未知子(米倉涼子)が倒れた!その矢先、日本医師倶楽部会長・内神田(草刈正雄)が食道がんを患い手術を受けることになるが、内神田は敵視する未知子の執刀を拒否。そこへ、加地秀樹(勝村政信)が出現!執刀医に名乗りを上げるが…。自らの体を蝕む病魔と闘いながら、未知子は内神田の命を救うことができるのか…!?そして、ほかでもない未知子自身の命は助かるのか…!?大門未知子、“最後のオペ""がついに始まる!米倉涼子、岸部一徳、草刈正雄、永山絢斗、内田有紀、遠藤憲一、鈴木浩介、田中圭、是永瞳、久住小春、陣内孝則、段田安則"&amp;"、西田敏行  ")</f>
        <v>大門未知子(米倉涼子)が倒れた!その矢先、日本医師倶楽部会長・内神田(草刈正雄)が食道がんを患い手術を受けることになるが、内神田は敵視する未知子の執刀を拒否。そこへ、加地秀樹(勝村政信)が出現!執刀医に名乗りを上げるが…。自らの体を蝕む病魔と闘いながら、未知子は内神田の命を救うことができるのか…!?そして、ほかでもない未知子自身の命は助かるのか…!?大門未知子、“最後のオペ"がついに始まる!米倉涼子、岸部一徳、草刈正雄、永山絢斗、内田有紀、遠藤憲一、鈴木浩介、田中圭、是永瞳、久住小春、陣内孝則、段田安則、西田敏行  </v>
      </c>
      <c r="N2270" s="2"/>
      <c r="O2270" s="2"/>
      <c r="P2270" s="2"/>
      <c r="Q2270" s="2"/>
      <c r="R2270" s="2"/>
      <c r="S2270" s="2"/>
      <c r="T2270" s="2"/>
      <c r="U2270" s="2"/>
      <c r="V2270" s="2"/>
      <c r="W2270" s="2"/>
      <c r="X2270" s="2"/>
      <c r="Y2270" s="2"/>
      <c r="Z2270" s="2"/>
      <c r="AA2270" s="2"/>
      <c r="AB2270" s="2"/>
      <c r="AC2270" s="2"/>
      <c r="AD2270" s="2"/>
      <c r="AE2270" s="2"/>
      <c r="AF2270" s="2"/>
      <c r="AG2270" s="2"/>
      <c r="AH2270" s="2"/>
      <c r="AI2270" s="2"/>
      <c r="AJ2270" s="2"/>
      <c r="AK2270" s="2"/>
      <c r="AL2270" s="2"/>
      <c r="AM2270" s="2"/>
      <c r="AN2270" s="2"/>
      <c r="AO2270" s="2"/>
      <c r="AP2270" s="2"/>
      <c r="AQ2270" s="2"/>
      <c r="AR2270" s="2"/>
      <c r="AS2270" s="2"/>
      <c r="AT2270" s="2"/>
      <c r="AU2270" s="2"/>
      <c r="AV2270" s="2"/>
      <c r="AW2270" s="2"/>
      <c r="AX2270" s="2"/>
      <c r="AY2270" s="2"/>
      <c r="AZ2270" s="2"/>
      <c r="BA2270" s="2"/>
      <c r="BB2270" s="2"/>
    </row>
    <row r="2271" ht="204.75" customHeight="1">
      <c r="A2271" s="1">
        <v>1029.0</v>
      </c>
      <c r="B2271" s="2" t="s">
        <v>7118</v>
      </c>
      <c r="C2271" s="2">
        <f>IFERROR(__xludf.DUMMYFUNCTION("split(B2271,""_"")"),1710.0)</f>
        <v>1710</v>
      </c>
      <c r="D2271" s="2" t="str">
        <f>IFERROR(__xludf.DUMMYFUNCTION("""COMPUTED_VALUE"""),"EX")</f>
        <v>EX</v>
      </c>
      <c r="E2271" s="2" t="str">
        <f>IFERROR(__xludf.DUMMYFUNCTION("""COMPUTED_VALUE"""),"金23")</f>
        <v>金23</v>
      </c>
      <c r="F2271" s="2" t="s">
        <v>7119</v>
      </c>
      <c r="G2271" s="2" t="s">
        <v>7120</v>
      </c>
      <c r="H2271" s="1">
        <v>1.0</v>
      </c>
      <c r="I2271" s="1" t="s">
        <v>2868</v>
      </c>
      <c r="J2271" s="1" t="s">
        <v>1435</v>
      </c>
      <c r="K2271" s="2" t="s">
        <v>7121</v>
      </c>
      <c r="L2271" s="10" t="s">
        <v>7122</v>
      </c>
      <c r="M2271" s="2" t="str">
        <f>IFERROR(__xludf.DUMMYFUNCTION("split(split(K2271,""【"",false),""公式LINE"",false)"),"なぜかいつも死体に遭遇、第一発見者になってしまう不幸な男・圭(玉森裕太)は、モデル仲間の斎(小山慶一郎)、シモン(古川雄輝)と共に腕時計のパンフレットの撮影に臨んでいた。そこに時計会社の部長・小高(遼河はるひ)がやって来て、圭たちをパーティーに招待する。 圭はパーティーで小高のエスコート役に。しかし、小高がスピーチを始めたその時、シャンデリアが落下!現場には刑事・果林(新木優子)が現れて…玉森裕太、小山慶一郎、新木優子、古川雄輝、堀田茜、一井直樹、滝藤賢一、豊原功補、西岡徳馬、松平健  ")</f>
        <v>なぜかいつも死体に遭遇、第一発見者になってしまう不幸な男・圭(玉森裕太)は、モデル仲間の斎(小山慶一郎)、シモン(古川雄輝)と共に腕時計のパンフレットの撮影に臨んでいた。そこに時計会社の部長・小高(遼河はるひ)がやって来て、圭たちをパーティーに招待する。 圭はパーティーで小高のエスコート役に。しかし、小高がスピーチを始めたその時、シャンデリアが落下!現場には刑事・果林(新木優子)が現れて…玉森裕太、小山慶一郎、新木優子、古川雄輝、堀田茜、一井直樹、滝藤賢一、豊原功補、西岡徳馬、松平健  </v>
      </c>
      <c r="N2271" s="2"/>
      <c r="O2271" s="2"/>
      <c r="P2271" s="2"/>
      <c r="Q2271" s="2"/>
      <c r="R2271" s="2"/>
      <c r="S2271" s="2"/>
      <c r="T2271" s="2"/>
      <c r="U2271" s="2"/>
      <c r="V2271" s="2"/>
      <c r="W2271" s="2"/>
      <c r="X2271" s="2"/>
      <c r="Y2271" s="2"/>
      <c r="Z2271" s="2"/>
      <c r="AA2271" s="2"/>
      <c r="AB2271" s="2"/>
      <c r="AC2271" s="2"/>
      <c r="AD2271" s="2"/>
      <c r="AE2271" s="2"/>
      <c r="AF2271" s="2"/>
      <c r="AG2271" s="2"/>
      <c r="AH2271" s="2"/>
      <c r="AI2271" s="2"/>
      <c r="AJ2271" s="2"/>
      <c r="AK2271" s="2"/>
      <c r="AL2271" s="2"/>
      <c r="AM2271" s="2"/>
      <c r="AN2271" s="2"/>
      <c r="AO2271" s="2"/>
      <c r="AP2271" s="2"/>
      <c r="AQ2271" s="2"/>
      <c r="AR2271" s="2"/>
      <c r="AS2271" s="2"/>
      <c r="AT2271" s="2"/>
      <c r="AU2271" s="2"/>
      <c r="AV2271" s="2"/>
      <c r="AW2271" s="2"/>
      <c r="AX2271" s="2"/>
      <c r="AY2271" s="2"/>
      <c r="AZ2271" s="2"/>
      <c r="BA2271" s="2"/>
      <c r="BB2271" s="2"/>
    </row>
    <row r="2272" ht="204.75" customHeight="1">
      <c r="A2272" s="1">
        <v>1030.0</v>
      </c>
      <c r="B2272" s="2" t="s">
        <v>7118</v>
      </c>
      <c r="C2272" s="2">
        <f>IFERROR(__xludf.DUMMYFUNCTION("split(B2272,""_"")"),1710.0)</f>
        <v>1710</v>
      </c>
      <c r="D2272" s="2" t="str">
        <f>IFERROR(__xludf.DUMMYFUNCTION("""COMPUTED_VALUE"""),"EX")</f>
        <v>EX</v>
      </c>
      <c r="E2272" s="2" t="str">
        <f>IFERROR(__xludf.DUMMYFUNCTION("""COMPUTED_VALUE"""),"金23")</f>
        <v>金23</v>
      </c>
      <c r="F2272" s="2" t="s">
        <v>7119</v>
      </c>
      <c r="G2272" s="2" t="s">
        <v>7123</v>
      </c>
      <c r="H2272" s="1">
        <v>2.0</v>
      </c>
      <c r="I2272" s="1" t="s">
        <v>2872</v>
      </c>
      <c r="J2272" s="1" t="s">
        <v>1435</v>
      </c>
      <c r="K2272" s="2" t="s">
        <v>7124</v>
      </c>
      <c r="L2272" s="10" t="s">
        <v>7125</v>
      </c>
      <c r="M2272" s="2" t="str">
        <f>IFERROR(__xludf.DUMMYFUNCTION("split(split(K2272,""【"",false),""公式LINE"",false)"),"国民的女優・乙原ゆり(志田未来)が出演するCMオーディションに参加した圭(玉森裕太)、斎(小山慶一郎)、シモン(古川雄輝)。一次審査を通過した圭は、モデルの魚住爽太(中山優馬)と出会う。最終審査で、相手役は爽太に決定!残念ながら不合格となった圭が会場を出ようとしたその時…何かが落下する音が!?音のした方に向かった圭は、そこで頭から血を流した爽太の姿を発見。爽太の過去を調べるため、生まれ故郷に向かい…玉森裕太、小山慶一郎、新木優子、古川雄輝、堀田茜、一井直樹、滝藤賢一、豊原功補  ")</f>
        <v>国民的女優・乙原ゆり(志田未来)が出演するCMオーディションに参加した圭(玉森裕太)、斎(小山慶一郎)、シモン(古川雄輝)。一次審査を通過した圭は、モデルの魚住爽太(中山優馬)と出会う。最終審査で、相手役は爽太に決定!残念ながら不合格となった圭が会場を出ようとしたその時…何かが落下する音が!?音のした方に向かった圭は、そこで頭から血を流した爽太の姿を発見。爽太の過去を調べるため、生まれ故郷に向かい…玉森裕太、小山慶一郎、新木優子、古川雄輝、堀田茜、一井直樹、滝藤賢一、豊原功補  </v>
      </c>
      <c r="N2272" s="2"/>
      <c r="O2272" s="2"/>
      <c r="P2272" s="2"/>
      <c r="Q2272" s="2"/>
      <c r="R2272" s="2"/>
      <c r="S2272" s="2"/>
      <c r="T2272" s="2"/>
      <c r="U2272" s="2"/>
      <c r="V2272" s="2"/>
      <c r="W2272" s="2"/>
      <c r="X2272" s="2"/>
      <c r="Y2272" s="2"/>
      <c r="Z2272" s="2"/>
      <c r="AA2272" s="2"/>
      <c r="AB2272" s="2"/>
      <c r="AC2272" s="2"/>
      <c r="AD2272" s="2"/>
      <c r="AE2272" s="2"/>
      <c r="AF2272" s="2"/>
      <c r="AG2272" s="2"/>
      <c r="AH2272" s="2"/>
      <c r="AI2272" s="2"/>
      <c r="AJ2272" s="2"/>
      <c r="AK2272" s="2"/>
      <c r="AL2272" s="2"/>
      <c r="AM2272" s="2"/>
      <c r="AN2272" s="2"/>
      <c r="AO2272" s="2"/>
      <c r="AP2272" s="2"/>
      <c r="AQ2272" s="2"/>
      <c r="AR2272" s="2"/>
      <c r="AS2272" s="2"/>
      <c r="AT2272" s="2"/>
      <c r="AU2272" s="2"/>
      <c r="AV2272" s="2"/>
      <c r="AW2272" s="2"/>
      <c r="AX2272" s="2"/>
      <c r="AY2272" s="2"/>
      <c r="AZ2272" s="2"/>
      <c r="BA2272" s="2"/>
      <c r="BB2272" s="2"/>
    </row>
    <row r="2273" ht="204.75" customHeight="1">
      <c r="A2273" s="1">
        <v>1031.0</v>
      </c>
      <c r="B2273" s="2" t="s">
        <v>7118</v>
      </c>
      <c r="C2273" s="2">
        <f>IFERROR(__xludf.DUMMYFUNCTION("split(B2273,""_"")"),1710.0)</f>
        <v>1710</v>
      </c>
      <c r="D2273" s="2" t="str">
        <f>IFERROR(__xludf.DUMMYFUNCTION("""COMPUTED_VALUE"""),"EX")</f>
        <v>EX</v>
      </c>
      <c r="E2273" s="2" t="str">
        <f>IFERROR(__xludf.DUMMYFUNCTION("""COMPUTED_VALUE"""),"金23")</f>
        <v>金23</v>
      </c>
      <c r="F2273" s="2" t="s">
        <v>7119</v>
      </c>
      <c r="G2273" s="2" t="s">
        <v>7126</v>
      </c>
      <c r="H2273" s="1">
        <v>3.0</v>
      </c>
      <c r="I2273" s="1" t="s">
        <v>2876</v>
      </c>
      <c r="J2273" s="1" t="s">
        <v>1435</v>
      </c>
      <c r="K2273" s="2" t="s">
        <v>7127</v>
      </c>
      <c r="L2273" s="2" t="s">
        <v>7128</v>
      </c>
      <c r="M2273" s="2" t="str">
        <f>IFERROR(__xludf.DUMMYFUNCTION("split(split(K2273,""【"",false),""公式LINE"",false)"),"雑誌の企画で、登山をしにきた圭(玉森裕太)、斎(小山慶一郎)、シモン(古川雄輝)は、撮影終了後に山のロッジに泊まることになる。そこには、無愛想な管理人(敦士)とその妻(笛木優子)が…。さらにそのロッジには、立入禁止の部屋があった。夜、寝つけなかった圭は、たまたま扉が開いていた立入禁止の部屋に入り、内側から鍵をかけ、つい寝入ってしまう。しかし、翌朝目覚めるとベッドの下には死体があり…!?玉森裕太、小山慶一郎、新木優子、古川雄輝、堀田茜、一井直樹、滝藤賢一、豊原功補  ")</f>
        <v>雑誌の企画で、登山をしにきた圭(玉森裕太)、斎(小山慶一郎)、シモン(古川雄輝)は、撮影終了後に山のロッジに泊まることになる。そこには、無愛想な管理人(敦士)とその妻(笛木優子)が…。さらにそのロッジには、立入禁止の部屋があった。夜、寝つけなかった圭は、たまたま扉が開いていた立入禁止の部屋に入り、内側から鍵をかけ、つい寝入ってしまう。しかし、翌朝目覚めるとベッドの下には死体があり…!?玉森裕太、小山慶一郎、新木優子、古川雄輝、堀田茜、一井直樹、滝藤賢一、豊原功補  </v>
      </c>
      <c r="N2273" s="2"/>
      <c r="O2273" s="2"/>
      <c r="P2273" s="2"/>
      <c r="Q2273" s="2"/>
      <c r="R2273" s="2"/>
      <c r="S2273" s="2"/>
      <c r="T2273" s="2"/>
      <c r="U2273" s="2"/>
      <c r="V2273" s="2"/>
      <c r="W2273" s="2"/>
      <c r="X2273" s="2"/>
      <c r="Y2273" s="2"/>
      <c r="Z2273" s="2"/>
      <c r="AA2273" s="2"/>
      <c r="AB2273" s="2"/>
      <c r="AC2273" s="2"/>
      <c r="AD2273" s="2"/>
      <c r="AE2273" s="2"/>
      <c r="AF2273" s="2"/>
      <c r="AG2273" s="2"/>
      <c r="AH2273" s="2"/>
      <c r="AI2273" s="2"/>
      <c r="AJ2273" s="2"/>
      <c r="AK2273" s="2"/>
      <c r="AL2273" s="2"/>
      <c r="AM2273" s="2"/>
      <c r="AN2273" s="2"/>
      <c r="AO2273" s="2"/>
      <c r="AP2273" s="2"/>
      <c r="AQ2273" s="2"/>
      <c r="AR2273" s="2"/>
      <c r="AS2273" s="2"/>
      <c r="AT2273" s="2"/>
      <c r="AU2273" s="2"/>
      <c r="AV2273" s="2"/>
      <c r="AW2273" s="2"/>
      <c r="AX2273" s="2"/>
      <c r="AY2273" s="2"/>
      <c r="AZ2273" s="2"/>
      <c r="BA2273" s="2"/>
      <c r="BB2273" s="2"/>
    </row>
    <row r="2274" ht="204.75" customHeight="1">
      <c r="A2274" s="1">
        <v>1032.0</v>
      </c>
      <c r="B2274" s="2" t="s">
        <v>7118</v>
      </c>
      <c r="C2274" s="2">
        <f>IFERROR(__xludf.DUMMYFUNCTION("split(B2274,""_"")"),1710.0)</f>
        <v>1710</v>
      </c>
      <c r="D2274" s="2" t="str">
        <f>IFERROR(__xludf.DUMMYFUNCTION("""COMPUTED_VALUE"""),"EX")</f>
        <v>EX</v>
      </c>
      <c r="E2274" s="2" t="str">
        <f>IFERROR(__xludf.DUMMYFUNCTION("""COMPUTED_VALUE"""),"金23")</f>
        <v>金23</v>
      </c>
      <c r="F2274" s="2" t="s">
        <v>7119</v>
      </c>
      <c r="G2274" s="2" t="s">
        <v>7129</v>
      </c>
      <c r="H2274" s="1">
        <v>4.0</v>
      </c>
      <c r="I2274" s="1" t="s">
        <v>2880</v>
      </c>
      <c r="J2274" s="1" t="s">
        <v>1435</v>
      </c>
      <c r="K2274" s="2" t="s">
        <v>7130</v>
      </c>
      <c r="L2274" s="2" t="s">
        <v>7131</v>
      </c>
      <c r="M2274" s="2" t="str">
        <f>IFERROR(__xludf.DUMMYFUNCTION("split(split(K2274,""【"",false),""公式LINE"",false)"),"絶海の孤島に建つ洋館で起きる殺人事件を描いた舞台に、一番初めに殺される男として出演することになった弥木圭(玉森裕太)。緊張している圭を劇団員の栞(雛形あきこ)がなぐさめてくれる。しかし、開演直前に主演の黒井(福田悠太)とルナ(矢作穂香)が言い争っている様子を目撃。不審に思う中、舞台の幕が開く。しかし、圭はシモン(古川雄輝)、果林(新木優子)ら観客が見守る舞台上で黒井が殺害されているのを発見し…?玉森裕太、小山慶一郎、新木優子、古川雄輝、堀田茜、一井直樹、滝藤賢一、豊原功補、西岡徳馬  ")</f>
        <v>絶海の孤島に建つ洋館で起きる殺人事件を描いた舞台に、一番初めに殺される男として出演することになった弥木圭(玉森裕太)。緊張している圭を劇団員の栞(雛形あきこ)がなぐさめてくれる。しかし、開演直前に主演の黒井(福田悠太)とルナ(矢作穂香)が言い争っている様子を目撃。不審に思う中、舞台の幕が開く。しかし、圭はシモン(古川雄輝)、果林(新木優子)ら観客が見守る舞台上で黒井が殺害されているのを発見し…?玉森裕太、小山慶一郎、新木優子、古川雄輝、堀田茜、一井直樹、滝藤賢一、豊原功補、西岡徳馬  </v>
      </c>
      <c r="N2274" s="2"/>
      <c r="O2274" s="2"/>
      <c r="P2274" s="2"/>
      <c r="Q2274" s="2"/>
      <c r="R2274" s="2"/>
      <c r="S2274" s="2"/>
      <c r="T2274" s="2"/>
      <c r="U2274" s="2"/>
      <c r="V2274" s="2"/>
      <c r="W2274" s="2"/>
      <c r="X2274" s="2"/>
      <c r="Y2274" s="2"/>
      <c r="Z2274" s="2"/>
      <c r="AA2274" s="2"/>
      <c r="AB2274" s="2"/>
      <c r="AC2274" s="2"/>
      <c r="AD2274" s="2"/>
      <c r="AE2274" s="2"/>
      <c r="AF2274" s="2"/>
      <c r="AG2274" s="2"/>
      <c r="AH2274" s="2"/>
      <c r="AI2274" s="2"/>
      <c r="AJ2274" s="2"/>
      <c r="AK2274" s="2"/>
      <c r="AL2274" s="2"/>
      <c r="AM2274" s="2"/>
      <c r="AN2274" s="2"/>
      <c r="AO2274" s="2"/>
      <c r="AP2274" s="2"/>
      <c r="AQ2274" s="2"/>
      <c r="AR2274" s="2"/>
      <c r="AS2274" s="2"/>
      <c r="AT2274" s="2"/>
      <c r="AU2274" s="2"/>
      <c r="AV2274" s="2"/>
      <c r="AW2274" s="2"/>
      <c r="AX2274" s="2"/>
      <c r="AY2274" s="2"/>
      <c r="AZ2274" s="2"/>
      <c r="BA2274" s="2"/>
      <c r="BB2274" s="2"/>
    </row>
    <row r="2275" ht="204.75" customHeight="1">
      <c r="A2275" s="1">
        <v>1033.0</v>
      </c>
      <c r="B2275" s="2" t="s">
        <v>7118</v>
      </c>
      <c r="C2275" s="2">
        <f>IFERROR(__xludf.DUMMYFUNCTION("split(B2275,""_"")"),1710.0)</f>
        <v>1710</v>
      </c>
      <c r="D2275" s="2" t="str">
        <f>IFERROR(__xludf.DUMMYFUNCTION("""COMPUTED_VALUE"""),"EX")</f>
        <v>EX</v>
      </c>
      <c r="E2275" s="2" t="str">
        <f>IFERROR(__xludf.DUMMYFUNCTION("""COMPUTED_VALUE"""),"金23")</f>
        <v>金23</v>
      </c>
      <c r="F2275" s="2" t="s">
        <v>7119</v>
      </c>
      <c r="G2275" s="2" t="s">
        <v>7132</v>
      </c>
      <c r="H2275" s="1">
        <v>5.0</v>
      </c>
      <c r="I2275" s="1" t="s">
        <v>2884</v>
      </c>
      <c r="J2275" s="1" t="s">
        <v>1435</v>
      </c>
      <c r="K2275" s="2" t="s">
        <v>7133</v>
      </c>
      <c r="L2275" s="2" t="s">
        <v>7134</v>
      </c>
      <c r="M2275" s="2" t="str">
        <f>IFERROR(__xludf.DUMMYFUNCTION("split(split(K2275,""【"",false),""公式LINE"",false)"),"何度も殺人事件に遭遇したことで、圭(玉森裕太)の仕事が激減。その分、斎(小山慶一郎)がモデルの仕事を引き受ける。そんな中、圭は引っ越しのバイトをすることに。シモン(古川雄輝)と共に高級住宅街を訪れる途中、上品な雰囲気の柘植梓(紺野まひる)に出会う。その後、依頼主の昭島家に向かうが、依頼主が殺されていた…。向かいに住む勝子(青木さやか)と浜(六角慎司)の証言は、圭に不利なことばかりで…玉森裕太、小山慶一郎、新木優子、古川雄輝、堀田茜、一井直樹、滝藤賢一、かとうかず子、大澄賢也、豊原功補、西岡徳馬  ")</f>
        <v>何度も殺人事件に遭遇したことで、圭(玉森裕太)の仕事が激減。その分、斎(小山慶一郎)がモデルの仕事を引き受ける。そんな中、圭は引っ越しのバイトをすることに。シモン(古川雄輝)と共に高級住宅街を訪れる途中、上品な雰囲気の柘植梓(紺野まひる)に出会う。その後、依頼主の昭島家に向かうが、依頼主が殺されていた…。向かいに住む勝子(青木さやか)と浜(六角慎司)の証言は、圭に不利なことばかりで…玉森裕太、小山慶一郎、新木優子、古川雄輝、堀田茜、一井直樹、滝藤賢一、かとうかず子、大澄賢也、豊原功補、西岡徳馬  </v>
      </c>
      <c r="N2275" s="2"/>
      <c r="O2275" s="2"/>
      <c r="P2275" s="2"/>
      <c r="Q2275" s="2"/>
      <c r="R2275" s="2"/>
      <c r="S2275" s="2"/>
      <c r="T2275" s="2"/>
      <c r="U2275" s="2"/>
      <c r="V2275" s="2"/>
      <c r="W2275" s="2"/>
      <c r="X2275" s="2"/>
      <c r="Y2275" s="2"/>
      <c r="Z2275" s="2"/>
      <c r="AA2275" s="2"/>
      <c r="AB2275" s="2"/>
      <c r="AC2275" s="2"/>
      <c r="AD2275" s="2"/>
      <c r="AE2275" s="2"/>
      <c r="AF2275" s="2"/>
      <c r="AG2275" s="2"/>
      <c r="AH2275" s="2"/>
      <c r="AI2275" s="2"/>
      <c r="AJ2275" s="2"/>
      <c r="AK2275" s="2"/>
      <c r="AL2275" s="2"/>
      <c r="AM2275" s="2"/>
      <c r="AN2275" s="2"/>
      <c r="AO2275" s="2"/>
      <c r="AP2275" s="2"/>
      <c r="AQ2275" s="2"/>
      <c r="AR2275" s="2"/>
      <c r="AS2275" s="2"/>
      <c r="AT2275" s="2"/>
      <c r="AU2275" s="2"/>
      <c r="AV2275" s="2"/>
      <c r="AW2275" s="2"/>
      <c r="AX2275" s="2"/>
      <c r="AY2275" s="2"/>
      <c r="AZ2275" s="2"/>
      <c r="BA2275" s="2"/>
      <c r="BB2275" s="2"/>
    </row>
    <row r="2276" ht="204.75" customHeight="1">
      <c r="A2276" s="1">
        <v>1034.0</v>
      </c>
      <c r="B2276" s="2" t="s">
        <v>7118</v>
      </c>
      <c r="C2276" s="2">
        <f>IFERROR(__xludf.DUMMYFUNCTION("split(B2276,""_"")"),1710.0)</f>
        <v>1710</v>
      </c>
      <c r="D2276" s="2" t="str">
        <f>IFERROR(__xludf.DUMMYFUNCTION("""COMPUTED_VALUE"""),"EX")</f>
        <v>EX</v>
      </c>
      <c r="E2276" s="2" t="str">
        <f>IFERROR(__xludf.DUMMYFUNCTION("""COMPUTED_VALUE"""),"金23")</f>
        <v>金23</v>
      </c>
      <c r="F2276" s="2" t="s">
        <v>7119</v>
      </c>
      <c r="G2276" s="2" t="s">
        <v>7135</v>
      </c>
      <c r="H2276" s="1">
        <v>6.0</v>
      </c>
      <c r="I2276" s="1" t="s">
        <v>2888</v>
      </c>
      <c r="J2276" s="1" t="s">
        <v>1435</v>
      </c>
      <c r="K2276" s="2" t="s">
        <v>7136</v>
      </c>
      <c r="L2276" s="2" t="s">
        <v>7137</v>
      </c>
      <c r="M2276" s="2" t="str">
        <f>IFERROR(__xludf.DUMMYFUNCTION("split(split(K2276,""【"",false),""公式LINE"",false)"),"シモン(古川雄輝)が出演するファッションショーに来た圭(玉森裕太)と斎(小山慶一郎)。圭はそこで、デザイナーの和哉(岡田義徳)、プロデューサーの茂(姜暢雄)と歩実(須藤理彩)を紹介され、飲み会に誘われる。仕事場の飲み会に遅れてきた圭は、和哉から「茂を呼んできてくれ」と頼まれる。しかし、圭がドアを開けると血を流して倒れている茂の姿が…!救急車を呼び、再び部屋へ行くと、茂の姿は跡形もなく消えていて…?玉森裕太、小山慶一郎、新木優子、古川雄輝、堀田茜、一井直樹、滝藤賢一、豊原功補  ")</f>
        <v>シモン(古川雄輝)が出演するファッションショーに来た圭(玉森裕太)と斎(小山慶一郎)。圭はそこで、デザイナーの和哉(岡田義徳)、プロデューサーの茂(姜暢雄)と歩実(須藤理彩)を紹介され、飲み会に誘われる。仕事場の飲み会に遅れてきた圭は、和哉から「茂を呼んできてくれ」と頼まれる。しかし、圭がドアを開けると血を流して倒れている茂の姿が…!救急車を呼び、再び部屋へ行くと、茂の姿は跡形もなく消えていて…?玉森裕太、小山慶一郎、新木優子、古川雄輝、堀田茜、一井直樹、滝藤賢一、豊原功補  </v>
      </c>
      <c r="N2276" s="2"/>
      <c r="O2276" s="2"/>
      <c r="P2276" s="2"/>
      <c r="Q2276" s="2"/>
      <c r="R2276" s="2"/>
      <c r="S2276" s="2"/>
      <c r="T2276" s="2"/>
      <c r="U2276" s="2"/>
      <c r="V2276" s="2"/>
      <c r="W2276" s="2"/>
      <c r="X2276" s="2"/>
      <c r="Y2276" s="2"/>
      <c r="Z2276" s="2"/>
      <c r="AA2276" s="2"/>
      <c r="AB2276" s="2"/>
      <c r="AC2276" s="2"/>
      <c r="AD2276" s="2"/>
      <c r="AE2276" s="2"/>
      <c r="AF2276" s="2"/>
      <c r="AG2276" s="2"/>
      <c r="AH2276" s="2"/>
      <c r="AI2276" s="2"/>
      <c r="AJ2276" s="2"/>
      <c r="AK2276" s="2"/>
      <c r="AL2276" s="2"/>
      <c r="AM2276" s="2"/>
      <c r="AN2276" s="2"/>
      <c r="AO2276" s="2"/>
      <c r="AP2276" s="2"/>
      <c r="AQ2276" s="2"/>
      <c r="AR2276" s="2"/>
      <c r="AS2276" s="2"/>
      <c r="AT2276" s="2"/>
      <c r="AU2276" s="2"/>
      <c r="AV2276" s="2"/>
      <c r="AW2276" s="2"/>
      <c r="AX2276" s="2"/>
      <c r="AY2276" s="2"/>
      <c r="AZ2276" s="2"/>
      <c r="BA2276" s="2"/>
      <c r="BB2276" s="2"/>
    </row>
    <row r="2277" ht="204.75" customHeight="1">
      <c r="A2277" s="1">
        <v>1035.0</v>
      </c>
      <c r="B2277" s="2" t="s">
        <v>7118</v>
      </c>
      <c r="C2277" s="2">
        <f>IFERROR(__xludf.DUMMYFUNCTION("split(B2277,""_"")"),1710.0)</f>
        <v>1710</v>
      </c>
      <c r="D2277" s="2" t="str">
        <f>IFERROR(__xludf.DUMMYFUNCTION("""COMPUTED_VALUE"""),"EX")</f>
        <v>EX</v>
      </c>
      <c r="E2277" s="2" t="str">
        <f>IFERROR(__xludf.DUMMYFUNCTION("""COMPUTED_VALUE"""),"金23")</f>
        <v>金23</v>
      </c>
      <c r="F2277" s="2" t="s">
        <v>7119</v>
      </c>
      <c r="G2277" s="2" t="s">
        <v>7138</v>
      </c>
      <c r="H2277" s="1">
        <v>7.0</v>
      </c>
      <c r="I2277" s="1" t="s">
        <v>2892</v>
      </c>
      <c r="J2277" s="1" t="s">
        <v>1435</v>
      </c>
      <c r="K2277" s="2" t="s">
        <v>7139</v>
      </c>
      <c r="L2277" s="2" t="s">
        <v>7140</v>
      </c>
      <c r="M2277" s="2" t="str">
        <f>IFERROR(__xludf.DUMMYFUNCTION("split(split(K2277,""【"",false),""公式LINE"",false)"),"温泉旅館での撮影のため、石長島にやってきた圭(玉森裕太)、斎(小山慶一郎)、シモン(古川雄輝)。しかし、圭は以前にこの島に来たことがあるような不思議な気分に…。旅館に着いた圭たちを迎えたのは、女将の田崎典子(伊藤かずえ)と番頭の佐久間和夫(モト冬樹)。女将から温泉にまつわる秘話を聞いた圭たちは、源泉を飲んでみることに。しかし、圭が用意した湯呑みを使ったカメラマンが吐血し死亡!圭は再び疑われ…?玉森裕太、小山慶一郎、新木優子、古川雄輝、堀田茜、一井直樹、滝藤賢一、かとうかず子、大澄賢也、豊原功補、西岡徳馬、"&amp;"松平健  ")</f>
        <v>温泉旅館での撮影のため、石長島にやってきた圭(玉森裕太)、斎(小山慶一郎)、シモン(古川雄輝)。しかし、圭は以前にこの島に来たことがあるような不思議な気分に…。旅館に着いた圭たちを迎えたのは、女将の田崎典子(伊藤かずえ)と番頭の佐久間和夫(モト冬樹)。女将から温泉にまつわる秘話を聞いた圭たちは、源泉を飲んでみることに。しかし、圭が用意した湯呑みを使ったカメラマンが吐血し死亡!圭は再び疑われ…?玉森裕太、小山慶一郎、新木優子、古川雄輝、堀田茜、一井直樹、滝藤賢一、かとうかず子、大澄賢也、豊原功補、西岡徳馬、松平健  </v>
      </c>
      <c r="N2277" s="2"/>
      <c r="O2277" s="2"/>
      <c r="P2277" s="2"/>
      <c r="Q2277" s="2"/>
      <c r="R2277" s="2"/>
      <c r="S2277" s="2"/>
      <c r="T2277" s="2"/>
      <c r="U2277" s="2"/>
      <c r="V2277" s="2"/>
      <c r="W2277" s="2"/>
      <c r="X2277" s="2"/>
      <c r="Y2277" s="2"/>
      <c r="Z2277" s="2"/>
      <c r="AA2277" s="2"/>
      <c r="AB2277" s="2"/>
      <c r="AC2277" s="2"/>
      <c r="AD2277" s="2"/>
      <c r="AE2277" s="2"/>
      <c r="AF2277" s="2"/>
      <c r="AG2277" s="2"/>
      <c r="AH2277" s="2"/>
      <c r="AI2277" s="2"/>
      <c r="AJ2277" s="2"/>
      <c r="AK2277" s="2"/>
      <c r="AL2277" s="2"/>
      <c r="AM2277" s="2"/>
      <c r="AN2277" s="2"/>
      <c r="AO2277" s="2"/>
      <c r="AP2277" s="2"/>
      <c r="AQ2277" s="2"/>
      <c r="AR2277" s="2"/>
      <c r="AS2277" s="2"/>
      <c r="AT2277" s="2"/>
      <c r="AU2277" s="2"/>
      <c r="AV2277" s="2"/>
      <c r="AW2277" s="2"/>
      <c r="AX2277" s="2"/>
      <c r="AY2277" s="2"/>
      <c r="AZ2277" s="2"/>
      <c r="BA2277" s="2"/>
      <c r="BB2277" s="2"/>
    </row>
    <row r="2278" ht="204.75" customHeight="1">
      <c r="A2278" s="1">
        <v>1036.0</v>
      </c>
      <c r="B2278" s="2" t="s">
        <v>7118</v>
      </c>
      <c r="C2278" s="2">
        <f>IFERROR(__xludf.DUMMYFUNCTION("split(B2278,""_"")"),1710.0)</f>
        <v>1710</v>
      </c>
      <c r="D2278" s="2" t="str">
        <f>IFERROR(__xludf.DUMMYFUNCTION("""COMPUTED_VALUE"""),"EX")</f>
        <v>EX</v>
      </c>
      <c r="E2278" s="2" t="str">
        <f>IFERROR(__xludf.DUMMYFUNCTION("""COMPUTED_VALUE"""),"金23")</f>
        <v>金23</v>
      </c>
      <c r="F2278" s="2" t="s">
        <v>7119</v>
      </c>
      <c r="G2278" s="2" t="s">
        <v>7141</v>
      </c>
      <c r="H2278" s="1">
        <v>8.0</v>
      </c>
      <c r="I2278" s="1" t="s">
        <v>2896</v>
      </c>
      <c r="J2278" s="1" t="s">
        <v>1435</v>
      </c>
      <c r="K2278" s="2" t="s">
        <v>7142</v>
      </c>
      <c r="L2278" s="2" t="s">
        <v>7143</v>
      </c>
      <c r="M2278" s="2" t="str">
        <f>IFERROR(__xludf.DUMMYFUNCTION("split(split(K2278,""【"",false),""公式LINE"",false)"),"最終回】自分の過去について鍵を握るフリージャーナリスト・織居に呼び出された圭(玉森裕太)が指定された場所に行くと、そこには瀕死の織居の姿が…。謎の鍵を託されるが、織居は絶命してしまう。今度こそ連行されてしまうと考えた圭は、斎(小山慶一郎)、シモン(古川雄輝)の助けをかりて逃走…。命がけで突き止める真犯人とは?果林(新木優子)、古仙(西岡徳馬)、吉倉(松平健)を巻き込んだ最大の謎が立ちはだかる!!玉森裕太、小山慶一郎、新木優子、古川雄輝、堀田茜、一井直樹、滝藤賢一、大澄賢也、かとうかず子、豊原功補、西岡徳馬"&amp;"、松平健  ")</f>
        <v>最終回】自分の過去について鍵を握るフリージャーナリスト・織居に呼び出された圭(玉森裕太)が指定された場所に行くと、そこには瀕死の織居の姿が…。謎の鍵を託されるが、織居は絶命してしまう。今度こそ連行されてしまうと考えた圭は、斎(小山慶一郎)、シモン(古川雄輝)の助けをかりて逃走…。命がけで突き止める真犯人とは?果林(新木優子)、古仙(西岡徳馬)、吉倉(松平健)を巻き込んだ最大の謎が立ちはだかる!!玉森裕太、小山慶一郎、新木優子、古川雄輝、堀田茜、一井直樹、滝藤賢一、大澄賢也、かとうかず子、豊原功補、西岡徳馬、松平健  </v>
      </c>
      <c r="N2278" s="2"/>
      <c r="O2278" s="2"/>
      <c r="P2278" s="2"/>
      <c r="Q2278" s="2"/>
      <c r="R2278" s="2"/>
      <c r="S2278" s="2"/>
      <c r="T2278" s="2"/>
      <c r="U2278" s="2"/>
      <c r="V2278" s="2"/>
      <c r="W2278" s="2"/>
      <c r="X2278" s="2"/>
      <c r="Y2278" s="2"/>
      <c r="Z2278" s="2"/>
      <c r="AA2278" s="2"/>
      <c r="AB2278" s="2"/>
      <c r="AC2278" s="2"/>
      <c r="AD2278" s="2"/>
      <c r="AE2278" s="2"/>
      <c r="AF2278" s="2"/>
      <c r="AG2278" s="2"/>
      <c r="AH2278" s="2"/>
      <c r="AI2278" s="2"/>
      <c r="AJ2278" s="2"/>
      <c r="AK2278" s="2"/>
      <c r="AL2278" s="2"/>
      <c r="AM2278" s="2"/>
      <c r="AN2278" s="2"/>
      <c r="AO2278" s="2"/>
      <c r="AP2278" s="2"/>
      <c r="AQ2278" s="2"/>
      <c r="AR2278" s="2"/>
      <c r="AS2278" s="2"/>
      <c r="AT2278" s="2"/>
      <c r="AU2278" s="2"/>
      <c r="AV2278" s="2"/>
      <c r="AW2278" s="2"/>
      <c r="AX2278" s="2"/>
      <c r="AY2278" s="2"/>
      <c r="AZ2278" s="2"/>
      <c r="BA2278" s="2"/>
      <c r="BB2278" s="2"/>
    </row>
    <row r="2279" ht="204.75" customHeight="1">
      <c r="A2279" s="1">
        <v>1096.0</v>
      </c>
      <c r="B2279" s="2" t="s">
        <v>7144</v>
      </c>
      <c r="C2279" s="2">
        <f>IFERROR(__xludf.DUMMYFUNCTION("split(B2279,""_"")"),1707.0)</f>
        <v>1707</v>
      </c>
      <c r="D2279" s="2" t="str">
        <f>IFERROR(__xludf.DUMMYFUNCTION("""COMPUTED_VALUE"""),"EX")</f>
        <v>EX</v>
      </c>
      <c r="E2279" s="2" t="str">
        <f>IFERROR(__xludf.DUMMYFUNCTION("""COMPUTED_VALUE"""),"木20")</f>
        <v>木20</v>
      </c>
      <c r="F2279" s="2" t="s">
        <v>7145</v>
      </c>
      <c r="G2279" s="2" t="s">
        <v>7146</v>
      </c>
      <c r="H2279" s="1">
        <v>1.0</v>
      </c>
      <c r="I2279" s="1" t="s">
        <v>2868</v>
      </c>
      <c r="J2279" s="1" t="s">
        <v>7147</v>
      </c>
      <c r="K2279" s="4" t="s">
        <v>7148</v>
      </c>
      <c r="L2279" s="11" t="s">
        <v>7149</v>
      </c>
      <c r="M2279" s="2" t="str">
        <f>IFERROR(__xludf.DUMMYFUNCTION("split(split(K2279,""上川隆也、"",false),""公式LINE"",false)"),"神戸港を周遊する遊覧船が爆破され、乗員乗客が人質になる事件が発生。身代金2億円が運航会社の黒沢興産に要求され、京都府警・特別捜査対策室、通称“特対""が動き出した。メンバーの神崎莉緒(栗山千明)も、現場へと急行する。一方で、休暇中の刑事・糸村聡(上川隆也)が、偶然にもその船に乗り合わせていた!糸村はその爆発現場で燃えかけの和紙を拾う…。人質の解放後、糸村は莉緒に遺留品の鑑定を依頼するのだが…!?まもなく事件の指揮を任された特対の室長・桧山亘(段田安則)は、遊覧船に乗っていた議員・長部麗子(財前直見)と黒沢"&amp;"興産の間に、知られざる繋がりがあるのではと睨む。特対刑事の佐倉路花(戸田恵子)や雨宮宏(永井大)らが、彼女らの周辺を探り出すことに。一方の糸村は、例によって遺留品の和紙のことばかりを調べている始末だったが、その線で辿りついた人物が、なんと黒沢興産の創業者である黒沢恒之助(伊東四朗)で…!?")</f>
        <v>神戸港を周遊する遊覧船が爆破され、乗員乗客が人質になる事件が発生。身代金2億円が運航会社の黒沢興産に要求され、京都府警・特別捜査対策室、通称“特対"が動き出した。メンバーの神崎莉緒(栗山千明)も、現場へと急行する。一方で、休暇中の刑事・糸村聡(上川隆也)が、偶然にもその船に乗り合わせていた!糸村はその爆発現場で燃えかけの和紙を拾う…。人質の解放後、糸村は莉緒に遺留品の鑑定を依頼するのだが…!?まもなく事件の指揮を任された特対の室長・桧山亘(段田安則)は、遊覧船に乗っていた議員・長部麗子(財前直見)と黒沢興産の間に、知られざる繋がりがあるのではと睨む。特対刑事の佐倉路花(戸田恵子)や雨宮宏(永井大)らが、彼女らの周辺を探り出すことに。一方の糸村は、例によって遺留品の和紙のことばかりを調べている始末だったが、その線で辿りついた人物が、なんと黒沢興産の創業者である黒沢恒之助(伊東四朗)で…!?</v>
      </c>
      <c r="N2279" s="2"/>
      <c r="O2279" s="2"/>
      <c r="P2279" s="2"/>
      <c r="Q2279" s="2"/>
      <c r="R2279" s="2"/>
      <c r="S2279" s="2"/>
      <c r="T2279" s="2"/>
      <c r="U2279" s="2"/>
      <c r="V2279" s="2"/>
      <c r="W2279" s="2"/>
      <c r="X2279" s="2"/>
      <c r="Y2279" s="2"/>
      <c r="Z2279" s="2"/>
      <c r="AA2279" s="2"/>
      <c r="AB2279" s="2"/>
      <c r="AC2279" s="2"/>
      <c r="AD2279" s="2"/>
      <c r="AE2279" s="2"/>
      <c r="AF2279" s="2"/>
      <c r="AG2279" s="2"/>
      <c r="AH2279" s="2"/>
      <c r="AI2279" s="2"/>
      <c r="AJ2279" s="2"/>
      <c r="AK2279" s="2"/>
      <c r="AL2279" s="2"/>
      <c r="AM2279" s="2"/>
      <c r="AN2279" s="2"/>
      <c r="AO2279" s="2"/>
      <c r="AP2279" s="2"/>
      <c r="AQ2279" s="2"/>
      <c r="AR2279" s="2"/>
      <c r="AS2279" s="2"/>
      <c r="AT2279" s="2"/>
      <c r="AU2279" s="2"/>
      <c r="AV2279" s="2"/>
      <c r="AW2279" s="2"/>
      <c r="AX2279" s="2"/>
      <c r="AY2279" s="2"/>
      <c r="AZ2279" s="2"/>
      <c r="BA2279" s="2"/>
      <c r="BB2279" s="2"/>
    </row>
    <row r="2280" ht="204.75" customHeight="1">
      <c r="A2280" s="1">
        <v>1097.0</v>
      </c>
      <c r="B2280" s="2" t="s">
        <v>7144</v>
      </c>
      <c r="C2280" s="2">
        <f>IFERROR(__xludf.DUMMYFUNCTION("split(B2280,""_"")"),1707.0)</f>
        <v>1707</v>
      </c>
      <c r="D2280" s="2" t="str">
        <f>IFERROR(__xludf.DUMMYFUNCTION("""COMPUTED_VALUE"""),"EX")</f>
        <v>EX</v>
      </c>
      <c r="E2280" s="2" t="str">
        <f>IFERROR(__xludf.DUMMYFUNCTION("""COMPUTED_VALUE"""),"木20")</f>
        <v>木20</v>
      </c>
      <c r="F2280" s="2" t="s">
        <v>7145</v>
      </c>
      <c r="G2280" s="2" t="s">
        <v>7150</v>
      </c>
      <c r="H2280" s="1">
        <v>2.0</v>
      </c>
      <c r="I2280" s="1" t="s">
        <v>2872</v>
      </c>
      <c r="J2280" s="1" t="s">
        <v>7151</v>
      </c>
      <c r="K2280" s="2" t="s">
        <v>7152</v>
      </c>
      <c r="L2280" s="11" t="s">
        <v>7153</v>
      </c>
      <c r="M2280" s="2" t="str">
        <f>IFERROR(__xludf.DUMMYFUNCTION("split(split(K2280,""上川隆也、"",false),""公式LINE"",false)"),"放火殺人容疑で逮捕された赤木(近藤公園)が所轄署から逃走。翌朝、会社員・坂田の刺殺体が発見される。現場には1枚の将棋の駒…一部が焦げ、血痕が付着。しかも表は“銀""なのに裏が“角""!?駒と衣服から赤木の指紋が検出され、かつ坂田が放火殺人の目撃証人だったことが判明。赤木の報復か!?もう1人の目撃証人・西崎みちる(酒井若菜)の身を案じ接触する糸村だったが、みちるの息子・優太(寺田心)の将棋を指す姿を見て…")</f>
        <v>放火殺人容疑で逮捕された赤木(近藤公園)が所轄署から逃走。翌朝、会社員・坂田の刺殺体が発見される。現場には1枚の将棋の駒…一部が焦げ、血痕が付着。しかも表は“銀"なのに裏が“角"!?駒と衣服から赤木の指紋が検出され、かつ坂田が放火殺人の目撃証人だったことが判明。赤木の報復か!?もう1人の目撃証人・西崎みちる(酒井若菜)の身を案じ接触する糸村だったが、みちるの息子・優太(寺田心)の将棋を指す姿を見て…</v>
      </c>
      <c r="N2280" s="2"/>
      <c r="O2280" s="2"/>
      <c r="P2280" s="2"/>
      <c r="Q2280" s="2"/>
      <c r="R2280" s="2"/>
      <c r="S2280" s="2"/>
      <c r="T2280" s="2"/>
      <c r="U2280" s="2"/>
      <c r="V2280" s="2"/>
      <c r="W2280" s="2"/>
      <c r="X2280" s="2"/>
      <c r="Y2280" s="2"/>
      <c r="Z2280" s="2"/>
      <c r="AA2280" s="2"/>
      <c r="AB2280" s="2"/>
      <c r="AC2280" s="2"/>
      <c r="AD2280" s="2"/>
      <c r="AE2280" s="2"/>
      <c r="AF2280" s="2"/>
      <c r="AG2280" s="2"/>
      <c r="AH2280" s="2"/>
      <c r="AI2280" s="2"/>
      <c r="AJ2280" s="2"/>
      <c r="AK2280" s="2"/>
      <c r="AL2280" s="2"/>
      <c r="AM2280" s="2"/>
      <c r="AN2280" s="2"/>
      <c r="AO2280" s="2"/>
      <c r="AP2280" s="2"/>
      <c r="AQ2280" s="2"/>
      <c r="AR2280" s="2"/>
      <c r="AS2280" s="2"/>
      <c r="AT2280" s="2"/>
      <c r="AU2280" s="2"/>
      <c r="AV2280" s="2"/>
      <c r="AW2280" s="2"/>
      <c r="AX2280" s="2"/>
      <c r="AY2280" s="2"/>
      <c r="AZ2280" s="2"/>
      <c r="BA2280" s="2"/>
      <c r="BB2280" s="2"/>
    </row>
    <row r="2281" ht="204.75" customHeight="1">
      <c r="A2281" s="1">
        <v>1098.0</v>
      </c>
      <c r="B2281" s="2" t="s">
        <v>7144</v>
      </c>
      <c r="C2281" s="2">
        <f>IFERROR(__xludf.DUMMYFUNCTION("split(B2281,""_"")"),1707.0)</f>
        <v>1707</v>
      </c>
      <c r="D2281" s="2" t="str">
        <f>IFERROR(__xludf.DUMMYFUNCTION("""COMPUTED_VALUE"""),"EX")</f>
        <v>EX</v>
      </c>
      <c r="E2281" s="2" t="str">
        <f>IFERROR(__xludf.DUMMYFUNCTION("""COMPUTED_VALUE"""),"木20")</f>
        <v>木20</v>
      </c>
      <c r="F2281" s="2" t="s">
        <v>7145</v>
      </c>
      <c r="G2281" s="2" t="s">
        <v>7154</v>
      </c>
      <c r="H2281" s="1">
        <v>3.0</v>
      </c>
      <c r="I2281" s="1" t="s">
        <v>2876</v>
      </c>
      <c r="J2281" s="1" t="s">
        <v>7151</v>
      </c>
      <c r="K2281" s="2" t="s">
        <v>7155</v>
      </c>
      <c r="L2281" s="11" t="s">
        <v>7156</v>
      </c>
      <c r="M2281" s="2" t="str">
        <f>IFERROR(__xludf.DUMMYFUNCTION("split(split(K2281,""上川隆也、"",false),""公式LINE"",false)"),"科学番組MCとして人気の准教授・梨田(袴田吉彦)が自宅で刺殺された。捜査は異性トラブルの線で進められるが、糸村(上川隆也)だけは現場に落ちていたやじろべえ人形が気になる。そんな中、梨田の親友の科学者・栗原(平岳大)が捜査線上に…なんと、梨田は栗原の妻・恵と不倫関係にあったという。しかも、彼女が謎の爆破事件に巻き込まれ不慮の死を遂げていた。栗原は富田教授(下條アトム)のもと、新エネルギーの研究を続けていて…")</f>
        <v>科学番組MCとして人気の准教授・梨田(袴田吉彦)が自宅で刺殺された。捜査は異性トラブルの線で進められるが、糸村(上川隆也)だけは現場に落ちていたやじろべえ人形が気になる。そんな中、梨田の親友の科学者・栗原(平岳大)が捜査線上に…なんと、梨田は栗原の妻・恵と不倫関係にあったという。しかも、彼女が謎の爆破事件に巻き込まれ不慮の死を遂げていた。栗原は富田教授(下條アトム)のもと、新エネルギーの研究を続けていて…</v>
      </c>
      <c r="N2281" s="2"/>
      <c r="O2281" s="2"/>
      <c r="P2281" s="2"/>
      <c r="Q2281" s="2"/>
      <c r="R2281" s="2"/>
      <c r="S2281" s="2"/>
      <c r="T2281" s="2"/>
      <c r="U2281" s="2"/>
      <c r="V2281" s="2"/>
      <c r="W2281" s="2"/>
      <c r="X2281" s="2"/>
      <c r="Y2281" s="2"/>
      <c r="Z2281" s="2"/>
      <c r="AA2281" s="2"/>
      <c r="AB2281" s="2"/>
      <c r="AC2281" s="2"/>
      <c r="AD2281" s="2"/>
      <c r="AE2281" s="2"/>
      <c r="AF2281" s="2"/>
      <c r="AG2281" s="2"/>
      <c r="AH2281" s="2"/>
      <c r="AI2281" s="2"/>
      <c r="AJ2281" s="2"/>
      <c r="AK2281" s="2"/>
      <c r="AL2281" s="2"/>
      <c r="AM2281" s="2"/>
      <c r="AN2281" s="2"/>
      <c r="AO2281" s="2"/>
      <c r="AP2281" s="2"/>
      <c r="AQ2281" s="2"/>
      <c r="AR2281" s="2"/>
      <c r="AS2281" s="2"/>
      <c r="AT2281" s="2"/>
      <c r="AU2281" s="2"/>
      <c r="AV2281" s="2"/>
      <c r="AW2281" s="2"/>
      <c r="AX2281" s="2"/>
      <c r="AY2281" s="2"/>
      <c r="AZ2281" s="2"/>
      <c r="BA2281" s="2"/>
      <c r="BB2281" s="2"/>
    </row>
    <row r="2282" ht="204.75" customHeight="1">
      <c r="A2282" s="1">
        <v>1099.0</v>
      </c>
      <c r="B2282" s="2" t="s">
        <v>7144</v>
      </c>
      <c r="C2282" s="2">
        <f>IFERROR(__xludf.DUMMYFUNCTION("split(B2282,""_"")"),1707.0)</f>
        <v>1707</v>
      </c>
      <c r="D2282" s="2" t="str">
        <f>IFERROR(__xludf.DUMMYFUNCTION("""COMPUTED_VALUE"""),"EX")</f>
        <v>EX</v>
      </c>
      <c r="E2282" s="2" t="str">
        <f>IFERROR(__xludf.DUMMYFUNCTION("""COMPUTED_VALUE"""),"木20")</f>
        <v>木20</v>
      </c>
      <c r="F2282" s="2" t="s">
        <v>7145</v>
      </c>
      <c r="G2282" s="2" t="s">
        <v>7157</v>
      </c>
      <c r="H2282" s="1">
        <v>4.0</v>
      </c>
      <c r="I2282" s="1" t="s">
        <v>2880</v>
      </c>
      <c r="J2282" s="1" t="s">
        <v>7151</v>
      </c>
      <c r="K2282" s="2" t="s">
        <v>7158</v>
      </c>
      <c r="L2282" s="11" t="s">
        <v>7159</v>
      </c>
      <c r="M2282" s="2" t="str">
        <f>IFERROR(__xludf.DUMMYFUNCTION("split(split(K2282,""上川隆也、"",false),""公式LINE"",false)"),"京都財界の有力者・竹原(団時朗)が自宅に押し入った強盗・石橋(辻本祐樹)を射殺。竹原は正当防衛を主張するが、不自然なほど都合よく壁にかかっていた猟銃、施錠されていた玄関、強盗が靴を脱いでから家に侵入した形跡など、不審な点が多数浮上する…。果たして、本当に正当防衛だったのか!?そんな中、糸村は、石橋が死の間際に引きちぎったと思われる「金のチェーン」が気になる。遺留品が導き出す、射殺事件の真相とは…!?")</f>
        <v>京都財界の有力者・竹原(団時朗)が自宅に押し入った強盗・石橋(辻本祐樹)を射殺。竹原は正当防衛を主張するが、不自然なほど都合よく壁にかかっていた猟銃、施錠されていた玄関、強盗が靴を脱いでから家に侵入した形跡など、不審な点が多数浮上する…。果たして、本当に正当防衛だったのか!?そんな中、糸村は、石橋が死の間際に引きちぎったと思われる「金のチェーン」が気になる。遺留品が導き出す、射殺事件の真相とは…!?</v>
      </c>
      <c r="N2282" s="2"/>
      <c r="O2282" s="2"/>
      <c r="P2282" s="2"/>
      <c r="Q2282" s="2"/>
      <c r="R2282" s="2"/>
      <c r="S2282" s="2"/>
      <c r="T2282" s="2"/>
      <c r="U2282" s="2"/>
      <c r="V2282" s="2"/>
      <c r="W2282" s="2"/>
      <c r="X2282" s="2"/>
      <c r="Y2282" s="2"/>
      <c r="Z2282" s="2"/>
      <c r="AA2282" s="2"/>
      <c r="AB2282" s="2"/>
      <c r="AC2282" s="2"/>
      <c r="AD2282" s="2"/>
      <c r="AE2282" s="2"/>
      <c r="AF2282" s="2"/>
      <c r="AG2282" s="2"/>
      <c r="AH2282" s="2"/>
      <c r="AI2282" s="2"/>
      <c r="AJ2282" s="2"/>
      <c r="AK2282" s="2"/>
      <c r="AL2282" s="2"/>
      <c r="AM2282" s="2"/>
      <c r="AN2282" s="2"/>
      <c r="AO2282" s="2"/>
      <c r="AP2282" s="2"/>
      <c r="AQ2282" s="2"/>
      <c r="AR2282" s="2"/>
      <c r="AS2282" s="2"/>
      <c r="AT2282" s="2"/>
      <c r="AU2282" s="2"/>
      <c r="AV2282" s="2"/>
      <c r="AW2282" s="2"/>
      <c r="AX2282" s="2"/>
      <c r="AY2282" s="2"/>
      <c r="AZ2282" s="2"/>
      <c r="BA2282" s="2"/>
      <c r="BB2282" s="2"/>
    </row>
    <row r="2283" ht="204.75" customHeight="1">
      <c r="A2283" s="1">
        <v>1100.0</v>
      </c>
      <c r="B2283" s="2" t="s">
        <v>7144</v>
      </c>
      <c r="C2283" s="2">
        <f>IFERROR(__xludf.DUMMYFUNCTION("split(B2283,""_"")"),1707.0)</f>
        <v>1707</v>
      </c>
      <c r="D2283" s="2" t="str">
        <f>IFERROR(__xludf.DUMMYFUNCTION("""COMPUTED_VALUE"""),"EX")</f>
        <v>EX</v>
      </c>
      <c r="E2283" s="2" t="str">
        <f>IFERROR(__xludf.DUMMYFUNCTION("""COMPUTED_VALUE"""),"木20")</f>
        <v>木20</v>
      </c>
      <c r="F2283" s="2" t="s">
        <v>7145</v>
      </c>
      <c r="G2283" s="2" t="s">
        <v>7160</v>
      </c>
      <c r="H2283" s="1">
        <v>5.0</v>
      </c>
      <c r="I2283" s="1" t="s">
        <v>2884</v>
      </c>
      <c r="J2283" s="1" t="s">
        <v>7151</v>
      </c>
      <c r="K2283" s="2" t="s">
        <v>7161</v>
      </c>
      <c r="L2283" s="11" t="s">
        <v>7162</v>
      </c>
      <c r="M2283" s="2" t="str">
        <f>IFERROR(__xludf.DUMMYFUNCTION("split(split(K2283,""上川隆也、"",false),""公式LINE"",false)"),"“鬼女""と恐れられる不動産ブローカー・東條志津子(多岐川裕美)が刺殺された。苛烈な仕事ぶりで業界内にも敵が多く、仕事絡みの線で捜査は進む。そんな中、殺害現場となった森の売買で、部下の岩田(伊東孝明)と対立していたことが判明!さらに、絶縁した息子の達也(山中崇)とも、彼が働く陶芸工房の立ち退きをめぐり反目していたことも分かる。2人の男に疑惑が向く中、遺体の近くに落ちていた「陶器のかけら」が導く真実とは!?")</f>
        <v>“鬼女"と恐れられる不動産ブローカー・東條志津子(多岐川裕美)が刺殺された。苛烈な仕事ぶりで業界内にも敵が多く、仕事絡みの線で捜査は進む。そんな中、殺害現場となった森の売買で、部下の岩田(伊東孝明)と対立していたことが判明!さらに、絶縁した息子の達也(山中崇)とも、彼が働く陶芸工房の立ち退きをめぐり反目していたことも分かる。2人の男に疑惑が向く中、遺体の近くに落ちていた「陶器のかけら」が導く真実とは!?</v>
      </c>
      <c r="N2283" s="2"/>
      <c r="O2283" s="2"/>
      <c r="P2283" s="2"/>
      <c r="Q2283" s="2"/>
      <c r="R2283" s="2"/>
      <c r="S2283" s="2"/>
      <c r="T2283" s="2"/>
      <c r="U2283" s="2"/>
      <c r="V2283" s="2"/>
      <c r="W2283" s="2"/>
      <c r="X2283" s="2"/>
      <c r="Y2283" s="2"/>
      <c r="Z2283" s="2"/>
      <c r="AA2283" s="2"/>
      <c r="AB2283" s="2"/>
      <c r="AC2283" s="2"/>
      <c r="AD2283" s="2"/>
      <c r="AE2283" s="2"/>
      <c r="AF2283" s="2"/>
      <c r="AG2283" s="2"/>
      <c r="AH2283" s="2"/>
      <c r="AI2283" s="2"/>
      <c r="AJ2283" s="2"/>
      <c r="AK2283" s="2"/>
      <c r="AL2283" s="2"/>
      <c r="AM2283" s="2"/>
      <c r="AN2283" s="2"/>
      <c r="AO2283" s="2"/>
      <c r="AP2283" s="2"/>
      <c r="AQ2283" s="2"/>
      <c r="AR2283" s="2"/>
      <c r="AS2283" s="2"/>
      <c r="AT2283" s="2"/>
      <c r="AU2283" s="2"/>
      <c r="AV2283" s="2"/>
      <c r="AW2283" s="2"/>
      <c r="AX2283" s="2"/>
      <c r="AY2283" s="2"/>
      <c r="AZ2283" s="2"/>
      <c r="BA2283" s="2"/>
      <c r="BB2283" s="2"/>
    </row>
    <row r="2284" ht="204.75" customHeight="1">
      <c r="A2284" s="1">
        <v>1101.0</v>
      </c>
      <c r="B2284" s="2" t="s">
        <v>7144</v>
      </c>
      <c r="C2284" s="2">
        <f>IFERROR(__xludf.DUMMYFUNCTION("split(B2284,""_"")"),1707.0)</f>
        <v>1707</v>
      </c>
      <c r="D2284" s="2" t="str">
        <f>IFERROR(__xludf.DUMMYFUNCTION("""COMPUTED_VALUE"""),"EX")</f>
        <v>EX</v>
      </c>
      <c r="E2284" s="2" t="str">
        <f>IFERROR(__xludf.DUMMYFUNCTION("""COMPUTED_VALUE"""),"木20")</f>
        <v>木20</v>
      </c>
      <c r="F2284" s="2" t="s">
        <v>7145</v>
      </c>
      <c r="G2284" s="2" t="s">
        <v>7163</v>
      </c>
      <c r="H2284" s="1">
        <v>6.0</v>
      </c>
      <c r="I2284" s="1" t="s">
        <v>2888</v>
      </c>
      <c r="J2284" s="1" t="s">
        <v>7151</v>
      </c>
      <c r="K2284" s="2" t="s">
        <v>7164</v>
      </c>
      <c r="L2284" s="11" t="s">
        <v>7165</v>
      </c>
      <c r="M2284" s="2" t="str">
        <f>IFERROR(__xludf.DUMMYFUNCTION("split(split(K2284,""上川隆也、"",false),""公式LINE"",false)"),"所轄署の警察官・西岡(岩松了)が殺害された。言い争う様子や離婚届から、妻の真由美(国生さゆり)に疑惑が向く。西岡は、10年前の女子大生殺害事件で真由美の兄が逮捕されたことで、刑事課を追われていた。二つの事件によって謎が深まる中、科捜研の村木(甲本雅裕)は、事件の捜査協力を糸村(上川隆也)に依頼。村木の真意は一体…!?糸村は、“離婚届""の歪んだ文字と黒い汚れが気になる。遺留品が導く、事件の真相とは…!?")</f>
        <v>所轄署の警察官・西岡(岩松了)が殺害された。言い争う様子や離婚届から、妻の真由美(国生さゆり)に疑惑が向く。西岡は、10年前の女子大生殺害事件で真由美の兄が逮捕されたことで、刑事課を追われていた。二つの事件によって謎が深まる中、科捜研の村木(甲本雅裕)は、事件の捜査協力を糸村(上川隆也)に依頼。村木の真意は一体…!?糸村は、“離婚届"の歪んだ文字と黒い汚れが気になる。遺留品が導く、事件の真相とは…!?</v>
      </c>
      <c r="N2284" s="2"/>
      <c r="O2284" s="2"/>
      <c r="P2284" s="2"/>
      <c r="Q2284" s="2"/>
      <c r="R2284" s="2"/>
      <c r="S2284" s="2"/>
      <c r="T2284" s="2"/>
      <c r="U2284" s="2"/>
      <c r="V2284" s="2"/>
      <c r="W2284" s="2"/>
      <c r="X2284" s="2"/>
      <c r="Y2284" s="2"/>
      <c r="Z2284" s="2"/>
      <c r="AA2284" s="2"/>
      <c r="AB2284" s="2"/>
      <c r="AC2284" s="2"/>
      <c r="AD2284" s="2"/>
      <c r="AE2284" s="2"/>
      <c r="AF2284" s="2"/>
      <c r="AG2284" s="2"/>
      <c r="AH2284" s="2"/>
      <c r="AI2284" s="2"/>
      <c r="AJ2284" s="2"/>
      <c r="AK2284" s="2"/>
      <c r="AL2284" s="2"/>
      <c r="AM2284" s="2"/>
      <c r="AN2284" s="2"/>
      <c r="AO2284" s="2"/>
      <c r="AP2284" s="2"/>
      <c r="AQ2284" s="2"/>
      <c r="AR2284" s="2"/>
      <c r="AS2284" s="2"/>
      <c r="AT2284" s="2"/>
      <c r="AU2284" s="2"/>
      <c r="AV2284" s="2"/>
      <c r="AW2284" s="2"/>
      <c r="AX2284" s="2"/>
      <c r="AY2284" s="2"/>
      <c r="AZ2284" s="2"/>
      <c r="BA2284" s="2"/>
      <c r="BB2284" s="2"/>
    </row>
    <row r="2285" ht="204.75" customHeight="1">
      <c r="A2285" s="1">
        <v>1102.0</v>
      </c>
      <c r="B2285" s="2" t="s">
        <v>7144</v>
      </c>
      <c r="C2285" s="2">
        <f>IFERROR(__xludf.DUMMYFUNCTION("split(B2285,""_"")"),1707.0)</f>
        <v>1707</v>
      </c>
      <c r="D2285" s="2" t="str">
        <f>IFERROR(__xludf.DUMMYFUNCTION("""COMPUTED_VALUE"""),"EX")</f>
        <v>EX</v>
      </c>
      <c r="E2285" s="2" t="str">
        <f>IFERROR(__xludf.DUMMYFUNCTION("""COMPUTED_VALUE"""),"木20")</f>
        <v>木20</v>
      </c>
      <c r="F2285" s="2" t="s">
        <v>7145</v>
      </c>
      <c r="G2285" s="2" t="s">
        <v>7166</v>
      </c>
      <c r="H2285" s="1">
        <v>7.0</v>
      </c>
      <c r="I2285" s="1" t="s">
        <v>2892</v>
      </c>
      <c r="J2285" s="1" t="s">
        <v>7151</v>
      </c>
      <c r="K2285" s="2" t="s">
        <v>7167</v>
      </c>
      <c r="L2285" s="11" t="s">
        <v>7168</v>
      </c>
      <c r="M2285" s="2" t="str">
        <f>IFERROR(__xludf.DUMMYFUNCTION("split(split(K2285,""上川隆也、"",false),""公式LINE"",false)"),"5年前に失踪した人気作家・尾上(小林隆)の遺体が、河川敷で発見された。なぜ路上生活をしていたのかは、元妻・さつき(渡辺梓)、出版社社長・野崎(湯江タケユキ)や尾上担当の塔子(大谷みつほ)、誰も知らないという。尾上のねぐらにノートはあるが、書くものが無いことに糸村(上川隆也)は引っかかる。現場近くでカウンセラーの小沼(大和田獏)を見たとの証言をつかむが、彼は否定。だが小沼の息子が、事件後行方をくらましていて…")</f>
        <v>5年前に失踪した人気作家・尾上(小林隆)の遺体が、河川敷で発見された。なぜ路上生活をしていたのかは、元妻・さつき(渡辺梓)、出版社社長・野崎(湯江タケユキ)や尾上担当の塔子(大谷みつほ)、誰も知らないという。尾上のねぐらにノートはあるが、書くものが無いことに糸村(上川隆也)は引っかかる。現場近くでカウンセラーの小沼(大和田獏)を見たとの証言をつかむが、彼は否定。だが小沼の息子が、事件後行方をくらましていて…</v>
      </c>
      <c r="N2285" s="2"/>
      <c r="O2285" s="2"/>
      <c r="P2285" s="2"/>
      <c r="Q2285" s="2"/>
      <c r="R2285" s="2"/>
      <c r="S2285" s="2"/>
      <c r="T2285" s="2"/>
      <c r="U2285" s="2"/>
      <c r="V2285" s="2"/>
      <c r="W2285" s="2"/>
      <c r="X2285" s="2"/>
      <c r="Y2285" s="2"/>
      <c r="Z2285" s="2"/>
      <c r="AA2285" s="2"/>
      <c r="AB2285" s="2"/>
      <c r="AC2285" s="2"/>
      <c r="AD2285" s="2"/>
      <c r="AE2285" s="2"/>
      <c r="AF2285" s="2"/>
      <c r="AG2285" s="2"/>
      <c r="AH2285" s="2"/>
      <c r="AI2285" s="2"/>
      <c r="AJ2285" s="2"/>
      <c r="AK2285" s="2"/>
      <c r="AL2285" s="2"/>
      <c r="AM2285" s="2"/>
      <c r="AN2285" s="2"/>
      <c r="AO2285" s="2"/>
      <c r="AP2285" s="2"/>
      <c r="AQ2285" s="2"/>
      <c r="AR2285" s="2"/>
      <c r="AS2285" s="2"/>
      <c r="AT2285" s="2"/>
      <c r="AU2285" s="2"/>
      <c r="AV2285" s="2"/>
      <c r="AW2285" s="2"/>
      <c r="AX2285" s="2"/>
      <c r="AY2285" s="2"/>
      <c r="AZ2285" s="2"/>
      <c r="BA2285" s="2"/>
      <c r="BB2285" s="2"/>
    </row>
    <row r="2286" ht="204.75" customHeight="1">
      <c r="A2286" s="1">
        <v>1103.0</v>
      </c>
      <c r="B2286" s="2" t="s">
        <v>7144</v>
      </c>
      <c r="C2286" s="2">
        <f>IFERROR(__xludf.DUMMYFUNCTION("split(B2286,""_"")"),1707.0)</f>
        <v>1707</v>
      </c>
      <c r="D2286" s="2" t="str">
        <f>IFERROR(__xludf.DUMMYFUNCTION("""COMPUTED_VALUE"""),"EX")</f>
        <v>EX</v>
      </c>
      <c r="E2286" s="2" t="str">
        <f>IFERROR(__xludf.DUMMYFUNCTION("""COMPUTED_VALUE"""),"木20")</f>
        <v>木20</v>
      </c>
      <c r="F2286" s="2" t="s">
        <v>7145</v>
      </c>
      <c r="G2286" s="2" t="s">
        <v>7169</v>
      </c>
      <c r="H2286" s="1">
        <v>8.0</v>
      </c>
      <c r="I2286" s="1" t="s">
        <v>2896</v>
      </c>
      <c r="J2286" s="1" t="s">
        <v>7151</v>
      </c>
      <c r="K2286" s="2" t="s">
        <v>7170</v>
      </c>
      <c r="L2286" s="11" t="s">
        <v>7171</v>
      </c>
      <c r="M2286" s="2" t="str">
        <f>IFERROR(__xludf.DUMMYFUNCTION("split(split(K2286,""上川隆也、"",false),""公式LINE"",false)"),"イベント会社社長・柴田亜弓(小沢真珠)が絞殺された。彼女はその辣腕な仕事ぶりからハイヒールを履いた“悪魔""とまで呼ばれ、社内外は敵だらけだった。さらに、部下の川嶋由希(大野いと)がパワハラに苦しんでいた事実も発覚!手口は管内で起きている連続通り魔事件の犯行と酷似しているが、同一犯の犯行なのか?それとも、怨恨による殺人なのか…!?亜弓が履いていた遺留品「折れたピンヒール」だけが知る“悪魔""の素顔とは?")</f>
        <v>イベント会社社長・柴田亜弓(小沢真珠)が絞殺された。彼女はその辣腕な仕事ぶりからハイヒールを履いた“悪魔"とまで呼ばれ、社内外は敵だらけだった。さらに、部下の川嶋由希(大野いと)がパワハラに苦しんでいた事実も発覚!手口は管内で起きている連続通り魔事件の犯行と酷似しているが、同一犯の犯行なのか?それとも、怨恨による殺人なのか…!?亜弓が履いていた遺留品「折れたピンヒール」だけが知る“悪魔"の素顔とは?</v>
      </c>
      <c r="N2286" s="2"/>
      <c r="O2286" s="2"/>
      <c r="P2286" s="2"/>
      <c r="Q2286" s="2"/>
      <c r="R2286" s="2"/>
      <c r="S2286" s="2"/>
      <c r="T2286" s="2"/>
      <c r="U2286" s="2"/>
      <c r="V2286" s="2"/>
      <c r="W2286" s="2"/>
      <c r="X2286" s="2"/>
      <c r="Y2286" s="2"/>
      <c r="Z2286" s="2"/>
      <c r="AA2286" s="2"/>
      <c r="AB2286" s="2"/>
      <c r="AC2286" s="2"/>
      <c r="AD2286" s="2"/>
      <c r="AE2286" s="2"/>
      <c r="AF2286" s="2"/>
      <c r="AG2286" s="2"/>
      <c r="AH2286" s="2"/>
      <c r="AI2286" s="2"/>
      <c r="AJ2286" s="2"/>
      <c r="AK2286" s="2"/>
      <c r="AL2286" s="2"/>
      <c r="AM2286" s="2"/>
      <c r="AN2286" s="2"/>
      <c r="AO2286" s="2"/>
      <c r="AP2286" s="2"/>
      <c r="AQ2286" s="2"/>
      <c r="AR2286" s="2"/>
      <c r="AS2286" s="2"/>
      <c r="AT2286" s="2"/>
      <c r="AU2286" s="2"/>
      <c r="AV2286" s="2"/>
      <c r="AW2286" s="2"/>
      <c r="AX2286" s="2"/>
      <c r="AY2286" s="2"/>
      <c r="AZ2286" s="2"/>
      <c r="BA2286" s="2"/>
      <c r="BB2286" s="2"/>
    </row>
    <row r="2287" ht="204.75" customHeight="1">
      <c r="A2287" s="1">
        <v>1104.0</v>
      </c>
      <c r="B2287" s="2" t="s">
        <v>7144</v>
      </c>
      <c r="C2287" s="2">
        <f>IFERROR(__xludf.DUMMYFUNCTION("split(B2287,""_"")"),1707.0)</f>
        <v>1707</v>
      </c>
      <c r="D2287" s="2" t="str">
        <f>IFERROR(__xludf.DUMMYFUNCTION("""COMPUTED_VALUE"""),"EX")</f>
        <v>EX</v>
      </c>
      <c r="E2287" s="2" t="str">
        <f>IFERROR(__xludf.DUMMYFUNCTION("""COMPUTED_VALUE"""),"木20")</f>
        <v>木20</v>
      </c>
      <c r="F2287" s="2" t="s">
        <v>7145</v>
      </c>
      <c r="G2287" s="2" t="s">
        <v>7172</v>
      </c>
      <c r="H2287" s="1">
        <v>9.0</v>
      </c>
      <c r="I2287" s="1" t="s">
        <v>2900</v>
      </c>
      <c r="J2287" s="1" t="s">
        <v>7151</v>
      </c>
      <c r="K2287" s="2" t="s">
        <v>7173</v>
      </c>
      <c r="L2287" s="11" t="s">
        <v>7174</v>
      </c>
      <c r="M2287" s="2" t="str">
        <f>IFERROR(__xludf.DUMMYFUNCTION("split(split(K2287,""上川隆也、"",false),""公式LINE"",false)"),"黒留袖を着た女性が、結婚式場で殺害された!被害者の坂口真代(かとうかず子)は御祝儀泥棒として逮捕歴があり、他人の保険証を使い無関係な式に忍び込んでいた。また御祝儀泥棒を試みたのか?真代は職場の同僚や家族から敬遠されていたため、人付き合いが全くなかった…。なぜ式場へ向かい、そして殺されてしまったのか!?そんな中、糸村は真代の所持していた「衣類のタグ」が気になり…。遺留品が導く、最後の事件の真相とは?")</f>
        <v>黒留袖を着た女性が、結婚式場で殺害された!被害者の坂口真代(かとうかず子)は御祝儀泥棒として逮捕歴があり、他人の保険証を使い無関係な式に忍び込んでいた。また御祝儀泥棒を試みたのか?真代は職場の同僚や家族から敬遠されていたため、人付き合いが全くなかった…。なぜ式場へ向かい、そして殺されてしまったのか!?そんな中、糸村は真代の所持していた「衣類のタグ」が気になり…。遺留品が導く、最後の事件の真相とは?</v>
      </c>
      <c r="N2287" s="2"/>
      <c r="O2287" s="2"/>
      <c r="P2287" s="2"/>
      <c r="Q2287" s="2"/>
      <c r="R2287" s="2"/>
      <c r="S2287" s="2"/>
      <c r="T2287" s="2"/>
      <c r="U2287" s="2"/>
      <c r="V2287" s="2"/>
      <c r="W2287" s="2"/>
      <c r="X2287" s="2"/>
      <c r="Y2287" s="2"/>
      <c r="Z2287" s="2"/>
      <c r="AA2287" s="2"/>
      <c r="AB2287" s="2"/>
      <c r="AC2287" s="2"/>
      <c r="AD2287" s="2"/>
      <c r="AE2287" s="2"/>
      <c r="AF2287" s="2"/>
      <c r="AG2287" s="2"/>
      <c r="AH2287" s="2"/>
      <c r="AI2287" s="2"/>
      <c r="AJ2287" s="2"/>
      <c r="AK2287" s="2"/>
      <c r="AL2287" s="2"/>
      <c r="AM2287" s="2"/>
      <c r="AN2287" s="2"/>
      <c r="AO2287" s="2"/>
      <c r="AP2287" s="2"/>
      <c r="AQ2287" s="2"/>
      <c r="AR2287" s="2"/>
      <c r="AS2287" s="2"/>
      <c r="AT2287" s="2"/>
      <c r="AU2287" s="2"/>
      <c r="AV2287" s="2"/>
      <c r="AW2287" s="2"/>
      <c r="AX2287" s="2"/>
      <c r="AY2287" s="2"/>
      <c r="AZ2287" s="2"/>
      <c r="BA2287" s="2"/>
      <c r="BB2287" s="2"/>
    </row>
    <row r="2288" ht="204.75" customHeight="1">
      <c r="A2288" s="1">
        <v>1105.0</v>
      </c>
      <c r="B2288" s="2" t="s">
        <v>7175</v>
      </c>
      <c r="C2288" s="2">
        <f>IFERROR(__xludf.DUMMYFUNCTION("split(B2288,""_"")"),1707.0)</f>
        <v>1707</v>
      </c>
      <c r="D2288" s="2" t="str">
        <f>IFERROR(__xludf.DUMMYFUNCTION("""COMPUTED_VALUE"""),"EX")</f>
        <v>EX</v>
      </c>
      <c r="E2288" s="2" t="str">
        <f>IFERROR(__xludf.DUMMYFUNCTION("""COMPUTED_VALUE"""),"木21")</f>
        <v>木21</v>
      </c>
      <c r="F2288" s="2" t="s">
        <v>7176</v>
      </c>
      <c r="G2288" s="2" t="s">
        <v>7177</v>
      </c>
      <c r="H2288" s="1">
        <v>1.0</v>
      </c>
      <c r="I2288" s="1" t="s">
        <v>2868</v>
      </c>
      <c r="J2288" s="1" t="s">
        <v>4</v>
      </c>
      <c r="K2288" s="4" t="s">
        <v>7178</v>
      </c>
      <c r="L2288" s="11" t="s">
        <v>7179</v>
      </c>
      <c r="M2288" s="2" t="str">
        <f>IFERROR(__xludf.DUMMYFUNCTION("split(split(K2288,""武井咲、"",false),""公式LINE"",false)"),"派遣行員として勤めていた銀行から1億8千万円もの大金を横領した原口元子(武井咲)は、銀座に自身のクラブ「カルネ」をオープンさせる。危険と知りながらも、自らの野望のためだけに突き進み、『黒革の手帖』を盾に政財界の大物たちと渡り合っていく。それぞれの欲望が息苦しいほど交錯する夜の街・銀座で、“派遣のオンナ""から“銀座のママ""へと華麗な転身を遂げた元子の、孤高の戦いが華やかに幕を開ける!!")</f>
        <v>派遣行員として勤めていた銀行から1億8千万円もの大金を横領した原口元子(武井咲)は、銀座に自身のクラブ「カルネ」をオープンさせる。危険と知りながらも、自らの野望のためだけに突き進み、『黒革の手帖』を盾に政財界の大物たちと渡り合っていく。それぞれの欲望が息苦しいほど交錯する夜の街・銀座で、“派遣のオンナ"から“銀座のママ"へと華麗な転身を遂げた元子の、孤高の戦いが華やかに幕を開ける!!</v>
      </c>
      <c r="N2288" s="2"/>
      <c r="O2288" s="2"/>
      <c r="P2288" s="2"/>
      <c r="Q2288" s="2"/>
      <c r="R2288" s="2"/>
      <c r="S2288" s="2"/>
      <c r="T2288" s="2"/>
      <c r="U2288" s="2"/>
      <c r="V2288" s="2"/>
      <c r="W2288" s="2"/>
      <c r="X2288" s="2"/>
      <c r="Y2288" s="2"/>
      <c r="Z2288" s="2"/>
      <c r="AA2288" s="2"/>
      <c r="AB2288" s="2"/>
      <c r="AC2288" s="2"/>
      <c r="AD2288" s="2"/>
      <c r="AE2288" s="2"/>
      <c r="AF2288" s="2"/>
      <c r="AG2288" s="2"/>
      <c r="AH2288" s="2"/>
      <c r="AI2288" s="2"/>
      <c r="AJ2288" s="2"/>
      <c r="AK2288" s="2"/>
      <c r="AL2288" s="2"/>
      <c r="AM2288" s="2"/>
      <c r="AN2288" s="2"/>
      <c r="AO2288" s="2"/>
      <c r="AP2288" s="2"/>
      <c r="AQ2288" s="2"/>
      <c r="AR2288" s="2"/>
      <c r="AS2288" s="2"/>
      <c r="AT2288" s="2"/>
      <c r="AU2288" s="2"/>
      <c r="AV2288" s="2"/>
      <c r="AW2288" s="2"/>
      <c r="AX2288" s="2"/>
      <c r="AY2288" s="2"/>
      <c r="AZ2288" s="2"/>
      <c r="BA2288" s="2"/>
      <c r="BB2288" s="2"/>
    </row>
    <row r="2289" ht="204.75" customHeight="1">
      <c r="A2289" s="1">
        <v>1106.0</v>
      </c>
      <c r="B2289" s="2" t="s">
        <v>7175</v>
      </c>
      <c r="C2289" s="2">
        <f>IFERROR(__xludf.DUMMYFUNCTION("split(B2289,""_"")"),1707.0)</f>
        <v>1707</v>
      </c>
      <c r="D2289" s="2" t="str">
        <f>IFERROR(__xludf.DUMMYFUNCTION("""COMPUTED_VALUE"""),"EX")</f>
        <v>EX</v>
      </c>
      <c r="E2289" s="2" t="str">
        <f>IFERROR(__xludf.DUMMYFUNCTION("""COMPUTED_VALUE"""),"木21")</f>
        <v>木21</v>
      </c>
      <c r="F2289" s="2" t="s">
        <v>7176</v>
      </c>
      <c r="G2289" s="2" t="s">
        <v>7180</v>
      </c>
      <c r="H2289" s="1">
        <v>2.0</v>
      </c>
      <c r="I2289" s="1" t="s">
        <v>2872</v>
      </c>
      <c r="J2289" s="1" t="s">
        <v>4</v>
      </c>
      <c r="K2289" s="2" t="s">
        <v>7181</v>
      </c>
      <c r="L2289" s="11" t="s">
        <v>7182</v>
      </c>
      <c r="M2289" s="2" t="str">
        <f>IFERROR(__xludf.DUMMYFUNCTION("split(split(K2289,""武井咲、"",false),""公式LINE"",false)"),"横領した1億8千万円と借名口座のリストを記した“黒革の手帖""を武器に、原口元子(武井咲)は銀座にクラブ『カルネ』をオープンさせた。ほどなくして、元同僚の山田波子(仲里依紗)が元子の店で働くことに。入店早々、楢林クリニック院長・楢林謙治(奥田瑛二)に見初められるが、次第に親密になっていく二人に元子は一抹の不安を感じ、ある策を講じる。楢林クリニック看護師長・中岡市子(高畑淳子)を呼び出し…")</f>
        <v>横領した1億8千万円と借名口座のリストを記した“黒革の手帖"を武器に、原口元子(武井咲)は銀座にクラブ『カルネ』をオープンさせた。ほどなくして、元同僚の山田波子(仲里依紗)が元子の店で働くことに。入店早々、楢林クリニック院長・楢林謙治(奥田瑛二)に見初められるが、次第に親密になっていく二人に元子は一抹の不安を感じ、ある策を講じる。楢林クリニック看護師長・中岡市子(高畑淳子)を呼び出し…</v>
      </c>
      <c r="N2289" s="2"/>
      <c r="O2289" s="2"/>
      <c r="P2289" s="2"/>
      <c r="Q2289" s="2"/>
      <c r="R2289" s="2"/>
      <c r="S2289" s="2"/>
      <c r="T2289" s="2"/>
      <c r="U2289" s="2"/>
      <c r="V2289" s="2"/>
      <c r="W2289" s="2"/>
      <c r="X2289" s="2"/>
      <c r="Y2289" s="2"/>
      <c r="Z2289" s="2"/>
      <c r="AA2289" s="2"/>
      <c r="AB2289" s="2"/>
      <c r="AC2289" s="2"/>
      <c r="AD2289" s="2"/>
      <c r="AE2289" s="2"/>
      <c r="AF2289" s="2"/>
      <c r="AG2289" s="2"/>
      <c r="AH2289" s="2"/>
      <c r="AI2289" s="2"/>
      <c r="AJ2289" s="2"/>
      <c r="AK2289" s="2"/>
      <c r="AL2289" s="2"/>
      <c r="AM2289" s="2"/>
      <c r="AN2289" s="2"/>
      <c r="AO2289" s="2"/>
      <c r="AP2289" s="2"/>
      <c r="AQ2289" s="2"/>
      <c r="AR2289" s="2"/>
      <c r="AS2289" s="2"/>
      <c r="AT2289" s="2"/>
      <c r="AU2289" s="2"/>
      <c r="AV2289" s="2"/>
      <c r="AW2289" s="2"/>
      <c r="AX2289" s="2"/>
      <c r="AY2289" s="2"/>
      <c r="AZ2289" s="2"/>
      <c r="BA2289" s="2"/>
      <c r="BB2289" s="2"/>
    </row>
    <row r="2290" ht="204.75" customHeight="1">
      <c r="A2290" s="1">
        <v>1107.0</v>
      </c>
      <c r="B2290" s="2" t="s">
        <v>7175</v>
      </c>
      <c r="C2290" s="2">
        <f>IFERROR(__xludf.DUMMYFUNCTION("split(B2290,""_"")"),1707.0)</f>
        <v>1707</v>
      </c>
      <c r="D2290" s="2" t="str">
        <f>IFERROR(__xludf.DUMMYFUNCTION("""COMPUTED_VALUE"""),"EX")</f>
        <v>EX</v>
      </c>
      <c r="E2290" s="2" t="str">
        <f>IFERROR(__xludf.DUMMYFUNCTION("""COMPUTED_VALUE"""),"木21")</f>
        <v>木21</v>
      </c>
      <c r="F2290" s="2" t="s">
        <v>7176</v>
      </c>
      <c r="G2290" s="2" t="s">
        <v>7183</v>
      </c>
      <c r="H2290" s="1">
        <v>3.0</v>
      </c>
      <c r="I2290" s="1" t="s">
        <v>2876</v>
      </c>
      <c r="J2290" s="1" t="s">
        <v>11</v>
      </c>
      <c r="K2290" s="2" t="s">
        <v>7184</v>
      </c>
      <c r="L2290" s="11" t="s">
        <v>7185</v>
      </c>
      <c r="M2290" s="2" t="str">
        <f>IFERROR(__xludf.DUMMYFUNCTION("split(split(K2290,""武井咲、"",false),""公式LINE"",false)"),"原口元子(武井咲)の妨害により、銀座に新店を出す計画が頓挫した山田波子(仲里依紗)は、元子を潰そうと動き始める。一方、上星ゼミナールの理事長・橋田常雄(高嶋政伸)は、元子を自分のものにしようとあらゆる手を使うが、相手にしてもらえず嫉妬心を募らせていく。ある日、突然『カルネ』に東林銀行の元上司・村井亨(滝藤賢一)がやってきて…?  元子に蹴落とされた者たちが、銀座の街で暴走する!!")</f>
        <v>原口元子(武井咲)の妨害により、銀座に新店を出す計画が頓挫した山田波子(仲里依紗)は、元子を潰そうと動き始める。一方、上星ゼミナールの理事長・橋田常雄(高嶋政伸)は、元子を自分のものにしようとあらゆる手を使うが、相手にしてもらえず嫉妬心を募らせていく。ある日、突然『カルネ』に東林銀行の元上司・村井亨(滝藤賢一)がやってきて…?  元子に蹴落とされた者たちが、銀座の街で暴走する!!</v>
      </c>
      <c r="N2290" s="2"/>
      <c r="O2290" s="2"/>
      <c r="P2290" s="2"/>
      <c r="Q2290" s="2"/>
      <c r="R2290" s="2"/>
      <c r="S2290" s="2"/>
      <c r="T2290" s="2"/>
      <c r="U2290" s="2"/>
      <c r="V2290" s="2"/>
      <c r="W2290" s="2"/>
      <c r="X2290" s="2"/>
      <c r="Y2290" s="2"/>
      <c r="Z2290" s="2"/>
      <c r="AA2290" s="2"/>
      <c r="AB2290" s="2"/>
      <c r="AC2290" s="2"/>
      <c r="AD2290" s="2"/>
      <c r="AE2290" s="2"/>
      <c r="AF2290" s="2"/>
      <c r="AG2290" s="2"/>
      <c r="AH2290" s="2"/>
      <c r="AI2290" s="2"/>
      <c r="AJ2290" s="2"/>
      <c r="AK2290" s="2"/>
      <c r="AL2290" s="2"/>
      <c r="AM2290" s="2"/>
      <c r="AN2290" s="2"/>
      <c r="AO2290" s="2"/>
      <c r="AP2290" s="2"/>
      <c r="AQ2290" s="2"/>
      <c r="AR2290" s="2"/>
      <c r="AS2290" s="2"/>
      <c r="AT2290" s="2"/>
      <c r="AU2290" s="2"/>
      <c r="AV2290" s="2"/>
      <c r="AW2290" s="2"/>
      <c r="AX2290" s="2"/>
      <c r="AY2290" s="2"/>
      <c r="AZ2290" s="2"/>
      <c r="BA2290" s="2"/>
      <c r="BB2290" s="2"/>
    </row>
    <row r="2291" ht="204.75" customHeight="1">
      <c r="A2291" s="1">
        <v>1108.0</v>
      </c>
      <c r="B2291" s="2" t="s">
        <v>7175</v>
      </c>
      <c r="C2291" s="2">
        <f>IFERROR(__xludf.DUMMYFUNCTION("split(B2291,""_"")"),1707.0)</f>
        <v>1707</v>
      </c>
      <c r="D2291" s="2" t="str">
        <f>IFERROR(__xludf.DUMMYFUNCTION("""COMPUTED_VALUE"""),"EX")</f>
        <v>EX</v>
      </c>
      <c r="E2291" s="2" t="str">
        <f>IFERROR(__xludf.DUMMYFUNCTION("""COMPUTED_VALUE"""),"木21")</f>
        <v>木21</v>
      </c>
      <c r="F2291" s="2" t="s">
        <v>7176</v>
      </c>
      <c r="G2291" s="2" t="s">
        <v>7186</v>
      </c>
      <c r="H2291" s="1">
        <v>4.0</v>
      </c>
      <c r="I2291" s="1" t="s">
        <v>2880</v>
      </c>
      <c r="J2291" s="1" t="s">
        <v>11</v>
      </c>
      <c r="K2291" s="2" t="s">
        <v>7187</v>
      </c>
      <c r="L2291" s="11" t="s">
        <v>7188</v>
      </c>
      <c r="M2291" s="2" t="str">
        <f>IFERROR(__xludf.DUMMYFUNCTION("split(split(K2291,""武井咲、"",false),""公式LINE"",false)"),"銀座のクラブの最高峰である『ルダン』が売りに出されると耳にした原口元子(武井咲)は、次なる一手に思いを巡らせていた。予備校理事長・橋田常雄(高嶋政伸)は元子を一泊二日の温泉旅行に誘うが、安島富夫(江口洋介)に気がある様子の元子に嫉妬心を掻き立てられ、無理矢理自分のものにしようと襲い掛かる…。  銀座の全てを支配するため、元子はある計画を決意。最強悪女の第二章が、ついに幕を開ける!!")</f>
        <v>銀座のクラブの最高峰である『ルダン』が売りに出されると耳にした原口元子(武井咲)は、次なる一手に思いを巡らせていた。予備校理事長・橋田常雄(高嶋政伸)は元子を一泊二日の温泉旅行に誘うが、安島富夫(江口洋介)に気がある様子の元子に嫉妬心を掻き立てられ、無理矢理自分のものにしようと襲い掛かる…。  銀座の全てを支配するため、元子はある計画を決意。最強悪女の第二章が、ついに幕を開ける!!</v>
      </c>
      <c r="N2291" s="2"/>
      <c r="O2291" s="2"/>
      <c r="P2291" s="2"/>
      <c r="Q2291" s="2"/>
      <c r="R2291" s="2"/>
      <c r="S2291" s="2"/>
      <c r="T2291" s="2"/>
      <c r="U2291" s="2"/>
      <c r="V2291" s="2"/>
      <c r="W2291" s="2"/>
      <c r="X2291" s="2"/>
      <c r="Y2291" s="2"/>
      <c r="Z2291" s="2"/>
      <c r="AA2291" s="2"/>
      <c r="AB2291" s="2"/>
      <c r="AC2291" s="2"/>
      <c r="AD2291" s="2"/>
      <c r="AE2291" s="2"/>
      <c r="AF2291" s="2"/>
      <c r="AG2291" s="2"/>
      <c r="AH2291" s="2"/>
      <c r="AI2291" s="2"/>
      <c r="AJ2291" s="2"/>
      <c r="AK2291" s="2"/>
      <c r="AL2291" s="2"/>
      <c r="AM2291" s="2"/>
      <c r="AN2291" s="2"/>
      <c r="AO2291" s="2"/>
      <c r="AP2291" s="2"/>
      <c r="AQ2291" s="2"/>
      <c r="AR2291" s="2"/>
      <c r="AS2291" s="2"/>
      <c r="AT2291" s="2"/>
      <c r="AU2291" s="2"/>
      <c r="AV2291" s="2"/>
      <c r="AW2291" s="2"/>
      <c r="AX2291" s="2"/>
      <c r="AY2291" s="2"/>
      <c r="AZ2291" s="2"/>
      <c r="BA2291" s="2"/>
      <c r="BB2291" s="2"/>
    </row>
    <row r="2292" ht="204.75" customHeight="1">
      <c r="A2292" s="1">
        <v>1109.0</v>
      </c>
      <c r="B2292" s="2" t="s">
        <v>7175</v>
      </c>
      <c r="C2292" s="2">
        <f>IFERROR(__xludf.DUMMYFUNCTION("split(B2292,""_"")"),1707.0)</f>
        <v>1707</v>
      </c>
      <c r="D2292" s="2" t="str">
        <f>IFERROR(__xludf.DUMMYFUNCTION("""COMPUTED_VALUE"""),"EX")</f>
        <v>EX</v>
      </c>
      <c r="E2292" s="2" t="str">
        <f>IFERROR(__xludf.DUMMYFUNCTION("""COMPUTED_VALUE"""),"木21")</f>
        <v>木21</v>
      </c>
      <c r="F2292" s="2" t="s">
        <v>7176</v>
      </c>
      <c r="G2292" s="2" t="s">
        <v>7189</v>
      </c>
      <c r="H2292" s="1">
        <v>5.0</v>
      </c>
      <c r="I2292" s="1" t="s">
        <v>2884</v>
      </c>
      <c r="J2292" s="1" t="s">
        <v>11</v>
      </c>
      <c r="K2292" s="2" t="s">
        <v>7190</v>
      </c>
      <c r="L2292" s="11" t="s">
        <v>7191</v>
      </c>
      <c r="M2292" s="2" t="str">
        <f>IFERROR(__xludf.DUMMYFUNCTION("split(split(K2292,""武井咲、"",false),""公式LINE"",false)"),"予備校理事長・橋田常雄(高嶋政伸)の裏口入学斡旋者リストを手に入れた原口元子(武井咲)は、銀座の最高峰クラブ『ルダン』を買い取るため、計画を実行に移す決意をする。一方、議員選挙に出馬しようとしていた安島富夫(江口洋介)は、自らの夢を叶えようと、恩人を裏切る驚きの行動をとっていた…。  それぞれの欲望が渦巻く銀座の街で、さらなる高みを目指す悪女と怪物たちの凄まじいバトルがさらに勢いを増していく!")</f>
        <v>予備校理事長・橋田常雄(高嶋政伸)の裏口入学斡旋者リストを手に入れた原口元子(武井咲)は、銀座の最高峰クラブ『ルダン』を買い取るため、計画を実行に移す決意をする。一方、議員選挙に出馬しようとしていた安島富夫(江口洋介)は、自らの夢を叶えようと、恩人を裏切る驚きの行動をとっていた…。  それぞれの欲望が渦巻く銀座の街で、さらなる高みを目指す悪女と怪物たちの凄まじいバトルがさらに勢いを増していく!</v>
      </c>
      <c r="N2292" s="2"/>
      <c r="O2292" s="2"/>
      <c r="P2292" s="2"/>
      <c r="Q2292" s="2"/>
      <c r="R2292" s="2"/>
      <c r="S2292" s="2"/>
      <c r="T2292" s="2"/>
      <c r="U2292" s="2"/>
      <c r="V2292" s="2"/>
      <c r="W2292" s="2"/>
      <c r="X2292" s="2"/>
      <c r="Y2292" s="2"/>
      <c r="Z2292" s="2"/>
      <c r="AA2292" s="2"/>
      <c r="AB2292" s="2"/>
      <c r="AC2292" s="2"/>
      <c r="AD2292" s="2"/>
      <c r="AE2292" s="2"/>
      <c r="AF2292" s="2"/>
      <c r="AG2292" s="2"/>
      <c r="AH2292" s="2"/>
      <c r="AI2292" s="2"/>
      <c r="AJ2292" s="2"/>
      <c r="AK2292" s="2"/>
      <c r="AL2292" s="2"/>
      <c r="AM2292" s="2"/>
      <c r="AN2292" s="2"/>
      <c r="AO2292" s="2"/>
      <c r="AP2292" s="2"/>
      <c r="AQ2292" s="2"/>
      <c r="AR2292" s="2"/>
      <c r="AS2292" s="2"/>
      <c r="AT2292" s="2"/>
      <c r="AU2292" s="2"/>
      <c r="AV2292" s="2"/>
      <c r="AW2292" s="2"/>
      <c r="AX2292" s="2"/>
      <c r="AY2292" s="2"/>
      <c r="AZ2292" s="2"/>
      <c r="BA2292" s="2"/>
      <c r="BB2292" s="2"/>
    </row>
    <row r="2293" ht="204.75" customHeight="1">
      <c r="A2293" s="1">
        <v>1110.0</v>
      </c>
      <c r="B2293" s="2" t="s">
        <v>7175</v>
      </c>
      <c r="C2293" s="2">
        <f>IFERROR(__xludf.DUMMYFUNCTION("split(B2293,""_"")"),1707.0)</f>
        <v>1707</v>
      </c>
      <c r="D2293" s="2" t="str">
        <f>IFERROR(__xludf.DUMMYFUNCTION("""COMPUTED_VALUE"""),"EX")</f>
        <v>EX</v>
      </c>
      <c r="E2293" s="2" t="str">
        <f>IFERROR(__xludf.DUMMYFUNCTION("""COMPUTED_VALUE"""),"木21")</f>
        <v>木21</v>
      </c>
      <c r="F2293" s="2" t="s">
        <v>7176</v>
      </c>
      <c r="G2293" s="2" t="s">
        <v>7192</v>
      </c>
      <c r="H2293" s="1">
        <v>6.0</v>
      </c>
      <c r="I2293" s="1" t="s">
        <v>2888</v>
      </c>
      <c r="J2293" s="1" t="s">
        <v>11</v>
      </c>
      <c r="K2293" s="2" t="s">
        <v>7193</v>
      </c>
      <c r="L2293" s="11" t="s">
        <v>7194</v>
      </c>
      <c r="M2293" s="2" t="str">
        <f>IFERROR(__xludf.DUMMYFUNCTION("split(split(K2293,""武井咲、"",false),""公式LINE"",false)"),"長谷川庄治(伊東四朗)から銀座の最高峰クラブ『ルダン』を買い取るため、原口元子(武井咲)は手付金の5千万円を支払い、売買契約書を交わす。しかし、その矢先、次々と驚愕の事実がもたらされる!橋田常雄(高嶋政伸)から奪ったはずの料亭『梅村』が…。クラブ『カルネ』に、失脚したはずの村井亨(滝藤賢一)が…。追い打ちをかけるように、元子の自宅に何者かが侵入してきて…!?果たして、最強悪女を待ち受ける運命とは…")</f>
        <v>長谷川庄治(伊東四朗)から銀座の最高峰クラブ『ルダン』を買い取るため、原口元子(武井咲)は手付金の5千万円を支払い、売買契約書を交わす。しかし、その矢先、次々と驚愕の事実がもたらされる!橋田常雄(高嶋政伸)から奪ったはずの料亭『梅村』が…。クラブ『カルネ』に、失脚したはずの村井亨(滝藤賢一)が…。追い打ちをかけるように、元子の自宅に何者かが侵入してきて…!?果たして、最強悪女を待ち受ける運命とは…</v>
      </c>
      <c r="N2293" s="2"/>
      <c r="O2293" s="2"/>
      <c r="P2293" s="2"/>
      <c r="Q2293" s="2"/>
      <c r="R2293" s="2"/>
      <c r="S2293" s="2"/>
      <c r="T2293" s="2"/>
      <c r="U2293" s="2"/>
      <c r="V2293" s="2"/>
      <c r="W2293" s="2"/>
      <c r="X2293" s="2"/>
      <c r="Y2293" s="2"/>
      <c r="Z2293" s="2"/>
      <c r="AA2293" s="2"/>
      <c r="AB2293" s="2"/>
      <c r="AC2293" s="2"/>
      <c r="AD2293" s="2"/>
      <c r="AE2293" s="2"/>
      <c r="AF2293" s="2"/>
      <c r="AG2293" s="2"/>
      <c r="AH2293" s="2"/>
      <c r="AI2293" s="2"/>
      <c r="AJ2293" s="2"/>
      <c r="AK2293" s="2"/>
      <c r="AL2293" s="2"/>
      <c r="AM2293" s="2"/>
      <c r="AN2293" s="2"/>
      <c r="AO2293" s="2"/>
      <c r="AP2293" s="2"/>
      <c r="AQ2293" s="2"/>
      <c r="AR2293" s="2"/>
      <c r="AS2293" s="2"/>
      <c r="AT2293" s="2"/>
      <c r="AU2293" s="2"/>
      <c r="AV2293" s="2"/>
      <c r="AW2293" s="2"/>
      <c r="AX2293" s="2"/>
      <c r="AY2293" s="2"/>
      <c r="AZ2293" s="2"/>
      <c r="BA2293" s="2"/>
      <c r="BB2293" s="2"/>
    </row>
    <row r="2294" ht="204.75" customHeight="1">
      <c r="A2294" s="1">
        <v>1111.0</v>
      </c>
      <c r="B2294" s="2" t="s">
        <v>7175</v>
      </c>
      <c r="C2294" s="2">
        <f>IFERROR(__xludf.DUMMYFUNCTION("split(B2294,""_"")"),1707.0)</f>
        <v>1707</v>
      </c>
      <c r="D2294" s="2" t="str">
        <f>IFERROR(__xludf.DUMMYFUNCTION("""COMPUTED_VALUE"""),"EX")</f>
        <v>EX</v>
      </c>
      <c r="E2294" s="2" t="str">
        <f>IFERROR(__xludf.DUMMYFUNCTION("""COMPUTED_VALUE"""),"木21")</f>
        <v>木21</v>
      </c>
      <c r="F2294" s="2" t="s">
        <v>7176</v>
      </c>
      <c r="G2294" s="2" t="s">
        <v>7195</v>
      </c>
      <c r="H2294" s="1">
        <v>7.0</v>
      </c>
      <c r="I2294" s="1" t="s">
        <v>2892</v>
      </c>
      <c r="J2294" s="1" t="s">
        <v>11</v>
      </c>
      <c r="K2294" s="2" t="s">
        <v>7196</v>
      </c>
      <c r="L2294" s="11" t="s">
        <v>7197</v>
      </c>
      <c r="M2294" s="2" t="str">
        <f>IFERROR(__xludf.DUMMYFUNCTION("split(split(K2294,""武井咲、"",false),""公式LINE"",false)"),"契約金の残金を支払えなかったことで『ルダン』を手に入れることはおろか、『カルネ』までも差し押さえられてしまった原口元子(武井咲)。さらに黒革の手帖も奪われ、文字通りすべてを失ってしまう。『燭台』の叡子ママ(真矢ミキ)にまで「ルールを破った女に居場所はない」と冷たく言い放たれ、追い討ちをかけるようにさらなる不幸が舞い込んでくる。絶体絶命に追い込まれた元子が、選択する道とは…?")</f>
        <v>契約金の残金を支払えなかったことで『ルダン』を手に入れることはおろか、『カルネ』までも差し押さえられてしまった原口元子(武井咲)。さらに黒革の手帖も奪われ、文字通りすべてを失ってしまう。『燭台』の叡子ママ(真矢ミキ)にまで「ルールを破った女に居場所はない」と冷たく言い放たれ、追い討ちをかけるようにさらなる不幸が舞い込んでくる。絶体絶命に追い込まれた元子が、選択する道とは…?</v>
      </c>
      <c r="N2294" s="2"/>
      <c r="O2294" s="2"/>
      <c r="P2294" s="2"/>
      <c r="Q2294" s="2"/>
      <c r="R2294" s="2"/>
      <c r="S2294" s="2"/>
      <c r="T2294" s="2"/>
      <c r="U2294" s="2"/>
      <c r="V2294" s="2"/>
      <c r="W2294" s="2"/>
      <c r="X2294" s="2"/>
      <c r="Y2294" s="2"/>
      <c r="Z2294" s="2"/>
      <c r="AA2294" s="2"/>
      <c r="AB2294" s="2"/>
      <c r="AC2294" s="2"/>
      <c r="AD2294" s="2"/>
      <c r="AE2294" s="2"/>
      <c r="AF2294" s="2"/>
      <c r="AG2294" s="2"/>
      <c r="AH2294" s="2"/>
      <c r="AI2294" s="2"/>
      <c r="AJ2294" s="2"/>
      <c r="AK2294" s="2"/>
      <c r="AL2294" s="2"/>
      <c r="AM2294" s="2"/>
      <c r="AN2294" s="2"/>
      <c r="AO2294" s="2"/>
      <c r="AP2294" s="2"/>
      <c r="AQ2294" s="2"/>
      <c r="AR2294" s="2"/>
      <c r="AS2294" s="2"/>
      <c r="AT2294" s="2"/>
      <c r="AU2294" s="2"/>
      <c r="AV2294" s="2"/>
      <c r="AW2294" s="2"/>
      <c r="AX2294" s="2"/>
      <c r="AY2294" s="2"/>
      <c r="AZ2294" s="2"/>
      <c r="BA2294" s="2"/>
      <c r="BB2294" s="2"/>
    </row>
    <row r="2295" ht="204.75" customHeight="1">
      <c r="A2295" s="1">
        <v>1112.0</v>
      </c>
      <c r="B2295" s="2" t="s">
        <v>7175</v>
      </c>
      <c r="C2295" s="2">
        <f>IFERROR(__xludf.DUMMYFUNCTION("split(B2295,""_"")"),1707.0)</f>
        <v>1707</v>
      </c>
      <c r="D2295" s="2" t="str">
        <f>IFERROR(__xludf.DUMMYFUNCTION("""COMPUTED_VALUE"""),"EX")</f>
        <v>EX</v>
      </c>
      <c r="E2295" s="2" t="str">
        <f>IFERROR(__xludf.DUMMYFUNCTION("""COMPUTED_VALUE"""),"木21")</f>
        <v>木21</v>
      </c>
      <c r="F2295" s="2" t="s">
        <v>7176</v>
      </c>
      <c r="G2295" s="2" t="s">
        <v>7198</v>
      </c>
      <c r="H2295" s="1">
        <v>8.0</v>
      </c>
      <c r="I2295" s="1" t="s">
        <v>2896</v>
      </c>
      <c r="J2295" s="1" t="s">
        <v>4</v>
      </c>
      <c r="K2295" s="2" t="s">
        <v>7199</v>
      </c>
      <c r="L2295" s="11" t="s">
        <v>7200</v>
      </c>
      <c r="M2295" s="2" t="str">
        <f>IFERROR(__xludf.DUMMYFUNCTION("split(split(K2295,""武井咲、"",false),""公式LINE"",false)"),"安島富夫(江口洋介)から渡された封筒を手に、もう一度、長谷川庄治(伊東四朗)に会う約束を取り付けた原口元子(武井咲)。何度どん底に突き落とされても諦めず『カルネ』の権利を返すよう迫る元子に、観念した長谷川が覚書にサインをしたその時、思いがけない事態が起こり…?銀座に舞い戻った元子は、これまで通りの日々が続いていくかのように思えたが、その裏ではあの怪物たちも自らの居場所を求め、うごめきだしていた…。")</f>
        <v>安島富夫(江口洋介)から渡された封筒を手に、もう一度、長谷川庄治(伊東四朗)に会う約束を取り付けた原口元子(武井咲)。何度どん底に突き落とされても諦めず『カルネ』の権利を返すよう迫る元子に、観念した長谷川が覚書にサインをしたその時、思いがけない事態が起こり…?銀座に舞い戻った元子は、これまで通りの日々が続いていくかのように思えたが、その裏ではあの怪物たちも自らの居場所を求め、うごめきだしていた…。</v>
      </c>
      <c r="N2295" s="2"/>
      <c r="O2295" s="2"/>
      <c r="P2295" s="2"/>
      <c r="Q2295" s="2"/>
      <c r="R2295" s="2"/>
      <c r="S2295" s="2"/>
      <c r="T2295" s="2"/>
      <c r="U2295" s="2"/>
      <c r="V2295" s="2"/>
      <c r="W2295" s="2"/>
      <c r="X2295" s="2"/>
      <c r="Y2295" s="2"/>
      <c r="Z2295" s="2"/>
      <c r="AA2295" s="2"/>
      <c r="AB2295" s="2"/>
      <c r="AC2295" s="2"/>
      <c r="AD2295" s="2"/>
      <c r="AE2295" s="2"/>
      <c r="AF2295" s="2"/>
      <c r="AG2295" s="2"/>
      <c r="AH2295" s="2"/>
      <c r="AI2295" s="2"/>
      <c r="AJ2295" s="2"/>
      <c r="AK2295" s="2"/>
      <c r="AL2295" s="2"/>
      <c r="AM2295" s="2"/>
      <c r="AN2295" s="2"/>
      <c r="AO2295" s="2"/>
      <c r="AP2295" s="2"/>
      <c r="AQ2295" s="2"/>
      <c r="AR2295" s="2"/>
      <c r="AS2295" s="2"/>
      <c r="AT2295" s="2"/>
      <c r="AU2295" s="2"/>
      <c r="AV2295" s="2"/>
      <c r="AW2295" s="2"/>
      <c r="AX2295" s="2"/>
      <c r="AY2295" s="2"/>
      <c r="AZ2295" s="2"/>
      <c r="BA2295" s="2"/>
      <c r="BB2295" s="2"/>
    </row>
    <row r="2296" ht="204.75" customHeight="1">
      <c r="A2296" s="1">
        <v>1143.0</v>
      </c>
      <c r="B2296" s="2" t="s">
        <v>7201</v>
      </c>
      <c r="C2296" s="2">
        <f>IFERROR(__xludf.DUMMYFUNCTION("split(B2296,""_"")"),1707.0)</f>
        <v>1707</v>
      </c>
      <c r="D2296" s="2" t="str">
        <f>IFERROR(__xludf.DUMMYFUNCTION("""COMPUTED_VALUE"""),"EX")</f>
        <v>EX</v>
      </c>
      <c r="E2296" s="2" t="str">
        <f>IFERROR(__xludf.DUMMYFUNCTION("""COMPUTED_VALUE"""),"金23")</f>
        <v>金23</v>
      </c>
      <c r="F2296" s="2" t="s">
        <v>7202</v>
      </c>
      <c r="G2296" s="2" t="s">
        <v>7203</v>
      </c>
      <c r="H2296" s="1">
        <v>1.0</v>
      </c>
      <c r="I2296" s="1" t="s">
        <v>2868</v>
      </c>
      <c r="J2296" s="1" t="s">
        <v>1435</v>
      </c>
      <c r="K2296" s="4" t="s">
        <v>7204</v>
      </c>
      <c r="L2296" s="11" t="s">
        <v>7205</v>
      </c>
      <c r="M2296" s="2" t="str">
        <f>IFERROR(__xludf.DUMMYFUNCTION("split(split(K2296,""藍野真伍…"",false),""公式LINE"",false)"),"【結婚サギ!? エリート証券マン×土地持ち美女!!】  元動物行動学者の所長・藍野真伍(山崎育三郎)や依頼者にすぐ惚れてしまうシスター・エリザベス(高梨臨)など、個性豊かな面々が働く『あいの結婚相談所』に横田(加藤晴彦)がやってきた。結婚相手の条件は「一緒に自然の中で過ごせる人」。藍野は運命の相手に瑞絵(市川由衣)を選び出すが…。一方、別の依頼者である会社社長・里子(小沢真珠)の行動に問題が発覚する!")</f>
        <v>【結婚サギ!? エリート証券マン×土地持ち美女!!】  元動物行動学者の所長・藍野真伍(山崎育三郎)や依頼者にすぐ惚れてしまうシスター・エリザベス(高梨臨)など、個性豊かな面々が働く『あいの結婚相談所』に横田(加藤晴彦)がやってきた。結婚相手の条件は「一緒に自然の中で過ごせる人」。藍野は運命の相手に瑞絵(市川由衣)を選び出すが…。一方、別の依頼者である会社社長・里子(小沢真珠)の行動に問題が発覚する!</v>
      </c>
      <c r="N2296" s="2"/>
      <c r="O2296" s="2"/>
      <c r="P2296" s="2"/>
      <c r="Q2296" s="2"/>
      <c r="R2296" s="2"/>
      <c r="S2296" s="2"/>
      <c r="T2296" s="2"/>
      <c r="U2296" s="2"/>
      <c r="V2296" s="2"/>
      <c r="W2296" s="2"/>
      <c r="X2296" s="2"/>
      <c r="Y2296" s="2"/>
      <c r="Z2296" s="2"/>
      <c r="AA2296" s="2"/>
      <c r="AB2296" s="2"/>
      <c r="AC2296" s="2"/>
      <c r="AD2296" s="2"/>
      <c r="AE2296" s="2"/>
      <c r="AF2296" s="2"/>
      <c r="AG2296" s="2"/>
      <c r="AH2296" s="2"/>
      <c r="AI2296" s="2"/>
      <c r="AJ2296" s="2"/>
      <c r="AK2296" s="2"/>
      <c r="AL2296" s="2"/>
      <c r="AM2296" s="2"/>
      <c r="AN2296" s="2"/>
      <c r="AO2296" s="2"/>
      <c r="AP2296" s="2"/>
      <c r="AQ2296" s="2"/>
      <c r="AR2296" s="2"/>
      <c r="AS2296" s="2"/>
      <c r="AT2296" s="2"/>
      <c r="AU2296" s="2"/>
      <c r="AV2296" s="2"/>
      <c r="AW2296" s="2"/>
      <c r="AX2296" s="2"/>
      <c r="AY2296" s="2"/>
      <c r="AZ2296" s="2"/>
      <c r="BA2296" s="2"/>
      <c r="BB2296" s="2"/>
    </row>
    <row r="2297" ht="204.75" customHeight="1">
      <c r="A2297" s="1">
        <v>1144.0</v>
      </c>
      <c r="B2297" s="2" t="s">
        <v>7201</v>
      </c>
      <c r="C2297" s="2">
        <f>IFERROR(__xludf.DUMMYFUNCTION("split(B2297,""_"")"),1707.0)</f>
        <v>1707</v>
      </c>
      <c r="D2297" s="2" t="str">
        <f>IFERROR(__xludf.DUMMYFUNCTION("""COMPUTED_VALUE"""),"EX")</f>
        <v>EX</v>
      </c>
      <c r="E2297" s="2" t="str">
        <f>IFERROR(__xludf.DUMMYFUNCTION("""COMPUTED_VALUE"""),"金23")</f>
        <v>金23</v>
      </c>
      <c r="F2297" s="2" t="s">
        <v>7202</v>
      </c>
      <c r="G2297" s="2" t="s">
        <v>7206</v>
      </c>
      <c r="H2297" s="1">
        <v>2.0</v>
      </c>
      <c r="I2297" s="1" t="s">
        <v>2872</v>
      </c>
      <c r="J2297" s="1" t="s">
        <v>1435</v>
      </c>
      <c r="K2297" s="2" t="s">
        <v>7207</v>
      </c>
      <c r="L2297" s="10" t="s">
        <v>7208</v>
      </c>
      <c r="M2297" s="2" t="str">
        <f>IFERROR(__xludf.DUMMYFUNCTION("split(split(K2297,""【"",false),""公式LINE"",false)"),"『あいの結婚相談所』に保育士の有希(釈由美子)がやってきた。ストーカー被害に悩む有希の条件は「私を守ってくれる人」。藍野(山崎育三郎)はシスター・エリザベス(高梨臨)に有希を守るよう指示し、運命の相手に奥崎(柏原収史)を選び出す。奥崎は、有希に託児所となる物件を紹介した不動産マンだった。一方でストーカー行為はエスカレート、ついにはマンションでボヤ騒ぎが起こり、その現場で不審な奥崎の姿が目撃され…!藍野真伍…山崎育三郎  シスター・エリザベス…高梨臨  都築賢一郎…鹿賀丈史  土師野郁江…前田美波里  真壁"&amp;"男夢…中尾暢樹  橘シャーロット麻理子…山賀琴子  ")</f>
        <v>『あいの結婚相談所』に保育士の有希(釈由美子)がやってきた。ストーカー被害に悩む有希の条件は「私を守ってくれる人」。藍野(山崎育三郎)はシスター・エリザベス(高梨臨)に有希を守るよう指示し、運命の相手に奥崎(柏原収史)を選び出す。奥崎は、有希に託児所となる物件を紹介した不動産マンだった。一方でストーカー行為はエスカレート、ついにはマンションでボヤ騒ぎが起こり、その現場で不審な奥崎の姿が目撃され…!藍野真伍…山崎育三郎  シスター・エリザベス…高梨臨  都築賢一郎…鹿賀丈史  土師野郁江…前田美波里  真壁男夢…中尾暢樹  橘シャーロット麻理子…山賀琴子  </v>
      </c>
      <c r="N2297" s="2"/>
      <c r="O2297" s="2"/>
      <c r="P2297" s="2"/>
      <c r="Q2297" s="2"/>
      <c r="R2297" s="2"/>
      <c r="S2297" s="2"/>
      <c r="T2297" s="2"/>
      <c r="U2297" s="2"/>
      <c r="V2297" s="2"/>
      <c r="W2297" s="2"/>
      <c r="X2297" s="2"/>
      <c r="Y2297" s="2"/>
      <c r="Z2297" s="2"/>
      <c r="AA2297" s="2"/>
      <c r="AB2297" s="2"/>
      <c r="AC2297" s="2"/>
      <c r="AD2297" s="2"/>
      <c r="AE2297" s="2"/>
      <c r="AF2297" s="2"/>
      <c r="AG2297" s="2"/>
      <c r="AH2297" s="2"/>
      <c r="AI2297" s="2"/>
      <c r="AJ2297" s="2"/>
      <c r="AK2297" s="2"/>
      <c r="AL2297" s="2"/>
      <c r="AM2297" s="2"/>
      <c r="AN2297" s="2"/>
      <c r="AO2297" s="2"/>
      <c r="AP2297" s="2"/>
      <c r="AQ2297" s="2"/>
      <c r="AR2297" s="2"/>
      <c r="AS2297" s="2"/>
      <c r="AT2297" s="2"/>
      <c r="AU2297" s="2"/>
      <c r="AV2297" s="2"/>
      <c r="AW2297" s="2"/>
      <c r="AX2297" s="2"/>
      <c r="AY2297" s="2"/>
      <c r="AZ2297" s="2"/>
      <c r="BA2297" s="2"/>
      <c r="BB2297" s="2"/>
    </row>
    <row r="2298" ht="204.75" customHeight="1">
      <c r="A2298" s="1">
        <v>1145.0</v>
      </c>
      <c r="B2298" s="2" t="s">
        <v>7201</v>
      </c>
      <c r="C2298" s="2">
        <f>IFERROR(__xludf.DUMMYFUNCTION("split(B2298,""_"")"),1707.0)</f>
        <v>1707</v>
      </c>
      <c r="D2298" s="2" t="str">
        <f>IFERROR(__xludf.DUMMYFUNCTION("""COMPUTED_VALUE"""),"EX")</f>
        <v>EX</v>
      </c>
      <c r="E2298" s="2" t="str">
        <f>IFERROR(__xludf.DUMMYFUNCTION("""COMPUTED_VALUE"""),"金23")</f>
        <v>金23</v>
      </c>
      <c r="F2298" s="2" t="s">
        <v>7202</v>
      </c>
      <c r="G2298" s="2" t="s">
        <v>7209</v>
      </c>
      <c r="H2298" s="1">
        <v>3.0</v>
      </c>
      <c r="I2298" s="1" t="s">
        <v>2876</v>
      </c>
      <c r="J2298" s="1" t="s">
        <v>1435</v>
      </c>
      <c r="K2298" s="2" t="s">
        <v>7210</v>
      </c>
      <c r="L2298" s="10" t="s">
        <v>7211</v>
      </c>
      <c r="M2298" s="2" t="str">
        <f>IFERROR(__xludf.DUMMYFUNCTION("split(split(K2298,""【"",false),""公式LINE"",false)"),"藍野とシスター・エリザベス(高梨臨)が、元アイドルで女優の祥子(内山理名)の前に現れた!祥子のファンである藍野は、入会金200万円を特別に0円で運命の相手を見つけると約束。祥子の条件は「自分がアイドルだったことを知らない人」。藍野は条件に合う奈良を紹介。祥子も次第に惹かれていたある日、奈良とタレント・絵理との密会現場を目撃してしまい…!一方、藍野の前に謎の美女(中村アン)が現れて、藍野を誘惑し…!?藍野真伍…山崎育三郎  シスター・エリザベス…高梨臨  都築賢一郎…鹿賀丈史  土師野郁江…前田美波里  金"&amp;"城麗美…中村アン  真壁男夢…中尾暢樹  橘シャーロット麻理子…山賀琴子  ")</f>
        <v>藍野とシスター・エリザベス(高梨臨)が、元アイドルで女優の祥子(内山理名)の前に現れた!祥子のファンである藍野は、入会金200万円を特別に0円で運命の相手を見つけると約束。祥子の条件は「自分がアイドルだったことを知らない人」。藍野は条件に合う奈良を紹介。祥子も次第に惹かれていたある日、奈良とタレント・絵理との密会現場を目撃してしまい…!一方、藍野の前に謎の美女(中村アン)が現れて、藍野を誘惑し…!?藍野真伍…山崎育三郎  シスター・エリザベス…高梨臨  都築賢一郎…鹿賀丈史  土師野郁江…前田美波里  金城麗美…中村アン  真壁男夢…中尾暢樹  橘シャーロット麻理子…山賀琴子  </v>
      </c>
      <c r="N2298" s="2"/>
      <c r="O2298" s="2"/>
      <c r="P2298" s="2"/>
      <c r="Q2298" s="2"/>
      <c r="R2298" s="2"/>
      <c r="S2298" s="2"/>
      <c r="T2298" s="2"/>
      <c r="U2298" s="2"/>
      <c r="V2298" s="2"/>
      <c r="W2298" s="2"/>
      <c r="X2298" s="2"/>
      <c r="Y2298" s="2"/>
      <c r="Z2298" s="2"/>
      <c r="AA2298" s="2"/>
      <c r="AB2298" s="2"/>
      <c r="AC2298" s="2"/>
      <c r="AD2298" s="2"/>
      <c r="AE2298" s="2"/>
      <c r="AF2298" s="2"/>
      <c r="AG2298" s="2"/>
      <c r="AH2298" s="2"/>
      <c r="AI2298" s="2"/>
      <c r="AJ2298" s="2"/>
      <c r="AK2298" s="2"/>
      <c r="AL2298" s="2"/>
      <c r="AM2298" s="2"/>
      <c r="AN2298" s="2"/>
      <c r="AO2298" s="2"/>
      <c r="AP2298" s="2"/>
      <c r="AQ2298" s="2"/>
      <c r="AR2298" s="2"/>
      <c r="AS2298" s="2"/>
      <c r="AT2298" s="2"/>
      <c r="AU2298" s="2"/>
      <c r="AV2298" s="2"/>
      <c r="AW2298" s="2"/>
      <c r="AX2298" s="2"/>
      <c r="AY2298" s="2"/>
      <c r="AZ2298" s="2"/>
      <c r="BA2298" s="2"/>
      <c r="BB2298" s="2"/>
    </row>
    <row r="2299" ht="204.75" customHeight="1">
      <c r="A2299" s="1">
        <v>1146.0</v>
      </c>
      <c r="B2299" s="2" t="s">
        <v>7201</v>
      </c>
      <c r="C2299" s="2">
        <f>IFERROR(__xludf.DUMMYFUNCTION("split(B2299,""_"")"),1707.0)</f>
        <v>1707</v>
      </c>
      <c r="D2299" s="2" t="str">
        <f>IFERROR(__xludf.DUMMYFUNCTION("""COMPUTED_VALUE"""),"EX")</f>
        <v>EX</v>
      </c>
      <c r="E2299" s="2" t="str">
        <f>IFERROR(__xludf.DUMMYFUNCTION("""COMPUTED_VALUE"""),"金23")</f>
        <v>金23</v>
      </c>
      <c r="F2299" s="2" t="s">
        <v>7202</v>
      </c>
      <c r="G2299" s="2" t="s">
        <v>7212</v>
      </c>
      <c r="H2299" s="1">
        <v>4.0</v>
      </c>
      <c r="I2299" s="1" t="s">
        <v>2880</v>
      </c>
      <c r="J2299" s="1" t="s">
        <v>1435</v>
      </c>
      <c r="K2299" s="2" t="s">
        <v>7213</v>
      </c>
      <c r="L2299" s="10" t="s">
        <v>7214</v>
      </c>
      <c r="M2299" s="2" t="str">
        <f>IFERROR(__xludf.DUMMYFUNCTION("split(split(K2299,""【"",false),""公式LINE"",false)"),"シスター・エリザベス(高梨臨)はある夜、謎の美女・麗美(中村アン)にあやしく言い寄られる結婚相談所所長・藍野(山崎育三郎)を目撃する…!一方相談所には、結婚間近のマラソンランナー・路子(谷村美月)が涙ぐみながらやってきた。相手の美濃(大東駿介)から突然婚約破棄を言い渡されたという。しかも別れの理由が麗美の略奪婚と知り、納得いかない路子は麗美を相手にとんでもない賭けに出て…!?美女2人の壮絶バトル!藍野真伍…山崎育三郎  シスター・エリザベス…高梨臨  都築賢一郎…鹿賀丈史  土師野郁江…前田美波里  金城"&amp;"麗美…中村アン  真壁男夢…中尾暢樹  橘シャーロット麻理子…山賀琴子  ")</f>
        <v>シスター・エリザベス(高梨臨)はある夜、謎の美女・麗美(中村アン)にあやしく言い寄られる結婚相談所所長・藍野(山崎育三郎)を目撃する…!一方相談所には、結婚間近のマラソンランナー・路子(谷村美月)が涙ぐみながらやってきた。相手の美濃(大東駿介)から突然婚約破棄を言い渡されたという。しかも別れの理由が麗美の略奪婚と知り、納得いかない路子は麗美を相手にとんでもない賭けに出て…!?美女2人の壮絶バトル!藍野真伍…山崎育三郎  シスター・エリザベス…高梨臨  都築賢一郎…鹿賀丈史  土師野郁江…前田美波里  金城麗美…中村アン  真壁男夢…中尾暢樹  橘シャーロット麻理子…山賀琴子  </v>
      </c>
      <c r="N2299" s="2"/>
      <c r="O2299" s="2"/>
      <c r="P2299" s="2"/>
      <c r="Q2299" s="2"/>
      <c r="R2299" s="2"/>
      <c r="S2299" s="2"/>
      <c r="T2299" s="2"/>
      <c r="U2299" s="2"/>
      <c r="V2299" s="2"/>
      <c r="W2299" s="2"/>
      <c r="X2299" s="2"/>
      <c r="Y2299" s="2"/>
      <c r="Z2299" s="2"/>
      <c r="AA2299" s="2"/>
      <c r="AB2299" s="2"/>
      <c r="AC2299" s="2"/>
      <c r="AD2299" s="2"/>
      <c r="AE2299" s="2"/>
      <c r="AF2299" s="2"/>
      <c r="AG2299" s="2"/>
      <c r="AH2299" s="2"/>
      <c r="AI2299" s="2"/>
      <c r="AJ2299" s="2"/>
      <c r="AK2299" s="2"/>
      <c r="AL2299" s="2"/>
      <c r="AM2299" s="2"/>
      <c r="AN2299" s="2"/>
      <c r="AO2299" s="2"/>
      <c r="AP2299" s="2"/>
      <c r="AQ2299" s="2"/>
      <c r="AR2299" s="2"/>
      <c r="AS2299" s="2"/>
      <c r="AT2299" s="2"/>
      <c r="AU2299" s="2"/>
      <c r="AV2299" s="2"/>
      <c r="AW2299" s="2"/>
      <c r="AX2299" s="2"/>
      <c r="AY2299" s="2"/>
      <c r="AZ2299" s="2"/>
      <c r="BA2299" s="2"/>
      <c r="BB2299" s="2"/>
    </row>
    <row r="2300" ht="204.75" customHeight="1">
      <c r="A2300" s="1">
        <v>1147.0</v>
      </c>
      <c r="B2300" s="2" t="s">
        <v>7201</v>
      </c>
      <c r="C2300" s="2">
        <f>IFERROR(__xludf.DUMMYFUNCTION("split(B2300,""_"")"),1707.0)</f>
        <v>1707</v>
      </c>
      <c r="D2300" s="2" t="str">
        <f>IFERROR(__xludf.DUMMYFUNCTION("""COMPUTED_VALUE"""),"EX")</f>
        <v>EX</v>
      </c>
      <c r="E2300" s="2" t="str">
        <f>IFERROR(__xludf.DUMMYFUNCTION("""COMPUTED_VALUE"""),"金23")</f>
        <v>金23</v>
      </c>
      <c r="F2300" s="2" t="s">
        <v>7202</v>
      </c>
      <c r="G2300" s="2" t="s">
        <v>7215</v>
      </c>
      <c r="H2300" s="1">
        <v>5.0</v>
      </c>
      <c r="I2300" s="1" t="s">
        <v>2884</v>
      </c>
      <c r="J2300" s="1" t="s">
        <v>1435</v>
      </c>
      <c r="K2300" s="2" t="s">
        <v>7216</v>
      </c>
      <c r="L2300" s="10" t="s">
        <v>7217</v>
      </c>
      <c r="M2300" s="2" t="str">
        <f>IFERROR(__xludf.DUMMYFUNCTION("split(split(K2300,""【"",false),""公式LINE"",false)"),"イケメン僧侶の磯山(石黒英雄)が『あいの結婚相談所』にやってきた。所長の藍野(山崎育三郎)は磯山の条件に合う亜美(中村静香)を紹介するが、シスター・エリザベス(高梨臨)の調べにより、亜美は次から次に男たちを手玉にとり金品を手に入れる、六マタ婚活荒らし女であることが明らかに!しかし、その間にも亜美と磯山の関係は急速に発展していってしまい…?そして、最後に待ち受ける衝撃の大どんでん返しとは!?藍野真伍…山崎育三郎  シスター・エリザベス…高梨臨  都築賢一郎…鹿賀丈史  土師野郁江…前田美波里  金城麗美…中"&amp;"村アン  真壁男夢…中尾暢樹  橘シャーロット麻理子…山賀琴子  ")</f>
        <v>イケメン僧侶の磯山(石黒英雄)が『あいの結婚相談所』にやってきた。所長の藍野(山崎育三郎)は磯山の条件に合う亜美(中村静香)を紹介するが、シスター・エリザベス(高梨臨)の調べにより、亜美は次から次に男たちを手玉にとり金品を手に入れる、六マタ婚活荒らし女であることが明らかに!しかし、その間にも亜美と磯山の関係は急速に発展していってしまい…?そして、最後に待ち受ける衝撃の大どんでん返しとは!?藍野真伍…山崎育三郎  シスター・エリザベス…高梨臨  都築賢一郎…鹿賀丈史  土師野郁江…前田美波里  金城麗美…中村アン  真壁男夢…中尾暢樹  橘シャーロット麻理子…山賀琴子  </v>
      </c>
      <c r="N2300" s="2"/>
      <c r="O2300" s="2"/>
      <c r="P2300" s="2"/>
      <c r="Q2300" s="2"/>
      <c r="R2300" s="2"/>
      <c r="S2300" s="2"/>
      <c r="T2300" s="2"/>
      <c r="U2300" s="2"/>
      <c r="V2300" s="2"/>
      <c r="W2300" s="2"/>
      <c r="X2300" s="2"/>
      <c r="Y2300" s="2"/>
      <c r="Z2300" s="2"/>
      <c r="AA2300" s="2"/>
      <c r="AB2300" s="2"/>
      <c r="AC2300" s="2"/>
      <c r="AD2300" s="2"/>
      <c r="AE2300" s="2"/>
      <c r="AF2300" s="2"/>
      <c r="AG2300" s="2"/>
      <c r="AH2300" s="2"/>
      <c r="AI2300" s="2"/>
      <c r="AJ2300" s="2"/>
      <c r="AK2300" s="2"/>
      <c r="AL2300" s="2"/>
      <c r="AM2300" s="2"/>
      <c r="AN2300" s="2"/>
      <c r="AO2300" s="2"/>
      <c r="AP2300" s="2"/>
      <c r="AQ2300" s="2"/>
      <c r="AR2300" s="2"/>
      <c r="AS2300" s="2"/>
      <c r="AT2300" s="2"/>
      <c r="AU2300" s="2"/>
      <c r="AV2300" s="2"/>
      <c r="AW2300" s="2"/>
      <c r="AX2300" s="2"/>
      <c r="AY2300" s="2"/>
      <c r="AZ2300" s="2"/>
      <c r="BA2300" s="2"/>
      <c r="BB2300" s="2"/>
    </row>
    <row r="2301" ht="204.75" customHeight="1">
      <c r="A2301" s="1">
        <v>1148.0</v>
      </c>
      <c r="B2301" s="2" t="s">
        <v>7201</v>
      </c>
      <c r="C2301" s="2">
        <f>IFERROR(__xludf.DUMMYFUNCTION("split(B2301,""_"")"),1707.0)</f>
        <v>1707</v>
      </c>
      <c r="D2301" s="2" t="str">
        <f>IFERROR(__xludf.DUMMYFUNCTION("""COMPUTED_VALUE"""),"EX")</f>
        <v>EX</v>
      </c>
      <c r="E2301" s="2" t="str">
        <f>IFERROR(__xludf.DUMMYFUNCTION("""COMPUTED_VALUE"""),"金23")</f>
        <v>金23</v>
      </c>
      <c r="F2301" s="2" t="s">
        <v>7202</v>
      </c>
      <c r="G2301" s="2" t="s">
        <v>7218</v>
      </c>
      <c r="H2301" s="1">
        <v>6.0</v>
      </c>
      <c r="J2301" s="1" t="s">
        <v>1435</v>
      </c>
      <c r="K2301" s="2" t="s">
        <v>7219</v>
      </c>
      <c r="L2301" s="10" t="s">
        <v>7220</v>
      </c>
      <c r="M2301" s="2" t="str">
        <f>IFERROR(__xludf.DUMMYFUNCTION("split(split(K2301,""【"",false),""公式LINE"",false)"),"社長令嬢の香奈(黒川智花)は『あいの結婚相談所』に来るなり「私、結婚したくないんです!」と訴え、藍野所長やシスター・エリザベス(高梨臨)らも驚く。母・あかり(山村紅葉)が政略結婚を強引に進める一方、結婚相手は自分で見つけたいと願う香奈。藍野は宮城在住の公務員を紹介するが、あかりの猛烈な妨害を受け、成婚率100%を誇る相談所に最大の危機が訪れる!そしてメンバーに意外な結末が!ついに迎える衝撃の最終回!藍野真伍…山崎育三郎  シスター・エリザベス…高梨臨  都築賢一郎…鹿賀丈史  土師野郁江…前田美波里  金"&amp;"城麗美…中村アン  真壁男夢…中尾暢樹  橘シャーロット麻理子…山賀琴子  ")</f>
        <v>社長令嬢の香奈(黒川智花)は『あいの結婚相談所』に来るなり「私、結婚したくないんです!」と訴え、藍野所長やシスター・エリザベス(高梨臨)らも驚く。母・あかり(山村紅葉)が政略結婚を強引に進める一方、結婚相手は自分で見つけたいと願う香奈。藍野は宮城在住の公務員を紹介するが、あかりの猛烈な妨害を受け、成婚率100%を誇る相談所に最大の危機が訪れる!そしてメンバーに意外な結末が!ついに迎える衝撃の最終回!藍野真伍…山崎育三郎  シスター・エリザベス…高梨臨  都築賢一郎…鹿賀丈史  土師野郁江…前田美波里  金城麗美…中村アン  真壁男夢…中尾暢樹  橘シャーロット麻理子…山賀琴子  </v>
      </c>
      <c r="N2301" s="2"/>
      <c r="O2301" s="2"/>
      <c r="P2301" s="2"/>
      <c r="Q2301" s="2"/>
      <c r="R2301" s="2"/>
      <c r="S2301" s="2"/>
      <c r="T2301" s="2"/>
      <c r="U2301" s="2"/>
      <c r="V2301" s="2"/>
      <c r="W2301" s="2"/>
      <c r="X2301" s="2"/>
      <c r="Y2301" s="2"/>
      <c r="Z2301" s="2"/>
      <c r="AA2301" s="2"/>
      <c r="AB2301" s="2"/>
      <c r="AC2301" s="2"/>
      <c r="AD2301" s="2"/>
      <c r="AE2301" s="2"/>
      <c r="AF2301" s="2"/>
      <c r="AG2301" s="2"/>
      <c r="AH2301" s="2"/>
      <c r="AI2301" s="2"/>
      <c r="AJ2301" s="2"/>
      <c r="AK2301" s="2"/>
      <c r="AL2301" s="2"/>
      <c r="AM2301" s="2"/>
      <c r="AN2301" s="2"/>
      <c r="AO2301" s="2"/>
      <c r="AP2301" s="2"/>
      <c r="AQ2301" s="2"/>
      <c r="AR2301" s="2"/>
      <c r="AS2301" s="2"/>
      <c r="AT2301" s="2"/>
      <c r="AU2301" s="2"/>
      <c r="AV2301" s="2"/>
      <c r="AW2301" s="2"/>
      <c r="AX2301" s="2"/>
      <c r="AY2301" s="2"/>
      <c r="AZ2301" s="2"/>
      <c r="BA2301" s="2"/>
      <c r="BB2301" s="2"/>
    </row>
    <row r="2302" ht="204.75" customHeight="1">
      <c r="A2302" s="1">
        <v>1224.0</v>
      </c>
      <c r="B2302" s="2" t="s">
        <v>7221</v>
      </c>
      <c r="C2302" s="2">
        <f>IFERROR(__xludf.DUMMYFUNCTION("split(B2302,""_"")"),1704.0)</f>
        <v>1704</v>
      </c>
      <c r="D2302" s="2" t="str">
        <f>IFERROR(__xludf.DUMMYFUNCTION("""COMPUTED_VALUE"""),"EX")</f>
        <v>EX</v>
      </c>
      <c r="E2302" s="2" t="str">
        <f>IFERROR(__xludf.DUMMYFUNCTION("""COMPUTED_VALUE"""),"木21")</f>
        <v>木21</v>
      </c>
      <c r="F2302" s="2" t="s">
        <v>6647</v>
      </c>
      <c r="G2302" s="2" t="s">
        <v>6648</v>
      </c>
      <c r="H2302" s="1">
        <v>1.0</v>
      </c>
      <c r="I2302" s="1" t="s">
        <v>2868</v>
      </c>
      <c r="J2302" s="1" t="s">
        <v>4</v>
      </c>
      <c r="K2302" s="4" t="s">
        <v>7222</v>
      </c>
      <c r="L2302" s="11" t="s">
        <v>7223</v>
      </c>
      <c r="M2302" s="2" t="str">
        <f>IFERROR(__xludf.DUMMYFUNCTION("split(split(K2302,""天海祐希、"",false),""公式LINE"",false)"),"宅配便の配達車の中で、なぜか“傘をさした""男の遺体が見つかった。死因は薬物による中毒死。そんな中、天涯孤独の77歳の老女・民子(三田佳子)が自首してくる。ところが、民子は数時間後には自首した記憶さえ曖昧に!?手ごわい被疑者をキントリ(=緊急事案対応取調班)が取り調べすることに。民子と向き合った真壁有希子(天海祐希)は、思わぬ苦戦を強いられる。有希子は、民子の深層心理と真実へつながる突破口を開こうとするが…")</f>
        <v>宅配便の配達車の中で、なぜか“傘をさした"男の遺体が見つかった。死因は薬物による中毒死。そんな中、天涯孤独の77歳の老女・民子(三田佳子)が自首してくる。ところが、民子は数時間後には自首した記憶さえ曖昧に!?手ごわい被疑者をキントリ(=緊急事案対応取調班)が取り調べすることに。民子と向き合った真壁有希子(天海祐希)は、思わぬ苦戦を強いられる。有希子は、民子の深層心理と真実へつながる突破口を開こうとするが…</v>
      </c>
      <c r="N2302" s="2"/>
      <c r="O2302" s="2"/>
      <c r="P2302" s="2"/>
      <c r="Q2302" s="2"/>
      <c r="R2302" s="2"/>
      <c r="S2302" s="2"/>
      <c r="T2302" s="2"/>
      <c r="U2302" s="2"/>
      <c r="V2302" s="2"/>
      <c r="W2302" s="2"/>
      <c r="X2302" s="2"/>
      <c r="Y2302" s="2"/>
      <c r="Z2302" s="2"/>
      <c r="AA2302" s="2"/>
      <c r="AB2302" s="2"/>
      <c r="AC2302" s="2"/>
      <c r="AD2302" s="2"/>
      <c r="AE2302" s="2"/>
      <c r="AF2302" s="2"/>
      <c r="AG2302" s="2"/>
      <c r="AH2302" s="2"/>
      <c r="AI2302" s="2"/>
      <c r="AJ2302" s="2"/>
      <c r="AK2302" s="2"/>
      <c r="AL2302" s="2"/>
      <c r="AM2302" s="2"/>
      <c r="AN2302" s="2"/>
      <c r="AO2302" s="2"/>
      <c r="AP2302" s="2"/>
      <c r="AQ2302" s="2"/>
      <c r="AR2302" s="2"/>
      <c r="AS2302" s="2"/>
      <c r="AT2302" s="2"/>
      <c r="AU2302" s="2"/>
      <c r="AV2302" s="2"/>
      <c r="AW2302" s="2"/>
      <c r="AX2302" s="2"/>
      <c r="AY2302" s="2"/>
      <c r="AZ2302" s="2"/>
      <c r="BA2302" s="2"/>
      <c r="BB2302" s="2"/>
    </row>
    <row r="2303" ht="204.75" customHeight="1">
      <c r="A2303" s="1">
        <v>1225.0</v>
      </c>
      <c r="B2303" s="2" t="s">
        <v>7221</v>
      </c>
      <c r="C2303" s="2">
        <f>IFERROR(__xludf.DUMMYFUNCTION("split(B2303,""_"")"),1704.0)</f>
        <v>1704</v>
      </c>
      <c r="D2303" s="2" t="str">
        <f>IFERROR(__xludf.DUMMYFUNCTION("""COMPUTED_VALUE"""),"EX")</f>
        <v>EX</v>
      </c>
      <c r="E2303" s="2" t="str">
        <f>IFERROR(__xludf.DUMMYFUNCTION("""COMPUTED_VALUE"""),"木21")</f>
        <v>木21</v>
      </c>
      <c r="F2303" s="2" t="s">
        <v>6647</v>
      </c>
      <c r="G2303" s="2" t="s">
        <v>6651</v>
      </c>
      <c r="H2303" s="1">
        <v>2.0</v>
      </c>
      <c r="I2303" s="1" t="s">
        <v>2872</v>
      </c>
      <c r="J2303" s="1" t="s">
        <v>11</v>
      </c>
      <c r="K2303" s="2" t="s">
        <v>7224</v>
      </c>
      <c r="L2303" s="11" t="s">
        <v>7225</v>
      </c>
      <c r="M2303" s="2" t="str">
        <f>IFERROR(__xludf.DUMMYFUNCTION("split(split(K2303,""天海祐希、"",false),""公式LINE"",false)"),"深夜の病院で人工呼吸器につながれた患者・高木の容態が急変。当直医の糸山(福士誠治)が処置に当たるが、看護師が家族を呼びに病室に戻ると人工呼吸器を外され絶命した高木に、なぜか糸山が靴下を履かせていた。糸山は殺害容疑で逮捕されるが、一貫して否認。看護師が戻るまでの『空白の9分間』に何があったのか?取り調べのため、警察官・宮沢(村田雄浩)が糸山をキントリに連れてくる。だが、聴取を終えた直後、緊急事態が起こる")</f>
        <v>深夜の病院で人工呼吸器につながれた患者・高木の容態が急変。当直医の糸山(福士誠治)が処置に当たるが、看護師が家族を呼びに病室に戻ると人工呼吸器を外され絶命した高木に、なぜか糸山が靴下を履かせていた。糸山は殺害容疑で逮捕されるが、一貫して否認。看護師が戻るまでの『空白の9分間』に何があったのか?取り調べのため、警察官・宮沢(村田雄浩)が糸山をキントリに連れてくる。だが、聴取を終えた直後、緊急事態が起こる</v>
      </c>
      <c r="N2303" s="2"/>
      <c r="O2303" s="2"/>
      <c r="P2303" s="2"/>
      <c r="Q2303" s="2"/>
      <c r="R2303" s="2"/>
      <c r="S2303" s="2"/>
      <c r="T2303" s="2"/>
      <c r="U2303" s="2"/>
      <c r="V2303" s="2"/>
      <c r="W2303" s="2"/>
      <c r="X2303" s="2"/>
      <c r="Y2303" s="2"/>
      <c r="Z2303" s="2"/>
      <c r="AA2303" s="2"/>
      <c r="AB2303" s="2"/>
      <c r="AC2303" s="2"/>
      <c r="AD2303" s="2"/>
      <c r="AE2303" s="2"/>
      <c r="AF2303" s="2"/>
      <c r="AG2303" s="2"/>
      <c r="AH2303" s="2"/>
      <c r="AI2303" s="2"/>
      <c r="AJ2303" s="2"/>
      <c r="AK2303" s="2"/>
      <c r="AL2303" s="2"/>
      <c r="AM2303" s="2"/>
      <c r="AN2303" s="2"/>
      <c r="AO2303" s="2"/>
      <c r="AP2303" s="2"/>
      <c r="AQ2303" s="2"/>
      <c r="AR2303" s="2"/>
      <c r="AS2303" s="2"/>
      <c r="AT2303" s="2"/>
      <c r="AU2303" s="2"/>
      <c r="AV2303" s="2"/>
      <c r="AW2303" s="2"/>
      <c r="AX2303" s="2"/>
      <c r="AY2303" s="2"/>
      <c r="AZ2303" s="2"/>
      <c r="BA2303" s="2"/>
      <c r="BB2303" s="2"/>
    </row>
    <row r="2304" ht="204.75" customHeight="1">
      <c r="A2304" s="1">
        <v>1226.0</v>
      </c>
      <c r="B2304" s="2" t="s">
        <v>7221</v>
      </c>
      <c r="C2304" s="2">
        <f>IFERROR(__xludf.DUMMYFUNCTION("split(B2304,""_"")"),1704.0)</f>
        <v>1704</v>
      </c>
      <c r="D2304" s="2" t="str">
        <f>IFERROR(__xludf.DUMMYFUNCTION("""COMPUTED_VALUE"""),"EX")</f>
        <v>EX</v>
      </c>
      <c r="E2304" s="2" t="str">
        <f>IFERROR(__xludf.DUMMYFUNCTION("""COMPUTED_VALUE"""),"木21")</f>
        <v>木21</v>
      </c>
      <c r="F2304" s="2" t="s">
        <v>6647</v>
      </c>
      <c r="G2304" s="2" t="s">
        <v>6654</v>
      </c>
      <c r="H2304" s="1">
        <v>3.0</v>
      </c>
      <c r="I2304" s="1" t="s">
        <v>2876</v>
      </c>
      <c r="J2304" s="1" t="s">
        <v>11</v>
      </c>
      <c r="K2304" s="2" t="s">
        <v>7226</v>
      </c>
      <c r="L2304" s="11" t="s">
        <v>7227</v>
      </c>
      <c r="M2304" s="2" t="str">
        <f>IFERROR(__xludf.DUMMYFUNCTION("split(split(K2304,""天海祐希、"",false),""公式LINE"",false)"),"建築会社社長・小泉正隆(入江雅人)の自宅プールで男の遺体が見つかった。正隆も妻のマユミ(酒井美紀)も、男を知らないと言う。すると「死ね!」という甲高い声が聞こえてきた。声の主はペットのオウム…。現場に残された血痕から夫婦は警察に連行されるが、互いが自分の犯行だと主張し…。被害者の身元が判明すると、彼らが大きな嘘をついていることが明らかに。有希子(天海祐希)らは、なんと目撃者のオウムを取り調べることに…")</f>
        <v>建築会社社長・小泉正隆(入江雅人)の自宅プールで男の遺体が見つかった。正隆も妻のマユミ(酒井美紀)も、男を知らないと言う。すると「死ね!」という甲高い声が聞こえてきた。声の主はペットのオウム…。現場に残された血痕から夫婦は警察に連行されるが、互いが自分の犯行だと主張し…。被害者の身元が判明すると、彼らが大きな嘘をついていることが明らかに。有希子(天海祐希)らは、なんと目撃者のオウムを取り調べることに…</v>
      </c>
      <c r="N2304" s="2"/>
      <c r="O2304" s="2"/>
      <c r="P2304" s="2"/>
      <c r="Q2304" s="2"/>
      <c r="R2304" s="2"/>
      <c r="S2304" s="2"/>
      <c r="T2304" s="2"/>
      <c r="U2304" s="2"/>
      <c r="V2304" s="2"/>
      <c r="W2304" s="2"/>
      <c r="X2304" s="2"/>
      <c r="Y2304" s="2"/>
      <c r="Z2304" s="2"/>
      <c r="AA2304" s="2"/>
      <c r="AB2304" s="2"/>
      <c r="AC2304" s="2"/>
      <c r="AD2304" s="2"/>
      <c r="AE2304" s="2"/>
      <c r="AF2304" s="2"/>
      <c r="AG2304" s="2"/>
      <c r="AH2304" s="2"/>
      <c r="AI2304" s="2"/>
      <c r="AJ2304" s="2"/>
      <c r="AK2304" s="2"/>
      <c r="AL2304" s="2"/>
      <c r="AM2304" s="2"/>
      <c r="AN2304" s="2"/>
      <c r="AO2304" s="2"/>
      <c r="AP2304" s="2"/>
      <c r="AQ2304" s="2"/>
      <c r="AR2304" s="2"/>
      <c r="AS2304" s="2"/>
      <c r="AT2304" s="2"/>
      <c r="AU2304" s="2"/>
      <c r="AV2304" s="2"/>
      <c r="AW2304" s="2"/>
      <c r="AX2304" s="2"/>
      <c r="AY2304" s="2"/>
      <c r="AZ2304" s="2"/>
      <c r="BA2304" s="2"/>
      <c r="BB2304" s="2"/>
    </row>
    <row r="2305" ht="204.75" customHeight="1">
      <c r="A2305" s="1">
        <v>1227.0</v>
      </c>
      <c r="B2305" s="2" t="s">
        <v>7221</v>
      </c>
      <c r="C2305" s="2">
        <f>IFERROR(__xludf.DUMMYFUNCTION("split(B2305,""_"")"),1704.0)</f>
        <v>1704</v>
      </c>
      <c r="D2305" s="2" t="str">
        <f>IFERROR(__xludf.DUMMYFUNCTION("""COMPUTED_VALUE"""),"EX")</f>
        <v>EX</v>
      </c>
      <c r="E2305" s="2" t="str">
        <f>IFERROR(__xludf.DUMMYFUNCTION("""COMPUTED_VALUE"""),"木21")</f>
        <v>木21</v>
      </c>
      <c r="F2305" s="2" t="s">
        <v>6647</v>
      </c>
      <c r="G2305" s="2" t="s">
        <v>6657</v>
      </c>
      <c r="H2305" s="1">
        <v>4.0</v>
      </c>
      <c r="I2305" s="1" t="s">
        <v>2880</v>
      </c>
      <c r="J2305" s="1" t="s">
        <v>11</v>
      </c>
      <c r="K2305" s="2" t="s">
        <v>7228</v>
      </c>
      <c r="L2305" s="11" t="s">
        <v>7229</v>
      </c>
      <c r="M2305" s="2" t="str">
        <f>IFERROR(__xludf.DUMMYFUNCTION("split(split(K2305,""天海祐希、"",false),""公式LINE"",false)"),"担任の沢本愛(矢田亜希子)の授業中に、生徒の春日俊介が倒れ、意識不明の重体に。俊介が青酸ソーダを飲んだことは分かるが、入手経路や動機が明らかにならない。有希子(天海祐希)らキントリは、生徒29人全員の取り調べをすることに。だが、沢本が何かと横槍を入れてきてうまくいかない。疑問を持った有希子は、中田(大杉漣)と俊介の家を訪問。しかし、母親の愛(森尾由美)は、沢本のことをよく思っておらず…")</f>
        <v>担任の沢本愛(矢田亜希子)の授業中に、生徒の春日俊介が倒れ、意識不明の重体に。俊介が青酸ソーダを飲んだことは分かるが、入手経路や動機が明らかにならない。有希子(天海祐希)らキントリは、生徒29人全員の取り調べをすることに。だが、沢本が何かと横槍を入れてきてうまくいかない。疑問を持った有希子は、中田(大杉漣)と俊介の家を訪問。しかし、母親の愛(森尾由美)は、沢本のことをよく思っておらず…</v>
      </c>
      <c r="N2305" s="2"/>
      <c r="O2305" s="2"/>
      <c r="P2305" s="2"/>
      <c r="Q2305" s="2"/>
      <c r="R2305" s="2"/>
      <c r="S2305" s="2"/>
      <c r="T2305" s="2"/>
      <c r="U2305" s="2"/>
      <c r="V2305" s="2"/>
      <c r="W2305" s="2"/>
      <c r="X2305" s="2"/>
      <c r="Y2305" s="2"/>
      <c r="Z2305" s="2"/>
      <c r="AA2305" s="2"/>
      <c r="AB2305" s="2"/>
      <c r="AC2305" s="2"/>
      <c r="AD2305" s="2"/>
      <c r="AE2305" s="2"/>
      <c r="AF2305" s="2"/>
      <c r="AG2305" s="2"/>
      <c r="AH2305" s="2"/>
      <c r="AI2305" s="2"/>
      <c r="AJ2305" s="2"/>
      <c r="AK2305" s="2"/>
      <c r="AL2305" s="2"/>
      <c r="AM2305" s="2"/>
      <c r="AN2305" s="2"/>
      <c r="AO2305" s="2"/>
      <c r="AP2305" s="2"/>
      <c r="AQ2305" s="2"/>
      <c r="AR2305" s="2"/>
      <c r="AS2305" s="2"/>
      <c r="AT2305" s="2"/>
      <c r="AU2305" s="2"/>
      <c r="AV2305" s="2"/>
      <c r="AW2305" s="2"/>
      <c r="AX2305" s="2"/>
      <c r="AY2305" s="2"/>
      <c r="AZ2305" s="2"/>
      <c r="BA2305" s="2"/>
      <c r="BB2305" s="2"/>
    </row>
    <row r="2306" ht="204.75" customHeight="1">
      <c r="A2306" s="1">
        <v>1228.0</v>
      </c>
      <c r="B2306" s="2" t="s">
        <v>7221</v>
      </c>
      <c r="C2306" s="2">
        <f>IFERROR(__xludf.DUMMYFUNCTION("split(B2306,""_"")"),1704.0)</f>
        <v>1704</v>
      </c>
      <c r="D2306" s="2" t="str">
        <f>IFERROR(__xludf.DUMMYFUNCTION("""COMPUTED_VALUE"""),"EX")</f>
        <v>EX</v>
      </c>
      <c r="E2306" s="2" t="str">
        <f>IFERROR(__xludf.DUMMYFUNCTION("""COMPUTED_VALUE"""),"木21")</f>
        <v>木21</v>
      </c>
      <c r="F2306" s="2" t="s">
        <v>6647</v>
      </c>
      <c r="G2306" s="2" t="s">
        <v>6660</v>
      </c>
      <c r="H2306" s="1">
        <v>5.0</v>
      </c>
      <c r="I2306" s="1" t="s">
        <v>2884</v>
      </c>
      <c r="J2306" s="1" t="s">
        <v>11</v>
      </c>
      <c r="K2306" s="2" t="s">
        <v>7230</v>
      </c>
      <c r="L2306" s="11" t="s">
        <v>7231</v>
      </c>
      <c r="M2306" s="2" t="str">
        <f>IFERROR(__xludf.DUMMYFUNCTION("split(split(K2306,""天海祐希、"",false),""公式LINE"",false)"),"オフィス街をうろうろ歩いていた血まみれの男。その男は、会社員の水越(塚本高史)だと判明。水越は、「昨夜10時に退勤してから、今朝目覚めるまでの記憶がない…」と主張。珍しく、渡辺(速水もこみち)と監物(鈴木浩介)が取り調べを名乗り出るも、失敗…。有希子(天海祐希)らキントリが交代をするが、二転三転する水越の供述に翻弄される。しかし、水越が事件の夜の記憶を徐々に取り戻し始め、捜査は大きく動き出す!!")</f>
        <v>オフィス街をうろうろ歩いていた血まみれの男。その男は、会社員の水越(塚本高史)だと判明。水越は、「昨夜10時に退勤してから、今朝目覚めるまでの記憶がない…」と主張。珍しく、渡辺(速水もこみち)と監物(鈴木浩介)が取り調べを名乗り出るも、失敗…。有希子(天海祐希)らキントリが交代をするが、二転三転する水越の供述に翻弄される。しかし、水越が事件の夜の記憶を徐々に取り戻し始め、捜査は大きく動き出す!!</v>
      </c>
      <c r="N2306" s="2"/>
      <c r="O2306" s="2"/>
      <c r="P2306" s="2"/>
      <c r="Q2306" s="2"/>
      <c r="R2306" s="2"/>
      <c r="S2306" s="2"/>
      <c r="T2306" s="2"/>
      <c r="U2306" s="2"/>
      <c r="V2306" s="2"/>
      <c r="W2306" s="2"/>
      <c r="X2306" s="2"/>
      <c r="Y2306" s="2"/>
      <c r="Z2306" s="2"/>
      <c r="AA2306" s="2"/>
      <c r="AB2306" s="2"/>
      <c r="AC2306" s="2"/>
      <c r="AD2306" s="2"/>
      <c r="AE2306" s="2"/>
      <c r="AF2306" s="2"/>
      <c r="AG2306" s="2"/>
      <c r="AH2306" s="2"/>
      <c r="AI2306" s="2"/>
      <c r="AJ2306" s="2"/>
      <c r="AK2306" s="2"/>
      <c r="AL2306" s="2"/>
      <c r="AM2306" s="2"/>
      <c r="AN2306" s="2"/>
      <c r="AO2306" s="2"/>
      <c r="AP2306" s="2"/>
      <c r="AQ2306" s="2"/>
      <c r="AR2306" s="2"/>
      <c r="AS2306" s="2"/>
      <c r="AT2306" s="2"/>
      <c r="AU2306" s="2"/>
      <c r="AV2306" s="2"/>
      <c r="AW2306" s="2"/>
      <c r="AX2306" s="2"/>
      <c r="AY2306" s="2"/>
      <c r="AZ2306" s="2"/>
      <c r="BA2306" s="2"/>
      <c r="BB2306" s="2"/>
    </row>
    <row r="2307" ht="204.75" customHeight="1">
      <c r="A2307" s="1">
        <v>1229.0</v>
      </c>
      <c r="B2307" s="2" t="s">
        <v>7221</v>
      </c>
      <c r="C2307" s="2">
        <f>IFERROR(__xludf.DUMMYFUNCTION("split(B2307,""_"")"),1704.0)</f>
        <v>1704</v>
      </c>
      <c r="D2307" s="2" t="str">
        <f>IFERROR(__xludf.DUMMYFUNCTION("""COMPUTED_VALUE"""),"EX")</f>
        <v>EX</v>
      </c>
      <c r="E2307" s="2" t="str">
        <f>IFERROR(__xludf.DUMMYFUNCTION("""COMPUTED_VALUE"""),"木21")</f>
        <v>木21</v>
      </c>
      <c r="F2307" s="2" t="s">
        <v>6647</v>
      </c>
      <c r="G2307" s="2" t="s">
        <v>6663</v>
      </c>
      <c r="H2307" s="1">
        <v>6.0</v>
      </c>
      <c r="I2307" s="1" t="s">
        <v>2888</v>
      </c>
      <c r="J2307" s="1" t="s">
        <v>11</v>
      </c>
      <c r="K2307" s="2" t="s">
        <v>7232</v>
      </c>
      <c r="L2307" s="11" t="s">
        <v>7233</v>
      </c>
      <c r="M2307" s="2" t="str">
        <f>IFERROR(__xludf.DUMMYFUNCTION("split(split(K2307,""天海祐希、"",false),""公式LINE"",false)"),"マンションから飛び降り自殺をした女性銀行員。飛び降りる最中に電話をしていた相手・ネイリストの恭子(鶴田真由)が疑われる。恭子の顧客が過去に2人、彼女に多額の融資をした後に自殺していた。有希子(天海祐希)らは、恭子の取り調べをするが、どんなアプローチをしても平然と受け答えをする。しかも、シングルマザーであることを見破られ、ペースを乱される有希子は、梶山(田中哲司)から厳しくたしなめられてしまい…")</f>
        <v>マンションから飛び降り自殺をした女性銀行員。飛び降りる最中に電話をしていた相手・ネイリストの恭子(鶴田真由)が疑われる。恭子の顧客が過去に2人、彼女に多額の融資をした後に自殺していた。有希子(天海祐希)らは、恭子の取り調べをするが、どんなアプローチをしても平然と受け答えをする。しかも、シングルマザーであることを見破られ、ペースを乱される有希子は、梶山(田中哲司)から厳しくたしなめられてしまい…</v>
      </c>
      <c r="N2307" s="2"/>
      <c r="O2307" s="2"/>
      <c r="P2307" s="2"/>
      <c r="Q2307" s="2"/>
      <c r="R2307" s="2"/>
      <c r="S2307" s="2"/>
      <c r="T2307" s="2"/>
      <c r="U2307" s="2"/>
      <c r="V2307" s="2"/>
      <c r="W2307" s="2"/>
      <c r="X2307" s="2"/>
      <c r="Y2307" s="2"/>
      <c r="Z2307" s="2"/>
      <c r="AA2307" s="2"/>
      <c r="AB2307" s="2"/>
      <c r="AC2307" s="2"/>
      <c r="AD2307" s="2"/>
      <c r="AE2307" s="2"/>
      <c r="AF2307" s="2"/>
      <c r="AG2307" s="2"/>
      <c r="AH2307" s="2"/>
      <c r="AI2307" s="2"/>
      <c r="AJ2307" s="2"/>
      <c r="AK2307" s="2"/>
      <c r="AL2307" s="2"/>
      <c r="AM2307" s="2"/>
      <c r="AN2307" s="2"/>
      <c r="AO2307" s="2"/>
      <c r="AP2307" s="2"/>
      <c r="AQ2307" s="2"/>
      <c r="AR2307" s="2"/>
      <c r="AS2307" s="2"/>
      <c r="AT2307" s="2"/>
      <c r="AU2307" s="2"/>
      <c r="AV2307" s="2"/>
      <c r="AW2307" s="2"/>
      <c r="AX2307" s="2"/>
      <c r="AY2307" s="2"/>
      <c r="AZ2307" s="2"/>
      <c r="BA2307" s="2"/>
      <c r="BB2307" s="2"/>
    </row>
    <row r="2308" ht="204.75" customHeight="1">
      <c r="A2308" s="1">
        <v>1230.0</v>
      </c>
      <c r="B2308" s="2" t="s">
        <v>7221</v>
      </c>
      <c r="C2308" s="2">
        <f>IFERROR(__xludf.DUMMYFUNCTION("split(B2308,""_"")"),1704.0)</f>
        <v>1704</v>
      </c>
      <c r="D2308" s="2" t="str">
        <f>IFERROR(__xludf.DUMMYFUNCTION("""COMPUTED_VALUE"""),"EX")</f>
        <v>EX</v>
      </c>
      <c r="E2308" s="2" t="str">
        <f>IFERROR(__xludf.DUMMYFUNCTION("""COMPUTED_VALUE"""),"木21")</f>
        <v>木21</v>
      </c>
      <c r="F2308" s="2" t="s">
        <v>6647</v>
      </c>
      <c r="G2308" s="2" t="s">
        <v>6666</v>
      </c>
      <c r="H2308" s="1">
        <v>7.0</v>
      </c>
      <c r="I2308" s="1" t="s">
        <v>2892</v>
      </c>
      <c r="J2308" s="1" t="s">
        <v>11</v>
      </c>
      <c r="K2308" s="2" t="s">
        <v>7234</v>
      </c>
      <c r="L2308" s="11" t="s">
        <v>7235</v>
      </c>
      <c r="M2308" s="2" t="str">
        <f>IFERROR(__xludf.DUMMYFUNCTION("split(split(K2308,""天海祐希、"",false),""公式LINE"",false)"),"通販会社のやり手女課長・理香(上野なつひ)の遺体が女子更衣室で見つかった。理香のバッグが発見され、現金が盗まれていたことが判明。強盗の線も浮上するが、社内の防犯カメラには不審人物は映っていなかった。同部署のパート従業員、かずえ(田中美奈子)、聡子(阿知波悟美)、愛美(西原亜希)に話を聞く有希子(天海祐希)は、お互いの悪口は言い合うのに、理香のことは口裏を合わせたように褒め称える点を不自然に思い…")</f>
        <v>通販会社のやり手女課長・理香(上野なつひ)の遺体が女子更衣室で見つかった。理香のバッグが発見され、現金が盗まれていたことが判明。強盗の線も浮上するが、社内の防犯カメラには不審人物は映っていなかった。同部署のパート従業員、かずえ(田中美奈子)、聡子(阿知波悟美)、愛美(西原亜希)に話を聞く有希子(天海祐希)は、お互いの悪口は言い合うのに、理香のことは口裏を合わせたように褒め称える点を不自然に思い…</v>
      </c>
      <c r="N2308" s="2"/>
      <c r="O2308" s="2"/>
      <c r="P2308" s="2"/>
      <c r="Q2308" s="2"/>
      <c r="R2308" s="2"/>
      <c r="S2308" s="2"/>
      <c r="T2308" s="2"/>
      <c r="U2308" s="2"/>
      <c r="V2308" s="2"/>
      <c r="W2308" s="2"/>
      <c r="X2308" s="2"/>
      <c r="Y2308" s="2"/>
      <c r="Z2308" s="2"/>
      <c r="AA2308" s="2"/>
      <c r="AB2308" s="2"/>
      <c r="AC2308" s="2"/>
      <c r="AD2308" s="2"/>
      <c r="AE2308" s="2"/>
      <c r="AF2308" s="2"/>
      <c r="AG2308" s="2"/>
      <c r="AH2308" s="2"/>
      <c r="AI2308" s="2"/>
      <c r="AJ2308" s="2"/>
      <c r="AK2308" s="2"/>
      <c r="AL2308" s="2"/>
      <c r="AM2308" s="2"/>
      <c r="AN2308" s="2"/>
      <c r="AO2308" s="2"/>
      <c r="AP2308" s="2"/>
      <c r="AQ2308" s="2"/>
      <c r="AR2308" s="2"/>
      <c r="AS2308" s="2"/>
      <c r="AT2308" s="2"/>
      <c r="AU2308" s="2"/>
      <c r="AV2308" s="2"/>
      <c r="AW2308" s="2"/>
      <c r="AX2308" s="2"/>
      <c r="AY2308" s="2"/>
      <c r="AZ2308" s="2"/>
      <c r="BA2308" s="2"/>
      <c r="BB2308" s="2"/>
    </row>
    <row r="2309" ht="204.75" customHeight="1">
      <c r="A2309" s="1">
        <v>1231.0</v>
      </c>
      <c r="B2309" s="2" t="s">
        <v>7221</v>
      </c>
      <c r="C2309" s="2">
        <f>IFERROR(__xludf.DUMMYFUNCTION("split(B2309,""_"")"),1704.0)</f>
        <v>1704</v>
      </c>
      <c r="D2309" s="2" t="str">
        <f>IFERROR(__xludf.DUMMYFUNCTION("""COMPUTED_VALUE"""),"EX")</f>
        <v>EX</v>
      </c>
      <c r="E2309" s="2" t="str">
        <f>IFERROR(__xludf.DUMMYFUNCTION("""COMPUTED_VALUE"""),"木21")</f>
        <v>木21</v>
      </c>
      <c r="F2309" s="2" t="s">
        <v>6647</v>
      </c>
      <c r="G2309" s="2" t="s">
        <v>6669</v>
      </c>
      <c r="H2309" s="1">
        <v>8.0</v>
      </c>
      <c r="I2309" s="1" t="s">
        <v>2896</v>
      </c>
      <c r="J2309" s="1" t="s">
        <v>11</v>
      </c>
      <c r="K2309" s="2" t="s">
        <v>7236</v>
      </c>
      <c r="L2309" s="11" t="s">
        <v>7237</v>
      </c>
      <c r="M2309" s="2" t="str">
        <f>IFERROR(__xludf.DUMMYFUNCTION("split(split(K2309,""天海祐希、"",false),""公式LINE"",false)"),"警察官を襲った喪服を着た男2人組…現行犯逮捕された男(鶴見辰吾)は、氏名も年齢も不明。キントリは男の取り調べを行うが、どんな揺さぶりにも乗らず、完全黙秘を続ける。そんな中、警察官の証言で、逃走しているもう1人の男のモンタージュが完成。その顔を見た有希子(天海祐希)は息をのむ…。その矢先、盗まれた拳銃が使われて弁護士の滝沢(渡辺真起子)が脚を撃たれてしまい、キントリも追い込まれていく…")</f>
        <v>警察官を襲った喪服を着た男2人組…現行犯逮捕された男(鶴見辰吾)は、氏名も年齢も不明。キントリは男の取り調べを行うが、どんな揺さぶりにも乗らず、完全黙秘を続ける。そんな中、警察官の証言で、逃走しているもう1人の男のモンタージュが完成。その顔を見た有希子(天海祐希)は息をのむ…。その矢先、盗まれた拳銃が使われて弁護士の滝沢(渡辺真起子)が脚を撃たれてしまい、キントリも追い込まれていく…</v>
      </c>
      <c r="N2309" s="2"/>
      <c r="O2309" s="2"/>
      <c r="P2309" s="2"/>
      <c r="Q2309" s="2"/>
      <c r="R2309" s="2"/>
      <c r="S2309" s="2"/>
      <c r="T2309" s="2"/>
      <c r="U2309" s="2"/>
      <c r="V2309" s="2"/>
      <c r="W2309" s="2"/>
      <c r="X2309" s="2"/>
      <c r="Y2309" s="2"/>
      <c r="Z2309" s="2"/>
      <c r="AA2309" s="2"/>
      <c r="AB2309" s="2"/>
      <c r="AC2309" s="2"/>
      <c r="AD2309" s="2"/>
      <c r="AE2309" s="2"/>
      <c r="AF2309" s="2"/>
      <c r="AG2309" s="2"/>
      <c r="AH2309" s="2"/>
      <c r="AI2309" s="2"/>
      <c r="AJ2309" s="2"/>
      <c r="AK2309" s="2"/>
      <c r="AL2309" s="2"/>
      <c r="AM2309" s="2"/>
      <c r="AN2309" s="2"/>
      <c r="AO2309" s="2"/>
      <c r="AP2309" s="2"/>
      <c r="AQ2309" s="2"/>
      <c r="AR2309" s="2"/>
      <c r="AS2309" s="2"/>
      <c r="AT2309" s="2"/>
      <c r="AU2309" s="2"/>
      <c r="AV2309" s="2"/>
      <c r="AW2309" s="2"/>
      <c r="AX2309" s="2"/>
      <c r="AY2309" s="2"/>
      <c r="AZ2309" s="2"/>
      <c r="BA2309" s="2"/>
      <c r="BB2309" s="2"/>
    </row>
    <row r="2310" ht="204.75" customHeight="1">
      <c r="A2310" s="1">
        <v>1232.0</v>
      </c>
      <c r="B2310" s="2" t="s">
        <v>7221</v>
      </c>
      <c r="C2310" s="2">
        <f>IFERROR(__xludf.DUMMYFUNCTION("split(B2310,""_"")"),1704.0)</f>
        <v>1704</v>
      </c>
      <c r="D2310" s="2" t="str">
        <f>IFERROR(__xludf.DUMMYFUNCTION("""COMPUTED_VALUE"""),"EX")</f>
        <v>EX</v>
      </c>
      <c r="E2310" s="2" t="str">
        <f>IFERROR(__xludf.DUMMYFUNCTION("""COMPUTED_VALUE"""),"木21")</f>
        <v>木21</v>
      </c>
      <c r="F2310" s="2" t="s">
        <v>6647</v>
      </c>
      <c r="G2310" s="2" t="s">
        <v>6672</v>
      </c>
      <c r="H2310" s="1">
        <v>9.0</v>
      </c>
      <c r="I2310" s="1" t="s">
        <v>2900</v>
      </c>
      <c r="J2310" s="1" t="s">
        <v>4</v>
      </c>
      <c r="K2310" s="2" t="s">
        <v>7238</v>
      </c>
      <c r="L2310" s="11" t="s">
        <v>7239</v>
      </c>
      <c r="M2310" s="2" t="str">
        <f>IFERROR(__xludf.DUMMYFUNCTION("split(split(K2310,""天海祐希、"",false),""公式LINE"",false)"),"有希子(天海祐希)が磐城(大倉孝二)をかばって被弾した。撃ったのは警察官から拳銃を奪った2人組のひとり・峰岸(眞島秀和)で、有希子の亡き夫にそっくりな男だった。逃走する峰岸…一方、勾留中の久保寺(鶴見辰吾)は何も語らない。有希子は自ら志願して取り調べを担当。有希子の言葉は久保寺の心を揺さぶるが、相変わらず黙秘を貫く。やがて峰岸が捕まり…。キントリは最後の事件と肝に銘じ、一丸となって取り調べに挑む!!")</f>
        <v>有希子(天海祐希)が磐城(大倉孝二)をかばって被弾した。撃ったのは警察官から拳銃を奪った2人組のひとり・峰岸(眞島秀和)で、有希子の亡き夫にそっくりな男だった。逃走する峰岸…一方、勾留中の久保寺(鶴見辰吾)は何も語らない。有希子は自ら志願して取り調べを担当。有希子の言葉は久保寺の心を揺さぶるが、相変わらず黙秘を貫く。やがて峰岸が捕まり…。キントリは最後の事件と肝に銘じ、一丸となって取り調べに挑む!!</v>
      </c>
      <c r="N2310" s="2"/>
      <c r="O2310" s="2"/>
      <c r="P2310" s="2"/>
      <c r="Q2310" s="2"/>
      <c r="R2310" s="2"/>
      <c r="S2310" s="2"/>
      <c r="T2310" s="2"/>
      <c r="U2310" s="2"/>
      <c r="V2310" s="2"/>
      <c r="W2310" s="2"/>
      <c r="X2310" s="2"/>
      <c r="Y2310" s="2"/>
      <c r="Z2310" s="2"/>
      <c r="AA2310" s="2"/>
      <c r="AB2310" s="2"/>
      <c r="AC2310" s="2"/>
      <c r="AD2310" s="2"/>
      <c r="AE2310" s="2"/>
      <c r="AF2310" s="2"/>
      <c r="AG2310" s="2"/>
      <c r="AH2310" s="2"/>
      <c r="AI2310" s="2"/>
      <c r="AJ2310" s="2"/>
      <c r="AK2310" s="2"/>
      <c r="AL2310" s="2"/>
      <c r="AM2310" s="2"/>
      <c r="AN2310" s="2"/>
      <c r="AO2310" s="2"/>
      <c r="AP2310" s="2"/>
      <c r="AQ2310" s="2"/>
      <c r="AR2310" s="2"/>
      <c r="AS2310" s="2"/>
      <c r="AT2310" s="2"/>
      <c r="AU2310" s="2"/>
      <c r="AV2310" s="2"/>
      <c r="AW2310" s="2"/>
      <c r="AX2310" s="2"/>
      <c r="AY2310" s="2"/>
      <c r="AZ2310" s="2"/>
      <c r="BA2310" s="2"/>
      <c r="BB2310" s="2"/>
    </row>
    <row r="2311" ht="204.75" customHeight="1">
      <c r="A2311" s="1">
        <v>1264.0</v>
      </c>
      <c r="B2311" s="2" t="s">
        <v>7240</v>
      </c>
      <c r="C2311" s="2">
        <f>IFERROR(__xludf.DUMMYFUNCTION("split(B2311,""_"")"),1704.0)</f>
        <v>1704</v>
      </c>
      <c r="D2311" s="2" t="str">
        <f>IFERROR(__xludf.DUMMYFUNCTION("""COMPUTED_VALUE"""),"EX")</f>
        <v>EX</v>
      </c>
      <c r="E2311" s="2" t="str">
        <f>IFERROR(__xludf.DUMMYFUNCTION("""COMPUTED_VALUE"""),"金23")</f>
        <v>金23</v>
      </c>
      <c r="F2311" s="2" t="s">
        <v>7241</v>
      </c>
      <c r="G2311" s="2" t="s">
        <v>7242</v>
      </c>
      <c r="H2311" s="1">
        <v>1.0</v>
      </c>
      <c r="I2311" s="1" t="s">
        <v>2868</v>
      </c>
      <c r="J2311" s="1" t="s">
        <v>1435</v>
      </c>
      <c r="K2311" s="4" t="s">
        <v>7243</v>
      </c>
      <c r="L2311" s="15" t="s">
        <v>7244</v>
      </c>
      <c r="M2311" s="2" t="str">
        <f>IFERROR(__xludf.DUMMYFUNCTION("split(split(K2311,""剛力彩芽、"",false),""公式LINE"",false)"),"ある日、花園女子刑務所に、殺人罪の芸妓・琴音(剛力彩芽)がやってくる。謎多き政治秘書(山口紗弥加)、夫殺しの元ヤン・シングルマザー(トリンドル玲奈)、遺産目当ての毒婦(平岩紙)、全身整形の美容整形看護師(橋本マナミ)、老老介護で夫を殺した最高齢女囚(木野花)らと同室になるが、早速“新人イジメ""の標的に…。そんな中、刑務所ナンバー1の情報屋・奈津(安達祐実)だけが、琴音を優しくフォローしてくれて…?")</f>
        <v>ある日、花園女子刑務所に、殺人罪の芸妓・琴音(剛力彩芽)がやってくる。謎多き政治秘書(山口紗弥加)、夫殺しの元ヤン・シングルマザー(トリンドル玲奈)、遺産目当ての毒婦(平岩紙)、全身整形の美容整形看護師(橋本マナミ)、老老介護で夫を殺した最高齢女囚(木野花)らと同室になるが、早速“新人イジメ"の標的に…。そんな中、刑務所ナンバー1の情報屋・奈津(安達祐実)だけが、琴音を優しくフォローしてくれて…?</v>
      </c>
      <c r="N2311" s="2"/>
      <c r="O2311" s="2"/>
      <c r="P2311" s="1"/>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1"/>
      <c r="AY2311" s="1"/>
      <c r="AZ2311" s="1"/>
      <c r="BA2311" s="1"/>
      <c r="BB2311" s="1"/>
    </row>
    <row r="2312" ht="204.75" customHeight="1">
      <c r="A2312" s="1">
        <v>1265.0</v>
      </c>
      <c r="B2312" s="2" t="s">
        <v>7240</v>
      </c>
      <c r="C2312" s="2">
        <f>IFERROR(__xludf.DUMMYFUNCTION("split(B2312,""_"")"),1704.0)</f>
        <v>1704</v>
      </c>
      <c r="D2312" s="2" t="str">
        <f>IFERROR(__xludf.DUMMYFUNCTION("""COMPUTED_VALUE"""),"EX")</f>
        <v>EX</v>
      </c>
      <c r="E2312" s="2" t="str">
        <f>IFERROR(__xludf.DUMMYFUNCTION("""COMPUTED_VALUE"""),"金23")</f>
        <v>金23</v>
      </c>
      <c r="F2312" s="2" t="s">
        <v>7241</v>
      </c>
      <c r="G2312" s="2" t="s">
        <v>7245</v>
      </c>
      <c r="H2312" s="1">
        <v>2.0</v>
      </c>
      <c r="I2312" s="1" t="s">
        <v>2872</v>
      </c>
      <c r="J2312" s="1" t="s">
        <v>1435</v>
      </c>
      <c r="K2312" s="4" t="s">
        <v>7246</v>
      </c>
      <c r="L2312" s="11" t="s">
        <v>7247</v>
      </c>
      <c r="M2312" s="2" t="str">
        <f>IFERROR(__xludf.DUMMYFUNCTION("split(split(K2312,""剛力彩芽、"",false),""公式LINE"",false)"),"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が始まる!")</f>
        <v>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が始まる!</v>
      </c>
      <c r="N2312" s="2"/>
      <c r="O2312" s="2"/>
      <c r="P2312" s="1"/>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1"/>
      <c r="AY2312" s="1"/>
      <c r="AZ2312" s="1"/>
      <c r="BA2312" s="1"/>
      <c r="BB2312" s="1"/>
    </row>
    <row r="2313" ht="204.75" customHeight="1">
      <c r="A2313" s="1">
        <v>1266.0</v>
      </c>
      <c r="B2313" s="2" t="s">
        <v>7240</v>
      </c>
      <c r="C2313" s="2">
        <f>IFERROR(__xludf.DUMMYFUNCTION("split(B2313,""_"")"),1704.0)</f>
        <v>1704</v>
      </c>
      <c r="D2313" s="2" t="str">
        <f>IFERROR(__xludf.DUMMYFUNCTION("""COMPUTED_VALUE"""),"EX")</f>
        <v>EX</v>
      </c>
      <c r="E2313" s="2" t="str">
        <f>IFERROR(__xludf.DUMMYFUNCTION("""COMPUTED_VALUE"""),"金23")</f>
        <v>金23</v>
      </c>
      <c r="F2313" s="2" t="s">
        <v>7241</v>
      </c>
      <c r="G2313" s="2" t="s">
        <v>7248</v>
      </c>
      <c r="H2313" s="1">
        <v>3.0</v>
      </c>
      <c r="I2313" s="1" t="s">
        <v>2876</v>
      </c>
      <c r="J2313" s="1" t="s">
        <v>1435</v>
      </c>
      <c r="K2313" s="2" t="s">
        <v>7249</v>
      </c>
      <c r="L2313" s="11" t="s">
        <v>7250</v>
      </c>
      <c r="M2313" s="2" t="str">
        <f>IFERROR(__xludf.DUMMYFUNCTION("split(split(K2313,""剛力彩芽、"",false),""公式LINE"",false)"),"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f>
        <v>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v>
      </c>
      <c r="N2313" s="2"/>
      <c r="O2313" s="2"/>
      <c r="P2313" s="1"/>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1"/>
      <c r="AY2313" s="1"/>
      <c r="AZ2313" s="1"/>
      <c r="BA2313" s="1"/>
      <c r="BB2313" s="1"/>
    </row>
    <row r="2314" ht="204.75" customHeight="1">
      <c r="A2314" s="1">
        <v>1267.0</v>
      </c>
      <c r="B2314" s="2" t="s">
        <v>7240</v>
      </c>
      <c r="C2314" s="2">
        <f>IFERROR(__xludf.DUMMYFUNCTION("split(B2314,""_"")"),1704.0)</f>
        <v>1704</v>
      </c>
      <c r="D2314" s="2" t="str">
        <f>IFERROR(__xludf.DUMMYFUNCTION("""COMPUTED_VALUE"""),"EX")</f>
        <v>EX</v>
      </c>
      <c r="E2314" s="2" t="str">
        <f>IFERROR(__xludf.DUMMYFUNCTION("""COMPUTED_VALUE"""),"金23")</f>
        <v>金23</v>
      </c>
      <c r="F2314" s="2" t="s">
        <v>7241</v>
      </c>
      <c r="G2314" s="2" t="s">
        <v>7251</v>
      </c>
      <c r="H2314" s="1">
        <v>4.0</v>
      </c>
      <c r="I2314" s="1" t="s">
        <v>2880</v>
      </c>
      <c r="J2314" s="1" t="s">
        <v>1435</v>
      </c>
      <c r="K2314" s="2" t="s">
        <v>7252</v>
      </c>
      <c r="L2314" s="11" t="s">
        <v>7250</v>
      </c>
      <c r="M2314" s="2" t="str">
        <f>IFERROR(__xludf.DUMMYFUNCTION("split(split(K2314,""剛力彩芽、"",false),""公式LINE"",false)"),"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f>
        <v>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v>
      </c>
      <c r="N2314" s="2"/>
      <c r="O2314" s="2"/>
      <c r="P2314" s="1"/>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1"/>
      <c r="AY2314" s="1"/>
      <c r="AZ2314" s="1"/>
      <c r="BA2314" s="1"/>
      <c r="BB2314" s="1"/>
    </row>
    <row r="2315" ht="204.75" customHeight="1">
      <c r="A2315" s="1">
        <v>1268.0</v>
      </c>
      <c r="B2315" s="2" t="s">
        <v>7240</v>
      </c>
      <c r="C2315" s="2">
        <f>IFERROR(__xludf.DUMMYFUNCTION("split(B2315,""_"")"),1704.0)</f>
        <v>1704</v>
      </c>
      <c r="D2315" s="2" t="str">
        <f>IFERROR(__xludf.DUMMYFUNCTION("""COMPUTED_VALUE"""),"EX")</f>
        <v>EX</v>
      </c>
      <c r="E2315" s="2" t="str">
        <f>IFERROR(__xludf.DUMMYFUNCTION("""COMPUTED_VALUE"""),"金23")</f>
        <v>金23</v>
      </c>
      <c r="F2315" s="2" t="s">
        <v>7241</v>
      </c>
      <c r="G2315" s="2" t="s">
        <v>7253</v>
      </c>
      <c r="H2315" s="1">
        <v>5.0</v>
      </c>
      <c r="I2315" s="1" t="s">
        <v>2884</v>
      </c>
      <c r="J2315" s="1" t="s">
        <v>1435</v>
      </c>
      <c r="K2315" s="2" t="s">
        <v>7254</v>
      </c>
      <c r="L2315" s="11" t="s">
        <v>7250</v>
      </c>
      <c r="M2315" s="2" t="str">
        <f>IFERROR(__xludf.DUMMYFUNCTION("split(split(K2315,""剛力彩芽、"",false),""公式LINE"",false)"),"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f>
        <v>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v>
      </c>
      <c r="N2315" s="2"/>
      <c r="O2315" s="2"/>
      <c r="P2315" s="1"/>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1"/>
      <c r="AY2315" s="1"/>
      <c r="AZ2315" s="1"/>
      <c r="BA2315" s="1"/>
      <c r="BB2315" s="1"/>
    </row>
    <row r="2316" ht="204.75" customHeight="1">
      <c r="A2316" s="1">
        <v>1269.0</v>
      </c>
      <c r="B2316" s="2" t="s">
        <v>7240</v>
      </c>
      <c r="C2316" s="2">
        <f>IFERROR(__xludf.DUMMYFUNCTION("split(B2316,""_"")"),1704.0)</f>
        <v>1704</v>
      </c>
      <c r="D2316" s="2" t="str">
        <f>IFERROR(__xludf.DUMMYFUNCTION("""COMPUTED_VALUE"""),"EX")</f>
        <v>EX</v>
      </c>
      <c r="E2316" s="2" t="str">
        <f>IFERROR(__xludf.DUMMYFUNCTION("""COMPUTED_VALUE"""),"金23")</f>
        <v>金23</v>
      </c>
      <c r="F2316" s="2" t="s">
        <v>7241</v>
      </c>
      <c r="G2316" s="2" t="s">
        <v>7255</v>
      </c>
      <c r="H2316" s="1">
        <v>6.0</v>
      </c>
      <c r="I2316" s="1" t="s">
        <v>2888</v>
      </c>
      <c r="J2316" s="1" t="s">
        <v>1435</v>
      </c>
      <c r="K2316" s="2" t="s">
        <v>7256</v>
      </c>
      <c r="L2316" s="11" t="s">
        <v>7250</v>
      </c>
      <c r="M2316" s="2" t="str">
        <f>IFERROR(__xludf.DUMMYFUNCTION("split(split(K2316,""剛力彩芽、"",false),""公式LINE"",false)"),"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f>
        <v>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v>
      </c>
      <c r="N2316" s="2"/>
      <c r="O2316" s="2"/>
      <c r="P2316" s="1"/>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1"/>
      <c r="AY2316" s="1"/>
      <c r="AZ2316" s="1"/>
      <c r="BA2316" s="1"/>
      <c r="BB2316" s="1"/>
    </row>
    <row r="2317" ht="204.75" customHeight="1">
      <c r="A2317" s="1">
        <v>1270.0</v>
      </c>
      <c r="B2317" s="2" t="s">
        <v>7240</v>
      </c>
      <c r="C2317" s="2">
        <f>IFERROR(__xludf.DUMMYFUNCTION("split(B2317,""_"")"),1704.0)</f>
        <v>1704</v>
      </c>
      <c r="D2317" s="2" t="str">
        <f>IFERROR(__xludf.DUMMYFUNCTION("""COMPUTED_VALUE"""),"EX")</f>
        <v>EX</v>
      </c>
      <c r="E2317" s="2" t="str">
        <f>IFERROR(__xludf.DUMMYFUNCTION("""COMPUTED_VALUE"""),"金23")</f>
        <v>金23</v>
      </c>
      <c r="F2317" s="2" t="s">
        <v>7241</v>
      </c>
      <c r="G2317" s="2" t="s">
        <v>7257</v>
      </c>
      <c r="H2317" s="1">
        <v>7.0</v>
      </c>
      <c r="I2317" s="1" t="s">
        <v>2892</v>
      </c>
      <c r="J2317" s="1" t="s">
        <v>1435</v>
      </c>
      <c r="K2317" s="2" t="s">
        <v>7258</v>
      </c>
      <c r="L2317" s="11" t="s">
        <v>7250</v>
      </c>
      <c r="M2317" s="2" t="str">
        <f>IFERROR(__xludf.DUMMYFUNCTION("split(split(K2317,""剛力彩芽、"",false),""公式LINE"",false)"),"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f>
        <v>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v>
      </c>
      <c r="N2317" s="2"/>
      <c r="O2317" s="2"/>
      <c r="P2317" s="1"/>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1"/>
      <c r="AY2317" s="1"/>
      <c r="AZ2317" s="1"/>
      <c r="BA2317" s="1"/>
      <c r="BB2317" s="1"/>
    </row>
    <row r="2318" ht="204.75" customHeight="1">
      <c r="A2318" s="1">
        <v>1271.0</v>
      </c>
      <c r="B2318" s="2" t="s">
        <v>7240</v>
      </c>
      <c r="C2318" s="2">
        <f>IFERROR(__xludf.DUMMYFUNCTION("split(B2318,""_"")"),1704.0)</f>
        <v>1704</v>
      </c>
      <c r="D2318" s="2" t="str">
        <f>IFERROR(__xludf.DUMMYFUNCTION("""COMPUTED_VALUE"""),"EX")</f>
        <v>EX</v>
      </c>
      <c r="E2318" s="2" t="str">
        <f>IFERROR(__xludf.DUMMYFUNCTION("""COMPUTED_VALUE"""),"金23")</f>
        <v>金23</v>
      </c>
      <c r="F2318" s="2" t="s">
        <v>7241</v>
      </c>
      <c r="G2318" s="2" t="s">
        <v>7259</v>
      </c>
      <c r="H2318" s="1">
        <v>8.0</v>
      </c>
      <c r="I2318" s="1" t="s">
        <v>2896</v>
      </c>
      <c r="J2318" s="1" t="s">
        <v>1435</v>
      </c>
      <c r="K2318" s="2" t="s">
        <v>7258</v>
      </c>
      <c r="L2318" s="11" t="s">
        <v>7250</v>
      </c>
      <c r="M2318" s="2" t="str">
        <f>IFERROR(__xludf.DUMMYFUNCTION("split(split(K2318,""剛力彩芽、"",false),""公式LINE"",false)"),"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f>
        <v>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v>
      </c>
      <c r="N2318" s="2"/>
      <c r="O2318" s="2"/>
      <c r="P2318" s="1"/>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1"/>
      <c r="AY2318" s="1"/>
      <c r="AZ2318" s="1"/>
      <c r="BA2318" s="1"/>
      <c r="BB2318" s="1"/>
    </row>
    <row r="2319" ht="204.75" customHeight="1">
      <c r="A2319" s="1">
        <v>1351.0</v>
      </c>
      <c r="B2319" s="2" t="s">
        <v>7260</v>
      </c>
      <c r="C2319" s="2">
        <f>IFERROR(__xludf.DUMMYFUNCTION("split(B2319,""_"")"),1701.0)</f>
        <v>1701</v>
      </c>
      <c r="D2319" s="2" t="str">
        <f>IFERROR(__xludf.DUMMYFUNCTION("""COMPUTED_VALUE"""),"EX")</f>
        <v>EX</v>
      </c>
      <c r="E2319" s="2" t="str">
        <f>IFERROR(__xludf.DUMMYFUNCTION("""COMPUTED_VALUE"""),"木21")</f>
        <v>木21</v>
      </c>
      <c r="F2319" s="2" t="s">
        <v>7261</v>
      </c>
      <c r="G2319" s="2" t="s">
        <v>7262</v>
      </c>
      <c r="H2319" s="1">
        <v>1.0</v>
      </c>
      <c r="I2319" s="1" t="s">
        <v>2868</v>
      </c>
      <c r="J2319" s="1" t="s">
        <v>4</v>
      </c>
      <c r="K2319" s="4" t="s">
        <v>7263</v>
      </c>
      <c r="L2319" s="11" t="s">
        <v>7264</v>
      </c>
      <c r="M2319" s="2" t="str">
        <f>IFERROR(__xludf.DUMMYFUNCTION("split(split(K2319,""三浦友和、"",false),""公式LINE"",false)"),"大手メーカーで人事部長を務める富川洋輔(三浦友和)。上司からも部下からも信頼の厚い彼は、新卒採用の面接とリストラを言い渡すという重責を担っていた。一方の富川家は、それぞれ問題を抱えていた。就職活動中の息子・光(工藤阿須加)はまったく内定がもらえる気配がなく、挙げ句、ホストクラブから出てくる母の水希(黒木瞳)を目撃してしまう。娘の栞(前田敦子)も、会社でのセクハラに悩んでいた。追いつめられた家族は…")</f>
        <v>大手メーカーで人事部長を務める富川洋輔(三浦友和)。上司からも部下からも信頼の厚い彼は、新卒採用の面接とリストラを言い渡すという重責を担っていた。一方の富川家は、それぞれ問題を抱えていた。就職活動中の息子・光(工藤阿須加)はまったく内定がもらえる気配がなく、挙げ句、ホストクラブから出てくる母の水希(黒木瞳)を目撃してしまう。娘の栞(前田敦子)も、会社でのセクハラに悩んでいた。追いつめられた家族は…</v>
      </c>
      <c r="N2319" s="2"/>
      <c r="O2319" s="2"/>
      <c r="P2319" s="1"/>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1"/>
      <c r="AY2319" s="1"/>
      <c r="AZ2319" s="1"/>
      <c r="BA2319" s="1"/>
      <c r="BB2319" s="1"/>
    </row>
    <row r="2320" ht="204.75" customHeight="1">
      <c r="A2320" s="1">
        <v>1352.0</v>
      </c>
      <c r="B2320" s="2" t="s">
        <v>7260</v>
      </c>
      <c r="C2320" s="2">
        <f>IFERROR(__xludf.DUMMYFUNCTION("split(B2320,""_"")"),1701.0)</f>
        <v>1701</v>
      </c>
      <c r="D2320" s="2" t="str">
        <f>IFERROR(__xludf.DUMMYFUNCTION("""COMPUTED_VALUE"""),"EX")</f>
        <v>EX</v>
      </c>
      <c r="E2320" s="2" t="str">
        <f>IFERROR(__xludf.DUMMYFUNCTION("""COMPUTED_VALUE"""),"木21")</f>
        <v>木21</v>
      </c>
      <c r="F2320" s="2" t="s">
        <v>7261</v>
      </c>
      <c r="G2320" s="2" t="s">
        <v>7265</v>
      </c>
      <c r="H2320" s="1">
        <v>2.0</v>
      </c>
      <c r="I2320" s="1" t="s">
        <v>2872</v>
      </c>
      <c r="J2320" s="1" t="s">
        <v>11</v>
      </c>
      <c r="K2320" s="2" t="s">
        <v>7266</v>
      </c>
      <c r="L2320" s="11" t="s">
        <v>7267</v>
      </c>
      <c r="M2320" s="2" t="str">
        <f>IFERROR(__xludf.DUMMYFUNCTION("split(split(K2320,""三浦友和、"",false),""公式LINE"",false)"),"川村優子(木村多江)からの身に覚えのないセクハラ告発で窮地に追い込まれた富川洋輔(三浦友和)は、自宅待機を言い渡されてしまう!夫の役員昇進に喜ぶ水希(黒木瞳)に事実を言い出すことが出来ずにいた洋輔は、同じ境遇の天谷五郎(段田安則)と出会う。その頃、長女の栞(前田敦子)は部署異動を実現させようとしていた。一方、怪しげな就活塾に入塾した長男の光(工藤阿須加)は、さらなる高額の教材費を払うことになり…。")</f>
        <v>川村優子(木村多江)からの身に覚えのないセクハラ告発で窮地に追い込まれた富川洋輔(三浦友和)は、自宅待機を言い渡されてしまう!夫の役員昇進に喜ぶ水希(黒木瞳)に事実を言い出すことが出来ずにいた洋輔は、同じ境遇の天谷五郎(段田安則)と出会う。その頃、長女の栞(前田敦子)は部署異動を実現させようとしていた。一方、怪しげな就活塾に入塾した長男の光(工藤阿須加)は、さらなる高額の教材費を払うことになり…。</v>
      </c>
      <c r="N2320" s="2"/>
      <c r="O2320" s="2"/>
      <c r="P2320" s="1"/>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1"/>
      <c r="AY2320" s="1"/>
      <c r="AZ2320" s="1"/>
      <c r="BA2320" s="1"/>
      <c r="BB2320" s="1"/>
    </row>
    <row r="2321" ht="204.75" customHeight="1">
      <c r="A2321" s="1">
        <v>1353.0</v>
      </c>
      <c r="B2321" s="2" t="s">
        <v>7260</v>
      </c>
      <c r="C2321" s="2">
        <f>IFERROR(__xludf.DUMMYFUNCTION("split(B2321,""_"")"),1701.0)</f>
        <v>1701</v>
      </c>
      <c r="D2321" s="2" t="str">
        <f>IFERROR(__xludf.DUMMYFUNCTION("""COMPUTED_VALUE"""),"EX")</f>
        <v>EX</v>
      </c>
      <c r="E2321" s="2" t="str">
        <f>IFERROR(__xludf.DUMMYFUNCTION("""COMPUTED_VALUE"""),"木21")</f>
        <v>木21</v>
      </c>
      <c r="F2321" s="2" t="s">
        <v>7261</v>
      </c>
      <c r="G2321" s="2" t="s">
        <v>7268</v>
      </c>
      <c r="H2321" s="1">
        <v>3.0</v>
      </c>
      <c r="I2321" s="1" t="s">
        <v>2876</v>
      </c>
      <c r="J2321" s="1" t="s">
        <v>11</v>
      </c>
      <c r="K2321" s="2" t="s">
        <v>7269</v>
      </c>
      <c r="L2321" s="11" t="s">
        <v>7270</v>
      </c>
      <c r="M2321" s="2" t="str">
        <f>IFERROR(__xludf.DUMMYFUNCTION("split(split(K2321,""三浦友和、"",false),""公式LINE"",false)"),"会社を辞めたものの、就職活動が進まない富川洋輔(三浦友和)は、川村優子(木村多江)に「会社を紹介してほしい」と頭を下げる。ようやく再就職の目処が立つが、水希(黒木瞳)ら家族には真実を言い出せないまま…。一方、内申書取り違えの件を解決するよう命じられた水希は、その生徒の自宅に通っていた。その頃、栞(前田敦子)は、宝石を売るため婚活パーティーに申し込む。光(工藤阿須加)も、ある会社から内定をもらうが…")</f>
        <v>会社を辞めたものの、就職活動が進まない富川洋輔(三浦友和)は、川村優子(木村多江)に「会社を紹介してほしい」と頭を下げる。ようやく再就職の目処が立つが、水希(黒木瞳)ら家族には真実を言い出せないまま…。一方、内申書取り違えの件を解決するよう命じられた水希は、その生徒の自宅に通っていた。その頃、栞(前田敦子)は、宝石を売るため婚活パーティーに申し込む。光(工藤阿須加)も、ある会社から内定をもらうが…</v>
      </c>
      <c r="N2321" s="2"/>
      <c r="O2321" s="2"/>
      <c r="P2321" s="1"/>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1"/>
      <c r="AY2321" s="1"/>
      <c r="AZ2321" s="1"/>
      <c r="BA2321" s="1"/>
      <c r="BB2321" s="1"/>
    </row>
    <row r="2322" ht="204.75" customHeight="1">
      <c r="A2322" s="1">
        <v>1354.0</v>
      </c>
      <c r="B2322" s="2" t="s">
        <v>7260</v>
      </c>
      <c r="C2322" s="2">
        <f>IFERROR(__xludf.DUMMYFUNCTION("split(B2322,""_"")"),1701.0)</f>
        <v>1701</v>
      </c>
      <c r="D2322" s="2" t="str">
        <f>IFERROR(__xludf.DUMMYFUNCTION("""COMPUTED_VALUE"""),"EX")</f>
        <v>EX</v>
      </c>
      <c r="E2322" s="2" t="str">
        <f>IFERROR(__xludf.DUMMYFUNCTION("""COMPUTED_VALUE"""),"木21")</f>
        <v>木21</v>
      </c>
      <c r="F2322" s="2" t="s">
        <v>7261</v>
      </c>
      <c r="G2322" s="2" t="s">
        <v>7271</v>
      </c>
      <c r="H2322" s="1">
        <v>4.0</v>
      </c>
      <c r="I2322" s="1" t="s">
        <v>2880</v>
      </c>
      <c r="J2322" s="1" t="s">
        <v>11</v>
      </c>
      <c r="K2322" s="2" t="s">
        <v>7272</v>
      </c>
      <c r="L2322" s="11" t="s">
        <v>7273</v>
      </c>
      <c r="M2322" s="2" t="str">
        <f>IFERROR(__xludf.DUMMYFUNCTION("split(split(K2322,""三浦友和、"",false),""公式LINE"",false)"),"妻の水希(黒木瞳)がホストクラブに入店する場面を目撃してしまい、動揺したまま同窓会にやってきた富川洋輔(三浦友和)。久々に再会した夏野久美(キムラ緑子)ら女性陣から「ホストに大金を貢いだりする場合もある」と聞かされ、不安を募らせる。一方、栞(前田敦子)は真壁雄斗(渡辺大)との関係が課長の中原綾子(山本未來)に知られ三角関係に…。光(工藤阿須加)は、希望だった出版社でアルバイトとして働き始めるが…。")</f>
        <v>妻の水希(黒木瞳)がホストクラブに入店する場面を目撃してしまい、動揺したまま同窓会にやってきた富川洋輔(三浦友和)。久々に再会した夏野久美(キムラ緑子)ら女性陣から「ホストに大金を貢いだりする場合もある」と聞かされ、不安を募らせる。一方、栞(前田敦子)は真壁雄斗(渡辺大)との関係が課長の中原綾子(山本未來)に知られ三角関係に…。光(工藤阿須加)は、希望だった出版社でアルバイトとして働き始めるが…。</v>
      </c>
      <c r="N2322" s="2"/>
      <c r="O2322" s="2"/>
      <c r="P2322" s="1"/>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1"/>
      <c r="AX2322" s="1"/>
      <c r="AY2322" s="1"/>
      <c r="AZ2322" s="1"/>
      <c r="BA2322" s="1"/>
      <c r="BB2322" s="1"/>
    </row>
    <row r="2323" ht="204.75" customHeight="1">
      <c r="A2323" s="1">
        <v>1355.0</v>
      </c>
      <c r="B2323" s="2" t="s">
        <v>7260</v>
      </c>
      <c r="C2323" s="2">
        <f>IFERROR(__xludf.DUMMYFUNCTION("split(B2323,""_"")"),1701.0)</f>
        <v>1701</v>
      </c>
      <c r="D2323" s="2" t="str">
        <f>IFERROR(__xludf.DUMMYFUNCTION("""COMPUTED_VALUE"""),"EX")</f>
        <v>EX</v>
      </c>
      <c r="E2323" s="2" t="str">
        <f>IFERROR(__xludf.DUMMYFUNCTION("""COMPUTED_VALUE"""),"木21")</f>
        <v>木21</v>
      </c>
      <c r="F2323" s="2" t="s">
        <v>7261</v>
      </c>
      <c r="G2323" s="2" t="s">
        <v>7274</v>
      </c>
      <c r="H2323" s="1">
        <v>5.0</v>
      </c>
      <c r="I2323" s="1" t="s">
        <v>2884</v>
      </c>
      <c r="J2323" s="1" t="s">
        <v>11</v>
      </c>
      <c r="K2323" s="2" t="s">
        <v>7275</v>
      </c>
      <c r="L2323" s="11" t="s">
        <v>7276</v>
      </c>
      <c r="M2323" s="2" t="str">
        <f>IFERROR(__xludf.DUMMYFUNCTION("split(split(K2323,""三浦友和、"",false),""公式LINE"",false)"),"「最近、襟元に社章付けてないね」と妻の水希(黒木瞳)に指摘され、焦る富川洋輔(三浦友和)。マイホーム購入の話も着々と進み、家族に失業を隠しておくのは難しくなってきていた。そんな中、学校で理不尽な扱いを受け続ける水希はホストクラブへ。栞(前田敦子)は、パワハラ課長に「今月いっぱいで退職させていただきます」と宣言するも待っていたのは…?さらに光(工藤阿須加)は、内定をもらった会社の研修をすっぽかし…")</f>
        <v>「最近、襟元に社章付けてないね」と妻の水希(黒木瞳)に指摘され、焦る富川洋輔(三浦友和)。マイホーム購入の話も着々と進み、家族に失業を隠しておくのは難しくなってきていた。そんな中、学校で理不尽な扱いを受け続ける水希はホストクラブへ。栞(前田敦子)は、パワハラ課長に「今月いっぱいで退職させていただきます」と宣言するも待っていたのは…?さらに光(工藤阿須加)は、内定をもらった会社の研修をすっぽかし…</v>
      </c>
      <c r="N2323" s="2"/>
      <c r="O2323" s="2"/>
      <c r="P2323" s="1"/>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1"/>
      <c r="AY2323" s="1"/>
      <c r="AZ2323" s="1"/>
      <c r="BA2323" s="1"/>
      <c r="BB2323" s="1"/>
    </row>
    <row r="2324" ht="204.75" customHeight="1">
      <c r="A2324" s="1">
        <v>1356.0</v>
      </c>
      <c r="B2324" s="2" t="s">
        <v>7260</v>
      </c>
      <c r="C2324" s="2">
        <f>IFERROR(__xludf.DUMMYFUNCTION("split(B2324,""_"")"),1701.0)</f>
        <v>1701</v>
      </c>
      <c r="D2324" s="2" t="str">
        <f>IFERROR(__xludf.DUMMYFUNCTION("""COMPUTED_VALUE"""),"EX")</f>
        <v>EX</v>
      </c>
      <c r="E2324" s="2" t="str">
        <f>IFERROR(__xludf.DUMMYFUNCTION("""COMPUTED_VALUE"""),"木21")</f>
        <v>木21</v>
      </c>
      <c r="F2324" s="2" t="s">
        <v>7261</v>
      </c>
      <c r="G2324" s="2" t="s">
        <v>7277</v>
      </c>
      <c r="H2324" s="1">
        <v>6.0</v>
      </c>
      <c r="I2324" s="1" t="s">
        <v>2888</v>
      </c>
      <c r="J2324" s="1" t="s">
        <v>11</v>
      </c>
      <c r="K2324" s="2" t="s">
        <v>7278</v>
      </c>
      <c r="L2324" s="11" t="s">
        <v>7279</v>
      </c>
      <c r="M2324" s="2" t="str">
        <f>IFERROR(__xludf.DUMMYFUNCTION("split(split(K2324,""三浦友和、"",false),""公式LINE"",false)"),"水希(黒木瞳)がホストクラブに通いつめていたこと、洋輔(三浦友和)が再就職先を探していたことなどがすべて家族に知られ、富川家はバラバラに…。天谷五郎(段田安則)から「自営のコンサルタントをやるのはどうか」と提案され、洋輔は一念発起!しかし、水希からは「生活のことを考えて」と言われてしまう。さらに、転職を模索し始めた栞(前田敦子)、内定を一つでも取ろうとする光(工藤阿須加)だったが、それぞれ苦戦し…")</f>
        <v>水希(黒木瞳)がホストクラブに通いつめていたこと、洋輔(三浦友和)が再就職先を探していたことなどがすべて家族に知られ、富川家はバラバラに…。天谷五郎(段田安則)から「自営のコンサルタントをやるのはどうか」と提案され、洋輔は一念発起!しかし、水希からは「生活のことを考えて」と言われてしまう。さらに、転職を模索し始めた栞(前田敦子)、内定を一つでも取ろうとする光(工藤阿須加)だったが、それぞれ苦戦し…</v>
      </c>
      <c r="N2324" s="2"/>
      <c r="O2324" s="2"/>
      <c r="P2324" s="1"/>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1"/>
      <c r="AY2324" s="1"/>
      <c r="AZ2324" s="1"/>
      <c r="BA2324" s="1"/>
      <c r="BB2324" s="1"/>
    </row>
    <row r="2325" ht="204.75" customHeight="1">
      <c r="A2325" s="1">
        <v>1357.0</v>
      </c>
      <c r="B2325" s="2" t="s">
        <v>7260</v>
      </c>
      <c r="C2325" s="2">
        <f>IFERROR(__xludf.DUMMYFUNCTION("split(B2325,""_"")"),1701.0)</f>
        <v>1701</v>
      </c>
      <c r="D2325" s="2" t="str">
        <f>IFERROR(__xludf.DUMMYFUNCTION("""COMPUTED_VALUE"""),"EX")</f>
        <v>EX</v>
      </c>
      <c r="E2325" s="2" t="str">
        <f>IFERROR(__xludf.DUMMYFUNCTION("""COMPUTED_VALUE"""),"木21")</f>
        <v>木21</v>
      </c>
      <c r="F2325" s="2" t="s">
        <v>7261</v>
      </c>
      <c r="G2325" s="2" t="s">
        <v>7280</v>
      </c>
      <c r="H2325" s="1">
        <v>7.0</v>
      </c>
      <c r="I2325" s="1" t="s">
        <v>2892</v>
      </c>
      <c r="J2325" s="1" t="s">
        <v>11</v>
      </c>
      <c r="K2325" s="2" t="s">
        <v>7281</v>
      </c>
      <c r="L2325" s="11" t="s">
        <v>7282</v>
      </c>
      <c r="M2325" s="2" t="str">
        <f>IFERROR(__xludf.DUMMYFUNCTION("split(split(K2325,""三浦友和、"",false),""公式LINE"",false)"),"洋輔(三浦友和)の退職の理由が、優子(木村多江)へのセクハラだったことが分かり、富川家は完全に冷え切った状態に…。水希(黒木瞳)は「セクハラをしたことよりも、そんな大事なことを家族に隠してきた貴方に我慢ならない」と、洋輔を避けるように生活を始める。一方、光(工藤阿須加)は内々定を取得。しかし、名古屋の本社勤務の可能性が浮上。そして、真壁(渡辺大)との結婚を本格的に考えだした栞(前田敦子)は…。")</f>
        <v>洋輔(三浦友和)の退職の理由が、優子(木村多江)へのセクハラだったことが分かり、富川家は完全に冷え切った状態に…。水希(黒木瞳)は「セクハラをしたことよりも、そんな大事なことを家族に隠してきた貴方に我慢ならない」と、洋輔を避けるように生活を始める。一方、光(工藤阿須加)は内々定を取得。しかし、名古屋の本社勤務の可能性が浮上。そして、真壁(渡辺大)との結婚を本格的に考えだした栞(前田敦子)は…。</v>
      </c>
      <c r="N2325" s="2"/>
      <c r="O2325" s="2"/>
      <c r="P2325" s="1"/>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1"/>
      <c r="AY2325" s="1"/>
      <c r="AZ2325" s="1"/>
      <c r="BA2325" s="1"/>
      <c r="BB2325" s="1"/>
    </row>
    <row r="2326" ht="204.75" customHeight="1">
      <c r="A2326" s="1">
        <v>1358.0</v>
      </c>
      <c r="B2326" s="2" t="s">
        <v>7260</v>
      </c>
      <c r="C2326" s="2">
        <f>IFERROR(__xludf.DUMMYFUNCTION("split(B2326,""_"")"),1701.0)</f>
        <v>1701</v>
      </c>
      <c r="D2326" s="2" t="str">
        <f>IFERROR(__xludf.DUMMYFUNCTION("""COMPUTED_VALUE"""),"EX")</f>
        <v>EX</v>
      </c>
      <c r="E2326" s="2" t="str">
        <f>IFERROR(__xludf.DUMMYFUNCTION("""COMPUTED_VALUE"""),"木21")</f>
        <v>木21</v>
      </c>
      <c r="F2326" s="2" t="s">
        <v>7261</v>
      </c>
      <c r="G2326" s="2" t="s">
        <v>7283</v>
      </c>
      <c r="H2326" s="1">
        <v>8.0</v>
      </c>
      <c r="I2326" s="1" t="s">
        <v>2896</v>
      </c>
      <c r="J2326" s="1" t="s">
        <v>11</v>
      </c>
      <c r="K2326" s="2" t="s">
        <v>7284</v>
      </c>
      <c r="L2326" s="11" t="s">
        <v>7285</v>
      </c>
      <c r="M2326" s="2" t="str">
        <f>IFERROR(__xludf.DUMMYFUNCTION("split(split(K2326,""三浦友和、"",false),""公式LINE"",false)"),"かつて勤めていた会社の社長から、インドに設立する新会社の社長就任を打診された富川洋輔(三浦友和)。前向きに考えつつ、その場に優子(木村多江)が同席していたことを不審に思う。一方の水希(黒木瞳)は、新しい職場で充実感を覚え、離婚を申し出る。その決意に娘の栞(前田敦子)、息子の光(工藤阿須加)は動揺するが、それぞれ住む場所を探し…。そんな中、洋輔の友人で相談相手でもある天谷(段田安則)が倒れてしまう。")</f>
        <v>かつて勤めていた会社の社長から、インドに設立する新会社の社長就任を打診された富川洋輔(三浦友和)。前向きに考えつつ、その場に優子(木村多江)が同席していたことを不審に思う。一方の水希(黒木瞳)は、新しい職場で充実感を覚え、離婚を申し出る。その決意に娘の栞(前田敦子)、息子の光(工藤阿須加)は動揺するが、それぞれ住む場所を探し…。そんな中、洋輔の友人で相談相手でもある天谷(段田安則)が倒れてしまう。</v>
      </c>
      <c r="N2326" s="2"/>
      <c r="O2326" s="2"/>
      <c r="P2326" s="1"/>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1"/>
      <c r="AY2326" s="1"/>
      <c r="AZ2326" s="1"/>
      <c r="BA2326" s="1"/>
      <c r="BB2326" s="1"/>
    </row>
    <row r="2327" ht="204.75" customHeight="1">
      <c r="A2327" s="1">
        <v>1359.0</v>
      </c>
      <c r="B2327" s="2" t="s">
        <v>7260</v>
      </c>
      <c r="C2327" s="2">
        <f>IFERROR(__xludf.DUMMYFUNCTION("split(B2327,""_"")"),1701.0)</f>
        <v>1701</v>
      </c>
      <c r="D2327" s="2" t="str">
        <f>IFERROR(__xludf.DUMMYFUNCTION("""COMPUTED_VALUE"""),"EX")</f>
        <v>EX</v>
      </c>
      <c r="E2327" s="2" t="str">
        <f>IFERROR(__xludf.DUMMYFUNCTION("""COMPUTED_VALUE"""),"木21")</f>
        <v>木21</v>
      </c>
      <c r="F2327" s="2" t="s">
        <v>7261</v>
      </c>
      <c r="G2327" s="2" t="s">
        <v>7286</v>
      </c>
      <c r="H2327" s="1">
        <v>9.0</v>
      </c>
      <c r="I2327" s="1" t="s">
        <v>2900</v>
      </c>
      <c r="J2327" s="1" t="s">
        <v>11</v>
      </c>
      <c r="K2327" s="2" t="s">
        <v>7287</v>
      </c>
      <c r="L2327" s="11" t="s">
        <v>7288</v>
      </c>
      <c r="M2327" s="2" t="str">
        <f>IFERROR(__xludf.DUMMYFUNCTION("split(split(K2327,""三浦友和、"",false),""公式LINE"",false)"),"家族との食事会を、仕事のためにすっぽかしてしまった富川洋輔(三浦友和)。大事なときにまで家族より仕事を優先した洋輔に対し、水希(黒木瞳)は離婚届を突きつけて家を出る。水希は社員用アパート、栞(前田敦子)は真壁(渡辺大)のマンション、光(工藤阿須加)は就活塾の塾長・国原(新井浩文)が用意してくれた家に移り住み、富川家はバラバラの生活をスタートさせるが…。一家は、最後にどんな未来を選択するのか!?")</f>
        <v>家族との食事会を、仕事のためにすっぽかしてしまった富川洋輔(三浦友和)。大事なときにまで家族より仕事を優先した洋輔に対し、水希(黒木瞳)は離婚届を突きつけて家を出る。水希は社員用アパート、栞(前田敦子)は真壁(渡辺大)のマンション、光(工藤阿須加)は就活塾の塾長・国原(新井浩文)が用意してくれた家に移り住み、富川家はバラバラの生活をスタートさせるが…。一家は、最後にどんな未来を選択するのか!?</v>
      </c>
      <c r="N2327" s="2"/>
      <c r="O2327" s="2"/>
      <c r="P2327" s="1"/>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1"/>
      <c r="AY2327" s="1"/>
      <c r="AZ2327" s="1"/>
      <c r="BA2327" s="1"/>
      <c r="BB2327" s="1"/>
    </row>
    <row r="2328" ht="204.75" customHeight="1">
      <c r="A2328" s="1">
        <v>1392.0</v>
      </c>
      <c r="B2328" s="2" t="s">
        <v>7289</v>
      </c>
      <c r="C2328" s="2">
        <f>IFERROR(__xludf.DUMMYFUNCTION("split(B2328,""_"")"),1701.0)</f>
        <v>1701</v>
      </c>
      <c r="D2328" s="2" t="str">
        <f>IFERROR(__xludf.DUMMYFUNCTION("""COMPUTED_VALUE"""),"EX")</f>
        <v>EX</v>
      </c>
      <c r="E2328" s="2" t="str">
        <f>IFERROR(__xludf.DUMMYFUNCTION("""COMPUTED_VALUE"""),"金23")</f>
        <v>金23</v>
      </c>
      <c r="F2328" s="2" t="s">
        <v>7290</v>
      </c>
      <c r="G2328" s="2" t="s">
        <v>7291</v>
      </c>
      <c r="H2328" s="1">
        <v>1.0</v>
      </c>
      <c r="I2328" s="1" t="s">
        <v>2868</v>
      </c>
      <c r="J2328" s="1" t="s">
        <v>1435</v>
      </c>
      <c r="K2328" s="4" t="s">
        <v>7292</v>
      </c>
      <c r="L2328" s="11" t="s">
        <v>7293</v>
      </c>
      <c r="M2328" s="2" t="str">
        <f>IFERROR(__xludf.DUMMYFUNCTION("split(split(K2328,""池内光…"",false),""公式LINE"",false)"),"恋人の康太(三浦翔平)からプロポーズされ、幸せを噛みしめていた光(倉科カナ)の前に、突然一人の男が現れた!信(大谷亮平)という名の彼は、かつて光が死ぬほど愛した男、そして3年前に突然姿を消した男だった!光は激しく動揺するが、この再会はこれから始まる激動の愛憎劇の序章に過ぎなかった!異常なまでに夫・信に執着する妻・蘭(水野美紀)、さらに康太を溺愛する母・美佐(榊原郁恵)らが光の前に立ちはだかる!")</f>
        <v>恋人の康太(三浦翔平)からプロポーズされ、幸せを噛みしめていた光(倉科カナ)の前に、突然一人の男が現れた!信(大谷亮平)という名の彼は、かつて光が死ぬほど愛した男、そして3年前に突然姿を消した男だった!光は激しく動揺するが、この再会はこれから始まる激動の愛憎劇の序章に過ぎなかった!異常なまでに夫・信に執着する妻・蘭(水野美紀)、さらに康太を溺愛する母・美佐(榊原郁恵)らが光の前に立ちはだかる!</v>
      </c>
      <c r="N2328" s="2"/>
      <c r="O2328" s="2"/>
      <c r="P2328" s="1"/>
      <c r="Q2328" s="1"/>
      <c r="R2328" s="1"/>
      <c r="S2328" s="1"/>
      <c r="T2328" s="1"/>
      <c r="U2328" s="1"/>
      <c r="V2328" s="1"/>
      <c r="W2328" s="1"/>
      <c r="X2328" s="1"/>
      <c r="Y2328" s="1"/>
      <c r="Z2328" s="1"/>
      <c r="AA2328" s="1"/>
      <c r="AB2328" s="1"/>
      <c r="AC2328" s="1"/>
      <c r="AD2328" s="1"/>
      <c r="AE2328" s="1"/>
      <c r="AF2328" s="1"/>
      <c r="AG2328" s="1"/>
      <c r="AH2328" s="1"/>
      <c r="AI2328" s="1"/>
      <c r="AJ2328" s="1"/>
      <c r="AK2328" s="1"/>
      <c r="AL2328" s="1"/>
      <c r="AM2328" s="1"/>
      <c r="AN2328" s="1"/>
      <c r="AO2328" s="1"/>
      <c r="AP2328" s="1"/>
      <c r="AQ2328" s="1"/>
      <c r="AR2328" s="1"/>
      <c r="AS2328" s="1"/>
      <c r="AT2328" s="1"/>
      <c r="AU2328" s="1"/>
      <c r="AV2328" s="1"/>
      <c r="AW2328" s="1"/>
      <c r="AX2328" s="1"/>
      <c r="AY2328" s="1"/>
      <c r="AZ2328" s="1"/>
      <c r="BA2328" s="1"/>
      <c r="BB2328" s="1"/>
    </row>
    <row r="2329" ht="204.75" customHeight="1">
      <c r="A2329" s="1">
        <v>1393.0</v>
      </c>
      <c r="B2329" s="2" t="s">
        <v>7289</v>
      </c>
      <c r="C2329" s="2">
        <f>IFERROR(__xludf.DUMMYFUNCTION("split(B2329,""_"")"),1701.0)</f>
        <v>1701</v>
      </c>
      <c r="D2329" s="2" t="str">
        <f>IFERROR(__xludf.DUMMYFUNCTION("""COMPUTED_VALUE"""),"EX")</f>
        <v>EX</v>
      </c>
      <c r="E2329" s="2" t="str">
        <f>IFERROR(__xludf.DUMMYFUNCTION("""COMPUTED_VALUE"""),"金23")</f>
        <v>金23</v>
      </c>
      <c r="F2329" s="2" t="s">
        <v>7290</v>
      </c>
      <c r="G2329" s="2" t="s">
        <v>7294</v>
      </c>
      <c r="H2329" s="1">
        <v>2.0</v>
      </c>
      <c r="I2329" s="1" t="s">
        <v>2872</v>
      </c>
      <c r="J2329" s="1" t="s">
        <v>1435</v>
      </c>
      <c r="K2329" s="2" t="s">
        <v>7295</v>
      </c>
      <c r="L2329" s="11" t="s">
        <v>7296</v>
      </c>
      <c r="M2329" s="2" t="str">
        <f>IFERROR(__xludf.DUMMYFUNCTION("split(split(K2329,""池内光…"",false),""公式LINE"",false)"),"婚約者の康太(三浦翔平)がいながら、かつて死ぬほど愛した男・信(大谷亮平)に心が揺れる光(倉科カナ)。一方、異常なまでに夫・信に執着する妻・蘭(水野美紀)が、突然、光と康太の前に現れ、光に先制攻撃を仕掛ける!さらに、康太を溺愛する母・美佐(榊原郁恵)からの嫌がらせも始まり…!?そんな中、光と信は、あるアクシデントによって二人でホテルへ行くことに!そこには驚くべき罠が待っていた!")</f>
        <v>婚約者の康太(三浦翔平)がいながら、かつて死ぬほど愛した男・信(大谷亮平)に心が揺れる光(倉科カナ)。一方、異常なまでに夫・信に執着する妻・蘭(水野美紀)が、突然、光と康太の前に現れ、光に先制攻撃を仕掛ける!さらに、康太を溺愛する母・美佐(榊原郁恵)からの嫌がらせも始まり…!?そんな中、光と信は、あるアクシデントによって二人でホテルへ行くことに!そこには驚くべき罠が待っていた!</v>
      </c>
      <c r="N2329" s="2"/>
      <c r="O2329" s="2"/>
      <c r="P2329" s="1"/>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c r="AN2329" s="1"/>
      <c r="AO2329" s="1"/>
      <c r="AP2329" s="1"/>
      <c r="AQ2329" s="1"/>
      <c r="AR2329" s="1"/>
      <c r="AS2329" s="1"/>
      <c r="AT2329" s="1"/>
      <c r="AU2329" s="1"/>
      <c r="AV2329" s="1"/>
      <c r="AW2329" s="1"/>
      <c r="AX2329" s="1"/>
      <c r="AY2329" s="1"/>
      <c r="AZ2329" s="1"/>
      <c r="BA2329" s="1"/>
      <c r="BB2329" s="1"/>
    </row>
    <row r="2330" ht="204.75" customHeight="1">
      <c r="A2330" s="1">
        <v>1394.0</v>
      </c>
      <c r="B2330" s="2" t="s">
        <v>7289</v>
      </c>
      <c r="C2330" s="2">
        <f>IFERROR(__xludf.DUMMYFUNCTION("split(B2330,""_"")"),1701.0)</f>
        <v>1701</v>
      </c>
      <c r="D2330" s="2" t="str">
        <f>IFERROR(__xludf.DUMMYFUNCTION("""COMPUTED_VALUE"""),"EX")</f>
        <v>EX</v>
      </c>
      <c r="E2330" s="2" t="str">
        <f>IFERROR(__xludf.DUMMYFUNCTION("""COMPUTED_VALUE"""),"金23")</f>
        <v>金23</v>
      </c>
      <c r="F2330" s="2" t="s">
        <v>7290</v>
      </c>
      <c r="G2330" s="2" t="s">
        <v>7297</v>
      </c>
      <c r="H2330" s="1">
        <v>3.0</v>
      </c>
      <c r="I2330" s="1" t="s">
        <v>2876</v>
      </c>
      <c r="J2330" s="1" t="s">
        <v>1435</v>
      </c>
      <c r="K2330" s="2" t="s">
        <v>7298</v>
      </c>
      <c r="L2330" s="11" t="s">
        <v>7299</v>
      </c>
      <c r="M2330" s="2" t="str">
        <f>IFERROR(__xludf.DUMMYFUNCTION("split(split(K2330,""池内光…"",false),""公式LINE"",false)"),"婚約者の康太(三浦翔平)と、熱海へ婚前旅行に行くことになった光(倉科カナ)。しかし、そこに康太の母・美佐(榊原郁恵)が現れ、強烈な嫌がらせを仕掛けてくる!一方、光のかつての恋人・信(大谷亮平)の妻・蘭(水野美紀)は、夫を連れて光の会社に乗り込んでくるが…!?そんなある日、光はあることがきっかけで、蘭が不在中の信の家を訪れることに。愛を抑えきれず唇を重ねようとした瞬間、身の毛もよだつ出来事が起きて…")</f>
        <v>婚約者の康太(三浦翔平)と、熱海へ婚前旅行に行くことになった光(倉科カナ)。しかし、そこに康太の母・美佐(榊原郁恵)が現れ、強烈な嫌がらせを仕掛けてくる!一方、光のかつての恋人・信(大谷亮平)の妻・蘭(水野美紀)は、夫を連れて光の会社に乗り込んでくるが…!?そんなある日、光はあることがきっかけで、蘭が不在中の信の家を訪れることに。愛を抑えきれず唇を重ねようとした瞬間、身の毛もよだつ出来事が起きて…</v>
      </c>
      <c r="N2330" s="2"/>
      <c r="O2330" s="2"/>
      <c r="P2330" s="1"/>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c r="AQ2330" s="1"/>
      <c r="AR2330" s="1"/>
      <c r="AS2330" s="1"/>
      <c r="AT2330" s="1"/>
      <c r="AU2330" s="1"/>
      <c r="AV2330" s="1"/>
      <c r="AW2330" s="1"/>
      <c r="AX2330" s="1"/>
      <c r="AY2330" s="1"/>
      <c r="AZ2330" s="1"/>
      <c r="BA2330" s="1"/>
      <c r="BB2330" s="1"/>
    </row>
    <row r="2331" ht="204.75" customHeight="1">
      <c r="A2331" s="1">
        <v>1395.0</v>
      </c>
      <c r="B2331" s="2" t="s">
        <v>7289</v>
      </c>
      <c r="C2331" s="2">
        <f>IFERROR(__xludf.DUMMYFUNCTION("split(B2331,""_"")"),1701.0)</f>
        <v>1701</v>
      </c>
      <c r="D2331" s="2" t="str">
        <f>IFERROR(__xludf.DUMMYFUNCTION("""COMPUTED_VALUE"""),"EX")</f>
        <v>EX</v>
      </c>
      <c r="E2331" s="2" t="str">
        <f>IFERROR(__xludf.DUMMYFUNCTION("""COMPUTED_VALUE"""),"金23")</f>
        <v>金23</v>
      </c>
      <c r="F2331" s="2" t="s">
        <v>7290</v>
      </c>
      <c r="G2331" s="2" t="s">
        <v>7300</v>
      </c>
      <c r="H2331" s="1">
        <v>4.0</v>
      </c>
      <c r="I2331" s="1" t="s">
        <v>2880</v>
      </c>
      <c r="J2331" s="1" t="s">
        <v>1435</v>
      </c>
      <c r="K2331" s="2" t="s">
        <v>7301</v>
      </c>
      <c r="L2331" s="11" t="s">
        <v>7302</v>
      </c>
      <c r="M2331" s="2" t="str">
        <f>IFERROR(__xludf.DUMMYFUNCTION("split(split(K2331,""池内光…"",false),""公式LINE"",false)"),"元カレ・信(大谷亮平)とキスした瞬間を、その妻・蘭(水野美紀)に見られてしまった光(倉科カナ)。蘭は、ますます光への復讐心を加速させる。そんな中、光と婚約者・康太(三浦翔平)は“ある目的""を果たすため、信と蘭の家を訪問。そんな2人を、蘭は何を考えているのか、冬の海へと旅行に誘う。光と康太、元カレとその妻…愛と憎しみに満ちた4人の旅行で、とんでもない出来事が待ち受けていた!")</f>
        <v>元カレ・信(大谷亮平)とキスした瞬間を、その妻・蘭(水野美紀)に見られてしまった光(倉科カナ)。蘭は、ますます光への復讐心を加速させる。そんな中、光と婚約者・康太(三浦翔平)は“ある目的"を果たすため、信と蘭の家を訪問。そんな2人を、蘭は何を考えているのか、冬の海へと旅行に誘う。光と康太、元カレとその妻…愛と憎しみに満ちた4人の旅行で、とんでもない出来事が待ち受けていた!</v>
      </c>
      <c r="N2331" s="2"/>
      <c r="O2331" s="2"/>
      <c r="P2331" s="1"/>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c r="AQ2331" s="1"/>
      <c r="AR2331" s="1"/>
      <c r="AS2331" s="1"/>
      <c r="AT2331" s="1"/>
      <c r="AU2331" s="1"/>
      <c r="AV2331" s="1"/>
      <c r="AW2331" s="1"/>
      <c r="AX2331" s="1"/>
      <c r="AY2331" s="1"/>
      <c r="AZ2331" s="1"/>
      <c r="BA2331" s="1"/>
      <c r="BB2331" s="1"/>
    </row>
    <row r="2332" ht="204.75" customHeight="1">
      <c r="A2332" s="1">
        <v>1396.0</v>
      </c>
      <c r="B2332" s="2" t="s">
        <v>7289</v>
      </c>
      <c r="C2332" s="2">
        <f>IFERROR(__xludf.DUMMYFUNCTION("split(B2332,""_"")"),1701.0)</f>
        <v>1701</v>
      </c>
      <c r="D2332" s="2" t="str">
        <f>IFERROR(__xludf.DUMMYFUNCTION("""COMPUTED_VALUE"""),"EX")</f>
        <v>EX</v>
      </c>
      <c r="E2332" s="2" t="str">
        <f>IFERROR(__xludf.DUMMYFUNCTION("""COMPUTED_VALUE"""),"金23")</f>
        <v>金23</v>
      </c>
      <c r="F2332" s="2" t="s">
        <v>7290</v>
      </c>
      <c r="G2332" s="2" t="s">
        <v>7303</v>
      </c>
      <c r="H2332" s="1">
        <v>5.0</v>
      </c>
      <c r="I2332" s="1" t="s">
        <v>2884</v>
      </c>
      <c r="J2332" s="1" t="s">
        <v>1435</v>
      </c>
      <c r="K2332" s="2" t="s">
        <v>7304</v>
      </c>
      <c r="L2332" s="11" t="s">
        <v>7305</v>
      </c>
      <c r="M2332" s="2" t="str">
        <f>IFERROR(__xludf.DUMMYFUNCTION("split(split(K2332,""池内光…"",false),""公式LINE"",false)"),"光(倉科カナ)の元カレ・信(大谷亮平)は、妻の蘭(水野美紀)もいる前で「俺はまだ、光のことが好きだ」と衝撃の告白。それを見た光の婚約者・康太(三浦翔平)は逆上し、弾みで光を突き飛ばし気絶させてしまう。一方、蘭の復讐心はさらに加速。その矛先は光の母・麻紀(キムラ緑子)に向けられ…。それを知った光は、ついに蘭への反撃を決意。女同士の壮絶な直接対決が!さらに、衝撃の新事実が発覚し…!?")</f>
        <v>光(倉科カナ)の元カレ・信(大谷亮平)は、妻の蘭(水野美紀)もいる前で「俺はまだ、光のことが好きだ」と衝撃の告白。それを見た光の婚約者・康太(三浦翔平)は逆上し、弾みで光を突き飛ばし気絶させてしまう。一方、蘭の復讐心はさらに加速。その矛先は光の母・麻紀(キムラ緑子)に向けられ…。それを知った光は、ついに蘭への反撃を決意。女同士の壮絶な直接対決が!さらに、衝撃の新事実が発覚し…!?</v>
      </c>
      <c r="N2332" s="2"/>
      <c r="O2332" s="2"/>
      <c r="P2332" s="1"/>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1"/>
      <c r="AY2332" s="1"/>
      <c r="AZ2332" s="1"/>
      <c r="BA2332" s="1"/>
      <c r="BB2332" s="1"/>
    </row>
    <row r="2333" ht="204.75" customHeight="1">
      <c r="A2333" s="1">
        <v>1397.0</v>
      </c>
      <c r="B2333" s="2" t="s">
        <v>7289</v>
      </c>
      <c r="C2333" s="2">
        <f>IFERROR(__xludf.DUMMYFUNCTION("split(B2333,""_"")"),1701.0)</f>
        <v>1701</v>
      </c>
      <c r="D2333" s="2" t="str">
        <f>IFERROR(__xludf.DUMMYFUNCTION("""COMPUTED_VALUE"""),"EX")</f>
        <v>EX</v>
      </c>
      <c r="E2333" s="2" t="str">
        <f>IFERROR(__xludf.DUMMYFUNCTION("""COMPUTED_VALUE"""),"金23")</f>
        <v>金23</v>
      </c>
      <c r="F2333" s="2" t="s">
        <v>7290</v>
      </c>
      <c r="G2333" s="2" t="s">
        <v>7306</v>
      </c>
      <c r="H2333" s="1">
        <v>6.0</v>
      </c>
      <c r="I2333" s="1" t="s">
        <v>2888</v>
      </c>
      <c r="J2333" s="1" t="s">
        <v>1435</v>
      </c>
      <c r="K2333" s="2" t="s">
        <v>7307</v>
      </c>
      <c r="L2333" s="11" t="s">
        <v>7308</v>
      </c>
      <c r="M2333" s="2" t="str">
        <f>IFERROR(__xludf.DUMMYFUNCTION("split(split(K2333,""池内光…"",false),""公式LINE"",false)"),"光(倉科カナ)はすべてを振り切り、元カレ・信(大谷亮平)のもとへ…!そして2人は愛を確かめ合う。一方、結婚目前で光を奪われた康太(三浦翔平)は、失意の中、同じく夫の信を奪われた蘭(水野美紀)に接触し、蘭が抱える重大な秘密を知ってしまう!その頃、信は医師から、自分の余命が残りわずかだと宣告を受ける。今度こそ光を幸せにしようとした矢先の、残酷すぎる運命…。そんな中、信が突如、姿を消してしまい…!?")</f>
        <v>光(倉科カナ)はすべてを振り切り、元カレ・信(大谷亮平)のもとへ…!そして2人は愛を確かめ合う。一方、結婚目前で光を奪われた康太(三浦翔平)は、失意の中、同じく夫の信を奪われた蘭(水野美紀)に接触し、蘭が抱える重大な秘密を知ってしまう!その頃、信は医師から、自分の余命が残りわずかだと宣告を受ける。今度こそ光を幸せにしようとした矢先の、残酷すぎる運命…。そんな中、信が突如、姿を消してしまい…!?</v>
      </c>
      <c r="N2333" s="2"/>
      <c r="O2333" s="2"/>
      <c r="P2333" s="1"/>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c r="AQ2333" s="1"/>
      <c r="AR2333" s="1"/>
      <c r="AS2333" s="1"/>
      <c r="AT2333" s="1"/>
      <c r="AU2333" s="1"/>
      <c r="AV2333" s="1"/>
      <c r="AW2333" s="1"/>
      <c r="AX2333" s="1"/>
      <c r="AY2333" s="1"/>
      <c r="AZ2333" s="1"/>
      <c r="BA2333" s="1"/>
      <c r="BB2333" s="1"/>
    </row>
    <row r="2334" ht="204.75" customHeight="1">
      <c r="A2334" s="1">
        <v>1398.0</v>
      </c>
      <c r="B2334" s="2" t="s">
        <v>7289</v>
      </c>
      <c r="C2334" s="2">
        <f>IFERROR(__xludf.DUMMYFUNCTION("split(B2334,""_"")"),1701.0)</f>
        <v>1701</v>
      </c>
      <c r="D2334" s="2" t="str">
        <f>IFERROR(__xludf.DUMMYFUNCTION("""COMPUTED_VALUE"""),"EX")</f>
        <v>EX</v>
      </c>
      <c r="E2334" s="2" t="str">
        <f>IFERROR(__xludf.DUMMYFUNCTION("""COMPUTED_VALUE"""),"金23")</f>
        <v>金23</v>
      </c>
      <c r="F2334" s="2" t="s">
        <v>7290</v>
      </c>
      <c r="G2334" s="2" t="s">
        <v>7309</v>
      </c>
      <c r="H2334" s="1">
        <v>7.0</v>
      </c>
      <c r="I2334" s="1" t="s">
        <v>2892</v>
      </c>
      <c r="J2334" s="1" t="s">
        <v>1435</v>
      </c>
      <c r="K2334" s="2" t="s">
        <v>7310</v>
      </c>
      <c r="L2334" s="11" t="s">
        <v>7311</v>
      </c>
      <c r="M2334" s="2" t="str">
        <f>IFERROR(__xludf.DUMMYFUNCTION("split(split(K2334,""池内光…"",false),""公式LINE"",false)"),"衝撃の最終回!光(倉科カナ)は、婚約者だった康太(三浦翔平)と別れ、妻・蘭(水野美紀)から奪い返した元カレ・信(大谷亮平)と一緒になる道を選ぶ。だが、信の余命はあとわずか…。さらに、蘭の足のケガに関する重大な秘密が明らかになり、それを知った信は、蘭とともに光の前から去ってしまう!そんな中、康太は「来なかったら死ぬ」と光を呼び出し…!?奪われたら、奪い返せ!最後に待ち受ける衝撃の大どんでん返しとは!?【副音声】水野美紀、大谷亮平、脚本の鈴木おさむによる座談会を緊急開催!地上波のみでの特別企画!「信が蘭の足を"&amp;"さする名物シーン誕生の経緯」や、「水野と大谷がさまざまなシーンを演じながら、密かに感じていたこと」、「最終回に登場する描写に隠された倉科&amp;三浦のこだわり」など、貴重な裏話が次々と披露されます!『奪い愛、冬』のラストナイトをぜひ、水野&amp;大谷&amp;鈴木と一緒に満喫してください!")</f>
        <v>衝撃の最終回!光(倉科カナ)は、婚約者だった康太(三浦翔平)と別れ、妻・蘭(水野美紀)から奪い返した元カレ・信(大谷亮平)と一緒になる道を選ぶ。だが、信の余命はあとわずか…。さらに、蘭の足のケガに関する重大な秘密が明らかになり、それを知った信は、蘭とともに光の前から去ってしまう!そんな中、康太は「来なかったら死ぬ」と光を呼び出し…!?奪われたら、奪い返せ!最後に待ち受ける衝撃の大どんでん返しとは!?【副音声】水野美紀、大谷亮平、脚本の鈴木おさむによる座談会を緊急開催!地上波のみでの特別企画!「信が蘭の足をさする名物シーン誕生の経緯」や、「水野と大谷がさまざまなシーンを演じながら、密かに感じていたこと」、「最終回に登場する描写に隠された倉科&amp;三浦のこだわり」など、貴重な裏話が次々と披露されます!『奪い愛、冬』のラストナイトをぜひ、水野&amp;大谷&amp;鈴木と一緒に満喫してください!</v>
      </c>
      <c r="N2334" s="2"/>
      <c r="O2334" s="2"/>
      <c r="P2334" s="1"/>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c r="AQ2334" s="1"/>
      <c r="AR2334" s="1"/>
      <c r="AS2334" s="1"/>
      <c r="AT2334" s="1"/>
      <c r="AU2334" s="1"/>
      <c r="AV2334" s="1"/>
      <c r="AW2334" s="1"/>
      <c r="AX2334" s="1"/>
      <c r="AY2334" s="1"/>
      <c r="AZ2334" s="1"/>
      <c r="BA2334" s="1"/>
      <c r="BB2334" s="1"/>
    </row>
    <row r="2335" ht="204.75" customHeight="1">
      <c r="A2335" s="1">
        <v>1469.0</v>
      </c>
      <c r="B2335" s="2" t="s">
        <v>7312</v>
      </c>
      <c r="C2335" s="2">
        <f>IFERROR(__xludf.DUMMYFUNCTION("split(B2335,""_"")"),1610.0)</f>
        <v>1610</v>
      </c>
      <c r="D2335" s="2" t="str">
        <f>IFERROR(__xludf.DUMMYFUNCTION("""COMPUTED_VALUE"""),"EX")</f>
        <v>EX</v>
      </c>
      <c r="E2335" s="2" t="str">
        <f>IFERROR(__xludf.DUMMYFUNCTION("""COMPUTED_VALUE"""),"木21")</f>
        <v>木21</v>
      </c>
      <c r="F2335" s="2" t="s">
        <v>6489</v>
      </c>
      <c r="G2335" s="2" t="s">
        <v>7088</v>
      </c>
      <c r="H2335" s="1">
        <v>1.0</v>
      </c>
      <c r="I2335" s="1" t="s">
        <v>2868</v>
      </c>
      <c r="J2335" s="1" t="s">
        <v>4</v>
      </c>
      <c r="K2335" s="4" t="s">
        <v>7313</v>
      </c>
      <c r="L2335" s="11" t="s">
        <v>7314</v>
      </c>
      <c r="M2335" s="2" t="str">
        <f>IFERROR(__xludf.DUMMYFUNCTION("split(split(K2335,""米倉涼子、"",false),""公式LINE"",false)"),"舞台は、宿敵・蛭間(西田敏行)率いる、医療ミス、派閥闘争などで評判ガタ落ちになった国内最高峰の大学病院ー。黄川田(生瀬勝久)ら御意軍団たちがブランド力を再確立し“病院の格付け""に躍起になる中、未知子(米倉涼子)は「目の前の命を救う」という確固たる信念に従い、突き進んでいく。ところが、その行く手には“史上最も危険で、最強の敵""となる副院長・久保(泉ピン子)ら、新たな強敵たちが待ち受けていて…!?")</f>
        <v>舞台は、宿敵・蛭間(西田敏行)率いる、医療ミス、派閥闘争などで評判ガタ落ちになった国内最高峰の大学病院ー。黄川田(生瀬勝久)ら御意軍団たちがブランド力を再確立し“病院の格付け"に躍起になる中、未知子(米倉涼子)は「目の前の命を救う」という確固たる信念に従い、突き進んでいく。ところが、その行く手には“史上最も危険で、最強の敵"となる副院長・久保(泉ピン子)ら、新たな強敵たちが待ち受けていて…!?</v>
      </c>
      <c r="N2335" s="2"/>
      <c r="O2335" s="2"/>
      <c r="P2335" s="1"/>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c r="AQ2335" s="1"/>
      <c r="AR2335" s="1"/>
      <c r="AS2335" s="1"/>
      <c r="AT2335" s="1"/>
      <c r="AU2335" s="1"/>
      <c r="AV2335" s="1"/>
      <c r="AW2335" s="1"/>
      <c r="AX2335" s="1"/>
      <c r="AY2335" s="1"/>
      <c r="AZ2335" s="1"/>
      <c r="BA2335" s="1"/>
      <c r="BB2335" s="1"/>
    </row>
    <row r="2336" ht="204.75" customHeight="1">
      <c r="A2336" s="1">
        <v>1470.0</v>
      </c>
      <c r="B2336" s="2" t="s">
        <v>7312</v>
      </c>
      <c r="C2336" s="2">
        <f>IFERROR(__xludf.DUMMYFUNCTION("split(B2336,""_"")"),1610.0)</f>
        <v>1610</v>
      </c>
      <c r="D2336" s="2" t="str">
        <f>IFERROR(__xludf.DUMMYFUNCTION("""COMPUTED_VALUE"""),"EX")</f>
        <v>EX</v>
      </c>
      <c r="E2336" s="2" t="str">
        <f>IFERROR(__xludf.DUMMYFUNCTION("""COMPUTED_VALUE"""),"木21")</f>
        <v>木21</v>
      </c>
      <c r="F2336" s="2" t="s">
        <v>6489</v>
      </c>
      <c r="G2336" s="2" t="s">
        <v>7091</v>
      </c>
      <c r="H2336" s="1">
        <v>2.0</v>
      </c>
      <c r="I2336" s="1" t="s">
        <v>2872</v>
      </c>
      <c r="J2336" s="1" t="s">
        <v>4</v>
      </c>
      <c r="K2336" s="2" t="s">
        <v>7315</v>
      </c>
      <c r="L2336" s="11" t="s">
        <v>7316</v>
      </c>
      <c r="M2336" s="2" t="str">
        <f>IFERROR(__xludf.DUMMYFUNCTION("split(split(K2336,""米倉涼子、"",false),""公式LINE"",false)"),"富裕層に特化したブランド戦略を打ち出した蛭間(西田敏行)。ある日、貧相な身なりの二岡夫妻(山本圭、星由里子)が来院するが、内科医の黄川田(生瀬勝久)らは転院を勧め、国会議員・金本(西岡徳馬)が極秘入院すると、手厚く対応する身の変わり様。そんな時、二岡の容体が急変し、未知子(米倉涼子)は周囲の反対を押しのけオペを断行。しかし、二岡が日本で一番貧しい村長として価値があると知った東子(泉ピン子)は、未知子を利用し…")</f>
        <v>富裕層に特化したブランド戦略を打ち出した蛭間(西田敏行)。ある日、貧相な身なりの二岡夫妻(山本圭、星由里子)が来院するが、内科医の黄川田(生瀬勝久)らは転院を勧め、国会議員・金本(西岡徳馬)が極秘入院すると、手厚く対応する身の変わり様。そんな時、二岡の容体が急変し、未知子(米倉涼子)は周囲の反対を押しのけオペを断行。しかし、二岡が日本で一番貧しい村長として価値があると知った東子(泉ピン子)は、未知子を利用し…</v>
      </c>
      <c r="N2336" s="2"/>
      <c r="O2336" s="2"/>
      <c r="P2336" s="1"/>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c r="AQ2336" s="1"/>
      <c r="AR2336" s="1"/>
      <c r="AS2336" s="1"/>
      <c r="AT2336" s="1"/>
      <c r="AU2336" s="1"/>
      <c r="AV2336" s="1"/>
      <c r="AW2336" s="1"/>
      <c r="AX2336" s="1"/>
      <c r="AY2336" s="1"/>
      <c r="AZ2336" s="1"/>
      <c r="BA2336" s="1"/>
      <c r="BB2336" s="1"/>
    </row>
    <row r="2337" ht="204.75" customHeight="1">
      <c r="A2337" s="1">
        <v>1471.0</v>
      </c>
      <c r="B2337" s="2" t="s">
        <v>7312</v>
      </c>
      <c r="C2337" s="2">
        <f>IFERROR(__xludf.DUMMYFUNCTION("split(B2337,""_"")"),1610.0)</f>
        <v>1610</v>
      </c>
      <c r="D2337" s="2" t="str">
        <f>IFERROR(__xludf.DUMMYFUNCTION("""COMPUTED_VALUE"""),"EX")</f>
        <v>EX</v>
      </c>
      <c r="E2337" s="2" t="str">
        <f>IFERROR(__xludf.DUMMYFUNCTION("""COMPUTED_VALUE"""),"木21")</f>
        <v>木21</v>
      </c>
      <c r="F2337" s="2" t="s">
        <v>6489</v>
      </c>
      <c r="G2337" s="2" t="s">
        <v>7094</v>
      </c>
      <c r="H2337" s="1">
        <v>3.0</v>
      </c>
      <c r="I2337" s="1" t="s">
        <v>2876</v>
      </c>
      <c r="J2337" s="1" t="s">
        <v>11</v>
      </c>
      <c r="K2337" s="2" t="s">
        <v>7317</v>
      </c>
      <c r="L2337" s="11" t="s">
        <v>7318</v>
      </c>
      <c r="M2337" s="2" t="str">
        <f>IFERROR(__xludf.DUMMYFUNCTION("split(split(K2337,""米倉涼子、"",false),""公式LINE"",false)"),"落とし物を拾ってくれた未知子(米倉涼子)を訪ね、三佐江(松下由樹)と名乗る女性が東帝大病院にやってきた。お礼に最高ランクの人間ドックを予約すると言うが…。不審がる東子(泉ピン子)らの予想は的中!三佐江は外科部長・西園寺(吉田鋼太郎)の元愛人だった。しかも検査の結果、三佐江の体内に大きな腫瘍が見つかる。オペをしようする未知子だが、西園寺の医療ミスが関係していると知った蛭間(西田敏行)は中止を命令し…")</f>
        <v>落とし物を拾ってくれた未知子(米倉涼子)を訪ね、三佐江(松下由樹)と名乗る女性が東帝大病院にやってきた。お礼に最高ランクの人間ドックを予約すると言うが…。不審がる東子(泉ピン子)らの予想は的中!三佐江は外科部長・西園寺(吉田鋼太郎)の元愛人だった。しかも検査の結果、三佐江の体内に大きな腫瘍が見つかる。オペをしようする未知子だが、西園寺の医療ミスが関係していると知った蛭間(西田敏行)は中止を命令し…</v>
      </c>
      <c r="N2337" s="2"/>
      <c r="O2337" s="2"/>
      <c r="P2337" s="1"/>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c r="AN2337" s="1"/>
      <c r="AO2337" s="1"/>
      <c r="AP2337" s="1"/>
      <c r="AQ2337" s="1"/>
      <c r="AR2337" s="1"/>
      <c r="AS2337" s="1"/>
      <c r="AT2337" s="1"/>
      <c r="AU2337" s="1"/>
      <c r="AV2337" s="1"/>
      <c r="AW2337" s="1"/>
      <c r="AX2337" s="1"/>
      <c r="AY2337" s="1"/>
      <c r="AZ2337" s="1"/>
      <c r="BA2337" s="1"/>
      <c r="BB2337" s="1"/>
    </row>
    <row r="2338" ht="204.75" customHeight="1">
      <c r="A2338" s="1">
        <v>1472.0</v>
      </c>
      <c r="B2338" s="2" t="s">
        <v>7312</v>
      </c>
      <c r="C2338" s="2">
        <f>IFERROR(__xludf.DUMMYFUNCTION("split(B2338,""_"")"),1610.0)</f>
        <v>1610</v>
      </c>
      <c r="D2338" s="2" t="str">
        <f>IFERROR(__xludf.DUMMYFUNCTION("""COMPUTED_VALUE"""),"EX")</f>
        <v>EX</v>
      </c>
      <c r="E2338" s="2" t="str">
        <f>IFERROR(__xludf.DUMMYFUNCTION("""COMPUTED_VALUE"""),"木21")</f>
        <v>木21</v>
      </c>
      <c r="F2338" s="2" t="s">
        <v>6489</v>
      </c>
      <c r="G2338" s="2" t="s">
        <v>7097</v>
      </c>
      <c r="H2338" s="1">
        <v>4.0</v>
      </c>
      <c r="I2338" s="1" t="s">
        <v>2880</v>
      </c>
      <c r="J2338" s="1" t="s">
        <v>11</v>
      </c>
      <c r="K2338" s="2" t="s">
        <v>7319</v>
      </c>
      <c r="L2338" s="11" t="s">
        <v>7320</v>
      </c>
      <c r="M2338" s="2" t="str">
        <f>IFERROR(__xludf.DUMMYFUNCTION("split(split(K2338,""米倉涼子、"",false),""公式LINE"",false)"),"美人姉妹ユニット「四葉姉妹」が東帝大学病院に極秘入院してきた。病室を覗いた未知子(米倉涼子)は、美しい姉・美麗(高岡早紀)と、見る影もなく太ってしまった妹・美音(小林きな子)を目撃する。美音は肥満治療のために入院しており、副院長の東子(泉ピン子)は主治医を原(鈴木浩介)にお願いしていた。ある日、美音と鉢合わせた未知子は、彼女の体に異変を確認し、緊急オペをしようとするが…実は、美麗の体も病に侵されており…!?")</f>
        <v>美人姉妹ユニット「四葉姉妹」が東帝大学病院に極秘入院してきた。病室を覗いた未知子(米倉涼子)は、美しい姉・美麗(高岡早紀)と、見る影もなく太ってしまった妹・美音(小林きな子)を目撃する。美音は肥満治療のために入院しており、副院長の東子(泉ピン子)は主治医を原(鈴木浩介)にお願いしていた。ある日、美音と鉢合わせた未知子は、彼女の体に異変を確認し、緊急オペをしようとするが…実は、美麗の体も病に侵されており…!?</v>
      </c>
      <c r="N2338" s="2"/>
      <c r="O2338" s="2"/>
      <c r="P2338" s="1"/>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1"/>
      <c r="AQ2338" s="1"/>
      <c r="AR2338" s="1"/>
      <c r="AS2338" s="1"/>
      <c r="AT2338" s="1"/>
      <c r="AU2338" s="1"/>
      <c r="AV2338" s="1"/>
      <c r="AW2338" s="1"/>
      <c r="AX2338" s="1"/>
      <c r="AY2338" s="1"/>
      <c r="AZ2338" s="1"/>
      <c r="BA2338" s="1"/>
      <c r="BB2338" s="1"/>
    </row>
    <row r="2339" ht="204.75" customHeight="1">
      <c r="A2339" s="1">
        <v>1473.0</v>
      </c>
      <c r="B2339" s="2" t="s">
        <v>7312</v>
      </c>
      <c r="C2339" s="2">
        <f>IFERROR(__xludf.DUMMYFUNCTION("split(B2339,""_"")"),1610.0)</f>
        <v>1610</v>
      </c>
      <c r="D2339" s="2" t="str">
        <f>IFERROR(__xludf.DUMMYFUNCTION("""COMPUTED_VALUE"""),"EX")</f>
        <v>EX</v>
      </c>
      <c r="E2339" s="2" t="str">
        <f>IFERROR(__xludf.DUMMYFUNCTION("""COMPUTED_VALUE"""),"木21")</f>
        <v>木21</v>
      </c>
      <c r="F2339" s="2" t="s">
        <v>6489</v>
      </c>
      <c r="G2339" s="2" t="s">
        <v>7100</v>
      </c>
      <c r="H2339" s="1">
        <v>5.0</v>
      </c>
      <c r="I2339" s="1" t="s">
        <v>2884</v>
      </c>
      <c r="J2339" s="1" t="s">
        <v>11</v>
      </c>
      <c r="K2339" s="2" t="s">
        <v>7321</v>
      </c>
      <c r="L2339" s="11" t="s">
        <v>7322</v>
      </c>
      <c r="M2339" s="2" t="str">
        <f>IFERROR(__xludf.DUMMYFUNCTION("split(split(K2339,""米倉涼子、"",false),""公式LINE"",false)"),"格下の大学病院の研究論文が世界に評価され始めたことで、東帝大の病院長・蛭間(西田敏行)が論文を書くことを強要。そのため医師たちは、休む間もなく手術をすることに。未知子(米倉涼子)は大喜びするが、みんな疲弊していき…。そんな中、内科部長・黄川田(生瀬勝久)の部下が斬新な論文を提案。症例にあった患者を見つけて手術をするが、これが東帝大ブランドを奈落の底に落とすことに。そんな中、海老名(遠藤憲一)がやってきて…")</f>
        <v>格下の大学病院の研究論文が世界に評価され始めたことで、東帝大の病院長・蛭間(西田敏行)が論文を書くことを強要。そのため医師たちは、休む間もなく手術をすることに。未知子(米倉涼子)は大喜びするが、みんな疲弊していき…。そんな中、内科部長・黄川田(生瀬勝久)の部下が斬新な論文を提案。症例にあった患者を見つけて手術をするが、これが東帝大ブランドを奈落の底に落とすことに。そんな中、海老名(遠藤憲一)がやってきて…</v>
      </c>
      <c r="N2339" s="2"/>
      <c r="O2339" s="2"/>
      <c r="P2339" s="1"/>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1"/>
      <c r="AY2339" s="1"/>
      <c r="AZ2339" s="1"/>
      <c r="BA2339" s="1"/>
      <c r="BB2339" s="1"/>
    </row>
    <row r="2340" ht="204.75" customHeight="1">
      <c r="A2340" s="1">
        <v>1474.0</v>
      </c>
      <c r="B2340" s="2" t="s">
        <v>7312</v>
      </c>
      <c r="C2340" s="2">
        <f>IFERROR(__xludf.DUMMYFUNCTION("split(B2340,""_"")"),1610.0)</f>
        <v>1610</v>
      </c>
      <c r="D2340" s="2" t="str">
        <f>IFERROR(__xludf.DUMMYFUNCTION("""COMPUTED_VALUE"""),"EX")</f>
        <v>EX</v>
      </c>
      <c r="E2340" s="2" t="str">
        <f>IFERROR(__xludf.DUMMYFUNCTION("""COMPUTED_VALUE"""),"木21")</f>
        <v>木21</v>
      </c>
      <c r="F2340" s="2" t="s">
        <v>6489</v>
      </c>
      <c r="G2340" s="2" t="s">
        <v>7103</v>
      </c>
      <c r="H2340" s="1">
        <v>6.0</v>
      </c>
      <c r="I2340" s="1" t="s">
        <v>2888</v>
      </c>
      <c r="J2340" s="1" t="s">
        <v>11</v>
      </c>
      <c r="K2340" s="2" t="s">
        <v>7323</v>
      </c>
      <c r="L2340" s="11" t="s">
        <v>7324</v>
      </c>
      <c r="M2340" s="2" t="str">
        <f>IFERROR(__xludf.DUMMYFUNCTION("split(split(K2340,""米倉涼子、"",false),""公式LINE"",false)"),"蛭間院長(西田敏行)の論文盗用疑惑を機に、東子(泉ピン子)は蛭間の部下たちを統率。失脚会見の日、駆けつけたのは蛭間の腹心・海老名(遠藤憲一)とアメリカからきた有名教授の部下・シュリンプ教授(坂元健児)。論文は2人の共同執筆であり、世界初の術式を開発したと発表!!未知子(米倉涼子)は、メスも人工心肺も使わない手術に強い関心を示す。そんなとき、シュリンプが突然倒れるも、未知子以外誰もオペをしようとせず…")</f>
        <v>蛭間院長(西田敏行)の論文盗用疑惑を機に、東子(泉ピン子)は蛭間の部下たちを統率。失脚会見の日、駆けつけたのは蛭間の腹心・海老名(遠藤憲一)とアメリカからきた有名教授の部下・シュリンプ教授(坂元健児)。論文は2人の共同執筆であり、世界初の術式を開発したと発表!!未知子(米倉涼子)は、メスも人工心肺も使わない手術に強い関心を示す。そんなとき、シュリンプが突然倒れるも、未知子以外誰もオペをしようとせず…</v>
      </c>
      <c r="N2340" s="2"/>
      <c r="O2340" s="2"/>
      <c r="P2340" s="1"/>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c r="AQ2340" s="1"/>
      <c r="AR2340" s="1"/>
      <c r="AS2340" s="1"/>
      <c r="AT2340" s="1"/>
      <c r="AU2340" s="1"/>
      <c r="AV2340" s="1"/>
      <c r="AW2340" s="1"/>
      <c r="AX2340" s="1"/>
      <c r="AY2340" s="1"/>
      <c r="AZ2340" s="1"/>
      <c r="BA2340" s="1"/>
      <c r="BB2340" s="1"/>
    </row>
    <row r="2341" ht="204.75" customHeight="1">
      <c r="A2341" s="1">
        <v>1475.0</v>
      </c>
      <c r="B2341" s="2" t="s">
        <v>7312</v>
      </c>
      <c r="C2341" s="2">
        <f>IFERROR(__xludf.DUMMYFUNCTION("split(B2341,""_"")"),1610.0)</f>
        <v>1610</v>
      </c>
      <c r="D2341" s="2" t="str">
        <f>IFERROR(__xludf.DUMMYFUNCTION("""COMPUTED_VALUE"""),"EX")</f>
        <v>EX</v>
      </c>
      <c r="E2341" s="2" t="str">
        <f>IFERROR(__xludf.DUMMYFUNCTION("""COMPUTED_VALUE"""),"木21")</f>
        <v>木21</v>
      </c>
      <c r="F2341" s="2" t="s">
        <v>6489</v>
      </c>
      <c r="G2341" s="2" t="s">
        <v>7106</v>
      </c>
      <c r="H2341" s="1">
        <v>7.0</v>
      </c>
      <c r="I2341" s="1" t="s">
        <v>2892</v>
      </c>
      <c r="J2341" s="1" t="s">
        <v>11</v>
      </c>
      <c r="K2341" s="2" t="s">
        <v>7325</v>
      </c>
      <c r="L2341" s="11" t="s">
        <v>7326</v>
      </c>
      <c r="M2341" s="2" t="str">
        <f>IFERROR(__xludf.DUMMYFUNCTION("split(split(K2341,""米倉涼子、"",false),""公式LINE"",false)"),"耳が聞こえないピアニスト・七尾(武田真治)のリサイタルを、晶(岸部一徳)と聴きに行った未知子(米倉涼子)は、「七尾の耳を治してほしい」とアシスタントの由香(知英)から懇願される。しかし、蛭間(西田敏行)は「バイトに世界的ピアニストの手術はさせない」と、世界の北野(滝藤賢一)にオペをさせる。だが、七尾はまさかの手術拒否!!一方、未知子は由香が道路をふらふらと歩く姿を見かけ、彼女の体の異変に気付き…")</f>
        <v>耳が聞こえないピアニスト・七尾(武田真治)のリサイタルを、晶(岸部一徳)と聴きに行った未知子(米倉涼子)は、「七尾の耳を治してほしい」とアシスタントの由香(知英)から懇願される。しかし、蛭間(西田敏行)は「バイトに世界的ピアニストの手術はさせない」と、世界の北野(滝藤賢一)にオペをさせる。だが、七尾はまさかの手術拒否!!一方、未知子は由香が道路をふらふらと歩く姿を見かけ、彼女の体の異変に気付き…</v>
      </c>
      <c r="N2341" s="2"/>
      <c r="O2341" s="2"/>
      <c r="P2341" s="1"/>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c r="AN2341" s="1"/>
      <c r="AO2341" s="1"/>
      <c r="AP2341" s="1"/>
      <c r="AQ2341" s="1"/>
      <c r="AR2341" s="1"/>
      <c r="AS2341" s="1"/>
      <c r="AT2341" s="1"/>
      <c r="AU2341" s="1"/>
      <c r="AV2341" s="1"/>
      <c r="AW2341" s="1"/>
      <c r="AX2341" s="1"/>
      <c r="AY2341" s="1"/>
      <c r="AZ2341" s="1"/>
      <c r="BA2341" s="1"/>
      <c r="BB2341" s="1"/>
    </row>
    <row r="2342" ht="204.75" customHeight="1">
      <c r="A2342" s="1">
        <v>1476.0</v>
      </c>
      <c r="B2342" s="2" t="s">
        <v>7312</v>
      </c>
      <c r="C2342" s="2">
        <f>IFERROR(__xludf.DUMMYFUNCTION("split(B2342,""_"")"),1610.0)</f>
        <v>1610</v>
      </c>
      <c r="D2342" s="2" t="str">
        <f>IFERROR(__xludf.DUMMYFUNCTION("""COMPUTED_VALUE"""),"EX")</f>
        <v>EX</v>
      </c>
      <c r="E2342" s="2" t="str">
        <f>IFERROR(__xludf.DUMMYFUNCTION("""COMPUTED_VALUE"""),"木21")</f>
        <v>木21</v>
      </c>
      <c r="F2342" s="2" t="s">
        <v>6489</v>
      </c>
      <c r="G2342" s="2" t="s">
        <v>7109</v>
      </c>
      <c r="H2342" s="1">
        <v>8.0</v>
      </c>
      <c r="I2342" s="1" t="s">
        <v>2896</v>
      </c>
      <c r="J2342" s="1" t="s">
        <v>11</v>
      </c>
      <c r="K2342" s="2" t="s">
        <v>7327</v>
      </c>
      <c r="L2342" s="11" t="s">
        <v>7328</v>
      </c>
      <c r="M2342" s="2" t="str">
        <f>IFERROR(__xludf.DUMMYFUNCTION("split(split(K2342,""米倉涼子、"",false),""公式LINE"",false)"),"独身大物アーティスト八乙女悠太(小西遼生)が人気絶頂の中、姿を消した。極秘結婚を噂されていたが、実は肝臓がんを患っており、東子(泉ピン子)の手引きで東帝大に極秘入院。トップシークレットとして、院内には超厳戒態勢が敷かれていた。オペはプロジェクションマッピングを使った最新機器で北野(滝藤賢一)が担当することになり、未知子(米倉涼子)は興味津々。その矢先、八乙女の入院情報が流出!さらに、史上最悪のトラブルが!!")</f>
        <v>独身大物アーティスト八乙女悠太(小西遼生)が人気絶頂の中、姿を消した。極秘結婚を噂されていたが、実は肝臓がんを患っており、東子(泉ピン子)の手引きで東帝大に極秘入院。トップシークレットとして、院内には超厳戒態勢が敷かれていた。オペはプロジェクションマッピングを使った最新機器で北野(滝藤賢一)が担当することになり、未知子(米倉涼子)は興味津々。その矢先、八乙女の入院情報が流出!さらに、史上最悪のトラブルが!!</v>
      </c>
      <c r="N2342" s="2"/>
      <c r="O2342" s="2"/>
      <c r="P2342" s="1"/>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1"/>
      <c r="AY2342" s="1"/>
      <c r="AZ2342" s="1"/>
      <c r="BA2342" s="1"/>
      <c r="BB2342" s="1"/>
    </row>
    <row r="2343" ht="204.75" customHeight="1">
      <c r="A2343" s="1">
        <v>1477.0</v>
      </c>
      <c r="B2343" s="2" t="s">
        <v>7312</v>
      </c>
      <c r="C2343" s="2">
        <f>IFERROR(__xludf.DUMMYFUNCTION("split(B2343,""_"")"),1610.0)</f>
        <v>1610</v>
      </c>
      <c r="D2343" s="2" t="str">
        <f>IFERROR(__xludf.DUMMYFUNCTION("""COMPUTED_VALUE"""),"EX")</f>
        <v>EX</v>
      </c>
      <c r="E2343" s="2" t="str">
        <f>IFERROR(__xludf.DUMMYFUNCTION("""COMPUTED_VALUE"""),"木21")</f>
        <v>木21</v>
      </c>
      <c r="F2343" s="2" t="s">
        <v>6489</v>
      </c>
      <c r="G2343" s="2" t="s">
        <v>7112</v>
      </c>
      <c r="H2343" s="1">
        <v>9.0</v>
      </c>
      <c r="I2343" s="1" t="s">
        <v>2900</v>
      </c>
      <c r="J2343" s="1" t="s">
        <v>11</v>
      </c>
      <c r="K2343" s="2" t="s">
        <v>7329</v>
      </c>
      <c r="L2343" s="11" t="s">
        <v>7330</v>
      </c>
      <c r="M2343" s="2" t="str">
        <f>IFERROR(__xludf.DUMMYFUNCTION("split(split(K2343,""米倉涼子、"",false),""公式LINE"",false)"),"東帝大のライバル慶林大が、病院ランキングで1位を獲得。蛭間院長(西田敏行)は“打倒慶林!!""を合言葉に、医師たちに発破をかける。一方、蛭間の妻・華子(藤真利子)、慶林大院長の妻・律子(高橋ひとみ)ら婦人会の関係も悪化。慶林大に営業をかけたい晶(岸部一徳)と親睦会に顔を出した未知子(米倉涼子)。そこで慶林大の映美(中山忍)が突然倒れ、未知子は東帝大で治そうとするが、ライバルの身内を受け入れることに華子は大反対し…")</f>
        <v>東帝大のライバル慶林大が、病院ランキングで1位を獲得。蛭間院長(西田敏行)は“打倒慶林!!"を合言葉に、医師たちに発破をかける。一方、蛭間の妻・華子(藤真利子)、慶林大院長の妻・律子(高橋ひとみ)ら婦人会の関係も悪化。慶林大に営業をかけたい晶(岸部一徳)と親睦会に顔を出した未知子(米倉涼子)。そこで慶林大の映美(中山忍)が突然倒れ、未知子は東帝大で治そうとするが、ライバルの身内を受け入れることに華子は大反対し…</v>
      </c>
      <c r="N2343" s="2"/>
      <c r="O2343" s="2"/>
      <c r="P2343" s="1"/>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c r="AN2343" s="1"/>
      <c r="AO2343" s="1"/>
      <c r="AP2343" s="1"/>
      <c r="AQ2343" s="1"/>
      <c r="AR2343" s="1"/>
      <c r="AS2343" s="1"/>
      <c r="AT2343" s="1"/>
      <c r="AU2343" s="1"/>
      <c r="AV2343" s="1"/>
      <c r="AW2343" s="1"/>
      <c r="AX2343" s="1"/>
      <c r="AY2343" s="1"/>
      <c r="AZ2343" s="1"/>
      <c r="BA2343" s="1"/>
      <c r="BB2343" s="1"/>
    </row>
    <row r="2344" ht="204.75" customHeight="1">
      <c r="A2344" s="1">
        <v>1478.0</v>
      </c>
      <c r="B2344" s="2" t="s">
        <v>7312</v>
      </c>
      <c r="C2344" s="2">
        <f>IFERROR(__xludf.DUMMYFUNCTION("split(B2344,""_"")"),1610.0)</f>
        <v>1610</v>
      </c>
      <c r="D2344" s="2" t="str">
        <f>IFERROR(__xludf.DUMMYFUNCTION("""COMPUTED_VALUE"""),"EX")</f>
        <v>EX</v>
      </c>
      <c r="E2344" s="2" t="str">
        <f>IFERROR(__xludf.DUMMYFUNCTION("""COMPUTED_VALUE"""),"木21")</f>
        <v>木21</v>
      </c>
      <c r="F2344" s="2" t="s">
        <v>6489</v>
      </c>
      <c r="G2344" s="2" t="s">
        <v>7115</v>
      </c>
      <c r="H2344" s="1">
        <v>10.0</v>
      </c>
      <c r="I2344" s="1" t="s">
        <v>37</v>
      </c>
      <c r="J2344" s="1" t="s">
        <v>11</v>
      </c>
      <c r="K2344" s="2" t="s">
        <v>7331</v>
      </c>
      <c r="L2344" s="11" t="s">
        <v>7332</v>
      </c>
      <c r="M2344" s="2" t="str">
        <f>IFERROR(__xludf.DUMMYFUNCTION("split(split(K2344,""米倉涼子、"",false),""公式LINE"",false)"),"東帝大に中国の大財閥・王超(矢野浩二)の妻・十希子(黒木メイサ)が出産のために入院する。検査の結果、十希子は心臓疾患を発症しており、このまま妊娠を継続すれば、自分の命が危険にさらされることが判明。未知子(米倉涼子)は執刀すると名乗り出るが、十希子は子供の命だけ助けてくれと毅然な態度をとる。シングルマザーの博美(内田有紀)は十希子の思いに理解を示すが、納得いかない未知子は母体も胎児も両方救う方法を模索して…")</f>
        <v>東帝大に中国の大財閥・王超(矢野浩二)の妻・十希子(黒木メイサ)が出産のために入院する。検査の結果、十希子は心臓疾患を発症しており、このまま妊娠を継続すれば、自分の命が危険にさらされることが判明。未知子(米倉涼子)は執刀すると名乗り出るが、十希子は子供の命だけ助けてくれと毅然な態度をとる。シングルマザーの博美(内田有紀)は十希子の思いに理解を示すが、納得いかない未知子は母体も胎児も両方救う方法を模索して…</v>
      </c>
      <c r="N2344" s="2"/>
      <c r="O2344" s="2"/>
      <c r="P2344" s="1"/>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c r="AR2344" s="1"/>
      <c r="AS2344" s="1"/>
      <c r="AT2344" s="1"/>
      <c r="AU2344" s="1"/>
      <c r="AV2344" s="1"/>
      <c r="AW2344" s="1"/>
      <c r="AX2344" s="1"/>
      <c r="AY2344" s="1"/>
      <c r="AZ2344" s="1"/>
      <c r="BA2344" s="1"/>
      <c r="BB2344" s="1"/>
    </row>
    <row r="2345" ht="204.75" customHeight="1">
      <c r="A2345" s="1">
        <v>1479.0</v>
      </c>
      <c r="B2345" s="2" t="s">
        <v>7312</v>
      </c>
      <c r="C2345" s="2">
        <f>IFERROR(__xludf.DUMMYFUNCTION("split(B2345,""_"")"),1610.0)</f>
        <v>1610</v>
      </c>
      <c r="D2345" s="2" t="str">
        <f>IFERROR(__xludf.DUMMYFUNCTION("""COMPUTED_VALUE"""),"EX")</f>
        <v>EX</v>
      </c>
      <c r="E2345" s="2" t="str">
        <f>IFERROR(__xludf.DUMMYFUNCTION("""COMPUTED_VALUE"""),"木21")</f>
        <v>木21</v>
      </c>
      <c r="F2345" s="2" t="s">
        <v>6489</v>
      </c>
      <c r="G2345" s="2" t="s">
        <v>7333</v>
      </c>
      <c r="H2345" s="1">
        <v>11.0</v>
      </c>
      <c r="I2345" s="1" t="s">
        <v>41</v>
      </c>
      <c r="J2345" s="1" t="s">
        <v>4</v>
      </c>
      <c r="K2345" s="2" t="s">
        <v>7334</v>
      </c>
      <c r="L2345" s="11" t="s">
        <v>7335</v>
      </c>
      <c r="M2345" s="2" t="str">
        <f>IFERROR(__xludf.DUMMYFUNCTION("split(split(K2345,""米倉涼子、"",false),""公式LINE"",false)"),"ついに、麻酔科医の博美(内田有紀)が、がんで倒れてしまった。未知子(米倉涼子)は、博美の執刀医になることを名乗り出るが、未知子の腕を持ってしても、がんは完全切除が不可能な状況だった…。博美は自分の命よりも、娘の舞へお金を遺すことに協力して欲しい…と未知子に懇願する。そんな時、北野(滝藤賢一)が担当する手術に未知子が第3助手として参加し、とんでもない行動に出る!?果たして、未知子は博美を救えるのか…")</f>
        <v>ついに、麻酔科医の博美(内田有紀)が、がんで倒れてしまった。未知子(米倉涼子)は、博美の執刀医になることを名乗り出るが、未知子の腕を持ってしても、がんは完全切除が不可能な状況だった…。博美は自分の命よりも、娘の舞へお金を遺すことに協力して欲しい…と未知子に懇願する。そんな時、北野(滝藤賢一)が担当する手術に未知子が第3助手として参加し、とんでもない行動に出る!?果たして、未知子は博美を救えるのか…</v>
      </c>
      <c r="N2345" s="2"/>
      <c r="O2345" s="2"/>
      <c r="P2345" s="1"/>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1"/>
      <c r="AY2345" s="1"/>
      <c r="AZ2345" s="1"/>
      <c r="BA2345" s="1"/>
      <c r="BB2345" s="1"/>
    </row>
    <row r="2346" ht="204.75" customHeight="1">
      <c r="A2346" s="1">
        <v>1508.0</v>
      </c>
      <c r="B2346" s="2" t="s">
        <v>7336</v>
      </c>
      <c r="C2346" s="2">
        <f>IFERROR(__xludf.DUMMYFUNCTION("split(B2346,""_"")"),1610.0)</f>
        <v>1610</v>
      </c>
      <c r="D2346" s="2" t="str">
        <f>IFERROR(__xludf.DUMMYFUNCTION("""COMPUTED_VALUE"""),"EX")</f>
        <v>EX</v>
      </c>
      <c r="E2346" s="2" t="str">
        <f>IFERROR(__xludf.DUMMYFUNCTION("""COMPUTED_VALUE"""),"金23")</f>
        <v>金23</v>
      </c>
      <c r="F2346" s="2" t="s">
        <v>6679</v>
      </c>
      <c r="G2346" s="2" t="s">
        <v>7337</v>
      </c>
      <c r="H2346" s="1">
        <v>1.0</v>
      </c>
      <c r="I2346" s="1" t="s">
        <v>2868</v>
      </c>
      <c r="J2346" s="1" t="s">
        <v>1435</v>
      </c>
      <c r="K2346" s="4" t="s">
        <v>7338</v>
      </c>
      <c r="L2346" s="11" t="s">
        <v>7339</v>
      </c>
      <c r="M2346" s="2" t="str">
        <f>IFERROR(__xludf.DUMMYFUNCTION("split(split(K2346,""松岡昌宏、"",false),""公式LINE"",false)"),"家事スキルはプロ級、神出鬼没で不気味な“女装""家政夫・三田園薫(松岡昌宏)。派遣先の家庭の事情を覗き見するのが好き、という変わった趣味を持つ三田園は、相棒の花田えみり(清水富美加)と共に、ある日、現職都知事一家のもとへ派遣される。絵に描いたような幸せな家庭…と思いきや、その内情は闇が深いようで…?さらに、都知事のもとへ「選挙への出馬を取りやめろ」という脅迫状が届き…!?")</f>
        <v>家事スキルはプロ級、神出鬼没で不気味な“女装"家政夫・三田園薫(松岡昌宏)。派遣先の家庭の事情を覗き見するのが好き、という変わった趣味を持つ三田園は、相棒の花田えみり(清水富美加)と共に、ある日、現職都知事一家のもとへ派遣される。絵に描いたような幸せな家庭…と思いきや、その内情は闇が深いようで…?さらに、都知事のもとへ「選挙への出馬を取りやめろ」という脅迫状が届き…!?</v>
      </c>
      <c r="N2346" s="2"/>
      <c r="O2346" s="2"/>
      <c r="P2346" s="1"/>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1"/>
      <c r="AY2346" s="1"/>
      <c r="AZ2346" s="1"/>
      <c r="BA2346" s="1"/>
      <c r="BB2346" s="1"/>
    </row>
    <row r="2347" ht="204.75" customHeight="1">
      <c r="A2347" s="1">
        <v>1509.0</v>
      </c>
      <c r="B2347" s="2" t="s">
        <v>7336</v>
      </c>
      <c r="C2347" s="2">
        <f>IFERROR(__xludf.DUMMYFUNCTION("split(B2347,""_"")"),1610.0)</f>
        <v>1610</v>
      </c>
      <c r="D2347" s="2" t="str">
        <f>IFERROR(__xludf.DUMMYFUNCTION("""COMPUTED_VALUE"""),"EX")</f>
        <v>EX</v>
      </c>
      <c r="E2347" s="2" t="str">
        <f>IFERROR(__xludf.DUMMYFUNCTION("""COMPUTED_VALUE"""),"金23")</f>
        <v>金23</v>
      </c>
      <c r="F2347" s="2" t="s">
        <v>6679</v>
      </c>
      <c r="G2347" s="2" t="s">
        <v>7340</v>
      </c>
      <c r="H2347" s="1">
        <v>2.0</v>
      </c>
      <c r="I2347" s="1" t="s">
        <v>2872</v>
      </c>
      <c r="J2347" s="1" t="s">
        <v>1435</v>
      </c>
      <c r="K2347" s="2" t="s">
        <v>7341</v>
      </c>
      <c r="L2347" s="11" t="s">
        <v>7342</v>
      </c>
      <c r="M2347" s="2" t="str">
        <f>IFERROR(__xludf.DUMMYFUNCTION("split(split(K2347,""松岡昌宏、"",false),""公式LINE"",false)"),"松岡昌宏が“女装""家政夫に!史上最恐のダークヒーロー誕生!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f>
        <v>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v>
      </c>
      <c r="N2347" s="2"/>
      <c r="O2347" s="2"/>
      <c r="P2347" s="1"/>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c r="AN2347" s="1"/>
      <c r="AO2347" s="1"/>
      <c r="AP2347" s="1"/>
      <c r="AQ2347" s="1"/>
      <c r="AR2347" s="1"/>
      <c r="AS2347" s="1"/>
      <c r="AT2347" s="1"/>
      <c r="AU2347" s="1"/>
      <c r="AV2347" s="1"/>
      <c r="AW2347" s="1"/>
      <c r="AX2347" s="1"/>
      <c r="AY2347" s="1"/>
      <c r="AZ2347" s="1"/>
      <c r="BA2347" s="1"/>
      <c r="BB2347" s="1"/>
    </row>
    <row r="2348" ht="204.75" customHeight="1">
      <c r="A2348" s="1">
        <v>1510.0</v>
      </c>
      <c r="B2348" s="2" t="s">
        <v>7336</v>
      </c>
      <c r="C2348" s="2">
        <f>IFERROR(__xludf.DUMMYFUNCTION("split(B2348,""_"")"),1610.0)</f>
        <v>1610</v>
      </c>
      <c r="D2348" s="2" t="str">
        <f>IFERROR(__xludf.DUMMYFUNCTION("""COMPUTED_VALUE"""),"EX")</f>
        <v>EX</v>
      </c>
      <c r="E2348" s="2" t="str">
        <f>IFERROR(__xludf.DUMMYFUNCTION("""COMPUTED_VALUE"""),"金23")</f>
        <v>金23</v>
      </c>
      <c r="F2348" s="2" t="s">
        <v>6679</v>
      </c>
      <c r="G2348" s="2" t="s">
        <v>7343</v>
      </c>
      <c r="H2348" s="1">
        <v>3.0</v>
      </c>
      <c r="I2348" s="1" t="s">
        <v>2876</v>
      </c>
      <c r="J2348" s="1" t="s">
        <v>1435</v>
      </c>
      <c r="K2348" s="2" t="s">
        <v>7344</v>
      </c>
      <c r="L2348" s="11" t="s">
        <v>7342</v>
      </c>
      <c r="M2348" s="2" t="str">
        <f>IFERROR(__xludf.DUMMYFUNCTION("split(split(K2348,""松岡昌宏、"",false),""公式LINE"",false)"),"松岡昌宏が“女装""家政夫に!史上最恐のダークヒーロー誕生!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f>
        <v>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v>
      </c>
      <c r="N2348" s="2"/>
      <c r="O2348" s="2"/>
      <c r="P2348" s="1"/>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c r="AR2348" s="1"/>
      <c r="AS2348" s="1"/>
      <c r="AT2348" s="1"/>
      <c r="AU2348" s="1"/>
      <c r="AV2348" s="1"/>
      <c r="AW2348" s="1"/>
      <c r="AX2348" s="1"/>
      <c r="AY2348" s="1"/>
      <c r="AZ2348" s="1"/>
      <c r="BA2348" s="1"/>
      <c r="BB2348" s="1"/>
    </row>
    <row r="2349" ht="204.75" customHeight="1">
      <c r="A2349" s="1">
        <v>1511.0</v>
      </c>
      <c r="B2349" s="2" t="s">
        <v>7336</v>
      </c>
      <c r="C2349" s="2">
        <f>IFERROR(__xludf.DUMMYFUNCTION("split(B2349,""_"")"),1610.0)</f>
        <v>1610</v>
      </c>
      <c r="D2349" s="2" t="str">
        <f>IFERROR(__xludf.DUMMYFUNCTION("""COMPUTED_VALUE"""),"EX")</f>
        <v>EX</v>
      </c>
      <c r="E2349" s="2" t="str">
        <f>IFERROR(__xludf.DUMMYFUNCTION("""COMPUTED_VALUE"""),"金23")</f>
        <v>金23</v>
      </c>
      <c r="F2349" s="2" t="s">
        <v>6679</v>
      </c>
      <c r="G2349" s="2" t="s">
        <v>7345</v>
      </c>
      <c r="H2349" s="1">
        <v>4.0</v>
      </c>
      <c r="I2349" s="1" t="s">
        <v>2880</v>
      </c>
      <c r="J2349" s="1" t="s">
        <v>1435</v>
      </c>
      <c r="K2349" s="2" t="s">
        <v>7346</v>
      </c>
      <c r="L2349" s="11" t="s">
        <v>7342</v>
      </c>
      <c r="M2349" s="2" t="str">
        <f>IFERROR(__xludf.DUMMYFUNCTION("split(split(K2349,""松岡昌宏、"",false),""公式LINE"",false)"),"松岡昌宏が“女装""家政夫に!史上最恐のダークヒーロー誕生!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f>
        <v>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v>
      </c>
      <c r="N2349" s="2"/>
      <c r="O2349" s="2"/>
      <c r="P2349" s="1"/>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1"/>
      <c r="AY2349" s="1"/>
      <c r="AZ2349" s="1"/>
      <c r="BA2349" s="1"/>
      <c r="BB2349" s="1"/>
    </row>
    <row r="2350" ht="204.75" customHeight="1">
      <c r="A2350" s="1">
        <v>1512.0</v>
      </c>
      <c r="B2350" s="2" t="s">
        <v>7336</v>
      </c>
      <c r="C2350" s="2">
        <f>IFERROR(__xludf.DUMMYFUNCTION("split(B2350,""_"")"),1610.0)</f>
        <v>1610</v>
      </c>
      <c r="D2350" s="2" t="str">
        <f>IFERROR(__xludf.DUMMYFUNCTION("""COMPUTED_VALUE"""),"EX")</f>
        <v>EX</v>
      </c>
      <c r="E2350" s="2" t="str">
        <f>IFERROR(__xludf.DUMMYFUNCTION("""COMPUTED_VALUE"""),"金23")</f>
        <v>金23</v>
      </c>
      <c r="F2350" s="2" t="s">
        <v>6679</v>
      </c>
      <c r="G2350" s="2" t="s">
        <v>7347</v>
      </c>
      <c r="H2350" s="1">
        <v>5.0</v>
      </c>
      <c r="I2350" s="1" t="s">
        <v>2884</v>
      </c>
      <c r="J2350" s="1" t="s">
        <v>1435</v>
      </c>
      <c r="K2350" s="2" t="s">
        <v>7348</v>
      </c>
      <c r="L2350" s="11" t="s">
        <v>7342</v>
      </c>
      <c r="M2350" s="2" t="str">
        <f>IFERROR(__xludf.DUMMYFUNCTION("split(split(K2350,""松岡昌宏、"",false),""公式LINE"",false)"),"松岡昌宏が“女装""家政夫に!史上最恐のダークヒーロー誕生!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f>
        <v>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v>
      </c>
      <c r="N2350" s="2"/>
      <c r="O2350" s="2"/>
      <c r="P2350" s="1"/>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c r="AQ2350" s="1"/>
      <c r="AR2350" s="1"/>
      <c r="AS2350" s="1"/>
      <c r="AT2350" s="1"/>
      <c r="AU2350" s="1"/>
      <c r="AV2350" s="1"/>
      <c r="AW2350" s="1"/>
      <c r="AX2350" s="1"/>
      <c r="AY2350" s="1"/>
      <c r="AZ2350" s="1"/>
      <c r="BA2350" s="1"/>
      <c r="BB2350" s="1"/>
    </row>
    <row r="2351" ht="204.75" customHeight="1">
      <c r="A2351" s="1">
        <v>1513.0</v>
      </c>
      <c r="B2351" s="2" t="s">
        <v>7336</v>
      </c>
      <c r="C2351" s="2">
        <f>IFERROR(__xludf.DUMMYFUNCTION("split(B2351,""_"")"),1610.0)</f>
        <v>1610</v>
      </c>
      <c r="D2351" s="2" t="str">
        <f>IFERROR(__xludf.DUMMYFUNCTION("""COMPUTED_VALUE"""),"EX")</f>
        <v>EX</v>
      </c>
      <c r="E2351" s="2" t="str">
        <f>IFERROR(__xludf.DUMMYFUNCTION("""COMPUTED_VALUE"""),"金23")</f>
        <v>金23</v>
      </c>
      <c r="F2351" s="2" t="s">
        <v>6679</v>
      </c>
      <c r="G2351" s="2" t="s">
        <v>7349</v>
      </c>
      <c r="H2351" s="1">
        <v>6.0</v>
      </c>
      <c r="I2351" s="1" t="s">
        <v>2888</v>
      </c>
      <c r="J2351" s="1" t="s">
        <v>1435</v>
      </c>
      <c r="K2351" s="2" t="s">
        <v>7341</v>
      </c>
      <c r="L2351" s="11" t="s">
        <v>7342</v>
      </c>
      <c r="M2351" s="2" t="str">
        <f>IFERROR(__xludf.DUMMYFUNCTION("split(split(K2351,""松岡昌宏、"",false),""公式LINE"",false)"),"松岡昌宏が“女装""家政夫に!史上最恐のダークヒーロー誕生!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f>
        <v>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v>
      </c>
      <c r="N2351" s="2"/>
      <c r="O2351" s="2"/>
      <c r="P2351" s="1"/>
      <c r="Q2351" s="1"/>
      <c r="R2351" s="1"/>
      <c r="S2351" s="1"/>
      <c r="T2351" s="1"/>
      <c r="U2351" s="1"/>
      <c r="V2351" s="1"/>
      <c r="W2351" s="1"/>
      <c r="X2351" s="1"/>
      <c r="Y2351" s="1"/>
      <c r="Z2351" s="1"/>
      <c r="AA2351" s="1"/>
      <c r="AB2351" s="1"/>
      <c r="AC2351" s="1"/>
      <c r="AD2351" s="1"/>
      <c r="AE2351" s="1"/>
      <c r="AF2351" s="1"/>
      <c r="AG2351" s="1"/>
      <c r="AH2351" s="1"/>
      <c r="AI2351" s="1"/>
      <c r="AJ2351" s="1"/>
      <c r="AK2351" s="1"/>
      <c r="AL2351" s="1"/>
      <c r="AM2351" s="1"/>
      <c r="AN2351" s="1"/>
      <c r="AO2351" s="1"/>
      <c r="AP2351" s="1"/>
      <c r="AQ2351" s="1"/>
      <c r="AR2351" s="1"/>
      <c r="AS2351" s="1"/>
      <c r="AT2351" s="1"/>
      <c r="AU2351" s="1"/>
      <c r="AV2351" s="1"/>
      <c r="AW2351" s="1"/>
      <c r="AX2351" s="1"/>
      <c r="AY2351" s="1"/>
      <c r="AZ2351" s="1"/>
      <c r="BA2351" s="1"/>
      <c r="BB2351" s="1"/>
    </row>
    <row r="2352" ht="204.75" customHeight="1">
      <c r="A2352" s="1">
        <v>1514.0</v>
      </c>
      <c r="B2352" s="2" t="s">
        <v>7336</v>
      </c>
      <c r="C2352" s="2">
        <f>IFERROR(__xludf.DUMMYFUNCTION("split(B2352,""_"")"),1610.0)</f>
        <v>1610</v>
      </c>
      <c r="D2352" s="2" t="str">
        <f>IFERROR(__xludf.DUMMYFUNCTION("""COMPUTED_VALUE"""),"EX")</f>
        <v>EX</v>
      </c>
      <c r="E2352" s="2" t="str">
        <f>IFERROR(__xludf.DUMMYFUNCTION("""COMPUTED_VALUE"""),"金23")</f>
        <v>金23</v>
      </c>
      <c r="F2352" s="2" t="s">
        <v>6679</v>
      </c>
      <c r="G2352" s="2" t="s">
        <v>7350</v>
      </c>
      <c r="H2352" s="1">
        <v>7.0</v>
      </c>
      <c r="I2352" s="1" t="s">
        <v>2892</v>
      </c>
      <c r="J2352" s="1" t="s">
        <v>1435</v>
      </c>
      <c r="K2352" s="2" t="s">
        <v>7351</v>
      </c>
      <c r="L2352" s="11" t="s">
        <v>7342</v>
      </c>
      <c r="M2352" s="2" t="str">
        <f>IFERROR(__xludf.DUMMYFUNCTION("split(split(K2352,""松岡昌宏、"",false),""公式LINE"",false)"),"松岡昌宏が“女装""家政夫に!史上最恐のダークヒーロー誕生!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f>
        <v>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v>
      </c>
      <c r="N2352" s="2"/>
      <c r="O2352" s="2"/>
      <c r="P2352" s="1"/>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c r="AN2352" s="1"/>
      <c r="AO2352" s="1"/>
      <c r="AP2352" s="1"/>
      <c r="AQ2352" s="1"/>
      <c r="AR2352" s="1"/>
      <c r="AS2352" s="1"/>
      <c r="AT2352" s="1"/>
      <c r="AU2352" s="1"/>
      <c r="AV2352" s="1"/>
      <c r="AW2352" s="1"/>
      <c r="AX2352" s="1"/>
      <c r="AY2352" s="1"/>
      <c r="AZ2352" s="1"/>
      <c r="BA2352" s="1"/>
      <c r="BB2352" s="1"/>
    </row>
    <row r="2353" ht="204.75" customHeight="1">
      <c r="A2353" s="1">
        <v>1515.0</v>
      </c>
      <c r="B2353" s="2" t="s">
        <v>7336</v>
      </c>
      <c r="C2353" s="2">
        <f>IFERROR(__xludf.DUMMYFUNCTION("split(B2353,""_"")"),1610.0)</f>
        <v>1610</v>
      </c>
      <c r="D2353" s="2" t="str">
        <f>IFERROR(__xludf.DUMMYFUNCTION("""COMPUTED_VALUE"""),"EX")</f>
        <v>EX</v>
      </c>
      <c r="E2353" s="2" t="str">
        <f>IFERROR(__xludf.DUMMYFUNCTION("""COMPUTED_VALUE"""),"金23")</f>
        <v>金23</v>
      </c>
      <c r="F2353" s="2" t="s">
        <v>6679</v>
      </c>
      <c r="G2353" s="2" t="s">
        <v>7352</v>
      </c>
      <c r="H2353" s="1">
        <v>8.0</v>
      </c>
      <c r="J2353" s="1" t="s">
        <v>1435</v>
      </c>
      <c r="K2353" s="2" t="s">
        <v>7341</v>
      </c>
      <c r="L2353" s="11" t="s">
        <v>7342</v>
      </c>
      <c r="M2353" s="2" t="str">
        <f>IFERROR(__xludf.DUMMYFUNCTION("split(split(K2353,""松岡昌宏、"",false),""公式LINE"",false)"),"松岡昌宏が“女装""家政夫に!史上最恐のダークヒーロー誕生!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f>
        <v>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v>
      </c>
      <c r="N2353" s="2"/>
      <c r="O2353" s="2"/>
      <c r="P2353" s="1"/>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c r="AN2353" s="1"/>
      <c r="AO2353" s="1"/>
      <c r="AP2353" s="1"/>
      <c r="AQ2353" s="1"/>
      <c r="AR2353" s="1"/>
      <c r="AS2353" s="1"/>
      <c r="AT2353" s="1"/>
      <c r="AU2353" s="1"/>
      <c r="AV2353" s="1"/>
      <c r="AW2353" s="1"/>
      <c r="AX2353" s="1"/>
      <c r="AY2353" s="1"/>
      <c r="AZ2353" s="1"/>
      <c r="BA2353" s="1"/>
      <c r="BB2353" s="1"/>
    </row>
    <row r="2354" ht="204.75" customHeight="1">
      <c r="A2354" s="1">
        <v>1585.0</v>
      </c>
      <c r="B2354" s="2" t="s">
        <v>7353</v>
      </c>
      <c r="C2354" s="2">
        <f>IFERROR(__xludf.DUMMYFUNCTION("split(B2354,""_"")"),1607.0)</f>
        <v>1607</v>
      </c>
      <c r="D2354" s="2" t="str">
        <f>IFERROR(__xludf.DUMMYFUNCTION("""COMPUTED_VALUE"""),"EX")</f>
        <v>EX</v>
      </c>
      <c r="E2354" s="2" t="str">
        <f>IFERROR(__xludf.DUMMYFUNCTION("""COMPUTED_VALUE"""),"木21")</f>
        <v>木21</v>
      </c>
      <c r="F2354" s="2" t="s">
        <v>7354</v>
      </c>
      <c r="G2354" s="2" t="s">
        <v>7355</v>
      </c>
      <c r="H2354" s="1">
        <v>1.0</v>
      </c>
      <c r="I2354" s="1" t="s">
        <v>2868</v>
      </c>
      <c r="J2354" s="1" t="s">
        <v>4</v>
      </c>
      <c r="K2354" s="4" t="s">
        <v>7356</v>
      </c>
      <c r="L2354" s="11" t="s">
        <v>7357</v>
      </c>
      <c r="M2354" s="2" t="str">
        <f>IFERROR(__xludf.DUMMYFUNCTION("split(split(K2354,""尾野真千子、"",false),""公式LINE"",false)"),"梅田美奈(尾野真千子)は、夫の信次(江口洋介)から、近所に不審な生き物が出没しているとの噂を聞かされる。しかし、ピアニストである美奈が案じなければいけないのは、近々あるコンクールのこと…。入賞を夢みてきたが、年齢制限のあるコンクールへの出場は、今回が最後だと決めていた。そんな覚悟の美奈がピアノの練習をしていると、不審なものが庭に侵入する。恐る恐る正体を確かめると、それは幼い男の子で…。")</f>
        <v>梅田美奈(尾野真千子)は、夫の信次(江口洋介)から、近所に不審な生き物が出没しているとの噂を聞かされる。しかし、ピアニストである美奈が案じなければいけないのは、近々あるコンクールのこと…。入賞を夢みてきたが、年齢制限のあるコンクールへの出場は、今回が最後だと決めていた。そんな覚悟の美奈がピアノの練習をしていると、不審なものが庭に侵入する。恐る恐る正体を確かめると、それは幼い男の子で…。</v>
      </c>
      <c r="N2354" s="2"/>
      <c r="O2354" s="2"/>
      <c r="P2354" s="1"/>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c r="AN2354" s="1"/>
      <c r="AO2354" s="1"/>
      <c r="AP2354" s="1"/>
      <c r="AQ2354" s="1"/>
      <c r="AR2354" s="1"/>
      <c r="AS2354" s="1"/>
      <c r="AT2354" s="1"/>
      <c r="AU2354" s="1"/>
      <c r="AV2354" s="1"/>
      <c r="AW2354" s="1"/>
      <c r="AX2354" s="1"/>
      <c r="AY2354" s="1"/>
      <c r="AZ2354" s="1"/>
      <c r="BA2354" s="1"/>
      <c r="BB2354" s="1"/>
    </row>
    <row r="2355" ht="204.75" customHeight="1">
      <c r="A2355" s="1">
        <v>1586.0</v>
      </c>
      <c r="B2355" s="2" t="s">
        <v>7353</v>
      </c>
      <c r="C2355" s="2">
        <f>IFERROR(__xludf.DUMMYFUNCTION("split(B2355,""_"")"),1607.0)</f>
        <v>1607</v>
      </c>
      <c r="D2355" s="2" t="str">
        <f>IFERROR(__xludf.DUMMYFUNCTION("""COMPUTED_VALUE"""),"EX")</f>
        <v>EX</v>
      </c>
      <c r="E2355" s="2" t="str">
        <f>IFERROR(__xludf.DUMMYFUNCTION("""COMPUTED_VALUE"""),"木21")</f>
        <v>木21</v>
      </c>
      <c r="F2355" s="2" t="s">
        <v>7354</v>
      </c>
      <c r="G2355" s="2" t="s">
        <v>7358</v>
      </c>
      <c r="H2355" s="1">
        <v>2.0</v>
      </c>
      <c r="I2355" s="1" t="s">
        <v>2872</v>
      </c>
      <c r="J2355" s="1" t="s">
        <v>11</v>
      </c>
      <c r="K2355" s="2" t="s">
        <v>7359</v>
      </c>
      <c r="L2355" s="11" t="s">
        <v>7360</v>
      </c>
      <c r="M2355" s="2" t="str">
        <f>IFERROR(__xludf.DUMMYFUNCTION("split(split(K2355,""尾野真千子、"",false),""公式LINE"",false)"),"育児放棄された男の子の親になると決め、梅田美奈(尾野真千子)と信次(江口洋介)が特別養子縁組の申請をしてから3カ月…。二人は堂本真知(余貴美子)からの電話を、落ち着かない気持ちで待っていた。今日は二人が、里親として適格かどうかの判定が下される運命の日。この3カ月、里親資格を得るために様々な研修を受けてきた。あとは結果を待つのみだったが、信次は真知に無理を言って、男の子と動物園に行くことにして…。")</f>
        <v>育児放棄された男の子の親になると決め、梅田美奈(尾野真千子)と信次(江口洋介)が特別養子縁組の申請をしてから3カ月…。二人は堂本真知(余貴美子)からの電話を、落ち着かない気持ちで待っていた。今日は二人が、里親として適格かどうかの判定が下される運命の日。この3カ月、里親資格を得るために様々な研修を受けてきた。あとは結果を待つのみだったが、信次は真知に無理を言って、男の子と動物園に行くことにして…。</v>
      </c>
      <c r="N2355" s="2"/>
      <c r="O2355" s="2"/>
      <c r="P2355" s="1"/>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1"/>
      <c r="AY2355" s="1"/>
      <c r="AZ2355" s="1"/>
      <c r="BA2355" s="1"/>
      <c r="BB2355" s="1"/>
    </row>
    <row r="2356" ht="204.75" customHeight="1">
      <c r="A2356" s="1">
        <v>1587.0</v>
      </c>
      <c r="B2356" s="2" t="s">
        <v>7353</v>
      </c>
      <c r="C2356" s="2">
        <f>IFERROR(__xludf.DUMMYFUNCTION("split(B2356,""_"")"),1607.0)</f>
        <v>1607</v>
      </c>
      <c r="D2356" s="2" t="str">
        <f>IFERROR(__xludf.DUMMYFUNCTION("""COMPUTED_VALUE"""),"EX")</f>
        <v>EX</v>
      </c>
      <c r="E2356" s="2" t="str">
        <f>IFERROR(__xludf.DUMMYFUNCTION("""COMPUTED_VALUE"""),"木21")</f>
        <v>木21</v>
      </c>
      <c r="F2356" s="2" t="s">
        <v>7354</v>
      </c>
      <c r="G2356" s="2" t="s">
        <v>7361</v>
      </c>
      <c r="H2356" s="1">
        <v>3.0</v>
      </c>
      <c r="I2356" s="1" t="s">
        <v>2876</v>
      </c>
      <c r="J2356" s="1" t="s">
        <v>11</v>
      </c>
      <c r="K2356" s="2" t="s">
        <v>7362</v>
      </c>
      <c r="L2356" s="11" t="s">
        <v>7363</v>
      </c>
      <c r="M2356" s="2" t="str">
        <f>IFERROR(__xludf.DUMMYFUNCTION("split(split(K2356,""尾野真千子、"",false),""公式LINE"",false)"),"特別養子縁組に向けた里親認定の許可が正式に下り、梅田美奈(尾野真千子)と信次(江口洋介)が男の子(横山歩)を家に迎える日がやってくる。「これからの方がもっと大変」…堂本真知(余貴美子)の言葉を思い出し、美奈は気持ちを引き締める。しかし、里親の愛情を図る子どもの“試し行動""は、ほぼ100%の確率で表れると聞かされる。最初は、拍子抜けするほど穏やかな日々が過ぎていくが、ついに嵐が襲来し…!")</f>
        <v>特別養子縁組に向けた里親認定の許可が正式に下り、梅田美奈(尾野真千子)と信次(江口洋介)が男の子(横山歩)を家に迎える日がやってくる。「これからの方がもっと大変」…堂本真知(余貴美子)の言葉を思い出し、美奈は気持ちを引き締める。しかし、里親の愛情を図る子どもの“試し行動"は、ほぼ100%の確率で表れると聞かされる。最初は、拍子抜けするほど穏やかな日々が過ぎていくが、ついに嵐が襲来し…!</v>
      </c>
      <c r="N2356" s="2"/>
      <c r="O2356" s="2"/>
      <c r="P2356" s="1"/>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1"/>
      <c r="AY2356" s="1"/>
      <c r="AZ2356" s="1"/>
      <c r="BA2356" s="1"/>
      <c r="BB2356" s="1"/>
    </row>
    <row r="2357" ht="204.75" customHeight="1">
      <c r="A2357" s="1">
        <v>1588.0</v>
      </c>
      <c r="B2357" s="2" t="s">
        <v>7353</v>
      </c>
      <c r="C2357" s="2">
        <f>IFERROR(__xludf.DUMMYFUNCTION("split(B2357,""_"")"),1607.0)</f>
        <v>1607</v>
      </c>
      <c r="D2357" s="2" t="str">
        <f>IFERROR(__xludf.DUMMYFUNCTION("""COMPUTED_VALUE"""),"EX")</f>
        <v>EX</v>
      </c>
      <c r="E2357" s="2" t="str">
        <f>IFERROR(__xludf.DUMMYFUNCTION("""COMPUTED_VALUE"""),"木21")</f>
        <v>木21</v>
      </c>
      <c r="F2357" s="2" t="s">
        <v>7354</v>
      </c>
      <c r="G2357" s="2" t="s">
        <v>7364</v>
      </c>
      <c r="H2357" s="1">
        <v>4.0</v>
      </c>
      <c r="I2357" s="1" t="s">
        <v>2880</v>
      </c>
      <c r="J2357" s="1" t="s">
        <v>11</v>
      </c>
      <c r="K2357" s="2" t="s">
        <v>7365</v>
      </c>
      <c r="L2357" s="11" t="s">
        <v>7366</v>
      </c>
      <c r="M2357" s="2" t="str">
        <f>IFERROR(__xludf.DUMMYFUNCTION("split(split(K2357,""尾野真千子、"",false),""公式LINE"",false)"),"ハジメ(横山歩)による第二の試練“赤ちゃん返り""が梅田美奈(尾野真千子)を襲う。ハジメは美奈に抱きつき、片時も離れようとしない。堂本真知(余貴美子)によれば、実の親に甘えられなかった反動の表れで、本当の赤ちゃんのように扱う以外にないという。美奈は、辛抱強く付き合うが、次第に疲労が蓄積。夫の信次(江口洋介)とも衝突してしまう。しかし、信次の思いやりを知り、自分も本物の母親になるためにある決断をする。")</f>
        <v>ハジメ(横山歩)による第二の試練“赤ちゃん返り"が梅田美奈(尾野真千子)を襲う。ハジメは美奈に抱きつき、片時も離れようとしない。堂本真知(余貴美子)によれば、実の親に甘えられなかった反動の表れで、本当の赤ちゃんのように扱う以外にないという。美奈は、辛抱強く付き合うが、次第に疲労が蓄積。夫の信次(江口洋介)とも衝突してしまう。しかし、信次の思いやりを知り、自分も本物の母親になるためにある決断をする。</v>
      </c>
      <c r="N2357" s="2"/>
      <c r="O2357" s="2"/>
      <c r="P2357" s="1"/>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1"/>
      <c r="AY2357" s="1"/>
      <c r="AZ2357" s="1"/>
      <c r="BA2357" s="1"/>
      <c r="BB2357" s="1"/>
    </row>
    <row r="2358" ht="204.75" customHeight="1">
      <c r="A2358" s="1">
        <v>1589.0</v>
      </c>
      <c r="B2358" s="2" t="s">
        <v>7353</v>
      </c>
      <c r="C2358" s="2">
        <f>IFERROR(__xludf.DUMMYFUNCTION("split(B2358,""_"")"),1607.0)</f>
        <v>1607</v>
      </c>
      <c r="D2358" s="2" t="str">
        <f>IFERROR(__xludf.DUMMYFUNCTION("""COMPUTED_VALUE"""),"EX")</f>
        <v>EX</v>
      </c>
      <c r="E2358" s="2" t="str">
        <f>IFERROR(__xludf.DUMMYFUNCTION("""COMPUTED_VALUE"""),"木21")</f>
        <v>木21</v>
      </c>
      <c r="F2358" s="2" t="s">
        <v>7354</v>
      </c>
      <c r="G2358" s="2" t="s">
        <v>7367</v>
      </c>
      <c r="H2358" s="1">
        <v>5.0</v>
      </c>
      <c r="I2358" s="1" t="s">
        <v>2884</v>
      </c>
      <c r="J2358" s="1" t="s">
        <v>11</v>
      </c>
      <c r="K2358" s="2" t="s">
        <v>7368</v>
      </c>
      <c r="L2358" s="11" t="s">
        <v>7369</v>
      </c>
      <c r="M2358" s="2" t="str">
        <f>IFERROR(__xludf.DUMMYFUNCTION("split(split(K2358,""尾野真千子、"",false),""公式LINE"",false)"),"親に捨てられた男の子・ハジメ(横山歩)と特別養子縁組をすると決めた梅田美奈(尾野真千子)と信次(江口洋介)は、子育てと向き合うことになった。堂本真知(余貴美子)の助言に従い「どんな人間になってほしいか」を考えるが、子育ての悩みは深まるばかり。自分の親にも聞いてみるが、解決策は見つからない。次第に美奈たちとハジメの想いは、すれ違うように…。そんな中、ついに感情が爆発!梅田家に危機と奇跡がおとずれる!?")</f>
        <v>親に捨てられた男の子・ハジメ(横山歩)と特別養子縁組をすると決めた梅田美奈(尾野真千子)と信次(江口洋介)は、子育てと向き合うことになった。堂本真知(余貴美子)の助言に従い「どんな人間になってほしいか」を考えるが、子育ての悩みは深まるばかり。自分の親にも聞いてみるが、解決策は見つからない。次第に美奈たちとハジメの想いは、すれ違うように…。そんな中、ついに感情が爆発!梅田家に危機と奇跡がおとずれる!?</v>
      </c>
      <c r="N2358" s="2"/>
      <c r="O2358" s="2"/>
      <c r="P2358" s="1"/>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1"/>
      <c r="AY2358" s="1"/>
      <c r="AZ2358" s="1"/>
      <c r="BA2358" s="1"/>
      <c r="BB2358" s="1"/>
    </row>
    <row r="2359" ht="204.75" customHeight="1">
      <c r="A2359" s="1">
        <v>1590.0</v>
      </c>
      <c r="B2359" s="2" t="s">
        <v>7353</v>
      </c>
      <c r="C2359" s="2">
        <f>IFERROR(__xludf.DUMMYFUNCTION("split(B2359,""_"")"),1607.0)</f>
        <v>1607</v>
      </c>
      <c r="D2359" s="2" t="str">
        <f>IFERROR(__xludf.DUMMYFUNCTION("""COMPUTED_VALUE"""),"EX")</f>
        <v>EX</v>
      </c>
      <c r="E2359" s="2" t="str">
        <f>IFERROR(__xludf.DUMMYFUNCTION("""COMPUTED_VALUE"""),"木21")</f>
        <v>木21</v>
      </c>
      <c r="F2359" s="2" t="s">
        <v>7354</v>
      </c>
      <c r="G2359" s="2" t="s">
        <v>7370</v>
      </c>
      <c r="H2359" s="1">
        <v>6.0</v>
      </c>
      <c r="I2359" s="1" t="s">
        <v>2888</v>
      </c>
      <c r="J2359" s="1" t="s">
        <v>11</v>
      </c>
      <c r="K2359" s="2" t="s">
        <v>7371</v>
      </c>
      <c r="L2359" s="11" t="s">
        <v>7372</v>
      </c>
      <c r="M2359" s="2" t="str">
        <f>IFERROR(__xludf.DUMMYFUNCTION("split(split(K2359,""尾野真千子、"",false),""公式LINE"",false)"),"育児放棄された男の子・ハジメ(横山歩)と、特別養子縁組で本当の家族になろうと奮闘中の梅田美奈(尾野真千子)と夫の信次(江口洋介)は、ハジメを幼稚園に通わせる事にする。他の子供たちとなじめるのか?ハジメが養子であることを周囲に知らせるべきか?…などを悩みつつも、何とか幼稚園デビューを果たす。しかし、早々に波乱が…!!ハジメが両親に問う究極の疑問とは!?そして、ハジメがとった意外な行動が奇跡を起こし…!?")</f>
        <v>育児放棄された男の子・ハジメ(横山歩)と、特別養子縁組で本当の家族になろうと奮闘中の梅田美奈(尾野真千子)と夫の信次(江口洋介)は、ハジメを幼稚園に通わせる事にする。他の子供たちとなじめるのか?ハジメが養子であることを周囲に知らせるべきか?…などを悩みつつも、何とか幼稚園デビューを果たす。しかし、早々に波乱が…!!ハジメが両親に問う究極の疑問とは!?そして、ハジメがとった意外な行動が奇跡を起こし…!?</v>
      </c>
      <c r="N2359" s="2"/>
      <c r="O2359" s="2"/>
      <c r="P2359" s="1"/>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c r="AQ2359" s="1"/>
      <c r="AR2359" s="1"/>
      <c r="AS2359" s="1"/>
      <c r="AT2359" s="1"/>
      <c r="AU2359" s="1"/>
      <c r="AV2359" s="1"/>
      <c r="AW2359" s="1"/>
      <c r="AX2359" s="1"/>
      <c r="AY2359" s="1"/>
      <c r="AZ2359" s="1"/>
      <c r="BA2359" s="1"/>
      <c r="BB2359" s="1"/>
    </row>
    <row r="2360" ht="204.75" customHeight="1">
      <c r="A2360" s="1">
        <v>1591.0</v>
      </c>
      <c r="B2360" s="2" t="s">
        <v>7353</v>
      </c>
      <c r="C2360" s="2">
        <f>IFERROR(__xludf.DUMMYFUNCTION("split(B2360,""_"")"),1607.0)</f>
        <v>1607</v>
      </c>
      <c r="D2360" s="2" t="str">
        <f>IFERROR(__xludf.DUMMYFUNCTION("""COMPUTED_VALUE"""),"EX")</f>
        <v>EX</v>
      </c>
      <c r="E2360" s="2" t="str">
        <f>IFERROR(__xludf.DUMMYFUNCTION("""COMPUTED_VALUE"""),"木21")</f>
        <v>木21</v>
      </c>
      <c r="F2360" s="2" t="s">
        <v>7354</v>
      </c>
      <c r="G2360" s="2" t="s">
        <v>7373</v>
      </c>
      <c r="H2360" s="1">
        <v>7.0</v>
      </c>
      <c r="I2360" s="1" t="s">
        <v>2892</v>
      </c>
      <c r="J2360" s="1" t="s">
        <v>11</v>
      </c>
      <c r="K2360" s="2" t="s">
        <v>7374</v>
      </c>
      <c r="L2360" s="11" t="s">
        <v>7375</v>
      </c>
      <c r="M2360" s="2" t="str">
        <f>IFERROR(__xludf.DUMMYFUNCTION("split(split(K2360,""尾野真千子、"",false),""公式LINE"",false)"),"突然現れた黒川月子(富田靖子)は、美奈(尾野真千子)や信次(江口洋介)に断りもなく、ハジメ(横山歩)を連れて帰ろうとする。美奈はハジメをかばいながら抗議。堂本真知(余貴美子)も手続き上の問題があるとして、月子を押しとどめる。しかし、特別養子縁組制度では、実の親が子どもを手放すことを拒否した場合、申請中の里親に抵抗するすべはない…。親として成長を見届けたいと願う美奈と信次、そしてハジメの運命は…!?")</f>
        <v>突然現れた黒川月子(富田靖子)は、美奈(尾野真千子)や信次(江口洋介)に断りもなく、ハジメ(横山歩)を連れて帰ろうとする。美奈はハジメをかばいながら抗議。堂本真知(余貴美子)も手続き上の問題があるとして、月子を押しとどめる。しかし、特別養子縁組制度では、実の親が子どもを手放すことを拒否した場合、申請中の里親に抵抗するすべはない…。親として成長を見届けたいと願う美奈と信次、そしてハジメの運命は…!?</v>
      </c>
      <c r="N2360" s="2"/>
      <c r="O2360" s="2"/>
      <c r="P2360" s="1"/>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1"/>
      <c r="AY2360" s="1"/>
      <c r="AZ2360" s="1"/>
      <c r="BA2360" s="1"/>
      <c r="BB2360" s="1"/>
    </row>
    <row r="2361" ht="204.75" customHeight="1">
      <c r="A2361" s="1">
        <v>1592.0</v>
      </c>
      <c r="B2361" s="2" t="s">
        <v>7353</v>
      </c>
      <c r="C2361" s="2">
        <f>IFERROR(__xludf.DUMMYFUNCTION("split(B2361,""_"")"),1607.0)</f>
        <v>1607</v>
      </c>
      <c r="D2361" s="2" t="str">
        <f>IFERROR(__xludf.DUMMYFUNCTION("""COMPUTED_VALUE"""),"EX")</f>
        <v>EX</v>
      </c>
      <c r="E2361" s="2" t="str">
        <f>IFERROR(__xludf.DUMMYFUNCTION("""COMPUTED_VALUE"""),"木21")</f>
        <v>木21</v>
      </c>
      <c r="F2361" s="2" t="s">
        <v>7354</v>
      </c>
      <c r="G2361" s="2" t="s">
        <v>7376</v>
      </c>
      <c r="H2361" s="1">
        <v>8.0</v>
      </c>
      <c r="I2361" s="1" t="s">
        <v>2896</v>
      </c>
      <c r="J2361" s="1" t="s">
        <v>11</v>
      </c>
      <c r="K2361" s="2" t="s">
        <v>7377</v>
      </c>
      <c r="L2361" s="11" t="s">
        <v>7378</v>
      </c>
      <c r="M2361" s="2" t="str">
        <f>IFERROR(__xludf.DUMMYFUNCTION("split(split(K2361,""尾野真千子、"",false),""公式LINE"",false)"),"ハジメがいなくなった梅田家では、美奈(尾野真千子)と信次(江口洋介)の会話も消え、ただ時間だけがむなしく流れていった。春代(坂井真紀)や巧(速水もこみち)の慰めも届かない。堂本真知(余貴美子)によれば、祖母の月子(富田靖子)と暮らしているハジメに虐待の様子は見られないという。ただ、母親の泉(志田未来)はいまだ入院中らしい。気持ちの整理がつかない二人は、ハジメが引き取られた長野へ向かうことにするが…")</f>
        <v>ハジメがいなくなった梅田家では、美奈(尾野真千子)と信次(江口洋介)の会話も消え、ただ時間だけがむなしく流れていった。春代(坂井真紀)や巧(速水もこみち)の慰めも届かない。堂本真知(余貴美子)によれば、祖母の月子(富田靖子)と暮らしているハジメに虐待の様子は見られないという。ただ、母親の泉(志田未来)はいまだ入院中らしい。気持ちの整理がつかない二人は、ハジメが引き取られた長野へ向かうことにするが…</v>
      </c>
      <c r="N2361" s="2"/>
      <c r="O2361" s="2"/>
      <c r="P2361" s="1"/>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c r="AQ2361" s="1"/>
      <c r="AR2361" s="1"/>
      <c r="AS2361" s="1"/>
      <c r="AT2361" s="1"/>
      <c r="AU2361" s="1"/>
      <c r="AV2361" s="1"/>
      <c r="AW2361" s="1"/>
      <c r="AX2361" s="1"/>
      <c r="AY2361" s="1"/>
      <c r="AZ2361" s="1"/>
      <c r="BA2361" s="1"/>
      <c r="BB2361" s="1"/>
    </row>
    <row r="2362" ht="204.75" customHeight="1">
      <c r="A2362" s="1">
        <v>1593.0</v>
      </c>
      <c r="B2362" s="2" t="s">
        <v>7353</v>
      </c>
      <c r="C2362" s="2">
        <f>IFERROR(__xludf.DUMMYFUNCTION("split(B2362,""_"")"),1607.0)</f>
        <v>1607</v>
      </c>
      <c r="D2362" s="2" t="str">
        <f>IFERROR(__xludf.DUMMYFUNCTION("""COMPUTED_VALUE"""),"EX")</f>
        <v>EX</v>
      </c>
      <c r="E2362" s="2" t="str">
        <f>IFERROR(__xludf.DUMMYFUNCTION("""COMPUTED_VALUE"""),"木21")</f>
        <v>木21</v>
      </c>
      <c r="F2362" s="2" t="s">
        <v>7354</v>
      </c>
      <c r="G2362" s="2" t="s">
        <v>7379</v>
      </c>
      <c r="H2362" s="1">
        <v>9.0</v>
      </c>
      <c r="I2362" s="1" t="s">
        <v>2900</v>
      </c>
      <c r="J2362" s="1" t="s">
        <v>11</v>
      </c>
      <c r="K2362" s="2" t="s">
        <v>7380</v>
      </c>
      <c r="L2362" s="11" t="s">
        <v>7381</v>
      </c>
      <c r="M2362" s="2" t="str">
        <f>IFERROR(__xludf.DUMMYFUNCTION("split(split(K2362,""尾野真千子、"",false),""公式LINE"",false)"),"梅田美奈(尾野真千子)と信次(江口洋介)は、自分たちの方がハジメ(横山歩)を養育するのに適していると、家庭裁判所に“監護者の指定""を申し立てる。堂本真知(余貴美子)から「勝つ確率はゼロに近い」と言われても、二人は諦めないと決めていた。ところが、ハジメの産みの親である泉(志田未来)が手紙を残して姿を消してしまう。ハジメの出生の真実とは?美奈、信次、ハジメの3人は本当の家族になれるのか?奇跡の最終回!")</f>
        <v>梅田美奈(尾野真千子)と信次(江口洋介)は、自分たちの方がハジメ(横山歩)を養育するのに適していると、家庭裁判所に“監護者の指定"を申し立てる。堂本真知(余貴美子)から「勝つ確率はゼロに近い」と言われても、二人は諦めないと決めていた。ところが、ハジメの産みの親である泉(志田未来)が手紙を残して姿を消してしまう。ハジメの出生の真実とは?美奈、信次、ハジメの3人は本当の家族になれるのか?奇跡の最終回!</v>
      </c>
      <c r="N2362" s="2"/>
      <c r="O2362" s="2"/>
      <c r="P2362" s="1"/>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c r="AQ2362" s="1"/>
      <c r="AR2362" s="1"/>
      <c r="AS2362" s="1"/>
      <c r="AT2362" s="1"/>
      <c r="AU2362" s="1"/>
      <c r="AV2362" s="1"/>
      <c r="AW2362" s="1"/>
      <c r="AX2362" s="1"/>
      <c r="AY2362" s="1"/>
      <c r="AZ2362" s="1"/>
      <c r="BA2362" s="1"/>
      <c r="BB2362" s="1"/>
    </row>
    <row r="2363" ht="204.75" customHeight="1">
      <c r="A2363" s="1">
        <v>1604.0</v>
      </c>
      <c r="B2363" s="2" t="s">
        <v>7382</v>
      </c>
      <c r="C2363" s="2">
        <f>IFERROR(__xludf.DUMMYFUNCTION("split(B2363,""_"")"),1607.0)</f>
        <v>1607</v>
      </c>
      <c r="D2363" s="2" t="str">
        <f>IFERROR(__xludf.DUMMYFUNCTION("""COMPUTED_VALUE"""),"EX")</f>
        <v>EX</v>
      </c>
      <c r="E2363" s="2" t="str">
        <f>IFERROR(__xludf.DUMMYFUNCTION("""COMPUTED_VALUE"""),"金23")</f>
        <v>金23</v>
      </c>
      <c r="F2363" s="2" t="s">
        <v>7383</v>
      </c>
      <c r="G2363" s="2" t="s">
        <v>7384</v>
      </c>
      <c r="H2363" s="1">
        <v>1.0</v>
      </c>
      <c r="I2363" s="1" t="s">
        <v>2868</v>
      </c>
      <c r="J2363" s="1" t="s">
        <v>1435</v>
      </c>
      <c r="K2363" s="4" t="s">
        <v>7385</v>
      </c>
      <c r="L2363" s="11" t="s">
        <v>7386</v>
      </c>
      <c r="M2363" s="2" t="str">
        <f>IFERROR(__xludf.DUMMYFUNCTION("split(split(K2363,""剛力彩芽、"",false),""公式LINE"",false)"),"総理vs元総理!  25歳の女性シェフ・一木くるみ(剛力彩芽)は「総理の意を汲み、料理にメッセージを込めてゲストに届ける」官邸料理人!だが、官邸には陰謀や策略が渦巻いていた!現総理と辞めさせたい元総理との対決!緊迫した会談の中、くるみが編み出した究極の料理とは!?")</f>
        <v>総理vs元総理!  25歳の女性シェフ・一木くるみ(剛力彩芽)は「総理の意を汲み、料理にメッセージを込めてゲストに届ける」官邸料理人!だが、官邸には陰謀や策略が渦巻いていた!現総理と辞めさせたい元総理との対決!緊迫した会談の中、くるみが編み出した究極の料理とは!?</v>
      </c>
      <c r="N2363" s="2"/>
      <c r="O2363" s="2"/>
      <c r="P2363" s="1"/>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c r="AQ2363" s="1"/>
      <c r="AR2363" s="1"/>
      <c r="AS2363" s="1"/>
      <c r="AT2363" s="1"/>
      <c r="AU2363" s="1"/>
      <c r="AV2363" s="1"/>
      <c r="AW2363" s="1"/>
      <c r="AX2363" s="1"/>
      <c r="AY2363" s="1"/>
      <c r="AZ2363" s="1"/>
      <c r="BA2363" s="1"/>
      <c r="BB2363" s="1"/>
    </row>
    <row r="2364" ht="204.75" customHeight="1">
      <c r="A2364" s="1">
        <v>1605.0</v>
      </c>
      <c r="B2364" s="2" t="s">
        <v>7382</v>
      </c>
      <c r="C2364" s="2">
        <f>IFERROR(__xludf.DUMMYFUNCTION("split(B2364,""_"")"),1607.0)</f>
        <v>1607</v>
      </c>
      <c r="D2364" s="2" t="str">
        <f>IFERROR(__xludf.DUMMYFUNCTION("""COMPUTED_VALUE"""),"EX")</f>
        <v>EX</v>
      </c>
      <c r="E2364" s="2" t="str">
        <f>IFERROR(__xludf.DUMMYFUNCTION("""COMPUTED_VALUE"""),"金23")</f>
        <v>金23</v>
      </c>
      <c r="F2364" s="2" t="s">
        <v>7383</v>
      </c>
      <c r="G2364" s="2" t="s">
        <v>7387</v>
      </c>
      <c r="H2364" s="1">
        <v>2.0</v>
      </c>
      <c r="I2364" s="1" t="s">
        <v>2872</v>
      </c>
      <c r="J2364" s="1" t="s">
        <v>1435</v>
      </c>
      <c r="K2364" s="2" t="s">
        <v>7388</v>
      </c>
      <c r="L2364" s="11" t="s">
        <v>7389</v>
      </c>
      <c r="M2364" s="2" t="str">
        <f>IFERROR(__xludf.DUMMYFUNCTION("split(split(K2364,""剛力彩芽、"",false),""公式LINE"",false)"),"総理vsアジアの女帝!  資本撤退問題で、日本企業との関係が悪化したシンガポールのカリスマ女性経営者!もし撤退となれば、日本には10万人の失業者が…最悪の事態を回避するために、阿藤総理が動きだす!しかし、会談目前、女性経営者は料理に対し次々に無理難題を押し付け、くるみはピンチに追い込まれる!さらに、官邸大食堂のライバル料理人が現れ、料理対決に!10万人の日本人を救う料理は、果たして見つかるのか!?")</f>
        <v>総理vsアジアの女帝!  資本撤退問題で、日本企業との関係が悪化したシンガポールのカリスマ女性経営者!もし撤退となれば、日本には10万人の失業者が…最悪の事態を回避するために、阿藤総理が動きだす!しかし、会談目前、女性経営者は料理に対し次々に無理難題を押し付け、くるみはピンチに追い込まれる!さらに、官邸大食堂のライバル料理人が現れ、料理対決に!10万人の日本人を救う料理は、果たして見つかるのか!?</v>
      </c>
      <c r="N2364" s="2"/>
      <c r="O2364" s="2"/>
      <c r="P2364" s="1"/>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c r="AQ2364" s="1"/>
      <c r="AR2364" s="1"/>
      <c r="AS2364" s="1"/>
      <c r="AT2364" s="1"/>
      <c r="AU2364" s="1"/>
      <c r="AV2364" s="1"/>
      <c r="AW2364" s="1"/>
      <c r="AX2364" s="1"/>
      <c r="AY2364" s="1"/>
      <c r="AZ2364" s="1"/>
      <c r="BA2364" s="1"/>
      <c r="BB2364" s="1"/>
    </row>
    <row r="2365" ht="204.75" customHeight="1">
      <c r="A2365" s="1">
        <v>1606.0</v>
      </c>
      <c r="B2365" s="2" t="s">
        <v>7382</v>
      </c>
      <c r="C2365" s="2">
        <f>IFERROR(__xludf.DUMMYFUNCTION("split(B2365,""_"")"),1607.0)</f>
        <v>1607</v>
      </c>
      <c r="D2365" s="2" t="str">
        <f>IFERROR(__xludf.DUMMYFUNCTION("""COMPUTED_VALUE"""),"EX")</f>
        <v>EX</v>
      </c>
      <c r="E2365" s="2" t="str">
        <f>IFERROR(__xludf.DUMMYFUNCTION("""COMPUTED_VALUE"""),"金23")</f>
        <v>金23</v>
      </c>
      <c r="F2365" s="2" t="s">
        <v>7383</v>
      </c>
      <c r="G2365" s="2" t="s">
        <v>7390</v>
      </c>
      <c r="H2365" s="1">
        <v>3.0</v>
      </c>
      <c r="I2365" s="1" t="s">
        <v>2876</v>
      </c>
      <c r="J2365" s="1" t="s">
        <v>1435</v>
      </c>
      <c r="K2365" s="2" t="s">
        <v>7391</v>
      </c>
      <c r="L2365" s="11" t="s">
        <v>7392</v>
      </c>
      <c r="M2365" s="2" t="str">
        <f>IFERROR(__xludf.DUMMYFUNCTION("split(split(K2365,""剛力彩芽、"",false),""公式LINE"",false)"),"総理官邸に立てこもり犯が侵入!人質となった阿藤総理(小日向文世)を救うのは、世界最高の失敗料理!?タイムリミットが迫る中、くるみ(剛力彩芽)は命がけの一皿に挑む!そんな中、官邸嫌いを明言する天才棋士が国民栄誉賞を拒否!!大きなニュースになって拡散していく…。この2つを解決する、メッセージ料理とは!?")</f>
        <v>総理官邸に立てこもり犯が侵入!人質となった阿藤総理(小日向文世)を救うのは、世界最高の失敗料理!?タイムリミットが迫る中、くるみ(剛力彩芽)は命がけの一皿に挑む!そんな中、官邸嫌いを明言する天才棋士が国民栄誉賞を拒否!!大きなニュースになって拡散していく…。この2つを解決する、メッセージ料理とは!?</v>
      </c>
      <c r="N2365" s="2"/>
      <c r="O2365" s="2"/>
      <c r="P2365" s="1"/>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1"/>
      <c r="AY2365" s="1"/>
      <c r="AZ2365" s="1"/>
      <c r="BA2365" s="1"/>
      <c r="BB2365" s="1"/>
    </row>
    <row r="2366" ht="204.75" customHeight="1">
      <c r="A2366" s="1">
        <v>1607.0</v>
      </c>
      <c r="B2366" s="2" t="s">
        <v>7382</v>
      </c>
      <c r="C2366" s="2">
        <f>IFERROR(__xludf.DUMMYFUNCTION("split(B2366,""_"")"),1607.0)</f>
        <v>1607</v>
      </c>
      <c r="D2366" s="2" t="str">
        <f>IFERROR(__xludf.DUMMYFUNCTION("""COMPUTED_VALUE"""),"EX")</f>
        <v>EX</v>
      </c>
      <c r="E2366" s="2" t="str">
        <f>IFERROR(__xludf.DUMMYFUNCTION("""COMPUTED_VALUE"""),"金23")</f>
        <v>金23</v>
      </c>
      <c r="F2366" s="2" t="s">
        <v>7383</v>
      </c>
      <c r="G2366" s="2" t="s">
        <v>7393</v>
      </c>
      <c r="H2366" s="1">
        <v>4.0</v>
      </c>
      <c r="I2366" s="1" t="s">
        <v>2880</v>
      </c>
      <c r="J2366" s="1" t="s">
        <v>1435</v>
      </c>
      <c r="K2366" s="2" t="s">
        <v>7394</v>
      </c>
      <c r="L2366" s="11" t="s">
        <v>7395</v>
      </c>
      <c r="M2366" s="2" t="str">
        <f>IFERROR(__xludf.DUMMYFUNCTION("split(split(K2366,""剛力彩芽、"",false),""公式LINE"",false)"),"失言大臣が官邸でカレーライスの乱を巻き起こす?  大臣の失言により、外交問題が発生!総理が大臣を更迭するとの噂が広がり、大臣は総理に激しく抗議!くるみ(剛力彩芽)は、大臣の好きなカレーライスで総理との和解を試みるも、メッセージ料理が伝わらず、大臣をいっそう怒らせてしまう…。さらには、大臣が“官邸グラン・メゾン潰し""を宣言。料理人のクビを賭けた官邸料理バトル!起死回生の一品を提供することが出来るのか!?")</f>
        <v>失言大臣が官邸でカレーライスの乱を巻き起こす?  大臣の失言により、外交問題が発生!総理が大臣を更迭するとの噂が広がり、大臣は総理に激しく抗議!くるみ(剛力彩芽)は、大臣の好きなカレーライスで総理との和解を試みるも、メッセージ料理が伝わらず、大臣をいっそう怒らせてしまう…。さらには、大臣が“官邸グラン・メゾン潰し"を宣言。料理人のクビを賭けた官邸料理バトル!起死回生の一品を提供することが出来るのか!?</v>
      </c>
      <c r="N2366" s="2"/>
      <c r="O2366" s="2"/>
      <c r="P2366" s="1"/>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c r="AQ2366" s="1"/>
      <c r="AR2366" s="1"/>
      <c r="AS2366" s="1"/>
      <c r="AT2366" s="1"/>
      <c r="AU2366" s="1"/>
      <c r="AV2366" s="1"/>
      <c r="AW2366" s="1"/>
      <c r="AX2366" s="1"/>
      <c r="AY2366" s="1"/>
      <c r="AZ2366" s="1"/>
      <c r="BA2366" s="1"/>
      <c r="BB2366" s="1"/>
    </row>
    <row r="2367" ht="204.75" customHeight="1">
      <c r="A2367" s="1">
        <v>1608.0</v>
      </c>
      <c r="B2367" s="2" t="s">
        <v>7382</v>
      </c>
      <c r="C2367" s="2">
        <f>IFERROR(__xludf.DUMMYFUNCTION("split(B2367,""_"")"),1607.0)</f>
        <v>1607</v>
      </c>
      <c r="D2367" s="2" t="str">
        <f>IFERROR(__xludf.DUMMYFUNCTION("""COMPUTED_VALUE"""),"EX")</f>
        <v>EX</v>
      </c>
      <c r="E2367" s="2" t="str">
        <f>IFERROR(__xludf.DUMMYFUNCTION("""COMPUTED_VALUE"""),"金23")</f>
        <v>金23</v>
      </c>
      <c r="F2367" s="2" t="s">
        <v>7383</v>
      </c>
      <c r="G2367" s="2" t="s">
        <v>7396</v>
      </c>
      <c r="H2367" s="1">
        <v>5.0</v>
      </c>
      <c r="I2367" s="1" t="s">
        <v>2884</v>
      </c>
      <c r="J2367" s="1" t="s">
        <v>1435</v>
      </c>
      <c r="K2367" s="2" t="s">
        <v>7397</v>
      </c>
      <c r="L2367" s="11" t="s">
        <v>7398</v>
      </c>
      <c r="M2367" s="2" t="str">
        <f>IFERROR(__xludf.DUMMYFUNCTION("split(split(K2367,""剛力彩芽、"",false),""公式LINE"",false)"),"阿藤総理(小日向文世)にアメリカからの刺客が…!?アメリカ大統領からのあるメッセージを携えて、女性首席補佐官・アリー(草刈民代)が日本に緊急来日!突然のオファーで、官邸内に緊張が走る中、緊急会談で料理バトルが繰り広げられる!一方、阿藤総理の愛人スキャンダルが報道され、窮地に立たされる総理に、さらに厳しいバッシングの嵐が巻き起こる!阿藤政権最大のピンチに立ち向かうメッセージ料理とは!?")</f>
        <v>阿藤総理(小日向文世)にアメリカからの刺客が…!?アメリカ大統領からのあるメッセージを携えて、女性首席補佐官・アリー(草刈民代)が日本に緊急来日!突然のオファーで、官邸内に緊張が走る中、緊急会談で料理バトルが繰り広げられる!一方、阿藤総理の愛人スキャンダルが報道され、窮地に立たされる総理に、さらに厳しいバッシングの嵐が巻き起こる!阿藤政権最大のピンチに立ち向かうメッセージ料理とは!?</v>
      </c>
      <c r="N2367" s="2"/>
      <c r="O2367" s="2"/>
      <c r="P2367" s="1"/>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1"/>
      <c r="AY2367" s="1"/>
      <c r="AZ2367" s="1"/>
      <c r="BA2367" s="1"/>
      <c r="BB2367" s="1"/>
    </row>
    <row r="2368" ht="204.75" customHeight="1">
      <c r="A2368" s="1">
        <v>1609.0</v>
      </c>
      <c r="B2368" s="2" t="s">
        <v>7382</v>
      </c>
      <c r="C2368" s="2">
        <f>IFERROR(__xludf.DUMMYFUNCTION("split(B2368,""_"")"),1607.0)</f>
        <v>1607</v>
      </c>
      <c r="D2368" s="2" t="str">
        <f>IFERROR(__xludf.DUMMYFUNCTION("""COMPUTED_VALUE"""),"EX")</f>
        <v>EX</v>
      </c>
      <c r="E2368" s="2" t="str">
        <f>IFERROR(__xludf.DUMMYFUNCTION("""COMPUTED_VALUE"""),"金23")</f>
        <v>金23</v>
      </c>
      <c r="F2368" s="2" t="s">
        <v>7383</v>
      </c>
      <c r="G2368" s="2" t="s">
        <v>7399</v>
      </c>
      <c r="H2368" s="1">
        <v>6.0</v>
      </c>
      <c r="I2368" s="1" t="s">
        <v>2888</v>
      </c>
      <c r="J2368" s="1" t="s">
        <v>1435</v>
      </c>
      <c r="K2368" s="2" t="s">
        <v>7400</v>
      </c>
      <c r="L2368" s="11" t="s">
        <v>7401</v>
      </c>
      <c r="M2368" s="2" t="str">
        <f>IFERROR(__xludf.DUMMYFUNCTION("split(split(K2368,""剛力彩芽、"",false),""公式LINE"",false)"),"「総理vs傲慢官僚!さらに永田町に伝説の女料理人現る!」  官僚機構の改革を進めようとする阿藤総理(小日向文世 )に、事務次官の石垣(藤本隆宏)は猛反発!“内閣vs官僚""の構図が浮き彫りに…。総理の悪評が流されるまでに事態は悪化し、総理は石垣事務次官との緊急会談を開くことに!だが、その調理は官邸料理人のくるみ(剛力彩芽)には託されず…総理を助ける術がなくなったくるみは、永田町の伝説の女料理人に接触!")</f>
        <v>「総理vs傲慢官僚!さらに永田町に伝説の女料理人現る!」  官僚機構の改革を進めようとする阿藤総理(小日向文世 )に、事務次官の石垣(藤本隆宏)は猛反発!“内閣vs官僚"の構図が浮き彫りに…。総理の悪評が流されるまでに事態は悪化し、総理は石垣事務次官との緊急会談を開くことに!だが、その調理は官邸料理人のくるみ(剛力彩芽)には託されず…総理を助ける術がなくなったくるみは、永田町の伝説の女料理人に接触!</v>
      </c>
      <c r="N2368" s="2"/>
      <c r="O2368" s="2"/>
      <c r="P2368" s="1"/>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c r="AR2368" s="1"/>
      <c r="AS2368" s="1"/>
      <c r="AT2368" s="1"/>
      <c r="AU2368" s="1"/>
      <c r="AV2368" s="1"/>
      <c r="AW2368" s="1"/>
      <c r="AX2368" s="1"/>
      <c r="AY2368" s="1"/>
      <c r="AZ2368" s="1"/>
      <c r="BA2368" s="1"/>
      <c r="BB2368" s="1"/>
    </row>
    <row r="2369" ht="204.75" customHeight="1">
      <c r="A2369" s="1">
        <v>1610.0</v>
      </c>
      <c r="B2369" s="2" t="s">
        <v>7382</v>
      </c>
      <c r="C2369" s="2">
        <f>IFERROR(__xludf.DUMMYFUNCTION("split(B2369,""_"")"),1607.0)</f>
        <v>1607</v>
      </c>
      <c r="D2369" s="2" t="str">
        <f>IFERROR(__xludf.DUMMYFUNCTION("""COMPUTED_VALUE"""),"EX")</f>
        <v>EX</v>
      </c>
      <c r="E2369" s="2" t="str">
        <f>IFERROR(__xludf.DUMMYFUNCTION("""COMPUTED_VALUE"""),"金23")</f>
        <v>金23</v>
      </c>
      <c r="F2369" s="2" t="s">
        <v>7383</v>
      </c>
      <c r="G2369" s="2" t="s">
        <v>7402</v>
      </c>
      <c r="H2369" s="1">
        <v>7.0</v>
      </c>
      <c r="I2369" s="1" t="s">
        <v>2892</v>
      </c>
      <c r="J2369" s="1" t="s">
        <v>1435</v>
      </c>
      <c r="K2369" s="2" t="s">
        <v>7403</v>
      </c>
      <c r="L2369" s="11" t="s">
        <v>7404</v>
      </c>
      <c r="M2369" s="2" t="str">
        <f>IFERROR(__xludf.DUMMYFUNCTION("split(split(K2369,""剛力彩芽、"",false),""公式LINE"",false)"),"「日本レストラン王vs官邸料理人」  総理とパリ市長との会食を、日本のレストラン王の三戸が仕切る事になり、官邸グランメゾンが乗っ取られる事態に!だが、三戸は過去に食品偽装問題を糾弾した総理に恨みを持っていた。そこに注文した食材が届かない、というトラブルが発生!さらに、くるみが怪我で調理が出来ない状況に!窮地に陥った厨房を救おうとしたのは意外な人物だった。だが、その人物の過去が官邸最大の危機を招く事に!")</f>
        <v>「日本レストラン王vs官邸料理人」  総理とパリ市長との会食を、日本のレストラン王の三戸が仕切る事になり、官邸グランメゾンが乗っ取られる事態に!だが、三戸は過去に食品偽装問題を糾弾した総理に恨みを持っていた。そこに注文した食材が届かない、というトラブルが発生!さらに、くるみが怪我で調理が出来ない状況に!窮地に陥った厨房を救おうとしたのは意外な人物だった。だが、その人物の過去が官邸最大の危機を招く事に!</v>
      </c>
      <c r="N2369" s="2"/>
      <c r="O2369" s="2"/>
      <c r="P2369" s="1"/>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c r="AQ2369" s="1"/>
      <c r="AR2369" s="1"/>
      <c r="AS2369" s="1"/>
      <c r="AT2369" s="1"/>
      <c r="AU2369" s="1"/>
      <c r="AV2369" s="1"/>
      <c r="AW2369" s="1"/>
      <c r="AX2369" s="1"/>
      <c r="AY2369" s="1"/>
      <c r="AZ2369" s="1"/>
      <c r="BA2369" s="1"/>
      <c r="BB2369" s="1"/>
    </row>
    <row r="2370" ht="204.75" customHeight="1">
      <c r="A2370" s="1">
        <v>1611.0</v>
      </c>
      <c r="B2370" s="2" t="s">
        <v>7382</v>
      </c>
      <c r="C2370" s="2">
        <f>IFERROR(__xludf.DUMMYFUNCTION("split(B2370,""_"")"),1607.0)</f>
        <v>1607</v>
      </c>
      <c r="D2370" s="2" t="str">
        <f>IFERROR(__xludf.DUMMYFUNCTION("""COMPUTED_VALUE"""),"EX")</f>
        <v>EX</v>
      </c>
      <c r="E2370" s="2" t="str">
        <f>IFERROR(__xludf.DUMMYFUNCTION("""COMPUTED_VALUE"""),"金23")</f>
        <v>金23</v>
      </c>
      <c r="F2370" s="2" t="s">
        <v>7383</v>
      </c>
      <c r="G2370" s="2" t="s">
        <v>7405</v>
      </c>
      <c r="H2370" s="1">
        <v>8.0</v>
      </c>
      <c r="I2370" s="1" t="s">
        <v>2896</v>
      </c>
      <c r="J2370" s="1" t="s">
        <v>1435</v>
      </c>
      <c r="K2370" s="2" t="s">
        <v>7406</v>
      </c>
      <c r="L2370" s="11" t="s">
        <v>7407</v>
      </c>
      <c r="M2370" s="2" t="str">
        <f>IFERROR(__xludf.DUMMYFUNCTION("split(split(K2370,""剛力彩芽、"",false),""公式LINE"",false)"),"「総理大臣vs次期総理大臣候補!」  巷で絶大な人気を誇る若手政治家・氷室(葛山信吾)が、阿藤総理(小日向文世)と“官邸グラン・メゾン""を真っ向からバッシング。そして、次期内閣総理大臣を目指すことを記者たちの前で宣言する。そんな中、阿藤総理は報道陣の前で倒れ、内閣支持率は急降下。氷室には退陣を迫られ、崖っぷちとなる。阿藤と氷室の会談を成功させるため、くるみ(剛力彩芽)が最後のひと皿に込める思いとは…?")</f>
        <v>「総理大臣vs次期総理大臣候補!」  巷で絶大な人気を誇る若手政治家・氷室(葛山信吾)が、阿藤総理(小日向文世)と“官邸グラン・メゾン"を真っ向からバッシング。そして、次期内閣総理大臣を目指すことを記者たちの前で宣言する。そんな中、阿藤総理は報道陣の前で倒れ、内閣支持率は急降下。氷室には退陣を迫られ、崖っぷちとなる。阿藤と氷室の会談を成功させるため、くるみ(剛力彩芽)が最後のひと皿に込める思いとは…?</v>
      </c>
      <c r="N2370" s="2"/>
      <c r="O2370" s="2"/>
      <c r="P2370" s="1"/>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1"/>
      <c r="AY2370" s="1"/>
      <c r="AZ2370" s="1"/>
      <c r="BA2370" s="1"/>
      <c r="BB2370" s="1"/>
    </row>
    <row r="2371" ht="204.75" customHeight="1">
      <c r="A2371" s="1">
        <v>1682.0</v>
      </c>
      <c r="B2371" s="2" t="s">
        <v>7408</v>
      </c>
      <c r="C2371" s="2">
        <f>IFERROR(__xludf.DUMMYFUNCTION("split(B2371,""_"")"),1604.0)</f>
        <v>1604</v>
      </c>
      <c r="D2371" s="2" t="str">
        <f>IFERROR(__xludf.DUMMYFUNCTION("""COMPUTED_VALUE"""),"EX")</f>
        <v>EX</v>
      </c>
      <c r="E2371" s="2" t="str">
        <f>IFERROR(__xludf.DUMMYFUNCTION("""COMPUTED_VALUE"""),"木21")</f>
        <v>木21</v>
      </c>
      <c r="F2371" s="2" t="s">
        <v>7409</v>
      </c>
      <c r="G2371" s="2" t="s">
        <v>7410</v>
      </c>
      <c r="H2371" s="1">
        <v>1.0</v>
      </c>
      <c r="I2371" s="1" t="s">
        <v>2868</v>
      </c>
      <c r="J2371" s="1" t="s">
        <v>4</v>
      </c>
      <c r="K2371" s="4" t="s">
        <v>7411</v>
      </c>
      <c r="L2371" s="11" t="s">
        <v>7412</v>
      </c>
      <c r="M2371" s="2" t="str">
        <f>IFERROR(__xludf.DUMMYFUNCTION("split(split(K2371,""竹野内豊、"",false),""公式LINE"",false)"),"『神宮寺法律事務所』のボスである神宮寺一彦(國村隼)は、敏腕弁護士・咲坂健人(竹野内豊)に新人弁護士・熱海優作(賀来賢人)の教育係になるように言い渡す。その事務所には、咲坂の元妻で弁護士の夏目佳恵(松雪泰子)や猫田純一(杉本哲太)ら最強弁護士軍団が。咲坂にデザイン会社の社長・重国(鈴木杏樹)から、著作権訴訟の弁護依頼が舞い込む。勝ち目がない完全不利な訴訟事件だが、咲坂は全面的に争うことを宣言する。")</f>
        <v>『神宮寺法律事務所』のボスである神宮寺一彦(國村隼)は、敏腕弁護士・咲坂健人(竹野内豊)に新人弁護士・熱海優作(賀来賢人)の教育係になるように言い渡す。その事務所には、咲坂の元妻で弁護士の夏目佳恵(松雪泰子)や猫田純一(杉本哲太)ら最強弁護士軍団が。咲坂にデザイン会社の社長・重国(鈴木杏樹)から、著作権訴訟の弁護依頼が舞い込む。勝ち目がない完全不利な訴訟事件だが、咲坂は全面的に争うことを宣言する。</v>
      </c>
      <c r="N2371" s="2"/>
      <c r="O2371" s="2"/>
      <c r="P2371" s="1"/>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1"/>
      <c r="AY2371" s="1"/>
      <c r="AZ2371" s="1"/>
      <c r="BA2371" s="1"/>
      <c r="BB2371" s="1"/>
    </row>
    <row r="2372" ht="204.75" customHeight="1">
      <c r="A2372" s="1">
        <v>1683.0</v>
      </c>
      <c r="B2372" s="2" t="s">
        <v>7408</v>
      </c>
      <c r="C2372" s="2">
        <f>IFERROR(__xludf.DUMMYFUNCTION("split(B2372,""_"")"),1604.0)</f>
        <v>1604</v>
      </c>
      <c r="D2372" s="2" t="str">
        <f>IFERROR(__xludf.DUMMYFUNCTION("""COMPUTED_VALUE"""),"EX")</f>
        <v>EX</v>
      </c>
      <c r="E2372" s="2" t="str">
        <f>IFERROR(__xludf.DUMMYFUNCTION("""COMPUTED_VALUE"""),"木21")</f>
        <v>木21</v>
      </c>
      <c r="F2372" s="2" t="s">
        <v>7409</v>
      </c>
      <c r="G2372" s="2" t="s">
        <v>7413</v>
      </c>
      <c r="H2372" s="1">
        <v>2.0</v>
      </c>
      <c r="I2372" s="1" t="s">
        <v>2872</v>
      </c>
      <c r="J2372" s="1" t="s">
        <v>11</v>
      </c>
      <c r="K2372" s="2" t="s">
        <v>7414</v>
      </c>
      <c r="L2372" s="11" t="s">
        <v>7415</v>
      </c>
      <c r="M2372" s="2" t="str">
        <f>IFERROR(__xludf.DUMMYFUNCTION("split(split(K2372,""竹野内豊、"",false),""公式LINE"",false)"),"咲坂(竹野内豊)の顧問先の企業が、元社員・小西(野間口徹)の不当解雇で訴えられ、小西の弁護士・宮前(モロ師岡)に、会社に戻せないならば残りの2年分の給与2400万円を支払うことを要求された。一方、夏目(松雪泰子)も顧問先の企業合併が破談になり、先方の顧問弁護士に会いに行くと、なんと咲坂の案件と同じ宮前だった。神宮寺(國村隼)に「絶対に勝て」と焚き付けられた2人は、思いもよらない方法で曲者弁護士に立ち向かう!")</f>
        <v>咲坂(竹野内豊)の顧問先の企業が、元社員・小西(野間口徹)の不当解雇で訴えられ、小西の弁護士・宮前(モロ師岡)に、会社に戻せないならば残りの2年分の給与2400万円を支払うことを要求された。一方、夏目(松雪泰子)も顧問先の企業合併が破談になり、先方の顧問弁護士に会いに行くと、なんと咲坂の案件と同じ宮前だった。神宮寺(國村隼)に「絶対に勝て」と焚き付けられた2人は、思いもよらない方法で曲者弁護士に立ち向かう!</v>
      </c>
      <c r="N2372" s="2"/>
      <c r="O2372" s="2"/>
      <c r="P2372" s="1"/>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1"/>
      <c r="AY2372" s="1"/>
      <c r="AZ2372" s="1"/>
      <c r="BA2372" s="1"/>
      <c r="BB2372" s="1"/>
    </row>
    <row r="2373" ht="204.75" customHeight="1">
      <c r="A2373" s="1">
        <v>1684.0</v>
      </c>
      <c r="B2373" s="2" t="s">
        <v>7408</v>
      </c>
      <c r="C2373" s="2">
        <f>IFERROR(__xludf.DUMMYFUNCTION("split(B2373,""_"")"),1604.0)</f>
        <v>1604</v>
      </c>
      <c r="D2373" s="2" t="str">
        <f>IFERROR(__xludf.DUMMYFUNCTION("""COMPUTED_VALUE"""),"EX")</f>
        <v>EX</v>
      </c>
      <c r="E2373" s="2" t="str">
        <f>IFERROR(__xludf.DUMMYFUNCTION("""COMPUTED_VALUE"""),"木21")</f>
        <v>木21</v>
      </c>
      <c r="F2373" s="2" t="s">
        <v>7409</v>
      </c>
      <c r="G2373" s="2" t="s">
        <v>7416</v>
      </c>
      <c r="H2373" s="1">
        <v>3.0</v>
      </c>
      <c r="I2373" s="1" t="s">
        <v>2876</v>
      </c>
      <c r="J2373" s="1" t="s">
        <v>11</v>
      </c>
      <c r="K2373" s="2" t="s">
        <v>7417</v>
      </c>
      <c r="L2373" s="11" t="s">
        <v>7418</v>
      </c>
      <c r="M2373" s="2" t="str">
        <f>IFERROR(__xludf.DUMMYFUNCTION("split(split(K2373,""竹野内豊、"",false),""公式LINE"",false)"),"猫田(杉本哲太)が手がける企業の上場案件にトラブル発生!信頼して業務委託をしていた会社が、暴力団に関連する企業である疑いが浮上。案件を手伝う咲坂(竹野内豊)と熱海(賀来賢人)は、猫田とその企業の社長(星田英利)に会いに行くが、事実ではないと追い返されてしまう。そんな時、咲坂と佳恵(松雪泰子)の一人娘・みずき(松風理咲)の盗撮写真が事務所に送られてきた。2人は、暴力団からの脅しだと慌てて…")</f>
        <v>猫田(杉本哲太)が手がける企業の上場案件にトラブル発生!信頼して業務委託をしていた会社が、暴力団に関連する企業である疑いが浮上。案件を手伝う咲坂(竹野内豊)と熱海(賀来賢人)は、猫田とその企業の社長(星田英利)に会いに行くが、事実ではないと追い返されてしまう。そんな時、咲坂と佳恵(松雪泰子)の一人娘・みずき(松風理咲)の盗撮写真が事務所に送られてきた。2人は、暴力団からの脅しだと慌てて…</v>
      </c>
      <c r="N2373" s="2"/>
      <c r="O2373" s="2"/>
      <c r="P2373" s="1"/>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c r="AN2373" s="1"/>
      <c r="AO2373" s="1"/>
      <c r="AP2373" s="1"/>
      <c r="AQ2373" s="1"/>
      <c r="AR2373" s="1"/>
      <c r="AS2373" s="1"/>
      <c r="AT2373" s="1"/>
      <c r="AU2373" s="1"/>
      <c r="AV2373" s="1"/>
      <c r="AW2373" s="1"/>
      <c r="AX2373" s="1"/>
      <c r="AY2373" s="1"/>
      <c r="AZ2373" s="1"/>
      <c r="BA2373" s="1"/>
      <c r="BB2373" s="1"/>
    </row>
    <row r="2374" ht="204.75" customHeight="1">
      <c r="A2374" s="1">
        <v>1685.0</v>
      </c>
      <c r="B2374" s="2" t="s">
        <v>7408</v>
      </c>
      <c r="C2374" s="2">
        <f>IFERROR(__xludf.DUMMYFUNCTION("split(B2374,""_"")"),1604.0)</f>
        <v>1604</v>
      </c>
      <c r="D2374" s="2" t="str">
        <f>IFERROR(__xludf.DUMMYFUNCTION("""COMPUTED_VALUE"""),"EX")</f>
        <v>EX</v>
      </c>
      <c r="E2374" s="2" t="str">
        <f>IFERROR(__xludf.DUMMYFUNCTION("""COMPUTED_VALUE"""),"木21")</f>
        <v>木21</v>
      </c>
      <c r="F2374" s="2" t="s">
        <v>7409</v>
      </c>
      <c r="G2374" s="2" t="s">
        <v>7419</v>
      </c>
      <c r="H2374" s="1">
        <v>4.0</v>
      </c>
      <c r="I2374" s="1" t="s">
        <v>2880</v>
      </c>
      <c r="J2374" s="1" t="s">
        <v>11</v>
      </c>
      <c r="K2374" s="2" t="s">
        <v>7420</v>
      </c>
      <c r="L2374" s="11" t="s">
        <v>7421</v>
      </c>
      <c r="M2374" s="2" t="str">
        <f>IFERROR(__xludf.DUMMYFUNCTION("split(split(K2374,""竹野内豊、"",false),""公式LINE"",false)"),"顧問先の老舗シューズメーカーの会長・健三(竜雷太)が、息子であり現社長の孝太郎(矢柴俊博)への不満を爆発させた。会社を守り続けてきた健三は、靴屋にも関わらず飲食店経営に手を出す息子が許せず、お家騒動にまで発展。咲坂(竹野内豊)と熱海(賀来賢人)は、親子の仲を取り持つことが解決策だと、大きな賭けにでる。一方、佳恵(松雪泰子)のアソシエイト・赤星(山崎育三郎)が入院し、九十九(大倉孝二)が指名され…。")</f>
        <v>顧問先の老舗シューズメーカーの会長・健三(竜雷太)が、息子であり現社長の孝太郎(矢柴俊博)への不満を爆発させた。会社を守り続けてきた健三は、靴屋にも関わらず飲食店経営に手を出す息子が許せず、お家騒動にまで発展。咲坂(竹野内豊)と熱海(賀来賢人)は、親子の仲を取り持つことが解決策だと、大きな賭けにでる。一方、佳恵(松雪泰子)のアソシエイト・赤星(山崎育三郎)が入院し、九十九(大倉孝二)が指名され…。</v>
      </c>
      <c r="N2374" s="2"/>
      <c r="O2374" s="2"/>
      <c r="P2374" s="1"/>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1"/>
      <c r="AT2374" s="1"/>
      <c r="AU2374" s="1"/>
      <c r="AV2374" s="1"/>
      <c r="AW2374" s="1"/>
      <c r="AX2374" s="1"/>
      <c r="AY2374" s="1"/>
      <c r="AZ2374" s="1"/>
      <c r="BA2374" s="1"/>
      <c r="BB2374" s="1"/>
    </row>
    <row r="2375" ht="204.75" customHeight="1">
      <c r="A2375" s="1">
        <v>1686.0</v>
      </c>
      <c r="B2375" s="2" t="s">
        <v>7408</v>
      </c>
      <c r="C2375" s="2">
        <f>IFERROR(__xludf.DUMMYFUNCTION("split(B2375,""_"")"),1604.0)</f>
        <v>1604</v>
      </c>
      <c r="D2375" s="2" t="str">
        <f>IFERROR(__xludf.DUMMYFUNCTION("""COMPUTED_VALUE"""),"EX")</f>
        <v>EX</v>
      </c>
      <c r="E2375" s="2" t="str">
        <f>IFERROR(__xludf.DUMMYFUNCTION("""COMPUTED_VALUE"""),"木21")</f>
        <v>木21</v>
      </c>
      <c r="F2375" s="2" t="s">
        <v>7409</v>
      </c>
      <c r="G2375" s="2" t="s">
        <v>7422</v>
      </c>
      <c r="H2375" s="1">
        <v>5.0</v>
      </c>
      <c r="I2375" s="1" t="s">
        <v>2884</v>
      </c>
      <c r="J2375" s="1" t="s">
        <v>11</v>
      </c>
      <c r="K2375" s="2" t="s">
        <v>7423</v>
      </c>
      <c r="L2375" s="11" t="s">
        <v>7424</v>
      </c>
      <c r="M2375" s="2" t="str">
        <f>IFERROR(__xludf.DUMMYFUNCTION("split(split(K2375,""竹野内豊、"",false),""公式LINE"",false)"),"顧問先の病院から依頼され、セクハラ講習会の講師をする咲坂(竹野内豊)と熱海(賀来健人)。その病院の事務長・葛原(小林隆)の様子がおかしいことに気付いた咲坂は、葛原から病院のエース医師・厚木(神尾佑)による看護師たちへのセクハラ問題が起きていることを相談される。神宮寺(國村隼)に、「セクハラ問題なら夏目先生(松雪泰子)の力を借りろ」と言われ、咲坂は不本意ながら佳恵と隠蔽体質の病院にメスを入れていく!")</f>
        <v>顧問先の病院から依頼され、セクハラ講習会の講師をする咲坂(竹野内豊)と熱海(賀来健人)。その病院の事務長・葛原(小林隆)の様子がおかしいことに気付いた咲坂は、葛原から病院のエース医師・厚木(神尾佑)による看護師たちへのセクハラ問題が起きていることを相談される。神宮寺(國村隼)に、「セクハラ問題なら夏目先生(松雪泰子)の力を借りろ」と言われ、咲坂は不本意ながら佳恵と隠蔽体質の病院にメスを入れていく!</v>
      </c>
      <c r="N2375" s="2"/>
      <c r="O2375" s="2"/>
      <c r="P2375" s="1"/>
      <c r="Q2375" s="1"/>
      <c r="R2375" s="1"/>
      <c r="S2375" s="1"/>
      <c r="T2375" s="1"/>
      <c r="U2375" s="1"/>
      <c r="V2375" s="1"/>
      <c r="W2375" s="1"/>
      <c r="X2375" s="1"/>
      <c r="Y2375" s="1"/>
      <c r="Z2375" s="1"/>
      <c r="AA2375" s="1"/>
      <c r="AB2375" s="1"/>
      <c r="AC2375" s="1"/>
      <c r="AD2375" s="1"/>
      <c r="AE2375" s="1"/>
      <c r="AF2375" s="1"/>
      <c r="AG2375" s="1"/>
      <c r="AH2375" s="1"/>
      <c r="AI2375" s="1"/>
      <c r="AJ2375" s="1"/>
      <c r="AK2375" s="1"/>
      <c r="AL2375" s="1"/>
      <c r="AM2375" s="1"/>
      <c r="AN2375" s="1"/>
      <c r="AO2375" s="1"/>
      <c r="AP2375" s="1"/>
      <c r="AQ2375" s="1"/>
      <c r="AR2375" s="1"/>
      <c r="AS2375" s="1"/>
      <c r="AT2375" s="1"/>
      <c r="AU2375" s="1"/>
      <c r="AV2375" s="1"/>
      <c r="AW2375" s="1"/>
      <c r="AX2375" s="1"/>
      <c r="AY2375" s="1"/>
      <c r="AZ2375" s="1"/>
      <c r="BA2375" s="1"/>
      <c r="BB2375" s="1"/>
    </row>
    <row r="2376" ht="204.75" customHeight="1">
      <c r="A2376" s="1">
        <v>1687.0</v>
      </c>
      <c r="B2376" s="2" t="s">
        <v>7408</v>
      </c>
      <c r="C2376" s="2">
        <f>IFERROR(__xludf.DUMMYFUNCTION("split(B2376,""_"")"),1604.0)</f>
        <v>1604</v>
      </c>
      <c r="D2376" s="2" t="str">
        <f>IFERROR(__xludf.DUMMYFUNCTION("""COMPUTED_VALUE"""),"EX")</f>
        <v>EX</v>
      </c>
      <c r="E2376" s="2" t="str">
        <f>IFERROR(__xludf.DUMMYFUNCTION("""COMPUTED_VALUE"""),"木21")</f>
        <v>木21</v>
      </c>
      <c r="F2376" s="2" t="s">
        <v>7409</v>
      </c>
      <c r="G2376" s="2" t="s">
        <v>7425</v>
      </c>
      <c r="H2376" s="1">
        <v>6.0</v>
      </c>
      <c r="I2376" s="1" t="s">
        <v>2888</v>
      </c>
      <c r="J2376" s="1" t="s">
        <v>11</v>
      </c>
      <c r="K2376" s="2" t="s">
        <v>7426</v>
      </c>
      <c r="L2376" s="11" t="s">
        <v>7427</v>
      </c>
      <c r="M2376" s="2" t="str">
        <f>IFERROR(__xludf.DUMMYFUNCTION("split(split(K2376,""竹野内豊、"",false),""公式LINE"",false)"),"咲坂(竹野内豊)に、そば店を経営する夫婦が「都内に数店舗ある店の経営が数年前から傾き始め倒産寸前」だと、飛び込みの相談にやってきた。「従業員や取引先に迷惑をかけないために店は潰せない」と言う店主のために、咲坂と熱海(賀来賢人)は再建に向けての計画をたてるが、財務に強い赤星(山崎育三郎)は倒産を勧める。真っ向から意見が対立する咲坂と赤星。実は赤星には、佳恵(松雪泰子)にも告白していない過去があり…。")</f>
        <v>咲坂(竹野内豊)に、そば店を経営する夫婦が「都内に数店舗ある店の経営が数年前から傾き始め倒産寸前」だと、飛び込みの相談にやってきた。「従業員や取引先に迷惑をかけないために店は潰せない」と言う店主のために、咲坂と熱海(賀来賢人)は再建に向けての計画をたてるが、財務に強い赤星(山崎育三郎)は倒産を勧める。真っ向から意見が対立する咲坂と赤星。実は赤星には、佳恵(松雪泰子)にも告白していない過去があり…。</v>
      </c>
      <c r="N2376" s="2"/>
      <c r="O2376" s="2"/>
      <c r="P2376" s="1"/>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1"/>
      <c r="AY2376" s="1"/>
      <c r="AZ2376" s="1"/>
      <c r="BA2376" s="1"/>
      <c r="BB2376" s="1"/>
    </row>
    <row r="2377" ht="204.75" customHeight="1">
      <c r="A2377" s="1">
        <v>1688.0</v>
      </c>
      <c r="B2377" s="2" t="s">
        <v>7408</v>
      </c>
      <c r="C2377" s="2">
        <f>IFERROR(__xludf.DUMMYFUNCTION("split(B2377,""_"")"),1604.0)</f>
        <v>1604</v>
      </c>
      <c r="D2377" s="2" t="str">
        <f>IFERROR(__xludf.DUMMYFUNCTION("""COMPUTED_VALUE"""),"EX")</f>
        <v>EX</v>
      </c>
      <c r="E2377" s="2" t="str">
        <f>IFERROR(__xludf.DUMMYFUNCTION("""COMPUTED_VALUE"""),"木21")</f>
        <v>木21</v>
      </c>
      <c r="F2377" s="2" t="s">
        <v>7409</v>
      </c>
      <c r="G2377" s="2" t="s">
        <v>7428</v>
      </c>
      <c r="H2377" s="1">
        <v>7.0</v>
      </c>
      <c r="I2377" s="1" t="s">
        <v>2892</v>
      </c>
      <c r="J2377" s="1" t="s">
        <v>11</v>
      </c>
      <c r="K2377" s="2" t="s">
        <v>7429</v>
      </c>
      <c r="L2377" s="11" t="s">
        <v>7430</v>
      </c>
      <c r="M2377" s="2" t="str">
        <f>IFERROR(__xludf.DUMMYFUNCTION("split(split(K2377,""竹野内豊、"",false),""公式LINE"",false)"),"熱海(賀来賢人)は、幼なじみの勝太(渋谷謙人)から、親子で営む旅館・しらかぜ荘で温泉汲み上げ施設の爆発事故があったことを聞く。施設管理会社の社長・土井垣(福田転球)は一切責任をとらず、勝太の父は多額の借金に悩み、亡くなってしまった。熱海は咲坂(竹野内豊)に「こんな理不尽は許せない」と訴える。熱海の熱い想いで咲坂や佳恵(松雪泰子)は、しらかぜ荘を立て直すことを決意するが、土井垣には大物政治家がバックにいて…!?")</f>
        <v>熱海(賀来賢人)は、幼なじみの勝太(渋谷謙人)から、親子で営む旅館・しらかぜ荘で温泉汲み上げ施設の爆発事故があったことを聞く。施設管理会社の社長・土井垣(福田転球)は一切責任をとらず、勝太の父は多額の借金に悩み、亡くなってしまった。熱海は咲坂(竹野内豊)に「こんな理不尽は許せない」と訴える。熱海の熱い想いで咲坂や佳恵(松雪泰子)は、しらかぜ荘を立て直すことを決意するが、土井垣には大物政治家がバックにいて…!?</v>
      </c>
      <c r="N2377" s="2"/>
      <c r="O2377" s="2"/>
      <c r="P2377" s="1"/>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1"/>
      <c r="AT2377" s="1"/>
      <c r="AU2377" s="1"/>
      <c r="AV2377" s="1"/>
      <c r="AW2377" s="1"/>
      <c r="AX2377" s="1"/>
      <c r="AY2377" s="1"/>
      <c r="AZ2377" s="1"/>
      <c r="BA2377" s="1"/>
      <c r="BB2377" s="1"/>
    </row>
    <row r="2378" ht="204.75" customHeight="1">
      <c r="A2378" s="1">
        <v>1689.0</v>
      </c>
      <c r="B2378" s="2" t="s">
        <v>7408</v>
      </c>
      <c r="C2378" s="2">
        <f>IFERROR(__xludf.DUMMYFUNCTION("split(B2378,""_"")"),1604.0)</f>
        <v>1604</v>
      </c>
      <c r="D2378" s="2" t="str">
        <f>IFERROR(__xludf.DUMMYFUNCTION("""COMPUTED_VALUE"""),"EX")</f>
        <v>EX</v>
      </c>
      <c r="E2378" s="2" t="str">
        <f>IFERROR(__xludf.DUMMYFUNCTION("""COMPUTED_VALUE"""),"木21")</f>
        <v>木21</v>
      </c>
      <c r="F2378" s="2" t="s">
        <v>7409</v>
      </c>
      <c r="G2378" s="2" t="s">
        <v>7431</v>
      </c>
      <c r="H2378" s="1">
        <v>8.0</v>
      </c>
      <c r="I2378" s="1" t="s">
        <v>2896</v>
      </c>
      <c r="J2378" s="1" t="s">
        <v>11</v>
      </c>
      <c r="K2378" s="2" t="s">
        <v>7432</v>
      </c>
      <c r="L2378" s="11" t="s">
        <v>7433</v>
      </c>
      <c r="M2378" s="2" t="str">
        <f>IFERROR(__xludf.DUMMYFUNCTION("split(split(K2378,""竹野内豊、"",false),""公式LINE"",false)"),"熱海(賀来賢人)の幼なじみの家族が経営する温泉宿『しらかぜ荘』を救うために咲坂(竹野内豊)と佳恵(松雪泰子)らは、爆発事故を起こした施設管理会社の土井垣(福田転球)の代理人である岬弁護士(正名僕蔵)に異議申し立てをする。しかし、第一回口頭弁論を終えて帰ってきた佳恵から「負けたわ」と衝撃の言葉が…。苦境に立たされた咲坂は、思いもよらない方法でしらかぜ荘を救うことを思いつき、事務所総出で証明を試みる!!")</f>
        <v>熱海(賀来賢人)の幼なじみの家族が経営する温泉宿『しらかぜ荘』を救うために咲坂(竹野内豊)と佳恵(松雪泰子)らは、爆発事故を起こした施設管理会社の土井垣(福田転球)の代理人である岬弁護士(正名僕蔵)に異議申し立てをする。しかし、第一回口頭弁論を終えて帰ってきた佳恵から「負けたわ」と衝撃の言葉が…。苦境に立たされた咲坂は、思いもよらない方法でしらかぜ荘を救うことを思いつき、事務所総出で証明を試みる!!</v>
      </c>
      <c r="N2378" s="2"/>
      <c r="O2378" s="2"/>
      <c r="P2378" s="1"/>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1"/>
      <c r="AT2378" s="1"/>
      <c r="AU2378" s="1"/>
      <c r="AV2378" s="1"/>
      <c r="AW2378" s="1"/>
      <c r="AX2378" s="1"/>
      <c r="AY2378" s="1"/>
      <c r="AZ2378" s="1"/>
      <c r="BA2378" s="1"/>
      <c r="BB2378" s="1"/>
    </row>
    <row r="2379" ht="204.75" customHeight="1">
      <c r="A2379" s="1">
        <v>1690.0</v>
      </c>
      <c r="B2379" s="2" t="s">
        <v>7408</v>
      </c>
      <c r="C2379" s="2">
        <f>IFERROR(__xludf.DUMMYFUNCTION("split(B2379,""_"")"),1604.0)</f>
        <v>1604</v>
      </c>
      <c r="D2379" s="2" t="str">
        <f>IFERROR(__xludf.DUMMYFUNCTION("""COMPUTED_VALUE"""),"EX")</f>
        <v>EX</v>
      </c>
      <c r="E2379" s="2" t="str">
        <f>IFERROR(__xludf.DUMMYFUNCTION("""COMPUTED_VALUE"""),"木21")</f>
        <v>木21</v>
      </c>
      <c r="F2379" s="2" t="s">
        <v>7409</v>
      </c>
      <c r="G2379" s="2" t="s">
        <v>7434</v>
      </c>
      <c r="H2379" s="1">
        <v>9.0</v>
      </c>
      <c r="I2379" s="1" t="s">
        <v>2900</v>
      </c>
      <c r="J2379" s="1" t="s">
        <v>11</v>
      </c>
      <c r="K2379" s="2" t="s">
        <v>7435</v>
      </c>
      <c r="L2379" s="11" t="s">
        <v>7436</v>
      </c>
      <c r="M2379" s="2" t="str">
        <f>IFERROR(__xludf.DUMMYFUNCTION("split(split(K2379,""竹野内豊、"",false),""公式LINE"",false)"),"顧問先の社長夫人(戸田菜穂)が「夫(橋本さとし)と離婚したい」と、咲坂(竹野内豊)と佳恵(松雪泰子)に相談にくる。夫の会社の顧問である神宮寺法律事務所は、「妻側の弁護はできない」と断る。しかし、佳恵が「少し考えさせてほしい」と言ったことで、熱海(賀来賢人)や赤星(山崎育三郎)は戸惑いを隠せない。実は佳恵は、知り合いの弁護士・亜希子(峯村リエ)からヘッドハントされていた…。最後の案件に、咲坂がとった手段とは!?")</f>
        <v>顧問先の社長夫人(戸田菜穂)が「夫(橋本さとし)と離婚したい」と、咲坂(竹野内豊)と佳恵(松雪泰子)に相談にくる。夫の会社の顧問である神宮寺法律事務所は、「妻側の弁護はできない」と断る。しかし、佳恵が「少し考えさせてほしい」と言ったことで、熱海(賀来賢人)や赤星(山崎育三郎)は戸惑いを隠せない。実は佳恵は、知り合いの弁護士・亜希子(峯村リエ)からヘッドハントされていた…。最後の案件に、咲坂がとった手段とは!?</v>
      </c>
      <c r="N2379" s="2"/>
      <c r="O2379" s="2"/>
      <c r="P2379" s="1"/>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1"/>
      <c r="AY2379" s="1"/>
      <c r="AZ2379" s="1"/>
      <c r="BA2379" s="1"/>
      <c r="BB2379" s="1"/>
    </row>
    <row r="2380" ht="204.75" customHeight="1">
      <c r="A2380" s="1">
        <v>1712.0</v>
      </c>
      <c r="B2380" s="2" t="s">
        <v>7437</v>
      </c>
      <c r="C2380" s="2">
        <f>IFERROR(__xludf.DUMMYFUNCTION("split(B2380,""_"")"),1604.0)</f>
        <v>1604</v>
      </c>
      <c r="D2380" s="2" t="str">
        <f>IFERROR(__xludf.DUMMYFUNCTION("""COMPUTED_VALUE"""),"EX")</f>
        <v>EX</v>
      </c>
      <c r="E2380" s="2" t="str">
        <f>IFERROR(__xludf.DUMMYFUNCTION("""COMPUTED_VALUE"""),"金23")</f>
        <v>金23</v>
      </c>
      <c r="F2380" s="2" t="s">
        <v>7438</v>
      </c>
      <c r="G2380" s="2" t="s">
        <v>7439</v>
      </c>
      <c r="H2380" s="1">
        <v>1.0</v>
      </c>
      <c r="I2380" s="1" t="s">
        <v>2868</v>
      </c>
      <c r="J2380" s="1" t="s">
        <v>1435</v>
      </c>
      <c r="K2380" s="4" t="s">
        <v>7440</v>
      </c>
      <c r="L2380" s="11" t="s">
        <v>7441</v>
      </c>
      <c r="M2380" s="2" t="str">
        <f>IFERROR(__xludf.DUMMYFUNCTION("split(split(K2380,""水越麻也子…"",false),""公式LINE"",false)"),"結婚して5年、麻也子(栗山千明)は、マザコンで潔癖症の夫・航一(稲垣吾郎)とセックスレスの日々を送る。満たされない麻也子は、昔の恋人・野村(成宮寛貴)に連絡をとり、「不倫」という危険な道へと溺れてゆく。さらに、少年のような音楽評論家・通彦(市原隼人)と運命的な出会いを果たし、女友達の久美(高梨臨)や玲子(橋本マナミ)をも巻き込んで、やがてドロドロの愛憎劇に発展してゆく…!")</f>
        <v>結婚して5年、麻也子(栗山千明)は、マザコンで潔癖症の夫・航一(稲垣吾郎)とセックスレスの日々を送る。満たされない麻也子は、昔の恋人・野村(成宮寛貴)に連絡をとり、「不倫」という危険な道へと溺れてゆく。さらに、少年のような音楽評論家・通彦(市原隼人)と運命的な出会いを果たし、女友達の久美(高梨臨)や玲子(橋本マナミ)をも巻き込んで、やがてドロドロの愛憎劇に発展してゆく…!</v>
      </c>
      <c r="N2380" s="2"/>
      <c r="O2380" s="2"/>
      <c r="P2380" s="1"/>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1"/>
      <c r="AU2380" s="1"/>
      <c r="AV2380" s="1"/>
      <c r="AW2380" s="1"/>
      <c r="AX2380" s="1"/>
      <c r="AY2380" s="1"/>
      <c r="AZ2380" s="1"/>
      <c r="BA2380" s="1"/>
      <c r="BB2380" s="1"/>
    </row>
    <row r="2381" ht="204.75" customHeight="1">
      <c r="A2381" s="1">
        <v>1713.0</v>
      </c>
      <c r="B2381" s="2" t="s">
        <v>7437</v>
      </c>
      <c r="C2381" s="2">
        <f>IFERROR(__xludf.DUMMYFUNCTION("split(B2381,""_"")"),1604.0)</f>
        <v>1604</v>
      </c>
      <c r="D2381" s="2" t="str">
        <f>IFERROR(__xludf.DUMMYFUNCTION("""COMPUTED_VALUE"""),"EX")</f>
        <v>EX</v>
      </c>
      <c r="E2381" s="2" t="str">
        <f>IFERROR(__xludf.DUMMYFUNCTION("""COMPUTED_VALUE"""),"金23")</f>
        <v>金23</v>
      </c>
      <c r="F2381" s="2" t="s">
        <v>7438</v>
      </c>
      <c r="G2381" s="2" t="s">
        <v>7442</v>
      </c>
      <c r="H2381" s="1">
        <v>2.0</v>
      </c>
      <c r="J2381" s="1" t="s">
        <v>1435</v>
      </c>
      <c r="K2381" s="2" t="s">
        <v>7443</v>
      </c>
      <c r="L2381" s="11" t="s">
        <v>7444</v>
      </c>
      <c r="M2381" s="2" t="str">
        <f>IFERROR(__xludf.DUMMYFUNCTION("split(split(K2381,""水越麻也子…"",false),""公式LINE"",false)"),"マザコンの夫・航一(稲垣吾郎)に不満を持つ麻也子(栗山千明)は、昔の恋人・野村(成宮寛貴)と不倫の一歩を踏み出してしまう。一方、不倫を憎む女友達・久美(高梨臨)も、誰かと秘密の連絡を取り合っており…!そんな頃、麻也子は音楽評論家・通彦(市原隼人)と偶然の再会を果たすが…。そして、遂に麻也子は野村と箱根に不倫旅行へ。その裏で、夫・航一のとんでもない秘密が明らかになる!")</f>
        <v>マザコンの夫・航一(稲垣吾郎)に不満を持つ麻也子(栗山千明)は、昔の恋人・野村(成宮寛貴)と不倫の一歩を踏み出してしまう。一方、不倫を憎む女友達・久美(高梨臨)も、誰かと秘密の連絡を取り合っており…!そんな頃、麻也子は音楽評論家・通彦(市原隼人)と偶然の再会を果たすが…。そして、遂に麻也子は野村と箱根に不倫旅行へ。その裏で、夫・航一のとんでもない秘密が明らかになる!</v>
      </c>
      <c r="N2381" s="2"/>
      <c r="O2381" s="2"/>
      <c r="P2381" s="1"/>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1"/>
      <c r="AU2381" s="1"/>
      <c r="AV2381" s="1"/>
      <c r="AW2381" s="1"/>
      <c r="AX2381" s="1"/>
      <c r="AY2381" s="1"/>
      <c r="AZ2381" s="1"/>
      <c r="BA2381" s="1"/>
      <c r="BB2381" s="1"/>
    </row>
    <row r="2382" ht="204.75" customHeight="1">
      <c r="A2382" s="1">
        <v>1714.0</v>
      </c>
      <c r="B2382" s="2" t="s">
        <v>7437</v>
      </c>
      <c r="C2382" s="2">
        <f>IFERROR(__xludf.DUMMYFUNCTION("split(B2382,""_"")"),1604.0)</f>
        <v>1604</v>
      </c>
      <c r="D2382" s="2" t="str">
        <f>IFERROR(__xludf.DUMMYFUNCTION("""COMPUTED_VALUE"""),"EX")</f>
        <v>EX</v>
      </c>
      <c r="E2382" s="2" t="str">
        <f>IFERROR(__xludf.DUMMYFUNCTION("""COMPUTED_VALUE"""),"金23")</f>
        <v>金23</v>
      </c>
      <c r="F2382" s="2" t="s">
        <v>7438</v>
      </c>
      <c r="G2382" s="2" t="s">
        <v>7445</v>
      </c>
      <c r="H2382" s="1">
        <v>3.0</v>
      </c>
      <c r="I2382" s="1" t="s">
        <v>2876</v>
      </c>
      <c r="J2382" s="1" t="s">
        <v>1435</v>
      </c>
      <c r="K2382" s="2" t="s">
        <v>7446</v>
      </c>
      <c r="L2382" s="11" t="s">
        <v>7447</v>
      </c>
      <c r="M2382" s="2" t="str">
        <f>IFERROR(__xludf.DUMMYFUNCTION("split(split(K2382,""水越麻也子…"",false),""公式LINE"",false)"),"マザコンの夫・航一(稲垣吾郎)に不満を持つ麻也子(栗山千明)は、昔の恋人・野村(成宮寛貴)と“不倫への道""へ踏み出してゆく。しかも、箱根での不倫旅行からの帰りを、友達の玲子(橋本マナミ)に目撃されてしまう!そうとは知らない麻也子は、さらなるピンチに!なんと、夫の航一、不倫相手の野村、自分に思いを寄せる通彦(市原隼人)と、久美(高梨臨)の店で同席することになり、最大の修羅場を迎える!!")</f>
        <v>マザコンの夫・航一(稲垣吾郎)に不満を持つ麻也子(栗山千明)は、昔の恋人・野村(成宮寛貴)と“不倫への道"へ踏み出してゆく。しかも、箱根での不倫旅行からの帰りを、友達の玲子(橋本マナミ)に目撃されてしまう!そうとは知らない麻也子は、さらなるピンチに!なんと、夫の航一、不倫相手の野村、自分に思いを寄せる通彦(市原隼人)と、久美(高梨臨)の店で同席することになり、最大の修羅場を迎える!!</v>
      </c>
      <c r="N2382" s="2"/>
      <c r="O2382" s="2"/>
      <c r="P2382" s="1"/>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1"/>
      <c r="AY2382" s="1"/>
      <c r="AZ2382" s="1"/>
      <c r="BA2382" s="1"/>
      <c r="BB2382" s="1"/>
    </row>
    <row r="2383" ht="204.75" customHeight="1">
      <c r="A2383" s="1">
        <v>1715.0</v>
      </c>
      <c r="B2383" s="2" t="s">
        <v>7437</v>
      </c>
      <c r="C2383" s="2">
        <f>IFERROR(__xludf.DUMMYFUNCTION("split(B2383,""_"")"),1604.0)</f>
        <v>1604</v>
      </c>
      <c r="D2383" s="2" t="str">
        <f>IFERROR(__xludf.DUMMYFUNCTION("""COMPUTED_VALUE"""),"EX")</f>
        <v>EX</v>
      </c>
      <c r="E2383" s="2" t="str">
        <f>IFERROR(__xludf.DUMMYFUNCTION("""COMPUTED_VALUE"""),"金23")</f>
        <v>金23</v>
      </c>
      <c r="F2383" s="2" t="s">
        <v>7438</v>
      </c>
      <c r="G2383" s="2" t="s">
        <v>7448</v>
      </c>
      <c r="H2383" s="1">
        <v>4.0</v>
      </c>
      <c r="J2383" s="1" t="s">
        <v>1435</v>
      </c>
      <c r="K2383" s="2" t="s">
        <v>7449</v>
      </c>
      <c r="L2383" s="11" t="s">
        <v>7450</v>
      </c>
      <c r="M2383" s="2" t="str">
        <f>IFERROR(__xludf.DUMMYFUNCTION("split(split(K2383,""水越麻也子…"",false),""公式LINE"",false)"),"マザコンの夫・航一(稲垣吾郎)に不満を持つ麻也子(栗山千明)は、昔の恋人と“不倫への道""へ踏み出すが、早くも夫にバレて窮地に!駆けつけた姑・綾子(萬田久子)は激怒、なんとそのまま同居を始めてしまう。さらに、麻也子と航一がセックスレスだと知り、ありえない方向へと暴走し始め…!そんなある日、麻也子を元気づけようと、通彦(市原隼人)が“あるもの""を持って会いにくるが、その現場を航一に見られてしまい…!?")</f>
        <v>マザコンの夫・航一(稲垣吾郎)に不満を持つ麻也子(栗山千明)は、昔の恋人と“不倫への道"へ踏み出すが、早くも夫にバレて窮地に!駆けつけた姑・綾子(萬田久子)は激怒、なんとそのまま同居を始めてしまう。さらに、麻也子と航一がセックスレスだと知り、ありえない方向へと暴走し始め…!そんなある日、麻也子を元気づけようと、通彦(市原隼人)が“あるもの"を持って会いにくるが、その現場を航一に見られてしまい…!?</v>
      </c>
      <c r="N2383" s="2"/>
      <c r="O2383" s="2"/>
      <c r="P2383" s="1"/>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1"/>
      <c r="AT2383" s="1"/>
      <c r="AU2383" s="1"/>
      <c r="AV2383" s="1"/>
      <c r="AW2383" s="1"/>
      <c r="AX2383" s="1"/>
      <c r="AY2383" s="1"/>
      <c r="AZ2383" s="1"/>
      <c r="BA2383" s="1"/>
      <c r="BB2383" s="1"/>
    </row>
    <row r="2384" ht="204.75" customHeight="1">
      <c r="A2384" s="1">
        <v>1716.0</v>
      </c>
      <c r="B2384" s="2" t="s">
        <v>7437</v>
      </c>
      <c r="C2384" s="2">
        <f>IFERROR(__xludf.DUMMYFUNCTION("split(B2384,""_"")"),1604.0)</f>
        <v>1604</v>
      </c>
      <c r="D2384" s="2" t="str">
        <f>IFERROR(__xludf.DUMMYFUNCTION("""COMPUTED_VALUE"""),"EX")</f>
        <v>EX</v>
      </c>
      <c r="E2384" s="2" t="str">
        <f>IFERROR(__xludf.DUMMYFUNCTION("""COMPUTED_VALUE"""),"金23")</f>
        <v>金23</v>
      </c>
      <c r="F2384" s="2" t="s">
        <v>7438</v>
      </c>
      <c r="G2384" s="2" t="s">
        <v>7451</v>
      </c>
      <c r="H2384" s="1">
        <v>5.0</v>
      </c>
      <c r="J2384" s="1" t="s">
        <v>1435</v>
      </c>
      <c r="K2384" s="2" t="s">
        <v>7452</v>
      </c>
      <c r="L2384" s="11" t="s">
        <v>7453</v>
      </c>
      <c r="M2384" s="2" t="str">
        <f>IFERROR(__xludf.DUMMYFUNCTION("split(split(K2384,""水越麻也子…"",false),""公式LINE"",false)"),"麻也子(栗山千明)は、不倫がバレたことにより、マザコン夫・航一(稲垣吾郎)の異常な監視体制に置かれることに。そんな中、親友・久美(高梨臨)に誘われたバーベキュー・パーティーで通彦(市原隼人)と再会。惹かれ合う二人のもとに、接待ゴルフに行っていたはずの航一が現れ…!?策略と裏切りが渦巻く中、ついに麻也子と航一の離婚へのカウントダウンが始まる!")</f>
        <v>麻也子(栗山千明)は、不倫がバレたことにより、マザコン夫・航一(稲垣吾郎)の異常な監視体制に置かれることに。そんな中、親友・久美(高梨臨)に誘われたバーベキュー・パーティーで通彦(市原隼人)と再会。惹かれ合う二人のもとに、接待ゴルフに行っていたはずの航一が現れ…!?策略と裏切りが渦巻く中、ついに麻也子と航一の離婚へのカウントダウンが始まる!</v>
      </c>
      <c r="N2384" s="2"/>
      <c r="O2384" s="2"/>
      <c r="P2384" s="1"/>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AS2384" s="1"/>
      <c r="AT2384" s="1"/>
      <c r="AU2384" s="1"/>
      <c r="AV2384" s="1"/>
      <c r="AW2384" s="1"/>
      <c r="AX2384" s="1"/>
      <c r="AY2384" s="1"/>
      <c r="AZ2384" s="1"/>
      <c r="BA2384" s="1"/>
      <c r="BB2384" s="1"/>
    </row>
    <row r="2385" ht="204.75" customHeight="1">
      <c r="A2385" s="1">
        <v>1717.0</v>
      </c>
      <c r="B2385" s="2" t="s">
        <v>7437</v>
      </c>
      <c r="C2385" s="2">
        <f>IFERROR(__xludf.DUMMYFUNCTION("split(B2385,""_"")"),1604.0)</f>
        <v>1604</v>
      </c>
      <c r="D2385" s="2" t="str">
        <f>IFERROR(__xludf.DUMMYFUNCTION("""COMPUTED_VALUE"""),"EX")</f>
        <v>EX</v>
      </c>
      <c r="E2385" s="2" t="str">
        <f>IFERROR(__xludf.DUMMYFUNCTION("""COMPUTED_VALUE"""),"金23")</f>
        <v>金23</v>
      </c>
      <c r="F2385" s="2" t="s">
        <v>7438</v>
      </c>
      <c r="G2385" s="2" t="s">
        <v>7454</v>
      </c>
      <c r="H2385" s="1">
        <v>6.0</v>
      </c>
      <c r="J2385" s="1" t="s">
        <v>1435</v>
      </c>
      <c r="K2385" s="2" t="s">
        <v>7455</v>
      </c>
      <c r="L2385" s="11" t="s">
        <v>7456</v>
      </c>
      <c r="M2385" s="2" t="str">
        <f>IFERROR(__xludf.DUMMYFUNCTION("split(split(K2385,""水越麻也子…"",false),""公式LINE"",false)"),"ついに麻也子(栗山千明)は通彦(市原隼人)と結ばれ「一緒にイタリアに行こう」とプロポーズされる。麻也子は、夫・航一(稲垣吾郎)に離婚話を切り出すが、揉み合いの末に頭を強打した航一が、なんと記憶喪失に!看護を続ける麻也子だが、人が変わったかのように“純粋で心優しい航一""に触れ…!?そんな中、病院でウエディング・プランナーの早苗(名取裕子)という女性と知り合う。この出会いが新たな修羅場を呼ぶ!")</f>
        <v>ついに麻也子(栗山千明)は通彦(市原隼人)と結ばれ「一緒にイタリアに行こう」とプロポーズされる。麻也子は、夫・航一(稲垣吾郎)に離婚話を切り出すが、揉み合いの末に頭を強打した航一が、なんと記憶喪失に!看護を続ける麻也子だが、人が変わったかのように“純粋で心優しい航一"に触れ…!?そんな中、病院でウエディング・プランナーの早苗(名取裕子)という女性と知り合う。この出会いが新たな修羅場を呼ぶ!</v>
      </c>
      <c r="N2385" s="2"/>
      <c r="O2385" s="2"/>
      <c r="P2385" s="1"/>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c r="AQ2385" s="1"/>
      <c r="AR2385" s="1"/>
      <c r="AS2385" s="1"/>
      <c r="AT2385" s="1"/>
      <c r="AU2385" s="1"/>
      <c r="AV2385" s="1"/>
      <c r="AW2385" s="1"/>
      <c r="AX2385" s="1"/>
      <c r="AY2385" s="1"/>
      <c r="AZ2385" s="1"/>
      <c r="BA2385" s="1"/>
      <c r="BB2385" s="1"/>
    </row>
    <row r="2386" ht="204.75" customHeight="1">
      <c r="A2386" s="1">
        <v>1718.0</v>
      </c>
      <c r="B2386" s="2" t="s">
        <v>7437</v>
      </c>
      <c r="C2386" s="2">
        <f>IFERROR(__xludf.DUMMYFUNCTION("split(B2386,""_"")"),1604.0)</f>
        <v>1604</v>
      </c>
      <c r="D2386" s="2" t="str">
        <f>IFERROR(__xludf.DUMMYFUNCTION("""COMPUTED_VALUE"""),"EX")</f>
        <v>EX</v>
      </c>
      <c r="E2386" s="2" t="str">
        <f>IFERROR(__xludf.DUMMYFUNCTION("""COMPUTED_VALUE"""),"金23")</f>
        <v>金23</v>
      </c>
      <c r="F2386" s="2" t="s">
        <v>7438</v>
      </c>
      <c r="G2386" s="2" t="s">
        <v>7457</v>
      </c>
      <c r="H2386" s="1">
        <v>7.0</v>
      </c>
      <c r="J2386" s="1" t="s">
        <v>1435</v>
      </c>
      <c r="K2386" s="2" t="s">
        <v>7458</v>
      </c>
      <c r="L2386" s="11" t="s">
        <v>7459</v>
      </c>
      <c r="M2386" s="2" t="str">
        <f>IFERROR(__xludf.DUMMYFUNCTION("split(split(K2386,""水越麻也子…"",false),""公式LINE"",false)"),"夫・航一(稲垣吾郎)の記憶喪失が自作自演だったこと、さらには親友の久美(高梨臨)との不倫も発覚し、麻也子(栗山千明)は通彦(市原隼人)との結婚へ踏み切るが、新たな姑・早苗(名取裕子)の猛反対にあう。そんな麻也子に航一は「卒業証書だよ」と“あるもの""を渡し、夫婦がセックスレスになった原因について衝撃的な告白を始める!そして、偶然にも野村(成宮寛貴)と再会し…?愛憎渦巻く不倫劇が迎える、衝撃の結末は!?")</f>
        <v>夫・航一(稲垣吾郎)の記憶喪失が自作自演だったこと、さらには親友の久美(高梨臨)との不倫も発覚し、麻也子(栗山千明)は通彦(市原隼人)との結婚へ踏み切るが、新たな姑・早苗(名取裕子)の猛反対にあう。そんな麻也子に航一は「卒業証書だよ」と“あるもの"を渡し、夫婦がセックスレスになった原因について衝撃的な告白を始める!そして、偶然にも野村(成宮寛貴)と再会し…?愛憎渦巻く不倫劇が迎える、衝撃の結末は!?</v>
      </c>
      <c r="N2386" s="2"/>
      <c r="O2386" s="2"/>
      <c r="P2386" s="1"/>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c r="AQ2386" s="1"/>
      <c r="AR2386" s="1"/>
      <c r="AS2386" s="1"/>
      <c r="AT2386" s="1"/>
      <c r="AU2386" s="1"/>
      <c r="AV2386" s="1"/>
      <c r="AW2386" s="1"/>
      <c r="AX2386" s="1"/>
      <c r="AY2386" s="1"/>
      <c r="AZ2386" s="1"/>
      <c r="BA2386" s="1"/>
      <c r="BB2386" s="1"/>
    </row>
    <row r="2387" ht="204.75" customHeight="1">
      <c r="A2387" s="1">
        <v>1805.0</v>
      </c>
      <c r="B2387" s="2" t="s">
        <v>7460</v>
      </c>
      <c r="C2387" s="2">
        <f>IFERROR(__xludf.DUMMYFUNCTION("split(B2387,""_"")"),1601.0)</f>
        <v>1601</v>
      </c>
      <c r="D2387" s="2" t="str">
        <f>IFERROR(__xludf.DUMMYFUNCTION("""COMPUTED_VALUE"""),"EX")</f>
        <v>EX</v>
      </c>
      <c r="E2387" s="2" t="str">
        <f>IFERROR(__xludf.DUMMYFUNCTION("""COMPUTED_VALUE"""),"木21")</f>
        <v>木21</v>
      </c>
      <c r="F2387" s="2" t="s">
        <v>7461</v>
      </c>
      <c r="G2387" s="2" t="s">
        <v>7462</v>
      </c>
      <c r="H2387" s="1">
        <v>1.0</v>
      </c>
      <c r="I2387" s="1" t="s">
        <v>2868</v>
      </c>
      <c r="J2387" s="1" t="s">
        <v>4</v>
      </c>
      <c r="K2387" s="4" t="s">
        <v>7463</v>
      </c>
      <c r="L2387" s="11" t="s">
        <v>7464</v>
      </c>
      <c r="M2387" s="2" t="str">
        <f>IFERROR(__xludf.DUMMYFUNCTION("split(split(K2387,""…草ナギ剛 "",false),""公式LINE"",false)"),"宅間善人(草ナギ剛)は東京刑務所に収監されていた。以前、殺人未遂罪で滋賀中央刑務所に入れられて以来、二度目の刑務所生活。一度目は冤罪であることが判明し、出所となったが…。  事の始まりは10カ月前に遡る。宅間は、密室で起きた小説家刺殺事件を捜査することに。現場を見た宅間は、次々とこの事件に隠されたトリックを暴き、見事に犯人を落とす。解決したかに思われたが、その裏にはとんでもない犯罪計画が隠されていて!?宅間善人")</f>
        <v>宅間善人(草ナギ剛)は東京刑務所に収監されていた。以前、殺人未遂罪で滋賀中央刑務所に入れられて以来、二度目の刑務所生活。一度目は冤罪であることが判明し、出所となったが…。  事の始まりは10カ月前に遡る。宅間は、密室で起きた小説家刺殺事件を捜査することに。現場を見た宅間は、次々とこの事件に隠されたトリックを暴き、見事に犯人を落とす。解決したかに思われたが、その裏にはとんでもない犯罪計画が隠されていて!?宅間善人</v>
      </c>
      <c r="N2387" s="2"/>
      <c r="O2387" s="2"/>
      <c r="P2387" s="1"/>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c r="AQ2387" s="1"/>
      <c r="AR2387" s="1"/>
      <c r="AS2387" s="1"/>
      <c r="AT2387" s="1"/>
      <c r="AU2387" s="1"/>
      <c r="AV2387" s="1"/>
      <c r="AW2387" s="1"/>
      <c r="AX2387" s="1"/>
      <c r="AY2387" s="1"/>
      <c r="AZ2387" s="1"/>
      <c r="BA2387" s="1"/>
      <c r="BB2387" s="1"/>
    </row>
    <row r="2388" ht="204.75" customHeight="1">
      <c r="A2388" s="1">
        <v>1806.0</v>
      </c>
      <c r="B2388" s="2" t="s">
        <v>7460</v>
      </c>
      <c r="C2388" s="2">
        <f>IFERROR(__xludf.DUMMYFUNCTION("split(B2388,""_"")"),1601.0)</f>
        <v>1601</v>
      </c>
      <c r="D2388" s="2" t="str">
        <f>IFERROR(__xludf.DUMMYFUNCTION("""COMPUTED_VALUE"""),"EX")</f>
        <v>EX</v>
      </c>
      <c r="E2388" s="2" t="str">
        <f>IFERROR(__xludf.DUMMYFUNCTION("""COMPUTED_VALUE"""),"木21")</f>
        <v>木21</v>
      </c>
      <c r="F2388" s="2" t="s">
        <v>7461</v>
      </c>
      <c r="G2388" s="2" t="s">
        <v>7465</v>
      </c>
      <c r="H2388" s="1">
        <v>2.0</v>
      </c>
      <c r="I2388" s="1" t="s">
        <v>2872</v>
      </c>
      <c r="J2388" s="1" t="s">
        <v>11</v>
      </c>
      <c r="K2388" s="2" t="s">
        <v>7466</v>
      </c>
      <c r="L2388" s="11" t="s">
        <v>7467</v>
      </c>
      <c r="M2388" s="2" t="str">
        <f>IFERROR(__xludf.DUMMYFUNCTION("split(split(K2388,""…草ナギ剛 "",false),""公式LINE"",false)"),"主人公・宅間善人(草ナギ剛)は、冤罪で10年服役した経歴を持つ刑事。服役中に受刑者のあらゆる犯罪データを記憶した“犯罪心理のスペシャリスト""!  男の転落死体が見つかり、その所持品から「い」という文字が書かれた謎のカードが見つかった。“犬も歩けば棒に当たる""という、ことわざにぴったりの殺害状況に宅間は注目。その後も、次々と「いろはかるた」になぞらえた犯行が連続して発生し…!?宅間善人")</f>
        <v>主人公・宅間善人(草ナギ剛)は、冤罪で10年服役した経歴を持つ刑事。服役中に受刑者のあらゆる犯罪データを記憶した“犯罪心理のスペシャリスト"!  男の転落死体が見つかり、その所持品から「い」という文字が書かれた謎のカードが見つかった。“犬も歩けば棒に当たる"という、ことわざにぴったりの殺害状況に宅間は注目。その後も、次々と「いろはかるた」になぞらえた犯行が連続して発生し…!?宅間善人</v>
      </c>
      <c r="N2388" s="2"/>
      <c r="O2388" s="2"/>
      <c r="P2388" s="1"/>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AS2388" s="1"/>
      <c r="AT2388" s="1"/>
      <c r="AU2388" s="1"/>
      <c r="AV2388" s="1"/>
      <c r="AW2388" s="1"/>
      <c r="AX2388" s="1"/>
      <c r="AY2388" s="1"/>
      <c r="AZ2388" s="1"/>
      <c r="BA2388" s="1"/>
      <c r="BB2388" s="1"/>
    </row>
    <row r="2389" ht="204.75" customHeight="1">
      <c r="A2389" s="1">
        <v>1807.0</v>
      </c>
      <c r="B2389" s="2" t="s">
        <v>7460</v>
      </c>
      <c r="C2389" s="2">
        <f>IFERROR(__xludf.DUMMYFUNCTION("split(B2389,""_"")"),1601.0)</f>
        <v>1601</v>
      </c>
      <c r="D2389" s="2" t="str">
        <f>IFERROR(__xludf.DUMMYFUNCTION("""COMPUTED_VALUE"""),"EX")</f>
        <v>EX</v>
      </c>
      <c r="E2389" s="2" t="str">
        <f>IFERROR(__xludf.DUMMYFUNCTION("""COMPUTED_VALUE"""),"木21")</f>
        <v>木21</v>
      </c>
      <c r="F2389" s="2" t="s">
        <v>7461</v>
      </c>
      <c r="G2389" s="2" t="s">
        <v>7468</v>
      </c>
      <c r="H2389" s="1">
        <v>3.0</v>
      </c>
      <c r="I2389" s="1" t="s">
        <v>2876</v>
      </c>
      <c r="J2389" s="1" t="s">
        <v>11</v>
      </c>
      <c r="K2389" s="2" t="s">
        <v>7469</v>
      </c>
      <c r="L2389" s="11" t="s">
        <v>7470</v>
      </c>
      <c r="M2389" s="2" t="str">
        <f>IFERROR(__xludf.DUMMYFUNCTION("split(split(K2389,""…草ナギ剛 "",false),""公式LINE"",false)"),"主人公・宅間善人(草ナギ剛)は、冤罪で10年服役した経歴を持つ刑事。服役中に記憶したあらゆる犯罪データを駆使して鮮やかに事件を解く!  宅間の同僚刑事・我妻真里亜(夏菜)は、かつて自分の家庭教師をしていた女(鶴田真由)によって、密室に閉じ込められる。目の前に置かれた2つのケース。女が言うには、一方を開ければ助かり、もう一方を開ければ爆発すると…。タイムリミットが迫る中、究極の心理戦が繰り広げられる!宅間善人")</f>
        <v>主人公・宅間善人(草ナギ剛)は、冤罪で10年服役した経歴を持つ刑事。服役中に記憶したあらゆる犯罪データを駆使して鮮やかに事件を解く!  宅間の同僚刑事・我妻真里亜(夏菜)は、かつて自分の家庭教師をしていた女(鶴田真由)によって、密室に閉じ込められる。目の前に置かれた2つのケース。女が言うには、一方を開ければ助かり、もう一方を開ければ爆発すると…。タイムリミットが迫る中、究極の心理戦が繰り広げられる!宅間善人</v>
      </c>
      <c r="N2389" s="2"/>
      <c r="O2389" s="2"/>
      <c r="P2389" s="1"/>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c r="AQ2389" s="1"/>
      <c r="AR2389" s="1"/>
      <c r="AS2389" s="1"/>
      <c r="AT2389" s="1"/>
      <c r="AU2389" s="1"/>
      <c r="AV2389" s="1"/>
      <c r="AW2389" s="1"/>
      <c r="AX2389" s="1"/>
      <c r="AY2389" s="1"/>
      <c r="AZ2389" s="1"/>
      <c r="BA2389" s="1"/>
      <c r="BB2389" s="1"/>
    </row>
    <row r="2390" ht="204.75" customHeight="1">
      <c r="A2390" s="1">
        <v>1808.0</v>
      </c>
      <c r="B2390" s="2" t="s">
        <v>7460</v>
      </c>
      <c r="C2390" s="2">
        <f>IFERROR(__xludf.DUMMYFUNCTION("split(B2390,""_"")"),1601.0)</f>
        <v>1601</v>
      </c>
      <c r="D2390" s="2" t="str">
        <f>IFERROR(__xludf.DUMMYFUNCTION("""COMPUTED_VALUE"""),"EX")</f>
        <v>EX</v>
      </c>
      <c r="E2390" s="2" t="str">
        <f>IFERROR(__xludf.DUMMYFUNCTION("""COMPUTED_VALUE"""),"木21")</f>
        <v>木21</v>
      </c>
      <c r="F2390" s="2" t="s">
        <v>7461</v>
      </c>
      <c r="G2390" s="2" t="s">
        <v>7471</v>
      </c>
      <c r="H2390" s="1">
        <v>4.0</v>
      </c>
      <c r="I2390" s="1" t="s">
        <v>2880</v>
      </c>
      <c r="J2390" s="1" t="s">
        <v>11</v>
      </c>
      <c r="K2390" s="2" t="s">
        <v>7472</v>
      </c>
      <c r="L2390" s="11" t="s">
        <v>7473</v>
      </c>
      <c r="M2390" s="2" t="str">
        <f>IFERROR(__xludf.DUMMYFUNCTION("split(split(K2390,""…草ナギ剛 "",false),""公式LINE"",false)"),"主人公・宅間善人(草ナギ剛)は冤罪で10年服役した経歴を持つ刑事。第4話では、冤罪で服役したもう一人の男が登場!?  キャバクラのボーイが刺殺される事件が発生。時を同じくして、千波(南果歩)が5年前に強盗容疑で逮捕、送検した矢橋(眞島秀和)が出所。千波に対し、「あれは冤罪だった…」と訴える矢橋。やがて、ボーイ刺殺事件と矢橋との接点が見つかり!?矢橋の無実を信じる千波を見て、宅間はある作戦を練る!宅間善人")</f>
        <v>主人公・宅間善人(草ナギ剛)は冤罪で10年服役した経歴を持つ刑事。第4話では、冤罪で服役したもう一人の男が登場!?  キャバクラのボーイが刺殺される事件が発生。時を同じくして、千波(南果歩)が5年前に強盗容疑で逮捕、送検した矢橋(眞島秀和)が出所。千波に対し、「あれは冤罪だった…」と訴える矢橋。やがて、ボーイ刺殺事件と矢橋との接点が見つかり!?矢橋の無実を信じる千波を見て、宅間はある作戦を練る!宅間善人</v>
      </c>
      <c r="N2390" s="2"/>
      <c r="O2390" s="2"/>
      <c r="P2390" s="1"/>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c r="AQ2390" s="1"/>
      <c r="AR2390" s="1"/>
      <c r="AS2390" s="1"/>
      <c r="AT2390" s="1"/>
      <c r="AU2390" s="1"/>
      <c r="AV2390" s="1"/>
      <c r="AW2390" s="1"/>
      <c r="AX2390" s="1"/>
      <c r="AY2390" s="1"/>
      <c r="AZ2390" s="1"/>
      <c r="BA2390" s="1"/>
      <c r="BB2390" s="1"/>
    </row>
    <row r="2391" ht="204.75" customHeight="1">
      <c r="A2391" s="1">
        <v>1809.0</v>
      </c>
      <c r="B2391" s="2" t="s">
        <v>7460</v>
      </c>
      <c r="C2391" s="2">
        <f>IFERROR(__xludf.DUMMYFUNCTION("split(B2391,""_"")"),1601.0)</f>
        <v>1601</v>
      </c>
      <c r="D2391" s="2" t="str">
        <f>IFERROR(__xludf.DUMMYFUNCTION("""COMPUTED_VALUE"""),"EX")</f>
        <v>EX</v>
      </c>
      <c r="E2391" s="2" t="str">
        <f>IFERROR(__xludf.DUMMYFUNCTION("""COMPUTED_VALUE"""),"木21")</f>
        <v>木21</v>
      </c>
      <c r="F2391" s="2" t="s">
        <v>7461</v>
      </c>
      <c r="G2391" s="2" t="s">
        <v>7474</v>
      </c>
      <c r="H2391" s="1">
        <v>5.0</v>
      </c>
      <c r="I2391" s="1" t="s">
        <v>2884</v>
      </c>
      <c r="J2391" s="1" t="s">
        <v>11</v>
      </c>
      <c r="K2391" s="2" t="s">
        <v>7475</v>
      </c>
      <c r="L2391" s="11" t="s">
        <v>7476</v>
      </c>
      <c r="M2391" s="2" t="str">
        <f>IFERROR(__xludf.DUMMYFUNCTION("split(split(K2391,""…草ナギ剛 "",false),""公式LINE"",false)"),"身に覚えのない映画試写会の招待状を受け取った宅間(草ナギ剛)は、千波(南果歩)とともに映画館に向かう。上映中、突然スクリーンにメッセージが現れ、客席の下から毒ガス発生装置が発見される!宅間は自身の刑務所での経験から、犯人は観客15人の中にいることを明言。混乱する館内!さらにスクリーンには、毒ガス装置の解除キーと思われる謎の数字が3つ現れる。その数字は、宅間の刑務所時代の衝撃の真実と関係していて…!?宅間善人")</f>
        <v>身に覚えのない映画試写会の招待状を受け取った宅間(草ナギ剛)は、千波(南果歩)とともに映画館に向かう。上映中、突然スクリーンにメッセージが現れ、客席の下から毒ガス発生装置が発見される!宅間は自身の刑務所での経験から、犯人は観客15人の中にいることを明言。混乱する館内!さらにスクリーンには、毒ガス装置の解除キーと思われる謎の数字が3つ現れる。その数字は、宅間の刑務所時代の衝撃の真実と関係していて…!?宅間善人</v>
      </c>
      <c r="N2391" s="2"/>
      <c r="O2391" s="2"/>
      <c r="P2391" s="1"/>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c r="AQ2391" s="1"/>
      <c r="AR2391" s="1"/>
      <c r="AS2391" s="1"/>
      <c r="AT2391" s="1"/>
      <c r="AU2391" s="1"/>
      <c r="AV2391" s="1"/>
      <c r="AW2391" s="1"/>
      <c r="AX2391" s="1"/>
      <c r="AY2391" s="1"/>
      <c r="AZ2391" s="1"/>
      <c r="BA2391" s="1"/>
      <c r="BB2391" s="1"/>
    </row>
    <row r="2392" ht="204.75" customHeight="1">
      <c r="A2392" s="1">
        <v>1810.0</v>
      </c>
      <c r="B2392" s="2" t="s">
        <v>7460</v>
      </c>
      <c r="C2392" s="2">
        <f>IFERROR(__xludf.DUMMYFUNCTION("split(B2392,""_"")"),1601.0)</f>
        <v>1601</v>
      </c>
      <c r="D2392" s="2" t="str">
        <f>IFERROR(__xludf.DUMMYFUNCTION("""COMPUTED_VALUE"""),"EX")</f>
        <v>EX</v>
      </c>
      <c r="E2392" s="2" t="str">
        <f>IFERROR(__xludf.DUMMYFUNCTION("""COMPUTED_VALUE"""),"木21")</f>
        <v>木21</v>
      </c>
      <c r="F2392" s="2" t="s">
        <v>7461</v>
      </c>
      <c r="G2392" s="2" t="s">
        <v>7477</v>
      </c>
      <c r="H2392" s="1">
        <v>6.0</v>
      </c>
      <c r="I2392" s="1" t="s">
        <v>2888</v>
      </c>
      <c r="J2392" s="1" t="s">
        <v>11</v>
      </c>
      <c r="K2392" s="2" t="s">
        <v>7478</v>
      </c>
      <c r="L2392" s="11" t="s">
        <v>7479</v>
      </c>
      <c r="M2392" s="2" t="str">
        <f>IFERROR(__xludf.DUMMYFUNCTION("split(split(K2392,""…草ナギ剛 "",false),""公式LINE"",false)"),"男性の刺殺体が発見され、傍らには楽譜が置かれていた。それは日本を代表する世界的なピアニスト・雨宮薫(矢田亜希子)が作った曲であることが分かる。宅間はこの曲に頻繁に出てくるあるメロディに目をつけ、それを英語の音名に直してみると、「DEAD BECCA」という言葉が現れる。「BECCA」の意味を調べるうちに、薫の衝撃的な過去が明らかになり…!?ひとつのピアノ曲をめぐって、事件は意外な結末を迎える!宅間善人")</f>
        <v>男性の刺殺体が発見され、傍らには楽譜が置かれていた。それは日本を代表する世界的なピアニスト・雨宮薫(矢田亜希子)が作った曲であることが分かる。宅間はこの曲に頻繁に出てくるあるメロディに目をつけ、それを英語の音名に直してみると、「DEAD BECCA」という言葉が現れる。「BECCA」の意味を調べるうちに、薫の衝撃的な過去が明らかになり…!?ひとつのピアノ曲をめぐって、事件は意外な結末を迎える!宅間善人</v>
      </c>
      <c r="N2392" s="2"/>
      <c r="O2392" s="2"/>
      <c r="P2392" s="1"/>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c r="AQ2392" s="1"/>
      <c r="AR2392" s="1"/>
      <c r="AS2392" s="1"/>
      <c r="AT2392" s="1"/>
      <c r="AU2392" s="1"/>
      <c r="AV2392" s="1"/>
      <c r="AW2392" s="1"/>
      <c r="AX2392" s="1"/>
      <c r="AY2392" s="1"/>
      <c r="AZ2392" s="1"/>
      <c r="BA2392" s="1"/>
      <c r="BB2392" s="1"/>
    </row>
    <row r="2393" ht="204.75" customHeight="1">
      <c r="A2393" s="1">
        <v>1811.0</v>
      </c>
      <c r="B2393" s="2" t="s">
        <v>7460</v>
      </c>
      <c r="C2393" s="2">
        <f>IFERROR(__xludf.DUMMYFUNCTION("split(B2393,""_"")"),1601.0)</f>
        <v>1601</v>
      </c>
      <c r="D2393" s="2" t="str">
        <f>IFERROR(__xludf.DUMMYFUNCTION("""COMPUTED_VALUE"""),"EX")</f>
        <v>EX</v>
      </c>
      <c r="E2393" s="2" t="str">
        <f>IFERROR(__xludf.DUMMYFUNCTION("""COMPUTED_VALUE"""),"木21")</f>
        <v>木21</v>
      </c>
      <c r="F2393" s="2" t="s">
        <v>7461</v>
      </c>
      <c r="G2393" s="2" t="s">
        <v>7480</v>
      </c>
      <c r="H2393" s="1">
        <v>7.0</v>
      </c>
      <c r="I2393" s="1" t="s">
        <v>2892</v>
      </c>
      <c r="J2393" s="1" t="s">
        <v>11</v>
      </c>
      <c r="K2393" s="2" t="s">
        <v>7481</v>
      </c>
      <c r="L2393" s="11" t="s">
        <v>7482</v>
      </c>
      <c r="M2393" s="2" t="str">
        <f>IFERROR(__xludf.DUMMYFUNCTION("split(split(K2393,""…草ナギ剛 "",false),""公式LINE"",false)"),"7通の怪文書が送られてきた、という一報を受けて、宅間(草ナギ剛)らはその大病院へ向かう。怪文書を読んだ宅間は、白衣をまとい病院内に潜入捜査。次々と怪文書の内容に沿った悪事を暴いていく!一方、別の場所で男性の撲殺体が発見される。宅間は、その事件が怪文書と繋がっていると名言。さらにこの病院では、ある要人が極秘で手術を受ける予定があることも判明し…!?やがて病院は、一般人を巻き込んで大パニックに陥っていく!宅間善人")</f>
        <v>7通の怪文書が送られてきた、という一報を受けて、宅間(草ナギ剛)らはその大病院へ向かう。怪文書を読んだ宅間は、白衣をまとい病院内に潜入捜査。次々と怪文書の内容に沿った悪事を暴いていく!一方、別の場所で男性の撲殺体が発見される。宅間は、その事件が怪文書と繋がっていると名言。さらにこの病院では、ある要人が極秘で手術を受ける予定があることも判明し…!?やがて病院は、一般人を巻き込んで大パニックに陥っていく!宅間善人</v>
      </c>
      <c r="N2393" s="2"/>
      <c r="O2393" s="2"/>
      <c r="P2393" s="1"/>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AS2393" s="1"/>
      <c r="AT2393" s="1"/>
      <c r="AU2393" s="1"/>
      <c r="AV2393" s="1"/>
      <c r="AW2393" s="1"/>
      <c r="AX2393" s="1"/>
      <c r="AY2393" s="1"/>
      <c r="AZ2393" s="1"/>
      <c r="BA2393" s="1"/>
      <c r="BB2393" s="1"/>
    </row>
    <row r="2394" ht="204.75" customHeight="1">
      <c r="A2394" s="1">
        <v>1812.0</v>
      </c>
      <c r="B2394" s="2" t="s">
        <v>7460</v>
      </c>
      <c r="C2394" s="2">
        <f>IFERROR(__xludf.DUMMYFUNCTION("split(B2394,""_"")"),1601.0)</f>
        <v>1601</v>
      </c>
      <c r="D2394" s="2" t="str">
        <f>IFERROR(__xludf.DUMMYFUNCTION("""COMPUTED_VALUE"""),"EX")</f>
        <v>EX</v>
      </c>
      <c r="E2394" s="2" t="str">
        <f>IFERROR(__xludf.DUMMYFUNCTION("""COMPUTED_VALUE"""),"木21")</f>
        <v>木21</v>
      </c>
      <c r="F2394" s="2" t="s">
        <v>7461</v>
      </c>
      <c r="G2394" s="2" t="s">
        <v>7483</v>
      </c>
      <c r="H2394" s="1">
        <v>8.0</v>
      </c>
      <c r="I2394" s="1" t="s">
        <v>2896</v>
      </c>
      <c r="J2394" s="1" t="s">
        <v>11</v>
      </c>
      <c r="K2394" s="2" t="s">
        <v>7484</v>
      </c>
      <c r="L2394" s="11" t="s">
        <v>7485</v>
      </c>
      <c r="M2394" s="2" t="str">
        <f>IFERROR(__xludf.DUMMYFUNCTION("split(split(K2394,""…草ナギ剛 "",false),""公式LINE"",false)"),"宅間(草ナギ剛)は、同窓会で上京した元妻・美也子(紺野まひる)と久々に会い、ある思い出の品を受け取る。その後、連続殺人事件が発生。共通している点は2つ。  (1)現場に不可解な印のついたプラスチック片が残されている。  (2)被害者は、過去に殺人の容疑をかけられるも不起訴になっている。  この異常な連続殺人に宅間は、京都府警時代に出逢った“殺人脚本家""の存在を思い出す。やがて宅間と美也子に衝撃の展開が待ち受ける!宅間善人")</f>
        <v>宅間(草ナギ剛)は、同窓会で上京した元妻・美也子(紺野まひる)と久々に会い、ある思い出の品を受け取る。その後、連続殺人事件が発生。共通している点は2つ。  (1)現場に不可解な印のついたプラスチック片が残されている。  (2)被害者は、過去に殺人の容疑をかけられるも不起訴になっている。  この異常な連続殺人に宅間は、京都府警時代に出逢った“殺人脚本家"の存在を思い出す。やがて宅間と美也子に衝撃の展開が待ち受ける!宅間善人</v>
      </c>
      <c r="N2394" s="2"/>
      <c r="O2394" s="2"/>
      <c r="P2394" s="1"/>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c r="AT2394" s="1"/>
      <c r="AU2394" s="1"/>
      <c r="AV2394" s="1"/>
      <c r="AW2394" s="1"/>
      <c r="AX2394" s="1"/>
      <c r="AY2394" s="1"/>
      <c r="AZ2394" s="1"/>
      <c r="BA2394" s="1"/>
      <c r="BB2394" s="1"/>
    </row>
    <row r="2395" ht="204.75" customHeight="1">
      <c r="A2395" s="1">
        <v>1813.0</v>
      </c>
      <c r="B2395" s="2" t="s">
        <v>7460</v>
      </c>
      <c r="C2395" s="2">
        <f>IFERROR(__xludf.DUMMYFUNCTION("split(B2395,""_"")"),1601.0)</f>
        <v>1601</v>
      </c>
      <c r="D2395" s="2" t="str">
        <f>IFERROR(__xludf.DUMMYFUNCTION("""COMPUTED_VALUE"""),"EX")</f>
        <v>EX</v>
      </c>
      <c r="E2395" s="2" t="str">
        <f>IFERROR(__xludf.DUMMYFUNCTION("""COMPUTED_VALUE"""),"木21")</f>
        <v>木21</v>
      </c>
      <c r="F2395" s="2" t="s">
        <v>7461</v>
      </c>
      <c r="G2395" s="2" t="s">
        <v>7486</v>
      </c>
      <c r="H2395" s="1">
        <v>9.0</v>
      </c>
      <c r="I2395" s="1" t="s">
        <v>2900</v>
      </c>
      <c r="J2395" s="1" t="s">
        <v>11</v>
      </c>
      <c r="K2395" s="2" t="s">
        <v>7487</v>
      </c>
      <c r="L2395" s="11" t="s">
        <v>7488</v>
      </c>
      <c r="M2395" s="2" t="str">
        <f>IFERROR(__xludf.DUMMYFUNCTION("split(split(K2395,""…草ナギ剛 "",false),""公式LINE"",false)"),"宅間(草ナギ剛)の元妻・美也子(紺野まひる)までをも巻き込んだ、男女8人による「殺人トーナメント」。その背後に、以前から因縁のある“犯罪脚本家""佐神(上川隆也)の存在を察知した宅間は、その行方を追い始める。一方、殺人トーナメントにおける最初の事件の第一発見者である巡査・岸田が、毒殺され拳銃が盗まれる事件が発生!さらなる緊張が走る。そんな中、宅間の元に一通の招待状が。ついに宅間は佐神と対決することに!宅間善人")</f>
        <v>宅間(草ナギ剛)の元妻・美也子(紺野まひる)までをも巻き込んだ、男女8人による「殺人トーナメント」。その背後に、以前から因縁のある“犯罪脚本家"佐神(上川隆也)の存在を察知した宅間は、その行方を追い始める。一方、殺人トーナメントにおける最初の事件の第一発見者である巡査・岸田が、毒殺され拳銃が盗まれる事件が発生!さらなる緊張が走る。そんな中、宅間の元に一通の招待状が。ついに宅間は佐神と対決することに!宅間善人</v>
      </c>
      <c r="N2395" s="2"/>
      <c r="O2395" s="2"/>
      <c r="P2395" s="1"/>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c r="AQ2395" s="1"/>
      <c r="AR2395" s="1"/>
      <c r="AS2395" s="1"/>
      <c r="AT2395" s="1"/>
      <c r="AU2395" s="1"/>
      <c r="AV2395" s="1"/>
      <c r="AW2395" s="1"/>
      <c r="AX2395" s="1"/>
      <c r="AY2395" s="1"/>
      <c r="AZ2395" s="1"/>
      <c r="BA2395" s="1"/>
      <c r="BB2395" s="1"/>
    </row>
    <row r="2396" ht="204.75" customHeight="1">
      <c r="A2396" s="1">
        <v>1814.0</v>
      </c>
      <c r="B2396" s="2" t="s">
        <v>7460</v>
      </c>
      <c r="C2396" s="2">
        <f>IFERROR(__xludf.DUMMYFUNCTION("split(B2396,""_"")"),1601.0)</f>
        <v>1601</v>
      </c>
      <c r="D2396" s="2" t="str">
        <f>IFERROR(__xludf.DUMMYFUNCTION("""COMPUTED_VALUE"""),"EX")</f>
        <v>EX</v>
      </c>
      <c r="E2396" s="2" t="str">
        <f>IFERROR(__xludf.DUMMYFUNCTION("""COMPUTED_VALUE"""),"木21")</f>
        <v>木21</v>
      </c>
      <c r="F2396" s="2" t="s">
        <v>7461</v>
      </c>
      <c r="G2396" s="2" t="s">
        <v>7489</v>
      </c>
      <c r="H2396" s="1">
        <v>10.0</v>
      </c>
      <c r="I2396" s="1" t="s">
        <v>37</v>
      </c>
      <c r="J2396" s="1" t="s">
        <v>11</v>
      </c>
      <c r="K2396" s="2" t="s">
        <v>7490</v>
      </c>
      <c r="L2396" s="11" t="s">
        <v>7491</v>
      </c>
      <c r="M2396" s="2" t="str">
        <f>IFERROR(__xludf.DUMMYFUNCTION("split(split(K2396,""…草ナギ剛 "",false),""公式LINE"",false)"),"ついに最終回!元妻・美也子(紺野まひる)に毒を盛った男を殺害した疑いをかけられた宅間(草ナギ剛)は、一瞬の隙をついて逃亡。逃げ回る中で宅間は、自身を冤罪に陥れた本当の黒幕を暴き出すため、一か八かの“賭け""に出る!追い詰められた宅間の前に現れた、驚くべき人物とは!?宅間の無実を信じる総事係の仲間が探り出した、驚くべき真実とは!?全てが明らかになるとき、そこには何もかもを覆す衝撃の結末が待っていた!宅間善人")</f>
        <v>ついに最終回!元妻・美也子(紺野まひる)に毒を盛った男を殺害した疑いをかけられた宅間(草ナギ剛)は、一瞬の隙をついて逃亡。逃げ回る中で宅間は、自身を冤罪に陥れた本当の黒幕を暴き出すため、一か八かの“賭け"に出る!追い詰められた宅間の前に現れた、驚くべき人物とは!?宅間の無実を信じる総事係の仲間が探り出した、驚くべき真実とは!?全てが明らかになるとき、そこには何もかもを覆す衝撃の結末が待っていた!宅間善人</v>
      </c>
      <c r="N2396" s="2"/>
      <c r="O2396" s="2"/>
      <c r="P2396" s="1"/>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c r="AN2396" s="1"/>
      <c r="AO2396" s="1"/>
      <c r="AP2396" s="1"/>
      <c r="AQ2396" s="1"/>
      <c r="AR2396" s="1"/>
      <c r="AS2396" s="1"/>
      <c r="AT2396" s="1"/>
      <c r="AU2396" s="1"/>
      <c r="AV2396" s="1"/>
      <c r="AW2396" s="1"/>
      <c r="AX2396" s="1"/>
      <c r="AY2396" s="1"/>
      <c r="AZ2396" s="1"/>
      <c r="BA2396" s="1"/>
      <c r="BB2396" s="1"/>
    </row>
    <row r="2397" ht="204.75" customHeight="1">
      <c r="A2397" s="1">
        <v>1847.0</v>
      </c>
      <c r="B2397" s="2" t="s">
        <v>7492</v>
      </c>
      <c r="C2397" s="2">
        <f>IFERROR(__xludf.DUMMYFUNCTION("split(B2397,""_"")"),1601.0)</f>
        <v>1601</v>
      </c>
      <c r="D2397" s="2" t="str">
        <f>IFERROR(__xludf.DUMMYFUNCTION("""COMPUTED_VALUE"""),"EX")</f>
        <v>EX</v>
      </c>
      <c r="E2397" s="2" t="str">
        <f>IFERROR(__xludf.DUMMYFUNCTION("""COMPUTED_VALUE"""),"金23")</f>
        <v>金23</v>
      </c>
      <c r="F2397" s="2" t="s">
        <v>7493</v>
      </c>
      <c r="G2397" s="2" t="s">
        <v>7494</v>
      </c>
      <c r="H2397" s="1">
        <v>1.0</v>
      </c>
      <c r="I2397" s="1" t="s">
        <v>2868</v>
      </c>
      <c r="J2397" s="1" t="s">
        <v>1435</v>
      </c>
      <c r="K2397" s="4" t="s">
        <v>7495</v>
      </c>
      <c r="L2397" s="11" t="s">
        <v>7496</v>
      </c>
      <c r="M2397" s="2" t="str">
        <f>IFERROR(__xludf.DUMMYFUNCTION("split(split(K2397,""桐谷美玲、"",false),""公式LINE"",false)"),"青春を謳歌することなく、65歳になった如月澄(松坂慶子)。天涯孤独の身となった彼女は、納戸で黒猫が描かれた古い屏風に指をひっかけてしまう。その晩、「人生をやり直したい…」と願うと、屏風から黒猫が飛び出し、人に姿を変えた黎(及川光博)が現れた。澄は、黎の術によって20歳の姿となり、如月すみれ(桐谷美玲)と名乗って憧れの大学へ通うことに。そこで真白勇征(町田啓太)に出会うが…。")</f>
        <v>青春を謳歌することなく、65歳になった如月澄(松坂慶子)。天涯孤独の身となった彼女は、納戸で黒猫が描かれた古い屏風に指をひっかけてしまう。その晩、「人生をやり直したい…」と願うと、屏風から黒猫が飛び出し、人に姿を変えた黎(及川光博)が現れた。澄は、黎の術によって20歳の姿となり、如月すみれ(桐谷美玲)と名乗って憧れの大学へ通うことに。そこで真白勇征(町田啓太)に出会うが…。</v>
      </c>
      <c r="N2397" s="2"/>
      <c r="O2397" s="2"/>
      <c r="P2397" s="1"/>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c r="AN2397" s="1"/>
      <c r="AO2397" s="1"/>
      <c r="AP2397" s="1"/>
      <c r="AQ2397" s="1"/>
      <c r="AR2397" s="1"/>
      <c r="AS2397" s="1"/>
      <c r="AT2397" s="1"/>
      <c r="AU2397" s="1"/>
      <c r="AV2397" s="1"/>
      <c r="AW2397" s="1"/>
      <c r="AX2397" s="1"/>
      <c r="AY2397" s="1"/>
      <c r="AZ2397" s="1"/>
      <c r="BA2397" s="1"/>
      <c r="BB2397" s="1"/>
    </row>
    <row r="2398" ht="204.75" customHeight="1">
      <c r="A2398" s="1">
        <v>1848.0</v>
      </c>
      <c r="B2398" s="2" t="s">
        <v>7492</v>
      </c>
      <c r="C2398" s="2">
        <f>IFERROR(__xludf.DUMMYFUNCTION("split(B2398,""_"")"),1601.0)</f>
        <v>1601</v>
      </c>
      <c r="D2398" s="2" t="str">
        <f>IFERROR(__xludf.DUMMYFUNCTION("""COMPUTED_VALUE"""),"EX")</f>
        <v>EX</v>
      </c>
      <c r="E2398" s="2" t="str">
        <f>IFERROR(__xludf.DUMMYFUNCTION("""COMPUTED_VALUE"""),"金23")</f>
        <v>金23</v>
      </c>
      <c r="F2398" s="2" t="s">
        <v>7493</v>
      </c>
      <c r="G2398" s="2" t="s">
        <v>7497</v>
      </c>
      <c r="H2398" s="1">
        <v>2.0</v>
      </c>
      <c r="I2398" s="1" t="s">
        <v>2872</v>
      </c>
      <c r="J2398" s="1" t="s">
        <v>1435</v>
      </c>
      <c r="K2398" s="2" t="s">
        <v>7498</v>
      </c>
      <c r="L2398" s="11" t="s">
        <v>7499</v>
      </c>
      <c r="M2398" s="2" t="str">
        <f>IFERROR(__xludf.DUMMYFUNCTION("split(split(K2398,""桐谷美玲、"",false),""公式LINE"",false)"),"化け猫・黎(及川光博)の術で20歳の姿になった65歳の澄(松坂慶子)は、すみれ(桐谷美玲)と名乗って大学に通い、青春をやり直すことに。そんな中、バレンタインデーが近づいてきた!ゼミ仲間たちもそわそわし始める。すみれも真白勇征(町田啓太)に連絡先を聞かれ、胸を高鳴らせる。その矢先、すみれは同じゼミの学生・由ノ郷千明(秋元才加)が、ずっと休学していることを知る。心配したすみれは、千明の自宅へ行き…。")</f>
        <v>化け猫・黎(及川光博)の術で20歳の姿になった65歳の澄(松坂慶子)は、すみれ(桐谷美玲)と名乗って大学に通い、青春をやり直すことに。そんな中、バレンタインデーが近づいてきた!ゼミ仲間たちもそわそわし始める。すみれも真白勇征(町田啓太)に連絡先を聞かれ、胸を高鳴らせる。その矢先、すみれは同じゼミの学生・由ノ郷千明(秋元才加)が、ずっと休学していることを知る。心配したすみれは、千明の自宅へ行き…。</v>
      </c>
      <c r="N2398" s="2"/>
      <c r="O2398" s="2"/>
      <c r="P2398" s="1"/>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c r="AN2398" s="1"/>
      <c r="AO2398" s="1"/>
      <c r="AP2398" s="1"/>
      <c r="AQ2398" s="1"/>
      <c r="AR2398" s="1"/>
      <c r="AS2398" s="1"/>
      <c r="AT2398" s="1"/>
      <c r="AU2398" s="1"/>
      <c r="AV2398" s="1"/>
      <c r="AW2398" s="1"/>
      <c r="AX2398" s="1"/>
      <c r="AY2398" s="1"/>
      <c r="AZ2398" s="1"/>
      <c r="BA2398" s="1"/>
      <c r="BB2398" s="1"/>
    </row>
    <row r="2399" ht="204.75" customHeight="1">
      <c r="A2399" s="1">
        <v>1849.0</v>
      </c>
      <c r="B2399" s="2" t="s">
        <v>7492</v>
      </c>
      <c r="C2399" s="2">
        <f>IFERROR(__xludf.DUMMYFUNCTION("split(B2399,""_"")"),1601.0)</f>
        <v>1601</v>
      </c>
      <c r="D2399" s="2" t="str">
        <f>IFERROR(__xludf.DUMMYFUNCTION("""COMPUTED_VALUE"""),"EX")</f>
        <v>EX</v>
      </c>
      <c r="E2399" s="2" t="str">
        <f>IFERROR(__xludf.DUMMYFUNCTION("""COMPUTED_VALUE"""),"金23")</f>
        <v>金23</v>
      </c>
      <c r="F2399" s="2" t="s">
        <v>7493</v>
      </c>
      <c r="G2399" s="2" t="s">
        <v>7500</v>
      </c>
      <c r="H2399" s="1">
        <v>3.0</v>
      </c>
      <c r="I2399" s="1" t="s">
        <v>2876</v>
      </c>
      <c r="J2399" s="1" t="s">
        <v>1435</v>
      </c>
      <c r="K2399" s="2" t="s">
        <v>7501</v>
      </c>
      <c r="L2399" s="11" t="s">
        <v>7502</v>
      </c>
      <c r="M2399" s="2" t="str">
        <f>IFERROR(__xludf.DUMMYFUNCTION("split(split(K2399,""桐谷美玲、"",false),""公式LINE"",false)"),"気になる存在の真白勇征(町田啓太)の目の前で、如月すみれ(桐谷美玲)を“絶体絶命のピンチ""が襲った!あろうことか、元の65歳の如月澄(松坂慶子)の姿に戻ってしまったのだ。なすすべもなく、呆然とするすみれ…。だが、間一髪のところで黎(及川光博)が機転を利かせ、すみれの“秘密""を守り抜く。そんな中、真白がすみれをデートに誘ってきた!すみれの胸はどんどんときめいていくが…。")</f>
        <v>気になる存在の真白勇征(町田啓太)の目の前で、如月すみれ(桐谷美玲)を“絶体絶命のピンチ"が襲った!あろうことか、元の65歳の如月澄(松坂慶子)の姿に戻ってしまったのだ。なすすべもなく、呆然とするすみれ…。だが、間一髪のところで黎(及川光博)が機転を利かせ、すみれの“秘密"を守り抜く。そんな中、真白がすみれをデートに誘ってきた!すみれの胸はどんどんときめいていくが…。</v>
      </c>
      <c r="N2399" s="2"/>
      <c r="O2399" s="2"/>
      <c r="P2399" s="1"/>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c r="AN2399" s="1"/>
      <c r="AO2399" s="1"/>
      <c r="AP2399" s="1"/>
      <c r="AQ2399" s="1"/>
      <c r="AR2399" s="1"/>
      <c r="AS2399" s="1"/>
      <c r="AT2399" s="1"/>
      <c r="AU2399" s="1"/>
      <c r="AV2399" s="1"/>
      <c r="AW2399" s="1"/>
      <c r="AX2399" s="1"/>
      <c r="AY2399" s="1"/>
      <c r="AZ2399" s="1"/>
      <c r="BA2399" s="1"/>
      <c r="BB2399" s="1"/>
    </row>
    <row r="2400" ht="204.75" customHeight="1">
      <c r="A2400" s="1">
        <v>1850.0</v>
      </c>
      <c r="B2400" s="2" t="s">
        <v>7492</v>
      </c>
      <c r="C2400" s="2">
        <f>IFERROR(__xludf.DUMMYFUNCTION("split(B2400,""_"")"),1601.0)</f>
        <v>1601</v>
      </c>
      <c r="D2400" s="2" t="str">
        <f>IFERROR(__xludf.DUMMYFUNCTION("""COMPUTED_VALUE"""),"EX")</f>
        <v>EX</v>
      </c>
      <c r="E2400" s="2" t="str">
        <f>IFERROR(__xludf.DUMMYFUNCTION("""COMPUTED_VALUE"""),"金23")</f>
        <v>金23</v>
      </c>
      <c r="F2400" s="2" t="s">
        <v>7493</v>
      </c>
      <c r="G2400" s="2" t="s">
        <v>7503</v>
      </c>
      <c r="H2400" s="1">
        <v>4.0</v>
      </c>
      <c r="I2400" s="1" t="s">
        <v>2880</v>
      </c>
      <c r="J2400" s="1" t="s">
        <v>1435</v>
      </c>
      <c r="K2400" s="2" t="s">
        <v>7504</v>
      </c>
      <c r="L2400" s="11" t="s">
        <v>7505</v>
      </c>
      <c r="M2400" s="2" t="str">
        <f>IFERROR(__xludf.DUMMYFUNCTION("split(split(K2400,""桐谷美玲、"",false),""公式LINE"",false)"),"憧れの人・真白勇征(町田啓太)から、遂に愛の告白をされた如月すみれ(桐谷美玲)。体は20歳だが、中身は65歳の澄(松坂慶子)であるすみれは、長い人生の中で初めて男の人と付き合うことに!そんな中、すみれは親友の由ノ郷千明(秋元才加)と一緒に、人生初のアルバイトを始める。何かを急ぐかのように、“若い頃に出来なかったこと""をどんどん体験していくすみれ。その姿をそばで見守っていた黎(及川光博)は、心配を募らせ…。")</f>
        <v>憧れの人・真白勇征(町田啓太)から、遂に愛の告白をされた如月すみれ(桐谷美玲)。体は20歳だが、中身は65歳の澄(松坂慶子)であるすみれは、長い人生の中で初めて男の人と付き合うことに!そんな中、すみれは親友の由ノ郷千明(秋元才加)と一緒に、人生初のアルバイトを始める。何かを急ぐかのように、“若い頃に出来なかったこと"をどんどん体験していくすみれ。その姿をそばで見守っていた黎(及川光博)は、心配を募らせ…。</v>
      </c>
      <c r="N2400" s="2"/>
      <c r="O2400" s="2"/>
      <c r="P2400" s="1"/>
      <c r="Q2400" s="1"/>
      <c r="R2400" s="1"/>
      <c r="S2400" s="1"/>
      <c r="T2400" s="1"/>
      <c r="U2400" s="1"/>
      <c r="V2400" s="1"/>
      <c r="W2400" s="1"/>
      <c r="X2400" s="1"/>
      <c r="Y2400" s="1"/>
      <c r="Z2400" s="1"/>
      <c r="AA2400" s="1"/>
      <c r="AB2400" s="1"/>
      <c r="AC2400" s="1"/>
      <c r="AD2400" s="1"/>
      <c r="AE2400" s="1"/>
      <c r="AF2400" s="1"/>
      <c r="AG2400" s="1"/>
      <c r="AH2400" s="1"/>
      <c r="AI2400" s="1"/>
      <c r="AJ2400" s="1"/>
      <c r="AK2400" s="1"/>
      <c r="AL2400" s="1"/>
      <c r="AM2400" s="1"/>
      <c r="AN2400" s="1"/>
      <c r="AO2400" s="1"/>
      <c r="AP2400" s="1"/>
      <c r="AQ2400" s="1"/>
      <c r="AR2400" s="1"/>
      <c r="AS2400" s="1"/>
      <c r="AT2400" s="1"/>
      <c r="AU2400" s="1"/>
      <c r="AV2400" s="1"/>
      <c r="AW2400" s="1"/>
      <c r="AX2400" s="1"/>
      <c r="AY2400" s="1"/>
      <c r="AZ2400" s="1"/>
      <c r="BA2400" s="1"/>
      <c r="BB2400" s="1"/>
    </row>
    <row r="2401" ht="204.75" customHeight="1">
      <c r="A2401" s="1">
        <v>1851.0</v>
      </c>
      <c r="B2401" s="2" t="s">
        <v>7492</v>
      </c>
      <c r="C2401" s="2">
        <f>IFERROR(__xludf.DUMMYFUNCTION("split(B2401,""_"")"),1601.0)</f>
        <v>1601</v>
      </c>
      <c r="D2401" s="2" t="str">
        <f>IFERROR(__xludf.DUMMYFUNCTION("""COMPUTED_VALUE"""),"EX")</f>
        <v>EX</v>
      </c>
      <c r="E2401" s="2" t="str">
        <f>IFERROR(__xludf.DUMMYFUNCTION("""COMPUTED_VALUE"""),"金23")</f>
        <v>金23</v>
      </c>
      <c r="F2401" s="2" t="s">
        <v>7493</v>
      </c>
      <c r="G2401" s="2" t="s">
        <v>7506</v>
      </c>
      <c r="H2401" s="1">
        <v>5.0</v>
      </c>
      <c r="I2401" s="1" t="s">
        <v>2884</v>
      </c>
      <c r="J2401" s="1" t="s">
        <v>1435</v>
      </c>
      <c r="K2401" s="2" t="s">
        <v>7507</v>
      </c>
      <c r="L2401" s="11" t="s">
        <v>7508</v>
      </c>
      <c r="M2401" s="2" t="str">
        <f>IFERROR(__xludf.DUMMYFUNCTION("split(split(K2401,""桐谷美玲、"",false),""公式LINE"",false)"),"如月すみれ(桐谷美玲)が“鍵の言葉""を口にしたことで、恋人・真白勇征(町田啓太)の家の屏風に封印されていた化け猫・雪白(小西真奈美)が姿を現した!雪白は、化け猫・黎(及川光博)の婚約者で、黎に会わせるために連れて行くが…。そんな中、すみれは真白に誘われ、一泊二日のスノボ・デートへ。ところが、すみれを一目見て気に入った男が、真白がそばにいない隙を見計らい、すみれを山頂の上級者コースへと誘い出して…。")</f>
        <v>如月すみれ(桐谷美玲)が“鍵の言葉"を口にしたことで、恋人・真白勇征(町田啓太)の家の屏風に封印されていた化け猫・雪白(小西真奈美)が姿を現した!雪白は、化け猫・黎(及川光博)の婚約者で、黎に会わせるために連れて行くが…。そんな中、すみれは真白に誘われ、一泊二日のスノボ・デートへ。ところが、すみれを一目見て気に入った男が、真白がそばにいない隙を見計らい、すみれを山頂の上級者コースへと誘い出して…。</v>
      </c>
      <c r="N2401" s="2"/>
      <c r="O2401" s="2"/>
      <c r="P2401" s="1"/>
      <c r="Q2401" s="1"/>
      <c r="R2401" s="1"/>
      <c r="S2401" s="1"/>
      <c r="T2401" s="1"/>
      <c r="U2401" s="1"/>
      <c r="V2401" s="1"/>
      <c r="W2401" s="1"/>
      <c r="X2401" s="1"/>
      <c r="Y2401" s="1"/>
      <c r="Z2401" s="1"/>
      <c r="AA2401" s="1"/>
      <c r="AB2401" s="1"/>
      <c r="AC2401" s="1"/>
      <c r="AD2401" s="1"/>
      <c r="AE2401" s="1"/>
      <c r="AF2401" s="1"/>
      <c r="AG2401" s="1"/>
      <c r="AH2401" s="1"/>
      <c r="AI2401" s="1"/>
      <c r="AJ2401" s="1"/>
      <c r="AK2401" s="1"/>
      <c r="AL2401" s="1"/>
      <c r="AM2401" s="1"/>
      <c r="AN2401" s="1"/>
      <c r="AO2401" s="1"/>
      <c r="AP2401" s="1"/>
      <c r="AQ2401" s="1"/>
      <c r="AR2401" s="1"/>
      <c r="AS2401" s="1"/>
      <c r="AT2401" s="1"/>
      <c r="AU2401" s="1"/>
      <c r="AV2401" s="1"/>
      <c r="AW2401" s="1"/>
      <c r="AX2401" s="1"/>
      <c r="AY2401" s="1"/>
      <c r="AZ2401" s="1"/>
      <c r="BA2401" s="1"/>
      <c r="BB2401" s="1"/>
    </row>
    <row r="2402" ht="204.75" customHeight="1">
      <c r="A2402" s="1">
        <v>1852.0</v>
      </c>
      <c r="B2402" s="2" t="s">
        <v>7492</v>
      </c>
      <c r="C2402" s="2">
        <f>IFERROR(__xludf.DUMMYFUNCTION("split(B2402,""_"")"),1601.0)</f>
        <v>1601</v>
      </c>
      <c r="D2402" s="2" t="str">
        <f>IFERROR(__xludf.DUMMYFUNCTION("""COMPUTED_VALUE"""),"EX")</f>
        <v>EX</v>
      </c>
      <c r="E2402" s="2" t="str">
        <f>IFERROR(__xludf.DUMMYFUNCTION("""COMPUTED_VALUE"""),"金23")</f>
        <v>金23</v>
      </c>
      <c r="F2402" s="2" t="s">
        <v>7493</v>
      </c>
      <c r="G2402" s="2" t="s">
        <v>7509</v>
      </c>
      <c r="H2402" s="1">
        <v>6.0</v>
      </c>
      <c r="I2402" s="1" t="s">
        <v>2888</v>
      </c>
      <c r="J2402" s="1" t="s">
        <v>1435</v>
      </c>
      <c r="K2402" s="2" t="s">
        <v>7510</v>
      </c>
      <c r="L2402" s="11" t="s">
        <v>7511</v>
      </c>
      <c r="M2402" s="2" t="str">
        <f>IFERROR(__xludf.DUMMYFUNCTION("split(split(K2402,""桐谷美玲、"",false),""公式LINE"",false)"),"真白勇征(町田啓太)が命にかかわる病を患い、入院したことを知った如月すみれ(桐谷美玲)は、ショックを受ける。すると化け猫・黎(及川光博)が、65歳の如月澄(松坂慶子)を20歳のすみれに若返らせた時と同じように、自分の生気を分け与えると言いだす。しかし、それを実行すれば、黎の命の保証はない…。すみれは永遠に65歳の姿に戻ることを覚悟の上で、かつて黎からもらった生気を真白に与えようと決断するが…。")</f>
        <v>真白勇征(町田啓太)が命にかかわる病を患い、入院したことを知った如月すみれ(桐谷美玲)は、ショックを受ける。すると化け猫・黎(及川光博)が、65歳の如月澄(松坂慶子)を20歳のすみれに若返らせた時と同じように、自分の生気を分け与えると言いだす。しかし、それを実行すれば、黎の命の保証はない…。すみれは永遠に65歳の姿に戻ることを覚悟の上で、かつて黎からもらった生気を真白に与えようと決断するが…。</v>
      </c>
      <c r="N2402" s="2"/>
      <c r="O2402" s="2"/>
      <c r="P2402" s="1"/>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c r="AN2402" s="1"/>
      <c r="AO2402" s="1"/>
      <c r="AP2402" s="1"/>
      <c r="AQ2402" s="1"/>
      <c r="AR2402" s="1"/>
      <c r="AS2402" s="1"/>
      <c r="AT2402" s="1"/>
      <c r="AU2402" s="1"/>
      <c r="AV2402" s="1"/>
      <c r="AW2402" s="1"/>
      <c r="AX2402" s="1"/>
      <c r="AY2402" s="1"/>
      <c r="AZ2402" s="1"/>
      <c r="BA2402" s="1"/>
      <c r="BB2402" s="1"/>
    </row>
    <row r="2403" ht="204.75" customHeight="1">
      <c r="A2403" s="1">
        <v>1853.0</v>
      </c>
      <c r="B2403" s="2" t="s">
        <v>7492</v>
      </c>
      <c r="C2403" s="2">
        <f>IFERROR(__xludf.DUMMYFUNCTION("split(B2403,""_"")"),1601.0)</f>
        <v>1601</v>
      </c>
      <c r="D2403" s="2" t="str">
        <f>IFERROR(__xludf.DUMMYFUNCTION("""COMPUTED_VALUE"""),"EX")</f>
        <v>EX</v>
      </c>
      <c r="E2403" s="2" t="str">
        <f>IFERROR(__xludf.DUMMYFUNCTION("""COMPUTED_VALUE"""),"金23")</f>
        <v>金23</v>
      </c>
      <c r="F2403" s="2" t="s">
        <v>7493</v>
      </c>
      <c r="G2403" s="2" t="s">
        <v>7512</v>
      </c>
      <c r="H2403" s="1">
        <v>7.0</v>
      </c>
      <c r="I2403" s="1" t="s">
        <v>2892</v>
      </c>
      <c r="J2403" s="1" t="s">
        <v>1435</v>
      </c>
      <c r="K2403" s="2" t="s">
        <v>7513</v>
      </c>
      <c r="L2403" s="11" t="s">
        <v>7514</v>
      </c>
      <c r="M2403" s="2" t="str">
        <f>IFERROR(__xludf.DUMMYFUNCTION("split(split(K2403,""桐谷美玲、"",false),""公式LINE"",false)"),"如月澄(松坂慶子)に自分の残りの生気を与え、再び20歳の如月すみれ(桐谷美玲)へと若返らせた化け猫・黎(及川光博)。彼が姿を消してから、5年が経った…。  中身は70歳、体は25歳になったすみれは大学を卒業し、憧れの映画会社に就職。“二度目の新しい人生""を精一杯生きていた。そんなある日、すみれは職場の同僚から合コンに誘われる。そこでなんと真白勇征(町田啓太)と、友人・辻井健人(竹内涼真)に再会し…!")</f>
        <v>如月澄(松坂慶子)に自分の残りの生気を与え、再び20歳の如月すみれ(桐谷美玲)へと若返らせた化け猫・黎(及川光博)。彼が姿を消してから、5年が経った…。  中身は70歳、体は25歳になったすみれは大学を卒業し、憧れの映画会社に就職。“二度目の新しい人生"を精一杯生きていた。そんなある日、すみれは職場の同僚から合コンに誘われる。そこでなんと真白勇征(町田啓太)と、友人・辻井健人(竹内涼真)に再会し…!</v>
      </c>
      <c r="N2403" s="2"/>
      <c r="O2403" s="2"/>
      <c r="P2403" s="1"/>
      <c r="Q2403" s="1"/>
      <c r="R2403" s="1"/>
      <c r="S2403" s="1"/>
      <c r="T2403" s="1"/>
      <c r="U2403" s="1"/>
      <c r="V2403" s="1"/>
      <c r="W2403" s="1"/>
      <c r="X2403" s="1"/>
      <c r="Y2403" s="1"/>
      <c r="Z2403" s="1"/>
      <c r="AA2403" s="1"/>
      <c r="AB2403" s="1"/>
      <c r="AC2403" s="1"/>
      <c r="AD2403" s="1"/>
      <c r="AE2403" s="1"/>
      <c r="AF2403" s="1"/>
      <c r="AG2403" s="1"/>
      <c r="AH2403" s="1"/>
      <c r="AI2403" s="1"/>
      <c r="AJ2403" s="1"/>
      <c r="AK2403" s="1"/>
      <c r="AL2403" s="1"/>
      <c r="AM2403" s="1"/>
      <c r="AN2403" s="1"/>
      <c r="AO2403" s="1"/>
      <c r="AP2403" s="1"/>
      <c r="AQ2403" s="1"/>
      <c r="AR2403" s="1"/>
      <c r="AS2403" s="1"/>
      <c r="AT2403" s="1"/>
      <c r="AU2403" s="1"/>
      <c r="AV2403" s="1"/>
      <c r="AW2403" s="1"/>
      <c r="AX2403" s="1"/>
      <c r="AY2403" s="1"/>
      <c r="AZ2403" s="1"/>
      <c r="BA2403" s="1"/>
      <c r="BB2403" s="1"/>
    </row>
    <row r="2404" ht="204.75" customHeight="1">
      <c r="A2404" s="1">
        <v>1854.0</v>
      </c>
      <c r="B2404" s="2" t="s">
        <v>7492</v>
      </c>
      <c r="C2404" s="2">
        <f>IFERROR(__xludf.DUMMYFUNCTION("split(B2404,""_"")"),1601.0)</f>
        <v>1601</v>
      </c>
      <c r="D2404" s="2" t="str">
        <f>IFERROR(__xludf.DUMMYFUNCTION("""COMPUTED_VALUE"""),"EX")</f>
        <v>EX</v>
      </c>
      <c r="E2404" s="2" t="str">
        <f>IFERROR(__xludf.DUMMYFUNCTION("""COMPUTED_VALUE"""),"金23")</f>
        <v>金23</v>
      </c>
      <c r="F2404" s="2" t="s">
        <v>7493</v>
      </c>
      <c r="G2404" s="2" t="s">
        <v>7515</v>
      </c>
      <c r="H2404" s="1">
        <v>8.0</v>
      </c>
      <c r="I2404" s="1" t="s">
        <v>2896</v>
      </c>
      <c r="J2404" s="1" t="s">
        <v>1435</v>
      </c>
      <c r="K2404" s="2" t="s">
        <v>7516</v>
      </c>
      <c r="L2404" s="11" t="s">
        <v>7517</v>
      </c>
      <c r="M2404" s="2" t="str">
        <f>IFERROR(__xludf.DUMMYFUNCTION("split(split(K2404,""桐谷美玲、"",false),""公式LINE"",false)"),"5年ぶりの再会を経て、初恋の人・真白勇征(町田啓太)からプロポーズをされた如月すみれ(桐谷美玲)。しかし、すみれは今でも、深夜になると元の如月澄(松坂慶子)の姿に戻ってしまう。真白はそのすべてを受け止めると宣言。だが、自分の本来の姿に負い目を感じるすみれは、真白の気持ちを受け入れることができず…。その反応を見た真白の脳裏に浮かんだのが、澄を若返らせ、守り続けてきた化け猫・黎(及川光博)の存在で…!?")</f>
        <v>5年ぶりの再会を経て、初恋の人・真白勇征(町田啓太)からプロポーズをされた如月すみれ(桐谷美玲)。しかし、すみれは今でも、深夜になると元の如月澄(松坂慶子)の姿に戻ってしまう。真白はそのすべてを受け止めると宣言。だが、自分の本来の姿に負い目を感じるすみれは、真白の気持ちを受け入れることができず…。その反応を見た真白の脳裏に浮かんだのが、澄を若返らせ、守り続けてきた化け猫・黎(及川光博)の存在で…!?</v>
      </c>
      <c r="N2404" s="2"/>
      <c r="O2404" s="2"/>
      <c r="P2404" s="1"/>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c r="AN2404" s="1"/>
      <c r="AO2404" s="1"/>
      <c r="AP2404" s="1"/>
      <c r="AQ2404" s="1"/>
      <c r="AR2404" s="1"/>
      <c r="AS2404" s="1"/>
      <c r="AT2404" s="1"/>
      <c r="AU2404" s="1"/>
      <c r="AV2404" s="1"/>
      <c r="AW2404" s="1"/>
      <c r="AX2404" s="1"/>
      <c r="AY2404" s="1"/>
      <c r="AZ2404" s="1"/>
      <c r="BA2404" s="1"/>
      <c r="BB2404" s="1"/>
    </row>
    <row r="2405" ht="204.75" customHeight="1">
      <c r="A2405" s="1">
        <v>1920.0</v>
      </c>
      <c r="B2405" s="2" t="s">
        <v>7518</v>
      </c>
      <c r="C2405" s="2">
        <f>IFERROR(__xludf.DUMMYFUNCTION("split(B2405,""_"")"),1510.0)</f>
        <v>1510</v>
      </c>
      <c r="D2405" s="2" t="str">
        <f>IFERROR(__xludf.DUMMYFUNCTION("""COMPUTED_VALUE"""),"EX")</f>
        <v>EX</v>
      </c>
      <c r="E2405" s="2" t="str">
        <f>IFERROR(__xludf.DUMMYFUNCTION("""COMPUTED_VALUE"""),"木21")</f>
        <v>木21</v>
      </c>
      <c r="F2405" s="2" t="s">
        <v>7519</v>
      </c>
      <c r="G2405" s="2" t="s">
        <v>7520</v>
      </c>
      <c r="H2405" s="1">
        <v>1.0</v>
      </c>
      <c r="I2405" s="1" t="s">
        <v>2868</v>
      </c>
      <c r="J2405" s="1" t="s">
        <v>4</v>
      </c>
      <c r="K2405" s="4" t="s">
        <v>7521</v>
      </c>
      <c r="L2405" s="11" t="s">
        <v>7522</v>
      </c>
      <c r="M2405" s="2" t="str">
        <f>IFERROR(__xludf.DUMMYFUNCTION("split(split(K2405,""向井理、"",false),""公式LINE"",false)"),"莫大な資産を誇る葬儀会社会長・河村龍太郎(伊東四朗)が倒れたのをきっかけに、河村家では「遺産相続問題」が勃発。そんな中、研修医・佐藤育生(向井理)は、龍太郎の孫娘・楓(榮倉奈々)にプロポーズ。しかし父・恒三(岸部一徳)に「ムコ入り」を提案されてしまう。幸せなはずの結婚が引き金になり、金をめぐる家族の争いに巻き込まれてゆく育生。果たして家族とは何なのか。そして遺産は誰の手に?")</f>
        <v>莫大な資産を誇る葬儀会社会長・河村龍太郎(伊東四朗)が倒れたのをきっかけに、河村家では「遺産相続問題」が勃発。そんな中、研修医・佐藤育生(向井理)は、龍太郎の孫娘・楓(榮倉奈々)にプロポーズ。しかし父・恒三(岸部一徳)に「ムコ入り」を提案されてしまう。幸せなはずの結婚が引き金になり、金をめぐる家族の争いに巻き込まれてゆく育生。果たして家族とは何なのか。そして遺産は誰の手に?</v>
      </c>
      <c r="N2405" s="2"/>
      <c r="O2405" s="2"/>
      <c r="P2405" s="1"/>
      <c r="Q2405" s="1"/>
      <c r="R2405" s="1"/>
      <c r="S2405" s="1"/>
      <c r="T2405" s="1"/>
      <c r="U2405" s="1"/>
      <c r="V2405" s="1"/>
      <c r="W2405" s="1"/>
      <c r="X2405" s="1"/>
      <c r="Y2405" s="1"/>
      <c r="Z2405" s="1"/>
      <c r="AA2405" s="1"/>
      <c r="AB2405" s="1"/>
      <c r="AC2405" s="1"/>
      <c r="AD2405" s="1"/>
      <c r="AE2405" s="1"/>
      <c r="AF2405" s="1"/>
      <c r="AG2405" s="1"/>
      <c r="AH2405" s="1"/>
      <c r="AI2405" s="1"/>
      <c r="AJ2405" s="1"/>
      <c r="AK2405" s="1"/>
      <c r="AL2405" s="1"/>
      <c r="AM2405" s="1"/>
      <c r="AN2405" s="1"/>
      <c r="AO2405" s="1"/>
      <c r="AP2405" s="1"/>
      <c r="AQ2405" s="1"/>
      <c r="AR2405" s="1"/>
      <c r="AS2405" s="1"/>
      <c r="AT2405" s="1"/>
      <c r="AU2405" s="1"/>
      <c r="AV2405" s="1"/>
      <c r="AW2405" s="1"/>
      <c r="AX2405" s="1"/>
      <c r="AY2405" s="1"/>
      <c r="AZ2405" s="1"/>
      <c r="BA2405" s="1"/>
      <c r="BB2405" s="1"/>
    </row>
    <row r="2406" ht="204.75" customHeight="1">
      <c r="A2406" s="1">
        <v>1921.0</v>
      </c>
      <c r="B2406" s="2" t="s">
        <v>7518</v>
      </c>
      <c r="C2406" s="2">
        <f>IFERROR(__xludf.DUMMYFUNCTION("split(B2406,""_"")"),1510.0)</f>
        <v>1510</v>
      </c>
      <c r="D2406" s="2" t="str">
        <f>IFERROR(__xludf.DUMMYFUNCTION("""COMPUTED_VALUE"""),"EX")</f>
        <v>EX</v>
      </c>
      <c r="E2406" s="2" t="str">
        <f>IFERROR(__xludf.DUMMYFUNCTION("""COMPUTED_VALUE"""),"木21")</f>
        <v>木21</v>
      </c>
      <c r="F2406" s="2" t="s">
        <v>7519</v>
      </c>
      <c r="G2406" s="2" t="s">
        <v>7523</v>
      </c>
      <c r="H2406" s="1">
        <v>2.0</v>
      </c>
      <c r="I2406" s="1" t="s">
        <v>2872</v>
      </c>
      <c r="J2406" s="1" t="s">
        <v>11</v>
      </c>
      <c r="K2406" s="2" t="s">
        <v>7524</v>
      </c>
      <c r="L2406" s="11" t="s">
        <v>7525</v>
      </c>
      <c r="M2406" s="2" t="str">
        <f>IFERROR(__xludf.DUMMYFUNCTION("split(split(K2406,""向井理、"",false),""公式LINE"",false)"),"“ムコ入り""した研修医、育生。そこには“遺産""をめぐっていがみ合い、欲望にまみれた一族がいた!-育生と楓の幸せな結婚が引き金となり、家長である龍太郎(伊東四朗)のにぎる約10億円の資産をめぐり、「家族」は「争族」へと変貌していく。金をめぐる骨肉の争いが、「家族」の本当の姿をあぶりだす!果たして遺産は誰の手に?愛憎にまみれた新しいホームドラマ誕生!")</f>
        <v>“ムコ入り"した研修医、育生。そこには“遺産"をめぐっていがみ合い、欲望にまみれた一族がいた!-育生と楓の幸せな結婚が引き金となり、家長である龍太郎(伊東四朗)のにぎる約10億円の資産をめぐり、「家族」は「争族」へと変貌していく。金をめぐる骨肉の争いが、「家族」の本当の姿をあぶりだす!果たして遺産は誰の手に?愛憎にまみれた新しいホームドラマ誕生!</v>
      </c>
      <c r="N2406" s="2"/>
      <c r="O2406" s="2"/>
      <c r="P2406" s="1"/>
      <c r="Q2406" s="1"/>
      <c r="R2406" s="1"/>
      <c r="S2406" s="1"/>
      <c r="T2406" s="1"/>
      <c r="U2406" s="1"/>
      <c r="V2406" s="1"/>
      <c r="W2406" s="1"/>
      <c r="X2406" s="1"/>
      <c r="Y2406" s="1"/>
      <c r="Z2406" s="1"/>
      <c r="AA2406" s="1"/>
      <c r="AB2406" s="1"/>
      <c r="AC2406" s="1"/>
      <c r="AD2406" s="1"/>
      <c r="AE2406" s="1"/>
      <c r="AF2406" s="1"/>
      <c r="AG2406" s="1"/>
      <c r="AH2406" s="1"/>
      <c r="AI2406" s="1"/>
      <c r="AJ2406" s="1"/>
      <c r="AK2406" s="1"/>
      <c r="AL2406" s="1"/>
      <c r="AM2406" s="1"/>
      <c r="AN2406" s="1"/>
      <c r="AO2406" s="1"/>
      <c r="AP2406" s="1"/>
      <c r="AQ2406" s="1"/>
      <c r="AR2406" s="1"/>
      <c r="AS2406" s="1"/>
      <c r="AT2406" s="1"/>
      <c r="AU2406" s="1"/>
      <c r="AV2406" s="1"/>
      <c r="AW2406" s="1"/>
      <c r="AX2406" s="1"/>
      <c r="AY2406" s="1"/>
      <c r="AZ2406" s="1"/>
      <c r="BA2406" s="1"/>
      <c r="BB2406" s="1"/>
    </row>
    <row r="2407" ht="204.75" customHeight="1">
      <c r="A2407" s="1">
        <v>1922.0</v>
      </c>
      <c r="B2407" s="2" t="s">
        <v>7518</v>
      </c>
      <c r="C2407" s="2">
        <f>IFERROR(__xludf.DUMMYFUNCTION("split(B2407,""_"")"),1510.0)</f>
        <v>1510</v>
      </c>
      <c r="D2407" s="2" t="str">
        <f>IFERROR(__xludf.DUMMYFUNCTION("""COMPUTED_VALUE"""),"EX")</f>
        <v>EX</v>
      </c>
      <c r="E2407" s="2" t="str">
        <f>IFERROR(__xludf.DUMMYFUNCTION("""COMPUTED_VALUE"""),"木21")</f>
        <v>木21</v>
      </c>
      <c r="F2407" s="2" t="s">
        <v>7519</v>
      </c>
      <c r="G2407" s="2" t="s">
        <v>7526</v>
      </c>
      <c r="H2407" s="1">
        <v>3.0</v>
      </c>
      <c r="I2407" s="1" t="s">
        <v>2876</v>
      </c>
      <c r="J2407" s="1" t="s">
        <v>11</v>
      </c>
      <c r="K2407" s="2" t="s">
        <v>7527</v>
      </c>
      <c r="L2407" s="11" t="s">
        <v>7528</v>
      </c>
      <c r="M2407" s="2" t="str">
        <f>IFERROR(__xludf.DUMMYFUNCTION("split(split(K2407,""向井理、"",false),""公式LINE"",false)"),"“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f>
        <v>“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v>
      </c>
      <c r="N2407" s="2"/>
      <c r="O2407" s="2"/>
      <c r="P2407" s="1"/>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c r="AN2407" s="1"/>
      <c r="AO2407" s="1"/>
      <c r="AP2407" s="1"/>
      <c r="AQ2407" s="1"/>
      <c r="AR2407" s="1"/>
      <c r="AS2407" s="1"/>
      <c r="AT2407" s="1"/>
      <c r="AU2407" s="1"/>
      <c r="AV2407" s="1"/>
      <c r="AW2407" s="1"/>
      <c r="AX2407" s="1"/>
      <c r="AY2407" s="1"/>
      <c r="AZ2407" s="1"/>
      <c r="BA2407" s="1"/>
      <c r="BB2407" s="1"/>
    </row>
    <row r="2408" ht="204.75" customHeight="1">
      <c r="A2408" s="1">
        <v>1923.0</v>
      </c>
      <c r="B2408" s="2" t="s">
        <v>7518</v>
      </c>
      <c r="C2408" s="2">
        <f>IFERROR(__xludf.DUMMYFUNCTION("split(B2408,""_"")"),1510.0)</f>
        <v>1510</v>
      </c>
      <c r="D2408" s="2" t="str">
        <f>IFERROR(__xludf.DUMMYFUNCTION("""COMPUTED_VALUE"""),"EX")</f>
        <v>EX</v>
      </c>
      <c r="E2408" s="2" t="str">
        <f>IFERROR(__xludf.DUMMYFUNCTION("""COMPUTED_VALUE"""),"木21")</f>
        <v>木21</v>
      </c>
      <c r="F2408" s="2" t="s">
        <v>7519</v>
      </c>
      <c r="G2408" s="2" t="s">
        <v>7529</v>
      </c>
      <c r="H2408" s="1">
        <v>4.0</v>
      </c>
      <c r="I2408" s="1" t="s">
        <v>2880</v>
      </c>
      <c r="J2408" s="1" t="s">
        <v>11</v>
      </c>
      <c r="K2408" s="2" t="s">
        <v>7530</v>
      </c>
      <c r="L2408" s="11" t="s">
        <v>7531</v>
      </c>
      <c r="M2408" s="2" t="str">
        <f>IFERROR(__xludf.DUMMYFUNCTION("split(split(K2408,""向井理、"",false),""公式LINE"",false)"),"“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f>
        <v>“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v>
      </c>
      <c r="N2408" s="2"/>
      <c r="O2408" s="2"/>
      <c r="P2408" s="1"/>
      <c r="Q2408" s="1"/>
      <c r="R2408" s="1"/>
      <c r="S2408" s="1"/>
      <c r="T2408" s="1"/>
      <c r="U2408" s="1"/>
      <c r="V2408" s="1"/>
      <c r="W2408" s="1"/>
      <c r="X2408" s="1"/>
      <c r="Y2408" s="1"/>
      <c r="Z2408" s="1"/>
      <c r="AA2408" s="1"/>
      <c r="AB2408" s="1"/>
      <c r="AC2408" s="1"/>
      <c r="AD2408" s="1"/>
      <c r="AE2408" s="1"/>
      <c r="AF2408" s="1"/>
      <c r="AG2408" s="1"/>
      <c r="AH2408" s="1"/>
      <c r="AI2408" s="1"/>
      <c r="AJ2408" s="1"/>
      <c r="AK2408" s="1"/>
      <c r="AL2408" s="1"/>
      <c r="AM2408" s="1"/>
      <c r="AN2408" s="1"/>
      <c r="AO2408" s="1"/>
      <c r="AP2408" s="1"/>
      <c r="AQ2408" s="1"/>
      <c r="AR2408" s="1"/>
      <c r="AS2408" s="1"/>
      <c r="AT2408" s="1"/>
      <c r="AU2408" s="1"/>
      <c r="AV2408" s="1"/>
      <c r="AW2408" s="1"/>
      <c r="AX2408" s="1"/>
      <c r="AY2408" s="1"/>
      <c r="AZ2408" s="1"/>
      <c r="BA2408" s="1"/>
      <c r="BB2408" s="1"/>
    </row>
    <row r="2409" ht="204.75" customHeight="1">
      <c r="A2409" s="1">
        <v>1924.0</v>
      </c>
      <c r="B2409" s="2" t="s">
        <v>7518</v>
      </c>
      <c r="C2409" s="2">
        <f>IFERROR(__xludf.DUMMYFUNCTION("split(B2409,""_"")"),1510.0)</f>
        <v>1510</v>
      </c>
      <c r="D2409" s="2" t="str">
        <f>IFERROR(__xludf.DUMMYFUNCTION("""COMPUTED_VALUE"""),"EX")</f>
        <v>EX</v>
      </c>
      <c r="E2409" s="2" t="str">
        <f>IFERROR(__xludf.DUMMYFUNCTION("""COMPUTED_VALUE"""),"木21")</f>
        <v>木21</v>
      </c>
      <c r="F2409" s="2" t="s">
        <v>7519</v>
      </c>
      <c r="G2409" s="2" t="s">
        <v>7532</v>
      </c>
      <c r="H2409" s="1">
        <v>5.0</v>
      </c>
      <c r="I2409" s="1" t="s">
        <v>2884</v>
      </c>
      <c r="J2409" s="1" t="s">
        <v>11</v>
      </c>
      <c r="K2409" s="2" t="s">
        <v>7533</v>
      </c>
      <c r="L2409" s="11" t="s">
        <v>7531</v>
      </c>
      <c r="M2409" s="2" t="str">
        <f>IFERROR(__xludf.DUMMYFUNCTION("split(split(K2409,""向井理、"",false),""公式LINE"",false)"),"“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f>
        <v>“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v>
      </c>
      <c r="N2409" s="2"/>
      <c r="O2409" s="2"/>
      <c r="P2409" s="1"/>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c r="AN2409" s="1"/>
      <c r="AO2409" s="1"/>
      <c r="AP2409" s="1"/>
      <c r="AQ2409" s="1"/>
      <c r="AR2409" s="1"/>
      <c r="AS2409" s="1"/>
      <c r="AT2409" s="1"/>
      <c r="AU2409" s="1"/>
      <c r="AV2409" s="1"/>
      <c r="AW2409" s="1"/>
      <c r="AX2409" s="1"/>
      <c r="AY2409" s="1"/>
      <c r="AZ2409" s="1"/>
      <c r="BA2409" s="1"/>
      <c r="BB2409" s="1"/>
    </row>
    <row r="2410" ht="204.75" customHeight="1">
      <c r="A2410" s="1">
        <v>1925.0</v>
      </c>
      <c r="B2410" s="2" t="s">
        <v>7518</v>
      </c>
      <c r="C2410" s="2">
        <f>IFERROR(__xludf.DUMMYFUNCTION("split(B2410,""_"")"),1510.0)</f>
        <v>1510</v>
      </c>
      <c r="D2410" s="2" t="str">
        <f>IFERROR(__xludf.DUMMYFUNCTION("""COMPUTED_VALUE"""),"EX")</f>
        <v>EX</v>
      </c>
      <c r="E2410" s="2" t="str">
        <f>IFERROR(__xludf.DUMMYFUNCTION("""COMPUTED_VALUE"""),"木21")</f>
        <v>木21</v>
      </c>
      <c r="F2410" s="2" t="s">
        <v>7519</v>
      </c>
      <c r="G2410" s="2" t="s">
        <v>7534</v>
      </c>
      <c r="H2410" s="1">
        <v>6.0</v>
      </c>
      <c r="I2410" s="1" t="s">
        <v>2888</v>
      </c>
      <c r="J2410" s="1" t="s">
        <v>11</v>
      </c>
      <c r="K2410" s="2" t="s">
        <v>7535</v>
      </c>
      <c r="L2410" s="11" t="s">
        <v>7531</v>
      </c>
      <c r="M2410" s="2" t="str">
        <f>IFERROR(__xludf.DUMMYFUNCTION("split(split(K2410,""向井理、"",false),""公式LINE"",false)"),"“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f>
        <v>“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v>
      </c>
      <c r="N2410" s="2"/>
      <c r="O2410" s="2"/>
      <c r="P2410" s="1"/>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c r="AN2410" s="1"/>
      <c r="AO2410" s="1"/>
      <c r="AP2410" s="1"/>
      <c r="AQ2410" s="1"/>
      <c r="AR2410" s="1"/>
      <c r="AS2410" s="1"/>
      <c r="AT2410" s="1"/>
      <c r="AU2410" s="1"/>
      <c r="AV2410" s="1"/>
      <c r="AW2410" s="1"/>
      <c r="AX2410" s="1"/>
      <c r="AY2410" s="1"/>
      <c r="AZ2410" s="1"/>
      <c r="BA2410" s="1"/>
      <c r="BB2410" s="1"/>
    </row>
    <row r="2411" ht="204.75" customHeight="1">
      <c r="A2411" s="1">
        <v>1926.0</v>
      </c>
      <c r="B2411" s="2" t="s">
        <v>7518</v>
      </c>
      <c r="C2411" s="2">
        <f>IFERROR(__xludf.DUMMYFUNCTION("split(B2411,""_"")"),1510.0)</f>
        <v>1510</v>
      </c>
      <c r="D2411" s="2" t="str">
        <f>IFERROR(__xludf.DUMMYFUNCTION("""COMPUTED_VALUE"""),"EX")</f>
        <v>EX</v>
      </c>
      <c r="E2411" s="2" t="str">
        <f>IFERROR(__xludf.DUMMYFUNCTION("""COMPUTED_VALUE"""),"木21")</f>
        <v>木21</v>
      </c>
      <c r="F2411" s="2" t="s">
        <v>7519</v>
      </c>
      <c r="G2411" s="2" t="s">
        <v>7536</v>
      </c>
      <c r="H2411" s="1">
        <v>7.0</v>
      </c>
      <c r="I2411" s="1" t="s">
        <v>2892</v>
      </c>
      <c r="J2411" s="1" t="s">
        <v>11</v>
      </c>
      <c r="K2411" s="2" t="s">
        <v>7537</v>
      </c>
      <c r="L2411" s="11" t="s">
        <v>7531</v>
      </c>
      <c r="M2411" s="2" t="str">
        <f>IFERROR(__xludf.DUMMYFUNCTION("split(split(K2411,""向井理、"",false),""公式LINE"",false)"),"“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f>
        <v>“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v>
      </c>
      <c r="N2411" s="2"/>
      <c r="O2411" s="2"/>
      <c r="P2411" s="1"/>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c r="AN2411" s="1"/>
      <c r="AO2411" s="1"/>
      <c r="AP2411" s="1"/>
      <c r="AQ2411" s="1"/>
      <c r="AR2411" s="1"/>
      <c r="AS2411" s="1"/>
      <c r="AT2411" s="1"/>
      <c r="AU2411" s="1"/>
      <c r="AV2411" s="1"/>
      <c r="AW2411" s="1"/>
      <c r="AX2411" s="1"/>
      <c r="AY2411" s="1"/>
      <c r="AZ2411" s="1"/>
      <c r="BA2411" s="1"/>
      <c r="BB2411" s="1"/>
    </row>
    <row r="2412" ht="204.75" customHeight="1">
      <c r="A2412" s="1">
        <v>1927.0</v>
      </c>
      <c r="B2412" s="2" t="s">
        <v>7518</v>
      </c>
      <c r="C2412" s="2">
        <f>IFERROR(__xludf.DUMMYFUNCTION("split(B2412,""_"")"),1510.0)</f>
        <v>1510</v>
      </c>
      <c r="D2412" s="2" t="str">
        <f>IFERROR(__xludf.DUMMYFUNCTION("""COMPUTED_VALUE"""),"EX")</f>
        <v>EX</v>
      </c>
      <c r="E2412" s="2" t="str">
        <f>IFERROR(__xludf.DUMMYFUNCTION("""COMPUTED_VALUE"""),"木21")</f>
        <v>木21</v>
      </c>
      <c r="F2412" s="2" t="s">
        <v>7519</v>
      </c>
      <c r="G2412" s="2" t="s">
        <v>7538</v>
      </c>
      <c r="H2412" s="1">
        <v>8.0</v>
      </c>
      <c r="I2412" s="1" t="s">
        <v>2896</v>
      </c>
      <c r="J2412" s="1" t="s">
        <v>11</v>
      </c>
      <c r="K2412" s="2" t="s">
        <v>7533</v>
      </c>
      <c r="L2412" s="11" t="s">
        <v>7531</v>
      </c>
      <c r="M2412" s="2" t="str">
        <f>IFERROR(__xludf.DUMMYFUNCTION("split(split(K2412,""向井理、"",false),""公式LINE"",false)"),"“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f>
        <v>“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v>
      </c>
      <c r="N2412" s="2"/>
      <c r="O2412" s="2"/>
      <c r="P2412" s="1"/>
      <c r="Q2412" s="1"/>
      <c r="R2412" s="1"/>
      <c r="S2412" s="1"/>
      <c r="T2412" s="1"/>
      <c r="U2412" s="1"/>
      <c r="V2412" s="1"/>
      <c r="W2412" s="1"/>
      <c r="X2412" s="1"/>
      <c r="Y2412" s="1"/>
      <c r="Z2412" s="1"/>
      <c r="AA2412" s="1"/>
      <c r="AB2412" s="1"/>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1"/>
      <c r="AY2412" s="1"/>
      <c r="AZ2412" s="1"/>
      <c r="BA2412" s="1"/>
      <c r="BB2412" s="1"/>
    </row>
    <row r="2413" ht="204.75" customHeight="1">
      <c r="A2413" s="1">
        <v>1928.0</v>
      </c>
      <c r="B2413" s="2" t="s">
        <v>7518</v>
      </c>
      <c r="C2413" s="2">
        <f>IFERROR(__xludf.DUMMYFUNCTION("split(B2413,""_"")"),1510.0)</f>
        <v>1510</v>
      </c>
      <c r="D2413" s="2" t="str">
        <f>IFERROR(__xludf.DUMMYFUNCTION("""COMPUTED_VALUE"""),"EX")</f>
        <v>EX</v>
      </c>
      <c r="E2413" s="2" t="str">
        <f>IFERROR(__xludf.DUMMYFUNCTION("""COMPUTED_VALUE"""),"木21")</f>
        <v>木21</v>
      </c>
      <c r="F2413" s="2" t="s">
        <v>7519</v>
      </c>
      <c r="G2413" s="2" t="s">
        <v>7539</v>
      </c>
      <c r="H2413" s="1">
        <v>9.0</v>
      </c>
      <c r="I2413" s="1" t="s">
        <v>2900</v>
      </c>
      <c r="J2413" s="1" t="s">
        <v>11</v>
      </c>
      <c r="K2413" s="2" t="s">
        <v>7540</v>
      </c>
      <c r="L2413" s="11" t="s">
        <v>7541</v>
      </c>
      <c r="M2413" s="2" t="str">
        <f>IFERROR(__xludf.DUMMYFUNCTION("split(split(K2413,""向井理、"",false),""公式LINE"",false)"),"“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f>
        <v>“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v>
      </c>
      <c r="N2413" s="2"/>
      <c r="O2413" s="2"/>
      <c r="P2413" s="1"/>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c r="AN2413" s="1"/>
      <c r="AO2413" s="1"/>
      <c r="AP2413" s="1"/>
      <c r="AQ2413" s="1"/>
      <c r="AR2413" s="1"/>
      <c r="AS2413" s="1"/>
      <c r="AT2413" s="1"/>
      <c r="AU2413" s="1"/>
      <c r="AV2413" s="1"/>
      <c r="AW2413" s="1"/>
      <c r="AX2413" s="1"/>
      <c r="AY2413" s="1"/>
      <c r="AZ2413" s="1"/>
      <c r="BA2413" s="1"/>
      <c r="BB2413" s="1"/>
    </row>
    <row r="2414" ht="204.75" customHeight="1">
      <c r="A2414" s="1">
        <v>1957.0</v>
      </c>
      <c r="B2414" s="2" t="s">
        <v>7542</v>
      </c>
      <c r="C2414" s="2">
        <f>IFERROR(__xludf.DUMMYFUNCTION("split(B2414,""_"")"),1510.0)</f>
        <v>1510</v>
      </c>
      <c r="D2414" s="2" t="str">
        <f>IFERROR(__xludf.DUMMYFUNCTION("""COMPUTED_VALUE"""),"EX")</f>
        <v>EX</v>
      </c>
      <c r="E2414" s="2" t="str">
        <f>IFERROR(__xludf.DUMMYFUNCTION("""COMPUTED_VALUE"""),"金23")</f>
        <v>金23</v>
      </c>
      <c r="F2414" s="2" t="s">
        <v>7543</v>
      </c>
      <c r="G2414" s="2" t="s">
        <v>7544</v>
      </c>
      <c r="H2414" s="1">
        <v>1.0</v>
      </c>
      <c r="I2414" s="1" t="s">
        <v>2868</v>
      </c>
      <c r="J2414" s="1" t="s">
        <v>1435</v>
      </c>
      <c r="K2414" s="4" t="s">
        <v>7545</v>
      </c>
      <c r="L2414" s="11" t="s">
        <v>7546</v>
      </c>
      <c r="M2414" s="2" t="str">
        <f>IFERROR(__xludf.DUMMYFUNCTION("split(split(K2414,""錦戸亮、"",false),""公式LINE"",false)"),"時は幕末、武市半平太は切腹を……次の瞬間、現代にタイムスリップしていたーー。一方、侍の格好をした不審人物の出現に、村人たちもオロオロするばかり!事情を聞こうとするが、タイムスリップしたことを自覚していない半平太は、獄中への逆戻りを恐れ、逃げてしまう!その矢先、殺人事件の犯人らしき男が近隣の駅で目撃されたとの情報が!その男が半平太ではないかと訝った村人たちは、騒ぎ始め…!?")</f>
        <v>時は幕末、武市半平太は切腹を……次の瞬間、現代にタイムスリップしていたーー。一方、侍の格好をした不審人物の出現に、村人たちもオロオロするばかり!事情を聞こうとするが、タイムスリップしたことを自覚していない半平太は、獄中への逆戻りを恐れ、逃げてしまう!その矢先、殺人事件の犯人らしき男が近隣の駅で目撃されたとの情報が!その男が半平太ではないかと訝った村人たちは、騒ぎ始め…!?</v>
      </c>
      <c r="N2414" s="2"/>
      <c r="O2414" s="2"/>
      <c r="P2414" s="1"/>
      <c r="Q2414" s="1"/>
      <c r="R2414" s="1"/>
      <c r="S2414" s="1"/>
      <c r="T2414" s="1"/>
      <c r="U2414" s="1"/>
      <c r="V2414" s="1"/>
      <c r="W2414" s="1"/>
      <c r="X2414" s="1"/>
      <c r="Y2414" s="1"/>
      <c r="Z2414" s="1"/>
      <c r="AA2414" s="1"/>
      <c r="AB2414" s="1"/>
      <c r="AC2414" s="1"/>
      <c r="AD2414" s="1"/>
      <c r="AE2414" s="1"/>
      <c r="AF2414" s="1"/>
      <c r="AG2414" s="1"/>
      <c r="AH2414" s="1"/>
      <c r="AI2414" s="1"/>
      <c r="AJ2414" s="1"/>
      <c r="AK2414" s="1"/>
      <c r="AL2414" s="1"/>
      <c r="AM2414" s="1"/>
      <c r="AN2414" s="1"/>
      <c r="AO2414" s="1"/>
      <c r="AP2414" s="1"/>
      <c r="AQ2414" s="1"/>
      <c r="AR2414" s="1"/>
      <c r="AS2414" s="1"/>
      <c r="AT2414" s="1"/>
      <c r="AU2414" s="1"/>
      <c r="AV2414" s="1"/>
      <c r="AW2414" s="1"/>
      <c r="AX2414" s="1"/>
      <c r="AY2414" s="1"/>
      <c r="AZ2414" s="1"/>
      <c r="BA2414" s="1"/>
      <c r="BB2414" s="1"/>
    </row>
    <row r="2415" ht="204.75" customHeight="1">
      <c r="A2415" s="1">
        <v>1958.0</v>
      </c>
      <c r="B2415" s="2" t="s">
        <v>7542</v>
      </c>
      <c r="C2415" s="2">
        <f>IFERROR(__xludf.DUMMYFUNCTION("split(B2415,""_"")"),1510.0)</f>
        <v>1510</v>
      </c>
      <c r="D2415" s="2" t="str">
        <f>IFERROR(__xludf.DUMMYFUNCTION("""COMPUTED_VALUE"""),"EX")</f>
        <v>EX</v>
      </c>
      <c r="E2415" s="2" t="str">
        <f>IFERROR(__xludf.DUMMYFUNCTION("""COMPUTED_VALUE"""),"金23")</f>
        <v>金23</v>
      </c>
      <c r="F2415" s="2" t="s">
        <v>7543</v>
      </c>
      <c r="G2415" s="2" t="s">
        <v>7547</v>
      </c>
      <c r="H2415" s="1">
        <v>2.0</v>
      </c>
      <c r="I2415" s="1" t="s">
        <v>2872</v>
      </c>
      <c r="J2415" s="1" t="s">
        <v>1435</v>
      </c>
      <c r="K2415" s="2" t="s">
        <v>7548</v>
      </c>
      <c r="L2415" s="11" t="s">
        <v>7549</v>
      </c>
      <c r="M2415" s="2" t="str">
        <f>IFERROR(__xludf.DUMMYFUNCTION("split(split(K2415,""錦戸亮、"",false),""公式LINE"",false)"),"山小屋での誘拐事件に巻き込まれた半平太は、人質となっていた子供たちを無事に助けるため、一戦交える覚悟で犯人を挑発するが…!?事件の後、半平太は「さらばじゃ」という言葉を残して、晴香(比嘉愛未)たちの前から姿を消してしまう。そんな時、楢崎と名乗り現代に溶け込む坂本龍馬(神木隆之介)が現れる!一方、晴香は上司の小見山(梶原善)からセクハラを受ける日々…それを知った半平太は驚きの行動にでる!!")</f>
        <v>山小屋での誘拐事件に巻き込まれた半平太は、人質となっていた子供たちを無事に助けるため、一戦交える覚悟で犯人を挑発するが…!?事件の後、半平太は「さらばじゃ」という言葉を残して、晴香(比嘉愛未)たちの前から姿を消してしまう。そんな時、楢崎と名乗り現代に溶け込む坂本龍馬(神木隆之介)が現れる!一方、晴香は上司の小見山(梶原善)からセクハラを受ける日々…それを知った半平太は驚きの行動にでる!!</v>
      </c>
      <c r="N2415" s="2"/>
      <c r="O2415" s="2"/>
      <c r="P2415" s="1"/>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1"/>
      <c r="AY2415" s="1"/>
      <c r="AZ2415" s="1"/>
      <c r="BA2415" s="1"/>
      <c r="BB2415" s="1"/>
    </row>
    <row r="2416" ht="204.75" customHeight="1">
      <c r="A2416" s="1">
        <v>1959.0</v>
      </c>
      <c r="B2416" s="2" t="s">
        <v>7542</v>
      </c>
      <c r="C2416" s="2">
        <f>IFERROR(__xludf.DUMMYFUNCTION("split(B2416,""_"")"),1510.0)</f>
        <v>1510</v>
      </c>
      <c r="D2416" s="2" t="str">
        <f>IFERROR(__xludf.DUMMYFUNCTION("""COMPUTED_VALUE"""),"EX")</f>
        <v>EX</v>
      </c>
      <c r="E2416" s="2" t="str">
        <f>IFERROR(__xludf.DUMMYFUNCTION("""COMPUTED_VALUE"""),"金23")</f>
        <v>金23</v>
      </c>
      <c r="F2416" s="2" t="s">
        <v>7543</v>
      </c>
      <c r="G2416" s="2" t="s">
        <v>7550</v>
      </c>
      <c r="H2416" s="1">
        <v>3.0</v>
      </c>
      <c r="I2416" s="1" t="s">
        <v>2876</v>
      </c>
      <c r="J2416" s="1" t="s">
        <v>1435</v>
      </c>
      <c r="K2416" s="2" t="s">
        <v>7551</v>
      </c>
      <c r="L2416" s="11" t="s">
        <v>7552</v>
      </c>
      <c r="M2416" s="2" t="str">
        <f>IFERROR(__xludf.DUMMYFUNCTION("split(split(K2416,""錦戸亮、"",false),""公式LINE"",false)"),"坂本龍馬との再会を果たした半平太だったが、龍馬が半平太の妻・富子と瓜二つの女性を現代で見かけたと言い出す!そんな中、神里村で2時間サスペンスのロケが行われることになり、撮影隊と共に有名女優の有紗がやってくる。その顔を見てビックリ!有紗が富子とまったく同じ顔をしていたのだ!彼女が、富子本人だと確信した半平太は、周囲が止めるのも聞かず、ドラマ撮影中の有紗に強引に接近するが…!?")</f>
        <v>坂本龍馬との再会を果たした半平太だったが、龍馬が半平太の妻・富子と瓜二つの女性を現代で見かけたと言い出す!そんな中、神里村で2時間サスペンスのロケが行われることになり、撮影隊と共に有名女優の有紗がやってくる。その顔を見てビックリ!有紗が富子とまったく同じ顔をしていたのだ!彼女が、富子本人だと確信した半平太は、周囲が止めるのも聞かず、ドラマ撮影中の有紗に強引に接近するが…!?</v>
      </c>
      <c r="N2416" s="2"/>
      <c r="O2416" s="2"/>
      <c r="P2416" s="1"/>
      <c r="Q2416" s="1"/>
      <c r="R2416" s="1"/>
      <c r="S2416" s="1"/>
      <c r="T2416" s="1"/>
      <c r="U2416" s="1"/>
      <c r="V2416" s="1"/>
      <c r="W2416" s="1"/>
      <c r="X2416" s="1"/>
      <c r="Y2416" s="1"/>
      <c r="Z2416" s="1"/>
      <c r="AA2416" s="1"/>
      <c r="AB2416" s="1"/>
      <c r="AC2416" s="1"/>
      <c r="AD2416" s="1"/>
      <c r="AE2416" s="1"/>
      <c r="AF2416" s="1"/>
      <c r="AG2416" s="1"/>
      <c r="AH2416" s="1"/>
      <c r="AI2416" s="1"/>
      <c r="AJ2416" s="1"/>
      <c r="AK2416" s="1"/>
      <c r="AL2416" s="1"/>
      <c r="AM2416" s="1"/>
      <c r="AN2416" s="1"/>
      <c r="AO2416" s="1"/>
      <c r="AP2416" s="1"/>
      <c r="AQ2416" s="1"/>
      <c r="AR2416" s="1"/>
      <c r="AS2416" s="1"/>
      <c r="AT2416" s="1"/>
      <c r="AU2416" s="1"/>
      <c r="AV2416" s="1"/>
      <c r="AW2416" s="1"/>
      <c r="AX2416" s="1"/>
      <c r="AY2416" s="1"/>
      <c r="AZ2416" s="1"/>
      <c r="BA2416" s="1"/>
      <c r="BB2416" s="1"/>
    </row>
    <row r="2417" ht="204.75" customHeight="1">
      <c r="A2417" s="1">
        <v>1960.0</v>
      </c>
      <c r="B2417" s="2" t="s">
        <v>7542</v>
      </c>
      <c r="C2417" s="2">
        <f>IFERROR(__xludf.DUMMYFUNCTION("split(B2417,""_"")"),1510.0)</f>
        <v>1510</v>
      </c>
      <c r="D2417" s="2" t="str">
        <f>IFERROR(__xludf.DUMMYFUNCTION("""COMPUTED_VALUE"""),"EX")</f>
        <v>EX</v>
      </c>
      <c r="E2417" s="2" t="str">
        <f>IFERROR(__xludf.DUMMYFUNCTION("""COMPUTED_VALUE"""),"金23")</f>
        <v>金23</v>
      </c>
      <c r="F2417" s="2" t="s">
        <v>7543</v>
      </c>
      <c r="G2417" s="2" t="s">
        <v>7553</v>
      </c>
      <c r="H2417" s="1">
        <v>4.0</v>
      </c>
      <c r="I2417" s="1" t="s">
        <v>2880</v>
      </c>
      <c r="J2417" s="1" t="s">
        <v>1435</v>
      </c>
      <c r="K2417" s="2" t="s">
        <v>7554</v>
      </c>
      <c r="L2417" s="11" t="s">
        <v>7555</v>
      </c>
      <c r="M2417" s="2" t="str">
        <f>IFERROR(__xludf.DUMMYFUNCTION("split(split(K2417,""錦戸亮、"",false),""公式LINE"",false)"),"サチコ(黒島結菜)もタイムスリップ!?半平太と龍馬がタイムスリップした場所で思いつめたように佇んでいた!ところが、突然現れたスーツの男にサチコはさらわれてしまう!半平太は、龍馬の協力を得て、寅之助(藤井流星)と共にサチコを追跡!すると、サチコが連れ去られたのは、思いもしない場所だった。それでも半平太たちは、サチコを救い出すため、意を決して敷地内に忍び込むが…。")</f>
        <v>サチコ(黒島結菜)もタイムスリップ!?半平太と龍馬がタイムスリップした場所で思いつめたように佇んでいた!ところが、突然現れたスーツの男にサチコはさらわれてしまう!半平太は、龍馬の協力を得て、寅之助(藤井流星)と共にサチコを追跡!すると、サチコが連れ去られたのは、思いもしない場所だった。それでも半平太たちは、サチコを救い出すため、意を決して敷地内に忍び込むが…。</v>
      </c>
      <c r="N2417" s="2"/>
      <c r="O2417" s="2"/>
      <c r="P2417" s="1"/>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c r="AN2417" s="1"/>
      <c r="AO2417" s="1"/>
      <c r="AP2417" s="1"/>
      <c r="AQ2417" s="1"/>
      <c r="AR2417" s="1"/>
      <c r="AS2417" s="1"/>
      <c r="AT2417" s="1"/>
      <c r="AU2417" s="1"/>
      <c r="AV2417" s="1"/>
      <c r="AW2417" s="1"/>
      <c r="AX2417" s="1"/>
      <c r="AY2417" s="1"/>
      <c r="AZ2417" s="1"/>
      <c r="BA2417" s="1"/>
      <c r="BB2417" s="1"/>
    </row>
    <row r="2418" ht="204.75" customHeight="1">
      <c r="A2418" s="1">
        <v>1961.0</v>
      </c>
      <c r="B2418" s="2" t="s">
        <v>7542</v>
      </c>
      <c r="C2418" s="2">
        <f>IFERROR(__xludf.DUMMYFUNCTION("split(B2418,""_"")"),1510.0)</f>
        <v>1510</v>
      </c>
      <c r="D2418" s="2" t="str">
        <f>IFERROR(__xludf.DUMMYFUNCTION("""COMPUTED_VALUE"""),"EX")</f>
        <v>EX</v>
      </c>
      <c r="E2418" s="2" t="str">
        <f>IFERROR(__xludf.DUMMYFUNCTION("""COMPUTED_VALUE"""),"金23")</f>
        <v>金23</v>
      </c>
      <c r="F2418" s="2" t="s">
        <v>7543</v>
      </c>
      <c r="G2418" s="2" t="s">
        <v>7556</v>
      </c>
      <c r="H2418" s="1">
        <v>5.0</v>
      </c>
      <c r="I2418" s="1" t="s">
        <v>2884</v>
      </c>
      <c r="J2418" s="1" t="s">
        <v>1435</v>
      </c>
      <c r="K2418" s="2" t="s">
        <v>7557</v>
      </c>
      <c r="L2418" s="11" t="s">
        <v>7558</v>
      </c>
      <c r="M2418" s="2" t="str">
        <f>IFERROR(__xludf.DUMMYFUNCTION("split(split(K2418,""錦戸亮、"",false),""公式LINE"",false)"),"学校に漆黒の武者!?夜中の学校で“漆黒の武者""を見たという噂が広まる!村には『神里の村乱れし時、漆黒の武者現れ、血の裁きを下す』という言い伝えがあるというが…!?半平太と坂本龍馬は、自分たちのタイムスリップと関係があるのではないかと言い出す。オカルトの類いが苦手な半平太は、完全に腰が引けていたが、元の時代に戻る手掛かりを放ってはおけず、龍馬や晴香(比嘉愛未)と共に夜の学校に足を踏み入れるが…。")</f>
        <v>学校に漆黒の武者!?夜中の学校で“漆黒の武者"を見たという噂が広まる!村には『神里の村乱れし時、漆黒の武者現れ、血の裁きを下す』という言い伝えがあるというが…!?半平太と坂本龍馬は、自分たちのタイムスリップと関係があるのではないかと言い出す。オカルトの類いが苦手な半平太は、完全に腰が引けていたが、元の時代に戻る手掛かりを放ってはおけず、龍馬や晴香(比嘉愛未)と共に夜の学校に足を踏み入れるが…。</v>
      </c>
      <c r="N2418" s="2"/>
      <c r="O2418" s="2"/>
      <c r="P2418" s="1"/>
      <c r="Q2418" s="1"/>
      <c r="R2418" s="1"/>
      <c r="S2418" s="1"/>
      <c r="T2418" s="1"/>
      <c r="U2418" s="1"/>
      <c r="V2418" s="1"/>
      <c r="W2418" s="1"/>
      <c r="X2418" s="1"/>
      <c r="Y2418" s="1"/>
      <c r="Z2418" s="1"/>
      <c r="AA2418" s="1"/>
      <c r="AB2418" s="1"/>
      <c r="AC2418" s="1"/>
      <c r="AD2418" s="1"/>
      <c r="AE2418" s="1"/>
      <c r="AF2418" s="1"/>
      <c r="AG2418" s="1"/>
      <c r="AH2418" s="1"/>
      <c r="AI2418" s="1"/>
      <c r="AJ2418" s="1"/>
      <c r="AK2418" s="1"/>
      <c r="AL2418" s="1"/>
      <c r="AM2418" s="1"/>
      <c r="AN2418" s="1"/>
      <c r="AO2418" s="1"/>
      <c r="AP2418" s="1"/>
      <c r="AQ2418" s="1"/>
      <c r="AR2418" s="1"/>
      <c r="AS2418" s="1"/>
      <c r="AT2418" s="1"/>
      <c r="AU2418" s="1"/>
      <c r="AV2418" s="1"/>
      <c r="AW2418" s="1"/>
      <c r="AX2418" s="1"/>
      <c r="AY2418" s="1"/>
      <c r="AZ2418" s="1"/>
      <c r="BA2418" s="1"/>
      <c r="BB2418" s="1"/>
    </row>
    <row r="2419" ht="204.75" customHeight="1">
      <c r="A2419" s="1">
        <v>1962.0</v>
      </c>
      <c r="B2419" s="2" t="s">
        <v>7542</v>
      </c>
      <c r="C2419" s="2">
        <f>IFERROR(__xludf.DUMMYFUNCTION("split(B2419,""_"")"),1510.0)</f>
        <v>1510</v>
      </c>
      <c r="D2419" s="2" t="str">
        <f>IFERROR(__xludf.DUMMYFUNCTION("""COMPUTED_VALUE"""),"EX")</f>
        <v>EX</v>
      </c>
      <c r="E2419" s="2" t="str">
        <f>IFERROR(__xludf.DUMMYFUNCTION("""COMPUTED_VALUE"""),"金23")</f>
        <v>金23</v>
      </c>
      <c r="F2419" s="2" t="s">
        <v>7543</v>
      </c>
      <c r="G2419" s="2" t="s">
        <v>7559</v>
      </c>
      <c r="H2419" s="1">
        <v>6.0</v>
      </c>
      <c r="I2419" s="1" t="s">
        <v>2888</v>
      </c>
      <c r="J2419" s="1" t="s">
        <v>1435</v>
      </c>
      <c r="K2419" s="2" t="s">
        <v>7560</v>
      </c>
      <c r="L2419" s="11" t="s">
        <v>7561</v>
      </c>
      <c r="M2419" s="2" t="str">
        <f>IFERROR(__xludf.DUMMYFUNCTION("split(split(K2419,""錦戸亮、"",false),""公式LINE"",false)"),"タイムスリップしてきた場所で、負傷している男を発見!男は鬼沢(RED RICE)という地元で有名な暴走族の元リーダーであることが判明!5年前に起きた族同士の大規模な抗争の際に逮捕され、最近出所してきたらしい…が、抗争相手のリーダーだった猿川たちに襲われ、鬼沢の元嫁・理央(石田ニコル)と、娘の優菜にも危害を加えると脅される!事情を聞いた半平太は2人を守ろうとするが、猿川の魔の手はすでに迫っており…!?")</f>
        <v>タイムスリップしてきた場所で、負傷している男を発見!男は鬼沢(RED RICE)という地元で有名な暴走族の元リーダーであることが判明!5年前に起きた族同士の大規模な抗争の際に逮捕され、最近出所してきたらしい…が、抗争相手のリーダーだった猿川たちに襲われ、鬼沢の元嫁・理央(石田ニコル)と、娘の優菜にも危害を加えると脅される!事情を聞いた半平太は2人を守ろうとするが、猿川の魔の手はすでに迫っており…!?</v>
      </c>
      <c r="N2419" s="2"/>
      <c r="O2419" s="2"/>
      <c r="P2419" s="1"/>
      <c r="Q2419" s="1"/>
      <c r="R2419" s="1"/>
      <c r="S2419" s="1"/>
      <c r="T2419" s="1"/>
      <c r="U2419" s="1"/>
      <c r="V2419" s="1"/>
      <c r="W2419" s="1"/>
      <c r="X2419" s="1"/>
      <c r="Y2419" s="1"/>
      <c r="Z2419" s="1"/>
      <c r="AA2419" s="1"/>
      <c r="AB2419" s="1"/>
      <c r="AC2419" s="1"/>
      <c r="AD2419" s="1"/>
      <c r="AE2419" s="1"/>
      <c r="AF2419" s="1"/>
      <c r="AG2419" s="1"/>
      <c r="AH2419" s="1"/>
      <c r="AI2419" s="1"/>
      <c r="AJ2419" s="1"/>
      <c r="AK2419" s="1"/>
      <c r="AL2419" s="1"/>
      <c r="AM2419" s="1"/>
      <c r="AN2419" s="1"/>
      <c r="AO2419" s="1"/>
      <c r="AP2419" s="1"/>
      <c r="AQ2419" s="1"/>
      <c r="AR2419" s="1"/>
      <c r="AS2419" s="1"/>
      <c r="AT2419" s="1"/>
      <c r="AU2419" s="1"/>
      <c r="AV2419" s="1"/>
      <c r="AW2419" s="1"/>
      <c r="AX2419" s="1"/>
      <c r="AY2419" s="1"/>
      <c r="AZ2419" s="1"/>
      <c r="BA2419" s="1"/>
      <c r="BB2419" s="1"/>
    </row>
    <row r="2420" ht="204.75" customHeight="1">
      <c r="A2420" s="1">
        <v>1963.0</v>
      </c>
      <c r="B2420" s="2" t="s">
        <v>7542</v>
      </c>
      <c r="C2420" s="2">
        <f>IFERROR(__xludf.DUMMYFUNCTION("split(B2420,""_"")"),1510.0)</f>
        <v>1510</v>
      </c>
      <c r="D2420" s="2" t="str">
        <f>IFERROR(__xludf.DUMMYFUNCTION("""COMPUTED_VALUE"""),"EX")</f>
        <v>EX</v>
      </c>
      <c r="E2420" s="2" t="str">
        <f>IFERROR(__xludf.DUMMYFUNCTION("""COMPUTED_VALUE"""),"金23")</f>
        <v>金23</v>
      </c>
      <c r="F2420" s="2" t="s">
        <v>7543</v>
      </c>
      <c r="G2420" s="2" t="s">
        <v>7562</v>
      </c>
      <c r="H2420" s="1">
        <v>7.0</v>
      </c>
      <c r="I2420" s="1" t="s">
        <v>2892</v>
      </c>
      <c r="J2420" s="1" t="s">
        <v>1435</v>
      </c>
      <c r="K2420" s="2" t="s">
        <v>7563</v>
      </c>
      <c r="L2420" s="11" t="s">
        <v>7564</v>
      </c>
      <c r="M2420" s="2" t="str">
        <f>IFERROR(__xludf.DUMMYFUNCTION("split(split(K2420,""錦戸亮、"",false),""公式LINE"",false)"),"侍が東京へ!半平太と龍馬の前に最強の敵現る!  世間を騒がせている殺人事件の容疑者たちが、龍馬が制作した「平成建白書」という会員制サイトの影響を受けていることが発覚!龍馬が、裏社会のフィクサー・海道匠と繋がっている疑惑まで浮上。一方、寅之助(藤井流星)は、半平太に密着したミニ動画を撮影して、ひと儲けしようと画策していた。半平太も、龍馬を探すため、東京都心に乗り込むことになるのだが…!?")</f>
        <v>侍が東京へ!半平太と龍馬の前に最強の敵現る!  世間を騒がせている殺人事件の容疑者たちが、龍馬が制作した「平成建白書」という会員制サイトの影響を受けていることが発覚!龍馬が、裏社会のフィクサー・海道匠と繋がっている疑惑まで浮上。一方、寅之助(藤井流星)は、半平太に密着したミニ動画を撮影して、ひと儲けしようと画策していた。半平太も、龍馬を探すため、東京都心に乗り込むことになるのだが…!?</v>
      </c>
      <c r="N2420" s="2"/>
      <c r="O2420" s="2"/>
      <c r="P2420" s="1"/>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c r="AN2420" s="1"/>
      <c r="AO2420" s="1"/>
      <c r="AP2420" s="1"/>
      <c r="AQ2420" s="1"/>
      <c r="AR2420" s="1"/>
      <c r="AS2420" s="1"/>
      <c r="AT2420" s="1"/>
      <c r="AU2420" s="1"/>
      <c r="AV2420" s="1"/>
      <c r="AW2420" s="1"/>
      <c r="AX2420" s="1"/>
      <c r="AY2420" s="1"/>
      <c r="AZ2420" s="1"/>
      <c r="BA2420" s="1"/>
      <c r="BB2420" s="1"/>
    </row>
    <row r="2421" ht="204.75" customHeight="1">
      <c r="A2421" s="1">
        <v>1964.0</v>
      </c>
      <c r="B2421" s="2" t="s">
        <v>7542</v>
      </c>
      <c r="C2421" s="2">
        <f>IFERROR(__xludf.DUMMYFUNCTION("split(B2421,""_"")"),1510.0)</f>
        <v>1510</v>
      </c>
      <c r="D2421" s="2" t="str">
        <f>IFERROR(__xludf.DUMMYFUNCTION("""COMPUTED_VALUE"""),"EX")</f>
        <v>EX</v>
      </c>
      <c r="E2421" s="2" t="str">
        <f>IFERROR(__xludf.DUMMYFUNCTION("""COMPUTED_VALUE"""),"金23")</f>
        <v>金23</v>
      </c>
      <c r="F2421" s="2" t="s">
        <v>7543</v>
      </c>
      <c r="G2421" s="2" t="s">
        <v>7565</v>
      </c>
      <c r="H2421" s="1">
        <v>8.0</v>
      </c>
      <c r="I2421" s="1" t="s">
        <v>2896</v>
      </c>
      <c r="J2421" s="1" t="s">
        <v>1435</v>
      </c>
      <c r="K2421" s="2" t="s">
        <v>7566</v>
      </c>
      <c r="L2421" s="11" t="s">
        <v>7567</v>
      </c>
      <c r="M2421" s="2" t="str">
        <f>IFERROR(__xludf.DUMMYFUNCTION("split(split(K2421,""錦戸亮、"",false),""公式LINE"",false)"),"最終対決!武市半平太vs坂本龍馬!!  龍馬の計画は、金の力で権力を握ろうとしている海道(忍成修吾)に天誅を下し、政治家が絡んだ裏帳簿を公開し“平成建白書""に賛同した1万人の同志が一斉蜂起するというものだった。だが、海道が半平太を急襲!不意を突かれた半平太は重傷を負い、谷底へと転落…!?再び“日本を洗濯する""ために動き出した半平太と龍馬。150年後の未来に迷い込んだ2人の志士の物語がクライマックスを迎える!")</f>
        <v>最終対決!武市半平太vs坂本龍馬!!  龍馬の計画は、金の力で権力を握ろうとしている海道(忍成修吾)に天誅を下し、政治家が絡んだ裏帳簿を公開し“平成建白書"に賛同した1万人の同志が一斉蜂起するというものだった。だが、海道が半平太を急襲!不意を突かれた半平太は重傷を負い、谷底へと転落…!?再び“日本を洗濯する"ために動き出した半平太と龍馬。150年後の未来に迷い込んだ2人の志士の物語がクライマックスを迎える!</v>
      </c>
      <c r="N2421" s="2"/>
      <c r="O2421" s="2"/>
      <c r="P2421" s="1"/>
      <c r="Q2421" s="1"/>
      <c r="R2421" s="1"/>
      <c r="S2421" s="1"/>
      <c r="T2421" s="1"/>
      <c r="U2421" s="1"/>
      <c r="V2421" s="1"/>
      <c r="W2421" s="1"/>
      <c r="X2421" s="1"/>
      <c r="Y2421" s="1"/>
      <c r="Z2421" s="1"/>
      <c r="AA2421" s="1"/>
      <c r="AB2421" s="1"/>
      <c r="AC2421" s="1"/>
      <c r="AD2421" s="1"/>
      <c r="AE2421" s="1"/>
      <c r="AF2421" s="1"/>
      <c r="AG2421" s="1"/>
      <c r="AH2421" s="1"/>
      <c r="AI2421" s="1"/>
      <c r="AJ2421" s="1"/>
      <c r="AK2421" s="1"/>
      <c r="AL2421" s="1"/>
      <c r="AM2421" s="1"/>
      <c r="AN2421" s="1"/>
      <c r="AO2421" s="1"/>
      <c r="AP2421" s="1"/>
      <c r="AQ2421" s="1"/>
      <c r="AR2421" s="1"/>
      <c r="AS2421" s="1"/>
      <c r="AT2421" s="1"/>
      <c r="AU2421" s="1"/>
      <c r="AV2421" s="1"/>
      <c r="AW2421" s="1"/>
      <c r="AX2421" s="1"/>
      <c r="AY2421" s="1"/>
      <c r="AZ2421" s="1"/>
      <c r="BA2421" s="1"/>
      <c r="BB2421" s="1"/>
    </row>
    <row r="2422" ht="204.75" customHeight="1">
      <c r="A2422" s="1">
        <v>2053.0</v>
      </c>
      <c r="B2422" s="2" t="s">
        <v>7568</v>
      </c>
      <c r="C2422" s="2">
        <f>IFERROR(__xludf.DUMMYFUNCTION("split(B2422,""_"")"),1507.0)</f>
        <v>1507</v>
      </c>
      <c r="D2422" s="2" t="str">
        <f>IFERROR(__xludf.DUMMYFUNCTION("""COMPUTED_VALUE"""),"EX")</f>
        <v>EX</v>
      </c>
      <c r="E2422" s="2" t="str">
        <f>IFERROR(__xludf.DUMMYFUNCTION("""COMPUTED_VALUE"""),"木21")</f>
        <v>木21</v>
      </c>
      <c r="F2422" s="2" t="s">
        <v>7569</v>
      </c>
      <c r="G2422" s="2" t="s">
        <v>7570</v>
      </c>
      <c r="H2422" s="1">
        <v>1.0</v>
      </c>
      <c r="I2422" s="1" t="s">
        <v>2868</v>
      </c>
      <c r="J2422" s="1" t="s">
        <v>4</v>
      </c>
      <c r="K2422" s="4" t="s">
        <v>7571</v>
      </c>
      <c r="L2422" s="11" t="s">
        <v>7572</v>
      </c>
      <c r="M2422" s="2" t="str">
        <f>IFERROR(__xludf.DUMMYFUNCTION("split(split(K2422,""武井咲、"",false),""公式LINE"",false)"),"【第1話】吉井英美里(武井咲)は総合商社・帝都物産の新入社員。しかし、希望していた現場の繊維部門ではなく『総務部』に配属される。課長職以下の事務系社員は制服着用を義務付けられ、電球の交換から名刺発注まで、社内の“何でも屋""扱いに英美里は愕然。さらに、コンプライアンスの元締めであるはずの総務部だったが、実態は“女性活用""は口先だけの旧体質。そこにはあらゆるハラスメントが横行していた…。")</f>
        <v>【第1話】吉井英美里(武井咲)は総合商社・帝都物産の新入社員。しかし、希望していた現場の繊維部門ではなく『総務部』に配属される。課長職以下の事務系社員は制服着用を義務付けられ、電球の交換から名刺発注まで、社内の“何でも屋"扱いに英美里は愕然。さらに、コンプライアンスの元締めであるはずの総務部だったが、実態は“女性活用"は口先だけの旧体質。そこにはあらゆるハラスメントが横行していた…。</v>
      </c>
      <c r="N2422" s="2"/>
      <c r="O2422" s="2"/>
      <c r="P2422" s="1"/>
      <c r="Q2422" s="1"/>
      <c r="R2422" s="1"/>
      <c r="S2422" s="1"/>
      <c r="T2422" s="1"/>
      <c r="U2422" s="1"/>
      <c r="V2422" s="1"/>
      <c r="W2422" s="1"/>
      <c r="X2422" s="1"/>
      <c r="Y2422" s="1"/>
      <c r="Z2422" s="1"/>
      <c r="AA2422" s="1"/>
      <c r="AB2422" s="1"/>
      <c r="AC2422" s="1"/>
      <c r="AD2422" s="1"/>
      <c r="AE2422" s="1"/>
      <c r="AF2422" s="1"/>
      <c r="AG2422" s="1"/>
      <c r="AH2422" s="1"/>
      <c r="AI2422" s="1"/>
      <c r="AJ2422" s="1"/>
      <c r="AK2422" s="1"/>
      <c r="AL2422" s="1"/>
      <c r="AM2422" s="1"/>
      <c r="AN2422" s="1"/>
      <c r="AO2422" s="1"/>
      <c r="AP2422" s="1"/>
      <c r="AQ2422" s="1"/>
      <c r="AR2422" s="1"/>
      <c r="AS2422" s="1"/>
      <c r="AT2422" s="1"/>
      <c r="AU2422" s="1"/>
      <c r="AV2422" s="1"/>
      <c r="AW2422" s="1"/>
      <c r="AX2422" s="1"/>
      <c r="AY2422" s="1"/>
      <c r="AZ2422" s="1"/>
      <c r="BA2422" s="1"/>
      <c r="BB2422" s="1"/>
    </row>
    <row r="2423" ht="204.75" customHeight="1">
      <c r="A2423" s="1">
        <v>2054.0</v>
      </c>
      <c r="B2423" s="2" t="s">
        <v>7568</v>
      </c>
      <c r="C2423" s="2">
        <f>IFERROR(__xludf.DUMMYFUNCTION("split(B2423,""_"")"),1507.0)</f>
        <v>1507</v>
      </c>
      <c r="D2423" s="2" t="str">
        <f>IFERROR(__xludf.DUMMYFUNCTION("""COMPUTED_VALUE"""),"EX")</f>
        <v>EX</v>
      </c>
      <c r="E2423" s="2" t="str">
        <f>IFERROR(__xludf.DUMMYFUNCTION("""COMPUTED_VALUE"""),"木21")</f>
        <v>木21</v>
      </c>
      <c r="F2423" s="2" t="s">
        <v>7569</v>
      </c>
      <c r="G2423" s="2" t="s">
        <v>7573</v>
      </c>
      <c r="H2423" s="1">
        <v>2.0</v>
      </c>
      <c r="I2423" s="1" t="s">
        <v>2872</v>
      </c>
      <c r="J2423" s="1" t="s">
        <v>11</v>
      </c>
      <c r="K2423" s="2" t="s">
        <v>7574</v>
      </c>
      <c r="L2423" s="11" t="s">
        <v>7575</v>
      </c>
      <c r="M2423" s="2" t="str">
        <f>IFERROR(__xludf.DUMMYFUNCTION("split(split(K2423,""武井咲、"",false),""公式LINE"",false)"),"総務部主導の社内イベント「社員家族夏祭り」の担当になった英美里(武井咲)。イベント当日、繊維二課の増田(高橋光臣)と会話をしているところを、浮気を疑う増田の妻に目撃され、夫妻の不倫騒動に巻き込まれてしまう…!一方で、総務部内では「痛い女」をめぐって、総務課の美魔女・桂子(麻生祐未)と派遣社員の真理亜(宮地雅子)が対立。2人の激しい言い争いは英美里VS百合子(稲森いずみ)にも飛び火する!")</f>
        <v>総務部主導の社内イベント「社員家族夏祭り」の担当になった英美里(武井咲)。イベント当日、繊維二課の増田(高橋光臣)と会話をしているところを、浮気を疑う増田の妻に目撃され、夫妻の不倫騒動に巻き込まれてしまう…!一方で、総務部内では「痛い女」をめぐって、総務課の美魔女・桂子(麻生祐未)と派遣社員の真理亜(宮地雅子)が対立。2人の激しい言い争いは英美里VS百合子(稲森いずみ)にも飛び火する!</v>
      </c>
      <c r="N2423" s="2"/>
      <c r="O2423" s="2"/>
      <c r="P2423" s="1"/>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c r="AN2423" s="1"/>
      <c r="AO2423" s="1"/>
      <c r="AP2423" s="1"/>
      <c r="AQ2423" s="1"/>
      <c r="AR2423" s="1"/>
      <c r="AS2423" s="1"/>
      <c r="AT2423" s="1"/>
      <c r="AU2423" s="1"/>
      <c r="AV2423" s="1"/>
      <c r="AW2423" s="1"/>
      <c r="AX2423" s="1"/>
      <c r="AY2423" s="1"/>
      <c r="AZ2423" s="1"/>
      <c r="BA2423" s="1"/>
      <c r="BB2423" s="1"/>
    </row>
    <row r="2424" ht="204.75" customHeight="1">
      <c r="A2424" s="1">
        <v>2055.0</v>
      </c>
      <c r="B2424" s="2" t="s">
        <v>7568</v>
      </c>
      <c r="C2424" s="2">
        <f>IFERROR(__xludf.DUMMYFUNCTION("split(B2424,""_"")"),1507.0)</f>
        <v>1507</v>
      </c>
      <c r="D2424" s="2" t="str">
        <f>IFERROR(__xludf.DUMMYFUNCTION("""COMPUTED_VALUE"""),"EX")</f>
        <v>EX</v>
      </c>
      <c r="E2424" s="2" t="str">
        <f>IFERROR(__xludf.DUMMYFUNCTION("""COMPUTED_VALUE"""),"木21")</f>
        <v>木21</v>
      </c>
      <c r="F2424" s="2" t="s">
        <v>7569</v>
      </c>
      <c r="G2424" s="2" t="s">
        <v>7576</v>
      </c>
      <c r="H2424" s="1">
        <v>3.0</v>
      </c>
      <c r="I2424" s="1" t="s">
        <v>2876</v>
      </c>
      <c r="J2424" s="1" t="s">
        <v>11</v>
      </c>
      <c r="K2424" s="2" t="s">
        <v>7577</v>
      </c>
      <c r="L2424" s="11" t="s">
        <v>7578</v>
      </c>
      <c r="M2424" s="2" t="str">
        <f>IFERROR(__xludf.DUMMYFUNCTION("split(split(K2424,""武井咲、"",false),""公式LINE"",false)"),"体育会駅伝部出身で周囲からは「筋肉入社」と揶揄されている総務部の平本(大倉孝二)。そんな平本は、駅伝部のOBでもある繊維一課長・山川(高杉亘)に呼び出されては、「繊維一課に引っ張るから」と、異動を餌に朝まで飲み会に強制参加させられていた。英美里は山川の行動を注視し始め、山川と平本には大学の先輩・後輩を越えた不正伝票処理にまつわる利害関係があると気づく。自らその真相に近づこうとする英美里は…。")</f>
        <v>体育会駅伝部出身で周囲からは「筋肉入社」と揶揄されている総務部の平本(大倉孝二)。そんな平本は、駅伝部のOBでもある繊維一課長・山川(高杉亘)に呼び出されては、「繊維一課に引っ張るから」と、異動を餌に朝まで飲み会に強制参加させられていた。英美里は山川の行動を注視し始め、山川と平本には大学の先輩・後輩を越えた不正伝票処理にまつわる利害関係があると気づく。自らその真相に近づこうとする英美里は…。</v>
      </c>
      <c r="N2424" s="2"/>
      <c r="O2424" s="2"/>
      <c r="P2424" s="1"/>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c r="AN2424" s="1"/>
      <c r="AO2424" s="1"/>
      <c r="AP2424" s="1"/>
      <c r="AQ2424" s="1"/>
      <c r="AR2424" s="1"/>
      <c r="AS2424" s="1"/>
      <c r="AT2424" s="1"/>
      <c r="AU2424" s="1"/>
      <c r="AV2424" s="1"/>
      <c r="AW2424" s="1"/>
      <c r="AX2424" s="1"/>
      <c r="AY2424" s="1"/>
      <c r="AZ2424" s="1"/>
      <c r="BA2424" s="1"/>
      <c r="BB2424" s="1"/>
    </row>
    <row r="2425" ht="204.75" customHeight="1">
      <c r="A2425" s="1">
        <v>2056.0</v>
      </c>
      <c r="B2425" s="2" t="s">
        <v>7568</v>
      </c>
      <c r="C2425" s="2">
        <f>IFERROR(__xludf.DUMMYFUNCTION("split(B2425,""_"")"),1507.0)</f>
        <v>1507</v>
      </c>
      <c r="D2425" s="2" t="str">
        <f>IFERROR(__xludf.DUMMYFUNCTION("""COMPUTED_VALUE"""),"EX")</f>
        <v>EX</v>
      </c>
      <c r="E2425" s="2" t="str">
        <f>IFERROR(__xludf.DUMMYFUNCTION("""COMPUTED_VALUE"""),"木21")</f>
        <v>木21</v>
      </c>
      <c r="F2425" s="2" t="s">
        <v>7569</v>
      </c>
      <c r="G2425" s="2" t="s">
        <v>7579</v>
      </c>
      <c r="H2425" s="1">
        <v>4.0</v>
      </c>
      <c r="I2425" s="1" t="s">
        <v>2880</v>
      </c>
      <c r="J2425" s="1" t="s">
        <v>11</v>
      </c>
      <c r="K2425" s="2" t="s">
        <v>7580</v>
      </c>
      <c r="L2425" s="11" t="s">
        <v>7581</v>
      </c>
      <c r="M2425" s="2" t="str">
        <f>IFERROR(__xludf.DUMMYFUNCTION("split(split(K2425,""武井咲、"",false),""公式LINE"",false)"),"新しく繊維一課長に着任した小田みどり(森口瑤子)は海外勤務も長く、成果主義のやり手女性。着任早々に「総合職も一般職も給料分、しっかりと働いてもらう」と宣言したみどりは、残業や出張がイヤで一般職を選んだ菊池あけみ(櫻井淳子)らの反感を買ってしまう。“総合職vs一般職""の闘いは過熱の一途をたどり、遂には“警察沙汰にもなりかねない事件""が勃発する…!")</f>
        <v>新しく繊維一課長に着任した小田みどり(森口瑤子)は海外勤務も長く、成果主義のやり手女性。着任早々に「総合職も一般職も給料分、しっかりと働いてもらう」と宣言したみどりは、残業や出張がイヤで一般職を選んだ菊池あけみ(櫻井淳子)らの反感を買ってしまう。“総合職vs一般職"の闘いは過熱の一途をたどり、遂には“警察沙汰にもなりかねない事件"が勃発する…!</v>
      </c>
      <c r="N2425" s="2"/>
      <c r="O2425" s="2"/>
      <c r="P2425" s="1"/>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c r="AN2425" s="1"/>
      <c r="AO2425" s="1"/>
      <c r="AP2425" s="1"/>
      <c r="AQ2425" s="1"/>
      <c r="AR2425" s="1"/>
      <c r="AS2425" s="1"/>
      <c r="AT2425" s="1"/>
      <c r="AU2425" s="1"/>
      <c r="AV2425" s="1"/>
      <c r="AW2425" s="1"/>
      <c r="AX2425" s="1"/>
      <c r="AY2425" s="1"/>
      <c r="AZ2425" s="1"/>
      <c r="BA2425" s="1"/>
      <c r="BB2425" s="1"/>
    </row>
    <row r="2426" ht="204.75" customHeight="1">
      <c r="A2426" s="1">
        <v>2057.0</v>
      </c>
      <c r="B2426" s="2" t="s">
        <v>7568</v>
      </c>
      <c r="C2426" s="2">
        <f>IFERROR(__xludf.DUMMYFUNCTION("split(B2426,""_"")"),1507.0)</f>
        <v>1507</v>
      </c>
      <c r="D2426" s="2" t="str">
        <f>IFERROR(__xludf.DUMMYFUNCTION("""COMPUTED_VALUE"""),"EX")</f>
        <v>EX</v>
      </c>
      <c r="E2426" s="2" t="str">
        <f>IFERROR(__xludf.DUMMYFUNCTION("""COMPUTED_VALUE"""),"木21")</f>
        <v>木21</v>
      </c>
      <c r="F2426" s="2" t="s">
        <v>7569</v>
      </c>
      <c r="G2426" s="2" t="s">
        <v>7582</v>
      </c>
      <c r="H2426" s="1">
        <v>5.0</v>
      </c>
      <c r="I2426" s="1" t="s">
        <v>2884</v>
      </c>
      <c r="J2426" s="1" t="s">
        <v>11</v>
      </c>
      <c r="K2426" s="2" t="s">
        <v>7583</v>
      </c>
      <c r="L2426" s="11" t="s">
        <v>7584</v>
      </c>
      <c r="M2426" s="2" t="str">
        <f>IFERROR(__xludf.DUMMYFUNCTION("split(split(K2426,""武井咲、"",false),""公式LINE"",false)"),"鉄鋼材料課の若手社員・上田(大東駿介)が、直属の上司・小森(光石研)のことを相談しに、英美里(武井咲)のいる総務課へやって来た。小森は人と人とのつながりを大切にする昭和気質の男。現代っ子にとっては“古い価値観""を部下に押し付けてくるという。その矢先、メールに頼ったばかりに、致命的なミスを犯した上田に小森は激怒。この一件が社内全体を巻き込む大騒動へと発展し…!?")</f>
        <v>鉄鋼材料課の若手社員・上田(大東駿介)が、直属の上司・小森(光石研)のことを相談しに、英美里(武井咲)のいる総務課へやって来た。小森は人と人とのつながりを大切にする昭和気質の男。現代っ子にとっては“古い価値観"を部下に押し付けてくるという。その矢先、メールに頼ったばかりに、致命的なミスを犯した上田に小森は激怒。この一件が社内全体を巻き込む大騒動へと発展し…!?</v>
      </c>
      <c r="N2426" s="2"/>
      <c r="O2426" s="2"/>
      <c r="P2426" s="1"/>
      <c r="Q2426" s="1"/>
      <c r="R2426" s="1"/>
      <c r="S2426" s="1"/>
      <c r="T2426" s="1"/>
      <c r="U2426" s="1"/>
      <c r="V2426" s="1"/>
      <c r="W2426" s="1"/>
      <c r="X2426" s="1"/>
      <c r="Y2426" s="1"/>
      <c r="Z2426" s="1"/>
      <c r="AA2426" s="1"/>
      <c r="AB2426" s="1"/>
      <c r="AC2426" s="1"/>
      <c r="AD2426" s="1"/>
      <c r="AE2426" s="1"/>
      <c r="AF2426" s="1"/>
      <c r="AG2426" s="1"/>
      <c r="AH2426" s="1"/>
      <c r="AI2426" s="1"/>
      <c r="AJ2426" s="1"/>
      <c r="AK2426" s="1"/>
      <c r="AL2426" s="1"/>
      <c r="AM2426" s="1"/>
      <c r="AN2426" s="1"/>
      <c r="AO2426" s="1"/>
      <c r="AP2426" s="1"/>
      <c r="AQ2426" s="1"/>
      <c r="AR2426" s="1"/>
      <c r="AS2426" s="1"/>
      <c r="AT2426" s="1"/>
      <c r="AU2426" s="1"/>
      <c r="AV2426" s="1"/>
      <c r="AW2426" s="1"/>
      <c r="AX2426" s="1"/>
      <c r="AY2426" s="1"/>
      <c r="AZ2426" s="1"/>
      <c r="BA2426" s="1"/>
      <c r="BB2426" s="1"/>
    </row>
    <row r="2427" ht="204.75" customHeight="1">
      <c r="A2427" s="1">
        <v>2058.0</v>
      </c>
      <c r="B2427" s="2" t="s">
        <v>7568</v>
      </c>
      <c r="C2427" s="2">
        <f>IFERROR(__xludf.DUMMYFUNCTION("split(B2427,""_"")"),1507.0)</f>
        <v>1507</v>
      </c>
      <c r="D2427" s="2" t="str">
        <f>IFERROR(__xludf.DUMMYFUNCTION("""COMPUTED_VALUE"""),"EX")</f>
        <v>EX</v>
      </c>
      <c r="E2427" s="2" t="str">
        <f>IFERROR(__xludf.DUMMYFUNCTION("""COMPUTED_VALUE"""),"木21")</f>
        <v>木21</v>
      </c>
      <c r="F2427" s="2" t="s">
        <v>7569</v>
      </c>
      <c r="G2427" s="2" t="s">
        <v>7585</v>
      </c>
      <c r="H2427" s="1">
        <v>6.0</v>
      </c>
      <c r="I2427" s="1" t="s">
        <v>2888</v>
      </c>
      <c r="J2427" s="1" t="s">
        <v>11</v>
      </c>
      <c r="K2427" s="2" t="s">
        <v>7586</v>
      </c>
      <c r="L2427" s="11" t="s">
        <v>7587</v>
      </c>
      <c r="M2427" s="2" t="str">
        <f>IFERROR(__xludf.DUMMYFUNCTION("split(split(K2427,""武井咲、"",false),""公式LINE"",false)"),"イクメン社員・佐田(要潤)に欧州帝都物産ロンドン本社転勤の話が持ち上がる。エリートポストだけに権藤常務(風間杜夫)肝いりの人選だと、部長の高山(竹中直人)と課長の百合子(稲森いずみ)は佐田を説得。家族の賛成を得た佐田自身も意気揚々と未来を思い描く。一方、保科(小泉孝太郎)と一線を越えた英美里(武井咲)は、保科が百合子と不倫の仲だとはつゆ知らず、すっかり夢中になってしまう…。")</f>
        <v>イクメン社員・佐田(要潤)に欧州帝都物産ロンドン本社転勤の話が持ち上がる。エリートポストだけに権藤常務(風間杜夫)肝いりの人選だと、部長の高山(竹中直人)と課長の百合子(稲森いずみ)は佐田を説得。家族の賛成を得た佐田自身も意気揚々と未来を思い描く。一方、保科(小泉孝太郎)と一線を越えた英美里(武井咲)は、保科が百合子と不倫の仲だとはつゆ知らず、すっかり夢中になってしまう…。</v>
      </c>
      <c r="N2427" s="2"/>
      <c r="O2427" s="2"/>
      <c r="P2427" s="1"/>
      <c r="Q2427" s="1"/>
      <c r="R2427" s="1"/>
      <c r="S2427" s="1"/>
      <c r="T2427" s="1"/>
      <c r="U2427" s="1"/>
      <c r="V2427" s="1"/>
      <c r="W2427" s="1"/>
      <c r="X2427" s="1"/>
      <c r="Y2427" s="1"/>
      <c r="Z2427" s="1"/>
      <c r="AA2427" s="1"/>
      <c r="AB2427" s="1"/>
      <c r="AC2427" s="1"/>
      <c r="AD2427" s="1"/>
      <c r="AE2427" s="1"/>
      <c r="AF2427" s="1"/>
      <c r="AG2427" s="1"/>
      <c r="AH2427" s="1"/>
      <c r="AI2427" s="1"/>
      <c r="AJ2427" s="1"/>
      <c r="AK2427" s="1"/>
      <c r="AL2427" s="1"/>
      <c r="AM2427" s="1"/>
      <c r="AN2427" s="1"/>
      <c r="AO2427" s="1"/>
      <c r="AP2427" s="1"/>
      <c r="AQ2427" s="1"/>
      <c r="AR2427" s="1"/>
      <c r="AS2427" s="1"/>
      <c r="AT2427" s="1"/>
      <c r="AU2427" s="1"/>
      <c r="AV2427" s="1"/>
      <c r="AW2427" s="1"/>
      <c r="AX2427" s="1"/>
      <c r="AY2427" s="1"/>
      <c r="AZ2427" s="1"/>
      <c r="BA2427" s="1"/>
      <c r="BB2427" s="1"/>
    </row>
    <row r="2428" ht="204.75" customHeight="1">
      <c r="A2428" s="1">
        <v>2059.0</v>
      </c>
      <c r="B2428" s="2" t="s">
        <v>7568</v>
      </c>
      <c r="C2428" s="2">
        <f>IFERROR(__xludf.DUMMYFUNCTION("split(B2428,""_"")"),1507.0)</f>
        <v>1507</v>
      </c>
      <c r="D2428" s="2" t="str">
        <f>IFERROR(__xludf.DUMMYFUNCTION("""COMPUTED_VALUE"""),"EX")</f>
        <v>EX</v>
      </c>
      <c r="E2428" s="2" t="str">
        <f>IFERROR(__xludf.DUMMYFUNCTION("""COMPUTED_VALUE"""),"木21")</f>
        <v>木21</v>
      </c>
      <c r="F2428" s="2" t="s">
        <v>7569</v>
      </c>
      <c r="G2428" s="2" t="s">
        <v>7588</v>
      </c>
      <c r="H2428" s="1">
        <v>7.0</v>
      </c>
      <c r="I2428" s="1" t="s">
        <v>2892</v>
      </c>
      <c r="J2428" s="1" t="s">
        <v>11</v>
      </c>
      <c r="K2428" s="2" t="s">
        <v>7589</v>
      </c>
      <c r="L2428" s="11" t="s">
        <v>7590</v>
      </c>
      <c r="M2428" s="2" t="str">
        <f>IFERROR(__xludf.DUMMYFUNCTION("split(split(K2428,""武井咲、"",false),""公式LINE"",false)"),"百合子(稲森いずみ)は不倫相手である保科(小泉孝太郎)が、英美里(武井咲)と付き合っていると疑惑を深めていく…。  そんな中、常務取締役の権藤(風間杜夫)が女性登用プロジェクトを立ち上げると宣言。井川(瀬戸康史)は、雑談の中で「女性登用プロジェクトだけでなく、だらしない男性を叩き直すプロジェクトも併用すべき」と発案。その案をあろうことか、浅野(吹越満)が自分のアイデアだと偽って上司に提出し…!?")</f>
        <v>百合子(稲森いずみ)は不倫相手である保科(小泉孝太郎)が、英美里(武井咲)と付き合っていると疑惑を深めていく…。  そんな中、常務取締役の権藤(風間杜夫)が女性登用プロジェクトを立ち上げると宣言。井川(瀬戸康史)は、雑談の中で「女性登用プロジェクトだけでなく、だらしない男性を叩き直すプロジェクトも併用すべき」と発案。その案をあろうことか、浅野(吹越満)が自分のアイデアだと偽って上司に提出し…!?</v>
      </c>
      <c r="N2428" s="2"/>
      <c r="O2428" s="2"/>
      <c r="P2428" s="1"/>
      <c r="Q2428" s="1"/>
      <c r="R2428" s="1"/>
      <c r="S2428" s="1"/>
      <c r="T2428" s="1"/>
      <c r="U2428" s="1"/>
      <c r="V2428" s="1"/>
      <c r="W2428" s="1"/>
      <c r="X2428" s="1"/>
      <c r="Y2428" s="1"/>
      <c r="Z2428" s="1"/>
      <c r="AA2428" s="1"/>
      <c r="AB2428" s="1"/>
      <c r="AC2428" s="1"/>
      <c r="AD2428" s="1"/>
      <c r="AE2428" s="1"/>
      <c r="AF2428" s="1"/>
      <c r="AG2428" s="1"/>
      <c r="AH2428" s="1"/>
      <c r="AI2428" s="1"/>
      <c r="AJ2428" s="1"/>
      <c r="AK2428" s="1"/>
      <c r="AL2428" s="1"/>
      <c r="AM2428" s="1"/>
      <c r="AN2428" s="1"/>
      <c r="AO2428" s="1"/>
      <c r="AP2428" s="1"/>
      <c r="AQ2428" s="1"/>
      <c r="AR2428" s="1"/>
      <c r="AS2428" s="1"/>
      <c r="AT2428" s="1"/>
      <c r="AU2428" s="1"/>
      <c r="AV2428" s="1"/>
      <c r="AW2428" s="1"/>
      <c r="AX2428" s="1"/>
      <c r="AY2428" s="1"/>
      <c r="AZ2428" s="1"/>
      <c r="BA2428" s="1"/>
      <c r="BB2428" s="1"/>
    </row>
    <row r="2429" ht="204.75" customHeight="1">
      <c r="A2429" s="1">
        <v>2060.0</v>
      </c>
      <c r="B2429" s="2" t="s">
        <v>7568</v>
      </c>
      <c r="C2429" s="2">
        <f>IFERROR(__xludf.DUMMYFUNCTION("split(B2429,""_"")"),1507.0)</f>
        <v>1507</v>
      </c>
      <c r="D2429" s="2" t="str">
        <f>IFERROR(__xludf.DUMMYFUNCTION("""COMPUTED_VALUE"""),"EX")</f>
        <v>EX</v>
      </c>
      <c r="E2429" s="2" t="str">
        <f>IFERROR(__xludf.DUMMYFUNCTION("""COMPUTED_VALUE"""),"木21")</f>
        <v>木21</v>
      </c>
      <c r="F2429" s="2" t="s">
        <v>7569</v>
      </c>
      <c r="G2429" s="2" t="s">
        <v>7591</v>
      </c>
      <c r="H2429" s="1">
        <v>8.0</v>
      </c>
      <c r="I2429" s="1" t="s">
        <v>2896</v>
      </c>
      <c r="J2429" s="1" t="s">
        <v>11</v>
      </c>
      <c r="K2429" s="2" t="s">
        <v>7592</v>
      </c>
      <c r="L2429" s="11" t="s">
        <v>7593</v>
      </c>
      <c r="M2429" s="2" t="str">
        <f>IFERROR(__xludf.DUMMYFUNCTION("split(split(K2429,""武井咲、"",false),""公式LINE"",false)"),"桂子(麻生祐未)が総務課全員の前で、英美里が百合子の不倫相手・保科を横取りしたと暴露!この噂はたちまち社内に広まり、真偽をめぐって憶測が飛び交うことに…。当然、百合子と保科の関係を知らなかった英美里も動揺を隠せない。そんな中、ミカ(原幹恵)が来年の春に心臓外科医として働く男性と結婚することを宣言。しかしミカの結婚に“ある疑惑""が持ち上がる…!")</f>
        <v>桂子(麻生祐未)が総務課全員の前で、英美里が百合子の不倫相手・保科を横取りしたと暴露!この噂はたちまち社内に広まり、真偽をめぐって憶測が飛び交うことに…。当然、百合子と保科の関係を知らなかった英美里も動揺を隠せない。そんな中、ミカ(原幹恵)が来年の春に心臓外科医として働く男性と結婚することを宣言。しかしミカの結婚に“ある疑惑"が持ち上がる…!</v>
      </c>
      <c r="N2429" s="2"/>
      <c r="O2429" s="2"/>
      <c r="P2429" s="1"/>
      <c r="Q2429" s="1"/>
      <c r="R2429" s="1"/>
      <c r="S2429" s="1"/>
      <c r="T2429" s="1"/>
      <c r="U2429" s="1"/>
      <c r="V2429" s="1"/>
      <c r="W2429" s="1"/>
      <c r="X2429" s="1"/>
      <c r="Y2429" s="1"/>
      <c r="Z2429" s="1"/>
      <c r="AA2429" s="1"/>
      <c r="AB2429" s="1"/>
      <c r="AC2429" s="1"/>
      <c r="AD2429" s="1"/>
      <c r="AE2429" s="1"/>
      <c r="AF2429" s="1"/>
      <c r="AG2429" s="1"/>
      <c r="AH2429" s="1"/>
      <c r="AI2429" s="1"/>
      <c r="AJ2429" s="1"/>
      <c r="AK2429" s="1"/>
      <c r="AL2429" s="1"/>
      <c r="AM2429" s="1"/>
      <c r="AN2429" s="1"/>
      <c r="AO2429" s="1"/>
      <c r="AP2429" s="1"/>
      <c r="AQ2429" s="1"/>
      <c r="AR2429" s="1"/>
      <c r="AS2429" s="1"/>
      <c r="AT2429" s="1"/>
      <c r="AU2429" s="1"/>
      <c r="AV2429" s="1"/>
      <c r="AW2429" s="1"/>
      <c r="AX2429" s="1"/>
      <c r="AY2429" s="1"/>
      <c r="AZ2429" s="1"/>
      <c r="BA2429" s="1"/>
      <c r="BB2429" s="1"/>
    </row>
    <row r="2430" ht="204.75" customHeight="1">
      <c r="A2430" s="1">
        <v>2061.0</v>
      </c>
      <c r="B2430" s="2" t="s">
        <v>7568</v>
      </c>
      <c r="C2430" s="2">
        <f>IFERROR(__xludf.DUMMYFUNCTION("split(B2430,""_"")"),1507.0)</f>
        <v>1507</v>
      </c>
      <c r="D2430" s="2" t="str">
        <f>IFERROR(__xludf.DUMMYFUNCTION("""COMPUTED_VALUE"""),"EX")</f>
        <v>EX</v>
      </c>
      <c r="E2430" s="2" t="str">
        <f>IFERROR(__xludf.DUMMYFUNCTION("""COMPUTED_VALUE"""),"木21")</f>
        <v>木21</v>
      </c>
      <c r="F2430" s="2" t="s">
        <v>7569</v>
      </c>
      <c r="G2430" s="2" t="s">
        <v>7594</v>
      </c>
      <c r="H2430" s="1">
        <v>9.0</v>
      </c>
      <c r="I2430" s="1" t="s">
        <v>2900</v>
      </c>
      <c r="J2430" s="1" t="s">
        <v>11</v>
      </c>
      <c r="K2430" s="2" t="s">
        <v>7595</v>
      </c>
      <c r="L2430" s="11" t="s">
        <v>7596</v>
      </c>
      <c r="M2430" s="2" t="str">
        <f>IFERROR(__xludf.DUMMYFUNCTION("split(split(K2430,""武井咲、"",false),""公式LINE"",false)"),"権藤常務(風間杜夫)肝いりの『女性登用プロジェクト』が専門の部として発足することになり、権藤は百合子(稲森いずみ)に白羽の矢を立てる。能力や実績ではなく「女だから」選ばれたと気づく百合子だが、腹をくくってさっそく部員候補のリストアップを進める。そんな中、百合子が作成した個人情報満載のリストが流出し大騒動に…。流出の起因に疑問を感じた英美里(武井咲)は、建前を全面に押し出す組織に向かい立ち上がる!")</f>
        <v>権藤常務(風間杜夫)肝いりの『女性登用プロジェクト』が専門の部として発足することになり、権藤は百合子(稲森いずみ)に白羽の矢を立てる。能力や実績ではなく「女だから」選ばれたと気づく百合子だが、腹をくくってさっそく部員候補のリストアップを進める。そんな中、百合子が作成した個人情報満載のリストが流出し大騒動に…。流出の起因に疑問を感じた英美里(武井咲)は、建前を全面に押し出す組織に向かい立ち上がる!</v>
      </c>
      <c r="N2430" s="2"/>
      <c r="O2430" s="2"/>
      <c r="P2430" s="1"/>
      <c r="Q2430" s="1"/>
      <c r="R2430" s="1"/>
      <c r="S2430" s="1"/>
      <c r="T2430" s="1"/>
      <c r="U2430" s="1"/>
      <c r="V2430" s="1"/>
      <c r="W2430" s="1"/>
      <c r="X2430" s="1"/>
      <c r="Y2430" s="1"/>
      <c r="Z2430" s="1"/>
      <c r="AA2430" s="1"/>
      <c r="AB2430" s="1"/>
      <c r="AC2430" s="1"/>
      <c r="AD2430" s="1"/>
      <c r="AE2430" s="1"/>
      <c r="AF2430" s="1"/>
      <c r="AG2430" s="1"/>
      <c r="AH2430" s="1"/>
      <c r="AI2430" s="1"/>
      <c r="AJ2430" s="1"/>
      <c r="AK2430" s="1"/>
      <c r="AL2430" s="1"/>
      <c r="AM2430" s="1"/>
      <c r="AN2430" s="1"/>
      <c r="AO2430" s="1"/>
      <c r="AP2430" s="1"/>
      <c r="AQ2430" s="1"/>
      <c r="AR2430" s="1"/>
      <c r="AS2430" s="1"/>
      <c r="AT2430" s="1"/>
      <c r="AU2430" s="1"/>
      <c r="AV2430" s="1"/>
      <c r="AW2430" s="1"/>
      <c r="AX2430" s="1"/>
      <c r="AY2430" s="1"/>
      <c r="AZ2430" s="1"/>
      <c r="BA2430" s="1"/>
      <c r="BB2430" s="1"/>
    </row>
    <row r="2431" ht="204.75" customHeight="1">
      <c r="A2431" s="1">
        <v>2094.0</v>
      </c>
      <c r="B2431" s="2" t="s">
        <v>7597</v>
      </c>
      <c r="C2431" s="2">
        <f>IFERROR(__xludf.DUMMYFUNCTION("split(B2431,""_"")"),1507.0)</f>
        <v>1507</v>
      </c>
      <c r="D2431" s="2" t="str">
        <f>IFERROR(__xludf.DUMMYFUNCTION("""COMPUTED_VALUE"""),"EX")</f>
        <v>EX</v>
      </c>
      <c r="E2431" s="2" t="str">
        <f>IFERROR(__xludf.DUMMYFUNCTION("""COMPUTED_VALUE"""),"金23")</f>
        <v>金23</v>
      </c>
      <c r="F2431" s="2" t="s">
        <v>7598</v>
      </c>
      <c r="G2431" s="2" t="s">
        <v>7599</v>
      </c>
      <c r="H2431" s="1">
        <v>1.0</v>
      </c>
      <c r="I2431" s="1" t="s">
        <v>2868</v>
      </c>
      <c r="J2431" s="1" t="s">
        <v>1435</v>
      </c>
      <c r="K2431" s="4" t="s">
        <v>7600</v>
      </c>
      <c r="L2431" s="11" t="s">
        <v>7601</v>
      </c>
      <c r="M2431" s="2" t="str">
        <f>IFERROR(__xludf.DUMMYFUNCTION("split(split(K2431,""遠藤憲一、"",false),""公式LINE"",false)"),"武藤泰山(遠藤憲一)は、政界のドン・城山和彦(西田敏行)の力を借りて、ついに内閣総理大臣の座を手にする。一方、地位と権力にしか興味がなく、家庭を顧みない泰山に嫌気がさして、家に寄りつかなくなってしまった息子・翔(菅田将暉)。そんな2人がある日突然入れ替わってしまい…これは事故か!?はたまた陰謀か!?!?異色の政治エンターテインメントが今夜、幕を開ける!!")</f>
        <v>武藤泰山(遠藤憲一)は、政界のドン・城山和彦(西田敏行)の力を借りて、ついに内閣総理大臣の座を手にする。一方、地位と権力にしか興味がなく、家庭を顧みない泰山に嫌気がさして、家に寄りつかなくなってしまった息子・翔(菅田将暉)。そんな2人がある日突然入れ替わってしまい…これは事故か!?はたまた陰謀か!?!?異色の政治エンターテインメントが今夜、幕を開ける!!</v>
      </c>
      <c r="N2431" s="2"/>
      <c r="O2431" s="2"/>
      <c r="P2431" s="1"/>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c r="AN2431" s="1"/>
      <c r="AO2431" s="1"/>
      <c r="AP2431" s="1"/>
      <c r="AQ2431" s="1"/>
      <c r="AR2431" s="1"/>
      <c r="AS2431" s="1"/>
      <c r="AT2431" s="1"/>
      <c r="AU2431" s="1"/>
      <c r="AV2431" s="1"/>
      <c r="AW2431" s="1"/>
      <c r="AX2431" s="1"/>
      <c r="AY2431" s="1"/>
      <c r="AZ2431" s="1"/>
      <c r="BA2431" s="1"/>
      <c r="BB2431" s="1"/>
    </row>
    <row r="2432" ht="204.75" customHeight="1">
      <c r="A2432" s="1">
        <v>2095.0</v>
      </c>
      <c r="B2432" s="2" t="s">
        <v>7597</v>
      </c>
      <c r="C2432" s="2">
        <f>IFERROR(__xludf.DUMMYFUNCTION("split(B2432,""_"")"),1507.0)</f>
        <v>1507</v>
      </c>
      <c r="D2432" s="2" t="str">
        <f>IFERROR(__xludf.DUMMYFUNCTION("""COMPUTED_VALUE"""),"EX")</f>
        <v>EX</v>
      </c>
      <c r="E2432" s="2" t="str">
        <f>IFERROR(__xludf.DUMMYFUNCTION("""COMPUTED_VALUE"""),"金23")</f>
        <v>金23</v>
      </c>
      <c r="F2432" s="2" t="s">
        <v>7598</v>
      </c>
      <c r="G2432" s="2" t="s">
        <v>7602</v>
      </c>
      <c r="H2432" s="1">
        <v>2.0</v>
      </c>
      <c r="I2432" s="1" t="s">
        <v>2872</v>
      </c>
      <c r="J2432" s="1" t="s">
        <v>1435</v>
      </c>
      <c r="K2432" s="2" t="s">
        <v>7603</v>
      </c>
      <c r="L2432" s="11" t="s">
        <v>7604</v>
      </c>
      <c r="M2432" s="2" t="str">
        <f>IFERROR(__xludf.DUMMYFUNCTION("split(split(K2432,""遠藤憲一、"",false),""公式LINE"",false)"),"武藤内閣は発足まもなくして危機に瀕してしまう。そんな中、ウズラスキスタン国の大統領が来日することに。さまざまな試練が待ち受ける中、翔は初めての外交を成功させることができるのかー?")</f>
        <v>武藤内閣は発足まもなくして危機に瀕してしまう。そんな中、ウズラスキスタン国の大統領が来日することに。さまざまな試練が待ち受ける中、翔は初めての外交を成功させることができるのかー?</v>
      </c>
      <c r="N2432" s="2"/>
      <c r="O2432" s="2"/>
      <c r="P2432" s="1"/>
      <c r="Q2432" s="1"/>
      <c r="R2432" s="1"/>
      <c r="S2432" s="1"/>
      <c r="T2432" s="1"/>
      <c r="U2432" s="1"/>
      <c r="V2432" s="1"/>
      <c r="W2432" s="1"/>
      <c r="X2432" s="1"/>
      <c r="Y2432" s="1"/>
      <c r="Z2432" s="1"/>
      <c r="AA2432" s="1"/>
      <c r="AB2432" s="1"/>
      <c r="AC2432" s="1"/>
      <c r="AD2432" s="1"/>
      <c r="AE2432" s="1"/>
      <c r="AF2432" s="1"/>
      <c r="AG2432" s="1"/>
      <c r="AH2432" s="1"/>
      <c r="AI2432" s="1"/>
      <c r="AJ2432" s="1"/>
      <c r="AK2432" s="1"/>
      <c r="AL2432" s="1"/>
      <c r="AM2432" s="1"/>
      <c r="AN2432" s="1"/>
      <c r="AO2432" s="1"/>
      <c r="AP2432" s="1"/>
      <c r="AQ2432" s="1"/>
      <c r="AR2432" s="1"/>
      <c r="AS2432" s="1"/>
      <c r="AT2432" s="1"/>
      <c r="AU2432" s="1"/>
      <c r="AV2432" s="1"/>
      <c r="AW2432" s="1"/>
      <c r="AX2432" s="1"/>
      <c r="AY2432" s="1"/>
      <c r="AZ2432" s="1"/>
      <c r="BA2432" s="1"/>
      <c r="BB2432" s="1"/>
    </row>
    <row r="2433" ht="204.75" customHeight="1">
      <c r="A2433" s="1">
        <v>2096.0</v>
      </c>
      <c r="B2433" s="2" t="s">
        <v>7597</v>
      </c>
      <c r="C2433" s="2">
        <f>IFERROR(__xludf.DUMMYFUNCTION("split(B2433,""_"")"),1507.0)</f>
        <v>1507</v>
      </c>
      <c r="D2433" s="2" t="str">
        <f>IFERROR(__xludf.DUMMYFUNCTION("""COMPUTED_VALUE"""),"EX")</f>
        <v>EX</v>
      </c>
      <c r="E2433" s="2" t="str">
        <f>IFERROR(__xludf.DUMMYFUNCTION("""COMPUTED_VALUE"""),"金23")</f>
        <v>金23</v>
      </c>
      <c r="F2433" s="2" t="s">
        <v>7598</v>
      </c>
      <c r="G2433" s="2" t="s">
        <v>7605</v>
      </c>
      <c r="H2433" s="1">
        <v>3.0</v>
      </c>
      <c r="I2433" s="1" t="s">
        <v>2876</v>
      </c>
      <c r="J2433" s="1" t="s">
        <v>1435</v>
      </c>
      <c r="K2433" s="2" t="s">
        <v>7606</v>
      </c>
      <c r="L2433" s="11" t="s">
        <v>7607</v>
      </c>
      <c r="M2433" s="2" t="str">
        <f>IFERROR(__xludf.DUMMYFUNCTION("split(split(K2433,""遠藤憲一、"",false),""公式LINE"",false)"),"犯人探しに躍起になる泰山たちは、政敵である憲民党の蔵本(草刈正雄)に疑いの目を向ける。だが、思いもよらぬ事実が明らかになり…!")</f>
        <v>犯人探しに躍起になる泰山たちは、政敵である憲民党の蔵本(草刈正雄)に疑いの目を向ける。だが、思いもよらぬ事実が明らかになり…!</v>
      </c>
      <c r="N2433" s="2"/>
      <c r="O2433" s="2"/>
      <c r="P2433" s="1"/>
      <c r="Q2433" s="1"/>
      <c r="R2433" s="1"/>
      <c r="S2433" s="1"/>
      <c r="T2433" s="1"/>
      <c r="U2433" s="1"/>
      <c r="V2433" s="1"/>
      <c r="W2433" s="1"/>
      <c r="X2433" s="1"/>
      <c r="Y2433" s="1"/>
      <c r="Z2433" s="1"/>
      <c r="AA2433" s="1"/>
      <c r="AB2433" s="1"/>
      <c r="AC2433" s="1"/>
      <c r="AD2433" s="1"/>
      <c r="AE2433" s="1"/>
      <c r="AF2433" s="1"/>
      <c r="AG2433" s="1"/>
      <c r="AH2433" s="1"/>
      <c r="AI2433" s="1"/>
      <c r="AJ2433" s="1"/>
      <c r="AK2433" s="1"/>
      <c r="AL2433" s="1"/>
      <c r="AM2433" s="1"/>
      <c r="AN2433" s="1"/>
      <c r="AO2433" s="1"/>
      <c r="AP2433" s="1"/>
      <c r="AQ2433" s="1"/>
      <c r="AR2433" s="1"/>
      <c r="AS2433" s="1"/>
      <c r="AT2433" s="1"/>
      <c r="AU2433" s="1"/>
      <c r="AV2433" s="1"/>
      <c r="AW2433" s="1"/>
      <c r="AX2433" s="1"/>
      <c r="AY2433" s="1"/>
      <c r="AZ2433" s="1"/>
      <c r="BA2433" s="1"/>
      <c r="BB2433" s="1"/>
    </row>
    <row r="2434" ht="204.75" customHeight="1">
      <c r="A2434" s="1">
        <v>2097.0</v>
      </c>
      <c r="B2434" s="2" t="s">
        <v>7597</v>
      </c>
      <c r="C2434" s="2">
        <f>IFERROR(__xludf.DUMMYFUNCTION("split(B2434,""_"")"),1507.0)</f>
        <v>1507</v>
      </c>
      <c r="D2434" s="2" t="str">
        <f>IFERROR(__xludf.DUMMYFUNCTION("""COMPUTED_VALUE"""),"EX")</f>
        <v>EX</v>
      </c>
      <c r="E2434" s="2" t="str">
        <f>IFERROR(__xludf.DUMMYFUNCTION("""COMPUTED_VALUE"""),"金23")</f>
        <v>金23</v>
      </c>
      <c r="F2434" s="2" t="s">
        <v>7598</v>
      </c>
      <c r="G2434" s="2" t="s">
        <v>7608</v>
      </c>
      <c r="H2434" s="1">
        <v>4.0</v>
      </c>
      <c r="I2434" s="1" t="s">
        <v>2880</v>
      </c>
      <c r="J2434" s="1" t="s">
        <v>1435</v>
      </c>
      <c r="K2434" s="2" t="s">
        <v>7609</v>
      </c>
      <c r="L2434" s="11" t="s">
        <v>7610</v>
      </c>
      <c r="M2434" s="2" t="str">
        <f>IFERROR(__xludf.DUMMYFUNCTION("split(split(K2434,""遠藤憲一、"",false),""公式LINE"",false)"),"さらに、エリカが蔵本の娘だと聞き、その驚きは一層大きなものになる。早速、防衛省の技術研究本部で脳波の検査を行うと、泰山と翔に埋め込まれたものと同じチップが蔵本たちにも装着されていたことが判明。長年政敵としていがみ合ってきた泰山と蔵本だったが、この入れ替わりを仕組んだ犯人を見つけ出すまでは一時休戦し、手を組むことを約束するのだが…!")</f>
        <v>さらに、エリカが蔵本の娘だと聞き、その驚きは一層大きなものになる。早速、防衛省の技術研究本部で脳波の検査を行うと、泰山と翔に埋め込まれたものと同じチップが蔵本たちにも装着されていたことが判明。長年政敵としていがみ合ってきた泰山と蔵本だったが、この入れ替わりを仕組んだ犯人を見つけ出すまでは一時休戦し、手を組むことを約束するのだが…!</v>
      </c>
      <c r="N2434" s="2"/>
      <c r="O2434" s="2"/>
      <c r="P2434" s="1"/>
      <c r="Q2434" s="1"/>
      <c r="R2434" s="1"/>
      <c r="S2434" s="1"/>
      <c r="T2434" s="1"/>
      <c r="U2434" s="1"/>
      <c r="V2434" s="1"/>
      <c r="W2434" s="1"/>
      <c r="X2434" s="1"/>
      <c r="Y2434" s="1"/>
      <c r="Z2434" s="1"/>
      <c r="AA2434" s="1"/>
      <c r="AB2434" s="1"/>
      <c r="AC2434" s="1"/>
      <c r="AD2434" s="1"/>
      <c r="AE2434" s="1"/>
      <c r="AF2434" s="1"/>
      <c r="AG2434" s="1"/>
      <c r="AH2434" s="1"/>
      <c r="AI2434" s="1"/>
      <c r="AJ2434" s="1"/>
      <c r="AK2434" s="1"/>
      <c r="AL2434" s="1"/>
      <c r="AM2434" s="1"/>
      <c r="AN2434" s="1"/>
      <c r="AO2434" s="1"/>
      <c r="AP2434" s="1"/>
      <c r="AQ2434" s="1"/>
      <c r="AR2434" s="1"/>
      <c r="AS2434" s="1"/>
      <c r="AT2434" s="1"/>
      <c r="AU2434" s="1"/>
      <c r="AV2434" s="1"/>
      <c r="AW2434" s="1"/>
      <c r="AX2434" s="1"/>
      <c r="AY2434" s="1"/>
      <c r="AZ2434" s="1"/>
      <c r="BA2434" s="1"/>
      <c r="BB2434" s="1"/>
    </row>
    <row r="2435" ht="204.75" customHeight="1">
      <c r="A2435" s="1">
        <v>2098.0</v>
      </c>
      <c r="B2435" s="2" t="s">
        <v>7597</v>
      </c>
      <c r="C2435" s="2">
        <f>IFERROR(__xludf.DUMMYFUNCTION("split(B2435,""_"")"),1507.0)</f>
        <v>1507</v>
      </c>
      <c r="D2435" s="2" t="str">
        <f>IFERROR(__xludf.DUMMYFUNCTION("""COMPUTED_VALUE"""),"EX")</f>
        <v>EX</v>
      </c>
      <c r="E2435" s="2" t="str">
        <f>IFERROR(__xludf.DUMMYFUNCTION("""COMPUTED_VALUE"""),"金23")</f>
        <v>金23</v>
      </c>
      <c r="F2435" s="2" t="s">
        <v>7598</v>
      </c>
      <c r="G2435" s="2" t="s">
        <v>7611</v>
      </c>
      <c r="H2435" s="1">
        <v>5.0</v>
      </c>
      <c r="I2435" s="1" t="s">
        <v>2884</v>
      </c>
      <c r="J2435" s="1" t="s">
        <v>1435</v>
      </c>
      <c r="K2435" s="2" t="s">
        <v>7612</v>
      </c>
      <c r="L2435" s="11" t="s">
        <v>7613</v>
      </c>
      <c r="M2435" s="2" t="str">
        <f>IFERROR(__xludf.DUMMYFUNCTION("split(split(K2435,""遠藤憲一、"",false),""公式LINE"",false)"),"その人物は『ジャカランダ』というフリースクールの理事長・黒川(池田鉄洋)。翔は以前に南真衣(本仮屋ユイカ)から、このフリースクールのボランティアに誘われており、それを聞いた泰山は翔のフリをして真衣に連絡し、『武藤総理、フリースクールを視察』の手筈を整えるのだがー!")</f>
        <v>その人物は『ジャカランダ』というフリースクールの理事長・黒川(池田鉄洋)。翔は以前に南真衣(本仮屋ユイカ)から、このフリースクールのボランティアに誘われており、それを聞いた泰山は翔のフリをして真衣に連絡し、『武藤総理、フリースクールを視察』の手筈を整えるのだがー!</v>
      </c>
      <c r="N2435" s="2"/>
      <c r="O2435" s="2"/>
      <c r="P2435" s="1"/>
      <c r="Q2435" s="1"/>
      <c r="R2435" s="1"/>
      <c r="S2435" s="1"/>
      <c r="T2435" s="1"/>
      <c r="U2435" s="1"/>
      <c r="V2435" s="1"/>
      <c r="W2435" s="1"/>
      <c r="X2435" s="1"/>
      <c r="Y2435" s="1"/>
      <c r="Z2435" s="1"/>
      <c r="AA2435" s="1"/>
      <c r="AB2435" s="1"/>
      <c r="AC2435" s="1"/>
      <c r="AD2435" s="1"/>
      <c r="AE2435" s="1"/>
      <c r="AF2435" s="1"/>
      <c r="AG2435" s="1"/>
      <c r="AH2435" s="1"/>
      <c r="AI2435" s="1"/>
      <c r="AJ2435" s="1"/>
      <c r="AK2435" s="1"/>
      <c r="AL2435" s="1"/>
      <c r="AM2435" s="1"/>
      <c r="AN2435" s="1"/>
      <c r="AO2435" s="1"/>
      <c r="AP2435" s="1"/>
      <c r="AQ2435" s="1"/>
      <c r="AR2435" s="1"/>
      <c r="AS2435" s="1"/>
      <c r="AT2435" s="1"/>
      <c r="AU2435" s="1"/>
      <c r="AV2435" s="1"/>
      <c r="AW2435" s="1"/>
      <c r="AX2435" s="1"/>
      <c r="AY2435" s="1"/>
      <c r="AZ2435" s="1"/>
      <c r="BA2435" s="1"/>
      <c r="BB2435" s="1"/>
    </row>
    <row r="2436" ht="204.75" customHeight="1">
      <c r="A2436" s="1">
        <v>2099.0</v>
      </c>
      <c r="B2436" s="2" t="s">
        <v>7597</v>
      </c>
      <c r="C2436" s="2">
        <f>IFERROR(__xludf.DUMMYFUNCTION("split(B2436,""_"")"),1507.0)</f>
        <v>1507</v>
      </c>
      <c r="D2436" s="2" t="str">
        <f>IFERROR(__xludf.DUMMYFUNCTION("""COMPUTED_VALUE"""),"EX")</f>
        <v>EX</v>
      </c>
      <c r="E2436" s="2" t="str">
        <f>IFERROR(__xludf.DUMMYFUNCTION("""COMPUTED_VALUE"""),"金23")</f>
        <v>金23</v>
      </c>
      <c r="F2436" s="2" t="s">
        <v>7598</v>
      </c>
      <c r="G2436" s="2" t="s">
        <v>7614</v>
      </c>
      <c r="H2436" s="1">
        <v>6.0</v>
      </c>
      <c r="I2436" s="1" t="s">
        <v>2888</v>
      </c>
      <c r="J2436" s="1" t="s">
        <v>1435</v>
      </c>
      <c r="K2436" s="2" t="s">
        <v>7615</v>
      </c>
      <c r="L2436" s="11" t="s">
        <v>7616</v>
      </c>
      <c r="M2436" s="2" t="str">
        <f>IFERROR(__xludf.DUMMYFUNCTION("split(split(K2436,""遠藤憲一、"",false),""公式LINE"",false)"),"武藤内閣の支持率も上がり、武藤泰山(遠藤憲一)はひと安心していた。さらに、公安の新田理(山内圭哉)の捜査によって脳波ジャックの犯人にも徐々に近づいており、翔(菅田将暉)も事態の好転を喜ぶ!  その矢先、ネット上で武藤内閣ネガティブキャンペーンが繰り広げられていることが判明!悪質なデマ書き込みが出回り、泰山や官房長官の狩屋孝司(金田明夫)らは犯人探しに躍起になるが…。")</f>
        <v>武藤内閣の支持率も上がり、武藤泰山(遠藤憲一)はひと安心していた。さらに、公安の新田理(山内圭哉)の捜査によって脳波ジャックの犯人にも徐々に近づいており、翔(菅田将暉)も事態の好転を喜ぶ!  その矢先、ネット上で武藤内閣ネガティブキャンペーンが繰り広げられていることが判明!悪質なデマ書き込みが出回り、泰山や官房長官の狩屋孝司(金田明夫)らは犯人探しに躍起になるが…。</v>
      </c>
      <c r="N2436" s="2"/>
      <c r="O2436" s="2"/>
      <c r="P2436" s="1"/>
      <c r="Q2436" s="1"/>
      <c r="R2436" s="1"/>
      <c r="S2436" s="1"/>
      <c r="T2436" s="1"/>
      <c r="U2436" s="1"/>
      <c r="V2436" s="1"/>
      <c r="W2436" s="1"/>
      <c r="X2436" s="1"/>
      <c r="Y2436" s="1"/>
      <c r="Z2436" s="1"/>
      <c r="AA2436" s="1"/>
      <c r="AB2436" s="1"/>
      <c r="AC2436" s="1"/>
      <c r="AD2436" s="1"/>
      <c r="AE2436" s="1"/>
      <c r="AF2436" s="1"/>
      <c r="AG2436" s="1"/>
      <c r="AH2436" s="1"/>
      <c r="AI2436" s="1"/>
      <c r="AJ2436" s="1"/>
      <c r="AK2436" s="1"/>
      <c r="AL2436" s="1"/>
      <c r="AM2436" s="1"/>
      <c r="AN2436" s="1"/>
      <c r="AO2436" s="1"/>
      <c r="AP2436" s="1"/>
      <c r="AQ2436" s="1"/>
      <c r="AR2436" s="1"/>
      <c r="AS2436" s="1"/>
      <c r="AT2436" s="1"/>
      <c r="AU2436" s="1"/>
      <c r="AV2436" s="1"/>
      <c r="AW2436" s="1"/>
      <c r="AX2436" s="1"/>
      <c r="AY2436" s="1"/>
      <c r="AZ2436" s="1"/>
      <c r="BA2436" s="1"/>
      <c r="BB2436" s="1"/>
    </row>
    <row r="2437" ht="204.75" customHeight="1">
      <c r="A2437" s="1">
        <v>2100.0</v>
      </c>
      <c r="B2437" s="2" t="s">
        <v>7597</v>
      </c>
      <c r="C2437" s="2">
        <f>IFERROR(__xludf.DUMMYFUNCTION("split(B2437,""_"")"),1507.0)</f>
        <v>1507</v>
      </c>
      <c r="D2437" s="2" t="str">
        <f>IFERROR(__xludf.DUMMYFUNCTION("""COMPUTED_VALUE"""),"EX")</f>
        <v>EX</v>
      </c>
      <c r="E2437" s="2" t="str">
        <f>IFERROR(__xludf.DUMMYFUNCTION("""COMPUTED_VALUE"""),"金23")</f>
        <v>金23</v>
      </c>
      <c r="F2437" s="2" t="s">
        <v>7598</v>
      </c>
      <c r="G2437" s="2" t="s">
        <v>7617</v>
      </c>
      <c r="H2437" s="1">
        <v>7.0</v>
      </c>
      <c r="I2437" s="1" t="s">
        <v>2892</v>
      </c>
      <c r="J2437" s="1" t="s">
        <v>1435</v>
      </c>
      <c r="K2437" s="2" t="s">
        <v>7618</v>
      </c>
      <c r="L2437" s="11" t="s">
        <v>7619</v>
      </c>
      <c r="M2437" s="2" t="str">
        <f>IFERROR(__xludf.DUMMYFUNCTION("split(split(K2437,""遠藤憲一、"",false),""公式LINE"",false)"),"官房長官の狩屋孝司(金田明夫)や妻の綾(峯村リエ)は涙ながらに見守り、誰もが泰山の死を覚悟。だがそれを予見するかのように、事前に何者かによって脳波操作オペレーションのパスワードが書き換えられており、泰山の思惑は失敗に終わってしまう…。  ★待望の副音声『たみちゃんねる』を実施!  ")</f>
        <v>官房長官の狩屋孝司(金田明夫)や妻の綾(峯村リエ)は涙ながらに見守り、誰もが泰山の死を覚悟。だがそれを予見するかのように、事前に何者かによって脳波操作オペレーションのパスワードが書き換えられており、泰山の思惑は失敗に終わってしまう…。  ★待望の副音声『たみちゃんねる』を実施!  </v>
      </c>
      <c r="N2437" s="2"/>
      <c r="O2437" s="2"/>
      <c r="P2437" s="1"/>
      <c r="Q2437" s="1"/>
      <c r="R2437" s="1"/>
      <c r="S2437" s="1"/>
      <c r="T2437" s="1"/>
      <c r="U2437" s="1"/>
      <c r="V2437" s="1"/>
      <c r="W2437" s="1"/>
      <c r="X2437" s="1"/>
      <c r="Y2437" s="1"/>
      <c r="Z2437" s="1"/>
      <c r="AA2437" s="1"/>
      <c r="AB2437" s="1"/>
      <c r="AC2437" s="1"/>
      <c r="AD2437" s="1"/>
      <c r="AE2437" s="1"/>
      <c r="AF2437" s="1"/>
      <c r="AG2437" s="1"/>
      <c r="AH2437" s="1"/>
      <c r="AI2437" s="1"/>
      <c r="AJ2437" s="1"/>
      <c r="AK2437" s="1"/>
      <c r="AL2437" s="1"/>
      <c r="AM2437" s="1"/>
      <c r="AN2437" s="1"/>
      <c r="AO2437" s="1"/>
      <c r="AP2437" s="1"/>
      <c r="AQ2437" s="1"/>
      <c r="AR2437" s="1"/>
      <c r="AS2437" s="1"/>
      <c r="AT2437" s="1"/>
      <c r="AU2437" s="1"/>
      <c r="AV2437" s="1"/>
      <c r="AW2437" s="1"/>
      <c r="AX2437" s="1"/>
      <c r="AY2437" s="1"/>
      <c r="AZ2437" s="1"/>
      <c r="BA2437" s="1"/>
      <c r="BB2437" s="1"/>
    </row>
    <row r="2438" ht="204.75" customHeight="1">
      <c r="A2438" s="1">
        <v>2101.0</v>
      </c>
      <c r="B2438" s="2" t="s">
        <v>7597</v>
      </c>
      <c r="C2438" s="2">
        <f>IFERROR(__xludf.DUMMYFUNCTION("split(B2438,""_"")"),1507.0)</f>
        <v>1507</v>
      </c>
      <c r="D2438" s="2" t="str">
        <f>IFERROR(__xludf.DUMMYFUNCTION("""COMPUTED_VALUE"""),"EX")</f>
        <v>EX</v>
      </c>
      <c r="E2438" s="2" t="str">
        <f>IFERROR(__xludf.DUMMYFUNCTION("""COMPUTED_VALUE"""),"金23")</f>
        <v>金23</v>
      </c>
      <c r="F2438" s="2" t="s">
        <v>7598</v>
      </c>
      <c r="G2438" s="2" t="s">
        <v>7620</v>
      </c>
      <c r="H2438" s="1">
        <v>8.0</v>
      </c>
      <c r="I2438" s="1" t="s">
        <v>2896</v>
      </c>
      <c r="J2438" s="1" t="s">
        <v>1435</v>
      </c>
      <c r="K2438" s="2" t="s">
        <v>7621</v>
      </c>
      <c r="L2438" s="11" t="s">
        <v>7622</v>
      </c>
      <c r="M2438" s="2" t="str">
        <f>IFERROR(__xludf.DUMMYFUNCTION("split(split(K2438,""遠藤憲一、"",false),""公式LINE"",false)"),"貝原に城山和彦(西田敏行)の離党・新党立ち上げについていくことを宣言され、窮地に陥る泰山。民政党を離党した城山は、新党・前進党を立ち上げ、すぐさま武藤内閣不信任案を提出。国会でも可決され、泰山は10日以内の内閣総辞職か衆議院解散の後の総選挙か、を迫られる…。  ★今回も副音声『たみちゃんねる』実施緊急決定!!  秘書貝原役・高橋一生さん、官房長官狩屋役・金田明夫さんが登場!!")</f>
        <v>貝原に城山和彦(西田敏行)の離党・新党立ち上げについていくことを宣言され、窮地に陥る泰山。民政党を離党した城山は、新党・前進党を立ち上げ、すぐさま武藤内閣不信任案を提出。国会でも可決され、泰山は10日以内の内閣総辞職か衆議院解散の後の総選挙か、を迫られる…。  ★今回も副音声『たみちゃんねる』実施緊急決定!!  秘書貝原役・高橋一生さん、官房長官狩屋役・金田明夫さんが登場!!</v>
      </c>
      <c r="N2438" s="2"/>
      <c r="O2438" s="2"/>
      <c r="P2438" s="1"/>
      <c r="Q2438" s="1"/>
      <c r="R2438" s="1"/>
      <c r="S2438" s="1"/>
      <c r="T2438" s="1"/>
      <c r="U2438" s="1"/>
      <c r="V2438" s="1"/>
      <c r="W2438" s="1"/>
      <c r="X2438" s="1"/>
      <c r="Y2438" s="1"/>
      <c r="Z2438" s="1"/>
      <c r="AA2438" s="1"/>
      <c r="AB2438" s="1"/>
      <c r="AC2438" s="1"/>
      <c r="AD2438" s="1"/>
      <c r="AE2438" s="1"/>
      <c r="AF2438" s="1"/>
      <c r="AG2438" s="1"/>
      <c r="AH2438" s="1"/>
      <c r="AI2438" s="1"/>
      <c r="AJ2438" s="1"/>
      <c r="AK2438" s="1"/>
      <c r="AL2438" s="1"/>
      <c r="AM2438" s="1"/>
      <c r="AN2438" s="1"/>
      <c r="AO2438" s="1"/>
      <c r="AP2438" s="1"/>
      <c r="AQ2438" s="1"/>
      <c r="AR2438" s="1"/>
      <c r="AS2438" s="1"/>
      <c r="AT2438" s="1"/>
      <c r="AU2438" s="1"/>
      <c r="AV2438" s="1"/>
      <c r="AW2438" s="1"/>
      <c r="AX2438" s="1"/>
      <c r="AY2438" s="1"/>
      <c r="AZ2438" s="1"/>
      <c r="BA2438" s="1"/>
      <c r="BB2438" s="1"/>
    </row>
    <row r="2439" ht="204.75" customHeight="1">
      <c r="A2439" s="1">
        <v>2180.0</v>
      </c>
      <c r="B2439" s="2" t="s">
        <v>7623</v>
      </c>
      <c r="C2439" s="2">
        <f>IFERROR(__xludf.DUMMYFUNCTION("split(B2439,""_"")"),1504.0)</f>
        <v>1504</v>
      </c>
      <c r="D2439" s="2" t="str">
        <f>IFERROR(__xludf.DUMMYFUNCTION("""COMPUTED_VALUE"""),"EX")</f>
        <v>EX</v>
      </c>
      <c r="E2439" s="2" t="str">
        <f>IFERROR(__xludf.DUMMYFUNCTION("""COMPUTED_VALUE"""),"木21")</f>
        <v>木21</v>
      </c>
      <c r="F2439" s="2" t="s">
        <v>7624</v>
      </c>
      <c r="G2439" s="2" t="s">
        <v>7625</v>
      </c>
      <c r="H2439" s="1">
        <v>1.0</v>
      </c>
      <c r="I2439" s="1" t="s">
        <v>2868</v>
      </c>
      <c r="J2439" s="1" t="s">
        <v>4</v>
      </c>
      <c r="K2439" s="4" t="s">
        <v>7626</v>
      </c>
      <c r="L2439" s="11" t="s">
        <v>7627</v>
      </c>
      <c r="M2439" s="2" t="str">
        <f>IFERROR(__xludf.DUMMYFUNCTION("split(split(K2439,""家路久…"",false),""公式LINE"",false)"),"爆発事故に巻き込まれ奇跡的に生還した家路久(木村拓哉)は、その影響で直近5年ほどの記憶が曖昧になってしまう。彼に残ったものは、おぼろげな過去の記憶と謎の10本の鍵束だけだった。エリート証券マンから一転、閑職セクションに追いやられた久だったが、「僕には家族がいる」と、妻の恵(上戸彩)と息子・良雄(高橋來)と暮らす家に帰る。しかし、「おかえり」と振り返る二人の顔は、なぜか仮面に見えてしまうのだった…!")</f>
        <v>爆発事故に巻き込まれ奇跡的に生還した家路久(木村拓哉)は、その影響で直近5年ほどの記憶が曖昧になってしまう。彼に残ったものは、おぼろげな過去の記憶と謎の10本の鍵束だけだった。エリート証券マンから一転、閑職セクションに追いやられた久だったが、「僕には家族がいる」と、妻の恵(上戸彩)と息子・良雄(高橋來)と暮らす家に帰る。しかし、「おかえり」と振り返る二人の顔は、なぜか仮面に見えてしまうのだった…!</v>
      </c>
      <c r="N2439" s="2"/>
      <c r="O2439" s="2"/>
      <c r="P2439" s="1"/>
      <c r="Q2439" s="1"/>
      <c r="R2439" s="1"/>
      <c r="S2439" s="1"/>
      <c r="T2439" s="1"/>
      <c r="U2439" s="1"/>
      <c r="V2439" s="1"/>
      <c r="W2439" s="1"/>
      <c r="X2439" s="1"/>
      <c r="Y2439" s="1"/>
      <c r="Z2439" s="1"/>
      <c r="AA2439" s="1"/>
      <c r="AB2439" s="1"/>
      <c r="AC2439" s="1"/>
      <c r="AD2439" s="1"/>
      <c r="AE2439" s="1"/>
      <c r="AF2439" s="1"/>
      <c r="AG2439" s="1"/>
      <c r="AH2439" s="1"/>
      <c r="AI2439" s="1"/>
      <c r="AJ2439" s="1"/>
      <c r="AK2439" s="1"/>
      <c r="AL2439" s="1"/>
      <c r="AM2439" s="1"/>
      <c r="AN2439" s="1"/>
      <c r="AO2439" s="1"/>
      <c r="AP2439" s="1"/>
      <c r="AQ2439" s="1"/>
      <c r="AR2439" s="1"/>
      <c r="AS2439" s="1"/>
      <c r="AT2439" s="1"/>
      <c r="AU2439" s="1"/>
      <c r="AV2439" s="1"/>
      <c r="AW2439" s="1"/>
      <c r="AX2439" s="1"/>
      <c r="AY2439" s="1"/>
      <c r="AZ2439" s="1"/>
      <c r="BA2439" s="1"/>
      <c r="BB2439" s="1"/>
    </row>
    <row r="2440" ht="204.75" customHeight="1">
      <c r="A2440" s="1">
        <v>2181.0</v>
      </c>
      <c r="B2440" s="2" t="s">
        <v>7623</v>
      </c>
      <c r="C2440" s="2">
        <f>IFERROR(__xludf.DUMMYFUNCTION("split(B2440,""_"")"),1504.0)</f>
        <v>1504</v>
      </c>
      <c r="D2440" s="2" t="str">
        <f>IFERROR(__xludf.DUMMYFUNCTION("""COMPUTED_VALUE"""),"EX")</f>
        <v>EX</v>
      </c>
      <c r="E2440" s="2" t="str">
        <f>IFERROR(__xludf.DUMMYFUNCTION("""COMPUTED_VALUE"""),"木21")</f>
        <v>木21</v>
      </c>
      <c r="F2440" s="2" t="s">
        <v>7624</v>
      </c>
      <c r="G2440" s="2" t="s">
        <v>7628</v>
      </c>
      <c r="H2440" s="1">
        <v>2.0</v>
      </c>
      <c r="I2440" s="1" t="s">
        <v>2872</v>
      </c>
      <c r="J2440" s="1" t="s">
        <v>11</v>
      </c>
      <c r="K2440" s="2" t="s">
        <v>7629</v>
      </c>
      <c r="L2440" s="11" t="s">
        <v>7630</v>
      </c>
      <c r="M2440" s="2" t="str">
        <f>IFERROR(__xludf.DUMMYFUNCTION("split(split(K2440,""家路久…"",false),""公式LINE"",false)"),"ある朝、家路久(木村拓哉)は妻・恵(上戸彩)から「レンタルビデオ店から延滞料金の連絡が来た」と告げられる。それが、学生時代からの唯一の親友・山野辺俊(田中直樹)が監督を務めた作品であることを思い出した久は、鍵束から山野辺のアパートの鍵を見つけ出し、訪ねてみる。久が山野辺に、記憶のない5年間について聞くと、山野辺は「思い出さない方がいいことも世の中にはある」と、なぜか恵のことについては言葉を濁し…!?")</f>
        <v>ある朝、家路久(木村拓哉)は妻・恵(上戸彩)から「レンタルビデオ店から延滞料金の連絡が来た」と告げられる。それが、学生時代からの唯一の親友・山野辺俊(田中直樹)が監督を務めた作品であることを思い出した久は、鍵束から山野辺のアパートの鍵を見つけ出し、訪ねてみる。久が山野辺に、記憶のない5年間について聞くと、山野辺は「思い出さない方がいいことも世の中にはある」と、なぜか恵のことについては言葉を濁し…!?</v>
      </c>
      <c r="N2440" s="2"/>
      <c r="O2440" s="2"/>
      <c r="P2440" s="1"/>
      <c r="Q2440" s="1"/>
      <c r="R2440" s="1"/>
      <c r="S2440" s="1"/>
      <c r="T2440" s="1"/>
      <c r="U2440" s="1"/>
      <c r="V2440" s="1"/>
      <c r="W2440" s="1"/>
      <c r="X2440" s="1"/>
      <c r="Y2440" s="1"/>
      <c r="Z2440" s="1"/>
      <c r="AA2440" s="1"/>
      <c r="AB2440" s="1"/>
      <c r="AC2440" s="1"/>
      <c r="AD2440" s="1"/>
      <c r="AE2440" s="1"/>
      <c r="AF2440" s="1"/>
      <c r="AG2440" s="1"/>
      <c r="AH2440" s="1"/>
      <c r="AI2440" s="1"/>
      <c r="AJ2440" s="1"/>
      <c r="AK2440" s="1"/>
      <c r="AL2440" s="1"/>
      <c r="AM2440" s="1"/>
      <c r="AN2440" s="1"/>
      <c r="AO2440" s="1"/>
      <c r="AP2440" s="1"/>
      <c r="AQ2440" s="1"/>
      <c r="AR2440" s="1"/>
      <c r="AS2440" s="1"/>
      <c r="AT2440" s="1"/>
      <c r="AU2440" s="1"/>
      <c r="AV2440" s="1"/>
      <c r="AW2440" s="1"/>
      <c r="AX2440" s="1"/>
      <c r="AY2440" s="1"/>
      <c r="AZ2440" s="1"/>
      <c r="BA2440" s="1"/>
      <c r="BB2440" s="1"/>
    </row>
    <row r="2441" ht="204.75" customHeight="1">
      <c r="A2441" s="1">
        <v>2182.0</v>
      </c>
      <c r="B2441" s="2" t="s">
        <v>7623</v>
      </c>
      <c r="C2441" s="2">
        <f>IFERROR(__xludf.DUMMYFUNCTION("split(B2441,""_"")"),1504.0)</f>
        <v>1504</v>
      </c>
      <c r="D2441" s="2" t="str">
        <f>IFERROR(__xludf.DUMMYFUNCTION("""COMPUTED_VALUE"""),"EX")</f>
        <v>EX</v>
      </c>
      <c r="E2441" s="2" t="str">
        <f>IFERROR(__xludf.DUMMYFUNCTION("""COMPUTED_VALUE"""),"木21")</f>
        <v>木21</v>
      </c>
      <c r="F2441" s="2" t="s">
        <v>7624</v>
      </c>
      <c r="G2441" s="2" t="s">
        <v>7631</v>
      </c>
      <c r="H2441" s="1">
        <v>3.0</v>
      </c>
      <c r="I2441" s="1" t="s">
        <v>2876</v>
      </c>
      <c r="J2441" s="1" t="s">
        <v>11</v>
      </c>
      <c r="K2441" s="2" t="s">
        <v>7632</v>
      </c>
      <c r="L2441" s="11" t="s">
        <v>7633</v>
      </c>
      <c r="M2441" s="2" t="str">
        <f>IFERROR(__xludf.DUMMYFUNCTION("split(split(K2441,""家路久…"",false),""公式LINE"",false)"),"法要の場でテキパキと働く家路久(木村拓哉)。そこは別れた妻・野沢香(水野美紀)の父・和也(寺田農)の七回忌法要の会場で、またしても記憶違いをした久が間違って来てしまったのだ。香の妹・祥子(蓮佛美沙子)は、久の姿を見つけ驚がく。しかも久は野沢家の親族に「お前が和也さんを死なせた」と突然殴られてしまう!家に帰ると、妻・恵(上戸彩)が出迎えてくれるが、その顔は相変わらず仮面に見えてしまい…!?")</f>
        <v>法要の場でテキパキと働く家路久(木村拓哉)。そこは別れた妻・野沢香(水野美紀)の父・和也(寺田農)の七回忌法要の会場で、またしても記憶違いをした久が間違って来てしまったのだ。香の妹・祥子(蓮佛美沙子)は、久の姿を見つけ驚がく。しかも久は野沢家の親族に「お前が和也さんを死なせた」と突然殴られてしまう!家に帰ると、妻・恵(上戸彩)が出迎えてくれるが、その顔は相変わらず仮面に見えてしまい…!?</v>
      </c>
      <c r="N2441" s="2"/>
      <c r="O2441" s="2"/>
      <c r="P2441" s="1"/>
      <c r="Q2441" s="1"/>
      <c r="R2441" s="1"/>
      <c r="S2441" s="1"/>
      <c r="T2441" s="1"/>
      <c r="U2441" s="1"/>
      <c r="V2441" s="1"/>
      <c r="W2441" s="1"/>
      <c r="X2441" s="1"/>
      <c r="Y2441" s="1"/>
      <c r="Z2441" s="1"/>
      <c r="AA2441" s="1"/>
      <c r="AB2441" s="1"/>
      <c r="AC2441" s="1"/>
      <c r="AD2441" s="1"/>
      <c r="AE2441" s="1"/>
      <c r="AF2441" s="1"/>
      <c r="AG2441" s="1"/>
      <c r="AH2441" s="1"/>
      <c r="AI2441" s="1"/>
      <c r="AJ2441" s="1"/>
      <c r="AK2441" s="1"/>
      <c r="AL2441" s="1"/>
      <c r="AM2441" s="1"/>
      <c r="AN2441" s="1"/>
      <c r="AO2441" s="1"/>
      <c r="AP2441" s="1"/>
      <c r="AQ2441" s="1"/>
      <c r="AR2441" s="1"/>
      <c r="AS2441" s="1"/>
      <c r="AT2441" s="1"/>
      <c r="AU2441" s="1"/>
      <c r="AV2441" s="1"/>
      <c r="AW2441" s="1"/>
      <c r="AX2441" s="1"/>
      <c r="AY2441" s="1"/>
      <c r="AZ2441" s="1"/>
      <c r="BA2441" s="1"/>
      <c r="BB2441" s="1"/>
    </row>
    <row r="2442" ht="204.75" customHeight="1">
      <c r="A2442" s="1">
        <v>2183.0</v>
      </c>
      <c r="B2442" s="2" t="s">
        <v>7623</v>
      </c>
      <c r="C2442" s="2">
        <f>IFERROR(__xludf.DUMMYFUNCTION("split(B2442,""_"")"),1504.0)</f>
        <v>1504</v>
      </c>
      <c r="D2442" s="2" t="str">
        <f>IFERROR(__xludf.DUMMYFUNCTION("""COMPUTED_VALUE"""),"EX")</f>
        <v>EX</v>
      </c>
      <c r="E2442" s="2" t="str">
        <f>IFERROR(__xludf.DUMMYFUNCTION("""COMPUTED_VALUE"""),"木21")</f>
        <v>木21</v>
      </c>
      <c r="F2442" s="2" t="s">
        <v>7624</v>
      </c>
      <c r="G2442" s="2" t="s">
        <v>7634</v>
      </c>
      <c r="H2442" s="1">
        <v>4.0</v>
      </c>
      <c r="I2442" s="1" t="s">
        <v>2880</v>
      </c>
      <c r="J2442" s="1" t="s">
        <v>11</v>
      </c>
      <c r="K2442" s="2" t="s">
        <v>7635</v>
      </c>
      <c r="L2442" s="11" t="s">
        <v>7636</v>
      </c>
      <c r="M2442" s="2" t="str">
        <f>IFERROR(__xludf.DUMMYFUNCTION("split(split(K2442,""家路久…"",false),""公式LINE"",false)"),"相変わらず妻・恵(上戸彩)の顔が仮面に見える家路久(木村拓哉)。記憶を少しでも取り戻すため、事故前に単身赴任していた町を訪れる。酔った久はかつて住んでいたアパートの部屋を今の家と勘違いし、帰宅。勝手に上がり込んで寝てしまい、翌朝、現在の住人・徳山(平泉成)と鉢合わせしてしまう!お互いの身の上を語り合い意気投合する二人だが、久から渡された名刺の会社名を見た徳山は、途端に顔色を変え…?")</f>
        <v>相変わらず妻・恵(上戸彩)の顔が仮面に見える家路久(木村拓哉)。記憶を少しでも取り戻すため、事故前に単身赴任していた町を訪れる。酔った久はかつて住んでいたアパートの部屋を今の家と勘違いし、帰宅。勝手に上がり込んで寝てしまい、翌朝、現在の住人・徳山(平泉成)と鉢合わせしてしまう!お互いの身の上を語り合い意気投合する二人だが、久から渡された名刺の会社名を見た徳山は、途端に顔色を変え…?</v>
      </c>
      <c r="N2442" s="2"/>
      <c r="O2442" s="2"/>
      <c r="P2442" s="1"/>
      <c r="Q2442" s="1"/>
      <c r="R2442" s="1"/>
      <c r="S2442" s="1"/>
      <c r="T2442" s="1"/>
      <c r="U2442" s="1"/>
      <c r="V2442" s="1"/>
      <c r="W2442" s="1"/>
      <c r="X2442" s="1"/>
      <c r="Y2442" s="1"/>
      <c r="Z2442" s="1"/>
      <c r="AA2442" s="1"/>
      <c r="AB2442" s="1"/>
      <c r="AC2442" s="1"/>
      <c r="AD2442" s="1"/>
      <c r="AE2442" s="1"/>
      <c r="AF2442" s="1"/>
      <c r="AG2442" s="1"/>
      <c r="AH2442" s="1"/>
      <c r="AI2442" s="1"/>
      <c r="AJ2442" s="1"/>
      <c r="AK2442" s="1"/>
      <c r="AL2442" s="1"/>
      <c r="AM2442" s="1"/>
      <c r="AN2442" s="1"/>
      <c r="AO2442" s="1"/>
      <c r="AP2442" s="1"/>
      <c r="AQ2442" s="1"/>
      <c r="AR2442" s="1"/>
      <c r="AS2442" s="1"/>
      <c r="AT2442" s="1"/>
      <c r="AU2442" s="1"/>
      <c r="AV2442" s="1"/>
      <c r="AW2442" s="1"/>
      <c r="AX2442" s="1"/>
      <c r="AY2442" s="1"/>
      <c r="AZ2442" s="1"/>
      <c r="BA2442" s="1"/>
      <c r="BB2442" s="1"/>
    </row>
    <row r="2443" ht="204.75" customHeight="1">
      <c r="A2443" s="1">
        <v>2184.0</v>
      </c>
      <c r="B2443" s="2" t="s">
        <v>7623</v>
      </c>
      <c r="C2443" s="2">
        <f>IFERROR(__xludf.DUMMYFUNCTION("split(B2443,""_"")"),1504.0)</f>
        <v>1504</v>
      </c>
      <c r="D2443" s="2" t="str">
        <f>IFERROR(__xludf.DUMMYFUNCTION("""COMPUTED_VALUE"""),"EX")</f>
        <v>EX</v>
      </c>
      <c r="E2443" s="2" t="str">
        <f>IFERROR(__xludf.DUMMYFUNCTION("""COMPUTED_VALUE"""),"木21")</f>
        <v>木21</v>
      </c>
      <c r="F2443" s="2" t="s">
        <v>7624</v>
      </c>
      <c r="G2443" s="2" t="s">
        <v>7637</v>
      </c>
      <c r="H2443" s="1">
        <v>5.0</v>
      </c>
      <c r="I2443" s="1" t="s">
        <v>2884</v>
      </c>
      <c r="J2443" s="1" t="s">
        <v>11</v>
      </c>
      <c r="K2443" s="2" t="s">
        <v>7638</v>
      </c>
      <c r="L2443" s="11" t="s">
        <v>7639</v>
      </c>
      <c r="M2443" s="2" t="str">
        <f>IFERROR(__xludf.DUMMYFUNCTION("split(split(K2443,""家路久…"",false),""公式LINE"",false)"),"同僚・四月(鈴木浩介)の助言により、事故以来初めて実家を訪ねてみる久(木村拓哉)だったが、酒屋だったはずの実家はなぜかコンビニに変わっていた。久の姿を見るや敵意をむき出しにした弟の浩(永井大)とは対照的に、母の梓(風吹ジュン)は喜んで久を迎え入れる。帰宅した久は、妻の恵(上戸彩)から、事故前は実家を忌み嫌っていたことを聞かされて愕然とするが…!?衝撃の真実に隠された母の愛、そして家族の愛とは!?")</f>
        <v>同僚・四月(鈴木浩介)の助言により、事故以来初めて実家を訪ねてみる久(木村拓哉)だったが、酒屋だったはずの実家はなぜかコンビニに変わっていた。久の姿を見るや敵意をむき出しにした弟の浩(永井大)とは対照的に、母の梓(風吹ジュン)は喜んで久を迎え入れる。帰宅した久は、妻の恵(上戸彩)から、事故前は実家を忌み嫌っていたことを聞かされて愕然とするが…!?衝撃の真実に隠された母の愛、そして家族の愛とは!?</v>
      </c>
      <c r="N2443" s="2"/>
      <c r="O2443" s="2"/>
      <c r="P2443" s="1"/>
      <c r="Q2443" s="1"/>
      <c r="R2443" s="1"/>
      <c r="S2443" s="1"/>
      <c r="T2443" s="1"/>
      <c r="U2443" s="1"/>
      <c r="V2443" s="1"/>
      <c r="W2443" s="1"/>
      <c r="X2443" s="1"/>
      <c r="Y2443" s="1"/>
      <c r="Z2443" s="1"/>
      <c r="AA2443" s="1"/>
      <c r="AB2443" s="1"/>
      <c r="AC2443" s="1"/>
      <c r="AD2443" s="1"/>
      <c r="AE2443" s="1"/>
      <c r="AF2443" s="1"/>
      <c r="AG2443" s="1"/>
      <c r="AH2443" s="1"/>
      <c r="AI2443" s="1"/>
      <c r="AJ2443" s="1"/>
      <c r="AK2443" s="1"/>
      <c r="AL2443" s="1"/>
      <c r="AM2443" s="1"/>
      <c r="AN2443" s="1"/>
      <c r="AO2443" s="1"/>
      <c r="AP2443" s="1"/>
      <c r="AQ2443" s="1"/>
      <c r="AR2443" s="1"/>
      <c r="AS2443" s="1"/>
      <c r="AT2443" s="1"/>
      <c r="AU2443" s="1"/>
      <c r="AV2443" s="1"/>
      <c r="AW2443" s="1"/>
      <c r="AX2443" s="1"/>
      <c r="AY2443" s="1"/>
      <c r="AZ2443" s="1"/>
      <c r="BA2443" s="1"/>
      <c r="BB2443" s="1"/>
    </row>
    <row r="2444" ht="204.75" customHeight="1">
      <c r="A2444" s="1">
        <v>2185.0</v>
      </c>
      <c r="B2444" s="2" t="s">
        <v>7623</v>
      </c>
      <c r="C2444" s="2">
        <f>IFERROR(__xludf.DUMMYFUNCTION("split(B2444,""_"")"),1504.0)</f>
        <v>1504</v>
      </c>
      <c r="D2444" s="2" t="str">
        <f>IFERROR(__xludf.DUMMYFUNCTION("""COMPUTED_VALUE"""),"EX")</f>
        <v>EX</v>
      </c>
      <c r="E2444" s="2" t="str">
        <f>IFERROR(__xludf.DUMMYFUNCTION("""COMPUTED_VALUE"""),"木21")</f>
        <v>木21</v>
      </c>
      <c r="F2444" s="2" t="s">
        <v>7624</v>
      </c>
      <c r="G2444" s="2" t="s">
        <v>7640</v>
      </c>
      <c r="H2444" s="1">
        <v>6.0</v>
      </c>
      <c r="I2444" s="1" t="s">
        <v>2888</v>
      </c>
      <c r="J2444" s="1" t="s">
        <v>11</v>
      </c>
      <c r="K2444" s="2" t="s">
        <v>7641</v>
      </c>
      <c r="L2444" s="11" t="s">
        <v>7642</v>
      </c>
      <c r="M2444" s="2" t="str">
        <f>IFERROR(__xludf.DUMMYFUNCTION("split(split(K2444,""家路久…"",false),""公式LINE"",false)"),"蓼科の別荘に遊びにきた家路一家。バーベキューを楽しんでいたが、野菜を届けにきた店主(神保悟志)に、一年前に同じ別荘に来ていたときには、良雄に冷たくしていたことを聞かされ、久は自己嫌悪に陥る。その夜、落ち込んだ久を慰めようとした恵。しかしその恵から「久さん、私のこと見えてる?」という衝撃的な問いかけが…!さらに翌朝、良雄が姿を消してしまい…!?  急展開を迎える「アイムホーム」…記憶はついに戻るのか!?")</f>
        <v>蓼科の別荘に遊びにきた家路一家。バーベキューを楽しんでいたが、野菜を届けにきた店主(神保悟志)に、一年前に同じ別荘に来ていたときには、良雄に冷たくしていたことを聞かされ、久は自己嫌悪に陥る。その夜、落ち込んだ久を慰めようとした恵。しかしその恵から「久さん、私のこと見えてる?」という衝撃的な問いかけが…!さらに翌朝、良雄が姿を消してしまい…!?  急展開を迎える「アイムホーム」…記憶はついに戻るのか!?</v>
      </c>
      <c r="N2444" s="2"/>
      <c r="O2444" s="2"/>
      <c r="P2444" s="1"/>
      <c r="Q2444" s="1"/>
      <c r="R2444" s="1"/>
      <c r="S2444" s="1"/>
      <c r="T2444" s="1"/>
      <c r="U2444" s="1"/>
      <c r="V2444" s="1"/>
      <c r="W2444" s="1"/>
      <c r="X2444" s="1"/>
      <c r="Y2444" s="1"/>
      <c r="Z2444" s="1"/>
      <c r="AA2444" s="1"/>
      <c r="AB2444" s="1"/>
      <c r="AC2444" s="1"/>
      <c r="AD2444" s="1"/>
      <c r="AE2444" s="1"/>
      <c r="AF2444" s="1"/>
      <c r="AG2444" s="1"/>
      <c r="AH2444" s="1"/>
      <c r="AI2444" s="1"/>
      <c r="AJ2444" s="1"/>
      <c r="AK2444" s="1"/>
      <c r="AL2444" s="1"/>
      <c r="AM2444" s="1"/>
      <c r="AN2444" s="1"/>
      <c r="AO2444" s="1"/>
      <c r="AP2444" s="1"/>
      <c r="AQ2444" s="1"/>
      <c r="AR2444" s="1"/>
      <c r="AS2444" s="1"/>
      <c r="AT2444" s="1"/>
      <c r="AU2444" s="1"/>
      <c r="AV2444" s="1"/>
      <c r="AW2444" s="1"/>
      <c r="AX2444" s="1"/>
      <c r="AY2444" s="1"/>
      <c r="AZ2444" s="1"/>
      <c r="BA2444" s="1"/>
      <c r="BB2444" s="1"/>
    </row>
    <row r="2445" ht="204.75" customHeight="1">
      <c r="A2445" s="1">
        <v>2186.0</v>
      </c>
      <c r="B2445" s="2" t="s">
        <v>7623</v>
      </c>
      <c r="C2445" s="2">
        <f>IFERROR(__xludf.DUMMYFUNCTION("split(B2445,""_"")"),1504.0)</f>
        <v>1504</v>
      </c>
      <c r="D2445" s="2" t="str">
        <f>IFERROR(__xludf.DUMMYFUNCTION("""COMPUTED_VALUE"""),"EX")</f>
        <v>EX</v>
      </c>
      <c r="E2445" s="2" t="str">
        <f>IFERROR(__xludf.DUMMYFUNCTION("""COMPUTED_VALUE"""),"木21")</f>
        <v>木21</v>
      </c>
      <c r="F2445" s="2" t="s">
        <v>7624</v>
      </c>
      <c r="G2445" s="2" t="s">
        <v>7643</v>
      </c>
      <c r="H2445" s="1">
        <v>7.0</v>
      </c>
      <c r="I2445" s="1" t="s">
        <v>2892</v>
      </c>
      <c r="J2445" s="1" t="s">
        <v>11</v>
      </c>
      <c r="K2445" s="2" t="s">
        <v>7644</v>
      </c>
      <c r="L2445" s="11" t="s">
        <v>7645</v>
      </c>
      <c r="M2445" s="2" t="str">
        <f>IFERROR(__xludf.DUMMYFUNCTION("split(split(K2445,""家路久…"",false),""公式LINE"",false)"),"ある日、家路家に警察から一本の電話がかかってくる。久の父親・洋蔵が、無銭飲食で補導されたというのだ。洋蔵は、久が11歳のころ家を出て以来連絡の一本も寄こさなかった…妻・恵(上戸彩)を前に、久は父親への怒りを露わにする。しかし、母親の梓(風吹ジュン)と電話で話した久は、洋蔵に関するある意外が事実を聞かされる。更に、洋蔵は重大な秘密を抱えていて…!30年ぶりに再会した父と子を待ち受ける衝撃の結末とは!?")</f>
        <v>ある日、家路家に警察から一本の電話がかかってくる。久の父親・洋蔵が、無銭飲食で補導されたというのだ。洋蔵は、久が11歳のころ家を出て以来連絡の一本も寄こさなかった…妻・恵(上戸彩)を前に、久は父親への怒りを露わにする。しかし、母親の梓(風吹ジュン)と電話で話した久は、洋蔵に関するある意外が事実を聞かされる。更に、洋蔵は重大な秘密を抱えていて…!30年ぶりに再会した父と子を待ち受ける衝撃の結末とは!?</v>
      </c>
      <c r="N2445" s="2"/>
      <c r="O2445" s="2"/>
      <c r="P2445" s="1"/>
      <c r="Q2445" s="1"/>
      <c r="R2445" s="1"/>
      <c r="S2445" s="1"/>
      <c r="T2445" s="1"/>
      <c r="U2445" s="1"/>
      <c r="V2445" s="1"/>
      <c r="W2445" s="1"/>
      <c r="X2445" s="1"/>
      <c r="Y2445" s="1"/>
      <c r="Z2445" s="1"/>
      <c r="AA2445" s="1"/>
      <c r="AB2445" s="1"/>
      <c r="AC2445" s="1"/>
      <c r="AD2445" s="1"/>
      <c r="AE2445" s="1"/>
      <c r="AF2445" s="1"/>
      <c r="AG2445" s="1"/>
      <c r="AH2445" s="1"/>
      <c r="AI2445" s="1"/>
      <c r="AJ2445" s="1"/>
      <c r="AK2445" s="1"/>
      <c r="AL2445" s="1"/>
      <c r="AM2445" s="1"/>
      <c r="AN2445" s="1"/>
      <c r="AO2445" s="1"/>
      <c r="AP2445" s="1"/>
      <c r="AQ2445" s="1"/>
      <c r="AR2445" s="1"/>
      <c r="AS2445" s="1"/>
      <c r="AT2445" s="1"/>
      <c r="AU2445" s="1"/>
      <c r="AV2445" s="1"/>
      <c r="AW2445" s="1"/>
      <c r="AX2445" s="1"/>
      <c r="AY2445" s="1"/>
      <c r="AZ2445" s="1"/>
      <c r="BA2445" s="1"/>
      <c r="BB2445" s="1"/>
    </row>
    <row r="2446" ht="204.75" customHeight="1">
      <c r="A2446" s="1">
        <v>2187.0</v>
      </c>
      <c r="B2446" s="2" t="s">
        <v>7623</v>
      </c>
      <c r="C2446" s="2">
        <f>IFERROR(__xludf.DUMMYFUNCTION("split(B2446,""_"")"),1504.0)</f>
        <v>1504</v>
      </c>
      <c r="D2446" s="2" t="str">
        <f>IFERROR(__xludf.DUMMYFUNCTION("""COMPUTED_VALUE"""),"EX")</f>
        <v>EX</v>
      </c>
      <c r="E2446" s="2" t="str">
        <f>IFERROR(__xludf.DUMMYFUNCTION("""COMPUTED_VALUE"""),"木21")</f>
        <v>木21</v>
      </c>
      <c r="F2446" s="2" t="s">
        <v>7624</v>
      </c>
      <c r="G2446" s="2" t="s">
        <v>7646</v>
      </c>
      <c r="H2446" s="1">
        <v>8.0</v>
      </c>
      <c r="I2446" s="1" t="s">
        <v>2896</v>
      </c>
      <c r="J2446" s="1" t="s">
        <v>11</v>
      </c>
      <c r="K2446" s="2" t="s">
        <v>7647</v>
      </c>
      <c r="L2446" s="11" t="s">
        <v>7648</v>
      </c>
      <c r="M2446" s="2" t="str">
        <f>IFERROR(__xludf.DUMMYFUNCTION("split(split(K2446,""家路久…"",false),""公式LINE"",false)"),"妻・恵と、サッカーコーチ・本城剛(田中圭)との親密な写真を見てしまった久は、部長の小机(西田敏行)に誘われるがまま飲みにいき泥酔し、そのまま間違って昔の愛人・杏子(吹石一恵)のマンションに帰ってしまう。杏子から自身との関係について衝撃的な過去を聞かされる久。そして遂に元妻・香の病気についても知ることになり…。次々と明らかにされる久の過去にまつわる秘密!久と取り巻く環境が一気に変化していく!")</f>
        <v>妻・恵と、サッカーコーチ・本城剛(田中圭)との親密な写真を見てしまった久は、部長の小机(西田敏行)に誘われるがまま飲みにいき泥酔し、そのまま間違って昔の愛人・杏子(吹石一恵)のマンションに帰ってしまう。杏子から自身との関係について衝撃的な過去を聞かされる久。そして遂に元妻・香の病気についても知ることになり…。次々と明らかにされる久の過去にまつわる秘密!久と取り巻く環境が一気に変化していく!</v>
      </c>
      <c r="N2446" s="2"/>
      <c r="O2446" s="2"/>
      <c r="P2446" s="1"/>
      <c r="Q2446" s="1"/>
      <c r="R2446" s="1"/>
      <c r="S2446" s="1"/>
      <c r="T2446" s="1"/>
      <c r="U2446" s="1"/>
      <c r="V2446" s="1"/>
      <c r="W2446" s="1"/>
      <c r="X2446" s="1"/>
      <c r="Y2446" s="1"/>
      <c r="Z2446" s="1"/>
      <c r="AA2446" s="1"/>
      <c r="AB2446" s="1"/>
      <c r="AC2446" s="1"/>
      <c r="AD2446" s="1"/>
      <c r="AE2446" s="1"/>
      <c r="AF2446" s="1"/>
      <c r="AG2446" s="1"/>
      <c r="AH2446" s="1"/>
      <c r="AI2446" s="1"/>
      <c r="AJ2446" s="1"/>
      <c r="AK2446" s="1"/>
      <c r="AL2446" s="1"/>
      <c r="AM2446" s="1"/>
      <c r="AN2446" s="1"/>
      <c r="AO2446" s="1"/>
      <c r="AP2446" s="1"/>
      <c r="AQ2446" s="1"/>
      <c r="AR2446" s="1"/>
      <c r="AS2446" s="1"/>
      <c r="AT2446" s="1"/>
      <c r="AU2446" s="1"/>
      <c r="AV2446" s="1"/>
      <c r="AW2446" s="1"/>
      <c r="AX2446" s="1"/>
      <c r="AY2446" s="1"/>
      <c r="AZ2446" s="1"/>
      <c r="BA2446" s="1"/>
      <c r="BB2446" s="1"/>
    </row>
    <row r="2447" ht="204.75" customHeight="1">
      <c r="A2447" s="1">
        <v>2188.0</v>
      </c>
      <c r="B2447" s="2" t="s">
        <v>7623</v>
      </c>
      <c r="C2447" s="2">
        <f>IFERROR(__xludf.DUMMYFUNCTION("split(B2447,""_"")"),1504.0)</f>
        <v>1504</v>
      </c>
      <c r="D2447" s="2" t="str">
        <f>IFERROR(__xludf.DUMMYFUNCTION("""COMPUTED_VALUE"""),"EX")</f>
        <v>EX</v>
      </c>
      <c r="E2447" s="2" t="str">
        <f>IFERROR(__xludf.DUMMYFUNCTION("""COMPUTED_VALUE"""),"木21")</f>
        <v>木21</v>
      </c>
      <c r="F2447" s="2" t="s">
        <v>7624</v>
      </c>
      <c r="G2447" s="2" t="s">
        <v>7649</v>
      </c>
      <c r="H2447" s="1">
        <v>9.0</v>
      </c>
      <c r="I2447" s="1" t="s">
        <v>2900</v>
      </c>
      <c r="J2447" s="1" t="s">
        <v>11</v>
      </c>
      <c r="K2447" s="2" t="s">
        <v>7650</v>
      </c>
      <c r="L2447" s="11" t="s">
        <v>7651</v>
      </c>
      <c r="M2447" s="2" t="str">
        <f>IFERROR(__xludf.DUMMYFUNCTION("split(split(K2447,""家路久…"",false),""公式LINE"",false)"),"家路久(木村拓哉)は、妻・恵(上戸彩)との間の埋めがたい溝を実感していた。そんなある日、第一営業部の雑務を手伝っていた久ら第十三営業部の面々は、帳簿に挟まっていた不審なメモを発見。調べてみようと息巻く久らを、こっそり伺っている人物がいた…!会社の大きな秘密を知ろうとしてしまった久を待ち受ける運命とは!?そして苦悩する久は、恵についに禁断の告白をする…!?激動の中で、久の記憶がついに戻る!?")</f>
        <v>家路久(木村拓哉)は、妻・恵(上戸彩)との間の埋めがたい溝を実感していた。そんなある日、第一営業部の雑務を手伝っていた久ら第十三営業部の面々は、帳簿に挟まっていた不審なメモを発見。調べてみようと息巻く久らを、こっそり伺っている人物がいた…!会社の大きな秘密を知ろうとしてしまった久を待ち受ける運命とは!?そして苦悩する久は、恵についに禁断の告白をする…!?激動の中で、久の記憶がついに戻る!?</v>
      </c>
      <c r="N2447" s="2"/>
      <c r="O2447" s="2"/>
      <c r="P2447" s="1"/>
      <c r="Q2447" s="1"/>
      <c r="R2447" s="1"/>
      <c r="S2447" s="1"/>
      <c r="T2447" s="1"/>
      <c r="U2447" s="1"/>
      <c r="V2447" s="1"/>
      <c r="W2447" s="1"/>
      <c r="X2447" s="1"/>
      <c r="Y2447" s="1"/>
      <c r="Z2447" s="1"/>
      <c r="AA2447" s="1"/>
      <c r="AB2447" s="1"/>
      <c r="AC2447" s="1"/>
      <c r="AD2447" s="1"/>
      <c r="AE2447" s="1"/>
      <c r="AF2447" s="1"/>
      <c r="AG2447" s="1"/>
      <c r="AH2447" s="1"/>
      <c r="AI2447" s="1"/>
      <c r="AJ2447" s="1"/>
      <c r="AK2447" s="1"/>
      <c r="AL2447" s="1"/>
      <c r="AM2447" s="1"/>
      <c r="AN2447" s="1"/>
      <c r="AO2447" s="1"/>
      <c r="AP2447" s="1"/>
      <c r="AQ2447" s="1"/>
      <c r="AR2447" s="1"/>
      <c r="AS2447" s="1"/>
      <c r="AT2447" s="1"/>
      <c r="AU2447" s="1"/>
      <c r="AV2447" s="1"/>
      <c r="AW2447" s="1"/>
      <c r="AX2447" s="1"/>
      <c r="AY2447" s="1"/>
      <c r="AZ2447" s="1"/>
      <c r="BA2447" s="1"/>
      <c r="BB2447" s="1"/>
    </row>
    <row r="2448" ht="204.75" customHeight="1">
      <c r="A2448" s="1">
        <v>2189.0</v>
      </c>
      <c r="B2448" s="2" t="s">
        <v>7623</v>
      </c>
      <c r="C2448" s="2">
        <f>IFERROR(__xludf.DUMMYFUNCTION("split(B2448,""_"")"),1504.0)</f>
        <v>1504</v>
      </c>
      <c r="D2448" s="2" t="str">
        <f>IFERROR(__xludf.DUMMYFUNCTION("""COMPUTED_VALUE"""),"EX")</f>
        <v>EX</v>
      </c>
      <c r="E2448" s="2" t="str">
        <f>IFERROR(__xludf.DUMMYFUNCTION("""COMPUTED_VALUE"""),"木21")</f>
        <v>木21</v>
      </c>
      <c r="F2448" s="2" t="s">
        <v>7624</v>
      </c>
      <c r="G2448" s="2" t="s">
        <v>7652</v>
      </c>
      <c r="H2448" s="1">
        <v>10.0</v>
      </c>
      <c r="I2448" s="1" t="s">
        <v>37</v>
      </c>
      <c r="J2448" s="1" t="s">
        <v>4</v>
      </c>
      <c r="K2448" s="2" t="s">
        <v>7653</v>
      </c>
      <c r="L2448" s="11" t="s">
        <v>7654</v>
      </c>
      <c r="M2448" s="2" t="str">
        <f>IFERROR(__xludf.DUMMYFUNCTION("split(split(K2448,""家路久…"",false),""公式LINE"",false)"),"「私には久さんが仮面に見える」と、妻・恵から衝撃の告白をされた家路久は、手元にある鍵束の中にトランクルームの鍵が残っていることに気付く。そこで一枚の写真を見た久の脳裏に、ある衝撃的な事実がよみがえる!さらに、葵インペリアル証券の損失隠しに関する記憶も取り戻した久。速やかに所持しているデータを、社長の上王子悟史(沢村一樹)に渡すよう、小机部長(西田敏行)に迫られるが…!?全ての謎が解ける衝撃の結末!")</f>
        <v>「私には久さんが仮面に見える」と、妻・恵から衝撃の告白をされた家路久は、手元にある鍵束の中にトランクルームの鍵が残っていることに気付く。そこで一枚の写真を見た久の脳裏に、ある衝撃的な事実がよみがえる!さらに、葵インペリアル証券の損失隠しに関する記憶も取り戻した久。速やかに所持しているデータを、社長の上王子悟史(沢村一樹)に渡すよう、小机部長(西田敏行)に迫られるが…!?全ての謎が解ける衝撃の結末!</v>
      </c>
      <c r="N2448" s="2"/>
      <c r="O2448" s="2"/>
      <c r="P2448" s="1"/>
      <c r="Q2448" s="1"/>
      <c r="R2448" s="1"/>
      <c r="S2448" s="1"/>
      <c r="T2448" s="1"/>
      <c r="U2448" s="1"/>
      <c r="V2448" s="1"/>
      <c r="W2448" s="1"/>
      <c r="X2448" s="1"/>
      <c r="Y2448" s="1"/>
      <c r="Z2448" s="1"/>
      <c r="AA2448" s="1"/>
      <c r="AB2448" s="1"/>
      <c r="AC2448" s="1"/>
      <c r="AD2448" s="1"/>
      <c r="AE2448" s="1"/>
      <c r="AF2448" s="1"/>
      <c r="AG2448" s="1"/>
      <c r="AH2448" s="1"/>
      <c r="AI2448" s="1"/>
      <c r="AJ2448" s="1"/>
      <c r="AK2448" s="1"/>
      <c r="AL2448" s="1"/>
      <c r="AM2448" s="1"/>
      <c r="AN2448" s="1"/>
      <c r="AO2448" s="1"/>
      <c r="AP2448" s="1"/>
      <c r="AQ2448" s="1"/>
      <c r="AR2448" s="1"/>
      <c r="AS2448" s="1"/>
      <c r="AT2448" s="1"/>
      <c r="AU2448" s="1"/>
      <c r="AV2448" s="1"/>
      <c r="AW2448" s="1"/>
      <c r="AX2448" s="1"/>
      <c r="AY2448" s="1"/>
      <c r="AZ2448" s="1"/>
      <c r="BA2448" s="1"/>
      <c r="BB2448" s="1"/>
    </row>
    <row r="2449" ht="204.75" customHeight="1">
      <c r="A2449" s="1">
        <v>2222.0</v>
      </c>
      <c r="B2449" s="2" t="s">
        <v>7655</v>
      </c>
      <c r="C2449" s="2">
        <f>IFERROR(__xludf.DUMMYFUNCTION("split(B2449,""_"")"),1504.0)</f>
        <v>1504</v>
      </c>
      <c r="D2449" s="2" t="str">
        <f>IFERROR(__xludf.DUMMYFUNCTION("""COMPUTED_VALUE"""),"EX")</f>
        <v>EX</v>
      </c>
      <c r="E2449" s="2" t="str">
        <f>IFERROR(__xludf.DUMMYFUNCTION("""COMPUTED_VALUE"""),"金23")</f>
        <v>金23</v>
      </c>
      <c r="F2449" s="2" t="s">
        <v>7656</v>
      </c>
      <c r="G2449" s="2" t="s">
        <v>7657</v>
      </c>
      <c r="H2449" s="1">
        <v>1.0</v>
      </c>
      <c r="I2449" s="1" t="s">
        <v>2868</v>
      </c>
      <c r="J2449" s="1" t="s">
        <v>1435</v>
      </c>
      <c r="K2449" s="4" t="s">
        <v>7658</v>
      </c>
      <c r="L2449" s="11" t="s">
        <v>7659</v>
      </c>
      <c r="M2449" s="2" t="str">
        <f>IFERROR(__xludf.DUMMYFUNCTION("split(split(K2449,""剛力彩芽、"",false),""公式LINE"",false)"),"【未解決事件 CASE.1】  キャバクラ嬢殺害×政治アナリスト失踪!  重要参考人の政治アナリストが失踪したため、迷宮入りしているキャバクラ嬢殺害事件。蒔田ヒカリ(剛力彩芽)と茶島龍之介(渡部篤郎)は二重に絡み合う不可解な“未解決事件""を再調査するため、重要参考人の妻・美加子(高岡早紀)のもとへ。二人は、ある“重大な嘘""が捜査をかく乱させたことを確認し…!?")</f>
        <v>【未解決事件 CASE.1】  キャバクラ嬢殺害×政治アナリスト失踪!  重要参考人の政治アナリストが失踪したため、迷宮入りしているキャバクラ嬢殺害事件。蒔田ヒカリ(剛力彩芽)と茶島龍之介(渡部篤郎)は二重に絡み合う不可解な“未解決事件"を再調査するため、重要参考人の妻・美加子(高岡早紀)のもとへ。二人は、ある“重大な嘘"が捜査をかく乱させたことを確認し…!?</v>
      </c>
      <c r="N2449" s="2"/>
      <c r="O2449" s="2"/>
      <c r="P2449" s="1"/>
      <c r="Q2449" s="1"/>
      <c r="R2449" s="1"/>
      <c r="S2449" s="1"/>
      <c r="T2449" s="1"/>
      <c r="U2449" s="1"/>
      <c r="V2449" s="1"/>
      <c r="W2449" s="1"/>
      <c r="X2449" s="1"/>
      <c r="Y2449" s="1"/>
      <c r="Z2449" s="1"/>
      <c r="AA2449" s="1"/>
      <c r="AB2449" s="1"/>
      <c r="AC2449" s="1"/>
      <c r="AD2449" s="1"/>
      <c r="AE2449" s="1"/>
      <c r="AF2449" s="1"/>
      <c r="AG2449" s="1"/>
      <c r="AH2449" s="1"/>
      <c r="AI2449" s="1"/>
      <c r="AJ2449" s="1"/>
      <c r="AK2449" s="1"/>
      <c r="AL2449" s="1"/>
      <c r="AM2449" s="1"/>
      <c r="AN2449" s="1"/>
      <c r="AO2449" s="1"/>
      <c r="AP2449" s="1"/>
      <c r="AQ2449" s="1"/>
      <c r="AR2449" s="1"/>
      <c r="AS2449" s="1"/>
      <c r="AT2449" s="1"/>
      <c r="AU2449" s="1"/>
      <c r="AV2449" s="1"/>
      <c r="AW2449" s="1"/>
      <c r="AX2449" s="1"/>
      <c r="AY2449" s="1"/>
      <c r="AZ2449" s="1"/>
      <c r="BA2449" s="1"/>
      <c r="BB2449" s="1"/>
    </row>
    <row r="2450" ht="204.75" customHeight="1">
      <c r="A2450" s="1">
        <v>2223.0</v>
      </c>
      <c r="B2450" s="2" t="s">
        <v>7655</v>
      </c>
      <c r="C2450" s="2">
        <f>IFERROR(__xludf.DUMMYFUNCTION("split(B2450,""_"")"),1504.0)</f>
        <v>1504</v>
      </c>
      <c r="D2450" s="2" t="str">
        <f>IFERROR(__xludf.DUMMYFUNCTION("""COMPUTED_VALUE"""),"EX")</f>
        <v>EX</v>
      </c>
      <c r="E2450" s="2" t="str">
        <f>IFERROR(__xludf.DUMMYFUNCTION("""COMPUTED_VALUE"""),"金23")</f>
        <v>金23</v>
      </c>
      <c r="F2450" s="2" t="s">
        <v>7656</v>
      </c>
      <c r="G2450" s="2" t="s">
        <v>7660</v>
      </c>
      <c r="H2450" s="1">
        <v>2.0</v>
      </c>
      <c r="I2450" s="1" t="s">
        <v>2872</v>
      </c>
      <c r="J2450" s="1" t="s">
        <v>1435</v>
      </c>
      <c r="K2450" s="2" t="s">
        <v>7661</v>
      </c>
      <c r="L2450" s="11" t="s">
        <v>7662</v>
      </c>
      <c r="M2450" s="2" t="str">
        <f>IFERROR(__xludf.DUMMYFUNCTION("split(split(K2450,""剛力彩芽、"",false),""公式LINE"",false)"),"【未解決事件 CASE.2“殺人病棟""】  3年前、目撃証言が多数あるにも関わらず、迷宮入りした謎の入院患者刺殺事件。ヒカリ(剛力彩芽)と茶島(渡部篤郎)は、様々な病院関係者に再調査を開始。だが、第一発見者の看護師・郁子は行方不明で…!?やがて、茶島は極秘裏に“二重の司法取引""を駆使。ヒカリをぼう然とさせる事件の真相にたどり着くー。  嘘をついているのは誰だ?仕掛けられた罠とは…その真相に涙する。")</f>
        <v>【未解決事件 CASE.2“殺人病棟"】  3年前、目撃証言が多数あるにも関わらず、迷宮入りした謎の入院患者刺殺事件。ヒカリ(剛力彩芽)と茶島(渡部篤郎)は、様々な病院関係者に再調査を開始。だが、第一発見者の看護師・郁子は行方不明で…!?やがて、茶島は極秘裏に“二重の司法取引"を駆使。ヒカリをぼう然とさせる事件の真相にたどり着くー。  嘘をついているのは誰だ?仕掛けられた罠とは…その真相に涙する。</v>
      </c>
      <c r="N2450" s="2"/>
      <c r="O2450" s="2"/>
      <c r="P2450" s="1"/>
      <c r="Q2450" s="1"/>
      <c r="R2450" s="1"/>
      <c r="S2450" s="1"/>
      <c r="T2450" s="1"/>
      <c r="U2450" s="1"/>
      <c r="V2450" s="1"/>
      <c r="W2450" s="1"/>
      <c r="X2450" s="1"/>
      <c r="Y2450" s="1"/>
      <c r="Z2450" s="1"/>
      <c r="AA2450" s="1"/>
      <c r="AB2450" s="1"/>
      <c r="AC2450" s="1"/>
      <c r="AD2450" s="1"/>
      <c r="AE2450" s="1"/>
      <c r="AF2450" s="1"/>
      <c r="AG2450" s="1"/>
      <c r="AH2450" s="1"/>
      <c r="AI2450" s="1"/>
      <c r="AJ2450" s="1"/>
      <c r="AK2450" s="1"/>
      <c r="AL2450" s="1"/>
      <c r="AM2450" s="1"/>
      <c r="AN2450" s="1"/>
      <c r="AO2450" s="1"/>
      <c r="AP2450" s="1"/>
      <c r="AQ2450" s="1"/>
      <c r="AR2450" s="1"/>
      <c r="AS2450" s="1"/>
      <c r="AT2450" s="1"/>
      <c r="AU2450" s="1"/>
      <c r="AV2450" s="1"/>
      <c r="AW2450" s="1"/>
      <c r="AX2450" s="1"/>
      <c r="AY2450" s="1"/>
      <c r="AZ2450" s="1"/>
      <c r="BA2450" s="1"/>
      <c r="BB2450" s="1"/>
    </row>
    <row r="2451" ht="204.75" customHeight="1">
      <c r="A2451" s="1">
        <v>2224.0</v>
      </c>
      <c r="B2451" s="2" t="s">
        <v>7655</v>
      </c>
      <c r="C2451" s="2">
        <f>IFERROR(__xludf.DUMMYFUNCTION("split(B2451,""_"")"),1504.0)</f>
        <v>1504</v>
      </c>
      <c r="D2451" s="2" t="str">
        <f>IFERROR(__xludf.DUMMYFUNCTION("""COMPUTED_VALUE"""),"EX")</f>
        <v>EX</v>
      </c>
      <c r="E2451" s="2" t="str">
        <f>IFERROR(__xludf.DUMMYFUNCTION("""COMPUTED_VALUE"""),"金23")</f>
        <v>金23</v>
      </c>
      <c r="F2451" s="2" t="s">
        <v>7656</v>
      </c>
      <c r="G2451" s="2" t="s">
        <v>7663</v>
      </c>
      <c r="H2451" s="1">
        <v>3.0</v>
      </c>
      <c r="I2451" s="1" t="s">
        <v>2876</v>
      </c>
      <c r="J2451" s="1" t="s">
        <v>1435</v>
      </c>
      <c r="K2451" s="2" t="s">
        <v>7664</v>
      </c>
      <c r="L2451" s="11" t="s">
        <v>7665</v>
      </c>
      <c r="M2451" s="2" t="str">
        <f>IFERROR(__xludf.DUMMYFUNCTION("split(split(K2451,""剛力彩芽、"",false),""公式LINE"",false)"),"【未解決事件 CASE.3“エリート官僚怪死事件""】  5年前に発見されたエリート官僚の謎の焼死体!  被害者の妻・沙知絵(雛形あきこ)から話を聞くと、1年前から遺族に資金援助をする“謎の男""の存在が浮かび上がり…!?被害者の裏の顔と、隠された驚愕の真実とは…。  衝撃の結末が待ち受ける---")</f>
        <v>【未解決事件 CASE.3“エリート官僚怪死事件"】  5年前に発見されたエリート官僚の謎の焼死体!  被害者の妻・沙知絵(雛形あきこ)から話を聞くと、1年前から遺族に資金援助をする“謎の男"の存在が浮かび上がり…!?被害者の裏の顔と、隠された驚愕の真実とは…。  衝撃の結末が待ち受ける---</v>
      </c>
      <c r="N2451" s="2"/>
      <c r="O2451" s="2"/>
      <c r="P2451" s="1"/>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c r="AN2451" s="1"/>
      <c r="AO2451" s="1"/>
      <c r="AP2451" s="1"/>
      <c r="AQ2451" s="1"/>
      <c r="AR2451" s="1"/>
      <c r="AS2451" s="1"/>
      <c r="AT2451" s="1"/>
      <c r="AU2451" s="1"/>
      <c r="AV2451" s="1"/>
      <c r="AW2451" s="1"/>
      <c r="AX2451" s="1"/>
      <c r="AY2451" s="1"/>
      <c r="AZ2451" s="1"/>
      <c r="BA2451" s="1"/>
      <c r="BB2451" s="1"/>
    </row>
    <row r="2452" ht="204.75" customHeight="1">
      <c r="A2452" s="1">
        <v>2225.0</v>
      </c>
      <c r="B2452" s="2" t="s">
        <v>7655</v>
      </c>
      <c r="C2452" s="2">
        <f>IFERROR(__xludf.DUMMYFUNCTION("split(B2452,""_"")"),1504.0)</f>
        <v>1504</v>
      </c>
      <c r="D2452" s="2" t="str">
        <f>IFERROR(__xludf.DUMMYFUNCTION("""COMPUTED_VALUE"""),"EX")</f>
        <v>EX</v>
      </c>
      <c r="E2452" s="2" t="str">
        <f>IFERROR(__xludf.DUMMYFUNCTION("""COMPUTED_VALUE"""),"金23")</f>
        <v>金23</v>
      </c>
      <c r="F2452" s="2" t="s">
        <v>7656</v>
      </c>
      <c r="G2452" s="2" t="s">
        <v>7666</v>
      </c>
      <c r="H2452" s="1">
        <v>4.0</v>
      </c>
      <c r="I2452" s="1" t="s">
        <v>2880</v>
      </c>
      <c r="J2452" s="1" t="s">
        <v>1435</v>
      </c>
      <c r="K2452" s="2" t="s">
        <v>7667</v>
      </c>
      <c r="L2452" s="11" t="s">
        <v>7668</v>
      </c>
      <c r="M2452" s="2" t="str">
        <f>IFERROR(__xludf.DUMMYFUNCTION("split(split(K2452,""剛力彩芽、"",false),""公式LINE"",false)"),"【未解決事件 CASE.4“殺人同窓会""】  4年前に失踪した主婦の白骨死体が発見される!その主婦は同窓会以降、足取りが不明に…。元夫の証言から“裏の顔""があったことが判明!だが、主婦の同窓生の証言が食い違うなど、15年前に隠された衝撃の真実が見え隠れし始め……誰が嘘をついているのか!?  いまだかつてない禁断の司法取引により、救えるのはただ1人…予測不可能な衝撃の結末が待ち受ける!")</f>
        <v>【未解決事件 CASE.4“殺人同窓会"】  4年前に失踪した主婦の白骨死体が発見される!その主婦は同窓会以降、足取りが不明に…。元夫の証言から“裏の顔"があったことが判明!だが、主婦の同窓生の証言が食い違うなど、15年前に隠された衝撃の真実が見え隠れし始め……誰が嘘をついているのか!?  いまだかつてない禁断の司法取引により、救えるのはただ1人…予測不可能な衝撃の結末が待ち受ける!</v>
      </c>
      <c r="N2452" s="2"/>
      <c r="O2452" s="2"/>
      <c r="P2452" s="1"/>
      <c r="Q2452" s="1"/>
      <c r="R2452" s="1"/>
      <c r="S2452" s="1"/>
      <c r="T2452" s="1"/>
      <c r="U2452" s="1"/>
      <c r="V2452" s="1"/>
      <c r="W2452" s="1"/>
      <c r="X2452" s="1"/>
      <c r="Y2452" s="1"/>
      <c r="Z2452" s="1"/>
      <c r="AA2452" s="1"/>
      <c r="AB2452" s="1"/>
      <c r="AC2452" s="1"/>
      <c r="AD2452" s="1"/>
      <c r="AE2452" s="1"/>
      <c r="AF2452" s="1"/>
      <c r="AG2452" s="1"/>
      <c r="AH2452" s="1"/>
      <c r="AI2452" s="1"/>
      <c r="AJ2452" s="1"/>
      <c r="AK2452" s="1"/>
      <c r="AL2452" s="1"/>
      <c r="AM2452" s="1"/>
      <c r="AN2452" s="1"/>
      <c r="AO2452" s="1"/>
      <c r="AP2452" s="1"/>
      <c r="AQ2452" s="1"/>
      <c r="AR2452" s="1"/>
      <c r="AS2452" s="1"/>
      <c r="AT2452" s="1"/>
      <c r="AU2452" s="1"/>
      <c r="AV2452" s="1"/>
      <c r="AW2452" s="1"/>
      <c r="AX2452" s="1"/>
      <c r="AY2452" s="1"/>
      <c r="AZ2452" s="1"/>
      <c r="BA2452" s="1"/>
      <c r="BB2452" s="1"/>
    </row>
    <row r="2453" ht="204.75" customHeight="1">
      <c r="A2453" s="1">
        <v>2226.0</v>
      </c>
      <c r="B2453" s="2" t="s">
        <v>7655</v>
      </c>
      <c r="C2453" s="2">
        <f>IFERROR(__xludf.DUMMYFUNCTION("split(B2453,""_"")"),1504.0)</f>
        <v>1504</v>
      </c>
      <c r="D2453" s="2" t="str">
        <f>IFERROR(__xludf.DUMMYFUNCTION("""COMPUTED_VALUE"""),"EX")</f>
        <v>EX</v>
      </c>
      <c r="E2453" s="2" t="str">
        <f>IFERROR(__xludf.DUMMYFUNCTION("""COMPUTED_VALUE"""),"金23")</f>
        <v>金23</v>
      </c>
      <c r="F2453" s="2" t="s">
        <v>7656</v>
      </c>
      <c r="G2453" s="2" t="s">
        <v>7669</v>
      </c>
      <c r="H2453" s="1">
        <v>5.0</v>
      </c>
      <c r="I2453" s="1" t="s">
        <v>2884</v>
      </c>
      <c r="J2453" s="1" t="s">
        <v>1435</v>
      </c>
      <c r="K2453" s="2" t="s">
        <v>7670</v>
      </c>
      <c r="L2453" s="11" t="s">
        <v>7671</v>
      </c>
      <c r="M2453" s="2" t="str">
        <f>IFERROR(__xludf.DUMMYFUNCTION("split(split(K2453,""剛力彩芽、"",false),""公式LINE"",false)"),"【未解決事件 CASE.5“あけび山の殺人伝説""】  あけび山と呼ばれる山中でハイキングに出かけた主婦が他殺体として見つかり、「人間じゃない」などと書かれた不可解なダイイングメッセージを残して迷宮入り。1年後、先に帰って助かった主婦も似た手口で焼死体として発見。  人知を超えた犯人像や、町ぐるみで見え隠れする不穏な動きなど、史上最も解決困難な未解決事件の様相を呈する中、事態はやがて衝撃の真相へ……。")</f>
        <v>【未解決事件 CASE.5“あけび山の殺人伝説"】  あけび山と呼ばれる山中でハイキングに出かけた主婦が他殺体として見つかり、「人間じゃない」などと書かれた不可解なダイイングメッセージを残して迷宮入り。1年後、先に帰って助かった主婦も似た手口で焼死体として発見。  人知を超えた犯人像や、町ぐるみで見え隠れする不穏な動きなど、史上最も解決困難な未解決事件の様相を呈する中、事態はやがて衝撃の真相へ……。</v>
      </c>
      <c r="N2453" s="2"/>
      <c r="O2453" s="2"/>
      <c r="P2453" s="1"/>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c r="AN2453" s="1"/>
      <c r="AO2453" s="1"/>
      <c r="AP2453" s="1"/>
      <c r="AQ2453" s="1"/>
      <c r="AR2453" s="1"/>
      <c r="AS2453" s="1"/>
      <c r="AT2453" s="1"/>
      <c r="AU2453" s="1"/>
      <c r="AV2453" s="1"/>
      <c r="AW2453" s="1"/>
      <c r="AX2453" s="1"/>
      <c r="AY2453" s="1"/>
      <c r="AZ2453" s="1"/>
      <c r="BA2453" s="1"/>
      <c r="BB2453" s="1"/>
    </row>
    <row r="2454" ht="204.75" customHeight="1">
      <c r="A2454" s="1">
        <v>2227.0</v>
      </c>
      <c r="B2454" s="2" t="s">
        <v>7655</v>
      </c>
      <c r="C2454" s="2">
        <f>IFERROR(__xludf.DUMMYFUNCTION("split(B2454,""_"")"),1504.0)</f>
        <v>1504</v>
      </c>
      <c r="D2454" s="2" t="str">
        <f>IFERROR(__xludf.DUMMYFUNCTION("""COMPUTED_VALUE"""),"EX")</f>
        <v>EX</v>
      </c>
      <c r="E2454" s="2" t="str">
        <f>IFERROR(__xludf.DUMMYFUNCTION("""COMPUTED_VALUE"""),"金23")</f>
        <v>金23</v>
      </c>
      <c r="F2454" s="2" t="s">
        <v>7656</v>
      </c>
      <c r="G2454" s="2" t="s">
        <v>7672</v>
      </c>
      <c r="H2454" s="1">
        <v>6.0</v>
      </c>
      <c r="I2454" s="1" t="s">
        <v>2888</v>
      </c>
      <c r="J2454" s="1" t="s">
        <v>1435</v>
      </c>
      <c r="K2454" s="2" t="s">
        <v>7673</v>
      </c>
      <c r="L2454" s="11" t="s">
        <v>7674</v>
      </c>
      <c r="M2454" s="2" t="str">
        <f>IFERROR(__xludf.DUMMYFUNCTION("split(split(K2454,""剛力彩芽、"",false),""公式LINE"",false)"),"【未解決事件 CASE.6“密室の悪魔""】  司法取引を犯罪者から持ちかけられる!3年前の女性失踪事件の目撃証言をする代わりに、里親の最期を看取りたいので仮釈放を早めて欲しい…との取引条件が。失踪した女性は元刑事の愛人だったことが発覚!果たして、証言は真実なのか?脱獄のためなのか?  1つの証言によって連鎖する未解決ミステリー。過去に隠された悲しくも切ない衝撃の真相ーー")</f>
        <v>【未解決事件 CASE.6“密室の悪魔"】  司法取引を犯罪者から持ちかけられる!3年前の女性失踪事件の目撃証言をする代わりに、里親の最期を看取りたいので仮釈放を早めて欲しい…との取引条件が。失踪した女性は元刑事の愛人だったことが発覚!果たして、証言は真実なのか?脱獄のためなのか?  1つの証言によって連鎖する未解決ミステリー。過去に隠された悲しくも切ない衝撃の真相ーー</v>
      </c>
      <c r="N2454" s="2"/>
      <c r="O2454" s="2"/>
      <c r="P2454" s="1"/>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c r="AN2454" s="1"/>
      <c r="AO2454" s="1"/>
      <c r="AP2454" s="1"/>
      <c r="AQ2454" s="1"/>
      <c r="AR2454" s="1"/>
      <c r="AS2454" s="1"/>
      <c r="AT2454" s="1"/>
      <c r="AU2454" s="1"/>
      <c r="AV2454" s="1"/>
      <c r="AW2454" s="1"/>
      <c r="AX2454" s="1"/>
      <c r="AY2454" s="1"/>
      <c r="AZ2454" s="1"/>
      <c r="BA2454" s="1"/>
      <c r="BB2454" s="1"/>
    </row>
    <row r="2455" ht="204.75" customHeight="1">
      <c r="A2455" s="1">
        <v>2228.0</v>
      </c>
      <c r="B2455" s="2" t="s">
        <v>7655</v>
      </c>
      <c r="C2455" s="2">
        <f>IFERROR(__xludf.DUMMYFUNCTION("split(B2455,""_"")"),1504.0)</f>
        <v>1504</v>
      </c>
      <c r="D2455" s="2" t="str">
        <f>IFERROR(__xludf.DUMMYFUNCTION("""COMPUTED_VALUE"""),"EX")</f>
        <v>EX</v>
      </c>
      <c r="E2455" s="2" t="str">
        <f>IFERROR(__xludf.DUMMYFUNCTION("""COMPUTED_VALUE"""),"金23")</f>
        <v>金23</v>
      </c>
      <c r="F2455" s="2" t="s">
        <v>7656</v>
      </c>
      <c r="G2455" s="2" t="s">
        <v>7675</v>
      </c>
      <c r="H2455" s="1">
        <v>7.0</v>
      </c>
      <c r="I2455" s="1" t="s">
        <v>2892</v>
      </c>
      <c r="J2455" s="1" t="s">
        <v>1435</v>
      </c>
      <c r="K2455" s="2" t="s">
        <v>7676</v>
      </c>
      <c r="L2455" s="11" t="s">
        <v>7677</v>
      </c>
      <c r="M2455" s="2" t="str">
        <f>IFERROR(__xludf.DUMMYFUNCTION("split(split(K2455,""剛力彩芽、"",false),""公式LINE"",false)"),"【未解決事件 CASE.7“毒婦の誘惑""】  結婚した男性が次々と不審な死を遂げてしまう女…。男たちを瞬く間に虜にする美貌と妖艶さを持ち、週刊誌などでもスキャンダラスに報じられていた。財産目的の殺人容疑がかけられるが、証拠不十分で不起訴に。遺族からは「魔性の毒婦」と「いい人」という真逆の証言が!さらに彼女には強力な女性弁護人がいて、ヒカリたちを阻んでいく!その弁護人は茶島の過去を知る人物だった…")</f>
        <v>【未解決事件 CASE.7“毒婦の誘惑"】  結婚した男性が次々と不審な死を遂げてしまう女…。男たちを瞬く間に虜にする美貌と妖艶さを持ち、週刊誌などでもスキャンダラスに報じられていた。財産目的の殺人容疑がかけられるが、証拠不十分で不起訴に。遺族からは「魔性の毒婦」と「いい人」という真逆の証言が!さらに彼女には強力な女性弁護人がいて、ヒカリたちを阻んでいく!その弁護人は茶島の過去を知る人物だった…</v>
      </c>
      <c r="N2455" s="2"/>
      <c r="O2455" s="2"/>
      <c r="P2455" s="1"/>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c r="AN2455" s="1"/>
      <c r="AO2455" s="1"/>
      <c r="AP2455" s="1"/>
      <c r="AQ2455" s="1"/>
      <c r="AR2455" s="1"/>
      <c r="AS2455" s="1"/>
      <c r="AT2455" s="1"/>
      <c r="AU2455" s="1"/>
      <c r="AV2455" s="1"/>
      <c r="AW2455" s="1"/>
      <c r="AX2455" s="1"/>
      <c r="AY2455" s="1"/>
      <c r="AZ2455" s="1"/>
      <c r="BA2455" s="1"/>
      <c r="BB2455" s="1"/>
    </row>
    <row r="2456" ht="204.75" customHeight="1">
      <c r="A2456" s="1">
        <v>2229.0</v>
      </c>
      <c r="B2456" s="2" t="s">
        <v>7655</v>
      </c>
      <c r="C2456" s="2">
        <f>IFERROR(__xludf.DUMMYFUNCTION("split(B2456,""_"")"),1504.0)</f>
        <v>1504</v>
      </c>
      <c r="D2456" s="2" t="str">
        <f>IFERROR(__xludf.DUMMYFUNCTION("""COMPUTED_VALUE"""),"EX")</f>
        <v>EX</v>
      </c>
      <c r="E2456" s="2" t="str">
        <f>IFERROR(__xludf.DUMMYFUNCTION("""COMPUTED_VALUE"""),"金23")</f>
        <v>金23</v>
      </c>
      <c r="F2456" s="2" t="s">
        <v>7656</v>
      </c>
      <c r="G2456" s="2" t="s">
        <v>7678</v>
      </c>
      <c r="H2456" s="1">
        <v>8.0</v>
      </c>
      <c r="I2456" s="1" t="s">
        <v>2896</v>
      </c>
      <c r="J2456" s="1" t="s">
        <v>1435</v>
      </c>
      <c r="K2456" s="2" t="s">
        <v>7679</v>
      </c>
      <c r="L2456" s="11" t="s">
        <v>7680</v>
      </c>
      <c r="M2456" s="2" t="str">
        <f>IFERROR(__xludf.DUMMYFUNCTION("split(split(K2456,""剛力彩芽、"",false),""公式LINE"",false)"),"【未解決事件 CASE.8“殺人家族と消えた少女""】  20年前におきた塾経営者一家殺害事件。8歳の娘は数日間監禁されたあと、傷だらけで発見される!この未解決事件を捜査するが、遺族の娘は再捜査を拒否。今まで苦しんできたが、ようやくお店も軌道に乗り始め、これからは前だけを見て生きていきたい…との思いがを伝えられる。その事件を捜査していくと、あまりに悲しく、切ない真相が待ち受けていた…。")</f>
        <v>【未解決事件 CASE.8“殺人家族と消えた少女"】  20年前におきた塾経営者一家殺害事件。8歳の娘は数日間監禁されたあと、傷だらけで発見される!この未解決事件を捜査するが、遺族の娘は再捜査を拒否。今まで苦しんできたが、ようやくお店も軌道に乗り始め、これからは前だけを見て生きていきたい…との思いがを伝えられる。その事件を捜査していくと、あまりに悲しく、切ない真相が待ち受けていた…。</v>
      </c>
      <c r="N2456" s="2"/>
      <c r="O2456" s="2"/>
      <c r="P2456" s="1"/>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c r="AN2456" s="1"/>
      <c r="AO2456" s="1"/>
      <c r="AP2456" s="1"/>
      <c r="AQ2456" s="1"/>
      <c r="AR2456" s="1"/>
      <c r="AS2456" s="1"/>
      <c r="AT2456" s="1"/>
      <c r="AU2456" s="1"/>
      <c r="AV2456" s="1"/>
      <c r="AW2456" s="1"/>
      <c r="AX2456" s="1"/>
      <c r="AY2456" s="1"/>
      <c r="AZ2456" s="1"/>
      <c r="BA2456" s="1"/>
      <c r="BB2456" s="1"/>
    </row>
    <row r="2457" ht="204.75" customHeight="1">
      <c r="A2457" s="1">
        <v>2230.0</v>
      </c>
      <c r="B2457" s="2" t="s">
        <v>7655</v>
      </c>
      <c r="C2457" s="2">
        <f>IFERROR(__xludf.DUMMYFUNCTION("split(B2457,""_"")"),1504.0)</f>
        <v>1504</v>
      </c>
      <c r="D2457" s="2" t="str">
        <f>IFERROR(__xludf.DUMMYFUNCTION("""COMPUTED_VALUE"""),"EX")</f>
        <v>EX</v>
      </c>
      <c r="E2457" s="2" t="str">
        <f>IFERROR(__xludf.DUMMYFUNCTION("""COMPUTED_VALUE"""),"金23")</f>
        <v>金23</v>
      </c>
      <c r="F2457" s="2" t="s">
        <v>7656</v>
      </c>
      <c r="G2457" s="2" t="s">
        <v>7681</v>
      </c>
      <c r="H2457" s="1">
        <v>9.0</v>
      </c>
      <c r="I2457" s="1" t="s">
        <v>2900</v>
      </c>
      <c r="J2457" s="1" t="s">
        <v>1435</v>
      </c>
      <c r="K2457" s="2" t="s">
        <v>7682</v>
      </c>
      <c r="L2457" s="11" t="s">
        <v>7683</v>
      </c>
      <c r="M2457" s="2" t="str">
        <f>IFERROR(__xludf.DUMMYFUNCTION("split(split(K2457,""剛力彩芽、"",false),""公式LINE"",false)"),"【未解決事件 CASE.9“巨悪VS最後の司法取引""】  「匿名交渉課」の廃止が決定になる!そんな中、10年前に起こった疑惑の女性事務官殺人事件を探り始める!当時、被疑者が犯行を認めたにも関わらず、無実を訴える別の被疑者が起訴されていた。この事件には茶島と「匿名交渉課」を立ち上げた神楽坂が関わっていた…。驚きの巨悪の正体とは?この陰謀は暴けないのか…黒幕は誰なのか…衝撃の真実が待ち受ける!")</f>
        <v>【未解決事件 CASE.9“巨悪VS最後の司法取引"】  「匿名交渉課」の廃止が決定になる!そんな中、10年前に起こった疑惑の女性事務官殺人事件を探り始める!当時、被疑者が犯行を認めたにも関わらず、無実を訴える別の被疑者が起訴されていた。この事件には茶島と「匿名交渉課」を立ち上げた神楽坂が関わっていた…。驚きの巨悪の正体とは?この陰謀は暴けないのか…黒幕は誰なのか…衝撃の真実が待ち受ける!</v>
      </c>
      <c r="N2457" s="2"/>
      <c r="O2457" s="2"/>
      <c r="P2457" s="1"/>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c r="AN2457" s="1"/>
      <c r="AO2457" s="1"/>
      <c r="AP2457" s="1"/>
      <c r="AQ2457" s="1"/>
      <c r="AR2457" s="1"/>
      <c r="AS2457" s="1"/>
      <c r="AT2457" s="1"/>
      <c r="AU2457" s="1"/>
      <c r="AV2457" s="1"/>
      <c r="AW2457" s="1"/>
      <c r="AX2457" s="1"/>
      <c r="AY2457" s="1"/>
      <c r="AZ2457" s="1"/>
      <c r="BA2457" s="1"/>
      <c r="BB2457" s="1"/>
    </row>
    <row r="2458" ht="204.75" customHeight="1">
      <c r="A2458" s="1">
        <v>2344.0</v>
      </c>
      <c r="B2458" s="2" t="s">
        <v>7684</v>
      </c>
      <c r="C2458" s="2">
        <f>IFERROR(__xludf.DUMMYFUNCTION("split(B2458,""_"")"),1501.0)</f>
        <v>1501</v>
      </c>
      <c r="D2458" s="2" t="str">
        <f>IFERROR(__xludf.DUMMYFUNCTION("""COMPUTED_VALUE"""),"EX")</f>
        <v>EX</v>
      </c>
      <c r="E2458" s="2" t="str">
        <f>IFERROR(__xludf.DUMMYFUNCTION("""COMPUTED_VALUE"""),"木21")</f>
        <v>木21</v>
      </c>
      <c r="F2458" s="2" t="s">
        <v>7685</v>
      </c>
      <c r="G2458" s="2" t="s">
        <v>7686</v>
      </c>
      <c r="H2458" s="1">
        <v>1.0</v>
      </c>
      <c r="I2458" s="1" t="s">
        <v>2868</v>
      </c>
      <c r="J2458" s="1" t="s">
        <v>4</v>
      </c>
      <c r="K2458" s="4" t="s">
        <v>7687</v>
      </c>
      <c r="L2458" s="2"/>
      <c r="M2458" s="2" t="str">
        <f>IFERROR(__xludf.DUMMYFUNCTION("split(split(K2458,""沢村一樹、"",false),""公式LINE"",false)"),"『DOCTORS』待望のパート3がスタート!  たまき院長(野際陽子)が旅行中の間、森山が堂上総合病院の院長代理に!傍若無人な振る舞いを繰り返す森山。一方、相良は肝臓の血管に腫瘍ができた患者を救うため、難しい手術に挑もうとするも、その手術の成功の確率の低さを理由に森山に反対される。患者を救うため相良は動き出すが…!?")</f>
        <v>『DOCTORS』待望のパート3がスタート!  たまき院長(野際陽子)が旅行中の間、森山が堂上総合病院の院長代理に!傍若無人な振る舞いを繰り返す森山。一方、相良は肝臓の血管に腫瘍ができた患者を救うため、難しい手術に挑もうとするも、その手術の成功の確率の低さを理由に森山に反対される。患者を救うため相良は動き出すが…!?</v>
      </c>
      <c r="N2458" s="2"/>
      <c r="O2458" s="2"/>
      <c r="P2458" s="1"/>
      <c r="Q2458" s="1"/>
      <c r="R2458" s="1"/>
      <c r="S2458" s="1"/>
      <c r="T2458" s="1"/>
      <c r="U2458" s="1"/>
      <c r="V2458" s="1"/>
      <c r="W2458" s="1"/>
      <c r="X2458" s="1"/>
      <c r="Y2458" s="1"/>
      <c r="Z2458" s="1"/>
      <c r="AA2458" s="1"/>
      <c r="AB2458" s="1"/>
      <c r="AC2458" s="1"/>
      <c r="AD2458" s="1"/>
      <c r="AE2458" s="1"/>
      <c r="AF2458" s="1"/>
      <c r="AG2458" s="1"/>
      <c r="AH2458" s="1"/>
      <c r="AI2458" s="1"/>
      <c r="AJ2458" s="1"/>
      <c r="AK2458" s="1"/>
      <c r="AL2458" s="1"/>
      <c r="AM2458" s="1"/>
      <c r="AN2458" s="1"/>
      <c r="AO2458" s="1"/>
      <c r="AP2458" s="1"/>
      <c r="AQ2458" s="1"/>
      <c r="AR2458" s="1"/>
      <c r="AS2458" s="1"/>
      <c r="AT2458" s="1"/>
      <c r="AU2458" s="1"/>
      <c r="AV2458" s="1"/>
      <c r="AW2458" s="1"/>
      <c r="AX2458" s="1"/>
      <c r="AY2458" s="1"/>
      <c r="AZ2458" s="1"/>
      <c r="BA2458" s="1"/>
      <c r="BB2458" s="1"/>
    </row>
    <row r="2459" ht="204.75" customHeight="1">
      <c r="A2459" s="1">
        <v>2345.0</v>
      </c>
      <c r="B2459" s="2" t="s">
        <v>7684</v>
      </c>
      <c r="C2459" s="2">
        <f>IFERROR(__xludf.DUMMYFUNCTION("split(B2459,""_"")"),1501.0)</f>
        <v>1501</v>
      </c>
      <c r="D2459" s="2" t="str">
        <f>IFERROR(__xludf.DUMMYFUNCTION("""COMPUTED_VALUE"""),"EX")</f>
        <v>EX</v>
      </c>
      <c r="E2459" s="2" t="str">
        <f>IFERROR(__xludf.DUMMYFUNCTION("""COMPUTED_VALUE"""),"木21")</f>
        <v>木21</v>
      </c>
      <c r="F2459" s="2" t="s">
        <v>7685</v>
      </c>
      <c r="G2459" s="2" t="s">
        <v>7688</v>
      </c>
      <c r="H2459" s="1">
        <v>2.0</v>
      </c>
      <c r="I2459" s="1" t="s">
        <v>2872</v>
      </c>
      <c r="J2459" s="1" t="s">
        <v>11</v>
      </c>
      <c r="K2459" s="2" t="s">
        <v>7689</v>
      </c>
      <c r="L2459" s="11" t="s">
        <v>7690</v>
      </c>
      <c r="M2459" s="2" t="str">
        <f>IFERROR(__xludf.DUMMYFUNCTION("split(split(K2459,""沢村一樹、"",false),""公式LINE"",false)"),"院長代理に就任した森山(高嶋政伸)の暴挙が止まらない!ついには「病院内のすべてのことは自分が決める」と言い始め、病院内は混乱する!しかし、相良(沢村一樹)は何故か、森山の決定に従順にしたがう。そんな中、平松(西岡徳馬)という男性が緊急入院!同じ病棟に入院する武藤(志賀廣太郎)の姿を見て激しく動揺する…。2人の患者の間には何があったのか!?相良の新たな企みとは!?")</f>
        <v>院長代理に就任した森山(高嶋政伸)の暴挙が止まらない!ついには「病院内のすべてのことは自分が決める」と言い始め、病院内は混乱する!しかし、相良(沢村一樹)は何故か、森山の決定に従順にしたがう。そんな中、平松(西岡徳馬)という男性が緊急入院!同じ病棟に入院する武藤(志賀廣太郎)の姿を見て激しく動揺する…。2人の患者の間には何があったのか!?相良の新たな企みとは!?</v>
      </c>
      <c r="N2459" s="2"/>
      <c r="O2459" s="2"/>
      <c r="P2459" s="1"/>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c r="AQ2459" s="1"/>
      <c r="AR2459" s="1"/>
      <c r="AS2459" s="1"/>
      <c r="AT2459" s="1"/>
      <c r="AU2459" s="1"/>
      <c r="AV2459" s="1"/>
      <c r="AW2459" s="1"/>
      <c r="AX2459" s="1"/>
      <c r="AY2459" s="1"/>
      <c r="AZ2459" s="1"/>
      <c r="BA2459" s="1"/>
      <c r="BB2459" s="1"/>
    </row>
    <row r="2460" ht="204.75" customHeight="1">
      <c r="A2460" s="1">
        <v>2346.0</v>
      </c>
      <c r="B2460" s="2" t="s">
        <v>7684</v>
      </c>
      <c r="C2460" s="2">
        <f>IFERROR(__xludf.DUMMYFUNCTION("split(B2460,""_"")"),1501.0)</f>
        <v>1501</v>
      </c>
      <c r="D2460" s="2" t="str">
        <f>IFERROR(__xludf.DUMMYFUNCTION("""COMPUTED_VALUE"""),"EX")</f>
        <v>EX</v>
      </c>
      <c r="E2460" s="2" t="str">
        <f>IFERROR(__xludf.DUMMYFUNCTION("""COMPUTED_VALUE"""),"木21")</f>
        <v>木21</v>
      </c>
      <c r="F2460" s="2" t="s">
        <v>7685</v>
      </c>
      <c r="G2460" s="2" t="s">
        <v>7691</v>
      </c>
      <c r="H2460" s="1">
        <v>3.0</v>
      </c>
      <c r="I2460" s="1" t="s">
        <v>2876</v>
      </c>
      <c r="J2460" s="1" t="s">
        <v>11</v>
      </c>
      <c r="K2460" s="2" t="s">
        <v>7692</v>
      </c>
      <c r="L2460" s="11" t="s">
        <v>7693</v>
      </c>
      <c r="M2460" s="2" t="str">
        <f>IFERROR(__xludf.DUMMYFUNCTION("split(split(K2460,""沢村一樹、"",false),""公式LINE"",false)"),"高嶋政伸、比嘉愛未、黒川智花、宮地雅子、正名僕蔵、滝沢沙織、敦士、斉藤陽一郎、尾崎右宗、阿南敦子、浅利陽介、小野武彦、伊藤蘭、野際陽子 ほか福田靖樹下直美コブクロ『奇跡』(ワーナーミュージック・ジャパン)【ゼネラルプロデューサー】黒田徹也(テレビ朝日)、三輪祐見子(テレビ朝日)  【プロデューサー】松野千鶴子(アズバーズ)、神馬由季(アズバーズ)☆番組HP  　http://www.tv-asahi.co.jp/doctors/")</f>
        <v>高嶋政伸、比嘉愛未、黒川智花、宮地雅子、正名僕蔵、滝沢沙織、敦士、斉藤陽一郎、尾崎右宗、阿南敦子、浅利陽介、小野武彦、伊藤蘭、野際陽子 ほか福田靖樹下直美コブクロ『奇跡』(ワーナーミュージック・ジャパン)【ゼネラルプロデューサー】黒田徹也(テレビ朝日)、三輪祐見子(テレビ朝日)  【プロデューサー】松野千鶴子(アズバーズ)、神馬由季(アズバーズ)☆番組HP  　http://www.tv-asahi.co.jp/doctors/</v>
      </c>
      <c r="N2460" s="2"/>
      <c r="O2460" s="2"/>
      <c r="P2460" s="1"/>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c r="AQ2460" s="1"/>
      <c r="AR2460" s="1"/>
      <c r="AS2460" s="1"/>
      <c r="AT2460" s="1"/>
      <c r="AU2460" s="1"/>
      <c r="AV2460" s="1"/>
      <c r="AW2460" s="1"/>
      <c r="AX2460" s="1"/>
      <c r="AY2460" s="1"/>
      <c r="AZ2460" s="1"/>
      <c r="BA2460" s="1"/>
      <c r="BB2460" s="1"/>
    </row>
    <row r="2461" ht="204.75" customHeight="1">
      <c r="A2461" s="1">
        <v>2347.0</v>
      </c>
      <c r="B2461" s="2" t="s">
        <v>7684</v>
      </c>
      <c r="C2461" s="2">
        <f>IFERROR(__xludf.DUMMYFUNCTION("split(B2461,""_"")"),1501.0)</f>
        <v>1501</v>
      </c>
      <c r="D2461" s="2" t="str">
        <f>IFERROR(__xludf.DUMMYFUNCTION("""COMPUTED_VALUE"""),"EX")</f>
        <v>EX</v>
      </c>
      <c r="E2461" s="2" t="str">
        <f>IFERROR(__xludf.DUMMYFUNCTION("""COMPUTED_VALUE"""),"木21")</f>
        <v>木21</v>
      </c>
      <c r="F2461" s="2" t="s">
        <v>7685</v>
      </c>
      <c r="G2461" s="2" t="s">
        <v>7694</v>
      </c>
      <c r="H2461" s="1">
        <v>4.0</v>
      </c>
      <c r="I2461" s="1" t="s">
        <v>2880</v>
      </c>
      <c r="J2461" s="1" t="s">
        <v>11</v>
      </c>
      <c r="K2461" s="2" t="s">
        <v>7695</v>
      </c>
      <c r="L2461" s="11" t="s">
        <v>7696</v>
      </c>
      <c r="M2461" s="2" t="str">
        <f>IFERROR(__xludf.DUMMYFUNCTION("split(split(K2461,""沢村一樹、"",false),""公式LINE"",false)"),"たまきの頼みの綱の相良(沢村一樹)にも「僕はこの病院と心中する気はありませんよ」と見放すような発言をされてしまい、たまきは途方に暮れる。森山を見かねた“チーム森山""のメンバーたちは、病院を辞めることも検討に入れ始め…。")</f>
        <v>たまきの頼みの綱の相良(沢村一樹)にも「僕はこの病院と心中する気はありませんよ」と見放すような発言をされてしまい、たまきは途方に暮れる。森山を見かねた“チーム森山"のメンバーたちは、病院を辞めることも検討に入れ始め…。</v>
      </c>
      <c r="N2461" s="2"/>
      <c r="O2461" s="2"/>
      <c r="P2461" s="1"/>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c r="AN2461" s="1"/>
      <c r="AO2461" s="1"/>
      <c r="AP2461" s="1"/>
      <c r="AQ2461" s="1"/>
      <c r="AR2461" s="1"/>
      <c r="AS2461" s="1"/>
      <c r="AT2461" s="1"/>
      <c r="AU2461" s="1"/>
      <c r="AV2461" s="1"/>
      <c r="AW2461" s="1"/>
      <c r="AX2461" s="1"/>
      <c r="AY2461" s="1"/>
      <c r="AZ2461" s="1"/>
      <c r="BA2461" s="1"/>
      <c r="BB2461" s="1"/>
    </row>
    <row r="2462" ht="204.75" customHeight="1">
      <c r="A2462" s="1">
        <v>2348.0</v>
      </c>
      <c r="B2462" s="2" t="s">
        <v>7684</v>
      </c>
      <c r="C2462" s="2">
        <f>IFERROR(__xludf.DUMMYFUNCTION("split(B2462,""_"")"),1501.0)</f>
        <v>1501</v>
      </c>
      <c r="D2462" s="2" t="str">
        <f>IFERROR(__xludf.DUMMYFUNCTION("""COMPUTED_VALUE"""),"EX")</f>
        <v>EX</v>
      </c>
      <c r="E2462" s="2" t="str">
        <f>IFERROR(__xludf.DUMMYFUNCTION("""COMPUTED_VALUE"""),"木21")</f>
        <v>木21</v>
      </c>
      <c r="F2462" s="2" t="s">
        <v>7685</v>
      </c>
      <c r="G2462" s="2" t="s">
        <v>7697</v>
      </c>
      <c r="H2462" s="1">
        <v>5.0</v>
      </c>
      <c r="I2462" s="1" t="s">
        <v>2884</v>
      </c>
      <c r="J2462" s="1" t="s">
        <v>11</v>
      </c>
      <c r="K2462" s="2" t="s">
        <v>7698</v>
      </c>
      <c r="L2462" s="11" t="s">
        <v>7699</v>
      </c>
      <c r="M2462" s="2" t="str">
        <f>IFERROR(__xludf.DUMMYFUNCTION("split(split(K2462,""沢村一樹、"",false),""公式LINE"",false)"),"一方、相良(沢村一樹)は、直腸がんを患った男性患者・小金沢芳雄(市川勇)が搬送されてくるが、男性は金銭的理由から手術が困難で、小金沢の息子・春樹(柏原収史)に援助を頼むも「縁は切れている…」と断られてしまいー。")</f>
        <v>一方、相良(沢村一樹)は、直腸がんを患った男性患者・小金沢芳雄(市川勇)が搬送されてくるが、男性は金銭的理由から手術が困難で、小金沢の息子・春樹(柏原収史)に援助を頼むも「縁は切れている…」と断られてしまいー。</v>
      </c>
      <c r="N2462" s="2"/>
      <c r="O2462" s="2"/>
      <c r="P2462" s="1"/>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c r="AN2462" s="1"/>
      <c r="AO2462" s="1"/>
      <c r="AP2462" s="1"/>
      <c r="AQ2462" s="1"/>
      <c r="AR2462" s="1"/>
      <c r="AS2462" s="1"/>
      <c r="AT2462" s="1"/>
      <c r="AU2462" s="1"/>
      <c r="AV2462" s="1"/>
      <c r="AW2462" s="1"/>
      <c r="AX2462" s="1"/>
      <c r="AY2462" s="1"/>
      <c r="AZ2462" s="1"/>
      <c r="BA2462" s="1"/>
      <c r="BB2462" s="1"/>
    </row>
    <row r="2463" ht="204.75" customHeight="1">
      <c r="A2463" s="1">
        <v>2349.0</v>
      </c>
      <c r="B2463" s="2" t="s">
        <v>7684</v>
      </c>
      <c r="C2463" s="2">
        <f>IFERROR(__xludf.DUMMYFUNCTION("split(B2463,""_"")"),1501.0)</f>
        <v>1501</v>
      </c>
      <c r="D2463" s="2" t="str">
        <f>IFERROR(__xludf.DUMMYFUNCTION("""COMPUTED_VALUE"""),"EX")</f>
        <v>EX</v>
      </c>
      <c r="E2463" s="2" t="str">
        <f>IFERROR(__xludf.DUMMYFUNCTION("""COMPUTED_VALUE"""),"木21")</f>
        <v>木21</v>
      </c>
      <c r="F2463" s="2" t="s">
        <v>7685</v>
      </c>
      <c r="G2463" s="2" t="s">
        <v>7700</v>
      </c>
      <c r="H2463" s="1">
        <v>6.0</v>
      </c>
      <c r="I2463" s="1" t="s">
        <v>2888</v>
      </c>
      <c r="J2463" s="1" t="s">
        <v>11</v>
      </c>
      <c r="K2463" s="2" t="s">
        <v>7701</v>
      </c>
      <c r="L2463" s="11" t="s">
        <v>7702</v>
      </c>
      <c r="M2463" s="2" t="str">
        <f>IFERROR(__xludf.DUMMYFUNCTION("split(split(K2463,""沢村一樹、"",false),""公式LINE"",false)"),"そんな折、堂上総合病院を傘下に入れようと『医療法人グループ 満潤会』の会長・満堂潤三郎(大和田伸也)が、堂上たまき(野際陽子)のもとにやってくる。強引な利益至上主義で有名な満潤会に「堂上を売り渡すわけにはいかない」と、たまきらは断固として要請を突っぱねるが…?")</f>
        <v>そんな折、堂上総合病院を傘下に入れようと『医療法人グループ 満潤会』の会長・満堂潤三郎(大和田伸也)が、堂上たまき(野際陽子)のもとにやってくる。強引な利益至上主義で有名な満潤会に「堂上を売り渡すわけにはいかない」と、たまきらは断固として要請を突っぱねるが…?</v>
      </c>
      <c r="N2463" s="2"/>
      <c r="O2463" s="2"/>
      <c r="P2463" s="1"/>
      <c r="Q2463" s="1"/>
      <c r="R2463" s="1"/>
      <c r="S2463" s="1"/>
      <c r="T2463" s="1"/>
      <c r="U2463" s="1"/>
      <c r="V2463" s="1"/>
      <c r="W2463" s="1"/>
      <c r="X2463" s="1"/>
      <c r="Y2463" s="1"/>
      <c r="Z2463" s="1"/>
      <c r="AA2463" s="1"/>
      <c r="AB2463" s="1"/>
      <c r="AC2463" s="1"/>
      <c r="AD2463" s="1"/>
      <c r="AE2463" s="1"/>
      <c r="AF2463" s="1"/>
      <c r="AG2463" s="1"/>
      <c r="AH2463" s="1"/>
      <c r="AI2463" s="1"/>
      <c r="AJ2463" s="1"/>
      <c r="AK2463" s="1"/>
      <c r="AL2463" s="1"/>
      <c r="AM2463" s="1"/>
      <c r="AN2463" s="1"/>
      <c r="AO2463" s="1"/>
      <c r="AP2463" s="1"/>
      <c r="AQ2463" s="1"/>
      <c r="AR2463" s="1"/>
      <c r="AS2463" s="1"/>
      <c r="AT2463" s="1"/>
      <c r="AU2463" s="1"/>
      <c r="AV2463" s="1"/>
      <c r="AW2463" s="1"/>
      <c r="AX2463" s="1"/>
      <c r="AY2463" s="1"/>
      <c r="AZ2463" s="1"/>
      <c r="BA2463" s="1"/>
      <c r="BB2463" s="1"/>
    </row>
    <row r="2464" ht="204.75" customHeight="1">
      <c r="A2464" s="1">
        <v>2350.0</v>
      </c>
      <c r="B2464" s="2" t="s">
        <v>7684</v>
      </c>
      <c r="C2464" s="2">
        <f>IFERROR(__xludf.DUMMYFUNCTION("split(B2464,""_"")"),1501.0)</f>
        <v>1501</v>
      </c>
      <c r="D2464" s="2" t="str">
        <f>IFERROR(__xludf.DUMMYFUNCTION("""COMPUTED_VALUE"""),"EX")</f>
        <v>EX</v>
      </c>
      <c r="E2464" s="2" t="str">
        <f>IFERROR(__xludf.DUMMYFUNCTION("""COMPUTED_VALUE"""),"木21")</f>
        <v>木21</v>
      </c>
      <c r="F2464" s="2" t="s">
        <v>7685</v>
      </c>
      <c r="G2464" s="2" t="s">
        <v>7703</v>
      </c>
      <c r="H2464" s="1">
        <v>7.0</v>
      </c>
      <c r="I2464" s="1" t="s">
        <v>2892</v>
      </c>
      <c r="J2464" s="1" t="s">
        <v>11</v>
      </c>
      <c r="K2464" s="2" t="s">
        <v>7704</v>
      </c>
      <c r="L2464" s="11" t="s">
        <v>7705</v>
      </c>
      <c r="M2464" s="2" t="str">
        <f>IFERROR(__xludf.DUMMYFUNCTION("split(split(K2464,""沢村一樹、"",false),""公式LINE"",false)"),"満潤会にうまく言いくるめられた森山は、院長のたまき(野際陽子)に「今すぐ病院を継がせてほしい」と懇願。だが「いいドクターになったら…」と言われ、森山は困惑してしまう…。 一方、相良は、佐々井(正名僕蔵)ら“チーム森山""の評判を上げる作戦を企てる。どんどん評判を上げていく周りのドクターたちを見て焦る森山。  果たして、森山は答えを見つけることができるのか?相良のその作戦の狙いとは!?")</f>
        <v>満潤会にうまく言いくるめられた森山は、院長のたまき(野際陽子)に「今すぐ病院を継がせてほしい」と懇願。だが「いいドクターになったら…」と言われ、森山は困惑してしまう…。 一方、相良は、佐々井(正名僕蔵)ら“チーム森山"の評判を上げる作戦を企てる。どんどん評判を上げていく周りのドクターたちを見て焦る森山。  果たして、森山は答えを見つけることができるのか?相良のその作戦の狙いとは!?</v>
      </c>
      <c r="N2464" s="2"/>
      <c r="O2464" s="2"/>
      <c r="P2464" s="1"/>
      <c r="Q2464" s="1"/>
      <c r="R2464" s="1"/>
      <c r="S2464" s="1"/>
      <c r="T2464" s="1"/>
      <c r="U2464" s="1"/>
      <c r="V2464" s="1"/>
      <c r="W2464" s="1"/>
      <c r="X2464" s="1"/>
      <c r="Y2464" s="1"/>
      <c r="Z2464" s="1"/>
      <c r="AA2464" s="1"/>
      <c r="AB2464" s="1"/>
      <c r="AC2464" s="1"/>
      <c r="AD2464" s="1"/>
      <c r="AE2464" s="1"/>
      <c r="AF2464" s="1"/>
      <c r="AG2464" s="1"/>
      <c r="AH2464" s="1"/>
      <c r="AI2464" s="1"/>
      <c r="AJ2464" s="1"/>
      <c r="AK2464" s="1"/>
      <c r="AL2464" s="1"/>
      <c r="AM2464" s="1"/>
      <c r="AN2464" s="1"/>
      <c r="AO2464" s="1"/>
      <c r="AP2464" s="1"/>
      <c r="AQ2464" s="1"/>
      <c r="AR2464" s="1"/>
      <c r="AS2464" s="1"/>
      <c r="AT2464" s="1"/>
      <c r="AU2464" s="1"/>
      <c r="AV2464" s="1"/>
      <c r="AW2464" s="1"/>
      <c r="AX2464" s="1"/>
      <c r="AY2464" s="1"/>
      <c r="AZ2464" s="1"/>
      <c r="BA2464" s="1"/>
      <c r="BB2464" s="1"/>
    </row>
    <row r="2465" ht="204.75" customHeight="1">
      <c r="A2465" s="1">
        <v>2351.0</v>
      </c>
      <c r="B2465" s="2" t="s">
        <v>7684</v>
      </c>
      <c r="C2465" s="2">
        <f>IFERROR(__xludf.DUMMYFUNCTION("split(B2465,""_"")"),1501.0)</f>
        <v>1501</v>
      </c>
      <c r="D2465" s="2" t="str">
        <f>IFERROR(__xludf.DUMMYFUNCTION("""COMPUTED_VALUE"""),"EX")</f>
        <v>EX</v>
      </c>
      <c r="E2465" s="2" t="str">
        <f>IFERROR(__xludf.DUMMYFUNCTION("""COMPUTED_VALUE"""),"木21")</f>
        <v>木21</v>
      </c>
      <c r="F2465" s="2" t="s">
        <v>7685</v>
      </c>
      <c r="G2465" s="2" t="s">
        <v>7706</v>
      </c>
      <c r="H2465" s="1">
        <v>8.0</v>
      </c>
      <c r="I2465" s="1" t="s">
        <v>2896</v>
      </c>
      <c r="J2465" s="1" t="s">
        <v>11</v>
      </c>
      <c r="K2465" s="2" t="s">
        <v>7707</v>
      </c>
      <c r="L2465" s="11" t="s">
        <v>7708</v>
      </c>
      <c r="M2465" s="2" t="str">
        <f>IFERROR(__xludf.DUMMYFUNCTION("split(split(K2465,""沢村一樹、"",false),""公式LINE"",false)"),"しかし、満潤会の会長・満堂潤三郎(大和田伸也)からのある言葉が、森山の心を180度転換させることになり…。一方、相良は、肝臓と心臓に疾患を持った患者・浩子(阿知波悟美)の手術方法を熟考するが…?")</f>
        <v>しかし、満潤会の会長・満堂潤三郎(大和田伸也)からのある言葉が、森山の心を180度転換させることになり…。一方、相良は、肝臓と心臓に疾患を持った患者・浩子(阿知波悟美)の手術方法を熟考するが…?</v>
      </c>
      <c r="N2465" s="2"/>
      <c r="O2465" s="2"/>
      <c r="P2465" s="1"/>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c r="AN2465" s="1"/>
      <c r="AO2465" s="1"/>
      <c r="AP2465" s="1"/>
      <c r="AQ2465" s="1"/>
      <c r="AR2465" s="1"/>
      <c r="AS2465" s="1"/>
      <c r="AT2465" s="1"/>
      <c r="AU2465" s="1"/>
      <c r="AV2465" s="1"/>
      <c r="AW2465" s="1"/>
      <c r="AX2465" s="1"/>
      <c r="AY2465" s="1"/>
      <c r="AZ2465" s="1"/>
      <c r="BA2465" s="1"/>
      <c r="BB2465" s="1"/>
    </row>
    <row r="2466" ht="204.75" customHeight="1">
      <c r="A2466" s="1">
        <v>2352.0</v>
      </c>
      <c r="B2466" s="2" t="s">
        <v>7684</v>
      </c>
      <c r="C2466" s="2">
        <f>IFERROR(__xludf.DUMMYFUNCTION("split(B2466,""_"")"),1501.0)</f>
        <v>1501</v>
      </c>
      <c r="D2466" s="2" t="str">
        <f>IFERROR(__xludf.DUMMYFUNCTION("""COMPUTED_VALUE"""),"EX")</f>
        <v>EX</v>
      </c>
      <c r="E2466" s="2" t="str">
        <f>IFERROR(__xludf.DUMMYFUNCTION("""COMPUTED_VALUE"""),"木21")</f>
        <v>木21</v>
      </c>
      <c r="F2466" s="2" t="s">
        <v>7685</v>
      </c>
      <c r="G2466" s="2" t="s">
        <v>7709</v>
      </c>
      <c r="H2466" s="1">
        <v>9.0</v>
      </c>
      <c r="I2466" s="1" t="s">
        <v>2900</v>
      </c>
      <c r="J2466" s="1" t="s">
        <v>4</v>
      </c>
      <c r="K2466" s="2" t="s">
        <v>7710</v>
      </c>
      <c r="L2466" s="11" t="s">
        <v>7711</v>
      </c>
      <c r="M2466" s="2" t="str">
        <f>IFERROR(__xludf.DUMMYFUNCTION("split(split(K2466,""沢村一樹、"",false),""公式LINE"",false)"),"生体ドミノ肝移植手術という、難易度の高い手術に臨む堂上のドクターたちだが、森山(高嶋政伸)だけは参加を拒否。どうにか森山の心を変えさせたい相良の最後の策略とは…?  相良は森山の心を動かし、堂上総合病院を守ることができるのか?そして、堂上総合病院での生体ドミノ肝移植手術は成功するのか?")</f>
        <v>生体ドミノ肝移植手術という、難易度の高い手術に臨む堂上のドクターたちだが、森山(高嶋政伸)だけは参加を拒否。どうにか森山の心を変えさせたい相良の最後の策略とは…?  相良は森山の心を動かし、堂上総合病院を守ることができるのか?そして、堂上総合病院での生体ドミノ肝移植手術は成功するのか?</v>
      </c>
      <c r="N2466" s="2"/>
      <c r="O2466" s="2"/>
      <c r="P2466" s="1"/>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c r="AN2466" s="1"/>
      <c r="AO2466" s="1"/>
      <c r="AP2466" s="1"/>
      <c r="AQ2466" s="1"/>
      <c r="AR2466" s="1"/>
      <c r="AS2466" s="1"/>
      <c r="AT2466" s="1"/>
      <c r="AU2466" s="1"/>
      <c r="AV2466" s="1"/>
      <c r="AW2466" s="1"/>
      <c r="AX2466" s="1"/>
      <c r="AY2466" s="1"/>
      <c r="AZ2466" s="1"/>
      <c r="BA2466" s="1"/>
      <c r="BB2466" s="1"/>
    </row>
    <row r="2467" ht="204.75" customHeight="1">
      <c r="A2467" s="1">
        <v>2385.0</v>
      </c>
      <c r="B2467" s="2" t="s">
        <v>7712</v>
      </c>
      <c r="C2467" s="2">
        <f>IFERROR(__xludf.DUMMYFUNCTION("split(B2467,""_"")"),1501.0)</f>
        <v>1501</v>
      </c>
      <c r="D2467" s="2" t="str">
        <f>IFERROR(__xludf.DUMMYFUNCTION("""COMPUTED_VALUE"""),"EX")</f>
        <v>EX</v>
      </c>
      <c r="E2467" s="2" t="str">
        <f>IFERROR(__xludf.DUMMYFUNCTION("""COMPUTED_VALUE"""),"金23")</f>
        <v>金23</v>
      </c>
      <c r="F2467" s="2" t="s">
        <v>7713</v>
      </c>
      <c r="G2467" s="2" t="s">
        <v>7714</v>
      </c>
      <c r="H2467" s="1">
        <v>1.0</v>
      </c>
      <c r="I2467" s="1" t="s">
        <v>2868</v>
      </c>
      <c r="J2467" s="1" t="s">
        <v>1435</v>
      </c>
      <c r="K2467" s="4" t="s">
        <v>7715</v>
      </c>
      <c r="L2467" s="11" t="s">
        <v>7716</v>
      </c>
      <c r="M2467" s="2" t="str">
        <f>IFERROR(__xludf.DUMMYFUNCTION("split(split(K2467,""亀梨和也、"",false),""公式LINE"",false)"),"才能を持ちながらステージに立つ機会を失ったコンテンポラリーダンサー・平慶(亀梨和也)と、同僚との不倫関係から抜け出せない高校教師・西原結唯(深田恭子)。  ある日カンパニーから試験の不合格を言い渡され、失望のどん底にいた慶だったが、偶然見かけた結唯の姿にまるで吸い込まれるかのように心を奪われる。それからというもの学校の正門に姿を現すようになった慶。生徒のストーカーではないか、と不穏な空気に包まれて…")</f>
        <v>才能を持ちながらステージに立つ機会を失ったコンテンポラリーダンサー・平慶(亀梨和也)と、同僚との不倫関係から抜け出せない高校教師・西原結唯(深田恭子)。  ある日カンパニーから試験の不合格を言い渡され、失望のどん底にいた慶だったが、偶然見かけた結唯の姿にまるで吸い込まれるかのように心を奪われる。それからというもの学校の正門に姿を現すようになった慶。生徒のストーカーではないか、と不穏な空気に包まれて…</v>
      </c>
      <c r="N2467" s="2"/>
      <c r="O2467" s="2"/>
      <c r="P2467" s="1"/>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c r="AN2467" s="1"/>
      <c r="AO2467" s="1"/>
      <c r="AP2467" s="1"/>
      <c r="AQ2467" s="1"/>
      <c r="AR2467" s="1"/>
      <c r="AS2467" s="1"/>
      <c r="AT2467" s="1"/>
      <c r="AU2467" s="1"/>
      <c r="AV2467" s="1"/>
      <c r="AW2467" s="1"/>
      <c r="AX2467" s="1"/>
      <c r="AY2467" s="1"/>
      <c r="AZ2467" s="1"/>
      <c r="BA2467" s="1"/>
      <c r="BB2467" s="1"/>
    </row>
    <row r="2468" ht="204.75" customHeight="1">
      <c r="A2468" s="1">
        <v>2386.0</v>
      </c>
      <c r="B2468" s="2" t="s">
        <v>7712</v>
      </c>
      <c r="C2468" s="2">
        <f>IFERROR(__xludf.DUMMYFUNCTION("split(B2468,""_"")"),1501.0)</f>
        <v>1501</v>
      </c>
      <c r="D2468" s="2" t="str">
        <f>IFERROR(__xludf.DUMMYFUNCTION("""COMPUTED_VALUE"""),"EX")</f>
        <v>EX</v>
      </c>
      <c r="E2468" s="2" t="str">
        <f>IFERROR(__xludf.DUMMYFUNCTION("""COMPUTED_VALUE"""),"金23")</f>
        <v>金23</v>
      </c>
      <c r="F2468" s="2" t="s">
        <v>7713</v>
      </c>
      <c r="G2468" s="2" t="s">
        <v>7717</v>
      </c>
      <c r="H2468" s="1">
        <v>2.0</v>
      </c>
      <c r="I2468" s="1" t="s">
        <v>2872</v>
      </c>
      <c r="J2468" s="1" t="s">
        <v>1435</v>
      </c>
      <c r="K2468" s="2" t="s">
        <v>7718</v>
      </c>
      <c r="L2468" s="11" t="s">
        <v>7719</v>
      </c>
      <c r="M2468" s="2" t="str">
        <f>IFERROR(__xludf.DUMMYFUNCTION("split(split(K2468,""亀梨和也、"",false),""公式LINE"",false)"),"才能を持ちながらステージに立つ機会を失ったコンテンポラリーダンサー・平慶(亀梨和也)と、同僚との不倫関係から抜け出せない高校教師・西原結唯(深田恭子)。二人が運命の出会いを果たし、捨て身の激愛に溺れていく…。その関係に気づいた結唯の不倫相手・高柳(生瀬勝久)と、慶の幼なじみ・綾子(早見あかり)の行動が、二人の関係に暗雲をもたらしていく…。")</f>
        <v>才能を持ちながらステージに立つ機会を失ったコンテンポラリーダンサー・平慶(亀梨和也)と、同僚との不倫関係から抜け出せない高校教師・西原結唯(深田恭子)。二人が運命の出会いを果たし、捨て身の激愛に溺れていく…。その関係に気づいた結唯の不倫相手・高柳(生瀬勝久)と、慶の幼なじみ・綾子(早見あかり)の行動が、二人の関係に暗雲をもたらしていく…。</v>
      </c>
      <c r="N2468" s="2"/>
      <c r="O2468" s="2"/>
      <c r="P2468" s="1"/>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c r="AQ2468" s="1"/>
      <c r="AR2468" s="1"/>
      <c r="AS2468" s="1"/>
      <c r="AT2468" s="1"/>
      <c r="AU2468" s="1"/>
      <c r="AV2468" s="1"/>
      <c r="AW2468" s="1"/>
      <c r="AX2468" s="1"/>
      <c r="AY2468" s="1"/>
      <c r="AZ2468" s="1"/>
      <c r="BA2468" s="1"/>
      <c r="BB2468" s="1"/>
    </row>
    <row r="2469" ht="204.75" customHeight="1">
      <c r="A2469" s="1">
        <v>2387.0</v>
      </c>
      <c r="B2469" s="2" t="s">
        <v>7712</v>
      </c>
      <c r="C2469" s="2">
        <f>IFERROR(__xludf.DUMMYFUNCTION("split(B2469,""_"")"),1501.0)</f>
        <v>1501</v>
      </c>
      <c r="D2469" s="2" t="str">
        <f>IFERROR(__xludf.DUMMYFUNCTION("""COMPUTED_VALUE"""),"EX")</f>
        <v>EX</v>
      </c>
      <c r="E2469" s="2" t="str">
        <f>IFERROR(__xludf.DUMMYFUNCTION("""COMPUTED_VALUE"""),"金23")</f>
        <v>金23</v>
      </c>
      <c r="F2469" s="2" t="s">
        <v>7713</v>
      </c>
      <c r="G2469" s="2" t="s">
        <v>7720</v>
      </c>
      <c r="H2469" s="1">
        <v>3.0</v>
      </c>
      <c r="I2469" s="1" t="s">
        <v>2876</v>
      </c>
      <c r="J2469" s="1" t="s">
        <v>1435</v>
      </c>
      <c r="K2469" s="2" t="s">
        <v>7721</v>
      </c>
      <c r="L2469" s="11" t="s">
        <v>7722</v>
      </c>
      <c r="M2469" s="2" t="str">
        <f>IFERROR(__xludf.DUMMYFUNCTION("split(split(K2469,""亀梨和也、"",false),""公式LINE"",false)"),"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慶と共に過ごすため、結唯は母・真理子(麻生祐未)、不倫相手の高柳(生瀬勝久)をそれぞれ説得しようと試みるが…!?")</f>
        <v>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慶と共に過ごすため、結唯は母・真理子(麻生祐未)、不倫相手の高柳(生瀬勝久)をそれぞれ説得しようと試みるが…!?</v>
      </c>
      <c r="N2469" s="2"/>
      <c r="O2469" s="2"/>
      <c r="P2469" s="1"/>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c r="AN2469" s="1"/>
      <c r="AO2469" s="1"/>
      <c r="AP2469" s="1"/>
      <c r="AQ2469" s="1"/>
      <c r="AR2469" s="1"/>
      <c r="AS2469" s="1"/>
      <c r="AT2469" s="1"/>
      <c r="AU2469" s="1"/>
      <c r="AV2469" s="1"/>
      <c r="AW2469" s="1"/>
      <c r="AX2469" s="1"/>
      <c r="AY2469" s="1"/>
      <c r="AZ2469" s="1"/>
      <c r="BA2469" s="1"/>
      <c r="BB2469" s="1"/>
    </row>
    <row r="2470" ht="204.75" customHeight="1">
      <c r="A2470" s="1">
        <v>2388.0</v>
      </c>
      <c r="B2470" s="2" t="s">
        <v>7712</v>
      </c>
      <c r="C2470" s="2">
        <f>IFERROR(__xludf.DUMMYFUNCTION("split(B2470,""_"")"),1501.0)</f>
        <v>1501</v>
      </c>
      <c r="D2470" s="2" t="str">
        <f>IFERROR(__xludf.DUMMYFUNCTION("""COMPUTED_VALUE"""),"EX")</f>
        <v>EX</v>
      </c>
      <c r="E2470" s="2" t="str">
        <f>IFERROR(__xludf.DUMMYFUNCTION("""COMPUTED_VALUE"""),"金23")</f>
        <v>金23</v>
      </c>
      <c r="F2470" s="2" t="s">
        <v>7713</v>
      </c>
      <c r="G2470" s="2" t="s">
        <v>7723</v>
      </c>
      <c r="H2470" s="1">
        <v>4.0</v>
      </c>
      <c r="I2470" s="1" t="s">
        <v>2880</v>
      </c>
      <c r="J2470" s="1" t="s">
        <v>1435</v>
      </c>
      <c r="K2470" s="2" t="s">
        <v>7724</v>
      </c>
      <c r="L2470" s="11" t="s">
        <v>7725</v>
      </c>
      <c r="M2470" s="2" t="str">
        <f>IFERROR(__xludf.DUMMYFUNCTION("split(split(K2470,""亀梨和也、"",false),""公式LINE"",false)"),"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苦悩しながらも、ドイツのダンスカンパニーの日本公演時に通訳の仕事を始めることを決断した慶だったが、そこで人生をガラリと変えるような出来事に遭遇する…!")</f>
        <v>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苦悩しながらも、ドイツのダンスカンパニーの日本公演時に通訳の仕事を始めることを決断した慶だったが、そこで人生をガラリと変えるような出来事に遭遇する…!</v>
      </c>
      <c r="N2470" s="2"/>
      <c r="O2470" s="2"/>
      <c r="P2470" s="1"/>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c r="AN2470" s="1"/>
      <c r="AO2470" s="1"/>
      <c r="AP2470" s="1"/>
      <c r="AQ2470" s="1"/>
      <c r="AR2470" s="1"/>
      <c r="AS2470" s="1"/>
      <c r="AT2470" s="1"/>
      <c r="AU2470" s="1"/>
      <c r="AV2470" s="1"/>
      <c r="AW2470" s="1"/>
      <c r="AX2470" s="1"/>
      <c r="AY2470" s="1"/>
      <c r="AZ2470" s="1"/>
      <c r="BA2470" s="1"/>
      <c r="BB2470" s="1"/>
    </row>
    <row r="2471" ht="204.75" customHeight="1">
      <c r="A2471" s="1">
        <v>2389.0</v>
      </c>
      <c r="B2471" s="2" t="s">
        <v>7712</v>
      </c>
      <c r="C2471" s="2">
        <f>IFERROR(__xludf.DUMMYFUNCTION("split(B2471,""_"")"),1501.0)</f>
        <v>1501</v>
      </c>
      <c r="D2471" s="2" t="str">
        <f>IFERROR(__xludf.DUMMYFUNCTION("""COMPUTED_VALUE"""),"EX")</f>
        <v>EX</v>
      </c>
      <c r="E2471" s="2" t="str">
        <f>IFERROR(__xludf.DUMMYFUNCTION("""COMPUTED_VALUE"""),"金23")</f>
        <v>金23</v>
      </c>
      <c r="F2471" s="2" t="s">
        <v>7713</v>
      </c>
      <c r="G2471" s="2" t="s">
        <v>7726</v>
      </c>
      <c r="H2471" s="1">
        <v>5.0</v>
      </c>
      <c r="I2471" s="1" t="s">
        <v>2884</v>
      </c>
      <c r="J2471" s="1" t="s">
        <v>1435</v>
      </c>
      <c r="K2471" s="2" t="s">
        <v>7727</v>
      </c>
      <c r="L2471" s="11" t="s">
        <v>7728</v>
      </c>
      <c r="M2471" s="2" t="str">
        <f>IFERROR(__xludf.DUMMYFUNCTION("split(split(K2471,""亀梨和也、"",false),""公式LINE"",false)"),"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振付師として脚光を浴びるようになった慶に対し、結唯は少しずつ遠く感じるようになっていた。そんな折、結唯の元不倫相手・高柳(生瀬勝久)は結唯への執着心からとんでもない行動に出てしまう…!")</f>
        <v>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振付師として脚光を浴びるようになった慶に対し、結唯は少しずつ遠く感じるようになっていた。そんな折、結唯の元不倫相手・高柳(生瀬勝久)は結唯への執着心からとんでもない行動に出てしまう…!</v>
      </c>
      <c r="N2471" s="2"/>
      <c r="O2471" s="2"/>
      <c r="P2471" s="1"/>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c r="AN2471" s="1"/>
      <c r="AO2471" s="1"/>
      <c r="AP2471" s="1"/>
      <c r="AQ2471" s="1"/>
      <c r="AR2471" s="1"/>
      <c r="AS2471" s="1"/>
      <c r="AT2471" s="1"/>
      <c r="AU2471" s="1"/>
      <c r="AV2471" s="1"/>
      <c r="AW2471" s="1"/>
      <c r="AX2471" s="1"/>
      <c r="AY2471" s="1"/>
      <c r="AZ2471" s="1"/>
      <c r="BA2471" s="1"/>
      <c r="BB2471" s="1"/>
    </row>
    <row r="2472" ht="204.75" customHeight="1">
      <c r="A2472" s="1">
        <v>2390.0</v>
      </c>
      <c r="B2472" s="2" t="s">
        <v>7712</v>
      </c>
      <c r="C2472" s="2">
        <f>IFERROR(__xludf.DUMMYFUNCTION("split(B2472,""_"")"),1501.0)</f>
        <v>1501</v>
      </c>
      <c r="D2472" s="2" t="str">
        <f>IFERROR(__xludf.DUMMYFUNCTION("""COMPUTED_VALUE"""),"EX")</f>
        <v>EX</v>
      </c>
      <c r="E2472" s="2" t="str">
        <f>IFERROR(__xludf.DUMMYFUNCTION("""COMPUTED_VALUE"""),"金23")</f>
        <v>金23</v>
      </c>
      <c r="F2472" s="2" t="s">
        <v>7713</v>
      </c>
      <c r="G2472" s="2" t="s">
        <v>7729</v>
      </c>
      <c r="H2472" s="1">
        <v>6.0</v>
      </c>
      <c r="I2472" s="1" t="s">
        <v>2888</v>
      </c>
      <c r="J2472" s="1" t="s">
        <v>1435</v>
      </c>
      <c r="K2472" s="2" t="s">
        <v>7730</v>
      </c>
      <c r="L2472" s="11" t="s">
        <v>7731</v>
      </c>
      <c r="M2472" s="2" t="str">
        <f>IFERROR(__xludf.DUMMYFUNCTION("split(split(K2472,""亀梨和也、"",false),""公式LINE"",false)"),"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振り付けの仕事でロンドンへ渡った慶は、結唯に一切連絡を入れず予定よりも早く帰国。目まぐるしく変化していく環境の中、どんどんすれ違っていく慶と結唯。やがて二人は相手を想うからこその決断を下す!")</f>
        <v>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振り付けの仕事でロンドンへ渡った慶は、結唯に一切連絡を入れず予定よりも早く帰国。目まぐるしく変化していく環境の中、どんどんすれ違っていく慶と結唯。やがて二人は相手を想うからこその決断を下す!</v>
      </c>
      <c r="N2472" s="2"/>
      <c r="O2472" s="2"/>
      <c r="P2472" s="1"/>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c r="AN2472" s="1"/>
      <c r="AO2472" s="1"/>
      <c r="AP2472" s="1"/>
      <c r="AQ2472" s="1"/>
      <c r="AR2472" s="1"/>
      <c r="AS2472" s="1"/>
      <c r="AT2472" s="1"/>
      <c r="AU2472" s="1"/>
      <c r="AV2472" s="1"/>
      <c r="AW2472" s="1"/>
      <c r="AX2472" s="1"/>
      <c r="AY2472" s="1"/>
      <c r="AZ2472" s="1"/>
      <c r="BA2472" s="1"/>
      <c r="BB2472" s="1"/>
    </row>
    <row r="2473" ht="204.75" customHeight="1">
      <c r="A2473" s="1">
        <v>2391.0</v>
      </c>
      <c r="B2473" s="2" t="s">
        <v>7712</v>
      </c>
      <c r="C2473" s="2">
        <f>IFERROR(__xludf.DUMMYFUNCTION("split(B2473,""_"")"),1501.0)</f>
        <v>1501</v>
      </c>
      <c r="D2473" s="2" t="str">
        <f>IFERROR(__xludf.DUMMYFUNCTION("""COMPUTED_VALUE"""),"EX")</f>
        <v>EX</v>
      </c>
      <c r="E2473" s="2" t="str">
        <f>IFERROR(__xludf.DUMMYFUNCTION("""COMPUTED_VALUE"""),"金23")</f>
        <v>金23</v>
      </c>
      <c r="F2473" s="2" t="s">
        <v>7713</v>
      </c>
      <c r="G2473" s="2" t="s">
        <v>7732</v>
      </c>
      <c r="H2473" s="1">
        <v>7.0</v>
      </c>
      <c r="I2473" s="1" t="s">
        <v>2892</v>
      </c>
      <c r="J2473" s="1" t="s">
        <v>1435</v>
      </c>
      <c r="K2473" s="2" t="s">
        <v>7733</v>
      </c>
      <c r="L2473" s="11" t="s">
        <v>7734</v>
      </c>
      <c r="M2473" s="2" t="str">
        <f>IFERROR(__xludf.DUMMYFUNCTION("split(split(K2473,""亀梨和也、"",false),""公式LINE"",false)"),"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結唯から別れを告げられて約1年ー。世界ツアーで大成功を収め日本に帰国した慶は、なぜ結唯を強引にでも同行させなかったのか…後悔の念に駆られていた。結唯を必死に探す慶だったが結唯は学校を辞めていて…")</f>
        <v>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結唯から別れを告げられて約1年ー。世界ツアーで大成功を収め日本に帰国した慶は、なぜ結唯を強引にでも同行させなかったのか…後悔の念に駆られていた。結唯を必死に探す慶だったが結唯は学校を辞めていて…</v>
      </c>
      <c r="N2473" s="2"/>
      <c r="O2473" s="2"/>
      <c r="P2473" s="1"/>
      <c r="Q2473" s="1"/>
      <c r="R2473" s="1"/>
      <c r="S2473" s="1"/>
      <c r="T2473" s="1"/>
      <c r="U2473" s="1"/>
      <c r="V2473" s="1"/>
      <c r="W2473" s="1"/>
      <c r="X2473" s="1"/>
      <c r="Y2473" s="1"/>
      <c r="Z2473" s="1"/>
      <c r="AA2473" s="1"/>
      <c r="AB2473" s="1"/>
      <c r="AC2473" s="1"/>
      <c r="AD2473" s="1"/>
      <c r="AE2473" s="1"/>
      <c r="AF2473" s="1"/>
      <c r="AG2473" s="1"/>
      <c r="AH2473" s="1"/>
      <c r="AI2473" s="1"/>
      <c r="AJ2473" s="1"/>
      <c r="AK2473" s="1"/>
      <c r="AL2473" s="1"/>
      <c r="AM2473" s="1"/>
      <c r="AN2473" s="1"/>
      <c r="AO2473" s="1"/>
      <c r="AP2473" s="1"/>
      <c r="AQ2473" s="1"/>
      <c r="AR2473" s="1"/>
      <c r="AS2473" s="1"/>
      <c r="AT2473" s="1"/>
      <c r="AU2473" s="1"/>
      <c r="AV2473" s="1"/>
      <c r="AW2473" s="1"/>
      <c r="AX2473" s="1"/>
      <c r="AY2473" s="1"/>
      <c r="AZ2473" s="1"/>
      <c r="BA2473" s="1"/>
      <c r="BB2473" s="1"/>
    </row>
    <row r="2474" ht="204.75" customHeight="1">
      <c r="A2474" s="1">
        <v>2488.0</v>
      </c>
      <c r="B2474" s="2" t="s">
        <v>7735</v>
      </c>
      <c r="C2474" s="2">
        <f>IFERROR(__xludf.DUMMYFUNCTION("split(B2474,""_"")"),1410.0)</f>
        <v>1410</v>
      </c>
      <c r="D2474" s="2" t="str">
        <f>IFERROR(__xludf.DUMMYFUNCTION("""COMPUTED_VALUE"""),"EX")</f>
        <v>EX</v>
      </c>
      <c r="E2474" s="2" t="str">
        <f>IFERROR(__xludf.DUMMYFUNCTION("""COMPUTED_VALUE"""),"木21")</f>
        <v>木21</v>
      </c>
      <c r="F2474" s="2" t="s">
        <v>6489</v>
      </c>
      <c r="G2474" s="2" t="s">
        <v>7088</v>
      </c>
      <c r="H2474" s="1">
        <v>1.0</v>
      </c>
      <c r="I2474" s="1" t="s">
        <v>2868</v>
      </c>
      <c r="J2474" s="1" t="s">
        <v>4</v>
      </c>
      <c r="K2474" s="4" t="s">
        <v>7736</v>
      </c>
      <c r="L2474" s="11" t="s">
        <v>7737</v>
      </c>
      <c r="M2474" s="2" t="str">
        <f>IFERROR(__xludf.DUMMYFUNCTION("split(split(K2474,""米倉涼子、"",false),""公式LINE"",false)"),"元医師・毒島隆之介(伊東四朗)が、心臓腫瘍と肝細胞がんを患い「国立高度医療センター」に入院。国が威信をかけて創立したこの病院では、東西を代表する「東帝大学病院」と「西京大学病院」の不毛な覇権争いが渦巻いていた。両派閥は自ら毒島のオペを担当しようと、一歩も引かない状態に!そんな中、未知子は「西京大学病院」の病院長・蛭間重勝(西田敏行)に雇われ毒島のオペを担当することになるが、患者本人から拒否され…!?")</f>
        <v>元医師・毒島隆之介(伊東四朗)が、心臓腫瘍と肝細胞がんを患い「国立高度医療センター」に入院。国が威信をかけて創立したこの病院では、東西を代表する「東帝大学病院」と「西京大学病院」の不毛な覇権争いが渦巻いていた。両派閥は自ら毒島のオペを担当しようと、一歩も引かない状態に!そんな中、未知子は「西京大学病院」の病院長・蛭間重勝(西田敏行)に雇われ毒島のオペを担当することになるが、患者本人から拒否され…!?</v>
      </c>
      <c r="N2474" s="2"/>
      <c r="O2474" s="2"/>
      <c r="P2474" s="1"/>
      <c r="Q2474" s="1"/>
      <c r="R2474" s="1"/>
      <c r="S2474" s="1"/>
      <c r="T2474" s="1"/>
      <c r="U2474" s="1"/>
      <c r="V2474" s="1"/>
      <c r="W2474" s="1"/>
      <c r="X2474" s="1"/>
      <c r="Y2474" s="1"/>
      <c r="Z2474" s="1"/>
      <c r="AA2474" s="1"/>
      <c r="AB2474" s="1"/>
      <c r="AC2474" s="1"/>
      <c r="AD2474" s="1"/>
      <c r="AE2474" s="1"/>
      <c r="AF2474" s="1"/>
      <c r="AG2474" s="1"/>
      <c r="AH2474" s="1"/>
      <c r="AI2474" s="1"/>
      <c r="AJ2474" s="1"/>
      <c r="AK2474" s="1"/>
      <c r="AL2474" s="1"/>
      <c r="AM2474" s="1"/>
      <c r="AN2474" s="1"/>
      <c r="AO2474" s="1"/>
      <c r="AP2474" s="1"/>
      <c r="AQ2474" s="1"/>
      <c r="AR2474" s="1"/>
      <c r="AS2474" s="1"/>
      <c r="AT2474" s="1"/>
      <c r="AU2474" s="1"/>
      <c r="AV2474" s="1"/>
      <c r="AW2474" s="1"/>
      <c r="AX2474" s="1"/>
      <c r="AY2474" s="1"/>
      <c r="AZ2474" s="1"/>
      <c r="BA2474" s="1"/>
      <c r="BB2474" s="1"/>
    </row>
    <row r="2475" ht="204.75" customHeight="1">
      <c r="A2475" s="1">
        <v>2489.0</v>
      </c>
      <c r="B2475" s="2" t="s">
        <v>7735</v>
      </c>
      <c r="C2475" s="2">
        <f>IFERROR(__xludf.DUMMYFUNCTION("split(B2475,""_"")"),1410.0)</f>
        <v>1410</v>
      </c>
      <c r="D2475" s="2" t="str">
        <f>IFERROR(__xludf.DUMMYFUNCTION("""COMPUTED_VALUE"""),"EX")</f>
        <v>EX</v>
      </c>
      <c r="E2475" s="2" t="str">
        <f>IFERROR(__xludf.DUMMYFUNCTION("""COMPUTED_VALUE"""),"木21")</f>
        <v>木21</v>
      </c>
      <c r="F2475" s="2" t="s">
        <v>6489</v>
      </c>
      <c r="G2475" s="2" t="s">
        <v>7091</v>
      </c>
      <c r="H2475" s="1">
        <v>2.0</v>
      </c>
      <c r="I2475" s="1" t="s">
        <v>2872</v>
      </c>
      <c r="J2475" s="1" t="s">
        <v>4</v>
      </c>
      <c r="K2475" s="2" t="s">
        <v>7738</v>
      </c>
      <c r="L2475" s="11" t="s">
        <v>7739</v>
      </c>
      <c r="M2475" s="2" t="str">
        <f>IFERROR(__xludf.DUMMYFUNCTION("split(split(K2475,""米倉涼子、"",false),""公式LINE"",false)"),"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f>
        <v>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v>
      </c>
      <c r="N2475" s="2"/>
      <c r="O2475" s="2"/>
      <c r="P2475" s="1"/>
      <c r="Q2475" s="1"/>
      <c r="R2475" s="1"/>
      <c r="S2475" s="1"/>
      <c r="T2475" s="1"/>
      <c r="U2475" s="1"/>
      <c r="V2475" s="1"/>
      <c r="W2475" s="1"/>
      <c r="X2475" s="1"/>
      <c r="Y2475" s="1"/>
      <c r="Z2475" s="1"/>
      <c r="AA2475" s="1"/>
      <c r="AB2475" s="1"/>
      <c r="AC2475" s="1"/>
      <c r="AD2475" s="1"/>
      <c r="AE2475" s="1"/>
      <c r="AF2475" s="1"/>
      <c r="AG2475" s="1"/>
      <c r="AH2475" s="1"/>
      <c r="AI2475" s="1"/>
      <c r="AJ2475" s="1"/>
      <c r="AK2475" s="1"/>
      <c r="AL2475" s="1"/>
      <c r="AM2475" s="1"/>
      <c r="AN2475" s="1"/>
      <c r="AO2475" s="1"/>
      <c r="AP2475" s="1"/>
      <c r="AQ2475" s="1"/>
      <c r="AR2475" s="1"/>
      <c r="AS2475" s="1"/>
      <c r="AT2475" s="1"/>
      <c r="AU2475" s="1"/>
      <c r="AV2475" s="1"/>
      <c r="AW2475" s="1"/>
      <c r="AX2475" s="1"/>
      <c r="AY2475" s="1"/>
      <c r="AZ2475" s="1"/>
      <c r="BA2475" s="1"/>
      <c r="BB2475" s="1"/>
    </row>
    <row r="2476" ht="204.75" customHeight="1">
      <c r="A2476" s="1">
        <v>2490.0</v>
      </c>
      <c r="B2476" s="2" t="s">
        <v>7735</v>
      </c>
      <c r="C2476" s="2">
        <f>IFERROR(__xludf.DUMMYFUNCTION("split(B2476,""_"")"),1410.0)</f>
        <v>1410</v>
      </c>
      <c r="D2476" s="2" t="str">
        <f>IFERROR(__xludf.DUMMYFUNCTION("""COMPUTED_VALUE"""),"EX")</f>
        <v>EX</v>
      </c>
      <c r="E2476" s="2" t="str">
        <f>IFERROR(__xludf.DUMMYFUNCTION("""COMPUTED_VALUE"""),"木21")</f>
        <v>木21</v>
      </c>
      <c r="F2476" s="2" t="s">
        <v>6489</v>
      </c>
      <c r="G2476" s="2" t="s">
        <v>7094</v>
      </c>
      <c r="H2476" s="1">
        <v>3.0</v>
      </c>
      <c r="I2476" s="1" t="s">
        <v>2876</v>
      </c>
      <c r="J2476" s="1" t="s">
        <v>11</v>
      </c>
      <c r="K2476" s="2" t="s">
        <v>7740</v>
      </c>
      <c r="L2476" s="11" t="s">
        <v>7739</v>
      </c>
      <c r="M2476" s="2" t="str">
        <f>IFERROR(__xludf.DUMMYFUNCTION("split(split(K2476,""米倉涼子、"",false),""公式LINE"",false)"),"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f>
        <v>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v>
      </c>
      <c r="N2476" s="2"/>
      <c r="O2476" s="2"/>
      <c r="P2476" s="1"/>
      <c r="Q2476" s="1"/>
      <c r="R2476" s="1"/>
      <c r="S2476" s="1"/>
      <c r="T2476" s="1"/>
      <c r="U2476" s="1"/>
      <c r="V2476" s="1"/>
      <c r="W2476" s="1"/>
      <c r="X2476" s="1"/>
      <c r="Y2476" s="1"/>
      <c r="Z2476" s="1"/>
      <c r="AA2476" s="1"/>
      <c r="AB2476" s="1"/>
      <c r="AC2476" s="1"/>
      <c r="AD2476" s="1"/>
      <c r="AE2476" s="1"/>
      <c r="AF2476" s="1"/>
      <c r="AG2476" s="1"/>
      <c r="AH2476" s="1"/>
      <c r="AI2476" s="1"/>
      <c r="AJ2476" s="1"/>
      <c r="AK2476" s="1"/>
      <c r="AL2476" s="1"/>
      <c r="AM2476" s="1"/>
      <c r="AN2476" s="1"/>
      <c r="AO2476" s="1"/>
      <c r="AP2476" s="1"/>
      <c r="AQ2476" s="1"/>
      <c r="AR2476" s="1"/>
      <c r="AS2476" s="1"/>
      <c r="AT2476" s="1"/>
      <c r="AU2476" s="1"/>
      <c r="AV2476" s="1"/>
      <c r="AW2476" s="1"/>
      <c r="AX2476" s="1"/>
      <c r="AY2476" s="1"/>
      <c r="AZ2476" s="1"/>
      <c r="BA2476" s="1"/>
      <c r="BB2476" s="1"/>
    </row>
    <row r="2477" ht="204.75" customHeight="1">
      <c r="A2477" s="1">
        <v>2491.0</v>
      </c>
      <c r="B2477" s="2" t="s">
        <v>7735</v>
      </c>
      <c r="C2477" s="2">
        <f>IFERROR(__xludf.DUMMYFUNCTION("split(B2477,""_"")"),1410.0)</f>
        <v>1410</v>
      </c>
      <c r="D2477" s="2" t="str">
        <f>IFERROR(__xludf.DUMMYFUNCTION("""COMPUTED_VALUE"""),"EX")</f>
        <v>EX</v>
      </c>
      <c r="E2477" s="2" t="str">
        <f>IFERROR(__xludf.DUMMYFUNCTION("""COMPUTED_VALUE"""),"木21")</f>
        <v>木21</v>
      </c>
      <c r="F2477" s="2" t="s">
        <v>6489</v>
      </c>
      <c r="G2477" s="2" t="s">
        <v>7097</v>
      </c>
      <c r="H2477" s="1">
        <v>4.0</v>
      </c>
      <c r="I2477" s="1" t="s">
        <v>2880</v>
      </c>
      <c r="J2477" s="1" t="s">
        <v>11</v>
      </c>
      <c r="K2477" s="2" t="s">
        <v>7741</v>
      </c>
      <c r="L2477" s="11" t="s">
        <v>7739</v>
      </c>
      <c r="M2477" s="2" t="str">
        <f>IFERROR(__xludf.DUMMYFUNCTION("split(split(K2477,""米倉涼子、"",false),""公式LINE"",false)"),"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f>
        <v>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v>
      </c>
      <c r="N2477" s="2"/>
      <c r="O2477" s="2"/>
      <c r="P2477" s="1"/>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c r="AN2477" s="1"/>
      <c r="AO2477" s="1"/>
      <c r="AP2477" s="1"/>
      <c r="AQ2477" s="1"/>
      <c r="AR2477" s="1"/>
      <c r="AS2477" s="1"/>
      <c r="AT2477" s="1"/>
      <c r="AU2477" s="1"/>
      <c r="AV2477" s="1"/>
      <c r="AW2477" s="1"/>
      <c r="AX2477" s="1"/>
      <c r="AY2477" s="1"/>
      <c r="AZ2477" s="1"/>
      <c r="BA2477" s="1"/>
      <c r="BB2477" s="1"/>
    </row>
    <row r="2478" ht="204.75" customHeight="1">
      <c r="A2478" s="1">
        <v>2492.0</v>
      </c>
      <c r="B2478" s="2" t="s">
        <v>7735</v>
      </c>
      <c r="C2478" s="2">
        <f>IFERROR(__xludf.DUMMYFUNCTION("split(B2478,""_"")"),1410.0)</f>
        <v>1410</v>
      </c>
      <c r="D2478" s="2" t="str">
        <f>IFERROR(__xludf.DUMMYFUNCTION("""COMPUTED_VALUE"""),"EX")</f>
        <v>EX</v>
      </c>
      <c r="E2478" s="2" t="str">
        <f>IFERROR(__xludf.DUMMYFUNCTION("""COMPUTED_VALUE"""),"木21")</f>
        <v>木21</v>
      </c>
      <c r="F2478" s="2" t="s">
        <v>6489</v>
      </c>
      <c r="G2478" s="2" t="s">
        <v>7100</v>
      </c>
      <c r="H2478" s="1">
        <v>5.0</v>
      </c>
      <c r="I2478" s="1" t="s">
        <v>2884</v>
      </c>
      <c r="J2478" s="1" t="s">
        <v>11</v>
      </c>
      <c r="K2478" s="2" t="s">
        <v>7742</v>
      </c>
      <c r="L2478" s="11" t="s">
        <v>7739</v>
      </c>
      <c r="M2478" s="2" t="str">
        <f>IFERROR(__xludf.DUMMYFUNCTION("split(split(K2478,""米倉涼子、"",false),""公式LINE"",false)"),"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f>
        <v>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v>
      </c>
      <c r="N2478" s="2"/>
      <c r="O2478" s="2"/>
      <c r="P2478" s="1"/>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c r="AO2478" s="1"/>
      <c r="AP2478" s="1"/>
      <c r="AQ2478" s="1"/>
      <c r="AR2478" s="1"/>
      <c r="AS2478" s="1"/>
      <c r="AT2478" s="1"/>
      <c r="AU2478" s="1"/>
      <c r="AV2478" s="1"/>
      <c r="AW2478" s="1"/>
      <c r="AX2478" s="1"/>
      <c r="AY2478" s="1"/>
      <c r="AZ2478" s="1"/>
      <c r="BA2478" s="1"/>
      <c r="BB2478" s="1"/>
    </row>
    <row r="2479" ht="204.75" customHeight="1">
      <c r="A2479" s="1">
        <v>2493.0</v>
      </c>
      <c r="B2479" s="2" t="s">
        <v>7735</v>
      </c>
      <c r="C2479" s="2">
        <f>IFERROR(__xludf.DUMMYFUNCTION("split(B2479,""_"")"),1410.0)</f>
        <v>1410</v>
      </c>
      <c r="D2479" s="2" t="str">
        <f>IFERROR(__xludf.DUMMYFUNCTION("""COMPUTED_VALUE"""),"EX")</f>
        <v>EX</v>
      </c>
      <c r="E2479" s="2" t="str">
        <f>IFERROR(__xludf.DUMMYFUNCTION("""COMPUTED_VALUE"""),"木21")</f>
        <v>木21</v>
      </c>
      <c r="F2479" s="2" t="s">
        <v>6489</v>
      </c>
      <c r="G2479" s="2" t="s">
        <v>7103</v>
      </c>
      <c r="H2479" s="1">
        <v>6.0</v>
      </c>
      <c r="I2479" s="1" t="s">
        <v>2888</v>
      </c>
      <c r="J2479" s="1" t="s">
        <v>11</v>
      </c>
      <c r="K2479" s="2" t="s">
        <v>7743</v>
      </c>
      <c r="L2479" s="11" t="s">
        <v>7739</v>
      </c>
      <c r="M2479" s="2" t="str">
        <f>IFERROR(__xludf.DUMMYFUNCTION("split(split(K2479,""米倉涼子、"",false),""公式LINE"",false)"),"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f>
        <v>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v>
      </c>
      <c r="N2479" s="2"/>
      <c r="O2479" s="2"/>
      <c r="P2479" s="1"/>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c r="AN2479" s="1"/>
      <c r="AO2479" s="1"/>
      <c r="AP2479" s="1"/>
      <c r="AQ2479" s="1"/>
      <c r="AR2479" s="1"/>
      <c r="AS2479" s="1"/>
      <c r="AT2479" s="1"/>
      <c r="AU2479" s="1"/>
      <c r="AV2479" s="1"/>
      <c r="AW2479" s="1"/>
      <c r="AX2479" s="1"/>
      <c r="AY2479" s="1"/>
      <c r="AZ2479" s="1"/>
      <c r="BA2479" s="1"/>
      <c r="BB2479" s="1"/>
    </row>
    <row r="2480" ht="204.75" customHeight="1">
      <c r="A2480" s="1">
        <v>2494.0</v>
      </c>
      <c r="B2480" s="2" t="s">
        <v>7735</v>
      </c>
      <c r="C2480" s="2">
        <f>IFERROR(__xludf.DUMMYFUNCTION("split(B2480,""_"")"),1410.0)</f>
        <v>1410</v>
      </c>
      <c r="D2480" s="2" t="str">
        <f>IFERROR(__xludf.DUMMYFUNCTION("""COMPUTED_VALUE"""),"EX")</f>
        <v>EX</v>
      </c>
      <c r="E2480" s="2" t="str">
        <f>IFERROR(__xludf.DUMMYFUNCTION("""COMPUTED_VALUE"""),"木21")</f>
        <v>木21</v>
      </c>
      <c r="F2480" s="2" t="s">
        <v>6489</v>
      </c>
      <c r="G2480" s="2" t="s">
        <v>7106</v>
      </c>
      <c r="H2480" s="1">
        <v>7.0</v>
      </c>
      <c r="I2480" s="1" t="s">
        <v>2892</v>
      </c>
      <c r="J2480" s="1" t="s">
        <v>11</v>
      </c>
      <c r="K2480" s="2" t="s">
        <v>7744</v>
      </c>
      <c r="L2480" s="11" t="s">
        <v>7739</v>
      </c>
      <c r="M2480" s="2" t="str">
        <f>IFERROR(__xludf.DUMMYFUNCTION("split(split(K2480,""米倉涼子、"",false),""公式LINE"",false)"),"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f>
        <v>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v>
      </c>
      <c r="N2480" s="2"/>
      <c r="O2480" s="2"/>
      <c r="P2480" s="1"/>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c r="AN2480" s="1"/>
      <c r="AO2480" s="1"/>
      <c r="AP2480" s="1"/>
      <c r="AQ2480" s="1"/>
      <c r="AR2480" s="1"/>
      <c r="AS2480" s="1"/>
      <c r="AT2480" s="1"/>
      <c r="AU2480" s="1"/>
      <c r="AV2480" s="1"/>
      <c r="AW2480" s="1"/>
      <c r="AX2480" s="1"/>
      <c r="AY2480" s="1"/>
      <c r="AZ2480" s="1"/>
      <c r="BA2480" s="1"/>
      <c r="BB2480" s="1"/>
    </row>
    <row r="2481" ht="204.75" customHeight="1">
      <c r="A2481" s="1">
        <v>2495.0</v>
      </c>
      <c r="B2481" s="2" t="s">
        <v>7735</v>
      </c>
      <c r="C2481" s="2">
        <f>IFERROR(__xludf.DUMMYFUNCTION("split(B2481,""_"")"),1410.0)</f>
        <v>1410</v>
      </c>
      <c r="D2481" s="2" t="str">
        <f>IFERROR(__xludf.DUMMYFUNCTION("""COMPUTED_VALUE"""),"EX")</f>
        <v>EX</v>
      </c>
      <c r="E2481" s="2" t="str">
        <f>IFERROR(__xludf.DUMMYFUNCTION("""COMPUTED_VALUE"""),"木21")</f>
        <v>木21</v>
      </c>
      <c r="F2481" s="2" t="s">
        <v>6489</v>
      </c>
      <c r="G2481" s="2" t="s">
        <v>7109</v>
      </c>
      <c r="H2481" s="1">
        <v>8.0</v>
      </c>
      <c r="I2481" s="1" t="s">
        <v>2896</v>
      </c>
      <c r="J2481" s="1" t="s">
        <v>11</v>
      </c>
      <c r="K2481" s="2" t="s">
        <v>7745</v>
      </c>
      <c r="L2481" s="11" t="s">
        <v>7739</v>
      </c>
      <c r="M2481" s="2" t="str">
        <f>IFERROR(__xludf.DUMMYFUNCTION("split(split(K2481,""米倉涼子、"",false),""公式LINE"",false)"),"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f>
        <v>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v>
      </c>
      <c r="N2481" s="2"/>
      <c r="O2481" s="2"/>
      <c r="P2481" s="1"/>
      <c r="Q2481" s="1"/>
      <c r="R2481" s="1"/>
      <c r="S2481" s="1"/>
      <c r="T2481" s="1"/>
      <c r="U2481" s="1"/>
      <c r="V2481" s="1"/>
      <c r="W2481" s="1"/>
      <c r="X2481" s="1"/>
      <c r="Y2481" s="1"/>
      <c r="Z2481" s="1"/>
      <c r="AA2481" s="1"/>
      <c r="AB2481" s="1"/>
      <c r="AC2481" s="1"/>
      <c r="AD2481" s="1"/>
      <c r="AE2481" s="1"/>
      <c r="AF2481" s="1"/>
      <c r="AG2481" s="1"/>
      <c r="AH2481" s="1"/>
      <c r="AI2481" s="1"/>
      <c r="AJ2481" s="1"/>
      <c r="AK2481" s="1"/>
      <c r="AL2481" s="1"/>
      <c r="AM2481" s="1"/>
      <c r="AN2481" s="1"/>
      <c r="AO2481" s="1"/>
      <c r="AP2481" s="1"/>
      <c r="AQ2481" s="1"/>
      <c r="AR2481" s="1"/>
      <c r="AS2481" s="1"/>
      <c r="AT2481" s="1"/>
      <c r="AU2481" s="1"/>
      <c r="AV2481" s="1"/>
      <c r="AW2481" s="1"/>
      <c r="AX2481" s="1"/>
      <c r="AY2481" s="1"/>
      <c r="AZ2481" s="1"/>
      <c r="BA2481" s="1"/>
      <c r="BB2481" s="1"/>
    </row>
    <row r="2482" ht="204.75" customHeight="1">
      <c r="A2482" s="1">
        <v>2496.0</v>
      </c>
      <c r="B2482" s="2" t="s">
        <v>7735</v>
      </c>
      <c r="C2482" s="2">
        <f>IFERROR(__xludf.DUMMYFUNCTION("split(B2482,""_"")"),1410.0)</f>
        <v>1410</v>
      </c>
      <c r="D2482" s="2" t="str">
        <f>IFERROR(__xludf.DUMMYFUNCTION("""COMPUTED_VALUE"""),"EX")</f>
        <v>EX</v>
      </c>
      <c r="E2482" s="2" t="str">
        <f>IFERROR(__xludf.DUMMYFUNCTION("""COMPUTED_VALUE"""),"木21")</f>
        <v>木21</v>
      </c>
      <c r="F2482" s="2" t="s">
        <v>6489</v>
      </c>
      <c r="G2482" s="2" t="s">
        <v>7112</v>
      </c>
      <c r="H2482" s="1">
        <v>9.0</v>
      </c>
      <c r="I2482" s="1" t="s">
        <v>2900</v>
      </c>
      <c r="J2482" s="1" t="s">
        <v>11</v>
      </c>
      <c r="K2482" s="2" t="s">
        <v>7746</v>
      </c>
      <c r="L2482" s="11" t="s">
        <v>7739</v>
      </c>
      <c r="M2482" s="2" t="str">
        <f>IFERROR(__xludf.DUMMYFUNCTION("split(split(K2482,""米倉涼子、"",false),""公式LINE"",false)"),"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f>
        <v>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v>
      </c>
      <c r="N2482" s="2"/>
      <c r="O2482" s="2"/>
      <c r="P2482" s="1"/>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c r="AN2482" s="1"/>
      <c r="AO2482" s="1"/>
      <c r="AP2482" s="1"/>
      <c r="AQ2482" s="1"/>
      <c r="AR2482" s="1"/>
      <c r="AS2482" s="1"/>
      <c r="AT2482" s="1"/>
      <c r="AU2482" s="1"/>
      <c r="AV2482" s="1"/>
      <c r="AW2482" s="1"/>
      <c r="AX2482" s="1"/>
      <c r="AY2482" s="1"/>
      <c r="AZ2482" s="1"/>
      <c r="BA2482" s="1"/>
      <c r="BB2482" s="1"/>
    </row>
    <row r="2483" ht="204.75" customHeight="1">
      <c r="A2483" s="1">
        <v>2497.0</v>
      </c>
      <c r="B2483" s="2" t="s">
        <v>7735</v>
      </c>
      <c r="C2483" s="2">
        <f>IFERROR(__xludf.DUMMYFUNCTION("split(B2483,""_"")"),1410.0)</f>
        <v>1410</v>
      </c>
      <c r="D2483" s="2" t="str">
        <f>IFERROR(__xludf.DUMMYFUNCTION("""COMPUTED_VALUE"""),"EX")</f>
        <v>EX</v>
      </c>
      <c r="E2483" s="2" t="str">
        <f>IFERROR(__xludf.DUMMYFUNCTION("""COMPUTED_VALUE"""),"木21")</f>
        <v>木21</v>
      </c>
      <c r="F2483" s="2" t="s">
        <v>6489</v>
      </c>
      <c r="G2483" s="2" t="s">
        <v>7115</v>
      </c>
      <c r="H2483" s="1">
        <v>10.0</v>
      </c>
      <c r="I2483" s="1" t="s">
        <v>37</v>
      </c>
      <c r="J2483" s="1" t="s">
        <v>11</v>
      </c>
      <c r="K2483" s="2" t="s">
        <v>7747</v>
      </c>
      <c r="L2483" s="11" t="s">
        <v>7739</v>
      </c>
      <c r="M2483" s="2" t="str">
        <f>IFERROR(__xludf.DUMMYFUNCTION("split(split(K2483,""米倉涼子、"",false),""公式LINE"",false)"),"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f>
        <v>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v>
      </c>
      <c r="N2483" s="2"/>
      <c r="O2483" s="2"/>
      <c r="P2483" s="1"/>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c r="AN2483" s="1"/>
      <c r="AO2483" s="1"/>
      <c r="AP2483" s="1"/>
      <c r="AQ2483" s="1"/>
      <c r="AR2483" s="1"/>
      <c r="AS2483" s="1"/>
      <c r="AT2483" s="1"/>
      <c r="AU2483" s="1"/>
      <c r="AV2483" s="1"/>
      <c r="AW2483" s="1"/>
      <c r="AX2483" s="1"/>
      <c r="AY2483" s="1"/>
      <c r="AZ2483" s="1"/>
      <c r="BA2483" s="1"/>
      <c r="BB2483" s="1"/>
    </row>
    <row r="2484" ht="204.75" customHeight="1">
      <c r="A2484" s="1">
        <v>2498.0</v>
      </c>
      <c r="B2484" s="2" t="s">
        <v>7735</v>
      </c>
      <c r="C2484" s="2">
        <f>IFERROR(__xludf.DUMMYFUNCTION("split(B2484,""_"")"),1410.0)</f>
        <v>1410</v>
      </c>
      <c r="D2484" s="2" t="str">
        <f>IFERROR(__xludf.DUMMYFUNCTION("""COMPUTED_VALUE"""),"EX")</f>
        <v>EX</v>
      </c>
      <c r="E2484" s="2" t="str">
        <f>IFERROR(__xludf.DUMMYFUNCTION("""COMPUTED_VALUE"""),"木21")</f>
        <v>木21</v>
      </c>
      <c r="F2484" s="2" t="s">
        <v>6489</v>
      </c>
      <c r="G2484" s="2" t="s">
        <v>7333</v>
      </c>
      <c r="H2484" s="1">
        <v>11.0</v>
      </c>
      <c r="I2484" s="1" t="s">
        <v>41</v>
      </c>
      <c r="J2484" s="1" t="s">
        <v>4</v>
      </c>
      <c r="K2484" s="2" t="s">
        <v>7748</v>
      </c>
      <c r="L2484" s="11" t="s">
        <v>7739</v>
      </c>
      <c r="M2484" s="2" t="str">
        <f>IFERROR(__xludf.DUMMYFUNCTION("split(split(K2484,""米倉涼子、"",false),""公式LINE"",false)"),"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f>
        <v>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v>
      </c>
      <c r="N2484" s="2"/>
      <c r="O2484" s="2"/>
      <c r="P2484" s="1"/>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c r="AN2484" s="1"/>
      <c r="AO2484" s="1"/>
      <c r="AP2484" s="1"/>
      <c r="AQ2484" s="1"/>
      <c r="AR2484" s="1"/>
      <c r="AS2484" s="1"/>
      <c r="AT2484" s="1"/>
      <c r="AU2484" s="1"/>
      <c r="AV2484" s="1"/>
      <c r="AW2484" s="1"/>
      <c r="AX2484" s="1"/>
      <c r="AY2484" s="1"/>
      <c r="AZ2484" s="1"/>
      <c r="BA2484" s="1"/>
      <c r="BB2484" s="1"/>
    </row>
    <row r="2485" ht="204.75" customHeight="1">
      <c r="A2485" s="1">
        <v>2529.0</v>
      </c>
      <c r="B2485" s="2" t="s">
        <v>7749</v>
      </c>
      <c r="C2485" s="2">
        <f>IFERROR(__xludf.DUMMYFUNCTION("split(B2485,""_"")"),1410.0)</f>
        <v>1410</v>
      </c>
      <c r="D2485" s="2" t="str">
        <f>IFERROR(__xludf.DUMMYFUNCTION("""COMPUTED_VALUE"""),"EX")</f>
        <v>EX</v>
      </c>
      <c r="E2485" s="2" t="str">
        <f>IFERROR(__xludf.DUMMYFUNCTION("""COMPUTED_VALUE"""),"金23")</f>
        <v>金23</v>
      </c>
      <c r="F2485" s="2" t="s">
        <v>7750</v>
      </c>
      <c r="G2485" s="2" t="s">
        <v>7751</v>
      </c>
      <c r="H2485" s="1">
        <v>1.0</v>
      </c>
      <c r="I2485" s="1" t="s">
        <v>2868</v>
      </c>
      <c r="J2485" s="1" t="s">
        <v>1435</v>
      </c>
      <c r="K2485" s="4" t="s">
        <v>7752</v>
      </c>
      <c r="L2485" s="11" t="s">
        <v>7753</v>
      </c>
      <c r="M2485" s="2" t="str">
        <f>IFERROR(__xludf.DUMMYFUNCTION("split(split(K2485,""中島健人(Sexy Zone)、"",false),""公式LINE"",false)"),"初めてキャバクラに入店した彰は、煌びやかな世界に圧倒される!楽しい時間を過ごすが、料金が支払えないことが判明!警察に突き出されそうになった彰は、この店で働かせてほしいと願い出るが、「このくらいの仕事ならできるんじゃないか」とナメた口をきく彰に原田たちは怒り心頭…。店長の斉藤の許しを得、『ジュリエット』で働き始めることになるが、ぬるま湯で育ってきた彰にとって夜の世界は想像以上に厳しいものだった…!")</f>
        <v>初めてキャバクラに入店した彰は、煌びやかな世界に圧倒される!楽しい時間を過ごすが、料金が支払えないことが判明!警察に突き出されそうになった彰は、この店で働かせてほしいと願い出るが、「このくらいの仕事ならできるんじゃないか」とナメた口をきく彰に原田たちは怒り心頭…。店長の斉藤の許しを得、『ジュリエット』で働き始めることになるが、ぬるま湯で育ってきた彰にとって夜の世界は想像以上に厳しいものだった…!</v>
      </c>
      <c r="N2485" s="2"/>
      <c r="O2485" s="2"/>
      <c r="P2485" s="1"/>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c r="AN2485" s="1"/>
      <c r="AO2485" s="1"/>
      <c r="AP2485" s="1"/>
      <c r="AQ2485" s="1"/>
      <c r="AR2485" s="1"/>
      <c r="AS2485" s="1"/>
      <c r="AT2485" s="1"/>
      <c r="AU2485" s="1"/>
      <c r="AV2485" s="1"/>
      <c r="AW2485" s="1"/>
      <c r="AX2485" s="1"/>
      <c r="AY2485" s="1"/>
      <c r="AZ2485" s="1"/>
      <c r="BA2485" s="1"/>
      <c r="BB2485" s="1"/>
    </row>
    <row r="2486" ht="204.75" customHeight="1">
      <c r="A2486" s="1">
        <v>2530.0</v>
      </c>
      <c r="B2486" s="2" t="s">
        <v>7749</v>
      </c>
      <c r="C2486" s="2">
        <f>IFERROR(__xludf.DUMMYFUNCTION("split(B2486,""_"")"),1410.0)</f>
        <v>1410</v>
      </c>
      <c r="D2486" s="2" t="str">
        <f>IFERROR(__xludf.DUMMYFUNCTION("""COMPUTED_VALUE"""),"EX")</f>
        <v>EX</v>
      </c>
      <c r="E2486" s="2" t="str">
        <f>IFERROR(__xludf.DUMMYFUNCTION("""COMPUTED_VALUE"""),"金23")</f>
        <v>金23</v>
      </c>
      <c r="F2486" s="2" t="s">
        <v>7750</v>
      </c>
      <c r="G2486" s="2" t="s">
        <v>7754</v>
      </c>
      <c r="H2486" s="1">
        <v>2.0</v>
      </c>
      <c r="I2486" s="1" t="s">
        <v>2872</v>
      </c>
      <c r="J2486" s="1" t="s">
        <v>1435</v>
      </c>
      <c r="K2486" s="2" t="s">
        <v>7755</v>
      </c>
      <c r="L2486" s="11" t="s">
        <v>7756</v>
      </c>
      <c r="M2486" s="2" t="str">
        <f>IFERROR(__xludf.DUMMYFUNCTION("split(split(K2486,""中島健人(Sexy Zone)、"",false),""公式LINE"",false)"),"黒服になった彰(中島健人)はキャストのゆかりから呼び出され、中絶同意書にサインをしてほしいと頼まれる。そこを黒服の田辺に目撃される!キャストと黒服の恋愛はご法度というのが夜の世界の掟。それを破ったと思われた彰に対し、黒服の風当たりはますます強くなっていく。その最中、彰は杏子(佐々木希)と原田(山本裕典)のただならぬ場面を見てしまう!杏子に想いを寄せる彰は原田に敵対心を燃やし、仕事で宣戦布告をする!")</f>
        <v>黒服になった彰(中島健人)はキャストのゆかりから呼び出され、中絶同意書にサインをしてほしいと頼まれる。そこを黒服の田辺に目撃される!キャストと黒服の恋愛はご法度というのが夜の世界の掟。それを破ったと思われた彰に対し、黒服の風当たりはますます強くなっていく。その最中、彰は杏子(佐々木希)と原田(山本裕典)のただならぬ場面を見てしまう!杏子に想いを寄せる彰は原田に敵対心を燃やし、仕事で宣戦布告をする!</v>
      </c>
      <c r="N2486" s="2"/>
      <c r="O2486" s="2"/>
      <c r="P2486" s="1"/>
      <c r="Q2486" s="1"/>
      <c r="R2486" s="1"/>
      <c r="S2486" s="1"/>
      <c r="T2486" s="1"/>
      <c r="U2486" s="1"/>
      <c r="V2486" s="1"/>
      <c r="W2486" s="1"/>
      <c r="X2486" s="1"/>
      <c r="Y2486" s="1"/>
      <c r="Z2486" s="1"/>
      <c r="AA2486" s="1"/>
      <c r="AB2486" s="1"/>
      <c r="AC2486" s="1"/>
      <c r="AD2486" s="1"/>
      <c r="AE2486" s="1"/>
      <c r="AF2486" s="1"/>
      <c r="AG2486" s="1"/>
      <c r="AH2486" s="1"/>
      <c r="AI2486" s="1"/>
      <c r="AJ2486" s="1"/>
      <c r="AK2486" s="1"/>
      <c r="AL2486" s="1"/>
      <c r="AM2486" s="1"/>
      <c r="AN2486" s="1"/>
      <c r="AO2486" s="1"/>
      <c r="AP2486" s="1"/>
      <c r="AQ2486" s="1"/>
      <c r="AR2486" s="1"/>
      <c r="AS2486" s="1"/>
      <c r="AT2486" s="1"/>
      <c r="AU2486" s="1"/>
      <c r="AV2486" s="1"/>
      <c r="AW2486" s="1"/>
      <c r="AX2486" s="1"/>
      <c r="AY2486" s="1"/>
      <c r="AZ2486" s="1"/>
      <c r="BA2486" s="1"/>
      <c r="BB2486" s="1"/>
    </row>
    <row r="2487" ht="204.75" customHeight="1">
      <c r="A2487" s="1">
        <v>2531.0</v>
      </c>
      <c r="B2487" s="2" t="s">
        <v>7749</v>
      </c>
      <c r="C2487" s="2">
        <f>IFERROR(__xludf.DUMMYFUNCTION("split(B2487,""_"")"),1410.0)</f>
        <v>1410</v>
      </c>
      <c r="D2487" s="2" t="str">
        <f>IFERROR(__xludf.DUMMYFUNCTION("""COMPUTED_VALUE"""),"EX")</f>
        <v>EX</v>
      </c>
      <c r="E2487" s="2" t="str">
        <f>IFERROR(__xludf.DUMMYFUNCTION("""COMPUTED_VALUE"""),"金23")</f>
        <v>金23</v>
      </c>
      <c r="F2487" s="2" t="s">
        <v>7750</v>
      </c>
      <c r="G2487" s="2" t="s">
        <v>7757</v>
      </c>
      <c r="H2487" s="1">
        <v>3.0</v>
      </c>
      <c r="I2487" s="1" t="s">
        <v>2876</v>
      </c>
      <c r="J2487" s="1" t="s">
        <v>1435</v>
      </c>
      <c r="K2487" s="2" t="s">
        <v>7758</v>
      </c>
      <c r="L2487" s="11" t="s">
        <v>7759</v>
      </c>
      <c r="M2487" s="2" t="str">
        <f>IFERROR(__xludf.DUMMYFUNCTION("split(split(K2487,""中島健人(Sexy Zone)、"",false),""公式LINE"",false)"),"原田(山本裕典)に宣戦布告した彰(中島健人)だが、未熟な判断と焦りから『ジュリエット』は大混乱に!憧れの杏子(佐々木希)からも一喝されてしまう。そんなある日、聖子(入山杏奈)の客が美樹(柏木由紀)を指名。お客を寝取ったと思い込んだ聖子は、美樹に喧嘩をふっかけ掴み合いの乱闘状態に!一方、担当キャストも6人に増え自信もついてきた矢先、彰の行動がキャストたちを怒らせ、絶体絶命の窮地に追い込まれてしまう…")</f>
        <v>原田(山本裕典)に宣戦布告した彰(中島健人)だが、未熟な判断と焦りから『ジュリエット』は大混乱に!憧れの杏子(佐々木希)からも一喝されてしまう。そんなある日、聖子(入山杏奈)の客が美樹(柏木由紀)を指名。お客を寝取ったと思い込んだ聖子は、美樹に喧嘩をふっかけ掴み合いの乱闘状態に!一方、担当キャストも6人に増え自信もついてきた矢先、彰の行動がキャストたちを怒らせ、絶体絶命の窮地に追い込まれてしまう…</v>
      </c>
      <c r="N2487" s="2"/>
      <c r="O2487" s="2"/>
      <c r="P2487" s="1"/>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c r="AN2487" s="1"/>
      <c r="AO2487" s="1"/>
      <c r="AP2487" s="1"/>
      <c r="AQ2487" s="1"/>
      <c r="AR2487" s="1"/>
      <c r="AS2487" s="1"/>
      <c r="AT2487" s="1"/>
      <c r="AU2487" s="1"/>
      <c r="AV2487" s="1"/>
      <c r="AW2487" s="1"/>
      <c r="AX2487" s="1"/>
      <c r="AY2487" s="1"/>
      <c r="AZ2487" s="1"/>
      <c r="BA2487" s="1"/>
      <c r="BB2487" s="1"/>
    </row>
    <row r="2488" ht="204.75" customHeight="1">
      <c r="A2488" s="1">
        <v>2532.0</v>
      </c>
      <c r="B2488" s="2" t="s">
        <v>7749</v>
      </c>
      <c r="C2488" s="2">
        <f>IFERROR(__xludf.DUMMYFUNCTION("split(B2488,""_"")"),1410.0)</f>
        <v>1410</v>
      </c>
      <c r="D2488" s="2" t="str">
        <f>IFERROR(__xludf.DUMMYFUNCTION("""COMPUTED_VALUE"""),"EX")</f>
        <v>EX</v>
      </c>
      <c r="E2488" s="2" t="str">
        <f>IFERROR(__xludf.DUMMYFUNCTION("""COMPUTED_VALUE"""),"金23")</f>
        <v>金23</v>
      </c>
      <c r="F2488" s="2" t="s">
        <v>7750</v>
      </c>
      <c r="G2488" s="2" t="s">
        <v>7760</v>
      </c>
      <c r="H2488" s="1">
        <v>4.0</v>
      </c>
      <c r="I2488" s="1" t="s">
        <v>2880</v>
      </c>
      <c r="J2488" s="1" t="s">
        <v>1435</v>
      </c>
      <c r="K2488" s="2" t="s">
        <v>7761</v>
      </c>
      <c r="L2488" s="11" t="s">
        <v>7762</v>
      </c>
      <c r="M2488" s="2" t="str">
        <f>IFERROR(__xludf.DUMMYFUNCTION("split(split(K2488,""中島健人(Sexy Zone)、"",false),""公式LINE"",false)"),"キャバクラNo.1総選挙開催!?その効果もあり、店は連日新人キャスト目当ての客で賑わいを見せることに。その中で真央(筧美和子)は特に浮かない表情を…。そんな真央に佐伯という男が客として近づく。雑誌のカメラマンを名乗る佐伯は「自分にグラビアを撮らせてくれれば芸能事務所に売り込んであげる」と言葉巧みに真央を誘惑。金銭面の話をされ、つい佐伯の話に乗ってしまう…!だがそこには卑劣な罠が…!")</f>
        <v>キャバクラNo.1総選挙開催!?その効果もあり、店は連日新人キャスト目当ての客で賑わいを見せることに。その中で真央(筧美和子)は特に浮かない表情を…。そんな真央に佐伯という男が客として近づく。雑誌のカメラマンを名乗る佐伯は「自分にグラビアを撮らせてくれれば芸能事務所に売り込んであげる」と言葉巧みに真央を誘惑。金銭面の話をされ、つい佐伯の話に乗ってしまう…!だがそこには卑劣な罠が…!</v>
      </c>
      <c r="N2488" s="2"/>
      <c r="O2488" s="2"/>
      <c r="P2488" s="1"/>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c r="AN2488" s="1"/>
      <c r="AO2488" s="1"/>
      <c r="AP2488" s="1"/>
      <c r="AQ2488" s="1"/>
      <c r="AR2488" s="1"/>
      <c r="AS2488" s="1"/>
      <c r="AT2488" s="1"/>
      <c r="AU2488" s="1"/>
      <c r="AV2488" s="1"/>
      <c r="AW2488" s="1"/>
      <c r="AX2488" s="1"/>
      <c r="AY2488" s="1"/>
      <c r="AZ2488" s="1"/>
      <c r="BA2488" s="1"/>
      <c r="BB2488" s="1"/>
    </row>
    <row r="2489" ht="204.75" customHeight="1">
      <c r="A2489" s="1">
        <v>2533.0</v>
      </c>
      <c r="B2489" s="2" t="s">
        <v>7749</v>
      </c>
      <c r="C2489" s="2">
        <f>IFERROR(__xludf.DUMMYFUNCTION("split(B2489,""_"")"),1410.0)</f>
        <v>1410</v>
      </c>
      <c r="D2489" s="2" t="str">
        <f>IFERROR(__xludf.DUMMYFUNCTION("""COMPUTED_VALUE"""),"EX")</f>
        <v>EX</v>
      </c>
      <c r="E2489" s="2" t="str">
        <f>IFERROR(__xludf.DUMMYFUNCTION("""COMPUTED_VALUE"""),"金23")</f>
        <v>金23</v>
      </c>
      <c r="F2489" s="2" t="s">
        <v>7750</v>
      </c>
      <c r="G2489" s="2" t="s">
        <v>7763</v>
      </c>
      <c r="H2489" s="1">
        <v>5.0</v>
      </c>
      <c r="I2489" s="1" t="s">
        <v>2884</v>
      </c>
      <c r="J2489" s="1" t="s">
        <v>1435</v>
      </c>
      <c r="K2489" s="2" t="s">
        <v>7764</v>
      </c>
      <c r="L2489" s="11" t="s">
        <v>7765</v>
      </c>
      <c r="M2489" s="2" t="str">
        <f>IFERROR(__xludf.DUMMYFUNCTION("split(split(K2489,""中島健人(Sexy Zone)、"",false),""公式LINE"",false)"),"池袋の老舗キャバクラ「デリシャス」による嫌がらせが激化!ある日、杏子(佐々木希)のドレスが切り裂かれる!不安に襲われつつも、杏子はコスプレで率先して店の雰囲気を盛り上げる!だが、皆のドレスも何者かに引き裂かれる事件が発生!キャバ嬢たちの怒りの矛先は、黒服の彰(中島健人)に向けられる。皆に責められても反論しない彰を見兼ねた美樹(柏木由紀)は、原田(山本裕典)と杏子が付き合っている事を暴露してしまう…")</f>
        <v>池袋の老舗キャバクラ「デリシャス」による嫌がらせが激化!ある日、杏子(佐々木希)のドレスが切り裂かれる!不安に襲われつつも、杏子はコスプレで率先して店の雰囲気を盛り上げる!だが、皆のドレスも何者かに引き裂かれる事件が発生!キャバ嬢たちの怒りの矛先は、黒服の彰(中島健人)に向けられる。皆に責められても反論しない彰を見兼ねた美樹(柏木由紀)は、原田(山本裕典)と杏子が付き合っている事を暴露してしまう…</v>
      </c>
      <c r="N2489" s="2"/>
      <c r="O2489" s="2"/>
      <c r="P2489" s="1"/>
      <c r="Q2489" s="1"/>
      <c r="R2489" s="1"/>
      <c r="S2489" s="1"/>
      <c r="T2489" s="1"/>
      <c r="U2489" s="1"/>
      <c r="V2489" s="1"/>
      <c r="W2489" s="1"/>
      <c r="X2489" s="1"/>
      <c r="Y2489" s="1"/>
      <c r="Z2489" s="1"/>
      <c r="AA2489" s="1"/>
      <c r="AB2489" s="1"/>
      <c r="AC2489" s="1"/>
      <c r="AD2489" s="1"/>
      <c r="AE2489" s="1"/>
      <c r="AF2489" s="1"/>
      <c r="AG2489" s="1"/>
      <c r="AH2489" s="1"/>
      <c r="AI2489" s="1"/>
      <c r="AJ2489" s="1"/>
      <c r="AK2489" s="1"/>
      <c r="AL2489" s="1"/>
      <c r="AM2489" s="1"/>
      <c r="AN2489" s="1"/>
      <c r="AO2489" s="1"/>
      <c r="AP2489" s="1"/>
      <c r="AQ2489" s="1"/>
      <c r="AR2489" s="1"/>
      <c r="AS2489" s="1"/>
      <c r="AT2489" s="1"/>
      <c r="AU2489" s="1"/>
      <c r="AV2489" s="1"/>
      <c r="AW2489" s="1"/>
      <c r="AX2489" s="1"/>
      <c r="AY2489" s="1"/>
      <c r="AZ2489" s="1"/>
      <c r="BA2489" s="1"/>
      <c r="BB2489" s="1"/>
    </row>
    <row r="2490" ht="204.75" customHeight="1">
      <c r="A2490" s="1">
        <v>2534.0</v>
      </c>
      <c r="B2490" s="2" t="s">
        <v>7749</v>
      </c>
      <c r="C2490" s="2">
        <f>IFERROR(__xludf.DUMMYFUNCTION("split(B2490,""_"")"),1410.0)</f>
        <v>1410</v>
      </c>
      <c r="D2490" s="2" t="str">
        <f>IFERROR(__xludf.DUMMYFUNCTION("""COMPUTED_VALUE"""),"EX")</f>
        <v>EX</v>
      </c>
      <c r="E2490" s="2" t="str">
        <f>IFERROR(__xludf.DUMMYFUNCTION("""COMPUTED_VALUE"""),"金23")</f>
        <v>金23</v>
      </c>
      <c r="F2490" s="2" t="s">
        <v>7750</v>
      </c>
      <c r="G2490" s="2" t="s">
        <v>7766</v>
      </c>
      <c r="H2490" s="1">
        <v>6.0</v>
      </c>
      <c r="I2490" s="1" t="s">
        <v>2888</v>
      </c>
      <c r="J2490" s="1" t="s">
        <v>1435</v>
      </c>
      <c r="K2490" s="2" t="s">
        <v>7767</v>
      </c>
      <c r="L2490" s="11" t="s">
        <v>7768</v>
      </c>
      <c r="M2490" s="2" t="str">
        <f>IFERROR(__xludf.DUMMYFUNCTION("split(split(K2490,""中島健人(Sexy Zone)、"",false),""公式LINE"",false)"),"杏子(佐々木希)に別れを告げられ、傷心の彰(中島健人)…。そんな中、『ジュリエット』が何者かに放火される!『ジュリエット』のホステスと黒服たちは散り散りに系列店へ。売上至上主義の方針に疑問を抱いた彰は『ジュリエット』復活のために奔走する。しかしライバル店『デリシャス』の背後にいる銀龍会の妨害に遭い、なかなか上手く進まない。そこで彰は予想だにしない行動に打って出るのだった!")</f>
        <v>杏子(佐々木希)に別れを告げられ、傷心の彰(中島健人)…。そんな中、『ジュリエット』が何者かに放火される!『ジュリエット』のホステスと黒服たちは散り散りに系列店へ。売上至上主義の方針に疑問を抱いた彰は『ジュリエット』復活のために奔走する。しかしライバル店『デリシャス』の背後にいる銀龍会の妨害に遭い、なかなか上手く進まない。そこで彰は予想だにしない行動に打って出るのだった!</v>
      </c>
      <c r="N2490" s="2"/>
      <c r="O2490" s="2"/>
      <c r="P2490" s="1"/>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c r="AN2490" s="1"/>
      <c r="AO2490" s="1"/>
      <c r="AP2490" s="1"/>
      <c r="AQ2490" s="1"/>
      <c r="AR2490" s="1"/>
      <c r="AS2490" s="1"/>
      <c r="AT2490" s="1"/>
      <c r="AU2490" s="1"/>
      <c r="AV2490" s="1"/>
      <c r="AW2490" s="1"/>
      <c r="AX2490" s="1"/>
      <c r="AY2490" s="1"/>
      <c r="AZ2490" s="1"/>
      <c r="BA2490" s="1"/>
      <c r="BB2490" s="1"/>
    </row>
    <row r="2491" ht="204.75" customHeight="1">
      <c r="A2491" s="1">
        <v>2535.0</v>
      </c>
      <c r="B2491" s="2" t="s">
        <v>7749</v>
      </c>
      <c r="C2491" s="2">
        <f>IFERROR(__xludf.DUMMYFUNCTION("split(B2491,""_"")"),1410.0)</f>
        <v>1410</v>
      </c>
      <c r="D2491" s="2" t="str">
        <f>IFERROR(__xludf.DUMMYFUNCTION("""COMPUTED_VALUE"""),"EX")</f>
        <v>EX</v>
      </c>
      <c r="E2491" s="2" t="str">
        <f>IFERROR(__xludf.DUMMYFUNCTION("""COMPUTED_VALUE"""),"金23")</f>
        <v>金23</v>
      </c>
      <c r="F2491" s="2" t="s">
        <v>7750</v>
      </c>
      <c r="G2491" s="2" t="s">
        <v>7769</v>
      </c>
      <c r="H2491" s="1">
        <v>7.0</v>
      </c>
      <c r="I2491" s="1" t="s">
        <v>2892</v>
      </c>
      <c r="J2491" s="1" t="s">
        <v>1435</v>
      </c>
      <c r="K2491" s="2" t="s">
        <v>7770</v>
      </c>
      <c r="L2491" s="11" t="s">
        <v>7771</v>
      </c>
      <c r="M2491" s="2" t="str">
        <f>IFERROR(__xludf.DUMMYFUNCTION("split(split(K2491,""中島健人(Sexy Zone)、"",false),""公式LINE"",false)"),"新ママに杏子(佐々木希 )を迎え、心機一転動き出した『ニュージュリエット』。だがライバル店『デリシャス』の店長に原田(山本裕典)が就任し、嫌がらせも激化する。そんな中、美樹(柏木由紀)がデリシャスに引き抜かれる!そして、杏子にもストーカーの毒牙が迫っていた!!")</f>
        <v>新ママに杏子(佐々木希 )を迎え、心機一転動き出した『ニュージュリエット』。だがライバル店『デリシャス』の店長に原田(山本裕典)が就任し、嫌がらせも激化する。そんな中、美樹(柏木由紀)がデリシャスに引き抜かれる!そして、杏子にもストーカーの毒牙が迫っていた!!</v>
      </c>
      <c r="N2491" s="2"/>
      <c r="O2491" s="2"/>
      <c r="P2491" s="1"/>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c r="AN2491" s="1"/>
      <c r="AO2491" s="1"/>
      <c r="AP2491" s="1"/>
      <c r="AQ2491" s="1"/>
      <c r="AR2491" s="1"/>
      <c r="AS2491" s="1"/>
      <c r="AT2491" s="1"/>
      <c r="AU2491" s="1"/>
      <c r="AV2491" s="1"/>
      <c r="AW2491" s="1"/>
      <c r="AX2491" s="1"/>
      <c r="AY2491" s="1"/>
      <c r="AZ2491" s="1"/>
      <c r="BA2491" s="1"/>
      <c r="BB2491" s="1"/>
    </row>
    <row r="2492" ht="204.75" customHeight="1">
      <c r="A2492" s="1">
        <v>2536.0</v>
      </c>
      <c r="B2492" s="2" t="s">
        <v>7749</v>
      </c>
      <c r="C2492" s="2">
        <f>IFERROR(__xludf.DUMMYFUNCTION("split(B2492,""_"")"),1410.0)</f>
        <v>1410</v>
      </c>
      <c r="D2492" s="2" t="str">
        <f>IFERROR(__xludf.DUMMYFUNCTION("""COMPUTED_VALUE"""),"EX")</f>
        <v>EX</v>
      </c>
      <c r="E2492" s="2" t="str">
        <f>IFERROR(__xludf.DUMMYFUNCTION("""COMPUTED_VALUE"""),"金23")</f>
        <v>金23</v>
      </c>
      <c r="F2492" s="2" t="s">
        <v>7750</v>
      </c>
      <c r="G2492" s="2" t="s">
        <v>7772</v>
      </c>
      <c r="H2492" s="1">
        <v>8.0</v>
      </c>
      <c r="I2492" s="1" t="s">
        <v>2896</v>
      </c>
      <c r="J2492" s="1" t="s">
        <v>1435</v>
      </c>
      <c r="K2492" s="2" t="s">
        <v>7773</v>
      </c>
      <c r="L2492" s="11" t="s">
        <v>7774</v>
      </c>
      <c r="M2492" s="2" t="str">
        <f>IFERROR(__xludf.DUMMYFUNCTION("split(split(K2492,""中島健人(Sexy Zone)、"",false),""公式LINE"",false)"),"窮地に追い込まれた『ニュージュリエット』は杏子(佐々木希)をキャストに戻し、綾乃(黒川智花)をママに据える。下っ端黒服として再出発した彰(中島健人)。新ママとなった綾乃はキャストらに理不尽な要求を繰り返し、みんなの不満は日に日に高まっていく。さらに、銀龍会の構成員たちが営業妨害に現れ、いよいよ存続が危うくなり…!?ついにすべての黒幕が明らかに…!そして、杏子と彰の禁断の恋にも思いもよらない結末が!")</f>
        <v>窮地に追い込まれた『ニュージュリエット』は杏子(佐々木希)をキャストに戻し、綾乃(黒川智花)をママに据える。下っ端黒服として再出発した彰(中島健人)。新ママとなった綾乃はキャストらに理不尽な要求を繰り返し、みんなの不満は日に日に高まっていく。さらに、銀龍会の構成員たちが営業妨害に現れ、いよいよ存続が危うくなり…!?ついにすべての黒幕が明らかに…!そして、杏子と彰の禁断の恋にも思いもよらない結末が!</v>
      </c>
      <c r="N2492" s="2"/>
      <c r="O2492" s="2"/>
      <c r="P2492" s="1"/>
      <c r="Q2492" s="1"/>
      <c r="R2492" s="1"/>
      <c r="S2492" s="1"/>
      <c r="T2492" s="1"/>
      <c r="U2492" s="1"/>
      <c r="V2492" s="1"/>
      <c r="W2492" s="1"/>
      <c r="X2492" s="1"/>
      <c r="Y2492" s="1"/>
      <c r="Z2492" s="1"/>
      <c r="AA2492" s="1"/>
      <c r="AB2492" s="1"/>
      <c r="AC2492" s="1"/>
      <c r="AD2492" s="1"/>
      <c r="AE2492" s="1"/>
      <c r="AF2492" s="1"/>
      <c r="AG2492" s="1"/>
      <c r="AH2492" s="1"/>
      <c r="AI2492" s="1"/>
      <c r="AJ2492" s="1"/>
      <c r="AK2492" s="1"/>
      <c r="AL2492" s="1"/>
      <c r="AM2492" s="1"/>
      <c r="AN2492" s="1"/>
      <c r="AO2492" s="1"/>
      <c r="AP2492" s="1"/>
      <c r="AQ2492" s="1"/>
      <c r="AR2492" s="1"/>
      <c r="AS2492" s="1"/>
      <c r="AT2492" s="1"/>
      <c r="AU2492" s="1"/>
      <c r="AV2492" s="1"/>
      <c r="AW2492" s="1"/>
      <c r="AX2492" s="1"/>
      <c r="AY2492" s="1"/>
      <c r="AZ2492" s="1"/>
      <c r="BA2492" s="1"/>
      <c r="BB2492" s="1"/>
    </row>
    <row r="2493" ht="204.75" customHeight="1">
      <c r="A2493" s="1">
        <v>2623.0</v>
      </c>
      <c r="B2493" s="2" t="s">
        <v>7775</v>
      </c>
      <c r="C2493" s="2">
        <f>IFERROR(__xludf.DUMMYFUNCTION("split(B2493,""_"")"),1407.0)</f>
        <v>1407</v>
      </c>
      <c r="D2493" s="2" t="str">
        <f>IFERROR(__xludf.DUMMYFUNCTION("""COMPUTED_VALUE"""),"EX")</f>
        <v>EX</v>
      </c>
      <c r="E2493" s="2" t="str">
        <f>IFERROR(__xludf.DUMMYFUNCTION("""COMPUTED_VALUE"""),"木20")</f>
        <v>木20</v>
      </c>
      <c r="F2493" s="2" t="s">
        <v>7776</v>
      </c>
      <c r="G2493" s="2" t="s">
        <v>7777</v>
      </c>
      <c r="H2493" s="1">
        <v>1.0</v>
      </c>
      <c r="I2493" s="1" t="s">
        <v>2868</v>
      </c>
      <c r="J2493" s="1" t="s">
        <v>7778</v>
      </c>
      <c r="K2493" s="4" t="s">
        <v>7779</v>
      </c>
      <c r="L2493" s="11" t="s">
        <v>7780</v>
      </c>
      <c r="M2493" s="2" t="str">
        <f>IFERROR(__xludf.DUMMYFUNCTION("split(split(K2493,""玉森裕太(Kis-My-Ft2)、"",false),""公式LINE"",false)"),"織田信長の料理人となった平成のフレンチシェフ・ケンの物語『第二章』が幕を開ける!  「信長の敵は内部にいるかも?」という明智光秀の言葉が気になるケン。  そんな折、“最も危険な人物""松永久秀が信長の家臣に!　　　  信長は「お主の料理で久秀の腹の中を見せよ」とケンに命じる。  そして甲斐の虎・武田信玄も打倒信長に動き出す!  一方、石山本願寺の顕如は謎の女料理人・香蓮に信長への料理に毒を盛れと命じるが…!?")</f>
        <v>織田信長の料理人となった平成のフレンチシェフ・ケンの物語『第二章』が幕を開ける!  「信長の敵は内部にいるかも?」という明智光秀の言葉が気になるケン。  そんな折、“最も危険な人物"松永久秀が信長の家臣に!　　　  信長は「お主の料理で久秀の腹の中を見せよ」とケンに命じる。  そして甲斐の虎・武田信玄も打倒信長に動き出す!  一方、石山本願寺の顕如は謎の女料理人・香蓮に信長への料理に毒を盛れと命じるが…!?</v>
      </c>
      <c r="N2493" s="2"/>
      <c r="O2493" s="2"/>
      <c r="P2493" s="1"/>
      <c r="Q2493" s="1"/>
      <c r="R2493" s="1"/>
      <c r="S2493" s="1"/>
      <c r="T2493" s="1"/>
      <c r="U2493" s="1"/>
      <c r="V2493" s="1"/>
      <c r="W2493" s="1"/>
      <c r="X2493" s="1"/>
      <c r="Y2493" s="1"/>
      <c r="Z2493" s="1"/>
      <c r="AA2493" s="1"/>
      <c r="AB2493" s="1"/>
      <c r="AC2493" s="1"/>
      <c r="AD2493" s="1"/>
      <c r="AE2493" s="1"/>
      <c r="AF2493" s="1"/>
      <c r="AG2493" s="1"/>
      <c r="AH2493" s="1"/>
      <c r="AI2493" s="1"/>
      <c r="AJ2493" s="1"/>
      <c r="AK2493" s="1"/>
      <c r="AL2493" s="1"/>
      <c r="AM2493" s="1"/>
      <c r="AN2493" s="1"/>
      <c r="AO2493" s="1"/>
      <c r="AP2493" s="1"/>
      <c r="AQ2493" s="1"/>
      <c r="AR2493" s="1"/>
      <c r="AS2493" s="1"/>
      <c r="AT2493" s="1"/>
      <c r="AU2493" s="1"/>
      <c r="AV2493" s="1"/>
      <c r="AW2493" s="1"/>
      <c r="AX2493" s="1"/>
      <c r="AY2493" s="1"/>
      <c r="AZ2493" s="1"/>
      <c r="BA2493" s="1"/>
      <c r="BB2493" s="1"/>
    </row>
    <row r="2494" ht="204.75" customHeight="1">
      <c r="A2494" s="1">
        <v>2624.0</v>
      </c>
      <c r="B2494" s="2" t="s">
        <v>7775</v>
      </c>
      <c r="C2494" s="2">
        <f>IFERROR(__xludf.DUMMYFUNCTION("split(B2494,""_"")"),1407.0)</f>
        <v>1407</v>
      </c>
      <c r="D2494" s="2" t="str">
        <f>IFERROR(__xludf.DUMMYFUNCTION("""COMPUTED_VALUE"""),"EX")</f>
        <v>EX</v>
      </c>
      <c r="E2494" s="2" t="str">
        <f>IFERROR(__xludf.DUMMYFUNCTION("""COMPUTED_VALUE"""),"木20")</f>
        <v>木20</v>
      </c>
      <c r="F2494" s="2" t="s">
        <v>7776</v>
      </c>
      <c r="G2494" s="2" t="s">
        <v>7781</v>
      </c>
      <c r="H2494" s="1">
        <v>2.0</v>
      </c>
      <c r="I2494" s="1" t="s">
        <v>2872</v>
      </c>
      <c r="J2494" s="1" t="s">
        <v>2809</v>
      </c>
      <c r="K2494" s="2" t="s">
        <v>7782</v>
      </c>
      <c r="L2494" s="11" t="s">
        <v>7783</v>
      </c>
      <c r="M2494" s="2" t="str">
        <f>IFERROR(__xludf.DUMMYFUNCTION("split(split(K2494,""玉森裕太(Kis-My-Ft2)、"",false),""公式LINE"",false)"),"とうとう比叡山の焼き討ちを宣言した信長(及川光博)。  秀吉(ゴリ)、勝家らは、ケン(玉森裕太)に信長の真意を確かめるよう助言。比叡山の焼き討ちで女子供を惨殺させたくないと考えるケンの前に濃姫(斉藤由貴)が現れ、ある衝撃的な出来事を語り始める!!  ケンの料理で、信長の意図を家臣たちに伝えられるのか!?")</f>
        <v>とうとう比叡山の焼き討ちを宣言した信長(及川光博)。  秀吉(ゴリ)、勝家らは、ケン(玉森裕太)に信長の真意を確かめるよう助言。比叡山の焼き討ちで女子供を惨殺させたくないと考えるケンの前に濃姫(斉藤由貴)が現れ、ある衝撃的な出来事を語り始める!!  ケンの料理で、信長の意図を家臣たちに伝えられるのか!?</v>
      </c>
      <c r="N2494" s="2"/>
      <c r="O2494" s="2"/>
      <c r="P2494" s="1"/>
      <c r="Q2494" s="1"/>
      <c r="R2494" s="1"/>
      <c r="S2494" s="1"/>
      <c r="T2494" s="1"/>
      <c r="U2494" s="1"/>
      <c r="V2494" s="1"/>
      <c r="W2494" s="1"/>
      <c r="X2494" s="1"/>
      <c r="Y2494" s="1"/>
      <c r="Z2494" s="1"/>
      <c r="AA2494" s="1"/>
      <c r="AB2494" s="1"/>
      <c r="AC2494" s="1"/>
      <c r="AD2494" s="1"/>
      <c r="AE2494" s="1"/>
      <c r="AF2494" s="1"/>
      <c r="AG2494" s="1"/>
      <c r="AH2494" s="1"/>
      <c r="AI2494" s="1"/>
      <c r="AJ2494" s="1"/>
      <c r="AK2494" s="1"/>
      <c r="AL2494" s="1"/>
      <c r="AM2494" s="1"/>
      <c r="AN2494" s="1"/>
      <c r="AO2494" s="1"/>
      <c r="AP2494" s="1"/>
      <c r="AQ2494" s="1"/>
      <c r="AR2494" s="1"/>
      <c r="AS2494" s="1"/>
      <c r="AT2494" s="1"/>
      <c r="AU2494" s="1"/>
      <c r="AV2494" s="1"/>
      <c r="AW2494" s="1"/>
      <c r="AX2494" s="1"/>
      <c r="AY2494" s="1"/>
      <c r="AZ2494" s="1"/>
      <c r="BA2494" s="1"/>
      <c r="BB2494" s="1"/>
    </row>
    <row r="2495" ht="204.75" customHeight="1">
      <c r="A2495" s="1">
        <v>2625.0</v>
      </c>
      <c r="B2495" s="2" t="s">
        <v>7775</v>
      </c>
      <c r="C2495" s="2">
        <f>IFERROR(__xludf.DUMMYFUNCTION("split(B2495,""_"")"),1407.0)</f>
        <v>1407</v>
      </c>
      <c r="D2495" s="2" t="str">
        <f>IFERROR(__xludf.DUMMYFUNCTION("""COMPUTED_VALUE"""),"EX")</f>
        <v>EX</v>
      </c>
      <c r="E2495" s="2" t="str">
        <f>IFERROR(__xludf.DUMMYFUNCTION("""COMPUTED_VALUE"""),"木20")</f>
        <v>木20</v>
      </c>
      <c r="F2495" s="2" t="s">
        <v>7776</v>
      </c>
      <c r="G2495" s="2" t="s">
        <v>7784</v>
      </c>
      <c r="H2495" s="1">
        <v>3.0</v>
      </c>
      <c r="I2495" s="1" t="s">
        <v>2876</v>
      </c>
      <c r="J2495" s="1" t="s">
        <v>2809</v>
      </c>
      <c r="K2495" s="2" t="s">
        <v>7785</v>
      </c>
      <c r="L2495" s="11" t="s">
        <v>7786</v>
      </c>
      <c r="M2495" s="2" t="str">
        <f>IFERROR(__xludf.DUMMYFUNCTION("split(split(K2495,""玉森裕太(Kis-My-Ft2)、"",false),""公式LINE"",false)"),"比叡山の焼き討ちで、足利義昭、顕如らはより一層、織田信長討伐への思いを強める。そしてついに甲斐の虎・武田信玄も信長の首を獲るべく、動き出そうとしていた。そんな中、松永久秀は、三好義継と手を組み、信長に対して謀反を起こす!松永の動きを知った信玄は、秋山信友を使い、ケンと夏を拉致させる!ケンに“武田信玄""の料理を作るように命じ、自分にふさわしくない料理であれば、即刻ケンも夏も殺害する、と言う信玄だが…")</f>
        <v>比叡山の焼き討ちで、足利義昭、顕如らはより一層、織田信長討伐への思いを強める。そしてついに甲斐の虎・武田信玄も信長の首を獲るべく、動き出そうとしていた。そんな中、松永久秀は、三好義継と手を組み、信長に対して謀反を起こす!松永の動きを知った信玄は、秋山信友を使い、ケンと夏を拉致させる!ケンに“武田信玄"の料理を作るように命じ、自分にふさわしくない料理であれば、即刻ケンも夏も殺害する、と言う信玄だが…</v>
      </c>
      <c r="N2495" s="2"/>
      <c r="O2495" s="2"/>
      <c r="P2495" s="1"/>
      <c r="Q2495" s="1"/>
      <c r="R2495" s="1"/>
      <c r="S2495" s="1"/>
      <c r="T2495" s="1"/>
      <c r="U2495" s="1"/>
      <c r="V2495" s="1"/>
      <c r="W2495" s="1"/>
      <c r="X2495" s="1"/>
      <c r="Y2495" s="1"/>
      <c r="Z2495" s="1"/>
      <c r="AA2495" s="1"/>
      <c r="AB2495" s="1"/>
      <c r="AC2495" s="1"/>
      <c r="AD2495" s="1"/>
      <c r="AE2495" s="1"/>
      <c r="AF2495" s="1"/>
      <c r="AG2495" s="1"/>
      <c r="AH2495" s="1"/>
      <c r="AI2495" s="1"/>
      <c r="AJ2495" s="1"/>
      <c r="AK2495" s="1"/>
      <c r="AL2495" s="1"/>
      <c r="AM2495" s="1"/>
      <c r="AN2495" s="1"/>
      <c r="AO2495" s="1"/>
      <c r="AP2495" s="1"/>
      <c r="AQ2495" s="1"/>
      <c r="AR2495" s="1"/>
      <c r="AS2495" s="1"/>
      <c r="AT2495" s="1"/>
      <c r="AU2495" s="1"/>
      <c r="AV2495" s="1"/>
      <c r="AW2495" s="1"/>
      <c r="AX2495" s="1"/>
      <c r="AY2495" s="1"/>
      <c r="AZ2495" s="1"/>
      <c r="BA2495" s="1"/>
      <c r="BB2495" s="1"/>
    </row>
    <row r="2496" ht="204.75" customHeight="1">
      <c r="A2496" s="1">
        <v>2626.0</v>
      </c>
      <c r="B2496" s="2" t="s">
        <v>7775</v>
      </c>
      <c r="C2496" s="2">
        <f>IFERROR(__xludf.DUMMYFUNCTION("split(B2496,""_"")"),1407.0)</f>
        <v>1407</v>
      </c>
      <c r="D2496" s="2" t="str">
        <f>IFERROR(__xludf.DUMMYFUNCTION("""COMPUTED_VALUE"""),"EX")</f>
        <v>EX</v>
      </c>
      <c r="E2496" s="2" t="str">
        <f>IFERROR(__xludf.DUMMYFUNCTION("""COMPUTED_VALUE"""),"木20")</f>
        <v>木20</v>
      </c>
      <c r="F2496" s="2" t="s">
        <v>7776</v>
      </c>
      <c r="G2496" s="2" t="s">
        <v>7787</v>
      </c>
      <c r="H2496" s="1">
        <v>4.0</v>
      </c>
      <c r="I2496" s="1" t="s">
        <v>2880</v>
      </c>
      <c r="J2496" s="1" t="s">
        <v>2809</v>
      </c>
      <c r="K2496" s="2" t="s">
        <v>7788</v>
      </c>
      <c r="L2496" s="11" t="s">
        <v>7789</v>
      </c>
      <c r="M2496" s="2" t="str">
        <f>IFERROR(__xludf.DUMMYFUNCTION("split(split(K2496,""玉森裕太(Kis-My-Ft2)、"",false),""公式LINE"",false)"),"武田信玄に捕らわれたケンは、料理人として仕える事に!楓はケンに、隙を見て信玄に毒を盛り、殺害するよう告げる…。  そんな中、信玄の息子・勝頼に見初められた夏は、侍女として屋敷で身の回りの世話をすることに。このままでは夏と離れてしまうケン。信長からは餞別の包丁まで届き、混乱していく。ついに信玄が京へ向かうことを決意し、ケンに帯同するよう命じる!信長と信玄は、ケンの目の前で戦うことになってしまうのか!?")</f>
        <v>武田信玄に捕らわれたケンは、料理人として仕える事に!楓はケンに、隙を見て信玄に毒を盛り、殺害するよう告げる…。  そんな中、信玄の息子・勝頼に見初められた夏は、侍女として屋敷で身の回りの世話をすることに。このままでは夏と離れてしまうケン。信長からは餞別の包丁まで届き、混乱していく。ついに信玄が京へ向かうことを決意し、ケンに帯同するよう命じる!信長と信玄は、ケンの目の前で戦うことになってしまうのか!?</v>
      </c>
      <c r="N2496" s="2"/>
      <c r="O2496" s="2"/>
      <c r="P2496" s="1"/>
      <c r="Q2496" s="1"/>
      <c r="R2496" s="1"/>
      <c r="S2496" s="1"/>
      <c r="T2496" s="1"/>
      <c r="U2496" s="1"/>
      <c r="V2496" s="1"/>
      <c r="W2496" s="1"/>
      <c r="X2496" s="1"/>
      <c r="Y2496" s="1"/>
      <c r="Z2496" s="1"/>
      <c r="AA2496" s="1"/>
      <c r="AB2496" s="1"/>
      <c r="AC2496" s="1"/>
      <c r="AD2496" s="1"/>
      <c r="AE2496" s="1"/>
      <c r="AF2496" s="1"/>
      <c r="AG2496" s="1"/>
      <c r="AH2496" s="1"/>
      <c r="AI2496" s="1"/>
      <c r="AJ2496" s="1"/>
      <c r="AK2496" s="1"/>
      <c r="AL2496" s="1"/>
      <c r="AM2496" s="1"/>
      <c r="AN2496" s="1"/>
      <c r="AO2496" s="1"/>
      <c r="AP2496" s="1"/>
      <c r="AQ2496" s="1"/>
      <c r="AR2496" s="1"/>
      <c r="AS2496" s="1"/>
      <c r="AT2496" s="1"/>
      <c r="AU2496" s="1"/>
      <c r="AV2496" s="1"/>
      <c r="AW2496" s="1"/>
      <c r="AX2496" s="1"/>
      <c r="AY2496" s="1"/>
      <c r="AZ2496" s="1"/>
      <c r="BA2496" s="1"/>
      <c r="BB2496" s="1"/>
    </row>
    <row r="2497" ht="204.75" customHeight="1">
      <c r="A2497" s="1">
        <v>2627.0</v>
      </c>
      <c r="B2497" s="2" t="s">
        <v>7775</v>
      </c>
      <c r="C2497" s="2">
        <f>IFERROR(__xludf.DUMMYFUNCTION("split(B2497,""_"")"),1407.0)</f>
        <v>1407</v>
      </c>
      <c r="D2497" s="2" t="str">
        <f>IFERROR(__xludf.DUMMYFUNCTION("""COMPUTED_VALUE"""),"EX")</f>
        <v>EX</v>
      </c>
      <c r="E2497" s="2" t="str">
        <f>IFERROR(__xludf.DUMMYFUNCTION("""COMPUTED_VALUE"""),"木20")</f>
        <v>木20</v>
      </c>
      <c r="F2497" s="2" t="s">
        <v>7776</v>
      </c>
      <c r="G2497" s="2" t="s">
        <v>7790</v>
      </c>
      <c r="H2497" s="1">
        <v>5.0</v>
      </c>
      <c r="I2497" s="1" t="s">
        <v>2884</v>
      </c>
      <c r="J2497" s="1" t="s">
        <v>2809</v>
      </c>
      <c r="K2497" s="2" t="s">
        <v>7791</v>
      </c>
      <c r="L2497" s="11" t="s">
        <v>7792</v>
      </c>
      <c r="M2497" s="2" t="str">
        <f>IFERROR(__xludf.DUMMYFUNCTION("split(split(K2497,""玉森裕太(Kis-My-Ft2)、"",false),""公式LINE"",false)"),"京に上ることを決めた武田信玄(高嶋政伸)は、その要請をするため重臣を招いた宴を催し、そこでケン(玉森裕太)に料理を作るよう命じる!  「己の望むまま、死ぬ覚悟で戦え」と包丁を送ってくれた織田信長(及川光博)の思いに報いるためにも、なんとか信玄の上洛を止め、夏(志田未来)とともに信長の元へ帰ろうと考えるケン。そんな中、信玄の体調が思わしくなくなり…。信玄はケンに思わぬ行動をとる!")</f>
        <v>京に上ることを決めた武田信玄(高嶋政伸)は、その要請をするため重臣を招いた宴を催し、そこでケン(玉森裕太)に料理を作るよう命じる!  「己の望むまま、死ぬ覚悟で戦え」と包丁を送ってくれた織田信長(及川光博)の思いに報いるためにも、なんとか信玄の上洛を止め、夏(志田未来)とともに信長の元へ帰ろうと考えるケン。そんな中、信玄の体調が思わしくなくなり…。信玄はケンに思わぬ行動をとる!</v>
      </c>
      <c r="N2497" s="2"/>
      <c r="O2497" s="2"/>
      <c r="P2497" s="1"/>
      <c r="Q2497" s="1"/>
      <c r="R2497" s="1"/>
      <c r="S2497" s="1"/>
      <c r="T2497" s="1"/>
      <c r="U2497" s="1"/>
      <c r="V2497" s="1"/>
      <c r="W2497" s="1"/>
      <c r="X2497" s="1"/>
      <c r="Y2497" s="1"/>
      <c r="Z2497" s="1"/>
      <c r="AA2497" s="1"/>
      <c r="AB2497" s="1"/>
      <c r="AC2497" s="1"/>
      <c r="AD2497" s="1"/>
      <c r="AE2497" s="1"/>
      <c r="AF2497" s="1"/>
      <c r="AG2497" s="1"/>
      <c r="AH2497" s="1"/>
      <c r="AI2497" s="1"/>
      <c r="AJ2497" s="1"/>
      <c r="AK2497" s="1"/>
      <c r="AL2497" s="1"/>
      <c r="AM2497" s="1"/>
      <c r="AN2497" s="1"/>
      <c r="AO2497" s="1"/>
      <c r="AP2497" s="1"/>
      <c r="AQ2497" s="1"/>
      <c r="AR2497" s="1"/>
      <c r="AS2497" s="1"/>
      <c r="AT2497" s="1"/>
      <c r="AU2497" s="1"/>
      <c r="AV2497" s="1"/>
      <c r="AW2497" s="1"/>
      <c r="AX2497" s="1"/>
      <c r="AY2497" s="1"/>
      <c r="AZ2497" s="1"/>
      <c r="BA2497" s="1"/>
      <c r="BB2497" s="1"/>
    </row>
    <row r="2498" ht="204.75" customHeight="1">
      <c r="A2498" s="1">
        <v>2628.0</v>
      </c>
      <c r="B2498" s="2" t="s">
        <v>7775</v>
      </c>
      <c r="C2498" s="2">
        <f>IFERROR(__xludf.DUMMYFUNCTION("split(B2498,""_"")"),1407.0)</f>
        <v>1407</v>
      </c>
      <c r="D2498" s="2" t="str">
        <f>IFERROR(__xludf.DUMMYFUNCTION("""COMPUTED_VALUE"""),"EX")</f>
        <v>EX</v>
      </c>
      <c r="E2498" s="2" t="str">
        <f>IFERROR(__xludf.DUMMYFUNCTION("""COMPUTED_VALUE"""),"木20")</f>
        <v>木20</v>
      </c>
      <c r="F2498" s="2" t="s">
        <v>7776</v>
      </c>
      <c r="G2498" s="2" t="s">
        <v>7793</v>
      </c>
      <c r="H2498" s="1">
        <v>6.0</v>
      </c>
      <c r="I2498" s="1" t="s">
        <v>2888</v>
      </c>
      <c r="J2498" s="1" t="s">
        <v>2809</v>
      </c>
      <c r="K2498" s="2" t="s">
        <v>7794</v>
      </c>
      <c r="L2498" s="11" t="s">
        <v>7795</v>
      </c>
      <c r="M2498" s="2" t="str">
        <f>IFERROR(__xludf.DUMMYFUNCTION("split(split(K2498,""玉森裕太(Kis-My-Ft2)、"",false),""公式LINE"",false)"),"武田信玄VS徳川家康!  信長から「家康を救い出せ」という命令に、ケン(玉森裕太)は戸惑うが…。実は信長(及川光博)には策があり、足利義昭、顕如らによる包囲網を突破!  家康は、信玄の首を獲ってやろうと考え、出陣を決意!だが歴史上、家康が三方ケ原で信玄に大敗することを思い出したケンは、家康を止めようとするが…!?")</f>
        <v>武田信玄VS徳川家康!  信長から「家康を救い出せ」という命令に、ケン(玉森裕太)は戸惑うが…。実は信長(及川光博)には策があり、足利義昭、顕如らによる包囲網を突破!  家康は、信玄の首を獲ってやろうと考え、出陣を決意!だが歴史上、家康が三方ケ原で信玄に大敗することを思い出したケンは、家康を止めようとするが…!?</v>
      </c>
      <c r="N2498" s="2"/>
      <c r="O2498" s="2"/>
      <c r="P2498" s="1"/>
      <c r="Q2498" s="1"/>
      <c r="R2498" s="1"/>
      <c r="S2498" s="1"/>
      <c r="T2498" s="1"/>
      <c r="U2498" s="1"/>
      <c r="V2498" s="1"/>
      <c r="W2498" s="1"/>
      <c r="X2498" s="1"/>
      <c r="Y2498" s="1"/>
      <c r="Z2498" s="1"/>
      <c r="AA2498" s="1"/>
      <c r="AB2498" s="1"/>
      <c r="AC2498" s="1"/>
      <c r="AD2498" s="1"/>
      <c r="AE2498" s="1"/>
      <c r="AF2498" s="1"/>
      <c r="AG2498" s="1"/>
      <c r="AH2498" s="1"/>
      <c r="AI2498" s="1"/>
      <c r="AJ2498" s="1"/>
      <c r="AK2498" s="1"/>
      <c r="AL2498" s="1"/>
      <c r="AM2498" s="1"/>
      <c r="AN2498" s="1"/>
      <c r="AO2498" s="1"/>
      <c r="AP2498" s="1"/>
      <c r="AQ2498" s="1"/>
      <c r="AR2498" s="1"/>
      <c r="AS2498" s="1"/>
      <c r="AT2498" s="1"/>
      <c r="AU2498" s="1"/>
      <c r="AV2498" s="1"/>
      <c r="AW2498" s="1"/>
      <c r="AX2498" s="1"/>
      <c r="AY2498" s="1"/>
      <c r="AZ2498" s="1"/>
      <c r="BA2498" s="1"/>
      <c r="BB2498" s="1"/>
    </row>
    <row r="2499" ht="204.75" customHeight="1">
      <c r="A2499" s="1">
        <v>2629.0</v>
      </c>
      <c r="B2499" s="2" t="s">
        <v>7775</v>
      </c>
      <c r="C2499" s="2">
        <f>IFERROR(__xludf.DUMMYFUNCTION("split(B2499,""_"")"),1407.0)</f>
        <v>1407</v>
      </c>
      <c r="D2499" s="2" t="str">
        <f>IFERROR(__xludf.DUMMYFUNCTION("""COMPUTED_VALUE"""),"EX")</f>
        <v>EX</v>
      </c>
      <c r="E2499" s="2" t="str">
        <f>IFERROR(__xludf.DUMMYFUNCTION("""COMPUTED_VALUE"""),"木20")</f>
        <v>木20</v>
      </c>
      <c r="F2499" s="2" t="s">
        <v>7776</v>
      </c>
      <c r="G2499" s="2" t="s">
        <v>7796</v>
      </c>
      <c r="H2499" s="1">
        <v>7.0</v>
      </c>
      <c r="I2499" s="1" t="s">
        <v>2892</v>
      </c>
      <c r="J2499" s="1" t="s">
        <v>2809</v>
      </c>
      <c r="K2499" s="2" t="s">
        <v>7797</v>
      </c>
      <c r="L2499" s="11" t="s">
        <v>7798</v>
      </c>
      <c r="M2499" s="2" t="str">
        <f>IFERROR(__xludf.DUMMYFUNCTION("split(split(K2499,""玉森裕太(Kis-My-Ft2)、"",false),""公式LINE"",false)"),"食材がすっぽんだと知った義昭は、ケンと明智光秀に対し、怒りのあまり刀を抜く!義昭が定めた元号である『元亀』にも用いられている“亀""を食べさせたことで「将軍家を愚弄した…」というのが義昭の大義名分だった。  しかし光秀の機転で二人は二条城を脱出。すぐさま挙兵した義昭に対し、信長も総力をあげて出陣する事に!!")</f>
        <v>食材がすっぽんだと知った義昭は、ケンと明智光秀に対し、怒りのあまり刀を抜く!義昭が定めた元号である『元亀』にも用いられている“亀"を食べさせたことで「将軍家を愚弄した…」というのが義昭の大義名分だった。  しかし光秀の機転で二人は二条城を脱出。すぐさま挙兵した義昭に対し、信長も総力をあげて出陣する事に!!</v>
      </c>
      <c r="N2499" s="2"/>
      <c r="O2499" s="2"/>
      <c r="P2499" s="1"/>
      <c r="Q2499" s="1"/>
      <c r="R2499" s="1"/>
      <c r="S2499" s="1"/>
      <c r="T2499" s="1"/>
      <c r="U2499" s="1"/>
      <c r="V2499" s="1"/>
      <c r="W2499" s="1"/>
      <c r="X2499" s="1"/>
      <c r="Y2499" s="1"/>
      <c r="Z2499" s="1"/>
      <c r="AA2499" s="1"/>
      <c r="AB2499" s="1"/>
      <c r="AC2499" s="1"/>
      <c r="AD2499" s="1"/>
      <c r="AE2499" s="1"/>
      <c r="AF2499" s="1"/>
      <c r="AG2499" s="1"/>
      <c r="AH2499" s="1"/>
      <c r="AI2499" s="1"/>
      <c r="AJ2499" s="1"/>
      <c r="AK2499" s="1"/>
      <c r="AL2499" s="1"/>
      <c r="AM2499" s="1"/>
      <c r="AN2499" s="1"/>
      <c r="AO2499" s="1"/>
      <c r="AP2499" s="1"/>
      <c r="AQ2499" s="1"/>
      <c r="AR2499" s="1"/>
      <c r="AS2499" s="1"/>
      <c r="AT2499" s="1"/>
      <c r="AU2499" s="1"/>
      <c r="AV2499" s="1"/>
      <c r="AW2499" s="1"/>
      <c r="AX2499" s="1"/>
      <c r="AY2499" s="1"/>
      <c r="AZ2499" s="1"/>
      <c r="BA2499" s="1"/>
      <c r="BB2499" s="1"/>
    </row>
    <row r="2500" ht="204.75" customHeight="1">
      <c r="A2500" s="1">
        <v>2630.0</v>
      </c>
      <c r="B2500" s="2" t="s">
        <v>7775</v>
      </c>
      <c r="C2500" s="2">
        <f>IFERROR(__xludf.DUMMYFUNCTION("split(B2500,""_"")"),1407.0)</f>
        <v>1407</v>
      </c>
      <c r="D2500" s="2" t="str">
        <f>IFERROR(__xludf.DUMMYFUNCTION("""COMPUTED_VALUE"""),"EX")</f>
        <v>EX</v>
      </c>
      <c r="E2500" s="2" t="str">
        <f>IFERROR(__xludf.DUMMYFUNCTION("""COMPUTED_VALUE"""),"木20")</f>
        <v>木20</v>
      </c>
      <c r="F2500" s="2" t="s">
        <v>7776</v>
      </c>
      <c r="G2500" s="2" t="s">
        <v>7799</v>
      </c>
      <c r="H2500" s="1">
        <v>8.0</v>
      </c>
      <c r="I2500" s="1" t="s">
        <v>2896</v>
      </c>
      <c r="J2500" s="1" t="s">
        <v>2809</v>
      </c>
      <c r="K2500" s="2" t="s">
        <v>7800</v>
      </c>
      <c r="L2500" s="11" t="s">
        <v>7801</v>
      </c>
      <c r="M2500" s="2" t="str">
        <f>IFERROR(__xludf.DUMMYFUNCTION("split(split(K2500,""玉森裕太(Kis-My-Ft2)、"",false),""公式LINE"",false)"),"朝倉・浅井軍の殲滅に乗り出した織田信長は、ケンを浅井長政の居城・小谷城に潜入させ、長政の真意を確かめるよう命じる。その道中、明智光秀が現れ「平成に帰ることができる」とケンに忠告をするが、ケンは「お市様を放っておけない」と…。光秀はケンへの不快感を募らせるのだった。一方信長は、破竹の勢いで朝倉軍を撃破。信長に妹・お市の方を殺させたくないケンは、無事に小谷城からお市の方たちを助け出すことはできるのか?")</f>
        <v>朝倉・浅井軍の殲滅に乗り出した織田信長は、ケンを浅井長政の居城・小谷城に潜入させ、長政の真意を確かめるよう命じる。その道中、明智光秀が現れ「平成に帰ることができる」とケンに忠告をするが、ケンは「お市様を放っておけない」と…。光秀はケンへの不快感を募らせるのだった。一方信長は、破竹の勢いで朝倉軍を撃破。信長に妹・お市の方を殺させたくないケンは、無事に小谷城からお市の方たちを助け出すことはできるのか?</v>
      </c>
      <c r="N2500" s="2"/>
      <c r="O2500" s="2"/>
      <c r="P2500" s="1"/>
      <c r="Q2500" s="1"/>
      <c r="R2500" s="1"/>
      <c r="S2500" s="1"/>
      <c r="T2500" s="1"/>
      <c r="U2500" s="1"/>
      <c r="V2500" s="1"/>
      <c r="W2500" s="1"/>
      <c r="X2500" s="1"/>
      <c r="Y2500" s="1"/>
      <c r="Z2500" s="1"/>
      <c r="AA2500" s="1"/>
      <c r="AB2500" s="1"/>
      <c r="AC2500" s="1"/>
      <c r="AD2500" s="1"/>
      <c r="AE2500" s="1"/>
      <c r="AF2500" s="1"/>
      <c r="AG2500" s="1"/>
      <c r="AH2500" s="1"/>
      <c r="AI2500" s="1"/>
      <c r="AJ2500" s="1"/>
      <c r="AK2500" s="1"/>
      <c r="AL2500" s="1"/>
      <c r="AM2500" s="1"/>
      <c r="AN2500" s="1"/>
      <c r="AO2500" s="1"/>
      <c r="AP2500" s="1"/>
      <c r="AQ2500" s="1"/>
      <c r="AR2500" s="1"/>
      <c r="AS2500" s="1"/>
      <c r="AT2500" s="1"/>
      <c r="AU2500" s="1"/>
      <c r="AV2500" s="1"/>
      <c r="AW2500" s="1"/>
      <c r="AX2500" s="1"/>
      <c r="AY2500" s="1"/>
      <c r="AZ2500" s="1"/>
      <c r="BA2500" s="1"/>
      <c r="BB2500" s="1"/>
    </row>
    <row r="2501" ht="204.75" customHeight="1">
      <c r="A2501" s="1">
        <v>2641.0</v>
      </c>
      <c r="B2501" s="2" t="s">
        <v>7802</v>
      </c>
      <c r="C2501" s="2">
        <f>IFERROR(__xludf.DUMMYFUNCTION("split(B2501,""_"")"),1407.0)</f>
        <v>1407</v>
      </c>
      <c r="D2501" s="2" t="str">
        <f>IFERROR(__xludf.DUMMYFUNCTION("""COMPUTED_VALUE"""),"EX")</f>
        <v>EX</v>
      </c>
      <c r="E2501" s="2" t="str">
        <f>IFERROR(__xludf.DUMMYFUNCTION("""COMPUTED_VALUE"""),"木21")</f>
        <v>木21</v>
      </c>
      <c r="F2501" s="2" t="s">
        <v>7803</v>
      </c>
      <c r="G2501" s="2" t="s">
        <v>7804</v>
      </c>
      <c r="H2501" s="1">
        <v>1.0</v>
      </c>
      <c r="I2501" s="1" t="s">
        <v>2868</v>
      </c>
      <c r="J2501" s="1" t="s">
        <v>4</v>
      </c>
      <c r="K2501" s="4" t="s">
        <v>7805</v>
      </c>
      <c r="L2501" s="11" t="s">
        <v>7806</v>
      </c>
      <c r="M2501" s="2" t="str">
        <f>IFERROR(__xludf.DUMMYFUNCTION("split(split(K2501,""武井咲、"",false),""公式LINE"",false)"),"建設現場で発見され、中央監察医務院に運び込まれた意識不明の現場監督。建設現場の足場から落ちたとみられ、転落死とされた。ところが夫の死にどうしても納得できないと妻に訴えられ、真央(武井咲)は死因を調べ始める。すると、男性は単純に足場から落ちて頭を打ったのではないことが判明。事件性が浮上し司法解剖することになるーー。")</f>
        <v>建設現場で発見され、中央監察医務院に運び込まれた意識不明の現場監督。建設現場の足場から落ちたとみられ、転落死とされた。ところが夫の死にどうしても納得できないと妻に訴えられ、真央(武井咲)は死因を調べ始める。すると、男性は単純に足場から落ちて頭を打ったのではないことが判明。事件性が浮上し司法解剖することになるーー。</v>
      </c>
      <c r="N2501" s="2"/>
      <c r="O2501" s="2"/>
      <c r="P2501" s="1"/>
      <c r="Q2501" s="1"/>
      <c r="R2501" s="1"/>
      <c r="S2501" s="1"/>
      <c r="T2501" s="1"/>
      <c r="U2501" s="1"/>
      <c r="V2501" s="1"/>
      <c r="W2501" s="1"/>
      <c r="X2501" s="1"/>
      <c r="Y2501" s="1"/>
      <c r="Z2501" s="1"/>
      <c r="AA2501" s="1"/>
      <c r="AB2501" s="1"/>
      <c r="AC2501" s="1"/>
      <c r="AD2501" s="1"/>
      <c r="AE2501" s="1"/>
      <c r="AF2501" s="1"/>
      <c r="AG2501" s="1"/>
      <c r="AH2501" s="1"/>
      <c r="AI2501" s="1"/>
      <c r="AJ2501" s="1"/>
      <c r="AK2501" s="1"/>
      <c r="AL2501" s="1"/>
      <c r="AM2501" s="1"/>
      <c r="AN2501" s="1"/>
      <c r="AO2501" s="1"/>
      <c r="AP2501" s="1"/>
      <c r="AQ2501" s="1"/>
      <c r="AR2501" s="1"/>
      <c r="AS2501" s="1"/>
      <c r="AT2501" s="1"/>
      <c r="AU2501" s="1"/>
      <c r="AV2501" s="1"/>
      <c r="AW2501" s="1"/>
      <c r="AX2501" s="1"/>
      <c r="AY2501" s="1"/>
      <c r="AZ2501" s="1"/>
      <c r="BA2501" s="1"/>
      <c r="BB2501" s="1"/>
    </row>
    <row r="2502" ht="204.75" customHeight="1">
      <c r="A2502" s="1">
        <v>2642.0</v>
      </c>
      <c r="B2502" s="2" t="s">
        <v>7802</v>
      </c>
      <c r="C2502" s="2">
        <f>IFERROR(__xludf.DUMMYFUNCTION("split(B2502,""_"")"),1407.0)</f>
        <v>1407</v>
      </c>
      <c r="D2502" s="2" t="str">
        <f>IFERROR(__xludf.DUMMYFUNCTION("""COMPUTED_VALUE"""),"EX")</f>
        <v>EX</v>
      </c>
      <c r="E2502" s="2" t="str">
        <f>IFERROR(__xludf.DUMMYFUNCTION("""COMPUTED_VALUE"""),"木21")</f>
        <v>木21</v>
      </c>
      <c r="F2502" s="2" t="s">
        <v>7803</v>
      </c>
      <c r="G2502" s="2" t="s">
        <v>7807</v>
      </c>
      <c r="H2502" s="1">
        <v>2.0</v>
      </c>
      <c r="I2502" s="1" t="s">
        <v>2872</v>
      </c>
      <c r="J2502" s="1" t="s">
        <v>11</v>
      </c>
      <c r="K2502" s="2" t="s">
        <v>7808</v>
      </c>
      <c r="L2502" s="11" t="s">
        <v>7809</v>
      </c>
      <c r="M2502" s="2" t="str">
        <f>IFERROR(__xludf.DUMMYFUNCTION("split(split(K2502,""武井咲、"",false),""公式LINE"",false)"),"都内のアパートで独り暮らしの若い男・狭川明(柄本時生)の遺体が発見された。第一発見者は偶然訪ねてきた母親の典子(手塚理美)。遺体は死因不詳のため行政解剖となる。しかし母親の典子は「息子は自分が殺した…」と謎の言葉をつぶやく。その頃、刑事の屋敷(佐々木蔵之介)は、息子に多額の保険金を掛けていた母親の典子に疑惑の目を向けていた…。")</f>
        <v>都内のアパートで独り暮らしの若い男・狭川明(柄本時生)の遺体が発見された。第一発見者は偶然訪ねてきた母親の典子(手塚理美)。遺体は死因不詳のため行政解剖となる。しかし母親の典子は「息子は自分が殺した…」と謎の言葉をつぶやく。その頃、刑事の屋敷(佐々木蔵之介)は、息子に多額の保険金を掛けていた母親の典子に疑惑の目を向けていた…。</v>
      </c>
      <c r="N2502" s="2"/>
      <c r="O2502" s="2"/>
      <c r="P2502" s="1"/>
      <c r="Q2502" s="1"/>
      <c r="R2502" s="1"/>
      <c r="S2502" s="1"/>
      <c r="T2502" s="1"/>
      <c r="U2502" s="1"/>
      <c r="V2502" s="1"/>
      <c r="W2502" s="1"/>
      <c r="X2502" s="1"/>
      <c r="Y2502" s="1"/>
      <c r="Z2502" s="1"/>
      <c r="AA2502" s="1"/>
      <c r="AB2502" s="1"/>
      <c r="AC2502" s="1"/>
      <c r="AD2502" s="1"/>
      <c r="AE2502" s="1"/>
      <c r="AF2502" s="1"/>
      <c r="AG2502" s="1"/>
      <c r="AH2502" s="1"/>
      <c r="AI2502" s="1"/>
      <c r="AJ2502" s="1"/>
      <c r="AK2502" s="1"/>
      <c r="AL2502" s="1"/>
      <c r="AM2502" s="1"/>
      <c r="AN2502" s="1"/>
      <c r="AO2502" s="1"/>
      <c r="AP2502" s="1"/>
      <c r="AQ2502" s="1"/>
      <c r="AR2502" s="1"/>
      <c r="AS2502" s="1"/>
      <c r="AT2502" s="1"/>
      <c r="AU2502" s="1"/>
      <c r="AV2502" s="1"/>
      <c r="AW2502" s="1"/>
      <c r="AX2502" s="1"/>
      <c r="AY2502" s="1"/>
      <c r="AZ2502" s="1"/>
      <c r="BA2502" s="1"/>
      <c r="BB2502" s="1"/>
    </row>
    <row r="2503" ht="204.75" customHeight="1">
      <c r="A2503" s="1">
        <v>2643.0</v>
      </c>
      <c r="B2503" s="2" t="s">
        <v>7802</v>
      </c>
      <c r="C2503" s="2">
        <f>IFERROR(__xludf.DUMMYFUNCTION("split(B2503,""_"")"),1407.0)</f>
        <v>1407</v>
      </c>
      <c r="D2503" s="2" t="str">
        <f>IFERROR(__xludf.DUMMYFUNCTION("""COMPUTED_VALUE"""),"EX")</f>
        <v>EX</v>
      </c>
      <c r="E2503" s="2" t="str">
        <f>IFERROR(__xludf.DUMMYFUNCTION("""COMPUTED_VALUE"""),"木21")</f>
        <v>木21</v>
      </c>
      <c r="F2503" s="2" t="s">
        <v>7803</v>
      </c>
      <c r="G2503" s="2" t="s">
        <v>7810</v>
      </c>
      <c r="H2503" s="1">
        <v>3.0</v>
      </c>
      <c r="I2503" s="1" t="s">
        <v>2876</v>
      </c>
      <c r="J2503" s="1" t="s">
        <v>11</v>
      </c>
      <c r="K2503" s="2" t="s">
        <v>7811</v>
      </c>
      <c r="L2503" s="11" t="s">
        <v>7812</v>
      </c>
      <c r="M2503" s="2" t="str">
        <f>IFERROR(__xludf.DUMMYFUNCTION("split(split(K2503,""武井咲、"",false),""公式LINE"",false)"),"印田恭子(真矢みき)の同期で大学病院勤務の女医・蒲生弓子(床嶋佳子)が突然死を遂げる。くも膜下出血のためと診断されたが、真央(武井咲)が現場で検案した結果、遺体にくも膜下出血にみられるはずの特徴的な症状が見当たらなかった。病死と思われた遺体から突如事件性が浮上。また死んだ蒲生は、手術ミスを疑った患者の遺族から脅迫を受けていたという情報もあり、女医のもうひとつの顔がだんだんと暴かれ始める…!")</f>
        <v>印田恭子(真矢みき)の同期で大学病院勤務の女医・蒲生弓子(床嶋佳子)が突然死を遂げる。くも膜下出血のためと診断されたが、真央(武井咲)が現場で検案した結果、遺体にくも膜下出血にみられるはずの特徴的な症状が見当たらなかった。病死と思われた遺体から突如事件性が浮上。また死んだ蒲生は、手術ミスを疑った患者の遺族から脅迫を受けていたという情報もあり、女医のもうひとつの顔がだんだんと暴かれ始める…!</v>
      </c>
      <c r="N2503" s="2"/>
      <c r="O2503" s="2"/>
      <c r="P2503" s="1"/>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c r="AN2503" s="1"/>
      <c r="AO2503" s="1"/>
      <c r="AP2503" s="1"/>
      <c r="AQ2503" s="1"/>
      <c r="AR2503" s="1"/>
      <c r="AS2503" s="1"/>
      <c r="AT2503" s="1"/>
      <c r="AU2503" s="1"/>
      <c r="AV2503" s="1"/>
      <c r="AW2503" s="1"/>
      <c r="AX2503" s="1"/>
      <c r="AY2503" s="1"/>
      <c r="AZ2503" s="1"/>
      <c r="BA2503" s="1"/>
      <c r="BB2503" s="1"/>
    </row>
    <row r="2504" ht="204.75" customHeight="1">
      <c r="A2504" s="1">
        <v>2644.0</v>
      </c>
      <c r="B2504" s="2" t="s">
        <v>7802</v>
      </c>
      <c r="C2504" s="2">
        <f>IFERROR(__xludf.DUMMYFUNCTION("split(B2504,""_"")"),1407.0)</f>
        <v>1407</v>
      </c>
      <c r="D2504" s="2" t="str">
        <f>IFERROR(__xludf.DUMMYFUNCTION("""COMPUTED_VALUE"""),"EX")</f>
        <v>EX</v>
      </c>
      <c r="E2504" s="2" t="str">
        <f>IFERROR(__xludf.DUMMYFUNCTION("""COMPUTED_VALUE"""),"木21")</f>
        <v>木21</v>
      </c>
      <c r="F2504" s="2" t="s">
        <v>7803</v>
      </c>
      <c r="G2504" s="2" t="s">
        <v>7813</v>
      </c>
      <c r="H2504" s="1">
        <v>4.0</v>
      </c>
      <c r="I2504" s="1" t="s">
        <v>2880</v>
      </c>
      <c r="J2504" s="1" t="s">
        <v>11</v>
      </c>
      <c r="K2504" s="2" t="s">
        <v>7814</v>
      </c>
      <c r="L2504" s="11" t="s">
        <v>7815</v>
      </c>
      <c r="M2504" s="2" t="str">
        <f>IFERROR(__xludf.DUMMYFUNCTION("split(split(K2504,""武井咲、"",false),""公式LINE"",false)"),"東京郊外の山中でミイラ化した遺体が発見される。警視庁の屋敷(佐々木蔵之介)は、死体遺棄事件の疑いで捜査を開始。真央(武井咲)は、中央監察医務院で中山(尾美としのり)の指導の下、ミイラの解剖に携わる。結果、死因は刺されたことによる心臓損傷だと判明。そんな折、遺体は8年前に失踪した自分の妻だという歯科医が現れ…。")</f>
        <v>東京郊外の山中でミイラ化した遺体が発見される。警視庁の屋敷(佐々木蔵之介)は、死体遺棄事件の疑いで捜査を開始。真央(武井咲)は、中央監察医務院で中山(尾美としのり)の指導の下、ミイラの解剖に携わる。結果、死因は刺されたことによる心臓損傷だと判明。そんな折、遺体は8年前に失踪した自分の妻だという歯科医が現れ…。</v>
      </c>
      <c r="N2504" s="2"/>
      <c r="O2504" s="2"/>
      <c r="P2504" s="1"/>
      <c r="Q2504" s="1"/>
      <c r="R2504" s="1"/>
      <c r="S2504" s="1"/>
      <c r="T2504" s="1"/>
      <c r="U2504" s="1"/>
      <c r="V2504" s="1"/>
      <c r="W2504" s="1"/>
      <c r="X2504" s="1"/>
      <c r="Y2504" s="1"/>
      <c r="Z2504" s="1"/>
      <c r="AA2504" s="1"/>
      <c r="AB2504" s="1"/>
      <c r="AC2504" s="1"/>
      <c r="AD2504" s="1"/>
      <c r="AE2504" s="1"/>
      <c r="AF2504" s="1"/>
      <c r="AG2504" s="1"/>
      <c r="AH2504" s="1"/>
      <c r="AI2504" s="1"/>
      <c r="AJ2504" s="1"/>
      <c r="AK2504" s="1"/>
      <c r="AL2504" s="1"/>
      <c r="AM2504" s="1"/>
      <c r="AN2504" s="1"/>
      <c r="AO2504" s="1"/>
      <c r="AP2504" s="1"/>
      <c r="AQ2504" s="1"/>
      <c r="AR2504" s="1"/>
      <c r="AS2504" s="1"/>
      <c r="AT2504" s="1"/>
      <c r="AU2504" s="1"/>
      <c r="AV2504" s="1"/>
      <c r="AW2504" s="1"/>
      <c r="AX2504" s="1"/>
      <c r="AY2504" s="1"/>
      <c r="AZ2504" s="1"/>
      <c r="BA2504" s="1"/>
      <c r="BB2504" s="1"/>
    </row>
    <row r="2505" ht="204.75" customHeight="1">
      <c r="A2505" s="1">
        <v>2645.0</v>
      </c>
      <c r="B2505" s="2" t="s">
        <v>7802</v>
      </c>
      <c r="C2505" s="2">
        <f>IFERROR(__xludf.DUMMYFUNCTION("split(B2505,""_"")"),1407.0)</f>
        <v>1407</v>
      </c>
      <c r="D2505" s="2" t="str">
        <f>IFERROR(__xludf.DUMMYFUNCTION("""COMPUTED_VALUE"""),"EX")</f>
        <v>EX</v>
      </c>
      <c r="E2505" s="2" t="str">
        <f>IFERROR(__xludf.DUMMYFUNCTION("""COMPUTED_VALUE"""),"木21")</f>
        <v>木21</v>
      </c>
      <c r="F2505" s="2" t="s">
        <v>7803</v>
      </c>
      <c r="G2505" s="2" t="s">
        <v>7816</v>
      </c>
      <c r="H2505" s="1">
        <v>5.0</v>
      </c>
      <c r="I2505" s="1" t="s">
        <v>2884</v>
      </c>
      <c r="J2505" s="1" t="s">
        <v>11</v>
      </c>
      <c r="K2505" s="2" t="s">
        <v>7817</v>
      </c>
      <c r="L2505" s="11" t="s">
        <v>7818</v>
      </c>
      <c r="M2505" s="2" t="str">
        <f>IFERROR(__xludf.DUMMYFUNCTION("split(split(K2505,""武井咲、"",false),""公式LINE"",false)"),"自宅で死亡した代議士(浜田晃)。しかし検案の結果“嘘""が発覚。実際は愛人宅で死亡し、自宅に運び込まれたことが分かる。愛人の存在が許せない正妻(木野花)は世間体を守るため、夫は自宅で死んだことにすると言う。一方、捜査のため屋敷(佐々木蔵之介)は愛人(堀内敬子)の部屋を訪ねていくが…実は屋敷の別れた妻だったことが判明!さらに真央(武井咲)が解剖した結果、屋敷の元妻に殺人容疑が…!?")</f>
        <v>自宅で死亡した代議士(浜田晃)。しかし検案の結果“嘘"が発覚。実際は愛人宅で死亡し、自宅に運び込まれたことが分かる。愛人の存在が許せない正妻(木野花)は世間体を守るため、夫は自宅で死んだことにすると言う。一方、捜査のため屋敷(佐々木蔵之介)は愛人(堀内敬子)の部屋を訪ねていくが…実は屋敷の別れた妻だったことが判明!さらに真央(武井咲)が解剖した結果、屋敷の元妻に殺人容疑が…!?</v>
      </c>
      <c r="N2505" s="2"/>
      <c r="O2505" s="2"/>
      <c r="P2505" s="1"/>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c r="AN2505" s="1"/>
      <c r="AO2505" s="1"/>
      <c r="AP2505" s="1"/>
      <c r="AQ2505" s="1"/>
      <c r="AR2505" s="1"/>
      <c r="AS2505" s="1"/>
      <c r="AT2505" s="1"/>
      <c r="AU2505" s="1"/>
      <c r="AV2505" s="1"/>
      <c r="AW2505" s="1"/>
      <c r="AX2505" s="1"/>
      <c r="AY2505" s="1"/>
      <c r="AZ2505" s="1"/>
      <c r="BA2505" s="1"/>
      <c r="BB2505" s="1"/>
    </row>
    <row r="2506" ht="204.75" customHeight="1">
      <c r="A2506" s="1">
        <v>2646.0</v>
      </c>
      <c r="B2506" s="2" t="s">
        <v>7802</v>
      </c>
      <c r="C2506" s="2">
        <f>IFERROR(__xludf.DUMMYFUNCTION("split(B2506,""_"")"),1407.0)</f>
        <v>1407</v>
      </c>
      <c r="D2506" s="2" t="str">
        <f>IFERROR(__xludf.DUMMYFUNCTION("""COMPUTED_VALUE"""),"EX")</f>
        <v>EX</v>
      </c>
      <c r="E2506" s="2" t="str">
        <f>IFERROR(__xludf.DUMMYFUNCTION("""COMPUTED_VALUE"""),"木21")</f>
        <v>木21</v>
      </c>
      <c r="F2506" s="2" t="s">
        <v>7803</v>
      </c>
      <c r="G2506" s="2" t="s">
        <v>7819</v>
      </c>
      <c r="H2506" s="1">
        <v>6.0</v>
      </c>
      <c r="I2506" s="1" t="s">
        <v>2888</v>
      </c>
      <c r="J2506" s="1" t="s">
        <v>11</v>
      </c>
      <c r="K2506" s="2" t="s">
        <v>7820</v>
      </c>
      <c r="L2506" s="11" t="s">
        <v>7821</v>
      </c>
      <c r="M2506" s="2" t="str">
        <f>IFERROR(__xludf.DUMMYFUNCTION("split(split(K2506,""武井咲、"",false),""公式LINE"",false)"),"中央監察医務院で死因不詳の遺体を解剖中に、岩松(六角精児)、中山(尾美としのり)、保坂(でんでん)の3人が、次々と意識を失い倒れる。胃の中に残留していた青酸ガスを吸い込み中毒症状を起こしたのだ。さらには、青酸化合物で無理心中したと思われる男女の遺体が見つかるが、真央(武井咲)による解剖の結果、予想外の死因が導き出される…。")</f>
        <v>中央監察医務院で死因不詳の遺体を解剖中に、岩松(六角精児)、中山(尾美としのり)、保坂(でんでん)の3人が、次々と意識を失い倒れる。胃の中に残留していた青酸ガスを吸い込み中毒症状を起こしたのだ。さらには、青酸化合物で無理心中したと思われる男女の遺体が見つかるが、真央(武井咲)による解剖の結果、予想外の死因が導き出される…。</v>
      </c>
      <c r="N2506" s="2"/>
      <c r="O2506" s="2"/>
      <c r="P2506" s="1"/>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c r="AN2506" s="1"/>
      <c r="AO2506" s="1"/>
      <c r="AP2506" s="1"/>
      <c r="AQ2506" s="1"/>
      <c r="AR2506" s="1"/>
      <c r="AS2506" s="1"/>
      <c r="AT2506" s="1"/>
      <c r="AU2506" s="1"/>
      <c r="AV2506" s="1"/>
      <c r="AW2506" s="1"/>
      <c r="AX2506" s="1"/>
      <c r="AY2506" s="1"/>
      <c r="AZ2506" s="1"/>
      <c r="BA2506" s="1"/>
      <c r="BB2506" s="1"/>
    </row>
    <row r="2507" ht="204.75" customHeight="1">
      <c r="A2507" s="1">
        <v>2647.0</v>
      </c>
      <c r="B2507" s="2" t="s">
        <v>7802</v>
      </c>
      <c r="C2507" s="2">
        <f>IFERROR(__xludf.DUMMYFUNCTION("split(B2507,""_"")"),1407.0)</f>
        <v>1407</v>
      </c>
      <c r="D2507" s="2" t="str">
        <f>IFERROR(__xludf.DUMMYFUNCTION("""COMPUTED_VALUE"""),"EX")</f>
        <v>EX</v>
      </c>
      <c r="E2507" s="2" t="str">
        <f>IFERROR(__xludf.DUMMYFUNCTION("""COMPUTED_VALUE"""),"木21")</f>
        <v>木21</v>
      </c>
      <c r="F2507" s="2" t="s">
        <v>7803</v>
      </c>
      <c r="G2507" s="2" t="s">
        <v>7822</v>
      </c>
      <c r="H2507" s="1">
        <v>7.0</v>
      </c>
      <c r="I2507" s="1" t="s">
        <v>2892</v>
      </c>
      <c r="J2507" s="1" t="s">
        <v>11</v>
      </c>
      <c r="K2507" s="2" t="s">
        <v>7823</v>
      </c>
      <c r="L2507" s="11" t="s">
        <v>7824</v>
      </c>
      <c r="M2507" s="2" t="str">
        <f>IFERROR(__xludf.DUMMYFUNCTION("split(split(K2507,""武井咲、"",false),""公式LINE"",false)"),"松本真央(武井咲)は屋敷一郎(佐々木蔵之介)から、死刑囚の小杉貞夫(橋爪功)を最初に取り調べた刑事は自分だと打ち明けられる。大学教授だった小杉による連続殺人は“理由なき快楽殺人""としてマスコミや世間を騒がせた。真央の母と小杉の関係とは…!?  一方で真央は、連続放火による火災現場で発見された遺体の解剖をすることに。その結果、遺体は火事で焼かれる前に、すでに一酸化炭素中毒で死亡していたことが判明する。")</f>
        <v>松本真央(武井咲)は屋敷一郎(佐々木蔵之介)から、死刑囚の小杉貞夫(橋爪功)を最初に取り調べた刑事は自分だと打ち明けられる。大学教授だった小杉による連続殺人は“理由なき快楽殺人"としてマスコミや世間を騒がせた。真央の母と小杉の関係とは…!?  一方で真央は、連続放火による火災現場で発見された遺体の解剖をすることに。その結果、遺体は火事で焼かれる前に、すでに一酸化炭素中毒で死亡していたことが判明する。</v>
      </c>
      <c r="N2507" s="2"/>
      <c r="O2507" s="2"/>
      <c r="P2507" s="1"/>
      <c r="Q2507" s="1"/>
      <c r="R2507" s="1"/>
      <c r="S2507" s="1"/>
      <c r="T2507" s="1"/>
      <c r="U2507" s="1"/>
      <c r="V2507" s="1"/>
      <c r="W2507" s="1"/>
      <c r="X2507" s="1"/>
      <c r="Y2507" s="1"/>
      <c r="Z2507" s="1"/>
      <c r="AA2507" s="1"/>
      <c r="AB2507" s="1"/>
      <c r="AC2507" s="1"/>
      <c r="AD2507" s="1"/>
      <c r="AE2507" s="1"/>
      <c r="AF2507" s="1"/>
      <c r="AG2507" s="1"/>
      <c r="AH2507" s="1"/>
      <c r="AI2507" s="1"/>
      <c r="AJ2507" s="1"/>
      <c r="AK2507" s="1"/>
      <c r="AL2507" s="1"/>
      <c r="AM2507" s="1"/>
      <c r="AN2507" s="1"/>
      <c r="AO2507" s="1"/>
      <c r="AP2507" s="1"/>
      <c r="AQ2507" s="1"/>
      <c r="AR2507" s="1"/>
      <c r="AS2507" s="1"/>
      <c r="AT2507" s="1"/>
      <c r="AU2507" s="1"/>
      <c r="AV2507" s="1"/>
      <c r="AW2507" s="1"/>
      <c r="AX2507" s="1"/>
      <c r="AY2507" s="1"/>
      <c r="AZ2507" s="1"/>
      <c r="BA2507" s="1"/>
      <c r="BB2507" s="1"/>
    </row>
    <row r="2508" ht="204.75" customHeight="1">
      <c r="A2508" s="1">
        <v>2648.0</v>
      </c>
      <c r="B2508" s="2" t="s">
        <v>7802</v>
      </c>
      <c r="C2508" s="2">
        <f>IFERROR(__xludf.DUMMYFUNCTION("split(B2508,""_"")"),1407.0)</f>
        <v>1407</v>
      </c>
      <c r="D2508" s="2" t="str">
        <f>IFERROR(__xludf.DUMMYFUNCTION("""COMPUTED_VALUE"""),"EX")</f>
        <v>EX</v>
      </c>
      <c r="E2508" s="2" t="str">
        <f>IFERROR(__xludf.DUMMYFUNCTION("""COMPUTED_VALUE"""),"木21")</f>
        <v>木21</v>
      </c>
      <c r="F2508" s="2" t="s">
        <v>7803</v>
      </c>
      <c r="G2508" s="2" t="s">
        <v>7825</v>
      </c>
      <c r="H2508" s="1">
        <v>8.0</v>
      </c>
      <c r="I2508" s="1" t="s">
        <v>2896</v>
      </c>
      <c r="J2508" s="1" t="s">
        <v>11</v>
      </c>
      <c r="K2508" s="2" t="s">
        <v>7826</v>
      </c>
      <c r="L2508" s="11" t="s">
        <v>7827</v>
      </c>
      <c r="M2508" s="2" t="str">
        <f>IFERROR(__xludf.DUMMYFUNCTION("split(split(K2508,""武井咲、"",false),""公式LINE"",false)"),"高層ビルから転落死した女性。自殺と推測されることから印田(真矢みき)は「解剖の必要なし」と判断。しかし、真央(武井咲)は判断を押し切り、遺体を中央監察医務院に搬送する。  真央には、解明しなければならない転落死がもう一つあった…。8年前の母の死。中央監察医務院の記録から印田の仕業なのか、真央の母の解剖写真はすべて削除されていた。そこで真央は、屋敷(佐々木蔵之介)にある取り引きを持ちかける…。")</f>
        <v>高層ビルから転落死した女性。自殺と推測されることから印田(真矢みき)は「解剖の必要なし」と判断。しかし、真央(武井咲)は判断を押し切り、遺体を中央監察医務院に搬送する。  真央には、解明しなければならない転落死がもう一つあった…。8年前の母の死。中央監察医務院の記録から印田の仕業なのか、真央の母の解剖写真はすべて削除されていた。そこで真央は、屋敷(佐々木蔵之介)にある取り引きを持ちかける…。</v>
      </c>
      <c r="N2508" s="2"/>
      <c r="O2508" s="2"/>
      <c r="P2508" s="1"/>
      <c r="Q2508" s="1"/>
      <c r="R2508" s="1"/>
      <c r="S2508" s="1"/>
      <c r="T2508" s="1"/>
      <c r="U2508" s="1"/>
      <c r="V2508" s="1"/>
      <c r="W2508" s="1"/>
      <c r="X2508" s="1"/>
      <c r="Y2508" s="1"/>
      <c r="Z2508" s="1"/>
      <c r="AA2508" s="1"/>
      <c r="AB2508" s="1"/>
      <c r="AC2508" s="1"/>
      <c r="AD2508" s="1"/>
      <c r="AE2508" s="1"/>
      <c r="AF2508" s="1"/>
      <c r="AG2508" s="1"/>
      <c r="AH2508" s="1"/>
      <c r="AI2508" s="1"/>
      <c r="AJ2508" s="1"/>
      <c r="AK2508" s="1"/>
      <c r="AL2508" s="1"/>
      <c r="AM2508" s="1"/>
      <c r="AN2508" s="1"/>
      <c r="AO2508" s="1"/>
      <c r="AP2508" s="1"/>
      <c r="AQ2508" s="1"/>
      <c r="AR2508" s="1"/>
      <c r="AS2508" s="1"/>
      <c r="AT2508" s="1"/>
      <c r="AU2508" s="1"/>
      <c r="AV2508" s="1"/>
      <c r="AW2508" s="1"/>
      <c r="AX2508" s="1"/>
      <c r="AY2508" s="1"/>
      <c r="AZ2508" s="1"/>
      <c r="BA2508" s="1"/>
      <c r="BB2508" s="1"/>
    </row>
    <row r="2509" ht="204.75" customHeight="1">
      <c r="A2509" s="1">
        <v>2670.0</v>
      </c>
      <c r="B2509" s="2" t="s">
        <v>7828</v>
      </c>
      <c r="C2509" s="2">
        <f>IFERROR(__xludf.DUMMYFUNCTION("split(B2509,""_"")"),1407.0)</f>
        <v>1407</v>
      </c>
      <c r="D2509" s="2" t="str">
        <f>IFERROR(__xludf.DUMMYFUNCTION("""COMPUTED_VALUE"""),"EX")</f>
        <v>EX</v>
      </c>
      <c r="E2509" s="2" t="str">
        <f>IFERROR(__xludf.DUMMYFUNCTION("""COMPUTED_VALUE"""),"金23")</f>
        <v>金23</v>
      </c>
      <c r="F2509" s="2" t="s">
        <v>7829</v>
      </c>
      <c r="G2509" s="2" t="s">
        <v>7830</v>
      </c>
      <c r="H2509" s="1">
        <v>1.0</v>
      </c>
      <c r="I2509" s="1" t="s">
        <v>2868</v>
      </c>
      <c r="J2509" s="1" t="s">
        <v>1435</v>
      </c>
      <c r="K2509" s="4" t="s">
        <v>7831</v>
      </c>
      <c r="L2509" s="11" t="s">
        <v>7832</v>
      </c>
      <c r="M2509" s="2" t="str">
        <f>IFERROR(__xludf.DUMMYFUNCTION("split(split(K2509,""高橋克典、"",false),""公式LINE"",false)"),"【第1話　探偵と夢にまでみた女】  新しい街で仕事を始めた探偵(高橋克典)のもとへ、カリスマ経営者の村木美里(石野真子)から、生き別れの娘と同じ特徴を持つ自社の派遣社員・由紀(中村ゆり)が、本当の娘かどうか確かめて欲しい、と依頼がきた。調査を進め、親子の確信を深める探偵だったが、清楚に見えた由紀には、知られざる別の顔があった。さらに調べを進める探偵の前に、美里の会社を揺るがす新たな問題が発覚してー")</f>
        <v>【第1話　探偵と夢にまでみた女】  新しい街で仕事を始めた探偵(高橋克典)のもとへ、カリスマ経営者の村木美里(石野真子)から、生き別れの娘と同じ特徴を持つ自社の派遣社員・由紀(中村ゆり)が、本当の娘かどうか確かめて欲しい、と依頼がきた。調査を進め、親子の確信を深める探偵だったが、清楚に見えた由紀には、知られざる別の顔があった。さらに調べを進める探偵の前に、美里の会社を揺るがす新たな問題が発覚してー</v>
      </c>
      <c r="N2509" s="2"/>
      <c r="O2509" s="2"/>
      <c r="P2509" s="1"/>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c r="AN2509" s="1"/>
      <c r="AO2509" s="1"/>
      <c r="AP2509" s="1"/>
      <c r="AQ2509" s="1"/>
      <c r="AR2509" s="1"/>
      <c r="AS2509" s="1"/>
      <c r="AT2509" s="1"/>
      <c r="AU2509" s="1"/>
      <c r="AV2509" s="1"/>
      <c r="AW2509" s="1"/>
      <c r="AX2509" s="1"/>
      <c r="AY2509" s="1"/>
      <c r="AZ2509" s="1"/>
      <c r="BA2509" s="1"/>
      <c r="BB2509" s="1"/>
    </row>
    <row r="2510" ht="204.75" customHeight="1">
      <c r="A2510" s="1">
        <v>2671.0</v>
      </c>
      <c r="B2510" s="2" t="s">
        <v>7828</v>
      </c>
      <c r="C2510" s="2">
        <f>IFERROR(__xludf.DUMMYFUNCTION("split(B2510,""_"")"),1407.0)</f>
        <v>1407</v>
      </c>
      <c r="D2510" s="2" t="str">
        <f>IFERROR(__xludf.DUMMYFUNCTION("""COMPUTED_VALUE"""),"EX")</f>
        <v>EX</v>
      </c>
      <c r="E2510" s="2" t="str">
        <f>IFERROR(__xludf.DUMMYFUNCTION("""COMPUTED_VALUE"""),"金23")</f>
        <v>金23</v>
      </c>
      <c r="F2510" s="2" t="s">
        <v>7829</v>
      </c>
      <c r="G2510" s="2" t="s">
        <v>7833</v>
      </c>
      <c r="H2510" s="1">
        <v>2.0</v>
      </c>
      <c r="I2510" s="1" t="s">
        <v>2872</v>
      </c>
      <c r="J2510" s="1" t="s">
        <v>1435</v>
      </c>
      <c r="K2510" s="2" t="s">
        <v>7834</v>
      </c>
      <c r="L2510" s="11" t="s">
        <v>7835</v>
      </c>
      <c r="M2510" s="2" t="str">
        <f>IFERROR(__xludf.DUMMYFUNCTION("split(split(K2510,""高橋克典、"",false),""公式LINE"",false)"),"【第2話　探偵と信じがたい女】ちょっとした誤解で警察に連行された探偵(高橋克典)は、柏原妙子(清水美沙)という女性を阿南刑事(田山涼成)から紹介される。向かいの家に住む会社社長・大原俊之(鈴木一真)が妻・初枝を絞殺する現場を目撃し、警察に通報したらしい。ところが警察はそんな事実はなかったの一点張り。探偵は半ば強引に警察の捜査に納得のいかない妙子からの依頼を受けるはめになり、真相を調査することに…。")</f>
        <v>【第2話　探偵と信じがたい女】ちょっとした誤解で警察に連行された探偵(高橋克典)は、柏原妙子(清水美沙)という女性を阿南刑事(田山涼成)から紹介される。向かいの家に住む会社社長・大原俊之(鈴木一真)が妻・初枝を絞殺する現場を目撃し、警察に通報したらしい。ところが警察はそんな事実はなかったの一点張り。探偵は半ば強引に警察の捜査に納得のいかない妙子からの依頼を受けるはめになり、真相を調査することに…。</v>
      </c>
      <c r="N2510" s="2"/>
      <c r="O2510" s="2"/>
      <c r="P2510" s="1"/>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c r="AN2510" s="1"/>
      <c r="AO2510" s="1"/>
      <c r="AP2510" s="1"/>
      <c r="AQ2510" s="1"/>
      <c r="AR2510" s="1"/>
      <c r="AS2510" s="1"/>
      <c r="AT2510" s="1"/>
      <c r="AU2510" s="1"/>
      <c r="AV2510" s="1"/>
      <c r="AW2510" s="1"/>
      <c r="AX2510" s="1"/>
      <c r="AY2510" s="1"/>
      <c r="AZ2510" s="1"/>
      <c r="BA2510" s="1"/>
      <c r="BB2510" s="1"/>
    </row>
    <row r="2511" ht="204.75" customHeight="1">
      <c r="A2511" s="1">
        <v>2672.0</v>
      </c>
      <c r="B2511" s="2" t="s">
        <v>7828</v>
      </c>
      <c r="C2511" s="2">
        <f>IFERROR(__xludf.DUMMYFUNCTION("split(B2511,""_"")"),1407.0)</f>
        <v>1407</v>
      </c>
      <c r="D2511" s="2" t="str">
        <f>IFERROR(__xludf.DUMMYFUNCTION("""COMPUTED_VALUE"""),"EX")</f>
        <v>EX</v>
      </c>
      <c r="E2511" s="2" t="str">
        <f>IFERROR(__xludf.DUMMYFUNCTION("""COMPUTED_VALUE"""),"金23")</f>
        <v>金23</v>
      </c>
      <c r="F2511" s="2" t="s">
        <v>7829</v>
      </c>
      <c r="G2511" s="2" t="s">
        <v>7836</v>
      </c>
      <c r="H2511" s="1">
        <v>3.0</v>
      </c>
      <c r="I2511" s="1" t="s">
        <v>2876</v>
      </c>
      <c r="J2511" s="1" t="s">
        <v>1435</v>
      </c>
      <c r="K2511" s="2" t="s">
        <v>7837</v>
      </c>
      <c r="L2511" s="11" t="s">
        <v>7838</v>
      </c>
      <c r="M2511" s="2" t="str">
        <f>IFERROR(__xludf.DUMMYFUNCTION("split(split(K2511,""高橋克典、"",false),""公式LINE"",false)"),"【第3話　探偵と夢見がちな女】探偵(高橋克典)は社長夫人・真鍋祥子(舟木幸)の依頼で家出した娘・沙織(荒井萌)を捜すことに。女優を目指す沙織は母の反対を押し切り、家を飛び出してしまったという。探偵は記者のふりをして劇団に潜入。プロデューサーの柴田(宮川一朗太)や演出家の山西(相島一之)にダメ出しされながら、舞台稽古に励む沙織の姿を見つける。沙織に接触する探偵だが、劇団から何やらきな臭さを嗅ぎ取り…")</f>
        <v>【第3話　探偵と夢見がちな女】探偵(高橋克典)は社長夫人・真鍋祥子(舟木幸)の依頼で家出した娘・沙織(荒井萌)を捜すことに。女優を目指す沙織は母の反対を押し切り、家を飛び出してしまったという。探偵は記者のふりをして劇団に潜入。プロデューサーの柴田(宮川一朗太)や演出家の山西(相島一之)にダメ出しされながら、舞台稽古に励む沙織の姿を見つける。沙織に接触する探偵だが、劇団から何やらきな臭さを嗅ぎ取り…</v>
      </c>
      <c r="N2511" s="2"/>
      <c r="O2511" s="2"/>
      <c r="P2511" s="1"/>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c r="AN2511" s="1"/>
      <c r="AO2511" s="1"/>
      <c r="AP2511" s="1"/>
      <c r="AQ2511" s="1"/>
      <c r="AR2511" s="1"/>
      <c r="AS2511" s="1"/>
      <c r="AT2511" s="1"/>
      <c r="AU2511" s="1"/>
      <c r="AV2511" s="1"/>
      <c r="AW2511" s="1"/>
      <c r="AX2511" s="1"/>
      <c r="AY2511" s="1"/>
      <c r="AZ2511" s="1"/>
      <c r="BA2511" s="1"/>
      <c r="BB2511" s="1"/>
    </row>
    <row r="2512" ht="204.75" customHeight="1">
      <c r="A2512" s="1">
        <v>2673.0</v>
      </c>
      <c r="B2512" s="2" t="s">
        <v>7828</v>
      </c>
      <c r="C2512" s="2">
        <f>IFERROR(__xludf.DUMMYFUNCTION("split(B2512,""_"")"),1407.0)</f>
        <v>1407</v>
      </c>
      <c r="D2512" s="2" t="str">
        <f>IFERROR(__xludf.DUMMYFUNCTION("""COMPUTED_VALUE"""),"EX")</f>
        <v>EX</v>
      </c>
      <c r="E2512" s="2" t="str">
        <f>IFERROR(__xludf.DUMMYFUNCTION("""COMPUTED_VALUE"""),"金23")</f>
        <v>金23</v>
      </c>
      <c r="F2512" s="2" t="s">
        <v>7829</v>
      </c>
      <c r="G2512" s="2" t="s">
        <v>7839</v>
      </c>
      <c r="H2512" s="1">
        <v>4.0</v>
      </c>
      <c r="I2512" s="1" t="s">
        <v>2880</v>
      </c>
      <c r="J2512" s="1" t="s">
        <v>1435</v>
      </c>
      <c r="K2512" s="2" t="s">
        <v>7840</v>
      </c>
      <c r="L2512" s="11" t="s">
        <v>7841</v>
      </c>
      <c r="M2512" s="2" t="str">
        <f>IFERROR(__xludf.DUMMYFUNCTION("split(split(K2512,""高橋克典、"",false),""公式LINE"",false)"),"【第4話　探偵と舌の肥えた女】  辛口の評論で有名な料理評論家・片桐文乃(若村麻由美)のもとに脅迫めいた手紙が送られてきた。大ごとにはしたくない文乃は警察には届けず、探偵(高橋克典)に犯人を突き止めるよう依頼。さっそく調査に乗り出した探偵は思いもよらぬ事件の真相、そして文乃自身に隠された“驚愕の秘密""にたどり着く…!")</f>
        <v>【第4話　探偵と舌の肥えた女】  辛口の評論で有名な料理評論家・片桐文乃(若村麻由美)のもとに脅迫めいた手紙が送られてきた。大ごとにはしたくない文乃は警察には届けず、探偵(高橋克典)に犯人を突き止めるよう依頼。さっそく調査に乗り出した探偵は思いもよらぬ事件の真相、そして文乃自身に隠された“驚愕の秘密"にたどり着く…!</v>
      </c>
      <c r="N2512" s="2"/>
      <c r="O2512" s="2"/>
      <c r="P2512" s="1"/>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c r="AN2512" s="1"/>
      <c r="AO2512" s="1"/>
      <c r="AP2512" s="1"/>
      <c r="AQ2512" s="1"/>
      <c r="AR2512" s="1"/>
      <c r="AS2512" s="1"/>
      <c r="AT2512" s="1"/>
      <c r="AU2512" s="1"/>
      <c r="AV2512" s="1"/>
      <c r="AW2512" s="1"/>
      <c r="AX2512" s="1"/>
      <c r="AY2512" s="1"/>
      <c r="AZ2512" s="1"/>
      <c r="BA2512" s="1"/>
      <c r="BB2512" s="1"/>
    </row>
    <row r="2513" ht="204.75" customHeight="1">
      <c r="A2513" s="1">
        <v>2674.0</v>
      </c>
      <c r="B2513" s="2" t="s">
        <v>7828</v>
      </c>
      <c r="C2513" s="2">
        <f>IFERROR(__xludf.DUMMYFUNCTION("split(B2513,""_"")"),1407.0)</f>
        <v>1407</v>
      </c>
      <c r="D2513" s="2" t="str">
        <f>IFERROR(__xludf.DUMMYFUNCTION("""COMPUTED_VALUE"""),"EX")</f>
        <v>EX</v>
      </c>
      <c r="E2513" s="2" t="str">
        <f>IFERROR(__xludf.DUMMYFUNCTION("""COMPUTED_VALUE"""),"金23")</f>
        <v>金23</v>
      </c>
      <c r="F2513" s="2" t="s">
        <v>7829</v>
      </c>
      <c r="G2513" s="2" t="s">
        <v>7842</v>
      </c>
      <c r="H2513" s="1">
        <v>5.0</v>
      </c>
      <c r="I2513" s="1" t="s">
        <v>2884</v>
      </c>
      <c r="J2513" s="1" t="s">
        <v>1435</v>
      </c>
      <c r="K2513" s="2" t="s">
        <v>7843</v>
      </c>
      <c r="L2513" s="11" t="s">
        <v>7844</v>
      </c>
      <c r="M2513" s="2" t="str">
        <f>IFERROR(__xludf.DUMMYFUNCTION("split(split(K2513,""高橋克典、"",false),""公式LINE"",false)"),"【第5話　探偵と知りたがる女】  探偵(高橋克典)のもとに主婦・遠藤幸枝(田中美里)からの依頼が舞い込んだ。依頼内容は大学講師である夫・遠藤伸一(石黒賢)の素行調査。なんでも幸枝は先日、伸一が出所不明の大金を隠し持っているのを目撃したという。調査を始めた探偵は、冴えない伸一が、なぜか明るい雰囲気の美人女子大生・若菜(南沢奈央)と親しげに話している姿を目撃する…。")</f>
        <v>【第5話　探偵と知りたがる女】  探偵(高橋克典)のもとに主婦・遠藤幸枝(田中美里)からの依頼が舞い込んだ。依頼内容は大学講師である夫・遠藤伸一(石黒賢)の素行調査。なんでも幸枝は先日、伸一が出所不明の大金を隠し持っているのを目撃したという。調査を始めた探偵は、冴えない伸一が、なぜか明るい雰囲気の美人女子大生・若菜(南沢奈央)と親しげに話している姿を目撃する…。</v>
      </c>
      <c r="N2513" s="2"/>
      <c r="O2513" s="2"/>
      <c r="P2513" s="1"/>
      <c r="Q2513" s="1"/>
      <c r="R2513" s="1"/>
      <c r="S2513" s="1"/>
      <c r="T2513" s="1"/>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c r="AQ2513" s="1"/>
      <c r="AR2513" s="1"/>
      <c r="AS2513" s="1"/>
      <c r="AT2513" s="1"/>
      <c r="AU2513" s="1"/>
      <c r="AV2513" s="1"/>
      <c r="AW2513" s="1"/>
      <c r="AX2513" s="1"/>
      <c r="AY2513" s="1"/>
      <c r="AZ2513" s="1"/>
      <c r="BA2513" s="1"/>
      <c r="BB2513" s="1"/>
    </row>
    <row r="2514" ht="204.75" customHeight="1">
      <c r="A2514" s="1">
        <v>2675.0</v>
      </c>
      <c r="B2514" s="2" t="s">
        <v>7828</v>
      </c>
      <c r="C2514" s="2">
        <f>IFERROR(__xludf.DUMMYFUNCTION("split(B2514,""_"")"),1407.0)</f>
        <v>1407</v>
      </c>
      <c r="D2514" s="2" t="str">
        <f>IFERROR(__xludf.DUMMYFUNCTION("""COMPUTED_VALUE"""),"EX")</f>
        <v>EX</v>
      </c>
      <c r="E2514" s="2" t="str">
        <f>IFERROR(__xludf.DUMMYFUNCTION("""COMPUTED_VALUE"""),"金23")</f>
        <v>金23</v>
      </c>
      <c r="F2514" s="2" t="s">
        <v>7829</v>
      </c>
      <c r="G2514" s="2" t="s">
        <v>7845</v>
      </c>
      <c r="H2514" s="1">
        <v>6.0</v>
      </c>
      <c r="J2514" s="1" t="s">
        <v>1435</v>
      </c>
      <c r="K2514" s="2" t="s">
        <v>7846</v>
      </c>
      <c r="L2514" s="11" t="s">
        <v>7847</v>
      </c>
      <c r="M2514" s="2" t="str">
        <f>IFERROR(__xludf.DUMMYFUNCTION("split(split(K2514,""高橋克典、"",false),""公式LINE"",false)"),"【第6話　探偵と口がうまい女】テレビ局アナウンサーの花堂彩香(原田夏希)から、探偵(高橋克典)に依頼が入った。最近、彼女のブログに悪質な書き込みが集中し、アナウンス部に脅迫状が送られてきたという。調査を開始した探偵は、ブログ荒らしの犯人が幹本猛(敦士)だと突き止める。だが、幹本は脅迫状については一切関与を否定。その矢先、スポーツ新聞に彩香のスキャンダル写真が掲載され、同時に幹本の刺殺体が見つかる!!")</f>
        <v>【第6話　探偵と口がうまい女】テレビ局アナウンサーの花堂彩香(原田夏希)から、探偵(高橋克典)に依頼が入った。最近、彼女のブログに悪質な書き込みが集中し、アナウンス部に脅迫状が送られてきたという。調査を開始した探偵は、ブログ荒らしの犯人が幹本猛(敦士)だと突き止める。だが、幹本は脅迫状については一切関与を否定。その矢先、スポーツ新聞に彩香のスキャンダル写真が掲載され、同時に幹本の刺殺体が見つかる!!</v>
      </c>
      <c r="N2514" s="2"/>
      <c r="O2514" s="2"/>
      <c r="P2514" s="1"/>
      <c r="Q2514" s="1"/>
      <c r="R2514" s="1"/>
      <c r="S2514" s="1"/>
      <c r="T2514" s="1"/>
      <c r="U2514" s="1"/>
      <c r="V2514" s="1"/>
      <c r="W2514" s="1"/>
      <c r="X2514" s="1"/>
      <c r="Y2514" s="1"/>
      <c r="Z2514" s="1"/>
      <c r="AA2514" s="1"/>
      <c r="AB2514" s="1"/>
      <c r="AC2514" s="1"/>
      <c r="AD2514" s="1"/>
      <c r="AE2514" s="1"/>
      <c r="AF2514" s="1"/>
      <c r="AG2514" s="1"/>
      <c r="AH2514" s="1"/>
      <c r="AI2514" s="1"/>
      <c r="AJ2514" s="1"/>
      <c r="AK2514" s="1"/>
      <c r="AL2514" s="1"/>
      <c r="AM2514" s="1"/>
      <c r="AN2514" s="1"/>
      <c r="AO2514" s="1"/>
      <c r="AP2514" s="1"/>
      <c r="AQ2514" s="1"/>
      <c r="AR2514" s="1"/>
      <c r="AS2514" s="1"/>
      <c r="AT2514" s="1"/>
      <c r="AU2514" s="1"/>
      <c r="AV2514" s="1"/>
      <c r="AW2514" s="1"/>
      <c r="AX2514" s="1"/>
      <c r="AY2514" s="1"/>
      <c r="AZ2514" s="1"/>
      <c r="BA2514" s="1"/>
      <c r="BB2514" s="1"/>
    </row>
    <row r="2515" ht="204.75" customHeight="1">
      <c r="A2515" s="1">
        <v>2676.0</v>
      </c>
      <c r="B2515" s="2" t="s">
        <v>7828</v>
      </c>
      <c r="C2515" s="2">
        <f>IFERROR(__xludf.DUMMYFUNCTION("split(B2515,""_"")"),1407.0)</f>
        <v>1407</v>
      </c>
      <c r="D2515" s="2" t="str">
        <f>IFERROR(__xludf.DUMMYFUNCTION("""COMPUTED_VALUE"""),"EX")</f>
        <v>EX</v>
      </c>
      <c r="E2515" s="2" t="str">
        <f>IFERROR(__xludf.DUMMYFUNCTION("""COMPUTED_VALUE"""),"金23")</f>
        <v>金23</v>
      </c>
      <c r="F2515" s="2" t="s">
        <v>7829</v>
      </c>
      <c r="G2515" s="2" t="s">
        <v>7848</v>
      </c>
      <c r="H2515" s="1">
        <v>7.0</v>
      </c>
      <c r="I2515" s="1" t="s">
        <v>2892</v>
      </c>
      <c r="J2515" s="1" t="s">
        <v>1435</v>
      </c>
      <c r="K2515" s="2" t="s">
        <v>7849</v>
      </c>
      <c r="L2515" s="11" t="s">
        <v>7850</v>
      </c>
      <c r="M2515" s="2" t="str">
        <f>IFERROR(__xludf.DUMMYFUNCTION("split(split(K2515,""高橋克典、"",false),""公式LINE"",false)"),"【第7話　探偵と待ちぼうけの女】東京から遠く離れた片田舎の駅で、探偵(高橋克典)は鈴原小百合(安達祐実)と出会う。小百合は5年前、人間関係に疲れてこの町に来訪。旅をしていた画家・坂巻英治(葛山信吾)と出会い、愛し合うようになった。だが坂巻はある日突然、別れを切り出し姿を消した。それ以来、小百合は坂巻を待ち続けているという。小百合の一途さと涙に心を動かされた探偵は自ら志願し、調査を開始する…。")</f>
        <v>【第7話　探偵と待ちぼうけの女】東京から遠く離れた片田舎の駅で、探偵(高橋克典)は鈴原小百合(安達祐実)と出会う。小百合は5年前、人間関係に疲れてこの町に来訪。旅をしていた画家・坂巻英治(葛山信吾)と出会い、愛し合うようになった。だが坂巻はある日突然、別れを切り出し姿を消した。それ以来、小百合は坂巻を待ち続けているという。小百合の一途さと涙に心を動かされた探偵は自ら志願し、調査を開始する…。</v>
      </c>
      <c r="N2515" s="2"/>
      <c r="O2515" s="2"/>
      <c r="P2515" s="1"/>
      <c r="Q2515" s="1"/>
      <c r="R2515" s="1"/>
      <c r="S2515" s="1"/>
      <c r="T2515" s="1"/>
      <c r="U2515" s="1"/>
      <c r="V2515" s="1"/>
      <c r="W2515" s="1"/>
      <c r="X2515" s="1"/>
      <c r="Y2515" s="1"/>
      <c r="Z2515" s="1"/>
      <c r="AA2515" s="1"/>
      <c r="AB2515" s="1"/>
      <c r="AC2515" s="1"/>
      <c r="AD2515" s="1"/>
      <c r="AE2515" s="1"/>
      <c r="AF2515" s="1"/>
      <c r="AG2515" s="1"/>
      <c r="AH2515" s="1"/>
      <c r="AI2515" s="1"/>
      <c r="AJ2515" s="1"/>
      <c r="AK2515" s="1"/>
      <c r="AL2515" s="1"/>
      <c r="AM2515" s="1"/>
      <c r="AN2515" s="1"/>
      <c r="AO2515" s="1"/>
      <c r="AP2515" s="1"/>
      <c r="AQ2515" s="1"/>
      <c r="AR2515" s="1"/>
      <c r="AS2515" s="1"/>
      <c r="AT2515" s="1"/>
      <c r="AU2515" s="1"/>
      <c r="AV2515" s="1"/>
      <c r="AW2515" s="1"/>
      <c r="AX2515" s="1"/>
      <c r="AY2515" s="1"/>
      <c r="AZ2515" s="1"/>
      <c r="BA2515" s="1"/>
      <c r="BB2515" s="1"/>
    </row>
    <row r="2516" ht="204.75" customHeight="1">
      <c r="A2516" s="1">
        <v>2677.0</v>
      </c>
      <c r="B2516" s="2" t="s">
        <v>7828</v>
      </c>
      <c r="C2516" s="2">
        <f>IFERROR(__xludf.DUMMYFUNCTION("split(B2516,""_"")"),1407.0)</f>
        <v>1407</v>
      </c>
      <c r="D2516" s="2" t="str">
        <f>IFERROR(__xludf.DUMMYFUNCTION("""COMPUTED_VALUE"""),"EX")</f>
        <v>EX</v>
      </c>
      <c r="E2516" s="2" t="str">
        <f>IFERROR(__xludf.DUMMYFUNCTION("""COMPUTED_VALUE"""),"金23")</f>
        <v>金23</v>
      </c>
      <c r="F2516" s="2" t="s">
        <v>7829</v>
      </c>
      <c r="G2516" s="2" t="s">
        <v>7851</v>
      </c>
      <c r="H2516" s="1">
        <v>8.0</v>
      </c>
      <c r="J2516" s="1" t="s">
        <v>1435</v>
      </c>
      <c r="K2516" s="2" t="s">
        <v>7852</v>
      </c>
      <c r="L2516" s="11" t="s">
        <v>7853</v>
      </c>
      <c r="M2516" s="2" t="str">
        <f>IFERROR(__xludf.DUMMYFUNCTION("split(split(K2516,""高橋克典、"",false),""公式LINE"",false)"),"【第8話　探偵と腕のたつ女】探偵(高橋克典)は主婦・安岡圭子(山下容莉枝)の依頼で、ある企業の研究員として働く彼女の夫・安岡道雄(大鶴義丹)の浮気調査を開始。安岡が女性と寄り添って歩く決定的瞬間をカメラに収めた瞬間、探偵の前に女探偵・山村サキ(壇蜜)が現れた!探偵からカメラを奪おうとするサキ。2人は激しく格闘するが、安岡らがいなくなっていることに気づいたサキは急いでその場を立ち去るーー")</f>
        <v>【第8話　探偵と腕のたつ女】探偵(高橋克典)は主婦・安岡圭子(山下容莉枝)の依頼で、ある企業の研究員として働く彼女の夫・安岡道雄(大鶴義丹)の浮気調査を開始。安岡が女性と寄り添って歩く決定的瞬間をカメラに収めた瞬間、探偵の前に女探偵・山村サキ(壇蜜)が現れた!探偵からカメラを奪おうとするサキ。2人は激しく格闘するが、安岡らがいなくなっていることに気づいたサキは急いでその場を立ち去るーー</v>
      </c>
      <c r="N2516" s="2"/>
      <c r="O2516" s="2"/>
      <c r="P2516" s="1"/>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c r="AN2516" s="1"/>
      <c r="AO2516" s="1"/>
      <c r="AP2516" s="1"/>
      <c r="AQ2516" s="1"/>
      <c r="AR2516" s="1"/>
      <c r="AS2516" s="1"/>
      <c r="AT2516" s="1"/>
      <c r="AU2516" s="1"/>
      <c r="AV2516" s="1"/>
      <c r="AW2516" s="1"/>
      <c r="AX2516" s="1"/>
      <c r="AY2516" s="1"/>
      <c r="AZ2516" s="1"/>
      <c r="BA2516" s="1"/>
      <c r="BB2516" s="1"/>
    </row>
    <row r="2517" ht="204.75" customHeight="1">
      <c r="A2517" s="1">
        <v>2678.0</v>
      </c>
      <c r="B2517" s="2" t="s">
        <v>7828</v>
      </c>
      <c r="C2517" s="2">
        <f>IFERROR(__xludf.DUMMYFUNCTION("split(B2517,""_"")"),1407.0)</f>
        <v>1407</v>
      </c>
      <c r="D2517" s="2" t="str">
        <f>IFERROR(__xludf.DUMMYFUNCTION("""COMPUTED_VALUE"""),"EX")</f>
        <v>EX</v>
      </c>
      <c r="E2517" s="2" t="str">
        <f>IFERROR(__xludf.DUMMYFUNCTION("""COMPUTED_VALUE"""),"金23")</f>
        <v>金23</v>
      </c>
      <c r="F2517" s="2" t="s">
        <v>7829</v>
      </c>
      <c r="G2517" s="2" t="s">
        <v>7854</v>
      </c>
      <c r="H2517" s="1">
        <v>9.0</v>
      </c>
      <c r="J2517" s="1" t="s">
        <v>1435</v>
      </c>
      <c r="K2517" s="2" t="s">
        <v>7855</v>
      </c>
      <c r="L2517" s="11" t="s">
        <v>7856</v>
      </c>
      <c r="M2517" s="2" t="str">
        <f>IFERROR(__xludf.DUMMYFUNCTION("split(split(K2517,""高橋克典、"",false),""公式LINE"",false)"),"【最終話】探偵(高橋克典)は久しぶりに会った真由美(三浦理恵子)から、麻美(小池里奈)の行方を探して欲しいと依頼される。その頃、不思議な能力を持った男・城ヶ崎(林家三平)がテレビ番組の生放送中、行方不明の男性・北山が死んでいる場所を突き止め世間を騒がせていた。探偵は麻美の残したメールを手がかりに彼女を見つける。真相を探るべく、マスコミで城ヶ崎を糾弾している柳井教授(袴田吉彦)のもとへ向かうが…。")</f>
        <v>【最終話】探偵(高橋克典)は久しぶりに会った真由美(三浦理恵子)から、麻美(小池里奈)の行方を探して欲しいと依頼される。その頃、不思議な能力を持った男・城ヶ崎(林家三平)がテレビ番組の生放送中、行方不明の男性・北山が死んでいる場所を突き止め世間を騒がせていた。探偵は麻美の残したメールを手がかりに彼女を見つける。真相を探るべく、マスコミで城ヶ崎を糾弾している柳井教授(袴田吉彦)のもとへ向かうが…。</v>
      </c>
      <c r="N2517" s="2"/>
      <c r="O2517" s="2"/>
      <c r="P2517" s="1"/>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c r="AN2517" s="1"/>
      <c r="AO2517" s="1"/>
      <c r="AP2517" s="1"/>
      <c r="AQ2517" s="1"/>
      <c r="AR2517" s="1"/>
      <c r="AS2517" s="1"/>
      <c r="AT2517" s="1"/>
      <c r="AU2517" s="1"/>
      <c r="AV2517" s="1"/>
      <c r="AW2517" s="1"/>
      <c r="AX2517" s="1"/>
      <c r="AY2517" s="1"/>
      <c r="AZ2517" s="1"/>
      <c r="BA2517" s="1"/>
      <c r="BB2517" s="1"/>
    </row>
    <row r="2518" ht="204.75" customHeight="1">
      <c r="A2518" s="1">
        <v>2753.0</v>
      </c>
      <c r="B2518" s="2" t="s">
        <v>7857</v>
      </c>
      <c r="C2518" s="2">
        <f>IFERROR(__xludf.DUMMYFUNCTION("split(B2518,""_"")"),1404.0)</f>
        <v>1404</v>
      </c>
      <c r="D2518" s="2" t="str">
        <f>IFERROR(__xludf.DUMMYFUNCTION("""COMPUTED_VALUE"""),"EX")</f>
        <v>EX</v>
      </c>
      <c r="E2518" s="2" t="str">
        <f>IFERROR(__xludf.DUMMYFUNCTION("""COMPUTED_VALUE"""),"水21")</f>
        <v>水21</v>
      </c>
      <c r="F2518" s="2" t="s">
        <v>7858</v>
      </c>
      <c r="G2518" s="2" t="s">
        <v>7859</v>
      </c>
      <c r="H2518" s="1">
        <v>1.0</v>
      </c>
      <c r="I2518" s="1" t="s">
        <v>2868</v>
      </c>
      <c r="J2518" s="1" t="s">
        <v>11</v>
      </c>
      <c r="K2518" s="4" t="s">
        <v>7860</v>
      </c>
      <c r="L2518" s="11" t="s">
        <v>7861</v>
      </c>
      <c r="M2518" s="2" t="str">
        <f>IFERROR(__xludf.DUMMYFUNCTION("split(split(K2518,""小澤征悦、"",false),""公式LINE"",false)"),"商社マンの遺体が東京駅前広場で発見される。自殺を唱える所轄署、他殺を主張する管理官・佐久晋吾(小澤征悦)。そこには所轄署長と企業の癒着、東京地検との縄張り争いが渦を巻いていた。佐久管理官の奇怪な策略で捜査本部は混乱を極めるが…")</f>
        <v>商社マンの遺体が東京駅前広場で発見される。自殺を唱える所轄署、他殺を主張する管理官・佐久晋吾(小澤征悦)。そこには所轄署長と企業の癒着、東京地検との縄張り争いが渦を巻いていた。佐久管理官の奇怪な策略で捜査本部は混乱を極めるが…</v>
      </c>
      <c r="N2518" s="2"/>
      <c r="O2518" s="2"/>
      <c r="P2518" s="1"/>
      <c r="Q2518" s="1"/>
      <c r="R2518" s="1"/>
      <c r="S2518" s="1"/>
      <c r="T2518" s="1"/>
      <c r="U2518" s="1"/>
      <c r="V2518" s="1"/>
      <c r="W2518" s="1"/>
      <c r="X2518" s="1"/>
      <c r="Y2518" s="1"/>
      <c r="Z2518" s="1"/>
      <c r="AA2518" s="1"/>
      <c r="AB2518" s="1"/>
      <c r="AC2518" s="1"/>
      <c r="AD2518" s="1"/>
      <c r="AE2518" s="1"/>
      <c r="AF2518" s="1"/>
      <c r="AG2518" s="1"/>
      <c r="AH2518" s="1"/>
      <c r="AI2518" s="1"/>
      <c r="AJ2518" s="1"/>
      <c r="AK2518" s="1"/>
      <c r="AL2518" s="1"/>
      <c r="AM2518" s="1"/>
      <c r="AN2518" s="1"/>
      <c r="AO2518" s="1"/>
      <c r="AP2518" s="1"/>
      <c r="AQ2518" s="1"/>
      <c r="AR2518" s="1"/>
      <c r="AS2518" s="1"/>
      <c r="AT2518" s="1"/>
      <c r="AU2518" s="1"/>
      <c r="AV2518" s="1"/>
      <c r="AW2518" s="1"/>
      <c r="AX2518" s="1"/>
      <c r="AY2518" s="1"/>
      <c r="AZ2518" s="1"/>
      <c r="BA2518" s="1"/>
      <c r="BB2518" s="1"/>
    </row>
    <row r="2519" ht="204.75" customHeight="1">
      <c r="A2519" s="1">
        <v>2754.0</v>
      </c>
      <c r="B2519" s="2" t="s">
        <v>7857</v>
      </c>
      <c r="C2519" s="2">
        <f>IFERROR(__xludf.DUMMYFUNCTION("split(B2519,""_"")"),1404.0)</f>
        <v>1404</v>
      </c>
      <c r="D2519" s="2" t="str">
        <f>IFERROR(__xludf.DUMMYFUNCTION("""COMPUTED_VALUE"""),"EX")</f>
        <v>EX</v>
      </c>
      <c r="E2519" s="2" t="str">
        <f>IFERROR(__xludf.DUMMYFUNCTION("""COMPUTED_VALUE"""),"水21")</f>
        <v>水21</v>
      </c>
      <c r="F2519" s="2" t="s">
        <v>7858</v>
      </c>
      <c r="G2519" s="2" t="s">
        <v>7862</v>
      </c>
      <c r="H2519" s="1">
        <v>2.0</v>
      </c>
      <c r="I2519" s="1" t="s">
        <v>2872</v>
      </c>
      <c r="J2519" s="1" t="s">
        <v>11</v>
      </c>
      <c r="K2519" s="2" t="s">
        <v>7863</v>
      </c>
      <c r="L2519" s="11" t="s">
        <v>7864</v>
      </c>
      <c r="M2519" s="2" t="str">
        <f>IFERROR(__xludf.DUMMYFUNCTION("split(split(K2519,""…"",false),""公式LINE"",false)"),"小澤征悦が民放連続ドラマ初主演!バラバラの思いを抱える熱い刑事たちと、冷徹な管理官・佐久晋吾(小澤征悦)が、正義の名のもと、ひとつ≪TEAM≫になる")</f>
        <v>小澤征悦が民放連続ドラマ初主演!バラバラの思いを抱える熱い刑事たちと、冷徹な管理官・佐久晋吾(小澤征悦)が、正義の名のもと、ひとつ≪TEAM≫になる</v>
      </c>
      <c r="N2519" s="2"/>
      <c r="O2519" s="2"/>
      <c r="P2519" s="1"/>
      <c r="Q2519" s="1"/>
      <c r="R2519" s="1"/>
      <c r="S2519" s="1"/>
      <c r="T2519" s="1"/>
      <c r="U2519" s="1"/>
      <c r="V2519" s="1"/>
      <c r="W2519" s="1"/>
      <c r="X2519" s="1"/>
      <c r="Y2519" s="1"/>
      <c r="Z2519" s="1"/>
      <c r="AA2519" s="1"/>
      <c r="AB2519" s="1"/>
      <c r="AC2519" s="1"/>
      <c r="AD2519" s="1"/>
      <c r="AE2519" s="1"/>
      <c r="AF2519" s="1"/>
      <c r="AG2519" s="1"/>
      <c r="AH2519" s="1"/>
      <c r="AI2519" s="1"/>
      <c r="AJ2519" s="1"/>
      <c r="AK2519" s="1"/>
      <c r="AL2519" s="1"/>
      <c r="AM2519" s="1"/>
      <c r="AN2519" s="1"/>
      <c r="AO2519" s="1"/>
      <c r="AP2519" s="1"/>
      <c r="AQ2519" s="1"/>
      <c r="AR2519" s="1"/>
      <c r="AS2519" s="1"/>
      <c r="AT2519" s="1"/>
      <c r="AU2519" s="1"/>
      <c r="AV2519" s="1"/>
      <c r="AW2519" s="1"/>
      <c r="AX2519" s="1"/>
      <c r="AY2519" s="1"/>
      <c r="AZ2519" s="1"/>
      <c r="BA2519" s="1"/>
      <c r="BB2519" s="1"/>
    </row>
    <row r="2520" ht="204.75" customHeight="1">
      <c r="A2520" s="1">
        <v>2755.0</v>
      </c>
      <c r="B2520" s="2" t="s">
        <v>7857</v>
      </c>
      <c r="C2520" s="2">
        <f>IFERROR(__xludf.DUMMYFUNCTION("split(B2520,""_"")"),1404.0)</f>
        <v>1404</v>
      </c>
      <c r="D2520" s="2" t="str">
        <f>IFERROR(__xludf.DUMMYFUNCTION("""COMPUTED_VALUE"""),"EX")</f>
        <v>EX</v>
      </c>
      <c r="E2520" s="2" t="str">
        <f>IFERROR(__xludf.DUMMYFUNCTION("""COMPUTED_VALUE"""),"水21")</f>
        <v>水21</v>
      </c>
      <c r="F2520" s="2" t="s">
        <v>7858</v>
      </c>
      <c r="G2520" s="2" t="s">
        <v>7865</v>
      </c>
      <c r="H2520" s="1">
        <v>3.0</v>
      </c>
      <c r="I2520" s="1" t="s">
        <v>2876</v>
      </c>
      <c r="J2520" s="1" t="s">
        <v>11</v>
      </c>
      <c r="K2520" s="2" t="s">
        <v>7866</v>
      </c>
      <c r="L2520" s="11" t="s">
        <v>7864</v>
      </c>
      <c r="M2520" s="2" t="str">
        <f>IFERROR(__xludf.DUMMYFUNCTION("split(split(K2520,""…"",false),""公式LINE"",false)"),"小澤征悦が民放連続ドラマ初主演!バラバラの思いを抱える熱い刑事たちと、冷徹な管理官・佐久晋吾(小澤征悦)が、正義の名のもと、ひとつ≪TEAM≫になる")</f>
        <v>小澤征悦が民放連続ドラマ初主演!バラバラの思いを抱える熱い刑事たちと、冷徹な管理官・佐久晋吾(小澤征悦)が、正義の名のもと、ひとつ≪TEAM≫になる</v>
      </c>
      <c r="N2520" s="2"/>
      <c r="O2520" s="2"/>
      <c r="P2520" s="1"/>
      <c r="Q2520" s="1"/>
      <c r="R2520" s="1"/>
      <c r="S2520" s="1"/>
      <c r="T2520" s="1"/>
      <c r="U2520" s="1"/>
      <c r="V2520" s="1"/>
      <c r="W2520" s="1"/>
      <c r="X2520" s="1"/>
      <c r="Y2520" s="1"/>
      <c r="Z2520" s="1"/>
      <c r="AA2520" s="1"/>
      <c r="AB2520" s="1"/>
      <c r="AC2520" s="1"/>
      <c r="AD2520" s="1"/>
      <c r="AE2520" s="1"/>
      <c r="AF2520" s="1"/>
      <c r="AG2520" s="1"/>
      <c r="AH2520" s="1"/>
      <c r="AI2520" s="1"/>
      <c r="AJ2520" s="1"/>
      <c r="AK2520" s="1"/>
      <c r="AL2520" s="1"/>
      <c r="AM2520" s="1"/>
      <c r="AN2520" s="1"/>
      <c r="AO2520" s="1"/>
      <c r="AP2520" s="1"/>
      <c r="AQ2520" s="1"/>
      <c r="AR2520" s="1"/>
      <c r="AS2520" s="1"/>
      <c r="AT2520" s="1"/>
      <c r="AU2520" s="1"/>
      <c r="AV2520" s="1"/>
      <c r="AW2520" s="1"/>
      <c r="AX2520" s="1"/>
      <c r="AY2520" s="1"/>
      <c r="AZ2520" s="1"/>
      <c r="BA2520" s="1"/>
      <c r="BB2520" s="1"/>
    </row>
    <row r="2521" ht="204.75" customHeight="1">
      <c r="A2521" s="1">
        <v>2756.0</v>
      </c>
      <c r="B2521" s="2" t="s">
        <v>7857</v>
      </c>
      <c r="C2521" s="2">
        <f>IFERROR(__xludf.DUMMYFUNCTION("split(B2521,""_"")"),1404.0)</f>
        <v>1404</v>
      </c>
      <c r="D2521" s="2" t="str">
        <f>IFERROR(__xludf.DUMMYFUNCTION("""COMPUTED_VALUE"""),"EX")</f>
        <v>EX</v>
      </c>
      <c r="E2521" s="2" t="str">
        <f>IFERROR(__xludf.DUMMYFUNCTION("""COMPUTED_VALUE"""),"水21")</f>
        <v>水21</v>
      </c>
      <c r="F2521" s="2" t="s">
        <v>7858</v>
      </c>
      <c r="G2521" s="2" t="s">
        <v>7867</v>
      </c>
      <c r="H2521" s="1">
        <v>4.0</v>
      </c>
      <c r="I2521" s="1" t="s">
        <v>2880</v>
      </c>
      <c r="J2521" s="1" t="s">
        <v>11</v>
      </c>
      <c r="K2521" s="2" t="s">
        <v>7868</v>
      </c>
      <c r="L2521" s="11" t="s">
        <v>7864</v>
      </c>
      <c r="M2521" s="2" t="str">
        <f>IFERROR(__xludf.DUMMYFUNCTION("split(split(K2521,""…"",false),""公式LINE"",false)"),"小澤征悦が民放連続ドラマ初主演!バラバラの思いを抱える熱い刑事たちと、冷徹な管理官・佐久晋吾(小澤征悦)が、正義の名のもと、ひとつ≪TEAM≫になる")</f>
        <v>小澤征悦が民放連続ドラマ初主演!バラバラの思いを抱える熱い刑事たちと、冷徹な管理官・佐久晋吾(小澤征悦)が、正義の名のもと、ひとつ≪TEAM≫になる</v>
      </c>
      <c r="N2521" s="2"/>
      <c r="O2521" s="2"/>
      <c r="P2521" s="1"/>
      <c r="Q2521" s="1"/>
      <c r="R2521" s="1"/>
      <c r="S2521" s="1"/>
      <c r="T2521" s="1"/>
      <c r="U2521" s="1"/>
      <c r="V2521" s="1"/>
      <c r="W2521" s="1"/>
      <c r="X2521" s="1"/>
      <c r="Y2521" s="1"/>
      <c r="Z2521" s="1"/>
      <c r="AA2521" s="1"/>
      <c r="AB2521" s="1"/>
      <c r="AC2521" s="1"/>
      <c r="AD2521" s="1"/>
      <c r="AE2521" s="1"/>
      <c r="AF2521" s="1"/>
      <c r="AG2521" s="1"/>
      <c r="AH2521" s="1"/>
      <c r="AI2521" s="1"/>
      <c r="AJ2521" s="1"/>
      <c r="AK2521" s="1"/>
      <c r="AL2521" s="1"/>
      <c r="AM2521" s="1"/>
      <c r="AN2521" s="1"/>
      <c r="AO2521" s="1"/>
      <c r="AP2521" s="1"/>
      <c r="AQ2521" s="1"/>
      <c r="AR2521" s="1"/>
      <c r="AS2521" s="1"/>
      <c r="AT2521" s="1"/>
      <c r="AU2521" s="1"/>
      <c r="AV2521" s="1"/>
      <c r="AW2521" s="1"/>
      <c r="AX2521" s="1"/>
      <c r="AY2521" s="1"/>
      <c r="AZ2521" s="1"/>
      <c r="BA2521" s="1"/>
      <c r="BB2521" s="1"/>
    </row>
    <row r="2522" ht="204.75" customHeight="1">
      <c r="A2522" s="1">
        <v>2757.0</v>
      </c>
      <c r="B2522" s="2" t="s">
        <v>7857</v>
      </c>
      <c r="C2522" s="2">
        <f>IFERROR(__xludf.DUMMYFUNCTION("split(B2522,""_"")"),1404.0)</f>
        <v>1404</v>
      </c>
      <c r="D2522" s="2" t="str">
        <f>IFERROR(__xludf.DUMMYFUNCTION("""COMPUTED_VALUE"""),"EX")</f>
        <v>EX</v>
      </c>
      <c r="E2522" s="2" t="str">
        <f>IFERROR(__xludf.DUMMYFUNCTION("""COMPUTED_VALUE"""),"水21")</f>
        <v>水21</v>
      </c>
      <c r="F2522" s="2" t="s">
        <v>7858</v>
      </c>
      <c r="G2522" s="2" t="s">
        <v>7869</v>
      </c>
      <c r="H2522" s="1">
        <v>5.0</v>
      </c>
      <c r="I2522" s="1" t="s">
        <v>2884</v>
      </c>
      <c r="J2522" s="1" t="s">
        <v>4</v>
      </c>
      <c r="K2522" s="2" t="s">
        <v>7870</v>
      </c>
      <c r="L2522" s="11" t="s">
        <v>7864</v>
      </c>
      <c r="M2522" s="2" t="str">
        <f>IFERROR(__xludf.DUMMYFUNCTION("split(split(K2522,""…"",false),""公式LINE"",false)"),"小澤征悦が民放連続ドラマ初主演!バラバラの思いを抱える熱い刑事たちと、冷徹な管理官・佐久晋吾(小澤征悦)が、正義の名のもと、ひとつ≪TEAM≫になる")</f>
        <v>小澤征悦が民放連続ドラマ初主演!バラバラの思いを抱える熱い刑事たちと、冷徹な管理官・佐久晋吾(小澤征悦)が、正義の名のもと、ひとつ≪TEAM≫になる</v>
      </c>
      <c r="N2522" s="2"/>
      <c r="O2522" s="2"/>
      <c r="P2522" s="1"/>
      <c r="Q2522" s="1"/>
      <c r="R2522" s="1"/>
      <c r="S2522" s="1"/>
      <c r="T2522" s="1"/>
      <c r="U2522" s="1"/>
      <c r="V2522" s="1"/>
      <c r="W2522" s="1"/>
      <c r="X2522" s="1"/>
      <c r="Y2522" s="1"/>
      <c r="Z2522" s="1"/>
      <c r="AA2522" s="1"/>
      <c r="AB2522" s="1"/>
      <c r="AC2522" s="1"/>
      <c r="AD2522" s="1"/>
      <c r="AE2522" s="1"/>
      <c r="AF2522" s="1"/>
      <c r="AG2522" s="1"/>
      <c r="AH2522" s="1"/>
      <c r="AI2522" s="1"/>
      <c r="AJ2522" s="1"/>
      <c r="AK2522" s="1"/>
      <c r="AL2522" s="1"/>
      <c r="AM2522" s="1"/>
      <c r="AN2522" s="1"/>
      <c r="AO2522" s="1"/>
      <c r="AP2522" s="1"/>
      <c r="AQ2522" s="1"/>
      <c r="AR2522" s="1"/>
      <c r="AS2522" s="1"/>
      <c r="AT2522" s="1"/>
      <c r="AU2522" s="1"/>
      <c r="AV2522" s="1"/>
      <c r="AW2522" s="1"/>
      <c r="AX2522" s="1"/>
      <c r="AY2522" s="1"/>
      <c r="AZ2522" s="1"/>
      <c r="BA2522" s="1"/>
      <c r="BB2522" s="1"/>
    </row>
    <row r="2523" ht="204.75" customHeight="1">
      <c r="A2523" s="1">
        <v>2758.0</v>
      </c>
      <c r="B2523" s="2" t="s">
        <v>7857</v>
      </c>
      <c r="C2523" s="2">
        <f>IFERROR(__xludf.DUMMYFUNCTION("split(B2523,""_"")"),1404.0)</f>
        <v>1404</v>
      </c>
      <c r="D2523" s="2" t="str">
        <f>IFERROR(__xludf.DUMMYFUNCTION("""COMPUTED_VALUE"""),"EX")</f>
        <v>EX</v>
      </c>
      <c r="E2523" s="2" t="str">
        <f>IFERROR(__xludf.DUMMYFUNCTION("""COMPUTED_VALUE"""),"水21")</f>
        <v>水21</v>
      </c>
      <c r="F2523" s="2" t="s">
        <v>7858</v>
      </c>
      <c r="G2523" s="2" t="s">
        <v>7871</v>
      </c>
      <c r="H2523" s="1">
        <v>6.0</v>
      </c>
      <c r="I2523" s="1" t="s">
        <v>2888</v>
      </c>
      <c r="J2523" s="1" t="s">
        <v>11</v>
      </c>
      <c r="K2523" s="2" t="s">
        <v>7872</v>
      </c>
      <c r="L2523" s="11" t="s">
        <v>7864</v>
      </c>
      <c r="M2523" s="2" t="str">
        <f>IFERROR(__xludf.DUMMYFUNCTION("split(split(K2523,""…"",false),""公式LINE"",false)"),"小澤征悦が民放連続ドラマ初主演!バラバラの思いを抱える熱い刑事たちと、冷徹な管理官・佐久晋吾(小澤征悦)が、正義の名のもと、ひとつ≪TEAM≫になる")</f>
        <v>小澤征悦が民放連続ドラマ初主演!バラバラの思いを抱える熱い刑事たちと、冷徹な管理官・佐久晋吾(小澤征悦)が、正義の名のもと、ひとつ≪TEAM≫になる</v>
      </c>
      <c r="N2523" s="2"/>
      <c r="O2523" s="2"/>
      <c r="P2523" s="1"/>
      <c r="Q2523" s="1"/>
      <c r="R2523" s="1"/>
      <c r="S2523" s="1"/>
      <c r="T2523" s="1"/>
      <c r="U2523" s="1"/>
      <c r="V2523" s="1"/>
      <c r="W2523" s="1"/>
      <c r="X2523" s="1"/>
      <c r="Y2523" s="1"/>
      <c r="Z2523" s="1"/>
      <c r="AA2523" s="1"/>
      <c r="AB2523" s="1"/>
      <c r="AC2523" s="1"/>
      <c r="AD2523" s="1"/>
      <c r="AE2523" s="1"/>
      <c r="AF2523" s="1"/>
      <c r="AG2523" s="1"/>
      <c r="AH2523" s="1"/>
      <c r="AI2523" s="1"/>
      <c r="AJ2523" s="1"/>
      <c r="AK2523" s="1"/>
      <c r="AL2523" s="1"/>
      <c r="AM2523" s="1"/>
      <c r="AN2523" s="1"/>
      <c r="AO2523" s="1"/>
      <c r="AP2523" s="1"/>
      <c r="AQ2523" s="1"/>
      <c r="AR2523" s="1"/>
      <c r="AS2523" s="1"/>
      <c r="AT2523" s="1"/>
      <c r="AU2523" s="1"/>
      <c r="AV2523" s="1"/>
      <c r="AW2523" s="1"/>
      <c r="AX2523" s="1"/>
      <c r="AY2523" s="1"/>
      <c r="AZ2523" s="1"/>
      <c r="BA2523" s="1"/>
      <c r="BB2523" s="1"/>
    </row>
    <row r="2524" ht="204.75" customHeight="1">
      <c r="A2524" s="1">
        <v>2759.0</v>
      </c>
      <c r="B2524" s="2" t="s">
        <v>7857</v>
      </c>
      <c r="C2524" s="2">
        <f>IFERROR(__xludf.DUMMYFUNCTION("split(B2524,""_"")"),1404.0)</f>
        <v>1404</v>
      </c>
      <c r="D2524" s="2" t="str">
        <f>IFERROR(__xludf.DUMMYFUNCTION("""COMPUTED_VALUE"""),"EX")</f>
        <v>EX</v>
      </c>
      <c r="E2524" s="2" t="str">
        <f>IFERROR(__xludf.DUMMYFUNCTION("""COMPUTED_VALUE"""),"水21")</f>
        <v>水21</v>
      </c>
      <c r="F2524" s="2" t="s">
        <v>7858</v>
      </c>
      <c r="G2524" s="2" t="s">
        <v>7873</v>
      </c>
      <c r="H2524" s="1">
        <v>7.0</v>
      </c>
      <c r="I2524" s="1" t="s">
        <v>2892</v>
      </c>
      <c r="J2524" s="1" t="s">
        <v>11</v>
      </c>
      <c r="K2524" s="2" t="s">
        <v>7874</v>
      </c>
      <c r="L2524" s="11" t="s">
        <v>7875</v>
      </c>
      <c r="M2524" s="2" t="str">
        <f>IFERROR(__xludf.DUMMYFUNCTION("split(split(K2524,""…"",false),""公式LINE"",false)"),"捜査本部のトップである“管理官”佐久晋吾(小澤征悦)は「あなたたちは駒です」と現場の刑事に言い放ち、大胆不敵な捜査方針を打ち出す。刑事たちはそんな佐久とたびたび衝突するが、彼らに共通するただ一つの目的は“事件解決”。いつしか佐久の策に取り込まれ、&lt;TEAM&gt;となっていく")</f>
        <v>捜査本部のトップである“管理官”佐久晋吾(小澤征悦)は「あなたたちは駒です」と現場の刑事に言い放ち、大胆不敵な捜査方針を打ち出す。刑事たちはそんな佐久とたびたび衝突するが、彼らに共通するただ一つの目的は“事件解決”。いつしか佐久の策に取り込まれ、&lt;TEAM&gt;となっていく</v>
      </c>
      <c r="N2524" s="2"/>
      <c r="O2524" s="2"/>
      <c r="P2524" s="1"/>
      <c r="Q2524" s="1"/>
      <c r="R2524" s="1"/>
      <c r="S2524" s="1"/>
      <c r="T2524" s="1"/>
      <c r="U2524" s="1"/>
      <c r="V2524" s="1"/>
      <c r="W2524" s="1"/>
      <c r="X2524" s="1"/>
      <c r="Y2524" s="1"/>
      <c r="Z2524" s="1"/>
      <c r="AA2524" s="1"/>
      <c r="AB2524" s="1"/>
      <c r="AC2524" s="1"/>
      <c r="AD2524" s="1"/>
      <c r="AE2524" s="1"/>
      <c r="AF2524" s="1"/>
      <c r="AG2524" s="1"/>
      <c r="AH2524" s="1"/>
      <c r="AI2524" s="1"/>
      <c r="AJ2524" s="1"/>
      <c r="AK2524" s="1"/>
      <c r="AL2524" s="1"/>
      <c r="AM2524" s="1"/>
      <c r="AN2524" s="1"/>
      <c r="AO2524" s="1"/>
      <c r="AP2524" s="1"/>
      <c r="AQ2524" s="1"/>
      <c r="AR2524" s="1"/>
      <c r="AS2524" s="1"/>
      <c r="AT2524" s="1"/>
      <c r="AU2524" s="1"/>
      <c r="AV2524" s="1"/>
      <c r="AW2524" s="1"/>
      <c r="AX2524" s="1"/>
      <c r="AY2524" s="1"/>
      <c r="AZ2524" s="1"/>
      <c r="BA2524" s="1"/>
      <c r="BB2524" s="1"/>
    </row>
    <row r="2525" ht="204.75" customHeight="1">
      <c r="A2525" s="1">
        <v>2760.0</v>
      </c>
      <c r="B2525" s="2" t="s">
        <v>7857</v>
      </c>
      <c r="C2525" s="2">
        <f>IFERROR(__xludf.DUMMYFUNCTION("split(B2525,""_"")"),1404.0)</f>
        <v>1404</v>
      </c>
      <c r="D2525" s="2" t="str">
        <f>IFERROR(__xludf.DUMMYFUNCTION("""COMPUTED_VALUE"""),"EX")</f>
        <v>EX</v>
      </c>
      <c r="E2525" s="2" t="str">
        <f>IFERROR(__xludf.DUMMYFUNCTION("""COMPUTED_VALUE"""),"水21")</f>
        <v>水21</v>
      </c>
      <c r="F2525" s="2" t="s">
        <v>7858</v>
      </c>
      <c r="G2525" s="2" t="s">
        <v>7876</v>
      </c>
      <c r="H2525" s="1">
        <v>8.0</v>
      </c>
      <c r="I2525" s="1" t="s">
        <v>2896</v>
      </c>
      <c r="J2525" s="1" t="s">
        <v>11</v>
      </c>
      <c r="K2525" s="2" t="s">
        <v>7877</v>
      </c>
      <c r="L2525" s="11" t="s">
        <v>7878</v>
      </c>
      <c r="M2525" s="2" t="str">
        <f>IFERROR(__xludf.DUMMYFUNCTION("split(split(K2525,""…"",false),""公式LINE"",false)"),"捜査本部のトップである“管理官""佐久晋吾(小澤征悦)は「あなたたちは駒です」と現場の刑事に言い放ち、大胆不敵な捜査方針を打ち出す。刑事たちはそんな佐久とたびたび衝突するが、彼らに共通するただ一つの目的は“事件解決""。いつしか佐久の策に取り込まれ、&lt;TEAM&gt;となっていく")</f>
        <v>捜査本部のトップである“管理官"佐久晋吾(小澤征悦)は「あなたたちは駒です」と現場の刑事に言い放ち、大胆不敵な捜査方針を打ち出す。刑事たちはそんな佐久とたびたび衝突するが、彼らに共通するただ一つの目的は“事件解決"。いつしか佐久の策に取り込まれ、&lt;TEAM&gt;となっていく</v>
      </c>
      <c r="N2525" s="2"/>
      <c r="O2525" s="2"/>
      <c r="P2525" s="1"/>
      <c r="Q2525" s="1"/>
      <c r="R2525" s="1"/>
      <c r="S2525" s="1"/>
      <c r="T2525" s="1"/>
      <c r="U2525" s="1"/>
      <c r="V2525" s="1"/>
      <c r="W2525" s="1"/>
      <c r="X2525" s="1"/>
      <c r="Y2525" s="1"/>
      <c r="Z2525" s="1"/>
      <c r="AA2525" s="1"/>
      <c r="AB2525" s="1"/>
      <c r="AC2525" s="1"/>
      <c r="AD2525" s="1"/>
      <c r="AE2525" s="1"/>
      <c r="AF2525" s="1"/>
      <c r="AG2525" s="1"/>
      <c r="AH2525" s="1"/>
      <c r="AI2525" s="1"/>
      <c r="AJ2525" s="1"/>
      <c r="AK2525" s="1"/>
      <c r="AL2525" s="1"/>
      <c r="AM2525" s="1"/>
      <c r="AN2525" s="1"/>
      <c r="AO2525" s="1"/>
      <c r="AP2525" s="1"/>
      <c r="AQ2525" s="1"/>
      <c r="AR2525" s="1"/>
      <c r="AS2525" s="1"/>
      <c r="AT2525" s="1"/>
      <c r="AU2525" s="1"/>
      <c r="AV2525" s="1"/>
      <c r="AW2525" s="1"/>
      <c r="AX2525" s="1"/>
      <c r="AY2525" s="1"/>
      <c r="AZ2525" s="1"/>
      <c r="BA2525" s="1"/>
      <c r="BB2525" s="1"/>
    </row>
    <row r="2526" ht="204.75" customHeight="1">
      <c r="A2526" s="1">
        <v>2761.0</v>
      </c>
      <c r="B2526" s="2" t="s">
        <v>7857</v>
      </c>
      <c r="C2526" s="2">
        <f>IFERROR(__xludf.DUMMYFUNCTION("split(B2526,""_"")"),1404.0)</f>
        <v>1404</v>
      </c>
      <c r="D2526" s="2" t="str">
        <f>IFERROR(__xludf.DUMMYFUNCTION("""COMPUTED_VALUE"""),"EX")</f>
        <v>EX</v>
      </c>
      <c r="E2526" s="2" t="str">
        <f>IFERROR(__xludf.DUMMYFUNCTION("""COMPUTED_VALUE"""),"水21")</f>
        <v>水21</v>
      </c>
      <c r="F2526" s="2" t="s">
        <v>7858</v>
      </c>
      <c r="G2526" s="2" t="s">
        <v>7879</v>
      </c>
      <c r="H2526" s="1">
        <v>9.0</v>
      </c>
      <c r="I2526" s="1" t="s">
        <v>2900</v>
      </c>
      <c r="J2526" s="1" t="s">
        <v>11</v>
      </c>
      <c r="K2526" s="2" t="s">
        <v>7880</v>
      </c>
      <c r="L2526" s="11" t="s">
        <v>7864</v>
      </c>
      <c r="M2526" s="2" t="str">
        <f>IFERROR(__xludf.DUMMYFUNCTION("split(split(K2526,""…"",false),""公式LINE"",false)"),"小澤征悦が民放連続ドラマ初主演!バラバラの思いを抱える熱い刑事たちと、冷徹な管理官・佐久晋吾(小澤征悦)が、正義の名のもと、ひとつ≪TEAM≫になる")</f>
        <v>小澤征悦が民放連続ドラマ初主演!バラバラの思いを抱える熱い刑事たちと、冷徹な管理官・佐久晋吾(小澤征悦)が、正義の名のもと、ひとつ≪TEAM≫になる</v>
      </c>
      <c r="N2526" s="2"/>
      <c r="O2526" s="2"/>
      <c r="P2526" s="1"/>
      <c r="Q2526" s="1"/>
      <c r="R2526" s="1"/>
      <c r="S2526" s="1"/>
      <c r="T2526" s="1"/>
      <c r="U2526" s="1"/>
      <c r="V2526" s="1"/>
      <c r="W2526" s="1"/>
      <c r="X2526" s="1"/>
      <c r="Y2526" s="1"/>
      <c r="Z2526" s="1"/>
      <c r="AA2526" s="1"/>
      <c r="AB2526" s="1"/>
      <c r="AC2526" s="1"/>
      <c r="AD2526" s="1"/>
      <c r="AE2526" s="1"/>
      <c r="AF2526" s="1"/>
      <c r="AG2526" s="1"/>
      <c r="AH2526" s="1"/>
      <c r="AI2526" s="1"/>
      <c r="AJ2526" s="1"/>
      <c r="AK2526" s="1"/>
      <c r="AL2526" s="1"/>
      <c r="AM2526" s="1"/>
      <c r="AN2526" s="1"/>
      <c r="AO2526" s="1"/>
      <c r="AP2526" s="1"/>
      <c r="AQ2526" s="1"/>
      <c r="AR2526" s="1"/>
      <c r="AS2526" s="1"/>
      <c r="AT2526" s="1"/>
      <c r="AU2526" s="1"/>
      <c r="AV2526" s="1"/>
      <c r="AW2526" s="1"/>
      <c r="AX2526" s="1"/>
      <c r="AY2526" s="1"/>
      <c r="AZ2526" s="1"/>
      <c r="BA2526" s="1"/>
      <c r="BB2526" s="1"/>
    </row>
    <row r="2527" ht="204.75" customHeight="1">
      <c r="A2527" s="1">
        <v>2772.0</v>
      </c>
      <c r="B2527" s="2" t="s">
        <v>7881</v>
      </c>
      <c r="C2527" s="2">
        <f>IFERROR(__xludf.DUMMYFUNCTION("split(B2527,""_"")"),1404.0)</f>
        <v>1404</v>
      </c>
      <c r="D2527" s="2" t="str">
        <f>IFERROR(__xludf.DUMMYFUNCTION("""COMPUTED_VALUE"""),"EX")</f>
        <v>EX</v>
      </c>
      <c r="E2527" s="2" t="str">
        <f>IFERROR(__xludf.DUMMYFUNCTION("""COMPUTED_VALUE"""),"木20")</f>
        <v>木20</v>
      </c>
      <c r="F2527" s="2" t="s">
        <v>7882</v>
      </c>
      <c r="G2527" s="2" t="s">
        <v>7883</v>
      </c>
      <c r="H2527" s="1">
        <v>1.0</v>
      </c>
      <c r="I2527" s="1" t="s">
        <v>2868</v>
      </c>
      <c r="J2527" s="1" t="s">
        <v>2809</v>
      </c>
      <c r="K2527" s="2" t="s">
        <v>7884</v>
      </c>
      <c r="L2527" s="11" t="s">
        <v>7885</v>
      </c>
      <c r="M2527" s="2" t="str">
        <f>IFERROR(__xludf.DUMMYFUNCTION("split(split(K2527,""…"",false),""公式LINE"",false)"),"有名ファッションデザイナー・有本ちさ子(賀来千香子)は、共同経営者で恋人の西田恭平(高杉亘)を絞殺した。ライバルメーカー社長・湯川江利子(床嶋佳子)と手を組んで会社を売ろうとした西田を許せなかったのだ。ちさ子は共犯者と手を組み、完璧なアリバイを用意。調べはじめた花沢太郎(石塚英彦)はすぐに共犯者が女性であることを見抜くが、敵の多いちさ子に手を貸す女性は皆無だった。特に江利子とは“犬猿の仲”で有名だったが")</f>
        <v>有名ファッションデザイナー・有本ちさ子(賀来千香子)は、共同経営者で恋人の西田恭平(高杉亘)を絞殺した。ライバルメーカー社長・湯川江利子(床嶋佳子)と手を組んで会社を売ろうとした西田を許せなかったのだ。ちさ子は共犯者と手を組み、完璧なアリバイを用意。調べはじめた花沢太郎(石塚英彦)はすぐに共犯者が女性であることを見抜くが、敵の多いちさ子に手を貸す女性は皆無だった。特に江利子とは“犬猿の仲”で有名だったが</v>
      </c>
      <c r="N2527" s="2"/>
      <c r="O2527" s="2"/>
      <c r="P2527" s="1"/>
      <c r="Q2527" s="1"/>
      <c r="R2527" s="1"/>
      <c r="S2527" s="1"/>
      <c r="T2527" s="1"/>
      <c r="U2527" s="1"/>
      <c r="V2527" s="1"/>
      <c r="W2527" s="1"/>
      <c r="X2527" s="1"/>
      <c r="Y2527" s="1"/>
      <c r="Z2527" s="1"/>
      <c r="AA2527" s="1"/>
      <c r="AB2527" s="1"/>
      <c r="AC2527" s="1"/>
      <c r="AD2527" s="1"/>
      <c r="AE2527" s="1"/>
      <c r="AF2527" s="1"/>
      <c r="AG2527" s="1"/>
      <c r="AH2527" s="1"/>
      <c r="AI2527" s="1"/>
      <c r="AJ2527" s="1"/>
      <c r="AK2527" s="1"/>
      <c r="AL2527" s="1"/>
      <c r="AM2527" s="1"/>
      <c r="AN2527" s="1"/>
      <c r="AO2527" s="1"/>
      <c r="AP2527" s="1"/>
      <c r="AQ2527" s="1"/>
      <c r="AR2527" s="1"/>
      <c r="AS2527" s="1"/>
      <c r="AT2527" s="1"/>
      <c r="AU2527" s="1"/>
      <c r="AV2527" s="1"/>
      <c r="AW2527" s="1"/>
      <c r="AX2527" s="1"/>
      <c r="AY2527" s="1"/>
      <c r="AZ2527" s="1"/>
      <c r="BA2527" s="1"/>
      <c r="BB2527" s="1"/>
    </row>
    <row r="2528" ht="204.75" customHeight="1">
      <c r="A2528" s="1">
        <v>2773.0</v>
      </c>
      <c r="B2528" s="2" t="s">
        <v>7881</v>
      </c>
      <c r="C2528" s="2">
        <f>IFERROR(__xludf.DUMMYFUNCTION("split(B2528,""_"")"),1404.0)</f>
        <v>1404</v>
      </c>
      <c r="D2528" s="2" t="str">
        <f>IFERROR(__xludf.DUMMYFUNCTION("""COMPUTED_VALUE"""),"EX")</f>
        <v>EX</v>
      </c>
      <c r="E2528" s="2" t="str">
        <f>IFERROR(__xludf.DUMMYFUNCTION("""COMPUTED_VALUE"""),"木20")</f>
        <v>木20</v>
      </c>
      <c r="F2528" s="2" t="s">
        <v>7882</v>
      </c>
      <c r="G2528" s="2" t="s">
        <v>7886</v>
      </c>
      <c r="H2528" s="1">
        <v>2.0</v>
      </c>
      <c r="I2528" s="1" t="s">
        <v>2872</v>
      </c>
      <c r="J2528" s="1" t="s">
        <v>2809</v>
      </c>
      <c r="K2528" s="2" t="s">
        <v>7887</v>
      </c>
      <c r="L2528" s="11" t="s">
        <v>7888</v>
      </c>
      <c r="M2528" s="2" t="str">
        <f>IFERROR(__xludf.DUMMYFUNCTION("split(split(K2528,""…"",false),""公式LINE"",false)"),"主婦の三隅和代(松原智恵子)は、会計事務所所長の夫・重雄(秋野太作)を拳銃で殺害した。結婚して40年、重雄の部下たちからルビー婚式のパーティーをしようと提案された直後であった。花沢太郎(石塚英彦)は、和代が夫の遺体を見つけて通報した直後に食器を洗い、洗濯機をまわしていたことに不審を抱く。普通の主婦である和代がどうやって凶器の拳銃を手に入れたのか!?そして一見、どこにでもいる熟年夫婦の間にいったい何があったのか!?その裏にある本当の動機を、花沢が探る!花沢太郎")</f>
        <v>主婦の三隅和代(松原智恵子)は、会計事務所所長の夫・重雄(秋野太作)を拳銃で殺害した。結婚して40年、重雄の部下たちからルビー婚式のパーティーをしようと提案された直後であった。花沢太郎(石塚英彦)は、和代が夫の遺体を見つけて通報した直後に食器を洗い、洗濯機をまわしていたことに不審を抱く。普通の主婦である和代がどうやって凶器の拳銃を手に入れたのか!?そして一見、どこにでもいる熟年夫婦の間にいったい何があったのか!?その裏にある本当の動機を、花沢が探る!花沢太郎</v>
      </c>
      <c r="N2528" s="2"/>
      <c r="O2528" s="2"/>
      <c r="P2528" s="1"/>
      <c r="Q2528" s="1"/>
      <c r="R2528" s="1"/>
      <c r="S2528" s="1"/>
      <c r="T2528" s="1"/>
      <c r="U2528" s="1"/>
      <c r="V2528" s="1"/>
      <c r="W2528" s="1"/>
      <c r="X2528" s="1"/>
      <c r="Y2528" s="1"/>
      <c r="Z2528" s="1"/>
      <c r="AA2528" s="1"/>
      <c r="AB2528" s="1"/>
      <c r="AC2528" s="1"/>
      <c r="AD2528" s="1"/>
      <c r="AE2528" s="1"/>
      <c r="AF2528" s="1"/>
      <c r="AG2528" s="1"/>
      <c r="AH2528" s="1"/>
      <c r="AI2528" s="1"/>
      <c r="AJ2528" s="1"/>
      <c r="AK2528" s="1"/>
      <c r="AL2528" s="1"/>
      <c r="AM2528" s="1"/>
      <c r="AN2528" s="1"/>
      <c r="AO2528" s="1"/>
      <c r="AP2528" s="1"/>
      <c r="AQ2528" s="1"/>
      <c r="AR2528" s="1"/>
      <c r="AS2528" s="1"/>
      <c r="AT2528" s="1"/>
      <c r="AU2528" s="1"/>
      <c r="AV2528" s="1"/>
      <c r="AW2528" s="1"/>
      <c r="AX2528" s="1"/>
      <c r="AY2528" s="1"/>
      <c r="AZ2528" s="1"/>
      <c r="BA2528" s="1"/>
      <c r="BB2528" s="1"/>
    </row>
    <row r="2529" ht="204.75" customHeight="1">
      <c r="A2529" s="1">
        <v>2774.0</v>
      </c>
      <c r="B2529" s="2" t="s">
        <v>7881</v>
      </c>
      <c r="C2529" s="2">
        <f>IFERROR(__xludf.DUMMYFUNCTION("split(B2529,""_"")"),1404.0)</f>
        <v>1404</v>
      </c>
      <c r="D2529" s="2" t="str">
        <f>IFERROR(__xludf.DUMMYFUNCTION("""COMPUTED_VALUE"""),"EX")</f>
        <v>EX</v>
      </c>
      <c r="E2529" s="2" t="str">
        <f>IFERROR(__xludf.DUMMYFUNCTION("""COMPUTED_VALUE"""),"木20")</f>
        <v>木20</v>
      </c>
      <c r="F2529" s="2" t="s">
        <v>7882</v>
      </c>
      <c r="G2529" s="2" t="s">
        <v>7889</v>
      </c>
      <c r="H2529" s="1">
        <v>3.0</v>
      </c>
      <c r="I2529" s="1" t="s">
        <v>2876</v>
      </c>
      <c r="J2529" s="1" t="s">
        <v>2809</v>
      </c>
      <c r="K2529" s="2" t="s">
        <v>7890</v>
      </c>
      <c r="L2529" s="11" t="s">
        <v>7891</v>
      </c>
      <c r="M2529" s="2" t="str">
        <f>IFERROR(__xludf.DUMMYFUNCTION("split(split(K2529,""…"",false),""公式LINE"",false)"),"市議会議員・本橋慶次(岡田浩暉)の私設秘書である大田が殺害された。大田は、選挙を前に敵の陣営に移ると言い出していたという。現場は荒らされており、強盗の仕業かと思われたが、現場の状況の不自然さに気づいた花沢太郎(石塚英彦)は、本橋の犯行を直感。決定的証拠がない中、事件当夜、現場から逃走する犯人を目撃したという少年・満(鈴木福)に出会う。満の証言にしたがって似顔絵を作成するが、完成した顔は本橋とは明らかに違う人物だった")</f>
        <v>市議会議員・本橋慶次(岡田浩暉)の私設秘書である大田が殺害された。大田は、選挙を前に敵の陣営に移ると言い出していたという。現場は荒らされており、強盗の仕業かと思われたが、現場の状況の不自然さに気づいた花沢太郎(石塚英彦)は、本橋の犯行を直感。決定的証拠がない中、事件当夜、現場から逃走する犯人を目撃したという少年・満(鈴木福)に出会う。満の証言にしたがって似顔絵を作成するが、完成した顔は本橋とは明らかに違う人物だった</v>
      </c>
      <c r="N2529" s="2"/>
      <c r="O2529" s="2"/>
      <c r="P2529" s="1"/>
      <c r="Q2529" s="1"/>
      <c r="R2529" s="1"/>
      <c r="S2529" s="1"/>
      <c r="T2529" s="1"/>
      <c r="U2529" s="1"/>
      <c r="V2529" s="1"/>
      <c r="W2529" s="1"/>
      <c r="X2529" s="1"/>
      <c r="Y2529" s="1"/>
      <c r="Z2529" s="1"/>
      <c r="AA2529" s="1"/>
      <c r="AB2529" s="1"/>
      <c r="AC2529" s="1"/>
      <c r="AD2529" s="1"/>
      <c r="AE2529" s="1"/>
      <c r="AF2529" s="1"/>
      <c r="AG2529" s="1"/>
      <c r="AH2529" s="1"/>
      <c r="AI2529" s="1"/>
      <c r="AJ2529" s="1"/>
      <c r="AK2529" s="1"/>
      <c r="AL2529" s="1"/>
      <c r="AM2529" s="1"/>
      <c r="AN2529" s="1"/>
      <c r="AO2529" s="1"/>
      <c r="AP2529" s="1"/>
      <c r="AQ2529" s="1"/>
      <c r="AR2529" s="1"/>
      <c r="AS2529" s="1"/>
      <c r="AT2529" s="1"/>
      <c r="AU2529" s="1"/>
      <c r="AV2529" s="1"/>
      <c r="AW2529" s="1"/>
      <c r="AX2529" s="1"/>
      <c r="AY2529" s="1"/>
      <c r="AZ2529" s="1"/>
      <c r="BA2529" s="1"/>
      <c r="BB2529" s="1"/>
    </row>
    <row r="2530" ht="204.75" customHeight="1">
      <c r="A2530" s="1">
        <v>2775.0</v>
      </c>
      <c r="B2530" s="2" t="s">
        <v>7881</v>
      </c>
      <c r="C2530" s="2">
        <f>IFERROR(__xludf.DUMMYFUNCTION("split(B2530,""_"")"),1404.0)</f>
        <v>1404</v>
      </c>
      <c r="D2530" s="2" t="str">
        <f>IFERROR(__xludf.DUMMYFUNCTION("""COMPUTED_VALUE"""),"EX")</f>
        <v>EX</v>
      </c>
      <c r="E2530" s="2" t="str">
        <f>IFERROR(__xludf.DUMMYFUNCTION("""COMPUTED_VALUE"""),"木20")</f>
        <v>木20</v>
      </c>
      <c r="F2530" s="2" t="s">
        <v>7882</v>
      </c>
      <c r="G2530" s="2" t="s">
        <v>7892</v>
      </c>
      <c r="H2530" s="1">
        <v>4.0</v>
      </c>
      <c r="I2530" s="1" t="s">
        <v>2880</v>
      </c>
      <c r="J2530" s="1" t="s">
        <v>2809</v>
      </c>
      <c r="K2530" s="2" t="s">
        <v>7893</v>
      </c>
      <c r="L2530" s="11" t="s">
        <v>7894</v>
      </c>
      <c r="M2530" s="2" t="str">
        <f>IFERROR(__xludf.DUMMYFUNCTION("split(split(K2530,""…"",false),""公式LINE"",false)"),"ベテラン女優・加賀美麗華(山本陽子)が主演する舞台の本番中に、その義理の妹が殺された。現場の状況から捜査一課の鬼久保警部(石丸謙二郎)は物盗りの犯行と考えるが、花沢太郎(石塚英彦)は第2幕の冒頭に麗華の出番がないことを知り、彼女の仕業ではないかと疑う。しかし、幕間のわずかな10分の間に地下の楽屋を抜け出して、ホテル14階の現場まで行って殺人を犯し、何事もなかったかのように舞台に舞い戻ることは本当に可能なのか")</f>
        <v>ベテラン女優・加賀美麗華(山本陽子)が主演する舞台の本番中に、その義理の妹が殺された。現場の状況から捜査一課の鬼久保警部(石丸謙二郎)は物盗りの犯行と考えるが、花沢太郎(石塚英彦)は第2幕の冒頭に麗華の出番がないことを知り、彼女の仕業ではないかと疑う。しかし、幕間のわずかな10分の間に地下の楽屋を抜け出して、ホテル14階の現場まで行って殺人を犯し、何事もなかったかのように舞台に舞い戻ることは本当に可能なのか</v>
      </c>
      <c r="N2530" s="2"/>
      <c r="O2530" s="2"/>
      <c r="P2530" s="1"/>
      <c r="Q2530" s="1"/>
      <c r="R2530" s="1"/>
      <c r="S2530" s="1"/>
      <c r="T2530" s="1"/>
      <c r="U2530" s="1"/>
      <c r="V2530" s="1"/>
      <c r="W2530" s="1"/>
      <c r="X2530" s="1"/>
      <c r="Y2530" s="1"/>
      <c r="Z2530" s="1"/>
      <c r="AA2530" s="1"/>
      <c r="AB2530" s="1"/>
      <c r="AC2530" s="1"/>
      <c r="AD2530" s="1"/>
      <c r="AE2530" s="1"/>
      <c r="AF2530" s="1"/>
      <c r="AG2530" s="1"/>
      <c r="AH2530" s="1"/>
      <c r="AI2530" s="1"/>
      <c r="AJ2530" s="1"/>
      <c r="AK2530" s="1"/>
      <c r="AL2530" s="1"/>
      <c r="AM2530" s="1"/>
      <c r="AN2530" s="1"/>
      <c r="AO2530" s="1"/>
      <c r="AP2530" s="1"/>
      <c r="AQ2530" s="1"/>
      <c r="AR2530" s="1"/>
      <c r="AS2530" s="1"/>
      <c r="AT2530" s="1"/>
      <c r="AU2530" s="1"/>
      <c r="AV2530" s="1"/>
      <c r="AW2530" s="1"/>
      <c r="AX2530" s="1"/>
      <c r="AY2530" s="1"/>
      <c r="AZ2530" s="1"/>
      <c r="BA2530" s="1"/>
      <c r="BB2530" s="1"/>
    </row>
    <row r="2531" ht="204.75" customHeight="1">
      <c r="A2531" s="1">
        <v>2776.0</v>
      </c>
      <c r="B2531" s="2" t="s">
        <v>7881</v>
      </c>
      <c r="C2531" s="2">
        <f>IFERROR(__xludf.DUMMYFUNCTION("split(B2531,""_"")"),1404.0)</f>
        <v>1404</v>
      </c>
      <c r="D2531" s="2" t="str">
        <f>IFERROR(__xludf.DUMMYFUNCTION("""COMPUTED_VALUE"""),"EX")</f>
        <v>EX</v>
      </c>
      <c r="E2531" s="2" t="str">
        <f>IFERROR(__xludf.DUMMYFUNCTION("""COMPUTED_VALUE"""),"木20")</f>
        <v>木20</v>
      </c>
      <c r="F2531" s="2" t="s">
        <v>7882</v>
      </c>
      <c r="G2531" s="2" t="s">
        <v>7895</v>
      </c>
      <c r="H2531" s="1">
        <v>5.0</v>
      </c>
      <c r="I2531" s="1" t="s">
        <v>2884</v>
      </c>
      <c r="J2531" s="1" t="s">
        <v>2809</v>
      </c>
      <c r="K2531" s="2" t="s">
        <v>7896</v>
      </c>
      <c r="L2531" s="11" t="s">
        <v>7897</v>
      </c>
      <c r="M2531" s="2" t="str">
        <f>IFERROR(__xludf.DUMMYFUNCTION("split(split(K2531,""…"",false),""公式LINE"",false)"),"凄腕デイトレーダー・田辺(高橋光臣)が、交際していた女の遺体を車で運んでいる最中に、老人をはねてしまう!翌日、田辺がその老人とともに交番に出向くと、そこには花沢(石塚英彦)がいた。花沢は、老人を見て驚く。その老人は、過去の事件で関わったことのある小畑八郎(ミッキー・カーチス)だったのだ!田辺の話によると、小畑をはねてしまったが大したケガではなかったため、昨晩は家に泊まってもらったという。その親切すぎる対応に、何かあると直感した花沢は")</f>
        <v>凄腕デイトレーダー・田辺(高橋光臣)が、交際していた女の遺体を車で運んでいる最中に、老人をはねてしまう!翌日、田辺がその老人とともに交番に出向くと、そこには花沢(石塚英彦)がいた。花沢は、老人を見て驚く。その老人は、過去の事件で関わったことのある小畑八郎(ミッキー・カーチス)だったのだ!田辺の話によると、小畑をはねてしまったが大したケガではなかったため、昨晩は家に泊まってもらったという。その親切すぎる対応に、何かあると直感した花沢は</v>
      </c>
      <c r="N2531" s="2"/>
      <c r="O2531" s="2"/>
      <c r="P2531" s="1"/>
      <c r="Q2531" s="1"/>
      <c r="R2531" s="1"/>
      <c r="S2531" s="1"/>
      <c r="T2531" s="1"/>
      <c r="U2531" s="1"/>
      <c r="V2531" s="1"/>
      <c r="W2531" s="1"/>
      <c r="X2531" s="1"/>
      <c r="Y2531" s="1"/>
      <c r="Z2531" s="1"/>
      <c r="AA2531" s="1"/>
      <c r="AB2531" s="1"/>
      <c r="AC2531" s="1"/>
      <c r="AD2531" s="1"/>
      <c r="AE2531" s="1"/>
      <c r="AF2531" s="1"/>
      <c r="AG2531" s="1"/>
      <c r="AH2531" s="1"/>
      <c r="AI2531" s="1"/>
      <c r="AJ2531" s="1"/>
      <c r="AK2531" s="1"/>
      <c r="AL2531" s="1"/>
      <c r="AM2531" s="1"/>
      <c r="AN2531" s="1"/>
      <c r="AO2531" s="1"/>
      <c r="AP2531" s="1"/>
      <c r="AQ2531" s="1"/>
      <c r="AR2531" s="1"/>
      <c r="AS2531" s="1"/>
      <c r="AT2531" s="1"/>
      <c r="AU2531" s="1"/>
      <c r="AV2531" s="1"/>
      <c r="AW2531" s="1"/>
      <c r="AX2531" s="1"/>
      <c r="AY2531" s="1"/>
      <c r="AZ2531" s="1"/>
      <c r="BA2531" s="1"/>
      <c r="BB2531" s="1"/>
    </row>
    <row r="2532" ht="204.75" customHeight="1">
      <c r="A2532" s="1">
        <v>2777.0</v>
      </c>
      <c r="B2532" s="2" t="s">
        <v>7881</v>
      </c>
      <c r="C2532" s="2">
        <f>IFERROR(__xludf.DUMMYFUNCTION("split(B2532,""_"")"),1404.0)</f>
        <v>1404</v>
      </c>
      <c r="D2532" s="2" t="str">
        <f>IFERROR(__xludf.DUMMYFUNCTION("""COMPUTED_VALUE"""),"EX")</f>
        <v>EX</v>
      </c>
      <c r="E2532" s="2" t="str">
        <f>IFERROR(__xludf.DUMMYFUNCTION("""COMPUTED_VALUE"""),"木20")</f>
        <v>木20</v>
      </c>
      <c r="F2532" s="2" t="s">
        <v>7882</v>
      </c>
      <c r="G2532" s="2" t="s">
        <v>7898</v>
      </c>
      <c r="H2532" s="1">
        <v>6.0</v>
      </c>
      <c r="J2532" s="1" t="s">
        <v>2809</v>
      </c>
      <c r="K2532" s="2" t="s">
        <v>7899</v>
      </c>
      <c r="L2532" s="11" t="s">
        <v>7900</v>
      </c>
      <c r="M2532" s="2" t="str">
        <f>IFERROR(__xludf.DUMMYFUNCTION("split(split(K2532,""…"",false),""公式LINE"",false)"),"目の不自由な画家・小田島克也(柄本明)の妻・奈津美(渡辺梓)が、アトリエで死体となって見つかった。第一発見者は、小田島のマネージャーである黒川あゆみ(遠藤久美子)だった。  臨場した花沢太郎(石塚英彦)は、居間のエアコンの設定温度が高かったこと、キッチンから生焼けのピザが見つかったことなど、不自然な状況を次々と指摘する。小田島は長年、自らの目となって支えてきてくれた妻をなぜ殺害したのか")</f>
        <v>目の不自由な画家・小田島克也(柄本明)の妻・奈津美(渡辺梓)が、アトリエで死体となって見つかった。第一発見者は、小田島のマネージャーである黒川あゆみ(遠藤久美子)だった。  臨場した花沢太郎(石塚英彦)は、居間のエアコンの設定温度が高かったこと、キッチンから生焼けのピザが見つかったことなど、不自然な状況を次々と指摘する。小田島は長年、自らの目となって支えてきてくれた妻をなぜ殺害したのか</v>
      </c>
      <c r="N2532" s="2"/>
      <c r="O2532" s="2"/>
      <c r="P2532" s="1"/>
      <c r="Q2532" s="1"/>
      <c r="R2532" s="1"/>
      <c r="S2532" s="1"/>
      <c r="T2532" s="1"/>
      <c r="U2532" s="1"/>
      <c r="V2532" s="1"/>
      <c r="W2532" s="1"/>
      <c r="X2532" s="1"/>
      <c r="Y2532" s="1"/>
      <c r="Z2532" s="1"/>
      <c r="AA2532" s="1"/>
      <c r="AB2532" s="1"/>
      <c r="AC2532" s="1"/>
      <c r="AD2532" s="1"/>
      <c r="AE2532" s="1"/>
      <c r="AF2532" s="1"/>
      <c r="AG2532" s="1"/>
      <c r="AH2532" s="1"/>
      <c r="AI2532" s="1"/>
      <c r="AJ2532" s="1"/>
      <c r="AK2532" s="1"/>
      <c r="AL2532" s="1"/>
      <c r="AM2532" s="1"/>
      <c r="AN2532" s="1"/>
      <c r="AO2532" s="1"/>
      <c r="AP2532" s="1"/>
      <c r="AQ2532" s="1"/>
      <c r="AR2532" s="1"/>
      <c r="AS2532" s="1"/>
      <c r="AT2532" s="1"/>
      <c r="AU2532" s="1"/>
      <c r="AV2532" s="1"/>
      <c r="AW2532" s="1"/>
      <c r="AX2532" s="1"/>
      <c r="AY2532" s="1"/>
      <c r="AZ2532" s="1"/>
      <c r="BA2532" s="1"/>
      <c r="BB2532" s="1"/>
    </row>
    <row r="2533" ht="204.75" customHeight="1">
      <c r="A2533" s="1">
        <v>2788.0</v>
      </c>
      <c r="B2533" s="2" t="s">
        <v>7901</v>
      </c>
      <c r="C2533" s="2">
        <f>IFERROR(__xludf.DUMMYFUNCTION("split(B2533,""_"")"),1404.0)</f>
        <v>1404</v>
      </c>
      <c r="D2533" s="2" t="str">
        <f>IFERROR(__xludf.DUMMYFUNCTION("""COMPUTED_VALUE"""),"EX")</f>
        <v>EX</v>
      </c>
      <c r="E2533" s="2" t="str">
        <f>IFERROR(__xludf.DUMMYFUNCTION("""COMPUTED_VALUE"""),"木21")</f>
        <v>木21</v>
      </c>
      <c r="F2533" s="2" t="s">
        <v>7902</v>
      </c>
      <c r="G2533" s="2" t="s">
        <v>7903</v>
      </c>
      <c r="H2533" s="1">
        <v>1.0</v>
      </c>
      <c r="I2533" s="1" t="s">
        <v>2868</v>
      </c>
      <c r="J2533" s="1" t="s">
        <v>4</v>
      </c>
      <c r="K2533" s="2" t="s">
        <v>7904</v>
      </c>
      <c r="L2533" s="11" t="s">
        <v>7905</v>
      </c>
      <c r="M2533" s="2" t="str">
        <f>IFERROR(__xludf.DUMMYFUNCTION("split(split(K2533,""…"",false),""公式LINE"",false)"),"奇跡的に蘇生し“死者と交信できる”という特殊能力を得た、刑事・石川(小栗旬)は一家惨殺事件の捜査を担当することに。  被害者家族の“死者の声”に導かれ石川は誰も知らない事件の真相を知ることになる。徹底的に真相を暴こうとするが真犯人につながる物証がなく、捜査の壁にぶち当たり")</f>
        <v>奇跡的に蘇生し“死者と交信できる”という特殊能力を得た、刑事・石川(小栗旬)は一家惨殺事件の捜査を担当することに。  被害者家族の“死者の声”に導かれ石川は誰も知らない事件の真相を知ることになる。徹底的に真相を暴こうとするが真犯人につながる物証がなく、捜査の壁にぶち当たり</v>
      </c>
      <c r="N2533" s="2"/>
      <c r="O2533" s="2"/>
      <c r="P2533" s="1"/>
      <c r="Q2533" s="1"/>
      <c r="R2533" s="1"/>
      <c r="S2533" s="1"/>
      <c r="T2533" s="1"/>
      <c r="U2533" s="1"/>
      <c r="V2533" s="1"/>
      <c r="W2533" s="1"/>
      <c r="X2533" s="1"/>
      <c r="Y2533" s="1"/>
      <c r="Z2533" s="1"/>
      <c r="AA2533" s="1"/>
      <c r="AB2533" s="1"/>
      <c r="AC2533" s="1"/>
      <c r="AD2533" s="1"/>
      <c r="AE2533" s="1"/>
      <c r="AF2533" s="1"/>
      <c r="AG2533" s="1"/>
      <c r="AH2533" s="1"/>
      <c r="AI2533" s="1"/>
      <c r="AJ2533" s="1"/>
      <c r="AK2533" s="1"/>
      <c r="AL2533" s="1"/>
      <c r="AM2533" s="1"/>
      <c r="AN2533" s="1"/>
      <c r="AO2533" s="1"/>
      <c r="AP2533" s="1"/>
      <c r="AQ2533" s="1"/>
      <c r="AR2533" s="1"/>
      <c r="AS2533" s="1"/>
      <c r="AT2533" s="1"/>
      <c r="AU2533" s="1"/>
      <c r="AV2533" s="1"/>
      <c r="AW2533" s="1"/>
      <c r="AX2533" s="1"/>
      <c r="AY2533" s="1"/>
      <c r="AZ2533" s="1"/>
      <c r="BA2533" s="1"/>
      <c r="BB2533" s="1"/>
    </row>
    <row r="2534" ht="204.75" customHeight="1">
      <c r="A2534" s="1">
        <v>2789.0</v>
      </c>
      <c r="B2534" s="2" t="s">
        <v>7901</v>
      </c>
      <c r="C2534" s="2">
        <f>IFERROR(__xludf.DUMMYFUNCTION("split(B2534,""_"")"),1404.0)</f>
        <v>1404</v>
      </c>
      <c r="D2534" s="2" t="str">
        <f>IFERROR(__xludf.DUMMYFUNCTION("""COMPUTED_VALUE"""),"EX")</f>
        <v>EX</v>
      </c>
      <c r="E2534" s="2" t="str">
        <f>IFERROR(__xludf.DUMMYFUNCTION("""COMPUTED_VALUE"""),"木21")</f>
        <v>木21</v>
      </c>
      <c r="F2534" s="2" t="s">
        <v>7902</v>
      </c>
      <c r="G2534" s="2" t="s">
        <v>7906</v>
      </c>
      <c r="H2534" s="1">
        <v>2.0</v>
      </c>
      <c r="I2534" s="1" t="s">
        <v>2872</v>
      </c>
      <c r="J2534" s="1" t="s">
        <v>11</v>
      </c>
      <c r="K2534" s="2" t="s">
        <v>7907</v>
      </c>
      <c r="L2534" s="10" t="s">
        <v>2775</v>
      </c>
      <c r="M2534" s="2" t="str">
        <f>IFERROR(__xludf.DUMMYFUNCTION("split(split(K2534,""…"",false),""公式LINE"",false)"),"小栗旬、青木崇高、波瑠 / 古田新太 / 野間口徹、浜野謙太、遠藤憲一    【ゲスト】丸山智己 ほか金城一紀橋本一川井憲次MAN WITH A MISSION『evils fall』(ソニーミュージック)  ※ニューアルバム『Tales of Purefly』収録【ゼネラルプロデューサー】松本基弘(テレビ朝日)  【プロデューサー】山田兼司(テレビ朝日)、太田雅晴(5年D組)☆番組HP  　http://www.tv-asahi.co.jp/border/")</f>
        <v>小栗旬、青木崇高、波瑠 / 古田新太 / 野間口徹、浜野謙太、遠藤憲一    【ゲスト】丸山智己 ほか金城一紀橋本一川井憲次MAN WITH A MISSION『evils fall』(ソニーミュージック)  ※ニューアルバム『Tales of Purefly』収録【ゼネラルプロデューサー】松本基弘(テレビ朝日)  【プロデューサー】山田兼司(テレビ朝日)、太田雅晴(5年D組)☆番組HP  　http://www.tv-asahi.co.jp/border/</v>
      </c>
      <c r="N2534" s="2"/>
      <c r="O2534" s="2"/>
      <c r="P2534" s="1"/>
      <c r="Q2534" s="1"/>
      <c r="R2534" s="1"/>
      <c r="S2534" s="1"/>
      <c r="T2534" s="1"/>
      <c r="U2534" s="1"/>
      <c r="V2534" s="1"/>
      <c r="W2534" s="1"/>
      <c r="X2534" s="1"/>
      <c r="Y2534" s="1"/>
      <c r="Z2534" s="1"/>
      <c r="AA2534" s="1"/>
      <c r="AB2534" s="1"/>
      <c r="AC2534" s="1"/>
      <c r="AD2534" s="1"/>
      <c r="AE2534" s="1"/>
      <c r="AF2534" s="1"/>
      <c r="AG2534" s="1"/>
      <c r="AH2534" s="1"/>
      <c r="AI2534" s="1"/>
      <c r="AJ2534" s="1"/>
      <c r="AK2534" s="1"/>
      <c r="AL2534" s="1"/>
      <c r="AM2534" s="1"/>
      <c r="AN2534" s="1"/>
      <c r="AO2534" s="1"/>
      <c r="AP2534" s="1"/>
      <c r="AQ2534" s="1"/>
      <c r="AR2534" s="1"/>
      <c r="AS2534" s="1"/>
      <c r="AT2534" s="1"/>
      <c r="AU2534" s="1"/>
      <c r="AV2534" s="1"/>
      <c r="AW2534" s="1"/>
      <c r="AX2534" s="1"/>
      <c r="AY2534" s="1"/>
      <c r="AZ2534" s="1"/>
      <c r="BA2534" s="1"/>
      <c r="BB2534" s="1"/>
    </row>
    <row r="2535" ht="204.75" customHeight="1">
      <c r="A2535" s="1">
        <v>2790.0</v>
      </c>
      <c r="B2535" s="2" t="s">
        <v>7901</v>
      </c>
      <c r="C2535" s="2">
        <f>IFERROR(__xludf.DUMMYFUNCTION("split(B2535,""_"")"),1404.0)</f>
        <v>1404</v>
      </c>
      <c r="D2535" s="2" t="str">
        <f>IFERROR(__xludf.DUMMYFUNCTION("""COMPUTED_VALUE"""),"EX")</f>
        <v>EX</v>
      </c>
      <c r="E2535" s="2" t="str">
        <f>IFERROR(__xludf.DUMMYFUNCTION("""COMPUTED_VALUE"""),"木21")</f>
        <v>木21</v>
      </c>
      <c r="F2535" s="2" t="s">
        <v>7902</v>
      </c>
      <c r="G2535" s="2" t="s">
        <v>7908</v>
      </c>
      <c r="H2535" s="1">
        <v>3.0</v>
      </c>
      <c r="I2535" s="1" t="s">
        <v>2876</v>
      </c>
      <c r="J2535" s="1" t="s">
        <v>11</v>
      </c>
      <c r="K2535" s="2" t="s">
        <v>7909</v>
      </c>
      <c r="L2535" s="10" t="s">
        <v>2775</v>
      </c>
      <c r="M2535" s="2" t="str">
        <f>IFERROR(__xludf.DUMMYFUNCTION("split(split(K2535,""…"",false),""公式LINE"",false)"),"小栗旬、青木崇高、波瑠 / 古田新太 / 滝藤賢一、野間口徹、浜野謙太、遠藤憲一  【ゲスト】平田満 ほか金城一紀波多野貴文川井憲次MAN WITH A MISSION『evils fall』(Sony Records)  ※ニューアルバム『Tales of Purefly』収録【ゼネラルプロデューサー】松本基弘(テレビ朝日)  【プロデューサー】山田兼司(テレビ朝日)、太田雅晴(5年D組)☆番組HP  　http://www.tv-asahi.co.jp/border/")</f>
        <v>小栗旬、青木崇高、波瑠 / 古田新太 / 滝藤賢一、野間口徹、浜野謙太、遠藤憲一  【ゲスト】平田満 ほか金城一紀波多野貴文川井憲次MAN WITH A MISSION『evils fall』(Sony Records)  ※ニューアルバム『Tales of Purefly』収録【ゼネラルプロデューサー】松本基弘(テレビ朝日)  【プロデューサー】山田兼司(テレビ朝日)、太田雅晴(5年D組)☆番組HP  　http://www.tv-asahi.co.jp/border/</v>
      </c>
      <c r="N2535" s="2"/>
      <c r="O2535" s="2"/>
      <c r="P2535" s="1"/>
      <c r="Q2535" s="1"/>
      <c r="R2535" s="1"/>
      <c r="S2535" s="1"/>
      <c r="T2535" s="1"/>
      <c r="U2535" s="1"/>
      <c r="V2535" s="1"/>
      <c r="W2535" s="1"/>
      <c r="X2535" s="1"/>
      <c r="Y2535" s="1"/>
      <c r="Z2535" s="1"/>
      <c r="AA2535" s="1"/>
      <c r="AB2535" s="1"/>
      <c r="AC2535" s="1"/>
      <c r="AD2535" s="1"/>
      <c r="AE2535" s="1"/>
      <c r="AF2535" s="1"/>
      <c r="AG2535" s="1"/>
      <c r="AH2535" s="1"/>
      <c r="AI2535" s="1"/>
      <c r="AJ2535" s="1"/>
      <c r="AK2535" s="1"/>
      <c r="AL2535" s="1"/>
      <c r="AM2535" s="1"/>
      <c r="AN2535" s="1"/>
      <c r="AO2535" s="1"/>
      <c r="AP2535" s="1"/>
      <c r="AQ2535" s="1"/>
      <c r="AR2535" s="1"/>
      <c r="AS2535" s="1"/>
      <c r="AT2535" s="1"/>
      <c r="AU2535" s="1"/>
      <c r="AV2535" s="1"/>
      <c r="AW2535" s="1"/>
      <c r="AX2535" s="1"/>
      <c r="AY2535" s="1"/>
      <c r="AZ2535" s="1"/>
      <c r="BA2535" s="1"/>
      <c r="BB2535" s="1"/>
    </row>
    <row r="2536" ht="204.75" customHeight="1">
      <c r="A2536" s="1">
        <v>2791.0</v>
      </c>
      <c r="B2536" s="2" t="s">
        <v>7901</v>
      </c>
      <c r="C2536" s="2">
        <f>IFERROR(__xludf.DUMMYFUNCTION("split(B2536,""_"")"),1404.0)</f>
        <v>1404</v>
      </c>
      <c r="D2536" s="2" t="str">
        <f>IFERROR(__xludf.DUMMYFUNCTION("""COMPUTED_VALUE"""),"EX")</f>
        <v>EX</v>
      </c>
      <c r="E2536" s="2" t="str">
        <f>IFERROR(__xludf.DUMMYFUNCTION("""COMPUTED_VALUE"""),"木21")</f>
        <v>木21</v>
      </c>
      <c r="F2536" s="2" t="s">
        <v>7902</v>
      </c>
      <c r="G2536" s="2" t="s">
        <v>7910</v>
      </c>
      <c r="H2536" s="1">
        <v>4.0</v>
      </c>
      <c r="I2536" s="1" t="s">
        <v>2880</v>
      </c>
      <c r="J2536" s="1" t="s">
        <v>11</v>
      </c>
      <c r="K2536" s="2" t="s">
        <v>7911</v>
      </c>
      <c r="L2536" s="10" t="s">
        <v>2775</v>
      </c>
      <c r="M2536" s="2" t="str">
        <f>IFERROR(__xludf.DUMMYFUNCTION("split(split(K2536,""…"",false),""公式LINE"",false)"),"小栗旬、青木崇高、波瑠 / 古田新太 / 野間口徹、浜野謙太、遠藤憲一 ほか金城一紀波多野貴文川井憲次MAN WITH A MISSION『evils fall』(Sony Records)  ※ニューアルバム『Tales of Purefly』収録【ゼネラルプロデューサー】松本基弘(テレビ朝日)  【プロデューサー】山田兼司(テレビ朝日)、太田雅晴(5年D組)☆番組HP  　http://www.tv-asahi.co.jp/border/")</f>
        <v>小栗旬、青木崇高、波瑠 / 古田新太 / 野間口徹、浜野謙太、遠藤憲一 ほか金城一紀波多野貴文川井憲次MAN WITH A MISSION『evils fall』(Sony Records)  ※ニューアルバム『Tales of Purefly』収録【ゼネラルプロデューサー】松本基弘(テレビ朝日)  【プロデューサー】山田兼司(テレビ朝日)、太田雅晴(5年D組)☆番組HP  　http://www.tv-asahi.co.jp/border/</v>
      </c>
      <c r="N2536" s="2"/>
      <c r="O2536" s="2"/>
      <c r="P2536" s="1"/>
      <c r="Q2536" s="1"/>
      <c r="R2536" s="1"/>
      <c r="S2536" s="1"/>
      <c r="T2536" s="1"/>
      <c r="U2536" s="1"/>
      <c r="V2536" s="1"/>
      <c r="W2536" s="1"/>
      <c r="X2536" s="1"/>
      <c r="Y2536" s="1"/>
      <c r="Z2536" s="1"/>
      <c r="AA2536" s="1"/>
      <c r="AB2536" s="1"/>
      <c r="AC2536" s="1"/>
      <c r="AD2536" s="1"/>
      <c r="AE2536" s="1"/>
      <c r="AF2536" s="1"/>
      <c r="AG2536" s="1"/>
      <c r="AH2536" s="1"/>
      <c r="AI2536" s="1"/>
      <c r="AJ2536" s="1"/>
      <c r="AK2536" s="1"/>
      <c r="AL2536" s="1"/>
      <c r="AM2536" s="1"/>
      <c r="AN2536" s="1"/>
      <c r="AO2536" s="1"/>
      <c r="AP2536" s="1"/>
      <c r="AQ2536" s="1"/>
      <c r="AR2536" s="1"/>
      <c r="AS2536" s="1"/>
      <c r="AT2536" s="1"/>
      <c r="AU2536" s="1"/>
      <c r="AV2536" s="1"/>
      <c r="AW2536" s="1"/>
      <c r="AX2536" s="1"/>
      <c r="AY2536" s="1"/>
      <c r="AZ2536" s="1"/>
      <c r="BA2536" s="1"/>
      <c r="BB2536" s="1"/>
    </row>
    <row r="2537" ht="204.75" customHeight="1">
      <c r="A2537" s="1">
        <v>2792.0</v>
      </c>
      <c r="B2537" s="2" t="s">
        <v>7901</v>
      </c>
      <c r="C2537" s="2">
        <f>IFERROR(__xludf.DUMMYFUNCTION("split(B2537,""_"")"),1404.0)</f>
        <v>1404</v>
      </c>
      <c r="D2537" s="2" t="str">
        <f>IFERROR(__xludf.DUMMYFUNCTION("""COMPUTED_VALUE"""),"EX")</f>
        <v>EX</v>
      </c>
      <c r="E2537" s="2" t="str">
        <f>IFERROR(__xludf.DUMMYFUNCTION("""COMPUTED_VALUE"""),"木21")</f>
        <v>木21</v>
      </c>
      <c r="F2537" s="2" t="s">
        <v>7902</v>
      </c>
      <c r="G2537" s="2" t="s">
        <v>7912</v>
      </c>
      <c r="H2537" s="1">
        <v>5.0</v>
      </c>
      <c r="I2537" s="1" t="s">
        <v>2884</v>
      </c>
      <c r="J2537" s="1" t="s">
        <v>11</v>
      </c>
      <c r="K2537" s="2" t="s">
        <v>7913</v>
      </c>
      <c r="L2537" s="10" t="s">
        <v>2775</v>
      </c>
      <c r="M2537" s="2" t="str">
        <f>IFERROR(__xludf.DUMMYFUNCTION("split(split(K2537,""…"",false),""公式LINE"",false)"),"小栗旬、青木崇高、波瑠 / 滝藤賢一、遠藤憲一    【ゲスト】宮藤官九郎 ほか金城一紀橋本一川井憲次MAN WITH A MISSION『evils fall』(Sony Records)  ※ニューアルバム『Tales of Purefly』収録【ゼネラルプロデューサー】松本基弘(テレビ朝日)  【プロデューサー】山田兼司(テレビ朝日)、太田雅晴(5年D組)☆番組HP  　http://www.tv-asahi.co.jp/border/")</f>
        <v>小栗旬、青木崇高、波瑠 / 滝藤賢一、遠藤憲一    【ゲスト】宮藤官九郎 ほか金城一紀橋本一川井憲次MAN WITH A MISSION『evils fall』(Sony Records)  ※ニューアルバム『Tales of Purefly』収録【ゼネラルプロデューサー】松本基弘(テレビ朝日)  【プロデューサー】山田兼司(テレビ朝日)、太田雅晴(5年D組)☆番組HP  　http://www.tv-asahi.co.jp/border/</v>
      </c>
      <c r="N2537" s="2"/>
      <c r="O2537" s="2"/>
      <c r="P2537" s="1"/>
      <c r="Q2537" s="1"/>
      <c r="R2537" s="1"/>
      <c r="S2537" s="1"/>
      <c r="T2537" s="1"/>
      <c r="U2537" s="1"/>
      <c r="V2537" s="1"/>
      <c r="W2537" s="1"/>
      <c r="X2537" s="1"/>
      <c r="Y2537" s="1"/>
      <c r="Z2537" s="1"/>
      <c r="AA2537" s="1"/>
      <c r="AB2537" s="1"/>
      <c r="AC2537" s="1"/>
      <c r="AD2537" s="1"/>
      <c r="AE2537" s="1"/>
      <c r="AF2537" s="1"/>
      <c r="AG2537" s="1"/>
      <c r="AH2537" s="1"/>
      <c r="AI2537" s="1"/>
      <c r="AJ2537" s="1"/>
      <c r="AK2537" s="1"/>
      <c r="AL2537" s="1"/>
      <c r="AM2537" s="1"/>
      <c r="AN2537" s="1"/>
      <c r="AO2537" s="1"/>
      <c r="AP2537" s="1"/>
      <c r="AQ2537" s="1"/>
      <c r="AR2537" s="1"/>
      <c r="AS2537" s="1"/>
      <c r="AT2537" s="1"/>
      <c r="AU2537" s="1"/>
      <c r="AV2537" s="1"/>
      <c r="AW2537" s="1"/>
      <c r="AX2537" s="1"/>
      <c r="AY2537" s="1"/>
      <c r="AZ2537" s="1"/>
      <c r="BA2537" s="1"/>
      <c r="BB2537" s="1"/>
    </row>
    <row r="2538" ht="204.75" customHeight="1">
      <c r="A2538" s="1">
        <v>2793.0</v>
      </c>
      <c r="B2538" s="2" t="s">
        <v>7901</v>
      </c>
      <c r="C2538" s="2">
        <f>IFERROR(__xludf.DUMMYFUNCTION("split(B2538,""_"")"),1404.0)</f>
        <v>1404</v>
      </c>
      <c r="D2538" s="2" t="str">
        <f>IFERROR(__xludf.DUMMYFUNCTION("""COMPUTED_VALUE"""),"EX")</f>
        <v>EX</v>
      </c>
      <c r="E2538" s="2" t="str">
        <f>IFERROR(__xludf.DUMMYFUNCTION("""COMPUTED_VALUE"""),"木21")</f>
        <v>木21</v>
      </c>
      <c r="F2538" s="2" t="s">
        <v>7902</v>
      </c>
      <c r="G2538" s="2" t="s">
        <v>7914</v>
      </c>
      <c r="H2538" s="1">
        <v>6.0</v>
      </c>
      <c r="I2538" s="1" t="s">
        <v>2888</v>
      </c>
      <c r="J2538" s="1" t="s">
        <v>11</v>
      </c>
      <c r="K2538" s="2" t="s">
        <v>7915</v>
      </c>
      <c r="L2538" s="10" t="s">
        <v>2775</v>
      </c>
      <c r="M2538" s="2" t="str">
        <f>IFERROR(__xludf.DUMMYFUNCTION("split(split(K2538,""…"",false),""公式LINE"",false)"),"小栗旬、青木崇高、波瑠 、野間口徹、浜野謙太、遠藤憲一 ほか金城一紀波多野貴文川井憲次MAN WITH A MISSION『evils fall』(Sony Records)  ※ニューアルバム『Tales of Purefly』収録【ゼネラルプロデューサー】松本基弘(テレビ朝日)  【プロデューサー】山田兼司(テレビ朝日)、太田雅晴(5年D組)☆番組HP  　http://www.tv-asahi.co.jp/border/")</f>
        <v>小栗旬、青木崇高、波瑠 、野間口徹、浜野謙太、遠藤憲一 ほか金城一紀波多野貴文川井憲次MAN WITH A MISSION『evils fall』(Sony Records)  ※ニューアルバム『Tales of Purefly』収録【ゼネラルプロデューサー】松本基弘(テレビ朝日)  【プロデューサー】山田兼司(テレビ朝日)、太田雅晴(5年D組)☆番組HP  　http://www.tv-asahi.co.jp/border/</v>
      </c>
      <c r="N2538" s="2"/>
      <c r="O2538" s="2"/>
      <c r="P2538" s="1"/>
      <c r="Q2538" s="1"/>
      <c r="R2538" s="1"/>
      <c r="S2538" s="1"/>
      <c r="T2538" s="1"/>
      <c r="U2538" s="1"/>
      <c r="V2538" s="1"/>
      <c r="W2538" s="1"/>
      <c r="X2538" s="1"/>
      <c r="Y2538" s="1"/>
      <c r="Z2538" s="1"/>
      <c r="AA2538" s="1"/>
      <c r="AB2538" s="1"/>
      <c r="AC2538" s="1"/>
      <c r="AD2538" s="1"/>
      <c r="AE2538" s="1"/>
      <c r="AF2538" s="1"/>
      <c r="AG2538" s="1"/>
      <c r="AH2538" s="1"/>
      <c r="AI2538" s="1"/>
      <c r="AJ2538" s="1"/>
      <c r="AK2538" s="1"/>
      <c r="AL2538" s="1"/>
      <c r="AM2538" s="1"/>
      <c r="AN2538" s="1"/>
      <c r="AO2538" s="1"/>
      <c r="AP2538" s="1"/>
      <c r="AQ2538" s="1"/>
      <c r="AR2538" s="1"/>
      <c r="AS2538" s="1"/>
      <c r="AT2538" s="1"/>
      <c r="AU2538" s="1"/>
      <c r="AV2538" s="1"/>
      <c r="AW2538" s="1"/>
      <c r="AX2538" s="1"/>
      <c r="AY2538" s="1"/>
      <c r="AZ2538" s="1"/>
      <c r="BA2538" s="1"/>
      <c r="BB2538" s="1"/>
    </row>
    <row r="2539" ht="204.75" customHeight="1">
      <c r="A2539" s="1">
        <v>2794.0</v>
      </c>
      <c r="B2539" s="2" t="s">
        <v>7901</v>
      </c>
      <c r="C2539" s="2">
        <f>IFERROR(__xludf.DUMMYFUNCTION("split(B2539,""_"")"),1404.0)</f>
        <v>1404</v>
      </c>
      <c r="D2539" s="2" t="str">
        <f>IFERROR(__xludf.DUMMYFUNCTION("""COMPUTED_VALUE"""),"EX")</f>
        <v>EX</v>
      </c>
      <c r="E2539" s="2" t="str">
        <f>IFERROR(__xludf.DUMMYFUNCTION("""COMPUTED_VALUE"""),"木21")</f>
        <v>木21</v>
      </c>
      <c r="F2539" s="2" t="s">
        <v>7902</v>
      </c>
      <c r="G2539" s="2" t="s">
        <v>7916</v>
      </c>
      <c r="H2539" s="1">
        <v>7.0</v>
      </c>
      <c r="I2539" s="1" t="s">
        <v>2892</v>
      </c>
      <c r="J2539" s="1" t="s">
        <v>4</v>
      </c>
      <c r="K2539" s="2" t="s">
        <v>7917</v>
      </c>
      <c r="L2539" s="10" t="s">
        <v>2775</v>
      </c>
      <c r="M2539" s="2" t="str">
        <f>IFERROR(__xludf.DUMMYFUNCTION("split(split(K2539,""…"",false),""公式LINE"",false)"),"小栗旬、青木崇高、波瑠 / 古田新太 / 滝藤賢一、野間口徹、浜野謙太、遠藤憲一  【ゲスト】中村達也 ほか金城一紀橋本一川井憲次MAN WITH A MISSION『evils fall』(Sony Records)  ※ニューアルバム『Tales of Purefly』収録【ゼネラルプロデューサー】松本基弘(テレビ朝日)  【プロデューサー】山田兼司(テレビ朝日)、太田雅晴(5年D組)☆番組HP  　http://www.tv-asahi.co.jp/border/    ※この番組は放送時間が変更に"&amp;"なる場合があります")</f>
        <v>小栗旬、青木崇高、波瑠 / 古田新太 / 滝藤賢一、野間口徹、浜野謙太、遠藤憲一  【ゲスト】中村達也 ほか金城一紀橋本一川井憲次MAN WITH A MISSION『evils fall』(Sony Records)  ※ニューアルバム『Tales of Purefly』収録【ゼネラルプロデューサー】松本基弘(テレビ朝日)  【プロデューサー】山田兼司(テレビ朝日)、太田雅晴(5年D組)☆番組HP  　http://www.tv-asahi.co.jp/border/    ※この番組は放送時間が変更になる場合があります</v>
      </c>
      <c r="N2539" s="2"/>
      <c r="O2539" s="2"/>
      <c r="P2539" s="1"/>
      <c r="Q2539" s="1"/>
      <c r="R2539" s="1"/>
      <c r="S2539" s="1"/>
      <c r="T2539" s="1"/>
      <c r="U2539" s="1"/>
      <c r="V2539" s="1"/>
      <c r="W2539" s="1"/>
      <c r="X2539" s="1"/>
      <c r="Y2539" s="1"/>
      <c r="Z2539" s="1"/>
      <c r="AA2539" s="1"/>
      <c r="AB2539" s="1"/>
      <c r="AC2539" s="1"/>
      <c r="AD2539" s="1"/>
      <c r="AE2539" s="1"/>
      <c r="AF2539" s="1"/>
      <c r="AG2539" s="1"/>
      <c r="AH2539" s="1"/>
      <c r="AI2539" s="1"/>
      <c r="AJ2539" s="1"/>
      <c r="AK2539" s="1"/>
      <c r="AL2539" s="1"/>
      <c r="AM2539" s="1"/>
      <c r="AN2539" s="1"/>
      <c r="AO2539" s="1"/>
      <c r="AP2539" s="1"/>
      <c r="AQ2539" s="1"/>
      <c r="AR2539" s="1"/>
      <c r="AS2539" s="1"/>
      <c r="AT2539" s="1"/>
      <c r="AU2539" s="1"/>
      <c r="AV2539" s="1"/>
      <c r="AW2539" s="1"/>
      <c r="AX2539" s="1"/>
      <c r="AY2539" s="1"/>
      <c r="AZ2539" s="1"/>
      <c r="BA2539" s="1"/>
      <c r="BB2539" s="1"/>
    </row>
    <row r="2540" ht="204.75" customHeight="1">
      <c r="A2540" s="1">
        <v>2795.0</v>
      </c>
      <c r="B2540" s="2" t="s">
        <v>7901</v>
      </c>
      <c r="C2540" s="2">
        <f>IFERROR(__xludf.DUMMYFUNCTION("split(B2540,""_"")"),1404.0)</f>
        <v>1404</v>
      </c>
      <c r="D2540" s="2" t="str">
        <f>IFERROR(__xludf.DUMMYFUNCTION("""COMPUTED_VALUE"""),"EX")</f>
        <v>EX</v>
      </c>
      <c r="E2540" s="2" t="str">
        <f>IFERROR(__xludf.DUMMYFUNCTION("""COMPUTED_VALUE"""),"木21")</f>
        <v>木21</v>
      </c>
      <c r="F2540" s="2" t="s">
        <v>7902</v>
      </c>
      <c r="G2540" s="2" t="s">
        <v>7918</v>
      </c>
      <c r="H2540" s="1">
        <v>8.0</v>
      </c>
      <c r="I2540" s="1" t="s">
        <v>2896</v>
      </c>
      <c r="J2540" s="1" t="s">
        <v>11</v>
      </c>
      <c r="K2540" s="2" t="s">
        <v>7919</v>
      </c>
      <c r="L2540" s="10" t="s">
        <v>2775</v>
      </c>
      <c r="M2540" s="2" t="str">
        <f>IFERROR(__xludf.DUMMYFUNCTION("split(split(K2540,""…"",false),""公式LINE"",false)"),"小栗旬、青木崇高、波瑠 / 古田新太 / 滝藤賢一、野間口徹、浜野謙太、遠藤憲一 ほか金城一紀波多野貴文川井憲次MAN WITH A MISSION『evils fall』(Sony Records)  ※ニューアルバム『Tales of Purefly』収録【ゼネラルプロデューサー】松本基弘(テレビ朝日)  【プロデューサー】山田兼司(テレビ朝日)、太田雅晴(5年D組)☆番組HP  　http://www.tv-asahi.co.jp/border/")</f>
        <v>小栗旬、青木崇高、波瑠 / 古田新太 / 滝藤賢一、野間口徹、浜野謙太、遠藤憲一 ほか金城一紀波多野貴文川井憲次MAN WITH A MISSION『evils fall』(Sony Records)  ※ニューアルバム『Tales of Purefly』収録【ゼネラルプロデューサー】松本基弘(テレビ朝日)  【プロデューサー】山田兼司(テレビ朝日)、太田雅晴(5年D組)☆番組HP  　http://www.tv-asahi.co.jp/border/</v>
      </c>
      <c r="N2540" s="2"/>
      <c r="O2540" s="2"/>
      <c r="P2540" s="1"/>
      <c r="Q2540" s="1"/>
      <c r="R2540" s="1"/>
      <c r="S2540" s="1"/>
      <c r="T2540" s="1"/>
      <c r="U2540" s="1"/>
      <c r="V2540" s="1"/>
      <c r="W2540" s="1"/>
      <c r="X2540" s="1"/>
      <c r="Y2540" s="1"/>
      <c r="Z2540" s="1"/>
      <c r="AA2540" s="1"/>
      <c r="AB2540" s="1"/>
      <c r="AC2540" s="1"/>
      <c r="AD2540" s="1"/>
      <c r="AE2540" s="1"/>
      <c r="AF2540" s="1"/>
      <c r="AG2540" s="1"/>
      <c r="AH2540" s="1"/>
      <c r="AI2540" s="1"/>
      <c r="AJ2540" s="1"/>
      <c r="AK2540" s="1"/>
      <c r="AL2540" s="1"/>
      <c r="AM2540" s="1"/>
      <c r="AN2540" s="1"/>
      <c r="AO2540" s="1"/>
      <c r="AP2540" s="1"/>
      <c r="AQ2540" s="1"/>
      <c r="AR2540" s="1"/>
      <c r="AS2540" s="1"/>
      <c r="AT2540" s="1"/>
      <c r="AU2540" s="1"/>
      <c r="AV2540" s="1"/>
      <c r="AW2540" s="1"/>
      <c r="AX2540" s="1"/>
      <c r="AY2540" s="1"/>
      <c r="AZ2540" s="1"/>
      <c r="BA2540" s="1"/>
      <c r="BB2540" s="1"/>
    </row>
    <row r="2541" ht="204.75" customHeight="1">
      <c r="A2541" s="1">
        <v>2796.0</v>
      </c>
      <c r="B2541" s="2" t="s">
        <v>7901</v>
      </c>
      <c r="C2541" s="2">
        <f>IFERROR(__xludf.DUMMYFUNCTION("split(B2541,""_"")"),1404.0)</f>
        <v>1404</v>
      </c>
      <c r="D2541" s="2" t="str">
        <f>IFERROR(__xludf.DUMMYFUNCTION("""COMPUTED_VALUE"""),"EX")</f>
        <v>EX</v>
      </c>
      <c r="E2541" s="2" t="str">
        <f>IFERROR(__xludf.DUMMYFUNCTION("""COMPUTED_VALUE"""),"木21")</f>
        <v>木21</v>
      </c>
      <c r="F2541" s="2" t="s">
        <v>7902</v>
      </c>
      <c r="G2541" s="2" t="s">
        <v>7920</v>
      </c>
      <c r="H2541" s="1">
        <v>9.0</v>
      </c>
      <c r="I2541" s="1" t="s">
        <v>2900</v>
      </c>
      <c r="J2541" s="1" t="s">
        <v>11</v>
      </c>
      <c r="K2541" s="2" t="s">
        <v>7921</v>
      </c>
      <c r="L2541" s="10" t="s">
        <v>2775</v>
      </c>
      <c r="M2541" s="2" t="str">
        <f>IFERROR(__xludf.DUMMYFUNCTION("split(split(K2541,""…"",false),""公式LINE"",false)"),"小栗旬、青木崇高、波瑠 / 古田新太 / 滝藤賢一、野間口徹、浜野謙太、遠藤憲一　  【ゲスト】  大森南朋 ほか金城一紀橋本一川井憲次MAN WITH A MISSION『evils fall』(Sony Records)  ※ニューアルバム『Tales of Purefly』収録【ゼネラルプロデューサー】松本基弘(テレビ朝日)  【プロデューサー】山田兼司(テレビ朝日)、太田雅晴(5年D組)☆番組HP  　http://www.tv-asahi.co.jp/border/")</f>
        <v>小栗旬、青木崇高、波瑠 / 古田新太 / 滝藤賢一、野間口徹、浜野謙太、遠藤憲一　  【ゲスト】  大森南朋 ほか金城一紀橋本一川井憲次MAN WITH A MISSION『evils fall』(Sony Records)  ※ニューアルバム『Tales of Purefly』収録【ゼネラルプロデューサー】松本基弘(テレビ朝日)  【プロデューサー】山田兼司(テレビ朝日)、太田雅晴(5年D組)☆番組HP  　http://www.tv-asahi.co.jp/border/</v>
      </c>
      <c r="N2541" s="2"/>
      <c r="O2541" s="2"/>
      <c r="P2541" s="1"/>
      <c r="Q2541" s="1"/>
      <c r="R2541" s="1"/>
      <c r="S2541" s="1"/>
      <c r="T2541" s="1"/>
      <c r="U2541" s="1"/>
      <c r="V2541" s="1"/>
      <c r="W2541" s="1"/>
      <c r="X2541" s="1"/>
      <c r="Y2541" s="1"/>
      <c r="Z2541" s="1"/>
      <c r="AA2541" s="1"/>
      <c r="AB2541" s="1"/>
      <c r="AC2541" s="1"/>
      <c r="AD2541" s="1"/>
      <c r="AE2541" s="1"/>
      <c r="AF2541" s="1"/>
      <c r="AG2541" s="1"/>
      <c r="AH2541" s="1"/>
      <c r="AI2541" s="1"/>
      <c r="AJ2541" s="1"/>
      <c r="AK2541" s="1"/>
      <c r="AL2541" s="1"/>
      <c r="AM2541" s="1"/>
      <c r="AN2541" s="1"/>
      <c r="AO2541" s="1"/>
      <c r="AP2541" s="1"/>
      <c r="AQ2541" s="1"/>
      <c r="AR2541" s="1"/>
      <c r="AS2541" s="1"/>
      <c r="AT2541" s="1"/>
      <c r="AU2541" s="1"/>
      <c r="AV2541" s="1"/>
      <c r="AW2541" s="1"/>
      <c r="AX2541" s="1"/>
      <c r="AY2541" s="1"/>
      <c r="AZ2541" s="1"/>
      <c r="BA2541" s="1"/>
      <c r="BB2541" s="1"/>
    </row>
    <row r="2542" ht="204.75" customHeight="1">
      <c r="A2542" s="1">
        <v>2829.0</v>
      </c>
      <c r="B2542" s="2" t="s">
        <v>7922</v>
      </c>
      <c r="C2542" s="2">
        <f>IFERROR(__xludf.DUMMYFUNCTION("split(B2542,""_"")"),1404.0)</f>
        <v>1404</v>
      </c>
      <c r="D2542" s="2" t="str">
        <f>IFERROR(__xludf.DUMMYFUNCTION("""COMPUTED_VALUE"""),"EX")</f>
        <v>EX</v>
      </c>
      <c r="E2542" s="2" t="str">
        <f>IFERROR(__xludf.DUMMYFUNCTION("""COMPUTED_VALUE"""),"金23")</f>
        <v>金23</v>
      </c>
      <c r="F2542" s="2" t="s">
        <v>7923</v>
      </c>
      <c r="G2542" s="2" t="s">
        <v>7924</v>
      </c>
      <c r="H2542" s="1">
        <v>1.0</v>
      </c>
      <c r="I2542" s="1" t="s">
        <v>2868</v>
      </c>
      <c r="J2542" s="1" t="s">
        <v>1435</v>
      </c>
      <c r="K2542" s="2" t="s">
        <v>7925</v>
      </c>
      <c r="L2542" s="13" t="s">
        <v>7926</v>
      </c>
      <c r="M2542" s="2" t="str">
        <f>IFERROR(__xludf.DUMMYFUNCTION("split(split(K2542,""大野智、"",false),""公式LINE"",false)"),"火傷をして落ち込む真実を福子だけは毎日見舞う。そんな福子の前に死神が現れ、告げた。「おめでとうございます。お迎えに上がりました」  福子の余命はあと3日。運命を受け入れられない福子。死神はそんな福子を気にかけつつ、彼なりの助言をしていく。福子は自分がやり残したことについて考え始めるが…?")</f>
        <v>火傷をして落ち込む真実を福子だけは毎日見舞う。そんな福子の前に死神が現れ、告げた。「おめでとうございます。お迎えに上がりました」  福子の余命はあと3日。運命を受け入れられない福子。死神はそんな福子を気にかけつつ、彼なりの助言をしていく。福子は自分がやり残したことについて考え始めるが…?</v>
      </c>
      <c r="N2542" s="2"/>
      <c r="O2542" s="2"/>
      <c r="P2542" s="1"/>
      <c r="Q2542" s="1"/>
      <c r="R2542" s="1"/>
      <c r="S2542" s="1"/>
      <c r="T2542" s="1"/>
      <c r="U2542" s="1"/>
      <c r="V2542" s="1"/>
      <c r="W2542" s="1"/>
      <c r="X2542" s="1"/>
      <c r="Y2542" s="1"/>
      <c r="Z2542" s="1"/>
      <c r="AA2542" s="1"/>
      <c r="AB2542" s="1"/>
      <c r="AC2542" s="1"/>
      <c r="AD2542" s="1"/>
      <c r="AE2542" s="1"/>
      <c r="AF2542" s="1"/>
      <c r="AG2542" s="1"/>
      <c r="AH2542" s="1"/>
      <c r="AI2542" s="1"/>
      <c r="AJ2542" s="1"/>
      <c r="AK2542" s="1"/>
      <c r="AL2542" s="1"/>
      <c r="AM2542" s="1"/>
      <c r="AN2542" s="1"/>
      <c r="AO2542" s="1"/>
      <c r="AP2542" s="1"/>
      <c r="AQ2542" s="1"/>
      <c r="AR2542" s="1"/>
      <c r="AS2542" s="1"/>
      <c r="AT2542" s="1"/>
      <c r="AU2542" s="1"/>
      <c r="AV2542" s="1"/>
      <c r="AW2542" s="1"/>
      <c r="AX2542" s="1"/>
      <c r="AY2542" s="1"/>
      <c r="AZ2542" s="1"/>
      <c r="BA2542" s="1"/>
      <c r="BB2542" s="1"/>
    </row>
    <row r="2543" ht="204.75" customHeight="1">
      <c r="A2543" s="1">
        <v>2830.0</v>
      </c>
      <c r="B2543" s="2" t="s">
        <v>7922</v>
      </c>
      <c r="C2543" s="2">
        <f>IFERROR(__xludf.DUMMYFUNCTION("split(B2543,""_"")"),1404.0)</f>
        <v>1404</v>
      </c>
      <c r="D2543" s="2" t="str">
        <f>IFERROR(__xludf.DUMMYFUNCTION("""COMPUTED_VALUE"""),"EX")</f>
        <v>EX</v>
      </c>
      <c r="E2543" s="2" t="str">
        <f>IFERROR(__xludf.DUMMYFUNCTION("""COMPUTED_VALUE"""),"金23")</f>
        <v>金23</v>
      </c>
      <c r="F2543" s="2" t="s">
        <v>7923</v>
      </c>
      <c r="G2543" s="2" t="s">
        <v>7927</v>
      </c>
      <c r="H2543" s="1">
        <v>2.0</v>
      </c>
      <c r="I2543" s="1" t="s">
        <v>2872</v>
      </c>
      <c r="J2543" s="1" t="s">
        <v>1435</v>
      </c>
      <c r="K2543" s="4" t="s">
        <v>7928</v>
      </c>
      <c r="L2543" s="11" t="s">
        <v>7929</v>
      </c>
      <c r="M2543" s="2" t="str">
        <f>IFERROR(__xludf.DUMMYFUNCTION("split(split(K2543,""大野智、"",false),""公式LINE"",false)"),"大事な仕事道具である死神手帳を紛失してしまった死神No.413(大野智)。手帳の力を悪用されれば、予定外の死を招いてしまう恐れが…。慌てて人間界へ手帳探しに!")</f>
        <v>大事な仕事道具である死神手帳を紛失してしまった死神No.413(大野智)。手帳の力を悪用されれば、予定外の死を招いてしまう恐れが…。慌てて人間界へ手帳探しに!</v>
      </c>
      <c r="N2543" s="2"/>
      <c r="O2543" s="2"/>
      <c r="P2543" s="1"/>
      <c r="Q2543" s="1"/>
      <c r="R2543" s="1"/>
      <c r="S2543" s="1"/>
      <c r="T2543" s="1"/>
      <c r="U2543" s="1"/>
      <c r="V2543" s="1"/>
      <c r="W2543" s="1"/>
      <c r="X2543" s="1"/>
      <c r="Y2543" s="1"/>
      <c r="Z2543" s="1"/>
      <c r="AA2543" s="1"/>
      <c r="AB2543" s="1"/>
      <c r="AC2543" s="1"/>
      <c r="AD2543" s="1"/>
      <c r="AE2543" s="1"/>
      <c r="AF2543" s="1"/>
      <c r="AG2543" s="1"/>
      <c r="AH2543" s="1"/>
      <c r="AI2543" s="1"/>
      <c r="AJ2543" s="1"/>
      <c r="AK2543" s="1"/>
      <c r="AL2543" s="1"/>
      <c r="AM2543" s="1"/>
      <c r="AN2543" s="1"/>
      <c r="AO2543" s="1"/>
      <c r="AP2543" s="1"/>
      <c r="AQ2543" s="1"/>
      <c r="AR2543" s="1"/>
      <c r="AS2543" s="1"/>
      <c r="AT2543" s="1"/>
      <c r="AU2543" s="1"/>
      <c r="AV2543" s="1"/>
      <c r="AW2543" s="1"/>
      <c r="AX2543" s="1"/>
      <c r="AY2543" s="1"/>
      <c r="AZ2543" s="1"/>
      <c r="BA2543" s="1"/>
      <c r="BB2543" s="1"/>
    </row>
    <row r="2544" ht="204.75" customHeight="1">
      <c r="A2544" s="1">
        <v>2831.0</v>
      </c>
      <c r="B2544" s="2" t="s">
        <v>7922</v>
      </c>
      <c r="C2544" s="2">
        <f>IFERROR(__xludf.DUMMYFUNCTION("split(B2544,""_"")"),1404.0)</f>
        <v>1404</v>
      </c>
      <c r="D2544" s="2" t="str">
        <f>IFERROR(__xludf.DUMMYFUNCTION("""COMPUTED_VALUE"""),"EX")</f>
        <v>EX</v>
      </c>
      <c r="E2544" s="2" t="str">
        <f>IFERROR(__xludf.DUMMYFUNCTION("""COMPUTED_VALUE"""),"金23")</f>
        <v>金23</v>
      </c>
      <c r="F2544" s="2" t="s">
        <v>7923</v>
      </c>
      <c r="G2544" s="2" t="s">
        <v>7930</v>
      </c>
      <c r="H2544" s="1">
        <v>3.0</v>
      </c>
      <c r="I2544" s="1" t="s">
        <v>2876</v>
      </c>
      <c r="J2544" s="1" t="s">
        <v>1435</v>
      </c>
      <c r="K2544" s="2" t="s">
        <v>7931</v>
      </c>
      <c r="L2544" s="11" t="s">
        <v>7932</v>
      </c>
      <c r="M2544" s="2" t="str">
        <f>IFERROR(__xludf.DUMMYFUNCTION("split(split(K2544,""大野智、"",false),""公式LINE"",false)"),"「魂と引き換えに、3つまでならどんな願いでも叶えます」と悪魔(菅田将暉)に言われ、願いを伝える桐嶋。一方、死神は令嬢・瞳に余命を宣告。父親の愛情を確かめたい瞳は、桐嶋に狂言誘拐を提案!桐嶋は悪魔に頼ろうと…。悪魔に魂を渡してはなるまいと死神は桐嶋を説得するが…。")</f>
        <v>「魂と引き換えに、3つまでならどんな願いでも叶えます」と悪魔(菅田将暉)に言われ、願いを伝える桐嶋。一方、死神は令嬢・瞳に余命を宣告。父親の愛情を確かめたい瞳は、桐嶋に狂言誘拐を提案!桐嶋は悪魔に頼ろうと…。悪魔に魂を渡してはなるまいと死神は桐嶋を説得するが…。</v>
      </c>
      <c r="N2544" s="2"/>
      <c r="O2544" s="2"/>
      <c r="P2544" s="1"/>
      <c r="Q2544" s="1"/>
      <c r="R2544" s="1"/>
      <c r="S2544" s="1"/>
      <c r="T2544" s="1"/>
      <c r="U2544" s="1"/>
      <c r="V2544" s="1"/>
      <c r="W2544" s="1"/>
      <c r="X2544" s="1"/>
      <c r="Y2544" s="1"/>
      <c r="Z2544" s="1"/>
      <c r="AA2544" s="1"/>
      <c r="AB2544" s="1"/>
      <c r="AC2544" s="1"/>
      <c r="AD2544" s="1"/>
      <c r="AE2544" s="1"/>
      <c r="AF2544" s="1"/>
      <c r="AG2544" s="1"/>
      <c r="AH2544" s="1"/>
      <c r="AI2544" s="1"/>
      <c r="AJ2544" s="1"/>
      <c r="AK2544" s="1"/>
      <c r="AL2544" s="1"/>
      <c r="AM2544" s="1"/>
      <c r="AN2544" s="1"/>
      <c r="AO2544" s="1"/>
      <c r="AP2544" s="1"/>
      <c r="AQ2544" s="1"/>
      <c r="AR2544" s="1"/>
      <c r="AS2544" s="1"/>
      <c r="AT2544" s="1"/>
      <c r="AU2544" s="1"/>
      <c r="AV2544" s="1"/>
      <c r="AW2544" s="1"/>
      <c r="AX2544" s="1"/>
      <c r="AY2544" s="1"/>
      <c r="AZ2544" s="1"/>
      <c r="BA2544" s="1"/>
      <c r="BB2544" s="1"/>
    </row>
    <row r="2545" ht="204.75" customHeight="1">
      <c r="A2545" s="1">
        <v>2832.0</v>
      </c>
      <c r="B2545" s="2" t="s">
        <v>7922</v>
      </c>
      <c r="C2545" s="2">
        <f>IFERROR(__xludf.DUMMYFUNCTION("split(B2545,""_"")"),1404.0)</f>
        <v>1404</v>
      </c>
      <c r="D2545" s="2" t="str">
        <f>IFERROR(__xludf.DUMMYFUNCTION("""COMPUTED_VALUE"""),"EX")</f>
        <v>EX</v>
      </c>
      <c r="E2545" s="2" t="str">
        <f>IFERROR(__xludf.DUMMYFUNCTION("""COMPUTED_VALUE"""),"金23")</f>
        <v>金23</v>
      </c>
      <c r="F2545" s="2" t="s">
        <v>7923</v>
      </c>
      <c r="G2545" s="2" t="s">
        <v>7933</v>
      </c>
      <c r="H2545" s="1">
        <v>4.0</v>
      </c>
      <c r="I2545" s="1" t="s">
        <v>2880</v>
      </c>
      <c r="J2545" s="1" t="s">
        <v>1435</v>
      </c>
      <c r="K2545" s="2" t="s">
        <v>7934</v>
      </c>
      <c r="L2545" s="11" t="s">
        <v>7935</v>
      </c>
      <c r="M2545" s="2" t="str">
        <f>IFERROR(__xludf.DUMMYFUNCTION("split(split(K2545,""大野智、"",false),""公式LINE"",false)"),"名前だけが記載されていない死神手帳…。  死亡予定場所に向かった死神はそこで5人の人間と遭遇する。別れる間際のカップル、病気の子供と母親、そして殺人事件の容疑者。  この中で誰が死ぬのか?エゴが渦巻く中、その中の一人がついに悪魔を呼んでしまい…。")</f>
        <v>名前だけが記載されていない死神手帳…。  死亡予定場所に向かった死神はそこで5人の人間と遭遇する。別れる間際のカップル、病気の子供と母親、そして殺人事件の容疑者。  この中で誰が死ぬのか?エゴが渦巻く中、その中の一人がついに悪魔を呼んでしまい…。</v>
      </c>
      <c r="N2545" s="2"/>
      <c r="O2545" s="2"/>
      <c r="P2545" s="1"/>
      <c r="Q2545" s="1"/>
      <c r="R2545" s="1"/>
      <c r="S2545" s="1"/>
      <c r="T2545" s="1"/>
      <c r="U2545" s="1"/>
      <c r="V2545" s="1"/>
      <c r="W2545" s="1"/>
      <c r="X2545" s="1"/>
      <c r="Y2545" s="1"/>
      <c r="Z2545" s="1"/>
      <c r="AA2545" s="1"/>
      <c r="AB2545" s="1"/>
      <c r="AC2545" s="1"/>
      <c r="AD2545" s="1"/>
      <c r="AE2545" s="1"/>
      <c r="AF2545" s="1"/>
      <c r="AG2545" s="1"/>
      <c r="AH2545" s="1"/>
      <c r="AI2545" s="1"/>
      <c r="AJ2545" s="1"/>
      <c r="AK2545" s="1"/>
      <c r="AL2545" s="1"/>
      <c r="AM2545" s="1"/>
      <c r="AN2545" s="1"/>
      <c r="AO2545" s="1"/>
      <c r="AP2545" s="1"/>
      <c r="AQ2545" s="1"/>
      <c r="AR2545" s="1"/>
      <c r="AS2545" s="1"/>
      <c r="AT2545" s="1"/>
      <c r="AU2545" s="1"/>
      <c r="AV2545" s="1"/>
      <c r="AW2545" s="1"/>
      <c r="AX2545" s="1"/>
      <c r="AY2545" s="1"/>
      <c r="AZ2545" s="1"/>
      <c r="BA2545" s="1"/>
      <c r="BB2545" s="1"/>
    </row>
    <row r="2546" ht="204.75" customHeight="1">
      <c r="A2546" s="1">
        <v>2833.0</v>
      </c>
      <c r="B2546" s="2" t="s">
        <v>7922</v>
      </c>
      <c r="C2546" s="2">
        <f>IFERROR(__xludf.DUMMYFUNCTION("split(B2546,""_"")"),1404.0)</f>
        <v>1404</v>
      </c>
      <c r="D2546" s="2" t="str">
        <f>IFERROR(__xludf.DUMMYFUNCTION("""COMPUTED_VALUE"""),"EX")</f>
        <v>EX</v>
      </c>
      <c r="E2546" s="2" t="str">
        <f>IFERROR(__xludf.DUMMYFUNCTION("""COMPUTED_VALUE"""),"金23")</f>
        <v>金23</v>
      </c>
      <c r="F2546" s="2" t="s">
        <v>7923</v>
      </c>
      <c r="G2546" s="2" t="s">
        <v>7936</v>
      </c>
      <c r="H2546" s="1">
        <v>5.0</v>
      </c>
      <c r="I2546" s="1" t="s">
        <v>2884</v>
      </c>
      <c r="J2546" s="1" t="s">
        <v>1435</v>
      </c>
      <c r="K2546" s="2" t="s">
        <v>7937</v>
      </c>
      <c r="L2546" s="11" t="s">
        <v>7938</v>
      </c>
      <c r="M2546" s="2" t="str">
        <f>IFERROR(__xludf.DUMMYFUNCTION("split(split(K2546,""大野智、"",false),""公式LINE"",false)"),"寝たきりの留吉に、死神が余命を告げに現れる。「死ぬまでにやり残したことはありますか?」という問いに夫婦は何も望まない。だが、夫婦の前に悪魔が出現!ずっと会っていない孫に、最後に会いたいと切望しはじめる留吉。その願いを叶えてあげたく、妻は悪魔の誘いに乗ってしまう!衝撃的な事実が留吉たちを襲い…!?")</f>
        <v>寝たきりの留吉に、死神が余命を告げに現れる。「死ぬまでにやり残したことはありますか?」という問いに夫婦は何も望まない。だが、夫婦の前に悪魔が出現!ずっと会っていない孫に、最後に会いたいと切望しはじめる留吉。その願いを叶えてあげたく、妻は悪魔の誘いに乗ってしまう!衝撃的な事実が留吉たちを襲い…!?</v>
      </c>
      <c r="N2546" s="2"/>
      <c r="O2546" s="2"/>
      <c r="P2546" s="1"/>
      <c r="Q2546" s="1"/>
      <c r="R2546" s="1"/>
      <c r="S2546" s="1"/>
      <c r="T2546" s="1"/>
      <c r="U2546" s="1"/>
      <c r="V2546" s="1"/>
      <c r="W2546" s="1"/>
      <c r="X2546" s="1"/>
      <c r="Y2546" s="1"/>
      <c r="Z2546" s="1"/>
      <c r="AA2546" s="1"/>
      <c r="AB2546" s="1"/>
      <c r="AC2546" s="1"/>
      <c r="AD2546" s="1"/>
      <c r="AE2546" s="1"/>
      <c r="AF2546" s="1"/>
      <c r="AG2546" s="1"/>
      <c r="AH2546" s="1"/>
      <c r="AI2546" s="1"/>
      <c r="AJ2546" s="1"/>
      <c r="AK2546" s="1"/>
      <c r="AL2546" s="1"/>
      <c r="AM2546" s="1"/>
      <c r="AN2546" s="1"/>
      <c r="AO2546" s="1"/>
      <c r="AP2546" s="1"/>
      <c r="AQ2546" s="1"/>
      <c r="AR2546" s="1"/>
      <c r="AS2546" s="1"/>
      <c r="AT2546" s="1"/>
      <c r="AU2546" s="1"/>
      <c r="AV2546" s="1"/>
      <c r="AW2546" s="1"/>
      <c r="AX2546" s="1"/>
      <c r="AY2546" s="1"/>
      <c r="AZ2546" s="1"/>
      <c r="BA2546" s="1"/>
      <c r="BB2546" s="1"/>
    </row>
    <row r="2547" ht="204.75" customHeight="1">
      <c r="A2547" s="1">
        <v>2834.0</v>
      </c>
      <c r="B2547" s="2" t="s">
        <v>7922</v>
      </c>
      <c r="C2547" s="2">
        <f>IFERROR(__xludf.DUMMYFUNCTION("split(B2547,""_"")"),1404.0)</f>
        <v>1404</v>
      </c>
      <c r="D2547" s="2" t="str">
        <f>IFERROR(__xludf.DUMMYFUNCTION("""COMPUTED_VALUE"""),"EX")</f>
        <v>EX</v>
      </c>
      <c r="E2547" s="2" t="str">
        <f>IFERROR(__xludf.DUMMYFUNCTION("""COMPUTED_VALUE"""),"金23")</f>
        <v>金23</v>
      </c>
      <c r="F2547" s="2" t="s">
        <v>7923</v>
      </c>
      <c r="G2547" s="2" t="s">
        <v>7939</v>
      </c>
      <c r="H2547" s="1">
        <v>6.0</v>
      </c>
      <c r="I2547" s="1" t="s">
        <v>2888</v>
      </c>
      <c r="J2547" s="1" t="s">
        <v>1435</v>
      </c>
      <c r="K2547" s="2" t="s">
        <v>7940</v>
      </c>
      <c r="L2547" s="11" t="s">
        <v>7941</v>
      </c>
      <c r="M2547" s="2" t="str">
        <f>IFERROR(__xludf.DUMMYFUNCTION("split(split(K2547,""大野智、"",false),""公式LINE"",false)"),"今回の死亡予定者は結婚詐欺師の男!被害者には、敏腕女性編集長の里奈もいた。監死官は、詐欺の事実を里奈に告げ、詐欺師の明とはもう関わらないよう忠告する。その矢先、明が詐欺容疑で逮捕されてしまう。里奈は、思いもかけない行動に!?そして監死官は、これまでにない行動に出るのだった…!")</f>
        <v>今回の死亡予定者は結婚詐欺師の男!被害者には、敏腕女性編集長の里奈もいた。監死官は、詐欺の事実を里奈に告げ、詐欺師の明とはもう関わらないよう忠告する。その矢先、明が詐欺容疑で逮捕されてしまう。里奈は、思いもかけない行動に!?そして監死官は、これまでにない行動に出るのだった…!</v>
      </c>
      <c r="N2547" s="2"/>
      <c r="O2547" s="2"/>
      <c r="P2547" s="1"/>
      <c r="Q2547" s="1"/>
      <c r="R2547" s="1"/>
      <c r="S2547" s="1"/>
      <c r="T2547" s="1"/>
      <c r="U2547" s="1"/>
      <c r="V2547" s="1"/>
      <c r="W2547" s="1"/>
      <c r="X2547" s="1"/>
      <c r="Y2547" s="1"/>
      <c r="Z2547" s="1"/>
      <c r="AA2547" s="1"/>
      <c r="AB2547" s="1"/>
      <c r="AC2547" s="1"/>
      <c r="AD2547" s="1"/>
      <c r="AE2547" s="1"/>
      <c r="AF2547" s="1"/>
      <c r="AG2547" s="1"/>
      <c r="AH2547" s="1"/>
      <c r="AI2547" s="1"/>
      <c r="AJ2547" s="1"/>
      <c r="AK2547" s="1"/>
      <c r="AL2547" s="1"/>
      <c r="AM2547" s="1"/>
      <c r="AN2547" s="1"/>
      <c r="AO2547" s="1"/>
      <c r="AP2547" s="1"/>
      <c r="AQ2547" s="1"/>
      <c r="AR2547" s="1"/>
      <c r="AS2547" s="1"/>
      <c r="AT2547" s="1"/>
      <c r="AU2547" s="1"/>
      <c r="AV2547" s="1"/>
      <c r="AW2547" s="1"/>
      <c r="AX2547" s="1"/>
      <c r="AY2547" s="1"/>
      <c r="AZ2547" s="1"/>
      <c r="BA2547" s="1"/>
      <c r="BB2547" s="1"/>
    </row>
    <row r="2548" ht="204.75" customHeight="1">
      <c r="A2548" s="1">
        <v>2835.0</v>
      </c>
      <c r="B2548" s="2" t="s">
        <v>7922</v>
      </c>
      <c r="C2548" s="2">
        <f>IFERROR(__xludf.DUMMYFUNCTION("split(B2548,""_"")"),1404.0)</f>
        <v>1404</v>
      </c>
      <c r="D2548" s="2" t="str">
        <f>IFERROR(__xludf.DUMMYFUNCTION("""COMPUTED_VALUE"""),"EX")</f>
        <v>EX</v>
      </c>
      <c r="E2548" s="2" t="str">
        <f>IFERROR(__xludf.DUMMYFUNCTION("""COMPUTED_VALUE"""),"金23")</f>
        <v>金23</v>
      </c>
      <c r="F2548" s="2" t="s">
        <v>7923</v>
      </c>
      <c r="G2548" s="2" t="s">
        <v>7942</v>
      </c>
      <c r="H2548" s="1">
        <v>7.0</v>
      </c>
      <c r="I2548" s="1" t="s">
        <v>2892</v>
      </c>
      <c r="J2548" s="1" t="s">
        <v>1435</v>
      </c>
      <c r="K2548" s="2" t="s">
        <v>7943</v>
      </c>
      <c r="L2548" s="11" t="s">
        <v>7944</v>
      </c>
      <c r="M2548" s="2" t="str">
        <f>IFERROR(__xludf.DUMMYFUNCTION("split(split(K2548,""大野智、"",false),""公式LINE"",false)"),"人気の下落に悩む歌手のゆかりは悪魔(菅田将暉)の力を借りてライバルであるAMIを蹴落とし、再復活しようと目論む。死神(大野智)と監死官(桐谷美玲)は、即刻悪魔とは手を切るよう忠告するが、憎しみの心を燃やすゆかりに、なす術がない。ゆかりの願いは「AMIをこの世から消して」という最悪のものだった。死神はなんとか事態を食い止めようとするがー。")</f>
        <v>人気の下落に悩む歌手のゆかりは悪魔(菅田将暉)の力を借りてライバルであるAMIを蹴落とし、再復活しようと目論む。死神(大野智)と監死官(桐谷美玲)は、即刻悪魔とは手を切るよう忠告するが、憎しみの心を燃やすゆかりに、なす術がない。ゆかりの願いは「AMIをこの世から消して」という最悪のものだった。死神はなんとか事態を食い止めようとするがー。</v>
      </c>
      <c r="N2548" s="2"/>
      <c r="O2548" s="2"/>
      <c r="P2548" s="1"/>
      <c r="Q2548" s="1"/>
      <c r="R2548" s="1"/>
      <c r="S2548" s="1"/>
      <c r="T2548" s="1"/>
      <c r="U2548" s="1"/>
      <c r="V2548" s="1"/>
      <c r="W2548" s="1"/>
      <c r="X2548" s="1"/>
      <c r="Y2548" s="1"/>
      <c r="Z2548" s="1"/>
      <c r="AA2548" s="1"/>
      <c r="AB2548" s="1"/>
      <c r="AC2548" s="1"/>
      <c r="AD2548" s="1"/>
      <c r="AE2548" s="1"/>
      <c r="AF2548" s="1"/>
      <c r="AG2548" s="1"/>
      <c r="AH2548" s="1"/>
      <c r="AI2548" s="1"/>
      <c r="AJ2548" s="1"/>
      <c r="AK2548" s="1"/>
      <c r="AL2548" s="1"/>
      <c r="AM2548" s="1"/>
      <c r="AN2548" s="1"/>
      <c r="AO2548" s="1"/>
      <c r="AP2548" s="1"/>
      <c r="AQ2548" s="1"/>
      <c r="AR2548" s="1"/>
      <c r="AS2548" s="1"/>
      <c r="AT2548" s="1"/>
      <c r="AU2548" s="1"/>
      <c r="AV2548" s="1"/>
      <c r="AW2548" s="1"/>
      <c r="AX2548" s="1"/>
      <c r="AY2548" s="1"/>
      <c r="AZ2548" s="1"/>
      <c r="BA2548" s="1"/>
      <c r="BB2548" s="1"/>
    </row>
    <row r="2549" ht="204.75" customHeight="1">
      <c r="A2549" s="1">
        <v>2836.0</v>
      </c>
      <c r="B2549" s="2" t="s">
        <v>7922</v>
      </c>
      <c r="C2549" s="2">
        <f>IFERROR(__xludf.DUMMYFUNCTION("split(B2549,""_"")"),1404.0)</f>
        <v>1404</v>
      </c>
      <c r="D2549" s="2" t="str">
        <f>IFERROR(__xludf.DUMMYFUNCTION("""COMPUTED_VALUE"""),"EX")</f>
        <v>EX</v>
      </c>
      <c r="E2549" s="2" t="str">
        <f>IFERROR(__xludf.DUMMYFUNCTION("""COMPUTED_VALUE"""),"金23")</f>
        <v>金23</v>
      </c>
      <c r="F2549" s="2" t="s">
        <v>7923</v>
      </c>
      <c r="G2549" s="2" t="s">
        <v>7945</v>
      </c>
      <c r="H2549" s="1">
        <v>8.0</v>
      </c>
      <c r="I2549" s="1" t="s">
        <v>2896</v>
      </c>
      <c r="J2549" s="1" t="s">
        <v>1435</v>
      </c>
      <c r="K2549" s="2" t="s">
        <v>7946</v>
      </c>
      <c r="L2549" s="11" t="s">
        <v>7947</v>
      </c>
      <c r="M2549" s="2" t="str">
        <f>IFERROR(__xludf.DUMMYFUNCTION("split(split(K2549,""大野智、"",false),""公式LINE"",false)"),"会社経営に行き詰まった克也が、妻の美恵と息子の翔太を道連れに一家心中を図ろうとするが、最悪の事態は回避するのだった。だが死亡者リストにはすでに克也の名前が…。美恵は色々うまくいかず、好き嫌いも直らない翔太の存在にも頭を悩ませていた。自分が母親を悩ませている…、と落ち込む翔太の前に悪魔が現れる。翔太が告げた願いは「友達になってよ」だった…。そして翔太は、まさかの二つ目の願い事をしてしまい…!?")</f>
        <v>会社経営に行き詰まった克也が、妻の美恵と息子の翔太を道連れに一家心中を図ろうとするが、最悪の事態は回避するのだった。だが死亡者リストにはすでに克也の名前が…。美恵は色々うまくいかず、好き嫌いも直らない翔太の存在にも頭を悩ませていた。自分が母親を悩ませている…、と落ち込む翔太の前に悪魔が現れる。翔太が告げた願いは「友達になってよ」だった…。そして翔太は、まさかの二つ目の願い事をしてしまい…!?</v>
      </c>
      <c r="N2549" s="2"/>
      <c r="O2549" s="2"/>
      <c r="P2549" s="1"/>
      <c r="Q2549" s="1"/>
      <c r="R2549" s="1"/>
      <c r="S2549" s="1"/>
      <c r="T2549" s="1"/>
      <c r="U2549" s="1"/>
      <c r="V2549" s="1"/>
      <c r="W2549" s="1"/>
      <c r="X2549" s="1"/>
      <c r="Y2549" s="1"/>
      <c r="Z2549" s="1"/>
      <c r="AA2549" s="1"/>
      <c r="AB2549" s="1"/>
      <c r="AC2549" s="1"/>
      <c r="AD2549" s="1"/>
      <c r="AE2549" s="1"/>
      <c r="AF2549" s="1"/>
      <c r="AG2549" s="1"/>
      <c r="AH2549" s="1"/>
      <c r="AI2549" s="1"/>
      <c r="AJ2549" s="1"/>
      <c r="AK2549" s="1"/>
      <c r="AL2549" s="1"/>
      <c r="AM2549" s="1"/>
      <c r="AN2549" s="1"/>
      <c r="AO2549" s="1"/>
      <c r="AP2549" s="1"/>
      <c r="AQ2549" s="1"/>
      <c r="AR2549" s="1"/>
      <c r="AS2549" s="1"/>
      <c r="AT2549" s="1"/>
      <c r="AU2549" s="1"/>
      <c r="AV2549" s="1"/>
      <c r="AW2549" s="1"/>
      <c r="AX2549" s="1"/>
      <c r="AY2549" s="1"/>
      <c r="AZ2549" s="1"/>
      <c r="BA2549" s="1"/>
      <c r="BB2549" s="1"/>
    </row>
    <row r="2550" ht="204.75" customHeight="1">
      <c r="A2550" s="1">
        <v>2837.0</v>
      </c>
      <c r="B2550" s="2" t="s">
        <v>7922</v>
      </c>
      <c r="C2550" s="2">
        <f>IFERROR(__xludf.DUMMYFUNCTION("split(B2550,""_"")"),1404.0)</f>
        <v>1404</v>
      </c>
      <c r="D2550" s="2" t="str">
        <f>IFERROR(__xludf.DUMMYFUNCTION("""COMPUTED_VALUE"""),"EX")</f>
        <v>EX</v>
      </c>
      <c r="E2550" s="2" t="str">
        <f>IFERROR(__xludf.DUMMYFUNCTION("""COMPUTED_VALUE"""),"金23")</f>
        <v>金23</v>
      </c>
      <c r="F2550" s="2" t="s">
        <v>7923</v>
      </c>
      <c r="G2550" s="2" t="s">
        <v>7948</v>
      </c>
      <c r="H2550" s="1">
        <v>9.0</v>
      </c>
      <c r="I2550" s="1" t="s">
        <v>2900</v>
      </c>
      <c r="J2550" s="1" t="s">
        <v>1435</v>
      </c>
      <c r="K2550" s="2" t="s">
        <v>7949</v>
      </c>
      <c r="L2550" s="11" t="s">
        <v>7950</v>
      </c>
      <c r="M2550" s="2" t="str">
        <f>IFERROR(__xludf.DUMMYFUNCTION("split(split(K2550,""大野智、"",false),""公式LINE"",false)"),"「僕の最後はそばにいて」  復讐のために大量殺人を企てる男が悪魔(菅田将暉)と契約を結んだ!犯人は人質1200人を監禁し、爆弾を会社に仕掛けていた!止めることができなければ、死神と監死官(桐谷美玲)の消滅は確実…。悪魔に犯人の魂を奪わせることも阻止したい。死神と監死官はビルの中の人々を避難させ、なんとか事態を回避しようとする。死神の必死の言葉は届くのか!? そして死神と監視官は消滅してしまうのか!?")</f>
        <v>「僕の最後はそばにいて」  復讐のために大量殺人を企てる男が悪魔(菅田将暉)と契約を結んだ!犯人は人質1200人を監禁し、爆弾を会社に仕掛けていた!止めることができなければ、死神と監死官(桐谷美玲)の消滅は確実…。悪魔に犯人の魂を奪わせることも阻止したい。死神と監死官はビルの中の人々を避難させ、なんとか事態を回避しようとする。死神の必死の言葉は届くのか!? そして死神と監視官は消滅してしまうのか!?</v>
      </c>
      <c r="N2550" s="2"/>
      <c r="O2550" s="2"/>
      <c r="P2550" s="1"/>
      <c r="Q2550" s="1"/>
      <c r="R2550" s="1"/>
      <c r="S2550" s="1"/>
      <c r="T2550" s="1"/>
      <c r="U2550" s="1"/>
      <c r="V2550" s="1"/>
      <c r="W2550" s="1"/>
      <c r="X2550" s="1"/>
      <c r="Y2550" s="1"/>
      <c r="Z2550" s="1"/>
      <c r="AA2550" s="1"/>
      <c r="AB2550" s="1"/>
      <c r="AC2550" s="1"/>
      <c r="AD2550" s="1"/>
      <c r="AE2550" s="1"/>
      <c r="AF2550" s="1"/>
      <c r="AG2550" s="1"/>
      <c r="AH2550" s="1"/>
      <c r="AI2550" s="1"/>
      <c r="AJ2550" s="1"/>
      <c r="AK2550" s="1"/>
      <c r="AL2550" s="1"/>
      <c r="AM2550" s="1"/>
      <c r="AN2550" s="1"/>
      <c r="AO2550" s="1"/>
      <c r="AP2550" s="1"/>
      <c r="AQ2550" s="1"/>
      <c r="AR2550" s="1"/>
      <c r="AS2550" s="1"/>
      <c r="AT2550" s="1"/>
      <c r="AU2550" s="1"/>
      <c r="AV2550" s="1"/>
      <c r="AW2550" s="1"/>
      <c r="AX2550" s="1"/>
      <c r="AY2550" s="1"/>
      <c r="AZ2550" s="1"/>
      <c r="BA2550" s="1"/>
      <c r="BB2550" s="1"/>
    </row>
    <row r="2551" ht="204.75" customHeight="1">
      <c r="A2551" s="1">
        <v>2943.0</v>
      </c>
      <c r="B2551" s="2" t="s">
        <v>7951</v>
      </c>
      <c r="C2551" s="2">
        <f>IFERROR(__xludf.DUMMYFUNCTION("split(B2551,""_"")"),1401.0)</f>
        <v>1401</v>
      </c>
      <c r="D2551" s="2" t="str">
        <f>IFERROR(__xludf.DUMMYFUNCTION("""COMPUTED_VALUE"""),"EX")</f>
        <v>EX</v>
      </c>
      <c r="E2551" s="2" t="str">
        <f>IFERROR(__xludf.DUMMYFUNCTION("""COMPUTED_VALUE"""),"木21")</f>
        <v>木21</v>
      </c>
      <c r="F2551" s="2" t="s">
        <v>6647</v>
      </c>
      <c r="G2551" s="2" t="s">
        <v>6648</v>
      </c>
      <c r="H2551" s="1">
        <v>1.0</v>
      </c>
      <c r="I2551" s="1" t="s">
        <v>2868</v>
      </c>
      <c r="J2551" s="1" t="s">
        <v>4</v>
      </c>
      <c r="K2551" s="2" t="s">
        <v>7952</v>
      </c>
      <c r="L2551" s="2" t="s">
        <v>7953</v>
      </c>
      <c r="M2551" s="2" t="str">
        <f>IFERROR(__xludf.DUMMYFUNCTION("split(split(K2551,""…"",false),""公式LINE"",false)"),"“名前のない男”  交番爆破事件の被疑者を任意同行した直後、真犯人と名乗る男(高嶋政伸)が現れた!  有希子(天海祐希)ら緊急事案対応取調班は、男の取り調べを開始。  だが、身元を明かさない男に、有希子らは手を焼き")</f>
        <v>“名前のない男”  交番爆破事件の被疑者を任意同行した直後、真犯人と名乗る男(高嶋政伸)が現れた!  有希子(天海祐希)ら緊急事案対応取調班は、男の取り調べを開始。  だが、身元を明かさない男に、有希子らは手を焼き</v>
      </c>
      <c r="N2551" s="2"/>
      <c r="O2551" s="2"/>
      <c r="P2551" s="1"/>
      <c r="Q2551" s="1"/>
      <c r="R2551" s="1"/>
      <c r="S2551" s="1"/>
      <c r="T2551" s="1"/>
      <c r="U2551" s="1"/>
      <c r="V2551" s="1"/>
      <c r="W2551" s="1"/>
      <c r="X2551" s="1"/>
      <c r="Y2551" s="1"/>
      <c r="Z2551" s="1"/>
      <c r="AA2551" s="1"/>
      <c r="AB2551" s="1"/>
      <c r="AC2551" s="1"/>
      <c r="AD2551" s="1"/>
      <c r="AE2551" s="1"/>
      <c r="AF2551" s="1"/>
      <c r="AG2551" s="1"/>
      <c r="AH2551" s="1"/>
      <c r="AI2551" s="1"/>
      <c r="AJ2551" s="1"/>
      <c r="AK2551" s="1"/>
      <c r="AL2551" s="1"/>
      <c r="AM2551" s="1"/>
      <c r="AN2551" s="1"/>
      <c r="AO2551" s="1"/>
      <c r="AP2551" s="1"/>
      <c r="AQ2551" s="1"/>
      <c r="AR2551" s="1"/>
      <c r="AS2551" s="1"/>
      <c r="AT2551" s="1"/>
      <c r="AU2551" s="1"/>
      <c r="AV2551" s="1"/>
      <c r="AW2551" s="1"/>
      <c r="AX2551" s="1"/>
      <c r="AY2551" s="1"/>
      <c r="AZ2551" s="1"/>
      <c r="BA2551" s="1"/>
      <c r="BB2551" s="1"/>
    </row>
    <row r="2552" ht="204.75" customHeight="1">
      <c r="A2552" s="1">
        <v>2944.0</v>
      </c>
      <c r="B2552" s="2" t="s">
        <v>7951</v>
      </c>
      <c r="C2552" s="2">
        <f>IFERROR(__xludf.DUMMYFUNCTION("split(B2552,""_"")"),1401.0)</f>
        <v>1401</v>
      </c>
      <c r="D2552" s="2" t="str">
        <f>IFERROR(__xludf.DUMMYFUNCTION("""COMPUTED_VALUE"""),"EX")</f>
        <v>EX</v>
      </c>
      <c r="E2552" s="2" t="str">
        <f>IFERROR(__xludf.DUMMYFUNCTION("""COMPUTED_VALUE"""),"木21")</f>
        <v>木21</v>
      </c>
      <c r="F2552" s="2" t="s">
        <v>6647</v>
      </c>
      <c r="G2552" s="2" t="s">
        <v>6651</v>
      </c>
      <c r="H2552" s="1">
        <v>2.0</v>
      </c>
      <c r="I2552" s="1" t="s">
        <v>2872</v>
      </c>
      <c r="J2552" s="1" t="s">
        <v>11</v>
      </c>
      <c r="K2552" s="2" t="s">
        <v>7954</v>
      </c>
      <c r="L2552" s="10" t="s">
        <v>2775</v>
      </c>
      <c r="M2552" s="2" t="str">
        <f>IFERROR(__xludf.DUMMYFUNCTION("split(split(K2552,""…"",false),""公式LINE"",false)"),"天海祐希、田中哲司、速水もこみち、鈴木浩介、篠井英介、草刈正雄、でんでん、大杉漣、小日向文世 ほか    【ゲスト】  林家正蔵井上由美子本橋圭太(アズバーズ)JUJU『Door』(Sony Music Associated Records)【ゼネラルプロデューサー】黒田徹也(テレビ朝日)  【プロデューサー】三輪祐見子(テレビ朝日)、浦井孝行(国際放映)、櫻井美恵子(国際放映)☆番組HP  　http://www.tv-asahi.co.jp/kintori/")</f>
        <v>天海祐希、田中哲司、速水もこみち、鈴木浩介、篠井英介、草刈正雄、でんでん、大杉漣、小日向文世 ほか    【ゲスト】  林家正蔵井上由美子本橋圭太(アズバーズ)JUJU『Door』(Sony Music Associated Records)【ゼネラルプロデューサー】黒田徹也(テレビ朝日)  【プロデューサー】三輪祐見子(テレビ朝日)、浦井孝行(国際放映)、櫻井美恵子(国際放映)☆番組HP  　http://www.tv-asahi.co.jp/kintori/</v>
      </c>
      <c r="N2552" s="2"/>
      <c r="O2552" s="2"/>
      <c r="P2552" s="1"/>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1"/>
      <c r="AN2552" s="1"/>
      <c r="AO2552" s="1"/>
      <c r="AP2552" s="1"/>
      <c r="AQ2552" s="1"/>
      <c r="AR2552" s="1"/>
      <c r="AS2552" s="1"/>
      <c r="AT2552" s="1"/>
      <c r="AU2552" s="1"/>
      <c r="AV2552" s="1"/>
      <c r="AW2552" s="1"/>
      <c r="AX2552" s="1"/>
      <c r="AY2552" s="1"/>
      <c r="AZ2552" s="1"/>
      <c r="BA2552" s="1"/>
      <c r="BB2552" s="1"/>
    </row>
    <row r="2553" ht="204.75" customHeight="1">
      <c r="A2553" s="1">
        <v>2945.0</v>
      </c>
      <c r="B2553" s="2" t="s">
        <v>7951</v>
      </c>
      <c r="C2553" s="2">
        <f>IFERROR(__xludf.DUMMYFUNCTION("split(B2553,""_"")"),1401.0)</f>
        <v>1401</v>
      </c>
      <c r="D2553" s="2" t="str">
        <f>IFERROR(__xludf.DUMMYFUNCTION("""COMPUTED_VALUE"""),"EX")</f>
        <v>EX</v>
      </c>
      <c r="E2553" s="2" t="str">
        <f>IFERROR(__xludf.DUMMYFUNCTION("""COMPUTED_VALUE"""),"木21")</f>
        <v>木21</v>
      </c>
      <c r="F2553" s="2" t="s">
        <v>6647</v>
      </c>
      <c r="G2553" s="2" t="s">
        <v>6654</v>
      </c>
      <c r="H2553" s="1">
        <v>3.0</v>
      </c>
      <c r="I2553" s="1" t="s">
        <v>2876</v>
      </c>
      <c r="J2553" s="1" t="s">
        <v>11</v>
      </c>
      <c r="K2553" s="2" t="s">
        <v>7955</v>
      </c>
      <c r="L2553" s="10" t="s">
        <v>2775</v>
      </c>
      <c r="M2553" s="2" t="str">
        <f>IFERROR(__xludf.DUMMYFUNCTION("split(split(K2553,""…"",false),""公式LINE"",false)"),"天海祐希、田中哲司、速水もこみち、鈴木浩介、篠井英介、草刈正雄、でんでん、大杉漣、小日向文世 ほか    【ゲスト】  安達祐実井上由美子常廣丈太(テレビ朝日)JUJU『Door』(Sony Music Associated Records)【ゼネラルプロデューサー】黒田徹也(テレビ朝日)  【プロデューサー】三輪祐見子(テレビ朝日)、浦井孝行(国際放映)、櫻井美恵子(国際放映)☆番組HP  　http://www.tv-asahi.co.jp/kintori/")</f>
        <v>天海祐希、田中哲司、速水もこみち、鈴木浩介、篠井英介、草刈正雄、でんでん、大杉漣、小日向文世 ほか    【ゲスト】  安達祐実井上由美子常廣丈太(テレビ朝日)JUJU『Door』(Sony Music Associated Records)【ゼネラルプロデューサー】黒田徹也(テレビ朝日)  【プロデューサー】三輪祐見子(テレビ朝日)、浦井孝行(国際放映)、櫻井美恵子(国際放映)☆番組HP  　http://www.tv-asahi.co.jp/kintori/</v>
      </c>
      <c r="N2553" s="2"/>
      <c r="O2553" s="2"/>
      <c r="P2553" s="1"/>
      <c r="Q2553" s="1"/>
      <c r="R2553" s="1"/>
      <c r="S2553" s="1"/>
      <c r="T2553" s="1"/>
      <c r="U2553" s="1"/>
      <c r="V2553" s="1"/>
      <c r="W2553" s="1"/>
      <c r="X2553" s="1"/>
      <c r="Y2553" s="1"/>
      <c r="Z2553" s="1"/>
      <c r="AA2553" s="1"/>
      <c r="AB2553" s="1"/>
      <c r="AC2553" s="1"/>
      <c r="AD2553" s="1"/>
      <c r="AE2553" s="1"/>
      <c r="AF2553" s="1"/>
      <c r="AG2553" s="1"/>
      <c r="AH2553" s="1"/>
      <c r="AI2553" s="1"/>
      <c r="AJ2553" s="1"/>
      <c r="AK2553" s="1"/>
      <c r="AL2553" s="1"/>
      <c r="AM2553" s="1"/>
      <c r="AN2553" s="1"/>
      <c r="AO2553" s="1"/>
      <c r="AP2553" s="1"/>
      <c r="AQ2553" s="1"/>
      <c r="AR2553" s="1"/>
      <c r="AS2553" s="1"/>
      <c r="AT2553" s="1"/>
      <c r="AU2553" s="1"/>
      <c r="AV2553" s="1"/>
      <c r="AW2553" s="1"/>
      <c r="AX2553" s="1"/>
      <c r="AY2553" s="1"/>
      <c r="AZ2553" s="1"/>
      <c r="BA2553" s="1"/>
      <c r="BB2553" s="1"/>
    </row>
    <row r="2554" ht="204.75" customHeight="1">
      <c r="A2554" s="1">
        <v>2946.0</v>
      </c>
      <c r="B2554" s="2" t="s">
        <v>7951</v>
      </c>
      <c r="C2554" s="2">
        <f>IFERROR(__xludf.DUMMYFUNCTION("split(B2554,""_"")"),1401.0)</f>
        <v>1401</v>
      </c>
      <c r="D2554" s="2" t="str">
        <f>IFERROR(__xludf.DUMMYFUNCTION("""COMPUTED_VALUE"""),"EX")</f>
        <v>EX</v>
      </c>
      <c r="E2554" s="2" t="str">
        <f>IFERROR(__xludf.DUMMYFUNCTION("""COMPUTED_VALUE"""),"木21")</f>
        <v>木21</v>
      </c>
      <c r="F2554" s="2" t="s">
        <v>6647</v>
      </c>
      <c r="G2554" s="2" t="s">
        <v>6657</v>
      </c>
      <c r="H2554" s="1">
        <v>4.0</v>
      </c>
      <c r="I2554" s="1" t="s">
        <v>2880</v>
      </c>
      <c r="J2554" s="1" t="s">
        <v>11</v>
      </c>
      <c r="K2554" s="2" t="s">
        <v>7956</v>
      </c>
      <c r="L2554" s="10" t="s">
        <v>2775</v>
      </c>
      <c r="M2554" s="2" t="str">
        <f>IFERROR(__xludf.DUMMYFUNCTION("split(split(K2554,""…"",false),""公式LINE"",false)"),"天海祐希、田中哲司、速水もこみち、鈴木浩介、篠井英介、草刈正雄、でんでん、大杉漣、小日向文世 ほか    【ゲスト】  神保悟志、泉谷しげる井上由美子本橋圭太(アズバーズ)JUJU『Door』(Sony Music Associated Records)【ゼネラルプロデューサー】黒田徹也(テレビ朝日)  【プロデューサー】三輪祐見子(テレビ朝日)、浦井孝行(国際放映)、櫻井美恵子(国際放映)☆番組HP  　http://www.tv-asahi.co.jp/kintori/")</f>
        <v>天海祐希、田中哲司、速水もこみち、鈴木浩介、篠井英介、草刈正雄、でんでん、大杉漣、小日向文世 ほか    【ゲスト】  神保悟志、泉谷しげる井上由美子本橋圭太(アズバーズ)JUJU『Door』(Sony Music Associated Records)【ゼネラルプロデューサー】黒田徹也(テレビ朝日)  【プロデューサー】三輪祐見子(テレビ朝日)、浦井孝行(国際放映)、櫻井美恵子(国際放映)☆番組HP  　http://www.tv-asahi.co.jp/kintori/</v>
      </c>
      <c r="N2554" s="2"/>
      <c r="O2554" s="2"/>
      <c r="P2554" s="1"/>
      <c r="Q2554" s="1"/>
      <c r="R2554" s="1"/>
      <c r="S2554" s="1"/>
      <c r="T2554" s="1"/>
      <c r="U2554" s="1"/>
      <c r="V2554" s="1"/>
      <c r="W2554" s="1"/>
      <c r="X2554" s="1"/>
      <c r="Y2554" s="1"/>
      <c r="Z2554" s="1"/>
      <c r="AA2554" s="1"/>
      <c r="AB2554" s="1"/>
      <c r="AC2554" s="1"/>
      <c r="AD2554" s="1"/>
      <c r="AE2554" s="1"/>
      <c r="AF2554" s="1"/>
      <c r="AG2554" s="1"/>
      <c r="AH2554" s="1"/>
      <c r="AI2554" s="1"/>
      <c r="AJ2554" s="1"/>
      <c r="AK2554" s="1"/>
      <c r="AL2554" s="1"/>
      <c r="AM2554" s="1"/>
      <c r="AN2554" s="1"/>
      <c r="AO2554" s="1"/>
      <c r="AP2554" s="1"/>
      <c r="AQ2554" s="1"/>
      <c r="AR2554" s="1"/>
      <c r="AS2554" s="1"/>
      <c r="AT2554" s="1"/>
      <c r="AU2554" s="1"/>
      <c r="AV2554" s="1"/>
      <c r="AW2554" s="1"/>
      <c r="AX2554" s="1"/>
      <c r="AY2554" s="1"/>
      <c r="AZ2554" s="1"/>
      <c r="BA2554" s="1"/>
      <c r="BB2554" s="1"/>
    </row>
    <row r="2555" ht="204.75" customHeight="1">
      <c r="A2555" s="1">
        <v>2947.0</v>
      </c>
      <c r="B2555" s="2" t="s">
        <v>7951</v>
      </c>
      <c r="C2555" s="2">
        <f>IFERROR(__xludf.DUMMYFUNCTION("split(B2555,""_"")"),1401.0)</f>
        <v>1401</v>
      </c>
      <c r="D2555" s="2" t="str">
        <f>IFERROR(__xludf.DUMMYFUNCTION("""COMPUTED_VALUE"""),"EX")</f>
        <v>EX</v>
      </c>
      <c r="E2555" s="2" t="str">
        <f>IFERROR(__xludf.DUMMYFUNCTION("""COMPUTED_VALUE"""),"木21")</f>
        <v>木21</v>
      </c>
      <c r="F2555" s="2" t="s">
        <v>6647</v>
      </c>
      <c r="G2555" s="2" t="s">
        <v>6660</v>
      </c>
      <c r="H2555" s="1">
        <v>5.0</v>
      </c>
      <c r="I2555" s="1" t="s">
        <v>2884</v>
      </c>
      <c r="J2555" s="1" t="s">
        <v>11</v>
      </c>
      <c r="K2555" s="2" t="s">
        <v>7957</v>
      </c>
      <c r="L2555" s="10" t="s">
        <v>2775</v>
      </c>
      <c r="M2555" s="2" t="str">
        <f>IFERROR(__xludf.DUMMYFUNCTION("split(split(K2555,""…"",false),""公式LINE"",false)"),"天海祐希、田中哲司、速水もこみち、鈴木浩介、篠井英介、草刈正雄、でんでん、大杉漣、小日向文世 ほか    【ゲスト】  根岸季衣、茅島成美、西尾まり、正名僕蔵井上由美子常廣丈太(テレビ朝日)JUJU『Door』(Sony Music Associated Records)【ゼネラルプロデューサー】黒田徹也(テレビ朝日)  【プロデューサー】三輪祐見子(テレビ朝日)、浦井孝行(国際放映)、櫻井美恵子(国際放映)☆番組HP  　http://www.tv-asahi.co.jp/kintori/")</f>
        <v>天海祐希、田中哲司、速水もこみち、鈴木浩介、篠井英介、草刈正雄、でんでん、大杉漣、小日向文世 ほか    【ゲスト】  根岸季衣、茅島成美、西尾まり、正名僕蔵井上由美子常廣丈太(テレビ朝日)JUJU『Door』(Sony Music Associated Records)【ゼネラルプロデューサー】黒田徹也(テレビ朝日)  【プロデューサー】三輪祐見子(テレビ朝日)、浦井孝行(国際放映)、櫻井美恵子(国際放映)☆番組HP  　http://www.tv-asahi.co.jp/kintori/</v>
      </c>
      <c r="N2555" s="2"/>
      <c r="O2555" s="2"/>
      <c r="P2555" s="1"/>
      <c r="Q2555" s="1"/>
      <c r="R2555" s="1"/>
      <c r="S2555" s="1"/>
      <c r="T2555" s="1"/>
      <c r="U2555" s="1"/>
      <c r="V2555" s="1"/>
      <c r="W2555" s="1"/>
      <c r="X2555" s="1"/>
      <c r="Y2555" s="1"/>
      <c r="Z2555" s="1"/>
      <c r="AA2555" s="1"/>
      <c r="AB2555" s="1"/>
      <c r="AC2555" s="1"/>
      <c r="AD2555" s="1"/>
      <c r="AE2555" s="1"/>
      <c r="AF2555" s="1"/>
      <c r="AG2555" s="1"/>
      <c r="AH2555" s="1"/>
      <c r="AI2555" s="1"/>
      <c r="AJ2555" s="1"/>
      <c r="AK2555" s="1"/>
      <c r="AL2555" s="1"/>
      <c r="AM2555" s="1"/>
      <c r="AN2555" s="1"/>
      <c r="AO2555" s="1"/>
      <c r="AP2555" s="1"/>
      <c r="AQ2555" s="1"/>
      <c r="AR2555" s="1"/>
      <c r="AS2555" s="1"/>
      <c r="AT2555" s="1"/>
      <c r="AU2555" s="1"/>
      <c r="AV2555" s="1"/>
      <c r="AW2555" s="1"/>
      <c r="AX2555" s="1"/>
      <c r="AY2555" s="1"/>
      <c r="AZ2555" s="1"/>
      <c r="BA2555" s="1"/>
      <c r="BB2555" s="1"/>
    </row>
    <row r="2556" ht="204.75" customHeight="1">
      <c r="A2556" s="1">
        <v>2948.0</v>
      </c>
      <c r="B2556" s="2" t="s">
        <v>7951</v>
      </c>
      <c r="C2556" s="2">
        <f>IFERROR(__xludf.DUMMYFUNCTION("split(B2556,""_"")"),1401.0)</f>
        <v>1401</v>
      </c>
      <c r="D2556" s="2" t="str">
        <f>IFERROR(__xludf.DUMMYFUNCTION("""COMPUTED_VALUE"""),"EX")</f>
        <v>EX</v>
      </c>
      <c r="E2556" s="2" t="str">
        <f>IFERROR(__xludf.DUMMYFUNCTION("""COMPUTED_VALUE"""),"木21")</f>
        <v>木21</v>
      </c>
      <c r="F2556" s="2" t="s">
        <v>6647</v>
      </c>
      <c r="G2556" s="2" t="s">
        <v>6663</v>
      </c>
      <c r="H2556" s="1">
        <v>6.0</v>
      </c>
      <c r="I2556" s="1" t="s">
        <v>2888</v>
      </c>
      <c r="J2556" s="1" t="s">
        <v>11</v>
      </c>
      <c r="K2556" s="2" t="s">
        <v>7958</v>
      </c>
      <c r="L2556" s="10" t="s">
        <v>2775</v>
      </c>
      <c r="M2556" s="2" t="str">
        <f>IFERROR(__xludf.DUMMYFUNCTION("split(split(K2556,""…"",false),""公式LINE"",false)"),"天海祐希、田中哲司、速水もこみち、鈴木浩介、篠井英介、草刈正雄、でんでん、大杉漣、小日向文世 ほか    【ゲスト】  満島真之介井上由美子本橋圭太(アズバーズ)JUJU『Door』(Sony Music Associated Records)【ゼネラルプロデューサー】黒田徹也(テレビ朝日)  【プロデューサー】三輪祐見子(テレビ朝日)、浦井孝行(国際放映)、櫻井美恵子(国際放映)☆番組HP  　http://www.tv-asahi.co.jp/kintori/")</f>
        <v>天海祐希、田中哲司、速水もこみち、鈴木浩介、篠井英介、草刈正雄、でんでん、大杉漣、小日向文世 ほか    【ゲスト】  満島真之介井上由美子本橋圭太(アズバーズ)JUJU『Door』(Sony Music Associated Records)【ゼネラルプロデューサー】黒田徹也(テレビ朝日)  【プロデューサー】三輪祐見子(テレビ朝日)、浦井孝行(国際放映)、櫻井美恵子(国際放映)☆番組HP  　http://www.tv-asahi.co.jp/kintori/</v>
      </c>
      <c r="N2556" s="2"/>
      <c r="O2556" s="2"/>
      <c r="P2556" s="1"/>
      <c r="Q2556" s="1"/>
      <c r="R2556" s="1"/>
      <c r="S2556" s="1"/>
      <c r="T2556" s="1"/>
      <c r="U2556" s="1"/>
      <c r="V2556" s="1"/>
      <c r="W2556" s="1"/>
      <c r="X2556" s="1"/>
      <c r="Y2556" s="1"/>
      <c r="Z2556" s="1"/>
      <c r="AA2556" s="1"/>
      <c r="AB2556" s="1"/>
      <c r="AC2556" s="1"/>
      <c r="AD2556" s="1"/>
      <c r="AE2556" s="1"/>
      <c r="AF2556" s="1"/>
      <c r="AG2556" s="1"/>
      <c r="AH2556" s="1"/>
      <c r="AI2556" s="1"/>
      <c r="AJ2556" s="1"/>
      <c r="AK2556" s="1"/>
      <c r="AL2556" s="1"/>
      <c r="AM2556" s="1"/>
      <c r="AN2556" s="1"/>
      <c r="AO2556" s="1"/>
      <c r="AP2556" s="1"/>
      <c r="AQ2556" s="1"/>
      <c r="AR2556" s="1"/>
      <c r="AS2556" s="1"/>
      <c r="AT2556" s="1"/>
      <c r="AU2556" s="1"/>
      <c r="AV2556" s="1"/>
      <c r="AW2556" s="1"/>
      <c r="AX2556" s="1"/>
      <c r="AY2556" s="1"/>
      <c r="AZ2556" s="1"/>
      <c r="BA2556" s="1"/>
      <c r="BB2556" s="1"/>
    </row>
    <row r="2557" ht="204.75" customHeight="1">
      <c r="A2557" s="1">
        <v>2949.0</v>
      </c>
      <c r="B2557" s="2" t="s">
        <v>7951</v>
      </c>
      <c r="C2557" s="2">
        <f>IFERROR(__xludf.DUMMYFUNCTION("split(B2557,""_"")"),1401.0)</f>
        <v>1401</v>
      </c>
      <c r="D2557" s="2" t="str">
        <f>IFERROR(__xludf.DUMMYFUNCTION("""COMPUTED_VALUE"""),"EX")</f>
        <v>EX</v>
      </c>
      <c r="E2557" s="2" t="str">
        <f>IFERROR(__xludf.DUMMYFUNCTION("""COMPUTED_VALUE"""),"木21")</f>
        <v>木21</v>
      </c>
      <c r="F2557" s="2" t="s">
        <v>6647</v>
      </c>
      <c r="G2557" s="2" t="s">
        <v>6666</v>
      </c>
      <c r="H2557" s="1">
        <v>7.0</v>
      </c>
      <c r="I2557" s="1" t="s">
        <v>2892</v>
      </c>
      <c r="J2557" s="1" t="s">
        <v>11</v>
      </c>
      <c r="K2557" s="2" t="s">
        <v>7959</v>
      </c>
      <c r="L2557" s="10" t="s">
        <v>2775</v>
      </c>
      <c r="M2557" s="2" t="str">
        <f>IFERROR(__xludf.DUMMYFUNCTION("split(split(K2557,""…"",false),""公式LINE"",false)"),"天海祐希、田中哲司、速水もこみち、鈴木浩介、篠井英介、草刈正雄、でんでん、大杉漣、小日向文世 ほか    【ゲスト】浅野和之井上由美子常廣丈太(テレビ朝日)JUJU『Door』(Sony Music Associated Records)【ゼネラルプロデューサー】黒田徹也(テレビ朝日)  【プロデューサー】三輪祐見子(テレビ朝日)、浦井孝行(国際放映)、櫻井美恵子(国際放映)☆番組HP  　http://www.tv-asahi.co.jp/kintori/")</f>
        <v>天海祐希、田中哲司、速水もこみち、鈴木浩介、篠井英介、草刈正雄、でんでん、大杉漣、小日向文世 ほか    【ゲスト】浅野和之井上由美子常廣丈太(テレビ朝日)JUJU『Door』(Sony Music Associated Records)【ゼネラルプロデューサー】黒田徹也(テレビ朝日)  【プロデューサー】三輪祐見子(テレビ朝日)、浦井孝行(国際放映)、櫻井美恵子(国際放映)☆番組HP  　http://www.tv-asahi.co.jp/kintori/</v>
      </c>
      <c r="N2557" s="2"/>
      <c r="O2557" s="2"/>
      <c r="P2557" s="1"/>
      <c r="Q2557" s="1"/>
      <c r="R2557" s="1"/>
      <c r="S2557" s="1"/>
      <c r="T2557" s="1"/>
      <c r="U2557" s="1"/>
      <c r="V2557" s="1"/>
      <c r="W2557" s="1"/>
      <c r="X2557" s="1"/>
      <c r="Y2557" s="1"/>
      <c r="Z2557" s="1"/>
      <c r="AA2557" s="1"/>
      <c r="AB2557" s="1"/>
      <c r="AC2557" s="1"/>
      <c r="AD2557" s="1"/>
      <c r="AE2557" s="1"/>
      <c r="AF2557" s="1"/>
      <c r="AG2557" s="1"/>
      <c r="AH2557" s="1"/>
      <c r="AI2557" s="1"/>
      <c r="AJ2557" s="1"/>
      <c r="AK2557" s="1"/>
      <c r="AL2557" s="1"/>
      <c r="AM2557" s="1"/>
      <c r="AN2557" s="1"/>
      <c r="AO2557" s="1"/>
      <c r="AP2557" s="1"/>
      <c r="AQ2557" s="1"/>
      <c r="AR2557" s="1"/>
      <c r="AS2557" s="1"/>
      <c r="AT2557" s="1"/>
      <c r="AU2557" s="1"/>
      <c r="AV2557" s="1"/>
      <c r="AW2557" s="1"/>
      <c r="AX2557" s="1"/>
      <c r="AY2557" s="1"/>
      <c r="AZ2557" s="1"/>
      <c r="BA2557" s="1"/>
      <c r="BB2557" s="1"/>
    </row>
    <row r="2558" ht="204.75" customHeight="1">
      <c r="A2558" s="1">
        <v>2950.0</v>
      </c>
      <c r="B2558" s="2" t="s">
        <v>7951</v>
      </c>
      <c r="C2558" s="2">
        <f>IFERROR(__xludf.DUMMYFUNCTION("split(B2558,""_"")"),1401.0)</f>
        <v>1401</v>
      </c>
      <c r="D2558" s="2" t="str">
        <f>IFERROR(__xludf.DUMMYFUNCTION("""COMPUTED_VALUE"""),"EX")</f>
        <v>EX</v>
      </c>
      <c r="E2558" s="2" t="str">
        <f>IFERROR(__xludf.DUMMYFUNCTION("""COMPUTED_VALUE"""),"木21")</f>
        <v>木21</v>
      </c>
      <c r="F2558" s="2" t="s">
        <v>6647</v>
      </c>
      <c r="G2558" s="2" t="s">
        <v>6669</v>
      </c>
      <c r="H2558" s="1">
        <v>8.0</v>
      </c>
      <c r="I2558" s="1" t="s">
        <v>2896</v>
      </c>
      <c r="J2558" s="1" t="s">
        <v>11</v>
      </c>
      <c r="K2558" s="2" t="s">
        <v>7960</v>
      </c>
      <c r="L2558" s="10" t="s">
        <v>2775</v>
      </c>
      <c r="M2558" s="2" t="str">
        <f>IFERROR(__xludf.DUMMYFUNCTION("split(split(K2558,""…"",false),""公式LINE"",false)"),"天海祐希、田中哲司、速水もこみち、鈴木浩介、篠井英介、草刈正雄、でんでん、大杉漣、小日向文世 ほか    【ゲスト】浅野和之井上由美子本橋圭太(アズバーズ)JUJU『Door』(Sony Music Associated Records)【ゼネラルプロデューサー】黒田徹也(テレビ朝日)  【プロデューサー】三輪祐見子(テレビ朝日)、浦井孝行(国際放映)、櫻井美恵子(国際放映)☆番組HP  　http://www.tv-asahi.co.jp/kintori/")</f>
        <v>天海祐希、田中哲司、速水もこみち、鈴木浩介、篠井英介、草刈正雄、でんでん、大杉漣、小日向文世 ほか    【ゲスト】浅野和之井上由美子本橋圭太(アズバーズ)JUJU『Door』(Sony Music Associated Records)【ゼネラルプロデューサー】黒田徹也(テレビ朝日)  【プロデューサー】三輪祐見子(テレビ朝日)、浦井孝行(国際放映)、櫻井美恵子(国際放映)☆番組HP  　http://www.tv-asahi.co.jp/kintori/</v>
      </c>
      <c r="N2558" s="2"/>
      <c r="O2558" s="2"/>
      <c r="P2558" s="1"/>
      <c r="Q2558" s="1"/>
      <c r="R2558" s="1"/>
      <c r="S2558" s="1"/>
      <c r="T2558" s="1"/>
      <c r="U2558" s="1"/>
      <c r="V2558" s="1"/>
      <c r="W2558" s="1"/>
      <c r="X2558" s="1"/>
      <c r="Y2558" s="1"/>
      <c r="Z2558" s="1"/>
      <c r="AA2558" s="1"/>
      <c r="AB2558" s="1"/>
      <c r="AC2558" s="1"/>
      <c r="AD2558" s="1"/>
      <c r="AE2558" s="1"/>
      <c r="AF2558" s="1"/>
      <c r="AG2558" s="1"/>
      <c r="AH2558" s="1"/>
      <c r="AI2558" s="1"/>
      <c r="AJ2558" s="1"/>
      <c r="AK2558" s="1"/>
      <c r="AL2558" s="1"/>
      <c r="AM2558" s="1"/>
      <c r="AN2558" s="1"/>
      <c r="AO2558" s="1"/>
      <c r="AP2558" s="1"/>
      <c r="AQ2558" s="1"/>
      <c r="AR2558" s="1"/>
      <c r="AS2558" s="1"/>
      <c r="AT2558" s="1"/>
      <c r="AU2558" s="1"/>
      <c r="AV2558" s="1"/>
      <c r="AW2558" s="1"/>
      <c r="AX2558" s="1"/>
      <c r="AY2558" s="1"/>
      <c r="AZ2558" s="1"/>
      <c r="BA2558" s="1"/>
      <c r="BB2558" s="1"/>
    </row>
    <row r="2559" ht="204.75" customHeight="1">
      <c r="A2559" s="1">
        <v>2951.0</v>
      </c>
      <c r="B2559" s="2" t="s">
        <v>7951</v>
      </c>
      <c r="C2559" s="2">
        <f>IFERROR(__xludf.DUMMYFUNCTION("split(B2559,""_"")"),1401.0)</f>
        <v>1401</v>
      </c>
      <c r="D2559" s="2" t="str">
        <f>IFERROR(__xludf.DUMMYFUNCTION("""COMPUTED_VALUE"""),"EX")</f>
        <v>EX</v>
      </c>
      <c r="E2559" s="2" t="str">
        <f>IFERROR(__xludf.DUMMYFUNCTION("""COMPUTED_VALUE"""),"木21")</f>
        <v>木21</v>
      </c>
      <c r="F2559" s="2" t="s">
        <v>6647</v>
      </c>
      <c r="G2559" s="2" t="s">
        <v>6672</v>
      </c>
      <c r="H2559" s="1">
        <v>9.0</v>
      </c>
      <c r="I2559" s="1" t="s">
        <v>2900</v>
      </c>
      <c r="J2559" s="1" t="s">
        <v>11</v>
      </c>
      <c r="K2559" s="2" t="s">
        <v>7961</v>
      </c>
      <c r="L2559" s="10" t="s">
        <v>2775</v>
      </c>
      <c r="M2559" s="2" t="str">
        <f>IFERROR(__xludf.DUMMYFUNCTION("split(split(K2559,""…"",false),""公式LINE"",false)"),"天海祐希、田中哲司、速水もこみち、鈴木浩介、篠井英介、草刈正雄、でんでん、大杉漣、小日向文世 ほか井上由美子常廣丈太(テレビ朝日)JUJU『Door』(Sony Music Associated Records)【ゼネラルプロデューサー】黒田徹也(テレビ朝日)  【プロデューサー】三輪祐見子(テレビ朝日)、浦井孝行(国際放映)、櫻井美恵子(国際放映)☆番組HP  　http://www.tv-asahi.co.jp/kintori/")</f>
        <v>天海祐希、田中哲司、速水もこみち、鈴木浩介、篠井英介、草刈正雄、でんでん、大杉漣、小日向文世 ほか井上由美子常廣丈太(テレビ朝日)JUJU『Door』(Sony Music Associated Records)【ゼネラルプロデューサー】黒田徹也(テレビ朝日)  【プロデューサー】三輪祐見子(テレビ朝日)、浦井孝行(国際放映)、櫻井美恵子(国際放映)☆番組HP  　http://www.tv-asahi.co.jp/kintori/</v>
      </c>
      <c r="N2559" s="2"/>
      <c r="O2559" s="2"/>
      <c r="P2559" s="1"/>
      <c r="Q2559" s="1"/>
      <c r="R2559" s="1"/>
      <c r="S2559" s="1"/>
      <c r="T2559" s="1"/>
      <c r="U2559" s="1"/>
      <c r="V2559" s="1"/>
      <c r="W2559" s="1"/>
      <c r="X2559" s="1"/>
      <c r="Y2559" s="1"/>
      <c r="Z2559" s="1"/>
      <c r="AA2559" s="1"/>
      <c r="AB2559" s="1"/>
      <c r="AC2559" s="1"/>
      <c r="AD2559" s="1"/>
      <c r="AE2559" s="1"/>
      <c r="AF2559" s="1"/>
      <c r="AG2559" s="1"/>
      <c r="AH2559" s="1"/>
      <c r="AI2559" s="1"/>
      <c r="AJ2559" s="1"/>
      <c r="AK2559" s="1"/>
      <c r="AL2559" s="1"/>
      <c r="AM2559" s="1"/>
      <c r="AN2559" s="1"/>
      <c r="AO2559" s="1"/>
      <c r="AP2559" s="1"/>
      <c r="AQ2559" s="1"/>
      <c r="AR2559" s="1"/>
      <c r="AS2559" s="1"/>
      <c r="AT2559" s="1"/>
      <c r="AU2559" s="1"/>
      <c r="AV2559" s="1"/>
      <c r="AW2559" s="1"/>
      <c r="AX2559" s="1"/>
      <c r="AY2559" s="1"/>
      <c r="AZ2559" s="1"/>
      <c r="BA2559" s="1"/>
      <c r="BB2559" s="1"/>
    </row>
    <row r="2560" ht="204.75" customHeight="1">
      <c r="A2560" s="1">
        <v>2993.0</v>
      </c>
      <c r="B2560" s="2" t="s">
        <v>7962</v>
      </c>
      <c r="C2560" s="2">
        <f>IFERROR(__xludf.DUMMYFUNCTION("split(B2560,""_"")"),1401.0)</f>
        <v>1401</v>
      </c>
      <c r="D2560" s="2" t="str">
        <f>IFERROR(__xludf.DUMMYFUNCTION("""COMPUTED_VALUE"""),"EX")</f>
        <v>EX</v>
      </c>
      <c r="E2560" s="2" t="str">
        <f>IFERROR(__xludf.DUMMYFUNCTION("""COMPUTED_VALUE"""),"金23")</f>
        <v>金23</v>
      </c>
      <c r="F2560" s="2" t="s">
        <v>7963</v>
      </c>
      <c r="G2560" s="2" t="s">
        <v>7964</v>
      </c>
      <c r="H2560" s="1">
        <v>1.0</v>
      </c>
      <c r="I2560" s="1" t="s">
        <v>2868</v>
      </c>
      <c r="J2560" s="1" t="s">
        <v>1435</v>
      </c>
      <c r="K2560" s="4" t="s">
        <v>7965</v>
      </c>
      <c r="L2560" s="11" t="s">
        <v>7966</v>
      </c>
      <c r="M2560" s="2" t="str">
        <f>IFERROR(__xludf.DUMMYFUNCTION("split(split(K2560,""剛力彩芽、"",false),""公式LINE"",false)"),"お金が大好きマイペースな探偵・鵜飼(玉木宏)。ミステリーマニアのビルオーナー・朱美(剛力彩芽)の強引な言葉におされ、事務所を朱美のビルへ引っ越すことに。ある日、転落死事件が発生!鵜飼は朱美に強引に連れられ事件現場へ!朱美は突拍子もない推理を展開するが…")</f>
        <v>お金が大好きマイペースな探偵・鵜飼(玉木宏)。ミステリーマニアのビルオーナー・朱美(剛力彩芽)の強引な言葉におされ、事務所を朱美のビルへ引っ越すことに。ある日、転落死事件が発生!鵜飼は朱美に強引に連れられ事件現場へ!朱美は突拍子もない推理を展開するが…</v>
      </c>
      <c r="N2560" s="2"/>
      <c r="O2560" s="2"/>
      <c r="P2560" s="1"/>
      <c r="Q2560" s="1"/>
      <c r="R2560" s="1"/>
      <c r="S2560" s="1"/>
      <c r="T2560" s="1"/>
      <c r="U2560" s="1"/>
      <c r="V2560" s="1"/>
      <c r="W2560" s="1"/>
      <c r="X2560" s="1"/>
      <c r="Y2560" s="1"/>
      <c r="Z2560" s="1"/>
      <c r="AA2560" s="1"/>
      <c r="AB2560" s="1"/>
      <c r="AC2560" s="1"/>
      <c r="AD2560" s="1"/>
      <c r="AE2560" s="1"/>
      <c r="AF2560" s="1"/>
      <c r="AG2560" s="1"/>
      <c r="AH2560" s="1"/>
      <c r="AI2560" s="1"/>
      <c r="AJ2560" s="1"/>
      <c r="AK2560" s="1"/>
      <c r="AL2560" s="1"/>
      <c r="AM2560" s="1"/>
      <c r="AN2560" s="1"/>
      <c r="AO2560" s="1"/>
      <c r="AP2560" s="1"/>
      <c r="AQ2560" s="1"/>
      <c r="AR2560" s="1"/>
      <c r="AS2560" s="1"/>
      <c r="AT2560" s="1"/>
      <c r="AU2560" s="1"/>
      <c r="AV2560" s="1"/>
      <c r="AW2560" s="1"/>
      <c r="AX2560" s="1"/>
      <c r="AY2560" s="1"/>
      <c r="AZ2560" s="1"/>
      <c r="BA2560" s="1"/>
      <c r="BB2560" s="1"/>
    </row>
    <row r="2561" ht="204.75" customHeight="1">
      <c r="A2561" s="1">
        <v>2994.0</v>
      </c>
      <c r="B2561" s="2" t="s">
        <v>7962</v>
      </c>
      <c r="C2561" s="2">
        <f>IFERROR(__xludf.DUMMYFUNCTION("split(B2561,""_"")"),1401.0)</f>
        <v>1401</v>
      </c>
      <c r="D2561" s="2" t="str">
        <f>IFERROR(__xludf.DUMMYFUNCTION("""COMPUTED_VALUE"""),"EX")</f>
        <v>EX</v>
      </c>
      <c r="E2561" s="2" t="str">
        <f>IFERROR(__xludf.DUMMYFUNCTION("""COMPUTED_VALUE"""),"金23")</f>
        <v>金23</v>
      </c>
      <c r="F2561" s="2" t="s">
        <v>7963</v>
      </c>
      <c r="G2561" s="2" t="s">
        <v>7967</v>
      </c>
      <c r="H2561" s="1">
        <v>2.0</v>
      </c>
      <c r="I2561" s="1" t="s">
        <v>2872</v>
      </c>
      <c r="J2561" s="1" t="s">
        <v>1435</v>
      </c>
      <c r="K2561" s="2" t="s">
        <v>7968</v>
      </c>
      <c r="L2561" s="11" t="s">
        <v>7969</v>
      </c>
      <c r="M2561" s="2" t="str">
        <f>IFERROR(__xludf.DUMMYFUNCTION("split(split(K2561,""剛力彩芽、"",false),""公式LINE"",false)"),"金曜の夜に新たな名(迷?)コンビが誕生!?  ミステリー大好きな大家と殺人現場大嫌いな探偵ー  風変わりな2人が繰り広げる、突拍子もないやり取りから目が離せない!!")</f>
        <v>金曜の夜に新たな名(迷?)コンビが誕生!?  ミステリー大好きな大家と殺人現場大嫌いな探偵ー  風変わりな2人が繰り広げる、突拍子もないやり取りから目が離せない!!</v>
      </c>
      <c r="N2561" s="2"/>
      <c r="O2561" s="2"/>
      <c r="P2561" s="1"/>
      <c r="Q2561" s="1"/>
      <c r="R2561" s="1"/>
      <c r="S2561" s="1"/>
      <c r="T2561" s="1"/>
      <c r="U2561" s="1"/>
      <c r="V2561" s="1"/>
      <c r="W2561" s="1"/>
      <c r="X2561" s="1"/>
      <c r="Y2561" s="1"/>
      <c r="Z2561" s="1"/>
      <c r="AA2561" s="1"/>
      <c r="AB2561" s="1"/>
      <c r="AC2561" s="1"/>
      <c r="AD2561" s="1"/>
      <c r="AE2561" s="1"/>
      <c r="AF2561" s="1"/>
      <c r="AG2561" s="1"/>
      <c r="AH2561" s="1"/>
      <c r="AI2561" s="1"/>
      <c r="AJ2561" s="1"/>
      <c r="AK2561" s="1"/>
      <c r="AL2561" s="1"/>
      <c r="AM2561" s="1"/>
      <c r="AN2561" s="1"/>
      <c r="AO2561" s="1"/>
      <c r="AP2561" s="1"/>
      <c r="AQ2561" s="1"/>
      <c r="AR2561" s="1"/>
      <c r="AS2561" s="1"/>
      <c r="AT2561" s="1"/>
      <c r="AU2561" s="1"/>
      <c r="AV2561" s="1"/>
      <c r="AW2561" s="1"/>
      <c r="AX2561" s="1"/>
      <c r="AY2561" s="1"/>
      <c r="AZ2561" s="1"/>
      <c r="BA2561" s="1"/>
      <c r="BB2561" s="1"/>
    </row>
    <row r="2562" ht="204.75" customHeight="1">
      <c r="A2562" s="1">
        <v>2995.0</v>
      </c>
      <c r="B2562" s="2" t="s">
        <v>7962</v>
      </c>
      <c r="C2562" s="2">
        <f>IFERROR(__xludf.DUMMYFUNCTION("split(B2562,""_"")"),1401.0)</f>
        <v>1401</v>
      </c>
      <c r="D2562" s="2" t="str">
        <f>IFERROR(__xludf.DUMMYFUNCTION("""COMPUTED_VALUE"""),"EX")</f>
        <v>EX</v>
      </c>
      <c r="E2562" s="2" t="str">
        <f>IFERROR(__xludf.DUMMYFUNCTION("""COMPUTED_VALUE"""),"金23")</f>
        <v>金23</v>
      </c>
      <c r="F2562" s="2" t="s">
        <v>7963</v>
      </c>
      <c r="G2562" s="2" t="s">
        <v>7970</v>
      </c>
      <c r="H2562" s="1">
        <v>3.0</v>
      </c>
      <c r="I2562" s="1" t="s">
        <v>2876</v>
      </c>
      <c r="J2562" s="1" t="s">
        <v>1435</v>
      </c>
      <c r="K2562" s="2" t="s">
        <v>7971</v>
      </c>
      <c r="L2562" s="11" t="s">
        <v>7969</v>
      </c>
      <c r="M2562" s="2" t="str">
        <f>IFERROR(__xludf.DUMMYFUNCTION("split(split(K2562,""剛力彩芽、"",false),""公式LINE"",false)"),"金曜の夜に新たな名(迷?)コンビが誕生!?  ミステリー大好きな大家と殺人現場大嫌いな探偵ー  風変わりな2人が繰り広げる、突拍子もないやり取りから目が離せない!!")</f>
        <v>金曜の夜に新たな名(迷?)コンビが誕生!?  ミステリー大好きな大家と殺人現場大嫌いな探偵ー  風変わりな2人が繰り広げる、突拍子もないやり取りから目が離せない!!</v>
      </c>
      <c r="N2562" s="2"/>
      <c r="O2562" s="2"/>
      <c r="P2562" s="1"/>
      <c r="Q2562" s="1"/>
      <c r="R2562" s="1"/>
      <c r="S2562" s="1"/>
      <c r="T2562" s="1"/>
      <c r="U2562" s="1"/>
      <c r="V2562" s="1"/>
      <c r="W2562" s="1"/>
      <c r="X2562" s="1"/>
      <c r="Y2562" s="1"/>
      <c r="Z2562" s="1"/>
      <c r="AA2562" s="1"/>
      <c r="AB2562" s="1"/>
      <c r="AC2562" s="1"/>
      <c r="AD2562" s="1"/>
      <c r="AE2562" s="1"/>
      <c r="AF2562" s="1"/>
      <c r="AG2562" s="1"/>
      <c r="AH2562" s="1"/>
      <c r="AI2562" s="1"/>
      <c r="AJ2562" s="1"/>
      <c r="AK2562" s="1"/>
      <c r="AL2562" s="1"/>
      <c r="AM2562" s="1"/>
      <c r="AN2562" s="1"/>
      <c r="AO2562" s="1"/>
      <c r="AP2562" s="1"/>
      <c r="AQ2562" s="1"/>
      <c r="AR2562" s="1"/>
      <c r="AS2562" s="1"/>
      <c r="AT2562" s="1"/>
      <c r="AU2562" s="1"/>
      <c r="AV2562" s="1"/>
      <c r="AW2562" s="1"/>
      <c r="AX2562" s="1"/>
      <c r="AY2562" s="1"/>
      <c r="AZ2562" s="1"/>
      <c r="BA2562" s="1"/>
      <c r="BB2562" s="1"/>
    </row>
    <row r="2563" ht="204.75" customHeight="1">
      <c r="A2563" s="1">
        <v>2996.0</v>
      </c>
      <c r="B2563" s="2" t="s">
        <v>7962</v>
      </c>
      <c r="C2563" s="2">
        <f>IFERROR(__xludf.DUMMYFUNCTION("split(B2563,""_"")"),1401.0)</f>
        <v>1401</v>
      </c>
      <c r="D2563" s="2" t="str">
        <f>IFERROR(__xludf.DUMMYFUNCTION("""COMPUTED_VALUE"""),"EX")</f>
        <v>EX</v>
      </c>
      <c r="E2563" s="2" t="str">
        <f>IFERROR(__xludf.DUMMYFUNCTION("""COMPUTED_VALUE"""),"金23")</f>
        <v>金23</v>
      </c>
      <c r="F2563" s="2" t="s">
        <v>7963</v>
      </c>
      <c r="G2563" s="2" t="s">
        <v>7972</v>
      </c>
      <c r="H2563" s="1">
        <v>4.0</v>
      </c>
      <c r="I2563" s="1" t="s">
        <v>2880</v>
      </c>
      <c r="J2563" s="1" t="s">
        <v>1435</v>
      </c>
      <c r="K2563" s="2" t="s">
        <v>7973</v>
      </c>
      <c r="L2563" s="11" t="s">
        <v>7969</v>
      </c>
      <c r="M2563" s="2" t="str">
        <f>IFERROR(__xludf.DUMMYFUNCTION("split(split(K2563,""剛力彩芽、"",false),""公式LINE"",false)"),"金曜の夜に新たな名(迷?)コンビが誕生!?  ミステリー大好きな大家と殺人現場大嫌いな探偵ー  風変わりな2人が繰り広げる、突拍子もないやり取りから目が離せない!!")</f>
        <v>金曜の夜に新たな名(迷?)コンビが誕生!?  ミステリー大好きな大家と殺人現場大嫌いな探偵ー  風変わりな2人が繰り広げる、突拍子もないやり取りから目が離せない!!</v>
      </c>
      <c r="N2563" s="2"/>
      <c r="O2563" s="2"/>
      <c r="P2563" s="1"/>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c r="AN2563" s="1"/>
      <c r="AO2563" s="1"/>
      <c r="AP2563" s="1"/>
      <c r="AQ2563" s="1"/>
      <c r="AR2563" s="1"/>
      <c r="AS2563" s="1"/>
      <c r="AT2563" s="1"/>
      <c r="AU2563" s="1"/>
      <c r="AV2563" s="1"/>
      <c r="AW2563" s="1"/>
      <c r="AX2563" s="1"/>
      <c r="AY2563" s="1"/>
      <c r="AZ2563" s="1"/>
      <c r="BA2563" s="1"/>
      <c r="BB2563" s="1"/>
    </row>
    <row r="2564" ht="204.75" customHeight="1">
      <c r="A2564" s="1">
        <v>2997.0</v>
      </c>
      <c r="B2564" s="2" t="s">
        <v>7962</v>
      </c>
      <c r="C2564" s="2">
        <f>IFERROR(__xludf.DUMMYFUNCTION("split(B2564,""_"")"),1401.0)</f>
        <v>1401</v>
      </c>
      <c r="D2564" s="2" t="str">
        <f>IFERROR(__xludf.DUMMYFUNCTION("""COMPUTED_VALUE"""),"EX")</f>
        <v>EX</v>
      </c>
      <c r="E2564" s="2" t="str">
        <f>IFERROR(__xludf.DUMMYFUNCTION("""COMPUTED_VALUE"""),"金23")</f>
        <v>金23</v>
      </c>
      <c r="F2564" s="2" t="s">
        <v>7963</v>
      </c>
      <c r="G2564" s="2" t="s">
        <v>7974</v>
      </c>
      <c r="H2564" s="1">
        <v>5.0</v>
      </c>
      <c r="I2564" s="1" t="s">
        <v>2884</v>
      </c>
      <c r="J2564" s="1" t="s">
        <v>1435</v>
      </c>
      <c r="K2564" s="2" t="s">
        <v>7975</v>
      </c>
      <c r="L2564" s="11" t="s">
        <v>7969</v>
      </c>
      <c r="M2564" s="2" t="str">
        <f>IFERROR(__xludf.DUMMYFUNCTION("split(split(K2564,""剛力彩芽、"",false),""公式LINE"",false)"),"金曜の夜に新たな名(迷?)コンビが誕生!?  ミステリー大好きな大家と殺人現場大嫌いな探偵ー  風変わりな2人が繰り広げる、突拍子もないやり取りから目が離せない!!")</f>
        <v>金曜の夜に新たな名(迷?)コンビが誕生!?  ミステリー大好きな大家と殺人現場大嫌いな探偵ー  風変わりな2人が繰り広げる、突拍子もないやり取りから目が離せない!!</v>
      </c>
      <c r="N2564" s="2"/>
      <c r="O2564" s="2"/>
      <c r="P2564" s="1"/>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c r="AN2564" s="1"/>
      <c r="AO2564" s="1"/>
      <c r="AP2564" s="1"/>
      <c r="AQ2564" s="1"/>
      <c r="AR2564" s="1"/>
      <c r="AS2564" s="1"/>
      <c r="AT2564" s="1"/>
      <c r="AU2564" s="1"/>
      <c r="AV2564" s="1"/>
      <c r="AW2564" s="1"/>
      <c r="AX2564" s="1"/>
      <c r="AY2564" s="1"/>
      <c r="AZ2564" s="1"/>
      <c r="BA2564" s="1"/>
      <c r="BB2564" s="1"/>
    </row>
    <row r="2565" ht="204.75" customHeight="1">
      <c r="A2565" s="1">
        <v>2998.0</v>
      </c>
      <c r="B2565" s="2" t="s">
        <v>7962</v>
      </c>
      <c r="C2565" s="2">
        <f>IFERROR(__xludf.DUMMYFUNCTION("split(B2565,""_"")"),1401.0)</f>
        <v>1401</v>
      </c>
      <c r="D2565" s="2" t="str">
        <f>IFERROR(__xludf.DUMMYFUNCTION("""COMPUTED_VALUE"""),"EX")</f>
        <v>EX</v>
      </c>
      <c r="E2565" s="2" t="str">
        <f>IFERROR(__xludf.DUMMYFUNCTION("""COMPUTED_VALUE"""),"金23")</f>
        <v>金23</v>
      </c>
      <c r="F2565" s="2" t="s">
        <v>7963</v>
      </c>
      <c r="G2565" s="2" t="s">
        <v>7976</v>
      </c>
      <c r="H2565" s="1">
        <v>6.0</v>
      </c>
      <c r="I2565" s="1" t="s">
        <v>2888</v>
      </c>
      <c r="J2565" s="1" t="s">
        <v>1435</v>
      </c>
      <c r="K2565" s="2" t="s">
        <v>7968</v>
      </c>
      <c r="L2565" s="11" t="s">
        <v>7969</v>
      </c>
      <c r="M2565" s="2" t="str">
        <f>IFERROR(__xludf.DUMMYFUNCTION("split(split(K2565,""剛力彩芽、"",false),""公式LINE"",false)"),"金曜の夜に新たな名(迷?)コンビが誕生!?  ミステリー大好きな大家と殺人現場大嫌いな探偵ー  風変わりな2人が繰り広げる、突拍子もないやり取りから目が離せない!!")</f>
        <v>金曜の夜に新たな名(迷?)コンビが誕生!?  ミステリー大好きな大家と殺人現場大嫌いな探偵ー  風変わりな2人が繰り広げる、突拍子もないやり取りから目が離せない!!</v>
      </c>
      <c r="N2565" s="2"/>
      <c r="O2565" s="2"/>
      <c r="P2565" s="1"/>
      <c r="Q2565" s="1"/>
      <c r="R2565" s="1"/>
      <c r="S2565" s="1"/>
      <c r="T2565" s="1"/>
      <c r="U2565" s="1"/>
      <c r="V2565" s="1"/>
      <c r="W2565" s="1"/>
      <c r="X2565" s="1"/>
      <c r="Y2565" s="1"/>
      <c r="Z2565" s="1"/>
      <c r="AA2565" s="1"/>
      <c r="AB2565" s="1"/>
      <c r="AC2565" s="1"/>
      <c r="AD2565" s="1"/>
      <c r="AE2565" s="1"/>
      <c r="AF2565" s="1"/>
      <c r="AG2565" s="1"/>
      <c r="AH2565" s="1"/>
      <c r="AI2565" s="1"/>
      <c r="AJ2565" s="1"/>
      <c r="AK2565" s="1"/>
      <c r="AL2565" s="1"/>
      <c r="AM2565" s="1"/>
      <c r="AN2565" s="1"/>
      <c r="AO2565" s="1"/>
      <c r="AP2565" s="1"/>
      <c r="AQ2565" s="1"/>
      <c r="AR2565" s="1"/>
      <c r="AS2565" s="1"/>
      <c r="AT2565" s="1"/>
      <c r="AU2565" s="1"/>
      <c r="AV2565" s="1"/>
      <c r="AW2565" s="1"/>
      <c r="AX2565" s="1"/>
      <c r="AY2565" s="1"/>
      <c r="AZ2565" s="1"/>
      <c r="BA2565" s="1"/>
      <c r="BB2565" s="1"/>
    </row>
    <row r="2566" ht="204.75" customHeight="1">
      <c r="A2566" s="1">
        <v>2999.0</v>
      </c>
      <c r="B2566" s="2" t="s">
        <v>7962</v>
      </c>
      <c r="C2566" s="2">
        <f>IFERROR(__xludf.DUMMYFUNCTION("split(B2566,""_"")"),1401.0)</f>
        <v>1401</v>
      </c>
      <c r="D2566" s="2" t="str">
        <f>IFERROR(__xludf.DUMMYFUNCTION("""COMPUTED_VALUE"""),"EX")</f>
        <v>EX</v>
      </c>
      <c r="E2566" s="2" t="str">
        <f>IFERROR(__xludf.DUMMYFUNCTION("""COMPUTED_VALUE"""),"金23")</f>
        <v>金23</v>
      </c>
      <c r="F2566" s="2" t="s">
        <v>7963</v>
      </c>
      <c r="G2566" s="2" t="s">
        <v>7977</v>
      </c>
      <c r="H2566" s="1">
        <v>7.0</v>
      </c>
      <c r="J2566" s="1" t="s">
        <v>1435</v>
      </c>
      <c r="K2566" s="2" t="s">
        <v>7968</v>
      </c>
      <c r="L2566" s="11" t="s">
        <v>7969</v>
      </c>
      <c r="M2566" s="2" t="str">
        <f>IFERROR(__xludf.DUMMYFUNCTION("split(split(K2566,""剛力彩芽、"",false),""公式LINE"",false)"),"金曜の夜に新たな名(迷?)コンビが誕生!?  ミステリー大好きな大家と殺人現場大嫌いな探偵ー  風変わりな2人が繰り広げる、突拍子もないやり取りから目が離せない!!")</f>
        <v>金曜の夜に新たな名(迷?)コンビが誕生!?  ミステリー大好きな大家と殺人現場大嫌いな探偵ー  風変わりな2人が繰り広げる、突拍子もないやり取りから目が離せない!!</v>
      </c>
      <c r="N2566" s="2"/>
      <c r="O2566" s="2"/>
      <c r="P2566" s="1"/>
      <c r="Q2566" s="1"/>
      <c r="R2566" s="1"/>
      <c r="S2566" s="1"/>
      <c r="T2566" s="1"/>
      <c r="U2566" s="1"/>
      <c r="V2566" s="1"/>
      <c r="W2566" s="1"/>
      <c r="X2566" s="1"/>
      <c r="Y2566" s="1"/>
      <c r="Z2566" s="1"/>
      <c r="AA2566" s="1"/>
      <c r="AB2566" s="1"/>
      <c r="AC2566" s="1"/>
      <c r="AD2566" s="1"/>
      <c r="AE2566" s="1"/>
      <c r="AF2566" s="1"/>
      <c r="AG2566" s="1"/>
      <c r="AH2566" s="1"/>
      <c r="AI2566" s="1"/>
      <c r="AJ2566" s="1"/>
      <c r="AK2566" s="1"/>
      <c r="AL2566" s="1"/>
      <c r="AM2566" s="1"/>
      <c r="AN2566" s="1"/>
      <c r="AO2566" s="1"/>
      <c r="AP2566" s="1"/>
      <c r="AQ2566" s="1"/>
      <c r="AR2566" s="1"/>
      <c r="AS2566" s="1"/>
      <c r="AT2566" s="1"/>
      <c r="AU2566" s="1"/>
      <c r="AV2566" s="1"/>
      <c r="AW2566" s="1"/>
      <c r="AX2566" s="1"/>
      <c r="AY2566" s="1"/>
      <c r="AZ2566" s="1"/>
      <c r="BA2566" s="1"/>
      <c r="BB2566" s="1"/>
    </row>
    <row r="2567" ht="204.75" customHeight="1">
      <c r="A2567" s="1">
        <v>3000.0</v>
      </c>
      <c r="B2567" s="2" t="s">
        <v>7962</v>
      </c>
      <c r="C2567" s="2">
        <f>IFERROR(__xludf.DUMMYFUNCTION("split(B2567,""_"")"),1401.0)</f>
        <v>1401</v>
      </c>
      <c r="D2567" s="2" t="str">
        <f>IFERROR(__xludf.DUMMYFUNCTION("""COMPUTED_VALUE"""),"EX")</f>
        <v>EX</v>
      </c>
      <c r="E2567" s="2" t="str">
        <f>IFERROR(__xludf.DUMMYFUNCTION("""COMPUTED_VALUE"""),"金23")</f>
        <v>金23</v>
      </c>
      <c r="F2567" s="2" t="s">
        <v>7963</v>
      </c>
      <c r="G2567" s="2" t="s">
        <v>7978</v>
      </c>
      <c r="H2567" s="1">
        <v>8.0</v>
      </c>
      <c r="I2567" s="1" t="s">
        <v>2896</v>
      </c>
      <c r="J2567" s="1" t="s">
        <v>1435</v>
      </c>
      <c r="K2567" s="2" t="s">
        <v>7968</v>
      </c>
      <c r="L2567" s="11" t="s">
        <v>7969</v>
      </c>
      <c r="M2567" s="2" t="str">
        <f>IFERROR(__xludf.DUMMYFUNCTION("split(split(K2567,""剛力彩芽、"",false),""公式LINE"",false)"),"金曜の夜に新たな名(迷?)コンビが誕生!?  ミステリー大好きな大家と殺人現場大嫌いな探偵ー  風変わりな2人が繰り広げる、突拍子もないやり取りから目が離せない!!")</f>
        <v>金曜の夜に新たな名(迷?)コンビが誕生!?  ミステリー大好きな大家と殺人現場大嫌いな探偵ー  風変わりな2人が繰り広げる、突拍子もないやり取りから目が離せない!!</v>
      </c>
      <c r="N2567" s="2"/>
      <c r="O2567" s="2"/>
      <c r="P2567" s="1"/>
      <c r="Q2567" s="1"/>
      <c r="R2567" s="1"/>
      <c r="S2567" s="1"/>
      <c r="T2567" s="1"/>
      <c r="U2567" s="1"/>
      <c r="V2567" s="1"/>
      <c r="W2567" s="1"/>
      <c r="X2567" s="1"/>
      <c r="Y2567" s="1"/>
      <c r="Z2567" s="1"/>
      <c r="AA2567" s="1"/>
      <c r="AB2567" s="1"/>
      <c r="AC2567" s="1"/>
      <c r="AD2567" s="1"/>
      <c r="AE2567" s="1"/>
      <c r="AF2567" s="1"/>
      <c r="AG2567" s="1"/>
      <c r="AH2567" s="1"/>
      <c r="AI2567" s="1"/>
      <c r="AJ2567" s="1"/>
      <c r="AK2567" s="1"/>
      <c r="AL2567" s="1"/>
      <c r="AM2567" s="1"/>
      <c r="AN2567" s="1"/>
      <c r="AO2567" s="1"/>
      <c r="AP2567" s="1"/>
      <c r="AQ2567" s="1"/>
      <c r="AR2567" s="1"/>
      <c r="AS2567" s="1"/>
      <c r="AT2567" s="1"/>
      <c r="AU2567" s="1"/>
      <c r="AV2567" s="1"/>
      <c r="AW2567" s="1"/>
      <c r="AX2567" s="1"/>
      <c r="AY2567" s="1"/>
      <c r="AZ2567" s="1"/>
      <c r="BA2567" s="1"/>
      <c r="BB2567" s="1"/>
    </row>
    <row r="2568" ht="204.75" customHeight="1">
      <c r="A2568" s="1">
        <v>3094.0</v>
      </c>
      <c r="B2568" s="2" t="s">
        <v>7979</v>
      </c>
      <c r="C2568" s="2">
        <f>IFERROR(__xludf.DUMMYFUNCTION("split(B2568,""_"")"),1310.0)</f>
        <v>1310</v>
      </c>
      <c r="D2568" s="2" t="str">
        <f>IFERROR(__xludf.DUMMYFUNCTION("""COMPUTED_VALUE"""),"EX")</f>
        <v>EX</v>
      </c>
      <c r="E2568" s="2" t="str">
        <f>IFERROR(__xludf.DUMMYFUNCTION("""COMPUTED_VALUE"""),"木21")</f>
        <v>木21</v>
      </c>
      <c r="F2568" s="2" t="s">
        <v>6489</v>
      </c>
      <c r="G2568" s="2" t="s">
        <v>7088</v>
      </c>
      <c r="H2568" s="1">
        <v>1.0</v>
      </c>
      <c r="I2568" s="1" t="s">
        <v>2868</v>
      </c>
      <c r="J2568" s="1" t="s">
        <v>4</v>
      </c>
      <c r="K2568" s="4" t="s">
        <v>7980</v>
      </c>
      <c r="L2568" s="11" t="s">
        <v>7981</v>
      </c>
      <c r="M2568" s="2" t="str">
        <f>IFERROR(__xludf.DUMMYFUNCTION("split(split(K2568,""米倉涼子、"",false),""公式LINE"",false)"),"舞台は前シリーズの分院から本院へ!外科部長に西田敏行、内科部長に三田佳子、未知子に興味を示す外科医に藤木直人…前回の規模を大きくしのぐ強大な敵陣に手術のスキルだけを武器に未知子が戦う!閉塞感に包まれた日常に風穴を開ける痛快なストーリーに乞うご期待!")</f>
        <v>舞台は前シリーズの分院から本院へ!外科部長に西田敏行、内科部長に三田佳子、未知子に興味を示す外科医に藤木直人…前回の規模を大きくしのぐ強大な敵陣に手術のスキルだけを武器に未知子が戦う!閉塞感に包まれた日常に風穴を開ける痛快なストーリーに乞うご期待!</v>
      </c>
      <c r="N2568" s="2"/>
      <c r="O2568" s="2"/>
      <c r="P2568" s="1"/>
      <c r="Q2568" s="1"/>
      <c r="R2568" s="1"/>
      <c r="S2568" s="1"/>
      <c r="T2568" s="1"/>
      <c r="U2568" s="1"/>
      <c r="V2568" s="1"/>
      <c r="W2568" s="1"/>
      <c r="X2568" s="1"/>
      <c r="Y2568" s="1"/>
      <c r="Z2568" s="1"/>
      <c r="AA2568" s="1"/>
      <c r="AB2568" s="1"/>
      <c r="AC2568" s="1"/>
      <c r="AD2568" s="1"/>
      <c r="AE2568" s="1"/>
      <c r="AF2568" s="1"/>
      <c r="AG2568" s="1"/>
      <c r="AH2568" s="1"/>
      <c r="AI2568" s="1"/>
      <c r="AJ2568" s="1"/>
      <c r="AK2568" s="1"/>
      <c r="AL2568" s="1"/>
      <c r="AM2568" s="1"/>
      <c r="AN2568" s="1"/>
      <c r="AO2568" s="1"/>
      <c r="AP2568" s="1"/>
      <c r="AQ2568" s="1"/>
      <c r="AR2568" s="1"/>
      <c r="AS2568" s="1"/>
      <c r="AT2568" s="1"/>
      <c r="AU2568" s="1"/>
      <c r="AV2568" s="1"/>
      <c r="AW2568" s="1"/>
      <c r="AX2568" s="1"/>
      <c r="AY2568" s="1"/>
      <c r="AZ2568" s="1"/>
      <c r="BA2568" s="1"/>
      <c r="BB2568" s="1"/>
    </row>
    <row r="2569" ht="204.75" customHeight="1">
      <c r="A2569" s="1">
        <v>3095.0</v>
      </c>
      <c r="B2569" s="2" t="s">
        <v>7979</v>
      </c>
      <c r="C2569" s="2">
        <f>IFERROR(__xludf.DUMMYFUNCTION("split(B2569,""_"")"),1310.0)</f>
        <v>1310</v>
      </c>
      <c r="D2569" s="2" t="str">
        <f>IFERROR(__xludf.DUMMYFUNCTION("""COMPUTED_VALUE"""),"EX")</f>
        <v>EX</v>
      </c>
      <c r="E2569" s="2" t="str">
        <f>IFERROR(__xludf.DUMMYFUNCTION("""COMPUTED_VALUE"""),"木21")</f>
        <v>木21</v>
      </c>
      <c r="F2569" s="2" t="s">
        <v>6489</v>
      </c>
      <c r="G2569" s="2" t="s">
        <v>7091</v>
      </c>
      <c r="H2569" s="1">
        <v>2.0</v>
      </c>
      <c r="I2569" s="1" t="s">
        <v>2872</v>
      </c>
      <c r="J2569" s="1" t="s">
        <v>11</v>
      </c>
      <c r="K2569" s="2" t="s">
        <v>7982</v>
      </c>
      <c r="L2569" s="11" t="s">
        <v>7983</v>
      </c>
      <c r="M2569" s="2" t="str">
        <f>IFERROR(__xludf.DUMMYFUNCTION("split(split(K2569,""米倉涼子、"",false),""公式LINE"",false)"),"失敗しない女・大門未知子(米倉涼子)が帰ってきた!異色・孤高・反骨のフリーランス天才外科医の活躍を描いた2012年No.1ヒットドラマがスケールアップしてこの秋、復活!舞台を前作の分院から本院に移し、未知子が新たな戦いにメスをもって挑んでゆく!")</f>
        <v>失敗しない女・大門未知子(米倉涼子)が帰ってきた!異色・孤高・反骨のフリーランス天才外科医の活躍を描いた2012年No.1ヒットドラマがスケールアップしてこの秋、復活!舞台を前作の分院から本院に移し、未知子が新たな戦いにメスをもって挑んでゆく!</v>
      </c>
      <c r="N2569" s="2"/>
      <c r="O2569" s="2"/>
      <c r="P2569" s="1"/>
      <c r="Q2569" s="1"/>
      <c r="R2569" s="1"/>
      <c r="S2569" s="1"/>
      <c r="T2569" s="1"/>
      <c r="U2569" s="1"/>
      <c r="V2569" s="1"/>
      <c r="W2569" s="1"/>
      <c r="X2569" s="1"/>
      <c r="Y2569" s="1"/>
      <c r="Z2569" s="1"/>
      <c r="AA2569" s="1"/>
      <c r="AB2569" s="1"/>
      <c r="AC2569" s="1"/>
      <c r="AD2569" s="1"/>
      <c r="AE2569" s="1"/>
      <c r="AF2569" s="1"/>
      <c r="AG2569" s="1"/>
      <c r="AH2569" s="1"/>
      <c r="AI2569" s="1"/>
      <c r="AJ2569" s="1"/>
      <c r="AK2569" s="1"/>
      <c r="AL2569" s="1"/>
      <c r="AM2569" s="1"/>
      <c r="AN2569" s="1"/>
      <c r="AO2569" s="1"/>
      <c r="AP2569" s="1"/>
      <c r="AQ2569" s="1"/>
      <c r="AR2569" s="1"/>
      <c r="AS2569" s="1"/>
      <c r="AT2569" s="1"/>
      <c r="AU2569" s="1"/>
      <c r="AV2569" s="1"/>
      <c r="AW2569" s="1"/>
      <c r="AX2569" s="1"/>
      <c r="AY2569" s="1"/>
      <c r="AZ2569" s="1"/>
      <c r="BA2569" s="1"/>
      <c r="BB2569" s="1"/>
    </row>
    <row r="2570" ht="204.75" customHeight="1">
      <c r="A2570" s="1">
        <v>3096.0</v>
      </c>
      <c r="B2570" s="2" t="s">
        <v>7979</v>
      </c>
      <c r="C2570" s="2">
        <f>IFERROR(__xludf.DUMMYFUNCTION("split(B2570,""_"")"),1310.0)</f>
        <v>1310</v>
      </c>
      <c r="D2570" s="2" t="str">
        <f>IFERROR(__xludf.DUMMYFUNCTION("""COMPUTED_VALUE"""),"EX")</f>
        <v>EX</v>
      </c>
      <c r="E2570" s="2" t="str">
        <f>IFERROR(__xludf.DUMMYFUNCTION("""COMPUTED_VALUE"""),"木21")</f>
        <v>木21</v>
      </c>
      <c r="F2570" s="2" t="s">
        <v>6489</v>
      </c>
      <c r="G2570" s="2" t="s">
        <v>7094</v>
      </c>
      <c r="H2570" s="1">
        <v>3.0</v>
      </c>
      <c r="I2570" s="1" t="s">
        <v>2876</v>
      </c>
      <c r="J2570" s="1" t="s">
        <v>11</v>
      </c>
      <c r="K2570" s="2" t="s">
        <v>7984</v>
      </c>
      <c r="L2570" s="11" t="s">
        <v>7985</v>
      </c>
      <c r="M2570" s="2" t="str">
        <f>IFERROR(__xludf.DUMMYFUNCTION("split(split(K2570,""米倉涼子、"",false),""公式LINE"",false)"),"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f>
        <v>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v>
      </c>
      <c r="N2570" s="2"/>
      <c r="O2570" s="2"/>
      <c r="P2570" s="1"/>
      <c r="Q2570" s="1"/>
      <c r="R2570" s="1"/>
      <c r="S2570" s="1"/>
      <c r="T2570" s="1"/>
      <c r="U2570" s="1"/>
      <c r="V2570" s="1"/>
      <c r="W2570" s="1"/>
      <c r="X2570" s="1"/>
      <c r="Y2570" s="1"/>
      <c r="Z2570" s="1"/>
      <c r="AA2570" s="1"/>
      <c r="AB2570" s="1"/>
      <c r="AC2570" s="1"/>
      <c r="AD2570" s="1"/>
      <c r="AE2570" s="1"/>
      <c r="AF2570" s="1"/>
      <c r="AG2570" s="1"/>
      <c r="AH2570" s="1"/>
      <c r="AI2570" s="1"/>
      <c r="AJ2570" s="1"/>
      <c r="AK2570" s="1"/>
      <c r="AL2570" s="1"/>
      <c r="AM2570" s="1"/>
      <c r="AN2570" s="1"/>
      <c r="AO2570" s="1"/>
      <c r="AP2570" s="1"/>
      <c r="AQ2570" s="1"/>
      <c r="AR2570" s="1"/>
      <c r="AS2570" s="1"/>
      <c r="AT2570" s="1"/>
      <c r="AU2570" s="1"/>
      <c r="AV2570" s="1"/>
      <c r="AW2570" s="1"/>
      <c r="AX2570" s="1"/>
      <c r="AY2570" s="1"/>
      <c r="AZ2570" s="1"/>
      <c r="BA2570" s="1"/>
      <c r="BB2570" s="1"/>
    </row>
    <row r="2571" ht="204.75" customHeight="1">
      <c r="A2571" s="1">
        <v>3097.0</v>
      </c>
      <c r="B2571" s="2" t="s">
        <v>7979</v>
      </c>
      <c r="C2571" s="2">
        <f>IFERROR(__xludf.DUMMYFUNCTION("split(B2571,""_"")"),1310.0)</f>
        <v>1310</v>
      </c>
      <c r="D2571" s="2" t="str">
        <f>IFERROR(__xludf.DUMMYFUNCTION("""COMPUTED_VALUE"""),"EX")</f>
        <v>EX</v>
      </c>
      <c r="E2571" s="2" t="str">
        <f>IFERROR(__xludf.DUMMYFUNCTION("""COMPUTED_VALUE"""),"木21")</f>
        <v>木21</v>
      </c>
      <c r="F2571" s="2" t="s">
        <v>6489</v>
      </c>
      <c r="G2571" s="2" t="s">
        <v>7097</v>
      </c>
      <c r="H2571" s="1">
        <v>4.0</v>
      </c>
      <c r="I2571" s="1" t="s">
        <v>2880</v>
      </c>
      <c r="J2571" s="1" t="s">
        <v>11</v>
      </c>
      <c r="K2571" s="2" t="s">
        <v>7986</v>
      </c>
      <c r="L2571" s="11" t="s">
        <v>7985</v>
      </c>
      <c r="M2571" s="2" t="str">
        <f>IFERROR(__xludf.DUMMYFUNCTION("split(split(K2571,""米倉涼子、"",false),""公式LINE"",false)"),"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f>
        <v>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v>
      </c>
      <c r="N2571" s="2"/>
      <c r="O2571" s="2"/>
      <c r="P2571" s="1"/>
      <c r="Q2571" s="1"/>
      <c r="R2571" s="1"/>
      <c r="S2571" s="1"/>
      <c r="T2571" s="1"/>
      <c r="U2571" s="1"/>
      <c r="V2571" s="1"/>
      <c r="W2571" s="1"/>
      <c r="X2571" s="1"/>
      <c r="Y2571" s="1"/>
      <c r="Z2571" s="1"/>
      <c r="AA2571" s="1"/>
      <c r="AB2571" s="1"/>
      <c r="AC2571" s="1"/>
      <c r="AD2571" s="1"/>
      <c r="AE2571" s="1"/>
      <c r="AF2571" s="1"/>
      <c r="AG2571" s="1"/>
      <c r="AH2571" s="1"/>
      <c r="AI2571" s="1"/>
      <c r="AJ2571" s="1"/>
      <c r="AK2571" s="1"/>
      <c r="AL2571" s="1"/>
      <c r="AM2571" s="1"/>
      <c r="AN2571" s="1"/>
      <c r="AO2571" s="1"/>
      <c r="AP2571" s="1"/>
      <c r="AQ2571" s="1"/>
      <c r="AR2571" s="1"/>
      <c r="AS2571" s="1"/>
      <c r="AT2571" s="1"/>
      <c r="AU2571" s="1"/>
      <c r="AV2571" s="1"/>
      <c r="AW2571" s="1"/>
      <c r="AX2571" s="1"/>
      <c r="AY2571" s="1"/>
      <c r="AZ2571" s="1"/>
      <c r="BA2571" s="1"/>
      <c r="BB2571" s="1"/>
    </row>
    <row r="2572" ht="204.75" customHeight="1">
      <c r="A2572" s="1">
        <v>3098.0</v>
      </c>
      <c r="B2572" s="2" t="s">
        <v>7979</v>
      </c>
      <c r="C2572" s="2">
        <f>IFERROR(__xludf.DUMMYFUNCTION("split(B2572,""_"")"),1310.0)</f>
        <v>1310</v>
      </c>
      <c r="D2572" s="2" t="str">
        <f>IFERROR(__xludf.DUMMYFUNCTION("""COMPUTED_VALUE"""),"EX")</f>
        <v>EX</v>
      </c>
      <c r="E2572" s="2" t="str">
        <f>IFERROR(__xludf.DUMMYFUNCTION("""COMPUTED_VALUE"""),"木21")</f>
        <v>木21</v>
      </c>
      <c r="F2572" s="2" t="s">
        <v>6489</v>
      </c>
      <c r="G2572" s="2" t="s">
        <v>7100</v>
      </c>
      <c r="H2572" s="1">
        <v>5.0</v>
      </c>
      <c r="I2572" s="1" t="s">
        <v>2884</v>
      </c>
      <c r="J2572" s="1" t="s">
        <v>11</v>
      </c>
      <c r="K2572" s="2" t="s">
        <v>7987</v>
      </c>
      <c r="L2572" s="11" t="s">
        <v>7985</v>
      </c>
      <c r="M2572" s="2" t="str">
        <f>IFERROR(__xludf.DUMMYFUNCTION("split(split(K2572,""米倉涼子、"",false),""公式LINE"",false)"),"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f>
        <v>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v>
      </c>
      <c r="N2572" s="2"/>
      <c r="O2572" s="2"/>
      <c r="P2572" s="1"/>
      <c r="Q2572" s="1"/>
      <c r="R2572" s="1"/>
      <c r="S2572" s="1"/>
      <c r="T2572" s="1"/>
      <c r="U2572" s="1"/>
      <c r="V2572" s="1"/>
      <c r="W2572" s="1"/>
      <c r="X2572" s="1"/>
      <c r="Y2572" s="1"/>
      <c r="Z2572" s="1"/>
      <c r="AA2572" s="1"/>
      <c r="AB2572" s="1"/>
      <c r="AC2572" s="1"/>
      <c r="AD2572" s="1"/>
      <c r="AE2572" s="1"/>
      <c r="AF2572" s="1"/>
      <c r="AG2572" s="1"/>
      <c r="AH2572" s="1"/>
      <c r="AI2572" s="1"/>
      <c r="AJ2572" s="1"/>
      <c r="AK2572" s="1"/>
      <c r="AL2572" s="1"/>
      <c r="AM2572" s="1"/>
      <c r="AN2572" s="1"/>
      <c r="AO2572" s="1"/>
      <c r="AP2572" s="1"/>
      <c r="AQ2572" s="1"/>
      <c r="AR2572" s="1"/>
      <c r="AS2572" s="1"/>
      <c r="AT2572" s="1"/>
      <c r="AU2572" s="1"/>
      <c r="AV2572" s="1"/>
      <c r="AW2572" s="1"/>
      <c r="AX2572" s="1"/>
      <c r="AY2572" s="1"/>
      <c r="AZ2572" s="1"/>
      <c r="BA2572" s="1"/>
      <c r="BB2572" s="1"/>
    </row>
    <row r="2573" ht="204.75" customHeight="1">
      <c r="A2573" s="1">
        <v>3099.0</v>
      </c>
      <c r="B2573" s="2" t="s">
        <v>7979</v>
      </c>
      <c r="C2573" s="2">
        <f>IFERROR(__xludf.DUMMYFUNCTION("split(B2573,""_"")"),1310.0)</f>
        <v>1310</v>
      </c>
      <c r="D2573" s="2" t="str">
        <f>IFERROR(__xludf.DUMMYFUNCTION("""COMPUTED_VALUE"""),"EX")</f>
        <v>EX</v>
      </c>
      <c r="E2573" s="2" t="str">
        <f>IFERROR(__xludf.DUMMYFUNCTION("""COMPUTED_VALUE"""),"木21")</f>
        <v>木21</v>
      </c>
      <c r="F2573" s="2" t="s">
        <v>6489</v>
      </c>
      <c r="G2573" s="2" t="s">
        <v>7103</v>
      </c>
      <c r="H2573" s="1">
        <v>6.0</v>
      </c>
      <c r="I2573" s="1" t="s">
        <v>2888</v>
      </c>
      <c r="J2573" s="1" t="s">
        <v>11</v>
      </c>
      <c r="K2573" s="2" t="s">
        <v>7988</v>
      </c>
      <c r="L2573" s="11" t="s">
        <v>7985</v>
      </c>
      <c r="M2573" s="2" t="str">
        <f>IFERROR(__xludf.DUMMYFUNCTION("split(split(K2573,""米倉涼子、"",false),""公式LINE"",false)"),"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f>
        <v>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v>
      </c>
      <c r="N2573" s="2"/>
      <c r="O2573" s="2"/>
      <c r="P2573" s="1"/>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c r="AN2573" s="1"/>
      <c r="AO2573" s="1"/>
      <c r="AP2573" s="1"/>
      <c r="AQ2573" s="1"/>
      <c r="AR2573" s="1"/>
      <c r="AS2573" s="1"/>
      <c r="AT2573" s="1"/>
      <c r="AU2573" s="1"/>
      <c r="AV2573" s="1"/>
      <c r="AW2573" s="1"/>
      <c r="AX2573" s="1"/>
      <c r="AY2573" s="1"/>
      <c r="AZ2573" s="1"/>
      <c r="BA2573" s="1"/>
      <c r="BB2573" s="1"/>
    </row>
    <row r="2574" ht="204.75" customHeight="1">
      <c r="A2574" s="1">
        <v>3100.0</v>
      </c>
      <c r="B2574" s="2" t="s">
        <v>7979</v>
      </c>
      <c r="C2574" s="2">
        <f>IFERROR(__xludf.DUMMYFUNCTION("split(B2574,""_"")"),1310.0)</f>
        <v>1310</v>
      </c>
      <c r="D2574" s="2" t="str">
        <f>IFERROR(__xludf.DUMMYFUNCTION("""COMPUTED_VALUE"""),"EX")</f>
        <v>EX</v>
      </c>
      <c r="E2574" s="2" t="str">
        <f>IFERROR(__xludf.DUMMYFUNCTION("""COMPUTED_VALUE"""),"木21")</f>
        <v>木21</v>
      </c>
      <c r="F2574" s="2" t="s">
        <v>6489</v>
      </c>
      <c r="G2574" s="2" t="s">
        <v>7106</v>
      </c>
      <c r="H2574" s="1">
        <v>7.0</v>
      </c>
      <c r="I2574" s="1" t="s">
        <v>2892</v>
      </c>
      <c r="J2574" s="1" t="s">
        <v>11</v>
      </c>
      <c r="K2574" s="2" t="s">
        <v>7989</v>
      </c>
      <c r="L2574" s="11" t="s">
        <v>7985</v>
      </c>
      <c r="M2574" s="2" t="str">
        <f>IFERROR(__xludf.DUMMYFUNCTION("split(split(K2574,""米倉涼子、"",false),""公式LINE"",false)"),"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f>
        <v>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v>
      </c>
      <c r="N2574" s="2"/>
      <c r="O2574" s="2"/>
      <c r="P2574" s="1"/>
      <c r="Q2574" s="1"/>
      <c r="R2574" s="1"/>
      <c r="S2574" s="1"/>
      <c r="T2574" s="1"/>
      <c r="U2574" s="1"/>
      <c r="V2574" s="1"/>
      <c r="W2574" s="1"/>
      <c r="X2574" s="1"/>
      <c r="Y2574" s="1"/>
      <c r="Z2574" s="1"/>
      <c r="AA2574" s="1"/>
      <c r="AB2574" s="1"/>
      <c r="AC2574" s="1"/>
      <c r="AD2574" s="1"/>
      <c r="AE2574" s="1"/>
      <c r="AF2574" s="1"/>
      <c r="AG2574" s="1"/>
      <c r="AH2574" s="1"/>
      <c r="AI2574" s="1"/>
      <c r="AJ2574" s="1"/>
      <c r="AK2574" s="1"/>
      <c r="AL2574" s="1"/>
      <c r="AM2574" s="1"/>
      <c r="AN2574" s="1"/>
      <c r="AO2574" s="1"/>
      <c r="AP2574" s="1"/>
      <c r="AQ2574" s="1"/>
      <c r="AR2574" s="1"/>
      <c r="AS2574" s="1"/>
      <c r="AT2574" s="1"/>
      <c r="AU2574" s="1"/>
      <c r="AV2574" s="1"/>
      <c r="AW2574" s="1"/>
      <c r="AX2574" s="1"/>
      <c r="AY2574" s="1"/>
      <c r="AZ2574" s="1"/>
      <c r="BA2574" s="1"/>
      <c r="BB2574" s="1"/>
    </row>
    <row r="2575" ht="204.75" customHeight="1">
      <c r="A2575" s="1">
        <v>3101.0</v>
      </c>
      <c r="B2575" s="2" t="s">
        <v>7979</v>
      </c>
      <c r="C2575" s="2">
        <f>IFERROR(__xludf.DUMMYFUNCTION("split(B2575,""_"")"),1310.0)</f>
        <v>1310</v>
      </c>
      <c r="D2575" s="2" t="str">
        <f>IFERROR(__xludf.DUMMYFUNCTION("""COMPUTED_VALUE"""),"EX")</f>
        <v>EX</v>
      </c>
      <c r="E2575" s="2" t="str">
        <f>IFERROR(__xludf.DUMMYFUNCTION("""COMPUTED_VALUE"""),"木21")</f>
        <v>木21</v>
      </c>
      <c r="F2575" s="2" t="s">
        <v>6489</v>
      </c>
      <c r="G2575" s="2" t="s">
        <v>7109</v>
      </c>
      <c r="H2575" s="1">
        <v>8.0</v>
      </c>
      <c r="I2575" s="1" t="s">
        <v>2896</v>
      </c>
      <c r="J2575" s="1" t="s">
        <v>11</v>
      </c>
      <c r="K2575" s="2" t="s">
        <v>7990</v>
      </c>
      <c r="L2575" s="11" t="s">
        <v>7985</v>
      </c>
      <c r="M2575" s="2" t="str">
        <f>IFERROR(__xludf.DUMMYFUNCTION("split(split(K2575,""米倉涼子、"",false),""公式LINE"",false)"),"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f>
        <v>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v>
      </c>
      <c r="N2575" s="2"/>
      <c r="O2575" s="2"/>
      <c r="P2575" s="1"/>
      <c r="Q2575" s="1"/>
      <c r="R2575" s="1"/>
      <c r="S2575" s="1"/>
      <c r="T2575" s="1"/>
      <c r="U2575" s="1"/>
      <c r="V2575" s="1"/>
      <c r="W2575" s="1"/>
      <c r="X2575" s="1"/>
      <c r="Y2575" s="1"/>
      <c r="Z2575" s="1"/>
      <c r="AA2575" s="1"/>
      <c r="AB2575" s="1"/>
      <c r="AC2575" s="1"/>
      <c r="AD2575" s="1"/>
      <c r="AE2575" s="1"/>
      <c r="AF2575" s="1"/>
      <c r="AG2575" s="1"/>
      <c r="AH2575" s="1"/>
      <c r="AI2575" s="1"/>
      <c r="AJ2575" s="1"/>
      <c r="AK2575" s="1"/>
      <c r="AL2575" s="1"/>
      <c r="AM2575" s="1"/>
      <c r="AN2575" s="1"/>
      <c r="AO2575" s="1"/>
      <c r="AP2575" s="1"/>
      <c r="AQ2575" s="1"/>
      <c r="AR2575" s="1"/>
      <c r="AS2575" s="1"/>
      <c r="AT2575" s="1"/>
      <c r="AU2575" s="1"/>
      <c r="AV2575" s="1"/>
      <c r="AW2575" s="1"/>
      <c r="AX2575" s="1"/>
      <c r="AY2575" s="1"/>
      <c r="AZ2575" s="1"/>
      <c r="BA2575" s="1"/>
      <c r="BB2575" s="1"/>
    </row>
    <row r="2576" ht="204.75" customHeight="1">
      <c r="A2576" s="1">
        <v>3102.0</v>
      </c>
      <c r="B2576" s="2" t="s">
        <v>7979</v>
      </c>
      <c r="C2576" s="2">
        <f>IFERROR(__xludf.DUMMYFUNCTION("split(B2576,""_"")"),1310.0)</f>
        <v>1310</v>
      </c>
      <c r="D2576" s="2" t="str">
        <f>IFERROR(__xludf.DUMMYFUNCTION("""COMPUTED_VALUE"""),"EX")</f>
        <v>EX</v>
      </c>
      <c r="E2576" s="2" t="str">
        <f>IFERROR(__xludf.DUMMYFUNCTION("""COMPUTED_VALUE"""),"木21")</f>
        <v>木21</v>
      </c>
      <c r="F2576" s="2" t="s">
        <v>6489</v>
      </c>
      <c r="G2576" s="2" t="s">
        <v>7112</v>
      </c>
      <c r="H2576" s="1">
        <v>9.0</v>
      </c>
      <c r="I2576" s="1" t="s">
        <v>2900</v>
      </c>
      <c r="J2576" s="1" t="s">
        <v>4</v>
      </c>
      <c r="K2576" s="2" t="s">
        <v>7991</v>
      </c>
      <c r="L2576" s="11" t="s">
        <v>7985</v>
      </c>
      <c r="M2576" s="2" t="str">
        <f>IFERROR(__xludf.DUMMYFUNCTION("split(split(K2576,""米倉涼子、"",false),""公式LINE"",false)"),"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f>
        <v>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v>
      </c>
      <c r="N2576" s="2"/>
      <c r="O2576" s="2"/>
      <c r="P2576" s="1"/>
      <c r="Q2576" s="1"/>
      <c r="R2576" s="1"/>
      <c r="S2576" s="1"/>
      <c r="T2576" s="1"/>
      <c r="U2576" s="1"/>
      <c r="V2576" s="1"/>
      <c r="W2576" s="1"/>
      <c r="X2576" s="1"/>
      <c r="Y2576" s="1"/>
      <c r="Z2576" s="1"/>
      <c r="AA2576" s="1"/>
      <c r="AB2576" s="1"/>
      <c r="AC2576" s="1"/>
      <c r="AD2576" s="1"/>
      <c r="AE2576" s="1"/>
      <c r="AF2576" s="1"/>
      <c r="AG2576" s="1"/>
      <c r="AH2576" s="1"/>
      <c r="AI2576" s="1"/>
      <c r="AJ2576" s="1"/>
      <c r="AK2576" s="1"/>
      <c r="AL2576" s="1"/>
      <c r="AM2576" s="1"/>
      <c r="AN2576" s="1"/>
      <c r="AO2576" s="1"/>
      <c r="AP2576" s="1"/>
      <c r="AQ2576" s="1"/>
      <c r="AR2576" s="1"/>
      <c r="AS2576" s="1"/>
      <c r="AT2576" s="1"/>
      <c r="AU2576" s="1"/>
      <c r="AV2576" s="1"/>
      <c r="AW2576" s="1"/>
      <c r="AX2576" s="1"/>
      <c r="AY2576" s="1"/>
      <c r="AZ2576" s="1"/>
      <c r="BA2576" s="1"/>
      <c r="BB2576" s="1"/>
    </row>
    <row r="2577" ht="204.75" customHeight="1">
      <c r="A2577" s="1">
        <v>3142.0</v>
      </c>
      <c r="B2577" s="2" t="s">
        <v>7992</v>
      </c>
      <c r="C2577" s="2">
        <f>IFERROR(__xludf.DUMMYFUNCTION("split(B2577,""_"")"),1310.0)</f>
        <v>1310</v>
      </c>
      <c r="D2577" s="2" t="str">
        <f>IFERROR(__xludf.DUMMYFUNCTION("""COMPUTED_VALUE"""),"EX")</f>
        <v>EX</v>
      </c>
      <c r="E2577" s="2" t="str">
        <f>IFERROR(__xludf.DUMMYFUNCTION("""COMPUTED_VALUE"""),"金23")</f>
        <v>金23</v>
      </c>
      <c r="F2577" s="2" t="s">
        <v>7993</v>
      </c>
      <c r="G2577" s="2" t="s">
        <v>7994</v>
      </c>
      <c r="H2577" s="1">
        <v>1.0</v>
      </c>
      <c r="I2577" s="1" t="s">
        <v>2868</v>
      </c>
      <c r="J2577" s="1" t="s">
        <v>1435</v>
      </c>
      <c r="K2577" s="4" t="s">
        <v>7995</v>
      </c>
      <c r="L2577" s="11" t="s">
        <v>7996</v>
      </c>
      <c r="M2577" s="2" t="str">
        <f>IFERROR(__xludf.DUMMYFUNCTION("split(split(K2577,""長澤まさみ、"",false),""公式LINE"",false)"),"富士山の都市伝説を語り合うシンポジウム当日の朝“ある真実”を発表する予定だったモッシー研究家が遺体で見つかった。地面には深い樹海の方へと遺体を引きずった跡が残されており「この事件には富士山の都市伝説が絡んでる!」と確信した月子(長澤まさみ)は樹海へと足を踏み入れる…!")</f>
        <v>富士山の都市伝説を語り合うシンポジウム当日の朝“ある真実”を発表する予定だったモッシー研究家が遺体で見つかった。地面には深い樹海の方へと遺体を引きずった跡が残されており「この事件には富士山の都市伝説が絡んでる!」と確信した月子(長澤まさみ)は樹海へと足を踏み入れる…!</v>
      </c>
      <c r="N2577" s="2"/>
      <c r="O2577" s="2"/>
      <c r="P2577" s="1"/>
      <c r="Q2577" s="1"/>
      <c r="R2577" s="1"/>
      <c r="S2577" s="1"/>
      <c r="T2577" s="1"/>
      <c r="U2577" s="1"/>
      <c r="V2577" s="1"/>
      <c r="W2577" s="1"/>
      <c r="X2577" s="1"/>
      <c r="Y2577" s="1"/>
      <c r="Z2577" s="1"/>
      <c r="AA2577" s="1"/>
      <c r="AB2577" s="1"/>
      <c r="AC2577" s="1"/>
      <c r="AD2577" s="1"/>
      <c r="AE2577" s="1"/>
      <c r="AF2577" s="1"/>
      <c r="AG2577" s="1"/>
      <c r="AH2577" s="1"/>
      <c r="AI2577" s="1"/>
      <c r="AJ2577" s="1"/>
      <c r="AK2577" s="1"/>
      <c r="AL2577" s="1"/>
      <c r="AM2577" s="1"/>
      <c r="AN2577" s="1"/>
      <c r="AO2577" s="1"/>
      <c r="AP2577" s="1"/>
      <c r="AQ2577" s="1"/>
      <c r="AR2577" s="1"/>
      <c r="AS2577" s="1"/>
      <c r="AT2577" s="1"/>
      <c r="AU2577" s="1"/>
      <c r="AV2577" s="1"/>
      <c r="AW2577" s="1"/>
      <c r="AX2577" s="1"/>
      <c r="AY2577" s="1"/>
      <c r="AZ2577" s="1"/>
      <c r="BA2577" s="1"/>
      <c r="BB2577" s="1"/>
    </row>
    <row r="2578" ht="204.75" customHeight="1">
      <c r="A2578" s="1">
        <v>3143.0</v>
      </c>
      <c r="B2578" s="2" t="s">
        <v>7992</v>
      </c>
      <c r="C2578" s="2">
        <f>IFERROR(__xludf.DUMMYFUNCTION("split(B2578,""_"")"),1310.0)</f>
        <v>1310</v>
      </c>
      <c r="D2578" s="2" t="str">
        <f>IFERROR(__xludf.DUMMYFUNCTION("""COMPUTED_VALUE"""),"EX")</f>
        <v>EX</v>
      </c>
      <c r="E2578" s="2" t="str">
        <f>IFERROR(__xludf.DUMMYFUNCTION("""COMPUTED_VALUE"""),"金23")</f>
        <v>金23</v>
      </c>
      <c r="F2578" s="2" t="s">
        <v>7993</v>
      </c>
      <c r="G2578" s="2" t="s">
        <v>7997</v>
      </c>
      <c r="H2578" s="1">
        <v>2.0</v>
      </c>
      <c r="I2578" s="1" t="s">
        <v>2872</v>
      </c>
      <c r="J2578" s="1" t="s">
        <v>1435</v>
      </c>
      <c r="K2578" s="2" t="s">
        <v>7998</v>
      </c>
      <c r="L2578" s="11" t="s">
        <v>7999</v>
      </c>
      <c r="M2578" s="2" t="str">
        <f>IFERROR(__xludf.DUMMYFUNCTION("split(split(K2578,""長澤まさみ、"",false),""公式LINE"",false)"),"月子(長澤まさみ)ら非科学事件捜査班は夫妻の発見場所へ。鑑識係の勝浦洋人(溝端淳平)から夫妻の車が新車であり、走行距離も神戸～羽田間に到底及ばないことを知らされる。月子は夫妻が車ごとUFOに誘拐され、羽田空港付近で解放されたと推理し、捜査を開始する!")</f>
        <v>月子(長澤まさみ)ら非科学事件捜査班は夫妻の発見場所へ。鑑識係の勝浦洋人(溝端淳平)から夫妻の車が新車であり、走行距離も神戸～羽田間に到底及ばないことを知らされる。月子は夫妻が車ごとUFOに誘拐され、羽田空港付近で解放されたと推理し、捜査を開始する!</v>
      </c>
      <c r="N2578" s="2"/>
      <c r="O2578" s="2"/>
      <c r="P2578" s="1"/>
      <c r="Q2578" s="1"/>
      <c r="R2578" s="1"/>
      <c r="S2578" s="1"/>
      <c r="T2578" s="1"/>
      <c r="U2578" s="1"/>
      <c r="V2578" s="1"/>
      <c r="W2578" s="1"/>
      <c r="X2578" s="1"/>
      <c r="Y2578" s="1"/>
      <c r="Z2578" s="1"/>
      <c r="AA2578" s="1"/>
      <c r="AB2578" s="1"/>
      <c r="AC2578" s="1"/>
      <c r="AD2578" s="1"/>
      <c r="AE2578" s="1"/>
      <c r="AF2578" s="1"/>
      <c r="AG2578" s="1"/>
      <c r="AH2578" s="1"/>
      <c r="AI2578" s="1"/>
      <c r="AJ2578" s="1"/>
      <c r="AK2578" s="1"/>
      <c r="AL2578" s="1"/>
      <c r="AM2578" s="1"/>
      <c r="AN2578" s="1"/>
      <c r="AO2578" s="1"/>
      <c r="AP2578" s="1"/>
      <c r="AQ2578" s="1"/>
      <c r="AR2578" s="1"/>
      <c r="AS2578" s="1"/>
      <c r="AT2578" s="1"/>
      <c r="AU2578" s="1"/>
      <c r="AV2578" s="1"/>
      <c r="AW2578" s="1"/>
      <c r="AX2578" s="1"/>
      <c r="AY2578" s="1"/>
      <c r="AZ2578" s="1"/>
      <c r="BA2578" s="1"/>
      <c r="BB2578" s="1"/>
    </row>
    <row r="2579" ht="204.75" customHeight="1">
      <c r="A2579" s="1">
        <v>3144.0</v>
      </c>
      <c r="B2579" s="2" t="s">
        <v>7992</v>
      </c>
      <c r="C2579" s="2">
        <f>IFERROR(__xludf.DUMMYFUNCTION("split(B2579,""_"")"),1310.0)</f>
        <v>1310</v>
      </c>
      <c r="D2579" s="2" t="str">
        <f>IFERROR(__xludf.DUMMYFUNCTION("""COMPUTED_VALUE"""),"EX")</f>
        <v>EX</v>
      </c>
      <c r="E2579" s="2" t="str">
        <f>IFERROR(__xludf.DUMMYFUNCTION("""COMPUTED_VALUE"""),"金23")</f>
        <v>金23</v>
      </c>
      <c r="F2579" s="2" t="s">
        <v>7993</v>
      </c>
      <c r="G2579" s="2" t="s">
        <v>8000</v>
      </c>
      <c r="H2579" s="1">
        <v>3.0</v>
      </c>
      <c r="I2579" s="1" t="s">
        <v>2876</v>
      </c>
      <c r="J2579" s="1" t="s">
        <v>1435</v>
      </c>
      <c r="K2579" s="2" t="s">
        <v>8001</v>
      </c>
      <c r="L2579" s="11" t="s">
        <v>8002</v>
      </c>
      <c r="M2579" s="2" t="str">
        <f>IFERROR(__xludf.DUMMYFUNCTION("split(split(K2579,""長澤まさみ、"",false),""公式LINE"",false)"),"月子の脳裏をかすめたのは…、「魔女として追われたフリッグが、13日の金曜日に悪事をはたらいた」という都市伝説。奥多摩のキャンプ場で、被害者が魔女フリッグに殺されてしまったのだと推理した月子は、またしても鑑識係の勝浦洋人(溝端淳平)を巻き込み、証拠を探そうとする。")</f>
        <v>月子の脳裏をかすめたのは…、「魔女として追われたフリッグが、13日の金曜日に悪事をはたらいた」という都市伝説。奥多摩のキャンプ場で、被害者が魔女フリッグに殺されてしまったのだと推理した月子は、またしても鑑識係の勝浦洋人(溝端淳平)を巻き込み、証拠を探そうとする。</v>
      </c>
      <c r="N2579" s="2"/>
      <c r="O2579" s="2"/>
      <c r="P2579" s="1"/>
      <c r="Q2579" s="1"/>
      <c r="R2579" s="1"/>
      <c r="S2579" s="1"/>
      <c r="T2579" s="1"/>
      <c r="U2579" s="1"/>
      <c r="V2579" s="1"/>
      <c r="W2579" s="1"/>
      <c r="X2579" s="1"/>
      <c r="Y2579" s="1"/>
      <c r="Z2579" s="1"/>
      <c r="AA2579" s="1"/>
      <c r="AB2579" s="1"/>
      <c r="AC2579" s="1"/>
      <c r="AD2579" s="1"/>
      <c r="AE2579" s="1"/>
      <c r="AF2579" s="1"/>
      <c r="AG2579" s="1"/>
      <c r="AH2579" s="1"/>
      <c r="AI2579" s="1"/>
      <c r="AJ2579" s="1"/>
      <c r="AK2579" s="1"/>
      <c r="AL2579" s="1"/>
      <c r="AM2579" s="1"/>
      <c r="AN2579" s="1"/>
      <c r="AO2579" s="1"/>
      <c r="AP2579" s="1"/>
      <c r="AQ2579" s="1"/>
      <c r="AR2579" s="1"/>
      <c r="AS2579" s="1"/>
      <c r="AT2579" s="1"/>
      <c r="AU2579" s="1"/>
      <c r="AV2579" s="1"/>
      <c r="AW2579" s="1"/>
      <c r="AX2579" s="1"/>
      <c r="AY2579" s="1"/>
      <c r="AZ2579" s="1"/>
      <c r="BA2579" s="1"/>
      <c r="BB2579" s="1"/>
    </row>
    <row r="2580" ht="204.75" customHeight="1">
      <c r="A2580" s="1">
        <v>3145.0</v>
      </c>
      <c r="B2580" s="2" t="s">
        <v>7992</v>
      </c>
      <c r="C2580" s="2">
        <f>IFERROR(__xludf.DUMMYFUNCTION("split(B2580,""_"")"),1310.0)</f>
        <v>1310</v>
      </c>
      <c r="D2580" s="2" t="str">
        <f>IFERROR(__xludf.DUMMYFUNCTION("""COMPUTED_VALUE"""),"EX")</f>
        <v>EX</v>
      </c>
      <c r="E2580" s="2" t="str">
        <f>IFERROR(__xludf.DUMMYFUNCTION("""COMPUTED_VALUE"""),"金23")</f>
        <v>金23</v>
      </c>
      <c r="F2580" s="2" t="s">
        <v>7993</v>
      </c>
      <c r="G2580" s="2" t="s">
        <v>8003</v>
      </c>
      <c r="H2580" s="1">
        <v>4.0</v>
      </c>
      <c r="I2580" s="1" t="s">
        <v>2880</v>
      </c>
      <c r="J2580" s="1" t="s">
        <v>1435</v>
      </c>
      <c r="K2580" s="2" t="s">
        <v>8004</v>
      </c>
      <c r="L2580" s="11" t="s">
        <v>8005</v>
      </c>
      <c r="M2580" s="2" t="str">
        <f>IFERROR(__xludf.DUMMYFUNCTION("split(split(K2580,""長澤まさみ、"",false),""公式LINE"",false)"),"被害者が握っていた五百円札が、三億円事件で盗まれた紙幣のうちの1枚かもしれない!月子(長澤まさみ)の脳裏に三億円事件の都市伝説がよぎる。その矢先に資産家が病死してしまう。非科学事件捜査班が捜査を進めると、資産家と三億円事件を結ぶ“かもしれない”事実が明るみにでて…!")</f>
        <v>被害者が握っていた五百円札が、三億円事件で盗まれた紙幣のうちの1枚かもしれない!月子(長澤まさみ)の脳裏に三億円事件の都市伝説がよぎる。その矢先に資産家が病死してしまう。非科学事件捜査班が捜査を進めると、資産家と三億円事件を結ぶ“かもしれない”事実が明るみにでて…!</v>
      </c>
      <c r="N2580" s="2"/>
      <c r="O2580" s="2"/>
      <c r="P2580" s="1"/>
      <c r="Q2580" s="1"/>
      <c r="R2580" s="1"/>
      <c r="S2580" s="1"/>
      <c r="T2580" s="1"/>
      <c r="U2580" s="1"/>
      <c r="V2580" s="1"/>
      <c r="W2580" s="1"/>
      <c r="X2580" s="1"/>
      <c r="Y2580" s="1"/>
      <c r="Z2580" s="1"/>
      <c r="AA2580" s="1"/>
      <c r="AB2580" s="1"/>
      <c r="AC2580" s="1"/>
      <c r="AD2580" s="1"/>
      <c r="AE2580" s="1"/>
      <c r="AF2580" s="1"/>
      <c r="AG2580" s="1"/>
      <c r="AH2580" s="1"/>
      <c r="AI2580" s="1"/>
      <c r="AJ2580" s="1"/>
      <c r="AK2580" s="1"/>
      <c r="AL2580" s="1"/>
      <c r="AM2580" s="1"/>
      <c r="AN2580" s="1"/>
      <c r="AO2580" s="1"/>
      <c r="AP2580" s="1"/>
      <c r="AQ2580" s="1"/>
      <c r="AR2580" s="1"/>
      <c r="AS2580" s="1"/>
      <c r="AT2580" s="1"/>
      <c r="AU2580" s="1"/>
      <c r="AV2580" s="1"/>
      <c r="AW2580" s="1"/>
      <c r="AX2580" s="1"/>
      <c r="AY2580" s="1"/>
      <c r="AZ2580" s="1"/>
      <c r="BA2580" s="1"/>
      <c r="BB2580" s="1"/>
    </row>
    <row r="2581" ht="204.75" customHeight="1">
      <c r="A2581" s="1">
        <v>3146.0</v>
      </c>
      <c r="B2581" s="2" t="s">
        <v>7992</v>
      </c>
      <c r="C2581" s="2">
        <f>IFERROR(__xludf.DUMMYFUNCTION("split(B2581,""_"")"),1310.0)</f>
        <v>1310</v>
      </c>
      <c r="D2581" s="2" t="str">
        <f>IFERROR(__xludf.DUMMYFUNCTION("""COMPUTED_VALUE"""),"EX")</f>
        <v>EX</v>
      </c>
      <c r="E2581" s="2" t="str">
        <f>IFERROR(__xludf.DUMMYFUNCTION("""COMPUTED_VALUE"""),"金23")</f>
        <v>金23</v>
      </c>
      <c r="F2581" s="2" t="s">
        <v>7993</v>
      </c>
      <c r="G2581" s="2" t="s">
        <v>8006</v>
      </c>
      <c r="H2581" s="1">
        <v>5.0</v>
      </c>
      <c r="I2581" s="1" t="s">
        <v>2884</v>
      </c>
      <c r="J2581" s="1" t="s">
        <v>1435</v>
      </c>
      <c r="K2581" s="2" t="s">
        <v>8007</v>
      </c>
      <c r="L2581" s="11" t="s">
        <v>8008</v>
      </c>
      <c r="M2581" s="2" t="str">
        <f>IFERROR(__xludf.DUMMYFUNCTION("split(split(K2581,""長澤まさみ、"",false),""公式LINE"",false)"),"過去にトイレで自殺した生徒の霊が事件に関係している!月子(長澤まさみ)は、被害者のアイドルは「トイレの花子さんに呪い殺された」と確信。月子は捜査のため学校を訪れるが、ありえない光景を目撃してしまう!窓から室内を覗く、花子さんとしか思えないおかっぱ頭の女の子の姿をーー。")</f>
        <v>過去にトイレで自殺した生徒の霊が事件に関係している!月子(長澤まさみ)は、被害者のアイドルは「トイレの花子さんに呪い殺された」と確信。月子は捜査のため学校を訪れるが、ありえない光景を目撃してしまう!窓から室内を覗く、花子さんとしか思えないおかっぱ頭の女の子の姿をーー。</v>
      </c>
      <c r="N2581" s="2"/>
      <c r="O2581" s="2"/>
      <c r="P2581" s="1"/>
      <c r="Q2581" s="1"/>
      <c r="R2581" s="1"/>
      <c r="S2581" s="1"/>
      <c r="T2581" s="1"/>
      <c r="U2581" s="1"/>
      <c r="V2581" s="1"/>
      <c r="W2581" s="1"/>
      <c r="X2581" s="1"/>
      <c r="Y2581" s="1"/>
      <c r="Z2581" s="1"/>
      <c r="AA2581" s="1"/>
      <c r="AB2581" s="1"/>
      <c r="AC2581" s="1"/>
      <c r="AD2581" s="1"/>
      <c r="AE2581" s="1"/>
      <c r="AF2581" s="1"/>
      <c r="AG2581" s="1"/>
      <c r="AH2581" s="1"/>
      <c r="AI2581" s="1"/>
      <c r="AJ2581" s="1"/>
      <c r="AK2581" s="1"/>
      <c r="AL2581" s="1"/>
      <c r="AM2581" s="1"/>
      <c r="AN2581" s="1"/>
      <c r="AO2581" s="1"/>
      <c r="AP2581" s="1"/>
      <c r="AQ2581" s="1"/>
      <c r="AR2581" s="1"/>
      <c r="AS2581" s="1"/>
      <c r="AT2581" s="1"/>
      <c r="AU2581" s="1"/>
      <c r="AV2581" s="1"/>
      <c r="AW2581" s="1"/>
      <c r="AX2581" s="1"/>
      <c r="AY2581" s="1"/>
      <c r="AZ2581" s="1"/>
      <c r="BA2581" s="1"/>
      <c r="BB2581" s="1"/>
    </row>
    <row r="2582" ht="204.75" customHeight="1">
      <c r="A2582" s="1">
        <v>3147.0</v>
      </c>
      <c r="B2582" s="2" t="s">
        <v>7992</v>
      </c>
      <c r="C2582" s="2">
        <f>IFERROR(__xludf.DUMMYFUNCTION("split(B2582,""_"")"),1310.0)</f>
        <v>1310</v>
      </c>
      <c r="D2582" s="2" t="str">
        <f>IFERROR(__xludf.DUMMYFUNCTION("""COMPUTED_VALUE"""),"EX")</f>
        <v>EX</v>
      </c>
      <c r="E2582" s="2" t="str">
        <f>IFERROR(__xludf.DUMMYFUNCTION("""COMPUTED_VALUE"""),"金23")</f>
        <v>金23</v>
      </c>
      <c r="F2582" s="2" t="s">
        <v>7993</v>
      </c>
      <c r="G2582" s="2" t="s">
        <v>8009</v>
      </c>
      <c r="H2582" s="1">
        <v>6.0</v>
      </c>
      <c r="I2582" s="1" t="s">
        <v>2888</v>
      </c>
      <c r="J2582" s="1" t="s">
        <v>1435</v>
      </c>
      <c r="K2582" s="2" t="s">
        <v>8010</v>
      </c>
      <c r="L2582" s="11" t="s">
        <v>8011</v>
      </c>
      <c r="M2582" s="2" t="str">
        <f>IFERROR(__xludf.DUMMYFUNCTION("split(split(K2582,""長澤まさみ、"",false),""公式LINE"",false)"),"浴槽で感電死した教授…壁には犯行声明が!教授が最後に残したメール「これより先の領域に触れてはならない…」人間の感情を持つロボット開発に成功し自殺をしたロシアの科学者ボリコフが全く同じ遺書を残していた。そんな都市伝説から月子は、教授は自ら開発した人造人間に殺された…と!")</f>
        <v>浴槽で感電死した教授…壁には犯行声明が!教授が最後に残したメール「これより先の領域に触れてはならない…」人間の感情を持つロボット開発に成功し自殺をしたロシアの科学者ボリコフが全く同じ遺書を残していた。そんな都市伝説から月子は、教授は自ら開発した人造人間に殺された…と!</v>
      </c>
      <c r="N2582" s="2"/>
      <c r="O2582" s="2"/>
      <c r="P2582" s="1"/>
      <c r="Q2582" s="1"/>
      <c r="R2582" s="1"/>
      <c r="S2582" s="1"/>
      <c r="T2582" s="1"/>
      <c r="U2582" s="1"/>
      <c r="V2582" s="1"/>
      <c r="W2582" s="1"/>
      <c r="X2582" s="1"/>
      <c r="Y2582" s="1"/>
      <c r="Z2582" s="1"/>
      <c r="AA2582" s="1"/>
      <c r="AB2582" s="1"/>
      <c r="AC2582" s="1"/>
      <c r="AD2582" s="1"/>
      <c r="AE2582" s="1"/>
      <c r="AF2582" s="1"/>
      <c r="AG2582" s="1"/>
      <c r="AH2582" s="1"/>
      <c r="AI2582" s="1"/>
      <c r="AJ2582" s="1"/>
      <c r="AK2582" s="1"/>
      <c r="AL2582" s="1"/>
      <c r="AM2582" s="1"/>
      <c r="AN2582" s="1"/>
      <c r="AO2582" s="1"/>
      <c r="AP2582" s="1"/>
      <c r="AQ2582" s="1"/>
      <c r="AR2582" s="1"/>
      <c r="AS2582" s="1"/>
      <c r="AT2582" s="1"/>
      <c r="AU2582" s="1"/>
      <c r="AV2582" s="1"/>
      <c r="AW2582" s="1"/>
      <c r="AX2582" s="1"/>
      <c r="AY2582" s="1"/>
      <c r="AZ2582" s="1"/>
      <c r="BA2582" s="1"/>
      <c r="BB2582" s="1"/>
    </row>
    <row r="2583" ht="204.75" customHeight="1">
      <c r="A2583" s="1">
        <v>3148.0</v>
      </c>
      <c r="B2583" s="2" t="s">
        <v>7992</v>
      </c>
      <c r="C2583" s="2">
        <f>IFERROR(__xludf.DUMMYFUNCTION("split(B2583,""_"")"),1310.0)</f>
        <v>1310</v>
      </c>
      <c r="D2583" s="2" t="str">
        <f>IFERROR(__xludf.DUMMYFUNCTION("""COMPUTED_VALUE"""),"EX")</f>
        <v>EX</v>
      </c>
      <c r="E2583" s="2" t="str">
        <f>IFERROR(__xludf.DUMMYFUNCTION("""COMPUTED_VALUE"""),"金23")</f>
        <v>金23</v>
      </c>
      <c r="F2583" s="2" t="s">
        <v>7993</v>
      </c>
      <c r="G2583" s="2" t="s">
        <v>8012</v>
      </c>
      <c r="H2583" s="1">
        <v>7.0</v>
      </c>
      <c r="I2583" s="1" t="s">
        <v>2892</v>
      </c>
      <c r="J2583" s="1" t="s">
        <v>1435</v>
      </c>
      <c r="K2583" s="2" t="s">
        <v>8013</v>
      </c>
      <c r="L2583" s="11" t="s">
        <v>8014</v>
      </c>
      <c r="M2583" s="2" t="str">
        <f>IFERROR(__xludf.DUMMYFUNCTION("split(split(K2583,""長澤まさみ、"",false),""公式LINE"",false)"),"ドラキュラ!?被害者の首筋に赤い点が2つあり本来なら頸動脈から大量の出血があるはず…。しかし現場には一滴の血も残されていなかった。さらに楽屋に死んだはずの女優が現れる。一方、警視総監・武(伊武雅刀)に呼び出された丹内(竹中直人)は、月子に関する“内密の話”を打ち明けられて…")</f>
        <v>ドラキュラ!?被害者の首筋に赤い点が2つあり本来なら頸動脈から大量の出血があるはず…。しかし現場には一滴の血も残されていなかった。さらに楽屋に死んだはずの女優が現れる。一方、警視総監・武(伊武雅刀)に呼び出された丹内(竹中直人)は、月子に関する“内密の話”を打ち明けられて…</v>
      </c>
      <c r="N2583" s="2"/>
      <c r="O2583" s="2"/>
      <c r="P2583" s="1"/>
      <c r="Q2583" s="1"/>
      <c r="R2583" s="1"/>
      <c r="S2583" s="1"/>
      <c r="T2583" s="1"/>
      <c r="U2583" s="1"/>
      <c r="V2583" s="1"/>
      <c r="W2583" s="1"/>
      <c r="X2583" s="1"/>
      <c r="Y2583" s="1"/>
      <c r="Z2583" s="1"/>
      <c r="AA2583" s="1"/>
      <c r="AB2583" s="1"/>
      <c r="AC2583" s="1"/>
      <c r="AD2583" s="1"/>
      <c r="AE2583" s="1"/>
      <c r="AF2583" s="1"/>
      <c r="AG2583" s="1"/>
      <c r="AH2583" s="1"/>
      <c r="AI2583" s="1"/>
      <c r="AJ2583" s="1"/>
      <c r="AK2583" s="1"/>
      <c r="AL2583" s="1"/>
      <c r="AM2583" s="1"/>
      <c r="AN2583" s="1"/>
      <c r="AO2583" s="1"/>
      <c r="AP2583" s="1"/>
      <c r="AQ2583" s="1"/>
      <c r="AR2583" s="1"/>
      <c r="AS2583" s="1"/>
      <c r="AT2583" s="1"/>
      <c r="AU2583" s="1"/>
      <c r="AV2583" s="1"/>
      <c r="AW2583" s="1"/>
      <c r="AX2583" s="1"/>
      <c r="AY2583" s="1"/>
      <c r="AZ2583" s="1"/>
      <c r="BA2583" s="1"/>
      <c r="BB2583" s="1"/>
    </row>
    <row r="2584" ht="204.75" customHeight="1">
      <c r="A2584" s="1">
        <v>3241.0</v>
      </c>
      <c r="B2584" s="2" t="s">
        <v>8015</v>
      </c>
      <c r="C2584" s="2">
        <f>IFERROR(__xludf.DUMMYFUNCTION("split(B2584,""_"")"),1307.0)</f>
        <v>1307</v>
      </c>
      <c r="D2584" s="2" t="str">
        <f>IFERROR(__xludf.DUMMYFUNCTION("""COMPUTED_VALUE"""),"EX")</f>
        <v>EX</v>
      </c>
      <c r="E2584" s="2" t="str">
        <f>IFERROR(__xludf.DUMMYFUNCTION("""COMPUTED_VALUE"""),"木21")</f>
        <v>木21</v>
      </c>
      <c r="F2584" s="2" t="s">
        <v>8016</v>
      </c>
      <c r="G2584" s="2" t="s">
        <v>8017</v>
      </c>
      <c r="H2584" s="1">
        <v>1.0</v>
      </c>
      <c r="I2584" s="1" t="s">
        <v>2868</v>
      </c>
      <c r="J2584" s="1" t="s">
        <v>4</v>
      </c>
      <c r="K2584" s="4" t="s">
        <v>8018</v>
      </c>
      <c r="L2584" s="11" t="s">
        <v>8019</v>
      </c>
      <c r="M2584" s="2" t="str">
        <f>IFERROR(__xludf.DUMMYFUNCTION("split(split(K2584,""沢村一樹、"",false),""公式LINE"",false)"),"院長・たまき(野際陽子)が森山(高嶋政伸)を新院長に指名。森山の人格に不信感を抱く和枝(伊藤蘭)たちは動揺を隠せない。その頃、森山が手術を行った患者の容体が芳しくなく、その娘・美由紀は森山の態度に不信感を抱く。そんな中、相良は“ある計画”を実行しようとする-")</f>
        <v>院長・たまき(野際陽子)が森山(高嶋政伸)を新院長に指名。森山の人格に不信感を抱く和枝(伊藤蘭)たちは動揺を隠せない。その頃、森山が手術を行った患者の容体が芳しくなく、その娘・美由紀は森山の態度に不信感を抱く。そんな中、相良は“ある計画”を実行しようとする-</v>
      </c>
      <c r="N2584" s="2"/>
      <c r="O2584" s="2"/>
      <c r="P2584" s="1"/>
      <c r="Q2584" s="1"/>
      <c r="R2584" s="1"/>
      <c r="S2584" s="1"/>
      <c r="T2584" s="1"/>
      <c r="U2584" s="1"/>
      <c r="V2584" s="1"/>
      <c r="W2584" s="1"/>
      <c r="X2584" s="1"/>
      <c r="Y2584" s="1"/>
      <c r="Z2584" s="1"/>
      <c r="AA2584" s="1"/>
      <c r="AB2584" s="1"/>
      <c r="AC2584" s="1"/>
      <c r="AD2584" s="1"/>
      <c r="AE2584" s="1"/>
      <c r="AF2584" s="1"/>
      <c r="AG2584" s="1"/>
      <c r="AH2584" s="1"/>
      <c r="AI2584" s="1"/>
      <c r="AJ2584" s="1"/>
      <c r="AK2584" s="1"/>
      <c r="AL2584" s="1"/>
      <c r="AM2584" s="1"/>
      <c r="AN2584" s="1"/>
      <c r="AO2584" s="1"/>
      <c r="AP2584" s="1"/>
      <c r="AQ2584" s="1"/>
      <c r="AR2584" s="1"/>
      <c r="AS2584" s="1"/>
      <c r="AT2584" s="1"/>
      <c r="AU2584" s="1"/>
      <c r="AV2584" s="1"/>
      <c r="AW2584" s="1"/>
      <c r="AX2584" s="1"/>
      <c r="AY2584" s="1"/>
      <c r="AZ2584" s="1"/>
      <c r="BA2584" s="1"/>
      <c r="BB2584" s="1"/>
    </row>
    <row r="2585" ht="204.75" customHeight="1">
      <c r="A2585" s="1">
        <v>3242.0</v>
      </c>
      <c r="B2585" s="2" t="s">
        <v>8015</v>
      </c>
      <c r="C2585" s="2">
        <f>IFERROR(__xludf.DUMMYFUNCTION("split(B2585,""_"")"),1307.0)</f>
        <v>1307</v>
      </c>
      <c r="D2585" s="2" t="str">
        <f>IFERROR(__xludf.DUMMYFUNCTION("""COMPUTED_VALUE"""),"EX")</f>
        <v>EX</v>
      </c>
      <c r="E2585" s="2" t="str">
        <f>IFERROR(__xludf.DUMMYFUNCTION("""COMPUTED_VALUE"""),"木21")</f>
        <v>木21</v>
      </c>
      <c r="F2585" s="2" t="s">
        <v>8016</v>
      </c>
      <c r="G2585" s="2" t="s">
        <v>8020</v>
      </c>
      <c r="H2585" s="1">
        <v>2.0</v>
      </c>
      <c r="I2585" s="1" t="s">
        <v>2872</v>
      </c>
      <c r="J2585" s="1" t="s">
        <v>11</v>
      </c>
      <c r="K2585" s="2" t="s">
        <v>8021</v>
      </c>
      <c r="L2585" s="10" t="s">
        <v>2775</v>
      </c>
      <c r="M2585" s="2" t="str">
        <f>IFERROR(__xludf.DUMMYFUNCTION("split(split(K2585,""沢村一樹、"",false),""公式LINE"",false)"),"高嶋政伸、比嘉愛未、黒川智花、宮地雅子、正名僕蔵、滝沢沙織、敦士、斉藤陽一郎、尾崎右宗、阿南敦子、藤原令子/小野武彦、伊藤蘭、野際陽子福田靖本橋圭太B’z『ユートピア』(VERMILLION RECORDS)  ※「B’z The Best XXV 1999-2012」収録【ゼネラルプロデューサー】黒田徹也(テレビ朝日)  【プロデューサー】三輪祐見子(テレビ朝日)、松野千鶴子(アズバーズ)☆番組HP  　http://www.tv-asahi.co.jp/doctors/")</f>
        <v>高嶋政伸、比嘉愛未、黒川智花、宮地雅子、正名僕蔵、滝沢沙織、敦士、斉藤陽一郎、尾崎右宗、阿南敦子、藤原令子/小野武彦、伊藤蘭、野際陽子福田靖本橋圭太B’z『ユートピア』(VERMILLION RECORDS)  ※「B’z The Best XXV 1999-2012」収録【ゼネラルプロデューサー】黒田徹也(テレビ朝日)  【プロデューサー】三輪祐見子(テレビ朝日)、松野千鶴子(アズバーズ)☆番組HP  　http://www.tv-asahi.co.jp/doctors/</v>
      </c>
      <c r="N2585" s="2"/>
      <c r="O2585" s="2"/>
      <c r="P2585" s="1"/>
      <c r="Q2585" s="1"/>
      <c r="R2585" s="1"/>
      <c r="S2585" s="1"/>
      <c r="T2585" s="1"/>
      <c r="U2585" s="1"/>
      <c r="V2585" s="1"/>
      <c r="W2585" s="1"/>
      <c r="X2585" s="1"/>
      <c r="Y2585" s="1"/>
      <c r="Z2585" s="1"/>
      <c r="AA2585" s="1"/>
      <c r="AB2585" s="1"/>
      <c r="AC2585" s="1"/>
      <c r="AD2585" s="1"/>
      <c r="AE2585" s="1"/>
      <c r="AF2585" s="1"/>
      <c r="AG2585" s="1"/>
      <c r="AH2585" s="1"/>
      <c r="AI2585" s="1"/>
      <c r="AJ2585" s="1"/>
      <c r="AK2585" s="1"/>
      <c r="AL2585" s="1"/>
      <c r="AM2585" s="1"/>
      <c r="AN2585" s="1"/>
      <c r="AO2585" s="1"/>
      <c r="AP2585" s="1"/>
      <c r="AQ2585" s="1"/>
      <c r="AR2585" s="1"/>
      <c r="AS2585" s="1"/>
      <c r="AT2585" s="1"/>
      <c r="AU2585" s="1"/>
      <c r="AV2585" s="1"/>
      <c r="AW2585" s="1"/>
      <c r="AX2585" s="1"/>
      <c r="AY2585" s="1"/>
      <c r="AZ2585" s="1"/>
      <c r="BA2585" s="1"/>
      <c r="BB2585" s="1"/>
    </row>
    <row r="2586" ht="204.75" customHeight="1">
      <c r="A2586" s="1">
        <v>3243.0</v>
      </c>
      <c r="B2586" s="2" t="s">
        <v>8015</v>
      </c>
      <c r="C2586" s="2">
        <f>IFERROR(__xludf.DUMMYFUNCTION("split(B2586,""_"")"),1307.0)</f>
        <v>1307</v>
      </c>
      <c r="D2586" s="2" t="str">
        <f>IFERROR(__xludf.DUMMYFUNCTION("""COMPUTED_VALUE"""),"EX")</f>
        <v>EX</v>
      </c>
      <c r="E2586" s="2" t="str">
        <f>IFERROR(__xludf.DUMMYFUNCTION("""COMPUTED_VALUE"""),"木21")</f>
        <v>木21</v>
      </c>
      <c r="F2586" s="2" t="s">
        <v>8016</v>
      </c>
      <c r="G2586" s="2" t="s">
        <v>8022</v>
      </c>
      <c r="H2586" s="1">
        <v>3.0</v>
      </c>
      <c r="I2586" s="1" t="s">
        <v>2876</v>
      </c>
      <c r="J2586" s="1" t="s">
        <v>11</v>
      </c>
      <c r="K2586" s="2" t="s">
        <v>8021</v>
      </c>
      <c r="L2586" s="10" t="s">
        <v>2775</v>
      </c>
      <c r="M2586" s="2" t="str">
        <f>IFERROR(__xludf.DUMMYFUNCTION("split(split(K2586,""沢村一樹、"",false),""公式LINE"",false)"),"高嶋政伸、比嘉愛未、黒川智花、宮地雅子、正名僕蔵、滝沢沙織、敦士、斉藤陽一郎、尾崎右宗、阿南敦子、藤原令子/小野武彦、伊藤蘭、野際陽子福田靖本橋圭太B’z『ユートピア』(VERMILLION RECORDS)  ※「B’z The Best XXV 1999-2012」収録【ゼネラルプロデューサー】黒田徹也(テレビ朝日)  【プロデューサー】三輪祐見子(テレビ朝日)、松野千鶴子(アズバーズ)☆番組HP  　http://www.tv-asahi.co.jp/doctors/")</f>
        <v>高嶋政伸、比嘉愛未、黒川智花、宮地雅子、正名僕蔵、滝沢沙織、敦士、斉藤陽一郎、尾崎右宗、阿南敦子、藤原令子/小野武彦、伊藤蘭、野際陽子福田靖本橋圭太B’z『ユートピア』(VERMILLION RECORDS)  ※「B’z The Best XXV 1999-2012」収録【ゼネラルプロデューサー】黒田徹也(テレビ朝日)  【プロデューサー】三輪祐見子(テレビ朝日)、松野千鶴子(アズバーズ)☆番組HP  　http://www.tv-asahi.co.jp/doctors/</v>
      </c>
      <c r="N2586" s="2"/>
      <c r="O2586" s="2"/>
      <c r="P2586" s="1"/>
      <c r="Q2586" s="1"/>
      <c r="R2586" s="1"/>
      <c r="S2586" s="1"/>
      <c r="T2586" s="1"/>
      <c r="U2586" s="1"/>
      <c r="V2586" s="1"/>
      <c r="W2586" s="1"/>
      <c r="X2586" s="1"/>
      <c r="Y2586" s="1"/>
      <c r="Z2586" s="1"/>
      <c r="AA2586" s="1"/>
      <c r="AB2586" s="1"/>
      <c r="AC2586" s="1"/>
      <c r="AD2586" s="1"/>
      <c r="AE2586" s="1"/>
      <c r="AF2586" s="1"/>
      <c r="AG2586" s="1"/>
      <c r="AH2586" s="1"/>
      <c r="AI2586" s="1"/>
      <c r="AJ2586" s="1"/>
      <c r="AK2586" s="1"/>
      <c r="AL2586" s="1"/>
      <c r="AM2586" s="1"/>
      <c r="AN2586" s="1"/>
      <c r="AO2586" s="1"/>
      <c r="AP2586" s="1"/>
      <c r="AQ2586" s="1"/>
      <c r="AR2586" s="1"/>
      <c r="AS2586" s="1"/>
      <c r="AT2586" s="1"/>
      <c r="AU2586" s="1"/>
      <c r="AV2586" s="1"/>
      <c r="AW2586" s="1"/>
      <c r="AX2586" s="1"/>
      <c r="AY2586" s="1"/>
      <c r="AZ2586" s="1"/>
      <c r="BA2586" s="1"/>
      <c r="BB2586" s="1"/>
    </row>
    <row r="2587" ht="204.75" customHeight="1">
      <c r="A2587" s="1">
        <v>3244.0</v>
      </c>
      <c r="B2587" s="2" t="s">
        <v>8015</v>
      </c>
      <c r="C2587" s="2">
        <f>IFERROR(__xludf.DUMMYFUNCTION("split(B2587,""_"")"),1307.0)</f>
        <v>1307</v>
      </c>
      <c r="D2587" s="2" t="str">
        <f>IFERROR(__xludf.DUMMYFUNCTION("""COMPUTED_VALUE"""),"EX")</f>
        <v>EX</v>
      </c>
      <c r="E2587" s="2" t="str">
        <f>IFERROR(__xludf.DUMMYFUNCTION("""COMPUTED_VALUE"""),"木21")</f>
        <v>木21</v>
      </c>
      <c r="F2587" s="2" t="s">
        <v>8016</v>
      </c>
      <c r="G2587" s="2" t="s">
        <v>8023</v>
      </c>
      <c r="H2587" s="1">
        <v>4.0</v>
      </c>
      <c r="I2587" s="1" t="s">
        <v>2880</v>
      </c>
      <c r="J2587" s="1" t="s">
        <v>11</v>
      </c>
      <c r="K2587" s="2" t="s">
        <v>8024</v>
      </c>
      <c r="L2587" s="10" t="s">
        <v>2775</v>
      </c>
      <c r="M2587" s="2" t="str">
        <f>IFERROR(__xludf.DUMMYFUNCTION("split(split(K2587,""沢村一樹、"",false),""公式LINE"",false)"),"高嶋政伸、比嘉愛未、黒川智花、宮地雅子、正名僕蔵、滝沢沙織、敦士、斉藤陽一郎、尾崎右宗、阿南敦子、藤原令子/小野武彦、伊藤蘭、野際陽子(他)福田靖猪原達三B’z『ユートピア』(VERMILLION RECORDS)  ※「B’z The Best XXV 1999-2012」収録【ゼネラルプロデューサー】黒田徹也(テレビ朝日)  【プロデューサー】三輪祐見子(テレビ朝日)、松野千鶴子(アズバーズ)☆番組HP  　http://www.tv-asahi.co.jp/doctors/")</f>
        <v>高嶋政伸、比嘉愛未、黒川智花、宮地雅子、正名僕蔵、滝沢沙織、敦士、斉藤陽一郎、尾崎右宗、阿南敦子、藤原令子/小野武彦、伊藤蘭、野際陽子(他)福田靖猪原達三B’z『ユートピア』(VERMILLION RECORDS)  ※「B’z The Best XXV 1999-2012」収録【ゼネラルプロデューサー】黒田徹也(テレビ朝日)  【プロデューサー】三輪祐見子(テレビ朝日)、松野千鶴子(アズバーズ)☆番組HP  　http://www.tv-asahi.co.jp/doctors/</v>
      </c>
      <c r="N2587" s="2"/>
      <c r="O2587" s="2"/>
      <c r="P2587" s="1"/>
      <c r="Q2587" s="1"/>
      <c r="R2587" s="1"/>
      <c r="S2587" s="1"/>
      <c r="T2587" s="1"/>
      <c r="U2587" s="1"/>
      <c r="V2587" s="1"/>
      <c r="W2587" s="1"/>
      <c r="X2587" s="1"/>
      <c r="Y2587" s="1"/>
      <c r="Z2587" s="1"/>
      <c r="AA2587" s="1"/>
      <c r="AB2587" s="1"/>
      <c r="AC2587" s="1"/>
      <c r="AD2587" s="1"/>
      <c r="AE2587" s="1"/>
      <c r="AF2587" s="1"/>
      <c r="AG2587" s="1"/>
      <c r="AH2587" s="1"/>
      <c r="AI2587" s="1"/>
      <c r="AJ2587" s="1"/>
      <c r="AK2587" s="1"/>
      <c r="AL2587" s="1"/>
      <c r="AM2587" s="1"/>
      <c r="AN2587" s="1"/>
      <c r="AO2587" s="1"/>
      <c r="AP2587" s="1"/>
      <c r="AQ2587" s="1"/>
      <c r="AR2587" s="1"/>
      <c r="AS2587" s="1"/>
      <c r="AT2587" s="1"/>
      <c r="AU2587" s="1"/>
      <c r="AV2587" s="1"/>
      <c r="AW2587" s="1"/>
      <c r="AX2587" s="1"/>
      <c r="AY2587" s="1"/>
      <c r="AZ2587" s="1"/>
      <c r="BA2587" s="1"/>
      <c r="BB2587" s="1"/>
    </row>
    <row r="2588" ht="204.75" customHeight="1">
      <c r="A2588" s="1">
        <v>3245.0</v>
      </c>
      <c r="B2588" s="2" t="s">
        <v>8015</v>
      </c>
      <c r="C2588" s="2">
        <f>IFERROR(__xludf.DUMMYFUNCTION("split(B2588,""_"")"),1307.0)</f>
        <v>1307</v>
      </c>
      <c r="D2588" s="2" t="str">
        <f>IFERROR(__xludf.DUMMYFUNCTION("""COMPUTED_VALUE"""),"EX")</f>
        <v>EX</v>
      </c>
      <c r="E2588" s="2" t="str">
        <f>IFERROR(__xludf.DUMMYFUNCTION("""COMPUTED_VALUE"""),"木21")</f>
        <v>木21</v>
      </c>
      <c r="F2588" s="2" t="s">
        <v>8016</v>
      </c>
      <c r="G2588" s="2" t="s">
        <v>8025</v>
      </c>
      <c r="H2588" s="1">
        <v>5.0</v>
      </c>
      <c r="I2588" s="1" t="s">
        <v>2884</v>
      </c>
      <c r="J2588" s="1" t="s">
        <v>11</v>
      </c>
      <c r="K2588" s="2" t="s">
        <v>8026</v>
      </c>
      <c r="L2588" s="10" t="s">
        <v>2775</v>
      </c>
      <c r="M2588" s="2" t="str">
        <f>IFERROR(__xludf.DUMMYFUNCTION("split(split(K2588,""沢村一樹、"",false),""公式LINE"",false)"),"高嶋政伸、比嘉愛未、黒川智花、宮地雅子、正名僕蔵、滝沢沙織、敦士、斉藤陽一郎、尾崎右宗、阿南敦子、藤原令子/小野武彦、伊藤蘭、野際陽子福田靖猪原達三B’z『ユートピア』(VERMILLION RECORDS)  ※「B’z The Best XXV 1999-2012」収録【ゼネラルプロデューサー】黒田徹也(テレビ朝日)  【プロデューサー】三輪祐見子(テレビ朝日)、松野千鶴子(アズバーズ)☆番組HP  　http://www.tv-asahi.co.jp/doctors/")</f>
        <v>高嶋政伸、比嘉愛未、黒川智花、宮地雅子、正名僕蔵、滝沢沙織、敦士、斉藤陽一郎、尾崎右宗、阿南敦子、藤原令子/小野武彦、伊藤蘭、野際陽子福田靖猪原達三B’z『ユートピア』(VERMILLION RECORDS)  ※「B’z The Best XXV 1999-2012」収録【ゼネラルプロデューサー】黒田徹也(テレビ朝日)  【プロデューサー】三輪祐見子(テレビ朝日)、松野千鶴子(アズバーズ)☆番組HP  　http://www.tv-asahi.co.jp/doctors/</v>
      </c>
      <c r="N2588" s="2"/>
      <c r="O2588" s="2"/>
      <c r="P2588" s="1"/>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c r="AN2588" s="1"/>
      <c r="AO2588" s="1"/>
      <c r="AP2588" s="1"/>
      <c r="AQ2588" s="1"/>
      <c r="AR2588" s="1"/>
      <c r="AS2588" s="1"/>
      <c r="AT2588" s="1"/>
      <c r="AU2588" s="1"/>
      <c r="AV2588" s="1"/>
      <c r="AW2588" s="1"/>
      <c r="AX2588" s="1"/>
      <c r="AY2588" s="1"/>
      <c r="AZ2588" s="1"/>
      <c r="BA2588" s="1"/>
      <c r="BB2588" s="1"/>
    </row>
    <row r="2589" ht="204.75" customHeight="1">
      <c r="A2589" s="1">
        <v>3246.0</v>
      </c>
      <c r="B2589" s="2" t="s">
        <v>8015</v>
      </c>
      <c r="C2589" s="2">
        <f>IFERROR(__xludf.DUMMYFUNCTION("split(B2589,""_"")"),1307.0)</f>
        <v>1307</v>
      </c>
      <c r="D2589" s="2" t="str">
        <f>IFERROR(__xludf.DUMMYFUNCTION("""COMPUTED_VALUE"""),"EX")</f>
        <v>EX</v>
      </c>
      <c r="E2589" s="2" t="str">
        <f>IFERROR(__xludf.DUMMYFUNCTION("""COMPUTED_VALUE"""),"木21")</f>
        <v>木21</v>
      </c>
      <c r="F2589" s="2" t="s">
        <v>8016</v>
      </c>
      <c r="G2589" s="2" t="s">
        <v>8027</v>
      </c>
      <c r="H2589" s="1">
        <v>6.0</v>
      </c>
      <c r="I2589" s="1" t="s">
        <v>2888</v>
      </c>
      <c r="J2589" s="1" t="s">
        <v>11</v>
      </c>
      <c r="K2589" s="2" t="s">
        <v>8021</v>
      </c>
      <c r="L2589" s="10" t="s">
        <v>2775</v>
      </c>
      <c r="M2589" s="2" t="str">
        <f>IFERROR(__xludf.DUMMYFUNCTION("split(split(K2589,""沢村一樹、"",false),""公式LINE"",false)"),"高嶋政伸、比嘉愛未、黒川智花、宮地雅子、正名僕蔵、滝沢沙織、敦士、斉藤陽一郎、尾崎右宗、阿南敦子、藤原令子/小野武彦、伊藤蘭、野際陽子福田靖本橋圭太B’z『ユートピア』(VERMILLION RECORDS)  ※「B’z The Best XXV 1999-2012」収録【ゼネラルプロデューサー】黒田徹也(テレビ朝日)  【プロデューサー】三輪祐見子(テレビ朝日)、松野千鶴子(アズバーズ)☆番組HP  　http://www.tv-asahi.co.jp/doctors/")</f>
        <v>高嶋政伸、比嘉愛未、黒川智花、宮地雅子、正名僕蔵、滝沢沙織、敦士、斉藤陽一郎、尾崎右宗、阿南敦子、藤原令子/小野武彦、伊藤蘭、野際陽子福田靖本橋圭太B’z『ユートピア』(VERMILLION RECORDS)  ※「B’z The Best XXV 1999-2012」収録【ゼネラルプロデューサー】黒田徹也(テレビ朝日)  【プロデューサー】三輪祐見子(テレビ朝日)、松野千鶴子(アズバーズ)☆番組HP  　http://www.tv-asahi.co.jp/doctors/</v>
      </c>
      <c r="N2589" s="2"/>
      <c r="O2589" s="2"/>
      <c r="P2589" s="1"/>
      <c r="Q2589" s="1"/>
      <c r="R2589" s="1"/>
      <c r="S2589" s="1"/>
      <c r="T2589" s="1"/>
      <c r="U2589" s="1"/>
      <c r="V2589" s="1"/>
      <c r="W2589" s="1"/>
      <c r="X2589" s="1"/>
      <c r="Y2589" s="1"/>
      <c r="Z2589" s="1"/>
      <c r="AA2589" s="1"/>
      <c r="AB2589" s="1"/>
      <c r="AC2589" s="1"/>
      <c r="AD2589" s="1"/>
      <c r="AE2589" s="1"/>
      <c r="AF2589" s="1"/>
      <c r="AG2589" s="1"/>
      <c r="AH2589" s="1"/>
      <c r="AI2589" s="1"/>
      <c r="AJ2589" s="1"/>
      <c r="AK2589" s="1"/>
      <c r="AL2589" s="1"/>
      <c r="AM2589" s="1"/>
      <c r="AN2589" s="1"/>
      <c r="AO2589" s="1"/>
      <c r="AP2589" s="1"/>
      <c r="AQ2589" s="1"/>
      <c r="AR2589" s="1"/>
      <c r="AS2589" s="1"/>
      <c r="AT2589" s="1"/>
      <c r="AU2589" s="1"/>
      <c r="AV2589" s="1"/>
      <c r="AW2589" s="1"/>
      <c r="AX2589" s="1"/>
      <c r="AY2589" s="1"/>
      <c r="AZ2589" s="1"/>
      <c r="BA2589" s="1"/>
      <c r="BB2589" s="1"/>
    </row>
    <row r="2590" ht="204.75" customHeight="1">
      <c r="A2590" s="1">
        <v>3247.0</v>
      </c>
      <c r="B2590" s="2" t="s">
        <v>8015</v>
      </c>
      <c r="C2590" s="2">
        <f>IFERROR(__xludf.DUMMYFUNCTION("split(B2590,""_"")"),1307.0)</f>
        <v>1307</v>
      </c>
      <c r="D2590" s="2" t="str">
        <f>IFERROR(__xludf.DUMMYFUNCTION("""COMPUTED_VALUE"""),"EX")</f>
        <v>EX</v>
      </c>
      <c r="E2590" s="2" t="str">
        <f>IFERROR(__xludf.DUMMYFUNCTION("""COMPUTED_VALUE"""),"木21")</f>
        <v>木21</v>
      </c>
      <c r="F2590" s="2" t="s">
        <v>8016</v>
      </c>
      <c r="G2590" s="2" t="s">
        <v>8028</v>
      </c>
      <c r="H2590" s="1">
        <v>7.0</v>
      </c>
      <c r="I2590" s="1" t="s">
        <v>2892</v>
      </c>
      <c r="J2590" s="1" t="s">
        <v>11</v>
      </c>
      <c r="K2590" s="2" t="s">
        <v>8029</v>
      </c>
      <c r="L2590" s="10" t="s">
        <v>2775</v>
      </c>
      <c r="M2590" s="2" t="str">
        <f>IFERROR(__xludf.DUMMYFUNCTION("split(split(K2590,""沢村一樹、"",false),""公式LINE"",false)"),"高嶋政伸、比嘉愛未、黒川智花、宮地雅子、正名僕蔵、滝沢沙織、敦士、斉藤陽一郎、尾崎右宗、阿南敦子、藤原令子/小野武彦、伊藤蘭、野際陽子福田靖樹下直美B’z『ユートピア』(VERMILLION RECORDS)  ※「B’z The Best XXV 1999-2012」収録【ゼネラルプロデューサー】黒田徹也(テレビ朝日)  【プロデューサー】三輪祐見子(テレビ朝日)、松野千鶴子(アズバーズ)☆番組HP  　http://www.tv-asahi.co.jp/doctors/")</f>
        <v>高嶋政伸、比嘉愛未、黒川智花、宮地雅子、正名僕蔵、滝沢沙織、敦士、斉藤陽一郎、尾崎右宗、阿南敦子、藤原令子/小野武彦、伊藤蘭、野際陽子福田靖樹下直美B’z『ユートピア』(VERMILLION RECORDS)  ※「B’z The Best XXV 1999-2012」収録【ゼネラルプロデューサー】黒田徹也(テレビ朝日)  【プロデューサー】三輪祐見子(テレビ朝日)、松野千鶴子(アズバーズ)☆番組HP  　http://www.tv-asahi.co.jp/doctors/</v>
      </c>
      <c r="N2590" s="2"/>
      <c r="O2590" s="2"/>
      <c r="P2590" s="1"/>
      <c r="Q2590" s="1"/>
      <c r="R2590" s="1"/>
      <c r="S2590" s="1"/>
      <c r="T2590" s="1"/>
      <c r="U2590" s="1"/>
      <c r="V2590" s="1"/>
      <c r="W2590" s="1"/>
      <c r="X2590" s="1"/>
      <c r="Y2590" s="1"/>
      <c r="Z2590" s="1"/>
      <c r="AA2590" s="1"/>
      <c r="AB2590" s="1"/>
      <c r="AC2590" s="1"/>
      <c r="AD2590" s="1"/>
      <c r="AE2590" s="1"/>
      <c r="AF2590" s="1"/>
      <c r="AG2590" s="1"/>
      <c r="AH2590" s="1"/>
      <c r="AI2590" s="1"/>
      <c r="AJ2590" s="1"/>
      <c r="AK2590" s="1"/>
      <c r="AL2590" s="1"/>
      <c r="AM2590" s="1"/>
      <c r="AN2590" s="1"/>
      <c r="AO2590" s="1"/>
      <c r="AP2590" s="1"/>
      <c r="AQ2590" s="1"/>
      <c r="AR2590" s="1"/>
      <c r="AS2590" s="1"/>
      <c r="AT2590" s="1"/>
      <c r="AU2590" s="1"/>
      <c r="AV2590" s="1"/>
      <c r="AW2590" s="1"/>
      <c r="AX2590" s="1"/>
      <c r="AY2590" s="1"/>
      <c r="AZ2590" s="1"/>
      <c r="BA2590" s="1"/>
      <c r="BB2590" s="1"/>
    </row>
    <row r="2591" ht="204.75" customHeight="1">
      <c r="A2591" s="1">
        <v>3248.0</v>
      </c>
      <c r="B2591" s="2" t="s">
        <v>8015</v>
      </c>
      <c r="C2591" s="2">
        <f>IFERROR(__xludf.DUMMYFUNCTION("split(B2591,""_"")"),1307.0)</f>
        <v>1307</v>
      </c>
      <c r="D2591" s="2" t="str">
        <f>IFERROR(__xludf.DUMMYFUNCTION("""COMPUTED_VALUE"""),"EX")</f>
        <v>EX</v>
      </c>
      <c r="E2591" s="2" t="str">
        <f>IFERROR(__xludf.DUMMYFUNCTION("""COMPUTED_VALUE"""),"木21")</f>
        <v>木21</v>
      </c>
      <c r="F2591" s="2" t="s">
        <v>8016</v>
      </c>
      <c r="G2591" s="2" t="s">
        <v>8030</v>
      </c>
      <c r="H2591" s="1">
        <v>8.0</v>
      </c>
      <c r="I2591" s="1" t="s">
        <v>2896</v>
      </c>
      <c r="J2591" s="1" t="s">
        <v>11</v>
      </c>
      <c r="K2591" s="2" t="s">
        <v>8021</v>
      </c>
      <c r="L2591" s="10" t="s">
        <v>2775</v>
      </c>
      <c r="M2591" s="2" t="str">
        <f>IFERROR(__xludf.DUMMYFUNCTION("split(split(K2591,""沢村一樹、"",false),""公式LINE"",false)"),"高嶋政伸、比嘉愛未、黒川智花、宮地雅子、正名僕蔵、滝沢沙織、敦士、斉藤陽一郎、尾崎右宗、阿南敦子、藤原令子/小野武彦、伊藤蘭、野際陽子福田靖本橋圭太B’z『ユートピア』(VERMILLION RECORDS)  ※「B’z The Best XXV 1999-2012」収録【ゼネラルプロデューサー】黒田徹也(テレビ朝日)  【プロデューサー】三輪祐見子(テレビ朝日)、松野千鶴子(アズバーズ)☆番組HP  　http://www.tv-asahi.co.jp/doctors/")</f>
        <v>高嶋政伸、比嘉愛未、黒川智花、宮地雅子、正名僕蔵、滝沢沙織、敦士、斉藤陽一郎、尾崎右宗、阿南敦子、藤原令子/小野武彦、伊藤蘭、野際陽子福田靖本橋圭太B’z『ユートピア』(VERMILLION RECORDS)  ※「B’z The Best XXV 1999-2012」収録【ゼネラルプロデューサー】黒田徹也(テレビ朝日)  【プロデューサー】三輪祐見子(テレビ朝日)、松野千鶴子(アズバーズ)☆番組HP  　http://www.tv-asahi.co.jp/doctors/</v>
      </c>
      <c r="N2591" s="2"/>
      <c r="O2591" s="2"/>
      <c r="P2591" s="1"/>
      <c r="Q2591" s="1"/>
      <c r="R2591" s="1"/>
      <c r="S2591" s="1"/>
      <c r="T2591" s="1"/>
      <c r="U2591" s="1"/>
      <c r="V2591" s="1"/>
      <c r="W2591" s="1"/>
      <c r="X2591" s="1"/>
      <c r="Y2591" s="1"/>
      <c r="Z2591" s="1"/>
      <c r="AA2591" s="1"/>
      <c r="AB2591" s="1"/>
      <c r="AC2591" s="1"/>
      <c r="AD2591" s="1"/>
      <c r="AE2591" s="1"/>
      <c r="AF2591" s="1"/>
      <c r="AG2591" s="1"/>
      <c r="AH2591" s="1"/>
      <c r="AI2591" s="1"/>
      <c r="AJ2591" s="1"/>
      <c r="AK2591" s="1"/>
      <c r="AL2591" s="1"/>
      <c r="AM2591" s="1"/>
      <c r="AN2591" s="1"/>
      <c r="AO2591" s="1"/>
      <c r="AP2591" s="1"/>
      <c r="AQ2591" s="1"/>
      <c r="AR2591" s="1"/>
      <c r="AS2591" s="1"/>
      <c r="AT2591" s="1"/>
      <c r="AU2591" s="1"/>
      <c r="AV2591" s="1"/>
      <c r="AW2591" s="1"/>
      <c r="AX2591" s="1"/>
      <c r="AY2591" s="1"/>
      <c r="AZ2591" s="1"/>
      <c r="BA2591" s="1"/>
      <c r="BB2591" s="1"/>
    </row>
    <row r="2592" ht="204.75" customHeight="1">
      <c r="A2592" s="1">
        <v>3249.0</v>
      </c>
      <c r="B2592" s="2" t="s">
        <v>8015</v>
      </c>
      <c r="C2592" s="2">
        <f>IFERROR(__xludf.DUMMYFUNCTION("split(B2592,""_"")"),1307.0)</f>
        <v>1307</v>
      </c>
      <c r="D2592" s="2" t="str">
        <f>IFERROR(__xludf.DUMMYFUNCTION("""COMPUTED_VALUE"""),"EX")</f>
        <v>EX</v>
      </c>
      <c r="E2592" s="2" t="str">
        <f>IFERROR(__xludf.DUMMYFUNCTION("""COMPUTED_VALUE"""),"木21")</f>
        <v>木21</v>
      </c>
      <c r="F2592" s="2" t="s">
        <v>8016</v>
      </c>
      <c r="G2592" s="2" t="s">
        <v>8031</v>
      </c>
      <c r="H2592" s="1">
        <v>9.0</v>
      </c>
      <c r="I2592" s="1" t="s">
        <v>2900</v>
      </c>
      <c r="J2592" s="1" t="s">
        <v>4</v>
      </c>
      <c r="K2592" s="2" t="s">
        <v>8021</v>
      </c>
      <c r="L2592" s="10" t="s">
        <v>2775</v>
      </c>
      <c r="M2592" s="2" t="str">
        <f>IFERROR(__xludf.DUMMYFUNCTION("split(split(K2592,""沢村一樹、"",false),""公式LINE"",false)"),"高嶋政伸、比嘉愛未、黒川智花、宮地雅子、正名僕蔵、滝沢沙織、敦士、斉藤陽一郎、尾崎右宗、阿南敦子、藤原令子/小野武彦、伊藤蘭、野際陽子福田靖本橋圭太B’z『ユートピア』(VERMILLION RECORDS)  ※「B’z The Best XXV 1999-2012」収録【ゼネラルプロデューサー】黒田徹也(テレビ朝日)  【プロデューサー】三輪祐見子(テレビ朝日)、松野千鶴子(アズバーズ)☆番組HP  　http://www.tv-asahi.co.jp/doctors/")</f>
        <v>高嶋政伸、比嘉愛未、黒川智花、宮地雅子、正名僕蔵、滝沢沙織、敦士、斉藤陽一郎、尾崎右宗、阿南敦子、藤原令子/小野武彦、伊藤蘭、野際陽子福田靖本橋圭太B’z『ユートピア』(VERMILLION RECORDS)  ※「B’z The Best XXV 1999-2012」収録【ゼネラルプロデューサー】黒田徹也(テレビ朝日)  【プロデューサー】三輪祐見子(テレビ朝日)、松野千鶴子(アズバーズ)☆番組HP  　http://www.tv-asahi.co.jp/doctors/</v>
      </c>
      <c r="N2592" s="2"/>
      <c r="O2592" s="2"/>
      <c r="P2592" s="1"/>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c r="AN2592" s="1"/>
      <c r="AO2592" s="1"/>
      <c r="AP2592" s="1"/>
      <c r="AQ2592" s="1"/>
      <c r="AR2592" s="1"/>
      <c r="AS2592" s="1"/>
      <c r="AT2592" s="1"/>
      <c r="AU2592" s="1"/>
      <c r="AV2592" s="1"/>
      <c r="AW2592" s="1"/>
      <c r="AX2592" s="1"/>
      <c r="AY2592" s="1"/>
      <c r="AZ2592" s="1"/>
      <c r="BA2592" s="1"/>
      <c r="BB2592" s="1"/>
    </row>
    <row r="2593" ht="204.75" customHeight="1">
      <c r="A2593" s="1">
        <v>3323.0</v>
      </c>
      <c r="B2593" s="2" t="s">
        <v>8032</v>
      </c>
      <c r="C2593" s="2">
        <f>IFERROR(__xludf.DUMMYFUNCTION("split(B2593,""_"")"),1304.0)</f>
        <v>1304</v>
      </c>
      <c r="D2593" s="2" t="str">
        <f>IFERROR(__xludf.DUMMYFUNCTION("""COMPUTED_VALUE"""),"EX")</f>
        <v>EX</v>
      </c>
      <c r="E2593" s="2" t="str">
        <f>IFERROR(__xludf.DUMMYFUNCTION("""COMPUTED_VALUE"""),"水21")</f>
        <v>水21</v>
      </c>
      <c r="F2593" s="2" t="s">
        <v>7145</v>
      </c>
      <c r="G2593" s="2" t="s">
        <v>8033</v>
      </c>
      <c r="H2593" s="1">
        <v>1.0</v>
      </c>
      <c r="I2593" s="1" t="s">
        <v>2868</v>
      </c>
      <c r="J2593" s="1" t="s">
        <v>11</v>
      </c>
      <c r="K2593" s="4" t="s">
        <v>8034</v>
      </c>
      <c r="L2593" s="11" t="s">
        <v>8035</v>
      </c>
      <c r="M2593" s="2" t="str">
        <f>IFERROR(__xludf.DUMMYFUNCTION("split(split(K2593,""上川隆也、"",false),""公式LINE"",false)"),"撮影所で爆発が起こり、フリー記者の死体が見つかった。被害者が持っていたハーモニカが気になる糸村(上川隆也)は捜査一課から来た森田(西村雅彦)に睨まれながらもハーモニカにこだわり続ける…。そして、改めてハーモニカを観察した時、そこから事件の思わぬ側面を見出す!")</f>
        <v>撮影所で爆発が起こり、フリー記者の死体が見つかった。被害者が持っていたハーモニカが気になる糸村(上川隆也)は捜査一課から来た森田(西村雅彦)に睨まれながらもハーモニカにこだわり続ける…。そして、改めてハーモニカを観察した時、そこから事件の思わぬ側面を見出す!</v>
      </c>
      <c r="N2593" s="2"/>
      <c r="O2593" s="2"/>
      <c r="P2593" s="1"/>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c r="AN2593" s="1"/>
      <c r="AO2593" s="1"/>
      <c r="AP2593" s="1"/>
      <c r="AQ2593" s="1"/>
      <c r="AR2593" s="1"/>
      <c r="AS2593" s="1"/>
      <c r="AT2593" s="1"/>
      <c r="AU2593" s="1"/>
      <c r="AV2593" s="1"/>
      <c r="AW2593" s="1"/>
      <c r="AX2593" s="1"/>
      <c r="AY2593" s="1"/>
      <c r="AZ2593" s="1"/>
      <c r="BA2593" s="1"/>
      <c r="BB2593" s="1"/>
    </row>
    <row r="2594" ht="204.75" customHeight="1">
      <c r="A2594" s="1">
        <v>3324.0</v>
      </c>
      <c r="B2594" s="2" t="s">
        <v>8032</v>
      </c>
      <c r="C2594" s="2">
        <f>IFERROR(__xludf.DUMMYFUNCTION("split(B2594,""_"")"),1304.0)</f>
        <v>1304</v>
      </c>
      <c r="D2594" s="2" t="str">
        <f>IFERROR(__xludf.DUMMYFUNCTION("""COMPUTED_VALUE"""),"EX")</f>
        <v>EX</v>
      </c>
      <c r="E2594" s="2" t="str">
        <f>IFERROR(__xludf.DUMMYFUNCTION("""COMPUTED_VALUE"""),"水21")</f>
        <v>水21</v>
      </c>
      <c r="F2594" s="2" t="s">
        <v>7145</v>
      </c>
      <c r="G2594" s="2" t="s">
        <v>7150</v>
      </c>
      <c r="H2594" s="1">
        <v>2.0</v>
      </c>
      <c r="I2594" s="1" t="s">
        <v>2872</v>
      </c>
      <c r="J2594" s="1" t="s">
        <v>11</v>
      </c>
      <c r="K2594" s="2" t="s">
        <v>8036</v>
      </c>
      <c r="L2594" s="10" t="s">
        <v>2775</v>
      </c>
      <c r="M2594" s="2" t="str">
        <f>IFERROR(__xludf.DUMMYFUNCTION("split(split(K2594,""…"",false),""公式LINE"",false)"),"上川隆也、斉藤由貴、正名僕蔵、眞島秀和、波岡一喜、甲本雅裕、西村雅彦、三宅裕司    【ゲスト】  高岡早紀、斎藤歩、逢沢りな、大浦龍宇一、小木茂光(他)大石哲也長谷川康小田和正『やさしい風が吹いたら』(アリオラジャパン)【チーフプロデューサー】佐藤凉一(テレビ朝日)  【プロデューサー】三輪祐見子(テレビ朝日)、丸山真哉(東映)、和佐野健一(東映)☆番組HP  　http://www.tv-asahi.co.jp/iryu/")</f>
        <v>上川隆也、斉藤由貴、正名僕蔵、眞島秀和、波岡一喜、甲本雅裕、西村雅彦、三宅裕司    【ゲスト】  高岡早紀、斎藤歩、逢沢りな、大浦龍宇一、小木茂光(他)大石哲也長谷川康小田和正『やさしい風が吹いたら』(アリオラジャパン)【チーフプロデューサー】佐藤凉一(テレビ朝日)  【プロデューサー】三輪祐見子(テレビ朝日)、丸山真哉(東映)、和佐野健一(東映)☆番組HP  　http://www.tv-asahi.co.jp/iryu/</v>
      </c>
      <c r="N2594" s="2"/>
      <c r="O2594" s="2"/>
      <c r="P2594" s="1"/>
      <c r="Q2594" s="1"/>
      <c r="R2594" s="1"/>
      <c r="S2594" s="1"/>
      <c r="T2594" s="1"/>
      <c r="U2594" s="1"/>
      <c r="V2594" s="1"/>
      <c r="W2594" s="1"/>
      <c r="X2594" s="1"/>
      <c r="Y2594" s="1"/>
      <c r="Z2594" s="1"/>
      <c r="AA2594" s="1"/>
      <c r="AB2594" s="1"/>
      <c r="AC2594" s="1"/>
      <c r="AD2594" s="1"/>
      <c r="AE2594" s="1"/>
      <c r="AF2594" s="1"/>
      <c r="AG2594" s="1"/>
      <c r="AH2594" s="1"/>
      <c r="AI2594" s="1"/>
      <c r="AJ2594" s="1"/>
      <c r="AK2594" s="1"/>
      <c r="AL2594" s="1"/>
      <c r="AM2594" s="1"/>
      <c r="AN2594" s="1"/>
      <c r="AO2594" s="1"/>
      <c r="AP2594" s="1"/>
      <c r="AQ2594" s="1"/>
      <c r="AR2594" s="1"/>
      <c r="AS2594" s="1"/>
      <c r="AT2594" s="1"/>
      <c r="AU2594" s="1"/>
      <c r="AV2594" s="1"/>
      <c r="AW2594" s="1"/>
      <c r="AX2594" s="1"/>
      <c r="AY2594" s="1"/>
      <c r="AZ2594" s="1"/>
      <c r="BA2594" s="1"/>
      <c r="BB2594" s="1"/>
    </row>
    <row r="2595" ht="204.75" customHeight="1">
      <c r="A2595" s="1">
        <v>3325.0</v>
      </c>
      <c r="B2595" s="2" t="s">
        <v>8032</v>
      </c>
      <c r="C2595" s="2">
        <f>IFERROR(__xludf.DUMMYFUNCTION("split(B2595,""_"")"),1304.0)</f>
        <v>1304</v>
      </c>
      <c r="D2595" s="2" t="str">
        <f>IFERROR(__xludf.DUMMYFUNCTION("""COMPUTED_VALUE"""),"EX")</f>
        <v>EX</v>
      </c>
      <c r="E2595" s="2" t="str">
        <f>IFERROR(__xludf.DUMMYFUNCTION("""COMPUTED_VALUE"""),"水21")</f>
        <v>水21</v>
      </c>
      <c r="F2595" s="2" t="s">
        <v>7145</v>
      </c>
      <c r="G2595" s="2" t="s">
        <v>7154</v>
      </c>
      <c r="H2595" s="1">
        <v>3.0</v>
      </c>
      <c r="I2595" s="1" t="s">
        <v>2876</v>
      </c>
      <c r="J2595" s="1" t="s">
        <v>11</v>
      </c>
      <c r="K2595" s="2" t="s">
        <v>8037</v>
      </c>
      <c r="L2595" s="10" t="s">
        <v>2775</v>
      </c>
      <c r="M2595" s="2" t="str">
        <f>IFERROR(__xludf.DUMMYFUNCTION("split(split(K2595,""…"",false),""公式LINE"",false)"),"上川隆也、斉藤由貴、正名僕蔵、眞島秀和、波岡一喜、甲本雅裕、西村雅彦、三宅裕司    【ゲスト】  小林涼子、山田明郷、松浦佐知子、松本若菜、和泉崇司、勝部演之(他)池上純哉七高剛小田和正『やさしい風が吹いたら』(アリオラジャパン)【チーフプロデューサー】佐藤凉一(テレビ朝日)  【プロデューサー】三輪祐見子(テレビ朝日)、丸山真哉(東映)、和佐野健一(東映)☆番組HP  　http://www.tv-asahi.co.jp/iryu/")</f>
        <v>上川隆也、斉藤由貴、正名僕蔵、眞島秀和、波岡一喜、甲本雅裕、西村雅彦、三宅裕司    【ゲスト】  小林涼子、山田明郷、松浦佐知子、松本若菜、和泉崇司、勝部演之(他)池上純哉七高剛小田和正『やさしい風が吹いたら』(アリオラジャパン)【チーフプロデューサー】佐藤凉一(テレビ朝日)  【プロデューサー】三輪祐見子(テレビ朝日)、丸山真哉(東映)、和佐野健一(東映)☆番組HP  　http://www.tv-asahi.co.jp/iryu/</v>
      </c>
      <c r="N2595" s="2"/>
      <c r="O2595" s="2"/>
      <c r="P2595" s="1"/>
      <c r="Q2595" s="1"/>
      <c r="R2595" s="1"/>
      <c r="S2595" s="1"/>
      <c r="T2595" s="1"/>
      <c r="U2595" s="1"/>
      <c r="V2595" s="1"/>
      <c r="W2595" s="1"/>
      <c r="X2595" s="1"/>
      <c r="Y2595" s="1"/>
      <c r="Z2595" s="1"/>
      <c r="AA2595" s="1"/>
      <c r="AB2595" s="1"/>
      <c r="AC2595" s="1"/>
      <c r="AD2595" s="1"/>
      <c r="AE2595" s="1"/>
      <c r="AF2595" s="1"/>
      <c r="AG2595" s="1"/>
      <c r="AH2595" s="1"/>
      <c r="AI2595" s="1"/>
      <c r="AJ2595" s="1"/>
      <c r="AK2595" s="1"/>
      <c r="AL2595" s="1"/>
      <c r="AM2595" s="1"/>
      <c r="AN2595" s="1"/>
      <c r="AO2595" s="1"/>
      <c r="AP2595" s="1"/>
      <c r="AQ2595" s="1"/>
      <c r="AR2595" s="1"/>
      <c r="AS2595" s="1"/>
      <c r="AT2595" s="1"/>
      <c r="AU2595" s="1"/>
      <c r="AV2595" s="1"/>
      <c r="AW2595" s="1"/>
      <c r="AX2595" s="1"/>
      <c r="AY2595" s="1"/>
      <c r="AZ2595" s="1"/>
      <c r="BA2595" s="1"/>
      <c r="BB2595" s="1"/>
    </row>
    <row r="2596" ht="204.75" customHeight="1">
      <c r="A2596" s="1">
        <v>3326.0</v>
      </c>
      <c r="B2596" s="2" t="s">
        <v>8032</v>
      </c>
      <c r="C2596" s="2">
        <f>IFERROR(__xludf.DUMMYFUNCTION("split(B2596,""_"")"),1304.0)</f>
        <v>1304</v>
      </c>
      <c r="D2596" s="2" t="str">
        <f>IFERROR(__xludf.DUMMYFUNCTION("""COMPUTED_VALUE"""),"EX")</f>
        <v>EX</v>
      </c>
      <c r="E2596" s="2" t="str">
        <f>IFERROR(__xludf.DUMMYFUNCTION("""COMPUTED_VALUE"""),"水21")</f>
        <v>水21</v>
      </c>
      <c r="F2596" s="2" t="s">
        <v>7145</v>
      </c>
      <c r="G2596" s="2" t="s">
        <v>7157</v>
      </c>
      <c r="H2596" s="1">
        <v>4.0</v>
      </c>
      <c r="I2596" s="1" t="s">
        <v>2880</v>
      </c>
      <c r="J2596" s="1" t="s">
        <v>11</v>
      </c>
      <c r="K2596" s="2" t="s">
        <v>8038</v>
      </c>
      <c r="L2596" s="10" t="s">
        <v>2775</v>
      </c>
      <c r="M2596" s="2" t="str">
        <f>IFERROR(__xludf.DUMMYFUNCTION("split(split(K2596,""…"",false),""公式LINE"",false)"),"上川隆也、斉藤由貴、正名僕蔵、眞島秀和、波岡一喜、甲本雅裕、西村雅彦、三宅裕司    【ゲスト】  黄川田将也、北見敏之、荒井萌、少路勇介、森脇英理子(他)大石哲也七高剛小田和正『やさしい風が吹いたら』(アリオラジャパン)【チーフプロデューサー】佐藤凉一(テレビ朝日)  【プロデューサー】三輪祐見子(テレビ朝日)、丸山真哉(東映)、和佐野健一(東映)☆番組HP  　http://www.tv-asahi.co.jp/iryu/")</f>
        <v>上川隆也、斉藤由貴、正名僕蔵、眞島秀和、波岡一喜、甲本雅裕、西村雅彦、三宅裕司    【ゲスト】  黄川田将也、北見敏之、荒井萌、少路勇介、森脇英理子(他)大石哲也七高剛小田和正『やさしい風が吹いたら』(アリオラジャパン)【チーフプロデューサー】佐藤凉一(テレビ朝日)  【プロデューサー】三輪祐見子(テレビ朝日)、丸山真哉(東映)、和佐野健一(東映)☆番組HP  　http://www.tv-asahi.co.jp/iryu/</v>
      </c>
      <c r="N2596" s="2"/>
      <c r="O2596" s="2"/>
      <c r="P2596" s="1"/>
      <c r="Q2596" s="1"/>
      <c r="R2596" s="1"/>
      <c r="S2596" s="1"/>
      <c r="T2596" s="1"/>
      <c r="U2596" s="1"/>
      <c r="V2596" s="1"/>
      <c r="W2596" s="1"/>
      <c r="X2596" s="1"/>
      <c r="Y2596" s="1"/>
      <c r="Z2596" s="1"/>
      <c r="AA2596" s="1"/>
      <c r="AB2596" s="1"/>
      <c r="AC2596" s="1"/>
      <c r="AD2596" s="1"/>
      <c r="AE2596" s="1"/>
      <c r="AF2596" s="1"/>
      <c r="AG2596" s="1"/>
      <c r="AH2596" s="1"/>
      <c r="AI2596" s="1"/>
      <c r="AJ2596" s="1"/>
      <c r="AK2596" s="1"/>
      <c r="AL2596" s="1"/>
      <c r="AM2596" s="1"/>
      <c r="AN2596" s="1"/>
      <c r="AO2596" s="1"/>
      <c r="AP2596" s="1"/>
      <c r="AQ2596" s="1"/>
      <c r="AR2596" s="1"/>
      <c r="AS2596" s="1"/>
      <c r="AT2596" s="1"/>
      <c r="AU2596" s="1"/>
      <c r="AV2596" s="1"/>
      <c r="AW2596" s="1"/>
      <c r="AX2596" s="1"/>
      <c r="AY2596" s="1"/>
      <c r="AZ2596" s="1"/>
      <c r="BA2596" s="1"/>
      <c r="BB2596" s="1"/>
    </row>
    <row r="2597" ht="204.75" customHeight="1">
      <c r="A2597" s="1">
        <v>3327.0</v>
      </c>
      <c r="B2597" s="2" t="s">
        <v>8032</v>
      </c>
      <c r="C2597" s="2">
        <f>IFERROR(__xludf.DUMMYFUNCTION("split(B2597,""_"")"),1304.0)</f>
        <v>1304</v>
      </c>
      <c r="D2597" s="2" t="str">
        <f>IFERROR(__xludf.DUMMYFUNCTION("""COMPUTED_VALUE"""),"EX")</f>
        <v>EX</v>
      </c>
      <c r="E2597" s="2" t="str">
        <f>IFERROR(__xludf.DUMMYFUNCTION("""COMPUTED_VALUE"""),"水21")</f>
        <v>水21</v>
      </c>
      <c r="F2597" s="2" t="s">
        <v>7145</v>
      </c>
      <c r="G2597" s="2" t="s">
        <v>7160</v>
      </c>
      <c r="H2597" s="1">
        <v>5.0</v>
      </c>
      <c r="I2597" s="1" t="s">
        <v>2884</v>
      </c>
      <c r="J2597" s="1" t="s">
        <v>11</v>
      </c>
      <c r="K2597" s="2" t="s">
        <v>8039</v>
      </c>
      <c r="L2597" s="10" t="s">
        <v>2775</v>
      </c>
      <c r="M2597" s="2" t="str">
        <f>IFERROR(__xludf.DUMMYFUNCTION("split(split(K2597,""…"",false),""公式LINE"",false)"),"上川隆也、斉藤由貴、正名僕蔵、眞島秀和、波岡一喜、甲本雅裕、西村雅彦、三宅裕司    【ゲスト】  矢田亜希子、吉田羊、堀内正美、姿晴香、累央、山口美也子、山崎大輔(他)大石哲也長谷川康小田和正『やさしい風が吹いたら』(アリオラジャパン)【チーフプロデューサー】佐藤凉一(テレビ朝日)  【プロデューサー】三輪祐見子(テレビ朝日)、丸山真哉(東映)、和佐野健一(東映)☆番組HP  　http://www.tv-asahi.co.jp/iryu/")</f>
        <v>上川隆也、斉藤由貴、正名僕蔵、眞島秀和、波岡一喜、甲本雅裕、西村雅彦、三宅裕司    【ゲスト】  矢田亜希子、吉田羊、堀内正美、姿晴香、累央、山口美也子、山崎大輔(他)大石哲也長谷川康小田和正『やさしい風が吹いたら』(アリオラジャパン)【チーフプロデューサー】佐藤凉一(テレビ朝日)  【プロデューサー】三輪祐見子(テレビ朝日)、丸山真哉(東映)、和佐野健一(東映)☆番組HP  　http://www.tv-asahi.co.jp/iryu/</v>
      </c>
      <c r="N2597" s="2"/>
      <c r="O2597" s="2"/>
      <c r="P2597" s="1"/>
      <c r="Q2597" s="1"/>
      <c r="R2597" s="1"/>
      <c r="S2597" s="1"/>
      <c r="T2597" s="1"/>
      <c r="U2597" s="1"/>
      <c r="V2597" s="1"/>
      <c r="W2597" s="1"/>
      <c r="X2597" s="1"/>
      <c r="Y2597" s="1"/>
      <c r="Z2597" s="1"/>
      <c r="AA2597" s="1"/>
      <c r="AB2597" s="1"/>
      <c r="AC2597" s="1"/>
      <c r="AD2597" s="1"/>
      <c r="AE2597" s="1"/>
      <c r="AF2597" s="1"/>
      <c r="AG2597" s="1"/>
      <c r="AH2597" s="1"/>
      <c r="AI2597" s="1"/>
      <c r="AJ2597" s="1"/>
      <c r="AK2597" s="1"/>
      <c r="AL2597" s="1"/>
      <c r="AM2597" s="1"/>
      <c r="AN2597" s="1"/>
      <c r="AO2597" s="1"/>
      <c r="AP2597" s="1"/>
      <c r="AQ2597" s="1"/>
      <c r="AR2597" s="1"/>
      <c r="AS2597" s="1"/>
      <c r="AT2597" s="1"/>
      <c r="AU2597" s="1"/>
      <c r="AV2597" s="1"/>
      <c r="AW2597" s="1"/>
      <c r="AX2597" s="1"/>
      <c r="AY2597" s="1"/>
      <c r="AZ2597" s="1"/>
      <c r="BA2597" s="1"/>
      <c r="BB2597" s="1"/>
    </row>
    <row r="2598" ht="204.75" customHeight="1">
      <c r="A2598" s="1">
        <v>3328.0</v>
      </c>
      <c r="B2598" s="2" t="s">
        <v>8032</v>
      </c>
      <c r="C2598" s="2">
        <f>IFERROR(__xludf.DUMMYFUNCTION("split(B2598,""_"")"),1304.0)</f>
        <v>1304</v>
      </c>
      <c r="D2598" s="2" t="str">
        <f>IFERROR(__xludf.DUMMYFUNCTION("""COMPUTED_VALUE"""),"EX")</f>
        <v>EX</v>
      </c>
      <c r="E2598" s="2" t="str">
        <f>IFERROR(__xludf.DUMMYFUNCTION("""COMPUTED_VALUE"""),"水21")</f>
        <v>水21</v>
      </c>
      <c r="F2598" s="2" t="s">
        <v>7145</v>
      </c>
      <c r="G2598" s="2" t="s">
        <v>7163</v>
      </c>
      <c r="H2598" s="1">
        <v>6.0</v>
      </c>
      <c r="I2598" s="1" t="s">
        <v>2888</v>
      </c>
      <c r="J2598" s="1" t="s">
        <v>11</v>
      </c>
      <c r="K2598" s="2" t="s">
        <v>8040</v>
      </c>
      <c r="L2598" s="10" t="s">
        <v>2775</v>
      </c>
      <c r="M2598" s="2" t="str">
        <f>IFERROR(__xludf.DUMMYFUNCTION("split(split(K2598,""…"",false),""公式LINE"",false)"),"上川隆也、斉藤由貴、正名僕蔵、眞島秀和、波岡一喜、甲本雅裕、西村雅彦、三宅裕司    【ゲスト】  浅見れいな、佐藤祐基、藤本哉汰、RIKIYA、モロ師岡(他)池上純哉長谷川康小田和正『やさしい風が吹いたら』(アリオラジャパン)【チーフプロデューサー】佐藤凉一(テレビ朝日)  【プロデューサー】三輪祐見子(テレビ朝日)、丸山真哉(東映)、和佐野健一(東映)☆番組HP  　http://www.tv-asahi.co.jp/iryu/")</f>
        <v>上川隆也、斉藤由貴、正名僕蔵、眞島秀和、波岡一喜、甲本雅裕、西村雅彦、三宅裕司    【ゲスト】  浅見れいな、佐藤祐基、藤本哉汰、RIKIYA、モロ師岡(他)池上純哉長谷川康小田和正『やさしい風が吹いたら』(アリオラジャパン)【チーフプロデューサー】佐藤凉一(テレビ朝日)  【プロデューサー】三輪祐見子(テレビ朝日)、丸山真哉(東映)、和佐野健一(東映)☆番組HP  　http://www.tv-asahi.co.jp/iryu/</v>
      </c>
      <c r="N2598" s="2"/>
      <c r="O2598" s="2"/>
      <c r="P2598" s="1"/>
      <c r="Q2598" s="1"/>
      <c r="R2598" s="1"/>
      <c r="S2598" s="1"/>
      <c r="T2598" s="1"/>
      <c r="U2598" s="1"/>
      <c r="V2598" s="1"/>
      <c r="W2598" s="1"/>
      <c r="X2598" s="1"/>
      <c r="Y2598" s="1"/>
      <c r="Z2598" s="1"/>
      <c r="AA2598" s="1"/>
      <c r="AB2598" s="1"/>
      <c r="AC2598" s="1"/>
      <c r="AD2598" s="1"/>
      <c r="AE2598" s="1"/>
      <c r="AF2598" s="1"/>
      <c r="AG2598" s="1"/>
      <c r="AH2598" s="1"/>
      <c r="AI2598" s="1"/>
      <c r="AJ2598" s="1"/>
      <c r="AK2598" s="1"/>
      <c r="AL2598" s="1"/>
      <c r="AM2598" s="1"/>
      <c r="AN2598" s="1"/>
      <c r="AO2598" s="1"/>
      <c r="AP2598" s="1"/>
      <c r="AQ2598" s="1"/>
      <c r="AR2598" s="1"/>
      <c r="AS2598" s="1"/>
      <c r="AT2598" s="1"/>
      <c r="AU2598" s="1"/>
      <c r="AV2598" s="1"/>
      <c r="AW2598" s="1"/>
      <c r="AX2598" s="1"/>
      <c r="AY2598" s="1"/>
      <c r="AZ2598" s="1"/>
      <c r="BA2598" s="1"/>
      <c r="BB2598" s="1"/>
    </row>
    <row r="2599" ht="204.75" customHeight="1">
      <c r="A2599" s="1">
        <v>3329.0</v>
      </c>
      <c r="B2599" s="2" t="s">
        <v>8032</v>
      </c>
      <c r="C2599" s="2">
        <f>IFERROR(__xludf.DUMMYFUNCTION("split(B2599,""_"")"),1304.0)</f>
        <v>1304</v>
      </c>
      <c r="D2599" s="2" t="str">
        <f>IFERROR(__xludf.DUMMYFUNCTION("""COMPUTED_VALUE"""),"EX")</f>
        <v>EX</v>
      </c>
      <c r="E2599" s="2" t="str">
        <f>IFERROR(__xludf.DUMMYFUNCTION("""COMPUTED_VALUE"""),"水21")</f>
        <v>水21</v>
      </c>
      <c r="F2599" s="2" t="s">
        <v>7145</v>
      </c>
      <c r="G2599" s="2" t="s">
        <v>7166</v>
      </c>
      <c r="H2599" s="1">
        <v>7.0</v>
      </c>
      <c r="I2599" s="1" t="s">
        <v>2892</v>
      </c>
      <c r="J2599" s="1" t="s">
        <v>11</v>
      </c>
      <c r="K2599" s="2" t="s">
        <v>8041</v>
      </c>
      <c r="L2599" s="10" t="s">
        <v>2775</v>
      </c>
      <c r="M2599" s="2" t="str">
        <f>IFERROR(__xludf.DUMMYFUNCTION("split(split(K2599,""…"",false),""公式LINE"",false)"),"上川隆也、斉藤由貴、正名僕蔵、眞島秀和、波岡一喜、甲本雅裕、西村雅彦、三宅裕司    【ゲスト】  岡田浩暉、岩佐真悠子、中島ひろ子、奥田達士、松田賢二、山本學(他)田中孝治高橋浩小田和正『やさしい風が吹いたら』(アリオラジャパン)【チーフプロデューサー】佐藤凉一(テレビ朝日)  【プロデューサー】三輪祐見子(テレビ朝日)、丸山真哉(東映)、和佐野健一(東映)☆番組HP  　http://www.tv-asahi.co.jp/iryu/")</f>
        <v>上川隆也、斉藤由貴、正名僕蔵、眞島秀和、波岡一喜、甲本雅裕、西村雅彦、三宅裕司    【ゲスト】  岡田浩暉、岩佐真悠子、中島ひろ子、奥田達士、松田賢二、山本學(他)田中孝治高橋浩小田和正『やさしい風が吹いたら』(アリオラジャパン)【チーフプロデューサー】佐藤凉一(テレビ朝日)  【プロデューサー】三輪祐見子(テレビ朝日)、丸山真哉(東映)、和佐野健一(東映)☆番組HP  　http://www.tv-asahi.co.jp/iryu/</v>
      </c>
      <c r="N2599" s="2"/>
      <c r="O2599" s="2"/>
      <c r="P2599" s="1"/>
      <c r="Q2599" s="1"/>
      <c r="R2599" s="1"/>
      <c r="S2599" s="1"/>
      <c r="T2599" s="1"/>
      <c r="U2599" s="1"/>
      <c r="V2599" s="1"/>
      <c r="W2599" s="1"/>
      <c r="X2599" s="1"/>
      <c r="Y2599" s="1"/>
      <c r="Z2599" s="1"/>
      <c r="AA2599" s="1"/>
      <c r="AB2599" s="1"/>
      <c r="AC2599" s="1"/>
      <c r="AD2599" s="1"/>
      <c r="AE2599" s="1"/>
      <c r="AF2599" s="1"/>
      <c r="AG2599" s="1"/>
      <c r="AH2599" s="1"/>
      <c r="AI2599" s="1"/>
      <c r="AJ2599" s="1"/>
      <c r="AK2599" s="1"/>
      <c r="AL2599" s="1"/>
      <c r="AM2599" s="1"/>
      <c r="AN2599" s="1"/>
      <c r="AO2599" s="1"/>
      <c r="AP2599" s="1"/>
      <c r="AQ2599" s="1"/>
      <c r="AR2599" s="1"/>
      <c r="AS2599" s="1"/>
      <c r="AT2599" s="1"/>
      <c r="AU2599" s="1"/>
      <c r="AV2599" s="1"/>
      <c r="AW2599" s="1"/>
      <c r="AX2599" s="1"/>
      <c r="AY2599" s="1"/>
      <c r="AZ2599" s="1"/>
      <c r="BA2599" s="1"/>
      <c r="BB2599" s="1"/>
    </row>
    <row r="2600" ht="204.75" customHeight="1">
      <c r="A2600" s="1">
        <v>3330.0</v>
      </c>
      <c r="B2600" s="2" t="s">
        <v>8032</v>
      </c>
      <c r="C2600" s="2">
        <f>IFERROR(__xludf.DUMMYFUNCTION("split(B2600,""_"")"),1304.0)</f>
        <v>1304</v>
      </c>
      <c r="D2600" s="2" t="str">
        <f>IFERROR(__xludf.DUMMYFUNCTION("""COMPUTED_VALUE"""),"EX")</f>
        <v>EX</v>
      </c>
      <c r="E2600" s="2" t="str">
        <f>IFERROR(__xludf.DUMMYFUNCTION("""COMPUTED_VALUE"""),"水21")</f>
        <v>水21</v>
      </c>
      <c r="F2600" s="2" t="s">
        <v>7145</v>
      </c>
      <c r="G2600" s="2" t="s">
        <v>7169</v>
      </c>
      <c r="H2600" s="1">
        <v>8.0</v>
      </c>
      <c r="I2600" s="1" t="s">
        <v>2896</v>
      </c>
      <c r="J2600" s="1" t="s">
        <v>11</v>
      </c>
      <c r="K2600" s="2" t="s">
        <v>8042</v>
      </c>
      <c r="L2600" s="10" t="s">
        <v>2775</v>
      </c>
      <c r="M2600" s="2" t="str">
        <f>IFERROR(__xludf.DUMMYFUNCTION("split(split(K2600,""…"",false),""公式LINE"",false)"),"上川隆也、斉藤由貴、正名僕蔵、眞島秀和、波岡一喜、甲本雅裕、西村雅彦、三宅裕司    【ゲスト】  鈴木浩介、酒井美紀、河相我聞、石井萌々果、小木茂光、中原丈雄(他)大石哲也七高剛小田和正『やさしい風が吹いたら』(アリオラジャパン)【チーフプロデューサー】佐藤凉一(テレビ朝日)  【プロデューサー】三輪祐見子(テレビ朝日)、丸山真哉(東映)、和佐野健一(東映)☆番組HP  　http://www.tv-asahi.co.jp/iryu/")</f>
        <v>上川隆也、斉藤由貴、正名僕蔵、眞島秀和、波岡一喜、甲本雅裕、西村雅彦、三宅裕司    【ゲスト】  鈴木浩介、酒井美紀、河相我聞、石井萌々果、小木茂光、中原丈雄(他)大石哲也七高剛小田和正『やさしい風が吹いたら』(アリオラジャパン)【チーフプロデューサー】佐藤凉一(テレビ朝日)  【プロデューサー】三輪祐見子(テレビ朝日)、丸山真哉(東映)、和佐野健一(東映)☆番組HP  　http://www.tv-asahi.co.jp/iryu/</v>
      </c>
      <c r="N2600" s="2"/>
      <c r="O2600" s="2"/>
      <c r="P2600" s="1"/>
      <c r="Q2600" s="1"/>
      <c r="R2600" s="1"/>
      <c r="S2600" s="1"/>
      <c r="T2600" s="1"/>
      <c r="U2600" s="1"/>
      <c r="V2600" s="1"/>
      <c r="W2600" s="1"/>
      <c r="X2600" s="1"/>
      <c r="Y2600" s="1"/>
      <c r="Z2600" s="1"/>
      <c r="AA2600" s="1"/>
      <c r="AB2600" s="1"/>
      <c r="AC2600" s="1"/>
      <c r="AD2600" s="1"/>
      <c r="AE2600" s="1"/>
      <c r="AF2600" s="1"/>
      <c r="AG2600" s="1"/>
      <c r="AH2600" s="1"/>
      <c r="AI2600" s="1"/>
      <c r="AJ2600" s="1"/>
      <c r="AK2600" s="1"/>
      <c r="AL2600" s="1"/>
      <c r="AM2600" s="1"/>
      <c r="AN2600" s="1"/>
      <c r="AO2600" s="1"/>
      <c r="AP2600" s="1"/>
      <c r="AQ2600" s="1"/>
      <c r="AR2600" s="1"/>
      <c r="AS2600" s="1"/>
      <c r="AT2600" s="1"/>
      <c r="AU2600" s="1"/>
      <c r="AV2600" s="1"/>
      <c r="AW2600" s="1"/>
      <c r="AX2600" s="1"/>
      <c r="AY2600" s="1"/>
      <c r="AZ2600" s="1"/>
      <c r="BA2600" s="1"/>
      <c r="BB2600" s="1"/>
    </row>
    <row r="2601" ht="204.75" customHeight="1">
      <c r="A2601" s="1">
        <v>3331.0</v>
      </c>
      <c r="B2601" s="2" t="s">
        <v>8032</v>
      </c>
      <c r="C2601" s="2">
        <f>IFERROR(__xludf.DUMMYFUNCTION("split(B2601,""_"")"),1304.0)</f>
        <v>1304</v>
      </c>
      <c r="D2601" s="2" t="str">
        <f>IFERROR(__xludf.DUMMYFUNCTION("""COMPUTED_VALUE"""),"EX")</f>
        <v>EX</v>
      </c>
      <c r="E2601" s="2" t="str">
        <f>IFERROR(__xludf.DUMMYFUNCTION("""COMPUTED_VALUE"""),"水21")</f>
        <v>水21</v>
      </c>
      <c r="F2601" s="2" t="s">
        <v>7145</v>
      </c>
      <c r="G2601" s="2" t="s">
        <v>7172</v>
      </c>
      <c r="H2601" s="1">
        <v>9.0</v>
      </c>
      <c r="I2601" s="1" t="s">
        <v>2900</v>
      </c>
      <c r="J2601" s="1" t="s">
        <v>11</v>
      </c>
      <c r="K2601" s="2" t="s">
        <v>8042</v>
      </c>
      <c r="L2601" s="10" t="s">
        <v>2775</v>
      </c>
      <c r="M2601" s="2" t="str">
        <f>IFERROR(__xludf.DUMMYFUNCTION("split(split(K2601,""…"",false),""公式LINE"",false)"),"上川隆也、斉藤由貴、正名僕蔵、眞島秀和、波岡一喜、甲本雅裕、西村雅彦、三宅裕司    【ゲスト】  鈴木浩介、酒井美紀、河相我聞、石井萌々果、小木茂光、中原丈雄(他)大石哲也七高剛小田和正『やさしい風が吹いたら』(アリオラジャパン)【チーフプロデューサー】佐藤凉一(テレビ朝日)  【プロデューサー】三輪祐見子(テレビ朝日)、丸山真哉(東映)、和佐野健一(東映)☆番組HP  　http://www.tv-asahi.co.jp/iryu/")</f>
        <v>上川隆也、斉藤由貴、正名僕蔵、眞島秀和、波岡一喜、甲本雅裕、西村雅彦、三宅裕司    【ゲスト】  鈴木浩介、酒井美紀、河相我聞、石井萌々果、小木茂光、中原丈雄(他)大石哲也七高剛小田和正『やさしい風が吹いたら』(アリオラジャパン)【チーフプロデューサー】佐藤凉一(テレビ朝日)  【プロデューサー】三輪祐見子(テレビ朝日)、丸山真哉(東映)、和佐野健一(東映)☆番組HP  　http://www.tv-asahi.co.jp/iryu/</v>
      </c>
      <c r="N2601" s="2"/>
      <c r="O2601" s="2"/>
      <c r="P2601" s="1"/>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c r="AN2601" s="1"/>
      <c r="AO2601" s="1"/>
      <c r="AP2601" s="1"/>
      <c r="AQ2601" s="1"/>
      <c r="AR2601" s="1"/>
      <c r="AS2601" s="1"/>
      <c r="AT2601" s="1"/>
      <c r="AU2601" s="1"/>
      <c r="AV2601" s="1"/>
      <c r="AW2601" s="1"/>
      <c r="AX2601" s="1"/>
      <c r="AY2601" s="1"/>
      <c r="AZ2601" s="1"/>
      <c r="BA2601" s="1"/>
      <c r="BB2601" s="1"/>
    </row>
    <row r="2602" ht="204.75" customHeight="1">
      <c r="A2602" s="1">
        <v>3352.0</v>
      </c>
      <c r="B2602" s="2" t="s">
        <v>8043</v>
      </c>
      <c r="C2602" s="2">
        <f>IFERROR(__xludf.DUMMYFUNCTION("split(B2602,""_"")"),1304.0)</f>
        <v>1304</v>
      </c>
      <c r="D2602" s="2" t="str">
        <f>IFERROR(__xludf.DUMMYFUNCTION("""COMPUTED_VALUE"""),"EX")</f>
        <v>EX</v>
      </c>
      <c r="E2602" s="2" t="str">
        <f>IFERROR(__xludf.DUMMYFUNCTION("""COMPUTED_VALUE"""),"木20")</f>
        <v>木20</v>
      </c>
      <c r="F2602" s="2" t="s">
        <v>7882</v>
      </c>
      <c r="G2602" s="2" t="s">
        <v>8044</v>
      </c>
      <c r="H2602" s="1">
        <v>1.0</v>
      </c>
      <c r="I2602" s="1" t="s">
        <v>2868</v>
      </c>
      <c r="J2602" s="1" t="s">
        <v>2809</v>
      </c>
      <c r="K2602" s="4" t="s">
        <v>8045</v>
      </c>
      <c r="L2602" s="11" t="s">
        <v>8046</v>
      </c>
      <c r="M2602" s="2" t="str">
        <f>IFERROR(__xludf.DUMMYFUNCTION("split(split(K2602,""花沢太郎…"",false),""公式LINE"",false)"),"第1話には、特別ゲストとして市原悦子が出演!新米刑事・花沢が初めて担当する事件の重要参考人として、訳ありの助産師を演じる!    　殺人事件発生!捜査一課の錦織(高畑淳子)と木内(中村俊介)は容疑者の母(市原悦子)の自宅の張り込みを開始!　そこへ突然、たっぷり太った警官がその家の前まで全速力で疾走してきて、不意に中に入っていったからビックリ!その警官・花沢太郎(石塚英彦)は下着泥棒を追いかけていた途中で、のどが渇いて水を一杯もらうために、たまたまその家に立ち寄ったのだが…!?")</f>
        <v>第1話には、特別ゲストとして市原悦子が出演!新米刑事・花沢が初めて担当する事件の重要参考人として、訳ありの助産師を演じる!    　殺人事件発生!捜査一課の錦織(高畑淳子)と木内(中村俊介)は容疑者の母(市原悦子)の自宅の張り込みを開始!　そこへ突然、たっぷり太った警官がその家の前まで全速力で疾走してきて、不意に中に入っていったからビックリ!その警官・花沢太郎(石塚英彦)は下着泥棒を追いかけていた途中で、のどが渇いて水を一杯もらうために、たまたまその家に立ち寄ったのだが…!?</v>
      </c>
      <c r="N2602" s="2"/>
      <c r="O2602" s="2"/>
      <c r="P2602" s="1"/>
      <c r="Q2602" s="1"/>
      <c r="R2602" s="1"/>
      <c r="S2602" s="1"/>
      <c r="T2602" s="1"/>
      <c r="U2602" s="1"/>
      <c r="V2602" s="1"/>
      <c r="W2602" s="1"/>
      <c r="X2602" s="1"/>
      <c r="Y2602" s="1"/>
      <c r="Z2602" s="1"/>
      <c r="AA2602" s="1"/>
      <c r="AB2602" s="1"/>
      <c r="AC2602" s="1"/>
      <c r="AD2602" s="1"/>
      <c r="AE2602" s="1"/>
      <c r="AF2602" s="1"/>
      <c r="AG2602" s="1"/>
      <c r="AH2602" s="1"/>
      <c r="AI2602" s="1"/>
      <c r="AJ2602" s="1"/>
      <c r="AK2602" s="1"/>
      <c r="AL2602" s="1"/>
      <c r="AM2602" s="1"/>
      <c r="AN2602" s="1"/>
      <c r="AO2602" s="1"/>
      <c r="AP2602" s="1"/>
      <c r="AQ2602" s="1"/>
      <c r="AR2602" s="1"/>
      <c r="AS2602" s="1"/>
      <c r="AT2602" s="1"/>
      <c r="AU2602" s="1"/>
      <c r="AV2602" s="1"/>
      <c r="AW2602" s="1"/>
      <c r="AX2602" s="1"/>
      <c r="AY2602" s="1"/>
      <c r="AZ2602" s="1"/>
      <c r="BA2602" s="1"/>
      <c r="BB2602" s="1"/>
    </row>
    <row r="2603" ht="204.75" customHeight="1">
      <c r="A2603" s="1">
        <v>3353.0</v>
      </c>
      <c r="B2603" s="2" t="s">
        <v>8043</v>
      </c>
      <c r="C2603" s="2">
        <f>IFERROR(__xludf.DUMMYFUNCTION("split(B2603,""_"")"),1304.0)</f>
        <v>1304</v>
      </c>
      <c r="D2603" s="2" t="str">
        <f>IFERROR(__xludf.DUMMYFUNCTION("""COMPUTED_VALUE"""),"EX")</f>
        <v>EX</v>
      </c>
      <c r="E2603" s="2" t="str">
        <f>IFERROR(__xludf.DUMMYFUNCTION("""COMPUTED_VALUE"""),"木20")</f>
        <v>木20</v>
      </c>
      <c r="F2603" s="2" t="s">
        <v>7882</v>
      </c>
      <c r="G2603" s="2" t="s">
        <v>7886</v>
      </c>
      <c r="H2603" s="1">
        <v>2.0</v>
      </c>
      <c r="I2603" s="1" t="s">
        <v>2872</v>
      </c>
      <c r="J2603" s="1" t="s">
        <v>2809</v>
      </c>
      <c r="K2603" s="2" t="s">
        <v>8047</v>
      </c>
      <c r="L2603" s="11" t="s">
        <v>8048</v>
      </c>
      <c r="M2603" s="2" t="str">
        <f>IFERROR(__xludf.DUMMYFUNCTION("split(split(K2603,""花沢太郎…"",false),""公式LINE"",false)"),"京都の町で人気のおまわりさんが、ある日突然、刑事に!?石塚英彦が、20年の交番勤務で培った洞察力と人間観察力を生かして難事件に挑む、“規格外”の刑事を演じる!")</f>
        <v>京都の町で人気のおまわりさんが、ある日突然、刑事に!?石塚英彦が、20年の交番勤務で培った洞察力と人間観察力を生かして難事件に挑む、“規格外”の刑事を演じる!</v>
      </c>
      <c r="N2603" s="2"/>
      <c r="O2603" s="2"/>
      <c r="P2603" s="1"/>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1"/>
      <c r="AN2603" s="1"/>
      <c r="AO2603" s="1"/>
      <c r="AP2603" s="1"/>
      <c r="AQ2603" s="1"/>
      <c r="AR2603" s="1"/>
      <c r="AS2603" s="1"/>
      <c r="AT2603" s="1"/>
      <c r="AU2603" s="1"/>
      <c r="AV2603" s="1"/>
      <c r="AW2603" s="1"/>
      <c r="AX2603" s="1"/>
      <c r="AY2603" s="1"/>
      <c r="AZ2603" s="1"/>
      <c r="BA2603" s="1"/>
      <c r="BB2603" s="1"/>
    </row>
    <row r="2604" ht="204.75" customHeight="1">
      <c r="A2604" s="1">
        <v>3354.0</v>
      </c>
      <c r="B2604" s="2" t="s">
        <v>8043</v>
      </c>
      <c r="C2604" s="2">
        <f>IFERROR(__xludf.DUMMYFUNCTION("split(B2604,""_"")"),1304.0)</f>
        <v>1304</v>
      </c>
      <c r="D2604" s="2" t="str">
        <f>IFERROR(__xludf.DUMMYFUNCTION("""COMPUTED_VALUE"""),"EX")</f>
        <v>EX</v>
      </c>
      <c r="E2604" s="2" t="str">
        <f>IFERROR(__xludf.DUMMYFUNCTION("""COMPUTED_VALUE"""),"木20")</f>
        <v>木20</v>
      </c>
      <c r="F2604" s="2" t="s">
        <v>7882</v>
      </c>
      <c r="G2604" s="2" t="s">
        <v>7889</v>
      </c>
      <c r="H2604" s="1">
        <v>3.0</v>
      </c>
      <c r="I2604" s="1" t="s">
        <v>2876</v>
      </c>
      <c r="J2604" s="1" t="s">
        <v>7151</v>
      </c>
      <c r="K2604" s="2" t="s">
        <v>8049</v>
      </c>
      <c r="L2604" s="11" t="s">
        <v>8050</v>
      </c>
      <c r="M2604" s="2" t="str">
        <f>IFERROR(__xludf.DUMMYFUNCTION("split(split(K2604,""花沢太郎…"",false),""公式LINE"",false)"),"敵対する一係によって取調室に連行される錦織…。さらに、人気キャスター(東ちづる)がニュース番組を通じて、錦織を名指しで糾弾する事態に!絶体絶命の危機に直面した“特別班”は、花沢の発案で、ある大胆な作戦を立てる!京都の町で人気のおまわりさんが、ある日突然、刑事に!?石塚英彦が、20年の交番勤務で培った洞察力と人間観察力を生かして難事件に挑む、“規格外”の刑事を演じる!")</f>
        <v>敵対する一係によって取調室に連行される錦織…。さらに、人気キャスター(東ちづる)がニュース番組を通じて、錦織を名指しで糾弾する事態に!絶体絶命の危機に直面した“特別班”は、花沢の発案で、ある大胆な作戦を立てる!京都の町で人気のおまわりさんが、ある日突然、刑事に!?石塚英彦が、20年の交番勤務で培った洞察力と人間観察力を生かして難事件に挑む、“規格外”の刑事を演じる!</v>
      </c>
      <c r="N2604" s="2"/>
      <c r="O2604" s="2"/>
      <c r="P2604" s="1"/>
      <c r="Q2604" s="1"/>
      <c r="R2604" s="1"/>
      <c r="S2604" s="1"/>
      <c r="T2604" s="1"/>
      <c r="U2604" s="1"/>
      <c r="V2604" s="1"/>
      <c r="W2604" s="1"/>
      <c r="X2604" s="1"/>
      <c r="Y2604" s="1"/>
      <c r="Z2604" s="1"/>
      <c r="AA2604" s="1"/>
      <c r="AB2604" s="1"/>
      <c r="AC2604" s="1"/>
      <c r="AD2604" s="1"/>
      <c r="AE2604" s="1"/>
      <c r="AF2604" s="1"/>
      <c r="AG2604" s="1"/>
      <c r="AH2604" s="1"/>
      <c r="AI2604" s="1"/>
      <c r="AJ2604" s="1"/>
      <c r="AK2604" s="1"/>
      <c r="AL2604" s="1"/>
      <c r="AM2604" s="1"/>
      <c r="AN2604" s="1"/>
      <c r="AO2604" s="1"/>
      <c r="AP2604" s="1"/>
      <c r="AQ2604" s="1"/>
      <c r="AR2604" s="1"/>
      <c r="AS2604" s="1"/>
      <c r="AT2604" s="1"/>
      <c r="AU2604" s="1"/>
      <c r="AV2604" s="1"/>
      <c r="AW2604" s="1"/>
      <c r="AX2604" s="1"/>
      <c r="AY2604" s="1"/>
      <c r="AZ2604" s="1"/>
      <c r="BA2604" s="1"/>
      <c r="BB2604" s="1"/>
    </row>
    <row r="2605" ht="204.75" customHeight="1">
      <c r="A2605" s="1">
        <v>3355.0</v>
      </c>
      <c r="B2605" s="2" t="s">
        <v>8043</v>
      </c>
      <c r="C2605" s="2">
        <f>IFERROR(__xludf.DUMMYFUNCTION("split(B2605,""_"")"),1304.0)</f>
        <v>1304</v>
      </c>
      <c r="D2605" s="2" t="str">
        <f>IFERROR(__xludf.DUMMYFUNCTION("""COMPUTED_VALUE"""),"EX")</f>
        <v>EX</v>
      </c>
      <c r="E2605" s="2" t="str">
        <f>IFERROR(__xludf.DUMMYFUNCTION("""COMPUTED_VALUE"""),"木20")</f>
        <v>木20</v>
      </c>
      <c r="F2605" s="2" t="s">
        <v>7882</v>
      </c>
      <c r="G2605" s="2" t="s">
        <v>7892</v>
      </c>
      <c r="H2605" s="1">
        <v>4.0</v>
      </c>
      <c r="I2605" s="1" t="s">
        <v>2880</v>
      </c>
      <c r="J2605" s="1" t="s">
        <v>7151</v>
      </c>
      <c r="K2605" s="2" t="s">
        <v>8051</v>
      </c>
      <c r="L2605" s="11" t="s">
        <v>8052</v>
      </c>
      <c r="M2605" s="2" t="str">
        <f>IFERROR(__xludf.DUMMYFUNCTION("split(split(K2605,""花沢太郎…"",false),""公式LINE"",false)"),"京都の大学で教授が殺害された!権田刑事(星野真里)の母校であるその大学を訪れた花沢(石塚英彦)は、権田の恩師で犯罪心理学の権威である奈良教授(辰巳琢郎)に出会う。犯罪のプロである奈良から事件についての見解を聞くうちに、花沢は奈良の話のある矛盾に気付き…!京都の町で人気のおまわりさんが、ある日突然、刑事に!?石塚英彦が、20年の交番勤務で培った洞察力と人間観察力を生かして難事件に挑む、“規格外”の刑事を演じる!")</f>
        <v>京都の大学で教授が殺害された!権田刑事(星野真里)の母校であるその大学を訪れた花沢(石塚英彦)は、権田の恩師で犯罪心理学の権威である奈良教授(辰巳琢郎)に出会う。犯罪のプロである奈良から事件についての見解を聞くうちに、花沢は奈良の話のある矛盾に気付き…!京都の町で人気のおまわりさんが、ある日突然、刑事に!?石塚英彦が、20年の交番勤務で培った洞察力と人間観察力を生かして難事件に挑む、“規格外”の刑事を演じる!</v>
      </c>
      <c r="N2605" s="2"/>
      <c r="O2605" s="2"/>
      <c r="P2605" s="1"/>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
      <c r="AN2605" s="1"/>
      <c r="AO2605" s="1"/>
      <c r="AP2605" s="1"/>
      <c r="AQ2605" s="1"/>
      <c r="AR2605" s="1"/>
      <c r="AS2605" s="1"/>
      <c r="AT2605" s="1"/>
      <c r="AU2605" s="1"/>
      <c r="AV2605" s="1"/>
      <c r="AW2605" s="1"/>
      <c r="AX2605" s="1"/>
      <c r="AY2605" s="1"/>
      <c r="AZ2605" s="1"/>
      <c r="BA2605" s="1"/>
      <c r="BB2605" s="1"/>
    </row>
    <row r="2606" ht="204.75" customHeight="1">
      <c r="A2606" s="1">
        <v>3356.0</v>
      </c>
      <c r="B2606" s="2" t="s">
        <v>8043</v>
      </c>
      <c r="C2606" s="2">
        <f>IFERROR(__xludf.DUMMYFUNCTION("split(B2606,""_"")"),1304.0)</f>
        <v>1304</v>
      </c>
      <c r="D2606" s="2" t="str">
        <f>IFERROR(__xludf.DUMMYFUNCTION("""COMPUTED_VALUE"""),"EX")</f>
        <v>EX</v>
      </c>
      <c r="E2606" s="2" t="str">
        <f>IFERROR(__xludf.DUMMYFUNCTION("""COMPUTED_VALUE"""),"木20")</f>
        <v>木20</v>
      </c>
      <c r="F2606" s="2" t="s">
        <v>7882</v>
      </c>
      <c r="G2606" s="2" t="s">
        <v>7895</v>
      </c>
      <c r="H2606" s="1">
        <v>5.0</v>
      </c>
      <c r="I2606" s="1" t="s">
        <v>2884</v>
      </c>
      <c r="J2606" s="1" t="s">
        <v>7151</v>
      </c>
      <c r="K2606" s="2" t="s">
        <v>8053</v>
      </c>
      <c r="L2606" s="11" t="s">
        <v>8054</v>
      </c>
      <c r="M2606" s="2" t="str">
        <f>IFERROR(__xludf.DUMMYFUNCTION("split(split(K2606,""花沢太郎…"",false),""公式LINE"",false)"),"ビルの上から自殺を図る一人の少女(小池里奈)。自殺を止めるため、花沢らが少女の指示する場所へ行くと、ホームレス襲撃に始まり、ライフル銃撃事件など、次々と事件が巻き起こる!やがて誰かに訴えるように切々と歌い出す少女。その歌が、それらの事件を一つに繋いでいき…!?京都の町で人気のおまわりさんが、ある日突然、刑事に!?石塚英彦が、20年の交番勤務で培った洞察力と人間観察力を生かして難事件に挑む、“規格外”の刑事を演じる!")</f>
        <v>ビルの上から自殺を図る一人の少女(小池里奈)。自殺を止めるため、花沢らが少女の指示する場所へ行くと、ホームレス襲撃に始まり、ライフル銃撃事件など、次々と事件が巻き起こる!やがて誰かに訴えるように切々と歌い出す少女。その歌が、それらの事件を一つに繋いでいき…!?京都の町で人気のおまわりさんが、ある日突然、刑事に!?石塚英彦が、20年の交番勤務で培った洞察力と人間観察力を生かして難事件に挑む、“規格外”の刑事を演じる!</v>
      </c>
      <c r="N2606" s="2"/>
      <c r="O2606" s="2"/>
      <c r="P2606" s="1"/>
      <c r="Q2606" s="1"/>
      <c r="R2606" s="1"/>
      <c r="S2606" s="1"/>
      <c r="T2606" s="1"/>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1"/>
      <c r="AY2606" s="1"/>
      <c r="AZ2606" s="1"/>
      <c r="BA2606" s="1"/>
      <c r="BB2606" s="1"/>
    </row>
    <row r="2607" ht="204.75" customHeight="1">
      <c r="A2607" s="1">
        <v>3357.0</v>
      </c>
      <c r="B2607" s="2" t="s">
        <v>8043</v>
      </c>
      <c r="C2607" s="2">
        <f>IFERROR(__xludf.DUMMYFUNCTION("split(B2607,""_"")"),1304.0)</f>
        <v>1304</v>
      </c>
      <c r="D2607" s="2" t="str">
        <f>IFERROR(__xludf.DUMMYFUNCTION("""COMPUTED_VALUE"""),"EX")</f>
        <v>EX</v>
      </c>
      <c r="E2607" s="2" t="str">
        <f>IFERROR(__xludf.DUMMYFUNCTION("""COMPUTED_VALUE"""),"木20")</f>
        <v>木20</v>
      </c>
      <c r="F2607" s="2" t="s">
        <v>7882</v>
      </c>
      <c r="G2607" s="2" t="s">
        <v>8055</v>
      </c>
      <c r="H2607" s="1">
        <v>6.0</v>
      </c>
      <c r="I2607" s="1" t="s">
        <v>2888</v>
      </c>
      <c r="J2607" s="1" t="s">
        <v>7151</v>
      </c>
      <c r="K2607" s="2" t="s">
        <v>8056</v>
      </c>
      <c r="L2607" s="11" t="s">
        <v>8057</v>
      </c>
      <c r="M2607" s="2" t="str">
        <f>IFERROR(__xludf.DUMMYFUNCTION("split(split(K2607,""花沢太郎…"",false),""公式LINE"",false)"),"その後起きた殺人事件で、被害者の男が“空き巣のハチ”と同じ刑務所に服役していたことが分かる。さらに現場からハチの指紋も採取されたことから、ハチは容疑者として取り調べを受けることに。だが花沢は彼の「大丈夫、大丈夫」という口癖が気になって…?京都の町で人気のおまわりさんが、ある日突然、刑事に!?石塚英彦が、20年の交番勤務で培った洞察力と人間観察力を生かして難事件に挑む、“規格外”の刑事を演じる!")</f>
        <v>その後起きた殺人事件で、被害者の男が“空き巣のハチ”と同じ刑務所に服役していたことが分かる。さらに現場からハチの指紋も採取されたことから、ハチは容疑者として取り調べを受けることに。だが花沢は彼の「大丈夫、大丈夫」という口癖が気になって…?京都の町で人気のおまわりさんが、ある日突然、刑事に!?石塚英彦が、20年の交番勤務で培った洞察力と人間観察力を生かして難事件に挑む、“規格外”の刑事を演じる!</v>
      </c>
      <c r="N2607" s="2"/>
      <c r="O2607" s="2"/>
      <c r="P2607" s="1"/>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c r="AN2607" s="1"/>
      <c r="AO2607" s="1"/>
      <c r="AP2607" s="1"/>
      <c r="AQ2607" s="1"/>
      <c r="AR2607" s="1"/>
      <c r="AS2607" s="1"/>
      <c r="AT2607" s="1"/>
      <c r="AU2607" s="1"/>
      <c r="AV2607" s="1"/>
      <c r="AW2607" s="1"/>
      <c r="AX2607" s="1"/>
      <c r="AY2607" s="1"/>
      <c r="AZ2607" s="1"/>
      <c r="BA2607" s="1"/>
      <c r="BB2607" s="1"/>
    </row>
    <row r="2608" ht="204.75" customHeight="1">
      <c r="A2608" s="1">
        <v>3358.0</v>
      </c>
      <c r="B2608" s="2" t="s">
        <v>8043</v>
      </c>
      <c r="C2608" s="2">
        <f>IFERROR(__xludf.DUMMYFUNCTION("split(B2608,""_"")"),1304.0)</f>
        <v>1304</v>
      </c>
      <c r="D2608" s="2" t="str">
        <f>IFERROR(__xludf.DUMMYFUNCTION("""COMPUTED_VALUE"""),"EX")</f>
        <v>EX</v>
      </c>
      <c r="E2608" s="2" t="str">
        <f>IFERROR(__xludf.DUMMYFUNCTION("""COMPUTED_VALUE"""),"木20")</f>
        <v>木20</v>
      </c>
      <c r="F2608" s="2" t="s">
        <v>7882</v>
      </c>
      <c r="G2608" s="2" t="s">
        <v>8058</v>
      </c>
      <c r="H2608" s="1">
        <v>7.0</v>
      </c>
      <c r="I2608" s="1" t="s">
        <v>2892</v>
      </c>
      <c r="J2608" s="1" t="s">
        <v>2809</v>
      </c>
      <c r="K2608" s="2" t="s">
        <v>8059</v>
      </c>
      <c r="L2608" s="11" t="s">
        <v>8060</v>
      </c>
      <c r="M2608" s="2" t="str">
        <f>IFERROR(__xludf.DUMMYFUNCTION("split(split(K2608,""花沢太郎…"",false),""公式LINE"",false)"),"花沢は、木内(中村俊介)の家族旅行に便乗して訪れた村で、立てこもり事件に遭遇!人質となったのは木内の妻(井上和香)とその子供たち。とっさに犯人を銃殺したのは、花沢とは旧知の仲である村の駐在警察官(鶴見辰吾)だったが…。のどかな村で起こった銃殺事件は意外な展開を迎える!京都の町で人気のおまわりさんが、ある日突然、刑事に!?石塚英彦が、20年の交番勤務で培った洞察力と人間観察力を生かして難事件に挑む、“規格外”の刑事を演じる!")</f>
        <v>花沢は、木内(中村俊介)の家族旅行に便乗して訪れた村で、立てこもり事件に遭遇!人質となったのは木内の妻(井上和香)とその子供たち。とっさに犯人を銃殺したのは、花沢とは旧知の仲である村の駐在警察官(鶴見辰吾)だったが…。のどかな村で起こった銃殺事件は意外な展開を迎える!京都の町で人気のおまわりさんが、ある日突然、刑事に!?石塚英彦が、20年の交番勤務で培った洞察力と人間観察力を生かして難事件に挑む、“規格外”の刑事を演じる!</v>
      </c>
      <c r="N2608" s="2"/>
      <c r="O2608" s="2"/>
      <c r="P2608" s="1"/>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c r="AN2608" s="1"/>
      <c r="AO2608" s="1"/>
      <c r="AP2608" s="1"/>
      <c r="AQ2608" s="1"/>
      <c r="AR2608" s="1"/>
      <c r="AS2608" s="1"/>
      <c r="AT2608" s="1"/>
      <c r="AU2608" s="1"/>
      <c r="AV2608" s="1"/>
      <c r="AW2608" s="1"/>
      <c r="AX2608" s="1"/>
      <c r="AY2608" s="1"/>
      <c r="AZ2608" s="1"/>
      <c r="BA2608" s="1"/>
      <c r="BB2608" s="1"/>
    </row>
    <row r="2609" ht="204.75" customHeight="1">
      <c r="A2609" s="1">
        <v>3359.0</v>
      </c>
      <c r="B2609" s="2" t="s">
        <v>8043</v>
      </c>
      <c r="C2609" s="2">
        <f>IFERROR(__xludf.DUMMYFUNCTION("split(B2609,""_"")"),1304.0)</f>
        <v>1304</v>
      </c>
      <c r="D2609" s="2" t="str">
        <f>IFERROR(__xludf.DUMMYFUNCTION("""COMPUTED_VALUE"""),"EX")</f>
        <v>EX</v>
      </c>
      <c r="E2609" s="2" t="str">
        <f>IFERROR(__xludf.DUMMYFUNCTION("""COMPUTED_VALUE"""),"木20")</f>
        <v>木20</v>
      </c>
      <c r="F2609" s="2" t="s">
        <v>7882</v>
      </c>
      <c r="G2609" s="2" t="s">
        <v>8061</v>
      </c>
      <c r="H2609" s="1">
        <v>8.0</v>
      </c>
      <c r="I2609" s="1" t="s">
        <v>2896</v>
      </c>
      <c r="J2609" s="1" t="s">
        <v>2809</v>
      </c>
      <c r="K2609" s="2" t="s">
        <v>8062</v>
      </c>
      <c r="L2609" s="11" t="s">
        <v>8063</v>
      </c>
      <c r="M2609" s="2" t="str">
        <f>IFERROR(__xludf.DUMMYFUNCTION("split(split(K2609,""花沢太郎…"",false),""公式LINE"",false)"),"花沢(石塚英彦)が小鍋屋で出会った無銭飲食の男(梶原善)。女将のあかね(竹下景子)の計らいで、花沢が逮捕をためらったその男が、強盗殺人を…!?その捜査をきっかけに、15年前にあかねが犯した殺人が冤罪だった可能性が浮上!いよいよ衝撃の真実が明らかに…!?京都の町で人気のおまわりさんが、ある日突然、刑事に!?石塚英彦が、20年の交番勤務で培った洞察力と人間観察力を生かして難事件に挑む、“規格外”の刑事を演じる!")</f>
        <v>花沢(石塚英彦)が小鍋屋で出会った無銭飲食の男(梶原善)。女将のあかね(竹下景子)の計らいで、花沢が逮捕をためらったその男が、強盗殺人を…!?その捜査をきっかけに、15年前にあかねが犯した殺人が冤罪だった可能性が浮上!いよいよ衝撃の真実が明らかに…!?京都の町で人気のおまわりさんが、ある日突然、刑事に!?石塚英彦が、20年の交番勤務で培った洞察力と人間観察力を生かして難事件に挑む、“規格外”の刑事を演じる!</v>
      </c>
      <c r="N2609" s="2"/>
      <c r="O2609" s="2"/>
      <c r="P2609" s="1"/>
      <c r="Q2609" s="1"/>
      <c r="R2609" s="1"/>
      <c r="S2609" s="1"/>
      <c r="T2609" s="1"/>
      <c r="U2609" s="1"/>
      <c r="V2609" s="1"/>
      <c r="W2609" s="1"/>
      <c r="X2609" s="1"/>
      <c r="Y2609" s="1"/>
      <c r="Z2609" s="1"/>
      <c r="AA2609" s="1"/>
      <c r="AB2609" s="1"/>
      <c r="AC2609" s="1"/>
      <c r="AD2609" s="1"/>
      <c r="AE2609" s="1"/>
      <c r="AF2609" s="1"/>
      <c r="AG2609" s="1"/>
      <c r="AH2609" s="1"/>
      <c r="AI2609" s="1"/>
      <c r="AJ2609" s="1"/>
      <c r="AK2609" s="1"/>
      <c r="AL2609" s="1"/>
      <c r="AM2609" s="1"/>
      <c r="AN2609" s="1"/>
      <c r="AO2609" s="1"/>
      <c r="AP2609" s="1"/>
      <c r="AQ2609" s="1"/>
      <c r="AR2609" s="1"/>
      <c r="AS2609" s="1"/>
      <c r="AT2609" s="1"/>
      <c r="AU2609" s="1"/>
      <c r="AV2609" s="1"/>
      <c r="AW2609" s="1"/>
      <c r="AX2609" s="1"/>
      <c r="AY2609" s="1"/>
      <c r="AZ2609" s="1"/>
      <c r="BA2609" s="1"/>
      <c r="BB2609" s="1"/>
    </row>
    <row r="2610" ht="204.75" customHeight="1">
      <c r="A2610" s="1">
        <v>3377.0</v>
      </c>
      <c r="B2610" s="2" t="s">
        <v>8064</v>
      </c>
      <c r="C2610" s="2">
        <f>IFERROR(__xludf.DUMMYFUNCTION("split(B2610,""_"")"),1304.0)</f>
        <v>1304</v>
      </c>
      <c r="D2610" s="2" t="str">
        <f>IFERROR(__xludf.DUMMYFUNCTION("""COMPUTED_VALUE"""),"EX")</f>
        <v>EX</v>
      </c>
      <c r="E2610" s="2" t="str">
        <f>IFERROR(__xludf.DUMMYFUNCTION("""COMPUTED_VALUE"""),"金23")</f>
        <v>金23</v>
      </c>
      <c r="F2610" s="2" t="s">
        <v>8065</v>
      </c>
      <c r="G2610" s="2" t="s">
        <v>8066</v>
      </c>
      <c r="H2610" s="1">
        <v>1.0</v>
      </c>
      <c r="I2610" s="1" t="s">
        <v>2868</v>
      </c>
      <c r="J2610" s="1" t="s">
        <v>1435</v>
      </c>
      <c r="K2610" s="4" t="s">
        <v>8067</v>
      </c>
      <c r="L2610" s="11" t="s">
        <v>8068</v>
      </c>
      <c r="M2610" s="2" t="str">
        <f>IFERROR(__xludf.DUMMYFUNCTION("split(split(K2610,""武井咲、"",false),""公式LINE"",false)"),"雨の日に起きている4件の連続放火事件!  新人刑事の豪太は、通りがかりのライターを持った男に職務質問をかけていた。だが豪太の前に不思議な女が現れ告げる。  「犯人はその人じゃありません」  女は驚くべき“犯人の名前”を告げる!  気象学により、様々な衝撃トリックを暴いていく!")</f>
        <v>雨の日に起きている4件の連続放火事件!  新人刑事の豪太は、通りがかりのライターを持った男に職務質問をかけていた。だが豪太の前に不思議な女が現れ告げる。  「犯人はその人じゃありません」  女は驚くべき“犯人の名前”を告げる!  気象学により、様々な衝撃トリックを暴いていく!</v>
      </c>
      <c r="N2610" s="2"/>
      <c r="O2610" s="2"/>
      <c r="P2610" s="1"/>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1"/>
      <c r="AN2610" s="1"/>
      <c r="AO2610" s="1"/>
      <c r="AP2610" s="1"/>
      <c r="AQ2610" s="1"/>
      <c r="AR2610" s="1"/>
      <c r="AS2610" s="1"/>
      <c r="AT2610" s="1"/>
      <c r="AU2610" s="1"/>
      <c r="AV2610" s="1"/>
      <c r="AW2610" s="1"/>
      <c r="AX2610" s="1"/>
      <c r="AY2610" s="1"/>
      <c r="AZ2610" s="1"/>
      <c r="BA2610" s="1"/>
      <c r="BB2610" s="1"/>
    </row>
    <row r="2611" ht="204.75" customHeight="1">
      <c r="A2611" s="1">
        <v>3378.0</v>
      </c>
      <c r="B2611" s="2" t="s">
        <v>8064</v>
      </c>
      <c r="C2611" s="2">
        <f>IFERROR(__xludf.DUMMYFUNCTION("split(B2611,""_"")"),1304.0)</f>
        <v>1304</v>
      </c>
      <c r="D2611" s="2" t="str">
        <f>IFERROR(__xludf.DUMMYFUNCTION("""COMPUTED_VALUE"""),"EX")</f>
        <v>EX</v>
      </c>
      <c r="E2611" s="2" t="str">
        <f>IFERROR(__xludf.DUMMYFUNCTION("""COMPUTED_VALUE"""),"金23")</f>
        <v>金23</v>
      </c>
      <c r="F2611" s="2" t="s">
        <v>8065</v>
      </c>
      <c r="G2611" s="2" t="s">
        <v>8069</v>
      </c>
      <c r="H2611" s="1">
        <v>2.0</v>
      </c>
      <c r="I2611" s="1" t="s">
        <v>2872</v>
      </c>
      <c r="J2611" s="1" t="s">
        <v>1435</v>
      </c>
      <c r="K2611" s="2" t="s">
        <v>8070</v>
      </c>
      <c r="L2611" s="11" t="s">
        <v>8071</v>
      </c>
      <c r="M2611" s="2" t="str">
        <f>IFERROR(__xludf.DUMMYFUNCTION("split(split(K2611,""武井咲、"",false),""公式LINE"",false)"),"永遠の愛を手にできる、と言われるパワースポットを訪れた直後に自殺した夫!夫の自殺は不倫と横領に悩んだ末のものなのか?  パワースポットを訪れた晴子(武井咲)と豪太(大倉忠義)は驚くべき妖怪に遭遇する!?晴子と豪太の身に危機が・・・")</f>
        <v>永遠の愛を手にできる、と言われるパワースポットを訪れた直後に自殺した夫!夫の自殺は不倫と横領に悩んだ末のものなのか?  パワースポットを訪れた晴子(武井咲)と豪太(大倉忠義)は驚くべき妖怪に遭遇する!?晴子と豪太の身に危機が・・・</v>
      </c>
      <c r="N2611" s="2"/>
      <c r="O2611" s="2"/>
      <c r="P2611" s="1"/>
      <c r="Q2611" s="1"/>
      <c r="R2611" s="1"/>
      <c r="S2611" s="1"/>
      <c r="T2611" s="1"/>
      <c r="U2611" s="1"/>
      <c r="V2611" s="1"/>
      <c r="W2611" s="1"/>
      <c r="X2611" s="1"/>
      <c r="Y2611" s="1"/>
      <c r="Z2611" s="1"/>
      <c r="AA2611" s="1"/>
      <c r="AB2611" s="1"/>
      <c r="AC2611" s="1"/>
      <c r="AD2611" s="1"/>
      <c r="AE2611" s="1"/>
      <c r="AF2611" s="1"/>
      <c r="AG2611" s="1"/>
      <c r="AH2611" s="1"/>
      <c r="AI2611" s="1"/>
      <c r="AJ2611" s="1"/>
      <c r="AK2611" s="1"/>
      <c r="AL2611" s="1"/>
      <c r="AM2611" s="1"/>
      <c r="AN2611" s="1"/>
      <c r="AO2611" s="1"/>
      <c r="AP2611" s="1"/>
      <c r="AQ2611" s="1"/>
      <c r="AR2611" s="1"/>
      <c r="AS2611" s="1"/>
      <c r="AT2611" s="1"/>
      <c r="AU2611" s="1"/>
      <c r="AV2611" s="1"/>
      <c r="AW2611" s="1"/>
      <c r="AX2611" s="1"/>
      <c r="AY2611" s="1"/>
      <c r="AZ2611" s="1"/>
      <c r="BA2611" s="1"/>
      <c r="BB2611" s="1"/>
    </row>
    <row r="2612" ht="204.75" customHeight="1">
      <c r="A2612" s="1">
        <v>3379.0</v>
      </c>
      <c r="B2612" s="2" t="s">
        <v>8064</v>
      </c>
      <c r="C2612" s="2">
        <f>IFERROR(__xludf.DUMMYFUNCTION("split(B2612,""_"")"),1304.0)</f>
        <v>1304</v>
      </c>
      <c r="D2612" s="2" t="str">
        <f>IFERROR(__xludf.DUMMYFUNCTION("""COMPUTED_VALUE"""),"EX")</f>
        <v>EX</v>
      </c>
      <c r="E2612" s="2" t="str">
        <f>IFERROR(__xludf.DUMMYFUNCTION("""COMPUTED_VALUE"""),"金23")</f>
        <v>金23</v>
      </c>
      <c r="F2612" s="2" t="s">
        <v>8065</v>
      </c>
      <c r="G2612" s="2" t="s">
        <v>8072</v>
      </c>
      <c r="H2612" s="1">
        <v>3.0</v>
      </c>
      <c r="I2612" s="1" t="s">
        <v>2876</v>
      </c>
      <c r="J2612" s="1" t="s">
        <v>1435</v>
      </c>
      <c r="K2612" s="2" t="s">
        <v>8073</v>
      </c>
      <c r="L2612" s="11" t="s">
        <v>8074</v>
      </c>
      <c r="M2612" s="2" t="str">
        <f>IFERROR(__xludf.DUMMYFUNCTION("split(split(K2612,""武井咲、"",false),""公式LINE"",false)"),"ストーカーの存在に怯える女性の周りで連続放火事件発生!だが女性は一向に被害届を出そうとしない…。被害届を出させたい豪太は晴子とともに真相究明に!茜にも謎の男から頻繁に連絡が…。身に覚えのない男の存在に不安と恐怖を募らせる。巧妙に仕掛けられたトリックとは!?")</f>
        <v>ストーカーの存在に怯える女性の周りで連続放火事件発生!だが女性は一向に被害届を出そうとしない…。被害届を出させたい豪太は晴子とともに真相究明に!茜にも謎の男から頻繁に連絡が…。身に覚えのない男の存在に不安と恐怖を募らせる。巧妙に仕掛けられたトリックとは!?</v>
      </c>
      <c r="N2612" s="2"/>
      <c r="O2612" s="2"/>
      <c r="P2612" s="1"/>
      <c r="Q2612" s="1"/>
      <c r="R2612" s="1"/>
      <c r="S2612" s="1"/>
      <c r="T2612" s="1"/>
      <c r="U2612" s="1"/>
      <c r="V2612" s="1"/>
      <c r="W2612" s="1"/>
      <c r="X2612" s="1"/>
      <c r="Y2612" s="1"/>
      <c r="Z2612" s="1"/>
      <c r="AA2612" s="1"/>
      <c r="AB2612" s="1"/>
      <c r="AC2612" s="1"/>
      <c r="AD2612" s="1"/>
      <c r="AE2612" s="1"/>
      <c r="AF2612" s="1"/>
      <c r="AG2612" s="1"/>
      <c r="AH2612" s="1"/>
      <c r="AI2612" s="1"/>
      <c r="AJ2612" s="1"/>
      <c r="AK2612" s="1"/>
      <c r="AL2612" s="1"/>
      <c r="AM2612" s="1"/>
      <c r="AN2612" s="1"/>
      <c r="AO2612" s="1"/>
      <c r="AP2612" s="1"/>
      <c r="AQ2612" s="1"/>
      <c r="AR2612" s="1"/>
      <c r="AS2612" s="1"/>
      <c r="AT2612" s="1"/>
      <c r="AU2612" s="1"/>
      <c r="AV2612" s="1"/>
      <c r="AW2612" s="1"/>
      <c r="AX2612" s="1"/>
      <c r="AY2612" s="1"/>
      <c r="AZ2612" s="1"/>
      <c r="BA2612" s="1"/>
      <c r="BB2612" s="1"/>
    </row>
    <row r="2613" ht="204.75" customHeight="1">
      <c r="A2613" s="1">
        <v>3380.0</v>
      </c>
      <c r="B2613" s="2" t="s">
        <v>8064</v>
      </c>
      <c r="C2613" s="2">
        <f>IFERROR(__xludf.DUMMYFUNCTION("split(B2613,""_"")"),1304.0)</f>
        <v>1304</v>
      </c>
      <c r="D2613" s="2" t="str">
        <f>IFERROR(__xludf.DUMMYFUNCTION("""COMPUTED_VALUE"""),"EX")</f>
        <v>EX</v>
      </c>
      <c r="E2613" s="2" t="str">
        <f>IFERROR(__xludf.DUMMYFUNCTION("""COMPUTED_VALUE"""),"金23")</f>
        <v>金23</v>
      </c>
      <c r="F2613" s="2" t="s">
        <v>8065</v>
      </c>
      <c r="G2613" s="2" t="s">
        <v>8075</v>
      </c>
      <c r="H2613" s="1">
        <v>4.0</v>
      </c>
      <c r="I2613" s="1" t="s">
        <v>2880</v>
      </c>
      <c r="J2613" s="1" t="s">
        <v>1435</v>
      </c>
      <c r="K2613" s="2" t="s">
        <v>8076</v>
      </c>
      <c r="L2613" s="11" t="s">
        <v>8077</v>
      </c>
      <c r="M2613" s="2" t="str">
        <f>IFERROR(__xludf.DUMMYFUNCTION("split(split(K2613,""武井咲、"",false),""公式LINE"",false)"),"ある病院の屋上で元大リーガーの間瀬が死亡。周囲に高い建物はなく、屋上へ飛び降りることが不可能と思われたが、検死の結果、死因は転落死と判断される。晴子(武井咲)が説明するダストデビル現象を信じ、捜査に来た豪太(大倉忠義)だったが…。衝撃の事実が発覚する!!")</f>
        <v>ある病院の屋上で元大リーガーの間瀬が死亡。周囲に高い建物はなく、屋上へ飛び降りることが不可能と思われたが、検死の結果、死因は転落死と判断される。晴子(武井咲)が説明するダストデビル現象を信じ、捜査に来た豪太(大倉忠義)だったが…。衝撃の事実が発覚する!!</v>
      </c>
      <c r="N2613" s="2"/>
      <c r="O2613" s="2"/>
      <c r="P2613" s="1"/>
      <c r="Q2613" s="1"/>
      <c r="R2613" s="1"/>
      <c r="S2613" s="1"/>
      <c r="T2613" s="1"/>
      <c r="U2613" s="1"/>
      <c r="V2613" s="1"/>
      <c r="W2613" s="1"/>
      <c r="X2613" s="1"/>
      <c r="Y2613" s="1"/>
      <c r="Z2613" s="1"/>
      <c r="AA2613" s="1"/>
      <c r="AB2613" s="1"/>
      <c r="AC2613" s="1"/>
      <c r="AD2613" s="1"/>
      <c r="AE2613" s="1"/>
      <c r="AF2613" s="1"/>
      <c r="AG2613" s="1"/>
      <c r="AH2613" s="1"/>
      <c r="AI2613" s="1"/>
      <c r="AJ2613" s="1"/>
      <c r="AK2613" s="1"/>
      <c r="AL2613" s="1"/>
      <c r="AM2613" s="1"/>
      <c r="AN2613" s="1"/>
      <c r="AO2613" s="1"/>
      <c r="AP2613" s="1"/>
      <c r="AQ2613" s="1"/>
      <c r="AR2613" s="1"/>
      <c r="AS2613" s="1"/>
      <c r="AT2613" s="1"/>
      <c r="AU2613" s="1"/>
      <c r="AV2613" s="1"/>
      <c r="AW2613" s="1"/>
      <c r="AX2613" s="1"/>
      <c r="AY2613" s="1"/>
      <c r="AZ2613" s="1"/>
      <c r="BA2613" s="1"/>
      <c r="BB2613" s="1"/>
    </row>
    <row r="2614" ht="204.75" customHeight="1">
      <c r="A2614" s="1">
        <v>3381.0</v>
      </c>
      <c r="B2614" s="2" t="s">
        <v>8064</v>
      </c>
      <c r="C2614" s="2">
        <f>IFERROR(__xludf.DUMMYFUNCTION("split(B2614,""_"")"),1304.0)</f>
        <v>1304</v>
      </c>
      <c r="D2614" s="2" t="str">
        <f>IFERROR(__xludf.DUMMYFUNCTION("""COMPUTED_VALUE"""),"EX")</f>
        <v>EX</v>
      </c>
      <c r="E2614" s="2" t="str">
        <f>IFERROR(__xludf.DUMMYFUNCTION("""COMPUTED_VALUE"""),"金23")</f>
        <v>金23</v>
      </c>
      <c r="F2614" s="2" t="s">
        <v>8065</v>
      </c>
      <c r="G2614" s="2" t="s">
        <v>8078</v>
      </c>
      <c r="H2614" s="1">
        <v>5.0</v>
      </c>
      <c r="I2614" s="1" t="s">
        <v>2884</v>
      </c>
      <c r="J2614" s="1" t="s">
        <v>1435</v>
      </c>
      <c r="K2614" s="2" t="s">
        <v>8079</v>
      </c>
      <c r="L2614" s="11" t="s">
        <v>8080</v>
      </c>
      <c r="M2614" s="2" t="str">
        <f>IFERROR(__xludf.DUMMYFUNCTION("split(split(K2614,""武井咲、"",false),""公式LINE"",false)"),"豪太(大倉忠義)の恩師が交通事故死する!だが三平(佐々木蔵之介)の検死によると死因は凍死だった…。晴子(武井咲)の話から雨に濡れての凍死を疑う豪太だが、事件当夜、現場付近では雨は降っていなかった!")</f>
        <v>豪太(大倉忠義)の恩師が交通事故死する!だが三平(佐々木蔵之介)の検死によると死因は凍死だった…。晴子(武井咲)の話から雨に濡れての凍死を疑う豪太だが、事件当夜、現場付近では雨は降っていなかった!</v>
      </c>
      <c r="N2614" s="2"/>
      <c r="O2614" s="2"/>
      <c r="P2614" s="1"/>
      <c r="Q2614" s="1"/>
      <c r="R2614" s="1"/>
      <c r="S2614" s="1"/>
      <c r="T2614" s="1"/>
      <c r="U2614" s="1"/>
      <c r="V2614" s="1"/>
      <c r="W2614" s="1"/>
      <c r="X2614" s="1"/>
      <c r="Y2614" s="1"/>
      <c r="Z2614" s="1"/>
      <c r="AA2614" s="1"/>
      <c r="AB2614" s="1"/>
      <c r="AC2614" s="1"/>
      <c r="AD2614" s="1"/>
      <c r="AE2614" s="1"/>
      <c r="AF2614" s="1"/>
      <c r="AG2614" s="1"/>
      <c r="AH2614" s="1"/>
      <c r="AI2614" s="1"/>
      <c r="AJ2614" s="1"/>
      <c r="AK2614" s="1"/>
      <c r="AL2614" s="1"/>
      <c r="AM2614" s="1"/>
      <c r="AN2614" s="1"/>
      <c r="AO2614" s="1"/>
      <c r="AP2614" s="1"/>
      <c r="AQ2614" s="1"/>
      <c r="AR2614" s="1"/>
      <c r="AS2614" s="1"/>
      <c r="AT2614" s="1"/>
      <c r="AU2614" s="1"/>
      <c r="AV2614" s="1"/>
      <c r="AW2614" s="1"/>
      <c r="AX2614" s="1"/>
      <c r="AY2614" s="1"/>
      <c r="AZ2614" s="1"/>
      <c r="BA2614" s="1"/>
      <c r="BB2614" s="1"/>
    </row>
    <row r="2615" ht="204.75" customHeight="1">
      <c r="A2615" s="1">
        <v>3382.0</v>
      </c>
      <c r="B2615" s="2" t="s">
        <v>8064</v>
      </c>
      <c r="C2615" s="2">
        <f>IFERROR(__xludf.DUMMYFUNCTION("split(B2615,""_"")"),1304.0)</f>
        <v>1304</v>
      </c>
      <c r="D2615" s="2" t="str">
        <f>IFERROR(__xludf.DUMMYFUNCTION("""COMPUTED_VALUE"""),"EX")</f>
        <v>EX</v>
      </c>
      <c r="E2615" s="2" t="str">
        <f>IFERROR(__xludf.DUMMYFUNCTION("""COMPUTED_VALUE"""),"金23")</f>
        <v>金23</v>
      </c>
      <c r="F2615" s="2" t="s">
        <v>8065</v>
      </c>
      <c r="G2615" s="2" t="s">
        <v>8081</v>
      </c>
      <c r="H2615" s="1">
        <v>6.0</v>
      </c>
      <c r="I2615" s="1" t="s">
        <v>2888</v>
      </c>
      <c r="J2615" s="1" t="s">
        <v>1435</v>
      </c>
      <c r="K2615" s="2" t="s">
        <v>8082</v>
      </c>
      <c r="L2615" s="11" t="s">
        <v>8083</v>
      </c>
      <c r="M2615" s="2" t="str">
        <f>IFERROR(__xludf.DUMMYFUNCTION("split(split(K2615,""武井咲、"",false),""公式LINE"",false)"),"川で紙幣とナイフが発見され、そのやや上流で男性の刺殺体が発見される!容疑者として浮かび上がったのは、晴子(武井咲)と蜜代(壇蜜)が通うヨガのインストラクター。アリバイ崩しのために現場を訪れた晴子は…?")</f>
        <v>川で紙幣とナイフが発見され、そのやや上流で男性の刺殺体が発見される!容疑者として浮かび上がったのは、晴子(武井咲)と蜜代(壇蜜)が通うヨガのインストラクター。アリバイ崩しのために現場を訪れた晴子は…?</v>
      </c>
      <c r="N2615" s="2"/>
      <c r="O2615" s="2"/>
      <c r="P2615" s="1"/>
      <c r="Q2615" s="1"/>
      <c r="R2615" s="1"/>
      <c r="S2615" s="1"/>
      <c r="T2615" s="1"/>
      <c r="U2615" s="1"/>
      <c r="V2615" s="1"/>
      <c r="W2615" s="1"/>
      <c r="X2615" s="1"/>
      <c r="Y2615" s="1"/>
      <c r="Z2615" s="1"/>
      <c r="AA2615" s="1"/>
      <c r="AB2615" s="1"/>
      <c r="AC2615" s="1"/>
      <c r="AD2615" s="1"/>
      <c r="AE2615" s="1"/>
      <c r="AF2615" s="1"/>
      <c r="AG2615" s="1"/>
      <c r="AH2615" s="1"/>
      <c r="AI2615" s="1"/>
      <c r="AJ2615" s="1"/>
      <c r="AK2615" s="1"/>
      <c r="AL2615" s="1"/>
      <c r="AM2615" s="1"/>
      <c r="AN2615" s="1"/>
      <c r="AO2615" s="1"/>
      <c r="AP2615" s="1"/>
      <c r="AQ2615" s="1"/>
      <c r="AR2615" s="1"/>
      <c r="AS2615" s="1"/>
      <c r="AT2615" s="1"/>
      <c r="AU2615" s="1"/>
      <c r="AV2615" s="1"/>
      <c r="AW2615" s="1"/>
      <c r="AX2615" s="1"/>
      <c r="AY2615" s="1"/>
      <c r="AZ2615" s="1"/>
      <c r="BA2615" s="1"/>
      <c r="BB2615" s="1"/>
    </row>
    <row r="2616" ht="204.75" customHeight="1">
      <c r="A2616" s="1">
        <v>3383.0</v>
      </c>
      <c r="B2616" s="2" t="s">
        <v>8064</v>
      </c>
      <c r="C2616" s="2">
        <f>IFERROR(__xludf.DUMMYFUNCTION("split(B2616,""_"")"),1304.0)</f>
        <v>1304</v>
      </c>
      <c r="D2616" s="2" t="str">
        <f>IFERROR(__xludf.DUMMYFUNCTION("""COMPUTED_VALUE"""),"EX")</f>
        <v>EX</v>
      </c>
      <c r="E2616" s="2" t="str">
        <f>IFERROR(__xludf.DUMMYFUNCTION("""COMPUTED_VALUE"""),"金23")</f>
        <v>金23</v>
      </c>
      <c r="F2616" s="2" t="s">
        <v>8065</v>
      </c>
      <c r="G2616" s="2" t="s">
        <v>8084</v>
      </c>
      <c r="H2616" s="1">
        <v>7.0</v>
      </c>
      <c r="I2616" s="1" t="s">
        <v>2892</v>
      </c>
      <c r="J2616" s="1" t="s">
        <v>1435</v>
      </c>
      <c r="K2616" s="2" t="s">
        <v>8085</v>
      </c>
      <c r="L2616" s="11" t="s">
        <v>8086</v>
      </c>
      <c r="M2616" s="2" t="str">
        <f>IFERROR(__xludf.DUMMYFUNCTION("split(split(K2616,""武井咲、"",false),""公式LINE"",false)"),"経済界の大物・園部がトイレの便器で“溺死”!?さらに、局部には火傷の跡が見つかるが、便器の少ない水でどのようにして溺死したのか、疑問に思う…。晴子(武井咲)は現場に行き、どのようにして園部が火傷をしたのかを解明する!一方、風間は茜(佐々木希)を拉致し…!!")</f>
        <v>経済界の大物・園部がトイレの便器で“溺死”!?さらに、局部には火傷の跡が見つかるが、便器の少ない水でどのようにして溺死したのか、疑問に思う…。晴子(武井咲)は現場に行き、どのようにして園部が火傷をしたのかを解明する!一方、風間は茜(佐々木希)を拉致し…!!</v>
      </c>
      <c r="N2616" s="2"/>
      <c r="O2616" s="2"/>
      <c r="P2616" s="1"/>
      <c r="Q2616" s="1"/>
      <c r="R2616" s="1"/>
      <c r="S2616" s="1"/>
      <c r="T2616" s="1"/>
      <c r="U2616" s="1"/>
      <c r="V2616" s="1"/>
      <c r="W2616" s="1"/>
      <c r="X2616" s="1"/>
      <c r="Y2616" s="1"/>
      <c r="Z2616" s="1"/>
      <c r="AA2616" s="1"/>
      <c r="AB2616" s="1"/>
      <c r="AC2616" s="1"/>
      <c r="AD2616" s="1"/>
      <c r="AE2616" s="1"/>
      <c r="AF2616" s="1"/>
      <c r="AG2616" s="1"/>
      <c r="AH2616" s="1"/>
      <c r="AI2616" s="1"/>
      <c r="AJ2616" s="1"/>
      <c r="AK2616" s="1"/>
      <c r="AL2616" s="1"/>
      <c r="AM2616" s="1"/>
      <c r="AN2616" s="1"/>
      <c r="AO2616" s="1"/>
      <c r="AP2616" s="1"/>
      <c r="AQ2616" s="1"/>
      <c r="AR2616" s="1"/>
      <c r="AS2616" s="1"/>
      <c r="AT2616" s="1"/>
      <c r="AU2616" s="1"/>
      <c r="AV2616" s="1"/>
      <c r="AW2616" s="1"/>
      <c r="AX2616" s="1"/>
      <c r="AY2616" s="1"/>
      <c r="AZ2616" s="1"/>
      <c r="BA2616" s="1"/>
      <c r="BB2616" s="1"/>
    </row>
    <row r="2617" ht="204.75" customHeight="1">
      <c r="A2617" s="1">
        <v>3384.0</v>
      </c>
      <c r="B2617" s="2" t="s">
        <v>8064</v>
      </c>
      <c r="C2617" s="2">
        <f>IFERROR(__xludf.DUMMYFUNCTION("split(B2617,""_"")"),1304.0)</f>
        <v>1304</v>
      </c>
      <c r="D2617" s="2" t="str">
        <f>IFERROR(__xludf.DUMMYFUNCTION("""COMPUTED_VALUE"""),"EX")</f>
        <v>EX</v>
      </c>
      <c r="E2617" s="2" t="str">
        <f>IFERROR(__xludf.DUMMYFUNCTION("""COMPUTED_VALUE"""),"金23")</f>
        <v>金23</v>
      </c>
      <c r="F2617" s="2" t="s">
        <v>8065</v>
      </c>
      <c r="G2617" s="2" t="s">
        <v>8087</v>
      </c>
      <c r="H2617" s="1">
        <v>8.0</v>
      </c>
      <c r="I2617" s="1" t="s">
        <v>2896</v>
      </c>
      <c r="J2617" s="1" t="s">
        <v>1435</v>
      </c>
      <c r="K2617" s="2" t="s">
        <v>8088</v>
      </c>
      <c r="L2617" s="11" t="s">
        <v>8089</v>
      </c>
      <c r="M2617" s="2" t="str">
        <f>IFERROR(__xludf.DUMMYFUNCTION("split(split(K2617,""武井咲、"",false),""公式LINE"",false)"),"晴子(武井咲)の活躍が取り沙汰され、豪太(大倉忠義)は上司から晴子に会うことを禁止されてしまう!そんな中、三平(佐々木蔵之介)の同期生が現れ、晴子に行方不明の教え子を探してほしいと依頼を…。すると数日後に、あるマンションの一室からミイラ化した遺体が発見される!")</f>
        <v>晴子(武井咲)の活躍が取り沙汰され、豪太(大倉忠義)は上司から晴子に会うことを禁止されてしまう!そんな中、三平(佐々木蔵之介)の同期生が現れ、晴子に行方不明の教え子を探してほしいと依頼を…。すると数日後に、あるマンションの一室からミイラ化した遺体が発見される!</v>
      </c>
      <c r="N2617" s="2"/>
      <c r="O2617" s="2"/>
      <c r="P2617" s="1"/>
      <c r="Q2617" s="1"/>
      <c r="R2617" s="1"/>
      <c r="S2617" s="1"/>
      <c r="T2617" s="1"/>
      <c r="U2617" s="1"/>
      <c r="V2617" s="1"/>
      <c r="W2617" s="1"/>
      <c r="X2617" s="1"/>
      <c r="Y2617" s="1"/>
      <c r="Z2617" s="1"/>
      <c r="AA2617" s="1"/>
      <c r="AB2617" s="1"/>
      <c r="AC2617" s="1"/>
      <c r="AD2617" s="1"/>
      <c r="AE2617" s="1"/>
      <c r="AF2617" s="1"/>
      <c r="AG2617" s="1"/>
      <c r="AH2617" s="1"/>
      <c r="AI2617" s="1"/>
      <c r="AJ2617" s="1"/>
      <c r="AK2617" s="1"/>
      <c r="AL2617" s="1"/>
      <c r="AM2617" s="1"/>
      <c r="AN2617" s="1"/>
      <c r="AO2617" s="1"/>
      <c r="AP2617" s="1"/>
      <c r="AQ2617" s="1"/>
      <c r="AR2617" s="1"/>
      <c r="AS2617" s="1"/>
      <c r="AT2617" s="1"/>
      <c r="AU2617" s="1"/>
      <c r="AV2617" s="1"/>
      <c r="AW2617" s="1"/>
      <c r="AX2617" s="1"/>
      <c r="AY2617" s="1"/>
      <c r="AZ2617" s="1"/>
      <c r="BA2617" s="1"/>
      <c r="BB2617" s="1"/>
    </row>
    <row r="2618" ht="204.75" customHeight="1">
      <c r="A2618" s="1">
        <v>3385.0</v>
      </c>
      <c r="B2618" s="2" t="s">
        <v>8064</v>
      </c>
      <c r="C2618" s="2">
        <f>IFERROR(__xludf.DUMMYFUNCTION("split(B2618,""_"")"),1304.0)</f>
        <v>1304</v>
      </c>
      <c r="D2618" s="2" t="str">
        <f>IFERROR(__xludf.DUMMYFUNCTION("""COMPUTED_VALUE"""),"EX")</f>
        <v>EX</v>
      </c>
      <c r="E2618" s="2" t="str">
        <f>IFERROR(__xludf.DUMMYFUNCTION("""COMPUTED_VALUE"""),"金23")</f>
        <v>金23</v>
      </c>
      <c r="F2618" s="2" t="s">
        <v>8065</v>
      </c>
      <c r="G2618" s="2" t="s">
        <v>8090</v>
      </c>
      <c r="H2618" s="1">
        <v>9.0</v>
      </c>
      <c r="I2618" s="1" t="s">
        <v>2900</v>
      </c>
      <c r="J2618" s="1" t="s">
        <v>1435</v>
      </c>
      <c r="K2618" s="2" t="s">
        <v>8091</v>
      </c>
      <c r="L2618" s="11" t="s">
        <v>8092</v>
      </c>
      <c r="M2618" s="2" t="str">
        <f>IFERROR(__xludf.DUMMYFUNCTION("split(split(K2618,""武井咲、"",false),""公式LINE"",false)"),"行方不明だった女性が六本木のマンションでミイラ化した遺体となって発見された事件。  誰が彼女を殺したのか?  どうしてミイラになってしまったのか?  女性の行方を捜して欲しいと、依頼してきた天才科学者の本当の目的とは!?  天才気象予報士・安倍晴子が、最後の事件の真相に挑む!!")</f>
        <v>行方不明だった女性が六本木のマンションでミイラ化した遺体となって発見された事件。  誰が彼女を殺したのか?  どうしてミイラになってしまったのか?  女性の行方を捜して欲しいと、依頼してきた天才科学者の本当の目的とは!?  天才気象予報士・安倍晴子が、最後の事件の真相に挑む!!</v>
      </c>
      <c r="N2618" s="2"/>
      <c r="O2618" s="2"/>
      <c r="P2618" s="1"/>
      <c r="Q2618" s="1"/>
      <c r="R2618" s="1"/>
      <c r="S2618" s="1"/>
      <c r="T2618" s="1"/>
      <c r="U2618" s="1"/>
      <c r="V2618" s="1"/>
      <c r="W2618" s="1"/>
      <c r="X2618" s="1"/>
      <c r="Y2618" s="1"/>
      <c r="Z2618" s="1"/>
      <c r="AA2618" s="1"/>
      <c r="AB2618" s="1"/>
      <c r="AC2618" s="1"/>
      <c r="AD2618" s="1"/>
      <c r="AE2618" s="1"/>
      <c r="AF2618" s="1"/>
      <c r="AG2618" s="1"/>
      <c r="AH2618" s="1"/>
      <c r="AI2618" s="1"/>
      <c r="AJ2618" s="1"/>
      <c r="AK2618" s="1"/>
      <c r="AL2618" s="1"/>
      <c r="AM2618" s="1"/>
      <c r="AN2618" s="1"/>
      <c r="AO2618" s="1"/>
      <c r="AP2618" s="1"/>
      <c r="AQ2618" s="1"/>
      <c r="AR2618" s="1"/>
      <c r="AS2618" s="1"/>
      <c r="AT2618" s="1"/>
      <c r="AU2618" s="1"/>
      <c r="AV2618" s="1"/>
      <c r="AW2618" s="1"/>
      <c r="AX2618" s="1"/>
      <c r="AY2618" s="1"/>
      <c r="AZ2618" s="1"/>
      <c r="BA2618" s="1"/>
      <c r="BB2618" s="1"/>
    </row>
    <row r="2619" ht="204.75" customHeight="1">
      <c r="A2619" s="1">
        <v>3451.0</v>
      </c>
      <c r="B2619" s="2" t="s">
        <v>8093</v>
      </c>
      <c r="C2619" s="2">
        <f>IFERROR(__xludf.DUMMYFUNCTION("split(B2619,""_"")"),1301.0)</f>
        <v>1301</v>
      </c>
      <c r="D2619" s="2" t="str">
        <f>IFERROR(__xludf.DUMMYFUNCTION("""COMPUTED_VALUE"""),"EX")</f>
        <v>EX</v>
      </c>
      <c r="E2619" s="2" t="str">
        <f>IFERROR(__xludf.DUMMYFUNCTION("""COMPUTED_VALUE"""),"木21")</f>
        <v>木21</v>
      </c>
      <c r="F2619" s="2" t="s">
        <v>8094</v>
      </c>
      <c r="G2619" s="2" t="s">
        <v>8095</v>
      </c>
      <c r="H2619" s="1">
        <v>1.0</v>
      </c>
      <c r="I2619" s="1" t="s">
        <v>2868</v>
      </c>
      <c r="J2619" s="1" t="s">
        <v>4</v>
      </c>
      <c r="K2619" s="4" t="s">
        <v>8096</v>
      </c>
      <c r="L2619" s="11" t="s">
        <v>8097</v>
      </c>
      <c r="M2619" s="2" t="str">
        <f>IFERROR(__xludf.DUMMYFUNCTION("split(split(K2619,""黒木瞳、"",false),""公式LINE"",false)"),"『姑デビューは地獄の始まり』  姑が亡くなり同居から解放された主婦・水沢麻子(黒木瞳)に運命の日が…。息子の優太(郭智博)が結婚し、姑≪トメ≫デビューすることになったのだ。式当日…麻子は嫁・李里香(相武紗季)に優しくしようと心に決めるが、不吉な胸騒ぎを感じ…")</f>
        <v>『姑デビューは地獄の始まり』  姑が亡くなり同居から解放された主婦・水沢麻子(黒木瞳)に運命の日が…。息子の優太(郭智博)が結婚し、姑≪トメ≫デビューすることになったのだ。式当日…麻子は嫁・李里香(相武紗季)に優しくしようと心に決めるが、不吉な胸騒ぎを感じ…</v>
      </c>
      <c r="N2619" s="2"/>
      <c r="O2619" s="2"/>
      <c r="P2619" s="1"/>
      <c r="Q2619" s="1"/>
      <c r="R2619" s="1"/>
      <c r="S2619" s="1"/>
      <c r="T2619" s="1"/>
      <c r="U2619" s="1"/>
      <c r="V2619" s="1"/>
      <c r="W2619" s="1"/>
      <c r="X2619" s="1"/>
      <c r="Y2619" s="1"/>
      <c r="Z2619" s="1"/>
      <c r="AA2619" s="1"/>
      <c r="AB2619" s="1"/>
      <c r="AC2619" s="1"/>
      <c r="AD2619" s="1"/>
      <c r="AE2619" s="1"/>
      <c r="AF2619" s="1"/>
      <c r="AG2619" s="1"/>
      <c r="AH2619" s="1"/>
      <c r="AI2619" s="1"/>
      <c r="AJ2619" s="1"/>
      <c r="AK2619" s="1"/>
      <c r="AL2619" s="1"/>
      <c r="AM2619" s="1"/>
      <c r="AN2619" s="1"/>
      <c r="AO2619" s="1"/>
      <c r="AP2619" s="1"/>
      <c r="AQ2619" s="1"/>
      <c r="AR2619" s="1"/>
      <c r="AS2619" s="1"/>
      <c r="AT2619" s="1"/>
      <c r="AU2619" s="1"/>
      <c r="AV2619" s="1"/>
      <c r="AW2619" s="1"/>
      <c r="AX2619" s="1"/>
      <c r="AY2619" s="1"/>
      <c r="AZ2619" s="1"/>
      <c r="BA2619" s="1"/>
      <c r="BB2619" s="1"/>
    </row>
    <row r="2620" ht="204.75" customHeight="1">
      <c r="A2620" s="1">
        <v>3452.0</v>
      </c>
      <c r="B2620" s="2" t="s">
        <v>8093</v>
      </c>
      <c r="C2620" s="2">
        <f>IFERROR(__xludf.DUMMYFUNCTION("split(B2620,""_"")"),1301.0)</f>
        <v>1301</v>
      </c>
      <c r="D2620" s="2" t="str">
        <f>IFERROR(__xludf.DUMMYFUNCTION("""COMPUTED_VALUE"""),"EX")</f>
        <v>EX</v>
      </c>
      <c r="E2620" s="2" t="str">
        <f>IFERROR(__xludf.DUMMYFUNCTION("""COMPUTED_VALUE"""),"木21")</f>
        <v>木21</v>
      </c>
      <c r="F2620" s="2" t="s">
        <v>8094</v>
      </c>
      <c r="G2620" s="2" t="s">
        <v>8098</v>
      </c>
      <c r="H2620" s="1">
        <v>2.0</v>
      </c>
      <c r="I2620" s="1" t="s">
        <v>2872</v>
      </c>
      <c r="J2620" s="1" t="s">
        <v>11</v>
      </c>
      <c r="K2620" s="2" t="s">
        <v>8099</v>
      </c>
      <c r="L2620" s="11" t="s">
        <v>8100</v>
      </c>
      <c r="M2620" s="2" t="str">
        <f>IFERROR(__xludf.DUMMYFUNCTION("split(split(K2620,""黒木瞳、"",false),""公式LINE"",false)"),"嫁の衝撃的な過去を掴み、その勢いからさらに大胆な行動へと出ていく麻子。そのころ、麻子たちが暮らす住宅街付近で起きた男性失踪事件を追う刑事・呉竹(大地康雄)は、どういうわけか李里香に目を付け始め…!?")</f>
        <v>嫁の衝撃的な過去を掴み、その勢いからさらに大胆な行動へと出ていく麻子。そのころ、麻子たちが暮らす住宅街付近で起きた男性失踪事件を追う刑事・呉竹(大地康雄)は、どういうわけか李里香に目を付け始め…!?</v>
      </c>
      <c r="N2620" s="2"/>
      <c r="O2620" s="2"/>
      <c r="P2620" s="1"/>
      <c r="Q2620" s="1"/>
      <c r="R2620" s="1"/>
      <c r="S2620" s="1"/>
      <c r="T2620" s="1"/>
      <c r="U2620" s="1"/>
      <c r="V2620" s="1"/>
      <c r="W2620" s="1"/>
      <c r="X2620" s="1"/>
      <c r="Y2620" s="1"/>
      <c r="Z2620" s="1"/>
      <c r="AA2620" s="1"/>
      <c r="AB2620" s="1"/>
      <c r="AC2620" s="1"/>
      <c r="AD2620" s="1"/>
      <c r="AE2620" s="1"/>
      <c r="AF2620" s="1"/>
      <c r="AG2620" s="1"/>
      <c r="AH2620" s="1"/>
      <c r="AI2620" s="1"/>
      <c r="AJ2620" s="1"/>
      <c r="AK2620" s="1"/>
      <c r="AL2620" s="1"/>
      <c r="AM2620" s="1"/>
      <c r="AN2620" s="1"/>
      <c r="AO2620" s="1"/>
      <c r="AP2620" s="1"/>
      <c r="AQ2620" s="1"/>
      <c r="AR2620" s="1"/>
      <c r="AS2620" s="1"/>
      <c r="AT2620" s="1"/>
      <c r="AU2620" s="1"/>
      <c r="AV2620" s="1"/>
      <c r="AW2620" s="1"/>
      <c r="AX2620" s="1"/>
      <c r="AY2620" s="1"/>
      <c r="AZ2620" s="1"/>
      <c r="BA2620" s="1"/>
      <c r="BB2620" s="1"/>
    </row>
    <row r="2621" ht="204.75" customHeight="1">
      <c r="A2621" s="1">
        <v>3453.0</v>
      </c>
      <c r="B2621" s="2" t="s">
        <v>8093</v>
      </c>
      <c r="C2621" s="2">
        <f>IFERROR(__xludf.DUMMYFUNCTION("split(B2621,""_"")"),1301.0)</f>
        <v>1301</v>
      </c>
      <c r="D2621" s="2" t="str">
        <f>IFERROR(__xludf.DUMMYFUNCTION("""COMPUTED_VALUE"""),"EX")</f>
        <v>EX</v>
      </c>
      <c r="E2621" s="2" t="str">
        <f>IFERROR(__xludf.DUMMYFUNCTION("""COMPUTED_VALUE"""),"木21")</f>
        <v>木21</v>
      </c>
      <c r="F2621" s="2" t="s">
        <v>8094</v>
      </c>
      <c r="G2621" s="2" t="s">
        <v>8101</v>
      </c>
      <c r="H2621" s="1">
        <v>3.0</v>
      </c>
      <c r="I2621" s="1" t="s">
        <v>2876</v>
      </c>
      <c r="J2621" s="1" t="s">
        <v>11</v>
      </c>
      <c r="K2621" s="2" t="s">
        <v>8102</v>
      </c>
      <c r="L2621" s="11" t="s">
        <v>8103</v>
      </c>
      <c r="M2621" s="2" t="str">
        <f>IFERROR(__xludf.DUMMYFUNCTION("split(split(K2621,""黒木瞳、"",false),""公式LINE"",false)"),"嫁の目的は何なのか…!?何とかしなければ!  麻子は李里香の宣戦布告に怯みながらも、立ち向かおうとする。悩んだ挙句、麻子は夫の博行(石田純一)に相談しようと決意。博行の昼休みに、勤務先近くの喫茶店で会う約束をするが、信じがたいショッキングな光景が飛び込んできて…!")</f>
        <v>嫁の目的は何なのか…!?何とかしなければ!  麻子は李里香の宣戦布告に怯みながらも、立ち向かおうとする。悩んだ挙句、麻子は夫の博行(石田純一)に相談しようと決意。博行の昼休みに、勤務先近くの喫茶店で会う約束をするが、信じがたいショッキングな光景が飛び込んできて…!</v>
      </c>
      <c r="N2621" s="2"/>
      <c r="O2621" s="2"/>
      <c r="P2621" s="1"/>
      <c r="Q2621" s="1"/>
      <c r="R2621" s="1"/>
      <c r="S2621" s="1"/>
      <c r="T2621" s="1"/>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c r="AQ2621" s="1"/>
      <c r="AR2621" s="1"/>
      <c r="AS2621" s="1"/>
      <c r="AT2621" s="1"/>
      <c r="AU2621" s="1"/>
      <c r="AV2621" s="1"/>
      <c r="AW2621" s="1"/>
      <c r="AX2621" s="1"/>
      <c r="AY2621" s="1"/>
      <c r="AZ2621" s="1"/>
      <c r="BA2621" s="1"/>
      <c r="BB2621" s="1"/>
    </row>
    <row r="2622" ht="204.75" customHeight="1">
      <c r="A2622" s="1">
        <v>3454.0</v>
      </c>
      <c r="B2622" s="2" t="s">
        <v>8093</v>
      </c>
      <c r="C2622" s="2">
        <f>IFERROR(__xludf.DUMMYFUNCTION("split(B2622,""_"")"),1301.0)</f>
        <v>1301</v>
      </c>
      <c r="D2622" s="2" t="str">
        <f>IFERROR(__xludf.DUMMYFUNCTION("""COMPUTED_VALUE"""),"EX")</f>
        <v>EX</v>
      </c>
      <c r="E2622" s="2" t="str">
        <f>IFERROR(__xludf.DUMMYFUNCTION("""COMPUTED_VALUE"""),"木21")</f>
        <v>木21</v>
      </c>
      <c r="F2622" s="2" t="s">
        <v>8094</v>
      </c>
      <c r="G2622" s="2" t="s">
        <v>8104</v>
      </c>
      <c r="H2622" s="1">
        <v>4.0</v>
      </c>
      <c r="I2622" s="1" t="s">
        <v>2880</v>
      </c>
      <c r="J2622" s="1" t="s">
        <v>11</v>
      </c>
      <c r="K2622" s="2" t="s">
        <v>8105</v>
      </c>
      <c r="L2622" s="11" t="s">
        <v>8106</v>
      </c>
      <c r="M2622" s="2" t="str">
        <f>IFERROR(__xludf.DUMMYFUNCTION("split(split(K2622,""黒木瞳、"",false),""公式LINE"",false)"),"ますます李里香への戦意を燃やしていく麻子。なんとか優太を説得し、離婚を決意させようとする。そんな折、博行が取締役就任に内定。宣伝を手がけた映画が映画祭でグランプリの最有力候補になったことから、社長らを自宅に招きパーティーを開くことに。主婦のプライドをかけて良き妻に徹する麻子だが…。 ")</f>
        <v>ますます李里香への戦意を燃やしていく麻子。なんとか優太を説得し、離婚を決意させようとする。そんな折、博行が取締役就任に内定。宣伝を手がけた映画が映画祭でグランプリの最有力候補になったことから、社長らを自宅に招きパーティーを開くことに。主婦のプライドをかけて良き妻に徹する麻子だが…。 </v>
      </c>
      <c r="N2622" s="2"/>
      <c r="O2622" s="2"/>
      <c r="P2622" s="1"/>
      <c r="Q2622" s="1"/>
      <c r="R2622" s="1"/>
      <c r="S2622" s="1"/>
      <c r="T2622" s="1"/>
      <c r="U2622" s="1"/>
      <c r="V2622" s="1"/>
      <c r="W2622" s="1"/>
      <c r="X2622" s="1"/>
      <c r="Y2622" s="1"/>
      <c r="Z2622" s="1"/>
      <c r="AA2622" s="1"/>
      <c r="AB2622" s="1"/>
      <c r="AC2622" s="1"/>
      <c r="AD2622" s="1"/>
      <c r="AE2622" s="1"/>
      <c r="AF2622" s="1"/>
      <c r="AG2622" s="1"/>
      <c r="AH2622" s="1"/>
      <c r="AI2622" s="1"/>
      <c r="AJ2622" s="1"/>
      <c r="AK2622" s="1"/>
      <c r="AL2622" s="1"/>
      <c r="AM2622" s="1"/>
      <c r="AN2622" s="1"/>
      <c r="AO2622" s="1"/>
      <c r="AP2622" s="1"/>
      <c r="AQ2622" s="1"/>
      <c r="AR2622" s="1"/>
      <c r="AS2622" s="1"/>
      <c r="AT2622" s="1"/>
      <c r="AU2622" s="1"/>
      <c r="AV2622" s="1"/>
      <c r="AW2622" s="1"/>
      <c r="AX2622" s="1"/>
      <c r="AY2622" s="1"/>
      <c r="AZ2622" s="1"/>
      <c r="BA2622" s="1"/>
      <c r="BB2622" s="1"/>
    </row>
    <row r="2623" ht="204.75" customHeight="1">
      <c r="A2623" s="1">
        <v>3455.0</v>
      </c>
      <c r="B2623" s="2" t="s">
        <v>8093</v>
      </c>
      <c r="C2623" s="2">
        <f>IFERROR(__xludf.DUMMYFUNCTION("split(B2623,""_"")"),1301.0)</f>
        <v>1301</v>
      </c>
      <c r="D2623" s="2" t="str">
        <f>IFERROR(__xludf.DUMMYFUNCTION("""COMPUTED_VALUE"""),"EX")</f>
        <v>EX</v>
      </c>
      <c r="E2623" s="2" t="str">
        <f>IFERROR(__xludf.DUMMYFUNCTION("""COMPUTED_VALUE"""),"木21")</f>
        <v>木21</v>
      </c>
      <c r="F2623" s="2" t="s">
        <v>8094</v>
      </c>
      <c r="G2623" s="2" t="s">
        <v>8107</v>
      </c>
      <c r="H2623" s="1">
        <v>5.0</v>
      </c>
      <c r="I2623" s="1" t="s">
        <v>2884</v>
      </c>
      <c r="J2623" s="1" t="s">
        <v>11</v>
      </c>
      <c r="K2623" s="2" t="s">
        <v>8108</v>
      </c>
      <c r="L2623" s="11" t="s">
        <v>8109</v>
      </c>
      <c r="M2623" s="2" t="str">
        <f>IFERROR(__xludf.DUMMYFUNCTION("split(split(K2623,""黒木瞳、"",false),""公式LINE"",false)"),"李里香を訪ね、福本のチラシを持った呉竹が水沢家へ。やがて李里香は怪しい行動に出るようになる…。一方、男としての独り立ちを焦る優太のもとにおいしい話が飛び込んでくる。しかし、そこには“無理難題の条件”が待っていた…。その頃、麻子は李里香に現金を渡していた男が何者なのかが気になり…。")</f>
        <v>李里香を訪ね、福本のチラシを持った呉竹が水沢家へ。やがて李里香は怪しい行動に出るようになる…。一方、男としての独り立ちを焦る優太のもとにおいしい話が飛び込んでくる。しかし、そこには“無理難題の条件”が待っていた…。その頃、麻子は李里香に現金を渡していた男が何者なのかが気になり…。</v>
      </c>
      <c r="N2623" s="2"/>
      <c r="O2623" s="2"/>
      <c r="P2623" s="1"/>
      <c r="Q2623" s="1"/>
      <c r="R2623" s="1"/>
      <c r="S2623" s="1"/>
      <c r="T2623" s="1"/>
      <c r="U2623" s="1"/>
      <c r="V2623" s="1"/>
      <c r="W2623" s="1"/>
      <c r="X2623" s="1"/>
      <c r="Y2623" s="1"/>
      <c r="Z2623" s="1"/>
      <c r="AA2623" s="1"/>
      <c r="AB2623" s="1"/>
      <c r="AC2623" s="1"/>
      <c r="AD2623" s="1"/>
      <c r="AE2623" s="1"/>
      <c r="AF2623" s="1"/>
      <c r="AG2623" s="1"/>
      <c r="AH2623" s="1"/>
      <c r="AI2623" s="1"/>
      <c r="AJ2623" s="1"/>
      <c r="AK2623" s="1"/>
      <c r="AL2623" s="1"/>
      <c r="AM2623" s="1"/>
      <c r="AN2623" s="1"/>
      <c r="AO2623" s="1"/>
      <c r="AP2623" s="1"/>
      <c r="AQ2623" s="1"/>
      <c r="AR2623" s="1"/>
      <c r="AS2623" s="1"/>
      <c r="AT2623" s="1"/>
      <c r="AU2623" s="1"/>
      <c r="AV2623" s="1"/>
      <c r="AW2623" s="1"/>
      <c r="AX2623" s="1"/>
      <c r="AY2623" s="1"/>
      <c r="AZ2623" s="1"/>
      <c r="BA2623" s="1"/>
      <c r="BB2623" s="1"/>
    </row>
    <row r="2624" ht="204.75" customHeight="1">
      <c r="A2624" s="1">
        <v>3456.0</v>
      </c>
      <c r="B2624" s="2" t="s">
        <v>8093</v>
      </c>
      <c r="C2624" s="2">
        <f>IFERROR(__xludf.DUMMYFUNCTION("split(B2624,""_"")"),1301.0)</f>
        <v>1301</v>
      </c>
      <c r="D2624" s="2" t="str">
        <f>IFERROR(__xludf.DUMMYFUNCTION("""COMPUTED_VALUE"""),"EX")</f>
        <v>EX</v>
      </c>
      <c r="E2624" s="2" t="str">
        <f>IFERROR(__xludf.DUMMYFUNCTION("""COMPUTED_VALUE"""),"木21")</f>
        <v>木21</v>
      </c>
      <c r="F2624" s="2" t="s">
        <v>8094</v>
      </c>
      <c r="G2624" s="2" t="s">
        <v>8110</v>
      </c>
      <c r="H2624" s="1">
        <v>6.0</v>
      </c>
      <c r="I2624" s="1" t="s">
        <v>2888</v>
      </c>
      <c r="J2624" s="1" t="s">
        <v>11</v>
      </c>
      <c r="K2624" s="2" t="s">
        <v>8111</v>
      </c>
      <c r="L2624" s="11" t="s">
        <v>8112</v>
      </c>
      <c r="M2624" s="2" t="str">
        <f>IFERROR(__xludf.DUMMYFUNCTION("split(split(K2624,""黒木瞳、"",false),""公式LINE"",false)"),"失踪人の名刺を含む、嫁・李里香(相武紗季)の持ち物が忽然と消えた!それらを嫁の怪しげな正体を暴くための証拠として、夫・博行(石田純一)に見せようとした麻子(黒木瞳)は愕然…。そんなとき李里香は、麻子を海へと誘う。人気のない断崖絶壁の岬で李里香が語ったこととは……! ")</f>
        <v>失踪人の名刺を含む、嫁・李里香(相武紗季)の持ち物が忽然と消えた!それらを嫁の怪しげな正体を暴くための証拠として、夫・博行(石田純一)に見せようとした麻子(黒木瞳)は愕然…。そんなとき李里香は、麻子を海へと誘う。人気のない断崖絶壁の岬で李里香が語ったこととは……! </v>
      </c>
      <c r="N2624" s="2"/>
      <c r="O2624" s="2"/>
      <c r="P2624" s="1"/>
      <c r="Q2624" s="1"/>
      <c r="R2624" s="1"/>
      <c r="S2624" s="1"/>
      <c r="T2624" s="1"/>
      <c r="U2624" s="1"/>
      <c r="V2624" s="1"/>
      <c r="W2624" s="1"/>
      <c r="X2624" s="1"/>
      <c r="Y2624" s="1"/>
      <c r="Z2624" s="1"/>
      <c r="AA2624" s="1"/>
      <c r="AB2624" s="1"/>
      <c r="AC2624" s="1"/>
      <c r="AD2624" s="1"/>
      <c r="AE2624" s="1"/>
      <c r="AF2624" s="1"/>
      <c r="AG2624" s="1"/>
      <c r="AH2624" s="1"/>
      <c r="AI2624" s="1"/>
      <c r="AJ2624" s="1"/>
      <c r="AK2624" s="1"/>
      <c r="AL2624" s="1"/>
      <c r="AM2624" s="1"/>
      <c r="AN2624" s="1"/>
      <c r="AO2624" s="1"/>
      <c r="AP2624" s="1"/>
      <c r="AQ2624" s="1"/>
      <c r="AR2624" s="1"/>
      <c r="AS2624" s="1"/>
      <c r="AT2624" s="1"/>
      <c r="AU2624" s="1"/>
      <c r="AV2624" s="1"/>
      <c r="AW2624" s="1"/>
      <c r="AX2624" s="1"/>
      <c r="AY2624" s="1"/>
      <c r="AZ2624" s="1"/>
      <c r="BA2624" s="1"/>
      <c r="BB2624" s="1"/>
    </row>
    <row r="2625" ht="204.75" customHeight="1">
      <c r="A2625" s="1">
        <v>3457.0</v>
      </c>
      <c r="B2625" s="2" t="s">
        <v>8093</v>
      </c>
      <c r="C2625" s="2">
        <f>IFERROR(__xludf.DUMMYFUNCTION("split(B2625,""_"")"),1301.0)</f>
        <v>1301</v>
      </c>
      <c r="D2625" s="2" t="str">
        <f>IFERROR(__xludf.DUMMYFUNCTION("""COMPUTED_VALUE"""),"EX")</f>
        <v>EX</v>
      </c>
      <c r="E2625" s="2" t="str">
        <f>IFERROR(__xludf.DUMMYFUNCTION("""COMPUTED_VALUE"""),"木21")</f>
        <v>木21</v>
      </c>
      <c r="F2625" s="2" t="s">
        <v>8094</v>
      </c>
      <c r="G2625" s="2" t="s">
        <v>8113</v>
      </c>
      <c r="H2625" s="1">
        <v>7.0</v>
      </c>
      <c r="I2625" s="1" t="s">
        <v>2892</v>
      </c>
      <c r="J2625" s="1" t="s">
        <v>11</v>
      </c>
      <c r="K2625" s="2" t="s">
        <v>8114</v>
      </c>
      <c r="L2625" s="11" t="s">
        <v>8115</v>
      </c>
      <c r="M2625" s="2" t="str">
        <f>IFERROR(__xludf.DUMMYFUNCTION("split(split(K2625,""黒木瞳、"",false),""公式LINE"",false)"),"李里香(相武紗季)の告白で、キャバクラ嬢時代の客だった失踪人の福本章介が勤め先の都庁から横領した金を使って付きまとっていたことが判明。麻子(黒木瞳)は嫁のことを信じようと決意。一方、呉竹たちは福本が殺害されている可能性も考慮して捜査本部を設置。“新たな事件”が始まり…。 ")</f>
        <v>李里香(相武紗季)の告白で、キャバクラ嬢時代の客だった失踪人の福本章介が勤め先の都庁から横領した金を使って付きまとっていたことが判明。麻子(黒木瞳)は嫁のことを信じようと決意。一方、呉竹たちは福本が殺害されている可能性も考慮して捜査本部を設置。“新たな事件”が始まり…。 </v>
      </c>
      <c r="N2625" s="2"/>
      <c r="O2625" s="2"/>
      <c r="P2625" s="1"/>
      <c r="Q2625" s="1"/>
      <c r="R2625" s="1"/>
      <c r="S2625" s="1"/>
      <c r="T2625" s="1"/>
      <c r="U2625" s="1"/>
      <c r="V2625" s="1"/>
      <c r="W2625" s="1"/>
      <c r="X2625" s="1"/>
      <c r="Y2625" s="1"/>
      <c r="Z2625" s="1"/>
      <c r="AA2625" s="1"/>
      <c r="AB2625" s="1"/>
      <c r="AC2625" s="1"/>
      <c r="AD2625" s="1"/>
      <c r="AE2625" s="1"/>
      <c r="AF2625" s="1"/>
      <c r="AG2625" s="1"/>
      <c r="AH2625" s="1"/>
      <c r="AI2625" s="1"/>
      <c r="AJ2625" s="1"/>
      <c r="AK2625" s="1"/>
      <c r="AL2625" s="1"/>
      <c r="AM2625" s="1"/>
      <c r="AN2625" s="1"/>
      <c r="AO2625" s="1"/>
      <c r="AP2625" s="1"/>
      <c r="AQ2625" s="1"/>
      <c r="AR2625" s="1"/>
      <c r="AS2625" s="1"/>
      <c r="AT2625" s="1"/>
      <c r="AU2625" s="1"/>
      <c r="AV2625" s="1"/>
      <c r="AW2625" s="1"/>
      <c r="AX2625" s="1"/>
      <c r="AY2625" s="1"/>
      <c r="AZ2625" s="1"/>
      <c r="BA2625" s="1"/>
      <c r="BB2625" s="1"/>
    </row>
    <row r="2626" ht="204.75" customHeight="1">
      <c r="A2626" s="1">
        <v>3458.0</v>
      </c>
      <c r="B2626" s="2" t="s">
        <v>8093</v>
      </c>
      <c r="C2626" s="2">
        <f>IFERROR(__xludf.DUMMYFUNCTION("split(B2626,""_"")"),1301.0)</f>
        <v>1301</v>
      </c>
      <c r="D2626" s="2" t="str">
        <f>IFERROR(__xludf.DUMMYFUNCTION("""COMPUTED_VALUE"""),"EX")</f>
        <v>EX</v>
      </c>
      <c r="E2626" s="2" t="str">
        <f>IFERROR(__xludf.DUMMYFUNCTION("""COMPUTED_VALUE"""),"木21")</f>
        <v>木21</v>
      </c>
      <c r="F2626" s="2" t="s">
        <v>8094</v>
      </c>
      <c r="G2626" s="2" t="s">
        <v>8116</v>
      </c>
      <c r="H2626" s="1">
        <v>8.0</v>
      </c>
      <c r="I2626" s="1" t="s">
        <v>2896</v>
      </c>
      <c r="J2626" s="1" t="s">
        <v>11</v>
      </c>
      <c r="K2626" s="2" t="s">
        <v>8117</v>
      </c>
      <c r="L2626" s="11" t="s">
        <v>8118</v>
      </c>
      <c r="M2626" s="2" t="str">
        <f>IFERROR(__xludf.DUMMYFUNCTION("split(split(K2626,""黒木瞳、"",false),""公式LINE"",false)"),"刑事・呉竹(大地康雄)は失踪中の都庁職員・福本が億単位の金を横領していた事実を知ることに。捜査本部では福本が入れ揚げていた李里香に金の一部を流しているのではないか…、との見方が浮上。しかし呉竹は納得が行かない。実は、呉竹が李里香を執拗にマークし続けた真意は他にあって…!?")</f>
        <v>刑事・呉竹(大地康雄)は失踪中の都庁職員・福本が億単位の金を横領していた事実を知ることに。捜査本部では福本が入れ揚げていた李里香に金の一部を流しているのではないか…、との見方が浮上。しかし呉竹は納得が行かない。実は、呉竹が李里香を執拗にマークし続けた真意は他にあって…!?</v>
      </c>
      <c r="N2626" s="2"/>
      <c r="O2626" s="2"/>
      <c r="P2626" s="1"/>
      <c r="Q2626" s="1"/>
      <c r="R2626" s="1"/>
      <c r="S2626" s="1"/>
      <c r="T2626" s="1"/>
      <c r="U2626" s="1"/>
      <c r="V2626" s="1"/>
      <c r="W2626" s="1"/>
      <c r="X2626" s="1"/>
      <c r="Y2626" s="1"/>
      <c r="Z2626" s="1"/>
      <c r="AA2626" s="1"/>
      <c r="AB2626" s="1"/>
      <c r="AC2626" s="1"/>
      <c r="AD2626" s="1"/>
      <c r="AE2626" s="1"/>
      <c r="AF2626" s="1"/>
      <c r="AG2626" s="1"/>
      <c r="AH2626" s="1"/>
      <c r="AI2626" s="1"/>
      <c r="AJ2626" s="1"/>
      <c r="AK2626" s="1"/>
      <c r="AL2626" s="1"/>
      <c r="AM2626" s="1"/>
      <c r="AN2626" s="1"/>
      <c r="AO2626" s="1"/>
      <c r="AP2626" s="1"/>
      <c r="AQ2626" s="1"/>
      <c r="AR2626" s="1"/>
      <c r="AS2626" s="1"/>
      <c r="AT2626" s="1"/>
      <c r="AU2626" s="1"/>
      <c r="AV2626" s="1"/>
      <c r="AW2626" s="1"/>
      <c r="AX2626" s="1"/>
      <c r="AY2626" s="1"/>
      <c r="AZ2626" s="1"/>
      <c r="BA2626" s="1"/>
      <c r="BB2626" s="1"/>
    </row>
    <row r="2627" ht="204.75" customHeight="1">
      <c r="A2627" s="1">
        <v>3459.0</v>
      </c>
      <c r="B2627" s="2" t="s">
        <v>8093</v>
      </c>
      <c r="C2627" s="2">
        <f>IFERROR(__xludf.DUMMYFUNCTION("split(B2627,""_"")"),1301.0)</f>
        <v>1301</v>
      </c>
      <c r="D2627" s="2" t="str">
        <f>IFERROR(__xludf.DUMMYFUNCTION("""COMPUTED_VALUE"""),"EX")</f>
        <v>EX</v>
      </c>
      <c r="E2627" s="2" t="str">
        <f>IFERROR(__xludf.DUMMYFUNCTION("""COMPUTED_VALUE"""),"木21")</f>
        <v>木21</v>
      </c>
      <c r="F2627" s="2" t="s">
        <v>8094</v>
      </c>
      <c r="G2627" s="2" t="s">
        <v>8119</v>
      </c>
      <c r="H2627" s="1">
        <v>9.0</v>
      </c>
      <c r="J2627" s="1" t="s">
        <v>11</v>
      </c>
      <c r="K2627" s="2" t="s">
        <v>8120</v>
      </c>
      <c r="L2627" s="11" t="s">
        <v>8121</v>
      </c>
      <c r="M2627" s="2" t="str">
        <f>IFERROR(__xludf.DUMMYFUNCTION("split(split(K2627,""黒木瞳、"",false),""公式LINE"",false)"),"「あなたにこの家をお願いしたいの」ーー。  姑・麻子(黒木瞳)の真意が掴めず、戸惑う李里香。そんな嫁に麻子が告げたのは“知られざる事実”だった!麻子が長年、密かに抱え込んできた“秘密”とは、一体何なのか!?そして、それを知った李里香は…!?")</f>
        <v>「あなたにこの家をお願いしたいの」ーー。  姑・麻子(黒木瞳)の真意が掴めず、戸惑う李里香。そんな嫁に麻子が告げたのは“知られざる事実”だった!麻子が長年、密かに抱え込んできた“秘密”とは、一体何なのか!?そして、それを知った李里香は…!?</v>
      </c>
      <c r="N2627" s="2"/>
      <c r="O2627" s="2"/>
      <c r="P2627" s="1"/>
      <c r="Q2627" s="1"/>
      <c r="R2627" s="1"/>
      <c r="S2627" s="1"/>
      <c r="T2627" s="1"/>
      <c r="U2627" s="1"/>
      <c r="V2627" s="1"/>
      <c r="W2627" s="1"/>
      <c r="X2627" s="1"/>
      <c r="Y2627" s="1"/>
      <c r="Z2627" s="1"/>
      <c r="AA2627" s="1"/>
      <c r="AB2627" s="1"/>
      <c r="AC2627" s="1"/>
      <c r="AD2627" s="1"/>
      <c r="AE2627" s="1"/>
      <c r="AF2627" s="1"/>
      <c r="AG2627" s="1"/>
      <c r="AH2627" s="1"/>
      <c r="AI2627" s="1"/>
      <c r="AJ2627" s="1"/>
      <c r="AK2627" s="1"/>
      <c r="AL2627" s="1"/>
      <c r="AM2627" s="1"/>
      <c r="AN2627" s="1"/>
      <c r="AO2627" s="1"/>
      <c r="AP2627" s="1"/>
      <c r="AQ2627" s="1"/>
      <c r="AR2627" s="1"/>
      <c r="AS2627" s="1"/>
      <c r="AT2627" s="1"/>
      <c r="AU2627" s="1"/>
      <c r="AV2627" s="1"/>
      <c r="AW2627" s="1"/>
      <c r="AX2627" s="1"/>
      <c r="AY2627" s="1"/>
      <c r="AZ2627" s="1"/>
      <c r="BA2627" s="1"/>
      <c r="BB2627" s="1"/>
    </row>
    <row r="2628" ht="204.75" customHeight="1">
      <c r="A2628" s="1">
        <v>3481.0</v>
      </c>
      <c r="B2628" s="2" t="s">
        <v>8122</v>
      </c>
      <c r="C2628" s="2">
        <f>IFERROR(__xludf.DUMMYFUNCTION("split(B2628,""_"")"),1301.0)</f>
        <v>1301</v>
      </c>
      <c r="D2628" s="2" t="str">
        <f>IFERROR(__xludf.DUMMYFUNCTION("""COMPUTED_VALUE"""),"EX")</f>
        <v>EX</v>
      </c>
      <c r="E2628" s="2" t="str">
        <f>IFERROR(__xludf.DUMMYFUNCTION("""COMPUTED_VALUE"""),"金23")</f>
        <v>金23</v>
      </c>
      <c r="F2628" s="2" t="s">
        <v>7776</v>
      </c>
      <c r="G2628" s="2" t="s">
        <v>8123</v>
      </c>
      <c r="H2628" s="1">
        <v>1.0</v>
      </c>
      <c r="I2628" s="1" t="s">
        <v>2868</v>
      </c>
      <c r="J2628" s="1" t="s">
        <v>1435</v>
      </c>
      <c r="K2628" s="4" t="s">
        <v>8124</v>
      </c>
      <c r="L2628" s="11" t="s">
        <v>8125</v>
      </c>
      <c r="M2628" s="2" t="str">
        <f>IFERROR(__xludf.DUMMYFUNCTION("split(split(K2628,""玉森裕太("",false),""公式LINE"",false)"),"最初の料理勝負は、現・信長の専属料理人!  題目は“鴨”!  「負けた方は殺す!」と言い放つ、信長(及川光博)!  だが、この時代にない調味料が多い…  果たしてケン(玉森裕太)はどうするのか!?  その中で、後に信長を裏切る明智光秀(稲垣吾郎)に出会う!")</f>
        <v>最初の料理勝負は、現・信長の専属料理人!  題目は“鴨”!  「負けた方は殺す!」と言い放つ、信長(及川光博)!  だが、この時代にない調味料が多い…  果たしてケン(玉森裕太)はどうするのか!?  その中で、後に信長を裏切る明智光秀(稲垣吾郎)に出会う!</v>
      </c>
      <c r="N2628" s="2"/>
      <c r="O2628" s="2"/>
      <c r="P2628" s="1"/>
      <c r="Q2628" s="1"/>
      <c r="R2628" s="1"/>
      <c r="S2628" s="1"/>
      <c r="T2628" s="1"/>
      <c r="U2628" s="1"/>
      <c r="V2628" s="1"/>
      <c r="W2628" s="1"/>
      <c r="X2628" s="1"/>
      <c r="Y2628" s="1"/>
      <c r="Z2628" s="1"/>
      <c r="AA2628" s="1"/>
      <c r="AB2628" s="1"/>
      <c r="AC2628" s="1"/>
      <c r="AD2628" s="1"/>
      <c r="AE2628" s="1"/>
      <c r="AF2628" s="1"/>
      <c r="AG2628" s="1"/>
      <c r="AH2628" s="1"/>
      <c r="AI2628" s="1"/>
      <c r="AJ2628" s="1"/>
      <c r="AK2628" s="1"/>
      <c r="AL2628" s="1"/>
      <c r="AM2628" s="1"/>
      <c r="AN2628" s="1"/>
      <c r="AO2628" s="1"/>
      <c r="AP2628" s="1"/>
      <c r="AQ2628" s="1"/>
      <c r="AR2628" s="1"/>
      <c r="AS2628" s="1"/>
      <c r="AT2628" s="1"/>
      <c r="AU2628" s="1"/>
      <c r="AV2628" s="1"/>
      <c r="AW2628" s="1"/>
      <c r="AX2628" s="1"/>
      <c r="AY2628" s="1"/>
      <c r="AZ2628" s="1"/>
      <c r="BA2628" s="1"/>
      <c r="BB2628" s="1"/>
    </row>
    <row r="2629" ht="204.75" customHeight="1">
      <c r="A2629" s="1">
        <v>3482.0</v>
      </c>
      <c r="B2629" s="2" t="s">
        <v>8122</v>
      </c>
      <c r="C2629" s="2">
        <f>IFERROR(__xludf.DUMMYFUNCTION("split(B2629,""_"")"),1301.0)</f>
        <v>1301</v>
      </c>
      <c r="D2629" s="2" t="str">
        <f>IFERROR(__xludf.DUMMYFUNCTION("""COMPUTED_VALUE"""),"EX")</f>
        <v>EX</v>
      </c>
      <c r="E2629" s="2" t="str">
        <f>IFERROR(__xludf.DUMMYFUNCTION("""COMPUTED_VALUE"""),"金23")</f>
        <v>金23</v>
      </c>
      <c r="F2629" s="2" t="s">
        <v>7776</v>
      </c>
      <c r="G2629" s="2" t="s">
        <v>7781</v>
      </c>
      <c r="H2629" s="1">
        <v>2.0</v>
      </c>
      <c r="I2629" s="1" t="s">
        <v>2872</v>
      </c>
      <c r="J2629" s="1" t="s">
        <v>1435</v>
      </c>
      <c r="K2629" s="2" t="s">
        <v>8126</v>
      </c>
      <c r="L2629" s="11" t="s">
        <v>8127</v>
      </c>
      <c r="M2629" s="2" t="str">
        <f>IFERROR(__xludf.DUMMYFUNCTION("split(split(K2629,""玉森裕太("",false),""公式LINE"",false)"),"伊勢の北畠具教攻めに向かう軍に帯同したケン!「明日死ぬかもしれない戦場で、皆が食べたいものとはなんだろう…?」  戦場の壮絶さを目の当たりにしながらも料理で兵士たちの士気を高めていく!そんなケンに信長から「おぬしが戦を終わらせるのじゃ」との命令が…。ケンはどのような料理で戦うのか!?")</f>
        <v>伊勢の北畠具教攻めに向かう軍に帯同したケン!「明日死ぬかもしれない戦場で、皆が食べたいものとはなんだろう…?」  戦場の壮絶さを目の当たりにしながらも料理で兵士たちの士気を高めていく!そんなケンに信長から「おぬしが戦を終わらせるのじゃ」との命令が…。ケンはどのような料理で戦うのか!?</v>
      </c>
      <c r="N2629" s="2"/>
      <c r="O2629" s="2"/>
      <c r="P2629" s="1"/>
      <c r="Q2629" s="1"/>
      <c r="R2629" s="1"/>
      <c r="S2629" s="1"/>
      <c r="T2629" s="1"/>
      <c r="U2629" s="1"/>
      <c r="V2629" s="1"/>
      <c r="W2629" s="1"/>
      <c r="X2629" s="1"/>
      <c r="Y2629" s="1"/>
      <c r="Z2629" s="1"/>
      <c r="AA2629" s="1"/>
      <c r="AB2629" s="1"/>
      <c r="AC2629" s="1"/>
      <c r="AD2629" s="1"/>
      <c r="AE2629" s="1"/>
      <c r="AF2629" s="1"/>
      <c r="AG2629" s="1"/>
      <c r="AH2629" s="1"/>
      <c r="AI2629" s="1"/>
      <c r="AJ2629" s="1"/>
      <c r="AK2629" s="1"/>
      <c r="AL2629" s="1"/>
      <c r="AM2629" s="1"/>
      <c r="AN2629" s="1"/>
      <c r="AO2629" s="1"/>
      <c r="AP2629" s="1"/>
      <c r="AQ2629" s="1"/>
      <c r="AR2629" s="1"/>
      <c r="AS2629" s="1"/>
      <c r="AT2629" s="1"/>
      <c r="AU2629" s="1"/>
      <c r="AV2629" s="1"/>
      <c r="AW2629" s="1"/>
      <c r="AX2629" s="1"/>
      <c r="AY2629" s="1"/>
      <c r="AZ2629" s="1"/>
      <c r="BA2629" s="1"/>
      <c r="BB2629" s="1"/>
    </row>
    <row r="2630" ht="204.75" customHeight="1">
      <c r="A2630" s="1">
        <v>3483.0</v>
      </c>
      <c r="B2630" s="2" t="s">
        <v>8122</v>
      </c>
      <c r="C2630" s="2">
        <f>IFERROR(__xludf.DUMMYFUNCTION("split(B2630,""_"")"),1301.0)</f>
        <v>1301</v>
      </c>
      <c r="D2630" s="2" t="str">
        <f>IFERROR(__xludf.DUMMYFUNCTION("""COMPUTED_VALUE"""),"EX")</f>
        <v>EX</v>
      </c>
      <c r="E2630" s="2" t="str">
        <f>IFERROR(__xludf.DUMMYFUNCTION("""COMPUTED_VALUE"""),"金23")</f>
        <v>金23</v>
      </c>
      <c r="F2630" s="2" t="s">
        <v>7776</v>
      </c>
      <c r="G2630" s="2" t="s">
        <v>7784</v>
      </c>
      <c r="H2630" s="1">
        <v>3.0</v>
      </c>
      <c r="I2630" s="1" t="s">
        <v>2876</v>
      </c>
      <c r="J2630" s="1" t="s">
        <v>1435</v>
      </c>
      <c r="K2630" s="2" t="s">
        <v>8128</v>
      </c>
      <c r="L2630" s="11" t="s">
        <v>8129</v>
      </c>
      <c r="M2630" s="2" t="str">
        <f>IFERROR(__xludf.DUMMYFUNCTION("split(split(K2630,""玉森裕太("",false),""公式LINE"",false)"),"伊勢を平定した信長は将軍・足利義昭に会うために京へ…。ケンの料理に魅せられた義昭はケンを自分の料理人にしたいと言い出す!断る信長に激昂した義昭は、無理矢理ケンと夏を拉致し…!?さらにその先には、信長軍の運命を大きく動かすことになる出来事が待ち受けていた…!")</f>
        <v>伊勢を平定した信長は将軍・足利義昭に会うために京へ…。ケンの料理に魅せられた義昭はケンを自分の料理人にしたいと言い出す!断る信長に激昂した義昭は、無理矢理ケンと夏を拉致し…!?さらにその先には、信長軍の運命を大きく動かすことになる出来事が待ち受けていた…!</v>
      </c>
      <c r="N2630" s="2"/>
      <c r="O2630" s="2"/>
      <c r="P2630" s="1"/>
      <c r="Q2630" s="1"/>
      <c r="R2630" s="1"/>
      <c r="S2630" s="1"/>
      <c r="T2630" s="1"/>
      <c r="U2630" s="1"/>
      <c r="V2630" s="1"/>
      <c r="W2630" s="1"/>
      <c r="X2630" s="1"/>
      <c r="Y2630" s="1"/>
      <c r="Z2630" s="1"/>
      <c r="AA2630" s="1"/>
      <c r="AB2630" s="1"/>
      <c r="AC2630" s="1"/>
      <c r="AD2630" s="1"/>
      <c r="AE2630" s="1"/>
      <c r="AF2630" s="1"/>
      <c r="AG2630" s="1"/>
      <c r="AH2630" s="1"/>
      <c r="AI2630" s="1"/>
      <c r="AJ2630" s="1"/>
      <c r="AK2630" s="1"/>
      <c r="AL2630" s="1"/>
      <c r="AM2630" s="1"/>
      <c r="AN2630" s="1"/>
      <c r="AO2630" s="1"/>
      <c r="AP2630" s="1"/>
      <c r="AQ2630" s="1"/>
      <c r="AR2630" s="1"/>
      <c r="AS2630" s="1"/>
      <c r="AT2630" s="1"/>
      <c r="AU2630" s="1"/>
      <c r="AV2630" s="1"/>
      <c r="AW2630" s="1"/>
      <c r="AX2630" s="1"/>
      <c r="AY2630" s="1"/>
      <c r="AZ2630" s="1"/>
      <c r="BA2630" s="1"/>
      <c r="BB2630" s="1"/>
    </row>
    <row r="2631" ht="204.75" customHeight="1">
      <c r="A2631" s="1">
        <v>3484.0</v>
      </c>
      <c r="B2631" s="2" t="s">
        <v>8122</v>
      </c>
      <c r="C2631" s="2">
        <f>IFERROR(__xludf.DUMMYFUNCTION("split(B2631,""_"")"),1301.0)</f>
        <v>1301</v>
      </c>
      <c r="D2631" s="2" t="str">
        <f>IFERROR(__xludf.DUMMYFUNCTION("""COMPUTED_VALUE"""),"EX")</f>
        <v>EX</v>
      </c>
      <c r="E2631" s="2" t="str">
        <f>IFERROR(__xludf.DUMMYFUNCTION("""COMPUTED_VALUE"""),"金23")</f>
        <v>金23</v>
      </c>
      <c r="F2631" s="2" t="s">
        <v>7776</v>
      </c>
      <c r="G2631" s="2" t="s">
        <v>7787</v>
      </c>
      <c r="H2631" s="1">
        <v>4.0</v>
      </c>
      <c r="I2631" s="1" t="s">
        <v>2880</v>
      </c>
      <c r="J2631" s="1" t="s">
        <v>1435</v>
      </c>
      <c r="K2631" s="2" t="s">
        <v>8130</v>
      </c>
      <c r="L2631" s="11" t="s">
        <v>8131</v>
      </c>
      <c r="M2631" s="2" t="str">
        <f>IFERROR(__xludf.DUMMYFUNCTION("split(split(K2631,""玉森裕太("",false),""公式LINE"",false)"),"朝倉討伐に出た信長だったが、義弟・浅井長政からまさかの裏切りに遭う!退却を余儀なくされた信長はケンを伴い、岐阜へと戻る!今度は信長に徳川家康裏切り情報が…。  信長は「鯛を使い、家康の心を繋ぎ止める料理を作れ」と、ケンに指示する。その鯛にはある大きな意味が込められていて…")</f>
        <v>朝倉討伐に出た信長だったが、義弟・浅井長政からまさかの裏切りに遭う!退却を余儀なくされた信長はケンを伴い、岐阜へと戻る!今度は信長に徳川家康裏切り情報が…。  信長は「鯛を使い、家康の心を繋ぎ止める料理を作れ」と、ケンに指示する。その鯛にはある大きな意味が込められていて…</v>
      </c>
      <c r="N2631" s="2"/>
      <c r="O2631" s="2"/>
      <c r="P2631" s="1"/>
      <c r="Q2631" s="1"/>
      <c r="R2631" s="1"/>
      <c r="S2631" s="1"/>
      <c r="T2631" s="1"/>
      <c r="U2631" s="1"/>
      <c r="V2631" s="1"/>
      <c r="W2631" s="1"/>
      <c r="X2631" s="1"/>
      <c r="Y2631" s="1"/>
      <c r="Z2631" s="1"/>
      <c r="AA2631" s="1"/>
      <c r="AB2631" s="1"/>
      <c r="AC2631" s="1"/>
      <c r="AD2631" s="1"/>
      <c r="AE2631" s="1"/>
      <c r="AF2631" s="1"/>
      <c r="AG2631" s="1"/>
      <c r="AH2631" s="1"/>
      <c r="AI2631" s="1"/>
      <c r="AJ2631" s="1"/>
      <c r="AK2631" s="1"/>
      <c r="AL2631" s="1"/>
      <c r="AM2631" s="1"/>
      <c r="AN2631" s="1"/>
      <c r="AO2631" s="1"/>
      <c r="AP2631" s="1"/>
      <c r="AQ2631" s="1"/>
      <c r="AR2631" s="1"/>
      <c r="AS2631" s="1"/>
      <c r="AT2631" s="1"/>
      <c r="AU2631" s="1"/>
      <c r="AV2631" s="1"/>
      <c r="AW2631" s="1"/>
      <c r="AX2631" s="1"/>
      <c r="AY2631" s="1"/>
      <c r="AZ2631" s="1"/>
      <c r="BA2631" s="1"/>
      <c r="BB2631" s="1"/>
    </row>
    <row r="2632" ht="204.75" customHeight="1">
      <c r="A2632" s="1">
        <v>3485.0</v>
      </c>
      <c r="B2632" s="2" t="s">
        <v>8122</v>
      </c>
      <c r="C2632" s="2">
        <f>IFERROR(__xludf.DUMMYFUNCTION("split(B2632,""_"")"),1301.0)</f>
        <v>1301</v>
      </c>
      <c r="D2632" s="2" t="str">
        <f>IFERROR(__xludf.DUMMYFUNCTION("""COMPUTED_VALUE"""),"EX")</f>
        <v>EX</v>
      </c>
      <c r="E2632" s="2" t="str">
        <f>IFERROR(__xludf.DUMMYFUNCTION("""COMPUTED_VALUE"""),"金23")</f>
        <v>金23</v>
      </c>
      <c r="F2632" s="2" t="s">
        <v>7776</v>
      </c>
      <c r="G2632" s="2" t="s">
        <v>7790</v>
      </c>
      <c r="H2632" s="1">
        <v>5.0</v>
      </c>
      <c r="I2632" s="1" t="s">
        <v>2884</v>
      </c>
      <c r="J2632" s="1" t="s">
        <v>1435</v>
      </c>
      <c r="K2632" s="2" t="s">
        <v>8132</v>
      </c>
      <c r="L2632" s="11" t="s">
        <v>8133</v>
      </c>
      <c r="M2632" s="2" t="str">
        <f>IFERROR(__xludf.DUMMYFUNCTION("split(split(K2632,""玉森裕太("",false),""公式LINE"",false)"),"信長から「浅井長政の台所に潜入し、先方に借りを返してこい!」と命じられたケン。小谷城には信長の妹・市とその娘・茶々と初もいる。敵となった義理の弟だけでなく、実の妹や姪たちまでもを毒殺しろということなのか…。思い悩む…。信長からお市へ平成のグルメでメッセージを伝えたいが…。")</f>
        <v>信長から「浅井長政の台所に潜入し、先方に借りを返してこい!」と命じられたケン。小谷城には信長の妹・市とその娘・茶々と初もいる。敵となった義理の弟だけでなく、実の妹や姪たちまでもを毒殺しろということなのか…。思い悩む…。信長からお市へ平成のグルメでメッセージを伝えたいが…。</v>
      </c>
      <c r="N2632" s="2"/>
      <c r="O2632" s="2"/>
      <c r="P2632" s="1"/>
      <c r="Q2632" s="1"/>
      <c r="R2632" s="1"/>
      <c r="S2632" s="1"/>
      <c r="T2632" s="1"/>
      <c r="U2632" s="1"/>
      <c r="V2632" s="1"/>
      <c r="W2632" s="1"/>
      <c r="X2632" s="1"/>
      <c r="Y2632" s="1"/>
      <c r="Z2632" s="1"/>
      <c r="AA2632" s="1"/>
      <c r="AB2632" s="1"/>
      <c r="AC2632" s="1"/>
      <c r="AD2632" s="1"/>
      <c r="AE2632" s="1"/>
      <c r="AF2632" s="1"/>
      <c r="AG2632" s="1"/>
      <c r="AH2632" s="1"/>
      <c r="AI2632" s="1"/>
      <c r="AJ2632" s="1"/>
      <c r="AK2632" s="1"/>
      <c r="AL2632" s="1"/>
      <c r="AM2632" s="1"/>
      <c r="AN2632" s="1"/>
      <c r="AO2632" s="1"/>
      <c r="AP2632" s="1"/>
      <c r="AQ2632" s="1"/>
      <c r="AR2632" s="1"/>
      <c r="AS2632" s="1"/>
      <c r="AT2632" s="1"/>
      <c r="AU2632" s="1"/>
      <c r="AV2632" s="1"/>
      <c r="AW2632" s="1"/>
      <c r="AX2632" s="1"/>
      <c r="AY2632" s="1"/>
      <c r="AZ2632" s="1"/>
      <c r="BA2632" s="1"/>
      <c r="BB2632" s="1"/>
    </row>
    <row r="2633" ht="204.75" customHeight="1">
      <c r="A2633" s="1">
        <v>3486.0</v>
      </c>
      <c r="B2633" s="2" t="s">
        <v>8122</v>
      </c>
      <c r="C2633" s="2">
        <f>IFERROR(__xludf.DUMMYFUNCTION("split(B2633,""_"")"),1301.0)</f>
        <v>1301</v>
      </c>
      <c r="D2633" s="2" t="str">
        <f>IFERROR(__xludf.DUMMYFUNCTION("""COMPUTED_VALUE"""),"EX")</f>
        <v>EX</v>
      </c>
      <c r="E2633" s="2" t="str">
        <f>IFERROR(__xludf.DUMMYFUNCTION("""COMPUTED_VALUE"""),"金23")</f>
        <v>金23</v>
      </c>
      <c r="F2633" s="2" t="s">
        <v>7776</v>
      </c>
      <c r="G2633" s="2" t="s">
        <v>7793</v>
      </c>
      <c r="H2633" s="1">
        <v>6.0</v>
      </c>
      <c r="I2633" s="1" t="s">
        <v>2888</v>
      </c>
      <c r="J2633" s="1" t="s">
        <v>1435</v>
      </c>
      <c r="K2633" s="2" t="s">
        <v>8134</v>
      </c>
      <c r="L2633" s="11" t="s">
        <v>8135</v>
      </c>
      <c r="M2633" s="2" t="str">
        <f>IFERROR(__xludf.DUMMYFUNCTION("split(split(K2633,""玉森裕太("",false),""公式LINE"",false)"),"信長軍は姉川にて浅井長政との戦を開始!信長は「浅井軍に食わす料理を作れ」と命じるのだった。「敵に食わす料理」とはいったい何なのか-。ケンは、思いもよらぬ方法を見つける!そして石山本願寺の顕如にも不穏な動きが…そんな顕如の傍らには、脳裏にたびたびフラッシュバックする謎の女の姿があった! ")</f>
        <v>信長軍は姉川にて浅井長政との戦を開始!信長は「浅井軍に食わす料理を作れ」と命じるのだった。「敵に食わす料理」とはいったい何なのか-。ケンは、思いもよらぬ方法を見つける!そして石山本願寺の顕如にも不穏な動きが…そんな顕如の傍らには、脳裏にたびたびフラッシュバックする謎の女の姿があった! </v>
      </c>
      <c r="N2633" s="2"/>
      <c r="O2633" s="2"/>
      <c r="P2633" s="1"/>
      <c r="Q2633" s="1"/>
      <c r="R2633" s="1"/>
      <c r="S2633" s="1"/>
      <c r="T2633" s="1"/>
      <c r="U2633" s="1"/>
      <c r="V2633" s="1"/>
      <c r="W2633" s="1"/>
      <c r="X2633" s="1"/>
      <c r="Y2633" s="1"/>
      <c r="Z2633" s="1"/>
      <c r="AA2633" s="1"/>
      <c r="AB2633" s="1"/>
      <c r="AC2633" s="1"/>
      <c r="AD2633" s="1"/>
      <c r="AE2633" s="1"/>
      <c r="AF2633" s="1"/>
      <c r="AG2633" s="1"/>
      <c r="AH2633" s="1"/>
      <c r="AI2633" s="1"/>
      <c r="AJ2633" s="1"/>
      <c r="AK2633" s="1"/>
      <c r="AL2633" s="1"/>
      <c r="AM2633" s="1"/>
      <c r="AN2633" s="1"/>
      <c r="AO2633" s="1"/>
      <c r="AP2633" s="1"/>
      <c r="AQ2633" s="1"/>
      <c r="AR2633" s="1"/>
      <c r="AS2633" s="1"/>
      <c r="AT2633" s="1"/>
      <c r="AU2633" s="1"/>
      <c r="AV2633" s="1"/>
      <c r="AW2633" s="1"/>
      <c r="AX2633" s="1"/>
      <c r="AY2633" s="1"/>
      <c r="AZ2633" s="1"/>
      <c r="BA2633" s="1"/>
      <c r="BB2633" s="1"/>
    </row>
    <row r="2634" ht="204.75" customHeight="1">
      <c r="A2634" s="1">
        <v>3487.0</v>
      </c>
      <c r="B2634" s="2" t="s">
        <v>8122</v>
      </c>
      <c r="C2634" s="2">
        <f>IFERROR(__xludf.DUMMYFUNCTION("split(B2634,""_"")"),1301.0)</f>
        <v>1301</v>
      </c>
      <c r="D2634" s="2" t="str">
        <f>IFERROR(__xludf.DUMMYFUNCTION("""COMPUTED_VALUE"""),"EX")</f>
        <v>EX</v>
      </c>
      <c r="E2634" s="2" t="str">
        <f>IFERROR(__xludf.DUMMYFUNCTION("""COMPUTED_VALUE"""),"金23")</f>
        <v>金23</v>
      </c>
      <c r="F2634" s="2" t="s">
        <v>7776</v>
      </c>
      <c r="G2634" s="2" t="s">
        <v>7796</v>
      </c>
      <c r="H2634" s="1">
        <v>7.0</v>
      </c>
      <c r="I2634" s="1" t="s">
        <v>2892</v>
      </c>
      <c r="J2634" s="1" t="s">
        <v>1435</v>
      </c>
      <c r="K2634" s="2" t="s">
        <v>8136</v>
      </c>
      <c r="L2634" s="11" t="s">
        <v>8137</v>
      </c>
      <c r="M2634" s="2" t="str">
        <f>IFERROR(__xludf.DUMMYFUNCTION("split(split(K2634,""玉森裕太("",false),""公式LINE"",false)"),"光秀を本願寺に招いた顕如は「わたしと組めば、あなたが天下を取れる」と、信長を裏切るようそそのかす!一笑に付す光秀だったが、その顔には不敵な笑みが浮かんでいた…。軍に同行したケンは、そこで信長を迎えた光秀を見て『本能寺の変』が起こるのではないか、と危惧する…! ")</f>
        <v>光秀を本願寺に招いた顕如は「わたしと組めば、あなたが天下を取れる」と、信長を裏切るようそそのかす!一笑に付す光秀だったが、その顔には不敵な笑みが浮かんでいた…。軍に同行したケンは、そこで信長を迎えた光秀を見て『本能寺の変』が起こるのではないか、と危惧する…! </v>
      </c>
      <c r="N2634" s="2"/>
      <c r="O2634" s="2"/>
      <c r="P2634" s="1"/>
      <c r="Q2634" s="1"/>
      <c r="R2634" s="1"/>
      <c r="S2634" s="1"/>
      <c r="T2634" s="1"/>
      <c r="U2634" s="1"/>
      <c r="V2634" s="1"/>
      <c r="W2634" s="1"/>
      <c r="X2634" s="1"/>
      <c r="Y2634" s="1"/>
      <c r="Z2634" s="1"/>
      <c r="AA2634" s="1"/>
      <c r="AB2634" s="1"/>
      <c r="AC2634" s="1"/>
      <c r="AD2634" s="1"/>
      <c r="AE2634" s="1"/>
      <c r="AF2634" s="1"/>
      <c r="AG2634" s="1"/>
      <c r="AH2634" s="1"/>
      <c r="AI2634" s="1"/>
      <c r="AJ2634" s="1"/>
      <c r="AK2634" s="1"/>
      <c r="AL2634" s="1"/>
      <c r="AM2634" s="1"/>
      <c r="AN2634" s="1"/>
      <c r="AO2634" s="1"/>
      <c r="AP2634" s="1"/>
      <c r="AQ2634" s="1"/>
      <c r="AR2634" s="1"/>
      <c r="AS2634" s="1"/>
      <c r="AT2634" s="1"/>
      <c r="AU2634" s="1"/>
      <c r="AV2634" s="1"/>
      <c r="AW2634" s="1"/>
      <c r="AX2634" s="1"/>
      <c r="AY2634" s="1"/>
      <c r="AZ2634" s="1"/>
      <c r="BA2634" s="1"/>
      <c r="BB2634" s="1"/>
    </row>
    <row r="2635" ht="204.75" customHeight="1">
      <c r="A2635" s="1">
        <v>3488.0</v>
      </c>
      <c r="B2635" s="2" t="s">
        <v>8122</v>
      </c>
      <c r="C2635" s="2">
        <f>IFERROR(__xludf.DUMMYFUNCTION("split(B2635,""_"")"),1301.0)</f>
        <v>1301</v>
      </c>
      <c r="D2635" s="2" t="str">
        <f>IFERROR(__xludf.DUMMYFUNCTION("""COMPUTED_VALUE"""),"EX")</f>
        <v>EX</v>
      </c>
      <c r="E2635" s="2" t="str">
        <f>IFERROR(__xludf.DUMMYFUNCTION("""COMPUTED_VALUE"""),"金23")</f>
        <v>金23</v>
      </c>
      <c r="F2635" s="2" t="s">
        <v>7776</v>
      </c>
      <c r="G2635" s="2" t="s">
        <v>7799</v>
      </c>
      <c r="H2635" s="1">
        <v>8.0</v>
      </c>
      <c r="I2635" s="1" t="s">
        <v>2896</v>
      </c>
      <c r="J2635" s="1" t="s">
        <v>1435</v>
      </c>
      <c r="K2635" s="2" t="s">
        <v>8138</v>
      </c>
      <c r="L2635" s="11" t="s">
        <v>8139</v>
      </c>
      <c r="M2635" s="2" t="str">
        <f>IFERROR(__xludf.DUMMYFUNCTION("split(split(K2635,""玉森裕太("",false),""公式LINE"",false)"),"信長軍が壊滅すると読んだ可成は、盾となり朝倉・浅井軍の進軍を食い止めると宣言!行ってほしくないケンは、思いを込めた料理を作る。朝倉・浅井軍の3万の大軍勢に対して、可成軍は3000…、捨て身の大戦!そこでケンが目にしたのは、壮絶な戦いを繰り広げる可成軍の姿と…!? ")</f>
        <v>信長軍が壊滅すると読んだ可成は、盾となり朝倉・浅井軍の進軍を食い止めると宣言!行ってほしくないケンは、思いを込めた料理を作る。朝倉・浅井軍の3万の大軍勢に対して、可成軍は3000…、捨て身の大戦!そこでケンが目にしたのは、壮絶な戦いを繰り広げる可成軍の姿と…!? </v>
      </c>
      <c r="N2635" s="2"/>
      <c r="O2635" s="2"/>
      <c r="P2635" s="1"/>
      <c r="Q2635" s="1"/>
      <c r="R2635" s="1"/>
      <c r="S2635" s="1"/>
      <c r="T2635" s="1"/>
      <c r="U2635" s="1"/>
      <c r="V2635" s="1"/>
      <c r="W2635" s="1"/>
      <c r="X2635" s="1"/>
      <c r="Y2635" s="1"/>
      <c r="Z2635" s="1"/>
      <c r="AA2635" s="1"/>
      <c r="AB2635" s="1"/>
      <c r="AC2635" s="1"/>
      <c r="AD2635" s="1"/>
      <c r="AE2635" s="1"/>
      <c r="AF2635" s="1"/>
      <c r="AG2635" s="1"/>
      <c r="AH2635" s="1"/>
      <c r="AI2635" s="1"/>
      <c r="AJ2635" s="1"/>
      <c r="AK2635" s="1"/>
      <c r="AL2635" s="1"/>
      <c r="AM2635" s="1"/>
      <c r="AN2635" s="1"/>
      <c r="AO2635" s="1"/>
      <c r="AP2635" s="1"/>
      <c r="AQ2635" s="1"/>
      <c r="AR2635" s="1"/>
      <c r="AS2635" s="1"/>
      <c r="AT2635" s="1"/>
      <c r="AU2635" s="1"/>
      <c r="AV2635" s="1"/>
      <c r="AW2635" s="1"/>
      <c r="AX2635" s="1"/>
      <c r="AY2635" s="1"/>
      <c r="AZ2635" s="1"/>
      <c r="BA2635" s="1"/>
      <c r="BB2635" s="1"/>
    </row>
    <row r="2636" ht="204.75" customHeight="1">
      <c r="A2636" s="1">
        <v>3489.0</v>
      </c>
      <c r="B2636" s="2" t="s">
        <v>8122</v>
      </c>
      <c r="C2636" s="2">
        <f>IFERROR(__xludf.DUMMYFUNCTION("split(B2636,""_"")"),1301.0)</f>
        <v>1301</v>
      </c>
      <c r="D2636" s="2" t="str">
        <f>IFERROR(__xludf.DUMMYFUNCTION("""COMPUTED_VALUE"""),"EX")</f>
        <v>EX</v>
      </c>
      <c r="E2636" s="2" t="str">
        <f>IFERROR(__xludf.DUMMYFUNCTION("""COMPUTED_VALUE"""),"金23")</f>
        <v>金23</v>
      </c>
      <c r="F2636" s="2" t="s">
        <v>7776</v>
      </c>
      <c r="G2636" s="2" t="s">
        <v>8140</v>
      </c>
      <c r="H2636" s="1">
        <v>9.0</v>
      </c>
      <c r="I2636" s="1" t="s">
        <v>2900</v>
      </c>
      <c r="J2636" s="1" t="s">
        <v>1435</v>
      </c>
      <c r="K2636" s="2" t="s">
        <v>8141</v>
      </c>
      <c r="L2636" s="11" t="s">
        <v>8142</v>
      </c>
      <c r="M2636" s="2" t="str">
        <f>IFERROR(__xludf.DUMMYFUNCTION("split(split(K2636,""玉森裕太("",false),""公式LINE"",false)"),"ケンは「自分が負けたら信長はここで死ぬのか?歴史を変えていいのか」と戸惑う・・・。ケンの様子を察した信長は「負けたときは、おぬしを斬る!」と宣言。そんな中「御前試合などやめて、瑤子という女と『平成』に帰れ」と告げる光秀。ケンの料理対決は?そして『平成』に帰れるのか!?")</f>
        <v>ケンは「自分が負けたら信長はここで死ぬのか?歴史を変えていいのか」と戸惑う・・・。ケンの様子を察した信長は「負けたときは、おぬしを斬る!」と宣言。そんな中「御前試合などやめて、瑤子という女と『平成』に帰れ」と告げる光秀。ケンの料理対決は?そして『平成』に帰れるのか!?</v>
      </c>
      <c r="N2636" s="2"/>
      <c r="O2636" s="2"/>
      <c r="P2636" s="1"/>
      <c r="Q2636" s="1"/>
      <c r="R2636" s="1"/>
      <c r="S2636" s="1"/>
      <c r="T2636" s="1"/>
      <c r="U2636" s="1"/>
      <c r="V2636" s="1"/>
      <c r="W2636" s="1"/>
      <c r="X2636" s="1"/>
      <c r="Y2636" s="1"/>
      <c r="Z2636" s="1"/>
      <c r="AA2636" s="1"/>
      <c r="AB2636" s="1"/>
      <c r="AC2636" s="1"/>
      <c r="AD2636" s="1"/>
      <c r="AE2636" s="1"/>
      <c r="AF2636" s="1"/>
      <c r="AG2636" s="1"/>
      <c r="AH2636" s="1"/>
      <c r="AI2636" s="1"/>
      <c r="AJ2636" s="1"/>
      <c r="AK2636" s="1"/>
      <c r="AL2636" s="1"/>
      <c r="AM2636" s="1"/>
      <c r="AN2636" s="1"/>
      <c r="AO2636" s="1"/>
      <c r="AP2636" s="1"/>
      <c r="AQ2636" s="1"/>
      <c r="AR2636" s="1"/>
      <c r="AS2636" s="1"/>
      <c r="AT2636" s="1"/>
      <c r="AU2636" s="1"/>
      <c r="AV2636" s="1"/>
      <c r="AW2636" s="1"/>
      <c r="AX2636" s="1"/>
      <c r="AY2636" s="1"/>
      <c r="AZ2636" s="1"/>
      <c r="BA2636" s="1"/>
      <c r="BB2636" s="1"/>
    </row>
    <row r="2637" ht="204.75" customHeight="1">
      <c r="A2637" s="1">
        <v>3574.0</v>
      </c>
      <c r="B2637" s="2" t="s">
        <v>8143</v>
      </c>
      <c r="C2637" s="2">
        <f>IFERROR(__xludf.DUMMYFUNCTION("split(B2637,""_"")"),1210.0)</f>
        <v>1210</v>
      </c>
      <c r="D2637" s="2" t="str">
        <f>IFERROR(__xludf.DUMMYFUNCTION("""COMPUTED_VALUE"""),"EX")</f>
        <v>EX</v>
      </c>
      <c r="E2637" s="2" t="str">
        <f>IFERROR(__xludf.DUMMYFUNCTION("""COMPUTED_VALUE"""),"木21")</f>
        <v>木21</v>
      </c>
      <c r="F2637" s="2" t="s">
        <v>6489</v>
      </c>
      <c r="G2637" s="2" t="s">
        <v>7088</v>
      </c>
      <c r="H2637" s="1">
        <v>1.0</v>
      </c>
      <c r="I2637" s="1" t="s">
        <v>2868</v>
      </c>
      <c r="J2637" s="1" t="s">
        <v>4</v>
      </c>
      <c r="K2637" s="4" t="s">
        <v>8144</v>
      </c>
      <c r="L2637" s="11" t="s">
        <v>8145</v>
      </c>
      <c r="M2637" s="2" t="str">
        <f>IFERROR(__xludf.DUMMYFUNCTION("split(split(K2637,""米倉涼子、"",false),""公式LINE"",false)"),"医師とは思えぬ出で立ちの大門未知子(米倉涼子)が紹介状を持って大学病院にやってくる。変わっているのは外見だけではなかった。着任早々、未知子は院長の久保(竜雷太)が執刀する手術に異議を唱える。一気に院内の反感を買った未知子。しかし、院長が始めた手術はとんでもない事態を迎える…!")</f>
        <v>医師とは思えぬ出で立ちの大門未知子(米倉涼子)が紹介状を持って大学病院にやってくる。変わっているのは外見だけではなかった。着任早々、未知子は院長の久保(竜雷太)が執刀する手術に異議を唱える。一気に院内の反感を買った未知子。しかし、院長が始めた手術はとんでもない事態を迎える…!</v>
      </c>
      <c r="N2637" s="2"/>
      <c r="O2637" s="2"/>
      <c r="P2637" s="1"/>
      <c r="Q2637" s="1"/>
      <c r="R2637" s="1"/>
      <c r="S2637" s="1"/>
      <c r="T2637" s="1"/>
      <c r="U2637" s="1"/>
      <c r="V2637" s="1"/>
      <c r="W2637" s="1"/>
      <c r="X2637" s="1"/>
      <c r="Y2637" s="1"/>
      <c r="Z2637" s="1"/>
      <c r="AA2637" s="1"/>
      <c r="AB2637" s="1"/>
      <c r="AC2637" s="1"/>
      <c r="AD2637" s="1"/>
      <c r="AE2637" s="1"/>
      <c r="AF2637" s="1"/>
      <c r="AG2637" s="1"/>
      <c r="AH2637" s="1"/>
      <c r="AI2637" s="1"/>
      <c r="AJ2637" s="1"/>
      <c r="AK2637" s="1"/>
      <c r="AL2637" s="1"/>
      <c r="AM2637" s="1"/>
      <c r="AN2637" s="1"/>
      <c r="AO2637" s="1"/>
      <c r="AP2637" s="1"/>
      <c r="AQ2637" s="1"/>
      <c r="AR2637" s="1"/>
      <c r="AS2637" s="1"/>
      <c r="AT2637" s="1"/>
      <c r="AU2637" s="1"/>
      <c r="AV2637" s="1"/>
      <c r="AW2637" s="1"/>
      <c r="AX2637" s="1"/>
      <c r="AY2637" s="1"/>
      <c r="AZ2637" s="1"/>
      <c r="BA2637" s="1"/>
      <c r="BB2637" s="1"/>
    </row>
    <row r="2638" ht="204.75" customHeight="1">
      <c r="A2638" s="1">
        <v>3575.0</v>
      </c>
      <c r="B2638" s="2" t="s">
        <v>8143</v>
      </c>
      <c r="C2638" s="2">
        <f>IFERROR(__xludf.DUMMYFUNCTION("split(B2638,""_"")"),1210.0)</f>
        <v>1210</v>
      </c>
      <c r="D2638" s="2" t="str">
        <f>IFERROR(__xludf.DUMMYFUNCTION("""COMPUTED_VALUE"""),"EX")</f>
        <v>EX</v>
      </c>
      <c r="E2638" s="2" t="str">
        <f>IFERROR(__xludf.DUMMYFUNCTION("""COMPUTED_VALUE"""),"木21")</f>
        <v>木21</v>
      </c>
      <c r="F2638" s="2" t="s">
        <v>6489</v>
      </c>
      <c r="G2638" s="2" t="s">
        <v>7091</v>
      </c>
      <c r="H2638" s="1">
        <v>2.0</v>
      </c>
      <c r="I2638" s="1" t="s">
        <v>2872</v>
      </c>
      <c r="J2638" s="1" t="s">
        <v>11</v>
      </c>
      <c r="K2638" s="2" t="s">
        <v>8146</v>
      </c>
      <c r="L2638" s="11" t="s">
        <v>8147</v>
      </c>
      <c r="M2638" s="2" t="str">
        <f>IFERROR(__xludf.DUMMYFUNCTION("split(split(K2638,""米倉涼子、"",false),""公式LINE"",false)"),"有名出版社社長の二階堂(半海一晃)がすい臓ガンを患い入院してくる。執刀医の鳥井(段田安則)の術式に対し患部がとりきれないと未知子は反対。自分ならできると主張するが、謝礼金目的だと却下されてしまう。だが当日、手術は困難を極めついに鳥井は根をあげてしまう!そこで呼ばれたのは…?")</f>
        <v>有名出版社社長の二階堂(半海一晃)がすい臓ガンを患い入院してくる。執刀医の鳥井(段田安則)の術式に対し患部がとりきれないと未知子は反対。自分ならできると主張するが、謝礼金目的だと却下されてしまう。だが当日、手術は困難を極めついに鳥井は根をあげてしまう!そこで呼ばれたのは…?</v>
      </c>
      <c r="N2638" s="2"/>
      <c r="O2638" s="2"/>
      <c r="P2638" s="1"/>
      <c r="Q2638" s="1"/>
      <c r="R2638" s="1"/>
      <c r="S2638" s="1"/>
      <c r="T2638" s="1"/>
      <c r="U2638" s="1"/>
      <c r="V2638" s="1"/>
      <c r="W2638" s="1"/>
      <c r="X2638" s="1"/>
      <c r="Y2638" s="1"/>
      <c r="Z2638" s="1"/>
      <c r="AA2638" s="1"/>
      <c r="AB2638" s="1"/>
      <c r="AC2638" s="1"/>
      <c r="AD2638" s="1"/>
      <c r="AE2638" s="1"/>
      <c r="AF2638" s="1"/>
      <c r="AG2638" s="1"/>
      <c r="AH2638" s="1"/>
      <c r="AI2638" s="1"/>
      <c r="AJ2638" s="1"/>
      <c r="AK2638" s="1"/>
      <c r="AL2638" s="1"/>
      <c r="AM2638" s="1"/>
      <c r="AN2638" s="1"/>
      <c r="AO2638" s="1"/>
      <c r="AP2638" s="1"/>
      <c r="AQ2638" s="1"/>
      <c r="AR2638" s="1"/>
      <c r="AS2638" s="1"/>
      <c r="AT2638" s="1"/>
      <c r="AU2638" s="1"/>
      <c r="AV2638" s="1"/>
      <c r="AW2638" s="1"/>
      <c r="AX2638" s="1"/>
      <c r="AY2638" s="1"/>
      <c r="AZ2638" s="1"/>
      <c r="BA2638" s="1"/>
      <c r="BB2638" s="1"/>
    </row>
    <row r="2639" ht="204.75" customHeight="1">
      <c r="A2639" s="1">
        <v>3576.0</v>
      </c>
      <c r="B2639" s="2" t="s">
        <v>8143</v>
      </c>
      <c r="C2639" s="2">
        <f>IFERROR(__xludf.DUMMYFUNCTION("split(B2639,""_"")"),1210.0)</f>
        <v>1210</v>
      </c>
      <c r="D2639" s="2" t="str">
        <f>IFERROR(__xludf.DUMMYFUNCTION("""COMPUTED_VALUE"""),"EX")</f>
        <v>EX</v>
      </c>
      <c r="E2639" s="2" t="str">
        <f>IFERROR(__xludf.DUMMYFUNCTION("""COMPUTED_VALUE"""),"木21")</f>
        <v>木21</v>
      </c>
      <c r="F2639" s="2" t="s">
        <v>6489</v>
      </c>
      <c r="G2639" s="2" t="s">
        <v>7094</v>
      </c>
      <c r="H2639" s="1">
        <v>3.0</v>
      </c>
      <c r="I2639" s="1" t="s">
        <v>2876</v>
      </c>
      <c r="J2639" s="1" t="s">
        <v>11</v>
      </c>
      <c r="K2639" s="2" t="s">
        <v>8148</v>
      </c>
      <c r="L2639" s="11" t="s">
        <v>8149</v>
      </c>
      <c r="M2639" s="2" t="str">
        <f>IFERROR(__xludf.DUMMYFUNCTION("split(split(K2639,""米倉涼子、"",false),""公式LINE"",false)"),"米倉涼子がスーパードクターに初挑戦!天才的な腕を持ちながら組織に属さないフリー外科医・未知子が、叩き上げのスキルを武器に金と欲にまみれた病院組織にメスを入れる!")</f>
        <v>米倉涼子がスーパードクターに初挑戦!天才的な腕を持ちながら組織に属さないフリー外科医・未知子が、叩き上げのスキルを武器に金と欲にまみれた病院組織にメスを入れる!</v>
      </c>
      <c r="N2639" s="2"/>
      <c r="O2639" s="2"/>
      <c r="P2639" s="1"/>
      <c r="Q2639" s="1"/>
      <c r="R2639" s="1"/>
      <c r="S2639" s="1"/>
      <c r="T2639" s="1"/>
      <c r="U2639" s="1"/>
      <c r="V2639" s="1"/>
      <c r="W2639" s="1"/>
      <c r="X2639" s="1"/>
      <c r="Y2639" s="1"/>
      <c r="Z2639" s="1"/>
      <c r="AA2639" s="1"/>
      <c r="AB2639" s="1"/>
      <c r="AC2639" s="1"/>
      <c r="AD2639" s="1"/>
      <c r="AE2639" s="1"/>
      <c r="AF2639" s="1"/>
      <c r="AG2639" s="1"/>
      <c r="AH2639" s="1"/>
      <c r="AI2639" s="1"/>
      <c r="AJ2639" s="1"/>
      <c r="AK2639" s="1"/>
      <c r="AL2639" s="1"/>
      <c r="AM2639" s="1"/>
      <c r="AN2639" s="1"/>
      <c r="AO2639" s="1"/>
      <c r="AP2639" s="1"/>
      <c r="AQ2639" s="1"/>
      <c r="AR2639" s="1"/>
      <c r="AS2639" s="1"/>
      <c r="AT2639" s="1"/>
      <c r="AU2639" s="1"/>
      <c r="AV2639" s="1"/>
      <c r="AW2639" s="1"/>
      <c r="AX2639" s="1"/>
      <c r="AY2639" s="1"/>
      <c r="AZ2639" s="1"/>
      <c r="BA2639" s="1"/>
      <c r="BB2639" s="1"/>
    </row>
    <row r="2640" ht="204.75" customHeight="1">
      <c r="A2640" s="1">
        <v>3577.0</v>
      </c>
      <c r="B2640" s="2" t="s">
        <v>8143</v>
      </c>
      <c r="C2640" s="2">
        <f>IFERROR(__xludf.DUMMYFUNCTION("split(B2640,""_"")"),1210.0)</f>
        <v>1210</v>
      </c>
      <c r="D2640" s="2" t="str">
        <f>IFERROR(__xludf.DUMMYFUNCTION("""COMPUTED_VALUE"""),"EX")</f>
        <v>EX</v>
      </c>
      <c r="E2640" s="2" t="str">
        <f>IFERROR(__xludf.DUMMYFUNCTION("""COMPUTED_VALUE"""),"木21")</f>
        <v>木21</v>
      </c>
      <c r="F2640" s="2" t="s">
        <v>6489</v>
      </c>
      <c r="G2640" s="2" t="s">
        <v>7097</v>
      </c>
      <c r="H2640" s="1">
        <v>4.0</v>
      </c>
      <c r="I2640" s="1" t="s">
        <v>2880</v>
      </c>
      <c r="J2640" s="1" t="s">
        <v>11</v>
      </c>
      <c r="K2640" s="2" t="s">
        <v>8150</v>
      </c>
      <c r="L2640" s="11" t="s">
        <v>8149</v>
      </c>
      <c r="M2640" s="2" t="str">
        <f>IFERROR(__xludf.DUMMYFUNCTION("split(split(K2640,""米倉涼子、"",false),""公式LINE"",false)"),"米倉涼子がスーパードクターに初挑戦!天才的な腕を持ちながら組織に属さないフリー外科医・未知子が、叩き上げのスキルを武器に金と欲にまみれた病院組織にメスを入れる!")</f>
        <v>米倉涼子がスーパードクターに初挑戦!天才的な腕を持ちながら組織に属さないフリー外科医・未知子が、叩き上げのスキルを武器に金と欲にまみれた病院組織にメスを入れる!</v>
      </c>
      <c r="N2640" s="2"/>
      <c r="O2640" s="2"/>
      <c r="P2640" s="1"/>
      <c r="Q2640" s="1"/>
      <c r="R2640" s="1"/>
      <c r="S2640" s="1"/>
      <c r="T2640" s="1"/>
      <c r="U2640" s="1"/>
      <c r="V2640" s="1"/>
      <c r="W2640" s="1"/>
      <c r="X2640" s="1"/>
      <c r="Y2640" s="1"/>
      <c r="Z2640" s="1"/>
      <c r="AA2640" s="1"/>
      <c r="AB2640" s="1"/>
      <c r="AC2640" s="1"/>
      <c r="AD2640" s="1"/>
      <c r="AE2640" s="1"/>
      <c r="AF2640" s="1"/>
      <c r="AG2640" s="1"/>
      <c r="AH2640" s="1"/>
      <c r="AI2640" s="1"/>
      <c r="AJ2640" s="1"/>
      <c r="AK2640" s="1"/>
      <c r="AL2640" s="1"/>
      <c r="AM2640" s="1"/>
      <c r="AN2640" s="1"/>
      <c r="AO2640" s="1"/>
      <c r="AP2640" s="1"/>
      <c r="AQ2640" s="1"/>
      <c r="AR2640" s="1"/>
      <c r="AS2640" s="1"/>
      <c r="AT2640" s="1"/>
      <c r="AU2640" s="1"/>
      <c r="AV2640" s="1"/>
      <c r="AW2640" s="1"/>
      <c r="AX2640" s="1"/>
      <c r="AY2640" s="1"/>
      <c r="AZ2640" s="1"/>
      <c r="BA2640" s="1"/>
      <c r="BB2640" s="1"/>
    </row>
    <row r="2641" ht="204.75" customHeight="1">
      <c r="A2641" s="1">
        <v>3578.0</v>
      </c>
      <c r="B2641" s="2" t="s">
        <v>8143</v>
      </c>
      <c r="C2641" s="2">
        <f>IFERROR(__xludf.DUMMYFUNCTION("split(B2641,""_"")"),1210.0)</f>
        <v>1210</v>
      </c>
      <c r="D2641" s="2" t="str">
        <f>IFERROR(__xludf.DUMMYFUNCTION("""COMPUTED_VALUE"""),"EX")</f>
        <v>EX</v>
      </c>
      <c r="E2641" s="2" t="str">
        <f>IFERROR(__xludf.DUMMYFUNCTION("""COMPUTED_VALUE"""),"木21")</f>
        <v>木21</v>
      </c>
      <c r="F2641" s="2" t="s">
        <v>6489</v>
      </c>
      <c r="G2641" s="2" t="s">
        <v>7100</v>
      </c>
      <c r="H2641" s="1">
        <v>5.0</v>
      </c>
      <c r="I2641" s="1" t="s">
        <v>2884</v>
      </c>
      <c r="J2641" s="1" t="s">
        <v>11</v>
      </c>
      <c r="K2641" s="2" t="s">
        <v>8151</v>
      </c>
      <c r="L2641" s="11" t="s">
        <v>8149</v>
      </c>
      <c r="M2641" s="2" t="str">
        <f>IFERROR(__xludf.DUMMYFUNCTION("split(split(K2641,""米倉涼子、"",false),""公式LINE"",false)"),"米倉涼子がスーパードクターに初挑戦!天才的な腕を持ちながら組織に属さないフリー外科医・未知子が、叩き上げのスキルを武器に金と欲にまみれた病院組織にメスを入れる!")</f>
        <v>米倉涼子がスーパードクターに初挑戦!天才的な腕を持ちながら組織に属さないフリー外科医・未知子が、叩き上げのスキルを武器に金と欲にまみれた病院組織にメスを入れる!</v>
      </c>
      <c r="N2641" s="2"/>
      <c r="O2641" s="2"/>
      <c r="P2641" s="1"/>
      <c r="Q2641" s="1"/>
      <c r="R2641" s="1"/>
      <c r="S2641" s="1"/>
      <c r="T2641" s="1"/>
      <c r="U2641" s="1"/>
      <c r="V2641" s="1"/>
      <c r="W2641" s="1"/>
      <c r="X2641" s="1"/>
      <c r="Y2641" s="1"/>
      <c r="Z2641" s="1"/>
      <c r="AA2641" s="1"/>
      <c r="AB2641" s="1"/>
      <c r="AC2641" s="1"/>
      <c r="AD2641" s="1"/>
      <c r="AE2641" s="1"/>
      <c r="AF2641" s="1"/>
      <c r="AG2641" s="1"/>
      <c r="AH2641" s="1"/>
      <c r="AI2641" s="1"/>
      <c r="AJ2641" s="1"/>
      <c r="AK2641" s="1"/>
      <c r="AL2641" s="1"/>
      <c r="AM2641" s="1"/>
      <c r="AN2641" s="1"/>
      <c r="AO2641" s="1"/>
      <c r="AP2641" s="1"/>
      <c r="AQ2641" s="1"/>
      <c r="AR2641" s="1"/>
      <c r="AS2641" s="1"/>
      <c r="AT2641" s="1"/>
      <c r="AU2641" s="1"/>
      <c r="AV2641" s="1"/>
      <c r="AW2641" s="1"/>
      <c r="AX2641" s="1"/>
      <c r="AY2641" s="1"/>
      <c r="AZ2641" s="1"/>
      <c r="BA2641" s="1"/>
      <c r="BB2641" s="1"/>
    </row>
    <row r="2642" ht="204.75" customHeight="1">
      <c r="A2642" s="1">
        <v>3579.0</v>
      </c>
      <c r="B2642" s="2" t="s">
        <v>8143</v>
      </c>
      <c r="C2642" s="2">
        <f>IFERROR(__xludf.DUMMYFUNCTION("split(B2642,""_"")"),1210.0)</f>
        <v>1210</v>
      </c>
      <c r="D2642" s="2" t="str">
        <f>IFERROR(__xludf.DUMMYFUNCTION("""COMPUTED_VALUE"""),"EX")</f>
        <v>EX</v>
      </c>
      <c r="E2642" s="2" t="str">
        <f>IFERROR(__xludf.DUMMYFUNCTION("""COMPUTED_VALUE"""),"木21")</f>
        <v>木21</v>
      </c>
      <c r="F2642" s="2" t="s">
        <v>6489</v>
      </c>
      <c r="G2642" s="2" t="s">
        <v>7103</v>
      </c>
      <c r="H2642" s="1">
        <v>6.0</v>
      </c>
      <c r="I2642" s="1" t="s">
        <v>2888</v>
      </c>
      <c r="J2642" s="1" t="s">
        <v>11</v>
      </c>
      <c r="K2642" s="2" t="s">
        <v>8152</v>
      </c>
      <c r="L2642" s="11" t="s">
        <v>8149</v>
      </c>
      <c r="M2642" s="2" t="str">
        <f>IFERROR(__xludf.DUMMYFUNCTION("split(split(K2642,""米倉涼子、"",false),""公式LINE"",false)"),"米倉涼子がスーパードクターに初挑戦!天才的な腕を持ちながら組織に属さないフリー外科医・未知子が、叩き上げのスキルを武器に金と欲にまみれた病院組織にメスを入れる!")</f>
        <v>米倉涼子がスーパードクターに初挑戦!天才的な腕を持ちながら組織に属さないフリー外科医・未知子が、叩き上げのスキルを武器に金と欲にまみれた病院組織にメスを入れる!</v>
      </c>
      <c r="N2642" s="2"/>
      <c r="O2642" s="2"/>
      <c r="P2642" s="1"/>
      <c r="Q2642" s="1"/>
      <c r="R2642" s="1"/>
      <c r="S2642" s="1"/>
      <c r="T2642" s="1"/>
      <c r="U2642" s="1"/>
      <c r="V2642" s="1"/>
      <c r="W2642" s="1"/>
      <c r="X2642" s="1"/>
      <c r="Y2642" s="1"/>
      <c r="Z2642" s="1"/>
      <c r="AA2642" s="1"/>
      <c r="AB2642" s="1"/>
      <c r="AC2642" s="1"/>
      <c r="AD2642" s="1"/>
      <c r="AE2642" s="1"/>
      <c r="AF2642" s="1"/>
      <c r="AG2642" s="1"/>
      <c r="AH2642" s="1"/>
      <c r="AI2642" s="1"/>
      <c r="AJ2642" s="1"/>
      <c r="AK2642" s="1"/>
      <c r="AL2642" s="1"/>
      <c r="AM2642" s="1"/>
      <c r="AN2642" s="1"/>
      <c r="AO2642" s="1"/>
      <c r="AP2642" s="1"/>
      <c r="AQ2642" s="1"/>
      <c r="AR2642" s="1"/>
      <c r="AS2642" s="1"/>
      <c r="AT2642" s="1"/>
      <c r="AU2642" s="1"/>
      <c r="AV2642" s="1"/>
      <c r="AW2642" s="1"/>
      <c r="AX2642" s="1"/>
      <c r="AY2642" s="1"/>
      <c r="AZ2642" s="1"/>
      <c r="BA2642" s="1"/>
      <c r="BB2642" s="1"/>
    </row>
    <row r="2643" ht="204.75" customHeight="1">
      <c r="A2643" s="1">
        <v>3580.0</v>
      </c>
      <c r="B2643" s="2" t="s">
        <v>8143</v>
      </c>
      <c r="C2643" s="2">
        <f>IFERROR(__xludf.DUMMYFUNCTION("split(B2643,""_"")"),1210.0)</f>
        <v>1210</v>
      </c>
      <c r="D2643" s="2" t="str">
        <f>IFERROR(__xludf.DUMMYFUNCTION("""COMPUTED_VALUE"""),"EX")</f>
        <v>EX</v>
      </c>
      <c r="E2643" s="2" t="str">
        <f>IFERROR(__xludf.DUMMYFUNCTION("""COMPUTED_VALUE"""),"木21")</f>
        <v>木21</v>
      </c>
      <c r="F2643" s="2" t="s">
        <v>6489</v>
      </c>
      <c r="G2643" s="2" t="s">
        <v>7106</v>
      </c>
      <c r="H2643" s="1">
        <v>7.0</v>
      </c>
      <c r="I2643" s="1" t="s">
        <v>2892</v>
      </c>
      <c r="J2643" s="1" t="s">
        <v>11</v>
      </c>
      <c r="K2643" s="2" t="s">
        <v>8153</v>
      </c>
      <c r="L2643" s="11" t="s">
        <v>8154</v>
      </c>
      <c r="M2643" s="2" t="str">
        <f>IFERROR(__xludf.DUMMYFUNCTION("split(split(K2643,""米倉涼子、"",false),""公式LINE"",false)"),"米倉涼子がスーパードクターに初挑戦!  『私、失敗しないので。』  天才的な腕を持ちながら組織に属さないフリー外科医・未知子が、叩き上げのスキルを武器に金と欲にまみれた病院組織にメスを入れる!")</f>
        <v>米倉涼子がスーパードクターに初挑戦!  『私、失敗しないので。』  天才的な腕を持ちながら組織に属さないフリー外科医・未知子が、叩き上げのスキルを武器に金と欲にまみれた病院組織にメスを入れる!</v>
      </c>
      <c r="N2643" s="2"/>
      <c r="O2643" s="2"/>
      <c r="P2643" s="1"/>
      <c r="Q2643" s="1"/>
      <c r="R2643" s="1"/>
      <c r="S2643" s="1"/>
      <c r="T2643" s="1"/>
      <c r="U2643" s="1"/>
      <c r="V2643" s="1"/>
      <c r="W2643" s="1"/>
      <c r="X2643" s="1"/>
      <c r="Y2643" s="1"/>
      <c r="Z2643" s="1"/>
      <c r="AA2643" s="1"/>
      <c r="AB2643" s="1"/>
      <c r="AC2643" s="1"/>
      <c r="AD2643" s="1"/>
      <c r="AE2643" s="1"/>
      <c r="AF2643" s="1"/>
      <c r="AG2643" s="1"/>
      <c r="AH2643" s="1"/>
      <c r="AI2643" s="1"/>
      <c r="AJ2643" s="1"/>
      <c r="AK2643" s="1"/>
      <c r="AL2643" s="1"/>
      <c r="AM2643" s="1"/>
      <c r="AN2643" s="1"/>
      <c r="AO2643" s="1"/>
      <c r="AP2643" s="1"/>
      <c r="AQ2643" s="1"/>
      <c r="AR2643" s="1"/>
      <c r="AS2643" s="1"/>
      <c r="AT2643" s="1"/>
      <c r="AU2643" s="1"/>
      <c r="AV2643" s="1"/>
      <c r="AW2643" s="1"/>
      <c r="AX2643" s="1"/>
      <c r="AY2643" s="1"/>
      <c r="AZ2643" s="1"/>
      <c r="BA2643" s="1"/>
      <c r="BB2643" s="1"/>
    </row>
    <row r="2644" ht="204.75" customHeight="1">
      <c r="A2644" s="1">
        <v>3581.0</v>
      </c>
      <c r="B2644" s="2" t="s">
        <v>8143</v>
      </c>
      <c r="C2644" s="2">
        <f>IFERROR(__xludf.DUMMYFUNCTION("split(B2644,""_"")"),1210.0)</f>
        <v>1210</v>
      </c>
      <c r="D2644" s="2" t="str">
        <f>IFERROR(__xludf.DUMMYFUNCTION("""COMPUTED_VALUE"""),"EX")</f>
        <v>EX</v>
      </c>
      <c r="E2644" s="2" t="str">
        <f>IFERROR(__xludf.DUMMYFUNCTION("""COMPUTED_VALUE"""),"木21")</f>
        <v>木21</v>
      </c>
      <c r="F2644" s="2" t="s">
        <v>6489</v>
      </c>
      <c r="G2644" s="2" t="s">
        <v>8155</v>
      </c>
      <c r="H2644" s="1">
        <v>8.0</v>
      </c>
      <c r="J2644" s="1" t="s">
        <v>4</v>
      </c>
      <c r="K2644" s="2" t="s">
        <v>8156</v>
      </c>
      <c r="L2644" s="11" t="s">
        <v>8149</v>
      </c>
      <c r="M2644" s="2" t="str">
        <f>IFERROR(__xludf.DUMMYFUNCTION("split(split(K2644,""米倉涼子、"",false),""公式LINE"",false)"),"米倉涼子がスーパードクターに初挑戦!天才的な腕を持ちながら組織に属さないフリー外科医・未知子が、叩き上げのスキルを武器に金と欲にまみれた病院組織にメスを入れる!")</f>
        <v>米倉涼子がスーパードクターに初挑戦!天才的な腕を持ちながら組織に属さないフリー外科医・未知子が、叩き上げのスキルを武器に金と欲にまみれた病院組織にメスを入れる!</v>
      </c>
      <c r="N2644" s="2"/>
      <c r="O2644" s="2"/>
      <c r="P2644" s="1"/>
      <c r="Q2644" s="1"/>
      <c r="R2644" s="1"/>
      <c r="S2644" s="1"/>
      <c r="T2644" s="1"/>
      <c r="U2644" s="1"/>
      <c r="V2644" s="1"/>
      <c r="W2644" s="1"/>
      <c r="X2644" s="1"/>
      <c r="Y2644" s="1"/>
      <c r="Z2644" s="1"/>
      <c r="AA2644" s="1"/>
      <c r="AB2644" s="1"/>
      <c r="AC2644" s="1"/>
      <c r="AD2644" s="1"/>
      <c r="AE2644" s="1"/>
      <c r="AF2644" s="1"/>
      <c r="AG2644" s="1"/>
      <c r="AH2644" s="1"/>
      <c r="AI2644" s="1"/>
      <c r="AJ2644" s="1"/>
      <c r="AK2644" s="1"/>
      <c r="AL2644" s="1"/>
      <c r="AM2644" s="1"/>
      <c r="AN2644" s="1"/>
      <c r="AO2644" s="1"/>
      <c r="AP2644" s="1"/>
      <c r="AQ2644" s="1"/>
      <c r="AR2644" s="1"/>
      <c r="AS2644" s="1"/>
      <c r="AT2644" s="1"/>
      <c r="AU2644" s="1"/>
      <c r="AV2644" s="1"/>
      <c r="AW2644" s="1"/>
      <c r="AX2644" s="1"/>
      <c r="AY2644" s="1"/>
      <c r="AZ2644" s="1"/>
      <c r="BA2644" s="1"/>
      <c r="BB2644" s="1"/>
    </row>
    <row r="2645" ht="204.75" customHeight="1">
      <c r="A2645" s="1">
        <v>3603.0</v>
      </c>
      <c r="B2645" s="2" t="s">
        <v>8157</v>
      </c>
      <c r="C2645" s="2">
        <f>IFERROR(__xludf.DUMMYFUNCTION("split(B2645,""_"")"),1210.0)</f>
        <v>1210</v>
      </c>
      <c r="D2645" s="2" t="str">
        <f>IFERROR(__xludf.DUMMYFUNCTION("""COMPUTED_VALUE"""),"EX")</f>
        <v>EX</v>
      </c>
      <c r="E2645" s="2" t="str">
        <f>IFERROR(__xludf.DUMMYFUNCTION("""COMPUTED_VALUE"""),"金23")</f>
        <v>金23</v>
      </c>
      <c r="F2645" s="2" t="s">
        <v>7829</v>
      </c>
      <c r="G2645" s="2" t="s">
        <v>7830</v>
      </c>
      <c r="H2645" s="1">
        <v>1.0</v>
      </c>
      <c r="I2645" s="1" t="s">
        <v>2868</v>
      </c>
      <c r="J2645" s="1" t="s">
        <v>1435</v>
      </c>
      <c r="K2645" s="4" t="s">
        <v>8158</v>
      </c>
      <c r="L2645" s="2"/>
      <c r="M2645" s="2" t="str">
        <f>IFERROR(__xludf.DUMMYFUNCTION("split(split(K2645,""…"",false),""公式LINE"",false)"),"ストーカーに悩む美女(宮地真緒)の依頼を受けた探偵(高橋克典)は、その正体を突き止めるべく調査を開始!ストーカーの正体を突き止めかけたかに見えた探偵だっだが、依頼者が殺人事件の容疑者として逮捕されるという不測の事態が起こり")</f>
        <v>ストーカーに悩む美女(宮地真緒)の依頼を受けた探偵(高橋克典)は、その正体を突き止めるべく調査を開始!ストーカーの正体を突き止めかけたかに見えた探偵だっだが、依頼者が殺人事件の容疑者として逮捕されるという不測の事態が起こり</v>
      </c>
      <c r="N2645" s="2"/>
      <c r="O2645" s="2"/>
      <c r="P2645" s="1"/>
      <c r="Q2645" s="1"/>
      <c r="R2645" s="1"/>
      <c r="S2645" s="1"/>
      <c r="T2645" s="1"/>
      <c r="U2645" s="1"/>
      <c r="V2645" s="1"/>
      <c r="W2645" s="1"/>
      <c r="X2645" s="1"/>
      <c r="Y2645" s="1"/>
      <c r="Z2645" s="1"/>
      <c r="AA2645" s="1"/>
      <c r="AB2645" s="1"/>
      <c r="AC2645" s="1"/>
      <c r="AD2645" s="1"/>
      <c r="AE2645" s="1"/>
      <c r="AF2645" s="1"/>
      <c r="AG2645" s="1"/>
      <c r="AH2645" s="1"/>
      <c r="AI2645" s="1"/>
      <c r="AJ2645" s="1"/>
      <c r="AK2645" s="1"/>
      <c r="AL2645" s="1"/>
      <c r="AM2645" s="1"/>
      <c r="AN2645" s="1"/>
      <c r="AO2645" s="1"/>
      <c r="AP2645" s="1"/>
      <c r="AQ2645" s="1"/>
      <c r="AR2645" s="1"/>
      <c r="AS2645" s="1"/>
      <c r="AT2645" s="1"/>
      <c r="AU2645" s="1"/>
      <c r="AV2645" s="1"/>
      <c r="AW2645" s="1"/>
      <c r="AX2645" s="1"/>
      <c r="AY2645" s="1"/>
      <c r="AZ2645" s="1"/>
      <c r="BA2645" s="1"/>
      <c r="BB2645" s="1"/>
    </row>
    <row r="2646" ht="204.75" customHeight="1">
      <c r="A2646" s="1">
        <v>3604.0</v>
      </c>
      <c r="B2646" s="2" t="s">
        <v>8157</v>
      </c>
      <c r="C2646" s="2">
        <f>IFERROR(__xludf.DUMMYFUNCTION("split(B2646,""_"")"),1210.0)</f>
        <v>1210</v>
      </c>
      <c r="D2646" s="2" t="str">
        <f>IFERROR(__xludf.DUMMYFUNCTION("""COMPUTED_VALUE"""),"EX")</f>
        <v>EX</v>
      </c>
      <c r="E2646" s="2" t="str">
        <f>IFERROR(__xludf.DUMMYFUNCTION("""COMPUTED_VALUE"""),"金23")</f>
        <v>金23</v>
      </c>
      <c r="F2646" s="2" t="s">
        <v>7829</v>
      </c>
      <c r="G2646" s="2" t="s">
        <v>7833</v>
      </c>
      <c r="H2646" s="1">
        <v>2.0</v>
      </c>
      <c r="I2646" s="1" t="s">
        <v>2872</v>
      </c>
      <c r="J2646" s="1" t="s">
        <v>1435</v>
      </c>
      <c r="K2646" s="2" t="s">
        <v>8159</v>
      </c>
      <c r="L2646" s="10" t="s">
        <v>2775</v>
      </c>
      <c r="M2646" s="2" t="str">
        <f>IFERROR(__xludf.DUMMYFUNCTION("split(split(K2646,""高橋克典、"",false),""公式LINE"",false)"),"伝説のドラマ「特命係長・只野仁」以来、高橋克典の金曜ナイトドラマ主演作がスタート!サスペンス、コメディ、少々お色気!?氏名不詳の私立探偵が金曜日の夜を熱くする!")</f>
        <v>伝説のドラマ「特命係長・只野仁」以来、高橋克典の金曜ナイトドラマ主演作がスタート!サスペンス、コメディ、少々お色気!?氏名不詳の私立探偵が金曜日の夜を熱くする!</v>
      </c>
      <c r="N2646" s="2"/>
      <c r="O2646" s="2"/>
      <c r="P2646" s="1"/>
      <c r="Q2646" s="1"/>
      <c r="R2646" s="1"/>
      <c r="S2646" s="1"/>
      <c r="T2646" s="1"/>
      <c r="U2646" s="1"/>
      <c r="V2646" s="1"/>
      <c r="W2646" s="1"/>
      <c r="X2646" s="1"/>
      <c r="Y2646" s="1"/>
      <c r="Z2646" s="1"/>
      <c r="AA2646" s="1"/>
      <c r="AB2646" s="1"/>
      <c r="AC2646" s="1"/>
      <c r="AD2646" s="1"/>
      <c r="AE2646" s="1"/>
      <c r="AF2646" s="1"/>
      <c r="AG2646" s="1"/>
      <c r="AH2646" s="1"/>
      <c r="AI2646" s="1"/>
      <c r="AJ2646" s="1"/>
      <c r="AK2646" s="1"/>
      <c r="AL2646" s="1"/>
      <c r="AM2646" s="1"/>
      <c r="AN2646" s="1"/>
      <c r="AO2646" s="1"/>
      <c r="AP2646" s="1"/>
      <c r="AQ2646" s="1"/>
      <c r="AR2646" s="1"/>
      <c r="AS2646" s="1"/>
      <c r="AT2646" s="1"/>
      <c r="AU2646" s="1"/>
      <c r="AV2646" s="1"/>
      <c r="AW2646" s="1"/>
      <c r="AX2646" s="1"/>
      <c r="AY2646" s="1"/>
      <c r="AZ2646" s="1"/>
      <c r="BA2646" s="1"/>
      <c r="BB2646" s="1"/>
    </row>
    <row r="2647" ht="204.75" customHeight="1">
      <c r="A2647" s="1">
        <v>3605.0</v>
      </c>
      <c r="B2647" s="2" t="s">
        <v>8157</v>
      </c>
      <c r="C2647" s="2">
        <f>IFERROR(__xludf.DUMMYFUNCTION("split(B2647,""_"")"),1210.0)</f>
        <v>1210</v>
      </c>
      <c r="D2647" s="2" t="str">
        <f>IFERROR(__xludf.DUMMYFUNCTION("""COMPUTED_VALUE"""),"EX")</f>
        <v>EX</v>
      </c>
      <c r="E2647" s="2" t="str">
        <f>IFERROR(__xludf.DUMMYFUNCTION("""COMPUTED_VALUE"""),"金23")</f>
        <v>金23</v>
      </c>
      <c r="F2647" s="2" t="s">
        <v>7829</v>
      </c>
      <c r="G2647" s="2" t="s">
        <v>7836</v>
      </c>
      <c r="H2647" s="1">
        <v>3.0</v>
      </c>
      <c r="I2647" s="1" t="s">
        <v>2876</v>
      </c>
      <c r="J2647" s="1" t="s">
        <v>1435</v>
      </c>
      <c r="K2647" s="2" t="s">
        <v>8160</v>
      </c>
      <c r="L2647" s="10" t="s">
        <v>2775</v>
      </c>
      <c r="M2647" s="2" t="str">
        <f>IFERROR(__xludf.DUMMYFUNCTION("split(split(K2647,""高橋克典、"",false),""公式LINE"",false)"),"伝説のドラマ「特命係長・只野仁」以来の、高橋克典・金曜ナイトドラマ主演作がスタート!サスペンス、コメディ、少々お色気!?氏名不詳の私立探偵が金曜日の夜を最高に熱くする!")</f>
        <v>伝説のドラマ「特命係長・只野仁」以来の、高橋克典・金曜ナイトドラマ主演作がスタート!サスペンス、コメディ、少々お色気!?氏名不詳の私立探偵が金曜日の夜を最高に熱くする!</v>
      </c>
      <c r="N2647" s="2"/>
      <c r="O2647" s="2"/>
      <c r="P2647" s="1"/>
      <c r="Q2647" s="1"/>
      <c r="R2647" s="1"/>
      <c r="S2647" s="1"/>
      <c r="T2647" s="1"/>
      <c r="U2647" s="1"/>
      <c r="V2647" s="1"/>
      <c r="W2647" s="1"/>
      <c r="X2647" s="1"/>
      <c r="Y2647" s="1"/>
      <c r="Z2647" s="1"/>
      <c r="AA2647" s="1"/>
      <c r="AB2647" s="1"/>
      <c r="AC2647" s="1"/>
      <c r="AD2647" s="1"/>
      <c r="AE2647" s="1"/>
      <c r="AF2647" s="1"/>
      <c r="AG2647" s="1"/>
      <c r="AH2647" s="1"/>
      <c r="AI2647" s="1"/>
      <c r="AJ2647" s="1"/>
      <c r="AK2647" s="1"/>
      <c r="AL2647" s="1"/>
      <c r="AM2647" s="1"/>
      <c r="AN2647" s="1"/>
      <c r="AO2647" s="1"/>
      <c r="AP2647" s="1"/>
      <c r="AQ2647" s="1"/>
      <c r="AR2647" s="1"/>
      <c r="AS2647" s="1"/>
      <c r="AT2647" s="1"/>
      <c r="AU2647" s="1"/>
      <c r="AV2647" s="1"/>
      <c r="AW2647" s="1"/>
      <c r="AX2647" s="1"/>
      <c r="AY2647" s="1"/>
      <c r="AZ2647" s="1"/>
      <c r="BA2647" s="1"/>
      <c r="BB2647" s="1"/>
    </row>
    <row r="2648" ht="204.75" customHeight="1">
      <c r="A2648" s="1">
        <v>3606.0</v>
      </c>
      <c r="B2648" s="2" t="s">
        <v>8157</v>
      </c>
      <c r="C2648" s="2">
        <f>IFERROR(__xludf.DUMMYFUNCTION("split(B2648,""_"")"),1210.0)</f>
        <v>1210</v>
      </c>
      <c r="D2648" s="2" t="str">
        <f>IFERROR(__xludf.DUMMYFUNCTION("""COMPUTED_VALUE"""),"EX")</f>
        <v>EX</v>
      </c>
      <c r="E2648" s="2" t="str">
        <f>IFERROR(__xludf.DUMMYFUNCTION("""COMPUTED_VALUE"""),"金23")</f>
        <v>金23</v>
      </c>
      <c r="F2648" s="2" t="s">
        <v>7829</v>
      </c>
      <c r="G2648" s="2" t="s">
        <v>7839</v>
      </c>
      <c r="H2648" s="1">
        <v>4.0</v>
      </c>
      <c r="I2648" s="1" t="s">
        <v>2880</v>
      </c>
      <c r="J2648" s="1" t="s">
        <v>1435</v>
      </c>
      <c r="K2648" s="2" t="s">
        <v>8161</v>
      </c>
      <c r="L2648" s="10" t="s">
        <v>2775</v>
      </c>
      <c r="M2648" s="2" t="str">
        <f>IFERROR(__xludf.DUMMYFUNCTION("split(split(K2648,""高橋克典、"",false),""公式LINE"",false)"),"伝説のドラマ「特命係長・只野仁」以来の、高橋克典・金曜ナイトドラマ主演作がスタート!サスペンス、コメディ、少々お色気!?氏名不詳の私立探偵が金曜日の夜を最高に熱くする!")</f>
        <v>伝説のドラマ「特命係長・只野仁」以来の、高橋克典・金曜ナイトドラマ主演作がスタート!サスペンス、コメディ、少々お色気!?氏名不詳の私立探偵が金曜日の夜を最高に熱くする!</v>
      </c>
      <c r="N2648" s="2"/>
      <c r="O2648" s="2"/>
      <c r="P2648" s="1"/>
      <c r="Q2648" s="1"/>
      <c r="R2648" s="1"/>
      <c r="S2648" s="1"/>
      <c r="T2648" s="1"/>
      <c r="U2648" s="1"/>
      <c r="V2648" s="1"/>
      <c r="W2648" s="1"/>
      <c r="X2648" s="1"/>
      <c r="Y2648" s="1"/>
      <c r="Z2648" s="1"/>
      <c r="AA2648" s="1"/>
      <c r="AB2648" s="1"/>
      <c r="AC2648" s="1"/>
      <c r="AD2648" s="1"/>
      <c r="AE2648" s="1"/>
      <c r="AF2648" s="1"/>
      <c r="AG2648" s="1"/>
      <c r="AH2648" s="1"/>
      <c r="AI2648" s="1"/>
      <c r="AJ2648" s="1"/>
      <c r="AK2648" s="1"/>
      <c r="AL2648" s="1"/>
      <c r="AM2648" s="1"/>
      <c r="AN2648" s="1"/>
      <c r="AO2648" s="1"/>
      <c r="AP2648" s="1"/>
      <c r="AQ2648" s="1"/>
      <c r="AR2648" s="1"/>
      <c r="AS2648" s="1"/>
      <c r="AT2648" s="1"/>
      <c r="AU2648" s="1"/>
      <c r="AV2648" s="1"/>
      <c r="AW2648" s="1"/>
      <c r="AX2648" s="1"/>
      <c r="AY2648" s="1"/>
      <c r="AZ2648" s="1"/>
      <c r="BA2648" s="1"/>
      <c r="BB2648" s="1"/>
    </row>
    <row r="2649" ht="204.75" customHeight="1">
      <c r="A2649" s="1">
        <v>3607.0</v>
      </c>
      <c r="B2649" s="2" t="s">
        <v>8157</v>
      </c>
      <c r="C2649" s="2">
        <f>IFERROR(__xludf.DUMMYFUNCTION("split(B2649,""_"")"),1210.0)</f>
        <v>1210</v>
      </c>
      <c r="D2649" s="2" t="str">
        <f>IFERROR(__xludf.DUMMYFUNCTION("""COMPUTED_VALUE"""),"EX")</f>
        <v>EX</v>
      </c>
      <c r="E2649" s="2" t="str">
        <f>IFERROR(__xludf.DUMMYFUNCTION("""COMPUTED_VALUE"""),"金23")</f>
        <v>金23</v>
      </c>
      <c r="F2649" s="2" t="s">
        <v>7829</v>
      </c>
      <c r="G2649" s="2" t="s">
        <v>7842</v>
      </c>
      <c r="H2649" s="1">
        <v>5.0</v>
      </c>
      <c r="I2649" s="1" t="s">
        <v>2884</v>
      </c>
      <c r="J2649" s="1" t="s">
        <v>1435</v>
      </c>
      <c r="K2649" s="2" t="s">
        <v>8162</v>
      </c>
      <c r="L2649" s="10" t="s">
        <v>2775</v>
      </c>
      <c r="M2649" s="2" t="str">
        <f>IFERROR(__xludf.DUMMYFUNCTION("split(split(K2649,""高橋克典、"",false),""公式LINE"",false)"),"伝説のドラマ「特命係長・只野仁」以来の、高橋克典・金曜ナイトドラマ主演作がスタート!サスペンス、コメディ、少々お色気!?氏名不詳の私立探偵が金曜日の夜を最高に熱くする!")</f>
        <v>伝説のドラマ「特命係長・只野仁」以来の、高橋克典・金曜ナイトドラマ主演作がスタート!サスペンス、コメディ、少々お色気!?氏名不詳の私立探偵が金曜日の夜を最高に熱くする!</v>
      </c>
      <c r="N2649" s="2"/>
      <c r="O2649" s="2"/>
      <c r="P2649" s="1"/>
      <c r="Q2649" s="1"/>
      <c r="R2649" s="1"/>
      <c r="S2649" s="1"/>
      <c r="T2649" s="1"/>
      <c r="U2649" s="1"/>
      <c r="V2649" s="1"/>
      <c r="W2649" s="1"/>
      <c r="X2649" s="1"/>
      <c r="Y2649" s="1"/>
      <c r="Z2649" s="1"/>
      <c r="AA2649" s="1"/>
      <c r="AB2649" s="1"/>
      <c r="AC2649" s="1"/>
      <c r="AD2649" s="1"/>
      <c r="AE2649" s="1"/>
      <c r="AF2649" s="1"/>
      <c r="AG2649" s="1"/>
      <c r="AH2649" s="1"/>
      <c r="AI2649" s="1"/>
      <c r="AJ2649" s="1"/>
      <c r="AK2649" s="1"/>
      <c r="AL2649" s="1"/>
      <c r="AM2649" s="1"/>
      <c r="AN2649" s="1"/>
      <c r="AO2649" s="1"/>
      <c r="AP2649" s="1"/>
      <c r="AQ2649" s="1"/>
      <c r="AR2649" s="1"/>
      <c r="AS2649" s="1"/>
      <c r="AT2649" s="1"/>
      <c r="AU2649" s="1"/>
      <c r="AV2649" s="1"/>
      <c r="AW2649" s="1"/>
      <c r="AX2649" s="1"/>
      <c r="AY2649" s="1"/>
      <c r="AZ2649" s="1"/>
      <c r="BA2649" s="1"/>
      <c r="BB2649" s="1"/>
    </row>
    <row r="2650" ht="204.75" customHeight="1">
      <c r="A2650" s="1">
        <v>3608.0</v>
      </c>
      <c r="B2650" s="2" t="s">
        <v>8157</v>
      </c>
      <c r="C2650" s="2">
        <f>IFERROR(__xludf.DUMMYFUNCTION("split(B2650,""_"")"),1210.0)</f>
        <v>1210</v>
      </c>
      <c r="D2650" s="2" t="str">
        <f>IFERROR(__xludf.DUMMYFUNCTION("""COMPUTED_VALUE"""),"EX")</f>
        <v>EX</v>
      </c>
      <c r="E2650" s="2" t="str">
        <f>IFERROR(__xludf.DUMMYFUNCTION("""COMPUTED_VALUE"""),"金23")</f>
        <v>金23</v>
      </c>
      <c r="F2650" s="2" t="s">
        <v>7829</v>
      </c>
      <c r="G2650" s="2" t="s">
        <v>8163</v>
      </c>
      <c r="H2650" s="1">
        <v>6.0</v>
      </c>
      <c r="I2650" s="1" t="s">
        <v>2888</v>
      </c>
      <c r="J2650" s="1" t="s">
        <v>1435</v>
      </c>
      <c r="K2650" s="2" t="s">
        <v>8164</v>
      </c>
      <c r="L2650" s="10" t="s">
        <v>2775</v>
      </c>
      <c r="M2650" s="2" t="str">
        <f>IFERROR(__xludf.DUMMYFUNCTION("split(split(K2650,""高橋克典、"",false),""公式LINE"",false)"),"伝説のドラマ「特命係長・只野仁」以来の、高橋克典・金曜ナイトドラマ主演作がスタート!サスペンス、コメディ、少々お色気!?氏名不詳の私立探偵が金曜日の夜を最高に熱くする!")</f>
        <v>伝説のドラマ「特命係長・只野仁」以来の、高橋克典・金曜ナイトドラマ主演作がスタート!サスペンス、コメディ、少々お色気!?氏名不詳の私立探偵が金曜日の夜を最高に熱くする!</v>
      </c>
      <c r="N2650" s="2"/>
      <c r="O2650" s="2"/>
      <c r="P2650" s="1"/>
      <c r="Q2650" s="1"/>
      <c r="R2650" s="1"/>
      <c r="S2650" s="1"/>
      <c r="T2650" s="1"/>
      <c r="U2650" s="1"/>
      <c r="V2650" s="1"/>
      <c r="W2650" s="1"/>
      <c r="X2650" s="1"/>
      <c r="Y2650" s="1"/>
      <c r="Z2650" s="1"/>
      <c r="AA2650" s="1"/>
      <c r="AB2650" s="1"/>
      <c r="AC2650" s="1"/>
      <c r="AD2650" s="1"/>
      <c r="AE2650" s="1"/>
      <c r="AF2650" s="1"/>
      <c r="AG2650" s="1"/>
      <c r="AH2650" s="1"/>
      <c r="AI2650" s="1"/>
      <c r="AJ2650" s="1"/>
      <c r="AK2650" s="1"/>
      <c r="AL2650" s="1"/>
      <c r="AM2650" s="1"/>
      <c r="AN2650" s="1"/>
      <c r="AO2650" s="1"/>
      <c r="AP2650" s="1"/>
      <c r="AQ2650" s="1"/>
      <c r="AR2650" s="1"/>
      <c r="AS2650" s="1"/>
      <c r="AT2650" s="1"/>
      <c r="AU2650" s="1"/>
      <c r="AV2650" s="1"/>
      <c r="AW2650" s="1"/>
      <c r="AX2650" s="1"/>
      <c r="AY2650" s="1"/>
      <c r="AZ2650" s="1"/>
      <c r="BA2650" s="1"/>
      <c r="BB2650" s="1"/>
    </row>
    <row r="2651" ht="204.75" customHeight="1">
      <c r="A2651" s="1">
        <v>3609.0</v>
      </c>
      <c r="B2651" s="2" t="s">
        <v>8157</v>
      </c>
      <c r="C2651" s="2">
        <f>IFERROR(__xludf.DUMMYFUNCTION("split(B2651,""_"")"),1210.0)</f>
        <v>1210</v>
      </c>
      <c r="D2651" s="2" t="str">
        <f>IFERROR(__xludf.DUMMYFUNCTION("""COMPUTED_VALUE"""),"EX")</f>
        <v>EX</v>
      </c>
      <c r="E2651" s="2" t="str">
        <f>IFERROR(__xludf.DUMMYFUNCTION("""COMPUTED_VALUE"""),"金23")</f>
        <v>金23</v>
      </c>
      <c r="F2651" s="2" t="s">
        <v>7829</v>
      </c>
      <c r="G2651" s="2" t="s">
        <v>7848</v>
      </c>
      <c r="H2651" s="1">
        <v>7.0</v>
      </c>
      <c r="I2651" s="1" t="s">
        <v>2892</v>
      </c>
      <c r="J2651" s="1" t="s">
        <v>1435</v>
      </c>
      <c r="K2651" s="2" t="s">
        <v>8165</v>
      </c>
      <c r="L2651" s="10" t="s">
        <v>2775</v>
      </c>
      <c r="M2651" s="2" t="str">
        <f>IFERROR(__xludf.DUMMYFUNCTION("split(split(K2651,""高橋克典、"",false),""公式LINE"",false)"),"伝説のドラマ「特命係長・只野仁」以来の、高橋克典・金曜ナイトドラマ主演作がスタート!サスペンス、コメディ、少々お色気!?氏名不詳の私立探偵が金曜日の夜を最高に熱くする!")</f>
        <v>伝説のドラマ「特命係長・只野仁」以来の、高橋克典・金曜ナイトドラマ主演作がスタート!サスペンス、コメディ、少々お色気!?氏名不詳の私立探偵が金曜日の夜を最高に熱くする!</v>
      </c>
      <c r="N2651" s="2"/>
      <c r="O2651" s="2"/>
      <c r="P2651" s="1"/>
      <c r="Q2651" s="1"/>
      <c r="R2651" s="1"/>
      <c r="S2651" s="1"/>
      <c r="T2651" s="1"/>
      <c r="U2651" s="1"/>
      <c r="V2651" s="1"/>
      <c r="W2651" s="1"/>
      <c r="X2651" s="1"/>
      <c r="Y2651" s="1"/>
      <c r="Z2651" s="1"/>
      <c r="AA2651" s="1"/>
      <c r="AB2651" s="1"/>
      <c r="AC2651" s="1"/>
      <c r="AD2651" s="1"/>
      <c r="AE2651" s="1"/>
      <c r="AF2651" s="1"/>
      <c r="AG2651" s="1"/>
      <c r="AH2651" s="1"/>
      <c r="AI2651" s="1"/>
      <c r="AJ2651" s="1"/>
      <c r="AK2651" s="1"/>
      <c r="AL2651" s="1"/>
      <c r="AM2651" s="1"/>
      <c r="AN2651" s="1"/>
      <c r="AO2651" s="1"/>
      <c r="AP2651" s="1"/>
      <c r="AQ2651" s="1"/>
      <c r="AR2651" s="1"/>
      <c r="AS2651" s="1"/>
      <c r="AT2651" s="1"/>
      <c r="AU2651" s="1"/>
      <c r="AV2651" s="1"/>
      <c r="AW2651" s="1"/>
      <c r="AX2651" s="1"/>
      <c r="AY2651" s="1"/>
      <c r="AZ2651" s="1"/>
      <c r="BA2651" s="1"/>
      <c r="BB2651" s="1"/>
    </row>
    <row r="2652" ht="204.75" customHeight="1">
      <c r="A2652" s="1">
        <v>3610.0</v>
      </c>
      <c r="B2652" s="2" t="s">
        <v>8157</v>
      </c>
      <c r="C2652" s="2">
        <f>IFERROR(__xludf.DUMMYFUNCTION("split(B2652,""_"")"),1210.0)</f>
        <v>1210</v>
      </c>
      <c r="D2652" s="2" t="str">
        <f>IFERROR(__xludf.DUMMYFUNCTION("""COMPUTED_VALUE"""),"EX")</f>
        <v>EX</v>
      </c>
      <c r="E2652" s="2" t="str">
        <f>IFERROR(__xludf.DUMMYFUNCTION("""COMPUTED_VALUE"""),"金23")</f>
        <v>金23</v>
      </c>
      <c r="F2652" s="2" t="s">
        <v>7829</v>
      </c>
      <c r="G2652" s="2" t="s">
        <v>8166</v>
      </c>
      <c r="H2652" s="1">
        <v>8.0</v>
      </c>
      <c r="I2652" s="1" t="s">
        <v>2896</v>
      </c>
      <c r="J2652" s="1" t="s">
        <v>1435</v>
      </c>
      <c r="K2652" s="2" t="s">
        <v>8167</v>
      </c>
      <c r="L2652" s="10" t="s">
        <v>2775</v>
      </c>
      <c r="M2652" s="2" t="str">
        <f>IFERROR(__xludf.DUMMYFUNCTION("split(split(K2652,""高橋克典、"",false),""公式LINE"",false)"),"伝説のドラマ「特命係長・只野仁」以来の、高橋克典・金曜ナイトドラマ主演作がスタート!サスペンス、コメディ、少々お色気!?氏名不詳の私立探偵が金曜日の夜を最高に熱くする!")</f>
        <v>伝説のドラマ「特命係長・只野仁」以来の、高橋克典・金曜ナイトドラマ主演作がスタート!サスペンス、コメディ、少々お色気!?氏名不詳の私立探偵が金曜日の夜を最高に熱くする!</v>
      </c>
      <c r="N2652" s="2"/>
      <c r="O2652" s="2"/>
      <c r="P2652" s="1"/>
      <c r="Q2652" s="1"/>
      <c r="R2652" s="1"/>
      <c r="S2652" s="1"/>
      <c r="T2652" s="1"/>
      <c r="U2652" s="1"/>
      <c r="V2652" s="1"/>
      <c r="W2652" s="1"/>
      <c r="X2652" s="1"/>
      <c r="Y2652" s="1"/>
      <c r="Z2652" s="1"/>
      <c r="AA2652" s="1"/>
      <c r="AB2652" s="1"/>
      <c r="AC2652" s="1"/>
      <c r="AD2652" s="1"/>
      <c r="AE2652" s="1"/>
      <c r="AF2652" s="1"/>
      <c r="AG2652" s="1"/>
      <c r="AH2652" s="1"/>
      <c r="AI2652" s="1"/>
      <c r="AJ2652" s="1"/>
      <c r="AK2652" s="1"/>
      <c r="AL2652" s="1"/>
      <c r="AM2652" s="1"/>
      <c r="AN2652" s="1"/>
      <c r="AO2652" s="1"/>
      <c r="AP2652" s="1"/>
      <c r="AQ2652" s="1"/>
      <c r="AR2652" s="1"/>
      <c r="AS2652" s="1"/>
      <c r="AT2652" s="1"/>
      <c r="AU2652" s="1"/>
      <c r="AV2652" s="1"/>
      <c r="AW2652" s="1"/>
      <c r="AX2652" s="1"/>
      <c r="AY2652" s="1"/>
      <c r="AZ2652" s="1"/>
      <c r="BA2652" s="1"/>
      <c r="BB2652" s="1"/>
    </row>
    <row r="2653" ht="204.75" customHeight="1">
      <c r="A2653" s="1">
        <v>3611.0</v>
      </c>
      <c r="B2653" s="2" t="s">
        <v>8157</v>
      </c>
      <c r="C2653" s="2">
        <f>IFERROR(__xludf.DUMMYFUNCTION("split(B2653,""_"")"),1210.0)</f>
        <v>1210</v>
      </c>
      <c r="D2653" s="2" t="str">
        <f>IFERROR(__xludf.DUMMYFUNCTION("""COMPUTED_VALUE"""),"EX")</f>
        <v>EX</v>
      </c>
      <c r="E2653" s="2" t="str">
        <f>IFERROR(__xludf.DUMMYFUNCTION("""COMPUTED_VALUE"""),"金23")</f>
        <v>金23</v>
      </c>
      <c r="F2653" s="2" t="s">
        <v>7829</v>
      </c>
      <c r="G2653" s="2" t="s">
        <v>8168</v>
      </c>
      <c r="H2653" s="1">
        <v>9.0</v>
      </c>
      <c r="J2653" s="1" t="s">
        <v>1435</v>
      </c>
      <c r="K2653" s="2" t="s">
        <v>8169</v>
      </c>
      <c r="L2653" s="10" t="s">
        <v>2775</v>
      </c>
      <c r="M2653" s="2" t="str">
        <f>IFERROR(__xludf.DUMMYFUNCTION("split(split(K2653,""高橋克典、"",false),""公式LINE"",false)"),"伝説のドラマ「特命係長・只野仁」以来の、高橋克典・金曜ナイトドラマ主演作がスタート!サスペンス、コメディ、少々お色気!?氏名不詳の私立探偵が金曜日の夜を最高に熱くする!")</f>
        <v>伝説のドラマ「特命係長・只野仁」以来の、高橋克典・金曜ナイトドラマ主演作がスタート!サスペンス、コメディ、少々お色気!?氏名不詳の私立探偵が金曜日の夜を最高に熱くする!</v>
      </c>
      <c r="N2653" s="2"/>
      <c r="O2653" s="2"/>
      <c r="P2653" s="1"/>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c r="AN2653" s="1"/>
      <c r="AO2653" s="1"/>
      <c r="AP2653" s="1"/>
      <c r="AQ2653" s="1"/>
      <c r="AR2653" s="1"/>
      <c r="AS2653" s="1"/>
      <c r="AT2653" s="1"/>
      <c r="AU2653" s="1"/>
      <c r="AV2653" s="1"/>
      <c r="AW2653" s="1"/>
      <c r="AX2653" s="1"/>
      <c r="AY2653" s="1"/>
      <c r="AZ2653" s="1"/>
      <c r="BA2653" s="1"/>
      <c r="BB2653" s="1"/>
    </row>
    <row r="2654" ht="204.75" customHeight="1">
      <c r="A2654" s="1">
        <v>3709.0</v>
      </c>
      <c r="B2654" s="2" t="s">
        <v>8170</v>
      </c>
      <c r="C2654" s="2">
        <f>IFERROR(__xludf.DUMMYFUNCTION("split(B2654,""_"")"),1207.0)</f>
        <v>1207</v>
      </c>
      <c r="D2654" s="2" t="str">
        <f>IFERROR(__xludf.DUMMYFUNCTION("""COMPUTED_VALUE"""),"EX")</f>
        <v>EX</v>
      </c>
      <c r="E2654" s="2" t="str">
        <f>IFERROR(__xludf.DUMMYFUNCTION("""COMPUTED_VALUE"""),"木21")</f>
        <v>木21</v>
      </c>
      <c r="F2654" s="2" t="s">
        <v>7145</v>
      </c>
      <c r="G2654" s="2" t="s">
        <v>8171</v>
      </c>
      <c r="H2654" s="1">
        <v>1.0</v>
      </c>
      <c r="J2654" s="1" t="s">
        <v>7147</v>
      </c>
      <c r="K2654" s="2" t="s">
        <v>8172</v>
      </c>
      <c r="L2654" s="2" t="s">
        <v>8173</v>
      </c>
      <c r="M2654" s="2" t="str">
        <f>IFERROR(__xludf.DUMMYFUNCTION("split(split(K2654,""…"",false),""公式LINE"",false)"),"糸村聡(上川隆也)は警視庁捜査一課から月島中央署へ左遷!そんな矢先、月島中央署の女性警察官が何者かに誘拐された。チームワークが重視される所轄での捜査でも、独自の感性で捜査をする糸村。やがて糸村は事件関係者の部屋で見つけた“あるもの”に注目するが")</f>
        <v>糸村聡(上川隆也)は警視庁捜査一課から月島中央署へ左遷!そんな矢先、月島中央署の女性警察官が何者かに誘拐された。チームワークが重視される所轄での捜査でも、独自の感性で捜査をする糸村。やがて糸村は事件関係者の部屋で見つけた“あるもの”に注目するが</v>
      </c>
      <c r="N2654" s="2"/>
      <c r="O2654" s="2"/>
      <c r="P2654" s="1"/>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c r="AN2654" s="1"/>
      <c r="AO2654" s="1"/>
      <c r="AP2654" s="1"/>
      <c r="AQ2654" s="1"/>
      <c r="AR2654" s="1"/>
      <c r="AS2654" s="1"/>
      <c r="AT2654" s="1"/>
      <c r="AU2654" s="1"/>
      <c r="AV2654" s="1"/>
      <c r="AW2654" s="1"/>
      <c r="AX2654" s="1"/>
      <c r="AY2654" s="1"/>
      <c r="AZ2654" s="1"/>
      <c r="BA2654" s="1"/>
      <c r="BB2654" s="1"/>
    </row>
    <row r="2655" ht="204.75" customHeight="1">
      <c r="A2655" s="1">
        <v>3710.0</v>
      </c>
      <c r="B2655" s="2" t="s">
        <v>8170</v>
      </c>
      <c r="C2655" s="2">
        <f>IFERROR(__xludf.DUMMYFUNCTION("split(B2655,""_"")"),1207.0)</f>
        <v>1207</v>
      </c>
      <c r="D2655" s="2" t="str">
        <f>IFERROR(__xludf.DUMMYFUNCTION("""COMPUTED_VALUE"""),"EX")</f>
        <v>EX</v>
      </c>
      <c r="E2655" s="2" t="str">
        <f>IFERROR(__xludf.DUMMYFUNCTION("""COMPUTED_VALUE"""),"木21")</f>
        <v>木21</v>
      </c>
      <c r="F2655" s="2" t="s">
        <v>7145</v>
      </c>
      <c r="G2655" s="2" t="s">
        <v>7150</v>
      </c>
      <c r="H2655" s="1">
        <v>2.0</v>
      </c>
      <c r="I2655" s="1" t="s">
        <v>2872</v>
      </c>
      <c r="J2655" s="1" t="s">
        <v>11</v>
      </c>
      <c r="K2655" s="2" t="s">
        <v>8174</v>
      </c>
      <c r="L2655" s="10" t="s">
        <v>2775</v>
      </c>
      <c r="M2655" s="2" t="str">
        <f>IFERROR(__xludf.DUMMYFUNCTION("split(split(K2655,""…"",false),""公式LINE"",false)"),"上川隆也、斉藤由貴、八嶋智人、田中哲司、岡田義徳、正名僕蔵、眞島秀和 / 三宅裕司  【ゲスト】  高橋和也、中村倫也、水上剣星、小野真弓、足立理　ほか大石哲也長谷川康山下達郎『愛を教えて』(ワーナーミュージック・ジャパン)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http://www.tv-asah"&amp;"i.co.jp/iryu/")</f>
        <v>上川隆也、斉藤由貴、八嶋智人、田中哲司、岡田義徳、正名僕蔵、眞島秀和 / 三宅裕司  【ゲスト】  高橋和也、中村倫也、水上剣星、小野真弓、足立理　ほか大石哲也長谷川康山下達郎『愛を教えて』(ワーナーミュージック・ジャパン)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v>
      </c>
      <c r="N2655" s="2"/>
      <c r="O2655" s="2"/>
      <c r="P2655" s="1"/>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c r="AN2655" s="1"/>
      <c r="AO2655" s="1"/>
      <c r="AP2655" s="1"/>
      <c r="AQ2655" s="1"/>
      <c r="AR2655" s="1"/>
      <c r="AS2655" s="1"/>
      <c r="AT2655" s="1"/>
      <c r="AU2655" s="1"/>
      <c r="AV2655" s="1"/>
      <c r="AW2655" s="1"/>
      <c r="AX2655" s="1"/>
      <c r="AY2655" s="1"/>
      <c r="AZ2655" s="1"/>
      <c r="BA2655" s="1"/>
      <c r="BB2655" s="1"/>
    </row>
    <row r="2656" ht="204.75" customHeight="1">
      <c r="A2656" s="1">
        <v>3711.0</v>
      </c>
      <c r="B2656" s="2" t="s">
        <v>8170</v>
      </c>
      <c r="C2656" s="2">
        <f>IFERROR(__xludf.DUMMYFUNCTION("split(B2656,""_"")"),1207.0)</f>
        <v>1207</v>
      </c>
      <c r="D2656" s="2" t="str">
        <f>IFERROR(__xludf.DUMMYFUNCTION("""COMPUTED_VALUE"""),"EX")</f>
        <v>EX</v>
      </c>
      <c r="E2656" s="2" t="str">
        <f>IFERROR(__xludf.DUMMYFUNCTION("""COMPUTED_VALUE"""),"木21")</f>
        <v>木21</v>
      </c>
      <c r="F2656" s="2" t="s">
        <v>7145</v>
      </c>
      <c r="G2656" s="2" t="s">
        <v>7154</v>
      </c>
      <c r="H2656" s="1">
        <v>3.0</v>
      </c>
      <c r="I2656" s="1" t="s">
        <v>2876</v>
      </c>
      <c r="J2656" s="1" t="s">
        <v>11</v>
      </c>
      <c r="K2656" s="2" t="s">
        <v>8175</v>
      </c>
      <c r="L2656" s="10" t="s">
        <v>2775</v>
      </c>
      <c r="M2656" s="2" t="str">
        <f>IFERROR(__xludf.DUMMYFUNCTION("split(split(K2656,""…"",false),""公式LINE"",false)"),"上川隆也、斉藤由貴、八嶋智人、田中哲司、岡田義徳、正名僕蔵、眞島秀和 / 三宅裕司  【ゲスト】  藤真利子、原田佳奈、久世星佳、湯江健幸、水野真紀　ほか福島治子長谷川康山下達郎『愛を教えて』(ワーナーミュージック・ジャパン)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http://www.tv-asa"&amp;"hi.co.jp/iryu/")</f>
        <v>上川隆也、斉藤由貴、八嶋智人、田中哲司、岡田義徳、正名僕蔵、眞島秀和 / 三宅裕司  【ゲスト】  藤真利子、原田佳奈、久世星佳、湯江健幸、水野真紀　ほか福島治子長谷川康山下達郎『愛を教えて』(ワーナーミュージック・ジャパン)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v>
      </c>
      <c r="N2656" s="2"/>
      <c r="O2656" s="2"/>
      <c r="P2656" s="1"/>
      <c r="Q2656" s="1"/>
      <c r="R2656" s="1"/>
      <c r="S2656" s="1"/>
      <c r="T2656" s="1"/>
      <c r="U2656" s="1"/>
      <c r="V2656" s="1"/>
      <c r="W2656" s="1"/>
      <c r="X2656" s="1"/>
      <c r="Y2656" s="1"/>
      <c r="Z2656" s="1"/>
      <c r="AA2656" s="1"/>
      <c r="AB2656" s="1"/>
      <c r="AC2656" s="1"/>
      <c r="AD2656" s="1"/>
      <c r="AE2656" s="1"/>
      <c r="AF2656" s="1"/>
      <c r="AG2656" s="1"/>
      <c r="AH2656" s="1"/>
      <c r="AI2656" s="1"/>
      <c r="AJ2656" s="1"/>
      <c r="AK2656" s="1"/>
      <c r="AL2656" s="1"/>
      <c r="AM2656" s="1"/>
      <c r="AN2656" s="1"/>
      <c r="AO2656" s="1"/>
      <c r="AP2656" s="1"/>
      <c r="AQ2656" s="1"/>
      <c r="AR2656" s="1"/>
      <c r="AS2656" s="1"/>
      <c r="AT2656" s="1"/>
      <c r="AU2656" s="1"/>
      <c r="AV2656" s="1"/>
      <c r="AW2656" s="1"/>
      <c r="AX2656" s="1"/>
      <c r="AY2656" s="1"/>
      <c r="AZ2656" s="1"/>
      <c r="BA2656" s="1"/>
      <c r="BB2656" s="1"/>
    </row>
    <row r="2657" ht="204.75" customHeight="1">
      <c r="A2657" s="1">
        <v>3712.0</v>
      </c>
      <c r="B2657" s="2" t="s">
        <v>8170</v>
      </c>
      <c r="C2657" s="2">
        <f>IFERROR(__xludf.DUMMYFUNCTION("split(B2657,""_"")"),1207.0)</f>
        <v>1207</v>
      </c>
      <c r="D2657" s="2" t="str">
        <f>IFERROR(__xludf.DUMMYFUNCTION("""COMPUTED_VALUE"""),"EX")</f>
        <v>EX</v>
      </c>
      <c r="E2657" s="2" t="str">
        <f>IFERROR(__xludf.DUMMYFUNCTION("""COMPUTED_VALUE"""),"木21")</f>
        <v>木21</v>
      </c>
      <c r="F2657" s="2" t="s">
        <v>7145</v>
      </c>
      <c r="G2657" s="2" t="s">
        <v>7157</v>
      </c>
      <c r="H2657" s="1">
        <v>4.0</v>
      </c>
      <c r="I2657" s="1" t="s">
        <v>2880</v>
      </c>
      <c r="J2657" s="1" t="s">
        <v>11</v>
      </c>
      <c r="K2657" s="2" t="s">
        <v>8176</v>
      </c>
      <c r="L2657" s="10" t="s">
        <v>2775</v>
      </c>
      <c r="M2657" s="2" t="str">
        <f>IFERROR(__xludf.DUMMYFUNCTION("split(split(K2657,""…"",false),""公式LINE"",false)"),"上川隆也、斉藤由貴、八嶋智人、田中哲司、岡田義徳、正名僕蔵、眞島秀和 / 三宅裕司  【ゲスト】  高橋かおり、合田雅吏、上原さくら、三輪ひとみ、水野真紀(他)尾西兼一猪崎宣昭山下達郎『愛を教えて』(ワーナーミュージック・ジャパン)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http://www.tv-"&amp;"asahi.co.jp/iryu/")</f>
        <v>上川隆也、斉藤由貴、八嶋智人、田中哲司、岡田義徳、正名僕蔵、眞島秀和 / 三宅裕司  【ゲスト】  高橋かおり、合田雅吏、上原さくら、三輪ひとみ、水野真紀(他)尾西兼一猪崎宣昭山下達郎『愛を教えて』(ワーナーミュージック・ジャパン)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v>
      </c>
      <c r="N2657" s="2"/>
      <c r="O2657" s="2"/>
      <c r="P2657" s="1"/>
      <c r="Q2657" s="1"/>
      <c r="R2657" s="1"/>
      <c r="S2657" s="1"/>
      <c r="T2657" s="1"/>
      <c r="U2657" s="1"/>
      <c r="V2657" s="1"/>
      <c r="W2657" s="1"/>
      <c r="X2657" s="1"/>
      <c r="Y2657" s="1"/>
      <c r="Z2657" s="1"/>
      <c r="AA2657" s="1"/>
      <c r="AB2657" s="1"/>
      <c r="AC2657" s="1"/>
      <c r="AD2657" s="1"/>
      <c r="AE2657" s="1"/>
      <c r="AF2657" s="1"/>
      <c r="AG2657" s="1"/>
      <c r="AH2657" s="1"/>
      <c r="AI2657" s="1"/>
      <c r="AJ2657" s="1"/>
      <c r="AK2657" s="1"/>
      <c r="AL2657" s="1"/>
      <c r="AM2657" s="1"/>
      <c r="AN2657" s="1"/>
      <c r="AO2657" s="1"/>
      <c r="AP2657" s="1"/>
      <c r="AQ2657" s="1"/>
      <c r="AR2657" s="1"/>
      <c r="AS2657" s="1"/>
      <c r="AT2657" s="1"/>
      <c r="AU2657" s="1"/>
      <c r="AV2657" s="1"/>
      <c r="AW2657" s="1"/>
      <c r="AX2657" s="1"/>
      <c r="AY2657" s="1"/>
      <c r="AZ2657" s="1"/>
      <c r="BA2657" s="1"/>
      <c r="BB2657" s="1"/>
    </row>
    <row r="2658" ht="204.75" customHeight="1">
      <c r="A2658" s="1">
        <v>3713.0</v>
      </c>
      <c r="B2658" s="2" t="s">
        <v>8170</v>
      </c>
      <c r="C2658" s="2">
        <f>IFERROR(__xludf.DUMMYFUNCTION("split(B2658,""_"")"),1207.0)</f>
        <v>1207</v>
      </c>
      <c r="D2658" s="2" t="str">
        <f>IFERROR(__xludf.DUMMYFUNCTION("""COMPUTED_VALUE"""),"EX")</f>
        <v>EX</v>
      </c>
      <c r="E2658" s="2" t="str">
        <f>IFERROR(__xludf.DUMMYFUNCTION("""COMPUTED_VALUE"""),"木21")</f>
        <v>木21</v>
      </c>
      <c r="F2658" s="2" t="s">
        <v>7145</v>
      </c>
      <c r="G2658" s="2" t="s">
        <v>7160</v>
      </c>
      <c r="H2658" s="1">
        <v>5.0</v>
      </c>
      <c r="I2658" s="1" t="s">
        <v>2884</v>
      </c>
      <c r="J2658" s="1" t="s">
        <v>11</v>
      </c>
      <c r="K2658" s="2" t="s">
        <v>8177</v>
      </c>
      <c r="L2658" s="10" t="s">
        <v>2775</v>
      </c>
      <c r="M2658" s="2" t="str">
        <f>IFERROR(__xludf.DUMMYFUNCTION("split(split(K2658,""…"",false),""公式LINE"",false)"),"上川隆也、斉藤由貴、八嶋智人、田中哲司、岡田義徳、正名僕蔵、眞島秀和 / 三宅裕司  【ゲスト】  徳井優、原田夏希、尾上寛之、伊藤洋三郎、甲本雅裕(他)大石哲也猪崎宣昭山下達郎『愛を教えて』(ワーナーミュージック・ジャパン)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http://www.tv-asa"&amp;"hi.co.jp/iryu/")</f>
        <v>上川隆也、斉藤由貴、八嶋智人、田中哲司、岡田義徳、正名僕蔵、眞島秀和 / 三宅裕司  【ゲスト】  徳井優、原田夏希、尾上寛之、伊藤洋三郎、甲本雅裕(他)大石哲也猪崎宣昭山下達郎『愛を教えて』(ワーナーミュージック・ジャパン)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v>
      </c>
      <c r="N2658" s="2"/>
      <c r="O2658" s="2"/>
      <c r="P2658" s="1"/>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c r="AN2658" s="1"/>
      <c r="AO2658" s="1"/>
      <c r="AP2658" s="1"/>
      <c r="AQ2658" s="1"/>
      <c r="AR2658" s="1"/>
      <c r="AS2658" s="1"/>
      <c r="AT2658" s="1"/>
      <c r="AU2658" s="1"/>
      <c r="AV2658" s="1"/>
      <c r="AW2658" s="1"/>
      <c r="AX2658" s="1"/>
      <c r="AY2658" s="1"/>
      <c r="AZ2658" s="1"/>
      <c r="BA2658" s="1"/>
      <c r="BB2658" s="1"/>
    </row>
    <row r="2659" ht="204.75" customHeight="1">
      <c r="A2659" s="1">
        <v>3714.0</v>
      </c>
      <c r="B2659" s="2" t="s">
        <v>8170</v>
      </c>
      <c r="C2659" s="2">
        <f>IFERROR(__xludf.DUMMYFUNCTION("split(B2659,""_"")"),1207.0)</f>
        <v>1207</v>
      </c>
      <c r="D2659" s="2" t="str">
        <f>IFERROR(__xludf.DUMMYFUNCTION("""COMPUTED_VALUE"""),"EX")</f>
        <v>EX</v>
      </c>
      <c r="E2659" s="2" t="str">
        <f>IFERROR(__xludf.DUMMYFUNCTION("""COMPUTED_VALUE"""),"木21")</f>
        <v>木21</v>
      </c>
      <c r="F2659" s="2" t="s">
        <v>7145</v>
      </c>
      <c r="G2659" s="2" t="s">
        <v>7163</v>
      </c>
      <c r="H2659" s="1">
        <v>6.0</v>
      </c>
      <c r="I2659" s="1" t="s">
        <v>2888</v>
      </c>
      <c r="J2659" s="1" t="s">
        <v>11</v>
      </c>
      <c r="K2659" s="2" t="s">
        <v>8178</v>
      </c>
      <c r="L2659" s="10" t="s">
        <v>2775</v>
      </c>
      <c r="M2659" s="2" t="str">
        <f>IFERROR(__xludf.DUMMYFUNCTION("split(split(K2659,""…"",false),""公式LINE"",false)"),"上川隆也、斉藤由貴、八嶋智人、田中哲司、岡田義徳、正名僕蔵、眞島秀和 / 三宅裕司  【ゲスト】  伊藤裕子、東根作寿英、今井朋彦(他)大石哲也伊藤寿浩山下達郎『愛を教えて』(ワーナーミュージック・ジャパン)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http://www.tv-asahi.co.jp/"&amp;"iryu/")</f>
        <v>上川隆也、斉藤由貴、八嶋智人、田中哲司、岡田義徳、正名僕蔵、眞島秀和 / 三宅裕司  【ゲスト】  伊藤裕子、東根作寿英、今井朋彦(他)大石哲也伊藤寿浩山下達郎『愛を教えて』(ワーナーミュージック・ジャパン)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v>
      </c>
      <c r="N2659" s="2"/>
      <c r="O2659" s="2"/>
      <c r="P2659" s="1"/>
      <c r="Q2659" s="1"/>
      <c r="R2659" s="1"/>
      <c r="S2659" s="1"/>
      <c r="T2659" s="1"/>
      <c r="U2659" s="1"/>
      <c r="V2659" s="1"/>
      <c r="W2659" s="1"/>
      <c r="X2659" s="1"/>
      <c r="Y2659" s="1"/>
      <c r="Z2659" s="1"/>
      <c r="AA2659" s="1"/>
      <c r="AB2659" s="1"/>
      <c r="AC2659" s="1"/>
      <c r="AD2659" s="1"/>
      <c r="AE2659" s="1"/>
      <c r="AF2659" s="1"/>
      <c r="AG2659" s="1"/>
      <c r="AH2659" s="1"/>
      <c r="AI2659" s="1"/>
      <c r="AJ2659" s="1"/>
      <c r="AK2659" s="1"/>
      <c r="AL2659" s="1"/>
      <c r="AM2659" s="1"/>
      <c r="AN2659" s="1"/>
      <c r="AO2659" s="1"/>
      <c r="AP2659" s="1"/>
      <c r="AQ2659" s="1"/>
      <c r="AR2659" s="1"/>
      <c r="AS2659" s="1"/>
      <c r="AT2659" s="1"/>
      <c r="AU2659" s="1"/>
      <c r="AV2659" s="1"/>
      <c r="AW2659" s="1"/>
      <c r="AX2659" s="1"/>
      <c r="AY2659" s="1"/>
      <c r="AZ2659" s="1"/>
      <c r="BA2659" s="1"/>
      <c r="BB2659" s="1"/>
    </row>
    <row r="2660" ht="204.75" customHeight="1">
      <c r="A2660" s="1">
        <v>3715.0</v>
      </c>
      <c r="B2660" s="2" t="s">
        <v>8170</v>
      </c>
      <c r="C2660" s="2">
        <f>IFERROR(__xludf.DUMMYFUNCTION("split(B2660,""_"")"),1207.0)</f>
        <v>1207</v>
      </c>
      <c r="D2660" s="2" t="str">
        <f>IFERROR(__xludf.DUMMYFUNCTION("""COMPUTED_VALUE"""),"EX")</f>
        <v>EX</v>
      </c>
      <c r="E2660" s="2" t="str">
        <f>IFERROR(__xludf.DUMMYFUNCTION("""COMPUTED_VALUE"""),"木21")</f>
        <v>木21</v>
      </c>
      <c r="F2660" s="2" t="s">
        <v>7145</v>
      </c>
      <c r="G2660" s="2" t="s">
        <v>7166</v>
      </c>
      <c r="H2660" s="1">
        <v>7.0</v>
      </c>
      <c r="I2660" s="1" t="s">
        <v>2892</v>
      </c>
      <c r="J2660" s="1" t="s">
        <v>11</v>
      </c>
      <c r="K2660" s="2" t="s">
        <v>8179</v>
      </c>
      <c r="L2660" s="10" t="s">
        <v>2775</v>
      </c>
      <c r="M2660" s="2" t="str">
        <f>IFERROR(__xludf.DUMMYFUNCTION("split(split(K2660,""…"",false),""公式LINE"",false)"),"上川隆也、斉藤由貴、八嶋智人、田中哲司、岡田義徳、正名僕蔵、眞島秀和 / 三宅裕司  【ゲスト】  マギー、加藤虎ノ介、堀部圭亮(他)田中孝治伊藤寿浩山下達郎『愛を教えて』(ワーナーミュージック・ジャパン)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http://www.tv-asahi.co.jp/i"&amp;"ryu/")</f>
        <v>上川隆也、斉藤由貴、八嶋智人、田中哲司、岡田義徳、正名僕蔵、眞島秀和 / 三宅裕司  【ゲスト】  マギー、加藤虎ノ介、堀部圭亮(他)田中孝治伊藤寿浩山下達郎『愛を教えて』(ワーナーミュージック・ジャパン)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v>
      </c>
      <c r="N2660" s="2"/>
      <c r="O2660" s="2"/>
      <c r="P2660" s="1"/>
      <c r="Q2660" s="1"/>
      <c r="R2660" s="1"/>
      <c r="S2660" s="1"/>
      <c r="T2660" s="1"/>
      <c r="U2660" s="1"/>
      <c r="V2660" s="1"/>
      <c r="W2660" s="1"/>
      <c r="X2660" s="1"/>
      <c r="Y2660" s="1"/>
      <c r="Z2660" s="1"/>
      <c r="AA2660" s="1"/>
      <c r="AB2660" s="1"/>
      <c r="AC2660" s="1"/>
      <c r="AD2660" s="1"/>
      <c r="AE2660" s="1"/>
      <c r="AF2660" s="1"/>
      <c r="AG2660" s="1"/>
      <c r="AH2660" s="1"/>
      <c r="AI2660" s="1"/>
      <c r="AJ2660" s="1"/>
      <c r="AK2660" s="1"/>
      <c r="AL2660" s="1"/>
      <c r="AM2660" s="1"/>
      <c r="AN2660" s="1"/>
      <c r="AO2660" s="1"/>
      <c r="AP2660" s="1"/>
      <c r="AQ2660" s="1"/>
      <c r="AR2660" s="1"/>
      <c r="AS2660" s="1"/>
      <c r="AT2660" s="1"/>
      <c r="AU2660" s="1"/>
      <c r="AV2660" s="1"/>
      <c r="AW2660" s="1"/>
      <c r="AX2660" s="1"/>
      <c r="AY2660" s="1"/>
      <c r="AZ2660" s="1"/>
      <c r="BA2660" s="1"/>
      <c r="BB2660" s="1"/>
    </row>
    <row r="2661" ht="204.75" customHeight="1">
      <c r="A2661" s="1">
        <v>3716.0</v>
      </c>
      <c r="B2661" s="2" t="s">
        <v>8170</v>
      </c>
      <c r="C2661" s="2">
        <f>IFERROR(__xludf.DUMMYFUNCTION("split(B2661,""_"")"),1207.0)</f>
        <v>1207</v>
      </c>
      <c r="D2661" s="2" t="str">
        <f>IFERROR(__xludf.DUMMYFUNCTION("""COMPUTED_VALUE"""),"EX")</f>
        <v>EX</v>
      </c>
      <c r="E2661" s="2" t="str">
        <f>IFERROR(__xludf.DUMMYFUNCTION("""COMPUTED_VALUE"""),"木21")</f>
        <v>木21</v>
      </c>
      <c r="F2661" s="2" t="s">
        <v>7145</v>
      </c>
      <c r="G2661" s="2" t="s">
        <v>8180</v>
      </c>
      <c r="H2661" s="1">
        <v>8.0</v>
      </c>
      <c r="J2661" s="1" t="s">
        <v>11</v>
      </c>
      <c r="K2661" s="2" t="s">
        <v>8181</v>
      </c>
      <c r="L2661" s="10" t="s">
        <v>2775</v>
      </c>
      <c r="M2661" s="2" t="str">
        <f>IFERROR(__xludf.DUMMYFUNCTION("split(split(K2661,""…"",false),""公式LINE"",false)"),"上川隆也、斉藤由貴、八嶋智人、田中哲司、岡田義徳、正名僕蔵、眞島秀和 / 三宅裕司  【ゲスト】  平田満、安藤玉恵、矢島健一、甲本雅裕 / 笹野高史　ほか大石哲也猪崎宣昭山下達郎『愛を教えて』(ワーナーミュージック・ジャパン)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http://www.tv-as"&amp;"ahi.co.jp/iryu/")</f>
        <v>上川隆也、斉藤由貴、八嶋智人、田中哲司、岡田義徳、正名僕蔵、眞島秀和 / 三宅裕司  【ゲスト】  平田満、安藤玉恵、矢島健一、甲本雅裕 / 笹野高史　ほか大石哲也猪崎宣昭山下達郎『愛を教えて』(ワーナーミュージック・ジャパン)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v>
      </c>
      <c r="N2661" s="2"/>
      <c r="O2661" s="2"/>
      <c r="P2661" s="1"/>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c r="AN2661" s="1"/>
      <c r="AO2661" s="1"/>
      <c r="AP2661" s="1"/>
      <c r="AQ2661" s="1"/>
      <c r="AR2661" s="1"/>
      <c r="AS2661" s="1"/>
      <c r="AT2661" s="1"/>
      <c r="AU2661" s="1"/>
      <c r="AV2661" s="1"/>
      <c r="AW2661" s="1"/>
      <c r="AX2661" s="1"/>
      <c r="AY2661" s="1"/>
      <c r="AZ2661" s="1"/>
      <c r="BA2661" s="1"/>
      <c r="BB2661" s="1"/>
    </row>
    <row r="2662" ht="204.75" customHeight="1">
      <c r="A2662" s="1">
        <v>3758.0</v>
      </c>
      <c r="B2662" s="2" t="s">
        <v>8182</v>
      </c>
      <c r="C2662" s="2">
        <f>IFERROR(__xludf.DUMMYFUNCTION("split(B2662,""_"")"),1207.0)</f>
        <v>1207</v>
      </c>
      <c r="D2662" s="2" t="str">
        <f>IFERROR(__xludf.DUMMYFUNCTION("""COMPUTED_VALUE"""),"EX")</f>
        <v>EX</v>
      </c>
      <c r="E2662" s="2" t="str">
        <f>IFERROR(__xludf.DUMMYFUNCTION("""COMPUTED_VALUE"""),"金23")</f>
        <v>金23</v>
      </c>
      <c r="F2662" s="2" t="s">
        <v>8183</v>
      </c>
      <c r="G2662" s="2" t="s">
        <v>8184</v>
      </c>
      <c r="H2662" s="1">
        <v>1.0</v>
      </c>
      <c r="I2662" s="1" t="s">
        <v>2868</v>
      </c>
      <c r="J2662" s="1" t="s">
        <v>1435</v>
      </c>
      <c r="K2662" s="4" t="s">
        <v>8185</v>
      </c>
      <c r="L2662" s="11" t="s">
        <v>8186</v>
      </c>
      <c r="M2662" s="2" t="str">
        <f>IFERROR(__xludf.DUMMYFUNCTION("split(split(K2662,""丸山隆平 /"",false),""公式LINE"",false)"),"田西は後輩のちはるに悶々とした恋心を抱きつつも、テレクラやアダルトビデオでやるせなさを解消する毎日…。だが戦友の手ほどきでちはるを飲み会に誘い出すことに成功!さらに終電を逃した二人はホテルへ。どーなる!田西の恋心!?世の女子たちよ、これを見て男たちの悲しくもかわいらしい禁断の本音を知れ!")</f>
        <v>田西は後輩のちはるに悶々とした恋心を抱きつつも、テレクラやアダルトビデオでやるせなさを解消する毎日…。だが戦友の手ほどきでちはるを飲み会に誘い出すことに成功!さらに終電を逃した二人はホテルへ。どーなる!田西の恋心!?世の女子たちよ、これを見て男たちの悲しくもかわいらしい禁断の本音を知れ!</v>
      </c>
      <c r="N2662" s="2"/>
      <c r="O2662" s="2"/>
      <c r="P2662" s="1"/>
      <c r="Q2662" s="1"/>
      <c r="R2662" s="1"/>
      <c r="S2662" s="1"/>
      <c r="T2662" s="1"/>
      <c r="U2662" s="1"/>
      <c r="V2662" s="1"/>
      <c r="W2662" s="1"/>
      <c r="X2662" s="1"/>
      <c r="Y2662" s="1"/>
      <c r="Z2662" s="1"/>
      <c r="AA2662" s="1"/>
      <c r="AB2662" s="1"/>
      <c r="AC2662" s="1"/>
      <c r="AD2662" s="1"/>
      <c r="AE2662" s="1"/>
      <c r="AF2662" s="1"/>
      <c r="AG2662" s="1"/>
      <c r="AH2662" s="1"/>
      <c r="AI2662" s="1"/>
      <c r="AJ2662" s="1"/>
      <c r="AK2662" s="1"/>
      <c r="AL2662" s="1"/>
      <c r="AM2662" s="1"/>
      <c r="AN2662" s="1"/>
      <c r="AO2662" s="1"/>
      <c r="AP2662" s="1"/>
      <c r="AQ2662" s="1"/>
      <c r="AR2662" s="1"/>
      <c r="AS2662" s="1"/>
      <c r="AT2662" s="1"/>
      <c r="AU2662" s="1"/>
      <c r="AV2662" s="1"/>
      <c r="AW2662" s="1"/>
      <c r="AX2662" s="1"/>
      <c r="AY2662" s="1"/>
      <c r="AZ2662" s="1"/>
      <c r="BA2662" s="1"/>
      <c r="BB2662" s="1"/>
    </row>
    <row r="2663" ht="204.75" customHeight="1">
      <c r="A2663" s="1">
        <v>3759.0</v>
      </c>
      <c r="B2663" s="2" t="s">
        <v>8182</v>
      </c>
      <c r="C2663" s="2">
        <f>IFERROR(__xludf.DUMMYFUNCTION("split(B2663,""_"")"),1207.0)</f>
        <v>1207</v>
      </c>
      <c r="D2663" s="2" t="str">
        <f>IFERROR(__xludf.DUMMYFUNCTION("""COMPUTED_VALUE"""),"EX")</f>
        <v>EX</v>
      </c>
      <c r="E2663" s="2" t="str">
        <f>IFERROR(__xludf.DUMMYFUNCTION("""COMPUTED_VALUE"""),"金23")</f>
        <v>金23</v>
      </c>
      <c r="F2663" s="2" t="s">
        <v>8183</v>
      </c>
      <c r="G2663" s="2" t="s">
        <v>8187</v>
      </c>
      <c r="H2663" s="1">
        <v>2.0</v>
      </c>
      <c r="I2663" s="1" t="s">
        <v>2872</v>
      </c>
      <c r="J2663" s="1" t="s">
        <v>1435</v>
      </c>
      <c r="K2663" s="2" t="s">
        <v>8188</v>
      </c>
      <c r="L2663" s="11" t="s">
        <v>8189</v>
      </c>
      <c r="M2663" s="2" t="str">
        <f>IFERROR(__xludf.DUMMYFUNCTION("split(split(K2663,""丸山隆平 /"",false),""公式LINE"",false)"),"テレビでは困難と言われた「青春漫画の最高傑作」が奇跡のドラマ化!27年彼女なしのダメ男が人生変える恋をした!金曜ナイトでしか見られない禁断の青春ラブコメディ誕生!")</f>
        <v>テレビでは困難と言われた「青春漫画の最高傑作」が奇跡のドラマ化!27年彼女なしのダメ男が人生変える恋をした!金曜ナイトでしか見られない禁断の青春ラブコメディ誕生!</v>
      </c>
      <c r="N2663" s="2"/>
      <c r="O2663" s="2"/>
      <c r="P2663" s="1"/>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c r="AN2663" s="1"/>
      <c r="AO2663" s="1"/>
      <c r="AP2663" s="1"/>
      <c r="AQ2663" s="1"/>
      <c r="AR2663" s="1"/>
      <c r="AS2663" s="1"/>
      <c r="AT2663" s="1"/>
      <c r="AU2663" s="1"/>
      <c r="AV2663" s="1"/>
      <c r="AW2663" s="1"/>
      <c r="AX2663" s="1"/>
      <c r="AY2663" s="1"/>
      <c r="AZ2663" s="1"/>
      <c r="BA2663" s="1"/>
      <c r="BB2663" s="1"/>
    </row>
    <row r="2664" ht="204.75" customHeight="1">
      <c r="A2664" s="1">
        <v>3760.0</v>
      </c>
      <c r="B2664" s="2" t="s">
        <v>8182</v>
      </c>
      <c r="C2664" s="2">
        <f>IFERROR(__xludf.DUMMYFUNCTION("split(B2664,""_"")"),1207.0)</f>
        <v>1207</v>
      </c>
      <c r="D2664" s="2" t="str">
        <f>IFERROR(__xludf.DUMMYFUNCTION("""COMPUTED_VALUE"""),"EX")</f>
        <v>EX</v>
      </c>
      <c r="E2664" s="2" t="str">
        <f>IFERROR(__xludf.DUMMYFUNCTION("""COMPUTED_VALUE"""),"金23")</f>
        <v>金23</v>
      </c>
      <c r="F2664" s="2" t="s">
        <v>8183</v>
      </c>
      <c r="G2664" s="2" t="s">
        <v>8190</v>
      </c>
      <c r="H2664" s="1">
        <v>3.0</v>
      </c>
      <c r="I2664" s="1" t="s">
        <v>2876</v>
      </c>
      <c r="J2664" s="1" t="s">
        <v>1435</v>
      </c>
      <c r="K2664" s="2" t="s">
        <v>8191</v>
      </c>
      <c r="L2664" s="11" t="s">
        <v>8192</v>
      </c>
      <c r="M2664" s="2" t="str">
        <f>IFERROR(__xludf.DUMMYFUNCTION("split(split(K2664,""丸山隆平 /"",false),""公式LINE"",false)"),"「世界で一番嫌いです」と告げられた田西!!だが、何事もなかったかのように話しかけてくるちはる。ある日、田西はしほから、ちはるが毎晩長電話し、週末は朝帰りをしている、と聞く!相手は誰なのか…気になる田西はついにちはるを尾行!だが相手は恋のアドバイスをしてくれてた青山だと知ってしまう!?")</f>
        <v>「世界で一番嫌いです」と告げられた田西!!だが、何事もなかったかのように話しかけてくるちはる。ある日、田西はしほから、ちはるが毎晩長電話し、週末は朝帰りをしている、と聞く!相手は誰なのか…気になる田西はついにちはるを尾行!だが相手は恋のアドバイスをしてくれてた青山だと知ってしまう!?</v>
      </c>
      <c r="N2664" s="2"/>
      <c r="O2664" s="2"/>
      <c r="P2664" s="1"/>
      <c r="Q2664" s="1"/>
      <c r="R2664" s="1"/>
      <c r="S2664" s="1"/>
      <c r="T2664" s="1"/>
      <c r="U2664" s="1"/>
      <c r="V2664" s="1"/>
      <c r="W2664" s="1"/>
      <c r="X2664" s="1"/>
      <c r="Y2664" s="1"/>
      <c r="Z2664" s="1"/>
      <c r="AA2664" s="1"/>
      <c r="AB2664" s="1"/>
      <c r="AC2664" s="1"/>
      <c r="AD2664" s="1"/>
      <c r="AE2664" s="1"/>
      <c r="AF2664" s="1"/>
      <c r="AG2664" s="1"/>
      <c r="AH2664" s="1"/>
      <c r="AI2664" s="1"/>
      <c r="AJ2664" s="1"/>
      <c r="AK2664" s="1"/>
      <c r="AL2664" s="1"/>
      <c r="AM2664" s="1"/>
      <c r="AN2664" s="1"/>
      <c r="AO2664" s="1"/>
      <c r="AP2664" s="1"/>
      <c r="AQ2664" s="1"/>
      <c r="AR2664" s="1"/>
      <c r="AS2664" s="1"/>
      <c r="AT2664" s="1"/>
      <c r="AU2664" s="1"/>
      <c r="AV2664" s="1"/>
      <c r="AW2664" s="1"/>
      <c r="AX2664" s="1"/>
      <c r="AY2664" s="1"/>
      <c r="AZ2664" s="1"/>
      <c r="BA2664" s="1"/>
      <c r="BB2664" s="1"/>
    </row>
    <row r="2665" ht="204.75" customHeight="1">
      <c r="A2665" s="1">
        <v>3761.0</v>
      </c>
      <c r="B2665" s="2" t="s">
        <v>8182</v>
      </c>
      <c r="C2665" s="2">
        <f>IFERROR(__xludf.DUMMYFUNCTION("split(B2665,""_"")"),1207.0)</f>
        <v>1207</v>
      </c>
      <c r="D2665" s="2" t="str">
        <f>IFERROR(__xludf.DUMMYFUNCTION("""COMPUTED_VALUE"""),"EX")</f>
        <v>EX</v>
      </c>
      <c r="E2665" s="2" t="str">
        <f>IFERROR(__xludf.DUMMYFUNCTION("""COMPUTED_VALUE"""),"金23")</f>
        <v>金23</v>
      </c>
      <c r="F2665" s="2" t="s">
        <v>8183</v>
      </c>
      <c r="G2665" s="2" t="s">
        <v>8193</v>
      </c>
      <c r="H2665" s="1">
        <v>4.0</v>
      </c>
      <c r="I2665" s="1" t="s">
        <v>2880</v>
      </c>
      <c r="J2665" s="1" t="s">
        <v>1435</v>
      </c>
      <c r="K2665" s="2" t="s">
        <v>8194</v>
      </c>
      <c r="L2665" s="11" t="s">
        <v>8195</v>
      </c>
      <c r="M2665" s="2" t="str">
        <f>IFERROR(__xludf.DUMMYFUNCTION("split(split(K2665,""丸山隆平 /"",false),""公式LINE"",false)"),"だが、ちはるには青山との決闘を反対され、サヨナラを言いわたされる…。  「本当は逃げたい!でも決めたことだから!!」  田西は気合い入れのために、映画“タクシードライバー”のトラヴィス(ロバート・デ・ニーロ)を真似てモヒカンに!そして田西は青山と衝撃の対決へ!")</f>
        <v>だが、ちはるには青山との決闘を反対され、サヨナラを言いわたされる…。  「本当は逃げたい!でも決めたことだから!!」  田西は気合い入れのために、映画“タクシードライバー”のトラヴィス(ロバート・デ・ニーロ)を真似てモヒカンに!そして田西は青山と衝撃の対決へ!</v>
      </c>
      <c r="N2665" s="2"/>
      <c r="O2665" s="2"/>
      <c r="P2665" s="1"/>
      <c r="Q2665" s="1"/>
      <c r="R2665" s="1"/>
      <c r="S2665" s="1"/>
      <c r="T2665" s="1"/>
      <c r="U2665" s="1"/>
      <c r="V2665" s="1"/>
      <c r="W2665" s="1"/>
      <c r="X2665" s="1"/>
      <c r="Y2665" s="1"/>
      <c r="Z2665" s="1"/>
      <c r="AA2665" s="1"/>
      <c r="AB2665" s="1"/>
      <c r="AC2665" s="1"/>
      <c r="AD2665" s="1"/>
      <c r="AE2665" s="1"/>
      <c r="AF2665" s="1"/>
      <c r="AG2665" s="1"/>
      <c r="AH2665" s="1"/>
      <c r="AI2665" s="1"/>
      <c r="AJ2665" s="1"/>
      <c r="AK2665" s="1"/>
      <c r="AL2665" s="1"/>
      <c r="AM2665" s="1"/>
      <c r="AN2665" s="1"/>
      <c r="AO2665" s="1"/>
      <c r="AP2665" s="1"/>
      <c r="AQ2665" s="1"/>
      <c r="AR2665" s="1"/>
      <c r="AS2665" s="1"/>
      <c r="AT2665" s="1"/>
      <c r="AU2665" s="1"/>
      <c r="AV2665" s="1"/>
      <c r="AW2665" s="1"/>
      <c r="AX2665" s="1"/>
      <c r="AY2665" s="1"/>
      <c r="AZ2665" s="1"/>
      <c r="BA2665" s="1"/>
      <c r="BB2665" s="1"/>
    </row>
    <row r="2666" ht="204.75" customHeight="1">
      <c r="A2666" s="1">
        <v>3762.0</v>
      </c>
      <c r="B2666" s="2" t="s">
        <v>8182</v>
      </c>
      <c r="C2666" s="2">
        <f>IFERROR(__xludf.DUMMYFUNCTION("split(B2666,""_"")"),1207.0)</f>
        <v>1207</v>
      </c>
      <c r="D2666" s="2" t="str">
        <f>IFERROR(__xludf.DUMMYFUNCTION("""COMPUTED_VALUE"""),"EX")</f>
        <v>EX</v>
      </c>
      <c r="E2666" s="2" t="str">
        <f>IFERROR(__xludf.DUMMYFUNCTION("""COMPUTED_VALUE"""),"金23")</f>
        <v>金23</v>
      </c>
      <c r="F2666" s="2" t="s">
        <v>8183</v>
      </c>
      <c r="G2666" s="2" t="s">
        <v>8196</v>
      </c>
      <c r="H2666" s="1">
        <v>5.0</v>
      </c>
      <c r="I2666" s="1" t="s">
        <v>2884</v>
      </c>
      <c r="J2666" s="1" t="s">
        <v>1435</v>
      </c>
      <c r="K2666" s="2" t="s">
        <v>8197</v>
      </c>
      <c r="L2666" s="11" t="s">
        <v>8198</v>
      </c>
      <c r="M2666" s="2" t="str">
        <f>IFERROR(__xludf.DUMMYFUNCTION("split(split(K2666,""丸山隆平 /"",false),""公式LINE"",false)"),"鈴木の家で半年ぶりに花と再会する!そこで花に「わたしのことを好きになってボクシングを始めてみたら?」と誘われた田西!瞬間的に新しい恋に目覚めた田西は一念発起し、櫻田ジムに通うことを決意する!そして念願の花との初デートの日。思いも寄らない出来事が田西と花を襲う!")</f>
        <v>鈴木の家で半年ぶりに花と再会する!そこで花に「わたしのことを好きになってボクシングを始めてみたら?」と誘われた田西!瞬間的に新しい恋に目覚めた田西は一念発起し、櫻田ジムに通うことを決意する!そして念願の花との初デートの日。思いも寄らない出来事が田西と花を襲う!</v>
      </c>
      <c r="N2666" s="2"/>
      <c r="O2666" s="2"/>
      <c r="P2666" s="1"/>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c r="AN2666" s="1"/>
      <c r="AO2666" s="1"/>
      <c r="AP2666" s="1"/>
      <c r="AQ2666" s="1"/>
      <c r="AR2666" s="1"/>
      <c r="AS2666" s="1"/>
      <c r="AT2666" s="1"/>
      <c r="AU2666" s="1"/>
      <c r="AV2666" s="1"/>
      <c r="AW2666" s="1"/>
      <c r="AX2666" s="1"/>
      <c r="AY2666" s="1"/>
      <c r="AZ2666" s="1"/>
      <c r="BA2666" s="1"/>
      <c r="BB2666" s="1"/>
    </row>
    <row r="2667" ht="204.75" customHeight="1">
      <c r="A2667" s="1">
        <v>3763.0</v>
      </c>
      <c r="B2667" s="2" t="s">
        <v>8182</v>
      </c>
      <c r="C2667" s="2">
        <f>IFERROR(__xludf.DUMMYFUNCTION("split(B2667,""_"")"),1207.0)</f>
        <v>1207</v>
      </c>
      <c r="D2667" s="2" t="str">
        <f>IFERROR(__xludf.DUMMYFUNCTION("""COMPUTED_VALUE"""),"EX")</f>
        <v>EX</v>
      </c>
      <c r="E2667" s="2" t="str">
        <f>IFERROR(__xludf.DUMMYFUNCTION("""COMPUTED_VALUE"""),"金23")</f>
        <v>金23</v>
      </c>
      <c r="F2667" s="2" t="s">
        <v>8183</v>
      </c>
      <c r="G2667" s="2" t="s">
        <v>8199</v>
      </c>
      <c r="H2667" s="1">
        <v>6.0</v>
      </c>
      <c r="I2667" s="1" t="s">
        <v>2888</v>
      </c>
      <c r="J2667" s="1" t="s">
        <v>1435</v>
      </c>
      <c r="K2667" s="2" t="s">
        <v>8200</v>
      </c>
      <c r="L2667" s="11" t="s">
        <v>8201</v>
      </c>
      <c r="M2667" s="2" t="str">
        <f>IFERROR(__xludf.DUMMYFUNCTION("split(split(K2667,""丸山隆平 /"",false),""公式LINE"",false)"),"花が結婚していた事実に、愕然とする!田西がとまどいを隠せない中、突然花の夫・源が姿を現す!その頃、再び東京に出てきていたちはると花が出会ってしまう!ひょんなことから互いの恋愛話を打ち明けあったふたりは、その相手が共に田西であるとは思いもせず、意気投合してしまい…。そして衝撃過ぎる展開に!!")</f>
        <v>花が結婚していた事実に、愕然とする!田西がとまどいを隠せない中、突然花の夫・源が姿を現す!その頃、再び東京に出てきていたちはると花が出会ってしまう!ひょんなことから互いの恋愛話を打ち明けあったふたりは、その相手が共に田西であるとは思いもせず、意気投合してしまい…。そして衝撃過ぎる展開に!!</v>
      </c>
      <c r="N2667" s="2"/>
      <c r="O2667" s="2"/>
      <c r="P2667" s="1"/>
      <c r="Q2667" s="1"/>
      <c r="R2667" s="1"/>
      <c r="S2667" s="1"/>
      <c r="T2667" s="1"/>
      <c r="U2667" s="1"/>
      <c r="V2667" s="1"/>
      <c r="W2667" s="1"/>
      <c r="X2667" s="1"/>
      <c r="Y2667" s="1"/>
      <c r="Z2667" s="1"/>
      <c r="AA2667" s="1"/>
      <c r="AB2667" s="1"/>
      <c r="AC2667" s="1"/>
      <c r="AD2667" s="1"/>
      <c r="AE2667" s="1"/>
      <c r="AF2667" s="1"/>
      <c r="AG2667" s="1"/>
      <c r="AH2667" s="1"/>
      <c r="AI2667" s="1"/>
      <c r="AJ2667" s="1"/>
      <c r="AK2667" s="1"/>
      <c r="AL2667" s="1"/>
      <c r="AM2667" s="1"/>
      <c r="AN2667" s="1"/>
      <c r="AO2667" s="1"/>
      <c r="AP2667" s="1"/>
      <c r="AQ2667" s="1"/>
      <c r="AR2667" s="1"/>
      <c r="AS2667" s="1"/>
      <c r="AT2667" s="1"/>
      <c r="AU2667" s="1"/>
      <c r="AV2667" s="1"/>
      <c r="AW2667" s="1"/>
      <c r="AX2667" s="1"/>
      <c r="AY2667" s="1"/>
      <c r="AZ2667" s="1"/>
      <c r="BA2667" s="1"/>
      <c r="BB2667" s="1"/>
    </row>
    <row r="2668" ht="204.75" customHeight="1">
      <c r="A2668" s="1">
        <v>3764.0</v>
      </c>
      <c r="B2668" s="2" t="s">
        <v>8182</v>
      </c>
      <c r="C2668" s="2">
        <f>IFERROR(__xludf.DUMMYFUNCTION("split(B2668,""_"")"),1207.0)</f>
        <v>1207</v>
      </c>
      <c r="D2668" s="2" t="str">
        <f>IFERROR(__xludf.DUMMYFUNCTION("""COMPUTED_VALUE"""),"EX")</f>
        <v>EX</v>
      </c>
      <c r="E2668" s="2" t="str">
        <f>IFERROR(__xludf.DUMMYFUNCTION("""COMPUTED_VALUE"""),"金23")</f>
        <v>金23</v>
      </c>
      <c r="F2668" s="2" t="s">
        <v>8183</v>
      </c>
      <c r="G2668" s="2" t="s">
        <v>8202</v>
      </c>
      <c r="H2668" s="1">
        <v>7.0</v>
      </c>
      <c r="I2668" s="1" t="s">
        <v>2892</v>
      </c>
      <c r="J2668" s="1" t="s">
        <v>1435</v>
      </c>
      <c r="K2668" s="2" t="s">
        <v>8203</v>
      </c>
      <c r="L2668" s="11" t="s">
        <v>8204</v>
      </c>
      <c r="M2668" s="2" t="str">
        <f>IFERROR(__xludf.DUMMYFUNCTION("split(split(K2668,""丸山隆平 /"",false),""公式LINE"",false)"),"ちはると会っていたことがバレ、花に絶交を言い渡されてしまった田西!ある日、再び源の姿が!花に金をせびる源に腹を立てた田西は思わず源に殴りかかり、自分は花の彼氏だと宣言する!だが、源は田西に「100万円で花と離婚してやる」と取り引きを持ちかけ・・・")</f>
        <v>ちはると会っていたことがバレ、花に絶交を言い渡されてしまった田西!ある日、再び源の姿が!花に金をせびる源に腹を立てた田西は思わず源に殴りかかり、自分は花の彼氏だと宣言する!だが、源は田西に「100万円で花と離婚してやる」と取り引きを持ちかけ・・・</v>
      </c>
      <c r="N2668" s="2"/>
      <c r="O2668" s="2"/>
      <c r="P2668" s="1"/>
      <c r="Q2668" s="1"/>
      <c r="R2668" s="1"/>
      <c r="S2668" s="1"/>
      <c r="T2668" s="1"/>
      <c r="U2668" s="1"/>
      <c r="V2668" s="1"/>
      <c r="W2668" s="1"/>
      <c r="X2668" s="1"/>
      <c r="Y2668" s="1"/>
      <c r="Z2668" s="1"/>
      <c r="AA2668" s="1"/>
      <c r="AB2668" s="1"/>
      <c r="AC2668" s="1"/>
      <c r="AD2668" s="1"/>
      <c r="AE2668" s="1"/>
      <c r="AF2668" s="1"/>
      <c r="AG2668" s="1"/>
      <c r="AH2668" s="1"/>
      <c r="AI2668" s="1"/>
      <c r="AJ2668" s="1"/>
      <c r="AK2668" s="1"/>
      <c r="AL2668" s="1"/>
      <c r="AM2668" s="1"/>
      <c r="AN2668" s="1"/>
      <c r="AO2668" s="1"/>
      <c r="AP2668" s="1"/>
      <c r="AQ2668" s="1"/>
      <c r="AR2668" s="1"/>
      <c r="AS2668" s="1"/>
      <c r="AT2668" s="1"/>
      <c r="AU2668" s="1"/>
      <c r="AV2668" s="1"/>
      <c r="AW2668" s="1"/>
      <c r="AX2668" s="1"/>
      <c r="AY2668" s="1"/>
      <c r="AZ2668" s="1"/>
      <c r="BA2668" s="1"/>
      <c r="BB2668" s="1"/>
    </row>
    <row r="2669" ht="204.75" customHeight="1">
      <c r="A2669" s="1">
        <v>3765.0</v>
      </c>
      <c r="B2669" s="2" t="s">
        <v>8182</v>
      </c>
      <c r="C2669" s="2">
        <f>IFERROR(__xludf.DUMMYFUNCTION("split(B2669,""_"")"),1207.0)</f>
        <v>1207</v>
      </c>
      <c r="D2669" s="2" t="str">
        <f>IFERROR(__xludf.DUMMYFUNCTION("""COMPUTED_VALUE"""),"EX")</f>
        <v>EX</v>
      </c>
      <c r="E2669" s="2" t="str">
        <f>IFERROR(__xludf.DUMMYFUNCTION("""COMPUTED_VALUE"""),"金23")</f>
        <v>金23</v>
      </c>
      <c r="F2669" s="2" t="s">
        <v>8183</v>
      </c>
      <c r="G2669" s="2" t="s">
        <v>8205</v>
      </c>
      <c r="H2669" s="1">
        <v>8.0</v>
      </c>
      <c r="I2669" s="1" t="s">
        <v>2896</v>
      </c>
      <c r="J2669" s="1" t="s">
        <v>1435</v>
      </c>
      <c r="K2669" s="2" t="s">
        <v>8206</v>
      </c>
      <c r="L2669" s="11" t="s">
        <v>8207</v>
      </c>
      <c r="M2669" s="2" t="str">
        <f>IFERROR(__xludf.DUMMYFUNCTION("split(split(K2669,""丸山隆平 /"",false),""公式LINE"",false)"),"修(浦上晟周)もまた花に絶交を言い渡され落ち込んでいた。田西(丸山隆平)は修のために、家を出た母親に会いに行くことを決める!!だが、修のことは忘れ、新しい生活に向かっている母親の姿を目の当たりにしてしまった田西…。その後、衝撃の展開に発展していく!田西の戦いはまだまだ続く!")</f>
        <v>修(浦上晟周)もまた花に絶交を言い渡され落ち込んでいた。田西(丸山隆平)は修のために、家を出た母親に会いに行くことを決める!!だが、修のことは忘れ、新しい生活に向かっている母親の姿を目の当たりにしてしまった田西…。その後、衝撃の展開に発展していく!田西の戦いはまだまだ続く!</v>
      </c>
      <c r="N2669" s="2"/>
      <c r="O2669" s="2"/>
      <c r="P2669" s="1"/>
      <c r="Q2669" s="1"/>
      <c r="R2669" s="1"/>
      <c r="S2669" s="1"/>
      <c r="T2669" s="1"/>
      <c r="U2669" s="1"/>
      <c r="V2669" s="1"/>
      <c r="W2669" s="1"/>
      <c r="X2669" s="1"/>
      <c r="Y2669" s="1"/>
      <c r="Z2669" s="1"/>
      <c r="AA2669" s="1"/>
      <c r="AB2669" s="1"/>
      <c r="AC2669" s="1"/>
      <c r="AD2669" s="1"/>
      <c r="AE2669" s="1"/>
      <c r="AF2669" s="1"/>
      <c r="AG2669" s="1"/>
      <c r="AH2669" s="1"/>
      <c r="AI2669" s="1"/>
      <c r="AJ2669" s="1"/>
      <c r="AK2669" s="1"/>
      <c r="AL2669" s="1"/>
      <c r="AM2669" s="1"/>
      <c r="AN2669" s="1"/>
      <c r="AO2669" s="1"/>
      <c r="AP2669" s="1"/>
      <c r="AQ2669" s="1"/>
      <c r="AR2669" s="1"/>
      <c r="AS2669" s="1"/>
      <c r="AT2669" s="1"/>
      <c r="AU2669" s="1"/>
      <c r="AV2669" s="1"/>
      <c r="AW2669" s="1"/>
      <c r="AX2669" s="1"/>
      <c r="AY2669" s="1"/>
      <c r="AZ2669" s="1"/>
      <c r="BA2669" s="1"/>
      <c r="BB2669" s="1"/>
    </row>
    <row r="2670" ht="204.75" customHeight="1">
      <c r="A2670" s="1">
        <v>3766.0</v>
      </c>
      <c r="B2670" s="2" t="s">
        <v>8182</v>
      </c>
      <c r="C2670" s="2">
        <f>IFERROR(__xludf.DUMMYFUNCTION("split(B2670,""_"")"),1207.0)</f>
        <v>1207</v>
      </c>
      <c r="D2670" s="2" t="str">
        <f>IFERROR(__xludf.DUMMYFUNCTION("""COMPUTED_VALUE"""),"EX")</f>
        <v>EX</v>
      </c>
      <c r="E2670" s="2" t="str">
        <f>IFERROR(__xludf.DUMMYFUNCTION("""COMPUTED_VALUE"""),"金23")</f>
        <v>金23</v>
      </c>
      <c r="F2670" s="2" t="s">
        <v>8183</v>
      </c>
      <c r="G2670" s="2" t="s">
        <v>8208</v>
      </c>
      <c r="H2670" s="1">
        <v>9.0</v>
      </c>
      <c r="J2670" s="1" t="s">
        <v>1435</v>
      </c>
      <c r="K2670" s="2" t="s">
        <v>8209</v>
      </c>
      <c r="L2670" s="10" t="s">
        <v>8210</v>
      </c>
      <c r="M2670" s="2" t="str">
        <f>IFERROR(__xludf.DUMMYFUNCTION("split(split(K2670,""丸山隆平 /"",false),""公式LINE"",false)"),"花(平愛梨)を連れ去ろうとする源(RED RICE)を止めるため、再び立ち向かう田西!そして不屈の精神で向かい続けた田西は、ついに源を倒す!?ようやく花と結ばれ幸せになったのもつかの間…、思いがけない出来事が田西を襲う!田西のラストラン!丸山隆平/平愛梨、斎藤工、上田竜也、南明奈、デビット伊東、モロ師岡/浅田美代子(特別出演)/臼田あさ美、敦士、浦上晟周、徳井優、山田明郷、RED RICE(湘南乃風)、佐藤江梨子/陣内孝則花沢健吾『ボーイズ・オン・ザ・ラン』(小学館 ビッグスピリッツコミックス 刊)高橋悠"&amp;"也常廣丈太(テレビ朝日)関ジャニ∞『あおっぱな』(テイチクエンタテインメント)【ゼネラルプロデューサー】内山聖子(テレビ朝日)  【プロデューサー】中込卓也(テレビ朝日)、山田兼司(テレビ朝日)、太田雅晴(5年D組)☆番組HP  　http://www.tv-asahi.co.jp/boys/")</f>
        <v>花(平愛梨)を連れ去ろうとする源(RED RICE)を止めるため、再び立ち向かう田西!そして不屈の精神で向かい続けた田西は、ついに源を倒す!?ようやく花と結ばれ幸せになったのもつかの間…、思いがけない出来事が田西を襲う!田西のラストラン!丸山隆平/平愛梨、斎藤工、上田竜也、南明奈、デビット伊東、モロ師岡/浅田美代子(特別出演)/臼田あさ美、敦士、浦上晟周、徳井優、山田明郷、RED RICE(湘南乃風)、佐藤江梨子/陣内孝則花沢健吾『ボーイズ・オン・ザ・ラン』(小学館 ビッグスピリッツコミックス 刊)高橋悠也常廣丈太(テレビ朝日)関ジャニ∞『あおっぱな』(テイチクエンタテインメント)【ゼネラルプロデューサー】内山聖子(テレビ朝日)  【プロデューサー】中込卓也(テレビ朝日)、山田兼司(テレビ朝日)、太田雅晴(5年D組)☆番組HP  　http://www.tv-asahi.co.jp/boys/</v>
      </c>
      <c r="N2670" s="2"/>
      <c r="O2670" s="2"/>
      <c r="P2670" s="1"/>
      <c r="Q2670" s="1"/>
      <c r="R2670" s="1"/>
      <c r="S2670" s="1"/>
      <c r="T2670" s="1"/>
      <c r="U2670" s="1"/>
      <c r="V2670" s="1"/>
      <c r="W2670" s="1"/>
      <c r="X2670" s="1"/>
      <c r="Y2670" s="1"/>
      <c r="Z2670" s="1"/>
      <c r="AA2670" s="1"/>
      <c r="AB2670" s="1"/>
      <c r="AC2670" s="1"/>
      <c r="AD2670" s="1"/>
      <c r="AE2670" s="1"/>
      <c r="AF2670" s="1"/>
      <c r="AG2670" s="1"/>
      <c r="AH2670" s="1"/>
      <c r="AI2670" s="1"/>
      <c r="AJ2670" s="1"/>
      <c r="AK2670" s="1"/>
      <c r="AL2670" s="1"/>
      <c r="AM2670" s="1"/>
      <c r="AN2670" s="1"/>
      <c r="AO2670" s="1"/>
      <c r="AP2670" s="1"/>
      <c r="AQ2670" s="1"/>
      <c r="AR2670" s="1"/>
      <c r="AS2670" s="1"/>
      <c r="AT2670" s="1"/>
      <c r="AU2670" s="1"/>
      <c r="AV2670" s="1"/>
      <c r="AW2670" s="1"/>
      <c r="AX2670" s="1"/>
      <c r="AY2670" s="1"/>
      <c r="AZ2670" s="1"/>
      <c r="BA2670" s="1"/>
      <c r="BB2670" s="1"/>
    </row>
    <row r="2671" ht="204.75" customHeight="1">
      <c r="A2671" s="1">
        <v>3847.0</v>
      </c>
      <c r="B2671" s="2" t="s">
        <v>8211</v>
      </c>
      <c r="C2671" s="2">
        <f>IFERROR(__xludf.DUMMYFUNCTION("split(B2671,""_"")"),1204.0)</f>
        <v>1204</v>
      </c>
      <c r="D2671" s="2" t="str">
        <f>IFERROR(__xludf.DUMMYFUNCTION("""COMPUTED_VALUE"""),"EX")</f>
        <v>EX</v>
      </c>
      <c r="E2671" s="2" t="str">
        <f>IFERROR(__xludf.DUMMYFUNCTION("""COMPUTED_VALUE"""),"木21")</f>
        <v>木21</v>
      </c>
      <c r="F2671" s="2" t="s">
        <v>8212</v>
      </c>
      <c r="G2671" s="2" t="s">
        <v>8213</v>
      </c>
      <c r="H2671" s="1">
        <v>1.0</v>
      </c>
      <c r="I2671" s="1" t="s">
        <v>2868</v>
      </c>
      <c r="J2671" s="1" t="s">
        <v>4</v>
      </c>
      <c r="K2671" s="4" t="s">
        <v>8214</v>
      </c>
      <c r="L2671" s="11" t="s">
        <v>8215</v>
      </c>
      <c r="M2671" s="2" t="str">
        <f>IFERROR(__xludf.DUMMYFUNCTION("split(split(K2671,""武井咲、"",false),""公式LINE"",false)"),"大財閥・和辻家に生まれ、当主の寵愛を一身に受けて育った摩子。ショーパブで清掃のバイトをしながら、男に体を売って金を稼ぐ倉沢さつき。全く同じ顔を持ちながらも正反対の人生を歩んできた2人は、ある殺人事件をきっかけに出会うー。そしてふたりの人生は大きく変わり始めようとしていた…!")</f>
        <v>大財閥・和辻家に生まれ、当主の寵愛を一身に受けて育った摩子。ショーパブで清掃のバイトをしながら、男に体を売って金を稼ぐ倉沢さつき。全く同じ顔を持ちながらも正反対の人生を歩んできた2人は、ある殺人事件をきっかけに出会うー。そしてふたりの人生は大きく変わり始めようとしていた…!</v>
      </c>
      <c r="N2671" s="2"/>
      <c r="O2671" s="2"/>
      <c r="P2671" s="1"/>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c r="AN2671" s="1"/>
      <c r="AO2671" s="1"/>
      <c r="AP2671" s="1"/>
      <c r="AQ2671" s="1"/>
      <c r="AR2671" s="1"/>
      <c r="AS2671" s="1"/>
      <c r="AT2671" s="1"/>
      <c r="AU2671" s="1"/>
      <c r="AV2671" s="1"/>
      <c r="AW2671" s="1"/>
      <c r="AX2671" s="1"/>
      <c r="AY2671" s="1"/>
      <c r="AZ2671" s="1"/>
      <c r="BA2671" s="1"/>
      <c r="BB2671" s="1"/>
    </row>
    <row r="2672" ht="204.75" customHeight="1">
      <c r="A2672" s="1">
        <v>3848.0</v>
      </c>
      <c r="B2672" s="2" t="s">
        <v>8211</v>
      </c>
      <c r="C2672" s="2">
        <f>IFERROR(__xludf.DUMMYFUNCTION("split(B2672,""_"")"),1204.0)</f>
        <v>1204</v>
      </c>
      <c r="D2672" s="2" t="str">
        <f>IFERROR(__xludf.DUMMYFUNCTION("""COMPUTED_VALUE"""),"EX")</f>
        <v>EX</v>
      </c>
      <c r="E2672" s="2" t="str">
        <f>IFERROR(__xludf.DUMMYFUNCTION("""COMPUTED_VALUE"""),"木21")</f>
        <v>木21</v>
      </c>
      <c r="F2672" s="2" t="s">
        <v>8212</v>
      </c>
      <c r="G2672" s="2" t="s">
        <v>8216</v>
      </c>
      <c r="H2672" s="1">
        <v>2.0</v>
      </c>
      <c r="I2672" s="1" t="s">
        <v>2872</v>
      </c>
      <c r="J2672" s="1" t="s">
        <v>11</v>
      </c>
      <c r="K2672" s="2" t="s">
        <v>8217</v>
      </c>
      <c r="L2672" s="11" t="s">
        <v>8218</v>
      </c>
      <c r="M2672" s="2" t="str">
        <f>IFERROR(__xludf.DUMMYFUNCTION("split(split(K2672,""武井咲、"",false),""公式LINE"",false)"),"偶然出会った摩子とさつき(武井咲)はお互いの人生を入れ替えて生きることに。摩子はショーパブでバイトを続けるが、ダンサーの沙耶香(剛力彩芽)や綺羅々(福田沙紀)らは冷ややかな様子。そして、刑事・弓坂圭一郎(桐谷健太)も、さつきの様子を監視し続けていた。")</f>
        <v>偶然出会った摩子とさつき(武井咲)はお互いの人生を入れ替えて生きることに。摩子はショーパブでバイトを続けるが、ダンサーの沙耶香(剛力彩芽)や綺羅々(福田沙紀)らは冷ややかな様子。そして、刑事・弓坂圭一郎(桐谷健太)も、さつきの様子を監視し続けていた。</v>
      </c>
      <c r="N2672" s="2"/>
      <c r="O2672" s="2"/>
      <c r="P2672" s="1"/>
      <c r="Q2672" s="1"/>
      <c r="R2672" s="1"/>
      <c r="S2672" s="1"/>
      <c r="T2672" s="1"/>
      <c r="U2672" s="1"/>
      <c r="V2672" s="1"/>
      <c r="W2672" s="1"/>
      <c r="X2672" s="1"/>
      <c r="Y2672" s="1"/>
      <c r="Z2672" s="1"/>
      <c r="AA2672" s="1"/>
      <c r="AB2672" s="1"/>
      <c r="AC2672" s="1"/>
      <c r="AD2672" s="1"/>
      <c r="AE2672" s="1"/>
      <c r="AF2672" s="1"/>
      <c r="AG2672" s="1"/>
      <c r="AH2672" s="1"/>
      <c r="AI2672" s="1"/>
      <c r="AJ2672" s="1"/>
      <c r="AK2672" s="1"/>
      <c r="AL2672" s="1"/>
      <c r="AM2672" s="1"/>
      <c r="AN2672" s="1"/>
      <c r="AO2672" s="1"/>
      <c r="AP2672" s="1"/>
      <c r="AQ2672" s="1"/>
      <c r="AR2672" s="1"/>
      <c r="AS2672" s="1"/>
      <c r="AT2672" s="1"/>
      <c r="AU2672" s="1"/>
      <c r="AV2672" s="1"/>
      <c r="AW2672" s="1"/>
      <c r="AX2672" s="1"/>
      <c r="AY2672" s="1"/>
      <c r="AZ2672" s="1"/>
      <c r="BA2672" s="1"/>
      <c r="BB2672" s="1"/>
    </row>
    <row r="2673" ht="204.75" customHeight="1">
      <c r="A2673" s="1">
        <v>3849.0</v>
      </c>
      <c r="B2673" s="2" t="s">
        <v>8211</v>
      </c>
      <c r="C2673" s="2">
        <f>IFERROR(__xludf.DUMMYFUNCTION("split(B2673,""_"")"),1204.0)</f>
        <v>1204</v>
      </c>
      <c r="D2673" s="2" t="str">
        <f>IFERROR(__xludf.DUMMYFUNCTION("""COMPUTED_VALUE"""),"EX")</f>
        <v>EX</v>
      </c>
      <c r="E2673" s="2" t="str">
        <f>IFERROR(__xludf.DUMMYFUNCTION("""COMPUTED_VALUE"""),"木21")</f>
        <v>木21</v>
      </c>
      <c r="F2673" s="2" t="s">
        <v>8212</v>
      </c>
      <c r="G2673" s="2" t="s">
        <v>8219</v>
      </c>
      <c r="H2673" s="1">
        <v>3.0</v>
      </c>
      <c r="I2673" s="1" t="s">
        <v>2876</v>
      </c>
      <c r="J2673" s="1" t="s">
        <v>11</v>
      </c>
      <c r="K2673" s="2" t="s">
        <v>8220</v>
      </c>
      <c r="L2673" s="11" t="s">
        <v>8221</v>
      </c>
      <c r="M2673" s="2" t="str">
        <f>IFERROR(__xludf.DUMMYFUNCTION("split(split(K2673,""武井咲、"",false),""公式LINE"",false)"),"「和辻摩子(武井咲)には双子の妹がいた」  和辻与兵衛(寺田農)から衝撃の事実を明かされた倉沢さつき(武井咲・二役)。さらに淑枝(若村麻由美)からも、思いもよらない告白を受ける。動揺するさつきだったが、その矢先とんでもない事件が和辻家を襲う!")</f>
        <v>「和辻摩子(武井咲)には双子の妹がいた」  和辻与兵衛(寺田農)から衝撃の事実を明かされた倉沢さつき(武井咲・二役)。さらに淑枝(若村麻由美)からも、思いもよらない告白を受ける。動揺するさつきだったが、その矢先とんでもない事件が和辻家を襲う!</v>
      </c>
      <c r="N2673" s="2"/>
      <c r="O2673" s="2"/>
      <c r="P2673" s="1"/>
      <c r="Q2673" s="1"/>
      <c r="R2673" s="1"/>
      <c r="S2673" s="1"/>
      <c r="T2673" s="1"/>
      <c r="U2673" s="1"/>
      <c r="V2673" s="1"/>
      <c r="W2673" s="1"/>
      <c r="X2673" s="1"/>
      <c r="Y2673" s="1"/>
      <c r="Z2673" s="1"/>
      <c r="AA2673" s="1"/>
      <c r="AB2673" s="1"/>
      <c r="AC2673" s="1"/>
      <c r="AD2673" s="1"/>
      <c r="AE2673" s="1"/>
      <c r="AF2673" s="1"/>
      <c r="AG2673" s="1"/>
      <c r="AH2673" s="1"/>
      <c r="AI2673" s="1"/>
      <c r="AJ2673" s="1"/>
      <c r="AK2673" s="1"/>
      <c r="AL2673" s="1"/>
      <c r="AM2673" s="1"/>
      <c r="AN2673" s="1"/>
      <c r="AO2673" s="1"/>
      <c r="AP2673" s="1"/>
      <c r="AQ2673" s="1"/>
      <c r="AR2673" s="1"/>
      <c r="AS2673" s="1"/>
      <c r="AT2673" s="1"/>
      <c r="AU2673" s="1"/>
      <c r="AV2673" s="1"/>
      <c r="AW2673" s="1"/>
      <c r="AX2673" s="1"/>
      <c r="AY2673" s="1"/>
      <c r="AZ2673" s="1"/>
      <c r="BA2673" s="1"/>
      <c r="BB2673" s="1"/>
    </row>
    <row r="2674" ht="204.75" customHeight="1">
      <c r="A2674" s="1">
        <v>3850.0</v>
      </c>
      <c r="B2674" s="2" t="s">
        <v>8211</v>
      </c>
      <c r="C2674" s="2">
        <f>IFERROR(__xludf.DUMMYFUNCTION("split(B2674,""_"")"),1204.0)</f>
        <v>1204</v>
      </c>
      <c r="D2674" s="2" t="str">
        <f>IFERROR(__xludf.DUMMYFUNCTION("""COMPUTED_VALUE"""),"EX")</f>
        <v>EX</v>
      </c>
      <c r="E2674" s="2" t="str">
        <f>IFERROR(__xludf.DUMMYFUNCTION("""COMPUTED_VALUE"""),"木21")</f>
        <v>木21</v>
      </c>
      <c r="F2674" s="2" t="s">
        <v>8212</v>
      </c>
      <c r="G2674" s="2" t="s">
        <v>8222</v>
      </c>
      <c r="H2674" s="1">
        <v>4.0</v>
      </c>
      <c r="I2674" s="1" t="s">
        <v>2880</v>
      </c>
      <c r="J2674" s="1" t="s">
        <v>11</v>
      </c>
      <c r="K2674" s="2" t="s">
        <v>8223</v>
      </c>
      <c r="L2674" s="11" t="s">
        <v>8224</v>
      </c>
      <c r="M2674" s="2" t="str">
        <f>IFERROR(__xludf.DUMMYFUNCTION("split(split(K2674,""武井咲、"",false),""公式LINE"",false)"),"『わたし、おじいさまを殺してしまった…』  和辻家の面々は「自首をする」というさつきの言葉を制し、与兵衛(寺田農)が強盗に殺されたかのように工作するという。すべては和辻家の地位を守るための策だった…。  アリバイをつくるため、さつきはひとり東京へ。そして、与兵衛の死亡と、事件の隠蔽が始まる!")</f>
        <v>『わたし、おじいさまを殺してしまった…』  和辻家の面々は「自首をする」というさつきの言葉を制し、与兵衛(寺田農)が強盗に殺されたかのように工作するという。すべては和辻家の地位を守るための策だった…。  アリバイをつくるため、さつきはひとり東京へ。そして、与兵衛の死亡と、事件の隠蔽が始まる!</v>
      </c>
      <c r="N2674" s="2"/>
      <c r="O2674" s="2"/>
      <c r="P2674" s="1"/>
      <c r="Q2674" s="1"/>
      <c r="R2674" s="1"/>
      <c r="S2674" s="1"/>
      <c r="T2674" s="1"/>
      <c r="U2674" s="1"/>
      <c r="V2674" s="1"/>
      <c r="W2674" s="1"/>
      <c r="X2674" s="1"/>
      <c r="Y2674" s="1"/>
      <c r="Z2674" s="1"/>
      <c r="AA2674" s="1"/>
      <c r="AB2674" s="1"/>
      <c r="AC2674" s="1"/>
      <c r="AD2674" s="1"/>
      <c r="AE2674" s="1"/>
      <c r="AF2674" s="1"/>
      <c r="AG2674" s="1"/>
      <c r="AH2674" s="1"/>
      <c r="AI2674" s="1"/>
      <c r="AJ2674" s="1"/>
      <c r="AK2674" s="1"/>
      <c r="AL2674" s="1"/>
      <c r="AM2674" s="1"/>
      <c r="AN2674" s="1"/>
      <c r="AO2674" s="1"/>
      <c r="AP2674" s="1"/>
      <c r="AQ2674" s="1"/>
      <c r="AR2674" s="1"/>
      <c r="AS2674" s="1"/>
      <c r="AT2674" s="1"/>
      <c r="AU2674" s="1"/>
      <c r="AV2674" s="1"/>
      <c r="AW2674" s="1"/>
      <c r="AX2674" s="1"/>
      <c r="AY2674" s="1"/>
      <c r="AZ2674" s="1"/>
      <c r="BA2674" s="1"/>
      <c r="BB2674" s="1"/>
    </row>
    <row r="2675" ht="204.75" customHeight="1">
      <c r="A2675" s="1">
        <v>3851.0</v>
      </c>
      <c r="B2675" s="2" t="s">
        <v>8211</v>
      </c>
      <c r="C2675" s="2">
        <f>IFERROR(__xludf.DUMMYFUNCTION("split(B2675,""_"")"),1204.0)</f>
        <v>1204</v>
      </c>
      <c r="D2675" s="2" t="str">
        <f>IFERROR(__xludf.DUMMYFUNCTION("""COMPUTED_VALUE"""),"EX")</f>
        <v>EX</v>
      </c>
      <c r="E2675" s="2" t="str">
        <f>IFERROR(__xludf.DUMMYFUNCTION("""COMPUTED_VALUE"""),"木21")</f>
        <v>木21</v>
      </c>
      <c r="F2675" s="2" t="s">
        <v>8212</v>
      </c>
      <c r="G2675" s="2" t="s">
        <v>8225</v>
      </c>
      <c r="H2675" s="1">
        <v>5.0</v>
      </c>
      <c r="I2675" s="1" t="s">
        <v>2884</v>
      </c>
      <c r="J2675" s="1" t="s">
        <v>11</v>
      </c>
      <c r="K2675" s="2" t="s">
        <v>8226</v>
      </c>
      <c r="L2675" s="11" t="s">
        <v>8227</v>
      </c>
      <c r="M2675" s="2" t="str">
        <f>IFERROR(__xludf.DUMMYFUNCTION("split(split(K2675,""武井咲、"",false),""公式LINE"",false)"),"与兵衛(寺田農)の死に動揺した摩子(武井咲)。そんな摩子にさつきは意外な言葉をぶつける。その頃、和辻家では必死の偽装工作が行なわれていた。そこへ、弓坂(桐谷健太)が現れ、和辻家の当主の死を知る。さらに、県警の中里右京(津川雅彦)が現れて…")</f>
        <v>与兵衛(寺田農)の死に動揺した摩子(武井咲)。そんな摩子にさつきは意外な言葉をぶつける。その頃、和辻家では必死の偽装工作が行なわれていた。そこへ、弓坂(桐谷健太)が現れ、和辻家の当主の死を知る。さらに、県警の中里右京(津川雅彦)が現れて…</v>
      </c>
      <c r="N2675" s="2"/>
      <c r="O2675" s="2"/>
      <c r="P2675" s="1"/>
      <c r="Q2675" s="1"/>
      <c r="R2675" s="1"/>
      <c r="S2675" s="1"/>
      <c r="T2675" s="1"/>
      <c r="U2675" s="1"/>
      <c r="V2675" s="1"/>
      <c r="W2675" s="1"/>
      <c r="X2675" s="1"/>
      <c r="Y2675" s="1"/>
      <c r="Z2675" s="1"/>
      <c r="AA2675" s="1"/>
      <c r="AB2675" s="1"/>
      <c r="AC2675" s="1"/>
      <c r="AD2675" s="1"/>
      <c r="AE2675" s="1"/>
      <c r="AF2675" s="1"/>
      <c r="AG2675" s="1"/>
      <c r="AH2675" s="1"/>
      <c r="AI2675" s="1"/>
      <c r="AJ2675" s="1"/>
      <c r="AK2675" s="1"/>
      <c r="AL2675" s="1"/>
      <c r="AM2675" s="1"/>
      <c r="AN2675" s="1"/>
      <c r="AO2675" s="1"/>
      <c r="AP2675" s="1"/>
      <c r="AQ2675" s="1"/>
      <c r="AR2675" s="1"/>
      <c r="AS2675" s="1"/>
      <c r="AT2675" s="1"/>
      <c r="AU2675" s="1"/>
      <c r="AV2675" s="1"/>
      <c r="AW2675" s="1"/>
      <c r="AX2675" s="1"/>
      <c r="AY2675" s="1"/>
      <c r="AZ2675" s="1"/>
      <c r="BA2675" s="1"/>
      <c r="BB2675" s="1"/>
    </row>
    <row r="2676" ht="204.75" customHeight="1">
      <c r="A2676" s="1">
        <v>3852.0</v>
      </c>
      <c r="B2676" s="2" t="s">
        <v>8211</v>
      </c>
      <c r="C2676" s="2">
        <f>IFERROR(__xludf.DUMMYFUNCTION("split(B2676,""_"")"),1204.0)</f>
        <v>1204</v>
      </c>
      <c r="D2676" s="2" t="str">
        <f>IFERROR(__xludf.DUMMYFUNCTION("""COMPUTED_VALUE"""),"EX")</f>
        <v>EX</v>
      </c>
      <c r="E2676" s="2" t="str">
        <f>IFERROR(__xludf.DUMMYFUNCTION("""COMPUTED_VALUE"""),"木21")</f>
        <v>木21</v>
      </c>
      <c r="F2676" s="2" t="s">
        <v>8212</v>
      </c>
      <c r="G2676" s="2" t="s">
        <v>8228</v>
      </c>
      <c r="H2676" s="1">
        <v>6.0</v>
      </c>
      <c r="I2676" s="1" t="s">
        <v>2888</v>
      </c>
      <c r="J2676" s="1" t="s">
        <v>11</v>
      </c>
      <c r="K2676" s="2" t="s">
        <v>8229</v>
      </c>
      <c r="L2676" s="11" t="s">
        <v>8230</v>
      </c>
      <c r="M2676" s="2" t="str">
        <f>IFERROR(__xludf.DUMMYFUNCTION("split(split(K2676,""武井咲、"",false),""公式LINE"",false)"),"ついにさつきと摩子(武井咲・2役)が入れ替わっていることを突き止めた弓坂(桐谷健太)。同じ頃、和辻家には老刑事・中里(津川雅彦)が捜査にきていた。発見された胃ゾンデの切れ端、残された不自然な足跡。まるで殺人事件が隠ぺいされたかのような現状を疑問に思い…。")</f>
        <v>ついにさつきと摩子(武井咲・2役)が入れ替わっていることを突き止めた弓坂(桐谷健太)。同じ頃、和辻家には老刑事・中里(津川雅彦)が捜査にきていた。発見された胃ゾンデの切れ端、残された不自然な足跡。まるで殺人事件が隠ぺいされたかのような現状を疑問に思い…。</v>
      </c>
      <c r="N2676" s="2"/>
      <c r="O2676" s="2"/>
      <c r="P2676" s="1"/>
      <c r="Q2676" s="1"/>
      <c r="R2676" s="1"/>
      <c r="S2676" s="1"/>
      <c r="T2676" s="1"/>
      <c r="U2676" s="1"/>
      <c r="V2676" s="1"/>
      <c r="W2676" s="1"/>
      <c r="X2676" s="1"/>
      <c r="Y2676" s="1"/>
      <c r="Z2676" s="1"/>
      <c r="AA2676" s="1"/>
      <c r="AB2676" s="1"/>
      <c r="AC2676" s="1"/>
      <c r="AD2676" s="1"/>
      <c r="AE2676" s="1"/>
      <c r="AF2676" s="1"/>
      <c r="AG2676" s="1"/>
      <c r="AH2676" s="1"/>
      <c r="AI2676" s="1"/>
      <c r="AJ2676" s="1"/>
      <c r="AK2676" s="1"/>
      <c r="AL2676" s="1"/>
      <c r="AM2676" s="1"/>
      <c r="AN2676" s="1"/>
      <c r="AO2676" s="1"/>
      <c r="AP2676" s="1"/>
      <c r="AQ2676" s="1"/>
      <c r="AR2676" s="1"/>
      <c r="AS2676" s="1"/>
      <c r="AT2676" s="1"/>
      <c r="AU2676" s="1"/>
      <c r="AV2676" s="1"/>
      <c r="AW2676" s="1"/>
      <c r="AX2676" s="1"/>
      <c r="AY2676" s="1"/>
      <c r="AZ2676" s="1"/>
      <c r="BA2676" s="1"/>
      <c r="BB2676" s="1"/>
    </row>
    <row r="2677" ht="204.75" customHeight="1">
      <c r="A2677" s="1">
        <v>3853.0</v>
      </c>
      <c r="B2677" s="2" t="s">
        <v>8211</v>
      </c>
      <c r="C2677" s="2">
        <f>IFERROR(__xludf.DUMMYFUNCTION("split(B2677,""_"")"),1204.0)</f>
        <v>1204</v>
      </c>
      <c r="D2677" s="2" t="str">
        <f>IFERROR(__xludf.DUMMYFUNCTION("""COMPUTED_VALUE"""),"EX")</f>
        <v>EX</v>
      </c>
      <c r="E2677" s="2" t="str">
        <f>IFERROR(__xludf.DUMMYFUNCTION("""COMPUTED_VALUE"""),"木21")</f>
        <v>木21</v>
      </c>
      <c r="F2677" s="2" t="s">
        <v>8212</v>
      </c>
      <c r="G2677" s="2" t="s">
        <v>8231</v>
      </c>
      <c r="H2677" s="1">
        <v>7.0</v>
      </c>
      <c r="I2677" s="1" t="s">
        <v>2892</v>
      </c>
      <c r="J2677" s="1" t="s">
        <v>11</v>
      </c>
      <c r="K2677" s="2" t="s">
        <v>8232</v>
      </c>
      <c r="L2677" s="11" t="s">
        <v>8233</v>
      </c>
      <c r="M2677" s="2" t="str">
        <f>IFERROR(__xludf.DUMMYFUNCTION("split(split(K2677,""武井咲、"",false),""公式LINE"",false)"),"さつきの突然の自首に、中里はその信憑性を疑う。その頃、和辻家に春生が訪ねてくる。みねや淑枝らと対面したが、自分たちの対面しか気にしない和辻家の面々に、苛立ちを覚える。一方、中学校教師殺害事件が進展を見せる!弓坂の捜査線上に浮上したある意外な人物とは!?")</f>
        <v>さつきの突然の自首に、中里はその信憑性を疑う。その頃、和辻家に春生が訪ねてくる。みねや淑枝らと対面したが、自分たちの対面しか気にしない和辻家の面々に、苛立ちを覚える。一方、中学校教師殺害事件が進展を見せる!弓坂の捜査線上に浮上したある意外な人物とは!?</v>
      </c>
      <c r="N2677" s="2"/>
      <c r="O2677" s="2"/>
      <c r="P2677" s="1"/>
      <c r="Q2677" s="1"/>
      <c r="R2677" s="1"/>
      <c r="S2677" s="1"/>
      <c r="T2677" s="1"/>
      <c r="U2677" s="1"/>
      <c r="V2677" s="1"/>
      <c r="W2677" s="1"/>
      <c r="X2677" s="1"/>
      <c r="Y2677" s="1"/>
      <c r="Z2677" s="1"/>
      <c r="AA2677" s="1"/>
      <c r="AB2677" s="1"/>
      <c r="AC2677" s="1"/>
      <c r="AD2677" s="1"/>
      <c r="AE2677" s="1"/>
      <c r="AF2677" s="1"/>
      <c r="AG2677" s="1"/>
      <c r="AH2677" s="1"/>
      <c r="AI2677" s="1"/>
      <c r="AJ2677" s="1"/>
      <c r="AK2677" s="1"/>
      <c r="AL2677" s="1"/>
      <c r="AM2677" s="1"/>
      <c r="AN2677" s="1"/>
      <c r="AO2677" s="1"/>
      <c r="AP2677" s="1"/>
      <c r="AQ2677" s="1"/>
      <c r="AR2677" s="1"/>
      <c r="AS2677" s="1"/>
      <c r="AT2677" s="1"/>
      <c r="AU2677" s="1"/>
      <c r="AV2677" s="1"/>
      <c r="AW2677" s="1"/>
      <c r="AX2677" s="1"/>
      <c r="AY2677" s="1"/>
      <c r="AZ2677" s="1"/>
      <c r="BA2677" s="1"/>
      <c r="BB2677" s="1"/>
    </row>
    <row r="2678" ht="204.75" customHeight="1">
      <c r="A2678" s="1">
        <v>3854.0</v>
      </c>
      <c r="B2678" s="2" t="s">
        <v>8211</v>
      </c>
      <c r="C2678" s="2">
        <f>IFERROR(__xludf.DUMMYFUNCTION("split(B2678,""_"")"),1204.0)</f>
        <v>1204</v>
      </c>
      <c r="D2678" s="2" t="str">
        <f>IFERROR(__xludf.DUMMYFUNCTION("""COMPUTED_VALUE"""),"EX")</f>
        <v>EX</v>
      </c>
      <c r="E2678" s="2" t="str">
        <f>IFERROR(__xludf.DUMMYFUNCTION("""COMPUTED_VALUE"""),"木21")</f>
        <v>木21</v>
      </c>
      <c r="F2678" s="2" t="s">
        <v>8212</v>
      </c>
      <c r="G2678" s="2" t="s">
        <v>8234</v>
      </c>
      <c r="H2678" s="1">
        <v>8.0</v>
      </c>
      <c r="J2678" s="1" t="s">
        <v>11</v>
      </c>
      <c r="K2678" s="2" t="s">
        <v>8235</v>
      </c>
      <c r="L2678" s="11" t="s">
        <v>8236</v>
      </c>
      <c r="M2678" s="2" t="str">
        <f>IFERROR(__xludf.DUMMYFUNCTION("split(split(K2678,""武井咲、"",false),""公式LINE"",false)"),"“さつき”について真相を探るため『マスカレード』を訪れた淑枝は、そこでさつきに成り代わった摩子と再会する!その頃、事件の捜査に行き詰まっていた中里警部らは、この事件にはさらに裏があるのではないか、と推測。少しずつ真実が見え始めてくる中、思いもよらなかった事実が明らかになる…!")</f>
        <v>“さつき”について真相を探るため『マスカレード』を訪れた淑枝は、そこでさつきに成り代わった摩子と再会する!その頃、事件の捜査に行き詰まっていた中里警部らは、この事件にはさらに裏があるのではないか、と推測。少しずつ真実が見え始めてくる中、思いもよらなかった事実が明らかになる…!</v>
      </c>
      <c r="N2678" s="2"/>
      <c r="O2678" s="2"/>
      <c r="P2678" s="1"/>
      <c r="Q2678" s="1"/>
      <c r="R2678" s="1"/>
      <c r="S2678" s="1"/>
      <c r="T2678" s="1"/>
      <c r="U2678" s="1"/>
      <c r="V2678" s="1"/>
      <c r="W2678" s="1"/>
      <c r="X2678" s="1"/>
      <c r="Y2678" s="1"/>
      <c r="Z2678" s="1"/>
      <c r="AA2678" s="1"/>
      <c r="AB2678" s="1"/>
      <c r="AC2678" s="1"/>
      <c r="AD2678" s="1"/>
      <c r="AE2678" s="1"/>
      <c r="AF2678" s="1"/>
      <c r="AG2678" s="1"/>
      <c r="AH2678" s="1"/>
      <c r="AI2678" s="1"/>
      <c r="AJ2678" s="1"/>
      <c r="AK2678" s="1"/>
      <c r="AL2678" s="1"/>
      <c r="AM2678" s="1"/>
      <c r="AN2678" s="1"/>
      <c r="AO2678" s="1"/>
      <c r="AP2678" s="1"/>
      <c r="AQ2678" s="1"/>
      <c r="AR2678" s="1"/>
      <c r="AS2678" s="1"/>
      <c r="AT2678" s="1"/>
      <c r="AU2678" s="1"/>
      <c r="AV2678" s="1"/>
      <c r="AW2678" s="1"/>
      <c r="AX2678" s="1"/>
      <c r="AY2678" s="1"/>
      <c r="AZ2678" s="1"/>
      <c r="BA2678" s="1"/>
      <c r="BB2678" s="1"/>
    </row>
    <row r="2679" ht="204.75" customHeight="1">
      <c r="A2679" s="1">
        <v>3892.0</v>
      </c>
      <c r="B2679" s="2" t="s">
        <v>8237</v>
      </c>
      <c r="C2679" s="2">
        <f>IFERROR(__xludf.DUMMYFUNCTION("split(B2679,""_"")"),1204.0)</f>
        <v>1204</v>
      </c>
      <c r="D2679" s="2" t="str">
        <f>IFERROR(__xludf.DUMMYFUNCTION("""COMPUTED_VALUE"""),"EX")</f>
        <v>EX</v>
      </c>
      <c r="E2679" s="2" t="str">
        <f>IFERROR(__xludf.DUMMYFUNCTION("""COMPUTED_VALUE"""),"金23")</f>
        <v>金23</v>
      </c>
      <c r="F2679" s="2" t="s">
        <v>7993</v>
      </c>
      <c r="G2679" s="2" t="s">
        <v>7994</v>
      </c>
      <c r="H2679" s="1">
        <v>1.0</v>
      </c>
      <c r="I2679" s="1" t="s">
        <v>2868</v>
      </c>
      <c r="J2679" s="1" t="s">
        <v>1435</v>
      </c>
      <c r="K2679" s="4" t="s">
        <v>8238</v>
      </c>
      <c r="L2679" s="11" t="s">
        <v>8239</v>
      </c>
      <c r="M2679" s="2" t="str">
        <f>IFERROR(__xludf.DUMMYFUNCTION("split(split(K2679,""長澤まさみ、"",false),""公式LINE"",false)"),"飛び降り自殺と思われる男性の遺体が見つかった!遺体の顔が、現場近くにある都市伝説の名所・平将門の首塚に向いていることを発見した月子。事件は将門の祟りによるものだと上司・丹内(竹中直人)に訴えるが罵倒されてしまう。月子は鑑識の勝浦(溝端淳平)を巻き込み独自捜査を開始する。")</f>
        <v>飛び降り自殺と思われる男性の遺体が見つかった!遺体の顔が、現場近くにある都市伝説の名所・平将門の首塚に向いていることを発見した月子。事件は将門の祟りによるものだと上司・丹内(竹中直人)に訴えるが罵倒されてしまう。月子は鑑識の勝浦(溝端淳平)を巻き込み独自捜査を開始する。</v>
      </c>
      <c r="N2679" s="2"/>
      <c r="O2679" s="2"/>
      <c r="P2679" s="1"/>
      <c r="Q2679" s="1"/>
      <c r="R2679" s="1"/>
      <c r="S2679" s="1"/>
      <c r="T2679" s="1"/>
      <c r="U2679" s="1"/>
      <c r="V2679" s="1"/>
      <c r="W2679" s="1"/>
      <c r="X2679" s="1"/>
      <c r="Y2679" s="1"/>
      <c r="Z2679" s="1"/>
      <c r="AA2679" s="1"/>
      <c r="AB2679" s="1"/>
      <c r="AC2679" s="1"/>
      <c r="AD2679" s="1"/>
      <c r="AE2679" s="1"/>
      <c r="AF2679" s="1"/>
      <c r="AG2679" s="1"/>
      <c r="AH2679" s="1"/>
      <c r="AI2679" s="1"/>
      <c r="AJ2679" s="1"/>
      <c r="AK2679" s="1"/>
      <c r="AL2679" s="1"/>
      <c r="AM2679" s="1"/>
      <c r="AN2679" s="1"/>
      <c r="AO2679" s="1"/>
      <c r="AP2679" s="1"/>
      <c r="AQ2679" s="1"/>
      <c r="AR2679" s="1"/>
      <c r="AS2679" s="1"/>
      <c r="AT2679" s="1"/>
      <c r="AU2679" s="1"/>
      <c r="AV2679" s="1"/>
      <c r="AW2679" s="1"/>
      <c r="AX2679" s="1"/>
      <c r="AY2679" s="1"/>
      <c r="AZ2679" s="1"/>
      <c r="BA2679" s="1"/>
      <c r="BB2679" s="1"/>
    </row>
    <row r="2680" ht="204.75" customHeight="1">
      <c r="A2680" s="1">
        <v>3893.0</v>
      </c>
      <c r="B2680" s="2" t="s">
        <v>8237</v>
      </c>
      <c r="C2680" s="2">
        <f>IFERROR(__xludf.DUMMYFUNCTION("split(B2680,""_"")"),1204.0)</f>
        <v>1204</v>
      </c>
      <c r="D2680" s="2" t="str">
        <f>IFERROR(__xludf.DUMMYFUNCTION("""COMPUTED_VALUE"""),"EX")</f>
        <v>EX</v>
      </c>
      <c r="E2680" s="2" t="str">
        <f>IFERROR(__xludf.DUMMYFUNCTION("""COMPUTED_VALUE"""),"金23")</f>
        <v>金23</v>
      </c>
      <c r="F2680" s="2" t="s">
        <v>7993</v>
      </c>
      <c r="G2680" s="2" t="s">
        <v>7997</v>
      </c>
      <c r="H2680" s="1">
        <v>2.0</v>
      </c>
      <c r="I2680" s="1" t="s">
        <v>2872</v>
      </c>
      <c r="J2680" s="1" t="s">
        <v>1435</v>
      </c>
      <c r="K2680" s="2" t="s">
        <v>8240</v>
      </c>
      <c r="L2680" s="11" t="s">
        <v>8241</v>
      </c>
      <c r="M2680" s="2" t="str">
        <f>IFERROR(__xludf.DUMMYFUNCTION("split(split(K2680,""長澤まさみ、"",false),""公式LINE"",false)"),"美しすぎる新米刑事・音無月子(長澤まさみ)は大の都市伝説オタク。どんな事件も都市伝説が絡むと信じ、その美貌とマニアックな視点を活かして未解決事件を解決していく!")</f>
        <v>美しすぎる新米刑事・音無月子(長澤まさみ)は大の都市伝説オタク。どんな事件も都市伝説が絡むと信じ、その美貌とマニアックな視点を活かして未解決事件を解決していく!</v>
      </c>
      <c r="N2680" s="2"/>
      <c r="O2680" s="2"/>
      <c r="P2680" s="1"/>
      <c r="Q2680" s="1"/>
      <c r="R2680" s="1"/>
      <c r="S2680" s="1"/>
      <c r="T2680" s="1"/>
      <c r="U2680" s="1"/>
      <c r="V2680" s="1"/>
      <c r="W2680" s="1"/>
      <c r="X2680" s="1"/>
      <c r="Y2680" s="1"/>
      <c r="Z2680" s="1"/>
      <c r="AA2680" s="1"/>
      <c r="AB2680" s="1"/>
      <c r="AC2680" s="1"/>
      <c r="AD2680" s="1"/>
      <c r="AE2680" s="1"/>
      <c r="AF2680" s="1"/>
      <c r="AG2680" s="1"/>
      <c r="AH2680" s="1"/>
      <c r="AI2680" s="1"/>
      <c r="AJ2680" s="1"/>
      <c r="AK2680" s="1"/>
      <c r="AL2680" s="1"/>
      <c r="AM2680" s="1"/>
      <c r="AN2680" s="1"/>
      <c r="AO2680" s="1"/>
      <c r="AP2680" s="1"/>
      <c r="AQ2680" s="1"/>
      <c r="AR2680" s="1"/>
      <c r="AS2680" s="1"/>
      <c r="AT2680" s="1"/>
      <c r="AU2680" s="1"/>
      <c r="AV2680" s="1"/>
      <c r="AW2680" s="1"/>
      <c r="AX2680" s="1"/>
      <c r="AY2680" s="1"/>
      <c r="AZ2680" s="1"/>
      <c r="BA2680" s="1"/>
      <c r="BB2680" s="1"/>
    </row>
    <row r="2681" ht="204.75" customHeight="1">
      <c r="A2681" s="1">
        <v>3894.0</v>
      </c>
      <c r="B2681" s="2" t="s">
        <v>8237</v>
      </c>
      <c r="C2681" s="2">
        <f>IFERROR(__xludf.DUMMYFUNCTION("split(B2681,""_"")"),1204.0)</f>
        <v>1204</v>
      </c>
      <c r="D2681" s="2" t="str">
        <f>IFERROR(__xludf.DUMMYFUNCTION("""COMPUTED_VALUE"""),"EX")</f>
        <v>EX</v>
      </c>
      <c r="E2681" s="2" t="str">
        <f>IFERROR(__xludf.DUMMYFUNCTION("""COMPUTED_VALUE"""),"金23")</f>
        <v>金23</v>
      </c>
      <c r="F2681" s="2" t="s">
        <v>7993</v>
      </c>
      <c r="G2681" s="2" t="s">
        <v>8000</v>
      </c>
      <c r="H2681" s="1">
        <v>3.0</v>
      </c>
      <c r="I2681" s="1" t="s">
        <v>2876</v>
      </c>
      <c r="J2681" s="1" t="s">
        <v>1435</v>
      </c>
      <c r="K2681" s="2" t="s">
        <v>8242</v>
      </c>
      <c r="L2681" s="11" t="s">
        <v>8241</v>
      </c>
      <c r="M2681" s="2" t="str">
        <f>IFERROR(__xludf.DUMMYFUNCTION("split(split(K2681,""長澤まさみ、"",false),""公式LINE"",false)"),"美しすぎる新米刑事・音無月子(長澤まさみ)は大の都市伝説オタク。どんな事件も都市伝説が絡むと信じ、その美貌とマニアックな視点を活かして未解決事件を解決していく!")</f>
        <v>美しすぎる新米刑事・音無月子(長澤まさみ)は大の都市伝説オタク。どんな事件も都市伝説が絡むと信じ、その美貌とマニアックな視点を活かして未解決事件を解決していく!</v>
      </c>
      <c r="N2681" s="2"/>
      <c r="O2681" s="2"/>
      <c r="P2681" s="1"/>
      <c r="Q2681" s="1"/>
      <c r="R2681" s="1"/>
      <c r="S2681" s="1"/>
      <c r="T2681" s="1"/>
      <c r="U2681" s="1"/>
      <c r="V2681" s="1"/>
      <c r="W2681" s="1"/>
      <c r="X2681" s="1"/>
      <c r="Y2681" s="1"/>
      <c r="Z2681" s="1"/>
      <c r="AA2681" s="1"/>
      <c r="AB2681" s="1"/>
      <c r="AC2681" s="1"/>
      <c r="AD2681" s="1"/>
      <c r="AE2681" s="1"/>
      <c r="AF2681" s="1"/>
      <c r="AG2681" s="1"/>
      <c r="AH2681" s="1"/>
      <c r="AI2681" s="1"/>
      <c r="AJ2681" s="1"/>
      <c r="AK2681" s="1"/>
      <c r="AL2681" s="1"/>
      <c r="AM2681" s="1"/>
      <c r="AN2681" s="1"/>
      <c r="AO2681" s="1"/>
      <c r="AP2681" s="1"/>
      <c r="AQ2681" s="1"/>
      <c r="AR2681" s="1"/>
      <c r="AS2681" s="1"/>
      <c r="AT2681" s="1"/>
      <c r="AU2681" s="1"/>
      <c r="AV2681" s="1"/>
      <c r="AW2681" s="1"/>
      <c r="AX2681" s="1"/>
      <c r="AY2681" s="1"/>
      <c r="AZ2681" s="1"/>
      <c r="BA2681" s="1"/>
      <c r="BB2681" s="1"/>
    </row>
    <row r="2682" ht="204.75" customHeight="1">
      <c r="A2682" s="1">
        <v>3895.0</v>
      </c>
      <c r="B2682" s="2" t="s">
        <v>8237</v>
      </c>
      <c r="C2682" s="2">
        <f>IFERROR(__xludf.DUMMYFUNCTION("split(B2682,""_"")"),1204.0)</f>
        <v>1204</v>
      </c>
      <c r="D2682" s="2" t="str">
        <f>IFERROR(__xludf.DUMMYFUNCTION("""COMPUTED_VALUE"""),"EX")</f>
        <v>EX</v>
      </c>
      <c r="E2682" s="2" t="str">
        <f>IFERROR(__xludf.DUMMYFUNCTION("""COMPUTED_VALUE"""),"金23")</f>
        <v>金23</v>
      </c>
      <c r="F2682" s="2" t="s">
        <v>7993</v>
      </c>
      <c r="G2682" s="2" t="s">
        <v>8003</v>
      </c>
      <c r="H2682" s="1">
        <v>4.0</v>
      </c>
      <c r="I2682" s="1" t="s">
        <v>2880</v>
      </c>
      <c r="J2682" s="1" t="s">
        <v>1435</v>
      </c>
      <c r="K2682" s="2" t="s">
        <v>8243</v>
      </c>
      <c r="L2682" s="11" t="s">
        <v>8241</v>
      </c>
      <c r="M2682" s="2" t="str">
        <f>IFERROR(__xludf.DUMMYFUNCTION("split(split(K2682,""長澤まさみ、"",false),""公式LINE"",false)"),"美しすぎる新米刑事・音無月子(長澤まさみ)は大の都市伝説オタク。どんな事件も都市伝説が絡むと信じ、その美貌とマニアックな視点を活かして未解決事件を解決していく!")</f>
        <v>美しすぎる新米刑事・音無月子(長澤まさみ)は大の都市伝説オタク。どんな事件も都市伝説が絡むと信じ、その美貌とマニアックな視点を活かして未解決事件を解決していく!</v>
      </c>
      <c r="N2682" s="2"/>
      <c r="O2682" s="2"/>
      <c r="P2682" s="1"/>
      <c r="Q2682" s="1"/>
      <c r="R2682" s="1"/>
      <c r="S2682" s="1"/>
      <c r="T2682" s="1"/>
      <c r="U2682" s="1"/>
      <c r="V2682" s="1"/>
      <c r="W2682" s="1"/>
      <c r="X2682" s="1"/>
      <c r="Y2682" s="1"/>
      <c r="Z2682" s="1"/>
      <c r="AA2682" s="1"/>
      <c r="AB2682" s="1"/>
      <c r="AC2682" s="1"/>
      <c r="AD2682" s="1"/>
      <c r="AE2682" s="1"/>
      <c r="AF2682" s="1"/>
      <c r="AG2682" s="1"/>
      <c r="AH2682" s="1"/>
      <c r="AI2682" s="1"/>
      <c r="AJ2682" s="1"/>
      <c r="AK2682" s="1"/>
      <c r="AL2682" s="1"/>
      <c r="AM2682" s="1"/>
      <c r="AN2682" s="1"/>
      <c r="AO2682" s="1"/>
      <c r="AP2682" s="1"/>
      <c r="AQ2682" s="1"/>
      <c r="AR2682" s="1"/>
      <c r="AS2682" s="1"/>
      <c r="AT2682" s="1"/>
      <c r="AU2682" s="1"/>
      <c r="AV2682" s="1"/>
      <c r="AW2682" s="1"/>
      <c r="AX2682" s="1"/>
      <c r="AY2682" s="1"/>
      <c r="AZ2682" s="1"/>
      <c r="BA2682" s="1"/>
      <c r="BB2682" s="1"/>
    </row>
    <row r="2683" ht="204.75" customHeight="1">
      <c r="A2683" s="1">
        <v>3896.0</v>
      </c>
      <c r="B2683" s="2" t="s">
        <v>8237</v>
      </c>
      <c r="C2683" s="2">
        <f>IFERROR(__xludf.DUMMYFUNCTION("split(B2683,""_"")"),1204.0)</f>
        <v>1204</v>
      </c>
      <c r="D2683" s="2" t="str">
        <f>IFERROR(__xludf.DUMMYFUNCTION("""COMPUTED_VALUE"""),"EX")</f>
        <v>EX</v>
      </c>
      <c r="E2683" s="2" t="str">
        <f>IFERROR(__xludf.DUMMYFUNCTION("""COMPUTED_VALUE"""),"金23")</f>
        <v>金23</v>
      </c>
      <c r="F2683" s="2" t="s">
        <v>7993</v>
      </c>
      <c r="G2683" s="2" t="s">
        <v>8006</v>
      </c>
      <c r="H2683" s="1">
        <v>5.0</v>
      </c>
      <c r="I2683" s="1" t="s">
        <v>2884</v>
      </c>
      <c r="J2683" s="1" t="s">
        <v>1435</v>
      </c>
      <c r="K2683" s="2" t="s">
        <v>8244</v>
      </c>
      <c r="L2683" s="11" t="s">
        <v>8241</v>
      </c>
      <c r="M2683" s="2" t="str">
        <f>IFERROR(__xludf.DUMMYFUNCTION("split(split(K2683,""長澤まさみ、"",false),""公式LINE"",false)"),"美しすぎる新米刑事・音無月子(長澤まさみ)は大の都市伝説オタク。どんな事件も都市伝説が絡むと信じ、その美貌とマニアックな視点を活かして未解決事件を解決していく!")</f>
        <v>美しすぎる新米刑事・音無月子(長澤まさみ)は大の都市伝説オタク。どんな事件も都市伝説が絡むと信じ、その美貌とマニアックな視点を活かして未解決事件を解決していく!</v>
      </c>
      <c r="N2683" s="2"/>
      <c r="O2683" s="2"/>
      <c r="P2683" s="1"/>
      <c r="Q2683" s="1"/>
      <c r="R2683" s="1"/>
      <c r="S2683" s="1"/>
      <c r="T2683" s="1"/>
      <c r="U2683" s="1"/>
      <c r="V2683" s="1"/>
      <c r="W2683" s="1"/>
      <c r="X2683" s="1"/>
      <c r="Y2683" s="1"/>
      <c r="Z2683" s="1"/>
      <c r="AA2683" s="1"/>
      <c r="AB2683" s="1"/>
      <c r="AC2683" s="1"/>
      <c r="AD2683" s="1"/>
      <c r="AE2683" s="1"/>
      <c r="AF2683" s="1"/>
      <c r="AG2683" s="1"/>
      <c r="AH2683" s="1"/>
      <c r="AI2683" s="1"/>
      <c r="AJ2683" s="1"/>
      <c r="AK2683" s="1"/>
      <c r="AL2683" s="1"/>
      <c r="AM2683" s="1"/>
      <c r="AN2683" s="1"/>
      <c r="AO2683" s="1"/>
      <c r="AP2683" s="1"/>
      <c r="AQ2683" s="1"/>
      <c r="AR2683" s="1"/>
      <c r="AS2683" s="1"/>
      <c r="AT2683" s="1"/>
      <c r="AU2683" s="1"/>
      <c r="AV2683" s="1"/>
      <c r="AW2683" s="1"/>
      <c r="AX2683" s="1"/>
      <c r="AY2683" s="1"/>
      <c r="AZ2683" s="1"/>
      <c r="BA2683" s="1"/>
      <c r="BB2683" s="1"/>
    </row>
    <row r="2684" ht="204.75" customHeight="1">
      <c r="A2684" s="1">
        <v>3897.0</v>
      </c>
      <c r="B2684" s="2" t="s">
        <v>8237</v>
      </c>
      <c r="C2684" s="2">
        <f>IFERROR(__xludf.DUMMYFUNCTION("split(B2684,""_"")"),1204.0)</f>
        <v>1204</v>
      </c>
      <c r="D2684" s="2" t="str">
        <f>IFERROR(__xludf.DUMMYFUNCTION("""COMPUTED_VALUE"""),"EX")</f>
        <v>EX</v>
      </c>
      <c r="E2684" s="2" t="str">
        <f>IFERROR(__xludf.DUMMYFUNCTION("""COMPUTED_VALUE"""),"金23")</f>
        <v>金23</v>
      </c>
      <c r="F2684" s="2" t="s">
        <v>7993</v>
      </c>
      <c r="G2684" s="2" t="s">
        <v>8009</v>
      </c>
      <c r="H2684" s="1">
        <v>6.0</v>
      </c>
      <c r="I2684" s="1" t="s">
        <v>2888</v>
      </c>
      <c r="J2684" s="1" t="s">
        <v>1435</v>
      </c>
      <c r="K2684" s="2" t="s">
        <v>8245</v>
      </c>
      <c r="L2684" s="11" t="s">
        <v>8241</v>
      </c>
      <c r="M2684" s="2" t="str">
        <f>IFERROR(__xludf.DUMMYFUNCTION("split(split(K2684,""長澤まさみ、"",false),""公式LINE"",false)"),"美しすぎる新米刑事・音無月子(長澤まさみ)は大の都市伝説オタク。どんな事件も都市伝説が絡むと信じ、その美貌とマニアックな視点を活かして未解決事件を解決していく!")</f>
        <v>美しすぎる新米刑事・音無月子(長澤まさみ)は大の都市伝説オタク。どんな事件も都市伝説が絡むと信じ、その美貌とマニアックな視点を活かして未解決事件を解決していく!</v>
      </c>
      <c r="N2684" s="2"/>
      <c r="O2684" s="2"/>
      <c r="P2684" s="1"/>
      <c r="Q2684" s="1"/>
      <c r="R2684" s="1"/>
      <c r="S2684" s="1"/>
      <c r="T2684" s="1"/>
      <c r="U2684" s="1"/>
      <c r="V2684" s="1"/>
      <c r="W2684" s="1"/>
      <c r="X2684" s="1"/>
      <c r="Y2684" s="1"/>
      <c r="Z2684" s="1"/>
      <c r="AA2684" s="1"/>
      <c r="AB2684" s="1"/>
      <c r="AC2684" s="1"/>
      <c r="AD2684" s="1"/>
      <c r="AE2684" s="1"/>
      <c r="AF2684" s="1"/>
      <c r="AG2684" s="1"/>
      <c r="AH2684" s="1"/>
      <c r="AI2684" s="1"/>
      <c r="AJ2684" s="1"/>
      <c r="AK2684" s="1"/>
      <c r="AL2684" s="1"/>
      <c r="AM2684" s="1"/>
      <c r="AN2684" s="1"/>
      <c r="AO2684" s="1"/>
      <c r="AP2684" s="1"/>
      <c r="AQ2684" s="1"/>
      <c r="AR2684" s="1"/>
      <c r="AS2684" s="1"/>
      <c r="AT2684" s="1"/>
      <c r="AU2684" s="1"/>
      <c r="AV2684" s="1"/>
      <c r="AW2684" s="1"/>
      <c r="AX2684" s="1"/>
      <c r="AY2684" s="1"/>
      <c r="AZ2684" s="1"/>
      <c r="BA2684" s="1"/>
      <c r="BB2684" s="1"/>
    </row>
    <row r="2685" ht="204.75" customHeight="1">
      <c r="A2685" s="1">
        <v>3898.0</v>
      </c>
      <c r="B2685" s="2" t="s">
        <v>8237</v>
      </c>
      <c r="C2685" s="2">
        <f>IFERROR(__xludf.DUMMYFUNCTION("split(B2685,""_"")"),1204.0)</f>
        <v>1204</v>
      </c>
      <c r="D2685" s="2" t="str">
        <f>IFERROR(__xludf.DUMMYFUNCTION("""COMPUTED_VALUE"""),"EX")</f>
        <v>EX</v>
      </c>
      <c r="E2685" s="2" t="str">
        <f>IFERROR(__xludf.DUMMYFUNCTION("""COMPUTED_VALUE"""),"金23")</f>
        <v>金23</v>
      </c>
      <c r="F2685" s="2" t="s">
        <v>7993</v>
      </c>
      <c r="G2685" s="2" t="s">
        <v>8012</v>
      </c>
      <c r="H2685" s="1">
        <v>7.0</v>
      </c>
      <c r="I2685" s="1" t="s">
        <v>2892</v>
      </c>
      <c r="J2685" s="1" t="s">
        <v>1435</v>
      </c>
      <c r="K2685" s="2" t="s">
        <v>8246</v>
      </c>
      <c r="L2685" s="11" t="s">
        <v>8241</v>
      </c>
      <c r="M2685" s="2" t="str">
        <f>IFERROR(__xludf.DUMMYFUNCTION("split(split(K2685,""長澤まさみ、"",false),""公式LINE"",false)"),"美しすぎる新米刑事・音無月子(長澤まさみ)は大の都市伝説オタク。どんな事件も都市伝説が絡むと信じ、その美貌とマニアックな視点を活かして未解決事件を解決していく!")</f>
        <v>美しすぎる新米刑事・音無月子(長澤まさみ)は大の都市伝説オタク。どんな事件も都市伝説が絡むと信じ、その美貌とマニアックな視点を活かして未解決事件を解決していく!</v>
      </c>
      <c r="N2685" s="2"/>
      <c r="O2685" s="2"/>
      <c r="P2685" s="1"/>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c r="AN2685" s="1"/>
      <c r="AO2685" s="1"/>
      <c r="AP2685" s="1"/>
      <c r="AQ2685" s="1"/>
      <c r="AR2685" s="1"/>
      <c r="AS2685" s="1"/>
      <c r="AT2685" s="1"/>
      <c r="AU2685" s="1"/>
      <c r="AV2685" s="1"/>
      <c r="AW2685" s="1"/>
      <c r="AX2685" s="1"/>
      <c r="AY2685" s="1"/>
      <c r="AZ2685" s="1"/>
      <c r="BA2685" s="1"/>
      <c r="BB2685" s="1"/>
    </row>
    <row r="2686" ht="204.75" customHeight="1">
      <c r="A2686" s="1">
        <v>3899.0</v>
      </c>
      <c r="B2686" s="2" t="s">
        <v>8237</v>
      </c>
      <c r="C2686" s="2">
        <f>IFERROR(__xludf.DUMMYFUNCTION("split(B2686,""_"")"),1204.0)</f>
        <v>1204</v>
      </c>
      <c r="D2686" s="2" t="str">
        <f>IFERROR(__xludf.DUMMYFUNCTION("""COMPUTED_VALUE"""),"EX")</f>
        <v>EX</v>
      </c>
      <c r="E2686" s="2" t="str">
        <f>IFERROR(__xludf.DUMMYFUNCTION("""COMPUTED_VALUE"""),"金23")</f>
        <v>金23</v>
      </c>
      <c r="F2686" s="2" t="s">
        <v>7993</v>
      </c>
      <c r="G2686" s="2" t="s">
        <v>8247</v>
      </c>
      <c r="H2686" s="1">
        <v>8.0</v>
      </c>
      <c r="I2686" s="1" t="s">
        <v>2896</v>
      </c>
      <c r="J2686" s="1" t="s">
        <v>1435</v>
      </c>
      <c r="K2686" s="2" t="s">
        <v>8248</v>
      </c>
      <c r="L2686" s="11" t="s">
        <v>8241</v>
      </c>
      <c r="M2686" s="2" t="str">
        <f>IFERROR(__xludf.DUMMYFUNCTION("split(split(K2686,""長澤まさみ、"",false),""公式LINE"",false)"),"美しすぎる新米刑事・音無月子(長澤まさみ)は大の都市伝説オタク。どんな事件も都市伝説が絡むと信じ、その美貌とマニアックな視点を活かして未解決事件を解決していく!")</f>
        <v>美しすぎる新米刑事・音無月子(長澤まさみ)は大の都市伝説オタク。どんな事件も都市伝説が絡むと信じ、その美貌とマニアックな視点を活かして未解決事件を解決していく!</v>
      </c>
      <c r="N2686" s="2"/>
      <c r="O2686" s="2"/>
      <c r="P2686" s="1"/>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c r="AN2686" s="1"/>
      <c r="AO2686" s="1"/>
      <c r="AP2686" s="1"/>
      <c r="AQ2686" s="1"/>
      <c r="AR2686" s="1"/>
      <c r="AS2686" s="1"/>
      <c r="AT2686" s="1"/>
      <c r="AU2686" s="1"/>
      <c r="AV2686" s="1"/>
      <c r="AW2686" s="1"/>
      <c r="AX2686" s="1"/>
      <c r="AY2686" s="1"/>
      <c r="AZ2686" s="1"/>
      <c r="BA2686" s="1"/>
      <c r="BB2686" s="1"/>
    </row>
    <row r="2687" ht="204.75" customHeight="1">
      <c r="A2687" s="1">
        <v>3900.0</v>
      </c>
      <c r="B2687" s="2" t="s">
        <v>8237</v>
      </c>
      <c r="C2687" s="2">
        <f>IFERROR(__xludf.DUMMYFUNCTION("split(B2687,""_"")"),1204.0)</f>
        <v>1204</v>
      </c>
      <c r="D2687" s="2" t="str">
        <f>IFERROR(__xludf.DUMMYFUNCTION("""COMPUTED_VALUE"""),"EX")</f>
        <v>EX</v>
      </c>
      <c r="E2687" s="2" t="str">
        <f>IFERROR(__xludf.DUMMYFUNCTION("""COMPUTED_VALUE"""),"金23")</f>
        <v>金23</v>
      </c>
      <c r="F2687" s="2" t="s">
        <v>7993</v>
      </c>
      <c r="G2687" s="2" t="s">
        <v>8249</v>
      </c>
      <c r="H2687" s="1">
        <v>9.0</v>
      </c>
      <c r="J2687" s="1" t="s">
        <v>1435</v>
      </c>
      <c r="K2687" s="2" t="s">
        <v>8250</v>
      </c>
      <c r="L2687" s="11" t="s">
        <v>8241</v>
      </c>
      <c r="M2687" s="2" t="str">
        <f>IFERROR(__xludf.DUMMYFUNCTION("split(split(K2687,""長澤まさみ、"",false),""公式LINE"",false)"),"美しすぎる新米刑事・音無月子(長澤まさみ)は大の都市伝説オタク。どんな事件も都市伝説が絡むと信じ、その美貌とマニアックな視点を活かして未解決事件を解決していく!")</f>
        <v>美しすぎる新米刑事・音無月子(長澤まさみ)は大の都市伝説オタク。どんな事件も都市伝説が絡むと信じ、その美貌とマニアックな視点を活かして未解決事件を解決していく!</v>
      </c>
      <c r="N2687" s="2"/>
      <c r="O2687" s="2"/>
      <c r="P2687" s="1"/>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c r="AN2687" s="1"/>
      <c r="AO2687" s="1"/>
      <c r="AP2687" s="1"/>
      <c r="AQ2687" s="1"/>
      <c r="AR2687" s="1"/>
      <c r="AS2687" s="1"/>
      <c r="AT2687" s="1"/>
      <c r="AU2687" s="1"/>
      <c r="AV2687" s="1"/>
      <c r="AW2687" s="1"/>
      <c r="AX2687" s="1"/>
      <c r="AY2687" s="1"/>
      <c r="AZ2687" s="1"/>
      <c r="BA2687" s="1"/>
      <c r="BB2687" s="1"/>
    </row>
    <row r="2688" ht="204.75" customHeight="1">
      <c r="A2688" s="1">
        <v>3995.0</v>
      </c>
      <c r="B2688" s="2" t="s">
        <v>8251</v>
      </c>
      <c r="C2688" s="2">
        <f>IFERROR(__xludf.DUMMYFUNCTION("split(B2688,""_"")"),1201.0)</f>
        <v>1201</v>
      </c>
      <c r="D2688" s="2" t="str">
        <f>IFERROR(__xludf.DUMMYFUNCTION("""COMPUTED_VALUE"""),"EX")</f>
        <v>EX</v>
      </c>
      <c r="E2688" s="2" t="str">
        <f>IFERROR(__xludf.DUMMYFUNCTION("""COMPUTED_VALUE"""),"木21")</f>
        <v>木21</v>
      </c>
      <c r="F2688" s="2" t="s">
        <v>8252</v>
      </c>
      <c r="G2688" s="2" t="s">
        <v>8253</v>
      </c>
      <c r="H2688" s="1">
        <v>1.0</v>
      </c>
      <c r="I2688" s="1" t="s">
        <v>2868</v>
      </c>
      <c r="J2688" s="1" t="s">
        <v>4</v>
      </c>
      <c r="K2688" s="4" t="s">
        <v>8254</v>
      </c>
      <c r="L2688" s="11" t="s">
        <v>8255</v>
      </c>
      <c r="M2688" s="2" t="str">
        <f>IFERROR(__xludf.DUMMYFUNCTION("split(split(K2688,""岡田将生、"",false),""公式LINE"",false)"),"医師、看護師、教育者ー“聖職者”と呼ばれる者たちが自らの欲のため少しずつ道を踏み外していく!様々な人間の思惑に翻弄されながらも、その実態を暴こうとする若き外科医。ー道を誤ったのは誰なのか?  この冬、もっともスキャンダラスな医療サスペンスが誕生する…")</f>
        <v>医師、看護師、教育者ー“聖職者”と呼ばれる者たちが自らの欲のため少しずつ道を踏み外していく!様々な人間の思惑に翻弄されながらも、その実態を暴こうとする若き外科医。ー道を誤ったのは誰なのか?  この冬、もっともスキャンダラスな医療サスペンスが誕生する…</v>
      </c>
      <c r="N2688" s="2"/>
      <c r="O2688" s="2"/>
      <c r="P2688" s="1"/>
      <c r="Q2688" s="1"/>
      <c r="R2688" s="1"/>
      <c r="S2688" s="1"/>
      <c r="T2688" s="1"/>
      <c r="U2688" s="1"/>
      <c r="V2688" s="1"/>
      <c r="W2688" s="1"/>
      <c r="X2688" s="1"/>
      <c r="Y2688" s="1"/>
      <c r="Z2688" s="1"/>
      <c r="AA2688" s="1"/>
      <c r="AB2688" s="1"/>
      <c r="AC2688" s="1"/>
      <c r="AD2688" s="1"/>
      <c r="AE2688" s="1"/>
      <c r="AF2688" s="1"/>
      <c r="AG2688" s="1"/>
      <c r="AH2688" s="1"/>
      <c r="AI2688" s="1"/>
      <c r="AJ2688" s="1"/>
      <c r="AK2688" s="1"/>
      <c r="AL2688" s="1"/>
      <c r="AM2688" s="1"/>
      <c r="AN2688" s="1"/>
      <c r="AO2688" s="1"/>
      <c r="AP2688" s="1"/>
      <c r="AQ2688" s="1"/>
      <c r="AR2688" s="1"/>
      <c r="AS2688" s="1"/>
      <c r="AT2688" s="1"/>
      <c r="AU2688" s="1"/>
      <c r="AV2688" s="1"/>
      <c r="AW2688" s="1"/>
      <c r="AX2688" s="1"/>
      <c r="AY2688" s="1"/>
      <c r="AZ2688" s="1"/>
      <c r="BA2688" s="1"/>
      <c r="BB2688" s="1"/>
    </row>
    <row r="2689" ht="204.75" customHeight="1">
      <c r="A2689" s="1">
        <v>3996.0</v>
      </c>
      <c r="B2689" s="2" t="s">
        <v>8251</v>
      </c>
      <c r="C2689" s="2">
        <f>IFERROR(__xludf.DUMMYFUNCTION("split(B2689,""_"")"),1201.0)</f>
        <v>1201</v>
      </c>
      <c r="D2689" s="2" t="str">
        <f>IFERROR(__xludf.DUMMYFUNCTION("""COMPUTED_VALUE"""),"EX")</f>
        <v>EX</v>
      </c>
      <c r="E2689" s="2" t="str">
        <f>IFERROR(__xludf.DUMMYFUNCTION("""COMPUTED_VALUE"""),"木21")</f>
        <v>木21</v>
      </c>
      <c r="F2689" s="2" t="s">
        <v>8252</v>
      </c>
      <c r="G2689" s="2" t="s">
        <v>8256</v>
      </c>
      <c r="H2689" s="1">
        <v>2.0</v>
      </c>
      <c r="I2689" s="1" t="s">
        <v>2872</v>
      </c>
      <c r="J2689" s="1" t="s">
        <v>11</v>
      </c>
      <c r="K2689" s="2" t="s">
        <v>8257</v>
      </c>
      <c r="L2689" s="11" t="s">
        <v>8258</v>
      </c>
      <c r="M2689" s="2" t="str">
        <f>IFERROR(__xludf.DUMMYFUNCTION("split(split(K2689,""岡田将生、"",false),""公式LINE"",false)"),"嵐の夜、飛び込み出産があった。男の子が生まれ、母親は命を落とした。偶然の事故か?仕組まれた事件か?皮肉な偶然と思われた出来事が、徐々に恐ろしい実態を現わす…")</f>
        <v>嵐の夜、飛び込み出産があった。男の子が生まれ、母親は命を落とした。偶然の事故か?仕組まれた事件か?皮肉な偶然と思われた出来事が、徐々に恐ろしい実態を現わす…</v>
      </c>
      <c r="N2689" s="2"/>
      <c r="O2689" s="2"/>
      <c r="P2689" s="1"/>
      <c r="Q2689" s="1"/>
      <c r="R2689" s="1"/>
      <c r="S2689" s="1"/>
      <c r="T2689" s="1"/>
      <c r="U2689" s="1"/>
      <c r="V2689" s="1"/>
      <c r="W2689" s="1"/>
      <c r="X2689" s="1"/>
      <c r="Y2689" s="1"/>
      <c r="Z2689" s="1"/>
      <c r="AA2689" s="1"/>
      <c r="AB2689" s="1"/>
      <c r="AC2689" s="1"/>
      <c r="AD2689" s="1"/>
      <c r="AE2689" s="1"/>
      <c r="AF2689" s="1"/>
      <c r="AG2689" s="1"/>
      <c r="AH2689" s="1"/>
      <c r="AI2689" s="1"/>
      <c r="AJ2689" s="1"/>
      <c r="AK2689" s="1"/>
      <c r="AL2689" s="1"/>
      <c r="AM2689" s="1"/>
      <c r="AN2689" s="1"/>
      <c r="AO2689" s="1"/>
      <c r="AP2689" s="1"/>
      <c r="AQ2689" s="1"/>
      <c r="AR2689" s="1"/>
      <c r="AS2689" s="1"/>
      <c r="AT2689" s="1"/>
      <c r="AU2689" s="1"/>
      <c r="AV2689" s="1"/>
      <c r="AW2689" s="1"/>
      <c r="AX2689" s="1"/>
      <c r="AY2689" s="1"/>
      <c r="AZ2689" s="1"/>
      <c r="BA2689" s="1"/>
      <c r="BB2689" s="1"/>
    </row>
    <row r="2690" ht="204.75" customHeight="1">
      <c r="A2690" s="1">
        <v>3997.0</v>
      </c>
      <c r="B2690" s="2" t="s">
        <v>8251</v>
      </c>
      <c r="C2690" s="2">
        <f>IFERROR(__xludf.DUMMYFUNCTION("split(B2690,""_"")"),1201.0)</f>
        <v>1201</v>
      </c>
      <c r="D2690" s="2" t="str">
        <f>IFERROR(__xludf.DUMMYFUNCTION("""COMPUTED_VALUE"""),"EX")</f>
        <v>EX</v>
      </c>
      <c r="E2690" s="2" t="str">
        <f>IFERROR(__xludf.DUMMYFUNCTION("""COMPUTED_VALUE"""),"木21")</f>
        <v>木21</v>
      </c>
      <c r="F2690" s="2" t="s">
        <v>8252</v>
      </c>
      <c r="G2690" s="2" t="s">
        <v>8259</v>
      </c>
      <c r="H2690" s="1">
        <v>3.0</v>
      </c>
      <c r="I2690" s="1" t="s">
        <v>2876</v>
      </c>
      <c r="J2690" s="1" t="s">
        <v>11</v>
      </c>
      <c r="K2690" s="2" t="s">
        <v>8260</v>
      </c>
      <c r="L2690" s="11" t="s">
        <v>8258</v>
      </c>
      <c r="M2690" s="2" t="str">
        <f>IFERROR(__xludf.DUMMYFUNCTION("split(split(K2690,""岡田将生、"",false),""公式LINE"",false)"),"嵐の夜、飛び込み出産があった。男の子が生まれ、母親は命を落とした。偶然の事故か?仕組まれた事件か?皮肉な偶然と思われた出来事が、徐々に恐ろしい実態を現わす…")</f>
        <v>嵐の夜、飛び込み出産があった。男の子が生まれ、母親は命を落とした。偶然の事故か?仕組まれた事件か?皮肉な偶然と思われた出来事が、徐々に恐ろしい実態を現わす…</v>
      </c>
      <c r="N2690" s="2"/>
      <c r="O2690" s="2"/>
      <c r="P2690" s="1"/>
      <c r="Q2690" s="1"/>
      <c r="R2690" s="1"/>
      <c r="S2690" s="1"/>
      <c r="T2690" s="1"/>
      <c r="U2690" s="1"/>
      <c r="V2690" s="1"/>
      <c r="W2690" s="1"/>
      <c r="X2690" s="1"/>
      <c r="Y2690" s="1"/>
      <c r="Z2690" s="1"/>
      <c r="AA2690" s="1"/>
      <c r="AB2690" s="1"/>
      <c r="AC2690" s="1"/>
      <c r="AD2690" s="1"/>
      <c r="AE2690" s="1"/>
      <c r="AF2690" s="1"/>
      <c r="AG2690" s="1"/>
      <c r="AH2690" s="1"/>
      <c r="AI2690" s="1"/>
      <c r="AJ2690" s="1"/>
      <c r="AK2690" s="1"/>
      <c r="AL2690" s="1"/>
      <c r="AM2690" s="1"/>
      <c r="AN2690" s="1"/>
      <c r="AO2690" s="1"/>
      <c r="AP2690" s="1"/>
      <c r="AQ2690" s="1"/>
      <c r="AR2690" s="1"/>
      <c r="AS2690" s="1"/>
      <c r="AT2690" s="1"/>
      <c r="AU2690" s="1"/>
      <c r="AV2690" s="1"/>
      <c r="AW2690" s="1"/>
      <c r="AX2690" s="1"/>
      <c r="AY2690" s="1"/>
      <c r="AZ2690" s="1"/>
      <c r="BA2690" s="1"/>
      <c r="BB2690" s="1"/>
    </row>
    <row r="2691" ht="204.75" customHeight="1">
      <c r="A2691" s="1">
        <v>3998.0</v>
      </c>
      <c r="B2691" s="2" t="s">
        <v>8251</v>
      </c>
      <c r="C2691" s="2">
        <f>IFERROR(__xludf.DUMMYFUNCTION("split(B2691,""_"")"),1201.0)</f>
        <v>1201</v>
      </c>
      <c r="D2691" s="2" t="str">
        <f>IFERROR(__xludf.DUMMYFUNCTION("""COMPUTED_VALUE"""),"EX")</f>
        <v>EX</v>
      </c>
      <c r="E2691" s="2" t="str">
        <f>IFERROR(__xludf.DUMMYFUNCTION("""COMPUTED_VALUE"""),"木21")</f>
        <v>木21</v>
      </c>
      <c r="F2691" s="2" t="s">
        <v>8252</v>
      </c>
      <c r="G2691" s="2" t="s">
        <v>8261</v>
      </c>
      <c r="H2691" s="1">
        <v>4.0</v>
      </c>
      <c r="I2691" s="1" t="s">
        <v>2880</v>
      </c>
      <c r="J2691" s="1" t="s">
        <v>11</v>
      </c>
      <c r="K2691" s="2" t="s">
        <v>8262</v>
      </c>
      <c r="L2691" s="11" t="s">
        <v>8263</v>
      </c>
      <c r="M2691" s="2" t="str">
        <f>IFERROR(__xludf.DUMMYFUNCTION("split(split(K2691,""岡田将生、"",false),""公式LINE"",false)"),"嵐の夜、飛び込み出産があった。男の子が生まれ、母親は命を落とした。偶然の事故か?仕組まれた事件か?皮肉な偶然と思われた出来事が、徐々に恐ろしい実態を現わす…“聖職者”が自らの欲のため少しずつ道を踏み外していく!  ー道を誤ったのは誰なのか?")</f>
        <v>嵐の夜、飛び込み出産があった。男の子が生まれ、母親は命を落とした。偶然の事故か?仕組まれた事件か?皮肉な偶然と思われた出来事が、徐々に恐ろしい実態を現わす…“聖職者”が自らの欲のため少しずつ道を踏み外していく!  ー道を誤ったのは誰なのか?</v>
      </c>
      <c r="N2691" s="2"/>
      <c r="O2691" s="2"/>
      <c r="P2691" s="1"/>
      <c r="Q2691" s="1"/>
      <c r="R2691" s="1"/>
      <c r="S2691" s="1"/>
      <c r="T2691" s="1"/>
      <c r="U2691" s="1"/>
      <c r="V2691" s="1"/>
      <c r="W2691" s="1"/>
      <c r="X2691" s="1"/>
      <c r="Y2691" s="1"/>
      <c r="Z2691" s="1"/>
      <c r="AA2691" s="1"/>
      <c r="AB2691" s="1"/>
      <c r="AC2691" s="1"/>
      <c r="AD2691" s="1"/>
      <c r="AE2691" s="1"/>
      <c r="AF2691" s="1"/>
      <c r="AG2691" s="1"/>
      <c r="AH2691" s="1"/>
      <c r="AI2691" s="1"/>
      <c r="AJ2691" s="1"/>
      <c r="AK2691" s="1"/>
      <c r="AL2691" s="1"/>
      <c r="AM2691" s="1"/>
      <c r="AN2691" s="1"/>
      <c r="AO2691" s="1"/>
      <c r="AP2691" s="1"/>
      <c r="AQ2691" s="1"/>
      <c r="AR2691" s="1"/>
      <c r="AS2691" s="1"/>
      <c r="AT2691" s="1"/>
      <c r="AU2691" s="1"/>
      <c r="AV2691" s="1"/>
      <c r="AW2691" s="1"/>
      <c r="AX2691" s="1"/>
      <c r="AY2691" s="1"/>
      <c r="AZ2691" s="1"/>
      <c r="BA2691" s="1"/>
      <c r="BB2691" s="1"/>
    </row>
    <row r="2692" ht="204.75" customHeight="1">
      <c r="A2692" s="1">
        <v>3999.0</v>
      </c>
      <c r="B2692" s="2" t="s">
        <v>8251</v>
      </c>
      <c r="C2692" s="2">
        <f>IFERROR(__xludf.DUMMYFUNCTION("split(B2692,""_"")"),1201.0)</f>
        <v>1201</v>
      </c>
      <c r="D2692" s="2" t="str">
        <f>IFERROR(__xludf.DUMMYFUNCTION("""COMPUTED_VALUE"""),"EX")</f>
        <v>EX</v>
      </c>
      <c r="E2692" s="2" t="str">
        <f>IFERROR(__xludf.DUMMYFUNCTION("""COMPUTED_VALUE"""),"木21")</f>
        <v>木21</v>
      </c>
      <c r="F2692" s="2" t="s">
        <v>8252</v>
      </c>
      <c r="G2692" s="2" t="s">
        <v>8264</v>
      </c>
      <c r="H2692" s="1">
        <v>5.0</v>
      </c>
      <c r="I2692" s="1" t="s">
        <v>2884</v>
      </c>
      <c r="J2692" s="1" t="s">
        <v>11</v>
      </c>
      <c r="K2692" s="2" t="s">
        <v>8265</v>
      </c>
      <c r="L2692" s="11" t="s">
        <v>8266</v>
      </c>
      <c r="M2692" s="2" t="str">
        <f>IFERROR(__xludf.DUMMYFUNCTION("split(split(K2692,""岡田将生、"",false),""公式LINE"",false)"),"何も知らない健吾は、妊婦を死なせてしまい、父親も誰なのかわからない赤ん坊を残してしまったことで、激しい自責の念にかられる。  「なぜ妊婦は亡くなってしまったのか」  「この赤ん坊は誰の子なのか」  健吾はその真実を突き止めるため、周囲の静止を聞かず、ひとりで調べ始める。そこで健吾を待っていた衝撃の事実とは?")</f>
        <v>何も知らない健吾は、妊婦を死なせてしまい、父親も誰なのかわからない赤ん坊を残してしまったことで、激しい自責の念にかられる。  「なぜ妊婦は亡くなってしまったのか」  「この赤ん坊は誰の子なのか」  健吾はその真実を突き止めるため、周囲の静止を聞かず、ひとりで調べ始める。そこで健吾を待っていた衝撃の事実とは?</v>
      </c>
      <c r="N2692" s="2"/>
      <c r="O2692" s="2"/>
      <c r="P2692" s="1"/>
      <c r="Q2692" s="1"/>
      <c r="R2692" s="1"/>
      <c r="S2692" s="1"/>
      <c r="T2692" s="1"/>
      <c r="U2692" s="1"/>
      <c r="V2692" s="1"/>
      <c r="W2692" s="1"/>
      <c r="X2692" s="1"/>
      <c r="Y2692" s="1"/>
      <c r="Z2692" s="1"/>
      <c r="AA2692" s="1"/>
      <c r="AB2692" s="1"/>
      <c r="AC2692" s="1"/>
      <c r="AD2692" s="1"/>
      <c r="AE2692" s="1"/>
      <c r="AF2692" s="1"/>
      <c r="AG2692" s="1"/>
      <c r="AH2692" s="1"/>
      <c r="AI2692" s="1"/>
      <c r="AJ2692" s="1"/>
      <c r="AK2692" s="1"/>
      <c r="AL2692" s="1"/>
      <c r="AM2692" s="1"/>
      <c r="AN2692" s="1"/>
      <c r="AO2692" s="1"/>
      <c r="AP2692" s="1"/>
      <c r="AQ2692" s="1"/>
      <c r="AR2692" s="1"/>
      <c r="AS2692" s="1"/>
      <c r="AT2692" s="1"/>
      <c r="AU2692" s="1"/>
      <c r="AV2692" s="1"/>
      <c r="AW2692" s="1"/>
      <c r="AX2692" s="1"/>
      <c r="AY2692" s="1"/>
      <c r="AZ2692" s="1"/>
      <c r="BA2692" s="1"/>
      <c r="BB2692" s="1"/>
    </row>
    <row r="2693" ht="204.75" customHeight="1">
      <c r="A2693" s="1">
        <v>4000.0</v>
      </c>
      <c r="B2693" s="2" t="s">
        <v>8251</v>
      </c>
      <c r="C2693" s="2">
        <f>IFERROR(__xludf.DUMMYFUNCTION("split(B2693,""_"")"),1201.0)</f>
        <v>1201</v>
      </c>
      <c r="D2693" s="2" t="str">
        <f>IFERROR(__xludf.DUMMYFUNCTION("""COMPUTED_VALUE"""),"EX")</f>
        <v>EX</v>
      </c>
      <c r="E2693" s="2" t="str">
        <f>IFERROR(__xludf.DUMMYFUNCTION("""COMPUTED_VALUE"""),"木21")</f>
        <v>木21</v>
      </c>
      <c r="F2693" s="2" t="s">
        <v>8252</v>
      </c>
      <c r="G2693" s="2" t="s">
        <v>8267</v>
      </c>
      <c r="H2693" s="1">
        <v>6.0</v>
      </c>
      <c r="I2693" s="1" t="s">
        <v>2888</v>
      </c>
      <c r="J2693" s="1" t="s">
        <v>11</v>
      </c>
      <c r="K2693" s="2" t="s">
        <v>8268</v>
      </c>
      <c r="L2693" s="11" t="s">
        <v>8269</v>
      </c>
      <c r="M2693" s="2" t="str">
        <f>IFERROR(__xludf.DUMMYFUNCTION("split(split(K2693,""岡田将生、"",false),""公式LINE"",false)"),"急に羽振りがよくなった経営状況や、医師たちが次々病院を去っていく様子を不審に思う中、なぜか健吾も慶林大学病院に戻るよう指示をされる!落ち込む出来事が重なった健吾は慶林大学病院の塩野教授の部屋である衝撃の事実を目にする!  一方、日向家では子どもを巡り嫁姑の対立が深まりはじめ…")</f>
        <v>急に羽振りがよくなった経営状況や、医師たちが次々病院を去っていく様子を不審に思う中、なぜか健吾も慶林大学病院に戻るよう指示をされる!落ち込む出来事が重なった健吾は慶林大学病院の塩野教授の部屋である衝撃の事実を目にする!  一方、日向家では子どもを巡り嫁姑の対立が深まりはじめ…</v>
      </c>
      <c r="N2693" s="2"/>
      <c r="O2693" s="2"/>
      <c r="P2693" s="1"/>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c r="AN2693" s="1"/>
      <c r="AO2693" s="1"/>
      <c r="AP2693" s="1"/>
      <c r="AQ2693" s="1"/>
      <c r="AR2693" s="1"/>
      <c r="AS2693" s="1"/>
      <c r="AT2693" s="1"/>
      <c r="AU2693" s="1"/>
      <c r="AV2693" s="1"/>
      <c r="AW2693" s="1"/>
      <c r="AX2693" s="1"/>
      <c r="AY2693" s="1"/>
      <c r="AZ2693" s="1"/>
      <c r="BA2693" s="1"/>
      <c r="BB2693" s="1"/>
    </row>
    <row r="2694" ht="204.75" customHeight="1">
      <c r="A2694" s="1">
        <v>4001.0</v>
      </c>
      <c r="B2694" s="2" t="s">
        <v>8251</v>
      </c>
      <c r="C2694" s="2">
        <f>IFERROR(__xludf.DUMMYFUNCTION("split(B2694,""_"")"),1201.0)</f>
        <v>1201</v>
      </c>
      <c r="D2694" s="2" t="str">
        <f>IFERROR(__xludf.DUMMYFUNCTION("""COMPUTED_VALUE"""),"EX")</f>
        <v>EX</v>
      </c>
      <c r="E2694" s="2" t="str">
        <f>IFERROR(__xludf.DUMMYFUNCTION("""COMPUTED_VALUE"""),"木21")</f>
        <v>木21</v>
      </c>
      <c r="F2694" s="2" t="s">
        <v>8252</v>
      </c>
      <c r="G2694" s="2" t="s">
        <v>8270</v>
      </c>
      <c r="H2694" s="1">
        <v>7.0</v>
      </c>
      <c r="I2694" s="1" t="s">
        <v>2892</v>
      </c>
      <c r="J2694" s="1" t="s">
        <v>11</v>
      </c>
      <c r="K2694" s="2" t="s">
        <v>8271</v>
      </c>
      <c r="L2694" s="11" t="s">
        <v>8272</v>
      </c>
      <c r="M2694" s="2" t="str">
        <f>IFERROR(__xludf.DUMMYFUNCTION("split(split(K2694,""岡田将生、"",false),""公式LINE"",false)"),"「三恵は輸血が間に合わなくて死んだんでしょう?」という篤志の言葉を聞いた健吾は、大久保記念病院に戻り、手術の際に本当に正しい血液が輸血されていたかを春日井に確認。だが春日井は、健吾の指摘を否定!さらに「三恵さんが亡くなったのはあなたが未熟だったから」と…。道を誤ったのは誰なのか!?")</f>
        <v>「三恵は輸血が間に合わなくて死んだんでしょう?」という篤志の言葉を聞いた健吾は、大久保記念病院に戻り、手術の際に本当に正しい血液が輸血されていたかを春日井に確認。だが春日井は、健吾の指摘を否定!さらに「三恵さんが亡くなったのはあなたが未熟だったから」と…。道を誤ったのは誰なのか!?</v>
      </c>
      <c r="N2694" s="2"/>
      <c r="O2694" s="2"/>
      <c r="P2694" s="1"/>
      <c r="Q2694" s="1"/>
      <c r="R2694" s="1"/>
      <c r="S2694" s="1"/>
      <c r="T2694" s="1"/>
      <c r="U2694" s="1"/>
      <c r="V2694" s="1"/>
      <c r="W2694" s="1"/>
      <c r="X2694" s="1"/>
      <c r="Y2694" s="1"/>
      <c r="Z2694" s="1"/>
      <c r="AA2694" s="1"/>
      <c r="AB2694" s="1"/>
      <c r="AC2694" s="1"/>
      <c r="AD2694" s="1"/>
      <c r="AE2694" s="1"/>
      <c r="AF2694" s="1"/>
      <c r="AG2694" s="1"/>
      <c r="AH2694" s="1"/>
      <c r="AI2694" s="1"/>
      <c r="AJ2694" s="1"/>
      <c r="AK2694" s="1"/>
      <c r="AL2694" s="1"/>
      <c r="AM2694" s="1"/>
      <c r="AN2694" s="1"/>
      <c r="AO2694" s="1"/>
      <c r="AP2694" s="1"/>
      <c r="AQ2694" s="1"/>
      <c r="AR2694" s="1"/>
      <c r="AS2694" s="1"/>
      <c r="AT2694" s="1"/>
      <c r="AU2694" s="1"/>
      <c r="AV2694" s="1"/>
      <c r="AW2694" s="1"/>
      <c r="AX2694" s="1"/>
      <c r="AY2694" s="1"/>
      <c r="AZ2694" s="1"/>
      <c r="BA2694" s="1"/>
      <c r="BB2694" s="1"/>
    </row>
    <row r="2695" ht="204.75" customHeight="1">
      <c r="A2695" s="1">
        <v>4002.0</v>
      </c>
      <c r="B2695" s="2" t="s">
        <v>8251</v>
      </c>
      <c r="C2695" s="2">
        <f>IFERROR(__xludf.DUMMYFUNCTION("split(B2695,""_"")"),1201.0)</f>
        <v>1201</v>
      </c>
      <c r="D2695" s="2" t="str">
        <f>IFERROR(__xludf.DUMMYFUNCTION("""COMPUTED_VALUE"""),"EX")</f>
        <v>EX</v>
      </c>
      <c r="E2695" s="2" t="str">
        <f>IFERROR(__xludf.DUMMYFUNCTION("""COMPUTED_VALUE"""),"木21")</f>
        <v>木21</v>
      </c>
      <c r="F2695" s="2" t="s">
        <v>8252</v>
      </c>
      <c r="G2695" s="2" t="s">
        <v>8273</v>
      </c>
      <c r="H2695" s="1">
        <v>8.0</v>
      </c>
      <c r="J2695" s="1" t="s">
        <v>11</v>
      </c>
      <c r="K2695" s="2" t="s">
        <v>8274</v>
      </c>
      <c r="L2695" s="11" t="s">
        <v>8275</v>
      </c>
      <c r="M2695" s="2" t="str">
        <f>IFERROR(__xludf.DUMMYFUNCTION("split(split(K2695,""岡田将生、"",false),""公式LINE"",false)"),"“聖職者”が自らの欲のため少しずつ道を踏み外していく!  様々な人間の思惑に翻弄されながらも、その実態を暴こうとする若き外科医。  -道を誤ったのは誰なのか?  原作とは異なる結末が用意された最終話。果たして本当の『怪物』とは誰だったのか?そして健吾の必死の思いは春日井たちに通じるのか?")</f>
        <v>“聖職者”が自らの欲のため少しずつ道を踏み外していく!  様々な人間の思惑に翻弄されながらも、その実態を暴こうとする若き外科医。  -道を誤ったのは誰なのか?  原作とは異なる結末が用意された最終話。果たして本当の『怪物』とは誰だったのか?そして健吾の必死の思いは春日井たちに通じるのか?</v>
      </c>
      <c r="N2695" s="2"/>
      <c r="O2695" s="2"/>
      <c r="P2695" s="1"/>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c r="AN2695" s="1"/>
      <c r="AO2695" s="1"/>
      <c r="AP2695" s="1"/>
      <c r="AQ2695" s="1"/>
      <c r="AR2695" s="1"/>
      <c r="AS2695" s="1"/>
      <c r="AT2695" s="1"/>
      <c r="AU2695" s="1"/>
      <c r="AV2695" s="1"/>
      <c r="AW2695" s="1"/>
      <c r="AX2695" s="1"/>
      <c r="AY2695" s="1"/>
      <c r="AZ2695" s="1"/>
      <c r="BA2695" s="1"/>
      <c r="BB2695" s="1"/>
    </row>
    <row r="2696" ht="204.75" customHeight="1">
      <c r="A2696" s="1">
        <v>4034.0</v>
      </c>
      <c r="B2696" s="2" t="s">
        <v>8276</v>
      </c>
      <c r="C2696" s="2">
        <f>IFERROR(__xludf.DUMMYFUNCTION("split(B2696,""_"")"),1201.0)</f>
        <v>1201</v>
      </c>
      <c r="D2696" s="2" t="str">
        <f>IFERROR(__xludf.DUMMYFUNCTION("""COMPUTED_VALUE"""),"EX")</f>
        <v>EX</v>
      </c>
      <c r="E2696" s="2" t="str">
        <f>IFERROR(__xludf.DUMMYFUNCTION("""COMPUTED_VALUE"""),"金23")</f>
        <v>金23</v>
      </c>
      <c r="F2696" s="2" t="s">
        <v>8277</v>
      </c>
      <c r="G2696" s="2" t="s">
        <v>8278</v>
      </c>
      <c r="H2696" s="1">
        <v>1.0</v>
      </c>
      <c r="I2696" s="1" t="s">
        <v>2868</v>
      </c>
      <c r="J2696" s="1" t="s">
        <v>1435</v>
      </c>
      <c r="K2696" s="2" t="s">
        <v>8279</v>
      </c>
      <c r="L2696" s="11" t="s">
        <v>8280</v>
      </c>
      <c r="M2696" s="2" t="str">
        <f>IFERROR(__xludf.DUMMYFUNCTION("split(split(K2696,""…"",false),""公式LINE"",false)"),"人生のやり直しを願う35歳の警察官・小暮鉄平(松岡昌宏)。ある日突然、22年前にタイムスリップ!将来のことを適当に考えている13歳の自分=テッペイ(田中偉登)に最高の人生を歩ませるため“再教育”することを決意するも")</f>
        <v>人生のやり直しを願う35歳の警察官・小暮鉄平(松岡昌宏)。ある日突然、22年前にタイムスリップ!将来のことを適当に考えている13歳の自分=テッペイ(田中偉登)に最高の人生を歩ませるため“再教育”することを決意するも</v>
      </c>
      <c r="N2696" s="2"/>
      <c r="O2696" s="2"/>
      <c r="P2696" s="1"/>
      <c r="Q2696" s="1"/>
      <c r="R2696" s="1"/>
      <c r="S2696" s="1"/>
      <c r="T2696" s="1"/>
      <c r="U2696" s="1"/>
      <c r="V2696" s="1"/>
      <c r="W2696" s="1"/>
      <c r="X2696" s="1"/>
      <c r="Y2696" s="1"/>
      <c r="Z2696" s="1"/>
      <c r="AA2696" s="1"/>
      <c r="AB2696" s="1"/>
      <c r="AC2696" s="1"/>
      <c r="AD2696" s="1"/>
      <c r="AE2696" s="1"/>
      <c r="AF2696" s="1"/>
      <c r="AG2696" s="1"/>
      <c r="AH2696" s="1"/>
      <c r="AI2696" s="1"/>
      <c r="AJ2696" s="1"/>
      <c r="AK2696" s="1"/>
      <c r="AL2696" s="1"/>
      <c r="AM2696" s="1"/>
      <c r="AN2696" s="1"/>
      <c r="AO2696" s="1"/>
      <c r="AP2696" s="1"/>
      <c r="AQ2696" s="1"/>
      <c r="AR2696" s="1"/>
      <c r="AS2696" s="1"/>
      <c r="AT2696" s="1"/>
      <c r="AU2696" s="1"/>
      <c r="AV2696" s="1"/>
      <c r="AW2696" s="1"/>
      <c r="AX2696" s="1"/>
      <c r="AY2696" s="1"/>
      <c r="AZ2696" s="1"/>
      <c r="BA2696" s="1"/>
      <c r="BB2696" s="1"/>
    </row>
    <row r="2697" ht="204.75" customHeight="1">
      <c r="A2697" s="1">
        <v>4035.0</v>
      </c>
      <c r="B2697" s="2" t="s">
        <v>8276</v>
      </c>
      <c r="C2697" s="2">
        <f>IFERROR(__xludf.DUMMYFUNCTION("split(B2697,""_"")"),1201.0)</f>
        <v>1201</v>
      </c>
      <c r="D2697" s="2" t="str">
        <f>IFERROR(__xludf.DUMMYFUNCTION("""COMPUTED_VALUE"""),"EX")</f>
        <v>EX</v>
      </c>
      <c r="E2697" s="2" t="str">
        <f>IFERROR(__xludf.DUMMYFUNCTION("""COMPUTED_VALUE"""),"金23")</f>
        <v>金23</v>
      </c>
      <c r="F2697" s="2" t="s">
        <v>8277</v>
      </c>
      <c r="G2697" s="2" t="s">
        <v>8281</v>
      </c>
      <c r="H2697" s="1">
        <v>2.0</v>
      </c>
      <c r="I2697" s="1" t="s">
        <v>2872</v>
      </c>
      <c r="J2697" s="1" t="s">
        <v>1435</v>
      </c>
      <c r="K2697" s="4" t="s">
        <v>8282</v>
      </c>
      <c r="L2697" s="11" t="s">
        <v>8283</v>
      </c>
      <c r="M2697" s="2" t="str">
        <f>IFERROR(__xludf.DUMMYFUNCTION("split(split(K2697,""松岡昌宏(TOKIO)"",false),""公式LINE"",false)"),"13歳のテッペイが通う塾の講師・翔子(桐谷美玲)が妙な手紙に悩まされ始める。でも鉄平の前では強がる翔子。一方、鉄平につきまとってくる高野(横山裕)。何故か鉄平は高野とともに下町の工場に働き始めることとなり、1990年でのハローワークが始める!!")</f>
        <v>13歳のテッペイが通う塾の講師・翔子(桐谷美玲)が妙な手紙に悩まされ始める。でも鉄平の前では強がる翔子。一方、鉄平につきまとってくる高野(横山裕)。何故か鉄平は高野とともに下町の工場に働き始めることとなり、1990年でのハローワークが始める!!</v>
      </c>
      <c r="N2697" s="2"/>
      <c r="O2697" s="2"/>
      <c r="P2697" s="1"/>
      <c r="Q2697" s="1"/>
      <c r="R2697" s="1"/>
      <c r="S2697" s="1"/>
      <c r="T2697" s="1"/>
      <c r="U2697" s="1"/>
      <c r="V2697" s="1"/>
      <c r="W2697" s="1"/>
      <c r="X2697" s="1"/>
      <c r="Y2697" s="1"/>
      <c r="Z2697" s="1"/>
      <c r="AA2697" s="1"/>
      <c r="AB2697" s="1"/>
      <c r="AC2697" s="1"/>
      <c r="AD2697" s="1"/>
      <c r="AE2697" s="1"/>
      <c r="AF2697" s="1"/>
      <c r="AG2697" s="1"/>
      <c r="AH2697" s="1"/>
      <c r="AI2697" s="1"/>
      <c r="AJ2697" s="1"/>
      <c r="AK2697" s="1"/>
      <c r="AL2697" s="1"/>
      <c r="AM2697" s="1"/>
      <c r="AN2697" s="1"/>
      <c r="AO2697" s="1"/>
      <c r="AP2697" s="1"/>
      <c r="AQ2697" s="1"/>
      <c r="AR2697" s="1"/>
      <c r="AS2697" s="1"/>
      <c r="AT2697" s="1"/>
      <c r="AU2697" s="1"/>
      <c r="AV2697" s="1"/>
      <c r="AW2697" s="1"/>
      <c r="AX2697" s="1"/>
      <c r="AY2697" s="1"/>
      <c r="AZ2697" s="1"/>
      <c r="BA2697" s="1"/>
      <c r="BB2697" s="1"/>
    </row>
    <row r="2698" ht="204.75" customHeight="1">
      <c r="A2698" s="1">
        <v>4036.0</v>
      </c>
      <c r="B2698" s="2" t="s">
        <v>8276</v>
      </c>
      <c r="C2698" s="2">
        <f>IFERROR(__xludf.DUMMYFUNCTION("split(B2698,""_"")"),1201.0)</f>
        <v>1201</v>
      </c>
      <c r="D2698" s="2" t="str">
        <f>IFERROR(__xludf.DUMMYFUNCTION("""COMPUTED_VALUE"""),"EX")</f>
        <v>EX</v>
      </c>
      <c r="E2698" s="2" t="str">
        <f>IFERROR(__xludf.DUMMYFUNCTION("""COMPUTED_VALUE"""),"金23")</f>
        <v>金23</v>
      </c>
      <c r="F2698" s="2" t="s">
        <v>8277</v>
      </c>
      <c r="G2698" s="2" t="s">
        <v>8284</v>
      </c>
      <c r="H2698" s="1">
        <v>3.0</v>
      </c>
      <c r="I2698" s="1" t="s">
        <v>2876</v>
      </c>
      <c r="J2698" s="1" t="s">
        <v>1435</v>
      </c>
      <c r="K2698" s="2" t="s">
        <v>8285</v>
      </c>
      <c r="L2698" s="11" t="s">
        <v>8286</v>
      </c>
      <c r="M2698" s="2" t="str">
        <f>IFERROR(__xludf.DUMMYFUNCTION("split(split(K2698,""松岡昌宏(TOKIO)"",false),""公式LINE"",false)"),"1990年で高野(横山裕)と共に翔子(桐谷美玲)の家に居候することになった鉄平(松岡昌宏)。ひょんなことから鉄平と高野は看護師見習いとして病院に潜入することに!そこでベテラン看護師・若槻みのり(石田ひかり)と出会い、鉄平はみのりの働きぶりに尊敬の念を抱く。")</f>
        <v>1990年で高野(横山裕)と共に翔子(桐谷美玲)の家に居候することになった鉄平(松岡昌宏)。ひょんなことから鉄平と高野は看護師見習いとして病院に潜入することに!そこでベテラン看護師・若槻みのり(石田ひかり)と出会い、鉄平はみのりの働きぶりに尊敬の念を抱く。</v>
      </c>
      <c r="N2698" s="2"/>
      <c r="O2698" s="2"/>
      <c r="P2698" s="1"/>
      <c r="Q2698" s="1"/>
      <c r="R2698" s="1"/>
      <c r="S2698" s="1"/>
      <c r="T2698" s="1"/>
      <c r="U2698" s="1"/>
      <c r="V2698" s="1"/>
      <c r="W2698" s="1"/>
      <c r="X2698" s="1"/>
      <c r="Y2698" s="1"/>
      <c r="Z2698" s="1"/>
      <c r="AA2698" s="1"/>
      <c r="AB2698" s="1"/>
      <c r="AC2698" s="1"/>
      <c r="AD2698" s="1"/>
      <c r="AE2698" s="1"/>
      <c r="AF2698" s="1"/>
      <c r="AG2698" s="1"/>
      <c r="AH2698" s="1"/>
      <c r="AI2698" s="1"/>
      <c r="AJ2698" s="1"/>
      <c r="AK2698" s="1"/>
      <c r="AL2698" s="1"/>
      <c r="AM2698" s="1"/>
      <c r="AN2698" s="1"/>
      <c r="AO2698" s="1"/>
      <c r="AP2698" s="1"/>
      <c r="AQ2698" s="1"/>
      <c r="AR2698" s="1"/>
      <c r="AS2698" s="1"/>
      <c r="AT2698" s="1"/>
      <c r="AU2698" s="1"/>
      <c r="AV2698" s="1"/>
      <c r="AW2698" s="1"/>
      <c r="AX2698" s="1"/>
      <c r="AY2698" s="1"/>
      <c r="AZ2698" s="1"/>
      <c r="BA2698" s="1"/>
      <c r="BB2698" s="1"/>
    </row>
    <row r="2699" ht="204.75" customHeight="1">
      <c r="A2699" s="1">
        <v>4037.0</v>
      </c>
      <c r="B2699" s="2" t="s">
        <v>8276</v>
      </c>
      <c r="C2699" s="2">
        <f>IFERROR(__xludf.DUMMYFUNCTION("split(B2699,""_"")"),1201.0)</f>
        <v>1201</v>
      </c>
      <c r="D2699" s="2" t="str">
        <f>IFERROR(__xludf.DUMMYFUNCTION("""COMPUTED_VALUE"""),"EX")</f>
        <v>EX</v>
      </c>
      <c r="E2699" s="2" t="str">
        <f>IFERROR(__xludf.DUMMYFUNCTION("""COMPUTED_VALUE"""),"金23")</f>
        <v>金23</v>
      </c>
      <c r="F2699" s="2" t="s">
        <v>8277</v>
      </c>
      <c r="G2699" s="2" t="s">
        <v>8287</v>
      </c>
      <c r="H2699" s="1">
        <v>4.0</v>
      </c>
      <c r="I2699" s="1" t="s">
        <v>2880</v>
      </c>
      <c r="J2699" s="1" t="s">
        <v>1435</v>
      </c>
      <c r="K2699" s="2" t="s">
        <v>8288</v>
      </c>
      <c r="L2699" s="11" t="s">
        <v>8289</v>
      </c>
      <c r="M2699" s="2" t="str">
        <f>IFERROR(__xludf.DUMMYFUNCTION("split(split(K2699,""松岡昌宏(TOKIO)"",false),""公式LINE"",false)"),"テッペイ(田中偉登)は相変わらず能天気で、鉄平(松岡昌宏)が理想の人生に導こうとしても糠に釘状態。そんな中、テッペイの塾仲間・岡島正人(高杉真宙)に漫画家デビューの話が!正人は過酷な条件を提示されるもデビューのために頑張ることを決意するが…。")</f>
        <v>テッペイ(田中偉登)は相変わらず能天気で、鉄平(松岡昌宏)が理想の人生に導こうとしても糠に釘状態。そんな中、テッペイの塾仲間・岡島正人(高杉真宙)に漫画家デビューの話が!正人は過酷な条件を提示されるもデビューのために頑張ることを決意するが…。</v>
      </c>
      <c r="N2699" s="2"/>
      <c r="O2699" s="2"/>
      <c r="P2699" s="1"/>
      <c r="Q2699" s="1"/>
      <c r="R2699" s="1"/>
      <c r="S2699" s="1"/>
      <c r="T2699" s="1"/>
      <c r="U2699" s="1"/>
      <c r="V2699" s="1"/>
      <c r="W2699" s="1"/>
      <c r="X2699" s="1"/>
      <c r="Y2699" s="1"/>
      <c r="Z2699" s="1"/>
      <c r="AA2699" s="1"/>
      <c r="AB2699" s="1"/>
      <c r="AC2699" s="1"/>
      <c r="AD2699" s="1"/>
      <c r="AE2699" s="1"/>
      <c r="AF2699" s="1"/>
      <c r="AG2699" s="1"/>
      <c r="AH2699" s="1"/>
      <c r="AI2699" s="1"/>
      <c r="AJ2699" s="1"/>
      <c r="AK2699" s="1"/>
      <c r="AL2699" s="1"/>
      <c r="AM2699" s="1"/>
      <c r="AN2699" s="1"/>
      <c r="AO2699" s="1"/>
      <c r="AP2699" s="1"/>
      <c r="AQ2699" s="1"/>
      <c r="AR2699" s="1"/>
      <c r="AS2699" s="1"/>
      <c r="AT2699" s="1"/>
      <c r="AU2699" s="1"/>
      <c r="AV2699" s="1"/>
      <c r="AW2699" s="1"/>
      <c r="AX2699" s="1"/>
      <c r="AY2699" s="1"/>
      <c r="AZ2699" s="1"/>
      <c r="BA2699" s="1"/>
      <c r="BB2699" s="1"/>
    </row>
    <row r="2700" ht="204.75" customHeight="1">
      <c r="A2700" s="1">
        <v>4038.0</v>
      </c>
      <c r="B2700" s="2" t="s">
        <v>8276</v>
      </c>
      <c r="C2700" s="2">
        <f>IFERROR(__xludf.DUMMYFUNCTION("split(B2700,""_"")"),1201.0)</f>
        <v>1201</v>
      </c>
      <c r="D2700" s="2" t="str">
        <f>IFERROR(__xludf.DUMMYFUNCTION("""COMPUTED_VALUE"""),"EX")</f>
        <v>EX</v>
      </c>
      <c r="E2700" s="2" t="str">
        <f>IFERROR(__xludf.DUMMYFUNCTION("""COMPUTED_VALUE"""),"金23")</f>
        <v>金23</v>
      </c>
      <c r="F2700" s="2" t="s">
        <v>8277</v>
      </c>
      <c r="G2700" s="2" t="s">
        <v>8290</v>
      </c>
      <c r="H2700" s="1">
        <v>5.0</v>
      </c>
      <c r="I2700" s="1" t="s">
        <v>2884</v>
      </c>
      <c r="J2700" s="1" t="s">
        <v>1435</v>
      </c>
      <c r="K2700" s="2" t="s">
        <v>8291</v>
      </c>
      <c r="L2700" s="11" t="s">
        <v>8292</v>
      </c>
      <c r="M2700" s="2" t="str">
        <f>IFERROR(__xludf.DUMMYFUNCTION("split(split(K2700,""松岡昌宏(TOKIO)"",false),""公式LINE"",false)"),"バンドブーム到来!デビュー目前のバンドのボーカル・康介(木村了)を兄に持つ剛志(桑代貴明)は自身もバンドを組む。またもあっさりと感化されたテッペイ(田中偉登)はバンドに入りたいと大興奮!一方、鉄平はバンドの現場マネージャーを担当するよう命じられ…")</f>
        <v>バンドブーム到来!デビュー目前のバンドのボーカル・康介(木村了)を兄に持つ剛志(桑代貴明)は自身もバンドを組む。またもあっさりと感化されたテッペイ(田中偉登)はバンドに入りたいと大興奮!一方、鉄平はバンドの現場マネージャーを担当するよう命じられ…</v>
      </c>
      <c r="N2700" s="2"/>
      <c r="O2700" s="2"/>
      <c r="P2700" s="1"/>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c r="AN2700" s="1"/>
      <c r="AO2700" s="1"/>
      <c r="AP2700" s="1"/>
      <c r="AQ2700" s="1"/>
      <c r="AR2700" s="1"/>
      <c r="AS2700" s="1"/>
      <c r="AT2700" s="1"/>
      <c r="AU2700" s="1"/>
      <c r="AV2700" s="1"/>
      <c r="AW2700" s="1"/>
      <c r="AX2700" s="1"/>
      <c r="AY2700" s="1"/>
      <c r="AZ2700" s="1"/>
      <c r="BA2700" s="1"/>
      <c r="BB2700" s="1"/>
    </row>
    <row r="2701" ht="204.75" customHeight="1">
      <c r="A2701" s="1">
        <v>4039.0</v>
      </c>
      <c r="B2701" s="2" t="s">
        <v>8276</v>
      </c>
      <c r="C2701" s="2">
        <f>IFERROR(__xludf.DUMMYFUNCTION("split(B2701,""_"")"),1201.0)</f>
        <v>1201</v>
      </c>
      <c r="D2701" s="2" t="str">
        <f>IFERROR(__xludf.DUMMYFUNCTION("""COMPUTED_VALUE"""),"EX")</f>
        <v>EX</v>
      </c>
      <c r="E2701" s="2" t="str">
        <f>IFERROR(__xludf.DUMMYFUNCTION("""COMPUTED_VALUE"""),"金23")</f>
        <v>金23</v>
      </c>
      <c r="F2701" s="2" t="s">
        <v>8277</v>
      </c>
      <c r="G2701" s="2" t="s">
        <v>8293</v>
      </c>
      <c r="H2701" s="1">
        <v>6.0</v>
      </c>
      <c r="I2701" s="1" t="s">
        <v>2888</v>
      </c>
      <c r="J2701" s="1" t="s">
        <v>1435</v>
      </c>
      <c r="K2701" s="2" t="s">
        <v>8294</v>
      </c>
      <c r="L2701" s="11" t="s">
        <v>8295</v>
      </c>
      <c r="M2701" s="2" t="str">
        <f>IFERROR(__xludf.DUMMYFUNCTION("split(split(K2701,""松岡昌宏(TOKIO)"",false),""公式LINE"",false)"),"将来、いい男と結婚することを夢見る里奈(小野花梨)。だが、上昇志向が強い真帆(山本舞香)は目の敵にする。一方、鉄平(松岡昌宏)と高野(横山裕)はホストクラブで働くことに。客と仲良くなった高野はショッピングに出掛けるが、その様子を翔子(桐谷美玲)が目撃し…")</f>
        <v>将来、いい男と結婚することを夢見る里奈(小野花梨)。だが、上昇志向が強い真帆(山本舞香)は目の敵にする。一方、鉄平(松岡昌宏)と高野(横山裕)はホストクラブで働くことに。客と仲良くなった高野はショッピングに出掛けるが、その様子を翔子(桐谷美玲)が目撃し…</v>
      </c>
      <c r="N2701" s="2"/>
      <c r="O2701" s="2"/>
      <c r="P2701" s="1"/>
      <c r="Q2701" s="1"/>
      <c r="R2701" s="1"/>
      <c r="S2701" s="1"/>
      <c r="T2701" s="1"/>
      <c r="U2701" s="1"/>
      <c r="V2701" s="1"/>
      <c r="W2701" s="1"/>
      <c r="X2701" s="1"/>
      <c r="Y2701" s="1"/>
      <c r="Z2701" s="1"/>
      <c r="AA2701" s="1"/>
      <c r="AB2701" s="1"/>
      <c r="AC2701" s="1"/>
      <c r="AD2701" s="1"/>
      <c r="AE2701" s="1"/>
      <c r="AF2701" s="1"/>
      <c r="AG2701" s="1"/>
      <c r="AH2701" s="1"/>
      <c r="AI2701" s="1"/>
      <c r="AJ2701" s="1"/>
      <c r="AK2701" s="1"/>
      <c r="AL2701" s="1"/>
      <c r="AM2701" s="1"/>
      <c r="AN2701" s="1"/>
      <c r="AO2701" s="1"/>
      <c r="AP2701" s="1"/>
      <c r="AQ2701" s="1"/>
      <c r="AR2701" s="1"/>
      <c r="AS2701" s="1"/>
      <c r="AT2701" s="1"/>
      <c r="AU2701" s="1"/>
      <c r="AV2701" s="1"/>
      <c r="AW2701" s="1"/>
      <c r="AX2701" s="1"/>
      <c r="AY2701" s="1"/>
      <c r="AZ2701" s="1"/>
      <c r="BA2701" s="1"/>
      <c r="BB2701" s="1"/>
    </row>
    <row r="2702" ht="204.75" customHeight="1">
      <c r="A2702" s="1">
        <v>4040.0</v>
      </c>
      <c r="B2702" s="2" t="s">
        <v>8276</v>
      </c>
      <c r="C2702" s="2">
        <f>IFERROR(__xludf.DUMMYFUNCTION("split(B2702,""_"")"),1201.0)</f>
        <v>1201</v>
      </c>
      <c r="D2702" s="2" t="str">
        <f>IFERROR(__xludf.DUMMYFUNCTION("""COMPUTED_VALUE"""),"EX")</f>
        <v>EX</v>
      </c>
      <c r="E2702" s="2" t="str">
        <f>IFERROR(__xludf.DUMMYFUNCTION("""COMPUTED_VALUE"""),"金23")</f>
        <v>金23</v>
      </c>
      <c r="F2702" s="2" t="s">
        <v>8277</v>
      </c>
      <c r="G2702" s="2" t="s">
        <v>8296</v>
      </c>
      <c r="H2702" s="1">
        <v>7.0</v>
      </c>
      <c r="I2702" s="1" t="s">
        <v>2892</v>
      </c>
      <c r="J2702" s="1" t="s">
        <v>1435</v>
      </c>
      <c r="K2702" s="2" t="s">
        <v>8297</v>
      </c>
      <c r="L2702" s="11" t="s">
        <v>8298</v>
      </c>
      <c r="M2702" s="2" t="str">
        <f>IFERROR(__xludf.DUMMYFUNCTION("split(split(K2702,""松岡昌宏(TOKIO)"",false),""公式LINE"",false)"),"鉄平(松岡昌宏)にチャンスが舞い込んできた!念願の捜査一課に配属されるかもしれない!だがその矢先、1990年にタイムスリップ。今回も高野(横山裕)と人気の“キャンパスカレー”のコックに。無事に2012年に帰れると思ったが…。更に新たな事件が幕を開ける!")</f>
        <v>鉄平(松岡昌宏)にチャンスが舞い込んできた!念願の捜査一課に配属されるかもしれない!だがその矢先、1990年にタイムスリップ。今回も高野(横山裕)と人気の“キャンパスカレー”のコックに。無事に2012年に帰れると思ったが…。更に新たな事件が幕を開ける!</v>
      </c>
      <c r="N2702" s="2"/>
      <c r="O2702" s="2"/>
      <c r="P2702" s="1"/>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c r="AN2702" s="1"/>
      <c r="AO2702" s="1"/>
      <c r="AP2702" s="1"/>
      <c r="AQ2702" s="1"/>
      <c r="AR2702" s="1"/>
      <c r="AS2702" s="1"/>
      <c r="AT2702" s="1"/>
      <c r="AU2702" s="1"/>
      <c r="AV2702" s="1"/>
      <c r="AW2702" s="1"/>
      <c r="AX2702" s="1"/>
      <c r="AY2702" s="1"/>
      <c r="AZ2702" s="1"/>
      <c r="BA2702" s="1"/>
      <c r="BB2702" s="1"/>
    </row>
    <row r="2703" ht="204.75" customHeight="1">
      <c r="A2703" s="1">
        <v>4041.0</v>
      </c>
      <c r="B2703" s="2" t="s">
        <v>8276</v>
      </c>
      <c r="C2703" s="2">
        <f>IFERROR(__xludf.DUMMYFUNCTION("split(B2703,""_"")"),1201.0)</f>
        <v>1201</v>
      </c>
      <c r="D2703" s="2" t="str">
        <f>IFERROR(__xludf.DUMMYFUNCTION("""COMPUTED_VALUE"""),"EX")</f>
        <v>EX</v>
      </c>
      <c r="E2703" s="2" t="str">
        <f>IFERROR(__xludf.DUMMYFUNCTION("""COMPUTED_VALUE"""),"金23")</f>
        <v>金23</v>
      </c>
      <c r="F2703" s="2" t="s">
        <v>8277</v>
      </c>
      <c r="G2703" s="2" t="s">
        <v>8299</v>
      </c>
      <c r="H2703" s="1">
        <v>8.0</v>
      </c>
      <c r="I2703" s="1" t="s">
        <v>2896</v>
      </c>
      <c r="J2703" s="1" t="s">
        <v>1435</v>
      </c>
      <c r="K2703" s="2" t="s">
        <v>8300</v>
      </c>
      <c r="L2703" s="11" t="s">
        <v>8301</v>
      </c>
      <c r="M2703" s="2" t="str">
        <f>IFERROR(__xludf.DUMMYFUNCTION("split(split(K2703,""松岡昌宏(TOKIO)"",false),""公式LINE"",false)"),"1990年にタイムスリップした鉄平(松岡昌宏)は何をやっても2012年に戻れず、とうとう捜査一課への異動が懸かった面談のタイムリミットを迎えてしまった。そんな中、連続して起こる強盗事件の捜査に鉄平と高野(横山裕)は乗り出すが…!?さらに、翔子にも危険が!?")</f>
        <v>1990年にタイムスリップした鉄平(松岡昌宏)は何をやっても2012年に戻れず、とうとう捜査一課への異動が懸かった面談のタイムリミットを迎えてしまった。そんな中、連続して起こる強盗事件の捜査に鉄平と高野(横山裕)は乗り出すが…!?さらに、翔子にも危険が!?</v>
      </c>
      <c r="N2703" s="2"/>
      <c r="O2703" s="2"/>
      <c r="P2703" s="1"/>
      <c r="Q2703" s="1"/>
      <c r="R2703" s="1"/>
      <c r="S2703" s="1"/>
      <c r="T2703" s="1"/>
      <c r="U2703" s="1"/>
      <c r="V2703" s="1"/>
      <c r="W2703" s="1"/>
      <c r="X2703" s="1"/>
      <c r="Y2703" s="1"/>
      <c r="Z2703" s="1"/>
      <c r="AA2703" s="1"/>
      <c r="AB2703" s="1"/>
      <c r="AC2703" s="1"/>
      <c r="AD2703" s="1"/>
      <c r="AE2703" s="1"/>
      <c r="AF2703" s="1"/>
      <c r="AG2703" s="1"/>
      <c r="AH2703" s="1"/>
      <c r="AI2703" s="1"/>
      <c r="AJ2703" s="1"/>
      <c r="AK2703" s="1"/>
      <c r="AL2703" s="1"/>
      <c r="AM2703" s="1"/>
      <c r="AN2703" s="1"/>
      <c r="AO2703" s="1"/>
      <c r="AP2703" s="1"/>
      <c r="AQ2703" s="1"/>
      <c r="AR2703" s="1"/>
      <c r="AS2703" s="1"/>
      <c r="AT2703" s="1"/>
      <c r="AU2703" s="1"/>
      <c r="AV2703" s="1"/>
      <c r="AW2703" s="1"/>
      <c r="AX2703" s="1"/>
      <c r="AY2703" s="1"/>
      <c r="AZ2703" s="1"/>
      <c r="BA2703" s="1"/>
      <c r="BB2703" s="1"/>
    </row>
    <row r="2704" ht="204.75" customHeight="1">
      <c r="A2704" s="1">
        <v>4042.0</v>
      </c>
      <c r="B2704" s="2" t="s">
        <v>8276</v>
      </c>
      <c r="C2704" s="2">
        <f>IFERROR(__xludf.DUMMYFUNCTION("split(B2704,""_"")"),1201.0)</f>
        <v>1201</v>
      </c>
      <c r="D2704" s="2" t="str">
        <f>IFERROR(__xludf.DUMMYFUNCTION("""COMPUTED_VALUE"""),"EX")</f>
        <v>EX</v>
      </c>
      <c r="E2704" s="2" t="str">
        <f>IFERROR(__xludf.DUMMYFUNCTION("""COMPUTED_VALUE"""),"金23")</f>
        <v>金23</v>
      </c>
      <c r="F2704" s="2" t="s">
        <v>8277</v>
      </c>
      <c r="G2704" s="2" t="s">
        <v>8302</v>
      </c>
      <c r="H2704" s="1">
        <v>9.0</v>
      </c>
      <c r="J2704" s="1" t="s">
        <v>1435</v>
      </c>
      <c r="K2704" s="2" t="s">
        <v>8303</v>
      </c>
      <c r="L2704" s="11" t="s">
        <v>8304</v>
      </c>
      <c r="M2704" s="2" t="str">
        <f>IFERROR(__xludf.DUMMYFUNCTION("split(split(K2704,""松岡昌宏(TOKIO)"",false),""公式LINE"",false)"),"高野(横山裕)と翔子(桐谷美玲)に未来から来たことがバレてしまった鉄平。テッペイの身に危険が及ぶことを恐れ、ボディーガードを買って出る。その時、あの22年前の事件の記憶が甦る!テッペイを守る為、事件の発生を阻止する為、鉄平の最期のハローワークが始まる!")</f>
        <v>高野(横山裕)と翔子(桐谷美玲)に未来から来たことがバレてしまった鉄平。テッペイの身に危険が及ぶことを恐れ、ボディーガードを買って出る。その時、あの22年前の事件の記憶が甦る!テッペイを守る為、事件の発生を阻止する為、鉄平の最期のハローワークが始まる!</v>
      </c>
      <c r="N2704" s="2"/>
      <c r="O2704" s="2"/>
      <c r="P2704" s="1"/>
      <c r="Q2704" s="1"/>
      <c r="R2704" s="1"/>
      <c r="S2704" s="1"/>
      <c r="T2704" s="1"/>
      <c r="U2704" s="1"/>
      <c r="V2704" s="1"/>
      <c r="W2704" s="1"/>
      <c r="X2704" s="1"/>
      <c r="Y2704" s="1"/>
      <c r="Z2704" s="1"/>
      <c r="AA2704" s="1"/>
      <c r="AB2704" s="1"/>
      <c r="AC2704" s="1"/>
      <c r="AD2704" s="1"/>
      <c r="AE2704" s="1"/>
      <c r="AF2704" s="1"/>
      <c r="AG2704" s="1"/>
      <c r="AH2704" s="1"/>
      <c r="AI2704" s="1"/>
      <c r="AJ2704" s="1"/>
      <c r="AK2704" s="1"/>
      <c r="AL2704" s="1"/>
      <c r="AM2704" s="1"/>
      <c r="AN2704" s="1"/>
      <c r="AO2704" s="1"/>
      <c r="AP2704" s="1"/>
      <c r="AQ2704" s="1"/>
      <c r="AR2704" s="1"/>
      <c r="AS2704" s="1"/>
      <c r="AT2704" s="1"/>
      <c r="AU2704" s="1"/>
      <c r="AV2704" s="1"/>
      <c r="AW2704" s="1"/>
      <c r="AX2704" s="1"/>
      <c r="AY2704" s="1"/>
      <c r="AZ2704" s="1"/>
      <c r="BA2704" s="1"/>
      <c r="BB2704" s="1"/>
    </row>
    <row r="2705" ht="204.75" customHeight="1">
      <c r="A2705" s="1">
        <v>4073.0</v>
      </c>
      <c r="B2705" s="2" t="s">
        <v>8305</v>
      </c>
      <c r="C2705" s="2">
        <f>IFERROR(__xludf.DUMMYFUNCTION("split(B2705,""_"")"),1201.0)</f>
        <v>1201</v>
      </c>
      <c r="D2705" s="2" t="str">
        <f>IFERROR(__xludf.DUMMYFUNCTION("""COMPUTED_VALUE"""),"EX")</f>
        <v>EX</v>
      </c>
      <c r="E2705" s="2" t="str">
        <f>IFERROR(__xludf.DUMMYFUNCTION("""COMPUTED_VALUE"""),"日23")</f>
        <v>日23</v>
      </c>
      <c r="F2705" s="2" t="s">
        <v>8306</v>
      </c>
      <c r="G2705" s="2" t="s">
        <v>8307</v>
      </c>
      <c r="H2705" s="1">
        <v>1.0</v>
      </c>
      <c r="I2705" s="1" t="s">
        <v>2868</v>
      </c>
      <c r="J2705" s="1" t="s">
        <v>1435</v>
      </c>
      <c r="K2705" s="4" t="s">
        <v>8308</v>
      </c>
      <c r="L2705" s="11" t="s">
        <v>8309</v>
      </c>
      <c r="M2705" s="2" t="str">
        <f>IFERROR(__xludf.DUMMYFUNCTION("split(split(K2705,""佐藤隆太、"",false),""公式LINE"",false)"),"呪われた研究室を使用していた教授が、季節はずれの雪に吹き飛ばされて窓から転落する怪奇事件が発生。学生の間で“エイプリルゴースト”と恐れられる幽霊に立ち向かうのは、妄想以外にとりえもない新任の准教授・桑潟幸一。大学構内に棲む謎のホームレス女子大生と組んで、事件の真相に斬りこんでいく。")</f>
        <v>呪われた研究室を使用していた教授が、季節はずれの雪に吹き飛ばされて窓から転落する怪奇事件が発生。学生の間で“エイプリルゴースト”と恐れられる幽霊に立ち向かうのは、妄想以外にとりえもない新任の准教授・桑潟幸一。大学構内に棲む謎のホームレス女子大生と組んで、事件の真相に斬りこんでいく。</v>
      </c>
      <c r="N2705" s="2"/>
      <c r="O2705" s="2"/>
      <c r="P2705" s="1"/>
      <c r="Q2705" s="1"/>
      <c r="R2705" s="1"/>
      <c r="S2705" s="1"/>
      <c r="T2705" s="1"/>
      <c r="U2705" s="1"/>
      <c r="V2705" s="1"/>
      <c r="W2705" s="1"/>
      <c r="X2705" s="1"/>
      <c r="Y2705" s="1"/>
      <c r="Z2705" s="1"/>
      <c r="AA2705" s="1"/>
      <c r="AB2705" s="1"/>
      <c r="AC2705" s="1"/>
      <c r="AD2705" s="1"/>
      <c r="AE2705" s="1"/>
      <c r="AF2705" s="1"/>
      <c r="AG2705" s="1"/>
      <c r="AH2705" s="1"/>
      <c r="AI2705" s="1"/>
      <c r="AJ2705" s="1"/>
      <c r="AK2705" s="1"/>
      <c r="AL2705" s="1"/>
      <c r="AM2705" s="1"/>
      <c r="AN2705" s="1"/>
      <c r="AO2705" s="1"/>
      <c r="AP2705" s="1"/>
      <c r="AQ2705" s="1"/>
      <c r="AR2705" s="1"/>
      <c r="AS2705" s="1"/>
      <c r="AT2705" s="1"/>
      <c r="AU2705" s="1"/>
      <c r="AV2705" s="1"/>
      <c r="AW2705" s="1"/>
      <c r="AX2705" s="1"/>
      <c r="AY2705" s="1"/>
      <c r="AZ2705" s="1"/>
      <c r="BA2705" s="1"/>
      <c r="BB2705" s="1"/>
    </row>
    <row r="2706" ht="204.75" customHeight="1">
      <c r="A2706" s="1">
        <v>4074.0</v>
      </c>
      <c r="B2706" s="2" t="s">
        <v>8305</v>
      </c>
      <c r="C2706" s="2">
        <f>IFERROR(__xludf.DUMMYFUNCTION("split(B2706,""_"")"),1201.0)</f>
        <v>1201</v>
      </c>
      <c r="D2706" s="2" t="str">
        <f>IFERROR(__xludf.DUMMYFUNCTION("""COMPUTED_VALUE"""),"EX")</f>
        <v>EX</v>
      </c>
      <c r="E2706" s="2" t="str">
        <f>IFERROR(__xludf.DUMMYFUNCTION("""COMPUTED_VALUE"""),"日23")</f>
        <v>日23</v>
      </c>
      <c r="F2706" s="2" t="s">
        <v>8306</v>
      </c>
      <c r="G2706" s="2" t="s">
        <v>8310</v>
      </c>
      <c r="H2706" s="1">
        <v>2.0</v>
      </c>
      <c r="I2706" s="1" t="s">
        <v>2872</v>
      </c>
      <c r="J2706" s="1" t="s">
        <v>1435</v>
      </c>
      <c r="K2706" s="2" t="s">
        <v>8311</v>
      </c>
      <c r="L2706" s="10" t="s">
        <v>2775</v>
      </c>
      <c r="M2706" s="2" t="str">
        <f>IFERROR(__xludf.DUMMYFUNCTION("split(split(K2706,""佐藤隆太、"",false),""公式LINE"",false)"),"桜庭ななみ、倉科カナ、竹富聖花、河北麻友子、藤村聖子、渡部秀、升毅、倍賞美津子  【ゲスト】  野波麻帆、橋本さとし奥泉光『桑潟幸一准教授のスタイリッシュな生活』(文藝春秋刊)山岡真介及川拓郎チャットモンチー『満月に吠えろ』(キューンレコード)【ゼネラルプロデューサー】横地郁英(テレビ朝日)  【プロデューサー】関拓也(テレビ朝日)、目黒正之(東映)、和佐野健一(東映)☆番組HP  　http://www.tv-asahi.co.jp/mousou/")</f>
        <v>桜庭ななみ、倉科カナ、竹富聖花、河北麻友子、藤村聖子、渡部秀、升毅、倍賞美津子  【ゲスト】  野波麻帆、橋本さとし奥泉光『桑潟幸一准教授のスタイリッシュな生活』(文藝春秋刊)山岡真介及川拓郎チャットモンチー『満月に吠えろ』(キューンレコード)【ゼネラルプロデューサー】横地郁英(テレビ朝日)  【プロデューサー】関拓也(テレビ朝日)、目黒正之(東映)、和佐野健一(東映)☆番組HP  　http://www.tv-asahi.co.jp/mousou/</v>
      </c>
      <c r="N2706" s="2"/>
      <c r="O2706" s="2"/>
      <c r="P2706" s="1"/>
      <c r="Q2706" s="1"/>
      <c r="R2706" s="1"/>
      <c r="S2706" s="1"/>
      <c r="T2706" s="1"/>
      <c r="U2706" s="1"/>
      <c r="V2706" s="1"/>
      <c r="W2706" s="1"/>
      <c r="X2706" s="1"/>
      <c r="Y2706" s="1"/>
      <c r="Z2706" s="1"/>
      <c r="AA2706" s="1"/>
      <c r="AB2706" s="1"/>
      <c r="AC2706" s="1"/>
      <c r="AD2706" s="1"/>
      <c r="AE2706" s="1"/>
      <c r="AF2706" s="1"/>
      <c r="AG2706" s="1"/>
      <c r="AH2706" s="1"/>
      <c r="AI2706" s="1"/>
      <c r="AJ2706" s="1"/>
      <c r="AK2706" s="1"/>
      <c r="AL2706" s="1"/>
      <c r="AM2706" s="1"/>
      <c r="AN2706" s="1"/>
      <c r="AO2706" s="1"/>
      <c r="AP2706" s="1"/>
      <c r="AQ2706" s="1"/>
      <c r="AR2706" s="1"/>
      <c r="AS2706" s="1"/>
      <c r="AT2706" s="1"/>
      <c r="AU2706" s="1"/>
      <c r="AV2706" s="1"/>
      <c r="AW2706" s="1"/>
      <c r="AX2706" s="1"/>
      <c r="AY2706" s="1"/>
      <c r="AZ2706" s="1"/>
      <c r="BA2706" s="1"/>
      <c r="BB2706" s="1"/>
    </row>
    <row r="2707" ht="204.75" customHeight="1">
      <c r="A2707" s="1">
        <v>4075.0</v>
      </c>
      <c r="B2707" s="2" t="s">
        <v>8305</v>
      </c>
      <c r="C2707" s="2">
        <f>IFERROR(__xludf.DUMMYFUNCTION("split(B2707,""_"")"),1201.0)</f>
        <v>1201</v>
      </c>
      <c r="D2707" s="2" t="str">
        <f>IFERROR(__xludf.DUMMYFUNCTION("""COMPUTED_VALUE"""),"EX")</f>
        <v>EX</v>
      </c>
      <c r="E2707" s="2" t="str">
        <f>IFERROR(__xludf.DUMMYFUNCTION("""COMPUTED_VALUE"""),"日23")</f>
        <v>日23</v>
      </c>
      <c r="F2707" s="2" t="s">
        <v>8306</v>
      </c>
      <c r="G2707" s="2" t="s">
        <v>8312</v>
      </c>
      <c r="H2707" s="1">
        <v>3.0</v>
      </c>
      <c r="I2707" s="1" t="s">
        <v>2876</v>
      </c>
      <c r="J2707" s="1" t="s">
        <v>1435</v>
      </c>
      <c r="K2707" s="2" t="s">
        <v>8313</v>
      </c>
      <c r="L2707" s="10" t="s">
        <v>2775</v>
      </c>
      <c r="M2707" s="2" t="str">
        <f>IFERROR(__xludf.DUMMYFUNCTION("split(split(K2707,""佐藤隆太、"",false),""公式LINE"",false)"),"桜庭ななみ、倉科カナ、竹富聖花、河北麻友子、藤村聖子、渡部秀、升毅奥泉光『桑潟幸一准教授のスタイリッシュな生活』(文藝春秋刊)及川拓郎及川拓郎チャットモンチー『満月に吠えろ』(キューンレコード)【ゼネラルプロデューサー】横地郁英(テレビ朝日)  【プロデューサー】関拓也(テレビ朝日)、目黒正之(東映)、和佐野健一(東映)☆番組HP  　http://www.tv-asahi.co.jp/mousou/")</f>
        <v>桜庭ななみ、倉科カナ、竹富聖花、河北麻友子、藤村聖子、渡部秀、升毅奥泉光『桑潟幸一准教授のスタイリッシュな生活』(文藝春秋刊)及川拓郎及川拓郎チャットモンチー『満月に吠えろ』(キューンレコード)【ゼネラルプロデューサー】横地郁英(テレビ朝日)  【プロデューサー】関拓也(テレビ朝日)、目黒正之(東映)、和佐野健一(東映)☆番組HP  　http://www.tv-asahi.co.jp/mousou/</v>
      </c>
      <c r="N2707" s="2"/>
      <c r="O2707" s="2"/>
      <c r="P2707" s="1"/>
      <c r="Q2707" s="1"/>
      <c r="R2707" s="1"/>
      <c r="S2707" s="1"/>
      <c r="T2707" s="1"/>
      <c r="U2707" s="1"/>
      <c r="V2707" s="1"/>
      <c r="W2707" s="1"/>
      <c r="X2707" s="1"/>
      <c r="Y2707" s="1"/>
      <c r="Z2707" s="1"/>
      <c r="AA2707" s="1"/>
      <c r="AB2707" s="1"/>
      <c r="AC2707" s="1"/>
      <c r="AD2707" s="1"/>
      <c r="AE2707" s="1"/>
      <c r="AF2707" s="1"/>
      <c r="AG2707" s="1"/>
      <c r="AH2707" s="1"/>
      <c r="AI2707" s="1"/>
      <c r="AJ2707" s="1"/>
      <c r="AK2707" s="1"/>
      <c r="AL2707" s="1"/>
      <c r="AM2707" s="1"/>
      <c r="AN2707" s="1"/>
      <c r="AO2707" s="1"/>
      <c r="AP2707" s="1"/>
      <c r="AQ2707" s="1"/>
      <c r="AR2707" s="1"/>
      <c r="AS2707" s="1"/>
      <c r="AT2707" s="1"/>
      <c r="AU2707" s="1"/>
      <c r="AV2707" s="1"/>
      <c r="AW2707" s="1"/>
      <c r="AX2707" s="1"/>
      <c r="AY2707" s="1"/>
      <c r="AZ2707" s="1"/>
      <c r="BA2707" s="1"/>
      <c r="BB2707" s="1"/>
    </row>
    <row r="2708" ht="204.75" customHeight="1">
      <c r="A2708" s="1">
        <v>4076.0</v>
      </c>
      <c r="B2708" s="2" t="s">
        <v>8305</v>
      </c>
      <c r="C2708" s="2">
        <f>IFERROR(__xludf.DUMMYFUNCTION("split(B2708,""_"")"),1201.0)</f>
        <v>1201</v>
      </c>
      <c r="D2708" s="2" t="str">
        <f>IFERROR(__xludf.DUMMYFUNCTION("""COMPUTED_VALUE"""),"EX")</f>
        <v>EX</v>
      </c>
      <c r="E2708" s="2" t="str">
        <f>IFERROR(__xludf.DUMMYFUNCTION("""COMPUTED_VALUE"""),"日23")</f>
        <v>日23</v>
      </c>
      <c r="F2708" s="2" t="s">
        <v>8306</v>
      </c>
      <c r="G2708" s="2" t="s">
        <v>8314</v>
      </c>
      <c r="H2708" s="1">
        <v>4.0</v>
      </c>
      <c r="I2708" s="1" t="s">
        <v>2880</v>
      </c>
      <c r="J2708" s="1" t="s">
        <v>1435</v>
      </c>
      <c r="K2708" s="2" t="s">
        <v>8315</v>
      </c>
      <c r="L2708" s="10" t="s">
        <v>2775</v>
      </c>
      <c r="M2708" s="2" t="str">
        <f>IFERROR(__xludf.DUMMYFUNCTION("split(split(K2708,""佐藤隆太、"",false),""公式LINE"",false)"),"桜庭ななみ、倉科カナ、竹富聖花、河北麻友子、藤村聖子、渡部秀、升毅奥泉光『桑潟幸一准教授のスタイリッシュな生活』(文藝春秋刊)森ハヤシ七高剛チャットモンチー『満月に吠えろ』(キューンレコード)【ゼネラルプロデューサー】横地郁英(テレビ朝日)  【プロデューサー】関拓也(テレビ朝日)、目黒正之(東映)、和佐野健一(東映)☆番組HP  　http://www.tv-asahi.co.jp/mousou/")</f>
        <v>桜庭ななみ、倉科カナ、竹富聖花、河北麻友子、藤村聖子、渡部秀、升毅奥泉光『桑潟幸一准教授のスタイリッシュな生活』(文藝春秋刊)森ハヤシ七高剛チャットモンチー『満月に吠えろ』(キューンレコード)【ゼネラルプロデューサー】横地郁英(テレビ朝日)  【プロデューサー】関拓也(テレビ朝日)、目黒正之(東映)、和佐野健一(東映)☆番組HP  　http://www.tv-asahi.co.jp/mousou/</v>
      </c>
      <c r="N2708" s="2"/>
      <c r="O2708" s="2"/>
      <c r="P2708" s="1"/>
      <c r="Q2708" s="1"/>
      <c r="R2708" s="1"/>
      <c r="S2708" s="1"/>
      <c r="T2708" s="1"/>
      <c r="U2708" s="1"/>
      <c r="V2708" s="1"/>
      <c r="W2708" s="1"/>
      <c r="X2708" s="1"/>
      <c r="Y2708" s="1"/>
      <c r="Z2708" s="1"/>
      <c r="AA2708" s="1"/>
      <c r="AB2708" s="1"/>
      <c r="AC2708" s="1"/>
      <c r="AD2708" s="1"/>
      <c r="AE2708" s="1"/>
      <c r="AF2708" s="1"/>
      <c r="AG2708" s="1"/>
      <c r="AH2708" s="1"/>
      <c r="AI2708" s="1"/>
      <c r="AJ2708" s="1"/>
      <c r="AK2708" s="1"/>
      <c r="AL2708" s="1"/>
      <c r="AM2708" s="1"/>
      <c r="AN2708" s="1"/>
      <c r="AO2708" s="1"/>
      <c r="AP2708" s="1"/>
      <c r="AQ2708" s="1"/>
      <c r="AR2708" s="1"/>
      <c r="AS2708" s="1"/>
      <c r="AT2708" s="1"/>
      <c r="AU2708" s="1"/>
      <c r="AV2708" s="1"/>
      <c r="AW2708" s="1"/>
      <c r="AX2708" s="1"/>
      <c r="AY2708" s="1"/>
      <c r="AZ2708" s="1"/>
      <c r="BA2708" s="1"/>
      <c r="BB2708" s="1"/>
    </row>
    <row r="2709" ht="204.75" customHeight="1">
      <c r="A2709" s="1">
        <v>4077.0</v>
      </c>
      <c r="B2709" s="2" t="s">
        <v>8305</v>
      </c>
      <c r="C2709" s="2">
        <f>IFERROR(__xludf.DUMMYFUNCTION("split(B2709,""_"")"),1201.0)</f>
        <v>1201</v>
      </c>
      <c r="D2709" s="2" t="str">
        <f>IFERROR(__xludf.DUMMYFUNCTION("""COMPUTED_VALUE"""),"EX")</f>
        <v>EX</v>
      </c>
      <c r="E2709" s="2" t="str">
        <f>IFERROR(__xludf.DUMMYFUNCTION("""COMPUTED_VALUE"""),"日23")</f>
        <v>日23</v>
      </c>
      <c r="F2709" s="2" t="s">
        <v>8306</v>
      </c>
      <c r="G2709" s="2" t="s">
        <v>8316</v>
      </c>
      <c r="H2709" s="1">
        <v>5.0</v>
      </c>
      <c r="I2709" s="1" t="s">
        <v>2884</v>
      </c>
      <c r="J2709" s="1" t="s">
        <v>1435</v>
      </c>
      <c r="K2709" s="2" t="s">
        <v>8315</v>
      </c>
      <c r="L2709" s="10" t="s">
        <v>2775</v>
      </c>
      <c r="M2709" s="2" t="str">
        <f>IFERROR(__xludf.DUMMYFUNCTION("split(split(K2709,""佐藤隆太、"",false),""公式LINE"",false)"),"桜庭ななみ、倉科カナ、竹富聖花、河北麻友子、藤村聖子、渡部秀、升毅奥泉光『桑潟幸一准教授のスタイリッシュな生活』(文藝春秋刊)森ハヤシ七高剛チャットモンチー『満月に吠えろ』(キューンレコード)【ゼネラルプロデューサー】横地郁英(テレビ朝日)  【プロデューサー】関拓也(テレビ朝日)、目黒正之(東映)、和佐野健一(東映)☆番組HP  　http://www.tv-asahi.co.jp/mousou/")</f>
        <v>桜庭ななみ、倉科カナ、竹富聖花、河北麻友子、藤村聖子、渡部秀、升毅奥泉光『桑潟幸一准教授のスタイリッシュな生活』(文藝春秋刊)森ハヤシ七高剛チャットモンチー『満月に吠えろ』(キューンレコード)【ゼネラルプロデューサー】横地郁英(テレビ朝日)  【プロデューサー】関拓也(テレビ朝日)、目黒正之(東映)、和佐野健一(東映)☆番組HP  　http://www.tv-asahi.co.jp/mousou/</v>
      </c>
      <c r="N2709" s="2"/>
      <c r="O2709" s="2"/>
      <c r="P2709" s="1"/>
      <c r="Q2709" s="1"/>
      <c r="R2709" s="1"/>
      <c r="S2709" s="1"/>
      <c r="T2709" s="1"/>
      <c r="U2709" s="1"/>
      <c r="V2709" s="1"/>
      <c r="W2709" s="1"/>
      <c r="X2709" s="1"/>
      <c r="Y2709" s="1"/>
      <c r="Z2709" s="1"/>
      <c r="AA2709" s="1"/>
      <c r="AB2709" s="1"/>
      <c r="AC2709" s="1"/>
      <c r="AD2709" s="1"/>
      <c r="AE2709" s="1"/>
      <c r="AF2709" s="1"/>
      <c r="AG2709" s="1"/>
      <c r="AH2709" s="1"/>
      <c r="AI2709" s="1"/>
      <c r="AJ2709" s="1"/>
      <c r="AK2709" s="1"/>
      <c r="AL2709" s="1"/>
      <c r="AM2709" s="1"/>
      <c r="AN2709" s="1"/>
      <c r="AO2709" s="1"/>
      <c r="AP2709" s="1"/>
      <c r="AQ2709" s="1"/>
      <c r="AR2709" s="1"/>
      <c r="AS2709" s="1"/>
      <c r="AT2709" s="1"/>
      <c r="AU2709" s="1"/>
      <c r="AV2709" s="1"/>
      <c r="AW2709" s="1"/>
      <c r="AX2709" s="1"/>
      <c r="AY2709" s="1"/>
      <c r="AZ2709" s="1"/>
      <c r="BA2709" s="1"/>
      <c r="BB2709" s="1"/>
    </row>
    <row r="2710" ht="204.75" customHeight="1">
      <c r="A2710" s="1">
        <v>4078.0</v>
      </c>
      <c r="B2710" s="2" t="s">
        <v>8305</v>
      </c>
      <c r="C2710" s="2">
        <f>IFERROR(__xludf.DUMMYFUNCTION("split(B2710,""_"")"),1201.0)</f>
        <v>1201</v>
      </c>
      <c r="D2710" s="2" t="str">
        <f>IFERROR(__xludf.DUMMYFUNCTION("""COMPUTED_VALUE"""),"EX")</f>
        <v>EX</v>
      </c>
      <c r="E2710" s="2" t="str">
        <f>IFERROR(__xludf.DUMMYFUNCTION("""COMPUTED_VALUE"""),"日23")</f>
        <v>日23</v>
      </c>
      <c r="F2710" s="2" t="s">
        <v>8306</v>
      </c>
      <c r="G2710" s="2" t="s">
        <v>8317</v>
      </c>
      <c r="H2710" s="1">
        <v>6.0</v>
      </c>
      <c r="I2710" s="1" t="s">
        <v>2888</v>
      </c>
      <c r="J2710" s="1" t="s">
        <v>1435</v>
      </c>
      <c r="K2710" s="2" t="s">
        <v>8318</v>
      </c>
      <c r="L2710" s="10" t="s">
        <v>2775</v>
      </c>
      <c r="M2710" s="2" t="str">
        <f>IFERROR(__xludf.DUMMYFUNCTION("split(split(K2710,""佐藤隆太、"",false),""公式LINE"",false)"),"桜庭ななみ、倉科カナ、竹富聖花、河北麻友子、藤村聖子、渡部秀、升毅、倍賞美津子奥泉光『桑潟幸一准教授のスタイリッシュな生活』(文藝春秋刊)及川拓郎及川拓郎チャットモンチー『満月に吠えろ』(キューンレコード)【ゼネラルプロデューサー】横地郁英(テレビ朝日)  【プロデューサー】関拓也(テレビ朝日)、目黒正之(東映)、和佐野健一(東映)☆番組HP  　http://www.tv-asahi.co.jp/mousou/")</f>
        <v>桜庭ななみ、倉科カナ、竹富聖花、河北麻友子、藤村聖子、渡部秀、升毅、倍賞美津子奥泉光『桑潟幸一准教授のスタイリッシュな生活』(文藝春秋刊)及川拓郎及川拓郎チャットモンチー『満月に吠えろ』(キューンレコード)【ゼネラルプロデューサー】横地郁英(テレビ朝日)  【プロデューサー】関拓也(テレビ朝日)、目黒正之(東映)、和佐野健一(東映)☆番組HP  　http://www.tv-asahi.co.jp/mousou/</v>
      </c>
      <c r="N2710" s="2"/>
      <c r="O2710" s="2"/>
      <c r="P2710" s="1"/>
      <c r="Q2710" s="1"/>
      <c r="R2710" s="1"/>
      <c r="S2710" s="1"/>
      <c r="T2710" s="1"/>
      <c r="U2710" s="1"/>
      <c r="V2710" s="1"/>
      <c r="W2710" s="1"/>
      <c r="X2710" s="1"/>
      <c r="Y2710" s="1"/>
      <c r="Z2710" s="1"/>
      <c r="AA2710" s="1"/>
      <c r="AB2710" s="1"/>
      <c r="AC2710" s="1"/>
      <c r="AD2710" s="1"/>
      <c r="AE2710" s="1"/>
      <c r="AF2710" s="1"/>
      <c r="AG2710" s="1"/>
      <c r="AH2710" s="1"/>
      <c r="AI2710" s="1"/>
      <c r="AJ2710" s="1"/>
      <c r="AK2710" s="1"/>
      <c r="AL2710" s="1"/>
      <c r="AM2710" s="1"/>
      <c r="AN2710" s="1"/>
      <c r="AO2710" s="1"/>
      <c r="AP2710" s="1"/>
      <c r="AQ2710" s="1"/>
      <c r="AR2710" s="1"/>
      <c r="AS2710" s="1"/>
      <c r="AT2710" s="1"/>
      <c r="AU2710" s="1"/>
      <c r="AV2710" s="1"/>
      <c r="AW2710" s="1"/>
      <c r="AX2710" s="1"/>
      <c r="AY2710" s="1"/>
      <c r="AZ2710" s="1"/>
      <c r="BA2710" s="1"/>
      <c r="BB2710" s="1"/>
    </row>
    <row r="2711" ht="204.75" customHeight="1">
      <c r="A2711" s="1">
        <v>4079.0</v>
      </c>
      <c r="B2711" s="2" t="s">
        <v>8305</v>
      </c>
      <c r="C2711" s="2">
        <f>IFERROR(__xludf.DUMMYFUNCTION("split(B2711,""_"")"),1201.0)</f>
        <v>1201</v>
      </c>
      <c r="D2711" s="2" t="str">
        <f>IFERROR(__xludf.DUMMYFUNCTION("""COMPUTED_VALUE"""),"EX")</f>
        <v>EX</v>
      </c>
      <c r="E2711" s="2" t="str">
        <f>IFERROR(__xludf.DUMMYFUNCTION("""COMPUTED_VALUE"""),"日23")</f>
        <v>日23</v>
      </c>
      <c r="F2711" s="2" t="s">
        <v>8306</v>
      </c>
      <c r="G2711" s="2" t="s">
        <v>8319</v>
      </c>
      <c r="H2711" s="1">
        <v>7.0</v>
      </c>
      <c r="I2711" s="1" t="s">
        <v>2892</v>
      </c>
      <c r="J2711" s="1" t="s">
        <v>1435</v>
      </c>
      <c r="K2711" s="2" t="s">
        <v>8320</v>
      </c>
      <c r="L2711" s="10" t="s">
        <v>2775</v>
      </c>
      <c r="M2711" s="2" t="str">
        <f>IFERROR(__xludf.DUMMYFUNCTION("split(split(K2711,""佐藤隆太、"",false),""公式LINE"",false)"),"桜庭ななみ、倉科カナ、竹富聖花、河北麻友子、藤村聖子、渡部秀、升毅奥泉光『桑潟幸一准教授のスタイリッシュな生活』(文藝春秋刊)山岡真介石井裕也チャットモンチー『満月に吠えろ』(キューンレコード)【ゼネラルプロデューサー】横地郁英(テレビ朝日)  【プロデューサー】関拓也(テレビ朝日)、目黒正之(東映)、和佐野健一(東映)☆番組HP  　http://www.tv-asahi.co.jp/mousou/")</f>
        <v>桜庭ななみ、倉科カナ、竹富聖花、河北麻友子、藤村聖子、渡部秀、升毅奥泉光『桑潟幸一准教授のスタイリッシュな生活』(文藝春秋刊)山岡真介石井裕也チャットモンチー『満月に吠えろ』(キューンレコード)【ゼネラルプロデューサー】横地郁英(テレビ朝日)  【プロデューサー】関拓也(テレビ朝日)、目黒正之(東映)、和佐野健一(東映)☆番組HP  　http://www.tv-asahi.co.jp/mousou/</v>
      </c>
      <c r="N2711" s="2"/>
      <c r="O2711" s="2"/>
      <c r="P2711" s="1"/>
      <c r="Q2711" s="1"/>
      <c r="R2711" s="1"/>
      <c r="S2711" s="1"/>
      <c r="T2711" s="1"/>
      <c r="U2711" s="1"/>
      <c r="V2711" s="1"/>
      <c r="W2711" s="1"/>
      <c r="X2711" s="1"/>
      <c r="Y2711" s="1"/>
      <c r="Z2711" s="1"/>
      <c r="AA2711" s="1"/>
      <c r="AB2711" s="1"/>
      <c r="AC2711" s="1"/>
      <c r="AD2711" s="1"/>
      <c r="AE2711" s="1"/>
      <c r="AF2711" s="1"/>
      <c r="AG2711" s="1"/>
      <c r="AH2711" s="1"/>
      <c r="AI2711" s="1"/>
      <c r="AJ2711" s="1"/>
      <c r="AK2711" s="1"/>
      <c r="AL2711" s="1"/>
      <c r="AM2711" s="1"/>
      <c r="AN2711" s="1"/>
      <c r="AO2711" s="1"/>
      <c r="AP2711" s="1"/>
      <c r="AQ2711" s="1"/>
      <c r="AR2711" s="1"/>
      <c r="AS2711" s="1"/>
      <c r="AT2711" s="1"/>
      <c r="AU2711" s="1"/>
      <c r="AV2711" s="1"/>
      <c r="AW2711" s="1"/>
      <c r="AX2711" s="1"/>
      <c r="AY2711" s="1"/>
      <c r="AZ2711" s="1"/>
      <c r="BA2711" s="1"/>
      <c r="BB2711" s="1"/>
    </row>
    <row r="2712" ht="204.75" customHeight="1">
      <c r="A2712" s="1">
        <v>4080.0</v>
      </c>
      <c r="B2712" s="2" t="s">
        <v>8305</v>
      </c>
      <c r="C2712" s="2">
        <f>IFERROR(__xludf.DUMMYFUNCTION("split(B2712,""_"")"),1201.0)</f>
        <v>1201</v>
      </c>
      <c r="D2712" s="2" t="str">
        <f>IFERROR(__xludf.DUMMYFUNCTION("""COMPUTED_VALUE"""),"EX")</f>
        <v>EX</v>
      </c>
      <c r="E2712" s="2" t="str">
        <f>IFERROR(__xludf.DUMMYFUNCTION("""COMPUTED_VALUE"""),"日23")</f>
        <v>日23</v>
      </c>
      <c r="F2712" s="2" t="s">
        <v>8306</v>
      </c>
      <c r="G2712" s="2" t="s">
        <v>8321</v>
      </c>
      <c r="H2712" s="1">
        <v>8.0</v>
      </c>
      <c r="J2712" s="1" t="s">
        <v>1435</v>
      </c>
      <c r="K2712" s="2" t="s">
        <v>8322</v>
      </c>
      <c r="L2712" s="10" t="s">
        <v>2775</v>
      </c>
      <c r="M2712" s="2" t="str">
        <f>IFERROR(__xludf.DUMMYFUNCTION("split(split(K2712,""佐藤隆太、"",false),""公式LINE"",false)"),"桜庭ななみ、倉科カナ、竹富聖花、河北麻友子、藤村聖子、渡部秀、升毅、倍賞美津子  【ゲスト】  原沙知絵奥泉光『桑潟幸一准教授のスタイリッシュな生活』(文藝春秋刊)森ハヤシ石井裕也チャットモンチー『満月に吠えろ』(キューンレコード)【ゼネラルプロデューサー】横地郁英(テレビ朝日)  【プロデューサー】関拓也(テレビ朝日)、目黒正之(東映)、和佐野健一(東映)☆番組HP  　http://www.tv-asahi.co.jp/mousou/")</f>
        <v>桜庭ななみ、倉科カナ、竹富聖花、河北麻友子、藤村聖子、渡部秀、升毅、倍賞美津子  【ゲスト】  原沙知絵奥泉光『桑潟幸一准教授のスタイリッシュな生活』(文藝春秋刊)森ハヤシ石井裕也チャットモンチー『満月に吠えろ』(キューンレコード)【ゼネラルプロデューサー】横地郁英(テレビ朝日)  【プロデューサー】関拓也(テレビ朝日)、目黒正之(東映)、和佐野健一(東映)☆番組HP  　http://www.tv-asahi.co.jp/mousou/</v>
      </c>
      <c r="N2712" s="2"/>
      <c r="O2712" s="2"/>
      <c r="P2712" s="1"/>
      <c r="Q2712" s="1"/>
      <c r="R2712" s="1"/>
      <c r="S2712" s="1"/>
      <c r="T2712" s="1"/>
      <c r="U2712" s="1"/>
      <c r="V2712" s="1"/>
      <c r="W2712" s="1"/>
      <c r="X2712" s="1"/>
      <c r="Y2712" s="1"/>
      <c r="Z2712" s="1"/>
      <c r="AA2712" s="1"/>
      <c r="AB2712" s="1"/>
      <c r="AC2712" s="1"/>
      <c r="AD2712" s="1"/>
      <c r="AE2712" s="1"/>
      <c r="AF2712" s="1"/>
      <c r="AG2712" s="1"/>
      <c r="AH2712" s="1"/>
      <c r="AI2712" s="1"/>
      <c r="AJ2712" s="1"/>
      <c r="AK2712" s="1"/>
      <c r="AL2712" s="1"/>
      <c r="AM2712" s="1"/>
      <c r="AN2712" s="1"/>
      <c r="AO2712" s="1"/>
      <c r="AP2712" s="1"/>
      <c r="AQ2712" s="1"/>
      <c r="AR2712" s="1"/>
      <c r="AS2712" s="1"/>
      <c r="AT2712" s="1"/>
      <c r="AU2712" s="1"/>
      <c r="AV2712" s="1"/>
      <c r="AW2712" s="1"/>
      <c r="AX2712" s="1"/>
      <c r="AY2712" s="1"/>
      <c r="AZ2712" s="1"/>
      <c r="BA2712" s="1"/>
      <c r="BB2712" s="1"/>
    </row>
    <row r="2713" ht="204.75" customHeight="1">
      <c r="A2713" s="1">
        <v>4122.0</v>
      </c>
      <c r="B2713" s="2" t="s">
        <v>8323</v>
      </c>
      <c r="C2713" s="2">
        <f>IFERROR(__xludf.DUMMYFUNCTION("split(B2713,""_"")"),1110.0)</f>
        <v>1110</v>
      </c>
      <c r="D2713" s="2" t="str">
        <f>IFERROR(__xludf.DUMMYFUNCTION("""COMPUTED_VALUE"""),"EX")</f>
        <v>EX</v>
      </c>
      <c r="E2713" s="2" t="str">
        <f>IFERROR(__xludf.DUMMYFUNCTION("""COMPUTED_VALUE"""),"木21")</f>
        <v>木21</v>
      </c>
      <c r="F2713" s="2" t="s">
        <v>8324</v>
      </c>
      <c r="G2713" s="2" t="s">
        <v>8325</v>
      </c>
      <c r="H2713" s="1">
        <v>1.0</v>
      </c>
      <c r="I2713" s="1" t="s">
        <v>2868</v>
      </c>
      <c r="J2713" s="1" t="s">
        <v>11</v>
      </c>
      <c r="K2713" s="4" t="s">
        <v>8326</v>
      </c>
      <c r="L2713" s="11" t="s">
        <v>8327</v>
      </c>
      <c r="M2713" s="2" t="str">
        <f>IFERROR(__xludf.DUMMYFUNCTION("split(split(K2713,""沢村一樹、"",false),""公式LINE"",false)"),"赤字経営に悩む病院に外科医・相良(沢村一樹)がやって来る。院長の堂上たまき(野際陽子)は相良をいまひとつ信用できないまま採用を決める。森山(高嶋政伸)がオペを行なっていると、患者が急変。主治医の皆川(伊藤蘭)や森山も動揺する中、相良が手術室に現れて!?")</f>
        <v>赤字経営に悩む病院に外科医・相良(沢村一樹)がやって来る。院長の堂上たまき(野際陽子)は相良をいまひとつ信用できないまま採用を決める。森山(高嶋政伸)がオペを行なっていると、患者が急変。主治医の皆川(伊藤蘭)や森山も動揺する中、相良が手術室に現れて!?</v>
      </c>
      <c r="N2713" s="2"/>
      <c r="O2713" s="2"/>
      <c r="P2713" s="1"/>
      <c r="Q2713" s="1"/>
      <c r="R2713" s="1"/>
      <c r="S2713" s="1"/>
      <c r="T2713" s="1"/>
      <c r="U2713" s="1"/>
      <c r="V2713" s="1"/>
      <c r="W2713" s="1"/>
      <c r="X2713" s="1"/>
      <c r="Y2713" s="1"/>
      <c r="Z2713" s="1"/>
      <c r="AA2713" s="1"/>
      <c r="AB2713" s="1"/>
      <c r="AC2713" s="1"/>
      <c r="AD2713" s="1"/>
      <c r="AE2713" s="1"/>
      <c r="AF2713" s="1"/>
      <c r="AG2713" s="1"/>
      <c r="AH2713" s="1"/>
      <c r="AI2713" s="1"/>
      <c r="AJ2713" s="1"/>
      <c r="AK2713" s="1"/>
      <c r="AL2713" s="1"/>
      <c r="AM2713" s="1"/>
      <c r="AN2713" s="1"/>
      <c r="AO2713" s="1"/>
      <c r="AP2713" s="1"/>
      <c r="AQ2713" s="1"/>
      <c r="AR2713" s="1"/>
      <c r="AS2713" s="1"/>
      <c r="AT2713" s="1"/>
      <c r="AU2713" s="1"/>
      <c r="AV2713" s="1"/>
      <c r="AW2713" s="1"/>
      <c r="AX2713" s="1"/>
      <c r="AY2713" s="1"/>
      <c r="AZ2713" s="1"/>
      <c r="BA2713" s="1"/>
      <c r="BB2713" s="1"/>
    </row>
    <row r="2714" ht="204.75" customHeight="1">
      <c r="A2714" s="1">
        <v>4123.0</v>
      </c>
      <c r="B2714" s="2" t="s">
        <v>8323</v>
      </c>
      <c r="C2714" s="2">
        <f>IFERROR(__xludf.DUMMYFUNCTION("split(B2714,""_"")"),1110.0)</f>
        <v>1110</v>
      </c>
      <c r="D2714" s="2" t="str">
        <f>IFERROR(__xludf.DUMMYFUNCTION("""COMPUTED_VALUE"""),"EX")</f>
        <v>EX</v>
      </c>
      <c r="E2714" s="2" t="str">
        <f>IFERROR(__xludf.DUMMYFUNCTION("""COMPUTED_VALUE"""),"木21")</f>
        <v>木21</v>
      </c>
      <c r="F2714" s="2" t="s">
        <v>8324</v>
      </c>
      <c r="G2714" s="2" t="s">
        <v>8328</v>
      </c>
      <c r="H2714" s="1">
        <v>2.0</v>
      </c>
      <c r="I2714" s="1" t="s">
        <v>2872</v>
      </c>
      <c r="J2714" s="1" t="s">
        <v>11</v>
      </c>
      <c r="K2714" s="2" t="s">
        <v>8329</v>
      </c>
      <c r="L2714" s="11" t="s">
        <v>8330</v>
      </c>
      <c r="M2714" s="2" t="str">
        <f>IFERROR(__xludf.DUMMYFUNCTION("split(split(K2714,""沢村一樹、"",false),""公式LINE"",false)"),"独断で手術を行なったことで相良(沢村一樹)は森山(高嶋政伸)ら他の医師や看護師から孤立する。だが一向に意に介さず次々と病院の改革を提案していく。救命救急を開始したある日、腹部痛を訴える女性が搬送されてくる。一方、病院を辞めようとしていた内科医の皆川(伊藤蘭)は?")</f>
        <v>独断で手術を行なったことで相良(沢村一樹)は森山(高嶋政伸)ら他の医師や看護師から孤立する。だが一向に意に介さず次々と病院の改革を提案していく。救命救急を開始したある日、腹部痛を訴える女性が搬送されてくる。一方、病院を辞めようとしていた内科医の皆川(伊藤蘭)は?</v>
      </c>
      <c r="N2714" s="2"/>
      <c r="O2714" s="2"/>
      <c r="P2714" s="1"/>
      <c r="Q2714" s="1"/>
      <c r="R2714" s="1"/>
      <c r="S2714" s="1"/>
      <c r="T2714" s="1"/>
      <c r="U2714" s="1"/>
      <c r="V2714" s="1"/>
      <c r="W2714" s="1"/>
      <c r="X2714" s="1"/>
      <c r="Y2714" s="1"/>
      <c r="Z2714" s="1"/>
      <c r="AA2714" s="1"/>
      <c r="AB2714" s="1"/>
      <c r="AC2714" s="1"/>
      <c r="AD2714" s="1"/>
      <c r="AE2714" s="1"/>
      <c r="AF2714" s="1"/>
      <c r="AG2714" s="1"/>
      <c r="AH2714" s="1"/>
      <c r="AI2714" s="1"/>
      <c r="AJ2714" s="1"/>
      <c r="AK2714" s="1"/>
      <c r="AL2714" s="1"/>
      <c r="AM2714" s="1"/>
      <c r="AN2714" s="1"/>
      <c r="AO2714" s="1"/>
      <c r="AP2714" s="1"/>
      <c r="AQ2714" s="1"/>
      <c r="AR2714" s="1"/>
      <c r="AS2714" s="1"/>
      <c r="AT2714" s="1"/>
      <c r="AU2714" s="1"/>
      <c r="AV2714" s="1"/>
      <c r="AW2714" s="1"/>
      <c r="AX2714" s="1"/>
      <c r="AY2714" s="1"/>
      <c r="AZ2714" s="1"/>
      <c r="BA2714" s="1"/>
      <c r="BB2714" s="1"/>
    </row>
    <row r="2715" ht="204.75" customHeight="1">
      <c r="A2715" s="1">
        <v>4124.0</v>
      </c>
      <c r="B2715" s="2" t="s">
        <v>8323</v>
      </c>
      <c r="C2715" s="2">
        <f>IFERROR(__xludf.DUMMYFUNCTION("split(B2715,""_"")"),1110.0)</f>
        <v>1110</v>
      </c>
      <c r="D2715" s="2" t="str">
        <f>IFERROR(__xludf.DUMMYFUNCTION("""COMPUTED_VALUE"""),"EX")</f>
        <v>EX</v>
      </c>
      <c r="E2715" s="2" t="str">
        <f>IFERROR(__xludf.DUMMYFUNCTION("""COMPUTED_VALUE"""),"木21")</f>
        <v>木21</v>
      </c>
      <c r="F2715" s="2" t="s">
        <v>8324</v>
      </c>
      <c r="G2715" s="2" t="s">
        <v>8331</v>
      </c>
      <c r="H2715" s="1">
        <v>3.0</v>
      </c>
      <c r="I2715" s="1" t="s">
        <v>2876</v>
      </c>
      <c r="J2715" s="1" t="s">
        <v>11</v>
      </c>
      <c r="K2715" s="2" t="s">
        <v>8332</v>
      </c>
      <c r="L2715" s="11" t="s">
        <v>8333</v>
      </c>
      <c r="M2715" s="2" t="str">
        <f>IFERROR(__xludf.DUMMYFUNCTION("split(split(K2715,""沢村一樹、"",false),""公式LINE"",false)"),"『総合診療科』の設立を提案した相良(沢村一樹)。森山(高嶋政伸)はそんな相良をいまいましく思っていた。ある日、「腹膜偽粘液腫」という難病の患者がやってきた。相良は高難度であるそのオペを森山に頼みたいと申し出る。相良の真意を測りかねる森山だったが、ある策を胸に執刀を引き受ける…。")</f>
        <v>『総合診療科』の設立を提案した相良(沢村一樹)。森山(高嶋政伸)はそんな相良をいまいましく思っていた。ある日、「腹膜偽粘液腫」という難病の患者がやってきた。相良は高難度であるそのオペを森山に頼みたいと申し出る。相良の真意を測りかねる森山だったが、ある策を胸に執刀を引き受ける…。</v>
      </c>
      <c r="N2715" s="2"/>
      <c r="O2715" s="2"/>
      <c r="P2715" s="1"/>
      <c r="Q2715" s="1"/>
      <c r="R2715" s="1"/>
      <c r="S2715" s="1"/>
      <c r="T2715" s="1"/>
      <c r="U2715" s="1"/>
      <c r="V2715" s="1"/>
      <c r="W2715" s="1"/>
      <c r="X2715" s="1"/>
      <c r="Y2715" s="1"/>
      <c r="Z2715" s="1"/>
      <c r="AA2715" s="1"/>
      <c r="AB2715" s="1"/>
      <c r="AC2715" s="1"/>
      <c r="AD2715" s="1"/>
      <c r="AE2715" s="1"/>
      <c r="AF2715" s="1"/>
      <c r="AG2715" s="1"/>
      <c r="AH2715" s="1"/>
      <c r="AI2715" s="1"/>
      <c r="AJ2715" s="1"/>
      <c r="AK2715" s="1"/>
      <c r="AL2715" s="1"/>
      <c r="AM2715" s="1"/>
      <c r="AN2715" s="1"/>
      <c r="AO2715" s="1"/>
      <c r="AP2715" s="1"/>
      <c r="AQ2715" s="1"/>
      <c r="AR2715" s="1"/>
      <c r="AS2715" s="1"/>
      <c r="AT2715" s="1"/>
      <c r="AU2715" s="1"/>
      <c r="AV2715" s="1"/>
      <c r="AW2715" s="1"/>
      <c r="AX2715" s="1"/>
      <c r="AY2715" s="1"/>
      <c r="AZ2715" s="1"/>
      <c r="BA2715" s="1"/>
      <c r="BB2715" s="1"/>
    </row>
    <row r="2716" ht="204.75" customHeight="1">
      <c r="A2716" s="1">
        <v>4125.0</v>
      </c>
      <c r="B2716" s="2" t="s">
        <v>8323</v>
      </c>
      <c r="C2716" s="2">
        <f>IFERROR(__xludf.DUMMYFUNCTION("split(B2716,""_"")"),1110.0)</f>
        <v>1110</v>
      </c>
      <c r="D2716" s="2" t="str">
        <f>IFERROR(__xludf.DUMMYFUNCTION("""COMPUTED_VALUE"""),"EX")</f>
        <v>EX</v>
      </c>
      <c r="E2716" s="2" t="str">
        <f>IFERROR(__xludf.DUMMYFUNCTION("""COMPUTED_VALUE"""),"木21")</f>
        <v>木21</v>
      </c>
      <c r="F2716" s="2" t="s">
        <v>8324</v>
      </c>
      <c r="G2716" s="2" t="s">
        <v>8334</v>
      </c>
      <c r="H2716" s="1">
        <v>4.0</v>
      </c>
      <c r="I2716" s="1" t="s">
        <v>2880</v>
      </c>
      <c r="J2716" s="1" t="s">
        <v>11</v>
      </c>
      <c r="K2716" s="2" t="s">
        <v>8335</v>
      </c>
      <c r="L2716" s="11" t="s">
        <v>8336</v>
      </c>
      <c r="M2716" s="2" t="str">
        <f>IFERROR(__xludf.DUMMYFUNCTION("split(split(K2716,""沢村一樹、"",false),""公式LINE"",false)"),"相良(沢村一樹)の計らいで同室に入院することになったエリート中学生・俊(西山潤)とホームレスの男・野々村(浅野和之)。2人には、意外な共通点があった。やがて野々村の隠された過去が明らかになっていく。一方で森山(高嶋政伸)は相良の患者の受け入れ体制に反発する!")</f>
        <v>相良(沢村一樹)の計らいで同室に入院することになったエリート中学生・俊(西山潤)とホームレスの男・野々村(浅野和之)。2人には、意外な共通点があった。やがて野々村の隠された過去が明らかになっていく。一方で森山(高嶋政伸)は相良の患者の受け入れ体制に反発する!</v>
      </c>
      <c r="N2716" s="2"/>
      <c r="O2716" s="2"/>
      <c r="P2716" s="1"/>
      <c r="Q2716" s="1"/>
      <c r="R2716" s="1"/>
      <c r="S2716" s="1"/>
      <c r="T2716" s="1"/>
      <c r="U2716" s="1"/>
      <c r="V2716" s="1"/>
      <c r="W2716" s="1"/>
      <c r="X2716" s="1"/>
      <c r="Y2716" s="1"/>
      <c r="Z2716" s="1"/>
      <c r="AA2716" s="1"/>
      <c r="AB2716" s="1"/>
      <c r="AC2716" s="1"/>
      <c r="AD2716" s="1"/>
      <c r="AE2716" s="1"/>
      <c r="AF2716" s="1"/>
      <c r="AG2716" s="1"/>
      <c r="AH2716" s="1"/>
      <c r="AI2716" s="1"/>
      <c r="AJ2716" s="1"/>
      <c r="AK2716" s="1"/>
      <c r="AL2716" s="1"/>
      <c r="AM2716" s="1"/>
      <c r="AN2716" s="1"/>
      <c r="AO2716" s="1"/>
      <c r="AP2716" s="1"/>
      <c r="AQ2716" s="1"/>
      <c r="AR2716" s="1"/>
      <c r="AS2716" s="1"/>
      <c r="AT2716" s="1"/>
      <c r="AU2716" s="1"/>
      <c r="AV2716" s="1"/>
      <c r="AW2716" s="1"/>
      <c r="AX2716" s="1"/>
      <c r="AY2716" s="1"/>
      <c r="AZ2716" s="1"/>
      <c r="BA2716" s="1"/>
      <c r="BB2716" s="1"/>
    </row>
    <row r="2717" ht="204.75" customHeight="1">
      <c r="A2717" s="1">
        <v>4126.0</v>
      </c>
      <c r="B2717" s="2" t="s">
        <v>8323</v>
      </c>
      <c r="C2717" s="2">
        <f>IFERROR(__xludf.DUMMYFUNCTION("split(B2717,""_"")"),1110.0)</f>
        <v>1110</v>
      </c>
      <c r="D2717" s="2" t="str">
        <f>IFERROR(__xludf.DUMMYFUNCTION("""COMPUTED_VALUE"""),"EX")</f>
        <v>EX</v>
      </c>
      <c r="E2717" s="2" t="str">
        <f>IFERROR(__xludf.DUMMYFUNCTION("""COMPUTED_VALUE"""),"木21")</f>
        <v>木21</v>
      </c>
      <c r="F2717" s="2" t="s">
        <v>8324</v>
      </c>
      <c r="G2717" s="2" t="s">
        <v>8337</v>
      </c>
      <c r="H2717" s="1">
        <v>5.0</v>
      </c>
      <c r="I2717" s="1" t="s">
        <v>2884</v>
      </c>
      <c r="J2717" s="1" t="s">
        <v>11</v>
      </c>
      <c r="K2717" s="2" t="s">
        <v>8338</v>
      </c>
      <c r="L2717" s="11" t="s">
        <v>8339</v>
      </c>
      <c r="M2717" s="2" t="str">
        <f>IFERROR(__xludf.DUMMYFUNCTION("split(split(K2717,""沢村一樹、"",false),""公式LINE"",false)"),"ある日、佐々井(正名僕蔵)は亜美(黒川智花)に「ナースの立場をわきまえろ」と発言。森山(高嶋政伸)ら他の外科医達も同等の考えだ。看護師達は怒りを募らせ、対立が激化していた。相良(沢村一樹)は、ある策を講じ、佐知(比嘉愛未)を焚きつけるが…?")</f>
        <v>ある日、佐々井(正名僕蔵)は亜美(黒川智花)に「ナースの立場をわきまえろ」と発言。森山(高嶋政伸)ら他の外科医達も同等の考えだ。看護師達は怒りを募らせ、対立が激化していた。相良(沢村一樹)は、ある策を講じ、佐知(比嘉愛未)を焚きつけるが…?</v>
      </c>
      <c r="N2717" s="2"/>
      <c r="O2717" s="2"/>
      <c r="P2717" s="1"/>
      <c r="Q2717" s="1"/>
      <c r="R2717" s="1"/>
      <c r="S2717" s="1"/>
      <c r="T2717" s="1"/>
      <c r="U2717" s="1"/>
      <c r="V2717" s="1"/>
      <c r="W2717" s="1"/>
      <c r="X2717" s="1"/>
      <c r="Y2717" s="1"/>
      <c r="Z2717" s="1"/>
      <c r="AA2717" s="1"/>
      <c r="AB2717" s="1"/>
      <c r="AC2717" s="1"/>
      <c r="AD2717" s="1"/>
      <c r="AE2717" s="1"/>
      <c r="AF2717" s="1"/>
      <c r="AG2717" s="1"/>
      <c r="AH2717" s="1"/>
      <c r="AI2717" s="1"/>
      <c r="AJ2717" s="1"/>
      <c r="AK2717" s="1"/>
      <c r="AL2717" s="1"/>
      <c r="AM2717" s="1"/>
      <c r="AN2717" s="1"/>
      <c r="AO2717" s="1"/>
      <c r="AP2717" s="1"/>
      <c r="AQ2717" s="1"/>
      <c r="AR2717" s="1"/>
      <c r="AS2717" s="1"/>
      <c r="AT2717" s="1"/>
      <c r="AU2717" s="1"/>
      <c r="AV2717" s="1"/>
      <c r="AW2717" s="1"/>
      <c r="AX2717" s="1"/>
      <c r="AY2717" s="1"/>
      <c r="AZ2717" s="1"/>
      <c r="BA2717" s="1"/>
      <c r="BB2717" s="1"/>
    </row>
    <row r="2718" ht="204.75" customHeight="1">
      <c r="A2718" s="1">
        <v>4127.0</v>
      </c>
      <c r="B2718" s="2" t="s">
        <v>8323</v>
      </c>
      <c r="C2718" s="2">
        <f>IFERROR(__xludf.DUMMYFUNCTION("split(B2718,""_"")"),1110.0)</f>
        <v>1110</v>
      </c>
      <c r="D2718" s="2" t="str">
        <f>IFERROR(__xludf.DUMMYFUNCTION("""COMPUTED_VALUE"""),"EX")</f>
        <v>EX</v>
      </c>
      <c r="E2718" s="2" t="str">
        <f>IFERROR(__xludf.DUMMYFUNCTION("""COMPUTED_VALUE"""),"木21")</f>
        <v>木21</v>
      </c>
      <c r="F2718" s="2" t="s">
        <v>8324</v>
      </c>
      <c r="G2718" s="2" t="s">
        <v>8340</v>
      </c>
      <c r="H2718" s="1">
        <v>6.0</v>
      </c>
      <c r="I2718" s="1" t="s">
        <v>2888</v>
      </c>
      <c r="J2718" s="1" t="s">
        <v>11</v>
      </c>
      <c r="K2718" s="2" t="s">
        <v>8341</v>
      </c>
      <c r="L2718" s="11" t="s">
        <v>8342</v>
      </c>
      <c r="M2718" s="2" t="str">
        <f>IFERROR(__xludf.DUMMYFUNCTION("split(split(K2718,""沢村一樹、"",false),""公式LINE"",false)"),"相良(沢村一樹)は手術を行なったゆき乃(加藤貴子)の術後の容態が思わしくなく、原因究明に奔走していた。その頃、医療専門誌の企画『日本のスーパー外科医100人』の候補に相良が選ばれる。相良は森山(高嶋政伸)も立派なドクターだ、と推薦するが…?")</f>
        <v>相良(沢村一樹)は手術を行なったゆき乃(加藤貴子)の術後の容態が思わしくなく、原因究明に奔走していた。その頃、医療専門誌の企画『日本のスーパー外科医100人』の候補に相良が選ばれる。相良は森山(高嶋政伸)も立派なドクターだ、と推薦するが…?</v>
      </c>
      <c r="N2718" s="2"/>
      <c r="O2718" s="2"/>
      <c r="P2718" s="1"/>
      <c r="Q2718" s="1"/>
      <c r="R2718" s="1"/>
      <c r="S2718" s="1"/>
      <c r="T2718" s="1"/>
      <c r="U2718" s="1"/>
      <c r="V2718" s="1"/>
      <c r="W2718" s="1"/>
      <c r="X2718" s="1"/>
      <c r="Y2718" s="1"/>
      <c r="Z2718" s="1"/>
      <c r="AA2718" s="1"/>
      <c r="AB2718" s="1"/>
      <c r="AC2718" s="1"/>
      <c r="AD2718" s="1"/>
      <c r="AE2718" s="1"/>
      <c r="AF2718" s="1"/>
      <c r="AG2718" s="1"/>
      <c r="AH2718" s="1"/>
      <c r="AI2718" s="1"/>
      <c r="AJ2718" s="1"/>
      <c r="AK2718" s="1"/>
      <c r="AL2718" s="1"/>
      <c r="AM2718" s="1"/>
      <c r="AN2718" s="1"/>
      <c r="AO2718" s="1"/>
      <c r="AP2718" s="1"/>
      <c r="AQ2718" s="1"/>
      <c r="AR2718" s="1"/>
      <c r="AS2718" s="1"/>
      <c r="AT2718" s="1"/>
      <c r="AU2718" s="1"/>
      <c r="AV2718" s="1"/>
      <c r="AW2718" s="1"/>
      <c r="AX2718" s="1"/>
      <c r="AY2718" s="1"/>
      <c r="AZ2718" s="1"/>
      <c r="BA2718" s="1"/>
      <c r="BB2718" s="1"/>
    </row>
    <row r="2719" ht="204.75" customHeight="1">
      <c r="A2719" s="1">
        <v>4128.0</v>
      </c>
      <c r="B2719" s="2" t="s">
        <v>8323</v>
      </c>
      <c r="C2719" s="2">
        <f>IFERROR(__xludf.DUMMYFUNCTION("split(B2719,""_"")"),1110.0)</f>
        <v>1110</v>
      </c>
      <c r="D2719" s="2" t="str">
        <f>IFERROR(__xludf.DUMMYFUNCTION("""COMPUTED_VALUE"""),"EX")</f>
        <v>EX</v>
      </c>
      <c r="E2719" s="2" t="str">
        <f>IFERROR(__xludf.DUMMYFUNCTION("""COMPUTED_VALUE"""),"木21")</f>
        <v>木21</v>
      </c>
      <c r="F2719" s="2" t="s">
        <v>8324</v>
      </c>
      <c r="G2719" s="2" t="s">
        <v>8343</v>
      </c>
      <c r="H2719" s="1">
        <v>7.0</v>
      </c>
      <c r="I2719" s="1" t="s">
        <v>2892</v>
      </c>
      <c r="J2719" s="1" t="s">
        <v>11</v>
      </c>
      <c r="K2719" s="2" t="s">
        <v>8344</v>
      </c>
      <c r="L2719" s="11" t="s">
        <v>8345</v>
      </c>
      <c r="M2719" s="2" t="str">
        <f>IFERROR(__xludf.DUMMYFUNCTION("split(split(K2719,""沢村一樹、"",false),""公式LINE"",false)"),"堂上総合病院に10歳の光太郎(澁谷武尊)が肝硬変で入院してくる。最悪の場合、肝臓がんにも発展しかねない病状に。生体肝移植を提案する相良(沢村一樹)だが、森山(高嶋政伸)らにリスクが高すぎると反対されてしまう。そんな中、相良にも最大の危機が訪れようとしていて…?")</f>
        <v>堂上総合病院に10歳の光太郎(澁谷武尊)が肝硬変で入院してくる。最悪の場合、肝臓がんにも発展しかねない病状に。生体肝移植を提案する相良(沢村一樹)だが、森山(高嶋政伸)らにリスクが高すぎると反対されてしまう。そんな中、相良にも最大の危機が訪れようとしていて…?</v>
      </c>
      <c r="N2719" s="2"/>
      <c r="O2719" s="2"/>
      <c r="P2719" s="1"/>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c r="AN2719" s="1"/>
      <c r="AO2719" s="1"/>
      <c r="AP2719" s="1"/>
      <c r="AQ2719" s="1"/>
      <c r="AR2719" s="1"/>
      <c r="AS2719" s="1"/>
      <c r="AT2719" s="1"/>
      <c r="AU2719" s="1"/>
      <c r="AV2719" s="1"/>
      <c r="AW2719" s="1"/>
      <c r="AX2719" s="1"/>
      <c r="AY2719" s="1"/>
      <c r="AZ2719" s="1"/>
      <c r="BA2719" s="1"/>
      <c r="BB2719" s="1"/>
    </row>
    <row r="2720" ht="204.75" customHeight="1">
      <c r="A2720" s="1">
        <v>4129.0</v>
      </c>
      <c r="B2720" s="2" t="s">
        <v>8323</v>
      </c>
      <c r="C2720" s="2">
        <f>IFERROR(__xludf.DUMMYFUNCTION("split(B2720,""_"")"),1110.0)</f>
        <v>1110</v>
      </c>
      <c r="D2720" s="2" t="str">
        <f>IFERROR(__xludf.DUMMYFUNCTION("""COMPUTED_VALUE"""),"EX")</f>
        <v>EX</v>
      </c>
      <c r="E2720" s="2" t="str">
        <f>IFERROR(__xludf.DUMMYFUNCTION("""COMPUTED_VALUE"""),"木21")</f>
        <v>木21</v>
      </c>
      <c r="F2720" s="2" t="s">
        <v>8324</v>
      </c>
      <c r="G2720" s="2" t="s">
        <v>8346</v>
      </c>
      <c r="H2720" s="1">
        <v>8.0</v>
      </c>
      <c r="J2720" s="1" t="s">
        <v>4</v>
      </c>
      <c r="K2720" s="2" t="s">
        <v>8347</v>
      </c>
      <c r="L2720" s="11" t="s">
        <v>8348</v>
      </c>
      <c r="M2720" s="2" t="str">
        <f>IFERROR(__xludf.DUMMYFUNCTION("split(split(K2720,""沢村一樹、"",false),""公式LINE"",false)"),"胃がんが発覚した相良(沢村一樹)は、その手術を森山(高嶋政伸)に依頼する。森山に命を託す相良だったが、相良を嫌う森山の心は揺れ動く。一方、生体肝移植を目指す光太郎(澁谷武尊)のドナー探しも難航していた。果たして相良の手術は成功するのか?光太郎の運命は!?")</f>
        <v>胃がんが発覚した相良(沢村一樹)は、その手術を森山(高嶋政伸)に依頼する。森山に命を託す相良だったが、相良を嫌う森山の心は揺れ動く。一方、生体肝移植を目指す光太郎(澁谷武尊)のドナー探しも難航していた。果たして相良の手術は成功するのか?光太郎の運命は!?</v>
      </c>
      <c r="N2720" s="2"/>
      <c r="O2720" s="2"/>
      <c r="P2720" s="1"/>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c r="AN2720" s="1"/>
      <c r="AO2720" s="1"/>
      <c r="AP2720" s="1"/>
      <c r="AQ2720" s="1"/>
      <c r="AR2720" s="1"/>
      <c r="AS2720" s="1"/>
      <c r="AT2720" s="1"/>
      <c r="AU2720" s="1"/>
      <c r="AV2720" s="1"/>
      <c r="AW2720" s="1"/>
      <c r="AX2720" s="1"/>
      <c r="AY2720" s="1"/>
      <c r="AZ2720" s="1"/>
      <c r="BA2720" s="1"/>
      <c r="BB2720" s="1"/>
    </row>
    <row r="2721" ht="204.75" customHeight="1">
      <c r="A2721" s="1">
        <v>4159.0</v>
      </c>
      <c r="B2721" s="2" t="s">
        <v>8349</v>
      </c>
      <c r="C2721" s="2">
        <f>IFERROR(__xludf.DUMMYFUNCTION("split(B2721,""_"")"),1110.0)</f>
        <v>1110</v>
      </c>
      <c r="D2721" s="2" t="str">
        <f>IFERROR(__xludf.DUMMYFUNCTION("""COMPUTED_VALUE"""),"EX")</f>
        <v>EX</v>
      </c>
      <c r="E2721" s="2" t="str">
        <f>IFERROR(__xludf.DUMMYFUNCTION("""COMPUTED_VALUE"""),"金23")</f>
        <v>金23</v>
      </c>
      <c r="F2721" s="2" t="s">
        <v>8350</v>
      </c>
      <c r="G2721" s="2" t="s">
        <v>8351</v>
      </c>
      <c r="H2721" s="1">
        <v>1.0</v>
      </c>
      <c r="I2721" s="1" t="s">
        <v>2868</v>
      </c>
      <c r="J2721" s="1" t="s">
        <v>1435</v>
      </c>
      <c r="K2721" s="4" t="s">
        <v>8352</v>
      </c>
      <c r="L2721" s="11" t="s">
        <v>8353</v>
      </c>
      <c r="M2721" s="2" t="str">
        <f>IFERROR(__xludf.DUMMYFUNCTION("split(split(K2721,""神木隆之介、"",false),""公式LINE"",false)"),"子供8人の真田家の父親・実(田辺誠一)は仕事がないカメラマンで、母親の恵(光浦靖子)のカフェには客が来ない。10名の貧乏大家族を長男・一男(神木隆之介)が支えている。ある日、末っ子の才悟(加藤清史郎)に謎の幽霊(広末涼子)が見え…!?")</f>
        <v>子供8人の真田家の父親・実(田辺誠一)は仕事がないカメラマンで、母親の恵(光浦靖子)のカフェには客が来ない。10名の貧乏大家族を長男・一男(神木隆之介)が支えている。ある日、末っ子の才悟(加藤清史郎)に謎の幽霊(広末涼子)が見え…!?</v>
      </c>
      <c r="N2721" s="2"/>
      <c r="O2721" s="2"/>
      <c r="P2721" s="1"/>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c r="AN2721" s="1"/>
      <c r="AO2721" s="1"/>
      <c r="AP2721" s="1"/>
      <c r="AQ2721" s="1"/>
      <c r="AR2721" s="1"/>
      <c r="AS2721" s="1"/>
      <c r="AT2721" s="1"/>
      <c r="AU2721" s="1"/>
      <c r="AV2721" s="1"/>
      <c r="AW2721" s="1"/>
      <c r="AX2721" s="1"/>
      <c r="AY2721" s="1"/>
      <c r="AZ2721" s="1"/>
      <c r="BA2721" s="1"/>
      <c r="BB2721" s="1"/>
    </row>
    <row r="2722" ht="204.75" customHeight="1">
      <c r="A2722" s="1">
        <v>4160.0</v>
      </c>
      <c r="B2722" s="2" t="s">
        <v>8349</v>
      </c>
      <c r="C2722" s="2">
        <f>IFERROR(__xludf.DUMMYFUNCTION("split(B2722,""_"")"),1110.0)</f>
        <v>1110</v>
      </c>
      <c r="D2722" s="2" t="str">
        <f>IFERROR(__xludf.DUMMYFUNCTION("""COMPUTED_VALUE"""),"EX")</f>
        <v>EX</v>
      </c>
      <c r="E2722" s="2" t="str">
        <f>IFERROR(__xludf.DUMMYFUNCTION("""COMPUTED_VALUE"""),"金23")</f>
        <v>金23</v>
      </c>
      <c r="F2722" s="2" t="s">
        <v>8350</v>
      </c>
      <c r="G2722" s="2" t="s">
        <v>8354</v>
      </c>
      <c r="H2722" s="1">
        <v>2.0</v>
      </c>
      <c r="I2722" s="1" t="s">
        <v>2872</v>
      </c>
      <c r="J2722" s="1" t="s">
        <v>1435</v>
      </c>
      <c r="K2722" s="2" t="s">
        <v>8355</v>
      </c>
      <c r="L2722" s="11" t="s">
        <v>8356</v>
      </c>
      <c r="M2722" s="2" t="str">
        <f>IFERROR(__xludf.DUMMYFUNCTION("split(split(K2722,""神木隆之介、"",false),""公式LINE"",false)"),"向田邦子賞受賞後、人気脚本家・宮藤官九郎が初めて描く待望の連続ドラマ!“大家族”をテーマにした“笑って”“泣ける”まったく新しいホームドラマがついに誕生!")</f>
        <v>向田邦子賞受賞後、人気脚本家・宮藤官九郎が初めて描く待望の連続ドラマ!“大家族”をテーマにした“笑って”“泣ける”まったく新しいホームドラマがついに誕生!</v>
      </c>
      <c r="N2722" s="2"/>
      <c r="O2722" s="2"/>
      <c r="P2722" s="1"/>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c r="AN2722" s="1"/>
      <c r="AO2722" s="1"/>
      <c r="AP2722" s="1"/>
      <c r="AQ2722" s="1"/>
      <c r="AR2722" s="1"/>
      <c r="AS2722" s="1"/>
      <c r="AT2722" s="1"/>
      <c r="AU2722" s="1"/>
      <c r="AV2722" s="1"/>
      <c r="AW2722" s="1"/>
      <c r="AX2722" s="1"/>
      <c r="AY2722" s="1"/>
      <c r="AZ2722" s="1"/>
      <c r="BA2722" s="1"/>
      <c r="BB2722" s="1"/>
    </row>
    <row r="2723" ht="204.75" customHeight="1">
      <c r="A2723" s="1">
        <v>4161.0</v>
      </c>
      <c r="B2723" s="2" t="s">
        <v>8349</v>
      </c>
      <c r="C2723" s="2">
        <f>IFERROR(__xludf.DUMMYFUNCTION("split(B2723,""_"")"),1110.0)</f>
        <v>1110</v>
      </c>
      <c r="D2723" s="2" t="str">
        <f>IFERROR(__xludf.DUMMYFUNCTION("""COMPUTED_VALUE"""),"EX")</f>
        <v>EX</v>
      </c>
      <c r="E2723" s="2" t="str">
        <f>IFERROR(__xludf.DUMMYFUNCTION("""COMPUTED_VALUE"""),"金23")</f>
        <v>金23</v>
      </c>
      <c r="F2723" s="2" t="s">
        <v>8350</v>
      </c>
      <c r="G2723" s="2" t="s">
        <v>8357</v>
      </c>
      <c r="H2723" s="1">
        <v>3.0</v>
      </c>
      <c r="I2723" s="1" t="s">
        <v>2876</v>
      </c>
      <c r="J2723" s="1" t="s">
        <v>1435</v>
      </c>
      <c r="K2723" s="2" t="s">
        <v>8358</v>
      </c>
      <c r="L2723" s="11" t="s">
        <v>8356</v>
      </c>
      <c r="M2723" s="2" t="str">
        <f>IFERROR(__xludf.DUMMYFUNCTION("split(split(K2723,""神木隆之介、"",false),""公式LINE"",false)"),"向田邦子賞受賞後、人気脚本家・宮藤官九郎が初めて描く待望の連続ドラマ!“大家族”をテーマにした“笑って”“泣ける”まったく新しいホームドラマがついに誕生!")</f>
        <v>向田邦子賞受賞後、人気脚本家・宮藤官九郎が初めて描く待望の連続ドラマ!“大家族”をテーマにした“笑って”“泣ける”まったく新しいホームドラマがついに誕生!</v>
      </c>
      <c r="N2723" s="2"/>
      <c r="O2723" s="2"/>
      <c r="P2723" s="1"/>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c r="AN2723" s="1"/>
      <c r="AO2723" s="1"/>
      <c r="AP2723" s="1"/>
      <c r="AQ2723" s="1"/>
      <c r="AR2723" s="1"/>
      <c r="AS2723" s="1"/>
      <c r="AT2723" s="1"/>
      <c r="AU2723" s="1"/>
      <c r="AV2723" s="1"/>
      <c r="AW2723" s="1"/>
      <c r="AX2723" s="1"/>
      <c r="AY2723" s="1"/>
      <c r="AZ2723" s="1"/>
      <c r="BA2723" s="1"/>
      <c r="BB2723" s="1"/>
    </row>
    <row r="2724" ht="204.75" customHeight="1">
      <c r="A2724" s="1">
        <v>4162.0</v>
      </c>
      <c r="B2724" s="2" t="s">
        <v>8349</v>
      </c>
      <c r="C2724" s="2">
        <f>IFERROR(__xludf.DUMMYFUNCTION("split(B2724,""_"")"),1110.0)</f>
        <v>1110</v>
      </c>
      <c r="D2724" s="2" t="str">
        <f>IFERROR(__xludf.DUMMYFUNCTION("""COMPUTED_VALUE"""),"EX")</f>
        <v>EX</v>
      </c>
      <c r="E2724" s="2" t="str">
        <f>IFERROR(__xludf.DUMMYFUNCTION("""COMPUTED_VALUE"""),"金23")</f>
        <v>金23</v>
      </c>
      <c r="F2724" s="2" t="s">
        <v>8350</v>
      </c>
      <c r="G2724" s="2" t="s">
        <v>8359</v>
      </c>
      <c r="H2724" s="1">
        <v>4.0</v>
      </c>
      <c r="I2724" s="1" t="s">
        <v>2880</v>
      </c>
      <c r="J2724" s="1" t="s">
        <v>1435</v>
      </c>
      <c r="K2724" s="2" t="s">
        <v>8360</v>
      </c>
      <c r="L2724" s="11" t="s">
        <v>8356</v>
      </c>
      <c r="M2724" s="2" t="str">
        <f>IFERROR(__xludf.DUMMYFUNCTION("split(split(K2724,""神木隆之介、"",false),""公式LINE"",false)"),"向田邦子賞受賞後、人気脚本家・宮藤官九郎が初めて描く待望の連続ドラマ!“大家族”をテーマにした“笑って”“泣ける”まったく新しいホームドラマがついに誕生!")</f>
        <v>向田邦子賞受賞後、人気脚本家・宮藤官九郎が初めて描く待望の連続ドラマ!“大家族”をテーマにした“笑って”“泣ける”まったく新しいホームドラマがついに誕生!</v>
      </c>
      <c r="N2724" s="2"/>
      <c r="O2724" s="2"/>
      <c r="P2724" s="1"/>
      <c r="Q2724" s="1"/>
      <c r="R2724" s="1"/>
      <c r="S2724" s="1"/>
      <c r="T2724" s="1"/>
      <c r="U2724" s="1"/>
      <c r="V2724" s="1"/>
      <c r="W2724" s="1"/>
      <c r="X2724" s="1"/>
      <c r="Y2724" s="1"/>
      <c r="Z2724" s="1"/>
      <c r="AA2724" s="1"/>
      <c r="AB2724" s="1"/>
      <c r="AC2724" s="1"/>
      <c r="AD2724" s="1"/>
      <c r="AE2724" s="1"/>
      <c r="AF2724" s="1"/>
      <c r="AG2724" s="1"/>
      <c r="AH2724" s="1"/>
      <c r="AI2724" s="1"/>
      <c r="AJ2724" s="1"/>
      <c r="AK2724" s="1"/>
      <c r="AL2724" s="1"/>
      <c r="AM2724" s="1"/>
      <c r="AN2724" s="1"/>
      <c r="AO2724" s="1"/>
      <c r="AP2724" s="1"/>
      <c r="AQ2724" s="1"/>
      <c r="AR2724" s="1"/>
      <c r="AS2724" s="1"/>
      <c r="AT2724" s="1"/>
      <c r="AU2724" s="1"/>
      <c r="AV2724" s="1"/>
      <c r="AW2724" s="1"/>
      <c r="AX2724" s="1"/>
      <c r="AY2724" s="1"/>
      <c r="AZ2724" s="1"/>
      <c r="BA2724" s="1"/>
      <c r="BB2724" s="1"/>
    </row>
    <row r="2725" ht="204.75" customHeight="1">
      <c r="A2725" s="1">
        <v>4163.0</v>
      </c>
      <c r="B2725" s="2" t="s">
        <v>8349</v>
      </c>
      <c r="C2725" s="2">
        <f>IFERROR(__xludf.DUMMYFUNCTION("split(B2725,""_"")"),1110.0)</f>
        <v>1110</v>
      </c>
      <c r="D2725" s="2" t="str">
        <f>IFERROR(__xludf.DUMMYFUNCTION("""COMPUTED_VALUE"""),"EX")</f>
        <v>EX</v>
      </c>
      <c r="E2725" s="2" t="str">
        <f>IFERROR(__xludf.DUMMYFUNCTION("""COMPUTED_VALUE"""),"金23")</f>
        <v>金23</v>
      </c>
      <c r="F2725" s="2" t="s">
        <v>8350</v>
      </c>
      <c r="G2725" s="2" t="s">
        <v>8361</v>
      </c>
      <c r="H2725" s="1">
        <v>5.0</v>
      </c>
      <c r="I2725" s="1" t="s">
        <v>2884</v>
      </c>
      <c r="J2725" s="1" t="s">
        <v>1435</v>
      </c>
      <c r="K2725" s="2" t="s">
        <v>8362</v>
      </c>
      <c r="L2725" s="11" t="s">
        <v>8356</v>
      </c>
      <c r="M2725" s="2" t="str">
        <f>IFERROR(__xludf.DUMMYFUNCTION("split(split(K2725,""神木隆之介、"",false),""公式LINE"",false)"),"向田邦子賞受賞後、人気脚本家・宮藤官九郎が初めて描く待望の連続ドラマ!“大家族”をテーマにした“笑って”“泣ける”まったく新しいホームドラマがついに誕生!")</f>
        <v>向田邦子賞受賞後、人気脚本家・宮藤官九郎が初めて描く待望の連続ドラマ!“大家族”をテーマにした“笑って”“泣ける”まったく新しいホームドラマがついに誕生!</v>
      </c>
      <c r="N2725" s="2"/>
      <c r="O2725" s="2"/>
      <c r="P2725" s="1"/>
      <c r="Q2725" s="1"/>
      <c r="R2725" s="1"/>
      <c r="S2725" s="1"/>
      <c r="T2725" s="1"/>
      <c r="U2725" s="1"/>
      <c r="V2725" s="1"/>
      <c r="W2725" s="1"/>
      <c r="X2725" s="1"/>
      <c r="Y2725" s="1"/>
      <c r="Z2725" s="1"/>
      <c r="AA2725" s="1"/>
      <c r="AB2725" s="1"/>
      <c r="AC2725" s="1"/>
      <c r="AD2725" s="1"/>
      <c r="AE2725" s="1"/>
      <c r="AF2725" s="1"/>
      <c r="AG2725" s="1"/>
      <c r="AH2725" s="1"/>
      <c r="AI2725" s="1"/>
      <c r="AJ2725" s="1"/>
      <c r="AK2725" s="1"/>
      <c r="AL2725" s="1"/>
      <c r="AM2725" s="1"/>
      <c r="AN2725" s="1"/>
      <c r="AO2725" s="1"/>
      <c r="AP2725" s="1"/>
      <c r="AQ2725" s="1"/>
      <c r="AR2725" s="1"/>
      <c r="AS2725" s="1"/>
      <c r="AT2725" s="1"/>
      <c r="AU2725" s="1"/>
      <c r="AV2725" s="1"/>
      <c r="AW2725" s="1"/>
      <c r="AX2725" s="1"/>
      <c r="AY2725" s="1"/>
      <c r="AZ2725" s="1"/>
      <c r="BA2725" s="1"/>
      <c r="BB2725" s="1"/>
    </row>
    <row r="2726" ht="204.75" customHeight="1">
      <c r="A2726" s="1">
        <v>4164.0</v>
      </c>
      <c r="B2726" s="2" t="s">
        <v>8349</v>
      </c>
      <c r="C2726" s="2">
        <f>IFERROR(__xludf.DUMMYFUNCTION("split(B2726,""_"")"),1110.0)</f>
        <v>1110</v>
      </c>
      <c r="D2726" s="2" t="str">
        <f>IFERROR(__xludf.DUMMYFUNCTION("""COMPUTED_VALUE"""),"EX")</f>
        <v>EX</v>
      </c>
      <c r="E2726" s="2" t="str">
        <f>IFERROR(__xludf.DUMMYFUNCTION("""COMPUTED_VALUE"""),"金23")</f>
        <v>金23</v>
      </c>
      <c r="F2726" s="2" t="s">
        <v>8350</v>
      </c>
      <c r="G2726" s="2" t="s">
        <v>8363</v>
      </c>
      <c r="H2726" s="1">
        <v>6.0</v>
      </c>
      <c r="I2726" s="1" t="s">
        <v>2888</v>
      </c>
      <c r="J2726" s="1" t="s">
        <v>1435</v>
      </c>
      <c r="K2726" s="2" t="s">
        <v>8360</v>
      </c>
      <c r="L2726" s="11" t="s">
        <v>8356</v>
      </c>
      <c r="M2726" s="2" t="str">
        <f>IFERROR(__xludf.DUMMYFUNCTION("split(split(K2726,""神木隆之介、"",false),""公式LINE"",false)"),"向田邦子賞受賞後、人気脚本家・宮藤官九郎が初めて描く待望の連続ドラマ!“大家族”をテーマにした“笑って”“泣ける”まったく新しいホームドラマがついに誕生!")</f>
        <v>向田邦子賞受賞後、人気脚本家・宮藤官九郎が初めて描く待望の連続ドラマ!“大家族”をテーマにした“笑って”“泣ける”まったく新しいホームドラマがついに誕生!</v>
      </c>
      <c r="N2726" s="2"/>
      <c r="O2726" s="2"/>
      <c r="P2726" s="1"/>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c r="AN2726" s="1"/>
      <c r="AO2726" s="1"/>
      <c r="AP2726" s="1"/>
      <c r="AQ2726" s="1"/>
      <c r="AR2726" s="1"/>
      <c r="AS2726" s="1"/>
      <c r="AT2726" s="1"/>
      <c r="AU2726" s="1"/>
      <c r="AV2726" s="1"/>
      <c r="AW2726" s="1"/>
      <c r="AX2726" s="1"/>
      <c r="AY2726" s="1"/>
      <c r="AZ2726" s="1"/>
      <c r="BA2726" s="1"/>
      <c r="BB2726" s="1"/>
    </row>
    <row r="2727" ht="204.75" customHeight="1">
      <c r="A2727" s="1">
        <v>4165.0</v>
      </c>
      <c r="B2727" s="2" t="s">
        <v>8349</v>
      </c>
      <c r="C2727" s="2">
        <f>IFERROR(__xludf.DUMMYFUNCTION("split(B2727,""_"")"),1110.0)</f>
        <v>1110</v>
      </c>
      <c r="D2727" s="2" t="str">
        <f>IFERROR(__xludf.DUMMYFUNCTION("""COMPUTED_VALUE"""),"EX")</f>
        <v>EX</v>
      </c>
      <c r="E2727" s="2" t="str">
        <f>IFERROR(__xludf.DUMMYFUNCTION("""COMPUTED_VALUE"""),"金23")</f>
        <v>金23</v>
      </c>
      <c r="F2727" s="2" t="s">
        <v>8350</v>
      </c>
      <c r="G2727" s="2" t="s">
        <v>8364</v>
      </c>
      <c r="H2727" s="1">
        <v>7.0</v>
      </c>
      <c r="I2727" s="1" t="s">
        <v>2892</v>
      </c>
      <c r="J2727" s="1" t="s">
        <v>1435</v>
      </c>
      <c r="K2727" s="2" t="s">
        <v>8362</v>
      </c>
      <c r="L2727" s="11" t="s">
        <v>8356</v>
      </c>
      <c r="M2727" s="2" t="str">
        <f>IFERROR(__xludf.DUMMYFUNCTION("split(split(K2727,""神木隆之介、"",false),""公式LINE"",false)"),"向田邦子賞受賞後、人気脚本家・宮藤官九郎が初めて描く待望の連続ドラマ!“大家族”をテーマにした“笑って”“泣ける”まったく新しいホームドラマがついに誕生!")</f>
        <v>向田邦子賞受賞後、人気脚本家・宮藤官九郎が初めて描く待望の連続ドラマ!“大家族”をテーマにした“笑って”“泣ける”まったく新しいホームドラマがついに誕生!</v>
      </c>
      <c r="N2727" s="2"/>
      <c r="O2727" s="2"/>
      <c r="P2727" s="1"/>
      <c r="Q2727" s="1"/>
      <c r="R2727" s="1"/>
      <c r="S2727" s="1"/>
      <c r="T2727" s="1"/>
      <c r="U2727" s="1"/>
      <c r="V2727" s="1"/>
      <c r="W2727" s="1"/>
      <c r="X2727" s="1"/>
      <c r="Y2727" s="1"/>
      <c r="Z2727" s="1"/>
      <c r="AA2727" s="1"/>
      <c r="AB2727" s="1"/>
      <c r="AC2727" s="1"/>
      <c r="AD2727" s="1"/>
      <c r="AE2727" s="1"/>
      <c r="AF2727" s="1"/>
      <c r="AG2727" s="1"/>
      <c r="AH2727" s="1"/>
      <c r="AI2727" s="1"/>
      <c r="AJ2727" s="1"/>
      <c r="AK2727" s="1"/>
      <c r="AL2727" s="1"/>
      <c r="AM2727" s="1"/>
      <c r="AN2727" s="1"/>
      <c r="AO2727" s="1"/>
      <c r="AP2727" s="1"/>
      <c r="AQ2727" s="1"/>
      <c r="AR2727" s="1"/>
      <c r="AS2727" s="1"/>
      <c r="AT2727" s="1"/>
      <c r="AU2727" s="1"/>
      <c r="AV2727" s="1"/>
      <c r="AW2727" s="1"/>
      <c r="AX2727" s="1"/>
      <c r="AY2727" s="1"/>
      <c r="AZ2727" s="1"/>
      <c r="BA2727" s="1"/>
      <c r="BB2727" s="1"/>
    </row>
    <row r="2728" ht="204.75" customHeight="1">
      <c r="A2728" s="1">
        <v>4166.0</v>
      </c>
      <c r="B2728" s="2" t="s">
        <v>8349</v>
      </c>
      <c r="C2728" s="2">
        <f>IFERROR(__xludf.DUMMYFUNCTION("split(B2728,""_"")"),1110.0)</f>
        <v>1110</v>
      </c>
      <c r="D2728" s="2" t="str">
        <f>IFERROR(__xludf.DUMMYFUNCTION("""COMPUTED_VALUE"""),"EX")</f>
        <v>EX</v>
      </c>
      <c r="E2728" s="2" t="str">
        <f>IFERROR(__xludf.DUMMYFUNCTION("""COMPUTED_VALUE"""),"金23")</f>
        <v>金23</v>
      </c>
      <c r="F2728" s="2" t="s">
        <v>8350</v>
      </c>
      <c r="G2728" s="2" t="s">
        <v>8365</v>
      </c>
      <c r="H2728" s="1">
        <v>8.0</v>
      </c>
      <c r="I2728" s="1" t="s">
        <v>2896</v>
      </c>
      <c r="J2728" s="1" t="s">
        <v>1435</v>
      </c>
      <c r="K2728" s="2" t="s">
        <v>8360</v>
      </c>
      <c r="L2728" s="11" t="s">
        <v>8356</v>
      </c>
      <c r="M2728" s="2" t="str">
        <f>IFERROR(__xludf.DUMMYFUNCTION("split(split(K2728,""神木隆之介、"",false),""公式LINE"",false)"),"向田邦子賞受賞後、人気脚本家・宮藤官九郎が初めて描く待望の連続ドラマ!“大家族”をテーマにした“笑って”“泣ける”まったく新しいホームドラマがついに誕生!")</f>
        <v>向田邦子賞受賞後、人気脚本家・宮藤官九郎が初めて描く待望の連続ドラマ!“大家族”をテーマにした“笑って”“泣ける”まったく新しいホームドラマがついに誕生!</v>
      </c>
      <c r="N2728" s="2"/>
      <c r="O2728" s="2"/>
      <c r="P2728" s="1"/>
      <c r="Q2728" s="1"/>
      <c r="R2728" s="1"/>
      <c r="S2728" s="1"/>
      <c r="T2728" s="1"/>
      <c r="U2728" s="1"/>
      <c r="V2728" s="1"/>
      <c r="W2728" s="1"/>
      <c r="X2728" s="1"/>
      <c r="Y2728" s="1"/>
      <c r="Z2728" s="1"/>
      <c r="AA2728" s="1"/>
      <c r="AB2728" s="1"/>
      <c r="AC2728" s="1"/>
      <c r="AD2728" s="1"/>
      <c r="AE2728" s="1"/>
      <c r="AF2728" s="1"/>
      <c r="AG2728" s="1"/>
      <c r="AH2728" s="1"/>
      <c r="AI2728" s="1"/>
      <c r="AJ2728" s="1"/>
      <c r="AK2728" s="1"/>
      <c r="AL2728" s="1"/>
      <c r="AM2728" s="1"/>
      <c r="AN2728" s="1"/>
      <c r="AO2728" s="1"/>
      <c r="AP2728" s="1"/>
      <c r="AQ2728" s="1"/>
      <c r="AR2728" s="1"/>
      <c r="AS2728" s="1"/>
      <c r="AT2728" s="1"/>
      <c r="AU2728" s="1"/>
      <c r="AV2728" s="1"/>
      <c r="AW2728" s="1"/>
      <c r="AX2728" s="1"/>
      <c r="AY2728" s="1"/>
      <c r="AZ2728" s="1"/>
      <c r="BA2728" s="1"/>
      <c r="BB2728" s="1"/>
    </row>
    <row r="2729" ht="204.75" customHeight="1">
      <c r="A2729" s="1">
        <v>4167.0</v>
      </c>
      <c r="B2729" s="2" t="s">
        <v>8349</v>
      </c>
      <c r="C2729" s="2">
        <f>IFERROR(__xludf.DUMMYFUNCTION("split(B2729,""_"")"),1110.0)</f>
        <v>1110</v>
      </c>
      <c r="D2729" s="2" t="str">
        <f>IFERROR(__xludf.DUMMYFUNCTION("""COMPUTED_VALUE"""),"EX")</f>
        <v>EX</v>
      </c>
      <c r="E2729" s="2" t="str">
        <f>IFERROR(__xludf.DUMMYFUNCTION("""COMPUTED_VALUE"""),"金23")</f>
        <v>金23</v>
      </c>
      <c r="F2729" s="2" t="s">
        <v>8350</v>
      </c>
      <c r="G2729" s="2" t="s">
        <v>8366</v>
      </c>
      <c r="H2729" s="1">
        <v>9.0</v>
      </c>
      <c r="J2729" s="1" t="s">
        <v>1435</v>
      </c>
      <c r="K2729" s="2" t="s">
        <v>8362</v>
      </c>
      <c r="L2729" s="11" t="s">
        <v>8356</v>
      </c>
      <c r="M2729" s="2" t="str">
        <f>IFERROR(__xludf.DUMMYFUNCTION("split(split(K2729,""神木隆之介、"",false),""公式LINE"",false)"),"向田邦子賞受賞後、人気脚本家・宮藤官九郎が初めて描く待望の連続ドラマ!“大家族”をテーマにした“笑って”“泣ける”まったく新しいホームドラマがついに誕生!")</f>
        <v>向田邦子賞受賞後、人気脚本家・宮藤官九郎が初めて描く待望の連続ドラマ!“大家族”をテーマにした“笑って”“泣ける”まったく新しいホームドラマがついに誕生!</v>
      </c>
      <c r="N2729" s="2"/>
      <c r="O2729" s="2"/>
      <c r="P2729" s="1"/>
      <c r="Q2729" s="1"/>
      <c r="R2729" s="1"/>
      <c r="S2729" s="1"/>
      <c r="T2729" s="1"/>
      <c r="U2729" s="1"/>
      <c r="V2729" s="1"/>
      <c r="W2729" s="1"/>
      <c r="X2729" s="1"/>
      <c r="Y2729" s="1"/>
      <c r="Z2729" s="1"/>
      <c r="AA2729" s="1"/>
      <c r="AB2729" s="1"/>
      <c r="AC2729" s="1"/>
      <c r="AD2729" s="1"/>
      <c r="AE2729" s="1"/>
      <c r="AF2729" s="1"/>
      <c r="AG2729" s="1"/>
      <c r="AH2729" s="1"/>
      <c r="AI2729" s="1"/>
      <c r="AJ2729" s="1"/>
      <c r="AK2729" s="1"/>
      <c r="AL2729" s="1"/>
      <c r="AM2729" s="1"/>
      <c r="AN2729" s="1"/>
      <c r="AO2729" s="1"/>
      <c r="AP2729" s="1"/>
      <c r="AQ2729" s="1"/>
      <c r="AR2729" s="1"/>
      <c r="AS2729" s="1"/>
      <c r="AT2729" s="1"/>
      <c r="AU2729" s="1"/>
      <c r="AV2729" s="1"/>
      <c r="AW2729" s="1"/>
      <c r="AX2729" s="1"/>
      <c r="AY2729" s="1"/>
      <c r="AZ2729" s="1"/>
      <c r="BA2729" s="1"/>
      <c r="BB2729" s="1"/>
    </row>
    <row r="2730" ht="204.75" customHeight="1">
      <c r="A2730" s="1">
        <v>4242.0</v>
      </c>
      <c r="B2730" s="2" t="s">
        <v>8367</v>
      </c>
      <c r="C2730" s="2">
        <f>IFERROR(__xludf.DUMMYFUNCTION("split(B2730,""_"")"),1107.0)</f>
        <v>1107</v>
      </c>
      <c r="D2730" s="2" t="str">
        <f>IFERROR(__xludf.DUMMYFUNCTION("""COMPUTED_VALUE"""),"EX")</f>
        <v>EX</v>
      </c>
      <c r="E2730" s="2" t="str">
        <f>IFERROR(__xludf.DUMMYFUNCTION("""COMPUTED_VALUE"""),"木21")</f>
        <v>木21</v>
      </c>
      <c r="F2730" s="2" t="s">
        <v>8368</v>
      </c>
      <c r="G2730" s="2" t="s">
        <v>8369</v>
      </c>
      <c r="H2730" s="1">
        <v>1.0</v>
      </c>
      <c r="I2730" s="1" t="s">
        <v>2868</v>
      </c>
      <c r="J2730" s="1" t="s">
        <v>4</v>
      </c>
      <c r="K2730" s="4" t="s">
        <v>8370</v>
      </c>
      <c r="L2730" s="11" t="s">
        <v>8371</v>
      </c>
      <c r="M2730" s="2" t="str">
        <f>IFERROR(__xludf.DUMMYFUNCTION("split(split(K2730,""佐藤浩市、"",false),""公式LINE"",false)"),"捜査一課の刑事・遠野一行(佐藤浩市)はある事件の責任を取り、警察学校の新任教官として訓練生を指導することになった。そこで待っていたのは、宮田英二(三浦春馬)をはじめとした、甘い考えを持つイマドキの若き訓練生たち。彼らの戦いの夏が始まる!")</f>
        <v>捜査一課の刑事・遠野一行(佐藤浩市)はある事件の責任を取り、警察学校の新任教官として訓練生を指導することになった。そこで待っていたのは、宮田英二(三浦春馬)をはじめとした、甘い考えを持つイマドキの若き訓練生たち。彼らの戦いの夏が始まる!</v>
      </c>
      <c r="N2730" s="2"/>
      <c r="O2730" s="2"/>
      <c r="P2730" s="1"/>
      <c r="Q2730" s="1"/>
      <c r="R2730" s="1"/>
      <c r="S2730" s="1"/>
      <c r="T2730" s="1"/>
      <c r="U2730" s="1"/>
      <c r="V2730" s="1"/>
      <c r="W2730" s="1"/>
      <c r="X2730" s="1"/>
      <c r="Y2730" s="1"/>
      <c r="Z2730" s="1"/>
      <c r="AA2730" s="1"/>
      <c r="AB2730" s="1"/>
      <c r="AC2730" s="1"/>
      <c r="AD2730" s="1"/>
      <c r="AE2730" s="1"/>
      <c r="AF2730" s="1"/>
      <c r="AG2730" s="1"/>
      <c r="AH2730" s="1"/>
      <c r="AI2730" s="1"/>
      <c r="AJ2730" s="1"/>
      <c r="AK2730" s="1"/>
      <c r="AL2730" s="1"/>
      <c r="AM2730" s="1"/>
      <c r="AN2730" s="1"/>
      <c r="AO2730" s="1"/>
      <c r="AP2730" s="1"/>
      <c r="AQ2730" s="1"/>
      <c r="AR2730" s="1"/>
      <c r="AS2730" s="1"/>
      <c r="AT2730" s="1"/>
      <c r="AU2730" s="1"/>
      <c r="AV2730" s="1"/>
      <c r="AW2730" s="1"/>
      <c r="AX2730" s="1"/>
      <c r="AY2730" s="1"/>
      <c r="AZ2730" s="1"/>
      <c r="BA2730" s="1"/>
      <c r="BB2730" s="1"/>
    </row>
    <row r="2731" ht="204.75" customHeight="1">
      <c r="A2731" s="1">
        <v>4243.0</v>
      </c>
      <c r="B2731" s="2" t="s">
        <v>8367</v>
      </c>
      <c r="C2731" s="2">
        <f>IFERROR(__xludf.DUMMYFUNCTION("split(B2731,""_"")"),1107.0)</f>
        <v>1107</v>
      </c>
      <c r="D2731" s="2" t="str">
        <f>IFERROR(__xludf.DUMMYFUNCTION("""COMPUTED_VALUE"""),"EX")</f>
        <v>EX</v>
      </c>
      <c r="E2731" s="2" t="str">
        <f>IFERROR(__xludf.DUMMYFUNCTION("""COMPUTED_VALUE"""),"木21")</f>
        <v>木21</v>
      </c>
      <c r="F2731" s="2" t="s">
        <v>8368</v>
      </c>
      <c r="G2731" s="2" t="s">
        <v>8372</v>
      </c>
      <c r="H2731" s="1">
        <v>2.0</v>
      </c>
      <c r="I2731" s="1" t="s">
        <v>2872</v>
      </c>
      <c r="J2731" s="1" t="s">
        <v>11</v>
      </c>
      <c r="K2731" s="2" t="s">
        <v>8373</v>
      </c>
      <c r="L2731" s="10" t="s">
        <v>2775</v>
      </c>
      <c r="M2731" s="2" t="str">
        <f>IFERROR(__xludf.DUMMYFUNCTION("split(split(K2731,""佐藤浩市、"",false),""公式LINE"",false)"),"警察学校を舞台に、新任教官・遠野(佐藤浩市)と訓練生たち、そして彼らを取り巻く様々な大人たちがぶつかり、成長していく姿を描く、この夏一番胸を熱くする人間ドラマ!")</f>
        <v>警察学校を舞台に、新任教官・遠野(佐藤浩市)と訓練生たち、そして彼らを取り巻く様々な大人たちがぶつかり、成長していく姿を描く、この夏一番胸を熱くする人間ドラマ!</v>
      </c>
      <c r="N2731" s="2"/>
      <c r="O2731" s="2"/>
      <c r="P2731" s="1"/>
      <c r="Q2731" s="1"/>
      <c r="R2731" s="1"/>
      <c r="S2731" s="1"/>
      <c r="T2731" s="1"/>
      <c r="U2731" s="1"/>
      <c r="V2731" s="1"/>
      <c r="W2731" s="1"/>
      <c r="X2731" s="1"/>
      <c r="Y2731" s="1"/>
      <c r="Z2731" s="1"/>
      <c r="AA2731" s="1"/>
      <c r="AB2731" s="1"/>
      <c r="AC2731" s="1"/>
      <c r="AD2731" s="1"/>
      <c r="AE2731" s="1"/>
      <c r="AF2731" s="1"/>
      <c r="AG2731" s="1"/>
      <c r="AH2731" s="1"/>
      <c r="AI2731" s="1"/>
      <c r="AJ2731" s="1"/>
      <c r="AK2731" s="1"/>
      <c r="AL2731" s="1"/>
      <c r="AM2731" s="1"/>
      <c r="AN2731" s="1"/>
      <c r="AO2731" s="1"/>
      <c r="AP2731" s="1"/>
      <c r="AQ2731" s="1"/>
      <c r="AR2731" s="1"/>
      <c r="AS2731" s="1"/>
      <c r="AT2731" s="1"/>
      <c r="AU2731" s="1"/>
      <c r="AV2731" s="1"/>
      <c r="AW2731" s="1"/>
      <c r="AX2731" s="1"/>
      <c r="AY2731" s="1"/>
      <c r="AZ2731" s="1"/>
      <c r="BA2731" s="1"/>
      <c r="BB2731" s="1"/>
    </row>
    <row r="2732" ht="204.75" customHeight="1">
      <c r="A2732" s="1">
        <v>4244.0</v>
      </c>
      <c r="B2732" s="2" t="s">
        <v>8367</v>
      </c>
      <c r="C2732" s="2">
        <f>IFERROR(__xludf.DUMMYFUNCTION("split(B2732,""_"")"),1107.0)</f>
        <v>1107</v>
      </c>
      <c r="D2732" s="2" t="str">
        <f>IFERROR(__xludf.DUMMYFUNCTION("""COMPUTED_VALUE"""),"EX")</f>
        <v>EX</v>
      </c>
      <c r="E2732" s="2" t="str">
        <f>IFERROR(__xludf.DUMMYFUNCTION("""COMPUTED_VALUE"""),"木21")</f>
        <v>木21</v>
      </c>
      <c r="F2732" s="2" t="s">
        <v>8368</v>
      </c>
      <c r="G2732" s="2" t="s">
        <v>8374</v>
      </c>
      <c r="H2732" s="1">
        <v>3.0</v>
      </c>
      <c r="I2732" s="1" t="s">
        <v>2876</v>
      </c>
      <c r="J2732" s="1" t="s">
        <v>11</v>
      </c>
      <c r="K2732" s="2" t="s">
        <v>8375</v>
      </c>
      <c r="L2732" s="10" t="s">
        <v>2775</v>
      </c>
      <c r="M2732" s="2" t="str">
        <f>IFERROR(__xludf.DUMMYFUNCTION("split(split(K2732,""佐藤浩市、"",false),""公式LINE"",false)"),"警察学校を舞台に、新任教官・遠野(佐藤浩市)と訓練生たち、そして彼らを取り巻く様々な大人たちがぶつかり、成長していく姿を描く、この夏一番胸を熱くする人間ドラマ!")</f>
        <v>警察学校を舞台に、新任教官・遠野(佐藤浩市)と訓練生たち、そして彼らを取り巻く様々な大人たちがぶつかり、成長していく姿を描く、この夏一番胸を熱くする人間ドラマ!</v>
      </c>
      <c r="N2732" s="2"/>
      <c r="O2732" s="2"/>
      <c r="P2732" s="1"/>
      <c r="Q2732" s="1"/>
      <c r="R2732" s="1"/>
      <c r="S2732" s="1"/>
      <c r="T2732" s="1"/>
      <c r="U2732" s="1"/>
      <c r="V2732" s="1"/>
      <c r="W2732" s="1"/>
      <c r="X2732" s="1"/>
      <c r="Y2732" s="1"/>
      <c r="Z2732" s="1"/>
      <c r="AA2732" s="1"/>
      <c r="AB2732" s="1"/>
      <c r="AC2732" s="1"/>
      <c r="AD2732" s="1"/>
      <c r="AE2732" s="1"/>
      <c r="AF2732" s="1"/>
      <c r="AG2732" s="1"/>
      <c r="AH2732" s="1"/>
      <c r="AI2732" s="1"/>
      <c r="AJ2732" s="1"/>
      <c r="AK2732" s="1"/>
      <c r="AL2732" s="1"/>
      <c r="AM2732" s="1"/>
      <c r="AN2732" s="1"/>
      <c r="AO2732" s="1"/>
      <c r="AP2732" s="1"/>
      <c r="AQ2732" s="1"/>
      <c r="AR2732" s="1"/>
      <c r="AS2732" s="1"/>
      <c r="AT2732" s="1"/>
      <c r="AU2732" s="1"/>
      <c r="AV2732" s="1"/>
      <c r="AW2732" s="1"/>
      <c r="AX2732" s="1"/>
      <c r="AY2732" s="1"/>
      <c r="AZ2732" s="1"/>
      <c r="BA2732" s="1"/>
      <c r="BB2732" s="1"/>
    </row>
    <row r="2733" ht="204.75" customHeight="1">
      <c r="A2733" s="1">
        <v>4245.0</v>
      </c>
      <c r="B2733" s="2" t="s">
        <v>8367</v>
      </c>
      <c r="C2733" s="2">
        <f>IFERROR(__xludf.DUMMYFUNCTION("split(B2733,""_"")"),1107.0)</f>
        <v>1107</v>
      </c>
      <c r="D2733" s="2" t="str">
        <f>IFERROR(__xludf.DUMMYFUNCTION("""COMPUTED_VALUE"""),"EX")</f>
        <v>EX</v>
      </c>
      <c r="E2733" s="2" t="str">
        <f>IFERROR(__xludf.DUMMYFUNCTION("""COMPUTED_VALUE"""),"木21")</f>
        <v>木21</v>
      </c>
      <c r="F2733" s="2" t="s">
        <v>8368</v>
      </c>
      <c r="G2733" s="2" t="s">
        <v>8376</v>
      </c>
      <c r="H2733" s="1">
        <v>4.0</v>
      </c>
      <c r="I2733" s="1" t="s">
        <v>2880</v>
      </c>
      <c r="J2733" s="1" t="s">
        <v>11</v>
      </c>
      <c r="K2733" s="2" t="s">
        <v>8377</v>
      </c>
      <c r="L2733" s="10" t="s">
        <v>2775</v>
      </c>
      <c r="M2733" s="2" t="str">
        <f>IFERROR(__xludf.DUMMYFUNCTION("split(split(K2733,""佐藤浩市、"",false),""公式LINE"",false)"),"警察学校を舞台に、新任教官・遠野(佐藤浩市)と訓練生たち、そして彼らを取り巻く様々な大人たちがぶつかり、成長していく姿を描く、この夏一番胸を熱くする人間ドラマ!")</f>
        <v>警察学校を舞台に、新任教官・遠野(佐藤浩市)と訓練生たち、そして彼らを取り巻く様々な大人たちがぶつかり、成長していく姿を描く、この夏一番胸を熱くする人間ドラマ!</v>
      </c>
      <c r="N2733" s="2"/>
      <c r="O2733" s="2"/>
      <c r="P2733" s="1"/>
      <c r="Q2733" s="1"/>
      <c r="R2733" s="1"/>
      <c r="S2733" s="1"/>
      <c r="T2733" s="1"/>
      <c r="U2733" s="1"/>
      <c r="V2733" s="1"/>
      <c r="W2733" s="1"/>
      <c r="X2733" s="1"/>
      <c r="Y2733" s="1"/>
      <c r="Z2733" s="1"/>
      <c r="AA2733" s="1"/>
      <c r="AB2733" s="1"/>
      <c r="AC2733" s="1"/>
      <c r="AD2733" s="1"/>
      <c r="AE2733" s="1"/>
      <c r="AF2733" s="1"/>
      <c r="AG2733" s="1"/>
      <c r="AH2733" s="1"/>
      <c r="AI2733" s="1"/>
      <c r="AJ2733" s="1"/>
      <c r="AK2733" s="1"/>
      <c r="AL2733" s="1"/>
      <c r="AM2733" s="1"/>
      <c r="AN2733" s="1"/>
      <c r="AO2733" s="1"/>
      <c r="AP2733" s="1"/>
      <c r="AQ2733" s="1"/>
      <c r="AR2733" s="1"/>
      <c r="AS2733" s="1"/>
      <c r="AT2733" s="1"/>
      <c r="AU2733" s="1"/>
      <c r="AV2733" s="1"/>
      <c r="AW2733" s="1"/>
      <c r="AX2733" s="1"/>
      <c r="AY2733" s="1"/>
      <c r="AZ2733" s="1"/>
      <c r="BA2733" s="1"/>
      <c r="BB2733" s="1"/>
    </row>
    <row r="2734" ht="204.75" customHeight="1">
      <c r="A2734" s="1">
        <v>4246.0</v>
      </c>
      <c r="B2734" s="2" t="s">
        <v>8367</v>
      </c>
      <c r="C2734" s="2">
        <f>IFERROR(__xludf.DUMMYFUNCTION("split(B2734,""_"")"),1107.0)</f>
        <v>1107</v>
      </c>
      <c r="D2734" s="2" t="str">
        <f>IFERROR(__xludf.DUMMYFUNCTION("""COMPUTED_VALUE"""),"EX")</f>
        <v>EX</v>
      </c>
      <c r="E2734" s="2" t="str">
        <f>IFERROR(__xludf.DUMMYFUNCTION("""COMPUTED_VALUE"""),"木21")</f>
        <v>木21</v>
      </c>
      <c r="F2734" s="2" t="s">
        <v>8368</v>
      </c>
      <c r="G2734" s="2" t="s">
        <v>8378</v>
      </c>
      <c r="H2734" s="1">
        <v>5.0</v>
      </c>
      <c r="I2734" s="1" t="s">
        <v>2884</v>
      </c>
      <c r="J2734" s="1" t="s">
        <v>11</v>
      </c>
      <c r="K2734" s="2" t="s">
        <v>8379</v>
      </c>
      <c r="L2734" s="10" t="s">
        <v>2775</v>
      </c>
      <c r="M2734" s="2" t="str">
        <f>IFERROR(__xludf.DUMMYFUNCTION("split(split(K2734,""佐藤浩市、"",false),""公式LINE"",false)"),"警察学校を舞台に、新任教官・遠野(佐藤浩市)と訓練生たち、そして彼らを取り巻く様々な大人たちがぶつかり、成長していく姿を描く、この夏一番胸を熱くする人間ドラマ!")</f>
        <v>警察学校を舞台に、新任教官・遠野(佐藤浩市)と訓練生たち、そして彼らを取り巻く様々な大人たちがぶつかり、成長していく姿を描く、この夏一番胸を熱くする人間ドラマ!</v>
      </c>
      <c r="N2734" s="2"/>
      <c r="O2734" s="2"/>
      <c r="P2734" s="1"/>
      <c r="Q2734" s="1"/>
      <c r="R2734" s="1"/>
      <c r="S2734" s="1"/>
      <c r="T2734" s="1"/>
      <c r="U2734" s="1"/>
      <c r="V2734" s="1"/>
      <c r="W2734" s="1"/>
      <c r="X2734" s="1"/>
      <c r="Y2734" s="1"/>
      <c r="Z2734" s="1"/>
      <c r="AA2734" s="1"/>
      <c r="AB2734" s="1"/>
      <c r="AC2734" s="1"/>
      <c r="AD2734" s="1"/>
      <c r="AE2734" s="1"/>
      <c r="AF2734" s="1"/>
      <c r="AG2734" s="1"/>
      <c r="AH2734" s="1"/>
      <c r="AI2734" s="1"/>
      <c r="AJ2734" s="1"/>
      <c r="AK2734" s="1"/>
      <c r="AL2734" s="1"/>
      <c r="AM2734" s="1"/>
      <c r="AN2734" s="1"/>
      <c r="AO2734" s="1"/>
      <c r="AP2734" s="1"/>
      <c r="AQ2734" s="1"/>
      <c r="AR2734" s="1"/>
      <c r="AS2734" s="1"/>
      <c r="AT2734" s="1"/>
      <c r="AU2734" s="1"/>
      <c r="AV2734" s="1"/>
      <c r="AW2734" s="1"/>
      <c r="AX2734" s="1"/>
      <c r="AY2734" s="1"/>
      <c r="AZ2734" s="1"/>
      <c r="BA2734" s="1"/>
      <c r="BB2734" s="1"/>
    </row>
    <row r="2735" ht="204.75" customHeight="1">
      <c r="A2735" s="1">
        <v>4247.0</v>
      </c>
      <c r="B2735" s="2" t="s">
        <v>8367</v>
      </c>
      <c r="C2735" s="2">
        <f>IFERROR(__xludf.DUMMYFUNCTION("split(B2735,""_"")"),1107.0)</f>
        <v>1107</v>
      </c>
      <c r="D2735" s="2" t="str">
        <f>IFERROR(__xludf.DUMMYFUNCTION("""COMPUTED_VALUE"""),"EX")</f>
        <v>EX</v>
      </c>
      <c r="E2735" s="2" t="str">
        <f>IFERROR(__xludf.DUMMYFUNCTION("""COMPUTED_VALUE"""),"木21")</f>
        <v>木21</v>
      </c>
      <c r="F2735" s="2" t="s">
        <v>8368</v>
      </c>
      <c r="G2735" s="2" t="s">
        <v>8380</v>
      </c>
      <c r="H2735" s="1">
        <v>6.0</v>
      </c>
      <c r="I2735" s="1" t="s">
        <v>2888</v>
      </c>
      <c r="J2735" s="1" t="s">
        <v>11</v>
      </c>
      <c r="K2735" s="2" t="s">
        <v>8377</v>
      </c>
      <c r="L2735" s="10" t="s">
        <v>2775</v>
      </c>
      <c r="M2735" s="2" t="str">
        <f>IFERROR(__xludf.DUMMYFUNCTION("split(split(K2735,""佐藤浩市、"",false),""公式LINE"",false)"),"警察学校を舞台に、新任教官・遠野(佐藤浩市)と訓練生たち、そして彼らを取り巻く様々な大人たちがぶつかり、成長していく姿を描く、この夏一番胸を熱くする人間ドラマ!")</f>
        <v>警察学校を舞台に、新任教官・遠野(佐藤浩市)と訓練生たち、そして彼らを取り巻く様々な大人たちがぶつかり、成長していく姿を描く、この夏一番胸を熱くする人間ドラマ!</v>
      </c>
      <c r="N2735" s="2"/>
      <c r="O2735" s="2"/>
      <c r="P2735" s="1"/>
      <c r="Q2735" s="1"/>
      <c r="R2735" s="1"/>
      <c r="S2735" s="1"/>
      <c r="T2735" s="1"/>
      <c r="U2735" s="1"/>
      <c r="V2735" s="1"/>
      <c r="W2735" s="1"/>
      <c r="X2735" s="1"/>
      <c r="Y2735" s="1"/>
      <c r="Z2735" s="1"/>
      <c r="AA2735" s="1"/>
      <c r="AB2735" s="1"/>
      <c r="AC2735" s="1"/>
      <c r="AD2735" s="1"/>
      <c r="AE2735" s="1"/>
      <c r="AF2735" s="1"/>
      <c r="AG2735" s="1"/>
      <c r="AH2735" s="1"/>
      <c r="AI2735" s="1"/>
      <c r="AJ2735" s="1"/>
      <c r="AK2735" s="1"/>
      <c r="AL2735" s="1"/>
      <c r="AM2735" s="1"/>
      <c r="AN2735" s="1"/>
      <c r="AO2735" s="1"/>
      <c r="AP2735" s="1"/>
      <c r="AQ2735" s="1"/>
      <c r="AR2735" s="1"/>
      <c r="AS2735" s="1"/>
      <c r="AT2735" s="1"/>
      <c r="AU2735" s="1"/>
      <c r="AV2735" s="1"/>
      <c r="AW2735" s="1"/>
      <c r="AX2735" s="1"/>
      <c r="AY2735" s="1"/>
      <c r="AZ2735" s="1"/>
      <c r="BA2735" s="1"/>
      <c r="BB2735" s="1"/>
    </row>
    <row r="2736" ht="204.75" customHeight="1">
      <c r="A2736" s="1">
        <v>4248.0</v>
      </c>
      <c r="B2736" s="2" t="s">
        <v>8367</v>
      </c>
      <c r="C2736" s="2">
        <f>IFERROR(__xludf.DUMMYFUNCTION("split(B2736,""_"")"),1107.0)</f>
        <v>1107</v>
      </c>
      <c r="D2736" s="2" t="str">
        <f>IFERROR(__xludf.DUMMYFUNCTION("""COMPUTED_VALUE"""),"EX")</f>
        <v>EX</v>
      </c>
      <c r="E2736" s="2" t="str">
        <f>IFERROR(__xludf.DUMMYFUNCTION("""COMPUTED_VALUE"""),"木21")</f>
        <v>木21</v>
      </c>
      <c r="F2736" s="2" t="s">
        <v>8368</v>
      </c>
      <c r="G2736" s="2" t="s">
        <v>8381</v>
      </c>
      <c r="H2736" s="1">
        <v>7.0</v>
      </c>
      <c r="I2736" s="1" t="s">
        <v>2892</v>
      </c>
      <c r="J2736" s="1" t="s">
        <v>11</v>
      </c>
      <c r="K2736" s="2" t="s">
        <v>8379</v>
      </c>
      <c r="L2736" s="10" t="s">
        <v>2775</v>
      </c>
      <c r="M2736" s="2" t="str">
        <f>IFERROR(__xludf.DUMMYFUNCTION("split(split(K2736,""佐藤浩市、"",false),""公式LINE"",false)"),"警察学校を舞台に、新任教官・遠野(佐藤浩市)と訓練生たち、そして彼らを取り巻く様々な大人たちがぶつかり、成長していく姿を描く、この夏一番胸を熱くする人間ドラマ!")</f>
        <v>警察学校を舞台に、新任教官・遠野(佐藤浩市)と訓練生たち、そして彼らを取り巻く様々な大人たちがぶつかり、成長していく姿を描く、この夏一番胸を熱くする人間ドラマ!</v>
      </c>
      <c r="N2736" s="2"/>
      <c r="O2736" s="2"/>
      <c r="P2736" s="1"/>
      <c r="Q2736" s="1"/>
      <c r="R2736" s="1"/>
      <c r="S2736" s="1"/>
      <c r="T2736" s="1"/>
      <c r="U2736" s="1"/>
      <c r="V2736" s="1"/>
      <c r="W2736" s="1"/>
      <c r="X2736" s="1"/>
      <c r="Y2736" s="1"/>
      <c r="Z2736" s="1"/>
      <c r="AA2736" s="1"/>
      <c r="AB2736" s="1"/>
      <c r="AC2736" s="1"/>
      <c r="AD2736" s="1"/>
      <c r="AE2736" s="1"/>
      <c r="AF2736" s="1"/>
      <c r="AG2736" s="1"/>
      <c r="AH2736" s="1"/>
      <c r="AI2736" s="1"/>
      <c r="AJ2736" s="1"/>
      <c r="AK2736" s="1"/>
      <c r="AL2736" s="1"/>
      <c r="AM2736" s="1"/>
      <c r="AN2736" s="1"/>
      <c r="AO2736" s="1"/>
      <c r="AP2736" s="1"/>
      <c r="AQ2736" s="1"/>
      <c r="AR2736" s="1"/>
      <c r="AS2736" s="1"/>
      <c r="AT2736" s="1"/>
      <c r="AU2736" s="1"/>
      <c r="AV2736" s="1"/>
      <c r="AW2736" s="1"/>
      <c r="AX2736" s="1"/>
      <c r="AY2736" s="1"/>
      <c r="AZ2736" s="1"/>
      <c r="BA2736" s="1"/>
      <c r="BB2736" s="1"/>
    </row>
    <row r="2737" ht="204.75" customHeight="1">
      <c r="A2737" s="1">
        <v>4249.0</v>
      </c>
      <c r="B2737" s="2" t="s">
        <v>8367</v>
      </c>
      <c r="C2737" s="2">
        <f>IFERROR(__xludf.DUMMYFUNCTION("split(B2737,""_"")"),1107.0)</f>
        <v>1107</v>
      </c>
      <c r="D2737" s="2" t="str">
        <f>IFERROR(__xludf.DUMMYFUNCTION("""COMPUTED_VALUE"""),"EX")</f>
        <v>EX</v>
      </c>
      <c r="E2737" s="2" t="str">
        <f>IFERROR(__xludf.DUMMYFUNCTION("""COMPUTED_VALUE"""),"木21")</f>
        <v>木21</v>
      </c>
      <c r="F2737" s="2" t="s">
        <v>8368</v>
      </c>
      <c r="G2737" s="2" t="s">
        <v>8382</v>
      </c>
      <c r="H2737" s="1">
        <v>8.0</v>
      </c>
      <c r="I2737" s="1" t="s">
        <v>2896</v>
      </c>
      <c r="J2737" s="1" t="s">
        <v>11</v>
      </c>
      <c r="K2737" s="2" t="s">
        <v>8383</v>
      </c>
      <c r="L2737" s="10" t="s">
        <v>2775</v>
      </c>
      <c r="M2737" s="2" t="str">
        <f>IFERROR(__xludf.DUMMYFUNCTION("split(split(K2737,""佐藤浩市、"",false),""公式LINE"",false)"),"警察学校を舞台に、新任教官・遠野(佐藤浩市)と訓練生たち、そして彼らを取り巻く様々な大人たちがぶつかり、成長していく姿を描く、この夏一番胸を熱くする人間ドラマ!")</f>
        <v>警察学校を舞台に、新任教官・遠野(佐藤浩市)と訓練生たち、そして彼らを取り巻く様々な大人たちがぶつかり、成長していく姿を描く、この夏一番胸を熱くする人間ドラマ!</v>
      </c>
      <c r="N2737" s="2"/>
      <c r="O2737" s="2"/>
      <c r="P2737" s="1"/>
      <c r="Q2737" s="1"/>
      <c r="R2737" s="1"/>
      <c r="S2737" s="1"/>
      <c r="T2737" s="1"/>
      <c r="U2737" s="1"/>
      <c r="V2737" s="1"/>
      <c r="W2737" s="1"/>
      <c r="X2737" s="1"/>
      <c r="Y2737" s="1"/>
      <c r="Z2737" s="1"/>
      <c r="AA2737" s="1"/>
      <c r="AB2737" s="1"/>
      <c r="AC2737" s="1"/>
      <c r="AD2737" s="1"/>
      <c r="AE2737" s="1"/>
      <c r="AF2737" s="1"/>
      <c r="AG2737" s="1"/>
      <c r="AH2737" s="1"/>
      <c r="AI2737" s="1"/>
      <c r="AJ2737" s="1"/>
      <c r="AK2737" s="1"/>
      <c r="AL2737" s="1"/>
      <c r="AM2737" s="1"/>
      <c r="AN2737" s="1"/>
      <c r="AO2737" s="1"/>
      <c r="AP2737" s="1"/>
      <c r="AQ2737" s="1"/>
      <c r="AR2737" s="1"/>
      <c r="AS2737" s="1"/>
      <c r="AT2737" s="1"/>
      <c r="AU2737" s="1"/>
      <c r="AV2737" s="1"/>
      <c r="AW2737" s="1"/>
      <c r="AX2737" s="1"/>
      <c r="AY2737" s="1"/>
      <c r="AZ2737" s="1"/>
      <c r="BA2737" s="1"/>
      <c r="BB2737" s="1"/>
    </row>
    <row r="2738" ht="204.75" customHeight="1">
      <c r="A2738" s="1">
        <v>4250.0</v>
      </c>
      <c r="B2738" s="2" t="s">
        <v>8367</v>
      </c>
      <c r="C2738" s="2">
        <f>IFERROR(__xludf.DUMMYFUNCTION("split(B2738,""_"")"),1107.0)</f>
        <v>1107</v>
      </c>
      <c r="D2738" s="2" t="str">
        <f>IFERROR(__xludf.DUMMYFUNCTION("""COMPUTED_VALUE"""),"EX")</f>
        <v>EX</v>
      </c>
      <c r="E2738" s="2" t="str">
        <f>IFERROR(__xludf.DUMMYFUNCTION("""COMPUTED_VALUE"""),"木21")</f>
        <v>木21</v>
      </c>
      <c r="F2738" s="2" t="s">
        <v>8368</v>
      </c>
      <c r="G2738" s="2" t="s">
        <v>8384</v>
      </c>
      <c r="H2738" s="1">
        <v>9.0</v>
      </c>
      <c r="J2738" s="1" t="s">
        <v>11</v>
      </c>
      <c r="K2738" s="2" t="s">
        <v>8379</v>
      </c>
      <c r="L2738" s="10" t="s">
        <v>2775</v>
      </c>
      <c r="M2738" s="2" t="str">
        <f>IFERROR(__xludf.DUMMYFUNCTION("split(split(K2738,""佐藤浩市、"",false),""公式LINE"",false)"),"警察学校を舞台に、新任教官・遠野(佐藤浩市)と訓練生たち、そして彼らを取り巻く様々な大人たちがぶつかり、成長していく姿を描く、この夏一番胸を熱くする人間ドラマ!")</f>
        <v>警察学校を舞台に、新任教官・遠野(佐藤浩市)と訓練生たち、そして彼らを取り巻く様々な大人たちがぶつかり、成長していく姿を描く、この夏一番胸を熱くする人間ドラマ!</v>
      </c>
      <c r="N2738" s="2"/>
      <c r="O2738" s="2"/>
      <c r="P2738" s="1"/>
      <c r="Q2738" s="1"/>
      <c r="R2738" s="1"/>
      <c r="S2738" s="1"/>
      <c r="T2738" s="1"/>
      <c r="U2738" s="1"/>
      <c r="V2738" s="1"/>
      <c r="W2738" s="1"/>
      <c r="X2738" s="1"/>
      <c r="Y2738" s="1"/>
      <c r="Z2738" s="1"/>
      <c r="AA2738" s="1"/>
      <c r="AB2738" s="1"/>
      <c r="AC2738" s="1"/>
      <c r="AD2738" s="1"/>
      <c r="AE2738" s="1"/>
      <c r="AF2738" s="1"/>
      <c r="AG2738" s="1"/>
      <c r="AH2738" s="1"/>
      <c r="AI2738" s="1"/>
      <c r="AJ2738" s="1"/>
      <c r="AK2738" s="1"/>
      <c r="AL2738" s="1"/>
      <c r="AM2738" s="1"/>
      <c r="AN2738" s="1"/>
      <c r="AO2738" s="1"/>
      <c r="AP2738" s="1"/>
      <c r="AQ2738" s="1"/>
      <c r="AR2738" s="1"/>
      <c r="AS2738" s="1"/>
      <c r="AT2738" s="1"/>
      <c r="AU2738" s="1"/>
      <c r="AV2738" s="1"/>
      <c r="AW2738" s="1"/>
      <c r="AX2738" s="1"/>
      <c r="AY2738" s="1"/>
      <c r="AZ2738" s="1"/>
      <c r="BA2738" s="1"/>
      <c r="BB2738" s="1"/>
    </row>
    <row r="2739" ht="204.75" customHeight="1">
      <c r="A2739" s="1">
        <v>4286.0</v>
      </c>
      <c r="B2739" s="2" t="s">
        <v>8385</v>
      </c>
      <c r="C2739" s="2">
        <f>IFERROR(__xludf.DUMMYFUNCTION("split(B2739,""_"")"),1107.0)</f>
        <v>1107</v>
      </c>
      <c r="D2739" s="2" t="str">
        <f>IFERROR(__xludf.DUMMYFUNCTION("""COMPUTED_VALUE"""),"EX")</f>
        <v>EX</v>
      </c>
      <c r="E2739" s="2" t="str">
        <f>IFERROR(__xludf.DUMMYFUNCTION("""COMPUTED_VALUE"""),"金23")</f>
        <v>金23</v>
      </c>
      <c r="F2739" s="2" t="s">
        <v>8386</v>
      </c>
      <c r="G2739" s="2" t="s">
        <v>8387</v>
      </c>
      <c r="H2739" s="1">
        <v>40.0</v>
      </c>
      <c r="J2739" s="1" t="s">
        <v>1435</v>
      </c>
      <c r="K2739" s="4" t="s">
        <v>8388</v>
      </c>
      <c r="L2739" s="11" t="s">
        <v>8389</v>
      </c>
      <c r="M2739" s="2" t="str">
        <f>IFERROR(__xludf.DUMMYFUNCTION("split(split(K2739,""黒木メイサ、"",false),""公式LINE"",false)"),"ベストセラー作家・誉田哲也氏による、  傑作警察小説が黒木メイサ×多部未華子のW主演で待望の連続ドラマ化!  相反する2人の女刑事が謎の殺人者・ジウを追い詰める!  スリルとサスペンスに目が離せない!")</f>
        <v>ベストセラー作家・誉田哲也氏による、  傑作警察小説が黒木メイサ×多部未華子のW主演で待望の連続ドラマ化!  相反する2人の女刑事が謎の殺人者・ジウを追い詰める!  スリルとサスペンスに目が離せない!</v>
      </c>
      <c r="N2739" s="2"/>
      <c r="O2739" s="2"/>
      <c r="P2739" s="1"/>
      <c r="Q2739" s="1"/>
      <c r="R2739" s="1"/>
      <c r="S2739" s="1"/>
      <c r="T2739" s="1"/>
      <c r="U2739" s="1"/>
      <c r="V2739" s="1"/>
      <c r="W2739" s="1"/>
      <c r="X2739" s="1"/>
      <c r="Y2739" s="1"/>
      <c r="Z2739" s="1"/>
      <c r="AA2739" s="1"/>
      <c r="AB2739" s="1"/>
      <c r="AC2739" s="1"/>
      <c r="AD2739" s="1"/>
      <c r="AE2739" s="1"/>
      <c r="AF2739" s="1"/>
      <c r="AG2739" s="1"/>
      <c r="AH2739" s="1"/>
      <c r="AI2739" s="1"/>
      <c r="AJ2739" s="1"/>
      <c r="AK2739" s="1"/>
      <c r="AL2739" s="1"/>
      <c r="AM2739" s="1"/>
      <c r="AN2739" s="1"/>
      <c r="AO2739" s="1"/>
      <c r="AP2739" s="1"/>
      <c r="AQ2739" s="1"/>
      <c r="AR2739" s="1"/>
      <c r="AS2739" s="1"/>
      <c r="AT2739" s="1"/>
      <c r="AU2739" s="1"/>
      <c r="AV2739" s="1"/>
      <c r="AW2739" s="1"/>
      <c r="AX2739" s="1"/>
      <c r="AY2739" s="1"/>
      <c r="AZ2739" s="1"/>
      <c r="BA2739" s="1"/>
      <c r="BB2739" s="1"/>
    </row>
    <row r="2740" ht="204.75" customHeight="1">
      <c r="A2740" s="1">
        <v>4287.0</v>
      </c>
      <c r="B2740" s="2" t="s">
        <v>8385</v>
      </c>
      <c r="C2740" s="2">
        <f>IFERROR(__xludf.DUMMYFUNCTION("split(B2740,""_"")"),1107.0)</f>
        <v>1107</v>
      </c>
      <c r="D2740" s="2" t="str">
        <f>IFERROR(__xludf.DUMMYFUNCTION("""COMPUTED_VALUE"""),"EX")</f>
        <v>EX</v>
      </c>
      <c r="E2740" s="2" t="str">
        <f>IFERROR(__xludf.DUMMYFUNCTION("""COMPUTED_VALUE"""),"金23")</f>
        <v>金23</v>
      </c>
      <c r="F2740" s="2" t="s">
        <v>8386</v>
      </c>
      <c r="G2740" s="2" t="s">
        <v>8390</v>
      </c>
      <c r="H2740" s="1">
        <v>51.0</v>
      </c>
      <c r="I2740" s="1" t="s">
        <v>2872</v>
      </c>
      <c r="J2740" s="1" t="s">
        <v>1435</v>
      </c>
      <c r="K2740" s="2" t="s">
        <v>8391</v>
      </c>
      <c r="L2740" s="11" t="s">
        <v>8392</v>
      </c>
      <c r="M2740" s="2" t="str">
        <f>IFERROR(__xludf.DUMMYFUNCTION("split(split(K2740,""黒木メイサ、"",false),""公式LINE"",false)"),"「服を脱げ!」目の前には人質にナイフを突きつけている犯人・・・  絶体絶命の危機に立たされる美咲!  そして、建物の周囲の警察官を退避させていないことに気付いた岡村は逆上!さらに基子は突入の際、犯人に向けて発砲!?  果たして基子、美咲、人質、犯人の運命は…")</f>
        <v>「服を脱げ!」目の前には人質にナイフを突きつけている犯人・・・  絶体絶命の危機に立たされる美咲!  そして、建物の周囲の警察官を退避させていないことに気付いた岡村は逆上!さらに基子は突入の際、犯人に向けて発砲!?  果たして基子、美咲、人質、犯人の運命は…</v>
      </c>
      <c r="N2740" s="2"/>
      <c r="O2740" s="2"/>
      <c r="P2740" s="1"/>
      <c r="Q2740" s="1"/>
      <c r="R2740" s="1"/>
      <c r="S2740" s="1"/>
      <c r="T2740" s="1"/>
      <c r="U2740" s="1"/>
      <c r="V2740" s="1"/>
      <c r="W2740" s="1"/>
      <c r="X2740" s="1"/>
      <c r="Y2740" s="1"/>
      <c r="Z2740" s="1"/>
      <c r="AA2740" s="1"/>
      <c r="AB2740" s="1"/>
      <c r="AC2740" s="1"/>
      <c r="AD2740" s="1"/>
      <c r="AE2740" s="1"/>
      <c r="AF2740" s="1"/>
      <c r="AG2740" s="1"/>
      <c r="AH2740" s="1"/>
      <c r="AI2740" s="1"/>
      <c r="AJ2740" s="1"/>
      <c r="AK2740" s="1"/>
      <c r="AL2740" s="1"/>
      <c r="AM2740" s="1"/>
      <c r="AN2740" s="1"/>
      <c r="AO2740" s="1"/>
      <c r="AP2740" s="1"/>
      <c r="AQ2740" s="1"/>
      <c r="AR2740" s="1"/>
      <c r="AS2740" s="1"/>
      <c r="AT2740" s="1"/>
      <c r="AU2740" s="1"/>
      <c r="AV2740" s="1"/>
      <c r="AW2740" s="1"/>
      <c r="AX2740" s="1"/>
      <c r="AY2740" s="1"/>
      <c r="AZ2740" s="1"/>
      <c r="BA2740" s="1"/>
      <c r="BB2740" s="1"/>
    </row>
    <row r="2741" ht="204.75" customHeight="1">
      <c r="A2741" s="1">
        <v>4288.0</v>
      </c>
      <c r="B2741" s="2" t="s">
        <v>8385</v>
      </c>
      <c r="C2741" s="2">
        <f>IFERROR(__xludf.DUMMYFUNCTION("split(B2741,""_"")"),1107.0)</f>
        <v>1107</v>
      </c>
      <c r="D2741" s="2" t="str">
        <f>IFERROR(__xludf.DUMMYFUNCTION("""COMPUTED_VALUE"""),"EX")</f>
        <v>EX</v>
      </c>
      <c r="E2741" s="2" t="str">
        <f>IFERROR(__xludf.DUMMYFUNCTION("""COMPUTED_VALUE"""),"金23")</f>
        <v>金23</v>
      </c>
      <c r="F2741" s="2" t="s">
        <v>8386</v>
      </c>
      <c r="G2741" s="2" t="s">
        <v>8393</v>
      </c>
      <c r="H2741" s="1">
        <v>60.0</v>
      </c>
      <c r="I2741" s="1" t="s">
        <v>2876</v>
      </c>
      <c r="J2741" s="1" t="s">
        <v>1435</v>
      </c>
      <c r="K2741" s="2" t="s">
        <v>8394</v>
      </c>
      <c r="L2741" s="11" t="s">
        <v>8395</v>
      </c>
      <c r="M2741" s="2" t="str">
        <f>IFERROR(__xludf.DUMMYFUNCTION("split(split(K2741,""黒木メイサ、"",false),""公式LINE"",false)"),"基子はSATへ異動!美咲は未解決の『利憲ちゃん誘拐事件』の捜査本部へ!  立てこもり犯の岡村が誘拐事件に関与しているという疑惑が浮上!  美咲は自分を切りつけた、岡村と対峙することに!  そんな中、ある廃屋で3体の死体が発見され…?衝撃の事実に直面する!")</f>
        <v>基子はSATへ異動!美咲は未解決の『利憲ちゃん誘拐事件』の捜査本部へ!  立てこもり犯の岡村が誘拐事件に関与しているという疑惑が浮上!  美咲は自分を切りつけた、岡村と対峙することに!  そんな中、ある廃屋で3体の死体が発見され…?衝撃の事実に直面する!</v>
      </c>
      <c r="N2741" s="2"/>
      <c r="O2741" s="2"/>
      <c r="P2741" s="1"/>
      <c r="Q2741" s="1"/>
      <c r="R2741" s="1"/>
      <c r="S2741" s="1"/>
      <c r="T2741" s="1"/>
      <c r="U2741" s="1"/>
      <c r="V2741" s="1"/>
      <c r="W2741" s="1"/>
      <c r="X2741" s="1"/>
      <c r="Y2741" s="1"/>
      <c r="Z2741" s="1"/>
      <c r="AA2741" s="1"/>
      <c r="AB2741" s="1"/>
      <c r="AC2741" s="1"/>
      <c r="AD2741" s="1"/>
      <c r="AE2741" s="1"/>
      <c r="AF2741" s="1"/>
      <c r="AG2741" s="1"/>
      <c r="AH2741" s="1"/>
      <c r="AI2741" s="1"/>
      <c r="AJ2741" s="1"/>
      <c r="AK2741" s="1"/>
      <c r="AL2741" s="1"/>
      <c r="AM2741" s="1"/>
      <c r="AN2741" s="1"/>
      <c r="AO2741" s="1"/>
      <c r="AP2741" s="1"/>
      <c r="AQ2741" s="1"/>
      <c r="AR2741" s="1"/>
      <c r="AS2741" s="1"/>
      <c r="AT2741" s="1"/>
      <c r="AU2741" s="1"/>
      <c r="AV2741" s="1"/>
      <c r="AW2741" s="1"/>
      <c r="AX2741" s="1"/>
      <c r="AY2741" s="1"/>
      <c r="AZ2741" s="1"/>
      <c r="BA2741" s="1"/>
      <c r="BB2741" s="1"/>
    </row>
    <row r="2742" ht="204.75" customHeight="1">
      <c r="A2742" s="1">
        <v>4289.0</v>
      </c>
      <c r="B2742" s="2" t="s">
        <v>8385</v>
      </c>
      <c r="C2742" s="2">
        <f>IFERROR(__xludf.DUMMYFUNCTION("split(B2742,""_"")"),1107.0)</f>
        <v>1107</v>
      </c>
      <c r="D2742" s="2" t="str">
        <f>IFERROR(__xludf.DUMMYFUNCTION("""COMPUTED_VALUE"""),"EX")</f>
        <v>EX</v>
      </c>
      <c r="E2742" s="2" t="str">
        <f>IFERROR(__xludf.DUMMYFUNCTION("""COMPUTED_VALUE"""),"金23")</f>
        <v>金23</v>
      </c>
      <c r="F2742" s="2" t="s">
        <v>8386</v>
      </c>
      <c r="G2742" s="2" t="s">
        <v>8396</v>
      </c>
      <c r="H2742" s="1">
        <v>69.0</v>
      </c>
      <c r="I2742" s="1" t="s">
        <v>2880</v>
      </c>
      <c r="J2742" s="1" t="s">
        <v>1435</v>
      </c>
      <c r="K2742" s="2" t="s">
        <v>8397</v>
      </c>
      <c r="L2742" s="11" t="s">
        <v>8398</v>
      </c>
      <c r="M2742" s="2" t="str">
        <f>IFERROR(__xludf.DUMMYFUNCTION("split(split(K2742,""黒木メイサ、"",false),""公式LINE"",false)"),"利憲の証言で岡村が誘拐事件に関わっていたことが明らかになる!  そして金髪の男もいたことを聞き出す。  その頃、意識不明だった岡村が目を覚まし・・・  一方、基子は雨宮に衝撃の過去を告白していた!  バラバラだったはずの事件に少しずつ関連性が見え始め…")</f>
        <v>利憲の証言で岡村が誘拐事件に関わっていたことが明らかになる!  そして金髪の男もいたことを聞き出す。  その頃、意識不明だった岡村が目を覚まし・・・  一方、基子は雨宮に衝撃の過去を告白していた!  バラバラだったはずの事件に少しずつ関連性が見え始め…</v>
      </c>
      <c r="N2742" s="2"/>
      <c r="O2742" s="2"/>
      <c r="P2742" s="1"/>
      <c r="Q2742" s="1"/>
      <c r="R2742" s="1"/>
      <c r="S2742" s="1"/>
      <c r="T2742" s="1"/>
      <c r="U2742" s="1"/>
      <c r="V2742" s="1"/>
      <c r="W2742" s="1"/>
      <c r="X2742" s="1"/>
      <c r="Y2742" s="1"/>
      <c r="Z2742" s="1"/>
      <c r="AA2742" s="1"/>
      <c r="AB2742" s="1"/>
      <c r="AC2742" s="1"/>
      <c r="AD2742" s="1"/>
      <c r="AE2742" s="1"/>
      <c r="AF2742" s="1"/>
      <c r="AG2742" s="1"/>
      <c r="AH2742" s="1"/>
      <c r="AI2742" s="1"/>
      <c r="AJ2742" s="1"/>
      <c r="AK2742" s="1"/>
      <c r="AL2742" s="1"/>
      <c r="AM2742" s="1"/>
      <c r="AN2742" s="1"/>
      <c r="AO2742" s="1"/>
      <c r="AP2742" s="1"/>
      <c r="AQ2742" s="1"/>
      <c r="AR2742" s="1"/>
      <c r="AS2742" s="1"/>
      <c r="AT2742" s="1"/>
      <c r="AU2742" s="1"/>
      <c r="AV2742" s="1"/>
      <c r="AW2742" s="1"/>
      <c r="AX2742" s="1"/>
      <c r="AY2742" s="1"/>
      <c r="AZ2742" s="1"/>
      <c r="BA2742" s="1"/>
      <c r="BB2742" s="1"/>
    </row>
    <row r="2743" ht="204.75" customHeight="1">
      <c r="A2743" s="1">
        <v>4290.0</v>
      </c>
      <c r="B2743" s="2" t="s">
        <v>8385</v>
      </c>
      <c r="C2743" s="2">
        <f>IFERROR(__xludf.DUMMYFUNCTION("split(B2743,""_"")"),1107.0)</f>
        <v>1107</v>
      </c>
      <c r="D2743" s="2" t="str">
        <f>IFERROR(__xludf.DUMMYFUNCTION("""COMPUTED_VALUE"""),"EX")</f>
        <v>EX</v>
      </c>
      <c r="E2743" s="2" t="str">
        <f>IFERROR(__xludf.DUMMYFUNCTION("""COMPUTED_VALUE"""),"金23")</f>
        <v>金23</v>
      </c>
      <c r="F2743" s="2" t="s">
        <v>8386</v>
      </c>
      <c r="G2743" s="2" t="s">
        <v>8399</v>
      </c>
      <c r="H2743" s="1">
        <v>75.0</v>
      </c>
      <c r="I2743" s="1" t="s">
        <v>2884</v>
      </c>
      <c r="J2743" s="1" t="s">
        <v>1435</v>
      </c>
      <c r="K2743" s="2" t="s">
        <v>8400</v>
      </c>
      <c r="L2743" s="11" t="s">
        <v>8401</v>
      </c>
      <c r="M2743" s="2" t="str">
        <f>IFERROR(__xludf.DUMMYFUNCTION("split(split(K2743,""黒木メイサ、"",false),""公式LINE"",false)"),"信じかけていた雨宮が自分を監視していた・・・  基子はショックを受ける!  その頃、入院していた立てこもり犯の岡村が、何者かに殺害される!!ジウの仕業だと睨んだ東、美咲らは、ジウがアジトとしていそうな廃墟をしらみつぶしに当たっていくことに!  その矢先、女児が誘拐されるという事件が!")</f>
        <v>信じかけていた雨宮が自分を監視していた・・・  基子はショックを受ける!  その頃、入院していた立てこもり犯の岡村が、何者かに殺害される!!ジウの仕業だと睨んだ東、美咲らは、ジウがアジトとしていそうな廃墟をしらみつぶしに当たっていくことに!  その矢先、女児が誘拐されるという事件が!</v>
      </c>
      <c r="N2743" s="2"/>
      <c r="O2743" s="2"/>
      <c r="P2743" s="1"/>
      <c r="Q2743" s="1"/>
      <c r="R2743" s="1"/>
      <c r="S2743" s="1"/>
      <c r="T2743" s="1"/>
      <c r="U2743" s="1"/>
      <c r="V2743" s="1"/>
      <c r="W2743" s="1"/>
      <c r="X2743" s="1"/>
      <c r="Y2743" s="1"/>
      <c r="Z2743" s="1"/>
      <c r="AA2743" s="1"/>
      <c r="AB2743" s="1"/>
      <c r="AC2743" s="1"/>
      <c r="AD2743" s="1"/>
      <c r="AE2743" s="1"/>
      <c r="AF2743" s="1"/>
      <c r="AG2743" s="1"/>
      <c r="AH2743" s="1"/>
      <c r="AI2743" s="1"/>
      <c r="AJ2743" s="1"/>
      <c r="AK2743" s="1"/>
      <c r="AL2743" s="1"/>
      <c r="AM2743" s="1"/>
      <c r="AN2743" s="1"/>
      <c r="AO2743" s="1"/>
      <c r="AP2743" s="1"/>
      <c r="AQ2743" s="1"/>
      <c r="AR2743" s="1"/>
      <c r="AS2743" s="1"/>
      <c r="AT2743" s="1"/>
      <c r="AU2743" s="1"/>
      <c r="AV2743" s="1"/>
      <c r="AW2743" s="1"/>
      <c r="AX2743" s="1"/>
      <c r="AY2743" s="1"/>
      <c r="AZ2743" s="1"/>
      <c r="BA2743" s="1"/>
      <c r="BB2743" s="1"/>
    </row>
    <row r="2744" ht="204.75" customHeight="1">
      <c r="A2744" s="1">
        <v>4291.0</v>
      </c>
      <c r="B2744" s="2" t="s">
        <v>8385</v>
      </c>
      <c r="C2744" s="2">
        <f>IFERROR(__xludf.DUMMYFUNCTION("split(B2744,""_"")"),1107.0)</f>
        <v>1107</v>
      </c>
      <c r="D2744" s="2" t="str">
        <f>IFERROR(__xludf.DUMMYFUNCTION("""COMPUTED_VALUE"""),"EX")</f>
        <v>EX</v>
      </c>
      <c r="E2744" s="2" t="str">
        <f>IFERROR(__xludf.DUMMYFUNCTION("""COMPUTED_VALUE"""),"金23")</f>
        <v>金23</v>
      </c>
      <c r="F2744" s="2" t="s">
        <v>8386</v>
      </c>
      <c r="G2744" s="2" t="s">
        <v>8402</v>
      </c>
      <c r="H2744" s="1">
        <v>87.0</v>
      </c>
      <c r="I2744" s="1" t="s">
        <v>2888</v>
      </c>
      <c r="J2744" s="1" t="s">
        <v>1435</v>
      </c>
      <c r="K2744" s="2" t="s">
        <v>8403</v>
      </c>
      <c r="L2744" s="11" t="s">
        <v>8404</v>
      </c>
      <c r="M2744" s="2" t="str">
        <f>IFERROR(__xludf.DUMMYFUNCTION("split(split(K2744,""黒木メイサ、"",false),""公式LINE"",false)"),"女児誘拐犯のアジトに居合わせた美咲と東。焦りを見せる東に美咲は違和感と不安感を抱く!そして基子らSATにもついに出動命令が下る!雨宮とともに屋上からの侵入を試みることになる基子だが思いがけない悲劇がふたりを襲う!東も犯人グループに見つかり、拘束され…!")</f>
        <v>女児誘拐犯のアジトに居合わせた美咲と東。焦りを見せる東に美咲は違和感と不安感を抱く!そして基子らSATにもついに出動命令が下る!雨宮とともに屋上からの侵入を試みることになる基子だが思いがけない悲劇がふたりを襲う!東も犯人グループに見つかり、拘束され…!</v>
      </c>
      <c r="N2744" s="2"/>
      <c r="O2744" s="2"/>
      <c r="P2744" s="1"/>
      <c r="Q2744" s="1"/>
      <c r="R2744" s="1"/>
      <c r="S2744" s="1"/>
      <c r="T2744" s="1"/>
      <c r="U2744" s="1"/>
      <c r="V2744" s="1"/>
      <c r="W2744" s="1"/>
      <c r="X2744" s="1"/>
      <c r="Y2744" s="1"/>
      <c r="Z2744" s="1"/>
      <c r="AA2744" s="1"/>
      <c r="AB2744" s="1"/>
      <c r="AC2744" s="1"/>
      <c r="AD2744" s="1"/>
      <c r="AE2744" s="1"/>
      <c r="AF2744" s="1"/>
      <c r="AG2744" s="1"/>
      <c r="AH2744" s="1"/>
      <c r="AI2744" s="1"/>
      <c r="AJ2744" s="1"/>
      <c r="AK2744" s="1"/>
      <c r="AL2744" s="1"/>
      <c r="AM2744" s="1"/>
      <c r="AN2744" s="1"/>
      <c r="AO2744" s="1"/>
      <c r="AP2744" s="1"/>
      <c r="AQ2744" s="1"/>
      <c r="AR2744" s="1"/>
      <c r="AS2744" s="1"/>
      <c r="AT2744" s="1"/>
      <c r="AU2744" s="1"/>
      <c r="AV2744" s="1"/>
      <c r="AW2744" s="1"/>
      <c r="AX2744" s="1"/>
      <c r="AY2744" s="1"/>
      <c r="AZ2744" s="1"/>
      <c r="BA2744" s="1"/>
      <c r="BB2744" s="1"/>
    </row>
    <row r="2745" ht="204.75" customHeight="1">
      <c r="A2745" s="1">
        <v>4292.0</v>
      </c>
      <c r="B2745" s="2" t="s">
        <v>8385</v>
      </c>
      <c r="C2745" s="2">
        <f>IFERROR(__xludf.DUMMYFUNCTION("split(B2745,""_"")"),1107.0)</f>
        <v>1107</v>
      </c>
      <c r="D2745" s="2" t="str">
        <f>IFERROR(__xludf.DUMMYFUNCTION("""COMPUTED_VALUE"""),"EX")</f>
        <v>EX</v>
      </c>
      <c r="E2745" s="2" t="str">
        <f>IFERROR(__xludf.DUMMYFUNCTION("""COMPUTED_VALUE"""),"金23")</f>
        <v>金23</v>
      </c>
      <c r="F2745" s="2" t="s">
        <v>8386</v>
      </c>
      <c r="G2745" s="2" t="s">
        <v>8405</v>
      </c>
      <c r="H2745" s="1">
        <v>95.0</v>
      </c>
      <c r="I2745" s="1" t="s">
        <v>2892</v>
      </c>
      <c r="J2745" s="1" t="s">
        <v>1435</v>
      </c>
      <c r="K2745" s="2" t="s">
        <v>8406</v>
      </c>
      <c r="L2745" s="11" t="s">
        <v>8407</v>
      </c>
      <c r="M2745" s="2" t="str">
        <f>IFERROR(__xludf.DUMMYFUNCTION("split(split(K2745,""黒木メイサ、"",false),""公式LINE"",false)"),"美咲は女児誘拐事件の犯人のひとり・竹内の取り調べで思いも寄らぬ驚愕の事実を告げられる!一方、基子のもとにフリージャーナリストの木原が現れ、雨宮の死の真相や一連の事件の首謀者であるジウについて語りはじめる!自分と組んで、ジウを捕まえようと持ちかける木原に基子は…?")</f>
        <v>美咲は女児誘拐事件の犯人のひとり・竹内の取り調べで思いも寄らぬ驚愕の事実を告げられる!一方、基子のもとにフリージャーナリストの木原が現れ、雨宮の死の真相や一連の事件の首謀者であるジウについて語りはじめる!自分と組んで、ジウを捕まえようと持ちかける木原に基子は…?</v>
      </c>
      <c r="N2745" s="2"/>
      <c r="O2745" s="2"/>
      <c r="P2745" s="1"/>
      <c r="Q2745" s="1"/>
      <c r="R2745" s="1"/>
      <c r="S2745" s="1"/>
      <c r="T2745" s="1"/>
      <c r="U2745" s="1"/>
      <c r="V2745" s="1"/>
      <c r="W2745" s="1"/>
      <c r="X2745" s="1"/>
      <c r="Y2745" s="1"/>
      <c r="Z2745" s="1"/>
      <c r="AA2745" s="1"/>
      <c r="AB2745" s="1"/>
      <c r="AC2745" s="1"/>
      <c r="AD2745" s="1"/>
      <c r="AE2745" s="1"/>
      <c r="AF2745" s="1"/>
      <c r="AG2745" s="1"/>
      <c r="AH2745" s="1"/>
      <c r="AI2745" s="1"/>
      <c r="AJ2745" s="1"/>
      <c r="AK2745" s="1"/>
      <c r="AL2745" s="1"/>
      <c r="AM2745" s="1"/>
      <c r="AN2745" s="1"/>
      <c r="AO2745" s="1"/>
      <c r="AP2745" s="1"/>
      <c r="AQ2745" s="1"/>
      <c r="AR2745" s="1"/>
      <c r="AS2745" s="1"/>
      <c r="AT2745" s="1"/>
      <c r="AU2745" s="1"/>
      <c r="AV2745" s="1"/>
      <c r="AW2745" s="1"/>
      <c r="AX2745" s="1"/>
      <c r="AY2745" s="1"/>
      <c r="AZ2745" s="1"/>
      <c r="BA2745" s="1"/>
      <c r="BB2745" s="1"/>
    </row>
    <row r="2746" ht="204.75" customHeight="1">
      <c r="A2746" s="1">
        <v>4293.0</v>
      </c>
      <c r="B2746" s="2" t="s">
        <v>8385</v>
      </c>
      <c r="C2746" s="2">
        <f>IFERROR(__xludf.DUMMYFUNCTION("split(B2746,""_"")"),1107.0)</f>
        <v>1107</v>
      </c>
      <c r="D2746" s="2" t="str">
        <f>IFERROR(__xludf.DUMMYFUNCTION("""COMPUTED_VALUE"""),"EX")</f>
        <v>EX</v>
      </c>
      <c r="E2746" s="2" t="str">
        <f>IFERROR(__xludf.DUMMYFUNCTION("""COMPUTED_VALUE"""),"金23")</f>
        <v>金23</v>
      </c>
      <c r="F2746" s="2" t="s">
        <v>8386</v>
      </c>
      <c r="G2746" s="2" t="s">
        <v>8408</v>
      </c>
      <c r="H2746" s="1">
        <v>103.0</v>
      </c>
      <c r="I2746" s="1" t="s">
        <v>2896</v>
      </c>
      <c r="J2746" s="1" t="s">
        <v>1435</v>
      </c>
      <c r="K2746" s="2" t="s">
        <v>8409</v>
      </c>
      <c r="L2746" s="11" t="s">
        <v>8410</v>
      </c>
      <c r="M2746" s="2" t="str">
        <f>IFERROR(__xludf.DUMMYFUNCTION("split(split(K2746,""黒木メイサ、"",false),""公式LINE"",false)"),"基子はついにジウと対峙!さらにジウの後ろ盾となっている人物・ミヤジの存在も明らかになり死んだ雨宮についても衝撃的な事実を知らされる!!  一方、女児誘拐事件発生!被害者の女児がある大物政治家と繋がりがあることを美咲は聞きだす!とてつもなく大きな事件が動き始めだしていた…")</f>
        <v>基子はついにジウと対峙!さらにジウの後ろ盾となっている人物・ミヤジの存在も明らかになり死んだ雨宮についても衝撃的な事実を知らされる!!  一方、女児誘拐事件発生!被害者の女児がある大物政治家と繋がりがあることを美咲は聞きだす!とてつもなく大きな事件が動き始めだしていた…</v>
      </c>
      <c r="N2746" s="2"/>
      <c r="O2746" s="2"/>
      <c r="P2746" s="1"/>
      <c r="Q2746" s="1"/>
      <c r="R2746" s="1"/>
      <c r="S2746" s="1"/>
      <c r="T2746" s="1"/>
      <c r="U2746" s="1"/>
      <c r="V2746" s="1"/>
      <c r="W2746" s="1"/>
      <c r="X2746" s="1"/>
      <c r="Y2746" s="1"/>
      <c r="Z2746" s="1"/>
      <c r="AA2746" s="1"/>
      <c r="AB2746" s="1"/>
      <c r="AC2746" s="1"/>
      <c r="AD2746" s="1"/>
      <c r="AE2746" s="1"/>
      <c r="AF2746" s="1"/>
      <c r="AG2746" s="1"/>
      <c r="AH2746" s="1"/>
      <c r="AI2746" s="1"/>
      <c r="AJ2746" s="1"/>
      <c r="AK2746" s="1"/>
      <c r="AL2746" s="1"/>
      <c r="AM2746" s="1"/>
      <c r="AN2746" s="1"/>
      <c r="AO2746" s="1"/>
      <c r="AP2746" s="1"/>
      <c r="AQ2746" s="1"/>
      <c r="AR2746" s="1"/>
      <c r="AS2746" s="1"/>
      <c r="AT2746" s="1"/>
      <c r="AU2746" s="1"/>
      <c r="AV2746" s="1"/>
      <c r="AW2746" s="1"/>
      <c r="AX2746" s="1"/>
      <c r="AY2746" s="1"/>
      <c r="AZ2746" s="1"/>
      <c r="BA2746" s="1"/>
      <c r="BB2746" s="1"/>
    </row>
    <row r="2747" ht="204.75" customHeight="1">
      <c r="A2747" s="1">
        <v>4327.0</v>
      </c>
      <c r="B2747" s="2" t="s">
        <v>8411</v>
      </c>
      <c r="C2747" s="2">
        <f>IFERROR(__xludf.DUMMYFUNCTION("split(B2747,""_"")"),1107.0)</f>
        <v>1107</v>
      </c>
      <c r="D2747" s="2" t="str">
        <f>IFERROR(__xludf.DUMMYFUNCTION("""COMPUTED_VALUE"""),"EX")</f>
        <v>EX</v>
      </c>
      <c r="E2747" s="2" t="str">
        <f>IFERROR(__xludf.DUMMYFUNCTION("""COMPUTED_VALUE"""),"日23")</f>
        <v>日23</v>
      </c>
      <c r="F2747" s="2" t="s">
        <v>8412</v>
      </c>
      <c r="G2747" s="2" t="s">
        <v>8413</v>
      </c>
      <c r="H2747" s="1">
        <v>1.0</v>
      </c>
      <c r="I2747" s="1" t="s">
        <v>2868</v>
      </c>
      <c r="J2747" s="1" t="s">
        <v>2429</v>
      </c>
      <c r="K2747" s="4" t="s">
        <v>8414</v>
      </c>
      <c r="L2747" s="11" t="s">
        <v>8415</v>
      </c>
      <c r="M2747" s="2" t="str">
        <f>IFERROR(__xludf.DUMMYFUNCTION("split(split(K2747,""吹石一恵、"",false),""公式LINE"",false)"),"三木真琴(吹石一恵)は30歳の専業主婦。2児の子育てと家事、夫の世話に毎日を費やすうち、お腹には立派な脂肪が蓄えられていた。夫の敦司(長谷川朝晴)とまともな会話もないが、「そんなもんか」と自分を慰めつつ、平穏な日々を送っていた。ところが、ある日敦司の浮気が発覚して…。")</f>
        <v>三木真琴(吹石一恵)は30歳の専業主婦。2児の子育てと家事、夫の世話に毎日を費やすうち、お腹には立派な脂肪が蓄えられていた。夫の敦司(長谷川朝晴)とまともな会話もないが、「そんなもんか」と自分を慰めつつ、平穏な日々を送っていた。ところが、ある日敦司の浮気が発覚して…。</v>
      </c>
      <c r="N2747" s="2"/>
      <c r="O2747" s="2"/>
      <c r="P2747" s="1"/>
      <c r="Q2747" s="1"/>
      <c r="R2747" s="1"/>
      <c r="S2747" s="1"/>
      <c r="T2747" s="1"/>
      <c r="U2747" s="1"/>
      <c r="V2747" s="1"/>
      <c r="W2747" s="1"/>
      <c r="X2747" s="1"/>
      <c r="Y2747" s="1"/>
      <c r="Z2747" s="1"/>
      <c r="AA2747" s="1"/>
      <c r="AB2747" s="1"/>
      <c r="AC2747" s="1"/>
      <c r="AD2747" s="1"/>
      <c r="AE2747" s="1"/>
      <c r="AF2747" s="1"/>
      <c r="AG2747" s="1"/>
      <c r="AH2747" s="1"/>
      <c r="AI2747" s="1"/>
      <c r="AJ2747" s="1"/>
      <c r="AK2747" s="1"/>
      <c r="AL2747" s="1"/>
      <c r="AM2747" s="1"/>
      <c r="AN2747" s="1"/>
      <c r="AO2747" s="1"/>
      <c r="AP2747" s="1"/>
      <c r="AQ2747" s="1"/>
      <c r="AR2747" s="1"/>
      <c r="AS2747" s="1"/>
      <c r="AT2747" s="1"/>
      <c r="AU2747" s="1"/>
      <c r="AV2747" s="1"/>
      <c r="AW2747" s="1"/>
      <c r="AX2747" s="1"/>
      <c r="AY2747" s="1"/>
      <c r="AZ2747" s="1"/>
      <c r="BA2747" s="1"/>
      <c r="BB2747" s="1"/>
    </row>
    <row r="2748" ht="204.75" customHeight="1">
      <c r="A2748" s="1">
        <v>4328.0</v>
      </c>
      <c r="B2748" s="2" t="s">
        <v>8411</v>
      </c>
      <c r="C2748" s="2">
        <f>IFERROR(__xludf.DUMMYFUNCTION("split(B2748,""_"")"),1107.0)</f>
        <v>1107</v>
      </c>
      <c r="D2748" s="2" t="str">
        <f>IFERROR(__xludf.DUMMYFUNCTION("""COMPUTED_VALUE"""),"EX")</f>
        <v>EX</v>
      </c>
      <c r="E2748" s="2" t="str">
        <f>IFERROR(__xludf.DUMMYFUNCTION("""COMPUTED_VALUE"""),"日23")</f>
        <v>日23</v>
      </c>
      <c r="F2748" s="2" t="s">
        <v>8412</v>
      </c>
      <c r="G2748" s="2" t="s">
        <v>8416</v>
      </c>
      <c r="H2748" s="1">
        <v>2.0</v>
      </c>
      <c r="I2748" s="1" t="s">
        <v>2872</v>
      </c>
      <c r="J2748" s="1" t="s">
        <v>1435</v>
      </c>
      <c r="K2748" s="2" t="s">
        <v>8417</v>
      </c>
      <c r="L2748" s="11" t="s">
        <v>8418</v>
      </c>
      <c r="M2748" s="2" t="str">
        <f>IFERROR(__xludf.DUMMYFUNCTION("split(split(K2748,""吹石一恵、"",false),""公式LINE"",false)"),"真琴は夫の反対を押し切りモデルになることを決意!だが、モデル事務所探しは難航…。そんな中、ライバルの紗良は大企業のイメージガールとして鮮烈なデビューを果たす!真琴もどうにかこうにか弱小モデル事務所への登録にこぎ着けるが、その先にはプロとしての厳しい試練が待っていた!")</f>
        <v>真琴は夫の反対を押し切りモデルになることを決意!だが、モデル事務所探しは難航…。そんな中、ライバルの紗良は大企業のイメージガールとして鮮烈なデビューを果たす!真琴もどうにかこうにか弱小モデル事務所への登録にこぎ着けるが、その先にはプロとしての厳しい試練が待っていた!</v>
      </c>
      <c r="N2748" s="2"/>
      <c r="O2748" s="2"/>
      <c r="P2748" s="1"/>
      <c r="Q2748" s="1"/>
      <c r="R2748" s="1"/>
      <c r="S2748" s="1"/>
      <c r="T2748" s="1"/>
      <c r="U2748" s="1"/>
      <c r="V2748" s="1"/>
      <c r="W2748" s="1"/>
      <c r="X2748" s="1"/>
      <c r="Y2748" s="1"/>
      <c r="Z2748" s="1"/>
      <c r="AA2748" s="1"/>
      <c r="AB2748" s="1"/>
      <c r="AC2748" s="1"/>
      <c r="AD2748" s="1"/>
      <c r="AE2748" s="1"/>
      <c r="AF2748" s="1"/>
      <c r="AG2748" s="1"/>
      <c r="AH2748" s="1"/>
      <c r="AI2748" s="1"/>
      <c r="AJ2748" s="1"/>
      <c r="AK2748" s="1"/>
      <c r="AL2748" s="1"/>
      <c r="AM2748" s="1"/>
      <c r="AN2748" s="1"/>
      <c r="AO2748" s="1"/>
      <c r="AP2748" s="1"/>
      <c r="AQ2748" s="1"/>
      <c r="AR2748" s="1"/>
      <c r="AS2748" s="1"/>
      <c r="AT2748" s="1"/>
      <c r="AU2748" s="1"/>
      <c r="AV2748" s="1"/>
      <c r="AW2748" s="1"/>
      <c r="AX2748" s="1"/>
      <c r="AY2748" s="1"/>
      <c r="AZ2748" s="1"/>
      <c r="BA2748" s="1"/>
      <c r="BB2748" s="1"/>
    </row>
    <row r="2749" ht="204.75" customHeight="1">
      <c r="A2749" s="1">
        <v>4329.0</v>
      </c>
      <c r="B2749" s="2" t="s">
        <v>8411</v>
      </c>
      <c r="C2749" s="2">
        <f>IFERROR(__xludf.DUMMYFUNCTION("split(B2749,""_"")"),1107.0)</f>
        <v>1107</v>
      </c>
      <c r="D2749" s="2" t="str">
        <f>IFERROR(__xludf.DUMMYFUNCTION("""COMPUTED_VALUE"""),"EX")</f>
        <v>EX</v>
      </c>
      <c r="E2749" s="2" t="str">
        <f>IFERROR(__xludf.DUMMYFUNCTION("""COMPUTED_VALUE"""),"日23")</f>
        <v>日23</v>
      </c>
      <c r="F2749" s="2" t="s">
        <v>8412</v>
      </c>
      <c r="G2749" s="2" t="s">
        <v>8419</v>
      </c>
      <c r="H2749" s="1">
        <v>3.0</v>
      </c>
      <c r="I2749" s="1" t="s">
        <v>2876</v>
      </c>
      <c r="J2749" s="1" t="s">
        <v>2429</v>
      </c>
      <c r="K2749" s="2" t="s">
        <v>8420</v>
      </c>
      <c r="L2749" s="11" t="s">
        <v>8421</v>
      </c>
      <c r="M2749" s="2" t="str">
        <f>IFERROR(__xludf.DUMMYFUNCTION("split(split(K2749,""吹石一恵、"",false),""公式LINE"",false)"),"一人前のモデルを目指しトレーニングを積んできた真琴が、いよいよファッションショーに出演!真琴は、いつまでも否定的な敦司に、モデルとしての自分を見てもらおうと発奮する。ついに地道な努力が結実するその時、人気モデルとなった紗良が突然現れ、意味深な言動で真琴の心をかき乱す!?")</f>
        <v>一人前のモデルを目指しトレーニングを積んできた真琴が、いよいよファッションショーに出演!真琴は、いつまでも否定的な敦司に、モデルとしての自分を見てもらおうと発奮する。ついに地道な努力が結実するその時、人気モデルとなった紗良が突然現れ、意味深な言動で真琴の心をかき乱す!?</v>
      </c>
      <c r="N2749" s="2"/>
      <c r="O2749" s="2"/>
      <c r="P2749" s="1"/>
      <c r="Q2749" s="1"/>
      <c r="R2749" s="1"/>
      <c r="S2749" s="1"/>
      <c r="T2749" s="1"/>
      <c r="U2749" s="1"/>
      <c r="V2749" s="1"/>
      <c r="W2749" s="1"/>
      <c r="X2749" s="1"/>
      <c r="Y2749" s="1"/>
      <c r="Z2749" s="1"/>
      <c r="AA2749" s="1"/>
      <c r="AB2749" s="1"/>
      <c r="AC2749" s="1"/>
      <c r="AD2749" s="1"/>
      <c r="AE2749" s="1"/>
      <c r="AF2749" s="1"/>
      <c r="AG2749" s="1"/>
      <c r="AH2749" s="1"/>
      <c r="AI2749" s="1"/>
      <c r="AJ2749" s="1"/>
      <c r="AK2749" s="1"/>
      <c r="AL2749" s="1"/>
      <c r="AM2749" s="1"/>
      <c r="AN2749" s="1"/>
      <c r="AO2749" s="1"/>
      <c r="AP2749" s="1"/>
      <c r="AQ2749" s="1"/>
      <c r="AR2749" s="1"/>
      <c r="AS2749" s="1"/>
      <c r="AT2749" s="1"/>
      <c r="AU2749" s="1"/>
      <c r="AV2749" s="1"/>
      <c r="AW2749" s="1"/>
      <c r="AX2749" s="1"/>
      <c r="AY2749" s="1"/>
      <c r="AZ2749" s="1"/>
      <c r="BA2749" s="1"/>
      <c r="BB2749" s="1"/>
    </row>
    <row r="2750" ht="204.75" customHeight="1">
      <c r="A2750" s="1">
        <v>4330.0</v>
      </c>
      <c r="B2750" s="2" t="s">
        <v>8411</v>
      </c>
      <c r="C2750" s="2">
        <f>IFERROR(__xludf.DUMMYFUNCTION("split(B2750,""_"")"),1107.0)</f>
        <v>1107</v>
      </c>
      <c r="D2750" s="2" t="str">
        <f>IFERROR(__xludf.DUMMYFUNCTION("""COMPUTED_VALUE"""),"EX")</f>
        <v>EX</v>
      </c>
      <c r="E2750" s="2" t="str">
        <f>IFERROR(__xludf.DUMMYFUNCTION("""COMPUTED_VALUE"""),"日23")</f>
        <v>日23</v>
      </c>
      <c r="F2750" s="2" t="s">
        <v>8412</v>
      </c>
      <c r="G2750" s="2" t="s">
        <v>8422</v>
      </c>
      <c r="H2750" s="1">
        <v>4.0</v>
      </c>
      <c r="I2750" s="1" t="s">
        <v>2880</v>
      </c>
      <c r="J2750" s="1" t="s">
        <v>2429</v>
      </c>
      <c r="K2750" s="2" t="s">
        <v>8423</v>
      </c>
      <c r="L2750" s="11" t="s">
        <v>8424</v>
      </c>
      <c r="M2750" s="2" t="str">
        <f>IFERROR(__xludf.DUMMYFUNCTION("split(split(K2750,""吹石一恵、"",false),""公式LINE"",false)"),"地道な努力でモデルとしてステップアップしてきた真琴(吹石一恵)。しかし真琴のモデル生命を絶つために、紗良(芦名星)は卑劣な罠を仕掛ける。世界的デザイナー・黒田洋介(戸次重幸)のオーディションで自分の全てを掛けて戦う真琴だが、オーディションの成否は!?")</f>
        <v>地道な努力でモデルとしてステップアップしてきた真琴(吹石一恵)。しかし真琴のモデル生命を絶つために、紗良(芦名星)は卑劣な罠を仕掛ける。世界的デザイナー・黒田洋介(戸次重幸)のオーディションで自分の全てを掛けて戦う真琴だが、オーディションの成否は!?</v>
      </c>
      <c r="N2750" s="2"/>
      <c r="O2750" s="2"/>
      <c r="P2750" s="1"/>
      <c r="Q2750" s="1"/>
      <c r="R2750" s="1"/>
      <c r="S2750" s="1"/>
      <c r="T2750" s="1"/>
      <c r="U2750" s="1"/>
      <c r="V2750" s="1"/>
      <c r="W2750" s="1"/>
      <c r="X2750" s="1"/>
      <c r="Y2750" s="1"/>
      <c r="Z2750" s="1"/>
      <c r="AA2750" s="1"/>
      <c r="AB2750" s="1"/>
      <c r="AC2750" s="1"/>
      <c r="AD2750" s="1"/>
      <c r="AE2750" s="1"/>
      <c r="AF2750" s="1"/>
      <c r="AG2750" s="1"/>
      <c r="AH2750" s="1"/>
      <c r="AI2750" s="1"/>
      <c r="AJ2750" s="1"/>
      <c r="AK2750" s="1"/>
      <c r="AL2750" s="1"/>
      <c r="AM2750" s="1"/>
      <c r="AN2750" s="1"/>
      <c r="AO2750" s="1"/>
      <c r="AP2750" s="1"/>
      <c r="AQ2750" s="1"/>
      <c r="AR2750" s="1"/>
      <c r="AS2750" s="1"/>
      <c r="AT2750" s="1"/>
      <c r="AU2750" s="1"/>
      <c r="AV2750" s="1"/>
      <c r="AW2750" s="1"/>
      <c r="AX2750" s="1"/>
      <c r="AY2750" s="1"/>
      <c r="AZ2750" s="1"/>
      <c r="BA2750" s="1"/>
      <c r="BB2750" s="1"/>
    </row>
    <row r="2751" ht="204.75" customHeight="1">
      <c r="A2751" s="1">
        <v>4364.0</v>
      </c>
      <c r="B2751" s="2" t="s">
        <v>8425</v>
      </c>
      <c r="C2751" s="2">
        <f>IFERROR(__xludf.DUMMYFUNCTION("split(B2751,""_"")"),1104.0)</f>
        <v>1104</v>
      </c>
      <c r="D2751" s="2" t="str">
        <f>IFERROR(__xludf.DUMMYFUNCTION("""COMPUTED_VALUE"""),"EX")</f>
        <v>EX</v>
      </c>
      <c r="E2751" s="2" t="str">
        <f>IFERROR(__xludf.DUMMYFUNCTION("""COMPUTED_VALUE"""),"水21")</f>
        <v>水21</v>
      </c>
      <c r="F2751" s="2" t="s">
        <v>7145</v>
      </c>
      <c r="G2751" s="2" t="s">
        <v>8180</v>
      </c>
      <c r="H2751" s="1">
        <v>1.0</v>
      </c>
      <c r="J2751" s="1" t="s">
        <v>11</v>
      </c>
      <c r="K2751" s="4" t="s">
        <v>8426</v>
      </c>
      <c r="L2751" s="11" t="s">
        <v>8427</v>
      </c>
      <c r="M2751" s="2" t="str">
        <f>IFERROR(__xludf.DUMMYFUNCTION("split(split(K2751,""上川隆也、"",false),""公式LINE"",false)"),"人気作曲家の財津が殺害!捜査一課のみゆき(貫地谷しほり)らの現場検証の中、科学捜査係の糸村(上川隆也)は誰も気にしない遺された玩具のピアノにこだわり、現場から疎まれる。糸村の風変わりな捜査が波紋を呼ぶが、糸村の着目する遺留品から意外な真相が明らかになり…!?　")</f>
        <v>人気作曲家の財津が殺害!捜査一課のみゆき(貫地谷しほり)らの現場検証の中、科学捜査係の糸村(上川隆也)は誰も気にしない遺された玩具のピアノにこだわり、現場から疎まれる。糸村の風変わりな捜査が波紋を呼ぶが、糸村の着目する遺留品から意外な真相が明らかになり…!?　</v>
      </c>
      <c r="N2751" s="2"/>
      <c r="O2751" s="2"/>
      <c r="P2751" s="1"/>
      <c r="Q2751" s="1"/>
      <c r="R2751" s="1"/>
      <c r="S2751" s="1"/>
      <c r="T2751" s="1"/>
      <c r="U2751" s="1"/>
      <c r="V2751" s="1"/>
      <c r="W2751" s="1"/>
      <c r="X2751" s="1"/>
      <c r="Y2751" s="1"/>
      <c r="Z2751" s="1"/>
      <c r="AA2751" s="1"/>
      <c r="AB2751" s="1"/>
      <c r="AC2751" s="1"/>
      <c r="AD2751" s="1"/>
      <c r="AE2751" s="1"/>
      <c r="AF2751" s="1"/>
      <c r="AG2751" s="1"/>
      <c r="AH2751" s="1"/>
      <c r="AI2751" s="1"/>
      <c r="AJ2751" s="1"/>
      <c r="AK2751" s="1"/>
      <c r="AL2751" s="1"/>
      <c r="AM2751" s="1"/>
      <c r="AN2751" s="1"/>
      <c r="AO2751" s="1"/>
      <c r="AP2751" s="1"/>
      <c r="AQ2751" s="1"/>
      <c r="AR2751" s="1"/>
      <c r="AS2751" s="1"/>
      <c r="AT2751" s="1"/>
      <c r="AU2751" s="1"/>
      <c r="AV2751" s="1"/>
      <c r="AW2751" s="1"/>
      <c r="AX2751" s="1"/>
      <c r="AY2751" s="1"/>
      <c r="AZ2751" s="1"/>
      <c r="BA2751" s="1"/>
      <c r="BB2751" s="1"/>
    </row>
    <row r="2752" ht="204.75" customHeight="1">
      <c r="A2752" s="1">
        <v>4365.0</v>
      </c>
      <c r="B2752" s="2" t="s">
        <v>8425</v>
      </c>
      <c r="C2752" s="2">
        <f>IFERROR(__xludf.DUMMYFUNCTION("split(B2752,""_"")"),1104.0)</f>
        <v>1104</v>
      </c>
      <c r="D2752" s="2" t="str">
        <f>IFERROR(__xludf.DUMMYFUNCTION("""COMPUTED_VALUE"""),"EX")</f>
        <v>EX</v>
      </c>
      <c r="E2752" s="2" t="str">
        <f>IFERROR(__xludf.DUMMYFUNCTION("""COMPUTED_VALUE"""),"水21")</f>
        <v>水21</v>
      </c>
      <c r="F2752" s="2" t="s">
        <v>7145</v>
      </c>
      <c r="G2752" s="2" t="s">
        <v>7150</v>
      </c>
      <c r="H2752" s="1">
        <v>2.0</v>
      </c>
      <c r="I2752" s="1" t="s">
        <v>2872</v>
      </c>
      <c r="J2752" s="1" t="s">
        <v>11</v>
      </c>
      <c r="K2752" s="2" t="s">
        <v>8428</v>
      </c>
      <c r="L2752" s="11" t="s">
        <v>8429</v>
      </c>
      <c r="M2752" s="2" t="str">
        <f>IFERROR(__xludf.DUMMYFUNCTION("split(split(K2752,""上川隆也、"",false),""公式LINE"",false)"),"殺害された女性が遺した生後8カ月の赤ん坊と下半分のおみくじ…。糸村(上川隆也)だけがこだわる2つの“遺されたもの”から、思いもよらない事件の真相が浮かび上がってきて…!?2つの遺留品に残された被害者の想いとは?　")</f>
        <v>殺害された女性が遺した生後8カ月の赤ん坊と下半分のおみくじ…。糸村(上川隆也)だけがこだわる2つの“遺されたもの”から、思いもよらない事件の真相が浮かび上がってきて…!?2つの遺留品に残された被害者の想いとは?　</v>
      </c>
      <c r="N2752" s="2"/>
      <c r="O2752" s="2"/>
      <c r="P2752" s="1"/>
      <c r="Q2752" s="1"/>
      <c r="R2752" s="1"/>
      <c r="S2752" s="1"/>
      <c r="T2752" s="1"/>
      <c r="U2752" s="1"/>
      <c r="V2752" s="1"/>
      <c r="W2752" s="1"/>
      <c r="X2752" s="1"/>
      <c r="Y2752" s="1"/>
      <c r="Z2752" s="1"/>
      <c r="AA2752" s="1"/>
      <c r="AB2752" s="1"/>
      <c r="AC2752" s="1"/>
      <c r="AD2752" s="1"/>
      <c r="AE2752" s="1"/>
      <c r="AF2752" s="1"/>
      <c r="AG2752" s="1"/>
      <c r="AH2752" s="1"/>
      <c r="AI2752" s="1"/>
      <c r="AJ2752" s="1"/>
      <c r="AK2752" s="1"/>
      <c r="AL2752" s="1"/>
      <c r="AM2752" s="1"/>
      <c r="AN2752" s="1"/>
      <c r="AO2752" s="1"/>
      <c r="AP2752" s="1"/>
      <c r="AQ2752" s="1"/>
      <c r="AR2752" s="1"/>
      <c r="AS2752" s="1"/>
      <c r="AT2752" s="1"/>
      <c r="AU2752" s="1"/>
      <c r="AV2752" s="1"/>
      <c r="AW2752" s="1"/>
      <c r="AX2752" s="1"/>
      <c r="AY2752" s="1"/>
      <c r="AZ2752" s="1"/>
      <c r="BA2752" s="1"/>
      <c r="BB2752" s="1"/>
    </row>
    <row r="2753" ht="204.75" customHeight="1">
      <c r="A2753" s="1">
        <v>4366.0</v>
      </c>
      <c r="B2753" s="2" t="s">
        <v>8425</v>
      </c>
      <c r="C2753" s="2">
        <f>IFERROR(__xludf.DUMMYFUNCTION("split(B2753,""_"")"),1104.0)</f>
        <v>1104</v>
      </c>
      <c r="D2753" s="2" t="str">
        <f>IFERROR(__xludf.DUMMYFUNCTION("""COMPUTED_VALUE"""),"EX")</f>
        <v>EX</v>
      </c>
      <c r="E2753" s="2" t="str">
        <f>IFERROR(__xludf.DUMMYFUNCTION("""COMPUTED_VALUE"""),"水21")</f>
        <v>水21</v>
      </c>
      <c r="F2753" s="2" t="s">
        <v>7145</v>
      </c>
      <c r="G2753" s="2" t="s">
        <v>7154</v>
      </c>
      <c r="H2753" s="1">
        <v>3.0</v>
      </c>
      <c r="I2753" s="1" t="s">
        <v>2876</v>
      </c>
      <c r="J2753" s="1" t="s">
        <v>11</v>
      </c>
      <c r="K2753" s="2" t="s">
        <v>8430</v>
      </c>
      <c r="L2753" s="11" t="s">
        <v>8431</v>
      </c>
      <c r="M2753" s="2" t="str">
        <f>IFERROR(__xludf.DUMMYFUNCTION("split(split(K2753,""上川隆也、"",false),""公式LINE"",false)"),"警視庁捜査一課・科学捜査係を舞台に、遺留品から真実に迫る新たな刑事ドラマ誕生!主演・上川隆也演じる刑事・糸村が明らかにする被害者たちの伝えられなかった想いとは?　")</f>
        <v>警視庁捜査一課・科学捜査係を舞台に、遺留品から真実に迫る新たな刑事ドラマ誕生!主演・上川隆也演じる刑事・糸村が明らかにする被害者たちの伝えられなかった想いとは?　</v>
      </c>
      <c r="N2753" s="2"/>
      <c r="O2753" s="2"/>
      <c r="P2753" s="1"/>
      <c r="Q2753" s="1"/>
      <c r="R2753" s="1"/>
      <c r="S2753" s="1"/>
      <c r="T2753" s="1"/>
      <c r="U2753" s="1"/>
      <c r="V2753" s="1"/>
      <c r="W2753" s="1"/>
      <c r="X2753" s="1"/>
      <c r="Y2753" s="1"/>
      <c r="Z2753" s="1"/>
      <c r="AA2753" s="1"/>
      <c r="AB2753" s="1"/>
      <c r="AC2753" s="1"/>
      <c r="AD2753" s="1"/>
      <c r="AE2753" s="1"/>
      <c r="AF2753" s="1"/>
      <c r="AG2753" s="1"/>
      <c r="AH2753" s="1"/>
      <c r="AI2753" s="1"/>
      <c r="AJ2753" s="1"/>
      <c r="AK2753" s="1"/>
      <c r="AL2753" s="1"/>
      <c r="AM2753" s="1"/>
      <c r="AN2753" s="1"/>
      <c r="AO2753" s="1"/>
      <c r="AP2753" s="1"/>
      <c r="AQ2753" s="1"/>
      <c r="AR2753" s="1"/>
      <c r="AS2753" s="1"/>
      <c r="AT2753" s="1"/>
      <c r="AU2753" s="1"/>
      <c r="AV2753" s="1"/>
      <c r="AW2753" s="1"/>
      <c r="AX2753" s="1"/>
      <c r="AY2753" s="1"/>
      <c r="AZ2753" s="1"/>
      <c r="BA2753" s="1"/>
      <c r="BB2753" s="1"/>
    </row>
    <row r="2754" ht="204.75" customHeight="1">
      <c r="A2754" s="1">
        <v>4367.0</v>
      </c>
      <c r="B2754" s="2" t="s">
        <v>8425</v>
      </c>
      <c r="C2754" s="2">
        <f>IFERROR(__xludf.DUMMYFUNCTION("split(B2754,""_"")"),1104.0)</f>
        <v>1104</v>
      </c>
      <c r="D2754" s="2" t="str">
        <f>IFERROR(__xludf.DUMMYFUNCTION("""COMPUTED_VALUE"""),"EX")</f>
        <v>EX</v>
      </c>
      <c r="E2754" s="2" t="str">
        <f>IFERROR(__xludf.DUMMYFUNCTION("""COMPUTED_VALUE"""),"水21")</f>
        <v>水21</v>
      </c>
      <c r="F2754" s="2" t="s">
        <v>7145</v>
      </c>
      <c r="G2754" s="2" t="s">
        <v>7157</v>
      </c>
      <c r="H2754" s="1">
        <v>4.0</v>
      </c>
      <c r="I2754" s="1" t="s">
        <v>2880</v>
      </c>
      <c r="J2754" s="1" t="s">
        <v>11</v>
      </c>
      <c r="K2754" s="2" t="s">
        <v>8432</v>
      </c>
      <c r="L2754" s="11" t="s">
        <v>8431</v>
      </c>
      <c r="M2754" s="2" t="str">
        <f>IFERROR(__xludf.DUMMYFUNCTION("split(split(K2754,""上川隆也、"",false),""公式LINE"",false)"),"警視庁捜査一課・科学捜査係を舞台に、遺留品から真実に迫る新たな刑事ドラマ誕生!主演・上川隆也演じる刑事・糸村が明らかにする被害者たちの伝えられなかった想いとは?　")</f>
        <v>警視庁捜査一課・科学捜査係を舞台に、遺留品から真実に迫る新たな刑事ドラマ誕生!主演・上川隆也演じる刑事・糸村が明らかにする被害者たちの伝えられなかった想いとは?　</v>
      </c>
      <c r="N2754" s="2"/>
      <c r="O2754" s="2"/>
      <c r="P2754" s="1"/>
      <c r="Q2754" s="1"/>
      <c r="R2754" s="1"/>
      <c r="S2754" s="1"/>
      <c r="T2754" s="1"/>
      <c r="U2754" s="1"/>
      <c r="V2754" s="1"/>
      <c r="W2754" s="1"/>
      <c r="X2754" s="1"/>
      <c r="Y2754" s="1"/>
      <c r="Z2754" s="1"/>
      <c r="AA2754" s="1"/>
      <c r="AB2754" s="1"/>
      <c r="AC2754" s="1"/>
      <c r="AD2754" s="1"/>
      <c r="AE2754" s="1"/>
      <c r="AF2754" s="1"/>
      <c r="AG2754" s="1"/>
      <c r="AH2754" s="1"/>
      <c r="AI2754" s="1"/>
      <c r="AJ2754" s="1"/>
      <c r="AK2754" s="1"/>
      <c r="AL2754" s="1"/>
      <c r="AM2754" s="1"/>
      <c r="AN2754" s="1"/>
      <c r="AO2754" s="1"/>
      <c r="AP2754" s="1"/>
      <c r="AQ2754" s="1"/>
      <c r="AR2754" s="1"/>
      <c r="AS2754" s="1"/>
      <c r="AT2754" s="1"/>
      <c r="AU2754" s="1"/>
      <c r="AV2754" s="1"/>
      <c r="AW2754" s="1"/>
      <c r="AX2754" s="1"/>
      <c r="AY2754" s="1"/>
      <c r="AZ2754" s="1"/>
      <c r="BA2754" s="1"/>
      <c r="BB2754" s="1"/>
    </row>
    <row r="2755" ht="204.75" customHeight="1">
      <c r="A2755" s="1">
        <v>4368.0</v>
      </c>
      <c r="B2755" s="2" t="s">
        <v>8425</v>
      </c>
      <c r="C2755" s="2">
        <f>IFERROR(__xludf.DUMMYFUNCTION("split(B2755,""_"")"),1104.0)</f>
        <v>1104</v>
      </c>
      <c r="D2755" s="2" t="str">
        <f>IFERROR(__xludf.DUMMYFUNCTION("""COMPUTED_VALUE"""),"EX")</f>
        <v>EX</v>
      </c>
      <c r="E2755" s="2" t="str">
        <f>IFERROR(__xludf.DUMMYFUNCTION("""COMPUTED_VALUE"""),"水21")</f>
        <v>水21</v>
      </c>
      <c r="F2755" s="2" t="s">
        <v>7145</v>
      </c>
      <c r="G2755" s="2" t="s">
        <v>7160</v>
      </c>
      <c r="H2755" s="1">
        <v>5.0</v>
      </c>
      <c r="I2755" s="1" t="s">
        <v>2884</v>
      </c>
      <c r="J2755" s="1" t="s">
        <v>11</v>
      </c>
      <c r="K2755" s="2" t="s">
        <v>8433</v>
      </c>
      <c r="L2755" s="11" t="s">
        <v>8431</v>
      </c>
      <c r="M2755" s="2" t="str">
        <f>IFERROR(__xludf.DUMMYFUNCTION("split(split(K2755,""上川隆也、"",false),""公式LINE"",false)"),"警視庁捜査一課・科学捜査係を舞台に、遺留品から真実に迫る新たな刑事ドラマ誕生!主演・上川隆也演じる刑事・糸村が明らかにする被害者たちの伝えられなかった想いとは?　")</f>
        <v>警視庁捜査一課・科学捜査係を舞台に、遺留品から真実に迫る新たな刑事ドラマ誕生!主演・上川隆也演じる刑事・糸村が明らかにする被害者たちの伝えられなかった想いとは?　</v>
      </c>
      <c r="N2755" s="2"/>
      <c r="O2755" s="2"/>
      <c r="P2755" s="1"/>
      <c r="Q2755" s="1"/>
      <c r="R2755" s="1"/>
      <c r="S2755" s="1"/>
      <c r="T2755" s="1"/>
      <c r="U2755" s="1"/>
      <c r="V2755" s="1"/>
      <c r="W2755" s="1"/>
      <c r="X2755" s="1"/>
      <c r="Y2755" s="1"/>
      <c r="Z2755" s="1"/>
      <c r="AA2755" s="1"/>
      <c r="AB2755" s="1"/>
      <c r="AC2755" s="1"/>
      <c r="AD2755" s="1"/>
      <c r="AE2755" s="1"/>
      <c r="AF2755" s="1"/>
      <c r="AG2755" s="1"/>
      <c r="AH2755" s="1"/>
      <c r="AI2755" s="1"/>
      <c r="AJ2755" s="1"/>
      <c r="AK2755" s="1"/>
      <c r="AL2755" s="1"/>
      <c r="AM2755" s="1"/>
      <c r="AN2755" s="1"/>
      <c r="AO2755" s="1"/>
      <c r="AP2755" s="1"/>
      <c r="AQ2755" s="1"/>
      <c r="AR2755" s="1"/>
      <c r="AS2755" s="1"/>
      <c r="AT2755" s="1"/>
      <c r="AU2755" s="1"/>
      <c r="AV2755" s="1"/>
      <c r="AW2755" s="1"/>
      <c r="AX2755" s="1"/>
      <c r="AY2755" s="1"/>
      <c r="AZ2755" s="1"/>
      <c r="BA2755" s="1"/>
      <c r="BB2755" s="1"/>
    </row>
    <row r="2756" ht="204.75" customHeight="1">
      <c r="A2756" s="1">
        <v>4369.0</v>
      </c>
      <c r="B2756" s="2" t="s">
        <v>8425</v>
      </c>
      <c r="C2756" s="2">
        <f>IFERROR(__xludf.DUMMYFUNCTION("split(B2756,""_"")"),1104.0)</f>
        <v>1104</v>
      </c>
      <c r="D2756" s="2" t="str">
        <f>IFERROR(__xludf.DUMMYFUNCTION("""COMPUTED_VALUE"""),"EX")</f>
        <v>EX</v>
      </c>
      <c r="E2756" s="2" t="str">
        <f>IFERROR(__xludf.DUMMYFUNCTION("""COMPUTED_VALUE"""),"水21")</f>
        <v>水21</v>
      </c>
      <c r="F2756" s="2" t="s">
        <v>7145</v>
      </c>
      <c r="G2756" s="2" t="s">
        <v>7163</v>
      </c>
      <c r="H2756" s="1">
        <v>6.0</v>
      </c>
      <c r="I2756" s="1" t="s">
        <v>2888</v>
      </c>
      <c r="J2756" s="1" t="s">
        <v>11</v>
      </c>
      <c r="K2756" s="2" t="s">
        <v>8434</v>
      </c>
      <c r="L2756" s="11" t="s">
        <v>8435</v>
      </c>
      <c r="M2756" s="2" t="str">
        <f>IFERROR(__xludf.DUMMYFUNCTION("split(split(K2756,""上川隆也、"",false),""公式LINE"",false)"),"警視庁捜査一課・科学捜査係を舞台に、遺留品から真実に迫る新たな刑事ドラマ誕生!主演・上川隆也演じる刑事・糸村が明らかにする被害者たちの伝えられなかった想いとは?")</f>
        <v>警視庁捜査一課・科学捜査係を舞台に、遺留品から真実に迫る新たな刑事ドラマ誕生!主演・上川隆也演じる刑事・糸村が明らかにする被害者たちの伝えられなかった想いとは?</v>
      </c>
      <c r="N2756" s="2"/>
      <c r="O2756" s="2"/>
      <c r="P2756" s="1"/>
      <c r="Q2756" s="1"/>
      <c r="R2756" s="1"/>
      <c r="S2756" s="1"/>
      <c r="T2756" s="1"/>
      <c r="U2756" s="1"/>
      <c r="V2756" s="1"/>
      <c r="W2756" s="1"/>
      <c r="X2756" s="1"/>
      <c r="Y2756" s="1"/>
      <c r="Z2756" s="1"/>
      <c r="AA2756" s="1"/>
      <c r="AB2756" s="1"/>
      <c r="AC2756" s="1"/>
      <c r="AD2756" s="1"/>
      <c r="AE2756" s="1"/>
      <c r="AF2756" s="1"/>
      <c r="AG2756" s="1"/>
      <c r="AH2756" s="1"/>
      <c r="AI2756" s="1"/>
      <c r="AJ2756" s="1"/>
      <c r="AK2756" s="1"/>
      <c r="AL2756" s="1"/>
      <c r="AM2756" s="1"/>
      <c r="AN2756" s="1"/>
      <c r="AO2756" s="1"/>
      <c r="AP2756" s="1"/>
      <c r="AQ2756" s="1"/>
      <c r="AR2756" s="1"/>
      <c r="AS2756" s="1"/>
      <c r="AT2756" s="1"/>
      <c r="AU2756" s="1"/>
      <c r="AV2756" s="1"/>
      <c r="AW2756" s="1"/>
      <c r="AX2756" s="1"/>
      <c r="AY2756" s="1"/>
      <c r="AZ2756" s="1"/>
      <c r="BA2756" s="1"/>
      <c r="BB2756" s="1"/>
    </row>
    <row r="2757" ht="204.75" customHeight="1">
      <c r="A2757" s="1">
        <v>4370.0</v>
      </c>
      <c r="B2757" s="2" t="s">
        <v>8425</v>
      </c>
      <c r="C2757" s="2">
        <f>IFERROR(__xludf.DUMMYFUNCTION("split(B2757,""_"")"),1104.0)</f>
        <v>1104</v>
      </c>
      <c r="D2757" s="2" t="str">
        <f>IFERROR(__xludf.DUMMYFUNCTION("""COMPUTED_VALUE"""),"EX")</f>
        <v>EX</v>
      </c>
      <c r="E2757" s="2" t="str">
        <f>IFERROR(__xludf.DUMMYFUNCTION("""COMPUTED_VALUE"""),"水21")</f>
        <v>水21</v>
      </c>
      <c r="F2757" s="2" t="s">
        <v>7145</v>
      </c>
      <c r="G2757" s="2" t="s">
        <v>7166</v>
      </c>
      <c r="H2757" s="1">
        <v>7.0</v>
      </c>
      <c r="I2757" s="1" t="s">
        <v>2892</v>
      </c>
      <c r="J2757" s="1" t="s">
        <v>11</v>
      </c>
      <c r="K2757" s="2" t="s">
        <v>8436</v>
      </c>
      <c r="L2757" s="11" t="s">
        <v>8435</v>
      </c>
      <c r="M2757" s="2" t="str">
        <f>IFERROR(__xludf.DUMMYFUNCTION("split(split(K2757,""上川隆也、"",false),""公式LINE"",false)"),"警視庁捜査一課・科学捜査係を舞台に、遺留品から真実に迫る新たな刑事ドラマ誕生!主演・上川隆也演じる刑事・糸村が明らかにする被害者たちの伝えられなかった想いとは?")</f>
        <v>警視庁捜査一課・科学捜査係を舞台に、遺留品から真実に迫る新たな刑事ドラマ誕生!主演・上川隆也演じる刑事・糸村が明らかにする被害者たちの伝えられなかった想いとは?</v>
      </c>
      <c r="N2757" s="2"/>
      <c r="O2757" s="2"/>
      <c r="P2757" s="1"/>
      <c r="Q2757" s="1"/>
      <c r="R2757" s="1"/>
      <c r="S2757" s="1"/>
      <c r="T2757" s="1"/>
      <c r="U2757" s="1"/>
      <c r="V2757" s="1"/>
      <c r="W2757" s="1"/>
      <c r="X2757" s="1"/>
      <c r="Y2757" s="1"/>
      <c r="Z2757" s="1"/>
      <c r="AA2757" s="1"/>
      <c r="AB2757" s="1"/>
      <c r="AC2757" s="1"/>
      <c r="AD2757" s="1"/>
      <c r="AE2757" s="1"/>
      <c r="AF2757" s="1"/>
      <c r="AG2757" s="1"/>
      <c r="AH2757" s="1"/>
      <c r="AI2757" s="1"/>
      <c r="AJ2757" s="1"/>
      <c r="AK2757" s="1"/>
      <c r="AL2757" s="1"/>
      <c r="AM2757" s="1"/>
      <c r="AN2757" s="1"/>
      <c r="AO2757" s="1"/>
      <c r="AP2757" s="1"/>
      <c r="AQ2757" s="1"/>
      <c r="AR2757" s="1"/>
      <c r="AS2757" s="1"/>
      <c r="AT2757" s="1"/>
      <c r="AU2757" s="1"/>
      <c r="AV2757" s="1"/>
      <c r="AW2757" s="1"/>
      <c r="AX2757" s="1"/>
      <c r="AY2757" s="1"/>
      <c r="AZ2757" s="1"/>
      <c r="BA2757" s="1"/>
      <c r="BB2757" s="1"/>
    </row>
    <row r="2758" ht="204.75" customHeight="1">
      <c r="A2758" s="1">
        <v>4371.0</v>
      </c>
      <c r="B2758" s="2" t="s">
        <v>8425</v>
      </c>
      <c r="C2758" s="2">
        <f>IFERROR(__xludf.DUMMYFUNCTION("split(B2758,""_"")"),1104.0)</f>
        <v>1104</v>
      </c>
      <c r="D2758" s="2" t="str">
        <f>IFERROR(__xludf.DUMMYFUNCTION("""COMPUTED_VALUE"""),"EX")</f>
        <v>EX</v>
      </c>
      <c r="E2758" s="2" t="str">
        <f>IFERROR(__xludf.DUMMYFUNCTION("""COMPUTED_VALUE"""),"水21")</f>
        <v>水21</v>
      </c>
      <c r="F2758" s="2" t="s">
        <v>7145</v>
      </c>
      <c r="G2758" s="2" t="s">
        <v>7169</v>
      </c>
      <c r="H2758" s="1">
        <v>8.0</v>
      </c>
      <c r="I2758" s="1" t="s">
        <v>2896</v>
      </c>
      <c r="J2758" s="1" t="s">
        <v>4</v>
      </c>
      <c r="K2758" s="2" t="s">
        <v>8437</v>
      </c>
      <c r="L2758" s="11" t="s">
        <v>8435</v>
      </c>
      <c r="M2758" s="2" t="str">
        <f>IFERROR(__xludf.DUMMYFUNCTION("split(split(K2758,""上川隆也、"",false),""公式LINE"",false)"),"警視庁捜査一課・科学捜査係を舞台に、遺留品から真実に迫る新たな刑事ドラマ誕生!主演・上川隆也演じる刑事・糸村が明らかにする被害者たちの伝えられなかった想いとは?")</f>
        <v>警視庁捜査一課・科学捜査係を舞台に、遺留品から真実に迫る新たな刑事ドラマ誕生!主演・上川隆也演じる刑事・糸村が明らかにする被害者たちの伝えられなかった想いとは?</v>
      </c>
      <c r="N2758" s="2"/>
      <c r="O2758" s="2"/>
      <c r="P2758" s="1"/>
      <c r="Q2758" s="1"/>
      <c r="R2758" s="1"/>
      <c r="S2758" s="1"/>
      <c r="T2758" s="1"/>
      <c r="U2758" s="1"/>
      <c r="V2758" s="1"/>
      <c r="W2758" s="1"/>
      <c r="X2758" s="1"/>
      <c r="Y2758" s="1"/>
      <c r="Z2758" s="1"/>
      <c r="AA2758" s="1"/>
      <c r="AB2758" s="1"/>
      <c r="AC2758" s="1"/>
      <c r="AD2758" s="1"/>
      <c r="AE2758" s="1"/>
      <c r="AF2758" s="1"/>
      <c r="AG2758" s="1"/>
      <c r="AH2758" s="1"/>
      <c r="AI2758" s="1"/>
      <c r="AJ2758" s="1"/>
      <c r="AK2758" s="1"/>
      <c r="AL2758" s="1"/>
      <c r="AM2758" s="1"/>
      <c r="AN2758" s="1"/>
      <c r="AO2758" s="1"/>
      <c r="AP2758" s="1"/>
      <c r="AQ2758" s="1"/>
      <c r="AR2758" s="1"/>
      <c r="AS2758" s="1"/>
      <c r="AT2758" s="1"/>
      <c r="AU2758" s="1"/>
      <c r="AV2758" s="1"/>
      <c r="AW2758" s="1"/>
      <c r="AX2758" s="1"/>
      <c r="AY2758" s="1"/>
      <c r="AZ2758" s="1"/>
      <c r="BA2758" s="1"/>
      <c r="BB2758" s="1"/>
    </row>
    <row r="2759" ht="204.75" customHeight="1">
      <c r="A2759" s="1">
        <v>4372.0</v>
      </c>
      <c r="B2759" s="2" t="s">
        <v>8425</v>
      </c>
      <c r="C2759" s="2">
        <f>IFERROR(__xludf.DUMMYFUNCTION("split(B2759,""_"")"),1104.0)</f>
        <v>1104</v>
      </c>
      <c r="D2759" s="2" t="str">
        <f>IFERROR(__xludf.DUMMYFUNCTION("""COMPUTED_VALUE"""),"EX")</f>
        <v>EX</v>
      </c>
      <c r="E2759" s="2" t="str">
        <f>IFERROR(__xludf.DUMMYFUNCTION("""COMPUTED_VALUE"""),"水21")</f>
        <v>水21</v>
      </c>
      <c r="F2759" s="2" t="s">
        <v>7145</v>
      </c>
      <c r="G2759" s="2" t="s">
        <v>7172</v>
      </c>
      <c r="H2759" s="1">
        <v>9.0</v>
      </c>
      <c r="I2759" s="1" t="s">
        <v>2900</v>
      </c>
      <c r="J2759" s="1" t="s">
        <v>11</v>
      </c>
      <c r="K2759" s="2" t="s">
        <v>8438</v>
      </c>
      <c r="L2759" s="11" t="s">
        <v>8435</v>
      </c>
      <c r="M2759" s="2" t="str">
        <f>IFERROR(__xludf.DUMMYFUNCTION("split(split(K2759,""上川隆也、"",false),""公式LINE"",false)"),"警視庁捜査一課・科学捜査係を舞台に、遺留品から真実に迫る新たな刑事ドラマ誕生!主演・上川隆也演じる刑事・糸村が明らかにする被害者たちの伝えられなかった想いとは?")</f>
        <v>警視庁捜査一課・科学捜査係を舞台に、遺留品から真実に迫る新たな刑事ドラマ誕生!主演・上川隆也演じる刑事・糸村が明らかにする被害者たちの伝えられなかった想いとは?</v>
      </c>
      <c r="N2759" s="2"/>
      <c r="O2759" s="2"/>
      <c r="P2759" s="1"/>
      <c r="Q2759" s="1"/>
      <c r="R2759" s="1"/>
      <c r="S2759" s="1"/>
      <c r="T2759" s="1"/>
      <c r="U2759" s="1"/>
      <c r="V2759" s="1"/>
      <c r="W2759" s="1"/>
      <c r="X2759" s="1"/>
      <c r="Y2759" s="1"/>
      <c r="Z2759" s="1"/>
      <c r="AA2759" s="1"/>
      <c r="AB2759" s="1"/>
      <c r="AC2759" s="1"/>
      <c r="AD2759" s="1"/>
      <c r="AE2759" s="1"/>
      <c r="AF2759" s="1"/>
      <c r="AG2759" s="1"/>
      <c r="AH2759" s="1"/>
      <c r="AI2759" s="1"/>
      <c r="AJ2759" s="1"/>
      <c r="AK2759" s="1"/>
      <c r="AL2759" s="1"/>
      <c r="AM2759" s="1"/>
      <c r="AN2759" s="1"/>
      <c r="AO2759" s="1"/>
      <c r="AP2759" s="1"/>
      <c r="AQ2759" s="1"/>
      <c r="AR2759" s="1"/>
      <c r="AS2759" s="1"/>
      <c r="AT2759" s="1"/>
      <c r="AU2759" s="1"/>
      <c r="AV2759" s="1"/>
      <c r="AW2759" s="1"/>
      <c r="AX2759" s="1"/>
      <c r="AY2759" s="1"/>
      <c r="AZ2759" s="1"/>
      <c r="BA2759" s="1"/>
      <c r="BB2759" s="1"/>
    </row>
    <row r="2760" ht="204.75" customHeight="1">
      <c r="A2760" s="1">
        <v>4373.0</v>
      </c>
      <c r="B2760" s="2" t="s">
        <v>8425</v>
      </c>
      <c r="C2760" s="2">
        <f>IFERROR(__xludf.DUMMYFUNCTION("split(B2760,""_"")"),1104.0)</f>
        <v>1104</v>
      </c>
      <c r="D2760" s="2" t="str">
        <f>IFERROR(__xludf.DUMMYFUNCTION("""COMPUTED_VALUE"""),"EX")</f>
        <v>EX</v>
      </c>
      <c r="E2760" s="2" t="str">
        <f>IFERROR(__xludf.DUMMYFUNCTION("""COMPUTED_VALUE"""),"水21")</f>
        <v>水21</v>
      </c>
      <c r="F2760" s="2" t="s">
        <v>7145</v>
      </c>
      <c r="G2760" s="2" t="s">
        <v>8439</v>
      </c>
      <c r="H2760" s="1">
        <v>10.0</v>
      </c>
      <c r="I2760" s="1" t="s">
        <v>37</v>
      </c>
      <c r="J2760" s="1" t="s">
        <v>11</v>
      </c>
      <c r="K2760" s="2" t="s">
        <v>8440</v>
      </c>
      <c r="L2760" s="11" t="s">
        <v>8435</v>
      </c>
      <c r="M2760" s="2" t="str">
        <f>IFERROR(__xludf.DUMMYFUNCTION("split(split(K2760,""上川隆也、"",false),""公式LINE"",false)"),"警視庁捜査一課・科学捜査係を舞台に、遺留品から真実に迫る新たな刑事ドラマ誕生!主演・上川隆也演じる刑事・糸村が明らかにする被害者たちの伝えられなかった想いとは?")</f>
        <v>警視庁捜査一課・科学捜査係を舞台に、遺留品から真実に迫る新たな刑事ドラマ誕生!主演・上川隆也演じる刑事・糸村が明らかにする被害者たちの伝えられなかった想いとは?</v>
      </c>
      <c r="N2760" s="2"/>
      <c r="O2760" s="2"/>
      <c r="P2760" s="1"/>
      <c r="Q2760" s="1"/>
      <c r="R2760" s="1"/>
      <c r="S2760" s="1"/>
      <c r="T2760" s="1"/>
      <c r="U2760" s="1"/>
      <c r="V2760" s="1"/>
      <c r="W2760" s="1"/>
      <c r="X2760" s="1"/>
      <c r="Y2760" s="1"/>
      <c r="Z2760" s="1"/>
      <c r="AA2760" s="1"/>
      <c r="AB2760" s="1"/>
      <c r="AC2760" s="1"/>
      <c r="AD2760" s="1"/>
      <c r="AE2760" s="1"/>
      <c r="AF2760" s="1"/>
      <c r="AG2760" s="1"/>
      <c r="AH2760" s="1"/>
      <c r="AI2760" s="1"/>
      <c r="AJ2760" s="1"/>
      <c r="AK2760" s="1"/>
      <c r="AL2760" s="1"/>
      <c r="AM2760" s="1"/>
      <c r="AN2760" s="1"/>
      <c r="AO2760" s="1"/>
      <c r="AP2760" s="1"/>
      <c r="AQ2760" s="1"/>
      <c r="AR2760" s="1"/>
      <c r="AS2760" s="1"/>
      <c r="AT2760" s="1"/>
      <c r="AU2760" s="1"/>
      <c r="AV2760" s="1"/>
      <c r="AW2760" s="1"/>
      <c r="AX2760" s="1"/>
      <c r="AY2760" s="1"/>
      <c r="AZ2760" s="1"/>
      <c r="BA2760" s="1"/>
      <c r="BB2760" s="1"/>
    </row>
    <row r="2761" ht="204.75" customHeight="1">
      <c r="A2761" s="1">
        <v>4374.0</v>
      </c>
      <c r="B2761" s="2" t="s">
        <v>8425</v>
      </c>
      <c r="C2761" s="2">
        <f>IFERROR(__xludf.DUMMYFUNCTION("split(B2761,""_"")"),1104.0)</f>
        <v>1104</v>
      </c>
      <c r="D2761" s="2" t="str">
        <f>IFERROR(__xludf.DUMMYFUNCTION("""COMPUTED_VALUE"""),"EX")</f>
        <v>EX</v>
      </c>
      <c r="E2761" s="2" t="str">
        <f>IFERROR(__xludf.DUMMYFUNCTION("""COMPUTED_VALUE"""),"水21")</f>
        <v>水21</v>
      </c>
      <c r="F2761" s="2" t="s">
        <v>7145</v>
      </c>
      <c r="G2761" s="2" t="s">
        <v>8180</v>
      </c>
      <c r="H2761" s="1">
        <v>11.0</v>
      </c>
      <c r="J2761" s="1" t="s">
        <v>11</v>
      </c>
      <c r="K2761" s="2" t="s">
        <v>8441</v>
      </c>
      <c r="L2761" s="11" t="s">
        <v>8435</v>
      </c>
      <c r="M2761" s="2" t="str">
        <f>IFERROR(__xludf.DUMMYFUNCTION("split(split(K2761,""上川隆也、"",false),""公式LINE"",false)"),"警視庁捜査一課・科学捜査係を舞台に、遺留品から真実に迫る新たな刑事ドラマ誕生!主演・上川隆也演じる刑事・糸村が明らかにする被害者たちの伝えられなかった想いとは?")</f>
        <v>警視庁捜査一課・科学捜査係を舞台に、遺留品から真実に迫る新たな刑事ドラマ誕生!主演・上川隆也演じる刑事・糸村が明らかにする被害者たちの伝えられなかった想いとは?</v>
      </c>
      <c r="N2761" s="2"/>
      <c r="O2761" s="2"/>
      <c r="P2761" s="1"/>
      <c r="Q2761" s="1"/>
      <c r="R2761" s="1"/>
      <c r="S2761" s="1"/>
      <c r="T2761" s="1"/>
      <c r="U2761" s="1"/>
      <c r="V2761" s="1"/>
      <c r="W2761" s="1"/>
      <c r="X2761" s="1"/>
      <c r="Y2761" s="1"/>
      <c r="Z2761" s="1"/>
      <c r="AA2761" s="1"/>
      <c r="AB2761" s="1"/>
      <c r="AC2761" s="1"/>
      <c r="AD2761" s="1"/>
      <c r="AE2761" s="1"/>
      <c r="AF2761" s="1"/>
      <c r="AG2761" s="1"/>
      <c r="AH2761" s="1"/>
      <c r="AI2761" s="1"/>
      <c r="AJ2761" s="1"/>
      <c r="AK2761" s="1"/>
      <c r="AL2761" s="1"/>
      <c r="AM2761" s="1"/>
      <c r="AN2761" s="1"/>
      <c r="AO2761" s="1"/>
      <c r="AP2761" s="1"/>
      <c r="AQ2761" s="1"/>
      <c r="AR2761" s="1"/>
      <c r="AS2761" s="1"/>
      <c r="AT2761" s="1"/>
      <c r="AU2761" s="1"/>
      <c r="AV2761" s="1"/>
      <c r="AW2761" s="1"/>
      <c r="AX2761" s="1"/>
      <c r="AY2761" s="1"/>
      <c r="AZ2761" s="1"/>
      <c r="BA2761" s="1"/>
      <c r="BB2761" s="1"/>
    </row>
    <row r="2762" ht="204.75" customHeight="1">
      <c r="A2762" s="1">
        <v>4406.0</v>
      </c>
      <c r="B2762" s="2" t="s">
        <v>8442</v>
      </c>
      <c r="C2762" s="2">
        <f>IFERROR(__xludf.DUMMYFUNCTION("split(B2762,""_"")"),1104.0)</f>
        <v>1104</v>
      </c>
      <c r="D2762" s="2" t="str">
        <f>IFERROR(__xludf.DUMMYFUNCTION("""COMPUTED_VALUE"""),"EX")</f>
        <v>EX</v>
      </c>
      <c r="E2762" s="2" t="str">
        <f>IFERROR(__xludf.DUMMYFUNCTION("""COMPUTED_VALUE"""),"金23")</f>
        <v>金23</v>
      </c>
      <c r="F2762" s="2" t="s">
        <v>8443</v>
      </c>
      <c r="G2762" s="2" t="s">
        <v>8444</v>
      </c>
      <c r="H2762" s="1">
        <v>1.0</v>
      </c>
      <c r="J2762" s="1" t="s">
        <v>1435</v>
      </c>
      <c r="K2762" s="4" t="s">
        <v>8445</v>
      </c>
      <c r="L2762" s="11" t="s">
        <v>8446</v>
      </c>
      <c r="M2762" s="2" t="str">
        <f>IFERROR(__xludf.DUMMYFUNCTION("split(split(K2762,""錦戸亮、"",false),""公式LINE"",false)"),"物語の主役は、完成間近の東京スカイツリーのふもとにある古ぼけた団地に暮らす本郷一家。父・勇次、母・幸子、そして8歳の長男・大と6歳の長女・眞子はほどほどに幸せな、ごくごく普通の家族のように見えた…が、実はそれぞれが、それぞれの胸に隠している“言い出せない或ること”があった。　")</f>
        <v>物語の主役は、完成間近の東京スカイツリーのふもとにある古ぼけた団地に暮らす本郷一家。父・勇次、母・幸子、そして8歳の長男・大と6歳の長女・眞子はほどほどに幸せな、ごくごく普通の家族のように見えた…が、実はそれぞれが、それぞれの胸に隠している“言い出せない或ること”があった。　</v>
      </c>
      <c r="N2762" s="2"/>
      <c r="O2762" s="2"/>
      <c r="P2762" s="1"/>
      <c r="Q2762" s="1"/>
      <c r="R2762" s="1"/>
      <c r="S2762" s="1"/>
      <c r="T2762" s="1"/>
      <c r="U2762" s="1"/>
      <c r="V2762" s="1"/>
      <c r="W2762" s="1"/>
      <c r="X2762" s="1"/>
      <c r="Y2762" s="1"/>
      <c r="Z2762" s="1"/>
      <c r="AA2762" s="1"/>
      <c r="AB2762" s="1"/>
      <c r="AC2762" s="1"/>
      <c r="AD2762" s="1"/>
      <c r="AE2762" s="1"/>
      <c r="AF2762" s="1"/>
      <c r="AG2762" s="1"/>
      <c r="AH2762" s="1"/>
      <c r="AI2762" s="1"/>
      <c r="AJ2762" s="1"/>
      <c r="AK2762" s="1"/>
      <c r="AL2762" s="1"/>
      <c r="AM2762" s="1"/>
      <c r="AN2762" s="1"/>
      <c r="AO2762" s="1"/>
      <c r="AP2762" s="1"/>
      <c r="AQ2762" s="1"/>
      <c r="AR2762" s="1"/>
      <c r="AS2762" s="1"/>
      <c r="AT2762" s="1"/>
      <c r="AU2762" s="1"/>
      <c r="AV2762" s="1"/>
      <c r="AW2762" s="1"/>
      <c r="AX2762" s="1"/>
      <c r="AY2762" s="1"/>
      <c r="AZ2762" s="1"/>
      <c r="BA2762" s="1"/>
      <c r="BB2762" s="1"/>
    </row>
    <row r="2763" ht="204.75" customHeight="1">
      <c r="A2763" s="1">
        <v>4407.0</v>
      </c>
      <c r="B2763" s="2" t="s">
        <v>8442</v>
      </c>
      <c r="C2763" s="2">
        <f>IFERROR(__xludf.DUMMYFUNCTION("split(B2763,""_"")"),1104.0)</f>
        <v>1104</v>
      </c>
      <c r="D2763" s="2" t="str">
        <f>IFERROR(__xludf.DUMMYFUNCTION("""COMPUTED_VALUE"""),"EX")</f>
        <v>EX</v>
      </c>
      <c r="E2763" s="2" t="str">
        <f>IFERROR(__xludf.DUMMYFUNCTION("""COMPUTED_VALUE"""),"金23")</f>
        <v>金23</v>
      </c>
      <c r="F2763" s="2" t="s">
        <v>8443</v>
      </c>
      <c r="G2763" s="2" t="s">
        <v>8447</v>
      </c>
      <c r="H2763" s="1">
        <v>2.0</v>
      </c>
      <c r="I2763" s="1" t="s">
        <v>2872</v>
      </c>
      <c r="J2763" s="1" t="s">
        <v>1435</v>
      </c>
      <c r="K2763" s="2" t="s">
        <v>8448</v>
      </c>
      <c r="L2763" s="11" t="s">
        <v>8449</v>
      </c>
      <c r="M2763" s="2" t="str">
        <f>IFERROR(__xludf.DUMMYFUNCTION("split(split(K2763,""錦戸亮、"",false),""公式LINE"",false)"),"犬の鳴き声がしたと密告が入る!聞き込みが開始され…  一方、昔のバンド仲間の川島に会った勇次は、幸子から渡された金を、見栄から使いきってしまう。帰宅後、使ってしまったお金を補てんするために、勇次の手が家族の貯金箱「夢の箱」に伸びる…それを見ていた小さな影…それは末っ子の眞子だった!?　")</f>
        <v>犬の鳴き声がしたと密告が入る!聞き込みが開始され…  一方、昔のバンド仲間の川島に会った勇次は、幸子から渡された金を、見栄から使いきってしまう。帰宅後、使ってしまったお金を補てんするために、勇次の手が家族の貯金箱「夢の箱」に伸びる…それを見ていた小さな影…それは末っ子の眞子だった!?　</v>
      </c>
      <c r="N2763" s="2"/>
      <c r="O2763" s="2"/>
      <c r="P2763" s="1"/>
      <c r="Q2763" s="1"/>
      <c r="R2763" s="1"/>
      <c r="S2763" s="1"/>
      <c r="T2763" s="1"/>
      <c r="U2763" s="1"/>
      <c r="V2763" s="1"/>
      <c r="W2763" s="1"/>
      <c r="X2763" s="1"/>
      <c r="Y2763" s="1"/>
      <c r="Z2763" s="1"/>
      <c r="AA2763" s="1"/>
      <c r="AB2763" s="1"/>
      <c r="AC2763" s="1"/>
      <c r="AD2763" s="1"/>
      <c r="AE2763" s="1"/>
      <c r="AF2763" s="1"/>
      <c r="AG2763" s="1"/>
      <c r="AH2763" s="1"/>
      <c r="AI2763" s="1"/>
      <c r="AJ2763" s="1"/>
      <c r="AK2763" s="1"/>
      <c r="AL2763" s="1"/>
      <c r="AM2763" s="1"/>
      <c r="AN2763" s="1"/>
      <c r="AO2763" s="1"/>
      <c r="AP2763" s="1"/>
      <c r="AQ2763" s="1"/>
      <c r="AR2763" s="1"/>
      <c r="AS2763" s="1"/>
      <c r="AT2763" s="1"/>
      <c r="AU2763" s="1"/>
      <c r="AV2763" s="1"/>
      <c r="AW2763" s="1"/>
      <c r="AX2763" s="1"/>
      <c r="AY2763" s="1"/>
      <c r="AZ2763" s="1"/>
      <c r="BA2763" s="1"/>
      <c r="BB2763" s="1"/>
    </row>
    <row r="2764" ht="204.75" customHeight="1">
      <c r="A2764" s="1">
        <v>4408.0</v>
      </c>
      <c r="B2764" s="2" t="s">
        <v>8442</v>
      </c>
      <c r="C2764" s="2">
        <f>IFERROR(__xludf.DUMMYFUNCTION("split(B2764,""_"")"),1104.0)</f>
        <v>1104</v>
      </c>
      <c r="D2764" s="2" t="str">
        <f>IFERROR(__xludf.DUMMYFUNCTION("""COMPUTED_VALUE"""),"EX")</f>
        <v>EX</v>
      </c>
      <c r="E2764" s="2" t="str">
        <f>IFERROR(__xludf.DUMMYFUNCTION("""COMPUTED_VALUE"""),"金23")</f>
        <v>金23</v>
      </c>
      <c r="F2764" s="2" t="s">
        <v>8443</v>
      </c>
      <c r="G2764" s="2" t="s">
        <v>8450</v>
      </c>
      <c r="H2764" s="1">
        <v>3.0</v>
      </c>
      <c r="I2764" s="1" t="s">
        <v>2876</v>
      </c>
      <c r="J2764" s="1" t="s">
        <v>1435</v>
      </c>
      <c r="K2764" s="2" t="s">
        <v>8451</v>
      </c>
      <c r="L2764" s="11" t="s">
        <v>8452</v>
      </c>
      <c r="M2764" s="2" t="str">
        <f>IFERROR(__xludf.DUMMYFUNCTION("split(split(K2764,""錦戸亮、"",false),""公式LINE"",false)"),"追い詰められていく勇次。彼は一家の未来を大きく変える“ある選択”をする!悩んだ挙句“ある選択”に手を伸ばす!それは家族が誰ひとりとして予想すらしなかった選択だった…。次から次へと襲い掛かる問題。個々にひとりで抱え込み、ますます心を痛めていく本郷家の面々…そんななか、幸子が再び倒れて…!?　")</f>
        <v>追い詰められていく勇次。彼は一家の未来を大きく変える“ある選択”をする!悩んだ挙句“ある選択”に手を伸ばす!それは家族が誰ひとりとして予想すらしなかった選択だった…。次から次へと襲い掛かる問題。個々にひとりで抱え込み、ますます心を痛めていく本郷家の面々…そんななか、幸子が再び倒れて…!?　</v>
      </c>
      <c r="N2764" s="2"/>
      <c r="O2764" s="2"/>
      <c r="P2764" s="1"/>
      <c r="Q2764" s="1"/>
      <c r="R2764" s="1"/>
      <c r="S2764" s="1"/>
      <c r="T2764" s="1"/>
      <c r="U2764" s="1"/>
      <c r="V2764" s="1"/>
      <c r="W2764" s="1"/>
      <c r="X2764" s="1"/>
      <c r="Y2764" s="1"/>
      <c r="Z2764" s="1"/>
      <c r="AA2764" s="1"/>
      <c r="AB2764" s="1"/>
      <c r="AC2764" s="1"/>
      <c r="AD2764" s="1"/>
      <c r="AE2764" s="1"/>
      <c r="AF2764" s="1"/>
      <c r="AG2764" s="1"/>
      <c r="AH2764" s="1"/>
      <c r="AI2764" s="1"/>
      <c r="AJ2764" s="1"/>
      <c r="AK2764" s="1"/>
      <c r="AL2764" s="1"/>
      <c r="AM2764" s="1"/>
      <c r="AN2764" s="1"/>
      <c r="AO2764" s="1"/>
      <c r="AP2764" s="1"/>
      <c r="AQ2764" s="1"/>
      <c r="AR2764" s="1"/>
      <c r="AS2764" s="1"/>
      <c r="AT2764" s="1"/>
      <c r="AU2764" s="1"/>
      <c r="AV2764" s="1"/>
      <c r="AW2764" s="1"/>
      <c r="AX2764" s="1"/>
      <c r="AY2764" s="1"/>
      <c r="AZ2764" s="1"/>
      <c r="BA2764" s="1"/>
      <c r="BB2764" s="1"/>
    </row>
    <row r="2765" ht="204.75" customHeight="1">
      <c r="A2765" s="1">
        <v>4409.0</v>
      </c>
      <c r="B2765" s="2" t="s">
        <v>8442</v>
      </c>
      <c r="C2765" s="2">
        <f>IFERROR(__xludf.DUMMYFUNCTION("split(B2765,""_"")"),1104.0)</f>
        <v>1104</v>
      </c>
      <c r="D2765" s="2" t="str">
        <f>IFERROR(__xludf.DUMMYFUNCTION("""COMPUTED_VALUE"""),"EX")</f>
        <v>EX</v>
      </c>
      <c r="E2765" s="2" t="str">
        <f>IFERROR(__xludf.DUMMYFUNCTION("""COMPUTED_VALUE"""),"金23")</f>
        <v>金23</v>
      </c>
      <c r="F2765" s="2" t="s">
        <v>8443</v>
      </c>
      <c r="G2765" s="2" t="s">
        <v>8453</v>
      </c>
      <c r="H2765" s="1">
        <v>4.0</v>
      </c>
      <c r="I2765" s="1" t="s">
        <v>2880</v>
      </c>
      <c r="J2765" s="1" t="s">
        <v>1435</v>
      </c>
      <c r="K2765" s="2" t="s">
        <v>8454</v>
      </c>
      <c r="L2765" s="11" t="s">
        <v>8455</v>
      </c>
      <c r="M2765" s="2" t="str">
        <f>IFERROR(__xludf.DUMMYFUNCTION("split(split(K2765,""錦戸亮、"",false),""公式LINE"",false)"),"この事件が発端となり、本郷家は“ホーカイ”の危機を迎える事に…  実は、大には昔からずっと心に溜め込んでいる“罪悪感”があった。  さらに長女の眞子とスカイツリー(犬)の身に大きな危険が迫り…!!  窮地に追い込まれていく本郷家!その行方はーーー!?　")</f>
        <v>この事件が発端となり、本郷家は“ホーカイ”の危機を迎える事に…  実は、大には昔からずっと心に溜め込んでいる“罪悪感”があった。  さらに長女の眞子とスカイツリー(犬)の身に大きな危険が迫り…!!  窮地に追い込まれていく本郷家!その行方はーーー!?　</v>
      </c>
      <c r="N2765" s="2"/>
      <c r="O2765" s="2"/>
      <c r="P2765" s="1"/>
      <c r="Q2765" s="1"/>
      <c r="R2765" s="1"/>
      <c r="S2765" s="1"/>
      <c r="T2765" s="1"/>
      <c r="U2765" s="1"/>
      <c r="V2765" s="1"/>
      <c r="W2765" s="1"/>
      <c r="X2765" s="1"/>
      <c r="Y2765" s="1"/>
      <c r="Z2765" s="1"/>
      <c r="AA2765" s="1"/>
      <c r="AB2765" s="1"/>
      <c r="AC2765" s="1"/>
      <c r="AD2765" s="1"/>
      <c r="AE2765" s="1"/>
      <c r="AF2765" s="1"/>
      <c r="AG2765" s="1"/>
      <c r="AH2765" s="1"/>
      <c r="AI2765" s="1"/>
      <c r="AJ2765" s="1"/>
      <c r="AK2765" s="1"/>
      <c r="AL2765" s="1"/>
      <c r="AM2765" s="1"/>
      <c r="AN2765" s="1"/>
      <c r="AO2765" s="1"/>
      <c r="AP2765" s="1"/>
      <c r="AQ2765" s="1"/>
      <c r="AR2765" s="1"/>
      <c r="AS2765" s="1"/>
      <c r="AT2765" s="1"/>
      <c r="AU2765" s="1"/>
      <c r="AV2765" s="1"/>
      <c r="AW2765" s="1"/>
      <c r="AX2765" s="1"/>
      <c r="AY2765" s="1"/>
      <c r="AZ2765" s="1"/>
      <c r="BA2765" s="1"/>
      <c r="BB2765" s="1"/>
    </row>
    <row r="2766" ht="204.75" customHeight="1">
      <c r="A2766" s="1">
        <v>4410.0</v>
      </c>
      <c r="B2766" s="2" t="s">
        <v>8442</v>
      </c>
      <c r="C2766" s="2">
        <f>IFERROR(__xludf.DUMMYFUNCTION("split(B2766,""_"")"),1104.0)</f>
        <v>1104</v>
      </c>
      <c r="D2766" s="2" t="str">
        <f>IFERROR(__xludf.DUMMYFUNCTION("""COMPUTED_VALUE"""),"EX")</f>
        <v>EX</v>
      </c>
      <c r="E2766" s="2" t="str">
        <f>IFERROR(__xludf.DUMMYFUNCTION("""COMPUTED_VALUE"""),"金23")</f>
        <v>金23</v>
      </c>
      <c r="F2766" s="2" t="s">
        <v>8443</v>
      </c>
      <c r="G2766" s="2" t="s">
        <v>8456</v>
      </c>
      <c r="H2766" s="1">
        <v>5.0</v>
      </c>
      <c r="I2766" s="1" t="s">
        <v>2884</v>
      </c>
      <c r="J2766" s="1" t="s">
        <v>1435</v>
      </c>
      <c r="K2766" s="2" t="s">
        <v>8457</v>
      </c>
      <c r="L2766" s="11" t="s">
        <v>8458</v>
      </c>
      <c r="M2766" s="2" t="str">
        <f>IFERROR(__xludf.DUMMYFUNCTION("split(split(K2766,""錦戸亮、"",false),""公式LINE"",false)"),"身を切られる思いで、スカイ(犬)を可愛がる娘・眞子を説得し、元の飼い主に返そうとする!!「スカイはうちの子だもん!」反発する眞子はある大きな決断を…!!　")</f>
        <v>身を切られる思いで、スカイ(犬)を可愛がる娘・眞子を説得し、元の飼い主に返そうとする!!「スカイはうちの子だもん!」反発する眞子はある大きな決断を…!!　</v>
      </c>
      <c r="N2766" s="2"/>
      <c r="O2766" s="2"/>
      <c r="P2766" s="1"/>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c r="AN2766" s="1"/>
      <c r="AO2766" s="1"/>
      <c r="AP2766" s="1"/>
      <c r="AQ2766" s="1"/>
      <c r="AR2766" s="1"/>
      <c r="AS2766" s="1"/>
      <c r="AT2766" s="1"/>
      <c r="AU2766" s="1"/>
      <c r="AV2766" s="1"/>
      <c r="AW2766" s="1"/>
      <c r="AX2766" s="1"/>
      <c r="AY2766" s="1"/>
      <c r="AZ2766" s="1"/>
      <c r="BA2766" s="1"/>
      <c r="BB2766" s="1"/>
    </row>
    <row r="2767" ht="204.75" customHeight="1">
      <c r="A2767" s="1">
        <v>4411.0</v>
      </c>
      <c r="B2767" s="2" t="s">
        <v>8442</v>
      </c>
      <c r="C2767" s="2">
        <f>IFERROR(__xludf.DUMMYFUNCTION("split(B2767,""_"")"),1104.0)</f>
        <v>1104</v>
      </c>
      <c r="D2767" s="2" t="str">
        <f>IFERROR(__xludf.DUMMYFUNCTION("""COMPUTED_VALUE"""),"EX")</f>
        <v>EX</v>
      </c>
      <c r="E2767" s="2" t="str">
        <f>IFERROR(__xludf.DUMMYFUNCTION("""COMPUTED_VALUE"""),"金23")</f>
        <v>金23</v>
      </c>
      <c r="F2767" s="2" t="s">
        <v>8443</v>
      </c>
      <c r="G2767" s="2" t="s">
        <v>8459</v>
      </c>
      <c r="H2767" s="1">
        <v>6.0</v>
      </c>
      <c r="I2767" s="1" t="s">
        <v>2888</v>
      </c>
      <c r="J2767" s="1" t="s">
        <v>1435</v>
      </c>
      <c r="K2767" s="2" t="s">
        <v>8460</v>
      </c>
      <c r="L2767" s="11" t="s">
        <v>8461</v>
      </c>
      <c r="M2767" s="2" t="str">
        <f>IFERROR(__xludf.DUMMYFUNCTION("split(split(K2767,""錦戸亮、"",false),""公式LINE"",false)"),"検査をして、万が一よくない結果が出たら…ーー誰よりもスカイのことを可愛がっている眞子の気持ちを考えると、勇次はどうしても事実を伝えられなかった。ひたすら独りで悩みを抱え込む勇次。だが、勇次は窪田(泉谷しげる)から“ある事実”を聞かされたことを機に、思い切ってスカイの検査のことを家族に伝え…。　")</f>
        <v>検査をして、万が一よくない結果が出たら…ーー誰よりもスカイのことを可愛がっている眞子の気持ちを考えると、勇次はどうしても事実を伝えられなかった。ひたすら独りで悩みを抱え込む勇次。だが、勇次は窪田(泉谷しげる)から“ある事実”を聞かされたことを機に、思い切ってスカイの検査のことを家族に伝え…。　</v>
      </c>
      <c r="N2767" s="2"/>
      <c r="O2767" s="2"/>
      <c r="P2767" s="1"/>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c r="AN2767" s="1"/>
      <c r="AO2767" s="1"/>
      <c r="AP2767" s="1"/>
      <c r="AQ2767" s="1"/>
      <c r="AR2767" s="1"/>
      <c r="AS2767" s="1"/>
      <c r="AT2767" s="1"/>
      <c r="AU2767" s="1"/>
      <c r="AV2767" s="1"/>
      <c r="AW2767" s="1"/>
      <c r="AX2767" s="1"/>
      <c r="AY2767" s="1"/>
      <c r="AZ2767" s="1"/>
      <c r="BA2767" s="1"/>
      <c r="BB2767" s="1"/>
    </row>
    <row r="2768" ht="204.75" customHeight="1">
      <c r="A2768" s="1">
        <v>4412.0</v>
      </c>
      <c r="B2768" s="2" t="s">
        <v>8442</v>
      </c>
      <c r="C2768" s="2">
        <f>IFERROR(__xludf.DUMMYFUNCTION("split(B2768,""_"")"),1104.0)</f>
        <v>1104</v>
      </c>
      <c r="D2768" s="2" t="str">
        <f>IFERROR(__xludf.DUMMYFUNCTION("""COMPUTED_VALUE"""),"EX")</f>
        <v>EX</v>
      </c>
      <c r="E2768" s="2" t="str">
        <f>IFERROR(__xludf.DUMMYFUNCTION("""COMPUTED_VALUE"""),"金23")</f>
        <v>金23</v>
      </c>
      <c r="F2768" s="2" t="s">
        <v>8443</v>
      </c>
      <c r="G2768" s="2" t="s">
        <v>8462</v>
      </c>
      <c r="H2768" s="1">
        <v>7.0</v>
      </c>
      <c r="I2768" s="1" t="s">
        <v>2892</v>
      </c>
      <c r="J2768" s="1" t="s">
        <v>1435</v>
      </c>
      <c r="K2768" s="2" t="s">
        <v>8463</v>
      </c>
      <c r="L2768" s="11" t="s">
        <v>8464</v>
      </c>
      <c r="M2768" s="2" t="str">
        <f>IFERROR(__xludf.DUMMYFUNCTION("split(split(K2768,""錦戸亮、"",false),""公式LINE"",false)"),"正社員の清掃員として働き始めた勇次。しかし、勇次は未だに音楽の夢を捨てられていないのかもしれない…。その思いは幸子の心にずっと引っかかっていた。幸子は勇次の元バンド仲間・川島に問いかけられる。  「ユージはさ、もう、自由には、なれないのかな…」  その言葉は幸子の胸にグサリと突き刺さりーー")</f>
        <v>正社員の清掃員として働き始めた勇次。しかし、勇次は未だに音楽の夢を捨てられていないのかもしれない…。その思いは幸子の心にずっと引っかかっていた。幸子は勇次の元バンド仲間・川島に問いかけられる。  「ユージはさ、もう、自由には、なれないのかな…」  その言葉は幸子の胸にグサリと突き刺さりーー</v>
      </c>
      <c r="N2768" s="2"/>
      <c r="O2768" s="2"/>
      <c r="P2768" s="1"/>
      <c r="Q2768" s="1"/>
      <c r="R2768" s="1"/>
      <c r="S2768" s="1"/>
      <c r="T2768" s="1"/>
      <c r="U2768" s="1"/>
      <c r="V2768" s="1"/>
      <c r="W2768" s="1"/>
      <c r="X2768" s="1"/>
      <c r="Y2768" s="1"/>
      <c r="Z2768" s="1"/>
      <c r="AA2768" s="1"/>
      <c r="AB2768" s="1"/>
      <c r="AC2768" s="1"/>
      <c r="AD2768" s="1"/>
      <c r="AE2768" s="1"/>
      <c r="AF2768" s="1"/>
      <c r="AG2768" s="1"/>
      <c r="AH2768" s="1"/>
      <c r="AI2768" s="1"/>
      <c r="AJ2768" s="1"/>
      <c r="AK2768" s="1"/>
      <c r="AL2768" s="1"/>
      <c r="AM2768" s="1"/>
      <c r="AN2768" s="1"/>
      <c r="AO2768" s="1"/>
      <c r="AP2768" s="1"/>
      <c r="AQ2768" s="1"/>
      <c r="AR2768" s="1"/>
      <c r="AS2768" s="1"/>
      <c r="AT2768" s="1"/>
      <c r="AU2768" s="1"/>
      <c r="AV2768" s="1"/>
      <c r="AW2768" s="1"/>
      <c r="AX2768" s="1"/>
      <c r="AY2768" s="1"/>
      <c r="AZ2768" s="1"/>
      <c r="BA2768" s="1"/>
      <c r="BB2768" s="1"/>
    </row>
    <row r="2769" ht="204.75" customHeight="1">
      <c r="A2769" s="1">
        <v>4413.0</v>
      </c>
      <c r="B2769" s="2" t="s">
        <v>8442</v>
      </c>
      <c r="C2769" s="2">
        <f>IFERROR(__xludf.DUMMYFUNCTION("split(B2769,""_"")"),1104.0)</f>
        <v>1104</v>
      </c>
      <c r="D2769" s="2" t="str">
        <f>IFERROR(__xludf.DUMMYFUNCTION("""COMPUTED_VALUE"""),"EX")</f>
        <v>EX</v>
      </c>
      <c r="E2769" s="2" t="str">
        <f>IFERROR(__xludf.DUMMYFUNCTION("""COMPUTED_VALUE"""),"金23")</f>
        <v>金23</v>
      </c>
      <c r="F2769" s="2" t="s">
        <v>8443</v>
      </c>
      <c r="G2769" s="2" t="s">
        <v>8465</v>
      </c>
      <c r="H2769" s="1">
        <v>8.0</v>
      </c>
      <c r="I2769" s="1" t="s">
        <v>2896</v>
      </c>
      <c r="J2769" s="1" t="s">
        <v>1435</v>
      </c>
      <c r="K2769" s="2" t="s">
        <v>8466</v>
      </c>
      <c r="L2769" s="11" t="s">
        <v>8467</v>
      </c>
      <c r="M2769" s="2" t="str">
        <f>IFERROR(__xludf.DUMMYFUNCTION("split(split(K2769,""錦戸亮、"",false),""公式LINE"",false)"),"スカイが抗がん剤の副作用を起こした!奈良橋からスカイの病状に関する“悲しい事実”を告げられる!その日から勇次と幸子は子どもたちと一緒に、大切な家族であるスカイを見守り続ける。悲しい現実に一丸となって立ち向かうことで絆を深め、家族の幸せを噛み締めていく本郷家。ところが…!")</f>
        <v>スカイが抗がん剤の副作用を起こした!奈良橋からスカイの病状に関する“悲しい事実”を告げられる!その日から勇次と幸子は子どもたちと一緒に、大切な家族であるスカイを見守り続ける。悲しい現実に一丸となって立ち向かうことで絆を深め、家族の幸せを噛み締めていく本郷家。ところが…!</v>
      </c>
      <c r="N2769" s="2"/>
      <c r="O2769" s="2"/>
      <c r="P2769" s="1"/>
      <c r="Q2769" s="1"/>
      <c r="R2769" s="1"/>
      <c r="S2769" s="1"/>
      <c r="T2769" s="1"/>
      <c r="U2769" s="1"/>
      <c r="V2769" s="1"/>
      <c r="W2769" s="1"/>
      <c r="X2769" s="1"/>
      <c r="Y2769" s="1"/>
      <c r="Z2769" s="1"/>
      <c r="AA2769" s="1"/>
      <c r="AB2769" s="1"/>
      <c r="AC2769" s="1"/>
      <c r="AD2769" s="1"/>
      <c r="AE2769" s="1"/>
      <c r="AF2769" s="1"/>
      <c r="AG2769" s="1"/>
      <c r="AH2769" s="1"/>
      <c r="AI2769" s="1"/>
      <c r="AJ2769" s="1"/>
      <c r="AK2769" s="1"/>
      <c r="AL2769" s="1"/>
      <c r="AM2769" s="1"/>
      <c r="AN2769" s="1"/>
      <c r="AO2769" s="1"/>
      <c r="AP2769" s="1"/>
      <c r="AQ2769" s="1"/>
      <c r="AR2769" s="1"/>
      <c r="AS2769" s="1"/>
      <c r="AT2769" s="1"/>
      <c r="AU2769" s="1"/>
      <c r="AV2769" s="1"/>
      <c r="AW2769" s="1"/>
      <c r="AX2769" s="1"/>
      <c r="AY2769" s="1"/>
      <c r="AZ2769" s="1"/>
      <c r="BA2769" s="1"/>
      <c r="BB2769" s="1"/>
    </row>
    <row r="2770" ht="204.75" customHeight="1">
      <c r="A2770" s="1">
        <v>4414.0</v>
      </c>
      <c r="B2770" s="2" t="s">
        <v>8442</v>
      </c>
      <c r="C2770" s="2">
        <f>IFERROR(__xludf.DUMMYFUNCTION("split(B2770,""_"")"),1104.0)</f>
        <v>1104</v>
      </c>
      <c r="D2770" s="2" t="str">
        <f>IFERROR(__xludf.DUMMYFUNCTION("""COMPUTED_VALUE"""),"EX")</f>
        <v>EX</v>
      </c>
      <c r="E2770" s="2" t="str">
        <f>IFERROR(__xludf.DUMMYFUNCTION("""COMPUTED_VALUE"""),"金23")</f>
        <v>金23</v>
      </c>
      <c r="F2770" s="2" t="s">
        <v>8443</v>
      </c>
      <c r="G2770" s="2" t="s">
        <v>8444</v>
      </c>
      <c r="H2770" s="1">
        <v>9.0</v>
      </c>
      <c r="J2770" s="1" t="s">
        <v>1435</v>
      </c>
      <c r="K2770" s="2" t="s">
        <v>8468</v>
      </c>
      <c r="L2770" s="11" t="s">
        <v>8469</v>
      </c>
      <c r="M2770" s="2" t="str">
        <f>IFERROR(__xludf.DUMMYFUNCTION("split(split(K2770,""錦戸亮、"",false),""公式LINE"",false)"),"「拾われたのは僕たち家族のほうでした」  最終回!  主治医である奈良橋のもとへ駆け込む幸子。   「家族を、呼びなさい」  激しい動揺に襲われる幸子!家族はそれぞれの場所で、共通の想いを胸に抱く。大切な家族であるスカイの回復を祈る気持ちーー。  その時、本郷家は・・・!?")</f>
        <v>「拾われたのは僕たち家族のほうでした」  最終回!  主治医である奈良橋のもとへ駆け込む幸子。   「家族を、呼びなさい」  激しい動揺に襲われる幸子!家族はそれぞれの場所で、共通の想いを胸に抱く。大切な家族であるスカイの回復を祈る気持ちーー。  その時、本郷家は・・・!?</v>
      </c>
      <c r="N2770" s="2"/>
      <c r="O2770" s="2"/>
      <c r="P2770" s="1"/>
      <c r="Q2770" s="1"/>
      <c r="R2770" s="1"/>
      <c r="S2770" s="1"/>
      <c r="T2770" s="1"/>
      <c r="U2770" s="1"/>
      <c r="V2770" s="1"/>
      <c r="W2770" s="1"/>
      <c r="X2770" s="1"/>
      <c r="Y2770" s="1"/>
      <c r="Z2770" s="1"/>
      <c r="AA2770" s="1"/>
      <c r="AB2770" s="1"/>
      <c r="AC2770" s="1"/>
      <c r="AD2770" s="1"/>
      <c r="AE2770" s="1"/>
      <c r="AF2770" s="1"/>
      <c r="AG2770" s="1"/>
      <c r="AH2770" s="1"/>
      <c r="AI2770" s="1"/>
      <c r="AJ2770" s="1"/>
      <c r="AK2770" s="1"/>
      <c r="AL2770" s="1"/>
      <c r="AM2770" s="1"/>
      <c r="AN2770" s="1"/>
      <c r="AO2770" s="1"/>
      <c r="AP2770" s="1"/>
      <c r="AQ2770" s="1"/>
      <c r="AR2770" s="1"/>
      <c r="AS2770" s="1"/>
      <c r="AT2770" s="1"/>
      <c r="AU2770" s="1"/>
      <c r="AV2770" s="1"/>
      <c r="AW2770" s="1"/>
      <c r="AX2770" s="1"/>
      <c r="AY2770" s="1"/>
      <c r="AZ2770" s="1"/>
      <c r="BA2770" s="1"/>
      <c r="BB2770" s="1"/>
    </row>
    <row r="2771" ht="204.75" customHeight="1">
      <c r="A2771" s="1">
        <v>4433.0</v>
      </c>
      <c r="B2771" s="2" t="s">
        <v>8470</v>
      </c>
      <c r="C2771" s="2">
        <f>IFERROR(__xludf.DUMMYFUNCTION("split(B2771,""_"")"),1104.0)</f>
        <v>1104</v>
      </c>
      <c r="D2771" s="2" t="str">
        <f>IFERROR(__xludf.DUMMYFUNCTION("""COMPUTED_VALUE"""),"EX")</f>
        <v>EX</v>
      </c>
      <c r="E2771" s="2" t="str">
        <f>IFERROR(__xludf.DUMMYFUNCTION("""COMPUTED_VALUE"""),"日23")</f>
        <v>日23</v>
      </c>
      <c r="F2771" s="2" t="s">
        <v>8471</v>
      </c>
      <c r="G2771" s="2" t="s">
        <v>8472</v>
      </c>
      <c r="H2771" s="1">
        <v>1.0</v>
      </c>
      <c r="I2771" s="1" t="s">
        <v>2868</v>
      </c>
      <c r="J2771" s="1" t="s">
        <v>2429</v>
      </c>
      <c r="K2771" s="4" t="s">
        <v>8473</v>
      </c>
      <c r="L2771" s="11" t="s">
        <v>8474</v>
      </c>
      <c r="M2771" s="2" t="str">
        <f>IFERROR(__xludf.DUMMYFUNCTION("split(split(K2771,""武井咲、"",false),""公式LINE"",false)"),"憧れの女子高に落ち、男ばかりの工業高校に入学した直(武井咲)。クラスメイトの玉木(賀来賢人)らとも馴染めず戸惑う日々…さらにホストの格好をした有人(松坂桃李)には学校内で突然迫られる。そんな中、直は玉木のある事情を知り、ある行動を。それがきっかけで玉木を怒らせてしまい…!?　")</f>
        <v>憧れの女子高に落ち、男ばかりの工業高校に入学した直(武井咲)。クラスメイトの玉木(賀来賢人)らとも馴染めず戸惑う日々…さらにホストの格好をした有人(松坂桃李)には学校内で突然迫られる。そんな中、直は玉木のある事情を知り、ある行動を。それがきっかけで玉木を怒らせてしまい…!?　</v>
      </c>
      <c r="N2771" s="2"/>
      <c r="O2771" s="2"/>
      <c r="P2771" s="1"/>
      <c r="Q2771" s="1"/>
      <c r="R2771" s="1"/>
      <c r="S2771" s="1"/>
      <c r="T2771" s="1"/>
      <c r="U2771" s="1"/>
      <c r="V2771" s="1"/>
      <c r="W2771" s="1"/>
      <c r="X2771" s="1"/>
      <c r="Y2771" s="1"/>
      <c r="Z2771" s="1"/>
      <c r="AA2771" s="1"/>
      <c r="AB2771" s="1"/>
      <c r="AC2771" s="1"/>
      <c r="AD2771" s="1"/>
      <c r="AE2771" s="1"/>
      <c r="AF2771" s="1"/>
      <c r="AG2771" s="1"/>
      <c r="AH2771" s="1"/>
      <c r="AI2771" s="1"/>
      <c r="AJ2771" s="1"/>
      <c r="AK2771" s="1"/>
      <c r="AL2771" s="1"/>
      <c r="AM2771" s="1"/>
      <c r="AN2771" s="1"/>
      <c r="AO2771" s="1"/>
      <c r="AP2771" s="1"/>
      <c r="AQ2771" s="1"/>
      <c r="AR2771" s="1"/>
      <c r="AS2771" s="1"/>
      <c r="AT2771" s="1"/>
      <c r="AU2771" s="1"/>
      <c r="AV2771" s="1"/>
      <c r="AW2771" s="1"/>
      <c r="AX2771" s="1"/>
      <c r="AY2771" s="1"/>
      <c r="AZ2771" s="1"/>
      <c r="BA2771" s="1"/>
      <c r="BB2771" s="1"/>
    </row>
    <row r="2772" ht="204.75" customHeight="1">
      <c r="A2772" s="1">
        <v>4434.0</v>
      </c>
      <c r="B2772" s="2" t="s">
        <v>8470</v>
      </c>
      <c r="C2772" s="2">
        <f>IFERROR(__xludf.DUMMYFUNCTION("split(B2772,""_"")"),1104.0)</f>
        <v>1104</v>
      </c>
      <c r="D2772" s="2" t="str">
        <f>IFERROR(__xludf.DUMMYFUNCTION("""COMPUTED_VALUE"""),"EX")</f>
        <v>EX</v>
      </c>
      <c r="E2772" s="2" t="str">
        <f>IFERROR(__xludf.DUMMYFUNCTION("""COMPUTED_VALUE"""),"日23")</f>
        <v>日23</v>
      </c>
      <c r="F2772" s="2" t="s">
        <v>8471</v>
      </c>
      <c r="G2772" s="2" t="s">
        <v>8475</v>
      </c>
      <c r="H2772" s="1">
        <v>2.0</v>
      </c>
      <c r="I2772" s="1" t="s">
        <v>2872</v>
      </c>
      <c r="J2772" s="1" t="s">
        <v>2429</v>
      </c>
      <c r="K2772" s="2" t="s">
        <v>8476</v>
      </c>
      <c r="L2772" s="11" t="s">
        <v>8477</v>
      </c>
      <c r="M2772" s="2" t="str">
        <f>IFERROR(__xludf.DUMMYFUNCTION("split(split(K2772,""武井咲、"",false),""公式LINE"",false)"),"工業高校から普通高校へ転入を考えはじめた直(武井咲)。だが転入には実習の成績が必要と知る。直は転入のことを伏せて玉木(賀来賢人)に協力をあおぐ。喜んでペア実習にのぞむ玉木だが有人(松坂桃李)に直を取られてしまう。そんな中、更衣室で桃(剛力彩芽)が有人に襲われて!?　")</f>
        <v>工業高校から普通高校へ転入を考えはじめた直(武井咲)。だが転入には実習の成績が必要と知る。直は転入のことを伏せて玉木(賀来賢人)に協力をあおぐ。喜んでペア実習にのぞむ玉木だが有人(松坂桃李)に直を取られてしまう。そんな中、更衣室で桃(剛力彩芽)が有人に襲われて!?　</v>
      </c>
      <c r="N2772" s="2"/>
      <c r="O2772" s="2"/>
      <c r="P2772" s="1"/>
      <c r="Q2772" s="1"/>
      <c r="R2772" s="1"/>
      <c r="S2772" s="1"/>
      <c r="T2772" s="1"/>
      <c r="U2772" s="1"/>
      <c r="V2772" s="1"/>
      <c r="W2772" s="1"/>
      <c r="X2772" s="1"/>
      <c r="Y2772" s="1"/>
      <c r="Z2772" s="1"/>
      <c r="AA2772" s="1"/>
      <c r="AB2772" s="1"/>
      <c r="AC2772" s="1"/>
      <c r="AD2772" s="1"/>
      <c r="AE2772" s="1"/>
      <c r="AF2772" s="1"/>
      <c r="AG2772" s="1"/>
      <c r="AH2772" s="1"/>
      <c r="AI2772" s="1"/>
      <c r="AJ2772" s="1"/>
      <c r="AK2772" s="1"/>
      <c r="AL2772" s="1"/>
      <c r="AM2772" s="1"/>
      <c r="AN2772" s="1"/>
      <c r="AO2772" s="1"/>
      <c r="AP2772" s="1"/>
      <c r="AQ2772" s="1"/>
      <c r="AR2772" s="1"/>
      <c r="AS2772" s="1"/>
      <c r="AT2772" s="1"/>
      <c r="AU2772" s="1"/>
      <c r="AV2772" s="1"/>
      <c r="AW2772" s="1"/>
      <c r="AX2772" s="1"/>
      <c r="AY2772" s="1"/>
      <c r="AZ2772" s="1"/>
      <c r="BA2772" s="1"/>
      <c r="BB2772" s="1"/>
    </row>
    <row r="2773" ht="204.75" customHeight="1">
      <c r="A2773" s="1">
        <v>4435.0</v>
      </c>
      <c r="B2773" s="2" t="s">
        <v>8470</v>
      </c>
      <c r="C2773" s="2">
        <f>IFERROR(__xludf.DUMMYFUNCTION("split(B2773,""_"")"),1104.0)</f>
        <v>1104</v>
      </c>
      <c r="D2773" s="2" t="str">
        <f>IFERROR(__xludf.DUMMYFUNCTION("""COMPUTED_VALUE"""),"EX")</f>
        <v>EX</v>
      </c>
      <c r="E2773" s="2" t="str">
        <f>IFERROR(__xludf.DUMMYFUNCTION("""COMPUTED_VALUE"""),"日23")</f>
        <v>日23</v>
      </c>
      <c r="F2773" s="2" t="s">
        <v>8471</v>
      </c>
      <c r="G2773" s="2" t="s">
        <v>8478</v>
      </c>
      <c r="H2773" s="1">
        <v>3.0</v>
      </c>
      <c r="I2773" s="1" t="s">
        <v>2876</v>
      </c>
      <c r="J2773" s="1" t="s">
        <v>2429</v>
      </c>
      <c r="K2773" s="2" t="s">
        <v>8479</v>
      </c>
      <c r="L2773" s="11" t="s">
        <v>8480</v>
      </c>
      <c r="M2773" s="2" t="str">
        <f>IFERROR(__xludf.DUMMYFUNCTION("split(split(K2773,""武井咲、"",false),""公式LINE"",false)"),"周りのアスコー生たちがやりたいことを見つけている中、直(武井咲)は転入して自分は何をやりたいのかわからず悩み始める。そんな折、直は広瀬(石田卓也)がオルゴールを作っている姿を見る。広瀬はそれを桃(剛力彩芽)にプレゼントするが、取り巻きの男子生徒たちに馬鹿にされ彼らを殴ってしまう!　")</f>
        <v>周りのアスコー生たちがやりたいことを見つけている中、直(武井咲)は転入して自分は何をやりたいのかわからず悩み始める。そんな折、直は広瀬(石田卓也)がオルゴールを作っている姿を見る。広瀬はそれを桃(剛力彩芽)にプレゼントするが、取り巻きの男子生徒たちに馬鹿にされ彼らを殴ってしまう!　</v>
      </c>
      <c r="N2773" s="2"/>
      <c r="O2773" s="2"/>
      <c r="P2773" s="1"/>
      <c r="Q2773" s="1"/>
      <c r="R2773" s="1"/>
      <c r="S2773" s="1"/>
      <c r="T2773" s="1"/>
      <c r="U2773" s="1"/>
      <c r="V2773" s="1"/>
      <c r="W2773" s="1"/>
      <c r="X2773" s="1"/>
      <c r="Y2773" s="1"/>
      <c r="Z2773" s="1"/>
      <c r="AA2773" s="1"/>
      <c r="AB2773" s="1"/>
      <c r="AC2773" s="1"/>
      <c r="AD2773" s="1"/>
      <c r="AE2773" s="1"/>
      <c r="AF2773" s="1"/>
      <c r="AG2773" s="1"/>
      <c r="AH2773" s="1"/>
      <c r="AI2773" s="1"/>
      <c r="AJ2773" s="1"/>
      <c r="AK2773" s="1"/>
      <c r="AL2773" s="1"/>
      <c r="AM2773" s="1"/>
      <c r="AN2773" s="1"/>
      <c r="AO2773" s="1"/>
      <c r="AP2773" s="1"/>
      <c r="AQ2773" s="1"/>
      <c r="AR2773" s="1"/>
      <c r="AS2773" s="1"/>
      <c r="AT2773" s="1"/>
      <c r="AU2773" s="1"/>
      <c r="AV2773" s="1"/>
      <c r="AW2773" s="1"/>
      <c r="AX2773" s="1"/>
      <c r="AY2773" s="1"/>
      <c r="AZ2773" s="1"/>
      <c r="BA2773" s="1"/>
      <c r="BB2773" s="1"/>
    </row>
    <row r="2774" ht="204.75" customHeight="1">
      <c r="A2774" s="1">
        <v>4436.0</v>
      </c>
      <c r="B2774" s="2" t="s">
        <v>8470</v>
      </c>
      <c r="C2774" s="2">
        <f>IFERROR(__xludf.DUMMYFUNCTION("split(B2774,""_"")"),1104.0)</f>
        <v>1104</v>
      </c>
      <c r="D2774" s="2" t="str">
        <f>IFERROR(__xludf.DUMMYFUNCTION("""COMPUTED_VALUE"""),"EX")</f>
        <v>EX</v>
      </c>
      <c r="E2774" s="2" t="str">
        <f>IFERROR(__xludf.DUMMYFUNCTION("""COMPUTED_VALUE"""),"日23")</f>
        <v>日23</v>
      </c>
      <c r="F2774" s="2" t="s">
        <v>8471</v>
      </c>
      <c r="G2774" s="2" t="s">
        <v>8481</v>
      </c>
      <c r="H2774" s="1">
        <v>4.0</v>
      </c>
      <c r="I2774" s="1" t="s">
        <v>2880</v>
      </c>
      <c r="J2774" s="1" t="s">
        <v>2429</v>
      </c>
      <c r="K2774" s="2" t="s">
        <v>8482</v>
      </c>
      <c r="L2774" s="11" t="s">
        <v>8483</v>
      </c>
      <c r="M2774" s="2" t="str">
        <f>IFERROR(__xludf.DUMMYFUNCTION("split(split(K2774,""武井咲、"",false),""公式LINE"",false)"),"クラスでエコカーを作る行事のリーダーにさせられた直(武井咲)。周りを見下す竹内(永山絢斗)を仲間に入れようとするがうまくいかない。ある日、直は竹内が描いたエコカーのデザインを見つけそれを採用する。が、竹内宅を訪ねた直は竹内の父(野村宏伸)に罵倒されてキレてしまう!")</f>
        <v>クラスでエコカーを作る行事のリーダーにさせられた直(武井咲)。周りを見下す竹内(永山絢斗)を仲間に入れようとするがうまくいかない。ある日、直は竹内が描いたエコカーのデザインを見つけそれを採用する。が、竹内宅を訪ねた直は竹内の父(野村宏伸)に罵倒されてキレてしまう!</v>
      </c>
      <c r="N2774" s="2"/>
      <c r="O2774" s="2"/>
      <c r="P2774" s="1"/>
      <c r="Q2774" s="1"/>
      <c r="R2774" s="1"/>
      <c r="S2774" s="1"/>
      <c r="T2774" s="1"/>
      <c r="U2774" s="1"/>
      <c r="V2774" s="1"/>
      <c r="W2774" s="1"/>
      <c r="X2774" s="1"/>
      <c r="Y2774" s="1"/>
      <c r="Z2774" s="1"/>
      <c r="AA2774" s="1"/>
      <c r="AB2774" s="1"/>
      <c r="AC2774" s="1"/>
      <c r="AD2774" s="1"/>
      <c r="AE2774" s="1"/>
      <c r="AF2774" s="1"/>
      <c r="AG2774" s="1"/>
      <c r="AH2774" s="1"/>
      <c r="AI2774" s="1"/>
      <c r="AJ2774" s="1"/>
      <c r="AK2774" s="1"/>
      <c r="AL2774" s="1"/>
      <c r="AM2774" s="1"/>
      <c r="AN2774" s="1"/>
      <c r="AO2774" s="1"/>
      <c r="AP2774" s="1"/>
      <c r="AQ2774" s="1"/>
      <c r="AR2774" s="1"/>
      <c r="AS2774" s="1"/>
      <c r="AT2774" s="1"/>
      <c r="AU2774" s="1"/>
      <c r="AV2774" s="1"/>
      <c r="AW2774" s="1"/>
      <c r="AX2774" s="1"/>
      <c r="AY2774" s="1"/>
      <c r="AZ2774" s="1"/>
      <c r="BA2774" s="1"/>
      <c r="BB2774" s="1"/>
    </row>
    <row r="2775" ht="204.75" customHeight="1">
      <c r="A2775" s="1">
        <v>4437.0</v>
      </c>
      <c r="B2775" s="2" t="s">
        <v>8470</v>
      </c>
      <c r="C2775" s="2">
        <f>IFERROR(__xludf.DUMMYFUNCTION("split(B2775,""_"")"),1104.0)</f>
        <v>1104</v>
      </c>
      <c r="D2775" s="2" t="str">
        <f>IFERROR(__xludf.DUMMYFUNCTION("""COMPUTED_VALUE"""),"EX")</f>
        <v>EX</v>
      </c>
      <c r="E2775" s="2" t="str">
        <f>IFERROR(__xludf.DUMMYFUNCTION("""COMPUTED_VALUE"""),"日23")</f>
        <v>日23</v>
      </c>
      <c r="F2775" s="2" t="s">
        <v>8471</v>
      </c>
      <c r="G2775" s="2" t="s">
        <v>8484</v>
      </c>
      <c r="H2775" s="1">
        <v>5.0</v>
      </c>
      <c r="I2775" s="1" t="s">
        <v>2884</v>
      </c>
      <c r="J2775" s="1" t="s">
        <v>2429</v>
      </c>
      <c r="K2775" s="2" t="s">
        <v>8485</v>
      </c>
      <c r="L2775" s="11" t="s">
        <v>8486</v>
      </c>
      <c r="M2775" s="2" t="str">
        <f>IFERROR(__xludf.DUMMYFUNCTION("split(split(K2775,""武井咲、"",false),""公式LINE"",false)"),"転入試験まで10日。エコカー作りも佳境を迎え直(武井咲)は寝不足の毎日。そんなとき、直の不注意で玉木(賀来賢人)に怪我させてしまう。全てがうまくいかないイライラで「エコカーなんて走らなくてもいい」と口走ってしまう直。そのことで、リーダーばかりかエコカー作りからもはずされてしまう…")</f>
        <v>転入試験まで10日。エコカー作りも佳境を迎え直(武井咲)は寝不足の毎日。そんなとき、直の不注意で玉木(賀来賢人)に怪我させてしまう。全てがうまくいかないイライラで「エコカーなんて走らなくてもいい」と口走ってしまう直。そのことで、リーダーばかりかエコカー作りからもはずされてしまう…</v>
      </c>
      <c r="N2775" s="2"/>
      <c r="O2775" s="2"/>
      <c r="P2775" s="1"/>
      <c r="Q2775" s="1"/>
      <c r="R2775" s="1"/>
      <c r="S2775" s="1"/>
      <c r="T2775" s="1"/>
      <c r="U2775" s="1"/>
      <c r="V2775" s="1"/>
      <c r="W2775" s="1"/>
      <c r="X2775" s="1"/>
      <c r="Y2775" s="1"/>
      <c r="Z2775" s="1"/>
      <c r="AA2775" s="1"/>
      <c r="AB2775" s="1"/>
      <c r="AC2775" s="1"/>
      <c r="AD2775" s="1"/>
      <c r="AE2775" s="1"/>
      <c r="AF2775" s="1"/>
      <c r="AG2775" s="1"/>
      <c r="AH2775" s="1"/>
      <c r="AI2775" s="1"/>
      <c r="AJ2775" s="1"/>
      <c r="AK2775" s="1"/>
      <c r="AL2775" s="1"/>
      <c r="AM2775" s="1"/>
      <c r="AN2775" s="1"/>
      <c r="AO2775" s="1"/>
      <c r="AP2775" s="1"/>
      <c r="AQ2775" s="1"/>
      <c r="AR2775" s="1"/>
      <c r="AS2775" s="1"/>
      <c r="AT2775" s="1"/>
      <c r="AU2775" s="1"/>
      <c r="AV2775" s="1"/>
      <c r="AW2775" s="1"/>
      <c r="AX2775" s="1"/>
      <c r="AY2775" s="1"/>
      <c r="AZ2775" s="1"/>
      <c r="BA2775" s="1"/>
      <c r="BB2775" s="1"/>
    </row>
    <row r="2776" ht="204.75" customHeight="1">
      <c r="A2776" s="1">
        <v>4438.0</v>
      </c>
      <c r="B2776" s="2" t="s">
        <v>8470</v>
      </c>
      <c r="C2776" s="2">
        <f>IFERROR(__xludf.DUMMYFUNCTION("split(B2776,""_"")"),1104.0)</f>
        <v>1104</v>
      </c>
      <c r="D2776" s="2" t="str">
        <f>IFERROR(__xludf.DUMMYFUNCTION("""COMPUTED_VALUE"""),"EX")</f>
        <v>EX</v>
      </c>
      <c r="E2776" s="2" t="str">
        <f>IFERROR(__xludf.DUMMYFUNCTION("""COMPUTED_VALUE"""),"日23")</f>
        <v>日23</v>
      </c>
      <c r="F2776" s="2" t="s">
        <v>8471</v>
      </c>
      <c r="G2776" s="2" t="s">
        <v>8487</v>
      </c>
      <c r="H2776" s="1">
        <v>6.0</v>
      </c>
      <c r="I2776" s="1" t="s">
        <v>2888</v>
      </c>
      <c r="J2776" s="1" t="s">
        <v>1435</v>
      </c>
      <c r="K2776" s="2" t="s">
        <v>8488</v>
      </c>
      <c r="L2776" s="11" t="s">
        <v>8489</v>
      </c>
      <c r="M2776" s="2" t="str">
        <f>IFERROR(__xludf.DUMMYFUNCTION("split(split(K2776,""武井咲、"",false),""公式LINE"",false)"),"直(武井咲)の転入の日が近づいていた。直は、敏郎(原田龍二)から逃げてきた有人(松坂桃李)と祥子(菊川怜)を直の家に数日間かくまうことに。さらにモーターショー前日、エコカーが壊れる事件が!必死に修復する生徒たちだったが、その最中に直が行方不明に!第1章、完結!")</f>
        <v>直(武井咲)の転入の日が近づいていた。直は、敏郎(原田龍二)から逃げてきた有人(松坂桃李)と祥子(菊川怜)を直の家に数日間かくまうことに。さらにモーターショー前日、エコカーが壊れる事件が!必死に修復する生徒たちだったが、その最中に直が行方不明に!第1章、完結!</v>
      </c>
      <c r="N2776" s="2"/>
      <c r="O2776" s="2"/>
      <c r="P2776" s="1"/>
      <c r="Q2776" s="1"/>
      <c r="R2776" s="1"/>
      <c r="S2776" s="1"/>
      <c r="T2776" s="1"/>
      <c r="U2776" s="1"/>
      <c r="V2776" s="1"/>
      <c r="W2776" s="1"/>
      <c r="X2776" s="1"/>
      <c r="Y2776" s="1"/>
      <c r="Z2776" s="1"/>
      <c r="AA2776" s="1"/>
      <c r="AB2776" s="1"/>
      <c r="AC2776" s="1"/>
      <c r="AD2776" s="1"/>
      <c r="AE2776" s="1"/>
      <c r="AF2776" s="1"/>
      <c r="AG2776" s="1"/>
      <c r="AH2776" s="1"/>
      <c r="AI2776" s="1"/>
      <c r="AJ2776" s="1"/>
      <c r="AK2776" s="1"/>
      <c r="AL2776" s="1"/>
      <c r="AM2776" s="1"/>
      <c r="AN2776" s="1"/>
      <c r="AO2776" s="1"/>
      <c r="AP2776" s="1"/>
      <c r="AQ2776" s="1"/>
      <c r="AR2776" s="1"/>
      <c r="AS2776" s="1"/>
      <c r="AT2776" s="1"/>
      <c r="AU2776" s="1"/>
      <c r="AV2776" s="1"/>
      <c r="AW2776" s="1"/>
      <c r="AX2776" s="1"/>
      <c r="AY2776" s="1"/>
      <c r="AZ2776" s="1"/>
      <c r="BA2776" s="1"/>
      <c r="BB2776" s="1"/>
    </row>
    <row r="2777" ht="204.75" customHeight="1">
      <c r="A2777" s="1">
        <v>4439.0</v>
      </c>
      <c r="B2777" s="2" t="s">
        <v>8470</v>
      </c>
      <c r="C2777" s="2">
        <f>IFERROR(__xludf.DUMMYFUNCTION("split(B2777,""_"")"),1104.0)</f>
        <v>1104</v>
      </c>
      <c r="D2777" s="2" t="str">
        <f>IFERROR(__xludf.DUMMYFUNCTION("""COMPUTED_VALUE"""),"EX")</f>
        <v>EX</v>
      </c>
      <c r="E2777" s="2" t="str">
        <f>IFERROR(__xludf.DUMMYFUNCTION("""COMPUTED_VALUE"""),"日23")</f>
        <v>日23</v>
      </c>
      <c r="F2777" s="2" t="s">
        <v>8471</v>
      </c>
      <c r="G2777" s="2" t="s">
        <v>8490</v>
      </c>
      <c r="H2777" s="1">
        <v>7.0</v>
      </c>
      <c r="I2777" s="1" t="s">
        <v>2892</v>
      </c>
      <c r="J2777" s="1" t="s">
        <v>2429</v>
      </c>
      <c r="K2777" s="2" t="s">
        <v>8491</v>
      </c>
      <c r="L2777" s="11" t="s">
        <v>8492</v>
      </c>
      <c r="M2777" s="2" t="str">
        <f>IFERROR(__xludf.DUMMYFUNCTION("split(split(K2777,""武井咲、"",false),""公式LINE"",false)"),"最終章!直(武井咲)は有人(松坂桃李)玉木(賀来賢人)らと、工場でインターンをすることに。だが直たちの指導担当・野口(西岡徳馬)は自らも仕事をせず何も教えてくれない。そこで、直たちは工場の材料を勝手に仕上げはじめる。それに激怒した野口を輪島(南圭介)が殴ってしまい…!")</f>
        <v>最終章!直(武井咲)は有人(松坂桃李)玉木(賀来賢人)らと、工場でインターンをすることに。だが直たちの指導担当・野口(西岡徳馬)は自らも仕事をせず何も教えてくれない。そこで、直たちは工場の材料を勝手に仕上げはじめる。それに激怒した野口を輪島(南圭介)が殴ってしまい…!</v>
      </c>
      <c r="N2777" s="2"/>
      <c r="O2777" s="2"/>
      <c r="P2777" s="1"/>
      <c r="Q2777" s="1"/>
      <c r="R2777" s="1"/>
      <c r="S2777" s="1"/>
      <c r="T2777" s="1"/>
      <c r="U2777" s="1"/>
      <c r="V2777" s="1"/>
      <c r="W2777" s="1"/>
      <c r="X2777" s="1"/>
      <c r="Y2777" s="1"/>
      <c r="Z2777" s="1"/>
      <c r="AA2777" s="1"/>
      <c r="AB2777" s="1"/>
      <c r="AC2777" s="1"/>
      <c r="AD2777" s="1"/>
      <c r="AE2777" s="1"/>
      <c r="AF2777" s="1"/>
      <c r="AG2777" s="1"/>
      <c r="AH2777" s="1"/>
      <c r="AI2777" s="1"/>
      <c r="AJ2777" s="1"/>
      <c r="AK2777" s="1"/>
      <c r="AL2777" s="1"/>
      <c r="AM2777" s="1"/>
      <c r="AN2777" s="1"/>
      <c r="AO2777" s="1"/>
      <c r="AP2777" s="1"/>
      <c r="AQ2777" s="1"/>
      <c r="AR2777" s="1"/>
      <c r="AS2777" s="1"/>
      <c r="AT2777" s="1"/>
      <c r="AU2777" s="1"/>
      <c r="AV2777" s="1"/>
      <c r="AW2777" s="1"/>
      <c r="AX2777" s="1"/>
      <c r="AY2777" s="1"/>
      <c r="AZ2777" s="1"/>
      <c r="BA2777" s="1"/>
      <c r="BB2777" s="1"/>
    </row>
    <row r="2778" ht="204.75" customHeight="1">
      <c r="A2778" s="1">
        <v>4440.0</v>
      </c>
      <c r="B2778" s="2" t="s">
        <v>8470</v>
      </c>
      <c r="C2778" s="2">
        <f>IFERROR(__xludf.DUMMYFUNCTION("split(B2778,""_"")"),1104.0)</f>
        <v>1104</v>
      </c>
      <c r="D2778" s="2" t="str">
        <f>IFERROR(__xludf.DUMMYFUNCTION("""COMPUTED_VALUE"""),"EX")</f>
        <v>EX</v>
      </c>
      <c r="E2778" s="2" t="str">
        <f>IFERROR(__xludf.DUMMYFUNCTION("""COMPUTED_VALUE"""),"日23")</f>
        <v>日23</v>
      </c>
      <c r="F2778" s="2" t="s">
        <v>8471</v>
      </c>
      <c r="G2778" s="2" t="s">
        <v>8493</v>
      </c>
      <c r="H2778" s="1">
        <v>8.0</v>
      </c>
      <c r="I2778" s="1" t="s">
        <v>2896</v>
      </c>
      <c r="J2778" s="1" t="s">
        <v>2429</v>
      </c>
      <c r="K2778" s="2" t="s">
        <v>8494</v>
      </c>
      <c r="L2778" s="11" t="s">
        <v>8495</v>
      </c>
      <c r="M2778" s="2" t="str">
        <f>IFERROR(__xludf.DUMMYFUNCTION("split(split(K2778,""武井咲、"",false),""公式LINE"",false)"),"すっかり明日工に染まった直の前に、シンガポールで会社を経営する母・歩(賀来千香子)が現れる!歩は、勝手にシンガポールへの留学を決めてくる。「明日工は進学率も上がり真面目な生徒ばかり!」と訴える直だったが、歩が授業見学に来てしまう!そんな歩は、娘に言えない秘密があるようで…")</f>
        <v>すっかり明日工に染まった直の前に、シンガポールで会社を経営する母・歩(賀来千香子)が現れる!歩は、勝手にシンガポールへの留学を決めてくる。「明日工は進学率も上がり真面目な生徒ばかり!」と訴える直だったが、歩が授業見学に来てしまう!そんな歩は、娘に言えない秘密があるようで…</v>
      </c>
      <c r="N2778" s="2"/>
      <c r="O2778" s="2"/>
      <c r="P2778" s="1"/>
      <c r="Q2778" s="1"/>
      <c r="R2778" s="1"/>
      <c r="S2778" s="1"/>
      <c r="T2778" s="1"/>
      <c r="U2778" s="1"/>
      <c r="V2778" s="1"/>
      <c r="W2778" s="1"/>
      <c r="X2778" s="1"/>
      <c r="Y2778" s="1"/>
      <c r="Z2778" s="1"/>
      <c r="AA2778" s="1"/>
      <c r="AB2778" s="1"/>
      <c r="AC2778" s="1"/>
      <c r="AD2778" s="1"/>
      <c r="AE2778" s="1"/>
      <c r="AF2778" s="1"/>
      <c r="AG2778" s="1"/>
      <c r="AH2778" s="1"/>
      <c r="AI2778" s="1"/>
      <c r="AJ2778" s="1"/>
      <c r="AK2778" s="1"/>
      <c r="AL2778" s="1"/>
      <c r="AM2778" s="1"/>
      <c r="AN2778" s="1"/>
      <c r="AO2778" s="1"/>
      <c r="AP2778" s="1"/>
      <c r="AQ2778" s="1"/>
      <c r="AR2778" s="1"/>
      <c r="AS2778" s="1"/>
      <c r="AT2778" s="1"/>
      <c r="AU2778" s="1"/>
      <c r="AV2778" s="1"/>
      <c r="AW2778" s="1"/>
      <c r="AX2778" s="1"/>
      <c r="AY2778" s="1"/>
      <c r="AZ2778" s="1"/>
      <c r="BA2778" s="1"/>
      <c r="BB2778" s="1"/>
    </row>
    <row r="2779" ht="204.75" customHeight="1">
      <c r="A2779" s="1">
        <v>4472.0</v>
      </c>
      <c r="B2779" s="2" t="s">
        <v>8496</v>
      </c>
      <c r="C2779" s="2">
        <f>IFERROR(__xludf.DUMMYFUNCTION("split(B2779,""_"")"),1101.0)</f>
        <v>1101</v>
      </c>
      <c r="D2779" s="2" t="str">
        <f>IFERROR(__xludf.DUMMYFUNCTION("""COMPUTED_VALUE"""),"EX")</f>
        <v>EX</v>
      </c>
      <c r="E2779" s="2" t="str">
        <f>IFERROR(__xludf.DUMMYFUNCTION("""COMPUTED_VALUE"""),"木21")</f>
        <v>木21</v>
      </c>
      <c r="F2779" s="2" t="s">
        <v>8497</v>
      </c>
      <c r="G2779" s="2" t="s">
        <v>8498</v>
      </c>
      <c r="H2779" s="1">
        <v>1.0</v>
      </c>
      <c r="I2779" s="1" t="s">
        <v>2868</v>
      </c>
      <c r="J2779" s="1" t="s">
        <v>4</v>
      </c>
      <c r="K2779" s="4" t="s">
        <v>8499</v>
      </c>
      <c r="L2779" s="11" t="s">
        <v>8500</v>
      </c>
      <c r="M2779" s="2" t="str">
        <f>IFERROR(__xludf.DUMMYFUNCTION("split(split(K2779,""田村正和、"",false),""公式LINE"",false)"),"『夫殺しの女』  「暴行容疑」をかけられた親友を救うために佐原(田村正和)が敵討ちに立ち上がる!だが、そこには思いもよらない事件「夫殺しの女」を弁護する事となる。何故彼女は夫を殺してしまったのかーいや、殺さなければならなかったのではないかー事件を追うに連れ「背後に潜む巨悪の影」が見え始める…　")</f>
        <v>『夫殺しの女』  「暴行容疑」をかけられた親友を救うために佐原(田村正和)が敵討ちに立ち上がる!だが、そこには思いもよらない事件「夫殺しの女」を弁護する事となる。何故彼女は夫を殺してしまったのかーいや、殺さなければならなかったのではないかー事件を追うに連れ「背後に潜む巨悪の影」が見え始める…　</v>
      </c>
      <c r="N2779" s="2"/>
      <c r="O2779" s="2"/>
      <c r="P2779" s="1"/>
      <c r="Q2779" s="1"/>
      <c r="R2779" s="1"/>
      <c r="S2779" s="1"/>
      <c r="T2779" s="1"/>
      <c r="U2779" s="1"/>
      <c r="V2779" s="1"/>
      <c r="W2779" s="1"/>
      <c r="X2779" s="1"/>
      <c r="Y2779" s="1"/>
      <c r="Z2779" s="1"/>
      <c r="AA2779" s="1"/>
      <c r="AB2779" s="1"/>
      <c r="AC2779" s="1"/>
      <c r="AD2779" s="1"/>
      <c r="AE2779" s="1"/>
      <c r="AF2779" s="1"/>
      <c r="AG2779" s="1"/>
      <c r="AH2779" s="1"/>
      <c r="AI2779" s="1"/>
      <c r="AJ2779" s="1"/>
      <c r="AK2779" s="1"/>
      <c r="AL2779" s="1"/>
      <c r="AM2779" s="1"/>
      <c r="AN2779" s="1"/>
      <c r="AO2779" s="1"/>
      <c r="AP2779" s="1"/>
      <c r="AQ2779" s="1"/>
      <c r="AR2779" s="1"/>
      <c r="AS2779" s="1"/>
      <c r="AT2779" s="1"/>
      <c r="AU2779" s="1"/>
      <c r="AV2779" s="1"/>
      <c r="AW2779" s="1"/>
      <c r="AX2779" s="1"/>
      <c r="AY2779" s="1"/>
      <c r="AZ2779" s="1"/>
      <c r="BA2779" s="1"/>
      <c r="BB2779" s="1"/>
    </row>
    <row r="2780" ht="204.75" customHeight="1">
      <c r="A2780" s="1">
        <v>4473.0</v>
      </c>
      <c r="B2780" s="2" t="s">
        <v>8496</v>
      </c>
      <c r="C2780" s="2">
        <f>IFERROR(__xludf.DUMMYFUNCTION("split(B2780,""_"")"),1101.0)</f>
        <v>1101</v>
      </c>
      <c r="D2780" s="2" t="str">
        <f>IFERROR(__xludf.DUMMYFUNCTION("""COMPUTED_VALUE"""),"EX")</f>
        <v>EX</v>
      </c>
      <c r="E2780" s="2" t="str">
        <f>IFERROR(__xludf.DUMMYFUNCTION("""COMPUTED_VALUE"""),"木21")</f>
        <v>木21</v>
      </c>
      <c r="F2780" s="2" t="s">
        <v>8497</v>
      </c>
      <c r="G2780" s="2" t="s">
        <v>8501</v>
      </c>
      <c r="H2780" s="1">
        <v>2.0</v>
      </c>
      <c r="I2780" s="1" t="s">
        <v>2872</v>
      </c>
      <c r="J2780" s="1" t="s">
        <v>11</v>
      </c>
      <c r="K2780" s="2" t="s">
        <v>8502</v>
      </c>
      <c r="L2780" s="11" t="s">
        <v>8503</v>
      </c>
      <c r="M2780" s="2" t="str">
        <f>IFERROR(__xludf.DUMMYFUNCTION("split(split(K2780,""田村正和、"",false),""公式LINE"",false)"),"弁護士のレイプ疑惑、能登での特捜検事転落殺人、その背後に蠢く政治と金の黒い人脈。事件の影には二人の悪女が・・・。国選弁護人が複雑な謎を、鮮やかに解き明かす!")</f>
        <v>弁護士のレイプ疑惑、能登での特捜検事転落殺人、その背後に蠢く政治と金の黒い人脈。事件の影には二人の悪女が・・・。国選弁護人が複雑な謎を、鮮やかに解き明かす!</v>
      </c>
      <c r="N2780" s="2"/>
      <c r="O2780" s="2"/>
      <c r="P2780" s="1"/>
      <c r="Q2780" s="1"/>
      <c r="R2780" s="1"/>
      <c r="S2780" s="1"/>
      <c r="T2780" s="1"/>
      <c r="U2780" s="1"/>
      <c r="V2780" s="1"/>
      <c r="W2780" s="1"/>
      <c r="X2780" s="1"/>
      <c r="Y2780" s="1"/>
      <c r="Z2780" s="1"/>
      <c r="AA2780" s="1"/>
      <c r="AB2780" s="1"/>
      <c r="AC2780" s="1"/>
      <c r="AD2780" s="1"/>
      <c r="AE2780" s="1"/>
      <c r="AF2780" s="1"/>
      <c r="AG2780" s="1"/>
      <c r="AH2780" s="1"/>
      <c r="AI2780" s="1"/>
      <c r="AJ2780" s="1"/>
      <c r="AK2780" s="1"/>
      <c r="AL2780" s="1"/>
      <c r="AM2780" s="1"/>
      <c r="AN2780" s="1"/>
      <c r="AO2780" s="1"/>
      <c r="AP2780" s="1"/>
      <c r="AQ2780" s="1"/>
      <c r="AR2780" s="1"/>
      <c r="AS2780" s="1"/>
      <c r="AT2780" s="1"/>
      <c r="AU2780" s="1"/>
      <c r="AV2780" s="1"/>
      <c r="AW2780" s="1"/>
      <c r="AX2780" s="1"/>
      <c r="AY2780" s="1"/>
      <c r="AZ2780" s="1"/>
      <c r="BA2780" s="1"/>
      <c r="BB2780" s="1"/>
    </row>
    <row r="2781" ht="204.75" customHeight="1">
      <c r="A2781" s="1">
        <v>4474.0</v>
      </c>
      <c r="B2781" s="2" t="s">
        <v>8496</v>
      </c>
      <c r="C2781" s="2">
        <f>IFERROR(__xludf.DUMMYFUNCTION("split(B2781,""_"")"),1101.0)</f>
        <v>1101</v>
      </c>
      <c r="D2781" s="2" t="str">
        <f>IFERROR(__xludf.DUMMYFUNCTION("""COMPUTED_VALUE"""),"EX")</f>
        <v>EX</v>
      </c>
      <c r="E2781" s="2" t="str">
        <f>IFERROR(__xludf.DUMMYFUNCTION("""COMPUTED_VALUE"""),"木21")</f>
        <v>木21</v>
      </c>
      <c r="F2781" s="2" t="s">
        <v>8497</v>
      </c>
      <c r="G2781" s="2" t="s">
        <v>8504</v>
      </c>
      <c r="H2781" s="1">
        <v>3.0</v>
      </c>
      <c r="I2781" s="1" t="s">
        <v>2876</v>
      </c>
      <c r="J2781" s="1" t="s">
        <v>11</v>
      </c>
      <c r="K2781" s="2" t="s">
        <v>8505</v>
      </c>
      <c r="L2781" s="11" t="s">
        <v>8506</v>
      </c>
      <c r="M2781" s="2" t="str">
        <f>IFERROR(__xludf.DUMMYFUNCTION("split(split(K2781,""田村正和、"",false),""公式LINE"",false)"),"佐原のもとに男のアリバイを証言する1人の女が現れる。女は偽証をする理由も無く、佐原は男の無罪を主張する。しかし男が無罪だとすると、誰が真犯人なのか?殺された男の妻が警察に再捜査を受ける中、佐原は、アリバイ証言に潜む微かな矛盾に疑問を感じ、事件の真相に迫って行く・・・。　")</f>
        <v>佐原のもとに男のアリバイを証言する1人の女が現れる。女は偽証をする理由も無く、佐原は男の無罪を主張する。しかし男が無罪だとすると、誰が真犯人なのか?殺された男の妻が警察に再捜査を受ける中、佐原は、アリバイ証言に潜む微かな矛盾に疑問を感じ、事件の真相に迫って行く・・・。　</v>
      </c>
      <c r="N2781" s="2"/>
      <c r="O2781" s="2"/>
      <c r="P2781" s="1"/>
      <c r="Q2781" s="1"/>
      <c r="R2781" s="1"/>
      <c r="S2781" s="1"/>
      <c r="T2781" s="1"/>
      <c r="U2781" s="1"/>
      <c r="V2781" s="1"/>
      <c r="W2781" s="1"/>
      <c r="X2781" s="1"/>
      <c r="Y2781" s="1"/>
      <c r="Z2781" s="1"/>
      <c r="AA2781" s="1"/>
      <c r="AB2781" s="1"/>
      <c r="AC2781" s="1"/>
      <c r="AD2781" s="1"/>
      <c r="AE2781" s="1"/>
      <c r="AF2781" s="1"/>
      <c r="AG2781" s="1"/>
      <c r="AH2781" s="1"/>
      <c r="AI2781" s="1"/>
      <c r="AJ2781" s="1"/>
      <c r="AK2781" s="1"/>
      <c r="AL2781" s="1"/>
      <c r="AM2781" s="1"/>
      <c r="AN2781" s="1"/>
      <c r="AO2781" s="1"/>
      <c r="AP2781" s="1"/>
      <c r="AQ2781" s="1"/>
      <c r="AR2781" s="1"/>
      <c r="AS2781" s="1"/>
      <c r="AT2781" s="1"/>
      <c r="AU2781" s="1"/>
      <c r="AV2781" s="1"/>
      <c r="AW2781" s="1"/>
      <c r="AX2781" s="1"/>
      <c r="AY2781" s="1"/>
      <c r="AZ2781" s="1"/>
      <c r="BA2781" s="1"/>
      <c r="BB2781" s="1"/>
    </row>
    <row r="2782" ht="204.75" customHeight="1">
      <c r="A2782" s="1">
        <v>4475.0</v>
      </c>
      <c r="B2782" s="2" t="s">
        <v>8496</v>
      </c>
      <c r="C2782" s="2">
        <f>IFERROR(__xludf.DUMMYFUNCTION("split(B2782,""_"")"),1101.0)</f>
        <v>1101</v>
      </c>
      <c r="D2782" s="2" t="str">
        <f>IFERROR(__xludf.DUMMYFUNCTION("""COMPUTED_VALUE"""),"EX")</f>
        <v>EX</v>
      </c>
      <c r="E2782" s="2" t="str">
        <f>IFERROR(__xludf.DUMMYFUNCTION("""COMPUTED_VALUE"""),"木21")</f>
        <v>木21</v>
      </c>
      <c r="F2782" s="2" t="s">
        <v>8497</v>
      </c>
      <c r="G2782" s="2" t="s">
        <v>8507</v>
      </c>
      <c r="H2782" s="1">
        <v>4.0</v>
      </c>
      <c r="I2782" s="1" t="s">
        <v>2880</v>
      </c>
      <c r="J2782" s="1" t="s">
        <v>11</v>
      </c>
      <c r="K2782" s="2" t="s">
        <v>8508</v>
      </c>
      <c r="L2782" s="11" t="s">
        <v>8509</v>
      </c>
      <c r="M2782" s="2" t="str">
        <f>IFERROR(__xludf.DUMMYFUNCTION("split(split(K2782,""田村正和、"",false),""公式LINE"",false)"),"熱子は殺人時、記憶を喪失し「火が見えた、自分は娘を殺していない」と佐原に話す。佐原はその言葉を信じ、弁護を引き受ける事に。しかし、熱子の男性関係は乱れ、調べれば調べるほど悪女の姿しか浮かび上がって来ない…殺人事件の真実はどこにあるのか?　")</f>
        <v>熱子は殺人時、記憶を喪失し「火が見えた、自分は娘を殺していない」と佐原に話す。佐原はその言葉を信じ、弁護を引き受ける事に。しかし、熱子の男性関係は乱れ、調べれば調べるほど悪女の姿しか浮かび上がって来ない…殺人事件の真実はどこにあるのか?　</v>
      </c>
      <c r="N2782" s="2"/>
      <c r="O2782" s="2"/>
      <c r="P2782" s="1"/>
      <c r="Q2782" s="1"/>
      <c r="R2782" s="1"/>
      <c r="S2782" s="1"/>
      <c r="T2782" s="1"/>
      <c r="U2782" s="1"/>
      <c r="V2782" s="1"/>
      <c r="W2782" s="1"/>
      <c r="X2782" s="1"/>
      <c r="Y2782" s="1"/>
      <c r="Z2782" s="1"/>
      <c r="AA2782" s="1"/>
      <c r="AB2782" s="1"/>
      <c r="AC2782" s="1"/>
      <c r="AD2782" s="1"/>
      <c r="AE2782" s="1"/>
      <c r="AF2782" s="1"/>
      <c r="AG2782" s="1"/>
      <c r="AH2782" s="1"/>
      <c r="AI2782" s="1"/>
      <c r="AJ2782" s="1"/>
      <c r="AK2782" s="1"/>
      <c r="AL2782" s="1"/>
      <c r="AM2782" s="1"/>
      <c r="AN2782" s="1"/>
      <c r="AO2782" s="1"/>
      <c r="AP2782" s="1"/>
      <c r="AQ2782" s="1"/>
      <c r="AR2782" s="1"/>
      <c r="AS2782" s="1"/>
      <c r="AT2782" s="1"/>
      <c r="AU2782" s="1"/>
      <c r="AV2782" s="1"/>
      <c r="AW2782" s="1"/>
      <c r="AX2782" s="1"/>
      <c r="AY2782" s="1"/>
      <c r="AZ2782" s="1"/>
      <c r="BA2782" s="1"/>
      <c r="BB2782" s="1"/>
    </row>
    <row r="2783" ht="204.75" customHeight="1">
      <c r="A2783" s="1">
        <v>4476.0</v>
      </c>
      <c r="B2783" s="2" t="s">
        <v>8496</v>
      </c>
      <c r="C2783" s="2">
        <f>IFERROR(__xludf.DUMMYFUNCTION("split(B2783,""_"")"),1101.0)</f>
        <v>1101</v>
      </c>
      <c r="D2783" s="2" t="str">
        <f>IFERROR(__xludf.DUMMYFUNCTION("""COMPUTED_VALUE"""),"EX")</f>
        <v>EX</v>
      </c>
      <c r="E2783" s="2" t="str">
        <f>IFERROR(__xludf.DUMMYFUNCTION("""COMPUTED_VALUE"""),"木21")</f>
        <v>木21</v>
      </c>
      <c r="F2783" s="2" t="s">
        <v>8497</v>
      </c>
      <c r="G2783" s="2" t="s">
        <v>8510</v>
      </c>
      <c r="H2783" s="1">
        <v>5.0</v>
      </c>
      <c r="I2783" s="1" t="s">
        <v>2884</v>
      </c>
      <c r="J2783" s="1" t="s">
        <v>11</v>
      </c>
      <c r="K2783" s="2" t="s">
        <v>8511</v>
      </c>
      <c r="L2783" s="11" t="s">
        <v>8512</v>
      </c>
      <c r="M2783" s="2" t="str">
        <f>IFERROR(__xludf.DUMMYFUNCTION("split(split(K2783,""田村正和、"",false),""公式LINE"",false)"),"佐原(田村正和)は、死刑判決を受けた清水熱子(若村麻由美)から幼い頃母と見た『火の記憶』に不振な男・河辺(菅田俊)の存在を知る。熱子は、その男が、父と母を殺したのかもしれないと曖昧な発言をして気絶する。佐原は、熱子の父(伊東四朗)と河辺との接点を突き止める。　")</f>
        <v>佐原(田村正和)は、死刑判決を受けた清水熱子(若村麻由美)から幼い頃母と見た『火の記憶』に不振な男・河辺(菅田俊)の存在を知る。熱子は、その男が、父と母を殺したのかもしれないと曖昧な発言をして気絶する。佐原は、熱子の父(伊東四朗)と河辺との接点を突き止める。　</v>
      </c>
      <c r="N2783" s="2"/>
      <c r="O2783" s="2"/>
      <c r="P2783" s="1"/>
      <c r="Q2783" s="1"/>
      <c r="R2783" s="1"/>
      <c r="S2783" s="1"/>
      <c r="T2783" s="1"/>
      <c r="U2783" s="1"/>
      <c r="V2783" s="1"/>
      <c r="W2783" s="1"/>
      <c r="X2783" s="1"/>
      <c r="Y2783" s="1"/>
      <c r="Z2783" s="1"/>
      <c r="AA2783" s="1"/>
      <c r="AB2783" s="1"/>
      <c r="AC2783" s="1"/>
      <c r="AD2783" s="1"/>
      <c r="AE2783" s="1"/>
      <c r="AF2783" s="1"/>
      <c r="AG2783" s="1"/>
      <c r="AH2783" s="1"/>
      <c r="AI2783" s="1"/>
      <c r="AJ2783" s="1"/>
      <c r="AK2783" s="1"/>
      <c r="AL2783" s="1"/>
      <c r="AM2783" s="1"/>
      <c r="AN2783" s="1"/>
      <c r="AO2783" s="1"/>
      <c r="AP2783" s="1"/>
      <c r="AQ2783" s="1"/>
      <c r="AR2783" s="1"/>
      <c r="AS2783" s="1"/>
      <c r="AT2783" s="1"/>
      <c r="AU2783" s="1"/>
      <c r="AV2783" s="1"/>
      <c r="AW2783" s="1"/>
      <c r="AX2783" s="1"/>
      <c r="AY2783" s="1"/>
      <c r="AZ2783" s="1"/>
      <c r="BA2783" s="1"/>
      <c r="BB2783" s="1"/>
    </row>
    <row r="2784" ht="204.75" customHeight="1">
      <c r="A2784" s="1">
        <v>4477.0</v>
      </c>
      <c r="B2784" s="2" t="s">
        <v>8496</v>
      </c>
      <c r="C2784" s="2">
        <f>IFERROR(__xludf.DUMMYFUNCTION("split(B2784,""_"")"),1101.0)</f>
        <v>1101</v>
      </c>
      <c r="D2784" s="2" t="str">
        <f>IFERROR(__xludf.DUMMYFUNCTION("""COMPUTED_VALUE"""),"EX")</f>
        <v>EX</v>
      </c>
      <c r="E2784" s="2" t="str">
        <f>IFERROR(__xludf.DUMMYFUNCTION("""COMPUTED_VALUE"""),"木21")</f>
        <v>木21</v>
      </c>
      <c r="F2784" s="2" t="s">
        <v>8497</v>
      </c>
      <c r="G2784" s="2" t="s">
        <v>8513</v>
      </c>
      <c r="H2784" s="1">
        <v>6.0</v>
      </c>
      <c r="I2784" s="1" t="s">
        <v>2888</v>
      </c>
      <c r="J2784" s="1" t="s">
        <v>11</v>
      </c>
      <c r="K2784" s="2" t="s">
        <v>8514</v>
      </c>
      <c r="L2784" s="11" t="s">
        <v>8515</v>
      </c>
      <c r="M2784" s="2" t="str">
        <f>IFERROR(__xludf.DUMMYFUNCTION("split(split(K2784,""田村正和、"",false),""公式LINE"",false)"),"通り魔殺人の容疑者・井上(長谷川博己)に一審で死刑判決が下ったが、井上は控訴せず。一度の裁判で死刑確定を危惧した佐原(田村正和)達は、弁護を担当する。被害者の妻・由紀子(国仲涼子)も死刑には困惑する。調べると被害者には、集団暴行で逮捕された過去が!　")</f>
        <v>通り魔殺人の容疑者・井上(長谷川博己)に一審で死刑判決が下ったが、井上は控訴せず。一度の裁判で死刑確定を危惧した佐原(田村正和)達は、弁護を担当する。被害者の妻・由紀子(国仲涼子)も死刑には困惑する。調べると被害者には、集団暴行で逮捕された過去が!　</v>
      </c>
      <c r="N2784" s="2"/>
      <c r="O2784" s="2"/>
      <c r="P2784" s="1"/>
      <c r="Q2784" s="1"/>
      <c r="R2784" s="1"/>
      <c r="S2784" s="1"/>
      <c r="T2784" s="1"/>
      <c r="U2784" s="1"/>
      <c r="V2784" s="1"/>
      <c r="W2784" s="1"/>
      <c r="X2784" s="1"/>
      <c r="Y2784" s="1"/>
      <c r="Z2784" s="1"/>
      <c r="AA2784" s="1"/>
      <c r="AB2784" s="1"/>
      <c r="AC2784" s="1"/>
      <c r="AD2784" s="1"/>
      <c r="AE2784" s="1"/>
      <c r="AF2784" s="1"/>
      <c r="AG2784" s="1"/>
      <c r="AH2784" s="1"/>
      <c r="AI2784" s="1"/>
      <c r="AJ2784" s="1"/>
      <c r="AK2784" s="1"/>
      <c r="AL2784" s="1"/>
      <c r="AM2784" s="1"/>
      <c r="AN2784" s="1"/>
      <c r="AO2784" s="1"/>
      <c r="AP2784" s="1"/>
      <c r="AQ2784" s="1"/>
      <c r="AR2784" s="1"/>
      <c r="AS2784" s="1"/>
      <c r="AT2784" s="1"/>
      <c r="AU2784" s="1"/>
      <c r="AV2784" s="1"/>
      <c r="AW2784" s="1"/>
      <c r="AX2784" s="1"/>
      <c r="AY2784" s="1"/>
      <c r="AZ2784" s="1"/>
      <c r="BA2784" s="1"/>
      <c r="BB2784" s="1"/>
    </row>
    <row r="2785" ht="204.75" customHeight="1">
      <c r="A2785" s="1">
        <v>4478.0</v>
      </c>
      <c r="B2785" s="2" t="s">
        <v>8496</v>
      </c>
      <c r="C2785" s="2">
        <f>IFERROR(__xludf.DUMMYFUNCTION("split(B2785,""_"")"),1101.0)</f>
        <v>1101</v>
      </c>
      <c r="D2785" s="2" t="str">
        <f>IFERROR(__xludf.DUMMYFUNCTION("""COMPUTED_VALUE"""),"EX")</f>
        <v>EX</v>
      </c>
      <c r="E2785" s="2" t="str">
        <f>IFERROR(__xludf.DUMMYFUNCTION("""COMPUTED_VALUE"""),"木21")</f>
        <v>木21</v>
      </c>
      <c r="F2785" s="2" t="s">
        <v>8497</v>
      </c>
      <c r="G2785" s="2" t="s">
        <v>8516</v>
      </c>
      <c r="H2785" s="1">
        <v>7.0</v>
      </c>
      <c r="I2785" s="1" t="s">
        <v>2892</v>
      </c>
      <c r="J2785" s="1" t="s">
        <v>11</v>
      </c>
      <c r="K2785" s="2" t="s">
        <v>8517</v>
      </c>
      <c r="L2785" s="11" t="s">
        <v>8518</v>
      </c>
      <c r="M2785" s="2" t="str">
        <f>IFERROR(__xludf.DUMMYFUNCTION("split(split(K2785,""田村正和、"",false),""公式LINE"",false)"),"佐原(田村正和)は姿を隠していた岡部(橋爪功)を道端で見かけ後を追う。すると大物政治家・藤尾(浜田晃)の会合の場であった。突如そこで財界の首領・石川松子(市原悦子)が銃弾に倒れる。その後岡部は『嫌な仕事を引き受けた』と佐原に告げ法廷での対決を宣言する!!　")</f>
        <v>佐原(田村正和)は姿を隠していた岡部(橋爪功)を道端で見かけ後を追う。すると大物政治家・藤尾(浜田晃)の会合の場であった。突如そこで財界の首領・石川松子(市原悦子)が銃弾に倒れる。その後岡部は『嫌な仕事を引き受けた』と佐原に告げ法廷での対決を宣言する!!　</v>
      </c>
      <c r="N2785" s="2"/>
      <c r="O2785" s="2"/>
      <c r="P2785" s="1"/>
      <c r="Q2785" s="1"/>
      <c r="R2785" s="1"/>
      <c r="S2785" s="1"/>
      <c r="T2785" s="1"/>
      <c r="U2785" s="1"/>
      <c r="V2785" s="1"/>
      <c r="W2785" s="1"/>
      <c r="X2785" s="1"/>
      <c r="Y2785" s="1"/>
      <c r="Z2785" s="1"/>
      <c r="AA2785" s="1"/>
      <c r="AB2785" s="1"/>
      <c r="AC2785" s="1"/>
      <c r="AD2785" s="1"/>
      <c r="AE2785" s="1"/>
      <c r="AF2785" s="1"/>
      <c r="AG2785" s="1"/>
      <c r="AH2785" s="1"/>
      <c r="AI2785" s="1"/>
      <c r="AJ2785" s="1"/>
      <c r="AK2785" s="1"/>
      <c r="AL2785" s="1"/>
      <c r="AM2785" s="1"/>
      <c r="AN2785" s="1"/>
      <c r="AO2785" s="1"/>
      <c r="AP2785" s="1"/>
      <c r="AQ2785" s="1"/>
      <c r="AR2785" s="1"/>
      <c r="AS2785" s="1"/>
      <c r="AT2785" s="1"/>
      <c r="AU2785" s="1"/>
      <c r="AV2785" s="1"/>
      <c r="AW2785" s="1"/>
      <c r="AX2785" s="1"/>
      <c r="AY2785" s="1"/>
      <c r="AZ2785" s="1"/>
      <c r="BA2785" s="1"/>
      <c r="BB2785" s="1"/>
    </row>
    <row r="2786" ht="204.75" customHeight="1">
      <c r="A2786" s="1">
        <v>4479.0</v>
      </c>
      <c r="B2786" s="2" t="s">
        <v>8496</v>
      </c>
      <c r="C2786" s="2">
        <f>IFERROR(__xludf.DUMMYFUNCTION("split(B2786,""_"")"),1101.0)</f>
        <v>1101</v>
      </c>
      <c r="D2786" s="2" t="str">
        <f>IFERROR(__xludf.DUMMYFUNCTION("""COMPUTED_VALUE"""),"EX")</f>
        <v>EX</v>
      </c>
      <c r="E2786" s="2" t="str">
        <f>IFERROR(__xludf.DUMMYFUNCTION("""COMPUTED_VALUE"""),"木21")</f>
        <v>木21</v>
      </c>
      <c r="F2786" s="2" t="s">
        <v>8497</v>
      </c>
      <c r="G2786" s="2" t="s">
        <v>8519</v>
      </c>
      <c r="H2786" s="1">
        <v>8.0</v>
      </c>
      <c r="I2786" s="1" t="s">
        <v>2896</v>
      </c>
      <c r="J2786" s="1" t="s">
        <v>11</v>
      </c>
      <c r="K2786" s="2" t="s">
        <v>8520</v>
      </c>
      <c r="L2786" s="11" t="s">
        <v>8521</v>
      </c>
      <c r="M2786" s="2" t="str">
        <f>IFERROR(__xludf.DUMMYFUNCTION("split(split(K2786,""田村正和、"",false),""公式LINE"",false)"),"31年前の殺人事件を自らの犯行だと告白した女帝・松子(市原悦子)。不審に思った佐原(田村正和)が、事実確認すると大物政治家が浮上する!!そして岸田麗子(釈由美子)の公判が始まる。佐原が検事側の証人として出廷。佐原と岡部、男の対決が始まる。　")</f>
        <v>31年前の殺人事件を自らの犯行だと告白した女帝・松子(市原悦子)。不審に思った佐原(田村正和)が、事実確認すると大物政治家が浮上する!!そして岸田麗子(釈由美子)の公判が始まる。佐原が検事側の証人として出廷。佐原と岡部、男の対決が始まる。　</v>
      </c>
      <c r="N2786" s="2"/>
      <c r="O2786" s="2"/>
      <c r="P2786" s="1"/>
      <c r="Q2786" s="1"/>
      <c r="R2786" s="1"/>
      <c r="S2786" s="1"/>
      <c r="T2786" s="1"/>
      <c r="U2786" s="1"/>
      <c r="V2786" s="1"/>
      <c r="W2786" s="1"/>
      <c r="X2786" s="1"/>
      <c r="Y2786" s="1"/>
      <c r="Z2786" s="1"/>
      <c r="AA2786" s="1"/>
      <c r="AB2786" s="1"/>
      <c r="AC2786" s="1"/>
      <c r="AD2786" s="1"/>
      <c r="AE2786" s="1"/>
      <c r="AF2786" s="1"/>
      <c r="AG2786" s="1"/>
      <c r="AH2786" s="1"/>
      <c r="AI2786" s="1"/>
      <c r="AJ2786" s="1"/>
      <c r="AK2786" s="1"/>
      <c r="AL2786" s="1"/>
      <c r="AM2786" s="1"/>
      <c r="AN2786" s="1"/>
      <c r="AO2786" s="1"/>
      <c r="AP2786" s="1"/>
      <c r="AQ2786" s="1"/>
      <c r="AR2786" s="1"/>
      <c r="AS2786" s="1"/>
      <c r="AT2786" s="1"/>
      <c r="AU2786" s="1"/>
      <c r="AV2786" s="1"/>
      <c r="AW2786" s="1"/>
      <c r="AX2786" s="1"/>
      <c r="AY2786" s="1"/>
      <c r="AZ2786" s="1"/>
      <c r="BA2786" s="1"/>
      <c r="BB2786" s="1"/>
    </row>
    <row r="2787" ht="204.75" customHeight="1">
      <c r="A2787" s="1">
        <v>4495.0</v>
      </c>
      <c r="B2787" s="2" t="s">
        <v>8522</v>
      </c>
      <c r="C2787" s="2">
        <f>IFERROR(__xludf.DUMMYFUNCTION("split(B2787,""_"")"),1101.0)</f>
        <v>1101</v>
      </c>
      <c r="D2787" s="2" t="str">
        <f>IFERROR(__xludf.DUMMYFUNCTION("""COMPUTED_VALUE"""),"EX")</f>
        <v>EX</v>
      </c>
      <c r="E2787" s="2" t="str">
        <f>IFERROR(__xludf.DUMMYFUNCTION("""COMPUTED_VALUE"""),"金21")</f>
        <v>金21</v>
      </c>
      <c r="F2787" s="2" t="s">
        <v>8523</v>
      </c>
      <c r="G2787" s="2" t="s">
        <v>8524</v>
      </c>
      <c r="H2787" s="1">
        <v>1.0</v>
      </c>
      <c r="I2787" s="1" t="s">
        <v>2868</v>
      </c>
      <c r="J2787" s="1" t="s">
        <v>11</v>
      </c>
      <c r="K2787" s="4" t="s">
        <v>8525</v>
      </c>
      <c r="L2787" s="11" t="s">
        <v>8526</v>
      </c>
      <c r="M2787" s="2" t="str">
        <f>IFERROR(__xludf.DUMMYFUNCTION("split(split(K2787,""高橋克典、"",false),""公式LINE"",false)"),"悪党と呼ばれる非情で切ない刑事たちが、巨悪を狩る!  横浜の繁華街で、若い女性の刺殺体が見つかった。現場に駆け付けたのは、横浜港町署刑事課第四係・富樫正義(高橋克典)ら4人の刑事。富樫は遺体のポケットから何かを見つけ、さりげなくポケットに隠したのだが・・・。")</f>
        <v>悪党と呼ばれる非情で切ない刑事たちが、巨悪を狩る!  横浜の繁華街で、若い女性の刺殺体が見つかった。現場に駆け付けたのは、横浜港町署刑事課第四係・富樫正義(高橋克典)ら4人の刑事。富樫は遺体のポケットから何かを見つけ、さりげなくポケットに隠したのだが・・・。</v>
      </c>
      <c r="N2787" s="2"/>
      <c r="O2787" s="2"/>
      <c r="P2787" s="1"/>
      <c r="Q2787" s="1"/>
      <c r="R2787" s="1"/>
      <c r="S2787" s="1"/>
      <c r="T2787" s="1"/>
      <c r="U2787" s="1"/>
      <c r="V2787" s="1"/>
      <c r="W2787" s="1"/>
      <c r="X2787" s="1"/>
      <c r="Y2787" s="1"/>
      <c r="Z2787" s="1"/>
      <c r="AA2787" s="1"/>
      <c r="AB2787" s="1"/>
      <c r="AC2787" s="1"/>
      <c r="AD2787" s="1"/>
      <c r="AE2787" s="1"/>
      <c r="AF2787" s="1"/>
      <c r="AG2787" s="1"/>
      <c r="AH2787" s="1"/>
      <c r="AI2787" s="1"/>
      <c r="AJ2787" s="1"/>
      <c r="AK2787" s="1"/>
      <c r="AL2787" s="1"/>
      <c r="AM2787" s="1"/>
      <c r="AN2787" s="1"/>
      <c r="AO2787" s="1"/>
      <c r="AP2787" s="1"/>
      <c r="AQ2787" s="1"/>
      <c r="AR2787" s="1"/>
      <c r="AS2787" s="1"/>
      <c r="AT2787" s="1"/>
      <c r="AU2787" s="1"/>
      <c r="AV2787" s="1"/>
      <c r="AW2787" s="1"/>
      <c r="AX2787" s="1"/>
      <c r="AY2787" s="1"/>
      <c r="AZ2787" s="1"/>
      <c r="BA2787" s="1"/>
      <c r="BB2787" s="1"/>
    </row>
    <row r="2788" ht="204.75" customHeight="1">
      <c r="A2788" s="1">
        <v>4496.0</v>
      </c>
      <c r="B2788" s="2" t="s">
        <v>8522</v>
      </c>
      <c r="C2788" s="2">
        <f>IFERROR(__xludf.DUMMYFUNCTION("split(B2788,""_"")"),1101.0)</f>
        <v>1101</v>
      </c>
      <c r="D2788" s="2" t="str">
        <f>IFERROR(__xludf.DUMMYFUNCTION("""COMPUTED_VALUE"""),"EX")</f>
        <v>EX</v>
      </c>
      <c r="E2788" s="2" t="str">
        <f>IFERROR(__xludf.DUMMYFUNCTION("""COMPUTED_VALUE"""),"金21")</f>
        <v>金21</v>
      </c>
      <c r="F2788" s="2" t="s">
        <v>8523</v>
      </c>
      <c r="G2788" s="2" t="s">
        <v>8527</v>
      </c>
      <c r="H2788" s="1">
        <v>2.0</v>
      </c>
      <c r="I2788" s="1" t="s">
        <v>2872</v>
      </c>
      <c r="J2788" s="1" t="s">
        <v>11</v>
      </c>
      <c r="K2788" s="2" t="s">
        <v>8528</v>
      </c>
      <c r="L2788" s="11" t="s">
        <v>8529</v>
      </c>
      <c r="M2788" s="2" t="str">
        <f>IFERROR(__xludf.DUMMYFUNCTION("split(split(K2788,""高橋克典、"",false),""公式LINE"",false)"),"悪党と呼ばれる非情で切ない刑事たちが、巨悪を狩る!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f>
        <v>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v>
      </c>
      <c r="N2788" s="2"/>
      <c r="O2788" s="2"/>
      <c r="P2788" s="1"/>
      <c r="Q2788" s="1"/>
      <c r="R2788" s="1"/>
      <c r="S2788" s="1"/>
      <c r="T2788" s="1"/>
      <c r="U2788" s="1"/>
      <c r="V2788" s="1"/>
      <c r="W2788" s="1"/>
      <c r="X2788" s="1"/>
      <c r="Y2788" s="1"/>
      <c r="Z2788" s="1"/>
      <c r="AA2788" s="1"/>
      <c r="AB2788" s="1"/>
      <c r="AC2788" s="1"/>
      <c r="AD2788" s="1"/>
      <c r="AE2788" s="1"/>
      <c r="AF2788" s="1"/>
      <c r="AG2788" s="1"/>
      <c r="AH2788" s="1"/>
      <c r="AI2788" s="1"/>
      <c r="AJ2788" s="1"/>
      <c r="AK2788" s="1"/>
      <c r="AL2788" s="1"/>
      <c r="AM2788" s="1"/>
      <c r="AN2788" s="1"/>
      <c r="AO2788" s="1"/>
      <c r="AP2788" s="1"/>
      <c r="AQ2788" s="1"/>
      <c r="AR2788" s="1"/>
      <c r="AS2788" s="1"/>
      <c r="AT2788" s="1"/>
      <c r="AU2788" s="1"/>
      <c r="AV2788" s="1"/>
      <c r="AW2788" s="1"/>
      <c r="AX2788" s="1"/>
      <c r="AY2788" s="1"/>
      <c r="AZ2788" s="1"/>
      <c r="BA2788" s="1"/>
      <c r="BB2788" s="1"/>
    </row>
    <row r="2789" ht="204.75" customHeight="1">
      <c r="A2789" s="1">
        <v>4497.0</v>
      </c>
      <c r="B2789" s="2" t="s">
        <v>8522</v>
      </c>
      <c r="C2789" s="2">
        <f>IFERROR(__xludf.DUMMYFUNCTION("split(B2789,""_"")"),1101.0)</f>
        <v>1101</v>
      </c>
      <c r="D2789" s="2" t="str">
        <f>IFERROR(__xludf.DUMMYFUNCTION("""COMPUTED_VALUE"""),"EX")</f>
        <v>EX</v>
      </c>
      <c r="E2789" s="2" t="str">
        <f>IFERROR(__xludf.DUMMYFUNCTION("""COMPUTED_VALUE"""),"金21")</f>
        <v>金21</v>
      </c>
      <c r="F2789" s="2" t="s">
        <v>8523</v>
      </c>
      <c r="G2789" s="2" t="s">
        <v>8530</v>
      </c>
      <c r="H2789" s="1">
        <v>3.0</v>
      </c>
      <c r="I2789" s="1" t="s">
        <v>2876</v>
      </c>
      <c r="J2789" s="1" t="s">
        <v>11</v>
      </c>
      <c r="K2789" s="2" t="s">
        <v>8531</v>
      </c>
      <c r="L2789" s="11" t="s">
        <v>8529</v>
      </c>
      <c r="M2789" s="2" t="str">
        <f>IFERROR(__xludf.DUMMYFUNCTION("split(split(K2789,""高橋克典、"",false),""公式LINE"",false)"),"悪党と呼ばれる非情で切ない刑事たちが、巨悪を狩る!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f>
        <v>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v>
      </c>
      <c r="N2789" s="2"/>
      <c r="O2789" s="2"/>
      <c r="P2789" s="1"/>
      <c r="Q2789" s="1"/>
      <c r="R2789" s="1"/>
      <c r="S2789" s="1"/>
      <c r="T2789" s="1"/>
      <c r="U2789" s="1"/>
      <c r="V2789" s="1"/>
      <c r="W2789" s="1"/>
      <c r="X2789" s="1"/>
      <c r="Y2789" s="1"/>
      <c r="Z2789" s="1"/>
      <c r="AA2789" s="1"/>
      <c r="AB2789" s="1"/>
      <c r="AC2789" s="1"/>
      <c r="AD2789" s="1"/>
      <c r="AE2789" s="1"/>
      <c r="AF2789" s="1"/>
      <c r="AG2789" s="1"/>
      <c r="AH2789" s="1"/>
      <c r="AI2789" s="1"/>
      <c r="AJ2789" s="1"/>
      <c r="AK2789" s="1"/>
      <c r="AL2789" s="1"/>
      <c r="AM2789" s="1"/>
      <c r="AN2789" s="1"/>
      <c r="AO2789" s="1"/>
      <c r="AP2789" s="1"/>
      <c r="AQ2789" s="1"/>
      <c r="AR2789" s="1"/>
      <c r="AS2789" s="1"/>
      <c r="AT2789" s="1"/>
      <c r="AU2789" s="1"/>
      <c r="AV2789" s="1"/>
      <c r="AW2789" s="1"/>
      <c r="AX2789" s="1"/>
      <c r="AY2789" s="1"/>
      <c r="AZ2789" s="1"/>
      <c r="BA2789" s="1"/>
      <c r="BB2789" s="1"/>
    </row>
    <row r="2790" ht="204.75" customHeight="1">
      <c r="A2790" s="1">
        <v>4498.0</v>
      </c>
      <c r="B2790" s="2" t="s">
        <v>8522</v>
      </c>
      <c r="C2790" s="2">
        <f>IFERROR(__xludf.DUMMYFUNCTION("split(B2790,""_"")"),1101.0)</f>
        <v>1101</v>
      </c>
      <c r="D2790" s="2" t="str">
        <f>IFERROR(__xludf.DUMMYFUNCTION("""COMPUTED_VALUE"""),"EX")</f>
        <v>EX</v>
      </c>
      <c r="E2790" s="2" t="str">
        <f>IFERROR(__xludf.DUMMYFUNCTION("""COMPUTED_VALUE"""),"金21")</f>
        <v>金21</v>
      </c>
      <c r="F2790" s="2" t="s">
        <v>8523</v>
      </c>
      <c r="G2790" s="2" t="s">
        <v>8532</v>
      </c>
      <c r="H2790" s="1">
        <v>4.0</v>
      </c>
      <c r="I2790" s="1" t="s">
        <v>2880</v>
      </c>
      <c r="J2790" s="1" t="s">
        <v>11</v>
      </c>
      <c r="K2790" s="2" t="s">
        <v>8533</v>
      </c>
      <c r="L2790" s="11" t="s">
        <v>8529</v>
      </c>
      <c r="M2790" s="2" t="str">
        <f>IFERROR(__xludf.DUMMYFUNCTION("split(split(K2790,""高橋克典、"",false),""公式LINE"",false)"),"悪党と呼ばれる非情で切ない刑事たちが、巨悪を狩る!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f>
        <v>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v>
      </c>
      <c r="N2790" s="2"/>
      <c r="O2790" s="2"/>
      <c r="P2790" s="1"/>
      <c r="Q2790" s="1"/>
      <c r="R2790" s="1"/>
      <c r="S2790" s="1"/>
      <c r="T2790" s="1"/>
      <c r="U2790" s="1"/>
      <c r="V2790" s="1"/>
      <c r="W2790" s="1"/>
      <c r="X2790" s="1"/>
      <c r="Y2790" s="1"/>
      <c r="Z2790" s="1"/>
      <c r="AA2790" s="1"/>
      <c r="AB2790" s="1"/>
      <c r="AC2790" s="1"/>
      <c r="AD2790" s="1"/>
      <c r="AE2790" s="1"/>
      <c r="AF2790" s="1"/>
      <c r="AG2790" s="1"/>
      <c r="AH2790" s="1"/>
      <c r="AI2790" s="1"/>
      <c r="AJ2790" s="1"/>
      <c r="AK2790" s="1"/>
      <c r="AL2790" s="1"/>
      <c r="AM2790" s="1"/>
      <c r="AN2790" s="1"/>
      <c r="AO2790" s="1"/>
      <c r="AP2790" s="1"/>
      <c r="AQ2790" s="1"/>
      <c r="AR2790" s="1"/>
      <c r="AS2790" s="1"/>
      <c r="AT2790" s="1"/>
      <c r="AU2790" s="1"/>
      <c r="AV2790" s="1"/>
      <c r="AW2790" s="1"/>
      <c r="AX2790" s="1"/>
      <c r="AY2790" s="1"/>
      <c r="AZ2790" s="1"/>
      <c r="BA2790" s="1"/>
      <c r="BB2790" s="1"/>
    </row>
    <row r="2791" ht="204.75" customHeight="1">
      <c r="A2791" s="1">
        <v>4499.0</v>
      </c>
      <c r="B2791" s="2" t="s">
        <v>8522</v>
      </c>
      <c r="C2791" s="2">
        <f>IFERROR(__xludf.DUMMYFUNCTION("split(B2791,""_"")"),1101.0)</f>
        <v>1101</v>
      </c>
      <c r="D2791" s="2" t="str">
        <f>IFERROR(__xludf.DUMMYFUNCTION("""COMPUTED_VALUE"""),"EX")</f>
        <v>EX</v>
      </c>
      <c r="E2791" s="2" t="str">
        <f>IFERROR(__xludf.DUMMYFUNCTION("""COMPUTED_VALUE"""),"金21")</f>
        <v>金21</v>
      </c>
      <c r="F2791" s="2" t="s">
        <v>8523</v>
      </c>
      <c r="G2791" s="2" t="s">
        <v>8534</v>
      </c>
      <c r="H2791" s="1">
        <v>5.0</v>
      </c>
      <c r="I2791" s="1" t="s">
        <v>2884</v>
      </c>
      <c r="J2791" s="1" t="s">
        <v>11</v>
      </c>
      <c r="K2791" s="2" t="s">
        <v>8535</v>
      </c>
      <c r="L2791" s="11" t="s">
        <v>8529</v>
      </c>
      <c r="M2791" s="2" t="str">
        <f>IFERROR(__xludf.DUMMYFUNCTION("split(split(K2791,""高橋克典、"",false),""公式LINE"",false)"),"悪党と呼ばれる非情で切ない刑事たちが、巨悪を狩る!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f>
        <v>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v>
      </c>
      <c r="N2791" s="2"/>
      <c r="O2791" s="2"/>
      <c r="P2791" s="1"/>
      <c r="Q2791" s="1"/>
      <c r="R2791" s="1"/>
      <c r="S2791" s="1"/>
      <c r="T2791" s="1"/>
      <c r="U2791" s="1"/>
      <c r="V2791" s="1"/>
      <c r="W2791" s="1"/>
      <c r="X2791" s="1"/>
      <c r="Y2791" s="1"/>
      <c r="Z2791" s="1"/>
      <c r="AA2791" s="1"/>
      <c r="AB2791" s="1"/>
      <c r="AC2791" s="1"/>
      <c r="AD2791" s="1"/>
      <c r="AE2791" s="1"/>
      <c r="AF2791" s="1"/>
      <c r="AG2791" s="1"/>
      <c r="AH2791" s="1"/>
      <c r="AI2791" s="1"/>
      <c r="AJ2791" s="1"/>
      <c r="AK2791" s="1"/>
      <c r="AL2791" s="1"/>
      <c r="AM2791" s="1"/>
      <c r="AN2791" s="1"/>
      <c r="AO2791" s="1"/>
      <c r="AP2791" s="1"/>
      <c r="AQ2791" s="1"/>
      <c r="AR2791" s="1"/>
      <c r="AS2791" s="1"/>
      <c r="AT2791" s="1"/>
      <c r="AU2791" s="1"/>
      <c r="AV2791" s="1"/>
      <c r="AW2791" s="1"/>
      <c r="AX2791" s="1"/>
      <c r="AY2791" s="1"/>
      <c r="AZ2791" s="1"/>
      <c r="BA2791" s="1"/>
      <c r="BB2791" s="1"/>
    </row>
    <row r="2792" ht="204.75" customHeight="1">
      <c r="A2792" s="1">
        <v>4500.0</v>
      </c>
      <c r="B2792" s="2" t="s">
        <v>8522</v>
      </c>
      <c r="C2792" s="2">
        <f>IFERROR(__xludf.DUMMYFUNCTION("split(B2792,""_"")"),1101.0)</f>
        <v>1101</v>
      </c>
      <c r="D2792" s="2" t="str">
        <f>IFERROR(__xludf.DUMMYFUNCTION("""COMPUTED_VALUE"""),"EX")</f>
        <v>EX</v>
      </c>
      <c r="E2792" s="2" t="str">
        <f>IFERROR(__xludf.DUMMYFUNCTION("""COMPUTED_VALUE"""),"金21")</f>
        <v>金21</v>
      </c>
      <c r="F2792" s="2" t="s">
        <v>8523</v>
      </c>
      <c r="G2792" s="2" t="s">
        <v>8536</v>
      </c>
      <c r="H2792" s="1">
        <v>6.0</v>
      </c>
      <c r="I2792" s="1" t="s">
        <v>2888</v>
      </c>
      <c r="J2792" s="1" t="s">
        <v>11</v>
      </c>
      <c r="K2792" s="2" t="s">
        <v>8537</v>
      </c>
      <c r="L2792" s="11" t="s">
        <v>8529</v>
      </c>
      <c r="M2792" s="2" t="str">
        <f>IFERROR(__xludf.DUMMYFUNCTION("split(split(K2792,""高橋克典、"",false),""公式LINE"",false)"),"悪党と呼ばれる非情で切ない刑事たちが、巨悪を狩る!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f>
        <v>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v>
      </c>
      <c r="N2792" s="2"/>
      <c r="O2792" s="2"/>
      <c r="P2792" s="1"/>
      <c r="Q2792" s="1"/>
      <c r="R2792" s="1"/>
      <c r="S2792" s="1"/>
      <c r="T2792" s="1"/>
      <c r="U2792" s="1"/>
      <c r="V2792" s="1"/>
      <c r="W2792" s="1"/>
      <c r="X2792" s="1"/>
      <c r="Y2792" s="1"/>
      <c r="Z2792" s="1"/>
      <c r="AA2792" s="1"/>
      <c r="AB2792" s="1"/>
      <c r="AC2792" s="1"/>
      <c r="AD2792" s="1"/>
      <c r="AE2792" s="1"/>
      <c r="AF2792" s="1"/>
      <c r="AG2792" s="1"/>
      <c r="AH2792" s="1"/>
      <c r="AI2792" s="1"/>
      <c r="AJ2792" s="1"/>
      <c r="AK2792" s="1"/>
      <c r="AL2792" s="1"/>
      <c r="AM2792" s="1"/>
      <c r="AN2792" s="1"/>
      <c r="AO2792" s="1"/>
      <c r="AP2792" s="1"/>
      <c r="AQ2792" s="1"/>
      <c r="AR2792" s="1"/>
      <c r="AS2792" s="1"/>
      <c r="AT2792" s="1"/>
      <c r="AU2792" s="1"/>
      <c r="AV2792" s="1"/>
      <c r="AW2792" s="1"/>
      <c r="AX2792" s="1"/>
      <c r="AY2792" s="1"/>
      <c r="AZ2792" s="1"/>
      <c r="BA2792" s="1"/>
      <c r="BB2792" s="1"/>
    </row>
    <row r="2793" ht="204.75" customHeight="1">
      <c r="A2793" s="1">
        <v>4501.0</v>
      </c>
      <c r="B2793" s="2" t="s">
        <v>8522</v>
      </c>
      <c r="C2793" s="2">
        <f>IFERROR(__xludf.DUMMYFUNCTION("split(B2793,""_"")"),1101.0)</f>
        <v>1101</v>
      </c>
      <c r="D2793" s="2" t="str">
        <f>IFERROR(__xludf.DUMMYFUNCTION("""COMPUTED_VALUE"""),"EX")</f>
        <v>EX</v>
      </c>
      <c r="E2793" s="2" t="str">
        <f>IFERROR(__xludf.DUMMYFUNCTION("""COMPUTED_VALUE"""),"金21")</f>
        <v>金21</v>
      </c>
      <c r="F2793" s="2" t="s">
        <v>8523</v>
      </c>
      <c r="G2793" s="2" t="s">
        <v>8538</v>
      </c>
      <c r="H2793" s="1">
        <v>7.0</v>
      </c>
      <c r="I2793" s="1" t="s">
        <v>2892</v>
      </c>
      <c r="J2793" s="1" t="s">
        <v>11</v>
      </c>
      <c r="K2793" s="2" t="s">
        <v>8539</v>
      </c>
      <c r="L2793" s="11" t="s">
        <v>8529</v>
      </c>
      <c r="M2793" s="2" t="str">
        <f>IFERROR(__xludf.DUMMYFUNCTION("split(split(K2793,""高橋克典、"",false),""公式LINE"",false)"),"悪党と呼ばれる非情で切ない刑事たちが、巨悪を狩る!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f>
        <v>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v>
      </c>
      <c r="N2793" s="2"/>
      <c r="O2793" s="2"/>
      <c r="P2793" s="1"/>
      <c r="Q2793" s="1"/>
      <c r="R2793" s="1"/>
      <c r="S2793" s="1"/>
      <c r="T2793" s="1"/>
      <c r="U2793" s="1"/>
      <c r="V2793" s="1"/>
      <c r="W2793" s="1"/>
      <c r="X2793" s="1"/>
      <c r="Y2793" s="1"/>
      <c r="Z2793" s="1"/>
      <c r="AA2793" s="1"/>
      <c r="AB2793" s="1"/>
      <c r="AC2793" s="1"/>
      <c r="AD2793" s="1"/>
      <c r="AE2793" s="1"/>
      <c r="AF2793" s="1"/>
      <c r="AG2793" s="1"/>
      <c r="AH2793" s="1"/>
      <c r="AI2793" s="1"/>
      <c r="AJ2793" s="1"/>
      <c r="AK2793" s="1"/>
      <c r="AL2793" s="1"/>
      <c r="AM2793" s="1"/>
      <c r="AN2793" s="1"/>
      <c r="AO2793" s="1"/>
      <c r="AP2793" s="1"/>
      <c r="AQ2793" s="1"/>
      <c r="AR2793" s="1"/>
      <c r="AS2793" s="1"/>
      <c r="AT2793" s="1"/>
      <c r="AU2793" s="1"/>
      <c r="AV2793" s="1"/>
      <c r="AW2793" s="1"/>
      <c r="AX2793" s="1"/>
      <c r="AY2793" s="1"/>
      <c r="AZ2793" s="1"/>
      <c r="BA2793" s="1"/>
      <c r="BB2793" s="1"/>
    </row>
    <row r="2794" ht="204.75" customHeight="1">
      <c r="A2794" s="1">
        <v>4502.0</v>
      </c>
      <c r="B2794" s="2" t="s">
        <v>8522</v>
      </c>
      <c r="C2794" s="2">
        <f>IFERROR(__xludf.DUMMYFUNCTION("split(B2794,""_"")"),1101.0)</f>
        <v>1101</v>
      </c>
      <c r="D2794" s="2" t="str">
        <f>IFERROR(__xludf.DUMMYFUNCTION("""COMPUTED_VALUE"""),"EX")</f>
        <v>EX</v>
      </c>
      <c r="E2794" s="2" t="str">
        <f>IFERROR(__xludf.DUMMYFUNCTION("""COMPUTED_VALUE"""),"金21")</f>
        <v>金21</v>
      </c>
      <c r="F2794" s="2" t="s">
        <v>8523</v>
      </c>
      <c r="G2794" s="16" t="s">
        <v>8540</v>
      </c>
      <c r="H2794" s="1">
        <v>8.0</v>
      </c>
      <c r="J2794" s="1" t="s">
        <v>11</v>
      </c>
      <c r="K2794" s="2" t="s">
        <v>8541</v>
      </c>
      <c r="L2794" s="11" t="s">
        <v>8529</v>
      </c>
      <c r="M2794" s="2" t="str">
        <f>IFERROR(__xludf.DUMMYFUNCTION("split(split(K2794,""高橋克典、"",false),""公式LINE"",false)"),"悪党と呼ばれる非情で切ない刑事たちが、巨悪を狩る!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f>
        <v>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v>
      </c>
      <c r="N2794" s="2"/>
      <c r="O2794" s="2"/>
      <c r="P2794" s="1"/>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c r="AN2794" s="1"/>
      <c r="AO2794" s="1"/>
      <c r="AP2794" s="1"/>
      <c r="AQ2794" s="1"/>
      <c r="AR2794" s="1"/>
      <c r="AS2794" s="1"/>
      <c r="AT2794" s="1"/>
      <c r="AU2794" s="1"/>
      <c r="AV2794" s="1"/>
      <c r="AW2794" s="1"/>
      <c r="AX2794" s="1"/>
      <c r="AY2794" s="1"/>
      <c r="AZ2794" s="1"/>
      <c r="BA2794" s="1"/>
      <c r="BB2794" s="1"/>
    </row>
    <row r="2795" ht="204.75" customHeight="1">
      <c r="A2795" s="1">
        <v>4513.0</v>
      </c>
      <c r="B2795" s="2" t="s">
        <v>8542</v>
      </c>
      <c r="C2795" s="2">
        <f>IFERROR(__xludf.DUMMYFUNCTION("split(B2795,""_"")"),1101.0)</f>
        <v>1101</v>
      </c>
      <c r="D2795" s="2" t="str">
        <f>IFERROR(__xludf.DUMMYFUNCTION("""COMPUTED_VALUE"""),"EX")</f>
        <v>EX</v>
      </c>
      <c r="E2795" s="2" t="str">
        <f>IFERROR(__xludf.DUMMYFUNCTION("""COMPUTED_VALUE"""),"金23")</f>
        <v>金23</v>
      </c>
      <c r="F2795" s="2" t="s">
        <v>8543</v>
      </c>
      <c r="G2795" s="2" t="s">
        <v>8544</v>
      </c>
      <c r="H2795" s="1">
        <v>1.0</v>
      </c>
      <c r="I2795" s="1" t="s">
        <v>2868</v>
      </c>
      <c r="J2795" s="1" t="s">
        <v>1435</v>
      </c>
      <c r="K2795" s="4" t="s">
        <v>8545</v>
      </c>
      <c r="L2795" s="11" t="s">
        <v>8546</v>
      </c>
      <c r="M2795" s="2" t="str">
        <f>IFERROR(__xludf.DUMMYFUNCTION("split(split(K2795,""相葉雅紀、"",false),""公式LINE"",false)"),"バーテンダーの道を歩むことをやめた天才バーテンダー・佐々倉溜(相葉雅紀)。そんな彼の前に“究極の一杯”を作るバーテンダーを捜し求める雑誌記者・来島美和(貫地谷しほり)が現れた!美和に押し切られ、美和の祖父・泰三(津川雅彦)にカクテルを出すもー。　")</f>
        <v>バーテンダーの道を歩むことをやめた天才バーテンダー・佐々倉溜(相葉雅紀)。そんな彼の前に“究極の一杯”を作るバーテンダーを捜し求める雑誌記者・来島美和(貫地谷しほり)が現れた!美和に押し切られ、美和の祖父・泰三(津川雅彦)にカクテルを出すもー。　</v>
      </c>
      <c r="N2795" s="2"/>
      <c r="O2795" s="2"/>
      <c r="P2795" s="1"/>
      <c r="Q2795" s="1"/>
      <c r="R2795" s="1"/>
      <c r="S2795" s="1"/>
      <c r="T2795" s="1"/>
      <c r="U2795" s="1"/>
      <c r="V2795" s="1"/>
      <c r="W2795" s="1"/>
      <c r="X2795" s="1"/>
      <c r="Y2795" s="1"/>
      <c r="Z2795" s="1"/>
      <c r="AA2795" s="1"/>
      <c r="AB2795" s="1"/>
      <c r="AC2795" s="1"/>
      <c r="AD2795" s="1"/>
      <c r="AE2795" s="1"/>
      <c r="AF2795" s="1"/>
      <c r="AG2795" s="1"/>
      <c r="AH2795" s="1"/>
      <c r="AI2795" s="1"/>
      <c r="AJ2795" s="1"/>
      <c r="AK2795" s="1"/>
      <c r="AL2795" s="1"/>
      <c r="AM2795" s="1"/>
      <c r="AN2795" s="1"/>
      <c r="AO2795" s="1"/>
      <c r="AP2795" s="1"/>
      <c r="AQ2795" s="1"/>
      <c r="AR2795" s="1"/>
      <c r="AS2795" s="1"/>
      <c r="AT2795" s="1"/>
      <c r="AU2795" s="1"/>
      <c r="AV2795" s="1"/>
      <c r="AW2795" s="1"/>
      <c r="AX2795" s="1"/>
      <c r="AY2795" s="1"/>
      <c r="AZ2795" s="1"/>
      <c r="BA2795" s="1"/>
      <c r="BB2795" s="1"/>
    </row>
    <row r="2796" ht="204.75" customHeight="1">
      <c r="A2796" s="1">
        <v>4514.0</v>
      </c>
      <c r="B2796" s="2" t="s">
        <v>8542</v>
      </c>
      <c r="C2796" s="2">
        <f>IFERROR(__xludf.DUMMYFUNCTION("split(B2796,""_"")"),1101.0)</f>
        <v>1101</v>
      </c>
      <c r="D2796" s="2" t="str">
        <f>IFERROR(__xludf.DUMMYFUNCTION("""COMPUTED_VALUE"""),"EX")</f>
        <v>EX</v>
      </c>
      <c r="E2796" s="2" t="str">
        <f>IFERROR(__xludf.DUMMYFUNCTION("""COMPUTED_VALUE"""),"金23")</f>
        <v>金23</v>
      </c>
      <c r="F2796" s="2" t="s">
        <v>8543</v>
      </c>
      <c r="G2796" s="2" t="s">
        <v>8547</v>
      </c>
      <c r="H2796" s="1">
        <v>2.0</v>
      </c>
      <c r="I2796" s="1" t="s">
        <v>2872</v>
      </c>
      <c r="J2796" s="1" t="s">
        <v>1435</v>
      </c>
      <c r="K2796" s="2" t="s">
        <v>8548</v>
      </c>
      <c r="L2796" s="11" t="s">
        <v>8549</v>
      </c>
      <c r="M2796" s="2" t="str">
        <f>IFERROR(__xludf.DUMMYFUNCTION("split(split(K2796,""相葉雅紀、"",false),""公式LINE"",false)"),"泰三(津川雅彦)は溜(相葉雅紀)と天才バーテンダー・葛原(金子ノブアキ)2人の腕を試すため、ホテルの記念パーティーでバーブースを担当させる。そんななか美和(貫地谷しほり)の友人・由香利(倉科カナ)が、恋人がいるにもかかわらず、溜に接近し…　")</f>
        <v>泰三(津川雅彦)は溜(相葉雅紀)と天才バーテンダー・葛原(金子ノブアキ)2人の腕を試すため、ホテルの記念パーティーでバーブースを担当させる。そんななか美和(貫地谷しほり)の友人・由香利(倉科カナ)が、恋人がいるにもかかわらず、溜に接近し…　</v>
      </c>
      <c r="N2796" s="2"/>
      <c r="O2796" s="2"/>
      <c r="P2796" s="1"/>
      <c r="Q2796" s="1"/>
      <c r="R2796" s="1"/>
      <c r="S2796" s="1"/>
      <c r="T2796" s="1"/>
      <c r="U2796" s="1"/>
      <c r="V2796" s="1"/>
      <c r="W2796" s="1"/>
      <c r="X2796" s="1"/>
      <c r="Y2796" s="1"/>
      <c r="Z2796" s="1"/>
      <c r="AA2796" s="1"/>
      <c r="AB2796" s="1"/>
      <c r="AC2796" s="1"/>
      <c r="AD2796" s="1"/>
      <c r="AE2796" s="1"/>
      <c r="AF2796" s="1"/>
      <c r="AG2796" s="1"/>
      <c r="AH2796" s="1"/>
      <c r="AI2796" s="1"/>
      <c r="AJ2796" s="1"/>
      <c r="AK2796" s="1"/>
      <c r="AL2796" s="1"/>
      <c r="AM2796" s="1"/>
      <c r="AN2796" s="1"/>
      <c r="AO2796" s="1"/>
      <c r="AP2796" s="1"/>
      <c r="AQ2796" s="1"/>
      <c r="AR2796" s="1"/>
      <c r="AS2796" s="1"/>
      <c r="AT2796" s="1"/>
      <c r="AU2796" s="1"/>
      <c r="AV2796" s="1"/>
      <c r="AW2796" s="1"/>
      <c r="AX2796" s="1"/>
      <c r="AY2796" s="1"/>
      <c r="AZ2796" s="1"/>
      <c r="BA2796" s="1"/>
      <c r="BB2796" s="1"/>
    </row>
    <row r="2797" ht="204.75" customHeight="1">
      <c r="A2797" s="1">
        <v>4515.0</v>
      </c>
      <c r="B2797" s="2" t="s">
        <v>8542</v>
      </c>
      <c r="C2797" s="2">
        <f>IFERROR(__xludf.DUMMYFUNCTION("split(B2797,""_"")"),1101.0)</f>
        <v>1101</v>
      </c>
      <c r="D2797" s="2" t="str">
        <f>IFERROR(__xludf.DUMMYFUNCTION("""COMPUTED_VALUE"""),"EX")</f>
        <v>EX</v>
      </c>
      <c r="E2797" s="2" t="str">
        <f>IFERROR(__xludf.DUMMYFUNCTION("""COMPUTED_VALUE"""),"金23")</f>
        <v>金23</v>
      </c>
      <c r="F2797" s="2" t="s">
        <v>8543</v>
      </c>
      <c r="G2797" s="2" t="s">
        <v>8550</v>
      </c>
      <c r="H2797" s="1">
        <v>3.0</v>
      </c>
      <c r="I2797" s="1" t="s">
        <v>2876</v>
      </c>
      <c r="J2797" s="1" t="s">
        <v>1435</v>
      </c>
      <c r="K2797" s="2" t="s">
        <v>8551</v>
      </c>
      <c r="L2797" s="11" t="s">
        <v>8552</v>
      </c>
      <c r="M2797" s="2" t="str">
        <f>IFERROR(__xludf.DUMMYFUNCTION("split(split(K2797,""相葉雅紀、"",false),""公式LINE"",false)"),"そんな中、「ラパン」に医師の織田(津田寛治)が来店する。織田の彼女は美和の上司・五木(池津祥子)。結婚を視野に入れている2人だが、溜はどうも何かが引っかかる。杉山はコンクールで優勝することが出来るか!?そして織田と五木の恋、美和の想いの行方は…!?　")</f>
        <v>そんな中、「ラパン」に医師の織田(津田寛治)が来店する。織田の彼女は美和の上司・五木(池津祥子)。結婚を視野に入れている2人だが、溜はどうも何かが引っかかる。杉山はコンクールで優勝することが出来るか!?そして織田と五木の恋、美和の想いの行方は…!?　</v>
      </c>
      <c r="N2797" s="2"/>
      <c r="O2797" s="2"/>
      <c r="P2797" s="1"/>
      <c r="Q2797" s="1"/>
      <c r="R2797" s="1"/>
      <c r="S2797" s="1"/>
      <c r="T2797" s="1"/>
      <c r="U2797" s="1"/>
      <c r="V2797" s="1"/>
      <c r="W2797" s="1"/>
      <c r="X2797" s="1"/>
      <c r="Y2797" s="1"/>
      <c r="Z2797" s="1"/>
      <c r="AA2797" s="1"/>
      <c r="AB2797" s="1"/>
      <c r="AC2797" s="1"/>
      <c r="AD2797" s="1"/>
      <c r="AE2797" s="1"/>
      <c r="AF2797" s="1"/>
      <c r="AG2797" s="1"/>
      <c r="AH2797" s="1"/>
      <c r="AI2797" s="1"/>
      <c r="AJ2797" s="1"/>
      <c r="AK2797" s="1"/>
      <c r="AL2797" s="1"/>
      <c r="AM2797" s="1"/>
      <c r="AN2797" s="1"/>
      <c r="AO2797" s="1"/>
      <c r="AP2797" s="1"/>
      <c r="AQ2797" s="1"/>
      <c r="AR2797" s="1"/>
      <c r="AS2797" s="1"/>
      <c r="AT2797" s="1"/>
      <c r="AU2797" s="1"/>
      <c r="AV2797" s="1"/>
      <c r="AW2797" s="1"/>
      <c r="AX2797" s="1"/>
      <c r="AY2797" s="1"/>
      <c r="AZ2797" s="1"/>
      <c r="BA2797" s="1"/>
      <c r="BB2797" s="1"/>
    </row>
    <row r="2798" ht="204.75" customHeight="1">
      <c r="A2798" s="1">
        <v>4516.0</v>
      </c>
      <c r="B2798" s="2" t="s">
        <v>8542</v>
      </c>
      <c r="C2798" s="2">
        <f>IFERROR(__xludf.DUMMYFUNCTION("split(B2798,""_"")"),1101.0)</f>
        <v>1101</v>
      </c>
      <c r="D2798" s="2" t="str">
        <f>IFERROR(__xludf.DUMMYFUNCTION("""COMPUTED_VALUE"""),"EX")</f>
        <v>EX</v>
      </c>
      <c r="E2798" s="2" t="str">
        <f>IFERROR(__xludf.DUMMYFUNCTION("""COMPUTED_VALUE"""),"金23")</f>
        <v>金23</v>
      </c>
      <c r="F2798" s="2" t="s">
        <v>8543</v>
      </c>
      <c r="G2798" s="2" t="s">
        <v>8553</v>
      </c>
      <c r="H2798" s="1">
        <v>4.0</v>
      </c>
      <c r="I2798" s="1" t="s">
        <v>2880</v>
      </c>
      <c r="J2798" s="1" t="s">
        <v>1435</v>
      </c>
      <c r="K2798" s="2" t="s">
        <v>8554</v>
      </c>
      <c r="L2798" s="11" t="s">
        <v>8555</v>
      </c>
      <c r="M2798" s="2" t="str">
        <f>IFERROR(__xludf.DUMMYFUNCTION("split(split(K2798,""相葉雅紀、"",false),""公式LINE"",false)"),"溜は北方に反感を覚える…溜と北方はどんな関係なのか!? 独自調査して2人の関係性を知った美和は、今度は溜がフランスから突然帰国した理由が気になる。一方、溜は偶然にも亜希と再会。ある事情を抱えた亜希に、溜はどんなカクテルと言葉を差し出すのかーー!?　")</f>
        <v>溜は北方に反感を覚える…溜と北方はどんな関係なのか!? 独自調査して2人の関係性を知った美和は、今度は溜がフランスから突然帰国した理由が気になる。一方、溜は偶然にも亜希と再会。ある事情を抱えた亜希に、溜はどんなカクテルと言葉を差し出すのかーー!?　</v>
      </c>
      <c r="N2798" s="2"/>
      <c r="O2798" s="2"/>
      <c r="P2798" s="1"/>
      <c r="Q2798" s="1"/>
      <c r="R2798" s="1"/>
      <c r="S2798" s="1"/>
      <c r="T2798" s="1"/>
      <c r="U2798" s="1"/>
      <c r="V2798" s="1"/>
      <c r="W2798" s="1"/>
      <c r="X2798" s="1"/>
      <c r="Y2798" s="1"/>
      <c r="Z2798" s="1"/>
      <c r="AA2798" s="1"/>
      <c r="AB2798" s="1"/>
      <c r="AC2798" s="1"/>
      <c r="AD2798" s="1"/>
      <c r="AE2798" s="1"/>
      <c r="AF2798" s="1"/>
      <c r="AG2798" s="1"/>
      <c r="AH2798" s="1"/>
      <c r="AI2798" s="1"/>
      <c r="AJ2798" s="1"/>
      <c r="AK2798" s="1"/>
      <c r="AL2798" s="1"/>
      <c r="AM2798" s="1"/>
      <c r="AN2798" s="1"/>
      <c r="AO2798" s="1"/>
      <c r="AP2798" s="1"/>
      <c r="AQ2798" s="1"/>
      <c r="AR2798" s="1"/>
      <c r="AS2798" s="1"/>
      <c r="AT2798" s="1"/>
      <c r="AU2798" s="1"/>
      <c r="AV2798" s="1"/>
      <c r="AW2798" s="1"/>
      <c r="AX2798" s="1"/>
      <c r="AY2798" s="1"/>
      <c r="AZ2798" s="1"/>
      <c r="BA2798" s="1"/>
      <c r="BB2798" s="1"/>
    </row>
    <row r="2799" ht="204.75" customHeight="1">
      <c r="A2799" s="1">
        <v>4517.0</v>
      </c>
      <c r="B2799" s="2" t="s">
        <v>8542</v>
      </c>
      <c r="C2799" s="2">
        <f>IFERROR(__xludf.DUMMYFUNCTION("split(B2799,""_"")"),1101.0)</f>
        <v>1101</v>
      </c>
      <c r="D2799" s="2" t="str">
        <f>IFERROR(__xludf.DUMMYFUNCTION("""COMPUTED_VALUE"""),"EX")</f>
        <v>EX</v>
      </c>
      <c r="E2799" s="2" t="str">
        <f>IFERROR(__xludf.DUMMYFUNCTION("""COMPUTED_VALUE"""),"金23")</f>
        <v>金23</v>
      </c>
      <c r="F2799" s="2" t="s">
        <v>8543</v>
      </c>
      <c r="G2799" s="2" t="s">
        <v>8556</v>
      </c>
      <c r="H2799" s="1">
        <v>5.0</v>
      </c>
      <c r="I2799" s="1" t="s">
        <v>2884</v>
      </c>
      <c r="J2799" s="1" t="s">
        <v>1435</v>
      </c>
      <c r="K2799" s="2" t="s">
        <v>8557</v>
      </c>
      <c r="L2799" s="11" t="s">
        <v>8558</v>
      </c>
      <c r="M2799" s="2" t="str">
        <f>IFERROR(__xludf.DUMMYFUNCTION("split(split(K2799,""相葉雅紀、"",false),""公式LINE"",false)"),"同じころ、美和(貫地谷しほり)はピアニスト・マリ(芦名星)と偶然再開し、BAR「ラパン」へやって来る。早苗とマリは親子で、並々ならぬ確執がある様子。溜はこの親子のためによかれと思い、早苗のバーの名前と同じ名前のカクテルを作るが、マリに激怒される…!?　")</f>
        <v>同じころ、美和(貫地谷しほり)はピアニスト・マリ(芦名星)と偶然再開し、BAR「ラパン」へやって来る。早苗とマリは親子で、並々ならぬ確執がある様子。溜はこの親子のためによかれと思い、早苗のバーの名前と同じ名前のカクテルを作るが、マリに激怒される…!?　</v>
      </c>
      <c r="N2799" s="2"/>
      <c r="O2799" s="2"/>
      <c r="P2799" s="1"/>
      <c r="Q2799" s="1"/>
      <c r="R2799" s="1"/>
      <c r="S2799" s="1"/>
      <c r="T2799" s="1"/>
      <c r="U2799" s="1"/>
      <c r="V2799" s="1"/>
      <c r="W2799" s="1"/>
      <c r="X2799" s="1"/>
      <c r="Y2799" s="1"/>
      <c r="Z2799" s="1"/>
      <c r="AA2799" s="1"/>
      <c r="AB2799" s="1"/>
      <c r="AC2799" s="1"/>
      <c r="AD2799" s="1"/>
      <c r="AE2799" s="1"/>
      <c r="AF2799" s="1"/>
      <c r="AG2799" s="1"/>
      <c r="AH2799" s="1"/>
      <c r="AI2799" s="1"/>
      <c r="AJ2799" s="1"/>
      <c r="AK2799" s="1"/>
      <c r="AL2799" s="1"/>
      <c r="AM2799" s="1"/>
      <c r="AN2799" s="1"/>
      <c r="AO2799" s="1"/>
      <c r="AP2799" s="1"/>
      <c r="AQ2799" s="1"/>
      <c r="AR2799" s="1"/>
      <c r="AS2799" s="1"/>
      <c r="AT2799" s="1"/>
      <c r="AU2799" s="1"/>
      <c r="AV2799" s="1"/>
      <c r="AW2799" s="1"/>
      <c r="AX2799" s="1"/>
      <c r="AY2799" s="1"/>
      <c r="AZ2799" s="1"/>
      <c r="BA2799" s="1"/>
      <c r="BB2799" s="1"/>
    </row>
    <row r="2800" ht="204.75" customHeight="1">
      <c r="A2800" s="1">
        <v>4518.0</v>
      </c>
      <c r="B2800" s="2" t="s">
        <v>8542</v>
      </c>
      <c r="C2800" s="2">
        <f>IFERROR(__xludf.DUMMYFUNCTION("split(B2800,""_"")"),1101.0)</f>
        <v>1101</v>
      </c>
      <c r="D2800" s="2" t="str">
        <f>IFERROR(__xludf.DUMMYFUNCTION("""COMPUTED_VALUE"""),"EX")</f>
        <v>EX</v>
      </c>
      <c r="E2800" s="2" t="str">
        <f>IFERROR(__xludf.DUMMYFUNCTION("""COMPUTED_VALUE"""),"金23")</f>
        <v>金23</v>
      </c>
      <c r="F2800" s="2" t="s">
        <v>8543</v>
      </c>
      <c r="G2800" s="2" t="s">
        <v>8559</v>
      </c>
      <c r="H2800" s="1">
        <v>6.0</v>
      </c>
      <c r="I2800" s="1" t="s">
        <v>2888</v>
      </c>
      <c r="J2800" s="1" t="s">
        <v>1435</v>
      </c>
      <c r="K2800" s="2" t="s">
        <v>8560</v>
      </c>
      <c r="L2800" s="11" t="s">
        <v>8561</v>
      </c>
      <c r="M2800" s="2" t="str">
        <f>IFERROR(__xludf.DUMMYFUNCTION("split(split(K2800,""相葉雅紀、"",false),""公式LINE"",false)"),"「ホテルカーディナル」で行われるフランスフェアのため、加瀬とフレンチシェフ・山之内(大友康平)が凱旋来日する。山之内が食材をパリと同じもので揃えるよう無理難題を押しつけてきた。そのことを知った美和(貫地谷しほり)は、溜に山之内を「ラパン」でもてなして説得するよう頼むも…　")</f>
        <v>「ホテルカーディナル」で行われるフランスフェアのため、加瀬とフレンチシェフ・山之内(大友康平)が凱旋来日する。山之内が食材をパリと同じもので揃えるよう無理難題を押しつけてきた。そのことを知った美和(貫地谷しほり)は、溜に山之内を「ラパン」でもてなして説得するよう頼むも…　</v>
      </c>
      <c r="N2800" s="2"/>
      <c r="O2800" s="2"/>
      <c r="P2800" s="1"/>
      <c r="Q2800" s="1"/>
      <c r="R2800" s="1"/>
      <c r="S2800" s="1"/>
      <c r="T2800" s="1"/>
      <c r="U2800" s="1"/>
      <c r="V2800" s="1"/>
      <c r="W2800" s="1"/>
      <c r="X2800" s="1"/>
      <c r="Y2800" s="1"/>
      <c r="Z2800" s="1"/>
      <c r="AA2800" s="1"/>
      <c r="AB2800" s="1"/>
      <c r="AC2800" s="1"/>
      <c r="AD2800" s="1"/>
      <c r="AE2800" s="1"/>
      <c r="AF2800" s="1"/>
      <c r="AG2800" s="1"/>
      <c r="AH2800" s="1"/>
      <c r="AI2800" s="1"/>
      <c r="AJ2800" s="1"/>
      <c r="AK2800" s="1"/>
      <c r="AL2800" s="1"/>
      <c r="AM2800" s="1"/>
      <c r="AN2800" s="1"/>
      <c r="AO2800" s="1"/>
      <c r="AP2800" s="1"/>
      <c r="AQ2800" s="1"/>
      <c r="AR2800" s="1"/>
      <c r="AS2800" s="1"/>
      <c r="AT2800" s="1"/>
      <c r="AU2800" s="1"/>
      <c r="AV2800" s="1"/>
      <c r="AW2800" s="1"/>
      <c r="AX2800" s="1"/>
      <c r="AY2800" s="1"/>
      <c r="AZ2800" s="1"/>
      <c r="BA2800" s="1"/>
      <c r="BB2800" s="1"/>
    </row>
    <row r="2801" ht="204.75" customHeight="1">
      <c r="A2801" s="1">
        <v>4519.0</v>
      </c>
      <c r="B2801" s="2" t="s">
        <v>8542</v>
      </c>
      <c r="C2801" s="2">
        <f>IFERROR(__xludf.DUMMYFUNCTION("split(B2801,""_"")"),1101.0)</f>
        <v>1101</v>
      </c>
      <c r="D2801" s="2" t="str">
        <f>IFERROR(__xludf.DUMMYFUNCTION("""COMPUTED_VALUE"""),"EX")</f>
        <v>EX</v>
      </c>
      <c r="E2801" s="2" t="str">
        <f>IFERROR(__xludf.DUMMYFUNCTION("""COMPUTED_VALUE"""),"金23")</f>
        <v>金23</v>
      </c>
      <c r="F2801" s="2" t="s">
        <v>8543</v>
      </c>
      <c r="G2801" s="2" t="s">
        <v>8562</v>
      </c>
      <c r="H2801" s="1">
        <v>7.0</v>
      </c>
      <c r="I2801" s="1" t="s">
        <v>2892</v>
      </c>
      <c r="J2801" s="1" t="s">
        <v>1435</v>
      </c>
      <c r="K2801" s="2" t="s">
        <v>8563</v>
      </c>
      <c r="L2801" s="11" t="s">
        <v>8564</v>
      </c>
      <c r="M2801" s="2" t="str">
        <f>IFERROR(__xludf.DUMMYFUNCTION("split(split(K2801,""相葉雅紀、"",false),""公式LINE"",false)"),"そんな矢先、フランスフェアで葛原(金子ノブアキ)が加瀬(竹中直人)のサポートをすることに!葛原を「カーディナル」メインバーのチーフに!?美和は加瀬とちゃんと向き合うようにと溜を説得しようとするも…。溜は“本物のバーテンダー”への1歩を踏み出せるのか!?　")</f>
        <v>そんな矢先、フランスフェアで葛原(金子ノブアキ)が加瀬(竹中直人)のサポートをすることに!葛原を「カーディナル」メインバーのチーフに!?美和は加瀬とちゃんと向き合うようにと溜を説得しようとするも…。溜は“本物のバーテンダー”への1歩を踏み出せるのか!?　</v>
      </c>
      <c r="N2801" s="2"/>
      <c r="O2801" s="2"/>
      <c r="P2801" s="1"/>
      <c r="Q2801" s="1"/>
      <c r="R2801" s="1"/>
      <c r="S2801" s="1"/>
      <c r="T2801" s="1"/>
      <c r="U2801" s="1"/>
      <c r="V2801" s="1"/>
      <c r="W2801" s="1"/>
      <c r="X2801" s="1"/>
      <c r="Y2801" s="1"/>
      <c r="Z2801" s="1"/>
      <c r="AA2801" s="1"/>
      <c r="AB2801" s="1"/>
      <c r="AC2801" s="1"/>
      <c r="AD2801" s="1"/>
      <c r="AE2801" s="1"/>
      <c r="AF2801" s="1"/>
      <c r="AG2801" s="1"/>
      <c r="AH2801" s="1"/>
      <c r="AI2801" s="1"/>
      <c r="AJ2801" s="1"/>
      <c r="AK2801" s="1"/>
      <c r="AL2801" s="1"/>
      <c r="AM2801" s="1"/>
      <c r="AN2801" s="1"/>
      <c r="AO2801" s="1"/>
      <c r="AP2801" s="1"/>
      <c r="AQ2801" s="1"/>
      <c r="AR2801" s="1"/>
      <c r="AS2801" s="1"/>
      <c r="AT2801" s="1"/>
      <c r="AU2801" s="1"/>
      <c r="AV2801" s="1"/>
      <c r="AW2801" s="1"/>
      <c r="AX2801" s="1"/>
      <c r="AY2801" s="1"/>
      <c r="AZ2801" s="1"/>
      <c r="BA2801" s="1"/>
      <c r="BB2801" s="1"/>
    </row>
    <row r="2802" ht="204.75" customHeight="1">
      <c r="A2802" s="1">
        <v>4520.0</v>
      </c>
      <c r="B2802" s="2" t="s">
        <v>8542</v>
      </c>
      <c r="C2802" s="2">
        <f>IFERROR(__xludf.DUMMYFUNCTION("split(B2802,""_"")"),1101.0)</f>
        <v>1101</v>
      </c>
      <c r="D2802" s="2" t="str">
        <f>IFERROR(__xludf.DUMMYFUNCTION("""COMPUTED_VALUE"""),"EX")</f>
        <v>EX</v>
      </c>
      <c r="E2802" s="2" t="str">
        <f>IFERROR(__xludf.DUMMYFUNCTION("""COMPUTED_VALUE"""),"金23")</f>
        <v>金23</v>
      </c>
      <c r="F2802" s="2" t="s">
        <v>8543</v>
      </c>
      <c r="G2802" s="2" t="s">
        <v>8565</v>
      </c>
      <c r="H2802" s="1">
        <v>8.0</v>
      </c>
      <c r="J2802" s="1" t="s">
        <v>1435</v>
      </c>
      <c r="K2802" s="2" t="s">
        <v>8566</v>
      </c>
      <c r="L2802" s="11" t="s">
        <v>8567</v>
      </c>
      <c r="M2802" s="2" t="str">
        <f>IFERROR(__xludf.DUMMYFUNCTION("split(split(K2802,""相葉雅紀、"",false),""公式LINE"",false)"),"泰三(津川雅彦)の葬儀が終わった。「ホテルカーディナル」メインバーのチーフバーテンダーという一席しかないその座を狙い、葛原(金子ノブアキ)と対峙する。そして遂に、人選を任された溜の元師匠・加瀬(竹中直人)が決断を下す日がやってきた…。　")</f>
        <v>泰三(津川雅彦)の葬儀が終わった。「ホテルカーディナル」メインバーのチーフバーテンダーという一席しかないその座を狙い、葛原(金子ノブアキ)と対峙する。そして遂に、人選を任された溜の元師匠・加瀬(竹中直人)が決断を下す日がやってきた…。　</v>
      </c>
      <c r="N2802" s="2"/>
      <c r="O2802" s="2"/>
      <c r="P2802" s="1"/>
      <c r="Q2802" s="1"/>
      <c r="R2802" s="1"/>
      <c r="S2802" s="1"/>
      <c r="T2802" s="1"/>
      <c r="U2802" s="1"/>
      <c r="V2802" s="1"/>
      <c r="W2802" s="1"/>
      <c r="X2802" s="1"/>
      <c r="Y2802" s="1"/>
      <c r="Z2802" s="1"/>
      <c r="AA2802" s="1"/>
      <c r="AB2802" s="1"/>
      <c r="AC2802" s="1"/>
      <c r="AD2802" s="1"/>
      <c r="AE2802" s="1"/>
      <c r="AF2802" s="1"/>
      <c r="AG2802" s="1"/>
      <c r="AH2802" s="1"/>
      <c r="AI2802" s="1"/>
      <c r="AJ2802" s="1"/>
      <c r="AK2802" s="1"/>
      <c r="AL2802" s="1"/>
      <c r="AM2802" s="1"/>
      <c r="AN2802" s="1"/>
      <c r="AO2802" s="1"/>
      <c r="AP2802" s="1"/>
      <c r="AQ2802" s="1"/>
      <c r="AR2802" s="1"/>
      <c r="AS2802" s="1"/>
      <c r="AT2802" s="1"/>
      <c r="AU2802" s="1"/>
      <c r="AV2802" s="1"/>
      <c r="AW2802" s="1"/>
      <c r="AX2802" s="1"/>
      <c r="AY2802" s="1"/>
      <c r="AZ2802" s="1"/>
      <c r="BA2802" s="1"/>
      <c r="BB2802" s="1"/>
    </row>
    <row r="2803" ht="204.75" customHeight="1">
      <c r="A2803" s="1">
        <v>4541.0</v>
      </c>
      <c r="B2803" s="2" t="s">
        <v>8568</v>
      </c>
      <c r="C2803" s="2">
        <f>IFERROR(__xludf.DUMMYFUNCTION("split(B2803,""_"")"),1101.0)</f>
        <v>1101</v>
      </c>
      <c r="D2803" s="2" t="str">
        <f>IFERROR(__xludf.DUMMYFUNCTION("""COMPUTED_VALUE"""),"EX")</f>
        <v>EX</v>
      </c>
      <c r="E2803" s="2" t="str">
        <f>IFERROR(__xludf.DUMMYFUNCTION("""COMPUTED_VALUE"""),"日23")</f>
        <v>日23</v>
      </c>
      <c r="F2803" s="2" t="s">
        <v>8569</v>
      </c>
      <c r="G2803" s="2" t="s">
        <v>8570</v>
      </c>
      <c r="H2803" s="1">
        <v>1.0</v>
      </c>
      <c r="I2803" s="1" t="s">
        <v>2868</v>
      </c>
      <c r="J2803" s="1" t="s">
        <v>2429</v>
      </c>
      <c r="K2803" s="4" t="s">
        <v>8571</v>
      </c>
      <c r="L2803" s="11" t="s">
        <v>8572</v>
      </c>
      <c r="M2803" s="2" t="str">
        <f>IFERROR(__xludf.DUMMYFUNCTION("split(split(K2803,""徳重聡、"",false),""公式LINE"",false)"),"やくざなのに尖端恐怖症に悩まされている狩野(西村雅彦)は、恋人(三浦理恵子)のススメで病院を訪れるが、そこで彼を待っていた医者・伊良部一郎(徳重聡)と助手のマユミ(余貴美子)は、嫌がる狩野に無理矢理注射をする、トンデモ精神科医だった!?　")</f>
        <v>やくざなのに尖端恐怖症に悩まされている狩野(西村雅彦)は、恋人(三浦理恵子)のススメで病院を訪れるが、そこで彼を待っていた医者・伊良部一郎(徳重聡)と助手のマユミ(余貴美子)は、嫌がる狩野に無理矢理注射をする、トンデモ精神科医だった!?　</v>
      </c>
      <c r="N2803" s="2"/>
      <c r="O2803" s="2"/>
      <c r="P2803" s="1"/>
      <c r="Q2803" s="1"/>
      <c r="R2803" s="1"/>
      <c r="S2803" s="1"/>
      <c r="T2803" s="1"/>
      <c r="U2803" s="1"/>
      <c r="V2803" s="1"/>
      <c r="W2803" s="1"/>
      <c r="X2803" s="1"/>
      <c r="Y2803" s="1"/>
      <c r="Z2803" s="1"/>
      <c r="AA2803" s="1"/>
      <c r="AB2803" s="1"/>
      <c r="AC2803" s="1"/>
      <c r="AD2803" s="1"/>
      <c r="AE2803" s="1"/>
      <c r="AF2803" s="1"/>
      <c r="AG2803" s="1"/>
      <c r="AH2803" s="1"/>
      <c r="AI2803" s="1"/>
      <c r="AJ2803" s="1"/>
      <c r="AK2803" s="1"/>
      <c r="AL2803" s="1"/>
      <c r="AM2803" s="1"/>
      <c r="AN2803" s="1"/>
      <c r="AO2803" s="1"/>
      <c r="AP2803" s="1"/>
      <c r="AQ2803" s="1"/>
      <c r="AR2803" s="1"/>
      <c r="AS2803" s="1"/>
      <c r="AT2803" s="1"/>
      <c r="AU2803" s="1"/>
      <c r="AV2803" s="1"/>
      <c r="AW2803" s="1"/>
      <c r="AX2803" s="1"/>
      <c r="AY2803" s="1"/>
      <c r="AZ2803" s="1"/>
      <c r="BA2803" s="1"/>
      <c r="BB2803" s="1"/>
    </row>
    <row r="2804" ht="204.75" customHeight="1">
      <c r="A2804" s="1">
        <v>4542.0</v>
      </c>
      <c r="B2804" s="2" t="s">
        <v>8568</v>
      </c>
      <c r="C2804" s="2">
        <f>IFERROR(__xludf.DUMMYFUNCTION("split(B2804,""_"")"),1101.0)</f>
        <v>1101</v>
      </c>
      <c r="D2804" s="2" t="str">
        <f>IFERROR(__xludf.DUMMYFUNCTION("""COMPUTED_VALUE"""),"EX")</f>
        <v>EX</v>
      </c>
      <c r="E2804" s="2" t="str">
        <f>IFERROR(__xludf.DUMMYFUNCTION("""COMPUTED_VALUE"""),"日23")</f>
        <v>日23</v>
      </c>
      <c r="F2804" s="2" t="s">
        <v>8569</v>
      </c>
      <c r="G2804" s="2" t="s">
        <v>8573</v>
      </c>
      <c r="H2804" s="1">
        <v>2.0</v>
      </c>
      <c r="I2804" s="1" t="s">
        <v>2872</v>
      </c>
      <c r="J2804" s="1" t="s">
        <v>2429</v>
      </c>
      <c r="K2804" s="2" t="s">
        <v>8574</v>
      </c>
      <c r="L2804" s="10" t="s">
        <v>2775</v>
      </c>
      <c r="M2804" s="2" t="str">
        <f>IFERROR(__xludf.DUMMYFUNCTION("split(split(K2804,""徳重聡、"",false),""公式LINE"",false)"),"直木賞作家・奥田英朗著の話題作待望の連続ドラマ化!トンデモ精神科医伊良部一郎を演じるのは、連ドラ初主演の徳重聡。伊良部の奇想天外な治療法が悩める現代人を救う!?")</f>
        <v>直木賞作家・奥田英朗著の話題作待望の連続ドラマ化!トンデモ精神科医伊良部一郎を演じるのは、連ドラ初主演の徳重聡。伊良部の奇想天外な治療法が悩める現代人を救う!?</v>
      </c>
      <c r="N2804" s="2"/>
      <c r="O2804" s="2"/>
      <c r="P2804" s="1"/>
      <c r="Q2804" s="1"/>
      <c r="R2804" s="1"/>
      <c r="S2804" s="1"/>
      <c r="T2804" s="1"/>
      <c r="U2804" s="1"/>
      <c r="V2804" s="1"/>
      <c r="W2804" s="1"/>
      <c r="X2804" s="1"/>
      <c r="Y2804" s="1"/>
      <c r="Z2804" s="1"/>
      <c r="AA2804" s="1"/>
      <c r="AB2804" s="1"/>
      <c r="AC2804" s="1"/>
      <c r="AD2804" s="1"/>
      <c r="AE2804" s="1"/>
      <c r="AF2804" s="1"/>
      <c r="AG2804" s="1"/>
      <c r="AH2804" s="1"/>
      <c r="AI2804" s="1"/>
      <c r="AJ2804" s="1"/>
      <c r="AK2804" s="1"/>
      <c r="AL2804" s="1"/>
      <c r="AM2804" s="1"/>
      <c r="AN2804" s="1"/>
      <c r="AO2804" s="1"/>
      <c r="AP2804" s="1"/>
      <c r="AQ2804" s="1"/>
      <c r="AR2804" s="1"/>
      <c r="AS2804" s="1"/>
      <c r="AT2804" s="1"/>
      <c r="AU2804" s="1"/>
      <c r="AV2804" s="1"/>
      <c r="AW2804" s="1"/>
      <c r="AX2804" s="1"/>
      <c r="AY2804" s="1"/>
      <c r="AZ2804" s="1"/>
      <c r="BA2804" s="1"/>
      <c r="BB2804" s="1"/>
    </row>
    <row r="2805" ht="204.75" customHeight="1">
      <c r="A2805" s="1">
        <v>4543.0</v>
      </c>
      <c r="B2805" s="2" t="s">
        <v>8568</v>
      </c>
      <c r="C2805" s="2">
        <f>IFERROR(__xludf.DUMMYFUNCTION("split(B2805,""_"")"),1101.0)</f>
        <v>1101</v>
      </c>
      <c r="D2805" s="2" t="str">
        <f>IFERROR(__xludf.DUMMYFUNCTION("""COMPUTED_VALUE"""),"EX")</f>
        <v>EX</v>
      </c>
      <c r="E2805" s="2" t="str">
        <f>IFERROR(__xludf.DUMMYFUNCTION("""COMPUTED_VALUE"""),"日23")</f>
        <v>日23</v>
      </c>
      <c r="F2805" s="2" t="s">
        <v>8569</v>
      </c>
      <c r="G2805" s="2" t="s">
        <v>8575</v>
      </c>
      <c r="H2805" s="1">
        <v>3.0</v>
      </c>
      <c r="I2805" s="1" t="s">
        <v>2876</v>
      </c>
      <c r="J2805" s="1" t="s">
        <v>2429</v>
      </c>
      <c r="K2805" s="2" t="s">
        <v>8576</v>
      </c>
      <c r="L2805" s="10" t="s">
        <v>2775</v>
      </c>
      <c r="M2805" s="2" t="str">
        <f>IFERROR(__xludf.DUMMYFUNCTION("split(split(K2805,""徳重聡、"",false),""公式LINE"",false)"),"直木賞作家・奥田英朗著の話題作待望の連続ドラマ化!トンデモ精神科医伊良部一郎を演じるのは、連ドラ初主演の徳重聡。伊良部の奇想天外な治療法が悩める現代人を救う!?")</f>
        <v>直木賞作家・奥田英朗著の話題作待望の連続ドラマ化!トンデモ精神科医伊良部一郎を演じるのは、連ドラ初主演の徳重聡。伊良部の奇想天外な治療法が悩める現代人を救う!?</v>
      </c>
      <c r="N2805" s="2"/>
      <c r="O2805" s="2"/>
      <c r="P2805" s="1"/>
      <c r="Q2805" s="1"/>
      <c r="R2805" s="1"/>
      <c r="S2805" s="1"/>
      <c r="T2805" s="1"/>
      <c r="U2805" s="1"/>
      <c r="V2805" s="1"/>
      <c r="W2805" s="1"/>
      <c r="X2805" s="1"/>
      <c r="Y2805" s="1"/>
      <c r="Z2805" s="1"/>
      <c r="AA2805" s="1"/>
      <c r="AB2805" s="1"/>
      <c r="AC2805" s="1"/>
      <c r="AD2805" s="1"/>
      <c r="AE2805" s="1"/>
      <c r="AF2805" s="1"/>
      <c r="AG2805" s="1"/>
      <c r="AH2805" s="1"/>
      <c r="AI2805" s="1"/>
      <c r="AJ2805" s="1"/>
      <c r="AK2805" s="1"/>
      <c r="AL2805" s="1"/>
      <c r="AM2805" s="1"/>
      <c r="AN2805" s="1"/>
      <c r="AO2805" s="1"/>
      <c r="AP2805" s="1"/>
      <c r="AQ2805" s="1"/>
      <c r="AR2805" s="1"/>
      <c r="AS2805" s="1"/>
      <c r="AT2805" s="1"/>
      <c r="AU2805" s="1"/>
      <c r="AV2805" s="1"/>
      <c r="AW2805" s="1"/>
      <c r="AX2805" s="1"/>
      <c r="AY2805" s="1"/>
      <c r="AZ2805" s="1"/>
      <c r="BA2805" s="1"/>
      <c r="BB2805" s="1"/>
    </row>
    <row r="2806" ht="204.75" customHeight="1">
      <c r="A2806" s="1">
        <v>4544.0</v>
      </c>
      <c r="B2806" s="2" t="s">
        <v>8568</v>
      </c>
      <c r="C2806" s="2">
        <f>IFERROR(__xludf.DUMMYFUNCTION("split(B2806,""_"")"),1101.0)</f>
        <v>1101</v>
      </c>
      <c r="D2806" s="2" t="str">
        <f>IFERROR(__xludf.DUMMYFUNCTION("""COMPUTED_VALUE"""),"EX")</f>
        <v>EX</v>
      </c>
      <c r="E2806" s="2" t="str">
        <f>IFERROR(__xludf.DUMMYFUNCTION("""COMPUTED_VALUE"""),"日23")</f>
        <v>日23</v>
      </c>
      <c r="F2806" s="2" t="s">
        <v>8569</v>
      </c>
      <c r="G2806" s="2" t="s">
        <v>8577</v>
      </c>
      <c r="H2806" s="1">
        <v>4.0</v>
      </c>
      <c r="I2806" s="1" t="s">
        <v>2880</v>
      </c>
      <c r="J2806" s="1" t="s">
        <v>1435</v>
      </c>
      <c r="K2806" s="2" t="s">
        <v>8578</v>
      </c>
      <c r="L2806" s="10" t="s">
        <v>2775</v>
      </c>
      <c r="M2806" s="2" t="str">
        <f>IFERROR(__xludf.DUMMYFUNCTION("split(split(K2806,""徳重聡、"",false),""公式LINE"",false)"),"直木賞作家・奥田英朗著の話題作待望の連続ドラマ化!トンデモ精神科医伊良部一郎を演じるのは、連ドラ初主演の徳重聡。伊良部の奇想天外な治療法が悩める現代人を救う!?")</f>
        <v>直木賞作家・奥田英朗著の話題作待望の連続ドラマ化!トンデモ精神科医伊良部一郎を演じるのは、連ドラ初主演の徳重聡。伊良部の奇想天外な治療法が悩める現代人を救う!?</v>
      </c>
      <c r="N2806" s="2"/>
      <c r="O2806" s="2"/>
      <c r="P2806" s="1"/>
      <c r="Q2806" s="1"/>
      <c r="R2806" s="1"/>
      <c r="S2806" s="1"/>
      <c r="T2806" s="1"/>
      <c r="U2806" s="1"/>
      <c r="V2806" s="1"/>
      <c r="W2806" s="1"/>
      <c r="X2806" s="1"/>
      <c r="Y2806" s="1"/>
      <c r="Z2806" s="1"/>
      <c r="AA2806" s="1"/>
      <c r="AB2806" s="1"/>
      <c r="AC2806" s="1"/>
      <c r="AD2806" s="1"/>
      <c r="AE2806" s="1"/>
      <c r="AF2806" s="1"/>
      <c r="AG2806" s="1"/>
      <c r="AH2806" s="1"/>
      <c r="AI2806" s="1"/>
      <c r="AJ2806" s="1"/>
      <c r="AK2806" s="1"/>
      <c r="AL2806" s="1"/>
      <c r="AM2806" s="1"/>
      <c r="AN2806" s="1"/>
      <c r="AO2806" s="1"/>
      <c r="AP2806" s="1"/>
      <c r="AQ2806" s="1"/>
      <c r="AR2806" s="1"/>
      <c r="AS2806" s="1"/>
      <c r="AT2806" s="1"/>
      <c r="AU2806" s="1"/>
      <c r="AV2806" s="1"/>
      <c r="AW2806" s="1"/>
      <c r="AX2806" s="1"/>
      <c r="AY2806" s="1"/>
      <c r="AZ2806" s="1"/>
      <c r="BA2806" s="1"/>
      <c r="BB2806" s="1"/>
    </row>
    <row r="2807" ht="204.75" customHeight="1">
      <c r="A2807" s="1">
        <v>4545.0</v>
      </c>
      <c r="B2807" s="2" t="s">
        <v>8568</v>
      </c>
      <c r="C2807" s="2">
        <f>IFERROR(__xludf.DUMMYFUNCTION("split(B2807,""_"")"),1101.0)</f>
        <v>1101</v>
      </c>
      <c r="D2807" s="2" t="str">
        <f>IFERROR(__xludf.DUMMYFUNCTION("""COMPUTED_VALUE"""),"EX")</f>
        <v>EX</v>
      </c>
      <c r="E2807" s="2" t="str">
        <f>IFERROR(__xludf.DUMMYFUNCTION("""COMPUTED_VALUE"""),"日23")</f>
        <v>日23</v>
      </c>
      <c r="F2807" s="2" t="s">
        <v>8569</v>
      </c>
      <c r="G2807" s="2" t="s">
        <v>8579</v>
      </c>
      <c r="H2807" s="1">
        <v>5.0</v>
      </c>
      <c r="I2807" s="1" t="s">
        <v>2884</v>
      </c>
      <c r="J2807" s="1" t="s">
        <v>2429</v>
      </c>
      <c r="K2807" s="2" t="s">
        <v>8580</v>
      </c>
      <c r="L2807" s="10" t="s">
        <v>2775</v>
      </c>
      <c r="M2807" s="2" t="str">
        <f>IFERROR(__xludf.DUMMYFUNCTION("split(split(K2807,""徳重聡、"",false),""公式LINE"",false)"),"直木賞作家・奥田英朗著の話題作待望の連続ドラマ化!トンデモ精神科医伊良部一郎を演じるのは、連ドラ初主演の徳重聡。伊良部の奇想天外な治療法が悩める現代人を救う!?　")</f>
        <v>直木賞作家・奥田英朗著の話題作待望の連続ドラマ化!トンデモ精神科医伊良部一郎を演じるのは、連ドラ初主演の徳重聡。伊良部の奇想天外な治療法が悩める現代人を救う!?　</v>
      </c>
      <c r="N2807" s="2"/>
      <c r="O2807" s="2"/>
      <c r="P2807" s="1"/>
      <c r="Q2807" s="1"/>
      <c r="R2807" s="1"/>
      <c r="S2807" s="1"/>
      <c r="T2807" s="1"/>
      <c r="U2807" s="1"/>
      <c r="V2807" s="1"/>
      <c r="W2807" s="1"/>
      <c r="X2807" s="1"/>
      <c r="Y2807" s="1"/>
      <c r="Z2807" s="1"/>
      <c r="AA2807" s="1"/>
      <c r="AB2807" s="1"/>
      <c r="AC2807" s="1"/>
      <c r="AD2807" s="1"/>
      <c r="AE2807" s="1"/>
      <c r="AF2807" s="1"/>
      <c r="AG2807" s="1"/>
      <c r="AH2807" s="1"/>
      <c r="AI2807" s="1"/>
      <c r="AJ2807" s="1"/>
      <c r="AK2807" s="1"/>
      <c r="AL2807" s="1"/>
      <c r="AM2807" s="1"/>
      <c r="AN2807" s="1"/>
      <c r="AO2807" s="1"/>
      <c r="AP2807" s="1"/>
      <c r="AQ2807" s="1"/>
      <c r="AR2807" s="1"/>
      <c r="AS2807" s="1"/>
      <c r="AT2807" s="1"/>
      <c r="AU2807" s="1"/>
      <c r="AV2807" s="1"/>
      <c r="AW2807" s="1"/>
      <c r="AX2807" s="1"/>
      <c r="AY2807" s="1"/>
      <c r="AZ2807" s="1"/>
      <c r="BA2807" s="1"/>
      <c r="BB2807" s="1"/>
    </row>
    <row r="2808" ht="204.75" customHeight="1">
      <c r="A2808" s="1">
        <v>4546.0</v>
      </c>
      <c r="B2808" s="2" t="s">
        <v>8568</v>
      </c>
      <c r="C2808" s="2">
        <f>IFERROR(__xludf.DUMMYFUNCTION("split(B2808,""_"")"),1101.0)</f>
        <v>1101</v>
      </c>
      <c r="D2808" s="2" t="str">
        <f>IFERROR(__xludf.DUMMYFUNCTION("""COMPUTED_VALUE"""),"EX")</f>
        <v>EX</v>
      </c>
      <c r="E2808" s="2" t="str">
        <f>IFERROR(__xludf.DUMMYFUNCTION("""COMPUTED_VALUE"""),"日23")</f>
        <v>日23</v>
      </c>
      <c r="F2808" s="2" t="s">
        <v>8569</v>
      </c>
      <c r="G2808" s="2" t="s">
        <v>8581</v>
      </c>
      <c r="H2808" s="1">
        <v>6.0</v>
      </c>
      <c r="I2808" s="1" t="s">
        <v>2888</v>
      </c>
      <c r="J2808" s="1" t="s">
        <v>1435</v>
      </c>
      <c r="K2808" s="2" t="s">
        <v>8582</v>
      </c>
      <c r="L2808" s="10" t="s">
        <v>2775</v>
      </c>
      <c r="M2808" s="2" t="str">
        <f>IFERROR(__xludf.DUMMYFUNCTION("split(split(K2808,""徳重聡、"",false),""公式LINE"",false)"),"直木賞作家・奥田英朗著の話題作待望の連続ドラマ化!トンデモ精神科医伊良部一郎を演じるのは、連ドラ初主演の徳重聡。伊良部の奇想天外な治療法が悩める現代人を救う!?　")</f>
        <v>直木賞作家・奥田英朗著の話題作待望の連続ドラマ化!トンデモ精神科医伊良部一郎を演じるのは、連ドラ初主演の徳重聡。伊良部の奇想天外な治療法が悩める現代人を救う!?　</v>
      </c>
      <c r="N2808" s="2"/>
      <c r="O2808" s="2"/>
      <c r="P2808" s="1"/>
      <c r="Q2808" s="1"/>
      <c r="R2808" s="1"/>
      <c r="S2808" s="1"/>
      <c r="T2808" s="1"/>
      <c r="U2808" s="1"/>
      <c r="V2808" s="1"/>
      <c r="W2808" s="1"/>
      <c r="X2808" s="1"/>
      <c r="Y2808" s="1"/>
      <c r="Z2808" s="1"/>
      <c r="AA2808" s="1"/>
      <c r="AB2808" s="1"/>
      <c r="AC2808" s="1"/>
      <c r="AD2808" s="1"/>
      <c r="AE2808" s="1"/>
      <c r="AF2808" s="1"/>
      <c r="AG2808" s="1"/>
      <c r="AH2808" s="1"/>
      <c r="AI2808" s="1"/>
      <c r="AJ2808" s="1"/>
      <c r="AK2808" s="1"/>
      <c r="AL2808" s="1"/>
      <c r="AM2808" s="1"/>
      <c r="AN2808" s="1"/>
      <c r="AO2808" s="1"/>
      <c r="AP2808" s="1"/>
      <c r="AQ2808" s="1"/>
      <c r="AR2808" s="1"/>
      <c r="AS2808" s="1"/>
      <c r="AT2808" s="1"/>
      <c r="AU2808" s="1"/>
      <c r="AV2808" s="1"/>
      <c r="AW2808" s="1"/>
      <c r="AX2808" s="1"/>
      <c r="AY2808" s="1"/>
      <c r="AZ2808" s="1"/>
      <c r="BA2808" s="1"/>
      <c r="BB2808" s="1"/>
    </row>
    <row r="2809" ht="204.75" customHeight="1">
      <c r="A2809" s="1">
        <v>4547.0</v>
      </c>
      <c r="B2809" s="2" t="s">
        <v>8568</v>
      </c>
      <c r="C2809" s="2">
        <f>IFERROR(__xludf.DUMMYFUNCTION("split(B2809,""_"")"),1101.0)</f>
        <v>1101</v>
      </c>
      <c r="D2809" s="2" t="str">
        <f>IFERROR(__xludf.DUMMYFUNCTION("""COMPUTED_VALUE"""),"EX")</f>
        <v>EX</v>
      </c>
      <c r="E2809" s="2" t="str">
        <f>IFERROR(__xludf.DUMMYFUNCTION("""COMPUTED_VALUE"""),"日23")</f>
        <v>日23</v>
      </c>
      <c r="F2809" s="2" t="s">
        <v>8569</v>
      </c>
      <c r="G2809" s="2" t="s">
        <v>8583</v>
      </c>
      <c r="H2809" s="1">
        <v>7.0</v>
      </c>
      <c r="I2809" s="1" t="s">
        <v>2892</v>
      </c>
      <c r="J2809" s="1" t="s">
        <v>2429</v>
      </c>
      <c r="K2809" s="2" t="s">
        <v>8584</v>
      </c>
      <c r="L2809" s="10" t="s">
        <v>2775</v>
      </c>
      <c r="M2809" s="2" t="str">
        <f>IFERROR(__xludf.DUMMYFUNCTION("split(split(K2809,""徳重聡、"",false),""公式LINE"",false)"),"直木賞作家・奥田英朗著の話題作待望の連続ドラマ化!トンデモ精神科医伊良部一郎を演じるのは、連ドラ初主演の徳重聡。伊良部の奇想天外な治療法が悩める現代人を救う!?　")</f>
        <v>直木賞作家・奥田英朗著の話題作待望の連続ドラマ化!トンデモ精神科医伊良部一郎を演じるのは、連ドラ初主演の徳重聡。伊良部の奇想天外な治療法が悩める現代人を救う!?　</v>
      </c>
      <c r="N2809" s="2"/>
      <c r="O2809" s="2"/>
      <c r="P2809" s="1"/>
      <c r="Q2809" s="1"/>
      <c r="R2809" s="1"/>
      <c r="S2809" s="1"/>
      <c r="T2809" s="1"/>
      <c r="U2809" s="1"/>
      <c r="V2809" s="1"/>
      <c r="W2809" s="1"/>
      <c r="X2809" s="1"/>
      <c r="Y2809" s="1"/>
      <c r="Z2809" s="1"/>
      <c r="AA2809" s="1"/>
      <c r="AB2809" s="1"/>
      <c r="AC2809" s="1"/>
      <c r="AD2809" s="1"/>
      <c r="AE2809" s="1"/>
      <c r="AF2809" s="1"/>
      <c r="AG2809" s="1"/>
      <c r="AH2809" s="1"/>
      <c r="AI2809" s="1"/>
      <c r="AJ2809" s="1"/>
      <c r="AK2809" s="1"/>
      <c r="AL2809" s="1"/>
      <c r="AM2809" s="1"/>
      <c r="AN2809" s="1"/>
      <c r="AO2809" s="1"/>
      <c r="AP2809" s="1"/>
      <c r="AQ2809" s="1"/>
      <c r="AR2809" s="1"/>
      <c r="AS2809" s="1"/>
      <c r="AT2809" s="1"/>
      <c r="AU2809" s="1"/>
      <c r="AV2809" s="1"/>
      <c r="AW2809" s="1"/>
      <c r="AX2809" s="1"/>
      <c r="AY2809" s="1"/>
      <c r="AZ2809" s="1"/>
      <c r="BA2809" s="1"/>
      <c r="BB2809" s="1"/>
    </row>
    <row r="2810" ht="204.75" customHeight="1">
      <c r="A2810" s="1">
        <v>4548.0</v>
      </c>
      <c r="B2810" s="2" t="s">
        <v>8568</v>
      </c>
      <c r="C2810" s="2">
        <f>IFERROR(__xludf.DUMMYFUNCTION("split(B2810,""_"")"),1101.0)</f>
        <v>1101</v>
      </c>
      <c r="D2810" s="2" t="str">
        <f>IFERROR(__xludf.DUMMYFUNCTION("""COMPUTED_VALUE"""),"EX")</f>
        <v>EX</v>
      </c>
      <c r="E2810" s="2" t="str">
        <f>IFERROR(__xludf.DUMMYFUNCTION("""COMPUTED_VALUE"""),"日23")</f>
        <v>日23</v>
      </c>
      <c r="F2810" s="2" t="s">
        <v>8569</v>
      </c>
      <c r="G2810" s="2" t="s">
        <v>8585</v>
      </c>
      <c r="H2810" s="1">
        <v>8.0</v>
      </c>
      <c r="J2810" s="1" t="s">
        <v>2429</v>
      </c>
      <c r="K2810" s="2" t="s">
        <v>8586</v>
      </c>
      <c r="L2810" s="10" t="s">
        <v>2775</v>
      </c>
      <c r="M2810" s="2" t="str">
        <f>IFERROR(__xludf.DUMMYFUNCTION("split(split(K2810,""徳重聡、"",false),""公式LINE"",false)"),"直木賞作家・奥田英朗著の話題作待望の連続ドラマ化!トンデモ精神科医伊良部一郎を演じるのは、連ドラ初主演の徳重聡。伊良部の奇想天外な治療法が悩める現代人を救う!?　")</f>
        <v>直木賞作家・奥田英朗著の話題作待望の連続ドラマ化!トンデモ精神科医伊良部一郎を演じるのは、連ドラ初主演の徳重聡。伊良部の奇想天外な治療法が悩める現代人を救う!?　</v>
      </c>
      <c r="N2810" s="2"/>
      <c r="O2810" s="2"/>
      <c r="P2810" s="1"/>
      <c r="Q2810" s="1"/>
      <c r="R2810" s="1"/>
      <c r="S2810" s="1"/>
      <c r="T2810" s="1"/>
      <c r="U2810" s="1"/>
      <c r="V2810" s="1"/>
      <c r="W2810" s="1"/>
      <c r="X2810" s="1"/>
      <c r="Y2810" s="1"/>
      <c r="Z2810" s="1"/>
      <c r="AA2810" s="1"/>
      <c r="AB2810" s="1"/>
      <c r="AC2810" s="1"/>
      <c r="AD2810" s="1"/>
      <c r="AE2810" s="1"/>
      <c r="AF2810" s="1"/>
      <c r="AG2810" s="1"/>
      <c r="AH2810" s="1"/>
      <c r="AI2810" s="1"/>
      <c r="AJ2810" s="1"/>
      <c r="AK2810" s="1"/>
      <c r="AL2810" s="1"/>
      <c r="AM2810" s="1"/>
      <c r="AN2810" s="1"/>
      <c r="AO2810" s="1"/>
      <c r="AP2810" s="1"/>
      <c r="AQ2810" s="1"/>
      <c r="AR2810" s="1"/>
      <c r="AS2810" s="1"/>
      <c r="AT2810" s="1"/>
      <c r="AU2810" s="1"/>
      <c r="AV2810" s="1"/>
      <c r="AW2810" s="1"/>
      <c r="AX2810" s="1"/>
      <c r="AY2810" s="1"/>
      <c r="AZ2810" s="1"/>
      <c r="BA2810" s="1"/>
      <c r="BB2810" s="1"/>
    </row>
    <row r="2811" ht="204.75" customHeight="1">
      <c r="A2811" s="1">
        <v>4585.0</v>
      </c>
      <c r="B2811" s="2" t="s">
        <v>8587</v>
      </c>
      <c r="C2811" s="2">
        <f>IFERROR(__xludf.DUMMYFUNCTION("split(B2811,""_"")"),1010.0)</f>
        <v>1010</v>
      </c>
      <c r="D2811" s="2" t="str">
        <f>IFERROR(__xludf.DUMMYFUNCTION("""COMPUTED_VALUE"""),"EX")</f>
        <v>EX</v>
      </c>
      <c r="E2811" s="2" t="str">
        <f>IFERROR(__xludf.DUMMYFUNCTION("""COMPUTED_VALUE"""),"木21")</f>
        <v>木21</v>
      </c>
      <c r="F2811" s="2" t="s">
        <v>8588</v>
      </c>
      <c r="G2811" s="2" t="s">
        <v>8589</v>
      </c>
      <c r="H2811" s="1">
        <v>1.0</v>
      </c>
      <c r="I2811" s="1" t="s">
        <v>2868</v>
      </c>
      <c r="J2811" s="1" t="s">
        <v>4</v>
      </c>
      <c r="K2811" s="4" t="s">
        <v>8590</v>
      </c>
      <c r="L2811" s="11" t="s">
        <v>8591</v>
      </c>
      <c r="M2811" s="2" t="str">
        <f>IFERROR(__xludf.DUMMYFUNCTION("split(split(K2811,""米倉涼子、"",false),""公式LINE"",false)"),"西伊豆税務署に勤めていた松平松子(米倉涼子)は手腕を買われ東京国税局へ異動に…  東京のホストクラブ・フィナーレ。そこにはドレス姿の松子が。ナンバーワンホスト(金児憲史)に近づく。同じ頃東京国税局査察部ではフィナーレに対しガサ入れの準備が整えられていた…。　")</f>
        <v>西伊豆税務署に勤めていた松平松子(米倉涼子)は手腕を買われ東京国税局へ異動に…  東京のホストクラブ・フィナーレ。そこにはドレス姿の松子が。ナンバーワンホスト(金児憲史)に近づく。同じ頃東京国税局査察部ではフィナーレに対しガサ入れの準備が整えられていた…。　</v>
      </c>
      <c r="N2811" s="2"/>
      <c r="O2811" s="2"/>
      <c r="P2811" s="1"/>
      <c r="Q2811" s="1"/>
      <c r="R2811" s="1"/>
      <c r="S2811" s="1"/>
      <c r="T2811" s="1"/>
      <c r="U2811" s="1"/>
      <c r="V2811" s="1"/>
      <c r="W2811" s="1"/>
      <c r="X2811" s="1"/>
      <c r="Y2811" s="1"/>
      <c r="Z2811" s="1"/>
      <c r="AA2811" s="1"/>
      <c r="AB2811" s="1"/>
      <c r="AC2811" s="1"/>
      <c r="AD2811" s="1"/>
      <c r="AE2811" s="1"/>
      <c r="AF2811" s="1"/>
      <c r="AG2811" s="1"/>
      <c r="AH2811" s="1"/>
      <c r="AI2811" s="1"/>
      <c r="AJ2811" s="1"/>
      <c r="AK2811" s="1"/>
      <c r="AL2811" s="1"/>
      <c r="AM2811" s="1"/>
      <c r="AN2811" s="1"/>
      <c r="AO2811" s="1"/>
      <c r="AP2811" s="1"/>
      <c r="AQ2811" s="1"/>
      <c r="AR2811" s="1"/>
      <c r="AS2811" s="1"/>
      <c r="AT2811" s="1"/>
      <c r="AU2811" s="1"/>
      <c r="AV2811" s="1"/>
      <c r="AW2811" s="1"/>
      <c r="AX2811" s="1"/>
      <c r="AY2811" s="1"/>
      <c r="AZ2811" s="1"/>
      <c r="BA2811" s="1"/>
      <c r="BB2811" s="1"/>
    </row>
    <row r="2812" ht="204.75" customHeight="1">
      <c r="A2812" s="1">
        <v>4586.0</v>
      </c>
      <c r="B2812" s="2" t="s">
        <v>8587</v>
      </c>
      <c r="C2812" s="2">
        <f>IFERROR(__xludf.DUMMYFUNCTION("split(B2812,""_"")"),1010.0)</f>
        <v>1010</v>
      </c>
      <c r="D2812" s="2" t="str">
        <f>IFERROR(__xludf.DUMMYFUNCTION("""COMPUTED_VALUE"""),"EX")</f>
        <v>EX</v>
      </c>
      <c r="E2812" s="2" t="str">
        <f>IFERROR(__xludf.DUMMYFUNCTION("""COMPUTED_VALUE"""),"木21")</f>
        <v>木21</v>
      </c>
      <c r="F2812" s="2" t="s">
        <v>8588</v>
      </c>
      <c r="G2812" s="2" t="s">
        <v>8592</v>
      </c>
      <c r="H2812" s="1">
        <v>2.0</v>
      </c>
      <c r="I2812" s="1" t="s">
        <v>2872</v>
      </c>
      <c r="J2812" s="1" t="s">
        <v>11</v>
      </c>
      <c r="K2812" s="2" t="s">
        <v>8593</v>
      </c>
      <c r="L2812" s="11" t="s">
        <v>8594</v>
      </c>
      <c r="M2812" s="2" t="str">
        <f>IFERROR(__xludf.DUMMYFUNCTION("split(split(K2812,""米倉涼子、"",false),""公式LINE"",false)"),"経営コンサルタント、桐島まどか(森口瑤子)の講演が東京国税局で開かれる。彼女のツイッターで語られる豪華な暮らしぶりに、松子は「脱税してません?」と詰め寄る。だがその後の内偵調査は証拠不十分で打ち切りに…そんな中、松子はまどかの敏腕税理士・白石徹(佐野史郎)に近づく。　")</f>
        <v>経営コンサルタント、桐島まどか(森口瑤子)の講演が東京国税局で開かれる。彼女のツイッターで語られる豪華な暮らしぶりに、松子は「脱税してません?」と詰め寄る。だがその後の内偵調査は証拠不十分で打ち切りに…そんな中、松子はまどかの敏腕税理士・白石徹(佐野史郎)に近づく。　</v>
      </c>
      <c r="N2812" s="2"/>
      <c r="O2812" s="2"/>
      <c r="P2812" s="1"/>
      <c r="Q2812" s="1"/>
      <c r="R2812" s="1"/>
      <c r="S2812" s="1"/>
      <c r="T2812" s="1"/>
      <c r="U2812" s="1"/>
      <c r="V2812" s="1"/>
      <c r="W2812" s="1"/>
      <c r="X2812" s="1"/>
      <c r="Y2812" s="1"/>
      <c r="Z2812" s="1"/>
      <c r="AA2812" s="1"/>
      <c r="AB2812" s="1"/>
      <c r="AC2812" s="1"/>
      <c r="AD2812" s="1"/>
      <c r="AE2812" s="1"/>
      <c r="AF2812" s="1"/>
      <c r="AG2812" s="1"/>
      <c r="AH2812" s="1"/>
      <c r="AI2812" s="1"/>
      <c r="AJ2812" s="1"/>
      <c r="AK2812" s="1"/>
      <c r="AL2812" s="1"/>
      <c r="AM2812" s="1"/>
      <c r="AN2812" s="1"/>
      <c r="AO2812" s="1"/>
      <c r="AP2812" s="1"/>
      <c r="AQ2812" s="1"/>
      <c r="AR2812" s="1"/>
      <c r="AS2812" s="1"/>
      <c r="AT2812" s="1"/>
      <c r="AU2812" s="1"/>
      <c r="AV2812" s="1"/>
      <c r="AW2812" s="1"/>
      <c r="AX2812" s="1"/>
      <c r="AY2812" s="1"/>
      <c r="AZ2812" s="1"/>
      <c r="BA2812" s="1"/>
      <c r="BB2812" s="1"/>
    </row>
    <row r="2813" ht="204.75" customHeight="1">
      <c r="A2813" s="1">
        <v>4587.0</v>
      </c>
      <c r="B2813" s="2" t="s">
        <v>8587</v>
      </c>
      <c r="C2813" s="2">
        <f>IFERROR(__xludf.DUMMYFUNCTION("split(B2813,""_"")"),1010.0)</f>
        <v>1010</v>
      </c>
      <c r="D2813" s="2" t="str">
        <f>IFERROR(__xludf.DUMMYFUNCTION("""COMPUTED_VALUE"""),"EX")</f>
        <v>EX</v>
      </c>
      <c r="E2813" s="2" t="str">
        <f>IFERROR(__xludf.DUMMYFUNCTION("""COMPUTED_VALUE"""),"木21")</f>
        <v>木21</v>
      </c>
      <c r="F2813" s="2" t="s">
        <v>8588</v>
      </c>
      <c r="G2813" s="2" t="s">
        <v>8595</v>
      </c>
      <c r="H2813" s="1">
        <v>3.0</v>
      </c>
      <c r="I2813" s="1" t="s">
        <v>2876</v>
      </c>
      <c r="J2813" s="1" t="s">
        <v>11</v>
      </c>
      <c r="K2813" s="2" t="s">
        <v>8596</v>
      </c>
      <c r="L2813" s="11" t="s">
        <v>8597</v>
      </c>
      <c r="M2813" s="2" t="str">
        <f>IFERROR(__xludf.DUMMYFUNCTION("split(split(K2813,""米倉涼子、"",false),""公式LINE"",false)"),"「裏口入学」「裏金」…名門私立・京徳学園に関するタレコミに目をつけた松子。しかし、政財界の子息が多く通う同校には触るなと釘をさされる。「脱税を見逃す奴は脱税する奴と同じ」松子は早速、独断で理事長の門倉要(石橋蓮司)に接触したり、お受験ママに扮して内偵を開始する。　")</f>
        <v>「裏口入学」「裏金」…名門私立・京徳学園に関するタレコミに目をつけた松子。しかし、政財界の子息が多く通う同校には触るなと釘をさされる。「脱税を見逃す奴は脱税する奴と同じ」松子は早速、独断で理事長の門倉要(石橋蓮司)に接触したり、お受験ママに扮して内偵を開始する。　</v>
      </c>
      <c r="N2813" s="2"/>
      <c r="O2813" s="2"/>
      <c r="P2813" s="1"/>
      <c r="Q2813" s="1"/>
      <c r="R2813" s="1"/>
      <c r="S2813" s="1"/>
      <c r="T2813" s="1"/>
      <c r="U2813" s="1"/>
      <c r="V2813" s="1"/>
      <c r="W2813" s="1"/>
      <c r="X2813" s="1"/>
      <c r="Y2813" s="1"/>
      <c r="Z2813" s="1"/>
      <c r="AA2813" s="1"/>
      <c r="AB2813" s="1"/>
      <c r="AC2813" s="1"/>
      <c r="AD2813" s="1"/>
      <c r="AE2813" s="1"/>
      <c r="AF2813" s="1"/>
      <c r="AG2813" s="1"/>
      <c r="AH2813" s="1"/>
      <c r="AI2813" s="1"/>
      <c r="AJ2813" s="1"/>
      <c r="AK2813" s="1"/>
      <c r="AL2813" s="1"/>
      <c r="AM2813" s="1"/>
      <c r="AN2813" s="1"/>
      <c r="AO2813" s="1"/>
      <c r="AP2813" s="1"/>
      <c r="AQ2813" s="1"/>
      <c r="AR2813" s="1"/>
      <c r="AS2813" s="1"/>
      <c r="AT2813" s="1"/>
      <c r="AU2813" s="1"/>
      <c r="AV2813" s="1"/>
      <c r="AW2813" s="1"/>
      <c r="AX2813" s="1"/>
      <c r="AY2813" s="1"/>
      <c r="AZ2813" s="1"/>
      <c r="BA2813" s="1"/>
      <c r="BB2813" s="1"/>
    </row>
    <row r="2814" ht="204.75" customHeight="1">
      <c r="A2814" s="1">
        <v>4588.0</v>
      </c>
      <c r="B2814" s="2" t="s">
        <v>8587</v>
      </c>
      <c r="C2814" s="2">
        <f>IFERROR(__xludf.DUMMYFUNCTION("split(B2814,""_"")"),1010.0)</f>
        <v>1010</v>
      </c>
      <c r="D2814" s="2" t="str">
        <f>IFERROR(__xludf.DUMMYFUNCTION("""COMPUTED_VALUE"""),"EX")</f>
        <v>EX</v>
      </c>
      <c r="E2814" s="2" t="str">
        <f>IFERROR(__xludf.DUMMYFUNCTION("""COMPUTED_VALUE"""),"木21")</f>
        <v>木21</v>
      </c>
      <c r="F2814" s="2" t="s">
        <v>8588</v>
      </c>
      <c r="G2814" s="2" t="s">
        <v>8598</v>
      </c>
      <c r="H2814" s="1">
        <v>4.0</v>
      </c>
      <c r="I2814" s="1" t="s">
        <v>2880</v>
      </c>
      <c r="J2814" s="1" t="s">
        <v>11</v>
      </c>
      <c r="K2814" s="2" t="s">
        <v>8599</v>
      </c>
      <c r="L2814" s="11" t="s">
        <v>8600</v>
      </c>
      <c r="M2814" s="2" t="str">
        <f>IFERROR(__xludf.DUMMYFUNCTION("split(split(K2814,""米倉涼子、"",false),""公式LINE"",false)"),"内偵で潜入した婚活パーティー。そこで松子は「母が果樹園にワイナリー、ビルまで持っている」という小田健太郎(塚地武雅)から金の匂いを嗅ぎとる。早速松子は山梨の小田宅へ。母親のタキ(佐々木すみ江)に花嫁候補と偽り接触。その夜、畑に現金を埋めるタキを目撃するが…　")</f>
        <v>内偵で潜入した婚活パーティー。そこで松子は「母が果樹園にワイナリー、ビルまで持っている」という小田健太郎(塚地武雅)から金の匂いを嗅ぎとる。早速松子は山梨の小田宅へ。母親のタキ(佐々木すみ江)に花嫁候補と偽り接触。その夜、畑に現金を埋めるタキを目撃するが…　</v>
      </c>
      <c r="N2814" s="2"/>
      <c r="O2814" s="2"/>
      <c r="P2814" s="1"/>
      <c r="Q2814" s="1"/>
      <c r="R2814" s="1"/>
      <c r="S2814" s="1"/>
      <c r="T2814" s="1"/>
      <c r="U2814" s="1"/>
      <c r="V2814" s="1"/>
      <c r="W2814" s="1"/>
      <c r="X2814" s="1"/>
      <c r="Y2814" s="1"/>
      <c r="Z2814" s="1"/>
      <c r="AA2814" s="1"/>
      <c r="AB2814" s="1"/>
      <c r="AC2814" s="1"/>
      <c r="AD2814" s="1"/>
      <c r="AE2814" s="1"/>
      <c r="AF2814" s="1"/>
      <c r="AG2814" s="1"/>
      <c r="AH2814" s="1"/>
      <c r="AI2814" s="1"/>
      <c r="AJ2814" s="1"/>
      <c r="AK2814" s="1"/>
      <c r="AL2814" s="1"/>
      <c r="AM2814" s="1"/>
      <c r="AN2814" s="1"/>
      <c r="AO2814" s="1"/>
      <c r="AP2814" s="1"/>
      <c r="AQ2814" s="1"/>
      <c r="AR2814" s="1"/>
      <c r="AS2814" s="1"/>
      <c r="AT2814" s="1"/>
      <c r="AU2814" s="1"/>
      <c r="AV2814" s="1"/>
      <c r="AW2814" s="1"/>
      <c r="AX2814" s="1"/>
      <c r="AY2814" s="1"/>
      <c r="AZ2814" s="1"/>
      <c r="BA2814" s="1"/>
      <c r="BB2814" s="1"/>
    </row>
    <row r="2815" ht="204.75" customHeight="1">
      <c r="A2815" s="1">
        <v>4589.0</v>
      </c>
      <c r="B2815" s="2" t="s">
        <v>8587</v>
      </c>
      <c r="C2815" s="2">
        <f>IFERROR(__xludf.DUMMYFUNCTION("split(B2815,""_"")"),1010.0)</f>
        <v>1010</v>
      </c>
      <c r="D2815" s="2" t="str">
        <f>IFERROR(__xludf.DUMMYFUNCTION("""COMPUTED_VALUE"""),"EX")</f>
        <v>EX</v>
      </c>
      <c r="E2815" s="2" t="str">
        <f>IFERROR(__xludf.DUMMYFUNCTION("""COMPUTED_VALUE"""),"木21")</f>
        <v>木21</v>
      </c>
      <c r="F2815" s="2" t="s">
        <v>8588</v>
      </c>
      <c r="G2815" s="2" t="s">
        <v>8601</v>
      </c>
      <c r="H2815" s="1">
        <v>5.0</v>
      </c>
      <c r="I2815" s="1" t="s">
        <v>2884</v>
      </c>
      <c r="J2815" s="1" t="s">
        <v>11</v>
      </c>
      <c r="K2815" s="2" t="s">
        <v>8602</v>
      </c>
      <c r="L2815" s="11" t="s">
        <v>8603</v>
      </c>
      <c r="M2815" s="2" t="str">
        <f>IFERROR(__xludf.DUMMYFUNCTION("split(split(K2815,""米倉涼子、"",false),""公式LINE"",false)"),"松子と三木は建設会社の内偵で不正な現金の受け渡し現場を押さえる。強制調査にこぎつけるが肝心の現金が見つからない。現場監督の萩原(村田充)が3億円の現金とともに逃走してしまったのだ。このままだと告発できない…松子たちは窮地に立たされる。ところがその後、その3億がなんと友也の元に…!?　")</f>
        <v>松子と三木は建設会社の内偵で不正な現金の受け渡し現場を押さえる。強制調査にこぎつけるが肝心の現金が見つからない。現場監督の萩原(村田充)が3億円の現金とともに逃走してしまったのだ。このままだと告発できない…松子たちは窮地に立たされる。ところがその後、その3億がなんと友也の元に…!?　</v>
      </c>
      <c r="N2815" s="2"/>
      <c r="O2815" s="2"/>
      <c r="P2815" s="1"/>
      <c r="Q2815" s="1"/>
      <c r="R2815" s="1"/>
      <c r="S2815" s="1"/>
      <c r="T2815" s="1"/>
      <c r="U2815" s="1"/>
      <c r="V2815" s="1"/>
      <c r="W2815" s="1"/>
      <c r="X2815" s="1"/>
      <c r="Y2815" s="1"/>
      <c r="Z2815" s="1"/>
      <c r="AA2815" s="1"/>
      <c r="AB2815" s="1"/>
      <c r="AC2815" s="1"/>
      <c r="AD2815" s="1"/>
      <c r="AE2815" s="1"/>
      <c r="AF2815" s="1"/>
      <c r="AG2815" s="1"/>
      <c r="AH2815" s="1"/>
      <c r="AI2815" s="1"/>
      <c r="AJ2815" s="1"/>
      <c r="AK2815" s="1"/>
      <c r="AL2815" s="1"/>
      <c r="AM2815" s="1"/>
      <c r="AN2815" s="1"/>
      <c r="AO2815" s="1"/>
      <c r="AP2815" s="1"/>
      <c r="AQ2815" s="1"/>
      <c r="AR2815" s="1"/>
      <c r="AS2815" s="1"/>
      <c r="AT2815" s="1"/>
      <c r="AU2815" s="1"/>
      <c r="AV2815" s="1"/>
      <c r="AW2815" s="1"/>
      <c r="AX2815" s="1"/>
      <c r="AY2815" s="1"/>
      <c r="AZ2815" s="1"/>
      <c r="BA2815" s="1"/>
      <c r="BB2815" s="1"/>
    </row>
    <row r="2816" ht="204.75" customHeight="1">
      <c r="A2816" s="1">
        <v>4590.0</v>
      </c>
      <c r="B2816" s="2" t="s">
        <v>8587</v>
      </c>
      <c r="C2816" s="2">
        <f>IFERROR(__xludf.DUMMYFUNCTION("split(B2816,""_"")"),1010.0)</f>
        <v>1010</v>
      </c>
      <c r="D2816" s="2" t="str">
        <f>IFERROR(__xludf.DUMMYFUNCTION("""COMPUTED_VALUE"""),"EX")</f>
        <v>EX</v>
      </c>
      <c r="E2816" s="2" t="str">
        <f>IFERROR(__xludf.DUMMYFUNCTION("""COMPUTED_VALUE"""),"木21")</f>
        <v>木21</v>
      </c>
      <c r="F2816" s="2" t="s">
        <v>8588</v>
      </c>
      <c r="G2816" s="2" t="s">
        <v>8604</v>
      </c>
      <c r="H2816" s="1">
        <v>6.0</v>
      </c>
      <c r="I2816" s="1" t="s">
        <v>2888</v>
      </c>
      <c r="J2816" s="1" t="s">
        <v>11</v>
      </c>
      <c r="K2816" s="2" t="s">
        <v>8605</v>
      </c>
      <c r="L2816" s="11" t="s">
        <v>8606</v>
      </c>
      <c r="M2816" s="2" t="str">
        <f>IFERROR(__xludf.DUMMYFUNCTION("split(split(K2816,""米倉涼子、"",false),""公式LINE"",false)"),"結婚産業グループの会長・大鳥(平泉成)は、鉄子の部屋の常連。大鳥の鞄の中に大金を見つけた松子は彼を尾行、その金を愛人に預ける所を目撃する。大鳥は複数の愛人に脱税して作った金の番をさせていた。強制調査で他の愛人たちが白状する中、愛(室井滋)だけは黙秘を決め込んでいたが…　")</f>
        <v>結婚産業グループの会長・大鳥(平泉成)は、鉄子の部屋の常連。大鳥の鞄の中に大金を見つけた松子は彼を尾行、その金を愛人に預ける所を目撃する。大鳥は複数の愛人に脱税して作った金の番をさせていた。強制調査で他の愛人たちが白状する中、愛(室井滋)だけは黙秘を決め込んでいたが…　</v>
      </c>
      <c r="N2816" s="2"/>
      <c r="O2816" s="2"/>
      <c r="P2816" s="1"/>
      <c r="Q2816" s="1"/>
      <c r="R2816" s="1"/>
      <c r="S2816" s="1"/>
      <c r="T2816" s="1"/>
      <c r="U2816" s="1"/>
      <c r="V2816" s="1"/>
      <c r="W2816" s="1"/>
      <c r="X2816" s="1"/>
      <c r="Y2816" s="1"/>
      <c r="Z2816" s="1"/>
      <c r="AA2816" s="1"/>
      <c r="AB2816" s="1"/>
      <c r="AC2816" s="1"/>
      <c r="AD2816" s="1"/>
      <c r="AE2816" s="1"/>
      <c r="AF2816" s="1"/>
      <c r="AG2816" s="1"/>
      <c r="AH2816" s="1"/>
      <c r="AI2816" s="1"/>
      <c r="AJ2816" s="1"/>
      <c r="AK2816" s="1"/>
      <c r="AL2816" s="1"/>
      <c r="AM2816" s="1"/>
      <c r="AN2816" s="1"/>
      <c r="AO2816" s="1"/>
      <c r="AP2816" s="1"/>
      <c r="AQ2816" s="1"/>
      <c r="AR2816" s="1"/>
      <c r="AS2816" s="1"/>
      <c r="AT2816" s="1"/>
      <c r="AU2816" s="1"/>
      <c r="AV2816" s="1"/>
      <c r="AW2816" s="1"/>
      <c r="AX2816" s="1"/>
      <c r="AY2816" s="1"/>
      <c r="AZ2816" s="1"/>
      <c r="BA2816" s="1"/>
      <c r="BB2816" s="1"/>
    </row>
    <row r="2817" ht="204.75" customHeight="1">
      <c r="A2817" s="1">
        <v>4591.0</v>
      </c>
      <c r="B2817" s="2" t="s">
        <v>8587</v>
      </c>
      <c r="C2817" s="2">
        <f>IFERROR(__xludf.DUMMYFUNCTION("split(B2817,""_"")"),1010.0)</f>
        <v>1010</v>
      </c>
      <c r="D2817" s="2" t="str">
        <f>IFERROR(__xludf.DUMMYFUNCTION("""COMPUTED_VALUE"""),"EX")</f>
        <v>EX</v>
      </c>
      <c r="E2817" s="2" t="str">
        <f>IFERROR(__xludf.DUMMYFUNCTION("""COMPUTED_VALUE"""),"木21")</f>
        <v>木21</v>
      </c>
      <c r="F2817" s="2" t="s">
        <v>8588</v>
      </c>
      <c r="G2817" s="2" t="s">
        <v>8607</v>
      </c>
      <c r="H2817" s="1">
        <v>7.0</v>
      </c>
      <c r="I2817" s="1" t="s">
        <v>2892</v>
      </c>
      <c r="J2817" s="1" t="s">
        <v>11</v>
      </c>
      <c r="K2817" s="2" t="s">
        <v>8608</v>
      </c>
      <c r="L2817" s="11" t="s">
        <v>8609</v>
      </c>
      <c r="M2817" s="2" t="str">
        <f>IFERROR(__xludf.DUMMYFUNCTION("split(split(K2817,""米倉涼子、"",false),""公式LINE"",false)"),"女社長青山貴美子(真野響子)は愛人である花形不動産社長の花形啓介(橋爪功)を三億の脱税容疑で新田に密告。一方、松子は花形不動産と裏でつながっている山井興業を独断で調査、鉄子の過去が山井興業に関わっていることを突き止める。新田も再び鉄子にある協力を依頼して…?　")</f>
        <v>女社長青山貴美子(真野響子)は愛人である花形不動産社長の花形啓介(橋爪功)を三億の脱税容疑で新田に密告。一方、松子は花形不動産と裏でつながっている山井興業を独断で調査、鉄子の過去が山井興業に関わっていることを突き止める。新田も再び鉄子にある協力を依頼して…?　</v>
      </c>
      <c r="N2817" s="2"/>
      <c r="O2817" s="2"/>
      <c r="P2817" s="1"/>
      <c r="Q2817" s="1"/>
      <c r="R2817" s="1"/>
      <c r="S2817" s="1"/>
      <c r="T2817" s="1"/>
      <c r="U2817" s="1"/>
      <c r="V2817" s="1"/>
      <c r="W2817" s="1"/>
      <c r="X2817" s="1"/>
      <c r="Y2817" s="1"/>
      <c r="Z2817" s="1"/>
      <c r="AA2817" s="1"/>
      <c r="AB2817" s="1"/>
      <c r="AC2817" s="1"/>
      <c r="AD2817" s="1"/>
      <c r="AE2817" s="1"/>
      <c r="AF2817" s="1"/>
      <c r="AG2817" s="1"/>
      <c r="AH2817" s="1"/>
      <c r="AI2817" s="1"/>
      <c r="AJ2817" s="1"/>
      <c r="AK2817" s="1"/>
      <c r="AL2817" s="1"/>
      <c r="AM2817" s="1"/>
      <c r="AN2817" s="1"/>
      <c r="AO2817" s="1"/>
      <c r="AP2817" s="1"/>
      <c r="AQ2817" s="1"/>
      <c r="AR2817" s="1"/>
      <c r="AS2817" s="1"/>
      <c r="AT2817" s="1"/>
      <c r="AU2817" s="1"/>
      <c r="AV2817" s="1"/>
      <c r="AW2817" s="1"/>
      <c r="AX2817" s="1"/>
      <c r="AY2817" s="1"/>
      <c r="AZ2817" s="1"/>
      <c r="BA2817" s="1"/>
      <c r="BB2817" s="1"/>
    </row>
    <row r="2818" ht="204.75" customHeight="1">
      <c r="A2818" s="1">
        <v>4592.0</v>
      </c>
      <c r="B2818" s="2" t="s">
        <v>8587</v>
      </c>
      <c r="C2818" s="2">
        <f>IFERROR(__xludf.DUMMYFUNCTION("split(B2818,""_"")"),1010.0)</f>
        <v>1010</v>
      </c>
      <c r="D2818" s="2" t="str">
        <f>IFERROR(__xludf.DUMMYFUNCTION("""COMPUTED_VALUE"""),"EX")</f>
        <v>EX</v>
      </c>
      <c r="E2818" s="2" t="str">
        <f>IFERROR(__xludf.DUMMYFUNCTION("""COMPUTED_VALUE"""),"木21")</f>
        <v>木21</v>
      </c>
      <c r="F2818" s="2" t="s">
        <v>8588</v>
      </c>
      <c r="G2818" s="2" t="s">
        <v>8610</v>
      </c>
      <c r="H2818" s="1">
        <v>8.0</v>
      </c>
      <c r="J2818" s="1" t="s">
        <v>4</v>
      </c>
      <c r="K2818" s="2" t="s">
        <v>8611</v>
      </c>
      <c r="L2818" s="11" t="s">
        <v>8612</v>
      </c>
      <c r="M2818" s="2" t="str">
        <f>IFERROR(__xludf.DUMMYFUNCTION("split(split(K2818,""米倉涼子、"",false),""公式LINE"",false)"),"新田が撃たれた後、松子は西伊豆の老人ホームにいた。が、突然そのホームが差し押さえられてしまう。そこには花形不動産が関わっていた。ホームを計画倒産させては隠し財産を得ていたのだ。松子は東京に戻り、ナサケの仲間とともに内偵調査を再開。再び花形不動産へのガサ入れにこぎつける!　")</f>
        <v>新田が撃たれた後、松子は西伊豆の老人ホームにいた。が、突然そのホームが差し押さえられてしまう。そこには花形不動産が関わっていた。ホームを計画倒産させては隠し財産を得ていたのだ。松子は東京に戻り、ナサケの仲間とともに内偵調査を再開。再び花形不動産へのガサ入れにこぎつける!　</v>
      </c>
      <c r="N2818" s="2"/>
      <c r="O2818" s="2"/>
      <c r="P2818" s="1"/>
      <c r="Q2818" s="1"/>
      <c r="R2818" s="1"/>
      <c r="S2818" s="1"/>
      <c r="T2818" s="1"/>
      <c r="U2818" s="1"/>
      <c r="V2818" s="1"/>
      <c r="W2818" s="1"/>
      <c r="X2818" s="1"/>
      <c r="Y2818" s="1"/>
      <c r="Z2818" s="1"/>
      <c r="AA2818" s="1"/>
      <c r="AB2818" s="1"/>
      <c r="AC2818" s="1"/>
      <c r="AD2818" s="1"/>
      <c r="AE2818" s="1"/>
      <c r="AF2818" s="1"/>
      <c r="AG2818" s="1"/>
      <c r="AH2818" s="1"/>
      <c r="AI2818" s="1"/>
      <c r="AJ2818" s="1"/>
      <c r="AK2818" s="1"/>
      <c r="AL2818" s="1"/>
      <c r="AM2818" s="1"/>
      <c r="AN2818" s="1"/>
      <c r="AO2818" s="1"/>
      <c r="AP2818" s="1"/>
      <c r="AQ2818" s="1"/>
      <c r="AR2818" s="1"/>
      <c r="AS2818" s="1"/>
      <c r="AT2818" s="1"/>
      <c r="AU2818" s="1"/>
      <c r="AV2818" s="1"/>
      <c r="AW2818" s="1"/>
      <c r="AX2818" s="1"/>
      <c r="AY2818" s="1"/>
      <c r="AZ2818" s="1"/>
      <c r="BA2818" s="1"/>
      <c r="BB2818" s="1"/>
    </row>
    <row r="2819" ht="204.75" customHeight="1">
      <c r="A2819" s="1">
        <v>4603.0</v>
      </c>
      <c r="B2819" s="2" t="s">
        <v>8613</v>
      </c>
      <c r="C2819" s="2">
        <f>IFERROR(__xludf.DUMMYFUNCTION("split(B2819,""_"")"),1010.0)</f>
        <v>1010</v>
      </c>
      <c r="D2819" s="2" t="str">
        <f>IFERROR(__xludf.DUMMYFUNCTION("""COMPUTED_VALUE"""),"EX")</f>
        <v>EX</v>
      </c>
      <c r="E2819" s="2" t="str">
        <f>IFERROR(__xludf.DUMMYFUNCTION("""COMPUTED_VALUE"""),"金21")</f>
        <v>金21</v>
      </c>
      <c r="F2819" s="2" t="s">
        <v>8614</v>
      </c>
      <c r="G2819" s="2" t="s">
        <v>8615</v>
      </c>
      <c r="H2819" s="1">
        <v>1.0</v>
      </c>
      <c r="I2819" s="1" t="s">
        <v>2868</v>
      </c>
      <c r="J2819" s="1" t="s">
        <v>11</v>
      </c>
      <c r="K2819" s="4" t="s">
        <v>8616</v>
      </c>
      <c r="L2819" s="11" t="s">
        <v>8617</v>
      </c>
      <c r="M2819" s="2" t="str">
        <f>IFERROR(__xludf.DUMMYFUNCTION("split(split(K2819,""浜田雅功、"",false),""公式LINE"",false)"),"浜田演じる鬼島平八郎は、44歳にして新人という異色の検事。  難しい「法律」より自分の「感覚」を信じて、事件の真実を追求していく。  当初、小さな横領と思われた事件の裏側に、とんでもない『闇』が隠れていた!!　")</f>
        <v>浜田演じる鬼島平八郎は、44歳にして新人という異色の検事。  難しい「法律」より自分の「感覚」を信じて、事件の真実を追求していく。  当初、小さな横領と思われた事件の裏側に、とんでもない『闇』が隠れていた!!　</v>
      </c>
      <c r="N2819" s="2"/>
      <c r="O2819" s="2"/>
      <c r="P2819" s="1"/>
      <c r="Q2819" s="1"/>
      <c r="R2819" s="1"/>
      <c r="S2819" s="1"/>
      <c r="T2819" s="1"/>
      <c r="U2819" s="1"/>
      <c r="V2819" s="1"/>
      <c r="W2819" s="1"/>
      <c r="X2819" s="1"/>
      <c r="Y2819" s="1"/>
      <c r="Z2819" s="1"/>
      <c r="AA2819" s="1"/>
      <c r="AB2819" s="1"/>
      <c r="AC2819" s="1"/>
      <c r="AD2819" s="1"/>
      <c r="AE2819" s="1"/>
      <c r="AF2819" s="1"/>
      <c r="AG2819" s="1"/>
      <c r="AH2819" s="1"/>
      <c r="AI2819" s="1"/>
      <c r="AJ2819" s="1"/>
      <c r="AK2819" s="1"/>
      <c r="AL2819" s="1"/>
      <c r="AM2819" s="1"/>
      <c r="AN2819" s="1"/>
      <c r="AO2819" s="1"/>
      <c r="AP2819" s="1"/>
      <c r="AQ2819" s="1"/>
      <c r="AR2819" s="1"/>
      <c r="AS2819" s="1"/>
      <c r="AT2819" s="1"/>
      <c r="AU2819" s="1"/>
      <c r="AV2819" s="1"/>
      <c r="AW2819" s="1"/>
      <c r="AX2819" s="1"/>
      <c r="AY2819" s="1"/>
      <c r="AZ2819" s="1"/>
      <c r="BA2819" s="1"/>
      <c r="BB2819" s="1"/>
    </row>
    <row r="2820" ht="204.75" customHeight="1">
      <c r="A2820" s="1">
        <v>4604.0</v>
      </c>
      <c r="B2820" s="2" t="s">
        <v>8613</v>
      </c>
      <c r="C2820" s="2">
        <f>IFERROR(__xludf.DUMMYFUNCTION("split(B2820,""_"")"),1010.0)</f>
        <v>1010</v>
      </c>
      <c r="D2820" s="2" t="str">
        <f>IFERROR(__xludf.DUMMYFUNCTION("""COMPUTED_VALUE"""),"EX")</f>
        <v>EX</v>
      </c>
      <c r="E2820" s="2" t="str">
        <f>IFERROR(__xludf.DUMMYFUNCTION("""COMPUTED_VALUE"""),"金21")</f>
        <v>金21</v>
      </c>
      <c r="F2820" s="2" t="s">
        <v>8614</v>
      </c>
      <c r="G2820" s="2" t="s">
        <v>8618</v>
      </c>
      <c r="H2820" s="1">
        <v>2.0</v>
      </c>
      <c r="I2820" s="1" t="s">
        <v>2872</v>
      </c>
      <c r="J2820" s="1" t="s">
        <v>11</v>
      </c>
      <c r="K2820" s="2" t="s">
        <v>8619</v>
      </c>
      <c r="L2820" s="11" t="s">
        <v>8620</v>
      </c>
      <c r="M2820" s="2" t="str">
        <f>IFERROR(__xludf.DUMMYFUNCTION("split(split(K2820,""浜田雅功、"",false),""公式LINE"",false)"),"会社社長による裏金疑惑が勃発。鬼島(浜田雅功)が聴取を担当するが、社長を怒らせてしまうという大失態を演じる。彼は地元の権力者で検察に対するバッシングの嵐が吹き荒れる中、鬼島の意外な行動で、事件は急展開を迎える!?　")</f>
        <v>会社社長による裏金疑惑が勃発。鬼島(浜田雅功)が聴取を担当するが、社長を怒らせてしまうという大失態を演じる。彼は地元の権力者で検察に対するバッシングの嵐が吹き荒れる中、鬼島の意外な行動で、事件は急展開を迎える!?　</v>
      </c>
      <c r="N2820" s="2"/>
      <c r="O2820" s="2"/>
      <c r="P2820" s="1"/>
      <c r="Q2820" s="1"/>
      <c r="R2820" s="1"/>
      <c r="S2820" s="1"/>
      <c r="T2820" s="1"/>
      <c r="U2820" s="1"/>
      <c r="V2820" s="1"/>
      <c r="W2820" s="1"/>
      <c r="X2820" s="1"/>
      <c r="Y2820" s="1"/>
      <c r="Z2820" s="1"/>
      <c r="AA2820" s="1"/>
      <c r="AB2820" s="1"/>
      <c r="AC2820" s="1"/>
      <c r="AD2820" s="1"/>
      <c r="AE2820" s="1"/>
      <c r="AF2820" s="1"/>
      <c r="AG2820" s="1"/>
      <c r="AH2820" s="1"/>
      <c r="AI2820" s="1"/>
      <c r="AJ2820" s="1"/>
      <c r="AK2820" s="1"/>
      <c r="AL2820" s="1"/>
      <c r="AM2820" s="1"/>
      <c r="AN2820" s="1"/>
      <c r="AO2820" s="1"/>
      <c r="AP2820" s="1"/>
      <c r="AQ2820" s="1"/>
      <c r="AR2820" s="1"/>
      <c r="AS2820" s="1"/>
      <c r="AT2820" s="1"/>
      <c r="AU2820" s="1"/>
      <c r="AV2820" s="1"/>
      <c r="AW2820" s="1"/>
      <c r="AX2820" s="1"/>
      <c r="AY2820" s="1"/>
      <c r="AZ2820" s="1"/>
      <c r="BA2820" s="1"/>
      <c r="BB2820" s="1"/>
    </row>
    <row r="2821" ht="204.75" customHeight="1">
      <c r="A2821" s="1">
        <v>4605.0</v>
      </c>
      <c r="B2821" s="2" t="s">
        <v>8613</v>
      </c>
      <c r="C2821" s="2">
        <f>IFERROR(__xludf.DUMMYFUNCTION("split(B2821,""_"")"),1010.0)</f>
        <v>1010</v>
      </c>
      <c r="D2821" s="2" t="str">
        <f>IFERROR(__xludf.DUMMYFUNCTION("""COMPUTED_VALUE"""),"EX")</f>
        <v>EX</v>
      </c>
      <c r="E2821" s="2" t="str">
        <f>IFERROR(__xludf.DUMMYFUNCTION("""COMPUTED_VALUE"""),"金21")</f>
        <v>金21</v>
      </c>
      <c r="F2821" s="2" t="s">
        <v>8614</v>
      </c>
      <c r="G2821" s="2" t="s">
        <v>8621</v>
      </c>
      <c r="H2821" s="1">
        <v>3.0</v>
      </c>
      <c r="I2821" s="1" t="s">
        <v>2876</v>
      </c>
      <c r="J2821" s="1" t="s">
        <v>11</v>
      </c>
      <c r="K2821" s="2" t="s">
        <v>8622</v>
      </c>
      <c r="L2821" s="11" t="s">
        <v>8623</v>
      </c>
      <c r="M2821" s="2" t="str">
        <f>IFERROR(__xludf.DUMMYFUNCTION("split(split(K2821,""浜田雅功、"",false),""公式LINE"",false)"),"鬼島平八郎(浜田雅功)らの粘り強い捜査で、ついに樋村孝四郎(名高達男)から供述を得た伊智地検は、本格的に大橋はじめ議員(細川茂樹)への裏金献金ルートの解明を開始。だが鬼島は捜査からは外されてしまう。伊智地検は大橋議員の事務所と元秘書・九条誠(長谷川朝晴)の自宅を捜索。  九条の自宅から現金1億円を発見する!その結果、九条の私的流用の可能性を指摘され、大橋議員に対する捜査方法が問題となってしまう!!　")</f>
        <v>鬼島平八郎(浜田雅功)らの粘り強い捜査で、ついに樋村孝四郎(名高達男)から供述を得た伊智地検は、本格的に大橋はじめ議員(細川茂樹)への裏金献金ルートの解明を開始。だが鬼島は捜査からは外されてしまう。伊智地検は大橋議員の事務所と元秘書・九条誠(長谷川朝晴)の自宅を捜索。  九条の自宅から現金1億円を発見する!その結果、九条の私的流用の可能性を指摘され、大橋議員に対する捜査方法が問題となってしまう!!　</v>
      </c>
      <c r="N2821" s="2"/>
      <c r="O2821" s="2"/>
      <c r="P2821" s="1"/>
      <c r="Q2821" s="1"/>
      <c r="R2821" s="1"/>
      <c r="S2821" s="1"/>
      <c r="T2821" s="1"/>
      <c r="U2821" s="1"/>
      <c r="V2821" s="1"/>
      <c r="W2821" s="1"/>
      <c r="X2821" s="1"/>
      <c r="Y2821" s="1"/>
      <c r="Z2821" s="1"/>
      <c r="AA2821" s="1"/>
      <c r="AB2821" s="1"/>
      <c r="AC2821" s="1"/>
      <c r="AD2821" s="1"/>
      <c r="AE2821" s="1"/>
      <c r="AF2821" s="1"/>
      <c r="AG2821" s="1"/>
      <c r="AH2821" s="1"/>
      <c r="AI2821" s="1"/>
      <c r="AJ2821" s="1"/>
      <c r="AK2821" s="1"/>
      <c r="AL2821" s="1"/>
      <c r="AM2821" s="1"/>
      <c r="AN2821" s="1"/>
      <c r="AO2821" s="1"/>
      <c r="AP2821" s="1"/>
      <c r="AQ2821" s="1"/>
      <c r="AR2821" s="1"/>
      <c r="AS2821" s="1"/>
      <c r="AT2821" s="1"/>
      <c r="AU2821" s="1"/>
      <c r="AV2821" s="1"/>
      <c r="AW2821" s="1"/>
      <c r="AX2821" s="1"/>
      <c r="AY2821" s="1"/>
      <c r="AZ2821" s="1"/>
      <c r="BA2821" s="1"/>
      <c r="BB2821" s="1"/>
    </row>
    <row r="2822" ht="204.75" customHeight="1">
      <c r="A2822" s="1">
        <v>4606.0</v>
      </c>
      <c r="B2822" s="2" t="s">
        <v>8613</v>
      </c>
      <c r="C2822" s="2">
        <f>IFERROR(__xludf.DUMMYFUNCTION("split(B2822,""_"")"),1010.0)</f>
        <v>1010</v>
      </c>
      <c r="D2822" s="2" t="str">
        <f>IFERROR(__xludf.DUMMYFUNCTION("""COMPUTED_VALUE"""),"EX")</f>
        <v>EX</v>
      </c>
      <c r="E2822" s="2" t="str">
        <f>IFERROR(__xludf.DUMMYFUNCTION("""COMPUTED_VALUE"""),"金21")</f>
        <v>金21</v>
      </c>
      <c r="F2822" s="2" t="s">
        <v>8614</v>
      </c>
      <c r="G2822" s="2" t="s">
        <v>8624</v>
      </c>
      <c r="H2822" s="1">
        <v>4.0</v>
      </c>
      <c r="I2822" s="1" t="s">
        <v>2880</v>
      </c>
      <c r="J2822" s="1" t="s">
        <v>11</v>
      </c>
      <c r="K2822" s="2" t="s">
        <v>8625</v>
      </c>
      <c r="L2822" s="11" t="s">
        <v>8626</v>
      </c>
      <c r="M2822" s="2" t="str">
        <f>IFERROR(__xludf.DUMMYFUNCTION("split(split(K2822,""浜田雅功、"",false),""公式LINE"",false)"),"44歳で新人という異色の検事・鬼島平八郎(浜田雅功)が手掛けた小さな横領事件は、ついに国会議員・大橋はじめ(細川茂樹)への3億円にのぼる不正献金疑惑へと発展。政界を揺るがす大事件の様相を呈してきた。そして次期総裁候補と目される大物代議士・橘寛二(松方弘樹)が登場。大橋議員を断罪する!!その矢先、地検に怪文書入りの時限爆弾が…。かく乱される中、老検事・木戸勉(田山涼成)がある想いを胸に執念の捜査を続ける…。　")</f>
        <v>44歳で新人という異色の検事・鬼島平八郎(浜田雅功)が手掛けた小さな横領事件は、ついに国会議員・大橋はじめ(細川茂樹)への3億円にのぼる不正献金疑惑へと発展。政界を揺るがす大事件の様相を呈してきた。そして次期総裁候補と目される大物代議士・橘寛二(松方弘樹)が登場。大橋議員を断罪する!!その矢先、地検に怪文書入りの時限爆弾が…。かく乱される中、老検事・木戸勉(田山涼成)がある想いを胸に執念の捜査を続ける…。　</v>
      </c>
      <c r="N2822" s="2"/>
      <c r="O2822" s="2"/>
      <c r="P2822" s="1"/>
      <c r="Q2822" s="1"/>
      <c r="R2822" s="1"/>
      <c r="S2822" s="1"/>
      <c r="T2822" s="1"/>
      <c r="U2822" s="1"/>
      <c r="V2822" s="1"/>
      <c r="W2822" s="1"/>
      <c r="X2822" s="1"/>
      <c r="Y2822" s="1"/>
      <c r="Z2822" s="1"/>
      <c r="AA2822" s="1"/>
      <c r="AB2822" s="1"/>
      <c r="AC2822" s="1"/>
      <c r="AD2822" s="1"/>
      <c r="AE2822" s="1"/>
      <c r="AF2822" s="1"/>
      <c r="AG2822" s="1"/>
      <c r="AH2822" s="1"/>
      <c r="AI2822" s="1"/>
      <c r="AJ2822" s="1"/>
      <c r="AK2822" s="1"/>
      <c r="AL2822" s="1"/>
      <c r="AM2822" s="1"/>
      <c r="AN2822" s="1"/>
      <c r="AO2822" s="1"/>
      <c r="AP2822" s="1"/>
      <c r="AQ2822" s="1"/>
      <c r="AR2822" s="1"/>
      <c r="AS2822" s="1"/>
      <c r="AT2822" s="1"/>
      <c r="AU2822" s="1"/>
      <c r="AV2822" s="1"/>
      <c r="AW2822" s="1"/>
      <c r="AX2822" s="1"/>
      <c r="AY2822" s="1"/>
      <c r="AZ2822" s="1"/>
      <c r="BA2822" s="1"/>
      <c r="BB2822" s="1"/>
    </row>
    <row r="2823" ht="204.75" customHeight="1">
      <c r="A2823" s="1">
        <v>4607.0</v>
      </c>
      <c r="B2823" s="2" t="s">
        <v>8613</v>
      </c>
      <c r="C2823" s="2">
        <f>IFERROR(__xludf.DUMMYFUNCTION("split(B2823,""_"")"),1010.0)</f>
        <v>1010</v>
      </c>
      <c r="D2823" s="2" t="str">
        <f>IFERROR(__xludf.DUMMYFUNCTION("""COMPUTED_VALUE"""),"EX")</f>
        <v>EX</v>
      </c>
      <c r="E2823" s="2" t="str">
        <f>IFERROR(__xludf.DUMMYFUNCTION("""COMPUTED_VALUE"""),"金21")</f>
        <v>金21</v>
      </c>
      <c r="F2823" s="2" t="s">
        <v>8614</v>
      </c>
      <c r="G2823" s="2" t="s">
        <v>8627</v>
      </c>
      <c r="H2823" s="1">
        <v>5.0</v>
      </c>
      <c r="I2823" s="1" t="s">
        <v>2884</v>
      </c>
      <c r="J2823" s="1" t="s">
        <v>11</v>
      </c>
      <c r="K2823" s="2" t="s">
        <v>8628</v>
      </c>
      <c r="L2823" s="11" t="s">
        <v>8629</v>
      </c>
      <c r="M2823" s="2" t="str">
        <f>IFERROR(__xludf.DUMMYFUNCTION("split(split(K2823,""浜田雅功、"",false),""公式LINE"",false)"),"ついに現職の国会議員・大橋はじめ(細川茂樹)を逮捕・起訴に持ち込んだ鬼島平八郎(浜田雅功)ら伊智地検のメンバーだが、木戸勉(田山涼成)は、「この事件を大橋の起訴だけで終わらせてはいけない」と話す。そんな中、森本真紀(内田有紀)が東京地検の敷島康広検事正(石橋凌)と密会する現場を地検のメンバーに目撃される。そして、大橋議員事件の裏にあった大きな『闇』が形を見せ始める…。そこにあった衝撃の真実とは!?　")</f>
        <v>ついに現職の国会議員・大橋はじめ(細川茂樹)を逮捕・起訴に持ち込んだ鬼島平八郎(浜田雅功)ら伊智地検のメンバーだが、木戸勉(田山涼成)は、「この事件を大橋の起訴だけで終わらせてはいけない」と話す。そんな中、森本真紀(内田有紀)が東京地検の敷島康広検事正(石橋凌)と密会する現場を地検のメンバーに目撃される。そして、大橋議員事件の裏にあった大きな『闇』が形を見せ始める…。そこにあった衝撃の真実とは!?　</v>
      </c>
      <c r="N2823" s="2"/>
      <c r="O2823" s="2"/>
      <c r="P2823" s="1"/>
      <c r="Q2823" s="1"/>
      <c r="R2823" s="1"/>
      <c r="S2823" s="1"/>
      <c r="T2823" s="1"/>
      <c r="U2823" s="1"/>
      <c r="V2823" s="1"/>
      <c r="W2823" s="1"/>
      <c r="X2823" s="1"/>
      <c r="Y2823" s="1"/>
      <c r="Z2823" s="1"/>
      <c r="AA2823" s="1"/>
      <c r="AB2823" s="1"/>
      <c r="AC2823" s="1"/>
      <c r="AD2823" s="1"/>
      <c r="AE2823" s="1"/>
      <c r="AF2823" s="1"/>
      <c r="AG2823" s="1"/>
      <c r="AH2823" s="1"/>
      <c r="AI2823" s="1"/>
      <c r="AJ2823" s="1"/>
      <c r="AK2823" s="1"/>
      <c r="AL2823" s="1"/>
      <c r="AM2823" s="1"/>
      <c r="AN2823" s="1"/>
      <c r="AO2823" s="1"/>
      <c r="AP2823" s="1"/>
      <c r="AQ2823" s="1"/>
      <c r="AR2823" s="1"/>
      <c r="AS2823" s="1"/>
      <c r="AT2823" s="1"/>
      <c r="AU2823" s="1"/>
      <c r="AV2823" s="1"/>
      <c r="AW2823" s="1"/>
      <c r="AX2823" s="1"/>
      <c r="AY2823" s="1"/>
      <c r="AZ2823" s="1"/>
      <c r="BA2823" s="1"/>
      <c r="BB2823" s="1"/>
    </row>
    <row r="2824" ht="204.75" customHeight="1">
      <c r="A2824" s="1">
        <v>4608.0</v>
      </c>
      <c r="B2824" s="2" t="s">
        <v>8613</v>
      </c>
      <c r="C2824" s="2">
        <f>IFERROR(__xludf.DUMMYFUNCTION("split(B2824,""_"")"),1010.0)</f>
        <v>1010</v>
      </c>
      <c r="D2824" s="2" t="str">
        <f>IFERROR(__xludf.DUMMYFUNCTION("""COMPUTED_VALUE"""),"EX")</f>
        <v>EX</v>
      </c>
      <c r="E2824" s="2" t="str">
        <f>IFERROR(__xludf.DUMMYFUNCTION("""COMPUTED_VALUE"""),"金21")</f>
        <v>金21</v>
      </c>
      <c r="F2824" s="2" t="s">
        <v>8614</v>
      </c>
      <c r="G2824" s="2" t="s">
        <v>8630</v>
      </c>
      <c r="H2824" s="1">
        <v>6.0</v>
      </c>
      <c r="I2824" s="1" t="s">
        <v>2888</v>
      </c>
      <c r="J2824" s="1" t="s">
        <v>11</v>
      </c>
      <c r="K2824" s="2" t="s">
        <v>8631</v>
      </c>
      <c r="L2824" s="11" t="s">
        <v>8632</v>
      </c>
      <c r="M2824" s="2" t="str">
        <f>IFERROR(__xludf.DUMMYFUNCTION("split(split(K2824,""浜田雅功、"",false),""公式LINE"",false)"),"秘書に殺されかけた大橋はじめ議員(細川茂樹)を間一髪で救った鬼島平八郎(浜田雅功)らは、三億円の不正献金に加えて、大橋への殺人未遂という事件の真の黒幕が優明党の橘寛二幹事長(松方弘樹)ではないかと考え始める。しかし、本格的な捜査に乗り出した途端、敷島康広検事正(石橋凌)率いる東京地検特捜部が伊智地検に乗り込んで来て、今後、この件に関わる捜査を禁じられてしまう!!そんな中、入院中の大橋が病院から姿を消し…　")</f>
        <v>秘書に殺されかけた大橋はじめ議員(細川茂樹)を間一髪で救った鬼島平八郎(浜田雅功)らは、三億円の不正献金に加えて、大橋への殺人未遂という事件の真の黒幕が優明党の橘寛二幹事長(松方弘樹)ではないかと考え始める。しかし、本格的な捜査に乗り出した途端、敷島康広検事正(石橋凌)率いる東京地検特捜部が伊智地検に乗り込んで来て、今後、この件に関わる捜査を禁じられてしまう!!そんな中、入院中の大橋が病院から姿を消し…　</v>
      </c>
      <c r="N2824" s="2"/>
      <c r="O2824" s="2"/>
      <c r="P2824" s="1"/>
      <c r="Q2824" s="1"/>
      <c r="R2824" s="1"/>
      <c r="S2824" s="1"/>
      <c r="T2824" s="1"/>
      <c r="U2824" s="1"/>
      <c r="V2824" s="1"/>
      <c r="W2824" s="1"/>
      <c r="X2824" s="1"/>
      <c r="Y2824" s="1"/>
      <c r="Z2824" s="1"/>
      <c r="AA2824" s="1"/>
      <c r="AB2824" s="1"/>
      <c r="AC2824" s="1"/>
      <c r="AD2824" s="1"/>
      <c r="AE2824" s="1"/>
      <c r="AF2824" s="1"/>
      <c r="AG2824" s="1"/>
      <c r="AH2824" s="1"/>
      <c r="AI2824" s="1"/>
      <c r="AJ2824" s="1"/>
      <c r="AK2824" s="1"/>
      <c r="AL2824" s="1"/>
      <c r="AM2824" s="1"/>
      <c r="AN2824" s="1"/>
      <c r="AO2824" s="1"/>
      <c r="AP2824" s="1"/>
      <c r="AQ2824" s="1"/>
      <c r="AR2824" s="1"/>
      <c r="AS2824" s="1"/>
      <c r="AT2824" s="1"/>
      <c r="AU2824" s="1"/>
      <c r="AV2824" s="1"/>
      <c r="AW2824" s="1"/>
      <c r="AX2824" s="1"/>
      <c r="AY2824" s="1"/>
      <c r="AZ2824" s="1"/>
      <c r="BA2824" s="1"/>
      <c r="BB2824" s="1"/>
    </row>
    <row r="2825" ht="204.75" customHeight="1">
      <c r="A2825" s="1">
        <v>4609.0</v>
      </c>
      <c r="B2825" s="2" t="s">
        <v>8613</v>
      </c>
      <c r="C2825" s="2">
        <f>IFERROR(__xludf.DUMMYFUNCTION("split(B2825,""_"")"),1010.0)</f>
        <v>1010</v>
      </c>
      <c r="D2825" s="2" t="str">
        <f>IFERROR(__xludf.DUMMYFUNCTION("""COMPUTED_VALUE"""),"EX")</f>
        <v>EX</v>
      </c>
      <c r="E2825" s="2" t="str">
        <f>IFERROR(__xludf.DUMMYFUNCTION("""COMPUTED_VALUE"""),"金21")</f>
        <v>金21</v>
      </c>
      <c r="F2825" s="2" t="s">
        <v>8614</v>
      </c>
      <c r="G2825" s="2" t="s">
        <v>8633</v>
      </c>
      <c r="H2825" s="1">
        <v>7.0</v>
      </c>
      <c r="J2825" s="1" t="s">
        <v>11</v>
      </c>
      <c r="K2825" s="2" t="s">
        <v>8634</v>
      </c>
      <c r="L2825" s="11" t="s">
        <v>8635</v>
      </c>
      <c r="M2825" s="2" t="str">
        <f>IFERROR(__xludf.DUMMYFUNCTION("split(split(K2825,""浜田雅功、"",false),""公式LINE"",false)"),"東京地検に身柄が渡るのを防ぐため、大橋はじめ議員(細川茂樹)を公務執行妨害という別件で逮捕・拘束した伊智地検だが、大橋が拘置所内で自殺してしまい、マスコミや世間からの検察批判が強まる!!そんな中、鬼島平八郎(浜田雅功)宛てに大橋の妻から壷が届く。そこに事件の真相があると睨んだ鬼島らは、捜査を開始!果たして、一連の事件の黒幕に辿りつけるのか!?中央政界まで切り込んだ伊智地検の運命は…　")</f>
        <v>東京地検に身柄が渡るのを防ぐため、大橋はじめ議員(細川茂樹)を公務執行妨害という別件で逮捕・拘束した伊智地検だが、大橋が拘置所内で自殺してしまい、マスコミや世間からの検察批判が強まる!!そんな中、鬼島平八郎(浜田雅功)宛てに大橋の妻から壷が届く。そこに事件の真相があると睨んだ鬼島らは、捜査を開始!果たして、一連の事件の黒幕に辿りつけるのか!?中央政界まで切り込んだ伊智地検の運命は…　</v>
      </c>
      <c r="N2825" s="2"/>
      <c r="O2825" s="2"/>
      <c r="P2825" s="1"/>
      <c r="Q2825" s="1"/>
      <c r="R2825" s="1"/>
      <c r="S2825" s="1"/>
      <c r="T2825" s="1"/>
      <c r="U2825" s="1"/>
      <c r="V2825" s="1"/>
      <c r="W2825" s="1"/>
      <c r="X2825" s="1"/>
      <c r="Y2825" s="1"/>
      <c r="Z2825" s="1"/>
      <c r="AA2825" s="1"/>
      <c r="AB2825" s="1"/>
      <c r="AC2825" s="1"/>
      <c r="AD2825" s="1"/>
      <c r="AE2825" s="1"/>
      <c r="AF2825" s="1"/>
      <c r="AG2825" s="1"/>
      <c r="AH2825" s="1"/>
      <c r="AI2825" s="1"/>
      <c r="AJ2825" s="1"/>
      <c r="AK2825" s="1"/>
      <c r="AL2825" s="1"/>
      <c r="AM2825" s="1"/>
      <c r="AN2825" s="1"/>
      <c r="AO2825" s="1"/>
      <c r="AP2825" s="1"/>
      <c r="AQ2825" s="1"/>
      <c r="AR2825" s="1"/>
      <c r="AS2825" s="1"/>
      <c r="AT2825" s="1"/>
      <c r="AU2825" s="1"/>
      <c r="AV2825" s="1"/>
      <c r="AW2825" s="1"/>
      <c r="AX2825" s="1"/>
      <c r="AY2825" s="1"/>
      <c r="AZ2825" s="1"/>
      <c r="BA2825" s="1"/>
      <c r="BB2825" s="1"/>
    </row>
    <row r="2826" ht="204.75" customHeight="1">
      <c r="A2826" s="1">
        <v>4620.0</v>
      </c>
      <c r="B2826" s="2" t="s">
        <v>8636</v>
      </c>
      <c r="C2826" s="2">
        <f>IFERROR(__xludf.DUMMYFUNCTION("split(B2826,""_"")"),1010.0)</f>
        <v>1010</v>
      </c>
      <c r="D2826" s="2" t="str">
        <f>IFERROR(__xludf.DUMMYFUNCTION("""COMPUTED_VALUE"""),"EX")</f>
        <v>EX</v>
      </c>
      <c r="E2826" s="2" t="str">
        <f>IFERROR(__xludf.DUMMYFUNCTION("""COMPUTED_VALUE"""),"金23")</f>
        <v>金23</v>
      </c>
      <c r="F2826" s="2" t="s">
        <v>8637</v>
      </c>
      <c r="G2826" s="2" t="s">
        <v>8638</v>
      </c>
      <c r="H2826" s="1">
        <v>1.0</v>
      </c>
      <c r="I2826" s="1" t="s">
        <v>2868</v>
      </c>
      <c r="J2826" s="1" t="s">
        <v>1435</v>
      </c>
      <c r="K2826" s="4" t="s">
        <v>8639</v>
      </c>
      <c r="L2826" s="11" t="s">
        <v>8640</v>
      </c>
      <c r="M2826" s="2" t="str">
        <f>IFERROR(__xludf.DUMMYFUNCTION("split(split(K2826,""志田未来、"",false),""公式LINE"",false)"),"娘・藻奈美(志田未来)と母・直子(石田ひかり)を乗せたバスが崖から転落。父・平介(佐々木蔵之介)の見守る中、奇跡的に目を覚ました藻奈美だったが、何とその体に、先ほど死んだはずの直子の魂が宿っていたー!そして、娘の姿をした妻とその夫との秘密の夫婦生活が始まった。　")</f>
        <v>娘・藻奈美(志田未来)と母・直子(石田ひかり)を乗せたバスが崖から転落。父・平介(佐々木蔵之介)の見守る中、奇跡的に目を覚ました藻奈美だったが、何とその体に、先ほど死んだはずの直子の魂が宿っていたー!そして、娘の姿をした妻とその夫との秘密の夫婦生活が始まった。　</v>
      </c>
      <c r="N2826" s="2"/>
      <c r="O2826" s="2"/>
      <c r="P2826" s="1"/>
      <c r="Q2826" s="1"/>
      <c r="R2826" s="1"/>
      <c r="S2826" s="1"/>
      <c r="T2826" s="1"/>
      <c r="U2826" s="1"/>
      <c r="V2826" s="1"/>
      <c r="W2826" s="1"/>
      <c r="X2826" s="1"/>
      <c r="Y2826" s="1"/>
      <c r="Z2826" s="1"/>
      <c r="AA2826" s="1"/>
      <c r="AB2826" s="1"/>
      <c r="AC2826" s="1"/>
      <c r="AD2826" s="1"/>
      <c r="AE2826" s="1"/>
      <c r="AF2826" s="1"/>
      <c r="AG2826" s="1"/>
      <c r="AH2826" s="1"/>
      <c r="AI2826" s="1"/>
      <c r="AJ2826" s="1"/>
      <c r="AK2826" s="1"/>
      <c r="AL2826" s="1"/>
      <c r="AM2826" s="1"/>
      <c r="AN2826" s="1"/>
      <c r="AO2826" s="1"/>
      <c r="AP2826" s="1"/>
      <c r="AQ2826" s="1"/>
      <c r="AR2826" s="1"/>
      <c r="AS2826" s="1"/>
      <c r="AT2826" s="1"/>
      <c r="AU2826" s="1"/>
      <c r="AV2826" s="1"/>
      <c r="AW2826" s="1"/>
      <c r="AX2826" s="1"/>
      <c r="AY2826" s="1"/>
      <c r="AZ2826" s="1"/>
      <c r="BA2826" s="1"/>
      <c r="BB2826" s="1"/>
    </row>
    <row r="2827" ht="204.75" customHeight="1">
      <c r="A2827" s="1">
        <v>4621.0</v>
      </c>
      <c r="B2827" s="2" t="s">
        <v>8636</v>
      </c>
      <c r="C2827" s="2">
        <f>IFERROR(__xludf.DUMMYFUNCTION("split(B2827,""_"")"),1010.0)</f>
        <v>1010</v>
      </c>
      <c r="D2827" s="2" t="str">
        <f>IFERROR(__xludf.DUMMYFUNCTION("""COMPUTED_VALUE"""),"EX")</f>
        <v>EX</v>
      </c>
      <c r="E2827" s="2" t="str">
        <f>IFERROR(__xludf.DUMMYFUNCTION("""COMPUTED_VALUE"""),"金23")</f>
        <v>金23</v>
      </c>
      <c r="F2827" s="2" t="s">
        <v>8637</v>
      </c>
      <c r="G2827" s="2" t="s">
        <v>8641</v>
      </c>
      <c r="H2827" s="1">
        <v>2.0</v>
      </c>
      <c r="I2827" s="1" t="s">
        <v>2872</v>
      </c>
      <c r="J2827" s="1" t="s">
        <v>1435</v>
      </c>
      <c r="K2827" s="2" t="s">
        <v>8642</v>
      </c>
      <c r="L2827" s="11" t="s">
        <v>8643</v>
      </c>
      <c r="M2827" s="2" t="str">
        <f>IFERROR(__xludf.DUMMYFUNCTION("split(split(K2827,""志田未来、"",false),""公式LINE"",false)"),"藻奈美(志田未来)に乗り移った妻・直子と、夫・平介(佐々木蔵之介)の秘密の夫婦生活が始まった。そんな中、平介は偶然、事故を起こした運転手の妻・征子に出くわす。複雑な思いを抱えつつ、事故の秘密を知るべく征子に接触する平介に対し直子は激昂、関わらないよう強く求めるが…　")</f>
        <v>藻奈美(志田未来)に乗り移った妻・直子と、夫・平介(佐々木蔵之介)の秘密の夫婦生活が始まった。そんな中、平介は偶然、事故を起こした運転手の妻・征子に出くわす。複雑な思いを抱えつつ、事故の秘密を知るべく征子に接触する平介に対し直子は激昂、関わらないよう強く求めるが…　</v>
      </c>
      <c r="N2827" s="2"/>
      <c r="O2827" s="2"/>
      <c r="P2827" s="1"/>
      <c r="Q2827" s="1"/>
      <c r="R2827" s="1"/>
      <c r="S2827" s="1"/>
      <c r="T2827" s="1"/>
      <c r="U2827" s="1"/>
      <c r="V2827" s="1"/>
      <c r="W2827" s="1"/>
      <c r="X2827" s="1"/>
      <c r="Y2827" s="1"/>
      <c r="Z2827" s="1"/>
      <c r="AA2827" s="1"/>
      <c r="AB2827" s="1"/>
      <c r="AC2827" s="1"/>
      <c r="AD2827" s="1"/>
      <c r="AE2827" s="1"/>
      <c r="AF2827" s="1"/>
      <c r="AG2827" s="1"/>
      <c r="AH2827" s="1"/>
      <c r="AI2827" s="1"/>
      <c r="AJ2827" s="1"/>
      <c r="AK2827" s="1"/>
      <c r="AL2827" s="1"/>
      <c r="AM2827" s="1"/>
      <c r="AN2827" s="1"/>
      <c r="AO2827" s="1"/>
      <c r="AP2827" s="1"/>
      <c r="AQ2827" s="1"/>
      <c r="AR2827" s="1"/>
      <c r="AS2827" s="1"/>
      <c r="AT2827" s="1"/>
      <c r="AU2827" s="1"/>
      <c r="AV2827" s="1"/>
      <c r="AW2827" s="1"/>
      <c r="AX2827" s="1"/>
      <c r="AY2827" s="1"/>
      <c r="AZ2827" s="1"/>
      <c r="BA2827" s="1"/>
      <c r="BB2827" s="1"/>
    </row>
    <row r="2828" ht="204.75" customHeight="1">
      <c r="A2828" s="1">
        <v>4622.0</v>
      </c>
      <c r="B2828" s="2" t="s">
        <v>8636</v>
      </c>
      <c r="C2828" s="2">
        <f>IFERROR(__xludf.DUMMYFUNCTION("split(B2828,""_"")"),1010.0)</f>
        <v>1010</v>
      </c>
      <c r="D2828" s="2" t="str">
        <f>IFERROR(__xludf.DUMMYFUNCTION("""COMPUTED_VALUE"""),"EX")</f>
        <v>EX</v>
      </c>
      <c r="E2828" s="2" t="str">
        <f>IFERROR(__xludf.DUMMYFUNCTION("""COMPUTED_VALUE"""),"金23")</f>
        <v>金23</v>
      </c>
      <c r="F2828" s="2" t="s">
        <v>8637</v>
      </c>
      <c r="G2828" s="2" t="s">
        <v>8644</v>
      </c>
      <c r="H2828" s="1">
        <v>3.0</v>
      </c>
      <c r="I2828" s="1" t="s">
        <v>2876</v>
      </c>
      <c r="J2828" s="1" t="s">
        <v>1435</v>
      </c>
      <c r="K2828" s="2" t="s">
        <v>8645</v>
      </c>
      <c r="L2828" s="11" t="s">
        <v>8646</v>
      </c>
      <c r="M2828" s="2" t="str">
        <f>IFERROR(__xludf.DUMMYFUNCTION("split(split(K2828,""志田未来、"",false),""公式LINE"",false)"),"藻奈美の体に宿った直子(志田未来)と平介(佐々木蔵之介)の元に同窓会の招待状が届く。迷った末、藻奈美として出席することを決めた直子だったが、その日を機に直子はある重大な決心をする。一方平介は事故の運転手の妻、征子と再び接触。複雑な感情を抱きつつも、彼女に翻弄されていくー　")</f>
        <v>藻奈美の体に宿った直子(志田未来)と平介(佐々木蔵之介)の元に同窓会の招待状が届く。迷った末、藻奈美として出席することを決めた直子だったが、その日を機に直子はある重大な決心をする。一方平介は事故の運転手の妻、征子と再び接触。複雑な感情を抱きつつも、彼女に翻弄されていくー　</v>
      </c>
      <c r="N2828" s="2"/>
      <c r="O2828" s="2"/>
      <c r="P2828" s="1"/>
      <c r="Q2828" s="1"/>
      <c r="R2828" s="1"/>
      <c r="S2828" s="1"/>
      <c r="T2828" s="1"/>
      <c r="U2828" s="1"/>
      <c r="V2828" s="1"/>
      <c r="W2828" s="1"/>
      <c r="X2828" s="1"/>
      <c r="Y2828" s="1"/>
      <c r="Z2828" s="1"/>
      <c r="AA2828" s="1"/>
      <c r="AB2828" s="1"/>
      <c r="AC2828" s="1"/>
      <c r="AD2828" s="1"/>
      <c r="AE2828" s="1"/>
      <c r="AF2828" s="1"/>
      <c r="AG2828" s="1"/>
      <c r="AH2828" s="1"/>
      <c r="AI2828" s="1"/>
      <c r="AJ2828" s="1"/>
      <c r="AK2828" s="1"/>
      <c r="AL2828" s="1"/>
      <c r="AM2828" s="1"/>
      <c r="AN2828" s="1"/>
      <c r="AO2828" s="1"/>
      <c r="AP2828" s="1"/>
      <c r="AQ2828" s="1"/>
      <c r="AR2828" s="1"/>
      <c r="AS2828" s="1"/>
      <c r="AT2828" s="1"/>
      <c r="AU2828" s="1"/>
      <c r="AV2828" s="1"/>
      <c r="AW2828" s="1"/>
      <c r="AX2828" s="1"/>
      <c r="AY2828" s="1"/>
      <c r="AZ2828" s="1"/>
      <c r="BA2828" s="1"/>
      <c r="BB2828" s="1"/>
    </row>
    <row r="2829" ht="204.75" customHeight="1">
      <c r="A2829" s="1">
        <v>4623.0</v>
      </c>
      <c r="B2829" s="2" t="s">
        <v>8636</v>
      </c>
      <c r="C2829" s="2">
        <f>IFERROR(__xludf.DUMMYFUNCTION("split(B2829,""_"")"),1010.0)</f>
        <v>1010</v>
      </c>
      <c r="D2829" s="2" t="str">
        <f>IFERROR(__xludf.DUMMYFUNCTION("""COMPUTED_VALUE"""),"EX")</f>
        <v>EX</v>
      </c>
      <c r="E2829" s="2" t="str">
        <f>IFERROR(__xludf.DUMMYFUNCTION("""COMPUTED_VALUE"""),"金23")</f>
        <v>金23</v>
      </c>
      <c r="F2829" s="2" t="s">
        <v>8637</v>
      </c>
      <c r="G2829" s="2" t="s">
        <v>8647</v>
      </c>
      <c r="H2829" s="1">
        <v>4.0</v>
      </c>
      <c r="I2829" s="1" t="s">
        <v>2880</v>
      </c>
      <c r="J2829" s="1" t="s">
        <v>1435</v>
      </c>
      <c r="K2829" s="2" t="s">
        <v>8648</v>
      </c>
      <c r="L2829" s="11" t="s">
        <v>8649</v>
      </c>
      <c r="M2829" s="2" t="str">
        <f>IFERROR(__xludf.DUMMYFUNCTION("split(split(K2829,""志田未来、"",false),""公式LINE"",false)"),"東野圭吾の大ベストセラーがドラマ化!母娘を乗せたバスが崖から転落。父・平介が見守る中、目を覚ました娘・藻奈美の体に、何と死んだはずの母・直子の魂が宿っていたー!　")</f>
        <v>東野圭吾の大ベストセラーがドラマ化!母娘を乗せたバスが崖から転落。父・平介が見守る中、目を覚ました娘・藻奈美の体に、何と死んだはずの母・直子の魂が宿っていたー!　</v>
      </c>
      <c r="N2829" s="2"/>
      <c r="O2829" s="2"/>
      <c r="P2829" s="1"/>
      <c r="Q2829" s="1"/>
      <c r="R2829" s="1"/>
      <c r="S2829" s="1"/>
      <c r="T2829" s="1"/>
      <c r="U2829" s="1"/>
      <c r="V2829" s="1"/>
      <c r="W2829" s="1"/>
      <c r="X2829" s="1"/>
      <c r="Y2829" s="1"/>
      <c r="Z2829" s="1"/>
      <c r="AA2829" s="1"/>
      <c r="AB2829" s="1"/>
      <c r="AC2829" s="1"/>
      <c r="AD2829" s="1"/>
      <c r="AE2829" s="1"/>
      <c r="AF2829" s="1"/>
      <c r="AG2829" s="1"/>
      <c r="AH2829" s="1"/>
      <c r="AI2829" s="1"/>
      <c r="AJ2829" s="1"/>
      <c r="AK2829" s="1"/>
      <c r="AL2829" s="1"/>
      <c r="AM2829" s="1"/>
      <c r="AN2829" s="1"/>
      <c r="AO2829" s="1"/>
      <c r="AP2829" s="1"/>
      <c r="AQ2829" s="1"/>
      <c r="AR2829" s="1"/>
      <c r="AS2829" s="1"/>
      <c r="AT2829" s="1"/>
      <c r="AU2829" s="1"/>
      <c r="AV2829" s="1"/>
      <c r="AW2829" s="1"/>
      <c r="AX2829" s="1"/>
      <c r="AY2829" s="1"/>
      <c r="AZ2829" s="1"/>
      <c r="BA2829" s="1"/>
      <c r="BB2829" s="1"/>
    </row>
    <row r="2830" ht="204.75" customHeight="1">
      <c r="A2830" s="1">
        <v>4624.0</v>
      </c>
      <c r="B2830" s="2" t="s">
        <v>8636</v>
      </c>
      <c r="C2830" s="2">
        <f>IFERROR(__xludf.DUMMYFUNCTION("split(B2830,""_"")"),1010.0)</f>
        <v>1010</v>
      </c>
      <c r="D2830" s="2" t="str">
        <f>IFERROR(__xludf.DUMMYFUNCTION("""COMPUTED_VALUE"""),"EX")</f>
        <v>EX</v>
      </c>
      <c r="E2830" s="2" t="str">
        <f>IFERROR(__xludf.DUMMYFUNCTION("""COMPUTED_VALUE"""),"金23")</f>
        <v>金23</v>
      </c>
      <c r="F2830" s="2" t="s">
        <v>8637</v>
      </c>
      <c r="G2830" s="2" t="s">
        <v>8650</v>
      </c>
      <c r="H2830" s="1">
        <v>5.0</v>
      </c>
      <c r="I2830" s="1" t="s">
        <v>2884</v>
      </c>
      <c r="J2830" s="1" t="s">
        <v>1435</v>
      </c>
      <c r="K2830" s="2" t="s">
        <v>8651</v>
      </c>
      <c r="L2830" s="11" t="s">
        <v>8649</v>
      </c>
      <c r="M2830" s="2" t="str">
        <f>IFERROR(__xludf.DUMMYFUNCTION("split(split(K2830,""志田未来、"",false),""公式LINE"",false)"),"東野圭吾の大ベストセラーがドラマ化!母娘を乗せたバスが崖から転落。父・平介が見守る中、目を覚ました娘・藻奈美の体に、何と死んだはずの母・直子の魂が宿っていたー!　")</f>
        <v>東野圭吾の大ベストセラーがドラマ化!母娘を乗せたバスが崖から転落。父・平介が見守る中、目を覚ました娘・藻奈美の体に、何と死んだはずの母・直子の魂が宿っていたー!　</v>
      </c>
      <c r="N2830" s="2"/>
      <c r="O2830" s="2"/>
      <c r="P2830" s="1"/>
      <c r="Q2830" s="1"/>
      <c r="R2830" s="1"/>
      <c r="S2830" s="1"/>
      <c r="T2830" s="1"/>
      <c r="U2830" s="1"/>
      <c r="V2830" s="1"/>
      <c r="W2830" s="1"/>
      <c r="X2830" s="1"/>
      <c r="Y2830" s="1"/>
      <c r="Z2830" s="1"/>
      <c r="AA2830" s="1"/>
      <c r="AB2830" s="1"/>
      <c r="AC2830" s="1"/>
      <c r="AD2830" s="1"/>
      <c r="AE2830" s="1"/>
      <c r="AF2830" s="1"/>
      <c r="AG2830" s="1"/>
      <c r="AH2830" s="1"/>
      <c r="AI2830" s="1"/>
      <c r="AJ2830" s="1"/>
      <c r="AK2830" s="1"/>
      <c r="AL2830" s="1"/>
      <c r="AM2830" s="1"/>
      <c r="AN2830" s="1"/>
      <c r="AO2830" s="1"/>
      <c r="AP2830" s="1"/>
      <c r="AQ2830" s="1"/>
      <c r="AR2830" s="1"/>
      <c r="AS2830" s="1"/>
      <c r="AT2830" s="1"/>
      <c r="AU2830" s="1"/>
      <c r="AV2830" s="1"/>
      <c r="AW2830" s="1"/>
      <c r="AX2830" s="1"/>
      <c r="AY2830" s="1"/>
      <c r="AZ2830" s="1"/>
      <c r="BA2830" s="1"/>
      <c r="BB2830" s="1"/>
    </row>
    <row r="2831" ht="204.75" customHeight="1">
      <c r="A2831" s="1">
        <v>4625.0</v>
      </c>
      <c r="B2831" s="2" t="s">
        <v>8636</v>
      </c>
      <c r="C2831" s="2">
        <f>IFERROR(__xludf.DUMMYFUNCTION("split(B2831,""_"")"),1010.0)</f>
        <v>1010</v>
      </c>
      <c r="D2831" s="2" t="str">
        <f>IFERROR(__xludf.DUMMYFUNCTION("""COMPUTED_VALUE"""),"EX")</f>
        <v>EX</v>
      </c>
      <c r="E2831" s="2" t="str">
        <f>IFERROR(__xludf.DUMMYFUNCTION("""COMPUTED_VALUE"""),"金23")</f>
        <v>金23</v>
      </c>
      <c r="F2831" s="2" t="s">
        <v>8637</v>
      </c>
      <c r="G2831" s="2" t="s">
        <v>8652</v>
      </c>
      <c r="H2831" s="1">
        <v>6.0</v>
      </c>
      <c r="I2831" s="1" t="s">
        <v>2888</v>
      </c>
      <c r="J2831" s="1" t="s">
        <v>1435</v>
      </c>
      <c r="K2831" s="2" t="s">
        <v>8653</v>
      </c>
      <c r="L2831" s="11" t="s">
        <v>8649</v>
      </c>
      <c r="M2831" s="2" t="str">
        <f>IFERROR(__xludf.DUMMYFUNCTION("split(split(K2831,""志田未来、"",false),""公式LINE"",false)"),"東野圭吾の大ベストセラーがドラマ化!母娘を乗せたバスが崖から転落。父・平介が見守る中、目を覚ました娘・藻奈美の体に、何と死んだはずの母・直子の魂が宿っていたー!　")</f>
        <v>東野圭吾の大ベストセラーがドラマ化!母娘を乗せたバスが崖から転落。父・平介が見守る中、目を覚ました娘・藻奈美の体に、何と死んだはずの母・直子の魂が宿っていたー!　</v>
      </c>
      <c r="N2831" s="2"/>
      <c r="O2831" s="2"/>
      <c r="P2831" s="1"/>
      <c r="Q2831" s="1"/>
      <c r="R2831" s="1"/>
      <c r="S2831" s="1"/>
      <c r="T2831" s="1"/>
      <c r="U2831" s="1"/>
      <c r="V2831" s="1"/>
      <c r="W2831" s="1"/>
      <c r="X2831" s="1"/>
      <c r="Y2831" s="1"/>
      <c r="Z2831" s="1"/>
      <c r="AA2831" s="1"/>
      <c r="AB2831" s="1"/>
      <c r="AC2831" s="1"/>
      <c r="AD2831" s="1"/>
      <c r="AE2831" s="1"/>
      <c r="AF2831" s="1"/>
      <c r="AG2831" s="1"/>
      <c r="AH2831" s="1"/>
      <c r="AI2831" s="1"/>
      <c r="AJ2831" s="1"/>
      <c r="AK2831" s="1"/>
      <c r="AL2831" s="1"/>
      <c r="AM2831" s="1"/>
      <c r="AN2831" s="1"/>
      <c r="AO2831" s="1"/>
      <c r="AP2831" s="1"/>
      <c r="AQ2831" s="1"/>
      <c r="AR2831" s="1"/>
      <c r="AS2831" s="1"/>
      <c r="AT2831" s="1"/>
      <c r="AU2831" s="1"/>
      <c r="AV2831" s="1"/>
      <c r="AW2831" s="1"/>
      <c r="AX2831" s="1"/>
      <c r="AY2831" s="1"/>
      <c r="AZ2831" s="1"/>
      <c r="BA2831" s="1"/>
      <c r="BB2831" s="1"/>
    </row>
    <row r="2832" ht="204.75" customHeight="1">
      <c r="A2832" s="1">
        <v>4626.0</v>
      </c>
      <c r="B2832" s="2" t="s">
        <v>8636</v>
      </c>
      <c r="C2832" s="2">
        <f>IFERROR(__xludf.DUMMYFUNCTION("split(B2832,""_"")"),1010.0)</f>
        <v>1010</v>
      </c>
      <c r="D2832" s="2" t="str">
        <f>IFERROR(__xludf.DUMMYFUNCTION("""COMPUTED_VALUE"""),"EX")</f>
        <v>EX</v>
      </c>
      <c r="E2832" s="2" t="str">
        <f>IFERROR(__xludf.DUMMYFUNCTION("""COMPUTED_VALUE"""),"金23")</f>
        <v>金23</v>
      </c>
      <c r="F2832" s="2" t="s">
        <v>8637</v>
      </c>
      <c r="G2832" s="2" t="s">
        <v>8654</v>
      </c>
      <c r="H2832" s="1">
        <v>7.0</v>
      </c>
      <c r="I2832" s="1" t="s">
        <v>2892</v>
      </c>
      <c r="J2832" s="1" t="s">
        <v>1435</v>
      </c>
      <c r="K2832" s="2" t="s">
        <v>8655</v>
      </c>
      <c r="L2832" s="11" t="s">
        <v>8649</v>
      </c>
      <c r="M2832" s="2" t="str">
        <f>IFERROR(__xludf.DUMMYFUNCTION("split(split(K2832,""志田未来、"",false),""公式LINE"",false)"),"東野圭吾の大ベストセラーがドラマ化!母娘を乗せたバスが崖から転落。父・平介が見守る中、目を覚ました娘・藻奈美の体に、何と死んだはずの母・直子の魂が宿っていたー!　")</f>
        <v>東野圭吾の大ベストセラーがドラマ化!母娘を乗せたバスが崖から転落。父・平介が見守る中、目を覚ました娘・藻奈美の体に、何と死んだはずの母・直子の魂が宿っていたー!　</v>
      </c>
      <c r="N2832" s="2"/>
      <c r="O2832" s="2"/>
      <c r="P2832" s="1"/>
      <c r="Q2832" s="1"/>
      <c r="R2832" s="1"/>
      <c r="S2832" s="1"/>
      <c r="T2832" s="1"/>
      <c r="U2832" s="1"/>
      <c r="V2832" s="1"/>
      <c r="W2832" s="1"/>
      <c r="X2832" s="1"/>
      <c r="Y2832" s="1"/>
      <c r="Z2832" s="1"/>
      <c r="AA2832" s="1"/>
      <c r="AB2832" s="1"/>
      <c r="AC2832" s="1"/>
      <c r="AD2832" s="1"/>
      <c r="AE2832" s="1"/>
      <c r="AF2832" s="1"/>
      <c r="AG2832" s="1"/>
      <c r="AH2832" s="1"/>
      <c r="AI2832" s="1"/>
      <c r="AJ2832" s="1"/>
      <c r="AK2832" s="1"/>
      <c r="AL2832" s="1"/>
      <c r="AM2832" s="1"/>
      <c r="AN2832" s="1"/>
      <c r="AO2832" s="1"/>
      <c r="AP2832" s="1"/>
      <c r="AQ2832" s="1"/>
      <c r="AR2832" s="1"/>
      <c r="AS2832" s="1"/>
      <c r="AT2832" s="1"/>
      <c r="AU2832" s="1"/>
      <c r="AV2832" s="1"/>
      <c r="AW2832" s="1"/>
      <c r="AX2832" s="1"/>
      <c r="AY2832" s="1"/>
      <c r="AZ2832" s="1"/>
      <c r="BA2832" s="1"/>
      <c r="BB2832" s="1"/>
    </row>
    <row r="2833" ht="204.75" customHeight="1">
      <c r="A2833" s="1">
        <v>4627.0</v>
      </c>
      <c r="B2833" s="2" t="s">
        <v>8636</v>
      </c>
      <c r="C2833" s="2">
        <f>IFERROR(__xludf.DUMMYFUNCTION("split(B2833,""_"")"),1010.0)</f>
        <v>1010</v>
      </c>
      <c r="D2833" s="2" t="str">
        <f>IFERROR(__xludf.DUMMYFUNCTION("""COMPUTED_VALUE"""),"EX")</f>
        <v>EX</v>
      </c>
      <c r="E2833" s="2" t="str">
        <f>IFERROR(__xludf.DUMMYFUNCTION("""COMPUTED_VALUE"""),"金23")</f>
        <v>金23</v>
      </c>
      <c r="F2833" s="2" t="s">
        <v>8637</v>
      </c>
      <c r="G2833" s="2" t="s">
        <v>8656</v>
      </c>
      <c r="H2833" s="1">
        <v>8.0</v>
      </c>
      <c r="I2833" s="1" t="s">
        <v>2896</v>
      </c>
      <c r="J2833" s="1" t="s">
        <v>1435</v>
      </c>
      <c r="K2833" s="2" t="s">
        <v>8657</v>
      </c>
      <c r="L2833" s="11" t="s">
        <v>8649</v>
      </c>
      <c r="M2833" s="2" t="str">
        <f>IFERROR(__xludf.DUMMYFUNCTION("split(split(K2833,""志田未来、"",false),""公式LINE"",false)"),"東野圭吾の大ベストセラーがドラマ化!母娘を乗せたバスが崖から転落。父・平介が見守る中、目を覚ました娘・藻奈美の体に、何と死んだはずの母・直子の魂が宿っていたー!　")</f>
        <v>東野圭吾の大ベストセラーがドラマ化!母娘を乗せたバスが崖から転落。父・平介が見守る中、目を覚ました娘・藻奈美の体に、何と死んだはずの母・直子の魂が宿っていたー!　</v>
      </c>
      <c r="N2833" s="2"/>
      <c r="O2833" s="2"/>
      <c r="P2833" s="1"/>
      <c r="Q2833" s="1"/>
      <c r="R2833" s="1"/>
      <c r="S2833" s="1"/>
      <c r="T2833" s="1"/>
      <c r="U2833" s="1"/>
      <c r="V2833" s="1"/>
      <c r="W2833" s="1"/>
      <c r="X2833" s="1"/>
      <c r="Y2833" s="1"/>
      <c r="Z2833" s="1"/>
      <c r="AA2833" s="1"/>
      <c r="AB2833" s="1"/>
      <c r="AC2833" s="1"/>
      <c r="AD2833" s="1"/>
      <c r="AE2833" s="1"/>
      <c r="AF2833" s="1"/>
      <c r="AG2833" s="1"/>
      <c r="AH2833" s="1"/>
      <c r="AI2833" s="1"/>
      <c r="AJ2833" s="1"/>
      <c r="AK2833" s="1"/>
      <c r="AL2833" s="1"/>
      <c r="AM2833" s="1"/>
      <c r="AN2833" s="1"/>
      <c r="AO2833" s="1"/>
      <c r="AP2833" s="1"/>
      <c r="AQ2833" s="1"/>
      <c r="AR2833" s="1"/>
      <c r="AS2833" s="1"/>
      <c r="AT2833" s="1"/>
      <c r="AU2833" s="1"/>
      <c r="AV2833" s="1"/>
      <c r="AW2833" s="1"/>
      <c r="AX2833" s="1"/>
      <c r="AY2833" s="1"/>
      <c r="AZ2833" s="1"/>
      <c r="BA2833" s="1"/>
      <c r="BB2833" s="1"/>
    </row>
    <row r="2834" ht="204.75" customHeight="1">
      <c r="A2834" s="1">
        <v>4628.0</v>
      </c>
      <c r="B2834" s="2" t="s">
        <v>8636</v>
      </c>
      <c r="C2834" s="2">
        <f>IFERROR(__xludf.DUMMYFUNCTION("split(B2834,""_"")"),1010.0)</f>
        <v>1010</v>
      </c>
      <c r="D2834" s="2" t="str">
        <f>IFERROR(__xludf.DUMMYFUNCTION("""COMPUTED_VALUE"""),"EX")</f>
        <v>EX</v>
      </c>
      <c r="E2834" s="2" t="str">
        <f>IFERROR(__xludf.DUMMYFUNCTION("""COMPUTED_VALUE"""),"金23")</f>
        <v>金23</v>
      </c>
      <c r="F2834" s="2" t="s">
        <v>8637</v>
      </c>
      <c r="G2834" s="2" t="s">
        <v>8658</v>
      </c>
      <c r="H2834" s="1">
        <v>9.0</v>
      </c>
      <c r="J2834" s="1" t="s">
        <v>1435</v>
      </c>
      <c r="K2834" s="2" t="s">
        <v>8659</v>
      </c>
      <c r="L2834" s="11" t="s">
        <v>8649</v>
      </c>
      <c r="M2834" s="2" t="str">
        <f>IFERROR(__xludf.DUMMYFUNCTION("split(split(K2834,""志田未来、"",false),""公式LINE"",false)"),"東野圭吾の大ベストセラーがドラマ化!母娘を乗せたバスが崖から転落。父・平介が見守る中、目を覚ました娘・藻奈美の体に、何と死んだはずの母・直子の魂が宿っていたー!　")</f>
        <v>東野圭吾の大ベストセラーがドラマ化!母娘を乗せたバスが崖から転落。父・平介が見守る中、目を覚ました娘・藻奈美の体に、何と死んだはずの母・直子の魂が宿っていたー!　</v>
      </c>
      <c r="N2834" s="2"/>
      <c r="O2834" s="2"/>
      <c r="P2834" s="1"/>
      <c r="Q2834" s="1"/>
      <c r="R2834" s="1"/>
      <c r="S2834" s="1"/>
      <c r="T2834" s="1"/>
      <c r="U2834" s="1"/>
      <c r="V2834" s="1"/>
      <c r="W2834" s="1"/>
      <c r="X2834" s="1"/>
      <c r="Y2834" s="1"/>
      <c r="Z2834" s="1"/>
      <c r="AA2834" s="1"/>
      <c r="AB2834" s="1"/>
      <c r="AC2834" s="1"/>
      <c r="AD2834" s="1"/>
      <c r="AE2834" s="1"/>
      <c r="AF2834" s="1"/>
      <c r="AG2834" s="1"/>
      <c r="AH2834" s="1"/>
      <c r="AI2834" s="1"/>
      <c r="AJ2834" s="1"/>
      <c r="AK2834" s="1"/>
      <c r="AL2834" s="1"/>
      <c r="AM2834" s="1"/>
      <c r="AN2834" s="1"/>
      <c r="AO2834" s="1"/>
      <c r="AP2834" s="1"/>
      <c r="AQ2834" s="1"/>
      <c r="AR2834" s="1"/>
      <c r="AS2834" s="1"/>
      <c r="AT2834" s="1"/>
      <c r="AU2834" s="1"/>
      <c r="AV2834" s="1"/>
      <c r="AW2834" s="1"/>
      <c r="AX2834" s="1"/>
      <c r="AY2834" s="1"/>
      <c r="AZ2834" s="1"/>
      <c r="BA2834" s="1"/>
      <c r="BB2834" s="1"/>
    </row>
    <row r="2835" ht="204.75" customHeight="1">
      <c r="A2835" s="1">
        <v>4689.0</v>
      </c>
      <c r="B2835" s="2" t="s">
        <v>8660</v>
      </c>
      <c r="C2835" s="2">
        <f>IFERROR(__xludf.DUMMYFUNCTION("split(B2835,""_"")"),1007.0)</f>
        <v>1007</v>
      </c>
      <c r="D2835" s="2" t="str">
        <f>IFERROR(__xludf.DUMMYFUNCTION("""COMPUTED_VALUE"""),"EX")</f>
        <v>EX</v>
      </c>
      <c r="E2835" s="2" t="str">
        <f>IFERROR(__xludf.DUMMYFUNCTION("""COMPUTED_VALUE"""),"木21")</f>
        <v>木21</v>
      </c>
      <c r="F2835" s="2" t="s">
        <v>8661</v>
      </c>
      <c r="G2835" s="2" t="s">
        <v>8662</v>
      </c>
      <c r="H2835" s="1">
        <v>1.0</v>
      </c>
      <c r="I2835" s="1" t="s">
        <v>3</v>
      </c>
      <c r="J2835" s="1" t="s">
        <v>11</v>
      </c>
      <c r="K2835" s="4" t="s">
        <v>8663</v>
      </c>
      <c r="L2835" s="11" t="s">
        <v>8664</v>
      </c>
      <c r="M2835" s="2" t="str">
        <f>IFERROR(__xludf.DUMMYFUNCTION("split(split(K2835,""木村佳乃、"",false),""公式LINE"",false)"),"女性の絞殺体が発見され、動画サイトにその女性が殺害される場面が投稿されていた。殺害方法から6年前に起きた連続殺人事件との関連性を疑われ、貴志真奈美(木村佳乃)ら継続捜査班が召集。貴志のプロファイリングから犯人像に近づくも、再び『金曜日の絞殺魔』は動き出し…。　")</f>
        <v>女性の絞殺体が発見され、動画サイトにその女性が殺害される場面が投稿されていた。殺害方法から6年前に起きた連続殺人事件との関連性を疑われ、貴志真奈美(木村佳乃)ら継続捜査班が召集。貴志のプロファイリングから犯人像に近づくも、再び『金曜日の絞殺魔』は動き出し…。　</v>
      </c>
      <c r="N2835" s="2"/>
      <c r="O2835" s="2"/>
      <c r="P2835" s="1"/>
      <c r="Q2835" s="1"/>
      <c r="R2835" s="1"/>
      <c r="S2835" s="1"/>
      <c r="T2835" s="1"/>
      <c r="U2835" s="1"/>
      <c r="V2835" s="1"/>
      <c r="W2835" s="1"/>
      <c r="X2835" s="1"/>
      <c r="Y2835" s="1"/>
      <c r="Z2835" s="1"/>
      <c r="AA2835" s="1"/>
      <c r="AB2835" s="1"/>
      <c r="AC2835" s="1"/>
      <c r="AD2835" s="1"/>
      <c r="AE2835" s="1"/>
      <c r="AF2835" s="1"/>
      <c r="AG2835" s="1"/>
      <c r="AH2835" s="1"/>
      <c r="AI2835" s="1"/>
      <c r="AJ2835" s="1"/>
      <c r="AK2835" s="1"/>
      <c r="AL2835" s="1"/>
      <c r="AM2835" s="1"/>
      <c r="AN2835" s="1"/>
      <c r="AO2835" s="1"/>
      <c r="AP2835" s="1"/>
      <c r="AQ2835" s="1"/>
      <c r="AR2835" s="1"/>
      <c r="AS2835" s="1"/>
      <c r="AT2835" s="1"/>
      <c r="AU2835" s="1"/>
      <c r="AV2835" s="1"/>
      <c r="AW2835" s="1"/>
      <c r="AX2835" s="1"/>
      <c r="AY2835" s="1"/>
      <c r="AZ2835" s="1"/>
      <c r="BA2835" s="1"/>
      <c r="BB2835" s="1"/>
    </row>
    <row r="2836" ht="204.75" customHeight="1">
      <c r="A2836" s="1">
        <v>4690.0</v>
      </c>
      <c r="B2836" s="2" t="s">
        <v>8660</v>
      </c>
      <c r="C2836" s="2">
        <f>IFERROR(__xludf.DUMMYFUNCTION("split(B2836,""_"")"),1007.0)</f>
        <v>1007</v>
      </c>
      <c r="D2836" s="2" t="str">
        <f>IFERROR(__xludf.DUMMYFUNCTION("""COMPUTED_VALUE"""),"EX")</f>
        <v>EX</v>
      </c>
      <c r="E2836" s="2" t="str">
        <f>IFERROR(__xludf.DUMMYFUNCTION("""COMPUTED_VALUE"""),"木21")</f>
        <v>木21</v>
      </c>
      <c r="F2836" s="2" t="s">
        <v>8661</v>
      </c>
      <c r="G2836" s="2" t="s">
        <v>8665</v>
      </c>
      <c r="H2836" s="1">
        <v>2.0</v>
      </c>
      <c r="I2836" s="1" t="s">
        <v>7</v>
      </c>
      <c r="J2836" s="1" t="s">
        <v>11</v>
      </c>
      <c r="K2836" s="2" t="s">
        <v>8666</v>
      </c>
      <c r="L2836" s="11" t="s">
        <v>8667</v>
      </c>
      <c r="M2836" s="2" t="str">
        <f>IFERROR(__xludf.DUMMYFUNCTION("split(split(K2836,""木村佳乃、"",false),""公式LINE"",false)"),"貴志(木村佳乃)の父親・徳治郎(橋爪功)は、10年前に担当して“雨の日の悪魔”事件が今でも気になっている。そして、類似した事件が起こり、継続捜査班は驚愕する。当時の捜査員・福角(矢島健一)の助言で容疑者が浮上し、真奈美はその自宅を訪れるも…!?　")</f>
        <v>貴志(木村佳乃)の父親・徳治郎(橋爪功)は、10年前に担当して“雨の日の悪魔”事件が今でも気になっている。そして、類似した事件が起こり、継続捜査班は驚愕する。当時の捜査員・福角(矢島健一)の助言で容疑者が浮上し、真奈美はその自宅を訪れるも…!?　</v>
      </c>
      <c r="N2836" s="2"/>
      <c r="O2836" s="2"/>
      <c r="P2836" s="1"/>
      <c r="Q2836" s="1"/>
      <c r="R2836" s="1"/>
      <c r="S2836" s="1"/>
      <c r="T2836" s="1"/>
      <c r="U2836" s="1"/>
      <c r="V2836" s="1"/>
      <c r="W2836" s="1"/>
      <c r="X2836" s="1"/>
      <c r="Y2836" s="1"/>
      <c r="Z2836" s="1"/>
      <c r="AA2836" s="1"/>
      <c r="AB2836" s="1"/>
      <c r="AC2836" s="1"/>
      <c r="AD2836" s="1"/>
      <c r="AE2836" s="1"/>
      <c r="AF2836" s="1"/>
      <c r="AG2836" s="1"/>
      <c r="AH2836" s="1"/>
      <c r="AI2836" s="1"/>
      <c r="AJ2836" s="1"/>
      <c r="AK2836" s="1"/>
      <c r="AL2836" s="1"/>
      <c r="AM2836" s="1"/>
      <c r="AN2836" s="1"/>
      <c r="AO2836" s="1"/>
      <c r="AP2836" s="1"/>
      <c r="AQ2836" s="1"/>
      <c r="AR2836" s="1"/>
      <c r="AS2836" s="1"/>
      <c r="AT2836" s="1"/>
      <c r="AU2836" s="1"/>
      <c r="AV2836" s="1"/>
      <c r="AW2836" s="1"/>
      <c r="AX2836" s="1"/>
      <c r="AY2836" s="1"/>
      <c r="AZ2836" s="1"/>
      <c r="BA2836" s="1"/>
      <c r="BB2836" s="1"/>
    </row>
    <row r="2837" ht="204.75" customHeight="1">
      <c r="A2837" s="1">
        <v>4691.0</v>
      </c>
      <c r="B2837" s="2" t="s">
        <v>8660</v>
      </c>
      <c r="C2837" s="2">
        <f>IFERROR(__xludf.DUMMYFUNCTION("split(B2837,""_"")"),1007.0)</f>
        <v>1007</v>
      </c>
      <c r="D2837" s="2" t="str">
        <f>IFERROR(__xludf.DUMMYFUNCTION("""COMPUTED_VALUE"""),"EX")</f>
        <v>EX</v>
      </c>
      <c r="E2837" s="2" t="str">
        <f>IFERROR(__xludf.DUMMYFUNCTION("""COMPUTED_VALUE"""),"木21")</f>
        <v>木21</v>
      </c>
      <c r="F2837" s="2" t="s">
        <v>8661</v>
      </c>
      <c r="G2837" s="2" t="s">
        <v>8668</v>
      </c>
      <c r="H2837" s="1">
        <v>3.0</v>
      </c>
      <c r="I2837" s="1" t="s">
        <v>10</v>
      </c>
      <c r="J2837" s="1" t="s">
        <v>11</v>
      </c>
      <c r="K2837" s="2" t="s">
        <v>8669</v>
      </c>
      <c r="L2837" s="11" t="s">
        <v>8670</v>
      </c>
      <c r="M2837" s="2" t="str">
        <f>IFERROR(__xludf.DUMMYFUNCTION("split(split(K2837,""木村佳乃、"",false),""公式LINE"",false)"),"15年前の夫婦惨殺事件の生き残りのひとり娘・越坂奈月(芦名星)は、天才チェリストとして活躍する音大生。そんな奈月に15年前の犯人と思しき者からメールが届く。だが、容疑者・小林玲吾(梶原善)は何者かに殺害され…事件当日に小林が奈月と接触した疑いがあり…　")</f>
        <v>15年前の夫婦惨殺事件の生き残りのひとり娘・越坂奈月(芦名星)は、天才チェリストとして活躍する音大生。そんな奈月に15年前の犯人と思しき者からメールが届く。だが、容疑者・小林玲吾(梶原善)は何者かに殺害され…事件当日に小林が奈月と接触した疑いがあり…　</v>
      </c>
      <c r="N2837" s="2"/>
      <c r="O2837" s="2"/>
      <c r="P2837" s="1"/>
      <c r="Q2837" s="1"/>
      <c r="R2837" s="1"/>
      <c r="S2837" s="1"/>
      <c r="T2837" s="1"/>
      <c r="U2837" s="1"/>
      <c r="V2837" s="1"/>
      <c r="W2837" s="1"/>
      <c r="X2837" s="1"/>
      <c r="Y2837" s="1"/>
      <c r="Z2837" s="1"/>
      <c r="AA2837" s="1"/>
      <c r="AB2837" s="1"/>
      <c r="AC2837" s="1"/>
      <c r="AD2837" s="1"/>
      <c r="AE2837" s="1"/>
      <c r="AF2837" s="1"/>
      <c r="AG2837" s="1"/>
      <c r="AH2837" s="1"/>
      <c r="AI2837" s="1"/>
      <c r="AJ2837" s="1"/>
      <c r="AK2837" s="1"/>
      <c r="AL2837" s="1"/>
      <c r="AM2837" s="1"/>
      <c r="AN2837" s="1"/>
      <c r="AO2837" s="1"/>
      <c r="AP2837" s="1"/>
      <c r="AQ2837" s="1"/>
      <c r="AR2837" s="1"/>
      <c r="AS2837" s="1"/>
      <c r="AT2837" s="1"/>
      <c r="AU2837" s="1"/>
      <c r="AV2837" s="1"/>
      <c r="AW2837" s="1"/>
      <c r="AX2837" s="1"/>
      <c r="AY2837" s="1"/>
      <c r="AZ2837" s="1"/>
      <c r="BA2837" s="1"/>
      <c r="BB2837" s="1"/>
    </row>
    <row r="2838" ht="204.75" customHeight="1">
      <c r="A2838" s="1">
        <v>4692.0</v>
      </c>
      <c r="B2838" s="2" t="s">
        <v>8660</v>
      </c>
      <c r="C2838" s="2">
        <f>IFERROR(__xludf.DUMMYFUNCTION("split(B2838,""_"")"),1007.0)</f>
        <v>1007</v>
      </c>
      <c r="D2838" s="2" t="str">
        <f>IFERROR(__xludf.DUMMYFUNCTION("""COMPUTED_VALUE"""),"EX")</f>
        <v>EX</v>
      </c>
      <c r="E2838" s="2" t="str">
        <f>IFERROR(__xludf.DUMMYFUNCTION("""COMPUTED_VALUE"""),"木21")</f>
        <v>木21</v>
      </c>
      <c r="F2838" s="2" t="s">
        <v>8661</v>
      </c>
      <c r="G2838" s="2" t="s">
        <v>8671</v>
      </c>
      <c r="H2838" s="1">
        <v>4.0</v>
      </c>
      <c r="I2838" s="1" t="s">
        <v>14</v>
      </c>
      <c r="J2838" s="1" t="s">
        <v>11</v>
      </c>
      <c r="K2838" s="2" t="s">
        <v>8672</v>
      </c>
      <c r="L2838" s="11" t="s">
        <v>8673</v>
      </c>
      <c r="M2838" s="2" t="str">
        <f>IFERROR(__xludf.DUMMYFUNCTION("split(split(K2838,""木村佳乃、"",false),""公式LINE"",false)"),"連続射殺事件が発生し、使用された銃が10年前に警察官が奪われた物と一致。さらに被害者らが10年前の女子高生殺害事件の犯人と判明。その女子高生の父親が事件後行方不明になっていることから、一連の事件は父親による復讐と推測された。だが、更に新たな事実が明らかに…　")</f>
        <v>連続射殺事件が発生し、使用された銃が10年前に警察官が奪われた物と一致。さらに被害者らが10年前の女子高生殺害事件の犯人と判明。その女子高生の父親が事件後行方不明になっていることから、一連の事件は父親による復讐と推測された。だが、更に新たな事実が明らかに…　</v>
      </c>
      <c r="N2838" s="2"/>
      <c r="O2838" s="2"/>
      <c r="P2838" s="1"/>
      <c r="Q2838" s="1"/>
      <c r="R2838" s="1"/>
      <c r="S2838" s="1"/>
      <c r="T2838" s="1"/>
      <c r="U2838" s="1"/>
      <c r="V2838" s="1"/>
      <c r="W2838" s="1"/>
      <c r="X2838" s="1"/>
      <c r="Y2838" s="1"/>
      <c r="Z2838" s="1"/>
      <c r="AA2838" s="1"/>
      <c r="AB2838" s="1"/>
      <c r="AC2838" s="1"/>
      <c r="AD2838" s="1"/>
      <c r="AE2838" s="1"/>
      <c r="AF2838" s="1"/>
      <c r="AG2838" s="1"/>
      <c r="AH2838" s="1"/>
      <c r="AI2838" s="1"/>
      <c r="AJ2838" s="1"/>
      <c r="AK2838" s="1"/>
      <c r="AL2838" s="1"/>
      <c r="AM2838" s="1"/>
      <c r="AN2838" s="1"/>
      <c r="AO2838" s="1"/>
      <c r="AP2838" s="1"/>
      <c r="AQ2838" s="1"/>
      <c r="AR2838" s="1"/>
      <c r="AS2838" s="1"/>
      <c r="AT2838" s="1"/>
      <c r="AU2838" s="1"/>
      <c r="AV2838" s="1"/>
      <c r="AW2838" s="1"/>
      <c r="AX2838" s="1"/>
      <c r="AY2838" s="1"/>
      <c r="AZ2838" s="1"/>
      <c r="BA2838" s="1"/>
      <c r="BB2838" s="1"/>
    </row>
    <row r="2839" ht="204.75" customHeight="1">
      <c r="A2839" s="1">
        <v>4693.0</v>
      </c>
      <c r="B2839" s="2" t="s">
        <v>8660</v>
      </c>
      <c r="C2839" s="2">
        <f>IFERROR(__xludf.DUMMYFUNCTION("split(B2839,""_"")"),1007.0)</f>
        <v>1007</v>
      </c>
      <c r="D2839" s="2" t="str">
        <f>IFERROR(__xludf.DUMMYFUNCTION("""COMPUTED_VALUE"""),"EX")</f>
        <v>EX</v>
      </c>
      <c r="E2839" s="2" t="str">
        <f>IFERROR(__xludf.DUMMYFUNCTION("""COMPUTED_VALUE"""),"木21")</f>
        <v>木21</v>
      </c>
      <c r="F2839" s="2" t="s">
        <v>8661</v>
      </c>
      <c r="G2839" s="2" t="s">
        <v>8674</v>
      </c>
      <c r="H2839" s="1">
        <v>5.0</v>
      </c>
      <c r="I2839" s="1" t="s">
        <v>17</v>
      </c>
      <c r="J2839" s="1" t="s">
        <v>11</v>
      </c>
      <c r="K2839" s="2" t="s">
        <v>8675</v>
      </c>
      <c r="L2839" s="11" t="s">
        <v>8676</v>
      </c>
      <c r="M2839" s="2" t="str">
        <f>IFERROR(__xludf.DUMMYFUNCTION("split(split(K2839,""木村佳乃、"",false),""公式LINE"",false)"),"1年前、少女が誘拐され遺体で発見された。その1年後、手口が似ている少女誘拐事件が発生。少女らに共通点は無いが同一犯と推測。だが前回は身代金を要求しなかった犯人が今回は要求し、「娘の値段は自分で決めろ」と言う。同一犯ではないのか…やがて事件に隠された事実が突き止められる。　")</f>
        <v>1年前、少女が誘拐され遺体で発見された。その1年後、手口が似ている少女誘拐事件が発生。少女らに共通点は無いが同一犯と推測。だが前回は身代金を要求しなかった犯人が今回は要求し、「娘の値段は自分で決めろ」と言う。同一犯ではないのか…やがて事件に隠された事実が突き止められる。　</v>
      </c>
      <c r="N2839" s="2"/>
      <c r="O2839" s="2"/>
      <c r="P2839" s="1"/>
      <c r="Q2839" s="1"/>
      <c r="R2839" s="1"/>
      <c r="S2839" s="1"/>
      <c r="T2839" s="1"/>
      <c r="U2839" s="1"/>
      <c r="V2839" s="1"/>
      <c r="W2839" s="1"/>
      <c r="X2839" s="1"/>
      <c r="Y2839" s="1"/>
      <c r="Z2839" s="1"/>
      <c r="AA2839" s="1"/>
      <c r="AB2839" s="1"/>
      <c r="AC2839" s="1"/>
      <c r="AD2839" s="1"/>
      <c r="AE2839" s="1"/>
      <c r="AF2839" s="1"/>
      <c r="AG2839" s="1"/>
      <c r="AH2839" s="1"/>
      <c r="AI2839" s="1"/>
      <c r="AJ2839" s="1"/>
      <c r="AK2839" s="1"/>
      <c r="AL2839" s="1"/>
      <c r="AM2839" s="1"/>
      <c r="AN2839" s="1"/>
      <c r="AO2839" s="1"/>
      <c r="AP2839" s="1"/>
      <c r="AQ2839" s="1"/>
      <c r="AR2839" s="1"/>
      <c r="AS2839" s="1"/>
      <c r="AT2839" s="1"/>
      <c r="AU2839" s="1"/>
      <c r="AV2839" s="1"/>
      <c r="AW2839" s="1"/>
      <c r="AX2839" s="1"/>
      <c r="AY2839" s="1"/>
      <c r="AZ2839" s="1"/>
      <c r="BA2839" s="1"/>
      <c r="BB2839" s="1"/>
    </row>
    <row r="2840" ht="204.75" customHeight="1">
      <c r="A2840" s="1">
        <v>4694.0</v>
      </c>
      <c r="B2840" s="2" t="s">
        <v>8660</v>
      </c>
      <c r="C2840" s="2">
        <f>IFERROR(__xludf.DUMMYFUNCTION("split(B2840,""_"")"),1007.0)</f>
        <v>1007</v>
      </c>
      <c r="D2840" s="2" t="str">
        <f>IFERROR(__xludf.DUMMYFUNCTION("""COMPUTED_VALUE"""),"EX")</f>
        <v>EX</v>
      </c>
      <c r="E2840" s="2" t="str">
        <f>IFERROR(__xludf.DUMMYFUNCTION("""COMPUTED_VALUE"""),"木21")</f>
        <v>木21</v>
      </c>
      <c r="F2840" s="2" t="s">
        <v>8661</v>
      </c>
      <c r="G2840" s="2" t="s">
        <v>8677</v>
      </c>
      <c r="H2840" s="1">
        <v>6.0</v>
      </c>
      <c r="I2840" s="1" t="s">
        <v>21</v>
      </c>
      <c r="J2840" s="1" t="s">
        <v>11</v>
      </c>
      <c r="K2840" s="2" t="s">
        <v>8678</v>
      </c>
      <c r="L2840" s="11" t="s">
        <v>8679</v>
      </c>
      <c r="M2840" s="2" t="str">
        <f>IFERROR(__xludf.DUMMYFUNCTION("split(split(K2840,""木村佳乃、"",false),""公式LINE"",false)"),"岩瀬(平泉成)に逮捕されたことを逆恨みする殺人犯・梅野が護送中に逃走。岩瀬に接触を図ってくると考えた真奈美(木村佳乃)らは、岩瀬を警護する。そんな中、岩瀬の娘・彩那(西原亜希)を人質に梅野が立てこもる!梅野は幼い頃生き別れた父親の面影を探していると考えられたが…　")</f>
        <v>岩瀬(平泉成)に逮捕されたことを逆恨みする殺人犯・梅野が護送中に逃走。岩瀬に接触を図ってくると考えた真奈美(木村佳乃)らは、岩瀬を警護する。そんな中、岩瀬の娘・彩那(西原亜希)を人質に梅野が立てこもる!梅野は幼い頃生き別れた父親の面影を探していると考えられたが…　</v>
      </c>
      <c r="N2840" s="2"/>
      <c r="O2840" s="2"/>
      <c r="P2840" s="1"/>
      <c r="Q2840" s="1"/>
      <c r="R2840" s="1"/>
      <c r="S2840" s="1"/>
      <c r="T2840" s="1"/>
      <c r="U2840" s="1"/>
      <c r="V2840" s="1"/>
      <c r="W2840" s="1"/>
      <c r="X2840" s="1"/>
      <c r="Y2840" s="1"/>
      <c r="Z2840" s="1"/>
      <c r="AA2840" s="1"/>
      <c r="AB2840" s="1"/>
      <c r="AC2840" s="1"/>
      <c r="AD2840" s="1"/>
      <c r="AE2840" s="1"/>
      <c r="AF2840" s="1"/>
      <c r="AG2840" s="1"/>
      <c r="AH2840" s="1"/>
      <c r="AI2840" s="1"/>
      <c r="AJ2840" s="1"/>
      <c r="AK2840" s="1"/>
      <c r="AL2840" s="1"/>
      <c r="AM2840" s="1"/>
      <c r="AN2840" s="1"/>
      <c r="AO2840" s="1"/>
      <c r="AP2840" s="1"/>
      <c r="AQ2840" s="1"/>
      <c r="AR2840" s="1"/>
      <c r="AS2840" s="1"/>
      <c r="AT2840" s="1"/>
      <c r="AU2840" s="1"/>
      <c r="AV2840" s="1"/>
      <c r="AW2840" s="1"/>
      <c r="AX2840" s="1"/>
      <c r="AY2840" s="1"/>
      <c r="AZ2840" s="1"/>
      <c r="BA2840" s="1"/>
      <c r="BB2840" s="1"/>
    </row>
    <row r="2841" ht="204.75" customHeight="1">
      <c r="A2841" s="1">
        <v>4695.0</v>
      </c>
      <c r="B2841" s="2" t="s">
        <v>8660</v>
      </c>
      <c r="C2841" s="2">
        <f>IFERROR(__xludf.DUMMYFUNCTION("split(B2841,""_"")"),1007.0)</f>
        <v>1007</v>
      </c>
      <c r="D2841" s="2" t="str">
        <f>IFERROR(__xludf.DUMMYFUNCTION("""COMPUTED_VALUE"""),"EX")</f>
        <v>EX</v>
      </c>
      <c r="E2841" s="2" t="str">
        <f>IFERROR(__xludf.DUMMYFUNCTION("""COMPUTED_VALUE"""),"木21")</f>
        <v>木21</v>
      </c>
      <c r="F2841" s="2" t="s">
        <v>8661</v>
      </c>
      <c r="G2841" s="2" t="s">
        <v>8680</v>
      </c>
      <c r="H2841" s="1">
        <v>7.0</v>
      </c>
      <c r="I2841" s="1" t="s">
        <v>25</v>
      </c>
      <c r="J2841" s="1" t="s">
        <v>11</v>
      </c>
      <c r="K2841" s="2" t="s">
        <v>8681</v>
      </c>
      <c r="L2841" s="11" t="s">
        <v>8682</v>
      </c>
      <c r="M2841" s="2" t="str">
        <f>IFERROR(__xludf.DUMMYFUNCTION("split(split(K2841,""木村佳乃、"",false),""公式LINE"",false)"),"6年前の資産家殺害事件に新たな目撃証言が加わり、真奈美(木村佳乃)らは再捜査に。真奈美は、容疑者である桂木洋介(小林隆)の娘に会いに行き、班長が桂木は犯人ではないことを主張していたと聞く。そんな中、新たな殺人が!その遺留品に桂木のものと思われる社章が握られていた!　")</f>
        <v>6年前の資産家殺害事件に新たな目撃証言が加わり、真奈美(木村佳乃)らは再捜査に。真奈美は、容疑者である桂木洋介(小林隆)の娘に会いに行き、班長が桂木は犯人ではないことを主張していたと聞く。そんな中、新たな殺人が!その遺留品に桂木のものと思われる社章が握られていた!　</v>
      </c>
      <c r="N2841" s="2"/>
      <c r="O2841" s="2"/>
      <c r="P2841" s="1"/>
      <c r="Q2841" s="1"/>
      <c r="R2841" s="1"/>
      <c r="S2841" s="1"/>
      <c r="T2841" s="1"/>
      <c r="U2841" s="1"/>
      <c r="V2841" s="1"/>
      <c r="W2841" s="1"/>
      <c r="X2841" s="1"/>
      <c r="Y2841" s="1"/>
      <c r="Z2841" s="1"/>
      <c r="AA2841" s="1"/>
      <c r="AB2841" s="1"/>
      <c r="AC2841" s="1"/>
      <c r="AD2841" s="1"/>
      <c r="AE2841" s="1"/>
      <c r="AF2841" s="1"/>
      <c r="AG2841" s="1"/>
      <c r="AH2841" s="1"/>
      <c r="AI2841" s="1"/>
      <c r="AJ2841" s="1"/>
      <c r="AK2841" s="1"/>
      <c r="AL2841" s="1"/>
      <c r="AM2841" s="1"/>
      <c r="AN2841" s="1"/>
      <c r="AO2841" s="1"/>
      <c r="AP2841" s="1"/>
      <c r="AQ2841" s="1"/>
      <c r="AR2841" s="1"/>
      <c r="AS2841" s="1"/>
      <c r="AT2841" s="1"/>
      <c r="AU2841" s="1"/>
      <c r="AV2841" s="1"/>
      <c r="AW2841" s="1"/>
      <c r="AX2841" s="1"/>
      <c r="AY2841" s="1"/>
      <c r="AZ2841" s="1"/>
      <c r="BA2841" s="1"/>
      <c r="BB2841" s="1"/>
    </row>
    <row r="2842" ht="204.75" customHeight="1">
      <c r="A2842" s="1">
        <v>4696.0</v>
      </c>
      <c r="B2842" s="2" t="s">
        <v>8660</v>
      </c>
      <c r="C2842" s="2">
        <f>IFERROR(__xludf.DUMMYFUNCTION("split(B2842,""_"")"),1007.0)</f>
        <v>1007</v>
      </c>
      <c r="D2842" s="2" t="str">
        <f>IFERROR(__xludf.DUMMYFUNCTION("""COMPUTED_VALUE"""),"EX")</f>
        <v>EX</v>
      </c>
      <c r="E2842" s="2" t="str">
        <f>IFERROR(__xludf.DUMMYFUNCTION("""COMPUTED_VALUE"""),"木21")</f>
        <v>木21</v>
      </c>
      <c r="F2842" s="2" t="s">
        <v>8661</v>
      </c>
      <c r="G2842" s="2" t="s">
        <v>8683</v>
      </c>
      <c r="H2842" s="1">
        <v>8.0</v>
      </c>
      <c r="J2842" s="1" t="s">
        <v>11</v>
      </c>
      <c r="K2842" s="2" t="s">
        <v>8684</v>
      </c>
      <c r="L2842" s="11" t="s">
        <v>8685</v>
      </c>
      <c r="M2842" s="2" t="str">
        <f>IFERROR(__xludf.DUMMYFUNCTION("split(split(K2842,""木村佳乃、"",false),""公式LINE"",false)"),"紀子(余貴美子)が狙撃された。一命は取り留めたが、犯人は不明。そんな中6年前に亡くなった当時警察大学校の教授だった加藤(柴俊夫)の娘との接点が…部活の男子生徒が転落死し、紀子は話を聞こうとしていた。だが、加藤はライフルで娘を射殺!加藤は刑務所から出所したが…　")</f>
        <v>紀子(余貴美子)が狙撃された。一命は取り留めたが、犯人は不明。そんな中6年前に亡くなった当時警察大学校の教授だった加藤(柴俊夫)の娘との接点が…部活の男子生徒が転落死し、紀子は話を聞こうとしていた。だが、加藤はライフルで娘を射殺!加藤は刑務所から出所したが…　</v>
      </c>
      <c r="N2842" s="2"/>
      <c r="O2842" s="2"/>
      <c r="P2842" s="1"/>
      <c r="Q2842" s="1"/>
      <c r="R2842" s="1"/>
      <c r="S2842" s="1"/>
      <c r="T2842" s="1"/>
      <c r="U2842" s="1"/>
      <c r="V2842" s="1"/>
      <c r="W2842" s="1"/>
      <c r="X2842" s="1"/>
      <c r="Y2842" s="1"/>
      <c r="Z2842" s="1"/>
      <c r="AA2842" s="1"/>
      <c r="AB2842" s="1"/>
      <c r="AC2842" s="1"/>
      <c r="AD2842" s="1"/>
      <c r="AE2842" s="1"/>
      <c r="AF2842" s="1"/>
      <c r="AG2842" s="1"/>
      <c r="AH2842" s="1"/>
      <c r="AI2842" s="1"/>
      <c r="AJ2842" s="1"/>
      <c r="AK2842" s="1"/>
      <c r="AL2842" s="1"/>
      <c r="AM2842" s="1"/>
      <c r="AN2842" s="1"/>
      <c r="AO2842" s="1"/>
      <c r="AP2842" s="1"/>
      <c r="AQ2842" s="1"/>
      <c r="AR2842" s="1"/>
      <c r="AS2842" s="1"/>
      <c r="AT2842" s="1"/>
      <c r="AU2842" s="1"/>
      <c r="AV2842" s="1"/>
      <c r="AW2842" s="1"/>
      <c r="AX2842" s="1"/>
      <c r="AY2842" s="1"/>
      <c r="AZ2842" s="1"/>
      <c r="BA2842" s="1"/>
      <c r="BB2842" s="1"/>
    </row>
    <row r="2843" ht="204.75" customHeight="1">
      <c r="A2843" s="1">
        <v>4720.0</v>
      </c>
      <c r="B2843" s="2" t="s">
        <v>8686</v>
      </c>
      <c r="C2843" s="2">
        <f>IFERROR(__xludf.DUMMYFUNCTION("split(B2843,""_"")"),1007.0)</f>
        <v>1007</v>
      </c>
      <c r="D2843" s="2" t="str">
        <f>IFERROR(__xludf.DUMMYFUNCTION("""COMPUTED_VALUE"""),"EX")</f>
        <v>EX</v>
      </c>
      <c r="E2843" s="2" t="str">
        <f>IFERROR(__xludf.DUMMYFUNCTION("""COMPUTED_VALUE"""),"金21")</f>
        <v>金21</v>
      </c>
      <c r="F2843" s="2" t="s">
        <v>8687</v>
      </c>
      <c r="G2843" s="2" t="s">
        <v>8688</v>
      </c>
      <c r="H2843" s="1">
        <v>1.0</v>
      </c>
      <c r="I2843" s="1" t="s">
        <v>2868</v>
      </c>
      <c r="J2843" s="1" t="s">
        <v>11</v>
      </c>
      <c r="K2843" s="4" t="s">
        <v>8689</v>
      </c>
      <c r="L2843" s="11" t="s">
        <v>8690</v>
      </c>
      <c r="M2843" s="2" t="str">
        <f>IFERROR(__xludf.DUMMYFUNCTION("split(split(K2843,""山田優、"",false),""公式LINE"",false)"),"極貧&amp;不幸な女エリーが東京で人気漫画家になるまでを描く痛快ドラマ!父・正造(陣内孝則)と母・光代(渡辺えり)は爆破事故に遭遇。絵里子(山田優)は東京でキャバ嬢をしながら金の稼げる漫画家を目指すが…。　")</f>
        <v>極貧&amp;不幸な女エリーが東京で人気漫画家になるまでを描く痛快ドラマ!父・正造(陣内孝則)と母・光代(渡辺えり)は爆破事故に遭遇。絵里子(山田優)は東京でキャバ嬢をしながら金の稼げる漫画家を目指すが…。　</v>
      </c>
      <c r="N2843" s="2"/>
      <c r="O2843" s="2"/>
      <c r="P2843" s="1"/>
      <c r="Q2843" s="1"/>
      <c r="R2843" s="1"/>
      <c r="S2843" s="1"/>
      <c r="T2843" s="1"/>
      <c r="U2843" s="1"/>
      <c r="V2843" s="1"/>
      <c r="W2843" s="1"/>
      <c r="X2843" s="1"/>
      <c r="Y2843" s="1"/>
      <c r="Z2843" s="1"/>
      <c r="AA2843" s="1"/>
      <c r="AB2843" s="1"/>
      <c r="AC2843" s="1"/>
      <c r="AD2843" s="1"/>
      <c r="AE2843" s="1"/>
      <c r="AF2843" s="1"/>
      <c r="AG2843" s="1"/>
      <c r="AH2843" s="1"/>
      <c r="AI2843" s="1"/>
      <c r="AJ2843" s="1"/>
      <c r="AK2843" s="1"/>
      <c r="AL2843" s="1"/>
      <c r="AM2843" s="1"/>
      <c r="AN2843" s="1"/>
      <c r="AO2843" s="1"/>
      <c r="AP2843" s="1"/>
      <c r="AQ2843" s="1"/>
      <c r="AR2843" s="1"/>
      <c r="AS2843" s="1"/>
      <c r="AT2843" s="1"/>
      <c r="AU2843" s="1"/>
      <c r="AV2843" s="1"/>
      <c r="AW2843" s="1"/>
      <c r="AX2843" s="1"/>
      <c r="AY2843" s="1"/>
      <c r="AZ2843" s="1"/>
      <c r="BA2843" s="1"/>
      <c r="BB2843" s="1"/>
    </row>
    <row r="2844" ht="204.75" customHeight="1">
      <c r="A2844" s="1">
        <v>4721.0</v>
      </c>
      <c r="B2844" s="2" t="s">
        <v>8686</v>
      </c>
      <c r="C2844" s="2">
        <f>IFERROR(__xludf.DUMMYFUNCTION("split(B2844,""_"")"),1007.0)</f>
        <v>1007</v>
      </c>
      <c r="D2844" s="2" t="str">
        <f>IFERROR(__xludf.DUMMYFUNCTION("""COMPUTED_VALUE"""),"EX")</f>
        <v>EX</v>
      </c>
      <c r="E2844" s="2" t="str">
        <f>IFERROR(__xludf.DUMMYFUNCTION("""COMPUTED_VALUE"""),"金21")</f>
        <v>金21</v>
      </c>
      <c r="F2844" s="2" t="s">
        <v>8687</v>
      </c>
      <c r="G2844" s="2" t="s">
        <v>8691</v>
      </c>
      <c r="H2844" s="1">
        <v>2.0</v>
      </c>
      <c r="I2844" s="1" t="s">
        <v>7</v>
      </c>
      <c r="J2844" s="1" t="s">
        <v>11</v>
      </c>
      <c r="K2844" s="2" t="s">
        <v>8692</v>
      </c>
      <c r="L2844" s="11" t="s">
        <v>8693</v>
      </c>
      <c r="M2844" s="2" t="str">
        <f>IFERROR(__xludf.DUMMYFUNCTION("split(split(K2844,""山田優、"",false),""公式LINE"",false)"),"漫画家・西原理恵子の壮絶半生をドラマ化!連ドラ初主演の山田優はじめ個性的かつ豪華なキャストで贈る痛快サクセスストーリー!最下位には最下位の戦いがあるっ!　")</f>
        <v>漫画家・西原理恵子の壮絶半生をドラマ化!連ドラ初主演の山田優はじめ個性的かつ豪華なキャストで贈る痛快サクセスストーリー!最下位には最下位の戦いがあるっ!　</v>
      </c>
      <c r="N2844" s="2"/>
      <c r="O2844" s="2"/>
      <c r="P2844" s="1"/>
      <c r="Q2844" s="1"/>
      <c r="R2844" s="1"/>
      <c r="S2844" s="1"/>
      <c r="T2844" s="1"/>
      <c r="U2844" s="1"/>
      <c r="V2844" s="1"/>
      <c r="W2844" s="1"/>
      <c r="X2844" s="1"/>
      <c r="Y2844" s="1"/>
      <c r="Z2844" s="1"/>
      <c r="AA2844" s="1"/>
      <c r="AB2844" s="1"/>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1"/>
      <c r="AY2844" s="1"/>
      <c r="AZ2844" s="1"/>
      <c r="BA2844" s="1"/>
      <c r="BB2844" s="1"/>
    </row>
    <row r="2845" ht="204.75" customHeight="1">
      <c r="A2845" s="1">
        <v>4722.0</v>
      </c>
      <c r="B2845" s="2" t="s">
        <v>8686</v>
      </c>
      <c r="C2845" s="2">
        <f>IFERROR(__xludf.DUMMYFUNCTION("split(B2845,""_"")"),1007.0)</f>
        <v>1007</v>
      </c>
      <c r="D2845" s="2" t="str">
        <f>IFERROR(__xludf.DUMMYFUNCTION("""COMPUTED_VALUE"""),"EX")</f>
        <v>EX</v>
      </c>
      <c r="E2845" s="2" t="str">
        <f>IFERROR(__xludf.DUMMYFUNCTION("""COMPUTED_VALUE"""),"金21")</f>
        <v>金21</v>
      </c>
      <c r="F2845" s="2" t="s">
        <v>8687</v>
      </c>
      <c r="G2845" s="2" t="s">
        <v>8694</v>
      </c>
      <c r="H2845" s="1">
        <v>3.0</v>
      </c>
      <c r="I2845" s="1" t="s">
        <v>10</v>
      </c>
      <c r="J2845" s="1" t="s">
        <v>11</v>
      </c>
      <c r="K2845" s="2" t="s">
        <v>8695</v>
      </c>
      <c r="L2845" s="11" t="s">
        <v>8696</v>
      </c>
      <c r="M2845" s="2" t="str">
        <f>IFERROR(__xludf.DUMMYFUNCTION("split(split(K2845,""山田優、"",false),""公式LINE"",false)"),"極貧&amp;不幸な女“エリー”が東京で人気漫画家になるまでを描く痛快ドラマ!　")</f>
        <v>極貧&amp;不幸な女“エリー”が東京で人気漫画家になるまでを描く痛快ドラマ!　</v>
      </c>
      <c r="N2845" s="2"/>
      <c r="O2845" s="2"/>
      <c r="P2845" s="1"/>
      <c r="Q2845" s="1"/>
      <c r="R2845" s="1"/>
      <c r="S2845" s="1"/>
      <c r="T2845" s="1"/>
      <c r="U2845" s="1"/>
      <c r="V2845" s="1"/>
      <c r="W2845" s="1"/>
      <c r="X2845" s="1"/>
      <c r="Y2845" s="1"/>
      <c r="Z2845" s="1"/>
      <c r="AA2845" s="1"/>
      <c r="AB2845" s="1"/>
      <c r="AC2845" s="1"/>
      <c r="AD2845" s="1"/>
      <c r="AE2845" s="1"/>
      <c r="AF2845" s="1"/>
      <c r="AG2845" s="1"/>
      <c r="AH2845" s="1"/>
      <c r="AI2845" s="1"/>
      <c r="AJ2845" s="1"/>
      <c r="AK2845" s="1"/>
      <c r="AL2845" s="1"/>
      <c r="AM2845" s="1"/>
      <c r="AN2845" s="1"/>
      <c r="AO2845" s="1"/>
      <c r="AP2845" s="1"/>
      <c r="AQ2845" s="1"/>
      <c r="AR2845" s="1"/>
      <c r="AS2845" s="1"/>
      <c r="AT2845" s="1"/>
      <c r="AU2845" s="1"/>
      <c r="AV2845" s="1"/>
      <c r="AW2845" s="1"/>
      <c r="AX2845" s="1"/>
      <c r="AY2845" s="1"/>
      <c r="AZ2845" s="1"/>
      <c r="BA2845" s="1"/>
      <c r="BB2845" s="1"/>
    </row>
    <row r="2846" ht="204.75" customHeight="1">
      <c r="A2846" s="1">
        <v>4723.0</v>
      </c>
      <c r="B2846" s="2" t="s">
        <v>8686</v>
      </c>
      <c r="C2846" s="2">
        <f>IFERROR(__xludf.DUMMYFUNCTION("split(B2846,""_"")"),1007.0)</f>
        <v>1007</v>
      </c>
      <c r="D2846" s="2" t="str">
        <f>IFERROR(__xludf.DUMMYFUNCTION("""COMPUTED_VALUE"""),"EX")</f>
        <v>EX</v>
      </c>
      <c r="E2846" s="2" t="str">
        <f>IFERROR(__xludf.DUMMYFUNCTION("""COMPUTED_VALUE"""),"金21")</f>
        <v>金21</v>
      </c>
      <c r="F2846" s="2" t="s">
        <v>8687</v>
      </c>
      <c r="G2846" s="2" t="s">
        <v>8697</v>
      </c>
      <c r="H2846" s="1">
        <v>4.0</v>
      </c>
      <c r="I2846" s="1" t="s">
        <v>14</v>
      </c>
      <c r="J2846" s="1" t="s">
        <v>11</v>
      </c>
      <c r="K2846" s="2" t="s">
        <v>8698</v>
      </c>
      <c r="L2846" s="11" t="s">
        <v>8693</v>
      </c>
      <c r="M2846" s="2" t="str">
        <f>IFERROR(__xludf.DUMMYFUNCTION("split(split(K2846,""山田優、"",false),""公式LINE"",false)"),"漫画家・西原理恵子の壮絶半生をドラマ化!連ドラ初主演の山田優はじめ個性的かつ豪華なキャストで贈る痛快サクセスストーリー!最下位には最下位の戦いがあるっ!　")</f>
        <v>漫画家・西原理恵子の壮絶半生をドラマ化!連ドラ初主演の山田優はじめ個性的かつ豪華なキャストで贈る痛快サクセスストーリー!最下位には最下位の戦いがあるっ!　</v>
      </c>
      <c r="N2846" s="2"/>
      <c r="O2846" s="2"/>
      <c r="P2846" s="1"/>
      <c r="Q2846" s="1"/>
      <c r="R2846" s="1"/>
      <c r="S2846" s="1"/>
      <c r="T2846" s="1"/>
      <c r="U2846" s="1"/>
      <c r="V2846" s="1"/>
      <c r="W2846" s="1"/>
      <c r="X2846" s="1"/>
      <c r="Y2846" s="1"/>
      <c r="Z2846" s="1"/>
      <c r="AA2846" s="1"/>
      <c r="AB2846" s="1"/>
      <c r="AC2846" s="1"/>
      <c r="AD2846" s="1"/>
      <c r="AE2846" s="1"/>
      <c r="AF2846" s="1"/>
      <c r="AG2846" s="1"/>
      <c r="AH2846" s="1"/>
      <c r="AI2846" s="1"/>
      <c r="AJ2846" s="1"/>
      <c r="AK2846" s="1"/>
      <c r="AL2846" s="1"/>
      <c r="AM2846" s="1"/>
      <c r="AN2846" s="1"/>
      <c r="AO2846" s="1"/>
      <c r="AP2846" s="1"/>
      <c r="AQ2846" s="1"/>
      <c r="AR2846" s="1"/>
      <c r="AS2846" s="1"/>
      <c r="AT2846" s="1"/>
      <c r="AU2846" s="1"/>
      <c r="AV2846" s="1"/>
      <c r="AW2846" s="1"/>
      <c r="AX2846" s="1"/>
      <c r="AY2846" s="1"/>
      <c r="AZ2846" s="1"/>
      <c r="BA2846" s="1"/>
      <c r="BB2846" s="1"/>
    </row>
    <row r="2847" ht="204.75" customHeight="1">
      <c r="A2847" s="1">
        <v>4724.0</v>
      </c>
      <c r="B2847" s="2" t="s">
        <v>8686</v>
      </c>
      <c r="C2847" s="2">
        <f>IFERROR(__xludf.DUMMYFUNCTION("split(B2847,""_"")"),1007.0)</f>
        <v>1007</v>
      </c>
      <c r="D2847" s="2" t="str">
        <f>IFERROR(__xludf.DUMMYFUNCTION("""COMPUTED_VALUE"""),"EX")</f>
        <v>EX</v>
      </c>
      <c r="E2847" s="2" t="str">
        <f>IFERROR(__xludf.DUMMYFUNCTION("""COMPUTED_VALUE"""),"金21")</f>
        <v>金21</v>
      </c>
      <c r="F2847" s="2" t="s">
        <v>8687</v>
      </c>
      <c r="G2847" s="2" t="s">
        <v>8699</v>
      </c>
      <c r="H2847" s="1">
        <v>5.0</v>
      </c>
      <c r="I2847" s="1" t="s">
        <v>17</v>
      </c>
      <c r="J2847" s="1" t="s">
        <v>11</v>
      </c>
      <c r="K2847" s="2" t="s">
        <v>8700</v>
      </c>
      <c r="L2847" s="11" t="s">
        <v>8693</v>
      </c>
      <c r="M2847" s="2" t="str">
        <f>IFERROR(__xludf.DUMMYFUNCTION("split(split(K2847,""山田優、"",false),""公式LINE"",false)"),"漫画家・西原理恵子の壮絶半生をドラマ化!連ドラ初主演の山田優はじめ個性的かつ豪華なキャストで贈る痛快サクセスストーリー!最下位には最下位の戦いがあるっ!　")</f>
        <v>漫画家・西原理恵子の壮絶半生をドラマ化!連ドラ初主演の山田優はじめ個性的かつ豪華なキャストで贈る痛快サクセスストーリー!最下位には最下位の戦いがあるっ!　</v>
      </c>
      <c r="N2847" s="2"/>
      <c r="O2847" s="2"/>
      <c r="P2847" s="1"/>
      <c r="Q2847" s="1"/>
      <c r="R2847" s="1"/>
      <c r="S2847" s="1"/>
      <c r="T2847" s="1"/>
      <c r="U2847" s="1"/>
      <c r="V2847" s="1"/>
      <c r="W2847" s="1"/>
      <c r="X2847" s="1"/>
      <c r="Y2847" s="1"/>
      <c r="Z2847" s="1"/>
      <c r="AA2847" s="1"/>
      <c r="AB2847" s="1"/>
      <c r="AC2847" s="1"/>
      <c r="AD2847" s="1"/>
      <c r="AE2847" s="1"/>
      <c r="AF2847" s="1"/>
      <c r="AG2847" s="1"/>
      <c r="AH2847" s="1"/>
      <c r="AI2847" s="1"/>
      <c r="AJ2847" s="1"/>
      <c r="AK2847" s="1"/>
      <c r="AL2847" s="1"/>
      <c r="AM2847" s="1"/>
      <c r="AN2847" s="1"/>
      <c r="AO2847" s="1"/>
      <c r="AP2847" s="1"/>
      <c r="AQ2847" s="1"/>
      <c r="AR2847" s="1"/>
      <c r="AS2847" s="1"/>
      <c r="AT2847" s="1"/>
      <c r="AU2847" s="1"/>
      <c r="AV2847" s="1"/>
      <c r="AW2847" s="1"/>
      <c r="AX2847" s="1"/>
      <c r="AY2847" s="1"/>
      <c r="AZ2847" s="1"/>
      <c r="BA2847" s="1"/>
      <c r="BB2847" s="1"/>
    </row>
    <row r="2848" ht="204.75" customHeight="1">
      <c r="A2848" s="1">
        <v>4725.0</v>
      </c>
      <c r="B2848" s="2" t="s">
        <v>8686</v>
      </c>
      <c r="C2848" s="2">
        <f>IFERROR(__xludf.DUMMYFUNCTION("split(B2848,""_"")"),1007.0)</f>
        <v>1007</v>
      </c>
      <c r="D2848" s="2" t="str">
        <f>IFERROR(__xludf.DUMMYFUNCTION("""COMPUTED_VALUE"""),"EX")</f>
        <v>EX</v>
      </c>
      <c r="E2848" s="2" t="str">
        <f>IFERROR(__xludf.DUMMYFUNCTION("""COMPUTED_VALUE"""),"金21")</f>
        <v>金21</v>
      </c>
      <c r="F2848" s="2" t="s">
        <v>8687</v>
      </c>
      <c r="G2848" s="2" t="s">
        <v>8701</v>
      </c>
      <c r="H2848" s="1">
        <v>6.0</v>
      </c>
      <c r="I2848" s="1" t="s">
        <v>21</v>
      </c>
      <c r="J2848" s="1" t="s">
        <v>11</v>
      </c>
      <c r="K2848" s="2" t="s">
        <v>8702</v>
      </c>
      <c r="L2848" s="11" t="s">
        <v>8693</v>
      </c>
      <c r="M2848" s="2" t="str">
        <f>IFERROR(__xludf.DUMMYFUNCTION("split(split(K2848,""山田優、"",false),""公式LINE"",false)"),"漫画家・西原理恵子の壮絶半生をドラマ化!連ドラ初主演の山田優はじめ個性的かつ豪華なキャストで贈る痛快サクセスストーリー!最下位には最下位の戦いがあるっ!　")</f>
        <v>漫画家・西原理恵子の壮絶半生をドラマ化!連ドラ初主演の山田優はじめ個性的かつ豪華なキャストで贈る痛快サクセスストーリー!最下位には最下位の戦いがあるっ!　</v>
      </c>
      <c r="N2848" s="2"/>
      <c r="O2848" s="2"/>
      <c r="P2848" s="1"/>
      <c r="Q2848" s="1"/>
      <c r="R2848" s="1"/>
      <c r="S2848" s="1"/>
      <c r="T2848" s="1"/>
      <c r="U2848" s="1"/>
      <c r="V2848" s="1"/>
      <c r="W2848" s="1"/>
      <c r="X2848" s="1"/>
      <c r="Y2848" s="1"/>
      <c r="Z2848" s="1"/>
      <c r="AA2848" s="1"/>
      <c r="AB2848" s="1"/>
      <c r="AC2848" s="1"/>
      <c r="AD2848" s="1"/>
      <c r="AE2848" s="1"/>
      <c r="AF2848" s="1"/>
      <c r="AG2848" s="1"/>
      <c r="AH2848" s="1"/>
      <c r="AI2848" s="1"/>
      <c r="AJ2848" s="1"/>
      <c r="AK2848" s="1"/>
      <c r="AL2848" s="1"/>
      <c r="AM2848" s="1"/>
      <c r="AN2848" s="1"/>
      <c r="AO2848" s="1"/>
      <c r="AP2848" s="1"/>
      <c r="AQ2848" s="1"/>
      <c r="AR2848" s="1"/>
      <c r="AS2848" s="1"/>
      <c r="AT2848" s="1"/>
      <c r="AU2848" s="1"/>
      <c r="AV2848" s="1"/>
      <c r="AW2848" s="1"/>
      <c r="AX2848" s="1"/>
      <c r="AY2848" s="1"/>
      <c r="AZ2848" s="1"/>
      <c r="BA2848" s="1"/>
      <c r="BB2848" s="1"/>
    </row>
    <row r="2849" ht="204.75" customHeight="1">
      <c r="A2849" s="1">
        <v>4726.0</v>
      </c>
      <c r="B2849" s="2" t="s">
        <v>8686</v>
      </c>
      <c r="C2849" s="2">
        <f>IFERROR(__xludf.DUMMYFUNCTION("split(B2849,""_"")"),1007.0)</f>
        <v>1007</v>
      </c>
      <c r="D2849" s="2" t="str">
        <f>IFERROR(__xludf.DUMMYFUNCTION("""COMPUTED_VALUE"""),"EX")</f>
        <v>EX</v>
      </c>
      <c r="E2849" s="2" t="str">
        <f>IFERROR(__xludf.DUMMYFUNCTION("""COMPUTED_VALUE"""),"金21")</f>
        <v>金21</v>
      </c>
      <c r="F2849" s="2" t="s">
        <v>8687</v>
      </c>
      <c r="G2849" s="2" t="s">
        <v>8703</v>
      </c>
      <c r="H2849" s="1">
        <v>7.0</v>
      </c>
      <c r="I2849" s="1" t="s">
        <v>25</v>
      </c>
      <c r="J2849" s="1" t="s">
        <v>11</v>
      </c>
      <c r="K2849" s="2" t="s">
        <v>8704</v>
      </c>
      <c r="L2849" s="11" t="s">
        <v>8693</v>
      </c>
      <c r="M2849" s="2" t="str">
        <f>IFERROR(__xludf.DUMMYFUNCTION("split(split(K2849,""山田優、"",false),""公式LINE"",false)"),"漫画家・西原理恵子の壮絶半生をドラマ化!連ドラ初主演の山田優はじめ個性的かつ豪華なキャストで贈る痛快サクセスストーリー!最下位には最下位の戦いがあるっ!　")</f>
        <v>漫画家・西原理恵子の壮絶半生をドラマ化!連ドラ初主演の山田優はじめ個性的かつ豪華なキャストで贈る痛快サクセスストーリー!最下位には最下位の戦いがあるっ!　</v>
      </c>
      <c r="N2849" s="2"/>
      <c r="O2849" s="2"/>
      <c r="P2849" s="1"/>
      <c r="Q2849" s="1"/>
      <c r="R2849" s="1"/>
      <c r="S2849" s="1"/>
      <c r="T2849" s="1"/>
      <c r="U2849" s="1"/>
      <c r="V2849" s="1"/>
      <c r="W2849" s="1"/>
      <c r="X2849" s="1"/>
      <c r="Y2849" s="1"/>
      <c r="Z2849" s="1"/>
      <c r="AA2849" s="1"/>
      <c r="AB2849" s="1"/>
      <c r="AC2849" s="1"/>
      <c r="AD2849" s="1"/>
      <c r="AE2849" s="1"/>
      <c r="AF2849" s="1"/>
      <c r="AG2849" s="1"/>
      <c r="AH2849" s="1"/>
      <c r="AI2849" s="1"/>
      <c r="AJ2849" s="1"/>
      <c r="AK2849" s="1"/>
      <c r="AL2849" s="1"/>
      <c r="AM2849" s="1"/>
      <c r="AN2849" s="1"/>
      <c r="AO2849" s="1"/>
      <c r="AP2849" s="1"/>
      <c r="AQ2849" s="1"/>
      <c r="AR2849" s="1"/>
      <c r="AS2849" s="1"/>
      <c r="AT2849" s="1"/>
      <c r="AU2849" s="1"/>
      <c r="AV2849" s="1"/>
      <c r="AW2849" s="1"/>
      <c r="AX2849" s="1"/>
      <c r="AY2849" s="1"/>
      <c r="AZ2849" s="1"/>
      <c r="BA2849" s="1"/>
      <c r="BB2849" s="1"/>
    </row>
    <row r="2850" ht="204.75" customHeight="1">
      <c r="A2850" s="1">
        <v>4727.0</v>
      </c>
      <c r="B2850" s="2" t="s">
        <v>8686</v>
      </c>
      <c r="C2850" s="2">
        <f>IFERROR(__xludf.DUMMYFUNCTION("split(B2850,""_"")"),1007.0)</f>
        <v>1007</v>
      </c>
      <c r="D2850" s="2" t="str">
        <f>IFERROR(__xludf.DUMMYFUNCTION("""COMPUTED_VALUE"""),"EX")</f>
        <v>EX</v>
      </c>
      <c r="E2850" s="2" t="str">
        <f>IFERROR(__xludf.DUMMYFUNCTION("""COMPUTED_VALUE"""),"金21")</f>
        <v>金21</v>
      </c>
      <c r="F2850" s="2" t="s">
        <v>8687</v>
      </c>
      <c r="G2850" s="2" t="s">
        <v>8705</v>
      </c>
      <c r="H2850" s="1">
        <v>8.0</v>
      </c>
      <c r="I2850" s="1" t="s">
        <v>29</v>
      </c>
      <c r="J2850" s="1" t="s">
        <v>11</v>
      </c>
      <c r="K2850" s="2" t="s">
        <v>8706</v>
      </c>
      <c r="L2850" s="11" t="s">
        <v>8693</v>
      </c>
      <c r="M2850" s="2" t="str">
        <f>IFERROR(__xludf.DUMMYFUNCTION("split(split(K2850,""山田優、"",false),""公式LINE"",false)"),"漫画家・西原理恵子の壮絶半生をドラマ化!連ドラ初主演の山田優はじめ個性的かつ豪華なキャストで贈る痛快サクセスストーリー!最下位には最下位の戦いがあるっ!　")</f>
        <v>漫画家・西原理恵子の壮絶半生をドラマ化!連ドラ初主演の山田優はじめ個性的かつ豪華なキャストで贈る痛快サクセスストーリー!最下位には最下位の戦いがあるっ!　</v>
      </c>
      <c r="N2850" s="2"/>
      <c r="O2850" s="2"/>
      <c r="P2850" s="1"/>
      <c r="Q2850" s="1"/>
      <c r="R2850" s="1"/>
      <c r="S2850" s="1"/>
      <c r="T2850" s="1"/>
      <c r="U2850" s="1"/>
      <c r="V2850" s="1"/>
      <c r="W2850" s="1"/>
      <c r="X2850" s="1"/>
      <c r="Y2850" s="1"/>
      <c r="Z2850" s="1"/>
      <c r="AA2850" s="1"/>
      <c r="AB2850" s="1"/>
      <c r="AC2850" s="1"/>
      <c r="AD2850" s="1"/>
      <c r="AE2850" s="1"/>
      <c r="AF2850" s="1"/>
      <c r="AG2850" s="1"/>
      <c r="AH2850" s="1"/>
      <c r="AI2850" s="1"/>
      <c r="AJ2850" s="1"/>
      <c r="AK2850" s="1"/>
      <c r="AL2850" s="1"/>
      <c r="AM2850" s="1"/>
      <c r="AN2850" s="1"/>
      <c r="AO2850" s="1"/>
      <c r="AP2850" s="1"/>
      <c r="AQ2850" s="1"/>
      <c r="AR2850" s="1"/>
      <c r="AS2850" s="1"/>
      <c r="AT2850" s="1"/>
      <c r="AU2850" s="1"/>
      <c r="AV2850" s="1"/>
      <c r="AW2850" s="1"/>
      <c r="AX2850" s="1"/>
      <c r="AY2850" s="1"/>
      <c r="AZ2850" s="1"/>
      <c r="BA2850" s="1"/>
      <c r="BB2850" s="1"/>
    </row>
    <row r="2851" ht="204.75" customHeight="1">
      <c r="A2851" s="1">
        <v>4728.0</v>
      </c>
      <c r="B2851" s="2" t="s">
        <v>8686</v>
      </c>
      <c r="C2851" s="2">
        <f>IFERROR(__xludf.DUMMYFUNCTION("split(B2851,""_"")"),1007.0)</f>
        <v>1007</v>
      </c>
      <c r="D2851" s="2" t="str">
        <f>IFERROR(__xludf.DUMMYFUNCTION("""COMPUTED_VALUE"""),"EX")</f>
        <v>EX</v>
      </c>
      <c r="E2851" s="2" t="str">
        <f>IFERROR(__xludf.DUMMYFUNCTION("""COMPUTED_VALUE"""),"金21")</f>
        <v>金21</v>
      </c>
      <c r="F2851" s="2" t="s">
        <v>8687</v>
      </c>
      <c r="G2851" s="2" t="s">
        <v>8707</v>
      </c>
      <c r="H2851" s="1">
        <v>9.0</v>
      </c>
      <c r="J2851" s="1" t="s">
        <v>11</v>
      </c>
      <c r="K2851" s="2" t="s">
        <v>8708</v>
      </c>
      <c r="L2851" s="11" t="s">
        <v>8693</v>
      </c>
      <c r="M2851" s="2" t="str">
        <f>IFERROR(__xludf.DUMMYFUNCTION("split(split(K2851,""山田優、"",false),""公式LINE"",false)"),"漫画家・西原理恵子の壮絶半生をドラマ化!連ドラ初主演の山田優はじめ個性的かつ豪華なキャストで贈る痛快サクセスストーリー!最下位には最下位の戦いがあるっ!　")</f>
        <v>漫画家・西原理恵子の壮絶半生をドラマ化!連ドラ初主演の山田優はじめ個性的かつ豪華なキャストで贈る痛快サクセスストーリー!最下位には最下位の戦いがあるっ!　</v>
      </c>
      <c r="N2851" s="2"/>
      <c r="O2851" s="2"/>
      <c r="P2851" s="1"/>
      <c r="Q2851" s="1"/>
      <c r="R2851" s="1"/>
      <c r="S2851" s="1"/>
      <c r="T2851" s="1"/>
      <c r="U2851" s="1"/>
      <c r="V2851" s="1"/>
      <c r="W2851" s="1"/>
      <c r="X2851" s="1"/>
      <c r="Y2851" s="1"/>
      <c r="Z2851" s="1"/>
      <c r="AA2851" s="1"/>
      <c r="AB2851" s="1"/>
      <c r="AC2851" s="1"/>
      <c r="AD2851" s="1"/>
      <c r="AE2851" s="1"/>
      <c r="AF2851" s="1"/>
      <c r="AG2851" s="1"/>
      <c r="AH2851" s="1"/>
      <c r="AI2851" s="1"/>
      <c r="AJ2851" s="1"/>
      <c r="AK2851" s="1"/>
      <c r="AL2851" s="1"/>
      <c r="AM2851" s="1"/>
      <c r="AN2851" s="1"/>
      <c r="AO2851" s="1"/>
      <c r="AP2851" s="1"/>
      <c r="AQ2851" s="1"/>
      <c r="AR2851" s="1"/>
      <c r="AS2851" s="1"/>
      <c r="AT2851" s="1"/>
      <c r="AU2851" s="1"/>
      <c r="AV2851" s="1"/>
      <c r="AW2851" s="1"/>
      <c r="AX2851" s="1"/>
      <c r="AY2851" s="1"/>
      <c r="AZ2851" s="1"/>
      <c r="BA2851" s="1"/>
      <c r="BB2851" s="1"/>
    </row>
    <row r="2852" ht="204.75" customHeight="1">
      <c r="A2852" s="1">
        <v>4740.0</v>
      </c>
      <c r="B2852" s="2" t="s">
        <v>8709</v>
      </c>
      <c r="C2852" s="2">
        <f>IFERROR(__xludf.DUMMYFUNCTION("split(B2852,""_"")"),1007.0)</f>
        <v>1007</v>
      </c>
      <c r="D2852" s="2" t="str">
        <f>IFERROR(__xludf.DUMMYFUNCTION("""COMPUTED_VALUE"""),"EX")</f>
        <v>EX</v>
      </c>
      <c r="E2852" s="2" t="str">
        <f>IFERROR(__xludf.DUMMYFUNCTION("""COMPUTED_VALUE"""),"金23")</f>
        <v>金23</v>
      </c>
      <c r="F2852" s="2" t="s">
        <v>8710</v>
      </c>
      <c r="G2852" s="2" t="s">
        <v>8711</v>
      </c>
      <c r="H2852" s="1">
        <v>1.0</v>
      </c>
      <c r="I2852" s="1" t="s">
        <v>3</v>
      </c>
      <c r="J2852" s="1" t="s">
        <v>1435</v>
      </c>
      <c r="K2852" s="4" t="s">
        <v>8712</v>
      </c>
      <c r="L2852" s="11" t="s">
        <v>8713</v>
      </c>
      <c r="M2852" s="2" t="str">
        <f>IFERROR(__xludf.DUMMYFUNCTION("split(split(K2852,""オダギリジョー、"",false),""公式LINE"",false)"),"女子高生4人の乗ったバスが忽然と姿を消した!その事件を捜査する広域捜査官・星崎(オダギリジョー)と北島(栗山千明)!事件の鍵を握るのは、失踪した4人のうち、唯一戻ってきた少女・東雲麻衣。星崎と北島は東雲に会いに行くが、異様な姿に驚くのであった!")</f>
        <v>女子高生4人の乗ったバスが忽然と姿を消した!その事件を捜査する広域捜査官・星崎(オダギリジョー)と北島(栗山千明)!事件の鍵を握るのは、失踪した4人のうち、唯一戻ってきた少女・東雲麻衣。星崎と北島は東雲に会いに行くが、異様な姿に驚くのであった!</v>
      </c>
      <c r="N2852" s="2"/>
      <c r="O2852" s="2"/>
      <c r="P2852" s="1"/>
      <c r="Q2852" s="1"/>
      <c r="R2852" s="1"/>
      <c r="S2852" s="1"/>
      <c r="T2852" s="1"/>
      <c r="U2852" s="1"/>
      <c r="V2852" s="1"/>
      <c r="W2852" s="1"/>
      <c r="X2852" s="1"/>
      <c r="Y2852" s="1"/>
      <c r="Z2852" s="1"/>
      <c r="AA2852" s="1"/>
      <c r="AB2852" s="1"/>
      <c r="AC2852" s="1"/>
      <c r="AD2852" s="1"/>
      <c r="AE2852" s="1"/>
      <c r="AF2852" s="1"/>
      <c r="AG2852" s="1"/>
      <c r="AH2852" s="1"/>
      <c r="AI2852" s="1"/>
      <c r="AJ2852" s="1"/>
      <c r="AK2852" s="1"/>
      <c r="AL2852" s="1"/>
      <c r="AM2852" s="1"/>
      <c r="AN2852" s="1"/>
      <c r="AO2852" s="1"/>
      <c r="AP2852" s="1"/>
      <c r="AQ2852" s="1"/>
      <c r="AR2852" s="1"/>
      <c r="AS2852" s="1"/>
      <c r="AT2852" s="1"/>
      <c r="AU2852" s="1"/>
      <c r="AV2852" s="1"/>
      <c r="AW2852" s="1"/>
      <c r="AX2852" s="1"/>
      <c r="AY2852" s="1"/>
      <c r="AZ2852" s="1"/>
      <c r="BA2852" s="1"/>
      <c r="BB2852" s="1"/>
    </row>
    <row r="2853" ht="204.75" customHeight="1">
      <c r="A2853" s="1">
        <v>4741.0</v>
      </c>
      <c r="B2853" s="2" t="s">
        <v>8709</v>
      </c>
      <c r="C2853" s="2">
        <f>IFERROR(__xludf.DUMMYFUNCTION("split(B2853,""_"")"),1007.0)</f>
        <v>1007</v>
      </c>
      <c r="D2853" s="2" t="str">
        <f>IFERROR(__xludf.DUMMYFUNCTION("""COMPUTED_VALUE"""),"EX")</f>
        <v>EX</v>
      </c>
      <c r="E2853" s="2" t="str">
        <f>IFERROR(__xludf.DUMMYFUNCTION("""COMPUTED_VALUE"""),"金23")</f>
        <v>金23</v>
      </c>
      <c r="F2853" s="2" t="s">
        <v>8710</v>
      </c>
      <c r="G2853" s="2" t="s">
        <v>8714</v>
      </c>
      <c r="H2853" s="1">
        <v>2.0</v>
      </c>
      <c r="I2853" s="1" t="s">
        <v>7</v>
      </c>
      <c r="J2853" s="1" t="s">
        <v>1435</v>
      </c>
      <c r="K2853" s="2" t="s">
        <v>8715</v>
      </c>
      <c r="L2853" s="11" t="s">
        <v>8716</v>
      </c>
      <c r="M2853" s="2" t="str">
        <f>IFERROR(__xludf.DUMMYFUNCTION("split(split(K2853,""オダギリジョー、"",false),""公式LINE"",false)"),"失踪したバスは海底から見つかったが、3人の少女は行方不明のまま・・・その中の1人、椹木みこは陶芸クラブのメンバーだったことが発覚!しかも、その妖しい陶芸クラブにはウラの顔が!そして、1人だけ生還した包帯少女の東雲の正体もついに明らかになる!　")</f>
        <v>失踪したバスは海底から見つかったが、3人の少女は行方不明のまま・・・その中の1人、椹木みこは陶芸クラブのメンバーだったことが発覚!しかも、その妖しい陶芸クラブにはウラの顔が!そして、1人だけ生還した包帯少女の東雲の正体もついに明らかになる!　</v>
      </c>
      <c r="N2853" s="2"/>
      <c r="O2853" s="2"/>
      <c r="P2853" s="1"/>
      <c r="Q2853" s="1"/>
      <c r="R2853" s="1"/>
      <c r="S2853" s="1"/>
      <c r="T2853" s="1"/>
      <c r="U2853" s="1"/>
      <c r="V2853" s="1"/>
      <c r="W2853" s="1"/>
      <c r="X2853" s="1"/>
      <c r="Y2853" s="1"/>
      <c r="Z2853" s="1"/>
      <c r="AA2853" s="1"/>
      <c r="AB2853" s="1"/>
      <c r="AC2853" s="1"/>
      <c r="AD2853" s="1"/>
      <c r="AE2853" s="1"/>
      <c r="AF2853" s="1"/>
      <c r="AG2853" s="1"/>
      <c r="AH2853" s="1"/>
      <c r="AI2853" s="1"/>
      <c r="AJ2853" s="1"/>
      <c r="AK2853" s="1"/>
      <c r="AL2853" s="1"/>
      <c r="AM2853" s="1"/>
      <c r="AN2853" s="1"/>
      <c r="AO2853" s="1"/>
      <c r="AP2853" s="1"/>
      <c r="AQ2853" s="1"/>
      <c r="AR2853" s="1"/>
      <c r="AS2853" s="1"/>
      <c r="AT2853" s="1"/>
      <c r="AU2853" s="1"/>
      <c r="AV2853" s="1"/>
      <c r="AW2853" s="1"/>
      <c r="AX2853" s="1"/>
      <c r="AY2853" s="1"/>
      <c r="AZ2853" s="1"/>
      <c r="BA2853" s="1"/>
      <c r="BB2853" s="1"/>
    </row>
    <row r="2854" ht="204.75" customHeight="1">
      <c r="A2854" s="1">
        <v>4742.0</v>
      </c>
      <c r="B2854" s="2" t="s">
        <v>8709</v>
      </c>
      <c r="C2854" s="2">
        <f>IFERROR(__xludf.DUMMYFUNCTION("split(B2854,""_"")"),1007.0)</f>
        <v>1007</v>
      </c>
      <c r="D2854" s="2" t="str">
        <f>IFERROR(__xludf.DUMMYFUNCTION("""COMPUTED_VALUE"""),"EX")</f>
        <v>EX</v>
      </c>
      <c r="E2854" s="2" t="str">
        <f>IFERROR(__xludf.DUMMYFUNCTION("""COMPUTED_VALUE"""),"金23")</f>
        <v>金23</v>
      </c>
      <c r="F2854" s="2" t="s">
        <v>8710</v>
      </c>
      <c r="G2854" s="2" t="s">
        <v>8717</v>
      </c>
      <c r="H2854" s="1">
        <v>3.0</v>
      </c>
      <c r="I2854" s="1" t="s">
        <v>10</v>
      </c>
      <c r="J2854" s="1" t="s">
        <v>1435</v>
      </c>
      <c r="K2854" s="2" t="s">
        <v>8718</v>
      </c>
      <c r="L2854" s="11" t="s">
        <v>8719</v>
      </c>
      <c r="M2854" s="2" t="str">
        <f>IFERROR(__xludf.DUMMYFUNCTION("split(split(K2854,""オダギリジョー、"",false),""公式LINE"",false)"),"星崎たちは北島が手品で消した蛇川が住む大名荘へ。蛇川の姿は見当たらなかったが畳の下からビデオテープが出てきた! その矢先、桂東の調べで蛇川に関する驚愕の事実が判明!星崎らは急いでビデオテープの映像を確認。そこには不思議なダンスを踊る椹木みこと包帯少女・東雲が映っていた…　")</f>
        <v>星崎たちは北島が手品で消した蛇川が住む大名荘へ。蛇川の姿は見当たらなかったが畳の下からビデオテープが出てきた! その矢先、桂東の調べで蛇川に関する驚愕の事実が判明!星崎らは急いでビデオテープの映像を確認。そこには不思議なダンスを踊る椹木みこと包帯少女・東雲が映っていた…　</v>
      </c>
      <c r="N2854" s="2"/>
      <c r="O2854" s="2"/>
      <c r="P2854" s="1"/>
      <c r="Q2854" s="1"/>
      <c r="R2854" s="1"/>
      <c r="S2854" s="1"/>
      <c r="T2854" s="1"/>
      <c r="U2854" s="1"/>
      <c r="V2854" s="1"/>
      <c r="W2854" s="1"/>
      <c r="X2854" s="1"/>
      <c r="Y2854" s="1"/>
      <c r="Z2854" s="1"/>
      <c r="AA2854" s="1"/>
      <c r="AB2854" s="1"/>
      <c r="AC2854" s="1"/>
      <c r="AD2854" s="1"/>
      <c r="AE2854" s="1"/>
      <c r="AF2854" s="1"/>
      <c r="AG2854" s="1"/>
      <c r="AH2854" s="1"/>
      <c r="AI2854" s="1"/>
      <c r="AJ2854" s="1"/>
      <c r="AK2854" s="1"/>
      <c r="AL2854" s="1"/>
      <c r="AM2854" s="1"/>
      <c r="AN2854" s="1"/>
      <c r="AO2854" s="1"/>
      <c r="AP2854" s="1"/>
      <c r="AQ2854" s="1"/>
      <c r="AR2854" s="1"/>
      <c r="AS2854" s="1"/>
      <c r="AT2854" s="1"/>
      <c r="AU2854" s="1"/>
      <c r="AV2854" s="1"/>
      <c r="AW2854" s="1"/>
      <c r="AX2854" s="1"/>
      <c r="AY2854" s="1"/>
      <c r="AZ2854" s="1"/>
      <c r="BA2854" s="1"/>
      <c r="BB2854" s="1"/>
    </row>
    <row r="2855" ht="204.75" customHeight="1">
      <c r="A2855" s="1">
        <v>4743.0</v>
      </c>
      <c r="B2855" s="2" t="s">
        <v>8709</v>
      </c>
      <c r="C2855" s="2">
        <f>IFERROR(__xludf.DUMMYFUNCTION("split(B2855,""_"")"),1007.0)</f>
        <v>1007</v>
      </c>
      <c r="D2855" s="2" t="str">
        <f>IFERROR(__xludf.DUMMYFUNCTION("""COMPUTED_VALUE"""),"EX")</f>
        <v>EX</v>
      </c>
      <c r="E2855" s="2" t="str">
        <f>IFERROR(__xludf.DUMMYFUNCTION("""COMPUTED_VALUE"""),"金23")</f>
        <v>金23</v>
      </c>
      <c r="F2855" s="2" t="s">
        <v>8710</v>
      </c>
      <c r="G2855" s="2" t="s">
        <v>8720</v>
      </c>
      <c r="H2855" s="1">
        <v>4.0</v>
      </c>
      <c r="I2855" s="1" t="s">
        <v>14</v>
      </c>
      <c r="J2855" s="1" t="s">
        <v>1435</v>
      </c>
      <c r="K2855" s="2" t="s">
        <v>8721</v>
      </c>
      <c r="L2855" s="11" t="s">
        <v>8722</v>
      </c>
      <c r="M2855" s="2" t="str">
        <f>IFERROR(__xludf.DUMMYFUNCTION("split(split(K2855,""オダギリジョー、"",false),""公式LINE"",false)"),"星崎になぜ東雲らに裸をデッサンさせたのか追及された新也は敷島先生との秘密を告白してしまう。そして、東雲らが乗ったスクールバスが事件発生現場に差し掛かった途端、倒れている人を発見!新宮寺は3年前と同じようにバスを止めて、その人物に近付いた。バスは再び消えてしまうのか!?　")</f>
        <v>星崎になぜ東雲らに裸をデッサンさせたのか追及された新也は敷島先生との秘密を告白してしまう。そして、東雲らが乗ったスクールバスが事件発生現場に差し掛かった途端、倒れている人を発見!新宮寺は3年前と同じようにバスを止めて、その人物に近付いた。バスは再び消えてしまうのか!?　</v>
      </c>
      <c r="N2855" s="2"/>
      <c r="O2855" s="2"/>
      <c r="P2855" s="1"/>
      <c r="Q2855" s="1"/>
      <c r="R2855" s="1"/>
      <c r="S2855" s="1"/>
      <c r="T2855" s="1"/>
      <c r="U2855" s="1"/>
      <c r="V2855" s="1"/>
      <c r="W2855" s="1"/>
      <c r="X2855" s="1"/>
      <c r="Y2855" s="1"/>
      <c r="Z2855" s="1"/>
      <c r="AA2855" s="1"/>
      <c r="AB2855" s="1"/>
      <c r="AC2855" s="1"/>
      <c r="AD2855" s="1"/>
      <c r="AE2855" s="1"/>
      <c r="AF2855" s="1"/>
      <c r="AG2855" s="1"/>
      <c r="AH2855" s="1"/>
      <c r="AI2855" s="1"/>
      <c r="AJ2855" s="1"/>
      <c r="AK2855" s="1"/>
      <c r="AL2855" s="1"/>
      <c r="AM2855" s="1"/>
      <c r="AN2855" s="1"/>
      <c r="AO2855" s="1"/>
      <c r="AP2855" s="1"/>
      <c r="AQ2855" s="1"/>
      <c r="AR2855" s="1"/>
      <c r="AS2855" s="1"/>
      <c r="AT2855" s="1"/>
      <c r="AU2855" s="1"/>
      <c r="AV2855" s="1"/>
      <c r="AW2855" s="1"/>
      <c r="AX2855" s="1"/>
      <c r="AY2855" s="1"/>
      <c r="AZ2855" s="1"/>
      <c r="BA2855" s="1"/>
      <c r="BB2855" s="1"/>
    </row>
    <row r="2856" ht="204.75" customHeight="1">
      <c r="A2856" s="1">
        <v>4744.0</v>
      </c>
      <c r="B2856" s="2" t="s">
        <v>8709</v>
      </c>
      <c r="C2856" s="2">
        <f>IFERROR(__xludf.DUMMYFUNCTION("split(B2856,""_"")"),1007.0)</f>
        <v>1007</v>
      </c>
      <c r="D2856" s="2" t="str">
        <f>IFERROR(__xludf.DUMMYFUNCTION("""COMPUTED_VALUE"""),"EX")</f>
        <v>EX</v>
      </c>
      <c r="E2856" s="2" t="str">
        <f>IFERROR(__xludf.DUMMYFUNCTION("""COMPUTED_VALUE"""),"金23")</f>
        <v>金23</v>
      </c>
      <c r="F2856" s="2" t="s">
        <v>8710</v>
      </c>
      <c r="G2856" s="2" t="s">
        <v>8723</v>
      </c>
      <c r="H2856" s="1">
        <v>5.0</v>
      </c>
      <c r="I2856" s="1" t="s">
        <v>17</v>
      </c>
      <c r="J2856" s="1" t="s">
        <v>1435</v>
      </c>
      <c r="K2856" s="2" t="s">
        <v>8724</v>
      </c>
      <c r="L2856" s="11" t="s">
        <v>8725</v>
      </c>
      <c r="M2856" s="2" t="str">
        <f>IFERROR(__xludf.DUMMYFUNCTION("split(split(K2856,""オダギリジョー、"",false),""公式LINE"",false)"),"1人だけ生還した少女・東雲がバス失踪直前の“ある記憶”を取り戻したという。その記憶が正しければ、行方不明の3人の少女がバスと一緒に海へと沈んだ可能性は消える。やがて星崎は東雲からバス消失地点に呼び出されるが、現地に到着した直後、背後から何者かに殴られ昏倒してしまう!　")</f>
        <v>1人だけ生還した少女・東雲がバス失踪直前の“ある記憶”を取り戻したという。その記憶が正しければ、行方不明の3人の少女がバスと一緒に海へと沈んだ可能性は消える。やがて星崎は東雲からバス消失地点に呼び出されるが、現地に到着した直後、背後から何者かに殴られ昏倒してしまう!　</v>
      </c>
      <c r="N2856" s="2"/>
      <c r="O2856" s="2"/>
      <c r="P2856" s="1"/>
      <c r="Q2856" s="1"/>
      <c r="R2856" s="1"/>
      <c r="S2856" s="1"/>
      <c r="T2856" s="1"/>
      <c r="U2856" s="1"/>
      <c r="V2856" s="1"/>
      <c r="W2856" s="1"/>
      <c r="X2856" s="1"/>
      <c r="Y2856" s="1"/>
      <c r="Z2856" s="1"/>
      <c r="AA2856" s="1"/>
      <c r="AB2856" s="1"/>
      <c r="AC2856" s="1"/>
      <c r="AD2856" s="1"/>
      <c r="AE2856" s="1"/>
      <c r="AF2856" s="1"/>
      <c r="AG2856" s="1"/>
      <c r="AH2856" s="1"/>
      <c r="AI2856" s="1"/>
      <c r="AJ2856" s="1"/>
      <c r="AK2856" s="1"/>
      <c r="AL2856" s="1"/>
      <c r="AM2856" s="1"/>
      <c r="AN2856" s="1"/>
      <c r="AO2856" s="1"/>
      <c r="AP2856" s="1"/>
      <c r="AQ2856" s="1"/>
      <c r="AR2856" s="1"/>
      <c r="AS2856" s="1"/>
      <c r="AT2856" s="1"/>
      <c r="AU2856" s="1"/>
      <c r="AV2856" s="1"/>
      <c r="AW2856" s="1"/>
      <c r="AX2856" s="1"/>
      <c r="AY2856" s="1"/>
      <c r="AZ2856" s="1"/>
      <c r="BA2856" s="1"/>
      <c r="BB2856" s="1"/>
    </row>
    <row r="2857" ht="204.75" customHeight="1">
      <c r="A2857" s="1">
        <v>4745.0</v>
      </c>
      <c r="B2857" s="2" t="s">
        <v>8709</v>
      </c>
      <c r="C2857" s="2">
        <f>IFERROR(__xludf.DUMMYFUNCTION("split(B2857,""_"")"),1007.0)</f>
        <v>1007</v>
      </c>
      <c r="D2857" s="2" t="str">
        <f>IFERROR(__xludf.DUMMYFUNCTION("""COMPUTED_VALUE"""),"EX")</f>
        <v>EX</v>
      </c>
      <c r="E2857" s="2" t="str">
        <f>IFERROR(__xludf.DUMMYFUNCTION("""COMPUTED_VALUE"""),"金23")</f>
        <v>金23</v>
      </c>
      <c r="F2857" s="2" t="s">
        <v>8710</v>
      </c>
      <c r="G2857" s="2" t="s">
        <v>8726</v>
      </c>
      <c r="H2857" s="1">
        <v>6.0</v>
      </c>
      <c r="I2857" s="1" t="s">
        <v>21</v>
      </c>
      <c r="J2857" s="1" t="s">
        <v>1435</v>
      </c>
      <c r="K2857" s="2" t="s">
        <v>8727</v>
      </c>
      <c r="L2857" s="11" t="s">
        <v>8728</v>
      </c>
      <c r="M2857" s="2" t="str">
        <f>IFERROR(__xludf.DUMMYFUNCTION("split(split(K2857,""オダギリジョー、"",false),""公式LINE"",false)"),"新宮寺の死の真相は!?犯人を捜す北島に対し、星崎は意外な説を唱える。南熱海警察署では桂東がイタズラ用に作った落とし穴に“邪悪な者”が落ちているのを発見する。その正体とは一体…!? 一方、永遠の森学園では新也が東雲に、甘利レミーとの意外な関係を告白していた…。　")</f>
        <v>新宮寺の死の真相は!?犯人を捜す北島に対し、星崎は意外な説を唱える。南熱海警察署では桂東がイタズラ用に作った落とし穴に“邪悪な者”が落ちているのを発見する。その正体とは一体…!? 一方、永遠の森学園では新也が東雲に、甘利レミーとの意外な関係を告白していた…。　</v>
      </c>
      <c r="N2857" s="2"/>
      <c r="O2857" s="2"/>
      <c r="P2857" s="1"/>
      <c r="Q2857" s="1"/>
      <c r="R2857" s="1"/>
      <c r="S2857" s="1"/>
      <c r="T2857" s="1"/>
      <c r="U2857" s="1"/>
      <c r="V2857" s="1"/>
      <c r="W2857" s="1"/>
      <c r="X2857" s="1"/>
      <c r="Y2857" s="1"/>
      <c r="Z2857" s="1"/>
      <c r="AA2857" s="1"/>
      <c r="AB2857" s="1"/>
      <c r="AC2857" s="1"/>
      <c r="AD2857" s="1"/>
      <c r="AE2857" s="1"/>
      <c r="AF2857" s="1"/>
      <c r="AG2857" s="1"/>
      <c r="AH2857" s="1"/>
      <c r="AI2857" s="1"/>
      <c r="AJ2857" s="1"/>
      <c r="AK2857" s="1"/>
      <c r="AL2857" s="1"/>
      <c r="AM2857" s="1"/>
      <c r="AN2857" s="1"/>
      <c r="AO2857" s="1"/>
      <c r="AP2857" s="1"/>
      <c r="AQ2857" s="1"/>
      <c r="AR2857" s="1"/>
      <c r="AS2857" s="1"/>
      <c r="AT2857" s="1"/>
      <c r="AU2857" s="1"/>
      <c r="AV2857" s="1"/>
      <c r="AW2857" s="1"/>
      <c r="AX2857" s="1"/>
      <c r="AY2857" s="1"/>
      <c r="AZ2857" s="1"/>
      <c r="BA2857" s="1"/>
      <c r="BB2857" s="1"/>
    </row>
    <row r="2858" ht="204.75" customHeight="1">
      <c r="A2858" s="1">
        <v>4746.0</v>
      </c>
      <c r="B2858" s="2" t="s">
        <v>8709</v>
      </c>
      <c r="C2858" s="2">
        <f>IFERROR(__xludf.DUMMYFUNCTION("split(B2858,""_"")"),1007.0)</f>
        <v>1007</v>
      </c>
      <c r="D2858" s="2" t="str">
        <f>IFERROR(__xludf.DUMMYFUNCTION("""COMPUTED_VALUE"""),"EX")</f>
        <v>EX</v>
      </c>
      <c r="E2858" s="2" t="str">
        <f>IFERROR(__xludf.DUMMYFUNCTION("""COMPUTED_VALUE"""),"金23")</f>
        <v>金23</v>
      </c>
      <c r="F2858" s="2" t="s">
        <v>8710</v>
      </c>
      <c r="G2858" s="2" t="s">
        <v>8729</v>
      </c>
      <c r="H2858" s="1">
        <v>7.0</v>
      </c>
      <c r="I2858" s="1" t="s">
        <v>25</v>
      </c>
      <c r="J2858" s="1" t="s">
        <v>1435</v>
      </c>
      <c r="K2858" s="2" t="s">
        <v>8730</v>
      </c>
      <c r="L2858" s="11" t="s">
        <v>8731</v>
      </c>
      <c r="M2858" s="2" t="str">
        <f>IFERROR(__xludf.DUMMYFUNCTION("split(split(K2858,""オダギリジョー、"",false),""公式LINE"",false)"),"『最終章!ついにバスを消した真犯人が明らかに!!』東雲がさらに一つ記憶を取り戻す。そして、犬塚が手に入れた機械でカセットテープを再生すると驚きの映像が!真犯人の正体は意外な人物だった!星崎と北島の関係は?涙のラストに繋がる衝撃の最終章!　")</f>
        <v>『最終章!ついにバスを消した真犯人が明らかに!!』東雲がさらに一つ記憶を取り戻す。そして、犬塚が手に入れた機械でカセットテープを再生すると驚きの映像が!真犯人の正体は意外な人物だった!星崎と北島の関係は?涙のラストに繋がる衝撃の最終章!　</v>
      </c>
      <c r="N2858" s="2"/>
      <c r="O2858" s="2"/>
      <c r="P2858" s="1"/>
      <c r="Q2858" s="1"/>
      <c r="R2858" s="1"/>
      <c r="S2858" s="1"/>
      <c r="T2858" s="1"/>
      <c r="U2858" s="1"/>
      <c r="V2858" s="1"/>
      <c r="W2858" s="1"/>
      <c r="X2858" s="1"/>
      <c r="Y2858" s="1"/>
      <c r="Z2858" s="1"/>
      <c r="AA2858" s="1"/>
      <c r="AB2858" s="1"/>
      <c r="AC2858" s="1"/>
      <c r="AD2858" s="1"/>
      <c r="AE2858" s="1"/>
      <c r="AF2858" s="1"/>
      <c r="AG2858" s="1"/>
      <c r="AH2858" s="1"/>
      <c r="AI2858" s="1"/>
      <c r="AJ2858" s="1"/>
      <c r="AK2858" s="1"/>
      <c r="AL2858" s="1"/>
      <c r="AM2858" s="1"/>
      <c r="AN2858" s="1"/>
      <c r="AO2858" s="1"/>
      <c r="AP2858" s="1"/>
      <c r="AQ2858" s="1"/>
      <c r="AR2858" s="1"/>
      <c r="AS2858" s="1"/>
      <c r="AT2858" s="1"/>
      <c r="AU2858" s="1"/>
      <c r="AV2858" s="1"/>
      <c r="AW2858" s="1"/>
      <c r="AX2858" s="1"/>
      <c r="AY2858" s="1"/>
      <c r="AZ2858" s="1"/>
      <c r="BA2858" s="1"/>
      <c r="BB2858" s="1"/>
    </row>
    <row r="2859" ht="204.75" customHeight="1">
      <c r="A2859" s="1">
        <v>4747.0</v>
      </c>
      <c r="B2859" s="2" t="s">
        <v>8709</v>
      </c>
      <c r="C2859" s="2">
        <f>IFERROR(__xludf.DUMMYFUNCTION("split(B2859,""_"")"),1007.0)</f>
        <v>1007</v>
      </c>
      <c r="D2859" s="2" t="str">
        <f>IFERROR(__xludf.DUMMYFUNCTION("""COMPUTED_VALUE"""),"EX")</f>
        <v>EX</v>
      </c>
      <c r="E2859" s="2" t="str">
        <f>IFERROR(__xludf.DUMMYFUNCTION("""COMPUTED_VALUE"""),"金23")</f>
        <v>金23</v>
      </c>
      <c r="F2859" s="2" t="s">
        <v>8710</v>
      </c>
      <c r="G2859" s="2" t="s">
        <v>8732</v>
      </c>
      <c r="H2859" s="1">
        <v>8.0</v>
      </c>
      <c r="J2859" s="1" t="s">
        <v>1435</v>
      </c>
      <c r="K2859" s="2" t="s">
        <v>8733</v>
      </c>
      <c r="L2859" s="11" t="s">
        <v>8734</v>
      </c>
      <c r="M2859" s="2" t="str">
        <f>IFERROR(__xludf.DUMMYFUNCTION("split(split(K2859,""オダギリジョー、"",false),""公式LINE"",false)"),"ついに涙の最終回!美少女がバスごと失踪した事件の謎がついに全て明らかになる!平坂の本当の動機とは?行方不明の3人の美少女はどこにいるのか?そして意外な共犯者とは?さらに星崎と北島の衝撃過去も明らかに!あなたも必ず騙される予想不可能な驚愕の結末をお見逃しなく!　")</f>
        <v>ついに涙の最終回!美少女がバスごと失踪した事件の謎がついに全て明らかになる!平坂の本当の動機とは?行方不明の3人の美少女はどこにいるのか?そして意外な共犯者とは?さらに星崎と北島の衝撃過去も明らかに!あなたも必ず騙される予想不可能な驚愕の結末をお見逃しなく!　</v>
      </c>
      <c r="N2859" s="2"/>
      <c r="O2859" s="2"/>
      <c r="P2859" s="1"/>
      <c r="Q2859" s="1"/>
      <c r="R2859" s="1"/>
      <c r="S2859" s="1"/>
      <c r="T2859" s="1"/>
      <c r="U2859" s="1"/>
      <c r="V2859" s="1"/>
      <c r="W2859" s="1"/>
      <c r="X2859" s="1"/>
      <c r="Y2859" s="1"/>
      <c r="Z2859" s="1"/>
      <c r="AA2859" s="1"/>
      <c r="AB2859" s="1"/>
      <c r="AC2859" s="1"/>
      <c r="AD2859" s="1"/>
      <c r="AE2859" s="1"/>
      <c r="AF2859" s="1"/>
      <c r="AG2859" s="1"/>
      <c r="AH2859" s="1"/>
      <c r="AI2859" s="1"/>
      <c r="AJ2859" s="1"/>
      <c r="AK2859" s="1"/>
      <c r="AL2859" s="1"/>
      <c r="AM2859" s="1"/>
      <c r="AN2859" s="1"/>
      <c r="AO2859" s="1"/>
      <c r="AP2859" s="1"/>
      <c r="AQ2859" s="1"/>
      <c r="AR2859" s="1"/>
      <c r="AS2859" s="1"/>
      <c r="AT2859" s="1"/>
      <c r="AU2859" s="1"/>
      <c r="AV2859" s="1"/>
      <c r="AW2859" s="1"/>
      <c r="AX2859" s="1"/>
      <c r="AY2859" s="1"/>
      <c r="AZ2859" s="1"/>
      <c r="BA2859" s="1"/>
      <c r="BB2859" s="1"/>
    </row>
    <row r="2860" ht="204.75" customHeight="1">
      <c r="A2860" s="1">
        <v>4798.0</v>
      </c>
      <c r="B2860" s="2" t="s">
        <v>8735</v>
      </c>
      <c r="C2860" s="2">
        <f>IFERROR(__xludf.DUMMYFUNCTION("split(B2860,""_"")"),1004.0)</f>
        <v>1004</v>
      </c>
      <c r="D2860" s="2" t="str">
        <f>IFERROR(__xludf.DUMMYFUNCTION("""COMPUTED_VALUE"""),"EX")</f>
        <v>EX</v>
      </c>
      <c r="E2860" s="2" t="str">
        <f>IFERROR(__xludf.DUMMYFUNCTION("""COMPUTED_VALUE"""),"水21")</f>
        <v>水21</v>
      </c>
      <c r="F2860" s="2" t="s">
        <v>8736</v>
      </c>
      <c r="G2860" s="2" t="s">
        <v>8737</v>
      </c>
      <c r="H2860" s="1">
        <v>1.0</v>
      </c>
      <c r="I2860" s="1" t="s">
        <v>3</v>
      </c>
      <c r="J2860" s="1" t="s">
        <v>11</v>
      </c>
      <c r="K2860" s="4" t="s">
        <v>8738</v>
      </c>
      <c r="L2860" s="11" t="s">
        <v>8739</v>
      </c>
      <c r="M2860" s="2" t="str">
        <f>IFERROR(__xludf.DUMMYFUNCTION("split(split(K2860,""内野聖陽、"",false),""公式LINE"",false)"),"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f>
        <v>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v>
      </c>
      <c r="N2860" s="2"/>
      <c r="O2860" s="2"/>
      <c r="P2860" s="1"/>
      <c r="Q2860" s="1"/>
      <c r="R2860" s="1"/>
      <c r="S2860" s="1"/>
      <c r="T2860" s="1"/>
      <c r="U2860" s="1"/>
      <c r="V2860" s="1"/>
      <c r="W2860" s="1"/>
      <c r="X2860" s="1"/>
      <c r="Y2860" s="1"/>
      <c r="Z2860" s="1"/>
      <c r="AA2860" s="1"/>
      <c r="AB2860" s="1"/>
      <c r="AC2860" s="1"/>
      <c r="AD2860" s="1"/>
      <c r="AE2860" s="1"/>
      <c r="AF2860" s="1"/>
      <c r="AG2860" s="1"/>
      <c r="AH2860" s="1"/>
      <c r="AI2860" s="1"/>
      <c r="AJ2860" s="1"/>
      <c r="AK2860" s="1"/>
      <c r="AL2860" s="1"/>
      <c r="AM2860" s="1"/>
      <c r="AN2860" s="1"/>
      <c r="AO2860" s="1"/>
      <c r="AP2860" s="1"/>
      <c r="AQ2860" s="1"/>
      <c r="AR2860" s="1"/>
      <c r="AS2860" s="1"/>
      <c r="AT2860" s="1"/>
      <c r="AU2860" s="1"/>
      <c r="AV2860" s="1"/>
      <c r="AW2860" s="1"/>
      <c r="AX2860" s="1"/>
      <c r="AY2860" s="1"/>
      <c r="AZ2860" s="1"/>
      <c r="BA2860" s="1"/>
      <c r="BB2860" s="1"/>
    </row>
    <row r="2861" ht="204.75" customHeight="1">
      <c r="A2861" s="1">
        <v>4799.0</v>
      </c>
      <c r="B2861" s="2" t="s">
        <v>8735</v>
      </c>
      <c r="C2861" s="2">
        <f>IFERROR(__xludf.DUMMYFUNCTION("split(B2861,""_"")"),1004.0)</f>
        <v>1004</v>
      </c>
      <c r="D2861" s="2" t="str">
        <f>IFERROR(__xludf.DUMMYFUNCTION("""COMPUTED_VALUE"""),"EX")</f>
        <v>EX</v>
      </c>
      <c r="E2861" s="2" t="str">
        <f>IFERROR(__xludf.DUMMYFUNCTION("""COMPUTED_VALUE"""),"水21")</f>
        <v>水21</v>
      </c>
      <c r="F2861" s="2" t="s">
        <v>8736</v>
      </c>
      <c r="G2861" s="2" t="s">
        <v>8740</v>
      </c>
      <c r="H2861" s="1">
        <v>2.0</v>
      </c>
      <c r="I2861" s="1" t="s">
        <v>7</v>
      </c>
      <c r="J2861" s="1" t="s">
        <v>11</v>
      </c>
      <c r="K2861" s="2" t="s">
        <v>8741</v>
      </c>
      <c r="L2861" s="10" t="s">
        <v>2775</v>
      </c>
      <c r="M2861" s="2" t="str">
        <f>IFERROR(__xludf.DUMMYFUNCTION("split(split(K2861,""内野聖陽、"",false),""公式LINE"",false)"),"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f>
        <v>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v>
      </c>
      <c r="N2861" s="2"/>
      <c r="O2861" s="2"/>
      <c r="P2861" s="1"/>
      <c r="Q2861" s="1"/>
      <c r="R2861" s="1"/>
      <c r="S2861" s="1"/>
      <c r="T2861" s="1"/>
      <c r="U2861" s="1"/>
      <c r="V2861" s="1"/>
      <c r="W2861" s="1"/>
      <c r="X2861" s="1"/>
      <c r="Y2861" s="1"/>
      <c r="Z2861" s="1"/>
      <c r="AA2861" s="1"/>
      <c r="AB2861" s="1"/>
      <c r="AC2861" s="1"/>
      <c r="AD2861" s="1"/>
      <c r="AE2861" s="1"/>
      <c r="AF2861" s="1"/>
      <c r="AG2861" s="1"/>
      <c r="AH2861" s="1"/>
      <c r="AI2861" s="1"/>
      <c r="AJ2861" s="1"/>
      <c r="AK2861" s="1"/>
      <c r="AL2861" s="1"/>
      <c r="AM2861" s="1"/>
      <c r="AN2861" s="1"/>
      <c r="AO2861" s="1"/>
      <c r="AP2861" s="1"/>
      <c r="AQ2861" s="1"/>
      <c r="AR2861" s="1"/>
      <c r="AS2861" s="1"/>
      <c r="AT2861" s="1"/>
      <c r="AU2861" s="1"/>
      <c r="AV2861" s="1"/>
      <c r="AW2861" s="1"/>
      <c r="AX2861" s="1"/>
      <c r="AY2861" s="1"/>
      <c r="AZ2861" s="1"/>
      <c r="BA2861" s="1"/>
      <c r="BB2861" s="1"/>
    </row>
    <row r="2862" ht="204.75" customHeight="1">
      <c r="A2862" s="1">
        <v>4800.0</v>
      </c>
      <c r="B2862" s="2" t="s">
        <v>8735</v>
      </c>
      <c r="C2862" s="2">
        <f>IFERROR(__xludf.DUMMYFUNCTION("split(B2862,""_"")"),1004.0)</f>
        <v>1004</v>
      </c>
      <c r="D2862" s="2" t="str">
        <f>IFERROR(__xludf.DUMMYFUNCTION("""COMPUTED_VALUE"""),"EX")</f>
        <v>EX</v>
      </c>
      <c r="E2862" s="2" t="str">
        <f>IFERROR(__xludf.DUMMYFUNCTION("""COMPUTED_VALUE"""),"水21")</f>
        <v>水21</v>
      </c>
      <c r="F2862" s="2" t="s">
        <v>8736</v>
      </c>
      <c r="G2862" s="2" t="s">
        <v>8742</v>
      </c>
      <c r="H2862" s="1">
        <v>3.0</v>
      </c>
      <c r="I2862" s="1" t="s">
        <v>10</v>
      </c>
      <c r="J2862" s="1" t="s">
        <v>11</v>
      </c>
      <c r="K2862" s="2" t="s">
        <v>8743</v>
      </c>
      <c r="L2862" s="10" t="s">
        <v>2775</v>
      </c>
      <c r="M2862" s="2" t="str">
        <f>IFERROR(__xludf.DUMMYFUNCTION("split(split(K2862,""内野聖陽、"",false),""公式LINE"",false)"),"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f>
        <v>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v>
      </c>
      <c r="N2862" s="2"/>
      <c r="O2862" s="2"/>
      <c r="P2862" s="1"/>
      <c r="Q2862" s="1"/>
      <c r="R2862" s="1"/>
      <c r="S2862" s="1"/>
      <c r="T2862" s="1"/>
      <c r="U2862" s="1"/>
      <c r="V2862" s="1"/>
      <c r="W2862" s="1"/>
      <c r="X2862" s="1"/>
      <c r="Y2862" s="1"/>
      <c r="Z2862" s="1"/>
      <c r="AA2862" s="1"/>
      <c r="AB2862" s="1"/>
      <c r="AC2862" s="1"/>
      <c r="AD2862" s="1"/>
      <c r="AE2862" s="1"/>
      <c r="AF2862" s="1"/>
      <c r="AG2862" s="1"/>
      <c r="AH2862" s="1"/>
      <c r="AI2862" s="1"/>
      <c r="AJ2862" s="1"/>
      <c r="AK2862" s="1"/>
      <c r="AL2862" s="1"/>
      <c r="AM2862" s="1"/>
      <c r="AN2862" s="1"/>
      <c r="AO2862" s="1"/>
      <c r="AP2862" s="1"/>
      <c r="AQ2862" s="1"/>
      <c r="AR2862" s="1"/>
      <c r="AS2862" s="1"/>
      <c r="AT2862" s="1"/>
      <c r="AU2862" s="1"/>
      <c r="AV2862" s="1"/>
      <c r="AW2862" s="1"/>
      <c r="AX2862" s="1"/>
      <c r="AY2862" s="1"/>
      <c r="AZ2862" s="1"/>
      <c r="BA2862" s="1"/>
      <c r="BB2862" s="1"/>
    </row>
    <row r="2863" ht="204.75" customHeight="1">
      <c r="A2863" s="1">
        <v>4801.0</v>
      </c>
      <c r="B2863" s="2" t="s">
        <v>8735</v>
      </c>
      <c r="C2863" s="2">
        <f>IFERROR(__xludf.DUMMYFUNCTION("split(B2863,""_"")"),1004.0)</f>
        <v>1004</v>
      </c>
      <c r="D2863" s="2" t="str">
        <f>IFERROR(__xludf.DUMMYFUNCTION("""COMPUTED_VALUE"""),"EX")</f>
        <v>EX</v>
      </c>
      <c r="E2863" s="2" t="str">
        <f>IFERROR(__xludf.DUMMYFUNCTION("""COMPUTED_VALUE"""),"水21")</f>
        <v>水21</v>
      </c>
      <c r="F2863" s="2" t="s">
        <v>8736</v>
      </c>
      <c r="G2863" s="2" t="s">
        <v>8744</v>
      </c>
      <c r="H2863" s="1">
        <v>4.0</v>
      </c>
      <c r="I2863" s="1" t="s">
        <v>14</v>
      </c>
      <c r="J2863" s="1" t="s">
        <v>11</v>
      </c>
      <c r="K2863" s="2" t="s">
        <v>8745</v>
      </c>
      <c r="L2863" s="10" t="s">
        <v>2775</v>
      </c>
      <c r="M2863" s="2" t="str">
        <f>IFERROR(__xludf.DUMMYFUNCTION("split(split(K2863,""内野聖陽、"",false),""公式LINE"",false)"),"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f>
        <v>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v>
      </c>
      <c r="N2863" s="2"/>
      <c r="O2863" s="2"/>
      <c r="P2863" s="1"/>
      <c r="Q2863" s="1"/>
      <c r="R2863" s="1"/>
      <c r="S2863" s="1"/>
      <c r="T2863" s="1"/>
      <c r="U2863" s="1"/>
      <c r="V2863" s="1"/>
      <c r="W2863" s="1"/>
      <c r="X2863" s="1"/>
      <c r="Y2863" s="1"/>
      <c r="Z2863" s="1"/>
      <c r="AA2863" s="1"/>
      <c r="AB2863" s="1"/>
      <c r="AC2863" s="1"/>
      <c r="AD2863" s="1"/>
      <c r="AE2863" s="1"/>
      <c r="AF2863" s="1"/>
      <c r="AG2863" s="1"/>
      <c r="AH2863" s="1"/>
      <c r="AI2863" s="1"/>
      <c r="AJ2863" s="1"/>
      <c r="AK2863" s="1"/>
      <c r="AL2863" s="1"/>
      <c r="AM2863" s="1"/>
      <c r="AN2863" s="1"/>
      <c r="AO2863" s="1"/>
      <c r="AP2863" s="1"/>
      <c r="AQ2863" s="1"/>
      <c r="AR2863" s="1"/>
      <c r="AS2863" s="1"/>
      <c r="AT2863" s="1"/>
      <c r="AU2863" s="1"/>
      <c r="AV2863" s="1"/>
      <c r="AW2863" s="1"/>
      <c r="AX2863" s="1"/>
      <c r="AY2863" s="1"/>
      <c r="AZ2863" s="1"/>
      <c r="BA2863" s="1"/>
      <c r="BB2863" s="1"/>
    </row>
    <row r="2864" ht="204.75" customHeight="1">
      <c r="A2864" s="1">
        <v>4802.0</v>
      </c>
      <c r="B2864" s="2" t="s">
        <v>8735</v>
      </c>
      <c r="C2864" s="2">
        <f>IFERROR(__xludf.DUMMYFUNCTION("split(B2864,""_"")"),1004.0)</f>
        <v>1004</v>
      </c>
      <c r="D2864" s="2" t="str">
        <f>IFERROR(__xludf.DUMMYFUNCTION("""COMPUTED_VALUE"""),"EX")</f>
        <v>EX</v>
      </c>
      <c r="E2864" s="2" t="str">
        <f>IFERROR(__xludf.DUMMYFUNCTION("""COMPUTED_VALUE"""),"水21")</f>
        <v>水21</v>
      </c>
      <c r="F2864" s="2" t="s">
        <v>8736</v>
      </c>
      <c r="G2864" s="2" t="s">
        <v>8746</v>
      </c>
      <c r="H2864" s="1">
        <v>5.0</v>
      </c>
      <c r="I2864" s="1" t="s">
        <v>17</v>
      </c>
      <c r="J2864" s="1" t="s">
        <v>11</v>
      </c>
      <c r="K2864" s="2" t="s">
        <v>8747</v>
      </c>
      <c r="L2864" s="10" t="s">
        <v>2775</v>
      </c>
      <c r="M2864" s="2" t="str">
        <f>IFERROR(__xludf.DUMMYFUNCTION("split(split(K2864,""内野聖陽、"",false),""公式LINE"",false)"),"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f>
        <v>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v>
      </c>
      <c r="N2864" s="2"/>
      <c r="O2864" s="2"/>
      <c r="P2864" s="1"/>
      <c r="Q2864" s="1"/>
      <c r="R2864" s="1"/>
      <c r="S2864" s="1"/>
      <c r="T2864" s="1"/>
      <c r="U2864" s="1"/>
      <c r="V2864" s="1"/>
      <c r="W2864" s="1"/>
      <c r="X2864" s="1"/>
      <c r="Y2864" s="1"/>
      <c r="Z2864" s="1"/>
      <c r="AA2864" s="1"/>
      <c r="AB2864" s="1"/>
      <c r="AC2864" s="1"/>
      <c r="AD2864" s="1"/>
      <c r="AE2864" s="1"/>
      <c r="AF2864" s="1"/>
      <c r="AG2864" s="1"/>
      <c r="AH2864" s="1"/>
      <c r="AI2864" s="1"/>
      <c r="AJ2864" s="1"/>
      <c r="AK2864" s="1"/>
      <c r="AL2864" s="1"/>
      <c r="AM2864" s="1"/>
      <c r="AN2864" s="1"/>
      <c r="AO2864" s="1"/>
      <c r="AP2864" s="1"/>
      <c r="AQ2864" s="1"/>
      <c r="AR2864" s="1"/>
      <c r="AS2864" s="1"/>
      <c r="AT2864" s="1"/>
      <c r="AU2864" s="1"/>
      <c r="AV2864" s="1"/>
      <c r="AW2864" s="1"/>
      <c r="AX2864" s="1"/>
      <c r="AY2864" s="1"/>
      <c r="AZ2864" s="1"/>
      <c r="BA2864" s="1"/>
      <c r="BB2864" s="1"/>
    </row>
    <row r="2865" ht="204.75" customHeight="1">
      <c r="A2865" s="1">
        <v>4803.0</v>
      </c>
      <c r="B2865" s="2" t="s">
        <v>8735</v>
      </c>
      <c r="C2865" s="2">
        <f>IFERROR(__xludf.DUMMYFUNCTION("split(B2865,""_"")"),1004.0)</f>
        <v>1004</v>
      </c>
      <c r="D2865" s="2" t="str">
        <f>IFERROR(__xludf.DUMMYFUNCTION("""COMPUTED_VALUE"""),"EX")</f>
        <v>EX</v>
      </c>
      <c r="E2865" s="2" t="str">
        <f>IFERROR(__xludf.DUMMYFUNCTION("""COMPUTED_VALUE"""),"水21")</f>
        <v>水21</v>
      </c>
      <c r="F2865" s="2" t="s">
        <v>8736</v>
      </c>
      <c r="G2865" s="2" t="s">
        <v>8748</v>
      </c>
      <c r="H2865" s="1">
        <v>6.0</v>
      </c>
      <c r="I2865" s="1" t="s">
        <v>21</v>
      </c>
      <c r="J2865" s="1" t="s">
        <v>11</v>
      </c>
      <c r="K2865" s="2" t="s">
        <v>8749</v>
      </c>
      <c r="L2865" s="10" t="s">
        <v>2775</v>
      </c>
      <c r="M2865" s="2" t="str">
        <f>IFERROR(__xludf.DUMMYFUNCTION("split(split(K2865,""内野聖陽、"",false),""公式LINE"",false)"),"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f>
        <v>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v>
      </c>
      <c r="N2865" s="2"/>
      <c r="O2865" s="2"/>
      <c r="P2865" s="1"/>
      <c r="Q2865" s="1"/>
      <c r="R2865" s="1"/>
      <c r="S2865" s="1"/>
      <c r="T2865" s="1"/>
      <c r="U2865" s="1"/>
      <c r="V2865" s="1"/>
      <c r="W2865" s="1"/>
      <c r="X2865" s="1"/>
      <c r="Y2865" s="1"/>
      <c r="Z2865" s="1"/>
      <c r="AA2865" s="1"/>
      <c r="AB2865" s="1"/>
      <c r="AC2865" s="1"/>
      <c r="AD2865" s="1"/>
      <c r="AE2865" s="1"/>
      <c r="AF2865" s="1"/>
      <c r="AG2865" s="1"/>
      <c r="AH2865" s="1"/>
      <c r="AI2865" s="1"/>
      <c r="AJ2865" s="1"/>
      <c r="AK2865" s="1"/>
      <c r="AL2865" s="1"/>
      <c r="AM2865" s="1"/>
      <c r="AN2865" s="1"/>
      <c r="AO2865" s="1"/>
      <c r="AP2865" s="1"/>
      <c r="AQ2865" s="1"/>
      <c r="AR2865" s="1"/>
      <c r="AS2865" s="1"/>
      <c r="AT2865" s="1"/>
      <c r="AU2865" s="1"/>
      <c r="AV2865" s="1"/>
      <c r="AW2865" s="1"/>
      <c r="AX2865" s="1"/>
      <c r="AY2865" s="1"/>
      <c r="AZ2865" s="1"/>
      <c r="BA2865" s="1"/>
      <c r="BB2865" s="1"/>
    </row>
    <row r="2866" ht="204.75" customHeight="1">
      <c r="A2866" s="1">
        <v>4804.0</v>
      </c>
      <c r="B2866" s="2" t="s">
        <v>8735</v>
      </c>
      <c r="C2866" s="2">
        <f>IFERROR(__xludf.DUMMYFUNCTION("split(B2866,""_"")"),1004.0)</f>
        <v>1004</v>
      </c>
      <c r="D2866" s="2" t="str">
        <f>IFERROR(__xludf.DUMMYFUNCTION("""COMPUTED_VALUE"""),"EX")</f>
        <v>EX</v>
      </c>
      <c r="E2866" s="2" t="str">
        <f>IFERROR(__xludf.DUMMYFUNCTION("""COMPUTED_VALUE"""),"水21")</f>
        <v>水21</v>
      </c>
      <c r="F2866" s="2" t="s">
        <v>8736</v>
      </c>
      <c r="G2866" s="2" t="s">
        <v>8750</v>
      </c>
      <c r="H2866" s="1">
        <v>7.0</v>
      </c>
      <c r="I2866" s="1" t="s">
        <v>25</v>
      </c>
      <c r="J2866" s="1" t="s">
        <v>11</v>
      </c>
      <c r="K2866" s="2" t="s">
        <v>8751</v>
      </c>
      <c r="L2866" s="10" t="s">
        <v>2775</v>
      </c>
      <c r="M2866" s="2" t="str">
        <f>IFERROR(__xludf.DUMMYFUNCTION("split(split(K2866,""内野聖陽、"",false),""公式LINE"",false)"),"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f>
        <v>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v>
      </c>
      <c r="N2866" s="2"/>
      <c r="O2866" s="2"/>
      <c r="P2866" s="1"/>
      <c r="Q2866" s="1"/>
      <c r="R2866" s="1"/>
      <c r="S2866" s="1"/>
      <c r="T2866" s="1"/>
      <c r="U2866" s="1"/>
      <c r="V2866" s="1"/>
      <c r="W2866" s="1"/>
      <c r="X2866" s="1"/>
      <c r="Y2866" s="1"/>
      <c r="Z2866" s="1"/>
      <c r="AA2866" s="1"/>
      <c r="AB2866" s="1"/>
      <c r="AC2866" s="1"/>
      <c r="AD2866" s="1"/>
      <c r="AE2866" s="1"/>
      <c r="AF2866" s="1"/>
      <c r="AG2866" s="1"/>
      <c r="AH2866" s="1"/>
      <c r="AI2866" s="1"/>
      <c r="AJ2866" s="1"/>
      <c r="AK2866" s="1"/>
      <c r="AL2866" s="1"/>
      <c r="AM2866" s="1"/>
      <c r="AN2866" s="1"/>
      <c r="AO2866" s="1"/>
      <c r="AP2866" s="1"/>
      <c r="AQ2866" s="1"/>
      <c r="AR2866" s="1"/>
      <c r="AS2866" s="1"/>
      <c r="AT2866" s="1"/>
      <c r="AU2866" s="1"/>
      <c r="AV2866" s="1"/>
      <c r="AW2866" s="1"/>
      <c r="AX2866" s="1"/>
      <c r="AY2866" s="1"/>
      <c r="AZ2866" s="1"/>
      <c r="BA2866" s="1"/>
      <c r="BB2866" s="1"/>
    </row>
    <row r="2867" ht="204.75" customHeight="1">
      <c r="A2867" s="1">
        <v>4805.0</v>
      </c>
      <c r="B2867" s="2" t="s">
        <v>8735</v>
      </c>
      <c r="C2867" s="2">
        <f>IFERROR(__xludf.DUMMYFUNCTION("split(B2867,""_"")"),1004.0)</f>
        <v>1004</v>
      </c>
      <c r="D2867" s="2" t="str">
        <f>IFERROR(__xludf.DUMMYFUNCTION("""COMPUTED_VALUE"""),"EX")</f>
        <v>EX</v>
      </c>
      <c r="E2867" s="2" t="str">
        <f>IFERROR(__xludf.DUMMYFUNCTION("""COMPUTED_VALUE"""),"水21")</f>
        <v>水21</v>
      </c>
      <c r="F2867" s="2" t="s">
        <v>8736</v>
      </c>
      <c r="G2867" s="2" t="s">
        <v>8752</v>
      </c>
      <c r="H2867" s="1">
        <v>8.0</v>
      </c>
      <c r="I2867" s="1" t="s">
        <v>29</v>
      </c>
      <c r="J2867" s="1" t="s">
        <v>11</v>
      </c>
      <c r="K2867" s="2" t="s">
        <v>8753</v>
      </c>
      <c r="L2867" s="10" t="s">
        <v>2775</v>
      </c>
      <c r="M2867" s="2" t="str">
        <f>IFERROR(__xludf.DUMMYFUNCTION("split(split(K2867,""内野聖陽、"",false),""公式LINE"",false)"),"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f>
        <v>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v>
      </c>
      <c r="N2867" s="2"/>
      <c r="O2867" s="2"/>
      <c r="P2867" s="1"/>
      <c r="Q2867" s="1"/>
      <c r="R2867" s="1"/>
      <c r="S2867" s="1"/>
      <c r="T2867" s="1"/>
      <c r="U2867" s="1"/>
      <c r="V2867" s="1"/>
      <c r="W2867" s="1"/>
      <c r="X2867" s="1"/>
      <c r="Y2867" s="1"/>
      <c r="Z2867" s="1"/>
      <c r="AA2867" s="1"/>
      <c r="AB2867" s="1"/>
      <c r="AC2867" s="1"/>
      <c r="AD2867" s="1"/>
      <c r="AE2867" s="1"/>
      <c r="AF2867" s="1"/>
      <c r="AG2867" s="1"/>
      <c r="AH2867" s="1"/>
      <c r="AI2867" s="1"/>
      <c r="AJ2867" s="1"/>
      <c r="AK2867" s="1"/>
      <c r="AL2867" s="1"/>
      <c r="AM2867" s="1"/>
      <c r="AN2867" s="1"/>
      <c r="AO2867" s="1"/>
      <c r="AP2867" s="1"/>
      <c r="AQ2867" s="1"/>
      <c r="AR2867" s="1"/>
      <c r="AS2867" s="1"/>
      <c r="AT2867" s="1"/>
      <c r="AU2867" s="1"/>
      <c r="AV2867" s="1"/>
      <c r="AW2867" s="1"/>
      <c r="AX2867" s="1"/>
      <c r="AY2867" s="1"/>
      <c r="AZ2867" s="1"/>
      <c r="BA2867" s="1"/>
      <c r="BB2867" s="1"/>
    </row>
    <row r="2868" ht="204.75" customHeight="1">
      <c r="A2868" s="1">
        <v>4806.0</v>
      </c>
      <c r="B2868" s="2" t="s">
        <v>8735</v>
      </c>
      <c r="C2868" s="2">
        <f>IFERROR(__xludf.DUMMYFUNCTION("split(B2868,""_"")"),1004.0)</f>
        <v>1004</v>
      </c>
      <c r="D2868" s="2" t="str">
        <f>IFERROR(__xludf.DUMMYFUNCTION("""COMPUTED_VALUE"""),"EX")</f>
        <v>EX</v>
      </c>
      <c r="E2868" s="2" t="str">
        <f>IFERROR(__xludf.DUMMYFUNCTION("""COMPUTED_VALUE"""),"水21")</f>
        <v>水21</v>
      </c>
      <c r="F2868" s="2" t="s">
        <v>8736</v>
      </c>
      <c r="G2868" s="2" t="s">
        <v>8754</v>
      </c>
      <c r="H2868" s="1">
        <v>9.0</v>
      </c>
      <c r="I2868" s="1" t="s">
        <v>33</v>
      </c>
      <c r="J2868" s="1" t="s">
        <v>11</v>
      </c>
      <c r="K2868" s="2" t="s">
        <v>8755</v>
      </c>
      <c r="L2868" s="10" t="s">
        <v>2775</v>
      </c>
      <c r="M2868" s="2" t="str">
        <f>IFERROR(__xludf.DUMMYFUNCTION("split(split(K2868,""内野聖陽、"",false),""公式LINE"",false)"),"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f>
        <v>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v>
      </c>
      <c r="N2868" s="2"/>
      <c r="O2868" s="2"/>
      <c r="P2868" s="1"/>
      <c r="Q2868" s="1"/>
      <c r="R2868" s="1"/>
      <c r="S2868" s="1"/>
      <c r="T2868" s="1"/>
      <c r="U2868" s="1"/>
      <c r="V2868" s="1"/>
      <c r="W2868" s="1"/>
      <c r="X2868" s="1"/>
      <c r="Y2868" s="1"/>
      <c r="Z2868" s="1"/>
      <c r="AA2868" s="1"/>
      <c r="AB2868" s="1"/>
      <c r="AC2868" s="1"/>
      <c r="AD2868" s="1"/>
      <c r="AE2868" s="1"/>
      <c r="AF2868" s="1"/>
      <c r="AG2868" s="1"/>
      <c r="AH2868" s="1"/>
      <c r="AI2868" s="1"/>
      <c r="AJ2868" s="1"/>
      <c r="AK2868" s="1"/>
      <c r="AL2868" s="1"/>
      <c r="AM2868" s="1"/>
      <c r="AN2868" s="1"/>
      <c r="AO2868" s="1"/>
      <c r="AP2868" s="1"/>
      <c r="AQ2868" s="1"/>
      <c r="AR2868" s="1"/>
      <c r="AS2868" s="1"/>
      <c r="AT2868" s="1"/>
      <c r="AU2868" s="1"/>
      <c r="AV2868" s="1"/>
      <c r="AW2868" s="1"/>
      <c r="AX2868" s="1"/>
      <c r="AY2868" s="1"/>
      <c r="AZ2868" s="1"/>
      <c r="BA2868" s="1"/>
      <c r="BB2868" s="1"/>
    </row>
    <row r="2869" ht="204.75" customHeight="1">
      <c r="A2869" s="1">
        <v>4807.0</v>
      </c>
      <c r="B2869" s="2" t="s">
        <v>8735</v>
      </c>
      <c r="C2869" s="2">
        <f>IFERROR(__xludf.DUMMYFUNCTION("split(B2869,""_"")"),1004.0)</f>
        <v>1004</v>
      </c>
      <c r="D2869" s="2" t="str">
        <f>IFERROR(__xludf.DUMMYFUNCTION("""COMPUTED_VALUE"""),"EX")</f>
        <v>EX</v>
      </c>
      <c r="E2869" s="2" t="str">
        <f>IFERROR(__xludf.DUMMYFUNCTION("""COMPUTED_VALUE"""),"水21")</f>
        <v>水21</v>
      </c>
      <c r="F2869" s="2" t="s">
        <v>8736</v>
      </c>
      <c r="G2869" s="2" t="s">
        <v>8756</v>
      </c>
      <c r="H2869" s="1">
        <v>10.0</v>
      </c>
      <c r="I2869" s="1" t="s">
        <v>37</v>
      </c>
      <c r="J2869" s="1" t="s">
        <v>11</v>
      </c>
      <c r="K2869" s="2" t="s">
        <v>8757</v>
      </c>
      <c r="L2869" s="10" t="s">
        <v>2775</v>
      </c>
      <c r="M2869" s="2" t="str">
        <f>IFERROR(__xludf.DUMMYFUNCTION("split(split(K2869,""内野聖陽、"",false),""公式LINE"",false)"),"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f>
        <v>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v>
      </c>
      <c r="N2869" s="2"/>
      <c r="O2869" s="2"/>
      <c r="P2869" s="1"/>
      <c r="Q2869" s="1"/>
      <c r="R2869" s="1"/>
      <c r="S2869" s="1"/>
      <c r="T2869" s="1"/>
      <c r="U2869" s="1"/>
      <c r="V2869" s="1"/>
      <c r="W2869" s="1"/>
      <c r="X2869" s="1"/>
      <c r="Y2869" s="1"/>
      <c r="Z2869" s="1"/>
      <c r="AA2869" s="1"/>
      <c r="AB2869" s="1"/>
      <c r="AC2869" s="1"/>
      <c r="AD2869" s="1"/>
      <c r="AE2869" s="1"/>
      <c r="AF2869" s="1"/>
      <c r="AG2869" s="1"/>
      <c r="AH2869" s="1"/>
      <c r="AI2869" s="1"/>
      <c r="AJ2869" s="1"/>
      <c r="AK2869" s="1"/>
      <c r="AL2869" s="1"/>
      <c r="AM2869" s="1"/>
      <c r="AN2869" s="1"/>
      <c r="AO2869" s="1"/>
      <c r="AP2869" s="1"/>
      <c r="AQ2869" s="1"/>
      <c r="AR2869" s="1"/>
      <c r="AS2869" s="1"/>
      <c r="AT2869" s="1"/>
      <c r="AU2869" s="1"/>
      <c r="AV2869" s="1"/>
      <c r="AW2869" s="1"/>
      <c r="AX2869" s="1"/>
      <c r="AY2869" s="1"/>
      <c r="AZ2869" s="1"/>
      <c r="BA2869" s="1"/>
      <c r="BB2869" s="1"/>
    </row>
    <row r="2870" ht="204.75" customHeight="1">
      <c r="A2870" s="1">
        <v>4808.0</v>
      </c>
      <c r="B2870" s="2" t="s">
        <v>8735</v>
      </c>
      <c r="C2870" s="2">
        <f>IFERROR(__xludf.DUMMYFUNCTION("split(B2870,""_"")"),1004.0)</f>
        <v>1004</v>
      </c>
      <c r="D2870" s="2" t="str">
        <f>IFERROR(__xludf.DUMMYFUNCTION("""COMPUTED_VALUE"""),"EX")</f>
        <v>EX</v>
      </c>
      <c r="E2870" s="2" t="str">
        <f>IFERROR(__xludf.DUMMYFUNCTION("""COMPUTED_VALUE"""),"水21")</f>
        <v>水21</v>
      </c>
      <c r="F2870" s="2" t="s">
        <v>8736</v>
      </c>
      <c r="G2870" s="2" t="s">
        <v>8758</v>
      </c>
      <c r="H2870" s="1">
        <v>11.0</v>
      </c>
      <c r="I2870" s="1" t="s">
        <v>41</v>
      </c>
      <c r="J2870" s="1" t="s">
        <v>11</v>
      </c>
      <c r="K2870" s="2" t="s">
        <v>8759</v>
      </c>
      <c r="L2870" s="10" t="s">
        <v>2775</v>
      </c>
      <c r="M2870" s="2" t="str">
        <f>IFERROR(__xludf.DUMMYFUNCTION("split(split(K2870,""内野聖陽、"",false),""公式LINE"",false)"),"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f>
        <v>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v>
      </c>
      <c r="N2870" s="2"/>
      <c r="O2870" s="2"/>
      <c r="P2870" s="1"/>
      <c r="Q2870" s="1"/>
      <c r="R2870" s="1"/>
      <c r="S2870" s="1"/>
      <c r="T2870" s="1"/>
      <c r="U2870" s="1"/>
      <c r="V2870" s="1"/>
      <c r="W2870" s="1"/>
      <c r="X2870" s="1"/>
      <c r="Y2870" s="1"/>
      <c r="Z2870" s="1"/>
      <c r="AA2870" s="1"/>
      <c r="AB2870" s="1"/>
      <c r="AC2870" s="1"/>
      <c r="AD2870" s="1"/>
      <c r="AE2870" s="1"/>
      <c r="AF2870" s="1"/>
      <c r="AG2870" s="1"/>
      <c r="AH2870" s="1"/>
      <c r="AI2870" s="1"/>
      <c r="AJ2870" s="1"/>
      <c r="AK2870" s="1"/>
      <c r="AL2870" s="1"/>
      <c r="AM2870" s="1"/>
      <c r="AN2870" s="1"/>
      <c r="AO2870" s="1"/>
      <c r="AP2870" s="1"/>
      <c r="AQ2870" s="1"/>
      <c r="AR2870" s="1"/>
      <c r="AS2870" s="1"/>
      <c r="AT2870" s="1"/>
      <c r="AU2870" s="1"/>
      <c r="AV2870" s="1"/>
      <c r="AW2870" s="1"/>
      <c r="AX2870" s="1"/>
      <c r="AY2870" s="1"/>
      <c r="AZ2870" s="1"/>
      <c r="BA2870" s="1"/>
      <c r="BB2870" s="1"/>
    </row>
    <row r="2871" ht="204.75" customHeight="1">
      <c r="A2871" s="1">
        <v>4820.0</v>
      </c>
      <c r="B2871" s="2" t="s">
        <v>8760</v>
      </c>
      <c r="C2871" s="2">
        <f>IFERROR(__xludf.DUMMYFUNCTION("split(B2871,""_"")"),1004.0)</f>
        <v>1004</v>
      </c>
      <c r="D2871" s="2" t="str">
        <f>IFERROR(__xludf.DUMMYFUNCTION("""COMPUTED_VALUE"""),"EX")</f>
        <v>EX</v>
      </c>
      <c r="E2871" s="2" t="str">
        <f>IFERROR(__xludf.DUMMYFUNCTION("""COMPUTED_VALUE"""),"木21")</f>
        <v>木21</v>
      </c>
      <c r="F2871" s="2" t="s">
        <v>8761</v>
      </c>
      <c r="G2871" s="2" t="s">
        <v>8762</v>
      </c>
      <c r="H2871" s="1">
        <v>1.0</v>
      </c>
      <c r="I2871" s="1" t="s">
        <v>3</v>
      </c>
      <c r="J2871" s="1" t="s">
        <v>4</v>
      </c>
      <c r="K2871" s="4" t="s">
        <v>8763</v>
      </c>
      <c r="L2871" s="11" t="s">
        <v>8764</v>
      </c>
      <c r="M2871" s="2" t="str">
        <f>IFERROR(__xludf.DUMMYFUNCTION("split(split(K2871,""黒木瞳、"",false),""公式LINE"",false)"),"平凡な主婦・朋美(黒木瞳)、警視庁の刑事・杉山(高橋克典)、セレブ主婦・陽子(斉藤由貴)、ジャーナリスト・大久保(三上博史)。中学の同級生4人は、30年ぶりの同窓会で再会する。淡い恋が再燃する予感もつかの間、ある衝撃の事件に巻き込まれていく。")</f>
        <v>平凡な主婦・朋美(黒木瞳)、警視庁の刑事・杉山(高橋克典)、セレブ主婦・陽子(斉藤由貴)、ジャーナリスト・大久保(三上博史)。中学の同級生4人は、30年ぶりの同窓会で再会する。淡い恋が再燃する予感もつかの間、ある衝撃の事件に巻き込まれていく。</v>
      </c>
      <c r="N2871" s="2"/>
      <c r="O2871" s="2"/>
      <c r="P2871" s="1"/>
      <c r="Q2871" s="1"/>
      <c r="R2871" s="1"/>
      <c r="S2871" s="1"/>
      <c r="T2871" s="1"/>
      <c r="U2871" s="1"/>
      <c r="V2871" s="1"/>
      <c r="W2871" s="1"/>
      <c r="X2871" s="1"/>
      <c r="Y2871" s="1"/>
      <c r="Z2871" s="1"/>
      <c r="AA2871" s="1"/>
      <c r="AB2871" s="1"/>
      <c r="AC2871" s="1"/>
      <c r="AD2871" s="1"/>
      <c r="AE2871" s="1"/>
      <c r="AF2871" s="1"/>
      <c r="AG2871" s="1"/>
      <c r="AH2871" s="1"/>
      <c r="AI2871" s="1"/>
      <c r="AJ2871" s="1"/>
      <c r="AK2871" s="1"/>
      <c r="AL2871" s="1"/>
      <c r="AM2871" s="1"/>
      <c r="AN2871" s="1"/>
      <c r="AO2871" s="1"/>
      <c r="AP2871" s="1"/>
      <c r="AQ2871" s="1"/>
      <c r="AR2871" s="1"/>
      <c r="AS2871" s="1"/>
      <c r="AT2871" s="1"/>
      <c r="AU2871" s="1"/>
      <c r="AV2871" s="1"/>
      <c r="AW2871" s="1"/>
      <c r="AX2871" s="1"/>
      <c r="AY2871" s="1"/>
      <c r="AZ2871" s="1"/>
      <c r="BA2871" s="1"/>
      <c r="BB2871" s="1"/>
    </row>
    <row r="2872" ht="204.75" customHeight="1">
      <c r="A2872" s="1">
        <v>4821.0</v>
      </c>
      <c r="B2872" s="2" t="s">
        <v>8760</v>
      </c>
      <c r="C2872" s="2">
        <f>IFERROR(__xludf.DUMMYFUNCTION("split(B2872,""_"")"),1004.0)</f>
        <v>1004</v>
      </c>
      <c r="D2872" s="2" t="str">
        <f>IFERROR(__xludf.DUMMYFUNCTION("""COMPUTED_VALUE"""),"EX")</f>
        <v>EX</v>
      </c>
      <c r="E2872" s="2" t="str">
        <f>IFERROR(__xludf.DUMMYFUNCTION("""COMPUTED_VALUE"""),"木21")</f>
        <v>木21</v>
      </c>
      <c r="F2872" s="2" t="s">
        <v>8761</v>
      </c>
      <c r="G2872" s="2" t="s">
        <v>8765</v>
      </c>
      <c r="H2872" s="1">
        <v>2.0</v>
      </c>
      <c r="I2872" s="1" t="s">
        <v>7</v>
      </c>
      <c r="J2872" s="1" t="s">
        <v>11</v>
      </c>
      <c r="K2872" s="2" t="s">
        <v>8766</v>
      </c>
      <c r="L2872" s="11" t="s">
        <v>8767</v>
      </c>
      <c r="M2872" s="2" t="str">
        <f>IFERROR(__xludf.DUMMYFUNCTION("split(split(K2872,""黒木瞳、"",false),""公式LINE"",false)"),"杉山(高橋)、大久保(三上)、陽子(斉藤)に捜索しに行こうと持ちかける。しかし朋美は初恋の相手だった杉山との時間を過ごしたいだけなのでは、と皆に見透かされ…。ところが、朋美以外の3人も、恋で人生を捨てようとしている同級生の生き様が気になり出す。4人は高速バスに乗って捜索旅行へ…")</f>
        <v>杉山(高橋)、大久保(三上)、陽子(斉藤)に捜索しに行こうと持ちかける。しかし朋美は初恋の相手だった杉山との時間を過ごしたいだけなのでは、と皆に見透かされ…。ところが、朋美以外の3人も、恋で人生を捨てようとしている同級生の生き様が気になり出す。4人は高速バスに乗って捜索旅行へ…</v>
      </c>
      <c r="N2872" s="2"/>
      <c r="O2872" s="2"/>
      <c r="P2872" s="1"/>
      <c r="Q2872" s="1"/>
      <c r="R2872" s="1"/>
      <c r="S2872" s="1"/>
      <c r="T2872" s="1"/>
      <c r="U2872" s="1"/>
      <c r="V2872" s="1"/>
      <c r="W2872" s="1"/>
      <c r="X2872" s="1"/>
      <c r="Y2872" s="1"/>
      <c r="Z2872" s="1"/>
      <c r="AA2872" s="1"/>
      <c r="AB2872" s="1"/>
      <c r="AC2872" s="1"/>
      <c r="AD2872" s="1"/>
      <c r="AE2872" s="1"/>
      <c r="AF2872" s="1"/>
      <c r="AG2872" s="1"/>
      <c r="AH2872" s="1"/>
      <c r="AI2872" s="1"/>
      <c r="AJ2872" s="1"/>
      <c r="AK2872" s="1"/>
      <c r="AL2872" s="1"/>
      <c r="AM2872" s="1"/>
      <c r="AN2872" s="1"/>
      <c r="AO2872" s="1"/>
      <c r="AP2872" s="1"/>
      <c r="AQ2872" s="1"/>
      <c r="AR2872" s="1"/>
      <c r="AS2872" s="1"/>
      <c r="AT2872" s="1"/>
      <c r="AU2872" s="1"/>
      <c r="AV2872" s="1"/>
      <c r="AW2872" s="1"/>
      <c r="AX2872" s="1"/>
      <c r="AY2872" s="1"/>
      <c r="AZ2872" s="1"/>
      <c r="BA2872" s="1"/>
      <c r="BB2872" s="1"/>
    </row>
    <row r="2873" ht="204.75" customHeight="1">
      <c r="A2873" s="1">
        <v>4822.0</v>
      </c>
      <c r="B2873" s="2" t="s">
        <v>8760</v>
      </c>
      <c r="C2873" s="2">
        <f>IFERROR(__xludf.DUMMYFUNCTION("split(B2873,""_"")"),1004.0)</f>
        <v>1004</v>
      </c>
      <c r="D2873" s="2" t="str">
        <f>IFERROR(__xludf.DUMMYFUNCTION("""COMPUTED_VALUE"""),"EX")</f>
        <v>EX</v>
      </c>
      <c r="E2873" s="2" t="str">
        <f>IFERROR(__xludf.DUMMYFUNCTION("""COMPUTED_VALUE"""),"木21")</f>
        <v>木21</v>
      </c>
      <c r="F2873" s="2" t="s">
        <v>8761</v>
      </c>
      <c r="G2873" s="2" t="s">
        <v>8768</v>
      </c>
      <c r="H2873" s="1">
        <v>3.0</v>
      </c>
      <c r="I2873" s="1" t="s">
        <v>10</v>
      </c>
      <c r="J2873" s="1" t="s">
        <v>11</v>
      </c>
      <c r="K2873" s="2" t="s">
        <v>8769</v>
      </c>
      <c r="L2873" s="11" t="s">
        <v>8770</v>
      </c>
      <c r="M2873" s="2" t="str">
        <f>IFERROR(__xludf.DUMMYFUNCTION("split(split(K2873,""黒木瞳、"",false),""公式LINE"",false)"),"失踪した同級生の捜索で山中湖に向かう、朋美(黒木瞳)、杉山(高橋克典)、陽子(斉藤由貴)、大久保(三上博史)。杉山と一緒にいたい朋美は内心、二人が早く見つからないことを願ってしまう。一方、朋美の夫・誠一郎(吹越満)は妻の不倫を疑い、何と山中湖まで追いかけてきて…")</f>
        <v>失踪した同級生の捜索で山中湖に向かう、朋美(黒木瞳)、杉山(高橋克典)、陽子(斉藤由貴)、大久保(三上博史)。杉山と一緒にいたい朋美は内心、二人が早く見つからないことを願ってしまう。一方、朋美の夫・誠一郎(吹越満)は妻の不倫を疑い、何と山中湖まで追いかけてきて…</v>
      </c>
      <c r="N2873" s="2"/>
      <c r="O2873" s="2"/>
      <c r="P2873" s="1"/>
      <c r="Q2873" s="1"/>
      <c r="R2873" s="1"/>
      <c r="S2873" s="1"/>
      <c r="T2873" s="1"/>
      <c r="U2873" s="1"/>
      <c r="V2873" s="1"/>
      <c r="W2873" s="1"/>
      <c r="X2873" s="1"/>
      <c r="Y2873" s="1"/>
      <c r="Z2873" s="1"/>
      <c r="AA2873" s="1"/>
      <c r="AB2873" s="1"/>
      <c r="AC2873" s="1"/>
      <c r="AD2873" s="1"/>
      <c r="AE2873" s="1"/>
      <c r="AF2873" s="1"/>
      <c r="AG2873" s="1"/>
      <c r="AH2873" s="1"/>
      <c r="AI2873" s="1"/>
      <c r="AJ2873" s="1"/>
      <c r="AK2873" s="1"/>
      <c r="AL2873" s="1"/>
      <c r="AM2873" s="1"/>
      <c r="AN2873" s="1"/>
      <c r="AO2873" s="1"/>
      <c r="AP2873" s="1"/>
      <c r="AQ2873" s="1"/>
      <c r="AR2873" s="1"/>
      <c r="AS2873" s="1"/>
      <c r="AT2873" s="1"/>
      <c r="AU2873" s="1"/>
      <c r="AV2873" s="1"/>
      <c r="AW2873" s="1"/>
      <c r="AX2873" s="1"/>
      <c r="AY2873" s="1"/>
      <c r="AZ2873" s="1"/>
      <c r="BA2873" s="1"/>
      <c r="BB2873" s="1"/>
    </row>
    <row r="2874" ht="204.75" customHeight="1">
      <c r="A2874" s="1">
        <v>4823.0</v>
      </c>
      <c r="B2874" s="2" t="s">
        <v>8760</v>
      </c>
      <c r="C2874" s="2">
        <f>IFERROR(__xludf.DUMMYFUNCTION("split(B2874,""_"")"),1004.0)</f>
        <v>1004</v>
      </c>
      <c r="D2874" s="2" t="str">
        <f>IFERROR(__xludf.DUMMYFUNCTION("""COMPUTED_VALUE"""),"EX")</f>
        <v>EX</v>
      </c>
      <c r="E2874" s="2" t="str">
        <f>IFERROR(__xludf.DUMMYFUNCTION("""COMPUTED_VALUE"""),"木21")</f>
        <v>木21</v>
      </c>
      <c r="F2874" s="2" t="s">
        <v>8761</v>
      </c>
      <c r="G2874" s="2" t="s">
        <v>8771</v>
      </c>
      <c r="H2874" s="1">
        <v>4.0</v>
      </c>
      <c r="I2874" s="1" t="s">
        <v>14</v>
      </c>
      <c r="J2874" s="1" t="s">
        <v>11</v>
      </c>
      <c r="K2874" s="2" t="s">
        <v>8772</v>
      </c>
      <c r="L2874" s="11" t="s">
        <v>8773</v>
      </c>
      <c r="M2874" s="2" t="str">
        <f>IFERROR(__xludf.DUMMYFUNCTION("split(split(K2874,""黒木瞳、"",false),""公式LINE"",false)"),"東京で元の生活に戻った一同だったが、家族の疑念、上司との軋轢と、それぞれ人生の歯車が狂っていく。そんな時、大久保(三上博史)が編集長を務める雑誌に失踪した同級生のスキャンダラスな記事が躍り、朋美(黒木瞳)、杉山(高橋克典)、陽子(斉藤由貴)は激しい衝撃を受ける。")</f>
        <v>東京で元の生活に戻った一同だったが、家族の疑念、上司との軋轢と、それぞれ人生の歯車が狂っていく。そんな時、大久保(三上博史)が編集長を務める雑誌に失踪した同級生のスキャンダラスな記事が躍り、朋美(黒木瞳)、杉山(高橋克典)、陽子(斉藤由貴)は激しい衝撃を受ける。</v>
      </c>
      <c r="N2874" s="2"/>
      <c r="O2874" s="2"/>
      <c r="P2874" s="1"/>
      <c r="Q2874" s="1"/>
      <c r="R2874" s="1"/>
      <c r="S2874" s="1"/>
      <c r="T2874" s="1"/>
      <c r="U2874" s="1"/>
      <c r="V2874" s="1"/>
      <c r="W2874" s="1"/>
      <c r="X2874" s="1"/>
      <c r="Y2874" s="1"/>
      <c r="Z2874" s="1"/>
      <c r="AA2874" s="1"/>
      <c r="AB2874" s="1"/>
      <c r="AC2874" s="1"/>
      <c r="AD2874" s="1"/>
      <c r="AE2874" s="1"/>
      <c r="AF2874" s="1"/>
      <c r="AG2874" s="1"/>
      <c r="AH2874" s="1"/>
      <c r="AI2874" s="1"/>
      <c r="AJ2874" s="1"/>
      <c r="AK2874" s="1"/>
      <c r="AL2874" s="1"/>
      <c r="AM2874" s="1"/>
      <c r="AN2874" s="1"/>
      <c r="AO2874" s="1"/>
      <c r="AP2874" s="1"/>
      <c r="AQ2874" s="1"/>
      <c r="AR2874" s="1"/>
      <c r="AS2874" s="1"/>
      <c r="AT2874" s="1"/>
      <c r="AU2874" s="1"/>
      <c r="AV2874" s="1"/>
      <c r="AW2874" s="1"/>
      <c r="AX2874" s="1"/>
      <c r="AY2874" s="1"/>
      <c r="AZ2874" s="1"/>
      <c r="BA2874" s="1"/>
      <c r="BB2874" s="1"/>
    </row>
    <row r="2875" ht="204.75" customHeight="1">
      <c r="A2875" s="1">
        <v>4824.0</v>
      </c>
      <c r="B2875" s="2" t="s">
        <v>8760</v>
      </c>
      <c r="C2875" s="2">
        <f>IFERROR(__xludf.DUMMYFUNCTION("split(B2875,""_"")"),1004.0)</f>
        <v>1004</v>
      </c>
      <c r="D2875" s="2" t="str">
        <f>IFERROR(__xludf.DUMMYFUNCTION("""COMPUTED_VALUE"""),"EX")</f>
        <v>EX</v>
      </c>
      <c r="E2875" s="2" t="str">
        <f>IFERROR(__xludf.DUMMYFUNCTION("""COMPUTED_VALUE"""),"木21")</f>
        <v>木21</v>
      </c>
      <c r="F2875" s="2" t="s">
        <v>8761</v>
      </c>
      <c r="G2875" s="2" t="s">
        <v>8774</v>
      </c>
      <c r="H2875" s="1">
        <v>5.0</v>
      </c>
      <c r="I2875" s="1" t="s">
        <v>17</v>
      </c>
      <c r="J2875" s="1" t="s">
        <v>11</v>
      </c>
      <c r="K2875" s="2" t="s">
        <v>8775</v>
      </c>
      <c r="L2875" s="11" t="s">
        <v>8776</v>
      </c>
      <c r="M2875" s="2" t="str">
        <f>IFERROR(__xludf.DUMMYFUNCTION("split(split(K2875,""黒木瞳、"",false),""公式LINE"",false)"),"朋美(黒木瞳)と杉山(高橋克典)の想いが加速する中、親の不貞を疑うそれぞれの娘・息子が急接近、驚きの行動に出る。一方、失踪した同級生から大久保(三上博史)の元へ突然連絡が入る。その鬼気迫る様子に、二人の失踪は、ただの駆け落ちではないと直感した大久保だったが・・・")</f>
        <v>朋美(黒木瞳)と杉山(高橋克典)の想いが加速する中、親の不貞を疑うそれぞれの娘・息子が急接近、驚きの行動に出る。一方、失踪した同級生から大久保(三上博史)の元へ突然連絡が入る。その鬼気迫る様子に、二人の失踪は、ただの駆け落ちではないと直感した大久保だったが・・・</v>
      </c>
      <c r="N2875" s="2"/>
      <c r="O2875" s="2"/>
      <c r="P2875" s="1"/>
      <c r="Q2875" s="1"/>
      <c r="R2875" s="1"/>
      <c r="S2875" s="1"/>
      <c r="T2875" s="1"/>
      <c r="U2875" s="1"/>
      <c r="V2875" s="1"/>
      <c r="W2875" s="1"/>
      <c r="X2875" s="1"/>
      <c r="Y2875" s="1"/>
      <c r="Z2875" s="1"/>
      <c r="AA2875" s="1"/>
      <c r="AB2875" s="1"/>
      <c r="AC2875" s="1"/>
      <c r="AD2875" s="1"/>
      <c r="AE2875" s="1"/>
      <c r="AF2875" s="1"/>
      <c r="AG2875" s="1"/>
      <c r="AH2875" s="1"/>
      <c r="AI2875" s="1"/>
      <c r="AJ2875" s="1"/>
      <c r="AK2875" s="1"/>
      <c r="AL2875" s="1"/>
      <c r="AM2875" s="1"/>
      <c r="AN2875" s="1"/>
      <c r="AO2875" s="1"/>
      <c r="AP2875" s="1"/>
      <c r="AQ2875" s="1"/>
      <c r="AR2875" s="1"/>
      <c r="AS2875" s="1"/>
      <c r="AT2875" s="1"/>
      <c r="AU2875" s="1"/>
      <c r="AV2875" s="1"/>
      <c r="AW2875" s="1"/>
      <c r="AX2875" s="1"/>
      <c r="AY2875" s="1"/>
      <c r="AZ2875" s="1"/>
      <c r="BA2875" s="1"/>
      <c r="BB2875" s="1"/>
    </row>
    <row r="2876" ht="204.75" customHeight="1">
      <c r="A2876" s="1">
        <v>4825.0</v>
      </c>
      <c r="B2876" s="2" t="s">
        <v>8760</v>
      </c>
      <c r="C2876" s="2">
        <f>IFERROR(__xludf.DUMMYFUNCTION("split(B2876,""_"")"),1004.0)</f>
        <v>1004</v>
      </c>
      <c r="D2876" s="2" t="str">
        <f>IFERROR(__xludf.DUMMYFUNCTION("""COMPUTED_VALUE"""),"EX")</f>
        <v>EX</v>
      </c>
      <c r="E2876" s="2" t="str">
        <f>IFERROR(__xludf.DUMMYFUNCTION("""COMPUTED_VALUE"""),"木21")</f>
        <v>木21</v>
      </c>
      <c r="F2876" s="2" t="s">
        <v>8761</v>
      </c>
      <c r="G2876" s="2" t="s">
        <v>8777</v>
      </c>
      <c r="H2876" s="1">
        <v>6.0</v>
      </c>
      <c r="I2876" s="1" t="s">
        <v>21</v>
      </c>
      <c r="J2876" s="1" t="s">
        <v>11</v>
      </c>
      <c r="K2876" s="2" t="s">
        <v>8778</v>
      </c>
      <c r="L2876" s="11" t="s">
        <v>8779</v>
      </c>
      <c r="M2876" s="2" t="str">
        <f>IFERROR(__xludf.DUMMYFUNCTION("split(split(K2876,""黒木瞳、"",false),""公式LINE"",false)"),"想いを確認し合った朋美(黒木瞳)と杉山(高橋克典)だったが、お互いの家族のためにもう会わないと決める。そんな二人の関係を察した大久保(三上博史)もまた、陽子(斉藤由貴)と一夜を共にして以来、彼女の存在が大きくなっていく。それぞれの想いが渦巻く中、彼らをある悲劇が襲う・・・!")</f>
        <v>想いを確認し合った朋美(黒木瞳)と杉山(高橋克典)だったが、お互いの家族のためにもう会わないと決める。そんな二人の関係を察した大久保(三上博史)もまた、陽子(斉藤由貴)と一夜を共にして以来、彼女の存在が大きくなっていく。それぞれの想いが渦巻く中、彼らをある悲劇が襲う・・・!</v>
      </c>
      <c r="N2876" s="2"/>
      <c r="O2876" s="2"/>
      <c r="P2876" s="1"/>
      <c r="Q2876" s="1"/>
      <c r="R2876" s="1"/>
      <c r="S2876" s="1"/>
      <c r="T2876" s="1"/>
      <c r="U2876" s="1"/>
      <c r="V2876" s="1"/>
      <c r="W2876" s="1"/>
      <c r="X2876" s="1"/>
      <c r="Y2876" s="1"/>
      <c r="Z2876" s="1"/>
      <c r="AA2876" s="1"/>
      <c r="AB2876" s="1"/>
      <c r="AC2876" s="1"/>
      <c r="AD2876" s="1"/>
      <c r="AE2876" s="1"/>
      <c r="AF2876" s="1"/>
      <c r="AG2876" s="1"/>
      <c r="AH2876" s="1"/>
      <c r="AI2876" s="1"/>
      <c r="AJ2876" s="1"/>
      <c r="AK2876" s="1"/>
      <c r="AL2876" s="1"/>
      <c r="AM2876" s="1"/>
      <c r="AN2876" s="1"/>
      <c r="AO2876" s="1"/>
      <c r="AP2876" s="1"/>
      <c r="AQ2876" s="1"/>
      <c r="AR2876" s="1"/>
      <c r="AS2876" s="1"/>
      <c r="AT2876" s="1"/>
      <c r="AU2876" s="1"/>
      <c r="AV2876" s="1"/>
      <c r="AW2876" s="1"/>
      <c r="AX2876" s="1"/>
      <c r="AY2876" s="1"/>
      <c r="AZ2876" s="1"/>
      <c r="BA2876" s="1"/>
      <c r="BB2876" s="1"/>
    </row>
    <row r="2877" ht="204.75" customHeight="1">
      <c r="A2877" s="1">
        <v>4826.0</v>
      </c>
      <c r="B2877" s="2" t="s">
        <v>8760</v>
      </c>
      <c r="C2877" s="2">
        <f>IFERROR(__xludf.DUMMYFUNCTION("split(B2877,""_"")"),1004.0)</f>
        <v>1004</v>
      </c>
      <c r="D2877" s="2" t="str">
        <f>IFERROR(__xludf.DUMMYFUNCTION("""COMPUTED_VALUE"""),"EX")</f>
        <v>EX</v>
      </c>
      <c r="E2877" s="2" t="str">
        <f>IFERROR(__xludf.DUMMYFUNCTION("""COMPUTED_VALUE"""),"木21")</f>
        <v>木21</v>
      </c>
      <c r="F2877" s="2" t="s">
        <v>8761</v>
      </c>
      <c r="G2877" s="2" t="s">
        <v>8780</v>
      </c>
      <c r="H2877" s="1">
        <v>7.0</v>
      </c>
      <c r="I2877" s="1" t="s">
        <v>25</v>
      </c>
      <c r="J2877" s="1" t="s">
        <v>11</v>
      </c>
      <c r="K2877" s="2" t="s">
        <v>8781</v>
      </c>
      <c r="L2877" s="11" t="s">
        <v>8782</v>
      </c>
      <c r="M2877" s="2" t="str">
        <f>IFERROR(__xludf.DUMMYFUNCTION("split(split(K2877,""黒木瞳、"",false),""公式LINE"",false)"),"杉山(高橋克典)が刺された現場に居合わせた朋美(黒木瞳)は、警察から事情聴取を受けることになる。家族からも孤立し、居場所を失っていく朋美。一方、新しい生活を始めた大久保(三上博史)と陽子(斉藤由貴)。ささやかな幸せもつかの間、病魔が確実に大久保を蝕んでいき・・・")</f>
        <v>杉山(高橋克典)が刺された現場に居合わせた朋美(黒木瞳)は、警察から事情聴取を受けることになる。家族からも孤立し、居場所を失っていく朋美。一方、新しい生活を始めた大久保(三上博史)と陽子(斉藤由貴)。ささやかな幸せもつかの間、病魔が確実に大久保を蝕んでいき・・・</v>
      </c>
      <c r="N2877" s="2"/>
      <c r="O2877" s="2"/>
      <c r="P2877" s="1"/>
      <c r="Q2877" s="1"/>
      <c r="R2877" s="1"/>
      <c r="S2877" s="1"/>
      <c r="T2877" s="1"/>
      <c r="U2877" s="1"/>
      <c r="V2877" s="1"/>
      <c r="W2877" s="1"/>
      <c r="X2877" s="1"/>
      <c r="Y2877" s="1"/>
      <c r="Z2877" s="1"/>
      <c r="AA2877" s="1"/>
      <c r="AB2877" s="1"/>
      <c r="AC2877" s="1"/>
      <c r="AD2877" s="1"/>
      <c r="AE2877" s="1"/>
      <c r="AF2877" s="1"/>
      <c r="AG2877" s="1"/>
      <c r="AH2877" s="1"/>
      <c r="AI2877" s="1"/>
      <c r="AJ2877" s="1"/>
      <c r="AK2877" s="1"/>
      <c r="AL2877" s="1"/>
      <c r="AM2877" s="1"/>
      <c r="AN2877" s="1"/>
      <c r="AO2877" s="1"/>
      <c r="AP2877" s="1"/>
      <c r="AQ2877" s="1"/>
      <c r="AR2877" s="1"/>
      <c r="AS2877" s="1"/>
      <c r="AT2877" s="1"/>
      <c r="AU2877" s="1"/>
      <c r="AV2877" s="1"/>
      <c r="AW2877" s="1"/>
      <c r="AX2877" s="1"/>
      <c r="AY2877" s="1"/>
      <c r="AZ2877" s="1"/>
      <c r="BA2877" s="1"/>
      <c r="BB2877" s="1"/>
    </row>
    <row r="2878" ht="204.75" customHeight="1">
      <c r="A2878" s="1">
        <v>4827.0</v>
      </c>
      <c r="B2878" s="2" t="s">
        <v>8760</v>
      </c>
      <c r="C2878" s="2">
        <f>IFERROR(__xludf.DUMMYFUNCTION("split(B2878,""_"")"),1004.0)</f>
        <v>1004</v>
      </c>
      <c r="D2878" s="2" t="str">
        <f>IFERROR(__xludf.DUMMYFUNCTION("""COMPUTED_VALUE"""),"EX")</f>
        <v>EX</v>
      </c>
      <c r="E2878" s="2" t="str">
        <f>IFERROR(__xludf.DUMMYFUNCTION("""COMPUTED_VALUE"""),"木21")</f>
        <v>木21</v>
      </c>
      <c r="F2878" s="2" t="s">
        <v>8761</v>
      </c>
      <c r="G2878" s="2" t="s">
        <v>8783</v>
      </c>
      <c r="H2878" s="1">
        <v>8.0</v>
      </c>
      <c r="I2878" s="1" t="s">
        <v>29</v>
      </c>
      <c r="J2878" s="1" t="s">
        <v>11</v>
      </c>
      <c r="K2878" s="2" t="s">
        <v>8784</v>
      </c>
      <c r="L2878" s="11" t="s">
        <v>8785</v>
      </c>
      <c r="M2878" s="2" t="str">
        <f>IFERROR(__xludf.DUMMYFUNCTION("split(split(K2878,""黒木瞳、"",false),""公式LINE"",false)"),"悲しい決意を胸に、病院を後にした朋美(黒木瞳)と杉山(高橋克典)。残された家族たちは衝撃の事実に取り乱し、思わぬ行動に出る。一方、真実を語りたいと言う福島(尾美としのり)と落ち合うために車を走らせる大久保(三上博史)だったが、そこには警察の手が迫っていた。")</f>
        <v>悲しい決意を胸に、病院を後にした朋美(黒木瞳)と杉山(高橋克典)。残された家族たちは衝撃の事実に取り乱し、思わぬ行動に出る。一方、真実を語りたいと言う福島(尾美としのり)と落ち合うために車を走らせる大久保(三上博史)だったが、そこには警察の手が迫っていた。</v>
      </c>
      <c r="N2878" s="2"/>
      <c r="O2878" s="2"/>
      <c r="P2878" s="1"/>
      <c r="Q2878" s="1"/>
      <c r="R2878" s="1"/>
      <c r="S2878" s="1"/>
      <c r="T2878" s="1"/>
      <c r="U2878" s="1"/>
      <c r="V2878" s="1"/>
      <c r="W2878" s="1"/>
      <c r="X2878" s="1"/>
      <c r="Y2878" s="1"/>
      <c r="Z2878" s="1"/>
      <c r="AA2878" s="1"/>
      <c r="AB2878" s="1"/>
      <c r="AC2878" s="1"/>
      <c r="AD2878" s="1"/>
      <c r="AE2878" s="1"/>
      <c r="AF2878" s="1"/>
      <c r="AG2878" s="1"/>
      <c r="AH2878" s="1"/>
      <c r="AI2878" s="1"/>
      <c r="AJ2878" s="1"/>
      <c r="AK2878" s="1"/>
      <c r="AL2878" s="1"/>
      <c r="AM2878" s="1"/>
      <c r="AN2878" s="1"/>
      <c r="AO2878" s="1"/>
      <c r="AP2878" s="1"/>
      <c r="AQ2878" s="1"/>
      <c r="AR2878" s="1"/>
      <c r="AS2878" s="1"/>
      <c r="AT2878" s="1"/>
      <c r="AU2878" s="1"/>
      <c r="AV2878" s="1"/>
      <c r="AW2878" s="1"/>
      <c r="AX2878" s="1"/>
      <c r="AY2878" s="1"/>
      <c r="AZ2878" s="1"/>
      <c r="BA2878" s="1"/>
      <c r="BB2878" s="1"/>
    </row>
    <row r="2879" ht="204.75" customHeight="1">
      <c r="A2879" s="1">
        <v>4828.0</v>
      </c>
      <c r="B2879" s="2" t="s">
        <v>8760</v>
      </c>
      <c r="C2879" s="2">
        <f>IFERROR(__xludf.DUMMYFUNCTION("split(B2879,""_"")"),1004.0)</f>
        <v>1004</v>
      </c>
      <c r="D2879" s="2" t="str">
        <f>IFERROR(__xludf.DUMMYFUNCTION("""COMPUTED_VALUE"""),"EX")</f>
        <v>EX</v>
      </c>
      <c r="E2879" s="2" t="str">
        <f>IFERROR(__xludf.DUMMYFUNCTION("""COMPUTED_VALUE"""),"木21")</f>
        <v>木21</v>
      </c>
      <c r="F2879" s="2" t="s">
        <v>8761</v>
      </c>
      <c r="G2879" s="2" t="s">
        <v>8786</v>
      </c>
      <c r="H2879" s="1">
        <v>9.0</v>
      </c>
      <c r="I2879" s="1" t="s">
        <v>33</v>
      </c>
      <c r="J2879" s="1" t="s">
        <v>4</v>
      </c>
      <c r="K2879" s="2" t="s">
        <v>8787</v>
      </c>
      <c r="L2879" s="11" t="s">
        <v>8788</v>
      </c>
      <c r="M2879" s="2" t="str">
        <f>IFERROR(__xludf.DUMMYFUNCTION("split(split(K2879,""黒木瞳、"",false),""公式LINE"",false)"),"スタジオで真実を話せという言葉を福島に残し、病院に搬送された大久保(三上博史)。逃避行をしていた朋美(黒木瞳)、杉山(高橋克典)にも、緊急記者会見のニュースが飛び込む。生放送で福島が語った、国家を揺るがす衝撃の事実とは?そして男と女、最後の決断の時が迫る!")</f>
        <v>スタジオで真実を話せという言葉を福島に残し、病院に搬送された大久保(三上博史)。逃避行をしていた朋美(黒木瞳)、杉山(高橋克典)にも、緊急記者会見のニュースが飛び込む。生放送で福島が語った、国家を揺るがす衝撃の事実とは?そして男と女、最後の決断の時が迫る!</v>
      </c>
      <c r="N2879" s="2"/>
      <c r="O2879" s="2"/>
      <c r="P2879" s="1"/>
      <c r="Q2879" s="1"/>
      <c r="R2879" s="1"/>
      <c r="S2879" s="1"/>
      <c r="T2879" s="1"/>
      <c r="U2879" s="1"/>
      <c r="V2879" s="1"/>
      <c r="W2879" s="1"/>
      <c r="X2879" s="1"/>
      <c r="Y2879" s="1"/>
      <c r="Z2879" s="1"/>
      <c r="AA2879" s="1"/>
      <c r="AB2879" s="1"/>
      <c r="AC2879" s="1"/>
      <c r="AD2879" s="1"/>
      <c r="AE2879" s="1"/>
      <c r="AF2879" s="1"/>
      <c r="AG2879" s="1"/>
      <c r="AH2879" s="1"/>
      <c r="AI2879" s="1"/>
      <c r="AJ2879" s="1"/>
      <c r="AK2879" s="1"/>
      <c r="AL2879" s="1"/>
      <c r="AM2879" s="1"/>
      <c r="AN2879" s="1"/>
      <c r="AO2879" s="1"/>
      <c r="AP2879" s="1"/>
      <c r="AQ2879" s="1"/>
      <c r="AR2879" s="1"/>
      <c r="AS2879" s="1"/>
      <c r="AT2879" s="1"/>
      <c r="AU2879" s="1"/>
      <c r="AV2879" s="1"/>
      <c r="AW2879" s="1"/>
      <c r="AX2879" s="1"/>
      <c r="AY2879" s="1"/>
      <c r="AZ2879" s="1"/>
      <c r="BA2879" s="1"/>
      <c r="BB2879" s="1"/>
    </row>
    <row r="2880" ht="204.75" customHeight="1">
      <c r="A2880" s="1">
        <v>4920.0</v>
      </c>
      <c r="B2880" s="2" t="s">
        <v>8789</v>
      </c>
      <c r="C2880" s="2">
        <f>IFERROR(__xludf.DUMMYFUNCTION("split(B2880,""_"")"),1001.0)</f>
        <v>1001</v>
      </c>
      <c r="D2880" s="2" t="str">
        <f>IFERROR(__xludf.DUMMYFUNCTION("""COMPUTED_VALUE"""),"EX")</f>
        <v>EX</v>
      </c>
      <c r="E2880" s="2" t="str">
        <f>IFERROR(__xludf.DUMMYFUNCTION("""COMPUTED_VALUE"""),"木21")</f>
        <v>木21</v>
      </c>
      <c r="F2880" s="2" t="s">
        <v>8790</v>
      </c>
      <c r="G2880" s="2" t="s">
        <v>8791</v>
      </c>
      <c r="H2880" s="1">
        <v>1.0</v>
      </c>
      <c r="I2880" s="1" t="s">
        <v>3</v>
      </c>
      <c r="J2880" s="1" t="s">
        <v>11</v>
      </c>
      <c r="K2880" s="4" t="s">
        <v>8792</v>
      </c>
      <c r="L2880" s="11" t="s">
        <v>8793</v>
      </c>
      <c r="M2880" s="2" t="str">
        <f>IFERROR(__xludf.DUMMYFUNCTION("split(split(K2880,""長谷川京子、"",false),""公式LINE"",false)"),"『離婚主婦の再就職!価値0円といわれた女!人生の大逆転』  新人転職代理人となった井野真々子(長谷川京子)は「仕事はありません」と海老沢(生瀬勝久)に宣言されたシングルマザーの再就職を担当することになる。かつての教え子・藤川(新垣結衣)らも相談を持ちかける。　")</f>
        <v>『離婚主婦の再就職!価値0円といわれた女!人生の大逆転』  新人転職代理人となった井野真々子(長谷川京子)は「仕事はありません」と海老沢(生瀬勝久)に宣言されたシングルマザーの再就職を担当することになる。かつての教え子・藤川(新垣結衣)らも相談を持ちかける。　</v>
      </c>
      <c r="N2880" s="2"/>
      <c r="O2880" s="2"/>
      <c r="P2880" s="1"/>
      <c r="Q2880" s="1"/>
      <c r="R2880" s="1"/>
      <c r="S2880" s="1"/>
      <c r="T2880" s="1"/>
      <c r="U2880" s="1"/>
      <c r="V2880" s="1"/>
      <c r="W2880" s="1"/>
      <c r="X2880" s="1"/>
      <c r="Y2880" s="1"/>
      <c r="Z2880" s="1"/>
      <c r="AA2880" s="1"/>
      <c r="AB2880" s="1"/>
      <c r="AC2880" s="1"/>
      <c r="AD2880" s="1"/>
      <c r="AE2880" s="1"/>
      <c r="AF2880" s="1"/>
      <c r="AG2880" s="1"/>
      <c r="AH2880" s="1"/>
      <c r="AI2880" s="1"/>
      <c r="AJ2880" s="1"/>
      <c r="AK2880" s="1"/>
      <c r="AL2880" s="1"/>
      <c r="AM2880" s="1"/>
      <c r="AN2880" s="1"/>
      <c r="AO2880" s="1"/>
      <c r="AP2880" s="1"/>
      <c r="AQ2880" s="1"/>
      <c r="AR2880" s="1"/>
      <c r="AS2880" s="1"/>
      <c r="AT2880" s="1"/>
      <c r="AU2880" s="1"/>
      <c r="AV2880" s="1"/>
      <c r="AW2880" s="1"/>
      <c r="AX2880" s="1"/>
      <c r="AY2880" s="1"/>
      <c r="AZ2880" s="1"/>
      <c r="BA2880" s="1"/>
      <c r="BB2880" s="1"/>
    </row>
    <row r="2881" ht="204.75" customHeight="1">
      <c r="A2881" s="1">
        <v>4921.0</v>
      </c>
      <c r="B2881" s="2" t="s">
        <v>8789</v>
      </c>
      <c r="C2881" s="2">
        <f>IFERROR(__xludf.DUMMYFUNCTION("split(B2881,""_"")"),1001.0)</f>
        <v>1001</v>
      </c>
      <c r="D2881" s="2" t="str">
        <f>IFERROR(__xludf.DUMMYFUNCTION("""COMPUTED_VALUE"""),"EX")</f>
        <v>EX</v>
      </c>
      <c r="E2881" s="2" t="str">
        <f>IFERROR(__xludf.DUMMYFUNCTION("""COMPUTED_VALUE"""),"木21")</f>
        <v>木21</v>
      </c>
      <c r="F2881" s="2" t="s">
        <v>8790</v>
      </c>
      <c r="G2881" s="2" t="s">
        <v>8794</v>
      </c>
      <c r="H2881" s="1">
        <v>2.0</v>
      </c>
      <c r="I2881" s="1" t="s">
        <v>7</v>
      </c>
      <c r="J2881" s="1" t="s">
        <v>11</v>
      </c>
      <c r="K2881" s="2" t="s">
        <v>8795</v>
      </c>
      <c r="L2881" s="11" t="s">
        <v>8796</v>
      </c>
      <c r="M2881" s="2" t="str">
        <f>IFERROR(__xludf.DUMMYFUNCTION("split(split(K2881,""長谷川京子、"",false),""公式LINE"",false)"),"自分は仕事が出来ると思い込んでいる甘い男が登場。新人転職代理人・井野真々子(長谷川京子)は、転職を成功させる五角形を使って彼に親身になっていく。　")</f>
        <v>自分は仕事が出来ると思い込んでいる甘い男が登場。新人転職代理人・井野真々子(長谷川京子)は、転職を成功させる五角形を使って彼に親身になっていく。　</v>
      </c>
      <c r="N2881" s="2"/>
      <c r="O2881" s="2"/>
      <c r="P2881" s="1"/>
      <c r="Q2881" s="1"/>
      <c r="R2881" s="1"/>
      <c r="S2881" s="1"/>
      <c r="T2881" s="1"/>
      <c r="U2881" s="1"/>
      <c r="V2881" s="1"/>
      <c r="W2881" s="1"/>
      <c r="X2881" s="1"/>
      <c r="Y2881" s="1"/>
      <c r="Z2881" s="1"/>
      <c r="AA2881" s="1"/>
      <c r="AB2881" s="1"/>
      <c r="AC2881" s="1"/>
      <c r="AD2881" s="1"/>
      <c r="AE2881" s="1"/>
      <c r="AF2881" s="1"/>
      <c r="AG2881" s="1"/>
      <c r="AH2881" s="1"/>
      <c r="AI2881" s="1"/>
      <c r="AJ2881" s="1"/>
      <c r="AK2881" s="1"/>
      <c r="AL2881" s="1"/>
      <c r="AM2881" s="1"/>
      <c r="AN2881" s="1"/>
      <c r="AO2881" s="1"/>
      <c r="AP2881" s="1"/>
      <c r="AQ2881" s="1"/>
      <c r="AR2881" s="1"/>
      <c r="AS2881" s="1"/>
      <c r="AT2881" s="1"/>
      <c r="AU2881" s="1"/>
      <c r="AV2881" s="1"/>
      <c r="AW2881" s="1"/>
      <c r="AX2881" s="1"/>
      <c r="AY2881" s="1"/>
      <c r="AZ2881" s="1"/>
      <c r="BA2881" s="1"/>
      <c r="BB2881" s="1"/>
    </row>
    <row r="2882" ht="204.75" customHeight="1">
      <c r="A2882" s="1">
        <v>4922.0</v>
      </c>
      <c r="B2882" s="2" t="s">
        <v>8789</v>
      </c>
      <c r="C2882" s="2">
        <f>IFERROR(__xludf.DUMMYFUNCTION("split(B2882,""_"")"),1001.0)</f>
        <v>1001</v>
      </c>
      <c r="D2882" s="2" t="str">
        <f>IFERROR(__xludf.DUMMYFUNCTION("""COMPUTED_VALUE"""),"EX")</f>
        <v>EX</v>
      </c>
      <c r="E2882" s="2" t="str">
        <f>IFERROR(__xludf.DUMMYFUNCTION("""COMPUTED_VALUE"""),"木21")</f>
        <v>木21</v>
      </c>
      <c r="F2882" s="2" t="s">
        <v>8790</v>
      </c>
      <c r="G2882" s="2" t="s">
        <v>8797</v>
      </c>
      <c r="H2882" s="1">
        <v>3.0</v>
      </c>
      <c r="I2882" s="1" t="s">
        <v>10</v>
      </c>
      <c r="J2882" s="1" t="s">
        <v>11</v>
      </c>
      <c r="K2882" s="2" t="s">
        <v>8798</v>
      </c>
      <c r="L2882" s="11" t="s">
        <v>8799</v>
      </c>
      <c r="M2882" s="2" t="str">
        <f>IFERROR(__xludf.DUMMYFUNCTION("split(split(K2882,""長谷川京子、"",false),""公式LINE"",false)"),"『女の敵は女?屈辱かプライドかベテランOL運命の選択』  人生逆転新ドラマ!経済不況を生き抜く技も紹介!話題の出演者も登場!!　")</f>
        <v>『女の敵は女?屈辱かプライドかベテランOL運命の選択』  人生逆転新ドラマ!経済不況を生き抜く技も紹介!話題の出演者も登場!!　</v>
      </c>
      <c r="N2882" s="2"/>
      <c r="O2882" s="2"/>
      <c r="P2882" s="1"/>
      <c r="Q2882" s="1"/>
      <c r="R2882" s="1"/>
      <c r="S2882" s="1"/>
      <c r="T2882" s="1"/>
      <c r="U2882" s="1"/>
      <c r="V2882" s="1"/>
      <c r="W2882" s="1"/>
      <c r="X2882" s="1"/>
      <c r="Y2882" s="1"/>
      <c r="Z2882" s="1"/>
      <c r="AA2882" s="1"/>
      <c r="AB2882" s="1"/>
      <c r="AC2882" s="1"/>
      <c r="AD2882" s="1"/>
      <c r="AE2882" s="1"/>
      <c r="AF2882" s="1"/>
      <c r="AG2882" s="1"/>
      <c r="AH2882" s="1"/>
      <c r="AI2882" s="1"/>
      <c r="AJ2882" s="1"/>
      <c r="AK2882" s="1"/>
      <c r="AL2882" s="1"/>
      <c r="AM2882" s="1"/>
      <c r="AN2882" s="1"/>
      <c r="AO2882" s="1"/>
      <c r="AP2882" s="1"/>
      <c r="AQ2882" s="1"/>
      <c r="AR2882" s="1"/>
      <c r="AS2882" s="1"/>
      <c r="AT2882" s="1"/>
      <c r="AU2882" s="1"/>
      <c r="AV2882" s="1"/>
      <c r="AW2882" s="1"/>
      <c r="AX2882" s="1"/>
      <c r="AY2882" s="1"/>
      <c r="AZ2882" s="1"/>
      <c r="BA2882" s="1"/>
      <c r="BB2882" s="1"/>
    </row>
    <row r="2883" ht="204.75" customHeight="1">
      <c r="A2883" s="1">
        <v>4923.0</v>
      </c>
      <c r="B2883" s="2" t="s">
        <v>8789</v>
      </c>
      <c r="C2883" s="2">
        <f>IFERROR(__xludf.DUMMYFUNCTION("split(B2883,""_"")"),1001.0)</f>
        <v>1001</v>
      </c>
      <c r="D2883" s="2" t="str">
        <f>IFERROR(__xludf.DUMMYFUNCTION("""COMPUTED_VALUE"""),"EX")</f>
        <v>EX</v>
      </c>
      <c r="E2883" s="2" t="str">
        <f>IFERROR(__xludf.DUMMYFUNCTION("""COMPUTED_VALUE"""),"木21")</f>
        <v>木21</v>
      </c>
      <c r="F2883" s="2" t="s">
        <v>8790</v>
      </c>
      <c r="G2883" s="2" t="s">
        <v>8800</v>
      </c>
      <c r="H2883" s="1">
        <v>4.0</v>
      </c>
      <c r="I2883" s="1" t="s">
        <v>14</v>
      </c>
      <c r="J2883" s="1" t="s">
        <v>11</v>
      </c>
      <c r="K2883" s="2" t="s">
        <v>8801</v>
      </c>
      <c r="L2883" s="11" t="s">
        <v>8802</v>
      </c>
      <c r="M2883" s="2" t="str">
        <f>IFERROR(__xludf.DUMMYFUNCTION("split(split(K2883,""長谷川京子、"",false),""公式LINE"",false)"),"「父の就職活動!!その時家族は・・・」不況下のリストラされた失意の父と、会話の少ない家族。他人事ではない今そこにある脅威!　")</f>
        <v>「父の就職活動!!その時家族は・・・」不況下のリストラされた失意の父と、会話の少ない家族。他人事ではない今そこにある脅威!　</v>
      </c>
      <c r="N2883" s="2"/>
      <c r="O2883" s="2"/>
      <c r="P2883" s="1"/>
      <c r="Q2883" s="1"/>
      <c r="R2883" s="1"/>
      <c r="S2883" s="1"/>
      <c r="T2883" s="1"/>
      <c r="U2883" s="1"/>
      <c r="V2883" s="1"/>
      <c r="W2883" s="1"/>
      <c r="X2883" s="1"/>
      <c r="Y2883" s="1"/>
      <c r="Z2883" s="1"/>
      <c r="AA2883" s="1"/>
      <c r="AB2883" s="1"/>
      <c r="AC2883" s="1"/>
      <c r="AD2883" s="1"/>
      <c r="AE2883" s="1"/>
      <c r="AF2883" s="1"/>
      <c r="AG2883" s="1"/>
      <c r="AH2883" s="1"/>
      <c r="AI2883" s="1"/>
      <c r="AJ2883" s="1"/>
      <c r="AK2883" s="1"/>
      <c r="AL2883" s="1"/>
      <c r="AM2883" s="1"/>
      <c r="AN2883" s="1"/>
      <c r="AO2883" s="1"/>
      <c r="AP2883" s="1"/>
      <c r="AQ2883" s="1"/>
      <c r="AR2883" s="1"/>
      <c r="AS2883" s="1"/>
      <c r="AT2883" s="1"/>
      <c r="AU2883" s="1"/>
      <c r="AV2883" s="1"/>
      <c r="AW2883" s="1"/>
      <c r="AX2883" s="1"/>
      <c r="AY2883" s="1"/>
      <c r="AZ2883" s="1"/>
      <c r="BA2883" s="1"/>
      <c r="BB2883" s="1"/>
    </row>
    <row r="2884" ht="204.75" customHeight="1">
      <c r="A2884" s="1">
        <v>4924.0</v>
      </c>
      <c r="B2884" s="2" t="s">
        <v>8789</v>
      </c>
      <c r="C2884" s="2">
        <f>IFERROR(__xludf.DUMMYFUNCTION("split(B2884,""_"")"),1001.0)</f>
        <v>1001</v>
      </c>
      <c r="D2884" s="2" t="str">
        <f>IFERROR(__xludf.DUMMYFUNCTION("""COMPUTED_VALUE"""),"EX")</f>
        <v>EX</v>
      </c>
      <c r="E2884" s="2" t="str">
        <f>IFERROR(__xludf.DUMMYFUNCTION("""COMPUTED_VALUE"""),"木21")</f>
        <v>木21</v>
      </c>
      <c r="F2884" s="2" t="s">
        <v>8790</v>
      </c>
      <c r="G2884" s="2" t="s">
        <v>8803</v>
      </c>
      <c r="H2884" s="1">
        <v>5.0</v>
      </c>
      <c r="I2884" s="1" t="s">
        <v>17</v>
      </c>
      <c r="J2884" s="1" t="s">
        <v>11</v>
      </c>
      <c r="K2884" s="2" t="s">
        <v>8804</v>
      </c>
      <c r="L2884" s="11" t="s">
        <v>8805</v>
      </c>
      <c r="M2884" s="2" t="str">
        <f>IFERROR(__xludf.DUMMYFUNCTION("split(split(K2884,""長谷川京子、"",false),""公式LINE"",false)"),"「会社が倒産寸前!逃げるか?残るか?」  会社倒産の危機をいち早く知った経理部員は、転職活動を始めるが・・・。転職先を決めたところで迷い始める。彼はコネ入社だった!　")</f>
        <v>「会社が倒産寸前!逃げるか?残るか?」  会社倒産の危機をいち早く知った経理部員は、転職活動を始めるが・・・。転職先を決めたところで迷い始める。彼はコネ入社だった!　</v>
      </c>
      <c r="N2884" s="2"/>
      <c r="O2884" s="2"/>
      <c r="P2884" s="1"/>
      <c r="Q2884" s="1"/>
      <c r="R2884" s="1"/>
      <c r="S2884" s="1"/>
      <c r="T2884" s="1"/>
      <c r="U2884" s="1"/>
      <c r="V2884" s="1"/>
      <c r="W2884" s="1"/>
      <c r="X2884" s="1"/>
      <c r="Y2884" s="1"/>
      <c r="Z2884" s="1"/>
      <c r="AA2884" s="1"/>
      <c r="AB2884" s="1"/>
      <c r="AC2884" s="1"/>
      <c r="AD2884" s="1"/>
      <c r="AE2884" s="1"/>
      <c r="AF2884" s="1"/>
      <c r="AG2884" s="1"/>
      <c r="AH2884" s="1"/>
      <c r="AI2884" s="1"/>
      <c r="AJ2884" s="1"/>
      <c r="AK2884" s="1"/>
      <c r="AL2884" s="1"/>
      <c r="AM2884" s="1"/>
      <c r="AN2884" s="1"/>
      <c r="AO2884" s="1"/>
      <c r="AP2884" s="1"/>
      <c r="AQ2884" s="1"/>
      <c r="AR2884" s="1"/>
      <c r="AS2884" s="1"/>
      <c r="AT2884" s="1"/>
      <c r="AU2884" s="1"/>
      <c r="AV2884" s="1"/>
      <c r="AW2884" s="1"/>
      <c r="AX2884" s="1"/>
      <c r="AY2884" s="1"/>
      <c r="AZ2884" s="1"/>
      <c r="BA2884" s="1"/>
      <c r="BB2884" s="1"/>
    </row>
    <row r="2885" ht="204.75" customHeight="1">
      <c r="A2885" s="1">
        <v>4925.0</v>
      </c>
      <c r="B2885" s="2" t="s">
        <v>8789</v>
      </c>
      <c r="C2885" s="2">
        <f>IFERROR(__xludf.DUMMYFUNCTION("split(B2885,""_"")"),1001.0)</f>
        <v>1001</v>
      </c>
      <c r="D2885" s="2" t="str">
        <f>IFERROR(__xludf.DUMMYFUNCTION("""COMPUTED_VALUE"""),"EX")</f>
        <v>EX</v>
      </c>
      <c r="E2885" s="2" t="str">
        <f>IFERROR(__xludf.DUMMYFUNCTION("""COMPUTED_VALUE"""),"木21")</f>
        <v>木21</v>
      </c>
      <c r="F2885" s="2" t="s">
        <v>8790</v>
      </c>
      <c r="G2885" s="2" t="s">
        <v>8806</v>
      </c>
      <c r="H2885" s="1">
        <v>6.0</v>
      </c>
      <c r="I2885" s="1" t="s">
        <v>21</v>
      </c>
      <c r="J2885" s="1" t="s">
        <v>11</v>
      </c>
      <c r="K2885" s="2" t="s">
        <v>8807</v>
      </c>
      <c r="L2885" s="11" t="s">
        <v>8808</v>
      </c>
      <c r="M2885" s="2" t="str">
        <f>IFERROR(__xludf.DUMMYFUNCTION("split(split(K2885,""長谷川京子、"",false),""公式LINE"",false)"),"『女子アナ転職!!理想と現実』人生逆転新ドラマ!")</f>
        <v>『女子アナ転職!!理想と現実』人生逆転新ドラマ!</v>
      </c>
      <c r="N2885" s="2"/>
      <c r="O2885" s="2"/>
      <c r="P2885" s="1"/>
      <c r="Q2885" s="1"/>
      <c r="R2885" s="1"/>
      <c r="S2885" s="1"/>
      <c r="T2885" s="1"/>
      <c r="U2885" s="1"/>
      <c r="V2885" s="1"/>
      <c r="W2885" s="1"/>
      <c r="X2885" s="1"/>
      <c r="Y2885" s="1"/>
      <c r="Z2885" s="1"/>
      <c r="AA2885" s="1"/>
      <c r="AB2885" s="1"/>
      <c r="AC2885" s="1"/>
      <c r="AD2885" s="1"/>
      <c r="AE2885" s="1"/>
      <c r="AF2885" s="1"/>
      <c r="AG2885" s="1"/>
      <c r="AH2885" s="1"/>
      <c r="AI2885" s="1"/>
      <c r="AJ2885" s="1"/>
      <c r="AK2885" s="1"/>
      <c r="AL2885" s="1"/>
      <c r="AM2885" s="1"/>
      <c r="AN2885" s="1"/>
      <c r="AO2885" s="1"/>
      <c r="AP2885" s="1"/>
      <c r="AQ2885" s="1"/>
      <c r="AR2885" s="1"/>
      <c r="AS2885" s="1"/>
      <c r="AT2885" s="1"/>
      <c r="AU2885" s="1"/>
      <c r="AV2885" s="1"/>
      <c r="AW2885" s="1"/>
      <c r="AX2885" s="1"/>
      <c r="AY2885" s="1"/>
      <c r="AZ2885" s="1"/>
      <c r="BA2885" s="1"/>
      <c r="BB2885" s="1"/>
    </row>
    <row r="2886" ht="204.75" customHeight="1">
      <c r="A2886" s="1">
        <v>4926.0</v>
      </c>
      <c r="B2886" s="2" t="s">
        <v>8789</v>
      </c>
      <c r="C2886" s="2">
        <f>IFERROR(__xludf.DUMMYFUNCTION("split(B2886,""_"")"),1001.0)</f>
        <v>1001</v>
      </c>
      <c r="D2886" s="2" t="str">
        <f>IFERROR(__xludf.DUMMYFUNCTION("""COMPUTED_VALUE"""),"EX")</f>
        <v>EX</v>
      </c>
      <c r="E2886" s="2" t="str">
        <f>IFERROR(__xludf.DUMMYFUNCTION("""COMPUTED_VALUE"""),"木21")</f>
        <v>木21</v>
      </c>
      <c r="F2886" s="2" t="s">
        <v>8790</v>
      </c>
      <c r="G2886" s="2" t="s">
        <v>8809</v>
      </c>
      <c r="H2886" s="1">
        <v>7.0</v>
      </c>
      <c r="I2886" s="1" t="s">
        <v>25</v>
      </c>
      <c r="J2886" s="1" t="s">
        <v>11</v>
      </c>
      <c r="K2886" s="2" t="s">
        <v>8810</v>
      </c>
      <c r="L2886" s="11" t="s">
        <v>8811</v>
      </c>
      <c r="M2886" s="2" t="str">
        <f>IFERROR(__xludf.DUMMYFUNCTION("split(split(K2886,""長谷川京子、"",false),""公式LINE"",false)"),"「エリート社員VS落ちこぼれ社員」人生逆転新ドラマ!")</f>
        <v>「エリート社員VS落ちこぼれ社員」人生逆転新ドラマ!</v>
      </c>
      <c r="N2886" s="2"/>
      <c r="O2886" s="2"/>
      <c r="P2886" s="1"/>
      <c r="Q2886" s="1"/>
      <c r="R2886" s="1"/>
      <c r="S2886" s="1"/>
      <c r="T2886" s="1"/>
      <c r="U2886" s="1"/>
      <c r="V2886" s="1"/>
      <c r="W2886" s="1"/>
      <c r="X2886" s="1"/>
      <c r="Y2886" s="1"/>
      <c r="Z2886" s="1"/>
      <c r="AA2886" s="1"/>
      <c r="AB2886" s="1"/>
      <c r="AC2886" s="1"/>
      <c r="AD2886" s="1"/>
      <c r="AE2886" s="1"/>
      <c r="AF2886" s="1"/>
      <c r="AG2886" s="1"/>
      <c r="AH2886" s="1"/>
      <c r="AI2886" s="1"/>
      <c r="AJ2886" s="1"/>
      <c r="AK2886" s="1"/>
      <c r="AL2886" s="1"/>
      <c r="AM2886" s="1"/>
      <c r="AN2886" s="1"/>
      <c r="AO2886" s="1"/>
      <c r="AP2886" s="1"/>
      <c r="AQ2886" s="1"/>
      <c r="AR2886" s="1"/>
      <c r="AS2886" s="1"/>
      <c r="AT2886" s="1"/>
      <c r="AU2886" s="1"/>
      <c r="AV2886" s="1"/>
      <c r="AW2886" s="1"/>
      <c r="AX2886" s="1"/>
      <c r="AY2886" s="1"/>
      <c r="AZ2886" s="1"/>
      <c r="BA2886" s="1"/>
      <c r="BB2886" s="1"/>
    </row>
    <row r="2887" ht="204.75" customHeight="1">
      <c r="A2887" s="1">
        <v>4927.0</v>
      </c>
      <c r="B2887" s="2" t="s">
        <v>8789</v>
      </c>
      <c r="C2887" s="2">
        <f>IFERROR(__xludf.DUMMYFUNCTION("split(B2887,""_"")"),1001.0)</f>
        <v>1001</v>
      </c>
      <c r="D2887" s="2" t="str">
        <f>IFERROR(__xludf.DUMMYFUNCTION("""COMPUTED_VALUE"""),"EX")</f>
        <v>EX</v>
      </c>
      <c r="E2887" s="2" t="str">
        <f>IFERROR(__xludf.DUMMYFUNCTION("""COMPUTED_VALUE"""),"木21")</f>
        <v>木21</v>
      </c>
      <c r="F2887" s="2" t="s">
        <v>8790</v>
      </c>
      <c r="G2887" s="2" t="s">
        <v>8812</v>
      </c>
      <c r="H2887" s="1">
        <v>8.0</v>
      </c>
      <c r="I2887" s="1" t="s">
        <v>29</v>
      </c>
      <c r="J2887" s="1" t="s">
        <v>11</v>
      </c>
      <c r="K2887" s="2" t="s">
        <v>8813</v>
      </c>
      <c r="L2887" s="11" t="s">
        <v>8814</v>
      </c>
      <c r="M2887" s="2" t="str">
        <f>IFERROR(__xludf.DUMMYFUNCTION("split(split(K2887,""長谷川京子、"",false),""公式LINE"",false)"),"いよいよ最終回!男には分からない働く女性の問題に、転職代理人・井野(長谷川京子)が挑む!　")</f>
        <v>いよいよ最終回!男には分からない働く女性の問題に、転職代理人・井野(長谷川京子)が挑む!　</v>
      </c>
      <c r="N2887" s="2"/>
      <c r="O2887" s="2"/>
      <c r="P2887" s="1"/>
      <c r="Q2887" s="1"/>
      <c r="R2887" s="1"/>
      <c r="S2887" s="1"/>
      <c r="T2887" s="1"/>
      <c r="U2887" s="1"/>
      <c r="V2887" s="1"/>
      <c r="W2887" s="1"/>
      <c r="X2887" s="1"/>
      <c r="Y2887" s="1"/>
      <c r="Z2887" s="1"/>
      <c r="AA2887" s="1"/>
      <c r="AB2887" s="1"/>
      <c r="AC2887" s="1"/>
      <c r="AD2887" s="1"/>
      <c r="AE2887" s="1"/>
      <c r="AF2887" s="1"/>
      <c r="AG2887" s="1"/>
      <c r="AH2887" s="1"/>
      <c r="AI2887" s="1"/>
      <c r="AJ2887" s="1"/>
      <c r="AK2887" s="1"/>
      <c r="AL2887" s="1"/>
      <c r="AM2887" s="1"/>
      <c r="AN2887" s="1"/>
      <c r="AO2887" s="1"/>
      <c r="AP2887" s="1"/>
      <c r="AQ2887" s="1"/>
      <c r="AR2887" s="1"/>
      <c r="AS2887" s="1"/>
      <c r="AT2887" s="1"/>
      <c r="AU2887" s="1"/>
      <c r="AV2887" s="1"/>
      <c r="AW2887" s="1"/>
      <c r="AX2887" s="1"/>
      <c r="AY2887" s="1"/>
      <c r="AZ2887" s="1"/>
      <c r="BA2887" s="1"/>
      <c r="BB2887" s="1"/>
    </row>
    <row r="2888" ht="204.75" customHeight="1">
      <c r="A2888" s="1">
        <v>4954.0</v>
      </c>
      <c r="B2888" s="2" t="s">
        <v>8815</v>
      </c>
      <c r="C2888" s="2">
        <f>IFERROR(__xludf.DUMMYFUNCTION("split(B2888,""_"")"),1001.0)</f>
        <v>1001</v>
      </c>
      <c r="D2888" s="2" t="str">
        <f>IFERROR(__xludf.DUMMYFUNCTION("""COMPUTED_VALUE"""),"EX")</f>
        <v>EX</v>
      </c>
      <c r="E2888" s="2" t="str">
        <f>IFERROR(__xludf.DUMMYFUNCTION("""COMPUTED_VALUE"""),"金23")</f>
        <v>金23</v>
      </c>
      <c r="F2888" s="2" t="s">
        <v>8816</v>
      </c>
      <c r="G2888" s="2" t="s">
        <v>8817</v>
      </c>
      <c r="H2888" s="1">
        <v>1.0</v>
      </c>
      <c r="I2888" s="1" t="s">
        <v>3</v>
      </c>
      <c r="J2888" s="1" t="s">
        <v>1435</v>
      </c>
      <c r="K2888" s="4" t="s">
        <v>8818</v>
      </c>
      <c r="L2888" s="11" t="s">
        <v>8819</v>
      </c>
      <c r="M2888" s="2" t="str">
        <f>IFERROR(__xludf.DUMMYFUNCTION("split(split(K2888,""永井大、"",false),""公式LINE"",false)"),"アフリカから帰国した金太郎(永井大)は、帰国早々、ヤマト建設が合併する事を知る。新社長・丸山(森本レオ)の人格者ぶりに皆、安心感を抱くが、ただひとり金太郎だけが彼の態度に違和感を覚える。果たして、金太郎はヤマト建設を救うことが出来るのか!?　")</f>
        <v>アフリカから帰国した金太郎(永井大)は、帰国早々、ヤマト建設が合併する事を知る。新社長・丸山(森本レオ)の人格者ぶりに皆、安心感を抱くが、ただひとり金太郎だけが彼の態度に違和感を覚える。果たして、金太郎はヤマト建設を救うことが出来るのか!?　</v>
      </c>
      <c r="N2888" s="2"/>
      <c r="O2888" s="2"/>
      <c r="P2888" s="1"/>
      <c r="Q2888" s="1"/>
      <c r="R2888" s="1"/>
      <c r="S2888" s="1"/>
      <c r="T2888" s="1"/>
      <c r="U2888" s="1"/>
      <c r="V2888" s="1"/>
      <c r="W2888" s="1"/>
      <c r="X2888" s="1"/>
      <c r="Y2888" s="1"/>
      <c r="Z2888" s="1"/>
      <c r="AA2888" s="1"/>
      <c r="AB2888" s="1"/>
      <c r="AC2888" s="1"/>
      <c r="AD2888" s="1"/>
      <c r="AE2888" s="1"/>
      <c r="AF2888" s="1"/>
      <c r="AG2888" s="1"/>
      <c r="AH2888" s="1"/>
      <c r="AI2888" s="1"/>
      <c r="AJ2888" s="1"/>
      <c r="AK2888" s="1"/>
      <c r="AL2888" s="1"/>
      <c r="AM2888" s="1"/>
      <c r="AN2888" s="1"/>
      <c r="AO2888" s="1"/>
      <c r="AP2888" s="1"/>
      <c r="AQ2888" s="1"/>
      <c r="AR2888" s="1"/>
      <c r="AS2888" s="1"/>
      <c r="AT2888" s="1"/>
      <c r="AU2888" s="1"/>
      <c r="AV2888" s="1"/>
      <c r="AW2888" s="1"/>
      <c r="AX2888" s="1"/>
      <c r="AY2888" s="1"/>
      <c r="AZ2888" s="1"/>
      <c r="BA2888" s="1"/>
      <c r="BB2888" s="1"/>
    </row>
    <row r="2889" ht="204.75" customHeight="1">
      <c r="A2889" s="1">
        <v>4955.0</v>
      </c>
      <c r="B2889" s="2" t="s">
        <v>8815</v>
      </c>
      <c r="C2889" s="2">
        <f>IFERROR(__xludf.DUMMYFUNCTION("split(B2889,""_"")"),1001.0)</f>
        <v>1001</v>
      </c>
      <c r="D2889" s="2" t="str">
        <f>IFERROR(__xludf.DUMMYFUNCTION("""COMPUTED_VALUE"""),"EX")</f>
        <v>EX</v>
      </c>
      <c r="E2889" s="2" t="str">
        <f>IFERROR(__xludf.DUMMYFUNCTION("""COMPUTED_VALUE"""),"金23")</f>
        <v>金23</v>
      </c>
      <c r="F2889" s="2" t="s">
        <v>8816</v>
      </c>
      <c r="G2889" s="2" t="s">
        <v>8820</v>
      </c>
      <c r="H2889" s="1">
        <v>2.0</v>
      </c>
      <c r="I2889" s="1" t="s">
        <v>7</v>
      </c>
      <c r="J2889" s="1" t="s">
        <v>1435</v>
      </c>
      <c r="K2889" s="2" t="s">
        <v>8821</v>
      </c>
      <c r="L2889" s="10" t="s">
        <v>2775</v>
      </c>
      <c r="M2889" s="2" t="str">
        <f>IFERROR(__xludf.DUMMYFUNCTION("split(split(K2889,""永井大、"",false),""公式LINE"",false)"),"百年に一度の不景気にアフリカからあの男が帰ってきた!元暴走族のヘッドで型破りなサラリーマン・矢島金太郎が腐った日本に活を入れ、行く先々で大暴れします!　")</f>
        <v>百年に一度の不景気にアフリカからあの男が帰ってきた!元暴走族のヘッドで型破りなサラリーマン・矢島金太郎が腐った日本に活を入れ、行く先々で大暴れします!　</v>
      </c>
      <c r="N2889" s="2"/>
      <c r="O2889" s="2"/>
      <c r="P2889" s="1"/>
      <c r="Q2889" s="1"/>
      <c r="R2889" s="1"/>
      <c r="S2889" s="1"/>
      <c r="T2889" s="1"/>
      <c r="U2889" s="1"/>
      <c r="V2889" s="1"/>
      <c r="W2889" s="1"/>
      <c r="X2889" s="1"/>
      <c r="Y2889" s="1"/>
      <c r="Z2889" s="1"/>
      <c r="AA2889" s="1"/>
      <c r="AB2889" s="1"/>
      <c r="AC2889" s="1"/>
      <c r="AD2889" s="1"/>
      <c r="AE2889" s="1"/>
      <c r="AF2889" s="1"/>
      <c r="AG2889" s="1"/>
      <c r="AH2889" s="1"/>
      <c r="AI2889" s="1"/>
      <c r="AJ2889" s="1"/>
      <c r="AK2889" s="1"/>
      <c r="AL2889" s="1"/>
      <c r="AM2889" s="1"/>
      <c r="AN2889" s="1"/>
      <c r="AO2889" s="1"/>
      <c r="AP2889" s="1"/>
      <c r="AQ2889" s="1"/>
      <c r="AR2889" s="1"/>
      <c r="AS2889" s="1"/>
      <c r="AT2889" s="1"/>
      <c r="AU2889" s="1"/>
      <c r="AV2889" s="1"/>
      <c r="AW2889" s="1"/>
      <c r="AX2889" s="1"/>
      <c r="AY2889" s="1"/>
      <c r="AZ2889" s="1"/>
      <c r="BA2889" s="1"/>
      <c r="BB2889" s="1"/>
    </row>
    <row r="2890" ht="204.75" customHeight="1">
      <c r="A2890" s="1">
        <v>4956.0</v>
      </c>
      <c r="B2890" s="2" t="s">
        <v>8815</v>
      </c>
      <c r="C2890" s="2">
        <f>IFERROR(__xludf.DUMMYFUNCTION("split(B2890,""_"")"),1001.0)</f>
        <v>1001</v>
      </c>
      <c r="D2890" s="2" t="str">
        <f>IFERROR(__xludf.DUMMYFUNCTION("""COMPUTED_VALUE"""),"EX")</f>
        <v>EX</v>
      </c>
      <c r="E2890" s="2" t="str">
        <f>IFERROR(__xludf.DUMMYFUNCTION("""COMPUTED_VALUE"""),"金23")</f>
        <v>金23</v>
      </c>
      <c r="F2890" s="2" t="s">
        <v>8816</v>
      </c>
      <c r="G2890" s="2" t="s">
        <v>8822</v>
      </c>
      <c r="H2890" s="1">
        <v>3.0</v>
      </c>
      <c r="I2890" s="1" t="s">
        <v>10</v>
      </c>
      <c r="J2890" s="1" t="s">
        <v>1435</v>
      </c>
      <c r="K2890" s="2" t="s">
        <v>8823</v>
      </c>
      <c r="L2890" s="10" t="s">
        <v>2775</v>
      </c>
      <c r="M2890" s="2" t="str">
        <f>IFERROR(__xludf.DUMMYFUNCTION("split(split(K2890,""永井大、"",false),""公式LINE"",false)"),"百年に一度の不景気にアフリカからあの男が帰ってきた!元暴走族のヘッドで型破りなサラリーマン・矢島金太郎が腐った日本に活を入れ、行く先々で大暴れします!　")</f>
        <v>百年に一度の不景気にアフリカからあの男が帰ってきた!元暴走族のヘッドで型破りなサラリーマン・矢島金太郎が腐った日本に活を入れ、行く先々で大暴れします!　</v>
      </c>
      <c r="N2890" s="2"/>
      <c r="O2890" s="2"/>
      <c r="P2890" s="1"/>
      <c r="Q2890" s="1"/>
      <c r="R2890" s="1"/>
      <c r="S2890" s="1"/>
      <c r="T2890" s="1"/>
      <c r="U2890" s="1"/>
      <c r="V2890" s="1"/>
      <c r="W2890" s="1"/>
      <c r="X2890" s="1"/>
      <c r="Y2890" s="1"/>
      <c r="Z2890" s="1"/>
      <c r="AA2890" s="1"/>
      <c r="AB2890" s="1"/>
      <c r="AC2890" s="1"/>
      <c r="AD2890" s="1"/>
      <c r="AE2890" s="1"/>
      <c r="AF2890" s="1"/>
      <c r="AG2890" s="1"/>
      <c r="AH2890" s="1"/>
      <c r="AI2890" s="1"/>
      <c r="AJ2890" s="1"/>
      <c r="AK2890" s="1"/>
      <c r="AL2890" s="1"/>
      <c r="AM2890" s="1"/>
      <c r="AN2890" s="1"/>
      <c r="AO2890" s="1"/>
      <c r="AP2890" s="1"/>
      <c r="AQ2890" s="1"/>
      <c r="AR2890" s="1"/>
      <c r="AS2890" s="1"/>
      <c r="AT2890" s="1"/>
      <c r="AU2890" s="1"/>
      <c r="AV2890" s="1"/>
      <c r="AW2890" s="1"/>
      <c r="AX2890" s="1"/>
      <c r="AY2890" s="1"/>
      <c r="AZ2890" s="1"/>
      <c r="BA2890" s="1"/>
      <c r="BB2890" s="1"/>
    </row>
    <row r="2891" ht="204.75" customHeight="1">
      <c r="A2891" s="1">
        <v>4957.0</v>
      </c>
      <c r="B2891" s="2" t="s">
        <v>8815</v>
      </c>
      <c r="C2891" s="2">
        <f>IFERROR(__xludf.DUMMYFUNCTION("split(B2891,""_"")"),1001.0)</f>
        <v>1001</v>
      </c>
      <c r="D2891" s="2" t="str">
        <f>IFERROR(__xludf.DUMMYFUNCTION("""COMPUTED_VALUE"""),"EX")</f>
        <v>EX</v>
      </c>
      <c r="E2891" s="2" t="str">
        <f>IFERROR(__xludf.DUMMYFUNCTION("""COMPUTED_VALUE"""),"金23")</f>
        <v>金23</v>
      </c>
      <c r="F2891" s="2" t="s">
        <v>8816</v>
      </c>
      <c r="G2891" s="2" t="s">
        <v>8824</v>
      </c>
      <c r="H2891" s="1">
        <v>4.0</v>
      </c>
      <c r="I2891" s="1" t="s">
        <v>14</v>
      </c>
      <c r="J2891" s="1" t="s">
        <v>1435</v>
      </c>
      <c r="K2891" s="2" t="s">
        <v>8825</v>
      </c>
      <c r="L2891" s="10" t="s">
        <v>2775</v>
      </c>
      <c r="M2891" s="2" t="str">
        <f>IFERROR(__xludf.DUMMYFUNCTION("split(split(K2891,""永井大、"",false),""公式LINE"",false)"),"百年に一度の不景気にアフリカからあの男が帰ってきた!元暴走族のヘッドで型破りなサラリーマン・矢島金太郎が腐った日本に活を入れ、行く先々で大暴れします!　")</f>
        <v>百年に一度の不景気にアフリカからあの男が帰ってきた!元暴走族のヘッドで型破りなサラリーマン・矢島金太郎が腐った日本に活を入れ、行く先々で大暴れします!　</v>
      </c>
      <c r="N2891" s="2"/>
      <c r="O2891" s="2"/>
      <c r="P2891" s="1"/>
      <c r="Q2891" s="1"/>
      <c r="R2891" s="1"/>
      <c r="S2891" s="1"/>
      <c r="T2891" s="1"/>
      <c r="U2891" s="1"/>
      <c r="V2891" s="1"/>
      <c r="W2891" s="1"/>
      <c r="X2891" s="1"/>
      <c r="Y2891" s="1"/>
      <c r="Z2891" s="1"/>
      <c r="AA2891" s="1"/>
      <c r="AB2891" s="1"/>
      <c r="AC2891" s="1"/>
      <c r="AD2891" s="1"/>
      <c r="AE2891" s="1"/>
      <c r="AF2891" s="1"/>
      <c r="AG2891" s="1"/>
      <c r="AH2891" s="1"/>
      <c r="AI2891" s="1"/>
      <c r="AJ2891" s="1"/>
      <c r="AK2891" s="1"/>
      <c r="AL2891" s="1"/>
      <c r="AM2891" s="1"/>
      <c r="AN2891" s="1"/>
      <c r="AO2891" s="1"/>
      <c r="AP2891" s="1"/>
      <c r="AQ2891" s="1"/>
      <c r="AR2891" s="1"/>
      <c r="AS2891" s="1"/>
      <c r="AT2891" s="1"/>
      <c r="AU2891" s="1"/>
      <c r="AV2891" s="1"/>
      <c r="AW2891" s="1"/>
      <c r="AX2891" s="1"/>
      <c r="AY2891" s="1"/>
      <c r="AZ2891" s="1"/>
      <c r="BA2891" s="1"/>
      <c r="BB2891" s="1"/>
    </row>
    <row r="2892" ht="204.75" customHeight="1">
      <c r="A2892" s="1">
        <v>4958.0</v>
      </c>
      <c r="B2892" s="2" t="s">
        <v>8815</v>
      </c>
      <c r="C2892" s="2">
        <f>IFERROR(__xludf.DUMMYFUNCTION("split(B2892,""_"")"),1001.0)</f>
        <v>1001</v>
      </c>
      <c r="D2892" s="2" t="str">
        <f>IFERROR(__xludf.DUMMYFUNCTION("""COMPUTED_VALUE"""),"EX")</f>
        <v>EX</v>
      </c>
      <c r="E2892" s="2" t="str">
        <f>IFERROR(__xludf.DUMMYFUNCTION("""COMPUTED_VALUE"""),"金23")</f>
        <v>金23</v>
      </c>
      <c r="F2892" s="2" t="s">
        <v>8816</v>
      </c>
      <c r="G2892" s="2" t="s">
        <v>8826</v>
      </c>
      <c r="H2892" s="1">
        <v>5.0</v>
      </c>
      <c r="I2892" s="1" t="s">
        <v>17</v>
      </c>
      <c r="J2892" s="1" t="s">
        <v>1435</v>
      </c>
      <c r="K2892" s="2" t="s">
        <v>8827</v>
      </c>
      <c r="L2892" s="10" t="s">
        <v>2775</v>
      </c>
      <c r="M2892" s="2" t="str">
        <f>IFERROR(__xludf.DUMMYFUNCTION("split(split(K2892,""永井大、"",false),""公式LINE"",false)"),"百年に一度の不景気にアフリカからあの男が帰ってきた!元暴走族のヘッドで型破りなサラリーマン・矢島金太郎が腐った日本に活を入れ、行く先々で大暴れします!　")</f>
        <v>百年に一度の不景気にアフリカからあの男が帰ってきた!元暴走族のヘッドで型破りなサラリーマン・矢島金太郎が腐った日本に活を入れ、行く先々で大暴れします!　</v>
      </c>
      <c r="N2892" s="2"/>
      <c r="O2892" s="2"/>
      <c r="P2892" s="1"/>
      <c r="Q2892" s="1"/>
      <c r="R2892" s="1"/>
      <c r="S2892" s="1"/>
      <c r="T2892" s="1"/>
      <c r="U2892" s="1"/>
      <c r="V2892" s="1"/>
      <c r="W2892" s="1"/>
      <c r="X2892" s="1"/>
      <c r="Y2892" s="1"/>
      <c r="Z2892" s="1"/>
      <c r="AA2892" s="1"/>
      <c r="AB2892" s="1"/>
      <c r="AC2892" s="1"/>
      <c r="AD2892" s="1"/>
      <c r="AE2892" s="1"/>
      <c r="AF2892" s="1"/>
      <c r="AG2892" s="1"/>
      <c r="AH2892" s="1"/>
      <c r="AI2892" s="1"/>
      <c r="AJ2892" s="1"/>
      <c r="AK2892" s="1"/>
      <c r="AL2892" s="1"/>
      <c r="AM2892" s="1"/>
      <c r="AN2892" s="1"/>
      <c r="AO2892" s="1"/>
      <c r="AP2892" s="1"/>
      <c r="AQ2892" s="1"/>
      <c r="AR2892" s="1"/>
      <c r="AS2892" s="1"/>
      <c r="AT2892" s="1"/>
      <c r="AU2892" s="1"/>
      <c r="AV2892" s="1"/>
      <c r="AW2892" s="1"/>
      <c r="AX2892" s="1"/>
      <c r="AY2892" s="1"/>
      <c r="AZ2892" s="1"/>
      <c r="BA2892" s="1"/>
      <c r="BB2892" s="1"/>
    </row>
    <row r="2893" ht="204.75" customHeight="1">
      <c r="A2893" s="1">
        <v>4959.0</v>
      </c>
      <c r="B2893" s="2" t="s">
        <v>8815</v>
      </c>
      <c r="C2893" s="2">
        <f>IFERROR(__xludf.DUMMYFUNCTION("split(B2893,""_"")"),1001.0)</f>
        <v>1001</v>
      </c>
      <c r="D2893" s="2" t="str">
        <f>IFERROR(__xludf.DUMMYFUNCTION("""COMPUTED_VALUE"""),"EX")</f>
        <v>EX</v>
      </c>
      <c r="E2893" s="2" t="str">
        <f>IFERROR(__xludf.DUMMYFUNCTION("""COMPUTED_VALUE"""),"金23")</f>
        <v>金23</v>
      </c>
      <c r="F2893" s="2" t="s">
        <v>8816</v>
      </c>
      <c r="G2893" s="2" t="s">
        <v>8828</v>
      </c>
      <c r="H2893" s="1">
        <v>6.0</v>
      </c>
      <c r="I2893" s="1" t="s">
        <v>21</v>
      </c>
      <c r="J2893" s="1" t="s">
        <v>1435</v>
      </c>
      <c r="K2893" s="2" t="s">
        <v>8829</v>
      </c>
      <c r="L2893" s="10" t="s">
        <v>2775</v>
      </c>
      <c r="M2893" s="2" t="str">
        <f>IFERROR(__xludf.DUMMYFUNCTION("split(split(K2893,""永井大、"",false),""公式LINE"",false)"),"百年に一度の不景気にアフリカからあの男が帰ってきた!元暴走族のヘッドで型破りなサラリーマン・矢島金太郎が腐った日本に活を入れ、行く先々で大暴れします!　")</f>
        <v>百年に一度の不景気にアフリカからあの男が帰ってきた!元暴走族のヘッドで型破りなサラリーマン・矢島金太郎が腐った日本に活を入れ、行く先々で大暴れします!　</v>
      </c>
      <c r="N2893" s="2"/>
      <c r="O2893" s="2"/>
      <c r="P2893" s="1"/>
      <c r="Q2893" s="1"/>
      <c r="R2893" s="1"/>
      <c r="S2893" s="1"/>
      <c r="T2893" s="1"/>
      <c r="U2893" s="1"/>
      <c r="V2893" s="1"/>
      <c r="W2893" s="1"/>
      <c r="X2893" s="1"/>
      <c r="Y2893" s="1"/>
      <c r="Z2893" s="1"/>
      <c r="AA2893" s="1"/>
      <c r="AB2893" s="1"/>
      <c r="AC2893" s="1"/>
      <c r="AD2893" s="1"/>
      <c r="AE2893" s="1"/>
      <c r="AF2893" s="1"/>
      <c r="AG2893" s="1"/>
      <c r="AH2893" s="1"/>
      <c r="AI2893" s="1"/>
      <c r="AJ2893" s="1"/>
      <c r="AK2893" s="1"/>
      <c r="AL2893" s="1"/>
      <c r="AM2893" s="1"/>
      <c r="AN2893" s="1"/>
      <c r="AO2893" s="1"/>
      <c r="AP2893" s="1"/>
      <c r="AQ2893" s="1"/>
      <c r="AR2893" s="1"/>
      <c r="AS2893" s="1"/>
      <c r="AT2893" s="1"/>
      <c r="AU2893" s="1"/>
      <c r="AV2893" s="1"/>
      <c r="AW2893" s="1"/>
      <c r="AX2893" s="1"/>
      <c r="AY2893" s="1"/>
      <c r="AZ2893" s="1"/>
      <c r="BA2893" s="1"/>
      <c r="BB2893" s="1"/>
    </row>
    <row r="2894" ht="204.75" customHeight="1">
      <c r="A2894" s="1">
        <v>4960.0</v>
      </c>
      <c r="B2894" s="2" t="s">
        <v>8815</v>
      </c>
      <c r="C2894" s="2">
        <f>IFERROR(__xludf.DUMMYFUNCTION("split(B2894,""_"")"),1001.0)</f>
        <v>1001</v>
      </c>
      <c r="D2894" s="2" t="str">
        <f>IFERROR(__xludf.DUMMYFUNCTION("""COMPUTED_VALUE"""),"EX")</f>
        <v>EX</v>
      </c>
      <c r="E2894" s="2" t="str">
        <f>IFERROR(__xludf.DUMMYFUNCTION("""COMPUTED_VALUE"""),"金23")</f>
        <v>金23</v>
      </c>
      <c r="F2894" s="2" t="s">
        <v>8816</v>
      </c>
      <c r="G2894" s="2" t="s">
        <v>8830</v>
      </c>
      <c r="H2894" s="1">
        <v>7.0</v>
      </c>
      <c r="I2894" s="1" t="s">
        <v>25</v>
      </c>
      <c r="J2894" s="1" t="s">
        <v>1435</v>
      </c>
      <c r="K2894" s="2" t="s">
        <v>8831</v>
      </c>
      <c r="L2894" s="10" t="s">
        <v>2775</v>
      </c>
      <c r="M2894" s="2" t="str">
        <f>IFERROR(__xludf.DUMMYFUNCTION("split(split(K2894,""永井大、"",false),""公式LINE"",false)"),"百年に一度の不景気にアフリカからあの男が帰ってきた!元暴走族のヘッドで型破りなサラリーマン・矢島金太郎が腐った日本に活を入れ、行く先々で大暴れします!　")</f>
        <v>百年に一度の不景気にアフリカからあの男が帰ってきた!元暴走族のヘッドで型破りなサラリーマン・矢島金太郎が腐った日本に活を入れ、行く先々で大暴れします!　</v>
      </c>
      <c r="N2894" s="2"/>
      <c r="O2894" s="2"/>
      <c r="P2894" s="1"/>
      <c r="Q2894" s="1"/>
      <c r="R2894" s="1"/>
      <c r="S2894" s="1"/>
      <c r="T2894" s="1"/>
      <c r="U2894" s="1"/>
      <c r="V2894" s="1"/>
      <c r="W2894" s="1"/>
      <c r="X2894" s="1"/>
      <c r="Y2894" s="1"/>
      <c r="Z2894" s="1"/>
      <c r="AA2894" s="1"/>
      <c r="AB2894" s="1"/>
      <c r="AC2894" s="1"/>
      <c r="AD2894" s="1"/>
      <c r="AE2894" s="1"/>
      <c r="AF2894" s="1"/>
      <c r="AG2894" s="1"/>
      <c r="AH2894" s="1"/>
      <c r="AI2894" s="1"/>
      <c r="AJ2894" s="1"/>
      <c r="AK2894" s="1"/>
      <c r="AL2894" s="1"/>
      <c r="AM2894" s="1"/>
      <c r="AN2894" s="1"/>
      <c r="AO2894" s="1"/>
      <c r="AP2894" s="1"/>
      <c r="AQ2894" s="1"/>
      <c r="AR2894" s="1"/>
      <c r="AS2894" s="1"/>
      <c r="AT2894" s="1"/>
      <c r="AU2894" s="1"/>
      <c r="AV2894" s="1"/>
      <c r="AW2894" s="1"/>
      <c r="AX2894" s="1"/>
      <c r="AY2894" s="1"/>
      <c r="AZ2894" s="1"/>
      <c r="BA2894" s="1"/>
      <c r="BB2894" s="1"/>
    </row>
    <row r="2895" ht="204.75" customHeight="1">
      <c r="A2895" s="1">
        <v>4961.0</v>
      </c>
      <c r="B2895" s="2" t="s">
        <v>8815</v>
      </c>
      <c r="C2895" s="2">
        <f>IFERROR(__xludf.DUMMYFUNCTION("split(B2895,""_"")"),1001.0)</f>
        <v>1001</v>
      </c>
      <c r="D2895" s="2" t="str">
        <f>IFERROR(__xludf.DUMMYFUNCTION("""COMPUTED_VALUE"""),"EX")</f>
        <v>EX</v>
      </c>
      <c r="E2895" s="2" t="str">
        <f>IFERROR(__xludf.DUMMYFUNCTION("""COMPUTED_VALUE"""),"金23")</f>
        <v>金23</v>
      </c>
      <c r="F2895" s="2" t="s">
        <v>8816</v>
      </c>
      <c r="G2895" s="2" t="s">
        <v>8832</v>
      </c>
      <c r="H2895" s="1">
        <v>8.0</v>
      </c>
      <c r="I2895" s="1" t="s">
        <v>29</v>
      </c>
      <c r="J2895" s="1" t="s">
        <v>1435</v>
      </c>
      <c r="K2895" s="2" t="s">
        <v>8833</v>
      </c>
      <c r="L2895" s="10" t="s">
        <v>2775</v>
      </c>
      <c r="M2895" s="2" t="str">
        <f>IFERROR(__xludf.DUMMYFUNCTION("split(split(K2895,""永井大、"",false),""公式LINE"",false)"),"百年に一度の不景気にアフリカからあの男が帰ってきた!元暴走族のヘッドで型破りなサラリーマン・矢島金太郎が腐った日本に活を入れ、行く先々で大暴れします!")</f>
        <v>百年に一度の不景気にアフリカからあの男が帰ってきた!元暴走族のヘッドで型破りなサラリーマン・矢島金太郎が腐った日本に活を入れ、行く先々で大暴れします!</v>
      </c>
      <c r="N2895" s="2"/>
      <c r="O2895" s="2"/>
      <c r="P2895" s="1"/>
      <c r="Q2895" s="1"/>
      <c r="R2895" s="1"/>
      <c r="S2895" s="1"/>
      <c r="T2895" s="1"/>
      <c r="U2895" s="1"/>
      <c r="V2895" s="1"/>
      <c r="W2895" s="1"/>
      <c r="X2895" s="1"/>
      <c r="Y2895" s="1"/>
      <c r="Z2895" s="1"/>
      <c r="AA2895" s="1"/>
      <c r="AB2895" s="1"/>
      <c r="AC2895" s="1"/>
      <c r="AD2895" s="1"/>
      <c r="AE2895" s="1"/>
      <c r="AF2895" s="1"/>
      <c r="AG2895" s="1"/>
      <c r="AH2895" s="1"/>
      <c r="AI2895" s="1"/>
      <c r="AJ2895" s="1"/>
      <c r="AK2895" s="1"/>
      <c r="AL2895" s="1"/>
      <c r="AM2895" s="1"/>
      <c r="AN2895" s="1"/>
      <c r="AO2895" s="1"/>
      <c r="AP2895" s="1"/>
      <c r="AQ2895" s="1"/>
      <c r="AR2895" s="1"/>
      <c r="AS2895" s="1"/>
      <c r="AT2895" s="1"/>
      <c r="AU2895" s="1"/>
      <c r="AV2895" s="1"/>
      <c r="AW2895" s="1"/>
      <c r="AX2895" s="1"/>
      <c r="AY2895" s="1"/>
      <c r="AZ2895" s="1"/>
      <c r="BA2895" s="1"/>
      <c r="BB2895" s="1"/>
    </row>
    <row r="2896" ht="204.75" customHeight="1">
      <c r="A2896" s="1">
        <v>4962.0</v>
      </c>
      <c r="B2896" s="2" t="s">
        <v>8815</v>
      </c>
      <c r="C2896" s="2">
        <f>IFERROR(__xludf.DUMMYFUNCTION("split(B2896,""_"")"),1001.0)</f>
        <v>1001</v>
      </c>
      <c r="D2896" s="2" t="str">
        <f>IFERROR(__xludf.DUMMYFUNCTION("""COMPUTED_VALUE"""),"EX")</f>
        <v>EX</v>
      </c>
      <c r="E2896" s="2" t="str">
        <f>IFERROR(__xludf.DUMMYFUNCTION("""COMPUTED_VALUE"""),"金23")</f>
        <v>金23</v>
      </c>
      <c r="F2896" s="2" t="s">
        <v>8816</v>
      </c>
      <c r="G2896" s="2" t="s">
        <v>8834</v>
      </c>
      <c r="H2896" s="1">
        <v>9.0</v>
      </c>
      <c r="I2896" s="1" t="s">
        <v>33</v>
      </c>
      <c r="J2896" s="1" t="s">
        <v>1435</v>
      </c>
      <c r="K2896" s="2" t="s">
        <v>8835</v>
      </c>
      <c r="L2896" s="10" t="s">
        <v>2775</v>
      </c>
      <c r="M2896" s="2" t="str">
        <f>IFERROR(__xludf.DUMMYFUNCTION("split(split(K2896,""永井大、"",false),""公式LINE"",false)"),"百年に一度の不景気にアフリカからあの男が帰ってきた!元暴走族のヘッドで型破りなサラリーマン・矢島金太郎が腐った日本に活を入れ、行く先々で大暴れします!")</f>
        <v>百年に一度の不景気にアフリカからあの男が帰ってきた!元暴走族のヘッドで型破りなサラリーマン・矢島金太郎が腐った日本に活を入れ、行く先々で大暴れします!</v>
      </c>
      <c r="N2896" s="2"/>
      <c r="O2896" s="2"/>
      <c r="P2896" s="1"/>
      <c r="Q2896" s="1"/>
      <c r="R2896" s="1"/>
      <c r="S2896" s="1"/>
      <c r="T2896" s="1"/>
      <c r="U2896" s="1"/>
      <c r="V2896" s="1"/>
      <c r="W2896" s="1"/>
      <c r="X2896" s="1"/>
      <c r="Y2896" s="1"/>
      <c r="Z2896" s="1"/>
      <c r="AA2896" s="1"/>
      <c r="AB2896" s="1"/>
      <c r="AC2896" s="1"/>
      <c r="AD2896" s="1"/>
      <c r="AE2896" s="1"/>
      <c r="AF2896" s="1"/>
      <c r="AG2896" s="1"/>
      <c r="AH2896" s="1"/>
      <c r="AI2896" s="1"/>
      <c r="AJ2896" s="1"/>
      <c r="AK2896" s="1"/>
      <c r="AL2896" s="1"/>
      <c r="AM2896" s="1"/>
      <c r="AN2896" s="1"/>
      <c r="AO2896" s="1"/>
      <c r="AP2896" s="1"/>
      <c r="AQ2896" s="1"/>
      <c r="AR2896" s="1"/>
      <c r="AS2896" s="1"/>
      <c r="AT2896" s="1"/>
      <c r="AU2896" s="1"/>
      <c r="AV2896" s="1"/>
      <c r="AW2896" s="1"/>
      <c r="AX2896" s="1"/>
      <c r="AY2896" s="1"/>
      <c r="AZ2896" s="1"/>
      <c r="BA2896" s="1"/>
      <c r="BB2896" s="1"/>
    </row>
    <row r="2897" ht="204.75" customHeight="1">
      <c r="A2897" s="1">
        <v>4963.0</v>
      </c>
      <c r="B2897" s="2" t="s">
        <v>8815</v>
      </c>
      <c r="C2897" s="2">
        <f>IFERROR(__xludf.DUMMYFUNCTION("split(B2897,""_"")"),1001.0)</f>
        <v>1001</v>
      </c>
      <c r="D2897" s="2" t="str">
        <f>IFERROR(__xludf.DUMMYFUNCTION("""COMPUTED_VALUE"""),"EX")</f>
        <v>EX</v>
      </c>
      <c r="E2897" s="2" t="str">
        <f>IFERROR(__xludf.DUMMYFUNCTION("""COMPUTED_VALUE"""),"金23")</f>
        <v>金23</v>
      </c>
      <c r="F2897" s="2" t="s">
        <v>8816</v>
      </c>
      <c r="G2897" s="2" t="s">
        <v>8836</v>
      </c>
      <c r="H2897" s="1">
        <v>10.0</v>
      </c>
      <c r="I2897" s="1" t="s">
        <v>37</v>
      </c>
      <c r="J2897" s="1" t="s">
        <v>1435</v>
      </c>
      <c r="K2897" s="2" t="s">
        <v>8821</v>
      </c>
      <c r="L2897" s="10" t="s">
        <v>2775</v>
      </c>
      <c r="M2897" s="2" t="str">
        <f>IFERROR(__xludf.DUMMYFUNCTION("split(split(K2897,""永井大、"",false),""公式LINE"",false)"),"百年に一度の不景気にアフリカからあの男が帰ってきた!元暴走族のヘッドで型破りなサラリーマン・矢島金太郎が腐った日本に活を入れ、行く先々で大暴れします!　")</f>
        <v>百年に一度の不景気にアフリカからあの男が帰ってきた!元暴走族のヘッドで型破りなサラリーマン・矢島金太郎が腐った日本に活を入れ、行く先々で大暴れします!　</v>
      </c>
      <c r="N2897" s="2"/>
      <c r="O2897" s="2"/>
      <c r="P2897" s="1"/>
      <c r="Q2897" s="1"/>
      <c r="R2897" s="1"/>
      <c r="S2897" s="1"/>
      <c r="T2897" s="1"/>
      <c r="U2897" s="1"/>
      <c r="V2897" s="1"/>
      <c r="W2897" s="1"/>
      <c r="X2897" s="1"/>
      <c r="Y2897" s="1"/>
      <c r="Z2897" s="1"/>
      <c r="AA2897" s="1"/>
      <c r="AB2897" s="1"/>
      <c r="AC2897" s="1"/>
      <c r="AD2897" s="1"/>
      <c r="AE2897" s="1"/>
      <c r="AF2897" s="1"/>
      <c r="AG2897" s="1"/>
      <c r="AH2897" s="1"/>
      <c r="AI2897" s="1"/>
      <c r="AJ2897" s="1"/>
      <c r="AK2897" s="1"/>
      <c r="AL2897" s="1"/>
      <c r="AM2897" s="1"/>
      <c r="AN2897" s="1"/>
      <c r="AO2897" s="1"/>
      <c r="AP2897" s="1"/>
      <c r="AQ2897" s="1"/>
      <c r="AR2897" s="1"/>
      <c r="AS2897" s="1"/>
      <c r="AT2897" s="1"/>
      <c r="AU2897" s="1"/>
      <c r="AV2897" s="1"/>
      <c r="AW2897" s="1"/>
      <c r="AX2897" s="1"/>
      <c r="AY2897" s="1"/>
      <c r="AZ2897" s="1"/>
      <c r="BA2897" s="1"/>
      <c r="BB2897" s="1"/>
    </row>
    <row r="2898" ht="204.75" customHeight="1">
      <c r="A2898" s="1">
        <v>5011.0</v>
      </c>
      <c r="B2898" s="2" t="s">
        <v>8837</v>
      </c>
      <c r="C2898" s="2">
        <f>IFERROR(__xludf.DUMMYFUNCTION("split(B2898,""_"")"),910.0)</f>
        <v>910</v>
      </c>
      <c r="D2898" s="2" t="str">
        <f>IFERROR(__xludf.DUMMYFUNCTION("""COMPUTED_VALUE"""),"EX")</f>
        <v>EX</v>
      </c>
      <c r="E2898" s="2" t="str">
        <f>IFERROR(__xludf.DUMMYFUNCTION("""COMPUTED_VALUE"""),"木21")</f>
        <v>木21</v>
      </c>
      <c r="F2898" s="2" t="s">
        <v>8838</v>
      </c>
      <c r="G2898" s="2" t="s">
        <v>8839</v>
      </c>
      <c r="H2898" s="1">
        <v>1.0</v>
      </c>
      <c r="I2898" s="1" t="s">
        <v>3</v>
      </c>
      <c r="J2898" s="1" t="s">
        <v>4</v>
      </c>
      <c r="K2898" s="4" t="s">
        <v>8840</v>
      </c>
      <c r="L2898" s="11" t="s">
        <v>8841</v>
      </c>
      <c r="M2898" s="2" t="str">
        <f>IFERROR(__xludf.DUMMYFUNCTION("split(split(K2898,""米倉涼子・"",false),""公式LINE"",false)"),"「誘拐…立て篭もり…企業恐喝…」現在進行形の事件を扱うSIT。  拳銃、無差別ばらまき事件発生!善良な市民が銃を手に犯罪者へと変貌していく!「広がる悪意」と「サマー・クロース」と名乗る謎の人物…  頭脳と心理戦を駆使し、命がけの交渉に挑む!!　")</f>
        <v>「誘拐…立て篭もり…企業恐喝…」現在進行形の事件を扱うSIT。  拳銃、無差別ばらまき事件発生!善良な市民が銃を手に犯罪者へと変貌していく!「広がる悪意」と「サマー・クロース」と名乗る謎の人物…  頭脳と心理戦を駆使し、命がけの交渉に挑む!!　</v>
      </c>
      <c r="N2898" s="2"/>
      <c r="O2898" s="2"/>
      <c r="P2898" s="1"/>
      <c r="Q2898" s="1"/>
      <c r="R2898" s="1"/>
      <c r="S2898" s="1"/>
      <c r="T2898" s="1"/>
      <c r="U2898" s="1"/>
      <c r="V2898" s="1"/>
      <c r="W2898" s="1"/>
      <c r="X2898" s="1"/>
      <c r="Y2898" s="1"/>
      <c r="Z2898" s="1"/>
      <c r="AA2898" s="1"/>
      <c r="AB2898" s="1"/>
      <c r="AC2898" s="1"/>
      <c r="AD2898" s="1"/>
      <c r="AE2898" s="1"/>
      <c r="AF2898" s="1"/>
      <c r="AG2898" s="1"/>
      <c r="AH2898" s="1"/>
      <c r="AI2898" s="1"/>
      <c r="AJ2898" s="1"/>
      <c r="AK2898" s="1"/>
      <c r="AL2898" s="1"/>
      <c r="AM2898" s="1"/>
      <c r="AN2898" s="1"/>
      <c r="AO2898" s="1"/>
      <c r="AP2898" s="1"/>
      <c r="AQ2898" s="1"/>
      <c r="AR2898" s="1"/>
      <c r="AS2898" s="1"/>
      <c r="AT2898" s="1"/>
      <c r="AU2898" s="1"/>
      <c r="AV2898" s="1"/>
      <c r="AW2898" s="1"/>
      <c r="AX2898" s="1"/>
      <c r="AY2898" s="1"/>
      <c r="AZ2898" s="1"/>
      <c r="BA2898" s="1"/>
      <c r="BB2898" s="1"/>
    </row>
    <row r="2899" ht="204.75" customHeight="1">
      <c r="A2899" s="1">
        <v>5012.0</v>
      </c>
      <c r="B2899" s="2" t="s">
        <v>8837</v>
      </c>
      <c r="C2899" s="2">
        <f>IFERROR(__xludf.DUMMYFUNCTION("split(B2899,""_"")"),910.0)</f>
        <v>910</v>
      </c>
      <c r="D2899" s="2" t="str">
        <f>IFERROR(__xludf.DUMMYFUNCTION("""COMPUTED_VALUE"""),"EX")</f>
        <v>EX</v>
      </c>
      <c r="E2899" s="2" t="str">
        <f>IFERROR(__xludf.DUMMYFUNCTION("""COMPUTED_VALUE"""),"木21")</f>
        <v>木21</v>
      </c>
      <c r="F2899" s="2" t="s">
        <v>8838</v>
      </c>
      <c r="G2899" s="2" t="s">
        <v>8842</v>
      </c>
      <c r="H2899" s="1">
        <v>2.0</v>
      </c>
      <c r="I2899" s="1" t="s">
        <v>7</v>
      </c>
      <c r="J2899" s="1" t="s">
        <v>11</v>
      </c>
      <c r="K2899" s="2" t="s">
        <v>8843</v>
      </c>
      <c r="L2899" s="11" t="s">
        <v>8844</v>
      </c>
      <c r="M2899" s="2" t="str">
        <f>IFERROR(__xludf.DUMMYFUNCTION("split(split(K2899,""米倉涼子・"",false),""公式LINE"",false)"),"拳銃、無差別ばらまき事件発生!銃を手にした青年が家に立て籠もってしまう!要求は父親をこの手で殺す事・・・  必死の説得に応じない青年は玲子(米倉)と銃を向け合う!  だが玲子が撃ってしまった相手は仲間だった・・・  決死の攻防が幕を開ける!　")</f>
        <v>拳銃、無差別ばらまき事件発生!銃を手にした青年が家に立て籠もってしまう!要求は父親をこの手で殺す事・・・  必死の説得に応じない青年は玲子(米倉)と銃を向け合う!  だが玲子が撃ってしまった相手は仲間だった・・・  決死の攻防が幕を開ける!　</v>
      </c>
      <c r="N2899" s="2"/>
      <c r="O2899" s="2"/>
      <c r="P2899" s="1"/>
      <c r="Q2899" s="1"/>
      <c r="R2899" s="1"/>
      <c r="S2899" s="1"/>
      <c r="T2899" s="1"/>
      <c r="U2899" s="1"/>
      <c r="V2899" s="1"/>
      <c r="W2899" s="1"/>
      <c r="X2899" s="1"/>
      <c r="Y2899" s="1"/>
      <c r="Z2899" s="1"/>
      <c r="AA2899" s="1"/>
      <c r="AB2899" s="1"/>
      <c r="AC2899" s="1"/>
      <c r="AD2899" s="1"/>
      <c r="AE2899" s="1"/>
      <c r="AF2899" s="1"/>
      <c r="AG2899" s="1"/>
      <c r="AH2899" s="1"/>
      <c r="AI2899" s="1"/>
      <c r="AJ2899" s="1"/>
      <c r="AK2899" s="1"/>
      <c r="AL2899" s="1"/>
      <c r="AM2899" s="1"/>
      <c r="AN2899" s="1"/>
      <c r="AO2899" s="1"/>
      <c r="AP2899" s="1"/>
      <c r="AQ2899" s="1"/>
      <c r="AR2899" s="1"/>
      <c r="AS2899" s="1"/>
      <c r="AT2899" s="1"/>
      <c r="AU2899" s="1"/>
      <c r="AV2899" s="1"/>
      <c r="AW2899" s="1"/>
      <c r="AX2899" s="1"/>
      <c r="AY2899" s="1"/>
      <c r="AZ2899" s="1"/>
      <c r="BA2899" s="1"/>
      <c r="BB2899" s="1"/>
    </row>
    <row r="2900" ht="204.75" customHeight="1">
      <c r="A2900" s="1">
        <v>5013.0</v>
      </c>
      <c r="B2900" s="2" t="s">
        <v>8837</v>
      </c>
      <c r="C2900" s="2">
        <f>IFERROR(__xludf.DUMMYFUNCTION("split(B2900,""_"")"),910.0)</f>
        <v>910</v>
      </c>
      <c r="D2900" s="2" t="str">
        <f>IFERROR(__xludf.DUMMYFUNCTION("""COMPUTED_VALUE"""),"EX")</f>
        <v>EX</v>
      </c>
      <c r="E2900" s="2" t="str">
        <f>IFERROR(__xludf.DUMMYFUNCTION("""COMPUTED_VALUE"""),"木21")</f>
        <v>木21</v>
      </c>
      <c r="F2900" s="2" t="s">
        <v>8838</v>
      </c>
      <c r="G2900" s="2" t="s">
        <v>8845</v>
      </c>
      <c r="H2900" s="1">
        <v>3.0</v>
      </c>
      <c r="I2900" s="1" t="s">
        <v>10</v>
      </c>
      <c r="J2900" s="1" t="s">
        <v>11</v>
      </c>
      <c r="K2900" s="2" t="s">
        <v>8846</v>
      </c>
      <c r="L2900" s="10" t="s">
        <v>8847</v>
      </c>
      <c r="M2900" s="2" t="str">
        <f>IFERROR(__xludf.DUMMYFUNCTION("split(split(K2900,""米倉涼子・"",false),""公式LINE"",false)"),"「誘拐・・・立て篭もり・・・企業恐喝・・・」現在進行形の事件を扱うSIT。  一分一秒何が起こるか、わからない状況。興奮しきった犯人をどのような交渉で人質と犯人を無事確保できるのか・・・心理戦や頭脳戦が入り混じり、手に汗握る展開が待ち受ける!　米倉涼子、筧利夫、笹野高史、塚地武雅(ドランクドラゴン)、高知東生、高岡蒼甫、八神蓮/城田優、林丹丹、安めぐみ、中山恵、永池南津子/大杉 漣、伊武雅刀/浅野ゆう子(友情出演)、高橋克実、陣内孝則　寺田敏雄　松田秀知(共同テレビジョン)　佐藤準　傅田真央『My　Sty"&amp;"le』(ユニバーサル・ミュージック)チーフプロデューサー:五十嵐文郎(テレビ朝日)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f>
        <v>「誘拐・・・立て篭もり・・・企業恐喝・・・」現在進行形の事件を扱うSIT。  一分一秒何が起こるか、わからない状況。興奮しきった犯人をどのような交渉で人質と犯人を無事確保できるのか・・・心理戦や頭脳戦が入り混じり、手に汗握る展開が待ち受ける!　米倉涼子、筧利夫、笹野高史、塚地武雅(ドランクドラゴン)、高知東生、高岡蒼甫、八神蓮/城田優、林丹丹、安めぐみ、中山恵、永池南津子/大杉 漣、伊武雅刀/浅野ゆう子(友情出演)、高橋克実、陣内孝則　寺田敏雄　松田秀知(共同テレビジョン)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v>
      </c>
      <c r="N2900" s="2"/>
      <c r="O2900" s="2"/>
      <c r="P2900" s="1"/>
      <c r="Q2900" s="1"/>
      <c r="R2900" s="1"/>
      <c r="S2900" s="1"/>
      <c r="T2900" s="1"/>
      <c r="U2900" s="1"/>
      <c r="V2900" s="1"/>
      <c r="W2900" s="1"/>
      <c r="X2900" s="1"/>
      <c r="Y2900" s="1"/>
      <c r="Z2900" s="1"/>
      <c r="AA2900" s="1"/>
      <c r="AB2900" s="1"/>
      <c r="AC2900" s="1"/>
      <c r="AD2900" s="1"/>
      <c r="AE2900" s="1"/>
      <c r="AF2900" s="1"/>
      <c r="AG2900" s="1"/>
      <c r="AH2900" s="1"/>
      <c r="AI2900" s="1"/>
      <c r="AJ2900" s="1"/>
      <c r="AK2900" s="1"/>
      <c r="AL2900" s="1"/>
      <c r="AM2900" s="1"/>
      <c r="AN2900" s="1"/>
      <c r="AO2900" s="1"/>
      <c r="AP2900" s="1"/>
      <c r="AQ2900" s="1"/>
      <c r="AR2900" s="1"/>
      <c r="AS2900" s="1"/>
      <c r="AT2900" s="1"/>
      <c r="AU2900" s="1"/>
      <c r="AV2900" s="1"/>
      <c r="AW2900" s="1"/>
      <c r="AX2900" s="1"/>
      <c r="AY2900" s="1"/>
      <c r="AZ2900" s="1"/>
      <c r="BA2900" s="1"/>
      <c r="BB2900" s="1"/>
    </row>
    <row r="2901" ht="204.75" customHeight="1">
      <c r="A2901" s="1">
        <v>5014.0</v>
      </c>
      <c r="B2901" s="2" t="s">
        <v>8837</v>
      </c>
      <c r="C2901" s="2">
        <f>IFERROR(__xludf.DUMMYFUNCTION("split(B2901,""_"")"),910.0)</f>
        <v>910</v>
      </c>
      <c r="D2901" s="2" t="str">
        <f>IFERROR(__xludf.DUMMYFUNCTION("""COMPUTED_VALUE"""),"EX")</f>
        <v>EX</v>
      </c>
      <c r="E2901" s="2" t="str">
        <f>IFERROR(__xludf.DUMMYFUNCTION("""COMPUTED_VALUE"""),"木21")</f>
        <v>木21</v>
      </c>
      <c r="F2901" s="2" t="s">
        <v>8838</v>
      </c>
      <c r="G2901" s="2" t="s">
        <v>8848</v>
      </c>
      <c r="H2901" s="1">
        <v>4.0</v>
      </c>
      <c r="I2901" s="1" t="s">
        <v>14</v>
      </c>
      <c r="J2901" s="1" t="s">
        <v>11</v>
      </c>
      <c r="K2901" s="2" t="s">
        <v>8849</v>
      </c>
      <c r="L2901" s="11" t="s">
        <v>8850</v>
      </c>
      <c r="M2901" s="2" t="str">
        <f>IFERROR(__xludf.DUMMYFUNCTION("split(split(K2901,""米倉涼子・"",false),""公式LINE"",false)"),"ストーカー加害者が被害者を人質にレストランに立て籠もる!  爆弾を手にした犯人の要求は死ぬ前の最後の食事!!  ハラハラ、ドキドキの心理戦や頭脳戦に一分一秒見逃せない手に汗握るスリリングな展開が!!事件の闇に隠された衝撃的な結末とは!!　")</f>
        <v>ストーカー加害者が被害者を人質にレストランに立て籠もる!  爆弾を手にした犯人の要求は死ぬ前の最後の食事!!  ハラハラ、ドキドキの心理戦や頭脳戦に一分一秒見逃せない手に汗握るスリリングな展開が!!事件の闇に隠された衝撃的な結末とは!!　</v>
      </c>
      <c r="N2901" s="2"/>
      <c r="O2901" s="2"/>
      <c r="P2901" s="1"/>
      <c r="Q2901" s="1"/>
      <c r="R2901" s="1"/>
      <c r="S2901" s="1"/>
      <c r="T2901" s="1"/>
      <c r="U2901" s="1"/>
      <c r="V2901" s="1"/>
      <c r="W2901" s="1"/>
      <c r="X2901" s="1"/>
      <c r="Y2901" s="1"/>
      <c r="Z2901" s="1"/>
      <c r="AA2901" s="1"/>
      <c r="AB2901" s="1"/>
      <c r="AC2901" s="1"/>
      <c r="AD2901" s="1"/>
      <c r="AE2901" s="1"/>
      <c r="AF2901" s="1"/>
      <c r="AG2901" s="1"/>
      <c r="AH2901" s="1"/>
      <c r="AI2901" s="1"/>
      <c r="AJ2901" s="1"/>
      <c r="AK2901" s="1"/>
      <c r="AL2901" s="1"/>
      <c r="AM2901" s="1"/>
      <c r="AN2901" s="1"/>
      <c r="AO2901" s="1"/>
      <c r="AP2901" s="1"/>
      <c r="AQ2901" s="1"/>
      <c r="AR2901" s="1"/>
      <c r="AS2901" s="1"/>
      <c r="AT2901" s="1"/>
      <c r="AU2901" s="1"/>
      <c r="AV2901" s="1"/>
      <c r="AW2901" s="1"/>
      <c r="AX2901" s="1"/>
      <c r="AY2901" s="1"/>
      <c r="AZ2901" s="1"/>
      <c r="BA2901" s="1"/>
      <c r="BB2901" s="1"/>
    </row>
    <row r="2902" ht="204.75" customHeight="1">
      <c r="A2902" s="1">
        <v>5015.0</v>
      </c>
      <c r="B2902" s="2" t="s">
        <v>8837</v>
      </c>
      <c r="C2902" s="2">
        <f>IFERROR(__xludf.DUMMYFUNCTION("split(B2902,""_"")"),910.0)</f>
        <v>910</v>
      </c>
      <c r="D2902" s="2" t="str">
        <f>IFERROR(__xludf.DUMMYFUNCTION("""COMPUTED_VALUE"""),"EX")</f>
        <v>EX</v>
      </c>
      <c r="E2902" s="2" t="str">
        <f>IFERROR(__xludf.DUMMYFUNCTION("""COMPUTED_VALUE"""),"木21")</f>
        <v>木21</v>
      </c>
      <c r="F2902" s="2" t="s">
        <v>8838</v>
      </c>
      <c r="G2902" s="2" t="s">
        <v>8851</v>
      </c>
      <c r="H2902" s="1">
        <v>5.0</v>
      </c>
      <c r="I2902" s="1" t="s">
        <v>17</v>
      </c>
      <c r="J2902" s="1" t="s">
        <v>11</v>
      </c>
      <c r="K2902" s="2" t="s">
        <v>8852</v>
      </c>
      <c r="L2902" s="11" t="s">
        <v>8853</v>
      </c>
      <c r="M2902" s="2" t="str">
        <f>IFERROR(__xludf.DUMMYFUNCTION("split(split(K2902,""米倉涼子・"",false),""公式LINE"",false)"),"新型ウイルスのワクチンが何者かにより盗まれる!  身代金要求額は1億5000万円!人質は、患者の命…  発症後、30時間以内にワクチンを接種しないと死に至るウイルス!  交渉人は時間内にワクチンを取り戻すことが出来るのか!?  事件の裏に隠された衝撃の結末とは!!　")</f>
        <v>新型ウイルスのワクチンが何者かにより盗まれる!  身代金要求額は1億5000万円!人質は、患者の命…  発症後、30時間以内にワクチンを接種しないと死に至るウイルス!  交渉人は時間内にワクチンを取り戻すことが出来るのか!?  事件の裏に隠された衝撃の結末とは!!　</v>
      </c>
      <c r="N2902" s="2"/>
      <c r="O2902" s="2"/>
      <c r="P2902" s="1"/>
      <c r="Q2902" s="1"/>
      <c r="R2902" s="1"/>
      <c r="S2902" s="1"/>
      <c r="T2902" s="1"/>
      <c r="U2902" s="1"/>
      <c r="V2902" s="1"/>
      <c r="W2902" s="1"/>
      <c r="X2902" s="1"/>
      <c r="Y2902" s="1"/>
      <c r="Z2902" s="1"/>
      <c r="AA2902" s="1"/>
      <c r="AB2902" s="1"/>
      <c r="AC2902" s="1"/>
      <c r="AD2902" s="1"/>
      <c r="AE2902" s="1"/>
      <c r="AF2902" s="1"/>
      <c r="AG2902" s="1"/>
      <c r="AH2902" s="1"/>
      <c r="AI2902" s="1"/>
      <c r="AJ2902" s="1"/>
      <c r="AK2902" s="1"/>
      <c r="AL2902" s="1"/>
      <c r="AM2902" s="1"/>
      <c r="AN2902" s="1"/>
      <c r="AO2902" s="1"/>
      <c r="AP2902" s="1"/>
      <c r="AQ2902" s="1"/>
      <c r="AR2902" s="1"/>
      <c r="AS2902" s="1"/>
      <c r="AT2902" s="1"/>
      <c r="AU2902" s="1"/>
      <c r="AV2902" s="1"/>
      <c r="AW2902" s="1"/>
      <c r="AX2902" s="1"/>
      <c r="AY2902" s="1"/>
      <c r="AZ2902" s="1"/>
      <c r="BA2902" s="1"/>
      <c r="BB2902" s="1"/>
    </row>
    <row r="2903" ht="204.75" customHeight="1">
      <c r="A2903" s="1">
        <v>5016.0</v>
      </c>
      <c r="B2903" s="2" t="s">
        <v>8837</v>
      </c>
      <c r="C2903" s="2">
        <f>IFERROR(__xludf.DUMMYFUNCTION("split(B2903,""_"")"),910.0)</f>
        <v>910</v>
      </c>
      <c r="D2903" s="2" t="str">
        <f>IFERROR(__xludf.DUMMYFUNCTION("""COMPUTED_VALUE"""),"EX")</f>
        <v>EX</v>
      </c>
      <c r="E2903" s="2" t="str">
        <f>IFERROR(__xludf.DUMMYFUNCTION("""COMPUTED_VALUE"""),"木21")</f>
        <v>木21</v>
      </c>
      <c r="F2903" s="2" t="s">
        <v>8838</v>
      </c>
      <c r="G2903" s="2" t="s">
        <v>8854</v>
      </c>
      <c r="H2903" s="1">
        <v>6.0</v>
      </c>
      <c r="I2903" s="1" t="s">
        <v>21</v>
      </c>
      <c r="J2903" s="1" t="s">
        <v>11</v>
      </c>
      <c r="K2903" s="2" t="s">
        <v>8855</v>
      </c>
      <c r="L2903" s="11" t="s">
        <v>8856</v>
      </c>
      <c r="M2903" s="2" t="str">
        <f>IFERROR(__xludf.DUMMYFUNCTION("split(split(K2903,""米倉涼子・"",false),""公式LINE"",false)"),"老人ホームで立てこもり事件!  体力消耗していく老人たち…  交渉を長引かせる事は出来ない状況の中  潜入交渉を行うが玲子の出した答えは  交渉決裂…!?  本当の目的は一体!?人質と犯人を助ける事ができるのか!?  一分一秒見逃せない手に汗握るスリリングな展開が待ち受ける!　")</f>
        <v>老人ホームで立てこもり事件!  体力消耗していく老人たち…  交渉を長引かせる事は出来ない状況の中  潜入交渉を行うが玲子の出した答えは  交渉決裂…!?  本当の目的は一体!?人質と犯人を助ける事ができるのか!?  一分一秒見逃せない手に汗握るスリリングな展開が待ち受ける!　</v>
      </c>
      <c r="N2903" s="2"/>
      <c r="O2903" s="2"/>
      <c r="P2903" s="1"/>
      <c r="Q2903" s="1"/>
      <c r="R2903" s="1"/>
      <c r="S2903" s="1"/>
      <c r="T2903" s="1"/>
      <c r="U2903" s="1"/>
      <c r="V2903" s="1"/>
      <c r="W2903" s="1"/>
      <c r="X2903" s="1"/>
      <c r="Y2903" s="1"/>
      <c r="Z2903" s="1"/>
      <c r="AA2903" s="1"/>
      <c r="AB2903" s="1"/>
      <c r="AC2903" s="1"/>
      <c r="AD2903" s="1"/>
      <c r="AE2903" s="1"/>
      <c r="AF2903" s="1"/>
      <c r="AG2903" s="1"/>
      <c r="AH2903" s="1"/>
      <c r="AI2903" s="1"/>
      <c r="AJ2903" s="1"/>
      <c r="AK2903" s="1"/>
      <c r="AL2903" s="1"/>
      <c r="AM2903" s="1"/>
      <c r="AN2903" s="1"/>
      <c r="AO2903" s="1"/>
      <c r="AP2903" s="1"/>
      <c r="AQ2903" s="1"/>
      <c r="AR2903" s="1"/>
      <c r="AS2903" s="1"/>
      <c r="AT2903" s="1"/>
      <c r="AU2903" s="1"/>
      <c r="AV2903" s="1"/>
      <c r="AW2903" s="1"/>
      <c r="AX2903" s="1"/>
      <c r="AY2903" s="1"/>
      <c r="AZ2903" s="1"/>
      <c r="BA2903" s="1"/>
      <c r="BB2903" s="1"/>
    </row>
    <row r="2904" ht="204.75" customHeight="1">
      <c r="A2904" s="1">
        <v>5017.0</v>
      </c>
      <c r="B2904" s="2" t="s">
        <v>8837</v>
      </c>
      <c r="C2904" s="2">
        <f>IFERROR(__xludf.DUMMYFUNCTION("split(B2904,""_"")"),910.0)</f>
        <v>910</v>
      </c>
      <c r="D2904" s="2" t="str">
        <f>IFERROR(__xludf.DUMMYFUNCTION("""COMPUTED_VALUE"""),"EX")</f>
        <v>EX</v>
      </c>
      <c r="E2904" s="2" t="str">
        <f>IFERROR(__xludf.DUMMYFUNCTION("""COMPUTED_VALUE"""),"木21")</f>
        <v>木21</v>
      </c>
      <c r="F2904" s="2" t="s">
        <v>8838</v>
      </c>
      <c r="G2904" s="2" t="s">
        <v>8857</v>
      </c>
      <c r="H2904" s="1">
        <v>7.0</v>
      </c>
      <c r="I2904" s="1" t="s">
        <v>25</v>
      </c>
      <c r="J2904" s="1" t="s">
        <v>11</v>
      </c>
      <c r="K2904" s="2" t="s">
        <v>8858</v>
      </c>
      <c r="L2904" s="11" t="s">
        <v>8859</v>
      </c>
      <c r="M2904" s="2" t="str">
        <f>IFERROR(__xludf.DUMMYFUNCTION("split(split(K2904,""米倉涼子・"",false),""公式LINE"",false)"),"最大の敵『サマー・クロース』  遂に直接交渉に入る!今まで、交渉人を操り続けてきた人とは!?  弓坂の自作自演なのか…!?それとも…  予想だにしない展開が、交渉人に襲いかかる!!  交渉人VSサマークロースの第1弾が遂に幕を開ける!!　")</f>
        <v>最大の敵『サマー・クロース』  遂に直接交渉に入る!今まで、交渉人を操り続けてきた人とは!?  弓坂の自作自演なのか…!?それとも…  予想だにしない展開が、交渉人に襲いかかる!!  交渉人VSサマークロースの第1弾が遂に幕を開ける!!　</v>
      </c>
      <c r="N2904" s="2"/>
      <c r="O2904" s="2"/>
      <c r="P2904" s="1"/>
      <c r="Q2904" s="1"/>
      <c r="R2904" s="1"/>
      <c r="S2904" s="1"/>
      <c r="T2904" s="1"/>
      <c r="U2904" s="1"/>
      <c r="V2904" s="1"/>
      <c r="W2904" s="1"/>
      <c r="X2904" s="1"/>
      <c r="Y2904" s="1"/>
      <c r="Z2904" s="1"/>
      <c r="AA2904" s="1"/>
      <c r="AB2904" s="1"/>
      <c r="AC2904" s="1"/>
      <c r="AD2904" s="1"/>
      <c r="AE2904" s="1"/>
      <c r="AF2904" s="1"/>
      <c r="AG2904" s="1"/>
      <c r="AH2904" s="1"/>
      <c r="AI2904" s="1"/>
      <c r="AJ2904" s="1"/>
      <c r="AK2904" s="1"/>
      <c r="AL2904" s="1"/>
      <c r="AM2904" s="1"/>
      <c r="AN2904" s="1"/>
      <c r="AO2904" s="1"/>
      <c r="AP2904" s="1"/>
      <c r="AQ2904" s="1"/>
      <c r="AR2904" s="1"/>
      <c r="AS2904" s="1"/>
      <c r="AT2904" s="1"/>
      <c r="AU2904" s="1"/>
      <c r="AV2904" s="1"/>
      <c r="AW2904" s="1"/>
      <c r="AX2904" s="1"/>
      <c r="AY2904" s="1"/>
      <c r="AZ2904" s="1"/>
      <c r="BA2904" s="1"/>
      <c r="BB2904" s="1"/>
    </row>
    <row r="2905" ht="204.75" customHeight="1">
      <c r="A2905" s="1">
        <v>5018.0</v>
      </c>
      <c r="B2905" s="2" t="s">
        <v>8837</v>
      </c>
      <c r="C2905" s="2">
        <f>IFERROR(__xludf.DUMMYFUNCTION("split(B2905,""_"")"),910.0)</f>
        <v>910</v>
      </c>
      <c r="D2905" s="2" t="str">
        <f>IFERROR(__xludf.DUMMYFUNCTION("""COMPUTED_VALUE"""),"EX")</f>
        <v>EX</v>
      </c>
      <c r="E2905" s="2" t="str">
        <f>IFERROR(__xludf.DUMMYFUNCTION("""COMPUTED_VALUE"""),"木21")</f>
        <v>木21</v>
      </c>
      <c r="F2905" s="2" t="s">
        <v>8838</v>
      </c>
      <c r="G2905" s="2" t="s">
        <v>8860</v>
      </c>
      <c r="H2905" s="1">
        <v>8.0</v>
      </c>
      <c r="I2905" s="1" t="s">
        <v>29</v>
      </c>
      <c r="J2905" s="1" t="s">
        <v>11</v>
      </c>
      <c r="K2905" s="2" t="s">
        <v>8861</v>
      </c>
      <c r="L2905" s="11" t="s">
        <v>8862</v>
      </c>
      <c r="M2905" s="2" t="str">
        <f>IFERROR(__xludf.DUMMYFUNCTION("split(split(K2905,""米倉涼子・"",false),""公式LINE"",false)"),"「これで、あいつも僕の仲間だ」と謎めいた言葉を口にする真里谷。サマー・クロースはずっと玲子を見ていた!?予想だにしない展開が、交渉人に襲いかかる!本当の目的とは!事件に隠された真実とは!?  一分一秒見逃せない手に汗握るスリリングな展開が待ち受ける!　")</f>
        <v>「これで、あいつも僕の仲間だ」と謎めいた言葉を口にする真里谷。サマー・クロースはずっと玲子を見ていた!?予想だにしない展開が、交渉人に襲いかかる!本当の目的とは!事件に隠された真実とは!?  一分一秒見逃せない手に汗握るスリリングな展開が待ち受ける!　</v>
      </c>
      <c r="N2905" s="2"/>
      <c r="O2905" s="2"/>
      <c r="P2905" s="1"/>
      <c r="Q2905" s="1"/>
      <c r="R2905" s="1"/>
      <c r="S2905" s="1"/>
      <c r="T2905" s="1"/>
      <c r="U2905" s="1"/>
      <c r="V2905" s="1"/>
      <c r="W2905" s="1"/>
      <c r="X2905" s="1"/>
      <c r="Y2905" s="1"/>
      <c r="Z2905" s="1"/>
      <c r="AA2905" s="1"/>
      <c r="AB2905" s="1"/>
      <c r="AC2905" s="1"/>
      <c r="AD2905" s="1"/>
      <c r="AE2905" s="1"/>
      <c r="AF2905" s="1"/>
      <c r="AG2905" s="1"/>
      <c r="AH2905" s="1"/>
      <c r="AI2905" s="1"/>
      <c r="AJ2905" s="1"/>
      <c r="AK2905" s="1"/>
      <c r="AL2905" s="1"/>
      <c r="AM2905" s="1"/>
      <c r="AN2905" s="1"/>
      <c r="AO2905" s="1"/>
      <c r="AP2905" s="1"/>
      <c r="AQ2905" s="1"/>
      <c r="AR2905" s="1"/>
      <c r="AS2905" s="1"/>
      <c r="AT2905" s="1"/>
      <c r="AU2905" s="1"/>
      <c r="AV2905" s="1"/>
      <c r="AW2905" s="1"/>
      <c r="AX2905" s="1"/>
      <c r="AY2905" s="1"/>
      <c r="AZ2905" s="1"/>
      <c r="BA2905" s="1"/>
      <c r="BB2905" s="1"/>
    </row>
    <row r="2906" ht="204.75" customHeight="1">
      <c r="A2906" s="1">
        <v>5019.0</v>
      </c>
      <c r="B2906" s="2" t="s">
        <v>8837</v>
      </c>
      <c r="C2906" s="2">
        <f>IFERROR(__xludf.DUMMYFUNCTION("split(B2906,""_"")"),910.0)</f>
        <v>910</v>
      </c>
      <c r="D2906" s="2" t="str">
        <f>IFERROR(__xludf.DUMMYFUNCTION("""COMPUTED_VALUE"""),"EX")</f>
        <v>EX</v>
      </c>
      <c r="E2906" s="2" t="str">
        <f>IFERROR(__xludf.DUMMYFUNCTION("""COMPUTED_VALUE"""),"木21")</f>
        <v>木21</v>
      </c>
      <c r="F2906" s="2" t="s">
        <v>8838</v>
      </c>
      <c r="G2906" s="2" t="s">
        <v>8863</v>
      </c>
      <c r="H2906" s="1">
        <v>9.0</v>
      </c>
      <c r="I2906" s="1" t="s">
        <v>33</v>
      </c>
      <c r="J2906" s="1" t="s">
        <v>11</v>
      </c>
      <c r="K2906" s="2" t="s">
        <v>8864</v>
      </c>
      <c r="L2906" s="11" t="s">
        <v>8865</v>
      </c>
      <c r="M2906" s="2" t="str">
        <f>IFERROR(__xludf.DUMMYFUNCTION("split(split(K2906,""米倉涼子・"",false),""公式LINE"",false)"),"絶望と後悔が残る死を玲子にさせる…  「あの人を撃てば、あなたは助かります」  その声に乗客たちは銃を奪い合い、人に銃口を向ける!!人の命の重さに差はあるのか!?  警察の威厳を守るのか、市民を守るのか!?  苦渋の選択に交渉人は衝撃の決断をする!!　")</f>
        <v>絶望と後悔が残る死を玲子にさせる…  「あの人を撃てば、あなたは助かります」  その声に乗客たちは銃を奪い合い、人に銃口を向ける!!人の命の重さに差はあるのか!?  警察の威厳を守るのか、市民を守るのか!?  苦渋の選択に交渉人は衝撃の決断をする!!　</v>
      </c>
      <c r="N2906" s="2"/>
      <c r="O2906" s="2"/>
      <c r="P2906" s="1"/>
      <c r="Q2906" s="1"/>
      <c r="R2906" s="1"/>
      <c r="S2906" s="1"/>
      <c r="T2906" s="1"/>
      <c r="U2906" s="1"/>
      <c r="V2906" s="1"/>
      <c r="W2906" s="1"/>
      <c r="X2906" s="1"/>
      <c r="Y2906" s="1"/>
      <c r="Z2906" s="1"/>
      <c r="AA2906" s="1"/>
      <c r="AB2906" s="1"/>
      <c r="AC2906" s="1"/>
      <c r="AD2906" s="1"/>
      <c r="AE2906" s="1"/>
      <c r="AF2906" s="1"/>
      <c r="AG2906" s="1"/>
      <c r="AH2906" s="1"/>
      <c r="AI2906" s="1"/>
      <c r="AJ2906" s="1"/>
      <c r="AK2906" s="1"/>
      <c r="AL2906" s="1"/>
      <c r="AM2906" s="1"/>
      <c r="AN2906" s="1"/>
      <c r="AO2906" s="1"/>
      <c r="AP2906" s="1"/>
      <c r="AQ2906" s="1"/>
      <c r="AR2906" s="1"/>
      <c r="AS2906" s="1"/>
      <c r="AT2906" s="1"/>
      <c r="AU2906" s="1"/>
      <c r="AV2906" s="1"/>
      <c r="AW2906" s="1"/>
      <c r="AX2906" s="1"/>
      <c r="AY2906" s="1"/>
      <c r="AZ2906" s="1"/>
      <c r="BA2906" s="1"/>
      <c r="BB2906" s="1"/>
    </row>
    <row r="2907" ht="204.75" customHeight="1">
      <c r="A2907" s="1">
        <v>5035.0</v>
      </c>
      <c r="B2907" s="2" t="s">
        <v>8866</v>
      </c>
      <c r="C2907" s="2">
        <f>IFERROR(__xludf.DUMMYFUNCTION("split(B2907,""_"")"),910.0)</f>
        <v>910</v>
      </c>
      <c r="D2907" s="2" t="str">
        <f>IFERROR(__xludf.DUMMYFUNCTION("""COMPUTED_VALUE"""),"EX")</f>
        <v>EX</v>
      </c>
      <c r="E2907" s="2" t="str">
        <f>IFERROR(__xludf.DUMMYFUNCTION("""COMPUTED_VALUE"""),"金21")</f>
        <v>金21</v>
      </c>
      <c r="F2907" s="2" t="s">
        <v>8867</v>
      </c>
      <c r="G2907" s="2" t="s">
        <v>8868</v>
      </c>
      <c r="H2907" s="1">
        <v>1.0</v>
      </c>
      <c r="I2907" s="1" t="s">
        <v>3</v>
      </c>
      <c r="J2907" s="1" t="s">
        <v>4</v>
      </c>
      <c r="K2907" s="4" t="s">
        <v>8869</v>
      </c>
      <c r="L2907" s="11" t="s">
        <v>8870</v>
      </c>
      <c r="M2907" s="2" t="str">
        <f>IFERROR(__xludf.DUMMYFUNCTION("split(split(K2907,""仲間由紀恵、"",false),""公式LINE"",false)"),"仲間由紀恵主演の極上の本格ミステリー。三流週刊誌の女性記者・鳴海遼子は、仕事にも恋にもあつかましい粘着質な性格。そんな彼女が不可解な事件の裏側に隠された“アンタッチャブルな真実”を解き明かしていく。　")</f>
        <v>仲間由紀恵主演の極上の本格ミステリー。三流週刊誌の女性記者・鳴海遼子は、仕事にも恋にもあつかましい粘着質な性格。そんな彼女が不可解な事件の裏側に隠された“アンタッチャブルな真実”を解き明かしていく。　</v>
      </c>
      <c r="N2907" s="2"/>
      <c r="O2907" s="2"/>
      <c r="P2907" s="1"/>
      <c r="Q2907" s="1"/>
      <c r="R2907" s="1"/>
      <c r="S2907" s="1"/>
      <c r="T2907" s="1"/>
      <c r="U2907" s="1"/>
      <c r="V2907" s="1"/>
      <c r="W2907" s="1"/>
      <c r="X2907" s="1"/>
      <c r="Y2907" s="1"/>
      <c r="Z2907" s="1"/>
      <c r="AA2907" s="1"/>
      <c r="AB2907" s="1"/>
      <c r="AC2907" s="1"/>
      <c r="AD2907" s="1"/>
      <c r="AE2907" s="1"/>
      <c r="AF2907" s="1"/>
      <c r="AG2907" s="1"/>
      <c r="AH2907" s="1"/>
      <c r="AI2907" s="1"/>
      <c r="AJ2907" s="1"/>
      <c r="AK2907" s="1"/>
      <c r="AL2907" s="1"/>
      <c r="AM2907" s="1"/>
      <c r="AN2907" s="1"/>
      <c r="AO2907" s="1"/>
      <c r="AP2907" s="1"/>
      <c r="AQ2907" s="1"/>
      <c r="AR2907" s="1"/>
      <c r="AS2907" s="1"/>
      <c r="AT2907" s="1"/>
      <c r="AU2907" s="1"/>
      <c r="AV2907" s="1"/>
      <c r="AW2907" s="1"/>
      <c r="AX2907" s="1"/>
      <c r="AY2907" s="1"/>
      <c r="AZ2907" s="1"/>
      <c r="BA2907" s="1"/>
      <c r="BB2907" s="1"/>
    </row>
    <row r="2908" ht="204.75" customHeight="1">
      <c r="A2908" s="1">
        <v>5036.0</v>
      </c>
      <c r="B2908" s="2" t="s">
        <v>8866</v>
      </c>
      <c r="C2908" s="2">
        <f>IFERROR(__xludf.DUMMYFUNCTION("split(B2908,""_"")"),910.0)</f>
        <v>910</v>
      </c>
      <c r="D2908" s="2" t="str">
        <f>IFERROR(__xludf.DUMMYFUNCTION("""COMPUTED_VALUE"""),"EX")</f>
        <v>EX</v>
      </c>
      <c r="E2908" s="2" t="str">
        <f>IFERROR(__xludf.DUMMYFUNCTION("""COMPUTED_VALUE"""),"金21")</f>
        <v>金21</v>
      </c>
      <c r="F2908" s="2" t="s">
        <v>8867</v>
      </c>
      <c r="G2908" s="2" t="s">
        <v>8871</v>
      </c>
      <c r="H2908" s="1">
        <v>2.0</v>
      </c>
      <c r="I2908" s="1" t="s">
        <v>7</v>
      </c>
      <c r="J2908" s="1" t="s">
        <v>11</v>
      </c>
      <c r="K2908" s="2" t="s">
        <v>8872</v>
      </c>
      <c r="L2908" s="11" t="s">
        <v>8873</v>
      </c>
      <c r="M2908" s="2" t="str">
        <f>IFERROR(__xludf.DUMMYFUNCTION("split(split(K2908,""仲間由紀恵、"",false),""公式LINE"",false)"),"2人の人気作家が同時に同じ小説を発表し、W盗作疑惑として騒然となる!!  また、事件を追う遼子(仲間由紀恵)と美鈴(芦名星)の間で女のプライドをかけた熾烈なバトルが勃発!最後にたどり着く衝撃の真実とは!?　")</f>
        <v>2人の人気作家が同時に同じ小説を発表し、W盗作疑惑として騒然となる!!  また、事件を追う遼子(仲間由紀恵)と美鈴(芦名星)の間で女のプライドをかけた熾烈なバトルが勃発!最後にたどり着く衝撃の真実とは!?　</v>
      </c>
      <c r="N2908" s="2"/>
      <c r="O2908" s="2"/>
      <c r="P2908" s="1"/>
      <c r="Q2908" s="1"/>
      <c r="R2908" s="1"/>
      <c r="S2908" s="1"/>
      <c r="T2908" s="1"/>
      <c r="U2908" s="1"/>
      <c r="V2908" s="1"/>
      <c r="W2908" s="1"/>
      <c r="X2908" s="1"/>
      <c r="Y2908" s="1"/>
      <c r="Z2908" s="1"/>
      <c r="AA2908" s="1"/>
      <c r="AB2908" s="1"/>
      <c r="AC2908" s="1"/>
      <c r="AD2908" s="1"/>
      <c r="AE2908" s="1"/>
      <c r="AF2908" s="1"/>
      <c r="AG2908" s="1"/>
      <c r="AH2908" s="1"/>
      <c r="AI2908" s="1"/>
      <c r="AJ2908" s="1"/>
      <c r="AK2908" s="1"/>
      <c r="AL2908" s="1"/>
      <c r="AM2908" s="1"/>
      <c r="AN2908" s="1"/>
      <c r="AO2908" s="1"/>
      <c r="AP2908" s="1"/>
      <c r="AQ2908" s="1"/>
      <c r="AR2908" s="1"/>
      <c r="AS2908" s="1"/>
      <c r="AT2908" s="1"/>
      <c r="AU2908" s="1"/>
      <c r="AV2908" s="1"/>
      <c r="AW2908" s="1"/>
      <c r="AX2908" s="1"/>
      <c r="AY2908" s="1"/>
      <c r="AZ2908" s="1"/>
      <c r="BA2908" s="1"/>
      <c r="BB2908" s="1"/>
    </row>
    <row r="2909" ht="204.75" customHeight="1">
      <c r="A2909" s="1">
        <v>5037.0</v>
      </c>
      <c r="B2909" s="2" t="s">
        <v>8866</v>
      </c>
      <c r="C2909" s="2">
        <f>IFERROR(__xludf.DUMMYFUNCTION("split(B2909,""_"")"),910.0)</f>
        <v>910</v>
      </c>
      <c r="D2909" s="2" t="str">
        <f>IFERROR(__xludf.DUMMYFUNCTION("""COMPUTED_VALUE"""),"EX")</f>
        <v>EX</v>
      </c>
      <c r="E2909" s="2" t="str">
        <f>IFERROR(__xludf.DUMMYFUNCTION("""COMPUTED_VALUE"""),"金21")</f>
        <v>金21</v>
      </c>
      <c r="F2909" s="2" t="s">
        <v>8867</v>
      </c>
      <c r="G2909" s="2" t="s">
        <v>8874</v>
      </c>
      <c r="H2909" s="1">
        <v>3.0</v>
      </c>
      <c r="I2909" s="1" t="s">
        <v>10</v>
      </c>
      <c r="J2909" s="1" t="s">
        <v>11</v>
      </c>
      <c r="K2909" s="2" t="s">
        <v>8875</v>
      </c>
      <c r="L2909" s="11" t="s">
        <v>8876</v>
      </c>
      <c r="M2909" s="2" t="str">
        <f>IFERROR(__xludf.DUMMYFUNCTION("split(split(K2909,""仲間由紀恵、"",false),""公式LINE"",false)"),"突然、空から降ってきた1億円が衝撃的な事件の幕を開けた!  整形疑惑で騒がれるアイドルと国会議員、さらにカリスマ美容整形医を巻き込んだ複雑な人間関係が発覚!?そこにはアンタッチャブルな“闇”が潜んでいた…　")</f>
        <v>突然、空から降ってきた1億円が衝撃的な事件の幕を開けた!  整形疑惑で騒がれるアイドルと国会議員、さらにカリスマ美容整形医を巻き込んだ複雑な人間関係が発覚!?そこにはアンタッチャブルな“闇”が潜んでいた…　</v>
      </c>
      <c r="N2909" s="2"/>
      <c r="O2909" s="2"/>
      <c r="P2909" s="1"/>
      <c r="Q2909" s="1"/>
      <c r="R2909" s="1"/>
      <c r="S2909" s="1"/>
      <c r="T2909" s="1"/>
      <c r="U2909" s="1"/>
      <c r="V2909" s="1"/>
      <c r="W2909" s="1"/>
      <c r="X2909" s="1"/>
      <c r="Y2909" s="1"/>
      <c r="Z2909" s="1"/>
      <c r="AA2909" s="1"/>
      <c r="AB2909" s="1"/>
      <c r="AC2909" s="1"/>
      <c r="AD2909" s="1"/>
      <c r="AE2909" s="1"/>
      <c r="AF2909" s="1"/>
      <c r="AG2909" s="1"/>
      <c r="AH2909" s="1"/>
      <c r="AI2909" s="1"/>
      <c r="AJ2909" s="1"/>
      <c r="AK2909" s="1"/>
      <c r="AL2909" s="1"/>
      <c r="AM2909" s="1"/>
      <c r="AN2909" s="1"/>
      <c r="AO2909" s="1"/>
      <c r="AP2909" s="1"/>
      <c r="AQ2909" s="1"/>
      <c r="AR2909" s="1"/>
      <c r="AS2909" s="1"/>
      <c r="AT2909" s="1"/>
      <c r="AU2909" s="1"/>
      <c r="AV2909" s="1"/>
      <c r="AW2909" s="1"/>
      <c r="AX2909" s="1"/>
      <c r="AY2909" s="1"/>
      <c r="AZ2909" s="1"/>
      <c r="BA2909" s="1"/>
      <c r="BB2909" s="1"/>
    </row>
    <row r="2910" ht="204.75" customHeight="1">
      <c r="A2910" s="1">
        <v>5038.0</v>
      </c>
      <c r="B2910" s="2" t="s">
        <v>8866</v>
      </c>
      <c r="C2910" s="2">
        <f>IFERROR(__xludf.DUMMYFUNCTION("split(B2910,""_"")"),910.0)</f>
        <v>910</v>
      </c>
      <c r="D2910" s="2" t="str">
        <f>IFERROR(__xludf.DUMMYFUNCTION("""COMPUTED_VALUE"""),"EX")</f>
        <v>EX</v>
      </c>
      <c r="E2910" s="2" t="str">
        <f>IFERROR(__xludf.DUMMYFUNCTION("""COMPUTED_VALUE"""),"金21")</f>
        <v>金21</v>
      </c>
      <c r="F2910" s="2" t="s">
        <v>8867</v>
      </c>
      <c r="G2910" s="2" t="s">
        <v>8877</v>
      </c>
      <c r="H2910" s="1">
        <v>4.0</v>
      </c>
      <c r="I2910" s="1" t="s">
        <v>14</v>
      </c>
      <c r="J2910" s="1" t="s">
        <v>11</v>
      </c>
      <c r="K2910" s="2" t="s">
        <v>8878</v>
      </c>
      <c r="L2910" s="11" t="s">
        <v>8879</v>
      </c>
      <c r="M2910" s="2" t="str">
        <f>IFERROR(__xludf.DUMMYFUNCTION("split(split(K2910,""仲間由紀恵、"",false),""公式LINE"",false)"),"はたして遼子は無事生還できるのか?そして驚くべき犯人の犯行目的とは…!?　")</f>
        <v>はたして遼子は無事生還できるのか?そして驚くべき犯人の犯行目的とは…!?　</v>
      </c>
      <c r="N2910" s="2"/>
      <c r="O2910" s="2"/>
      <c r="P2910" s="1"/>
      <c r="Q2910" s="1"/>
      <c r="R2910" s="1"/>
      <c r="S2910" s="1"/>
      <c r="T2910" s="1"/>
      <c r="U2910" s="1"/>
      <c r="V2910" s="1"/>
      <c r="W2910" s="1"/>
      <c r="X2910" s="1"/>
      <c r="Y2910" s="1"/>
      <c r="Z2910" s="1"/>
      <c r="AA2910" s="1"/>
      <c r="AB2910" s="1"/>
      <c r="AC2910" s="1"/>
      <c r="AD2910" s="1"/>
      <c r="AE2910" s="1"/>
      <c r="AF2910" s="1"/>
      <c r="AG2910" s="1"/>
      <c r="AH2910" s="1"/>
      <c r="AI2910" s="1"/>
      <c r="AJ2910" s="1"/>
      <c r="AK2910" s="1"/>
      <c r="AL2910" s="1"/>
      <c r="AM2910" s="1"/>
      <c r="AN2910" s="1"/>
      <c r="AO2910" s="1"/>
      <c r="AP2910" s="1"/>
      <c r="AQ2910" s="1"/>
      <c r="AR2910" s="1"/>
      <c r="AS2910" s="1"/>
      <c r="AT2910" s="1"/>
      <c r="AU2910" s="1"/>
      <c r="AV2910" s="1"/>
      <c r="AW2910" s="1"/>
      <c r="AX2910" s="1"/>
      <c r="AY2910" s="1"/>
      <c r="AZ2910" s="1"/>
      <c r="BA2910" s="1"/>
      <c r="BB2910" s="1"/>
    </row>
    <row r="2911" ht="204.75" customHeight="1">
      <c r="A2911" s="1">
        <v>5039.0</v>
      </c>
      <c r="B2911" s="2" t="s">
        <v>8866</v>
      </c>
      <c r="C2911" s="2">
        <f>IFERROR(__xludf.DUMMYFUNCTION("split(B2911,""_"")"),910.0)</f>
        <v>910</v>
      </c>
      <c r="D2911" s="2" t="str">
        <f>IFERROR(__xludf.DUMMYFUNCTION("""COMPUTED_VALUE"""),"EX")</f>
        <v>EX</v>
      </c>
      <c r="E2911" s="2" t="str">
        <f>IFERROR(__xludf.DUMMYFUNCTION("""COMPUTED_VALUE"""),"金21")</f>
        <v>金21</v>
      </c>
      <c r="F2911" s="2" t="s">
        <v>8867</v>
      </c>
      <c r="G2911" s="2" t="s">
        <v>8880</v>
      </c>
      <c r="H2911" s="1">
        <v>5.0</v>
      </c>
      <c r="I2911" s="1" t="s">
        <v>17</v>
      </c>
      <c r="J2911" s="1" t="s">
        <v>11</v>
      </c>
      <c r="K2911" s="2" t="s">
        <v>8881</v>
      </c>
      <c r="L2911" s="11" t="s">
        <v>8882</v>
      </c>
      <c r="M2911" s="2" t="str">
        <f>IFERROR(__xludf.DUMMYFUNCTION("split(split(K2911,""仲間由紀恵、"",false),""公式LINE"",false)"),"女記者vs名探偵の推理バトルが繰り広げられる!?    仲間由紀恵主演の極上の本格ミステリー。三流週刊誌の女性記者・鳴海遼子は、仕事にも恋にもあつかましい粘着質な性格。そんな彼女が不可解な事件の裏側に隠された“アンタッチャブルな真実”を解き明かしていく。　")</f>
        <v>女記者vs名探偵の推理バトルが繰り広げられる!?    仲間由紀恵主演の極上の本格ミステリー。三流週刊誌の女性記者・鳴海遼子は、仕事にも恋にもあつかましい粘着質な性格。そんな彼女が不可解な事件の裏側に隠された“アンタッチャブルな真実”を解き明かしていく。　</v>
      </c>
      <c r="N2911" s="2"/>
      <c r="O2911" s="2"/>
      <c r="P2911" s="1"/>
      <c r="Q2911" s="1"/>
      <c r="R2911" s="1"/>
      <c r="S2911" s="1"/>
      <c r="T2911" s="1"/>
      <c r="U2911" s="1"/>
      <c r="V2911" s="1"/>
      <c r="W2911" s="1"/>
      <c r="X2911" s="1"/>
      <c r="Y2911" s="1"/>
      <c r="Z2911" s="1"/>
      <c r="AA2911" s="1"/>
      <c r="AB2911" s="1"/>
      <c r="AC2911" s="1"/>
      <c r="AD2911" s="1"/>
      <c r="AE2911" s="1"/>
      <c r="AF2911" s="1"/>
      <c r="AG2911" s="1"/>
      <c r="AH2911" s="1"/>
      <c r="AI2911" s="1"/>
      <c r="AJ2911" s="1"/>
      <c r="AK2911" s="1"/>
      <c r="AL2911" s="1"/>
      <c r="AM2911" s="1"/>
      <c r="AN2911" s="1"/>
      <c r="AO2911" s="1"/>
      <c r="AP2911" s="1"/>
      <c r="AQ2911" s="1"/>
      <c r="AR2911" s="1"/>
      <c r="AS2911" s="1"/>
      <c r="AT2911" s="1"/>
      <c r="AU2911" s="1"/>
      <c r="AV2911" s="1"/>
      <c r="AW2911" s="1"/>
      <c r="AX2911" s="1"/>
      <c r="AY2911" s="1"/>
      <c r="AZ2911" s="1"/>
      <c r="BA2911" s="1"/>
      <c r="BB2911" s="1"/>
    </row>
    <row r="2912" ht="204.75" customHeight="1">
      <c r="A2912" s="1">
        <v>5040.0</v>
      </c>
      <c r="B2912" s="2" t="s">
        <v>8866</v>
      </c>
      <c r="C2912" s="2">
        <f>IFERROR(__xludf.DUMMYFUNCTION("split(B2912,""_"")"),910.0)</f>
        <v>910</v>
      </c>
      <c r="D2912" s="2" t="str">
        <f>IFERROR(__xludf.DUMMYFUNCTION("""COMPUTED_VALUE"""),"EX")</f>
        <v>EX</v>
      </c>
      <c r="E2912" s="2" t="str">
        <f>IFERROR(__xludf.DUMMYFUNCTION("""COMPUTED_VALUE"""),"金21")</f>
        <v>金21</v>
      </c>
      <c r="F2912" s="2" t="s">
        <v>8867</v>
      </c>
      <c r="G2912" s="2" t="s">
        <v>8883</v>
      </c>
      <c r="H2912" s="1">
        <v>6.0</v>
      </c>
      <c r="I2912" s="1" t="s">
        <v>21</v>
      </c>
      <c r="J2912" s="1" t="s">
        <v>11</v>
      </c>
      <c r="K2912" s="2" t="s">
        <v>8884</v>
      </c>
      <c r="L2912" s="11" t="s">
        <v>8885</v>
      </c>
      <c r="M2912" s="2" t="str">
        <f>IFERROR(__xludf.DUMMYFUNCTION("split(split(K2912,""仲間由紀恵、"",false),""公式LINE"",false)"),"セレブ美人音楽姉妹が登場!!その演奏に熱狂し失神するファンも!?遼子(仲間由紀恵)は彼女達のスキャンダルな素顔に迫るが、編集長(田中哲司)は何故か関心を示さない。遼子はただならぬものを感じ始める。　")</f>
        <v>セレブ美人音楽姉妹が登場!!その演奏に熱狂し失神するファンも!?遼子(仲間由紀恵)は彼女達のスキャンダルな素顔に迫るが、編集長(田中哲司)は何故か関心を示さない。遼子はただならぬものを感じ始める。　</v>
      </c>
      <c r="N2912" s="2"/>
      <c r="O2912" s="2"/>
      <c r="P2912" s="1"/>
      <c r="Q2912" s="1"/>
      <c r="R2912" s="1"/>
      <c r="S2912" s="1"/>
      <c r="T2912" s="1"/>
      <c r="U2912" s="1"/>
      <c r="V2912" s="1"/>
      <c r="W2912" s="1"/>
      <c r="X2912" s="1"/>
      <c r="Y2912" s="1"/>
      <c r="Z2912" s="1"/>
      <c r="AA2912" s="1"/>
      <c r="AB2912" s="1"/>
      <c r="AC2912" s="1"/>
      <c r="AD2912" s="1"/>
      <c r="AE2912" s="1"/>
      <c r="AF2912" s="1"/>
      <c r="AG2912" s="1"/>
      <c r="AH2912" s="1"/>
      <c r="AI2912" s="1"/>
      <c r="AJ2912" s="1"/>
      <c r="AK2912" s="1"/>
      <c r="AL2912" s="1"/>
      <c r="AM2912" s="1"/>
      <c r="AN2912" s="1"/>
      <c r="AO2912" s="1"/>
      <c r="AP2912" s="1"/>
      <c r="AQ2912" s="1"/>
      <c r="AR2912" s="1"/>
      <c r="AS2912" s="1"/>
      <c r="AT2912" s="1"/>
      <c r="AU2912" s="1"/>
      <c r="AV2912" s="1"/>
      <c r="AW2912" s="1"/>
      <c r="AX2912" s="1"/>
      <c r="AY2912" s="1"/>
      <c r="AZ2912" s="1"/>
      <c r="BA2912" s="1"/>
      <c r="BB2912" s="1"/>
    </row>
    <row r="2913" ht="204.75" customHeight="1">
      <c r="A2913" s="1">
        <v>5041.0</v>
      </c>
      <c r="B2913" s="2" t="s">
        <v>8866</v>
      </c>
      <c r="C2913" s="2">
        <f>IFERROR(__xludf.DUMMYFUNCTION("split(B2913,""_"")"),910.0)</f>
        <v>910</v>
      </c>
      <c r="D2913" s="2" t="str">
        <f>IFERROR(__xludf.DUMMYFUNCTION("""COMPUTED_VALUE"""),"EX")</f>
        <v>EX</v>
      </c>
      <c r="E2913" s="2" t="str">
        <f>IFERROR(__xludf.DUMMYFUNCTION("""COMPUTED_VALUE"""),"金21")</f>
        <v>金21</v>
      </c>
      <c r="F2913" s="2" t="s">
        <v>8867</v>
      </c>
      <c r="G2913" s="2" t="s">
        <v>8886</v>
      </c>
      <c r="H2913" s="1">
        <v>7.0</v>
      </c>
      <c r="I2913" s="1" t="s">
        <v>25</v>
      </c>
      <c r="J2913" s="1" t="s">
        <v>11</v>
      </c>
      <c r="K2913" s="2" t="s">
        <v>8887</v>
      </c>
      <c r="L2913" s="11" t="s">
        <v>8888</v>
      </c>
      <c r="M2913" s="2" t="str">
        <f>IFERROR(__xludf.DUMMYFUNCTION("split(split(K2913,""仲間由紀恵、"",false),""公式LINE"",false)"),"高級クラブに潜入取材する遼子。ホステスとなり、政官界の大物とホテルへ…!?一方、謎の告発者“名なしの権兵衛”の正体がいよいよ明らかに!?それは遼子が愛した男だった…そして、また新たな犠牲者が!!　")</f>
        <v>高級クラブに潜入取材する遼子。ホステスとなり、政官界の大物とホテルへ…!?一方、謎の告発者“名なしの権兵衛”の正体がいよいよ明らかに!?それは遼子が愛した男だった…そして、また新たな犠牲者が!!　</v>
      </c>
      <c r="N2913" s="2"/>
      <c r="O2913" s="2"/>
      <c r="P2913" s="1"/>
      <c r="Q2913" s="1"/>
      <c r="R2913" s="1"/>
      <c r="S2913" s="1"/>
      <c r="T2913" s="1"/>
      <c r="U2913" s="1"/>
      <c r="V2913" s="1"/>
      <c r="W2913" s="1"/>
      <c r="X2913" s="1"/>
      <c r="Y2913" s="1"/>
      <c r="Z2913" s="1"/>
      <c r="AA2913" s="1"/>
      <c r="AB2913" s="1"/>
      <c r="AC2913" s="1"/>
      <c r="AD2913" s="1"/>
      <c r="AE2913" s="1"/>
      <c r="AF2913" s="1"/>
      <c r="AG2913" s="1"/>
      <c r="AH2913" s="1"/>
      <c r="AI2913" s="1"/>
      <c r="AJ2913" s="1"/>
      <c r="AK2913" s="1"/>
      <c r="AL2913" s="1"/>
      <c r="AM2913" s="1"/>
      <c r="AN2913" s="1"/>
      <c r="AO2913" s="1"/>
      <c r="AP2913" s="1"/>
      <c r="AQ2913" s="1"/>
      <c r="AR2913" s="1"/>
      <c r="AS2913" s="1"/>
      <c r="AT2913" s="1"/>
      <c r="AU2913" s="1"/>
      <c r="AV2913" s="1"/>
      <c r="AW2913" s="1"/>
      <c r="AX2913" s="1"/>
      <c r="AY2913" s="1"/>
      <c r="AZ2913" s="1"/>
      <c r="BA2913" s="1"/>
      <c r="BB2913" s="1"/>
    </row>
    <row r="2914" ht="204.75" customHeight="1">
      <c r="A2914" s="1">
        <v>5042.0</v>
      </c>
      <c r="B2914" s="2" t="s">
        <v>8866</v>
      </c>
      <c r="C2914" s="2">
        <f>IFERROR(__xludf.DUMMYFUNCTION("split(B2914,""_"")"),910.0)</f>
        <v>910</v>
      </c>
      <c r="D2914" s="2" t="str">
        <f>IFERROR(__xludf.DUMMYFUNCTION("""COMPUTED_VALUE"""),"EX")</f>
        <v>EX</v>
      </c>
      <c r="E2914" s="2" t="str">
        <f>IFERROR(__xludf.DUMMYFUNCTION("""COMPUTED_VALUE"""),"金21")</f>
        <v>金21</v>
      </c>
      <c r="F2914" s="2" t="s">
        <v>8867</v>
      </c>
      <c r="G2914" s="2" t="s">
        <v>8889</v>
      </c>
      <c r="H2914" s="1">
        <v>8.0</v>
      </c>
      <c r="I2914" s="1" t="s">
        <v>29</v>
      </c>
      <c r="J2914" s="1" t="s">
        <v>11</v>
      </c>
      <c r="K2914" s="2" t="s">
        <v>8890</v>
      </c>
      <c r="L2914" s="11" t="s">
        <v>8891</v>
      </c>
      <c r="M2914" s="2" t="str">
        <f>IFERROR(__xludf.DUMMYFUNCTION("split(split(K2914,""仲間由紀恵、"",false),""公式LINE"",false)"),"いよいよ最終章…真犯人“名なしの権兵衛”が鳴海遼子(仲間由紀恵)に最接近を図る!!そんな中、永倉栄一(寺島進)が経営する能力開発塾が大ブームに!次々と天才児を生み出す塾に秘められた恐ろしい計画とは!?　")</f>
        <v>いよいよ最終章…真犯人“名なしの権兵衛”が鳴海遼子(仲間由紀恵)に最接近を図る!!そんな中、永倉栄一(寺島進)が経営する能力開発塾が大ブームに!次々と天才児を生み出す塾に秘められた恐ろしい計画とは!?　</v>
      </c>
      <c r="N2914" s="2"/>
      <c r="O2914" s="2"/>
      <c r="P2914" s="1"/>
      <c r="Q2914" s="1"/>
      <c r="R2914" s="1"/>
      <c r="S2914" s="1"/>
      <c r="T2914" s="1"/>
      <c r="U2914" s="1"/>
      <c r="V2914" s="1"/>
      <c r="W2914" s="1"/>
      <c r="X2914" s="1"/>
      <c r="Y2914" s="1"/>
      <c r="Z2914" s="1"/>
      <c r="AA2914" s="1"/>
      <c r="AB2914" s="1"/>
      <c r="AC2914" s="1"/>
      <c r="AD2914" s="1"/>
      <c r="AE2914" s="1"/>
      <c r="AF2914" s="1"/>
      <c r="AG2914" s="1"/>
      <c r="AH2914" s="1"/>
      <c r="AI2914" s="1"/>
      <c r="AJ2914" s="1"/>
      <c r="AK2914" s="1"/>
      <c r="AL2914" s="1"/>
      <c r="AM2914" s="1"/>
      <c r="AN2914" s="1"/>
      <c r="AO2914" s="1"/>
      <c r="AP2914" s="1"/>
      <c r="AQ2914" s="1"/>
      <c r="AR2914" s="1"/>
      <c r="AS2914" s="1"/>
      <c r="AT2914" s="1"/>
      <c r="AU2914" s="1"/>
      <c r="AV2914" s="1"/>
      <c r="AW2914" s="1"/>
      <c r="AX2914" s="1"/>
      <c r="AY2914" s="1"/>
      <c r="AZ2914" s="1"/>
      <c r="BA2914" s="1"/>
      <c r="BB2914" s="1"/>
    </row>
    <row r="2915" ht="204.75" customHeight="1">
      <c r="A2915" s="1">
        <v>5043.0</v>
      </c>
      <c r="B2915" s="2" t="s">
        <v>8866</v>
      </c>
      <c r="C2915" s="2">
        <f>IFERROR(__xludf.DUMMYFUNCTION("split(B2915,""_"")"),910.0)</f>
        <v>910</v>
      </c>
      <c r="D2915" s="2" t="str">
        <f>IFERROR(__xludf.DUMMYFUNCTION("""COMPUTED_VALUE"""),"EX")</f>
        <v>EX</v>
      </c>
      <c r="E2915" s="2" t="str">
        <f>IFERROR(__xludf.DUMMYFUNCTION("""COMPUTED_VALUE"""),"金21")</f>
        <v>金21</v>
      </c>
      <c r="F2915" s="2" t="s">
        <v>8867</v>
      </c>
      <c r="G2915" s="2" t="s">
        <v>8892</v>
      </c>
      <c r="H2915" s="1">
        <v>9.0</v>
      </c>
      <c r="I2915" s="1" t="s">
        <v>33</v>
      </c>
      <c r="J2915" s="1" t="s">
        <v>11</v>
      </c>
      <c r="K2915" s="2" t="s">
        <v>8893</v>
      </c>
      <c r="L2915" s="10"/>
      <c r="M2915" s="2" t="str">
        <f>IFERROR(__xludf.DUMMYFUNCTION("split(split(K2915,""仲間由紀恵、"",false),""公式LINE"",false)"),"要潤、佐藤智仁、芦名星、辻谷嘉真、浦野一美(AKB48)、田中要次、酒井敏也、小澤征悦、田中哲司、寺島進  《ゲスト》  　荻野目慶子、長谷川初範　ほか　橋本裕志　唐木希浩　井筒昭雄　GIRL　NEXT　DOOR『Orion』(avex　trax)☆超豪華賞品が当たる真犯人推理クイズを実施中!!  　詳しくは番組HP  　http://untouchable.asahi.co.jp/  ☆携帯サイト  　メニュー&gt;テレビ&gt;ABC朝日放送&gt;アンタッチャブル")</f>
        <v>要潤、佐藤智仁、芦名星、辻谷嘉真、浦野一美(AKB48)、田中要次、酒井敏也、小澤征悦、田中哲司、寺島進  《ゲスト》  　荻野目慶子、長谷川初範　ほか　橋本裕志　唐木希浩　井筒昭雄　GIRL　NEXT　DOOR『Orion』(avex　trax)☆超豪華賞品が当たる真犯人推理クイズを実施中!!  　詳しくは番組HP  　http://untouchable.asahi.co.jp/  ☆携帯サイト  　メニュー&gt;テレビ&gt;ABC朝日放送&gt;アンタッチャブル</v>
      </c>
      <c r="N2915" s="2"/>
      <c r="O2915" s="2"/>
      <c r="P2915" s="1"/>
      <c r="Q2915" s="1"/>
      <c r="R2915" s="1"/>
      <c r="S2915" s="1"/>
      <c r="T2915" s="1"/>
      <c r="U2915" s="1"/>
      <c r="V2915" s="1"/>
      <c r="W2915" s="1"/>
      <c r="X2915" s="1"/>
      <c r="Y2915" s="1"/>
      <c r="Z2915" s="1"/>
      <c r="AA2915" s="1"/>
      <c r="AB2915" s="1"/>
      <c r="AC2915" s="1"/>
      <c r="AD2915" s="1"/>
      <c r="AE2915" s="1"/>
      <c r="AF2915" s="1"/>
      <c r="AG2915" s="1"/>
      <c r="AH2915" s="1"/>
      <c r="AI2915" s="1"/>
      <c r="AJ2915" s="1"/>
      <c r="AK2915" s="1"/>
      <c r="AL2915" s="1"/>
      <c r="AM2915" s="1"/>
      <c r="AN2915" s="1"/>
      <c r="AO2915" s="1"/>
      <c r="AP2915" s="1"/>
      <c r="AQ2915" s="1"/>
      <c r="AR2915" s="1"/>
      <c r="AS2915" s="1"/>
      <c r="AT2915" s="1"/>
      <c r="AU2915" s="1"/>
      <c r="AV2915" s="1"/>
      <c r="AW2915" s="1"/>
      <c r="AX2915" s="1"/>
      <c r="AY2915" s="1"/>
      <c r="AZ2915" s="1"/>
      <c r="BA2915" s="1"/>
      <c r="BB2915" s="1"/>
    </row>
    <row r="2916" ht="204.75" customHeight="1">
      <c r="A2916" s="1">
        <v>5054.0</v>
      </c>
      <c r="B2916" s="2" t="s">
        <v>8894</v>
      </c>
      <c r="C2916" s="2">
        <f>IFERROR(__xludf.DUMMYFUNCTION("split(B2916,""_"")"),910.0)</f>
        <v>910</v>
      </c>
      <c r="D2916" s="2" t="str">
        <f>IFERROR(__xludf.DUMMYFUNCTION("""COMPUTED_VALUE"""),"EX")</f>
        <v>EX</v>
      </c>
      <c r="E2916" s="2" t="str">
        <f>IFERROR(__xludf.DUMMYFUNCTION("""COMPUTED_VALUE"""),"金23")</f>
        <v>金23</v>
      </c>
      <c r="F2916" s="2" t="s">
        <v>8895</v>
      </c>
      <c r="G2916" s="2" t="s">
        <v>8896</v>
      </c>
      <c r="H2916" s="1">
        <v>1.0</v>
      </c>
      <c r="I2916" s="1" t="s">
        <v>3</v>
      </c>
      <c r="J2916" s="1" t="s">
        <v>1435</v>
      </c>
      <c r="K2916" s="4" t="s">
        <v>8897</v>
      </c>
      <c r="L2916" s="11" t="s">
        <v>8898</v>
      </c>
      <c r="M2916" s="2" t="str">
        <f>IFERROR(__xludf.DUMMYFUNCTION("split(split(K2916,""相葉雅紀、"",false),""公式LINE"",false)"),"忘れられない恋人を6年間思い続ける正宗(相葉雅紀)のもとに、ある日突然その恋人・陽子(優香)の訃報が届く。陽子の死を受け入れることができない正宗。さらに陽子と自分の間にひとりの娘・コハル(石井萌々果)がいたことを知るがその事実も受け入れる事ができず…。　")</f>
        <v>忘れられない恋人を6年間思い続ける正宗(相葉雅紀)のもとに、ある日突然その恋人・陽子(優香)の訃報が届く。陽子の死を受け入れることができない正宗。さらに陽子と自分の間にひとりの娘・コハル(石井萌々果)がいたことを知るがその事実も受け入れる事ができず…。　</v>
      </c>
      <c r="N2916" s="2"/>
      <c r="O2916" s="2"/>
      <c r="P2916" s="1"/>
      <c r="Q2916" s="1"/>
      <c r="R2916" s="1"/>
      <c r="S2916" s="1"/>
      <c r="T2916" s="1"/>
      <c r="U2916" s="1"/>
      <c r="V2916" s="1"/>
      <c r="W2916" s="1"/>
      <c r="X2916" s="1"/>
      <c r="Y2916" s="1"/>
      <c r="Z2916" s="1"/>
      <c r="AA2916" s="1"/>
      <c r="AB2916" s="1"/>
      <c r="AC2916" s="1"/>
      <c r="AD2916" s="1"/>
      <c r="AE2916" s="1"/>
      <c r="AF2916" s="1"/>
      <c r="AG2916" s="1"/>
      <c r="AH2916" s="1"/>
      <c r="AI2916" s="1"/>
      <c r="AJ2916" s="1"/>
      <c r="AK2916" s="1"/>
      <c r="AL2916" s="1"/>
      <c r="AM2916" s="1"/>
      <c r="AN2916" s="1"/>
      <c r="AO2916" s="1"/>
      <c r="AP2916" s="1"/>
      <c r="AQ2916" s="1"/>
      <c r="AR2916" s="1"/>
      <c r="AS2916" s="1"/>
      <c r="AT2916" s="1"/>
      <c r="AU2916" s="1"/>
      <c r="AV2916" s="1"/>
      <c r="AW2916" s="1"/>
      <c r="AX2916" s="1"/>
      <c r="AY2916" s="1"/>
      <c r="AZ2916" s="1"/>
      <c r="BA2916" s="1"/>
      <c r="BB2916" s="1"/>
    </row>
    <row r="2917" ht="204.75" customHeight="1">
      <c r="A2917" s="1">
        <v>5055.0</v>
      </c>
      <c r="B2917" s="2" t="s">
        <v>8894</v>
      </c>
      <c r="C2917" s="2">
        <f>IFERROR(__xludf.DUMMYFUNCTION("split(B2917,""_"")"),910.0)</f>
        <v>910</v>
      </c>
      <c r="D2917" s="2" t="str">
        <f>IFERROR(__xludf.DUMMYFUNCTION("""COMPUTED_VALUE"""),"EX")</f>
        <v>EX</v>
      </c>
      <c r="E2917" s="2" t="str">
        <f>IFERROR(__xludf.DUMMYFUNCTION("""COMPUTED_VALUE"""),"金23")</f>
        <v>金23</v>
      </c>
      <c r="F2917" s="2" t="s">
        <v>8895</v>
      </c>
      <c r="G2917" s="2" t="s">
        <v>8899</v>
      </c>
      <c r="H2917" s="1">
        <v>2.0</v>
      </c>
      <c r="I2917" s="1" t="s">
        <v>7</v>
      </c>
      <c r="J2917" s="1" t="s">
        <v>1435</v>
      </c>
      <c r="K2917" s="2" t="s">
        <v>8900</v>
      </c>
      <c r="L2917" s="11" t="s">
        <v>8901</v>
      </c>
      <c r="M2917" s="2" t="str">
        <f>IFERROR(__xludf.DUMMYFUNCTION("split(split(K2917,""相葉雅紀、"",false),""公式LINE"",false)"),"一緒に暮らし始めた正宗(相葉雅紀)とコハル(石井萌々果)だったが、慣れない家事と仕事の両立で正宗はいっぱいいっぱいに。そんな中、正宗は大物写真家・霧島良明のアシスタントを任される。プライベートの時間も割いて、霧島の世話に忙殺される正宗は…!?　")</f>
        <v>一緒に暮らし始めた正宗(相葉雅紀)とコハル(石井萌々果)だったが、慣れない家事と仕事の両立で正宗はいっぱいいっぱいに。そんな中、正宗は大物写真家・霧島良明のアシスタントを任される。プライベートの時間も割いて、霧島の世話に忙殺される正宗は…!?　</v>
      </c>
      <c r="N2917" s="2"/>
      <c r="O2917" s="2"/>
      <c r="P2917" s="1"/>
      <c r="Q2917" s="1"/>
      <c r="R2917" s="1"/>
      <c r="S2917" s="1"/>
      <c r="T2917" s="1"/>
      <c r="U2917" s="1"/>
      <c r="V2917" s="1"/>
      <c r="W2917" s="1"/>
      <c r="X2917" s="1"/>
      <c r="Y2917" s="1"/>
      <c r="Z2917" s="1"/>
      <c r="AA2917" s="1"/>
      <c r="AB2917" s="1"/>
      <c r="AC2917" s="1"/>
      <c r="AD2917" s="1"/>
      <c r="AE2917" s="1"/>
      <c r="AF2917" s="1"/>
      <c r="AG2917" s="1"/>
      <c r="AH2917" s="1"/>
      <c r="AI2917" s="1"/>
      <c r="AJ2917" s="1"/>
      <c r="AK2917" s="1"/>
      <c r="AL2917" s="1"/>
      <c r="AM2917" s="1"/>
      <c r="AN2917" s="1"/>
      <c r="AO2917" s="1"/>
      <c r="AP2917" s="1"/>
      <c r="AQ2917" s="1"/>
      <c r="AR2917" s="1"/>
      <c r="AS2917" s="1"/>
      <c r="AT2917" s="1"/>
      <c r="AU2917" s="1"/>
      <c r="AV2917" s="1"/>
      <c r="AW2917" s="1"/>
      <c r="AX2917" s="1"/>
      <c r="AY2917" s="1"/>
      <c r="AZ2917" s="1"/>
      <c r="BA2917" s="1"/>
      <c r="BB2917" s="1"/>
    </row>
    <row r="2918" ht="204.75" customHeight="1">
      <c r="A2918" s="1">
        <v>5056.0</v>
      </c>
      <c r="B2918" s="2" t="s">
        <v>8894</v>
      </c>
      <c r="C2918" s="2">
        <f>IFERROR(__xludf.DUMMYFUNCTION("split(B2918,""_"")"),910.0)</f>
        <v>910</v>
      </c>
      <c r="D2918" s="2" t="str">
        <f>IFERROR(__xludf.DUMMYFUNCTION("""COMPUTED_VALUE"""),"EX")</f>
        <v>EX</v>
      </c>
      <c r="E2918" s="2" t="str">
        <f>IFERROR(__xludf.DUMMYFUNCTION("""COMPUTED_VALUE"""),"金23")</f>
        <v>金23</v>
      </c>
      <c r="F2918" s="2" t="s">
        <v>8895</v>
      </c>
      <c r="G2918" s="2" t="s">
        <v>8902</v>
      </c>
      <c r="H2918" s="1">
        <v>3.0</v>
      </c>
      <c r="I2918" s="1" t="s">
        <v>10</v>
      </c>
      <c r="J2918" s="1" t="s">
        <v>1435</v>
      </c>
      <c r="K2918" s="2" t="s">
        <v>8903</v>
      </c>
      <c r="L2918" s="11" t="s">
        <v>8904</v>
      </c>
      <c r="M2918" s="2" t="str">
        <f>IFERROR(__xludf.DUMMYFUNCTION("split(split(K2918,""相葉雅紀、"",false),""公式LINE"",false)"),"正宗(相葉雅紀)とコハル(石井萌々果)の生活も軌道に乗ってきた。そんなある日、正宗の母・光代(室井滋)がアパートを訪ねてくる。コハルとの生活を両親に話していなかった正宗は慌てふためく。正宗の勝手な決断を認めようとしない光代だったが…!?　")</f>
        <v>正宗(相葉雅紀)とコハル(石井萌々果)の生活も軌道に乗ってきた。そんなある日、正宗の母・光代(室井滋)がアパートを訪ねてくる。コハルとの生活を両親に話していなかった正宗は慌てふためく。正宗の勝手な決断を認めようとしない光代だったが…!?　</v>
      </c>
      <c r="N2918" s="2"/>
      <c r="O2918" s="2"/>
      <c r="P2918" s="1"/>
      <c r="Q2918" s="1"/>
      <c r="R2918" s="1"/>
      <c r="S2918" s="1"/>
      <c r="T2918" s="1"/>
      <c r="U2918" s="1"/>
      <c r="V2918" s="1"/>
      <c r="W2918" s="1"/>
      <c r="X2918" s="1"/>
      <c r="Y2918" s="1"/>
      <c r="Z2918" s="1"/>
      <c r="AA2918" s="1"/>
      <c r="AB2918" s="1"/>
      <c r="AC2918" s="1"/>
      <c r="AD2918" s="1"/>
      <c r="AE2918" s="1"/>
      <c r="AF2918" s="1"/>
      <c r="AG2918" s="1"/>
      <c r="AH2918" s="1"/>
      <c r="AI2918" s="1"/>
      <c r="AJ2918" s="1"/>
      <c r="AK2918" s="1"/>
      <c r="AL2918" s="1"/>
      <c r="AM2918" s="1"/>
      <c r="AN2918" s="1"/>
      <c r="AO2918" s="1"/>
      <c r="AP2918" s="1"/>
      <c r="AQ2918" s="1"/>
      <c r="AR2918" s="1"/>
      <c r="AS2918" s="1"/>
      <c r="AT2918" s="1"/>
      <c r="AU2918" s="1"/>
      <c r="AV2918" s="1"/>
      <c r="AW2918" s="1"/>
      <c r="AX2918" s="1"/>
      <c r="AY2918" s="1"/>
      <c r="AZ2918" s="1"/>
      <c r="BA2918" s="1"/>
      <c r="BB2918" s="1"/>
    </row>
    <row r="2919" ht="204.75" customHeight="1">
      <c r="A2919" s="1">
        <v>5057.0</v>
      </c>
      <c r="B2919" s="2" t="s">
        <v>8894</v>
      </c>
      <c r="C2919" s="2">
        <f>IFERROR(__xludf.DUMMYFUNCTION("split(B2919,""_"")"),910.0)</f>
        <v>910</v>
      </c>
      <c r="D2919" s="2" t="str">
        <f>IFERROR(__xludf.DUMMYFUNCTION("""COMPUTED_VALUE"""),"EX")</f>
        <v>EX</v>
      </c>
      <c r="E2919" s="2" t="str">
        <f>IFERROR(__xludf.DUMMYFUNCTION("""COMPUTED_VALUE"""),"金23")</f>
        <v>金23</v>
      </c>
      <c r="F2919" s="2" t="s">
        <v>8895</v>
      </c>
      <c r="G2919" s="2" t="s">
        <v>8905</v>
      </c>
      <c r="H2919" s="1">
        <v>4.0</v>
      </c>
      <c r="I2919" s="1" t="s">
        <v>14</v>
      </c>
      <c r="J2919" s="1" t="s">
        <v>1435</v>
      </c>
      <c r="K2919" s="2" t="s">
        <v>8906</v>
      </c>
      <c r="L2919" s="11" t="s">
        <v>8907</v>
      </c>
      <c r="M2919" s="2" t="str">
        <f>IFERROR(__xludf.DUMMYFUNCTION("split(split(K2919,""相葉雅紀、"",false),""公式LINE"",false)"),"正宗(相葉雅紀)とコハル(石井萌々果)の生活はなんとか軌道に乗り始めた。だが保育士の友哉(村上信五)には父親の自覚を促されてしまう。そんなある日、友哉の不注意からコハルに怪我をさせてしまう。友哉の様子がおかしいと感じた正宗は…。いつも明るく子ども思いの友哉の知られざる過去とは?!　")</f>
        <v>正宗(相葉雅紀)とコハル(石井萌々果)の生活はなんとか軌道に乗り始めた。だが保育士の友哉(村上信五)には父親の自覚を促されてしまう。そんなある日、友哉の不注意からコハルに怪我をさせてしまう。友哉の様子がおかしいと感じた正宗は…。いつも明るく子ども思いの友哉の知られざる過去とは?!　</v>
      </c>
      <c r="N2919" s="2"/>
      <c r="O2919" s="2"/>
      <c r="P2919" s="1"/>
      <c r="Q2919" s="1"/>
      <c r="R2919" s="1"/>
      <c r="S2919" s="1"/>
      <c r="T2919" s="1"/>
      <c r="U2919" s="1"/>
      <c r="V2919" s="1"/>
      <c r="W2919" s="1"/>
      <c r="X2919" s="1"/>
      <c r="Y2919" s="1"/>
      <c r="Z2919" s="1"/>
      <c r="AA2919" s="1"/>
      <c r="AB2919" s="1"/>
      <c r="AC2919" s="1"/>
      <c r="AD2919" s="1"/>
      <c r="AE2919" s="1"/>
      <c r="AF2919" s="1"/>
      <c r="AG2919" s="1"/>
      <c r="AH2919" s="1"/>
      <c r="AI2919" s="1"/>
      <c r="AJ2919" s="1"/>
      <c r="AK2919" s="1"/>
      <c r="AL2919" s="1"/>
      <c r="AM2919" s="1"/>
      <c r="AN2919" s="1"/>
      <c r="AO2919" s="1"/>
      <c r="AP2919" s="1"/>
      <c r="AQ2919" s="1"/>
      <c r="AR2919" s="1"/>
      <c r="AS2919" s="1"/>
      <c r="AT2919" s="1"/>
      <c r="AU2919" s="1"/>
      <c r="AV2919" s="1"/>
      <c r="AW2919" s="1"/>
      <c r="AX2919" s="1"/>
      <c r="AY2919" s="1"/>
      <c r="AZ2919" s="1"/>
      <c r="BA2919" s="1"/>
      <c r="BB2919" s="1"/>
    </row>
    <row r="2920" ht="204.75" customHeight="1">
      <c r="A2920" s="1">
        <v>5058.0</v>
      </c>
      <c r="B2920" s="2" t="s">
        <v>8894</v>
      </c>
      <c r="C2920" s="2">
        <f>IFERROR(__xludf.DUMMYFUNCTION("split(B2920,""_"")"),910.0)</f>
        <v>910</v>
      </c>
      <c r="D2920" s="2" t="str">
        <f>IFERROR(__xludf.DUMMYFUNCTION("""COMPUTED_VALUE"""),"EX")</f>
        <v>EX</v>
      </c>
      <c r="E2920" s="2" t="str">
        <f>IFERROR(__xludf.DUMMYFUNCTION("""COMPUTED_VALUE"""),"金23")</f>
        <v>金23</v>
      </c>
      <c r="F2920" s="2" t="s">
        <v>8895</v>
      </c>
      <c r="G2920" s="2" t="s">
        <v>8908</v>
      </c>
      <c r="H2920" s="1">
        <v>5.0</v>
      </c>
      <c r="I2920" s="1" t="s">
        <v>17</v>
      </c>
      <c r="J2920" s="1" t="s">
        <v>1435</v>
      </c>
      <c r="K2920" s="2" t="s">
        <v>8909</v>
      </c>
      <c r="L2920" s="11" t="s">
        <v>8910</v>
      </c>
      <c r="M2920" s="2" t="str">
        <f>IFERROR(__xludf.DUMMYFUNCTION("split(split(K2920,""相葉雅紀、"",false),""公式LINE"",false)"),"日々の生活に追われ、プロのカメラマンとしての勉強がなかなか進まないことに焦る正宗(相葉雅紀)。一方でそんな様子をコハル(石井萌々果)に察知されて、ふたりの間にはぎくしゃくした空気が…。そんな中、上司の林(北村有起哉)の妻・ユカリ(鈴木砂羽)が会社を訪ねてきて…!?　")</f>
        <v>日々の生活に追われ、プロのカメラマンとしての勉強がなかなか進まないことに焦る正宗(相葉雅紀)。一方でそんな様子をコハル(石井萌々果)に察知されて、ふたりの間にはぎくしゃくした空気が…。そんな中、上司の林(北村有起哉)の妻・ユカリ(鈴木砂羽)が会社を訪ねてきて…!?　</v>
      </c>
      <c r="N2920" s="2"/>
      <c r="O2920" s="2"/>
      <c r="P2920" s="1"/>
      <c r="Q2920" s="1"/>
      <c r="R2920" s="1"/>
      <c r="S2920" s="1"/>
      <c r="T2920" s="1"/>
      <c r="U2920" s="1"/>
      <c r="V2920" s="1"/>
      <c r="W2920" s="1"/>
      <c r="X2920" s="1"/>
      <c r="Y2920" s="1"/>
      <c r="Z2920" s="1"/>
      <c r="AA2920" s="1"/>
      <c r="AB2920" s="1"/>
      <c r="AC2920" s="1"/>
      <c r="AD2920" s="1"/>
      <c r="AE2920" s="1"/>
      <c r="AF2920" s="1"/>
      <c r="AG2920" s="1"/>
      <c r="AH2920" s="1"/>
      <c r="AI2920" s="1"/>
      <c r="AJ2920" s="1"/>
      <c r="AK2920" s="1"/>
      <c r="AL2920" s="1"/>
      <c r="AM2920" s="1"/>
      <c r="AN2920" s="1"/>
      <c r="AO2920" s="1"/>
      <c r="AP2920" s="1"/>
      <c r="AQ2920" s="1"/>
      <c r="AR2920" s="1"/>
      <c r="AS2920" s="1"/>
      <c r="AT2920" s="1"/>
      <c r="AU2920" s="1"/>
      <c r="AV2920" s="1"/>
      <c r="AW2920" s="1"/>
      <c r="AX2920" s="1"/>
      <c r="AY2920" s="1"/>
      <c r="AZ2920" s="1"/>
      <c r="BA2920" s="1"/>
      <c r="BB2920" s="1"/>
    </row>
    <row r="2921" ht="204.75" customHeight="1">
      <c r="A2921" s="1">
        <v>5059.0</v>
      </c>
      <c r="B2921" s="2" t="s">
        <v>8894</v>
      </c>
      <c r="C2921" s="2">
        <f>IFERROR(__xludf.DUMMYFUNCTION("split(B2921,""_"")"),910.0)</f>
        <v>910</v>
      </c>
      <c r="D2921" s="2" t="str">
        <f>IFERROR(__xludf.DUMMYFUNCTION("""COMPUTED_VALUE"""),"EX")</f>
        <v>EX</v>
      </c>
      <c r="E2921" s="2" t="str">
        <f>IFERROR(__xludf.DUMMYFUNCTION("""COMPUTED_VALUE"""),"金23")</f>
        <v>金23</v>
      </c>
      <c r="F2921" s="2" t="s">
        <v>8895</v>
      </c>
      <c r="G2921" s="2" t="s">
        <v>8911</v>
      </c>
      <c r="H2921" s="1">
        <v>6.0</v>
      </c>
      <c r="I2921" s="1" t="s">
        <v>21</v>
      </c>
      <c r="J2921" s="1" t="s">
        <v>1435</v>
      </c>
      <c r="K2921" s="2" t="s">
        <v>8912</v>
      </c>
      <c r="L2921" s="11" t="s">
        <v>8913</v>
      </c>
      <c r="M2921" s="2" t="str">
        <f>IFERROR(__xludf.DUMMYFUNCTION("split(split(K2921,""相葉雅紀、"",false),""公式LINE"",false)"),"高志(山崎樹範)が高校時代に片想いをしていた菜摘(市川由衣)が結婚することを知る。祝福しようとしたが菜摘の結婚相手には別の女性がいるようで…?一方、正宗(相葉雅紀)はコハル(石井萌々果)に相撲大会への出場をせがまれるものの断ってしまう。何もかもから逃げている自分に気づき…。　")</f>
        <v>高志(山崎樹範)が高校時代に片想いをしていた菜摘(市川由衣)が結婚することを知る。祝福しようとしたが菜摘の結婚相手には別の女性がいるようで…?一方、正宗(相葉雅紀)はコハル(石井萌々果)に相撲大会への出場をせがまれるものの断ってしまう。何もかもから逃げている自分に気づき…。　</v>
      </c>
      <c r="N2921" s="2"/>
      <c r="O2921" s="2"/>
      <c r="P2921" s="1"/>
      <c r="Q2921" s="1"/>
      <c r="R2921" s="1"/>
      <c r="S2921" s="1"/>
      <c r="T2921" s="1"/>
      <c r="U2921" s="1"/>
      <c r="V2921" s="1"/>
      <c r="W2921" s="1"/>
      <c r="X2921" s="1"/>
      <c r="Y2921" s="1"/>
      <c r="Z2921" s="1"/>
      <c r="AA2921" s="1"/>
      <c r="AB2921" s="1"/>
      <c r="AC2921" s="1"/>
      <c r="AD2921" s="1"/>
      <c r="AE2921" s="1"/>
      <c r="AF2921" s="1"/>
      <c r="AG2921" s="1"/>
      <c r="AH2921" s="1"/>
      <c r="AI2921" s="1"/>
      <c r="AJ2921" s="1"/>
      <c r="AK2921" s="1"/>
      <c r="AL2921" s="1"/>
      <c r="AM2921" s="1"/>
      <c r="AN2921" s="1"/>
      <c r="AO2921" s="1"/>
      <c r="AP2921" s="1"/>
      <c r="AQ2921" s="1"/>
      <c r="AR2921" s="1"/>
      <c r="AS2921" s="1"/>
      <c r="AT2921" s="1"/>
      <c r="AU2921" s="1"/>
      <c r="AV2921" s="1"/>
      <c r="AW2921" s="1"/>
      <c r="AX2921" s="1"/>
      <c r="AY2921" s="1"/>
      <c r="AZ2921" s="1"/>
      <c r="BA2921" s="1"/>
      <c r="BB2921" s="1"/>
    </row>
    <row r="2922" ht="204.75" customHeight="1">
      <c r="A2922" s="1">
        <v>5060.0</v>
      </c>
      <c r="B2922" s="2" t="s">
        <v>8894</v>
      </c>
      <c r="C2922" s="2">
        <f>IFERROR(__xludf.DUMMYFUNCTION("split(B2922,""_"")"),910.0)</f>
        <v>910</v>
      </c>
      <c r="D2922" s="2" t="str">
        <f>IFERROR(__xludf.DUMMYFUNCTION("""COMPUTED_VALUE"""),"EX")</f>
        <v>EX</v>
      </c>
      <c r="E2922" s="2" t="str">
        <f>IFERROR(__xludf.DUMMYFUNCTION("""COMPUTED_VALUE"""),"金23")</f>
        <v>金23</v>
      </c>
      <c r="F2922" s="2" t="s">
        <v>8895</v>
      </c>
      <c r="G2922" s="2" t="s">
        <v>8914</v>
      </c>
      <c r="H2922" s="1">
        <v>7.0</v>
      </c>
      <c r="I2922" s="1" t="s">
        <v>25</v>
      </c>
      <c r="J2922" s="1" t="s">
        <v>1435</v>
      </c>
      <c r="K2922" s="2" t="s">
        <v>8915</v>
      </c>
      <c r="L2922" s="11" t="s">
        <v>8916</v>
      </c>
      <c r="M2922" s="2" t="str">
        <f>IFERROR(__xludf.DUMMYFUNCTION("split(split(K2922,""相葉雅紀、"",false),""公式LINE"",false)"),"はるか(平岩紙)が勤める会社が倒産。シングルマザーとして新太を育てるはるかは再就職先探しに奔走する。一方、正宗(相葉雅紀)は陽子(優香)の母・志織(朝加真由美)から「いずれは自分の幸せのことも考えて」と言われる。いつまでも陽子のことを忘れられない正宗はその言葉の意味を考え…　")</f>
        <v>はるか(平岩紙)が勤める会社が倒産。シングルマザーとして新太を育てるはるかは再就職先探しに奔走する。一方、正宗(相葉雅紀)は陽子(優香)の母・志織(朝加真由美)から「いずれは自分の幸せのことも考えて」と言われる。いつまでも陽子のことを忘れられない正宗はその言葉の意味を考え…　</v>
      </c>
      <c r="N2922" s="2"/>
      <c r="O2922" s="2"/>
      <c r="P2922" s="1"/>
      <c r="Q2922" s="1"/>
      <c r="R2922" s="1"/>
      <c r="S2922" s="1"/>
      <c r="T2922" s="1"/>
      <c r="U2922" s="1"/>
      <c r="V2922" s="1"/>
      <c r="W2922" s="1"/>
      <c r="X2922" s="1"/>
      <c r="Y2922" s="1"/>
      <c r="Z2922" s="1"/>
      <c r="AA2922" s="1"/>
      <c r="AB2922" s="1"/>
      <c r="AC2922" s="1"/>
      <c r="AD2922" s="1"/>
      <c r="AE2922" s="1"/>
      <c r="AF2922" s="1"/>
      <c r="AG2922" s="1"/>
      <c r="AH2922" s="1"/>
      <c r="AI2922" s="1"/>
      <c r="AJ2922" s="1"/>
      <c r="AK2922" s="1"/>
      <c r="AL2922" s="1"/>
      <c r="AM2922" s="1"/>
      <c r="AN2922" s="1"/>
      <c r="AO2922" s="1"/>
      <c r="AP2922" s="1"/>
      <c r="AQ2922" s="1"/>
      <c r="AR2922" s="1"/>
      <c r="AS2922" s="1"/>
      <c r="AT2922" s="1"/>
      <c r="AU2922" s="1"/>
      <c r="AV2922" s="1"/>
      <c r="AW2922" s="1"/>
      <c r="AX2922" s="1"/>
      <c r="AY2922" s="1"/>
      <c r="AZ2922" s="1"/>
      <c r="BA2922" s="1"/>
      <c r="BB2922" s="1"/>
    </row>
    <row r="2923" ht="204.75" customHeight="1">
      <c r="A2923" s="1">
        <v>5061.0</v>
      </c>
      <c r="B2923" s="2" t="s">
        <v>8894</v>
      </c>
      <c r="C2923" s="2">
        <f>IFERROR(__xludf.DUMMYFUNCTION("split(B2923,""_"")"),910.0)</f>
        <v>910</v>
      </c>
      <c r="D2923" s="2" t="str">
        <f>IFERROR(__xludf.DUMMYFUNCTION("""COMPUTED_VALUE"""),"EX")</f>
        <v>EX</v>
      </c>
      <c r="E2923" s="2" t="str">
        <f>IFERROR(__xludf.DUMMYFUNCTION("""COMPUTED_VALUE"""),"金23")</f>
        <v>金23</v>
      </c>
      <c r="F2923" s="2" t="s">
        <v>8895</v>
      </c>
      <c r="G2923" s="2" t="s">
        <v>8917</v>
      </c>
      <c r="H2923" s="1">
        <v>8.0</v>
      </c>
      <c r="I2923" s="1" t="s">
        <v>29</v>
      </c>
      <c r="J2923" s="1" t="s">
        <v>1435</v>
      </c>
      <c r="K2923" s="2" t="s">
        <v>8918</v>
      </c>
      <c r="L2923" s="11" t="s">
        <v>8919</v>
      </c>
      <c r="M2923" s="2" t="str">
        <f>IFERROR(__xludf.DUMMYFUNCTION("split(split(K2923,""相葉雅紀、"",false),""公式LINE"",false)"),"断絶状態の正宗(相葉雅紀)と母の光代(室井滋)。コハルはお遊戯会で主役の座を射止めた。そんな矢先、親友の佳奈とケンカをしてしまう。ケンカの理由を聞いても答えないコハルに正宗は困惑。さらに保育園への登園を拒否!仕事を休めない正宗はやむを得ず光代に来てもらうことに…。　")</f>
        <v>断絶状態の正宗(相葉雅紀)と母の光代(室井滋)。コハルはお遊戯会で主役の座を射止めた。そんな矢先、親友の佳奈とケンカをしてしまう。ケンカの理由を聞いても答えないコハルに正宗は困惑。さらに保育園への登園を拒否!仕事を休めない正宗はやむを得ず光代に来てもらうことに…。　</v>
      </c>
      <c r="N2923" s="2"/>
      <c r="O2923" s="2"/>
      <c r="P2923" s="1"/>
      <c r="Q2923" s="1"/>
      <c r="R2923" s="1"/>
      <c r="S2923" s="1"/>
      <c r="T2923" s="1"/>
      <c r="U2923" s="1"/>
      <c r="V2923" s="1"/>
      <c r="W2923" s="1"/>
      <c r="X2923" s="1"/>
      <c r="Y2923" s="1"/>
      <c r="Z2923" s="1"/>
      <c r="AA2923" s="1"/>
      <c r="AB2923" s="1"/>
      <c r="AC2923" s="1"/>
      <c r="AD2923" s="1"/>
      <c r="AE2923" s="1"/>
      <c r="AF2923" s="1"/>
      <c r="AG2923" s="1"/>
      <c r="AH2923" s="1"/>
      <c r="AI2923" s="1"/>
      <c r="AJ2923" s="1"/>
      <c r="AK2923" s="1"/>
      <c r="AL2923" s="1"/>
      <c r="AM2923" s="1"/>
      <c r="AN2923" s="1"/>
      <c r="AO2923" s="1"/>
      <c r="AP2923" s="1"/>
      <c r="AQ2923" s="1"/>
      <c r="AR2923" s="1"/>
      <c r="AS2923" s="1"/>
      <c r="AT2923" s="1"/>
      <c r="AU2923" s="1"/>
      <c r="AV2923" s="1"/>
      <c r="AW2923" s="1"/>
      <c r="AX2923" s="1"/>
      <c r="AY2923" s="1"/>
      <c r="AZ2923" s="1"/>
      <c r="BA2923" s="1"/>
      <c r="BB2923" s="1"/>
    </row>
    <row r="2924" ht="204.75" customHeight="1">
      <c r="A2924" s="1">
        <v>5062.0</v>
      </c>
      <c r="B2924" s="2" t="s">
        <v>8894</v>
      </c>
      <c r="C2924" s="2">
        <f>IFERROR(__xludf.DUMMYFUNCTION("split(B2924,""_"")"),910.0)</f>
        <v>910</v>
      </c>
      <c r="D2924" s="2" t="str">
        <f>IFERROR(__xludf.DUMMYFUNCTION("""COMPUTED_VALUE"""),"EX")</f>
        <v>EX</v>
      </c>
      <c r="E2924" s="2" t="str">
        <f>IFERROR(__xludf.DUMMYFUNCTION("""COMPUTED_VALUE"""),"金23")</f>
        <v>金23</v>
      </c>
      <c r="F2924" s="2" t="s">
        <v>8895</v>
      </c>
      <c r="G2924" s="2" t="s">
        <v>8920</v>
      </c>
      <c r="H2924" s="1">
        <v>9.0</v>
      </c>
      <c r="I2924" s="1" t="s">
        <v>33</v>
      </c>
      <c r="J2924" s="1" t="s">
        <v>1435</v>
      </c>
      <c r="K2924" s="2" t="s">
        <v>8921</v>
      </c>
      <c r="L2924" s="11" t="s">
        <v>8922</v>
      </c>
      <c r="M2924" s="2" t="str">
        <f>IFERROR(__xludf.DUMMYFUNCTION("split(split(K2924,""相葉雅紀、"",false),""公式LINE"",false)"),"正宗(相葉雅紀)は本格的にカメラマンへの道を考え始める。そんな中、正宗はコハル(石井萌々果)とともに陽子(優香)が生まれ育った街へ。陽子の幼い頃の写真を見たコハルは「ママと同じ小学校に行きたい」と言い始める。自分の夢とコハルの将来との間で悩む正宗だったが…。　")</f>
        <v>正宗(相葉雅紀)は本格的にカメラマンへの道を考え始める。そんな中、正宗はコハル(石井萌々果)とともに陽子(優香)が生まれ育った街へ。陽子の幼い頃の写真を見たコハルは「ママと同じ小学校に行きたい」と言い始める。自分の夢とコハルの将来との間で悩む正宗だったが…。　</v>
      </c>
      <c r="N2924" s="2"/>
      <c r="O2924" s="2"/>
      <c r="P2924" s="1"/>
      <c r="Q2924" s="1"/>
      <c r="R2924" s="1"/>
      <c r="S2924" s="1"/>
      <c r="T2924" s="1"/>
      <c r="U2924" s="1"/>
      <c r="V2924" s="1"/>
      <c r="W2924" s="1"/>
      <c r="X2924" s="1"/>
      <c r="Y2924" s="1"/>
      <c r="Z2924" s="1"/>
      <c r="AA2924" s="1"/>
      <c r="AB2924" s="1"/>
      <c r="AC2924" s="1"/>
      <c r="AD2924" s="1"/>
      <c r="AE2924" s="1"/>
      <c r="AF2924" s="1"/>
      <c r="AG2924" s="1"/>
      <c r="AH2924" s="1"/>
      <c r="AI2924" s="1"/>
      <c r="AJ2924" s="1"/>
      <c r="AK2924" s="1"/>
      <c r="AL2924" s="1"/>
      <c r="AM2924" s="1"/>
      <c r="AN2924" s="1"/>
      <c r="AO2924" s="1"/>
      <c r="AP2924" s="1"/>
      <c r="AQ2924" s="1"/>
      <c r="AR2924" s="1"/>
      <c r="AS2924" s="1"/>
      <c r="AT2924" s="1"/>
      <c r="AU2924" s="1"/>
      <c r="AV2924" s="1"/>
      <c r="AW2924" s="1"/>
      <c r="AX2924" s="1"/>
      <c r="AY2924" s="1"/>
      <c r="AZ2924" s="1"/>
      <c r="BA2924" s="1"/>
      <c r="BB2924" s="1"/>
    </row>
    <row r="2925" ht="204.75" customHeight="1">
      <c r="A2925" s="1">
        <v>5063.0</v>
      </c>
      <c r="B2925" s="2" t="s">
        <v>8894</v>
      </c>
      <c r="C2925" s="2">
        <f>IFERROR(__xludf.DUMMYFUNCTION("split(B2925,""_"")"),910.0)</f>
        <v>910</v>
      </c>
      <c r="D2925" s="2" t="str">
        <f>IFERROR(__xludf.DUMMYFUNCTION("""COMPUTED_VALUE"""),"EX")</f>
        <v>EX</v>
      </c>
      <c r="E2925" s="2" t="str">
        <f>IFERROR(__xludf.DUMMYFUNCTION("""COMPUTED_VALUE"""),"金23")</f>
        <v>金23</v>
      </c>
      <c r="F2925" s="2" t="s">
        <v>8895</v>
      </c>
      <c r="G2925" s="2" t="s">
        <v>8923</v>
      </c>
      <c r="H2925" s="1">
        <v>10.0</v>
      </c>
      <c r="I2925" s="1" t="s">
        <v>37</v>
      </c>
      <c r="J2925" s="1" t="s">
        <v>1435</v>
      </c>
      <c r="K2925" s="2" t="s">
        <v>8924</v>
      </c>
      <c r="L2925" s="11" t="s">
        <v>8925</v>
      </c>
      <c r="M2925" s="2" t="str">
        <f>IFERROR(__xludf.DUMMYFUNCTION("split(split(K2925,""相葉雅紀、"",false),""公式LINE"",false)"),"カメラマンになる夢を諦め、コハル(石井萌々果)とともに静岡に行くことを決めた正宗(相葉雅紀)。自分のために夢を諦めたと思ったコハルは「正宗くんと静岡には行きません」と言い出す。また、正宗にもカメラアシスタントとしてのチャンスが訪れ。再び自分の夢と向き合った正宗が最後に出す結論とは…　")</f>
        <v>カメラマンになる夢を諦め、コハル(石井萌々果)とともに静岡に行くことを決めた正宗(相葉雅紀)。自分のために夢を諦めたと思ったコハルは「正宗くんと静岡には行きません」と言い出す。また、正宗にもカメラアシスタントとしてのチャンスが訪れ。再び自分の夢と向き合った正宗が最後に出す結論とは…　</v>
      </c>
      <c r="N2925" s="2"/>
      <c r="O2925" s="2"/>
      <c r="P2925" s="1"/>
      <c r="Q2925" s="1"/>
      <c r="R2925" s="1"/>
      <c r="S2925" s="1"/>
      <c r="T2925" s="1"/>
      <c r="U2925" s="1"/>
      <c r="V2925" s="1"/>
      <c r="W2925" s="1"/>
      <c r="X2925" s="1"/>
      <c r="Y2925" s="1"/>
      <c r="Z2925" s="1"/>
      <c r="AA2925" s="1"/>
      <c r="AB2925" s="1"/>
      <c r="AC2925" s="1"/>
      <c r="AD2925" s="1"/>
      <c r="AE2925" s="1"/>
      <c r="AF2925" s="1"/>
      <c r="AG2925" s="1"/>
      <c r="AH2925" s="1"/>
      <c r="AI2925" s="1"/>
      <c r="AJ2925" s="1"/>
      <c r="AK2925" s="1"/>
      <c r="AL2925" s="1"/>
      <c r="AM2925" s="1"/>
      <c r="AN2925" s="1"/>
      <c r="AO2925" s="1"/>
      <c r="AP2925" s="1"/>
      <c r="AQ2925" s="1"/>
      <c r="AR2925" s="1"/>
      <c r="AS2925" s="1"/>
      <c r="AT2925" s="1"/>
      <c r="AU2925" s="1"/>
      <c r="AV2925" s="1"/>
      <c r="AW2925" s="1"/>
      <c r="AX2925" s="1"/>
      <c r="AY2925" s="1"/>
      <c r="AZ2925" s="1"/>
      <c r="BA2925" s="1"/>
      <c r="BB2925" s="1"/>
    </row>
    <row r="2926" ht="204.75" customHeight="1">
      <c r="A2926" s="1">
        <v>5132.0</v>
      </c>
      <c r="B2926" s="2" t="s">
        <v>8926</v>
      </c>
      <c r="C2926" s="2">
        <f>IFERROR(__xludf.DUMMYFUNCTION("split(B2926,""_"")"),907.0)</f>
        <v>907</v>
      </c>
      <c r="D2926" s="2" t="str">
        <f>IFERROR(__xludf.DUMMYFUNCTION("""COMPUTED_VALUE"""),"EX")</f>
        <v>EX</v>
      </c>
      <c r="E2926" s="2" t="str">
        <f>IFERROR(__xludf.DUMMYFUNCTION("""COMPUTED_VALUE"""),"木21")</f>
        <v>木21</v>
      </c>
      <c r="F2926" s="2" t="s">
        <v>8927</v>
      </c>
      <c r="G2926" s="2" t="s">
        <v>8928</v>
      </c>
      <c r="H2926" s="1">
        <v>1.0</v>
      </c>
      <c r="I2926" s="1" t="s">
        <v>3</v>
      </c>
      <c r="J2926" s="1" t="s">
        <v>11</v>
      </c>
      <c r="K2926" s="4" t="s">
        <v>8929</v>
      </c>
      <c r="L2926" s="11" t="s">
        <v>8930</v>
      </c>
      <c r="M2926" s="2" t="str">
        <f>IFERROR(__xludf.DUMMYFUNCTION("split(split(K2926,""舘ひろし、"",false),""公式LINE"",false)"),"恋愛のカリスマと言われる人気恋愛小説家・伊崎龍之介には、プライベートに別の顔があった・・・それは大切なひとり娘への突き抜けた愛情。世の中には自由な恋愛を説きながら、自分の娘の恋愛は絶対反対!主人公・伊崎龍之介が抱える大いなる矛盾が、とんでもない事件を引き起こす!　")</f>
        <v>恋愛のカリスマと言われる人気恋愛小説家・伊崎龍之介には、プライベートに別の顔があった・・・それは大切なひとり娘への突き抜けた愛情。世の中には自由な恋愛を説きながら、自分の娘の恋愛は絶対反対!主人公・伊崎龍之介が抱える大いなる矛盾が、とんでもない事件を引き起こす!　</v>
      </c>
      <c r="N2926" s="2"/>
      <c r="O2926" s="2"/>
      <c r="P2926" s="1"/>
      <c r="Q2926" s="1"/>
      <c r="R2926" s="1"/>
      <c r="S2926" s="1"/>
      <c r="T2926" s="1"/>
      <c r="U2926" s="1"/>
      <c r="V2926" s="1"/>
      <c r="W2926" s="1"/>
      <c r="X2926" s="1"/>
      <c r="Y2926" s="1"/>
      <c r="Z2926" s="1"/>
      <c r="AA2926" s="1"/>
      <c r="AB2926" s="1"/>
      <c r="AC2926" s="1"/>
      <c r="AD2926" s="1"/>
      <c r="AE2926" s="1"/>
      <c r="AF2926" s="1"/>
      <c r="AG2926" s="1"/>
      <c r="AH2926" s="1"/>
      <c r="AI2926" s="1"/>
      <c r="AJ2926" s="1"/>
      <c r="AK2926" s="1"/>
      <c r="AL2926" s="1"/>
      <c r="AM2926" s="1"/>
      <c r="AN2926" s="1"/>
      <c r="AO2926" s="1"/>
      <c r="AP2926" s="1"/>
      <c r="AQ2926" s="1"/>
      <c r="AR2926" s="1"/>
      <c r="AS2926" s="1"/>
      <c r="AT2926" s="1"/>
      <c r="AU2926" s="1"/>
      <c r="AV2926" s="1"/>
      <c r="AW2926" s="1"/>
      <c r="AX2926" s="1"/>
      <c r="AY2926" s="1"/>
      <c r="AZ2926" s="1"/>
      <c r="BA2926" s="1"/>
      <c r="BB2926" s="1"/>
    </row>
    <row r="2927" ht="204.75" customHeight="1">
      <c r="A2927" s="1">
        <v>5133.0</v>
      </c>
      <c r="B2927" s="2" t="s">
        <v>8926</v>
      </c>
      <c r="C2927" s="2">
        <f>IFERROR(__xludf.DUMMYFUNCTION("split(B2927,""_"")"),907.0)</f>
        <v>907</v>
      </c>
      <c r="D2927" s="2" t="str">
        <f>IFERROR(__xludf.DUMMYFUNCTION("""COMPUTED_VALUE"""),"EX")</f>
        <v>EX</v>
      </c>
      <c r="E2927" s="2" t="str">
        <f>IFERROR(__xludf.DUMMYFUNCTION("""COMPUTED_VALUE"""),"木21")</f>
        <v>木21</v>
      </c>
      <c r="F2927" s="2" t="s">
        <v>8927</v>
      </c>
      <c r="G2927" s="2" t="s">
        <v>8931</v>
      </c>
      <c r="H2927" s="1">
        <v>2.0</v>
      </c>
      <c r="I2927" s="1" t="s">
        <v>7</v>
      </c>
      <c r="J2927" s="1" t="s">
        <v>11</v>
      </c>
      <c r="K2927" s="2" t="s">
        <v>8932</v>
      </c>
      <c r="L2927" s="11" t="s">
        <v>8933</v>
      </c>
      <c r="M2927" s="2" t="str">
        <f>IFERROR(__xludf.DUMMYFUNCTION("split(split(K2927,""舘ひろし、"",false),""公式LINE"",false)"),"恋愛のカリスマと言われる人気恋愛小説家・伊崎龍之介には、プライベートに別の顔があった・・・それは大切なひとり娘への突き抜けた愛情。世の中には自由な恋愛を説きながら、自分の娘の恋愛は絶対反対!　")</f>
        <v>恋愛のカリスマと言われる人気恋愛小説家・伊崎龍之介には、プライベートに別の顔があった・・・それは大切なひとり娘への突き抜けた愛情。世の中には自由な恋愛を説きながら、自分の娘の恋愛は絶対反対!　</v>
      </c>
      <c r="N2927" s="2"/>
      <c r="O2927" s="2"/>
      <c r="P2927" s="1"/>
      <c r="Q2927" s="1"/>
      <c r="R2927" s="1"/>
      <c r="S2927" s="1"/>
      <c r="T2927" s="1"/>
      <c r="U2927" s="1"/>
      <c r="V2927" s="1"/>
      <c r="W2927" s="1"/>
      <c r="X2927" s="1"/>
      <c r="Y2927" s="1"/>
      <c r="Z2927" s="1"/>
      <c r="AA2927" s="1"/>
      <c r="AB2927" s="1"/>
      <c r="AC2927" s="1"/>
      <c r="AD2927" s="1"/>
      <c r="AE2927" s="1"/>
      <c r="AF2927" s="1"/>
      <c r="AG2927" s="1"/>
      <c r="AH2927" s="1"/>
      <c r="AI2927" s="1"/>
      <c r="AJ2927" s="1"/>
      <c r="AK2927" s="1"/>
      <c r="AL2927" s="1"/>
      <c r="AM2927" s="1"/>
      <c r="AN2927" s="1"/>
      <c r="AO2927" s="1"/>
      <c r="AP2927" s="1"/>
      <c r="AQ2927" s="1"/>
      <c r="AR2927" s="1"/>
      <c r="AS2927" s="1"/>
      <c r="AT2927" s="1"/>
      <c r="AU2927" s="1"/>
      <c r="AV2927" s="1"/>
      <c r="AW2927" s="1"/>
      <c r="AX2927" s="1"/>
      <c r="AY2927" s="1"/>
      <c r="AZ2927" s="1"/>
      <c r="BA2927" s="1"/>
      <c r="BB2927" s="1"/>
    </row>
    <row r="2928" ht="204.75" customHeight="1">
      <c r="A2928" s="1">
        <v>5134.0</v>
      </c>
      <c r="B2928" s="2" t="s">
        <v>8926</v>
      </c>
      <c r="C2928" s="2">
        <f>IFERROR(__xludf.DUMMYFUNCTION("split(B2928,""_"")"),907.0)</f>
        <v>907</v>
      </c>
      <c r="D2928" s="2" t="str">
        <f>IFERROR(__xludf.DUMMYFUNCTION("""COMPUTED_VALUE"""),"EX")</f>
        <v>EX</v>
      </c>
      <c r="E2928" s="2" t="str">
        <f>IFERROR(__xludf.DUMMYFUNCTION("""COMPUTED_VALUE"""),"木21")</f>
        <v>木21</v>
      </c>
      <c r="F2928" s="2" t="s">
        <v>8927</v>
      </c>
      <c r="G2928" s="2" t="s">
        <v>8934</v>
      </c>
      <c r="H2928" s="1">
        <v>3.0</v>
      </c>
      <c r="I2928" s="1" t="s">
        <v>10</v>
      </c>
      <c r="J2928" s="1" t="s">
        <v>11</v>
      </c>
      <c r="K2928" s="2" t="s">
        <v>8935</v>
      </c>
      <c r="L2928" s="11" t="s">
        <v>8936</v>
      </c>
      <c r="M2928" s="2" t="str">
        <f>IFERROR(__xludf.DUMMYFUNCTION("split(split(K2928,""舘ひろし、"",false),""公式LINE"",false)"),"娘への心配のあまり、暴走が止まらない伊崎龍之介(舘ひろし)。娘のあかり(南沢奈央)が恋人・悠樹(石黒英雄)と演劇祭で演じる「ロミオとジュリエット」のラブシーンに嫉妬し、自ら脚本を執筆し直すことを申し出る。結果、あかりのクラスメイトを巻き込んで大波乱が!　")</f>
        <v>娘への心配のあまり、暴走が止まらない伊崎龍之介(舘ひろし)。娘のあかり(南沢奈央)が恋人・悠樹(石黒英雄)と演劇祭で演じる「ロミオとジュリエット」のラブシーンに嫉妬し、自ら脚本を執筆し直すことを申し出る。結果、あかりのクラスメイトを巻き込んで大波乱が!　</v>
      </c>
      <c r="N2928" s="2"/>
      <c r="O2928" s="2"/>
      <c r="P2928" s="1"/>
      <c r="Q2928" s="1"/>
      <c r="R2928" s="1"/>
      <c r="S2928" s="1"/>
      <c r="T2928" s="1"/>
      <c r="U2928" s="1"/>
      <c r="V2928" s="1"/>
      <c r="W2928" s="1"/>
      <c r="X2928" s="1"/>
      <c r="Y2928" s="1"/>
      <c r="Z2928" s="1"/>
      <c r="AA2928" s="1"/>
      <c r="AB2928" s="1"/>
      <c r="AC2928" s="1"/>
      <c r="AD2928" s="1"/>
      <c r="AE2928" s="1"/>
      <c r="AF2928" s="1"/>
      <c r="AG2928" s="1"/>
      <c r="AH2928" s="1"/>
      <c r="AI2928" s="1"/>
      <c r="AJ2928" s="1"/>
      <c r="AK2928" s="1"/>
      <c r="AL2928" s="1"/>
      <c r="AM2928" s="1"/>
      <c r="AN2928" s="1"/>
      <c r="AO2928" s="1"/>
      <c r="AP2928" s="1"/>
      <c r="AQ2928" s="1"/>
      <c r="AR2928" s="1"/>
      <c r="AS2928" s="1"/>
      <c r="AT2928" s="1"/>
      <c r="AU2928" s="1"/>
      <c r="AV2928" s="1"/>
      <c r="AW2928" s="1"/>
      <c r="AX2928" s="1"/>
      <c r="AY2928" s="1"/>
      <c r="AZ2928" s="1"/>
      <c r="BA2928" s="1"/>
      <c r="BB2928" s="1"/>
    </row>
    <row r="2929" ht="204.75" customHeight="1">
      <c r="A2929" s="1">
        <v>5135.0</v>
      </c>
      <c r="B2929" s="2" t="s">
        <v>8926</v>
      </c>
      <c r="C2929" s="2">
        <f>IFERROR(__xludf.DUMMYFUNCTION("split(B2929,""_"")"),907.0)</f>
        <v>907</v>
      </c>
      <c r="D2929" s="2" t="str">
        <f>IFERROR(__xludf.DUMMYFUNCTION("""COMPUTED_VALUE"""),"EX")</f>
        <v>EX</v>
      </c>
      <c r="E2929" s="2" t="str">
        <f>IFERROR(__xludf.DUMMYFUNCTION("""COMPUTED_VALUE"""),"木21")</f>
        <v>木21</v>
      </c>
      <c r="F2929" s="2" t="s">
        <v>8927</v>
      </c>
      <c r="G2929" s="2" t="s">
        <v>8937</v>
      </c>
      <c r="H2929" s="1">
        <v>4.0</v>
      </c>
      <c r="I2929" s="1" t="s">
        <v>14</v>
      </c>
      <c r="J2929" s="1" t="s">
        <v>11</v>
      </c>
      <c r="K2929" s="2" t="s">
        <v>8929</v>
      </c>
      <c r="L2929" s="11" t="s">
        <v>8930</v>
      </c>
      <c r="M2929" s="2" t="str">
        <f>IFERROR(__xludf.DUMMYFUNCTION("split(split(K2929,""舘ひろし、"",false),""公式LINE"",false)"),"恋愛のカリスマと言われる人気恋愛小説家・伊崎龍之介には、プライベートに別の顔があった・・・それは大切なひとり娘への突き抜けた愛情。世の中には自由な恋愛を説きながら、自分の娘の恋愛は絶対反対!主人公・伊崎龍之介が抱える大いなる矛盾が、とんでもない事件を引き起こす!　")</f>
        <v>恋愛のカリスマと言われる人気恋愛小説家・伊崎龍之介には、プライベートに別の顔があった・・・それは大切なひとり娘への突き抜けた愛情。世の中には自由な恋愛を説きながら、自分の娘の恋愛は絶対反対!主人公・伊崎龍之介が抱える大いなる矛盾が、とんでもない事件を引き起こす!　</v>
      </c>
      <c r="N2929" s="2"/>
      <c r="O2929" s="2"/>
      <c r="P2929" s="1"/>
      <c r="Q2929" s="1"/>
      <c r="R2929" s="1"/>
      <c r="S2929" s="1"/>
      <c r="T2929" s="1"/>
      <c r="U2929" s="1"/>
      <c r="V2929" s="1"/>
      <c r="W2929" s="1"/>
      <c r="X2929" s="1"/>
      <c r="Y2929" s="1"/>
      <c r="Z2929" s="1"/>
      <c r="AA2929" s="1"/>
      <c r="AB2929" s="1"/>
      <c r="AC2929" s="1"/>
      <c r="AD2929" s="1"/>
      <c r="AE2929" s="1"/>
      <c r="AF2929" s="1"/>
      <c r="AG2929" s="1"/>
      <c r="AH2929" s="1"/>
      <c r="AI2929" s="1"/>
      <c r="AJ2929" s="1"/>
      <c r="AK2929" s="1"/>
      <c r="AL2929" s="1"/>
      <c r="AM2929" s="1"/>
      <c r="AN2929" s="1"/>
      <c r="AO2929" s="1"/>
      <c r="AP2929" s="1"/>
      <c r="AQ2929" s="1"/>
      <c r="AR2929" s="1"/>
      <c r="AS2929" s="1"/>
      <c r="AT2929" s="1"/>
      <c r="AU2929" s="1"/>
      <c r="AV2929" s="1"/>
      <c r="AW2929" s="1"/>
      <c r="AX2929" s="1"/>
      <c r="AY2929" s="1"/>
      <c r="AZ2929" s="1"/>
      <c r="BA2929" s="1"/>
      <c r="BB2929" s="1"/>
    </row>
    <row r="2930" ht="204.75" customHeight="1">
      <c r="A2930" s="1">
        <v>5136.0</v>
      </c>
      <c r="B2930" s="2" t="s">
        <v>8926</v>
      </c>
      <c r="C2930" s="2">
        <f>IFERROR(__xludf.DUMMYFUNCTION("split(B2930,""_"")"),907.0)</f>
        <v>907</v>
      </c>
      <c r="D2930" s="2" t="str">
        <f>IFERROR(__xludf.DUMMYFUNCTION("""COMPUTED_VALUE"""),"EX")</f>
        <v>EX</v>
      </c>
      <c r="E2930" s="2" t="str">
        <f>IFERROR(__xludf.DUMMYFUNCTION("""COMPUTED_VALUE"""),"木21")</f>
        <v>木21</v>
      </c>
      <c r="F2930" s="2" t="s">
        <v>8927</v>
      </c>
      <c r="G2930" s="2" t="s">
        <v>8938</v>
      </c>
      <c r="H2930" s="1">
        <v>5.0</v>
      </c>
      <c r="I2930" s="1" t="s">
        <v>17</v>
      </c>
      <c r="J2930" s="1" t="s">
        <v>11</v>
      </c>
      <c r="K2930" s="2" t="s">
        <v>8939</v>
      </c>
      <c r="L2930" s="11" t="s">
        <v>8940</v>
      </c>
      <c r="M2930" s="2" t="str">
        <f>IFERROR(__xludf.DUMMYFUNCTION("split(split(K2930,""舘ひろし、"",false),""公式LINE"",false)"),"何よりも大切な一人娘・あかり(南沢奈央)が悠樹(石黒英雄)にフラれてしまったことで、龍之介(舘ひろし)にまた新たな心配事ができた。なぜか、あかりが妙に食欲旺盛で明るいのだ。あかりは「立ち直った」と言い張るが・・・　")</f>
        <v>何よりも大切な一人娘・あかり(南沢奈央)が悠樹(石黒英雄)にフラれてしまったことで、龍之介(舘ひろし)にまた新たな心配事ができた。なぜか、あかりが妙に食欲旺盛で明るいのだ。あかりは「立ち直った」と言い張るが・・・　</v>
      </c>
      <c r="N2930" s="2"/>
      <c r="O2930" s="2"/>
      <c r="P2930" s="1"/>
      <c r="Q2930" s="1"/>
      <c r="R2930" s="1"/>
      <c r="S2930" s="1"/>
      <c r="T2930" s="1"/>
      <c r="U2930" s="1"/>
      <c r="V2930" s="1"/>
      <c r="W2930" s="1"/>
      <c r="X2930" s="1"/>
      <c r="Y2930" s="1"/>
      <c r="Z2930" s="1"/>
      <c r="AA2930" s="1"/>
      <c r="AB2930" s="1"/>
      <c r="AC2930" s="1"/>
      <c r="AD2930" s="1"/>
      <c r="AE2930" s="1"/>
      <c r="AF2930" s="1"/>
      <c r="AG2930" s="1"/>
      <c r="AH2930" s="1"/>
      <c r="AI2930" s="1"/>
      <c r="AJ2930" s="1"/>
      <c r="AK2930" s="1"/>
      <c r="AL2930" s="1"/>
      <c r="AM2930" s="1"/>
      <c r="AN2930" s="1"/>
      <c r="AO2930" s="1"/>
      <c r="AP2930" s="1"/>
      <c r="AQ2930" s="1"/>
      <c r="AR2930" s="1"/>
      <c r="AS2930" s="1"/>
      <c r="AT2930" s="1"/>
      <c r="AU2930" s="1"/>
      <c r="AV2930" s="1"/>
      <c r="AW2930" s="1"/>
      <c r="AX2930" s="1"/>
      <c r="AY2930" s="1"/>
      <c r="AZ2930" s="1"/>
      <c r="BA2930" s="1"/>
      <c r="BB2930" s="1"/>
    </row>
    <row r="2931" ht="204.75" customHeight="1">
      <c r="A2931" s="1">
        <v>5137.0</v>
      </c>
      <c r="B2931" s="2" t="s">
        <v>8926</v>
      </c>
      <c r="C2931" s="2">
        <f>IFERROR(__xludf.DUMMYFUNCTION("split(B2931,""_"")"),907.0)</f>
        <v>907</v>
      </c>
      <c r="D2931" s="2" t="str">
        <f>IFERROR(__xludf.DUMMYFUNCTION("""COMPUTED_VALUE"""),"EX")</f>
        <v>EX</v>
      </c>
      <c r="E2931" s="2" t="str">
        <f>IFERROR(__xludf.DUMMYFUNCTION("""COMPUTED_VALUE"""),"木21")</f>
        <v>木21</v>
      </c>
      <c r="F2931" s="2" t="s">
        <v>8927</v>
      </c>
      <c r="G2931" s="2" t="s">
        <v>8941</v>
      </c>
      <c r="H2931" s="1">
        <v>6.0</v>
      </c>
      <c r="I2931" s="1" t="s">
        <v>21</v>
      </c>
      <c r="J2931" s="1" t="s">
        <v>11</v>
      </c>
      <c r="K2931" s="2" t="s">
        <v>8942</v>
      </c>
      <c r="L2931" s="11" t="s">
        <v>8943</v>
      </c>
      <c r="M2931" s="2" t="str">
        <f>IFERROR(__xludf.DUMMYFUNCTION("split(split(K2931,""舘ひろし、"",false),""公式LINE"",false)"),"龍之介(舘ひろし)の協力のおかげで、再び付き合うことになったあかり(南沢奈央)と悠樹(石黒英雄)。ところが、2人にはまだ問題が残っていた。悠樹の父・佐々木泰三(鹿賀丈史)は龍之介と犬猿の仲にある文芸評論家。龍之介はいまだにそのことを知らないのだ。　")</f>
        <v>龍之介(舘ひろし)の協力のおかげで、再び付き合うことになったあかり(南沢奈央)と悠樹(石黒英雄)。ところが、2人にはまだ問題が残っていた。悠樹の父・佐々木泰三(鹿賀丈史)は龍之介と犬猿の仲にある文芸評論家。龍之介はいまだにそのことを知らないのだ。　</v>
      </c>
      <c r="N2931" s="2"/>
      <c r="O2931" s="2"/>
      <c r="P2931" s="1"/>
      <c r="Q2931" s="1"/>
      <c r="R2931" s="1"/>
      <c r="S2931" s="1"/>
      <c r="T2931" s="1"/>
      <c r="U2931" s="1"/>
      <c r="V2931" s="1"/>
      <c r="W2931" s="1"/>
      <c r="X2931" s="1"/>
      <c r="Y2931" s="1"/>
      <c r="Z2931" s="1"/>
      <c r="AA2931" s="1"/>
      <c r="AB2931" s="1"/>
      <c r="AC2931" s="1"/>
      <c r="AD2931" s="1"/>
      <c r="AE2931" s="1"/>
      <c r="AF2931" s="1"/>
      <c r="AG2931" s="1"/>
      <c r="AH2931" s="1"/>
      <c r="AI2931" s="1"/>
      <c r="AJ2931" s="1"/>
      <c r="AK2931" s="1"/>
      <c r="AL2931" s="1"/>
      <c r="AM2931" s="1"/>
      <c r="AN2931" s="1"/>
      <c r="AO2931" s="1"/>
      <c r="AP2931" s="1"/>
      <c r="AQ2931" s="1"/>
      <c r="AR2931" s="1"/>
      <c r="AS2931" s="1"/>
      <c r="AT2931" s="1"/>
      <c r="AU2931" s="1"/>
      <c r="AV2931" s="1"/>
      <c r="AW2931" s="1"/>
      <c r="AX2931" s="1"/>
      <c r="AY2931" s="1"/>
      <c r="AZ2931" s="1"/>
      <c r="BA2931" s="1"/>
      <c r="BB2931" s="1"/>
    </row>
    <row r="2932" ht="204.75" customHeight="1">
      <c r="A2932" s="1">
        <v>5138.0</v>
      </c>
      <c r="B2932" s="2" t="s">
        <v>8926</v>
      </c>
      <c r="C2932" s="2">
        <f>IFERROR(__xludf.DUMMYFUNCTION("split(B2932,""_"")"),907.0)</f>
        <v>907</v>
      </c>
      <c r="D2932" s="2" t="str">
        <f>IFERROR(__xludf.DUMMYFUNCTION("""COMPUTED_VALUE"""),"EX")</f>
        <v>EX</v>
      </c>
      <c r="E2932" s="2" t="str">
        <f>IFERROR(__xludf.DUMMYFUNCTION("""COMPUTED_VALUE"""),"木21")</f>
        <v>木21</v>
      </c>
      <c r="F2932" s="2" t="s">
        <v>8927</v>
      </c>
      <c r="G2932" s="2" t="s">
        <v>8944</v>
      </c>
      <c r="H2932" s="1">
        <v>7.0</v>
      </c>
      <c r="I2932" s="1" t="s">
        <v>25</v>
      </c>
      <c r="J2932" s="1" t="s">
        <v>11</v>
      </c>
      <c r="K2932" s="2" t="s">
        <v>8945</v>
      </c>
      <c r="L2932" s="11" t="s">
        <v>8946</v>
      </c>
      <c r="M2932" s="2" t="str">
        <f>IFERROR(__xludf.DUMMYFUNCTION("split(split(K2932,""舘ひろし、"",false),""公式LINE"",false)"),"龍之介(舘ひろし)が新進女流作家と恋愛について対談することになった。ところが、目の前に現れた対談相手・藤崎かれん(笛木優子)を見た龍之介はビックリ!亡き妻・みのり(笛木・二役)に瓜二つだったのだ。しかも、かれんは、龍之介に共同で恋愛小説を書くことを提案。　")</f>
        <v>龍之介(舘ひろし)が新進女流作家と恋愛について対談することになった。ところが、目の前に現れた対談相手・藤崎かれん(笛木優子)を見た龍之介はビックリ!亡き妻・みのり(笛木・二役)に瓜二つだったのだ。しかも、かれんは、龍之介に共同で恋愛小説を書くことを提案。　</v>
      </c>
      <c r="N2932" s="2"/>
      <c r="O2932" s="2"/>
      <c r="P2932" s="1"/>
      <c r="Q2932" s="1"/>
      <c r="R2932" s="1"/>
      <c r="S2932" s="1"/>
      <c r="T2932" s="1"/>
      <c r="U2932" s="1"/>
      <c r="V2932" s="1"/>
      <c r="W2932" s="1"/>
      <c r="X2932" s="1"/>
      <c r="Y2932" s="1"/>
      <c r="Z2932" s="1"/>
      <c r="AA2932" s="1"/>
      <c r="AB2932" s="1"/>
      <c r="AC2932" s="1"/>
      <c r="AD2932" s="1"/>
      <c r="AE2932" s="1"/>
      <c r="AF2932" s="1"/>
      <c r="AG2932" s="1"/>
      <c r="AH2932" s="1"/>
      <c r="AI2932" s="1"/>
      <c r="AJ2932" s="1"/>
      <c r="AK2932" s="1"/>
      <c r="AL2932" s="1"/>
      <c r="AM2932" s="1"/>
      <c r="AN2932" s="1"/>
      <c r="AO2932" s="1"/>
      <c r="AP2932" s="1"/>
      <c r="AQ2932" s="1"/>
      <c r="AR2932" s="1"/>
      <c r="AS2932" s="1"/>
      <c r="AT2932" s="1"/>
      <c r="AU2932" s="1"/>
      <c r="AV2932" s="1"/>
      <c r="AW2932" s="1"/>
      <c r="AX2932" s="1"/>
      <c r="AY2932" s="1"/>
      <c r="AZ2932" s="1"/>
      <c r="BA2932" s="1"/>
      <c r="BB2932" s="1"/>
    </row>
    <row r="2933" ht="204.75" customHeight="1">
      <c r="A2933" s="1">
        <v>5139.0</v>
      </c>
      <c r="B2933" s="2" t="s">
        <v>8926</v>
      </c>
      <c r="C2933" s="2">
        <f>IFERROR(__xludf.DUMMYFUNCTION("split(B2933,""_"")"),907.0)</f>
        <v>907</v>
      </c>
      <c r="D2933" s="2" t="str">
        <f>IFERROR(__xludf.DUMMYFUNCTION("""COMPUTED_VALUE"""),"EX")</f>
        <v>EX</v>
      </c>
      <c r="E2933" s="2" t="str">
        <f>IFERROR(__xludf.DUMMYFUNCTION("""COMPUTED_VALUE"""),"木21")</f>
        <v>木21</v>
      </c>
      <c r="F2933" s="2" t="s">
        <v>8927</v>
      </c>
      <c r="G2933" s="2" t="s">
        <v>8947</v>
      </c>
      <c r="H2933" s="1">
        <v>8.0</v>
      </c>
      <c r="I2933" s="1" t="s">
        <v>29</v>
      </c>
      <c r="J2933" s="1" t="s">
        <v>11</v>
      </c>
      <c r="K2933" s="2" t="s">
        <v>8948</v>
      </c>
      <c r="L2933" s="11" t="s">
        <v>8949</v>
      </c>
      <c r="M2933" s="2" t="str">
        <f>IFERROR(__xludf.DUMMYFUNCTION("split(split(K2933,""舘ひろし、"",false),""公式LINE"",false)"),"健康状態に一抹の不安を抱いた龍之介(舘ひろし)は、人間ドックに入ることに。その病院で、龍之介の担当編集者・後藤美羽(平山あや)と内野(布施博)の複雑な関係を知る。自らの余命がわずかだと知った龍之介があかりのために、美羽のためにとった行動とは?　")</f>
        <v>健康状態に一抹の不安を抱いた龍之介(舘ひろし)は、人間ドックに入ることに。その病院で、龍之介の担当編集者・後藤美羽(平山あや)と内野(布施博)の複雑な関係を知る。自らの余命がわずかだと知った龍之介があかりのために、美羽のためにとった行動とは?　</v>
      </c>
      <c r="N2933" s="2"/>
      <c r="O2933" s="2"/>
      <c r="P2933" s="1"/>
      <c r="Q2933" s="1"/>
      <c r="R2933" s="1"/>
      <c r="S2933" s="1"/>
      <c r="T2933" s="1"/>
      <c r="U2933" s="1"/>
      <c r="V2933" s="1"/>
      <c r="W2933" s="1"/>
      <c r="X2933" s="1"/>
      <c r="Y2933" s="1"/>
      <c r="Z2933" s="1"/>
      <c r="AA2933" s="1"/>
      <c r="AB2933" s="1"/>
      <c r="AC2933" s="1"/>
      <c r="AD2933" s="1"/>
      <c r="AE2933" s="1"/>
      <c r="AF2933" s="1"/>
      <c r="AG2933" s="1"/>
      <c r="AH2933" s="1"/>
      <c r="AI2933" s="1"/>
      <c r="AJ2933" s="1"/>
      <c r="AK2933" s="1"/>
      <c r="AL2933" s="1"/>
      <c r="AM2933" s="1"/>
      <c r="AN2933" s="1"/>
      <c r="AO2933" s="1"/>
      <c r="AP2933" s="1"/>
      <c r="AQ2933" s="1"/>
      <c r="AR2933" s="1"/>
      <c r="AS2933" s="1"/>
      <c r="AT2933" s="1"/>
      <c r="AU2933" s="1"/>
      <c r="AV2933" s="1"/>
      <c r="AW2933" s="1"/>
      <c r="AX2933" s="1"/>
      <c r="AY2933" s="1"/>
      <c r="AZ2933" s="1"/>
      <c r="BA2933" s="1"/>
      <c r="BB2933" s="1"/>
    </row>
    <row r="2934" ht="204.75" customHeight="1">
      <c r="A2934" s="1">
        <v>5161.0</v>
      </c>
      <c r="B2934" s="2" t="s">
        <v>8950</v>
      </c>
      <c r="C2934" s="2">
        <f>IFERROR(__xludf.DUMMYFUNCTION("split(B2934,""_"")"),907.0)</f>
        <v>907</v>
      </c>
      <c r="D2934" s="2" t="str">
        <f>IFERROR(__xludf.DUMMYFUNCTION("""COMPUTED_VALUE"""),"EX")</f>
        <v>EX</v>
      </c>
      <c r="E2934" s="2" t="str">
        <f>IFERROR(__xludf.DUMMYFUNCTION("""COMPUTED_VALUE"""),"金21")</f>
        <v>金21</v>
      </c>
      <c r="F2934" s="2" t="s">
        <v>8951</v>
      </c>
      <c r="G2934" s="2" t="s">
        <v>8952</v>
      </c>
      <c r="H2934" s="1">
        <v>1.0</v>
      </c>
      <c r="I2934" s="1" t="s">
        <v>3</v>
      </c>
      <c r="J2934" s="1" t="s">
        <v>11</v>
      </c>
      <c r="K2934" s="4" t="s">
        <v>8953</v>
      </c>
      <c r="L2934" s="11" t="s">
        <v>8954</v>
      </c>
      <c r="M2934" s="2" t="str">
        <f>IFERROR(__xludf.DUMMYFUNCTION("split(split(K2934,""小泉孝太郎、"",false),""公式LINE"",false)"),"中堅商社でテレビ通販の企画開発をしている都会派サラリーマン・都倉渉(小泉孝太郎)。彼はひょんなことから片田舎のコールセンターに異動となる。不満を募らせる都倉だったが、さらに重大事件に巻き込まれる!　")</f>
        <v>中堅商社でテレビ通販の企画開発をしている都会派サラリーマン・都倉渉(小泉孝太郎)。彼はひょんなことから片田舎のコールセンターに異動となる。不満を募らせる都倉だったが、さらに重大事件に巻き込まれる!　</v>
      </c>
      <c r="N2934" s="2"/>
      <c r="O2934" s="2"/>
      <c r="P2934" s="1"/>
      <c r="Q2934" s="1"/>
      <c r="R2934" s="1"/>
      <c r="S2934" s="1"/>
      <c r="T2934" s="1"/>
      <c r="U2934" s="1"/>
      <c r="V2934" s="1"/>
      <c r="W2934" s="1"/>
      <c r="X2934" s="1"/>
      <c r="Y2934" s="1"/>
      <c r="Z2934" s="1"/>
      <c r="AA2934" s="1"/>
      <c r="AB2934" s="1"/>
      <c r="AC2934" s="1"/>
      <c r="AD2934" s="1"/>
      <c r="AE2934" s="1"/>
      <c r="AF2934" s="1"/>
      <c r="AG2934" s="1"/>
      <c r="AH2934" s="1"/>
      <c r="AI2934" s="1"/>
      <c r="AJ2934" s="1"/>
      <c r="AK2934" s="1"/>
      <c r="AL2934" s="1"/>
      <c r="AM2934" s="1"/>
      <c r="AN2934" s="1"/>
      <c r="AO2934" s="1"/>
      <c r="AP2934" s="1"/>
      <c r="AQ2934" s="1"/>
      <c r="AR2934" s="1"/>
      <c r="AS2934" s="1"/>
      <c r="AT2934" s="1"/>
      <c r="AU2934" s="1"/>
      <c r="AV2934" s="1"/>
      <c r="AW2934" s="1"/>
      <c r="AX2934" s="1"/>
      <c r="AY2934" s="1"/>
      <c r="AZ2934" s="1"/>
      <c r="BA2934" s="1"/>
      <c r="BB2934" s="1"/>
    </row>
    <row r="2935" ht="204.75" customHeight="1">
      <c r="A2935" s="1">
        <v>5162.0</v>
      </c>
      <c r="B2935" s="2" t="s">
        <v>8950</v>
      </c>
      <c r="C2935" s="2">
        <f>IFERROR(__xludf.DUMMYFUNCTION("split(B2935,""_"")"),907.0)</f>
        <v>907</v>
      </c>
      <c r="D2935" s="2" t="str">
        <f>IFERROR(__xludf.DUMMYFUNCTION("""COMPUTED_VALUE"""),"EX")</f>
        <v>EX</v>
      </c>
      <c r="E2935" s="2" t="str">
        <f>IFERROR(__xludf.DUMMYFUNCTION("""COMPUTED_VALUE"""),"金21")</f>
        <v>金21</v>
      </c>
      <c r="F2935" s="2" t="s">
        <v>8951</v>
      </c>
      <c r="G2935" s="2" t="s">
        <v>8955</v>
      </c>
      <c r="H2935" s="1">
        <v>2.0</v>
      </c>
      <c r="I2935" s="1" t="s">
        <v>7</v>
      </c>
      <c r="J2935" s="1" t="s">
        <v>11</v>
      </c>
      <c r="K2935" s="2" t="s">
        <v>8956</v>
      </c>
      <c r="L2935" s="11" t="s">
        <v>8957</v>
      </c>
      <c r="M2935" s="2" t="str">
        <f>IFERROR(__xludf.DUMMYFUNCTION("split(split(K2935,""小泉孝太郎、"",false),""公式LINE"",false)"),"南極アイス(名取裕子)の手腕で爆発的に売れる「わけありタラコ」。在庫が品薄になり、本社がとった行動に、疑問を感じた都倉渉(小泉孝太郎)は単身北海道へと飛ぶが…!　")</f>
        <v>南極アイス(名取裕子)の手腕で爆発的に売れる「わけありタラコ」。在庫が品薄になり、本社がとった行動に、疑問を感じた都倉渉(小泉孝太郎)は単身北海道へと飛ぶが…!　</v>
      </c>
      <c r="N2935" s="2"/>
      <c r="O2935" s="2"/>
      <c r="P2935" s="1"/>
      <c r="Q2935" s="1"/>
      <c r="R2935" s="1"/>
      <c r="S2935" s="1"/>
      <c r="T2935" s="1"/>
      <c r="U2935" s="1"/>
      <c r="V2935" s="1"/>
      <c r="W2935" s="1"/>
      <c r="X2935" s="1"/>
      <c r="Y2935" s="1"/>
      <c r="Z2935" s="1"/>
      <c r="AA2935" s="1"/>
      <c r="AB2935" s="1"/>
      <c r="AC2935" s="1"/>
      <c r="AD2935" s="1"/>
      <c r="AE2935" s="1"/>
      <c r="AF2935" s="1"/>
      <c r="AG2935" s="1"/>
      <c r="AH2935" s="1"/>
      <c r="AI2935" s="1"/>
      <c r="AJ2935" s="1"/>
      <c r="AK2935" s="1"/>
      <c r="AL2935" s="1"/>
      <c r="AM2935" s="1"/>
      <c r="AN2935" s="1"/>
      <c r="AO2935" s="1"/>
      <c r="AP2935" s="1"/>
      <c r="AQ2935" s="1"/>
      <c r="AR2935" s="1"/>
      <c r="AS2935" s="1"/>
      <c r="AT2935" s="1"/>
      <c r="AU2935" s="1"/>
      <c r="AV2935" s="1"/>
      <c r="AW2935" s="1"/>
      <c r="AX2935" s="1"/>
      <c r="AY2935" s="1"/>
      <c r="AZ2935" s="1"/>
      <c r="BA2935" s="1"/>
      <c r="BB2935" s="1"/>
    </row>
    <row r="2936" ht="204.75" customHeight="1">
      <c r="A2936" s="1">
        <v>5163.0</v>
      </c>
      <c r="B2936" s="2" t="s">
        <v>8950</v>
      </c>
      <c r="C2936" s="2">
        <f>IFERROR(__xludf.DUMMYFUNCTION("split(B2936,""_"")"),907.0)</f>
        <v>907</v>
      </c>
      <c r="D2936" s="2" t="str">
        <f>IFERROR(__xludf.DUMMYFUNCTION("""COMPUTED_VALUE"""),"EX")</f>
        <v>EX</v>
      </c>
      <c r="E2936" s="2" t="str">
        <f>IFERROR(__xludf.DUMMYFUNCTION("""COMPUTED_VALUE"""),"金21")</f>
        <v>金21</v>
      </c>
      <c r="F2936" s="2" t="s">
        <v>8951</v>
      </c>
      <c r="G2936" s="2" t="s">
        <v>8958</v>
      </c>
      <c r="H2936" s="1">
        <v>3.0</v>
      </c>
      <c r="I2936" s="1" t="s">
        <v>10</v>
      </c>
      <c r="J2936" s="1" t="s">
        <v>11</v>
      </c>
      <c r="K2936" s="2" t="s">
        <v>8959</v>
      </c>
      <c r="L2936" s="11" t="s">
        <v>8960</v>
      </c>
      <c r="M2936" s="2" t="str">
        <f>IFERROR(__xludf.DUMMYFUNCTION("split(split(K2936,""小泉孝太郎、"",false),""公式LINE"",false)"),"そんな時、村松妙子(倍賞美津子)という挙動不振な女性から苦情が入る。妙子にはある危機が迫っていた…。　")</f>
        <v>そんな時、村松妙子(倍賞美津子)という挙動不振な女性から苦情が入る。妙子にはある危機が迫っていた…。　</v>
      </c>
      <c r="N2936" s="2"/>
      <c r="O2936" s="2"/>
      <c r="P2936" s="1"/>
      <c r="Q2936" s="1"/>
      <c r="R2936" s="1"/>
      <c r="S2936" s="1"/>
      <c r="T2936" s="1"/>
      <c r="U2936" s="1"/>
      <c r="V2936" s="1"/>
      <c r="W2936" s="1"/>
      <c r="X2936" s="1"/>
      <c r="Y2936" s="1"/>
      <c r="Z2936" s="1"/>
      <c r="AA2936" s="1"/>
      <c r="AB2936" s="1"/>
      <c r="AC2936" s="1"/>
      <c r="AD2936" s="1"/>
      <c r="AE2936" s="1"/>
      <c r="AF2936" s="1"/>
      <c r="AG2936" s="1"/>
      <c r="AH2936" s="1"/>
      <c r="AI2936" s="1"/>
      <c r="AJ2936" s="1"/>
      <c r="AK2936" s="1"/>
      <c r="AL2936" s="1"/>
      <c r="AM2936" s="1"/>
      <c r="AN2936" s="1"/>
      <c r="AO2936" s="1"/>
      <c r="AP2936" s="1"/>
      <c r="AQ2936" s="1"/>
      <c r="AR2936" s="1"/>
      <c r="AS2936" s="1"/>
      <c r="AT2936" s="1"/>
      <c r="AU2936" s="1"/>
      <c r="AV2936" s="1"/>
      <c r="AW2936" s="1"/>
      <c r="AX2936" s="1"/>
      <c r="AY2936" s="1"/>
      <c r="AZ2936" s="1"/>
      <c r="BA2936" s="1"/>
      <c r="BB2936" s="1"/>
    </row>
    <row r="2937" ht="204.75" customHeight="1">
      <c r="A2937" s="1">
        <v>5164.0</v>
      </c>
      <c r="B2937" s="2" t="s">
        <v>8950</v>
      </c>
      <c r="C2937" s="2">
        <f>IFERROR(__xludf.DUMMYFUNCTION("split(B2937,""_"")"),907.0)</f>
        <v>907</v>
      </c>
      <c r="D2937" s="2" t="str">
        <f>IFERROR(__xludf.DUMMYFUNCTION("""COMPUTED_VALUE"""),"EX")</f>
        <v>EX</v>
      </c>
      <c r="E2937" s="2" t="str">
        <f>IFERROR(__xludf.DUMMYFUNCTION("""COMPUTED_VALUE"""),"金21")</f>
        <v>金21</v>
      </c>
      <c r="F2937" s="2" t="s">
        <v>8951</v>
      </c>
      <c r="G2937" s="2" t="s">
        <v>8961</v>
      </c>
      <c r="H2937" s="1">
        <v>4.0</v>
      </c>
      <c r="I2937" s="1" t="s">
        <v>14</v>
      </c>
      <c r="J2937" s="1" t="s">
        <v>11</v>
      </c>
      <c r="K2937" s="2" t="s">
        <v>8962</v>
      </c>
      <c r="L2937" s="11" t="s">
        <v>8963</v>
      </c>
      <c r="M2937" s="2" t="str">
        <f>IFERROR(__xludf.DUMMYFUNCTION("split(split(K2937,""小泉孝太郎、"",false),""公式LINE"",false)"),"おびえる都倉(小泉孝太郎)を尻目に、アイスは心霊写真が撮れるという噂を逆手に取ったプロモーションを発案し、売り上げをぐんぐん伸ばす。ほどなく、心霊写真のカラクリは明らかになるのだが、響子(ミムラ)はなぜか客に本当のことを告げず、再び都倉と衝突する!　")</f>
        <v>おびえる都倉(小泉孝太郎)を尻目に、アイスは心霊写真が撮れるという噂を逆手に取ったプロモーションを発案し、売り上げをぐんぐん伸ばす。ほどなく、心霊写真のカラクリは明らかになるのだが、響子(ミムラ)はなぜか客に本当のことを告げず、再び都倉と衝突する!　</v>
      </c>
      <c r="N2937" s="2"/>
      <c r="O2937" s="2"/>
      <c r="P2937" s="1"/>
      <c r="Q2937" s="1"/>
      <c r="R2937" s="1"/>
      <c r="S2937" s="1"/>
      <c r="T2937" s="1"/>
      <c r="U2937" s="1"/>
      <c r="V2937" s="1"/>
      <c r="W2937" s="1"/>
      <c r="X2937" s="1"/>
      <c r="Y2937" s="1"/>
      <c r="Z2937" s="1"/>
      <c r="AA2937" s="1"/>
      <c r="AB2937" s="1"/>
      <c r="AC2937" s="1"/>
      <c r="AD2937" s="1"/>
      <c r="AE2937" s="1"/>
      <c r="AF2937" s="1"/>
      <c r="AG2937" s="1"/>
      <c r="AH2937" s="1"/>
      <c r="AI2937" s="1"/>
      <c r="AJ2937" s="1"/>
      <c r="AK2937" s="1"/>
      <c r="AL2937" s="1"/>
      <c r="AM2937" s="1"/>
      <c r="AN2937" s="1"/>
      <c r="AO2937" s="1"/>
      <c r="AP2937" s="1"/>
      <c r="AQ2937" s="1"/>
      <c r="AR2937" s="1"/>
      <c r="AS2937" s="1"/>
      <c r="AT2937" s="1"/>
      <c r="AU2937" s="1"/>
      <c r="AV2937" s="1"/>
      <c r="AW2937" s="1"/>
      <c r="AX2937" s="1"/>
      <c r="AY2937" s="1"/>
      <c r="AZ2937" s="1"/>
      <c r="BA2937" s="1"/>
      <c r="BB2937" s="1"/>
    </row>
    <row r="2938" ht="204.75" customHeight="1">
      <c r="A2938" s="1">
        <v>5165.0</v>
      </c>
      <c r="B2938" s="2" t="s">
        <v>8950</v>
      </c>
      <c r="C2938" s="2">
        <f>IFERROR(__xludf.DUMMYFUNCTION("split(B2938,""_"")"),907.0)</f>
        <v>907</v>
      </c>
      <c r="D2938" s="2" t="str">
        <f>IFERROR(__xludf.DUMMYFUNCTION("""COMPUTED_VALUE"""),"EX")</f>
        <v>EX</v>
      </c>
      <c r="E2938" s="2" t="str">
        <f>IFERROR(__xludf.DUMMYFUNCTION("""COMPUTED_VALUE"""),"金21")</f>
        <v>金21</v>
      </c>
      <c r="F2938" s="2" t="s">
        <v>8951</v>
      </c>
      <c r="G2938" s="2" t="s">
        <v>8964</v>
      </c>
      <c r="H2938" s="1">
        <v>5.0</v>
      </c>
      <c r="I2938" s="1" t="s">
        <v>17</v>
      </c>
      <c r="J2938" s="1" t="s">
        <v>11</v>
      </c>
      <c r="K2938" s="2" t="s">
        <v>8965</v>
      </c>
      <c r="L2938" s="11" t="s">
        <v>8966</v>
      </c>
      <c r="M2938" s="2" t="str">
        <f>IFERROR(__xludf.DUMMYFUNCTION("split(split(K2938,""小泉孝太郎、"",false),""公式LINE"",false)"),"意に沿わずお客様相談窓口に異動させられた都会派サラリーマン・都倉渉(小泉孝太郎)が、個性豊かな相談窓口の面々とともに、様々な客とのふれあいの中で成長していく物語。　")</f>
        <v>意に沿わずお客様相談窓口に異動させられた都会派サラリーマン・都倉渉(小泉孝太郎)が、個性豊かな相談窓口の面々とともに、様々な客とのふれあいの中で成長していく物語。　</v>
      </c>
      <c r="N2938" s="2"/>
      <c r="O2938" s="2"/>
      <c r="P2938" s="1"/>
      <c r="Q2938" s="1"/>
      <c r="R2938" s="1"/>
      <c r="S2938" s="1"/>
      <c r="T2938" s="1"/>
      <c r="U2938" s="1"/>
      <c r="V2938" s="1"/>
      <c r="W2938" s="1"/>
      <c r="X2938" s="1"/>
      <c r="Y2938" s="1"/>
      <c r="Z2938" s="1"/>
      <c r="AA2938" s="1"/>
      <c r="AB2938" s="1"/>
      <c r="AC2938" s="1"/>
      <c r="AD2938" s="1"/>
      <c r="AE2938" s="1"/>
      <c r="AF2938" s="1"/>
      <c r="AG2938" s="1"/>
      <c r="AH2938" s="1"/>
      <c r="AI2938" s="1"/>
      <c r="AJ2938" s="1"/>
      <c r="AK2938" s="1"/>
      <c r="AL2938" s="1"/>
      <c r="AM2938" s="1"/>
      <c r="AN2938" s="1"/>
      <c r="AO2938" s="1"/>
      <c r="AP2938" s="1"/>
      <c r="AQ2938" s="1"/>
      <c r="AR2938" s="1"/>
      <c r="AS2938" s="1"/>
      <c r="AT2938" s="1"/>
      <c r="AU2938" s="1"/>
      <c r="AV2938" s="1"/>
      <c r="AW2938" s="1"/>
      <c r="AX2938" s="1"/>
      <c r="AY2938" s="1"/>
      <c r="AZ2938" s="1"/>
      <c r="BA2938" s="1"/>
      <c r="BB2938" s="1"/>
    </row>
    <row r="2939" ht="204.75" customHeight="1">
      <c r="A2939" s="1">
        <v>5166.0</v>
      </c>
      <c r="B2939" s="2" t="s">
        <v>8950</v>
      </c>
      <c r="C2939" s="2">
        <f>IFERROR(__xludf.DUMMYFUNCTION("split(B2939,""_"")"),907.0)</f>
        <v>907</v>
      </c>
      <c r="D2939" s="2" t="str">
        <f>IFERROR(__xludf.DUMMYFUNCTION("""COMPUTED_VALUE"""),"EX")</f>
        <v>EX</v>
      </c>
      <c r="E2939" s="2" t="str">
        <f>IFERROR(__xludf.DUMMYFUNCTION("""COMPUTED_VALUE"""),"金21")</f>
        <v>金21</v>
      </c>
      <c r="F2939" s="2" t="s">
        <v>8951</v>
      </c>
      <c r="G2939" s="2" t="s">
        <v>8967</v>
      </c>
      <c r="H2939" s="1">
        <v>6.0</v>
      </c>
      <c r="I2939" s="1" t="s">
        <v>2888</v>
      </c>
      <c r="J2939" s="1" t="s">
        <v>11</v>
      </c>
      <c r="K2939" s="2" t="s">
        <v>8968</v>
      </c>
      <c r="L2939" s="11" t="s">
        <v>8969</v>
      </c>
      <c r="M2939" s="2" t="str">
        <f>IFERROR(__xludf.DUMMYFUNCTION("split(split(K2939,""小泉孝太郎、"",false),""公式LINE"",false)"),"今日の商品は都倉(小泉孝太郎)が本社時代に企画したダイエットDVD。南極アイス(名取裕子)はインストラクターのハンスをデンマークから呼び寄せ、生レッスンを開始する。そんな矢先不思議な苦情が届く…。　")</f>
        <v>今日の商品は都倉(小泉孝太郎)が本社時代に企画したダイエットDVD。南極アイス(名取裕子)はインストラクターのハンスをデンマークから呼び寄せ、生レッスンを開始する。そんな矢先不思議な苦情が届く…。　</v>
      </c>
      <c r="N2939" s="2"/>
      <c r="O2939" s="2"/>
      <c r="P2939" s="1"/>
      <c r="Q2939" s="1"/>
      <c r="R2939" s="1"/>
      <c r="S2939" s="1"/>
      <c r="T2939" s="1"/>
      <c r="U2939" s="1"/>
      <c r="V2939" s="1"/>
      <c r="W2939" s="1"/>
      <c r="X2939" s="1"/>
      <c r="Y2939" s="1"/>
      <c r="Z2939" s="1"/>
      <c r="AA2939" s="1"/>
      <c r="AB2939" s="1"/>
      <c r="AC2939" s="1"/>
      <c r="AD2939" s="1"/>
      <c r="AE2939" s="1"/>
      <c r="AF2939" s="1"/>
      <c r="AG2939" s="1"/>
      <c r="AH2939" s="1"/>
      <c r="AI2939" s="1"/>
      <c r="AJ2939" s="1"/>
      <c r="AK2939" s="1"/>
      <c r="AL2939" s="1"/>
      <c r="AM2939" s="1"/>
      <c r="AN2939" s="1"/>
      <c r="AO2939" s="1"/>
      <c r="AP2939" s="1"/>
      <c r="AQ2939" s="1"/>
      <c r="AR2939" s="1"/>
      <c r="AS2939" s="1"/>
      <c r="AT2939" s="1"/>
      <c r="AU2939" s="1"/>
      <c r="AV2939" s="1"/>
      <c r="AW2939" s="1"/>
      <c r="AX2939" s="1"/>
      <c r="AY2939" s="1"/>
      <c r="AZ2939" s="1"/>
      <c r="BA2939" s="1"/>
      <c r="BB2939" s="1"/>
    </row>
    <row r="2940" ht="204.75" customHeight="1">
      <c r="A2940" s="1">
        <v>5167.0</v>
      </c>
      <c r="B2940" s="2" t="s">
        <v>8950</v>
      </c>
      <c r="C2940" s="2">
        <f>IFERROR(__xludf.DUMMYFUNCTION("split(B2940,""_"")"),907.0)</f>
        <v>907</v>
      </c>
      <c r="D2940" s="2" t="str">
        <f>IFERROR(__xludf.DUMMYFUNCTION("""COMPUTED_VALUE"""),"EX")</f>
        <v>EX</v>
      </c>
      <c r="E2940" s="2" t="str">
        <f>IFERROR(__xludf.DUMMYFUNCTION("""COMPUTED_VALUE"""),"金21")</f>
        <v>金21</v>
      </c>
      <c r="F2940" s="2" t="s">
        <v>8951</v>
      </c>
      <c r="G2940" s="2" t="s">
        <v>8970</v>
      </c>
      <c r="H2940" s="1">
        <v>7.0</v>
      </c>
      <c r="I2940" s="1" t="s">
        <v>25</v>
      </c>
      <c r="J2940" s="1" t="s">
        <v>11</v>
      </c>
      <c r="K2940" s="2" t="s">
        <v>8971</v>
      </c>
      <c r="L2940" s="11" t="s">
        <v>8972</v>
      </c>
      <c r="M2940" s="2" t="str">
        <f>IFERROR(__xludf.DUMMYFUNCTION("split(split(K2940,""小泉孝太郎、"",false),""公式LINE"",false)"),"高性能ビデオカメラ『思いで残しま専科』の不調が原因で花形商事は“思い出代”という弁償金を支払うことに。都倉(小泉孝太郎)や響子(ミムラ)らは何とか“思い出代”を払わずにすむように悪戦苦闘するが…。　")</f>
        <v>高性能ビデオカメラ『思いで残しま専科』の不調が原因で花形商事は“思い出代”という弁償金を支払うことに。都倉(小泉孝太郎)や響子(ミムラ)らは何とか“思い出代”を払わずにすむように悪戦苦闘するが…。　</v>
      </c>
      <c r="N2940" s="2"/>
      <c r="O2940" s="2"/>
      <c r="P2940" s="1"/>
      <c r="Q2940" s="1"/>
      <c r="R2940" s="1"/>
      <c r="S2940" s="1"/>
      <c r="T2940" s="1"/>
      <c r="U2940" s="1"/>
      <c r="V2940" s="1"/>
      <c r="W2940" s="1"/>
      <c r="X2940" s="1"/>
      <c r="Y2940" s="1"/>
      <c r="Z2940" s="1"/>
      <c r="AA2940" s="1"/>
      <c r="AB2940" s="1"/>
      <c r="AC2940" s="1"/>
      <c r="AD2940" s="1"/>
      <c r="AE2940" s="1"/>
      <c r="AF2940" s="1"/>
      <c r="AG2940" s="1"/>
      <c r="AH2940" s="1"/>
      <c r="AI2940" s="1"/>
      <c r="AJ2940" s="1"/>
      <c r="AK2940" s="1"/>
      <c r="AL2940" s="1"/>
      <c r="AM2940" s="1"/>
      <c r="AN2940" s="1"/>
      <c r="AO2940" s="1"/>
      <c r="AP2940" s="1"/>
      <c r="AQ2940" s="1"/>
      <c r="AR2940" s="1"/>
      <c r="AS2940" s="1"/>
      <c r="AT2940" s="1"/>
      <c r="AU2940" s="1"/>
      <c r="AV2940" s="1"/>
      <c r="AW2940" s="1"/>
      <c r="AX2940" s="1"/>
      <c r="AY2940" s="1"/>
      <c r="AZ2940" s="1"/>
      <c r="BA2940" s="1"/>
      <c r="BB2940" s="1"/>
    </row>
    <row r="2941" ht="204.75" customHeight="1">
      <c r="A2941" s="1">
        <v>5168.0</v>
      </c>
      <c r="B2941" s="2" t="s">
        <v>8950</v>
      </c>
      <c r="C2941" s="2">
        <f>IFERROR(__xludf.DUMMYFUNCTION("split(B2941,""_"")"),907.0)</f>
        <v>907</v>
      </c>
      <c r="D2941" s="2" t="str">
        <f>IFERROR(__xludf.DUMMYFUNCTION("""COMPUTED_VALUE"""),"EX")</f>
        <v>EX</v>
      </c>
      <c r="E2941" s="2" t="str">
        <f>IFERROR(__xludf.DUMMYFUNCTION("""COMPUTED_VALUE"""),"金21")</f>
        <v>金21</v>
      </c>
      <c r="F2941" s="2" t="s">
        <v>8951</v>
      </c>
      <c r="G2941" s="2" t="s">
        <v>8973</v>
      </c>
      <c r="H2941" s="1">
        <v>8.0</v>
      </c>
      <c r="I2941" s="1" t="s">
        <v>29</v>
      </c>
      <c r="J2941" s="1" t="s">
        <v>11</v>
      </c>
      <c r="K2941" s="2" t="s">
        <v>8974</v>
      </c>
      <c r="L2941" s="11" t="s">
        <v>8975</v>
      </c>
      <c r="M2941" s="2" t="str">
        <f>IFERROR(__xludf.DUMMYFUNCTION("split(split(K2941,""小泉孝太郎、"",false),""公式LINE"",false)"),"テレビ通販のお客様相談窓口を舞台ににしたお仕事コメディ!  連続ドラマ初主演の小泉孝太郎&amp;人気脚本家・中園ミホのオリジナル脚本で描く話題作!　")</f>
        <v>テレビ通販のお客様相談窓口を舞台ににしたお仕事コメディ!  連続ドラマ初主演の小泉孝太郎&amp;人気脚本家・中園ミホのオリジナル脚本で描く話題作!　</v>
      </c>
      <c r="N2941" s="2"/>
      <c r="O2941" s="2"/>
      <c r="P2941" s="1"/>
      <c r="Q2941" s="1"/>
      <c r="R2941" s="1"/>
      <c r="S2941" s="1"/>
      <c r="T2941" s="1"/>
      <c r="U2941" s="1"/>
      <c r="V2941" s="1"/>
      <c r="W2941" s="1"/>
      <c r="X2941" s="1"/>
      <c r="Y2941" s="1"/>
      <c r="Z2941" s="1"/>
      <c r="AA2941" s="1"/>
      <c r="AB2941" s="1"/>
      <c r="AC2941" s="1"/>
      <c r="AD2941" s="1"/>
      <c r="AE2941" s="1"/>
      <c r="AF2941" s="1"/>
      <c r="AG2941" s="1"/>
      <c r="AH2941" s="1"/>
      <c r="AI2941" s="1"/>
      <c r="AJ2941" s="1"/>
      <c r="AK2941" s="1"/>
      <c r="AL2941" s="1"/>
      <c r="AM2941" s="1"/>
      <c r="AN2941" s="1"/>
      <c r="AO2941" s="1"/>
      <c r="AP2941" s="1"/>
      <c r="AQ2941" s="1"/>
      <c r="AR2941" s="1"/>
      <c r="AS2941" s="1"/>
      <c r="AT2941" s="1"/>
      <c r="AU2941" s="1"/>
      <c r="AV2941" s="1"/>
      <c r="AW2941" s="1"/>
      <c r="AX2941" s="1"/>
      <c r="AY2941" s="1"/>
      <c r="AZ2941" s="1"/>
      <c r="BA2941" s="1"/>
      <c r="BB2941" s="1"/>
    </row>
    <row r="2942" ht="204.75" customHeight="1">
      <c r="A2942" s="1">
        <v>5169.0</v>
      </c>
      <c r="B2942" s="2" t="s">
        <v>8950</v>
      </c>
      <c r="C2942" s="2">
        <f>IFERROR(__xludf.DUMMYFUNCTION("split(B2942,""_"")"),907.0)</f>
        <v>907</v>
      </c>
      <c r="D2942" s="2" t="str">
        <f>IFERROR(__xludf.DUMMYFUNCTION("""COMPUTED_VALUE"""),"EX")</f>
        <v>EX</v>
      </c>
      <c r="E2942" s="2" t="str">
        <f>IFERROR(__xludf.DUMMYFUNCTION("""COMPUTED_VALUE"""),"金21")</f>
        <v>金21</v>
      </c>
      <c r="F2942" s="2" t="s">
        <v>8951</v>
      </c>
      <c r="G2942" s="2" t="s">
        <v>8976</v>
      </c>
      <c r="H2942" s="1">
        <v>9.0</v>
      </c>
      <c r="I2942" s="1" t="s">
        <v>33</v>
      </c>
      <c r="J2942" s="1" t="s">
        <v>11</v>
      </c>
      <c r="K2942" s="2" t="s">
        <v>8977</v>
      </c>
      <c r="L2942" s="11" t="s">
        <v>8978</v>
      </c>
      <c r="M2942" s="2" t="str">
        <f>IFERROR(__xludf.DUMMYFUNCTION("split(split(K2942,""小泉孝太郎、"",false),""公式LINE"",false)"),"通販で売られた缶詰に髪の毛が入っていたと暴力団風の男たちが乗り込んでくる。あまりの迫力に酒巻(松重豊)はお金を渡してしまう。図に乗った男たちは都倉(小泉孝太郎)を監禁。一方、響子(ミムラ)の過去がついに明らかになる…。　")</f>
        <v>通販で売られた缶詰に髪の毛が入っていたと暴力団風の男たちが乗り込んでくる。あまりの迫力に酒巻(松重豊)はお金を渡してしまう。図に乗った男たちは都倉(小泉孝太郎)を監禁。一方、響子(ミムラ)の過去がついに明らかになる…。　</v>
      </c>
      <c r="N2942" s="2"/>
      <c r="O2942" s="2"/>
      <c r="P2942" s="1"/>
      <c r="Q2942" s="1"/>
      <c r="R2942" s="1"/>
      <c r="S2942" s="1"/>
      <c r="T2942" s="1"/>
      <c r="U2942" s="1"/>
      <c r="V2942" s="1"/>
      <c r="W2942" s="1"/>
      <c r="X2942" s="1"/>
      <c r="Y2942" s="1"/>
      <c r="Z2942" s="1"/>
      <c r="AA2942" s="1"/>
      <c r="AB2942" s="1"/>
      <c r="AC2942" s="1"/>
      <c r="AD2942" s="1"/>
      <c r="AE2942" s="1"/>
      <c r="AF2942" s="1"/>
      <c r="AG2942" s="1"/>
      <c r="AH2942" s="1"/>
      <c r="AI2942" s="1"/>
      <c r="AJ2942" s="1"/>
      <c r="AK2942" s="1"/>
      <c r="AL2942" s="1"/>
      <c r="AM2942" s="1"/>
      <c r="AN2942" s="1"/>
      <c r="AO2942" s="1"/>
      <c r="AP2942" s="1"/>
      <c r="AQ2942" s="1"/>
      <c r="AR2942" s="1"/>
      <c r="AS2942" s="1"/>
      <c r="AT2942" s="1"/>
      <c r="AU2942" s="1"/>
      <c r="AV2942" s="1"/>
      <c r="AW2942" s="1"/>
      <c r="AX2942" s="1"/>
      <c r="AY2942" s="1"/>
      <c r="AZ2942" s="1"/>
      <c r="BA2942" s="1"/>
      <c r="BB2942" s="1"/>
    </row>
    <row r="2943" ht="204.75" customHeight="1">
      <c r="A2943" s="1">
        <v>5170.0</v>
      </c>
      <c r="B2943" s="2" t="s">
        <v>8950</v>
      </c>
      <c r="C2943" s="2">
        <f>IFERROR(__xludf.DUMMYFUNCTION("split(B2943,""_"")"),907.0)</f>
        <v>907</v>
      </c>
      <c r="D2943" s="2" t="str">
        <f>IFERROR(__xludf.DUMMYFUNCTION("""COMPUTED_VALUE"""),"EX")</f>
        <v>EX</v>
      </c>
      <c r="E2943" s="2" t="str">
        <f>IFERROR(__xludf.DUMMYFUNCTION("""COMPUTED_VALUE"""),"金21")</f>
        <v>金21</v>
      </c>
      <c r="F2943" s="2" t="s">
        <v>8951</v>
      </c>
      <c r="G2943" s="2" t="s">
        <v>8979</v>
      </c>
      <c r="H2943" s="1">
        <v>10.0</v>
      </c>
      <c r="J2943" s="1" t="s">
        <v>11</v>
      </c>
      <c r="K2943" s="2" t="s">
        <v>8980</v>
      </c>
      <c r="L2943" s="11" t="s">
        <v>8981</v>
      </c>
      <c r="M2943" s="2" t="str">
        <f>IFERROR(__xludf.DUMMYFUNCTION("split(split(K2943,""小泉孝太郎、"",false),""公式LINE"",false)"),"失踪した響子(ミムラ)の行方は依然わからない。都倉(小泉孝太郎)は響子の気持ちに少しでも近づくためある行動を起こす。そんな時、超常連クレーマー大平(みのもんた)から怒りの電話が・・・!　")</f>
        <v>失踪した響子(ミムラ)の行方は依然わからない。都倉(小泉孝太郎)は響子の気持ちに少しでも近づくためある行動を起こす。そんな時、超常連クレーマー大平(みのもんた)から怒りの電話が・・・!　</v>
      </c>
      <c r="N2943" s="2"/>
      <c r="O2943" s="2"/>
      <c r="P2943" s="1"/>
      <c r="Q2943" s="1"/>
      <c r="R2943" s="1"/>
      <c r="S2943" s="1"/>
      <c r="T2943" s="1"/>
      <c r="U2943" s="1"/>
      <c r="V2943" s="1"/>
      <c r="W2943" s="1"/>
      <c r="X2943" s="1"/>
      <c r="Y2943" s="1"/>
      <c r="Z2943" s="1"/>
      <c r="AA2943" s="1"/>
      <c r="AB2943" s="1"/>
      <c r="AC2943" s="1"/>
      <c r="AD2943" s="1"/>
      <c r="AE2943" s="1"/>
      <c r="AF2943" s="1"/>
      <c r="AG2943" s="1"/>
      <c r="AH2943" s="1"/>
      <c r="AI2943" s="1"/>
      <c r="AJ2943" s="1"/>
      <c r="AK2943" s="1"/>
      <c r="AL2943" s="1"/>
      <c r="AM2943" s="1"/>
      <c r="AN2943" s="1"/>
      <c r="AO2943" s="1"/>
      <c r="AP2943" s="1"/>
      <c r="AQ2943" s="1"/>
      <c r="AR2943" s="1"/>
      <c r="AS2943" s="1"/>
      <c r="AT2943" s="1"/>
      <c r="AU2943" s="1"/>
      <c r="AV2943" s="1"/>
      <c r="AW2943" s="1"/>
      <c r="AX2943" s="1"/>
      <c r="AY2943" s="1"/>
      <c r="AZ2943" s="1"/>
      <c r="BA2943" s="1"/>
      <c r="BB2943" s="1"/>
    </row>
    <row r="2944" ht="204.75" customHeight="1">
      <c r="A2944" s="1">
        <v>5181.0</v>
      </c>
      <c r="B2944" s="2" t="s">
        <v>8982</v>
      </c>
      <c r="C2944" s="2">
        <f>IFERROR(__xludf.DUMMYFUNCTION("split(B2944,""_"")"),907.0)</f>
        <v>907</v>
      </c>
      <c r="D2944" s="2" t="str">
        <f>IFERROR(__xludf.DUMMYFUNCTION("""COMPUTED_VALUE"""),"EX")</f>
        <v>EX</v>
      </c>
      <c r="E2944" s="2" t="str">
        <f>IFERROR(__xludf.DUMMYFUNCTION("""COMPUTED_VALUE"""),"金23")</f>
        <v>金23</v>
      </c>
      <c r="F2944" s="2" t="s">
        <v>8983</v>
      </c>
      <c r="G2944" s="2" t="s">
        <v>8984</v>
      </c>
      <c r="H2944" s="1">
        <v>1.0</v>
      </c>
      <c r="I2944" s="1" t="s">
        <v>7</v>
      </c>
      <c r="J2944" s="1" t="s">
        <v>1435</v>
      </c>
      <c r="K2944" s="4" t="s">
        <v>8985</v>
      </c>
      <c r="L2944" s="10" t="s">
        <v>2775</v>
      </c>
      <c r="M2944" s="2" t="str">
        <f>IFERROR(__xludf.DUMMYFUNCTION("split(split(K2944,""福田沙紀、"",false),""公式LINE"",false)"),"普段は可愛いメイドさん。しかし、ひとたび指令が下されると、警察が踏み込めない屋敷に潜入し悪を斬る『メイド刑事(デカ)』に…!京都を舞台に、迫力満点のアクションと、謎が謎を呼ぶミステリーが融合したドラマです!キメ台詞は…「悪の汚れ、お掃除させていただきます!」　")</f>
        <v>普段は可愛いメイドさん。しかし、ひとたび指令が下されると、警察が踏み込めない屋敷に潜入し悪を斬る『メイド刑事(デカ)』に…!京都を舞台に、迫力満点のアクションと、謎が謎を呼ぶミステリーが融合したドラマです!キメ台詞は…「悪の汚れ、お掃除させていただきます!」　</v>
      </c>
      <c r="N2944" s="2"/>
      <c r="O2944" s="2"/>
      <c r="P2944" s="1"/>
      <c r="Q2944" s="1"/>
      <c r="R2944" s="1"/>
      <c r="S2944" s="1"/>
      <c r="T2944" s="1"/>
      <c r="U2944" s="1"/>
      <c r="V2944" s="1"/>
      <c r="W2944" s="1"/>
      <c r="X2944" s="1"/>
      <c r="Y2944" s="1"/>
      <c r="Z2944" s="1"/>
      <c r="AA2944" s="1"/>
      <c r="AB2944" s="1"/>
      <c r="AC2944" s="1"/>
      <c r="AD2944" s="1"/>
      <c r="AE2944" s="1"/>
      <c r="AF2944" s="1"/>
      <c r="AG2944" s="1"/>
      <c r="AH2944" s="1"/>
      <c r="AI2944" s="1"/>
      <c r="AJ2944" s="1"/>
      <c r="AK2944" s="1"/>
      <c r="AL2944" s="1"/>
      <c r="AM2944" s="1"/>
      <c r="AN2944" s="1"/>
      <c r="AO2944" s="1"/>
      <c r="AP2944" s="1"/>
      <c r="AQ2944" s="1"/>
      <c r="AR2944" s="1"/>
      <c r="AS2944" s="1"/>
      <c r="AT2944" s="1"/>
      <c r="AU2944" s="1"/>
      <c r="AV2944" s="1"/>
      <c r="AW2944" s="1"/>
      <c r="AX2944" s="1"/>
      <c r="AY2944" s="1"/>
      <c r="AZ2944" s="1"/>
      <c r="BA2944" s="1"/>
      <c r="BB2944" s="1"/>
    </row>
    <row r="2945" ht="204.75" customHeight="1">
      <c r="A2945" s="1">
        <v>5182.0</v>
      </c>
      <c r="B2945" s="2" t="s">
        <v>8982</v>
      </c>
      <c r="C2945" s="2">
        <f>IFERROR(__xludf.DUMMYFUNCTION("split(B2945,""_"")"),907.0)</f>
        <v>907</v>
      </c>
      <c r="D2945" s="2" t="str">
        <f>IFERROR(__xludf.DUMMYFUNCTION("""COMPUTED_VALUE"""),"EX")</f>
        <v>EX</v>
      </c>
      <c r="E2945" s="2" t="str">
        <f>IFERROR(__xludf.DUMMYFUNCTION("""COMPUTED_VALUE"""),"金23")</f>
        <v>金23</v>
      </c>
      <c r="F2945" s="2" t="s">
        <v>8983</v>
      </c>
      <c r="G2945" s="2" t="s">
        <v>8986</v>
      </c>
      <c r="H2945" s="1">
        <v>2.0</v>
      </c>
      <c r="I2945" s="1" t="s">
        <v>10</v>
      </c>
      <c r="J2945" s="1" t="s">
        <v>1435</v>
      </c>
      <c r="K2945" s="2" t="s">
        <v>8987</v>
      </c>
      <c r="L2945" s="10" t="s">
        <v>2775</v>
      </c>
      <c r="M2945" s="2" t="str">
        <f>IFERROR(__xludf.DUMMYFUNCTION("split(split(K2945,""福田沙紀、"",false),""公式LINE"",false)"),"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f>
        <v>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v>
      </c>
      <c r="N2945" s="2"/>
      <c r="O2945" s="2"/>
      <c r="P2945" s="1"/>
      <c r="Q2945" s="1"/>
      <c r="R2945" s="1"/>
      <c r="S2945" s="1"/>
      <c r="T2945" s="1"/>
      <c r="U2945" s="1"/>
      <c r="V2945" s="1"/>
      <c r="W2945" s="1"/>
      <c r="X2945" s="1"/>
      <c r="Y2945" s="1"/>
      <c r="Z2945" s="1"/>
      <c r="AA2945" s="1"/>
      <c r="AB2945" s="1"/>
      <c r="AC2945" s="1"/>
      <c r="AD2945" s="1"/>
      <c r="AE2945" s="1"/>
      <c r="AF2945" s="1"/>
      <c r="AG2945" s="1"/>
      <c r="AH2945" s="1"/>
      <c r="AI2945" s="1"/>
      <c r="AJ2945" s="1"/>
      <c r="AK2945" s="1"/>
      <c r="AL2945" s="1"/>
      <c r="AM2945" s="1"/>
      <c r="AN2945" s="1"/>
      <c r="AO2945" s="1"/>
      <c r="AP2945" s="1"/>
      <c r="AQ2945" s="1"/>
      <c r="AR2945" s="1"/>
      <c r="AS2945" s="1"/>
      <c r="AT2945" s="1"/>
      <c r="AU2945" s="1"/>
      <c r="AV2945" s="1"/>
      <c r="AW2945" s="1"/>
      <c r="AX2945" s="1"/>
      <c r="AY2945" s="1"/>
      <c r="AZ2945" s="1"/>
      <c r="BA2945" s="1"/>
      <c r="BB2945" s="1"/>
    </row>
    <row r="2946" ht="204.75" customHeight="1">
      <c r="A2946" s="1">
        <v>5183.0</v>
      </c>
      <c r="B2946" s="2" t="s">
        <v>8982</v>
      </c>
      <c r="C2946" s="2">
        <f>IFERROR(__xludf.DUMMYFUNCTION("split(B2946,""_"")"),907.0)</f>
        <v>907</v>
      </c>
      <c r="D2946" s="2" t="str">
        <f>IFERROR(__xludf.DUMMYFUNCTION("""COMPUTED_VALUE"""),"EX")</f>
        <v>EX</v>
      </c>
      <c r="E2946" s="2" t="str">
        <f>IFERROR(__xludf.DUMMYFUNCTION("""COMPUTED_VALUE"""),"金23")</f>
        <v>金23</v>
      </c>
      <c r="F2946" s="2" t="s">
        <v>8983</v>
      </c>
      <c r="G2946" s="2" t="s">
        <v>8988</v>
      </c>
      <c r="H2946" s="1">
        <v>3.0</v>
      </c>
      <c r="I2946" s="1" t="s">
        <v>14</v>
      </c>
      <c r="J2946" s="1" t="s">
        <v>1435</v>
      </c>
      <c r="K2946" s="2" t="s">
        <v>8989</v>
      </c>
      <c r="L2946" s="10" t="s">
        <v>2775</v>
      </c>
      <c r="M2946" s="2" t="str">
        <f>IFERROR(__xludf.DUMMYFUNCTION("split(split(K2946,""福田沙紀、"",false),""公式LINE"",false)"),"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f>
        <v>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v>
      </c>
      <c r="N2946" s="2"/>
      <c r="O2946" s="2"/>
      <c r="P2946" s="1"/>
      <c r="Q2946" s="1"/>
      <c r="R2946" s="1"/>
      <c r="S2946" s="1"/>
      <c r="T2946" s="1"/>
      <c r="U2946" s="1"/>
      <c r="V2946" s="1"/>
      <c r="W2946" s="1"/>
      <c r="X2946" s="1"/>
      <c r="Y2946" s="1"/>
      <c r="Z2946" s="1"/>
      <c r="AA2946" s="1"/>
      <c r="AB2946" s="1"/>
      <c r="AC2946" s="1"/>
      <c r="AD2946" s="1"/>
      <c r="AE2946" s="1"/>
      <c r="AF2946" s="1"/>
      <c r="AG2946" s="1"/>
      <c r="AH2946" s="1"/>
      <c r="AI2946" s="1"/>
      <c r="AJ2946" s="1"/>
      <c r="AK2946" s="1"/>
      <c r="AL2946" s="1"/>
      <c r="AM2946" s="1"/>
      <c r="AN2946" s="1"/>
      <c r="AO2946" s="1"/>
      <c r="AP2946" s="1"/>
      <c r="AQ2946" s="1"/>
      <c r="AR2946" s="1"/>
      <c r="AS2946" s="1"/>
      <c r="AT2946" s="1"/>
      <c r="AU2946" s="1"/>
      <c r="AV2946" s="1"/>
      <c r="AW2946" s="1"/>
      <c r="AX2946" s="1"/>
      <c r="AY2946" s="1"/>
      <c r="AZ2946" s="1"/>
      <c r="BA2946" s="1"/>
      <c r="BB2946" s="1"/>
    </row>
    <row r="2947" ht="204.75" customHeight="1">
      <c r="A2947" s="1">
        <v>5184.0</v>
      </c>
      <c r="B2947" s="2" t="s">
        <v>8982</v>
      </c>
      <c r="C2947" s="2">
        <f>IFERROR(__xludf.DUMMYFUNCTION("split(B2947,""_"")"),907.0)</f>
        <v>907</v>
      </c>
      <c r="D2947" s="2" t="str">
        <f>IFERROR(__xludf.DUMMYFUNCTION("""COMPUTED_VALUE"""),"EX")</f>
        <v>EX</v>
      </c>
      <c r="E2947" s="2" t="str">
        <f>IFERROR(__xludf.DUMMYFUNCTION("""COMPUTED_VALUE"""),"金23")</f>
        <v>金23</v>
      </c>
      <c r="F2947" s="2" t="s">
        <v>8983</v>
      </c>
      <c r="G2947" s="2" t="s">
        <v>8990</v>
      </c>
      <c r="H2947" s="1">
        <v>4.0</v>
      </c>
      <c r="I2947" s="1" t="s">
        <v>17</v>
      </c>
      <c r="J2947" s="1" t="s">
        <v>1435</v>
      </c>
      <c r="K2947" s="2" t="s">
        <v>8991</v>
      </c>
      <c r="L2947" s="10" t="s">
        <v>2775</v>
      </c>
      <c r="M2947" s="2" t="str">
        <f>IFERROR(__xludf.DUMMYFUNCTION("split(split(K2947,""福田沙紀、"",false),""公式LINE"",false)"),"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f>
        <v>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v>
      </c>
      <c r="N2947" s="2"/>
      <c r="O2947" s="2"/>
      <c r="P2947" s="1"/>
      <c r="Q2947" s="1"/>
      <c r="R2947" s="1"/>
      <c r="S2947" s="1"/>
      <c r="T2947" s="1"/>
      <c r="U2947" s="1"/>
      <c r="V2947" s="1"/>
      <c r="W2947" s="1"/>
      <c r="X2947" s="1"/>
      <c r="Y2947" s="1"/>
      <c r="Z2947" s="1"/>
      <c r="AA2947" s="1"/>
      <c r="AB2947" s="1"/>
      <c r="AC2947" s="1"/>
      <c r="AD2947" s="1"/>
      <c r="AE2947" s="1"/>
      <c r="AF2947" s="1"/>
      <c r="AG2947" s="1"/>
      <c r="AH2947" s="1"/>
      <c r="AI2947" s="1"/>
      <c r="AJ2947" s="1"/>
      <c r="AK2947" s="1"/>
      <c r="AL2947" s="1"/>
      <c r="AM2947" s="1"/>
      <c r="AN2947" s="1"/>
      <c r="AO2947" s="1"/>
      <c r="AP2947" s="1"/>
      <c r="AQ2947" s="1"/>
      <c r="AR2947" s="1"/>
      <c r="AS2947" s="1"/>
      <c r="AT2947" s="1"/>
      <c r="AU2947" s="1"/>
      <c r="AV2947" s="1"/>
      <c r="AW2947" s="1"/>
      <c r="AX2947" s="1"/>
      <c r="AY2947" s="1"/>
      <c r="AZ2947" s="1"/>
      <c r="BA2947" s="1"/>
      <c r="BB2947" s="1"/>
    </row>
    <row r="2948" ht="204.75" customHeight="1">
      <c r="A2948" s="1">
        <v>5185.0</v>
      </c>
      <c r="B2948" s="2" t="s">
        <v>8982</v>
      </c>
      <c r="C2948" s="2">
        <f>IFERROR(__xludf.DUMMYFUNCTION("split(B2948,""_"")"),907.0)</f>
        <v>907</v>
      </c>
      <c r="D2948" s="2" t="str">
        <f>IFERROR(__xludf.DUMMYFUNCTION("""COMPUTED_VALUE"""),"EX")</f>
        <v>EX</v>
      </c>
      <c r="E2948" s="2" t="str">
        <f>IFERROR(__xludf.DUMMYFUNCTION("""COMPUTED_VALUE"""),"金23")</f>
        <v>金23</v>
      </c>
      <c r="F2948" s="2" t="s">
        <v>8983</v>
      </c>
      <c r="G2948" s="2" t="s">
        <v>8992</v>
      </c>
      <c r="H2948" s="1">
        <v>5.0</v>
      </c>
      <c r="I2948" s="1" t="s">
        <v>21</v>
      </c>
      <c r="J2948" s="1" t="s">
        <v>1435</v>
      </c>
      <c r="K2948" s="2" t="s">
        <v>8993</v>
      </c>
      <c r="L2948" s="10" t="s">
        <v>2775</v>
      </c>
      <c r="M2948" s="2" t="str">
        <f>IFERROR(__xludf.DUMMYFUNCTION("split(split(K2948,""福田沙紀、"",false),""公式LINE"",false)"),"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f>
        <v>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v>
      </c>
      <c r="N2948" s="2"/>
      <c r="O2948" s="2"/>
      <c r="P2948" s="1"/>
      <c r="Q2948" s="1"/>
      <c r="R2948" s="1"/>
      <c r="S2948" s="1"/>
      <c r="T2948" s="1"/>
      <c r="U2948" s="1"/>
      <c r="V2948" s="1"/>
      <c r="W2948" s="1"/>
      <c r="X2948" s="1"/>
      <c r="Y2948" s="1"/>
      <c r="Z2948" s="1"/>
      <c r="AA2948" s="1"/>
      <c r="AB2948" s="1"/>
      <c r="AC2948" s="1"/>
      <c r="AD2948" s="1"/>
      <c r="AE2948" s="1"/>
      <c r="AF2948" s="1"/>
      <c r="AG2948" s="1"/>
      <c r="AH2948" s="1"/>
      <c r="AI2948" s="1"/>
      <c r="AJ2948" s="1"/>
      <c r="AK2948" s="1"/>
      <c r="AL2948" s="1"/>
      <c r="AM2948" s="1"/>
      <c r="AN2948" s="1"/>
      <c r="AO2948" s="1"/>
      <c r="AP2948" s="1"/>
      <c r="AQ2948" s="1"/>
      <c r="AR2948" s="1"/>
      <c r="AS2948" s="1"/>
      <c r="AT2948" s="1"/>
      <c r="AU2948" s="1"/>
      <c r="AV2948" s="1"/>
      <c r="AW2948" s="1"/>
      <c r="AX2948" s="1"/>
      <c r="AY2948" s="1"/>
      <c r="AZ2948" s="1"/>
      <c r="BA2948" s="1"/>
      <c r="BB2948" s="1"/>
    </row>
    <row r="2949" ht="204.75" customHeight="1">
      <c r="A2949" s="1">
        <v>5186.0</v>
      </c>
      <c r="B2949" s="2" t="s">
        <v>8982</v>
      </c>
      <c r="C2949" s="2">
        <f>IFERROR(__xludf.DUMMYFUNCTION("split(B2949,""_"")"),907.0)</f>
        <v>907</v>
      </c>
      <c r="D2949" s="2" t="str">
        <f>IFERROR(__xludf.DUMMYFUNCTION("""COMPUTED_VALUE"""),"EX")</f>
        <v>EX</v>
      </c>
      <c r="E2949" s="2" t="str">
        <f>IFERROR(__xludf.DUMMYFUNCTION("""COMPUTED_VALUE"""),"金23")</f>
        <v>金23</v>
      </c>
      <c r="F2949" s="2" t="s">
        <v>8983</v>
      </c>
      <c r="G2949" s="2" t="s">
        <v>8994</v>
      </c>
      <c r="H2949" s="1">
        <v>6.0</v>
      </c>
      <c r="I2949" s="1" t="s">
        <v>25</v>
      </c>
      <c r="J2949" s="1" t="s">
        <v>1435</v>
      </c>
      <c r="K2949" s="2" t="s">
        <v>8995</v>
      </c>
      <c r="L2949" s="10" t="s">
        <v>2775</v>
      </c>
      <c r="M2949" s="2" t="str">
        <f>IFERROR(__xludf.DUMMYFUNCTION("split(split(K2949,""福田沙紀、"",false),""公式LINE"",false)"),"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f>
        <v>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v>
      </c>
      <c r="N2949" s="2"/>
      <c r="O2949" s="2"/>
      <c r="P2949" s="1"/>
      <c r="Q2949" s="1"/>
      <c r="R2949" s="1"/>
      <c r="S2949" s="1"/>
      <c r="T2949" s="1"/>
      <c r="U2949" s="1"/>
      <c r="V2949" s="1"/>
      <c r="W2949" s="1"/>
      <c r="X2949" s="1"/>
      <c r="Y2949" s="1"/>
      <c r="Z2949" s="1"/>
      <c r="AA2949" s="1"/>
      <c r="AB2949" s="1"/>
      <c r="AC2949" s="1"/>
      <c r="AD2949" s="1"/>
      <c r="AE2949" s="1"/>
      <c r="AF2949" s="1"/>
      <c r="AG2949" s="1"/>
      <c r="AH2949" s="1"/>
      <c r="AI2949" s="1"/>
      <c r="AJ2949" s="1"/>
      <c r="AK2949" s="1"/>
      <c r="AL2949" s="1"/>
      <c r="AM2949" s="1"/>
      <c r="AN2949" s="1"/>
      <c r="AO2949" s="1"/>
      <c r="AP2949" s="1"/>
      <c r="AQ2949" s="1"/>
      <c r="AR2949" s="1"/>
      <c r="AS2949" s="1"/>
      <c r="AT2949" s="1"/>
      <c r="AU2949" s="1"/>
      <c r="AV2949" s="1"/>
      <c r="AW2949" s="1"/>
      <c r="AX2949" s="1"/>
      <c r="AY2949" s="1"/>
      <c r="AZ2949" s="1"/>
      <c r="BA2949" s="1"/>
      <c r="BB2949" s="1"/>
    </row>
    <row r="2950" ht="204.75" customHeight="1">
      <c r="A2950" s="1">
        <v>5187.0</v>
      </c>
      <c r="B2950" s="2" t="s">
        <v>8982</v>
      </c>
      <c r="C2950" s="2">
        <f>IFERROR(__xludf.DUMMYFUNCTION("split(B2950,""_"")"),907.0)</f>
        <v>907</v>
      </c>
      <c r="D2950" s="2" t="str">
        <f>IFERROR(__xludf.DUMMYFUNCTION("""COMPUTED_VALUE"""),"EX")</f>
        <v>EX</v>
      </c>
      <c r="E2950" s="2" t="str">
        <f>IFERROR(__xludf.DUMMYFUNCTION("""COMPUTED_VALUE"""),"金23")</f>
        <v>金23</v>
      </c>
      <c r="F2950" s="2" t="s">
        <v>8983</v>
      </c>
      <c r="G2950" s="2" t="s">
        <v>8996</v>
      </c>
      <c r="H2950" s="1">
        <v>7.0</v>
      </c>
      <c r="I2950" s="1" t="s">
        <v>29</v>
      </c>
      <c r="J2950" s="1" t="s">
        <v>1435</v>
      </c>
      <c r="K2950" s="2" t="s">
        <v>8997</v>
      </c>
      <c r="L2950" s="10" t="s">
        <v>2775</v>
      </c>
      <c r="M2950" s="2" t="str">
        <f>IFERROR(__xludf.DUMMYFUNCTION("split(split(K2950,""福田沙紀、"",false),""公式LINE"",false)"),"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f>
        <v>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v>
      </c>
      <c r="N2950" s="2"/>
      <c r="O2950" s="2"/>
      <c r="P2950" s="1"/>
      <c r="Q2950" s="1"/>
      <c r="R2950" s="1"/>
      <c r="S2950" s="1"/>
      <c r="T2950" s="1"/>
      <c r="U2950" s="1"/>
      <c r="V2950" s="1"/>
      <c r="W2950" s="1"/>
      <c r="X2950" s="1"/>
      <c r="Y2950" s="1"/>
      <c r="Z2950" s="1"/>
      <c r="AA2950" s="1"/>
      <c r="AB2950" s="1"/>
      <c r="AC2950" s="1"/>
      <c r="AD2950" s="1"/>
      <c r="AE2950" s="1"/>
      <c r="AF2950" s="1"/>
      <c r="AG2950" s="1"/>
      <c r="AH2950" s="1"/>
      <c r="AI2950" s="1"/>
      <c r="AJ2950" s="1"/>
      <c r="AK2950" s="1"/>
      <c r="AL2950" s="1"/>
      <c r="AM2950" s="1"/>
      <c r="AN2950" s="1"/>
      <c r="AO2950" s="1"/>
      <c r="AP2950" s="1"/>
      <c r="AQ2950" s="1"/>
      <c r="AR2950" s="1"/>
      <c r="AS2950" s="1"/>
      <c r="AT2950" s="1"/>
      <c r="AU2950" s="1"/>
      <c r="AV2950" s="1"/>
      <c r="AW2950" s="1"/>
      <c r="AX2950" s="1"/>
      <c r="AY2950" s="1"/>
      <c r="AZ2950" s="1"/>
      <c r="BA2950" s="1"/>
      <c r="BB2950" s="1"/>
    </row>
    <row r="2951" ht="204.75" customHeight="1">
      <c r="A2951" s="1">
        <v>5188.0</v>
      </c>
      <c r="B2951" s="2" t="s">
        <v>8982</v>
      </c>
      <c r="C2951" s="2">
        <f>IFERROR(__xludf.DUMMYFUNCTION("split(B2951,""_"")"),907.0)</f>
        <v>907</v>
      </c>
      <c r="D2951" s="2" t="str">
        <f>IFERROR(__xludf.DUMMYFUNCTION("""COMPUTED_VALUE"""),"EX")</f>
        <v>EX</v>
      </c>
      <c r="E2951" s="2" t="str">
        <f>IFERROR(__xludf.DUMMYFUNCTION("""COMPUTED_VALUE"""),"金23")</f>
        <v>金23</v>
      </c>
      <c r="F2951" s="2" t="s">
        <v>8983</v>
      </c>
      <c r="G2951" s="2" t="s">
        <v>8998</v>
      </c>
      <c r="H2951" s="1">
        <v>8.0</v>
      </c>
      <c r="I2951" s="1" t="s">
        <v>33</v>
      </c>
      <c r="J2951" s="1" t="s">
        <v>1435</v>
      </c>
      <c r="K2951" s="2" t="s">
        <v>8999</v>
      </c>
      <c r="L2951" s="10" t="s">
        <v>2775</v>
      </c>
      <c r="M2951" s="2" t="str">
        <f>IFERROR(__xludf.DUMMYFUNCTION("split(split(K2951,""福田沙紀、"",false),""公式LINE"",false)"),"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f>
        <v>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v>
      </c>
      <c r="N2951" s="2"/>
      <c r="O2951" s="2"/>
      <c r="P2951" s="1"/>
      <c r="Q2951" s="1"/>
      <c r="R2951" s="1"/>
      <c r="S2951" s="1"/>
      <c r="T2951" s="1"/>
      <c r="U2951" s="1"/>
      <c r="V2951" s="1"/>
      <c r="W2951" s="1"/>
      <c r="X2951" s="1"/>
      <c r="Y2951" s="1"/>
      <c r="Z2951" s="1"/>
      <c r="AA2951" s="1"/>
      <c r="AB2951" s="1"/>
      <c r="AC2951" s="1"/>
      <c r="AD2951" s="1"/>
      <c r="AE2951" s="1"/>
      <c r="AF2951" s="1"/>
      <c r="AG2951" s="1"/>
      <c r="AH2951" s="1"/>
      <c r="AI2951" s="1"/>
      <c r="AJ2951" s="1"/>
      <c r="AK2951" s="1"/>
      <c r="AL2951" s="1"/>
      <c r="AM2951" s="1"/>
      <c r="AN2951" s="1"/>
      <c r="AO2951" s="1"/>
      <c r="AP2951" s="1"/>
      <c r="AQ2951" s="1"/>
      <c r="AR2951" s="1"/>
      <c r="AS2951" s="1"/>
      <c r="AT2951" s="1"/>
      <c r="AU2951" s="1"/>
      <c r="AV2951" s="1"/>
      <c r="AW2951" s="1"/>
      <c r="AX2951" s="1"/>
      <c r="AY2951" s="1"/>
      <c r="AZ2951" s="1"/>
      <c r="BA2951" s="1"/>
      <c r="BB2951" s="1"/>
    </row>
    <row r="2952" ht="204.75" customHeight="1">
      <c r="A2952" s="1">
        <v>5189.0</v>
      </c>
      <c r="B2952" s="2" t="s">
        <v>8982</v>
      </c>
      <c r="C2952" s="2">
        <f>IFERROR(__xludf.DUMMYFUNCTION("split(B2952,""_"")"),907.0)</f>
        <v>907</v>
      </c>
      <c r="D2952" s="2" t="str">
        <f>IFERROR(__xludf.DUMMYFUNCTION("""COMPUTED_VALUE"""),"EX")</f>
        <v>EX</v>
      </c>
      <c r="E2952" s="2" t="str">
        <f>IFERROR(__xludf.DUMMYFUNCTION("""COMPUTED_VALUE"""),"金23")</f>
        <v>金23</v>
      </c>
      <c r="F2952" s="2" t="s">
        <v>8983</v>
      </c>
      <c r="G2952" s="2" t="s">
        <v>9000</v>
      </c>
      <c r="H2952" s="1">
        <v>9.0</v>
      </c>
      <c r="I2952" s="1" t="s">
        <v>37</v>
      </c>
      <c r="J2952" s="1" t="s">
        <v>1435</v>
      </c>
      <c r="K2952" s="2" t="s">
        <v>9001</v>
      </c>
      <c r="L2952" s="10" t="s">
        <v>2775</v>
      </c>
      <c r="M2952" s="2" t="str">
        <f>IFERROR(__xludf.DUMMYFUNCTION("split(split(K2952,""福田沙紀、"",false),""公式LINE"",false)"),"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f>
        <v>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v>
      </c>
      <c r="N2952" s="2"/>
      <c r="O2952" s="2"/>
      <c r="P2952" s="1"/>
      <c r="Q2952" s="1"/>
      <c r="R2952" s="1"/>
      <c r="S2952" s="1"/>
      <c r="T2952" s="1"/>
      <c r="U2952" s="1"/>
      <c r="V2952" s="1"/>
      <c r="W2952" s="1"/>
      <c r="X2952" s="1"/>
      <c r="Y2952" s="1"/>
      <c r="Z2952" s="1"/>
      <c r="AA2952" s="1"/>
      <c r="AB2952" s="1"/>
      <c r="AC2952" s="1"/>
      <c r="AD2952" s="1"/>
      <c r="AE2952" s="1"/>
      <c r="AF2952" s="1"/>
      <c r="AG2952" s="1"/>
      <c r="AH2952" s="1"/>
      <c r="AI2952" s="1"/>
      <c r="AJ2952" s="1"/>
      <c r="AK2952" s="1"/>
      <c r="AL2952" s="1"/>
      <c r="AM2952" s="1"/>
      <c r="AN2952" s="1"/>
      <c r="AO2952" s="1"/>
      <c r="AP2952" s="1"/>
      <c r="AQ2952" s="1"/>
      <c r="AR2952" s="1"/>
      <c r="AS2952" s="1"/>
      <c r="AT2952" s="1"/>
      <c r="AU2952" s="1"/>
      <c r="AV2952" s="1"/>
      <c r="AW2952" s="1"/>
      <c r="AX2952" s="1"/>
      <c r="AY2952" s="1"/>
      <c r="AZ2952" s="1"/>
      <c r="BA2952" s="1"/>
      <c r="BB2952" s="1"/>
    </row>
    <row r="2953" ht="204.75" customHeight="1">
      <c r="A2953" s="1">
        <v>5190.0</v>
      </c>
      <c r="B2953" s="2" t="s">
        <v>8982</v>
      </c>
      <c r="C2953" s="2">
        <f>IFERROR(__xludf.DUMMYFUNCTION("split(B2953,""_"")"),907.0)</f>
        <v>907</v>
      </c>
      <c r="D2953" s="2" t="str">
        <f>IFERROR(__xludf.DUMMYFUNCTION("""COMPUTED_VALUE"""),"EX")</f>
        <v>EX</v>
      </c>
      <c r="E2953" s="2" t="str">
        <f>IFERROR(__xludf.DUMMYFUNCTION("""COMPUTED_VALUE"""),"金23")</f>
        <v>金23</v>
      </c>
      <c r="F2953" s="2" t="s">
        <v>8983</v>
      </c>
      <c r="G2953" s="2" t="s">
        <v>9002</v>
      </c>
      <c r="H2953" s="1">
        <v>10.0</v>
      </c>
      <c r="J2953" s="1" t="s">
        <v>1435</v>
      </c>
      <c r="K2953" s="2" t="s">
        <v>9003</v>
      </c>
      <c r="L2953" s="10" t="s">
        <v>2775</v>
      </c>
      <c r="M2953" s="2" t="str">
        <f>IFERROR(__xludf.DUMMYFUNCTION("split(split(K2953,""福田沙紀、"",false),""公式LINE"",false)"),"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f>
        <v>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v>
      </c>
      <c r="N2953" s="2"/>
      <c r="O2953" s="2"/>
      <c r="P2953" s="1"/>
      <c r="Q2953" s="1"/>
      <c r="R2953" s="1"/>
      <c r="S2953" s="1"/>
      <c r="T2953" s="1"/>
      <c r="U2953" s="1"/>
      <c r="V2953" s="1"/>
      <c r="W2953" s="1"/>
      <c r="X2953" s="1"/>
      <c r="Y2953" s="1"/>
      <c r="Z2953" s="1"/>
      <c r="AA2953" s="1"/>
      <c r="AB2953" s="1"/>
      <c r="AC2953" s="1"/>
      <c r="AD2953" s="1"/>
      <c r="AE2953" s="1"/>
      <c r="AF2953" s="1"/>
      <c r="AG2953" s="1"/>
      <c r="AH2953" s="1"/>
      <c r="AI2953" s="1"/>
      <c r="AJ2953" s="1"/>
      <c r="AK2953" s="1"/>
      <c r="AL2953" s="1"/>
      <c r="AM2953" s="1"/>
      <c r="AN2953" s="1"/>
      <c r="AO2953" s="1"/>
      <c r="AP2953" s="1"/>
      <c r="AQ2953" s="1"/>
      <c r="AR2953" s="1"/>
      <c r="AS2953" s="1"/>
      <c r="AT2953" s="1"/>
      <c r="AU2953" s="1"/>
      <c r="AV2953" s="1"/>
      <c r="AW2953" s="1"/>
      <c r="AX2953" s="1"/>
      <c r="AY2953" s="1"/>
      <c r="AZ2953" s="1"/>
      <c r="BA2953" s="1"/>
      <c r="BB2953" s="1"/>
    </row>
    <row r="2954" ht="204.75" customHeight="1">
      <c r="A2954" s="1">
        <v>5283.0</v>
      </c>
      <c r="B2954" s="2" t="s">
        <v>9004</v>
      </c>
      <c r="C2954" s="2">
        <f>IFERROR(__xludf.DUMMYFUNCTION("split(B2954,""_"")"),904.0)</f>
        <v>904</v>
      </c>
      <c r="D2954" s="2" t="str">
        <f>IFERROR(__xludf.DUMMYFUNCTION("""COMPUTED_VALUE"""),"EX")</f>
        <v>EX</v>
      </c>
      <c r="E2954" s="2" t="str">
        <f>IFERROR(__xludf.DUMMYFUNCTION("""COMPUTED_VALUE"""),"水21")</f>
        <v>水21</v>
      </c>
      <c r="F2954" s="2" t="s">
        <v>8736</v>
      </c>
      <c r="G2954" s="2" t="s">
        <v>9005</v>
      </c>
      <c r="H2954" s="1">
        <v>4.0</v>
      </c>
      <c r="J2954" s="1" t="s">
        <v>11</v>
      </c>
      <c r="K2954" s="4" t="s">
        <v>9006</v>
      </c>
      <c r="L2954" s="10" t="s">
        <v>2775</v>
      </c>
      <c r="M2954" s="2" t="str">
        <f>IFERROR(__xludf.DUMMYFUNCTION("split(split(K2954,""内野聖陽　"",false),""公式LINE"",false)"),"臨場とは、事件現場に臨み、初動捜査に当たること。遺体や現場に残された物証から、事件の筋立てを読む検視官・倉石義男は、優秀だが死者の声をすべて拾えれば周囲との軋轢など気にしない組織の厄介者。「拾えるものは、根こそぎ拾ってやれ」彼の死者に対する悼み方、優しさが死因を追究し事件解決へ導く。　")</f>
        <v>臨場とは、事件現場に臨み、初動捜査に当たること。遺体や現場に残された物証から、事件の筋立てを読む検視官・倉石義男は、優秀だが死者の声をすべて拾えれば周囲との軋轢など気にしない組織の厄介者。「拾えるものは、根こそぎ拾ってやれ」彼の死者に対する悼み方、優しさが死因を追究し事件解決へ導く。　</v>
      </c>
      <c r="N2954" s="2"/>
      <c r="O2954" s="2"/>
      <c r="P2954" s="1"/>
      <c r="Q2954" s="1"/>
      <c r="R2954" s="1"/>
      <c r="S2954" s="1"/>
      <c r="T2954" s="1"/>
      <c r="U2954" s="1"/>
      <c r="V2954" s="1"/>
      <c r="W2954" s="1"/>
      <c r="X2954" s="1"/>
      <c r="Y2954" s="1"/>
      <c r="Z2954" s="1"/>
      <c r="AA2954" s="1"/>
      <c r="AB2954" s="1"/>
      <c r="AC2954" s="1"/>
      <c r="AD2954" s="1"/>
      <c r="AE2954" s="1"/>
      <c r="AF2954" s="1"/>
      <c r="AG2954" s="1"/>
      <c r="AH2954" s="1"/>
      <c r="AI2954" s="1"/>
      <c r="AJ2954" s="1"/>
      <c r="AK2954" s="1"/>
      <c r="AL2954" s="1"/>
      <c r="AM2954" s="1"/>
      <c r="AN2954" s="1"/>
      <c r="AO2954" s="1"/>
      <c r="AP2954" s="1"/>
      <c r="AQ2954" s="1"/>
      <c r="AR2954" s="1"/>
      <c r="AS2954" s="1"/>
      <c r="AT2954" s="1"/>
      <c r="AU2954" s="1"/>
      <c r="AV2954" s="1"/>
      <c r="AW2954" s="1"/>
      <c r="AX2954" s="1"/>
      <c r="AY2954" s="1"/>
      <c r="AZ2954" s="1"/>
      <c r="BA2954" s="1"/>
      <c r="BB2954" s="1"/>
    </row>
    <row r="2955" ht="204.75" customHeight="1">
      <c r="A2955" s="1">
        <v>5284.0</v>
      </c>
      <c r="B2955" s="2" t="s">
        <v>9004</v>
      </c>
      <c r="C2955" s="2">
        <f>IFERROR(__xludf.DUMMYFUNCTION("split(B2955,""_"")"),904.0)</f>
        <v>904</v>
      </c>
      <c r="D2955" s="2" t="str">
        <f>IFERROR(__xludf.DUMMYFUNCTION("""COMPUTED_VALUE"""),"EX")</f>
        <v>EX</v>
      </c>
      <c r="E2955" s="2" t="str">
        <f>IFERROR(__xludf.DUMMYFUNCTION("""COMPUTED_VALUE"""),"水21")</f>
        <v>水21</v>
      </c>
      <c r="F2955" s="2" t="s">
        <v>8736</v>
      </c>
      <c r="G2955" s="2" t="s">
        <v>9005</v>
      </c>
      <c r="H2955" s="1">
        <v>6.0</v>
      </c>
      <c r="J2955" s="1" t="s">
        <v>11</v>
      </c>
      <c r="K2955" s="2" t="s">
        <v>9007</v>
      </c>
      <c r="L2955" s="10" t="s">
        <v>2775</v>
      </c>
      <c r="M2955" s="2" t="str">
        <f>IFERROR(__xludf.DUMMYFUNCTION("split(split(K2955,""内野聖陽　"",false),""公式LINE"",false)"),"臨場とは、事件現場に臨み、初動捜査に当たること。遺体や現場に残された物証から、事件の筋立てを読む検視官・倉石義男は、優秀だが死者の声をすべて拾えれば周囲との軋轢など気にしない組織の厄介者。「拾えるものは、根こそぎ拾ってやれ」彼の死者に対する悼み方、優しさが死因を追究し事件解決へ導く。　")</f>
        <v>臨場とは、事件現場に臨み、初動捜査に当たること。遺体や現場に残された物証から、事件の筋立てを読む検視官・倉石義男は、優秀だが死者の声をすべて拾えれば周囲との軋轢など気にしない組織の厄介者。「拾えるものは、根こそぎ拾ってやれ」彼の死者に対する悼み方、優しさが死因を追究し事件解決へ導く。　</v>
      </c>
      <c r="N2955" s="2"/>
      <c r="O2955" s="2"/>
      <c r="P2955" s="1"/>
      <c r="Q2955" s="1"/>
      <c r="R2955" s="1"/>
      <c r="S2955" s="1"/>
      <c r="T2955" s="1"/>
      <c r="U2955" s="1"/>
      <c r="V2955" s="1"/>
      <c r="W2955" s="1"/>
      <c r="X2955" s="1"/>
      <c r="Y2955" s="1"/>
      <c r="Z2955" s="1"/>
      <c r="AA2955" s="1"/>
      <c r="AB2955" s="1"/>
      <c r="AC2955" s="1"/>
      <c r="AD2955" s="1"/>
      <c r="AE2955" s="1"/>
      <c r="AF2955" s="1"/>
      <c r="AG2955" s="1"/>
      <c r="AH2955" s="1"/>
      <c r="AI2955" s="1"/>
      <c r="AJ2955" s="1"/>
      <c r="AK2955" s="1"/>
      <c r="AL2955" s="1"/>
      <c r="AM2955" s="1"/>
      <c r="AN2955" s="1"/>
      <c r="AO2955" s="1"/>
      <c r="AP2955" s="1"/>
      <c r="AQ2955" s="1"/>
      <c r="AR2955" s="1"/>
      <c r="AS2955" s="1"/>
      <c r="AT2955" s="1"/>
      <c r="AU2955" s="1"/>
      <c r="AV2955" s="1"/>
      <c r="AW2955" s="1"/>
      <c r="AX2955" s="1"/>
      <c r="AY2955" s="1"/>
      <c r="AZ2955" s="1"/>
      <c r="BA2955" s="1"/>
      <c r="BB2955" s="1"/>
    </row>
    <row r="2956" ht="204.75" customHeight="1">
      <c r="A2956" s="1">
        <v>5285.0</v>
      </c>
      <c r="B2956" s="2" t="s">
        <v>9004</v>
      </c>
      <c r="C2956" s="2">
        <f>IFERROR(__xludf.DUMMYFUNCTION("split(B2956,""_"")"),904.0)</f>
        <v>904</v>
      </c>
      <c r="D2956" s="2" t="str">
        <f>IFERROR(__xludf.DUMMYFUNCTION("""COMPUTED_VALUE"""),"EX")</f>
        <v>EX</v>
      </c>
      <c r="E2956" s="2" t="str">
        <f>IFERROR(__xludf.DUMMYFUNCTION("""COMPUTED_VALUE"""),"水21")</f>
        <v>水21</v>
      </c>
      <c r="F2956" s="2" t="s">
        <v>8736</v>
      </c>
      <c r="G2956" s="2" t="s">
        <v>9005</v>
      </c>
      <c r="H2956" s="1">
        <v>7.0</v>
      </c>
      <c r="J2956" s="1" t="s">
        <v>11</v>
      </c>
      <c r="K2956" s="2" t="s">
        <v>9008</v>
      </c>
      <c r="L2956" s="10" t="s">
        <v>2775</v>
      </c>
      <c r="M2956" s="2" t="str">
        <f>IFERROR(__xludf.DUMMYFUNCTION("split(split(K2956,""内野聖陽　"",false),""公式LINE"",false)"),"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f>
        <v>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v>
      </c>
      <c r="N2956" s="2"/>
      <c r="O2956" s="2"/>
      <c r="P2956" s="1"/>
      <c r="Q2956" s="1"/>
      <c r="R2956" s="1"/>
      <c r="S2956" s="1"/>
      <c r="T2956" s="1"/>
      <c r="U2956" s="1"/>
      <c r="V2956" s="1"/>
      <c r="W2956" s="1"/>
      <c r="X2956" s="1"/>
      <c r="Y2956" s="1"/>
      <c r="Z2956" s="1"/>
      <c r="AA2956" s="1"/>
      <c r="AB2956" s="1"/>
      <c r="AC2956" s="1"/>
      <c r="AD2956" s="1"/>
      <c r="AE2956" s="1"/>
      <c r="AF2956" s="1"/>
      <c r="AG2956" s="1"/>
      <c r="AH2956" s="1"/>
      <c r="AI2956" s="1"/>
      <c r="AJ2956" s="1"/>
      <c r="AK2956" s="1"/>
      <c r="AL2956" s="1"/>
      <c r="AM2956" s="1"/>
      <c r="AN2956" s="1"/>
      <c r="AO2956" s="1"/>
      <c r="AP2956" s="1"/>
      <c r="AQ2956" s="1"/>
      <c r="AR2956" s="1"/>
      <c r="AS2956" s="1"/>
      <c r="AT2956" s="1"/>
      <c r="AU2956" s="1"/>
      <c r="AV2956" s="1"/>
      <c r="AW2956" s="1"/>
      <c r="AX2956" s="1"/>
      <c r="AY2956" s="1"/>
      <c r="AZ2956" s="1"/>
      <c r="BA2956" s="1"/>
      <c r="BB2956" s="1"/>
    </row>
    <row r="2957" ht="204.75" customHeight="1">
      <c r="A2957" s="1">
        <v>5286.0</v>
      </c>
      <c r="B2957" s="2" t="s">
        <v>9004</v>
      </c>
      <c r="C2957" s="2">
        <f>IFERROR(__xludf.DUMMYFUNCTION("split(B2957,""_"")"),904.0)</f>
        <v>904</v>
      </c>
      <c r="D2957" s="2" t="str">
        <f>IFERROR(__xludf.DUMMYFUNCTION("""COMPUTED_VALUE"""),"EX")</f>
        <v>EX</v>
      </c>
      <c r="E2957" s="2" t="str">
        <f>IFERROR(__xludf.DUMMYFUNCTION("""COMPUTED_VALUE"""),"水21")</f>
        <v>水21</v>
      </c>
      <c r="F2957" s="2" t="s">
        <v>8736</v>
      </c>
      <c r="G2957" s="2" t="s">
        <v>9005</v>
      </c>
      <c r="H2957" s="1">
        <v>9.0</v>
      </c>
      <c r="J2957" s="1" t="s">
        <v>11</v>
      </c>
      <c r="K2957" s="2" t="s">
        <v>9009</v>
      </c>
      <c r="L2957" s="10" t="s">
        <v>2775</v>
      </c>
      <c r="M2957" s="2" t="str">
        <f>IFERROR(__xludf.DUMMYFUNCTION("split(split(K2957,""内野聖陽　"",false),""公式LINE"",false)"),"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f>
        <v>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v>
      </c>
      <c r="N2957" s="2"/>
      <c r="O2957" s="2"/>
      <c r="P2957" s="1"/>
      <c r="Q2957" s="1"/>
      <c r="R2957" s="1"/>
      <c r="S2957" s="1"/>
      <c r="T2957" s="1"/>
      <c r="U2957" s="1"/>
      <c r="V2957" s="1"/>
      <c r="W2957" s="1"/>
      <c r="X2957" s="1"/>
      <c r="Y2957" s="1"/>
      <c r="Z2957" s="1"/>
      <c r="AA2957" s="1"/>
      <c r="AB2957" s="1"/>
      <c r="AC2957" s="1"/>
      <c r="AD2957" s="1"/>
      <c r="AE2957" s="1"/>
      <c r="AF2957" s="1"/>
      <c r="AG2957" s="1"/>
      <c r="AH2957" s="1"/>
      <c r="AI2957" s="1"/>
      <c r="AJ2957" s="1"/>
      <c r="AK2957" s="1"/>
      <c r="AL2957" s="1"/>
      <c r="AM2957" s="1"/>
      <c r="AN2957" s="1"/>
      <c r="AO2957" s="1"/>
      <c r="AP2957" s="1"/>
      <c r="AQ2957" s="1"/>
      <c r="AR2957" s="1"/>
      <c r="AS2957" s="1"/>
      <c r="AT2957" s="1"/>
      <c r="AU2957" s="1"/>
      <c r="AV2957" s="1"/>
      <c r="AW2957" s="1"/>
      <c r="AX2957" s="1"/>
      <c r="AY2957" s="1"/>
      <c r="AZ2957" s="1"/>
      <c r="BA2957" s="1"/>
      <c r="BB2957" s="1"/>
    </row>
    <row r="2958" ht="204.75" customHeight="1">
      <c r="A2958" s="1">
        <v>5287.0</v>
      </c>
      <c r="B2958" s="2" t="s">
        <v>9004</v>
      </c>
      <c r="C2958" s="2">
        <f>IFERROR(__xludf.DUMMYFUNCTION("split(B2958,""_"")"),904.0)</f>
        <v>904</v>
      </c>
      <c r="D2958" s="2" t="str">
        <f>IFERROR(__xludf.DUMMYFUNCTION("""COMPUTED_VALUE"""),"EX")</f>
        <v>EX</v>
      </c>
      <c r="E2958" s="2" t="str">
        <f>IFERROR(__xludf.DUMMYFUNCTION("""COMPUTED_VALUE"""),"水21")</f>
        <v>水21</v>
      </c>
      <c r="F2958" s="2" t="s">
        <v>8736</v>
      </c>
      <c r="G2958" s="2" t="s">
        <v>9005</v>
      </c>
      <c r="H2958" s="1">
        <v>11.0</v>
      </c>
      <c r="J2958" s="1" t="s">
        <v>11</v>
      </c>
      <c r="K2958" s="2" t="s">
        <v>9010</v>
      </c>
      <c r="L2958" s="10" t="s">
        <v>2775</v>
      </c>
      <c r="M2958" s="2" t="str">
        <f>IFERROR(__xludf.DUMMYFUNCTION("split(split(K2958,""内野聖陽　"",false),""公式LINE"",false)"),"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f>
        <v>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v>
      </c>
      <c r="N2958" s="2"/>
      <c r="O2958" s="2"/>
      <c r="P2958" s="1"/>
      <c r="Q2958" s="1"/>
      <c r="R2958" s="1"/>
      <c r="S2958" s="1"/>
      <c r="T2958" s="1"/>
      <c r="U2958" s="1"/>
      <c r="V2958" s="1"/>
      <c r="W2958" s="1"/>
      <c r="X2958" s="1"/>
      <c r="Y2958" s="1"/>
      <c r="Z2958" s="1"/>
      <c r="AA2958" s="1"/>
      <c r="AB2958" s="1"/>
      <c r="AC2958" s="1"/>
      <c r="AD2958" s="1"/>
      <c r="AE2958" s="1"/>
      <c r="AF2958" s="1"/>
      <c r="AG2958" s="1"/>
      <c r="AH2958" s="1"/>
      <c r="AI2958" s="1"/>
      <c r="AJ2958" s="1"/>
      <c r="AK2958" s="1"/>
      <c r="AL2958" s="1"/>
      <c r="AM2958" s="1"/>
      <c r="AN2958" s="1"/>
      <c r="AO2958" s="1"/>
      <c r="AP2958" s="1"/>
      <c r="AQ2958" s="1"/>
      <c r="AR2958" s="1"/>
      <c r="AS2958" s="1"/>
      <c r="AT2958" s="1"/>
      <c r="AU2958" s="1"/>
      <c r="AV2958" s="1"/>
      <c r="AW2958" s="1"/>
      <c r="AX2958" s="1"/>
      <c r="AY2958" s="1"/>
      <c r="AZ2958" s="1"/>
      <c r="BA2958" s="1"/>
      <c r="BB2958" s="1"/>
    </row>
    <row r="2959" ht="204.75" customHeight="1">
      <c r="A2959" s="1">
        <v>5288.0</v>
      </c>
      <c r="B2959" s="2" t="s">
        <v>9004</v>
      </c>
      <c r="C2959" s="2">
        <f>IFERROR(__xludf.DUMMYFUNCTION("split(B2959,""_"")"),904.0)</f>
        <v>904</v>
      </c>
      <c r="D2959" s="2" t="str">
        <f>IFERROR(__xludf.DUMMYFUNCTION("""COMPUTED_VALUE"""),"EX")</f>
        <v>EX</v>
      </c>
      <c r="E2959" s="2" t="str">
        <f>IFERROR(__xludf.DUMMYFUNCTION("""COMPUTED_VALUE"""),"水21")</f>
        <v>水21</v>
      </c>
      <c r="F2959" s="2" t="s">
        <v>8736</v>
      </c>
      <c r="G2959" s="2" t="s">
        <v>9005</v>
      </c>
      <c r="H2959" s="1">
        <v>13.0</v>
      </c>
      <c r="J2959" s="1" t="s">
        <v>11</v>
      </c>
      <c r="K2959" s="2" t="s">
        <v>9011</v>
      </c>
      <c r="L2959" s="10" t="s">
        <v>2775</v>
      </c>
      <c r="M2959" s="2" t="str">
        <f>IFERROR(__xludf.DUMMYFUNCTION("split(split(K2959,""内野聖陽　"",false),""公式LINE"",false)"),"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f>
        <v>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v>
      </c>
      <c r="N2959" s="2"/>
      <c r="O2959" s="2"/>
      <c r="P2959" s="1"/>
      <c r="Q2959" s="1"/>
      <c r="R2959" s="1"/>
      <c r="S2959" s="1"/>
      <c r="T2959" s="1"/>
      <c r="U2959" s="1"/>
      <c r="V2959" s="1"/>
      <c r="W2959" s="1"/>
      <c r="X2959" s="1"/>
      <c r="Y2959" s="1"/>
      <c r="Z2959" s="1"/>
      <c r="AA2959" s="1"/>
      <c r="AB2959" s="1"/>
      <c r="AC2959" s="1"/>
      <c r="AD2959" s="1"/>
      <c r="AE2959" s="1"/>
      <c r="AF2959" s="1"/>
      <c r="AG2959" s="1"/>
      <c r="AH2959" s="1"/>
      <c r="AI2959" s="1"/>
      <c r="AJ2959" s="1"/>
      <c r="AK2959" s="1"/>
      <c r="AL2959" s="1"/>
      <c r="AM2959" s="1"/>
      <c r="AN2959" s="1"/>
      <c r="AO2959" s="1"/>
      <c r="AP2959" s="1"/>
      <c r="AQ2959" s="1"/>
      <c r="AR2959" s="1"/>
      <c r="AS2959" s="1"/>
      <c r="AT2959" s="1"/>
      <c r="AU2959" s="1"/>
      <c r="AV2959" s="1"/>
      <c r="AW2959" s="1"/>
      <c r="AX2959" s="1"/>
      <c r="AY2959" s="1"/>
      <c r="AZ2959" s="1"/>
      <c r="BA2959" s="1"/>
      <c r="BB2959" s="1"/>
    </row>
    <row r="2960" ht="204.75" customHeight="1">
      <c r="A2960" s="1">
        <v>5289.0</v>
      </c>
      <c r="B2960" s="2" t="s">
        <v>9004</v>
      </c>
      <c r="C2960" s="2">
        <f>IFERROR(__xludf.DUMMYFUNCTION("split(B2960,""_"")"),904.0)</f>
        <v>904</v>
      </c>
      <c r="D2960" s="2" t="str">
        <f>IFERROR(__xludf.DUMMYFUNCTION("""COMPUTED_VALUE"""),"EX")</f>
        <v>EX</v>
      </c>
      <c r="E2960" s="2" t="str">
        <f>IFERROR(__xludf.DUMMYFUNCTION("""COMPUTED_VALUE"""),"水21")</f>
        <v>水21</v>
      </c>
      <c r="F2960" s="2" t="s">
        <v>8736</v>
      </c>
      <c r="G2960" s="2" t="s">
        <v>9005</v>
      </c>
      <c r="H2960" s="1">
        <v>15.0</v>
      </c>
      <c r="J2960" s="1" t="s">
        <v>11</v>
      </c>
      <c r="K2960" s="2" t="s">
        <v>9012</v>
      </c>
      <c r="L2960" s="10" t="s">
        <v>2775</v>
      </c>
      <c r="M2960" s="2" t="str">
        <f>IFERROR(__xludf.DUMMYFUNCTION("split(split(K2960,""内野聖陽　"",false),""公式LINE"",false)"),"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f>
        <v>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v>
      </c>
      <c r="N2960" s="2"/>
      <c r="O2960" s="2"/>
      <c r="P2960" s="1"/>
      <c r="Q2960" s="1"/>
      <c r="R2960" s="1"/>
      <c r="S2960" s="1"/>
      <c r="T2960" s="1"/>
      <c r="U2960" s="1"/>
      <c r="V2960" s="1"/>
      <c r="W2960" s="1"/>
      <c r="X2960" s="1"/>
      <c r="Y2960" s="1"/>
      <c r="Z2960" s="1"/>
      <c r="AA2960" s="1"/>
      <c r="AB2960" s="1"/>
      <c r="AC2960" s="1"/>
      <c r="AD2960" s="1"/>
      <c r="AE2960" s="1"/>
      <c r="AF2960" s="1"/>
      <c r="AG2960" s="1"/>
      <c r="AH2960" s="1"/>
      <c r="AI2960" s="1"/>
      <c r="AJ2960" s="1"/>
      <c r="AK2960" s="1"/>
      <c r="AL2960" s="1"/>
      <c r="AM2960" s="1"/>
      <c r="AN2960" s="1"/>
      <c r="AO2960" s="1"/>
      <c r="AP2960" s="1"/>
      <c r="AQ2960" s="1"/>
      <c r="AR2960" s="1"/>
      <c r="AS2960" s="1"/>
      <c r="AT2960" s="1"/>
      <c r="AU2960" s="1"/>
      <c r="AV2960" s="1"/>
      <c r="AW2960" s="1"/>
      <c r="AX2960" s="1"/>
      <c r="AY2960" s="1"/>
      <c r="AZ2960" s="1"/>
      <c r="BA2960" s="1"/>
      <c r="BB2960" s="1"/>
    </row>
    <row r="2961" ht="204.75" customHeight="1">
      <c r="A2961" s="1">
        <v>5290.0</v>
      </c>
      <c r="B2961" s="2" t="s">
        <v>9004</v>
      </c>
      <c r="C2961" s="2">
        <f>IFERROR(__xludf.DUMMYFUNCTION("split(B2961,""_"")"),904.0)</f>
        <v>904</v>
      </c>
      <c r="D2961" s="2" t="str">
        <f>IFERROR(__xludf.DUMMYFUNCTION("""COMPUTED_VALUE"""),"EX")</f>
        <v>EX</v>
      </c>
      <c r="E2961" s="2" t="str">
        <f>IFERROR(__xludf.DUMMYFUNCTION("""COMPUTED_VALUE"""),"水21")</f>
        <v>水21</v>
      </c>
      <c r="F2961" s="2" t="s">
        <v>8736</v>
      </c>
      <c r="G2961" s="2" t="s">
        <v>9005</v>
      </c>
      <c r="H2961" s="1">
        <v>17.0</v>
      </c>
      <c r="J2961" s="1" t="s">
        <v>11</v>
      </c>
      <c r="K2961" s="2" t="s">
        <v>9013</v>
      </c>
      <c r="L2961" s="10" t="s">
        <v>2775</v>
      </c>
      <c r="M2961" s="2" t="str">
        <f>IFERROR(__xludf.DUMMYFUNCTION("split(split(K2961,""内野聖陽　"",false),""公式LINE"",false)"),"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f>
        <v>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v>
      </c>
      <c r="N2961" s="2"/>
      <c r="O2961" s="2"/>
      <c r="P2961" s="1"/>
      <c r="Q2961" s="1"/>
      <c r="R2961" s="1"/>
      <c r="S2961" s="1"/>
      <c r="T2961" s="1"/>
      <c r="U2961" s="1"/>
      <c r="V2961" s="1"/>
      <c r="W2961" s="1"/>
      <c r="X2961" s="1"/>
      <c r="Y2961" s="1"/>
      <c r="Z2961" s="1"/>
      <c r="AA2961" s="1"/>
      <c r="AB2961" s="1"/>
      <c r="AC2961" s="1"/>
      <c r="AD2961" s="1"/>
      <c r="AE2961" s="1"/>
      <c r="AF2961" s="1"/>
      <c r="AG2961" s="1"/>
      <c r="AH2961" s="1"/>
      <c r="AI2961" s="1"/>
      <c r="AJ2961" s="1"/>
      <c r="AK2961" s="1"/>
      <c r="AL2961" s="1"/>
      <c r="AM2961" s="1"/>
      <c r="AN2961" s="1"/>
      <c r="AO2961" s="1"/>
      <c r="AP2961" s="1"/>
      <c r="AQ2961" s="1"/>
      <c r="AR2961" s="1"/>
      <c r="AS2961" s="1"/>
      <c r="AT2961" s="1"/>
      <c r="AU2961" s="1"/>
      <c r="AV2961" s="1"/>
      <c r="AW2961" s="1"/>
      <c r="AX2961" s="1"/>
      <c r="AY2961" s="1"/>
      <c r="AZ2961" s="1"/>
      <c r="BA2961" s="1"/>
      <c r="BB2961" s="1"/>
    </row>
    <row r="2962" ht="204.75" customHeight="1">
      <c r="A2962" s="1">
        <v>5291.0</v>
      </c>
      <c r="B2962" s="2" t="s">
        <v>9004</v>
      </c>
      <c r="C2962" s="2">
        <f>IFERROR(__xludf.DUMMYFUNCTION("split(B2962,""_"")"),904.0)</f>
        <v>904</v>
      </c>
      <c r="D2962" s="2" t="str">
        <f>IFERROR(__xludf.DUMMYFUNCTION("""COMPUTED_VALUE"""),"EX")</f>
        <v>EX</v>
      </c>
      <c r="E2962" s="2" t="str">
        <f>IFERROR(__xludf.DUMMYFUNCTION("""COMPUTED_VALUE"""),"水21")</f>
        <v>水21</v>
      </c>
      <c r="F2962" s="2" t="s">
        <v>8736</v>
      </c>
      <c r="G2962" s="2" t="s">
        <v>9005</v>
      </c>
      <c r="H2962" s="1">
        <v>20.0</v>
      </c>
      <c r="J2962" s="1" t="s">
        <v>4</v>
      </c>
      <c r="K2962" s="2" t="s">
        <v>9014</v>
      </c>
      <c r="L2962" s="10" t="s">
        <v>2775</v>
      </c>
      <c r="M2962" s="2" t="str">
        <f>IFERROR(__xludf.DUMMYFUNCTION("split(split(K2962,""内野聖陽　"",false),""公式LINE"",false)"),"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f>
        <v>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v>
      </c>
      <c r="N2962" s="2"/>
      <c r="O2962" s="2"/>
      <c r="P2962" s="1"/>
      <c r="Q2962" s="1"/>
      <c r="R2962" s="1"/>
      <c r="S2962" s="1"/>
      <c r="T2962" s="1"/>
      <c r="U2962" s="1"/>
      <c r="V2962" s="1"/>
      <c r="W2962" s="1"/>
      <c r="X2962" s="1"/>
      <c r="Y2962" s="1"/>
      <c r="Z2962" s="1"/>
      <c r="AA2962" s="1"/>
      <c r="AB2962" s="1"/>
      <c r="AC2962" s="1"/>
      <c r="AD2962" s="1"/>
      <c r="AE2962" s="1"/>
      <c r="AF2962" s="1"/>
      <c r="AG2962" s="1"/>
      <c r="AH2962" s="1"/>
      <c r="AI2962" s="1"/>
      <c r="AJ2962" s="1"/>
      <c r="AK2962" s="1"/>
      <c r="AL2962" s="1"/>
      <c r="AM2962" s="1"/>
      <c r="AN2962" s="1"/>
      <c r="AO2962" s="1"/>
      <c r="AP2962" s="1"/>
      <c r="AQ2962" s="1"/>
      <c r="AR2962" s="1"/>
      <c r="AS2962" s="1"/>
      <c r="AT2962" s="1"/>
      <c r="AU2962" s="1"/>
      <c r="AV2962" s="1"/>
      <c r="AW2962" s="1"/>
      <c r="AX2962" s="1"/>
      <c r="AY2962" s="1"/>
      <c r="AZ2962" s="1"/>
      <c r="BA2962" s="1"/>
      <c r="BB2962" s="1"/>
    </row>
    <row r="2963" ht="204.75" customHeight="1">
      <c r="A2963" s="1">
        <v>5292.0</v>
      </c>
      <c r="B2963" s="2" t="s">
        <v>9004</v>
      </c>
      <c r="C2963" s="2">
        <f>IFERROR(__xludf.DUMMYFUNCTION("split(B2963,""_"")"),904.0)</f>
        <v>904</v>
      </c>
      <c r="D2963" s="2" t="str">
        <f>IFERROR(__xludf.DUMMYFUNCTION("""COMPUTED_VALUE"""),"EX")</f>
        <v>EX</v>
      </c>
      <c r="E2963" s="2" t="str">
        <f>IFERROR(__xludf.DUMMYFUNCTION("""COMPUTED_VALUE"""),"水21")</f>
        <v>水21</v>
      </c>
      <c r="F2963" s="2" t="s">
        <v>8736</v>
      </c>
      <c r="G2963" s="2" t="s">
        <v>9005</v>
      </c>
      <c r="H2963" s="1">
        <v>22.0</v>
      </c>
      <c r="J2963" s="1" t="s">
        <v>11</v>
      </c>
      <c r="K2963" s="2" t="s">
        <v>9015</v>
      </c>
      <c r="L2963" s="10" t="s">
        <v>2775</v>
      </c>
      <c r="M2963" s="2" t="str">
        <f>IFERROR(__xludf.DUMMYFUNCTION("split(split(K2963,""内野聖陽　"",false),""公式LINE"",false)"),"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f>
        <v>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v>
      </c>
      <c r="N2963" s="2"/>
      <c r="O2963" s="2"/>
      <c r="P2963" s="1"/>
      <c r="Q2963" s="1"/>
      <c r="R2963" s="1"/>
      <c r="S2963" s="1"/>
      <c r="T2963" s="1"/>
      <c r="U2963" s="1"/>
      <c r="V2963" s="1"/>
      <c r="W2963" s="1"/>
      <c r="X2963" s="1"/>
      <c r="Y2963" s="1"/>
      <c r="Z2963" s="1"/>
      <c r="AA2963" s="1"/>
      <c r="AB2963" s="1"/>
      <c r="AC2963" s="1"/>
      <c r="AD2963" s="1"/>
      <c r="AE2963" s="1"/>
      <c r="AF2963" s="1"/>
      <c r="AG2963" s="1"/>
      <c r="AH2963" s="1"/>
      <c r="AI2963" s="1"/>
      <c r="AJ2963" s="1"/>
      <c r="AK2963" s="1"/>
      <c r="AL2963" s="1"/>
      <c r="AM2963" s="1"/>
      <c r="AN2963" s="1"/>
      <c r="AO2963" s="1"/>
      <c r="AP2963" s="1"/>
      <c r="AQ2963" s="1"/>
      <c r="AR2963" s="1"/>
      <c r="AS2963" s="1"/>
      <c r="AT2963" s="1"/>
      <c r="AU2963" s="1"/>
      <c r="AV2963" s="1"/>
      <c r="AW2963" s="1"/>
      <c r="AX2963" s="1"/>
      <c r="AY2963" s="1"/>
      <c r="AZ2963" s="1"/>
      <c r="BA2963" s="1"/>
      <c r="BB2963" s="1"/>
    </row>
    <row r="2964" ht="204.75" customHeight="1">
      <c r="A2964" s="1">
        <v>5303.0</v>
      </c>
      <c r="B2964" s="2" t="s">
        <v>9016</v>
      </c>
      <c r="C2964" s="2">
        <f>IFERROR(__xludf.DUMMYFUNCTION("split(B2964,""_"")"),904.0)</f>
        <v>904</v>
      </c>
      <c r="D2964" s="2" t="str">
        <f>IFERROR(__xludf.DUMMYFUNCTION("""COMPUTED_VALUE"""),"EX")</f>
        <v>EX</v>
      </c>
      <c r="E2964" s="2" t="str">
        <f>IFERROR(__xludf.DUMMYFUNCTION("""COMPUTED_VALUE"""),"木21")</f>
        <v>木21</v>
      </c>
      <c r="F2964" s="2" t="s">
        <v>9017</v>
      </c>
      <c r="G2964" s="2" t="s">
        <v>9018</v>
      </c>
      <c r="H2964" s="1">
        <v>1.0</v>
      </c>
      <c r="J2964" s="1" t="s">
        <v>11</v>
      </c>
      <c r="K2964" s="4" t="s">
        <v>9019</v>
      </c>
      <c r="L2964" s="11" t="s">
        <v>9020</v>
      </c>
      <c r="M2964" s="2" t="str">
        <f>IFERROR(__xludf.DUMMYFUNCTION("split(split(K2964,""藤木直人、"",false),""公式LINE"",false)"),"一人の才気あふれる美しき青年美容師・佐山(藤木直人)に群がる女性たち。その美容師は女たちの求めに応じていくつもの顔を使い分けながら、美容界の頂点へと…。女が望むのは独占。男を満たすのは富と名声。誰もがその駆け引きに勝ち、階段を昇っていきたいと思ってはいるが…。　")</f>
        <v>一人の才気あふれる美しき青年美容師・佐山(藤木直人)に群がる女性たち。その美容師は女たちの求めに応じていくつもの顔を使い分けながら、美容界の頂点へと…。女が望むのは独占。男を満たすのは富と名声。誰もがその駆け引きに勝ち、階段を昇っていきたいと思ってはいるが…。　</v>
      </c>
      <c r="N2964" s="2"/>
      <c r="O2964" s="2"/>
      <c r="P2964" s="1"/>
      <c r="Q2964" s="1"/>
      <c r="R2964" s="1"/>
      <c r="S2964" s="1"/>
      <c r="T2964" s="1"/>
      <c r="U2964" s="1"/>
      <c r="V2964" s="1"/>
      <c r="W2964" s="1"/>
      <c r="X2964" s="1"/>
      <c r="Y2964" s="1"/>
      <c r="Z2964" s="1"/>
      <c r="AA2964" s="1"/>
      <c r="AB2964" s="1"/>
      <c r="AC2964" s="1"/>
      <c r="AD2964" s="1"/>
      <c r="AE2964" s="1"/>
      <c r="AF2964" s="1"/>
      <c r="AG2964" s="1"/>
      <c r="AH2964" s="1"/>
      <c r="AI2964" s="1"/>
      <c r="AJ2964" s="1"/>
      <c r="AK2964" s="1"/>
      <c r="AL2964" s="1"/>
      <c r="AM2964" s="1"/>
      <c r="AN2964" s="1"/>
      <c r="AO2964" s="1"/>
      <c r="AP2964" s="1"/>
      <c r="AQ2964" s="1"/>
      <c r="AR2964" s="1"/>
      <c r="AS2964" s="1"/>
      <c r="AT2964" s="1"/>
      <c r="AU2964" s="1"/>
      <c r="AV2964" s="1"/>
      <c r="AW2964" s="1"/>
      <c r="AX2964" s="1"/>
      <c r="AY2964" s="1"/>
      <c r="AZ2964" s="1"/>
      <c r="BA2964" s="1"/>
      <c r="BB2964" s="1"/>
    </row>
    <row r="2965" ht="204.75" customHeight="1">
      <c r="A2965" s="1">
        <v>5304.0</v>
      </c>
      <c r="B2965" s="2" t="s">
        <v>9016</v>
      </c>
      <c r="C2965" s="2">
        <f>IFERROR(__xludf.DUMMYFUNCTION("split(B2965,""_"")"),904.0)</f>
        <v>904</v>
      </c>
      <c r="D2965" s="2" t="str">
        <f>IFERROR(__xludf.DUMMYFUNCTION("""COMPUTED_VALUE"""),"EX")</f>
        <v>EX</v>
      </c>
      <c r="E2965" s="2" t="str">
        <f>IFERROR(__xludf.DUMMYFUNCTION("""COMPUTED_VALUE"""),"木21")</f>
        <v>木21</v>
      </c>
      <c r="F2965" s="2" t="s">
        <v>9017</v>
      </c>
      <c r="G2965" s="2" t="s">
        <v>9018</v>
      </c>
      <c r="H2965" s="1">
        <v>2.0</v>
      </c>
      <c r="J2965" s="1" t="s">
        <v>11</v>
      </c>
      <c r="K2965" s="2" t="s">
        <v>9021</v>
      </c>
      <c r="L2965" s="11" t="s">
        <v>9022</v>
      </c>
      <c r="M2965" s="2" t="str">
        <f>IFERROR(__xludf.DUMMYFUNCTION("split(split(K2965,""藤木直人、"",false),""公式LINE"",false)"),"大女優のヘアメイクに着任し、念願の店舗も手にする佐山道夫(藤木直人)。  過去を勘ぐる複数の視線をかいくぐりながら、野望の階段を昇りはじめた佐山は、幸子(木村佳乃)との愛を一気に加速させる。  そのとき、思わず佐山の口をついて出てきた言葉とは…!?　")</f>
        <v>大女優のヘアメイクに着任し、念願の店舗も手にする佐山道夫(藤木直人)。  過去を勘ぐる複数の視線をかいくぐりながら、野望の階段を昇りはじめた佐山は、幸子(木村佳乃)との愛を一気に加速させる。  そのとき、思わず佐山の口をついて出てきた言葉とは…!?　</v>
      </c>
      <c r="N2965" s="2"/>
      <c r="O2965" s="2"/>
      <c r="P2965" s="1"/>
      <c r="Q2965" s="1"/>
      <c r="R2965" s="1"/>
      <c r="S2965" s="1"/>
      <c r="T2965" s="1"/>
      <c r="U2965" s="1"/>
      <c r="V2965" s="1"/>
      <c r="W2965" s="1"/>
      <c r="X2965" s="1"/>
      <c r="Y2965" s="1"/>
      <c r="Z2965" s="1"/>
      <c r="AA2965" s="1"/>
      <c r="AB2965" s="1"/>
      <c r="AC2965" s="1"/>
      <c r="AD2965" s="1"/>
      <c r="AE2965" s="1"/>
      <c r="AF2965" s="1"/>
      <c r="AG2965" s="1"/>
      <c r="AH2965" s="1"/>
      <c r="AI2965" s="1"/>
      <c r="AJ2965" s="1"/>
      <c r="AK2965" s="1"/>
      <c r="AL2965" s="1"/>
      <c r="AM2965" s="1"/>
      <c r="AN2965" s="1"/>
      <c r="AO2965" s="1"/>
      <c r="AP2965" s="1"/>
      <c r="AQ2965" s="1"/>
      <c r="AR2965" s="1"/>
      <c r="AS2965" s="1"/>
      <c r="AT2965" s="1"/>
      <c r="AU2965" s="1"/>
      <c r="AV2965" s="1"/>
      <c r="AW2965" s="1"/>
      <c r="AX2965" s="1"/>
      <c r="AY2965" s="1"/>
      <c r="AZ2965" s="1"/>
      <c r="BA2965" s="1"/>
      <c r="BB2965" s="1"/>
    </row>
    <row r="2966" ht="204.75" customHeight="1">
      <c r="A2966" s="1">
        <v>5305.0</v>
      </c>
      <c r="B2966" s="2" t="s">
        <v>9016</v>
      </c>
      <c r="C2966" s="2">
        <f>IFERROR(__xludf.DUMMYFUNCTION("split(B2966,""_"")"),904.0)</f>
        <v>904</v>
      </c>
      <c r="D2966" s="2" t="str">
        <f>IFERROR(__xludf.DUMMYFUNCTION("""COMPUTED_VALUE"""),"EX")</f>
        <v>EX</v>
      </c>
      <c r="E2966" s="2" t="str">
        <f>IFERROR(__xludf.DUMMYFUNCTION("""COMPUTED_VALUE"""),"木21")</f>
        <v>木21</v>
      </c>
      <c r="F2966" s="2" t="s">
        <v>9017</v>
      </c>
      <c r="G2966" s="2" t="s">
        <v>9018</v>
      </c>
      <c r="H2966" s="1">
        <v>3.0</v>
      </c>
      <c r="J2966" s="1" t="s">
        <v>11</v>
      </c>
      <c r="K2966" s="2" t="s">
        <v>9023</v>
      </c>
      <c r="L2966" s="11" t="s">
        <v>9024</v>
      </c>
      <c r="M2966" s="2" t="str">
        <f>IFERROR(__xludf.DUMMYFUNCTION("split(split(K2966,""藤木直人、"",false),""公式LINE"",false)"),"自由が丘に店を持つに至り、野望の階段を着実に昇っていく道夫(藤木直人)。しかし、そんな道夫の足を欲深い女たちが引っ張り始める!一度は途切れたかに思えた桑山(小林稔侍)の鋭い視線も、再び道夫を捉え…。華々しさの陰に潜んでいた道夫の悪が、徐々に目を覚ます!　")</f>
        <v>自由が丘に店を持つに至り、野望の階段を着実に昇っていく道夫(藤木直人)。しかし、そんな道夫の足を欲深い女たちが引っ張り始める!一度は途切れたかに思えた桑山(小林稔侍)の鋭い視線も、再び道夫を捉え…。華々しさの陰に潜んでいた道夫の悪が、徐々に目を覚ます!　</v>
      </c>
      <c r="N2966" s="2"/>
      <c r="O2966" s="2"/>
      <c r="P2966" s="1"/>
      <c r="Q2966" s="1"/>
      <c r="R2966" s="1"/>
      <c r="S2966" s="1"/>
      <c r="T2966" s="1"/>
      <c r="U2966" s="1"/>
      <c r="V2966" s="1"/>
      <c r="W2966" s="1"/>
      <c r="X2966" s="1"/>
      <c r="Y2966" s="1"/>
      <c r="Z2966" s="1"/>
      <c r="AA2966" s="1"/>
      <c r="AB2966" s="1"/>
      <c r="AC2966" s="1"/>
      <c r="AD2966" s="1"/>
      <c r="AE2966" s="1"/>
      <c r="AF2966" s="1"/>
      <c r="AG2966" s="1"/>
      <c r="AH2966" s="1"/>
      <c r="AI2966" s="1"/>
      <c r="AJ2966" s="1"/>
      <c r="AK2966" s="1"/>
      <c r="AL2966" s="1"/>
      <c r="AM2966" s="1"/>
      <c r="AN2966" s="1"/>
      <c r="AO2966" s="1"/>
      <c r="AP2966" s="1"/>
      <c r="AQ2966" s="1"/>
      <c r="AR2966" s="1"/>
      <c r="AS2966" s="1"/>
      <c r="AT2966" s="1"/>
      <c r="AU2966" s="1"/>
      <c r="AV2966" s="1"/>
      <c r="AW2966" s="1"/>
      <c r="AX2966" s="1"/>
      <c r="AY2966" s="1"/>
      <c r="AZ2966" s="1"/>
      <c r="BA2966" s="1"/>
      <c r="BB2966" s="1"/>
    </row>
    <row r="2967" ht="204.75" customHeight="1">
      <c r="A2967" s="1">
        <v>5306.0</v>
      </c>
      <c r="B2967" s="2" t="s">
        <v>9016</v>
      </c>
      <c r="C2967" s="2">
        <f>IFERROR(__xludf.DUMMYFUNCTION("split(B2967,""_"")"),904.0)</f>
        <v>904</v>
      </c>
      <c r="D2967" s="2" t="str">
        <f>IFERROR(__xludf.DUMMYFUNCTION("""COMPUTED_VALUE"""),"EX")</f>
        <v>EX</v>
      </c>
      <c r="E2967" s="2" t="str">
        <f>IFERROR(__xludf.DUMMYFUNCTION("""COMPUTED_VALUE"""),"木21")</f>
        <v>木21</v>
      </c>
      <c r="F2967" s="2" t="s">
        <v>9017</v>
      </c>
      <c r="G2967" s="2" t="s">
        <v>9018</v>
      </c>
      <c r="H2967" s="1">
        <v>4.0</v>
      </c>
      <c r="J2967" s="1" t="s">
        <v>11</v>
      </c>
      <c r="K2967" s="2" t="s">
        <v>9025</v>
      </c>
      <c r="L2967" s="11" t="s">
        <v>9026</v>
      </c>
      <c r="M2967" s="2" t="str">
        <f>IFERROR(__xludf.DUMMYFUNCTION("split(split(K2967,""藤木直人、"",false),""公式LINE"",false)"),"道夫(藤木直人)は大胆にも店の名義を手に入れようと画策する。道夫に溺れる幸子(木村佳乃)は、嫉妬と欲望に苦しみながらも生涯を捧げる覚悟を決める。フジ子(夏川結衣)の冷笑、雅子(室井滋)の逆上、そして過去の忌まわしい記憶が道夫を再び犯罪に走らせる…!?　")</f>
        <v>道夫(藤木直人)は大胆にも店の名義を手に入れようと画策する。道夫に溺れる幸子(木村佳乃)は、嫉妬と欲望に苦しみながらも生涯を捧げる覚悟を決める。フジ子(夏川結衣)の冷笑、雅子(室井滋)の逆上、そして過去の忌まわしい記憶が道夫を再び犯罪に走らせる…!?　</v>
      </c>
      <c r="N2967" s="2"/>
      <c r="O2967" s="2"/>
      <c r="P2967" s="1"/>
      <c r="Q2967" s="1"/>
      <c r="R2967" s="1"/>
      <c r="S2967" s="1"/>
      <c r="T2967" s="1"/>
      <c r="U2967" s="1"/>
      <c r="V2967" s="1"/>
      <c r="W2967" s="1"/>
      <c r="X2967" s="1"/>
      <c r="Y2967" s="1"/>
      <c r="Z2967" s="1"/>
      <c r="AA2967" s="1"/>
      <c r="AB2967" s="1"/>
      <c r="AC2967" s="1"/>
      <c r="AD2967" s="1"/>
      <c r="AE2967" s="1"/>
      <c r="AF2967" s="1"/>
      <c r="AG2967" s="1"/>
      <c r="AH2967" s="1"/>
      <c r="AI2967" s="1"/>
      <c r="AJ2967" s="1"/>
      <c r="AK2967" s="1"/>
      <c r="AL2967" s="1"/>
      <c r="AM2967" s="1"/>
      <c r="AN2967" s="1"/>
      <c r="AO2967" s="1"/>
      <c r="AP2967" s="1"/>
      <c r="AQ2967" s="1"/>
      <c r="AR2967" s="1"/>
      <c r="AS2967" s="1"/>
      <c r="AT2967" s="1"/>
      <c r="AU2967" s="1"/>
      <c r="AV2967" s="1"/>
      <c r="AW2967" s="1"/>
      <c r="AX2967" s="1"/>
      <c r="AY2967" s="1"/>
      <c r="AZ2967" s="1"/>
      <c r="BA2967" s="1"/>
      <c r="BB2967" s="1"/>
    </row>
    <row r="2968" ht="204.75" customHeight="1">
      <c r="A2968" s="1">
        <v>5307.0</v>
      </c>
      <c r="B2968" s="2" t="s">
        <v>9016</v>
      </c>
      <c r="C2968" s="2">
        <f>IFERROR(__xludf.DUMMYFUNCTION("split(B2968,""_"")"),904.0)</f>
        <v>904</v>
      </c>
      <c r="D2968" s="2" t="str">
        <f>IFERROR(__xludf.DUMMYFUNCTION("""COMPUTED_VALUE"""),"EX")</f>
        <v>EX</v>
      </c>
      <c r="E2968" s="2" t="str">
        <f>IFERROR(__xludf.DUMMYFUNCTION("""COMPUTED_VALUE"""),"木21")</f>
        <v>木21</v>
      </c>
      <c r="F2968" s="2" t="s">
        <v>9017</v>
      </c>
      <c r="G2968" s="2" t="s">
        <v>9018</v>
      </c>
      <c r="H2968" s="1">
        <v>5.0</v>
      </c>
      <c r="J2968" s="1" t="s">
        <v>11</v>
      </c>
      <c r="K2968" s="2" t="s">
        <v>9027</v>
      </c>
      <c r="L2968" s="11" t="s">
        <v>9028</v>
      </c>
      <c r="M2968" s="2" t="str">
        <f>IFERROR(__xludf.DUMMYFUNCTION("split(split(K2968,""藤木直人、"",false),""公式LINE"",false)"),"雅子(室井滋)の死をもって呪縛から解放された道夫(藤木直人)。  しかし、その道夫を今度は幸子(木村佳乃)が異様な執念で縛りつける!  そしてフジ子(夏川結衣)は、過去をついに告白し…欲望と愛憎の炎は周囲の人間にも飛び火し始める。　")</f>
        <v>雅子(室井滋)の死をもって呪縛から解放された道夫(藤木直人)。  しかし、その道夫を今度は幸子(木村佳乃)が異様な執念で縛りつける!  そしてフジ子(夏川結衣)は、過去をついに告白し…欲望と愛憎の炎は周囲の人間にも飛び火し始める。　</v>
      </c>
      <c r="N2968" s="2"/>
      <c r="O2968" s="2"/>
      <c r="P2968" s="1"/>
      <c r="Q2968" s="1"/>
      <c r="R2968" s="1"/>
      <c r="S2968" s="1"/>
      <c r="T2968" s="1"/>
      <c r="U2968" s="1"/>
      <c r="V2968" s="1"/>
      <c r="W2968" s="1"/>
      <c r="X2968" s="1"/>
      <c r="Y2968" s="1"/>
      <c r="Z2968" s="1"/>
      <c r="AA2968" s="1"/>
      <c r="AB2968" s="1"/>
      <c r="AC2968" s="1"/>
      <c r="AD2968" s="1"/>
      <c r="AE2968" s="1"/>
      <c r="AF2968" s="1"/>
      <c r="AG2968" s="1"/>
      <c r="AH2968" s="1"/>
      <c r="AI2968" s="1"/>
      <c r="AJ2968" s="1"/>
      <c r="AK2968" s="1"/>
      <c r="AL2968" s="1"/>
      <c r="AM2968" s="1"/>
      <c r="AN2968" s="1"/>
      <c r="AO2968" s="1"/>
      <c r="AP2968" s="1"/>
      <c r="AQ2968" s="1"/>
      <c r="AR2968" s="1"/>
      <c r="AS2968" s="1"/>
      <c r="AT2968" s="1"/>
      <c r="AU2968" s="1"/>
      <c r="AV2968" s="1"/>
      <c r="AW2968" s="1"/>
      <c r="AX2968" s="1"/>
      <c r="AY2968" s="1"/>
      <c r="AZ2968" s="1"/>
      <c r="BA2968" s="1"/>
      <c r="BB2968" s="1"/>
    </row>
    <row r="2969" ht="204.75" customHeight="1">
      <c r="A2969" s="1">
        <v>5308.0</v>
      </c>
      <c r="B2969" s="2" t="s">
        <v>9016</v>
      </c>
      <c r="C2969" s="2">
        <f>IFERROR(__xludf.DUMMYFUNCTION("split(B2969,""_"")"),904.0)</f>
        <v>904</v>
      </c>
      <c r="D2969" s="2" t="str">
        <f>IFERROR(__xludf.DUMMYFUNCTION("""COMPUTED_VALUE"""),"EX")</f>
        <v>EX</v>
      </c>
      <c r="E2969" s="2" t="str">
        <f>IFERROR(__xludf.DUMMYFUNCTION("""COMPUTED_VALUE"""),"木21")</f>
        <v>木21</v>
      </c>
      <c r="F2969" s="2" t="s">
        <v>9017</v>
      </c>
      <c r="G2969" s="2" t="s">
        <v>9018</v>
      </c>
      <c r="H2969" s="1">
        <v>6.0</v>
      </c>
      <c r="J2969" s="1" t="s">
        <v>11</v>
      </c>
      <c r="K2969" s="2" t="s">
        <v>9029</v>
      </c>
      <c r="L2969" s="11" t="s">
        <v>9030</v>
      </c>
      <c r="M2969" s="2" t="str">
        <f>IFERROR(__xludf.DUMMYFUNCTION("split(split(K2969,""藤木直人、"",false),""公式LINE"",false)"),"新店舗をオープンさせまた一歩、野望の階段を上る道夫(藤木直人)。しかし、その足下に激しく絡み付いてくる幸子(木村佳乃)の異常性は!?道夫にまたしても恐ろしい企みをもたらす…幸子、弓子(南野陽子)、フジ子(夏川結衣)の対立も顕在化、はたして生き残るのは!?　")</f>
        <v>新店舗をオープンさせまた一歩、野望の階段を上る道夫(藤木直人)。しかし、その足下に激しく絡み付いてくる幸子(木村佳乃)の異常性は!?道夫にまたしても恐ろしい企みをもたらす…幸子、弓子(南野陽子)、フジ子(夏川結衣)の対立も顕在化、はたして生き残るのは!?　</v>
      </c>
      <c r="N2969" s="2"/>
      <c r="O2969" s="2"/>
      <c r="P2969" s="1"/>
      <c r="Q2969" s="1"/>
      <c r="R2969" s="1"/>
      <c r="S2969" s="1"/>
      <c r="T2969" s="1"/>
      <c r="U2969" s="1"/>
      <c r="V2969" s="1"/>
      <c r="W2969" s="1"/>
      <c r="X2969" s="1"/>
      <c r="Y2969" s="1"/>
      <c r="Z2969" s="1"/>
      <c r="AA2969" s="1"/>
      <c r="AB2969" s="1"/>
      <c r="AC2969" s="1"/>
      <c r="AD2969" s="1"/>
      <c r="AE2969" s="1"/>
      <c r="AF2969" s="1"/>
      <c r="AG2969" s="1"/>
      <c r="AH2969" s="1"/>
      <c r="AI2969" s="1"/>
      <c r="AJ2969" s="1"/>
      <c r="AK2969" s="1"/>
      <c r="AL2969" s="1"/>
      <c r="AM2969" s="1"/>
      <c r="AN2969" s="1"/>
      <c r="AO2969" s="1"/>
      <c r="AP2969" s="1"/>
      <c r="AQ2969" s="1"/>
      <c r="AR2969" s="1"/>
      <c r="AS2969" s="1"/>
      <c r="AT2969" s="1"/>
      <c r="AU2969" s="1"/>
      <c r="AV2969" s="1"/>
      <c r="AW2969" s="1"/>
      <c r="AX2969" s="1"/>
      <c r="AY2969" s="1"/>
      <c r="AZ2969" s="1"/>
      <c r="BA2969" s="1"/>
      <c r="BB2969" s="1"/>
    </row>
    <row r="2970" ht="204.75" customHeight="1">
      <c r="A2970" s="1">
        <v>5309.0</v>
      </c>
      <c r="B2970" s="2" t="s">
        <v>9016</v>
      </c>
      <c r="C2970" s="2">
        <f>IFERROR(__xludf.DUMMYFUNCTION("split(B2970,""_"")"),904.0)</f>
        <v>904</v>
      </c>
      <c r="D2970" s="2" t="str">
        <f>IFERROR(__xludf.DUMMYFUNCTION("""COMPUTED_VALUE"""),"EX")</f>
        <v>EX</v>
      </c>
      <c r="E2970" s="2" t="str">
        <f>IFERROR(__xludf.DUMMYFUNCTION("""COMPUTED_VALUE"""),"木21")</f>
        <v>木21</v>
      </c>
      <c r="F2970" s="2" t="s">
        <v>9017</v>
      </c>
      <c r="G2970" s="2" t="s">
        <v>9018</v>
      </c>
      <c r="H2970" s="1">
        <v>7.0</v>
      </c>
      <c r="J2970" s="1" t="s">
        <v>11</v>
      </c>
      <c r="K2970" s="2" t="s">
        <v>9031</v>
      </c>
      <c r="L2970" s="11" t="s">
        <v>9032</v>
      </c>
      <c r="M2970" s="2" t="str">
        <f>IFERROR(__xludf.DUMMYFUNCTION("split(split(K2970,""藤木直人、"",false),""公式LINE"",false)"),"巧妙な手口で岡野を殺人犯に仕立て上げる道夫(藤木直人)。  婚約者を殺された悲劇のカリスマとして世間の同情票を獲得!  幸子(木村佳乃)の死は、まるでそれが彼女の望みであったかのように、道夫に一層の輝きを与える…しかし、そんな佐山に桑山(小林稔侍)の追及の手が襲いかかる!!　")</f>
        <v>巧妙な手口で岡野を殺人犯に仕立て上げる道夫(藤木直人)。  婚約者を殺された悲劇のカリスマとして世間の同情票を獲得!  幸子(木村佳乃)の死は、まるでそれが彼女の望みであったかのように、道夫に一層の輝きを与える…しかし、そんな佐山に桑山(小林稔侍)の追及の手が襲いかかる!!　</v>
      </c>
      <c r="N2970" s="2"/>
      <c r="O2970" s="2"/>
      <c r="P2970" s="1"/>
      <c r="Q2970" s="1"/>
      <c r="R2970" s="1"/>
      <c r="S2970" s="1"/>
      <c r="T2970" s="1"/>
      <c r="U2970" s="1"/>
      <c r="V2970" s="1"/>
      <c r="W2970" s="1"/>
      <c r="X2970" s="1"/>
      <c r="Y2970" s="1"/>
      <c r="Z2970" s="1"/>
      <c r="AA2970" s="1"/>
      <c r="AB2970" s="1"/>
      <c r="AC2970" s="1"/>
      <c r="AD2970" s="1"/>
      <c r="AE2970" s="1"/>
      <c r="AF2970" s="1"/>
      <c r="AG2970" s="1"/>
      <c r="AH2970" s="1"/>
      <c r="AI2970" s="1"/>
      <c r="AJ2970" s="1"/>
      <c r="AK2970" s="1"/>
      <c r="AL2970" s="1"/>
      <c r="AM2970" s="1"/>
      <c r="AN2970" s="1"/>
      <c r="AO2970" s="1"/>
      <c r="AP2970" s="1"/>
      <c r="AQ2970" s="1"/>
      <c r="AR2970" s="1"/>
      <c r="AS2970" s="1"/>
      <c r="AT2970" s="1"/>
      <c r="AU2970" s="1"/>
      <c r="AV2970" s="1"/>
      <c r="AW2970" s="1"/>
      <c r="AX2970" s="1"/>
      <c r="AY2970" s="1"/>
      <c r="AZ2970" s="1"/>
      <c r="BA2970" s="1"/>
      <c r="BB2970" s="1"/>
    </row>
    <row r="2971" ht="204.75" customHeight="1">
      <c r="A2971" s="1">
        <v>5310.0</v>
      </c>
      <c r="B2971" s="2" t="s">
        <v>9016</v>
      </c>
      <c r="C2971" s="2">
        <f>IFERROR(__xludf.DUMMYFUNCTION("split(B2971,""_"")"),904.0)</f>
        <v>904</v>
      </c>
      <c r="D2971" s="2" t="str">
        <f>IFERROR(__xludf.DUMMYFUNCTION("""COMPUTED_VALUE"""),"EX")</f>
        <v>EX</v>
      </c>
      <c r="E2971" s="2" t="str">
        <f>IFERROR(__xludf.DUMMYFUNCTION("""COMPUTED_VALUE"""),"木21")</f>
        <v>木21</v>
      </c>
      <c r="F2971" s="2" t="s">
        <v>9017</v>
      </c>
      <c r="G2971" s="2" t="s">
        <v>9018</v>
      </c>
      <c r="H2971" s="1">
        <v>8.0</v>
      </c>
      <c r="J2971" s="1" t="s">
        <v>11</v>
      </c>
      <c r="K2971" s="2" t="s">
        <v>9033</v>
      </c>
      <c r="L2971" s="11" t="s">
        <v>9034</v>
      </c>
      <c r="M2971" s="2" t="str">
        <f>IFERROR(__xludf.DUMMYFUNCTION("split(split(K2971,""藤木直人、"",false),""公式LINE"",false)"),"道夫(藤木直人)を影となり支えるフジ子(夏川結衣)。そんな2人の前に突然、道夫の生き別れた母(柏木由紀子)が現れる!幸子殺害事件の公判もスタートし、丸岡(余貴美子)と桑山(小林稔侍)の激しい対立の中、証言台に立ったフジ子は何を語るのか　")</f>
        <v>道夫(藤木直人)を影となり支えるフジ子(夏川結衣)。そんな2人の前に突然、道夫の生き別れた母(柏木由紀子)が現れる!幸子殺害事件の公判もスタートし、丸岡(余貴美子)と桑山(小林稔侍)の激しい対立の中、証言台に立ったフジ子は何を語るのか　</v>
      </c>
      <c r="N2971" s="2"/>
      <c r="O2971" s="2"/>
      <c r="P2971" s="1"/>
      <c r="Q2971" s="1"/>
      <c r="R2971" s="1"/>
      <c r="S2971" s="1"/>
      <c r="T2971" s="1"/>
      <c r="U2971" s="1"/>
      <c r="V2971" s="1"/>
      <c r="W2971" s="1"/>
      <c r="X2971" s="1"/>
      <c r="Y2971" s="1"/>
      <c r="Z2971" s="1"/>
      <c r="AA2971" s="1"/>
      <c r="AB2971" s="1"/>
      <c r="AC2971" s="1"/>
      <c r="AD2971" s="1"/>
      <c r="AE2971" s="1"/>
      <c r="AF2971" s="1"/>
      <c r="AG2971" s="1"/>
      <c r="AH2971" s="1"/>
      <c r="AI2971" s="1"/>
      <c r="AJ2971" s="1"/>
      <c r="AK2971" s="1"/>
      <c r="AL2971" s="1"/>
      <c r="AM2971" s="1"/>
      <c r="AN2971" s="1"/>
      <c r="AO2971" s="1"/>
      <c r="AP2971" s="1"/>
      <c r="AQ2971" s="1"/>
      <c r="AR2971" s="1"/>
      <c r="AS2971" s="1"/>
      <c r="AT2971" s="1"/>
      <c r="AU2971" s="1"/>
      <c r="AV2971" s="1"/>
      <c r="AW2971" s="1"/>
      <c r="AX2971" s="1"/>
      <c r="AY2971" s="1"/>
      <c r="AZ2971" s="1"/>
      <c r="BA2971" s="1"/>
      <c r="BB2971" s="1"/>
    </row>
    <row r="2972" ht="204.75" customHeight="1">
      <c r="A2972" s="1">
        <v>5311.0</v>
      </c>
      <c r="B2972" s="2" t="s">
        <v>9016</v>
      </c>
      <c r="C2972" s="2">
        <f>IFERROR(__xludf.DUMMYFUNCTION("split(B2972,""_"")"),904.0)</f>
        <v>904</v>
      </c>
      <c r="D2972" s="2" t="str">
        <f>IFERROR(__xludf.DUMMYFUNCTION("""COMPUTED_VALUE"""),"EX")</f>
        <v>EX</v>
      </c>
      <c r="E2972" s="2" t="str">
        <f>IFERROR(__xludf.DUMMYFUNCTION("""COMPUTED_VALUE"""),"木21")</f>
        <v>木21</v>
      </c>
      <c r="F2972" s="2" t="s">
        <v>9017</v>
      </c>
      <c r="G2972" s="2" t="s">
        <v>9018</v>
      </c>
      <c r="H2972" s="1">
        <v>9.0</v>
      </c>
      <c r="J2972" s="1" t="s">
        <v>11</v>
      </c>
      <c r="K2972" s="2" t="s">
        <v>9035</v>
      </c>
      <c r="L2972" s="11" t="s">
        <v>9036</v>
      </c>
      <c r="M2972" s="2" t="str">
        <f>IFERROR(__xludf.DUMMYFUNCTION("split(split(K2972,""藤木直人、"",false),""公式LINE"",false)"),"《最終話》  　道夫(藤木直人)の野望の炎に吸い寄せられた蝶のような幸子(木村佳乃)、フジ子(夏川結衣)、雅子(室井滋)の女3人の運命と引き換えに美容界のトップへとひたすらのぼり続ける。それを阻止しようと駆けずり回る桑山(小林稔侍)との対決もついに最終決着・・・　")</f>
        <v>《最終話》  　道夫(藤木直人)の野望の炎に吸い寄せられた蝶のような幸子(木村佳乃)、フジ子(夏川結衣)、雅子(室井滋)の女3人の運命と引き換えに美容界のトップへとひたすらのぼり続ける。それを阻止しようと駆けずり回る桑山(小林稔侍)との対決もついに最終決着・・・　</v>
      </c>
      <c r="N2972" s="2"/>
      <c r="O2972" s="2"/>
      <c r="P2972" s="1"/>
      <c r="Q2972" s="1"/>
      <c r="R2972" s="1"/>
      <c r="S2972" s="1"/>
      <c r="T2972" s="1"/>
      <c r="U2972" s="1"/>
      <c r="V2972" s="1"/>
      <c r="W2972" s="1"/>
      <c r="X2972" s="1"/>
      <c r="Y2972" s="1"/>
      <c r="Z2972" s="1"/>
      <c r="AA2972" s="1"/>
      <c r="AB2972" s="1"/>
      <c r="AC2972" s="1"/>
      <c r="AD2972" s="1"/>
      <c r="AE2972" s="1"/>
      <c r="AF2972" s="1"/>
      <c r="AG2972" s="1"/>
      <c r="AH2972" s="1"/>
      <c r="AI2972" s="1"/>
      <c r="AJ2972" s="1"/>
      <c r="AK2972" s="1"/>
      <c r="AL2972" s="1"/>
      <c r="AM2972" s="1"/>
      <c r="AN2972" s="1"/>
      <c r="AO2972" s="1"/>
      <c r="AP2972" s="1"/>
      <c r="AQ2972" s="1"/>
      <c r="AR2972" s="1"/>
      <c r="AS2972" s="1"/>
      <c r="AT2972" s="1"/>
      <c r="AU2972" s="1"/>
      <c r="AV2972" s="1"/>
      <c r="AW2972" s="1"/>
      <c r="AX2972" s="1"/>
      <c r="AY2972" s="1"/>
      <c r="AZ2972" s="1"/>
      <c r="BA2972" s="1"/>
      <c r="BB2972" s="1"/>
    </row>
    <row r="2973" ht="204.75" customHeight="1">
      <c r="A2973" s="1">
        <v>5323.0</v>
      </c>
      <c r="B2973" s="2" t="s">
        <v>9037</v>
      </c>
      <c r="C2973" s="2">
        <f>IFERROR(__xludf.DUMMYFUNCTION("split(B2973,""_"")"),904.0)</f>
        <v>904</v>
      </c>
      <c r="D2973" s="2" t="str">
        <f>IFERROR(__xludf.DUMMYFUNCTION("""COMPUTED_VALUE"""),"EX")</f>
        <v>EX</v>
      </c>
      <c r="E2973" s="2" t="str">
        <f>IFERROR(__xludf.DUMMYFUNCTION("""COMPUTED_VALUE"""),"金21")</f>
        <v>金21</v>
      </c>
      <c r="F2973" s="2" t="s">
        <v>9038</v>
      </c>
      <c r="G2973" s="2" t="s">
        <v>9039</v>
      </c>
      <c r="H2973" s="1">
        <v>1.0</v>
      </c>
      <c r="J2973" s="1" t="s">
        <v>4</v>
      </c>
      <c r="K2973" s="4" t="s">
        <v>9040</v>
      </c>
      <c r="L2973" s="11" t="s">
        <v>9041</v>
      </c>
      <c r="M2973" s="2" t="str">
        <f>IFERROR(__xludf.DUMMYFUNCTION("split(split(K2973,""　東山紀之・"",false),""公式LINE"",false)"),"仕事人は世間に存在を知られてはならない不文律がある。仕事を見られたなら、見た方か見られた方が死ななければならない。それを見ていた小五郎(東山紀之)は“源太の優しすぎる心はいずれ他の仕事人の命取りになる…”と覚悟を決めた。数日後、源太の母親だと名乗る女・お富(浅野ゆう子)が現れて…。")</f>
        <v>仕事人は世間に存在を知られてはならない不文律がある。仕事を見られたなら、見た方か見られた方が死ななければならない。それを見ていた小五郎(東山紀之)は“源太の優しすぎる心はいずれ他の仕事人の命取りになる…”と覚悟を決めた。数日後、源太の母親だと名乗る女・お富(浅野ゆう子)が現れて…。</v>
      </c>
      <c r="N2973" s="2"/>
      <c r="O2973" s="2"/>
      <c r="P2973" s="1"/>
      <c r="Q2973" s="1"/>
      <c r="R2973" s="1"/>
      <c r="S2973" s="1"/>
      <c r="T2973" s="1"/>
      <c r="U2973" s="1"/>
      <c r="V2973" s="1"/>
      <c r="W2973" s="1"/>
      <c r="X2973" s="1"/>
      <c r="Y2973" s="1"/>
      <c r="Z2973" s="1"/>
      <c r="AA2973" s="1"/>
      <c r="AB2973" s="1"/>
      <c r="AC2973" s="1"/>
      <c r="AD2973" s="1"/>
      <c r="AE2973" s="1"/>
      <c r="AF2973" s="1"/>
      <c r="AG2973" s="1"/>
      <c r="AH2973" s="1"/>
      <c r="AI2973" s="1"/>
      <c r="AJ2973" s="1"/>
      <c r="AK2973" s="1"/>
      <c r="AL2973" s="1"/>
      <c r="AM2973" s="1"/>
      <c r="AN2973" s="1"/>
      <c r="AO2973" s="1"/>
      <c r="AP2973" s="1"/>
      <c r="AQ2973" s="1"/>
      <c r="AR2973" s="1"/>
      <c r="AS2973" s="1"/>
      <c r="AT2973" s="1"/>
      <c r="AU2973" s="1"/>
      <c r="AV2973" s="1"/>
      <c r="AW2973" s="1"/>
      <c r="AX2973" s="1"/>
      <c r="AY2973" s="1"/>
      <c r="AZ2973" s="1"/>
      <c r="BA2973" s="1"/>
      <c r="BB2973" s="1"/>
    </row>
    <row r="2974" ht="204.75" customHeight="1">
      <c r="A2974" s="1">
        <v>5324.0</v>
      </c>
      <c r="B2974" s="2" t="s">
        <v>9037</v>
      </c>
      <c r="C2974" s="2">
        <f>IFERROR(__xludf.DUMMYFUNCTION("split(B2974,""_"")"),904.0)</f>
        <v>904</v>
      </c>
      <c r="D2974" s="2" t="str">
        <f>IFERROR(__xludf.DUMMYFUNCTION("""COMPUTED_VALUE"""),"EX")</f>
        <v>EX</v>
      </c>
      <c r="E2974" s="2" t="str">
        <f>IFERROR(__xludf.DUMMYFUNCTION("""COMPUTED_VALUE"""),"金21")</f>
        <v>金21</v>
      </c>
      <c r="F2974" s="2" t="s">
        <v>9038</v>
      </c>
      <c r="G2974" s="2" t="s">
        <v>9039</v>
      </c>
      <c r="H2974" s="1">
        <v>2.0</v>
      </c>
      <c r="J2974" s="1" t="s">
        <v>11</v>
      </c>
      <c r="K2974" s="2" t="s">
        <v>9042</v>
      </c>
      <c r="L2974" s="11" t="s">
        <v>9043</v>
      </c>
      <c r="M2974" s="2" t="str">
        <f>IFERROR(__xludf.DUMMYFUNCTION("split(split(K2974,""　東山紀之・"",false),""公式LINE"",false)"),"その後、主水(藤田まこと)といた小五郎はかんざしを盗んだ優しき浪人・清兵衛(松村雄基)を偶然捕まえる。名奉行・矢部甲斐守(小林稔侍)は、清兵衛の家庭の事情を勘案して彼を放免するのだが…。")</f>
        <v>その後、主水(藤田まこと)といた小五郎はかんざしを盗んだ優しき浪人・清兵衛(松村雄基)を偶然捕まえる。名奉行・矢部甲斐守(小林稔侍)は、清兵衛の家庭の事情を勘案して彼を放免するのだが…。</v>
      </c>
      <c r="N2974" s="2"/>
      <c r="O2974" s="2"/>
      <c r="P2974" s="1"/>
      <c r="Q2974" s="1"/>
      <c r="R2974" s="1"/>
      <c r="S2974" s="1"/>
      <c r="T2974" s="1"/>
      <c r="U2974" s="1"/>
      <c r="V2974" s="1"/>
      <c r="W2974" s="1"/>
      <c r="X2974" s="1"/>
      <c r="Y2974" s="1"/>
      <c r="Z2974" s="1"/>
      <c r="AA2974" s="1"/>
      <c r="AB2974" s="1"/>
      <c r="AC2974" s="1"/>
      <c r="AD2974" s="1"/>
      <c r="AE2974" s="1"/>
      <c r="AF2974" s="1"/>
      <c r="AG2974" s="1"/>
      <c r="AH2974" s="1"/>
      <c r="AI2974" s="1"/>
      <c r="AJ2974" s="1"/>
      <c r="AK2974" s="1"/>
      <c r="AL2974" s="1"/>
      <c r="AM2974" s="1"/>
      <c r="AN2974" s="1"/>
      <c r="AO2974" s="1"/>
      <c r="AP2974" s="1"/>
      <c r="AQ2974" s="1"/>
      <c r="AR2974" s="1"/>
      <c r="AS2974" s="1"/>
      <c r="AT2974" s="1"/>
      <c r="AU2974" s="1"/>
      <c r="AV2974" s="1"/>
      <c r="AW2974" s="1"/>
      <c r="AX2974" s="1"/>
      <c r="AY2974" s="1"/>
      <c r="AZ2974" s="1"/>
      <c r="BA2974" s="1"/>
      <c r="BB2974" s="1"/>
    </row>
    <row r="2975" ht="204.75" customHeight="1">
      <c r="A2975" s="1">
        <v>5325.0</v>
      </c>
      <c r="B2975" s="2" t="s">
        <v>9037</v>
      </c>
      <c r="C2975" s="2">
        <f>IFERROR(__xludf.DUMMYFUNCTION("split(B2975,""_"")"),904.0)</f>
        <v>904</v>
      </c>
      <c r="D2975" s="2" t="str">
        <f>IFERROR(__xludf.DUMMYFUNCTION("""COMPUTED_VALUE"""),"EX")</f>
        <v>EX</v>
      </c>
      <c r="E2975" s="2" t="str">
        <f>IFERROR(__xludf.DUMMYFUNCTION("""COMPUTED_VALUE"""),"金21")</f>
        <v>金21</v>
      </c>
      <c r="F2975" s="2" t="s">
        <v>9038</v>
      </c>
      <c r="G2975" s="2" t="s">
        <v>9039</v>
      </c>
      <c r="H2975" s="1">
        <v>3.0</v>
      </c>
      <c r="J2975" s="1" t="s">
        <v>11</v>
      </c>
      <c r="K2975" s="2" t="s">
        <v>9044</v>
      </c>
      <c r="L2975" s="11" t="s">
        <v>9045</v>
      </c>
      <c r="M2975" s="2" t="str">
        <f>IFERROR(__xludf.DUMMYFUNCTION("split(split(K2975,""　東山紀之・"",false),""公式LINE"",false)"),"小五郎(東山紀之)の的を横取りした男を涼次(松岡昌宏)が追うが見失う。主水(藤田まこと)は手口から同じ仕事人だと断言。男は住居も仕事もない連中を世話する仕立て屋の匳(田中聖)だった。涼次はお上に密告される前に男を消そうとするが、小五郎は…")</f>
        <v>小五郎(東山紀之)の的を横取りした男を涼次(松岡昌宏)が追うが見失う。主水(藤田まこと)は手口から同じ仕事人だと断言。男は住居も仕事もない連中を世話する仕立て屋の匳(田中聖)だった。涼次はお上に密告される前に男を消そうとするが、小五郎は…</v>
      </c>
      <c r="N2975" s="2"/>
      <c r="O2975" s="2"/>
      <c r="P2975" s="1"/>
      <c r="Q2975" s="1"/>
      <c r="R2975" s="1"/>
      <c r="S2975" s="1"/>
      <c r="T2975" s="1"/>
      <c r="U2975" s="1"/>
      <c r="V2975" s="1"/>
      <c r="W2975" s="1"/>
      <c r="X2975" s="1"/>
      <c r="Y2975" s="1"/>
      <c r="Z2975" s="1"/>
      <c r="AA2975" s="1"/>
      <c r="AB2975" s="1"/>
      <c r="AC2975" s="1"/>
      <c r="AD2975" s="1"/>
      <c r="AE2975" s="1"/>
      <c r="AF2975" s="1"/>
      <c r="AG2975" s="1"/>
      <c r="AH2975" s="1"/>
      <c r="AI2975" s="1"/>
      <c r="AJ2975" s="1"/>
      <c r="AK2975" s="1"/>
      <c r="AL2975" s="1"/>
      <c r="AM2975" s="1"/>
      <c r="AN2975" s="1"/>
      <c r="AO2975" s="1"/>
      <c r="AP2975" s="1"/>
      <c r="AQ2975" s="1"/>
      <c r="AR2975" s="1"/>
      <c r="AS2975" s="1"/>
      <c r="AT2975" s="1"/>
      <c r="AU2975" s="1"/>
      <c r="AV2975" s="1"/>
      <c r="AW2975" s="1"/>
      <c r="AX2975" s="1"/>
      <c r="AY2975" s="1"/>
      <c r="AZ2975" s="1"/>
      <c r="BA2975" s="1"/>
      <c r="BB2975" s="1"/>
    </row>
    <row r="2976" ht="204.75" customHeight="1">
      <c r="A2976" s="1">
        <v>5326.0</v>
      </c>
      <c r="B2976" s="2" t="s">
        <v>9037</v>
      </c>
      <c r="C2976" s="2">
        <f>IFERROR(__xludf.DUMMYFUNCTION("split(B2976,""_"")"),904.0)</f>
        <v>904</v>
      </c>
      <c r="D2976" s="2" t="str">
        <f>IFERROR(__xludf.DUMMYFUNCTION("""COMPUTED_VALUE"""),"EX")</f>
        <v>EX</v>
      </c>
      <c r="E2976" s="2" t="str">
        <f>IFERROR(__xludf.DUMMYFUNCTION("""COMPUTED_VALUE"""),"金21")</f>
        <v>金21</v>
      </c>
      <c r="F2976" s="2" t="s">
        <v>9038</v>
      </c>
      <c r="G2976" s="2" t="s">
        <v>9039</v>
      </c>
      <c r="H2976" s="1">
        <v>4.0</v>
      </c>
      <c r="J2976" s="1" t="s">
        <v>11</v>
      </c>
      <c r="K2976" s="2" t="s">
        <v>9046</v>
      </c>
      <c r="L2976" s="11" t="s">
        <v>9047</v>
      </c>
      <c r="M2976" s="2" t="str">
        <f>IFERROR(__xludf.DUMMYFUNCTION("split(split(K2976,""　東山紀之・"",false),""公式LINE"",false)"),"何者かにつけられ恐怖に慄く若いおゆう(井上和香)は、小五郎(東山紀之)の同僚・森岡(山口馬木也)に助けられる。許婚はいるが、母子二人暮らしのおゆうは次第に親切な森岡を頼りに…。自分に惚れていると思い込んだ森岡はおゆうに近づく男を始末しだす。")</f>
        <v>何者かにつけられ恐怖に慄く若いおゆう(井上和香)は、小五郎(東山紀之)の同僚・森岡(山口馬木也)に助けられる。許婚はいるが、母子二人暮らしのおゆうは次第に親切な森岡を頼りに…。自分に惚れていると思い込んだ森岡はおゆうに近づく男を始末しだす。</v>
      </c>
      <c r="N2976" s="2"/>
      <c r="O2976" s="2"/>
      <c r="P2976" s="1"/>
      <c r="Q2976" s="1"/>
      <c r="R2976" s="1"/>
      <c r="S2976" s="1"/>
      <c r="T2976" s="1"/>
      <c r="U2976" s="1"/>
      <c r="V2976" s="1"/>
      <c r="W2976" s="1"/>
      <c r="X2976" s="1"/>
      <c r="Y2976" s="1"/>
      <c r="Z2976" s="1"/>
      <c r="AA2976" s="1"/>
      <c r="AB2976" s="1"/>
      <c r="AC2976" s="1"/>
      <c r="AD2976" s="1"/>
      <c r="AE2976" s="1"/>
      <c r="AF2976" s="1"/>
      <c r="AG2976" s="1"/>
      <c r="AH2976" s="1"/>
      <c r="AI2976" s="1"/>
      <c r="AJ2976" s="1"/>
      <c r="AK2976" s="1"/>
      <c r="AL2976" s="1"/>
      <c r="AM2976" s="1"/>
      <c r="AN2976" s="1"/>
      <c r="AO2976" s="1"/>
      <c r="AP2976" s="1"/>
      <c r="AQ2976" s="1"/>
      <c r="AR2976" s="1"/>
      <c r="AS2976" s="1"/>
      <c r="AT2976" s="1"/>
      <c r="AU2976" s="1"/>
      <c r="AV2976" s="1"/>
      <c r="AW2976" s="1"/>
      <c r="AX2976" s="1"/>
      <c r="AY2976" s="1"/>
      <c r="AZ2976" s="1"/>
      <c r="BA2976" s="1"/>
      <c r="BB2976" s="1"/>
    </row>
    <row r="2977" ht="204.75" customHeight="1">
      <c r="A2977" s="1">
        <v>5327.0</v>
      </c>
      <c r="B2977" s="2" t="s">
        <v>9037</v>
      </c>
      <c r="C2977" s="2">
        <f>IFERROR(__xludf.DUMMYFUNCTION("split(B2977,""_"")"),904.0)</f>
        <v>904</v>
      </c>
      <c r="D2977" s="2" t="str">
        <f>IFERROR(__xludf.DUMMYFUNCTION("""COMPUTED_VALUE"""),"EX")</f>
        <v>EX</v>
      </c>
      <c r="E2977" s="2" t="str">
        <f>IFERROR(__xludf.DUMMYFUNCTION("""COMPUTED_VALUE"""),"金21")</f>
        <v>金21</v>
      </c>
      <c r="F2977" s="2" t="s">
        <v>9038</v>
      </c>
      <c r="G2977" s="2" t="s">
        <v>9039</v>
      </c>
      <c r="H2977" s="1">
        <v>5.0</v>
      </c>
      <c r="J2977" s="1" t="s">
        <v>11</v>
      </c>
      <c r="K2977" s="2" t="s">
        <v>9048</v>
      </c>
      <c r="L2977" s="11" t="s">
        <v>9049</v>
      </c>
      <c r="M2977" s="2" t="str">
        <f>IFERROR(__xludf.DUMMYFUNCTION("split(split(K2977,""　東山紀之・"",false),""公式LINE"",false)"),"涼次(松岡昌宏)は命の恩人のおゆき(伊藤裕子)と十数年ぶりに出会い逢瀬を重ねる。おゆきは評判の料理屋「川兆」の藤一郎(田中実)に見初められ祝言をあげ、店を一生懸命切り盛りする。数日後、藤一郎と母・おしん(絵沢萠子)が不審の死と遂げ、涼次は…")</f>
        <v>涼次(松岡昌宏)は命の恩人のおゆき(伊藤裕子)と十数年ぶりに出会い逢瀬を重ねる。おゆきは評判の料理屋「川兆」の藤一郎(田中実)に見初められ祝言をあげ、店を一生懸命切り盛りする。数日後、藤一郎と母・おしん(絵沢萠子)が不審の死と遂げ、涼次は…</v>
      </c>
      <c r="N2977" s="2"/>
      <c r="O2977" s="2"/>
      <c r="P2977" s="1"/>
      <c r="Q2977" s="1"/>
      <c r="R2977" s="1"/>
      <c r="S2977" s="1"/>
      <c r="T2977" s="1"/>
      <c r="U2977" s="1"/>
      <c r="V2977" s="1"/>
      <c r="W2977" s="1"/>
      <c r="X2977" s="1"/>
      <c r="Y2977" s="1"/>
      <c r="Z2977" s="1"/>
      <c r="AA2977" s="1"/>
      <c r="AB2977" s="1"/>
      <c r="AC2977" s="1"/>
      <c r="AD2977" s="1"/>
      <c r="AE2977" s="1"/>
      <c r="AF2977" s="1"/>
      <c r="AG2977" s="1"/>
      <c r="AH2977" s="1"/>
      <c r="AI2977" s="1"/>
      <c r="AJ2977" s="1"/>
      <c r="AK2977" s="1"/>
      <c r="AL2977" s="1"/>
      <c r="AM2977" s="1"/>
      <c r="AN2977" s="1"/>
      <c r="AO2977" s="1"/>
      <c r="AP2977" s="1"/>
      <c r="AQ2977" s="1"/>
      <c r="AR2977" s="1"/>
      <c r="AS2977" s="1"/>
      <c r="AT2977" s="1"/>
      <c r="AU2977" s="1"/>
      <c r="AV2977" s="1"/>
      <c r="AW2977" s="1"/>
      <c r="AX2977" s="1"/>
      <c r="AY2977" s="1"/>
      <c r="AZ2977" s="1"/>
      <c r="BA2977" s="1"/>
      <c r="BB2977" s="1"/>
    </row>
    <row r="2978" ht="204.75" customHeight="1">
      <c r="A2978" s="1">
        <v>5328.0</v>
      </c>
      <c r="B2978" s="2" t="s">
        <v>9037</v>
      </c>
      <c r="C2978" s="2">
        <f>IFERROR(__xludf.DUMMYFUNCTION("split(B2978,""_"")"),904.0)</f>
        <v>904</v>
      </c>
      <c r="D2978" s="2" t="str">
        <f>IFERROR(__xludf.DUMMYFUNCTION("""COMPUTED_VALUE"""),"EX")</f>
        <v>EX</v>
      </c>
      <c r="E2978" s="2" t="str">
        <f>IFERROR(__xludf.DUMMYFUNCTION("""COMPUTED_VALUE"""),"金21")</f>
        <v>金21</v>
      </c>
      <c r="F2978" s="2" t="s">
        <v>9038</v>
      </c>
      <c r="G2978" s="2" t="s">
        <v>9039</v>
      </c>
      <c r="H2978" s="1">
        <v>6.0</v>
      </c>
      <c r="J2978" s="1" t="s">
        <v>11</v>
      </c>
      <c r="K2978" s="2" t="s">
        <v>9050</v>
      </c>
      <c r="L2978" s="11" t="s">
        <v>9051</v>
      </c>
      <c r="M2978" s="2" t="str">
        <f>IFERROR(__xludf.DUMMYFUNCTION("split(split(K2978,""　東山紀之・"",false),""公式LINE"",false)"),"お志乃は医師の四郎(崎本大海)と小豆屋の佐吉(尾上寛之 )との間で恋心が揺れ、お菊に相談する。そのころ、小五郎(東山紀之)と伝七(福士誠治)は死亡した八百屋一家の売り物の野菜から台所の生ゴミまで全て持ち込み、一家死亡の原因を突き止めてもらおうとしていたのだ。")</f>
        <v>お志乃は医師の四郎(崎本大海)と小豆屋の佐吉(尾上寛之 )との間で恋心が揺れ、お菊に相談する。そのころ、小五郎(東山紀之)と伝七(福士誠治)は死亡した八百屋一家の売り物の野菜から台所の生ゴミまで全て持ち込み、一家死亡の原因を突き止めてもらおうとしていたのだ。</v>
      </c>
      <c r="N2978" s="2"/>
      <c r="O2978" s="2"/>
      <c r="P2978" s="1"/>
      <c r="Q2978" s="1"/>
      <c r="R2978" s="1"/>
      <c r="S2978" s="1"/>
      <c r="T2978" s="1"/>
      <c r="U2978" s="1"/>
      <c r="V2978" s="1"/>
      <c r="W2978" s="1"/>
      <c r="X2978" s="1"/>
      <c r="Y2978" s="1"/>
      <c r="Z2978" s="1"/>
      <c r="AA2978" s="1"/>
      <c r="AB2978" s="1"/>
      <c r="AC2978" s="1"/>
      <c r="AD2978" s="1"/>
      <c r="AE2978" s="1"/>
      <c r="AF2978" s="1"/>
      <c r="AG2978" s="1"/>
      <c r="AH2978" s="1"/>
      <c r="AI2978" s="1"/>
      <c r="AJ2978" s="1"/>
      <c r="AK2978" s="1"/>
      <c r="AL2978" s="1"/>
      <c r="AM2978" s="1"/>
      <c r="AN2978" s="1"/>
      <c r="AO2978" s="1"/>
      <c r="AP2978" s="1"/>
      <c r="AQ2978" s="1"/>
      <c r="AR2978" s="1"/>
      <c r="AS2978" s="1"/>
      <c r="AT2978" s="1"/>
      <c r="AU2978" s="1"/>
      <c r="AV2978" s="1"/>
      <c r="AW2978" s="1"/>
      <c r="AX2978" s="1"/>
      <c r="AY2978" s="1"/>
      <c r="AZ2978" s="1"/>
      <c r="BA2978" s="1"/>
      <c r="BB2978" s="1"/>
    </row>
    <row r="2979" ht="204.75" customHeight="1">
      <c r="A2979" s="1">
        <v>5329.0</v>
      </c>
      <c r="B2979" s="2" t="s">
        <v>9037</v>
      </c>
      <c r="C2979" s="2">
        <f>IFERROR(__xludf.DUMMYFUNCTION("split(B2979,""_"")"),904.0)</f>
        <v>904</v>
      </c>
      <c r="D2979" s="2" t="str">
        <f>IFERROR(__xludf.DUMMYFUNCTION("""COMPUTED_VALUE"""),"EX")</f>
        <v>EX</v>
      </c>
      <c r="E2979" s="2" t="str">
        <f>IFERROR(__xludf.DUMMYFUNCTION("""COMPUTED_VALUE"""),"金21")</f>
        <v>金21</v>
      </c>
      <c r="F2979" s="2" t="s">
        <v>9038</v>
      </c>
      <c r="G2979" s="2" t="s">
        <v>9039</v>
      </c>
      <c r="H2979" s="1">
        <v>7.0</v>
      </c>
      <c r="J2979" s="1" t="s">
        <v>11</v>
      </c>
      <c r="K2979" s="2" t="s">
        <v>9052</v>
      </c>
      <c r="L2979" s="11" t="s">
        <v>9053</v>
      </c>
      <c r="M2979" s="2" t="str">
        <f>IFERROR(__xludf.DUMMYFUNCTION("split(split(K2979,""　東山紀之・"",false),""公式LINE"",false)"),"小五郎(東山紀之)が体よく逃げたため、仕方なく主水が屋敷に出かけていくが、そこにはワケありの骸を始末する裏家業の始末人・アヤメ(加賀まりこ)がいた。アヤメは身寄りのない老人を世話し、何と匳までそれを手伝っていたのだった。だが、その費用には巨悪の裏が…")</f>
        <v>小五郎(東山紀之)が体よく逃げたため、仕方なく主水が屋敷に出かけていくが、そこにはワケありの骸を始末する裏家業の始末人・アヤメ(加賀まりこ)がいた。アヤメは身寄りのない老人を世話し、何と匳までそれを手伝っていたのだった。だが、その費用には巨悪の裏が…</v>
      </c>
      <c r="N2979" s="2"/>
      <c r="O2979" s="2"/>
      <c r="P2979" s="1"/>
      <c r="Q2979" s="1"/>
      <c r="R2979" s="1"/>
      <c r="S2979" s="1"/>
      <c r="T2979" s="1"/>
      <c r="U2979" s="1"/>
      <c r="V2979" s="1"/>
      <c r="W2979" s="1"/>
      <c r="X2979" s="1"/>
      <c r="Y2979" s="1"/>
      <c r="Z2979" s="1"/>
      <c r="AA2979" s="1"/>
      <c r="AB2979" s="1"/>
      <c r="AC2979" s="1"/>
      <c r="AD2979" s="1"/>
      <c r="AE2979" s="1"/>
      <c r="AF2979" s="1"/>
      <c r="AG2979" s="1"/>
      <c r="AH2979" s="1"/>
      <c r="AI2979" s="1"/>
      <c r="AJ2979" s="1"/>
      <c r="AK2979" s="1"/>
      <c r="AL2979" s="1"/>
      <c r="AM2979" s="1"/>
      <c r="AN2979" s="1"/>
      <c r="AO2979" s="1"/>
      <c r="AP2979" s="1"/>
      <c r="AQ2979" s="1"/>
      <c r="AR2979" s="1"/>
      <c r="AS2979" s="1"/>
      <c r="AT2979" s="1"/>
      <c r="AU2979" s="1"/>
      <c r="AV2979" s="1"/>
      <c r="AW2979" s="1"/>
      <c r="AX2979" s="1"/>
      <c r="AY2979" s="1"/>
      <c r="AZ2979" s="1"/>
      <c r="BA2979" s="1"/>
      <c r="BB2979" s="1"/>
    </row>
    <row r="2980" ht="204.75" customHeight="1">
      <c r="A2980" s="1">
        <v>5330.0</v>
      </c>
      <c r="B2980" s="2" t="s">
        <v>9037</v>
      </c>
      <c r="C2980" s="2">
        <f>IFERROR(__xludf.DUMMYFUNCTION("split(B2980,""_"")"),904.0)</f>
        <v>904</v>
      </c>
      <c r="D2980" s="2" t="str">
        <f>IFERROR(__xludf.DUMMYFUNCTION("""COMPUTED_VALUE"""),"EX")</f>
        <v>EX</v>
      </c>
      <c r="E2980" s="2" t="str">
        <f>IFERROR(__xludf.DUMMYFUNCTION("""COMPUTED_VALUE"""),"金21")</f>
        <v>金21</v>
      </c>
      <c r="F2980" s="2" t="s">
        <v>9038</v>
      </c>
      <c r="G2980" s="2" t="s">
        <v>9039</v>
      </c>
      <c r="H2980" s="1">
        <v>8.0</v>
      </c>
      <c r="J2980" s="1" t="s">
        <v>11</v>
      </c>
      <c r="K2980" s="2" t="s">
        <v>9054</v>
      </c>
      <c r="L2980" s="11" t="s">
        <v>9055</v>
      </c>
      <c r="M2980" s="2" t="str">
        <f>IFERROR(__xludf.DUMMYFUNCTION("split(split(K2980,""　東山紀之・"",false),""公式LINE"",false)"),"主水(藤田まこと)、涼次(松岡昌宏)、匳(田中聖)に緊張が走る。主水は何かの罠の可能性もあると言う。小五郎は自分の身辺に仕事人の影がちらついていることを感じ取っていた。寺島村に何かがあるとわかり、小五郎は七年ぶりに村を訪ねる。そこで、旧知の仲・左兵衛(哀川翔)に出会うが…。")</f>
        <v>主水(藤田まこと)、涼次(松岡昌宏)、匳(田中聖)に緊張が走る。主水は何かの罠の可能性もあると言う。小五郎は自分の身辺に仕事人の影がちらついていることを感じ取っていた。寺島村に何かがあるとわかり、小五郎は七年ぶりに村を訪ねる。そこで、旧知の仲・左兵衛(哀川翔)に出会うが…。</v>
      </c>
      <c r="N2980" s="2"/>
      <c r="O2980" s="2"/>
      <c r="P2980" s="1"/>
      <c r="Q2980" s="1"/>
      <c r="R2980" s="1"/>
      <c r="S2980" s="1"/>
      <c r="T2980" s="1"/>
      <c r="U2980" s="1"/>
      <c r="V2980" s="1"/>
      <c r="W2980" s="1"/>
      <c r="X2980" s="1"/>
      <c r="Y2980" s="1"/>
      <c r="Z2980" s="1"/>
      <c r="AA2980" s="1"/>
      <c r="AB2980" s="1"/>
      <c r="AC2980" s="1"/>
      <c r="AD2980" s="1"/>
      <c r="AE2980" s="1"/>
      <c r="AF2980" s="1"/>
      <c r="AG2980" s="1"/>
      <c r="AH2980" s="1"/>
      <c r="AI2980" s="1"/>
      <c r="AJ2980" s="1"/>
      <c r="AK2980" s="1"/>
      <c r="AL2980" s="1"/>
      <c r="AM2980" s="1"/>
      <c r="AN2980" s="1"/>
      <c r="AO2980" s="1"/>
      <c r="AP2980" s="1"/>
      <c r="AQ2980" s="1"/>
      <c r="AR2980" s="1"/>
      <c r="AS2980" s="1"/>
      <c r="AT2980" s="1"/>
      <c r="AU2980" s="1"/>
      <c r="AV2980" s="1"/>
      <c r="AW2980" s="1"/>
      <c r="AX2980" s="1"/>
      <c r="AY2980" s="1"/>
      <c r="AZ2980" s="1"/>
      <c r="BA2980" s="1"/>
      <c r="BB2980" s="1"/>
    </row>
    <row r="2981" ht="204.75" customHeight="1">
      <c r="A2981" s="1">
        <v>5331.0</v>
      </c>
      <c r="B2981" s="2" t="s">
        <v>9037</v>
      </c>
      <c r="C2981" s="2">
        <f>IFERROR(__xludf.DUMMYFUNCTION("split(B2981,""_"")"),904.0)</f>
        <v>904</v>
      </c>
      <c r="D2981" s="2" t="str">
        <f>IFERROR(__xludf.DUMMYFUNCTION("""COMPUTED_VALUE"""),"EX")</f>
        <v>EX</v>
      </c>
      <c r="E2981" s="2" t="str">
        <f>IFERROR(__xludf.DUMMYFUNCTION("""COMPUTED_VALUE"""),"金21")</f>
        <v>金21</v>
      </c>
      <c r="F2981" s="2" t="s">
        <v>9038</v>
      </c>
      <c r="G2981" s="2" t="s">
        <v>9039</v>
      </c>
      <c r="H2981" s="1">
        <v>9.0</v>
      </c>
      <c r="J2981" s="1" t="s">
        <v>11</v>
      </c>
      <c r="K2981" s="2" t="s">
        <v>9056</v>
      </c>
      <c r="L2981" s="11" t="s">
        <v>9057</v>
      </c>
      <c r="M2981" s="2" t="str">
        <f>IFERROR(__xludf.DUMMYFUNCTION("split(split(K2981,""　東山紀之・"",false),""公式LINE"",false)"),"如月は何の気なしに仕事人がいるらしいと涼次に話すが、仕事人稼業に関わってほしくない思いからケンカになってしまう。涼次のもとを飛び出した如月は、夜鷹のおみつと再会する。  　数日後、おみつを見かけた主水(藤田まこと)は、おみつがお鈴の姉だと思い出す。そんな中、宗右衛門が何者かに殺されて…。")</f>
        <v>如月は何の気なしに仕事人がいるらしいと涼次に話すが、仕事人稼業に関わってほしくない思いからケンカになってしまう。涼次のもとを飛び出した如月は、夜鷹のおみつと再会する。  　数日後、おみつを見かけた主水(藤田まこと)は、おみつがお鈴の姉だと思い出す。そんな中、宗右衛門が何者かに殺されて…。</v>
      </c>
      <c r="N2981" s="2"/>
      <c r="O2981" s="2"/>
      <c r="P2981" s="1"/>
      <c r="Q2981" s="1"/>
      <c r="R2981" s="1"/>
      <c r="S2981" s="1"/>
      <c r="T2981" s="1"/>
      <c r="U2981" s="1"/>
      <c r="V2981" s="1"/>
      <c r="W2981" s="1"/>
      <c r="X2981" s="1"/>
      <c r="Y2981" s="1"/>
      <c r="Z2981" s="1"/>
      <c r="AA2981" s="1"/>
      <c r="AB2981" s="1"/>
      <c r="AC2981" s="1"/>
      <c r="AD2981" s="1"/>
      <c r="AE2981" s="1"/>
      <c r="AF2981" s="1"/>
      <c r="AG2981" s="1"/>
      <c r="AH2981" s="1"/>
      <c r="AI2981" s="1"/>
      <c r="AJ2981" s="1"/>
      <c r="AK2981" s="1"/>
      <c r="AL2981" s="1"/>
      <c r="AM2981" s="1"/>
      <c r="AN2981" s="1"/>
      <c r="AO2981" s="1"/>
      <c r="AP2981" s="1"/>
      <c r="AQ2981" s="1"/>
      <c r="AR2981" s="1"/>
      <c r="AS2981" s="1"/>
      <c r="AT2981" s="1"/>
      <c r="AU2981" s="1"/>
      <c r="AV2981" s="1"/>
      <c r="AW2981" s="1"/>
      <c r="AX2981" s="1"/>
      <c r="AY2981" s="1"/>
      <c r="AZ2981" s="1"/>
      <c r="BA2981" s="1"/>
      <c r="BB2981" s="1"/>
    </row>
    <row r="2982" ht="204.75" customHeight="1">
      <c r="A2982" s="1">
        <v>5332.0</v>
      </c>
      <c r="B2982" s="2" t="s">
        <v>9037</v>
      </c>
      <c r="C2982" s="2">
        <f>IFERROR(__xludf.DUMMYFUNCTION("split(B2982,""_"")"),904.0)</f>
        <v>904</v>
      </c>
      <c r="D2982" s="2" t="str">
        <f>IFERROR(__xludf.DUMMYFUNCTION("""COMPUTED_VALUE"""),"EX")</f>
        <v>EX</v>
      </c>
      <c r="E2982" s="2" t="str">
        <f>IFERROR(__xludf.DUMMYFUNCTION("""COMPUTED_VALUE"""),"金21")</f>
        <v>金21</v>
      </c>
      <c r="F2982" s="2" t="s">
        <v>9038</v>
      </c>
      <c r="G2982" s="2" t="s">
        <v>9039</v>
      </c>
      <c r="H2982" s="1">
        <v>10.0</v>
      </c>
      <c r="J2982" s="1" t="s">
        <v>11</v>
      </c>
      <c r="K2982" s="2" t="s">
        <v>9058</v>
      </c>
      <c r="L2982" s="11" t="s">
        <v>9058</v>
      </c>
      <c r="M2982" s="2" t="str">
        <f>IFERROR(__xludf.DUMMYFUNCTION("split(split(K2982,""　東山紀之・"",false),""公式LINE"",false)"),"伝七は貴恵に助太刀を買ってでるが、仇の相手・津田兵馬(姜暢雄)と貴恵は特別な関係に…。さらに、仇討ちには巨悪なからくりが…　東山紀之、松岡昌宏、田中聖、福士誠治、宇梶剛士/野際陽子、中越典子/原田夏希、姜暢雄、原田大二郎、芦川よしみ、大河内浩/和久井映見、藤田まこと　ほか　森下直　原田徹　平尾昌晃「鏡花水月」The　SHIGOTONIN  (ジャニーズ・エンタテイメント)　ABC・テレビ朝日・松竹「必殺仕事人2009公式ガイドブック」  東山紀之、松岡昌宏、大倉忠義、藤田まことら出演者のインタビュー、撮り"&amp;"下ろし写真が満載。必殺シリーズ初の公式本!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f>
        <v>伝七は貴恵に助太刀を買ってでるが、仇の相手・津田兵馬(姜暢雄)と貴恵は特別な関係に…。さらに、仇討ちには巨悪なからくりが…　東山紀之、松岡昌宏、田中聖、福士誠治、宇梶剛士/野際陽子、中越典子/原田夏希、姜暢雄、原田大二郎、芦川よしみ、大河内浩/和久井映見、藤田まこと　ほか　森下直　原田徹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v>
      </c>
      <c r="N2982" s="2"/>
      <c r="O2982" s="2"/>
      <c r="P2982" s="1"/>
      <c r="Q2982" s="1"/>
      <c r="R2982" s="1"/>
      <c r="S2982" s="1"/>
      <c r="T2982" s="1"/>
      <c r="U2982" s="1"/>
      <c r="V2982" s="1"/>
      <c r="W2982" s="1"/>
      <c r="X2982" s="1"/>
      <c r="Y2982" s="1"/>
      <c r="Z2982" s="1"/>
      <c r="AA2982" s="1"/>
      <c r="AB2982" s="1"/>
      <c r="AC2982" s="1"/>
      <c r="AD2982" s="1"/>
      <c r="AE2982" s="1"/>
      <c r="AF2982" s="1"/>
      <c r="AG2982" s="1"/>
      <c r="AH2982" s="1"/>
      <c r="AI2982" s="1"/>
      <c r="AJ2982" s="1"/>
      <c r="AK2982" s="1"/>
      <c r="AL2982" s="1"/>
      <c r="AM2982" s="1"/>
      <c r="AN2982" s="1"/>
      <c r="AO2982" s="1"/>
      <c r="AP2982" s="1"/>
      <c r="AQ2982" s="1"/>
      <c r="AR2982" s="1"/>
      <c r="AS2982" s="1"/>
      <c r="AT2982" s="1"/>
      <c r="AU2982" s="1"/>
      <c r="AV2982" s="1"/>
      <c r="AW2982" s="1"/>
      <c r="AX2982" s="1"/>
      <c r="AY2982" s="1"/>
      <c r="AZ2982" s="1"/>
      <c r="BA2982" s="1"/>
      <c r="BB2982" s="1"/>
    </row>
    <row r="2983" ht="204.75" customHeight="1">
      <c r="A2983" s="1">
        <v>5333.0</v>
      </c>
      <c r="B2983" s="2" t="s">
        <v>9037</v>
      </c>
      <c r="C2983" s="2">
        <f>IFERROR(__xludf.DUMMYFUNCTION("split(B2983,""_"")"),904.0)</f>
        <v>904</v>
      </c>
      <c r="D2983" s="2" t="str">
        <f>IFERROR(__xludf.DUMMYFUNCTION("""COMPUTED_VALUE"""),"EX")</f>
        <v>EX</v>
      </c>
      <c r="E2983" s="2" t="str">
        <f>IFERROR(__xludf.DUMMYFUNCTION("""COMPUTED_VALUE"""),"金21")</f>
        <v>金21</v>
      </c>
      <c r="F2983" s="2" t="s">
        <v>9038</v>
      </c>
      <c r="G2983" s="2" t="s">
        <v>9039</v>
      </c>
      <c r="H2983" s="1">
        <v>11.0</v>
      </c>
      <c r="J2983" s="1" t="s">
        <v>11</v>
      </c>
      <c r="K2983" s="2" t="s">
        <v>9059</v>
      </c>
      <c r="L2983" s="11" t="s">
        <v>9060</v>
      </c>
      <c r="M2983" s="2" t="str">
        <f>IFERROR(__xludf.DUMMYFUNCTION("split(split(K2983,""　東山紀之・"",false),""公式LINE"",false)"),"雨宮は仕事人を使い加納を闇に葬ろうとするが、大老の密偵だということが加納一派に発覚し、無理やり切腹させられてしまう。小五郎は雨宮の妻・きよ(若村麻由美)の依頼で仕事を受けるが、そこには…")</f>
        <v>雨宮は仕事人を使い加納を闇に葬ろうとするが、大老の密偵だということが加納一派に発覚し、無理やり切腹させられてしまう。小五郎は雨宮の妻・きよ(若村麻由美)の依頼で仕事を受けるが、そこには…</v>
      </c>
      <c r="N2983" s="2"/>
      <c r="O2983" s="2"/>
      <c r="P2983" s="1"/>
      <c r="Q2983" s="1"/>
      <c r="R2983" s="1"/>
      <c r="S2983" s="1"/>
      <c r="T2983" s="1"/>
      <c r="U2983" s="1"/>
      <c r="V2983" s="1"/>
      <c r="W2983" s="1"/>
      <c r="X2983" s="1"/>
      <c r="Y2983" s="1"/>
      <c r="Z2983" s="1"/>
      <c r="AA2983" s="1"/>
      <c r="AB2983" s="1"/>
      <c r="AC2983" s="1"/>
      <c r="AD2983" s="1"/>
      <c r="AE2983" s="1"/>
      <c r="AF2983" s="1"/>
      <c r="AG2983" s="1"/>
      <c r="AH2983" s="1"/>
      <c r="AI2983" s="1"/>
      <c r="AJ2983" s="1"/>
      <c r="AK2983" s="1"/>
      <c r="AL2983" s="1"/>
      <c r="AM2983" s="1"/>
      <c r="AN2983" s="1"/>
      <c r="AO2983" s="1"/>
      <c r="AP2983" s="1"/>
      <c r="AQ2983" s="1"/>
      <c r="AR2983" s="1"/>
      <c r="AS2983" s="1"/>
      <c r="AT2983" s="1"/>
      <c r="AU2983" s="1"/>
      <c r="AV2983" s="1"/>
      <c r="AW2983" s="1"/>
      <c r="AX2983" s="1"/>
      <c r="AY2983" s="1"/>
      <c r="AZ2983" s="1"/>
      <c r="BA2983" s="1"/>
      <c r="BB2983" s="1"/>
    </row>
    <row r="2984" ht="204.75" customHeight="1">
      <c r="A2984" s="1">
        <v>5334.0</v>
      </c>
      <c r="B2984" s="2" t="s">
        <v>9037</v>
      </c>
      <c r="C2984" s="2">
        <f>IFERROR(__xludf.DUMMYFUNCTION("split(B2984,""_"")"),904.0)</f>
        <v>904</v>
      </c>
      <c r="D2984" s="2" t="str">
        <f>IFERROR(__xludf.DUMMYFUNCTION("""COMPUTED_VALUE"""),"EX")</f>
        <v>EX</v>
      </c>
      <c r="E2984" s="2" t="str">
        <f>IFERROR(__xludf.DUMMYFUNCTION("""COMPUTED_VALUE"""),"金21")</f>
        <v>金21</v>
      </c>
      <c r="F2984" s="2" t="s">
        <v>9038</v>
      </c>
      <c r="G2984" s="2" t="s">
        <v>9039</v>
      </c>
      <c r="H2984" s="1">
        <v>12.0</v>
      </c>
      <c r="J2984" s="1" t="s">
        <v>11</v>
      </c>
      <c r="K2984" s="2" t="s">
        <v>9061</v>
      </c>
      <c r="L2984" s="11" t="s">
        <v>9062</v>
      </c>
      <c r="M2984" s="2" t="str">
        <f>IFERROR(__xludf.DUMMYFUNCTION("split(split(K2984,""　東山紀之・"",false),""公式LINE"",false)"),"涼次が口を割れば追手が襲ってくる。小五郎(東山紀之)たちは行くも地獄、逃げるも地獄の中、追い込まれて行き…")</f>
        <v>涼次が口を割れば追手が襲ってくる。小五郎(東山紀之)たちは行くも地獄、逃げるも地獄の中、追い込まれて行き…</v>
      </c>
      <c r="N2984" s="2"/>
      <c r="O2984" s="2"/>
      <c r="P2984" s="1"/>
      <c r="Q2984" s="1"/>
      <c r="R2984" s="1"/>
      <c r="S2984" s="1"/>
      <c r="T2984" s="1"/>
      <c r="U2984" s="1"/>
      <c r="V2984" s="1"/>
      <c r="W2984" s="1"/>
      <c r="X2984" s="1"/>
      <c r="Y2984" s="1"/>
      <c r="Z2984" s="1"/>
      <c r="AA2984" s="1"/>
      <c r="AB2984" s="1"/>
      <c r="AC2984" s="1"/>
      <c r="AD2984" s="1"/>
      <c r="AE2984" s="1"/>
      <c r="AF2984" s="1"/>
      <c r="AG2984" s="1"/>
      <c r="AH2984" s="1"/>
      <c r="AI2984" s="1"/>
      <c r="AJ2984" s="1"/>
      <c r="AK2984" s="1"/>
      <c r="AL2984" s="1"/>
      <c r="AM2984" s="1"/>
      <c r="AN2984" s="1"/>
      <c r="AO2984" s="1"/>
      <c r="AP2984" s="1"/>
      <c r="AQ2984" s="1"/>
      <c r="AR2984" s="1"/>
      <c r="AS2984" s="1"/>
      <c r="AT2984" s="1"/>
      <c r="AU2984" s="1"/>
      <c r="AV2984" s="1"/>
      <c r="AW2984" s="1"/>
      <c r="AX2984" s="1"/>
      <c r="AY2984" s="1"/>
      <c r="AZ2984" s="1"/>
      <c r="BA2984" s="1"/>
      <c r="BB2984" s="1"/>
    </row>
    <row r="2985" ht="204.75" customHeight="1">
      <c r="A2985" s="1">
        <v>5346.0</v>
      </c>
      <c r="B2985" s="2" t="s">
        <v>9063</v>
      </c>
      <c r="C2985" s="2">
        <f>IFERROR(__xludf.DUMMYFUNCTION("split(B2985,""_"")"),904.0)</f>
        <v>904</v>
      </c>
      <c r="D2985" s="2" t="str">
        <f>IFERROR(__xludf.DUMMYFUNCTION("""COMPUTED_VALUE"""),"EX")</f>
        <v>EX</v>
      </c>
      <c r="E2985" s="2" t="str">
        <f>IFERROR(__xludf.DUMMYFUNCTION("""COMPUTED_VALUE"""),"金23")</f>
        <v>金23</v>
      </c>
      <c r="F2985" s="2" t="s">
        <v>9064</v>
      </c>
      <c r="G2985" s="2" t="s">
        <v>9065</v>
      </c>
      <c r="H2985" s="1">
        <v>1.0</v>
      </c>
      <c r="J2985" s="1" t="s">
        <v>1435</v>
      </c>
      <c r="K2985" s="4" t="s">
        <v>9066</v>
      </c>
      <c r="L2985" s="11" t="s">
        <v>9067</v>
      </c>
      <c r="M2985" s="2" t="str">
        <f>IFERROR(__xludf.DUMMYFUNCTION("split(split(K2985,""松田翔太、"",false),""公式LINE"",false)"),"東野圭吾原作!掟破りのミステリー超大作!?  第1話のテーマは、トリックの王様こと、&lt;密室&gt;  「密室トリックって、実は意味なくね?」  名探偵・天下一大五郎(松田翔太)が、本格推理世界の裏側を赤裸々に暴露しながら、難事件を解決してみます!　")</f>
        <v>東野圭吾原作!掟破りのミステリー超大作!?  第1話のテーマは、トリックの王様こと、&lt;密室&gt;  「密室トリックって、実は意味なくね?」  名探偵・天下一大五郎(松田翔太)が、本格推理世界の裏側を赤裸々に暴露しながら、難事件を解決してみます!　</v>
      </c>
      <c r="N2985" s="2"/>
      <c r="O2985" s="2"/>
      <c r="P2985" s="1"/>
      <c r="Q2985" s="1"/>
      <c r="R2985" s="1"/>
      <c r="S2985" s="1"/>
      <c r="T2985" s="1"/>
      <c r="U2985" s="1"/>
      <c r="V2985" s="1"/>
      <c r="W2985" s="1"/>
      <c r="X2985" s="1"/>
      <c r="Y2985" s="1"/>
      <c r="Z2985" s="1"/>
      <c r="AA2985" s="1"/>
      <c r="AB2985" s="1"/>
      <c r="AC2985" s="1"/>
      <c r="AD2985" s="1"/>
      <c r="AE2985" s="1"/>
      <c r="AF2985" s="1"/>
      <c r="AG2985" s="1"/>
      <c r="AH2985" s="1"/>
      <c r="AI2985" s="1"/>
      <c r="AJ2985" s="1"/>
      <c r="AK2985" s="1"/>
      <c r="AL2985" s="1"/>
      <c r="AM2985" s="1"/>
      <c r="AN2985" s="1"/>
      <c r="AO2985" s="1"/>
      <c r="AP2985" s="1"/>
      <c r="AQ2985" s="1"/>
      <c r="AR2985" s="1"/>
      <c r="AS2985" s="1"/>
      <c r="AT2985" s="1"/>
      <c r="AU2985" s="1"/>
      <c r="AV2985" s="1"/>
      <c r="AW2985" s="1"/>
      <c r="AX2985" s="1"/>
      <c r="AY2985" s="1"/>
      <c r="AZ2985" s="1"/>
      <c r="BA2985" s="1"/>
      <c r="BB2985" s="1"/>
    </row>
    <row r="2986" ht="204.75" customHeight="1">
      <c r="A2986" s="1">
        <v>5347.0</v>
      </c>
      <c r="B2986" s="2" t="s">
        <v>9063</v>
      </c>
      <c r="C2986" s="2">
        <f>IFERROR(__xludf.DUMMYFUNCTION("split(B2986,""_"")"),904.0)</f>
        <v>904</v>
      </c>
      <c r="D2986" s="2" t="str">
        <f>IFERROR(__xludf.DUMMYFUNCTION("""COMPUTED_VALUE"""),"EX")</f>
        <v>EX</v>
      </c>
      <c r="E2986" s="2" t="str">
        <f>IFERROR(__xludf.DUMMYFUNCTION("""COMPUTED_VALUE"""),"金23")</f>
        <v>金23</v>
      </c>
      <c r="F2986" s="2" t="s">
        <v>9064</v>
      </c>
      <c r="G2986" s="2" t="s">
        <v>9065</v>
      </c>
      <c r="H2986" s="1">
        <v>2.0</v>
      </c>
      <c r="J2986" s="1" t="s">
        <v>1435</v>
      </c>
      <c r="K2986" s="2" t="s">
        <v>9068</v>
      </c>
      <c r="L2986" s="11" t="s">
        <v>9069</v>
      </c>
      <c r="M2986" s="2" t="str">
        <f>IFERROR(__xludf.DUMMYFUNCTION("split(split(K2986,""松田翔太、"",false),""公式LINE"",false)"),"温泉・グルメ・電車が絡んだ時、必ず殺人事件が起こる。  大河原が旅先で遭遇した遺体には、刺された痕が3箇所あった。  天下一は、消えた凶器にこそ事件解明の手がかりがあると推理するが…。  早くもシリーズ終了の危機!?　天下一を襲う史上最大のピンチとは!!　")</f>
        <v>温泉・グルメ・電車が絡んだ時、必ず殺人事件が起こる。  大河原が旅先で遭遇した遺体には、刺された痕が3箇所あった。  天下一は、消えた凶器にこそ事件解明の手がかりがあると推理するが…。  早くもシリーズ終了の危機!?　天下一を襲う史上最大のピンチとは!!　</v>
      </c>
      <c r="N2986" s="2"/>
      <c r="O2986" s="2"/>
      <c r="P2986" s="1"/>
      <c r="Q2986" s="1"/>
      <c r="R2986" s="1"/>
      <c r="S2986" s="1"/>
      <c r="T2986" s="1"/>
      <c r="U2986" s="1"/>
      <c r="V2986" s="1"/>
      <c r="W2986" s="1"/>
      <c r="X2986" s="1"/>
      <c r="Y2986" s="1"/>
      <c r="Z2986" s="1"/>
      <c r="AA2986" s="1"/>
      <c r="AB2986" s="1"/>
      <c r="AC2986" s="1"/>
      <c r="AD2986" s="1"/>
      <c r="AE2986" s="1"/>
      <c r="AF2986" s="1"/>
      <c r="AG2986" s="1"/>
      <c r="AH2986" s="1"/>
      <c r="AI2986" s="1"/>
      <c r="AJ2986" s="1"/>
      <c r="AK2986" s="1"/>
      <c r="AL2986" s="1"/>
      <c r="AM2986" s="1"/>
      <c r="AN2986" s="1"/>
      <c r="AO2986" s="1"/>
      <c r="AP2986" s="1"/>
      <c r="AQ2986" s="1"/>
      <c r="AR2986" s="1"/>
      <c r="AS2986" s="1"/>
      <c r="AT2986" s="1"/>
      <c r="AU2986" s="1"/>
      <c r="AV2986" s="1"/>
      <c r="AW2986" s="1"/>
      <c r="AX2986" s="1"/>
      <c r="AY2986" s="1"/>
      <c r="AZ2986" s="1"/>
      <c r="BA2986" s="1"/>
      <c r="BB2986" s="1"/>
    </row>
    <row r="2987" ht="204.75" customHeight="1">
      <c r="A2987" s="1">
        <v>5348.0</v>
      </c>
      <c r="B2987" s="2" t="s">
        <v>9063</v>
      </c>
      <c r="C2987" s="2">
        <f>IFERROR(__xludf.DUMMYFUNCTION("split(B2987,""_"")"),904.0)</f>
        <v>904</v>
      </c>
      <c r="D2987" s="2" t="str">
        <f>IFERROR(__xludf.DUMMYFUNCTION("""COMPUTED_VALUE"""),"EX")</f>
        <v>EX</v>
      </c>
      <c r="E2987" s="2" t="str">
        <f>IFERROR(__xludf.DUMMYFUNCTION("""COMPUTED_VALUE"""),"金23")</f>
        <v>金23</v>
      </c>
      <c r="F2987" s="2" t="s">
        <v>9064</v>
      </c>
      <c r="G2987" s="2" t="s">
        <v>9065</v>
      </c>
      <c r="H2987" s="1">
        <v>3.0</v>
      </c>
      <c r="J2987" s="1" t="s">
        <v>1435</v>
      </c>
      <c r="K2987" s="2" t="s">
        <v>9070</v>
      </c>
      <c r="L2987" s="11" t="s">
        <v>9071</v>
      </c>
      <c r="M2987" s="2" t="str">
        <f>IFERROR(__xludf.DUMMYFUNCTION("split(split(K2987,""松田翔太、"",false),""公式LINE"",false)"),"遺体のそばで発見されたアルファベットの『WEX』と思しき謎の文字。  被害者が死ぬ間際に、犯人を微妙に遠まわしに暗示するよう、わざわざ書き遺したダイイングメッセージ…そこに秘められた驚愕の真実とは!?  原作の中でも最高傑作のひとつと呼ばれる珠玉の短編を、思い切ってドラマ化してみます。　")</f>
        <v>遺体のそばで発見されたアルファベットの『WEX』と思しき謎の文字。  被害者が死ぬ間際に、犯人を微妙に遠まわしに暗示するよう、わざわざ書き遺したダイイングメッセージ…そこに秘められた驚愕の真実とは!?  原作の中でも最高傑作のひとつと呼ばれる珠玉の短編を、思い切ってドラマ化してみます。　</v>
      </c>
      <c r="N2987" s="2"/>
      <c r="O2987" s="2"/>
      <c r="P2987" s="1"/>
      <c r="Q2987" s="1"/>
      <c r="R2987" s="1"/>
      <c r="S2987" s="1"/>
      <c r="T2987" s="1"/>
      <c r="U2987" s="1"/>
      <c r="V2987" s="1"/>
      <c r="W2987" s="1"/>
      <c r="X2987" s="1"/>
      <c r="Y2987" s="1"/>
      <c r="Z2987" s="1"/>
      <c r="AA2987" s="1"/>
      <c r="AB2987" s="1"/>
      <c r="AC2987" s="1"/>
      <c r="AD2987" s="1"/>
      <c r="AE2987" s="1"/>
      <c r="AF2987" s="1"/>
      <c r="AG2987" s="1"/>
      <c r="AH2987" s="1"/>
      <c r="AI2987" s="1"/>
      <c r="AJ2987" s="1"/>
      <c r="AK2987" s="1"/>
      <c r="AL2987" s="1"/>
      <c r="AM2987" s="1"/>
      <c r="AN2987" s="1"/>
      <c r="AO2987" s="1"/>
      <c r="AP2987" s="1"/>
      <c r="AQ2987" s="1"/>
      <c r="AR2987" s="1"/>
      <c r="AS2987" s="1"/>
      <c r="AT2987" s="1"/>
      <c r="AU2987" s="1"/>
      <c r="AV2987" s="1"/>
      <c r="AW2987" s="1"/>
      <c r="AX2987" s="1"/>
      <c r="AY2987" s="1"/>
      <c r="AZ2987" s="1"/>
      <c r="BA2987" s="1"/>
      <c r="BB2987" s="1"/>
    </row>
    <row r="2988" ht="204.75" customHeight="1">
      <c r="A2988" s="1">
        <v>5349.0</v>
      </c>
      <c r="B2988" s="2" t="s">
        <v>9063</v>
      </c>
      <c r="C2988" s="2">
        <f>IFERROR(__xludf.DUMMYFUNCTION("split(B2988,""_"")"),904.0)</f>
        <v>904</v>
      </c>
      <c r="D2988" s="2" t="str">
        <f>IFERROR(__xludf.DUMMYFUNCTION("""COMPUTED_VALUE"""),"EX")</f>
        <v>EX</v>
      </c>
      <c r="E2988" s="2" t="str">
        <f>IFERROR(__xludf.DUMMYFUNCTION("""COMPUTED_VALUE"""),"金23")</f>
        <v>金23</v>
      </c>
      <c r="F2988" s="2" t="s">
        <v>9064</v>
      </c>
      <c r="G2988" s="2" t="s">
        <v>9065</v>
      </c>
      <c r="H2988" s="1">
        <v>4.0</v>
      </c>
      <c r="J2988" s="1" t="s">
        <v>1435</v>
      </c>
      <c r="K2988" s="2" t="s">
        <v>9072</v>
      </c>
      <c r="L2988" s="11" t="s">
        <v>9073</v>
      </c>
      <c r="M2988" s="2" t="str">
        <f>IFERROR(__xludf.DUMMYFUNCTION("split(split(K2988,""松田翔太、"",false),""公式LINE"",false)"),"画家刺殺の容疑者4人はいずれ劣らぬ犯人キャラだが、天下一は斬新なトリックが使われていないことに不安を覚える。今回のテーマはミステリーの基本中の基本(つまり地味)である犯人探し(フーダニット)…やる気を失った天下一の前に可憐な美少女が現れると、事態は急変!　")</f>
        <v>画家刺殺の容疑者4人はいずれ劣らぬ犯人キャラだが、天下一は斬新なトリックが使われていないことに不安を覚える。今回のテーマはミステリーの基本中の基本(つまり地味)である犯人探し(フーダニット)…やる気を失った天下一の前に可憐な美少女が現れると、事態は急変!　</v>
      </c>
      <c r="N2988" s="2"/>
      <c r="O2988" s="2"/>
      <c r="P2988" s="1"/>
      <c r="Q2988" s="1"/>
      <c r="R2988" s="1"/>
      <c r="S2988" s="1"/>
      <c r="T2988" s="1"/>
      <c r="U2988" s="1"/>
      <c r="V2988" s="1"/>
      <c r="W2988" s="1"/>
      <c r="X2988" s="1"/>
      <c r="Y2988" s="1"/>
      <c r="Z2988" s="1"/>
      <c r="AA2988" s="1"/>
      <c r="AB2988" s="1"/>
      <c r="AC2988" s="1"/>
      <c r="AD2988" s="1"/>
      <c r="AE2988" s="1"/>
      <c r="AF2988" s="1"/>
      <c r="AG2988" s="1"/>
      <c r="AH2988" s="1"/>
      <c r="AI2988" s="1"/>
      <c r="AJ2988" s="1"/>
      <c r="AK2988" s="1"/>
      <c r="AL2988" s="1"/>
      <c r="AM2988" s="1"/>
      <c r="AN2988" s="1"/>
      <c r="AO2988" s="1"/>
      <c r="AP2988" s="1"/>
      <c r="AQ2988" s="1"/>
      <c r="AR2988" s="1"/>
      <c r="AS2988" s="1"/>
      <c r="AT2988" s="1"/>
      <c r="AU2988" s="1"/>
      <c r="AV2988" s="1"/>
      <c r="AW2988" s="1"/>
      <c r="AX2988" s="1"/>
      <c r="AY2988" s="1"/>
      <c r="AZ2988" s="1"/>
      <c r="BA2988" s="1"/>
      <c r="BB2988" s="1"/>
    </row>
    <row r="2989" ht="204.75" customHeight="1">
      <c r="A2989" s="1">
        <v>5350.0</v>
      </c>
      <c r="B2989" s="2" t="s">
        <v>9063</v>
      </c>
      <c r="C2989" s="2">
        <f>IFERROR(__xludf.DUMMYFUNCTION("split(B2989,""_"")"),904.0)</f>
        <v>904</v>
      </c>
      <c r="D2989" s="2" t="str">
        <f>IFERROR(__xludf.DUMMYFUNCTION("""COMPUTED_VALUE"""),"EX")</f>
        <v>EX</v>
      </c>
      <c r="E2989" s="2" t="str">
        <f>IFERROR(__xludf.DUMMYFUNCTION("""COMPUTED_VALUE"""),"金23")</f>
        <v>金23</v>
      </c>
      <c r="F2989" s="2" t="s">
        <v>9064</v>
      </c>
      <c r="G2989" s="2" t="s">
        <v>9065</v>
      </c>
      <c r="H2989" s="1">
        <v>5.0</v>
      </c>
      <c r="J2989" s="1" t="s">
        <v>1435</v>
      </c>
      <c r="K2989" s="2" t="s">
        <v>9074</v>
      </c>
      <c r="L2989" s="11" t="s">
        <v>9075</v>
      </c>
      <c r="M2989" s="2" t="str">
        <f>IFERROR(__xludf.DUMMYFUNCTION("split(split(K2989,""松田翔太、"",false),""公式LINE"",false)"),"鉄道ファンついでにミステリーファン必見!    東京～軽井沢～大阪  　愛と哀しみの時刻表トリック    みたいなの、やってみます!  なぜ人は、わざわざ鉄道に乗って、殺人を犯すのか!?  アリバイのある人物こそが真犯人…鉄壁のアリバイを崩すため、天下一が行き当たりばったりの旅に出る!　")</f>
        <v>鉄道ファンついでにミステリーファン必見!    東京～軽井沢～大阪  　愛と哀しみの時刻表トリック    みたいなの、やってみます!  なぜ人は、わざわざ鉄道に乗って、殺人を犯すのか!?  アリバイのある人物こそが真犯人…鉄壁のアリバイを崩すため、天下一が行き当たりばったりの旅に出る!　</v>
      </c>
      <c r="N2989" s="2"/>
      <c r="O2989" s="2"/>
      <c r="P2989" s="1"/>
      <c r="Q2989" s="1"/>
      <c r="R2989" s="1"/>
      <c r="S2989" s="1"/>
      <c r="T2989" s="1"/>
      <c r="U2989" s="1"/>
      <c r="V2989" s="1"/>
      <c r="W2989" s="1"/>
      <c r="X2989" s="1"/>
      <c r="Y2989" s="1"/>
      <c r="Z2989" s="1"/>
      <c r="AA2989" s="1"/>
      <c r="AB2989" s="1"/>
      <c r="AC2989" s="1"/>
      <c r="AD2989" s="1"/>
      <c r="AE2989" s="1"/>
      <c r="AF2989" s="1"/>
      <c r="AG2989" s="1"/>
      <c r="AH2989" s="1"/>
      <c r="AI2989" s="1"/>
      <c r="AJ2989" s="1"/>
      <c r="AK2989" s="1"/>
      <c r="AL2989" s="1"/>
      <c r="AM2989" s="1"/>
      <c r="AN2989" s="1"/>
      <c r="AO2989" s="1"/>
      <c r="AP2989" s="1"/>
      <c r="AQ2989" s="1"/>
      <c r="AR2989" s="1"/>
      <c r="AS2989" s="1"/>
      <c r="AT2989" s="1"/>
      <c r="AU2989" s="1"/>
      <c r="AV2989" s="1"/>
      <c r="AW2989" s="1"/>
      <c r="AX2989" s="1"/>
      <c r="AY2989" s="1"/>
      <c r="AZ2989" s="1"/>
      <c r="BA2989" s="1"/>
      <c r="BB2989" s="1"/>
    </row>
    <row r="2990" ht="204.75" customHeight="1">
      <c r="A2990" s="1">
        <v>5351.0</v>
      </c>
      <c r="B2990" s="2" t="s">
        <v>9063</v>
      </c>
      <c r="C2990" s="2">
        <f>IFERROR(__xludf.DUMMYFUNCTION("split(B2990,""_"")"),904.0)</f>
        <v>904</v>
      </c>
      <c r="D2990" s="2" t="str">
        <f>IFERROR(__xludf.DUMMYFUNCTION("""COMPUTED_VALUE"""),"EX")</f>
        <v>EX</v>
      </c>
      <c r="E2990" s="2" t="str">
        <f>IFERROR(__xludf.DUMMYFUNCTION("""COMPUTED_VALUE"""),"金23")</f>
        <v>金23</v>
      </c>
      <c r="F2990" s="2" t="s">
        <v>9064</v>
      </c>
      <c r="G2990" s="2" t="s">
        <v>9065</v>
      </c>
      <c r="H2990" s="1">
        <v>6.0</v>
      </c>
      <c r="J2990" s="1" t="s">
        <v>1435</v>
      </c>
      <c r="K2990" s="2" t="s">
        <v>9076</v>
      </c>
      <c r="L2990" s="11" t="s">
        <v>9077</v>
      </c>
      <c r="M2990" s="2" t="str">
        <f>IFERROR(__xludf.DUMMYFUNCTION("split(split(K2990,""松田翔太、"",false),""公式LINE"",false)"),"口に饅頭をくわえた遺体やら。布団に包まった遺体やら。  なぜかテレビ局を舞台に巻き起こる、童唄通りの連続殺人!  しかもその童唄には、よりによって10番まで歌詞があった…。  つまり天下一は、名探偵の掟に従い、あと残り8人が童唄になぞらえて殺されるまで、指をくわえてただ待ち続けるしかないのだーっ!　")</f>
        <v>口に饅頭をくわえた遺体やら。布団に包まった遺体やら。  なぜかテレビ局を舞台に巻き起こる、童唄通りの連続殺人!  しかもその童唄には、よりによって10番まで歌詞があった…。  つまり天下一は、名探偵の掟に従い、あと残り8人が童唄になぞらえて殺されるまで、指をくわえてただ待ち続けるしかないのだーっ!　</v>
      </c>
      <c r="N2990" s="2"/>
      <c r="O2990" s="2"/>
      <c r="P2990" s="1"/>
      <c r="Q2990" s="1"/>
      <c r="R2990" s="1"/>
      <c r="S2990" s="1"/>
      <c r="T2990" s="1"/>
      <c r="U2990" s="1"/>
      <c r="V2990" s="1"/>
      <c r="W2990" s="1"/>
      <c r="X2990" s="1"/>
      <c r="Y2990" s="1"/>
      <c r="Z2990" s="1"/>
      <c r="AA2990" s="1"/>
      <c r="AB2990" s="1"/>
      <c r="AC2990" s="1"/>
      <c r="AD2990" s="1"/>
      <c r="AE2990" s="1"/>
      <c r="AF2990" s="1"/>
      <c r="AG2990" s="1"/>
      <c r="AH2990" s="1"/>
      <c r="AI2990" s="1"/>
      <c r="AJ2990" s="1"/>
      <c r="AK2990" s="1"/>
      <c r="AL2990" s="1"/>
      <c r="AM2990" s="1"/>
      <c r="AN2990" s="1"/>
      <c r="AO2990" s="1"/>
      <c r="AP2990" s="1"/>
      <c r="AQ2990" s="1"/>
      <c r="AR2990" s="1"/>
      <c r="AS2990" s="1"/>
      <c r="AT2990" s="1"/>
      <c r="AU2990" s="1"/>
      <c r="AV2990" s="1"/>
      <c r="AW2990" s="1"/>
      <c r="AX2990" s="1"/>
      <c r="AY2990" s="1"/>
      <c r="AZ2990" s="1"/>
      <c r="BA2990" s="1"/>
      <c r="BB2990" s="1"/>
    </row>
    <row r="2991" ht="204.75" customHeight="1">
      <c r="A2991" s="1">
        <v>5352.0</v>
      </c>
      <c r="B2991" s="2" t="s">
        <v>9063</v>
      </c>
      <c r="C2991" s="2">
        <f>IFERROR(__xludf.DUMMYFUNCTION("split(B2991,""_"")"),904.0)</f>
        <v>904</v>
      </c>
      <c r="D2991" s="2" t="str">
        <f>IFERROR(__xludf.DUMMYFUNCTION("""COMPUTED_VALUE"""),"EX")</f>
        <v>EX</v>
      </c>
      <c r="E2991" s="2" t="str">
        <f>IFERROR(__xludf.DUMMYFUNCTION("""COMPUTED_VALUE"""),"金23")</f>
        <v>金23</v>
      </c>
      <c r="F2991" s="2" t="s">
        <v>9064</v>
      </c>
      <c r="G2991" s="2" t="s">
        <v>9065</v>
      </c>
      <c r="H2991" s="1">
        <v>7.0</v>
      </c>
      <c r="J2991" s="1" t="s">
        <v>1435</v>
      </c>
      <c r="K2991" s="2" t="s">
        <v>9078</v>
      </c>
      <c r="L2991" s="11" t="s">
        <v>9079</v>
      </c>
      <c r="M2991" s="2" t="str">
        <f>IFERROR(__xludf.DUMMYFUNCTION("split(split(K2991,""松田翔太、"",false),""公式LINE"",false)"),"また洋館で殺人事件が発生。  また偶然居合わせた天下一は、犯行現場から逃げさる男の姿を目撃した。  事件当時の屋敷には数名の男女がいたが、赤井留美という美貌の女性だけは、大河原たちの前になぜか姿を現そうとしない。  小説内でしか成立しないはずの衝撃トリック、世界初!?の完全映像化　")</f>
        <v>また洋館で殺人事件が発生。  また偶然居合わせた天下一は、犯行現場から逃げさる男の姿を目撃した。  事件当時の屋敷には数名の男女がいたが、赤井留美という美貌の女性だけは、大河原たちの前になぜか姿を現そうとしない。  小説内でしか成立しないはずの衝撃トリック、世界初!?の完全映像化　</v>
      </c>
      <c r="N2991" s="2"/>
      <c r="O2991" s="2"/>
      <c r="P2991" s="1"/>
      <c r="Q2991" s="1"/>
      <c r="R2991" s="1"/>
      <c r="S2991" s="1"/>
      <c r="T2991" s="1"/>
      <c r="U2991" s="1"/>
      <c r="V2991" s="1"/>
      <c r="W2991" s="1"/>
      <c r="X2991" s="1"/>
      <c r="Y2991" s="1"/>
      <c r="Z2991" s="1"/>
      <c r="AA2991" s="1"/>
      <c r="AB2991" s="1"/>
      <c r="AC2991" s="1"/>
      <c r="AD2991" s="1"/>
      <c r="AE2991" s="1"/>
      <c r="AF2991" s="1"/>
      <c r="AG2991" s="1"/>
      <c r="AH2991" s="1"/>
      <c r="AI2991" s="1"/>
      <c r="AJ2991" s="1"/>
      <c r="AK2991" s="1"/>
      <c r="AL2991" s="1"/>
      <c r="AM2991" s="1"/>
      <c r="AN2991" s="1"/>
      <c r="AO2991" s="1"/>
      <c r="AP2991" s="1"/>
      <c r="AQ2991" s="1"/>
      <c r="AR2991" s="1"/>
      <c r="AS2991" s="1"/>
      <c r="AT2991" s="1"/>
      <c r="AU2991" s="1"/>
      <c r="AV2991" s="1"/>
      <c r="AW2991" s="1"/>
      <c r="AX2991" s="1"/>
      <c r="AY2991" s="1"/>
      <c r="AZ2991" s="1"/>
      <c r="BA2991" s="1"/>
      <c r="BB2991" s="1"/>
    </row>
    <row r="2992" ht="204.75" customHeight="1">
      <c r="A2992" s="1">
        <v>5353.0</v>
      </c>
      <c r="B2992" s="2" t="s">
        <v>9063</v>
      </c>
      <c r="C2992" s="2">
        <f>IFERROR(__xludf.DUMMYFUNCTION("split(B2992,""_"")"),904.0)</f>
        <v>904</v>
      </c>
      <c r="D2992" s="2" t="str">
        <f>IFERROR(__xludf.DUMMYFUNCTION("""COMPUTED_VALUE"""),"EX")</f>
        <v>EX</v>
      </c>
      <c r="E2992" s="2" t="str">
        <f>IFERROR(__xludf.DUMMYFUNCTION("""COMPUTED_VALUE"""),"金23")</f>
        <v>金23</v>
      </c>
      <c r="F2992" s="2" t="s">
        <v>9064</v>
      </c>
      <c r="G2992" s="2" t="s">
        <v>9065</v>
      </c>
      <c r="H2992" s="1">
        <v>8.0</v>
      </c>
      <c r="J2992" s="1" t="s">
        <v>1435</v>
      </c>
      <c r="K2992" s="2" t="s">
        <v>9080</v>
      </c>
      <c r="L2992" s="11" t="s">
        <v>9081</v>
      </c>
      <c r="M2992" s="2" t="str">
        <f>IFERROR(__xludf.DUMMYFUNCTION("split(split(K2992,""松田翔太、"",false),""公式LINE"",false)"),"福島県いわき湯本温泉を旅する茉奈の行く先々で、観光とグルメと温泉の紹介がふんだんに盛り込まれた殺人事件が次々と発生。  今回のテーマは“2時間サスペンス”。  観光案内に徹する天下一と大河原をよそに単独捜査をする茉奈は、果たして露天風呂への入浴を拒否し続けられるのか!?　")</f>
        <v>福島県いわき湯本温泉を旅する茉奈の行く先々で、観光とグルメと温泉の紹介がふんだんに盛り込まれた殺人事件が次々と発生。  今回のテーマは“2時間サスペンス”。  観光案内に徹する天下一と大河原をよそに単独捜査をする茉奈は、果たして露天風呂への入浴を拒否し続けられるのか!?　</v>
      </c>
      <c r="N2992" s="2"/>
      <c r="O2992" s="2"/>
      <c r="P2992" s="1"/>
      <c r="Q2992" s="1"/>
      <c r="R2992" s="1"/>
      <c r="S2992" s="1"/>
      <c r="T2992" s="1"/>
      <c r="U2992" s="1"/>
      <c r="V2992" s="1"/>
      <c r="W2992" s="1"/>
      <c r="X2992" s="1"/>
      <c r="Y2992" s="1"/>
      <c r="Z2992" s="1"/>
      <c r="AA2992" s="1"/>
      <c r="AB2992" s="1"/>
      <c r="AC2992" s="1"/>
      <c r="AD2992" s="1"/>
      <c r="AE2992" s="1"/>
      <c r="AF2992" s="1"/>
      <c r="AG2992" s="1"/>
      <c r="AH2992" s="1"/>
      <c r="AI2992" s="1"/>
      <c r="AJ2992" s="1"/>
      <c r="AK2992" s="1"/>
      <c r="AL2992" s="1"/>
      <c r="AM2992" s="1"/>
      <c r="AN2992" s="1"/>
      <c r="AO2992" s="1"/>
      <c r="AP2992" s="1"/>
      <c r="AQ2992" s="1"/>
      <c r="AR2992" s="1"/>
      <c r="AS2992" s="1"/>
      <c r="AT2992" s="1"/>
      <c r="AU2992" s="1"/>
      <c r="AV2992" s="1"/>
      <c r="AW2992" s="1"/>
      <c r="AX2992" s="1"/>
      <c r="AY2992" s="1"/>
      <c r="AZ2992" s="1"/>
      <c r="BA2992" s="1"/>
      <c r="BB2992" s="1"/>
    </row>
    <row r="2993" ht="204.75" customHeight="1">
      <c r="A2993" s="1">
        <v>5354.0</v>
      </c>
      <c r="B2993" s="2" t="s">
        <v>9063</v>
      </c>
      <c r="C2993" s="2">
        <f>IFERROR(__xludf.DUMMYFUNCTION("split(B2993,""_"")"),904.0)</f>
        <v>904</v>
      </c>
      <c r="D2993" s="2" t="str">
        <f>IFERROR(__xludf.DUMMYFUNCTION("""COMPUTED_VALUE"""),"EX")</f>
        <v>EX</v>
      </c>
      <c r="E2993" s="2" t="str">
        <f>IFERROR(__xludf.DUMMYFUNCTION("""COMPUTED_VALUE"""),"金23")</f>
        <v>金23</v>
      </c>
      <c r="F2993" s="2" t="s">
        <v>9064</v>
      </c>
      <c r="G2993" s="2" t="s">
        <v>9065</v>
      </c>
      <c r="H2993" s="1">
        <v>9.0</v>
      </c>
      <c r="J2993" s="1" t="s">
        <v>1435</v>
      </c>
      <c r="K2993" s="2" t="s">
        <v>9082</v>
      </c>
      <c r="L2993" s="11" t="s">
        <v>9083</v>
      </c>
      <c r="M2993" s="2" t="str">
        <f>IFERROR(__xludf.DUMMYFUNCTION("split(split(K2993,""松田翔太、"",false),""公式LINE"",false)"),"《第9話》  さよなら大河原警部…ついに最終章へ突入!  大河原警部が主役のスピンオフが企画されていた!?  天下一は警部とのコンビ解消を宣言!!  主役の座を意識し、男前メイクで張り切りまくる警部!  主役の座と今回のトリックに危機感を募らせる天下一!　")</f>
        <v>《第9話》  さよなら大河原警部…ついに最終章へ突入!  大河原警部が主役のスピンオフが企画されていた!?  天下一は警部とのコンビ解消を宣言!!  主役の座を意識し、男前メイクで張り切りまくる警部!  主役の座と今回のトリックに危機感を募らせる天下一!　</v>
      </c>
      <c r="N2993" s="2"/>
      <c r="O2993" s="2"/>
      <c r="P2993" s="1"/>
      <c r="Q2993" s="1"/>
      <c r="R2993" s="1"/>
      <c r="S2993" s="1"/>
      <c r="T2993" s="1"/>
      <c r="U2993" s="1"/>
      <c r="V2993" s="1"/>
      <c r="W2993" s="1"/>
      <c r="X2993" s="1"/>
      <c r="Y2993" s="1"/>
      <c r="Z2993" s="1"/>
      <c r="AA2993" s="1"/>
      <c r="AB2993" s="1"/>
      <c r="AC2993" s="1"/>
      <c r="AD2993" s="1"/>
      <c r="AE2993" s="1"/>
      <c r="AF2993" s="1"/>
      <c r="AG2993" s="1"/>
      <c r="AH2993" s="1"/>
      <c r="AI2993" s="1"/>
      <c r="AJ2993" s="1"/>
      <c r="AK2993" s="1"/>
      <c r="AL2993" s="1"/>
      <c r="AM2993" s="1"/>
      <c r="AN2993" s="1"/>
      <c r="AO2993" s="1"/>
      <c r="AP2993" s="1"/>
      <c r="AQ2993" s="1"/>
      <c r="AR2993" s="1"/>
      <c r="AS2993" s="1"/>
      <c r="AT2993" s="1"/>
      <c r="AU2993" s="1"/>
      <c r="AV2993" s="1"/>
      <c r="AW2993" s="1"/>
      <c r="AX2993" s="1"/>
      <c r="AY2993" s="1"/>
      <c r="AZ2993" s="1"/>
      <c r="BA2993" s="1"/>
      <c r="BB2993" s="1"/>
    </row>
    <row r="2994" ht="204.75" customHeight="1">
      <c r="A2994" s="1">
        <v>5355.0</v>
      </c>
      <c r="B2994" s="2" t="s">
        <v>9063</v>
      </c>
      <c r="C2994" s="2">
        <f>IFERROR(__xludf.DUMMYFUNCTION("split(B2994,""_"")"),904.0)</f>
        <v>904</v>
      </c>
      <c r="D2994" s="2" t="str">
        <f>IFERROR(__xludf.DUMMYFUNCTION("""COMPUTED_VALUE"""),"EX")</f>
        <v>EX</v>
      </c>
      <c r="E2994" s="2" t="str">
        <f>IFERROR(__xludf.DUMMYFUNCTION("""COMPUTED_VALUE"""),"金23")</f>
        <v>金23</v>
      </c>
      <c r="F2994" s="2" t="s">
        <v>9064</v>
      </c>
      <c r="G2994" s="2" t="s">
        <v>9065</v>
      </c>
      <c r="H2994" s="1">
        <v>10.0</v>
      </c>
      <c r="J2994" s="1" t="s">
        <v>1435</v>
      </c>
      <c r="K2994" s="2" t="s">
        <v>9084</v>
      </c>
      <c r="L2994" s="11" t="s">
        <v>9085</v>
      </c>
      <c r="M2994" s="2" t="str">
        <f>IFERROR(__xludf.DUMMYFUNCTION("split(split(K2994,""松田翔太、"",false),""公式LINE"",false)"),"謎の“素人探偵連続殺人”が発生!  現場に残された凶器は“死亡フラグ”!?  天下一の身に迫る殉職の危機!  茉奈が天下一のことを愛すれば愛するほどに、  天下一の死ぬ確立が跳ね上がる罠!  天下一と大河原を襲う衝撃の結末…掟破りの最終回!!　")</f>
        <v>謎の“素人探偵連続殺人”が発生!  現場に残された凶器は“死亡フラグ”!?  天下一の身に迫る殉職の危機!  茉奈が天下一のことを愛すれば愛するほどに、  天下一の死ぬ確立が跳ね上がる罠!  天下一と大河原を襲う衝撃の結末…掟破りの最終回!!　</v>
      </c>
      <c r="N2994" s="2"/>
      <c r="O2994" s="2"/>
      <c r="P2994" s="1"/>
      <c r="Q2994" s="1"/>
      <c r="R2994" s="1"/>
      <c r="S2994" s="1"/>
      <c r="T2994" s="1"/>
      <c r="U2994" s="1"/>
      <c r="V2994" s="1"/>
      <c r="W2994" s="1"/>
      <c r="X2994" s="1"/>
      <c r="Y2994" s="1"/>
      <c r="Z2994" s="1"/>
      <c r="AA2994" s="1"/>
      <c r="AB2994" s="1"/>
      <c r="AC2994" s="1"/>
      <c r="AD2994" s="1"/>
      <c r="AE2994" s="1"/>
      <c r="AF2994" s="1"/>
      <c r="AG2994" s="1"/>
      <c r="AH2994" s="1"/>
      <c r="AI2994" s="1"/>
      <c r="AJ2994" s="1"/>
      <c r="AK2994" s="1"/>
      <c r="AL2994" s="1"/>
      <c r="AM2994" s="1"/>
      <c r="AN2994" s="1"/>
      <c r="AO2994" s="1"/>
      <c r="AP2994" s="1"/>
      <c r="AQ2994" s="1"/>
      <c r="AR2994" s="1"/>
      <c r="AS2994" s="1"/>
      <c r="AT2994" s="1"/>
      <c r="AU2994" s="1"/>
      <c r="AV2994" s="1"/>
      <c r="AW2994" s="1"/>
      <c r="AX2994" s="1"/>
      <c r="AY2994" s="1"/>
      <c r="AZ2994" s="1"/>
      <c r="BA2994" s="1"/>
      <c r="BB2994" s="1"/>
    </row>
    <row r="2995" ht="204.75" customHeight="1">
      <c r="A2995" s="1">
        <v>5436.0</v>
      </c>
      <c r="B2995" s="2" t="s">
        <v>9086</v>
      </c>
      <c r="C2995" s="2">
        <f>IFERROR(__xludf.DUMMYFUNCTION("split(B2995,""_"")"),901.0)</f>
        <v>901</v>
      </c>
      <c r="D2995" s="2" t="str">
        <f>IFERROR(__xludf.DUMMYFUNCTION("""COMPUTED_VALUE"""),"EX")</f>
        <v>EX</v>
      </c>
      <c r="E2995" s="2" t="str">
        <f>IFERROR(__xludf.DUMMYFUNCTION("""COMPUTED_VALUE"""),"木21")</f>
        <v>木21</v>
      </c>
      <c r="F2995" s="2" t="s">
        <v>9087</v>
      </c>
      <c r="G2995" s="2" t="s">
        <v>9088</v>
      </c>
      <c r="H2995" s="1">
        <v>1.0</v>
      </c>
      <c r="J2995" s="1" t="s">
        <v>11</v>
      </c>
      <c r="K2995" s="4" t="s">
        <v>9089</v>
      </c>
      <c r="L2995" s="10" t="s">
        <v>9090</v>
      </c>
      <c r="M2995" s="2" t="str">
        <f>IFERROR(__xludf.DUMMYFUNCTION("split(split(K2995,""…"",false),""公式LINE"",false)"),"1月8日スタート!毎週木曜夜9時放送の「特命係長・只野仁」の第1話では高橋克典さんが只野役と韓流スター役の二役をこなすのが見どころ!  ゲスト:田中美里高橋克典　櫻井淳子　永井大　蛯原友里　田山涼成　近江谷太朗　斉藤優  椎名法子　細野佑美子　はるな愛　田中美里　三浦理恵子　梅宮辰夫　柳沢きみお『特命係長 只野仁　ファイナル』  　(Bbmf/ケータイ★まんが王国連載)　三上幸四郎　仲西匡　秋山純チーフプロデューサー:黒田徹也(テレビ朝日)  プロデューサー:樽井勝弘(テレビ朝日)  　　　　　　　　東城"&amp;"祐司(MMJ)  　　　　　　　　清水真由美(MMJ)　テレビ朝日  　MMJ")</f>
        <v>1月8日スタート!毎週木曜夜9時放送の「特命係長・只野仁」の第1話では高橋克典さんが只野役と韓流スター役の二役をこなすのが見どころ!  ゲスト:田中美里高橋克典　櫻井淳子　永井大　蛯原友里　田山涼成　近江谷太朗　斉藤優  椎名法子　細野佑美子　はるな愛　田中美里　三浦理恵子　梅宮辰夫　柳沢きみお『特命係長 只野仁　ファイナル』  　(Bbmf/ケータイ★まんが王国連載)　三上幸四郎　仲西匡　秋山純チーフプロデューサー:黒田徹也(テレビ朝日)  プロデューサー:樽井勝弘(テレビ朝日)  　　　　　　　　東城祐司(MMJ)  　　　　　　　　清水真由美(MMJ)　テレビ朝日  　MMJ</v>
      </c>
      <c r="N2995" s="2"/>
      <c r="O2995" s="2"/>
      <c r="P2995" s="1"/>
      <c r="Q2995" s="1"/>
      <c r="R2995" s="1"/>
      <c r="S2995" s="1"/>
      <c r="T2995" s="1"/>
      <c r="U2995" s="1"/>
      <c r="V2995" s="1"/>
      <c r="W2995" s="1"/>
      <c r="X2995" s="1"/>
      <c r="Y2995" s="1"/>
      <c r="Z2995" s="1"/>
      <c r="AA2995" s="1"/>
      <c r="AB2995" s="1"/>
      <c r="AC2995" s="1"/>
      <c r="AD2995" s="1"/>
      <c r="AE2995" s="1"/>
      <c r="AF2995" s="1"/>
      <c r="AG2995" s="1"/>
      <c r="AH2995" s="1"/>
      <c r="AI2995" s="1"/>
      <c r="AJ2995" s="1"/>
      <c r="AK2995" s="1"/>
      <c r="AL2995" s="1"/>
      <c r="AM2995" s="1"/>
      <c r="AN2995" s="1"/>
      <c r="AO2995" s="1"/>
      <c r="AP2995" s="1"/>
      <c r="AQ2995" s="1"/>
      <c r="AR2995" s="1"/>
      <c r="AS2995" s="1"/>
      <c r="AT2995" s="1"/>
      <c r="AU2995" s="1"/>
      <c r="AV2995" s="1"/>
      <c r="AW2995" s="1"/>
      <c r="AX2995" s="1"/>
      <c r="AY2995" s="1"/>
      <c r="AZ2995" s="1"/>
      <c r="BA2995" s="1"/>
      <c r="BB2995" s="1"/>
    </row>
    <row r="2996" ht="204.75" customHeight="1">
      <c r="A2996" s="1">
        <v>5437.0</v>
      </c>
      <c r="B2996" s="2" t="s">
        <v>9086</v>
      </c>
      <c r="C2996" s="2">
        <f>IFERROR(__xludf.DUMMYFUNCTION("split(B2996,""_"")"),901.0)</f>
        <v>901</v>
      </c>
      <c r="D2996" s="2" t="str">
        <f>IFERROR(__xludf.DUMMYFUNCTION("""COMPUTED_VALUE"""),"EX")</f>
        <v>EX</v>
      </c>
      <c r="E2996" s="2" t="str">
        <f>IFERROR(__xludf.DUMMYFUNCTION("""COMPUTED_VALUE"""),"木21")</f>
        <v>木21</v>
      </c>
      <c r="F2996" s="2" t="s">
        <v>9087</v>
      </c>
      <c r="G2996" s="2" t="s">
        <v>9088</v>
      </c>
      <c r="H2996" s="1">
        <v>2.0</v>
      </c>
      <c r="J2996" s="1" t="s">
        <v>11</v>
      </c>
      <c r="K2996" s="4" t="s">
        <v>9091</v>
      </c>
      <c r="L2996" s="10" t="s">
        <v>2775</v>
      </c>
      <c r="M2996" s="2" t="str">
        <f>IFERROR(__xludf.DUMMYFUNCTION("split(split(K2996,""高橋克典　"",false),""公式LINE"",false)"),"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f>
        <v>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v>
      </c>
      <c r="N2996" s="2"/>
      <c r="O2996" s="2"/>
      <c r="P2996" s="1"/>
      <c r="Q2996" s="1"/>
      <c r="R2996" s="1"/>
      <c r="S2996" s="1"/>
      <c r="T2996" s="1"/>
      <c r="U2996" s="1"/>
      <c r="V2996" s="1"/>
      <c r="W2996" s="1"/>
      <c r="X2996" s="1"/>
      <c r="Y2996" s="1"/>
      <c r="Z2996" s="1"/>
      <c r="AA2996" s="1"/>
      <c r="AB2996" s="1"/>
      <c r="AC2996" s="1"/>
      <c r="AD2996" s="1"/>
      <c r="AE2996" s="1"/>
      <c r="AF2996" s="1"/>
      <c r="AG2996" s="1"/>
      <c r="AH2996" s="1"/>
      <c r="AI2996" s="1"/>
      <c r="AJ2996" s="1"/>
      <c r="AK2996" s="1"/>
      <c r="AL2996" s="1"/>
      <c r="AM2996" s="1"/>
      <c r="AN2996" s="1"/>
      <c r="AO2996" s="1"/>
      <c r="AP2996" s="1"/>
      <c r="AQ2996" s="1"/>
      <c r="AR2996" s="1"/>
      <c r="AS2996" s="1"/>
      <c r="AT2996" s="1"/>
      <c r="AU2996" s="1"/>
      <c r="AV2996" s="1"/>
      <c r="AW2996" s="1"/>
      <c r="AX2996" s="1"/>
      <c r="AY2996" s="1"/>
      <c r="AZ2996" s="1"/>
      <c r="BA2996" s="1"/>
      <c r="BB2996" s="1"/>
    </row>
    <row r="2997" ht="204.75" customHeight="1">
      <c r="A2997" s="1">
        <v>5438.0</v>
      </c>
      <c r="B2997" s="2" t="s">
        <v>9086</v>
      </c>
      <c r="C2997" s="2">
        <f>IFERROR(__xludf.DUMMYFUNCTION("split(B2997,""_"")"),901.0)</f>
        <v>901</v>
      </c>
      <c r="D2997" s="2" t="str">
        <f>IFERROR(__xludf.DUMMYFUNCTION("""COMPUTED_VALUE"""),"EX")</f>
        <v>EX</v>
      </c>
      <c r="E2997" s="2" t="str">
        <f>IFERROR(__xludf.DUMMYFUNCTION("""COMPUTED_VALUE"""),"木21")</f>
        <v>木21</v>
      </c>
      <c r="F2997" s="2" t="s">
        <v>9087</v>
      </c>
      <c r="G2997" s="2" t="s">
        <v>9088</v>
      </c>
      <c r="H2997" s="1">
        <v>3.0</v>
      </c>
      <c r="J2997" s="1" t="s">
        <v>11</v>
      </c>
      <c r="K2997" s="2" t="s">
        <v>9092</v>
      </c>
      <c r="L2997" s="10" t="s">
        <v>2775</v>
      </c>
      <c r="M2997" s="2" t="str">
        <f>IFERROR(__xludf.DUMMYFUNCTION("split(split(K2997,""高橋克典　"",false),""公式LINE"",false)"),"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f>
        <v>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v>
      </c>
      <c r="N2997" s="2"/>
      <c r="O2997" s="2"/>
      <c r="P2997" s="1"/>
      <c r="Q2997" s="1"/>
      <c r="R2997" s="1"/>
      <c r="S2997" s="1"/>
      <c r="T2997" s="1"/>
      <c r="U2997" s="1"/>
      <c r="V2997" s="1"/>
      <c r="W2997" s="1"/>
      <c r="X2997" s="1"/>
      <c r="Y2997" s="1"/>
      <c r="Z2997" s="1"/>
      <c r="AA2997" s="1"/>
      <c r="AB2997" s="1"/>
      <c r="AC2997" s="1"/>
      <c r="AD2997" s="1"/>
      <c r="AE2997" s="1"/>
      <c r="AF2997" s="1"/>
      <c r="AG2997" s="1"/>
      <c r="AH2997" s="1"/>
      <c r="AI2997" s="1"/>
      <c r="AJ2997" s="1"/>
      <c r="AK2997" s="1"/>
      <c r="AL2997" s="1"/>
      <c r="AM2997" s="1"/>
      <c r="AN2997" s="1"/>
      <c r="AO2997" s="1"/>
      <c r="AP2997" s="1"/>
      <c r="AQ2997" s="1"/>
      <c r="AR2997" s="1"/>
      <c r="AS2997" s="1"/>
      <c r="AT2997" s="1"/>
      <c r="AU2997" s="1"/>
      <c r="AV2997" s="1"/>
      <c r="AW2997" s="1"/>
      <c r="AX2997" s="1"/>
      <c r="AY2997" s="1"/>
      <c r="AZ2997" s="1"/>
      <c r="BA2997" s="1"/>
      <c r="BB2997" s="1"/>
    </row>
    <row r="2998" ht="204.75" customHeight="1">
      <c r="A2998" s="1">
        <v>5439.0</v>
      </c>
      <c r="B2998" s="2" t="s">
        <v>9086</v>
      </c>
      <c r="C2998" s="2">
        <f>IFERROR(__xludf.DUMMYFUNCTION("split(B2998,""_"")"),901.0)</f>
        <v>901</v>
      </c>
      <c r="D2998" s="2" t="str">
        <f>IFERROR(__xludf.DUMMYFUNCTION("""COMPUTED_VALUE"""),"EX")</f>
        <v>EX</v>
      </c>
      <c r="E2998" s="2" t="str">
        <f>IFERROR(__xludf.DUMMYFUNCTION("""COMPUTED_VALUE"""),"木21")</f>
        <v>木21</v>
      </c>
      <c r="F2998" s="2" t="s">
        <v>9087</v>
      </c>
      <c r="G2998" s="2" t="s">
        <v>9088</v>
      </c>
      <c r="H2998" s="1">
        <v>4.0</v>
      </c>
      <c r="J2998" s="1" t="s">
        <v>11</v>
      </c>
      <c r="K2998" s="2" t="s">
        <v>9093</v>
      </c>
      <c r="L2998" s="10" t="s">
        <v>2775</v>
      </c>
      <c r="M2998" s="2" t="str">
        <f>IFERROR(__xludf.DUMMYFUNCTION("split(split(K2998,""高橋克典　"",false),""公式LINE"",false)"),"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f>
        <v>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v>
      </c>
      <c r="N2998" s="2"/>
      <c r="O2998" s="2"/>
      <c r="P2998" s="1"/>
      <c r="Q2998" s="1"/>
      <c r="R2998" s="1"/>
      <c r="S2998" s="1"/>
      <c r="T2998" s="1"/>
      <c r="U2998" s="1"/>
      <c r="V2998" s="1"/>
      <c r="W2998" s="1"/>
      <c r="X2998" s="1"/>
      <c r="Y2998" s="1"/>
      <c r="Z2998" s="1"/>
      <c r="AA2998" s="1"/>
      <c r="AB2998" s="1"/>
      <c r="AC2998" s="1"/>
      <c r="AD2998" s="1"/>
      <c r="AE2998" s="1"/>
      <c r="AF2998" s="1"/>
      <c r="AG2998" s="1"/>
      <c r="AH2998" s="1"/>
      <c r="AI2998" s="1"/>
      <c r="AJ2998" s="1"/>
      <c r="AK2998" s="1"/>
      <c r="AL2998" s="1"/>
      <c r="AM2998" s="1"/>
      <c r="AN2998" s="1"/>
      <c r="AO2998" s="1"/>
      <c r="AP2998" s="1"/>
      <c r="AQ2998" s="1"/>
      <c r="AR2998" s="1"/>
      <c r="AS2998" s="1"/>
      <c r="AT2998" s="1"/>
      <c r="AU2998" s="1"/>
      <c r="AV2998" s="1"/>
      <c r="AW2998" s="1"/>
      <c r="AX2998" s="1"/>
      <c r="AY2998" s="1"/>
      <c r="AZ2998" s="1"/>
      <c r="BA2998" s="1"/>
      <c r="BB2998" s="1"/>
    </row>
    <row r="2999" ht="204.75" customHeight="1">
      <c r="A2999" s="1">
        <v>5440.0</v>
      </c>
      <c r="B2999" s="2" t="s">
        <v>9086</v>
      </c>
      <c r="C2999" s="2">
        <f>IFERROR(__xludf.DUMMYFUNCTION("split(B2999,""_"")"),901.0)</f>
        <v>901</v>
      </c>
      <c r="D2999" s="2" t="str">
        <f>IFERROR(__xludf.DUMMYFUNCTION("""COMPUTED_VALUE"""),"EX")</f>
        <v>EX</v>
      </c>
      <c r="E2999" s="2" t="str">
        <f>IFERROR(__xludf.DUMMYFUNCTION("""COMPUTED_VALUE"""),"木21")</f>
        <v>木21</v>
      </c>
      <c r="F2999" s="2" t="s">
        <v>9087</v>
      </c>
      <c r="G2999" s="2" t="s">
        <v>9088</v>
      </c>
      <c r="H2999" s="1">
        <v>5.0</v>
      </c>
      <c r="J2999" s="1" t="s">
        <v>11</v>
      </c>
      <c r="K2999" s="2" t="s">
        <v>9094</v>
      </c>
      <c r="L2999" s="10" t="s">
        <v>2775</v>
      </c>
      <c r="M2999" s="2" t="str">
        <f>IFERROR(__xludf.DUMMYFUNCTION("split(split(K2999,""高橋克典　"",false),""公式LINE"",false)"),"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f>
        <v>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v>
      </c>
      <c r="N2999" s="2"/>
      <c r="O2999" s="2"/>
      <c r="P2999" s="1"/>
      <c r="Q2999" s="1"/>
      <c r="R2999" s="1"/>
      <c r="S2999" s="1"/>
      <c r="T2999" s="1"/>
      <c r="U2999" s="1"/>
      <c r="V2999" s="1"/>
      <c r="W2999" s="1"/>
      <c r="X2999" s="1"/>
      <c r="Y2999" s="1"/>
      <c r="Z2999" s="1"/>
      <c r="AA2999" s="1"/>
      <c r="AB2999" s="1"/>
      <c r="AC2999" s="1"/>
      <c r="AD2999" s="1"/>
      <c r="AE2999" s="1"/>
      <c r="AF2999" s="1"/>
      <c r="AG2999" s="1"/>
      <c r="AH2999" s="1"/>
      <c r="AI2999" s="1"/>
      <c r="AJ2999" s="1"/>
      <c r="AK2999" s="1"/>
      <c r="AL2999" s="1"/>
      <c r="AM2999" s="1"/>
      <c r="AN2999" s="1"/>
      <c r="AO2999" s="1"/>
      <c r="AP2999" s="1"/>
      <c r="AQ2999" s="1"/>
      <c r="AR2999" s="1"/>
      <c r="AS2999" s="1"/>
      <c r="AT2999" s="1"/>
      <c r="AU2999" s="1"/>
      <c r="AV2999" s="1"/>
      <c r="AW2999" s="1"/>
      <c r="AX2999" s="1"/>
      <c r="AY2999" s="1"/>
      <c r="AZ2999" s="1"/>
      <c r="BA2999" s="1"/>
      <c r="BB2999" s="1"/>
    </row>
    <row r="3000" ht="204.75" customHeight="1">
      <c r="A3000" s="1">
        <v>5441.0</v>
      </c>
      <c r="B3000" s="2" t="s">
        <v>9086</v>
      </c>
      <c r="C3000" s="2">
        <f>IFERROR(__xludf.DUMMYFUNCTION("split(B3000,""_"")"),901.0)</f>
        <v>901</v>
      </c>
      <c r="D3000" s="2" t="str">
        <f>IFERROR(__xludf.DUMMYFUNCTION("""COMPUTED_VALUE"""),"EX")</f>
        <v>EX</v>
      </c>
      <c r="E3000" s="2" t="str">
        <f>IFERROR(__xludf.DUMMYFUNCTION("""COMPUTED_VALUE"""),"木21")</f>
        <v>木21</v>
      </c>
      <c r="F3000" s="2" t="s">
        <v>9087</v>
      </c>
      <c r="G3000" s="2" t="s">
        <v>9088</v>
      </c>
      <c r="H3000" s="1">
        <v>6.0</v>
      </c>
      <c r="J3000" s="1" t="s">
        <v>11</v>
      </c>
      <c r="K3000" s="2" t="s">
        <v>9095</v>
      </c>
      <c r="L3000" s="10" t="s">
        <v>2775</v>
      </c>
      <c r="M3000" s="2" t="str">
        <f>IFERROR(__xludf.DUMMYFUNCTION("split(split(K3000,""高橋克典　"",false),""公式LINE"",false)"),"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f>
        <v>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v>
      </c>
      <c r="N3000" s="2"/>
      <c r="O3000" s="2"/>
      <c r="P3000" s="1"/>
      <c r="Q3000" s="1"/>
      <c r="R3000" s="1"/>
      <c r="S3000" s="1"/>
      <c r="T3000" s="1"/>
      <c r="U3000" s="1"/>
      <c r="V3000" s="1"/>
      <c r="W3000" s="1"/>
      <c r="X3000" s="1"/>
      <c r="Y3000" s="1"/>
      <c r="Z3000" s="1"/>
      <c r="AA3000" s="1"/>
      <c r="AB3000" s="1"/>
      <c r="AC3000" s="1"/>
      <c r="AD3000" s="1"/>
      <c r="AE3000" s="1"/>
      <c r="AF3000" s="1"/>
      <c r="AG3000" s="1"/>
      <c r="AH3000" s="1"/>
      <c r="AI3000" s="1"/>
      <c r="AJ3000" s="1"/>
      <c r="AK3000" s="1"/>
      <c r="AL3000" s="1"/>
      <c r="AM3000" s="1"/>
      <c r="AN3000" s="1"/>
      <c r="AO3000" s="1"/>
      <c r="AP3000" s="1"/>
      <c r="AQ3000" s="1"/>
      <c r="AR3000" s="1"/>
      <c r="AS3000" s="1"/>
      <c r="AT3000" s="1"/>
      <c r="AU3000" s="1"/>
      <c r="AV3000" s="1"/>
      <c r="AW3000" s="1"/>
      <c r="AX3000" s="1"/>
      <c r="AY3000" s="1"/>
      <c r="AZ3000" s="1"/>
      <c r="BA3000" s="1"/>
      <c r="BB3000" s="1"/>
    </row>
    <row r="3001" ht="204.75" customHeight="1">
      <c r="A3001" s="1">
        <v>5442.0</v>
      </c>
      <c r="B3001" s="2" t="s">
        <v>9086</v>
      </c>
      <c r="C3001" s="2">
        <f>IFERROR(__xludf.DUMMYFUNCTION("split(B3001,""_"")"),901.0)</f>
        <v>901</v>
      </c>
      <c r="D3001" s="2" t="str">
        <f>IFERROR(__xludf.DUMMYFUNCTION("""COMPUTED_VALUE"""),"EX")</f>
        <v>EX</v>
      </c>
      <c r="E3001" s="2" t="str">
        <f>IFERROR(__xludf.DUMMYFUNCTION("""COMPUTED_VALUE"""),"木21")</f>
        <v>木21</v>
      </c>
      <c r="F3001" s="2" t="s">
        <v>9087</v>
      </c>
      <c r="G3001" s="2" t="s">
        <v>9088</v>
      </c>
      <c r="H3001" s="1">
        <v>7.0</v>
      </c>
      <c r="J3001" s="1" t="s">
        <v>11</v>
      </c>
      <c r="K3001" s="2" t="s">
        <v>9096</v>
      </c>
      <c r="L3001" s="10" t="s">
        <v>2775</v>
      </c>
      <c r="M3001" s="2" t="str">
        <f>IFERROR(__xludf.DUMMYFUNCTION("split(split(K3001,""高橋克典　"",false),""公式LINE"",false)"),"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f>
        <v>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v>
      </c>
      <c r="N3001" s="2"/>
      <c r="O3001" s="2"/>
      <c r="P3001" s="1"/>
      <c r="Q3001" s="1"/>
      <c r="R3001" s="1"/>
      <c r="S3001" s="1"/>
      <c r="T3001" s="1"/>
      <c r="U3001" s="1"/>
      <c r="V3001" s="1"/>
      <c r="W3001" s="1"/>
      <c r="X3001" s="1"/>
      <c r="Y3001" s="1"/>
      <c r="Z3001" s="1"/>
      <c r="AA3001" s="1"/>
      <c r="AB3001" s="1"/>
      <c r="AC3001" s="1"/>
      <c r="AD3001" s="1"/>
      <c r="AE3001" s="1"/>
      <c r="AF3001" s="1"/>
      <c r="AG3001" s="1"/>
      <c r="AH3001" s="1"/>
      <c r="AI3001" s="1"/>
      <c r="AJ3001" s="1"/>
      <c r="AK3001" s="1"/>
      <c r="AL3001" s="1"/>
      <c r="AM3001" s="1"/>
      <c r="AN3001" s="1"/>
      <c r="AO3001" s="1"/>
      <c r="AP3001" s="1"/>
      <c r="AQ3001" s="1"/>
      <c r="AR3001" s="1"/>
      <c r="AS3001" s="1"/>
      <c r="AT3001" s="1"/>
      <c r="AU3001" s="1"/>
      <c r="AV3001" s="1"/>
      <c r="AW3001" s="1"/>
      <c r="AX3001" s="1"/>
      <c r="AY3001" s="1"/>
      <c r="AZ3001" s="1"/>
      <c r="BA3001" s="1"/>
      <c r="BB3001" s="1"/>
    </row>
    <row r="3002" ht="204.75" customHeight="1">
      <c r="A3002" s="1">
        <v>5443.0</v>
      </c>
      <c r="B3002" s="2" t="s">
        <v>9086</v>
      </c>
      <c r="C3002" s="2">
        <f>IFERROR(__xludf.DUMMYFUNCTION("split(B3002,""_"")"),901.0)</f>
        <v>901</v>
      </c>
      <c r="D3002" s="2" t="str">
        <f>IFERROR(__xludf.DUMMYFUNCTION("""COMPUTED_VALUE"""),"EX")</f>
        <v>EX</v>
      </c>
      <c r="E3002" s="2" t="str">
        <f>IFERROR(__xludf.DUMMYFUNCTION("""COMPUTED_VALUE"""),"木21")</f>
        <v>木21</v>
      </c>
      <c r="F3002" s="2" t="s">
        <v>9087</v>
      </c>
      <c r="G3002" s="2" t="s">
        <v>9088</v>
      </c>
      <c r="H3002" s="1">
        <v>8.0</v>
      </c>
      <c r="J3002" s="1" t="s">
        <v>11</v>
      </c>
      <c r="K3002" s="2" t="s">
        <v>9097</v>
      </c>
      <c r="L3002" s="10" t="s">
        <v>2775</v>
      </c>
      <c r="M3002" s="2" t="str">
        <f>IFERROR(__xludf.DUMMYFUNCTION("split(split(K3002,""高橋克典　"",false),""公式LINE"",false)"),"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f>
        <v>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v>
      </c>
      <c r="N3002" s="2"/>
      <c r="O3002" s="2"/>
      <c r="P3002" s="1"/>
      <c r="Q3002" s="1"/>
      <c r="R3002" s="1"/>
      <c r="S3002" s="1"/>
      <c r="T3002" s="1"/>
      <c r="U3002" s="1"/>
      <c r="V3002" s="1"/>
      <c r="W3002" s="1"/>
      <c r="X3002" s="1"/>
      <c r="Y3002" s="1"/>
      <c r="Z3002" s="1"/>
      <c r="AA3002" s="1"/>
      <c r="AB3002" s="1"/>
      <c r="AC3002" s="1"/>
      <c r="AD3002" s="1"/>
      <c r="AE3002" s="1"/>
      <c r="AF3002" s="1"/>
      <c r="AG3002" s="1"/>
      <c r="AH3002" s="1"/>
      <c r="AI3002" s="1"/>
      <c r="AJ3002" s="1"/>
      <c r="AK3002" s="1"/>
      <c r="AL3002" s="1"/>
      <c r="AM3002" s="1"/>
      <c r="AN3002" s="1"/>
      <c r="AO3002" s="1"/>
      <c r="AP3002" s="1"/>
      <c r="AQ3002" s="1"/>
      <c r="AR3002" s="1"/>
      <c r="AS3002" s="1"/>
      <c r="AT3002" s="1"/>
      <c r="AU3002" s="1"/>
      <c r="AV3002" s="1"/>
      <c r="AW3002" s="1"/>
      <c r="AX3002" s="1"/>
      <c r="AY3002" s="1"/>
      <c r="AZ3002" s="1"/>
      <c r="BA3002" s="1"/>
      <c r="BB3002" s="1"/>
    </row>
    <row r="3003" ht="204.75" customHeight="1">
      <c r="A3003" s="1">
        <v>5455.0</v>
      </c>
      <c r="B3003" s="2" t="s">
        <v>9098</v>
      </c>
      <c r="C3003" s="2">
        <f>IFERROR(__xludf.DUMMYFUNCTION("split(B3003,""_"")"),901.0)</f>
        <v>901</v>
      </c>
      <c r="D3003" s="2" t="str">
        <f>IFERROR(__xludf.DUMMYFUNCTION("""COMPUTED_VALUE"""),"EX")</f>
        <v>EX</v>
      </c>
      <c r="E3003" s="2" t="str">
        <f>IFERROR(__xludf.DUMMYFUNCTION("""COMPUTED_VALUE"""),"金21")</f>
        <v>金21</v>
      </c>
      <c r="F3003" s="2" t="s">
        <v>9038</v>
      </c>
      <c r="G3003" s="2" t="s">
        <v>9039</v>
      </c>
      <c r="H3003" s="1">
        <v>1.0</v>
      </c>
      <c r="J3003" s="1" t="s">
        <v>11</v>
      </c>
      <c r="K3003" s="2" t="s">
        <v>9099</v>
      </c>
      <c r="L3003" s="11" t="s">
        <v>9100</v>
      </c>
      <c r="M3003" s="2" t="str">
        <f>IFERROR(__xludf.DUMMYFUNCTION("split(split(K3003,""…"",false),""公式LINE"",false)"),"若い女が男に殺された。男は「美景庵」という美男・色男が揃う店の者。女の妹・お絹(小林涼子)は追われているその男・直助(中村俊介)を助け、恋心を抱く。一方、父親は娘の仇をとりに「美景庵」に行くが")</f>
        <v>若い女が男に殺された。男は「美景庵」という美男・色男が揃う店の者。女の妹・お絹(小林涼子)は追われているその男・直助(中村俊介)を助け、恋心を抱く。一方、父親は娘の仇をとりに「美景庵」に行くが</v>
      </c>
      <c r="N3003" s="2"/>
      <c r="O3003" s="2"/>
      <c r="P3003" s="1"/>
      <c r="Q3003" s="1"/>
      <c r="R3003" s="1"/>
      <c r="S3003" s="1"/>
      <c r="T3003" s="1"/>
      <c r="U3003" s="1"/>
      <c r="V3003" s="1"/>
      <c r="W3003" s="1"/>
      <c r="X3003" s="1"/>
      <c r="Y3003" s="1"/>
      <c r="Z3003" s="1"/>
      <c r="AA3003" s="1"/>
      <c r="AB3003" s="1"/>
      <c r="AC3003" s="1"/>
      <c r="AD3003" s="1"/>
      <c r="AE3003" s="1"/>
      <c r="AF3003" s="1"/>
      <c r="AG3003" s="1"/>
      <c r="AH3003" s="1"/>
      <c r="AI3003" s="1"/>
      <c r="AJ3003" s="1"/>
      <c r="AK3003" s="1"/>
      <c r="AL3003" s="1"/>
      <c r="AM3003" s="1"/>
      <c r="AN3003" s="1"/>
      <c r="AO3003" s="1"/>
      <c r="AP3003" s="1"/>
      <c r="AQ3003" s="1"/>
      <c r="AR3003" s="1"/>
      <c r="AS3003" s="1"/>
      <c r="AT3003" s="1"/>
      <c r="AU3003" s="1"/>
      <c r="AV3003" s="1"/>
      <c r="AW3003" s="1"/>
      <c r="AX3003" s="1"/>
      <c r="AY3003" s="1"/>
      <c r="AZ3003" s="1"/>
      <c r="BA3003" s="1"/>
      <c r="BB3003" s="1"/>
    </row>
    <row r="3004" ht="204.75" customHeight="1">
      <c r="A3004" s="1">
        <v>5456.0</v>
      </c>
      <c r="B3004" s="2" t="s">
        <v>9098</v>
      </c>
      <c r="C3004" s="2">
        <f>IFERROR(__xludf.DUMMYFUNCTION("split(B3004,""_"")"),901.0)</f>
        <v>901</v>
      </c>
      <c r="D3004" s="2" t="str">
        <f>IFERROR(__xludf.DUMMYFUNCTION("""COMPUTED_VALUE"""),"EX")</f>
        <v>EX</v>
      </c>
      <c r="E3004" s="2" t="str">
        <f>IFERROR(__xludf.DUMMYFUNCTION("""COMPUTED_VALUE"""),"金21")</f>
        <v>金21</v>
      </c>
      <c r="F3004" s="2" t="s">
        <v>9038</v>
      </c>
      <c r="G3004" s="2" t="s">
        <v>9039</v>
      </c>
      <c r="H3004" s="1">
        <v>2.0</v>
      </c>
      <c r="J3004" s="1" t="s">
        <v>11</v>
      </c>
      <c r="K3004" s="2" t="s">
        <v>9101</v>
      </c>
      <c r="L3004" s="11" t="s">
        <v>9102</v>
      </c>
      <c r="M3004" s="2" t="str">
        <f>IFERROR(__xludf.DUMMYFUNCTION("split(split(K3004,""…"",false),""公式LINE"",false)"),"弱者を狙う無差別殺人が横行する中、源太(大倉忠義)は正義感の強い数馬(忍成修吾)に助けられる。数馬は母・みち(賀来千香子)の内職で高名な道場に通い、主の監物(目黒祐樹)と息子・太平(浜田学)に気に入られる。しかし殺人者の正体が太平だと知り")</f>
        <v>弱者を狙う無差別殺人が横行する中、源太(大倉忠義)は正義感の強い数馬(忍成修吾)に助けられる。数馬は母・みち(賀来千香子)の内職で高名な道場に通い、主の監物(目黒祐樹)と息子・太平(浜田学)に気に入られる。しかし殺人者の正体が太平だと知り</v>
      </c>
      <c r="N3004" s="2"/>
      <c r="O3004" s="2"/>
      <c r="P3004" s="1"/>
      <c r="Q3004" s="1"/>
      <c r="R3004" s="1"/>
      <c r="S3004" s="1"/>
      <c r="T3004" s="1"/>
      <c r="U3004" s="1"/>
      <c r="V3004" s="1"/>
      <c r="W3004" s="1"/>
      <c r="X3004" s="1"/>
      <c r="Y3004" s="1"/>
      <c r="Z3004" s="1"/>
      <c r="AA3004" s="1"/>
      <c r="AB3004" s="1"/>
      <c r="AC3004" s="1"/>
      <c r="AD3004" s="1"/>
      <c r="AE3004" s="1"/>
      <c r="AF3004" s="1"/>
      <c r="AG3004" s="1"/>
      <c r="AH3004" s="1"/>
      <c r="AI3004" s="1"/>
      <c r="AJ3004" s="1"/>
      <c r="AK3004" s="1"/>
      <c r="AL3004" s="1"/>
      <c r="AM3004" s="1"/>
      <c r="AN3004" s="1"/>
      <c r="AO3004" s="1"/>
      <c r="AP3004" s="1"/>
      <c r="AQ3004" s="1"/>
      <c r="AR3004" s="1"/>
      <c r="AS3004" s="1"/>
      <c r="AT3004" s="1"/>
      <c r="AU3004" s="1"/>
      <c r="AV3004" s="1"/>
      <c r="AW3004" s="1"/>
      <c r="AX3004" s="1"/>
      <c r="AY3004" s="1"/>
      <c r="AZ3004" s="1"/>
      <c r="BA3004" s="1"/>
      <c r="BB3004" s="1"/>
    </row>
    <row r="3005" ht="204.75" customHeight="1">
      <c r="A3005" s="1">
        <v>5457.0</v>
      </c>
      <c r="B3005" s="2" t="s">
        <v>9098</v>
      </c>
      <c r="C3005" s="2">
        <f>IFERROR(__xludf.DUMMYFUNCTION("split(B3005,""_"")"),901.0)</f>
        <v>901</v>
      </c>
      <c r="D3005" s="2" t="str">
        <f>IFERROR(__xludf.DUMMYFUNCTION("""COMPUTED_VALUE"""),"EX")</f>
        <v>EX</v>
      </c>
      <c r="E3005" s="2" t="str">
        <f>IFERROR(__xludf.DUMMYFUNCTION("""COMPUTED_VALUE"""),"金21")</f>
        <v>金21</v>
      </c>
      <c r="F3005" s="2" t="s">
        <v>9038</v>
      </c>
      <c r="G3005" s="2" t="s">
        <v>9039</v>
      </c>
      <c r="H3005" s="1">
        <v>3.0</v>
      </c>
      <c r="J3005" s="1" t="s">
        <v>11</v>
      </c>
      <c r="K3005" s="2" t="s">
        <v>9103</v>
      </c>
      <c r="L3005" s="11" t="s">
        <v>9104</v>
      </c>
      <c r="M3005" s="2" t="str">
        <f>IFERROR(__xludf.DUMMYFUNCTION("split(split(K3005,""…"",false),""公式LINE"",false)"),"袋とじを楽しむ主水(藤田まこと)にお菊(和久井映見)は天才画家の平吉(吹越満)が酒を飲み妻のお静(清水美沙)を殴るので止めるよう頼む。主水の言葉で改心した夫は鶴屋で働くが何者かに斬捨てられる")</f>
        <v>袋とじを楽しむ主水(藤田まこと)にお菊(和久井映見)は天才画家の平吉(吹越満)が酒を飲み妻のお静(清水美沙)を殴るので止めるよう頼む。主水の言葉で改心した夫は鶴屋で働くが何者かに斬捨てられる</v>
      </c>
      <c r="N3005" s="2"/>
      <c r="O3005" s="2"/>
      <c r="P3005" s="1"/>
      <c r="Q3005" s="1"/>
      <c r="R3005" s="1"/>
      <c r="S3005" s="1"/>
      <c r="T3005" s="1"/>
      <c r="U3005" s="1"/>
      <c r="V3005" s="1"/>
      <c r="W3005" s="1"/>
      <c r="X3005" s="1"/>
      <c r="Y3005" s="1"/>
      <c r="Z3005" s="1"/>
      <c r="AA3005" s="1"/>
      <c r="AB3005" s="1"/>
      <c r="AC3005" s="1"/>
      <c r="AD3005" s="1"/>
      <c r="AE3005" s="1"/>
      <c r="AF3005" s="1"/>
      <c r="AG3005" s="1"/>
      <c r="AH3005" s="1"/>
      <c r="AI3005" s="1"/>
      <c r="AJ3005" s="1"/>
      <c r="AK3005" s="1"/>
      <c r="AL3005" s="1"/>
      <c r="AM3005" s="1"/>
      <c r="AN3005" s="1"/>
      <c r="AO3005" s="1"/>
      <c r="AP3005" s="1"/>
      <c r="AQ3005" s="1"/>
      <c r="AR3005" s="1"/>
      <c r="AS3005" s="1"/>
      <c r="AT3005" s="1"/>
      <c r="AU3005" s="1"/>
      <c r="AV3005" s="1"/>
      <c r="AW3005" s="1"/>
      <c r="AX3005" s="1"/>
      <c r="AY3005" s="1"/>
      <c r="AZ3005" s="1"/>
      <c r="BA3005" s="1"/>
      <c r="BB3005" s="1"/>
    </row>
    <row r="3006" ht="204.75" customHeight="1">
      <c r="A3006" s="1">
        <v>5458.0</v>
      </c>
      <c r="B3006" s="2" t="s">
        <v>9098</v>
      </c>
      <c r="C3006" s="2">
        <f>IFERROR(__xludf.DUMMYFUNCTION("split(B3006,""_"")"),901.0)</f>
        <v>901</v>
      </c>
      <c r="D3006" s="2" t="str">
        <f>IFERROR(__xludf.DUMMYFUNCTION("""COMPUTED_VALUE"""),"EX")</f>
        <v>EX</v>
      </c>
      <c r="E3006" s="2" t="str">
        <f>IFERROR(__xludf.DUMMYFUNCTION("""COMPUTED_VALUE"""),"金21")</f>
        <v>金21</v>
      </c>
      <c r="F3006" s="2" t="s">
        <v>9038</v>
      </c>
      <c r="G3006" s="2" t="s">
        <v>9039</v>
      </c>
      <c r="H3006" s="1">
        <v>4.0</v>
      </c>
      <c r="J3006" s="1" t="s">
        <v>11</v>
      </c>
      <c r="K3006" s="2" t="s">
        <v>9105</v>
      </c>
      <c r="L3006" s="11" t="s">
        <v>9106</v>
      </c>
      <c r="M3006" s="2" t="str">
        <f>IFERROR(__xludf.DUMMYFUNCTION("split(split(K3006,""…"",false),""公式LINE"",false)"),"阿片の取引現場に踏み込んだ小五郎は旗本の望月に一括される。一方、涼次は如月が盗んだ財布が元で命を狙われる。新任同心の新吾はその財布の中から阿片密売の証拠を得、裏で操る謎の暗闇奉行の正体を知ることに")</f>
        <v>阿片の取引現場に踏み込んだ小五郎は旗本の望月に一括される。一方、涼次は如月が盗んだ財布が元で命を狙われる。新任同心の新吾はその財布の中から阿片密売の証拠を得、裏で操る謎の暗闇奉行の正体を知ることに</v>
      </c>
      <c r="N3006" s="2"/>
      <c r="O3006" s="2"/>
      <c r="P3006" s="1"/>
      <c r="Q3006" s="1"/>
      <c r="R3006" s="1"/>
      <c r="S3006" s="1"/>
      <c r="T3006" s="1"/>
      <c r="U3006" s="1"/>
      <c r="V3006" s="1"/>
      <c r="W3006" s="1"/>
      <c r="X3006" s="1"/>
      <c r="Y3006" s="1"/>
      <c r="Z3006" s="1"/>
      <c r="AA3006" s="1"/>
      <c r="AB3006" s="1"/>
      <c r="AC3006" s="1"/>
      <c r="AD3006" s="1"/>
      <c r="AE3006" s="1"/>
      <c r="AF3006" s="1"/>
      <c r="AG3006" s="1"/>
      <c r="AH3006" s="1"/>
      <c r="AI3006" s="1"/>
      <c r="AJ3006" s="1"/>
      <c r="AK3006" s="1"/>
      <c r="AL3006" s="1"/>
      <c r="AM3006" s="1"/>
      <c r="AN3006" s="1"/>
      <c r="AO3006" s="1"/>
      <c r="AP3006" s="1"/>
      <c r="AQ3006" s="1"/>
      <c r="AR3006" s="1"/>
      <c r="AS3006" s="1"/>
      <c r="AT3006" s="1"/>
      <c r="AU3006" s="1"/>
      <c r="AV3006" s="1"/>
      <c r="AW3006" s="1"/>
      <c r="AX3006" s="1"/>
      <c r="AY3006" s="1"/>
      <c r="AZ3006" s="1"/>
      <c r="BA3006" s="1"/>
      <c r="BB3006" s="1"/>
    </row>
    <row r="3007" ht="204.75" customHeight="1">
      <c r="A3007" s="1">
        <v>5459.0</v>
      </c>
      <c r="B3007" s="2" t="s">
        <v>9098</v>
      </c>
      <c r="C3007" s="2">
        <f>IFERROR(__xludf.DUMMYFUNCTION("split(B3007,""_"")"),901.0)</f>
        <v>901</v>
      </c>
      <c r="D3007" s="2" t="str">
        <f>IFERROR(__xludf.DUMMYFUNCTION("""COMPUTED_VALUE"""),"EX")</f>
        <v>EX</v>
      </c>
      <c r="E3007" s="2" t="str">
        <f>IFERROR(__xludf.DUMMYFUNCTION("""COMPUTED_VALUE"""),"金21")</f>
        <v>金21</v>
      </c>
      <c r="F3007" s="2" t="s">
        <v>9038</v>
      </c>
      <c r="G3007" s="2" t="s">
        <v>9039</v>
      </c>
      <c r="H3007" s="1">
        <v>5.0</v>
      </c>
      <c r="J3007" s="1" t="s">
        <v>11</v>
      </c>
      <c r="K3007" s="2" t="s">
        <v>9107</v>
      </c>
      <c r="L3007" s="11" t="s">
        <v>9108</v>
      </c>
      <c r="M3007" s="2" t="str">
        <f>IFERROR(__xludf.DUMMYFUNCTION("split(split(K3007,""…"",false),""公式LINE"",false)"),"一方、商い税が設けられ主水(藤田まこと)は激怒。そんな中、宮大工の宗兵衛(堤大二郎)は大仏の手抜き工事を知り、一家とも惨殺される")</f>
        <v>一方、商い税が設けられ主水(藤田まこと)は激怒。そんな中、宮大工の宗兵衛(堤大二郎)は大仏の手抜き工事を知り、一家とも惨殺される</v>
      </c>
      <c r="N3007" s="2"/>
      <c r="O3007" s="2"/>
      <c r="P3007" s="1"/>
      <c r="Q3007" s="1"/>
      <c r="R3007" s="1"/>
      <c r="S3007" s="1"/>
      <c r="T3007" s="1"/>
      <c r="U3007" s="1"/>
      <c r="V3007" s="1"/>
      <c r="W3007" s="1"/>
      <c r="X3007" s="1"/>
      <c r="Y3007" s="1"/>
      <c r="Z3007" s="1"/>
      <c r="AA3007" s="1"/>
      <c r="AB3007" s="1"/>
      <c r="AC3007" s="1"/>
      <c r="AD3007" s="1"/>
      <c r="AE3007" s="1"/>
      <c r="AF3007" s="1"/>
      <c r="AG3007" s="1"/>
      <c r="AH3007" s="1"/>
      <c r="AI3007" s="1"/>
      <c r="AJ3007" s="1"/>
      <c r="AK3007" s="1"/>
      <c r="AL3007" s="1"/>
      <c r="AM3007" s="1"/>
      <c r="AN3007" s="1"/>
      <c r="AO3007" s="1"/>
      <c r="AP3007" s="1"/>
      <c r="AQ3007" s="1"/>
      <c r="AR3007" s="1"/>
      <c r="AS3007" s="1"/>
      <c r="AT3007" s="1"/>
      <c r="AU3007" s="1"/>
      <c r="AV3007" s="1"/>
      <c r="AW3007" s="1"/>
      <c r="AX3007" s="1"/>
      <c r="AY3007" s="1"/>
      <c r="AZ3007" s="1"/>
      <c r="BA3007" s="1"/>
      <c r="BB3007" s="1"/>
    </row>
    <row r="3008" ht="204.75" customHeight="1">
      <c r="A3008" s="1">
        <v>5460.0</v>
      </c>
      <c r="B3008" s="2" t="s">
        <v>9098</v>
      </c>
      <c r="C3008" s="2">
        <f>IFERROR(__xludf.DUMMYFUNCTION("split(B3008,""_"")"),901.0)</f>
        <v>901</v>
      </c>
      <c r="D3008" s="2" t="str">
        <f>IFERROR(__xludf.DUMMYFUNCTION("""COMPUTED_VALUE"""),"EX")</f>
        <v>EX</v>
      </c>
      <c r="E3008" s="2" t="str">
        <f>IFERROR(__xludf.DUMMYFUNCTION("""COMPUTED_VALUE"""),"金21")</f>
        <v>金21</v>
      </c>
      <c r="F3008" s="2" t="s">
        <v>9038</v>
      </c>
      <c r="G3008" s="2" t="s">
        <v>9039</v>
      </c>
      <c r="H3008" s="1">
        <v>6.0</v>
      </c>
      <c r="J3008" s="1" t="s">
        <v>11</v>
      </c>
      <c r="K3008" s="2" t="s">
        <v>9109</v>
      </c>
      <c r="L3008" s="11" t="s">
        <v>9110</v>
      </c>
      <c r="M3008" s="2" t="str">
        <f>IFERROR(__xludf.DUMMYFUNCTION("split(split(K3008,""…"",false),""公式LINE"",false)"),"一方、勾玉数珠で病気を治す評判の陰陽師・百瀬(篠井英介)に藤五郎は初枝の治療を頼む。数珠は高額だが、夫は妻のために")</f>
        <v>一方、勾玉数珠で病気を治す評判の陰陽師・百瀬(篠井英介)に藤五郎は初枝の治療を頼む。数珠は高額だが、夫は妻のために</v>
      </c>
      <c r="N3008" s="2"/>
      <c r="O3008" s="2"/>
      <c r="P3008" s="1"/>
      <c r="Q3008" s="1"/>
      <c r="R3008" s="1"/>
      <c r="S3008" s="1"/>
      <c r="T3008" s="1"/>
      <c r="U3008" s="1"/>
      <c r="V3008" s="1"/>
      <c r="W3008" s="1"/>
      <c r="X3008" s="1"/>
      <c r="Y3008" s="1"/>
      <c r="Z3008" s="1"/>
      <c r="AA3008" s="1"/>
      <c r="AB3008" s="1"/>
      <c r="AC3008" s="1"/>
      <c r="AD3008" s="1"/>
      <c r="AE3008" s="1"/>
      <c r="AF3008" s="1"/>
      <c r="AG3008" s="1"/>
      <c r="AH3008" s="1"/>
      <c r="AI3008" s="1"/>
      <c r="AJ3008" s="1"/>
      <c r="AK3008" s="1"/>
      <c r="AL3008" s="1"/>
      <c r="AM3008" s="1"/>
      <c r="AN3008" s="1"/>
      <c r="AO3008" s="1"/>
      <c r="AP3008" s="1"/>
      <c r="AQ3008" s="1"/>
      <c r="AR3008" s="1"/>
      <c r="AS3008" s="1"/>
      <c r="AT3008" s="1"/>
      <c r="AU3008" s="1"/>
      <c r="AV3008" s="1"/>
      <c r="AW3008" s="1"/>
      <c r="AX3008" s="1"/>
      <c r="AY3008" s="1"/>
      <c r="AZ3008" s="1"/>
      <c r="BA3008" s="1"/>
      <c r="BB3008" s="1"/>
    </row>
    <row r="3009" ht="204.75" customHeight="1">
      <c r="A3009" s="1">
        <v>5461.0</v>
      </c>
      <c r="B3009" s="2" t="s">
        <v>9098</v>
      </c>
      <c r="C3009" s="2">
        <f>IFERROR(__xludf.DUMMYFUNCTION("split(B3009,""_"")"),901.0)</f>
        <v>901</v>
      </c>
      <c r="D3009" s="2" t="str">
        <f>IFERROR(__xludf.DUMMYFUNCTION("""COMPUTED_VALUE"""),"EX")</f>
        <v>EX</v>
      </c>
      <c r="E3009" s="2" t="str">
        <f>IFERROR(__xludf.DUMMYFUNCTION("""COMPUTED_VALUE"""),"金21")</f>
        <v>金21</v>
      </c>
      <c r="F3009" s="2" t="s">
        <v>9038</v>
      </c>
      <c r="G3009" s="2" t="s">
        <v>9039</v>
      </c>
      <c r="H3009" s="1">
        <v>7.0</v>
      </c>
      <c r="J3009" s="1" t="s">
        <v>11</v>
      </c>
      <c r="K3009" s="2" t="s">
        <v>9111</v>
      </c>
      <c r="L3009" s="11" t="s">
        <v>9112</v>
      </c>
      <c r="M3009" s="2" t="str">
        <f>IFERROR(__xludf.DUMMYFUNCTION("split(split(K3009,""…"",false),""公式LINE"",false)"),"命を賭け、天才相場師・江上屋の芳太郎(津田寛治)に藩の大事を質に借金を申し込むことに涼次らは反対をする。しかし、米相場で悪名高い芳太郎でも自分は命の恩人だからと聞かない")</f>
        <v>命を賭け、天才相場師・江上屋の芳太郎(津田寛治)に藩の大事を質に借金を申し込むことに涼次らは反対をする。しかし、米相場で悪名高い芳太郎でも自分は命の恩人だからと聞かない</v>
      </c>
      <c r="N3009" s="2"/>
      <c r="O3009" s="2"/>
      <c r="P3009" s="1"/>
      <c r="Q3009" s="1"/>
      <c r="R3009" s="1"/>
      <c r="S3009" s="1"/>
      <c r="T3009" s="1"/>
      <c r="U3009" s="1"/>
      <c r="V3009" s="1"/>
      <c r="W3009" s="1"/>
      <c r="X3009" s="1"/>
      <c r="Y3009" s="1"/>
      <c r="Z3009" s="1"/>
      <c r="AA3009" s="1"/>
      <c r="AB3009" s="1"/>
      <c r="AC3009" s="1"/>
      <c r="AD3009" s="1"/>
      <c r="AE3009" s="1"/>
      <c r="AF3009" s="1"/>
      <c r="AG3009" s="1"/>
      <c r="AH3009" s="1"/>
      <c r="AI3009" s="1"/>
      <c r="AJ3009" s="1"/>
      <c r="AK3009" s="1"/>
      <c r="AL3009" s="1"/>
      <c r="AM3009" s="1"/>
      <c r="AN3009" s="1"/>
      <c r="AO3009" s="1"/>
      <c r="AP3009" s="1"/>
      <c r="AQ3009" s="1"/>
      <c r="AR3009" s="1"/>
      <c r="AS3009" s="1"/>
      <c r="AT3009" s="1"/>
      <c r="AU3009" s="1"/>
      <c r="AV3009" s="1"/>
      <c r="AW3009" s="1"/>
      <c r="AX3009" s="1"/>
      <c r="AY3009" s="1"/>
      <c r="AZ3009" s="1"/>
      <c r="BA3009" s="1"/>
      <c r="BB3009" s="1"/>
    </row>
    <row r="3010" ht="204.75" customHeight="1">
      <c r="A3010" s="1">
        <v>5462.0</v>
      </c>
      <c r="B3010" s="2" t="s">
        <v>9098</v>
      </c>
      <c r="C3010" s="2">
        <f>IFERROR(__xludf.DUMMYFUNCTION("split(B3010,""_"")"),901.0)</f>
        <v>901</v>
      </c>
      <c r="D3010" s="2" t="str">
        <f>IFERROR(__xludf.DUMMYFUNCTION("""COMPUTED_VALUE"""),"EX")</f>
        <v>EX</v>
      </c>
      <c r="E3010" s="2" t="str">
        <f>IFERROR(__xludf.DUMMYFUNCTION("""COMPUTED_VALUE"""),"金21")</f>
        <v>金21</v>
      </c>
      <c r="F3010" s="2" t="s">
        <v>9038</v>
      </c>
      <c r="G3010" s="2" t="s">
        <v>9039</v>
      </c>
      <c r="H3010" s="1">
        <v>8.0</v>
      </c>
      <c r="J3010" s="1" t="s">
        <v>11</v>
      </c>
      <c r="K3010" s="2" t="s">
        <v>9113</v>
      </c>
      <c r="L3010" s="11" t="s">
        <v>9114</v>
      </c>
      <c r="M3010" s="2" t="str">
        <f>IFERROR(__xludf.DUMMYFUNCTION("split(split(K3010,""…"",false),""公式LINE"",false)"),"相談を受けた旧友の主水(藤田まこと)は仇を取ろうとする嘉助をなだめるが、嘉助は一世一代のスリの勝負に出る")</f>
        <v>相談を受けた旧友の主水(藤田まこと)は仇を取ろうとする嘉助をなだめるが、嘉助は一世一代のスリの勝負に出る</v>
      </c>
      <c r="N3010" s="2"/>
      <c r="O3010" s="2"/>
      <c r="P3010" s="1"/>
      <c r="Q3010" s="1"/>
      <c r="R3010" s="1"/>
      <c r="S3010" s="1"/>
      <c r="T3010" s="1"/>
      <c r="U3010" s="1"/>
      <c r="V3010" s="1"/>
      <c r="W3010" s="1"/>
      <c r="X3010" s="1"/>
      <c r="Y3010" s="1"/>
      <c r="Z3010" s="1"/>
      <c r="AA3010" s="1"/>
      <c r="AB3010" s="1"/>
      <c r="AC3010" s="1"/>
      <c r="AD3010" s="1"/>
      <c r="AE3010" s="1"/>
      <c r="AF3010" s="1"/>
      <c r="AG3010" s="1"/>
      <c r="AH3010" s="1"/>
      <c r="AI3010" s="1"/>
      <c r="AJ3010" s="1"/>
      <c r="AK3010" s="1"/>
      <c r="AL3010" s="1"/>
      <c r="AM3010" s="1"/>
      <c r="AN3010" s="1"/>
      <c r="AO3010" s="1"/>
      <c r="AP3010" s="1"/>
      <c r="AQ3010" s="1"/>
      <c r="AR3010" s="1"/>
      <c r="AS3010" s="1"/>
      <c r="AT3010" s="1"/>
      <c r="AU3010" s="1"/>
      <c r="AV3010" s="1"/>
      <c r="AW3010" s="1"/>
      <c r="AX3010" s="1"/>
      <c r="AY3010" s="1"/>
      <c r="AZ3010" s="1"/>
      <c r="BA3010" s="1"/>
      <c r="BB3010" s="1"/>
    </row>
    <row r="3011" ht="204.75" customHeight="1">
      <c r="A3011" s="1">
        <v>5463.0</v>
      </c>
      <c r="B3011" s="2" t="s">
        <v>9098</v>
      </c>
      <c r="C3011" s="2">
        <f>IFERROR(__xludf.DUMMYFUNCTION("split(B3011,""_"")"),901.0)</f>
        <v>901</v>
      </c>
      <c r="D3011" s="2" t="str">
        <f>IFERROR(__xludf.DUMMYFUNCTION("""COMPUTED_VALUE"""),"EX")</f>
        <v>EX</v>
      </c>
      <c r="E3011" s="2" t="str">
        <f>IFERROR(__xludf.DUMMYFUNCTION("""COMPUTED_VALUE"""),"金21")</f>
        <v>金21</v>
      </c>
      <c r="F3011" s="2" t="s">
        <v>9038</v>
      </c>
      <c r="G3011" s="2" t="s">
        <v>9039</v>
      </c>
      <c r="H3011" s="1">
        <v>9.0</v>
      </c>
      <c r="J3011" s="1" t="s">
        <v>11</v>
      </c>
      <c r="K3011" s="2" t="s">
        <v>9115</v>
      </c>
      <c r="L3011" s="11" t="s">
        <v>9116</v>
      </c>
      <c r="M3011" s="2" t="str">
        <f>IFERROR(__xludf.DUMMYFUNCTION("split(split(K3011,""…"",false),""公式LINE"",false)"),"そんな時、伊織は講師を監督する役人・畠中伊右衛門(田中健)に呼び出され、事情を聞かれる。身重の妻・きぬ(遠藤久美子)も心配する中、伊織は今度は不正の疑いをかけられる")</f>
        <v>そんな時、伊織は講師を監督する役人・畠中伊右衛門(田中健)に呼び出され、事情を聞かれる。身重の妻・きぬ(遠藤久美子)も心配する中、伊織は今度は不正の疑いをかけられる</v>
      </c>
      <c r="N3011" s="2"/>
      <c r="O3011" s="2"/>
      <c r="P3011" s="1"/>
      <c r="Q3011" s="1"/>
      <c r="R3011" s="1"/>
      <c r="S3011" s="1"/>
      <c r="T3011" s="1"/>
      <c r="U3011" s="1"/>
      <c r="V3011" s="1"/>
      <c r="W3011" s="1"/>
      <c r="X3011" s="1"/>
      <c r="Y3011" s="1"/>
      <c r="Z3011" s="1"/>
      <c r="AA3011" s="1"/>
      <c r="AB3011" s="1"/>
      <c r="AC3011" s="1"/>
      <c r="AD3011" s="1"/>
      <c r="AE3011" s="1"/>
      <c r="AF3011" s="1"/>
      <c r="AG3011" s="1"/>
      <c r="AH3011" s="1"/>
      <c r="AI3011" s="1"/>
      <c r="AJ3011" s="1"/>
      <c r="AK3011" s="1"/>
      <c r="AL3011" s="1"/>
      <c r="AM3011" s="1"/>
      <c r="AN3011" s="1"/>
      <c r="AO3011" s="1"/>
      <c r="AP3011" s="1"/>
      <c r="AQ3011" s="1"/>
      <c r="AR3011" s="1"/>
      <c r="AS3011" s="1"/>
      <c r="AT3011" s="1"/>
      <c r="AU3011" s="1"/>
      <c r="AV3011" s="1"/>
      <c r="AW3011" s="1"/>
      <c r="AX3011" s="1"/>
      <c r="AY3011" s="1"/>
      <c r="AZ3011" s="1"/>
      <c r="BA3011" s="1"/>
      <c r="BB3011" s="1"/>
    </row>
    <row r="3012" ht="204.75" customHeight="1">
      <c r="A3012" s="1">
        <v>5464.0</v>
      </c>
      <c r="B3012" s="2" t="s">
        <v>9098</v>
      </c>
      <c r="C3012" s="2">
        <f>IFERROR(__xludf.DUMMYFUNCTION("split(B3012,""_"")"),901.0)</f>
        <v>901</v>
      </c>
      <c r="D3012" s="2" t="str">
        <f>IFERROR(__xludf.DUMMYFUNCTION("""COMPUTED_VALUE"""),"EX")</f>
        <v>EX</v>
      </c>
      <c r="E3012" s="2" t="str">
        <f>IFERROR(__xludf.DUMMYFUNCTION("""COMPUTED_VALUE"""),"金21")</f>
        <v>金21</v>
      </c>
      <c r="F3012" s="2" t="s">
        <v>9038</v>
      </c>
      <c r="G3012" s="2" t="s">
        <v>9039</v>
      </c>
      <c r="H3012" s="1">
        <v>10.0</v>
      </c>
      <c r="J3012" s="1" t="s">
        <v>11</v>
      </c>
      <c r="K3012" s="2" t="s">
        <v>9117</v>
      </c>
      <c r="L3012" s="4" t="s">
        <v>9118</v>
      </c>
      <c r="M3012" s="2" t="str">
        <f>IFERROR(__xludf.DUMMYFUNCTION("split(split(K3012,""…"",false),""公式LINE"",false)"),"一方、如月(谷村美月)が黒頭巾に襲われ、殺しの道具で助けた涼次(松岡昌宏)は小五郎の同僚の大河原伝七(福士誠治)に見咎められてしまう。主水(藤田まこと)の機転に助けられ何とか追及をかわすが、主水から、仕事道具を白昼堂々と使うとは何事だと厳しく諭される。　東山紀之・松岡昌宏・大倉忠義・谷村美月・福士誠治・宇梶剛士・前田航基/野際陽子・中越典子/池上季実子・荒川良々・平泉成・内山信二/和久井映見・藤田まこと　ほか　寺田敏雄　石原興　平尾昌晃「鏡花水月」The　SHIGOTONIN  (ジャニーズ・エンタテイメ"&amp;"ント)　ABC・テレビ朝日・松竹☆番組ホームページ  　http://hissatsu2009.asahi.co.jp/")</f>
        <v>一方、如月(谷村美月)が黒頭巾に襲われ、殺しの道具で助けた涼次(松岡昌宏)は小五郎の同僚の大河原伝七(福士誠治)に見咎められてしまう。主水(藤田まこと)の機転に助けられ何とか追及をかわすが、主水から、仕事道具を白昼堂々と使うとは何事だと厳しく諭される。　東山紀之・松岡昌宏・大倉忠義・谷村美月・福士誠治・宇梶剛士・前田航基/野際陽子・中越典子/池上季実子・荒川良々・平泉成・内山信二/和久井映見・藤田まこと　ほか　寺田敏雄　石原興　平尾昌晃「鏡花水月」The　SHIGOTONIN  (ジャニーズ・エンタテイメント)　ABC・テレビ朝日・松竹☆番組ホームページ  　http://hissatsu2009.asahi.co.jp/</v>
      </c>
      <c r="N3012" s="2"/>
      <c r="O3012" s="2"/>
      <c r="P3012" s="1"/>
      <c r="Q3012" s="1"/>
      <c r="R3012" s="1"/>
      <c r="S3012" s="1"/>
      <c r="T3012" s="1"/>
      <c r="U3012" s="1"/>
      <c r="V3012" s="1"/>
      <c r="W3012" s="1"/>
      <c r="X3012" s="1"/>
      <c r="Y3012" s="1"/>
      <c r="Z3012" s="1"/>
      <c r="AA3012" s="1"/>
      <c r="AB3012" s="1"/>
      <c r="AC3012" s="1"/>
      <c r="AD3012" s="1"/>
      <c r="AE3012" s="1"/>
      <c r="AF3012" s="1"/>
      <c r="AG3012" s="1"/>
      <c r="AH3012" s="1"/>
      <c r="AI3012" s="1"/>
      <c r="AJ3012" s="1"/>
      <c r="AK3012" s="1"/>
      <c r="AL3012" s="1"/>
      <c r="AM3012" s="1"/>
      <c r="AN3012" s="1"/>
      <c r="AO3012" s="1"/>
      <c r="AP3012" s="1"/>
      <c r="AQ3012" s="1"/>
      <c r="AR3012" s="1"/>
      <c r="AS3012" s="1"/>
      <c r="AT3012" s="1"/>
      <c r="AU3012" s="1"/>
      <c r="AV3012" s="1"/>
      <c r="AW3012" s="1"/>
      <c r="AX3012" s="1"/>
      <c r="AY3012" s="1"/>
      <c r="AZ3012" s="1"/>
      <c r="BA3012" s="1"/>
      <c r="BB3012" s="1"/>
    </row>
    <row r="3013" ht="204.75" customHeight="1">
      <c r="A3013" s="1">
        <v>5475.0</v>
      </c>
      <c r="B3013" s="2" t="s">
        <v>9119</v>
      </c>
      <c r="C3013" s="2">
        <f>IFERROR(__xludf.DUMMYFUNCTION("split(B3013,""_"")"),901.0)</f>
        <v>901</v>
      </c>
      <c r="D3013" s="2" t="str">
        <f>IFERROR(__xludf.DUMMYFUNCTION("""COMPUTED_VALUE"""),"EX")</f>
        <v>EX</v>
      </c>
      <c r="E3013" s="2" t="str">
        <f>IFERROR(__xludf.DUMMYFUNCTION("""COMPUTED_VALUE"""),"金23")</f>
        <v>金23</v>
      </c>
      <c r="F3013" s="2" t="s">
        <v>9120</v>
      </c>
      <c r="G3013" s="2" t="s">
        <v>9121</v>
      </c>
      <c r="H3013" s="1">
        <v>1.0</v>
      </c>
      <c r="J3013" s="1" t="s">
        <v>1435</v>
      </c>
      <c r="K3013" s="4" t="s">
        <v>9122</v>
      </c>
      <c r="L3013" s="11" t="s">
        <v>9123</v>
      </c>
      <c r="M3013" s="2" t="str">
        <f>IFERROR(__xludf.DUMMYFUNCTION("split(split(K3013,""大野智　"",false),""公式LINE"",false)"),"健太(大野智)はある日突然、バンド仲間から解散を宣告され、恋人にもふられ、挙句の果てに内定も取り消されてしまう。破れかぶれで面接を受けにいったテレビ局で間違えて「歌のおにいさん」の面接を受けてしまい、なぜか採用されてしまう!何事にもやる気の出ない健太は子供の見本「歌のおにいさん」になれるか?")</f>
        <v>健太(大野智)はある日突然、バンド仲間から解散を宣告され、恋人にもふられ、挙句の果てに内定も取り消されてしまう。破れかぶれで面接を受けにいったテレビ局で間違えて「歌のおにいさん」の面接を受けてしまい、なぜか採用されてしまう!何事にもやる気の出ない健太は子供の見本「歌のおにいさん」になれるか?</v>
      </c>
      <c r="N3013" s="2"/>
      <c r="O3013" s="2"/>
      <c r="P3013" s="1"/>
      <c r="Q3013" s="1"/>
      <c r="R3013" s="1"/>
      <c r="S3013" s="1"/>
      <c r="T3013" s="1"/>
      <c r="U3013" s="1"/>
      <c r="V3013" s="1"/>
      <c r="W3013" s="1"/>
      <c r="X3013" s="1"/>
      <c r="Y3013" s="1"/>
      <c r="Z3013" s="1"/>
      <c r="AA3013" s="1"/>
      <c r="AB3013" s="1"/>
      <c r="AC3013" s="1"/>
      <c r="AD3013" s="1"/>
      <c r="AE3013" s="1"/>
      <c r="AF3013" s="1"/>
      <c r="AG3013" s="1"/>
      <c r="AH3013" s="1"/>
      <c r="AI3013" s="1"/>
      <c r="AJ3013" s="1"/>
      <c r="AK3013" s="1"/>
      <c r="AL3013" s="1"/>
      <c r="AM3013" s="1"/>
      <c r="AN3013" s="1"/>
      <c r="AO3013" s="1"/>
      <c r="AP3013" s="1"/>
      <c r="AQ3013" s="1"/>
      <c r="AR3013" s="1"/>
      <c r="AS3013" s="1"/>
      <c r="AT3013" s="1"/>
      <c r="AU3013" s="1"/>
      <c r="AV3013" s="1"/>
      <c r="AW3013" s="1"/>
      <c r="AX3013" s="1"/>
      <c r="AY3013" s="1"/>
      <c r="AZ3013" s="1"/>
      <c r="BA3013" s="1"/>
      <c r="BB3013" s="1"/>
    </row>
    <row r="3014" ht="204.75" customHeight="1">
      <c r="A3014" s="1">
        <v>5476.0</v>
      </c>
      <c r="B3014" s="2" t="s">
        <v>9119</v>
      </c>
      <c r="C3014" s="2">
        <f>IFERROR(__xludf.DUMMYFUNCTION("split(B3014,""_"")"),901.0)</f>
        <v>901</v>
      </c>
      <c r="D3014" s="2" t="str">
        <f>IFERROR(__xludf.DUMMYFUNCTION("""COMPUTED_VALUE"""),"EX")</f>
        <v>EX</v>
      </c>
      <c r="E3014" s="2" t="str">
        <f>IFERROR(__xludf.DUMMYFUNCTION("""COMPUTED_VALUE"""),"金23")</f>
        <v>金23</v>
      </c>
      <c r="F3014" s="2" t="s">
        <v>9120</v>
      </c>
      <c r="G3014" s="2" t="s">
        <v>9121</v>
      </c>
      <c r="H3014" s="1">
        <v>2.0</v>
      </c>
      <c r="J3014" s="1" t="s">
        <v>1435</v>
      </c>
      <c r="K3014" s="2" t="s">
        <v>9124</v>
      </c>
      <c r="L3014" s="11" t="s">
        <v>9125</v>
      </c>
      <c r="M3014" s="2" t="str">
        <f>IFERROR(__xludf.DUMMYFUNCTION("split(split(K3014,""大野智　"",false),""公式LINE"",false)"),"健太(大野智)が「歌のおにいさんとゆかいな仲間」として採用された番組「みなうた」は、ヘンテコ王子・氷室洋一(戸次重幸)の独裁帝国だった・・!「あんたには絶対謝んねー」と言い切った健太に対し、氷室王子の容赦ないイジメが続く。そんな中、「みなうた」の公開放送が始まる。　")</f>
        <v>健太(大野智)が「歌のおにいさんとゆかいな仲間」として採用された番組「みなうた」は、ヘンテコ王子・氷室洋一(戸次重幸)の独裁帝国だった・・!「あんたには絶対謝んねー」と言い切った健太に対し、氷室王子の容赦ないイジメが続く。そんな中、「みなうた」の公開放送が始まる。　</v>
      </c>
      <c r="N3014" s="2"/>
      <c r="O3014" s="2"/>
      <c r="P3014" s="1"/>
      <c r="Q3014" s="1"/>
      <c r="R3014" s="1"/>
      <c r="S3014" s="1"/>
      <c r="T3014" s="1"/>
      <c r="U3014" s="1"/>
      <c r="V3014" s="1"/>
      <c r="W3014" s="1"/>
      <c r="X3014" s="1"/>
      <c r="Y3014" s="1"/>
      <c r="Z3014" s="1"/>
      <c r="AA3014" s="1"/>
      <c r="AB3014" s="1"/>
      <c r="AC3014" s="1"/>
      <c r="AD3014" s="1"/>
      <c r="AE3014" s="1"/>
      <c r="AF3014" s="1"/>
      <c r="AG3014" s="1"/>
      <c r="AH3014" s="1"/>
      <c r="AI3014" s="1"/>
      <c r="AJ3014" s="1"/>
      <c r="AK3014" s="1"/>
      <c r="AL3014" s="1"/>
      <c r="AM3014" s="1"/>
      <c r="AN3014" s="1"/>
      <c r="AO3014" s="1"/>
      <c r="AP3014" s="1"/>
      <c r="AQ3014" s="1"/>
      <c r="AR3014" s="1"/>
      <c r="AS3014" s="1"/>
      <c r="AT3014" s="1"/>
      <c r="AU3014" s="1"/>
      <c r="AV3014" s="1"/>
      <c r="AW3014" s="1"/>
      <c r="AX3014" s="1"/>
      <c r="AY3014" s="1"/>
      <c r="AZ3014" s="1"/>
      <c r="BA3014" s="1"/>
      <c r="BB3014" s="1"/>
    </row>
    <row r="3015" ht="204.75" customHeight="1">
      <c r="A3015" s="1">
        <v>5477.0</v>
      </c>
      <c r="B3015" s="2" t="s">
        <v>9119</v>
      </c>
      <c r="C3015" s="2">
        <f>IFERROR(__xludf.DUMMYFUNCTION("split(B3015,""_"")"),901.0)</f>
        <v>901</v>
      </c>
      <c r="D3015" s="2" t="str">
        <f>IFERROR(__xludf.DUMMYFUNCTION("""COMPUTED_VALUE"""),"EX")</f>
        <v>EX</v>
      </c>
      <c r="E3015" s="2" t="str">
        <f>IFERROR(__xludf.DUMMYFUNCTION("""COMPUTED_VALUE"""),"金23")</f>
        <v>金23</v>
      </c>
      <c r="F3015" s="2" t="s">
        <v>9120</v>
      </c>
      <c r="G3015" s="2" t="s">
        <v>9121</v>
      </c>
      <c r="H3015" s="1">
        <v>3.0</v>
      </c>
      <c r="J3015" s="1" t="s">
        <v>1435</v>
      </c>
      <c r="K3015" s="2" t="s">
        <v>9126</v>
      </c>
      <c r="L3015" s="11" t="s">
        <v>9127</v>
      </c>
      <c r="M3015" s="2" t="str">
        <f>IFERROR(__xludf.DUMMYFUNCTION("split(split(K3015,""大野智　"",false),""公式LINE"",false)"),"健太(大野智)は専務の鶴の一声で、氷室王子(戸次重幸)との歌のおにいさん交代を宣告され、正式に「歌のおにいさん」となる。子供達から熱い視線を送られる日々だが、本心は自分を捨てたバンドに未練があった。笑顔を失っていく健太を真鍋(木村佳乃)は一喝するが・・。")</f>
        <v>健太(大野智)は専務の鶴の一声で、氷室王子(戸次重幸)との歌のおにいさん交代を宣告され、正式に「歌のおにいさん」となる。子供達から熱い視線を送られる日々だが、本心は自分を捨てたバンドに未練があった。笑顔を失っていく健太を真鍋(木村佳乃)は一喝するが・・。</v>
      </c>
      <c r="N3015" s="2"/>
      <c r="O3015" s="2"/>
      <c r="P3015" s="1"/>
      <c r="Q3015" s="1"/>
      <c r="R3015" s="1"/>
      <c r="S3015" s="1"/>
      <c r="T3015" s="1"/>
      <c r="U3015" s="1"/>
      <c r="V3015" s="1"/>
      <c r="W3015" s="1"/>
      <c r="X3015" s="1"/>
      <c r="Y3015" s="1"/>
      <c r="Z3015" s="1"/>
      <c r="AA3015" s="1"/>
      <c r="AB3015" s="1"/>
      <c r="AC3015" s="1"/>
      <c r="AD3015" s="1"/>
      <c r="AE3015" s="1"/>
      <c r="AF3015" s="1"/>
      <c r="AG3015" s="1"/>
      <c r="AH3015" s="1"/>
      <c r="AI3015" s="1"/>
      <c r="AJ3015" s="1"/>
      <c r="AK3015" s="1"/>
      <c r="AL3015" s="1"/>
      <c r="AM3015" s="1"/>
      <c r="AN3015" s="1"/>
      <c r="AO3015" s="1"/>
      <c r="AP3015" s="1"/>
      <c r="AQ3015" s="1"/>
      <c r="AR3015" s="1"/>
      <c r="AS3015" s="1"/>
      <c r="AT3015" s="1"/>
      <c r="AU3015" s="1"/>
      <c r="AV3015" s="1"/>
      <c r="AW3015" s="1"/>
      <c r="AX3015" s="1"/>
      <c r="AY3015" s="1"/>
      <c r="AZ3015" s="1"/>
      <c r="BA3015" s="1"/>
      <c r="BB3015" s="1"/>
    </row>
    <row r="3016" ht="204.75" customHeight="1">
      <c r="A3016" s="1">
        <v>5478.0</v>
      </c>
      <c r="B3016" s="2" t="s">
        <v>9119</v>
      </c>
      <c r="C3016" s="2">
        <f>IFERROR(__xludf.DUMMYFUNCTION("split(B3016,""_"")"),901.0)</f>
        <v>901</v>
      </c>
      <c r="D3016" s="2" t="str">
        <f>IFERROR(__xludf.DUMMYFUNCTION("""COMPUTED_VALUE"""),"EX")</f>
        <v>EX</v>
      </c>
      <c r="E3016" s="2" t="str">
        <f>IFERROR(__xludf.DUMMYFUNCTION("""COMPUTED_VALUE"""),"金23")</f>
        <v>金23</v>
      </c>
      <c r="F3016" s="2" t="s">
        <v>9120</v>
      </c>
      <c r="G3016" s="2" t="s">
        <v>9121</v>
      </c>
      <c r="H3016" s="1">
        <v>4.0</v>
      </c>
      <c r="J3016" s="1" t="s">
        <v>1435</v>
      </c>
      <c r="K3016" s="2" t="s">
        <v>9128</v>
      </c>
      <c r="L3016" s="11" t="s">
        <v>9129</v>
      </c>
      <c r="M3016" s="2" t="str">
        <f>IFERROR(__xludf.DUMMYFUNCTION("split(split(K3016,""大野智　"",false),""公式LINE"",false)"),"歌のおにいさんとしてやっていく決心をした健太(大野智)だが、その矢先真鍋(木村佳乃)から「歌のおにいさんたるもの、身も心も清くなくてはならない」と諭され、「歌のおにいさん7カ条」を元にした講習を受けさせられることになる。さらに「みなうた」にみちる(高良光莉)をはじめとした子供ユニットが復活し・・。　")</f>
        <v>歌のおにいさんとしてやっていく決心をした健太(大野智)だが、その矢先真鍋(木村佳乃)から「歌のおにいさんたるもの、身も心も清くなくてはならない」と諭され、「歌のおにいさん7カ条」を元にした講習を受けさせられることになる。さらに「みなうた」にみちる(高良光莉)をはじめとした子供ユニットが復活し・・。　</v>
      </c>
      <c r="N3016" s="2"/>
      <c r="O3016" s="2"/>
      <c r="P3016" s="1"/>
      <c r="Q3016" s="1"/>
      <c r="R3016" s="1"/>
      <c r="S3016" s="1"/>
      <c r="T3016" s="1"/>
      <c r="U3016" s="1"/>
      <c r="V3016" s="1"/>
      <c r="W3016" s="1"/>
      <c r="X3016" s="1"/>
      <c r="Y3016" s="1"/>
      <c r="Z3016" s="1"/>
      <c r="AA3016" s="1"/>
      <c r="AB3016" s="1"/>
      <c r="AC3016" s="1"/>
      <c r="AD3016" s="1"/>
      <c r="AE3016" s="1"/>
      <c r="AF3016" s="1"/>
      <c r="AG3016" s="1"/>
      <c r="AH3016" s="1"/>
      <c r="AI3016" s="1"/>
      <c r="AJ3016" s="1"/>
      <c r="AK3016" s="1"/>
      <c r="AL3016" s="1"/>
      <c r="AM3016" s="1"/>
      <c r="AN3016" s="1"/>
      <c r="AO3016" s="1"/>
      <c r="AP3016" s="1"/>
      <c r="AQ3016" s="1"/>
      <c r="AR3016" s="1"/>
      <c r="AS3016" s="1"/>
      <c r="AT3016" s="1"/>
      <c r="AU3016" s="1"/>
      <c r="AV3016" s="1"/>
      <c r="AW3016" s="1"/>
      <c r="AX3016" s="1"/>
      <c r="AY3016" s="1"/>
      <c r="AZ3016" s="1"/>
      <c r="BA3016" s="1"/>
      <c r="BB3016" s="1"/>
    </row>
    <row r="3017" ht="204.75" customHeight="1">
      <c r="A3017" s="1">
        <v>5479.0</v>
      </c>
      <c r="B3017" s="2" t="s">
        <v>9119</v>
      </c>
      <c r="C3017" s="2">
        <f>IFERROR(__xludf.DUMMYFUNCTION("split(B3017,""_"")"),901.0)</f>
        <v>901</v>
      </c>
      <c r="D3017" s="2" t="str">
        <f>IFERROR(__xludf.DUMMYFUNCTION("""COMPUTED_VALUE"""),"EX")</f>
        <v>EX</v>
      </c>
      <c r="E3017" s="2" t="str">
        <f>IFERROR(__xludf.DUMMYFUNCTION("""COMPUTED_VALUE"""),"金23")</f>
        <v>金23</v>
      </c>
      <c r="F3017" s="2" t="s">
        <v>9120</v>
      </c>
      <c r="G3017" s="2" t="s">
        <v>9121</v>
      </c>
      <c r="H3017" s="1">
        <v>5.0</v>
      </c>
      <c r="J3017" s="1" t="s">
        <v>1435</v>
      </c>
      <c r="K3017" s="2" t="s">
        <v>9130</v>
      </c>
      <c r="L3017" s="11" t="s">
        <v>9131</v>
      </c>
      <c r="M3017" s="2" t="str">
        <f>IFERROR(__xludf.DUMMYFUNCTION("split(split(K3017,""大野智　"",false),""公式LINE"",false)"),"さくら(須藤理彩)が突然お見合いをすることになった。健太(大野智)はお見合いの様子を探りに当日ホテルのラウンジに乗り込む。そんな健太の前に突然うらら(片瀬那奈)が現れる!うららは健太を自分の席に連れて行き、自分の恋人だ、と相手に紹介し・・・!!　")</f>
        <v>さくら(須藤理彩)が突然お見合いをすることになった。健太(大野智)はお見合いの様子を探りに当日ホテルのラウンジに乗り込む。そんな健太の前に突然うらら(片瀬那奈)が現れる!うららは健太を自分の席に連れて行き、自分の恋人だ、と相手に紹介し・・・!!　</v>
      </c>
      <c r="N3017" s="2"/>
      <c r="O3017" s="2"/>
      <c r="P3017" s="1"/>
      <c r="Q3017" s="1"/>
      <c r="R3017" s="1"/>
      <c r="S3017" s="1"/>
      <c r="T3017" s="1"/>
      <c r="U3017" s="1"/>
      <c r="V3017" s="1"/>
      <c r="W3017" s="1"/>
      <c r="X3017" s="1"/>
      <c r="Y3017" s="1"/>
      <c r="Z3017" s="1"/>
      <c r="AA3017" s="1"/>
      <c r="AB3017" s="1"/>
      <c r="AC3017" s="1"/>
      <c r="AD3017" s="1"/>
      <c r="AE3017" s="1"/>
      <c r="AF3017" s="1"/>
      <c r="AG3017" s="1"/>
      <c r="AH3017" s="1"/>
      <c r="AI3017" s="1"/>
      <c r="AJ3017" s="1"/>
      <c r="AK3017" s="1"/>
      <c r="AL3017" s="1"/>
      <c r="AM3017" s="1"/>
      <c r="AN3017" s="1"/>
      <c r="AO3017" s="1"/>
      <c r="AP3017" s="1"/>
      <c r="AQ3017" s="1"/>
      <c r="AR3017" s="1"/>
      <c r="AS3017" s="1"/>
      <c r="AT3017" s="1"/>
      <c r="AU3017" s="1"/>
      <c r="AV3017" s="1"/>
      <c r="AW3017" s="1"/>
      <c r="AX3017" s="1"/>
      <c r="AY3017" s="1"/>
      <c r="AZ3017" s="1"/>
      <c r="BA3017" s="1"/>
      <c r="BB3017" s="1"/>
    </row>
    <row r="3018" ht="204.75" customHeight="1">
      <c r="A3018" s="1">
        <v>5480.0</v>
      </c>
      <c r="B3018" s="2" t="s">
        <v>9119</v>
      </c>
      <c r="C3018" s="2">
        <f>IFERROR(__xludf.DUMMYFUNCTION("split(B3018,""_"")"),901.0)</f>
        <v>901</v>
      </c>
      <c r="D3018" s="2" t="str">
        <f>IFERROR(__xludf.DUMMYFUNCTION("""COMPUTED_VALUE"""),"EX")</f>
        <v>EX</v>
      </c>
      <c r="E3018" s="2" t="str">
        <f>IFERROR(__xludf.DUMMYFUNCTION("""COMPUTED_VALUE"""),"金23")</f>
        <v>金23</v>
      </c>
      <c r="F3018" s="2" t="s">
        <v>9120</v>
      </c>
      <c r="G3018" s="2" t="s">
        <v>9121</v>
      </c>
      <c r="H3018" s="1">
        <v>6.0</v>
      </c>
      <c r="J3018" s="1" t="s">
        <v>1435</v>
      </c>
      <c r="K3018" s="2" t="s">
        <v>9132</v>
      </c>
      <c r="L3018" s="11" t="s">
        <v>9133</v>
      </c>
      <c r="M3018" s="2" t="str">
        <f>IFERROR(__xludf.DUMMYFUNCTION("split(split(K3018,""大野智　"",false),""公式LINE"",false)"),"守(丸山隆平)は、なんとかこの状況を打開しようと、ソロを歌わせてほしいと申し出る。しかしフタをあけてみると守のパートで視聴率のグラフはガクンと下がっていて…。　")</f>
        <v>守(丸山隆平)は、なんとかこの状況を打開しようと、ソロを歌わせてほしいと申し出る。しかしフタをあけてみると守のパートで視聴率のグラフはガクンと下がっていて…。　</v>
      </c>
      <c r="N3018" s="2"/>
      <c r="O3018" s="2"/>
      <c r="P3018" s="1"/>
      <c r="Q3018" s="1"/>
      <c r="R3018" s="1"/>
      <c r="S3018" s="1"/>
      <c r="T3018" s="1"/>
      <c r="U3018" s="1"/>
      <c r="V3018" s="1"/>
      <c r="W3018" s="1"/>
      <c r="X3018" s="1"/>
      <c r="Y3018" s="1"/>
      <c r="Z3018" s="1"/>
      <c r="AA3018" s="1"/>
      <c r="AB3018" s="1"/>
      <c r="AC3018" s="1"/>
      <c r="AD3018" s="1"/>
      <c r="AE3018" s="1"/>
      <c r="AF3018" s="1"/>
      <c r="AG3018" s="1"/>
      <c r="AH3018" s="1"/>
      <c r="AI3018" s="1"/>
      <c r="AJ3018" s="1"/>
      <c r="AK3018" s="1"/>
      <c r="AL3018" s="1"/>
      <c r="AM3018" s="1"/>
      <c r="AN3018" s="1"/>
      <c r="AO3018" s="1"/>
      <c r="AP3018" s="1"/>
      <c r="AQ3018" s="1"/>
      <c r="AR3018" s="1"/>
      <c r="AS3018" s="1"/>
      <c r="AT3018" s="1"/>
      <c r="AU3018" s="1"/>
      <c r="AV3018" s="1"/>
      <c r="AW3018" s="1"/>
      <c r="AX3018" s="1"/>
      <c r="AY3018" s="1"/>
      <c r="AZ3018" s="1"/>
      <c r="BA3018" s="1"/>
      <c r="BB3018" s="1"/>
    </row>
    <row r="3019" ht="204.75" customHeight="1">
      <c r="A3019" s="1">
        <v>5481.0</v>
      </c>
      <c r="B3019" s="2" t="s">
        <v>9119</v>
      </c>
      <c r="C3019" s="2">
        <f>IFERROR(__xludf.DUMMYFUNCTION("split(B3019,""_"")"),901.0)</f>
        <v>901</v>
      </c>
      <c r="D3019" s="2" t="str">
        <f>IFERROR(__xludf.DUMMYFUNCTION("""COMPUTED_VALUE"""),"EX")</f>
        <v>EX</v>
      </c>
      <c r="E3019" s="2" t="str">
        <f>IFERROR(__xludf.DUMMYFUNCTION("""COMPUTED_VALUE"""),"金23")</f>
        <v>金23</v>
      </c>
      <c r="F3019" s="2" t="s">
        <v>9120</v>
      </c>
      <c r="G3019" s="2" t="s">
        <v>9121</v>
      </c>
      <c r="H3019" s="1">
        <v>7.0</v>
      </c>
      <c r="J3019" s="1" t="s">
        <v>1435</v>
      </c>
      <c r="K3019" s="2" t="s">
        <v>9134</v>
      </c>
      <c r="L3019" s="11" t="s">
        <v>9135</v>
      </c>
      <c r="M3019" s="2" t="str">
        <f>IFERROR(__xludf.DUMMYFUNCTION("split(split(K3019,""大野智　"",false),""公式LINE"",false)"),"真鍋(木村佳乃)が、ほかの番組プロデューサーに住吉(前田健)や洋子(永池南津子)のことを話している現場をうらら(片瀬那奈)が目撃!危険分子を追い出そうとしていると勘違いをしたうららや守(丸山隆平)らは、真鍋に嫌われないように必死にゴマすりを開始する。　")</f>
        <v>真鍋(木村佳乃)が、ほかの番組プロデューサーに住吉(前田健)や洋子(永池南津子)のことを話している現場をうらら(片瀬那奈)が目撃!危険分子を追い出そうとしていると勘違いをしたうららや守(丸山隆平)らは、真鍋に嫌われないように必死にゴマすりを開始する。　</v>
      </c>
      <c r="N3019" s="2"/>
      <c r="O3019" s="2"/>
      <c r="P3019" s="1"/>
      <c r="Q3019" s="1"/>
      <c r="R3019" s="1"/>
      <c r="S3019" s="1"/>
      <c r="T3019" s="1"/>
      <c r="U3019" s="1"/>
      <c r="V3019" s="1"/>
      <c r="W3019" s="1"/>
      <c r="X3019" s="1"/>
      <c r="Y3019" s="1"/>
      <c r="Z3019" s="1"/>
      <c r="AA3019" s="1"/>
      <c r="AB3019" s="1"/>
      <c r="AC3019" s="1"/>
      <c r="AD3019" s="1"/>
      <c r="AE3019" s="1"/>
      <c r="AF3019" s="1"/>
      <c r="AG3019" s="1"/>
      <c r="AH3019" s="1"/>
      <c r="AI3019" s="1"/>
      <c r="AJ3019" s="1"/>
      <c r="AK3019" s="1"/>
      <c r="AL3019" s="1"/>
      <c r="AM3019" s="1"/>
      <c r="AN3019" s="1"/>
      <c r="AO3019" s="1"/>
      <c r="AP3019" s="1"/>
      <c r="AQ3019" s="1"/>
      <c r="AR3019" s="1"/>
      <c r="AS3019" s="1"/>
      <c r="AT3019" s="1"/>
      <c r="AU3019" s="1"/>
      <c r="AV3019" s="1"/>
      <c r="AW3019" s="1"/>
      <c r="AX3019" s="1"/>
      <c r="AY3019" s="1"/>
      <c r="AZ3019" s="1"/>
      <c r="BA3019" s="1"/>
      <c r="BB3019" s="1"/>
    </row>
    <row r="3020" ht="204.75" customHeight="1">
      <c r="A3020" s="1">
        <v>5482.0</v>
      </c>
      <c r="B3020" s="2" t="s">
        <v>9119</v>
      </c>
      <c r="C3020" s="2">
        <f>IFERROR(__xludf.DUMMYFUNCTION("split(B3020,""_"")"),901.0)</f>
        <v>901</v>
      </c>
      <c r="D3020" s="2" t="str">
        <f>IFERROR(__xludf.DUMMYFUNCTION("""COMPUTED_VALUE"""),"EX")</f>
        <v>EX</v>
      </c>
      <c r="E3020" s="2" t="str">
        <f>IFERROR(__xludf.DUMMYFUNCTION("""COMPUTED_VALUE"""),"金23")</f>
        <v>金23</v>
      </c>
      <c r="F3020" s="2" t="s">
        <v>9120</v>
      </c>
      <c r="G3020" s="2" t="s">
        <v>9121</v>
      </c>
      <c r="H3020" s="1">
        <v>8.0</v>
      </c>
      <c r="J3020" s="1" t="s">
        <v>1435</v>
      </c>
      <c r="K3020" s="2" t="s">
        <v>9136</v>
      </c>
      <c r="L3020" s="11" t="s">
        <v>9137</v>
      </c>
      <c r="M3020" s="2" t="str">
        <f>IFERROR(__xludf.DUMMYFUNCTION("split(split(K3020,""大野智　"",false),""公式LINE"",false)"),"健太(大野智)は「みなうた」の番組終了を受け、就職活動を始めるがなかなかうまくいかない。そんな中、健太は明音(千紗)から“ジゼル”に戻ってきて欲しいと頼まれる。健太とよりを戻し、はじめからやりなおしたいのだと…。さらに健太の父・光雄(小野武彦)が入院してしまう。崖っぷちにたたされた健太は…?　")</f>
        <v>健太(大野智)は「みなうた」の番組終了を受け、就職活動を始めるがなかなかうまくいかない。そんな中、健太は明音(千紗)から“ジゼル”に戻ってきて欲しいと頼まれる。健太とよりを戻し、はじめからやりなおしたいのだと…。さらに健太の父・光雄(小野武彦)が入院してしまう。崖っぷちにたたされた健太は…?　</v>
      </c>
      <c r="N3020" s="2"/>
      <c r="O3020" s="2"/>
      <c r="P3020" s="1"/>
      <c r="Q3020" s="1"/>
      <c r="R3020" s="1"/>
      <c r="S3020" s="1"/>
      <c r="T3020" s="1"/>
      <c r="U3020" s="1"/>
      <c r="V3020" s="1"/>
      <c r="W3020" s="1"/>
      <c r="X3020" s="1"/>
      <c r="Y3020" s="1"/>
      <c r="Z3020" s="1"/>
      <c r="AA3020" s="1"/>
      <c r="AB3020" s="1"/>
      <c r="AC3020" s="1"/>
      <c r="AD3020" s="1"/>
      <c r="AE3020" s="1"/>
      <c r="AF3020" s="1"/>
      <c r="AG3020" s="1"/>
      <c r="AH3020" s="1"/>
      <c r="AI3020" s="1"/>
      <c r="AJ3020" s="1"/>
      <c r="AK3020" s="1"/>
      <c r="AL3020" s="1"/>
      <c r="AM3020" s="1"/>
      <c r="AN3020" s="1"/>
      <c r="AO3020" s="1"/>
      <c r="AP3020" s="1"/>
      <c r="AQ3020" s="1"/>
      <c r="AR3020" s="1"/>
      <c r="AS3020" s="1"/>
      <c r="AT3020" s="1"/>
      <c r="AU3020" s="1"/>
      <c r="AV3020" s="1"/>
      <c r="AW3020" s="1"/>
      <c r="AX3020" s="1"/>
      <c r="AY3020" s="1"/>
      <c r="AZ3020" s="1"/>
      <c r="BA3020" s="1"/>
      <c r="BB3020" s="1"/>
    </row>
    <row r="3021" ht="204.75" customHeight="1">
      <c r="A3021" s="1">
        <v>5558.0</v>
      </c>
      <c r="B3021" s="2" t="s">
        <v>9138</v>
      </c>
      <c r="C3021" s="2">
        <f>IFERROR(__xludf.DUMMYFUNCTION("split(B3021,""_"")"),810.0)</f>
        <v>810</v>
      </c>
      <c r="D3021" s="2" t="str">
        <f>IFERROR(__xludf.DUMMYFUNCTION("""COMPUTED_VALUE"""),"EX")</f>
        <v>EX</v>
      </c>
      <c r="E3021" s="2" t="str">
        <f>IFERROR(__xludf.DUMMYFUNCTION("""COMPUTED_VALUE"""),"木21")</f>
        <v>木21</v>
      </c>
      <c r="F3021" s="2" t="s">
        <v>9139</v>
      </c>
      <c r="G3021" s="2" t="s">
        <v>9140</v>
      </c>
      <c r="H3021" s="1">
        <v>1.0</v>
      </c>
      <c r="J3021" s="1" t="s">
        <v>11</v>
      </c>
      <c r="K3021" s="4" t="s">
        <v>9141</v>
      </c>
      <c r="L3021" s="11" t="s">
        <v>9142</v>
      </c>
      <c r="M3021" s="2" t="str">
        <f>IFERROR(__xludf.DUMMYFUNCTION("split(split(K3021,""小西真奈美、"",false),""公式LINE"",false)"),"大病院に勤める宇宙(小西真奈美)は、子どもたちの命を救うためには、なりふり構わない熱心な小児科医。そしてついには24時間365日診療の「青空こどもクリニック」を開業。だが大胆すぎる宇宙の行動を恋人の狩矢(塚本高史)、元上司の柾(陣内孝則)は心配する。")</f>
        <v>大病院に勤める宇宙(小西真奈美)は、子どもたちの命を救うためには、なりふり構わない熱心な小児科医。そしてついには24時間365日診療の「青空こどもクリニック」を開業。だが大胆すぎる宇宙の行動を恋人の狩矢(塚本高史)、元上司の柾(陣内孝則)は心配する。</v>
      </c>
      <c r="N3021" s="2"/>
      <c r="O3021" s="2"/>
      <c r="P3021" s="1"/>
      <c r="Q3021" s="1"/>
      <c r="R3021" s="1"/>
      <c r="S3021" s="1"/>
      <c r="T3021" s="1"/>
      <c r="U3021" s="1"/>
      <c r="V3021" s="1"/>
      <c r="W3021" s="1"/>
      <c r="X3021" s="1"/>
      <c r="Y3021" s="1"/>
      <c r="Z3021" s="1"/>
      <c r="AA3021" s="1"/>
      <c r="AB3021" s="1"/>
      <c r="AC3021" s="1"/>
      <c r="AD3021" s="1"/>
      <c r="AE3021" s="1"/>
      <c r="AF3021" s="1"/>
      <c r="AG3021" s="1"/>
      <c r="AH3021" s="1"/>
      <c r="AI3021" s="1"/>
      <c r="AJ3021" s="1"/>
      <c r="AK3021" s="1"/>
      <c r="AL3021" s="1"/>
      <c r="AM3021" s="1"/>
      <c r="AN3021" s="1"/>
      <c r="AO3021" s="1"/>
      <c r="AP3021" s="1"/>
      <c r="AQ3021" s="1"/>
      <c r="AR3021" s="1"/>
      <c r="AS3021" s="1"/>
      <c r="AT3021" s="1"/>
      <c r="AU3021" s="1"/>
      <c r="AV3021" s="1"/>
      <c r="AW3021" s="1"/>
      <c r="AX3021" s="1"/>
      <c r="AY3021" s="1"/>
      <c r="AZ3021" s="1"/>
      <c r="BA3021" s="1"/>
      <c r="BB3021" s="1"/>
    </row>
    <row r="3022" ht="204.75" customHeight="1">
      <c r="A3022" s="1">
        <v>5559.0</v>
      </c>
      <c r="B3022" s="2" t="s">
        <v>9138</v>
      </c>
      <c r="C3022" s="2">
        <f>IFERROR(__xludf.DUMMYFUNCTION("split(B3022,""_"")"),810.0)</f>
        <v>810</v>
      </c>
      <c r="D3022" s="2" t="str">
        <f>IFERROR(__xludf.DUMMYFUNCTION("""COMPUTED_VALUE"""),"EX")</f>
        <v>EX</v>
      </c>
      <c r="E3022" s="2" t="str">
        <f>IFERROR(__xludf.DUMMYFUNCTION("""COMPUTED_VALUE"""),"木21")</f>
        <v>木21</v>
      </c>
      <c r="F3022" s="2" t="s">
        <v>9139</v>
      </c>
      <c r="G3022" s="2" t="s">
        <v>9140</v>
      </c>
      <c r="H3022" s="1">
        <v>2.0</v>
      </c>
      <c r="J3022" s="1" t="s">
        <v>11</v>
      </c>
      <c r="K3022" s="2" t="s">
        <v>9143</v>
      </c>
      <c r="L3022" s="11" t="s">
        <v>9144</v>
      </c>
      <c r="M3022" s="2" t="str">
        <f>IFERROR(__xludf.DUMMYFUNCTION("split(split(K3022,""小西真奈美、"",false),""公式LINE"",false)"),"彼女は離婚後に拓実を引き取った父親の家まで押し掛けるが、拓実の姿どころか父親の姿も見当たらない。そんな中、川で溺れて瀕死の状態にある少年が「青空こどもクリニック」に運ばれてきてるのだが!?")</f>
        <v>彼女は離婚後に拓実を引き取った父親の家まで押し掛けるが、拓実の姿どころか父親の姿も見当たらない。そんな中、川で溺れて瀕死の状態にある少年が「青空こどもクリニック」に運ばれてきてるのだが!?</v>
      </c>
      <c r="N3022" s="2"/>
      <c r="O3022" s="2"/>
      <c r="P3022" s="1"/>
      <c r="Q3022" s="1"/>
      <c r="R3022" s="1"/>
      <c r="S3022" s="1"/>
      <c r="T3022" s="1"/>
      <c r="U3022" s="1"/>
      <c r="V3022" s="1"/>
      <c r="W3022" s="1"/>
      <c r="X3022" s="1"/>
      <c r="Y3022" s="1"/>
      <c r="Z3022" s="1"/>
      <c r="AA3022" s="1"/>
      <c r="AB3022" s="1"/>
      <c r="AC3022" s="1"/>
      <c r="AD3022" s="1"/>
      <c r="AE3022" s="1"/>
      <c r="AF3022" s="1"/>
      <c r="AG3022" s="1"/>
      <c r="AH3022" s="1"/>
      <c r="AI3022" s="1"/>
      <c r="AJ3022" s="1"/>
      <c r="AK3022" s="1"/>
      <c r="AL3022" s="1"/>
      <c r="AM3022" s="1"/>
      <c r="AN3022" s="1"/>
      <c r="AO3022" s="1"/>
      <c r="AP3022" s="1"/>
      <c r="AQ3022" s="1"/>
      <c r="AR3022" s="1"/>
      <c r="AS3022" s="1"/>
      <c r="AT3022" s="1"/>
      <c r="AU3022" s="1"/>
      <c r="AV3022" s="1"/>
      <c r="AW3022" s="1"/>
      <c r="AX3022" s="1"/>
      <c r="AY3022" s="1"/>
      <c r="AZ3022" s="1"/>
      <c r="BA3022" s="1"/>
      <c r="BB3022" s="1"/>
    </row>
    <row r="3023" ht="204.75" customHeight="1">
      <c r="A3023" s="1">
        <v>5560.0</v>
      </c>
      <c r="B3023" s="2" t="s">
        <v>9138</v>
      </c>
      <c r="C3023" s="2">
        <f>IFERROR(__xludf.DUMMYFUNCTION("split(B3023,""_"")"),810.0)</f>
        <v>810</v>
      </c>
      <c r="D3023" s="2" t="str">
        <f>IFERROR(__xludf.DUMMYFUNCTION("""COMPUTED_VALUE"""),"EX")</f>
        <v>EX</v>
      </c>
      <c r="E3023" s="2" t="str">
        <f>IFERROR(__xludf.DUMMYFUNCTION("""COMPUTED_VALUE"""),"木21")</f>
        <v>木21</v>
      </c>
      <c r="F3023" s="2" t="s">
        <v>9139</v>
      </c>
      <c r="G3023" s="2" t="s">
        <v>9140</v>
      </c>
      <c r="H3023" s="1">
        <v>3.0</v>
      </c>
      <c r="J3023" s="1" t="s">
        <v>11</v>
      </c>
      <c r="K3023" s="2" t="s">
        <v>9145</v>
      </c>
      <c r="L3023" s="11" t="s">
        <v>9146</v>
      </c>
      <c r="M3023" s="2" t="str">
        <f>IFERROR(__xludf.DUMMYFUNCTION("split(split(K3023,""小西真奈美、"",false),""公式LINE"",false)"),"青空こどもクリニックに喘息患者の上原レイナ(松浦愛紗)がひとりで来院し、突然発作を起こした!宇宙は彼女の両親と電話で連絡を取るが、レイナの母親・純子(鳥居かほり)は「吸入が終わったら自分で帰るように言ってください」と信じられない言葉を発し…。")</f>
        <v>青空こどもクリニックに喘息患者の上原レイナ(松浦愛紗)がひとりで来院し、突然発作を起こした!宇宙は彼女の両親と電話で連絡を取るが、レイナの母親・純子(鳥居かほり)は「吸入が終わったら自分で帰るように言ってください」と信じられない言葉を発し…。</v>
      </c>
      <c r="N3023" s="2"/>
      <c r="O3023" s="2"/>
      <c r="P3023" s="1"/>
      <c r="Q3023" s="1"/>
      <c r="R3023" s="1"/>
      <c r="S3023" s="1"/>
      <c r="T3023" s="1"/>
      <c r="U3023" s="1"/>
      <c r="V3023" s="1"/>
      <c r="W3023" s="1"/>
      <c r="X3023" s="1"/>
      <c r="Y3023" s="1"/>
      <c r="Z3023" s="1"/>
      <c r="AA3023" s="1"/>
      <c r="AB3023" s="1"/>
      <c r="AC3023" s="1"/>
      <c r="AD3023" s="1"/>
      <c r="AE3023" s="1"/>
      <c r="AF3023" s="1"/>
      <c r="AG3023" s="1"/>
      <c r="AH3023" s="1"/>
      <c r="AI3023" s="1"/>
      <c r="AJ3023" s="1"/>
      <c r="AK3023" s="1"/>
      <c r="AL3023" s="1"/>
      <c r="AM3023" s="1"/>
      <c r="AN3023" s="1"/>
      <c r="AO3023" s="1"/>
      <c r="AP3023" s="1"/>
      <c r="AQ3023" s="1"/>
      <c r="AR3023" s="1"/>
      <c r="AS3023" s="1"/>
      <c r="AT3023" s="1"/>
      <c r="AU3023" s="1"/>
      <c r="AV3023" s="1"/>
      <c r="AW3023" s="1"/>
      <c r="AX3023" s="1"/>
      <c r="AY3023" s="1"/>
      <c r="AZ3023" s="1"/>
      <c r="BA3023" s="1"/>
      <c r="BB3023" s="1"/>
    </row>
    <row r="3024" ht="204.75" customHeight="1">
      <c r="A3024" s="1">
        <v>5561.0</v>
      </c>
      <c r="B3024" s="2" t="s">
        <v>9138</v>
      </c>
      <c r="C3024" s="2">
        <f>IFERROR(__xludf.DUMMYFUNCTION("split(B3024,""_"")"),810.0)</f>
        <v>810</v>
      </c>
      <c r="D3024" s="2" t="str">
        <f>IFERROR(__xludf.DUMMYFUNCTION("""COMPUTED_VALUE"""),"EX")</f>
        <v>EX</v>
      </c>
      <c r="E3024" s="2" t="str">
        <f>IFERROR(__xludf.DUMMYFUNCTION("""COMPUTED_VALUE"""),"木21")</f>
        <v>木21</v>
      </c>
      <c r="F3024" s="2" t="s">
        <v>9139</v>
      </c>
      <c r="G3024" s="2" t="s">
        <v>9140</v>
      </c>
      <c r="H3024" s="1">
        <v>4.0</v>
      </c>
      <c r="J3024" s="1" t="s">
        <v>11</v>
      </c>
      <c r="K3024" s="2" t="s">
        <v>9147</v>
      </c>
      <c r="L3024" s="11" t="s">
        <v>9148</v>
      </c>
      <c r="M3024" s="2" t="str">
        <f>IFERROR(__xludf.DUMMYFUNCTION("split(split(K3024,""小西真奈美、"",false),""公式LINE"",false)"),"疲弊したスタッフの穴埋めをするのは主に院長の宇宙と相馬(正名僕蔵)だった。ある日、突然、相馬が辞めると言い出した。その理由は…")</f>
        <v>疲弊したスタッフの穴埋めをするのは主に院長の宇宙と相馬(正名僕蔵)だった。ある日、突然、相馬が辞めると言い出した。その理由は…</v>
      </c>
      <c r="N3024" s="2"/>
      <c r="O3024" s="2"/>
      <c r="P3024" s="1"/>
      <c r="Q3024" s="1"/>
      <c r="R3024" s="1"/>
      <c r="S3024" s="1"/>
      <c r="T3024" s="1"/>
      <c r="U3024" s="1"/>
      <c r="V3024" s="1"/>
      <c r="W3024" s="1"/>
      <c r="X3024" s="1"/>
      <c r="Y3024" s="1"/>
      <c r="Z3024" s="1"/>
      <c r="AA3024" s="1"/>
      <c r="AB3024" s="1"/>
      <c r="AC3024" s="1"/>
      <c r="AD3024" s="1"/>
      <c r="AE3024" s="1"/>
      <c r="AF3024" s="1"/>
      <c r="AG3024" s="1"/>
      <c r="AH3024" s="1"/>
      <c r="AI3024" s="1"/>
      <c r="AJ3024" s="1"/>
      <c r="AK3024" s="1"/>
      <c r="AL3024" s="1"/>
      <c r="AM3024" s="1"/>
      <c r="AN3024" s="1"/>
      <c r="AO3024" s="1"/>
      <c r="AP3024" s="1"/>
      <c r="AQ3024" s="1"/>
      <c r="AR3024" s="1"/>
      <c r="AS3024" s="1"/>
      <c r="AT3024" s="1"/>
      <c r="AU3024" s="1"/>
      <c r="AV3024" s="1"/>
      <c r="AW3024" s="1"/>
      <c r="AX3024" s="1"/>
      <c r="AY3024" s="1"/>
      <c r="AZ3024" s="1"/>
      <c r="BA3024" s="1"/>
      <c r="BB3024" s="1"/>
    </row>
    <row r="3025" ht="204.75" customHeight="1">
      <c r="A3025" s="1">
        <v>5562.0</v>
      </c>
      <c r="B3025" s="2" t="s">
        <v>9138</v>
      </c>
      <c r="C3025" s="2">
        <f>IFERROR(__xludf.DUMMYFUNCTION("split(B3025,""_"")"),810.0)</f>
        <v>810</v>
      </c>
      <c r="D3025" s="2" t="str">
        <f>IFERROR(__xludf.DUMMYFUNCTION("""COMPUTED_VALUE"""),"EX")</f>
        <v>EX</v>
      </c>
      <c r="E3025" s="2" t="str">
        <f>IFERROR(__xludf.DUMMYFUNCTION("""COMPUTED_VALUE"""),"木21")</f>
        <v>木21</v>
      </c>
      <c r="F3025" s="2" t="s">
        <v>9139</v>
      </c>
      <c r="G3025" s="2" t="s">
        <v>9140</v>
      </c>
      <c r="H3025" s="1">
        <v>5.0</v>
      </c>
      <c r="J3025" s="1" t="s">
        <v>4</v>
      </c>
      <c r="K3025" s="2" t="s">
        <v>9149</v>
      </c>
      <c r="L3025" s="11" t="s">
        <v>9150</v>
      </c>
      <c r="M3025" s="2" t="str">
        <f>IFERROR(__xludf.DUMMYFUNCTION("split(split(K3025,""小西真奈美、"",false),""公式LINE"",false)"),"いつしか宇宙と他の医師たちとの間には少しずつ溝ができ始めていた。そんな中突然辞意を告げる者が現れて…!?")</f>
        <v>いつしか宇宙と他の医師たちとの間には少しずつ溝ができ始めていた。そんな中突然辞意を告げる者が現れて…!?</v>
      </c>
      <c r="N3025" s="2"/>
      <c r="O3025" s="2"/>
      <c r="P3025" s="1"/>
      <c r="Q3025" s="1"/>
      <c r="R3025" s="1"/>
      <c r="S3025" s="1"/>
      <c r="T3025" s="1"/>
      <c r="U3025" s="1"/>
      <c r="V3025" s="1"/>
      <c r="W3025" s="1"/>
      <c r="X3025" s="1"/>
      <c r="Y3025" s="1"/>
      <c r="Z3025" s="1"/>
      <c r="AA3025" s="1"/>
      <c r="AB3025" s="1"/>
      <c r="AC3025" s="1"/>
      <c r="AD3025" s="1"/>
      <c r="AE3025" s="1"/>
      <c r="AF3025" s="1"/>
      <c r="AG3025" s="1"/>
      <c r="AH3025" s="1"/>
      <c r="AI3025" s="1"/>
      <c r="AJ3025" s="1"/>
      <c r="AK3025" s="1"/>
      <c r="AL3025" s="1"/>
      <c r="AM3025" s="1"/>
      <c r="AN3025" s="1"/>
      <c r="AO3025" s="1"/>
      <c r="AP3025" s="1"/>
      <c r="AQ3025" s="1"/>
      <c r="AR3025" s="1"/>
      <c r="AS3025" s="1"/>
      <c r="AT3025" s="1"/>
      <c r="AU3025" s="1"/>
      <c r="AV3025" s="1"/>
      <c r="AW3025" s="1"/>
      <c r="AX3025" s="1"/>
      <c r="AY3025" s="1"/>
      <c r="AZ3025" s="1"/>
      <c r="BA3025" s="1"/>
      <c r="BB3025" s="1"/>
    </row>
    <row r="3026" ht="204.75" customHeight="1">
      <c r="A3026" s="1">
        <v>5563.0</v>
      </c>
      <c r="B3026" s="2" t="s">
        <v>9138</v>
      </c>
      <c r="C3026" s="2">
        <f>IFERROR(__xludf.DUMMYFUNCTION("split(B3026,""_"")"),810.0)</f>
        <v>810</v>
      </c>
      <c r="D3026" s="2" t="str">
        <f>IFERROR(__xludf.DUMMYFUNCTION("""COMPUTED_VALUE"""),"EX")</f>
        <v>EX</v>
      </c>
      <c r="E3026" s="2" t="str">
        <f>IFERROR(__xludf.DUMMYFUNCTION("""COMPUTED_VALUE"""),"木21")</f>
        <v>木21</v>
      </c>
      <c r="F3026" s="2" t="s">
        <v>9139</v>
      </c>
      <c r="G3026" s="2" t="s">
        <v>9140</v>
      </c>
      <c r="H3026" s="1">
        <v>6.0</v>
      </c>
      <c r="J3026" s="1" t="s">
        <v>11</v>
      </c>
      <c r="K3026" s="2" t="s">
        <v>9151</v>
      </c>
      <c r="L3026" s="11" t="s">
        <v>9152</v>
      </c>
      <c r="M3026" s="2" t="str">
        <f>IFERROR(__xludf.DUMMYFUNCTION("split(split(K3026,""小西真奈美、"",false),""公式LINE"",false)"),"その極限状態の中、名波(藤原一裕)が風邪と診断した少女・亜美に脳疾患の疑いが生じる。自らの誤診に責任を感じた名波は「青空こどもクリニック」から姿を消し…。")</f>
        <v>その極限状態の中、名波(藤原一裕)が風邪と診断した少女・亜美に脳疾患の疑いが生じる。自らの誤診に責任を感じた名波は「青空こどもクリニック」から姿を消し…。</v>
      </c>
      <c r="N3026" s="2"/>
      <c r="O3026" s="2"/>
      <c r="P3026" s="1"/>
      <c r="Q3026" s="1"/>
      <c r="R3026" s="1"/>
      <c r="S3026" s="1"/>
      <c r="T3026" s="1"/>
      <c r="U3026" s="1"/>
      <c r="V3026" s="1"/>
      <c r="W3026" s="1"/>
      <c r="X3026" s="1"/>
      <c r="Y3026" s="1"/>
      <c r="Z3026" s="1"/>
      <c r="AA3026" s="1"/>
      <c r="AB3026" s="1"/>
      <c r="AC3026" s="1"/>
      <c r="AD3026" s="1"/>
      <c r="AE3026" s="1"/>
      <c r="AF3026" s="1"/>
      <c r="AG3026" s="1"/>
      <c r="AH3026" s="1"/>
      <c r="AI3026" s="1"/>
      <c r="AJ3026" s="1"/>
      <c r="AK3026" s="1"/>
      <c r="AL3026" s="1"/>
      <c r="AM3026" s="1"/>
      <c r="AN3026" s="1"/>
      <c r="AO3026" s="1"/>
      <c r="AP3026" s="1"/>
      <c r="AQ3026" s="1"/>
      <c r="AR3026" s="1"/>
      <c r="AS3026" s="1"/>
      <c r="AT3026" s="1"/>
      <c r="AU3026" s="1"/>
      <c r="AV3026" s="1"/>
      <c r="AW3026" s="1"/>
      <c r="AX3026" s="1"/>
      <c r="AY3026" s="1"/>
      <c r="AZ3026" s="1"/>
      <c r="BA3026" s="1"/>
      <c r="BB3026" s="1"/>
    </row>
    <row r="3027" ht="204.75" customHeight="1">
      <c r="A3027" s="1">
        <v>5564.0</v>
      </c>
      <c r="B3027" s="2" t="s">
        <v>9138</v>
      </c>
      <c r="C3027" s="2">
        <f>IFERROR(__xludf.DUMMYFUNCTION("split(B3027,""_"")"),810.0)</f>
        <v>810</v>
      </c>
      <c r="D3027" s="2" t="str">
        <f>IFERROR(__xludf.DUMMYFUNCTION("""COMPUTED_VALUE"""),"EX")</f>
        <v>EX</v>
      </c>
      <c r="E3027" s="2" t="str">
        <f>IFERROR(__xludf.DUMMYFUNCTION("""COMPUTED_VALUE"""),"木21")</f>
        <v>木21</v>
      </c>
      <c r="F3027" s="2" t="s">
        <v>9139</v>
      </c>
      <c r="G3027" s="2" t="s">
        <v>9140</v>
      </c>
      <c r="H3027" s="1">
        <v>7.0</v>
      </c>
      <c r="J3027" s="1" t="s">
        <v>11</v>
      </c>
      <c r="K3027" s="2" t="s">
        <v>9153</v>
      </c>
      <c r="L3027" s="11" t="s">
        <v>9154</v>
      </c>
      <c r="M3027" s="2" t="str">
        <f>IFERROR(__xludf.DUMMYFUNCTION("split(split(K3027,""小西真奈美、"",false),""公式LINE"",false)"),"その混乱の中、啓翠会をやめ、クリニックで働くことになった狩矢(塚本高史)から突然プロポーズされた宇宙(小西真奈美)は激しく動揺するが!?")</f>
        <v>その混乱の中、啓翠会をやめ、クリニックで働くことになった狩矢(塚本高史)から突然プロポーズされた宇宙(小西真奈美)は激しく動揺するが!?</v>
      </c>
      <c r="N3027" s="2"/>
      <c r="O3027" s="2"/>
      <c r="P3027" s="1"/>
      <c r="Q3027" s="1"/>
      <c r="R3027" s="1"/>
      <c r="S3027" s="1"/>
      <c r="T3027" s="1"/>
      <c r="U3027" s="1"/>
      <c r="V3027" s="1"/>
      <c r="W3027" s="1"/>
      <c r="X3027" s="1"/>
      <c r="Y3027" s="1"/>
      <c r="Z3027" s="1"/>
      <c r="AA3027" s="1"/>
      <c r="AB3027" s="1"/>
      <c r="AC3027" s="1"/>
      <c r="AD3027" s="1"/>
      <c r="AE3027" s="1"/>
      <c r="AF3027" s="1"/>
      <c r="AG3027" s="1"/>
      <c r="AH3027" s="1"/>
      <c r="AI3027" s="1"/>
      <c r="AJ3027" s="1"/>
      <c r="AK3027" s="1"/>
      <c r="AL3027" s="1"/>
      <c r="AM3027" s="1"/>
      <c r="AN3027" s="1"/>
      <c r="AO3027" s="1"/>
      <c r="AP3027" s="1"/>
      <c r="AQ3027" s="1"/>
      <c r="AR3027" s="1"/>
      <c r="AS3027" s="1"/>
      <c r="AT3027" s="1"/>
      <c r="AU3027" s="1"/>
      <c r="AV3027" s="1"/>
      <c r="AW3027" s="1"/>
      <c r="AX3027" s="1"/>
      <c r="AY3027" s="1"/>
      <c r="AZ3027" s="1"/>
      <c r="BA3027" s="1"/>
      <c r="BB3027" s="1"/>
    </row>
    <row r="3028" ht="204.75" customHeight="1">
      <c r="A3028" s="1">
        <v>5565.0</v>
      </c>
      <c r="B3028" s="2" t="s">
        <v>9138</v>
      </c>
      <c r="C3028" s="2">
        <f>IFERROR(__xludf.DUMMYFUNCTION("split(B3028,""_"")"),810.0)</f>
        <v>810</v>
      </c>
      <c r="D3028" s="2" t="str">
        <f>IFERROR(__xludf.DUMMYFUNCTION("""COMPUTED_VALUE"""),"EX")</f>
        <v>EX</v>
      </c>
      <c r="E3028" s="2" t="str">
        <f>IFERROR(__xludf.DUMMYFUNCTION("""COMPUTED_VALUE"""),"木21")</f>
        <v>木21</v>
      </c>
      <c r="F3028" s="2" t="s">
        <v>9139</v>
      </c>
      <c r="G3028" s="2" t="s">
        <v>9140</v>
      </c>
      <c r="H3028" s="1">
        <v>8.0</v>
      </c>
      <c r="J3028" s="1" t="s">
        <v>11</v>
      </c>
      <c r="K3028" s="2" t="s">
        <v>9155</v>
      </c>
      <c r="L3028" s="11" t="s">
        <v>9156</v>
      </c>
      <c r="M3028" s="2" t="str">
        <f>IFERROR(__xludf.DUMMYFUNCTION("split(split(K3028,""小西真奈美、"",false),""公式LINE"",false)"),"一方で『青空こどもクリニック』に若く派手な母親・純(片瀬那奈)がやってくる。しかし純は治療費がないという理由で子ども用の薬を拒否して帰ってしまい・・・")</f>
        <v>一方で『青空こどもクリニック』に若く派手な母親・純(片瀬那奈)がやってくる。しかし純は治療費がないという理由で子ども用の薬を拒否して帰ってしまい・・・</v>
      </c>
      <c r="N3028" s="2"/>
      <c r="O3028" s="2"/>
      <c r="P3028" s="1"/>
      <c r="Q3028" s="1"/>
      <c r="R3028" s="1"/>
      <c r="S3028" s="1"/>
      <c r="T3028" s="1"/>
      <c r="U3028" s="1"/>
      <c r="V3028" s="1"/>
      <c r="W3028" s="1"/>
      <c r="X3028" s="1"/>
      <c r="Y3028" s="1"/>
      <c r="Z3028" s="1"/>
      <c r="AA3028" s="1"/>
      <c r="AB3028" s="1"/>
      <c r="AC3028" s="1"/>
      <c r="AD3028" s="1"/>
      <c r="AE3028" s="1"/>
      <c r="AF3028" s="1"/>
      <c r="AG3028" s="1"/>
      <c r="AH3028" s="1"/>
      <c r="AI3028" s="1"/>
      <c r="AJ3028" s="1"/>
      <c r="AK3028" s="1"/>
      <c r="AL3028" s="1"/>
      <c r="AM3028" s="1"/>
      <c r="AN3028" s="1"/>
      <c r="AO3028" s="1"/>
      <c r="AP3028" s="1"/>
      <c r="AQ3028" s="1"/>
      <c r="AR3028" s="1"/>
      <c r="AS3028" s="1"/>
      <c r="AT3028" s="1"/>
      <c r="AU3028" s="1"/>
      <c r="AV3028" s="1"/>
      <c r="AW3028" s="1"/>
      <c r="AX3028" s="1"/>
      <c r="AY3028" s="1"/>
      <c r="AZ3028" s="1"/>
      <c r="BA3028" s="1"/>
      <c r="BB3028" s="1"/>
    </row>
    <row r="3029" ht="204.75" customHeight="1">
      <c r="A3029" s="1">
        <v>5566.0</v>
      </c>
      <c r="B3029" s="2" t="s">
        <v>9138</v>
      </c>
      <c r="C3029" s="2">
        <f>IFERROR(__xludf.DUMMYFUNCTION("split(B3029,""_"")"),810.0)</f>
        <v>810</v>
      </c>
      <c r="D3029" s="2" t="str">
        <f>IFERROR(__xludf.DUMMYFUNCTION("""COMPUTED_VALUE"""),"EX")</f>
        <v>EX</v>
      </c>
      <c r="E3029" s="2" t="str">
        <f>IFERROR(__xludf.DUMMYFUNCTION("""COMPUTED_VALUE"""),"木21")</f>
        <v>木21</v>
      </c>
      <c r="F3029" s="2" t="s">
        <v>9139</v>
      </c>
      <c r="G3029" s="2" t="s">
        <v>9140</v>
      </c>
      <c r="H3029" s="1">
        <v>9.0</v>
      </c>
      <c r="J3029" s="1" t="s">
        <v>11</v>
      </c>
      <c r="K3029" s="2" t="s">
        <v>9157</v>
      </c>
      <c r="L3029" s="11" t="s">
        <v>9158</v>
      </c>
      <c r="M3029" s="2" t="str">
        <f>IFERROR(__xludf.DUMMYFUNCTION("split(split(K3029,""小西真奈美、"",false),""公式LINE"",false)"),"一方、「青空こどもクリニック」は深刻な経営難に。宇宙(小西真奈美)に代わって必死に資金のやり繰りをする狩矢(塚本高史)にクリニックのスタッフは戸惑いを隠せず・・・")</f>
        <v>一方、「青空こどもクリニック」は深刻な経営難に。宇宙(小西真奈美)に代わって必死に資金のやり繰りをする狩矢(塚本高史)にクリニックのスタッフは戸惑いを隠せず・・・</v>
      </c>
      <c r="N3029" s="2"/>
      <c r="O3029" s="2"/>
      <c r="P3029" s="1"/>
      <c r="Q3029" s="1"/>
      <c r="R3029" s="1"/>
      <c r="S3029" s="1"/>
      <c r="T3029" s="1"/>
      <c r="U3029" s="1"/>
      <c r="V3029" s="1"/>
      <c r="W3029" s="1"/>
      <c r="X3029" s="1"/>
      <c r="Y3029" s="1"/>
      <c r="Z3029" s="1"/>
      <c r="AA3029" s="1"/>
      <c r="AB3029" s="1"/>
      <c r="AC3029" s="1"/>
      <c r="AD3029" s="1"/>
      <c r="AE3029" s="1"/>
      <c r="AF3029" s="1"/>
      <c r="AG3029" s="1"/>
      <c r="AH3029" s="1"/>
      <c r="AI3029" s="1"/>
      <c r="AJ3029" s="1"/>
      <c r="AK3029" s="1"/>
      <c r="AL3029" s="1"/>
      <c r="AM3029" s="1"/>
      <c r="AN3029" s="1"/>
      <c r="AO3029" s="1"/>
      <c r="AP3029" s="1"/>
      <c r="AQ3029" s="1"/>
      <c r="AR3029" s="1"/>
      <c r="AS3029" s="1"/>
      <c r="AT3029" s="1"/>
      <c r="AU3029" s="1"/>
      <c r="AV3029" s="1"/>
      <c r="AW3029" s="1"/>
      <c r="AX3029" s="1"/>
      <c r="AY3029" s="1"/>
      <c r="AZ3029" s="1"/>
      <c r="BA3029" s="1"/>
      <c r="BB3029" s="1"/>
    </row>
    <row r="3030" ht="204.75" customHeight="1">
      <c r="A3030" s="1">
        <v>5567.0</v>
      </c>
      <c r="B3030" s="2" t="s">
        <v>9138</v>
      </c>
      <c r="C3030" s="2">
        <f>IFERROR(__xludf.DUMMYFUNCTION("split(B3030,""_"")"),810.0)</f>
        <v>810</v>
      </c>
      <c r="D3030" s="2" t="str">
        <f>IFERROR(__xludf.DUMMYFUNCTION("""COMPUTED_VALUE"""),"EX")</f>
        <v>EX</v>
      </c>
      <c r="E3030" s="2" t="str">
        <f>IFERROR(__xludf.DUMMYFUNCTION("""COMPUTED_VALUE"""),"木21")</f>
        <v>木21</v>
      </c>
      <c r="F3030" s="2" t="s">
        <v>9139</v>
      </c>
      <c r="G3030" s="2" t="s">
        <v>9140</v>
      </c>
      <c r="H3030" s="1">
        <v>10.0</v>
      </c>
      <c r="J3030" s="1" t="s">
        <v>11</v>
      </c>
      <c r="K3030" s="2" t="s">
        <v>9159</v>
      </c>
      <c r="L3030" s="11" t="s">
        <v>9160</v>
      </c>
      <c r="M3030" s="2" t="str">
        <f>IFERROR(__xludf.DUMMYFUNCTION("split(split(K3030,""小西真奈美、"",false),""公式LINE"",false)"),"宇宙(小西真奈美)と狩矢(塚本高史)は合間を縫って金策に走るが、経営はどんどん悪化する。そんな折、結城弘美(高橋由美子)という記者が取材にやって来て・・・")</f>
        <v>宇宙(小西真奈美)と狩矢(塚本高史)は合間を縫って金策に走るが、経営はどんどん悪化する。そんな折、結城弘美(高橋由美子)という記者が取材にやって来て・・・</v>
      </c>
      <c r="N3030" s="2"/>
      <c r="O3030" s="2"/>
      <c r="P3030" s="1"/>
      <c r="Q3030" s="1"/>
      <c r="R3030" s="1"/>
      <c r="S3030" s="1"/>
      <c r="T3030" s="1"/>
      <c r="U3030" s="1"/>
      <c r="V3030" s="1"/>
      <c r="W3030" s="1"/>
      <c r="X3030" s="1"/>
      <c r="Y3030" s="1"/>
      <c r="Z3030" s="1"/>
      <c r="AA3030" s="1"/>
      <c r="AB3030" s="1"/>
      <c r="AC3030" s="1"/>
      <c r="AD3030" s="1"/>
      <c r="AE3030" s="1"/>
      <c r="AF3030" s="1"/>
      <c r="AG3030" s="1"/>
      <c r="AH3030" s="1"/>
      <c r="AI3030" s="1"/>
      <c r="AJ3030" s="1"/>
      <c r="AK3030" s="1"/>
      <c r="AL3030" s="1"/>
      <c r="AM3030" s="1"/>
      <c r="AN3030" s="1"/>
      <c r="AO3030" s="1"/>
      <c r="AP3030" s="1"/>
      <c r="AQ3030" s="1"/>
      <c r="AR3030" s="1"/>
      <c r="AS3030" s="1"/>
      <c r="AT3030" s="1"/>
      <c r="AU3030" s="1"/>
      <c r="AV3030" s="1"/>
      <c r="AW3030" s="1"/>
      <c r="AX3030" s="1"/>
      <c r="AY3030" s="1"/>
      <c r="AZ3030" s="1"/>
      <c r="BA3030" s="1"/>
      <c r="BB3030" s="1"/>
    </row>
    <row r="3031" ht="204.75" customHeight="1">
      <c r="A3031" s="1">
        <v>5585.0</v>
      </c>
      <c r="B3031" s="2" t="s">
        <v>9161</v>
      </c>
      <c r="C3031" s="2">
        <f>IFERROR(__xludf.DUMMYFUNCTION("split(B3031,""_"")"),810.0)</f>
        <v>810</v>
      </c>
      <c r="D3031" s="2" t="str">
        <f>IFERROR(__xludf.DUMMYFUNCTION("""COMPUTED_VALUE"""),"EX")</f>
        <v>EX</v>
      </c>
      <c r="E3031" s="2" t="str">
        <f>IFERROR(__xludf.DUMMYFUNCTION("""COMPUTED_VALUE"""),"金21")</f>
        <v>金21</v>
      </c>
      <c r="F3031" s="2" t="s">
        <v>9162</v>
      </c>
      <c r="G3031" s="2" t="s">
        <v>9163</v>
      </c>
      <c r="H3031" s="1">
        <v>1.0</v>
      </c>
      <c r="J3031" s="1" t="s">
        <v>11</v>
      </c>
      <c r="K3031" s="4" t="s">
        <v>9164</v>
      </c>
      <c r="L3031" s="11" t="s">
        <v>9165</v>
      </c>
      <c r="M3031" s="2" t="str">
        <f>IFERROR(__xludf.DUMMYFUNCTION("split(split(K3031,""佐々木蔵之介、"",false),""公式LINE"",false)"),"伝説のホスト・七瀬公平(佐々木蔵之介)は妻・桃子(原沙知絵)と娘に囲まれ幸せな生活を送っていた。しかし会社からの突然のリストラ。公平は妻に内緒でホストに復帰しようとかつて働いていた店の門を叩くが…。")</f>
        <v>伝説のホスト・七瀬公平(佐々木蔵之介)は妻・桃子(原沙知絵)と娘に囲まれ幸せな生活を送っていた。しかし会社からの突然のリストラ。公平は妻に内緒でホストに復帰しようとかつて働いていた店の門を叩くが…。</v>
      </c>
      <c r="N3031" s="2"/>
      <c r="O3031" s="2"/>
      <c r="P3031" s="1"/>
      <c r="Q3031" s="1"/>
      <c r="R3031" s="1"/>
      <c r="S3031" s="1"/>
      <c r="T3031" s="1"/>
      <c r="U3031" s="1"/>
      <c r="V3031" s="1"/>
      <c r="W3031" s="1"/>
      <c r="X3031" s="1"/>
      <c r="Y3031" s="1"/>
      <c r="Z3031" s="1"/>
      <c r="AA3031" s="1"/>
      <c r="AB3031" s="1"/>
      <c r="AC3031" s="1"/>
      <c r="AD3031" s="1"/>
      <c r="AE3031" s="1"/>
      <c r="AF3031" s="1"/>
      <c r="AG3031" s="1"/>
      <c r="AH3031" s="1"/>
      <c r="AI3031" s="1"/>
      <c r="AJ3031" s="1"/>
      <c r="AK3031" s="1"/>
      <c r="AL3031" s="1"/>
      <c r="AM3031" s="1"/>
      <c r="AN3031" s="1"/>
      <c r="AO3031" s="1"/>
      <c r="AP3031" s="1"/>
      <c r="AQ3031" s="1"/>
      <c r="AR3031" s="1"/>
      <c r="AS3031" s="1"/>
      <c r="AT3031" s="1"/>
      <c r="AU3031" s="1"/>
      <c r="AV3031" s="1"/>
      <c r="AW3031" s="1"/>
      <c r="AX3031" s="1"/>
      <c r="AY3031" s="1"/>
      <c r="AZ3031" s="1"/>
      <c r="BA3031" s="1"/>
      <c r="BB3031" s="1"/>
    </row>
    <row r="3032" ht="204.75" customHeight="1">
      <c r="A3032" s="1">
        <v>5586.0</v>
      </c>
      <c r="B3032" s="2" t="s">
        <v>9161</v>
      </c>
      <c r="C3032" s="2">
        <f>IFERROR(__xludf.DUMMYFUNCTION("split(B3032,""_"")"),810.0)</f>
        <v>810</v>
      </c>
      <c r="D3032" s="2" t="str">
        <f>IFERROR(__xludf.DUMMYFUNCTION("""COMPUTED_VALUE"""),"EX")</f>
        <v>EX</v>
      </c>
      <c r="E3032" s="2" t="str">
        <f>IFERROR(__xludf.DUMMYFUNCTION("""COMPUTED_VALUE"""),"金21")</f>
        <v>金21</v>
      </c>
      <c r="F3032" s="2" t="s">
        <v>9162</v>
      </c>
      <c r="G3032" s="2" t="s">
        <v>9163</v>
      </c>
      <c r="H3032" s="1">
        <v>2.0</v>
      </c>
      <c r="J3032" s="1" t="s">
        <v>11</v>
      </c>
      <c r="K3032" s="2" t="s">
        <v>9166</v>
      </c>
      <c r="L3032" s="11" t="s">
        <v>9167</v>
      </c>
      <c r="M3032" s="2" t="str">
        <f>IFERROR(__xludf.DUMMYFUNCTION("split(split(K3032,""佐々木蔵之介、"",false),""公式LINE"",false)"),"ホストクラブ「リンク」への復帰が決まった公平(佐々木蔵之介)だったがナンバーワンホスト・イーグル(五十嵐隼士)からの風当たりは強くなるばかり。そんな中イーグルの恋人小夜(原幹恵)とのデートが決まり…。")</f>
        <v>ホストクラブ「リンク」への復帰が決まった公平(佐々木蔵之介)だったがナンバーワンホスト・イーグル(五十嵐隼士)からの風当たりは強くなるばかり。そんな中イーグルの恋人小夜(原幹恵)とのデートが決まり…。</v>
      </c>
      <c r="N3032" s="2"/>
      <c r="O3032" s="2"/>
      <c r="P3032" s="1"/>
      <c r="Q3032" s="1"/>
      <c r="R3032" s="1"/>
      <c r="S3032" s="1"/>
      <c r="T3032" s="1"/>
      <c r="U3032" s="1"/>
      <c r="V3032" s="1"/>
      <c r="W3032" s="1"/>
      <c r="X3032" s="1"/>
      <c r="Y3032" s="1"/>
      <c r="Z3032" s="1"/>
      <c r="AA3032" s="1"/>
      <c r="AB3032" s="1"/>
      <c r="AC3032" s="1"/>
      <c r="AD3032" s="1"/>
      <c r="AE3032" s="1"/>
      <c r="AF3032" s="1"/>
      <c r="AG3032" s="1"/>
      <c r="AH3032" s="1"/>
      <c r="AI3032" s="1"/>
      <c r="AJ3032" s="1"/>
      <c r="AK3032" s="1"/>
      <c r="AL3032" s="1"/>
      <c r="AM3032" s="1"/>
      <c r="AN3032" s="1"/>
      <c r="AO3032" s="1"/>
      <c r="AP3032" s="1"/>
      <c r="AQ3032" s="1"/>
      <c r="AR3032" s="1"/>
      <c r="AS3032" s="1"/>
      <c r="AT3032" s="1"/>
      <c r="AU3032" s="1"/>
      <c r="AV3032" s="1"/>
      <c r="AW3032" s="1"/>
      <c r="AX3032" s="1"/>
      <c r="AY3032" s="1"/>
      <c r="AZ3032" s="1"/>
      <c r="BA3032" s="1"/>
      <c r="BB3032" s="1"/>
    </row>
    <row r="3033" ht="204.75" customHeight="1">
      <c r="A3033" s="1">
        <v>5587.0</v>
      </c>
      <c r="B3033" s="2" t="s">
        <v>9161</v>
      </c>
      <c r="C3033" s="2">
        <f>IFERROR(__xludf.DUMMYFUNCTION("split(B3033,""_"")"),810.0)</f>
        <v>810</v>
      </c>
      <c r="D3033" s="2" t="str">
        <f>IFERROR(__xludf.DUMMYFUNCTION("""COMPUTED_VALUE"""),"EX")</f>
        <v>EX</v>
      </c>
      <c r="E3033" s="2" t="str">
        <f>IFERROR(__xludf.DUMMYFUNCTION("""COMPUTED_VALUE"""),"金21")</f>
        <v>金21</v>
      </c>
      <c r="F3033" s="2" t="s">
        <v>9162</v>
      </c>
      <c r="G3033" s="2" t="s">
        <v>9163</v>
      </c>
      <c r="H3033" s="1">
        <v>3.0</v>
      </c>
      <c r="J3033" s="1" t="s">
        <v>11</v>
      </c>
      <c r="K3033" s="2" t="s">
        <v>9168</v>
      </c>
      <c r="L3033" s="11" t="s">
        <v>9169</v>
      </c>
      <c r="M3033" s="2" t="str">
        <f>IFERROR(__xludf.DUMMYFUNCTION("split(split(K3033,""佐々木蔵之介、"",false),""公式LINE"",false)"),"有希(真矢みき)は止めるが、公平はその勝負を受け入れる。そんな彼の前に銀座高級クラブの超一流ホステスが現われる…")</f>
        <v>有希(真矢みき)は止めるが、公平はその勝負を受け入れる。そんな彼の前に銀座高級クラブの超一流ホステスが現われる…</v>
      </c>
      <c r="N3033" s="2"/>
      <c r="O3033" s="2"/>
      <c r="P3033" s="1"/>
      <c r="Q3033" s="1"/>
      <c r="R3033" s="1"/>
      <c r="S3033" s="1"/>
      <c r="T3033" s="1"/>
      <c r="U3033" s="1"/>
      <c r="V3033" s="1"/>
      <c r="W3033" s="1"/>
      <c r="X3033" s="1"/>
      <c r="Y3033" s="1"/>
      <c r="Z3033" s="1"/>
      <c r="AA3033" s="1"/>
      <c r="AB3033" s="1"/>
      <c r="AC3033" s="1"/>
      <c r="AD3033" s="1"/>
      <c r="AE3033" s="1"/>
      <c r="AF3033" s="1"/>
      <c r="AG3033" s="1"/>
      <c r="AH3033" s="1"/>
      <c r="AI3033" s="1"/>
      <c r="AJ3033" s="1"/>
      <c r="AK3033" s="1"/>
      <c r="AL3033" s="1"/>
      <c r="AM3033" s="1"/>
      <c r="AN3033" s="1"/>
      <c r="AO3033" s="1"/>
      <c r="AP3033" s="1"/>
      <c r="AQ3033" s="1"/>
      <c r="AR3033" s="1"/>
      <c r="AS3033" s="1"/>
      <c r="AT3033" s="1"/>
      <c r="AU3033" s="1"/>
      <c r="AV3033" s="1"/>
      <c r="AW3033" s="1"/>
      <c r="AX3033" s="1"/>
      <c r="AY3033" s="1"/>
      <c r="AZ3033" s="1"/>
      <c r="BA3033" s="1"/>
      <c r="BB3033" s="1"/>
    </row>
    <row r="3034" ht="204.75" customHeight="1">
      <c r="A3034" s="1">
        <v>5588.0</v>
      </c>
      <c r="B3034" s="2" t="s">
        <v>9161</v>
      </c>
      <c r="C3034" s="2">
        <f>IFERROR(__xludf.DUMMYFUNCTION("split(B3034,""_"")"),810.0)</f>
        <v>810</v>
      </c>
      <c r="D3034" s="2" t="str">
        <f>IFERROR(__xludf.DUMMYFUNCTION("""COMPUTED_VALUE"""),"EX")</f>
        <v>EX</v>
      </c>
      <c r="E3034" s="2" t="str">
        <f>IFERROR(__xludf.DUMMYFUNCTION("""COMPUTED_VALUE"""),"金21")</f>
        <v>金21</v>
      </c>
      <c r="F3034" s="2" t="s">
        <v>9162</v>
      </c>
      <c r="G3034" s="2" t="s">
        <v>9163</v>
      </c>
      <c r="H3034" s="1">
        <v>4.0</v>
      </c>
      <c r="J3034" s="1" t="s">
        <v>11</v>
      </c>
      <c r="K3034" s="2" t="s">
        <v>9170</v>
      </c>
      <c r="L3034" s="11" t="s">
        <v>9171</v>
      </c>
      <c r="M3034" s="2" t="str">
        <f>IFERROR(__xludf.DUMMYFUNCTION("split(split(K3034,""佐々木蔵之介、"",false),""公式LINE"",false)"),"何とか収拾をつけようとする公平(佐々木蔵之介)と有希(真矢みき)だがその裏にはある陰謀が隠されていた…。")</f>
        <v>何とか収拾をつけようとする公平(佐々木蔵之介)と有希(真矢みき)だがその裏にはある陰謀が隠されていた…。</v>
      </c>
      <c r="N3034" s="2"/>
      <c r="O3034" s="2"/>
      <c r="P3034" s="1"/>
      <c r="Q3034" s="1"/>
      <c r="R3034" s="1"/>
      <c r="S3034" s="1"/>
      <c r="T3034" s="1"/>
      <c r="U3034" s="1"/>
      <c r="V3034" s="1"/>
      <c r="W3034" s="1"/>
      <c r="X3034" s="1"/>
      <c r="Y3034" s="1"/>
      <c r="Z3034" s="1"/>
      <c r="AA3034" s="1"/>
      <c r="AB3034" s="1"/>
      <c r="AC3034" s="1"/>
      <c r="AD3034" s="1"/>
      <c r="AE3034" s="1"/>
      <c r="AF3034" s="1"/>
      <c r="AG3034" s="1"/>
      <c r="AH3034" s="1"/>
      <c r="AI3034" s="1"/>
      <c r="AJ3034" s="1"/>
      <c r="AK3034" s="1"/>
      <c r="AL3034" s="1"/>
      <c r="AM3034" s="1"/>
      <c r="AN3034" s="1"/>
      <c r="AO3034" s="1"/>
      <c r="AP3034" s="1"/>
      <c r="AQ3034" s="1"/>
      <c r="AR3034" s="1"/>
      <c r="AS3034" s="1"/>
      <c r="AT3034" s="1"/>
      <c r="AU3034" s="1"/>
      <c r="AV3034" s="1"/>
      <c r="AW3034" s="1"/>
      <c r="AX3034" s="1"/>
      <c r="AY3034" s="1"/>
      <c r="AZ3034" s="1"/>
      <c r="BA3034" s="1"/>
      <c r="BB3034" s="1"/>
    </row>
    <row r="3035" ht="204.75" customHeight="1">
      <c r="A3035" s="1">
        <v>5589.0</v>
      </c>
      <c r="B3035" s="2" t="s">
        <v>9161</v>
      </c>
      <c r="C3035" s="2">
        <f>IFERROR(__xludf.DUMMYFUNCTION("split(B3035,""_"")"),810.0)</f>
        <v>810</v>
      </c>
      <c r="D3035" s="2" t="str">
        <f>IFERROR(__xludf.DUMMYFUNCTION("""COMPUTED_VALUE"""),"EX")</f>
        <v>EX</v>
      </c>
      <c r="E3035" s="2" t="str">
        <f>IFERROR(__xludf.DUMMYFUNCTION("""COMPUTED_VALUE"""),"金21")</f>
        <v>金21</v>
      </c>
      <c r="F3035" s="2" t="s">
        <v>9162</v>
      </c>
      <c r="G3035" s="2" t="s">
        <v>9163</v>
      </c>
      <c r="H3035" s="1">
        <v>5.0</v>
      </c>
      <c r="J3035" s="1" t="s">
        <v>11</v>
      </c>
      <c r="K3035" s="2" t="s">
        <v>9172</v>
      </c>
      <c r="L3035" s="11" t="s">
        <v>9173</v>
      </c>
      <c r="M3035" s="2" t="str">
        <f>IFERROR(__xludf.DUMMYFUNCTION("split(split(K3035,""佐々木蔵之介、"",false),""公式LINE"",false)"),"伝説のホスト七瀬公平が六本木に帰ってきた!超人気コミックスが待望のドラマ化!連ドラ初主演の佐々木蔵之介はじめ豪華キャストで送る人間ドラマ!")</f>
        <v>伝説のホスト七瀬公平が六本木に帰ってきた!超人気コミックスが待望のドラマ化!連ドラ初主演の佐々木蔵之介はじめ豪華キャストで送る人間ドラマ!</v>
      </c>
      <c r="N3035" s="2"/>
      <c r="O3035" s="2"/>
      <c r="P3035" s="1"/>
      <c r="Q3035" s="1"/>
      <c r="R3035" s="1"/>
      <c r="S3035" s="1"/>
      <c r="T3035" s="1"/>
      <c r="U3035" s="1"/>
      <c r="V3035" s="1"/>
      <c r="W3035" s="1"/>
      <c r="X3035" s="1"/>
      <c r="Y3035" s="1"/>
      <c r="Z3035" s="1"/>
      <c r="AA3035" s="1"/>
      <c r="AB3035" s="1"/>
      <c r="AC3035" s="1"/>
      <c r="AD3035" s="1"/>
      <c r="AE3035" s="1"/>
      <c r="AF3035" s="1"/>
      <c r="AG3035" s="1"/>
      <c r="AH3035" s="1"/>
      <c r="AI3035" s="1"/>
      <c r="AJ3035" s="1"/>
      <c r="AK3035" s="1"/>
      <c r="AL3035" s="1"/>
      <c r="AM3035" s="1"/>
      <c r="AN3035" s="1"/>
      <c r="AO3035" s="1"/>
      <c r="AP3035" s="1"/>
      <c r="AQ3035" s="1"/>
      <c r="AR3035" s="1"/>
      <c r="AS3035" s="1"/>
      <c r="AT3035" s="1"/>
      <c r="AU3035" s="1"/>
      <c r="AV3035" s="1"/>
      <c r="AW3035" s="1"/>
      <c r="AX3035" s="1"/>
      <c r="AY3035" s="1"/>
      <c r="AZ3035" s="1"/>
      <c r="BA3035" s="1"/>
      <c r="BB3035" s="1"/>
    </row>
    <row r="3036" ht="204.75" customHeight="1">
      <c r="A3036" s="1">
        <v>5590.0</v>
      </c>
      <c r="B3036" s="2" t="s">
        <v>9161</v>
      </c>
      <c r="C3036" s="2">
        <f>IFERROR(__xludf.DUMMYFUNCTION("split(B3036,""_"")"),810.0)</f>
        <v>810</v>
      </c>
      <c r="D3036" s="2" t="str">
        <f>IFERROR(__xludf.DUMMYFUNCTION("""COMPUTED_VALUE"""),"EX")</f>
        <v>EX</v>
      </c>
      <c r="E3036" s="2" t="str">
        <f>IFERROR(__xludf.DUMMYFUNCTION("""COMPUTED_VALUE"""),"金21")</f>
        <v>金21</v>
      </c>
      <c r="F3036" s="2" t="s">
        <v>9162</v>
      </c>
      <c r="G3036" s="2" t="s">
        <v>9163</v>
      </c>
      <c r="H3036" s="1">
        <v>6.0</v>
      </c>
      <c r="J3036" s="1" t="s">
        <v>11</v>
      </c>
      <c r="K3036" s="2" t="s">
        <v>9174</v>
      </c>
      <c r="L3036" s="11" t="s">
        <v>9175</v>
      </c>
      <c r="M3036" s="2" t="str">
        <f>IFERROR(__xludf.DUMMYFUNCTION("split(split(K3036,""佐々木蔵之介、"",false),""公式LINE"",false)"),"秀吉(佐藤智仁)は「ホストの墓場」と呼ばれる店で働いていた。何とか連れ戻そうする公平(佐々木蔵之介)だが、その店の代表サキエル(黄川田将也)がある条件を出す。果たしてその条件とは…?")</f>
        <v>秀吉(佐藤智仁)は「ホストの墓場」と呼ばれる店で働いていた。何とか連れ戻そうする公平(佐々木蔵之介)だが、その店の代表サキエル(黄川田将也)がある条件を出す。果たしてその条件とは…?</v>
      </c>
      <c r="N3036" s="2"/>
      <c r="O3036" s="2"/>
      <c r="P3036" s="1"/>
      <c r="Q3036" s="1"/>
      <c r="R3036" s="1"/>
      <c r="S3036" s="1"/>
      <c r="T3036" s="1"/>
      <c r="U3036" s="1"/>
      <c r="V3036" s="1"/>
      <c r="W3036" s="1"/>
      <c r="X3036" s="1"/>
      <c r="Y3036" s="1"/>
      <c r="Z3036" s="1"/>
      <c r="AA3036" s="1"/>
      <c r="AB3036" s="1"/>
      <c r="AC3036" s="1"/>
      <c r="AD3036" s="1"/>
      <c r="AE3036" s="1"/>
      <c r="AF3036" s="1"/>
      <c r="AG3036" s="1"/>
      <c r="AH3036" s="1"/>
      <c r="AI3036" s="1"/>
      <c r="AJ3036" s="1"/>
      <c r="AK3036" s="1"/>
      <c r="AL3036" s="1"/>
      <c r="AM3036" s="1"/>
      <c r="AN3036" s="1"/>
      <c r="AO3036" s="1"/>
      <c r="AP3036" s="1"/>
      <c r="AQ3036" s="1"/>
      <c r="AR3036" s="1"/>
      <c r="AS3036" s="1"/>
      <c r="AT3036" s="1"/>
      <c r="AU3036" s="1"/>
      <c r="AV3036" s="1"/>
      <c r="AW3036" s="1"/>
      <c r="AX3036" s="1"/>
      <c r="AY3036" s="1"/>
      <c r="AZ3036" s="1"/>
      <c r="BA3036" s="1"/>
      <c r="BB3036" s="1"/>
    </row>
    <row r="3037" ht="204.75" customHeight="1">
      <c r="A3037" s="1">
        <v>5591.0</v>
      </c>
      <c r="B3037" s="2" t="s">
        <v>9161</v>
      </c>
      <c r="C3037" s="2">
        <f>IFERROR(__xludf.DUMMYFUNCTION("split(B3037,""_"")"),810.0)</f>
        <v>810</v>
      </c>
      <c r="D3037" s="2" t="str">
        <f>IFERROR(__xludf.DUMMYFUNCTION("""COMPUTED_VALUE"""),"EX")</f>
        <v>EX</v>
      </c>
      <c r="E3037" s="2" t="str">
        <f>IFERROR(__xludf.DUMMYFUNCTION("""COMPUTED_VALUE"""),"金21")</f>
        <v>金21</v>
      </c>
      <c r="F3037" s="2" t="s">
        <v>9162</v>
      </c>
      <c r="G3037" s="2" t="s">
        <v>9163</v>
      </c>
      <c r="H3037" s="1">
        <v>7.0</v>
      </c>
      <c r="J3037" s="1" t="s">
        <v>11</v>
      </c>
      <c r="K3037" s="2" t="s">
        <v>9176</v>
      </c>
      <c r="L3037" s="11" t="s">
        <v>9177</v>
      </c>
      <c r="M3037" s="2" t="str">
        <f>IFERROR(__xludf.DUMMYFUNCTION("split(split(K3037,""佐々木蔵之介、"",false),""公式LINE"",false)"),"真矢みき、原沙知絵、三浦翔平、芦名　星、佐藤智仁、和田正人、田中要次、平泉　成、石橋　凌　ほか滝　直毅・作画/土田世紀(小学館コミックス刊)荒井修子池添　博住友紀人「情熱の代償」GIRL NEXT DOOR  (エイベックス・トラックス)チーフプロデューサー:桑田　潔  プロデューサー:船津浩一、奈良井正巳、井上竜太朝日放送、テレビ朝日、ホリプロ")</f>
        <v>真矢みき、原沙知絵、三浦翔平、芦名　星、佐藤智仁、和田正人、田中要次、平泉　成、石橋　凌　ほか滝　直毅・作画/土田世紀(小学館コミックス刊)荒井修子池添　博住友紀人「情熱の代償」GIRL NEXT DOOR  (エイベックス・トラックス)チーフプロデューサー:桑田　潔  プロデューサー:船津浩一、奈良井正巳、井上竜太朝日放送、テレビ朝日、ホリプロ</v>
      </c>
      <c r="N3037" s="2"/>
      <c r="O3037" s="2"/>
      <c r="P3037" s="1"/>
      <c r="Q3037" s="1"/>
      <c r="R3037" s="1"/>
      <c r="S3037" s="1"/>
      <c r="T3037" s="1"/>
      <c r="U3037" s="1"/>
      <c r="V3037" s="1"/>
      <c r="W3037" s="1"/>
      <c r="X3037" s="1"/>
      <c r="Y3037" s="1"/>
      <c r="Z3037" s="1"/>
      <c r="AA3037" s="1"/>
      <c r="AB3037" s="1"/>
      <c r="AC3037" s="1"/>
      <c r="AD3037" s="1"/>
      <c r="AE3037" s="1"/>
      <c r="AF3037" s="1"/>
      <c r="AG3037" s="1"/>
      <c r="AH3037" s="1"/>
      <c r="AI3037" s="1"/>
      <c r="AJ3037" s="1"/>
      <c r="AK3037" s="1"/>
      <c r="AL3037" s="1"/>
      <c r="AM3037" s="1"/>
      <c r="AN3037" s="1"/>
      <c r="AO3037" s="1"/>
      <c r="AP3037" s="1"/>
      <c r="AQ3037" s="1"/>
      <c r="AR3037" s="1"/>
      <c r="AS3037" s="1"/>
      <c r="AT3037" s="1"/>
      <c r="AU3037" s="1"/>
      <c r="AV3037" s="1"/>
      <c r="AW3037" s="1"/>
      <c r="AX3037" s="1"/>
      <c r="AY3037" s="1"/>
      <c r="AZ3037" s="1"/>
      <c r="BA3037" s="1"/>
      <c r="BB3037" s="1"/>
    </row>
    <row r="3038" ht="204.75" customHeight="1">
      <c r="A3038" s="1">
        <v>5592.0</v>
      </c>
      <c r="B3038" s="2" t="s">
        <v>9161</v>
      </c>
      <c r="C3038" s="2">
        <f>IFERROR(__xludf.DUMMYFUNCTION("split(B3038,""_"")"),810.0)</f>
        <v>810</v>
      </c>
      <c r="D3038" s="2" t="str">
        <f>IFERROR(__xludf.DUMMYFUNCTION("""COMPUTED_VALUE"""),"EX")</f>
        <v>EX</v>
      </c>
      <c r="E3038" s="2" t="str">
        <f>IFERROR(__xludf.DUMMYFUNCTION("""COMPUTED_VALUE"""),"金21")</f>
        <v>金21</v>
      </c>
      <c r="F3038" s="2" t="s">
        <v>9162</v>
      </c>
      <c r="G3038" s="2" t="s">
        <v>9163</v>
      </c>
      <c r="H3038" s="1">
        <v>8.0</v>
      </c>
      <c r="J3038" s="1" t="s">
        <v>11</v>
      </c>
      <c r="K3038" s="2" t="s">
        <v>9178</v>
      </c>
      <c r="L3038" s="11" t="s">
        <v>9179</v>
      </c>
      <c r="M3038" s="2" t="str">
        <f>IFERROR(__xludf.DUMMYFUNCTION("split(split(K3038,""佐々木蔵之介、"",false),""公式LINE"",false)"),"そんな中、カズマ(和田正人)の父親が大成だということを知った公平は親子の再会を試みるが…")</f>
        <v>そんな中、カズマ(和田正人)の父親が大成だということを知った公平は親子の再会を試みるが…</v>
      </c>
      <c r="N3038" s="2"/>
      <c r="O3038" s="2"/>
      <c r="P3038" s="1"/>
      <c r="Q3038" s="1"/>
      <c r="R3038" s="1"/>
      <c r="S3038" s="1"/>
      <c r="T3038" s="1"/>
      <c r="U3038" s="1"/>
      <c r="V3038" s="1"/>
      <c r="W3038" s="1"/>
      <c r="X3038" s="1"/>
      <c r="Y3038" s="1"/>
      <c r="Z3038" s="1"/>
      <c r="AA3038" s="1"/>
      <c r="AB3038" s="1"/>
      <c r="AC3038" s="1"/>
      <c r="AD3038" s="1"/>
      <c r="AE3038" s="1"/>
      <c r="AF3038" s="1"/>
      <c r="AG3038" s="1"/>
      <c r="AH3038" s="1"/>
      <c r="AI3038" s="1"/>
      <c r="AJ3038" s="1"/>
      <c r="AK3038" s="1"/>
      <c r="AL3038" s="1"/>
      <c r="AM3038" s="1"/>
      <c r="AN3038" s="1"/>
      <c r="AO3038" s="1"/>
      <c r="AP3038" s="1"/>
      <c r="AQ3038" s="1"/>
      <c r="AR3038" s="1"/>
      <c r="AS3038" s="1"/>
      <c r="AT3038" s="1"/>
      <c r="AU3038" s="1"/>
      <c r="AV3038" s="1"/>
      <c r="AW3038" s="1"/>
      <c r="AX3038" s="1"/>
      <c r="AY3038" s="1"/>
      <c r="AZ3038" s="1"/>
      <c r="BA3038" s="1"/>
      <c r="BB3038" s="1"/>
    </row>
    <row r="3039" ht="204.75" customHeight="1">
      <c r="A3039" s="1">
        <v>5603.0</v>
      </c>
      <c r="B3039" s="2" t="s">
        <v>9180</v>
      </c>
      <c r="C3039" s="2">
        <f>IFERROR(__xludf.DUMMYFUNCTION("split(B3039,""_"")"),810.0)</f>
        <v>810</v>
      </c>
      <c r="D3039" s="2" t="str">
        <f>IFERROR(__xludf.DUMMYFUNCTION("""COMPUTED_VALUE"""),"EX")</f>
        <v>EX</v>
      </c>
      <c r="E3039" s="2" t="str">
        <f>IFERROR(__xludf.DUMMYFUNCTION("""COMPUTED_VALUE"""),"金23")</f>
        <v>金23</v>
      </c>
      <c r="F3039" s="2" t="s">
        <v>9181</v>
      </c>
      <c r="G3039" s="2" t="s">
        <v>9182</v>
      </c>
      <c r="H3039" s="1">
        <v>1.0</v>
      </c>
      <c r="J3039" s="1" t="s">
        <v>6113</v>
      </c>
      <c r="K3039" s="4" t="s">
        <v>9183</v>
      </c>
      <c r="L3039" s="10" t="s">
        <v>2775</v>
      </c>
      <c r="M3039" s="2" t="str">
        <f>IFERROR(__xludf.DUMMYFUNCTION("split(split(K3039,""大、"",false),""公式LINE"",false)"),"かつては関東一円でその名を鳴らした暴走族・八州連合のヘッド。熱い魂を持つ型破りな主人公・矢島金太郎がサラリーマンの常識をぶち破り、会社を飲み込む台風の目となり、行く先々で大暴れを繰り広げます!永井　")</f>
        <v>かつては関東一円でその名を鳴らした暴走族・八州連合のヘッド。熱い魂を持つ型破りな主人公・矢島金太郎がサラリーマンの常識をぶち破り、会社を飲み込む台風の目となり、行く先々で大暴れを繰り広げます!永井　</v>
      </c>
      <c r="N3039" s="2"/>
      <c r="O3039" s="2"/>
      <c r="P3039" s="1"/>
      <c r="Q3039" s="1"/>
      <c r="R3039" s="1"/>
      <c r="S3039" s="1"/>
      <c r="T3039" s="1"/>
      <c r="U3039" s="1"/>
      <c r="V3039" s="1"/>
      <c r="W3039" s="1"/>
      <c r="X3039" s="1"/>
      <c r="Y3039" s="1"/>
      <c r="Z3039" s="1"/>
      <c r="AA3039" s="1"/>
      <c r="AB3039" s="1"/>
      <c r="AC3039" s="1"/>
      <c r="AD3039" s="1"/>
      <c r="AE3039" s="1"/>
      <c r="AF3039" s="1"/>
      <c r="AG3039" s="1"/>
      <c r="AH3039" s="1"/>
      <c r="AI3039" s="1"/>
      <c r="AJ3039" s="1"/>
      <c r="AK3039" s="1"/>
      <c r="AL3039" s="1"/>
      <c r="AM3039" s="1"/>
      <c r="AN3039" s="1"/>
      <c r="AO3039" s="1"/>
      <c r="AP3039" s="1"/>
      <c r="AQ3039" s="1"/>
      <c r="AR3039" s="1"/>
      <c r="AS3039" s="1"/>
      <c r="AT3039" s="1"/>
      <c r="AU3039" s="1"/>
      <c r="AV3039" s="1"/>
      <c r="AW3039" s="1"/>
      <c r="AX3039" s="1"/>
      <c r="AY3039" s="1"/>
      <c r="AZ3039" s="1"/>
      <c r="BA3039" s="1"/>
      <c r="BB3039" s="1"/>
    </row>
    <row r="3040" ht="204.75" customHeight="1">
      <c r="A3040" s="1">
        <v>5604.0</v>
      </c>
      <c r="B3040" s="2" t="s">
        <v>9180</v>
      </c>
      <c r="C3040" s="2">
        <f>IFERROR(__xludf.DUMMYFUNCTION("split(B3040,""_"")"),810.0)</f>
        <v>810</v>
      </c>
      <c r="D3040" s="2" t="str">
        <f>IFERROR(__xludf.DUMMYFUNCTION("""COMPUTED_VALUE"""),"EX")</f>
        <v>EX</v>
      </c>
      <c r="E3040" s="2" t="str">
        <f>IFERROR(__xludf.DUMMYFUNCTION("""COMPUTED_VALUE"""),"金23")</f>
        <v>金23</v>
      </c>
      <c r="F3040" s="2" t="s">
        <v>9181</v>
      </c>
      <c r="G3040" s="2" t="s">
        <v>9182</v>
      </c>
      <c r="H3040" s="1">
        <v>2.0</v>
      </c>
      <c r="J3040" s="1" t="s">
        <v>6113</v>
      </c>
      <c r="K3040" s="2" t="s">
        <v>9184</v>
      </c>
      <c r="L3040" s="10" t="s">
        <v>2775</v>
      </c>
      <c r="M3040" s="2" t="str">
        <f>IFERROR(__xludf.DUMMYFUNCTION("split(split(K3040,""大、"",false),""公式LINE"",false)"),"かつて関東一円でその名を鳴らした暴走族・八州連合のヘッド。熱い魂を持つ型破りな主人公・矢島金太郎がサラリーマンの常識をぶち破り、行く先々で大暴れを繰り広げます!永井")</f>
        <v>かつて関東一円でその名を鳴らした暴走族・八州連合のヘッド。熱い魂を持つ型破りな主人公・矢島金太郎がサラリーマンの常識をぶち破り、行く先々で大暴れを繰り広げます!永井</v>
      </c>
      <c r="N3040" s="2"/>
      <c r="O3040" s="2"/>
      <c r="P3040" s="1"/>
      <c r="Q3040" s="1"/>
      <c r="R3040" s="1"/>
      <c r="S3040" s="1"/>
      <c r="T3040" s="1"/>
      <c r="U3040" s="1"/>
      <c r="V3040" s="1"/>
      <c r="W3040" s="1"/>
      <c r="X3040" s="1"/>
      <c r="Y3040" s="1"/>
      <c r="Z3040" s="1"/>
      <c r="AA3040" s="1"/>
      <c r="AB3040" s="1"/>
      <c r="AC3040" s="1"/>
      <c r="AD3040" s="1"/>
      <c r="AE3040" s="1"/>
      <c r="AF3040" s="1"/>
      <c r="AG3040" s="1"/>
      <c r="AH3040" s="1"/>
      <c r="AI3040" s="1"/>
      <c r="AJ3040" s="1"/>
      <c r="AK3040" s="1"/>
      <c r="AL3040" s="1"/>
      <c r="AM3040" s="1"/>
      <c r="AN3040" s="1"/>
      <c r="AO3040" s="1"/>
      <c r="AP3040" s="1"/>
      <c r="AQ3040" s="1"/>
      <c r="AR3040" s="1"/>
      <c r="AS3040" s="1"/>
      <c r="AT3040" s="1"/>
      <c r="AU3040" s="1"/>
      <c r="AV3040" s="1"/>
      <c r="AW3040" s="1"/>
      <c r="AX3040" s="1"/>
      <c r="AY3040" s="1"/>
      <c r="AZ3040" s="1"/>
      <c r="BA3040" s="1"/>
      <c r="BB3040" s="1"/>
    </row>
    <row r="3041" ht="204.75" customHeight="1">
      <c r="A3041" s="1">
        <v>5605.0</v>
      </c>
      <c r="B3041" s="2" t="s">
        <v>9180</v>
      </c>
      <c r="C3041" s="2">
        <f>IFERROR(__xludf.DUMMYFUNCTION("split(B3041,""_"")"),810.0)</f>
        <v>810</v>
      </c>
      <c r="D3041" s="2" t="str">
        <f>IFERROR(__xludf.DUMMYFUNCTION("""COMPUTED_VALUE"""),"EX")</f>
        <v>EX</v>
      </c>
      <c r="E3041" s="2" t="str">
        <f>IFERROR(__xludf.DUMMYFUNCTION("""COMPUTED_VALUE"""),"金23")</f>
        <v>金23</v>
      </c>
      <c r="F3041" s="2" t="s">
        <v>9181</v>
      </c>
      <c r="G3041" s="2" t="s">
        <v>9182</v>
      </c>
      <c r="H3041" s="1">
        <v>3.0</v>
      </c>
      <c r="J3041" s="1" t="s">
        <v>6113</v>
      </c>
      <c r="K3041" s="2" t="s">
        <v>9185</v>
      </c>
      <c r="L3041" s="10" t="s">
        <v>2775</v>
      </c>
      <c r="M3041" s="2" t="str">
        <f>IFERROR(__xludf.DUMMYFUNCTION("split(split(K3041,""大、"",false),""公式LINE"",false)"),"かつて関東一円でその名を鳴らした暴走族・八州連合のヘッド。熱い魂を持つ型破りな主人公・矢島金太郎がサラリーマンの常識をぶち破り、行く先々で大暴れを繰り広げます!永井")</f>
        <v>かつて関東一円でその名を鳴らした暴走族・八州連合のヘッド。熱い魂を持つ型破りな主人公・矢島金太郎がサラリーマンの常識をぶち破り、行く先々で大暴れを繰り広げます!永井</v>
      </c>
      <c r="N3041" s="2"/>
      <c r="O3041" s="2"/>
      <c r="P3041" s="1"/>
      <c r="Q3041" s="1"/>
      <c r="R3041" s="1"/>
      <c r="S3041" s="1"/>
      <c r="T3041" s="1"/>
      <c r="U3041" s="1"/>
      <c r="V3041" s="1"/>
      <c r="W3041" s="1"/>
      <c r="X3041" s="1"/>
      <c r="Y3041" s="1"/>
      <c r="Z3041" s="1"/>
      <c r="AA3041" s="1"/>
      <c r="AB3041" s="1"/>
      <c r="AC3041" s="1"/>
      <c r="AD3041" s="1"/>
      <c r="AE3041" s="1"/>
      <c r="AF3041" s="1"/>
      <c r="AG3041" s="1"/>
      <c r="AH3041" s="1"/>
      <c r="AI3041" s="1"/>
      <c r="AJ3041" s="1"/>
      <c r="AK3041" s="1"/>
      <c r="AL3041" s="1"/>
      <c r="AM3041" s="1"/>
      <c r="AN3041" s="1"/>
      <c r="AO3041" s="1"/>
      <c r="AP3041" s="1"/>
      <c r="AQ3041" s="1"/>
      <c r="AR3041" s="1"/>
      <c r="AS3041" s="1"/>
      <c r="AT3041" s="1"/>
      <c r="AU3041" s="1"/>
      <c r="AV3041" s="1"/>
      <c r="AW3041" s="1"/>
      <c r="AX3041" s="1"/>
      <c r="AY3041" s="1"/>
      <c r="AZ3041" s="1"/>
      <c r="BA3041" s="1"/>
      <c r="BB3041" s="1"/>
    </row>
    <row r="3042" ht="204.75" customHeight="1">
      <c r="A3042" s="1">
        <v>5606.0</v>
      </c>
      <c r="B3042" s="2" t="s">
        <v>9180</v>
      </c>
      <c r="C3042" s="2">
        <f>IFERROR(__xludf.DUMMYFUNCTION("split(B3042,""_"")"),810.0)</f>
        <v>810</v>
      </c>
      <c r="D3042" s="2" t="str">
        <f>IFERROR(__xludf.DUMMYFUNCTION("""COMPUTED_VALUE"""),"EX")</f>
        <v>EX</v>
      </c>
      <c r="E3042" s="2" t="str">
        <f>IFERROR(__xludf.DUMMYFUNCTION("""COMPUTED_VALUE"""),"金23")</f>
        <v>金23</v>
      </c>
      <c r="F3042" s="2" t="s">
        <v>9181</v>
      </c>
      <c r="G3042" s="2" t="s">
        <v>9182</v>
      </c>
      <c r="H3042" s="1">
        <v>4.0</v>
      </c>
      <c r="J3042" s="1" t="s">
        <v>6113</v>
      </c>
      <c r="K3042" s="2" t="s">
        <v>9186</v>
      </c>
      <c r="L3042" s="10" t="s">
        <v>2775</v>
      </c>
      <c r="M3042" s="2" t="str">
        <f>IFERROR(__xludf.DUMMYFUNCTION("split(split(K3042,""大、"",false),""公式LINE"",false)"),"かつて関東一円でその名を鳴らした暴走族・八州連合のヘッド。熱い魂を持つ型破りな主人公・矢島金太郎がサラリーマンの常識をぶち破り、行く先々で大暴れを繰り広げます!永井")</f>
        <v>かつて関東一円でその名を鳴らした暴走族・八州連合のヘッド。熱い魂を持つ型破りな主人公・矢島金太郎がサラリーマンの常識をぶち破り、行く先々で大暴れを繰り広げます!永井</v>
      </c>
      <c r="N3042" s="2"/>
      <c r="O3042" s="2"/>
      <c r="P3042" s="1"/>
      <c r="Q3042" s="1"/>
      <c r="R3042" s="1"/>
      <c r="S3042" s="1"/>
      <c r="T3042" s="1"/>
      <c r="U3042" s="1"/>
      <c r="V3042" s="1"/>
      <c r="W3042" s="1"/>
      <c r="X3042" s="1"/>
      <c r="Y3042" s="1"/>
      <c r="Z3042" s="1"/>
      <c r="AA3042" s="1"/>
      <c r="AB3042" s="1"/>
      <c r="AC3042" s="1"/>
      <c r="AD3042" s="1"/>
      <c r="AE3042" s="1"/>
      <c r="AF3042" s="1"/>
      <c r="AG3042" s="1"/>
      <c r="AH3042" s="1"/>
      <c r="AI3042" s="1"/>
      <c r="AJ3042" s="1"/>
      <c r="AK3042" s="1"/>
      <c r="AL3042" s="1"/>
      <c r="AM3042" s="1"/>
      <c r="AN3042" s="1"/>
      <c r="AO3042" s="1"/>
      <c r="AP3042" s="1"/>
      <c r="AQ3042" s="1"/>
      <c r="AR3042" s="1"/>
      <c r="AS3042" s="1"/>
      <c r="AT3042" s="1"/>
      <c r="AU3042" s="1"/>
      <c r="AV3042" s="1"/>
      <c r="AW3042" s="1"/>
      <c r="AX3042" s="1"/>
      <c r="AY3042" s="1"/>
      <c r="AZ3042" s="1"/>
      <c r="BA3042" s="1"/>
      <c r="BB3042" s="1"/>
    </row>
    <row r="3043" ht="204.75" customHeight="1">
      <c r="A3043" s="1">
        <v>5607.0</v>
      </c>
      <c r="B3043" s="2" t="s">
        <v>9180</v>
      </c>
      <c r="C3043" s="2">
        <f>IFERROR(__xludf.DUMMYFUNCTION("split(B3043,""_"")"),810.0)</f>
        <v>810</v>
      </c>
      <c r="D3043" s="2" t="str">
        <f>IFERROR(__xludf.DUMMYFUNCTION("""COMPUTED_VALUE"""),"EX")</f>
        <v>EX</v>
      </c>
      <c r="E3043" s="2" t="str">
        <f>IFERROR(__xludf.DUMMYFUNCTION("""COMPUTED_VALUE"""),"金23")</f>
        <v>金23</v>
      </c>
      <c r="F3043" s="2" t="s">
        <v>9181</v>
      </c>
      <c r="G3043" s="2" t="s">
        <v>9182</v>
      </c>
      <c r="H3043" s="1">
        <v>5.0</v>
      </c>
      <c r="J3043" s="1" t="s">
        <v>6113</v>
      </c>
      <c r="K3043" s="2" t="s">
        <v>9187</v>
      </c>
      <c r="L3043" s="10" t="s">
        <v>2775</v>
      </c>
      <c r="M3043" s="2" t="str">
        <f>IFERROR(__xludf.DUMMYFUNCTION("split(split(K3043,""大、"",false),""公式LINE"",false)"),"かつて関東一円でその名を鳴らした暴走族・八州連合のヘッド。熱い魂を持つ型破りな主人公・矢島金太郎がサラリーマンの常識をぶち破り、行く先々で大暴れを繰り広げます!永井")</f>
        <v>かつて関東一円でその名を鳴らした暴走族・八州連合のヘッド。熱い魂を持つ型破りな主人公・矢島金太郎がサラリーマンの常識をぶち破り、行く先々で大暴れを繰り広げます!永井</v>
      </c>
      <c r="N3043" s="2"/>
      <c r="O3043" s="2"/>
      <c r="P3043" s="1"/>
      <c r="Q3043" s="1"/>
      <c r="R3043" s="1"/>
      <c r="S3043" s="1"/>
      <c r="T3043" s="1"/>
      <c r="U3043" s="1"/>
      <c r="V3043" s="1"/>
      <c r="W3043" s="1"/>
      <c r="X3043" s="1"/>
      <c r="Y3043" s="1"/>
      <c r="Z3043" s="1"/>
      <c r="AA3043" s="1"/>
      <c r="AB3043" s="1"/>
      <c r="AC3043" s="1"/>
      <c r="AD3043" s="1"/>
      <c r="AE3043" s="1"/>
      <c r="AF3043" s="1"/>
      <c r="AG3043" s="1"/>
      <c r="AH3043" s="1"/>
      <c r="AI3043" s="1"/>
      <c r="AJ3043" s="1"/>
      <c r="AK3043" s="1"/>
      <c r="AL3043" s="1"/>
      <c r="AM3043" s="1"/>
      <c r="AN3043" s="1"/>
      <c r="AO3043" s="1"/>
      <c r="AP3043" s="1"/>
      <c r="AQ3043" s="1"/>
      <c r="AR3043" s="1"/>
      <c r="AS3043" s="1"/>
      <c r="AT3043" s="1"/>
      <c r="AU3043" s="1"/>
      <c r="AV3043" s="1"/>
      <c r="AW3043" s="1"/>
      <c r="AX3043" s="1"/>
      <c r="AY3043" s="1"/>
      <c r="AZ3043" s="1"/>
      <c r="BA3043" s="1"/>
      <c r="BB3043" s="1"/>
    </row>
    <row r="3044" ht="204.75" customHeight="1">
      <c r="A3044" s="1">
        <v>5608.0</v>
      </c>
      <c r="B3044" s="2" t="s">
        <v>9180</v>
      </c>
      <c r="C3044" s="2">
        <f>IFERROR(__xludf.DUMMYFUNCTION("split(B3044,""_"")"),810.0)</f>
        <v>810</v>
      </c>
      <c r="D3044" s="2" t="str">
        <f>IFERROR(__xludf.DUMMYFUNCTION("""COMPUTED_VALUE"""),"EX")</f>
        <v>EX</v>
      </c>
      <c r="E3044" s="2" t="str">
        <f>IFERROR(__xludf.DUMMYFUNCTION("""COMPUTED_VALUE"""),"金23")</f>
        <v>金23</v>
      </c>
      <c r="F3044" s="2" t="s">
        <v>9181</v>
      </c>
      <c r="G3044" s="2" t="s">
        <v>9182</v>
      </c>
      <c r="H3044" s="1">
        <v>6.0</v>
      </c>
      <c r="J3044" s="1" t="s">
        <v>6113</v>
      </c>
      <c r="K3044" s="2" t="s">
        <v>9188</v>
      </c>
      <c r="L3044" s="10" t="s">
        <v>2775</v>
      </c>
      <c r="M3044" s="2" t="str">
        <f>IFERROR(__xludf.DUMMYFUNCTION("split(split(K3044,""大、"",false),""公式LINE"",false)"),"かつて関東一円でその名を鳴らした暴走族・八州連合のヘッド。熱い魂を持つ型破りな主人公・矢島金太郎がサラリーマンの常識をぶち破り、行く先々で大暴れを繰り広げます!永井")</f>
        <v>かつて関東一円でその名を鳴らした暴走族・八州連合のヘッド。熱い魂を持つ型破りな主人公・矢島金太郎がサラリーマンの常識をぶち破り、行く先々で大暴れを繰り広げます!永井</v>
      </c>
      <c r="N3044" s="2"/>
      <c r="O3044" s="2"/>
      <c r="P3044" s="1"/>
      <c r="Q3044" s="1"/>
      <c r="R3044" s="1"/>
      <c r="S3044" s="1"/>
      <c r="T3044" s="1"/>
      <c r="U3044" s="1"/>
      <c r="V3044" s="1"/>
      <c r="W3044" s="1"/>
      <c r="X3044" s="1"/>
      <c r="Y3044" s="1"/>
      <c r="Z3044" s="1"/>
      <c r="AA3044" s="1"/>
      <c r="AB3044" s="1"/>
      <c r="AC3044" s="1"/>
      <c r="AD3044" s="1"/>
      <c r="AE3044" s="1"/>
      <c r="AF3044" s="1"/>
      <c r="AG3044" s="1"/>
      <c r="AH3044" s="1"/>
      <c r="AI3044" s="1"/>
      <c r="AJ3044" s="1"/>
      <c r="AK3044" s="1"/>
      <c r="AL3044" s="1"/>
      <c r="AM3044" s="1"/>
      <c r="AN3044" s="1"/>
      <c r="AO3044" s="1"/>
      <c r="AP3044" s="1"/>
      <c r="AQ3044" s="1"/>
      <c r="AR3044" s="1"/>
      <c r="AS3044" s="1"/>
      <c r="AT3044" s="1"/>
      <c r="AU3044" s="1"/>
      <c r="AV3044" s="1"/>
      <c r="AW3044" s="1"/>
      <c r="AX3044" s="1"/>
      <c r="AY3044" s="1"/>
      <c r="AZ3044" s="1"/>
      <c r="BA3044" s="1"/>
      <c r="BB3044" s="1"/>
    </row>
    <row r="3045" ht="204.75" customHeight="1">
      <c r="A3045" s="1">
        <v>5609.0</v>
      </c>
      <c r="B3045" s="2" t="s">
        <v>9180</v>
      </c>
      <c r="C3045" s="2">
        <f>IFERROR(__xludf.DUMMYFUNCTION("split(B3045,""_"")"),810.0)</f>
        <v>810</v>
      </c>
      <c r="D3045" s="2" t="str">
        <f>IFERROR(__xludf.DUMMYFUNCTION("""COMPUTED_VALUE"""),"EX")</f>
        <v>EX</v>
      </c>
      <c r="E3045" s="2" t="str">
        <f>IFERROR(__xludf.DUMMYFUNCTION("""COMPUTED_VALUE"""),"金23")</f>
        <v>金23</v>
      </c>
      <c r="F3045" s="2" t="s">
        <v>9181</v>
      </c>
      <c r="G3045" s="2" t="s">
        <v>9182</v>
      </c>
      <c r="H3045" s="1">
        <v>7.0</v>
      </c>
      <c r="J3045" s="1" t="s">
        <v>6113</v>
      </c>
      <c r="K3045" s="2" t="s">
        <v>9189</v>
      </c>
      <c r="L3045" s="10" t="s">
        <v>2775</v>
      </c>
      <c r="M3045" s="2" t="str">
        <f>IFERROR(__xludf.DUMMYFUNCTION("split(split(K3045,""大、"",false),""公式LINE"",false)"),"かつて関東一円でその名を鳴らした暴走族・八州連合のヘッド。熱い魂を持つ型破りな主人公・矢島金太郎がサラリーマンの常識をぶち破り、行く先々で大暴れを繰り広げます!永井")</f>
        <v>かつて関東一円でその名を鳴らした暴走族・八州連合のヘッド。熱い魂を持つ型破りな主人公・矢島金太郎がサラリーマンの常識をぶち破り、行く先々で大暴れを繰り広げます!永井</v>
      </c>
      <c r="N3045" s="2"/>
      <c r="O3045" s="2"/>
      <c r="P3045" s="1"/>
      <c r="Q3045" s="1"/>
      <c r="R3045" s="1"/>
      <c r="S3045" s="1"/>
      <c r="T3045" s="1"/>
      <c r="U3045" s="1"/>
      <c r="V3045" s="1"/>
      <c r="W3045" s="1"/>
      <c r="X3045" s="1"/>
      <c r="Y3045" s="1"/>
      <c r="Z3045" s="1"/>
      <c r="AA3045" s="1"/>
      <c r="AB3045" s="1"/>
      <c r="AC3045" s="1"/>
      <c r="AD3045" s="1"/>
      <c r="AE3045" s="1"/>
      <c r="AF3045" s="1"/>
      <c r="AG3045" s="1"/>
      <c r="AH3045" s="1"/>
      <c r="AI3045" s="1"/>
      <c r="AJ3045" s="1"/>
      <c r="AK3045" s="1"/>
      <c r="AL3045" s="1"/>
      <c r="AM3045" s="1"/>
      <c r="AN3045" s="1"/>
      <c r="AO3045" s="1"/>
      <c r="AP3045" s="1"/>
      <c r="AQ3045" s="1"/>
      <c r="AR3045" s="1"/>
      <c r="AS3045" s="1"/>
      <c r="AT3045" s="1"/>
      <c r="AU3045" s="1"/>
      <c r="AV3045" s="1"/>
      <c r="AW3045" s="1"/>
      <c r="AX3045" s="1"/>
      <c r="AY3045" s="1"/>
      <c r="AZ3045" s="1"/>
      <c r="BA3045" s="1"/>
      <c r="BB3045" s="1"/>
    </row>
    <row r="3046" ht="204.75" customHeight="1">
      <c r="A3046" s="1">
        <v>5610.0</v>
      </c>
      <c r="B3046" s="2" t="s">
        <v>9180</v>
      </c>
      <c r="C3046" s="2">
        <f>IFERROR(__xludf.DUMMYFUNCTION("split(B3046,""_"")"),810.0)</f>
        <v>810</v>
      </c>
      <c r="D3046" s="2" t="str">
        <f>IFERROR(__xludf.DUMMYFUNCTION("""COMPUTED_VALUE"""),"EX")</f>
        <v>EX</v>
      </c>
      <c r="E3046" s="2" t="str">
        <f>IFERROR(__xludf.DUMMYFUNCTION("""COMPUTED_VALUE"""),"金23")</f>
        <v>金23</v>
      </c>
      <c r="F3046" s="2" t="s">
        <v>9181</v>
      </c>
      <c r="G3046" s="2" t="s">
        <v>9182</v>
      </c>
      <c r="H3046" s="1">
        <v>8.0</v>
      </c>
      <c r="J3046" s="1" t="s">
        <v>6113</v>
      </c>
      <c r="K3046" s="2" t="s">
        <v>9187</v>
      </c>
      <c r="L3046" s="10" t="s">
        <v>2775</v>
      </c>
      <c r="M3046" s="2" t="str">
        <f>IFERROR(__xludf.DUMMYFUNCTION("split(split(K3046,""大、"",false),""公式LINE"",false)"),"かつて関東一円でその名を鳴らした暴走族・八州連合のヘッド。熱い魂を持つ型破りな主人公・矢島金太郎がサラリーマンの常識をぶち破り、行く先々で大暴れを繰り広げます!永井")</f>
        <v>かつて関東一円でその名を鳴らした暴走族・八州連合のヘッド。熱い魂を持つ型破りな主人公・矢島金太郎がサラリーマンの常識をぶち破り、行く先々で大暴れを繰り広げます!永井</v>
      </c>
      <c r="N3046" s="2"/>
      <c r="O3046" s="2"/>
      <c r="P3046" s="1"/>
      <c r="Q3046" s="1"/>
      <c r="R3046" s="1"/>
      <c r="S3046" s="1"/>
      <c r="T3046" s="1"/>
      <c r="U3046" s="1"/>
      <c r="V3046" s="1"/>
      <c r="W3046" s="1"/>
      <c r="X3046" s="1"/>
      <c r="Y3046" s="1"/>
      <c r="Z3046" s="1"/>
      <c r="AA3046" s="1"/>
      <c r="AB3046" s="1"/>
      <c r="AC3046" s="1"/>
      <c r="AD3046" s="1"/>
      <c r="AE3046" s="1"/>
      <c r="AF3046" s="1"/>
      <c r="AG3046" s="1"/>
      <c r="AH3046" s="1"/>
      <c r="AI3046" s="1"/>
      <c r="AJ3046" s="1"/>
      <c r="AK3046" s="1"/>
      <c r="AL3046" s="1"/>
      <c r="AM3046" s="1"/>
      <c r="AN3046" s="1"/>
      <c r="AO3046" s="1"/>
      <c r="AP3046" s="1"/>
      <c r="AQ3046" s="1"/>
      <c r="AR3046" s="1"/>
      <c r="AS3046" s="1"/>
      <c r="AT3046" s="1"/>
      <c r="AU3046" s="1"/>
      <c r="AV3046" s="1"/>
      <c r="AW3046" s="1"/>
      <c r="AX3046" s="1"/>
      <c r="AY3046" s="1"/>
      <c r="AZ3046" s="1"/>
      <c r="BA3046" s="1"/>
      <c r="BB3046" s="1"/>
    </row>
    <row r="3047" ht="204.75" customHeight="1">
      <c r="A3047" s="1">
        <v>5611.0</v>
      </c>
      <c r="B3047" s="2" t="s">
        <v>9180</v>
      </c>
      <c r="C3047" s="2">
        <f>IFERROR(__xludf.DUMMYFUNCTION("split(B3047,""_"")"),810.0)</f>
        <v>810</v>
      </c>
      <c r="D3047" s="2" t="str">
        <f>IFERROR(__xludf.DUMMYFUNCTION("""COMPUTED_VALUE"""),"EX")</f>
        <v>EX</v>
      </c>
      <c r="E3047" s="2" t="str">
        <f>IFERROR(__xludf.DUMMYFUNCTION("""COMPUTED_VALUE"""),"金23")</f>
        <v>金23</v>
      </c>
      <c r="F3047" s="2" t="s">
        <v>9181</v>
      </c>
      <c r="G3047" s="2" t="s">
        <v>9182</v>
      </c>
      <c r="H3047" s="1">
        <v>9.0</v>
      </c>
      <c r="J3047" s="1" t="s">
        <v>6113</v>
      </c>
      <c r="K3047" s="2" t="s">
        <v>9189</v>
      </c>
      <c r="L3047" s="10" t="s">
        <v>2775</v>
      </c>
      <c r="M3047" s="2" t="str">
        <f>IFERROR(__xludf.DUMMYFUNCTION("split(split(K3047,""大、"",false),""公式LINE"",false)"),"かつて関東一円でその名を鳴らした暴走族・八州連合のヘッド。熱い魂を持つ型破りな主人公・矢島金太郎がサラリーマンの常識をぶち破り、行く先々で大暴れを繰り広げます!永井")</f>
        <v>かつて関東一円でその名を鳴らした暴走族・八州連合のヘッド。熱い魂を持つ型破りな主人公・矢島金太郎がサラリーマンの常識をぶち破り、行く先々で大暴れを繰り広げます!永井</v>
      </c>
      <c r="N3047" s="2"/>
      <c r="O3047" s="2"/>
      <c r="P3047" s="1"/>
      <c r="Q3047" s="1"/>
      <c r="R3047" s="1"/>
      <c r="S3047" s="1"/>
      <c r="T3047" s="1"/>
      <c r="U3047" s="1"/>
      <c r="V3047" s="1"/>
      <c r="W3047" s="1"/>
      <c r="X3047" s="1"/>
      <c r="Y3047" s="1"/>
      <c r="Z3047" s="1"/>
      <c r="AA3047" s="1"/>
      <c r="AB3047" s="1"/>
      <c r="AC3047" s="1"/>
      <c r="AD3047" s="1"/>
      <c r="AE3047" s="1"/>
      <c r="AF3047" s="1"/>
      <c r="AG3047" s="1"/>
      <c r="AH3047" s="1"/>
      <c r="AI3047" s="1"/>
      <c r="AJ3047" s="1"/>
      <c r="AK3047" s="1"/>
      <c r="AL3047" s="1"/>
      <c r="AM3047" s="1"/>
      <c r="AN3047" s="1"/>
      <c r="AO3047" s="1"/>
      <c r="AP3047" s="1"/>
      <c r="AQ3047" s="1"/>
      <c r="AR3047" s="1"/>
      <c r="AS3047" s="1"/>
      <c r="AT3047" s="1"/>
      <c r="AU3047" s="1"/>
      <c r="AV3047" s="1"/>
      <c r="AW3047" s="1"/>
      <c r="AX3047" s="1"/>
      <c r="AY3047" s="1"/>
      <c r="AZ3047" s="1"/>
      <c r="BA3047" s="1"/>
      <c r="BB3047" s="1"/>
    </row>
    <row r="3048" ht="204.75" customHeight="1">
      <c r="A3048" s="1">
        <v>5612.0</v>
      </c>
      <c r="B3048" s="2" t="s">
        <v>9180</v>
      </c>
      <c r="C3048" s="2">
        <f>IFERROR(__xludf.DUMMYFUNCTION("split(B3048,""_"")"),810.0)</f>
        <v>810</v>
      </c>
      <c r="D3048" s="2" t="str">
        <f>IFERROR(__xludf.DUMMYFUNCTION("""COMPUTED_VALUE"""),"EX")</f>
        <v>EX</v>
      </c>
      <c r="E3048" s="2" t="str">
        <f>IFERROR(__xludf.DUMMYFUNCTION("""COMPUTED_VALUE"""),"金23")</f>
        <v>金23</v>
      </c>
      <c r="F3048" s="2" t="s">
        <v>9181</v>
      </c>
      <c r="G3048" s="2" t="s">
        <v>9182</v>
      </c>
      <c r="H3048" s="1">
        <v>10.0</v>
      </c>
      <c r="J3048" s="1" t="s">
        <v>1435</v>
      </c>
      <c r="K3048" s="2" t="s">
        <v>9190</v>
      </c>
      <c r="L3048" s="10" t="s">
        <v>2775</v>
      </c>
      <c r="M3048" s="2" t="str">
        <f>IFERROR(__xludf.DUMMYFUNCTION("split(split(K3048,""大、"",false),""公式LINE"",false)"),"かつて関東一円でその名を鳴らした暴走族・八州連合のヘッド。熱い魂を持つ型破りな主人公・矢島金太郎がサラリーマンの常識をぶち破り、行く先々で大暴れを繰り広げます!永井")</f>
        <v>かつて関東一円でその名を鳴らした暴走族・八州連合のヘッド。熱い魂を持つ型破りな主人公・矢島金太郎がサラリーマンの常識をぶち破り、行く先々で大暴れを繰り広げます!永井</v>
      </c>
      <c r="N3048" s="2"/>
      <c r="O3048" s="2"/>
      <c r="P3048" s="1"/>
      <c r="Q3048" s="1"/>
      <c r="R3048" s="1"/>
      <c r="S3048" s="1"/>
      <c r="T3048" s="1"/>
      <c r="U3048" s="1"/>
      <c r="V3048" s="1"/>
      <c r="W3048" s="1"/>
      <c r="X3048" s="1"/>
      <c r="Y3048" s="1"/>
      <c r="Z3048" s="1"/>
      <c r="AA3048" s="1"/>
      <c r="AB3048" s="1"/>
      <c r="AC3048" s="1"/>
      <c r="AD3048" s="1"/>
      <c r="AE3048" s="1"/>
      <c r="AF3048" s="1"/>
      <c r="AG3048" s="1"/>
      <c r="AH3048" s="1"/>
      <c r="AI3048" s="1"/>
      <c r="AJ3048" s="1"/>
      <c r="AK3048" s="1"/>
      <c r="AL3048" s="1"/>
      <c r="AM3048" s="1"/>
      <c r="AN3048" s="1"/>
      <c r="AO3048" s="1"/>
      <c r="AP3048" s="1"/>
      <c r="AQ3048" s="1"/>
      <c r="AR3048" s="1"/>
      <c r="AS3048" s="1"/>
      <c r="AT3048" s="1"/>
      <c r="AU3048" s="1"/>
      <c r="AV3048" s="1"/>
      <c r="AW3048" s="1"/>
      <c r="AX3048" s="1"/>
      <c r="AY3048" s="1"/>
      <c r="AZ3048" s="1"/>
      <c r="BA3048" s="1"/>
      <c r="BB3048" s="1"/>
    </row>
    <row r="3049" ht="204.75" customHeight="1">
      <c r="A3049" s="1">
        <v>5674.0</v>
      </c>
      <c r="B3049" s="2" t="s">
        <v>9191</v>
      </c>
      <c r="C3049" s="2">
        <f>IFERROR(__xludf.DUMMYFUNCTION("split(B3049,""_"")"),807.0)</f>
        <v>807</v>
      </c>
      <c r="D3049" s="2" t="str">
        <f>IFERROR(__xludf.DUMMYFUNCTION("""COMPUTED_VALUE"""),"EX")</f>
        <v>EX</v>
      </c>
      <c r="E3049" s="2" t="str">
        <f>IFERROR(__xludf.DUMMYFUNCTION("""COMPUTED_VALUE"""),"水21")</f>
        <v>水21</v>
      </c>
      <c r="F3049" s="2" t="s">
        <v>9192</v>
      </c>
      <c r="G3049" s="2" t="s">
        <v>9193</v>
      </c>
      <c r="H3049" s="1">
        <v>1.0</v>
      </c>
      <c r="I3049" s="1" t="s">
        <v>2868</v>
      </c>
      <c r="J3049" s="1" t="s">
        <v>11</v>
      </c>
      <c r="K3049" s="2" t="s">
        <v>9194</v>
      </c>
      <c r="L3049" s="11" t="s">
        <v>9195</v>
      </c>
      <c r="M3049" s="2" t="str">
        <f>IFERROR(__xludf.DUMMYFUNCTION("split(split(K3049,""…"",false),""公式LINE"",false)"),"第1話「ダメ警官登場」  井の頭署の地下にある備品係")</f>
        <v>第1話「ダメ警官登場」  井の頭署の地下にある備品係</v>
      </c>
      <c r="N3049" s="2"/>
      <c r="O3049" s="2"/>
      <c r="P3049" s="1"/>
      <c r="Q3049" s="1"/>
      <c r="R3049" s="1"/>
      <c r="S3049" s="1"/>
      <c r="T3049" s="1"/>
      <c r="U3049" s="1"/>
      <c r="V3049" s="1"/>
      <c r="W3049" s="1"/>
      <c r="X3049" s="1"/>
      <c r="Y3049" s="1"/>
      <c r="Z3049" s="1"/>
      <c r="AA3049" s="1"/>
      <c r="AB3049" s="1"/>
      <c r="AC3049" s="1"/>
      <c r="AD3049" s="1"/>
      <c r="AE3049" s="1"/>
      <c r="AF3049" s="1"/>
      <c r="AG3049" s="1"/>
      <c r="AH3049" s="1"/>
      <c r="AI3049" s="1"/>
      <c r="AJ3049" s="1"/>
      <c r="AK3049" s="1"/>
      <c r="AL3049" s="1"/>
      <c r="AM3049" s="1"/>
      <c r="AN3049" s="1"/>
      <c r="AO3049" s="1"/>
      <c r="AP3049" s="1"/>
      <c r="AQ3049" s="1"/>
      <c r="AR3049" s="1"/>
      <c r="AS3049" s="1"/>
      <c r="AT3049" s="1"/>
      <c r="AU3049" s="1"/>
      <c r="AV3049" s="1"/>
      <c r="AW3049" s="1"/>
      <c r="AX3049" s="1"/>
      <c r="AY3049" s="1"/>
      <c r="AZ3049" s="1"/>
      <c r="BA3049" s="1"/>
      <c r="BB3049" s="1"/>
    </row>
    <row r="3050" ht="204.75" customHeight="1">
      <c r="A3050" s="1">
        <v>5675.0</v>
      </c>
      <c r="B3050" s="2" t="s">
        <v>9191</v>
      </c>
      <c r="C3050" s="2">
        <f>IFERROR(__xludf.DUMMYFUNCTION("split(B3050,""_"")"),807.0)</f>
        <v>807</v>
      </c>
      <c r="D3050" s="2" t="str">
        <f>IFERROR(__xludf.DUMMYFUNCTION("""COMPUTED_VALUE"""),"EX")</f>
        <v>EX</v>
      </c>
      <c r="E3050" s="2" t="str">
        <f>IFERROR(__xludf.DUMMYFUNCTION("""COMPUTED_VALUE"""),"水21")</f>
        <v>水21</v>
      </c>
      <c r="F3050" s="2" t="s">
        <v>9192</v>
      </c>
      <c r="G3050" s="2" t="s">
        <v>9193</v>
      </c>
      <c r="H3050" s="1">
        <v>2.0</v>
      </c>
      <c r="I3050" s="1" t="s">
        <v>2872</v>
      </c>
      <c r="J3050" s="1" t="s">
        <v>11</v>
      </c>
      <c r="K3050" s="2" t="s">
        <v>9196</v>
      </c>
      <c r="L3050" s="11" t="s">
        <v>9197</v>
      </c>
      <c r="M3050" s="2" t="str">
        <f>IFERROR(__xludf.DUMMYFUNCTION("split(split(K3050,""…"",false),""公式LINE"",false)"),"第2話「第一容疑者」  鶴(本仮屋ユイカ)ともなみ(前田亜季)が撃たれた")</f>
        <v>第2話「第一容疑者」  鶴(本仮屋ユイカ)ともなみ(前田亜季)が撃たれた</v>
      </c>
      <c r="N3050" s="2"/>
      <c r="O3050" s="2"/>
      <c r="P3050" s="1"/>
      <c r="Q3050" s="1"/>
      <c r="R3050" s="1"/>
      <c r="S3050" s="1"/>
      <c r="T3050" s="1"/>
      <c r="U3050" s="1"/>
      <c r="V3050" s="1"/>
      <c r="W3050" s="1"/>
      <c r="X3050" s="1"/>
      <c r="Y3050" s="1"/>
      <c r="Z3050" s="1"/>
      <c r="AA3050" s="1"/>
      <c r="AB3050" s="1"/>
      <c r="AC3050" s="1"/>
      <c r="AD3050" s="1"/>
      <c r="AE3050" s="1"/>
      <c r="AF3050" s="1"/>
      <c r="AG3050" s="1"/>
      <c r="AH3050" s="1"/>
      <c r="AI3050" s="1"/>
      <c r="AJ3050" s="1"/>
      <c r="AK3050" s="1"/>
      <c r="AL3050" s="1"/>
      <c r="AM3050" s="1"/>
      <c r="AN3050" s="1"/>
      <c r="AO3050" s="1"/>
      <c r="AP3050" s="1"/>
      <c r="AQ3050" s="1"/>
      <c r="AR3050" s="1"/>
      <c r="AS3050" s="1"/>
      <c r="AT3050" s="1"/>
      <c r="AU3050" s="1"/>
      <c r="AV3050" s="1"/>
      <c r="AW3050" s="1"/>
      <c r="AX3050" s="1"/>
      <c r="AY3050" s="1"/>
      <c r="AZ3050" s="1"/>
      <c r="BA3050" s="1"/>
      <c r="BB3050" s="1"/>
    </row>
    <row r="3051" ht="204.75" customHeight="1">
      <c r="A3051" s="1">
        <v>5676.0</v>
      </c>
      <c r="B3051" s="2" t="s">
        <v>9191</v>
      </c>
      <c r="C3051" s="2">
        <f>IFERROR(__xludf.DUMMYFUNCTION("split(B3051,""_"")"),807.0)</f>
        <v>807</v>
      </c>
      <c r="D3051" s="2" t="str">
        <f>IFERROR(__xludf.DUMMYFUNCTION("""COMPUTED_VALUE"""),"EX")</f>
        <v>EX</v>
      </c>
      <c r="E3051" s="2" t="str">
        <f>IFERROR(__xludf.DUMMYFUNCTION("""COMPUTED_VALUE"""),"水21")</f>
        <v>水21</v>
      </c>
      <c r="F3051" s="2" t="s">
        <v>9192</v>
      </c>
      <c r="G3051" s="2" t="s">
        <v>9193</v>
      </c>
      <c r="H3051" s="1">
        <v>3.0</v>
      </c>
      <c r="I3051" s="1" t="s">
        <v>2876</v>
      </c>
      <c r="J3051" s="1" t="s">
        <v>11</v>
      </c>
      <c r="K3051" s="2" t="s">
        <v>9198</v>
      </c>
      <c r="L3051" s="11" t="s">
        <v>9199</v>
      </c>
      <c r="M3051" s="2" t="str">
        <f>IFERROR(__xludf.DUMMYFUNCTION("split(split(K3051,""…"",false),""公式LINE"",false)"),"第3話「目撃者ロダン」  日本一のダメ警官黒木(内野聖陽)がついに動き出す!?もなみ(前田亜季)銃撃の手がかりを得ようと聞き込みを開始し、天性の勘で事件の目撃者(金田明夫)を見つけるのだが")</f>
        <v>第3話「目撃者ロダン」  日本一のダメ警官黒木(内野聖陽)がついに動き出す!?もなみ(前田亜季)銃撃の手がかりを得ようと聞き込みを開始し、天性の勘で事件の目撃者(金田明夫)を見つけるのだが</v>
      </c>
      <c r="N3051" s="2"/>
      <c r="O3051" s="2"/>
      <c r="P3051" s="1"/>
      <c r="Q3051" s="1"/>
      <c r="R3051" s="1"/>
      <c r="S3051" s="1"/>
      <c r="T3051" s="1"/>
      <c r="U3051" s="1"/>
      <c r="V3051" s="1"/>
      <c r="W3051" s="1"/>
      <c r="X3051" s="1"/>
      <c r="Y3051" s="1"/>
      <c r="Z3051" s="1"/>
      <c r="AA3051" s="1"/>
      <c r="AB3051" s="1"/>
      <c r="AC3051" s="1"/>
      <c r="AD3051" s="1"/>
      <c r="AE3051" s="1"/>
      <c r="AF3051" s="1"/>
      <c r="AG3051" s="1"/>
      <c r="AH3051" s="1"/>
      <c r="AI3051" s="1"/>
      <c r="AJ3051" s="1"/>
      <c r="AK3051" s="1"/>
      <c r="AL3051" s="1"/>
      <c r="AM3051" s="1"/>
      <c r="AN3051" s="1"/>
      <c r="AO3051" s="1"/>
      <c r="AP3051" s="1"/>
      <c r="AQ3051" s="1"/>
      <c r="AR3051" s="1"/>
      <c r="AS3051" s="1"/>
      <c r="AT3051" s="1"/>
      <c r="AU3051" s="1"/>
      <c r="AV3051" s="1"/>
      <c r="AW3051" s="1"/>
      <c r="AX3051" s="1"/>
      <c r="AY3051" s="1"/>
      <c r="AZ3051" s="1"/>
      <c r="BA3051" s="1"/>
      <c r="BB3051" s="1"/>
    </row>
    <row r="3052" ht="204.75" customHeight="1">
      <c r="A3052" s="1">
        <v>5677.0</v>
      </c>
      <c r="B3052" s="2" t="s">
        <v>9191</v>
      </c>
      <c r="C3052" s="2">
        <f>IFERROR(__xludf.DUMMYFUNCTION("split(B3052,""_"")"),807.0)</f>
        <v>807</v>
      </c>
      <c r="D3052" s="2" t="str">
        <f>IFERROR(__xludf.DUMMYFUNCTION("""COMPUTED_VALUE"""),"EX")</f>
        <v>EX</v>
      </c>
      <c r="E3052" s="2" t="str">
        <f>IFERROR(__xludf.DUMMYFUNCTION("""COMPUTED_VALUE"""),"水21")</f>
        <v>水21</v>
      </c>
      <c r="F3052" s="2" t="s">
        <v>9192</v>
      </c>
      <c r="G3052" s="2" t="s">
        <v>9193</v>
      </c>
      <c r="H3052" s="1">
        <v>4.0</v>
      </c>
      <c r="I3052" s="1" t="s">
        <v>2880</v>
      </c>
      <c r="J3052" s="1" t="s">
        <v>11</v>
      </c>
      <c r="K3052" s="2" t="s">
        <v>9200</v>
      </c>
      <c r="L3052" s="11" t="s">
        <v>9201</v>
      </c>
      <c r="M3052" s="2" t="str">
        <f>IFERROR(__xludf.DUMMYFUNCTION("split(split(K3052,""…"",false),""公式LINE"",false)"),"第4話「天使の証明」  日本一のダメ警官黒木(内野聖陽)が捜査に復帰。佐久間(筒井道隆)の指示でもなみ(前田亜季)の男性関係を洗う。憔悴しきったもなみの両親にもあたるが黒木は後ろめたい男性関係などないと判断するが佐久間は否定し、もなみの家を訪れ手がかりを掴もうとする")</f>
        <v>第4話「天使の証明」  日本一のダメ警官黒木(内野聖陽)が捜査に復帰。佐久間(筒井道隆)の指示でもなみ(前田亜季)の男性関係を洗う。憔悴しきったもなみの両親にもあたるが黒木は後ろめたい男性関係などないと判断するが佐久間は否定し、もなみの家を訪れ手がかりを掴もうとする</v>
      </c>
      <c r="N3052" s="2"/>
      <c r="O3052" s="2"/>
      <c r="P3052" s="1"/>
      <c r="Q3052" s="1"/>
      <c r="R3052" s="1"/>
      <c r="S3052" s="1"/>
      <c r="T3052" s="1"/>
      <c r="U3052" s="1"/>
      <c r="V3052" s="1"/>
      <c r="W3052" s="1"/>
      <c r="X3052" s="1"/>
      <c r="Y3052" s="1"/>
      <c r="Z3052" s="1"/>
      <c r="AA3052" s="1"/>
      <c r="AB3052" s="1"/>
      <c r="AC3052" s="1"/>
      <c r="AD3052" s="1"/>
      <c r="AE3052" s="1"/>
      <c r="AF3052" s="1"/>
      <c r="AG3052" s="1"/>
      <c r="AH3052" s="1"/>
      <c r="AI3052" s="1"/>
      <c r="AJ3052" s="1"/>
      <c r="AK3052" s="1"/>
      <c r="AL3052" s="1"/>
      <c r="AM3052" s="1"/>
      <c r="AN3052" s="1"/>
      <c r="AO3052" s="1"/>
      <c r="AP3052" s="1"/>
      <c r="AQ3052" s="1"/>
      <c r="AR3052" s="1"/>
      <c r="AS3052" s="1"/>
      <c r="AT3052" s="1"/>
      <c r="AU3052" s="1"/>
      <c r="AV3052" s="1"/>
      <c r="AW3052" s="1"/>
      <c r="AX3052" s="1"/>
      <c r="AY3052" s="1"/>
      <c r="AZ3052" s="1"/>
      <c r="BA3052" s="1"/>
      <c r="BB3052" s="1"/>
    </row>
    <row r="3053" ht="204.75" customHeight="1">
      <c r="A3053" s="1">
        <v>5678.0</v>
      </c>
      <c r="B3053" s="2" t="s">
        <v>9191</v>
      </c>
      <c r="C3053" s="2">
        <f>IFERROR(__xludf.DUMMYFUNCTION("split(B3053,""_"")"),807.0)</f>
        <v>807</v>
      </c>
      <c r="D3053" s="2" t="str">
        <f>IFERROR(__xludf.DUMMYFUNCTION("""COMPUTED_VALUE"""),"EX")</f>
        <v>EX</v>
      </c>
      <c r="E3053" s="2" t="str">
        <f>IFERROR(__xludf.DUMMYFUNCTION("""COMPUTED_VALUE"""),"水21")</f>
        <v>水21</v>
      </c>
      <c r="F3053" s="2" t="s">
        <v>9192</v>
      </c>
      <c r="G3053" s="2" t="s">
        <v>9193</v>
      </c>
      <c r="H3053" s="1">
        <v>5.0</v>
      </c>
      <c r="I3053" s="1" t="s">
        <v>2884</v>
      </c>
      <c r="J3053" s="1" t="s">
        <v>11</v>
      </c>
      <c r="K3053" s="2" t="s">
        <v>9202</v>
      </c>
      <c r="L3053" s="11" t="s">
        <v>9203</v>
      </c>
      <c r="M3053" s="2" t="str">
        <f>IFERROR(__xludf.DUMMYFUNCTION("split(split(K3053,""…"",false),""公式LINE"",false)"),"第5話「幻の拳銃」  黒木(内野聖陽)の提案で捜査本部はもなみ殺害に使われた銃を捜査することに。組事務所を捜索した結果イカズチという拳銃を売りに来た謎のブローカーがいたことが判明。黒木らは当時イカズチ製造工場で働いていた津田(左とん平)から話を聞くが")</f>
        <v>第5話「幻の拳銃」  黒木(内野聖陽)の提案で捜査本部はもなみ殺害に使われた銃を捜査することに。組事務所を捜索した結果イカズチという拳銃を売りに来た謎のブローカーがいたことが判明。黒木らは当時イカズチ製造工場で働いていた津田(左とん平)から話を聞くが</v>
      </c>
      <c r="N3053" s="2"/>
      <c r="O3053" s="2"/>
      <c r="P3053" s="1"/>
      <c r="Q3053" s="1"/>
      <c r="R3053" s="1"/>
      <c r="S3053" s="1"/>
      <c r="T3053" s="1"/>
      <c r="U3053" s="1"/>
      <c r="V3053" s="1"/>
      <c r="W3053" s="1"/>
      <c r="X3053" s="1"/>
      <c r="Y3053" s="1"/>
      <c r="Z3053" s="1"/>
      <c r="AA3053" s="1"/>
      <c r="AB3053" s="1"/>
      <c r="AC3053" s="1"/>
      <c r="AD3053" s="1"/>
      <c r="AE3053" s="1"/>
      <c r="AF3053" s="1"/>
      <c r="AG3053" s="1"/>
      <c r="AH3053" s="1"/>
      <c r="AI3053" s="1"/>
      <c r="AJ3053" s="1"/>
      <c r="AK3053" s="1"/>
      <c r="AL3053" s="1"/>
      <c r="AM3053" s="1"/>
      <c r="AN3053" s="1"/>
      <c r="AO3053" s="1"/>
      <c r="AP3053" s="1"/>
      <c r="AQ3053" s="1"/>
      <c r="AR3053" s="1"/>
      <c r="AS3053" s="1"/>
      <c r="AT3053" s="1"/>
      <c r="AU3053" s="1"/>
      <c r="AV3053" s="1"/>
      <c r="AW3053" s="1"/>
      <c r="AX3053" s="1"/>
      <c r="AY3053" s="1"/>
      <c r="AZ3053" s="1"/>
      <c r="BA3053" s="1"/>
      <c r="BB3053" s="1"/>
    </row>
    <row r="3054" ht="204.75" customHeight="1">
      <c r="A3054" s="1">
        <v>5679.0</v>
      </c>
      <c r="B3054" s="2" t="s">
        <v>9191</v>
      </c>
      <c r="C3054" s="2">
        <f>IFERROR(__xludf.DUMMYFUNCTION("split(B3054,""_"")"),807.0)</f>
        <v>807</v>
      </c>
      <c r="D3054" s="2" t="str">
        <f>IFERROR(__xludf.DUMMYFUNCTION("""COMPUTED_VALUE"""),"EX")</f>
        <v>EX</v>
      </c>
      <c r="E3054" s="2" t="str">
        <f>IFERROR(__xludf.DUMMYFUNCTION("""COMPUTED_VALUE"""),"水21")</f>
        <v>水21</v>
      </c>
      <c r="F3054" s="2" t="s">
        <v>9192</v>
      </c>
      <c r="G3054" s="2" t="s">
        <v>9193</v>
      </c>
      <c r="H3054" s="1">
        <v>6.0</v>
      </c>
      <c r="I3054" s="1" t="s">
        <v>2888</v>
      </c>
      <c r="J3054" s="1" t="s">
        <v>11</v>
      </c>
      <c r="K3054" s="2" t="s">
        <v>9204</v>
      </c>
      <c r="L3054" s="11" t="s">
        <v>9205</v>
      </c>
      <c r="M3054" s="2" t="str">
        <f>IFERROR(__xludf.DUMMYFUNCTION("split(split(K3054,""…"",false),""公式LINE"",false)"),"第6話「潜入捜査」  もなみ(前田亜季)殺害の容疑者が急浮上。思想団体会長の岡林(白井晃)。鶴の目撃証言とも一致。自宅に銃を何丁も所持との情報も")</f>
        <v>第6話「潜入捜査」  もなみ(前田亜季)殺害の容疑者が急浮上。思想団体会長の岡林(白井晃)。鶴の目撃証言とも一致。自宅に銃を何丁も所持との情報も</v>
      </c>
      <c r="N3054" s="2"/>
      <c r="O3054" s="2"/>
      <c r="P3054" s="1"/>
      <c r="Q3054" s="1"/>
      <c r="R3054" s="1"/>
      <c r="S3054" s="1"/>
      <c r="T3054" s="1"/>
      <c r="U3054" s="1"/>
      <c r="V3054" s="1"/>
      <c r="W3054" s="1"/>
      <c r="X3054" s="1"/>
      <c r="Y3054" s="1"/>
      <c r="Z3054" s="1"/>
      <c r="AA3054" s="1"/>
      <c r="AB3054" s="1"/>
      <c r="AC3054" s="1"/>
      <c r="AD3054" s="1"/>
      <c r="AE3054" s="1"/>
      <c r="AF3054" s="1"/>
      <c r="AG3054" s="1"/>
      <c r="AH3054" s="1"/>
      <c r="AI3054" s="1"/>
      <c r="AJ3054" s="1"/>
      <c r="AK3054" s="1"/>
      <c r="AL3054" s="1"/>
      <c r="AM3054" s="1"/>
      <c r="AN3054" s="1"/>
      <c r="AO3054" s="1"/>
      <c r="AP3054" s="1"/>
      <c r="AQ3054" s="1"/>
      <c r="AR3054" s="1"/>
      <c r="AS3054" s="1"/>
      <c r="AT3054" s="1"/>
      <c r="AU3054" s="1"/>
      <c r="AV3054" s="1"/>
      <c r="AW3054" s="1"/>
      <c r="AX3054" s="1"/>
      <c r="AY3054" s="1"/>
      <c r="AZ3054" s="1"/>
      <c r="BA3054" s="1"/>
      <c r="BB3054" s="1"/>
    </row>
    <row r="3055" ht="204.75" customHeight="1">
      <c r="A3055" s="1">
        <v>5680.0</v>
      </c>
      <c r="B3055" s="2" t="s">
        <v>9191</v>
      </c>
      <c r="C3055" s="2">
        <f>IFERROR(__xludf.DUMMYFUNCTION("split(B3055,""_"")"),807.0)</f>
        <v>807</v>
      </c>
      <c r="D3055" s="2" t="str">
        <f>IFERROR(__xludf.DUMMYFUNCTION("""COMPUTED_VALUE"""),"EX")</f>
        <v>EX</v>
      </c>
      <c r="E3055" s="2" t="str">
        <f>IFERROR(__xludf.DUMMYFUNCTION("""COMPUTED_VALUE"""),"水21")</f>
        <v>水21</v>
      </c>
      <c r="F3055" s="2" t="s">
        <v>9192</v>
      </c>
      <c r="G3055" s="2" t="s">
        <v>9193</v>
      </c>
      <c r="H3055" s="1">
        <v>7.0</v>
      </c>
      <c r="I3055" s="1" t="s">
        <v>2892</v>
      </c>
      <c r="J3055" s="1" t="s">
        <v>11</v>
      </c>
      <c r="K3055" s="2" t="s">
        <v>9206</v>
      </c>
      <c r="L3055" s="11" t="s">
        <v>9207</v>
      </c>
      <c r="M3055" s="2" t="str">
        <f>IFERROR(__xludf.DUMMYFUNCTION("split(split(K3055,""…"",false),""公式LINE"",false)"),"※【オリンピック2008】延長時には、放送時間が変更になる場合があります。  ご注意ください!第7話「3年前の真実」  岡林(白井晃)に銃を構えられた黒木(内野聖陽)の運命やいかに")</f>
        <v>※【オリンピック2008】延長時には、放送時間が変更になる場合があります。  ご注意ください!第7話「3年前の真実」  岡林(白井晃)に銃を構えられた黒木(内野聖陽)の運命やいかに</v>
      </c>
      <c r="N3055" s="2"/>
      <c r="O3055" s="2"/>
      <c r="P3055" s="1"/>
      <c r="Q3055" s="1"/>
      <c r="R3055" s="1"/>
      <c r="S3055" s="1"/>
      <c r="T3055" s="1"/>
      <c r="U3055" s="1"/>
      <c r="V3055" s="1"/>
      <c r="W3055" s="1"/>
      <c r="X3055" s="1"/>
      <c r="Y3055" s="1"/>
      <c r="Z3055" s="1"/>
      <c r="AA3055" s="1"/>
      <c r="AB3055" s="1"/>
      <c r="AC3055" s="1"/>
      <c r="AD3055" s="1"/>
      <c r="AE3055" s="1"/>
      <c r="AF3055" s="1"/>
      <c r="AG3055" s="1"/>
      <c r="AH3055" s="1"/>
      <c r="AI3055" s="1"/>
      <c r="AJ3055" s="1"/>
      <c r="AK3055" s="1"/>
      <c r="AL3055" s="1"/>
      <c r="AM3055" s="1"/>
      <c r="AN3055" s="1"/>
      <c r="AO3055" s="1"/>
      <c r="AP3055" s="1"/>
      <c r="AQ3055" s="1"/>
      <c r="AR3055" s="1"/>
      <c r="AS3055" s="1"/>
      <c r="AT3055" s="1"/>
      <c r="AU3055" s="1"/>
      <c r="AV3055" s="1"/>
      <c r="AW3055" s="1"/>
      <c r="AX3055" s="1"/>
      <c r="AY3055" s="1"/>
      <c r="AZ3055" s="1"/>
      <c r="BA3055" s="1"/>
      <c r="BB3055" s="1"/>
    </row>
    <row r="3056" ht="204.75" customHeight="1">
      <c r="A3056" s="1">
        <v>5681.0</v>
      </c>
      <c r="B3056" s="2" t="s">
        <v>9191</v>
      </c>
      <c r="C3056" s="2">
        <f>IFERROR(__xludf.DUMMYFUNCTION("split(B3056,""_"")"),807.0)</f>
        <v>807</v>
      </c>
      <c r="D3056" s="2" t="str">
        <f>IFERROR(__xludf.DUMMYFUNCTION("""COMPUTED_VALUE"""),"EX")</f>
        <v>EX</v>
      </c>
      <c r="E3056" s="2" t="str">
        <f>IFERROR(__xludf.DUMMYFUNCTION("""COMPUTED_VALUE"""),"水21")</f>
        <v>水21</v>
      </c>
      <c r="F3056" s="2" t="s">
        <v>9192</v>
      </c>
      <c r="G3056" s="2" t="s">
        <v>9193</v>
      </c>
      <c r="H3056" s="1">
        <v>8.0</v>
      </c>
      <c r="I3056" s="1" t="s">
        <v>2896</v>
      </c>
      <c r="J3056" s="1" t="s">
        <v>11</v>
      </c>
      <c r="K3056" s="2" t="s">
        <v>9208</v>
      </c>
      <c r="L3056" s="10" t="s">
        <v>9209</v>
      </c>
      <c r="M3056" s="2" t="str">
        <f>IFERROR(__xludf.DUMMYFUNCTION("split(split(K3056,""…"",false),""公式LINE"",false)"),"第8話「鍵を握る女」  岡林(白井晃)に銃をつきつけられた黒木(内野聖陽)の運命やいかに!  いよいよ事件が展開する!新たな物証が見つかり、黒木が動きだす!内野聖陽　筒井道隆　本仮屋ユイカ　大塚寧々  高橋一生　矢島健一　菅原大吉　吉本菜穂子  白井晃　前田亜季　有馬稲子古沢良太  代表作はドラマ「相棒」、映画「Always 三丁目の夕日」「キサラギ」ほか。橋本 一池 頼広「Who -08-」小谷美紗子(ユニバーサル シグマ)■チーフプロデューサー  松本基弘(テレビ朝日)  ■プロデューサー  伊東仁("&amp;"テレビ朝日)  須藤泰司(東映)  横塚孝弘(東映)■キャスト待受、ゴンゾウ度診断はケータイサイトで!  ケータイ: メニュー ⇒ TV ⇒ テレビ朝日 ⇒ ゴンゾウ  ■黒木壁紙や現場紹介は、PCサイトで!  パソコン: www.tv-asahi.co.jp/gonzo")</f>
        <v>第8話「鍵を握る女」  岡林(白井晃)に銃をつきつけられた黒木(内野聖陽)の運命やいかに!  いよいよ事件が展開する!新たな物証が見つかり、黒木が動きだす!内野聖陽　筒井道隆　本仮屋ユイカ　大塚寧々  高橋一生　矢島健一　菅原大吉　吉本菜穂子  白井晃　前田亜季　有馬稲子古沢良太  代表作はドラマ「相棒」、映画「Always 三丁目の夕日」「キサラギ」ほか。橋本 一池 頼広「Who -08-」小谷美紗子(ユニバーサル シグマ)■チーフプロデューサー  松本基弘(テレビ朝日)  ■プロデューサー  伊東仁(テレビ朝日)  須藤泰司(東映)  横塚孝弘(東映)■キャスト待受、ゴンゾウ度診断はケータイサイトで!  ケータイ: メニュー ⇒ TV ⇒ テレビ朝日 ⇒ ゴンゾウ  ■黒木壁紙や現場紹介は、PCサイトで!  パソコン: www.tv-asahi.co.jp/gonzo</v>
      </c>
      <c r="N3056" s="2"/>
      <c r="O3056" s="2"/>
      <c r="P3056" s="1"/>
      <c r="Q3056" s="1"/>
      <c r="R3056" s="1"/>
      <c r="S3056" s="1"/>
      <c r="T3056" s="1"/>
      <c r="U3056" s="1"/>
      <c r="V3056" s="1"/>
      <c r="W3056" s="1"/>
      <c r="X3056" s="1"/>
      <c r="Y3056" s="1"/>
      <c r="Z3056" s="1"/>
      <c r="AA3056" s="1"/>
      <c r="AB3056" s="1"/>
      <c r="AC3056" s="1"/>
      <c r="AD3056" s="1"/>
      <c r="AE3056" s="1"/>
      <c r="AF3056" s="1"/>
      <c r="AG3056" s="1"/>
      <c r="AH3056" s="1"/>
      <c r="AI3056" s="1"/>
      <c r="AJ3056" s="1"/>
      <c r="AK3056" s="1"/>
      <c r="AL3056" s="1"/>
      <c r="AM3056" s="1"/>
      <c r="AN3056" s="1"/>
      <c r="AO3056" s="1"/>
      <c r="AP3056" s="1"/>
      <c r="AQ3056" s="1"/>
      <c r="AR3056" s="1"/>
      <c r="AS3056" s="1"/>
      <c r="AT3056" s="1"/>
      <c r="AU3056" s="1"/>
      <c r="AV3056" s="1"/>
      <c r="AW3056" s="1"/>
      <c r="AX3056" s="1"/>
      <c r="AY3056" s="1"/>
      <c r="AZ3056" s="1"/>
      <c r="BA3056" s="1"/>
      <c r="BB3056" s="1"/>
    </row>
    <row r="3057" ht="204.75" customHeight="1">
      <c r="A3057" s="1">
        <v>5682.0</v>
      </c>
      <c r="B3057" s="2" t="s">
        <v>9191</v>
      </c>
      <c r="C3057" s="2">
        <f>IFERROR(__xludf.DUMMYFUNCTION("split(B3057,""_"")"),807.0)</f>
        <v>807</v>
      </c>
      <c r="D3057" s="2" t="str">
        <f>IFERROR(__xludf.DUMMYFUNCTION("""COMPUTED_VALUE"""),"EX")</f>
        <v>EX</v>
      </c>
      <c r="E3057" s="2" t="str">
        <f>IFERROR(__xludf.DUMMYFUNCTION("""COMPUTED_VALUE"""),"水21")</f>
        <v>水21</v>
      </c>
      <c r="F3057" s="2" t="s">
        <v>9192</v>
      </c>
      <c r="G3057" s="2" t="s">
        <v>9193</v>
      </c>
      <c r="H3057" s="1">
        <v>9.0</v>
      </c>
      <c r="I3057" s="1" t="s">
        <v>2900</v>
      </c>
      <c r="J3057" s="1" t="s">
        <v>11</v>
      </c>
      <c r="K3057" s="2" t="s">
        <v>9210</v>
      </c>
      <c r="L3057" s="10" t="s">
        <v>9211</v>
      </c>
      <c r="M3057" s="2" t="str">
        <f>IFERROR(__xludf.DUMMYFUNCTION("split(split(K3057,""…"",false),""公式LINE"",false)"),"第9話内野聖陽　筒井道隆　本仮屋ユイカ　大塚寧々  高橋一生　矢島健一　菅原大吉　吉本菜穂子　綿引勝彦古沢良太  代表作はドラマ「相棒」、映画「Always 三丁目の夕日」「キサラギ」ほか。猪崎宣昭池 頼広「Who -08-」小谷美紗子(ユニバーサル シグマ)■チーフプロデューサー  松本基弘(テレビ朝日)  ■プロデューサー  伊東仁(テレビ朝日)  須藤泰司(東映)■キャスト待受、ゴンゾウ度診断はケータイサイトで!  ケータイ: メニュー ⇒ TV ⇒ テレビ朝日 ⇒ ゴンゾウ  ■黒木壁紙や現場紹介"&amp;"は、PCサイトで!  パソコン: www.tv-asahi.co.jp/gonzo")</f>
        <v>第9話内野聖陽　筒井道隆　本仮屋ユイカ　大塚寧々  高橋一生　矢島健一　菅原大吉　吉本菜穂子　綿引勝彦古沢良太  代表作はドラマ「相棒」、映画「Always 三丁目の夕日」「キサラギ」ほか。猪崎宣昭池 頼広「Who -08-」小谷美紗子(ユニバーサル シグマ)■チーフプロデューサー  松本基弘(テレビ朝日)  ■プロデューサー  伊東仁(テレビ朝日)  須藤泰司(東映)■キャスト待受、ゴンゾウ度診断はケータイサイトで!  ケータイ: メニュー ⇒ TV ⇒ テレビ朝日 ⇒ ゴンゾウ  ■黒木壁紙や現場紹介は、PCサイトで!  パソコン: www.tv-asahi.co.jp/gonzo</v>
      </c>
      <c r="N3057" s="2"/>
      <c r="O3057" s="2"/>
      <c r="P3057" s="1"/>
      <c r="Q3057" s="1"/>
      <c r="R3057" s="1"/>
      <c r="S3057" s="1"/>
      <c r="T3057" s="1"/>
      <c r="U3057" s="1"/>
      <c r="V3057" s="1"/>
      <c r="W3057" s="1"/>
      <c r="X3057" s="1"/>
      <c r="Y3057" s="1"/>
      <c r="Z3057" s="1"/>
      <c r="AA3057" s="1"/>
      <c r="AB3057" s="1"/>
      <c r="AC3057" s="1"/>
      <c r="AD3057" s="1"/>
      <c r="AE3057" s="1"/>
      <c r="AF3057" s="1"/>
      <c r="AG3057" s="1"/>
      <c r="AH3057" s="1"/>
      <c r="AI3057" s="1"/>
      <c r="AJ3057" s="1"/>
      <c r="AK3057" s="1"/>
      <c r="AL3057" s="1"/>
      <c r="AM3057" s="1"/>
      <c r="AN3057" s="1"/>
      <c r="AO3057" s="1"/>
      <c r="AP3057" s="1"/>
      <c r="AQ3057" s="1"/>
      <c r="AR3057" s="1"/>
      <c r="AS3057" s="1"/>
      <c r="AT3057" s="1"/>
      <c r="AU3057" s="1"/>
      <c r="AV3057" s="1"/>
      <c r="AW3057" s="1"/>
      <c r="AX3057" s="1"/>
      <c r="AY3057" s="1"/>
      <c r="AZ3057" s="1"/>
      <c r="BA3057" s="1"/>
      <c r="BB3057" s="1"/>
    </row>
    <row r="3058" ht="204.75" customHeight="1">
      <c r="A3058" s="1">
        <v>5683.0</v>
      </c>
      <c r="B3058" s="2" t="s">
        <v>9191</v>
      </c>
      <c r="C3058" s="2">
        <f>IFERROR(__xludf.DUMMYFUNCTION("split(B3058,""_"")"),807.0)</f>
        <v>807</v>
      </c>
      <c r="D3058" s="2" t="str">
        <f>IFERROR(__xludf.DUMMYFUNCTION("""COMPUTED_VALUE"""),"EX")</f>
        <v>EX</v>
      </c>
      <c r="E3058" s="2" t="str">
        <f>IFERROR(__xludf.DUMMYFUNCTION("""COMPUTED_VALUE"""),"水21")</f>
        <v>水21</v>
      </c>
      <c r="F3058" s="2" t="s">
        <v>9192</v>
      </c>
      <c r="G3058" s="2" t="s">
        <v>9193</v>
      </c>
      <c r="H3058" s="1">
        <v>10.0</v>
      </c>
      <c r="I3058" s="1" t="s">
        <v>37</v>
      </c>
      <c r="J3058" s="1" t="s">
        <v>11</v>
      </c>
      <c r="K3058" s="2" t="s">
        <v>9212</v>
      </c>
      <c r="L3058" s="11" t="s">
        <v>9213</v>
      </c>
      <c r="M3058" s="2" t="str">
        <f>IFERROR(__xludf.DUMMYFUNCTION("split(split(K3058,""…"",false),""公式LINE"",false)"),"いよいよ最終回!  第10話!「夏の終わり」  黒木(内野聖陽)がいよいよ真犯人と直接対決!  ゴンゾウ黒木の運命はいかに!?  捜査に乗り出す黒木に佐久間の陰謀が?  佐久間の狙いとは一体なんなのか!?  暑い夏が終わろうとしている")</f>
        <v>いよいよ最終回!  第10話!「夏の終わり」  黒木(内野聖陽)がいよいよ真犯人と直接対決!  ゴンゾウ黒木の運命はいかに!?  捜査に乗り出す黒木に佐久間の陰謀が?  佐久間の狙いとは一体なんなのか!?  暑い夏が終わろうとしている</v>
      </c>
      <c r="N3058" s="2"/>
      <c r="O3058" s="2"/>
      <c r="P3058" s="1"/>
      <c r="Q3058" s="1"/>
      <c r="R3058" s="1"/>
      <c r="S3058" s="1"/>
      <c r="T3058" s="1"/>
      <c r="U3058" s="1"/>
      <c r="V3058" s="1"/>
      <c r="W3058" s="1"/>
      <c r="X3058" s="1"/>
      <c r="Y3058" s="1"/>
      <c r="Z3058" s="1"/>
      <c r="AA3058" s="1"/>
      <c r="AB3058" s="1"/>
      <c r="AC3058" s="1"/>
      <c r="AD3058" s="1"/>
      <c r="AE3058" s="1"/>
      <c r="AF3058" s="1"/>
      <c r="AG3058" s="1"/>
      <c r="AH3058" s="1"/>
      <c r="AI3058" s="1"/>
      <c r="AJ3058" s="1"/>
      <c r="AK3058" s="1"/>
      <c r="AL3058" s="1"/>
      <c r="AM3058" s="1"/>
      <c r="AN3058" s="1"/>
      <c r="AO3058" s="1"/>
      <c r="AP3058" s="1"/>
      <c r="AQ3058" s="1"/>
      <c r="AR3058" s="1"/>
      <c r="AS3058" s="1"/>
      <c r="AT3058" s="1"/>
      <c r="AU3058" s="1"/>
      <c r="AV3058" s="1"/>
      <c r="AW3058" s="1"/>
      <c r="AX3058" s="1"/>
      <c r="AY3058" s="1"/>
      <c r="AZ3058" s="1"/>
      <c r="BA3058" s="1"/>
      <c r="BB3058" s="1"/>
    </row>
    <row r="3059" ht="204.75" customHeight="1">
      <c r="A3059" s="1">
        <v>5694.0</v>
      </c>
      <c r="B3059" s="2" t="s">
        <v>9214</v>
      </c>
      <c r="C3059" s="2">
        <f>IFERROR(__xludf.DUMMYFUNCTION("split(B3059,""_"")"),807.0)</f>
        <v>807</v>
      </c>
      <c r="D3059" s="2" t="str">
        <f>IFERROR(__xludf.DUMMYFUNCTION("""COMPUTED_VALUE"""),"EX")</f>
        <v>EX</v>
      </c>
      <c r="E3059" s="2" t="str">
        <f>IFERROR(__xludf.DUMMYFUNCTION("""COMPUTED_VALUE"""),"木21")</f>
        <v>木21</v>
      </c>
      <c r="F3059" s="2" t="s">
        <v>9215</v>
      </c>
      <c r="G3059" s="2" t="s">
        <v>9216</v>
      </c>
      <c r="H3059" s="1">
        <v>1.0</v>
      </c>
      <c r="J3059" s="1" t="s">
        <v>4</v>
      </c>
      <c r="K3059" s="4" t="s">
        <v>9217</v>
      </c>
      <c r="L3059" s="11" t="s">
        <v>9218</v>
      </c>
      <c r="M3059" s="2" t="str">
        <f>IFERROR(__xludf.DUMMYFUNCTION("split(split(K3059,""永作博美、"",false),""公式LINE"",false)"),"どこの家庭にも秘密がある。時には残酷な、毒のある嘘がある。そんな女性たちの滑稽な人生を、ウィットとユーモアに溢れた展開の中で描く!40代に突入した元クラスメイトたちが繰り広げる嘘と本音のリアルな辛口ドラマを、豪華4人の女優陣がパワフルに競演!")</f>
        <v>どこの家庭にも秘密がある。時には残酷な、毒のある嘘がある。そんな女性たちの滑稽な人生を、ウィットとユーモアに溢れた展開の中で描く!40代に突入した元クラスメイトたちが繰り広げる嘘と本音のリアルな辛口ドラマを、豪華4人の女優陣がパワフルに競演!</v>
      </c>
      <c r="N3059" s="2"/>
      <c r="O3059" s="2"/>
      <c r="P3059" s="1"/>
      <c r="Q3059" s="1"/>
      <c r="R3059" s="1"/>
      <c r="S3059" s="1"/>
      <c r="T3059" s="1"/>
      <c r="U3059" s="1"/>
      <c r="V3059" s="1"/>
      <c r="W3059" s="1"/>
      <c r="X3059" s="1"/>
      <c r="Y3059" s="1"/>
      <c r="Z3059" s="1"/>
      <c r="AA3059" s="1"/>
      <c r="AB3059" s="1"/>
      <c r="AC3059" s="1"/>
      <c r="AD3059" s="1"/>
      <c r="AE3059" s="1"/>
      <c r="AF3059" s="1"/>
      <c r="AG3059" s="1"/>
      <c r="AH3059" s="1"/>
      <c r="AI3059" s="1"/>
      <c r="AJ3059" s="1"/>
      <c r="AK3059" s="1"/>
      <c r="AL3059" s="1"/>
      <c r="AM3059" s="1"/>
      <c r="AN3059" s="1"/>
      <c r="AO3059" s="1"/>
      <c r="AP3059" s="1"/>
      <c r="AQ3059" s="1"/>
      <c r="AR3059" s="1"/>
      <c r="AS3059" s="1"/>
      <c r="AT3059" s="1"/>
      <c r="AU3059" s="1"/>
      <c r="AV3059" s="1"/>
      <c r="AW3059" s="1"/>
      <c r="AX3059" s="1"/>
      <c r="AY3059" s="1"/>
      <c r="AZ3059" s="1"/>
      <c r="BA3059" s="1"/>
      <c r="BB3059" s="1"/>
    </row>
    <row r="3060" ht="204.75" customHeight="1">
      <c r="A3060" s="1">
        <v>5695.0</v>
      </c>
      <c r="B3060" s="2" t="s">
        <v>9214</v>
      </c>
      <c r="C3060" s="2">
        <f>IFERROR(__xludf.DUMMYFUNCTION("split(B3060,""_"")"),807.0)</f>
        <v>807</v>
      </c>
      <c r="D3060" s="2" t="str">
        <f>IFERROR(__xludf.DUMMYFUNCTION("""COMPUTED_VALUE"""),"EX")</f>
        <v>EX</v>
      </c>
      <c r="E3060" s="2" t="str">
        <f>IFERROR(__xludf.DUMMYFUNCTION("""COMPUTED_VALUE"""),"木21")</f>
        <v>木21</v>
      </c>
      <c r="F3060" s="2" t="s">
        <v>9215</v>
      </c>
      <c r="G3060" s="2" t="s">
        <v>9216</v>
      </c>
      <c r="H3060" s="1">
        <v>2.0</v>
      </c>
      <c r="J3060" s="1" t="s">
        <v>11</v>
      </c>
      <c r="K3060" s="2" t="s">
        <v>9219</v>
      </c>
      <c r="L3060" s="11" t="s">
        <v>9220</v>
      </c>
      <c r="M3060" s="2" t="str">
        <f>IFERROR(__xludf.DUMMYFUNCTION("split(split(K3060,""永作博美、"",false),""公式LINE"",false)"),"どこの家庭にも秘密がある。時には残酷な、毒のある嘘がある。思いがけない急展開が!それぞれの家庭の事情と事件をめぐる人々の波乱が交錯する!")</f>
        <v>どこの家庭にも秘密がある。時には残酷な、毒のある嘘がある。思いがけない急展開が!それぞれの家庭の事情と事件をめぐる人々の波乱が交錯する!</v>
      </c>
      <c r="N3060" s="2"/>
      <c r="O3060" s="2"/>
      <c r="P3060" s="1"/>
      <c r="Q3060" s="1"/>
      <c r="R3060" s="1"/>
      <c r="S3060" s="1"/>
      <c r="T3060" s="1"/>
      <c r="U3060" s="1"/>
      <c r="V3060" s="1"/>
      <c r="W3060" s="1"/>
      <c r="X3060" s="1"/>
      <c r="Y3060" s="1"/>
      <c r="Z3060" s="1"/>
      <c r="AA3060" s="1"/>
      <c r="AB3060" s="1"/>
      <c r="AC3060" s="1"/>
      <c r="AD3060" s="1"/>
      <c r="AE3060" s="1"/>
      <c r="AF3060" s="1"/>
      <c r="AG3060" s="1"/>
      <c r="AH3060" s="1"/>
      <c r="AI3060" s="1"/>
      <c r="AJ3060" s="1"/>
      <c r="AK3060" s="1"/>
      <c r="AL3060" s="1"/>
      <c r="AM3060" s="1"/>
      <c r="AN3060" s="1"/>
      <c r="AO3060" s="1"/>
      <c r="AP3060" s="1"/>
      <c r="AQ3060" s="1"/>
      <c r="AR3060" s="1"/>
      <c r="AS3060" s="1"/>
      <c r="AT3060" s="1"/>
      <c r="AU3060" s="1"/>
      <c r="AV3060" s="1"/>
      <c r="AW3060" s="1"/>
      <c r="AX3060" s="1"/>
      <c r="AY3060" s="1"/>
      <c r="AZ3060" s="1"/>
      <c r="BA3060" s="1"/>
      <c r="BB3060" s="1"/>
    </row>
    <row r="3061" ht="204.75" customHeight="1">
      <c r="A3061" s="1">
        <v>5696.0</v>
      </c>
      <c r="B3061" s="2" t="s">
        <v>9214</v>
      </c>
      <c r="C3061" s="2">
        <f>IFERROR(__xludf.DUMMYFUNCTION("split(B3061,""_"")"),807.0)</f>
        <v>807</v>
      </c>
      <c r="D3061" s="2" t="str">
        <f>IFERROR(__xludf.DUMMYFUNCTION("""COMPUTED_VALUE"""),"EX")</f>
        <v>EX</v>
      </c>
      <c r="E3061" s="2" t="str">
        <f>IFERROR(__xludf.DUMMYFUNCTION("""COMPUTED_VALUE"""),"木21")</f>
        <v>木21</v>
      </c>
      <c r="F3061" s="2" t="s">
        <v>9215</v>
      </c>
      <c r="G3061" s="2" t="s">
        <v>9216</v>
      </c>
      <c r="H3061" s="1">
        <v>3.0</v>
      </c>
      <c r="J3061" s="1" t="s">
        <v>11</v>
      </c>
      <c r="K3061" s="2" t="s">
        <v>9221</v>
      </c>
      <c r="L3061" s="11" t="s">
        <v>9222</v>
      </c>
      <c r="M3061" s="2" t="str">
        <f>IFERROR(__xludf.DUMMYFUNCTION("split(split(K3061,""永作博美、"",false),""公式LINE"",false)"),"親の老後、子供の幸せ、経営困難、禁断の恋、様々な事が41歳女性たちに押し寄せる!秘密が増して大きくなり理性と本音の葛藤が交錯する!40代に突入した元クラスメイトたちが繰り広げる嘘と本音のリアルな辛口ドラマを、豪華4人の女優陣がパワフルに競演!")</f>
        <v>親の老後、子供の幸せ、経営困難、禁断の恋、様々な事が41歳女性たちに押し寄せる!秘密が増して大きくなり理性と本音の葛藤が交錯する!40代に突入した元クラスメイトたちが繰り広げる嘘と本音のリアルな辛口ドラマを、豪華4人の女優陣がパワフルに競演!</v>
      </c>
      <c r="N3061" s="2"/>
      <c r="O3061" s="2"/>
      <c r="P3061" s="1"/>
      <c r="Q3061" s="1"/>
      <c r="R3061" s="1"/>
      <c r="S3061" s="1"/>
      <c r="T3061" s="1"/>
      <c r="U3061" s="1"/>
      <c r="V3061" s="1"/>
      <c r="W3061" s="1"/>
      <c r="X3061" s="1"/>
      <c r="Y3061" s="1"/>
      <c r="Z3061" s="1"/>
      <c r="AA3061" s="1"/>
      <c r="AB3061" s="1"/>
      <c r="AC3061" s="1"/>
      <c r="AD3061" s="1"/>
      <c r="AE3061" s="1"/>
      <c r="AF3061" s="1"/>
      <c r="AG3061" s="1"/>
      <c r="AH3061" s="1"/>
      <c r="AI3061" s="1"/>
      <c r="AJ3061" s="1"/>
      <c r="AK3061" s="1"/>
      <c r="AL3061" s="1"/>
      <c r="AM3061" s="1"/>
      <c r="AN3061" s="1"/>
      <c r="AO3061" s="1"/>
      <c r="AP3061" s="1"/>
      <c r="AQ3061" s="1"/>
      <c r="AR3061" s="1"/>
      <c r="AS3061" s="1"/>
      <c r="AT3061" s="1"/>
      <c r="AU3061" s="1"/>
      <c r="AV3061" s="1"/>
      <c r="AW3061" s="1"/>
      <c r="AX3061" s="1"/>
      <c r="AY3061" s="1"/>
      <c r="AZ3061" s="1"/>
      <c r="BA3061" s="1"/>
      <c r="BB3061" s="1"/>
    </row>
    <row r="3062" ht="204.75" customHeight="1">
      <c r="A3062" s="1">
        <v>5697.0</v>
      </c>
      <c r="B3062" s="2" t="s">
        <v>9214</v>
      </c>
      <c r="C3062" s="2">
        <f>IFERROR(__xludf.DUMMYFUNCTION("split(B3062,""_"")"),807.0)</f>
        <v>807</v>
      </c>
      <c r="D3062" s="2" t="str">
        <f>IFERROR(__xludf.DUMMYFUNCTION("""COMPUTED_VALUE"""),"EX")</f>
        <v>EX</v>
      </c>
      <c r="E3062" s="2" t="str">
        <f>IFERROR(__xludf.DUMMYFUNCTION("""COMPUTED_VALUE"""),"木21")</f>
        <v>木21</v>
      </c>
      <c r="F3062" s="2" t="s">
        <v>9215</v>
      </c>
      <c r="G3062" s="2" t="s">
        <v>9216</v>
      </c>
      <c r="H3062" s="1">
        <v>4.0</v>
      </c>
      <c r="J3062" s="1" t="s">
        <v>11</v>
      </c>
      <c r="K3062" s="2" t="s">
        <v>9223</v>
      </c>
      <c r="L3062" s="11" t="s">
        <v>9224</v>
      </c>
      <c r="M3062" s="2" t="str">
        <f>IFERROR(__xludf.DUMMYFUNCTION("split(split(K3062,""永作博美、"",false),""公式LINE"",false)"),"父親の介護、経営困難な店、娘のあるべき将来・・・時には嘘をついて守る事が必要なのかもしれない。周りを見渡せば、自分だけ取り残されていてる感覚と焦り。41歳で出会ってしまった現実との葛藤。  守るべきものが増えた今、何を大切にし、何を犠牲にするのか・・・41歳の女性たちの思いが波乱をよぶ!")</f>
        <v>父親の介護、経営困難な店、娘のあるべき将来・・・時には嘘をついて守る事が必要なのかもしれない。周りを見渡せば、自分だけ取り残されていてる感覚と焦り。41歳で出会ってしまった現実との葛藤。  守るべきものが増えた今、何を大切にし、何を犠牲にするのか・・・41歳の女性たちの思いが波乱をよぶ!</v>
      </c>
      <c r="N3062" s="2"/>
      <c r="O3062" s="2"/>
      <c r="P3062" s="1"/>
      <c r="Q3062" s="1"/>
      <c r="R3062" s="1"/>
      <c r="S3062" s="1"/>
      <c r="T3062" s="1"/>
      <c r="U3062" s="1"/>
      <c r="V3062" s="1"/>
      <c r="W3062" s="1"/>
      <c r="X3062" s="1"/>
      <c r="Y3062" s="1"/>
      <c r="Z3062" s="1"/>
      <c r="AA3062" s="1"/>
      <c r="AB3062" s="1"/>
      <c r="AC3062" s="1"/>
      <c r="AD3062" s="1"/>
      <c r="AE3062" s="1"/>
      <c r="AF3062" s="1"/>
      <c r="AG3062" s="1"/>
      <c r="AH3062" s="1"/>
      <c r="AI3062" s="1"/>
      <c r="AJ3062" s="1"/>
      <c r="AK3062" s="1"/>
      <c r="AL3062" s="1"/>
      <c r="AM3062" s="1"/>
      <c r="AN3062" s="1"/>
      <c r="AO3062" s="1"/>
      <c r="AP3062" s="1"/>
      <c r="AQ3062" s="1"/>
      <c r="AR3062" s="1"/>
      <c r="AS3062" s="1"/>
      <c r="AT3062" s="1"/>
      <c r="AU3062" s="1"/>
      <c r="AV3062" s="1"/>
      <c r="AW3062" s="1"/>
      <c r="AX3062" s="1"/>
      <c r="AY3062" s="1"/>
      <c r="AZ3062" s="1"/>
      <c r="BA3062" s="1"/>
      <c r="BB3062" s="1"/>
    </row>
    <row r="3063" ht="204.75" customHeight="1">
      <c r="A3063" s="1">
        <v>5698.0</v>
      </c>
      <c r="B3063" s="2" t="s">
        <v>9214</v>
      </c>
      <c r="C3063" s="2">
        <f>IFERROR(__xludf.DUMMYFUNCTION("split(B3063,""_"")"),807.0)</f>
        <v>807</v>
      </c>
      <c r="D3063" s="2" t="str">
        <f>IFERROR(__xludf.DUMMYFUNCTION("""COMPUTED_VALUE"""),"EX")</f>
        <v>EX</v>
      </c>
      <c r="E3063" s="2" t="str">
        <f>IFERROR(__xludf.DUMMYFUNCTION("""COMPUTED_VALUE"""),"木21")</f>
        <v>木21</v>
      </c>
      <c r="F3063" s="2" t="s">
        <v>9215</v>
      </c>
      <c r="G3063" s="2" t="s">
        <v>9216</v>
      </c>
      <c r="H3063" s="1">
        <v>5.0</v>
      </c>
      <c r="J3063" s="1" t="s">
        <v>11</v>
      </c>
      <c r="K3063" s="2" t="s">
        <v>9225</v>
      </c>
      <c r="L3063" s="11" t="s">
        <v>9226</v>
      </c>
      <c r="M3063" s="2" t="str">
        <f>IFERROR(__xludf.DUMMYFUNCTION("split(split(K3063,""永作博美、"",false),""公式LINE"",false)"),"年下との恋の進展、友達の男への恋、娘の身勝手、新たな恋の予感・・。  守るべきものが増えた今、何を大切にし、何を犠牲にするのか・・・どこの家庭にも秘密がある。時には残酷な、毒のある嘘がある。41歳の女性たちの思いが波乱をよぶ!")</f>
        <v>年下との恋の進展、友達の男への恋、娘の身勝手、新たな恋の予感・・。  守るべきものが増えた今、何を大切にし、何を犠牲にするのか・・・どこの家庭にも秘密がある。時には残酷な、毒のある嘘がある。41歳の女性たちの思いが波乱をよぶ!</v>
      </c>
      <c r="N3063" s="2"/>
      <c r="O3063" s="2"/>
      <c r="P3063" s="1"/>
      <c r="Q3063" s="1"/>
      <c r="R3063" s="1"/>
      <c r="S3063" s="1"/>
      <c r="T3063" s="1"/>
      <c r="U3063" s="1"/>
      <c r="V3063" s="1"/>
      <c r="W3063" s="1"/>
      <c r="X3063" s="1"/>
      <c r="Y3063" s="1"/>
      <c r="Z3063" s="1"/>
      <c r="AA3063" s="1"/>
      <c r="AB3063" s="1"/>
      <c r="AC3063" s="1"/>
      <c r="AD3063" s="1"/>
      <c r="AE3063" s="1"/>
      <c r="AF3063" s="1"/>
      <c r="AG3063" s="1"/>
      <c r="AH3063" s="1"/>
      <c r="AI3063" s="1"/>
      <c r="AJ3063" s="1"/>
      <c r="AK3063" s="1"/>
      <c r="AL3063" s="1"/>
      <c r="AM3063" s="1"/>
      <c r="AN3063" s="1"/>
      <c r="AO3063" s="1"/>
      <c r="AP3063" s="1"/>
      <c r="AQ3063" s="1"/>
      <c r="AR3063" s="1"/>
      <c r="AS3063" s="1"/>
      <c r="AT3063" s="1"/>
      <c r="AU3063" s="1"/>
      <c r="AV3063" s="1"/>
      <c r="AW3063" s="1"/>
      <c r="AX3063" s="1"/>
      <c r="AY3063" s="1"/>
      <c r="AZ3063" s="1"/>
      <c r="BA3063" s="1"/>
      <c r="BB3063" s="1"/>
    </row>
    <row r="3064" ht="204.75" customHeight="1">
      <c r="A3064" s="1">
        <v>5699.0</v>
      </c>
      <c r="B3064" s="2" t="s">
        <v>9214</v>
      </c>
      <c r="C3064" s="2">
        <f>IFERROR(__xludf.DUMMYFUNCTION("split(B3064,""_"")"),807.0)</f>
        <v>807</v>
      </c>
      <c r="D3064" s="2" t="str">
        <f>IFERROR(__xludf.DUMMYFUNCTION("""COMPUTED_VALUE"""),"EX")</f>
        <v>EX</v>
      </c>
      <c r="E3064" s="2" t="str">
        <f>IFERROR(__xludf.DUMMYFUNCTION("""COMPUTED_VALUE"""),"木21")</f>
        <v>木21</v>
      </c>
      <c r="F3064" s="2" t="s">
        <v>9215</v>
      </c>
      <c r="G3064" s="2" t="s">
        <v>9216</v>
      </c>
      <c r="H3064" s="1">
        <v>6.0</v>
      </c>
      <c r="J3064" s="1" t="s">
        <v>11</v>
      </c>
      <c r="K3064" s="2" t="s">
        <v>9227</v>
      </c>
      <c r="L3064" s="11" t="s">
        <v>9226</v>
      </c>
      <c r="M3064" s="2" t="str">
        <f>IFERROR(__xludf.DUMMYFUNCTION("split(split(K3064,""永作博美、"",false),""公式LINE"",false)"),"年下との恋の進展、友達の男への恋、娘の身勝手、新たな恋の予感・・。  守るべきものが増えた今、何を大切にし、何を犠牲にするのか・・・どこの家庭にも秘密がある。時には残酷な、毒のある嘘がある。41歳の女性たちの思いが波乱をよぶ!")</f>
        <v>年下との恋の進展、友達の男への恋、娘の身勝手、新たな恋の予感・・。  守るべきものが増えた今、何を大切にし、何を犠牲にするのか・・・どこの家庭にも秘密がある。時には残酷な、毒のある嘘がある。41歳の女性たちの思いが波乱をよぶ!</v>
      </c>
      <c r="N3064" s="2"/>
      <c r="O3064" s="2"/>
      <c r="P3064" s="1"/>
      <c r="Q3064" s="1"/>
      <c r="R3064" s="1"/>
      <c r="S3064" s="1"/>
      <c r="T3064" s="1"/>
      <c r="U3064" s="1"/>
      <c r="V3064" s="1"/>
      <c r="W3064" s="1"/>
      <c r="X3064" s="1"/>
      <c r="Y3064" s="1"/>
      <c r="Z3064" s="1"/>
      <c r="AA3064" s="1"/>
      <c r="AB3064" s="1"/>
      <c r="AC3064" s="1"/>
      <c r="AD3064" s="1"/>
      <c r="AE3064" s="1"/>
      <c r="AF3064" s="1"/>
      <c r="AG3064" s="1"/>
      <c r="AH3064" s="1"/>
      <c r="AI3064" s="1"/>
      <c r="AJ3064" s="1"/>
      <c r="AK3064" s="1"/>
      <c r="AL3064" s="1"/>
      <c r="AM3064" s="1"/>
      <c r="AN3064" s="1"/>
      <c r="AO3064" s="1"/>
      <c r="AP3064" s="1"/>
      <c r="AQ3064" s="1"/>
      <c r="AR3064" s="1"/>
      <c r="AS3064" s="1"/>
      <c r="AT3064" s="1"/>
      <c r="AU3064" s="1"/>
      <c r="AV3064" s="1"/>
      <c r="AW3064" s="1"/>
      <c r="AX3064" s="1"/>
      <c r="AY3064" s="1"/>
      <c r="AZ3064" s="1"/>
      <c r="BA3064" s="1"/>
      <c r="BB3064" s="1"/>
    </row>
    <row r="3065" ht="204.75" customHeight="1">
      <c r="A3065" s="1">
        <v>5700.0</v>
      </c>
      <c r="B3065" s="2" t="s">
        <v>9214</v>
      </c>
      <c r="C3065" s="2">
        <f>IFERROR(__xludf.DUMMYFUNCTION("split(B3065,""_"")"),807.0)</f>
        <v>807</v>
      </c>
      <c r="D3065" s="2" t="str">
        <f>IFERROR(__xludf.DUMMYFUNCTION("""COMPUTED_VALUE"""),"EX")</f>
        <v>EX</v>
      </c>
      <c r="E3065" s="2" t="str">
        <f>IFERROR(__xludf.DUMMYFUNCTION("""COMPUTED_VALUE"""),"木21")</f>
        <v>木21</v>
      </c>
      <c r="F3065" s="2" t="s">
        <v>9215</v>
      </c>
      <c r="G3065" s="2" t="s">
        <v>9216</v>
      </c>
      <c r="H3065" s="1">
        <v>7.0</v>
      </c>
      <c r="I3065" s="1" t="s">
        <v>2892</v>
      </c>
      <c r="J3065" s="1" t="s">
        <v>11</v>
      </c>
      <c r="K3065" s="2" t="s">
        <v>9228</v>
      </c>
      <c r="L3065" s="11" t="s">
        <v>9229</v>
      </c>
      <c r="M3065" s="2" t="str">
        <f>IFERROR(__xludf.DUMMYFUNCTION("split(split(K3065,""永作博美、"",false),""公式LINE"",false)"),"3人の女の物語が急展開!詩文(永作博美)の新たな恋!ネリ(高島礼子)に巻き起こったスキャンダル!夫の不倫で家庭崩壊の危機を迎える満希子(寺島しのぶ)!そんな満希子も決意を・・若い男への止められない気持ち・・  それぞれの家庭の秘密が明らかに!")</f>
        <v>3人の女の物語が急展開!詩文(永作博美)の新たな恋!ネリ(高島礼子)に巻き起こったスキャンダル!夫の不倫で家庭崩壊の危機を迎える満希子(寺島しのぶ)!そんな満希子も決意を・・若い男への止められない気持ち・・  それぞれの家庭の秘密が明らかに!</v>
      </c>
      <c r="N3065" s="2"/>
      <c r="O3065" s="2"/>
      <c r="P3065" s="1"/>
      <c r="Q3065" s="1"/>
      <c r="R3065" s="1"/>
      <c r="S3065" s="1"/>
      <c r="T3065" s="1"/>
      <c r="U3065" s="1"/>
      <c r="V3065" s="1"/>
      <c r="W3065" s="1"/>
      <c r="X3065" s="1"/>
      <c r="Y3065" s="1"/>
      <c r="Z3065" s="1"/>
      <c r="AA3065" s="1"/>
      <c r="AB3065" s="1"/>
      <c r="AC3065" s="1"/>
      <c r="AD3065" s="1"/>
      <c r="AE3065" s="1"/>
      <c r="AF3065" s="1"/>
      <c r="AG3065" s="1"/>
      <c r="AH3065" s="1"/>
      <c r="AI3065" s="1"/>
      <c r="AJ3065" s="1"/>
      <c r="AK3065" s="1"/>
      <c r="AL3065" s="1"/>
      <c r="AM3065" s="1"/>
      <c r="AN3065" s="1"/>
      <c r="AO3065" s="1"/>
      <c r="AP3065" s="1"/>
      <c r="AQ3065" s="1"/>
      <c r="AR3065" s="1"/>
      <c r="AS3065" s="1"/>
      <c r="AT3065" s="1"/>
      <c r="AU3065" s="1"/>
      <c r="AV3065" s="1"/>
      <c r="AW3065" s="1"/>
      <c r="AX3065" s="1"/>
      <c r="AY3065" s="1"/>
      <c r="AZ3065" s="1"/>
      <c r="BA3065" s="1"/>
      <c r="BB3065" s="1"/>
    </row>
    <row r="3066" ht="204.75" customHeight="1">
      <c r="A3066" s="1">
        <v>5701.0</v>
      </c>
      <c r="B3066" s="2" t="s">
        <v>9214</v>
      </c>
      <c r="C3066" s="2">
        <f>IFERROR(__xludf.DUMMYFUNCTION("split(B3066,""_"")"),807.0)</f>
        <v>807</v>
      </c>
      <c r="D3066" s="2" t="str">
        <f>IFERROR(__xludf.DUMMYFUNCTION("""COMPUTED_VALUE"""),"EX")</f>
        <v>EX</v>
      </c>
      <c r="E3066" s="2" t="str">
        <f>IFERROR(__xludf.DUMMYFUNCTION("""COMPUTED_VALUE"""),"木21")</f>
        <v>木21</v>
      </c>
      <c r="F3066" s="2" t="s">
        <v>9215</v>
      </c>
      <c r="G3066" s="2" t="s">
        <v>9216</v>
      </c>
      <c r="H3066" s="1">
        <v>8.0</v>
      </c>
      <c r="I3066" s="1" t="s">
        <v>2896</v>
      </c>
      <c r="J3066" s="1" t="s">
        <v>11</v>
      </c>
      <c r="K3066" s="2" t="s">
        <v>9230</v>
      </c>
      <c r="L3066" s="11" t="s">
        <v>9231</v>
      </c>
      <c r="M3066" s="2" t="str">
        <f>IFERROR(__xludf.DUMMYFUNCTION("split(split(K3066,""永作博美、"",false),""公式LINE"",false)"),"3人の女の物語が急展開!詩文(永作博美)の結婚への決意!?ネリ(高島礼子)を陥れようとしていた者の正体は・・・!夫の不倫で拍車がかかる年下の男への止められない想いの満希子(寺島しのぶ)!  それぞれの嘘が明るみになり、新たな嘘を呼ぶ・・・!!")</f>
        <v>3人の女の物語が急展開!詩文(永作博美)の結婚への決意!?ネリ(高島礼子)を陥れようとしていた者の正体は・・・!夫の不倫で拍車がかかる年下の男への止められない想いの満希子(寺島しのぶ)!  それぞれの嘘が明るみになり、新たな嘘を呼ぶ・・・!!</v>
      </c>
      <c r="N3066" s="2"/>
      <c r="O3066" s="2"/>
      <c r="P3066" s="1"/>
      <c r="Q3066" s="1"/>
      <c r="R3066" s="1"/>
      <c r="S3066" s="1"/>
      <c r="T3066" s="1"/>
      <c r="U3066" s="1"/>
      <c r="V3066" s="1"/>
      <c r="W3066" s="1"/>
      <c r="X3066" s="1"/>
      <c r="Y3066" s="1"/>
      <c r="Z3066" s="1"/>
      <c r="AA3066" s="1"/>
      <c r="AB3066" s="1"/>
      <c r="AC3066" s="1"/>
      <c r="AD3066" s="1"/>
      <c r="AE3066" s="1"/>
      <c r="AF3066" s="1"/>
      <c r="AG3066" s="1"/>
      <c r="AH3066" s="1"/>
      <c r="AI3066" s="1"/>
      <c r="AJ3066" s="1"/>
      <c r="AK3066" s="1"/>
      <c r="AL3066" s="1"/>
      <c r="AM3066" s="1"/>
      <c r="AN3066" s="1"/>
      <c r="AO3066" s="1"/>
      <c r="AP3066" s="1"/>
      <c r="AQ3066" s="1"/>
      <c r="AR3066" s="1"/>
      <c r="AS3066" s="1"/>
      <c r="AT3066" s="1"/>
      <c r="AU3066" s="1"/>
      <c r="AV3066" s="1"/>
      <c r="AW3066" s="1"/>
      <c r="AX3066" s="1"/>
      <c r="AY3066" s="1"/>
      <c r="AZ3066" s="1"/>
      <c r="BA3066" s="1"/>
      <c r="BB3066" s="1"/>
    </row>
    <row r="3067" ht="204.75" customHeight="1">
      <c r="A3067" s="1">
        <v>5702.0</v>
      </c>
      <c r="B3067" s="2" t="s">
        <v>9214</v>
      </c>
      <c r="C3067" s="2">
        <f>IFERROR(__xludf.DUMMYFUNCTION("split(B3067,""_"")"),807.0)</f>
        <v>807</v>
      </c>
      <c r="D3067" s="2" t="str">
        <f>IFERROR(__xludf.DUMMYFUNCTION("""COMPUTED_VALUE"""),"EX")</f>
        <v>EX</v>
      </c>
      <c r="E3067" s="2" t="str">
        <f>IFERROR(__xludf.DUMMYFUNCTION("""COMPUTED_VALUE"""),"木21")</f>
        <v>木21</v>
      </c>
      <c r="F3067" s="2" t="s">
        <v>9215</v>
      </c>
      <c r="G3067" s="2" t="s">
        <v>9216</v>
      </c>
      <c r="H3067" s="1">
        <v>9.0</v>
      </c>
      <c r="J3067" s="1" t="s">
        <v>11</v>
      </c>
      <c r="K3067" s="2" t="s">
        <v>9232</v>
      </c>
      <c r="L3067" s="11" t="s">
        <v>9233</v>
      </c>
      <c r="M3067" s="2" t="str">
        <f>IFERROR(__xludf.DUMMYFUNCTION("split(split(K3067,""永作博美、"",false),""公式LINE"",false)"),"4人の女の物語が遂に完結!どこの家庭にも秘密がある。時には残酷な、毒のある嘘がある。そんな女性たちの滑稽な人生が再度波乱に巻き込まれる!!  それぞれの嘘が明るみになり、新たな嘘を呼ぶ・・・!!  最後に4人がとった衝撃の行動とは・・・!!")</f>
        <v>4人の女の物語が遂に完結!どこの家庭にも秘密がある。時には残酷な、毒のある嘘がある。そんな女性たちの滑稽な人生が再度波乱に巻き込まれる!!  それぞれの嘘が明るみになり、新たな嘘を呼ぶ・・・!!  最後に4人がとった衝撃の行動とは・・・!!</v>
      </c>
      <c r="N3067" s="2"/>
      <c r="O3067" s="2"/>
      <c r="P3067" s="1"/>
      <c r="Q3067" s="1"/>
      <c r="R3067" s="1"/>
      <c r="S3067" s="1"/>
      <c r="T3067" s="1"/>
      <c r="U3067" s="1"/>
      <c r="V3067" s="1"/>
      <c r="W3067" s="1"/>
      <c r="X3067" s="1"/>
      <c r="Y3067" s="1"/>
      <c r="Z3067" s="1"/>
      <c r="AA3067" s="1"/>
      <c r="AB3067" s="1"/>
      <c r="AC3067" s="1"/>
      <c r="AD3067" s="1"/>
      <c r="AE3067" s="1"/>
      <c r="AF3067" s="1"/>
      <c r="AG3067" s="1"/>
      <c r="AH3067" s="1"/>
      <c r="AI3067" s="1"/>
      <c r="AJ3067" s="1"/>
      <c r="AK3067" s="1"/>
      <c r="AL3067" s="1"/>
      <c r="AM3067" s="1"/>
      <c r="AN3067" s="1"/>
      <c r="AO3067" s="1"/>
      <c r="AP3067" s="1"/>
      <c r="AQ3067" s="1"/>
      <c r="AR3067" s="1"/>
      <c r="AS3067" s="1"/>
      <c r="AT3067" s="1"/>
      <c r="AU3067" s="1"/>
      <c r="AV3067" s="1"/>
      <c r="AW3067" s="1"/>
      <c r="AX3067" s="1"/>
      <c r="AY3067" s="1"/>
      <c r="AZ3067" s="1"/>
      <c r="BA3067" s="1"/>
      <c r="BB3067" s="1"/>
    </row>
    <row r="3068" ht="204.75" customHeight="1">
      <c r="A3068" s="1">
        <v>5714.0</v>
      </c>
      <c r="B3068" s="2" t="s">
        <v>9234</v>
      </c>
      <c r="C3068" s="2">
        <f>IFERROR(__xludf.DUMMYFUNCTION("split(B3068,""_"")"),807.0)</f>
        <v>807</v>
      </c>
      <c r="D3068" s="2" t="str">
        <f>IFERROR(__xludf.DUMMYFUNCTION("""COMPUTED_VALUE"""),"EX")</f>
        <v>EX</v>
      </c>
      <c r="E3068" s="2" t="str">
        <f>IFERROR(__xludf.DUMMYFUNCTION("""COMPUTED_VALUE"""),"金23")</f>
        <v>金23</v>
      </c>
      <c r="F3068" s="2" t="s">
        <v>9235</v>
      </c>
      <c r="G3068" s="2" t="s">
        <v>9236</v>
      </c>
      <c r="H3068" s="1">
        <v>1.0</v>
      </c>
      <c r="J3068" s="1" t="s">
        <v>6113</v>
      </c>
      <c r="K3068" s="4" t="s">
        <v>9237</v>
      </c>
      <c r="L3068" s="11" t="s">
        <v>9238</v>
      </c>
      <c r="M3068" s="2" t="str">
        <f>IFERROR(__xludf.DUMMYFUNCTION("split(split(K3068,""菊川怜、"",false),""公式LINE"",false)"),"OL小峰ルリは会社ではお局、軽んじられ残業や雑用を押し付けられる日々。両親と実家暮しでいい歳して彼氏なし。ある日自分の不思議な力に気づく…『怒りがわくと拳にものすごい力が宿って一発で人を倒してしまう』悪の限りを尽くす若者や荒くれ者、決して法だけでは裁ききれない悪をルリの華奢な豪腕が打ちのめす!")</f>
        <v>OL小峰ルリは会社ではお局、軽んじられ残業や雑用を押し付けられる日々。両親と実家暮しでいい歳して彼氏なし。ある日自分の不思議な力に気づく…『怒りがわくと拳にものすごい力が宿って一発で人を倒してしまう』悪の限りを尽くす若者や荒くれ者、決して法だけでは裁ききれない悪をルリの華奢な豪腕が打ちのめす!</v>
      </c>
      <c r="N3068" s="2"/>
      <c r="O3068" s="2"/>
      <c r="P3068" s="1"/>
      <c r="Q3068" s="1"/>
      <c r="R3068" s="1"/>
      <c r="S3068" s="1"/>
      <c r="T3068" s="1"/>
      <c r="U3068" s="1"/>
      <c r="V3068" s="1"/>
      <c r="W3068" s="1"/>
      <c r="X3068" s="1"/>
      <c r="Y3068" s="1"/>
      <c r="Z3068" s="1"/>
      <c r="AA3068" s="1"/>
      <c r="AB3068" s="1"/>
      <c r="AC3068" s="1"/>
      <c r="AD3068" s="1"/>
      <c r="AE3068" s="1"/>
      <c r="AF3068" s="1"/>
      <c r="AG3068" s="1"/>
      <c r="AH3068" s="1"/>
      <c r="AI3068" s="1"/>
      <c r="AJ3068" s="1"/>
      <c r="AK3068" s="1"/>
      <c r="AL3068" s="1"/>
      <c r="AM3068" s="1"/>
      <c r="AN3068" s="1"/>
      <c r="AO3068" s="1"/>
      <c r="AP3068" s="1"/>
      <c r="AQ3068" s="1"/>
      <c r="AR3068" s="1"/>
      <c r="AS3068" s="1"/>
      <c r="AT3068" s="1"/>
      <c r="AU3068" s="1"/>
      <c r="AV3068" s="1"/>
      <c r="AW3068" s="1"/>
      <c r="AX3068" s="1"/>
      <c r="AY3068" s="1"/>
      <c r="AZ3068" s="1"/>
      <c r="BA3068" s="1"/>
      <c r="BB3068" s="1"/>
    </row>
    <row r="3069" ht="204.75" customHeight="1">
      <c r="A3069" s="1">
        <v>5715.0</v>
      </c>
      <c r="B3069" s="2" t="s">
        <v>9234</v>
      </c>
      <c r="C3069" s="2">
        <f>IFERROR(__xludf.DUMMYFUNCTION("split(B3069,""_"")"),807.0)</f>
        <v>807</v>
      </c>
      <c r="D3069" s="2" t="str">
        <f>IFERROR(__xludf.DUMMYFUNCTION("""COMPUTED_VALUE"""),"EX")</f>
        <v>EX</v>
      </c>
      <c r="E3069" s="2" t="str">
        <f>IFERROR(__xludf.DUMMYFUNCTION("""COMPUTED_VALUE"""),"金23")</f>
        <v>金23</v>
      </c>
      <c r="F3069" s="2" t="s">
        <v>9235</v>
      </c>
      <c r="G3069" s="2" t="s">
        <v>9236</v>
      </c>
      <c r="H3069" s="1">
        <v>2.0</v>
      </c>
      <c r="J3069" s="1" t="s">
        <v>6113</v>
      </c>
      <c r="K3069" s="2" t="s">
        <v>9239</v>
      </c>
      <c r="L3069" s="11" t="s">
        <v>9240</v>
      </c>
      <c r="M3069" s="2" t="str">
        <f>IFERROR(__xludf.DUMMYFUNCTION("split(split(K3069,""菊川怜、"",false),""公式LINE"",false)"),"唯は、恐怖に戸惑うルリに「打撃すればいい。答えはおのずと出るはず」と語りかける。出社途中のルリに若い男が「婚約者に渡して。俺はやってない、そう伝えて」と言いながら、警官に連行されていく…")</f>
        <v>唯は、恐怖に戸惑うルリに「打撃すればいい。答えはおのずと出るはず」と語りかける。出社途中のルリに若い男が「婚約者に渡して。俺はやってない、そう伝えて」と言いながら、警官に連行されていく…</v>
      </c>
      <c r="N3069" s="2"/>
      <c r="O3069" s="2"/>
      <c r="P3069" s="1"/>
      <c r="Q3069" s="1"/>
      <c r="R3069" s="1"/>
      <c r="S3069" s="1"/>
      <c r="T3069" s="1"/>
      <c r="U3069" s="1"/>
      <c r="V3069" s="1"/>
      <c r="W3069" s="1"/>
      <c r="X3069" s="1"/>
      <c r="Y3069" s="1"/>
      <c r="Z3069" s="1"/>
      <c r="AA3069" s="1"/>
      <c r="AB3069" s="1"/>
      <c r="AC3069" s="1"/>
      <c r="AD3069" s="1"/>
      <c r="AE3069" s="1"/>
      <c r="AF3069" s="1"/>
      <c r="AG3069" s="1"/>
      <c r="AH3069" s="1"/>
      <c r="AI3069" s="1"/>
      <c r="AJ3069" s="1"/>
      <c r="AK3069" s="1"/>
      <c r="AL3069" s="1"/>
      <c r="AM3069" s="1"/>
      <c r="AN3069" s="1"/>
      <c r="AO3069" s="1"/>
      <c r="AP3069" s="1"/>
      <c r="AQ3069" s="1"/>
      <c r="AR3069" s="1"/>
      <c r="AS3069" s="1"/>
      <c r="AT3069" s="1"/>
      <c r="AU3069" s="1"/>
      <c r="AV3069" s="1"/>
      <c r="AW3069" s="1"/>
      <c r="AX3069" s="1"/>
      <c r="AY3069" s="1"/>
      <c r="AZ3069" s="1"/>
      <c r="BA3069" s="1"/>
      <c r="BB3069" s="1"/>
    </row>
    <row r="3070" ht="204.75" customHeight="1">
      <c r="A3070" s="1">
        <v>5716.0</v>
      </c>
      <c r="B3070" s="2" t="s">
        <v>9234</v>
      </c>
      <c r="C3070" s="2">
        <f>IFERROR(__xludf.DUMMYFUNCTION("split(B3070,""_"")"),807.0)</f>
        <v>807</v>
      </c>
      <c r="D3070" s="2" t="str">
        <f>IFERROR(__xludf.DUMMYFUNCTION("""COMPUTED_VALUE"""),"EX")</f>
        <v>EX</v>
      </c>
      <c r="E3070" s="2" t="str">
        <f>IFERROR(__xludf.DUMMYFUNCTION("""COMPUTED_VALUE"""),"金23")</f>
        <v>金23</v>
      </c>
      <c r="F3070" s="2" t="s">
        <v>9235</v>
      </c>
      <c r="G3070" s="2" t="s">
        <v>9236</v>
      </c>
      <c r="H3070" s="1">
        <v>3.0</v>
      </c>
      <c r="J3070" s="1" t="s">
        <v>6113</v>
      </c>
      <c r="K3070" s="2" t="s">
        <v>9241</v>
      </c>
      <c r="L3070" s="11" t="s">
        <v>9242</v>
      </c>
      <c r="M3070" s="2" t="str">
        <f>IFERROR(__xludf.DUMMYFUNCTION("split(split(K3070,""菊川怜、"",false),""公式LINE"",false)"),"アポロンズのエース三宅は20連勝中。女子アナウンサー岩倉優子(古川りか)と交際中。スポーツマンらしい爽やかさに健一郎はますますファンになっる。ルリは優子の態度がどこか気にかかる。山中で女性の遺体が発見され、神取(池畑慎之介)佐々木(池田努)が捜査を開始")</f>
        <v>アポロンズのエース三宅は20連勝中。女子アナウンサー岩倉優子(古川りか)と交際中。スポーツマンらしい爽やかさに健一郎はますますファンになっる。ルリは優子の態度がどこか気にかかる。山中で女性の遺体が発見され、神取(池畑慎之介)佐々木(池田努)が捜査を開始</v>
      </c>
      <c r="N3070" s="2"/>
      <c r="O3070" s="2"/>
      <c r="P3070" s="1"/>
      <c r="Q3070" s="1"/>
      <c r="R3070" s="1"/>
      <c r="S3070" s="1"/>
      <c r="T3070" s="1"/>
      <c r="U3070" s="1"/>
      <c r="V3070" s="1"/>
      <c r="W3070" s="1"/>
      <c r="X3070" s="1"/>
      <c r="Y3070" s="1"/>
      <c r="Z3070" s="1"/>
      <c r="AA3070" s="1"/>
      <c r="AB3070" s="1"/>
      <c r="AC3070" s="1"/>
      <c r="AD3070" s="1"/>
      <c r="AE3070" s="1"/>
      <c r="AF3070" s="1"/>
      <c r="AG3070" s="1"/>
      <c r="AH3070" s="1"/>
      <c r="AI3070" s="1"/>
      <c r="AJ3070" s="1"/>
      <c r="AK3070" s="1"/>
      <c r="AL3070" s="1"/>
      <c r="AM3070" s="1"/>
      <c r="AN3070" s="1"/>
      <c r="AO3070" s="1"/>
      <c r="AP3070" s="1"/>
      <c r="AQ3070" s="1"/>
      <c r="AR3070" s="1"/>
      <c r="AS3070" s="1"/>
      <c r="AT3070" s="1"/>
      <c r="AU3070" s="1"/>
      <c r="AV3070" s="1"/>
      <c r="AW3070" s="1"/>
      <c r="AX3070" s="1"/>
      <c r="AY3070" s="1"/>
      <c r="AZ3070" s="1"/>
      <c r="BA3070" s="1"/>
      <c r="BB3070" s="1"/>
    </row>
    <row r="3071" ht="204.75" customHeight="1">
      <c r="A3071" s="1">
        <v>5717.0</v>
      </c>
      <c r="B3071" s="2" t="s">
        <v>9234</v>
      </c>
      <c r="C3071" s="2">
        <f>IFERROR(__xludf.DUMMYFUNCTION("split(B3071,""_"")"),807.0)</f>
        <v>807</v>
      </c>
      <c r="D3071" s="2" t="str">
        <f>IFERROR(__xludf.DUMMYFUNCTION("""COMPUTED_VALUE"""),"EX")</f>
        <v>EX</v>
      </c>
      <c r="E3071" s="2" t="str">
        <f>IFERROR(__xludf.DUMMYFUNCTION("""COMPUTED_VALUE"""),"金23")</f>
        <v>金23</v>
      </c>
      <c r="F3071" s="2" t="s">
        <v>9235</v>
      </c>
      <c r="G3071" s="2" t="s">
        <v>9236</v>
      </c>
      <c r="H3071" s="1">
        <v>4.0</v>
      </c>
      <c r="J3071" s="1" t="s">
        <v>6113</v>
      </c>
      <c r="K3071" s="2" t="s">
        <v>9243</v>
      </c>
      <c r="L3071" s="10" t="s">
        <v>9244</v>
      </c>
      <c r="M3071" s="2" t="str">
        <f>IFERROR(__xludf.DUMMYFUNCTION("split(split(K3071,""菊川怜、"",false),""公式LINE"",false)"),"※この番組は、「熱闘甲子園」が休止の場合は放送時間が変更になります。起業して間もない国井は、ここ数年急成長し業界から注目される存在。ルリの会社クレセンスでも、もちろん女子社員の憧れの的!一方、連続する暴行事件の被害状況を検証しようと実験を試みる佐々木(池田努)と神取(池畑慎之介)。")</f>
        <v>※この番組は、「熱闘甲子園」が休止の場合は放送時間が変更になります。起業して間もない国井は、ここ数年急成長し業界から注目される存在。ルリの会社クレセンスでも、もちろん女子社員の憧れの的!一方、連続する暴行事件の被害状況を検証しようと実験を試みる佐々木(池田努)と神取(池畑慎之介)。</v>
      </c>
      <c r="N3071" s="2"/>
      <c r="O3071" s="2"/>
      <c r="P3071" s="1"/>
      <c r="Q3071" s="1"/>
      <c r="R3071" s="1"/>
      <c r="S3071" s="1"/>
      <c r="T3071" s="1"/>
      <c r="U3071" s="1"/>
      <c r="V3071" s="1"/>
      <c r="W3071" s="1"/>
      <c r="X3071" s="1"/>
      <c r="Y3071" s="1"/>
      <c r="Z3071" s="1"/>
      <c r="AA3071" s="1"/>
      <c r="AB3071" s="1"/>
      <c r="AC3071" s="1"/>
      <c r="AD3071" s="1"/>
      <c r="AE3071" s="1"/>
      <c r="AF3071" s="1"/>
      <c r="AG3071" s="1"/>
      <c r="AH3071" s="1"/>
      <c r="AI3071" s="1"/>
      <c r="AJ3071" s="1"/>
      <c r="AK3071" s="1"/>
      <c r="AL3071" s="1"/>
      <c r="AM3071" s="1"/>
      <c r="AN3071" s="1"/>
      <c r="AO3071" s="1"/>
      <c r="AP3071" s="1"/>
      <c r="AQ3071" s="1"/>
      <c r="AR3071" s="1"/>
      <c r="AS3071" s="1"/>
      <c r="AT3071" s="1"/>
      <c r="AU3071" s="1"/>
      <c r="AV3071" s="1"/>
      <c r="AW3071" s="1"/>
      <c r="AX3071" s="1"/>
      <c r="AY3071" s="1"/>
      <c r="AZ3071" s="1"/>
      <c r="BA3071" s="1"/>
      <c r="BB3071" s="1"/>
    </row>
    <row r="3072" ht="204.75" customHeight="1">
      <c r="A3072" s="1">
        <v>5718.0</v>
      </c>
      <c r="B3072" s="2" t="s">
        <v>9234</v>
      </c>
      <c r="C3072" s="2">
        <f>IFERROR(__xludf.DUMMYFUNCTION("split(B3072,""_"")"),807.0)</f>
        <v>807</v>
      </c>
      <c r="D3072" s="2" t="str">
        <f>IFERROR(__xludf.DUMMYFUNCTION("""COMPUTED_VALUE"""),"EX")</f>
        <v>EX</v>
      </c>
      <c r="E3072" s="2" t="str">
        <f>IFERROR(__xludf.DUMMYFUNCTION("""COMPUTED_VALUE"""),"金23")</f>
        <v>金23</v>
      </c>
      <c r="F3072" s="2" t="s">
        <v>9235</v>
      </c>
      <c r="G3072" s="2" t="s">
        <v>9236</v>
      </c>
      <c r="H3072" s="1">
        <v>5.0</v>
      </c>
      <c r="J3072" s="1" t="s">
        <v>6113</v>
      </c>
      <c r="K3072" s="2" t="s">
        <v>9245</v>
      </c>
      <c r="L3072" s="11" t="s">
        <v>9246</v>
      </c>
      <c r="M3072" s="2" t="str">
        <f>IFERROR(__xludf.DUMMYFUNCTION("split(split(K3072,""菊川怜、"",false),""公式LINE"",false)"),"息子を連続暴行魔に打撃され敵をとろうと必死に探していた男は、あるニュースをきっかけにルリを疑い始める!ついに小峰家を突き止め・・・ルリは両親の前で打撃することはできるのか!ルリと佐々木(池田努)2人が急接近!一方、唯に依頼されある場所を訪れた健一郎が大ピンチ!!")</f>
        <v>息子を連続暴行魔に打撃され敵をとろうと必死に探していた男は、あるニュースをきっかけにルリを疑い始める!ついに小峰家を突き止め・・・ルリは両親の前で打撃することはできるのか!ルリと佐々木(池田努)2人が急接近!一方、唯に依頼されある場所を訪れた健一郎が大ピンチ!!</v>
      </c>
      <c r="N3072" s="2"/>
      <c r="O3072" s="2"/>
      <c r="P3072" s="1"/>
      <c r="Q3072" s="1"/>
      <c r="R3072" s="1"/>
      <c r="S3072" s="1"/>
      <c r="T3072" s="1"/>
      <c r="U3072" s="1"/>
      <c r="V3072" s="1"/>
      <c r="W3072" s="1"/>
      <c r="X3072" s="1"/>
      <c r="Y3072" s="1"/>
      <c r="Z3072" s="1"/>
      <c r="AA3072" s="1"/>
      <c r="AB3072" s="1"/>
      <c r="AC3072" s="1"/>
      <c r="AD3072" s="1"/>
      <c r="AE3072" s="1"/>
      <c r="AF3072" s="1"/>
      <c r="AG3072" s="1"/>
      <c r="AH3072" s="1"/>
      <c r="AI3072" s="1"/>
      <c r="AJ3072" s="1"/>
      <c r="AK3072" s="1"/>
      <c r="AL3072" s="1"/>
      <c r="AM3072" s="1"/>
      <c r="AN3072" s="1"/>
      <c r="AO3072" s="1"/>
      <c r="AP3072" s="1"/>
      <c r="AQ3072" s="1"/>
      <c r="AR3072" s="1"/>
      <c r="AS3072" s="1"/>
      <c r="AT3072" s="1"/>
      <c r="AU3072" s="1"/>
      <c r="AV3072" s="1"/>
      <c r="AW3072" s="1"/>
      <c r="AX3072" s="1"/>
      <c r="AY3072" s="1"/>
      <c r="AZ3072" s="1"/>
      <c r="BA3072" s="1"/>
      <c r="BB3072" s="1"/>
    </row>
    <row r="3073" ht="204.75" customHeight="1">
      <c r="A3073" s="1">
        <v>5719.0</v>
      </c>
      <c r="B3073" s="2" t="s">
        <v>9234</v>
      </c>
      <c r="C3073" s="2">
        <f>IFERROR(__xludf.DUMMYFUNCTION("split(B3073,""_"")"),807.0)</f>
        <v>807</v>
      </c>
      <c r="D3073" s="2" t="str">
        <f>IFERROR(__xludf.DUMMYFUNCTION("""COMPUTED_VALUE"""),"EX")</f>
        <v>EX</v>
      </c>
      <c r="E3073" s="2" t="str">
        <f>IFERROR(__xludf.DUMMYFUNCTION("""COMPUTED_VALUE"""),"金23")</f>
        <v>金23</v>
      </c>
      <c r="F3073" s="2" t="s">
        <v>9235</v>
      </c>
      <c r="G3073" s="2" t="s">
        <v>9236</v>
      </c>
      <c r="H3073" s="1">
        <v>6.0</v>
      </c>
      <c r="J3073" s="1" t="s">
        <v>6113</v>
      </c>
      <c r="K3073" s="2" t="s">
        <v>9247</v>
      </c>
      <c r="L3073" s="11" t="s">
        <v>9248</v>
      </c>
      <c r="M3073" s="2" t="str">
        <f>IFERROR(__xludf.DUMMYFUNCTION("split(split(K3073,""菊川怜、"",false),""公式LINE"",false)"),"健一郎(遠藤雄弥)は、唯(沢木ルカ)のお願いであるマンションを訪れて、何者かによって打撃を受け気を失う!目覚めると、そこには工藤真彦(大浦龍宇一)が。工藤は「キミと同じ打撃人類だ」と告白する。果たして彼は敵なのか、それとも味方なのか…。ついに謎の唯が始動する!")</f>
        <v>健一郎(遠藤雄弥)は、唯(沢木ルカ)のお願いであるマンションを訪れて、何者かによって打撃を受け気を失う!目覚めると、そこには工藤真彦(大浦龍宇一)が。工藤は「キミと同じ打撃人類だ」と告白する。果たして彼は敵なのか、それとも味方なのか…。ついに謎の唯が始動する!</v>
      </c>
      <c r="N3073" s="2"/>
      <c r="O3073" s="2"/>
      <c r="P3073" s="1"/>
      <c r="Q3073" s="1"/>
      <c r="R3073" s="1"/>
      <c r="S3073" s="1"/>
      <c r="T3073" s="1"/>
      <c r="U3073" s="1"/>
      <c r="V3073" s="1"/>
      <c r="W3073" s="1"/>
      <c r="X3073" s="1"/>
      <c r="Y3073" s="1"/>
      <c r="Z3073" s="1"/>
      <c r="AA3073" s="1"/>
      <c r="AB3073" s="1"/>
      <c r="AC3073" s="1"/>
      <c r="AD3073" s="1"/>
      <c r="AE3073" s="1"/>
      <c r="AF3073" s="1"/>
      <c r="AG3073" s="1"/>
      <c r="AH3073" s="1"/>
      <c r="AI3073" s="1"/>
      <c r="AJ3073" s="1"/>
      <c r="AK3073" s="1"/>
      <c r="AL3073" s="1"/>
      <c r="AM3073" s="1"/>
      <c r="AN3073" s="1"/>
      <c r="AO3073" s="1"/>
      <c r="AP3073" s="1"/>
      <c r="AQ3073" s="1"/>
      <c r="AR3073" s="1"/>
      <c r="AS3073" s="1"/>
      <c r="AT3073" s="1"/>
      <c r="AU3073" s="1"/>
      <c r="AV3073" s="1"/>
      <c r="AW3073" s="1"/>
      <c r="AX3073" s="1"/>
      <c r="AY3073" s="1"/>
      <c r="AZ3073" s="1"/>
      <c r="BA3073" s="1"/>
      <c r="BB3073" s="1"/>
    </row>
    <row r="3074" ht="204.75" customHeight="1">
      <c r="A3074" s="1">
        <v>5720.0</v>
      </c>
      <c r="B3074" s="2" t="s">
        <v>9234</v>
      </c>
      <c r="C3074" s="2">
        <f>IFERROR(__xludf.DUMMYFUNCTION("split(B3074,""_"")"),807.0)</f>
        <v>807</v>
      </c>
      <c r="D3074" s="2" t="str">
        <f>IFERROR(__xludf.DUMMYFUNCTION("""COMPUTED_VALUE"""),"EX")</f>
        <v>EX</v>
      </c>
      <c r="E3074" s="2" t="str">
        <f>IFERROR(__xludf.DUMMYFUNCTION("""COMPUTED_VALUE"""),"金23")</f>
        <v>金23</v>
      </c>
      <c r="F3074" s="2" t="s">
        <v>9235</v>
      </c>
      <c r="G3074" s="2" t="s">
        <v>9236</v>
      </c>
      <c r="H3074" s="1">
        <v>7.0</v>
      </c>
      <c r="J3074" s="1" t="s">
        <v>6113</v>
      </c>
      <c r="K3074" s="2" t="s">
        <v>9249</v>
      </c>
      <c r="L3074" s="11" t="s">
        <v>9250</v>
      </c>
      <c r="M3074" s="2" t="str">
        <f>IFERROR(__xludf.DUMMYFUNCTION("split(split(K3074,""菊川怜、"",false),""公式LINE"",false)"),"打撃を封印した健一郎。ルリを匿う佐々木。ルリを追い込む神取。それぞれの想いが複雑に絡み合い「打撃」の本当の意味とは何かを考えるルリ。果たして打撃は天使なのか?悪魔なのか?ついにルリと神取の宿命の対決が見られる!ラスト打撃「だしゃあ-!」に込められた思いとは!")</f>
        <v>打撃を封印した健一郎。ルリを匿う佐々木。ルリを追い込む神取。それぞれの想いが複雑に絡み合い「打撃」の本当の意味とは何かを考えるルリ。果たして打撃は天使なのか?悪魔なのか?ついにルリと神取の宿命の対決が見られる!ラスト打撃「だしゃあ-!」に込められた思いとは!</v>
      </c>
      <c r="N3074" s="2"/>
      <c r="O3074" s="2"/>
      <c r="P3074" s="1"/>
      <c r="Q3074" s="1"/>
      <c r="R3074" s="1"/>
      <c r="S3074" s="1"/>
      <c r="T3074" s="1"/>
      <c r="U3074" s="1"/>
      <c r="V3074" s="1"/>
      <c r="W3074" s="1"/>
      <c r="X3074" s="1"/>
      <c r="Y3074" s="1"/>
      <c r="Z3074" s="1"/>
      <c r="AA3074" s="1"/>
      <c r="AB3074" s="1"/>
      <c r="AC3074" s="1"/>
      <c r="AD3074" s="1"/>
      <c r="AE3074" s="1"/>
      <c r="AF3074" s="1"/>
      <c r="AG3074" s="1"/>
      <c r="AH3074" s="1"/>
      <c r="AI3074" s="1"/>
      <c r="AJ3074" s="1"/>
      <c r="AK3074" s="1"/>
      <c r="AL3074" s="1"/>
      <c r="AM3074" s="1"/>
      <c r="AN3074" s="1"/>
      <c r="AO3074" s="1"/>
      <c r="AP3074" s="1"/>
      <c r="AQ3074" s="1"/>
      <c r="AR3074" s="1"/>
      <c r="AS3074" s="1"/>
      <c r="AT3074" s="1"/>
      <c r="AU3074" s="1"/>
      <c r="AV3074" s="1"/>
      <c r="AW3074" s="1"/>
      <c r="AX3074" s="1"/>
      <c r="AY3074" s="1"/>
      <c r="AZ3074" s="1"/>
      <c r="BA3074" s="1"/>
      <c r="BB3074" s="1"/>
    </row>
    <row r="3075" ht="204.75" customHeight="1">
      <c r="A3075" s="1">
        <v>5806.0</v>
      </c>
      <c r="B3075" s="2" t="s">
        <v>9251</v>
      </c>
      <c r="C3075" s="2">
        <f>IFERROR(__xludf.DUMMYFUNCTION("split(B3075,""_"")"),804.0)</f>
        <v>804</v>
      </c>
      <c r="D3075" s="2" t="str">
        <f>IFERROR(__xludf.DUMMYFUNCTION("""COMPUTED_VALUE"""),"EX")</f>
        <v>EX</v>
      </c>
      <c r="E3075" s="2" t="str">
        <f>IFERROR(__xludf.DUMMYFUNCTION("""COMPUTED_VALUE"""),"木21")</f>
        <v>木21</v>
      </c>
      <c r="F3075" s="2" t="s">
        <v>9252</v>
      </c>
      <c r="G3075" s="2" t="s">
        <v>9253</v>
      </c>
      <c r="H3075" s="1">
        <v>1.0</v>
      </c>
      <c r="J3075" s="1" t="s">
        <v>4</v>
      </c>
      <c r="K3075" s="2" t="s">
        <v>9254</v>
      </c>
      <c r="L3075" s="11" t="s">
        <v>9255</v>
      </c>
      <c r="M3075" s="2" t="str">
        <f>IFERROR(__xludf.DUMMYFUNCTION("split(split(K3075,""…"",false),""公式LINE"",false)"),"温泉に来た、真紀(釈由美子)、妙子(原沙知絵)、静香(東ちづる)はドラマの撮影隊と遭遇する。真紀はそこで女優として頑張っている友人・睦美(鈴木亜美)と再会する。再会を喜ぶ2人だが")</f>
        <v>温泉に来た、真紀(釈由美子)、妙子(原沙知絵)、静香(東ちづる)はドラマの撮影隊と遭遇する。真紀はそこで女優として頑張っている友人・睦美(鈴木亜美)と再会する。再会を喜ぶ2人だが</v>
      </c>
      <c r="N3075" s="2"/>
      <c r="O3075" s="2"/>
      <c r="P3075" s="1"/>
      <c r="Q3075" s="1"/>
      <c r="R3075" s="1"/>
      <c r="S3075" s="1"/>
      <c r="T3075" s="1"/>
      <c r="U3075" s="1"/>
      <c r="V3075" s="1"/>
      <c r="W3075" s="1"/>
      <c r="X3075" s="1"/>
      <c r="Y3075" s="1"/>
      <c r="Z3075" s="1"/>
      <c r="AA3075" s="1"/>
      <c r="AB3075" s="1"/>
      <c r="AC3075" s="1"/>
      <c r="AD3075" s="1"/>
      <c r="AE3075" s="1"/>
      <c r="AF3075" s="1"/>
      <c r="AG3075" s="1"/>
      <c r="AH3075" s="1"/>
      <c r="AI3075" s="1"/>
      <c r="AJ3075" s="1"/>
      <c r="AK3075" s="1"/>
      <c r="AL3075" s="1"/>
      <c r="AM3075" s="1"/>
      <c r="AN3075" s="1"/>
      <c r="AO3075" s="1"/>
      <c r="AP3075" s="1"/>
      <c r="AQ3075" s="1"/>
      <c r="AR3075" s="1"/>
      <c r="AS3075" s="1"/>
      <c r="AT3075" s="1"/>
      <c r="AU3075" s="1"/>
      <c r="AV3075" s="1"/>
      <c r="AW3075" s="1"/>
      <c r="AX3075" s="1"/>
      <c r="AY3075" s="1"/>
      <c r="AZ3075" s="1"/>
      <c r="BA3075" s="1"/>
      <c r="BB3075" s="1"/>
    </row>
    <row r="3076" ht="204.75" customHeight="1">
      <c r="A3076" s="1">
        <v>5807.0</v>
      </c>
      <c r="B3076" s="2" t="s">
        <v>9251</v>
      </c>
      <c r="C3076" s="2">
        <f>IFERROR(__xludf.DUMMYFUNCTION("split(B3076,""_"")"),804.0)</f>
        <v>804</v>
      </c>
      <c r="D3076" s="2" t="str">
        <f>IFERROR(__xludf.DUMMYFUNCTION("""COMPUTED_VALUE"""),"EX")</f>
        <v>EX</v>
      </c>
      <c r="E3076" s="2" t="str">
        <f>IFERROR(__xludf.DUMMYFUNCTION("""COMPUTED_VALUE"""),"木21")</f>
        <v>木21</v>
      </c>
      <c r="F3076" s="2" t="s">
        <v>9252</v>
      </c>
      <c r="G3076" s="2" t="s">
        <v>9253</v>
      </c>
      <c r="H3076" s="1">
        <v>2.0</v>
      </c>
      <c r="J3076" s="1" t="s">
        <v>11</v>
      </c>
      <c r="K3076" s="4" t="s">
        <v>9256</v>
      </c>
      <c r="L3076" s="11" t="s">
        <v>9257</v>
      </c>
      <c r="M3076" s="2" t="str">
        <f>IFERROR(__xludf.DUMMYFUNCTION("split(split(K3076,""釈由美子、"",false),""公式LINE"",false)"),"真紀(釈由美子)と一平(永井大)が買い物をしているとそこに沢田光代(筒井真理子)と裕一(野々村真)がやってきてなにやらクレームを店長・佳恵(山田まりや)につけていた…。後日、光代が殺され目撃情報から佳恵が逮捕される。真紀は佳恵の弁護を引き受けるが…。　")</f>
        <v>真紀(釈由美子)と一平(永井大)が買い物をしているとそこに沢田光代(筒井真理子)と裕一(野々村真)がやってきてなにやらクレームを店長・佳恵(山田まりや)につけていた…。後日、光代が殺され目撃情報から佳恵が逮捕される。真紀は佳恵の弁護を引き受けるが…。　</v>
      </c>
      <c r="N3076" s="2"/>
      <c r="O3076" s="2"/>
      <c r="P3076" s="1"/>
      <c r="Q3076" s="1"/>
      <c r="R3076" s="1"/>
      <c r="S3076" s="1"/>
      <c r="T3076" s="1"/>
      <c r="U3076" s="1"/>
      <c r="V3076" s="1"/>
      <c r="W3076" s="1"/>
      <c r="X3076" s="1"/>
      <c r="Y3076" s="1"/>
      <c r="Z3076" s="1"/>
      <c r="AA3076" s="1"/>
      <c r="AB3076" s="1"/>
      <c r="AC3076" s="1"/>
      <c r="AD3076" s="1"/>
      <c r="AE3076" s="1"/>
      <c r="AF3076" s="1"/>
      <c r="AG3076" s="1"/>
      <c r="AH3076" s="1"/>
      <c r="AI3076" s="1"/>
      <c r="AJ3076" s="1"/>
      <c r="AK3076" s="1"/>
      <c r="AL3076" s="1"/>
      <c r="AM3076" s="1"/>
      <c r="AN3076" s="1"/>
      <c r="AO3076" s="1"/>
      <c r="AP3076" s="1"/>
      <c r="AQ3076" s="1"/>
      <c r="AR3076" s="1"/>
      <c r="AS3076" s="1"/>
      <c r="AT3076" s="1"/>
      <c r="AU3076" s="1"/>
      <c r="AV3076" s="1"/>
      <c r="AW3076" s="1"/>
      <c r="AX3076" s="1"/>
      <c r="AY3076" s="1"/>
      <c r="AZ3076" s="1"/>
      <c r="BA3076" s="1"/>
      <c r="BB3076" s="1"/>
    </row>
    <row r="3077" ht="204.75" customHeight="1">
      <c r="A3077" s="1">
        <v>5808.0</v>
      </c>
      <c r="B3077" s="2" t="s">
        <v>9251</v>
      </c>
      <c r="C3077" s="2">
        <f>IFERROR(__xludf.DUMMYFUNCTION("split(B3077,""_"")"),804.0)</f>
        <v>804</v>
      </c>
      <c r="D3077" s="2" t="str">
        <f>IFERROR(__xludf.DUMMYFUNCTION("""COMPUTED_VALUE"""),"EX")</f>
        <v>EX</v>
      </c>
      <c r="E3077" s="2" t="str">
        <f>IFERROR(__xludf.DUMMYFUNCTION("""COMPUTED_VALUE"""),"木21")</f>
        <v>木21</v>
      </c>
      <c r="F3077" s="2" t="s">
        <v>9252</v>
      </c>
      <c r="G3077" s="2" t="s">
        <v>9253</v>
      </c>
      <c r="H3077" s="1">
        <v>3.0</v>
      </c>
      <c r="J3077" s="1" t="s">
        <v>11</v>
      </c>
      <c r="K3077" s="2" t="s">
        <v>9258</v>
      </c>
      <c r="L3077" s="11" t="s">
        <v>9259</v>
      </c>
      <c r="M3077" s="2" t="str">
        <f>IFERROR(__xludf.DUMMYFUNCTION("split(split(K3077,""釈由美子、"",false),""公式LINE"",false)"),"息子・涼太の自殺の原因は学校でのイジメ、と思い込む母親の忍(伊藤かずえ)はイジメを認めない学校側に腹を立て藤川校長(永島敏行)を切り付ける。真紀(釈由美子)は自暴自棄になる忍の弁護に悪戦苦闘!そんな中、涼太の担任・美緒(吉井怜)が自殺し…　")</f>
        <v>息子・涼太の自殺の原因は学校でのイジメ、と思い込む母親の忍(伊藤かずえ)はイジメを認めない学校側に腹を立て藤川校長(永島敏行)を切り付ける。真紀(釈由美子)は自暴自棄になる忍の弁護に悪戦苦闘!そんな中、涼太の担任・美緒(吉井怜)が自殺し…　</v>
      </c>
      <c r="N3077" s="2"/>
      <c r="O3077" s="2"/>
      <c r="P3077" s="1"/>
      <c r="Q3077" s="1"/>
      <c r="R3077" s="1"/>
      <c r="S3077" s="1"/>
      <c r="T3077" s="1"/>
      <c r="U3077" s="1"/>
      <c r="V3077" s="1"/>
      <c r="W3077" s="1"/>
      <c r="X3077" s="1"/>
      <c r="Y3077" s="1"/>
      <c r="Z3077" s="1"/>
      <c r="AA3077" s="1"/>
      <c r="AB3077" s="1"/>
      <c r="AC3077" s="1"/>
      <c r="AD3077" s="1"/>
      <c r="AE3077" s="1"/>
      <c r="AF3077" s="1"/>
      <c r="AG3077" s="1"/>
      <c r="AH3077" s="1"/>
      <c r="AI3077" s="1"/>
      <c r="AJ3077" s="1"/>
      <c r="AK3077" s="1"/>
      <c r="AL3077" s="1"/>
      <c r="AM3077" s="1"/>
      <c r="AN3077" s="1"/>
      <c r="AO3077" s="1"/>
      <c r="AP3077" s="1"/>
      <c r="AQ3077" s="1"/>
      <c r="AR3077" s="1"/>
      <c r="AS3077" s="1"/>
      <c r="AT3077" s="1"/>
      <c r="AU3077" s="1"/>
      <c r="AV3077" s="1"/>
      <c r="AW3077" s="1"/>
      <c r="AX3077" s="1"/>
      <c r="AY3077" s="1"/>
      <c r="AZ3077" s="1"/>
      <c r="BA3077" s="1"/>
      <c r="BB3077" s="1"/>
    </row>
    <row r="3078" ht="204.75" customHeight="1">
      <c r="A3078" s="1">
        <v>5809.0</v>
      </c>
      <c r="B3078" s="2" t="s">
        <v>9251</v>
      </c>
      <c r="C3078" s="2">
        <f>IFERROR(__xludf.DUMMYFUNCTION("split(B3078,""_"")"),804.0)</f>
        <v>804</v>
      </c>
      <c r="D3078" s="2" t="str">
        <f>IFERROR(__xludf.DUMMYFUNCTION("""COMPUTED_VALUE"""),"EX")</f>
        <v>EX</v>
      </c>
      <c r="E3078" s="2" t="str">
        <f>IFERROR(__xludf.DUMMYFUNCTION("""COMPUTED_VALUE"""),"木21")</f>
        <v>木21</v>
      </c>
      <c r="F3078" s="2" t="s">
        <v>9252</v>
      </c>
      <c r="G3078" s="2" t="s">
        <v>9253</v>
      </c>
      <c r="H3078" s="1">
        <v>4.0</v>
      </c>
      <c r="J3078" s="1" t="s">
        <v>11</v>
      </c>
      <c r="K3078" s="2" t="s">
        <v>9260</v>
      </c>
      <c r="L3078" s="11" t="s">
        <v>9261</v>
      </c>
      <c r="M3078" s="2" t="str">
        <f>IFERROR(__xludf.DUMMYFUNCTION("split(split(K3078,""釈由美子、"",false),""公式LINE"",false)"),"会社員の間下(鈴木浩介)が殺害され、出会い系サイトで知り合った美由紀(安倍麻美)が逮捕された。美由紀は犯行を否認したまま起訴されてしまう。真紀(釈由美子)は、自分が容疑者になっているにも関わらず、曖昧な態度をとる美由紀に驚きながらも、調査を開始すると・・・　")</f>
        <v>会社員の間下(鈴木浩介)が殺害され、出会い系サイトで知り合った美由紀(安倍麻美)が逮捕された。美由紀は犯行を否認したまま起訴されてしまう。真紀(釈由美子)は、自分が容疑者になっているにも関わらず、曖昧な態度をとる美由紀に驚きながらも、調査を開始すると・・・　</v>
      </c>
      <c r="N3078" s="2"/>
      <c r="O3078" s="2"/>
      <c r="P3078" s="1"/>
      <c r="Q3078" s="1"/>
      <c r="R3078" s="1"/>
      <c r="S3078" s="1"/>
      <c r="T3078" s="1"/>
      <c r="U3078" s="1"/>
      <c r="V3078" s="1"/>
      <c r="W3078" s="1"/>
      <c r="X3078" s="1"/>
      <c r="Y3078" s="1"/>
      <c r="Z3078" s="1"/>
      <c r="AA3078" s="1"/>
      <c r="AB3078" s="1"/>
      <c r="AC3078" s="1"/>
      <c r="AD3078" s="1"/>
      <c r="AE3078" s="1"/>
      <c r="AF3078" s="1"/>
      <c r="AG3078" s="1"/>
      <c r="AH3078" s="1"/>
      <c r="AI3078" s="1"/>
      <c r="AJ3078" s="1"/>
      <c r="AK3078" s="1"/>
      <c r="AL3078" s="1"/>
      <c r="AM3078" s="1"/>
      <c r="AN3078" s="1"/>
      <c r="AO3078" s="1"/>
      <c r="AP3078" s="1"/>
      <c r="AQ3078" s="1"/>
      <c r="AR3078" s="1"/>
      <c r="AS3078" s="1"/>
      <c r="AT3078" s="1"/>
      <c r="AU3078" s="1"/>
      <c r="AV3078" s="1"/>
      <c r="AW3078" s="1"/>
      <c r="AX3078" s="1"/>
      <c r="AY3078" s="1"/>
      <c r="AZ3078" s="1"/>
      <c r="BA3078" s="1"/>
      <c r="BB3078" s="1"/>
    </row>
    <row r="3079" ht="204.75" customHeight="1">
      <c r="A3079" s="1">
        <v>5810.0</v>
      </c>
      <c r="B3079" s="2" t="s">
        <v>9251</v>
      </c>
      <c r="C3079" s="2">
        <f>IFERROR(__xludf.DUMMYFUNCTION("split(B3079,""_"")"),804.0)</f>
        <v>804</v>
      </c>
      <c r="D3079" s="2" t="str">
        <f>IFERROR(__xludf.DUMMYFUNCTION("""COMPUTED_VALUE"""),"EX")</f>
        <v>EX</v>
      </c>
      <c r="E3079" s="2" t="str">
        <f>IFERROR(__xludf.DUMMYFUNCTION("""COMPUTED_VALUE"""),"木21")</f>
        <v>木21</v>
      </c>
      <c r="F3079" s="2" t="s">
        <v>9252</v>
      </c>
      <c r="G3079" s="2" t="s">
        <v>9253</v>
      </c>
      <c r="H3079" s="1">
        <v>5.0</v>
      </c>
      <c r="J3079" s="1" t="s">
        <v>11</v>
      </c>
      <c r="K3079" s="2" t="s">
        <v>9262</v>
      </c>
      <c r="L3079" s="11" t="s">
        <v>9263</v>
      </c>
      <c r="M3079" s="2" t="str">
        <f>IFERROR(__xludf.DUMMYFUNCTION("split(split(K3079,""釈由美子、"",false),""公式LINE"",false)"),"あやめ(遠藤久美子)は妹・久美子(市川由衣)がホストのリョウ(天野浩成)に騙されていることを知り、直談判に・・・その翌日、リョウの遺体が発見され、あやめは逮捕される。久美子は助けを求めて弁護士事務所へ!真紀(釈由美子)は真犯人探しを開始するが?!　")</f>
        <v>あやめ(遠藤久美子)は妹・久美子(市川由衣)がホストのリョウ(天野浩成)に騙されていることを知り、直談判に・・・その翌日、リョウの遺体が発見され、あやめは逮捕される。久美子は助けを求めて弁護士事務所へ!真紀(釈由美子)は真犯人探しを開始するが?!　</v>
      </c>
      <c r="N3079" s="2"/>
      <c r="O3079" s="2"/>
      <c r="P3079" s="1"/>
      <c r="Q3079" s="1"/>
      <c r="R3079" s="1"/>
      <c r="S3079" s="1"/>
      <c r="T3079" s="1"/>
      <c r="U3079" s="1"/>
      <c r="V3079" s="1"/>
      <c r="W3079" s="1"/>
      <c r="X3079" s="1"/>
      <c r="Y3079" s="1"/>
      <c r="Z3079" s="1"/>
      <c r="AA3079" s="1"/>
      <c r="AB3079" s="1"/>
      <c r="AC3079" s="1"/>
      <c r="AD3079" s="1"/>
      <c r="AE3079" s="1"/>
      <c r="AF3079" s="1"/>
      <c r="AG3079" s="1"/>
      <c r="AH3079" s="1"/>
      <c r="AI3079" s="1"/>
      <c r="AJ3079" s="1"/>
      <c r="AK3079" s="1"/>
      <c r="AL3079" s="1"/>
      <c r="AM3079" s="1"/>
      <c r="AN3079" s="1"/>
      <c r="AO3079" s="1"/>
      <c r="AP3079" s="1"/>
      <c r="AQ3079" s="1"/>
      <c r="AR3079" s="1"/>
      <c r="AS3079" s="1"/>
      <c r="AT3079" s="1"/>
      <c r="AU3079" s="1"/>
      <c r="AV3079" s="1"/>
      <c r="AW3079" s="1"/>
      <c r="AX3079" s="1"/>
      <c r="AY3079" s="1"/>
      <c r="AZ3079" s="1"/>
      <c r="BA3079" s="1"/>
      <c r="BB3079" s="1"/>
    </row>
    <row r="3080" ht="204.75" customHeight="1">
      <c r="A3080" s="1">
        <v>5811.0</v>
      </c>
      <c r="B3080" s="2" t="s">
        <v>9251</v>
      </c>
      <c r="C3080" s="2">
        <f>IFERROR(__xludf.DUMMYFUNCTION("split(B3080,""_"")"),804.0)</f>
        <v>804</v>
      </c>
      <c r="D3080" s="2" t="str">
        <f>IFERROR(__xludf.DUMMYFUNCTION("""COMPUTED_VALUE"""),"EX")</f>
        <v>EX</v>
      </c>
      <c r="E3080" s="2" t="str">
        <f>IFERROR(__xludf.DUMMYFUNCTION("""COMPUTED_VALUE"""),"木21")</f>
        <v>木21</v>
      </c>
      <c r="F3080" s="2" t="s">
        <v>9252</v>
      </c>
      <c r="G3080" s="2" t="s">
        <v>9253</v>
      </c>
      <c r="H3080" s="1">
        <v>6.0</v>
      </c>
      <c r="J3080" s="1" t="s">
        <v>11</v>
      </c>
      <c r="K3080" s="2" t="s">
        <v>9264</v>
      </c>
      <c r="L3080" s="11" t="s">
        <v>9265</v>
      </c>
      <c r="M3080" s="2" t="str">
        <f>IFERROR(__xludf.DUMMYFUNCTION("split(split(K3080,""釈由美子、"",false),""公式LINE"",false)"),"一流企業の課長・真鍋(大鶴義丹)の遺体が同社の資料室から発見され、真鍋からセクハラにあっていた部下の恵美(酒井美紀)が殺害容疑で逮捕される。会社を守ろうとする企業の弁護士・大沢(升毅)と対立しながら、真紀(釈由美子)らは恵美の無罪を証明するため奔走することに　")</f>
        <v>一流企業の課長・真鍋(大鶴義丹)の遺体が同社の資料室から発見され、真鍋からセクハラにあっていた部下の恵美(酒井美紀)が殺害容疑で逮捕される。会社を守ろうとする企業の弁護士・大沢(升毅)と対立しながら、真紀(釈由美子)らは恵美の無罪を証明するため奔走することに　</v>
      </c>
      <c r="N3080" s="2"/>
      <c r="O3080" s="2"/>
      <c r="P3080" s="1"/>
      <c r="Q3080" s="1"/>
      <c r="R3080" s="1"/>
      <c r="S3080" s="1"/>
      <c r="T3080" s="1"/>
      <c r="U3080" s="1"/>
      <c r="V3080" s="1"/>
      <c r="W3080" s="1"/>
      <c r="X3080" s="1"/>
      <c r="Y3080" s="1"/>
      <c r="Z3080" s="1"/>
      <c r="AA3080" s="1"/>
      <c r="AB3080" s="1"/>
      <c r="AC3080" s="1"/>
      <c r="AD3080" s="1"/>
      <c r="AE3080" s="1"/>
      <c r="AF3080" s="1"/>
      <c r="AG3080" s="1"/>
      <c r="AH3080" s="1"/>
      <c r="AI3080" s="1"/>
      <c r="AJ3080" s="1"/>
      <c r="AK3080" s="1"/>
      <c r="AL3080" s="1"/>
      <c r="AM3080" s="1"/>
      <c r="AN3080" s="1"/>
      <c r="AO3080" s="1"/>
      <c r="AP3080" s="1"/>
      <c r="AQ3080" s="1"/>
      <c r="AR3080" s="1"/>
      <c r="AS3080" s="1"/>
      <c r="AT3080" s="1"/>
      <c r="AU3080" s="1"/>
      <c r="AV3080" s="1"/>
      <c r="AW3080" s="1"/>
      <c r="AX3080" s="1"/>
      <c r="AY3080" s="1"/>
      <c r="AZ3080" s="1"/>
      <c r="BA3080" s="1"/>
      <c r="BB3080" s="1"/>
    </row>
    <row r="3081" ht="204.75" customHeight="1">
      <c r="A3081" s="1">
        <v>5812.0</v>
      </c>
      <c r="B3081" s="2" t="s">
        <v>9251</v>
      </c>
      <c r="C3081" s="2">
        <f>IFERROR(__xludf.DUMMYFUNCTION("split(B3081,""_"")"),804.0)</f>
        <v>804</v>
      </c>
      <c r="D3081" s="2" t="str">
        <f>IFERROR(__xludf.DUMMYFUNCTION("""COMPUTED_VALUE"""),"EX")</f>
        <v>EX</v>
      </c>
      <c r="E3081" s="2" t="str">
        <f>IFERROR(__xludf.DUMMYFUNCTION("""COMPUTED_VALUE"""),"木21")</f>
        <v>木21</v>
      </c>
      <c r="F3081" s="2" t="s">
        <v>9252</v>
      </c>
      <c r="G3081" s="2" t="s">
        <v>9253</v>
      </c>
      <c r="H3081" s="1">
        <v>7.0</v>
      </c>
      <c r="J3081" s="1" t="s">
        <v>11</v>
      </c>
      <c r="K3081" s="2" t="s">
        <v>9266</v>
      </c>
      <c r="L3081" s="11" t="s">
        <v>9267</v>
      </c>
      <c r="M3081" s="2" t="str">
        <f>IFERROR(__xludf.DUMMYFUNCTION("split(split(K3081,""釈由美子、"",false),""公式LINE"",false)"),"美佐子(野際陽子)の友人・フミ(朝丘雪路)が息子・一郎(金山一彦)の嫁・典子(中島ひろ子)殺害容疑で逮捕された。嫁姑の確執も浮上する。真紀は事件発生時に引きこもったままだった隣家の光橋(中本賢)を不振に思うも・・・一郎に疑惑が浮上し!?　")</f>
        <v>美佐子(野際陽子)の友人・フミ(朝丘雪路)が息子・一郎(金山一彦)の嫁・典子(中島ひろ子)殺害容疑で逮捕された。嫁姑の確執も浮上する。真紀は事件発生時に引きこもったままだった隣家の光橋(中本賢)を不振に思うも・・・一郎に疑惑が浮上し!?　</v>
      </c>
      <c r="N3081" s="2"/>
      <c r="O3081" s="2"/>
      <c r="P3081" s="1"/>
      <c r="Q3081" s="1"/>
      <c r="R3081" s="1"/>
      <c r="S3081" s="1"/>
      <c r="T3081" s="1"/>
      <c r="U3081" s="1"/>
      <c r="V3081" s="1"/>
      <c r="W3081" s="1"/>
      <c r="X3081" s="1"/>
      <c r="Y3081" s="1"/>
      <c r="Z3081" s="1"/>
      <c r="AA3081" s="1"/>
      <c r="AB3081" s="1"/>
      <c r="AC3081" s="1"/>
      <c r="AD3081" s="1"/>
      <c r="AE3081" s="1"/>
      <c r="AF3081" s="1"/>
      <c r="AG3081" s="1"/>
      <c r="AH3081" s="1"/>
      <c r="AI3081" s="1"/>
      <c r="AJ3081" s="1"/>
      <c r="AK3081" s="1"/>
      <c r="AL3081" s="1"/>
      <c r="AM3081" s="1"/>
      <c r="AN3081" s="1"/>
      <c r="AO3081" s="1"/>
      <c r="AP3081" s="1"/>
      <c r="AQ3081" s="1"/>
      <c r="AR3081" s="1"/>
      <c r="AS3081" s="1"/>
      <c r="AT3081" s="1"/>
      <c r="AU3081" s="1"/>
      <c r="AV3081" s="1"/>
      <c r="AW3081" s="1"/>
      <c r="AX3081" s="1"/>
      <c r="AY3081" s="1"/>
      <c r="AZ3081" s="1"/>
      <c r="BA3081" s="1"/>
      <c r="BB3081" s="1"/>
    </row>
    <row r="3082" ht="204.75" customHeight="1">
      <c r="A3082" s="1">
        <v>5813.0</v>
      </c>
      <c r="B3082" s="2" t="s">
        <v>9251</v>
      </c>
      <c r="C3082" s="2">
        <f>IFERROR(__xludf.DUMMYFUNCTION("split(B3082,""_"")"),804.0)</f>
        <v>804</v>
      </c>
      <c r="D3082" s="2" t="str">
        <f>IFERROR(__xludf.DUMMYFUNCTION("""COMPUTED_VALUE"""),"EX")</f>
        <v>EX</v>
      </c>
      <c r="E3082" s="2" t="str">
        <f>IFERROR(__xludf.DUMMYFUNCTION("""COMPUTED_VALUE"""),"木21")</f>
        <v>木21</v>
      </c>
      <c r="F3082" s="2" t="s">
        <v>9252</v>
      </c>
      <c r="G3082" s="2" t="s">
        <v>9253</v>
      </c>
      <c r="H3082" s="1">
        <v>8.0</v>
      </c>
      <c r="J3082" s="1" t="s">
        <v>11</v>
      </c>
      <c r="K3082" s="2" t="s">
        <v>9268</v>
      </c>
      <c r="L3082" s="11" t="s">
        <v>9269</v>
      </c>
      <c r="M3082" s="2" t="str">
        <f>IFERROR(__xludf.DUMMYFUNCTION("split(split(K3082,""釈由美子、"",false),""公式LINE"",false)"),"ベジタブルフレンチ店のオーナー(石田太郎)が殺害され、店のメニューで40kgのダイエットに成功したという美晴(相田翔子)が容疑者として逮捕された。真紀(釈由美子)ら調査で次々と上がる容疑者!更に婚約者の慎太郎(合田雅吏)にも動機が浮上し・・・　")</f>
        <v>ベジタブルフレンチ店のオーナー(石田太郎)が殺害され、店のメニューで40kgのダイエットに成功したという美晴(相田翔子)が容疑者として逮捕された。真紀(釈由美子)ら調査で次々と上がる容疑者!更に婚約者の慎太郎(合田雅吏)にも動機が浮上し・・・　</v>
      </c>
      <c r="N3082" s="2"/>
      <c r="O3082" s="2"/>
      <c r="P3082" s="1"/>
      <c r="Q3082" s="1"/>
      <c r="R3082" s="1"/>
      <c r="S3082" s="1"/>
      <c r="T3082" s="1"/>
      <c r="U3082" s="1"/>
      <c r="V3082" s="1"/>
      <c r="W3082" s="1"/>
      <c r="X3082" s="1"/>
      <c r="Y3082" s="1"/>
      <c r="Z3082" s="1"/>
      <c r="AA3082" s="1"/>
      <c r="AB3082" s="1"/>
      <c r="AC3082" s="1"/>
      <c r="AD3082" s="1"/>
      <c r="AE3082" s="1"/>
      <c r="AF3082" s="1"/>
      <c r="AG3082" s="1"/>
      <c r="AH3082" s="1"/>
      <c r="AI3082" s="1"/>
      <c r="AJ3082" s="1"/>
      <c r="AK3082" s="1"/>
      <c r="AL3082" s="1"/>
      <c r="AM3082" s="1"/>
      <c r="AN3082" s="1"/>
      <c r="AO3082" s="1"/>
      <c r="AP3082" s="1"/>
      <c r="AQ3082" s="1"/>
      <c r="AR3082" s="1"/>
      <c r="AS3082" s="1"/>
      <c r="AT3082" s="1"/>
      <c r="AU3082" s="1"/>
      <c r="AV3082" s="1"/>
      <c r="AW3082" s="1"/>
      <c r="AX3082" s="1"/>
      <c r="AY3082" s="1"/>
      <c r="AZ3082" s="1"/>
      <c r="BA3082" s="1"/>
      <c r="BB3082" s="1"/>
    </row>
    <row r="3083" ht="204.75" customHeight="1">
      <c r="A3083" s="1">
        <v>5814.0</v>
      </c>
      <c r="B3083" s="2" t="s">
        <v>9251</v>
      </c>
      <c r="C3083" s="2">
        <f>IFERROR(__xludf.DUMMYFUNCTION("split(B3083,""_"")"),804.0)</f>
        <v>804</v>
      </c>
      <c r="D3083" s="2" t="str">
        <f>IFERROR(__xludf.DUMMYFUNCTION("""COMPUTED_VALUE"""),"EX")</f>
        <v>EX</v>
      </c>
      <c r="E3083" s="2" t="str">
        <f>IFERROR(__xludf.DUMMYFUNCTION("""COMPUTED_VALUE"""),"木21")</f>
        <v>木21</v>
      </c>
      <c r="F3083" s="2" t="s">
        <v>9252</v>
      </c>
      <c r="G3083" s="2" t="s">
        <v>9253</v>
      </c>
      <c r="H3083" s="1">
        <v>9.0</v>
      </c>
      <c r="J3083" s="1" t="s">
        <v>11</v>
      </c>
      <c r="K3083" s="2" t="s">
        <v>9270</v>
      </c>
      <c r="L3083" s="11" t="s">
        <v>9271</v>
      </c>
      <c r="M3083" s="2" t="str">
        <f>IFERROR(__xludf.DUMMYFUNCTION("split(split(K3083,""釈由美子、"",false),""公式LINE"",false)"),"マジシャンのMAX憲之(水橋研二)が楽屋で刺殺され、婚約者だったサナエ(笛木優子)が容疑者として逮捕された。凶器のナイフはステージ上でパートナーのMRマジカル(川崎麻世)が消したものだった!真紀(釈由美子)は、トリックの調査を開始するも…　")</f>
        <v>マジシャンのMAX憲之(水橋研二)が楽屋で刺殺され、婚約者だったサナエ(笛木優子)が容疑者として逮捕された。凶器のナイフはステージ上でパートナーのMRマジカル(川崎麻世)が消したものだった!真紀(釈由美子)は、トリックの調査を開始するも…　</v>
      </c>
      <c r="N3083" s="2"/>
      <c r="O3083" s="2"/>
      <c r="P3083" s="1"/>
      <c r="Q3083" s="1"/>
      <c r="R3083" s="1"/>
      <c r="S3083" s="1"/>
      <c r="T3083" s="1"/>
      <c r="U3083" s="1"/>
      <c r="V3083" s="1"/>
      <c r="W3083" s="1"/>
      <c r="X3083" s="1"/>
      <c r="Y3083" s="1"/>
      <c r="Z3083" s="1"/>
      <c r="AA3083" s="1"/>
      <c r="AB3083" s="1"/>
      <c r="AC3083" s="1"/>
      <c r="AD3083" s="1"/>
      <c r="AE3083" s="1"/>
      <c r="AF3083" s="1"/>
      <c r="AG3083" s="1"/>
      <c r="AH3083" s="1"/>
      <c r="AI3083" s="1"/>
      <c r="AJ3083" s="1"/>
      <c r="AK3083" s="1"/>
      <c r="AL3083" s="1"/>
      <c r="AM3083" s="1"/>
      <c r="AN3083" s="1"/>
      <c r="AO3083" s="1"/>
      <c r="AP3083" s="1"/>
      <c r="AQ3083" s="1"/>
      <c r="AR3083" s="1"/>
      <c r="AS3083" s="1"/>
      <c r="AT3083" s="1"/>
      <c r="AU3083" s="1"/>
      <c r="AV3083" s="1"/>
      <c r="AW3083" s="1"/>
      <c r="AX3083" s="1"/>
      <c r="AY3083" s="1"/>
      <c r="AZ3083" s="1"/>
      <c r="BA3083" s="1"/>
      <c r="BB3083" s="1"/>
    </row>
    <row r="3084" ht="204.75" customHeight="1">
      <c r="A3084" s="1">
        <v>5815.0</v>
      </c>
      <c r="B3084" s="2" t="s">
        <v>9251</v>
      </c>
      <c r="C3084" s="2">
        <f>IFERROR(__xludf.DUMMYFUNCTION("split(B3084,""_"")"),804.0)</f>
        <v>804</v>
      </c>
      <c r="D3084" s="2" t="str">
        <f>IFERROR(__xludf.DUMMYFUNCTION("""COMPUTED_VALUE"""),"EX")</f>
        <v>EX</v>
      </c>
      <c r="E3084" s="2" t="str">
        <f>IFERROR(__xludf.DUMMYFUNCTION("""COMPUTED_VALUE"""),"木21")</f>
        <v>木21</v>
      </c>
      <c r="F3084" s="2" t="s">
        <v>9252</v>
      </c>
      <c r="G3084" s="2" t="s">
        <v>9253</v>
      </c>
      <c r="H3084" s="1">
        <v>10.0</v>
      </c>
      <c r="J3084" s="1" t="s">
        <v>11</v>
      </c>
      <c r="K3084" s="2" t="s">
        <v>9272</v>
      </c>
      <c r="L3084" s="11" t="s">
        <v>9273</v>
      </c>
      <c r="M3084" s="2" t="str">
        <f>IFERROR(__xludf.DUMMYFUNCTION("split(split(K3084,""釈由美子、"",false),""公式LINE"",false)"),"デートDVの被害者・華織(浜田翔子)が恋人・金井(伊藤高史)殺害容疑で逮捕される。真紀(釈由美子)たちが調査中に出会った、長谷部(加勢大周)の情報により金井は華織が働くメイド喫茶の同僚・萌絵(石田未来)と二股をかけていたことが判明。　")</f>
        <v>デートDVの被害者・華織(浜田翔子)が恋人・金井(伊藤高史)殺害容疑で逮捕される。真紀(釈由美子)たちが調査中に出会った、長谷部(加勢大周)の情報により金井は華織が働くメイド喫茶の同僚・萌絵(石田未来)と二股をかけていたことが判明。　</v>
      </c>
      <c r="N3084" s="2"/>
      <c r="O3084" s="2"/>
      <c r="P3084" s="1"/>
      <c r="Q3084" s="1"/>
      <c r="R3084" s="1"/>
      <c r="S3084" s="1"/>
      <c r="T3084" s="1"/>
      <c r="U3084" s="1"/>
      <c r="V3084" s="1"/>
      <c r="W3084" s="1"/>
      <c r="X3084" s="1"/>
      <c r="Y3084" s="1"/>
      <c r="Z3084" s="1"/>
      <c r="AA3084" s="1"/>
      <c r="AB3084" s="1"/>
      <c r="AC3084" s="1"/>
      <c r="AD3084" s="1"/>
      <c r="AE3084" s="1"/>
      <c r="AF3084" s="1"/>
      <c r="AG3084" s="1"/>
      <c r="AH3084" s="1"/>
      <c r="AI3084" s="1"/>
      <c r="AJ3084" s="1"/>
      <c r="AK3084" s="1"/>
      <c r="AL3084" s="1"/>
      <c r="AM3084" s="1"/>
      <c r="AN3084" s="1"/>
      <c r="AO3084" s="1"/>
      <c r="AP3084" s="1"/>
      <c r="AQ3084" s="1"/>
      <c r="AR3084" s="1"/>
      <c r="AS3084" s="1"/>
      <c r="AT3084" s="1"/>
      <c r="AU3084" s="1"/>
      <c r="AV3084" s="1"/>
      <c r="AW3084" s="1"/>
      <c r="AX3084" s="1"/>
      <c r="AY3084" s="1"/>
      <c r="AZ3084" s="1"/>
      <c r="BA3084" s="1"/>
      <c r="BB3084" s="1"/>
    </row>
    <row r="3085" ht="204.75" customHeight="1">
      <c r="A3085" s="1">
        <v>5816.0</v>
      </c>
      <c r="B3085" s="2" t="s">
        <v>9251</v>
      </c>
      <c r="C3085" s="2">
        <f>IFERROR(__xludf.DUMMYFUNCTION("split(B3085,""_"")"),804.0)</f>
        <v>804</v>
      </c>
      <c r="D3085" s="2" t="str">
        <f>IFERROR(__xludf.DUMMYFUNCTION("""COMPUTED_VALUE"""),"EX")</f>
        <v>EX</v>
      </c>
      <c r="E3085" s="2" t="str">
        <f>IFERROR(__xludf.DUMMYFUNCTION("""COMPUTED_VALUE"""),"木21")</f>
        <v>木21</v>
      </c>
      <c r="F3085" s="2" t="s">
        <v>9252</v>
      </c>
      <c r="G3085" s="2" t="s">
        <v>9253</v>
      </c>
      <c r="H3085" s="1">
        <v>11.0</v>
      </c>
      <c r="J3085" s="1" t="s">
        <v>11</v>
      </c>
      <c r="K3085" s="2" t="s">
        <v>9274</v>
      </c>
      <c r="L3085" s="11" t="s">
        <v>9275</v>
      </c>
      <c r="M3085" s="2" t="str">
        <f>IFERROR(__xludf.DUMMYFUNCTION("split(split(K3085,""釈由美子、"",false),""公式LINE"",false)"),"妙子(原沙知絵)が恋人・中川(葛山信吾)の殺人容疑で逮捕された。困惑する中でも妙子の無実を証明するべく奔走する7人の女弁護士事務所のメンバーだが、妙子は容疑を認め、真紀(釈由美子)らを弁護人から解任!妙子の秘密とは?!浮かび上がる真実!")</f>
        <v>妙子(原沙知絵)が恋人・中川(葛山信吾)の殺人容疑で逮捕された。困惑する中でも妙子の無実を証明するべく奔走する7人の女弁護士事務所のメンバーだが、妙子は容疑を認め、真紀(釈由美子)らを弁護人から解任!妙子の秘密とは?!浮かび上がる真実!</v>
      </c>
      <c r="N3085" s="2"/>
      <c r="O3085" s="2"/>
      <c r="P3085" s="1"/>
      <c r="Q3085" s="1"/>
      <c r="R3085" s="1"/>
      <c r="S3085" s="1"/>
      <c r="T3085" s="1"/>
      <c r="U3085" s="1"/>
      <c r="V3085" s="1"/>
      <c r="W3085" s="1"/>
      <c r="X3085" s="1"/>
      <c r="Y3085" s="1"/>
      <c r="Z3085" s="1"/>
      <c r="AA3085" s="1"/>
      <c r="AB3085" s="1"/>
      <c r="AC3085" s="1"/>
      <c r="AD3085" s="1"/>
      <c r="AE3085" s="1"/>
      <c r="AF3085" s="1"/>
      <c r="AG3085" s="1"/>
      <c r="AH3085" s="1"/>
      <c r="AI3085" s="1"/>
      <c r="AJ3085" s="1"/>
      <c r="AK3085" s="1"/>
      <c r="AL3085" s="1"/>
      <c r="AM3085" s="1"/>
      <c r="AN3085" s="1"/>
      <c r="AO3085" s="1"/>
      <c r="AP3085" s="1"/>
      <c r="AQ3085" s="1"/>
      <c r="AR3085" s="1"/>
      <c r="AS3085" s="1"/>
      <c r="AT3085" s="1"/>
      <c r="AU3085" s="1"/>
      <c r="AV3085" s="1"/>
      <c r="AW3085" s="1"/>
      <c r="AX3085" s="1"/>
      <c r="AY3085" s="1"/>
      <c r="AZ3085" s="1"/>
      <c r="BA3085" s="1"/>
      <c r="BB3085" s="1"/>
    </row>
    <row r="3086" ht="204.75" customHeight="1">
      <c r="A3086" s="1">
        <v>5828.0</v>
      </c>
      <c r="B3086" s="2" t="s">
        <v>9276</v>
      </c>
      <c r="C3086" s="2">
        <f>IFERROR(__xludf.DUMMYFUNCTION("split(B3086,""_"")"),804.0)</f>
        <v>804</v>
      </c>
      <c r="D3086" s="2" t="str">
        <f>IFERROR(__xludf.DUMMYFUNCTION("""COMPUTED_VALUE"""),"EX")</f>
        <v>EX</v>
      </c>
      <c r="E3086" s="2" t="str">
        <f>IFERROR(__xludf.DUMMYFUNCTION("""COMPUTED_VALUE"""),"金21")</f>
        <v>金21</v>
      </c>
      <c r="F3086" s="2" t="s">
        <v>9277</v>
      </c>
      <c r="G3086" s="2" t="s">
        <v>9278</v>
      </c>
      <c r="H3086" s="1">
        <v>1.0</v>
      </c>
      <c r="J3086" s="1" t="s">
        <v>4</v>
      </c>
      <c r="K3086" s="4" t="s">
        <v>9279</v>
      </c>
      <c r="L3086" s="11" t="s">
        <v>9280</v>
      </c>
      <c r="M3086" s="2" t="str">
        <f>IFERROR(__xludf.DUMMYFUNCTION("split(split(K3086,""石原さとみ・"",false),""公式LINE"",false)"),"強欲英語教師の鮎川(石原さとみ)が超エリート男子校に赴任、イケメン高校生3人と旧家の青柳家に伝わる家宝を謎の暗号を解いて探し出す。が、青柳家の血縁者との争奪戦で血文字の脅迫文と屋根裏部屋に死体が…　")</f>
        <v>強欲英語教師の鮎川(石原さとみ)が超エリート男子校に赴任、イケメン高校生3人と旧家の青柳家に伝わる家宝を謎の暗号を解いて探し出す。が、青柳家の血縁者との争奪戦で血文字の脅迫文と屋根裏部屋に死体が…　</v>
      </c>
      <c r="N3086" s="2"/>
      <c r="O3086" s="2"/>
      <c r="P3086" s="1"/>
      <c r="Q3086" s="1"/>
      <c r="R3086" s="1"/>
      <c r="S3086" s="1"/>
      <c r="T3086" s="1"/>
      <c r="U3086" s="1"/>
      <c r="V3086" s="1"/>
      <c r="W3086" s="1"/>
      <c r="X3086" s="1"/>
      <c r="Y3086" s="1"/>
      <c r="Z3086" s="1"/>
      <c r="AA3086" s="1"/>
      <c r="AB3086" s="1"/>
      <c r="AC3086" s="1"/>
      <c r="AD3086" s="1"/>
      <c r="AE3086" s="1"/>
      <c r="AF3086" s="1"/>
      <c r="AG3086" s="1"/>
      <c r="AH3086" s="1"/>
      <c r="AI3086" s="1"/>
      <c r="AJ3086" s="1"/>
      <c r="AK3086" s="1"/>
      <c r="AL3086" s="1"/>
      <c r="AM3086" s="1"/>
      <c r="AN3086" s="1"/>
      <c r="AO3086" s="1"/>
      <c r="AP3086" s="1"/>
      <c r="AQ3086" s="1"/>
      <c r="AR3086" s="1"/>
      <c r="AS3086" s="1"/>
      <c r="AT3086" s="1"/>
      <c r="AU3086" s="1"/>
      <c r="AV3086" s="1"/>
      <c r="AW3086" s="1"/>
      <c r="AX3086" s="1"/>
      <c r="AY3086" s="1"/>
      <c r="AZ3086" s="1"/>
      <c r="BA3086" s="1"/>
      <c r="BB3086" s="1"/>
    </row>
    <row r="3087" ht="204.75" customHeight="1">
      <c r="A3087" s="1">
        <v>5829.0</v>
      </c>
      <c r="B3087" s="2" t="s">
        <v>9276</v>
      </c>
      <c r="C3087" s="2">
        <f>IFERROR(__xludf.DUMMYFUNCTION("split(B3087,""_"")"),804.0)</f>
        <v>804</v>
      </c>
      <c r="D3087" s="2" t="str">
        <f>IFERROR(__xludf.DUMMYFUNCTION("""COMPUTED_VALUE"""),"EX")</f>
        <v>EX</v>
      </c>
      <c r="E3087" s="2" t="str">
        <f>IFERROR(__xludf.DUMMYFUNCTION("""COMPUTED_VALUE"""),"金21")</f>
        <v>金21</v>
      </c>
      <c r="F3087" s="2" t="s">
        <v>9277</v>
      </c>
      <c r="G3087" s="2" t="s">
        <v>9278</v>
      </c>
      <c r="H3087" s="1">
        <v>2.0</v>
      </c>
      <c r="J3087" s="1" t="s">
        <v>11</v>
      </c>
      <c r="K3087" s="2" t="s">
        <v>9281</v>
      </c>
      <c r="L3087" s="11" t="s">
        <v>9282</v>
      </c>
      <c r="M3087" s="2" t="str">
        <f>IFERROR(__xludf.DUMMYFUNCTION("split(split(K3087,""石原さとみ・"",false),""公式LINE"",false)"),"しかし、神社に残る落ち武者の拷問と同様、巨大岩が動き、人が下敷き、さらに逆さ吊りの死体も発見され…　石原さとみが初ミステリーに挑戦!“お金至上主義”の強欲英語教師が注目のイケメン3人の高校生を従え毎回豪華ゲストを相手に謎の暗号・お宝・殺人事件を痛快に解く!　")</f>
        <v>しかし、神社に残る落ち武者の拷問と同様、巨大岩が動き、人が下敷き、さらに逆さ吊りの死体も発見され…　石原さとみが初ミステリーに挑戦!“お金至上主義”の強欲英語教師が注目のイケメン3人の高校生を従え毎回豪華ゲストを相手に謎の暗号・お宝・殺人事件を痛快に解く!　</v>
      </c>
      <c r="N3087" s="2"/>
      <c r="O3087" s="2"/>
      <c r="P3087" s="1"/>
      <c r="Q3087" s="1"/>
      <c r="R3087" s="1"/>
      <c r="S3087" s="1"/>
      <c r="T3087" s="1"/>
      <c r="U3087" s="1"/>
      <c r="V3087" s="1"/>
      <c r="W3087" s="1"/>
      <c r="X3087" s="1"/>
      <c r="Y3087" s="1"/>
      <c r="Z3087" s="1"/>
      <c r="AA3087" s="1"/>
      <c r="AB3087" s="1"/>
      <c r="AC3087" s="1"/>
      <c r="AD3087" s="1"/>
      <c r="AE3087" s="1"/>
      <c r="AF3087" s="1"/>
      <c r="AG3087" s="1"/>
      <c r="AH3087" s="1"/>
      <c r="AI3087" s="1"/>
      <c r="AJ3087" s="1"/>
      <c r="AK3087" s="1"/>
      <c r="AL3087" s="1"/>
      <c r="AM3087" s="1"/>
      <c r="AN3087" s="1"/>
      <c r="AO3087" s="1"/>
      <c r="AP3087" s="1"/>
      <c r="AQ3087" s="1"/>
      <c r="AR3087" s="1"/>
      <c r="AS3087" s="1"/>
      <c r="AT3087" s="1"/>
      <c r="AU3087" s="1"/>
      <c r="AV3087" s="1"/>
      <c r="AW3087" s="1"/>
      <c r="AX3087" s="1"/>
      <c r="AY3087" s="1"/>
      <c r="AZ3087" s="1"/>
      <c r="BA3087" s="1"/>
      <c r="BB3087" s="1"/>
    </row>
    <row r="3088" ht="204.75" customHeight="1">
      <c r="A3088" s="1">
        <v>5830.0</v>
      </c>
      <c r="B3088" s="2" t="s">
        <v>9276</v>
      </c>
      <c r="C3088" s="2">
        <f>IFERROR(__xludf.DUMMYFUNCTION("split(B3088,""_"")"),804.0)</f>
        <v>804</v>
      </c>
      <c r="D3088" s="2" t="str">
        <f>IFERROR(__xludf.DUMMYFUNCTION("""COMPUTED_VALUE"""),"EX")</f>
        <v>EX</v>
      </c>
      <c r="E3088" s="2" t="str">
        <f>IFERROR(__xludf.DUMMYFUNCTION("""COMPUTED_VALUE"""),"金21")</f>
        <v>金21</v>
      </c>
      <c r="F3088" s="2" t="s">
        <v>9277</v>
      </c>
      <c r="G3088" s="2" t="s">
        <v>9278</v>
      </c>
      <c r="H3088" s="1">
        <v>3.0</v>
      </c>
      <c r="J3088" s="1" t="s">
        <v>11</v>
      </c>
      <c r="K3088" s="2" t="s">
        <v>9283</v>
      </c>
      <c r="L3088" s="11" t="s">
        <v>9284</v>
      </c>
      <c r="M3088" s="2" t="str">
        <f>IFERROR(__xludf.DUMMYFUNCTION("split(split(K3088,""石原さとみ・"",false),""公式LINE"",false)"),"推理クイズ大会に豪華賞品を狙い参加した鮎川らは何故か一家5人皆殺しがあった屋敷へ…。そこには謎の¥7111の数字と「赤」という血文字が!さらに次々と参加者が死んでいく。そして謎を解く鮎川にも危機が…　")</f>
        <v>推理クイズ大会に豪華賞品を狙い参加した鮎川らは何故か一家5人皆殺しがあった屋敷へ…。そこには謎の¥7111の数字と「赤」という血文字が!さらに次々と参加者が死んでいく。そして謎を解く鮎川にも危機が…　</v>
      </c>
      <c r="N3088" s="2"/>
      <c r="O3088" s="2"/>
      <c r="P3088" s="1"/>
      <c r="Q3088" s="1"/>
      <c r="R3088" s="1"/>
      <c r="S3088" s="1"/>
      <c r="T3088" s="1"/>
      <c r="U3088" s="1"/>
      <c r="V3088" s="1"/>
      <c r="W3088" s="1"/>
      <c r="X3088" s="1"/>
      <c r="Y3088" s="1"/>
      <c r="Z3088" s="1"/>
      <c r="AA3088" s="1"/>
      <c r="AB3088" s="1"/>
      <c r="AC3088" s="1"/>
      <c r="AD3088" s="1"/>
      <c r="AE3088" s="1"/>
      <c r="AF3088" s="1"/>
      <c r="AG3088" s="1"/>
      <c r="AH3088" s="1"/>
      <c r="AI3088" s="1"/>
      <c r="AJ3088" s="1"/>
      <c r="AK3088" s="1"/>
      <c r="AL3088" s="1"/>
      <c r="AM3088" s="1"/>
      <c r="AN3088" s="1"/>
      <c r="AO3088" s="1"/>
      <c r="AP3088" s="1"/>
      <c r="AQ3088" s="1"/>
      <c r="AR3088" s="1"/>
      <c r="AS3088" s="1"/>
      <c r="AT3088" s="1"/>
      <c r="AU3088" s="1"/>
      <c r="AV3088" s="1"/>
      <c r="AW3088" s="1"/>
      <c r="AX3088" s="1"/>
      <c r="AY3088" s="1"/>
      <c r="AZ3088" s="1"/>
      <c r="BA3088" s="1"/>
      <c r="BB3088" s="1"/>
    </row>
    <row r="3089" ht="204.75" customHeight="1">
      <c r="A3089" s="1">
        <v>5831.0</v>
      </c>
      <c r="B3089" s="2" t="s">
        <v>9276</v>
      </c>
      <c r="C3089" s="2">
        <f>IFERROR(__xludf.DUMMYFUNCTION("split(B3089,""_"")"),804.0)</f>
        <v>804</v>
      </c>
      <c r="D3089" s="2" t="str">
        <f>IFERROR(__xludf.DUMMYFUNCTION("""COMPUTED_VALUE"""),"EX")</f>
        <v>EX</v>
      </c>
      <c r="E3089" s="2" t="str">
        <f>IFERROR(__xludf.DUMMYFUNCTION("""COMPUTED_VALUE"""),"金21")</f>
        <v>金21</v>
      </c>
      <c r="F3089" s="2" t="s">
        <v>9277</v>
      </c>
      <c r="G3089" s="2" t="s">
        <v>9278</v>
      </c>
      <c r="H3089" s="1">
        <v>4.0</v>
      </c>
      <c r="J3089" s="1" t="s">
        <v>11</v>
      </c>
      <c r="K3089" s="2" t="s">
        <v>9285</v>
      </c>
      <c r="L3089" s="11" t="s">
        <v>9286</v>
      </c>
      <c r="M3089" s="2" t="str">
        <f>IFERROR(__xludf.DUMMYFUNCTION("split(split(K3089,""石原さとみ・"",false),""公式LINE"",false)"),"鮎川と接触した人物が殺される!国際窃盗団の裏切り者で盗んだ宝石を隠したためだ。その隠し場所を知った鮎川は早速向かうが、そこでは大女優の栗原の映画が撮影中で、幽霊が出没!?さらに謎の連続殺人事件が発生…　")</f>
        <v>鮎川と接触した人物が殺される!国際窃盗団の裏切り者で盗んだ宝石を隠したためだ。その隠し場所を知った鮎川は早速向かうが、そこでは大女優の栗原の映画が撮影中で、幽霊が出没!?さらに謎の連続殺人事件が発生…　</v>
      </c>
      <c r="N3089" s="2"/>
      <c r="O3089" s="2"/>
      <c r="P3089" s="1"/>
      <c r="Q3089" s="1"/>
      <c r="R3089" s="1"/>
      <c r="S3089" s="1"/>
      <c r="T3089" s="1"/>
      <c r="U3089" s="1"/>
      <c r="V3089" s="1"/>
      <c r="W3089" s="1"/>
      <c r="X3089" s="1"/>
      <c r="Y3089" s="1"/>
      <c r="Z3089" s="1"/>
      <c r="AA3089" s="1"/>
      <c r="AB3089" s="1"/>
      <c r="AC3089" s="1"/>
      <c r="AD3089" s="1"/>
      <c r="AE3089" s="1"/>
      <c r="AF3089" s="1"/>
      <c r="AG3089" s="1"/>
      <c r="AH3089" s="1"/>
      <c r="AI3089" s="1"/>
      <c r="AJ3089" s="1"/>
      <c r="AK3089" s="1"/>
      <c r="AL3089" s="1"/>
      <c r="AM3089" s="1"/>
      <c r="AN3089" s="1"/>
      <c r="AO3089" s="1"/>
      <c r="AP3089" s="1"/>
      <c r="AQ3089" s="1"/>
      <c r="AR3089" s="1"/>
      <c r="AS3089" s="1"/>
      <c r="AT3089" s="1"/>
      <c r="AU3089" s="1"/>
      <c r="AV3089" s="1"/>
      <c r="AW3089" s="1"/>
      <c r="AX3089" s="1"/>
      <c r="AY3089" s="1"/>
      <c r="AZ3089" s="1"/>
      <c r="BA3089" s="1"/>
      <c r="BB3089" s="1"/>
    </row>
    <row r="3090" ht="204.75" customHeight="1">
      <c r="A3090" s="1">
        <v>5832.0</v>
      </c>
      <c r="B3090" s="2" t="s">
        <v>9276</v>
      </c>
      <c r="C3090" s="2">
        <f>IFERROR(__xludf.DUMMYFUNCTION("split(B3090,""_"")"),804.0)</f>
        <v>804</v>
      </c>
      <c r="D3090" s="2" t="str">
        <f>IFERROR(__xludf.DUMMYFUNCTION("""COMPUTED_VALUE"""),"EX")</f>
        <v>EX</v>
      </c>
      <c r="E3090" s="2" t="str">
        <f>IFERROR(__xludf.DUMMYFUNCTION("""COMPUTED_VALUE"""),"金21")</f>
        <v>金21</v>
      </c>
      <c r="F3090" s="2" t="s">
        <v>9277</v>
      </c>
      <c r="G3090" s="2" t="s">
        <v>9278</v>
      </c>
      <c r="H3090" s="1">
        <v>5.0</v>
      </c>
      <c r="J3090" s="1" t="s">
        <v>11</v>
      </c>
      <c r="K3090" s="2" t="s">
        <v>9287</v>
      </c>
      <c r="L3090" s="11" t="s">
        <v>9288</v>
      </c>
      <c r="M3090" s="2" t="str">
        <f>IFERROR(__xludf.DUMMYFUNCTION("split(split(K3090,""石原さとみ・"",false),""公式LINE"",false)"),"資産家の息子との合コンで徳川の埋蔵金を所有する跡取りから求婚された鮎川。財宝目当てで挨拶に行くが他の2人と花嫁選びの儀式に参加することに。選ばれないと宝にありつけない鮎川だが、その前に謎の死体が…　")</f>
        <v>資産家の息子との合コンで徳川の埋蔵金を所有する跡取りから求婚された鮎川。財宝目当てで挨拶に行くが他の2人と花嫁選びの儀式に参加することに。選ばれないと宝にありつけない鮎川だが、その前に謎の死体が…　</v>
      </c>
      <c r="N3090" s="2"/>
      <c r="O3090" s="2"/>
      <c r="P3090" s="1"/>
      <c r="Q3090" s="1"/>
      <c r="R3090" s="1"/>
      <c r="S3090" s="1"/>
      <c r="T3090" s="1"/>
      <c r="U3090" s="1"/>
      <c r="V3090" s="1"/>
      <c r="W3090" s="1"/>
      <c r="X3090" s="1"/>
      <c r="Y3090" s="1"/>
      <c r="Z3090" s="1"/>
      <c r="AA3090" s="1"/>
      <c r="AB3090" s="1"/>
      <c r="AC3090" s="1"/>
      <c r="AD3090" s="1"/>
      <c r="AE3090" s="1"/>
      <c r="AF3090" s="1"/>
      <c r="AG3090" s="1"/>
      <c r="AH3090" s="1"/>
      <c r="AI3090" s="1"/>
      <c r="AJ3090" s="1"/>
      <c r="AK3090" s="1"/>
      <c r="AL3090" s="1"/>
      <c r="AM3090" s="1"/>
      <c r="AN3090" s="1"/>
      <c r="AO3090" s="1"/>
      <c r="AP3090" s="1"/>
      <c r="AQ3090" s="1"/>
      <c r="AR3090" s="1"/>
      <c r="AS3090" s="1"/>
      <c r="AT3090" s="1"/>
      <c r="AU3090" s="1"/>
      <c r="AV3090" s="1"/>
      <c r="AW3090" s="1"/>
      <c r="AX3090" s="1"/>
      <c r="AY3090" s="1"/>
      <c r="AZ3090" s="1"/>
      <c r="BA3090" s="1"/>
      <c r="BB3090" s="1"/>
    </row>
    <row r="3091" ht="204.75" customHeight="1">
      <c r="A3091" s="1">
        <v>5833.0</v>
      </c>
      <c r="B3091" s="2" t="s">
        <v>9276</v>
      </c>
      <c r="C3091" s="2">
        <f>IFERROR(__xludf.DUMMYFUNCTION("split(B3091,""_"")"),804.0)</f>
        <v>804</v>
      </c>
      <c r="D3091" s="2" t="str">
        <f>IFERROR(__xludf.DUMMYFUNCTION("""COMPUTED_VALUE"""),"EX")</f>
        <v>EX</v>
      </c>
      <c r="E3091" s="2" t="str">
        <f>IFERROR(__xludf.DUMMYFUNCTION("""COMPUTED_VALUE"""),"金21")</f>
        <v>金21</v>
      </c>
      <c r="F3091" s="2" t="s">
        <v>9277</v>
      </c>
      <c r="G3091" s="2" t="s">
        <v>9278</v>
      </c>
      <c r="H3091" s="1">
        <v>6.0</v>
      </c>
      <c r="J3091" s="1" t="s">
        <v>11</v>
      </c>
      <c r="K3091" s="2" t="s">
        <v>9289</v>
      </c>
      <c r="L3091" s="11" t="s">
        <v>9290</v>
      </c>
      <c r="M3091" s="2" t="str">
        <f>IFERROR(__xludf.DUMMYFUNCTION("split(split(K3091,""石原さとみ・"",false),""公式LINE"",false)"),"豪華賞品目当てに南国リゾートに行く鮎川だが、その島は10年前、宝石強盗殺人犯が逃げ込み未発見のまま。鮎川らは胸にナイフが刺さった人形と血文字、人形と全く同じ状態の死体を発見!さらに殺人鬼の魔の手が…　")</f>
        <v>豪華賞品目当てに南国リゾートに行く鮎川だが、その島は10年前、宝石強盗殺人犯が逃げ込み未発見のまま。鮎川らは胸にナイフが刺さった人形と血文字、人形と全く同じ状態の死体を発見!さらに殺人鬼の魔の手が…　</v>
      </c>
      <c r="N3091" s="2"/>
      <c r="O3091" s="2"/>
      <c r="P3091" s="1"/>
      <c r="Q3091" s="1"/>
      <c r="R3091" s="1"/>
      <c r="S3091" s="1"/>
      <c r="T3091" s="1"/>
      <c r="U3091" s="1"/>
      <c r="V3091" s="1"/>
      <c r="W3091" s="1"/>
      <c r="X3091" s="1"/>
      <c r="Y3091" s="1"/>
      <c r="Z3091" s="1"/>
      <c r="AA3091" s="1"/>
      <c r="AB3091" s="1"/>
      <c r="AC3091" s="1"/>
      <c r="AD3091" s="1"/>
      <c r="AE3091" s="1"/>
      <c r="AF3091" s="1"/>
      <c r="AG3091" s="1"/>
      <c r="AH3091" s="1"/>
      <c r="AI3091" s="1"/>
      <c r="AJ3091" s="1"/>
      <c r="AK3091" s="1"/>
      <c r="AL3091" s="1"/>
      <c r="AM3091" s="1"/>
      <c r="AN3091" s="1"/>
      <c r="AO3091" s="1"/>
      <c r="AP3091" s="1"/>
      <c r="AQ3091" s="1"/>
      <c r="AR3091" s="1"/>
      <c r="AS3091" s="1"/>
      <c r="AT3091" s="1"/>
      <c r="AU3091" s="1"/>
      <c r="AV3091" s="1"/>
      <c r="AW3091" s="1"/>
      <c r="AX3091" s="1"/>
      <c r="AY3091" s="1"/>
      <c r="AZ3091" s="1"/>
      <c r="BA3091" s="1"/>
      <c r="BB3091" s="1"/>
    </row>
    <row r="3092" ht="204.75" customHeight="1">
      <c r="A3092" s="1">
        <v>5834.0</v>
      </c>
      <c r="B3092" s="2" t="s">
        <v>9276</v>
      </c>
      <c r="C3092" s="2">
        <f>IFERROR(__xludf.DUMMYFUNCTION("split(B3092,""_"")"),804.0)</f>
        <v>804</v>
      </c>
      <c r="D3092" s="2" t="str">
        <f>IFERROR(__xludf.DUMMYFUNCTION("""COMPUTED_VALUE"""),"EX")</f>
        <v>EX</v>
      </c>
      <c r="E3092" s="2" t="str">
        <f>IFERROR(__xludf.DUMMYFUNCTION("""COMPUTED_VALUE"""),"金21")</f>
        <v>金21</v>
      </c>
      <c r="F3092" s="2" t="s">
        <v>9277</v>
      </c>
      <c r="G3092" s="2" t="s">
        <v>9278</v>
      </c>
      <c r="H3092" s="1">
        <v>7.0</v>
      </c>
      <c r="J3092" s="1" t="s">
        <v>11</v>
      </c>
      <c r="K3092" s="2" t="s">
        <v>9291</v>
      </c>
      <c r="L3092" s="11" t="s">
        <v>9292</v>
      </c>
      <c r="M3092" s="2" t="str">
        <f>IFERROR(__xludf.DUMMYFUNCTION("split(split(K3092,""石原さとみ・"",false),""公式LINE"",false)"),"「聞くと必ず死ぬ落語」落語家の一門に財宝のありか示す暗号も隠されているとあって鮎川らはその落語を聞きに行くが、噺の途中で客が死んでしまう。さらに数時間後、別の客も死に…。果たして落語の秘密と謎とは…　")</f>
        <v>「聞くと必ず死ぬ落語」落語家の一門に財宝のありか示す暗号も隠されているとあって鮎川らはその落語を聞きに行くが、噺の途中で客が死んでしまう。さらに数時間後、別の客も死に…。果たして落語の秘密と謎とは…　</v>
      </c>
      <c r="N3092" s="2"/>
      <c r="O3092" s="2"/>
      <c r="P3092" s="1"/>
      <c r="Q3092" s="1"/>
      <c r="R3092" s="1"/>
      <c r="S3092" s="1"/>
      <c r="T3092" s="1"/>
      <c r="U3092" s="1"/>
      <c r="V3092" s="1"/>
      <c r="W3092" s="1"/>
      <c r="X3092" s="1"/>
      <c r="Y3092" s="1"/>
      <c r="Z3092" s="1"/>
      <c r="AA3092" s="1"/>
      <c r="AB3092" s="1"/>
      <c r="AC3092" s="1"/>
      <c r="AD3092" s="1"/>
      <c r="AE3092" s="1"/>
      <c r="AF3092" s="1"/>
      <c r="AG3092" s="1"/>
      <c r="AH3092" s="1"/>
      <c r="AI3092" s="1"/>
      <c r="AJ3092" s="1"/>
      <c r="AK3092" s="1"/>
      <c r="AL3092" s="1"/>
      <c r="AM3092" s="1"/>
      <c r="AN3092" s="1"/>
      <c r="AO3092" s="1"/>
      <c r="AP3092" s="1"/>
      <c r="AQ3092" s="1"/>
      <c r="AR3092" s="1"/>
      <c r="AS3092" s="1"/>
      <c r="AT3092" s="1"/>
      <c r="AU3092" s="1"/>
      <c r="AV3092" s="1"/>
      <c r="AW3092" s="1"/>
      <c r="AX3092" s="1"/>
      <c r="AY3092" s="1"/>
      <c r="AZ3092" s="1"/>
      <c r="BA3092" s="1"/>
      <c r="BB3092" s="1"/>
    </row>
    <row r="3093" ht="204.75" customHeight="1">
      <c r="A3093" s="1">
        <v>5835.0</v>
      </c>
      <c r="B3093" s="2" t="s">
        <v>9276</v>
      </c>
      <c r="C3093" s="2">
        <f>IFERROR(__xludf.DUMMYFUNCTION("split(B3093,""_"")"),804.0)</f>
        <v>804</v>
      </c>
      <c r="D3093" s="2" t="str">
        <f>IFERROR(__xludf.DUMMYFUNCTION("""COMPUTED_VALUE"""),"EX")</f>
        <v>EX</v>
      </c>
      <c r="E3093" s="2" t="str">
        <f>IFERROR(__xludf.DUMMYFUNCTION("""COMPUTED_VALUE"""),"金21")</f>
        <v>金21</v>
      </c>
      <c r="F3093" s="2" t="s">
        <v>9277</v>
      </c>
      <c r="G3093" s="2" t="s">
        <v>9278</v>
      </c>
      <c r="H3093" s="1">
        <v>8.0</v>
      </c>
      <c r="J3093" s="1" t="s">
        <v>11</v>
      </c>
      <c r="K3093" s="2" t="s">
        <v>9293</v>
      </c>
      <c r="L3093" s="11" t="s">
        <v>9294</v>
      </c>
      <c r="M3093" s="2" t="str">
        <f>IFERROR(__xludf.DUMMYFUNCTION("split(split(K3093,""石原さとみ・"",false),""公式LINE"",false)"),"数億する人気作家の出版権目当てにパーティーに潜り込んだ鮎川はゲームの暗号「和歌」を脅威的頭脳で解明するが、発見したのは密室内の死体と謎のバネ。賞品のため次の暗号を解読すると再び密室の死体とバネが…　")</f>
        <v>数億する人気作家の出版権目当てにパーティーに潜り込んだ鮎川はゲームの暗号「和歌」を脅威的頭脳で解明するが、発見したのは密室内の死体と謎のバネ。賞品のため次の暗号を解読すると再び密室の死体とバネが…　</v>
      </c>
      <c r="N3093" s="2"/>
      <c r="O3093" s="2"/>
      <c r="P3093" s="1"/>
      <c r="Q3093" s="1"/>
      <c r="R3093" s="1"/>
      <c r="S3093" s="1"/>
      <c r="T3093" s="1"/>
      <c r="U3093" s="1"/>
      <c r="V3093" s="1"/>
      <c r="W3093" s="1"/>
      <c r="X3093" s="1"/>
      <c r="Y3093" s="1"/>
      <c r="Z3093" s="1"/>
      <c r="AA3093" s="1"/>
      <c r="AB3093" s="1"/>
      <c r="AC3093" s="1"/>
      <c r="AD3093" s="1"/>
      <c r="AE3093" s="1"/>
      <c r="AF3093" s="1"/>
      <c r="AG3093" s="1"/>
      <c r="AH3093" s="1"/>
      <c r="AI3093" s="1"/>
      <c r="AJ3093" s="1"/>
      <c r="AK3093" s="1"/>
      <c r="AL3093" s="1"/>
      <c r="AM3093" s="1"/>
      <c r="AN3093" s="1"/>
      <c r="AO3093" s="1"/>
      <c r="AP3093" s="1"/>
      <c r="AQ3093" s="1"/>
      <c r="AR3093" s="1"/>
      <c r="AS3093" s="1"/>
      <c r="AT3093" s="1"/>
      <c r="AU3093" s="1"/>
      <c r="AV3093" s="1"/>
      <c r="AW3093" s="1"/>
      <c r="AX3093" s="1"/>
      <c r="AY3093" s="1"/>
      <c r="AZ3093" s="1"/>
      <c r="BA3093" s="1"/>
      <c r="BB3093" s="1"/>
    </row>
    <row r="3094" ht="204.75" customHeight="1">
      <c r="A3094" s="1">
        <v>5836.0</v>
      </c>
      <c r="B3094" s="2" t="s">
        <v>9276</v>
      </c>
      <c r="C3094" s="2">
        <f>IFERROR(__xludf.DUMMYFUNCTION("split(B3094,""_"")"),804.0)</f>
        <v>804</v>
      </c>
      <c r="D3094" s="2" t="str">
        <f>IFERROR(__xludf.DUMMYFUNCTION("""COMPUTED_VALUE"""),"EX")</f>
        <v>EX</v>
      </c>
      <c r="E3094" s="2" t="str">
        <f>IFERROR(__xludf.DUMMYFUNCTION("""COMPUTED_VALUE"""),"金21")</f>
        <v>金21</v>
      </c>
      <c r="F3094" s="2" t="s">
        <v>9277</v>
      </c>
      <c r="G3094" s="2" t="s">
        <v>9278</v>
      </c>
      <c r="H3094" s="1">
        <v>9.0</v>
      </c>
      <c r="J3094" s="1" t="s">
        <v>11</v>
      </c>
      <c r="K3094" s="2" t="s">
        <v>9295</v>
      </c>
      <c r="L3094" s="11" t="s">
        <v>9296</v>
      </c>
      <c r="M3094" s="2" t="str">
        <f>IFERROR(__xludf.DUMMYFUNCTION("split(split(K3094,""石原さとみ・"",false),""公式LINE"",false)"),"賞品は山一つ!鬼喰村の祭り、数え歌宝探しラリーに参加した鮎川らは突然、鬼に囲まれる。急遽ラリーは中止。かわって鮎川は数え歌に隠された村の財宝を探し出すが、数え歌通りに次々と殺人事件が起きる…!?　")</f>
        <v>賞品は山一つ!鬼喰村の祭り、数え歌宝探しラリーに参加した鮎川らは突然、鬼に囲まれる。急遽ラリーは中止。かわって鮎川は数え歌に隠された村の財宝を探し出すが、数え歌通りに次々と殺人事件が起きる…!?　</v>
      </c>
      <c r="N3094" s="2"/>
      <c r="O3094" s="2"/>
      <c r="P3094" s="1"/>
      <c r="Q3094" s="1"/>
      <c r="R3094" s="1"/>
      <c r="S3094" s="1"/>
      <c r="T3094" s="1"/>
      <c r="U3094" s="1"/>
      <c r="V3094" s="1"/>
      <c r="W3094" s="1"/>
      <c r="X3094" s="1"/>
      <c r="Y3094" s="1"/>
      <c r="Z3094" s="1"/>
      <c r="AA3094" s="1"/>
      <c r="AB3094" s="1"/>
      <c r="AC3094" s="1"/>
      <c r="AD3094" s="1"/>
      <c r="AE3094" s="1"/>
      <c r="AF3094" s="1"/>
      <c r="AG3094" s="1"/>
      <c r="AH3094" s="1"/>
      <c r="AI3094" s="1"/>
      <c r="AJ3094" s="1"/>
      <c r="AK3094" s="1"/>
      <c r="AL3094" s="1"/>
      <c r="AM3094" s="1"/>
      <c r="AN3094" s="1"/>
      <c r="AO3094" s="1"/>
      <c r="AP3094" s="1"/>
      <c r="AQ3094" s="1"/>
      <c r="AR3094" s="1"/>
      <c r="AS3094" s="1"/>
      <c r="AT3094" s="1"/>
      <c r="AU3094" s="1"/>
      <c r="AV3094" s="1"/>
      <c r="AW3094" s="1"/>
      <c r="AX3094" s="1"/>
      <c r="AY3094" s="1"/>
      <c r="AZ3094" s="1"/>
      <c r="BA3094" s="1"/>
      <c r="BB3094" s="1"/>
    </row>
    <row r="3095" ht="204.75" customHeight="1">
      <c r="A3095" s="1">
        <v>5837.0</v>
      </c>
      <c r="B3095" s="2" t="s">
        <v>9276</v>
      </c>
      <c r="C3095" s="2">
        <f>IFERROR(__xludf.DUMMYFUNCTION("split(B3095,""_"")"),804.0)</f>
        <v>804</v>
      </c>
      <c r="D3095" s="2" t="str">
        <f>IFERROR(__xludf.DUMMYFUNCTION("""COMPUTED_VALUE"""),"EX")</f>
        <v>EX</v>
      </c>
      <c r="E3095" s="2" t="str">
        <f>IFERROR(__xludf.DUMMYFUNCTION("""COMPUTED_VALUE"""),"金21")</f>
        <v>金21</v>
      </c>
      <c r="F3095" s="2" t="s">
        <v>9277</v>
      </c>
      <c r="G3095" s="2" t="s">
        <v>9278</v>
      </c>
      <c r="H3095" s="1">
        <v>10.0</v>
      </c>
      <c r="J3095" s="1" t="s">
        <v>11</v>
      </c>
      <c r="K3095" s="2" t="s">
        <v>9297</v>
      </c>
      <c r="L3095" s="11" t="s">
        <v>9298</v>
      </c>
      <c r="M3095" s="2" t="str">
        <f>IFERROR(__xludf.DUMMYFUNCTION("split(split(K3095,""石原さとみ・"",false),""公式LINE"",false)"),"室町時代の海賊の末裔が先祖の財宝を探すツアーを開催。聞きつけた鮎川は宝が眠る無人島へ!そこには死も恐れぬ猛者たちが…。しかし、財宝の暗号を解く者が一人・二人と死んでいき、鮎川にも殺人犯の魔の手が…。")</f>
        <v>室町時代の海賊の末裔が先祖の財宝を探すツアーを開催。聞きつけた鮎川は宝が眠る無人島へ!そこには死も恐れぬ猛者たちが…。しかし、財宝の暗号を解く者が一人・二人と死んでいき、鮎川にも殺人犯の魔の手が…。</v>
      </c>
      <c r="N3095" s="2"/>
      <c r="O3095" s="2"/>
      <c r="P3095" s="1"/>
      <c r="Q3095" s="1"/>
      <c r="R3095" s="1"/>
      <c r="S3095" s="1"/>
      <c r="T3095" s="1"/>
      <c r="U3095" s="1"/>
      <c r="V3095" s="1"/>
      <c r="W3095" s="1"/>
      <c r="X3095" s="1"/>
      <c r="Y3095" s="1"/>
      <c r="Z3095" s="1"/>
      <c r="AA3095" s="1"/>
      <c r="AB3095" s="1"/>
      <c r="AC3095" s="1"/>
      <c r="AD3095" s="1"/>
      <c r="AE3095" s="1"/>
      <c r="AF3095" s="1"/>
      <c r="AG3095" s="1"/>
      <c r="AH3095" s="1"/>
      <c r="AI3095" s="1"/>
      <c r="AJ3095" s="1"/>
      <c r="AK3095" s="1"/>
      <c r="AL3095" s="1"/>
      <c r="AM3095" s="1"/>
      <c r="AN3095" s="1"/>
      <c r="AO3095" s="1"/>
      <c r="AP3095" s="1"/>
      <c r="AQ3095" s="1"/>
      <c r="AR3095" s="1"/>
      <c r="AS3095" s="1"/>
      <c r="AT3095" s="1"/>
      <c r="AU3095" s="1"/>
      <c r="AV3095" s="1"/>
      <c r="AW3095" s="1"/>
      <c r="AX3095" s="1"/>
      <c r="AY3095" s="1"/>
      <c r="AZ3095" s="1"/>
      <c r="BA3095" s="1"/>
      <c r="BB3095" s="1"/>
    </row>
    <row r="3096" ht="204.75" customHeight="1">
      <c r="A3096" s="1">
        <v>5849.0</v>
      </c>
      <c r="B3096" s="2" t="s">
        <v>9299</v>
      </c>
      <c r="C3096" s="2">
        <f>IFERROR(__xludf.DUMMYFUNCTION("split(B3096,""_"")"),804.0)</f>
        <v>804</v>
      </c>
      <c r="D3096" s="2" t="str">
        <f>IFERROR(__xludf.DUMMYFUNCTION("""COMPUTED_VALUE"""),"EX")</f>
        <v>EX</v>
      </c>
      <c r="E3096" s="2" t="str">
        <f>IFERROR(__xludf.DUMMYFUNCTION("""COMPUTED_VALUE"""),"金23")</f>
        <v>金23</v>
      </c>
      <c r="F3096" s="2" t="s">
        <v>9300</v>
      </c>
      <c r="G3096" s="2" t="s">
        <v>9301</v>
      </c>
      <c r="H3096" s="1">
        <v>1.0</v>
      </c>
      <c r="J3096" s="1" t="s">
        <v>6113</v>
      </c>
      <c r="K3096" s="4" t="s">
        <v>9302</v>
      </c>
      <c r="L3096" s="11" t="s">
        <v>9303</v>
      </c>
      <c r="M3096" s="2" t="str">
        <f>IFERROR(__xludf.DUMMYFUNCTION("split(split(K3096,""貫地谷しほり、"",false),""公式LINE"",false)"),"推理力抜群のフリーター・森田さくら(貫地谷しほり)が恋愛体質の坊ちゃん刑事・宇田川教生(要潤)に雇われて難事件解決!いきなり難易度Sクラス!")</f>
        <v>推理力抜群のフリーター・森田さくら(貫地谷しほり)が恋愛体質の坊ちゃん刑事・宇田川教生(要潤)に雇われて難事件解決!いきなり難易度Sクラス!</v>
      </c>
      <c r="N3096" s="2"/>
      <c r="O3096" s="2"/>
      <c r="P3096" s="1"/>
      <c r="Q3096" s="1"/>
      <c r="R3096" s="1"/>
      <c r="S3096" s="1"/>
      <c r="T3096" s="1"/>
      <c r="U3096" s="1"/>
      <c r="V3096" s="1"/>
      <c r="W3096" s="1"/>
      <c r="X3096" s="1"/>
      <c r="Y3096" s="1"/>
      <c r="Z3096" s="1"/>
      <c r="AA3096" s="1"/>
      <c r="AB3096" s="1"/>
      <c r="AC3096" s="1"/>
      <c r="AD3096" s="1"/>
      <c r="AE3096" s="1"/>
      <c r="AF3096" s="1"/>
      <c r="AG3096" s="1"/>
      <c r="AH3096" s="1"/>
      <c r="AI3096" s="1"/>
      <c r="AJ3096" s="1"/>
      <c r="AK3096" s="1"/>
      <c r="AL3096" s="1"/>
      <c r="AM3096" s="1"/>
      <c r="AN3096" s="1"/>
      <c r="AO3096" s="1"/>
      <c r="AP3096" s="1"/>
      <c r="AQ3096" s="1"/>
      <c r="AR3096" s="1"/>
      <c r="AS3096" s="1"/>
      <c r="AT3096" s="1"/>
      <c r="AU3096" s="1"/>
      <c r="AV3096" s="1"/>
      <c r="AW3096" s="1"/>
      <c r="AX3096" s="1"/>
      <c r="AY3096" s="1"/>
      <c r="AZ3096" s="1"/>
      <c r="BA3096" s="1"/>
      <c r="BB3096" s="1"/>
    </row>
    <row r="3097" ht="204.75" customHeight="1">
      <c r="A3097" s="1">
        <v>5850.0</v>
      </c>
      <c r="B3097" s="2" t="s">
        <v>9299</v>
      </c>
      <c r="C3097" s="2">
        <f>IFERROR(__xludf.DUMMYFUNCTION("split(B3097,""_"")"),804.0)</f>
        <v>804</v>
      </c>
      <c r="D3097" s="2" t="str">
        <f>IFERROR(__xludf.DUMMYFUNCTION("""COMPUTED_VALUE"""),"EX")</f>
        <v>EX</v>
      </c>
      <c r="E3097" s="2" t="str">
        <f>IFERROR(__xludf.DUMMYFUNCTION("""COMPUTED_VALUE"""),"金23")</f>
        <v>金23</v>
      </c>
      <c r="F3097" s="2" t="s">
        <v>9300</v>
      </c>
      <c r="G3097" s="2" t="s">
        <v>9301</v>
      </c>
      <c r="H3097" s="1">
        <v>2.0</v>
      </c>
      <c r="J3097" s="1" t="s">
        <v>6113</v>
      </c>
      <c r="K3097" s="2" t="s">
        <v>9304</v>
      </c>
      <c r="L3097" s="11" t="s">
        <v>9305</v>
      </c>
      <c r="M3097" s="2" t="str">
        <f>IFERROR(__xludf.DUMMYFUNCTION("split(split(K3097,""貫地谷しほり、"",false),""公式LINE"",false)"),"推理力抜群のフリーター・森田さくら(貫地谷しほり)が恋愛体質の坊ちゃん刑事・宇田川教生(要潤)に雇われて難事件解決!　")</f>
        <v>推理力抜群のフリーター・森田さくら(貫地谷しほり)が恋愛体質の坊ちゃん刑事・宇田川教生(要潤)に雇われて難事件解決!　</v>
      </c>
      <c r="N3097" s="2"/>
      <c r="O3097" s="2"/>
      <c r="P3097" s="1"/>
      <c r="Q3097" s="1"/>
      <c r="R3097" s="1"/>
      <c r="S3097" s="1"/>
      <c r="T3097" s="1"/>
      <c r="U3097" s="1"/>
      <c r="V3097" s="1"/>
      <c r="W3097" s="1"/>
      <c r="X3097" s="1"/>
      <c r="Y3097" s="1"/>
      <c r="Z3097" s="1"/>
      <c r="AA3097" s="1"/>
      <c r="AB3097" s="1"/>
      <c r="AC3097" s="1"/>
      <c r="AD3097" s="1"/>
      <c r="AE3097" s="1"/>
      <c r="AF3097" s="1"/>
      <c r="AG3097" s="1"/>
      <c r="AH3097" s="1"/>
      <c r="AI3097" s="1"/>
      <c r="AJ3097" s="1"/>
      <c r="AK3097" s="1"/>
      <c r="AL3097" s="1"/>
      <c r="AM3097" s="1"/>
      <c r="AN3097" s="1"/>
      <c r="AO3097" s="1"/>
      <c r="AP3097" s="1"/>
      <c r="AQ3097" s="1"/>
      <c r="AR3097" s="1"/>
      <c r="AS3097" s="1"/>
      <c r="AT3097" s="1"/>
      <c r="AU3097" s="1"/>
      <c r="AV3097" s="1"/>
      <c r="AW3097" s="1"/>
      <c r="AX3097" s="1"/>
      <c r="AY3097" s="1"/>
      <c r="AZ3097" s="1"/>
      <c r="BA3097" s="1"/>
      <c r="BB3097" s="1"/>
    </row>
    <row r="3098" ht="204.75" customHeight="1">
      <c r="A3098" s="1">
        <v>5851.0</v>
      </c>
      <c r="B3098" s="2" t="s">
        <v>9299</v>
      </c>
      <c r="C3098" s="2">
        <f>IFERROR(__xludf.DUMMYFUNCTION("split(B3098,""_"")"),804.0)</f>
        <v>804</v>
      </c>
      <c r="D3098" s="2" t="str">
        <f>IFERROR(__xludf.DUMMYFUNCTION("""COMPUTED_VALUE"""),"EX")</f>
        <v>EX</v>
      </c>
      <c r="E3098" s="2" t="str">
        <f>IFERROR(__xludf.DUMMYFUNCTION("""COMPUTED_VALUE"""),"金23")</f>
        <v>金23</v>
      </c>
      <c r="F3098" s="2" t="s">
        <v>9300</v>
      </c>
      <c r="G3098" s="2" t="s">
        <v>9301</v>
      </c>
      <c r="H3098" s="1">
        <v>3.0</v>
      </c>
      <c r="J3098" s="1" t="s">
        <v>6113</v>
      </c>
      <c r="K3098" s="2" t="s">
        <v>9306</v>
      </c>
      <c r="L3098" s="11" t="s">
        <v>9307</v>
      </c>
      <c r="M3098" s="2" t="str">
        <f>IFERROR(__xludf.DUMMYFUNCTION("split(split(K3098,""貫地谷しほり、"",false),""公式LINE"",false)"),"推理力抜群のフリーター・森田さくら(貫地谷しほり)が恋愛体質の坊ちゃん刑事・宇田川教生(要潤)に雇われて難事件解決!いきなり難易度Sクラス!　")</f>
        <v>推理力抜群のフリーター・森田さくら(貫地谷しほり)が恋愛体質の坊ちゃん刑事・宇田川教生(要潤)に雇われて難事件解決!いきなり難易度Sクラス!　</v>
      </c>
      <c r="N3098" s="2"/>
      <c r="O3098" s="2"/>
      <c r="P3098" s="1"/>
      <c r="Q3098" s="1"/>
      <c r="R3098" s="1"/>
      <c r="S3098" s="1"/>
      <c r="T3098" s="1"/>
      <c r="U3098" s="1"/>
      <c r="V3098" s="1"/>
      <c r="W3098" s="1"/>
      <c r="X3098" s="1"/>
      <c r="Y3098" s="1"/>
      <c r="Z3098" s="1"/>
      <c r="AA3098" s="1"/>
      <c r="AB3098" s="1"/>
      <c r="AC3098" s="1"/>
      <c r="AD3098" s="1"/>
      <c r="AE3098" s="1"/>
      <c r="AF3098" s="1"/>
      <c r="AG3098" s="1"/>
      <c r="AH3098" s="1"/>
      <c r="AI3098" s="1"/>
      <c r="AJ3098" s="1"/>
      <c r="AK3098" s="1"/>
      <c r="AL3098" s="1"/>
      <c r="AM3098" s="1"/>
      <c r="AN3098" s="1"/>
      <c r="AO3098" s="1"/>
      <c r="AP3098" s="1"/>
      <c r="AQ3098" s="1"/>
      <c r="AR3098" s="1"/>
      <c r="AS3098" s="1"/>
      <c r="AT3098" s="1"/>
      <c r="AU3098" s="1"/>
      <c r="AV3098" s="1"/>
      <c r="AW3098" s="1"/>
      <c r="AX3098" s="1"/>
      <c r="AY3098" s="1"/>
      <c r="AZ3098" s="1"/>
      <c r="BA3098" s="1"/>
      <c r="BB3098" s="1"/>
    </row>
    <row r="3099" ht="204.75" customHeight="1">
      <c r="A3099" s="1">
        <v>5852.0</v>
      </c>
      <c r="B3099" s="2" t="s">
        <v>9299</v>
      </c>
      <c r="C3099" s="2">
        <f>IFERROR(__xludf.DUMMYFUNCTION("split(B3099,""_"")"),804.0)</f>
        <v>804</v>
      </c>
      <c r="D3099" s="2" t="str">
        <f>IFERROR(__xludf.DUMMYFUNCTION("""COMPUTED_VALUE"""),"EX")</f>
        <v>EX</v>
      </c>
      <c r="E3099" s="2" t="str">
        <f>IFERROR(__xludf.DUMMYFUNCTION("""COMPUTED_VALUE"""),"金23")</f>
        <v>金23</v>
      </c>
      <c r="F3099" s="2" t="s">
        <v>9300</v>
      </c>
      <c r="G3099" s="2" t="s">
        <v>9301</v>
      </c>
      <c r="H3099" s="1">
        <v>4.0</v>
      </c>
      <c r="J3099" s="1" t="s">
        <v>6113</v>
      </c>
      <c r="K3099" s="2" t="s">
        <v>9308</v>
      </c>
      <c r="L3099" s="11" t="s">
        <v>9305</v>
      </c>
      <c r="M3099" s="2" t="str">
        <f>IFERROR(__xludf.DUMMYFUNCTION("split(split(K3099,""貫地谷しほり、"",false),""公式LINE"",false)"),"推理力抜群のフリーター・森田さくら(貫地谷しほり)が恋愛体質の坊ちゃん刑事・宇田川教生(要潤)に雇われて難事件解決!　")</f>
        <v>推理力抜群のフリーター・森田さくら(貫地谷しほり)が恋愛体質の坊ちゃん刑事・宇田川教生(要潤)に雇われて難事件解決!　</v>
      </c>
      <c r="N3099" s="2"/>
      <c r="O3099" s="2"/>
      <c r="P3099" s="1"/>
      <c r="Q3099" s="1"/>
      <c r="R3099" s="1"/>
      <c r="S3099" s="1"/>
      <c r="T3099" s="1"/>
      <c r="U3099" s="1"/>
      <c r="V3099" s="1"/>
      <c r="W3099" s="1"/>
      <c r="X3099" s="1"/>
      <c r="Y3099" s="1"/>
      <c r="Z3099" s="1"/>
      <c r="AA3099" s="1"/>
      <c r="AB3099" s="1"/>
      <c r="AC3099" s="1"/>
      <c r="AD3099" s="1"/>
      <c r="AE3099" s="1"/>
      <c r="AF3099" s="1"/>
      <c r="AG3099" s="1"/>
      <c r="AH3099" s="1"/>
      <c r="AI3099" s="1"/>
      <c r="AJ3099" s="1"/>
      <c r="AK3099" s="1"/>
      <c r="AL3099" s="1"/>
      <c r="AM3099" s="1"/>
      <c r="AN3099" s="1"/>
      <c r="AO3099" s="1"/>
      <c r="AP3099" s="1"/>
      <c r="AQ3099" s="1"/>
      <c r="AR3099" s="1"/>
      <c r="AS3099" s="1"/>
      <c r="AT3099" s="1"/>
      <c r="AU3099" s="1"/>
      <c r="AV3099" s="1"/>
      <c r="AW3099" s="1"/>
      <c r="AX3099" s="1"/>
      <c r="AY3099" s="1"/>
      <c r="AZ3099" s="1"/>
      <c r="BA3099" s="1"/>
      <c r="BB3099" s="1"/>
    </row>
    <row r="3100" ht="204.75" customHeight="1">
      <c r="A3100" s="1">
        <v>5853.0</v>
      </c>
      <c r="B3100" s="2" t="s">
        <v>9299</v>
      </c>
      <c r="C3100" s="2">
        <f>IFERROR(__xludf.DUMMYFUNCTION("split(B3100,""_"")"),804.0)</f>
        <v>804</v>
      </c>
      <c r="D3100" s="2" t="str">
        <f>IFERROR(__xludf.DUMMYFUNCTION("""COMPUTED_VALUE"""),"EX")</f>
        <v>EX</v>
      </c>
      <c r="E3100" s="2" t="str">
        <f>IFERROR(__xludf.DUMMYFUNCTION("""COMPUTED_VALUE"""),"金23")</f>
        <v>金23</v>
      </c>
      <c r="F3100" s="2" t="s">
        <v>9300</v>
      </c>
      <c r="G3100" s="2" t="s">
        <v>9301</v>
      </c>
      <c r="H3100" s="1">
        <v>5.0</v>
      </c>
      <c r="J3100" s="1" t="s">
        <v>6113</v>
      </c>
      <c r="K3100" s="2" t="s">
        <v>9309</v>
      </c>
      <c r="L3100" s="11" t="s">
        <v>9307</v>
      </c>
      <c r="M3100" s="2" t="str">
        <f>IFERROR(__xludf.DUMMYFUNCTION("split(split(K3100,""貫地谷しほり、"",false),""公式LINE"",false)"),"推理力抜群のフリーター・森田さくら(貫地谷しほり)が恋愛体質の坊ちゃん刑事・宇田川教生(要潤)に雇われて難事件解決!いきなり難易度Sクラス!　")</f>
        <v>推理力抜群のフリーター・森田さくら(貫地谷しほり)が恋愛体質の坊ちゃん刑事・宇田川教生(要潤)に雇われて難事件解決!いきなり難易度Sクラス!　</v>
      </c>
      <c r="N3100" s="2"/>
      <c r="O3100" s="2"/>
      <c r="P3100" s="1"/>
      <c r="Q3100" s="1"/>
      <c r="R3100" s="1"/>
      <c r="S3100" s="1"/>
      <c r="T3100" s="1"/>
      <c r="U3100" s="1"/>
      <c r="V3100" s="1"/>
      <c r="W3100" s="1"/>
      <c r="X3100" s="1"/>
      <c r="Y3100" s="1"/>
      <c r="Z3100" s="1"/>
      <c r="AA3100" s="1"/>
      <c r="AB3100" s="1"/>
      <c r="AC3100" s="1"/>
      <c r="AD3100" s="1"/>
      <c r="AE3100" s="1"/>
      <c r="AF3100" s="1"/>
      <c r="AG3100" s="1"/>
      <c r="AH3100" s="1"/>
      <c r="AI3100" s="1"/>
      <c r="AJ3100" s="1"/>
      <c r="AK3100" s="1"/>
      <c r="AL3100" s="1"/>
      <c r="AM3100" s="1"/>
      <c r="AN3100" s="1"/>
      <c r="AO3100" s="1"/>
      <c r="AP3100" s="1"/>
      <c r="AQ3100" s="1"/>
      <c r="AR3100" s="1"/>
      <c r="AS3100" s="1"/>
      <c r="AT3100" s="1"/>
      <c r="AU3100" s="1"/>
      <c r="AV3100" s="1"/>
      <c r="AW3100" s="1"/>
      <c r="AX3100" s="1"/>
      <c r="AY3100" s="1"/>
      <c r="AZ3100" s="1"/>
      <c r="BA3100" s="1"/>
      <c r="BB3100" s="1"/>
    </row>
    <row r="3101" ht="204.75" customHeight="1">
      <c r="A3101" s="1">
        <v>5854.0</v>
      </c>
      <c r="B3101" s="2" t="s">
        <v>9299</v>
      </c>
      <c r="C3101" s="2">
        <f>IFERROR(__xludf.DUMMYFUNCTION("split(B3101,""_"")"),804.0)</f>
        <v>804</v>
      </c>
      <c r="D3101" s="2" t="str">
        <f>IFERROR(__xludf.DUMMYFUNCTION("""COMPUTED_VALUE"""),"EX")</f>
        <v>EX</v>
      </c>
      <c r="E3101" s="2" t="str">
        <f>IFERROR(__xludf.DUMMYFUNCTION("""COMPUTED_VALUE"""),"金23")</f>
        <v>金23</v>
      </c>
      <c r="F3101" s="2" t="s">
        <v>9300</v>
      </c>
      <c r="G3101" s="2" t="s">
        <v>9301</v>
      </c>
      <c r="H3101" s="1">
        <v>6.0</v>
      </c>
      <c r="J3101" s="1" t="s">
        <v>6113</v>
      </c>
      <c r="K3101" s="2" t="s">
        <v>9310</v>
      </c>
      <c r="L3101" s="11" t="s">
        <v>9307</v>
      </c>
      <c r="M3101" s="2" t="str">
        <f>IFERROR(__xludf.DUMMYFUNCTION("split(split(K3101,""貫地谷しほり、"",false),""公式LINE"",false)"),"推理力抜群のフリーター・森田さくら(貫地谷しほり)が恋愛体質の坊ちゃん刑事・宇田川教生(要潤)に雇われて難事件解決!いきなり難易度Sクラス!　")</f>
        <v>推理力抜群のフリーター・森田さくら(貫地谷しほり)が恋愛体質の坊ちゃん刑事・宇田川教生(要潤)に雇われて難事件解決!いきなり難易度Sクラス!　</v>
      </c>
      <c r="N3101" s="2"/>
      <c r="O3101" s="2"/>
      <c r="P3101" s="1"/>
      <c r="Q3101" s="1"/>
      <c r="R3101" s="1"/>
      <c r="S3101" s="1"/>
      <c r="T3101" s="1"/>
      <c r="U3101" s="1"/>
      <c r="V3101" s="1"/>
      <c r="W3101" s="1"/>
      <c r="X3101" s="1"/>
      <c r="Y3101" s="1"/>
      <c r="Z3101" s="1"/>
      <c r="AA3101" s="1"/>
      <c r="AB3101" s="1"/>
      <c r="AC3101" s="1"/>
      <c r="AD3101" s="1"/>
      <c r="AE3101" s="1"/>
      <c r="AF3101" s="1"/>
      <c r="AG3101" s="1"/>
      <c r="AH3101" s="1"/>
      <c r="AI3101" s="1"/>
      <c r="AJ3101" s="1"/>
      <c r="AK3101" s="1"/>
      <c r="AL3101" s="1"/>
      <c r="AM3101" s="1"/>
      <c r="AN3101" s="1"/>
      <c r="AO3101" s="1"/>
      <c r="AP3101" s="1"/>
      <c r="AQ3101" s="1"/>
      <c r="AR3101" s="1"/>
      <c r="AS3101" s="1"/>
      <c r="AT3101" s="1"/>
      <c r="AU3101" s="1"/>
      <c r="AV3101" s="1"/>
      <c r="AW3101" s="1"/>
      <c r="AX3101" s="1"/>
      <c r="AY3101" s="1"/>
      <c r="AZ3101" s="1"/>
      <c r="BA3101" s="1"/>
      <c r="BB3101" s="1"/>
    </row>
    <row r="3102" ht="204.75" customHeight="1">
      <c r="A3102" s="1">
        <v>5855.0</v>
      </c>
      <c r="B3102" s="2" t="s">
        <v>9299</v>
      </c>
      <c r="C3102" s="2">
        <f>IFERROR(__xludf.DUMMYFUNCTION("split(B3102,""_"")"),804.0)</f>
        <v>804</v>
      </c>
      <c r="D3102" s="2" t="str">
        <f>IFERROR(__xludf.DUMMYFUNCTION("""COMPUTED_VALUE"""),"EX")</f>
        <v>EX</v>
      </c>
      <c r="E3102" s="2" t="str">
        <f>IFERROR(__xludf.DUMMYFUNCTION("""COMPUTED_VALUE"""),"金23")</f>
        <v>金23</v>
      </c>
      <c r="F3102" s="2" t="s">
        <v>9300</v>
      </c>
      <c r="G3102" s="2" t="s">
        <v>9301</v>
      </c>
      <c r="H3102" s="1">
        <v>7.0</v>
      </c>
      <c r="J3102" s="1" t="s">
        <v>6113</v>
      </c>
      <c r="K3102" s="2" t="s">
        <v>9311</v>
      </c>
      <c r="L3102" s="11" t="s">
        <v>9307</v>
      </c>
      <c r="M3102" s="2" t="str">
        <f>IFERROR(__xludf.DUMMYFUNCTION("split(split(K3102,""貫地谷しほり、"",false),""公式LINE"",false)"),"推理力抜群のフリーター・森田さくら(貫地谷しほり)が恋愛体質の坊ちゃん刑事・宇田川教生(要潤)に雇われて難事件解決!いきなり難易度Sクラス!　")</f>
        <v>推理力抜群のフリーター・森田さくら(貫地谷しほり)が恋愛体質の坊ちゃん刑事・宇田川教生(要潤)に雇われて難事件解決!いきなり難易度Sクラス!　</v>
      </c>
      <c r="N3102" s="2"/>
      <c r="O3102" s="2"/>
      <c r="P3102" s="1"/>
      <c r="Q3102" s="1"/>
      <c r="R3102" s="1"/>
      <c r="S3102" s="1"/>
      <c r="T3102" s="1"/>
      <c r="U3102" s="1"/>
      <c r="V3102" s="1"/>
      <c r="W3102" s="1"/>
      <c r="X3102" s="1"/>
      <c r="Y3102" s="1"/>
      <c r="Z3102" s="1"/>
      <c r="AA3102" s="1"/>
      <c r="AB3102" s="1"/>
      <c r="AC3102" s="1"/>
      <c r="AD3102" s="1"/>
      <c r="AE3102" s="1"/>
      <c r="AF3102" s="1"/>
      <c r="AG3102" s="1"/>
      <c r="AH3102" s="1"/>
      <c r="AI3102" s="1"/>
      <c r="AJ3102" s="1"/>
      <c r="AK3102" s="1"/>
      <c r="AL3102" s="1"/>
      <c r="AM3102" s="1"/>
      <c r="AN3102" s="1"/>
      <c r="AO3102" s="1"/>
      <c r="AP3102" s="1"/>
      <c r="AQ3102" s="1"/>
      <c r="AR3102" s="1"/>
      <c r="AS3102" s="1"/>
      <c r="AT3102" s="1"/>
      <c r="AU3102" s="1"/>
      <c r="AV3102" s="1"/>
      <c r="AW3102" s="1"/>
      <c r="AX3102" s="1"/>
      <c r="AY3102" s="1"/>
      <c r="AZ3102" s="1"/>
      <c r="BA3102" s="1"/>
      <c r="BB3102" s="1"/>
    </row>
    <row r="3103" ht="204.75" customHeight="1">
      <c r="A3103" s="1">
        <v>5856.0</v>
      </c>
      <c r="B3103" s="2" t="s">
        <v>9299</v>
      </c>
      <c r="C3103" s="2">
        <f>IFERROR(__xludf.DUMMYFUNCTION("split(B3103,""_"")"),804.0)</f>
        <v>804</v>
      </c>
      <c r="D3103" s="2" t="str">
        <f>IFERROR(__xludf.DUMMYFUNCTION("""COMPUTED_VALUE"""),"EX")</f>
        <v>EX</v>
      </c>
      <c r="E3103" s="2" t="str">
        <f>IFERROR(__xludf.DUMMYFUNCTION("""COMPUTED_VALUE"""),"金23")</f>
        <v>金23</v>
      </c>
      <c r="F3103" s="2" t="s">
        <v>9300</v>
      </c>
      <c r="G3103" s="2" t="s">
        <v>9301</v>
      </c>
      <c r="H3103" s="1">
        <v>8.0</v>
      </c>
      <c r="J3103" s="1" t="s">
        <v>6113</v>
      </c>
      <c r="K3103" s="2" t="s">
        <v>9312</v>
      </c>
      <c r="L3103" s="11" t="s">
        <v>9303</v>
      </c>
      <c r="M3103" s="2" t="str">
        <f>IFERROR(__xludf.DUMMYFUNCTION("split(split(K3103,""貫地谷しほり、"",false),""公式LINE"",false)"),"推理力抜群のフリーター・森田さくら(貫地谷しほり)が恋愛体質の坊ちゃん刑事・宇田川教生(要潤)に雇われて難事件解決!いきなり難易度Sクラス!")</f>
        <v>推理力抜群のフリーター・森田さくら(貫地谷しほり)が恋愛体質の坊ちゃん刑事・宇田川教生(要潤)に雇われて難事件解決!いきなり難易度Sクラス!</v>
      </c>
      <c r="N3103" s="2"/>
      <c r="O3103" s="2"/>
      <c r="P3103" s="1"/>
      <c r="Q3103" s="1"/>
      <c r="R3103" s="1"/>
      <c r="S3103" s="1"/>
      <c r="T3103" s="1"/>
      <c r="U3103" s="1"/>
      <c r="V3103" s="1"/>
      <c r="W3103" s="1"/>
      <c r="X3103" s="1"/>
      <c r="Y3103" s="1"/>
      <c r="Z3103" s="1"/>
      <c r="AA3103" s="1"/>
      <c r="AB3103" s="1"/>
      <c r="AC3103" s="1"/>
      <c r="AD3103" s="1"/>
      <c r="AE3103" s="1"/>
      <c r="AF3103" s="1"/>
      <c r="AG3103" s="1"/>
      <c r="AH3103" s="1"/>
      <c r="AI3103" s="1"/>
      <c r="AJ3103" s="1"/>
      <c r="AK3103" s="1"/>
      <c r="AL3103" s="1"/>
      <c r="AM3103" s="1"/>
      <c r="AN3103" s="1"/>
      <c r="AO3103" s="1"/>
      <c r="AP3103" s="1"/>
      <c r="AQ3103" s="1"/>
      <c r="AR3103" s="1"/>
      <c r="AS3103" s="1"/>
      <c r="AT3103" s="1"/>
      <c r="AU3103" s="1"/>
      <c r="AV3103" s="1"/>
      <c r="AW3103" s="1"/>
      <c r="AX3103" s="1"/>
      <c r="AY3103" s="1"/>
      <c r="AZ3103" s="1"/>
      <c r="BA3103" s="1"/>
      <c r="BB3103" s="1"/>
    </row>
    <row r="3104" ht="204.75" customHeight="1">
      <c r="A3104" s="1">
        <v>5857.0</v>
      </c>
      <c r="B3104" s="2" t="s">
        <v>9299</v>
      </c>
      <c r="C3104" s="2">
        <f>IFERROR(__xludf.DUMMYFUNCTION("split(B3104,""_"")"),804.0)</f>
        <v>804</v>
      </c>
      <c r="D3104" s="2" t="str">
        <f>IFERROR(__xludf.DUMMYFUNCTION("""COMPUTED_VALUE"""),"EX")</f>
        <v>EX</v>
      </c>
      <c r="E3104" s="2" t="str">
        <f>IFERROR(__xludf.DUMMYFUNCTION("""COMPUTED_VALUE"""),"金23")</f>
        <v>金23</v>
      </c>
      <c r="F3104" s="2" t="s">
        <v>9300</v>
      </c>
      <c r="G3104" s="2" t="s">
        <v>9301</v>
      </c>
      <c r="H3104" s="1">
        <v>9.0</v>
      </c>
      <c r="J3104" s="1" t="s">
        <v>6113</v>
      </c>
      <c r="K3104" s="2" t="s">
        <v>9313</v>
      </c>
      <c r="L3104" s="11" t="s">
        <v>9314</v>
      </c>
      <c r="M3104" s="2" t="str">
        <f>IFERROR(__xludf.DUMMYFUNCTION("split(split(K3104,""貫地谷しほり、"",false),""公式LINE"",false)"),"推理力抜群のフリーター・森田さくら(貫地谷しほり)が恋愛体質の坊ちゃん刑事・宇田川教生(要潤)に雇われて難事件解決!最大のライバル現る!!　")</f>
        <v>推理力抜群のフリーター・森田さくら(貫地谷しほり)が恋愛体質の坊ちゃん刑事・宇田川教生(要潤)に雇われて難事件解決!最大のライバル現る!!　</v>
      </c>
      <c r="N3104" s="2"/>
      <c r="O3104" s="2"/>
      <c r="P3104" s="1"/>
      <c r="Q3104" s="1"/>
      <c r="R3104" s="1"/>
      <c r="S3104" s="1"/>
      <c r="T3104" s="1"/>
      <c r="U3104" s="1"/>
      <c r="V3104" s="1"/>
      <c r="W3104" s="1"/>
      <c r="X3104" s="1"/>
      <c r="Y3104" s="1"/>
      <c r="Z3104" s="1"/>
      <c r="AA3104" s="1"/>
      <c r="AB3104" s="1"/>
      <c r="AC3104" s="1"/>
      <c r="AD3104" s="1"/>
      <c r="AE3104" s="1"/>
      <c r="AF3104" s="1"/>
      <c r="AG3104" s="1"/>
      <c r="AH3104" s="1"/>
      <c r="AI3104" s="1"/>
      <c r="AJ3104" s="1"/>
      <c r="AK3104" s="1"/>
      <c r="AL3104" s="1"/>
      <c r="AM3104" s="1"/>
      <c r="AN3104" s="1"/>
      <c r="AO3104" s="1"/>
      <c r="AP3104" s="1"/>
      <c r="AQ3104" s="1"/>
      <c r="AR3104" s="1"/>
      <c r="AS3104" s="1"/>
      <c r="AT3104" s="1"/>
      <c r="AU3104" s="1"/>
      <c r="AV3104" s="1"/>
      <c r="AW3104" s="1"/>
      <c r="AX3104" s="1"/>
      <c r="AY3104" s="1"/>
      <c r="AZ3104" s="1"/>
      <c r="BA3104" s="1"/>
      <c r="BB3104" s="1"/>
    </row>
    <row r="3105" ht="204.75" customHeight="1">
      <c r="A3105" s="1">
        <v>5858.0</v>
      </c>
      <c r="B3105" s="2" t="s">
        <v>9299</v>
      </c>
      <c r="C3105" s="2">
        <f>IFERROR(__xludf.DUMMYFUNCTION("split(B3105,""_"")"),804.0)</f>
        <v>804</v>
      </c>
      <c r="D3105" s="2" t="str">
        <f>IFERROR(__xludf.DUMMYFUNCTION("""COMPUTED_VALUE"""),"EX")</f>
        <v>EX</v>
      </c>
      <c r="E3105" s="2" t="str">
        <f>IFERROR(__xludf.DUMMYFUNCTION("""COMPUTED_VALUE"""),"金23")</f>
        <v>金23</v>
      </c>
      <c r="F3105" s="2" t="s">
        <v>9300</v>
      </c>
      <c r="G3105" s="2" t="s">
        <v>9301</v>
      </c>
      <c r="H3105" s="1">
        <v>10.0</v>
      </c>
      <c r="J3105" s="1" t="s">
        <v>6113</v>
      </c>
      <c r="K3105" s="2" t="s">
        <v>9315</v>
      </c>
      <c r="L3105" s="11" t="s">
        <v>9316</v>
      </c>
      <c r="M3105" s="2" t="str">
        <f>IFERROR(__xludf.DUMMYFUNCTION("split(split(K3105,""貫地谷しほり、"",false),""公式LINE"",false)"),"推理力抜群のフリーター・森田さくら(貫地谷しほり)が恋愛体質の坊ちゃん刑事・宇田川教生(要潤)に雇われて難事件解決!いよいよ今夜最終回!!　")</f>
        <v>推理力抜群のフリーター・森田さくら(貫地谷しほり)が恋愛体質の坊ちゃん刑事・宇田川教生(要潤)に雇われて難事件解決!いよいよ今夜最終回!!　</v>
      </c>
      <c r="N3105" s="2"/>
      <c r="O3105" s="2"/>
      <c r="P3105" s="1"/>
      <c r="Q3105" s="1"/>
      <c r="R3105" s="1"/>
      <c r="S3105" s="1"/>
      <c r="T3105" s="1"/>
      <c r="U3105" s="1"/>
      <c r="V3105" s="1"/>
      <c r="W3105" s="1"/>
      <c r="X3105" s="1"/>
      <c r="Y3105" s="1"/>
      <c r="Z3105" s="1"/>
      <c r="AA3105" s="1"/>
      <c r="AB3105" s="1"/>
      <c r="AC3105" s="1"/>
      <c r="AD3105" s="1"/>
      <c r="AE3105" s="1"/>
      <c r="AF3105" s="1"/>
      <c r="AG3105" s="1"/>
      <c r="AH3105" s="1"/>
      <c r="AI3105" s="1"/>
      <c r="AJ3105" s="1"/>
      <c r="AK3105" s="1"/>
      <c r="AL3105" s="1"/>
      <c r="AM3105" s="1"/>
      <c r="AN3105" s="1"/>
      <c r="AO3105" s="1"/>
      <c r="AP3105" s="1"/>
      <c r="AQ3105" s="1"/>
      <c r="AR3105" s="1"/>
      <c r="AS3105" s="1"/>
      <c r="AT3105" s="1"/>
      <c r="AU3105" s="1"/>
      <c r="AV3105" s="1"/>
      <c r="AW3105" s="1"/>
      <c r="AX3105" s="1"/>
      <c r="AY3105" s="1"/>
      <c r="AZ3105" s="1"/>
      <c r="BA3105" s="1"/>
      <c r="BB3105" s="1"/>
    </row>
    <row r="3106" ht="204.75" customHeight="1">
      <c r="A3106" s="1">
        <v>5951.0</v>
      </c>
      <c r="B3106" s="2" t="s">
        <v>9317</v>
      </c>
      <c r="C3106" s="2">
        <f>IFERROR(__xludf.DUMMYFUNCTION("split(B3106,""_"")"),801.0)</f>
        <v>801</v>
      </c>
      <c r="D3106" s="2" t="str">
        <f>IFERROR(__xludf.DUMMYFUNCTION("""COMPUTED_VALUE"""),"EX")</f>
        <v>EX</v>
      </c>
      <c r="E3106" s="2" t="str">
        <f>IFERROR(__xludf.DUMMYFUNCTION("""COMPUTED_VALUE"""),"木21")</f>
        <v>木21</v>
      </c>
      <c r="F3106" s="2" t="s">
        <v>8838</v>
      </c>
      <c r="G3106" s="2" t="s">
        <v>9318</v>
      </c>
      <c r="H3106" s="1">
        <v>1.0</v>
      </c>
      <c r="J3106" s="1" t="s">
        <v>4</v>
      </c>
      <c r="K3106" s="4" t="s">
        <v>9319</v>
      </c>
      <c r="L3106" s="11" t="s">
        <v>9320</v>
      </c>
      <c r="M3106" s="2" t="str">
        <f>IFERROR(__xludf.DUMMYFUNCTION("split(split(K3106,""脚本・"",false),""公式LINE"",false)"),"凶悪犯罪に立ち向かう警視庁捜査一課特殊班の女性交渉人・宇佐木玲子(米倉涼子)らの日常を描く。")</f>
        <v>凶悪犯罪に立ち向かう警視庁捜査一課特殊班の女性交渉人・宇佐木玲子(米倉涼子)らの日常を描く。</v>
      </c>
      <c r="N3106" s="2"/>
      <c r="O3106" s="2"/>
      <c r="P3106" s="1"/>
      <c r="Q3106" s="1"/>
      <c r="R3106" s="1"/>
      <c r="S3106" s="1"/>
      <c r="T3106" s="1"/>
      <c r="U3106" s="1"/>
      <c r="V3106" s="1"/>
      <c r="W3106" s="1"/>
      <c r="X3106" s="1"/>
      <c r="Y3106" s="1"/>
      <c r="Z3106" s="1"/>
      <c r="AA3106" s="1"/>
      <c r="AB3106" s="1"/>
      <c r="AC3106" s="1"/>
      <c r="AD3106" s="1"/>
      <c r="AE3106" s="1"/>
      <c r="AF3106" s="1"/>
      <c r="AG3106" s="1"/>
      <c r="AH3106" s="1"/>
      <c r="AI3106" s="1"/>
      <c r="AJ3106" s="1"/>
      <c r="AK3106" s="1"/>
      <c r="AL3106" s="1"/>
      <c r="AM3106" s="1"/>
      <c r="AN3106" s="1"/>
      <c r="AO3106" s="1"/>
      <c r="AP3106" s="1"/>
      <c r="AQ3106" s="1"/>
      <c r="AR3106" s="1"/>
      <c r="AS3106" s="1"/>
      <c r="AT3106" s="1"/>
      <c r="AU3106" s="1"/>
      <c r="AV3106" s="1"/>
      <c r="AW3106" s="1"/>
      <c r="AX3106" s="1"/>
      <c r="AY3106" s="1"/>
      <c r="AZ3106" s="1"/>
      <c r="BA3106" s="1"/>
      <c r="BB3106" s="1"/>
    </row>
    <row r="3107" ht="204.75" customHeight="1">
      <c r="A3107" s="1">
        <v>5952.0</v>
      </c>
      <c r="B3107" s="2" t="s">
        <v>9317</v>
      </c>
      <c r="C3107" s="2">
        <f>IFERROR(__xludf.DUMMYFUNCTION("split(B3107,""_"")"),801.0)</f>
        <v>801</v>
      </c>
      <c r="D3107" s="2" t="str">
        <f>IFERROR(__xludf.DUMMYFUNCTION("""COMPUTED_VALUE"""),"EX")</f>
        <v>EX</v>
      </c>
      <c r="E3107" s="2" t="str">
        <f>IFERROR(__xludf.DUMMYFUNCTION("""COMPUTED_VALUE"""),"木21")</f>
        <v>木21</v>
      </c>
      <c r="F3107" s="2" t="s">
        <v>8838</v>
      </c>
      <c r="G3107" s="2" t="s">
        <v>9321</v>
      </c>
      <c r="H3107" s="1">
        <v>2.0</v>
      </c>
      <c r="J3107" s="1" t="s">
        <v>11</v>
      </c>
      <c r="K3107" s="2" t="s">
        <v>9322</v>
      </c>
      <c r="L3107" s="11" t="s">
        <v>9322</v>
      </c>
      <c r="M3107" s="2" t="str">
        <f>IFERROR(__xludf.DUMMYFUNCTION("split(split(K3107,""脚本・"",false),""公式LINE"",false)"),"立てこもり事件が発生し、犯人(姜暢雄)は交渉人として玲子(米倉涼子)を指名する。桐沢(陣内孝則)の許可を得て現場に入った玲子は、犯人に問い掛けるふりをしながら、無線で桐沢たちに現場の状況を伝える。桐沢たちは、犯人は愉快犯ではないと推理するが、本当の目的が分からない。そんな中、犯人が玲子にとんでもない要求を出す。")</f>
        <v>立てこもり事件が発生し、犯人(姜暢雄)は交渉人として玲子(米倉涼子)を指名する。桐沢(陣内孝則)の許可を得て現場に入った玲子は、犯人に問い掛けるふりをしながら、無線で桐沢たちに現場の状況を伝える。桐沢たちは、犯人は愉快犯ではないと推理するが、本当の目的が分からない。そんな中、犯人が玲子にとんでもない要求を出す。</v>
      </c>
      <c r="N3107" s="2"/>
      <c r="O3107" s="2"/>
      <c r="P3107" s="1"/>
      <c r="Q3107" s="1"/>
      <c r="R3107" s="1"/>
      <c r="S3107" s="1"/>
      <c r="T3107" s="1"/>
      <c r="U3107" s="1"/>
      <c r="V3107" s="1"/>
      <c r="W3107" s="1"/>
      <c r="X3107" s="1"/>
      <c r="Y3107" s="1"/>
      <c r="Z3107" s="1"/>
      <c r="AA3107" s="1"/>
      <c r="AB3107" s="1"/>
      <c r="AC3107" s="1"/>
      <c r="AD3107" s="1"/>
      <c r="AE3107" s="1"/>
      <c r="AF3107" s="1"/>
      <c r="AG3107" s="1"/>
      <c r="AH3107" s="1"/>
      <c r="AI3107" s="1"/>
      <c r="AJ3107" s="1"/>
      <c r="AK3107" s="1"/>
      <c r="AL3107" s="1"/>
      <c r="AM3107" s="1"/>
      <c r="AN3107" s="1"/>
      <c r="AO3107" s="1"/>
      <c r="AP3107" s="1"/>
      <c r="AQ3107" s="1"/>
      <c r="AR3107" s="1"/>
      <c r="AS3107" s="1"/>
      <c r="AT3107" s="1"/>
      <c r="AU3107" s="1"/>
      <c r="AV3107" s="1"/>
      <c r="AW3107" s="1"/>
      <c r="AX3107" s="1"/>
      <c r="AY3107" s="1"/>
      <c r="AZ3107" s="1"/>
      <c r="BA3107" s="1"/>
      <c r="BB3107" s="1"/>
    </row>
    <row r="3108" ht="204.75" customHeight="1">
      <c r="A3108" s="1">
        <v>5953.0</v>
      </c>
      <c r="B3108" s="2" t="s">
        <v>9317</v>
      </c>
      <c r="C3108" s="2">
        <f>IFERROR(__xludf.DUMMYFUNCTION("split(B3108,""_"")"),801.0)</f>
        <v>801</v>
      </c>
      <c r="D3108" s="2" t="str">
        <f>IFERROR(__xludf.DUMMYFUNCTION("""COMPUTED_VALUE"""),"EX")</f>
        <v>EX</v>
      </c>
      <c r="E3108" s="2" t="str">
        <f>IFERROR(__xludf.DUMMYFUNCTION("""COMPUTED_VALUE"""),"木21")</f>
        <v>木21</v>
      </c>
      <c r="F3108" s="2" t="s">
        <v>8838</v>
      </c>
      <c r="G3108" s="2" t="s">
        <v>9323</v>
      </c>
      <c r="H3108" s="1">
        <v>3.0</v>
      </c>
      <c r="J3108" s="1" t="s">
        <v>11</v>
      </c>
      <c r="K3108" s="2" t="s">
        <v>9324</v>
      </c>
      <c r="L3108" s="11" t="s">
        <v>9324</v>
      </c>
      <c r="M3108" s="2" t="str">
        <f>IFERROR(__xludf.DUMMYFUNCTION("split(split(K3108,""脚本・"",false),""公式LINE"",false)"),"カフェに振動で爆発する爆弾が仕掛けられた。現場に向かった玲子(米倉涼子)は、爆発物処理班の伊豆田(内倉憲二)らとともに店内に入り、客たちを慎重に外へ誘導する。そこへ爆発物処理班班長・河相(平賀雅臣)らが到着。爆弾の処理を開始し、ふたを開けることに成功するが、時限装置のスイッチが入ってしまう。")</f>
        <v>カフェに振動で爆発する爆弾が仕掛けられた。現場に向かった玲子(米倉涼子)は、爆発物処理班の伊豆田(内倉憲二)らとともに店内に入り、客たちを慎重に外へ誘導する。そこへ爆発物処理班班長・河相(平賀雅臣)らが到着。爆弾の処理を開始し、ふたを開けることに成功するが、時限装置のスイッチが入ってしまう。</v>
      </c>
      <c r="N3108" s="2"/>
      <c r="O3108" s="2"/>
      <c r="P3108" s="1"/>
      <c r="Q3108" s="1"/>
      <c r="R3108" s="1"/>
      <c r="S3108" s="1"/>
      <c r="T3108" s="1"/>
      <c r="U3108" s="1"/>
      <c r="V3108" s="1"/>
      <c r="W3108" s="1"/>
      <c r="X3108" s="1"/>
      <c r="Y3108" s="1"/>
      <c r="Z3108" s="1"/>
      <c r="AA3108" s="1"/>
      <c r="AB3108" s="1"/>
      <c r="AC3108" s="1"/>
      <c r="AD3108" s="1"/>
      <c r="AE3108" s="1"/>
      <c r="AF3108" s="1"/>
      <c r="AG3108" s="1"/>
      <c r="AH3108" s="1"/>
      <c r="AI3108" s="1"/>
      <c r="AJ3108" s="1"/>
      <c r="AK3108" s="1"/>
      <c r="AL3108" s="1"/>
      <c r="AM3108" s="1"/>
      <c r="AN3108" s="1"/>
      <c r="AO3108" s="1"/>
      <c r="AP3108" s="1"/>
      <c r="AQ3108" s="1"/>
      <c r="AR3108" s="1"/>
      <c r="AS3108" s="1"/>
      <c r="AT3108" s="1"/>
      <c r="AU3108" s="1"/>
      <c r="AV3108" s="1"/>
      <c r="AW3108" s="1"/>
      <c r="AX3108" s="1"/>
      <c r="AY3108" s="1"/>
      <c r="AZ3108" s="1"/>
      <c r="BA3108" s="1"/>
      <c r="BB3108" s="1"/>
    </row>
    <row r="3109" ht="204.75" customHeight="1">
      <c r="A3109" s="1">
        <v>5954.0</v>
      </c>
      <c r="B3109" s="2" t="s">
        <v>9317</v>
      </c>
      <c r="C3109" s="2">
        <f>IFERROR(__xludf.DUMMYFUNCTION("split(B3109,""_"")"),801.0)</f>
        <v>801</v>
      </c>
      <c r="D3109" s="2" t="str">
        <f>IFERROR(__xludf.DUMMYFUNCTION("""COMPUTED_VALUE"""),"EX")</f>
        <v>EX</v>
      </c>
      <c r="E3109" s="2" t="str">
        <f>IFERROR(__xludf.DUMMYFUNCTION("""COMPUTED_VALUE"""),"木21")</f>
        <v>木21</v>
      </c>
      <c r="F3109" s="2" t="s">
        <v>8838</v>
      </c>
      <c r="G3109" s="2" t="s">
        <v>9325</v>
      </c>
      <c r="H3109" s="1">
        <v>4.0</v>
      </c>
      <c r="J3109" s="1" t="s">
        <v>11</v>
      </c>
      <c r="K3109" s="2" t="s">
        <v>9326</v>
      </c>
      <c r="L3109" s="11" t="s">
        <v>9326</v>
      </c>
      <c r="M3109" s="2" t="str">
        <f>IFERROR(__xludf.DUMMYFUNCTION("split(split(K3109,""脚本・"",false),""公式LINE"",false)"),"墨田(笹野高史)がクラブのママから受け取った芋ようかんに、振動で爆発する爆弾が仕掛けられていた。玲子(米倉涼子)はトランシーバーで話す犯人と交渉を開始したが、一度通信を切ってから、なかなかかけてこない犯人に疑問を抱く。二度目の通信で、犯人は玲子たちの居る部屋の状況を把握していないことが判明。爆弾処理班を無能呼ばわりする犯人は、爆弾処理班への挑戦が目的らしい。河相(平賀雅臣)と伊豆田(内倉憲二)が爆弾の処理を始めようとした直後、トランシーバーが鳴り、部屋の状況を言い当てた犯人に、玲子は混乱する。")</f>
        <v>墨田(笹野高史)がクラブのママから受け取った芋ようかんに、振動で爆発する爆弾が仕掛けられていた。玲子(米倉涼子)はトランシーバーで話す犯人と交渉を開始したが、一度通信を切ってから、なかなかかけてこない犯人に疑問を抱く。二度目の通信で、犯人は玲子たちの居る部屋の状況を把握していないことが判明。爆弾処理班を無能呼ばわりする犯人は、爆弾処理班への挑戦が目的らしい。河相(平賀雅臣)と伊豆田(内倉憲二)が爆弾の処理を始めようとした直後、トランシーバーが鳴り、部屋の状況を言い当てた犯人に、玲子は混乱する。</v>
      </c>
      <c r="N3109" s="2"/>
      <c r="O3109" s="2"/>
      <c r="P3109" s="1"/>
      <c r="Q3109" s="1"/>
      <c r="R3109" s="1"/>
      <c r="S3109" s="1"/>
      <c r="T3109" s="1"/>
      <c r="U3109" s="1"/>
      <c r="V3109" s="1"/>
      <c r="W3109" s="1"/>
      <c r="X3109" s="1"/>
      <c r="Y3109" s="1"/>
      <c r="Z3109" s="1"/>
      <c r="AA3109" s="1"/>
      <c r="AB3109" s="1"/>
      <c r="AC3109" s="1"/>
      <c r="AD3109" s="1"/>
      <c r="AE3109" s="1"/>
      <c r="AF3109" s="1"/>
      <c r="AG3109" s="1"/>
      <c r="AH3109" s="1"/>
      <c r="AI3109" s="1"/>
      <c r="AJ3109" s="1"/>
      <c r="AK3109" s="1"/>
      <c r="AL3109" s="1"/>
      <c r="AM3109" s="1"/>
      <c r="AN3109" s="1"/>
      <c r="AO3109" s="1"/>
      <c r="AP3109" s="1"/>
      <c r="AQ3109" s="1"/>
      <c r="AR3109" s="1"/>
      <c r="AS3109" s="1"/>
      <c r="AT3109" s="1"/>
      <c r="AU3109" s="1"/>
      <c r="AV3109" s="1"/>
      <c r="AW3109" s="1"/>
      <c r="AX3109" s="1"/>
      <c r="AY3109" s="1"/>
      <c r="AZ3109" s="1"/>
      <c r="BA3109" s="1"/>
      <c r="BB3109" s="1"/>
    </row>
    <row r="3110" ht="204.75" customHeight="1">
      <c r="A3110" s="1">
        <v>5955.0</v>
      </c>
      <c r="B3110" s="2" t="s">
        <v>9317</v>
      </c>
      <c r="C3110" s="2">
        <f>IFERROR(__xludf.DUMMYFUNCTION("split(B3110,""_"")"),801.0)</f>
        <v>801</v>
      </c>
      <c r="D3110" s="2" t="str">
        <f>IFERROR(__xludf.DUMMYFUNCTION("""COMPUTED_VALUE"""),"EX")</f>
        <v>EX</v>
      </c>
      <c r="E3110" s="2" t="str">
        <f>IFERROR(__xludf.DUMMYFUNCTION("""COMPUTED_VALUE"""),"木21")</f>
        <v>木21</v>
      </c>
      <c r="F3110" s="2" t="s">
        <v>8838</v>
      </c>
      <c r="G3110" s="2" t="s">
        <v>9327</v>
      </c>
      <c r="H3110" s="1">
        <v>5.0</v>
      </c>
      <c r="J3110" s="1" t="s">
        <v>11</v>
      </c>
      <c r="K3110" s="2" t="s">
        <v>9328</v>
      </c>
      <c r="L3110" s="11" t="s">
        <v>9328</v>
      </c>
      <c r="M3110" s="2" t="str">
        <f>IFERROR(__xludf.DUMMYFUNCTION("split(split(K3110,""脚本・"",false),""公式LINE"",false)"),"大企業トップの息子・和馬(岡田将生)が誘拐され、玲子(米倉涼子)は木崎(筧利夫)らとともに和馬の自宅へ急行する。女性の声で「和馬君を誘拐しました。捜さないでください」という電話が入り、その表現に疑問を抱いた木崎は、営利目的とは違うにおいを感じる。やがて、和馬が美術教師・小百合(井上和香)と学校を出たことが判明し、駆け落ちの可能性が浮上する。そんな中、犯人から電話が入り、和馬の母親・芳江(山口美也子)を装って電話に出た玲子がかまをかけると、犯人は自分が小百合だと認め、身代金三千万円を要求する。芳江は要求に従"&amp;"って金を用意するが、玲子は彼女の態度に不審を抱く。")</f>
        <v>大企業トップの息子・和馬(岡田将生)が誘拐され、玲子(米倉涼子)は木崎(筧利夫)らとともに和馬の自宅へ急行する。女性の声で「和馬君を誘拐しました。捜さないでください」という電話が入り、その表現に疑問を抱いた木崎は、営利目的とは違うにおいを感じる。やがて、和馬が美術教師・小百合(井上和香)と学校を出たことが判明し、駆け落ちの可能性が浮上する。そんな中、犯人から電話が入り、和馬の母親・芳江(山口美也子)を装って電話に出た玲子がかまをかけると、犯人は自分が小百合だと認め、身代金三千万円を要求する。芳江は要求に従って金を用意するが、玲子は彼女の態度に不審を抱く。</v>
      </c>
      <c r="N3110" s="2"/>
      <c r="O3110" s="2"/>
      <c r="P3110" s="1"/>
      <c r="Q3110" s="1"/>
      <c r="R3110" s="1"/>
      <c r="S3110" s="1"/>
      <c r="T3110" s="1"/>
      <c r="U3110" s="1"/>
      <c r="V3110" s="1"/>
      <c r="W3110" s="1"/>
      <c r="X3110" s="1"/>
      <c r="Y3110" s="1"/>
      <c r="Z3110" s="1"/>
      <c r="AA3110" s="1"/>
      <c r="AB3110" s="1"/>
      <c r="AC3110" s="1"/>
      <c r="AD3110" s="1"/>
      <c r="AE3110" s="1"/>
      <c r="AF3110" s="1"/>
      <c r="AG3110" s="1"/>
      <c r="AH3110" s="1"/>
      <c r="AI3110" s="1"/>
      <c r="AJ3110" s="1"/>
      <c r="AK3110" s="1"/>
      <c r="AL3110" s="1"/>
      <c r="AM3110" s="1"/>
      <c r="AN3110" s="1"/>
      <c r="AO3110" s="1"/>
      <c r="AP3110" s="1"/>
      <c r="AQ3110" s="1"/>
      <c r="AR3110" s="1"/>
      <c r="AS3110" s="1"/>
      <c r="AT3110" s="1"/>
      <c r="AU3110" s="1"/>
      <c r="AV3110" s="1"/>
      <c r="AW3110" s="1"/>
      <c r="AX3110" s="1"/>
      <c r="AY3110" s="1"/>
      <c r="AZ3110" s="1"/>
      <c r="BA3110" s="1"/>
      <c r="BB3110" s="1"/>
    </row>
    <row r="3111" ht="204.75" customHeight="1">
      <c r="A3111" s="1">
        <v>5956.0</v>
      </c>
      <c r="B3111" s="2" t="s">
        <v>9317</v>
      </c>
      <c r="C3111" s="2">
        <f>IFERROR(__xludf.DUMMYFUNCTION("split(B3111,""_"")"),801.0)</f>
        <v>801</v>
      </c>
      <c r="D3111" s="2" t="str">
        <f>IFERROR(__xludf.DUMMYFUNCTION("""COMPUTED_VALUE"""),"EX")</f>
        <v>EX</v>
      </c>
      <c r="E3111" s="2" t="str">
        <f>IFERROR(__xludf.DUMMYFUNCTION("""COMPUTED_VALUE"""),"木21")</f>
        <v>木21</v>
      </c>
      <c r="F3111" s="2" t="s">
        <v>8838</v>
      </c>
      <c r="G3111" s="2" t="s">
        <v>9329</v>
      </c>
      <c r="H3111" s="1">
        <v>6.0</v>
      </c>
      <c r="J3111" s="1" t="s">
        <v>11</v>
      </c>
      <c r="K3111" s="2" t="s">
        <v>9330</v>
      </c>
      <c r="L3111" s="11" t="s">
        <v>9330</v>
      </c>
      <c r="M3111" s="2" t="str">
        <f>IFERROR(__xludf.DUMMYFUNCTION("split(split(K3111,""脚本・"",false),""公式LINE"",false)"),"玲子(米倉涼子)の父親・修次(陰山泰)が殉職した立てこもり事件の犯人グループの一人・飯塚(大東俊介)が殺害された。父親の死の真相を追っていた玲子は、現場へ出掛け、同じく修次が殉職した事件を追っている新聞記者の工藤(伊武雅刀)と出会う。工藤は飯塚が死ぬ直前、彼の仲間である連続殺人犯・真里谷(城田優)から来た”ラブレター”が入ったロッカーの鍵を預かったという。工藤とともにロッカーを開けて手紙を取り出した玲子は、真里谷が同様の手紙を以前の仲間・田口(斉藤祥太)らにも送ったことを知る。")</f>
        <v>玲子(米倉涼子)の父親・修次(陰山泰)が殉職した立てこもり事件の犯人グループの一人・飯塚(大東俊介)が殺害された。父親の死の真相を追っていた玲子は、現場へ出掛け、同じく修次が殉職した事件を追っている新聞記者の工藤(伊武雅刀)と出会う。工藤は飯塚が死ぬ直前、彼の仲間である連続殺人犯・真里谷(城田優)から来た”ラブレター”が入ったロッカーの鍵を預かったという。工藤とともにロッカーを開けて手紙を取り出した玲子は、真里谷が同様の手紙を以前の仲間・田口(斉藤祥太)らにも送ったことを知る。</v>
      </c>
      <c r="N3111" s="2"/>
      <c r="O3111" s="2"/>
      <c r="P3111" s="1"/>
      <c r="Q3111" s="1"/>
      <c r="R3111" s="1"/>
      <c r="S3111" s="1"/>
      <c r="T3111" s="1"/>
      <c r="U3111" s="1"/>
      <c r="V3111" s="1"/>
      <c r="W3111" s="1"/>
      <c r="X3111" s="1"/>
      <c r="Y3111" s="1"/>
      <c r="Z3111" s="1"/>
      <c r="AA3111" s="1"/>
      <c r="AB3111" s="1"/>
      <c r="AC3111" s="1"/>
      <c r="AD3111" s="1"/>
      <c r="AE3111" s="1"/>
      <c r="AF3111" s="1"/>
      <c r="AG3111" s="1"/>
      <c r="AH3111" s="1"/>
      <c r="AI3111" s="1"/>
      <c r="AJ3111" s="1"/>
      <c r="AK3111" s="1"/>
      <c r="AL3111" s="1"/>
      <c r="AM3111" s="1"/>
      <c r="AN3111" s="1"/>
      <c r="AO3111" s="1"/>
      <c r="AP3111" s="1"/>
      <c r="AQ3111" s="1"/>
      <c r="AR3111" s="1"/>
      <c r="AS3111" s="1"/>
      <c r="AT3111" s="1"/>
      <c r="AU3111" s="1"/>
      <c r="AV3111" s="1"/>
      <c r="AW3111" s="1"/>
      <c r="AX3111" s="1"/>
      <c r="AY3111" s="1"/>
      <c r="AZ3111" s="1"/>
      <c r="BA3111" s="1"/>
      <c r="BB3111" s="1"/>
    </row>
    <row r="3112" ht="204.75" customHeight="1">
      <c r="A3112" s="1">
        <v>5957.0</v>
      </c>
      <c r="B3112" s="2" t="s">
        <v>9317</v>
      </c>
      <c r="C3112" s="2">
        <f>IFERROR(__xludf.DUMMYFUNCTION("split(B3112,""_"")"),801.0)</f>
        <v>801</v>
      </c>
      <c r="D3112" s="2" t="str">
        <f>IFERROR(__xludf.DUMMYFUNCTION("""COMPUTED_VALUE"""),"EX")</f>
        <v>EX</v>
      </c>
      <c r="E3112" s="2" t="str">
        <f>IFERROR(__xludf.DUMMYFUNCTION("""COMPUTED_VALUE"""),"木21")</f>
        <v>木21</v>
      </c>
      <c r="F3112" s="2" t="s">
        <v>8838</v>
      </c>
      <c r="G3112" s="2" t="s">
        <v>9331</v>
      </c>
      <c r="H3112" s="1">
        <v>7.0</v>
      </c>
      <c r="J3112" s="1" t="s">
        <v>11</v>
      </c>
      <c r="K3112" s="2" t="s">
        <v>9332</v>
      </c>
      <c r="L3112" s="11" t="s">
        <v>9332</v>
      </c>
      <c r="M3112" s="2" t="str">
        <f>IFERROR(__xludf.DUMMYFUNCTION("split(split(K3112,""脚本・"",false),""公式LINE"",false)"),"交渉人◇真里谷（城田優）が５年前の立てこもり事件当時、心神喪失状態だったという鑑定結果が出た。そのため真里谷は無罪になる可能性もある。接見する玲子（米倉涼子）に、真里谷はそっちに出ていくと不敵に笑う。そんな中、田口（斉藤祥太）の自殺を止められなかったことを理由に、玲子は異動を命じられる。折しも、気象予報士の望月（木原実）が突然、５年前の真里谷の仲間の名前をテレビで公表した。望月は妻を拉致され、無理やりメッセージを読まされたらしい。騒然となる中、玲子は桐沢（陣内孝則）らに、真里谷が出所したら困る人間の仕業で"&amp;"はないかと持論を展開する。さらに、自分が５年前の事件で殉職した機動隊員の娘で、父の死の真相を探っていることを明かす。")</f>
        <v>交渉人◇真里谷（城田優）が５年前の立てこもり事件当時、心神喪失状態だったという鑑定結果が出た。そのため真里谷は無罪になる可能性もある。接見する玲子（米倉涼子）に、真里谷はそっちに出ていくと不敵に笑う。そんな中、田口（斉藤祥太）の自殺を止められなかったことを理由に、玲子は異動を命じられる。折しも、気象予報士の望月（木原実）が突然、５年前の真里谷の仲間の名前をテレビで公表した。望月は妻を拉致され、無理やりメッセージを読まされたらしい。騒然となる中、玲子は桐沢（陣内孝則）らに、真里谷が出所したら困る人間の仕業ではないかと持論を展開する。さらに、自分が５年前の事件で殉職した機動隊員の娘で、父の死の真相を探っていることを明かす。</v>
      </c>
      <c r="N3112" s="2"/>
      <c r="O3112" s="2"/>
      <c r="P3112" s="1"/>
      <c r="Q3112" s="1"/>
      <c r="R3112" s="1"/>
      <c r="S3112" s="1"/>
      <c r="T3112" s="1"/>
      <c r="U3112" s="1"/>
      <c r="V3112" s="1"/>
      <c r="W3112" s="1"/>
      <c r="X3112" s="1"/>
      <c r="Y3112" s="1"/>
      <c r="Z3112" s="1"/>
      <c r="AA3112" s="1"/>
      <c r="AB3112" s="1"/>
      <c r="AC3112" s="1"/>
      <c r="AD3112" s="1"/>
      <c r="AE3112" s="1"/>
      <c r="AF3112" s="1"/>
      <c r="AG3112" s="1"/>
      <c r="AH3112" s="1"/>
      <c r="AI3112" s="1"/>
      <c r="AJ3112" s="1"/>
      <c r="AK3112" s="1"/>
      <c r="AL3112" s="1"/>
      <c r="AM3112" s="1"/>
      <c r="AN3112" s="1"/>
      <c r="AO3112" s="1"/>
      <c r="AP3112" s="1"/>
      <c r="AQ3112" s="1"/>
      <c r="AR3112" s="1"/>
      <c r="AS3112" s="1"/>
      <c r="AT3112" s="1"/>
      <c r="AU3112" s="1"/>
      <c r="AV3112" s="1"/>
      <c r="AW3112" s="1"/>
      <c r="AX3112" s="1"/>
      <c r="AY3112" s="1"/>
      <c r="AZ3112" s="1"/>
      <c r="BA3112" s="1"/>
      <c r="BB3112" s="1"/>
    </row>
    <row r="3113" ht="204.75" customHeight="1">
      <c r="A3113" s="1">
        <v>5958.0</v>
      </c>
      <c r="B3113" s="2" t="s">
        <v>9317</v>
      </c>
      <c r="C3113" s="2">
        <f>IFERROR(__xludf.DUMMYFUNCTION("split(B3113,""_"")"),801.0)</f>
        <v>801</v>
      </c>
      <c r="D3113" s="2" t="str">
        <f>IFERROR(__xludf.DUMMYFUNCTION("""COMPUTED_VALUE"""),"EX")</f>
        <v>EX</v>
      </c>
      <c r="E3113" s="2" t="str">
        <f>IFERROR(__xludf.DUMMYFUNCTION("""COMPUTED_VALUE"""),"木21")</f>
        <v>木21</v>
      </c>
      <c r="F3113" s="2" t="s">
        <v>8838</v>
      </c>
      <c r="G3113" s="2" t="s">
        <v>9331</v>
      </c>
      <c r="H3113" s="1">
        <v>8.0</v>
      </c>
      <c r="J3113" s="1" t="s">
        <v>11</v>
      </c>
      <c r="K3113" s="2" t="s">
        <v>9333</v>
      </c>
      <c r="L3113" s="10" t="s">
        <v>9334</v>
      </c>
      <c r="M3113" s="2" t="str">
        <f>IFERROR(__xludf.DUMMYFUNCTION("split(split(K3113,""脚本・"",false),""公式LINE"",false)"),"遂に!衝撃の最終回!!連続殺人犯VS警視庁・交渉班。死刑囚の出獄?!「5年前と一緒だ・・・」。玲子を待ち受けている運命とは・・・。黒幕がとった行動とは!!交渉班に隠された全ての謎が明らかに!予想外の展開と衝撃の結末が!　米倉涼子・筧利夫・高岡蒼甫・笹野高史・鈴木浩介・高知東生  　城田 優・安めぐみ・林丹丹  　大杉 漣・伊武雅刀  　中山 恵・河本麻希・高橋克実・陣内孝則　田中圭・荒木宏文・倉貫匡弘・高橋光臣　寺田敏雄　松田秀知(共同テレビジョン)　佐藤　準  【主題歌】  「黄金魂」湘南乃風(トイズフ"&amp;"ァクトリー)　チーフプロデューサー  　　　:五十嵐文郎  　プロデューサー  　　　:内山聖子/柳川由起子(共同テレビジョン)　放送終了後、PCサイトで木崎(筧利夫)と生交渉!!  　http://www.tv-asahi.co.jp/koshonin/")</f>
        <v>遂に!衝撃の最終回!!連続殺人犯VS警視庁・交渉班。死刑囚の出獄?!「5年前と一緒だ・・・」。玲子を待ち受けている運命とは・・・。黒幕がとった行動とは!!交渉班に隠された全ての謎が明らかに!予想外の展開と衝撃の結末が!　米倉涼子・筧利夫・高岡蒼甫・笹野高史・鈴木浩介・高知東生  　城田 優・安めぐみ・林丹丹  　大杉 漣・伊武雅刀  　中山 恵・河本麻希・高橋克実・陣内孝則　田中圭・荒木宏文・倉貫匡弘・高橋光臣　寺田敏雄　松田秀知(共同テレビジョン)　佐藤　準  【主題歌】  「黄金魂」湘南乃風(トイズファクトリー)　チーフプロデューサー  　　　:五十嵐文郎  　プロデューサー  　　　:内山聖子/柳川由起子(共同テレビジョン)　放送終了後、PCサイトで木崎(筧利夫)と生交渉!!  　http://www.tv-asahi.co.jp/koshonin/</v>
      </c>
      <c r="N3113" s="2"/>
      <c r="O3113" s="2"/>
      <c r="P3113" s="1"/>
      <c r="Q3113" s="1"/>
      <c r="R3113" s="1"/>
      <c r="S3113" s="1"/>
      <c r="T3113" s="1"/>
      <c r="U3113" s="1"/>
      <c r="V3113" s="1"/>
      <c r="W3113" s="1"/>
      <c r="X3113" s="1"/>
      <c r="Y3113" s="1"/>
      <c r="Z3113" s="1"/>
      <c r="AA3113" s="1"/>
      <c r="AB3113" s="1"/>
      <c r="AC3113" s="1"/>
      <c r="AD3113" s="1"/>
      <c r="AE3113" s="1"/>
      <c r="AF3113" s="1"/>
      <c r="AG3113" s="1"/>
      <c r="AH3113" s="1"/>
      <c r="AI3113" s="1"/>
      <c r="AJ3113" s="1"/>
      <c r="AK3113" s="1"/>
      <c r="AL3113" s="1"/>
      <c r="AM3113" s="1"/>
      <c r="AN3113" s="1"/>
      <c r="AO3113" s="1"/>
      <c r="AP3113" s="1"/>
      <c r="AQ3113" s="1"/>
      <c r="AR3113" s="1"/>
      <c r="AS3113" s="1"/>
      <c r="AT3113" s="1"/>
      <c r="AU3113" s="1"/>
      <c r="AV3113" s="1"/>
      <c r="AW3113" s="1"/>
      <c r="AX3113" s="1"/>
      <c r="AY3113" s="1"/>
      <c r="AZ3113" s="1"/>
      <c r="BA3113" s="1"/>
      <c r="BB3113" s="1"/>
    </row>
    <row r="3114" ht="204.75" customHeight="1">
      <c r="A3114" s="1">
        <v>5970.0</v>
      </c>
      <c r="B3114" s="2" t="s">
        <v>9335</v>
      </c>
      <c r="C3114" s="2">
        <f>IFERROR(__xludf.DUMMYFUNCTION("split(B3114,""_"")"),801.0)</f>
        <v>801</v>
      </c>
      <c r="D3114" s="2" t="str">
        <f>IFERROR(__xludf.DUMMYFUNCTION("""COMPUTED_VALUE"""),"EX")</f>
        <v>EX</v>
      </c>
      <c r="E3114" s="2" t="str">
        <f>IFERROR(__xludf.DUMMYFUNCTION("""COMPUTED_VALUE"""),"金21")</f>
        <v>金21</v>
      </c>
      <c r="F3114" s="2" t="s">
        <v>9336</v>
      </c>
      <c r="G3114" s="2" t="s">
        <v>9337</v>
      </c>
      <c r="H3114" s="1">
        <v>1.0</v>
      </c>
      <c r="J3114" s="1" t="s">
        <v>11</v>
      </c>
      <c r="K3114" s="4" t="s">
        <v>9338</v>
      </c>
      <c r="L3114" s="11" t="s">
        <v>9338</v>
      </c>
      <c r="M3114" s="2" t="str">
        <f>IFERROR(__xludf.DUMMYFUNCTION("split(split(K3114,""…"",false),""公式LINE"",false)"),"四姉妹が、さまざまな難事件の真相に迫る。原作・赤川次郎、脚本・福田卓郎、演出・新城毅彦。　父一人、娘四人暮らしの佐々本家が放火に遭い、高校生の四女・夕里子(夏帆)が焼け出される。父・周平(竹中直人)は出張中で、長女・真理(中越典子)、二女・綾子(加藤夏希)、三女・珠美(市川由衣)も外出していたため全員無事だった。だが、焼け跡から女性の変死体が発見されたことで、所在の分からない周平に容疑が掛かり、夕里子たちは警察から監視されることに。そんな警察の態度に反感を抱いた夕里子は、自分の手で父の無実を証明しようと、"&amp;"一人で調査を開始する。")</f>
        <v>四姉妹が、さまざまな難事件の真相に迫る。原作・赤川次郎、脚本・福田卓郎、演出・新城毅彦。　父一人、娘四人暮らしの佐々本家が放火に遭い、高校生の四女・夕里子(夏帆)が焼け出される。父・周平(竹中直人)は出張中で、長女・真理(中越典子)、二女・綾子(加藤夏希)、三女・珠美(市川由衣)も外出していたため全員無事だった。だが、焼け跡から女性の変死体が発見されたことで、所在の分からない周平に容疑が掛かり、夕里子たちは警察から監視されることに。そんな警察の態度に反感を抱いた夕里子は、自分の手で父の無実を証明しようと、一人で調査を開始する。</v>
      </c>
      <c r="N3114" s="2"/>
      <c r="O3114" s="2"/>
      <c r="P3114" s="1"/>
      <c r="Q3114" s="1"/>
      <c r="R3114" s="1"/>
      <c r="S3114" s="1"/>
      <c r="T3114" s="1"/>
      <c r="U3114" s="1"/>
      <c r="V3114" s="1"/>
      <c r="W3114" s="1"/>
      <c r="X3114" s="1"/>
      <c r="Y3114" s="1"/>
      <c r="Z3114" s="1"/>
      <c r="AA3114" s="1"/>
      <c r="AB3114" s="1"/>
      <c r="AC3114" s="1"/>
      <c r="AD3114" s="1"/>
      <c r="AE3114" s="1"/>
      <c r="AF3114" s="1"/>
      <c r="AG3114" s="1"/>
      <c r="AH3114" s="1"/>
      <c r="AI3114" s="1"/>
      <c r="AJ3114" s="1"/>
      <c r="AK3114" s="1"/>
      <c r="AL3114" s="1"/>
      <c r="AM3114" s="1"/>
      <c r="AN3114" s="1"/>
      <c r="AO3114" s="1"/>
      <c r="AP3114" s="1"/>
      <c r="AQ3114" s="1"/>
      <c r="AR3114" s="1"/>
      <c r="AS3114" s="1"/>
      <c r="AT3114" s="1"/>
      <c r="AU3114" s="1"/>
      <c r="AV3114" s="1"/>
      <c r="AW3114" s="1"/>
      <c r="AX3114" s="1"/>
      <c r="AY3114" s="1"/>
      <c r="AZ3114" s="1"/>
      <c r="BA3114" s="1"/>
      <c r="BB3114" s="1"/>
    </row>
    <row r="3115" ht="204.75" customHeight="1">
      <c r="A3115" s="1">
        <v>5971.0</v>
      </c>
      <c r="B3115" s="2" t="s">
        <v>9335</v>
      </c>
      <c r="C3115" s="2">
        <f>IFERROR(__xludf.DUMMYFUNCTION("split(B3115,""_"")"),801.0)</f>
        <v>801</v>
      </c>
      <c r="D3115" s="2" t="str">
        <f>IFERROR(__xludf.DUMMYFUNCTION("""COMPUTED_VALUE"""),"EX")</f>
        <v>EX</v>
      </c>
      <c r="E3115" s="2" t="str">
        <f>IFERROR(__xludf.DUMMYFUNCTION("""COMPUTED_VALUE"""),"金21")</f>
        <v>金21</v>
      </c>
      <c r="F3115" s="2" t="s">
        <v>9336</v>
      </c>
      <c r="G3115" s="2" t="s">
        <v>9339</v>
      </c>
      <c r="H3115" s="1">
        <v>2.0</v>
      </c>
      <c r="J3115" s="1" t="s">
        <v>11</v>
      </c>
      <c r="K3115" s="2" t="s">
        <v>9340</v>
      </c>
      <c r="L3115" s="11" t="s">
        <v>9340</v>
      </c>
      <c r="M3115" s="2" t="str">
        <f>IFERROR(__xludf.DUMMYFUNCTION("split(split(K3115,""…"",false),""公式LINE"",false)"),"夕里子(夏帆)たち佐々本一家は、叔母・加津代(室井滋)の家に引っ越す。その近所で、小西(安居剣一郎)の遺体が発見される。国友(吉沢悠)たち警察は自殺と断定するが、交際中の女性との間に問題があったことを知る小西の母・清子(大島さと子)は納得がいかず、息子の手帳に名前が書かれていた夕里子を刃物で襲う。疑いは晴れたが、清子をふびんに思った夕里子は調査を開始する。")</f>
        <v>夕里子(夏帆)たち佐々本一家は、叔母・加津代(室井滋)の家に引っ越す。その近所で、小西(安居剣一郎)の遺体が発見される。国友(吉沢悠)たち警察は自殺と断定するが、交際中の女性との間に問題があったことを知る小西の母・清子(大島さと子)は納得がいかず、息子の手帳に名前が書かれていた夕里子を刃物で襲う。疑いは晴れたが、清子をふびんに思った夕里子は調査を開始する。</v>
      </c>
      <c r="N3115" s="2"/>
      <c r="O3115" s="2"/>
      <c r="P3115" s="1"/>
      <c r="Q3115" s="1"/>
      <c r="R3115" s="1"/>
      <c r="S3115" s="1"/>
      <c r="T3115" s="1"/>
      <c r="U3115" s="1"/>
      <c r="V3115" s="1"/>
      <c r="W3115" s="1"/>
      <c r="X3115" s="1"/>
      <c r="Y3115" s="1"/>
      <c r="Z3115" s="1"/>
      <c r="AA3115" s="1"/>
      <c r="AB3115" s="1"/>
      <c r="AC3115" s="1"/>
      <c r="AD3115" s="1"/>
      <c r="AE3115" s="1"/>
      <c r="AF3115" s="1"/>
      <c r="AG3115" s="1"/>
      <c r="AH3115" s="1"/>
      <c r="AI3115" s="1"/>
      <c r="AJ3115" s="1"/>
      <c r="AK3115" s="1"/>
      <c r="AL3115" s="1"/>
      <c r="AM3115" s="1"/>
      <c r="AN3115" s="1"/>
      <c r="AO3115" s="1"/>
      <c r="AP3115" s="1"/>
      <c r="AQ3115" s="1"/>
      <c r="AR3115" s="1"/>
      <c r="AS3115" s="1"/>
      <c r="AT3115" s="1"/>
      <c r="AU3115" s="1"/>
      <c r="AV3115" s="1"/>
      <c r="AW3115" s="1"/>
      <c r="AX3115" s="1"/>
      <c r="AY3115" s="1"/>
      <c r="AZ3115" s="1"/>
      <c r="BA3115" s="1"/>
      <c r="BB3115" s="1"/>
    </row>
    <row r="3116" ht="204.75" customHeight="1">
      <c r="A3116" s="1">
        <v>5972.0</v>
      </c>
      <c r="B3116" s="2" t="s">
        <v>9335</v>
      </c>
      <c r="C3116" s="2">
        <f>IFERROR(__xludf.DUMMYFUNCTION("split(B3116,""_"")"),801.0)</f>
        <v>801</v>
      </c>
      <c r="D3116" s="2" t="str">
        <f>IFERROR(__xludf.DUMMYFUNCTION("""COMPUTED_VALUE"""),"EX")</f>
        <v>EX</v>
      </c>
      <c r="E3116" s="2" t="str">
        <f>IFERROR(__xludf.DUMMYFUNCTION("""COMPUTED_VALUE"""),"金21")</f>
        <v>金21</v>
      </c>
      <c r="F3116" s="2" t="s">
        <v>9336</v>
      </c>
      <c r="G3116" s="2" t="s">
        <v>9341</v>
      </c>
      <c r="H3116" s="1">
        <v>3.0</v>
      </c>
      <c r="J3116" s="1" t="s">
        <v>11</v>
      </c>
      <c r="K3116" s="2" t="s">
        <v>9342</v>
      </c>
      <c r="L3116" s="11" t="s">
        <v>9342</v>
      </c>
      <c r="M3116" s="2" t="str">
        <f>IFERROR(__xludf.DUMMYFUNCTION("split(split(K3116,""…"",false),""公式LINE"",false)"),"加津代(室井滋)が突然、見合いをすると言いだす。だが、相手の西崎(長谷川初範)は、真理(中越典子)を相手と勘違いし、二人は見合いをすることに。西崎に一目ぼれした真理は、彼との結婚を考え始める。そんな折、綾子(加藤夏希)の先輩でメーキャップアーティストの紀子(岡田薫)が殺害され、西崎に容疑が掛かる。落ち込む真理の力になろうと、夕里子(夏帆)は独自に西崎のことを調べ始める。")</f>
        <v>加津代(室井滋)が突然、見合いをすると言いだす。だが、相手の西崎(長谷川初範)は、真理(中越典子)を相手と勘違いし、二人は見合いをすることに。西崎に一目ぼれした真理は、彼との結婚を考え始める。そんな折、綾子(加藤夏希)の先輩でメーキャップアーティストの紀子(岡田薫)が殺害され、西崎に容疑が掛かる。落ち込む真理の力になろうと、夕里子(夏帆)は独自に西崎のことを調べ始める。</v>
      </c>
      <c r="N3116" s="2"/>
      <c r="O3116" s="2"/>
      <c r="P3116" s="1"/>
      <c r="Q3116" s="1"/>
      <c r="R3116" s="1"/>
      <c r="S3116" s="1"/>
      <c r="T3116" s="1"/>
      <c r="U3116" s="1"/>
      <c r="V3116" s="1"/>
      <c r="W3116" s="1"/>
      <c r="X3116" s="1"/>
      <c r="Y3116" s="1"/>
      <c r="Z3116" s="1"/>
      <c r="AA3116" s="1"/>
      <c r="AB3116" s="1"/>
      <c r="AC3116" s="1"/>
      <c r="AD3116" s="1"/>
      <c r="AE3116" s="1"/>
      <c r="AF3116" s="1"/>
      <c r="AG3116" s="1"/>
      <c r="AH3116" s="1"/>
      <c r="AI3116" s="1"/>
      <c r="AJ3116" s="1"/>
      <c r="AK3116" s="1"/>
      <c r="AL3116" s="1"/>
      <c r="AM3116" s="1"/>
      <c r="AN3116" s="1"/>
      <c r="AO3116" s="1"/>
      <c r="AP3116" s="1"/>
      <c r="AQ3116" s="1"/>
      <c r="AR3116" s="1"/>
      <c r="AS3116" s="1"/>
      <c r="AT3116" s="1"/>
      <c r="AU3116" s="1"/>
      <c r="AV3116" s="1"/>
      <c r="AW3116" s="1"/>
      <c r="AX3116" s="1"/>
      <c r="AY3116" s="1"/>
      <c r="AZ3116" s="1"/>
      <c r="BA3116" s="1"/>
      <c r="BB3116" s="1"/>
    </row>
    <row r="3117" ht="204.75" customHeight="1">
      <c r="A3117" s="1">
        <v>5973.0</v>
      </c>
      <c r="B3117" s="2" t="s">
        <v>9335</v>
      </c>
      <c r="C3117" s="2">
        <f>IFERROR(__xludf.DUMMYFUNCTION("split(B3117,""_"")"),801.0)</f>
        <v>801</v>
      </c>
      <c r="D3117" s="2" t="str">
        <f>IFERROR(__xludf.DUMMYFUNCTION("""COMPUTED_VALUE"""),"EX")</f>
        <v>EX</v>
      </c>
      <c r="E3117" s="2" t="str">
        <f>IFERROR(__xludf.DUMMYFUNCTION("""COMPUTED_VALUE"""),"金21")</f>
        <v>金21</v>
      </c>
      <c r="F3117" s="2" t="s">
        <v>9336</v>
      </c>
      <c r="G3117" s="2" t="s">
        <v>9343</v>
      </c>
      <c r="H3117" s="1">
        <v>4.0</v>
      </c>
      <c r="J3117" s="1" t="s">
        <v>11</v>
      </c>
      <c r="K3117" s="2" t="s">
        <v>9344</v>
      </c>
      <c r="L3117" s="11" t="s">
        <v>9344</v>
      </c>
      <c r="M3117" s="2" t="str">
        <f>IFERROR(__xludf.DUMMYFUNCTION("split(split(K3117,""…"",false),""公式LINE"",false)"),"有名ファッションデザイナー・春代(小沢真珠)の夫が殺害された。犯人の堀江(松沢一之)は国友(吉沢悠)たちに追われた末に自殺。その後、堀江が真理(中越典子)の大学時代の友人・涼子(野波麻帆)の父だと分かり、夕里子(夏帆)たち四姉妹は事件を調べ始める。警察の捜査で、春代の身内や愛する人間が事故や急病で亡くなっていたことが判明。そのたびに彼女は、多額の保険金を手にしていたという。そんな中、春代の会社から独立したばかりのデザイナー・伸子(橘実里)も不審死を遂げる。")</f>
        <v>有名ファッションデザイナー・春代(小沢真珠)の夫が殺害された。犯人の堀江(松沢一之)は国友(吉沢悠)たちに追われた末に自殺。その後、堀江が真理(中越典子)の大学時代の友人・涼子(野波麻帆)の父だと分かり、夕里子(夏帆)たち四姉妹は事件を調べ始める。警察の捜査で、春代の身内や愛する人間が事故や急病で亡くなっていたことが判明。そのたびに彼女は、多額の保険金を手にしていたという。そんな中、春代の会社から独立したばかりのデザイナー・伸子(橘実里)も不審死を遂げる。</v>
      </c>
      <c r="N3117" s="2"/>
      <c r="O3117" s="2"/>
      <c r="P3117" s="1"/>
      <c r="Q3117" s="1"/>
      <c r="R3117" s="1"/>
      <c r="S3117" s="1"/>
      <c r="T3117" s="1"/>
      <c r="U3117" s="1"/>
      <c r="V3117" s="1"/>
      <c r="W3117" s="1"/>
      <c r="X3117" s="1"/>
      <c r="Y3117" s="1"/>
      <c r="Z3117" s="1"/>
      <c r="AA3117" s="1"/>
      <c r="AB3117" s="1"/>
      <c r="AC3117" s="1"/>
      <c r="AD3117" s="1"/>
      <c r="AE3117" s="1"/>
      <c r="AF3117" s="1"/>
      <c r="AG3117" s="1"/>
      <c r="AH3117" s="1"/>
      <c r="AI3117" s="1"/>
      <c r="AJ3117" s="1"/>
      <c r="AK3117" s="1"/>
      <c r="AL3117" s="1"/>
      <c r="AM3117" s="1"/>
      <c r="AN3117" s="1"/>
      <c r="AO3117" s="1"/>
      <c r="AP3117" s="1"/>
      <c r="AQ3117" s="1"/>
      <c r="AR3117" s="1"/>
      <c r="AS3117" s="1"/>
      <c r="AT3117" s="1"/>
      <c r="AU3117" s="1"/>
      <c r="AV3117" s="1"/>
      <c r="AW3117" s="1"/>
      <c r="AX3117" s="1"/>
      <c r="AY3117" s="1"/>
      <c r="AZ3117" s="1"/>
      <c r="BA3117" s="1"/>
      <c r="BB3117" s="1"/>
    </row>
    <row r="3118" ht="204.75" customHeight="1">
      <c r="A3118" s="1">
        <v>5974.0</v>
      </c>
      <c r="B3118" s="2" t="s">
        <v>9335</v>
      </c>
      <c r="C3118" s="2">
        <f>IFERROR(__xludf.DUMMYFUNCTION("split(B3118,""_"")"),801.0)</f>
        <v>801</v>
      </c>
      <c r="D3118" s="2" t="str">
        <f>IFERROR(__xludf.DUMMYFUNCTION("""COMPUTED_VALUE"""),"EX")</f>
        <v>EX</v>
      </c>
      <c r="E3118" s="2" t="str">
        <f>IFERROR(__xludf.DUMMYFUNCTION("""COMPUTED_VALUE"""),"金21")</f>
        <v>金21</v>
      </c>
      <c r="F3118" s="2" t="s">
        <v>9336</v>
      </c>
      <c r="G3118" s="2" t="s">
        <v>9345</v>
      </c>
      <c r="H3118" s="1">
        <v>5.0</v>
      </c>
      <c r="J3118" s="1" t="s">
        <v>11</v>
      </c>
      <c r="K3118" s="2" t="s">
        <v>9346</v>
      </c>
      <c r="L3118" s="11" t="s">
        <v>9346</v>
      </c>
      <c r="M3118" s="2" t="str">
        <f>IFERROR(__xludf.DUMMYFUNCTION("split(split(K3118,""…"",false),""公式LINE"",false)"),"臨床心理士の玲子(舟木幸)が殺害され、目撃者のマキ(葵)は周平(竹中直人)が犯人だと証言。周平は殺人容疑で連行されてしまう。一方、佐々本家では、あかり(さとう珠緒)という女性が周平との結婚を妨害されたと言って、腹いせに真理(中越典子)を襲う。家族の危機を救おうと動きだした夕里子(夏帆)は、玲子とあかりが同じビル内に勤めていたことを突き止め、二つの事件の関連性を疑い始める。")</f>
        <v>臨床心理士の玲子(舟木幸)が殺害され、目撃者のマキ(葵)は周平(竹中直人)が犯人だと証言。周平は殺人容疑で連行されてしまう。一方、佐々本家では、あかり(さとう珠緒)という女性が周平との結婚を妨害されたと言って、腹いせに真理(中越典子)を襲う。家族の危機を救おうと動きだした夕里子(夏帆)は、玲子とあかりが同じビル内に勤めていたことを突き止め、二つの事件の関連性を疑い始める。</v>
      </c>
      <c r="N3118" s="2"/>
      <c r="O3118" s="2"/>
      <c r="P3118" s="1"/>
      <c r="Q3118" s="1"/>
      <c r="R3118" s="1"/>
      <c r="S3118" s="1"/>
      <c r="T3118" s="1"/>
      <c r="U3118" s="1"/>
      <c r="V3118" s="1"/>
      <c r="W3118" s="1"/>
      <c r="X3118" s="1"/>
      <c r="Y3118" s="1"/>
      <c r="Z3118" s="1"/>
      <c r="AA3118" s="1"/>
      <c r="AB3118" s="1"/>
      <c r="AC3118" s="1"/>
      <c r="AD3118" s="1"/>
      <c r="AE3118" s="1"/>
      <c r="AF3118" s="1"/>
      <c r="AG3118" s="1"/>
      <c r="AH3118" s="1"/>
      <c r="AI3118" s="1"/>
      <c r="AJ3118" s="1"/>
      <c r="AK3118" s="1"/>
      <c r="AL3118" s="1"/>
      <c r="AM3118" s="1"/>
      <c r="AN3118" s="1"/>
      <c r="AO3118" s="1"/>
      <c r="AP3118" s="1"/>
      <c r="AQ3118" s="1"/>
      <c r="AR3118" s="1"/>
      <c r="AS3118" s="1"/>
      <c r="AT3118" s="1"/>
      <c r="AU3118" s="1"/>
      <c r="AV3118" s="1"/>
      <c r="AW3118" s="1"/>
      <c r="AX3118" s="1"/>
      <c r="AY3118" s="1"/>
      <c r="AZ3118" s="1"/>
      <c r="BA3118" s="1"/>
      <c r="BB3118" s="1"/>
    </row>
    <row r="3119" ht="204.75" customHeight="1">
      <c r="A3119" s="1">
        <v>5975.0</v>
      </c>
      <c r="B3119" s="2" t="s">
        <v>9335</v>
      </c>
      <c r="C3119" s="2">
        <f>IFERROR(__xludf.DUMMYFUNCTION("split(B3119,""_"")"),801.0)</f>
        <v>801</v>
      </c>
      <c r="D3119" s="2" t="str">
        <f>IFERROR(__xludf.DUMMYFUNCTION("""COMPUTED_VALUE"""),"EX")</f>
        <v>EX</v>
      </c>
      <c r="E3119" s="2" t="str">
        <f>IFERROR(__xludf.DUMMYFUNCTION("""COMPUTED_VALUE"""),"金21")</f>
        <v>金21</v>
      </c>
      <c r="F3119" s="2" t="s">
        <v>9336</v>
      </c>
      <c r="G3119" s="2" t="s">
        <v>9347</v>
      </c>
      <c r="H3119" s="1">
        <v>6.0</v>
      </c>
      <c r="J3119" s="1" t="s">
        <v>11</v>
      </c>
      <c r="K3119" s="2" t="s">
        <v>9348</v>
      </c>
      <c r="L3119" s="10"/>
      <c r="M3119" s="2" t="str">
        <f>IFERROR(__xludf.DUMMYFUNCTION("split(split(K3119,""…"",false),""公式LINE"",false)"),"夏帆　吉沢悠　中越典子　加藤夏希　市川由衣  　近藤芳正　竹中直人　生瀬勝久　室井滋  　宮路真緒　斉藤慶太　国広富之  　石野真子　金山一彦　長江健次　見栄晴ほか「三姉妹探偵団」シリーズ  　赤川次郎　(講談社刊)    【脚本】  　立見千香「Namidairo」/YUI(ソニー・ミュージックレコーズ)　辻陽【プロデューサー】  　横地郁英(テレビ朝日)  　奈良井正巳(朝日放送)  　太田雅晴(5年D組)")</f>
        <v>夏帆　吉沢悠　中越典子　加藤夏希　市川由衣  　近藤芳正　竹中直人　生瀬勝久　室井滋  　宮路真緒　斉藤慶太　国広富之  　石野真子　金山一彦　長江健次　見栄晴ほか「三姉妹探偵団」シリーズ  　赤川次郎　(講談社刊)    【脚本】  　立見千香「Namidairo」/YUI(ソニー・ミュージックレコーズ)　辻陽【プロデューサー】  　横地郁英(テレビ朝日)  　奈良井正巳(朝日放送)  　太田雅晴(5年D組)</v>
      </c>
      <c r="N3119" s="2"/>
      <c r="O3119" s="2"/>
      <c r="P3119" s="1"/>
      <c r="Q3119" s="1"/>
      <c r="R3119" s="1"/>
      <c r="S3119" s="1"/>
      <c r="T3119" s="1"/>
      <c r="U3119" s="1"/>
      <c r="V3119" s="1"/>
      <c r="W3119" s="1"/>
      <c r="X3119" s="1"/>
      <c r="Y3119" s="1"/>
      <c r="Z3119" s="1"/>
      <c r="AA3119" s="1"/>
      <c r="AB3119" s="1"/>
      <c r="AC3119" s="1"/>
      <c r="AD3119" s="1"/>
      <c r="AE3119" s="1"/>
      <c r="AF3119" s="1"/>
      <c r="AG3119" s="1"/>
      <c r="AH3119" s="1"/>
      <c r="AI3119" s="1"/>
      <c r="AJ3119" s="1"/>
      <c r="AK3119" s="1"/>
      <c r="AL3119" s="1"/>
      <c r="AM3119" s="1"/>
      <c r="AN3119" s="1"/>
      <c r="AO3119" s="1"/>
      <c r="AP3119" s="1"/>
      <c r="AQ3119" s="1"/>
      <c r="AR3119" s="1"/>
      <c r="AS3119" s="1"/>
      <c r="AT3119" s="1"/>
      <c r="AU3119" s="1"/>
      <c r="AV3119" s="1"/>
      <c r="AW3119" s="1"/>
      <c r="AX3119" s="1"/>
      <c r="AY3119" s="1"/>
      <c r="AZ3119" s="1"/>
      <c r="BA3119" s="1"/>
      <c r="BB3119" s="1"/>
    </row>
    <row r="3120" ht="204.75" customHeight="1">
      <c r="A3120" s="1">
        <v>5976.0</v>
      </c>
      <c r="B3120" s="2" t="s">
        <v>9335</v>
      </c>
      <c r="C3120" s="2">
        <f>IFERROR(__xludf.DUMMYFUNCTION("split(B3120,""_"")"),801.0)</f>
        <v>801</v>
      </c>
      <c r="D3120" s="2" t="str">
        <f>IFERROR(__xludf.DUMMYFUNCTION("""COMPUTED_VALUE"""),"EX")</f>
        <v>EX</v>
      </c>
      <c r="E3120" s="2" t="str">
        <f>IFERROR(__xludf.DUMMYFUNCTION("""COMPUTED_VALUE"""),"金21")</f>
        <v>金21</v>
      </c>
      <c r="F3120" s="2" t="s">
        <v>9336</v>
      </c>
      <c r="G3120" s="2" t="s">
        <v>9347</v>
      </c>
      <c r="H3120" s="1">
        <v>7.0</v>
      </c>
      <c r="J3120" s="1" t="s">
        <v>11</v>
      </c>
      <c r="K3120" s="2" t="s">
        <v>9349</v>
      </c>
      <c r="L3120" s="10"/>
      <c r="M3120" s="2" t="str">
        <f>IFERROR(__xludf.DUMMYFUNCTION("split(split(K3120,""…"",false),""公式LINE"",false)"),"夏帆　吉沢悠　中越典子　加藤夏希　市川由衣  　近藤芳正　竹中直人　生瀬勝久　室井滋  　金子賢　雛形あきこ　布施博  　寺泉憲　水沢アキ　大場久美子　大島蓉子  　ダンディ坂野　他　「三姉妹探偵団」シリーズ  　　赤川次郎　(講談社刊)    【脚本】  　高山直也    【監督】  　池添　博　「Namidairo」/YUI(ソニー・ミュージックレコーズ)　辻陽【プロデューサー】  　横地郁英(テレビ朝日)  　奈良井正巳(朝日放送)  　太田雅晴(5年D組)")</f>
        <v>夏帆　吉沢悠　中越典子　加藤夏希　市川由衣  　近藤芳正　竹中直人　生瀬勝久　室井滋  　金子賢　雛形あきこ　布施博  　寺泉憲　水沢アキ　大場久美子　大島蓉子  　ダンディ坂野　他　「三姉妹探偵団」シリーズ  　　赤川次郎　(講談社刊)    【脚本】  　高山直也    【監督】  　池添　博　「Namidairo」/YUI(ソニー・ミュージックレコーズ)　辻陽【プロデューサー】  　横地郁英(テレビ朝日)  　奈良井正巳(朝日放送)  　太田雅晴(5年D組)</v>
      </c>
      <c r="N3120" s="2"/>
      <c r="O3120" s="2"/>
      <c r="P3120" s="1"/>
      <c r="Q3120" s="1"/>
      <c r="R3120" s="1"/>
      <c r="S3120" s="1"/>
      <c r="T3120" s="1"/>
      <c r="U3120" s="1"/>
      <c r="V3120" s="1"/>
      <c r="W3120" s="1"/>
      <c r="X3120" s="1"/>
      <c r="Y3120" s="1"/>
      <c r="Z3120" s="1"/>
      <c r="AA3120" s="1"/>
      <c r="AB3120" s="1"/>
      <c r="AC3120" s="1"/>
      <c r="AD3120" s="1"/>
      <c r="AE3120" s="1"/>
      <c r="AF3120" s="1"/>
      <c r="AG3120" s="1"/>
      <c r="AH3120" s="1"/>
      <c r="AI3120" s="1"/>
      <c r="AJ3120" s="1"/>
      <c r="AK3120" s="1"/>
      <c r="AL3120" s="1"/>
      <c r="AM3120" s="1"/>
      <c r="AN3120" s="1"/>
      <c r="AO3120" s="1"/>
      <c r="AP3120" s="1"/>
      <c r="AQ3120" s="1"/>
      <c r="AR3120" s="1"/>
      <c r="AS3120" s="1"/>
      <c r="AT3120" s="1"/>
      <c r="AU3120" s="1"/>
      <c r="AV3120" s="1"/>
      <c r="AW3120" s="1"/>
      <c r="AX3120" s="1"/>
      <c r="AY3120" s="1"/>
      <c r="AZ3120" s="1"/>
      <c r="BA3120" s="1"/>
      <c r="BB3120" s="1"/>
    </row>
    <row r="3121" ht="204.75" customHeight="1">
      <c r="A3121" s="1">
        <v>5977.0</v>
      </c>
      <c r="B3121" s="2" t="s">
        <v>9335</v>
      </c>
      <c r="C3121" s="2">
        <f>IFERROR(__xludf.DUMMYFUNCTION("split(B3121,""_"")"),801.0)</f>
        <v>801</v>
      </c>
      <c r="D3121" s="2" t="str">
        <f>IFERROR(__xludf.DUMMYFUNCTION("""COMPUTED_VALUE"""),"EX")</f>
        <v>EX</v>
      </c>
      <c r="E3121" s="2" t="str">
        <f>IFERROR(__xludf.DUMMYFUNCTION("""COMPUTED_VALUE"""),"金21")</f>
        <v>金21</v>
      </c>
      <c r="F3121" s="2" t="s">
        <v>9336</v>
      </c>
      <c r="G3121" s="2" t="s">
        <v>9347</v>
      </c>
      <c r="H3121" s="1">
        <v>8.0</v>
      </c>
      <c r="J3121" s="1" t="s">
        <v>11</v>
      </c>
      <c r="K3121" s="2" t="s">
        <v>9350</v>
      </c>
      <c r="L3121" s="10"/>
      <c r="M3121" s="2" t="str">
        <f>IFERROR(__xludf.DUMMYFUNCTION("split(split(K3121,""…"",false),""公式LINE"",false)"),"夏帆　吉沢悠　中越典子　加藤夏希　市川由衣  　近藤芳正　竹中直人　生瀬勝久　室井滋　ほか「三姉妹探偵団」シリーズ  　赤川次郎　(講談社刊)    【脚本】  　福田卓郎　新城毅彦　「Namidairo」/YUI(ソニー・ミュージックレコーズ)　辻陽【プロデューサー】  　横地郁英(テレビ朝日)  　奈良井正巳(朝日放送)  　太田雅晴(5年D組)")</f>
        <v>夏帆　吉沢悠　中越典子　加藤夏希　市川由衣  　近藤芳正　竹中直人　生瀬勝久　室井滋　ほか「三姉妹探偵団」シリーズ  　赤川次郎　(講談社刊)    【脚本】  　福田卓郎　新城毅彦　「Namidairo」/YUI(ソニー・ミュージックレコーズ)　辻陽【プロデューサー】  　横地郁英(テレビ朝日)  　奈良井正巳(朝日放送)  　太田雅晴(5年D組)</v>
      </c>
      <c r="N3121" s="2"/>
      <c r="O3121" s="2"/>
      <c r="P3121" s="1"/>
      <c r="Q3121" s="1"/>
      <c r="R3121" s="1"/>
      <c r="S3121" s="1"/>
      <c r="T3121" s="1"/>
      <c r="U3121" s="1"/>
      <c r="V3121" s="1"/>
      <c r="W3121" s="1"/>
      <c r="X3121" s="1"/>
      <c r="Y3121" s="1"/>
      <c r="Z3121" s="1"/>
      <c r="AA3121" s="1"/>
      <c r="AB3121" s="1"/>
      <c r="AC3121" s="1"/>
      <c r="AD3121" s="1"/>
      <c r="AE3121" s="1"/>
      <c r="AF3121" s="1"/>
      <c r="AG3121" s="1"/>
      <c r="AH3121" s="1"/>
      <c r="AI3121" s="1"/>
      <c r="AJ3121" s="1"/>
      <c r="AK3121" s="1"/>
      <c r="AL3121" s="1"/>
      <c r="AM3121" s="1"/>
      <c r="AN3121" s="1"/>
      <c r="AO3121" s="1"/>
      <c r="AP3121" s="1"/>
      <c r="AQ3121" s="1"/>
      <c r="AR3121" s="1"/>
      <c r="AS3121" s="1"/>
      <c r="AT3121" s="1"/>
      <c r="AU3121" s="1"/>
      <c r="AV3121" s="1"/>
      <c r="AW3121" s="1"/>
      <c r="AX3121" s="1"/>
      <c r="AY3121" s="1"/>
      <c r="AZ3121" s="1"/>
      <c r="BA3121" s="1"/>
      <c r="BB3121" s="1"/>
    </row>
    <row r="3122" ht="204.75" customHeight="1">
      <c r="A3122" s="1">
        <v>5988.0</v>
      </c>
      <c r="B3122" s="2" t="s">
        <v>9351</v>
      </c>
      <c r="C3122" s="2">
        <f>IFERROR(__xludf.DUMMYFUNCTION("split(B3122,""_"")"),801.0)</f>
        <v>801</v>
      </c>
      <c r="D3122" s="2" t="str">
        <f>IFERROR(__xludf.DUMMYFUNCTION("""COMPUTED_VALUE"""),"EX")</f>
        <v>EX</v>
      </c>
      <c r="E3122" s="2" t="str">
        <f>IFERROR(__xludf.DUMMYFUNCTION("""COMPUTED_VALUE"""),"金23")</f>
        <v>金23</v>
      </c>
      <c r="F3122" s="2" t="s">
        <v>9352</v>
      </c>
      <c r="G3122" s="2" t="s">
        <v>9353</v>
      </c>
      <c r="H3122" s="1">
        <v>1.0</v>
      </c>
      <c r="J3122" s="1" t="s">
        <v>1435</v>
      </c>
      <c r="K3122" s="4" t="s">
        <v>9354</v>
      </c>
      <c r="L3122" s="11" t="s">
        <v>9355</v>
      </c>
      <c r="M3122" s="2" t="str">
        <f>IFERROR(__xludf.DUMMYFUNCTION("split(split(K3122,""脚本・宮藤官九郎"",false),""公式LINE"",false)"),"二十四歳の誕生日に突然、特殊な能力に目覚めた塾の英語講師・吉田めぐる(深田恭子)が、仕事に恋に奮闘するコメディー。")</f>
        <v>二十四歳の誕生日に突然、特殊な能力に目覚めた塾の英語講師・吉田めぐる(深田恭子)が、仕事に恋に奮闘するコメディー。</v>
      </c>
      <c r="N3122" s="2"/>
      <c r="O3122" s="2"/>
      <c r="P3122" s="1"/>
      <c r="Q3122" s="1"/>
      <c r="R3122" s="1"/>
      <c r="S3122" s="1"/>
      <c r="T3122" s="1"/>
      <c r="U3122" s="1"/>
      <c r="V3122" s="1"/>
      <c r="W3122" s="1"/>
      <c r="X3122" s="1"/>
      <c r="Y3122" s="1"/>
      <c r="Z3122" s="1"/>
      <c r="AA3122" s="1"/>
      <c r="AB3122" s="1"/>
      <c r="AC3122" s="1"/>
      <c r="AD3122" s="1"/>
      <c r="AE3122" s="1"/>
      <c r="AF3122" s="1"/>
      <c r="AG3122" s="1"/>
      <c r="AH3122" s="1"/>
      <c r="AI3122" s="1"/>
      <c r="AJ3122" s="1"/>
      <c r="AK3122" s="1"/>
      <c r="AL3122" s="1"/>
      <c r="AM3122" s="1"/>
      <c r="AN3122" s="1"/>
      <c r="AO3122" s="1"/>
      <c r="AP3122" s="1"/>
      <c r="AQ3122" s="1"/>
      <c r="AR3122" s="1"/>
      <c r="AS3122" s="1"/>
      <c r="AT3122" s="1"/>
      <c r="AU3122" s="1"/>
      <c r="AV3122" s="1"/>
      <c r="AW3122" s="1"/>
      <c r="AX3122" s="1"/>
      <c r="AY3122" s="1"/>
      <c r="AZ3122" s="1"/>
      <c r="BA3122" s="1"/>
      <c r="BB3122" s="1"/>
    </row>
    <row r="3123" ht="204.75" customHeight="1">
      <c r="A3123" s="1">
        <v>5989.0</v>
      </c>
      <c r="B3123" s="2" t="s">
        <v>9351</v>
      </c>
      <c r="C3123" s="2">
        <f>IFERROR(__xludf.DUMMYFUNCTION("split(B3123,""_"")"),801.0)</f>
        <v>801</v>
      </c>
      <c r="D3123" s="2" t="str">
        <f>IFERROR(__xludf.DUMMYFUNCTION("""COMPUTED_VALUE"""),"EX")</f>
        <v>EX</v>
      </c>
      <c r="E3123" s="2" t="str">
        <f>IFERROR(__xludf.DUMMYFUNCTION("""COMPUTED_VALUE"""),"金23")</f>
        <v>金23</v>
      </c>
      <c r="F3123" s="2" t="s">
        <v>9352</v>
      </c>
      <c r="G3123" s="2" t="s">
        <v>9356</v>
      </c>
      <c r="H3123" s="1">
        <v>2.0</v>
      </c>
      <c r="J3123" s="1" t="s">
        <v>1435</v>
      </c>
      <c r="K3123" s="2" t="s">
        <v>9357</v>
      </c>
      <c r="L3123" s="11" t="s">
        <v>9357</v>
      </c>
      <c r="M3123" s="2" t="str">
        <f>IFERROR(__xludf.DUMMYFUNCTION("split(split(K3123,""脚本・宮藤官九郎"",false),""公式LINE"",false)"),"英語講師・めぐる(深田恭子)の授業中に突然、肥満児の生徒・大作(高井理央)が倒れた。原因が栄養失調だと知って驚いためぐるは、病院に駆け付けた大作の父(パパイヤ鈴木)から、最近の彼の食生活を聞く。父によると、大作はここ数日、ほとんど断食状態だったという。めぐるが直接、その理由を聞くと、大作は「好きな子がいる」と明かす。好きな子に太っていることを非難されてダイエットを始めたと知っためぐるは、彼の恋を応援しようと決意する。")</f>
        <v>英語講師・めぐる(深田恭子)の授業中に突然、肥満児の生徒・大作(高井理央)が倒れた。原因が栄養失調だと知って驚いためぐるは、病院に駆け付けた大作の父(パパイヤ鈴木)から、最近の彼の食生活を聞く。父によると、大作はここ数日、ほとんど断食状態だったという。めぐるが直接、その理由を聞くと、大作は「好きな子がいる」と明かす。好きな子に太っていることを非難されてダイエットを始めたと知っためぐるは、彼の恋を応援しようと決意する。</v>
      </c>
      <c r="N3123" s="2"/>
      <c r="O3123" s="2"/>
      <c r="P3123" s="1"/>
      <c r="Q3123" s="1"/>
      <c r="R3123" s="1"/>
      <c r="S3123" s="1"/>
      <c r="T3123" s="1"/>
      <c r="U3123" s="1"/>
      <c r="V3123" s="1"/>
      <c r="W3123" s="1"/>
      <c r="X3123" s="1"/>
      <c r="Y3123" s="1"/>
      <c r="Z3123" s="1"/>
      <c r="AA3123" s="1"/>
      <c r="AB3123" s="1"/>
      <c r="AC3123" s="1"/>
      <c r="AD3123" s="1"/>
      <c r="AE3123" s="1"/>
      <c r="AF3123" s="1"/>
      <c r="AG3123" s="1"/>
      <c r="AH3123" s="1"/>
      <c r="AI3123" s="1"/>
      <c r="AJ3123" s="1"/>
      <c r="AK3123" s="1"/>
      <c r="AL3123" s="1"/>
      <c r="AM3123" s="1"/>
      <c r="AN3123" s="1"/>
      <c r="AO3123" s="1"/>
      <c r="AP3123" s="1"/>
      <c r="AQ3123" s="1"/>
      <c r="AR3123" s="1"/>
      <c r="AS3123" s="1"/>
      <c r="AT3123" s="1"/>
      <c r="AU3123" s="1"/>
      <c r="AV3123" s="1"/>
      <c r="AW3123" s="1"/>
      <c r="AX3123" s="1"/>
      <c r="AY3123" s="1"/>
      <c r="AZ3123" s="1"/>
      <c r="BA3123" s="1"/>
      <c r="BB3123" s="1"/>
    </row>
    <row r="3124" ht="204.75" customHeight="1">
      <c r="A3124" s="1">
        <v>5990.0</v>
      </c>
      <c r="B3124" s="2" t="s">
        <v>9351</v>
      </c>
      <c r="C3124" s="2">
        <f>IFERROR(__xludf.DUMMYFUNCTION("split(B3124,""_"")"),801.0)</f>
        <v>801</v>
      </c>
      <c r="D3124" s="2" t="str">
        <f>IFERROR(__xludf.DUMMYFUNCTION("""COMPUTED_VALUE"""),"EX")</f>
        <v>EX</v>
      </c>
      <c r="E3124" s="2" t="str">
        <f>IFERROR(__xludf.DUMMYFUNCTION("""COMPUTED_VALUE"""),"金23")</f>
        <v>金23</v>
      </c>
      <c r="F3124" s="2" t="s">
        <v>9352</v>
      </c>
      <c r="G3124" s="2" t="s">
        <v>9358</v>
      </c>
      <c r="H3124" s="1">
        <v>3.0</v>
      </c>
      <c r="J3124" s="1" t="s">
        <v>1435</v>
      </c>
      <c r="K3124" s="2" t="s">
        <v>9359</v>
      </c>
      <c r="L3124" s="11" t="s">
        <v>9359</v>
      </c>
      <c r="M3124" s="2" t="str">
        <f>IFERROR(__xludf.DUMMYFUNCTION("split(split(K3124,""脚本・宮藤官九郎"",false),""公式LINE"",false)"),"めぐる(深田恭子)が働く進学塾に突然、東北なまりの、みちる(黒川智花)が現れる。高尾山(正名僕蔵)の教え子だというみちるは、彼に会うために仙台から東京にやって来たらしい。塾でアルバイトをしたいと言う彼女に、めぐるや塾長の門伝(武田真治)らは賛成するが、高尾山だけはかたくなに反対する。講師陣が彼を問い詰めると、みちるは、高尾山が教師を解雇されるきっかけとなった”淫行(いんこう)事件”の相手だったことが判明。その夜、みちると高尾山がめぐるの家を訪れ、一緒に夕食を取ることに。二人の二十年後が気になっためぐるは、"&amp;"思わず満腹になり、彼らの未来を見てしまう。")</f>
        <v>めぐる(深田恭子)が働く進学塾に突然、東北なまりの、みちる(黒川智花)が現れる。高尾山(正名僕蔵)の教え子だというみちるは、彼に会うために仙台から東京にやって来たらしい。塾でアルバイトをしたいと言う彼女に、めぐるや塾長の門伝(武田真治)らは賛成するが、高尾山だけはかたくなに反対する。講師陣が彼を問い詰めると、みちるは、高尾山が教師を解雇されるきっかけとなった”淫行(いんこう)事件”の相手だったことが判明。その夜、みちると高尾山がめぐるの家を訪れ、一緒に夕食を取ることに。二人の二十年後が気になっためぐるは、思わず満腹になり、彼らの未来を見てしまう。</v>
      </c>
      <c r="N3124" s="2"/>
      <c r="O3124" s="2"/>
      <c r="P3124" s="1"/>
      <c r="Q3124" s="1"/>
      <c r="R3124" s="1"/>
      <c r="S3124" s="1"/>
      <c r="T3124" s="1"/>
      <c r="U3124" s="1"/>
      <c r="V3124" s="1"/>
      <c r="W3124" s="1"/>
      <c r="X3124" s="1"/>
      <c r="Y3124" s="1"/>
      <c r="Z3124" s="1"/>
      <c r="AA3124" s="1"/>
      <c r="AB3124" s="1"/>
      <c r="AC3124" s="1"/>
      <c r="AD3124" s="1"/>
      <c r="AE3124" s="1"/>
      <c r="AF3124" s="1"/>
      <c r="AG3124" s="1"/>
      <c r="AH3124" s="1"/>
      <c r="AI3124" s="1"/>
      <c r="AJ3124" s="1"/>
      <c r="AK3124" s="1"/>
      <c r="AL3124" s="1"/>
      <c r="AM3124" s="1"/>
      <c r="AN3124" s="1"/>
      <c r="AO3124" s="1"/>
      <c r="AP3124" s="1"/>
      <c r="AQ3124" s="1"/>
      <c r="AR3124" s="1"/>
      <c r="AS3124" s="1"/>
      <c r="AT3124" s="1"/>
      <c r="AU3124" s="1"/>
      <c r="AV3124" s="1"/>
      <c r="AW3124" s="1"/>
      <c r="AX3124" s="1"/>
      <c r="AY3124" s="1"/>
      <c r="AZ3124" s="1"/>
      <c r="BA3124" s="1"/>
      <c r="BB3124" s="1"/>
    </row>
    <row r="3125" ht="204.75" customHeight="1">
      <c r="A3125" s="1">
        <v>5991.0</v>
      </c>
      <c r="B3125" s="2" t="s">
        <v>9351</v>
      </c>
      <c r="C3125" s="2">
        <f>IFERROR(__xludf.DUMMYFUNCTION("split(B3125,""_"")"),801.0)</f>
        <v>801</v>
      </c>
      <c r="D3125" s="2" t="str">
        <f>IFERROR(__xludf.DUMMYFUNCTION("""COMPUTED_VALUE"""),"EX")</f>
        <v>EX</v>
      </c>
      <c r="E3125" s="2" t="str">
        <f>IFERROR(__xludf.DUMMYFUNCTION("""COMPUTED_VALUE"""),"金23")</f>
        <v>金23</v>
      </c>
      <c r="F3125" s="2" t="s">
        <v>9352</v>
      </c>
      <c r="G3125" s="2" t="s">
        <v>9360</v>
      </c>
      <c r="H3125" s="1">
        <v>4.0</v>
      </c>
      <c r="J3125" s="1" t="s">
        <v>1435</v>
      </c>
      <c r="K3125" s="2" t="s">
        <v>9361</v>
      </c>
      <c r="L3125" s="11" t="s">
        <v>9361</v>
      </c>
      <c r="M3125" s="2" t="str">
        <f>IFERROR(__xludf.DUMMYFUNCTION("split(split(K3125,""脚本・宮藤官九郎"",false),""公式LINE"",false)"),"めぐる(深田恭子)は、自分の特殊な能力を恋人・海老沢(勝地涼)に打ち明けるが、信じてもらえない。そんな中、はまる(船越英一郎)に誘われ、誕生日パーティーに参加しためぐるは、幼なじみのアキラ(塚本高史)と再会。アキラは幼少期に比べ、見違えるほど格好よくなっていた。舞い上がっためぐるは、彼と連絡先を交換し、食事に行く約束をする。")</f>
        <v>めぐる(深田恭子)は、自分の特殊な能力を恋人・海老沢(勝地涼)に打ち明けるが、信じてもらえない。そんな中、はまる(船越英一郎)に誘われ、誕生日パーティーに参加しためぐるは、幼なじみのアキラ(塚本高史)と再会。アキラは幼少期に比べ、見違えるほど格好よくなっていた。舞い上がっためぐるは、彼と連絡先を交換し、食事に行く約束をする。</v>
      </c>
      <c r="N3125" s="2"/>
      <c r="O3125" s="2"/>
      <c r="P3125" s="1"/>
      <c r="Q3125" s="1"/>
      <c r="R3125" s="1"/>
      <c r="S3125" s="1"/>
      <c r="T3125" s="1"/>
      <c r="U3125" s="1"/>
      <c r="V3125" s="1"/>
      <c r="W3125" s="1"/>
      <c r="X3125" s="1"/>
      <c r="Y3125" s="1"/>
      <c r="Z3125" s="1"/>
      <c r="AA3125" s="1"/>
      <c r="AB3125" s="1"/>
      <c r="AC3125" s="1"/>
      <c r="AD3125" s="1"/>
      <c r="AE3125" s="1"/>
      <c r="AF3125" s="1"/>
      <c r="AG3125" s="1"/>
      <c r="AH3125" s="1"/>
      <c r="AI3125" s="1"/>
      <c r="AJ3125" s="1"/>
      <c r="AK3125" s="1"/>
      <c r="AL3125" s="1"/>
      <c r="AM3125" s="1"/>
      <c r="AN3125" s="1"/>
      <c r="AO3125" s="1"/>
      <c r="AP3125" s="1"/>
      <c r="AQ3125" s="1"/>
      <c r="AR3125" s="1"/>
      <c r="AS3125" s="1"/>
      <c r="AT3125" s="1"/>
      <c r="AU3125" s="1"/>
      <c r="AV3125" s="1"/>
      <c r="AW3125" s="1"/>
      <c r="AX3125" s="1"/>
      <c r="AY3125" s="1"/>
      <c r="AZ3125" s="1"/>
      <c r="BA3125" s="1"/>
      <c r="BB3125" s="1"/>
    </row>
    <row r="3126" ht="204.75" customHeight="1">
      <c r="A3126" s="1">
        <v>5992.0</v>
      </c>
      <c r="B3126" s="2" t="s">
        <v>9351</v>
      </c>
      <c r="C3126" s="2">
        <f>IFERROR(__xludf.DUMMYFUNCTION("split(B3126,""_"")"),801.0)</f>
        <v>801</v>
      </c>
      <c r="D3126" s="2" t="str">
        <f>IFERROR(__xludf.DUMMYFUNCTION("""COMPUTED_VALUE"""),"EX")</f>
        <v>EX</v>
      </c>
      <c r="E3126" s="2" t="str">
        <f>IFERROR(__xludf.DUMMYFUNCTION("""COMPUTED_VALUE"""),"金23")</f>
        <v>金23</v>
      </c>
      <c r="F3126" s="2" t="s">
        <v>9352</v>
      </c>
      <c r="G3126" s="2" t="s">
        <v>9362</v>
      </c>
      <c r="H3126" s="1">
        <v>5.0</v>
      </c>
      <c r="J3126" s="1" t="s">
        <v>1435</v>
      </c>
      <c r="K3126" s="2" t="s">
        <v>9363</v>
      </c>
      <c r="L3126" s="11" t="s">
        <v>9363</v>
      </c>
      <c r="M3126" s="2" t="str">
        <f>IFERROR(__xludf.DUMMYFUNCTION("split(split(K3126,""脚本・宮藤官九郎"",false),""公式LINE"",false)"),"めぐる(深田恭子)が勤める塾に、教育熱心な母親・ゆり子(高橋由美子)の息子・タモツ(石田愛希)が通うことになる。ゆり子はめぐるに熱く語り掛け、授業のやり方から服装、化粧のことまで注文を付け始める。あまりの気迫に押されためぐるは、翌日からプレッシャーのあまり、ノイローゼ気味になってしまう。そんな中、業界最大手の塾が近所に開講。生徒を取られ始め、めぐるが勤める塾に存続の危機が迫っていた。")</f>
        <v>めぐる(深田恭子)が勤める塾に、教育熱心な母親・ゆり子(高橋由美子)の息子・タモツ(石田愛希)が通うことになる。ゆり子はめぐるに熱く語り掛け、授業のやり方から服装、化粧のことまで注文を付け始める。あまりの気迫に押されためぐるは、翌日からプレッシャーのあまり、ノイローゼ気味になってしまう。そんな中、業界最大手の塾が近所に開講。生徒を取られ始め、めぐるが勤める塾に存続の危機が迫っていた。</v>
      </c>
      <c r="N3126" s="2"/>
      <c r="O3126" s="2"/>
      <c r="P3126" s="1"/>
      <c r="Q3126" s="1"/>
      <c r="R3126" s="1"/>
      <c r="S3126" s="1"/>
      <c r="T3126" s="1"/>
      <c r="U3126" s="1"/>
      <c r="V3126" s="1"/>
      <c r="W3126" s="1"/>
      <c r="X3126" s="1"/>
      <c r="Y3126" s="1"/>
      <c r="Z3126" s="1"/>
      <c r="AA3126" s="1"/>
      <c r="AB3126" s="1"/>
      <c r="AC3126" s="1"/>
      <c r="AD3126" s="1"/>
      <c r="AE3126" s="1"/>
      <c r="AF3126" s="1"/>
      <c r="AG3126" s="1"/>
      <c r="AH3126" s="1"/>
      <c r="AI3126" s="1"/>
      <c r="AJ3126" s="1"/>
      <c r="AK3126" s="1"/>
      <c r="AL3126" s="1"/>
      <c r="AM3126" s="1"/>
      <c r="AN3126" s="1"/>
      <c r="AO3126" s="1"/>
      <c r="AP3126" s="1"/>
      <c r="AQ3126" s="1"/>
      <c r="AR3126" s="1"/>
      <c r="AS3126" s="1"/>
      <c r="AT3126" s="1"/>
      <c r="AU3126" s="1"/>
      <c r="AV3126" s="1"/>
      <c r="AW3126" s="1"/>
      <c r="AX3126" s="1"/>
      <c r="AY3126" s="1"/>
      <c r="AZ3126" s="1"/>
      <c r="BA3126" s="1"/>
      <c r="BB3126" s="1"/>
    </row>
    <row r="3127" ht="204.75" customHeight="1">
      <c r="A3127" s="1">
        <v>5993.0</v>
      </c>
      <c r="B3127" s="2" t="s">
        <v>9351</v>
      </c>
      <c r="C3127" s="2">
        <f>IFERROR(__xludf.DUMMYFUNCTION("split(B3127,""_"")"),801.0)</f>
        <v>801</v>
      </c>
      <c r="D3127" s="2" t="str">
        <f>IFERROR(__xludf.DUMMYFUNCTION("""COMPUTED_VALUE"""),"EX")</f>
        <v>EX</v>
      </c>
      <c r="E3127" s="2" t="str">
        <f>IFERROR(__xludf.DUMMYFUNCTION("""COMPUTED_VALUE"""),"金23")</f>
        <v>金23</v>
      </c>
      <c r="F3127" s="2" t="s">
        <v>9352</v>
      </c>
      <c r="G3127" s="2" t="s">
        <v>9364</v>
      </c>
      <c r="H3127" s="1">
        <v>6.0</v>
      </c>
      <c r="J3127" s="1" t="s">
        <v>1435</v>
      </c>
      <c r="K3127" s="2" t="s">
        <v>9365</v>
      </c>
      <c r="L3127" s="11" t="s">
        <v>9365</v>
      </c>
      <c r="M3127" s="2" t="str">
        <f>IFERROR(__xludf.DUMMYFUNCTION("split(split(K3127,""脚本・宮藤官九郎"",false),""公式LINE"",false)"),"めぐる(深田恭子)が十二歳の時以来、行方不明だった母・愛子(榊原郁恵)の居場所が分かり、中吉(地井武男)が家に連れ戻す。めぐるは、母との思いがけない再会に感激する。一方、受験もピークを迎え、めぐるが勤める塾は多忙を極めていた。合格率を上げようと講師陣が奮闘する中、めぐるは千鶴(森岡朋奈)の様子がおかしいことに気付く。以前、彼女の二十年後を見ためぐるは、その未来を変えようと奔走し始める。")</f>
        <v>めぐる(深田恭子)が十二歳の時以来、行方不明だった母・愛子(榊原郁恵)の居場所が分かり、中吉(地井武男)が家に連れ戻す。めぐるは、母との思いがけない再会に感激する。一方、受験もピークを迎え、めぐるが勤める塾は多忙を極めていた。合格率を上げようと講師陣が奮闘する中、めぐるは千鶴(森岡朋奈)の様子がおかしいことに気付く。以前、彼女の二十年後を見ためぐるは、その未来を変えようと奔走し始める。</v>
      </c>
      <c r="N3127" s="2"/>
      <c r="O3127" s="2"/>
      <c r="P3127" s="1"/>
      <c r="Q3127" s="1"/>
      <c r="R3127" s="1"/>
      <c r="S3127" s="1"/>
      <c r="T3127" s="1"/>
      <c r="U3127" s="1"/>
      <c r="V3127" s="1"/>
      <c r="W3127" s="1"/>
      <c r="X3127" s="1"/>
      <c r="Y3127" s="1"/>
      <c r="Z3127" s="1"/>
      <c r="AA3127" s="1"/>
      <c r="AB3127" s="1"/>
      <c r="AC3127" s="1"/>
      <c r="AD3127" s="1"/>
      <c r="AE3127" s="1"/>
      <c r="AF3127" s="1"/>
      <c r="AG3127" s="1"/>
      <c r="AH3127" s="1"/>
      <c r="AI3127" s="1"/>
      <c r="AJ3127" s="1"/>
      <c r="AK3127" s="1"/>
      <c r="AL3127" s="1"/>
      <c r="AM3127" s="1"/>
      <c r="AN3127" s="1"/>
      <c r="AO3127" s="1"/>
      <c r="AP3127" s="1"/>
      <c r="AQ3127" s="1"/>
      <c r="AR3127" s="1"/>
      <c r="AS3127" s="1"/>
      <c r="AT3127" s="1"/>
      <c r="AU3127" s="1"/>
      <c r="AV3127" s="1"/>
      <c r="AW3127" s="1"/>
      <c r="AX3127" s="1"/>
      <c r="AY3127" s="1"/>
      <c r="AZ3127" s="1"/>
      <c r="BA3127" s="1"/>
      <c r="BB3127" s="1"/>
    </row>
    <row r="3128" ht="204.75" customHeight="1">
      <c r="A3128" s="1">
        <v>5994.0</v>
      </c>
      <c r="B3128" s="2" t="s">
        <v>9351</v>
      </c>
      <c r="C3128" s="2">
        <f>IFERROR(__xludf.DUMMYFUNCTION("split(B3128,""_"")"),801.0)</f>
        <v>801</v>
      </c>
      <c r="D3128" s="2" t="str">
        <f>IFERROR(__xludf.DUMMYFUNCTION("""COMPUTED_VALUE"""),"EX")</f>
        <v>EX</v>
      </c>
      <c r="E3128" s="2" t="str">
        <f>IFERROR(__xludf.DUMMYFUNCTION("""COMPUTED_VALUE"""),"金23")</f>
        <v>金23</v>
      </c>
      <c r="F3128" s="2" t="s">
        <v>9352</v>
      </c>
      <c r="G3128" s="2" t="s">
        <v>9366</v>
      </c>
      <c r="H3128" s="1">
        <v>7.0</v>
      </c>
      <c r="J3128" s="1" t="s">
        <v>1435</v>
      </c>
      <c r="K3128" s="2" t="s">
        <v>9367</v>
      </c>
      <c r="L3128" s="11" t="s">
        <v>9367</v>
      </c>
      <c r="M3128" s="2" t="str">
        <f>IFERROR(__xludf.DUMMYFUNCTION("split(split(K3128,""脚本・宮藤官九郎"",false),""公式LINE"",false)"),"未来講師めぐる◇自分の20年後だけは見えていなかっためぐる（深田恭子）だが、ついに自分の20年後が見えてしまう。手錠をかけられ、犯罪者のような姿の自分の未来にめぐるは混乱し、母の愛子（榊原郁恵）に助けを求める。愛子は、自分にも同じ能力があることを打ち明け、その能力を悪用されないようにしなさいと忠告する。愛子の言葉を受け、めぐるは自分の周囲で怪しい人間がいないかどうかを警戒する。そんな中、講師の江口（星野源）の様子がおかしいことに気付く。江口は、生徒の母親の絵里子（野波麻帆）に恋心を抱いているらしい。そんな"&amp;"中、江口は絵里子が、自分が好きだった元人気ＡＶ女優の”沢樹あんな”だと知る。")</f>
        <v>未来講師めぐる◇自分の20年後だけは見えていなかっためぐる（深田恭子）だが、ついに自分の20年後が見えてしまう。手錠をかけられ、犯罪者のような姿の自分の未来にめぐるは混乱し、母の愛子（榊原郁恵）に助けを求める。愛子は、自分にも同じ能力があることを打ち明け、その能力を悪用されないようにしなさいと忠告する。愛子の言葉を受け、めぐるは自分の周囲で怪しい人間がいないかどうかを警戒する。そんな中、講師の江口（星野源）の様子がおかしいことに気付く。江口は、生徒の母親の絵里子（野波麻帆）に恋心を抱いているらしい。そんな中、江口は絵里子が、自分が好きだった元人気ＡＶ女優の”沢樹あんな”だと知る。</v>
      </c>
      <c r="N3128" s="2"/>
      <c r="O3128" s="2"/>
      <c r="P3128" s="1"/>
      <c r="Q3128" s="1"/>
      <c r="R3128" s="1"/>
      <c r="S3128" s="1"/>
      <c r="T3128" s="1"/>
      <c r="U3128" s="1"/>
      <c r="V3128" s="1"/>
      <c r="W3128" s="1"/>
      <c r="X3128" s="1"/>
      <c r="Y3128" s="1"/>
      <c r="Z3128" s="1"/>
      <c r="AA3128" s="1"/>
      <c r="AB3128" s="1"/>
      <c r="AC3128" s="1"/>
      <c r="AD3128" s="1"/>
      <c r="AE3128" s="1"/>
      <c r="AF3128" s="1"/>
      <c r="AG3128" s="1"/>
      <c r="AH3128" s="1"/>
      <c r="AI3128" s="1"/>
      <c r="AJ3128" s="1"/>
      <c r="AK3128" s="1"/>
      <c r="AL3128" s="1"/>
      <c r="AM3128" s="1"/>
      <c r="AN3128" s="1"/>
      <c r="AO3128" s="1"/>
      <c r="AP3128" s="1"/>
      <c r="AQ3128" s="1"/>
      <c r="AR3128" s="1"/>
      <c r="AS3128" s="1"/>
      <c r="AT3128" s="1"/>
      <c r="AU3128" s="1"/>
      <c r="AV3128" s="1"/>
      <c r="AW3128" s="1"/>
      <c r="AX3128" s="1"/>
      <c r="AY3128" s="1"/>
      <c r="AZ3128" s="1"/>
      <c r="BA3128" s="1"/>
      <c r="BB3128" s="1"/>
    </row>
    <row r="3129" ht="204.75" customHeight="1">
      <c r="A3129" s="1">
        <v>5995.0</v>
      </c>
      <c r="B3129" s="2" t="s">
        <v>9351</v>
      </c>
      <c r="C3129" s="2">
        <f>IFERROR(__xludf.DUMMYFUNCTION("split(B3129,""_"")"),801.0)</f>
        <v>801</v>
      </c>
      <c r="D3129" s="2" t="str">
        <f>IFERROR(__xludf.DUMMYFUNCTION("""COMPUTED_VALUE"""),"EX")</f>
        <v>EX</v>
      </c>
      <c r="E3129" s="2" t="str">
        <f>IFERROR(__xludf.DUMMYFUNCTION("""COMPUTED_VALUE"""),"金23")</f>
        <v>金23</v>
      </c>
      <c r="F3129" s="2" t="s">
        <v>9352</v>
      </c>
      <c r="G3129" s="2" t="s">
        <v>9366</v>
      </c>
      <c r="H3129" s="1">
        <v>8.0</v>
      </c>
      <c r="I3129" s="1" t="s">
        <v>9368</v>
      </c>
      <c r="J3129" s="1" t="s">
        <v>6113</v>
      </c>
      <c r="K3129" s="2" t="s">
        <v>9369</v>
      </c>
      <c r="L3129" s="10" t="s">
        <v>9370</v>
      </c>
      <c r="M3129" s="2" t="str">
        <f>IFERROR(__xludf.DUMMYFUNCTION("split(split(K3129,""脚本・宮藤官九郎"",false),""公式LINE"",false)"),"塾に小6の少年・シンゴがやってきた。「何故この子の未来だけ見えないの?」一方、家にはめぐるの叔父・永作が。なんとシンゴは永作の息子、つまり、いとこ同士だった。シンゴはめぐるに、自分にも同じ能力があること、それを父に内緒にしていることを打ち明ける。「父さんは先生の力を利用しようとしてるよ…」　深田恭子/勝地涼　黒川智花/武田真治/正名僕蔵　星野源/橋本じゅん　荒川良々/田口浩正/榊原郁恵/船越英一郎(特別出演)/地井武男 (他)　宮藤官九郎　唐木希浩 (他)　野崎良太(JAZZTRONIK)　「サクラ」やな"&amp;"わらばー　チーフプロデューサー:桑田 潔  　プロデューサー:中込卓也　平部隆明    【制作】  　テレビ朝日　The Farm")</f>
        <v>塾に小6の少年・シンゴがやってきた。「何故この子の未来だけ見えないの?」一方、家にはめぐるの叔父・永作が。なんとシンゴは永作の息子、つまり、いとこ同士だった。シンゴはめぐるに、自分にも同じ能力があること、それを父に内緒にしていることを打ち明ける。「父さんは先生の力を利用しようとしてるよ…」　深田恭子/勝地涼　黒川智花/武田真治/正名僕蔵　星野源/橋本じゅん　荒川良々/田口浩正/榊原郁恵/船越英一郎(特別出演)/地井武男 (他)　宮藤官九郎　唐木希浩 (他)　野崎良太(JAZZTRONIK)　「サクラ」やなわらばー　チーフプロデューサー:桑田 潔  　プロデューサー:中込卓也　平部隆明    【制作】  　テレビ朝日　The Farm</v>
      </c>
      <c r="N3129" s="2"/>
      <c r="O3129" s="2"/>
      <c r="P3129" s="1"/>
      <c r="Q3129" s="1"/>
      <c r="R3129" s="1"/>
      <c r="S3129" s="1"/>
      <c r="T3129" s="1"/>
      <c r="U3129" s="1"/>
      <c r="V3129" s="1"/>
      <c r="W3129" s="1"/>
      <c r="X3129" s="1"/>
      <c r="Y3129" s="1"/>
      <c r="Z3129" s="1"/>
      <c r="AA3129" s="1"/>
      <c r="AB3129" s="1"/>
      <c r="AC3129" s="1"/>
      <c r="AD3129" s="1"/>
      <c r="AE3129" s="1"/>
      <c r="AF3129" s="1"/>
      <c r="AG3129" s="1"/>
      <c r="AH3129" s="1"/>
      <c r="AI3129" s="1"/>
      <c r="AJ3129" s="1"/>
      <c r="AK3129" s="1"/>
      <c r="AL3129" s="1"/>
      <c r="AM3129" s="1"/>
      <c r="AN3129" s="1"/>
      <c r="AO3129" s="1"/>
      <c r="AP3129" s="1"/>
      <c r="AQ3129" s="1"/>
      <c r="AR3129" s="1"/>
      <c r="AS3129" s="1"/>
      <c r="AT3129" s="1"/>
      <c r="AU3129" s="1"/>
      <c r="AV3129" s="1"/>
      <c r="AW3129" s="1"/>
      <c r="AX3129" s="1"/>
      <c r="AY3129" s="1"/>
      <c r="AZ3129" s="1"/>
      <c r="BA3129" s="1"/>
      <c r="BB3129" s="1"/>
    </row>
    <row r="3130" ht="204.75" customHeight="1">
      <c r="A3130" s="1">
        <v>5996.0</v>
      </c>
      <c r="B3130" s="2" t="s">
        <v>9351</v>
      </c>
      <c r="C3130" s="2">
        <f>IFERROR(__xludf.DUMMYFUNCTION("split(B3130,""_"")"),801.0)</f>
        <v>801</v>
      </c>
      <c r="D3130" s="2" t="str">
        <f>IFERROR(__xludf.DUMMYFUNCTION("""COMPUTED_VALUE"""),"EX")</f>
        <v>EX</v>
      </c>
      <c r="E3130" s="2" t="str">
        <f>IFERROR(__xludf.DUMMYFUNCTION("""COMPUTED_VALUE"""),"金23")</f>
        <v>金23</v>
      </c>
      <c r="F3130" s="2" t="s">
        <v>9352</v>
      </c>
      <c r="G3130" s="2" t="s">
        <v>9366</v>
      </c>
      <c r="H3130" s="1">
        <v>9.0</v>
      </c>
      <c r="I3130" s="1" t="s">
        <v>9371</v>
      </c>
      <c r="J3130" s="1" t="s">
        <v>6113</v>
      </c>
      <c r="K3130" s="2" t="s">
        <v>9372</v>
      </c>
      <c r="L3130" s="10" t="s">
        <v>9373</v>
      </c>
      <c r="M3130" s="2" t="str">
        <f>IFERROR(__xludf.DUMMYFUNCTION("split(split(K3130,""脚本・宮藤官九郎"",false),""公式LINE"",false)"),"新興宗教の代表である永作は、めぐるの能力に目を付け、自分の後継者にしようと、陰から見張り続けていた。一方、見えなくなっためぐるは、一抹の寂しさを感じていた。それは…20年後のユーキに会えないこと…。そんなある日、めぐるのもとに氷高という刑事がやってくる。なんと氷高はユーキ43にそっくりだった!　深田恭子/勝地涼　黒川智花/武田真治/正名僕蔵　星野源/橋本じゅん　荒川良々/田口浩正/榊原郁恵/船越英一郎(特別出演)/地井武男 (他)　宮藤官九郎　高橋伸之 (他)　野崎良太(JAZZTRONIK)　「サクラ」"&amp;"やなわらばー　チーフプロデューサー:桑田 潔  　プロデューサー:中込卓也　平部隆明    【制作】  　テレビ朝日　The Farm")</f>
        <v>新興宗教の代表である永作は、めぐるの能力に目を付け、自分の後継者にしようと、陰から見張り続けていた。一方、見えなくなっためぐるは、一抹の寂しさを感じていた。それは…20年後のユーキに会えないこと…。そんなある日、めぐるのもとに氷高という刑事がやってくる。なんと氷高はユーキ43にそっくりだった!　深田恭子/勝地涼　黒川智花/武田真治/正名僕蔵　星野源/橋本じゅん　荒川良々/田口浩正/榊原郁恵/船越英一郎(特別出演)/地井武男 (他)　宮藤官九郎　高橋伸之 (他)　野崎良太(JAZZTRONIK)　「サクラ」やなわらばー　チーフプロデューサー:桑田 潔  　プロデューサー:中込卓也　平部隆明    【制作】  　テレビ朝日　The Farm</v>
      </c>
      <c r="N3130" s="2"/>
      <c r="O3130" s="2"/>
      <c r="P3130" s="1"/>
      <c r="Q3130" s="1"/>
      <c r="R3130" s="1"/>
      <c r="S3130" s="1"/>
      <c r="T3130" s="1"/>
      <c r="U3130" s="1"/>
      <c r="V3130" s="1"/>
      <c r="W3130" s="1"/>
      <c r="X3130" s="1"/>
      <c r="Y3130" s="1"/>
      <c r="Z3130" s="1"/>
      <c r="AA3130" s="1"/>
      <c r="AB3130" s="1"/>
      <c r="AC3130" s="1"/>
      <c r="AD3130" s="1"/>
      <c r="AE3130" s="1"/>
      <c r="AF3130" s="1"/>
      <c r="AG3130" s="1"/>
      <c r="AH3130" s="1"/>
      <c r="AI3130" s="1"/>
      <c r="AJ3130" s="1"/>
      <c r="AK3130" s="1"/>
      <c r="AL3130" s="1"/>
      <c r="AM3130" s="1"/>
      <c r="AN3130" s="1"/>
      <c r="AO3130" s="1"/>
      <c r="AP3130" s="1"/>
      <c r="AQ3130" s="1"/>
      <c r="AR3130" s="1"/>
      <c r="AS3130" s="1"/>
      <c r="AT3130" s="1"/>
      <c r="AU3130" s="1"/>
      <c r="AV3130" s="1"/>
      <c r="AW3130" s="1"/>
      <c r="AX3130" s="1"/>
      <c r="AY3130" s="1"/>
      <c r="AZ3130" s="1"/>
      <c r="BA3130" s="1"/>
      <c r="BB3130" s="1"/>
    </row>
    <row r="3131" ht="204.75" customHeight="1">
      <c r="A3131" s="1">
        <v>5997.0</v>
      </c>
      <c r="B3131" s="2" t="s">
        <v>9351</v>
      </c>
      <c r="C3131" s="2">
        <f>IFERROR(__xludf.DUMMYFUNCTION("split(B3131,""_"")"),801.0)</f>
        <v>801</v>
      </c>
      <c r="D3131" s="2" t="str">
        <f>IFERROR(__xludf.DUMMYFUNCTION("""COMPUTED_VALUE"""),"EX")</f>
        <v>EX</v>
      </c>
      <c r="E3131" s="2" t="str">
        <f>IFERROR(__xludf.DUMMYFUNCTION("""COMPUTED_VALUE"""),"金23")</f>
        <v>金23</v>
      </c>
      <c r="F3131" s="2" t="s">
        <v>9352</v>
      </c>
      <c r="G3131" s="2" t="s">
        <v>9366</v>
      </c>
      <c r="H3131" s="1">
        <v>10.0</v>
      </c>
      <c r="I3131" s="1" t="s">
        <v>9374</v>
      </c>
      <c r="J3131" s="1" t="s">
        <v>6113</v>
      </c>
      <c r="K3131" s="2" t="s">
        <v>9375</v>
      </c>
      <c r="L3131" s="10" t="s">
        <v>9376</v>
      </c>
      <c r="M3131" s="2" t="str">
        <f>IFERROR(__xludf.DUMMYFUNCTION("split(split(K3131,""脚本・宮藤官九郎"",false),""公式LINE"",false)"),"再び未来が見えるようになって喜ぶめぐるだったが、みちるが「おじいちゃんとシンゴが吉田永作に連れて行かれた!」と知らせに来る。更に、めぐるの前に氷高が立ちはだかり、ついに腕に手錠がかけられてしまう…果たしてめぐるは、ユーキ、塾講師の仲間の協力を得て、バラバラになった吉田家を元に戻すことができるのか?　深田恭子/勝地涼　黒川智花/武田真治/正名僕蔵　星野源/橋本じゅん　荒川良々/田口浩正/榊原郁恵/船越英一郎(特別出演)/地井武男 (他)　宮藤官九郎　唐木希浩 (他)　野崎良太(JAZZTRONIK)　「サク"&amp;"ラ」やなわらばー　チーフプロデューサー:桑田 潔  　プロデューサー:中込卓也　平部隆明    【制作】  　テレビ朝日　The Farm")</f>
        <v>再び未来が見えるようになって喜ぶめぐるだったが、みちるが「おじいちゃんとシンゴが吉田永作に連れて行かれた!」と知らせに来る。更に、めぐるの前に氷高が立ちはだかり、ついに腕に手錠がかけられてしまう…果たしてめぐるは、ユーキ、塾講師の仲間の協力を得て、バラバラになった吉田家を元に戻すことができるのか?　深田恭子/勝地涼　黒川智花/武田真治/正名僕蔵　星野源/橋本じゅん　荒川良々/田口浩正/榊原郁恵/船越英一郎(特別出演)/地井武男 (他)　宮藤官九郎　唐木希浩 (他)　野崎良太(JAZZTRONIK)　「サクラ」やなわらばー　チーフプロデューサー:桑田 潔  　プロデューサー:中込卓也　平部隆明    【制作】  　テレビ朝日　The Farm</v>
      </c>
      <c r="N3131" s="2"/>
      <c r="O3131" s="2"/>
      <c r="P3131" s="1"/>
      <c r="Q3131" s="1"/>
      <c r="R3131" s="1"/>
      <c r="S3131" s="1"/>
      <c r="T3131" s="1"/>
      <c r="U3131" s="1"/>
      <c r="V3131" s="1"/>
      <c r="W3131" s="1"/>
      <c r="X3131" s="1"/>
      <c r="Y3131" s="1"/>
      <c r="Z3131" s="1"/>
      <c r="AA3131" s="1"/>
      <c r="AB3131" s="1"/>
      <c r="AC3131" s="1"/>
      <c r="AD3131" s="1"/>
      <c r="AE3131" s="1"/>
      <c r="AF3131" s="1"/>
      <c r="AG3131" s="1"/>
      <c r="AH3131" s="1"/>
      <c r="AI3131" s="1"/>
      <c r="AJ3131" s="1"/>
      <c r="AK3131" s="1"/>
      <c r="AL3131" s="1"/>
      <c r="AM3131" s="1"/>
      <c r="AN3131" s="1"/>
      <c r="AO3131" s="1"/>
      <c r="AP3131" s="1"/>
      <c r="AQ3131" s="1"/>
      <c r="AR3131" s="1"/>
      <c r="AS3131" s="1"/>
      <c r="AT3131" s="1"/>
      <c r="AU3131" s="1"/>
      <c r="AV3131" s="1"/>
      <c r="AW3131" s="1"/>
      <c r="AX3131" s="1"/>
      <c r="AY3131" s="1"/>
      <c r="AZ3131" s="1"/>
      <c r="BA3131" s="1"/>
      <c r="BB3131" s="1"/>
    </row>
    <row r="3132" ht="204.75" customHeight="1">
      <c r="A3132" s="1">
        <v>6071.0</v>
      </c>
      <c r="B3132" s="2" t="s">
        <v>9377</v>
      </c>
      <c r="C3132" s="2">
        <f>IFERROR(__xludf.DUMMYFUNCTION("split(B3132,""_"")"),710.0)</f>
        <v>710</v>
      </c>
      <c r="D3132" s="2" t="str">
        <f>IFERROR(__xludf.DUMMYFUNCTION("""COMPUTED_VALUE"""),"EX")</f>
        <v>EX</v>
      </c>
      <c r="E3132" s="2" t="str">
        <f>IFERROR(__xludf.DUMMYFUNCTION("""COMPUTED_VALUE"""),"木21")</f>
        <v>木21</v>
      </c>
      <c r="F3132" s="2" t="s">
        <v>9378</v>
      </c>
      <c r="G3132" s="2" t="s">
        <v>9379</v>
      </c>
      <c r="H3132" s="1">
        <v>1.0</v>
      </c>
      <c r="J3132" s="1" t="s">
        <v>4</v>
      </c>
      <c r="K3132" s="2" t="s">
        <v>9380</v>
      </c>
      <c r="L3132" s="11" t="s">
        <v>9380</v>
      </c>
      <c r="M3132" s="2" t="str">
        <f>IFERROR(__xludf.DUMMYFUNCTION("split(split(K3132,""…"",false),""公式LINE"",false)"),"神奈川県鎌倉市の老舗米店を舞台に、崩壊していた家族が父親の病気をきっかけに久々に集まり、再生していく姿を描く。脚本・古沢良太、監督・吉田啓一郎。　大手出版社に勤めていた新平(徳重聡)は、リストラに遭い失業中。楽天家の妻・たえ(藤原紀香)は、ふてくされる新平を励ましている。ある日、新平の実家「春日井米店」の従業員・ゴロー(塚地武雅)が鎌倉から訪ねて来る。米店の社長である新平の父・竜平(渡哲也)が入院中のため、退院するまで店を手伝ってほしいという。春日井家は十五年前に竜平の勝手な振る舞いが原因で崩壊し、父とは"&amp;"絶縁状態だったが、号泣するゴローに根負けした新平は、家業を手伝うことになる。")</f>
        <v>神奈川県鎌倉市の老舗米店を舞台に、崩壊していた家族が父親の病気をきっかけに久々に集まり、再生していく姿を描く。脚本・古沢良太、監督・吉田啓一郎。　大手出版社に勤めていた新平(徳重聡)は、リストラに遭い失業中。楽天家の妻・たえ(藤原紀香)は、ふてくされる新平を励ましている。ある日、新平の実家「春日井米店」の従業員・ゴロー(塚地武雅)が鎌倉から訪ねて来る。米店の社長である新平の父・竜平(渡哲也)が入院中のため、退院するまで店を手伝ってほしいという。春日井家は十五年前に竜平の勝手な振る舞いが原因で崩壊し、父とは絶縁状態だったが、号泣するゴローに根負けした新平は、家業を手伝うことになる。</v>
      </c>
      <c r="N3132" s="2"/>
      <c r="O3132" s="2"/>
      <c r="P3132" s="1"/>
      <c r="Q3132" s="1"/>
      <c r="R3132" s="1"/>
      <c r="S3132" s="1"/>
      <c r="T3132" s="1"/>
      <c r="U3132" s="1"/>
      <c r="V3132" s="1"/>
      <c r="W3132" s="1"/>
      <c r="X3132" s="1"/>
      <c r="Y3132" s="1"/>
      <c r="Z3132" s="1"/>
      <c r="AA3132" s="1"/>
      <c r="AB3132" s="1"/>
      <c r="AC3132" s="1"/>
      <c r="AD3132" s="1"/>
      <c r="AE3132" s="1"/>
      <c r="AF3132" s="1"/>
      <c r="AG3132" s="1"/>
      <c r="AH3132" s="1"/>
      <c r="AI3132" s="1"/>
      <c r="AJ3132" s="1"/>
      <c r="AK3132" s="1"/>
      <c r="AL3132" s="1"/>
      <c r="AM3132" s="1"/>
      <c r="AN3132" s="1"/>
      <c r="AO3132" s="1"/>
      <c r="AP3132" s="1"/>
      <c r="AQ3132" s="1"/>
      <c r="AR3132" s="1"/>
      <c r="AS3132" s="1"/>
      <c r="AT3132" s="1"/>
      <c r="AU3132" s="1"/>
      <c r="AV3132" s="1"/>
      <c r="AW3132" s="1"/>
      <c r="AX3132" s="1"/>
      <c r="AY3132" s="1"/>
      <c r="AZ3132" s="1"/>
      <c r="BA3132" s="1"/>
      <c r="BB3132" s="1"/>
    </row>
    <row r="3133" ht="204.75" customHeight="1">
      <c r="A3133" s="1">
        <v>6072.0</v>
      </c>
      <c r="B3133" s="2" t="s">
        <v>9377</v>
      </c>
      <c r="C3133" s="2">
        <f>IFERROR(__xludf.DUMMYFUNCTION("split(B3133,""_"")"),710.0)</f>
        <v>710</v>
      </c>
      <c r="D3133" s="2" t="str">
        <f>IFERROR(__xludf.DUMMYFUNCTION("""COMPUTED_VALUE"""),"EX")</f>
        <v>EX</v>
      </c>
      <c r="E3133" s="2" t="str">
        <f>IFERROR(__xludf.DUMMYFUNCTION("""COMPUTED_VALUE"""),"木21")</f>
        <v>木21</v>
      </c>
      <c r="F3133" s="2" t="s">
        <v>9378</v>
      </c>
      <c r="G3133" s="2" t="s">
        <v>9381</v>
      </c>
      <c r="H3133" s="1">
        <v>2.0</v>
      </c>
      <c r="J3133" s="1" t="s">
        <v>11</v>
      </c>
      <c r="K3133" s="2" t="s">
        <v>9382</v>
      </c>
      <c r="L3133" s="11" t="s">
        <v>9382</v>
      </c>
      <c r="M3133" s="2" t="str">
        <f>IFERROR(__xludf.DUMMYFUNCTION("split(split(K3133,""…"",false),""公式LINE"",false)"),"春日井家に竜平(渡哲也)の”隠し子”雫(星井七瀬)が転がり込んできた。昨年、雫の母・美雪(高島礼子)が他界し、雫は叔母夫婦の元で暮らしていたが折り合いが悪く、それを聞いた竜平が呼び寄せたという。怒る新平(徳重聡)たちを尻目に、竜平は雫がかわいくてたまらない様子。そんな中、雫が大切にしていた縫いぐるみが何者かに切り裂かれ、ごみ捨て場に捨てられる事件が発生する。竜平は新平、円(羽田美智子)、楓(水川あさみ)の誰かが犯人と決め付け、春日井家に亀裂が走る。")</f>
        <v>春日井家に竜平(渡哲也)の”隠し子”雫(星井七瀬)が転がり込んできた。昨年、雫の母・美雪(高島礼子)が他界し、雫は叔母夫婦の元で暮らしていたが折り合いが悪く、それを聞いた竜平が呼び寄せたという。怒る新平(徳重聡)たちを尻目に、竜平は雫がかわいくてたまらない様子。そんな中、雫が大切にしていた縫いぐるみが何者かに切り裂かれ、ごみ捨て場に捨てられる事件が発生する。竜平は新平、円(羽田美智子)、楓(水川あさみ)の誰かが犯人と決め付け、春日井家に亀裂が走る。</v>
      </c>
      <c r="N3133" s="2"/>
      <c r="O3133" s="2"/>
      <c r="P3133" s="1"/>
      <c r="Q3133" s="1"/>
      <c r="R3133" s="1"/>
      <c r="S3133" s="1"/>
      <c r="T3133" s="1"/>
      <c r="U3133" s="1"/>
      <c r="V3133" s="1"/>
      <c r="W3133" s="1"/>
      <c r="X3133" s="1"/>
      <c r="Y3133" s="1"/>
      <c r="Z3133" s="1"/>
      <c r="AA3133" s="1"/>
      <c r="AB3133" s="1"/>
      <c r="AC3133" s="1"/>
      <c r="AD3133" s="1"/>
      <c r="AE3133" s="1"/>
      <c r="AF3133" s="1"/>
      <c r="AG3133" s="1"/>
      <c r="AH3133" s="1"/>
      <c r="AI3133" s="1"/>
      <c r="AJ3133" s="1"/>
      <c r="AK3133" s="1"/>
      <c r="AL3133" s="1"/>
      <c r="AM3133" s="1"/>
      <c r="AN3133" s="1"/>
      <c r="AO3133" s="1"/>
      <c r="AP3133" s="1"/>
      <c r="AQ3133" s="1"/>
      <c r="AR3133" s="1"/>
      <c r="AS3133" s="1"/>
      <c r="AT3133" s="1"/>
      <c r="AU3133" s="1"/>
      <c r="AV3133" s="1"/>
      <c r="AW3133" s="1"/>
      <c r="AX3133" s="1"/>
      <c r="AY3133" s="1"/>
      <c r="AZ3133" s="1"/>
      <c r="BA3133" s="1"/>
      <c r="BB3133" s="1"/>
    </row>
    <row r="3134" ht="204.75" customHeight="1">
      <c r="A3134" s="1">
        <v>6073.0</v>
      </c>
      <c r="B3134" s="2" t="s">
        <v>9377</v>
      </c>
      <c r="C3134" s="2">
        <f>IFERROR(__xludf.DUMMYFUNCTION("split(B3134,""_"")"),710.0)</f>
        <v>710</v>
      </c>
      <c r="D3134" s="2" t="str">
        <f>IFERROR(__xludf.DUMMYFUNCTION("""COMPUTED_VALUE"""),"EX")</f>
        <v>EX</v>
      </c>
      <c r="E3134" s="2" t="str">
        <f>IFERROR(__xludf.DUMMYFUNCTION("""COMPUTED_VALUE"""),"木21")</f>
        <v>木21</v>
      </c>
      <c r="F3134" s="2" t="s">
        <v>9378</v>
      </c>
      <c r="G3134" s="2" t="s">
        <v>9383</v>
      </c>
      <c r="H3134" s="1">
        <v>3.0</v>
      </c>
      <c r="J3134" s="1" t="s">
        <v>11</v>
      </c>
      <c r="K3134" s="2" t="s">
        <v>9384</v>
      </c>
      <c r="L3134" s="11" t="s">
        <v>9384</v>
      </c>
      <c r="M3134" s="2" t="str">
        <f>IFERROR(__xludf.DUMMYFUNCTION("split(split(K3134,""…"",false),""公式LINE"",false)"),"春日井家の長女・円(羽田美智子)の夫・正邦(林泰文)と義母・静江(中村玉緒)が、竜平(渡哲也)にあいさつをしたいと言いだす。嫁いだ時、円は竜平と縁を絶っていたため、両者はこれまで顔を合わせたことがなかったのだ。円の嫁ぎ先は華道の家元で名門の宇喜田家。新平(徳重聡)は、竜平の離婚の原因が隠し子であることが分かったら円は離縁されてしまうと反対する。だが、翌日、ホテルで両家の会食が行われ、竜平は真っ先に隠し子がいることを話してしまう。")</f>
        <v>春日井家の長女・円(羽田美智子)の夫・正邦(林泰文)と義母・静江(中村玉緒)が、竜平(渡哲也)にあいさつをしたいと言いだす。嫁いだ時、円は竜平と縁を絶っていたため、両者はこれまで顔を合わせたことがなかったのだ。円の嫁ぎ先は華道の家元で名門の宇喜田家。新平(徳重聡)は、竜平の離婚の原因が隠し子であることが分かったら円は離縁されてしまうと反対する。だが、翌日、ホテルで両家の会食が行われ、竜平は真っ先に隠し子がいることを話してしまう。</v>
      </c>
      <c r="N3134" s="2"/>
      <c r="O3134" s="2"/>
      <c r="P3134" s="1"/>
      <c r="Q3134" s="1"/>
      <c r="R3134" s="1"/>
      <c r="S3134" s="1"/>
      <c r="T3134" s="1"/>
      <c r="U3134" s="1"/>
      <c r="V3134" s="1"/>
      <c r="W3134" s="1"/>
      <c r="X3134" s="1"/>
      <c r="Y3134" s="1"/>
      <c r="Z3134" s="1"/>
      <c r="AA3134" s="1"/>
      <c r="AB3134" s="1"/>
      <c r="AC3134" s="1"/>
      <c r="AD3134" s="1"/>
      <c r="AE3134" s="1"/>
      <c r="AF3134" s="1"/>
      <c r="AG3134" s="1"/>
      <c r="AH3134" s="1"/>
      <c r="AI3134" s="1"/>
      <c r="AJ3134" s="1"/>
      <c r="AK3134" s="1"/>
      <c r="AL3134" s="1"/>
      <c r="AM3134" s="1"/>
      <c r="AN3134" s="1"/>
      <c r="AO3134" s="1"/>
      <c r="AP3134" s="1"/>
      <c r="AQ3134" s="1"/>
      <c r="AR3134" s="1"/>
      <c r="AS3134" s="1"/>
      <c r="AT3134" s="1"/>
      <c r="AU3134" s="1"/>
      <c r="AV3134" s="1"/>
      <c r="AW3134" s="1"/>
      <c r="AX3134" s="1"/>
      <c r="AY3134" s="1"/>
      <c r="AZ3134" s="1"/>
      <c r="BA3134" s="1"/>
      <c r="BB3134" s="1"/>
    </row>
    <row r="3135" ht="204.75" customHeight="1">
      <c r="A3135" s="1">
        <v>6074.0</v>
      </c>
      <c r="B3135" s="2" t="s">
        <v>9377</v>
      </c>
      <c r="C3135" s="2">
        <f>IFERROR(__xludf.DUMMYFUNCTION("split(B3135,""_"")"),710.0)</f>
        <v>710</v>
      </c>
      <c r="D3135" s="2" t="str">
        <f>IFERROR(__xludf.DUMMYFUNCTION("""COMPUTED_VALUE"""),"EX")</f>
        <v>EX</v>
      </c>
      <c r="E3135" s="2" t="str">
        <f>IFERROR(__xludf.DUMMYFUNCTION("""COMPUTED_VALUE"""),"木21")</f>
        <v>木21</v>
      </c>
      <c r="F3135" s="2" t="s">
        <v>9378</v>
      </c>
      <c r="G3135" s="2" t="s">
        <v>9385</v>
      </c>
      <c r="H3135" s="1">
        <v>4.0</v>
      </c>
      <c r="J3135" s="1" t="s">
        <v>11</v>
      </c>
      <c r="K3135" s="2" t="s">
        <v>9386</v>
      </c>
      <c r="L3135" s="11" t="s">
        <v>9386</v>
      </c>
      <c r="M3135" s="2" t="str">
        <f>IFERROR(__xludf.DUMMYFUNCTION("split(split(K3135,""…"",false),""公式LINE"",false)"),"前衛芸術家の二女・楓(水川あさみ)が一人で暮らすアパートを訪ねた長女・円(羽田美智子)は、楓が自殺未遂を試みたと早とちりする。知らせを受けて駆け付けた竜平(渡哲也)、たえ(藤原紀香)、新平(徳重聡)らは、真相を知って拍子抜けする。だが、楓は自殺騒動のせいでアパートを追い出されてしまい、春日井家で暮らすことになる。そんな中、楓が突然、絵をやめると言いだした。七年間もスランプが続いていることを知った円と新平は、幼いころの楓の夢が”普通のお嫁さん”だったことを思い出す。")</f>
        <v>前衛芸術家の二女・楓(水川あさみ)が一人で暮らすアパートを訪ねた長女・円(羽田美智子)は、楓が自殺未遂を試みたと早とちりする。知らせを受けて駆け付けた竜平(渡哲也)、たえ(藤原紀香)、新平(徳重聡)らは、真相を知って拍子抜けする。だが、楓は自殺騒動のせいでアパートを追い出されてしまい、春日井家で暮らすことになる。そんな中、楓が突然、絵をやめると言いだした。七年間もスランプが続いていることを知った円と新平は、幼いころの楓の夢が”普通のお嫁さん”だったことを思い出す。</v>
      </c>
      <c r="N3135" s="2"/>
      <c r="O3135" s="2"/>
      <c r="P3135" s="1"/>
      <c r="Q3135" s="1"/>
      <c r="R3135" s="1"/>
      <c r="S3135" s="1"/>
      <c r="T3135" s="1"/>
      <c r="U3135" s="1"/>
      <c r="V3135" s="1"/>
      <c r="W3135" s="1"/>
      <c r="X3135" s="1"/>
      <c r="Y3135" s="1"/>
      <c r="Z3135" s="1"/>
      <c r="AA3135" s="1"/>
      <c r="AB3135" s="1"/>
      <c r="AC3135" s="1"/>
      <c r="AD3135" s="1"/>
      <c r="AE3135" s="1"/>
      <c r="AF3135" s="1"/>
      <c r="AG3135" s="1"/>
      <c r="AH3135" s="1"/>
      <c r="AI3135" s="1"/>
      <c r="AJ3135" s="1"/>
      <c r="AK3135" s="1"/>
      <c r="AL3135" s="1"/>
      <c r="AM3135" s="1"/>
      <c r="AN3135" s="1"/>
      <c r="AO3135" s="1"/>
      <c r="AP3135" s="1"/>
      <c r="AQ3135" s="1"/>
      <c r="AR3135" s="1"/>
      <c r="AS3135" s="1"/>
      <c r="AT3135" s="1"/>
      <c r="AU3135" s="1"/>
      <c r="AV3135" s="1"/>
      <c r="AW3135" s="1"/>
      <c r="AX3135" s="1"/>
      <c r="AY3135" s="1"/>
      <c r="AZ3135" s="1"/>
      <c r="BA3135" s="1"/>
      <c r="BB3135" s="1"/>
    </row>
    <row r="3136" ht="204.75" customHeight="1">
      <c r="A3136" s="1">
        <v>6075.0</v>
      </c>
      <c r="B3136" s="2" t="s">
        <v>9377</v>
      </c>
      <c r="C3136" s="2">
        <f>IFERROR(__xludf.DUMMYFUNCTION("split(B3136,""_"")"),710.0)</f>
        <v>710</v>
      </c>
      <c r="D3136" s="2" t="str">
        <f>IFERROR(__xludf.DUMMYFUNCTION("""COMPUTED_VALUE"""),"EX")</f>
        <v>EX</v>
      </c>
      <c r="E3136" s="2" t="str">
        <f>IFERROR(__xludf.DUMMYFUNCTION("""COMPUTED_VALUE"""),"木21")</f>
        <v>木21</v>
      </c>
      <c r="F3136" s="2" t="s">
        <v>9378</v>
      </c>
      <c r="G3136" s="2" t="s">
        <v>9387</v>
      </c>
      <c r="H3136" s="1">
        <v>5.0</v>
      </c>
      <c r="J3136" s="1" t="s">
        <v>11</v>
      </c>
      <c r="K3136" s="2" t="s">
        <v>9388</v>
      </c>
      <c r="L3136" s="11" t="s">
        <v>9388</v>
      </c>
      <c r="M3136" s="2" t="str">
        <f>IFERROR(__xludf.DUMMYFUNCTION("split(split(K3136,""…"",false),""公式LINE"",false)"),"出版社時代に新平(徳重聡)をリストラした上司・新田部長(相島一之)が、春日井米店に来るという。新平はすっかりおびえてしまい、ふさぎ込む。そんな中、翔太(土井洋輝)が小学校でいじめに遭っていることが分かる。たえ(藤原紀香)は、新平も小学校時代にいじめに遭っていて、竜平(渡哲也)から相手と決闘をするようけしかけられたことを聞く。その直後、新平は竜平が翔太にけんかの仕方を教えているところを目撃し、激怒する。")</f>
        <v>出版社時代に新平(徳重聡)をリストラした上司・新田部長(相島一之)が、春日井米店に来るという。新平はすっかりおびえてしまい、ふさぎ込む。そんな中、翔太(土井洋輝)が小学校でいじめに遭っていることが分かる。たえ(藤原紀香)は、新平も小学校時代にいじめに遭っていて、竜平(渡哲也)から相手と決闘をするようけしかけられたことを聞く。その直後、新平は竜平が翔太にけんかの仕方を教えているところを目撃し、激怒する。</v>
      </c>
      <c r="N3136" s="2"/>
      <c r="O3136" s="2"/>
      <c r="P3136" s="1"/>
      <c r="Q3136" s="1"/>
      <c r="R3136" s="1"/>
      <c r="S3136" s="1"/>
      <c r="T3136" s="1"/>
      <c r="U3136" s="1"/>
      <c r="V3136" s="1"/>
      <c r="W3136" s="1"/>
      <c r="X3136" s="1"/>
      <c r="Y3136" s="1"/>
      <c r="Z3136" s="1"/>
      <c r="AA3136" s="1"/>
      <c r="AB3136" s="1"/>
      <c r="AC3136" s="1"/>
      <c r="AD3136" s="1"/>
      <c r="AE3136" s="1"/>
      <c r="AF3136" s="1"/>
      <c r="AG3136" s="1"/>
      <c r="AH3136" s="1"/>
      <c r="AI3136" s="1"/>
      <c r="AJ3136" s="1"/>
      <c r="AK3136" s="1"/>
      <c r="AL3136" s="1"/>
      <c r="AM3136" s="1"/>
      <c r="AN3136" s="1"/>
      <c r="AO3136" s="1"/>
      <c r="AP3136" s="1"/>
      <c r="AQ3136" s="1"/>
      <c r="AR3136" s="1"/>
      <c r="AS3136" s="1"/>
      <c r="AT3136" s="1"/>
      <c r="AU3136" s="1"/>
      <c r="AV3136" s="1"/>
      <c r="AW3136" s="1"/>
      <c r="AX3136" s="1"/>
      <c r="AY3136" s="1"/>
      <c r="AZ3136" s="1"/>
      <c r="BA3136" s="1"/>
      <c r="BB3136" s="1"/>
    </row>
    <row r="3137" ht="204.75" customHeight="1">
      <c r="A3137" s="1">
        <v>6076.0</v>
      </c>
      <c r="B3137" s="2" t="s">
        <v>9377</v>
      </c>
      <c r="C3137" s="2">
        <f>IFERROR(__xludf.DUMMYFUNCTION("split(B3137,""_"")"),710.0)</f>
        <v>710</v>
      </c>
      <c r="D3137" s="2" t="str">
        <f>IFERROR(__xludf.DUMMYFUNCTION("""COMPUTED_VALUE"""),"EX")</f>
        <v>EX</v>
      </c>
      <c r="E3137" s="2" t="str">
        <f>IFERROR(__xludf.DUMMYFUNCTION("""COMPUTED_VALUE"""),"木21")</f>
        <v>木21</v>
      </c>
      <c r="F3137" s="2" t="s">
        <v>9378</v>
      </c>
      <c r="G3137" s="2" t="s">
        <v>9389</v>
      </c>
      <c r="H3137" s="1">
        <v>6.0</v>
      </c>
      <c r="J3137" s="1" t="s">
        <v>11</v>
      </c>
      <c r="K3137" s="2" t="s">
        <v>9390</v>
      </c>
      <c r="L3137" s="11" t="s">
        <v>9390</v>
      </c>
      <c r="M3137" s="2" t="str">
        <f>IFERROR(__xludf.DUMMYFUNCTION("split(split(K3137,""…"",false),""公式LINE"",false)"),"たえ(藤原紀香)は、竜平(渡哲也)と別れた妻・千恵子(余貴美子)を復縁させようと奔走する。そんな折、千恵子の現在の恋人・津村(舘ひろし)が春日井米店を訪ねて来る。津村は竜平や子供たちに、千恵子に結婚を申し込むことを宣言して帰っていく。その夜、酔いつぶれて帰宅した竜平の姿を見て、従業員のゴロー(塚地武雅)は、竜平は内心では千恵子に戻ってきてもらいたいはずだと涙ぐむ。それを聞いたたえは、竜平に千恵子の愛を取り戻す最後のチャンスをつくろうと作戦を練る。")</f>
        <v>たえ(藤原紀香)は、竜平(渡哲也)と別れた妻・千恵子(余貴美子)を復縁させようと奔走する。そんな折、千恵子の現在の恋人・津村(舘ひろし)が春日井米店を訪ねて来る。津村は竜平や子供たちに、千恵子に結婚を申し込むことを宣言して帰っていく。その夜、酔いつぶれて帰宅した竜平の姿を見て、従業員のゴロー(塚地武雅)は、竜平は内心では千恵子に戻ってきてもらいたいはずだと涙ぐむ。それを聞いたたえは、竜平に千恵子の愛を取り戻す最後のチャンスをつくろうと作戦を練る。</v>
      </c>
      <c r="N3137" s="2"/>
      <c r="O3137" s="2"/>
      <c r="P3137" s="1"/>
      <c r="Q3137" s="1"/>
      <c r="R3137" s="1"/>
      <c r="S3137" s="1"/>
      <c r="T3137" s="1"/>
      <c r="U3137" s="1"/>
      <c r="V3137" s="1"/>
      <c r="W3137" s="1"/>
      <c r="X3137" s="1"/>
      <c r="Y3137" s="1"/>
      <c r="Z3137" s="1"/>
      <c r="AA3137" s="1"/>
      <c r="AB3137" s="1"/>
      <c r="AC3137" s="1"/>
      <c r="AD3137" s="1"/>
      <c r="AE3137" s="1"/>
      <c r="AF3137" s="1"/>
      <c r="AG3137" s="1"/>
      <c r="AH3137" s="1"/>
      <c r="AI3137" s="1"/>
      <c r="AJ3137" s="1"/>
      <c r="AK3137" s="1"/>
      <c r="AL3137" s="1"/>
      <c r="AM3137" s="1"/>
      <c r="AN3137" s="1"/>
      <c r="AO3137" s="1"/>
      <c r="AP3137" s="1"/>
      <c r="AQ3137" s="1"/>
      <c r="AR3137" s="1"/>
      <c r="AS3137" s="1"/>
      <c r="AT3137" s="1"/>
      <c r="AU3137" s="1"/>
      <c r="AV3137" s="1"/>
      <c r="AW3137" s="1"/>
      <c r="AX3137" s="1"/>
      <c r="AY3137" s="1"/>
      <c r="AZ3137" s="1"/>
      <c r="BA3137" s="1"/>
      <c r="BB3137" s="1"/>
    </row>
    <row r="3138" ht="204.75" customHeight="1">
      <c r="A3138" s="1">
        <v>6077.0</v>
      </c>
      <c r="B3138" s="2" t="s">
        <v>9377</v>
      </c>
      <c r="C3138" s="2">
        <f>IFERROR(__xludf.DUMMYFUNCTION("split(B3138,""_"")"),710.0)</f>
        <v>710</v>
      </c>
      <c r="D3138" s="2" t="str">
        <f>IFERROR(__xludf.DUMMYFUNCTION("""COMPUTED_VALUE"""),"EX")</f>
        <v>EX</v>
      </c>
      <c r="E3138" s="2" t="str">
        <f>IFERROR(__xludf.DUMMYFUNCTION("""COMPUTED_VALUE"""),"木21")</f>
        <v>木21</v>
      </c>
      <c r="F3138" s="2" t="s">
        <v>9378</v>
      </c>
      <c r="G3138" s="2" t="s">
        <v>9391</v>
      </c>
      <c r="H3138" s="1">
        <v>7.0</v>
      </c>
      <c r="J3138" s="1" t="s">
        <v>11</v>
      </c>
      <c r="K3138" s="2" t="s">
        <v>9392</v>
      </c>
      <c r="L3138" s="11" t="s">
        <v>9392</v>
      </c>
      <c r="M3138" s="2" t="str">
        <f>IFERROR(__xludf.DUMMYFUNCTION("split(split(K3138,""…"",false),""公式LINE"",false)"),"新平(徳重聡)と円(羽田美智子)は、雫(星井七瀬)が春日井家にやって来た目的は、竜平(渡哲也)に取り入り、遺産を独り占めすることだと知って驚く。雫が竜平を慕い始めていることを感じ取っていたたえ(藤原紀香)は、千恵子(余貴美子)の元へ相談に向かい、十五年前に雫の亡き母・美雪(高島礼子)が千恵子にあてた手紙を預かる。そんな折、町内で火事が発生し、消防団への復帰を考えていた竜平は早速、出動しようとする。たえたちが必死に止めようとする中、雫が竜平の心臓病は治らないという、これまで家族が隠してきた秘密を本人に話して"&amp;"しまう。")</f>
        <v>新平(徳重聡)と円(羽田美智子)は、雫(星井七瀬)が春日井家にやって来た目的は、竜平(渡哲也)に取り入り、遺産を独り占めすることだと知って驚く。雫が竜平を慕い始めていることを感じ取っていたたえ(藤原紀香)は、千恵子(余貴美子)の元へ相談に向かい、十五年前に雫の亡き母・美雪(高島礼子)が千恵子にあてた手紙を預かる。そんな折、町内で火事が発生し、消防団への復帰を考えていた竜平は早速、出動しようとする。たえたちが必死に止めようとする中、雫が竜平の心臓病は治らないという、これまで家族が隠してきた秘密を本人に話してしまう。</v>
      </c>
      <c r="N3138" s="2"/>
      <c r="O3138" s="2"/>
      <c r="P3138" s="1"/>
      <c r="Q3138" s="1"/>
      <c r="R3138" s="1"/>
      <c r="S3138" s="1"/>
      <c r="T3138" s="1"/>
      <c r="U3138" s="1"/>
      <c r="V3138" s="1"/>
      <c r="W3138" s="1"/>
      <c r="X3138" s="1"/>
      <c r="Y3138" s="1"/>
      <c r="Z3138" s="1"/>
      <c r="AA3138" s="1"/>
      <c r="AB3138" s="1"/>
      <c r="AC3138" s="1"/>
      <c r="AD3138" s="1"/>
      <c r="AE3138" s="1"/>
      <c r="AF3138" s="1"/>
      <c r="AG3138" s="1"/>
      <c r="AH3138" s="1"/>
      <c r="AI3138" s="1"/>
      <c r="AJ3138" s="1"/>
      <c r="AK3138" s="1"/>
      <c r="AL3138" s="1"/>
      <c r="AM3138" s="1"/>
      <c r="AN3138" s="1"/>
      <c r="AO3138" s="1"/>
      <c r="AP3138" s="1"/>
      <c r="AQ3138" s="1"/>
      <c r="AR3138" s="1"/>
      <c r="AS3138" s="1"/>
      <c r="AT3138" s="1"/>
      <c r="AU3138" s="1"/>
      <c r="AV3138" s="1"/>
      <c r="AW3138" s="1"/>
      <c r="AX3138" s="1"/>
      <c r="AY3138" s="1"/>
      <c r="AZ3138" s="1"/>
      <c r="BA3138" s="1"/>
      <c r="BB3138" s="1"/>
    </row>
    <row r="3139" ht="204.75" customHeight="1">
      <c r="A3139" s="1">
        <v>6078.0</v>
      </c>
      <c r="B3139" s="2" t="s">
        <v>9377</v>
      </c>
      <c r="C3139" s="2">
        <f>IFERROR(__xludf.DUMMYFUNCTION("split(B3139,""_"")"),710.0)</f>
        <v>710</v>
      </c>
      <c r="D3139" s="2" t="str">
        <f>IFERROR(__xludf.DUMMYFUNCTION("""COMPUTED_VALUE"""),"EX")</f>
        <v>EX</v>
      </c>
      <c r="E3139" s="2" t="str">
        <f>IFERROR(__xludf.DUMMYFUNCTION("""COMPUTED_VALUE"""),"木21")</f>
        <v>木21</v>
      </c>
      <c r="F3139" s="2" t="s">
        <v>9378</v>
      </c>
      <c r="G3139" s="2" t="s">
        <v>9393</v>
      </c>
      <c r="H3139" s="1">
        <v>8.0</v>
      </c>
      <c r="J3139" s="1" t="s">
        <v>11</v>
      </c>
      <c r="K3139" s="2" t="s">
        <v>9394</v>
      </c>
      <c r="L3139" s="11" t="s">
        <v>9394</v>
      </c>
      <c r="M3139" s="2" t="str">
        <f>IFERROR(__xludf.DUMMYFUNCTION("split(split(K3139,""…"",false),""公式LINE"",false)"),"明るい人柄のたえ(藤原紀香)のおかげで、春日井米店は繁盛していた。だが、自分の心臓病が治らないことを知って以来、すっかり弱気になった竜平(渡哲也)は、家族への態度も穏やかなものになっていた。そんな折、新平(徳重聡)、円(羽田美智子)、楓(水川あさみ)の三人に大きな転機が訪れる。だが、余命わずかな竜平を気遣う新平たちは、春日井家から出て行くことをためらい、夢をあきらめようとする。")</f>
        <v>明るい人柄のたえ(藤原紀香)のおかげで、春日井米店は繁盛していた。だが、自分の心臓病が治らないことを知って以来、すっかり弱気になった竜平(渡哲也)は、家族への態度も穏やかなものになっていた。そんな折、新平(徳重聡)、円(羽田美智子)、楓(水川あさみ)の三人に大きな転機が訪れる。だが、余命わずかな竜平を気遣う新平たちは、春日井家から出て行くことをためらい、夢をあきらめようとする。</v>
      </c>
      <c r="N3139" s="2"/>
      <c r="O3139" s="2"/>
      <c r="P3139" s="1"/>
      <c r="Q3139" s="1"/>
      <c r="R3139" s="1"/>
      <c r="S3139" s="1"/>
      <c r="T3139" s="1"/>
      <c r="U3139" s="1"/>
      <c r="V3139" s="1"/>
      <c r="W3139" s="1"/>
      <c r="X3139" s="1"/>
      <c r="Y3139" s="1"/>
      <c r="Z3139" s="1"/>
      <c r="AA3139" s="1"/>
      <c r="AB3139" s="1"/>
      <c r="AC3139" s="1"/>
      <c r="AD3139" s="1"/>
      <c r="AE3139" s="1"/>
      <c r="AF3139" s="1"/>
      <c r="AG3139" s="1"/>
      <c r="AH3139" s="1"/>
      <c r="AI3139" s="1"/>
      <c r="AJ3139" s="1"/>
      <c r="AK3139" s="1"/>
      <c r="AL3139" s="1"/>
      <c r="AM3139" s="1"/>
      <c r="AN3139" s="1"/>
      <c r="AO3139" s="1"/>
      <c r="AP3139" s="1"/>
      <c r="AQ3139" s="1"/>
      <c r="AR3139" s="1"/>
      <c r="AS3139" s="1"/>
      <c r="AT3139" s="1"/>
      <c r="AU3139" s="1"/>
      <c r="AV3139" s="1"/>
      <c r="AW3139" s="1"/>
      <c r="AX3139" s="1"/>
      <c r="AY3139" s="1"/>
      <c r="AZ3139" s="1"/>
      <c r="BA3139" s="1"/>
      <c r="BB3139" s="1"/>
    </row>
    <row r="3140" ht="204.75" customHeight="1">
      <c r="A3140" s="1">
        <v>6100.0</v>
      </c>
      <c r="B3140" s="2" t="s">
        <v>9395</v>
      </c>
      <c r="C3140" s="2">
        <f>IFERROR(__xludf.DUMMYFUNCTION("split(B3140,""_"")"),710.0)</f>
        <v>710</v>
      </c>
      <c r="D3140" s="2" t="str">
        <f>IFERROR(__xludf.DUMMYFUNCTION("""COMPUTED_VALUE"""),"EX")</f>
        <v>EX</v>
      </c>
      <c r="E3140" s="2" t="str">
        <f>IFERROR(__xludf.DUMMYFUNCTION("""COMPUTED_VALUE"""),"金21")</f>
        <v>金21</v>
      </c>
      <c r="F3140" s="2" t="s">
        <v>9396</v>
      </c>
      <c r="G3140" s="2" t="s">
        <v>9397</v>
      </c>
      <c r="H3140" s="1">
        <v>1.0</v>
      </c>
      <c r="J3140" s="1" t="s">
        <v>4</v>
      </c>
      <c r="K3140" s="2" t="s">
        <v>9398</v>
      </c>
      <c r="L3140" s="11" t="s">
        <v>9398</v>
      </c>
      <c r="M3140" s="2" t="str">
        <f>IFERROR(__xludf.DUMMYFUNCTION("split(split(K3140,""…"",false),""公式LINE"",false)"),"六年間、家出状態だった無責任な父親・矢野篤(高橋克典)が、妻の急死をきっかけに、子供たちと奇妙な同居生活を始めるホームコメディー。脚本・尾崎将也、演出・塚本連平。　妻の急死を知り、六年ぶりに帰宅した篤(高橋)は、長女で小学校六年生の凛子(夏居瑠奈)に追い返されてしまう。初めから子育てをする気のない篤は、おとなしく家を出て行く。そんな折、凛子が学校で同級生の竜也(熊谷知博)とトラブルを起こす。担任の洋介(小泉孝太郎)は保護者同士の話し合いでの解決を望むが、凛子の保護者代わりの弥生(国仲涼子)は相手にやり込め"&amp;"られそうになる。そこへ、騒ぎを知った篤が現れる。")</f>
        <v>六年間、家出状態だった無責任な父親・矢野篤(高橋克典)が、妻の急死をきっかけに、子供たちと奇妙な同居生活を始めるホームコメディー。脚本・尾崎将也、演出・塚本連平。　妻の急死を知り、六年ぶりに帰宅した篤(高橋)は、長女で小学校六年生の凛子(夏居瑠奈)に追い返されてしまう。初めから子育てをする気のない篤は、おとなしく家を出て行く。そんな折、凛子が学校で同級生の竜也(熊谷知博)とトラブルを起こす。担任の洋介(小泉孝太郎)は保護者同士の話し合いでの解決を望むが、凛子の保護者代わりの弥生(国仲涼子)は相手にやり込められそうになる。そこへ、騒ぎを知った篤が現れる。</v>
      </c>
      <c r="N3140" s="2"/>
      <c r="O3140" s="2"/>
      <c r="P3140" s="1"/>
      <c r="Q3140" s="1"/>
      <c r="R3140" s="1"/>
      <c r="S3140" s="1"/>
      <c r="T3140" s="1"/>
      <c r="U3140" s="1"/>
      <c r="V3140" s="1"/>
      <c r="W3140" s="1"/>
      <c r="X3140" s="1"/>
      <c r="Y3140" s="1"/>
      <c r="Z3140" s="1"/>
      <c r="AA3140" s="1"/>
      <c r="AB3140" s="1"/>
      <c r="AC3140" s="1"/>
      <c r="AD3140" s="1"/>
      <c r="AE3140" s="1"/>
      <c r="AF3140" s="1"/>
      <c r="AG3140" s="1"/>
      <c r="AH3140" s="1"/>
      <c r="AI3140" s="1"/>
      <c r="AJ3140" s="1"/>
      <c r="AK3140" s="1"/>
      <c r="AL3140" s="1"/>
      <c r="AM3140" s="1"/>
      <c r="AN3140" s="1"/>
      <c r="AO3140" s="1"/>
      <c r="AP3140" s="1"/>
      <c r="AQ3140" s="1"/>
      <c r="AR3140" s="1"/>
      <c r="AS3140" s="1"/>
      <c r="AT3140" s="1"/>
      <c r="AU3140" s="1"/>
      <c r="AV3140" s="1"/>
      <c r="AW3140" s="1"/>
      <c r="AX3140" s="1"/>
      <c r="AY3140" s="1"/>
      <c r="AZ3140" s="1"/>
      <c r="BA3140" s="1"/>
      <c r="BB3140" s="1"/>
    </row>
    <row r="3141" ht="204.75" customHeight="1">
      <c r="A3141" s="1">
        <v>6101.0</v>
      </c>
      <c r="B3141" s="2" t="s">
        <v>9395</v>
      </c>
      <c r="C3141" s="2">
        <f>IFERROR(__xludf.DUMMYFUNCTION("split(B3141,""_"")"),710.0)</f>
        <v>710</v>
      </c>
      <c r="D3141" s="2" t="str">
        <f>IFERROR(__xludf.DUMMYFUNCTION("""COMPUTED_VALUE"""),"EX")</f>
        <v>EX</v>
      </c>
      <c r="E3141" s="2" t="str">
        <f>IFERROR(__xludf.DUMMYFUNCTION("""COMPUTED_VALUE"""),"金21")</f>
        <v>金21</v>
      </c>
      <c r="F3141" s="2" t="s">
        <v>9396</v>
      </c>
      <c r="G3141" s="2" t="s">
        <v>9399</v>
      </c>
      <c r="H3141" s="1">
        <v>2.0</v>
      </c>
      <c r="J3141" s="1" t="s">
        <v>11</v>
      </c>
      <c r="K3141" s="2" t="s">
        <v>9400</v>
      </c>
      <c r="L3141" s="11" t="s">
        <v>9400</v>
      </c>
      <c r="M3141" s="2" t="str">
        <f>IFERROR(__xludf.DUMMYFUNCTION("split(split(K3141,""…"",false),""公式LINE"",false)"),"篤(高橋克典)と子供たちの奇妙な同居が始まって数日がたち、子供たちが通う小学校では運動会が迫っていた。運動が苦手な長男・健太郎(吉川史樹)は、運動会が雨で中止になることを願う。長女・凛子(夏居瑠奈)は弟の意気地のなさを責めるが、篤は「ビリだっていいじゃん」と、凛子とは正反対の態度。あきれた凛子は、健太郎と妹・真美(遠藤由実)を連れて、弥生(国仲涼子)の元へ行ってしまう。")</f>
        <v>篤(高橋克典)と子供たちの奇妙な同居が始まって数日がたち、子供たちが通う小学校では運動会が迫っていた。運動が苦手な長男・健太郎(吉川史樹)は、運動会が雨で中止になることを願う。長女・凛子(夏居瑠奈)は弟の意気地のなさを責めるが、篤は「ビリだっていいじゃん」と、凛子とは正反対の態度。あきれた凛子は、健太郎と妹・真美(遠藤由実)を連れて、弥生(国仲涼子)の元へ行ってしまう。</v>
      </c>
      <c r="N3141" s="2"/>
      <c r="O3141" s="2"/>
      <c r="P3141" s="1"/>
      <c r="Q3141" s="1"/>
      <c r="R3141" s="1"/>
      <c r="S3141" s="1"/>
      <c r="T3141" s="1"/>
      <c r="U3141" s="1"/>
      <c r="V3141" s="1"/>
      <c r="W3141" s="1"/>
      <c r="X3141" s="1"/>
      <c r="Y3141" s="1"/>
      <c r="Z3141" s="1"/>
      <c r="AA3141" s="1"/>
      <c r="AB3141" s="1"/>
      <c r="AC3141" s="1"/>
      <c r="AD3141" s="1"/>
      <c r="AE3141" s="1"/>
      <c r="AF3141" s="1"/>
      <c r="AG3141" s="1"/>
      <c r="AH3141" s="1"/>
      <c r="AI3141" s="1"/>
      <c r="AJ3141" s="1"/>
      <c r="AK3141" s="1"/>
      <c r="AL3141" s="1"/>
      <c r="AM3141" s="1"/>
      <c r="AN3141" s="1"/>
      <c r="AO3141" s="1"/>
      <c r="AP3141" s="1"/>
      <c r="AQ3141" s="1"/>
      <c r="AR3141" s="1"/>
      <c r="AS3141" s="1"/>
      <c r="AT3141" s="1"/>
      <c r="AU3141" s="1"/>
      <c r="AV3141" s="1"/>
      <c r="AW3141" s="1"/>
      <c r="AX3141" s="1"/>
      <c r="AY3141" s="1"/>
      <c r="AZ3141" s="1"/>
      <c r="BA3141" s="1"/>
      <c r="BB3141" s="1"/>
    </row>
    <row r="3142" ht="204.75" customHeight="1">
      <c r="A3142" s="1">
        <v>6102.0</v>
      </c>
      <c r="B3142" s="2" t="s">
        <v>9395</v>
      </c>
      <c r="C3142" s="2">
        <f>IFERROR(__xludf.DUMMYFUNCTION("split(B3142,""_"")"),710.0)</f>
        <v>710</v>
      </c>
      <c r="D3142" s="2" t="str">
        <f>IFERROR(__xludf.DUMMYFUNCTION("""COMPUTED_VALUE"""),"EX")</f>
        <v>EX</v>
      </c>
      <c r="E3142" s="2" t="str">
        <f>IFERROR(__xludf.DUMMYFUNCTION("""COMPUTED_VALUE"""),"金21")</f>
        <v>金21</v>
      </c>
      <c r="F3142" s="2" t="s">
        <v>9396</v>
      </c>
      <c r="G3142" s="2" t="s">
        <v>9401</v>
      </c>
      <c r="H3142" s="1">
        <v>3.0</v>
      </c>
      <c r="J3142" s="1" t="s">
        <v>11</v>
      </c>
      <c r="K3142" s="2" t="s">
        <v>9402</v>
      </c>
      <c r="L3142" s="11" t="s">
        <v>9402</v>
      </c>
      <c r="M3142" s="2" t="str">
        <f>IFERROR(__xludf.DUMMYFUNCTION("split(split(K3142,""…"",false),""公式LINE"",false)"),"算数が苦手な健太郎(吉川史樹)が、点数の悪かったテスト用紙を隠していたことが分かった。篤(高橋克典)がその悪事に手を貸そうとしていたことを知った凛子(夏居瑠奈)は激怒し、健太郎を塾に行かせるから月謝を払えと篤に迫る。月謝を払うのが嫌な篤は、なんとか健太郎をその気にさせるが、勉強はなかなかはかどらない。そこで篤は、塾通いをしている竜也(熊谷知博)をおだてて健太郎に算数を教えてくれるよう頼む。")</f>
        <v>算数が苦手な健太郎(吉川史樹)が、点数の悪かったテスト用紙を隠していたことが分かった。篤(高橋克典)がその悪事に手を貸そうとしていたことを知った凛子(夏居瑠奈)は激怒し、健太郎を塾に行かせるから月謝を払えと篤に迫る。月謝を払うのが嫌な篤は、なんとか健太郎をその気にさせるが、勉強はなかなかはかどらない。そこで篤は、塾通いをしている竜也(熊谷知博)をおだてて健太郎に算数を教えてくれるよう頼む。</v>
      </c>
      <c r="N3142" s="2"/>
      <c r="O3142" s="2"/>
      <c r="P3142" s="1"/>
      <c r="Q3142" s="1"/>
      <c r="R3142" s="1"/>
      <c r="S3142" s="1"/>
      <c r="T3142" s="1"/>
      <c r="U3142" s="1"/>
      <c r="V3142" s="1"/>
      <c r="W3142" s="1"/>
      <c r="X3142" s="1"/>
      <c r="Y3142" s="1"/>
      <c r="Z3142" s="1"/>
      <c r="AA3142" s="1"/>
      <c r="AB3142" s="1"/>
      <c r="AC3142" s="1"/>
      <c r="AD3142" s="1"/>
      <c r="AE3142" s="1"/>
      <c r="AF3142" s="1"/>
      <c r="AG3142" s="1"/>
      <c r="AH3142" s="1"/>
      <c r="AI3142" s="1"/>
      <c r="AJ3142" s="1"/>
      <c r="AK3142" s="1"/>
      <c r="AL3142" s="1"/>
      <c r="AM3142" s="1"/>
      <c r="AN3142" s="1"/>
      <c r="AO3142" s="1"/>
      <c r="AP3142" s="1"/>
      <c r="AQ3142" s="1"/>
      <c r="AR3142" s="1"/>
      <c r="AS3142" s="1"/>
      <c r="AT3142" s="1"/>
      <c r="AU3142" s="1"/>
      <c r="AV3142" s="1"/>
      <c r="AW3142" s="1"/>
      <c r="AX3142" s="1"/>
      <c r="AY3142" s="1"/>
      <c r="AZ3142" s="1"/>
      <c r="BA3142" s="1"/>
      <c r="BB3142" s="1"/>
    </row>
    <row r="3143" ht="204.75" customHeight="1">
      <c r="A3143" s="1">
        <v>6103.0</v>
      </c>
      <c r="B3143" s="2" t="s">
        <v>9395</v>
      </c>
      <c r="C3143" s="2">
        <f>IFERROR(__xludf.DUMMYFUNCTION("split(B3143,""_"")"),710.0)</f>
        <v>710</v>
      </c>
      <c r="D3143" s="2" t="str">
        <f>IFERROR(__xludf.DUMMYFUNCTION("""COMPUTED_VALUE"""),"EX")</f>
        <v>EX</v>
      </c>
      <c r="E3143" s="2" t="str">
        <f>IFERROR(__xludf.DUMMYFUNCTION("""COMPUTED_VALUE"""),"金21")</f>
        <v>金21</v>
      </c>
      <c r="F3143" s="2" t="s">
        <v>9396</v>
      </c>
      <c r="G3143" s="2" t="s">
        <v>9403</v>
      </c>
      <c r="H3143" s="1">
        <v>4.0</v>
      </c>
      <c r="J3143" s="1" t="s">
        <v>11</v>
      </c>
      <c r="K3143" s="2" t="s">
        <v>9404</v>
      </c>
      <c r="L3143" s="11" t="s">
        <v>9404</v>
      </c>
      <c r="M3143" s="2" t="str">
        <f>IFERROR(__xludf.DUMMYFUNCTION("split(split(K3143,""…"",false),""公式LINE"",false)"),"子供たちが通う学校で”告白”がブームになる。一喜一憂する同級生たちを見て、心の中で子供扱いしていた凛子(夏居瑠奈)だが、実は気になる男子がいた。その意中の男子から告白され、デートにも誘われた凛子は、初めての経験に戸惑う。篤(高橋克典)は、ろくなアドバイスもせずに娘の初恋を面白がるばかりで、凛子と対立してしまう。")</f>
        <v>子供たちが通う学校で”告白”がブームになる。一喜一憂する同級生たちを見て、心の中で子供扱いしていた凛子(夏居瑠奈)だが、実は気になる男子がいた。その意中の男子から告白され、デートにも誘われた凛子は、初めての経験に戸惑う。篤(高橋克典)は、ろくなアドバイスもせずに娘の初恋を面白がるばかりで、凛子と対立してしまう。</v>
      </c>
      <c r="N3143" s="2"/>
      <c r="O3143" s="2"/>
      <c r="P3143" s="1"/>
      <c r="Q3143" s="1"/>
      <c r="R3143" s="1"/>
      <c r="S3143" s="1"/>
      <c r="T3143" s="1"/>
      <c r="U3143" s="1"/>
      <c r="V3143" s="1"/>
      <c r="W3143" s="1"/>
      <c r="X3143" s="1"/>
      <c r="Y3143" s="1"/>
      <c r="Z3143" s="1"/>
      <c r="AA3143" s="1"/>
      <c r="AB3143" s="1"/>
      <c r="AC3143" s="1"/>
      <c r="AD3143" s="1"/>
      <c r="AE3143" s="1"/>
      <c r="AF3143" s="1"/>
      <c r="AG3143" s="1"/>
      <c r="AH3143" s="1"/>
      <c r="AI3143" s="1"/>
      <c r="AJ3143" s="1"/>
      <c r="AK3143" s="1"/>
      <c r="AL3143" s="1"/>
      <c r="AM3143" s="1"/>
      <c r="AN3143" s="1"/>
      <c r="AO3143" s="1"/>
      <c r="AP3143" s="1"/>
      <c r="AQ3143" s="1"/>
      <c r="AR3143" s="1"/>
      <c r="AS3143" s="1"/>
      <c r="AT3143" s="1"/>
      <c r="AU3143" s="1"/>
      <c r="AV3143" s="1"/>
      <c r="AW3143" s="1"/>
      <c r="AX3143" s="1"/>
      <c r="AY3143" s="1"/>
      <c r="AZ3143" s="1"/>
      <c r="BA3143" s="1"/>
      <c r="BB3143" s="1"/>
    </row>
    <row r="3144" ht="204.75" customHeight="1">
      <c r="A3144" s="1">
        <v>6104.0</v>
      </c>
      <c r="B3144" s="2" t="s">
        <v>9395</v>
      </c>
      <c r="C3144" s="2">
        <f>IFERROR(__xludf.DUMMYFUNCTION("split(B3144,""_"")"),710.0)</f>
        <v>710</v>
      </c>
      <c r="D3144" s="2" t="str">
        <f>IFERROR(__xludf.DUMMYFUNCTION("""COMPUTED_VALUE"""),"EX")</f>
        <v>EX</v>
      </c>
      <c r="E3144" s="2" t="str">
        <f>IFERROR(__xludf.DUMMYFUNCTION("""COMPUTED_VALUE"""),"金21")</f>
        <v>金21</v>
      </c>
      <c r="F3144" s="2" t="s">
        <v>9396</v>
      </c>
      <c r="G3144" s="2" t="s">
        <v>9405</v>
      </c>
      <c r="H3144" s="1">
        <v>5.0</v>
      </c>
      <c r="J3144" s="1" t="s">
        <v>11</v>
      </c>
      <c r="K3144" s="2" t="s">
        <v>9406</v>
      </c>
      <c r="L3144" s="11" t="s">
        <v>9406</v>
      </c>
      <c r="M3144" s="2" t="str">
        <f>IFERROR(__xludf.DUMMYFUNCTION("split(split(K3144,""…"",false),""公式LINE"",false)"),"洋介(小泉孝太郎)は「将来の夢」をテーマに子供たちに作文を書かせるが、凛子(夏居瑠奈)の原稿用紙は白紙。心配する洋介に、凛子は「夢なんてどうせかなわない」と現実的なことを言って困らせる。一週間以内に作文を仕上げて提出することになった凛子だが、「適当に書け」という篤(高橋克典)に弥生(国仲涼子)は反論する。だが、篤に自分の子供のころの夢について聞かれ、忘れてしまっていることに気付く。")</f>
        <v>洋介(小泉孝太郎)は「将来の夢」をテーマに子供たちに作文を書かせるが、凛子(夏居瑠奈)の原稿用紙は白紙。心配する洋介に、凛子は「夢なんてどうせかなわない」と現実的なことを言って困らせる。一週間以内に作文を仕上げて提出することになった凛子だが、「適当に書け」という篤(高橋克典)に弥生(国仲涼子)は反論する。だが、篤に自分の子供のころの夢について聞かれ、忘れてしまっていることに気付く。</v>
      </c>
      <c r="N3144" s="2"/>
      <c r="O3144" s="2"/>
      <c r="P3144" s="1"/>
      <c r="Q3144" s="1"/>
      <c r="R3144" s="1"/>
      <c r="S3144" s="1"/>
      <c r="T3144" s="1"/>
      <c r="U3144" s="1"/>
      <c r="V3144" s="1"/>
      <c r="W3144" s="1"/>
      <c r="X3144" s="1"/>
      <c r="Y3144" s="1"/>
      <c r="Z3144" s="1"/>
      <c r="AA3144" s="1"/>
      <c r="AB3144" s="1"/>
      <c r="AC3144" s="1"/>
      <c r="AD3144" s="1"/>
      <c r="AE3144" s="1"/>
      <c r="AF3144" s="1"/>
      <c r="AG3144" s="1"/>
      <c r="AH3144" s="1"/>
      <c r="AI3144" s="1"/>
      <c r="AJ3144" s="1"/>
      <c r="AK3144" s="1"/>
      <c r="AL3144" s="1"/>
      <c r="AM3144" s="1"/>
      <c r="AN3144" s="1"/>
      <c r="AO3144" s="1"/>
      <c r="AP3144" s="1"/>
      <c r="AQ3144" s="1"/>
      <c r="AR3144" s="1"/>
      <c r="AS3144" s="1"/>
      <c r="AT3144" s="1"/>
      <c r="AU3144" s="1"/>
      <c r="AV3144" s="1"/>
      <c r="AW3144" s="1"/>
      <c r="AX3144" s="1"/>
      <c r="AY3144" s="1"/>
      <c r="AZ3144" s="1"/>
      <c r="BA3144" s="1"/>
      <c r="BB3144" s="1"/>
    </row>
    <row r="3145" ht="204.75" customHeight="1">
      <c r="A3145" s="1">
        <v>6105.0</v>
      </c>
      <c r="B3145" s="2" t="s">
        <v>9395</v>
      </c>
      <c r="C3145" s="2">
        <f>IFERROR(__xludf.DUMMYFUNCTION("split(B3145,""_"")"),710.0)</f>
        <v>710</v>
      </c>
      <c r="D3145" s="2" t="str">
        <f>IFERROR(__xludf.DUMMYFUNCTION("""COMPUTED_VALUE"""),"EX")</f>
        <v>EX</v>
      </c>
      <c r="E3145" s="2" t="str">
        <f>IFERROR(__xludf.DUMMYFUNCTION("""COMPUTED_VALUE"""),"金21")</f>
        <v>金21</v>
      </c>
      <c r="F3145" s="2" t="s">
        <v>9396</v>
      </c>
      <c r="G3145" s="2" t="s">
        <v>9407</v>
      </c>
      <c r="H3145" s="1">
        <v>6.0</v>
      </c>
      <c r="J3145" s="1" t="s">
        <v>11</v>
      </c>
      <c r="K3145" s="2" t="s">
        <v>9408</v>
      </c>
      <c r="L3145" s="11" t="s">
        <v>9408</v>
      </c>
      <c r="M3145" s="2" t="str">
        <f>IFERROR(__xludf.DUMMYFUNCTION("split(split(K3145,""…"",false),""公式LINE"",false)"),"高価な人形を欲しがる真美(遠藤由実)に弥生(国仲涼子)は、金は一生懸命働いて稼ぐものだと説き、家や店の手伝いをすれば小遣いをあげると約束する。真美は、わずかずつながら小遣いをためていく。そんな中、篤(高橋克典)に珍しくまとまった額の仕事が舞い込む。生活費のために仕事に打ち込む篤だったが、資料を購入する金に困り、真美の金に手を出してしまう。")</f>
        <v>高価な人形を欲しがる真美(遠藤由実)に弥生(国仲涼子)は、金は一生懸命働いて稼ぐものだと説き、家や店の手伝いをすれば小遣いをあげると約束する。真美は、わずかずつながら小遣いをためていく。そんな中、篤(高橋克典)に珍しくまとまった額の仕事が舞い込む。生活費のために仕事に打ち込む篤だったが、資料を購入する金に困り、真美の金に手を出してしまう。</v>
      </c>
      <c r="N3145" s="2"/>
      <c r="O3145" s="2"/>
      <c r="P3145" s="1"/>
      <c r="Q3145" s="1"/>
      <c r="R3145" s="1"/>
      <c r="S3145" s="1"/>
      <c r="T3145" s="1"/>
      <c r="U3145" s="1"/>
      <c r="V3145" s="1"/>
      <c r="W3145" s="1"/>
      <c r="X3145" s="1"/>
      <c r="Y3145" s="1"/>
      <c r="Z3145" s="1"/>
      <c r="AA3145" s="1"/>
      <c r="AB3145" s="1"/>
      <c r="AC3145" s="1"/>
      <c r="AD3145" s="1"/>
      <c r="AE3145" s="1"/>
      <c r="AF3145" s="1"/>
      <c r="AG3145" s="1"/>
      <c r="AH3145" s="1"/>
      <c r="AI3145" s="1"/>
      <c r="AJ3145" s="1"/>
      <c r="AK3145" s="1"/>
      <c r="AL3145" s="1"/>
      <c r="AM3145" s="1"/>
      <c r="AN3145" s="1"/>
      <c r="AO3145" s="1"/>
      <c r="AP3145" s="1"/>
      <c r="AQ3145" s="1"/>
      <c r="AR3145" s="1"/>
      <c r="AS3145" s="1"/>
      <c r="AT3145" s="1"/>
      <c r="AU3145" s="1"/>
      <c r="AV3145" s="1"/>
      <c r="AW3145" s="1"/>
      <c r="AX3145" s="1"/>
      <c r="AY3145" s="1"/>
      <c r="AZ3145" s="1"/>
      <c r="BA3145" s="1"/>
      <c r="BB3145" s="1"/>
    </row>
    <row r="3146" ht="204.75" customHeight="1">
      <c r="A3146" s="1">
        <v>6106.0</v>
      </c>
      <c r="B3146" s="2" t="s">
        <v>9395</v>
      </c>
      <c r="C3146" s="2">
        <f>IFERROR(__xludf.DUMMYFUNCTION("split(B3146,""_"")"),710.0)</f>
        <v>710</v>
      </c>
      <c r="D3146" s="2" t="str">
        <f>IFERROR(__xludf.DUMMYFUNCTION("""COMPUTED_VALUE"""),"EX")</f>
        <v>EX</v>
      </c>
      <c r="E3146" s="2" t="str">
        <f>IFERROR(__xludf.DUMMYFUNCTION("""COMPUTED_VALUE"""),"金21")</f>
        <v>金21</v>
      </c>
      <c r="F3146" s="2" t="s">
        <v>9396</v>
      </c>
      <c r="G3146" s="2" t="s">
        <v>9409</v>
      </c>
      <c r="H3146" s="1">
        <v>7.0</v>
      </c>
      <c r="J3146" s="1" t="s">
        <v>11</v>
      </c>
      <c r="K3146" s="2" t="s">
        <v>9410</v>
      </c>
      <c r="L3146" s="11" t="s">
        <v>9410</v>
      </c>
      <c r="M3146" s="2" t="str">
        <f>IFERROR(__xludf.DUMMYFUNCTION("split(split(K3146,""…"",false),""公式LINE"",false)"),"子供たちの学校で授業参観ウイークが始まる。そんな折、凛子(夏居瑠奈)は、篤(高橋克典)が原因で健太郎(吉川史樹)がクラスメートからいじめを受けている現場を目撃。篤にいじめの実態を訴えるが、授業参観のことは伝えない。篤は自分がいじめの原因をつくったと知り、さすがに気落ちする。弥生(国仲涼子)と洋介(小泉孝太郎)から「人は変われる」と言われた篤は翌日から、まともな父親らしく振る舞おうと努力を始める。")</f>
        <v>子供たちの学校で授業参観ウイークが始まる。そんな折、凛子(夏居瑠奈)は、篤(高橋克典)が原因で健太郎(吉川史樹)がクラスメートからいじめを受けている現場を目撃。篤にいじめの実態を訴えるが、授業参観のことは伝えない。篤は自分がいじめの原因をつくったと知り、さすがに気落ちする。弥生(国仲涼子)と洋介(小泉孝太郎)から「人は変われる」と言われた篤は翌日から、まともな父親らしく振る舞おうと努力を始める。</v>
      </c>
      <c r="N3146" s="2"/>
      <c r="O3146" s="2"/>
      <c r="P3146" s="1"/>
      <c r="Q3146" s="1"/>
      <c r="R3146" s="1"/>
      <c r="S3146" s="1"/>
      <c r="T3146" s="1"/>
      <c r="U3146" s="1"/>
      <c r="V3146" s="1"/>
      <c r="W3146" s="1"/>
      <c r="X3146" s="1"/>
      <c r="Y3146" s="1"/>
      <c r="Z3146" s="1"/>
      <c r="AA3146" s="1"/>
      <c r="AB3146" s="1"/>
      <c r="AC3146" s="1"/>
      <c r="AD3146" s="1"/>
      <c r="AE3146" s="1"/>
      <c r="AF3146" s="1"/>
      <c r="AG3146" s="1"/>
      <c r="AH3146" s="1"/>
      <c r="AI3146" s="1"/>
      <c r="AJ3146" s="1"/>
      <c r="AK3146" s="1"/>
      <c r="AL3146" s="1"/>
      <c r="AM3146" s="1"/>
      <c r="AN3146" s="1"/>
      <c r="AO3146" s="1"/>
      <c r="AP3146" s="1"/>
      <c r="AQ3146" s="1"/>
      <c r="AR3146" s="1"/>
      <c r="AS3146" s="1"/>
      <c r="AT3146" s="1"/>
      <c r="AU3146" s="1"/>
      <c r="AV3146" s="1"/>
      <c r="AW3146" s="1"/>
      <c r="AX3146" s="1"/>
      <c r="AY3146" s="1"/>
      <c r="AZ3146" s="1"/>
      <c r="BA3146" s="1"/>
      <c r="BB3146" s="1"/>
    </row>
    <row r="3147" ht="204.75" customHeight="1">
      <c r="A3147" s="1">
        <v>6107.0</v>
      </c>
      <c r="B3147" s="2" t="s">
        <v>9395</v>
      </c>
      <c r="C3147" s="2">
        <f>IFERROR(__xludf.DUMMYFUNCTION("split(B3147,""_"")"),710.0)</f>
        <v>710</v>
      </c>
      <c r="D3147" s="2" t="str">
        <f>IFERROR(__xludf.DUMMYFUNCTION("""COMPUTED_VALUE"""),"EX")</f>
        <v>EX</v>
      </c>
      <c r="E3147" s="2" t="str">
        <f>IFERROR(__xludf.DUMMYFUNCTION("""COMPUTED_VALUE"""),"金21")</f>
        <v>金21</v>
      </c>
      <c r="F3147" s="2" t="s">
        <v>9396</v>
      </c>
      <c r="G3147" s="2" t="s">
        <v>9411</v>
      </c>
      <c r="H3147" s="1">
        <v>8.0</v>
      </c>
      <c r="J3147" s="1" t="s">
        <v>11</v>
      </c>
      <c r="K3147" s="2" t="s">
        <v>9412</v>
      </c>
      <c r="L3147" s="11" t="s">
        <v>9412</v>
      </c>
      <c r="M3147" s="2" t="str">
        <f>IFERROR(__xludf.DUMMYFUNCTION("split(split(K3147,""…"",false),""公式LINE"",false)"),"六年前と同じように篤(高橋克典)が姿を消し、弥生(国仲涼子)と凛子(夏居瑠奈)は不安を募らせる。篤を恋しがる健太郎(吉川史樹)と真美(遠藤由実)のため、弥生は洋介(小泉孝太郎)と協力して篤を捜すが、行方は一向につかめない。疲れ切って万作(加藤茶)の店に寄った弥生たちは、そこで酒を飲んでいる篤を発見する。怒った弥生は篤を家に連れて帰るが、凛子は家に入ることを許さない。再び家を出ていく篤の手には、六年前のクリスマスに撮った家族写真が握られていた。")</f>
        <v>六年前と同じように篤(高橋克典)が姿を消し、弥生(国仲涼子)と凛子(夏居瑠奈)は不安を募らせる。篤を恋しがる健太郎(吉川史樹)と真美(遠藤由実)のため、弥生は洋介(小泉孝太郎)と協力して篤を捜すが、行方は一向につかめない。疲れ切って万作(加藤茶)の店に寄った弥生たちは、そこで酒を飲んでいる篤を発見する。怒った弥生は篤を家に連れて帰るが、凛子は家に入ることを許さない。再び家を出ていく篤の手には、六年前のクリスマスに撮った家族写真が握られていた。</v>
      </c>
      <c r="N3147" s="2"/>
      <c r="O3147" s="2"/>
      <c r="P3147" s="1"/>
      <c r="Q3147" s="1"/>
      <c r="R3147" s="1"/>
      <c r="S3147" s="1"/>
      <c r="T3147" s="1"/>
      <c r="U3147" s="1"/>
      <c r="V3147" s="1"/>
      <c r="W3147" s="1"/>
      <c r="X3147" s="1"/>
      <c r="Y3147" s="1"/>
      <c r="Z3147" s="1"/>
      <c r="AA3147" s="1"/>
      <c r="AB3147" s="1"/>
      <c r="AC3147" s="1"/>
      <c r="AD3147" s="1"/>
      <c r="AE3147" s="1"/>
      <c r="AF3147" s="1"/>
      <c r="AG3147" s="1"/>
      <c r="AH3147" s="1"/>
      <c r="AI3147" s="1"/>
      <c r="AJ3147" s="1"/>
      <c r="AK3147" s="1"/>
      <c r="AL3147" s="1"/>
      <c r="AM3147" s="1"/>
      <c r="AN3147" s="1"/>
      <c r="AO3147" s="1"/>
      <c r="AP3147" s="1"/>
      <c r="AQ3147" s="1"/>
      <c r="AR3147" s="1"/>
      <c r="AS3147" s="1"/>
      <c r="AT3147" s="1"/>
      <c r="AU3147" s="1"/>
      <c r="AV3147" s="1"/>
      <c r="AW3147" s="1"/>
      <c r="AX3147" s="1"/>
      <c r="AY3147" s="1"/>
      <c r="AZ3147" s="1"/>
      <c r="BA3147" s="1"/>
      <c r="BB3147" s="1"/>
    </row>
    <row r="3148" ht="204.75" customHeight="1">
      <c r="A3148" s="1">
        <v>6120.0</v>
      </c>
      <c r="B3148" s="2" t="s">
        <v>9413</v>
      </c>
      <c r="C3148" s="2">
        <f>IFERROR(__xludf.DUMMYFUNCTION("split(B3148,""_"")"),710.0)</f>
        <v>710</v>
      </c>
      <c r="D3148" s="2" t="str">
        <f>IFERROR(__xludf.DUMMYFUNCTION("""COMPUTED_VALUE"""),"EX")</f>
        <v>EX</v>
      </c>
      <c r="E3148" s="2" t="str">
        <f>IFERROR(__xludf.DUMMYFUNCTION("""COMPUTED_VALUE"""),"金23")</f>
        <v>金23</v>
      </c>
      <c r="F3148" s="2" t="s">
        <v>9414</v>
      </c>
      <c r="G3148" s="2" t="s">
        <v>9415</v>
      </c>
      <c r="H3148" s="1">
        <v>1.0</v>
      </c>
      <c r="J3148" s="1" t="s">
        <v>1435</v>
      </c>
      <c r="K3148" s="2" t="s">
        <v>9416</v>
      </c>
      <c r="L3148" s="11" t="s">
        <v>9416</v>
      </c>
      <c r="M3148" s="2" t="str">
        <f>IFERROR(__xludf.DUMMYFUNCTION("split(split(K3148,""…"",false),""公式LINE"",false)"),"葬儀会社で働く長谷川桃子(北川景子)が、自分の特殊な能力に気付き、現世に思いを残した死者を救うために悪戦苦闘する。原作・加藤実秋、脚本・真柴あずき、演出・片山修。　ウエディングプランナーの桃子(北川)は、結婚式を台無しにしてしまい、葬儀会社に異動を命じられる。”特殊清掃”の依頼を受けて現場に向かった桃子は、そこで銀行強盗が警官に射殺されたことを聞き、特殊清掃とは殺害現場を片付けることだと知る。桃子は遺体を引き取ることになり警察に向かうが、その遺体は、高校時代の恩師・平松(小倉久寛)だった。ショックを受けな"&amp;"がらも、警部補の横内(マギー)から平松の遺品を預かった桃子は、遺品に触れた瞬間、強い耳鳴りに襲われる。")</f>
        <v>葬儀会社で働く長谷川桃子(北川景子)が、自分の特殊な能力に気付き、現世に思いを残した死者を救うために悪戦苦闘する。原作・加藤実秋、脚本・真柴あずき、演出・片山修。　ウエディングプランナーの桃子(北川)は、結婚式を台無しにしてしまい、葬儀会社に異動を命じられる。”特殊清掃”の依頼を受けて現場に向かった桃子は、そこで銀行強盗が警官に射殺されたことを聞き、特殊清掃とは殺害現場を片付けることだと知る。桃子は遺体を引き取ることになり警察に向かうが、その遺体は、高校時代の恩師・平松(小倉久寛)だった。ショックを受けながらも、警部補の横内(マギー)から平松の遺品を預かった桃子は、遺品に触れた瞬間、強い耳鳴りに襲われる。</v>
      </c>
      <c r="N3148" s="2"/>
      <c r="O3148" s="2"/>
      <c r="P3148" s="1"/>
      <c r="Q3148" s="1"/>
      <c r="R3148" s="1"/>
      <c r="S3148" s="1"/>
      <c r="T3148" s="1"/>
      <c r="U3148" s="1"/>
      <c r="V3148" s="1"/>
      <c r="W3148" s="1"/>
      <c r="X3148" s="1"/>
      <c r="Y3148" s="1"/>
      <c r="Z3148" s="1"/>
      <c r="AA3148" s="1"/>
      <c r="AB3148" s="1"/>
      <c r="AC3148" s="1"/>
      <c r="AD3148" s="1"/>
      <c r="AE3148" s="1"/>
      <c r="AF3148" s="1"/>
      <c r="AG3148" s="1"/>
      <c r="AH3148" s="1"/>
      <c r="AI3148" s="1"/>
      <c r="AJ3148" s="1"/>
      <c r="AK3148" s="1"/>
      <c r="AL3148" s="1"/>
      <c r="AM3148" s="1"/>
      <c r="AN3148" s="1"/>
      <c r="AO3148" s="1"/>
      <c r="AP3148" s="1"/>
      <c r="AQ3148" s="1"/>
      <c r="AR3148" s="1"/>
      <c r="AS3148" s="1"/>
      <c r="AT3148" s="1"/>
      <c r="AU3148" s="1"/>
      <c r="AV3148" s="1"/>
      <c r="AW3148" s="1"/>
      <c r="AX3148" s="1"/>
      <c r="AY3148" s="1"/>
      <c r="AZ3148" s="1"/>
      <c r="BA3148" s="1"/>
      <c r="BB3148" s="1"/>
    </row>
    <row r="3149" ht="204.75" customHeight="1">
      <c r="A3149" s="1">
        <v>6121.0</v>
      </c>
      <c r="B3149" s="2" t="s">
        <v>9413</v>
      </c>
      <c r="C3149" s="2">
        <f>IFERROR(__xludf.DUMMYFUNCTION("split(B3149,""_"")"),710.0)</f>
        <v>710</v>
      </c>
      <c r="D3149" s="2" t="str">
        <f>IFERROR(__xludf.DUMMYFUNCTION("""COMPUTED_VALUE"""),"EX")</f>
        <v>EX</v>
      </c>
      <c r="E3149" s="2" t="str">
        <f>IFERROR(__xludf.DUMMYFUNCTION("""COMPUTED_VALUE"""),"金23")</f>
        <v>金23</v>
      </c>
      <c r="F3149" s="2" t="s">
        <v>9414</v>
      </c>
      <c r="G3149" s="2" t="s">
        <v>9417</v>
      </c>
      <c r="H3149" s="1">
        <v>2.0</v>
      </c>
      <c r="J3149" s="1" t="s">
        <v>1435</v>
      </c>
      <c r="K3149" s="2" t="s">
        <v>9418</v>
      </c>
      <c r="L3149" s="11" t="s">
        <v>9418</v>
      </c>
      <c r="M3149" s="2" t="str">
        <f>IFERROR(__xludf.DUMMYFUNCTION("split(split(K3149,""【"",false),""公式LINE"",false)"),"ブライダルショーに出演する人気モデル・綾乃(酒井彩名)が殺害された。大会社の社長令嬢である綾乃は、会社社長の本宮(西村清孝)と婚約し、挙式を来週に控えていた。偶然、現場に居合わせた桃子(北川景子)は、大友(谷原章介)とともに現場の片付けに向かい、綾乃の遺体にすがる本宮の姿を見る。だが、警部補の横内(マギー)から、本宮こそが綾乃殺害の第一容疑者だと聞き、驚く。綾乃の無念を思いながら現場を片付けていた桃子は、彼女が大切にしていたブーケを手に取った瞬間、激しい耳鳴りに襲われる。")</f>
        <v>ブライダルショーに出演する人気モデル・綾乃(酒井彩名)が殺害された。大会社の社長令嬢である綾乃は、会社社長の本宮(西村清孝)と婚約し、挙式を来週に控えていた。偶然、現場に居合わせた桃子(北川景子)は、大友(谷原章介)とともに現場の片付けに向かい、綾乃の遺体にすがる本宮の姿を見る。だが、警部補の横内(マギー)から、本宮こそが綾乃殺害の第一容疑者だと聞き、驚く。綾乃の無念を思いながら現場を片付けていた桃子は、彼女が大切にしていたブーケを手に取った瞬間、激しい耳鳴りに襲われる。</v>
      </c>
      <c r="N3149" s="2"/>
      <c r="O3149" s="2"/>
      <c r="P3149" s="1"/>
      <c r="Q3149" s="1"/>
      <c r="R3149" s="1"/>
      <c r="S3149" s="1"/>
      <c r="T3149" s="1"/>
      <c r="U3149" s="1"/>
      <c r="V3149" s="1"/>
      <c r="W3149" s="1"/>
      <c r="X3149" s="1"/>
      <c r="Y3149" s="1"/>
      <c r="Z3149" s="1"/>
      <c r="AA3149" s="1"/>
      <c r="AB3149" s="1"/>
      <c r="AC3149" s="1"/>
      <c r="AD3149" s="1"/>
      <c r="AE3149" s="1"/>
      <c r="AF3149" s="1"/>
      <c r="AG3149" s="1"/>
      <c r="AH3149" s="1"/>
      <c r="AI3149" s="1"/>
      <c r="AJ3149" s="1"/>
      <c r="AK3149" s="1"/>
      <c r="AL3149" s="1"/>
      <c r="AM3149" s="1"/>
      <c r="AN3149" s="1"/>
      <c r="AO3149" s="1"/>
      <c r="AP3149" s="1"/>
      <c r="AQ3149" s="1"/>
      <c r="AR3149" s="1"/>
      <c r="AS3149" s="1"/>
      <c r="AT3149" s="1"/>
      <c r="AU3149" s="1"/>
      <c r="AV3149" s="1"/>
      <c r="AW3149" s="1"/>
      <c r="AX3149" s="1"/>
      <c r="AY3149" s="1"/>
      <c r="AZ3149" s="1"/>
      <c r="BA3149" s="1"/>
      <c r="BB3149" s="1"/>
    </row>
    <row r="3150" ht="204.75" customHeight="1">
      <c r="A3150" s="1">
        <v>6122.0</v>
      </c>
      <c r="B3150" s="2" t="s">
        <v>9413</v>
      </c>
      <c r="C3150" s="2">
        <f>IFERROR(__xludf.DUMMYFUNCTION("split(B3150,""_"")"),710.0)</f>
        <v>710</v>
      </c>
      <c r="D3150" s="2" t="str">
        <f>IFERROR(__xludf.DUMMYFUNCTION("""COMPUTED_VALUE"""),"EX")</f>
        <v>EX</v>
      </c>
      <c r="E3150" s="2" t="str">
        <f>IFERROR(__xludf.DUMMYFUNCTION("""COMPUTED_VALUE"""),"金23")</f>
        <v>金23</v>
      </c>
      <c r="F3150" s="2" t="s">
        <v>9414</v>
      </c>
      <c r="G3150" s="2" t="s">
        <v>9419</v>
      </c>
      <c r="H3150" s="1">
        <v>3.0</v>
      </c>
      <c r="J3150" s="1" t="s">
        <v>1435</v>
      </c>
      <c r="K3150" s="2" t="s">
        <v>9420</v>
      </c>
      <c r="L3150" s="11" t="s">
        <v>9420</v>
      </c>
      <c r="M3150" s="2" t="str">
        <f>IFERROR(__xludf.DUMMYFUNCTION("split(split(K3150,""【"",false),""公式LINE"",false)"),"汚職疑惑の会見中に、都議会議員・小百合(宝生舞)が殺害された。清掃に向かった桃子(北川景子)と大友(谷原章介)は、現場で小百合の元秘書で高校時代からの同級生・佳代(小西美帆)とライバル議員の蘭子(片桐はいり)に会う。その蘭子のバッグから、殺害に使われたと見られる導線の一部が発見され、蘭子は小百合殺害の第一容疑者に挙げられる。その夜、現場に小百合のバッジを探しに行った桃子は、バッジを手に取った瞬間、耳鳴りを感じる。")</f>
        <v>汚職疑惑の会見中に、都議会議員・小百合(宝生舞)が殺害された。清掃に向かった桃子(北川景子)と大友(谷原章介)は、現場で小百合の元秘書で高校時代からの同級生・佳代(小西美帆)とライバル議員の蘭子(片桐はいり)に会う。その蘭子のバッグから、殺害に使われたと見られる導線の一部が発見され、蘭子は小百合殺害の第一容疑者に挙げられる。その夜、現場に小百合のバッジを探しに行った桃子は、バッジを手に取った瞬間、耳鳴りを感じる。</v>
      </c>
      <c r="N3150" s="2"/>
      <c r="O3150" s="2"/>
      <c r="P3150" s="1"/>
      <c r="Q3150" s="1"/>
      <c r="R3150" s="1"/>
      <c r="S3150" s="1"/>
      <c r="T3150" s="1"/>
      <c r="U3150" s="1"/>
      <c r="V3150" s="1"/>
      <c r="W3150" s="1"/>
      <c r="X3150" s="1"/>
      <c r="Y3150" s="1"/>
      <c r="Z3150" s="1"/>
      <c r="AA3150" s="1"/>
      <c r="AB3150" s="1"/>
      <c r="AC3150" s="1"/>
      <c r="AD3150" s="1"/>
      <c r="AE3150" s="1"/>
      <c r="AF3150" s="1"/>
      <c r="AG3150" s="1"/>
      <c r="AH3150" s="1"/>
      <c r="AI3150" s="1"/>
      <c r="AJ3150" s="1"/>
      <c r="AK3150" s="1"/>
      <c r="AL3150" s="1"/>
      <c r="AM3150" s="1"/>
      <c r="AN3150" s="1"/>
      <c r="AO3150" s="1"/>
      <c r="AP3150" s="1"/>
      <c r="AQ3150" s="1"/>
      <c r="AR3150" s="1"/>
      <c r="AS3150" s="1"/>
      <c r="AT3150" s="1"/>
      <c r="AU3150" s="1"/>
      <c r="AV3150" s="1"/>
      <c r="AW3150" s="1"/>
      <c r="AX3150" s="1"/>
      <c r="AY3150" s="1"/>
      <c r="AZ3150" s="1"/>
      <c r="BA3150" s="1"/>
      <c r="BB3150" s="1"/>
    </row>
    <row r="3151" ht="204.75" customHeight="1">
      <c r="A3151" s="1">
        <v>6123.0</v>
      </c>
      <c r="B3151" s="2" t="s">
        <v>9413</v>
      </c>
      <c r="C3151" s="2">
        <f>IFERROR(__xludf.DUMMYFUNCTION("split(B3151,""_"")"),710.0)</f>
        <v>710</v>
      </c>
      <c r="D3151" s="2" t="str">
        <f>IFERROR(__xludf.DUMMYFUNCTION("""COMPUTED_VALUE"""),"EX")</f>
        <v>EX</v>
      </c>
      <c r="E3151" s="2" t="str">
        <f>IFERROR(__xludf.DUMMYFUNCTION("""COMPUTED_VALUE"""),"金23")</f>
        <v>金23</v>
      </c>
      <c r="F3151" s="2" t="s">
        <v>9414</v>
      </c>
      <c r="G3151" s="2" t="s">
        <v>9421</v>
      </c>
      <c r="H3151" s="1">
        <v>4.0</v>
      </c>
      <c r="J3151" s="1" t="s">
        <v>1435</v>
      </c>
      <c r="K3151" s="2" t="s">
        <v>9422</v>
      </c>
      <c r="L3151" s="11" t="s">
        <v>9422</v>
      </c>
      <c r="M3151" s="2" t="str">
        <f>IFERROR(__xludf.DUMMYFUNCTION("split(split(K3151,""【"",false),""公式LINE"",false)"),"メイド喫茶で働く真理(小出早織)が、ストーカーの塚田(坂本真)に殺害され、塚田自身も自殺するという事件が発生した。警察から塚田の遺体を引き取るよう依頼された桃子(北川景子)は、彼の自宅へ向かう。報道陣に囲まれる塚田の母親・初子(山口美也子)に近づこうとした時、桃子は彼女の手から何かが落ちるのを見る。彼女が落としたチェスの駒に触れた桃子は、強い耳鳴りに襲われる。")</f>
        <v>メイド喫茶で働く真理(小出早織)が、ストーカーの塚田(坂本真)に殺害され、塚田自身も自殺するという事件が発生した。警察から塚田の遺体を引き取るよう依頼された桃子(北川景子)は、彼の自宅へ向かう。報道陣に囲まれる塚田の母親・初子(山口美也子)に近づこうとした時、桃子は彼女の手から何かが落ちるのを見る。彼女が落としたチェスの駒に触れた桃子は、強い耳鳴りに襲われる。</v>
      </c>
      <c r="N3151" s="2"/>
      <c r="O3151" s="2"/>
      <c r="P3151" s="1"/>
      <c r="Q3151" s="1"/>
      <c r="R3151" s="1"/>
      <c r="S3151" s="1"/>
      <c r="T3151" s="1"/>
      <c r="U3151" s="1"/>
      <c r="V3151" s="1"/>
      <c r="W3151" s="1"/>
      <c r="X3151" s="1"/>
      <c r="Y3151" s="1"/>
      <c r="Z3151" s="1"/>
      <c r="AA3151" s="1"/>
      <c r="AB3151" s="1"/>
      <c r="AC3151" s="1"/>
      <c r="AD3151" s="1"/>
      <c r="AE3151" s="1"/>
      <c r="AF3151" s="1"/>
      <c r="AG3151" s="1"/>
      <c r="AH3151" s="1"/>
      <c r="AI3151" s="1"/>
      <c r="AJ3151" s="1"/>
      <c r="AK3151" s="1"/>
      <c r="AL3151" s="1"/>
      <c r="AM3151" s="1"/>
      <c r="AN3151" s="1"/>
      <c r="AO3151" s="1"/>
      <c r="AP3151" s="1"/>
      <c r="AQ3151" s="1"/>
      <c r="AR3151" s="1"/>
      <c r="AS3151" s="1"/>
      <c r="AT3151" s="1"/>
      <c r="AU3151" s="1"/>
      <c r="AV3151" s="1"/>
      <c r="AW3151" s="1"/>
      <c r="AX3151" s="1"/>
      <c r="AY3151" s="1"/>
      <c r="AZ3151" s="1"/>
      <c r="BA3151" s="1"/>
      <c r="BB3151" s="1"/>
    </row>
    <row r="3152" ht="204.75" customHeight="1">
      <c r="A3152" s="1">
        <v>6124.0</v>
      </c>
      <c r="B3152" s="2" t="s">
        <v>9413</v>
      </c>
      <c r="C3152" s="2">
        <f>IFERROR(__xludf.DUMMYFUNCTION("split(B3152,""_"")"),710.0)</f>
        <v>710</v>
      </c>
      <c r="D3152" s="2" t="str">
        <f>IFERROR(__xludf.DUMMYFUNCTION("""COMPUTED_VALUE"""),"EX")</f>
        <v>EX</v>
      </c>
      <c r="E3152" s="2" t="str">
        <f>IFERROR(__xludf.DUMMYFUNCTION("""COMPUTED_VALUE"""),"金23")</f>
        <v>金23</v>
      </c>
      <c r="F3152" s="2" t="s">
        <v>9414</v>
      </c>
      <c r="G3152" s="2" t="s">
        <v>9423</v>
      </c>
      <c r="H3152" s="1">
        <v>5.0</v>
      </c>
      <c r="J3152" s="1" t="s">
        <v>1435</v>
      </c>
      <c r="K3152" s="2" t="s">
        <v>9424</v>
      </c>
      <c r="L3152" s="11" t="s">
        <v>9424</v>
      </c>
      <c r="M3152" s="2" t="str">
        <f>IFERROR(__xludf.DUMMYFUNCTION("split(split(K3152,""【"",false),""公式LINE"",false)"),"フリーの葬儀コーディネーター・大津(橋本さとし)が殺害された。大津は桃子(北川景子)が勤める会社「リトルエンジェルズ」の社長・東(佐藤二朗)の幼なじみであり、ライバルの同業者でもある。東は以前から大津と仲が悪く、殺害現場近くで目撃証言があったため、第一容疑者として警察に連行される。東の無実を信じる桃子は彼のぬれぎぬを晴らしたいと考え、初めて自分の意思で過去に戻る。")</f>
        <v>フリーの葬儀コーディネーター・大津(橋本さとし)が殺害された。大津は桃子(北川景子)が勤める会社「リトルエンジェルズ」の社長・東(佐藤二朗)の幼なじみであり、ライバルの同業者でもある。東は以前から大津と仲が悪く、殺害現場近くで目撃証言があったため、第一容疑者として警察に連行される。東の無実を信じる桃子は彼のぬれぎぬを晴らしたいと考え、初めて自分の意思で過去に戻る。</v>
      </c>
      <c r="N3152" s="2"/>
      <c r="O3152" s="2"/>
      <c r="P3152" s="1"/>
      <c r="Q3152" s="1"/>
      <c r="R3152" s="1"/>
      <c r="S3152" s="1"/>
      <c r="T3152" s="1"/>
      <c r="U3152" s="1"/>
      <c r="V3152" s="1"/>
      <c r="W3152" s="1"/>
      <c r="X3152" s="1"/>
      <c r="Y3152" s="1"/>
      <c r="Z3152" s="1"/>
      <c r="AA3152" s="1"/>
      <c r="AB3152" s="1"/>
      <c r="AC3152" s="1"/>
      <c r="AD3152" s="1"/>
      <c r="AE3152" s="1"/>
      <c r="AF3152" s="1"/>
      <c r="AG3152" s="1"/>
      <c r="AH3152" s="1"/>
      <c r="AI3152" s="1"/>
      <c r="AJ3152" s="1"/>
      <c r="AK3152" s="1"/>
      <c r="AL3152" s="1"/>
      <c r="AM3152" s="1"/>
      <c r="AN3152" s="1"/>
      <c r="AO3152" s="1"/>
      <c r="AP3152" s="1"/>
      <c r="AQ3152" s="1"/>
      <c r="AR3152" s="1"/>
      <c r="AS3152" s="1"/>
      <c r="AT3152" s="1"/>
      <c r="AU3152" s="1"/>
      <c r="AV3152" s="1"/>
      <c r="AW3152" s="1"/>
      <c r="AX3152" s="1"/>
      <c r="AY3152" s="1"/>
      <c r="AZ3152" s="1"/>
      <c r="BA3152" s="1"/>
      <c r="BB3152" s="1"/>
    </row>
    <row r="3153" ht="204.75" customHeight="1">
      <c r="A3153" s="1">
        <v>6125.0</v>
      </c>
      <c r="B3153" s="2" t="s">
        <v>9413</v>
      </c>
      <c r="C3153" s="2">
        <f>IFERROR(__xludf.DUMMYFUNCTION("split(B3153,""_"")"),710.0)</f>
        <v>710</v>
      </c>
      <c r="D3153" s="2" t="str">
        <f>IFERROR(__xludf.DUMMYFUNCTION("""COMPUTED_VALUE"""),"EX")</f>
        <v>EX</v>
      </c>
      <c r="E3153" s="2" t="str">
        <f>IFERROR(__xludf.DUMMYFUNCTION("""COMPUTED_VALUE"""),"金23")</f>
        <v>金23</v>
      </c>
      <c r="F3153" s="2" t="s">
        <v>9414</v>
      </c>
      <c r="G3153" s="2" t="s">
        <v>9425</v>
      </c>
      <c r="H3153" s="1">
        <v>6.0</v>
      </c>
      <c r="J3153" s="1" t="s">
        <v>1435</v>
      </c>
      <c r="K3153" s="2" t="s">
        <v>9426</v>
      </c>
      <c r="L3153" s="11" t="s">
        <v>9426</v>
      </c>
      <c r="M3153" s="2" t="str">
        <f>IFERROR(__xludf.DUMMYFUNCTION("split(split(K3153,""【"",false),""公式LINE"",false)"),"女優志望の元グラビアアイドル・明日香(佐藤仁美)が殺害された。犯人はちまたで話題になっていた、鎌(かま)を持って人を襲う”鎌男”。明日香の女優への並々ならぬ意欲を知っていた桃子(北川景子)は、殺害現場を掃除している際に、彼女の鈴が落ちているのを発見する。桃子は明日香の無念を思いながら鈴を手に取り、彼女が殺されるのを防ごうと過去に戻っていく。")</f>
        <v>女優志望の元グラビアアイドル・明日香(佐藤仁美)が殺害された。犯人はちまたで話題になっていた、鎌(かま)を持って人を襲う”鎌男”。明日香の女優への並々ならぬ意欲を知っていた桃子(北川景子)は、殺害現場を掃除している際に、彼女の鈴が落ちているのを発見する。桃子は明日香の無念を思いながら鈴を手に取り、彼女が殺されるのを防ごうと過去に戻っていく。</v>
      </c>
      <c r="N3153" s="2"/>
      <c r="O3153" s="2"/>
      <c r="P3153" s="1"/>
      <c r="Q3153" s="1"/>
      <c r="R3153" s="1"/>
      <c r="S3153" s="1"/>
      <c r="T3153" s="1"/>
      <c r="U3153" s="1"/>
      <c r="V3153" s="1"/>
      <c r="W3153" s="1"/>
      <c r="X3153" s="1"/>
      <c r="Y3153" s="1"/>
      <c r="Z3153" s="1"/>
      <c r="AA3153" s="1"/>
      <c r="AB3153" s="1"/>
      <c r="AC3153" s="1"/>
      <c r="AD3153" s="1"/>
      <c r="AE3153" s="1"/>
      <c r="AF3153" s="1"/>
      <c r="AG3153" s="1"/>
      <c r="AH3153" s="1"/>
      <c r="AI3153" s="1"/>
      <c r="AJ3153" s="1"/>
      <c r="AK3153" s="1"/>
      <c r="AL3153" s="1"/>
      <c r="AM3153" s="1"/>
      <c r="AN3153" s="1"/>
      <c r="AO3153" s="1"/>
      <c r="AP3153" s="1"/>
      <c r="AQ3153" s="1"/>
      <c r="AR3153" s="1"/>
      <c r="AS3153" s="1"/>
      <c r="AT3153" s="1"/>
      <c r="AU3153" s="1"/>
      <c r="AV3153" s="1"/>
      <c r="AW3153" s="1"/>
      <c r="AX3153" s="1"/>
      <c r="AY3153" s="1"/>
      <c r="AZ3153" s="1"/>
      <c r="BA3153" s="1"/>
      <c r="BB3153" s="1"/>
    </row>
    <row r="3154" ht="204.75" customHeight="1">
      <c r="A3154" s="1">
        <v>6126.0</v>
      </c>
      <c r="B3154" s="2" t="s">
        <v>9413</v>
      </c>
      <c r="C3154" s="2">
        <f>IFERROR(__xludf.DUMMYFUNCTION("split(B3154,""_"")"),710.0)</f>
        <v>710</v>
      </c>
      <c r="D3154" s="2" t="str">
        <f>IFERROR(__xludf.DUMMYFUNCTION("""COMPUTED_VALUE"""),"EX")</f>
        <v>EX</v>
      </c>
      <c r="E3154" s="2" t="str">
        <f>IFERROR(__xludf.DUMMYFUNCTION("""COMPUTED_VALUE"""),"金23")</f>
        <v>金23</v>
      </c>
      <c r="F3154" s="2" t="s">
        <v>9414</v>
      </c>
      <c r="G3154" s="2" t="s">
        <v>9427</v>
      </c>
      <c r="H3154" s="1">
        <v>7.0</v>
      </c>
      <c r="J3154" s="1" t="s">
        <v>1435</v>
      </c>
      <c r="K3154" s="2" t="s">
        <v>9428</v>
      </c>
      <c r="L3154" s="11" t="s">
        <v>9428</v>
      </c>
      <c r="M3154" s="2" t="str">
        <f>IFERROR(__xludf.DUMMYFUNCTION("split(split(K3154,""【"",false),""公式LINE"",false)"),"名門高校の女子生徒・亜衣(尾高杏奈)が殺害された。警察は容疑者として同じ高校の化学教師・小泉(村杉蝉之介)を任意同行する。遺体の清掃に行った桃子(北川景子)は、亜衣が近所の名門高校の”イケメン”三人組の一人・尾関(山口翔悟)と一緒に撮ったプリクラが張られたカードケースを発見する。それに触れた桃子は事件があった日の朝に戻り、大友(谷原章介)とともに真相を突き止め、事件を阻止しようと高校に潜入する。")</f>
        <v>名門高校の女子生徒・亜衣(尾高杏奈)が殺害された。警察は容疑者として同じ高校の化学教師・小泉(村杉蝉之介)を任意同行する。遺体の清掃に行った桃子(北川景子)は、亜衣が近所の名門高校の”イケメン”三人組の一人・尾関(山口翔悟)と一緒に撮ったプリクラが張られたカードケースを発見する。それに触れた桃子は事件があった日の朝に戻り、大友(谷原章介)とともに真相を突き止め、事件を阻止しようと高校に潜入する。</v>
      </c>
      <c r="N3154" s="2"/>
      <c r="O3154" s="2"/>
      <c r="P3154" s="1"/>
      <c r="Q3154" s="1"/>
      <c r="R3154" s="1"/>
      <c r="S3154" s="1"/>
      <c r="T3154" s="1"/>
      <c r="U3154" s="1"/>
      <c r="V3154" s="1"/>
      <c r="W3154" s="1"/>
      <c r="X3154" s="1"/>
      <c r="Y3154" s="1"/>
      <c r="Z3154" s="1"/>
      <c r="AA3154" s="1"/>
      <c r="AB3154" s="1"/>
      <c r="AC3154" s="1"/>
      <c r="AD3154" s="1"/>
      <c r="AE3154" s="1"/>
      <c r="AF3154" s="1"/>
      <c r="AG3154" s="1"/>
      <c r="AH3154" s="1"/>
      <c r="AI3154" s="1"/>
      <c r="AJ3154" s="1"/>
      <c r="AK3154" s="1"/>
      <c r="AL3154" s="1"/>
      <c r="AM3154" s="1"/>
      <c r="AN3154" s="1"/>
      <c r="AO3154" s="1"/>
      <c r="AP3154" s="1"/>
      <c r="AQ3154" s="1"/>
      <c r="AR3154" s="1"/>
      <c r="AS3154" s="1"/>
      <c r="AT3154" s="1"/>
      <c r="AU3154" s="1"/>
      <c r="AV3154" s="1"/>
      <c r="AW3154" s="1"/>
      <c r="AX3154" s="1"/>
      <c r="AY3154" s="1"/>
      <c r="AZ3154" s="1"/>
      <c r="BA3154" s="1"/>
      <c r="BB3154" s="1"/>
    </row>
    <row r="3155" ht="204.75" customHeight="1">
      <c r="A3155" s="1">
        <v>6127.0</v>
      </c>
      <c r="B3155" s="2" t="s">
        <v>9413</v>
      </c>
      <c r="C3155" s="2">
        <f>IFERROR(__xludf.DUMMYFUNCTION("split(B3155,""_"")"),710.0)</f>
        <v>710</v>
      </c>
      <c r="D3155" s="2" t="str">
        <f>IFERROR(__xludf.DUMMYFUNCTION("""COMPUTED_VALUE"""),"EX")</f>
        <v>EX</v>
      </c>
      <c r="E3155" s="2" t="str">
        <f>IFERROR(__xludf.DUMMYFUNCTION("""COMPUTED_VALUE"""),"金23")</f>
        <v>金23</v>
      </c>
      <c r="F3155" s="2" t="s">
        <v>9414</v>
      </c>
      <c r="G3155" s="2" t="s">
        <v>9429</v>
      </c>
      <c r="H3155" s="1">
        <v>8.0</v>
      </c>
      <c r="J3155" s="1" t="s">
        <v>1435</v>
      </c>
      <c r="K3155" s="2" t="s">
        <v>9430</v>
      </c>
      <c r="L3155" s="11" t="s">
        <v>9430</v>
      </c>
      <c r="M3155" s="2" t="str">
        <f>IFERROR(__xludf.DUMMYFUNCTION("split(split(K3155,""【"",false),""公式LINE"",false)"),"”ケータイ小説”で人気の恋愛小説家・早乙女(加勢大周)が、自らが主催するパーティーの最中に殺害された。早乙女からパーティーに招かれていた桃子(北川景子)と大友(谷原章介)は、殺害現場に居合わせることに。桃子は現場で早乙女が大切にしていた万年筆を手に取り、激しい耳鳴りを感じる。事件の朝に戻った桃子は、大友と手分けをして、早乙女を恨んでいる人物がいなかったかを探り始める。")</f>
        <v>”ケータイ小説”で人気の恋愛小説家・早乙女(加勢大周)が、自らが主催するパーティーの最中に殺害された。早乙女からパーティーに招かれていた桃子(北川景子)と大友(谷原章介)は、殺害現場に居合わせることに。桃子は現場で早乙女が大切にしていた万年筆を手に取り、激しい耳鳴りを感じる。事件の朝に戻った桃子は、大友と手分けをして、早乙女を恨んでいる人物がいなかったかを探り始める。</v>
      </c>
      <c r="N3155" s="2"/>
      <c r="O3155" s="2"/>
      <c r="P3155" s="1"/>
      <c r="Q3155" s="1"/>
      <c r="R3155" s="1"/>
      <c r="S3155" s="1"/>
      <c r="T3155" s="1"/>
      <c r="U3155" s="1"/>
      <c r="V3155" s="1"/>
      <c r="W3155" s="1"/>
      <c r="X3155" s="1"/>
      <c r="Y3155" s="1"/>
      <c r="Z3155" s="1"/>
      <c r="AA3155" s="1"/>
      <c r="AB3155" s="1"/>
      <c r="AC3155" s="1"/>
      <c r="AD3155" s="1"/>
      <c r="AE3155" s="1"/>
      <c r="AF3155" s="1"/>
      <c r="AG3155" s="1"/>
      <c r="AH3155" s="1"/>
      <c r="AI3155" s="1"/>
      <c r="AJ3155" s="1"/>
      <c r="AK3155" s="1"/>
      <c r="AL3155" s="1"/>
      <c r="AM3155" s="1"/>
      <c r="AN3155" s="1"/>
      <c r="AO3155" s="1"/>
      <c r="AP3155" s="1"/>
      <c r="AQ3155" s="1"/>
      <c r="AR3155" s="1"/>
      <c r="AS3155" s="1"/>
      <c r="AT3155" s="1"/>
      <c r="AU3155" s="1"/>
      <c r="AV3155" s="1"/>
      <c r="AW3155" s="1"/>
      <c r="AX3155" s="1"/>
      <c r="AY3155" s="1"/>
      <c r="AZ3155" s="1"/>
      <c r="BA3155" s="1"/>
      <c r="BB3155" s="1"/>
    </row>
    <row r="3156" ht="204.75" customHeight="1">
      <c r="A3156" s="1">
        <v>6128.0</v>
      </c>
      <c r="B3156" s="2" t="s">
        <v>9413</v>
      </c>
      <c r="C3156" s="2">
        <f>IFERROR(__xludf.DUMMYFUNCTION("split(B3156,""_"")"),710.0)</f>
        <v>710</v>
      </c>
      <c r="D3156" s="2" t="str">
        <f>IFERROR(__xludf.DUMMYFUNCTION("""COMPUTED_VALUE"""),"EX")</f>
        <v>EX</v>
      </c>
      <c r="E3156" s="2" t="str">
        <f>IFERROR(__xludf.DUMMYFUNCTION("""COMPUTED_VALUE"""),"金23")</f>
        <v>金23</v>
      </c>
      <c r="F3156" s="2" t="s">
        <v>9414</v>
      </c>
      <c r="G3156" s="2" t="s">
        <v>9431</v>
      </c>
      <c r="H3156" s="1">
        <v>9.0</v>
      </c>
      <c r="J3156" s="1" t="s">
        <v>1435</v>
      </c>
      <c r="K3156" s="2" t="s">
        <v>9432</v>
      </c>
      <c r="L3156" s="11" t="s">
        <v>9432</v>
      </c>
      <c r="M3156" s="2" t="str">
        <f>IFERROR(__xludf.DUMMYFUNCTION("split(split(K3156,""【"",false),""公式LINE"",false)"),"暴力団の組長・北浜(葛山信吾)が、敵対する組との抗争中に銃で撃たれ、桃子(北川景子)の父・隆治(本田博太郎)が経営する病院に入院する。葬儀の生前予約をするために桃子たちを呼んだ北浜は突然、桃子に身の回りの世話を依頼。程なく、北浜は容体が急変し、亡くなる。病室の片付けをしていた桃子は、北浜が大切にしていた腕時計を手にし、耳鳴りを感じる。北浜が亡くなる日の朝に戻った桃子は、彼が生前会いたがっていた初恋の女性を捜し、会わせようと決意する。")</f>
        <v>暴力団の組長・北浜(葛山信吾)が、敵対する組との抗争中に銃で撃たれ、桃子(北川景子)の父・隆治(本田博太郎)が経営する病院に入院する。葬儀の生前予約をするために桃子たちを呼んだ北浜は突然、桃子に身の回りの世話を依頼。程なく、北浜は容体が急変し、亡くなる。病室の片付けをしていた桃子は、北浜が大切にしていた腕時計を手にし、耳鳴りを感じる。北浜が亡くなる日の朝に戻った桃子は、彼が生前会いたがっていた初恋の女性を捜し、会わせようと決意する。</v>
      </c>
      <c r="N3156" s="2"/>
      <c r="O3156" s="2"/>
      <c r="P3156" s="1"/>
      <c r="Q3156" s="1"/>
      <c r="R3156" s="1"/>
      <c r="S3156" s="1"/>
      <c r="T3156" s="1"/>
      <c r="U3156" s="1"/>
      <c r="V3156" s="1"/>
      <c r="W3156" s="1"/>
      <c r="X3156" s="1"/>
      <c r="Y3156" s="1"/>
      <c r="Z3156" s="1"/>
      <c r="AA3156" s="1"/>
      <c r="AB3156" s="1"/>
      <c r="AC3156" s="1"/>
      <c r="AD3156" s="1"/>
      <c r="AE3156" s="1"/>
      <c r="AF3156" s="1"/>
      <c r="AG3156" s="1"/>
      <c r="AH3156" s="1"/>
      <c r="AI3156" s="1"/>
      <c r="AJ3156" s="1"/>
      <c r="AK3156" s="1"/>
      <c r="AL3156" s="1"/>
      <c r="AM3156" s="1"/>
      <c r="AN3156" s="1"/>
      <c r="AO3156" s="1"/>
      <c r="AP3156" s="1"/>
      <c r="AQ3156" s="1"/>
      <c r="AR3156" s="1"/>
      <c r="AS3156" s="1"/>
      <c r="AT3156" s="1"/>
      <c r="AU3156" s="1"/>
      <c r="AV3156" s="1"/>
      <c r="AW3156" s="1"/>
      <c r="AX3156" s="1"/>
      <c r="AY3156" s="1"/>
      <c r="AZ3156" s="1"/>
      <c r="BA3156" s="1"/>
      <c r="BB3156" s="1"/>
    </row>
    <row r="3157" ht="204.75" customHeight="1">
      <c r="A3157" s="1">
        <v>6129.0</v>
      </c>
      <c r="B3157" s="2" t="s">
        <v>9413</v>
      </c>
      <c r="C3157" s="2">
        <f>IFERROR(__xludf.DUMMYFUNCTION("split(B3157,""_"")"),710.0)</f>
        <v>710</v>
      </c>
      <c r="D3157" s="2" t="str">
        <f>IFERROR(__xludf.DUMMYFUNCTION("""COMPUTED_VALUE"""),"EX")</f>
        <v>EX</v>
      </c>
      <c r="E3157" s="2" t="str">
        <f>IFERROR(__xludf.DUMMYFUNCTION("""COMPUTED_VALUE"""),"金23")</f>
        <v>金23</v>
      </c>
      <c r="F3157" s="2" t="s">
        <v>9414</v>
      </c>
      <c r="G3157" s="2" t="s">
        <v>9433</v>
      </c>
      <c r="H3157" s="1">
        <v>10.0</v>
      </c>
      <c r="J3157" s="1" t="s">
        <v>1435</v>
      </c>
      <c r="K3157" s="2" t="s">
        <v>9434</v>
      </c>
      <c r="L3157" s="11" t="s">
        <v>9434</v>
      </c>
      <c r="M3157" s="2" t="str">
        <f>IFERROR(__xludf.DUMMYFUNCTION("split(split(K3157,""【"",false),""公式LINE"",false)"),"ホストクラブを訪れた桃子(北川景子)は、ナンバーワンホストの雪弥(阿部力)が何者かに刺殺される現場に居合わせる。騒ぎになる中、桃子は建物の陰に犯人らしき人物を見つけて後を追うが、背後から襲われ、刺されてしまう。桃子は病院に搬送され、大友(谷原章介)らが駆け付けるが、意識は戻らない。だが、雪弥の娘・つらら(奥山志紀)が、雪弥が大事にしていたストラップを桃子に握らせると、桃子はその日の朝に戻り、事件を食い止めようと動き始める。")</f>
        <v>ホストクラブを訪れた桃子(北川景子)は、ナンバーワンホストの雪弥(阿部力)が何者かに刺殺される現場に居合わせる。騒ぎになる中、桃子は建物の陰に犯人らしき人物を見つけて後を追うが、背後から襲われ、刺されてしまう。桃子は病院に搬送され、大友(谷原章介)らが駆け付けるが、意識は戻らない。だが、雪弥の娘・つらら(奥山志紀)が、雪弥が大事にしていたストラップを桃子に握らせると、桃子はその日の朝に戻り、事件を食い止めようと動き始める。</v>
      </c>
      <c r="N3157" s="2"/>
      <c r="O3157" s="2"/>
      <c r="P3157" s="1"/>
      <c r="Q3157" s="1"/>
      <c r="R3157" s="1"/>
      <c r="S3157" s="1"/>
      <c r="T3157" s="1"/>
      <c r="U3157" s="1"/>
      <c r="V3157" s="1"/>
      <c r="W3157" s="1"/>
      <c r="X3157" s="1"/>
      <c r="Y3157" s="1"/>
      <c r="Z3157" s="1"/>
      <c r="AA3157" s="1"/>
      <c r="AB3157" s="1"/>
      <c r="AC3157" s="1"/>
      <c r="AD3157" s="1"/>
      <c r="AE3157" s="1"/>
      <c r="AF3157" s="1"/>
      <c r="AG3157" s="1"/>
      <c r="AH3157" s="1"/>
      <c r="AI3157" s="1"/>
      <c r="AJ3157" s="1"/>
      <c r="AK3157" s="1"/>
      <c r="AL3157" s="1"/>
      <c r="AM3157" s="1"/>
      <c r="AN3157" s="1"/>
      <c r="AO3157" s="1"/>
      <c r="AP3157" s="1"/>
      <c r="AQ3157" s="1"/>
      <c r="AR3157" s="1"/>
      <c r="AS3157" s="1"/>
      <c r="AT3157" s="1"/>
      <c r="AU3157" s="1"/>
      <c r="AV3157" s="1"/>
      <c r="AW3157" s="1"/>
      <c r="AX3157" s="1"/>
      <c r="AY3157" s="1"/>
      <c r="AZ3157" s="1"/>
      <c r="BA3157" s="1"/>
      <c r="BB3157" s="1"/>
    </row>
    <row r="3158" ht="204.75" customHeight="1">
      <c r="A3158" s="1">
        <v>32.0</v>
      </c>
      <c r="B3158" s="2" t="s">
        <v>9435</v>
      </c>
      <c r="C3158" s="2">
        <f>IFERROR(__xludf.DUMMYFUNCTION("split(B3158,""_"")"),1910.0)</f>
        <v>1910</v>
      </c>
      <c r="D3158" s="2" t="str">
        <f>IFERROR(__xludf.DUMMYFUNCTION("""COMPUTED_VALUE"""),"NTV")</f>
        <v>NTV</v>
      </c>
      <c r="E3158" s="2" t="str">
        <f>IFERROR(__xludf.DUMMYFUNCTION("""COMPUTED_VALUE"""),"水22")</f>
        <v>水22</v>
      </c>
      <c r="F3158" s="2" t="s">
        <v>9436</v>
      </c>
      <c r="G3158" s="2" t="s">
        <v>9437</v>
      </c>
      <c r="H3158" s="1">
        <v>1.0</v>
      </c>
      <c r="I3158" s="1" t="s">
        <v>3</v>
      </c>
      <c r="J3158" s="1" t="s">
        <v>82</v>
      </c>
      <c r="K3158" s="2" t="s">
        <v>9438</v>
      </c>
      <c r="L3158" s="11" t="s">
        <v>9439</v>
      </c>
      <c r="M3158" s="2" t="str">
        <f>IFERROR(__xludf.DUMMYFUNCTION("split(split(K3158,""【"",false),""公式LINE"",false)"),"2009年。花村建設の新入社員・北野サクラ（高畑充希）は、新人研修で同じ班になった同期の百合(橋本愛)、葵(新田真剣佑)、菊夫(竜星涼)、蓮太郎(岡山天音)と共に、配属先の決定に影響する課題に取り組むことに。「故郷の離島に橋を架けたい」という夢のためには、決して忖度しない性格のサクラは、同期を巻き込み会社組織の中で、思わぬ事態を引き起こし……。")</f>
        <v>2009年。花村建設の新入社員・北野サクラ（高畑充希）は、新人研修で同じ班になった同期の百合(橋本愛)、葵(新田真剣佑)、菊夫(竜星涼)、蓮太郎(岡山天音)と共に、配属先の決定に影響する課題に取り組むことに。「故郷の離島に橋を架けたい」という夢のためには、決して忖度しない性格のサクラは、同期を巻き込み会社組織の中で、思わぬ事態を引き起こし……。</v>
      </c>
      <c r="N3158" s="2"/>
      <c r="O3158" s="2"/>
      <c r="P3158" s="2"/>
      <c r="Q3158" s="2"/>
      <c r="R3158" s="2"/>
      <c r="S3158" s="2"/>
      <c r="T3158" s="2"/>
      <c r="U3158" s="2"/>
      <c r="V3158" s="2"/>
      <c r="W3158" s="2"/>
      <c r="X3158" s="2"/>
      <c r="Y3158" s="2"/>
      <c r="Z3158" s="2"/>
      <c r="AA3158" s="2"/>
      <c r="AB3158" s="2"/>
      <c r="AC3158" s="2"/>
      <c r="AD3158" s="2"/>
      <c r="AE3158" s="2"/>
      <c r="AF3158" s="2"/>
      <c r="AG3158" s="2"/>
      <c r="AH3158" s="2"/>
      <c r="AI3158" s="2"/>
      <c r="AJ3158" s="2"/>
      <c r="AK3158" s="2"/>
      <c r="AL3158" s="2"/>
      <c r="AM3158" s="2"/>
      <c r="AN3158" s="2"/>
      <c r="AO3158" s="2"/>
      <c r="AP3158" s="2"/>
      <c r="AQ3158" s="2"/>
      <c r="AR3158" s="2"/>
      <c r="AS3158" s="2"/>
      <c r="AT3158" s="2"/>
      <c r="AU3158" s="2"/>
      <c r="AV3158" s="2"/>
      <c r="AW3158" s="2"/>
      <c r="AX3158" s="2"/>
      <c r="AY3158" s="2"/>
      <c r="AZ3158" s="2"/>
      <c r="BA3158" s="2"/>
      <c r="BB3158" s="2"/>
    </row>
    <row r="3159" ht="204.75" customHeight="1">
      <c r="A3159" s="1">
        <v>33.0</v>
      </c>
      <c r="B3159" s="2" t="s">
        <v>9435</v>
      </c>
      <c r="C3159" s="2">
        <f>IFERROR(__xludf.DUMMYFUNCTION("split(B3159,""_"")"),1910.0)</f>
        <v>1910</v>
      </c>
      <c r="D3159" s="2" t="str">
        <f>IFERROR(__xludf.DUMMYFUNCTION("""COMPUTED_VALUE"""),"NTV")</f>
        <v>NTV</v>
      </c>
      <c r="E3159" s="2" t="str">
        <f>IFERROR(__xludf.DUMMYFUNCTION("""COMPUTED_VALUE"""),"水22")</f>
        <v>水22</v>
      </c>
      <c r="F3159" s="2" t="s">
        <v>9436</v>
      </c>
      <c r="G3159" s="2" t="s">
        <v>9440</v>
      </c>
      <c r="H3159" s="1">
        <v>2.0</v>
      </c>
      <c r="I3159" s="1" t="s">
        <v>7</v>
      </c>
      <c r="J3159" s="1" t="s">
        <v>82</v>
      </c>
      <c r="K3159" s="2" t="s">
        <v>9441</v>
      </c>
      <c r="L3159" s="11" t="s">
        <v>9442</v>
      </c>
      <c r="M3159" s="2" t="str">
        <f>IFERROR(__xludf.DUMMYFUNCTION("split(split(K3159,""【"",false),""公式LINE"",false)"),"2010年。花村建設・土木部を希望しながら、人事部に配属されて社会人２年目を迎えたサクラ（高畑充希）は、「残業時間を減らせ」という部長の黒川（椎名桔平）からの命令で、各部署を回ることに。久々に同期と再会し刺激を受けるサクラ。しかし、営業部の菊夫（竜星涼）がパワハラまがいの上司に苦しんでいる事を知る。心身ともに追い詰められた菊夫を助けるため、自分の夢を諦めないため、忖度しないサクラが進む道とは…!?")</f>
        <v>2010年。花村建設・土木部を希望しながら、人事部に配属されて社会人２年目を迎えたサクラ（高畑充希）は、「残業時間を減らせ」という部長の黒川（椎名桔平）からの命令で、各部署を回ることに。久々に同期と再会し刺激を受けるサクラ。しかし、営業部の菊夫（竜星涼）がパワハラまがいの上司に苦しんでいる事を知る。心身ともに追い詰められた菊夫を助けるため、自分の夢を諦めないため、忖度しないサクラが進む道とは…!?</v>
      </c>
      <c r="N3159" s="2"/>
      <c r="O3159" s="2"/>
      <c r="P3159" s="2"/>
      <c r="Q3159" s="2"/>
      <c r="R3159" s="2"/>
      <c r="S3159" s="2"/>
      <c r="T3159" s="2"/>
      <c r="U3159" s="2"/>
      <c r="V3159" s="2"/>
      <c r="W3159" s="2"/>
      <c r="X3159" s="2"/>
      <c r="Y3159" s="2"/>
      <c r="Z3159" s="2"/>
      <c r="AA3159" s="2"/>
      <c r="AB3159" s="2"/>
      <c r="AC3159" s="2"/>
      <c r="AD3159" s="2"/>
      <c r="AE3159" s="2"/>
      <c r="AF3159" s="2"/>
      <c r="AG3159" s="2"/>
      <c r="AH3159" s="2"/>
      <c r="AI3159" s="2"/>
      <c r="AJ3159" s="2"/>
      <c r="AK3159" s="2"/>
      <c r="AL3159" s="2"/>
      <c r="AM3159" s="2"/>
      <c r="AN3159" s="2"/>
      <c r="AO3159" s="2"/>
      <c r="AP3159" s="2"/>
      <c r="AQ3159" s="2"/>
      <c r="AR3159" s="2"/>
      <c r="AS3159" s="2"/>
      <c r="AT3159" s="2"/>
      <c r="AU3159" s="2"/>
      <c r="AV3159" s="2"/>
      <c r="AW3159" s="2"/>
      <c r="AX3159" s="2"/>
      <c r="AY3159" s="2"/>
      <c r="AZ3159" s="2"/>
      <c r="BA3159" s="2"/>
      <c r="BB3159" s="2"/>
    </row>
    <row r="3160" ht="204.75" customHeight="1">
      <c r="A3160" s="1">
        <v>34.0</v>
      </c>
      <c r="B3160" s="2" t="s">
        <v>9435</v>
      </c>
      <c r="C3160" s="2">
        <f>IFERROR(__xludf.DUMMYFUNCTION("split(B3160,""_"")"),1910.0)</f>
        <v>1910</v>
      </c>
      <c r="D3160" s="2" t="str">
        <f>IFERROR(__xludf.DUMMYFUNCTION("""COMPUTED_VALUE"""),"NTV")</f>
        <v>NTV</v>
      </c>
      <c r="E3160" s="2" t="str">
        <f>IFERROR(__xludf.DUMMYFUNCTION("""COMPUTED_VALUE"""),"水22")</f>
        <v>水22</v>
      </c>
      <c r="F3160" s="2" t="s">
        <v>9436</v>
      </c>
      <c r="G3160" s="2" t="s">
        <v>9443</v>
      </c>
      <c r="H3160" s="1">
        <v>3.0</v>
      </c>
      <c r="I3160" s="1" t="s">
        <v>10</v>
      </c>
      <c r="J3160" s="1" t="s">
        <v>82</v>
      </c>
      <c r="K3160" s="2" t="s">
        <v>9444</v>
      </c>
      <c r="L3160" s="11" t="s">
        <v>9445</v>
      </c>
      <c r="M3160" s="2" t="str">
        <f>IFERROR(__xludf.DUMMYFUNCTION("split(split(K3160,""【"",false),""公式LINE"",false)"),"2011年3月、東日本大震災前日ー。間もなく入社３年目を迎えるサクラ（高畑充希）は会社の採用パンフレット作りのため広報部の百合（橋本愛）と協力することに。男社会のゼネコンで本音を殺して働いてきた百合が、セクハラを受けてると知り、サクラの忖度なしの行動が騒動を巻き起こす。さらに震災の混乱で対応に追われる中、サクラは百合が寿退社すると聞き……。")</f>
        <v>2011年3月、東日本大震災前日ー。間もなく入社３年目を迎えるサクラ（高畑充希）は会社の採用パンフレット作りのため広報部の百合（橋本愛）と協力することに。男社会のゼネコンで本音を殺して働いてきた百合が、セクハラを受けてると知り、サクラの忖度なしの行動が騒動を巻き起こす。さらに震災の混乱で対応に追われる中、サクラは百合が寿退社すると聞き……。</v>
      </c>
      <c r="N3160" s="2"/>
      <c r="O3160" s="2"/>
      <c r="P3160" s="2"/>
      <c r="Q3160" s="2"/>
      <c r="R3160" s="2"/>
      <c r="S3160" s="2"/>
      <c r="T3160" s="2"/>
      <c r="U3160" s="2"/>
      <c r="V3160" s="2"/>
      <c r="W3160" s="2"/>
      <c r="X3160" s="2"/>
      <c r="Y3160" s="2"/>
      <c r="Z3160" s="2"/>
      <c r="AA3160" s="2"/>
      <c r="AB3160" s="2"/>
      <c r="AC3160" s="2"/>
      <c r="AD3160" s="2"/>
      <c r="AE3160" s="2"/>
      <c r="AF3160" s="2"/>
      <c r="AG3160" s="2"/>
      <c r="AH3160" s="2"/>
      <c r="AI3160" s="2"/>
      <c r="AJ3160" s="2"/>
      <c r="AK3160" s="2"/>
      <c r="AL3160" s="2"/>
      <c r="AM3160" s="2"/>
      <c r="AN3160" s="2"/>
      <c r="AO3160" s="2"/>
      <c r="AP3160" s="2"/>
      <c r="AQ3160" s="2"/>
      <c r="AR3160" s="2"/>
      <c r="AS3160" s="2"/>
      <c r="AT3160" s="2"/>
      <c r="AU3160" s="2"/>
      <c r="AV3160" s="2"/>
      <c r="AW3160" s="2"/>
      <c r="AX3160" s="2"/>
      <c r="AY3160" s="2"/>
      <c r="AZ3160" s="2"/>
      <c r="BA3160" s="2"/>
      <c r="BB3160" s="2"/>
    </row>
    <row r="3161" ht="204.75" customHeight="1">
      <c r="A3161" s="1">
        <v>35.0</v>
      </c>
      <c r="B3161" s="2" t="s">
        <v>9435</v>
      </c>
      <c r="C3161" s="2">
        <f>IFERROR(__xludf.DUMMYFUNCTION("split(B3161,""_"")"),1910.0)</f>
        <v>1910</v>
      </c>
      <c r="D3161" s="2" t="str">
        <f>IFERROR(__xludf.DUMMYFUNCTION("""COMPUTED_VALUE"""),"NTV")</f>
        <v>NTV</v>
      </c>
      <c r="E3161" s="2" t="str">
        <f>IFERROR(__xludf.DUMMYFUNCTION("""COMPUTED_VALUE"""),"水22")</f>
        <v>水22</v>
      </c>
      <c r="F3161" s="2" t="s">
        <v>9436</v>
      </c>
      <c r="G3161" s="2" t="s">
        <v>9446</v>
      </c>
      <c r="H3161" s="1">
        <v>4.0</v>
      </c>
      <c r="I3161" s="1" t="s">
        <v>14</v>
      </c>
      <c r="J3161" s="1" t="s">
        <v>82</v>
      </c>
      <c r="K3161" s="2" t="s">
        <v>9447</v>
      </c>
      <c r="L3161" s="11" t="s">
        <v>9448</v>
      </c>
      <c r="M3161" s="2" t="str">
        <f>IFERROR(__xludf.DUMMYFUNCTION("split(split(K3161,""【"",false),""公式LINE"",false)"),"2012年9月。サクラ（高畑充希）は社史編纂室から黒川（椎名桔平）との約束通り人事部に戻り、社員のメンタルケアを担当する事に。各部を回る中で、同僚と馴染めない蓮太郎（岡山天音）がイジメを受けている事を知るサクラ。そんな中、カッターで部員を切りつけようとした蓮太郎を止めようとし、サクラがケガをしてしまう。出社拒否になった仲間を救うために、サクラは百合（橋本愛）達と、蓮太郎の家へ向かう…。")</f>
        <v>2012年9月。サクラ（高畑充希）は社史編纂室から黒川（椎名桔平）との約束通り人事部に戻り、社員のメンタルケアを担当する事に。各部を回る中で、同僚と馴染めない蓮太郎（岡山天音）がイジメを受けている事を知るサクラ。そんな中、カッターで部員を切りつけようとした蓮太郎を止めようとし、サクラがケガをしてしまう。出社拒否になった仲間を救うために、サクラは百合（橋本愛）達と、蓮太郎の家へ向かう…。</v>
      </c>
      <c r="N3161" s="2"/>
      <c r="O3161" s="2"/>
      <c r="P3161" s="2"/>
      <c r="Q3161" s="2"/>
      <c r="R3161" s="2"/>
      <c r="S3161" s="2"/>
      <c r="T3161" s="2"/>
      <c r="U3161" s="2"/>
      <c r="V3161" s="2"/>
      <c r="W3161" s="2"/>
      <c r="X3161" s="2"/>
      <c r="Y3161" s="2"/>
      <c r="Z3161" s="2"/>
      <c r="AA3161" s="2"/>
      <c r="AB3161" s="2"/>
      <c r="AC3161" s="2"/>
      <c r="AD3161" s="2"/>
      <c r="AE3161" s="2"/>
      <c r="AF3161" s="2"/>
      <c r="AG3161" s="2"/>
      <c r="AH3161" s="2"/>
      <c r="AI3161" s="2"/>
      <c r="AJ3161" s="2"/>
      <c r="AK3161" s="2"/>
      <c r="AL3161" s="2"/>
      <c r="AM3161" s="2"/>
      <c r="AN3161" s="2"/>
      <c r="AO3161" s="2"/>
      <c r="AP3161" s="2"/>
      <c r="AQ3161" s="2"/>
      <c r="AR3161" s="2"/>
      <c r="AS3161" s="2"/>
      <c r="AT3161" s="2"/>
      <c r="AU3161" s="2"/>
      <c r="AV3161" s="2"/>
      <c r="AW3161" s="2"/>
      <c r="AX3161" s="2"/>
      <c r="AY3161" s="2"/>
      <c r="AZ3161" s="2"/>
      <c r="BA3161" s="2"/>
      <c r="BB3161" s="2"/>
    </row>
    <row r="3162" ht="204.75" customHeight="1">
      <c r="A3162" s="1">
        <v>36.0</v>
      </c>
      <c r="B3162" s="2" t="s">
        <v>9435</v>
      </c>
      <c r="C3162" s="2">
        <f>IFERROR(__xludf.DUMMYFUNCTION("split(B3162,""_"")"),1910.0)</f>
        <v>1910</v>
      </c>
      <c r="D3162" s="2" t="str">
        <f>IFERROR(__xludf.DUMMYFUNCTION("""COMPUTED_VALUE"""),"NTV")</f>
        <v>NTV</v>
      </c>
      <c r="E3162" s="2" t="str">
        <f>IFERROR(__xludf.DUMMYFUNCTION("""COMPUTED_VALUE"""),"水22")</f>
        <v>水22</v>
      </c>
      <c r="F3162" s="2" t="s">
        <v>9436</v>
      </c>
      <c r="G3162" s="2" t="s">
        <v>9449</v>
      </c>
      <c r="H3162" s="1">
        <v>5.0</v>
      </c>
      <c r="I3162" s="1" t="s">
        <v>17</v>
      </c>
      <c r="J3162" s="1" t="s">
        <v>82</v>
      </c>
      <c r="K3162" s="2" t="s">
        <v>9450</v>
      </c>
      <c r="L3162" s="11" t="s">
        <v>9451</v>
      </c>
      <c r="M3162" s="2" t="str">
        <f>IFERROR(__xludf.DUMMYFUNCTION("split(split(K3162,""【"",false),""公式LINE"",false)"),"人事部で５年目を迎えたサクラ（高畑充希）は、社内表彰を受けた葵（新田真剣佑）を祝おうと同期を集める。しかし担当プロジェクトが国から急遽凍結され、問題を抱えていた葵は上から目線の言動で同期と溝を深めてしまう。会社では高級官僚の父親のコネばかりあてにされ、家では落ちこぼれ扱いされ、実は強烈なコンプレックスを抱いていた葵。そんな葵に手を差し伸べたサクラは、「俺と付き合わない？」と迫られて……!?")</f>
        <v>人事部で５年目を迎えたサクラ（高畑充希）は、社内表彰を受けた葵（新田真剣佑）を祝おうと同期を集める。しかし担当プロジェクトが国から急遽凍結され、問題を抱えていた葵は上から目線の言動で同期と溝を深めてしまう。会社では高級官僚の父親のコネばかりあてにされ、家では落ちこぼれ扱いされ、実は強烈なコンプレックスを抱いていた葵。そんな葵に手を差し伸べたサクラは、「俺と付き合わない？」と迫られて……!?</v>
      </c>
      <c r="N3162" s="2"/>
      <c r="O3162" s="2"/>
      <c r="P3162" s="2"/>
      <c r="Q3162" s="2"/>
      <c r="R3162" s="2"/>
      <c r="S3162" s="2"/>
      <c r="T3162" s="2"/>
      <c r="U3162" s="2"/>
      <c r="V3162" s="2"/>
      <c r="W3162" s="2"/>
      <c r="X3162" s="2"/>
      <c r="Y3162" s="2"/>
      <c r="Z3162" s="2"/>
      <c r="AA3162" s="2"/>
      <c r="AB3162" s="2"/>
      <c r="AC3162" s="2"/>
      <c r="AD3162" s="2"/>
      <c r="AE3162" s="2"/>
      <c r="AF3162" s="2"/>
      <c r="AG3162" s="2"/>
      <c r="AH3162" s="2"/>
      <c r="AI3162" s="2"/>
      <c r="AJ3162" s="2"/>
      <c r="AK3162" s="2"/>
      <c r="AL3162" s="2"/>
      <c r="AM3162" s="2"/>
      <c r="AN3162" s="2"/>
      <c r="AO3162" s="2"/>
      <c r="AP3162" s="2"/>
      <c r="AQ3162" s="2"/>
      <c r="AR3162" s="2"/>
      <c r="AS3162" s="2"/>
      <c r="AT3162" s="2"/>
      <c r="AU3162" s="2"/>
      <c r="AV3162" s="2"/>
      <c r="AW3162" s="2"/>
      <c r="AX3162" s="2"/>
      <c r="AY3162" s="2"/>
      <c r="AZ3162" s="2"/>
      <c r="BA3162" s="2"/>
      <c r="BB3162" s="2"/>
    </row>
    <row r="3163" ht="204.75" customHeight="1">
      <c r="A3163" s="1">
        <v>37.0</v>
      </c>
      <c r="B3163" s="2" t="s">
        <v>9435</v>
      </c>
      <c r="C3163" s="2">
        <f>IFERROR(__xludf.DUMMYFUNCTION("split(B3163,""_"")"),1910.0)</f>
        <v>1910</v>
      </c>
      <c r="D3163" s="2" t="str">
        <f>IFERROR(__xludf.DUMMYFUNCTION("""COMPUTED_VALUE"""),"NTV")</f>
        <v>NTV</v>
      </c>
      <c r="E3163" s="2" t="str">
        <f>IFERROR(__xludf.DUMMYFUNCTION("""COMPUTED_VALUE"""),"水22")</f>
        <v>水22</v>
      </c>
      <c r="F3163" s="2" t="s">
        <v>9436</v>
      </c>
      <c r="G3163" s="2" t="s">
        <v>9452</v>
      </c>
      <c r="H3163" s="1">
        <v>6.0</v>
      </c>
      <c r="I3163" s="1" t="s">
        <v>21</v>
      </c>
      <c r="J3163" s="1" t="s">
        <v>82</v>
      </c>
      <c r="K3163" s="2" t="s">
        <v>9453</v>
      </c>
      <c r="L3163" s="11" t="s">
        <v>9454</v>
      </c>
      <c r="M3163" s="2" t="str">
        <f>IFERROR(__xludf.DUMMYFUNCTION("split(split(K3163,""【"",false),""公式LINE"",false)"),"子会社に飛ばされ社会人６年目を迎えたサクラ（高畑充希）は、その信念に密かな迷いを抱き始めていた。一方サクラを気にかけつつも人事部で仕事と子育ての両立に追われるシングルマザーすみれ（相武紗季）。“女性研修セミナー”を任され、女性評論家の理不尽な要望に振り回される毎日を送っていた。そんな忖度する母の姿に、すみれの娘・つくしはサクラに「大人になるって大変？」と聞くが、答えられないサクラだった。")</f>
        <v>子会社に飛ばされ社会人６年目を迎えたサクラ（高畑充希）は、その信念に密かな迷いを抱き始めていた。一方サクラを気にかけつつも人事部で仕事と子育ての両立に追われるシングルマザーすみれ（相武紗季）。“女性研修セミナー”を任され、女性評論家の理不尽な要望に振り回される毎日を送っていた。そんな忖度する母の姿に、すみれの娘・つくしはサクラに「大人になるって大変？」と聞くが、答えられないサクラだった。</v>
      </c>
      <c r="N3163" s="2"/>
      <c r="O3163" s="2"/>
      <c r="P3163" s="2"/>
      <c r="Q3163" s="2"/>
      <c r="R3163" s="2"/>
      <c r="S3163" s="2"/>
      <c r="T3163" s="2"/>
      <c r="U3163" s="2"/>
      <c r="V3163" s="2"/>
      <c r="W3163" s="2"/>
      <c r="X3163" s="2"/>
      <c r="Y3163" s="2"/>
      <c r="Z3163" s="2"/>
      <c r="AA3163" s="2"/>
      <c r="AB3163" s="2"/>
      <c r="AC3163" s="2"/>
      <c r="AD3163" s="2"/>
      <c r="AE3163" s="2"/>
      <c r="AF3163" s="2"/>
      <c r="AG3163" s="2"/>
      <c r="AH3163" s="2"/>
      <c r="AI3163" s="2"/>
      <c r="AJ3163" s="2"/>
      <c r="AK3163" s="2"/>
      <c r="AL3163" s="2"/>
      <c r="AM3163" s="2"/>
      <c r="AN3163" s="2"/>
      <c r="AO3163" s="2"/>
      <c r="AP3163" s="2"/>
      <c r="AQ3163" s="2"/>
      <c r="AR3163" s="2"/>
      <c r="AS3163" s="2"/>
      <c r="AT3163" s="2"/>
      <c r="AU3163" s="2"/>
      <c r="AV3163" s="2"/>
      <c r="AW3163" s="2"/>
      <c r="AX3163" s="2"/>
      <c r="AY3163" s="2"/>
      <c r="AZ3163" s="2"/>
      <c r="BA3163" s="2"/>
      <c r="BB3163" s="2"/>
    </row>
    <row r="3164" ht="204.75" customHeight="1">
      <c r="A3164" s="1">
        <v>38.0</v>
      </c>
      <c r="B3164" s="2" t="s">
        <v>9435</v>
      </c>
      <c r="C3164" s="2">
        <f>IFERROR(__xludf.DUMMYFUNCTION("split(B3164,""_"")"),1910.0)</f>
        <v>1910</v>
      </c>
      <c r="D3164" s="2" t="str">
        <f>IFERROR(__xludf.DUMMYFUNCTION("""COMPUTED_VALUE"""),"NTV")</f>
        <v>NTV</v>
      </c>
      <c r="E3164" s="2" t="str">
        <f>IFERROR(__xludf.DUMMYFUNCTION("""COMPUTED_VALUE"""),"水22")</f>
        <v>水22</v>
      </c>
      <c r="F3164" s="2" t="s">
        <v>9436</v>
      </c>
      <c r="G3164" s="2" t="s">
        <v>9455</v>
      </c>
      <c r="H3164" s="1">
        <v>7.0</v>
      </c>
      <c r="I3164" s="1" t="s">
        <v>25</v>
      </c>
      <c r="J3164" s="1" t="s">
        <v>82</v>
      </c>
      <c r="K3164" s="16" t="s">
        <v>9456</v>
      </c>
      <c r="L3164" s="17" t="s">
        <v>9456</v>
      </c>
      <c r="M3164" s="2" t="str">
        <f>IFERROR(__xludf.DUMMYFUNCTION("split(split(K3164,""【"",false),""公式LINE"",false)"),"サクラ（高畑充希）の夢、故郷の橋の着工が始まった。直接は関われないものの、完成した橋を祖父・柊作（津嘉山正種）と渡る日を夢見ていた。そんな中、黒川（椎名桔平）から本社に呼び出されたサクラは、橋の安全性について不安を抱いている島民たちを現地の説明会で説得してほしいと頼まれる。同期たちと共に故郷の島を訪れるサクラ。そこで人生を揺るがす究極の選択と最愛の人との悲しい別れが待っていた・・・。")</f>
        <v>サクラ（高畑充希）の夢、故郷の橋の着工が始まった。直接は関われないものの、完成した橋を祖父・柊作（津嘉山正種）と渡る日を夢見ていた。そんな中、黒川（椎名桔平）から本社に呼び出されたサクラは、橋の安全性について不安を抱いている島民たちを現地の説明会で説得してほしいと頼まれる。同期たちと共に故郷の島を訪れるサクラ。そこで人生を揺るがす究極の選択と最愛の人との悲しい別れが待っていた・・・。</v>
      </c>
      <c r="N3164" s="16"/>
      <c r="O3164" s="16"/>
      <c r="P3164" s="16"/>
      <c r="Q3164" s="16"/>
      <c r="R3164" s="16"/>
      <c r="S3164" s="16"/>
      <c r="T3164" s="16"/>
      <c r="U3164" s="16"/>
      <c r="V3164" s="16"/>
      <c r="W3164" s="16"/>
      <c r="X3164" s="16"/>
      <c r="Y3164" s="16"/>
      <c r="Z3164" s="16"/>
      <c r="AA3164" s="16"/>
      <c r="AB3164" s="16"/>
      <c r="AC3164" s="16"/>
      <c r="AD3164" s="16"/>
      <c r="AE3164" s="16"/>
      <c r="AF3164" s="16"/>
      <c r="AG3164" s="16"/>
      <c r="AH3164" s="16"/>
      <c r="AI3164" s="16"/>
      <c r="AJ3164" s="16"/>
      <c r="AK3164" s="16"/>
      <c r="AL3164" s="16"/>
      <c r="AM3164" s="16"/>
      <c r="AN3164" s="16"/>
      <c r="AO3164" s="16"/>
      <c r="AP3164" s="16"/>
      <c r="AQ3164" s="16"/>
      <c r="AR3164" s="16"/>
      <c r="AS3164" s="16"/>
      <c r="AT3164" s="16"/>
      <c r="AU3164" s="16"/>
      <c r="AV3164" s="16"/>
      <c r="AW3164" s="16"/>
      <c r="AX3164" s="16"/>
      <c r="AY3164" s="16"/>
      <c r="AZ3164" s="16"/>
      <c r="BA3164" s="16"/>
      <c r="BB3164" s="16"/>
    </row>
    <row r="3165" ht="204.75" customHeight="1">
      <c r="A3165" s="1">
        <v>39.0</v>
      </c>
      <c r="B3165" s="2" t="s">
        <v>9435</v>
      </c>
      <c r="C3165" s="2">
        <f>IFERROR(__xludf.DUMMYFUNCTION("split(B3165,""_"")"),1910.0)</f>
        <v>1910</v>
      </c>
      <c r="D3165" s="2" t="str">
        <f>IFERROR(__xludf.DUMMYFUNCTION("""COMPUTED_VALUE"""),"NTV")</f>
        <v>NTV</v>
      </c>
      <c r="E3165" s="2" t="str">
        <f>IFERROR(__xludf.DUMMYFUNCTION("""COMPUTED_VALUE"""),"水22")</f>
        <v>水22</v>
      </c>
      <c r="F3165" s="2" t="s">
        <v>9436</v>
      </c>
      <c r="G3165" s="2" t="s">
        <v>9457</v>
      </c>
      <c r="H3165" s="1">
        <v>8.0</v>
      </c>
      <c r="I3165" s="1" t="s">
        <v>29</v>
      </c>
      <c r="J3165" s="1" t="s">
        <v>82</v>
      </c>
      <c r="K3165" s="2" t="s">
        <v>9458</v>
      </c>
      <c r="L3165" s="11" t="s">
        <v>9459</v>
      </c>
      <c r="M3165" s="2" t="str">
        <f>IFERROR(__xludf.DUMMYFUNCTION("split(split(K3165,""【"",false),""公式LINE"",false)"),"故郷に橋を架ける夢とたった一人の肉親である祖父を一度に失い、強い喪失感に襲われたまま社会人８年目を迎えたサクラ（高畑充希）は、なんとか仕事を続けていたものの、ある日心が限界を迎え出社できなくなってしまう。それ以来１年以上休職し続け、誰にも会わなくなってしまったサクラを、百合（橋本愛）たち同期はなんとか元気付けようと奮闘するが、サクラが会社から解雇される日は近づいていた……。")</f>
        <v>故郷に橋を架ける夢とたった一人の肉親である祖父を一度に失い、強い喪失感に襲われたまま社会人８年目を迎えたサクラ（高畑充希）は、なんとか仕事を続けていたものの、ある日心が限界を迎え出社できなくなってしまう。それ以来１年以上休職し続け、誰にも会わなくなってしまったサクラを、百合（橋本愛）たち同期はなんとか元気付けようと奮闘するが、サクラが会社から解雇される日は近づいていた……。</v>
      </c>
      <c r="N3165" s="2"/>
      <c r="O3165" s="2"/>
      <c r="P3165" s="2"/>
      <c r="Q3165" s="2"/>
      <c r="R3165" s="2"/>
      <c r="S3165" s="2"/>
      <c r="T3165" s="2"/>
      <c r="U3165" s="2"/>
      <c r="V3165" s="2"/>
      <c r="W3165" s="2"/>
      <c r="X3165" s="2"/>
      <c r="Y3165" s="2"/>
      <c r="Z3165" s="2"/>
      <c r="AA3165" s="2"/>
      <c r="AB3165" s="2"/>
      <c r="AC3165" s="2"/>
      <c r="AD3165" s="2"/>
      <c r="AE3165" s="2"/>
      <c r="AF3165" s="2"/>
      <c r="AG3165" s="2"/>
      <c r="AH3165" s="2"/>
      <c r="AI3165" s="2"/>
      <c r="AJ3165" s="2"/>
      <c r="AK3165" s="2"/>
      <c r="AL3165" s="2"/>
      <c r="AM3165" s="2"/>
      <c r="AN3165" s="2"/>
      <c r="AO3165" s="2"/>
      <c r="AP3165" s="2"/>
      <c r="AQ3165" s="2"/>
      <c r="AR3165" s="2"/>
      <c r="AS3165" s="2"/>
      <c r="AT3165" s="2"/>
      <c r="AU3165" s="2"/>
      <c r="AV3165" s="2"/>
      <c r="AW3165" s="2"/>
      <c r="AX3165" s="2"/>
      <c r="AY3165" s="2"/>
      <c r="AZ3165" s="2"/>
      <c r="BA3165" s="2"/>
      <c r="BB3165" s="2"/>
    </row>
    <row r="3166" ht="204.75" customHeight="1">
      <c r="A3166" s="1">
        <v>40.0</v>
      </c>
      <c r="B3166" s="2" t="s">
        <v>9435</v>
      </c>
      <c r="C3166" s="2">
        <f>IFERROR(__xludf.DUMMYFUNCTION("split(B3166,""_"")"),1910.0)</f>
        <v>1910</v>
      </c>
      <c r="D3166" s="2" t="str">
        <f>IFERROR(__xludf.DUMMYFUNCTION("""COMPUTED_VALUE"""),"NTV")</f>
        <v>NTV</v>
      </c>
      <c r="E3166" s="2" t="str">
        <f>IFERROR(__xludf.DUMMYFUNCTION("""COMPUTED_VALUE"""),"水22")</f>
        <v>水22</v>
      </c>
      <c r="F3166" s="2" t="s">
        <v>9436</v>
      </c>
      <c r="G3166" s="2" t="s">
        <v>9460</v>
      </c>
      <c r="H3166" s="1">
        <v>9.0</v>
      </c>
      <c r="I3166" s="1" t="s">
        <v>33</v>
      </c>
      <c r="J3166" s="1" t="s">
        <v>82</v>
      </c>
      <c r="K3166" s="16" t="s">
        <v>9461</v>
      </c>
      <c r="L3166" s="17" t="s">
        <v>9461</v>
      </c>
      <c r="M3166" s="2" t="str">
        <f>IFERROR(__xludf.DUMMYFUNCTION("split(split(K3166,""【"",false),""公式LINE"",false)"),"長い眠りから目覚めたサクラ（高畑充希）。花村建設を解雇されたものの、再び建設会社で夢を叶えようと頑張る前向きな姿に、百合（橋本愛）たち同期はかつてのサクラが復活したと安堵する。しかし、忖度できないサクラの就活は難航。貯金も底をつき心細さを感じる。一方、自分が知らない間に各々の人生の問題にきちんと向き合うようになっていく同期に孤独感が募り、サクラはふるさとの島へ帰る決心をするのだったー。")</f>
        <v>長い眠りから目覚めたサクラ（高畑充希）。花村建設を解雇されたものの、再び建設会社で夢を叶えようと頑張る前向きな姿に、百合（橋本愛）たち同期はかつてのサクラが復活したと安堵する。しかし、忖度できないサクラの就活は難航。貯金も底をつき心細さを感じる。一方、自分が知らない間に各々の人生の問題にきちんと向き合うようになっていく同期に孤独感が募り、サクラはふるさとの島へ帰る決心をするのだったー。</v>
      </c>
      <c r="N3166" s="16"/>
      <c r="O3166" s="16"/>
      <c r="P3166" s="16"/>
      <c r="Q3166" s="16"/>
      <c r="R3166" s="16"/>
      <c r="S3166" s="16"/>
      <c r="T3166" s="16"/>
      <c r="U3166" s="16"/>
      <c r="V3166" s="16"/>
      <c r="W3166" s="16"/>
      <c r="X3166" s="16"/>
      <c r="Y3166" s="16"/>
      <c r="Z3166" s="16"/>
      <c r="AA3166" s="16"/>
      <c r="AB3166" s="16"/>
      <c r="AC3166" s="16"/>
      <c r="AD3166" s="16"/>
      <c r="AE3166" s="16"/>
      <c r="AF3166" s="16"/>
      <c r="AG3166" s="16"/>
      <c r="AH3166" s="16"/>
      <c r="AI3166" s="16"/>
      <c r="AJ3166" s="16"/>
      <c r="AK3166" s="16"/>
      <c r="AL3166" s="16"/>
      <c r="AM3166" s="16"/>
      <c r="AN3166" s="16"/>
      <c r="AO3166" s="16"/>
      <c r="AP3166" s="16"/>
      <c r="AQ3166" s="16"/>
      <c r="AR3166" s="16"/>
      <c r="AS3166" s="16"/>
      <c r="AT3166" s="16"/>
      <c r="AU3166" s="16"/>
      <c r="AV3166" s="16"/>
      <c r="AW3166" s="16"/>
      <c r="AX3166" s="16"/>
      <c r="AY3166" s="16"/>
      <c r="AZ3166" s="16"/>
      <c r="BA3166" s="16"/>
      <c r="BB3166" s="16"/>
    </row>
    <row r="3167" ht="204.75" customHeight="1">
      <c r="A3167" s="1">
        <v>41.0</v>
      </c>
      <c r="B3167" s="2" t="s">
        <v>9435</v>
      </c>
      <c r="C3167" s="2">
        <f>IFERROR(__xludf.DUMMYFUNCTION("split(B3167,""_"")"),1910.0)</f>
        <v>1910</v>
      </c>
      <c r="D3167" s="2" t="str">
        <f>IFERROR(__xludf.DUMMYFUNCTION("""COMPUTED_VALUE"""),"NTV")</f>
        <v>NTV</v>
      </c>
      <c r="E3167" s="2" t="str">
        <f>IFERROR(__xludf.DUMMYFUNCTION("""COMPUTED_VALUE"""),"水22")</f>
        <v>水22</v>
      </c>
      <c r="F3167" s="2" t="s">
        <v>9436</v>
      </c>
      <c r="G3167" s="2" t="s">
        <v>9462</v>
      </c>
      <c r="H3167" s="1">
        <v>10.0</v>
      </c>
      <c r="I3167" s="1" t="s">
        <v>37</v>
      </c>
      <c r="J3167" s="1" t="s">
        <v>82</v>
      </c>
      <c r="K3167" s="2" t="s">
        <v>9463</v>
      </c>
      <c r="L3167" s="11" t="s">
        <v>9464</v>
      </c>
      <c r="M3167" s="2" t="str">
        <f>IFERROR(__xludf.DUMMYFUNCTION("split(split(K3167,""【"",false),""公式LINE"",false)"),"2020年3月。サクラ（高畑充希）は、花村建設に復帰していた。副社長になった黒川（椎名桔平）の「力があれば、自分を貫ける」という理念に感化され、これまでにない仕事での高揚感を感じるようになる。一方、サクラを心配する同期の言葉に耳を貸さず、衝突する。自分を見失いかけたサクラは、どのようにして本来の自分を取り戻すのか？涙なくしては、見れないラストシーンに向け、サクラと同期の10年間が完結する…。")</f>
        <v>2020年3月。サクラ（高畑充希）は、花村建設に復帰していた。副社長になった黒川（椎名桔平）の「力があれば、自分を貫ける」という理念に感化され、これまでにない仕事での高揚感を感じるようになる。一方、サクラを心配する同期の言葉に耳を貸さず、衝突する。自分を見失いかけたサクラは、どのようにして本来の自分を取り戻すのか？涙なくしては、見れないラストシーンに向け、サクラと同期の10年間が完結する…。</v>
      </c>
      <c r="N3167" s="2"/>
      <c r="O3167" s="2"/>
      <c r="P3167" s="2"/>
      <c r="Q3167" s="2"/>
      <c r="R3167" s="2"/>
      <c r="S3167" s="2"/>
      <c r="T3167" s="2"/>
      <c r="U3167" s="2"/>
      <c r="V3167" s="2"/>
      <c r="W3167" s="2"/>
      <c r="X3167" s="2"/>
      <c r="Y3167" s="2"/>
      <c r="Z3167" s="2"/>
      <c r="AA3167" s="2"/>
      <c r="AB3167" s="2"/>
      <c r="AC3167" s="2"/>
      <c r="AD3167" s="2"/>
      <c r="AE3167" s="2"/>
      <c r="AF3167" s="2"/>
      <c r="AG3167" s="2"/>
      <c r="AH3167" s="2"/>
      <c r="AI3167" s="2"/>
      <c r="AJ3167" s="2"/>
      <c r="AK3167" s="2"/>
      <c r="AL3167" s="2"/>
      <c r="AM3167" s="2"/>
      <c r="AN3167" s="2"/>
      <c r="AO3167" s="2"/>
      <c r="AP3167" s="2"/>
      <c r="AQ3167" s="2"/>
      <c r="AR3167" s="2"/>
      <c r="AS3167" s="2"/>
      <c r="AT3167" s="2"/>
      <c r="AU3167" s="2"/>
      <c r="AV3167" s="2"/>
      <c r="AW3167" s="2"/>
      <c r="AX3167" s="2"/>
      <c r="AY3167" s="2"/>
      <c r="AZ3167" s="2"/>
      <c r="BA3167" s="2"/>
      <c r="BB3167" s="2"/>
    </row>
    <row r="3168" ht="204.75" customHeight="1">
      <c r="A3168" s="1">
        <v>79.0</v>
      </c>
      <c r="B3168" s="2" t="s">
        <v>9465</v>
      </c>
      <c r="C3168" s="2">
        <f>IFERROR(__xludf.DUMMYFUNCTION("split(B3168,""_"")"),1910.0)</f>
        <v>1910</v>
      </c>
      <c r="D3168" s="2" t="str">
        <f>IFERROR(__xludf.DUMMYFUNCTION("""COMPUTED_VALUE"""),"NTV")</f>
        <v>NTV</v>
      </c>
      <c r="E3168" s="2" t="str">
        <f>IFERROR(__xludf.DUMMYFUNCTION("""COMPUTED_VALUE"""),"土22")</f>
        <v>土22</v>
      </c>
      <c r="F3168" s="2" t="s">
        <v>9466</v>
      </c>
      <c r="G3168" s="2" t="s">
        <v>9467</v>
      </c>
      <c r="H3168" s="1">
        <v>1.0</v>
      </c>
      <c r="I3168" s="1" t="s">
        <v>3</v>
      </c>
      <c r="J3168" s="1" t="s">
        <v>86</v>
      </c>
      <c r="K3168" s="2" t="s">
        <v>9468</v>
      </c>
      <c r="L3168" s="11" t="s">
        <v>9469</v>
      </c>
      <c r="M3168" s="2" t="str">
        <f>IFERROR(__xludf.DUMMYFUNCTION("split(split(K3168,""【"",false),""公式LINE"",false)"),"岸辺満(生田斗真)は、喫茶店を営む母・房枝(原田美枝子)に寄生する31歳のニート。ある晩、姉の秋葉綾子(小池栄子)が夫の光司(安田顕)とすきやき用の肉を携えてやってくる。マイホーム建て替えの 3 か月間、娘の春海(清原果耶)も加えた家族 3 人で岸辺家に同居させてほしいというのだ。「相談の仕方間違ってる」満は、すき焼きが嫌いだからとヘリクツを並べて同居に反対し、綾子との壮絶な言い争いを繰り広げる。")</f>
        <v>岸辺満(生田斗真)は、喫茶店を営む母・房枝(原田美枝子)に寄生する31歳のニート。ある晩、姉の秋葉綾子(小池栄子)が夫の光司(安田顕)とすきやき用の肉を携えてやってくる。マイホーム建て替えの 3 か月間、娘の春海(清原果耶)も加えた家族 3 人で岸辺家に同居させてほしいというのだ。「相談の仕方間違ってる」満は、すき焼きが嫌いだからとヘリクツを並べて同居に反対し、綾子との壮絶な言い争いを繰り広げる。</v>
      </c>
      <c r="N3168" s="2"/>
      <c r="O3168" s="2"/>
      <c r="P3168" s="2"/>
      <c r="Q3168" s="2"/>
      <c r="R3168" s="2"/>
      <c r="S3168" s="2"/>
      <c r="T3168" s="2"/>
      <c r="U3168" s="2"/>
      <c r="V3168" s="2"/>
      <c r="W3168" s="2"/>
      <c r="X3168" s="2"/>
      <c r="Y3168" s="2"/>
      <c r="Z3168" s="2"/>
      <c r="AA3168" s="2"/>
      <c r="AB3168" s="2"/>
      <c r="AC3168" s="2"/>
      <c r="AD3168" s="2"/>
      <c r="AE3168" s="2"/>
      <c r="AF3168" s="2"/>
      <c r="AG3168" s="2"/>
      <c r="AH3168" s="2"/>
      <c r="AI3168" s="2"/>
      <c r="AJ3168" s="2"/>
      <c r="AK3168" s="2"/>
      <c r="AL3168" s="2"/>
      <c r="AM3168" s="2"/>
      <c r="AN3168" s="2"/>
      <c r="AO3168" s="2"/>
      <c r="AP3168" s="2"/>
      <c r="AQ3168" s="2"/>
      <c r="AR3168" s="2"/>
      <c r="AS3168" s="2"/>
      <c r="AT3168" s="2"/>
      <c r="AU3168" s="2"/>
      <c r="AV3168" s="2"/>
      <c r="AW3168" s="2"/>
      <c r="AX3168" s="2"/>
      <c r="AY3168" s="2"/>
      <c r="AZ3168" s="2"/>
      <c r="BA3168" s="2"/>
      <c r="BB3168" s="2"/>
    </row>
    <row r="3169" ht="204.75" customHeight="1">
      <c r="A3169" s="1">
        <v>80.0</v>
      </c>
      <c r="B3169" s="2" t="s">
        <v>9465</v>
      </c>
      <c r="C3169" s="2">
        <f>IFERROR(__xludf.DUMMYFUNCTION("split(B3169,""_"")"),1910.0)</f>
        <v>1910</v>
      </c>
      <c r="D3169" s="2" t="str">
        <f>IFERROR(__xludf.DUMMYFUNCTION("""COMPUTED_VALUE"""),"NTV")</f>
        <v>NTV</v>
      </c>
      <c r="E3169" s="2" t="str">
        <f>IFERROR(__xludf.DUMMYFUNCTION("""COMPUTED_VALUE"""),"土22")</f>
        <v>土22</v>
      </c>
      <c r="F3169" s="2" t="s">
        <v>9466</v>
      </c>
      <c r="G3169" s="2" t="s">
        <v>9470</v>
      </c>
      <c r="H3169" s="1">
        <v>2.0</v>
      </c>
      <c r="J3169" s="1" t="s">
        <v>82</v>
      </c>
      <c r="K3169" s="2" t="s">
        <v>9471</v>
      </c>
      <c r="L3169" s="11" t="s">
        <v>9472</v>
      </c>
      <c r="M3169" s="2" t="str">
        <f>IFERROR(__xludf.DUMMYFUNCTION("split(split(K3169,""【"",false),""公式LINE"",false)"),"岸辺家と綾子（小池栄子）一家との同居が始まる。満（生田斗真）を働かせたい綾子だったが、また学校へ行かないと言い出した娘の春海（清原果耶）の説得を成功報酬5千円で頼んでしまう。春海は好きな陸（水沢林太郎）が親友と付き合いだしたことに胸を痛めていた。  「無職の息子だけならまだしも不登校の孫まで家に残して一生懸命働いてるんだぞ？婆ちゃんがどんな気持ちか考えろよ」と説得する満だったが-。")</f>
        <v>岸辺家と綾子（小池栄子）一家との同居が始まる。満（生田斗真）を働かせたい綾子だったが、また学校へ行かないと言い出した娘の春海（清原果耶）の説得を成功報酬5千円で頼んでしまう。春海は好きな陸（水沢林太郎）が親友と付き合いだしたことに胸を痛めていた。  「無職の息子だけならまだしも不登校の孫まで家に残して一生懸命働いてるんだぞ？婆ちゃんがどんな気持ちか考えろよ」と説得する満だったが-。</v>
      </c>
      <c r="N3169" s="2"/>
      <c r="O3169" s="2"/>
      <c r="P3169" s="2"/>
      <c r="Q3169" s="2"/>
      <c r="R3169" s="2"/>
      <c r="S3169" s="2"/>
      <c r="T3169" s="2"/>
      <c r="U3169" s="2"/>
      <c r="V3169" s="2"/>
      <c r="W3169" s="2"/>
      <c r="X3169" s="2"/>
      <c r="Y3169" s="2"/>
      <c r="Z3169" s="2"/>
      <c r="AA3169" s="2"/>
      <c r="AB3169" s="2"/>
      <c r="AC3169" s="2"/>
      <c r="AD3169" s="2"/>
      <c r="AE3169" s="2"/>
      <c r="AF3169" s="2"/>
      <c r="AG3169" s="2"/>
      <c r="AH3169" s="2"/>
      <c r="AI3169" s="2"/>
      <c r="AJ3169" s="2"/>
      <c r="AK3169" s="2"/>
      <c r="AL3169" s="2"/>
      <c r="AM3169" s="2"/>
      <c r="AN3169" s="2"/>
      <c r="AO3169" s="2"/>
      <c r="AP3169" s="2"/>
      <c r="AQ3169" s="2"/>
      <c r="AR3169" s="2"/>
      <c r="AS3169" s="2"/>
      <c r="AT3169" s="2"/>
      <c r="AU3169" s="2"/>
      <c r="AV3169" s="2"/>
      <c r="AW3169" s="2"/>
      <c r="AX3169" s="2"/>
      <c r="AY3169" s="2"/>
      <c r="AZ3169" s="2"/>
      <c r="BA3169" s="2"/>
      <c r="BB3169" s="2"/>
    </row>
    <row r="3170" ht="204.75" customHeight="1">
      <c r="A3170" s="1">
        <v>81.0</v>
      </c>
      <c r="B3170" s="2" t="s">
        <v>9465</v>
      </c>
      <c r="C3170" s="2">
        <f>IFERROR(__xludf.DUMMYFUNCTION("split(B3170,""_"")"),1910.0)</f>
        <v>1910</v>
      </c>
      <c r="D3170" s="2" t="str">
        <f>IFERROR(__xludf.DUMMYFUNCTION("""COMPUTED_VALUE"""),"NTV")</f>
        <v>NTV</v>
      </c>
      <c r="E3170" s="2" t="str">
        <f>IFERROR(__xludf.DUMMYFUNCTION("""COMPUTED_VALUE"""),"土22")</f>
        <v>土22</v>
      </c>
      <c r="F3170" s="2" t="s">
        <v>9466</v>
      </c>
      <c r="G3170" s="2" t="s">
        <v>9473</v>
      </c>
      <c r="H3170" s="1">
        <v>3.0</v>
      </c>
      <c r="J3170" s="1" t="s">
        <v>86</v>
      </c>
      <c r="K3170" s="16" t="s">
        <v>9474</v>
      </c>
      <c r="L3170" s="17" t="s">
        <v>9474</v>
      </c>
      <c r="M3170" s="2" t="str">
        <f>IFERROR(__xludf.DUMMYFUNCTION("split(split(K3170,""【"",false),""公式LINE"",false)"),"房枝（原田美枝子）が頂き物のカボチャを店でハロウィンの特別メニューにすると聞いて激怒する満（生田斗真）。密かにネットでの転売を目論んでいたのだ。「この先ずーっと『あぁこの店はハロウィンみたいなチャラついたイベントに便乗する店なんだって』思われるんだよ？」ハロウィンと謳わずに出すという房枝に「ワールドカップの時に日本代表のユニフォームきてるのに『一切便乗してません』って言って通用する？」と訴える")</f>
        <v>房枝（原田美枝子）が頂き物のカボチャを店でハロウィンの特別メニューにすると聞いて激怒する満（生田斗真）。密かにネットでの転売を目論んでいたのだ。「この先ずーっと『あぁこの店はハロウィンみたいなチャラついたイベントに便乗する店なんだって』思われるんだよ？」ハロウィンと謳わずに出すという房枝に「ワールドカップの時に日本代表のユニフォームきてるのに『一切便乗してません』って言って通用する？」と訴える</v>
      </c>
      <c r="N3170" s="16"/>
      <c r="O3170" s="16"/>
      <c r="P3170" s="16"/>
      <c r="Q3170" s="16"/>
      <c r="R3170" s="16"/>
      <c r="S3170" s="16"/>
      <c r="T3170" s="16"/>
      <c r="U3170" s="16"/>
      <c r="V3170" s="16"/>
      <c r="W3170" s="16"/>
      <c r="X3170" s="16"/>
      <c r="Y3170" s="16"/>
      <c r="Z3170" s="16"/>
      <c r="AA3170" s="16"/>
      <c r="AB3170" s="16"/>
      <c r="AC3170" s="16"/>
      <c r="AD3170" s="16"/>
      <c r="AE3170" s="16"/>
      <c r="AF3170" s="16"/>
      <c r="AG3170" s="16"/>
      <c r="AH3170" s="16"/>
      <c r="AI3170" s="16"/>
      <c r="AJ3170" s="16"/>
      <c r="AK3170" s="16"/>
      <c r="AL3170" s="16"/>
      <c r="AM3170" s="16"/>
      <c r="AN3170" s="16"/>
      <c r="AO3170" s="16"/>
      <c r="AP3170" s="16"/>
      <c r="AQ3170" s="16"/>
      <c r="AR3170" s="16"/>
      <c r="AS3170" s="16"/>
      <c r="AT3170" s="16"/>
      <c r="AU3170" s="16"/>
      <c r="AV3170" s="16"/>
      <c r="AW3170" s="16"/>
      <c r="AX3170" s="16"/>
      <c r="AY3170" s="16"/>
      <c r="AZ3170" s="16"/>
      <c r="BA3170" s="16"/>
      <c r="BB3170" s="16"/>
    </row>
    <row r="3171" ht="204.75" customHeight="1">
      <c r="A3171" s="1">
        <v>82.0</v>
      </c>
      <c r="B3171" s="2" t="s">
        <v>9465</v>
      </c>
      <c r="C3171" s="2">
        <f>IFERROR(__xludf.DUMMYFUNCTION("split(B3171,""_"")"),1910.0)</f>
        <v>1910</v>
      </c>
      <c r="D3171" s="2" t="str">
        <f>IFERROR(__xludf.DUMMYFUNCTION("""COMPUTED_VALUE"""),"NTV")</f>
        <v>NTV</v>
      </c>
      <c r="E3171" s="2" t="str">
        <f>IFERROR(__xludf.DUMMYFUNCTION("""COMPUTED_VALUE"""),"土22")</f>
        <v>土22</v>
      </c>
      <c r="F3171" s="2" t="s">
        <v>9466</v>
      </c>
      <c r="G3171" s="2" t="s">
        <v>9475</v>
      </c>
      <c r="H3171" s="1">
        <v>4.0</v>
      </c>
      <c r="J3171" s="1" t="s">
        <v>86</v>
      </c>
      <c r="K3171" s="2" t="s">
        <v>9476</v>
      </c>
      <c r="L3171" s="11" t="s">
        <v>9477</v>
      </c>
      <c r="M3171" s="2" t="str">
        <f>IFERROR(__xludf.DUMMYFUNCTION("split(split(K3171,""【"",false),""公式LINE"",false)"),"大事にとっておいたアイスが、誰かに食べられたと騒ぎ出す満(生田斗真)。ゴミを捨てただけいう綾子(小池栄子)に「川に拳銃は捨てたけど撃ったのはワタシじゃありませんて言って誰が信じるよ？」「これはアイスの問題じゃない。アイスを食べたクセに黙っている犯人がこの中に居ることが問題なんです」と探偵気取りで推理する満。  一方春海（清原果耶）は、陸(水沢林太郎)と光司(安田顕)がメールしている事が気になる。")</f>
        <v>大事にとっておいたアイスが、誰かに食べられたと騒ぎ出す満(生田斗真)。ゴミを捨てただけいう綾子(小池栄子)に「川に拳銃は捨てたけど撃ったのはワタシじゃありませんて言って誰が信じるよ？」「これはアイスの問題じゃない。アイスを食べたクセに黙っている犯人がこの中に居ることが問題なんです」と探偵気取りで推理する満。  一方春海（清原果耶）は、陸(水沢林太郎)と光司(安田顕)がメールしている事が気になる。</v>
      </c>
      <c r="N3171" s="2"/>
      <c r="O3171" s="2"/>
      <c r="P3171" s="2"/>
      <c r="Q3171" s="2"/>
      <c r="R3171" s="2"/>
      <c r="S3171" s="2"/>
      <c r="T3171" s="2"/>
      <c r="U3171" s="2"/>
      <c r="V3171" s="2"/>
      <c r="W3171" s="2"/>
      <c r="X3171" s="2"/>
      <c r="Y3171" s="2"/>
      <c r="Z3171" s="2"/>
      <c r="AA3171" s="2"/>
      <c r="AB3171" s="2"/>
      <c r="AC3171" s="2"/>
      <c r="AD3171" s="2"/>
      <c r="AE3171" s="2"/>
      <c r="AF3171" s="2"/>
      <c r="AG3171" s="2"/>
      <c r="AH3171" s="2"/>
      <c r="AI3171" s="2"/>
      <c r="AJ3171" s="2"/>
      <c r="AK3171" s="2"/>
      <c r="AL3171" s="2"/>
      <c r="AM3171" s="2"/>
      <c r="AN3171" s="2"/>
      <c r="AO3171" s="2"/>
      <c r="AP3171" s="2"/>
      <c r="AQ3171" s="2"/>
      <c r="AR3171" s="2"/>
      <c r="AS3171" s="2"/>
      <c r="AT3171" s="2"/>
      <c r="AU3171" s="2"/>
      <c r="AV3171" s="2"/>
      <c r="AW3171" s="2"/>
      <c r="AX3171" s="2"/>
      <c r="AY3171" s="2"/>
      <c r="AZ3171" s="2"/>
      <c r="BA3171" s="2"/>
      <c r="BB3171" s="2"/>
    </row>
    <row r="3172" ht="204.75" customHeight="1">
      <c r="A3172" s="1">
        <v>83.0</v>
      </c>
      <c r="B3172" s="2" t="s">
        <v>9465</v>
      </c>
      <c r="C3172" s="2">
        <f>IFERROR(__xludf.DUMMYFUNCTION("split(B3172,""_"")"),1910.0)</f>
        <v>1910</v>
      </c>
      <c r="D3172" s="2" t="str">
        <f>IFERROR(__xludf.DUMMYFUNCTION("""COMPUTED_VALUE"""),"NTV")</f>
        <v>NTV</v>
      </c>
      <c r="E3172" s="2" t="str">
        <f>IFERROR(__xludf.DUMMYFUNCTION("""COMPUTED_VALUE"""),"土22")</f>
        <v>土22</v>
      </c>
      <c r="F3172" s="2" t="s">
        <v>9466</v>
      </c>
      <c r="G3172" s="2" t="s">
        <v>9478</v>
      </c>
      <c r="H3172" s="1">
        <v>5.0</v>
      </c>
      <c r="J3172" s="1" t="s">
        <v>86</v>
      </c>
      <c r="K3172" s="2" t="s">
        <v>9479</v>
      </c>
      <c r="L3172" s="11" t="s">
        <v>9480</v>
      </c>
      <c r="M3172" s="2" t="str">
        <f>IFERROR(__xludf.DUMMYFUNCTION("split(split(K3172,""【"",false),""公式LINE"",false)"),"綾子(小池栄子)は春海(清原果耶)がわざと模擬試験で悪い点をとって、陸(水沢林太郎)と同じ高校に行こうとしていると疑っていた。春海は否定するが、疑い続ける綾子の様子に、光司(安田顕)は二人の志望校は違うことを、陸に直接確認してしまう。光司と陸が繋がっていることに綾子はショックをうける。満(生田斗真)は「姉ちゃんもそういう立場になったってことだよ」と子供の頃、一緒に親を欺いた思い出話で綾子を慰める。")</f>
        <v>綾子(小池栄子)は春海(清原果耶)がわざと模擬試験で悪い点をとって、陸(水沢林太郎)と同じ高校に行こうとしていると疑っていた。春海は否定するが、疑い続ける綾子の様子に、光司(安田顕)は二人の志望校は違うことを、陸に直接確認してしまう。光司と陸が繋がっていることに綾子はショックをうける。満(生田斗真)は「姉ちゃんもそういう立場になったってことだよ」と子供の頃、一緒に親を欺いた思い出話で綾子を慰める。</v>
      </c>
      <c r="N3172" s="2"/>
      <c r="O3172" s="2"/>
      <c r="P3172" s="2"/>
      <c r="Q3172" s="2"/>
      <c r="R3172" s="2"/>
      <c r="S3172" s="2"/>
      <c r="T3172" s="2"/>
      <c r="U3172" s="2"/>
      <c r="V3172" s="2"/>
      <c r="W3172" s="2"/>
      <c r="X3172" s="2"/>
      <c r="Y3172" s="2"/>
      <c r="Z3172" s="2"/>
      <c r="AA3172" s="2"/>
      <c r="AB3172" s="2"/>
      <c r="AC3172" s="2"/>
      <c r="AD3172" s="2"/>
      <c r="AE3172" s="2"/>
      <c r="AF3172" s="2"/>
      <c r="AG3172" s="2"/>
      <c r="AH3172" s="2"/>
      <c r="AI3172" s="2"/>
      <c r="AJ3172" s="2"/>
      <c r="AK3172" s="2"/>
      <c r="AL3172" s="2"/>
      <c r="AM3172" s="2"/>
      <c r="AN3172" s="2"/>
      <c r="AO3172" s="2"/>
      <c r="AP3172" s="2"/>
      <c r="AQ3172" s="2"/>
      <c r="AR3172" s="2"/>
      <c r="AS3172" s="2"/>
      <c r="AT3172" s="2"/>
      <c r="AU3172" s="2"/>
      <c r="AV3172" s="2"/>
      <c r="AW3172" s="2"/>
      <c r="AX3172" s="2"/>
      <c r="AY3172" s="2"/>
      <c r="AZ3172" s="2"/>
      <c r="BA3172" s="2"/>
      <c r="BB3172" s="2"/>
    </row>
    <row r="3173" ht="204.75" customHeight="1">
      <c r="A3173" s="1">
        <v>84.0</v>
      </c>
      <c r="B3173" s="2" t="s">
        <v>9465</v>
      </c>
      <c r="C3173" s="2">
        <f>IFERROR(__xludf.DUMMYFUNCTION("split(B3173,""_"")"),1910.0)</f>
        <v>1910</v>
      </c>
      <c r="D3173" s="2" t="str">
        <f>IFERROR(__xludf.DUMMYFUNCTION("""COMPUTED_VALUE"""),"NTV")</f>
        <v>NTV</v>
      </c>
      <c r="E3173" s="2" t="str">
        <f>IFERROR(__xludf.DUMMYFUNCTION("""COMPUTED_VALUE"""),"土22")</f>
        <v>土22</v>
      </c>
      <c r="F3173" s="2" t="s">
        <v>9466</v>
      </c>
      <c r="G3173" s="2" t="s">
        <v>9481</v>
      </c>
      <c r="H3173" s="1">
        <v>6.0</v>
      </c>
      <c r="J3173" s="1" t="s">
        <v>86</v>
      </c>
      <c r="K3173" s="2" t="s">
        <v>9482</v>
      </c>
      <c r="L3173" s="11" t="s">
        <v>9483</v>
      </c>
      <c r="M3173" s="2" t="str">
        <f>IFERROR(__xludf.DUMMYFUNCTION("split(split(K3173,""【"",false),""公式LINE"",false)"),"光司(安田顕)が高熱で会社を休んだ。岸辺家では光司の一番の好物である、いただきものの毛蟹を黙って食べてしまうかどうかで揉める。春海(清原果耶)が出汁を雑炊にする提案をしてー。一方、満(生田斗真)が、犬の散歩を頼んでいる女社長、明日香(倉科カナ)とさらに急接近。2年前のように再びヒモになるのでは？と心配の岸辺家。昔ヒモだったという光司が話を聞きに行くと、今度は本気らしいとわかる。")</f>
        <v>光司(安田顕)が高熱で会社を休んだ。岸辺家では光司の一番の好物である、いただきものの毛蟹を黙って食べてしまうかどうかで揉める。春海(清原果耶)が出汁を雑炊にする提案をしてー。一方、満(生田斗真)が、犬の散歩を頼んでいる女社長、明日香(倉科カナ)とさらに急接近。2年前のように再びヒモになるのでは？と心配の岸辺家。昔ヒモだったという光司が話を聞きに行くと、今度は本気らしいとわかる。</v>
      </c>
      <c r="N3173" s="2"/>
      <c r="O3173" s="2"/>
      <c r="P3173" s="2"/>
      <c r="Q3173" s="2"/>
      <c r="R3173" s="2"/>
      <c r="S3173" s="2"/>
      <c r="T3173" s="2"/>
      <c r="U3173" s="2"/>
      <c r="V3173" s="2"/>
      <c r="W3173" s="2"/>
      <c r="X3173" s="2"/>
      <c r="Y3173" s="2"/>
      <c r="Z3173" s="2"/>
      <c r="AA3173" s="2"/>
      <c r="AB3173" s="2"/>
      <c r="AC3173" s="2"/>
      <c r="AD3173" s="2"/>
      <c r="AE3173" s="2"/>
      <c r="AF3173" s="2"/>
      <c r="AG3173" s="2"/>
      <c r="AH3173" s="2"/>
      <c r="AI3173" s="2"/>
      <c r="AJ3173" s="2"/>
      <c r="AK3173" s="2"/>
      <c r="AL3173" s="2"/>
      <c r="AM3173" s="2"/>
      <c r="AN3173" s="2"/>
      <c r="AO3173" s="2"/>
      <c r="AP3173" s="2"/>
      <c r="AQ3173" s="2"/>
      <c r="AR3173" s="2"/>
      <c r="AS3173" s="2"/>
      <c r="AT3173" s="2"/>
      <c r="AU3173" s="2"/>
      <c r="AV3173" s="2"/>
      <c r="AW3173" s="2"/>
      <c r="AX3173" s="2"/>
      <c r="AY3173" s="2"/>
      <c r="AZ3173" s="2"/>
      <c r="BA3173" s="2"/>
      <c r="BB3173" s="2"/>
    </row>
    <row r="3174" ht="204.75" customHeight="1">
      <c r="A3174" s="1">
        <v>85.0</v>
      </c>
      <c r="B3174" s="2" t="s">
        <v>9465</v>
      </c>
      <c r="C3174" s="2">
        <f>IFERROR(__xludf.DUMMYFUNCTION("split(B3174,""_"")"),1910.0)</f>
        <v>1910</v>
      </c>
      <c r="D3174" s="2" t="str">
        <f>IFERROR(__xludf.DUMMYFUNCTION("""COMPUTED_VALUE"""),"NTV")</f>
        <v>NTV</v>
      </c>
      <c r="E3174" s="2" t="str">
        <f>IFERROR(__xludf.DUMMYFUNCTION("""COMPUTED_VALUE"""),"土22")</f>
        <v>土22</v>
      </c>
      <c r="F3174" s="2" t="s">
        <v>9466</v>
      </c>
      <c r="G3174" s="2" t="s">
        <v>9484</v>
      </c>
      <c r="H3174" s="1">
        <v>7.0</v>
      </c>
      <c r="J3174" s="1" t="s">
        <v>86</v>
      </c>
      <c r="K3174" s="2" t="s">
        <v>9485</v>
      </c>
      <c r="L3174" s="11" t="s">
        <v>9486</v>
      </c>
      <c r="M3174" s="2" t="str">
        <f>IFERROR(__xludf.DUMMYFUNCTION("split(split(K3174,""【"",false),""公式LINE"",false)"),"房枝(原田美枝子)が、家を売ろうとしているのを知った満(生田斗真)は猛反対。喫茶店を手放すことに、会社を三日前に辞めたという光司(安田顕)が「僕が継ぎます！」と言い出す。何も知らなかった綾子(小池栄子)はー。  一方、明日香(倉科カナ)に「自分のこれからやるべきことは明日香のサポート」と言う満。しかし彼女の反応は予想外だった…。  さらに、春海(清原果耶)がついに告白の為に陸(水沢林太郎)を呼び出す。")</f>
        <v>房枝(原田美枝子)が、家を売ろうとしているのを知った満(生田斗真)は猛反対。喫茶店を手放すことに、会社を三日前に辞めたという光司(安田顕)が「僕が継ぎます！」と言い出す。何も知らなかった綾子(小池栄子)はー。  一方、明日香(倉科カナ)に「自分のこれからやるべきことは明日香のサポート」と言う満。しかし彼女の反応は予想外だった…。  さらに、春海(清原果耶)がついに告白の為に陸(水沢林太郎)を呼び出す。</v>
      </c>
      <c r="N3174" s="2"/>
      <c r="O3174" s="2"/>
      <c r="P3174" s="2"/>
      <c r="Q3174" s="2"/>
      <c r="R3174" s="2"/>
      <c r="S3174" s="2"/>
      <c r="T3174" s="2"/>
      <c r="U3174" s="2"/>
      <c r="V3174" s="2"/>
      <c r="W3174" s="2"/>
      <c r="X3174" s="2"/>
      <c r="Y3174" s="2"/>
      <c r="Z3174" s="2"/>
      <c r="AA3174" s="2"/>
      <c r="AB3174" s="2"/>
      <c r="AC3174" s="2"/>
      <c r="AD3174" s="2"/>
      <c r="AE3174" s="2"/>
      <c r="AF3174" s="2"/>
      <c r="AG3174" s="2"/>
      <c r="AH3174" s="2"/>
      <c r="AI3174" s="2"/>
      <c r="AJ3174" s="2"/>
      <c r="AK3174" s="2"/>
      <c r="AL3174" s="2"/>
      <c r="AM3174" s="2"/>
      <c r="AN3174" s="2"/>
      <c r="AO3174" s="2"/>
      <c r="AP3174" s="2"/>
      <c r="AQ3174" s="2"/>
      <c r="AR3174" s="2"/>
      <c r="AS3174" s="2"/>
      <c r="AT3174" s="2"/>
      <c r="AU3174" s="2"/>
      <c r="AV3174" s="2"/>
      <c r="AW3174" s="2"/>
      <c r="AX3174" s="2"/>
      <c r="AY3174" s="2"/>
      <c r="AZ3174" s="2"/>
      <c r="BA3174" s="2"/>
      <c r="BB3174" s="2"/>
    </row>
    <row r="3175" ht="204.75" customHeight="1">
      <c r="A3175" s="1">
        <v>86.0</v>
      </c>
      <c r="B3175" s="2" t="s">
        <v>9465</v>
      </c>
      <c r="C3175" s="2">
        <f>IFERROR(__xludf.DUMMYFUNCTION("split(B3175,""_"")"),1910.0)</f>
        <v>1910</v>
      </c>
      <c r="D3175" s="2" t="str">
        <f>IFERROR(__xludf.DUMMYFUNCTION("""COMPUTED_VALUE"""),"NTV")</f>
        <v>NTV</v>
      </c>
      <c r="E3175" s="2" t="str">
        <f>IFERROR(__xludf.DUMMYFUNCTION("""COMPUTED_VALUE"""),"土22")</f>
        <v>土22</v>
      </c>
      <c r="F3175" s="2" t="s">
        <v>9466</v>
      </c>
      <c r="G3175" s="2" t="s">
        <v>9487</v>
      </c>
      <c r="H3175" s="1">
        <v>8.0</v>
      </c>
      <c r="J3175" s="1" t="s">
        <v>86</v>
      </c>
      <c r="K3175" s="2" t="s">
        <v>9488</v>
      </c>
      <c r="L3175" s="11" t="s">
        <v>9489</v>
      </c>
      <c r="M3175" s="2" t="str">
        <f>IFERROR(__xludf.DUMMYFUNCTION("split(split(K3175,""【"",false),""公式LINE"",false)"),"房枝（原田美枝子）にアプローチするリッチな檀野(長谷川初範)。綾子(小池栄子)達は再婚の後押しをする気でいた。しかし、満（生田斗真）は、牧本（西村まさ彦）に「二人の恋路を邪魔してはもらえないだろうか？」と頼まれる。  一方、光司（安田顕）は満と同じグレーのジャージを着てニート生活さながらに。二人はコタツで「ニートブラザーズ」の曲を作り歌い出す。そこに春海（清原果耶）が帰宅し歌を止める光司だったが…")</f>
        <v>房枝（原田美枝子）にアプローチするリッチな檀野(長谷川初範)。綾子(小池栄子)達は再婚の後押しをする気でいた。しかし、満（生田斗真）は、牧本（西村まさ彦）に「二人の恋路を邪魔してはもらえないだろうか？」と頼まれる。  一方、光司（安田顕）は満と同じグレーのジャージを着てニート生活さながらに。二人はコタツで「ニートブラザーズ」の曲を作り歌い出す。そこに春海（清原果耶）が帰宅し歌を止める光司だったが…</v>
      </c>
      <c r="N3175" s="2"/>
      <c r="O3175" s="2"/>
      <c r="P3175" s="2"/>
      <c r="Q3175" s="2"/>
      <c r="R3175" s="2"/>
      <c r="S3175" s="2"/>
      <c r="T3175" s="2"/>
      <c r="U3175" s="2"/>
      <c r="V3175" s="2"/>
      <c r="W3175" s="2"/>
      <c r="X3175" s="2"/>
      <c r="Y3175" s="2"/>
      <c r="Z3175" s="2"/>
      <c r="AA3175" s="2"/>
      <c r="AB3175" s="2"/>
      <c r="AC3175" s="2"/>
      <c r="AD3175" s="2"/>
      <c r="AE3175" s="2"/>
      <c r="AF3175" s="2"/>
      <c r="AG3175" s="2"/>
      <c r="AH3175" s="2"/>
      <c r="AI3175" s="2"/>
      <c r="AJ3175" s="2"/>
      <c r="AK3175" s="2"/>
      <c r="AL3175" s="2"/>
      <c r="AM3175" s="2"/>
      <c r="AN3175" s="2"/>
      <c r="AO3175" s="2"/>
      <c r="AP3175" s="2"/>
      <c r="AQ3175" s="2"/>
      <c r="AR3175" s="2"/>
      <c r="AS3175" s="2"/>
      <c r="AT3175" s="2"/>
      <c r="AU3175" s="2"/>
      <c r="AV3175" s="2"/>
      <c r="AW3175" s="2"/>
      <c r="AX3175" s="2"/>
      <c r="AY3175" s="2"/>
      <c r="AZ3175" s="2"/>
      <c r="BA3175" s="2"/>
      <c r="BB3175" s="2"/>
    </row>
    <row r="3176" ht="204.75" customHeight="1">
      <c r="A3176" s="1">
        <v>87.0</v>
      </c>
      <c r="B3176" s="2" t="s">
        <v>9465</v>
      </c>
      <c r="C3176" s="2">
        <f>IFERROR(__xludf.DUMMYFUNCTION("split(B3176,""_"")"),1910.0)</f>
        <v>1910</v>
      </c>
      <c r="D3176" s="2" t="str">
        <f>IFERROR(__xludf.DUMMYFUNCTION("""COMPUTED_VALUE"""),"NTV")</f>
        <v>NTV</v>
      </c>
      <c r="E3176" s="2" t="str">
        <f>IFERROR(__xludf.DUMMYFUNCTION("""COMPUTED_VALUE"""),"土22")</f>
        <v>土22</v>
      </c>
      <c r="F3176" s="2" t="s">
        <v>9466</v>
      </c>
      <c r="G3176" s="2" t="s">
        <v>9490</v>
      </c>
      <c r="H3176" s="1">
        <v>9.0</v>
      </c>
      <c r="J3176" s="1" t="s">
        <v>86</v>
      </c>
      <c r="K3176" s="2" t="s">
        <v>9491</v>
      </c>
      <c r="L3176" s="11" t="s">
        <v>9492</v>
      </c>
      <c r="M3176" s="2" t="str">
        <f>IFERROR(__xludf.DUMMYFUNCTION("split(split(K3176,""【"",false),""公式LINE"",false)"),"春海（清原果耶）が高校進学をやめ、ラジオパーソナリティーになると言い出した。満（生田斗真）が適性を確かめてやると、リスナーに扮し仕事が見つからない悩みを春海に相談するが-。  自分が不採用だった議員秘書が、満には向いていると気づく光司（安田顕）。満自身、イエスマンばかりに囲まれている偉い人にはっきり物言う仕事を思いついたことがあったらしい。さっそく綾子（小池栄子）は檀野（長谷川初範）と話を進めて-。")</f>
        <v>春海（清原果耶）が高校進学をやめ、ラジオパーソナリティーになると言い出した。満（生田斗真）が適性を確かめてやると、リスナーに扮し仕事が見つからない悩みを春海に相談するが-。  自分が不採用だった議員秘書が、満には向いていると気づく光司（安田顕）。満自身、イエスマンばかりに囲まれている偉い人にはっきり物言う仕事を思いついたことがあったらしい。さっそく綾子（小池栄子）は檀野（長谷川初範）と話を進めて-。</v>
      </c>
      <c r="N3176" s="2"/>
      <c r="O3176" s="2"/>
      <c r="P3176" s="2"/>
      <c r="Q3176" s="2"/>
      <c r="R3176" s="2"/>
      <c r="S3176" s="2"/>
      <c r="T3176" s="2"/>
      <c r="U3176" s="2"/>
      <c r="V3176" s="2"/>
      <c r="W3176" s="2"/>
      <c r="X3176" s="2"/>
      <c r="Y3176" s="2"/>
      <c r="Z3176" s="2"/>
      <c r="AA3176" s="2"/>
      <c r="AB3176" s="2"/>
      <c r="AC3176" s="2"/>
      <c r="AD3176" s="2"/>
      <c r="AE3176" s="2"/>
      <c r="AF3176" s="2"/>
      <c r="AG3176" s="2"/>
      <c r="AH3176" s="2"/>
      <c r="AI3176" s="2"/>
      <c r="AJ3176" s="2"/>
      <c r="AK3176" s="2"/>
      <c r="AL3176" s="2"/>
      <c r="AM3176" s="2"/>
      <c r="AN3176" s="2"/>
      <c r="AO3176" s="2"/>
      <c r="AP3176" s="2"/>
      <c r="AQ3176" s="2"/>
      <c r="AR3176" s="2"/>
      <c r="AS3176" s="2"/>
      <c r="AT3176" s="2"/>
      <c r="AU3176" s="2"/>
      <c r="AV3176" s="2"/>
      <c r="AW3176" s="2"/>
      <c r="AX3176" s="2"/>
      <c r="AY3176" s="2"/>
      <c r="AZ3176" s="2"/>
      <c r="BA3176" s="2"/>
      <c r="BB3176" s="2"/>
    </row>
    <row r="3177" ht="204.75" customHeight="1">
      <c r="A3177" s="1">
        <v>88.0</v>
      </c>
      <c r="B3177" s="2" t="s">
        <v>9465</v>
      </c>
      <c r="C3177" s="2">
        <f>IFERROR(__xludf.DUMMYFUNCTION("split(B3177,""_"")"),1910.0)</f>
        <v>1910</v>
      </c>
      <c r="D3177" s="2" t="str">
        <f>IFERROR(__xludf.DUMMYFUNCTION("""COMPUTED_VALUE"""),"NTV")</f>
        <v>NTV</v>
      </c>
      <c r="E3177" s="2" t="str">
        <f>IFERROR(__xludf.DUMMYFUNCTION("""COMPUTED_VALUE"""),"土22")</f>
        <v>土22</v>
      </c>
      <c r="F3177" s="2" t="s">
        <v>9466</v>
      </c>
      <c r="G3177" s="2" t="s">
        <v>9493</v>
      </c>
      <c r="H3177" s="1">
        <v>10.0</v>
      </c>
      <c r="J3177" s="1" t="s">
        <v>86</v>
      </c>
      <c r="K3177" s="2" t="s">
        <v>9494</v>
      </c>
      <c r="L3177" s="11" t="s">
        <v>9495</v>
      </c>
      <c r="M3177" s="2" t="str">
        <f>IFERROR(__xludf.DUMMYFUNCTION("split(split(K3177,""【"",false),""公式LINE"",false)"),"引越し前の最後の食事は3か月前と同じすき焼きがいいと言う満（生田斗真）。いまいち乗らない綾子(小池栄子)達だったが、秋葉家の危機を救ったのは誰？と満のへりくつが始まりー。    ついに秋葉家が去り、岸辺家に日常が戻ってきた。突然議員秘書の面接を受けるという満は面接に向かうがその日、商店街はマラソンコースになっていた。")</f>
        <v>引越し前の最後の食事は3か月前と同じすき焼きがいいと言う満（生田斗真）。いまいち乗らない綾子(小池栄子)達だったが、秋葉家の危機を救ったのは誰？と満のへりくつが始まりー。    ついに秋葉家が去り、岸辺家に日常が戻ってきた。突然議員秘書の面接を受けるという満は面接に向かうがその日、商店街はマラソンコースになっていた。</v>
      </c>
      <c r="N3177" s="2"/>
      <c r="O3177" s="2"/>
      <c r="P3177" s="2"/>
      <c r="Q3177" s="2"/>
      <c r="R3177" s="2"/>
      <c r="S3177" s="2"/>
      <c r="T3177" s="2"/>
      <c r="U3177" s="2"/>
      <c r="V3177" s="2"/>
      <c r="W3177" s="2"/>
      <c r="X3177" s="2"/>
      <c r="Y3177" s="2"/>
      <c r="Z3177" s="2"/>
      <c r="AA3177" s="2"/>
      <c r="AB3177" s="2"/>
      <c r="AC3177" s="2"/>
      <c r="AD3177" s="2"/>
      <c r="AE3177" s="2"/>
      <c r="AF3177" s="2"/>
      <c r="AG3177" s="2"/>
      <c r="AH3177" s="2"/>
      <c r="AI3177" s="2"/>
      <c r="AJ3177" s="2"/>
      <c r="AK3177" s="2"/>
      <c r="AL3177" s="2"/>
      <c r="AM3177" s="2"/>
      <c r="AN3177" s="2"/>
      <c r="AO3177" s="2"/>
      <c r="AP3177" s="2"/>
      <c r="AQ3177" s="2"/>
      <c r="AR3177" s="2"/>
      <c r="AS3177" s="2"/>
      <c r="AT3177" s="2"/>
      <c r="AU3177" s="2"/>
      <c r="AV3177" s="2"/>
      <c r="AW3177" s="2"/>
      <c r="AX3177" s="2"/>
      <c r="AY3177" s="2"/>
      <c r="AZ3177" s="2"/>
      <c r="BA3177" s="2"/>
      <c r="BB3177" s="2"/>
    </row>
    <row r="3178" ht="204.75" customHeight="1">
      <c r="A3178" s="1">
        <v>108.0</v>
      </c>
      <c r="B3178" s="2" t="s">
        <v>9496</v>
      </c>
      <c r="C3178" s="2">
        <f>IFERROR(__xludf.DUMMYFUNCTION("split(B3178,""_"")"),1910.0)</f>
        <v>1910</v>
      </c>
      <c r="D3178" s="2" t="str">
        <f>IFERROR(__xludf.DUMMYFUNCTION("""COMPUTED_VALUE"""),"NTV")</f>
        <v>NTV</v>
      </c>
      <c r="E3178" s="2" t="str">
        <f>IFERROR(__xludf.DUMMYFUNCTION("""COMPUTED_VALUE"""),"日22")</f>
        <v>日22</v>
      </c>
      <c r="F3178" s="2" t="s">
        <v>9497</v>
      </c>
      <c r="G3178" s="2" t="s">
        <v>9498</v>
      </c>
      <c r="H3178" s="1">
        <v>1.0</v>
      </c>
      <c r="I3178" s="1" t="s">
        <v>2868</v>
      </c>
      <c r="J3178" s="1" t="s">
        <v>82</v>
      </c>
      <c r="K3178" s="2" t="s">
        <v>9499</v>
      </c>
      <c r="L3178" s="11" t="s">
        <v>9500</v>
      </c>
      <c r="M3178" s="2" t="str">
        <f>IFERROR(__xludf.DUMMYFUNCTION("split(split(K3178,""【"",false),""公式LINE"",false)"),"遊佐清春（賀来賢人）が目を覚ますと、隣には碓氷薫（広末涼子）の遺体が。手には拳銃を持ち、なぜか３ヶ月分の記憶を綺麗に失っていた。  コノママデハツカマル。  そう思った清春は全ての痕跡を消し去りその場を後にする。  だが、すぐに刑事として事件現場に招集されると、そこには悪名高い刑事である清春に向けられた疑いの目たちが……。  衝撃的展開の連続！欺く者は誰かーー！誰も想像出来ない規格外刑事ドラマ、大開幕!")</f>
        <v>遊佐清春（賀来賢人）が目を覚ますと、隣には碓氷薫（広末涼子）の遺体が。手には拳銃を持ち、なぜか３ヶ月分の記憶を綺麗に失っていた。  コノママデハツカマル。  そう思った清春は全ての痕跡を消し去りその場を後にする。  だが、すぐに刑事として事件現場に招集されると、そこには悪名高い刑事である清春に向けられた疑いの目たちが……。  衝撃的展開の連続！欺く者は誰かーー！誰も想像出来ない規格外刑事ドラマ、大開幕!</v>
      </c>
      <c r="N3178" s="2"/>
      <c r="O3178" s="2"/>
      <c r="P3178" s="2"/>
      <c r="Q3178" s="2"/>
      <c r="R3178" s="2"/>
      <c r="S3178" s="2"/>
      <c r="T3178" s="2"/>
      <c r="U3178" s="2"/>
      <c r="V3178" s="2"/>
      <c r="W3178" s="2"/>
      <c r="X3178" s="2"/>
      <c r="Y3178" s="2"/>
      <c r="Z3178" s="2"/>
      <c r="AA3178" s="2"/>
      <c r="AB3178" s="2"/>
      <c r="AC3178" s="2"/>
      <c r="AD3178" s="2"/>
      <c r="AE3178" s="2"/>
      <c r="AF3178" s="2"/>
      <c r="AG3178" s="2"/>
      <c r="AH3178" s="2"/>
      <c r="AI3178" s="2"/>
      <c r="AJ3178" s="2"/>
      <c r="AK3178" s="2"/>
      <c r="AL3178" s="2"/>
      <c r="AM3178" s="2"/>
      <c r="AN3178" s="2"/>
      <c r="AO3178" s="2"/>
      <c r="AP3178" s="2"/>
      <c r="AQ3178" s="2"/>
      <c r="AR3178" s="2"/>
      <c r="AS3178" s="2"/>
      <c r="AT3178" s="2"/>
      <c r="AU3178" s="2"/>
      <c r="AV3178" s="2"/>
      <c r="AW3178" s="2"/>
      <c r="AX3178" s="2"/>
      <c r="AY3178" s="2"/>
      <c r="AZ3178" s="2"/>
      <c r="BA3178" s="2"/>
      <c r="BB3178" s="2"/>
    </row>
    <row r="3179" ht="204.75" customHeight="1">
      <c r="A3179" s="1">
        <v>109.0</v>
      </c>
      <c r="B3179" s="2" t="s">
        <v>9496</v>
      </c>
      <c r="C3179" s="2">
        <f>IFERROR(__xludf.DUMMYFUNCTION("split(B3179,""_"")"),1910.0)</f>
        <v>1910</v>
      </c>
      <c r="D3179" s="2" t="str">
        <f>IFERROR(__xludf.DUMMYFUNCTION("""COMPUTED_VALUE"""),"NTV")</f>
        <v>NTV</v>
      </c>
      <c r="E3179" s="2" t="str">
        <f>IFERROR(__xludf.DUMMYFUNCTION("""COMPUTED_VALUE"""),"日22")</f>
        <v>日22</v>
      </c>
      <c r="F3179" s="2" t="s">
        <v>9497</v>
      </c>
      <c r="G3179" s="2" t="s">
        <v>9501</v>
      </c>
      <c r="H3179" s="1">
        <v>2.0</v>
      </c>
      <c r="I3179" s="1" t="s">
        <v>2872</v>
      </c>
      <c r="J3179" s="1" t="s">
        <v>82</v>
      </c>
      <c r="K3179" s="2" t="s">
        <v>9502</v>
      </c>
      <c r="L3179" s="11" t="s">
        <v>9503</v>
      </c>
      <c r="M3179" s="2" t="str">
        <f>IFERROR(__xludf.DUMMYFUNCTION("split(split(K3179,""【"",false),""公式LINE"",false)"),"遊佐清春（賀来賢人）の自宅に自身が碓氷薫（広末涼子）を殺害した犯人へと繋がる証拠が残されていた。そして既に周囲は刑事に囲まれていて…。碓氷班の面々は「十億円強奪事件」と「碓氷薫殺害事件」、二つの事件の捜査を命じられる。その鍵を握っていたのは薫の一人息子：克喜（田野井健）であった。そして、捜査の中で一人の少女：芹奈（佐久間由衣）の「ある秘密」が明らかになる。芹奈は亡き薫と死の数日前に会っていてーー。")</f>
        <v>遊佐清春（賀来賢人）の自宅に自身が碓氷薫（広末涼子）を殺害した犯人へと繋がる証拠が残されていた。そして既に周囲は刑事に囲まれていて…。碓氷班の面々は「十億円強奪事件」と「碓氷薫殺害事件」、二つの事件の捜査を命じられる。その鍵を握っていたのは薫の一人息子：克喜（田野井健）であった。そして、捜査の中で一人の少女：芹奈（佐久間由衣）の「ある秘密」が明らかになる。芹奈は亡き薫と死の数日前に会っていてーー。</v>
      </c>
      <c r="N3179" s="2"/>
      <c r="O3179" s="2"/>
      <c r="P3179" s="2"/>
      <c r="Q3179" s="2"/>
      <c r="R3179" s="2"/>
      <c r="S3179" s="2"/>
      <c r="T3179" s="2"/>
      <c r="U3179" s="2"/>
      <c r="V3179" s="2"/>
      <c r="W3179" s="2"/>
      <c r="X3179" s="2"/>
      <c r="Y3179" s="2"/>
      <c r="Z3179" s="2"/>
      <c r="AA3179" s="2"/>
      <c r="AB3179" s="2"/>
      <c r="AC3179" s="2"/>
      <c r="AD3179" s="2"/>
      <c r="AE3179" s="2"/>
      <c r="AF3179" s="2"/>
      <c r="AG3179" s="2"/>
      <c r="AH3179" s="2"/>
      <c r="AI3179" s="2"/>
      <c r="AJ3179" s="2"/>
      <c r="AK3179" s="2"/>
      <c r="AL3179" s="2"/>
      <c r="AM3179" s="2"/>
      <c r="AN3179" s="2"/>
      <c r="AO3179" s="2"/>
      <c r="AP3179" s="2"/>
      <c r="AQ3179" s="2"/>
      <c r="AR3179" s="2"/>
      <c r="AS3179" s="2"/>
      <c r="AT3179" s="2"/>
      <c r="AU3179" s="2"/>
      <c r="AV3179" s="2"/>
      <c r="AW3179" s="2"/>
      <c r="AX3179" s="2"/>
      <c r="AY3179" s="2"/>
      <c r="AZ3179" s="2"/>
      <c r="BA3179" s="2"/>
      <c r="BB3179" s="2"/>
    </row>
    <row r="3180" ht="204.75" customHeight="1">
      <c r="A3180" s="1">
        <v>110.0</v>
      </c>
      <c r="B3180" s="2" t="s">
        <v>9496</v>
      </c>
      <c r="C3180" s="2">
        <f>IFERROR(__xludf.DUMMYFUNCTION("split(B3180,""_"")"),1910.0)</f>
        <v>1910</v>
      </c>
      <c r="D3180" s="2" t="str">
        <f>IFERROR(__xludf.DUMMYFUNCTION("""COMPUTED_VALUE"""),"NTV")</f>
        <v>NTV</v>
      </c>
      <c r="E3180" s="2" t="str">
        <f>IFERROR(__xludf.DUMMYFUNCTION("""COMPUTED_VALUE"""),"日22")</f>
        <v>日22</v>
      </c>
      <c r="F3180" s="2" t="s">
        <v>9497</v>
      </c>
      <c r="G3180" s="2" t="s">
        <v>9504</v>
      </c>
      <c r="H3180" s="1">
        <v>3.0</v>
      </c>
      <c r="I3180" s="1" t="s">
        <v>2876</v>
      </c>
      <c r="J3180" s="1" t="s">
        <v>82</v>
      </c>
      <c r="K3180" s="2" t="s">
        <v>9505</v>
      </c>
      <c r="L3180" s="11" t="s">
        <v>9506</v>
      </c>
      <c r="M3180" s="2" t="str">
        <f>IFERROR(__xludf.DUMMYFUNCTION("split(split(K3180,""【"",false),""公式LINE"",false)"),"亡き刑事：本城（篠井英介）に女性刑事殺害事件と十億円強奪事件という二つの大事件の罪を着せ、全てをうやむやに処理しようとする警察上層部。しかし、その流れに清春（賀来賢人）や南武（北村一輝）が待ったをかける。確実に裏のある事件の真相を突き止めるべく信念を持った再捜査が始まる。そして、清春は隠れて糸を引き続ける怪しき男：才門（井浦新）を追い詰めていくことに。その真意とは…。対決の時、来たる。")</f>
        <v>亡き刑事：本城（篠井英介）に女性刑事殺害事件と十億円強奪事件という二つの大事件の罪を着せ、全てをうやむやに処理しようとする警察上層部。しかし、その流れに清春（賀来賢人）や南武（北村一輝）が待ったをかける。確実に裏のある事件の真相を突き止めるべく信念を持った再捜査が始まる。そして、清春は隠れて糸を引き続ける怪しき男：才門（井浦新）を追い詰めていくことに。その真意とは…。対決の時、来たる。</v>
      </c>
      <c r="N3180" s="2"/>
      <c r="O3180" s="2"/>
      <c r="P3180" s="2"/>
      <c r="Q3180" s="2"/>
      <c r="R3180" s="2"/>
      <c r="S3180" s="2"/>
      <c r="T3180" s="2"/>
      <c r="U3180" s="2"/>
      <c r="V3180" s="2"/>
      <c r="W3180" s="2"/>
      <c r="X3180" s="2"/>
      <c r="Y3180" s="2"/>
      <c r="Z3180" s="2"/>
      <c r="AA3180" s="2"/>
      <c r="AB3180" s="2"/>
      <c r="AC3180" s="2"/>
      <c r="AD3180" s="2"/>
      <c r="AE3180" s="2"/>
      <c r="AF3180" s="2"/>
      <c r="AG3180" s="2"/>
      <c r="AH3180" s="2"/>
      <c r="AI3180" s="2"/>
      <c r="AJ3180" s="2"/>
      <c r="AK3180" s="2"/>
      <c r="AL3180" s="2"/>
      <c r="AM3180" s="2"/>
      <c r="AN3180" s="2"/>
      <c r="AO3180" s="2"/>
      <c r="AP3180" s="2"/>
      <c r="AQ3180" s="2"/>
      <c r="AR3180" s="2"/>
      <c r="AS3180" s="2"/>
      <c r="AT3180" s="2"/>
      <c r="AU3180" s="2"/>
      <c r="AV3180" s="2"/>
      <c r="AW3180" s="2"/>
      <c r="AX3180" s="2"/>
      <c r="AY3180" s="2"/>
      <c r="AZ3180" s="2"/>
      <c r="BA3180" s="2"/>
      <c r="BB3180" s="2"/>
    </row>
    <row r="3181" ht="204.75" customHeight="1">
      <c r="A3181" s="1">
        <v>111.0</v>
      </c>
      <c r="B3181" s="2" t="s">
        <v>9496</v>
      </c>
      <c r="C3181" s="2">
        <f>IFERROR(__xludf.DUMMYFUNCTION("split(B3181,""_"")"),1910.0)</f>
        <v>1910</v>
      </c>
      <c r="D3181" s="2" t="str">
        <f>IFERROR(__xludf.DUMMYFUNCTION("""COMPUTED_VALUE"""),"NTV")</f>
        <v>NTV</v>
      </c>
      <c r="E3181" s="2" t="str">
        <f>IFERROR(__xludf.DUMMYFUNCTION("""COMPUTED_VALUE"""),"日22")</f>
        <v>日22</v>
      </c>
      <c r="F3181" s="2" t="s">
        <v>9497</v>
      </c>
      <c r="G3181" s="2" t="s">
        <v>9507</v>
      </c>
      <c r="H3181" s="1">
        <v>4.0</v>
      </c>
      <c r="I3181" s="1" t="s">
        <v>2880</v>
      </c>
      <c r="J3181" s="1" t="s">
        <v>82</v>
      </c>
      <c r="K3181" s="2" t="s">
        <v>9508</v>
      </c>
      <c r="L3181" s="11" t="s">
        <v>9509</v>
      </c>
      <c r="M3181" s="2" t="str">
        <f>IFERROR(__xludf.DUMMYFUNCTION("split(split(K3181,""【"",false),""公式LINE"",false)"),"ホンボシ（本犯）は南武（北村一輝）だと告げられた清春（賀来賢人）が南武の素性を洗っていくと、これまで既に多くの嘘をついていたことが分かる。南武の本意を探る清春。一方克喜（田野井健）は南武のアリバイ崩しに繋がる証拠を持っており、南武に呼び出され、直接会いに行くことに…。ついに物語は核心へと向かう。繋がる事件。浮き上がる真実。そして清春の失われた記憶の扉が、ついに開くーー。")</f>
        <v>ホンボシ（本犯）は南武（北村一輝）だと告げられた清春（賀来賢人）が南武の素性を洗っていくと、これまで既に多くの嘘をついていたことが分かる。南武の本意を探る清春。一方克喜（田野井健）は南武のアリバイ崩しに繋がる証拠を持っており、南武に呼び出され、直接会いに行くことに…。ついに物語は核心へと向かう。繋がる事件。浮き上がる真実。そして清春の失われた記憶の扉が、ついに開くーー。</v>
      </c>
      <c r="N3181" s="2"/>
      <c r="O3181" s="2"/>
      <c r="P3181" s="2"/>
      <c r="Q3181" s="2"/>
      <c r="R3181" s="2"/>
      <c r="S3181" s="2"/>
      <c r="T3181" s="2"/>
      <c r="U3181" s="2"/>
      <c r="V3181" s="2"/>
      <c r="W3181" s="2"/>
      <c r="X3181" s="2"/>
      <c r="Y3181" s="2"/>
      <c r="Z3181" s="2"/>
      <c r="AA3181" s="2"/>
      <c r="AB3181" s="2"/>
      <c r="AC3181" s="2"/>
      <c r="AD3181" s="2"/>
      <c r="AE3181" s="2"/>
      <c r="AF3181" s="2"/>
      <c r="AG3181" s="2"/>
      <c r="AH3181" s="2"/>
      <c r="AI3181" s="2"/>
      <c r="AJ3181" s="2"/>
      <c r="AK3181" s="2"/>
      <c r="AL3181" s="2"/>
      <c r="AM3181" s="2"/>
      <c r="AN3181" s="2"/>
      <c r="AO3181" s="2"/>
      <c r="AP3181" s="2"/>
      <c r="AQ3181" s="2"/>
      <c r="AR3181" s="2"/>
      <c r="AS3181" s="2"/>
      <c r="AT3181" s="2"/>
      <c r="AU3181" s="2"/>
      <c r="AV3181" s="2"/>
      <c r="AW3181" s="2"/>
      <c r="AX3181" s="2"/>
      <c r="AY3181" s="2"/>
      <c r="AZ3181" s="2"/>
      <c r="BA3181" s="2"/>
      <c r="BB3181" s="2"/>
    </row>
    <row r="3182" ht="204.75" customHeight="1">
      <c r="A3182" s="1">
        <v>112.0</v>
      </c>
      <c r="B3182" s="2" t="s">
        <v>9496</v>
      </c>
      <c r="C3182" s="2">
        <f>IFERROR(__xludf.DUMMYFUNCTION("split(B3182,""_"")"),1910.0)</f>
        <v>1910</v>
      </c>
      <c r="D3182" s="2" t="str">
        <f>IFERROR(__xludf.DUMMYFUNCTION("""COMPUTED_VALUE"""),"NTV")</f>
        <v>NTV</v>
      </c>
      <c r="E3182" s="2" t="str">
        <f>IFERROR(__xludf.DUMMYFUNCTION("""COMPUTED_VALUE"""),"日22")</f>
        <v>日22</v>
      </c>
      <c r="F3182" s="2" t="s">
        <v>9497</v>
      </c>
      <c r="G3182" s="2" t="s">
        <v>9510</v>
      </c>
      <c r="H3182" s="1">
        <v>5.0</v>
      </c>
      <c r="I3182" s="1" t="s">
        <v>2884</v>
      </c>
      <c r="J3182" s="1" t="s">
        <v>82</v>
      </c>
      <c r="K3182" s="16" t="s">
        <v>9511</v>
      </c>
      <c r="L3182" s="17" t="s">
        <v>9511</v>
      </c>
      <c r="M3182" s="2" t="str">
        <f>IFERROR(__xludf.DUMMYFUNCTION("split(split(K3182,""【"",false),""公式LINE"",false)"),"警察の暗部となる地下組織「ニッポンノワール」の存在が明らかになった。そして清春（賀来賢人）は重大な記憶を取り戻し、その闇へと立ち向かうことになる。南武（北村一輝）からニッポンノワールと半グレ集団との関与の疑惑を聞かされた清春は捜査へ向かう。その捜査は警察の闇との全面対決と繋がることに。そしてこの日、ついに十億円強奪事件の犯人が明かされる。物語の第１部が完結を迎えるーー。必見の第５話。")</f>
        <v>警察の暗部となる地下組織「ニッポンノワール」の存在が明らかになった。そして清春（賀来賢人）は重大な記憶を取り戻し、その闇へと立ち向かうことになる。南武（北村一輝）からニッポンノワールと半グレ集団との関与の疑惑を聞かされた清春は捜査へ向かう。その捜査は警察の闇との全面対決と繋がることに。そしてこの日、ついに十億円強奪事件の犯人が明かされる。物語の第１部が完結を迎えるーー。必見の第５話。</v>
      </c>
      <c r="N3182" s="16"/>
      <c r="O3182" s="16"/>
      <c r="P3182" s="16"/>
      <c r="Q3182" s="16"/>
      <c r="R3182" s="16"/>
      <c r="S3182" s="16"/>
      <c r="T3182" s="16"/>
      <c r="U3182" s="16"/>
      <c r="V3182" s="16"/>
      <c r="W3182" s="16"/>
      <c r="X3182" s="16"/>
      <c r="Y3182" s="16"/>
      <c r="Z3182" s="16"/>
      <c r="AA3182" s="16"/>
      <c r="AB3182" s="16"/>
      <c r="AC3182" s="16"/>
      <c r="AD3182" s="16"/>
      <c r="AE3182" s="16"/>
      <c r="AF3182" s="16"/>
      <c r="AG3182" s="16"/>
      <c r="AH3182" s="16"/>
      <c r="AI3182" s="16"/>
      <c r="AJ3182" s="16"/>
      <c r="AK3182" s="16"/>
      <c r="AL3182" s="16"/>
      <c r="AM3182" s="16"/>
      <c r="AN3182" s="16"/>
      <c r="AO3182" s="16"/>
      <c r="AP3182" s="16"/>
      <c r="AQ3182" s="16"/>
      <c r="AR3182" s="16"/>
      <c r="AS3182" s="16"/>
      <c r="AT3182" s="16"/>
      <c r="AU3182" s="16"/>
      <c r="AV3182" s="16"/>
      <c r="AW3182" s="16"/>
      <c r="AX3182" s="16"/>
      <c r="AY3182" s="16"/>
      <c r="AZ3182" s="16"/>
      <c r="BA3182" s="16"/>
      <c r="BB3182" s="16"/>
    </row>
    <row r="3183" ht="204.75" customHeight="1">
      <c r="A3183" s="1">
        <v>113.0</v>
      </c>
      <c r="B3183" s="2" t="s">
        <v>9496</v>
      </c>
      <c r="C3183" s="2">
        <f>IFERROR(__xludf.DUMMYFUNCTION("split(B3183,""_"")"),1910.0)</f>
        <v>1910</v>
      </c>
      <c r="D3183" s="2" t="str">
        <f>IFERROR(__xludf.DUMMYFUNCTION("""COMPUTED_VALUE"""),"NTV")</f>
        <v>NTV</v>
      </c>
      <c r="E3183" s="2" t="str">
        <f>IFERROR(__xludf.DUMMYFUNCTION("""COMPUTED_VALUE"""),"日22")</f>
        <v>日22</v>
      </c>
      <c r="F3183" s="2" t="s">
        <v>9497</v>
      </c>
      <c r="G3183" s="2" t="s">
        <v>9512</v>
      </c>
      <c r="H3183" s="1">
        <v>6.0</v>
      </c>
      <c r="I3183" s="1" t="s">
        <v>2888</v>
      </c>
      <c r="J3183" s="1" t="s">
        <v>82</v>
      </c>
      <c r="K3183" s="2" t="s">
        <v>9513</v>
      </c>
      <c r="L3183" s="11" t="s">
        <v>9514</v>
      </c>
      <c r="M3183" s="2" t="str">
        <f>IFERROR(__xludf.DUMMYFUNCTION("split(split(K3183,""【"",false),""公式LINE"",false)"),"全国に指名手配をかけられた刑事：清春（賀来賢人）は、公安部の刑事：才門（井浦新）と共に逃走劇を繰り広げる。完全なる窮地に陥る中、地下組織「ニッポンノワール」の中枢の情報を掴む清春は、その核心へと迫っていくことになる。清春が目的の場所へとたどり着いた時、すべての様相が明らかになっていく。そして、この日誰もが想像しない更なる衝撃展開が巻き起こる。第２部「カク※※編」。刑事Yの逆襲がここに始まる。")</f>
        <v>全国に指名手配をかけられた刑事：清春（賀来賢人）は、公安部の刑事：才門（井浦新）と共に逃走劇を繰り広げる。完全なる窮地に陥る中、地下組織「ニッポンノワール」の中枢の情報を掴む清春は、その核心へと迫っていくことになる。清春が目的の場所へとたどり着いた時、すべての様相が明らかになっていく。そして、この日誰もが想像しない更なる衝撃展開が巻き起こる。第２部「カク※※編」。刑事Yの逆襲がここに始まる。</v>
      </c>
      <c r="N3183" s="2"/>
      <c r="O3183" s="2"/>
      <c r="P3183" s="2"/>
      <c r="Q3183" s="2"/>
      <c r="R3183" s="2"/>
      <c r="S3183" s="2"/>
      <c r="T3183" s="2"/>
      <c r="U3183" s="2"/>
      <c r="V3183" s="2"/>
      <c r="W3183" s="2"/>
      <c r="X3183" s="2"/>
      <c r="Y3183" s="2"/>
      <c r="Z3183" s="2"/>
      <c r="AA3183" s="2"/>
      <c r="AB3183" s="2"/>
      <c r="AC3183" s="2"/>
      <c r="AD3183" s="2"/>
      <c r="AE3183" s="2"/>
      <c r="AF3183" s="2"/>
      <c r="AG3183" s="2"/>
      <c r="AH3183" s="2"/>
      <c r="AI3183" s="2"/>
      <c r="AJ3183" s="2"/>
      <c r="AK3183" s="2"/>
      <c r="AL3183" s="2"/>
      <c r="AM3183" s="2"/>
      <c r="AN3183" s="2"/>
      <c r="AO3183" s="2"/>
      <c r="AP3183" s="2"/>
      <c r="AQ3183" s="2"/>
      <c r="AR3183" s="2"/>
      <c r="AS3183" s="2"/>
      <c r="AT3183" s="2"/>
      <c r="AU3183" s="2"/>
      <c r="AV3183" s="2"/>
      <c r="AW3183" s="2"/>
      <c r="AX3183" s="2"/>
      <c r="AY3183" s="2"/>
      <c r="AZ3183" s="2"/>
      <c r="BA3183" s="2"/>
      <c r="BB3183" s="2"/>
    </row>
    <row r="3184" ht="204.75" customHeight="1">
      <c r="A3184" s="1">
        <v>114.0</v>
      </c>
      <c r="B3184" s="2" t="s">
        <v>9496</v>
      </c>
      <c r="C3184" s="2">
        <f>IFERROR(__xludf.DUMMYFUNCTION("split(B3184,""_"")"),1910.0)</f>
        <v>1910</v>
      </c>
      <c r="D3184" s="2" t="str">
        <f>IFERROR(__xludf.DUMMYFUNCTION("""COMPUTED_VALUE"""),"NTV")</f>
        <v>NTV</v>
      </c>
      <c r="E3184" s="2" t="str">
        <f>IFERROR(__xludf.DUMMYFUNCTION("""COMPUTED_VALUE"""),"日22")</f>
        <v>日22</v>
      </c>
      <c r="F3184" s="2" t="s">
        <v>9497</v>
      </c>
      <c r="G3184" s="2" t="s">
        <v>9515</v>
      </c>
      <c r="H3184" s="1">
        <v>7.0</v>
      </c>
      <c r="I3184" s="1" t="s">
        <v>2892</v>
      </c>
      <c r="J3184" s="1" t="s">
        <v>82</v>
      </c>
      <c r="K3184" s="2" t="s">
        <v>9516</v>
      </c>
      <c r="L3184" s="11" t="s">
        <v>9517</v>
      </c>
      <c r="M3184" s="2" t="str">
        <f>IFERROR(__xludf.DUMMYFUNCTION("split(split(K3184,""【"",false),""公式LINE"",false)"),"地下組織：ニッポンノワールの施設に潜入した清春（賀来賢人）。人並外れた力を持つ工作員たちが大挙していた。薫（広末涼子）との記憶を取り戻した清春は衝撃の陰謀を垣間見ることとなった。一方、息子・克喜は組織の元へ連れ去られ、囚われの身となる。逆襲を試みる清春だったが、そこには裏切りの手が迫っていた……。第２部覚醒編。刑事は遂に敵の正体を暴く。そこで亡き刑事が涙を流したその真相を知ることとなる。")</f>
        <v>地下組織：ニッポンノワールの施設に潜入した清春（賀来賢人）。人並外れた力を持つ工作員たちが大挙していた。薫（広末涼子）との記憶を取り戻した清春は衝撃の陰謀を垣間見ることとなった。一方、息子・克喜は組織の元へ連れ去られ、囚われの身となる。逆襲を試みる清春だったが、そこには裏切りの手が迫っていた……。第２部覚醒編。刑事は遂に敵の正体を暴く。そこで亡き刑事が涙を流したその真相を知ることとなる。</v>
      </c>
      <c r="N3184" s="2"/>
      <c r="O3184" s="2"/>
      <c r="P3184" s="2"/>
      <c r="Q3184" s="2"/>
      <c r="R3184" s="2"/>
      <c r="S3184" s="2"/>
      <c r="T3184" s="2"/>
      <c r="U3184" s="2"/>
      <c r="V3184" s="2"/>
      <c r="W3184" s="2"/>
      <c r="X3184" s="2"/>
      <c r="Y3184" s="2"/>
      <c r="Z3184" s="2"/>
      <c r="AA3184" s="2"/>
      <c r="AB3184" s="2"/>
      <c r="AC3184" s="2"/>
      <c r="AD3184" s="2"/>
      <c r="AE3184" s="2"/>
      <c r="AF3184" s="2"/>
      <c r="AG3184" s="2"/>
      <c r="AH3184" s="2"/>
      <c r="AI3184" s="2"/>
      <c r="AJ3184" s="2"/>
      <c r="AK3184" s="2"/>
      <c r="AL3184" s="2"/>
      <c r="AM3184" s="2"/>
      <c r="AN3184" s="2"/>
      <c r="AO3184" s="2"/>
      <c r="AP3184" s="2"/>
      <c r="AQ3184" s="2"/>
      <c r="AR3184" s="2"/>
      <c r="AS3184" s="2"/>
      <c r="AT3184" s="2"/>
      <c r="AU3184" s="2"/>
      <c r="AV3184" s="2"/>
      <c r="AW3184" s="2"/>
      <c r="AX3184" s="2"/>
      <c r="AY3184" s="2"/>
      <c r="AZ3184" s="2"/>
      <c r="BA3184" s="2"/>
      <c r="BB3184" s="2"/>
    </row>
    <row r="3185" ht="204.75" customHeight="1">
      <c r="A3185" s="1">
        <v>115.0</v>
      </c>
      <c r="B3185" s="2" t="s">
        <v>9496</v>
      </c>
      <c r="C3185" s="2">
        <f>IFERROR(__xludf.DUMMYFUNCTION("split(B3185,""_"")"),1910.0)</f>
        <v>1910</v>
      </c>
      <c r="D3185" s="2" t="str">
        <f>IFERROR(__xludf.DUMMYFUNCTION("""COMPUTED_VALUE"""),"NTV")</f>
        <v>NTV</v>
      </c>
      <c r="E3185" s="2" t="str">
        <f>IFERROR(__xludf.DUMMYFUNCTION("""COMPUTED_VALUE"""),"日22")</f>
        <v>日22</v>
      </c>
      <c r="F3185" s="2" t="s">
        <v>9497</v>
      </c>
      <c r="G3185" s="2" t="s">
        <v>9518</v>
      </c>
      <c r="H3185" s="1">
        <v>8.0</v>
      </c>
      <c r="I3185" s="1" t="s">
        <v>2896</v>
      </c>
      <c r="J3185" s="1" t="s">
        <v>82</v>
      </c>
      <c r="K3185" s="2" t="s">
        <v>9519</v>
      </c>
      <c r="L3185" s="11" t="s">
        <v>9520</v>
      </c>
      <c r="M3185" s="2" t="str">
        <f>IFERROR(__xludf.DUMMYFUNCTION("split(split(K3185,""【"",false),""公式LINE"",false)"),"組織の手により濡れ衣を着せられ、囚われの身となった清春（賀来賢人）。そんな中、息子の克喜（田野井健）は人体実験場へと連れ去らわれていた…。一方、自身が記憶も人格も全て作られた人間であることを知った宮城（細田善彦）は、自分の存在そのものに悩み、葛藤をすることに…。そして反逆者たちは組織の手が迫る少年を救うため、命懸けの救出劇を繰り広げる。その果てには、あの男の最期がーー。")</f>
        <v>組織の手により濡れ衣を着せられ、囚われの身となった清春（賀来賢人）。そんな中、息子の克喜（田野井健）は人体実験場へと連れ去らわれていた…。一方、自身が記憶も人格も全て作られた人間であることを知った宮城（細田善彦）は、自分の存在そのものに悩み、葛藤をすることに…。そして反逆者たちは組織の手が迫る少年を救うため、命懸けの救出劇を繰り広げる。その果てには、あの男の最期がーー。</v>
      </c>
      <c r="N3185" s="2"/>
      <c r="O3185" s="2"/>
      <c r="P3185" s="2"/>
      <c r="Q3185" s="2"/>
      <c r="R3185" s="2"/>
      <c r="S3185" s="2"/>
      <c r="T3185" s="2"/>
      <c r="U3185" s="2"/>
      <c r="V3185" s="2"/>
      <c r="W3185" s="2"/>
      <c r="X3185" s="2"/>
      <c r="Y3185" s="2"/>
      <c r="Z3185" s="2"/>
      <c r="AA3185" s="2"/>
      <c r="AB3185" s="2"/>
      <c r="AC3185" s="2"/>
      <c r="AD3185" s="2"/>
      <c r="AE3185" s="2"/>
      <c r="AF3185" s="2"/>
      <c r="AG3185" s="2"/>
      <c r="AH3185" s="2"/>
      <c r="AI3185" s="2"/>
      <c r="AJ3185" s="2"/>
      <c r="AK3185" s="2"/>
      <c r="AL3185" s="2"/>
      <c r="AM3185" s="2"/>
      <c r="AN3185" s="2"/>
      <c r="AO3185" s="2"/>
      <c r="AP3185" s="2"/>
      <c r="AQ3185" s="2"/>
      <c r="AR3185" s="2"/>
      <c r="AS3185" s="2"/>
      <c r="AT3185" s="2"/>
      <c r="AU3185" s="2"/>
      <c r="AV3185" s="2"/>
      <c r="AW3185" s="2"/>
      <c r="AX3185" s="2"/>
      <c r="AY3185" s="2"/>
      <c r="AZ3185" s="2"/>
      <c r="BA3185" s="2"/>
      <c r="BB3185" s="2"/>
    </row>
    <row r="3186" ht="204.75" customHeight="1">
      <c r="A3186" s="1">
        <v>116.0</v>
      </c>
      <c r="B3186" s="2" t="s">
        <v>9496</v>
      </c>
      <c r="C3186" s="2">
        <f>IFERROR(__xludf.DUMMYFUNCTION("split(B3186,""_"")"),1910.0)</f>
        <v>1910</v>
      </c>
      <c r="D3186" s="2" t="str">
        <f>IFERROR(__xludf.DUMMYFUNCTION("""COMPUTED_VALUE"""),"NTV")</f>
        <v>NTV</v>
      </c>
      <c r="E3186" s="2" t="str">
        <f>IFERROR(__xludf.DUMMYFUNCTION("""COMPUTED_VALUE"""),"日22")</f>
        <v>日22</v>
      </c>
      <c r="F3186" s="2" t="s">
        <v>9497</v>
      </c>
      <c r="G3186" s="2" t="s">
        <v>9521</v>
      </c>
      <c r="H3186" s="1">
        <v>9.0</v>
      </c>
      <c r="I3186" s="1" t="s">
        <v>2900</v>
      </c>
      <c r="J3186" s="1" t="s">
        <v>82</v>
      </c>
      <c r="K3186" s="2" t="s">
        <v>9522</v>
      </c>
      <c r="L3186" s="11" t="s">
        <v>9523</v>
      </c>
      <c r="M3186" s="2" t="str">
        <f>IFERROR(__xludf.DUMMYFUNCTION("split(split(K3186,""【"",false),""公式LINE"",false)"),"亡き薫（広末涼子）が残したUSBの情報が開示され、清春（賀来賢人）は喫茶店マスター深水喜一（笹野高史）のもとを訪れる。カウントダウンされていた覚醒の日を、ついに迎えることとなる刑事Y。『覚醒』、その意味とはーー。そして全ての記憶を蘇らせ、ついに真相へと辿り着くこととなる。薫を殺した真犯人は誰か！？めまぐるしく展開したミステリーが佳境を迎える!第9話、『誰にも騙されることなかれ』。衝撃が待ち受ける!")</f>
        <v>亡き薫（広末涼子）が残したUSBの情報が開示され、清春（賀来賢人）は喫茶店マスター深水喜一（笹野高史）のもとを訪れる。カウントダウンされていた覚醒の日を、ついに迎えることとなる刑事Y。『覚醒』、その意味とはーー。そして全ての記憶を蘇らせ、ついに真相へと辿り着くこととなる。薫を殺した真犯人は誰か！？めまぐるしく展開したミステリーが佳境を迎える!第9話、『誰にも騙されることなかれ』。衝撃が待ち受ける!</v>
      </c>
      <c r="N3186" s="2"/>
      <c r="O3186" s="2"/>
      <c r="P3186" s="2"/>
      <c r="Q3186" s="2"/>
      <c r="R3186" s="2"/>
      <c r="S3186" s="2"/>
      <c r="T3186" s="2"/>
      <c r="U3186" s="2"/>
      <c r="V3186" s="2"/>
      <c r="W3186" s="2"/>
      <c r="X3186" s="2"/>
      <c r="Y3186" s="2"/>
      <c r="Z3186" s="2"/>
      <c r="AA3186" s="2"/>
      <c r="AB3186" s="2"/>
      <c r="AC3186" s="2"/>
      <c r="AD3186" s="2"/>
      <c r="AE3186" s="2"/>
      <c r="AF3186" s="2"/>
      <c r="AG3186" s="2"/>
      <c r="AH3186" s="2"/>
      <c r="AI3186" s="2"/>
      <c r="AJ3186" s="2"/>
      <c r="AK3186" s="2"/>
      <c r="AL3186" s="2"/>
      <c r="AM3186" s="2"/>
      <c r="AN3186" s="2"/>
      <c r="AO3186" s="2"/>
      <c r="AP3186" s="2"/>
      <c r="AQ3186" s="2"/>
      <c r="AR3186" s="2"/>
      <c r="AS3186" s="2"/>
      <c r="AT3186" s="2"/>
      <c r="AU3186" s="2"/>
      <c r="AV3186" s="2"/>
      <c r="AW3186" s="2"/>
      <c r="AX3186" s="2"/>
      <c r="AY3186" s="2"/>
      <c r="AZ3186" s="2"/>
      <c r="BA3186" s="2"/>
      <c r="BB3186" s="2"/>
    </row>
    <row r="3187" ht="204.75" customHeight="1">
      <c r="A3187" s="1">
        <v>117.0</v>
      </c>
      <c r="B3187" s="2" t="s">
        <v>9496</v>
      </c>
      <c r="C3187" s="2">
        <f>IFERROR(__xludf.DUMMYFUNCTION("split(B3187,""_"")"),1910.0)</f>
        <v>1910</v>
      </c>
      <c r="D3187" s="2" t="str">
        <f>IFERROR(__xludf.DUMMYFUNCTION("""COMPUTED_VALUE"""),"NTV")</f>
        <v>NTV</v>
      </c>
      <c r="E3187" s="2" t="str">
        <f>IFERROR(__xludf.DUMMYFUNCTION("""COMPUTED_VALUE"""),"日22")</f>
        <v>日22</v>
      </c>
      <c r="F3187" s="2" t="s">
        <v>9497</v>
      </c>
      <c r="G3187" s="2" t="s">
        <v>9524</v>
      </c>
      <c r="H3187" s="1">
        <v>10.0</v>
      </c>
      <c r="I3187" s="1" t="s">
        <v>37</v>
      </c>
      <c r="J3187" s="1" t="s">
        <v>82</v>
      </c>
      <c r="K3187" s="2" t="s">
        <v>9525</v>
      </c>
      <c r="L3187" s="11" t="s">
        <v>9526</v>
      </c>
      <c r="M3187" s="2" t="str">
        <f>IFERROR(__xludf.DUMMYFUNCTION("split(split(K3187,""【"",false),""公式LINE"",false)"),"時刻は22時30分。清春(賀来賢人)はガスマスクの男と対峙したーー。全ての黒幕であるこの男は何者か。薫（広末涼子）を殺害したのは誰か…。十億円はどこに隠されているのか…。地下組織：ニッポンノワールの狙いは…。全ての謎が紡がれ、暴かれていく最終回。物語は私達現実世界と同じ12月15日の55分間の時間軸で決着を迎える。全ての謎はこの１時間のためにあった。……最後の１秒まで、見逃すことなかれ!")</f>
        <v>時刻は22時30分。清春(賀来賢人)はガスマスクの男と対峙したーー。全ての黒幕であるこの男は何者か。薫（広末涼子）を殺害したのは誰か…。十億円はどこに隠されているのか…。地下組織：ニッポンノワールの狙いは…。全ての謎が紡がれ、暴かれていく最終回。物語は私達現実世界と同じ12月15日の55分間の時間軸で決着を迎える。全ての謎はこの１時間のためにあった。……最後の１秒まで、見逃すことなかれ!</v>
      </c>
      <c r="N3187" s="2"/>
      <c r="O3187" s="2"/>
      <c r="P3187" s="2"/>
      <c r="Q3187" s="2"/>
      <c r="R3187" s="2"/>
      <c r="S3187" s="2"/>
      <c r="T3187" s="2"/>
      <c r="U3187" s="2"/>
      <c r="V3187" s="2"/>
      <c r="W3187" s="2"/>
      <c r="X3187" s="2"/>
      <c r="Y3187" s="2"/>
      <c r="Z3187" s="2"/>
      <c r="AA3187" s="2"/>
      <c r="AB3187" s="2"/>
      <c r="AC3187" s="2"/>
      <c r="AD3187" s="2"/>
      <c r="AE3187" s="2"/>
      <c r="AF3187" s="2"/>
      <c r="AG3187" s="2"/>
      <c r="AH3187" s="2"/>
      <c r="AI3187" s="2"/>
      <c r="AJ3187" s="2"/>
      <c r="AK3187" s="2"/>
      <c r="AL3187" s="2"/>
      <c r="AM3187" s="2"/>
      <c r="AN3187" s="2"/>
      <c r="AO3187" s="2"/>
      <c r="AP3187" s="2"/>
      <c r="AQ3187" s="2"/>
      <c r="AR3187" s="2"/>
      <c r="AS3187" s="2"/>
      <c r="AT3187" s="2"/>
      <c r="AU3187" s="2"/>
      <c r="AV3187" s="2"/>
      <c r="AW3187" s="2"/>
      <c r="AX3187" s="2"/>
      <c r="AY3187" s="2"/>
      <c r="AZ3187" s="2"/>
      <c r="BA3187" s="2"/>
      <c r="BB3187" s="2"/>
    </row>
    <row r="3188" ht="204.75" customHeight="1">
      <c r="A3188" s="1">
        <v>128.0</v>
      </c>
      <c r="B3188" s="2" t="s">
        <v>9527</v>
      </c>
      <c r="C3188" s="2">
        <f>IFERROR(__xludf.DUMMYFUNCTION("split(B3188,""_"")"),1907.0)</f>
        <v>1907</v>
      </c>
      <c r="D3188" s="2" t="str">
        <f>IFERROR(__xludf.DUMMYFUNCTION("""COMPUTED_VALUE"""),"NTV")</f>
        <v>NTV</v>
      </c>
      <c r="E3188" s="2" t="str">
        <f>IFERROR(__xludf.DUMMYFUNCTION("""COMPUTED_VALUE"""),"水22")</f>
        <v>水22</v>
      </c>
      <c r="F3188" s="2" t="s">
        <v>9528</v>
      </c>
      <c r="G3188" s="2" t="s">
        <v>9529</v>
      </c>
      <c r="H3188" s="1">
        <v>1.0</v>
      </c>
      <c r="I3188" s="1" t="s">
        <v>3</v>
      </c>
      <c r="J3188" s="1" t="s">
        <v>82</v>
      </c>
      <c r="K3188" s="2" t="s">
        <v>9530</v>
      </c>
      <c r="L3188" s="11" t="s">
        <v>9531</v>
      </c>
      <c r="M3188" s="2" t="str">
        <f>IFERROR(__xludf.DUMMYFUNCTION("split(split(K3188,""【"",false),""公式LINE"",false)"),"３２歳・独身・彼氏なしの鐘子（杏）は、成果の出ない婚活をやめ「婚活さよならパーティー」と名付けた博多への一人旅に向かう。だが、姉の葉子（仲間由紀恵）から借りた服のポケットになぜか結婚指輪が入っていることに気づく。機内でその指輪を落としてしまい慌てる鐘子。拾ってくれたのは年下のイケメン・丈（宮沢氷魚）だった。動揺した鐘子は、つい既婚者のフリをしてしまう！たったひとつの嘘から、本物の恋が始まる…!!")</f>
        <v>３２歳・独身・彼氏なしの鐘子（杏）は、成果の出ない婚活をやめ「婚活さよならパーティー」と名付けた博多への一人旅に向かう。だが、姉の葉子（仲間由紀恵）から借りた服のポケットになぜか結婚指輪が入っていることに気づく。機内でその指輪を落としてしまい慌てる鐘子。拾ってくれたのは年下のイケメン・丈（宮沢氷魚）だった。動揺した鐘子は、つい既婚者のフリをしてしまう！たったひとつの嘘から、本物の恋が始まる…!!</v>
      </c>
      <c r="N3188" s="2"/>
      <c r="O3188" s="2"/>
      <c r="P3188" s="2"/>
      <c r="Q3188" s="2"/>
      <c r="R3188" s="2"/>
      <c r="S3188" s="2"/>
      <c r="T3188" s="2"/>
      <c r="U3188" s="2"/>
      <c r="V3188" s="2"/>
      <c r="W3188" s="2"/>
      <c r="X3188" s="2"/>
      <c r="Y3188" s="2"/>
      <c r="Z3188" s="2"/>
      <c r="AA3188" s="2"/>
      <c r="AB3188" s="2"/>
      <c r="AC3188" s="2"/>
      <c r="AD3188" s="2"/>
      <c r="AE3188" s="2"/>
      <c r="AF3188" s="2"/>
      <c r="AG3188" s="2"/>
      <c r="AH3188" s="2"/>
      <c r="AI3188" s="2"/>
      <c r="AJ3188" s="2"/>
      <c r="AK3188" s="2"/>
      <c r="AL3188" s="2"/>
      <c r="AM3188" s="2"/>
      <c r="AN3188" s="2"/>
      <c r="AO3188" s="2"/>
      <c r="AP3188" s="2"/>
      <c r="AQ3188" s="2"/>
      <c r="AR3188" s="2"/>
      <c r="AS3188" s="2"/>
      <c r="AT3188" s="2"/>
      <c r="AU3188" s="2"/>
      <c r="AV3188" s="2"/>
      <c r="AW3188" s="2"/>
      <c r="AX3188" s="2"/>
      <c r="AY3188" s="2"/>
      <c r="AZ3188" s="2"/>
      <c r="BA3188" s="2"/>
      <c r="BB3188" s="2"/>
    </row>
    <row r="3189" ht="204.75" customHeight="1">
      <c r="A3189" s="1">
        <v>129.0</v>
      </c>
      <c r="B3189" s="2" t="s">
        <v>9527</v>
      </c>
      <c r="C3189" s="2">
        <f>IFERROR(__xludf.DUMMYFUNCTION("split(B3189,""_"")"),1907.0)</f>
        <v>1907</v>
      </c>
      <c r="D3189" s="2" t="str">
        <f>IFERROR(__xludf.DUMMYFUNCTION("""COMPUTED_VALUE"""),"NTV")</f>
        <v>NTV</v>
      </c>
      <c r="E3189" s="2" t="str">
        <f>IFERROR(__xludf.DUMMYFUNCTION("""COMPUTED_VALUE"""),"水22")</f>
        <v>水22</v>
      </c>
      <c r="F3189" s="2" t="s">
        <v>9528</v>
      </c>
      <c r="G3189" s="2" t="s">
        <v>9532</v>
      </c>
      <c r="H3189" s="1">
        <v>2.0</v>
      </c>
      <c r="I3189" s="1" t="s">
        <v>7</v>
      </c>
      <c r="J3189" s="1" t="s">
        <v>82</v>
      </c>
      <c r="K3189" s="2" t="s">
        <v>9533</v>
      </c>
      <c r="L3189" s="11" t="s">
        <v>9534</v>
      </c>
      <c r="M3189" s="2" t="str">
        <f>IFERROR(__xludf.DUMMYFUNCTION("split(split(K3189,""【"",false),""公式LINE"",false)"),"つい既婚者のふりをしたことから、思いがけず旅先で丈（宮沢氷魚）と一夜を共にした鐘子（杏）は、東京への帰路で、姉・葉子（仲間由紀恵）の結婚指輪を忘れて来たことに気付く。慌ててホテルに問い合わせても、指輪は見つからず…。そんな中鐘子は、出張に行ったはずの葉子が、着飾って街を歩いているのを目撃。思わず後をつけた鐘子が目にしたのは、ピンク頭の年下イケメン・風太（瀬戸利樹）とデートをする姉の姿だった!")</f>
        <v>つい既婚者のふりをしたことから、思いがけず旅先で丈（宮沢氷魚）と一夜を共にした鐘子（杏）は、東京への帰路で、姉・葉子（仲間由紀恵）の結婚指輪を忘れて来たことに気付く。慌ててホテルに問い合わせても、指輪は見つからず…。そんな中鐘子は、出張に行ったはずの葉子が、着飾って街を歩いているのを目撃。思わず後をつけた鐘子が目にしたのは、ピンク頭の年下イケメン・風太（瀬戸利樹）とデートをする姉の姿だった!</v>
      </c>
      <c r="N3189" s="2"/>
      <c r="O3189" s="2"/>
      <c r="P3189" s="2"/>
      <c r="Q3189" s="2"/>
      <c r="R3189" s="2"/>
      <c r="S3189" s="2"/>
      <c r="T3189" s="2"/>
      <c r="U3189" s="2"/>
      <c r="V3189" s="2"/>
      <c r="W3189" s="2"/>
      <c r="X3189" s="2"/>
      <c r="Y3189" s="2"/>
      <c r="Z3189" s="2"/>
      <c r="AA3189" s="2"/>
      <c r="AB3189" s="2"/>
      <c r="AC3189" s="2"/>
      <c r="AD3189" s="2"/>
      <c r="AE3189" s="2"/>
      <c r="AF3189" s="2"/>
      <c r="AG3189" s="2"/>
      <c r="AH3189" s="2"/>
      <c r="AI3189" s="2"/>
      <c r="AJ3189" s="2"/>
      <c r="AK3189" s="2"/>
      <c r="AL3189" s="2"/>
      <c r="AM3189" s="2"/>
      <c r="AN3189" s="2"/>
      <c r="AO3189" s="2"/>
      <c r="AP3189" s="2"/>
      <c r="AQ3189" s="2"/>
      <c r="AR3189" s="2"/>
      <c r="AS3189" s="2"/>
      <c r="AT3189" s="2"/>
      <c r="AU3189" s="2"/>
      <c r="AV3189" s="2"/>
      <c r="AW3189" s="2"/>
      <c r="AX3189" s="2"/>
      <c r="AY3189" s="2"/>
      <c r="AZ3189" s="2"/>
      <c r="BA3189" s="2"/>
      <c r="BB3189" s="2"/>
    </row>
    <row r="3190" ht="204.75" customHeight="1">
      <c r="A3190" s="1">
        <v>130.0</v>
      </c>
      <c r="B3190" s="2" t="s">
        <v>9527</v>
      </c>
      <c r="C3190" s="2">
        <f>IFERROR(__xludf.DUMMYFUNCTION("split(B3190,""_"")"),1907.0)</f>
        <v>1907</v>
      </c>
      <c r="D3190" s="2" t="str">
        <f>IFERROR(__xludf.DUMMYFUNCTION("""COMPUTED_VALUE"""),"NTV")</f>
        <v>NTV</v>
      </c>
      <c r="E3190" s="2" t="str">
        <f>IFERROR(__xludf.DUMMYFUNCTION("""COMPUTED_VALUE"""),"水22")</f>
        <v>水22</v>
      </c>
      <c r="F3190" s="2" t="s">
        <v>9528</v>
      </c>
      <c r="G3190" s="2" t="s">
        <v>9535</v>
      </c>
      <c r="H3190" s="1">
        <v>3.0</v>
      </c>
      <c r="I3190" s="1" t="s">
        <v>10</v>
      </c>
      <c r="J3190" s="1" t="s">
        <v>82</v>
      </c>
      <c r="K3190" s="2" t="s">
        <v>9536</v>
      </c>
      <c r="L3190" s="11" t="s">
        <v>9537</v>
      </c>
      <c r="M3190" s="2" t="str">
        <f>IFERROR(__xludf.DUMMYFUNCTION("split(split(K3190,""【"",false),""公式LINE"",false)"),"鐘子（杏）は、丈（宮沢氷魚）が預かっていた姉・葉子（仲間由紀恵）の結婚指輪を取り戻し、これで丈と会うこともないと、寂しさを感じる。一方、丈は人知れず頭痛とめまいに苦しんでいた……。  そんな中、葉子は不倫相手の風太（瀬戸利樹）が怪我で入院したと聞き、夫・賢治（谷原章介）との結婚記念日ディナーを抜け出してお見舞いに行くため、鐘子に協力を頼む。呆れる鐘子だったが、姉の口裏合わせに付き合うことになり……。")</f>
        <v>鐘子（杏）は、丈（宮沢氷魚）が預かっていた姉・葉子（仲間由紀恵）の結婚指輪を取り戻し、これで丈と会うこともないと、寂しさを感じる。一方、丈は人知れず頭痛とめまいに苦しんでいた……。  そんな中、葉子は不倫相手の風太（瀬戸利樹）が怪我で入院したと聞き、夫・賢治（谷原章介）との結婚記念日ディナーを抜け出してお見舞いに行くため、鐘子に協力を頼む。呆れる鐘子だったが、姉の口裏合わせに付き合うことになり……。</v>
      </c>
      <c r="N3190" s="2"/>
      <c r="O3190" s="2"/>
      <c r="P3190" s="2"/>
      <c r="Q3190" s="2"/>
      <c r="R3190" s="2"/>
      <c r="S3190" s="2"/>
      <c r="T3190" s="2"/>
      <c r="U3190" s="2"/>
      <c r="V3190" s="2"/>
      <c r="W3190" s="2"/>
      <c r="X3190" s="2"/>
      <c r="Y3190" s="2"/>
      <c r="Z3190" s="2"/>
      <c r="AA3190" s="2"/>
      <c r="AB3190" s="2"/>
      <c r="AC3190" s="2"/>
      <c r="AD3190" s="2"/>
      <c r="AE3190" s="2"/>
      <c r="AF3190" s="2"/>
      <c r="AG3190" s="2"/>
      <c r="AH3190" s="2"/>
      <c r="AI3190" s="2"/>
      <c r="AJ3190" s="2"/>
      <c r="AK3190" s="2"/>
      <c r="AL3190" s="2"/>
      <c r="AM3190" s="2"/>
      <c r="AN3190" s="2"/>
      <c r="AO3190" s="2"/>
      <c r="AP3190" s="2"/>
      <c r="AQ3190" s="2"/>
      <c r="AR3190" s="2"/>
      <c r="AS3190" s="2"/>
      <c r="AT3190" s="2"/>
      <c r="AU3190" s="2"/>
      <c r="AV3190" s="2"/>
      <c r="AW3190" s="2"/>
      <c r="AX3190" s="2"/>
      <c r="AY3190" s="2"/>
      <c r="AZ3190" s="2"/>
      <c r="BA3190" s="2"/>
      <c r="BB3190" s="2"/>
    </row>
    <row r="3191" ht="204.75" customHeight="1">
      <c r="A3191" s="1">
        <v>131.0</v>
      </c>
      <c r="B3191" s="2" t="s">
        <v>9527</v>
      </c>
      <c r="C3191" s="2">
        <f>IFERROR(__xludf.DUMMYFUNCTION("split(B3191,""_"")"),1907.0)</f>
        <v>1907</v>
      </c>
      <c r="D3191" s="2" t="str">
        <f>IFERROR(__xludf.DUMMYFUNCTION("""COMPUTED_VALUE"""),"NTV")</f>
        <v>NTV</v>
      </c>
      <c r="E3191" s="2" t="str">
        <f>IFERROR(__xludf.DUMMYFUNCTION("""COMPUTED_VALUE"""),"水22")</f>
        <v>水22</v>
      </c>
      <c r="F3191" s="2" t="s">
        <v>9528</v>
      </c>
      <c r="G3191" s="2" t="s">
        <v>9538</v>
      </c>
      <c r="H3191" s="1">
        <v>4.0</v>
      </c>
      <c r="I3191" s="1" t="s">
        <v>14</v>
      </c>
      <c r="J3191" s="1" t="s">
        <v>82</v>
      </c>
      <c r="K3191" s="2" t="s">
        <v>9539</v>
      </c>
      <c r="L3191" s="11" t="s">
        <v>9540</v>
      </c>
      <c r="M3191" s="2" t="str">
        <f>IFERROR(__xludf.DUMMYFUNCTION("split(split(K3191,""【"",false),""公式LINE"",false)"),"丈（宮沢氷魚）の部屋から朝帰りした鐘子（杏）は、週末に約束した岩手旅行を心待ちにする。仕事中も丈とのメールに浮かれるものの、突然返事が途絶え不安を覚える鐘子。だが、そのころ丈は意外な場所にいた…。一方、風太（瀬戸利樹）との不倫のために嘘を重ねる葉子（仲間由紀恵）に、賢治（谷原章介）は少しずつ違和感を抱き始めていた…。そして、岩手旅行当日。丈が待つ東京駅へと向かった鐘子に、想定外のトラブルが!")</f>
        <v>丈（宮沢氷魚）の部屋から朝帰りした鐘子（杏）は、週末に約束した岩手旅行を心待ちにする。仕事中も丈とのメールに浮かれるものの、突然返事が途絶え不安を覚える鐘子。だが、そのころ丈は意外な場所にいた…。一方、風太（瀬戸利樹）との不倫のために嘘を重ねる葉子（仲間由紀恵）に、賢治（谷原章介）は少しずつ違和感を抱き始めていた…。そして、岩手旅行当日。丈が待つ東京駅へと向かった鐘子に、想定外のトラブルが!</v>
      </c>
      <c r="N3191" s="2"/>
      <c r="O3191" s="2"/>
      <c r="P3191" s="2"/>
      <c r="Q3191" s="2"/>
      <c r="R3191" s="2"/>
      <c r="S3191" s="2"/>
      <c r="T3191" s="2"/>
      <c r="U3191" s="2"/>
      <c r="V3191" s="2"/>
      <c r="W3191" s="2"/>
      <c r="X3191" s="2"/>
      <c r="Y3191" s="2"/>
      <c r="Z3191" s="2"/>
      <c r="AA3191" s="2"/>
      <c r="AB3191" s="2"/>
      <c r="AC3191" s="2"/>
      <c r="AD3191" s="2"/>
      <c r="AE3191" s="2"/>
      <c r="AF3191" s="2"/>
      <c r="AG3191" s="2"/>
      <c r="AH3191" s="2"/>
      <c r="AI3191" s="2"/>
      <c r="AJ3191" s="2"/>
      <c r="AK3191" s="2"/>
      <c r="AL3191" s="2"/>
      <c r="AM3191" s="2"/>
      <c r="AN3191" s="2"/>
      <c r="AO3191" s="2"/>
      <c r="AP3191" s="2"/>
      <c r="AQ3191" s="2"/>
      <c r="AR3191" s="2"/>
      <c r="AS3191" s="2"/>
      <c r="AT3191" s="2"/>
      <c r="AU3191" s="2"/>
      <c r="AV3191" s="2"/>
      <c r="AW3191" s="2"/>
      <c r="AX3191" s="2"/>
      <c r="AY3191" s="2"/>
      <c r="AZ3191" s="2"/>
      <c r="BA3191" s="2"/>
      <c r="BB3191" s="2"/>
    </row>
    <row r="3192" ht="204.75" customHeight="1">
      <c r="A3192" s="1">
        <v>132.0</v>
      </c>
      <c r="B3192" s="2" t="s">
        <v>9527</v>
      </c>
      <c r="C3192" s="2">
        <f>IFERROR(__xludf.DUMMYFUNCTION("split(B3192,""_"")"),1907.0)</f>
        <v>1907</v>
      </c>
      <c r="D3192" s="2" t="str">
        <f>IFERROR(__xludf.DUMMYFUNCTION("""COMPUTED_VALUE"""),"NTV")</f>
        <v>NTV</v>
      </c>
      <c r="E3192" s="2" t="str">
        <f>IFERROR(__xludf.DUMMYFUNCTION("""COMPUTED_VALUE"""),"水22")</f>
        <v>水22</v>
      </c>
      <c r="F3192" s="2" t="s">
        <v>9528</v>
      </c>
      <c r="G3192" s="2" t="s">
        <v>9541</v>
      </c>
      <c r="H3192" s="1">
        <v>5.0</v>
      </c>
      <c r="I3192" s="1" t="s">
        <v>17</v>
      </c>
      <c r="J3192" s="1" t="s">
        <v>82</v>
      </c>
      <c r="K3192" s="2" t="s">
        <v>9542</v>
      </c>
      <c r="L3192" s="11" t="s">
        <v>9543</v>
      </c>
      <c r="M3192" s="2" t="str">
        <f>IFERROR(__xludf.DUMMYFUNCTION("split(split(K3192,""【"",false),""公式LINE"",false)"),"鐘子（杏）と行くはずだった岩手旅行に一人でやってきた丈（宮沢氷魚）。東京駅で鐘子と一緒にいた賢治（谷原章介）を鐘子の夫だと思い込んでいる丈は、鐘子を旅行に誘ったことを後悔する。鐘子も、丈が姿を消したのは不倫の厄介事から逃げるためだと思い、落ち込む。一方、葉子（仲間由紀恵）は、夫・賢治の出張の隙に風太（瀬戸利樹）とのデートへ出かける。だが、賢治は予定を変更し、早く東京へ帰ろうとしていた…!")</f>
        <v>鐘子（杏）と行くはずだった岩手旅行に一人でやってきた丈（宮沢氷魚）。東京駅で鐘子と一緒にいた賢治（谷原章介）を鐘子の夫だと思い込んでいる丈は、鐘子を旅行に誘ったことを後悔する。鐘子も、丈が姿を消したのは不倫の厄介事から逃げるためだと思い、落ち込む。一方、葉子（仲間由紀恵）は、夫・賢治の出張の隙に風太（瀬戸利樹）とのデートへ出かける。だが、賢治は予定を変更し、早く東京へ帰ろうとしていた…!</v>
      </c>
      <c r="N3192" s="2"/>
      <c r="O3192" s="2"/>
      <c r="P3192" s="2"/>
      <c r="Q3192" s="2"/>
      <c r="R3192" s="2"/>
      <c r="S3192" s="2"/>
      <c r="T3192" s="2"/>
      <c r="U3192" s="2"/>
      <c r="V3192" s="2"/>
      <c r="W3192" s="2"/>
      <c r="X3192" s="2"/>
      <c r="Y3192" s="2"/>
      <c r="Z3192" s="2"/>
      <c r="AA3192" s="2"/>
      <c r="AB3192" s="2"/>
      <c r="AC3192" s="2"/>
      <c r="AD3192" s="2"/>
      <c r="AE3192" s="2"/>
      <c r="AF3192" s="2"/>
      <c r="AG3192" s="2"/>
      <c r="AH3192" s="2"/>
      <c r="AI3192" s="2"/>
      <c r="AJ3192" s="2"/>
      <c r="AK3192" s="2"/>
      <c r="AL3192" s="2"/>
      <c r="AM3192" s="2"/>
      <c r="AN3192" s="2"/>
      <c r="AO3192" s="2"/>
      <c r="AP3192" s="2"/>
      <c r="AQ3192" s="2"/>
      <c r="AR3192" s="2"/>
      <c r="AS3192" s="2"/>
      <c r="AT3192" s="2"/>
      <c r="AU3192" s="2"/>
      <c r="AV3192" s="2"/>
      <c r="AW3192" s="2"/>
      <c r="AX3192" s="2"/>
      <c r="AY3192" s="2"/>
      <c r="AZ3192" s="2"/>
      <c r="BA3192" s="2"/>
      <c r="BB3192" s="2"/>
    </row>
    <row r="3193" ht="204.75" customHeight="1">
      <c r="A3193" s="1">
        <v>133.0</v>
      </c>
      <c r="B3193" s="2" t="s">
        <v>9527</v>
      </c>
      <c r="C3193" s="2">
        <f>IFERROR(__xludf.DUMMYFUNCTION("split(B3193,""_"")"),1907.0)</f>
        <v>1907</v>
      </c>
      <c r="D3193" s="2" t="str">
        <f>IFERROR(__xludf.DUMMYFUNCTION("""COMPUTED_VALUE"""),"NTV")</f>
        <v>NTV</v>
      </c>
      <c r="E3193" s="2" t="str">
        <f>IFERROR(__xludf.DUMMYFUNCTION("""COMPUTED_VALUE"""),"水22")</f>
        <v>水22</v>
      </c>
      <c r="F3193" s="2" t="s">
        <v>9528</v>
      </c>
      <c r="G3193" s="2" t="s">
        <v>9544</v>
      </c>
      <c r="H3193" s="1">
        <v>6.0</v>
      </c>
      <c r="I3193" s="1" t="s">
        <v>21</v>
      </c>
      <c r="J3193" s="1" t="s">
        <v>82</v>
      </c>
      <c r="K3193" s="2" t="s">
        <v>9545</v>
      </c>
      <c r="L3193" s="11" t="s">
        <v>9546</v>
      </c>
      <c r="M3193" s="2" t="str">
        <f>IFERROR(__xludf.DUMMYFUNCTION("split(split(K3193,""【"",false),""公式LINE"",false)"),"本当は独身だということを打ち明けようとした鐘子（杏）の前で突然倒れた丈（宮沢氷魚）。病院で目を覚ました丈は、医師の一之瀬（眞島秀和）に病気のことを秘密にするよう頼む。また本当のことを言えなかった鐘子は、このまま“偽装不倫”を続けていくことに…。  葉子（仲間由紀恵）は風太（瀬戸利樹）の試合と同じ日に賢治（谷原章介）から熱海旅行に誘われピンチに陥る。どちらにも行くつもりで、嫌がる鐘子に協力を仰ぐが…。")</f>
        <v>本当は独身だということを打ち明けようとした鐘子（杏）の前で突然倒れた丈（宮沢氷魚）。病院で目を覚ました丈は、医師の一之瀬（眞島秀和）に病気のことを秘密にするよう頼む。また本当のことを言えなかった鐘子は、このまま“偽装不倫”を続けていくことに…。  葉子（仲間由紀恵）は風太（瀬戸利樹）の試合と同じ日に賢治（谷原章介）から熱海旅行に誘われピンチに陥る。どちらにも行くつもりで、嫌がる鐘子に協力を仰ぐが…。</v>
      </c>
      <c r="N3193" s="2"/>
      <c r="O3193" s="2"/>
      <c r="P3193" s="2"/>
      <c r="Q3193" s="2"/>
      <c r="R3193" s="2"/>
      <c r="S3193" s="2"/>
      <c r="T3193" s="2"/>
      <c r="U3193" s="2"/>
      <c r="V3193" s="2"/>
      <c r="W3193" s="2"/>
      <c r="X3193" s="2"/>
      <c r="Y3193" s="2"/>
      <c r="Z3193" s="2"/>
      <c r="AA3193" s="2"/>
      <c r="AB3193" s="2"/>
      <c r="AC3193" s="2"/>
      <c r="AD3193" s="2"/>
      <c r="AE3193" s="2"/>
      <c r="AF3193" s="2"/>
      <c r="AG3193" s="2"/>
      <c r="AH3193" s="2"/>
      <c r="AI3193" s="2"/>
      <c r="AJ3193" s="2"/>
      <c r="AK3193" s="2"/>
      <c r="AL3193" s="2"/>
      <c r="AM3193" s="2"/>
      <c r="AN3193" s="2"/>
      <c r="AO3193" s="2"/>
      <c r="AP3193" s="2"/>
      <c r="AQ3193" s="2"/>
      <c r="AR3193" s="2"/>
      <c r="AS3193" s="2"/>
      <c r="AT3193" s="2"/>
      <c r="AU3193" s="2"/>
      <c r="AV3193" s="2"/>
      <c r="AW3193" s="2"/>
      <c r="AX3193" s="2"/>
      <c r="AY3193" s="2"/>
      <c r="AZ3193" s="2"/>
      <c r="BA3193" s="2"/>
      <c r="BB3193" s="2"/>
    </row>
    <row r="3194" ht="204.75" customHeight="1">
      <c r="A3194" s="1">
        <v>134.0</v>
      </c>
      <c r="B3194" s="2" t="s">
        <v>9527</v>
      </c>
      <c r="C3194" s="2">
        <f>IFERROR(__xludf.DUMMYFUNCTION("split(B3194,""_"")"),1907.0)</f>
        <v>1907</v>
      </c>
      <c r="D3194" s="2" t="str">
        <f>IFERROR(__xludf.DUMMYFUNCTION("""COMPUTED_VALUE"""),"NTV")</f>
        <v>NTV</v>
      </c>
      <c r="E3194" s="2" t="str">
        <f>IFERROR(__xludf.DUMMYFUNCTION("""COMPUTED_VALUE"""),"水22")</f>
        <v>水22</v>
      </c>
      <c r="F3194" s="2" t="s">
        <v>9528</v>
      </c>
      <c r="G3194" s="2" t="s">
        <v>9547</v>
      </c>
      <c r="H3194" s="1">
        <v>7.0</v>
      </c>
      <c r="I3194" s="1" t="s">
        <v>25</v>
      </c>
      <c r="J3194" s="1" t="s">
        <v>82</v>
      </c>
      <c r="K3194" s="2" t="s">
        <v>9548</v>
      </c>
      <c r="L3194" s="11" t="s">
        <v>9549</v>
      </c>
      <c r="M3194" s="2" t="str">
        <f>IFERROR(__xludf.DUMMYFUNCTION("split(split(K3194,""【"",false),""公式LINE"",false)"),"丈（宮沢氷魚）から「大好きだ」と言われて指輪をもらった鐘子（杏）は、丈が人妻だと思っている自分に指輪をくれた真意がわからずに悩む。一方、風太（瀬戸利樹）の試合を観に行き、賢治（谷原章介）との熱海旅行をドタキャンした葉子（仲間由紀恵）。帰宅した葉子を待っていたのは不自然なほど笑顔の賢治だった。翌日、鐘子は賢治に呼び出されるが、なんとそこに風太が偶然通りかかり、新たな修羅場のピンチに陥ってしまう……!")</f>
        <v>丈（宮沢氷魚）から「大好きだ」と言われて指輪をもらった鐘子（杏）は、丈が人妻だと思っている自分に指輪をくれた真意がわからずに悩む。一方、風太（瀬戸利樹）の試合を観に行き、賢治（谷原章介）との熱海旅行をドタキャンした葉子（仲間由紀恵）。帰宅した葉子を待っていたのは不自然なほど笑顔の賢治だった。翌日、鐘子は賢治に呼び出されるが、なんとそこに風太が偶然通りかかり、新たな修羅場のピンチに陥ってしまう……!</v>
      </c>
      <c r="N3194" s="2"/>
      <c r="O3194" s="2"/>
      <c r="P3194" s="2"/>
      <c r="Q3194" s="2"/>
      <c r="R3194" s="2"/>
      <c r="S3194" s="2"/>
      <c r="T3194" s="2"/>
      <c r="U3194" s="2"/>
      <c r="V3194" s="2"/>
      <c r="W3194" s="2"/>
      <c r="X3194" s="2"/>
      <c r="Y3194" s="2"/>
      <c r="Z3194" s="2"/>
      <c r="AA3194" s="2"/>
      <c r="AB3194" s="2"/>
      <c r="AC3194" s="2"/>
      <c r="AD3194" s="2"/>
      <c r="AE3194" s="2"/>
      <c r="AF3194" s="2"/>
      <c r="AG3194" s="2"/>
      <c r="AH3194" s="2"/>
      <c r="AI3194" s="2"/>
      <c r="AJ3194" s="2"/>
      <c r="AK3194" s="2"/>
      <c r="AL3194" s="2"/>
      <c r="AM3194" s="2"/>
      <c r="AN3194" s="2"/>
      <c r="AO3194" s="2"/>
      <c r="AP3194" s="2"/>
      <c r="AQ3194" s="2"/>
      <c r="AR3194" s="2"/>
      <c r="AS3194" s="2"/>
      <c r="AT3194" s="2"/>
      <c r="AU3194" s="2"/>
      <c r="AV3194" s="2"/>
      <c r="AW3194" s="2"/>
      <c r="AX3194" s="2"/>
      <c r="AY3194" s="2"/>
      <c r="AZ3194" s="2"/>
      <c r="BA3194" s="2"/>
      <c r="BB3194" s="2"/>
    </row>
    <row r="3195" ht="204.75" customHeight="1">
      <c r="A3195" s="1">
        <v>135.0</v>
      </c>
      <c r="B3195" s="2" t="s">
        <v>9527</v>
      </c>
      <c r="C3195" s="2">
        <f>IFERROR(__xludf.DUMMYFUNCTION("split(B3195,""_"")"),1907.0)</f>
        <v>1907</v>
      </c>
      <c r="D3195" s="2" t="str">
        <f>IFERROR(__xludf.DUMMYFUNCTION("""COMPUTED_VALUE"""),"NTV")</f>
        <v>NTV</v>
      </c>
      <c r="E3195" s="2" t="str">
        <f>IFERROR(__xludf.DUMMYFUNCTION("""COMPUTED_VALUE"""),"水22")</f>
        <v>水22</v>
      </c>
      <c r="F3195" s="2" t="s">
        <v>9528</v>
      </c>
      <c r="G3195" s="2" t="s">
        <v>9550</v>
      </c>
      <c r="H3195" s="1">
        <v>8.0</v>
      </c>
      <c r="I3195" s="1" t="s">
        <v>29</v>
      </c>
      <c r="J3195" s="1" t="s">
        <v>82</v>
      </c>
      <c r="K3195" s="2" t="s">
        <v>9551</v>
      </c>
      <c r="L3195" s="11" t="s">
        <v>9552</v>
      </c>
      <c r="M3195" s="2" t="str">
        <f>IFERROR(__xludf.DUMMYFUNCTION("split(split(K3195,""【"",false),""公式LINE"",false)"),"大人のピュアラブコメディ。メールで嘘を打ち明けた鐘子（杏）は、丈（宮沢氷魚）から返信がないことに落ち込む。そんな時風太（瀬戸利樹）とバッタリ出会い、自分と丈の話を打ち明けるが、うっかり葉子（仲間由紀恵）が結婚していることをバラしてしまう！覚悟を決めて風太に会いに行った葉子は、今までと変わらない風太の姿に心を痛める。だが通りの向こうには、立ち尽くす夫・賢治（谷原章介）の姿があった!")</f>
        <v>大人のピュアラブコメディ。メールで嘘を打ち明けた鐘子（杏）は、丈（宮沢氷魚）から返信がないことに落ち込む。そんな時風太（瀬戸利樹）とバッタリ出会い、自分と丈の話を打ち明けるが、うっかり葉子（仲間由紀恵）が結婚していることをバラしてしまう！覚悟を決めて風太に会いに行った葉子は、今までと変わらない風太の姿に心を痛める。だが通りの向こうには、立ち尽くす夫・賢治（谷原章介）の姿があった!</v>
      </c>
      <c r="N3195" s="2"/>
      <c r="O3195" s="2"/>
      <c r="P3195" s="2"/>
      <c r="Q3195" s="2"/>
      <c r="R3195" s="2"/>
      <c r="S3195" s="2"/>
      <c r="T3195" s="2"/>
      <c r="U3195" s="2"/>
      <c r="V3195" s="2"/>
      <c r="W3195" s="2"/>
      <c r="X3195" s="2"/>
      <c r="Y3195" s="2"/>
      <c r="Z3195" s="2"/>
      <c r="AA3195" s="2"/>
      <c r="AB3195" s="2"/>
      <c r="AC3195" s="2"/>
      <c r="AD3195" s="2"/>
      <c r="AE3195" s="2"/>
      <c r="AF3195" s="2"/>
      <c r="AG3195" s="2"/>
      <c r="AH3195" s="2"/>
      <c r="AI3195" s="2"/>
      <c r="AJ3195" s="2"/>
      <c r="AK3195" s="2"/>
      <c r="AL3195" s="2"/>
      <c r="AM3195" s="2"/>
      <c r="AN3195" s="2"/>
      <c r="AO3195" s="2"/>
      <c r="AP3195" s="2"/>
      <c r="AQ3195" s="2"/>
      <c r="AR3195" s="2"/>
      <c r="AS3195" s="2"/>
      <c r="AT3195" s="2"/>
      <c r="AU3195" s="2"/>
      <c r="AV3195" s="2"/>
      <c r="AW3195" s="2"/>
      <c r="AX3195" s="2"/>
      <c r="AY3195" s="2"/>
      <c r="AZ3195" s="2"/>
      <c r="BA3195" s="2"/>
      <c r="BB3195" s="2"/>
    </row>
    <row r="3196" ht="204.75" customHeight="1">
      <c r="A3196" s="1">
        <v>136.0</v>
      </c>
      <c r="B3196" s="2" t="s">
        <v>9527</v>
      </c>
      <c r="C3196" s="2">
        <f>IFERROR(__xludf.DUMMYFUNCTION("split(B3196,""_"")"),1907.0)</f>
        <v>1907</v>
      </c>
      <c r="D3196" s="2" t="str">
        <f>IFERROR(__xludf.DUMMYFUNCTION("""COMPUTED_VALUE"""),"NTV")</f>
        <v>NTV</v>
      </c>
      <c r="E3196" s="2" t="str">
        <f>IFERROR(__xludf.DUMMYFUNCTION("""COMPUTED_VALUE"""),"水22")</f>
        <v>水22</v>
      </c>
      <c r="F3196" s="2" t="s">
        <v>9528</v>
      </c>
      <c r="G3196" s="2" t="s">
        <v>9553</v>
      </c>
      <c r="H3196" s="1">
        <v>9.0</v>
      </c>
      <c r="I3196" s="1" t="s">
        <v>33</v>
      </c>
      <c r="J3196" s="1" t="s">
        <v>82</v>
      </c>
      <c r="K3196" s="2" t="s">
        <v>9554</v>
      </c>
      <c r="L3196" s="11" t="s">
        <v>9555</v>
      </c>
      <c r="M3196" s="2" t="str">
        <f>IFERROR(__xludf.DUMMYFUNCTION("split(split(K3196,""【"",false),""公式LINE"",false)"),"丈（宮沢氷魚）との別れから２ヶ月。失恋を引きずりながらも以前のお一人様生活に戻った鐘子（杏）。取引先のワイナリー会社の藤堂（桐山漣）からデートに誘われ、新たな恋の予感が…。一方、賢治（谷原章介）との夫婦生活を続けるために風太（瀬戸利樹）と別れた葉子（仲間由紀恵）だったが、偶然風太と再会し心が揺れる。そんな中、脳腫瘍の手術を受けるためにスペインに帰っていた丈が、再び鐘子の前に現れる！")</f>
        <v>丈（宮沢氷魚）との別れから２ヶ月。失恋を引きずりながらも以前のお一人様生活に戻った鐘子（杏）。取引先のワイナリー会社の藤堂（桐山漣）からデートに誘われ、新たな恋の予感が…。一方、賢治（谷原章介）との夫婦生活を続けるために風太（瀬戸利樹）と別れた葉子（仲間由紀恵）だったが、偶然風太と再会し心が揺れる。そんな中、脳腫瘍の手術を受けるためにスペインに帰っていた丈が、再び鐘子の前に現れる！</v>
      </c>
      <c r="N3196" s="2"/>
      <c r="O3196" s="2"/>
      <c r="P3196" s="2"/>
      <c r="Q3196" s="2"/>
      <c r="R3196" s="2"/>
      <c r="S3196" s="2"/>
      <c r="T3196" s="2"/>
      <c r="U3196" s="2"/>
      <c r="V3196" s="2"/>
      <c r="W3196" s="2"/>
      <c r="X3196" s="2"/>
      <c r="Y3196" s="2"/>
      <c r="Z3196" s="2"/>
      <c r="AA3196" s="2"/>
      <c r="AB3196" s="2"/>
      <c r="AC3196" s="2"/>
      <c r="AD3196" s="2"/>
      <c r="AE3196" s="2"/>
      <c r="AF3196" s="2"/>
      <c r="AG3196" s="2"/>
      <c r="AH3196" s="2"/>
      <c r="AI3196" s="2"/>
      <c r="AJ3196" s="2"/>
      <c r="AK3196" s="2"/>
      <c r="AL3196" s="2"/>
      <c r="AM3196" s="2"/>
      <c r="AN3196" s="2"/>
      <c r="AO3196" s="2"/>
      <c r="AP3196" s="2"/>
      <c r="AQ3196" s="2"/>
      <c r="AR3196" s="2"/>
      <c r="AS3196" s="2"/>
      <c r="AT3196" s="2"/>
      <c r="AU3196" s="2"/>
      <c r="AV3196" s="2"/>
      <c r="AW3196" s="2"/>
      <c r="AX3196" s="2"/>
      <c r="AY3196" s="2"/>
      <c r="AZ3196" s="2"/>
      <c r="BA3196" s="2"/>
      <c r="BB3196" s="2"/>
    </row>
    <row r="3197" ht="204.75" customHeight="1">
      <c r="A3197" s="1">
        <v>137.0</v>
      </c>
      <c r="B3197" s="2" t="s">
        <v>9527</v>
      </c>
      <c r="C3197" s="2">
        <f>IFERROR(__xludf.DUMMYFUNCTION("split(B3197,""_"")"),1907.0)</f>
        <v>1907</v>
      </c>
      <c r="D3197" s="2" t="str">
        <f>IFERROR(__xludf.DUMMYFUNCTION("""COMPUTED_VALUE"""),"NTV")</f>
        <v>NTV</v>
      </c>
      <c r="E3197" s="2" t="str">
        <f>IFERROR(__xludf.DUMMYFUNCTION("""COMPUTED_VALUE"""),"水22")</f>
        <v>水22</v>
      </c>
      <c r="F3197" s="2" t="s">
        <v>9528</v>
      </c>
      <c r="G3197" s="2" t="s">
        <v>9556</v>
      </c>
      <c r="H3197" s="1">
        <v>10.0</v>
      </c>
      <c r="I3197" s="1" t="s">
        <v>37</v>
      </c>
      <c r="J3197" s="1" t="s">
        <v>82</v>
      </c>
      <c r="K3197" s="2" t="s">
        <v>9557</v>
      </c>
      <c r="L3197" s="11" t="s">
        <v>9558</v>
      </c>
      <c r="M3197" s="2" t="str">
        <f>IFERROR(__xludf.DUMMYFUNCTION("split(split(K3197,""【"",false),""公式LINE"",false)"),"脳腫瘍の手術を受けて帰ってきた丈（宮沢氷魚）が、後遺症で自分のことを忘れていたことに傷つく鐘子（杏）。嘘のない関係を築き直すチャンスだと前向きに考えるが…。一方、葉子（仲間由紀恵）から離婚を切り出された賢治（谷原章介）は、風太（瀬戸利樹）に“勝負”を挑む。自分が賢治を追いつめてしまったと胸を痛める葉子だったが…。そんなある日、記憶障害を抱える丈が、突然、一之瀬医師（眞島秀和）の前に姿を現す…!")</f>
        <v>脳腫瘍の手術を受けて帰ってきた丈（宮沢氷魚）が、後遺症で自分のことを忘れていたことに傷つく鐘子（杏）。嘘のない関係を築き直すチャンスだと前向きに考えるが…。一方、葉子（仲間由紀恵）から離婚を切り出された賢治（谷原章介）は、風太（瀬戸利樹）に“勝負”を挑む。自分が賢治を追いつめてしまったと胸を痛める葉子だったが…。そんなある日、記憶障害を抱える丈が、突然、一之瀬医師（眞島秀和）の前に姿を現す…!</v>
      </c>
      <c r="N3197" s="2"/>
      <c r="O3197" s="2"/>
      <c r="P3197" s="2"/>
      <c r="Q3197" s="2"/>
      <c r="R3197" s="2"/>
      <c r="S3197" s="2"/>
      <c r="T3197" s="2"/>
      <c r="U3197" s="2"/>
      <c r="V3197" s="2"/>
      <c r="W3197" s="2"/>
      <c r="X3197" s="2"/>
      <c r="Y3197" s="2"/>
      <c r="Z3197" s="2"/>
      <c r="AA3197" s="2"/>
      <c r="AB3197" s="2"/>
      <c r="AC3197" s="2"/>
      <c r="AD3197" s="2"/>
      <c r="AE3197" s="2"/>
      <c r="AF3197" s="2"/>
      <c r="AG3197" s="2"/>
      <c r="AH3197" s="2"/>
      <c r="AI3197" s="2"/>
      <c r="AJ3197" s="2"/>
      <c r="AK3197" s="2"/>
      <c r="AL3197" s="2"/>
      <c r="AM3197" s="2"/>
      <c r="AN3197" s="2"/>
      <c r="AO3197" s="2"/>
      <c r="AP3197" s="2"/>
      <c r="AQ3197" s="2"/>
      <c r="AR3197" s="2"/>
      <c r="AS3197" s="2"/>
      <c r="AT3197" s="2"/>
      <c r="AU3197" s="2"/>
      <c r="AV3197" s="2"/>
      <c r="AW3197" s="2"/>
      <c r="AX3197" s="2"/>
      <c r="AY3197" s="2"/>
      <c r="AZ3197" s="2"/>
      <c r="BA3197" s="2"/>
      <c r="BB3197" s="2"/>
    </row>
    <row r="3198" ht="204.75" customHeight="1">
      <c r="A3198" s="1">
        <v>158.0</v>
      </c>
      <c r="B3198" s="2" t="s">
        <v>9559</v>
      </c>
      <c r="C3198" s="2">
        <f>IFERROR(__xludf.DUMMYFUNCTION("split(B3198,""_"")"),1907.0)</f>
        <v>1907</v>
      </c>
      <c r="D3198" s="2" t="str">
        <f>IFERROR(__xludf.DUMMYFUNCTION("""COMPUTED_VALUE"""),"NTV")</f>
        <v>NTV</v>
      </c>
      <c r="E3198" s="2" t="str">
        <f>IFERROR(__xludf.DUMMYFUNCTION("""COMPUTED_VALUE"""),"木23")</f>
        <v>木23</v>
      </c>
      <c r="F3198" s="2" t="s">
        <v>9560</v>
      </c>
      <c r="G3198" s="2" t="s">
        <v>9561</v>
      </c>
      <c r="H3198" s="1">
        <v>1.0</v>
      </c>
      <c r="J3198" s="1" t="s">
        <v>1435</v>
      </c>
      <c r="K3198" s="2" t="s">
        <v>9562</v>
      </c>
      <c r="L3198" s="11" t="s">
        <v>9563</v>
      </c>
      <c r="M3198" s="2" t="str">
        <f>IFERROR(__xludf.DUMMYFUNCTION("split(split(K3198,""【"",false),""公式LINE"",false)"),"シングルマザーの森下晴美（小池栄子）は、天谷恭平（平山浩行）と事実婚していた。  そんな中、晴美のもとに警察から恭平が危篤状態だと連絡が。病院に駆けつけると、恭平の妻だと名乗る小椋加奈子（りょう）、藤宮茜（岡本玲）が現れる。  ３人の妻達が顔を合わせパニックになる中、恭平は息を引き取ってしまう…。恭平が何者かに殺されたと知り、ショックを受ける３人だったが、恭平の本当の妻は自分だけだと言い争いになり…。")</f>
        <v>シングルマザーの森下晴美（小池栄子）は、天谷恭平（平山浩行）と事実婚していた。  そんな中、晴美のもとに警察から恭平が危篤状態だと連絡が。病院に駆けつけると、恭平の妻だと名乗る小椋加奈子（りょう）、藤宮茜（岡本玲）が現れる。  ３人の妻達が顔を合わせパニックになる中、恭平は息を引き取ってしまう…。恭平が何者かに殺されたと知り、ショックを受ける３人だったが、恭平の本当の妻は自分だけだと言い争いになり…。</v>
      </c>
      <c r="N3198" s="2"/>
      <c r="O3198" s="2"/>
      <c r="P3198" s="2"/>
      <c r="Q3198" s="2"/>
      <c r="R3198" s="2"/>
      <c r="S3198" s="2"/>
      <c r="T3198" s="2"/>
      <c r="U3198" s="2"/>
      <c r="V3198" s="2"/>
      <c r="W3198" s="2"/>
      <c r="X3198" s="2"/>
      <c r="Y3198" s="2"/>
      <c r="Z3198" s="2"/>
      <c r="AA3198" s="2"/>
      <c r="AB3198" s="2"/>
      <c r="AC3198" s="2"/>
      <c r="AD3198" s="2"/>
      <c r="AE3198" s="2"/>
      <c r="AF3198" s="2"/>
      <c r="AG3198" s="2"/>
      <c r="AH3198" s="2"/>
      <c r="AI3198" s="2"/>
      <c r="AJ3198" s="2"/>
      <c r="AK3198" s="2"/>
      <c r="AL3198" s="2"/>
      <c r="AM3198" s="2"/>
      <c r="AN3198" s="2"/>
      <c r="AO3198" s="2"/>
      <c r="AP3198" s="2"/>
      <c r="AQ3198" s="2"/>
      <c r="AR3198" s="2"/>
      <c r="AS3198" s="2"/>
      <c r="AT3198" s="2"/>
      <c r="AU3198" s="2"/>
      <c r="AV3198" s="2"/>
      <c r="AW3198" s="2"/>
      <c r="AX3198" s="2"/>
      <c r="AY3198" s="2"/>
      <c r="AZ3198" s="2"/>
      <c r="BA3198" s="2"/>
      <c r="BB3198" s="2"/>
    </row>
    <row r="3199" ht="204.75" customHeight="1">
      <c r="A3199" s="1">
        <v>159.0</v>
      </c>
      <c r="B3199" s="2" t="s">
        <v>9559</v>
      </c>
      <c r="C3199" s="2">
        <f>IFERROR(__xludf.DUMMYFUNCTION("split(B3199,""_"")"),1907.0)</f>
        <v>1907</v>
      </c>
      <c r="D3199" s="2" t="str">
        <f>IFERROR(__xludf.DUMMYFUNCTION("""COMPUTED_VALUE"""),"NTV")</f>
        <v>NTV</v>
      </c>
      <c r="E3199" s="2" t="str">
        <f>IFERROR(__xludf.DUMMYFUNCTION("""COMPUTED_VALUE"""),"木23")</f>
        <v>木23</v>
      </c>
      <c r="F3199" s="2" t="s">
        <v>9560</v>
      </c>
      <c r="G3199" s="2" t="s">
        <v>9564</v>
      </c>
      <c r="H3199" s="1">
        <v>2.0</v>
      </c>
      <c r="J3199" s="1" t="s">
        <v>1435</v>
      </c>
      <c r="K3199" s="2" t="s">
        <v>9565</v>
      </c>
      <c r="L3199" s="11" t="s">
        <v>9566</v>
      </c>
      <c r="M3199" s="2" t="str">
        <f>IFERROR(__xludf.DUMMYFUNCTION("split(split(K3199,""【"",false),""公式LINE"",false)"),"森下晴美（小池栄子）、小椋加奈子（りょう）、藤宮茜（岡本玲）の共同生活が始まった。  染谷文江（夏木マリ）は３人に“天谷恭平（平山浩行）がなぜシングルマザー専用のシェアハウスを運営し始めたのか？”という課題を与える。  そんな中、晴美は元夫の室井正樹（安井順平）と再会。正樹は娘の沙紀（平澤宏々路）から恭平のことを知らされ、心配して会いに来たと言う。なぜ正樹に連絡したのかと沙紀を問い詰めると、沙紀は反発し…")</f>
        <v>森下晴美（小池栄子）、小椋加奈子（りょう）、藤宮茜（岡本玲）の共同生活が始まった。  染谷文江（夏木マリ）は３人に“天谷恭平（平山浩行）がなぜシングルマザー専用のシェアハウスを運営し始めたのか？”という課題を与える。  そんな中、晴美は元夫の室井正樹（安井順平）と再会。正樹は娘の沙紀（平澤宏々路）から恭平のことを知らされ、心配して会いに来たと言う。なぜ正樹に連絡したのかと沙紀を問い詰めると、沙紀は反発し…</v>
      </c>
      <c r="N3199" s="2"/>
      <c r="O3199" s="2"/>
      <c r="P3199" s="2"/>
      <c r="Q3199" s="2"/>
      <c r="R3199" s="2"/>
      <c r="S3199" s="2"/>
      <c r="T3199" s="2"/>
      <c r="U3199" s="2"/>
      <c r="V3199" s="2"/>
      <c r="W3199" s="2"/>
      <c r="X3199" s="2"/>
      <c r="Y3199" s="2"/>
      <c r="Z3199" s="2"/>
      <c r="AA3199" s="2"/>
      <c r="AB3199" s="2"/>
      <c r="AC3199" s="2"/>
      <c r="AD3199" s="2"/>
      <c r="AE3199" s="2"/>
      <c r="AF3199" s="2"/>
      <c r="AG3199" s="2"/>
      <c r="AH3199" s="2"/>
      <c r="AI3199" s="2"/>
      <c r="AJ3199" s="2"/>
      <c r="AK3199" s="2"/>
      <c r="AL3199" s="2"/>
      <c r="AM3199" s="2"/>
      <c r="AN3199" s="2"/>
      <c r="AO3199" s="2"/>
      <c r="AP3199" s="2"/>
      <c r="AQ3199" s="2"/>
      <c r="AR3199" s="2"/>
      <c r="AS3199" s="2"/>
      <c r="AT3199" s="2"/>
      <c r="AU3199" s="2"/>
      <c r="AV3199" s="2"/>
      <c r="AW3199" s="2"/>
      <c r="AX3199" s="2"/>
      <c r="AY3199" s="2"/>
      <c r="AZ3199" s="2"/>
      <c r="BA3199" s="2"/>
      <c r="BB3199" s="2"/>
    </row>
    <row r="3200" ht="204.75" customHeight="1">
      <c r="A3200" s="1">
        <v>160.0</v>
      </c>
      <c r="B3200" s="2" t="s">
        <v>9559</v>
      </c>
      <c r="C3200" s="2">
        <f>IFERROR(__xludf.DUMMYFUNCTION("split(B3200,""_"")"),1907.0)</f>
        <v>1907</v>
      </c>
      <c r="D3200" s="2" t="str">
        <f>IFERROR(__xludf.DUMMYFUNCTION("""COMPUTED_VALUE"""),"NTV")</f>
        <v>NTV</v>
      </c>
      <c r="E3200" s="2" t="str">
        <f>IFERROR(__xludf.DUMMYFUNCTION("""COMPUTED_VALUE"""),"木23")</f>
        <v>木23</v>
      </c>
      <c r="F3200" s="2" t="s">
        <v>9560</v>
      </c>
      <c r="G3200" s="2" t="s">
        <v>9567</v>
      </c>
      <c r="H3200" s="1">
        <v>3.0</v>
      </c>
      <c r="J3200" s="1" t="s">
        <v>1435</v>
      </c>
      <c r="K3200" s="2" t="s">
        <v>9568</v>
      </c>
      <c r="L3200" s="11" t="s">
        <v>9569</v>
      </c>
      <c r="M3200" s="2" t="str">
        <f>IFERROR(__xludf.DUMMYFUNCTION("split(split(K3200,""【"",false),""公式LINE"",false)"),"入居希望の女性・絵里（松井玲奈）がシェアハウスにやってくる。  恭平（平山浩行）の妻で、彼の子を妊娠しているという。第４の妻の登場に、晴美（小池栄子）、加奈子（りょう）、茜（岡本玲）は動揺。  絵里がシェアハウスでの暮らしに溶け込む一方、晴美は、恭平に一番愛されてはいなかったのだと思い、部屋を出ていくと言い出す。そして、文江（夏木マリ）が“この中から１人、追放者を投票で決める”という課題を言い渡すが…")</f>
        <v>入居希望の女性・絵里（松井玲奈）がシェアハウスにやってくる。  恭平（平山浩行）の妻で、彼の子を妊娠しているという。第４の妻の登場に、晴美（小池栄子）、加奈子（りょう）、茜（岡本玲）は動揺。  絵里がシェアハウスでの暮らしに溶け込む一方、晴美は、恭平に一番愛されてはいなかったのだと思い、部屋を出ていくと言い出す。そして、文江（夏木マリ）が“この中から１人、追放者を投票で決める”という課題を言い渡すが…</v>
      </c>
      <c r="N3200" s="2"/>
      <c r="O3200" s="2"/>
      <c r="P3200" s="2"/>
      <c r="Q3200" s="2"/>
      <c r="R3200" s="2"/>
      <c r="S3200" s="2"/>
      <c r="T3200" s="2"/>
      <c r="U3200" s="2"/>
      <c r="V3200" s="2"/>
      <c r="W3200" s="2"/>
      <c r="X3200" s="2"/>
      <c r="Y3200" s="2"/>
      <c r="Z3200" s="2"/>
      <c r="AA3200" s="2"/>
      <c r="AB3200" s="2"/>
      <c r="AC3200" s="2"/>
      <c r="AD3200" s="2"/>
      <c r="AE3200" s="2"/>
      <c r="AF3200" s="2"/>
      <c r="AG3200" s="2"/>
      <c r="AH3200" s="2"/>
      <c r="AI3200" s="2"/>
      <c r="AJ3200" s="2"/>
      <c r="AK3200" s="2"/>
      <c r="AL3200" s="2"/>
      <c r="AM3200" s="2"/>
      <c r="AN3200" s="2"/>
      <c r="AO3200" s="2"/>
      <c r="AP3200" s="2"/>
      <c r="AQ3200" s="2"/>
      <c r="AR3200" s="2"/>
      <c r="AS3200" s="2"/>
      <c r="AT3200" s="2"/>
      <c r="AU3200" s="2"/>
      <c r="AV3200" s="2"/>
      <c r="AW3200" s="2"/>
      <c r="AX3200" s="2"/>
      <c r="AY3200" s="2"/>
      <c r="AZ3200" s="2"/>
      <c r="BA3200" s="2"/>
      <c r="BB3200" s="2"/>
    </row>
    <row r="3201" ht="204.75" customHeight="1">
      <c r="A3201" s="1">
        <v>161.0</v>
      </c>
      <c r="B3201" s="2" t="s">
        <v>9559</v>
      </c>
      <c r="C3201" s="2">
        <f>IFERROR(__xludf.DUMMYFUNCTION("split(B3201,""_"")"),1907.0)</f>
        <v>1907</v>
      </c>
      <c r="D3201" s="2" t="str">
        <f>IFERROR(__xludf.DUMMYFUNCTION("""COMPUTED_VALUE"""),"NTV")</f>
        <v>NTV</v>
      </c>
      <c r="E3201" s="2" t="str">
        <f>IFERROR(__xludf.DUMMYFUNCTION("""COMPUTED_VALUE"""),"木23")</f>
        <v>木23</v>
      </c>
      <c r="F3201" s="2" t="s">
        <v>9560</v>
      </c>
      <c r="G3201" s="2" t="s">
        <v>9570</v>
      </c>
      <c r="H3201" s="1">
        <v>4.0</v>
      </c>
      <c r="J3201" s="1" t="s">
        <v>1435</v>
      </c>
      <c r="K3201" s="2" t="s">
        <v>9571</v>
      </c>
      <c r="L3201" s="11" t="s">
        <v>9572</v>
      </c>
      <c r="M3201" s="2" t="str">
        <f>IFERROR(__xludf.DUMMYFUNCTION("split(split(K3201,""【"",false),""公式LINE"",false)"),"晴美（小池栄子）は同僚の香織（黒沢リコ）からパワハラで訴えられ、示談金を要求される。茜（岡本玲）は、慎香（池谷美音）の病気に多額の治療費がかかると言われる。加奈子（りょう）は元夫から慰謝料を請求され、払えないなら透（牧純矢）の親権を渡せと迫られて…。  急に金が必要になった３人は、３億円を山分けしようと意見が一致するが、文江（夏木マリ）はそれを許さず、“恭平（平山浩行）の好物を当てろ”と課題を与え…")</f>
        <v>晴美（小池栄子）は同僚の香織（黒沢リコ）からパワハラで訴えられ、示談金を要求される。茜（岡本玲）は、慎香（池谷美音）の病気に多額の治療費がかかると言われる。加奈子（りょう）は元夫から慰謝料を請求され、払えないなら透（牧純矢）の親権を渡せと迫られて…。  急に金が必要になった３人は、３億円を山分けしようと意見が一致するが、文江（夏木マリ）はそれを許さず、“恭平（平山浩行）の好物を当てろ”と課題を与え…</v>
      </c>
      <c r="N3201" s="2"/>
      <c r="O3201" s="2"/>
      <c r="P3201" s="2"/>
      <c r="Q3201" s="2"/>
      <c r="R3201" s="2"/>
      <c r="S3201" s="2"/>
      <c r="T3201" s="2"/>
      <c r="U3201" s="2"/>
      <c r="V3201" s="2"/>
      <c r="W3201" s="2"/>
      <c r="X3201" s="2"/>
      <c r="Y3201" s="2"/>
      <c r="Z3201" s="2"/>
      <c r="AA3201" s="2"/>
      <c r="AB3201" s="2"/>
      <c r="AC3201" s="2"/>
      <c r="AD3201" s="2"/>
      <c r="AE3201" s="2"/>
      <c r="AF3201" s="2"/>
      <c r="AG3201" s="2"/>
      <c r="AH3201" s="2"/>
      <c r="AI3201" s="2"/>
      <c r="AJ3201" s="2"/>
      <c r="AK3201" s="2"/>
      <c r="AL3201" s="2"/>
      <c r="AM3201" s="2"/>
      <c r="AN3201" s="2"/>
      <c r="AO3201" s="2"/>
      <c r="AP3201" s="2"/>
      <c r="AQ3201" s="2"/>
      <c r="AR3201" s="2"/>
      <c r="AS3201" s="2"/>
      <c r="AT3201" s="2"/>
      <c r="AU3201" s="2"/>
      <c r="AV3201" s="2"/>
      <c r="AW3201" s="2"/>
      <c r="AX3201" s="2"/>
      <c r="AY3201" s="2"/>
      <c r="AZ3201" s="2"/>
      <c r="BA3201" s="2"/>
      <c r="BB3201" s="2"/>
    </row>
    <row r="3202" ht="204.75" customHeight="1">
      <c r="A3202" s="1">
        <v>162.0</v>
      </c>
      <c r="B3202" s="2" t="s">
        <v>9559</v>
      </c>
      <c r="C3202" s="2">
        <f>IFERROR(__xludf.DUMMYFUNCTION("split(B3202,""_"")"),1907.0)</f>
        <v>1907</v>
      </c>
      <c r="D3202" s="2" t="str">
        <f>IFERROR(__xludf.DUMMYFUNCTION("""COMPUTED_VALUE"""),"NTV")</f>
        <v>NTV</v>
      </c>
      <c r="E3202" s="2" t="str">
        <f>IFERROR(__xludf.DUMMYFUNCTION("""COMPUTED_VALUE"""),"木23")</f>
        <v>木23</v>
      </c>
      <c r="F3202" s="2" t="s">
        <v>9560</v>
      </c>
      <c r="G3202" s="2" t="s">
        <v>9573</v>
      </c>
      <c r="H3202" s="1">
        <v>5.0</v>
      </c>
      <c r="I3202" s="1" t="s">
        <v>2884</v>
      </c>
      <c r="J3202" s="1" t="s">
        <v>1435</v>
      </c>
      <c r="K3202" s="2" t="s">
        <v>9574</v>
      </c>
      <c r="L3202" s="11" t="s">
        <v>9575</v>
      </c>
      <c r="M3202" s="2" t="str">
        <f>IFERROR(__xludf.DUMMYFUNCTION("split(split(K3202,""【"",false),""公式LINE"",false)"),"加藤と名乗る男が、シェアハウスを訪れる。彼は恭平（平山浩行）の友人で、晴美（小池栄子）、加奈子（りょう）、茜（岡本玲）の相談役になってほしいと頼まれていたという。秀明（赤楚衛二）は、加藤の姿に動揺。男の正体は、恭平殺しの実行犯・森（黒木啓司）だった…  森は晴美達に、遺産３億円は寄付しようと提案する。文江（夏木マリ）は反対するが、言いくるめられてしまい、森の計画通り、晴美達は寄付する事に同意して…")</f>
        <v>加藤と名乗る男が、シェアハウスを訪れる。彼は恭平（平山浩行）の友人で、晴美（小池栄子）、加奈子（りょう）、茜（岡本玲）の相談役になってほしいと頼まれていたという。秀明（赤楚衛二）は、加藤の姿に動揺。男の正体は、恭平殺しの実行犯・森（黒木啓司）だった…  森は晴美達に、遺産３億円は寄付しようと提案する。文江（夏木マリ）は反対するが、言いくるめられてしまい、森の計画通り、晴美達は寄付する事に同意して…</v>
      </c>
      <c r="N3202" s="2"/>
      <c r="O3202" s="2"/>
      <c r="P3202" s="2"/>
      <c r="Q3202" s="2"/>
      <c r="R3202" s="2"/>
      <c r="S3202" s="2"/>
      <c r="T3202" s="2"/>
      <c r="U3202" s="2"/>
      <c r="V3202" s="2"/>
      <c r="W3202" s="2"/>
      <c r="X3202" s="2"/>
      <c r="Y3202" s="2"/>
      <c r="Z3202" s="2"/>
      <c r="AA3202" s="2"/>
      <c r="AB3202" s="2"/>
      <c r="AC3202" s="2"/>
      <c r="AD3202" s="2"/>
      <c r="AE3202" s="2"/>
      <c r="AF3202" s="2"/>
      <c r="AG3202" s="2"/>
      <c r="AH3202" s="2"/>
      <c r="AI3202" s="2"/>
      <c r="AJ3202" s="2"/>
      <c r="AK3202" s="2"/>
      <c r="AL3202" s="2"/>
      <c r="AM3202" s="2"/>
      <c r="AN3202" s="2"/>
      <c r="AO3202" s="2"/>
      <c r="AP3202" s="2"/>
      <c r="AQ3202" s="2"/>
      <c r="AR3202" s="2"/>
      <c r="AS3202" s="2"/>
      <c r="AT3202" s="2"/>
      <c r="AU3202" s="2"/>
      <c r="AV3202" s="2"/>
      <c r="AW3202" s="2"/>
      <c r="AX3202" s="2"/>
      <c r="AY3202" s="2"/>
      <c r="AZ3202" s="2"/>
      <c r="BA3202" s="2"/>
      <c r="BB3202" s="2"/>
    </row>
    <row r="3203" ht="204.75" customHeight="1">
      <c r="A3203" s="1">
        <v>163.0</v>
      </c>
      <c r="B3203" s="2" t="s">
        <v>9559</v>
      </c>
      <c r="C3203" s="2">
        <f>IFERROR(__xludf.DUMMYFUNCTION("split(B3203,""_"")"),1907.0)</f>
        <v>1907</v>
      </c>
      <c r="D3203" s="2" t="str">
        <f>IFERROR(__xludf.DUMMYFUNCTION("""COMPUTED_VALUE"""),"NTV")</f>
        <v>NTV</v>
      </c>
      <c r="E3203" s="2" t="str">
        <f>IFERROR(__xludf.DUMMYFUNCTION("""COMPUTED_VALUE"""),"木23")</f>
        <v>木23</v>
      </c>
      <c r="F3203" s="2" t="s">
        <v>9560</v>
      </c>
      <c r="G3203" s="2" t="s">
        <v>9576</v>
      </c>
      <c r="H3203" s="1">
        <v>6.0</v>
      </c>
      <c r="J3203" s="1" t="s">
        <v>1435</v>
      </c>
      <c r="K3203" s="2" t="s">
        <v>9577</v>
      </c>
      <c r="L3203" s="11" t="s">
        <v>9578</v>
      </c>
      <c r="M3203" s="2" t="str">
        <f>IFERROR(__xludf.DUMMYFUNCTION("split(split(K3203,""【"",false),""公式LINE"",false)"),"升毅森（黒木啓司）らに襲われた文江（夏木マリ）は意識を取り戻したが、秀明（赤楚衛二）は昏睡状態。晴美（小池栄子）と加奈子（りょう）が病院に付き添い、茜（岡本玲）が子供達の面倒をみていた。  美保（渡辺真起子）ら警察に守られているものの、逃亡中の森がまた現れるのではないかと晴美達は気が気ではない。  そんな中、晴美と加奈子は恭平（平山浩行）の思い出を語り合う内、恭平の主治医だった笠浦（升毅）の存在に気付き…")</f>
        <v>升毅森（黒木啓司）らに襲われた文江（夏木マリ）は意識を取り戻したが、秀明（赤楚衛二）は昏睡状態。晴美（小池栄子）と加奈子（りょう）が病院に付き添い、茜（岡本玲）が子供達の面倒をみていた。  美保（渡辺真起子）ら警察に守られているものの、逃亡中の森がまた現れるのではないかと晴美達は気が気ではない。  そんな中、晴美と加奈子は恭平（平山浩行）の思い出を語り合う内、恭平の主治医だった笠浦（升毅）の存在に気付き…</v>
      </c>
      <c r="N3203" s="2"/>
      <c r="O3203" s="2"/>
      <c r="P3203" s="2"/>
      <c r="Q3203" s="2"/>
      <c r="R3203" s="2"/>
      <c r="S3203" s="2"/>
      <c r="T3203" s="2"/>
      <c r="U3203" s="2"/>
      <c r="V3203" s="2"/>
      <c r="W3203" s="2"/>
      <c r="X3203" s="2"/>
      <c r="Y3203" s="2"/>
      <c r="Z3203" s="2"/>
      <c r="AA3203" s="2"/>
      <c r="AB3203" s="2"/>
      <c r="AC3203" s="2"/>
      <c r="AD3203" s="2"/>
      <c r="AE3203" s="2"/>
      <c r="AF3203" s="2"/>
      <c r="AG3203" s="2"/>
      <c r="AH3203" s="2"/>
      <c r="AI3203" s="2"/>
      <c r="AJ3203" s="2"/>
      <c r="AK3203" s="2"/>
      <c r="AL3203" s="2"/>
      <c r="AM3203" s="2"/>
      <c r="AN3203" s="2"/>
      <c r="AO3203" s="2"/>
      <c r="AP3203" s="2"/>
      <c r="AQ3203" s="2"/>
      <c r="AR3203" s="2"/>
      <c r="AS3203" s="2"/>
      <c r="AT3203" s="2"/>
      <c r="AU3203" s="2"/>
      <c r="AV3203" s="2"/>
      <c r="AW3203" s="2"/>
      <c r="AX3203" s="2"/>
      <c r="AY3203" s="2"/>
      <c r="AZ3203" s="2"/>
      <c r="BA3203" s="2"/>
      <c r="BB3203" s="2"/>
    </row>
    <row r="3204" ht="204.75" customHeight="1">
      <c r="A3204" s="1">
        <v>164.0</v>
      </c>
      <c r="B3204" s="2" t="s">
        <v>9559</v>
      </c>
      <c r="C3204" s="2">
        <f>IFERROR(__xludf.DUMMYFUNCTION("split(B3204,""_"")"),1907.0)</f>
        <v>1907</v>
      </c>
      <c r="D3204" s="2" t="str">
        <f>IFERROR(__xludf.DUMMYFUNCTION("""COMPUTED_VALUE"""),"NTV")</f>
        <v>NTV</v>
      </c>
      <c r="E3204" s="2" t="str">
        <f>IFERROR(__xludf.DUMMYFUNCTION("""COMPUTED_VALUE"""),"木23")</f>
        <v>木23</v>
      </c>
      <c r="F3204" s="2" t="s">
        <v>9560</v>
      </c>
      <c r="G3204" s="2" t="s">
        <v>9579</v>
      </c>
      <c r="H3204" s="1">
        <v>7.0</v>
      </c>
      <c r="J3204" s="1" t="s">
        <v>1435</v>
      </c>
      <c r="K3204" s="2" t="s">
        <v>9580</v>
      </c>
      <c r="L3204" s="11" t="s">
        <v>9581</v>
      </c>
      <c r="M3204" s="2" t="str">
        <f>IFERROR(__xludf.DUMMYFUNCTION("split(split(K3204,""【"",false),""公式LINE"",false)"),"晴美（小池栄子）は、意識を取り戻した秀明（赤楚衛二）から、森（黒木啓司）が恭平（平山浩行）を殺した犯人であり、見殺しにした自分も同罪だと言われる。そして秀明は、その償いをすると言い残して姿を消す。  晴美、加奈子（りょう）、茜（岡本玲）は文江（夏木マリ）から、“なぜ恭平は３億円を３人に残したのか？”と“なぜ恭平は指輪を買ったのか？”という課題のどちらかについて、答えを見つけ出すようにと告げられるが…")</f>
        <v>晴美（小池栄子）は、意識を取り戻した秀明（赤楚衛二）から、森（黒木啓司）が恭平（平山浩行）を殺した犯人であり、見殺しにした自分も同罪だと言われる。そして秀明は、その償いをすると言い残して姿を消す。  晴美、加奈子（りょう）、茜（岡本玲）は文江（夏木マリ）から、“なぜ恭平は３億円を３人に残したのか？”と“なぜ恭平は指輪を買ったのか？”という課題のどちらかについて、答えを見つけ出すようにと告げられるが…</v>
      </c>
      <c r="N3204" s="2"/>
      <c r="O3204" s="2"/>
      <c r="P3204" s="2"/>
      <c r="Q3204" s="2"/>
      <c r="R3204" s="2"/>
      <c r="S3204" s="2"/>
      <c r="T3204" s="2"/>
      <c r="U3204" s="2"/>
      <c r="V3204" s="2"/>
      <c r="W3204" s="2"/>
      <c r="X3204" s="2"/>
      <c r="Y3204" s="2"/>
      <c r="Z3204" s="2"/>
      <c r="AA3204" s="2"/>
      <c r="AB3204" s="2"/>
      <c r="AC3204" s="2"/>
      <c r="AD3204" s="2"/>
      <c r="AE3204" s="2"/>
      <c r="AF3204" s="2"/>
      <c r="AG3204" s="2"/>
      <c r="AH3204" s="2"/>
      <c r="AI3204" s="2"/>
      <c r="AJ3204" s="2"/>
      <c r="AK3204" s="2"/>
      <c r="AL3204" s="2"/>
      <c r="AM3204" s="2"/>
      <c r="AN3204" s="2"/>
      <c r="AO3204" s="2"/>
      <c r="AP3204" s="2"/>
      <c r="AQ3204" s="2"/>
      <c r="AR3204" s="2"/>
      <c r="AS3204" s="2"/>
      <c r="AT3204" s="2"/>
      <c r="AU3204" s="2"/>
      <c r="AV3204" s="2"/>
      <c r="AW3204" s="2"/>
      <c r="AX3204" s="2"/>
      <c r="AY3204" s="2"/>
      <c r="AZ3204" s="2"/>
      <c r="BA3204" s="2"/>
      <c r="BB3204" s="2"/>
    </row>
    <row r="3205" ht="204.75" customHeight="1">
      <c r="A3205" s="1">
        <v>165.0</v>
      </c>
      <c r="B3205" s="2" t="s">
        <v>9559</v>
      </c>
      <c r="C3205" s="2">
        <f>IFERROR(__xludf.DUMMYFUNCTION("split(B3205,""_"")"),1907.0)</f>
        <v>1907</v>
      </c>
      <c r="D3205" s="2" t="str">
        <f>IFERROR(__xludf.DUMMYFUNCTION("""COMPUTED_VALUE"""),"NTV")</f>
        <v>NTV</v>
      </c>
      <c r="E3205" s="2" t="str">
        <f>IFERROR(__xludf.DUMMYFUNCTION("""COMPUTED_VALUE"""),"木23")</f>
        <v>木23</v>
      </c>
      <c r="F3205" s="2" t="s">
        <v>9560</v>
      </c>
      <c r="G3205" s="2" t="s">
        <v>9582</v>
      </c>
      <c r="H3205" s="1">
        <v>8.0</v>
      </c>
      <c r="J3205" s="1" t="s">
        <v>1435</v>
      </c>
      <c r="K3205" s="2" t="s">
        <v>9583</v>
      </c>
      <c r="L3205" s="11" t="s">
        <v>9584</v>
      </c>
      <c r="M3205" s="2" t="str">
        <f>IFERROR(__xludf.DUMMYFUNCTION("split(split(K3205,""【"",false),""公式LINE"",false)"),"晴美（小池栄子）は、警察に追われる秀明（赤楚衛二）を匿いたいと頼むが、加奈子（りょう)、茜(岡本玲)、文江(夏木マリ)は、森(黒木啓司)を殺した殺人犯である秀明を匿うことに同意できない。  晴美は、北神谷町未解決殺人事件の真相と、恭平（平山浩行）が指輪を買った理由を秀明が知っているかもしれないと主張。加奈子と茜は彼を匿う覚悟を決める。文江も、“今日１日、警察から秀明を隠し通せるか”という課題を出し…")</f>
        <v>晴美（小池栄子）は、警察に追われる秀明（赤楚衛二）を匿いたいと頼むが、加奈子（りょう)、茜(岡本玲)、文江(夏木マリ)は、森(黒木啓司)を殺した殺人犯である秀明を匿うことに同意できない。  晴美は、北神谷町未解決殺人事件の真相と、恭平（平山浩行）が指輪を買った理由を秀明が知っているかもしれないと主張。加奈子と茜は彼を匿う覚悟を決める。文江も、“今日１日、警察から秀明を隠し通せるか”という課題を出し…</v>
      </c>
      <c r="N3205" s="2"/>
      <c r="O3205" s="2"/>
      <c r="P3205" s="2"/>
      <c r="Q3205" s="2"/>
      <c r="R3205" s="2"/>
      <c r="S3205" s="2"/>
      <c r="T3205" s="2"/>
      <c r="U3205" s="2"/>
      <c r="V3205" s="2"/>
      <c r="W3205" s="2"/>
      <c r="X3205" s="2"/>
      <c r="Y3205" s="2"/>
      <c r="Z3205" s="2"/>
      <c r="AA3205" s="2"/>
      <c r="AB3205" s="2"/>
      <c r="AC3205" s="2"/>
      <c r="AD3205" s="2"/>
      <c r="AE3205" s="2"/>
      <c r="AF3205" s="2"/>
      <c r="AG3205" s="2"/>
      <c r="AH3205" s="2"/>
      <c r="AI3205" s="2"/>
      <c r="AJ3205" s="2"/>
      <c r="AK3205" s="2"/>
      <c r="AL3205" s="2"/>
      <c r="AM3205" s="2"/>
      <c r="AN3205" s="2"/>
      <c r="AO3205" s="2"/>
      <c r="AP3205" s="2"/>
      <c r="AQ3205" s="2"/>
      <c r="AR3205" s="2"/>
      <c r="AS3205" s="2"/>
      <c r="AT3205" s="2"/>
      <c r="AU3205" s="2"/>
      <c r="AV3205" s="2"/>
      <c r="AW3205" s="2"/>
      <c r="AX3205" s="2"/>
      <c r="AY3205" s="2"/>
      <c r="AZ3205" s="2"/>
      <c r="BA3205" s="2"/>
      <c r="BB3205" s="2"/>
    </row>
    <row r="3206" ht="204.75" customHeight="1">
      <c r="A3206" s="1">
        <v>166.0</v>
      </c>
      <c r="B3206" s="2" t="s">
        <v>9559</v>
      </c>
      <c r="C3206" s="2">
        <f>IFERROR(__xludf.DUMMYFUNCTION("split(B3206,""_"")"),1907.0)</f>
        <v>1907</v>
      </c>
      <c r="D3206" s="2" t="str">
        <f>IFERROR(__xludf.DUMMYFUNCTION("""COMPUTED_VALUE"""),"NTV")</f>
        <v>NTV</v>
      </c>
      <c r="E3206" s="2" t="str">
        <f>IFERROR(__xludf.DUMMYFUNCTION("""COMPUTED_VALUE"""),"木23")</f>
        <v>木23</v>
      </c>
      <c r="F3206" s="2" t="s">
        <v>9560</v>
      </c>
      <c r="G3206" s="2" t="s">
        <v>9585</v>
      </c>
      <c r="H3206" s="1">
        <v>9.0</v>
      </c>
      <c r="J3206" s="1" t="s">
        <v>1435</v>
      </c>
      <c r="K3206" s="2" t="s">
        <v>9586</v>
      </c>
      <c r="L3206" s="11" t="s">
        <v>9587</v>
      </c>
      <c r="M3206" s="2" t="str">
        <f>IFERROR(__xludf.DUMMYFUNCTION("split(split(K3206,""【"",false),""公式LINE"",false)"),"晴美（小池栄子）は、赤いワンピースを着た茜（岡本玲）に声をかけ、レストランで一緒に食事をすることに。そこに現れた文江（夏木マリ）は、茜こそが“恭平の殺害依頼をした女”だと確信していた。  文江は、晴美と加奈子（りょう）に対して“茜を許せるかどうか”という課題を出す。晴美と加奈子は、どうすればいいのかと悩む。  そんな中、茜の子供の慎吾と慎香が、文江に連れ去られてしまい、茜は激しく動揺するが…。")</f>
        <v>晴美（小池栄子）は、赤いワンピースを着た茜（岡本玲）に声をかけ、レストランで一緒に食事をすることに。そこに現れた文江（夏木マリ）は、茜こそが“恭平の殺害依頼をした女”だと確信していた。  文江は、晴美と加奈子（りょう）に対して“茜を許せるかどうか”という課題を出す。晴美と加奈子は、どうすればいいのかと悩む。  そんな中、茜の子供の慎吾と慎香が、文江に連れ去られてしまい、茜は激しく動揺するが…。</v>
      </c>
      <c r="N3206" s="2"/>
      <c r="O3206" s="2"/>
      <c r="P3206" s="2"/>
      <c r="Q3206" s="2"/>
      <c r="R3206" s="2"/>
      <c r="S3206" s="2"/>
      <c r="T3206" s="2"/>
      <c r="U3206" s="2"/>
      <c r="V3206" s="2"/>
      <c r="W3206" s="2"/>
      <c r="X3206" s="2"/>
      <c r="Y3206" s="2"/>
      <c r="Z3206" s="2"/>
      <c r="AA3206" s="2"/>
      <c r="AB3206" s="2"/>
      <c r="AC3206" s="2"/>
      <c r="AD3206" s="2"/>
      <c r="AE3206" s="2"/>
      <c r="AF3206" s="2"/>
      <c r="AG3206" s="2"/>
      <c r="AH3206" s="2"/>
      <c r="AI3206" s="2"/>
      <c r="AJ3206" s="2"/>
      <c r="AK3206" s="2"/>
      <c r="AL3206" s="2"/>
      <c r="AM3206" s="2"/>
      <c r="AN3206" s="2"/>
      <c r="AO3206" s="2"/>
      <c r="AP3206" s="2"/>
      <c r="AQ3206" s="2"/>
      <c r="AR3206" s="2"/>
      <c r="AS3206" s="2"/>
      <c r="AT3206" s="2"/>
      <c r="AU3206" s="2"/>
      <c r="AV3206" s="2"/>
      <c r="AW3206" s="2"/>
      <c r="AX3206" s="2"/>
      <c r="AY3206" s="2"/>
      <c r="AZ3206" s="2"/>
      <c r="BA3206" s="2"/>
      <c r="BB3206" s="2"/>
    </row>
    <row r="3207" ht="204.75" customHeight="1">
      <c r="A3207" s="1">
        <v>185.0</v>
      </c>
      <c r="B3207" s="2" t="s">
        <v>9588</v>
      </c>
      <c r="C3207" s="2">
        <f>IFERROR(__xludf.DUMMYFUNCTION("split(B3207,""_"")"),1907.0)</f>
        <v>1907</v>
      </c>
      <c r="D3207" s="2" t="str">
        <f>IFERROR(__xludf.DUMMYFUNCTION("""COMPUTED_VALUE"""),"NTV")</f>
        <v>NTV</v>
      </c>
      <c r="E3207" s="2" t="str">
        <f>IFERROR(__xludf.DUMMYFUNCTION("""COMPUTED_VALUE"""),"土22")</f>
        <v>土22</v>
      </c>
      <c r="F3207" s="2" t="s">
        <v>9589</v>
      </c>
      <c r="G3207" s="2" t="s">
        <v>9590</v>
      </c>
      <c r="H3207" s="1">
        <v>1.0</v>
      </c>
      <c r="I3207" s="1" t="s">
        <v>3</v>
      </c>
      <c r="J3207" s="1" t="s">
        <v>86</v>
      </c>
      <c r="K3207" s="2" t="s">
        <v>9591</v>
      </c>
      <c r="L3207" s="11" t="s">
        <v>9592</v>
      </c>
      <c r="M3207" s="2" t="str">
        <f>IFERROR(__xludf.DUMMYFUNCTION("split(split(K3207,""【"",false),""公式LINE"",false)"),"110番緊急指令室を舞台に、唐沢寿明演じる敏腕刑事・樋口彰吾と、真木よう子演じるボイスプロファイラー・橘ひかりが、助けを求める人々を救うタイムリミットサスペンス。妻を殺人鬼に奪われた樋口は、容疑者の男を自ら逮捕する。しかし直接妻の通報を受けた指令室員、橘ひかりが「犯人の声は相良ではない」と発言。怒りに燃える樋口はひかりを問い詰めるが・・・。殺人鬼は誰なのか？そして新たな通報電話が鳴り響いて・・・!")</f>
        <v>110番緊急指令室を舞台に、唐沢寿明演じる敏腕刑事・樋口彰吾と、真木よう子演じるボイスプロファイラー・橘ひかりが、助けを求める人々を救うタイムリミットサスペンス。妻を殺人鬼に奪われた樋口は、容疑者の男を自ら逮捕する。しかし直接妻の通報を受けた指令室員、橘ひかりが「犯人の声は相良ではない」と発言。怒りに燃える樋口はひかりを問い詰めるが・・・。殺人鬼は誰なのか？そして新たな通報電話が鳴り響いて・・・!</v>
      </c>
      <c r="N3207" s="2"/>
      <c r="O3207" s="2"/>
      <c r="P3207" s="2"/>
      <c r="Q3207" s="2"/>
      <c r="R3207" s="2"/>
      <c r="S3207" s="2"/>
      <c r="T3207" s="2"/>
      <c r="U3207" s="2"/>
      <c r="V3207" s="2"/>
      <c r="W3207" s="2"/>
      <c r="X3207" s="2"/>
      <c r="Y3207" s="2"/>
      <c r="Z3207" s="2"/>
      <c r="AA3207" s="2"/>
      <c r="AB3207" s="2"/>
      <c r="AC3207" s="2"/>
      <c r="AD3207" s="2"/>
      <c r="AE3207" s="2"/>
      <c r="AF3207" s="2"/>
      <c r="AG3207" s="2"/>
      <c r="AH3207" s="2"/>
      <c r="AI3207" s="2"/>
      <c r="AJ3207" s="2"/>
      <c r="AK3207" s="2"/>
      <c r="AL3207" s="2"/>
      <c r="AM3207" s="2"/>
      <c r="AN3207" s="2"/>
      <c r="AO3207" s="2"/>
      <c r="AP3207" s="2"/>
      <c r="AQ3207" s="2"/>
      <c r="AR3207" s="2"/>
      <c r="AS3207" s="2"/>
      <c r="AT3207" s="2"/>
      <c r="AU3207" s="2"/>
      <c r="AV3207" s="2"/>
      <c r="AW3207" s="2"/>
      <c r="AX3207" s="2"/>
      <c r="AY3207" s="2"/>
      <c r="AZ3207" s="2"/>
      <c r="BA3207" s="2"/>
      <c r="BB3207" s="2"/>
    </row>
    <row r="3208" ht="204.75" customHeight="1">
      <c r="A3208" s="1">
        <v>186.0</v>
      </c>
      <c r="B3208" s="2" t="s">
        <v>9588</v>
      </c>
      <c r="C3208" s="2">
        <f>IFERROR(__xludf.DUMMYFUNCTION("split(B3208,""_"")"),1907.0)</f>
        <v>1907</v>
      </c>
      <c r="D3208" s="2" t="str">
        <f>IFERROR(__xludf.DUMMYFUNCTION("""COMPUTED_VALUE"""),"NTV")</f>
        <v>NTV</v>
      </c>
      <c r="E3208" s="2" t="str">
        <f>IFERROR(__xludf.DUMMYFUNCTION("""COMPUTED_VALUE"""),"土22")</f>
        <v>土22</v>
      </c>
      <c r="F3208" s="2" t="s">
        <v>9589</v>
      </c>
      <c r="G3208" s="2" t="s">
        <v>9593</v>
      </c>
      <c r="H3208" s="1">
        <v>2.0</v>
      </c>
      <c r="I3208" s="1" t="s">
        <v>7</v>
      </c>
      <c r="J3208" s="1" t="s">
        <v>86</v>
      </c>
      <c r="K3208" s="2" t="s">
        <v>9594</v>
      </c>
      <c r="L3208" s="11" t="s">
        <v>9595</v>
      </c>
      <c r="M3208" s="2" t="str">
        <f>IFERROR(__xludf.DUMMYFUNCTION("split(split(K3208,""【"",false),""公式LINE"",false)"),"女子大生拉致事件解決後、ひかり（真木よう子）は条件付きでECU の設置を許可される。翌朝、息子・大樹の病室で夜を明かした樋口（唐沢寿明）は後輩の石川（増田貴久）からの電話で、ひかりが自分たちをECU に異動させたことを知る。樋口に詰め寄られたひかりは、自分の聴力の秘密を打ち明ける。果たして、ひかりが樋口をECU に呼び寄せた真の目的とは!?")</f>
        <v>女子大生拉致事件解決後、ひかり（真木よう子）は条件付きでECU の設置を許可される。翌朝、息子・大樹の病室で夜を明かした樋口（唐沢寿明）は後輩の石川（増田貴久）からの電話で、ひかりが自分たちをECU に異動させたことを知る。樋口に詰め寄られたひかりは、自分の聴力の秘密を打ち明ける。果たして、ひかりが樋口をECU に呼び寄せた真の目的とは!?</v>
      </c>
      <c r="N3208" s="2"/>
      <c r="O3208" s="2"/>
      <c r="P3208" s="2"/>
      <c r="Q3208" s="2"/>
      <c r="R3208" s="2"/>
      <c r="S3208" s="2"/>
      <c r="T3208" s="2"/>
      <c r="U3208" s="2"/>
      <c r="V3208" s="2"/>
      <c r="W3208" s="2"/>
      <c r="X3208" s="2"/>
      <c r="Y3208" s="2"/>
      <c r="Z3208" s="2"/>
      <c r="AA3208" s="2"/>
      <c r="AB3208" s="2"/>
      <c r="AC3208" s="2"/>
      <c r="AD3208" s="2"/>
      <c r="AE3208" s="2"/>
      <c r="AF3208" s="2"/>
      <c r="AG3208" s="2"/>
      <c r="AH3208" s="2"/>
      <c r="AI3208" s="2"/>
      <c r="AJ3208" s="2"/>
      <c r="AK3208" s="2"/>
      <c r="AL3208" s="2"/>
      <c r="AM3208" s="2"/>
      <c r="AN3208" s="2"/>
      <c r="AO3208" s="2"/>
      <c r="AP3208" s="2"/>
      <c r="AQ3208" s="2"/>
      <c r="AR3208" s="2"/>
      <c r="AS3208" s="2"/>
      <c r="AT3208" s="2"/>
      <c r="AU3208" s="2"/>
      <c r="AV3208" s="2"/>
      <c r="AW3208" s="2"/>
      <c r="AX3208" s="2"/>
      <c r="AY3208" s="2"/>
      <c r="AZ3208" s="2"/>
      <c r="BA3208" s="2"/>
      <c r="BB3208" s="2"/>
    </row>
    <row r="3209" ht="204.75" customHeight="1">
      <c r="A3209" s="1">
        <v>187.0</v>
      </c>
      <c r="B3209" s="2" t="s">
        <v>9588</v>
      </c>
      <c r="C3209" s="2">
        <f>IFERROR(__xludf.DUMMYFUNCTION("split(B3209,""_"")"),1907.0)</f>
        <v>1907</v>
      </c>
      <c r="D3209" s="2" t="str">
        <f>IFERROR(__xludf.DUMMYFUNCTION("""COMPUTED_VALUE"""),"NTV")</f>
        <v>NTV</v>
      </c>
      <c r="E3209" s="2" t="str">
        <f>IFERROR(__xludf.DUMMYFUNCTION("""COMPUTED_VALUE"""),"土22")</f>
        <v>土22</v>
      </c>
      <c r="F3209" s="2" t="s">
        <v>9589</v>
      </c>
      <c r="G3209" s="2" t="s">
        <v>9596</v>
      </c>
      <c r="H3209" s="1">
        <v>3.0</v>
      </c>
      <c r="I3209" s="1" t="s">
        <v>10</v>
      </c>
      <c r="J3209" s="1" t="s">
        <v>86</v>
      </c>
      <c r="K3209" s="2" t="s">
        <v>9597</v>
      </c>
      <c r="L3209" s="11" t="s">
        <v>9598</v>
      </c>
      <c r="M3209" s="2" t="str">
        <f>IFERROR(__xludf.DUMMYFUNCTION("split(split(K3209,""【"",false),""公式LINE"",false)"),"県警に勤める栞（石橋菜津美）の妹・葵（矢作穂香）が拉致され、緊急指令室に入電。口を塞がれたような声が聞こえてくる。 ひかりは音に集中し車の位置を推測。樋口は車を追跡。車の所有者が葵のかつての交際相手だと判明。停車させ説得を試みる樋口だが…。  そんな中、樋口はあることが気になる。栞と葵の叔母・志津(YOU)と、葵の恋人・新田（森永悠希）も駆けつける中、樋口とひかりは「罠」に気づき始めていた。")</f>
        <v>県警に勤める栞（石橋菜津美）の妹・葵（矢作穂香）が拉致され、緊急指令室に入電。口を塞がれたような声が聞こえてくる。 ひかりは音に集中し車の位置を推測。樋口は車を追跡。車の所有者が葵のかつての交際相手だと判明。停車させ説得を試みる樋口だが…。  そんな中、樋口はあることが気になる。栞と葵の叔母・志津(YOU)と、葵の恋人・新田（森永悠希）も駆けつける中、樋口とひかりは「罠」に気づき始めていた。</v>
      </c>
      <c r="N3209" s="2"/>
      <c r="O3209" s="2"/>
      <c r="P3209" s="2"/>
      <c r="Q3209" s="2"/>
      <c r="R3209" s="2"/>
      <c r="S3209" s="2"/>
      <c r="T3209" s="2"/>
      <c r="U3209" s="2"/>
      <c r="V3209" s="2"/>
      <c r="W3209" s="2"/>
      <c r="X3209" s="2"/>
      <c r="Y3209" s="2"/>
      <c r="Z3209" s="2"/>
      <c r="AA3209" s="2"/>
      <c r="AB3209" s="2"/>
      <c r="AC3209" s="2"/>
      <c r="AD3209" s="2"/>
      <c r="AE3209" s="2"/>
      <c r="AF3209" s="2"/>
      <c r="AG3209" s="2"/>
      <c r="AH3209" s="2"/>
      <c r="AI3209" s="2"/>
      <c r="AJ3209" s="2"/>
      <c r="AK3209" s="2"/>
      <c r="AL3209" s="2"/>
      <c r="AM3209" s="2"/>
      <c r="AN3209" s="2"/>
      <c r="AO3209" s="2"/>
      <c r="AP3209" s="2"/>
      <c r="AQ3209" s="2"/>
      <c r="AR3209" s="2"/>
      <c r="AS3209" s="2"/>
      <c r="AT3209" s="2"/>
      <c r="AU3209" s="2"/>
      <c r="AV3209" s="2"/>
      <c r="AW3209" s="2"/>
      <c r="AX3209" s="2"/>
      <c r="AY3209" s="2"/>
      <c r="AZ3209" s="2"/>
      <c r="BA3209" s="2"/>
      <c r="BB3209" s="2"/>
    </row>
    <row r="3210" ht="204.75" customHeight="1">
      <c r="A3210" s="1">
        <v>188.0</v>
      </c>
      <c r="B3210" s="2" t="s">
        <v>9588</v>
      </c>
      <c r="C3210" s="2">
        <f>IFERROR(__xludf.DUMMYFUNCTION("split(B3210,""_"")"),1907.0)</f>
        <v>1907</v>
      </c>
      <c r="D3210" s="2" t="str">
        <f>IFERROR(__xludf.DUMMYFUNCTION("""COMPUTED_VALUE"""),"NTV")</f>
        <v>NTV</v>
      </c>
      <c r="E3210" s="2" t="str">
        <f>IFERROR(__xludf.DUMMYFUNCTION("""COMPUTED_VALUE"""),"土22")</f>
        <v>土22</v>
      </c>
      <c r="F3210" s="2" t="s">
        <v>9589</v>
      </c>
      <c r="G3210" s="2" t="s">
        <v>9599</v>
      </c>
      <c r="H3210" s="1">
        <v>4.0</v>
      </c>
      <c r="I3210" s="1" t="s">
        <v>14</v>
      </c>
      <c r="J3210" s="1" t="s">
        <v>86</v>
      </c>
      <c r="K3210" s="2" t="s">
        <v>9600</v>
      </c>
      <c r="L3210" s="11" t="s">
        <v>9601</v>
      </c>
      <c r="M3210" s="2" t="str">
        <f>IFERROR(__xludf.DUMMYFUNCTION("split(split(K3210,""【"",false),""公式LINE"",false)"),"森下葵（矢作穂香）が拉致されて４時間が経過。新田（森永悠希）が葵の暴行動画のライブ配信する時刻が迫る。沖原（木村祐一）たち強行犯係は逃亡ルートとなる港に急ぐが、樋口（唐沢寿明）らは葵の捜索に全力を注ぐ。一方、新田の過去を洗っていた緒方（田村健太郎）はその意外な正体を突き止める。それを聞いた栞（石橋菜津美）は、妹の葵がある廃校に監禁されているはずだと言い出し…。廃校で、緊迫の救出劇が始まる!!")</f>
        <v>森下葵（矢作穂香）が拉致されて４時間が経過。新田（森永悠希）が葵の暴行動画のライブ配信する時刻が迫る。沖原（木村祐一）たち強行犯係は逃亡ルートとなる港に急ぐが、樋口（唐沢寿明）らは葵の捜索に全力を注ぐ。一方、新田の過去を洗っていた緒方（田村健太郎）はその意外な正体を突き止める。それを聞いた栞（石橋菜津美）は、妹の葵がある廃校に監禁されているはずだと言い出し…。廃校で、緊迫の救出劇が始まる!!</v>
      </c>
      <c r="N3210" s="2"/>
      <c r="O3210" s="2"/>
      <c r="P3210" s="2"/>
      <c r="Q3210" s="2"/>
      <c r="R3210" s="2"/>
      <c r="S3210" s="2"/>
      <c r="T3210" s="2"/>
      <c r="U3210" s="2"/>
      <c r="V3210" s="2"/>
      <c r="W3210" s="2"/>
      <c r="X3210" s="2"/>
      <c r="Y3210" s="2"/>
      <c r="Z3210" s="2"/>
      <c r="AA3210" s="2"/>
      <c r="AB3210" s="2"/>
      <c r="AC3210" s="2"/>
      <c r="AD3210" s="2"/>
      <c r="AE3210" s="2"/>
      <c r="AF3210" s="2"/>
      <c r="AG3210" s="2"/>
      <c r="AH3210" s="2"/>
      <c r="AI3210" s="2"/>
      <c r="AJ3210" s="2"/>
      <c r="AK3210" s="2"/>
      <c r="AL3210" s="2"/>
      <c r="AM3210" s="2"/>
      <c r="AN3210" s="2"/>
      <c r="AO3210" s="2"/>
      <c r="AP3210" s="2"/>
      <c r="AQ3210" s="2"/>
      <c r="AR3210" s="2"/>
      <c r="AS3210" s="2"/>
      <c r="AT3210" s="2"/>
      <c r="AU3210" s="2"/>
      <c r="AV3210" s="2"/>
      <c r="AW3210" s="2"/>
      <c r="AX3210" s="2"/>
      <c r="AY3210" s="2"/>
      <c r="AZ3210" s="2"/>
      <c r="BA3210" s="2"/>
      <c r="BB3210" s="2"/>
    </row>
    <row r="3211" ht="204.75" customHeight="1">
      <c r="A3211" s="1">
        <v>189.0</v>
      </c>
      <c r="B3211" s="2" t="s">
        <v>9588</v>
      </c>
      <c r="C3211" s="2">
        <f>IFERROR(__xludf.DUMMYFUNCTION("split(B3211,""_"")"),1907.0)</f>
        <v>1907</v>
      </c>
      <c r="D3211" s="2" t="str">
        <f>IFERROR(__xludf.DUMMYFUNCTION("""COMPUTED_VALUE"""),"NTV")</f>
        <v>NTV</v>
      </c>
      <c r="E3211" s="2" t="str">
        <f>IFERROR(__xludf.DUMMYFUNCTION("""COMPUTED_VALUE"""),"土22")</f>
        <v>土22</v>
      </c>
      <c r="F3211" s="2" t="s">
        <v>9589</v>
      </c>
      <c r="G3211" s="2" t="s">
        <v>9602</v>
      </c>
      <c r="H3211" s="1">
        <v>5.0</v>
      </c>
      <c r="I3211" s="1" t="s">
        <v>17</v>
      </c>
      <c r="J3211" s="1" t="s">
        <v>86</v>
      </c>
      <c r="K3211" s="2" t="s">
        <v>9603</v>
      </c>
      <c r="L3211" s="11" t="s">
        <v>9604</v>
      </c>
      <c r="M3211" s="2" t="str">
        <f>IFERROR(__xludf.DUMMYFUNCTION("split(split(K3211,""【"",false),""公式LINE"",false)"),"橘ひかり（真木よう子）は、3年前の事件の警察内の協力者として沖原（木村祐一）を疑う。樋口（唐沢寿明）とひかりは真犯人のある特徴を突き止めるが、そんな中、ECUに6歳の子供・歩から、母親に刺され洗濯機の中に隠れていると通報を受ける。  ひかりは、樋口と石川（増田貴久）に出動指示。電話口から歩を探し回る狂気に満ちた母親の声が漏れ聞こえる中、救出活動が始まった。そしてラストには驚きの真相が待っていた!")</f>
        <v>橘ひかり（真木よう子）は、3年前の事件の警察内の協力者として沖原（木村祐一）を疑う。樋口（唐沢寿明）とひかりは真犯人のある特徴を突き止めるが、そんな中、ECUに6歳の子供・歩から、母親に刺され洗濯機の中に隠れていると通報を受ける。  ひかりは、樋口と石川（増田貴久）に出動指示。電話口から歩を探し回る狂気に満ちた母親の声が漏れ聞こえる中、救出活動が始まった。そしてラストには驚きの真相が待っていた!</v>
      </c>
      <c r="N3211" s="2"/>
      <c r="O3211" s="2"/>
      <c r="P3211" s="2"/>
      <c r="Q3211" s="2"/>
      <c r="R3211" s="2"/>
      <c r="S3211" s="2"/>
      <c r="T3211" s="2"/>
      <c r="U3211" s="2"/>
      <c r="V3211" s="2"/>
      <c r="W3211" s="2"/>
      <c r="X3211" s="2"/>
      <c r="Y3211" s="2"/>
      <c r="Z3211" s="2"/>
      <c r="AA3211" s="2"/>
      <c r="AB3211" s="2"/>
      <c r="AC3211" s="2"/>
      <c r="AD3211" s="2"/>
      <c r="AE3211" s="2"/>
      <c r="AF3211" s="2"/>
      <c r="AG3211" s="2"/>
      <c r="AH3211" s="2"/>
      <c r="AI3211" s="2"/>
      <c r="AJ3211" s="2"/>
      <c r="AK3211" s="2"/>
      <c r="AL3211" s="2"/>
      <c r="AM3211" s="2"/>
      <c r="AN3211" s="2"/>
      <c r="AO3211" s="2"/>
      <c r="AP3211" s="2"/>
      <c r="AQ3211" s="2"/>
      <c r="AR3211" s="2"/>
      <c r="AS3211" s="2"/>
      <c r="AT3211" s="2"/>
      <c r="AU3211" s="2"/>
      <c r="AV3211" s="2"/>
      <c r="AW3211" s="2"/>
      <c r="AX3211" s="2"/>
      <c r="AY3211" s="2"/>
      <c r="AZ3211" s="2"/>
      <c r="BA3211" s="2"/>
      <c r="BB3211" s="2"/>
    </row>
    <row r="3212" ht="204.75" customHeight="1">
      <c r="A3212" s="1">
        <v>190.0</v>
      </c>
      <c r="B3212" s="2" t="s">
        <v>9588</v>
      </c>
      <c r="C3212" s="2">
        <f>IFERROR(__xludf.DUMMYFUNCTION("split(B3212,""_"")"),1907.0)</f>
        <v>1907</v>
      </c>
      <c r="D3212" s="2" t="str">
        <f>IFERROR(__xludf.DUMMYFUNCTION("""COMPUTED_VALUE"""),"NTV")</f>
        <v>NTV</v>
      </c>
      <c r="E3212" s="2" t="str">
        <f>IFERROR(__xludf.DUMMYFUNCTION("""COMPUTED_VALUE"""),"土22")</f>
        <v>土22</v>
      </c>
      <c r="F3212" s="2" t="s">
        <v>9589</v>
      </c>
      <c r="G3212" s="2" t="s">
        <v>9605</v>
      </c>
      <c r="H3212" s="1">
        <v>6.0</v>
      </c>
      <c r="I3212" s="1" t="s">
        <v>21</v>
      </c>
      <c r="J3212" s="1" t="s">
        <v>86</v>
      </c>
      <c r="K3212" s="2" t="s">
        <v>9606</v>
      </c>
      <c r="L3212" s="11" t="s">
        <v>9607</v>
      </c>
      <c r="M3212" s="2" t="str">
        <f>IFERROR(__xludf.DUMMYFUNCTION("split(split(K3212,""【"",false),""公式LINE"",false)"),"襲撃され消息を絶つ樋口（唐沢寿明）。ひかり（真木よう子）は強行犯係の力を借りて樋口を探す。石川（増田貴久）は樋口の携帯を頼りに現場へ急行。   監禁された樋口は“カチカチと顎を鳴らす男”上杉と対面。上杉は、部下に樋口の殺害を命じる。田所（小市慢太郎）から勝手な捜査について勧告を受けたひかりは、樋口の襲撃についての被疑者の指名手配を求める。そして沖原（木村祐一）は捜査の動向をある人物に報告していた。")</f>
        <v>襲撃され消息を絶つ樋口（唐沢寿明）。ひかり（真木よう子）は強行犯係の力を借りて樋口を探す。石川（増田貴久）は樋口の携帯を頼りに現場へ急行。   監禁された樋口は“カチカチと顎を鳴らす男”上杉と対面。上杉は、部下に樋口の殺害を命じる。田所（小市慢太郎）から勝手な捜査について勧告を受けたひかりは、樋口の襲撃についての被疑者の指名手配を求める。そして沖原（木村祐一）は捜査の動向をある人物に報告していた。</v>
      </c>
      <c r="N3212" s="2"/>
      <c r="O3212" s="2"/>
      <c r="P3212" s="2"/>
      <c r="Q3212" s="2"/>
      <c r="R3212" s="2"/>
      <c r="S3212" s="2"/>
      <c r="T3212" s="2"/>
      <c r="U3212" s="2"/>
      <c r="V3212" s="2"/>
      <c r="W3212" s="2"/>
      <c r="X3212" s="2"/>
      <c r="Y3212" s="2"/>
      <c r="Z3212" s="2"/>
      <c r="AA3212" s="2"/>
      <c r="AB3212" s="2"/>
      <c r="AC3212" s="2"/>
      <c r="AD3212" s="2"/>
      <c r="AE3212" s="2"/>
      <c r="AF3212" s="2"/>
      <c r="AG3212" s="2"/>
      <c r="AH3212" s="2"/>
      <c r="AI3212" s="2"/>
      <c r="AJ3212" s="2"/>
      <c r="AK3212" s="2"/>
      <c r="AL3212" s="2"/>
      <c r="AM3212" s="2"/>
      <c r="AN3212" s="2"/>
      <c r="AO3212" s="2"/>
      <c r="AP3212" s="2"/>
      <c r="AQ3212" s="2"/>
      <c r="AR3212" s="2"/>
      <c r="AS3212" s="2"/>
      <c r="AT3212" s="2"/>
      <c r="AU3212" s="2"/>
      <c r="AV3212" s="2"/>
      <c r="AW3212" s="2"/>
      <c r="AX3212" s="2"/>
      <c r="AY3212" s="2"/>
      <c r="AZ3212" s="2"/>
      <c r="BA3212" s="2"/>
      <c r="BB3212" s="2"/>
    </row>
    <row r="3213" ht="204.75" customHeight="1">
      <c r="A3213" s="1">
        <v>191.0</v>
      </c>
      <c r="B3213" s="2" t="s">
        <v>9588</v>
      </c>
      <c r="C3213" s="2">
        <f>IFERROR(__xludf.DUMMYFUNCTION("split(B3213,""_"")"),1907.0)</f>
        <v>1907</v>
      </c>
      <c r="D3213" s="2" t="str">
        <f>IFERROR(__xludf.DUMMYFUNCTION("""COMPUTED_VALUE"""),"NTV")</f>
        <v>NTV</v>
      </c>
      <c r="E3213" s="2" t="str">
        <f>IFERROR(__xludf.DUMMYFUNCTION("""COMPUTED_VALUE"""),"土22")</f>
        <v>土22</v>
      </c>
      <c r="F3213" s="2" t="s">
        <v>9589</v>
      </c>
      <c r="G3213" s="2" t="s">
        <v>9608</v>
      </c>
      <c r="H3213" s="1">
        <v>7.0</v>
      </c>
      <c r="I3213" s="1" t="s">
        <v>25</v>
      </c>
      <c r="J3213" s="1" t="s">
        <v>86</v>
      </c>
      <c r="K3213" s="2" t="s">
        <v>9609</v>
      </c>
      <c r="L3213" s="11" t="s">
        <v>9610</v>
      </c>
      <c r="M3213" s="2" t="str">
        <f>IFERROR(__xludf.DUMMYFUNCTION("split(split(K3213,""【"",false),""公式LINE"",false)"),"病院で息子・大樹（鳥越壮真）を襲った男・長坂（敬太）を確保した樋口（唐沢寿明）は、沖原が襲われたこと聞き、凍りつく。そんな中、樋口とひかり（真木よう子）は、残忍な手口から愛する人を奪った真犯人は他にいると気づき始めていた……。そんな中、ECU に“人質を道連れに屋上から飛び降りようとしている男・高木から通報が入る!")</f>
        <v>病院で息子・大樹（鳥越壮真）を襲った男・長坂（敬太）を確保した樋口（唐沢寿明）は、沖原が襲われたこと聞き、凍りつく。そんな中、樋口とひかり（真木よう子）は、残忍な手口から愛する人を奪った真犯人は他にいると気づき始めていた……。そんな中、ECU に“人質を道連れに屋上から飛び降りようとしている男・高木から通報が入る!</v>
      </c>
      <c r="N3213" s="2"/>
      <c r="O3213" s="2"/>
      <c r="P3213" s="2"/>
      <c r="Q3213" s="2"/>
      <c r="R3213" s="2"/>
      <c r="S3213" s="2"/>
      <c r="T3213" s="2"/>
      <c r="U3213" s="2"/>
      <c r="V3213" s="2"/>
      <c r="W3213" s="2"/>
      <c r="X3213" s="2"/>
      <c r="Y3213" s="2"/>
      <c r="Z3213" s="2"/>
      <c r="AA3213" s="2"/>
      <c r="AB3213" s="2"/>
      <c r="AC3213" s="2"/>
      <c r="AD3213" s="2"/>
      <c r="AE3213" s="2"/>
      <c r="AF3213" s="2"/>
      <c r="AG3213" s="2"/>
      <c r="AH3213" s="2"/>
      <c r="AI3213" s="2"/>
      <c r="AJ3213" s="2"/>
      <c r="AK3213" s="2"/>
      <c r="AL3213" s="2"/>
      <c r="AM3213" s="2"/>
      <c r="AN3213" s="2"/>
      <c r="AO3213" s="2"/>
      <c r="AP3213" s="2"/>
      <c r="AQ3213" s="2"/>
      <c r="AR3213" s="2"/>
      <c r="AS3213" s="2"/>
      <c r="AT3213" s="2"/>
      <c r="AU3213" s="2"/>
      <c r="AV3213" s="2"/>
      <c r="AW3213" s="2"/>
      <c r="AX3213" s="2"/>
      <c r="AY3213" s="2"/>
      <c r="AZ3213" s="2"/>
      <c r="BA3213" s="2"/>
      <c r="BB3213" s="2"/>
    </row>
    <row r="3214" ht="204.75" customHeight="1">
      <c r="A3214" s="1">
        <v>192.0</v>
      </c>
      <c r="B3214" s="2" t="s">
        <v>9588</v>
      </c>
      <c r="C3214" s="2">
        <f>IFERROR(__xludf.DUMMYFUNCTION("split(B3214,""_"")"),1907.0)</f>
        <v>1907</v>
      </c>
      <c r="D3214" s="2" t="str">
        <f>IFERROR(__xludf.DUMMYFUNCTION("""COMPUTED_VALUE"""),"NTV")</f>
        <v>NTV</v>
      </c>
      <c r="E3214" s="2" t="str">
        <f>IFERROR(__xludf.DUMMYFUNCTION("""COMPUTED_VALUE"""),"土22")</f>
        <v>土22</v>
      </c>
      <c r="F3214" s="2" t="s">
        <v>9589</v>
      </c>
      <c r="G3214" s="2" t="s">
        <v>9611</v>
      </c>
      <c r="H3214" s="1">
        <v>8.0</v>
      </c>
      <c r="I3214" s="1" t="s">
        <v>29</v>
      </c>
      <c r="J3214" s="1" t="s">
        <v>86</v>
      </c>
      <c r="K3214" s="2" t="s">
        <v>9612</v>
      </c>
      <c r="L3214" s="11" t="s">
        <v>9613</v>
      </c>
      <c r="M3214" s="2" t="str">
        <f>IFERROR(__xludf.DUMMYFUNCTION("split(split(K3214,""【"",false),""公式LINE"",false)"),"殺された妻の3年前の行動を探る樋口(唐沢寿明)。そんな中、ひかり（真木よう子）の自宅内に真犯人の影が忍び寄る。そして樋口とひかり（真木よう子）は、警察署内で雫（伊勢谷友介）とついに顔を合わせる……！ひかりはその声を聞き、すぐに雫が真犯人だと気付く!")</f>
        <v>殺された妻の3年前の行動を探る樋口(唐沢寿明)。そんな中、ひかり（真木よう子）の自宅内に真犯人の影が忍び寄る。そして樋口とひかり（真木よう子）は、警察署内で雫（伊勢谷友介）とついに顔を合わせる……！ひかりはその声を聞き、すぐに雫が真犯人だと気付く!</v>
      </c>
      <c r="N3214" s="2"/>
      <c r="O3214" s="2"/>
      <c r="P3214" s="2"/>
      <c r="Q3214" s="2"/>
      <c r="R3214" s="2"/>
      <c r="S3214" s="2"/>
      <c r="T3214" s="2"/>
      <c r="U3214" s="2"/>
      <c r="V3214" s="2"/>
      <c r="W3214" s="2"/>
      <c r="X3214" s="2"/>
      <c r="Y3214" s="2"/>
      <c r="Z3214" s="2"/>
      <c r="AA3214" s="2"/>
      <c r="AB3214" s="2"/>
      <c r="AC3214" s="2"/>
      <c r="AD3214" s="2"/>
      <c r="AE3214" s="2"/>
      <c r="AF3214" s="2"/>
      <c r="AG3214" s="2"/>
      <c r="AH3214" s="2"/>
      <c r="AI3214" s="2"/>
      <c r="AJ3214" s="2"/>
      <c r="AK3214" s="2"/>
      <c r="AL3214" s="2"/>
      <c r="AM3214" s="2"/>
      <c r="AN3214" s="2"/>
      <c r="AO3214" s="2"/>
      <c r="AP3214" s="2"/>
      <c r="AQ3214" s="2"/>
      <c r="AR3214" s="2"/>
      <c r="AS3214" s="2"/>
      <c r="AT3214" s="2"/>
      <c r="AU3214" s="2"/>
      <c r="AV3214" s="2"/>
      <c r="AW3214" s="2"/>
      <c r="AX3214" s="2"/>
      <c r="AY3214" s="2"/>
      <c r="AZ3214" s="2"/>
      <c r="BA3214" s="2"/>
      <c r="BB3214" s="2"/>
    </row>
    <row r="3215" ht="204.75" customHeight="1">
      <c r="A3215" s="1">
        <v>193.0</v>
      </c>
      <c r="B3215" s="2" t="s">
        <v>9588</v>
      </c>
      <c r="C3215" s="2">
        <f>IFERROR(__xludf.DUMMYFUNCTION("split(B3215,""_"")"),1907.0)</f>
        <v>1907</v>
      </c>
      <c r="D3215" s="2" t="str">
        <f>IFERROR(__xludf.DUMMYFUNCTION("""COMPUTED_VALUE"""),"NTV")</f>
        <v>NTV</v>
      </c>
      <c r="E3215" s="2" t="str">
        <f>IFERROR(__xludf.DUMMYFUNCTION("""COMPUTED_VALUE"""),"土22")</f>
        <v>土22</v>
      </c>
      <c r="F3215" s="2" t="s">
        <v>9589</v>
      </c>
      <c r="G3215" s="2" t="s">
        <v>9614</v>
      </c>
      <c r="H3215" s="1">
        <v>9.0</v>
      </c>
      <c r="I3215" s="1" t="s">
        <v>33</v>
      </c>
      <c r="J3215" s="1" t="s">
        <v>86</v>
      </c>
      <c r="K3215" s="2" t="s">
        <v>9615</v>
      </c>
      <c r="L3215" s="11" t="s">
        <v>9616</v>
      </c>
      <c r="M3215" s="2" t="str">
        <f>IFERROR(__xludf.DUMMYFUNCTION("split(split(K3215,""【"",false),""公式LINE"",false)"),"樋口（唐沢寿明）たちと緊急指令室のECUが連携し、地下トンネル現場では必死の救助作業が進む。しかし安否不明の最後の一人を探す樋口たちを、ガス漏れによる爆発が襲う!  ひかり(真木よう子)は真犯人と内通の疑いがある石川（増田貴久）をチームから外すべきだと主張。  そんな中、意味深なメールを樋口に残し、石川が姿を消す。すでに石川の身に雫の魔の手が迫っていた!")</f>
        <v>樋口（唐沢寿明）たちと緊急指令室のECUが連携し、地下トンネル現場では必死の救助作業が進む。しかし安否不明の最後の一人を探す樋口たちを、ガス漏れによる爆発が襲う!  ひかり(真木よう子)は真犯人と内通の疑いがある石川（増田貴久）をチームから外すべきだと主張。  そんな中、意味深なメールを樋口に残し、石川が姿を消す。すでに石川の身に雫の魔の手が迫っていた!</v>
      </c>
      <c r="N3215" s="2"/>
      <c r="O3215" s="2"/>
      <c r="P3215" s="2"/>
      <c r="Q3215" s="2"/>
      <c r="R3215" s="2"/>
      <c r="S3215" s="2"/>
      <c r="T3215" s="2"/>
      <c r="U3215" s="2"/>
      <c r="V3215" s="2"/>
      <c r="W3215" s="2"/>
      <c r="X3215" s="2"/>
      <c r="Y3215" s="2"/>
      <c r="Z3215" s="2"/>
      <c r="AA3215" s="2"/>
      <c r="AB3215" s="2"/>
      <c r="AC3215" s="2"/>
      <c r="AD3215" s="2"/>
      <c r="AE3215" s="2"/>
      <c r="AF3215" s="2"/>
      <c r="AG3215" s="2"/>
      <c r="AH3215" s="2"/>
      <c r="AI3215" s="2"/>
      <c r="AJ3215" s="2"/>
      <c r="AK3215" s="2"/>
      <c r="AL3215" s="2"/>
      <c r="AM3215" s="2"/>
      <c r="AN3215" s="2"/>
      <c r="AO3215" s="2"/>
      <c r="AP3215" s="2"/>
      <c r="AQ3215" s="2"/>
      <c r="AR3215" s="2"/>
      <c r="AS3215" s="2"/>
      <c r="AT3215" s="2"/>
      <c r="AU3215" s="2"/>
      <c r="AV3215" s="2"/>
      <c r="AW3215" s="2"/>
      <c r="AX3215" s="2"/>
      <c r="AY3215" s="2"/>
      <c r="AZ3215" s="2"/>
      <c r="BA3215" s="2"/>
      <c r="BB3215" s="2"/>
    </row>
    <row r="3216" ht="204.75" customHeight="1">
      <c r="A3216" s="1">
        <v>194.0</v>
      </c>
      <c r="B3216" s="2" t="s">
        <v>9588</v>
      </c>
      <c r="C3216" s="2">
        <f>IFERROR(__xludf.DUMMYFUNCTION("split(B3216,""_"")"),1907.0)</f>
        <v>1907</v>
      </c>
      <c r="D3216" s="2" t="str">
        <f>IFERROR(__xludf.DUMMYFUNCTION("""COMPUTED_VALUE"""),"NTV")</f>
        <v>NTV</v>
      </c>
      <c r="E3216" s="2" t="str">
        <f>IFERROR(__xludf.DUMMYFUNCTION("""COMPUTED_VALUE"""),"土22")</f>
        <v>土22</v>
      </c>
      <c r="F3216" s="2" t="s">
        <v>9589</v>
      </c>
      <c r="G3216" s="2" t="s">
        <v>9617</v>
      </c>
      <c r="H3216" s="1">
        <v>10.0</v>
      </c>
      <c r="I3216" s="1" t="s">
        <v>37</v>
      </c>
      <c r="J3216" s="1" t="s">
        <v>86</v>
      </c>
      <c r="K3216" s="2" t="s">
        <v>9618</v>
      </c>
      <c r="L3216" s="11" t="s">
        <v>9619</v>
      </c>
      <c r="M3216" s="2" t="str">
        <f>IFERROR(__xludf.DUMMYFUNCTION("split(split(K3216,""【"",false),""公式LINE"",false)"),"唐沢寿明＆真木よう子出演のタイムリミットサスペンス!  ついに最終話!雫(伊勢谷友介)の別荘に急行した樋口（唐沢寿明）は、現場音を聞いたひかり（真木よう子）が地下室の存在に気付き、向かう。すると、そこで樋口を待っていたのは血まみれで倒れている石川（増田貴久）だった…。怒りに震える樋口に奇襲を仕掛ける雫！最後に笑うのは誰だ?  最後まで目が離せないスリルと衝撃の最終回!")</f>
        <v>唐沢寿明＆真木よう子出演のタイムリミットサスペンス!  ついに最終話!雫(伊勢谷友介)の別荘に急行した樋口（唐沢寿明）は、現場音を聞いたひかり（真木よう子）が地下室の存在に気付き、向かう。すると、そこで樋口を待っていたのは血まみれで倒れている石川（増田貴久）だった…。怒りに震える樋口に奇襲を仕掛ける雫！最後に笑うのは誰だ?  最後まで目が離せないスリルと衝撃の最終回!</v>
      </c>
      <c r="N3216" s="2"/>
      <c r="O3216" s="2"/>
      <c r="P3216" s="2"/>
      <c r="Q3216" s="2"/>
      <c r="R3216" s="2"/>
      <c r="S3216" s="2"/>
      <c r="T3216" s="2"/>
      <c r="U3216" s="2"/>
      <c r="V3216" s="2"/>
      <c r="W3216" s="2"/>
      <c r="X3216" s="2"/>
      <c r="Y3216" s="2"/>
      <c r="Z3216" s="2"/>
      <c r="AA3216" s="2"/>
      <c r="AB3216" s="2"/>
      <c r="AC3216" s="2"/>
      <c r="AD3216" s="2"/>
      <c r="AE3216" s="2"/>
      <c r="AF3216" s="2"/>
      <c r="AG3216" s="2"/>
      <c r="AH3216" s="2"/>
      <c r="AI3216" s="2"/>
      <c r="AJ3216" s="2"/>
      <c r="AK3216" s="2"/>
      <c r="AL3216" s="2"/>
      <c r="AM3216" s="2"/>
      <c r="AN3216" s="2"/>
      <c r="AO3216" s="2"/>
      <c r="AP3216" s="2"/>
      <c r="AQ3216" s="2"/>
      <c r="AR3216" s="2"/>
      <c r="AS3216" s="2"/>
      <c r="AT3216" s="2"/>
      <c r="AU3216" s="2"/>
      <c r="AV3216" s="2"/>
      <c r="AW3216" s="2"/>
      <c r="AX3216" s="2"/>
      <c r="AY3216" s="2"/>
      <c r="AZ3216" s="2"/>
      <c r="BA3216" s="2"/>
      <c r="BB3216" s="2"/>
    </row>
    <row r="3217" ht="204.75" customHeight="1">
      <c r="A3217" s="1">
        <v>213.0</v>
      </c>
      <c r="B3217" s="2" t="s">
        <v>9620</v>
      </c>
      <c r="C3217" s="2">
        <f>IFERROR(__xludf.DUMMYFUNCTION("split(B3217,""_"")"),1907.0)</f>
        <v>1907</v>
      </c>
      <c r="D3217" s="2" t="str">
        <f>IFERROR(__xludf.DUMMYFUNCTION("""COMPUTED_VALUE"""),"NTV")</f>
        <v>NTV</v>
      </c>
      <c r="E3217" s="2" t="str">
        <f>IFERROR(__xludf.DUMMYFUNCTION("""COMPUTED_VALUE"""),"日22")</f>
        <v>日22</v>
      </c>
      <c r="F3217" s="2" t="s">
        <v>9621</v>
      </c>
      <c r="G3217" s="2" t="s">
        <v>9622</v>
      </c>
      <c r="H3217" s="1">
        <v>12.0</v>
      </c>
      <c r="I3217" s="1" t="s">
        <v>3666</v>
      </c>
      <c r="J3217" s="1" t="s">
        <v>82</v>
      </c>
      <c r="K3217" s="2" t="s">
        <v>9623</v>
      </c>
      <c r="L3217" s="11" t="s">
        <v>9624</v>
      </c>
      <c r="M3217" s="2" t="str">
        <f>IFERROR(__xludf.DUMMYFUNCTION("split(split(K3217,""【"",false),""公式LINE"",false)"),"木下（山田真歩）の部屋に踏み込んだ翔太（田中圭）たち。木下の正体とその目的とは一体…!?翔太は木下が集めた住民のゴミを、半ば強引に持ち出して調べ始めるが、黒島（西野七瀬）のゴミから香典袋が見つかり、彼女に疑念を抱く。  そんな中、鍋を作って304号室を訪れた翔太。二階堂(横浜流星)から、もっと菜奈（原田知世）の情報が欲しいと言われ、翔太が部屋に戻ると、なぜか尾野（奈緒）が菜奈の書斎にいて…!?")</f>
        <v>木下（山田真歩）の部屋に踏み込んだ翔太（田中圭）たち。木下の正体とその目的とは一体…!?翔太は木下が集めた住民のゴミを、半ば強引に持ち出して調べ始めるが、黒島（西野七瀬）のゴミから香典袋が見つかり、彼女に疑念を抱く。  そんな中、鍋を作って304号室を訪れた翔太。二階堂(横浜流星)から、もっと菜奈（原田知世）の情報が欲しいと言われ、翔太が部屋に戻ると、なぜか尾野（奈緒）が菜奈の書斎にいて…!?</v>
      </c>
      <c r="N3217" s="2"/>
      <c r="O3217" s="2"/>
      <c r="P3217" s="2"/>
      <c r="Q3217" s="2"/>
      <c r="R3217" s="2"/>
      <c r="S3217" s="2"/>
      <c r="T3217" s="2"/>
      <c r="U3217" s="2"/>
      <c r="V3217" s="2"/>
      <c r="W3217" s="2"/>
      <c r="X3217" s="2"/>
      <c r="Y3217" s="2"/>
      <c r="Z3217" s="2"/>
      <c r="AA3217" s="2"/>
      <c r="AB3217" s="2"/>
      <c r="AC3217" s="2"/>
      <c r="AD3217" s="2"/>
      <c r="AE3217" s="2"/>
      <c r="AF3217" s="2"/>
      <c r="AG3217" s="2"/>
      <c r="AH3217" s="2"/>
      <c r="AI3217" s="2"/>
      <c r="AJ3217" s="2"/>
      <c r="AK3217" s="2"/>
      <c r="AL3217" s="2"/>
      <c r="AM3217" s="2"/>
      <c r="AN3217" s="2"/>
      <c r="AO3217" s="2"/>
      <c r="AP3217" s="2"/>
      <c r="AQ3217" s="2"/>
      <c r="AR3217" s="2"/>
      <c r="AS3217" s="2"/>
      <c r="AT3217" s="2"/>
      <c r="AU3217" s="2"/>
      <c r="AV3217" s="2"/>
      <c r="AW3217" s="2"/>
      <c r="AX3217" s="2"/>
      <c r="AY3217" s="2"/>
      <c r="AZ3217" s="2"/>
      <c r="BA3217" s="2"/>
      <c r="BB3217" s="2"/>
    </row>
    <row r="3218" ht="204.75" customHeight="1">
      <c r="A3218" s="1">
        <v>214.0</v>
      </c>
      <c r="B3218" s="2" t="s">
        <v>9620</v>
      </c>
      <c r="C3218" s="2">
        <f>IFERROR(__xludf.DUMMYFUNCTION("split(B3218,""_"")"),1907.0)</f>
        <v>1907</v>
      </c>
      <c r="D3218" s="2" t="str">
        <f>IFERROR(__xludf.DUMMYFUNCTION("""COMPUTED_VALUE"""),"NTV")</f>
        <v>NTV</v>
      </c>
      <c r="E3218" s="2" t="str">
        <f>IFERROR(__xludf.DUMMYFUNCTION("""COMPUTED_VALUE"""),"日22")</f>
        <v>日22</v>
      </c>
      <c r="F3218" s="2" t="s">
        <v>9621</v>
      </c>
      <c r="G3218" s="2" t="s">
        <v>9625</v>
      </c>
      <c r="H3218" s="1">
        <v>13.0</v>
      </c>
      <c r="I3218" s="1" t="s">
        <v>3670</v>
      </c>
      <c r="J3218" s="1" t="s">
        <v>82</v>
      </c>
      <c r="K3218" s="2" t="s">
        <v>9626</v>
      </c>
      <c r="L3218" s="11" t="s">
        <v>9627</v>
      </c>
      <c r="M3218" s="2" t="str">
        <f>IFERROR(__xludf.DUMMYFUNCTION("split(split(K3218,""【"",false),""公式LINE"",false)"),"イクバルたちが翔太（田中圭）を襲ったことで、警察に捕まると悟ったシンイー（金澤美穂）は不法滞在中の恋人・クオン（井阪郁巳）を逃がす。翔太と二階堂（横浜流星）は、臨時の住民会に出席。そこに新住人・南（田中哲司）が登場。不躾に事件の話を聞こうとする南に、住民たちは警戒心を強める。  翔太が交換殺人ゲームの話を警察にしたことから、殺人容疑をかけられた藤井（片桐仁）はすべてを告白しようとするが…!?")</f>
        <v>イクバルたちが翔太（田中圭）を襲ったことで、警察に捕まると悟ったシンイー（金澤美穂）は不法滞在中の恋人・クオン（井阪郁巳）を逃がす。翔太と二階堂（横浜流星）は、臨時の住民会に出席。そこに新住人・南（田中哲司）が登場。不躾に事件の話を聞こうとする南に、住民たちは警戒心を強める。  翔太が交換殺人ゲームの話を警察にしたことから、殺人容疑をかけられた藤井（片桐仁）はすべてを告白しようとするが…!?</v>
      </c>
      <c r="N3218" s="2"/>
      <c r="O3218" s="2"/>
      <c r="P3218" s="2"/>
      <c r="Q3218" s="2"/>
      <c r="R3218" s="2"/>
      <c r="S3218" s="2"/>
      <c r="T3218" s="2"/>
      <c r="U3218" s="2"/>
      <c r="V3218" s="2"/>
      <c r="W3218" s="2"/>
      <c r="X3218" s="2"/>
      <c r="Y3218" s="2"/>
      <c r="Z3218" s="2"/>
      <c r="AA3218" s="2"/>
      <c r="AB3218" s="2"/>
      <c r="AC3218" s="2"/>
      <c r="AD3218" s="2"/>
      <c r="AE3218" s="2"/>
      <c r="AF3218" s="2"/>
      <c r="AG3218" s="2"/>
      <c r="AH3218" s="2"/>
      <c r="AI3218" s="2"/>
      <c r="AJ3218" s="2"/>
      <c r="AK3218" s="2"/>
      <c r="AL3218" s="2"/>
      <c r="AM3218" s="2"/>
      <c r="AN3218" s="2"/>
      <c r="AO3218" s="2"/>
      <c r="AP3218" s="2"/>
      <c r="AQ3218" s="2"/>
      <c r="AR3218" s="2"/>
      <c r="AS3218" s="2"/>
      <c r="AT3218" s="2"/>
      <c r="AU3218" s="2"/>
      <c r="AV3218" s="2"/>
      <c r="AW3218" s="2"/>
      <c r="AX3218" s="2"/>
      <c r="AY3218" s="2"/>
      <c r="AZ3218" s="2"/>
      <c r="BA3218" s="2"/>
      <c r="BB3218" s="2"/>
    </row>
    <row r="3219" ht="204.75" customHeight="1">
      <c r="A3219" s="1">
        <v>215.0</v>
      </c>
      <c r="B3219" s="2" t="s">
        <v>9620</v>
      </c>
      <c r="C3219" s="2">
        <f>IFERROR(__xludf.DUMMYFUNCTION("split(B3219,""_"")"),1907.0)</f>
        <v>1907</v>
      </c>
      <c r="D3219" s="2" t="str">
        <f>IFERROR(__xludf.DUMMYFUNCTION("""COMPUTED_VALUE"""),"NTV")</f>
        <v>NTV</v>
      </c>
      <c r="E3219" s="2" t="str">
        <f>IFERROR(__xludf.DUMMYFUNCTION("""COMPUTED_VALUE"""),"日22")</f>
        <v>日22</v>
      </c>
      <c r="F3219" s="2" t="s">
        <v>9621</v>
      </c>
      <c r="G3219" s="2" t="s">
        <v>9628</v>
      </c>
      <c r="H3219" s="1">
        <v>14.0</v>
      </c>
      <c r="I3219" s="1" t="s">
        <v>5354</v>
      </c>
      <c r="J3219" s="1" t="s">
        <v>82</v>
      </c>
      <c r="K3219" s="2" t="s">
        <v>9629</v>
      </c>
      <c r="L3219" s="11" t="s">
        <v>9630</v>
      </c>
      <c r="M3219" s="2" t="str">
        <f>IFERROR(__xludf.DUMMYFUNCTION("split(split(K3219,""【"",false),""公式LINE"",false)"),"翔太（田中圭）は目覚めた久住（袴田吉彦）に会いに行くが、久住の様子は以前と全く変わっていた。  取調べで自供を始める早苗（木村多江）。しかし、必死で誰かをかばっているようで…。二階堂（横浜流星）のAI分析では、赤池夫妻、浮田(田中要次)、菜奈(原田知世)を殺害したのは同一人物で、快楽殺人者の可能性が高い。しかも容疑者は意外な人物だった!  夏祭りの夜、新たな犠牲者が！？果たして狙われるのは誰なのか!?")</f>
        <v>翔太（田中圭）は目覚めた久住（袴田吉彦）に会いに行くが、久住の様子は以前と全く変わっていた。  取調べで自供を始める早苗（木村多江）。しかし、必死で誰かをかばっているようで…。二階堂（横浜流星）のAI分析では、赤池夫妻、浮田(田中要次)、菜奈(原田知世)を殺害したのは同一人物で、快楽殺人者の可能性が高い。しかも容疑者は意外な人物だった!  夏祭りの夜、新たな犠牲者が！？果たして狙われるのは誰なのか!?</v>
      </c>
      <c r="N3219" s="2"/>
      <c r="O3219" s="2"/>
      <c r="P3219" s="2"/>
      <c r="Q3219" s="2"/>
      <c r="R3219" s="2"/>
      <c r="S3219" s="2"/>
      <c r="T3219" s="2"/>
      <c r="U3219" s="2"/>
      <c r="V3219" s="2"/>
      <c r="W3219" s="2"/>
      <c r="X3219" s="2"/>
      <c r="Y3219" s="2"/>
      <c r="Z3219" s="2"/>
      <c r="AA3219" s="2"/>
      <c r="AB3219" s="2"/>
      <c r="AC3219" s="2"/>
      <c r="AD3219" s="2"/>
      <c r="AE3219" s="2"/>
      <c r="AF3219" s="2"/>
      <c r="AG3219" s="2"/>
      <c r="AH3219" s="2"/>
      <c r="AI3219" s="2"/>
      <c r="AJ3219" s="2"/>
      <c r="AK3219" s="2"/>
      <c r="AL3219" s="2"/>
      <c r="AM3219" s="2"/>
      <c r="AN3219" s="2"/>
      <c r="AO3219" s="2"/>
      <c r="AP3219" s="2"/>
      <c r="AQ3219" s="2"/>
      <c r="AR3219" s="2"/>
      <c r="AS3219" s="2"/>
      <c r="AT3219" s="2"/>
      <c r="AU3219" s="2"/>
      <c r="AV3219" s="2"/>
      <c r="AW3219" s="2"/>
      <c r="AX3219" s="2"/>
      <c r="AY3219" s="2"/>
      <c r="AZ3219" s="2"/>
      <c r="BA3219" s="2"/>
      <c r="BB3219" s="2"/>
    </row>
    <row r="3220" ht="204.75" customHeight="1">
      <c r="A3220" s="1">
        <v>216.0</v>
      </c>
      <c r="B3220" s="2" t="s">
        <v>9620</v>
      </c>
      <c r="C3220" s="2">
        <f>IFERROR(__xludf.DUMMYFUNCTION("split(B3220,""_"")"),1907.0)</f>
        <v>1907</v>
      </c>
      <c r="D3220" s="2" t="str">
        <f>IFERROR(__xludf.DUMMYFUNCTION("""COMPUTED_VALUE"""),"NTV")</f>
        <v>NTV</v>
      </c>
      <c r="E3220" s="2" t="str">
        <f>IFERROR(__xludf.DUMMYFUNCTION("""COMPUTED_VALUE"""),"日22")</f>
        <v>日22</v>
      </c>
      <c r="F3220" s="2" t="s">
        <v>9621</v>
      </c>
      <c r="G3220" s="2" t="s">
        <v>9631</v>
      </c>
      <c r="H3220" s="1">
        <v>15.0</v>
      </c>
      <c r="I3220" s="1" t="s">
        <v>5358</v>
      </c>
      <c r="J3220" s="1" t="s">
        <v>82</v>
      </c>
      <c r="K3220" s="2" t="s">
        <v>9632</v>
      </c>
      <c r="L3220" s="11" t="s">
        <v>9633</v>
      </c>
      <c r="M3220" s="2" t="str">
        <f>IFERROR(__xludf.DUMMYFUNCTION("split(split(K3220,""【"",false),""公式LINE"",false)"),"翔太(田中圭)、二階堂(横浜流星)、南(田中哲司)は、水城(皆川猿時)から、黒島(西野七瀬)が線路へ突き落とされたと聞く。  神谷（浅香航大）は、収賄と交換殺人ゲームの隠蔽によって謹慎処分となるが、独自に捜査を続け、思わぬ事実にたどり着く。翔太は、監禁中に聞いた謎の声の主が神谷だと気付き!?  黒島を突き落とした犯人探しを始める南に疑念を抱いた住民達が彼を問い詰めると、自分の正体を明らかにする!")</f>
        <v>翔太(田中圭)、二階堂(横浜流星)、南(田中哲司)は、水城(皆川猿時)から、黒島(西野七瀬)が線路へ突き落とされたと聞く。  神谷（浅香航大）は、収賄と交換殺人ゲームの隠蔽によって謹慎処分となるが、独自に捜査を続け、思わぬ事実にたどり着く。翔太は、監禁中に聞いた謎の声の主が神谷だと気付き!?  黒島を突き落とした犯人探しを始める南に疑念を抱いた住民達が彼を問い詰めると、自分の正体を明らかにする!</v>
      </c>
      <c r="N3220" s="2"/>
      <c r="O3220" s="2"/>
      <c r="P3220" s="2"/>
      <c r="Q3220" s="2"/>
      <c r="R3220" s="2"/>
      <c r="S3220" s="2"/>
      <c r="T3220" s="2"/>
      <c r="U3220" s="2"/>
      <c r="V3220" s="2"/>
      <c r="W3220" s="2"/>
      <c r="X3220" s="2"/>
      <c r="Y3220" s="2"/>
      <c r="Z3220" s="2"/>
      <c r="AA3220" s="2"/>
      <c r="AB3220" s="2"/>
      <c r="AC3220" s="2"/>
      <c r="AD3220" s="2"/>
      <c r="AE3220" s="2"/>
      <c r="AF3220" s="2"/>
      <c r="AG3220" s="2"/>
      <c r="AH3220" s="2"/>
      <c r="AI3220" s="2"/>
      <c r="AJ3220" s="2"/>
      <c r="AK3220" s="2"/>
      <c r="AL3220" s="2"/>
      <c r="AM3220" s="2"/>
      <c r="AN3220" s="2"/>
      <c r="AO3220" s="2"/>
      <c r="AP3220" s="2"/>
      <c r="AQ3220" s="2"/>
      <c r="AR3220" s="2"/>
      <c r="AS3220" s="2"/>
      <c r="AT3220" s="2"/>
      <c r="AU3220" s="2"/>
      <c r="AV3220" s="2"/>
      <c r="AW3220" s="2"/>
      <c r="AX3220" s="2"/>
      <c r="AY3220" s="2"/>
      <c r="AZ3220" s="2"/>
      <c r="BA3220" s="2"/>
      <c r="BB3220" s="2"/>
    </row>
    <row r="3221" ht="204.75" customHeight="1">
      <c r="A3221" s="1">
        <v>217.0</v>
      </c>
      <c r="B3221" s="2" t="s">
        <v>9620</v>
      </c>
      <c r="C3221" s="2">
        <f>IFERROR(__xludf.DUMMYFUNCTION("split(B3221,""_"")"),1907.0)</f>
        <v>1907</v>
      </c>
      <c r="D3221" s="2" t="str">
        <f>IFERROR(__xludf.DUMMYFUNCTION("""COMPUTED_VALUE"""),"NTV")</f>
        <v>NTV</v>
      </c>
      <c r="E3221" s="2" t="str">
        <f>IFERROR(__xludf.DUMMYFUNCTION("""COMPUTED_VALUE"""),"日22")</f>
        <v>日22</v>
      </c>
      <c r="F3221" s="2" t="s">
        <v>9621</v>
      </c>
      <c r="G3221" s="2" t="s">
        <v>9634</v>
      </c>
      <c r="H3221" s="1">
        <v>16.0</v>
      </c>
      <c r="I3221" s="1" t="s">
        <v>5362</v>
      </c>
      <c r="J3221" s="1" t="s">
        <v>82</v>
      </c>
      <c r="K3221" s="2" t="s">
        <v>9635</v>
      </c>
      <c r="L3221" s="11" t="s">
        <v>9636</v>
      </c>
      <c r="M3221" s="2" t="str">
        <f>IFERROR(__xludf.DUMMYFUNCTION("split(split(K3221,""【"",false),""公式LINE"",false)"),"神谷（浅香航大）が惨殺され、翔太（田中圭）と水城（皆川猿時）は、犯人への怒りを胸に、ともに事件解決を誓う。  二階堂（横浜流星）は、翔太のアドバイスで、退院した黒島（西野七瀬）をひまわり畑へデートに誘うことに。そんな２人を、陰から黒島のストーカー・内山達生（大内田悠平）が見ていた。一体彼は何者なのか…?  新事実が次々と判明し、連続殺人の犯人としてある人物が急浮上！！果たして、それは誰なのか…!?")</f>
        <v>神谷（浅香航大）が惨殺され、翔太（田中圭）と水城（皆川猿時）は、犯人への怒りを胸に、ともに事件解決を誓う。  二階堂（横浜流星）は、翔太のアドバイスで、退院した黒島（西野七瀬）をひまわり畑へデートに誘うことに。そんな２人を、陰から黒島のストーカー・内山達生（大内田悠平）が見ていた。一体彼は何者なのか…?  新事実が次々と判明し、連続殺人の犯人としてある人物が急浮上！！果たして、それは誰なのか…!?</v>
      </c>
      <c r="N3221" s="2"/>
      <c r="O3221" s="2"/>
      <c r="P3221" s="2"/>
      <c r="Q3221" s="2"/>
      <c r="R3221" s="2"/>
      <c r="S3221" s="2"/>
      <c r="T3221" s="2"/>
      <c r="U3221" s="2"/>
      <c r="V3221" s="2"/>
      <c r="W3221" s="2"/>
      <c r="X3221" s="2"/>
      <c r="Y3221" s="2"/>
      <c r="Z3221" s="2"/>
      <c r="AA3221" s="2"/>
      <c r="AB3221" s="2"/>
      <c r="AC3221" s="2"/>
      <c r="AD3221" s="2"/>
      <c r="AE3221" s="2"/>
      <c r="AF3221" s="2"/>
      <c r="AG3221" s="2"/>
      <c r="AH3221" s="2"/>
      <c r="AI3221" s="2"/>
      <c r="AJ3221" s="2"/>
      <c r="AK3221" s="2"/>
      <c r="AL3221" s="2"/>
      <c r="AM3221" s="2"/>
      <c r="AN3221" s="2"/>
      <c r="AO3221" s="2"/>
      <c r="AP3221" s="2"/>
      <c r="AQ3221" s="2"/>
      <c r="AR3221" s="2"/>
      <c r="AS3221" s="2"/>
      <c r="AT3221" s="2"/>
      <c r="AU3221" s="2"/>
      <c r="AV3221" s="2"/>
      <c r="AW3221" s="2"/>
      <c r="AX3221" s="2"/>
      <c r="AY3221" s="2"/>
      <c r="AZ3221" s="2"/>
      <c r="BA3221" s="2"/>
      <c r="BB3221" s="2"/>
    </row>
    <row r="3222" ht="204.75" customHeight="1">
      <c r="A3222" s="1">
        <v>218.0</v>
      </c>
      <c r="B3222" s="2" t="s">
        <v>9620</v>
      </c>
      <c r="C3222" s="2">
        <f>IFERROR(__xludf.DUMMYFUNCTION("split(B3222,""_"")"),1907.0)</f>
        <v>1907</v>
      </c>
      <c r="D3222" s="2" t="str">
        <f>IFERROR(__xludf.DUMMYFUNCTION("""COMPUTED_VALUE"""),"NTV")</f>
        <v>NTV</v>
      </c>
      <c r="E3222" s="2" t="str">
        <f>IFERROR(__xludf.DUMMYFUNCTION("""COMPUTED_VALUE"""),"日22")</f>
        <v>日22</v>
      </c>
      <c r="F3222" s="2" t="s">
        <v>9621</v>
      </c>
      <c r="G3222" s="2" t="s">
        <v>9637</v>
      </c>
      <c r="H3222" s="1">
        <v>17.0</v>
      </c>
      <c r="I3222" s="1" t="s">
        <v>5366</v>
      </c>
      <c r="J3222" s="1" t="s">
        <v>82</v>
      </c>
      <c r="K3222" s="2" t="s">
        <v>9638</v>
      </c>
      <c r="L3222" s="11" t="s">
        <v>9639</v>
      </c>
      <c r="M3222" s="2" t="str">
        <f>IFERROR(__xludf.DUMMYFUNCTION("split(split(K3222,""【"",false),""公式LINE"",false)"),"装置が作動してダーツの矢が胸に刺さった内山（大内田悠平）は、まもなく絶命。その瞬間、パソコンから動画が流れる。衝撃的な内容に、翔太(田中圭)、二階堂(横浜流星)、水城(皆川猿時)は言葉を失うーー。  翔太と二階堂は南（田中哲司）を訪ね、内山のアパートにいた理由について問い詰めるが、「ただのネタ探し」だと答える南…。果たして彼の目的は!?  そして、ついに住民の中に潜む危険人物が暴走し始める…!")</f>
        <v>装置が作動してダーツの矢が胸に刺さった内山（大内田悠平）は、まもなく絶命。その瞬間、パソコンから動画が流れる。衝撃的な内容に、翔太(田中圭)、二階堂(横浜流星)、水城(皆川猿時)は言葉を失うーー。  翔太と二階堂は南（田中哲司）を訪ね、内山のアパートにいた理由について問い詰めるが、「ただのネタ探し」だと答える南…。果たして彼の目的は!?  そして、ついに住民の中に潜む危険人物が暴走し始める…!</v>
      </c>
      <c r="N3222" s="2"/>
      <c r="O3222" s="2"/>
      <c r="P3222" s="2"/>
      <c r="Q3222" s="2"/>
      <c r="R3222" s="2"/>
      <c r="S3222" s="2"/>
      <c r="T3222" s="2"/>
      <c r="U3222" s="2"/>
      <c r="V3222" s="2"/>
      <c r="W3222" s="2"/>
      <c r="X3222" s="2"/>
      <c r="Y3222" s="2"/>
      <c r="Z3222" s="2"/>
      <c r="AA3222" s="2"/>
      <c r="AB3222" s="2"/>
      <c r="AC3222" s="2"/>
      <c r="AD3222" s="2"/>
      <c r="AE3222" s="2"/>
      <c r="AF3222" s="2"/>
      <c r="AG3222" s="2"/>
      <c r="AH3222" s="2"/>
      <c r="AI3222" s="2"/>
      <c r="AJ3222" s="2"/>
      <c r="AK3222" s="2"/>
      <c r="AL3222" s="2"/>
      <c r="AM3222" s="2"/>
      <c r="AN3222" s="2"/>
      <c r="AO3222" s="2"/>
      <c r="AP3222" s="2"/>
      <c r="AQ3222" s="2"/>
      <c r="AR3222" s="2"/>
      <c r="AS3222" s="2"/>
      <c r="AT3222" s="2"/>
      <c r="AU3222" s="2"/>
      <c r="AV3222" s="2"/>
      <c r="AW3222" s="2"/>
      <c r="AX3222" s="2"/>
      <c r="AY3222" s="2"/>
      <c r="AZ3222" s="2"/>
      <c r="BA3222" s="2"/>
      <c r="BB3222" s="2"/>
    </row>
    <row r="3223" ht="204.75" customHeight="1">
      <c r="A3223" s="1">
        <v>219.0</v>
      </c>
      <c r="B3223" s="2" t="s">
        <v>9620</v>
      </c>
      <c r="C3223" s="2">
        <f>IFERROR(__xludf.DUMMYFUNCTION("split(B3223,""_"")"),1907.0)</f>
        <v>1907</v>
      </c>
      <c r="D3223" s="2" t="str">
        <f>IFERROR(__xludf.DUMMYFUNCTION("""COMPUTED_VALUE"""),"NTV")</f>
        <v>NTV</v>
      </c>
      <c r="E3223" s="2" t="str">
        <f>IFERROR(__xludf.DUMMYFUNCTION("""COMPUTED_VALUE"""),"日22")</f>
        <v>日22</v>
      </c>
      <c r="F3223" s="2" t="s">
        <v>9621</v>
      </c>
      <c r="G3223" s="2" t="s">
        <v>9640</v>
      </c>
      <c r="H3223" s="1">
        <v>18.0</v>
      </c>
      <c r="I3223" s="1" t="s">
        <v>5370</v>
      </c>
      <c r="J3223" s="1" t="s">
        <v>82</v>
      </c>
      <c r="K3223" s="2" t="s">
        <v>9641</v>
      </c>
      <c r="L3223" s="11" t="s">
        <v>9642</v>
      </c>
      <c r="M3223" s="2" t="str">
        <f>IFERROR(__xludf.DUMMYFUNCTION("split(split(K3223,""【"",false),""公式LINE"",false)"),"南（田中哲司）は、５年前に高知で起こった少女殺害事件の犯人だと田宮（生瀬勝久）に襲いかかる！翔太（田中圭）に語った引っ越してきた本当の理由とは!?  黒島(西野七瀬)は連絡が取れなくなった二階堂（横浜流星）を心配するが、彼は尾野（奈緒）の部屋にいて…!?  独白動画に隠された秘密、佐野（安藤政信）と久住（袴田吉彦）の関係と謎多き佐野の正体…明らかになる事実とともに、ＡＩ分析で浮かび上がる犯人像とは!?")</f>
        <v>南（田中哲司）は、５年前に高知で起こった少女殺害事件の犯人だと田宮（生瀬勝久）に襲いかかる！翔太（田中圭）に語った引っ越してきた本当の理由とは!?  黒島(西野七瀬)は連絡が取れなくなった二階堂（横浜流星）を心配するが、彼は尾野（奈緒）の部屋にいて…!?  独白動画に隠された秘密、佐野（安藤政信）と久住（袴田吉彦）の関係と謎多き佐野の正体…明らかになる事実とともに、ＡＩ分析で浮かび上がる犯人像とは!?</v>
      </c>
      <c r="N3223" s="2"/>
      <c r="O3223" s="2"/>
      <c r="P3223" s="2"/>
      <c r="Q3223" s="2"/>
      <c r="R3223" s="2"/>
      <c r="S3223" s="2"/>
      <c r="T3223" s="2"/>
      <c r="U3223" s="2"/>
      <c r="V3223" s="2"/>
      <c r="W3223" s="2"/>
      <c r="X3223" s="2"/>
      <c r="Y3223" s="2"/>
      <c r="Z3223" s="2"/>
      <c r="AA3223" s="2"/>
      <c r="AB3223" s="2"/>
      <c r="AC3223" s="2"/>
      <c r="AD3223" s="2"/>
      <c r="AE3223" s="2"/>
      <c r="AF3223" s="2"/>
      <c r="AG3223" s="2"/>
      <c r="AH3223" s="2"/>
      <c r="AI3223" s="2"/>
      <c r="AJ3223" s="2"/>
      <c r="AK3223" s="2"/>
      <c r="AL3223" s="2"/>
      <c r="AM3223" s="2"/>
      <c r="AN3223" s="2"/>
      <c r="AO3223" s="2"/>
      <c r="AP3223" s="2"/>
      <c r="AQ3223" s="2"/>
      <c r="AR3223" s="2"/>
      <c r="AS3223" s="2"/>
      <c r="AT3223" s="2"/>
      <c r="AU3223" s="2"/>
      <c r="AV3223" s="2"/>
      <c r="AW3223" s="2"/>
      <c r="AX3223" s="2"/>
      <c r="AY3223" s="2"/>
      <c r="AZ3223" s="2"/>
      <c r="BA3223" s="2"/>
      <c r="BB3223" s="2"/>
    </row>
    <row r="3224" ht="204.75" customHeight="1">
      <c r="A3224" s="1">
        <v>220.0</v>
      </c>
      <c r="B3224" s="2" t="s">
        <v>9620</v>
      </c>
      <c r="C3224" s="2">
        <f>IFERROR(__xludf.DUMMYFUNCTION("split(B3224,""_"")"),1907.0)</f>
        <v>1907</v>
      </c>
      <c r="D3224" s="2" t="str">
        <f>IFERROR(__xludf.DUMMYFUNCTION("""COMPUTED_VALUE"""),"NTV")</f>
        <v>NTV</v>
      </c>
      <c r="E3224" s="2" t="str">
        <f>IFERROR(__xludf.DUMMYFUNCTION("""COMPUTED_VALUE"""),"日22")</f>
        <v>日22</v>
      </c>
      <c r="F3224" s="2" t="s">
        <v>9621</v>
      </c>
      <c r="G3224" s="2" t="s">
        <v>9643</v>
      </c>
      <c r="H3224" s="1">
        <v>19.0</v>
      </c>
      <c r="I3224" s="1" t="s">
        <v>5374</v>
      </c>
      <c r="J3224" s="1" t="s">
        <v>82</v>
      </c>
      <c r="K3224" s="2" t="s">
        <v>9644</v>
      </c>
      <c r="L3224" s="11" t="s">
        <v>9645</v>
      </c>
      <c r="M3224" s="2" t="str">
        <f>IFERROR(__xludf.DUMMYFUNCTION("split(split(K3224,""【"",false),""公式LINE"",false)"),"二階堂（横浜流星）のAIは、黒島(西野七瀬)が犯人の有力候補と分析。疑う翔太（田中圭）とかばう二階堂は、険悪な雰囲気に。  自首した田宮（生瀬勝久）が語り始めた殺人とは？さらに、次々と疑惑を深める証拠が出る尾野（奈緒）、罪を隠してきた藤井（片桐仁）と桜木（筧美和子）、突き落とされた久住（袴田吉彦）の運命は！？パズルの裏から見つけた手がかりで、翔太は黒幕をおびき出す作戦を決行！現れるのは、一体誰だ!?")</f>
        <v>二階堂（横浜流星）のAIは、黒島(西野七瀬)が犯人の有力候補と分析。疑う翔太（田中圭）とかばう二階堂は、険悪な雰囲気に。  自首した田宮（生瀬勝久）が語り始めた殺人とは？さらに、次々と疑惑を深める証拠が出る尾野（奈緒）、罪を隠してきた藤井（片桐仁）と桜木（筧美和子）、突き落とされた久住（袴田吉彦）の運命は！？パズルの裏から見つけた手がかりで、翔太は黒幕をおびき出す作戦を決行！現れるのは、一体誰だ!?</v>
      </c>
      <c r="N3224" s="2"/>
      <c r="O3224" s="2"/>
      <c r="P3224" s="2"/>
      <c r="Q3224" s="2"/>
      <c r="R3224" s="2"/>
      <c r="S3224" s="2"/>
      <c r="T3224" s="2"/>
      <c r="U3224" s="2"/>
      <c r="V3224" s="2"/>
      <c r="W3224" s="2"/>
      <c r="X3224" s="2"/>
      <c r="Y3224" s="2"/>
      <c r="Z3224" s="2"/>
      <c r="AA3224" s="2"/>
      <c r="AB3224" s="2"/>
      <c r="AC3224" s="2"/>
      <c r="AD3224" s="2"/>
      <c r="AE3224" s="2"/>
      <c r="AF3224" s="2"/>
      <c r="AG3224" s="2"/>
      <c r="AH3224" s="2"/>
      <c r="AI3224" s="2"/>
      <c r="AJ3224" s="2"/>
      <c r="AK3224" s="2"/>
      <c r="AL3224" s="2"/>
      <c r="AM3224" s="2"/>
      <c r="AN3224" s="2"/>
      <c r="AO3224" s="2"/>
      <c r="AP3224" s="2"/>
      <c r="AQ3224" s="2"/>
      <c r="AR3224" s="2"/>
      <c r="AS3224" s="2"/>
      <c r="AT3224" s="2"/>
      <c r="AU3224" s="2"/>
      <c r="AV3224" s="2"/>
      <c r="AW3224" s="2"/>
      <c r="AX3224" s="2"/>
      <c r="AY3224" s="2"/>
      <c r="AZ3224" s="2"/>
      <c r="BA3224" s="2"/>
      <c r="BB3224" s="2"/>
    </row>
    <row r="3225" ht="204.75" customHeight="1">
      <c r="A3225" s="1">
        <v>221.0</v>
      </c>
      <c r="B3225" s="2" t="s">
        <v>9620</v>
      </c>
      <c r="C3225" s="2">
        <f>IFERROR(__xludf.DUMMYFUNCTION("split(B3225,""_"")"),1907.0)</f>
        <v>1907</v>
      </c>
      <c r="D3225" s="2" t="str">
        <f>IFERROR(__xludf.DUMMYFUNCTION("""COMPUTED_VALUE"""),"NTV")</f>
        <v>NTV</v>
      </c>
      <c r="E3225" s="2" t="str">
        <f>IFERROR(__xludf.DUMMYFUNCTION("""COMPUTED_VALUE"""),"日22")</f>
        <v>日22</v>
      </c>
      <c r="F3225" s="2" t="s">
        <v>9621</v>
      </c>
      <c r="G3225" s="2" t="s">
        <v>9646</v>
      </c>
      <c r="H3225" s="1">
        <v>20.0</v>
      </c>
      <c r="I3225" s="1" t="s">
        <v>9647</v>
      </c>
      <c r="J3225" s="1" t="s">
        <v>82</v>
      </c>
      <c r="K3225" s="2" t="s">
        <v>9648</v>
      </c>
      <c r="L3225" s="11" t="s">
        <v>9649</v>
      </c>
      <c r="M3225" s="2" t="str">
        <f>IFERROR(__xludf.DUMMYFUNCTION("split(split(K3225,""【"",false),""公式LINE"",false)"),"二階堂（横浜流星）に締め落とされた翔太（田中圭）が目を覚ますと、両手足は拘束され、腕に点滴の針が刺さっていた。隣には、同じように拘束された黒島（西野七瀬）がいる。混乱する2人の前に、二階堂が現れ…!?  木下(山田真歩)は西村(和田聰宏)に、床島(竹中直人)殺害を問い詰め…。  交換殺人ゲームの全貌が、ついに明らかに！！連続殺人鬼は誰だ！？ラスト1秒まで衝撃の連続!見届けるのは、あなたの番です。")</f>
        <v>二階堂（横浜流星）に締め落とされた翔太（田中圭）が目を覚ますと、両手足は拘束され、腕に点滴の針が刺さっていた。隣には、同じように拘束された黒島（西野七瀬）がいる。混乱する2人の前に、二階堂が現れ…!?  木下(山田真歩)は西村(和田聰宏)に、床島(竹中直人)殺害を問い詰め…。  交換殺人ゲームの全貌が、ついに明らかに！！連続殺人鬼は誰だ！？ラスト1秒まで衝撃の連続!見届けるのは、あなたの番です。</v>
      </c>
      <c r="N3225" s="2"/>
      <c r="O3225" s="2"/>
      <c r="P3225" s="2"/>
      <c r="Q3225" s="2"/>
      <c r="R3225" s="2"/>
      <c r="S3225" s="2"/>
      <c r="T3225" s="2"/>
      <c r="U3225" s="2"/>
      <c r="V3225" s="2"/>
      <c r="W3225" s="2"/>
      <c r="X3225" s="2"/>
      <c r="Y3225" s="2"/>
      <c r="Z3225" s="2"/>
      <c r="AA3225" s="2"/>
      <c r="AB3225" s="2"/>
      <c r="AC3225" s="2"/>
      <c r="AD3225" s="2"/>
      <c r="AE3225" s="2"/>
      <c r="AF3225" s="2"/>
      <c r="AG3225" s="2"/>
      <c r="AH3225" s="2"/>
      <c r="AI3225" s="2"/>
      <c r="AJ3225" s="2"/>
      <c r="AK3225" s="2"/>
      <c r="AL3225" s="2"/>
      <c r="AM3225" s="2"/>
      <c r="AN3225" s="2"/>
      <c r="AO3225" s="2"/>
      <c r="AP3225" s="2"/>
      <c r="AQ3225" s="2"/>
      <c r="AR3225" s="2"/>
      <c r="AS3225" s="2"/>
      <c r="AT3225" s="2"/>
      <c r="AU3225" s="2"/>
      <c r="AV3225" s="2"/>
      <c r="AW3225" s="2"/>
      <c r="AX3225" s="2"/>
      <c r="AY3225" s="2"/>
      <c r="AZ3225" s="2"/>
      <c r="BA3225" s="2"/>
      <c r="BB3225" s="2"/>
    </row>
    <row r="3226" ht="204.75" customHeight="1">
      <c r="A3226" s="1">
        <v>255.0</v>
      </c>
      <c r="B3226" s="2" t="s">
        <v>9650</v>
      </c>
      <c r="C3226" s="2">
        <f>IFERROR(__xludf.DUMMYFUNCTION("split(B3226,""_"")"),1904.0)</f>
        <v>1904</v>
      </c>
      <c r="D3226" s="2" t="str">
        <f>IFERROR(__xludf.DUMMYFUNCTION("""COMPUTED_VALUE"""),"NTV")</f>
        <v>NTV</v>
      </c>
      <c r="E3226" s="2" t="str">
        <f>IFERROR(__xludf.DUMMYFUNCTION("""COMPUTED_VALUE"""),"水22")</f>
        <v>水22</v>
      </c>
      <c r="F3226" s="2" t="s">
        <v>9651</v>
      </c>
      <c r="G3226" s="2" t="s">
        <v>9652</v>
      </c>
      <c r="H3226" s="1">
        <v>1.0</v>
      </c>
      <c r="I3226" s="1" t="s">
        <v>3</v>
      </c>
      <c r="J3226" s="1" t="s">
        <v>82</v>
      </c>
      <c r="K3226" s="2" t="s">
        <v>9653</v>
      </c>
      <c r="L3226" s="11" t="s">
        <v>9654</v>
      </c>
      <c r="M3226" s="2" t="str">
        <f>IFERROR(__xludf.DUMMYFUNCTION("split(split(K3226,""【"",false),""公式LINE"",false)"),"はるか（中条あやみ）は「元ヤン」の新米ナース。やる気はあるが空回りしがちで指導係の先輩ナース・夏美（水川あさみ）から叱られてばかり。入院中の高校生・潤也（鈴木仁）の担当になったものの、問題行動ばかり起こす潤也と早速バチバチに…。一方「結婚退職」を目標に婚活中の夏美は、見合い相手から「結婚したら仕事は辞めて家庭に入ってほしい」と言われ、二つ返事で承諾してしまう。そんな中、潤也が病院からいなくなった!")</f>
        <v>はるか（中条あやみ）は「元ヤン」の新米ナース。やる気はあるが空回りしがちで指導係の先輩ナース・夏美（水川あさみ）から叱られてばかり。入院中の高校生・潤也（鈴木仁）の担当になったものの、問題行動ばかり起こす潤也と早速バチバチに…。一方「結婚退職」を目標に婚活中の夏美は、見合い相手から「結婚したら仕事は辞めて家庭に入ってほしい」と言われ、二つ返事で承諾してしまう。そんな中、潤也が病院からいなくなった!</v>
      </c>
      <c r="N3226" s="2"/>
      <c r="O3226" s="2"/>
      <c r="P3226" s="2"/>
      <c r="Q3226" s="2"/>
      <c r="R3226" s="2"/>
      <c r="S3226" s="2"/>
      <c r="T3226" s="2"/>
      <c r="U3226" s="2"/>
      <c r="V3226" s="2"/>
      <c r="W3226" s="2"/>
      <c r="X3226" s="2"/>
      <c r="Y3226" s="2"/>
      <c r="Z3226" s="2"/>
      <c r="AA3226" s="2"/>
      <c r="AB3226" s="2"/>
      <c r="AC3226" s="2"/>
      <c r="AD3226" s="2"/>
      <c r="AE3226" s="2"/>
      <c r="AF3226" s="2"/>
      <c r="AG3226" s="2"/>
      <c r="AH3226" s="2"/>
      <c r="AI3226" s="2"/>
      <c r="AJ3226" s="2"/>
      <c r="AK3226" s="2"/>
      <c r="AL3226" s="2"/>
      <c r="AM3226" s="2"/>
      <c r="AN3226" s="2"/>
      <c r="AO3226" s="2"/>
      <c r="AP3226" s="2"/>
      <c r="AQ3226" s="2"/>
      <c r="AR3226" s="2"/>
      <c r="AS3226" s="2"/>
      <c r="AT3226" s="2"/>
      <c r="AU3226" s="2"/>
      <c r="AV3226" s="2"/>
      <c r="AW3226" s="2"/>
      <c r="AX3226" s="2"/>
      <c r="AY3226" s="2"/>
      <c r="AZ3226" s="2"/>
      <c r="BA3226" s="2"/>
      <c r="BB3226" s="2"/>
    </row>
    <row r="3227" ht="204.75" customHeight="1">
      <c r="A3227" s="1">
        <v>256.0</v>
      </c>
      <c r="B3227" s="2" t="s">
        <v>9650</v>
      </c>
      <c r="C3227" s="2">
        <f>IFERROR(__xludf.DUMMYFUNCTION("split(B3227,""_"")"),1904.0)</f>
        <v>1904</v>
      </c>
      <c r="D3227" s="2" t="str">
        <f>IFERROR(__xludf.DUMMYFUNCTION("""COMPUTED_VALUE"""),"NTV")</f>
        <v>NTV</v>
      </c>
      <c r="E3227" s="2" t="str">
        <f>IFERROR(__xludf.DUMMYFUNCTION("""COMPUTED_VALUE"""),"水22")</f>
        <v>水22</v>
      </c>
      <c r="F3227" s="2" t="s">
        <v>9651</v>
      </c>
      <c r="G3227" s="2" t="s">
        <v>9655</v>
      </c>
      <c r="H3227" s="1">
        <v>2.0</v>
      </c>
      <c r="I3227" s="1" t="s">
        <v>7</v>
      </c>
      <c r="J3227" s="1" t="s">
        <v>82</v>
      </c>
      <c r="K3227" s="2" t="s">
        <v>9656</v>
      </c>
      <c r="L3227" s="11" t="s">
        <v>9657</v>
      </c>
      <c r="M3227" s="2" t="str">
        <f>IFERROR(__xludf.DUMMYFUNCTION("split(split(K3227,""【"",false),""公式LINE"",false)"),"中条あやみ、水川あさみ、小瀧望（ジャニーズWEST)、安田顕、沢村一樹、片瀬那奈、鈴木紗理奈、小松彩夏、山崎萌香、三宅亮輔")</f>
        <v>中条あやみ、水川あさみ、小瀧望（ジャニーズWEST)、安田顕、沢村一樹、片瀬那奈、鈴木紗理奈、小松彩夏、山崎萌香、三宅亮輔</v>
      </c>
      <c r="N3227" s="2"/>
      <c r="O3227" s="2"/>
      <c r="P3227" s="2"/>
      <c r="Q3227" s="2"/>
      <c r="R3227" s="2"/>
      <c r="S3227" s="2"/>
      <c r="T3227" s="2"/>
      <c r="U3227" s="2"/>
      <c r="V3227" s="2"/>
      <c r="W3227" s="2"/>
      <c r="X3227" s="2"/>
      <c r="Y3227" s="2"/>
      <c r="Z3227" s="2"/>
      <c r="AA3227" s="2"/>
      <c r="AB3227" s="2"/>
      <c r="AC3227" s="2"/>
      <c r="AD3227" s="2"/>
      <c r="AE3227" s="2"/>
      <c r="AF3227" s="2"/>
      <c r="AG3227" s="2"/>
      <c r="AH3227" s="2"/>
      <c r="AI3227" s="2"/>
      <c r="AJ3227" s="2"/>
      <c r="AK3227" s="2"/>
      <c r="AL3227" s="2"/>
      <c r="AM3227" s="2"/>
      <c r="AN3227" s="2"/>
      <c r="AO3227" s="2"/>
      <c r="AP3227" s="2"/>
      <c r="AQ3227" s="2"/>
      <c r="AR3227" s="2"/>
      <c r="AS3227" s="2"/>
      <c r="AT3227" s="2"/>
      <c r="AU3227" s="2"/>
      <c r="AV3227" s="2"/>
      <c r="AW3227" s="2"/>
      <c r="AX3227" s="2"/>
      <c r="AY3227" s="2"/>
      <c r="AZ3227" s="2"/>
      <c r="BA3227" s="2"/>
      <c r="BB3227" s="2"/>
    </row>
    <row r="3228" ht="204.75" customHeight="1">
      <c r="A3228" s="1">
        <v>257.0</v>
      </c>
      <c r="B3228" s="2" t="s">
        <v>9650</v>
      </c>
      <c r="C3228" s="2">
        <f>IFERROR(__xludf.DUMMYFUNCTION("split(B3228,""_"")"),1904.0)</f>
        <v>1904</v>
      </c>
      <c r="D3228" s="2" t="str">
        <f>IFERROR(__xludf.DUMMYFUNCTION("""COMPUTED_VALUE"""),"NTV")</f>
        <v>NTV</v>
      </c>
      <c r="E3228" s="2" t="str">
        <f>IFERROR(__xludf.DUMMYFUNCTION("""COMPUTED_VALUE"""),"水22")</f>
        <v>水22</v>
      </c>
      <c r="F3228" s="2" t="s">
        <v>9651</v>
      </c>
      <c r="G3228" s="2" t="s">
        <v>9658</v>
      </c>
      <c r="H3228" s="1">
        <v>3.0</v>
      </c>
      <c r="I3228" s="1" t="s">
        <v>10</v>
      </c>
      <c r="J3228" s="1" t="s">
        <v>82</v>
      </c>
      <c r="K3228" s="2" t="s">
        <v>9659</v>
      </c>
      <c r="L3228" s="11" t="s">
        <v>9660</v>
      </c>
      <c r="M3228" s="2" t="str">
        <f>IFERROR(__xludf.DUMMYFUNCTION("split(split(K3228,""【"",false),""公式LINE"",false)"),"新米ナースのはるか（中条あやみ）は、指導係の夏美（水川あさみ）や同期の斎藤（小瀧望）と共に初めての夜勤を任される。張り切るはるかだったが、誰もいないはずの病室からナースコールが鳴り、夜の病棟で大騒動が！ある日、一人の女性・加奈（財前直見）が入院してくる。元ナースという加奈は、はるかや夏美の仕事ぶりにダメ出しを連発し、二人ともタジタジに……。だが、加奈がステージ４のがんであることが判明する……!")</f>
        <v>新米ナースのはるか（中条あやみ）は、指導係の夏美（水川あさみ）や同期の斎藤（小瀧望）と共に初めての夜勤を任される。張り切るはるかだったが、誰もいないはずの病室からナースコールが鳴り、夜の病棟で大騒動が！ある日、一人の女性・加奈（財前直見）が入院してくる。元ナースという加奈は、はるかや夏美の仕事ぶりにダメ出しを連発し、二人ともタジタジに……。だが、加奈がステージ４のがんであることが判明する……!</v>
      </c>
      <c r="N3228" s="2"/>
      <c r="O3228" s="2"/>
      <c r="P3228" s="2"/>
      <c r="Q3228" s="2"/>
      <c r="R3228" s="2"/>
      <c r="S3228" s="2"/>
      <c r="T3228" s="2"/>
      <c r="U3228" s="2"/>
      <c r="V3228" s="2"/>
      <c r="W3228" s="2"/>
      <c r="X3228" s="2"/>
      <c r="Y3228" s="2"/>
      <c r="Z3228" s="2"/>
      <c r="AA3228" s="2"/>
      <c r="AB3228" s="2"/>
      <c r="AC3228" s="2"/>
      <c r="AD3228" s="2"/>
      <c r="AE3228" s="2"/>
      <c r="AF3228" s="2"/>
      <c r="AG3228" s="2"/>
      <c r="AH3228" s="2"/>
      <c r="AI3228" s="2"/>
      <c r="AJ3228" s="2"/>
      <c r="AK3228" s="2"/>
      <c r="AL3228" s="2"/>
      <c r="AM3228" s="2"/>
      <c r="AN3228" s="2"/>
      <c r="AO3228" s="2"/>
      <c r="AP3228" s="2"/>
      <c r="AQ3228" s="2"/>
      <c r="AR3228" s="2"/>
      <c r="AS3228" s="2"/>
      <c r="AT3228" s="2"/>
      <c r="AU3228" s="2"/>
      <c r="AV3228" s="2"/>
      <c r="AW3228" s="2"/>
      <c r="AX3228" s="2"/>
      <c r="AY3228" s="2"/>
      <c r="AZ3228" s="2"/>
      <c r="BA3228" s="2"/>
      <c r="BB3228" s="2"/>
    </row>
    <row r="3229" ht="204.75" customHeight="1">
      <c r="A3229" s="1">
        <v>258.0</v>
      </c>
      <c r="B3229" s="2" t="s">
        <v>9650</v>
      </c>
      <c r="C3229" s="2">
        <f>IFERROR(__xludf.DUMMYFUNCTION("split(B3229,""_"")"),1904.0)</f>
        <v>1904</v>
      </c>
      <c r="D3229" s="2" t="str">
        <f>IFERROR(__xludf.DUMMYFUNCTION("""COMPUTED_VALUE"""),"NTV")</f>
        <v>NTV</v>
      </c>
      <c r="E3229" s="2" t="str">
        <f>IFERROR(__xludf.DUMMYFUNCTION("""COMPUTED_VALUE"""),"水22")</f>
        <v>水22</v>
      </c>
      <c r="F3229" s="2" t="s">
        <v>9651</v>
      </c>
      <c r="G3229" s="2" t="s">
        <v>9661</v>
      </c>
      <c r="H3229" s="1">
        <v>4.0</v>
      </c>
      <c r="I3229" s="1" t="s">
        <v>14</v>
      </c>
      <c r="J3229" s="1" t="s">
        <v>82</v>
      </c>
      <c r="K3229" s="2" t="s">
        <v>9662</v>
      </c>
      <c r="L3229" s="11" t="s">
        <v>9663</v>
      </c>
      <c r="M3229" s="2" t="str">
        <f>IFERROR(__xludf.DUMMYFUNCTION("split(split(K3229,""【"",false),""公式LINE"",false)"),"夏美（水川あさみ）は、久々の合コンに気合が入る。しかし、急遽代打で参加することになったはるか（中条あやみ）が「初めての合コン」に浮かれてしまい…。ある日、本城（沢村一樹）の娘・紗耶（川島鈴遥）が虫垂炎で入院してくる。７年前に離婚して離れて暮らしている娘に、どう接したらいいのか悩む本城。しかも紗耶はメイクもネイルもバッチリの女子高生ギャルだった！さらに、紗耶は手術をかたくなに拒否し……!")</f>
        <v>夏美（水川あさみ）は、久々の合コンに気合が入る。しかし、急遽代打で参加することになったはるか（中条あやみ）が「初めての合コン」に浮かれてしまい…。ある日、本城（沢村一樹）の娘・紗耶（川島鈴遥）が虫垂炎で入院してくる。７年前に離婚して離れて暮らしている娘に、どう接したらいいのか悩む本城。しかも紗耶はメイクもネイルもバッチリの女子高生ギャルだった！さらに、紗耶は手術をかたくなに拒否し……!</v>
      </c>
      <c r="N3229" s="2"/>
      <c r="O3229" s="2"/>
      <c r="P3229" s="2"/>
      <c r="Q3229" s="2"/>
      <c r="R3229" s="2"/>
      <c r="S3229" s="2"/>
      <c r="T3229" s="2"/>
      <c r="U3229" s="2"/>
      <c r="V3229" s="2"/>
      <c r="W3229" s="2"/>
      <c r="X3229" s="2"/>
      <c r="Y3229" s="2"/>
      <c r="Z3229" s="2"/>
      <c r="AA3229" s="2"/>
      <c r="AB3229" s="2"/>
      <c r="AC3229" s="2"/>
      <c r="AD3229" s="2"/>
      <c r="AE3229" s="2"/>
      <c r="AF3229" s="2"/>
      <c r="AG3229" s="2"/>
      <c r="AH3229" s="2"/>
      <c r="AI3229" s="2"/>
      <c r="AJ3229" s="2"/>
      <c r="AK3229" s="2"/>
      <c r="AL3229" s="2"/>
      <c r="AM3229" s="2"/>
      <c r="AN3229" s="2"/>
      <c r="AO3229" s="2"/>
      <c r="AP3229" s="2"/>
      <c r="AQ3229" s="2"/>
      <c r="AR3229" s="2"/>
      <c r="AS3229" s="2"/>
      <c r="AT3229" s="2"/>
      <c r="AU3229" s="2"/>
      <c r="AV3229" s="2"/>
      <c r="AW3229" s="2"/>
      <c r="AX3229" s="2"/>
      <c r="AY3229" s="2"/>
      <c r="AZ3229" s="2"/>
      <c r="BA3229" s="2"/>
      <c r="BB3229" s="2"/>
    </row>
    <row r="3230" ht="204.75" customHeight="1">
      <c r="A3230" s="1">
        <v>259.0</v>
      </c>
      <c r="B3230" s="2" t="s">
        <v>9650</v>
      </c>
      <c r="C3230" s="2">
        <f>IFERROR(__xludf.DUMMYFUNCTION("split(B3230,""_"")"),1904.0)</f>
        <v>1904</v>
      </c>
      <c r="D3230" s="2" t="str">
        <f>IFERROR(__xludf.DUMMYFUNCTION("""COMPUTED_VALUE"""),"NTV")</f>
        <v>NTV</v>
      </c>
      <c r="E3230" s="2" t="str">
        <f>IFERROR(__xludf.DUMMYFUNCTION("""COMPUTED_VALUE"""),"水22")</f>
        <v>水22</v>
      </c>
      <c r="F3230" s="2" t="s">
        <v>9651</v>
      </c>
      <c r="G3230" s="2" t="s">
        <v>9664</v>
      </c>
      <c r="H3230" s="1">
        <v>5.0</v>
      </c>
      <c r="I3230" s="1" t="s">
        <v>17</v>
      </c>
      <c r="J3230" s="1" t="s">
        <v>82</v>
      </c>
      <c r="K3230" s="2" t="s">
        <v>9665</v>
      </c>
      <c r="L3230" s="11" t="s">
        <v>9666</v>
      </c>
      <c r="M3230" s="2" t="str">
        <f>IFERROR(__xludf.DUMMYFUNCTION("split(split(K3230,""【"",false),""公式LINE"",false)"),"はるか（中条あやみ）は斎藤（小瀧望）から突然映画に誘われ、「これって、デート！？」と一人盛り上がる。その映画館で、主任の真由（片瀬那奈）が、デートしている姿を目撃。デートの相手は、同じ病院の脳外科医・清水（東根作寿英）だった。だが、そのことを夏美（水川あさみ）に報告すると、「清水先生には奥さんがいる」と知らされる!  “不倫の恋”に悩む真由。それを知ったはるかと夏美は……。")</f>
        <v>はるか（中条あやみ）は斎藤（小瀧望）から突然映画に誘われ、「これって、デート！？」と一人盛り上がる。その映画館で、主任の真由（片瀬那奈）が、デートしている姿を目撃。デートの相手は、同じ病院の脳外科医・清水（東根作寿英）だった。だが、そのことを夏美（水川あさみ）に報告すると、「清水先生には奥さんがいる」と知らされる!  “不倫の恋”に悩む真由。それを知ったはるかと夏美は……。</v>
      </c>
      <c r="N3230" s="2"/>
      <c r="O3230" s="2"/>
      <c r="P3230" s="2"/>
      <c r="Q3230" s="2"/>
      <c r="R3230" s="2"/>
      <c r="S3230" s="2"/>
      <c r="T3230" s="2"/>
      <c r="U3230" s="2"/>
      <c r="V3230" s="2"/>
      <c r="W3230" s="2"/>
      <c r="X3230" s="2"/>
      <c r="Y3230" s="2"/>
      <c r="Z3230" s="2"/>
      <c r="AA3230" s="2"/>
      <c r="AB3230" s="2"/>
      <c r="AC3230" s="2"/>
      <c r="AD3230" s="2"/>
      <c r="AE3230" s="2"/>
      <c r="AF3230" s="2"/>
      <c r="AG3230" s="2"/>
      <c r="AH3230" s="2"/>
      <c r="AI3230" s="2"/>
      <c r="AJ3230" s="2"/>
      <c r="AK3230" s="2"/>
      <c r="AL3230" s="2"/>
      <c r="AM3230" s="2"/>
      <c r="AN3230" s="2"/>
      <c r="AO3230" s="2"/>
      <c r="AP3230" s="2"/>
      <c r="AQ3230" s="2"/>
      <c r="AR3230" s="2"/>
      <c r="AS3230" s="2"/>
      <c r="AT3230" s="2"/>
      <c r="AU3230" s="2"/>
      <c r="AV3230" s="2"/>
      <c r="AW3230" s="2"/>
      <c r="AX3230" s="2"/>
      <c r="AY3230" s="2"/>
      <c r="AZ3230" s="2"/>
      <c r="BA3230" s="2"/>
      <c r="BB3230" s="2"/>
    </row>
    <row r="3231" ht="204.75" customHeight="1">
      <c r="A3231" s="1">
        <v>260.0</v>
      </c>
      <c r="B3231" s="2" t="s">
        <v>9650</v>
      </c>
      <c r="C3231" s="2">
        <f>IFERROR(__xludf.DUMMYFUNCTION("split(B3231,""_"")"),1904.0)</f>
        <v>1904</v>
      </c>
      <c r="D3231" s="2" t="str">
        <f>IFERROR(__xludf.DUMMYFUNCTION("""COMPUTED_VALUE"""),"NTV")</f>
        <v>NTV</v>
      </c>
      <c r="E3231" s="2" t="str">
        <f>IFERROR(__xludf.DUMMYFUNCTION("""COMPUTED_VALUE"""),"水22")</f>
        <v>水22</v>
      </c>
      <c r="F3231" s="2" t="s">
        <v>9651</v>
      </c>
      <c r="G3231" s="2" t="s">
        <v>9667</v>
      </c>
      <c r="H3231" s="1">
        <v>6.0</v>
      </c>
      <c r="I3231" s="1" t="s">
        <v>21</v>
      </c>
      <c r="J3231" s="1" t="s">
        <v>82</v>
      </c>
      <c r="K3231" s="2" t="s">
        <v>9668</v>
      </c>
      <c r="L3231" s="11" t="s">
        <v>9669</v>
      </c>
      <c r="M3231" s="2" t="str">
        <f>IFERROR(__xludf.DUMMYFUNCTION("split(split(K3231,""【"",false),""公式LINE"",false)"),"中条あやみ、水川あさみ、小瀧望（ジャニーズWEST)、安田顕、沢村一樹、片瀬那奈、鈴木紗理奈、小松彩夏、山崎萌香、三宅亮輔  金田明夫、梅沢昌代、田中幸太朗、富田望生、松熊つる松夏美（水川あさみ）の元お見合い相手・里中（田中幸太朗）が入院。再び心が揺れる夏美を見て、気が気でない本城(沢村一樹)。一方、後輩・七海(富田望生)から、恋の助言を受けたはるか（中条あやみ）は、鈍感すぎる斎藤（小瀧望）に気持ちをぶつけようと決意するが…？そんな時、わがまま放題の胡桃沢（金田明夫）が入院してきた。隙あらば病院を抜け出そ"&amp;"うとして二人を翻弄する…。はるかと夏美の恋模様が大きな転機を迎える!")</f>
        <v>中条あやみ、水川あさみ、小瀧望（ジャニーズWEST)、安田顕、沢村一樹、片瀬那奈、鈴木紗理奈、小松彩夏、山崎萌香、三宅亮輔  金田明夫、梅沢昌代、田中幸太朗、富田望生、松熊つる松夏美（水川あさみ）の元お見合い相手・里中（田中幸太朗）が入院。再び心が揺れる夏美を見て、気が気でない本城(沢村一樹)。一方、後輩・七海(富田望生)から、恋の助言を受けたはるか（中条あやみ）は、鈍感すぎる斎藤（小瀧望）に気持ちをぶつけようと決意するが…？そんな時、わがまま放題の胡桃沢（金田明夫）が入院してきた。隙あらば病院を抜け出そうとして二人を翻弄する…。はるかと夏美の恋模様が大きな転機を迎える!</v>
      </c>
      <c r="N3231" s="2"/>
      <c r="O3231" s="2"/>
      <c r="P3231" s="2"/>
      <c r="Q3231" s="2"/>
      <c r="R3231" s="2"/>
      <c r="S3231" s="2"/>
      <c r="T3231" s="2"/>
      <c r="U3231" s="2"/>
      <c r="V3231" s="2"/>
      <c r="W3231" s="2"/>
      <c r="X3231" s="2"/>
      <c r="Y3231" s="2"/>
      <c r="Z3231" s="2"/>
      <c r="AA3231" s="2"/>
      <c r="AB3231" s="2"/>
      <c r="AC3231" s="2"/>
      <c r="AD3231" s="2"/>
      <c r="AE3231" s="2"/>
      <c r="AF3231" s="2"/>
      <c r="AG3231" s="2"/>
      <c r="AH3231" s="2"/>
      <c r="AI3231" s="2"/>
      <c r="AJ3231" s="2"/>
      <c r="AK3231" s="2"/>
      <c r="AL3231" s="2"/>
      <c r="AM3231" s="2"/>
      <c r="AN3231" s="2"/>
      <c r="AO3231" s="2"/>
      <c r="AP3231" s="2"/>
      <c r="AQ3231" s="2"/>
      <c r="AR3231" s="2"/>
      <c r="AS3231" s="2"/>
      <c r="AT3231" s="2"/>
      <c r="AU3231" s="2"/>
      <c r="AV3231" s="2"/>
      <c r="AW3231" s="2"/>
      <c r="AX3231" s="2"/>
      <c r="AY3231" s="2"/>
      <c r="AZ3231" s="2"/>
      <c r="BA3231" s="2"/>
      <c r="BB3231" s="2"/>
    </row>
    <row r="3232" ht="204.75" customHeight="1">
      <c r="A3232" s="1">
        <v>261.0</v>
      </c>
      <c r="B3232" s="2" t="s">
        <v>9650</v>
      </c>
      <c r="C3232" s="2">
        <f>IFERROR(__xludf.DUMMYFUNCTION("split(B3232,""_"")"),1904.0)</f>
        <v>1904</v>
      </c>
      <c r="D3232" s="2" t="str">
        <f>IFERROR(__xludf.DUMMYFUNCTION("""COMPUTED_VALUE"""),"NTV")</f>
        <v>NTV</v>
      </c>
      <c r="E3232" s="2" t="str">
        <f>IFERROR(__xludf.DUMMYFUNCTION("""COMPUTED_VALUE"""),"水22")</f>
        <v>水22</v>
      </c>
      <c r="F3232" s="2" t="s">
        <v>9651</v>
      </c>
      <c r="G3232" s="2" t="s">
        <v>9670</v>
      </c>
      <c r="H3232" s="1">
        <v>7.0</v>
      </c>
      <c r="I3232" s="1" t="s">
        <v>25</v>
      </c>
      <c r="J3232" s="1" t="s">
        <v>82</v>
      </c>
      <c r="K3232" s="2" t="s">
        <v>9671</v>
      </c>
      <c r="L3232" s="11" t="s">
        <v>9672</v>
      </c>
      <c r="M3232" s="2" t="str">
        <f>IFERROR(__xludf.DUMMYFUNCTION("split(split(K3232,""【"",false),""公式LINE"",false)"),"斎藤（小瀧望）に告白するつもりが、酔った勢いでキスしてしまったはるか（中条あやみ）。キスをした記憶がないはるかに、斎藤はドギマギ…。一方、夏美（水川あさみ）と本城（沢村一樹）の二人は、順調に距離を縮め…。  そんな中、はるかはシングルマザーの先輩ナース・貴子（鈴木紗理奈）の息子・佑輔を一晩預かることに…。女手一つで仕事と子育てを両立させている貴子だったが、思わぬピンチに陥ってしまう…。")</f>
        <v>斎藤（小瀧望）に告白するつもりが、酔った勢いでキスしてしまったはるか（中条あやみ）。キスをした記憶がないはるかに、斎藤はドギマギ…。一方、夏美（水川あさみ）と本城（沢村一樹）の二人は、順調に距離を縮め…。  そんな中、はるかはシングルマザーの先輩ナース・貴子（鈴木紗理奈）の息子・佑輔を一晩預かることに…。女手一つで仕事と子育てを両立させている貴子だったが、思わぬピンチに陥ってしまう…。</v>
      </c>
      <c r="N3232" s="2"/>
      <c r="O3232" s="2"/>
      <c r="P3232" s="2"/>
      <c r="Q3232" s="2"/>
      <c r="R3232" s="2"/>
      <c r="S3232" s="2"/>
      <c r="T3232" s="2"/>
      <c r="U3232" s="2"/>
      <c r="V3232" s="2"/>
      <c r="W3232" s="2"/>
      <c r="X3232" s="2"/>
      <c r="Y3232" s="2"/>
      <c r="Z3232" s="2"/>
      <c r="AA3232" s="2"/>
      <c r="AB3232" s="2"/>
      <c r="AC3232" s="2"/>
      <c r="AD3232" s="2"/>
      <c r="AE3232" s="2"/>
      <c r="AF3232" s="2"/>
      <c r="AG3232" s="2"/>
      <c r="AH3232" s="2"/>
      <c r="AI3232" s="2"/>
      <c r="AJ3232" s="2"/>
      <c r="AK3232" s="2"/>
      <c r="AL3232" s="2"/>
      <c r="AM3232" s="2"/>
      <c r="AN3232" s="2"/>
      <c r="AO3232" s="2"/>
      <c r="AP3232" s="2"/>
      <c r="AQ3232" s="2"/>
      <c r="AR3232" s="2"/>
      <c r="AS3232" s="2"/>
      <c r="AT3232" s="2"/>
      <c r="AU3232" s="2"/>
      <c r="AV3232" s="2"/>
      <c r="AW3232" s="2"/>
      <c r="AX3232" s="2"/>
      <c r="AY3232" s="2"/>
      <c r="AZ3232" s="2"/>
      <c r="BA3232" s="2"/>
      <c r="BB3232" s="2"/>
    </row>
    <row r="3233" ht="204.75" customHeight="1">
      <c r="A3233" s="1">
        <v>262.0</v>
      </c>
      <c r="B3233" s="2" t="s">
        <v>9650</v>
      </c>
      <c r="C3233" s="2">
        <f>IFERROR(__xludf.DUMMYFUNCTION("split(B3233,""_"")"),1904.0)</f>
        <v>1904</v>
      </c>
      <c r="D3233" s="2" t="str">
        <f>IFERROR(__xludf.DUMMYFUNCTION("""COMPUTED_VALUE"""),"NTV")</f>
        <v>NTV</v>
      </c>
      <c r="E3233" s="2" t="str">
        <f>IFERROR(__xludf.DUMMYFUNCTION("""COMPUTED_VALUE"""),"水22")</f>
        <v>水22</v>
      </c>
      <c r="F3233" s="2" t="s">
        <v>9651</v>
      </c>
      <c r="G3233" s="2" t="s">
        <v>9673</v>
      </c>
      <c r="H3233" s="1">
        <v>8.0</v>
      </c>
      <c r="I3233" s="1" t="s">
        <v>29</v>
      </c>
      <c r="J3233" s="1" t="s">
        <v>82</v>
      </c>
      <c r="K3233" s="2" t="s">
        <v>9674</v>
      </c>
      <c r="L3233" s="11" t="s">
        <v>9675</v>
      </c>
      <c r="M3233" s="2" t="str">
        <f>IFERROR(__xludf.DUMMYFUNCTION("split(split(K3233,""【"",false),""公式LINE"",false)"),"お互いの恋の相手が斎藤（小瀧望）と本城（沢村一樹）だと知ってしまったはるか（中条あやみ）と夏美（水川あさみ）。柳楽（安田顕）も４人の関係を知るが、彼自身は妻から自宅を追い出されてしまっていた。そんな中、病院には柳楽が１３年前にも手術をした沙織（足立梨花）が腸閉塞で入院してきた。一週間後に結婚式を控えていた沙織は、症状が収まり無事退院することになったが、結婚式当日、起きてはいけない事態が…。")</f>
        <v>お互いの恋の相手が斎藤（小瀧望）と本城（沢村一樹）だと知ってしまったはるか（中条あやみ）と夏美（水川あさみ）。柳楽（安田顕）も４人の関係を知るが、彼自身は妻から自宅を追い出されてしまっていた。そんな中、病院には柳楽が１３年前にも手術をした沙織（足立梨花）が腸閉塞で入院してきた。一週間後に結婚式を控えていた沙織は、症状が収まり無事退院することになったが、結婚式当日、起きてはいけない事態が…。</v>
      </c>
      <c r="N3233" s="2"/>
      <c r="O3233" s="2"/>
      <c r="P3233" s="2"/>
      <c r="Q3233" s="2"/>
      <c r="R3233" s="2"/>
      <c r="S3233" s="2"/>
      <c r="T3233" s="2"/>
      <c r="U3233" s="2"/>
      <c r="V3233" s="2"/>
      <c r="W3233" s="2"/>
      <c r="X3233" s="2"/>
      <c r="Y3233" s="2"/>
      <c r="Z3233" s="2"/>
      <c r="AA3233" s="2"/>
      <c r="AB3233" s="2"/>
      <c r="AC3233" s="2"/>
      <c r="AD3233" s="2"/>
      <c r="AE3233" s="2"/>
      <c r="AF3233" s="2"/>
      <c r="AG3233" s="2"/>
      <c r="AH3233" s="2"/>
      <c r="AI3233" s="2"/>
      <c r="AJ3233" s="2"/>
      <c r="AK3233" s="2"/>
      <c r="AL3233" s="2"/>
      <c r="AM3233" s="2"/>
      <c r="AN3233" s="2"/>
      <c r="AO3233" s="2"/>
      <c r="AP3233" s="2"/>
      <c r="AQ3233" s="2"/>
      <c r="AR3233" s="2"/>
      <c r="AS3233" s="2"/>
      <c r="AT3233" s="2"/>
      <c r="AU3233" s="2"/>
      <c r="AV3233" s="2"/>
      <c r="AW3233" s="2"/>
      <c r="AX3233" s="2"/>
      <c r="AY3233" s="2"/>
      <c r="AZ3233" s="2"/>
      <c r="BA3233" s="2"/>
      <c r="BB3233" s="2"/>
    </row>
    <row r="3234" ht="204.75" customHeight="1">
      <c r="A3234" s="1">
        <v>263.0</v>
      </c>
      <c r="B3234" s="2" t="s">
        <v>9650</v>
      </c>
      <c r="C3234" s="2">
        <f>IFERROR(__xludf.DUMMYFUNCTION("split(B3234,""_"")"),1904.0)</f>
        <v>1904</v>
      </c>
      <c r="D3234" s="2" t="str">
        <f>IFERROR(__xludf.DUMMYFUNCTION("""COMPUTED_VALUE"""),"NTV")</f>
        <v>NTV</v>
      </c>
      <c r="E3234" s="2" t="str">
        <f>IFERROR(__xludf.DUMMYFUNCTION("""COMPUTED_VALUE"""),"水22")</f>
        <v>水22</v>
      </c>
      <c r="F3234" s="2" t="s">
        <v>9651</v>
      </c>
      <c r="G3234" s="2" t="s">
        <v>9676</v>
      </c>
      <c r="H3234" s="1">
        <v>9.0</v>
      </c>
      <c r="I3234" s="1" t="s">
        <v>33</v>
      </c>
      <c r="J3234" s="1" t="s">
        <v>82</v>
      </c>
      <c r="K3234" s="2" t="s">
        <v>9677</v>
      </c>
      <c r="L3234" s="11" t="s">
        <v>9678</v>
      </c>
      <c r="M3234" s="2" t="str">
        <f>IFERROR(__xludf.DUMMYFUNCTION("split(split(K3234,""【"",false),""公式LINE"",false)"),"斎藤（小瀧望）と両想いだという事に気付き、舞い上がるはるか（中条あやみ）。一方、夏美（水川あさみ）と本城（沢村一樹）の交際も順調に進んでいた。ある日、斎藤の父・渡（寺脇康文）と母・芳子（藤吉久美子）が上京してくる。はるかは斎藤と一緒に両親の東京見物につきあうことになったが、斎藤と渡の間に確執があることに気づく…。そんな中、渡が突然腹痛を訴える！！父と息子、それぞれの想いが交錯する第９話！")</f>
        <v>斎藤（小瀧望）と両想いだという事に気付き、舞い上がるはるか（中条あやみ）。一方、夏美（水川あさみ）と本城（沢村一樹）の交際も順調に進んでいた。ある日、斎藤の父・渡（寺脇康文）と母・芳子（藤吉久美子）が上京してくる。はるかは斎藤と一緒に両親の東京見物につきあうことになったが、斎藤と渡の間に確執があることに気づく…。そんな中、渡が突然腹痛を訴える！！父と息子、それぞれの想いが交錯する第９話！</v>
      </c>
      <c r="N3234" s="2"/>
      <c r="O3234" s="2"/>
      <c r="P3234" s="2"/>
      <c r="Q3234" s="2"/>
      <c r="R3234" s="2"/>
      <c r="S3234" s="2"/>
      <c r="T3234" s="2"/>
      <c r="U3234" s="2"/>
      <c r="V3234" s="2"/>
      <c r="W3234" s="2"/>
      <c r="X3234" s="2"/>
      <c r="Y3234" s="2"/>
      <c r="Z3234" s="2"/>
      <c r="AA3234" s="2"/>
      <c r="AB3234" s="2"/>
      <c r="AC3234" s="2"/>
      <c r="AD3234" s="2"/>
      <c r="AE3234" s="2"/>
      <c r="AF3234" s="2"/>
      <c r="AG3234" s="2"/>
      <c r="AH3234" s="2"/>
      <c r="AI3234" s="2"/>
      <c r="AJ3234" s="2"/>
      <c r="AK3234" s="2"/>
      <c r="AL3234" s="2"/>
      <c r="AM3234" s="2"/>
      <c r="AN3234" s="2"/>
      <c r="AO3234" s="2"/>
      <c r="AP3234" s="2"/>
      <c r="AQ3234" s="2"/>
      <c r="AR3234" s="2"/>
      <c r="AS3234" s="2"/>
      <c r="AT3234" s="2"/>
      <c r="AU3234" s="2"/>
      <c r="AV3234" s="2"/>
      <c r="AW3234" s="2"/>
      <c r="AX3234" s="2"/>
      <c r="AY3234" s="2"/>
      <c r="AZ3234" s="2"/>
      <c r="BA3234" s="2"/>
      <c r="BB3234" s="2"/>
    </row>
    <row r="3235" ht="204.75" customHeight="1">
      <c r="A3235" s="1">
        <v>264.0</v>
      </c>
      <c r="B3235" s="2" t="s">
        <v>9650</v>
      </c>
      <c r="C3235" s="2">
        <f>IFERROR(__xludf.DUMMYFUNCTION("split(B3235,""_"")"),1904.0)</f>
        <v>1904</v>
      </c>
      <c r="D3235" s="2" t="str">
        <f>IFERROR(__xludf.DUMMYFUNCTION("""COMPUTED_VALUE"""),"NTV")</f>
        <v>NTV</v>
      </c>
      <c r="E3235" s="2" t="str">
        <f>IFERROR(__xludf.DUMMYFUNCTION("""COMPUTED_VALUE"""),"水22")</f>
        <v>水22</v>
      </c>
      <c r="F3235" s="2" t="s">
        <v>9651</v>
      </c>
      <c r="G3235" s="2" t="s">
        <v>9679</v>
      </c>
      <c r="H3235" s="1">
        <v>10.0</v>
      </c>
      <c r="I3235" s="1" t="s">
        <v>37</v>
      </c>
      <c r="J3235" s="1" t="s">
        <v>82</v>
      </c>
      <c r="K3235" s="2" t="s">
        <v>9680</v>
      </c>
      <c r="L3235" s="11" t="s">
        <v>9681</v>
      </c>
      <c r="M3235" s="2" t="str">
        <f>IFERROR(__xludf.DUMMYFUNCTION("split(split(K3235,""【"",false),""公式LINE"",false)"),"ついに斎藤（小瀧望）とつきあい始めたはるか（中条あやみ）、本城（沢村一樹）と一晩を過ごした夏美（水川あさみ）。それぞれの恋が幸せな結末を迎えようとしていたある日、夏美の母・幸江（高橋ひとみ）が突然現れる。幸江は本城がバツイチ・子持ちだという事から交際に反対して…。外科病棟では緊急入院してきた都議会議員の五十嵐（東幹久）をはるかが怒らせてしまい、さらに事務長の大橋（神保悟志）も現れて大きな騒動に!")</f>
        <v>ついに斎藤（小瀧望）とつきあい始めたはるか（中条あやみ）、本城（沢村一樹）と一晩を過ごした夏美（水川あさみ）。それぞれの恋が幸せな結末を迎えようとしていたある日、夏美の母・幸江（高橋ひとみ）が突然現れる。幸江は本城がバツイチ・子持ちだという事から交際に反対して…。外科病棟では緊急入院してきた都議会議員の五十嵐（東幹久）をはるかが怒らせてしまい、さらに事務長の大橋（神保悟志）も現れて大きな騒動に!</v>
      </c>
      <c r="N3235" s="2"/>
      <c r="O3235" s="2"/>
      <c r="P3235" s="2"/>
      <c r="Q3235" s="2"/>
      <c r="R3235" s="2"/>
      <c r="S3235" s="2"/>
      <c r="T3235" s="2"/>
      <c r="U3235" s="2"/>
      <c r="V3235" s="2"/>
      <c r="W3235" s="2"/>
      <c r="X3235" s="2"/>
      <c r="Y3235" s="2"/>
      <c r="Z3235" s="2"/>
      <c r="AA3235" s="2"/>
      <c r="AB3235" s="2"/>
      <c r="AC3235" s="2"/>
      <c r="AD3235" s="2"/>
      <c r="AE3235" s="2"/>
      <c r="AF3235" s="2"/>
      <c r="AG3235" s="2"/>
      <c r="AH3235" s="2"/>
      <c r="AI3235" s="2"/>
      <c r="AJ3235" s="2"/>
      <c r="AK3235" s="2"/>
      <c r="AL3235" s="2"/>
      <c r="AM3235" s="2"/>
      <c r="AN3235" s="2"/>
      <c r="AO3235" s="2"/>
      <c r="AP3235" s="2"/>
      <c r="AQ3235" s="2"/>
      <c r="AR3235" s="2"/>
      <c r="AS3235" s="2"/>
      <c r="AT3235" s="2"/>
      <c r="AU3235" s="2"/>
      <c r="AV3235" s="2"/>
      <c r="AW3235" s="2"/>
      <c r="AX3235" s="2"/>
      <c r="AY3235" s="2"/>
      <c r="AZ3235" s="2"/>
      <c r="BA3235" s="2"/>
      <c r="BB3235" s="2"/>
    </row>
    <row r="3236" ht="204.75" customHeight="1">
      <c r="A3236" s="1">
        <v>286.0</v>
      </c>
      <c r="B3236" s="2" t="s">
        <v>9682</v>
      </c>
      <c r="C3236" s="2">
        <f>IFERROR(__xludf.DUMMYFUNCTION("split(B3236,""_"")"),1904.0)</f>
        <v>1904</v>
      </c>
      <c r="D3236" s="2" t="str">
        <f>IFERROR(__xludf.DUMMYFUNCTION("""COMPUTED_VALUE"""),"NTV")</f>
        <v>NTV</v>
      </c>
      <c r="E3236" s="2" t="str">
        <f>IFERROR(__xludf.DUMMYFUNCTION("""COMPUTED_VALUE"""),"木23")</f>
        <v>木23</v>
      </c>
      <c r="F3236" s="2" t="s">
        <v>9683</v>
      </c>
      <c r="G3236" s="2" t="s">
        <v>9684</v>
      </c>
      <c r="H3236" s="1">
        <v>1.0</v>
      </c>
      <c r="J3236" s="1" t="s">
        <v>1435</v>
      </c>
      <c r="K3236" s="2" t="s">
        <v>9685</v>
      </c>
      <c r="L3236" s="11" t="s">
        <v>9686</v>
      </c>
      <c r="M3236" s="2" t="str">
        <f>IFERROR(__xludf.DUMMYFUNCTION("split(split(K3236,""【"",false),""公式LINE"",false)"),"カフェ「コロナ」で店長を務める篝（かがり）家の長女・あかり(内田理央)。  平凡な日々を過ごしていたが、ある日、動画がＳＮＳ上で偶然バズったのをきっかけに、「普通で幸せな家族」の生活が狂い始める。  一瞬にして人気者になり、密かに思いを寄せていた常連客の皆戸涼太（白洲迅）から食事に誘われ、興奮を隠せないあかりだが、実は誰にも見せられない“裏の顔”が…さらに家族全員がバズりはじめ…")</f>
        <v>カフェ「コロナ」で店長を務める篝（かがり）家の長女・あかり(内田理央)。  平凡な日々を過ごしていたが、ある日、動画がＳＮＳ上で偶然バズったのをきっかけに、「普通で幸せな家族」の生活が狂い始める。  一瞬にして人気者になり、密かに思いを寄せていた常連客の皆戸涼太（白洲迅）から食事に誘われ、興奮を隠せないあかりだが、実は誰にも見せられない“裏の顔”が…さらに家族全員がバズりはじめ…</v>
      </c>
      <c r="N3236" s="2"/>
      <c r="O3236" s="2"/>
      <c r="P3236" s="2"/>
      <c r="Q3236" s="2"/>
      <c r="R3236" s="2"/>
      <c r="S3236" s="2"/>
      <c r="T3236" s="2"/>
      <c r="U3236" s="2"/>
      <c r="V3236" s="2"/>
      <c r="W3236" s="2"/>
      <c r="X3236" s="2"/>
      <c r="Y3236" s="2"/>
      <c r="Z3236" s="2"/>
      <c r="AA3236" s="2"/>
      <c r="AB3236" s="2"/>
      <c r="AC3236" s="2"/>
      <c r="AD3236" s="2"/>
      <c r="AE3236" s="2"/>
      <c r="AF3236" s="2"/>
      <c r="AG3236" s="2"/>
      <c r="AH3236" s="2"/>
      <c r="AI3236" s="2"/>
      <c r="AJ3236" s="2"/>
      <c r="AK3236" s="2"/>
      <c r="AL3236" s="2"/>
      <c r="AM3236" s="2"/>
      <c r="AN3236" s="2"/>
      <c r="AO3236" s="2"/>
      <c r="AP3236" s="2"/>
      <c r="AQ3236" s="2"/>
      <c r="AR3236" s="2"/>
      <c r="AS3236" s="2"/>
      <c r="AT3236" s="2"/>
      <c r="AU3236" s="2"/>
      <c r="AV3236" s="2"/>
      <c r="AW3236" s="2"/>
      <c r="AX3236" s="2"/>
      <c r="AY3236" s="2"/>
      <c r="AZ3236" s="2"/>
      <c r="BA3236" s="2"/>
      <c r="BB3236" s="2"/>
    </row>
    <row r="3237" ht="204.75" customHeight="1">
      <c r="A3237" s="1">
        <v>287.0</v>
      </c>
      <c r="B3237" s="2" t="s">
        <v>9682</v>
      </c>
      <c r="C3237" s="2">
        <f>IFERROR(__xludf.DUMMYFUNCTION("split(B3237,""_"")"),1904.0)</f>
        <v>1904</v>
      </c>
      <c r="D3237" s="2" t="str">
        <f>IFERROR(__xludf.DUMMYFUNCTION("""COMPUTED_VALUE"""),"NTV")</f>
        <v>NTV</v>
      </c>
      <c r="E3237" s="2" t="str">
        <f>IFERROR(__xludf.DUMMYFUNCTION("""COMPUTED_VALUE"""),"木23")</f>
        <v>木23</v>
      </c>
      <c r="F3237" s="2" t="s">
        <v>9683</v>
      </c>
      <c r="G3237" s="2" t="s">
        <v>9687</v>
      </c>
      <c r="H3237" s="1">
        <v>2.0</v>
      </c>
      <c r="J3237" s="1" t="s">
        <v>1435</v>
      </c>
      <c r="K3237" s="2" t="s">
        <v>9688</v>
      </c>
      <c r="L3237" s="11" t="s">
        <v>9689</v>
      </c>
      <c r="M3237" s="2" t="str">
        <f>IFERROR(__xludf.DUMMYFUNCTION("split(split(K3237,""【"",false),""公式LINE"",false)"),"篝（かがり）家の長女・あかり（内田理央）の動画がバズってから早３日。バズり具合は最高潮に達し、あかりはアイドル気分の浮かれ調子。その一方で母・緋奈子（高岡早紀）もまた、セクシーな衣装で撮影した料理動画のコメントに浮かれている。そんな折、緋奈子の“セクシー動画”を目にしてしまったあかりは投稿をやめるように緋奈子に言うが、緋奈子は聞く耳を持たないどころか「私の人気に嫉妬している」とあかりを煽り始め…")</f>
        <v>篝（かがり）家の長女・あかり（内田理央）の動画がバズってから早３日。バズり具合は最高潮に達し、あかりはアイドル気分の浮かれ調子。その一方で母・緋奈子（高岡早紀）もまた、セクシーな衣装で撮影した料理動画のコメントに浮かれている。そんな折、緋奈子の“セクシー動画”を目にしてしまったあかりは投稿をやめるように緋奈子に言うが、緋奈子は聞く耳を持たないどころか「私の人気に嫉妬している」とあかりを煽り始め…</v>
      </c>
      <c r="N3237" s="2"/>
      <c r="O3237" s="2"/>
      <c r="P3237" s="2"/>
      <c r="Q3237" s="2"/>
      <c r="R3237" s="2"/>
      <c r="S3237" s="2"/>
      <c r="T3237" s="2"/>
      <c r="U3237" s="2"/>
      <c r="V3237" s="2"/>
      <c r="W3237" s="2"/>
      <c r="X3237" s="2"/>
      <c r="Y3237" s="2"/>
      <c r="Z3237" s="2"/>
      <c r="AA3237" s="2"/>
      <c r="AB3237" s="2"/>
      <c r="AC3237" s="2"/>
      <c r="AD3237" s="2"/>
      <c r="AE3237" s="2"/>
      <c r="AF3237" s="2"/>
      <c r="AG3237" s="2"/>
      <c r="AH3237" s="2"/>
      <c r="AI3237" s="2"/>
      <c r="AJ3237" s="2"/>
      <c r="AK3237" s="2"/>
      <c r="AL3237" s="2"/>
      <c r="AM3237" s="2"/>
      <c r="AN3237" s="2"/>
      <c r="AO3237" s="2"/>
      <c r="AP3237" s="2"/>
      <c r="AQ3237" s="2"/>
      <c r="AR3237" s="2"/>
      <c r="AS3237" s="2"/>
      <c r="AT3237" s="2"/>
      <c r="AU3237" s="2"/>
      <c r="AV3237" s="2"/>
      <c r="AW3237" s="2"/>
      <c r="AX3237" s="2"/>
      <c r="AY3237" s="2"/>
      <c r="AZ3237" s="2"/>
      <c r="BA3237" s="2"/>
      <c r="BB3237" s="2"/>
    </row>
    <row r="3238" ht="204.75" customHeight="1">
      <c r="A3238" s="1">
        <v>288.0</v>
      </c>
      <c r="B3238" s="2" t="s">
        <v>9682</v>
      </c>
      <c r="C3238" s="2">
        <f>IFERROR(__xludf.DUMMYFUNCTION("split(B3238,""_"")"),1904.0)</f>
        <v>1904</v>
      </c>
      <c r="D3238" s="2" t="str">
        <f>IFERROR(__xludf.DUMMYFUNCTION("""COMPUTED_VALUE"""),"NTV")</f>
        <v>NTV</v>
      </c>
      <c r="E3238" s="2" t="str">
        <f>IFERROR(__xludf.DUMMYFUNCTION("""COMPUTED_VALUE"""),"木23")</f>
        <v>木23</v>
      </c>
      <c r="F3238" s="2" t="s">
        <v>9683</v>
      </c>
      <c r="G3238" s="2" t="s">
        <v>9690</v>
      </c>
      <c r="H3238" s="1">
        <v>3.0</v>
      </c>
      <c r="J3238" s="1" t="s">
        <v>1435</v>
      </c>
      <c r="K3238" s="2" t="s">
        <v>9691</v>
      </c>
      <c r="L3238" s="11" t="s">
        <v>9692</v>
      </c>
      <c r="M3238" s="2" t="str">
        <f>IFERROR(__xludf.DUMMYFUNCTION("split(split(K3238,""【"",false),""公式LINE"",false)"),"あかり（内田理央）の動画がバズってから数日が経ち、SNSのフォロワーはすでに１万人超。一方、あかりの“裏の顔”ナマハゲチョップの動画再生数は数十回。「こっちは知る人ぞ知る存在でいい」と自分に言い聞かせていた。  そんな中、涼太（白洲迅）に告白されたあかりは、けじめをつけるため“世界”に向けて生配信をすることを決める。  生配信が始まると高揚感を覚えてしまうあかり。決意が揺れる中、最後に出した答えとは-")</f>
        <v>あかり（内田理央）の動画がバズってから数日が経ち、SNSのフォロワーはすでに１万人超。一方、あかりの“裏の顔”ナマハゲチョップの動画再生数は数十回。「こっちは知る人ぞ知る存在でいい」と自分に言い聞かせていた。  そんな中、涼太（白洲迅）に告白されたあかりは、けじめをつけるため“世界”に向けて生配信をすることを決める。  生配信が始まると高揚感を覚えてしまうあかり。決意が揺れる中、最後に出した答えとは-</v>
      </c>
      <c r="N3238" s="2"/>
      <c r="O3238" s="2"/>
      <c r="P3238" s="2"/>
      <c r="Q3238" s="2"/>
      <c r="R3238" s="2"/>
      <c r="S3238" s="2"/>
      <c r="T3238" s="2"/>
      <c r="U3238" s="2"/>
      <c r="V3238" s="2"/>
      <c r="W3238" s="2"/>
      <c r="X3238" s="2"/>
      <c r="Y3238" s="2"/>
      <c r="Z3238" s="2"/>
      <c r="AA3238" s="2"/>
      <c r="AB3238" s="2"/>
      <c r="AC3238" s="2"/>
      <c r="AD3238" s="2"/>
      <c r="AE3238" s="2"/>
      <c r="AF3238" s="2"/>
      <c r="AG3238" s="2"/>
      <c r="AH3238" s="2"/>
      <c r="AI3238" s="2"/>
      <c r="AJ3238" s="2"/>
      <c r="AK3238" s="2"/>
      <c r="AL3238" s="2"/>
      <c r="AM3238" s="2"/>
      <c r="AN3238" s="2"/>
      <c r="AO3238" s="2"/>
      <c r="AP3238" s="2"/>
      <c r="AQ3238" s="2"/>
      <c r="AR3238" s="2"/>
      <c r="AS3238" s="2"/>
      <c r="AT3238" s="2"/>
      <c r="AU3238" s="2"/>
      <c r="AV3238" s="2"/>
      <c r="AW3238" s="2"/>
      <c r="AX3238" s="2"/>
      <c r="AY3238" s="2"/>
      <c r="AZ3238" s="2"/>
      <c r="BA3238" s="2"/>
      <c r="BB3238" s="2"/>
    </row>
    <row r="3239" ht="204.75" customHeight="1">
      <c r="A3239" s="1">
        <v>289.0</v>
      </c>
      <c r="B3239" s="2" t="s">
        <v>9682</v>
      </c>
      <c r="C3239" s="2">
        <f>IFERROR(__xludf.DUMMYFUNCTION("split(B3239,""_"")"),1904.0)</f>
        <v>1904</v>
      </c>
      <c r="D3239" s="2" t="str">
        <f>IFERROR(__xludf.DUMMYFUNCTION("""COMPUTED_VALUE"""),"NTV")</f>
        <v>NTV</v>
      </c>
      <c r="E3239" s="2" t="str">
        <f>IFERROR(__xludf.DUMMYFUNCTION("""COMPUTED_VALUE"""),"木23")</f>
        <v>木23</v>
      </c>
      <c r="F3239" s="2" t="s">
        <v>9683</v>
      </c>
      <c r="G3239" s="2" t="s">
        <v>9693</v>
      </c>
      <c r="H3239" s="1">
        <v>4.0</v>
      </c>
      <c r="J3239" s="1" t="s">
        <v>1435</v>
      </c>
      <c r="K3239" s="2" t="s">
        <v>9694</v>
      </c>
      <c r="L3239" s="11" t="s">
        <v>9695</v>
      </c>
      <c r="M3239" s="2" t="str">
        <f>IFERROR(__xludf.DUMMYFUNCTION("split(split(K3239,""【"",false),""公式LINE"",false)"),"あかり（内田理央）は、裏の顔であるナマハゲチョップを生配信で紹介してしまい、正体がバレることに怯えていた。  そんな折、あかりの動画を見た父・篤史（木下隆行）が、カフェ「コロナ」へ。そこに生配信中の母・緋奈子（高岡早紀）、さらには皆戸涼太（白洲迅）もやってきて、パニックのあかりは店から逃げ出してしまう。  フラれたと勘違いした涼太から別れを告げられたあかりは、さらに桃（小川紗良）に、ある弱みを握られ…")</f>
        <v>あかり（内田理央）は、裏の顔であるナマハゲチョップを生配信で紹介してしまい、正体がバレることに怯えていた。  そんな折、あかりの動画を見た父・篤史（木下隆行）が、カフェ「コロナ」へ。そこに生配信中の母・緋奈子（高岡早紀）、さらには皆戸涼太（白洲迅）もやってきて、パニックのあかりは店から逃げ出してしまう。  フラれたと勘違いした涼太から別れを告げられたあかりは、さらに桃（小川紗良）に、ある弱みを握られ…</v>
      </c>
      <c r="N3239" s="2"/>
      <c r="O3239" s="2"/>
      <c r="P3239" s="2"/>
      <c r="Q3239" s="2"/>
      <c r="R3239" s="2"/>
      <c r="S3239" s="2"/>
      <c r="T3239" s="2"/>
      <c r="U3239" s="2"/>
      <c r="V3239" s="2"/>
      <c r="W3239" s="2"/>
      <c r="X3239" s="2"/>
      <c r="Y3239" s="2"/>
      <c r="Z3239" s="2"/>
      <c r="AA3239" s="2"/>
      <c r="AB3239" s="2"/>
      <c r="AC3239" s="2"/>
      <c r="AD3239" s="2"/>
      <c r="AE3239" s="2"/>
      <c r="AF3239" s="2"/>
      <c r="AG3239" s="2"/>
      <c r="AH3239" s="2"/>
      <c r="AI3239" s="2"/>
      <c r="AJ3239" s="2"/>
      <c r="AK3239" s="2"/>
      <c r="AL3239" s="2"/>
      <c r="AM3239" s="2"/>
      <c r="AN3239" s="2"/>
      <c r="AO3239" s="2"/>
      <c r="AP3239" s="2"/>
      <c r="AQ3239" s="2"/>
      <c r="AR3239" s="2"/>
      <c r="AS3239" s="2"/>
      <c r="AT3239" s="2"/>
      <c r="AU3239" s="2"/>
      <c r="AV3239" s="2"/>
      <c r="AW3239" s="2"/>
      <c r="AX3239" s="2"/>
      <c r="AY3239" s="2"/>
      <c r="AZ3239" s="2"/>
      <c r="BA3239" s="2"/>
      <c r="BB3239" s="2"/>
    </row>
    <row r="3240" ht="204.75" customHeight="1">
      <c r="A3240" s="1">
        <v>290.0</v>
      </c>
      <c r="B3240" s="2" t="s">
        <v>9682</v>
      </c>
      <c r="C3240" s="2">
        <f>IFERROR(__xludf.DUMMYFUNCTION("split(B3240,""_"")"),1904.0)</f>
        <v>1904</v>
      </c>
      <c r="D3240" s="2" t="str">
        <f>IFERROR(__xludf.DUMMYFUNCTION("""COMPUTED_VALUE"""),"NTV")</f>
        <v>NTV</v>
      </c>
      <c r="E3240" s="2" t="str">
        <f>IFERROR(__xludf.DUMMYFUNCTION("""COMPUTED_VALUE"""),"木23")</f>
        <v>木23</v>
      </c>
      <c r="F3240" s="2" t="s">
        <v>9683</v>
      </c>
      <c r="G3240" s="2" t="s">
        <v>9696</v>
      </c>
      <c r="H3240" s="1">
        <v>5.0</v>
      </c>
      <c r="J3240" s="1" t="s">
        <v>1435</v>
      </c>
      <c r="K3240" s="2" t="s">
        <v>9697</v>
      </c>
      <c r="L3240" s="11" t="s">
        <v>9698</v>
      </c>
      <c r="M3240" s="2" t="str">
        <f>IFERROR(__xludf.DUMMYFUNCTION("split(split(K3240,""【"",false),""公式LINE"",false)"),"あかり（内田理央）が謎の男の着信を受けてから数日、あかりの元に再び着信が入る。電話の男・鍋島剛（笠松将）はナマハゲチョップの正体と、もう一つの秘密“あかりの過去”を知る唯一の人物だった。  動揺しながらも、皆戸涼太（白洲迅）とデートへ出かけるあかり。そこで、迫滝（前田公輝）と仲睦まじく歩く母・緋奈子(高岡早紀)、鴇田(藤井武美)とアクセサリーショップを覗く父・篤史（木下隆行）の姿を目撃してしまい…")</f>
        <v>あかり（内田理央）が謎の男の着信を受けてから数日、あかりの元に再び着信が入る。電話の男・鍋島剛（笠松将）はナマハゲチョップの正体と、もう一つの秘密“あかりの過去”を知る唯一の人物だった。  動揺しながらも、皆戸涼太（白洲迅）とデートへ出かけるあかり。そこで、迫滝（前田公輝）と仲睦まじく歩く母・緋奈子(高岡早紀)、鴇田(藤井武美)とアクセサリーショップを覗く父・篤史（木下隆行）の姿を目撃してしまい…</v>
      </c>
      <c r="N3240" s="2"/>
      <c r="O3240" s="2"/>
      <c r="P3240" s="2"/>
      <c r="Q3240" s="2"/>
      <c r="R3240" s="2"/>
      <c r="S3240" s="2"/>
      <c r="T3240" s="2"/>
      <c r="U3240" s="2"/>
      <c r="V3240" s="2"/>
      <c r="W3240" s="2"/>
      <c r="X3240" s="2"/>
      <c r="Y3240" s="2"/>
      <c r="Z3240" s="2"/>
      <c r="AA3240" s="2"/>
      <c r="AB3240" s="2"/>
      <c r="AC3240" s="2"/>
      <c r="AD3240" s="2"/>
      <c r="AE3240" s="2"/>
      <c r="AF3240" s="2"/>
      <c r="AG3240" s="2"/>
      <c r="AH3240" s="2"/>
      <c r="AI3240" s="2"/>
      <c r="AJ3240" s="2"/>
      <c r="AK3240" s="2"/>
      <c r="AL3240" s="2"/>
      <c r="AM3240" s="2"/>
      <c r="AN3240" s="2"/>
      <c r="AO3240" s="2"/>
      <c r="AP3240" s="2"/>
      <c r="AQ3240" s="2"/>
      <c r="AR3240" s="2"/>
      <c r="AS3240" s="2"/>
      <c r="AT3240" s="2"/>
      <c r="AU3240" s="2"/>
      <c r="AV3240" s="2"/>
      <c r="AW3240" s="2"/>
      <c r="AX3240" s="2"/>
      <c r="AY3240" s="2"/>
      <c r="AZ3240" s="2"/>
      <c r="BA3240" s="2"/>
      <c r="BB3240" s="2"/>
    </row>
    <row r="3241" ht="204.75" customHeight="1">
      <c r="A3241" s="1">
        <v>291.0</v>
      </c>
      <c r="B3241" s="2" t="s">
        <v>9682</v>
      </c>
      <c r="C3241" s="2">
        <f>IFERROR(__xludf.DUMMYFUNCTION("split(B3241,""_"")"),1904.0)</f>
        <v>1904</v>
      </c>
      <c r="D3241" s="2" t="str">
        <f>IFERROR(__xludf.DUMMYFUNCTION("""COMPUTED_VALUE"""),"NTV")</f>
        <v>NTV</v>
      </c>
      <c r="E3241" s="2" t="str">
        <f>IFERROR(__xludf.DUMMYFUNCTION("""COMPUTED_VALUE"""),"木23")</f>
        <v>木23</v>
      </c>
      <c r="F3241" s="2" t="s">
        <v>9683</v>
      </c>
      <c r="G3241" s="2" t="s">
        <v>9699</v>
      </c>
      <c r="H3241" s="1">
        <v>6.0</v>
      </c>
      <c r="J3241" s="1" t="s">
        <v>1435</v>
      </c>
      <c r="K3241" s="2" t="s">
        <v>9700</v>
      </c>
      <c r="L3241" s="11" t="s">
        <v>9701</v>
      </c>
      <c r="M3241" s="2" t="str">
        <f>IFERROR(__xludf.DUMMYFUNCTION("split(split(K3241,""【"",false),""公式LINE"",false)"),"長女・あかり(内田理央)、母・緋奈子(高岡早紀)、弟・薪人(那智)が父・篤史(木下隆行)の秘密を見てしまってから一夜、緊迫した空気の篝（かがり）家。そんな折、緋奈子の動画と、篤史がプロデューサーを務める『少年スナイパー 新平！』がバズり始め、さらに、あかりと緋奈子、篤史が親子であり、篝一家が“バズる家族”だとネットで噂に。  いつしか、恋人・皆戸涼太（白洲迅）の前でさえ、あかりの笑顔は消えていて…")</f>
        <v>長女・あかり(内田理央)、母・緋奈子(高岡早紀)、弟・薪人(那智)が父・篤史(木下隆行)の秘密を見てしまってから一夜、緊迫した空気の篝（かがり）家。そんな折、緋奈子の動画と、篤史がプロデューサーを務める『少年スナイパー 新平！』がバズり始め、さらに、あかりと緋奈子、篤史が親子であり、篝一家が“バズる家族”だとネットで噂に。  いつしか、恋人・皆戸涼太（白洲迅）の前でさえ、あかりの笑顔は消えていて…</v>
      </c>
      <c r="N3241" s="2"/>
      <c r="O3241" s="2"/>
      <c r="P3241" s="2"/>
      <c r="Q3241" s="2"/>
      <c r="R3241" s="2"/>
      <c r="S3241" s="2"/>
      <c r="T3241" s="2"/>
      <c r="U3241" s="2"/>
      <c r="V3241" s="2"/>
      <c r="W3241" s="2"/>
      <c r="X3241" s="2"/>
      <c r="Y3241" s="2"/>
      <c r="Z3241" s="2"/>
      <c r="AA3241" s="2"/>
      <c r="AB3241" s="2"/>
      <c r="AC3241" s="2"/>
      <c r="AD3241" s="2"/>
      <c r="AE3241" s="2"/>
      <c r="AF3241" s="2"/>
      <c r="AG3241" s="2"/>
      <c r="AH3241" s="2"/>
      <c r="AI3241" s="2"/>
      <c r="AJ3241" s="2"/>
      <c r="AK3241" s="2"/>
      <c r="AL3241" s="2"/>
      <c r="AM3241" s="2"/>
      <c r="AN3241" s="2"/>
      <c r="AO3241" s="2"/>
      <c r="AP3241" s="2"/>
      <c r="AQ3241" s="2"/>
      <c r="AR3241" s="2"/>
      <c r="AS3241" s="2"/>
      <c r="AT3241" s="2"/>
      <c r="AU3241" s="2"/>
      <c r="AV3241" s="2"/>
      <c r="AW3241" s="2"/>
      <c r="AX3241" s="2"/>
      <c r="AY3241" s="2"/>
      <c r="AZ3241" s="2"/>
      <c r="BA3241" s="2"/>
      <c r="BB3241" s="2"/>
    </row>
    <row r="3242" ht="204.75" customHeight="1">
      <c r="A3242" s="1">
        <v>292.0</v>
      </c>
      <c r="B3242" s="2" t="s">
        <v>9682</v>
      </c>
      <c r="C3242" s="2">
        <f>IFERROR(__xludf.DUMMYFUNCTION("split(B3242,""_"")"),1904.0)</f>
        <v>1904</v>
      </c>
      <c r="D3242" s="2" t="str">
        <f>IFERROR(__xludf.DUMMYFUNCTION("""COMPUTED_VALUE"""),"NTV")</f>
        <v>NTV</v>
      </c>
      <c r="E3242" s="2" t="str">
        <f>IFERROR(__xludf.DUMMYFUNCTION("""COMPUTED_VALUE"""),"木23")</f>
        <v>木23</v>
      </c>
      <c r="F3242" s="2" t="s">
        <v>9683</v>
      </c>
      <c r="G3242" s="2" t="s">
        <v>9702</v>
      </c>
      <c r="H3242" s="1">
        <v>7.0</v>
      </c>
      <c r="J3242" s="1" t="s">
        <v>1435</v>
      </c>
      <c r="K3242" s="2" t="s">
        <v>9703</v>
      </c>
      <c r="L3242" s="11" t="s">
        <v>9704</v>
      </c>
      <c r="M3242" s="2" t="str">
        <f>IFERROR(__xludf.DUMMYFUNCTION("split(split(K3242,""【"",false),""公式LINE"",false)"),"篝（かがり）家は、ついに“バズる家族”になってしまった。  もう幸せなフリをして笑っていたくない…長女・あかり（内田理央）はお互いと向き合うために家族会議を開く。  会議に関心がない父・篤史(木下隆行)、母・緋奈子(高岡早紀)、弟・薪人(那智)だったが、そこで明らかになった“ある事実”から次第に火がつき…。  やがて浮き彫りになる“バズる家族”の本当の姿…壮絶なバトルの末、篝家がたどり着いた結論とは!?")</f>
        <v>篝（かがり）家は、ついに“バズる家族”になってしまった。  もう幸せなフリをして笑っていたくない…長女・あかり（内田理央）はお互いと向き合うために家族会議を開く。  会議に関心がない父・篤史(木下隆行)、母・緋奈子(高岡早紀)、弟・薪人(那智)だったが、そこで明らかになった“ある事実”から次第に火がつき…。  やがて浮き彫りになる“バズる家族”の本当の姿…壮絶なバトルの末、篝家がたどり着いた結論とは!?</v>
      </c>
      <c r="N3242" s="2"/>
      <c r="O3242" s="2"/>
      <c r="P3242" s="2"/>
      <c r="Q3242" s="2"/>
      <c r="R3242" s="2"/>
      <c r="S3242" s="2"/>
      <c r="T3242" s="2"/>
      <c r="U3242" s="2"/>
      <c r="V3242" s="2"/>
      <c r="W3242" s="2"/>
      <c r="X3242" s="2"/>
      <c r="Y3242" s="2"/>
      <c r="Z3242" s="2"/>
      <c r="AA3242" s="2"/>
      <c r="AB3242" s="2"/>
      <c r="AC3242" s="2"/>
      <c r="AD3242" s="2"/>
      <c r="AE3242" s="2"/>
      <c r="AF3242" s="2"/>
      <c r="AG3242" s="2"/>
      <c r="AH3242" s="2"/>
      <c r="AI3242" s="2"/>
      <c r="AJ3242" s="2"/>
      <c r="AK3242" s="2"/>
      <c r="AL3242" s="2"/>
      <c r="AM3242" s="2"/>
      <c r="AN3242" s="2"/>
      <c r="AO3242" s="2"/>
      <c r="AP3242" s="2"/>
      <c r="AQ3242" s="2"/>
      <c r="AR3242" s="2"/>
      <c r="AS3242" s="2"/>
      <c r="AT3242" s="2"/>
      <c r="AU3242" s="2"/>
      <c r="AV3242" s="2"/>
      <c r="AW3242" s="2"/>
      <c r="AX3242" s="2"/>
      <c r="AY3242" s="2"/>
      <c r="AZ3242" s="2"/>
      <c r="BA3242" s="2"/>
      <c r="BB3242" s="2"/>
    </row>
    <row r="3243" ht="204.75" customHeight="1">
      <c r="A3243" s="1">
        <v>293.0</v>
      </c>
      <c r="B3243" s="2" t="s">
        <v>9682</v>
      </c>
      <c r="C3243" s="2">
        <f>IFERROR(__xludf.DUMMYFUNCTION("split(B3243,""_"")"),1904.0)</f>
        <v>1904</v>
      </c>
      <c r="D3243" s="2" t="str">
        <f>IFERROR(__xludf.DUMMYFUNCTION("""COMPUTED_VALUE"""),"NTV")</f>
        <v>NTV</v>
      </c>
      <c r="E3243" s="2" t="str">
        <f>IFERROR(__xludf.DUMMYFUNCTION("""COMPUTED_VALUE"""),"木23")</f>
        <v>木23</v>
      </c>
      <c r="F3243" s="2" t="s">
        <v>9683</v>
      </c>
      <c r="G3243" s="2" t="s">
        <v>9705</v>
      </c>
      <c r="H3243" s="1">
        <v>8.0</v>
      </c>
      <c r="J3243" s="1" t="s">
        <v>1435</v>
      </c>
      <c r="K3243" s="2" t="s">
        <v>9706</v>
      </c>
      <c r="L3243" s="11" t="s">
        <v>9707</v>
      </c>
      <c r="M3243" s="2" t="str">
        <f>IFERROR(__xludf.DUMMYFUNCTION("split(split(K3243,""【"",false),""公式LINE"",false)"),"篝（かがり）家の“解散宣言”から一夜明け、ネットカフェに寝泊まりする長女・あかり（内田理央）は、家族の解散を祖父・清史（小野武彦）に打ち明けられずにいた。  そんな中、あかりの全てを知ろうとする恋人・涼太（白洲迅）を拒絶してしまう。その一方で、幼き日の初恋を彷彿させる『トゥナイトスター』からのメッセージに、あかりは惹かれていく。はたしてあかりが選ぶのは、涼太か、未だ姿もわからぬ『トゥナイトスター』か…")</f>
        <v>篝（かがり）家の“解散宣言”から一夜明け、ネットカフェに寝泊まりする長女・あかり（内田理央）は、家族の解散を祖父・清史（小野武彦）に打ち明けられずにいた。  そんな中、あかりの全てを知ろうとする恋人・涼太（白洲迅）を拒絶してしまう。その一方で、幼き日の初恋を彷彿させる『トゥナイトスター』からのメッセージに、あかりは惹かれていく。はたしてあかりが選ぶのは、涼太か、未だ姿もわからぬ『トゥナイトスター』か…</v>
      </c>
      <c r="N3243" s="2"/>
      <c r="O3243" s="2"/>
      <c r="P3243" s="2"/>
      <c r="Q3243" s="2"/>
      <c r="R3243" s="2"/>
      <c r="S3243" s="2"/>
      <c r="T3243" s="2"/>
      <c r="U3243" s="2"/>
      <c r="V3243" s="2"/>
      <c r="W3243" s="2"/>
      <c r="X3243" s="2"/>
      <c r="Y3243" s="2"/>
      <c r="Z3243" s="2"/>
      <c r="AA3243" s="2"/>
      <c r="AB3243" s="2"/>
      <c r="AC3243" s="2"/>
      <c r="AD3243" s="2"/>
      <c r="AE3243" s="2"/>
      <c r="AF3243" s="2"/>
      <c r="AG3243" s="2"/>
      <c r="AH3243" s="2"/>
      <c r="AI3243" s="2"/>
      <c r="AJ3243" s="2"/>
      <c r="AK3243" s="2"/>
      <c r="AL3243" s="2"/>
      <c r="AM3243" s="2"/>
      <c r="AN3243" s="2"/>
      <c r="AO3243" s="2"/>
      <c r="AP3243" s="2"/>
      <c r="AQ3243" s="2"/>
      <c r="AR3243" s="2"/>
      <c r="AS3243" s="2"/>
      <c r="AT3243" s="2"/>
      <c r="AU3243" s="2"/>
      <c r="AV3243" s="2"/>
      <c r="AW3243" s="2"/>
      <c r="AX3243" s="2"/>
      <c r="AY3243" s="2"/>
      <c r="AZ3243" s="2"/>
      <c r="BA3243" s="2"/>
      <c r="BB3243" s="2"/>
    </row>
    <row r="3244" ht="204.75" customHeight="1">
      <c r="A3244" s="1">
        <v>294.0</v>
      </c>
      <c r="B3244" s="2" t="s">
        <v>9682</v>
      </c>
      <c r="C3244" s="2">
        <f>IFERROR(__xludf.DUMMYFUNCTION("split(B3244,""_"")"),1904.0)</f>
        <v>1904</v>
      </c>
      <c r="D3244" s="2" t="str">
        <f>IFERROR(__xludf.DUMMYFUNCTION("""COMPUTED_VALUE"""),"NTV")</f>
        <v>NTV</v>
      </c>
      <c r="E3244" s="2" t="str">
        <f>IFERROR(__xludf.DUMMYFUNCTION("""COMPUTED_VALUE"""),"木23")</f>
        <v>木23</v>
      </c>
      <c r="F3244" s="2" t="s">
        <v>9683</v>
      </c>
      <c r="G3244" s="2" t="s">
        <v>9708</v>
      </c>
      <c r="H3244" s="1">
        <v>9.0</v>
      </c>
      <c r="J3244" s="1" t="s">
        <v>1435</v>
      </c>
      <c r="K3244" s="2" t="s">
        <v>9709</v>
      </c>
      <c r="L3244" s="11" t="s">
        <v>9710</v>
      </c>
      <c r="M3244" s="2" t="str">
        <f>IFERROR(__xludf.DUMMYFUNCTION("split(split(K3244,""【"",false),""公式LINE"",false)"),"篝（かがり）家の長女・あかり（内田理央）は、カフェ「コロナ」で会う約束をした“トゥナイトスター”が現れる時を今か今かと待っていた。その正体は予想もしてなかった人物で…!?  その夜、空っぽの篝邸に戻ったあかりはSNSに一枚の写真をアップする。投稿を目にした緋奈子(高岡早紀)、篤史(木下隆行)、薪人(那智)は、あかりが写真に込めたメッセージに気がついて…。今宵、“バズる家族”一世一代の生配信が始まるー")</f>
        <v>篝（かがり）家の長女・あかり（内田理央）は、カフェ「コロナ」で会う約束をした“トゥナイトスター”が現れる時を今か今かと待っていた。その正体は予想もしてなかった人物で…!?  その夜、空っぽの篝邸に戻ったあかりはSNSに一枚の写真をアップする。投稿を目にした緋奈子(高岡早紀)、篤史(木下隆行)、薪人(那智)は、あかりが写真に込めたメッセージに気がついて…。今宵、“バズる家族”一世一代の生配信が始まるー</v>
      </c>
      <c r="N3244" s="2"/>
      <c r="O3244" s="2"/>
      <c r="P3244" s="2"/>
      <c r="Q3244" s="2"/>
      <c r="R3244" s="2"/>
      <c r="S3244" s="2"/>
      <c r="T3244" s="2"/>
      <c r="U3244" s="2"/>
      <c r="V3244" s="2"/>
      <c r="W3244" s="2"/>
      <c r="X3244" s="2"/>
      <c r="Y3244" s="2"/>
      <c r="Z3244" s="2"/>
      <c r="AA3244" s="2"/>
      <c r="AB3244" s="2"/>
      <c r="AC3244" s="2"/>
      <c r="AD3244" s="2"/>
      <c r="AE3244" s="2"/>
      <c r="AF3244" s="2"/>
      <c r="AG3244" s="2"/>
      <c r="AH3244" s="2"/>
      <c r="AI3244" s="2"/>
      <c r="AJ3244" s="2"/>
      <c r="AK3244" s="2"/>
      <c r="AL3244" s="2"/>
      <c r="AM3244" s="2"/>
      <c r="AN3244" s="2"/>
      <c r="AO3244" s="2"/>
      <c r="AP3244" s="2"/>
      <c r="AQ3244" s="2"/>
      <c r="AR3244" s="2"/>
      <c r="AS3244" s="2"/>
      <c r="AT3244" s="2"/>
      <c r="AU3244" s="2"/>
      <c r="AV3244" s="2"/>
      <c r="AW3244" s="2"/>
      <c r="AX3244" s="2"/>
      <c r="AY3244" s="2"/>
      <c r="AZ3244" s="2"/>
      <c r="BA3244" s="2"/>
      <c r="BB3244" s="2"/>
    </row>
    <row r="3245" ht="204.75" customHeight="1">
      <c r="A3245" s="1">
        <v>314.0</v>
      </c>
      <c r="B3245" s="2" t="s">
        <v>9711</v>
      </c>
      <c r="C3245" s="2">
        <f>IFERROR(__xludf.DUMMYFUNCTION("split(B3245,""_"")"),1904.0)</f>
        <v>1904</v>
      </c>
      <c r="D3245" s="2" t="str">
        <f>IFERROR(__xludf.DUMMYFUNCTION("""COMPUTED_VALUE"""),"NTV")</f>
        <v>NTV</v>
      </c>
      <c r="E3245" s="2" t="str">
        <f>IFERROR(__xludf.DUMMYFUNCTION("""COMPUTED_VALUE"""),"土22")</f>
        <v>土22</v>
      </c>
      <c r="F3245" s="2" t="s">
        <v>9712</v>
      </c>
      <c r="G3245" s="2" t="s">
        <v>9713</v>
      </c>
      <c r="H3245" s="1">
        <v>1.0</v>
      </c>
      <c r="I3245" s="1" t="s">
        <v>2868</v>
      </c>
      <c r="J3245" s="1" t="s">
        <v>86</v>
      </c>
      <c r="K3245" s="2" t="s">
        <v>9714</v>
      </c>
      <c r="L3245" s="11" t="s">
        <v>9715</v>
      </c>
      <c r="M3245" s="2" t="str">
        <f>IFERROR(__xludf.DUMMYFUNCTION("split(split(K3245,""【"",false),""公式LINE"",false)"),"ゲイで女装家の高校教師・原田のぶお52歳が繰り広げる涙＋涙（笑）の学園ドラマ！「恋してやろうか、この野郎」赴任早々衝撃の発言で生徒たちのリア充的学園生活に降臨した原田のぶお（古田新太）。校長（いとうせいこう）に呼ばれてきた原田に、長井(松下奈緒)、里見(白石麻衣)ら先生陣も驚きを隠せない。クラスの生徒・明智(永瀬廉)、東条(道枝駿佑)は原田を辞めさせようと若林（長尾謙杜）を使った作戦をたてるが…。")</f>
        <v>ゲイで女装家の高校教師・原田のぶお52歳が繰り広げる涙＋涙（笑）の学園ドラマ！「恋してやろうか、この野郎」赴任早々衝撃の発言で生徒たちのリア充的学園生活に降臨した原田のぶお（古田新太）。校長（いとうせいこう）に呼ばれてきた原田に、長井(松下奈緒)、里見(白石麻衣)ら先生陣も驚きを隠せない。クラスの生徒・明智(永瀬廉)、東条(道枝駿佑)は原田を辞めさせようと若林（長尾謙杜）を使った作戦をたてるが…。</v>
      </c>
      <c r="N3245" s="2"/>
      <c r="O3245" s="2"/>
      <c r="P3245" s="2"/>
      <c r="Q3245" s="2"/>
      <c r="R3245" s="2"/>
      <c r="S3245" s="2"/>
      <c r="T3245" s="2"/>
      <c r="U3245" s="2"/>
      <c r="V3245" s="2"/>
      <c r="W3245" s="2"/>
      <c r="X3245" s="2"/>
      <c r="Y3245" s="2"/>
      <c r="Z3245" s="2"/>
      <c r="AA3245" s="2"/>
      <c r="AB3245" s="2"/>
      <c r="AC3245" s="2"/>
      <c r="AD3245" s="2"/>
      <c r="AE3245" s="2"/>
      <c r="AF3245" s="2"/>
      <c r="AG3245" s="2"/>
      <c r="AH3245" s="2"/>
      <c r="AI3245" s="2"/>
      <c r="AJ3245" s="2"/>
      <c r="AK3245" s="2"/>
      <c r="AL3245" s="2"/>
      <c r="AM3245" s="2"/>
      <c r="AN3245" s="2"/>
      <c r="AO3245" s="2"/>
      <c r="AP3245" s="2"/>
      <c r="AQ3245" s="2"/>
      <c r="AR3245" s="2"/>
      <c r="AS3245" s="2"/>
      <c r="AT3245" s="2"/>
      <c r="AU3245" s="2"/>
      <c r="AV3245" s="2"/>
      <c r="AW3245" s="2"/>
      <c r="AX3245" s="2"/>
      <c r="AY3245" s="2"/>
      <c r="AZ3245" s="2"/>
      <c r="BA3245" s="2"/>
      <c r="BB3245" s="2"/>
    </row>
    <row r="3246" ht="204.75" customHeight="1">
      <c r="A3246" s="1">
        <v>315.0</v>
      </c>
      <c r="B3246" s="2" t="s">
        <v>9711</v>
      </c>
      <c r="C3246" s="2">
        <f>IFERROR(__xludf.DUMMYFUNCTION("split(B3246,""_"")"),1904.0)</f>
        <v>1904</v>
      </c>
      <c r="D3246" s="2" t="str">
        <f>IFERROR(__xludf.DUMMYFUNCTION("""COMPUTED_VALUE"""),"NTV")</f>
        <v>NTV</v>
      </c>
      <c r="E3246" s="2" t="str">
        <f>IFERROR(__xludf.DUMMYFUNCTION("""COMPUTED_VALUE"""),"土22")</f>
        <v>土22</v>
      </c>
      <c r="F3246" s="2" t="s">
        <v>9712</v>
      </c>
      <c r="G3246" s="2" t="s">
        <v>9716</v>
      </c>
      <c r="H3246" s="1">
        <v>2.0</v>
      </c>
      <c r="I3246" s="1" t="s">
        <v>7</v>
      </c>
      <c r="J3246" s="1" t="s">
        <v>86</v>
      </c>
      <c r="K3246" s="2" t="s">
        <v>9717</v>
      </c>
      <c r="L3246" s="11" t="s">
        <v>9718</v>
      </c>
      <c r="M3246" s="2" t="str">
        <f>IFERROR(__xludf.DUMMYFUNCTION("split(split(K3246,""【"",false),""公式LINE"",false)"),"他ゲイで女装家の高校教師・原田のぶお52歳が繰り広げる涙＋涙（笑）の学園ドラマ！赴任早々校門をぶち壊したりと生徒たちのリア充的学園生活に衝撃を与え続ける原田（古田新太）がチアダンス部の顧問を担当することに。「チアダンスに男も女もない！」といいつつ練習の長さにブラック部活だと毒づく原田。ある日、チア部員川崎（高橋ひかる）のケガが原因で長井（松下奈緒）に部活休止を命じられた原田は秘策を思いつく…。")</f>
        <v>他ゲイで女装家の高校教師・原田のぶお52歳が繰り広げる涙＋涙（笑）の学園ドラマ！赴任早々校門をぶち壊したりと生徒たちのリア充的学園生活に衝撃を与え続ける原田（古田新太）がチアダンス部の顧問を担当することに。「チアダンスに男も女もない！」といいつつ練習の長さにブラック部活だと毒づく原田。ある日、チア部員川崎（高橋ひかる）のケガが原因で長井（松下奈緒）に部活休止を命じられた原田は秘策を思いつく…。</v>
      </c>
      <c r="N3246" s="2"/>
      <c r="O3246" s="2"/>
      <c r="P3246" s="2"/>
      <c r="Q3246" s="2"/>
      <c r="R3246" s="2"/>
      <c r="S3246" s="2"/>
      <c r="T3246" s="2"/>
      <c r="U3246" s="2"/>
      <c r="V3246" s="2"/>
      <c r="W3246" s="2"/>
      <c r="X3246" s="2"/>
      <c r="Y3246" s="2"/>
      <c r="Z3246" s="2"/>
      <c r="AA3246" s="2"/>
      <c r="AB3246" s="2"/>
      <c r="AC3246" s="2"/>
      <c r="AD3246" s="2"/>
      <c r="AE3246" s="2"/>
      <c r="AF3246" s="2"/>
      <c r="AG3246" s="2"/>
      <c r="AH3246" s="2"/>
      <c r="AI3246" s="2"/>
      <c r="AJ3246" s="2"/>
      <c r="AK3246" s="2"/>
      <c r="AL3246" s="2"/>
      <c r="AM3246" s="2"/>
      <c r="AN3246" s="2"/>
      <c r="AO3246" s="2"/>
      <c r="AP3246" s="2"/>
      <c r="AQ3246" s="2"/>
      <c r="AR3246" s="2"/>
      <c r="AS3246" s="2"/>
      <c r="AT3246" s="2"/>
      <c r="AU3246" s="2"/>
      <c r="AV3246" s="2"/>
      <c r="AW3246" s="2"/>
      <c r="AX3246" s="2"/>
      <c r="AY3246" s="2"/>
      <c r="AZ3246" s="2"/>
      <c r="BA3246" s="2"/>
      <c r="BB3246" s="2"/>
    </row>
    <row r="3247" ht="204.75" customHeight="1">
      <c r="A3247" s="1">
        <v>316.0</v>
      </c>
      <c r="B3247" s="2" t="s">
        <v>9711</v>
      </c>
      <c r="C3247" s="2">
        <f>IFERROR(__xludf.DUMMYFUNCTION("split(B3247,""_"")"),1904.0)</f>
        <v>1904</v>
      </c>
      <c r="D3247" s="2" t="str">
        <f>IFERROR(__xludf.DUMMYFUNCTION("""COMPUTED_VALUE"""),"NTV")</f>
        <v>NTV</v>
      </c>
      <c r="E3247" s="2" t="str">
        <f>IFERROR(__xludf.DUMMYFUNCTION("""COMPUTED_VALUE"""),"土22")</f>
        <v>土22</v>
      </c>
      <c r="F3247" s="2" t="s">
        <v>9712</v>
      </c>
      <c r="G3247" s="2" t="s">
        <v>9719</v>
      </c>
      <c r="H3247" s="1">
        <v>3.0</v>
      </c>
      <c r="I3247" s="1" t="s">
        <v>10</v>
      </c>
      <c r="J3247" s="1" t="s">
        <v>86</v>
      </c>
      <c r="K3247" s="2" t="s">
        <v>9720</v>
      </c>
      <c r="L3247" s="11" t="s">
        <v>9721</v>
      </c>
      <c r="M3247" s="2" t="str">
        <f>IFERROR(__xludf.DUMMYFUNCTION("split(split(K3247,""【"",false),""公式LINE"",false)"),"明智（永瀬廉）ら2年3組のリア充学園生活に波風たてまくりの原田のぶお（古田新太）はテストを前に、赤点を取られると補習が面倒と張り切って授業をする日々。そんな中、不登校だった光岡（阿久津仁愛）が、テスト当日原田の前に初めて登校した。光岡は幼い弟妹（鈴木楽・誉）の面倒を母（須藤理彩）に代わって看ており大学に行きたい気持ちはありつつ学校が面倒になっていたのだ。そんな中、光岡のカンニング騒動が起きて…。")</f>
        <v>明智（永瀬廉）ら2年3組のリア充学園生活に波風たてまくりの原田のぶお（古田新太）はテストを前に、赤点を取られると補習が面倒と張り切って授業をする日々。そんな中、不登校だった光岡（阿久津仁愛）が、テスト当日原田の前に初めて登校した。光岡は幼い弟妹（鈴木楽・誉）の面倒を母（須藤理彩）に代わって看ており大学に行きたい気持ちはありつつ学校が面倒になっていたのだ。そんな中、光岡のカンニング騒動が起きて…。</v>
      </c>
      <c r="N3247" s="2"/>
      <c r="O3247" s="2"/>
      <c r="P3247" s="2"/>
      <c r="Q3247" s="2"/>
      <c r="R3247" s="2"/>
      <c r="S3247" s="2"/>
      <c r="T3247" s="2"/>
      <c r="U3247" s="2"/>
      <c r="V3247" s="2"/>
      <c r="W3247" s="2"/>
      <c r="X3247" s="2"/>
      <c r="Y3247" s="2"/>
      <c r="Z3247" s="2"/>
      <c r="AA3247" s="2"/>
      <c r="AB3247" s="2"/>
      <c r="AC3247" s="2"/>
      <c r="AD3247" s="2"/>
      <c r="AE3247" s="2"/>
      <c r="AF3247" s="2"/>
      <c r="AG3247" s="2"/>
      <c r="AH3247" s="2"/>
      <c r="AI3247" s="2"/>
      <c r="AJ3247" s="2"/>
      <c r="AK3247" s="2"/>
      <c r="AL3247" s="2"/>
      <c r="AM3247" s="2"/>
      <c r="AN3247" s="2"/>
      <c r="AO3247" s="2"/>
      <c r="AP3247" s="2"/>
      <c r="AQ3247" s="2"/>
      <c r="AR3247" s="2"/>
      <c r="AS3247" s="2"/>
      <c r="AT3247" s="2"/>
      <c r="AU3247" s="2"/>
      <c r="AV3247" s="2"/>
      <c r="AW3247" s="2"/>
      <c r="AX3247" s="2"/>
      <c r="AY3247" s="2"/>
      <c r="AZ3247" s="2"/>
      <c r="BA3247" s="2"/>
      <c r="BB3247" s="2"/>
    </row>
    <row r="3248" ht="204.75" customHeight="1">
      <c r="A3248" s="1">
        <v>317.0</v>
      </c>
      <c r="B3248" s="2" t="s">
        <v>9711</v>
      </c>
      <c r="C3248" s="2">
        <f>IFERROR(__xludf.DUMMYFUNCTION("split(B3248,""_"")"),1904.0)</f>
        <v>1904</v>
      </c>
      <c r="D3248" s="2" t="str">
        <f>IFERROR(__xludf.DUMMYFUNCTION("""COMPUTED_VALUE"""),"NTV")</f>
        <v>NTV</v>
      </c>
      <c r="E3248" s="2" t="str">
        <f>IFERROR(__xludf.DUMMYFUNCTION("""COMPUTED_VALUE"""),"土22")</f>
        <v>土22</v>
      </c>
      <c r="F3248" s="2" t="s">
        <v>9712</v>
      </c>
      <c r="G3248" s="2" t="s">
        <v>9722</v>
      </c>
      <c r="H3248" s="1">
        <v>4.0</v>
      </c>
      <c r="I3248" s="1" t="s">
        <v>14</v>
      </c>
      <c r="J3248" s="1" t="s">
        <v>86</v>
      </c>
      <c r="K3248" s="2" t="s">
        <v>9723</v>
      </c>
      <c r="L3248" s="11" t="s">
        <v>9724</v>
      </c>
      <c r="M3248" s="2" t="str">
        <f>IFERROR(__xludf.DUMMYFUNCTION("split(split(K3248,""【"",false),""公式LINE"",false)"),"2年3組のリア充学園生活に波風たてまくりの原田のぶお（古田新太）だが、若林（長尾謙杜）ら一部の生徒達はその存在に慣れてきたようだ。しかし、東条（道枝駿佑）はのぶおが来てから明智（永瀬廉）とギクシャクした関係が続いていた。そんな中、クラスは校長（いとうせいこう）のダイバーシティ教育の一環で職業体験に行くことになり、のぶおが引率する東条・若林らの班は探偵事務所を体験することになってしまう…。")</f>
        <v>2年3組のリア充学園生活に波風たてまくりの原田のぶお（古田新太）だが、若林（長尾謙杜）ら一部の生徒達はその存在に慣れてきたようだ。しかし、東条（道枝駿佑）はのぶおが来てから明智（永瀬廉）とギクシャクした関係が続いていた。そんな中、クラスは校長（いとうせいこう）のダイバーシティ教育の一環で職業体験に行くことになり、のぶおが引率する東条・若林らの班は探偵事務所を体験することになってしまう…。</v>
      </c>
      <c r="N3248" s="2"/>
      <c r="O3248" s="2"/>
      <c r="P3248" s="2"/>
      <c r="Q3248" s="2"/>
      <c r="R3248" s="2"/>
      <c r="S3248" s="2"/>
      <c r="T3248" s="2"/>
      <c r="U3248" s="2"/>
      <c r="V3248" s="2"/>
      <c r="W3248" s="2"/>
      <c r="X3248" s="2"/>
      <c r="Y3248" s="2"/>
      <c r="Z3248" s="2"/>
      <c r="AA3248" s="2"/>
      <c r="AB3248" s="2"/>
      <c r="AC3248" s="2"/>
      <c r="AD3248" s="2"/>
      <c r="AE3248" s="2"/>
      <c r="AF3248" s="2"/>
      <c r="AG3248" s="2"/>
      <c r="AH3248" s="2"/>
      <c r="AI3248" s="2"/>
      <c r="AJ3248" s="2"/>
      <c r="AK3248" s="2"/>
      <c r="AL3248" s="2"/>
      <c r="AM3248" s="2"/>
      <c r="AN3248" s="2"/>
      <c r="AO3248" s="2"/>
      <c r="AP3248" s="2"/>
      <c r="AQ3248" s="2"/>
      <c r="AR3248" s="2"/>
      <c r="AS3248" s="2"/>
      <c r="AT3248" s="2"/>
      <c r="AU3248" s="2"/>
      <c r="AV3248" s="2"/>
      <c r="AW3248" s="2"/>
      <c r="AX3248" s="2"/>
      <c r="AY3248" s="2"/>
      <c r="AZ3248" s="2"/>
      <c r="BA3248" s="2"/>
      <c r="BB3248" s="2"/>
    </row>
    <row r="3249" ht="204.75" customHeight="1">
      <c r="A3249" s="1">
        <v>318.0</v>
      </c>
      <c r="B3249" s="2" t="s">
        <v>9711</v>
      </c>
      <c r="C3249" s="2">
        <f>IFERROR(__xludf.DUMMYFUNCTION("split(B3249,""_"")"),1904.0)</f>
        <v>1904</v>
      </c>
      <c r="D3249" s="2" t="str">
        <f>IFERROR(__xludf.DUMMYFUNCTION("""COMPUTED_VALUE"""),"NTV")</f>
        <v>NTV</v>
      </c>
      <c r="E3249" s="2" t="str">
        <f>IFERROR(__xludf.DUMMYFUNCTION("""COMPUTED_VALUE"""),"土22")</f>
        <v>土22</v>
      </c>
      <c r="F3249" s="2" t="s">
        <v>9712</v>
      </c>
      <c r="G3249" s="2" t="s">
        <v>9725</v>
      </c>
      <c r="H3249" s="1">
        <v>5.0</v>
      </c>
      <c r="I3249" s="1" t="s">
        <v>17</v>
      </c>
      <c r="J3249" s="1" t="s">
        <v>86</v>
      </c>
      <c r="K3249" s="2" t="s">
        <v>9726</v>
      </c>
      <c r="L3249" s="11" t="s">
        <v>9727</v>
      </c>
      <c r="M3249" s="2" t="str">
        <f>IFERROR(__xludf.DUMMYFUNCTION("split(split(K3249,""【"",false),""公式LINE"",false)"),"他2年3組のリア充学園生活になんだか馴染んできた原田のぶお(古田新太)。明智(永瀬廉)はまだのぶおを辞めさせる賭けを続けていると言うが、クラスはヘンテコな担任を受け入れつつあった。ある日、若林（長尾謙杜）が”恋の病”に落ちたと知り、のぶおはクラスメイトたちと「若林。をプロデュース」作戦をたてることに。和気あいあいと若林の事で盛り上がるのぶお達を見て、長井（松下奈緒）ののぶおを見る目も変わって来て…。")</f>
        <v>他2年3組のリア充学園生活になんだか馴染んできた原田のぶお(古田新太)。明智(永瀬廉)はまだのぶおを辞めさせる賭けを続けていると言うが、クラスはヘンテコな担任を受け入れつつあった。ある日、若林（長尾謙杜）が”恋の病”に落ちたと知り、のぶおはクラスメイトたちと「若林。をプロデュース」作戦をたてることに。和気あいあいと若林の事で盛り上がるのぶお達を見て、長井（松下奈緒）ののぶおを見る目も変わって来て…。</v>
      </c>
      <c r="N3249" s="2"/>
      <c r="O3249" s="2"/>
      <c r="P3249" s="2"/>
      <c r="Q3249" s="2"/>
      <c r="R3249" s="2"/>
      <c r="S3249" s="2"/>
      <c r="T3249" s="2"/>
      <c r="U3249" s="2"/>
      <c r="V3249" s="2"/>
      <c r="W3249" s="2"/>
      <c r="X3249" s="2"/>
      <c r="Y3249" s="2"/>
      <c r="Z3249" s="2"/>
      <c r="AA3249" s="2"/>
      <c r="AB3249" s="2"/>
      <c r="AC3249" s="2"/>
      <c r="AD3249" s="2"/>
      <c r="AE3249" s="2"/>
      <c r="AF3249" s="2"/>
      <c r="AG3249" s="2"/>
      <c r="AH3249" s="2"/>
      <c r="AI3249" s="2"/>
      <c r="AJ3249" s="2"/>
      <c r="AK3249" s="2"/>
      <c r="AL3249" s="2"/>
      <c r="AM3249" s="2"/>
      <c r="AN3249" s="2"/>
      <c r="AO3249" s="2"/>
      <c r="AP3249" s="2"/>
      <c r="AQ3249" s="2"/>
      <c r="AR3249" s="2"/>
      <c r="AS3249" s="2"/>
      <c r="AT3249" s="2"/>
      <c r="AU3249" s="2"/>
      <c r="AV3249" s="2"/>
      <c r="AW3249" s="2"/>
      <c r="AX3249" s="2"/>
      <c r="AY3249" s="2"/>
      <c r="AZ3249" s="2"/>
      <c r="BA3249" s="2"/>
      <c r="BB3249" s="2"/>
    </row>
    <row r="3250" ht="204.75" customHeight="1">
      <c r="A3250" s="1">
        <v>319.0</v>
      </c>
      <c r="B3250" s="2" t="s">
        <v>9711</v>
      </c>
      <c r="C3250" s="2">
        <f>IFERROR(__xludf.DUMMYFUNCTION("split(B3250,""_"")"),1904.0)</f>
        <v>1904</v>
      </c>
      <c r="D3250" s="2" t="str">
        <f>IFERROR(__xludf.DUMMYFUNCTION("""COMPUTED_VALUE"""),"NTV")</f>
        <v>NTV</v>
      </c>
      <c r="E3250" s="2" t="str">
        <f>IFERROR(__xludf.DUMMYFUNCTION("""COMPUTED_VALUE"""),"土22")</f>
        <v>土22</v>
      </c>
      <c r="F3250" s="2" t="s">
        <v>9712</v>
      </c>
      <c r="G3250" s="2" t="s">
        <v>9728</v>
      </c>
      <c r="H3250" s="1">
        <v>6.0</v>
      </c>
      <c r="I3250" s="1" t="s">
        <v>21</v>
      </c>
      <c r="J3250" s="1" t="s">
        <v>86</v>
      </c>
      <c r="K3250" s="2" t="s">
        <v>9729</v>
      </c>
      <c r="L3250" s="11" t="s">
        <v>9730</v>
      </c>
      <c r="M3250" s="2" t="str">
        <f>IFERROR(__xludf.DUMMYFUNCTION("split(split(K3250,""【"",false),""公式LINE"",false)"),"2年3組のリア充学園生活に受け入れられてきた原田のぶお(古田新太)。2年生の進路説明会と授業参観が行われることになり、生徒たちは保護者が学校に来るということに浮足立つが、明智（永瀬廉）だけはその話題に加わろうとしない…。そんな中、里見（白石麻衣）は親の決めたお見合いで結婚をし教師を辞めなければならないという岐路に立たされていた。オトナもコドモも関係ないのぶおの進路指導が始まる!")</f>
        <v>2年3組のリア充学園生活に受け入れられてきた原田のぶお(古田新太)。2年生の進路説明会と授業参観が行われることになり、生徒たちは保護者が学校に来るということに浮足立つが、明智（永瀬廉）だけはその話題に加わろうとしない…。そんな中、里見（白石麻衣）は親の決めたお見合いで結婚をし教師を辞めなければならないという岐路に立たされていた。オトナもコドモも関係ないのぶおの進路指導が始まる!</v>
      </c>
      <c r="N3250" s="2"/>
      <c r="O3250" s="2"/>
      <c r="P3250" s="2"/>
      <c r="Q3250" s="2"/>
      <c r="R3250" s="2"/>
      <c r="S3250" s="2"/>
      <c r="T3250" s="2"/>
      <c r="U3250" s="2"/>
      <c r="V3250" s="2"/>
      <c r="W3250" s="2"/>
      <c r="X3250" s="2"/>
      <c r="Y3250" s="2"/>
      <c r="Z3250" s="2"/>
      <c r="AA3250" s="2"/>
      <c r="AB3250" s="2"/>
      <c r="AC3250" s="2"/>
      <c r="AD3250" s="2"/>
      <c r="AE3250" s="2"/>
      <c r="AF3250" s="2"/>
      <c r="AG3250" s="2"/>
      <c r="AH3250" s="2"/>
      <c r="AI3250" s="2"/>
      <c r="AJ3250" s="2"/>
      <c r="AK3250" s="2"/>
      <c r="AL3250" s="2"/>
      <c r="AM3250" s="2"/>
      <c r="AN3250" s="2"/>
      <c r="AO3250" s="2"/>
      <c r="AP3250" s="2"/>
      <c r="AQ3250" s="2"/>
      <c r="AR3250" s="2"/>
      <c r="AS3250" s="2"/>
      <c r="AT3250" s="2"/>
      <c r="AU3250" s="2"/>
      <c r="AV3250" s="2"/>
      <c r="AW3250" s="2"/>
      <c r="AX3250" s="2"/>
      <c r="AY3250" s="2"/>
      <c r="AZ3250" s="2"/>
      <c r="BA3250" s="2"/>
      <c r="BB3250" s="2"/>
    </row>
    <row r="3251" ht="204.75" customHeight="1">
      <c r="A3251" s="1">
        <v>320.0</v>
      </c>
      <c r="B3251" s="2" t="s">
        <v>9711</v>
      </c>
      <c r="C3251" s="2">
        <f>IFERROR(__xludf.DUMMYFUNCTION("split(B3251,""_"")"),1904.0)</f>
        <v>1904</v>
      </c>
      <c r="D3251" s="2" t="str">
        <f>IFERROR(__xludf.DUMMYFUNCTION("""COMPUTED_VALUE"""),"NTV")</f>
        <v>NTV</v>
      </c>
      <c r="E3251" s="2" t="str">
        <f>IFERROR(__xludf.DUMMYFUNCTION("""COMPUTED_VALUE"""),"土22")</f>
        <v>土22</v>
      </c>
      <c r="F3251" s="2" t="s">
        <v>9712</v>
      </c>
      <c r="G3251" s="2" t="s">
        <v>9731</v>
      </c>
      <c r="H3251" s="1">
        <v>7.0</v>
      </c>
      <c r="I3251" s="1" t="s">
        <v>25</v>
      </c>
      <c r="J3251" s="1" t="s">
        <v>86</v>
      </c>
      <c r="K3251" s="2" t="s">
        <v>9732</v>
      </c>
      <c r="L3251" s="11" t="s">
        <v>9733</v>
      </c>
      <c r="M3251" s="2" t="str">
        <f>IFERROR(__xludf.DUMMYFUNCTION("split(split(K3251,""【"",false),""公式LINE"",false)"),"原田のぶお（古田新太）と2年3組の学園生活が軌道に乗り始める中、明智（永瀬廉）が長井（松下奈緒）に退学届を提出。長井は明智の父親・純一（板尾創路）に事情を聞きに行き明智が家族の犠牲になっているのではと感じる。助ける術がわからない長井を見て、動き始めるのぶおの作戦には、当然のように東条（道枝駿佑）や若林（長尾謙杜）ら生徒達が巻き込まれるのだった！のぶおのトンデモ授業は明智を学校に取り戻せるのか…!?")</f>
        <v>原田のぶお（古田新太）と2年3組の学園生活が軌道に乗り始める中、明智（永瀬廉）が長井（松下奈緒）に退学届を提出。長井は明智の父親・純一（板尾創路）に事情を聞きに行き明智が家族の犠牲になっているのではと感じる。助ける術がわからない長井を見て、動き始めるのぶおの作戦には、当然のように東条（道枝駿佑）や若林（長尾謙杜）ら生徒達が巻き込まれるのだった！のぶおのトンデモ授業は明智を学校に取り戻せるのか…!?</v>
      </c>
      <c r="N3251" s="2"/>
      <c r="O3251" s="2"/>
      <c r="P3251" s="2"/>
      <c r="Q3251" s="2"/>
      <c r="R3251" s="2"/>
      <c r="S3251" s="2"/>
      <c r="T3251" s="2"/>
      <c r="U3251" s="2"/>
      <c r="V3251" s="2"/>
      <c r="W3251" s="2"/>
      <c r="X3251" s="2"/>
      <c r="Y3251" s="2"/>
      <c r="Z3251" s="2"/>
      <c r="AA3251" s="2"/>
      <c r="AB3251" s="2"/>
      <c r="AC3251" s="2"/>
      <c r="AD3251" s="2"/>
      <c r="AE3251" s="2"/>
      <c r="AF3251" s="2"/>
      <c r="AG3251" s="2"/>
      <c r="AH3251" s="2"/>
      <c r="AI3251" s="2"/>
      <c r="AJ3251" s="2"/>
      <c r="AK3251" s="2"/>
      <c r="AL3251" s="2"/>
      <c r="AM3251" s="2"/>
      <c r="AN3251" s="2"/>
      <c r="AO3251" s="2"/>
      <c r="AP3251" s="2"/>
      <c r="AQ3251" s="2"/>
      <c r="AR3251" s="2"/>
      <c r="AS3251" s="2"/>
      <c r="AT3251" s="2"/>
      <c r="AU3251" s="2"/>
      <c r="AV3251" s="2"/>
      <c r="AW3251" s="2"/>
      <c r="AX3251" s="2"/>
      <c r="AY3251" s="2"/>
      <c r="AZ3251" s="2"/>
      <c r="BA3251" s="2"/>
      <c r="BB3251" s="2"/>
    </row>
    <row r="3252" ht="204.75" customHeight="1">
      <c r="A3252" s="1">
        <v>321.0</v>
      </c>
      <c r="B3252" s="2" t="s">
        <v>9711</v>
      </c>
      <c r="C3252" s="2">
        <f>IFERROR(__xludf.DUMMYFUNCTION("split(B3252,""_"")"),1904.0)</f>
        <v>1904</v>
      </c>
      <c r="D3252" s="2" t="str">
        <f>IFERROR(__xludf.DUMMYFUNCTION("""COMPUTED_VALUE"""),"NTV")</f>
        <v>NTV</v>
      </c>
      <c r="E3252" s="2" t="str">
        <f>IFERROR(__xludf.DUMMYFUNCTION("""COMPUTED_VALUE"""),"土22")</f>
        <v>土22</v>
      </c>
      <c r="F3252" s="2" t="s">
        <v>9712</v>
      </c>
      <c r="G3252" s="2" t="s">
        <v>9734</v>
      </c>
      <c r="H3252" s="1">
        <v>8.0</v>
      </c>
      <c r="I3252" s="1" t="s">
        <v>29</v>
      </c>
      <c r="J3252" s="1" t="s">
        <v>86</v>
      </c>
      <c r="K3252" s="2" t="s">
        <v>9735</v>
      </c>
      <c r="L3252" s="11" t="s">
        <v>9736</v>
      </c>
      <c r="M3252" s="2" t="str">
        <f>IFERROR(__xludf.DUMMYFUNCTION("split(split(K3252,""【"",false),""公式LINE"",false)"),"明智（永瀬廉）も学園生活に戻り原田のぶお（古田新太）と2年3組がついにまとまりを見せてきた。そんな中、生徒も先生も大はしゃぎの文化祭が開催される！学園は演劇、お化け屋敷と定番の出し物で盛り上がり、のぶおのクラスは若林（長尾謙杜）のアイデアで東条（道枝駿佑）をママにした「女装バー」が大盛況！しかし、のぶおが一番楽しみにしているのは、主張したい事を思い切り叫ぶメインイベント「青年の主張」だった…。")</f>
        <v>明智（永瀬廉）も学園生活に戻り原田のぶお（古田新太）と2年3組がついにまとまりを見せてきた。そんな中、生徒も先生も大はしゃぎの文化祭が開催される！学園は演劇、お化け屋敷と定番の出し物で盛り上がり、のぶおのクラスは若林（長尾謙杜）のアイデアで東条（道枝駿佑）をママにした「女装バー」が大盛況！しかし、のぶおが一番楽しみにしているのは、主張したい事を思い切り叫ぶメインイベント「青年の主張」だった…。</v>
      </c>
      <c r="N3252" s="2"/>
      <c r="O3252" s="2"/>
      <c r="P3252" s="2"/>
      <c r="Q3252" s="2"/>
      <c r="R3252" s="2"/>
      <c r="S3252" s="2"/>
      <c r="T3252" s="2"/>
      <c r="U3252" s="2"/>
      <c r="V3252" s="2"/>
      <c r="W3252" s="2"/>
      <c r="X3252" s="2"/>
      <c r="Y3252" s="2"/>
      <c r="Z3252" s="2"/>
      <c r="AA3252" s="2"/>
      <c r="AB3252" s="2"/>
      <c r="AC3252" s="2"/>
      <c r="AD3252" s="2"/>
      <c r="AE3252" s="2"/>
      <c r="AF3252" s="2"/>
      <c r="AG3252" s="2"/>
      <c r="AH3252" s="2"/>
      <c r="AI3252" s="2"/>
      <c r="AJ3252" s="2"/>
      <c r="AK3252" s="2"/>
      <c r="AL3252" s="2"/>
      <c r="AM3252" s="2"/>
      <c r="AN3252" s="2"/>
      <c r="AO3252" s="2"/>
      <c r="AP3252" s="2"/>
      <c r="AQ3252" s="2"/>
      <c r="AR3252" s="2"/>
      <c r="AS3252" s="2"/>
      <c r="AT3252" s="2"/>
      <c r="AU3252" s="2"/>
      <c r="AV3252" s="2"/>
      <c r="AW3252" s="2"/>
      <c r="AX3252" s="2"/>
      <c r="AY3252" s="2"/>
      <c r="AZ3252" s="2"/>
      <c r="BA3252" s="2"/>
      <c r="BB3252" s="2"/>
    </row>
    <row r="3253" ht="204.75" customHeight="1">
      <c r="A3253" s="1">
        <v>322.0</v>
      </c>
      <c r="B3253" s="2" t="s">
        <v>9711</v>
      </c>
      <c r="C3253" s="2">
        <f>IFERROR(__xludf.DUMMYFUNCTION("split(B3253,""_"")"),1904.0)</f>
        <v>1904</v>
      </c>
      <c r="D3253" s="2" t="str">
        <f>IFERROR(__xludf.DUMMYFUNCTION("""COMPUTED_VALUE"""),"NTV")</f>
        <v>NTV</v>
      </c>
      <c r="E3253" s="2" t="str">
        <f>IFERROR(__xludf.DUMMYFUNCTION("""COMPUTED_VALUE"""),"土22")</f>
        <v>土22</v>
      </c>
      <c r="F3253" s="2" t="s">
        <v>9712</v>
      </c>
      <c r="G3253" s="2" t="s">
        <v>9737</v>
      </c>
      <c r="H3253" s="1">
        <v>9.0</v>
      </c>
      <c r="I3253" s="1" t="s">
        <v>33</v>
      </c>
      <c r="J3253" s="1" t="s">
        <v>86</v>
      </c>
      <c r="K3253" s="2" t="s">
        <v>9738</v>
      </c>
      <c r="L3253" s="11" t="s">
        <v>9739</v>
      </c>
      <c r="M3253" s="2" t="str">
        <f>IFERROR(__xludf.DUMMYFUNCTION("split(split(K3253,""【"",false),""公式LINE"",false)"),"原田のぶお（古田新太）の余命が少ないことを知った2年3組と学園のみんな。そんな中、矢野（小市慢太郎）が撮影したボクシング会場での、のぶおと明智（永瀬廉）の動画が「教師の暴力」としてアップされ、炎上し「ゲイの暴力教師を野放しにするな」と世間から非難を受けることに。辞職を迫られる校長（いとうせいこう）とのぶおのために、明智や東条（道枝駿佑）らは奔走、そして長井（松下奈緒）もついに立ちあがるのだった!")</f>
        <v>原田のぶお（古田新太）の余命が少ないことを知った2年3組と学園のみんな。そんな中、矢野（小市慢太郎）が撮影したボクシング会場での、のぶおと明智（永瀬廉）の動画が「教師の暴力」としてアップされ、炎上し「ゲイの暴力教師を野放しにするな」と世間から非難を受けることに。辞職を迫られる校長（いとうせいこう）とのぶおのために、明智や東条（道枝駿佑）らは奔走、そして長井（松下奈緒）もついに立ちあがるのだった!</v>
      </c>
      <c r="N3253" s="2"/>
      <c r="O3253" s="2"/>
      <c r="P3253" s="2"/>
      <c r="Q3253" s="2"/>
      <c r="R3253" s="2"/>
      <c r="S3253" s="2"/>
      <c r="T3253" s="2"/>
      <c r="U3253" s="2"/>
      <c r="V3253" s="2"/>
      <c r="W3253" s="2"/>
      <c r="X3253" s="2"/>
      <c r="Y3253" s="2"/>
      <c r="Z3253" s="2"/>
      <c r="AA3253" s="2"/>
      <c r="AB3253" s="2"/>
      <c r="AC3253" s="2"/>
      <c r="AD3253" s="2"/>
      <c r="AE3253" s="2"/>
      <c r="AF3253" s="2"/>
      <c r="AG3253" s="2"/>
      <c r="AH3253" s="2"/>
      <c r="AI3253" s="2"/>
      <c r="AJ3253" s="2"/>
      <c r="AK3253" s="2"/>
      <c r="AL3253" s="2"/>
      <c r="AM3253" s="2"/>
      <c r="AN3253" s="2"/>
      <c r="AO3253" s="2"/>
      <c r="AP3253" s="2"/>
      <c r="AQ3253" s="2"/>
      <c r="AR3253" s="2"/>
      <c r="AS3253" s="2"/>
      <c r="AT3253" s="2"/>
      <c r="AU3253" s="2"/>
      <c r="AV3253" s="2"/>
      <c r="AW3253" s="2"/>
      <c r="AX3253" s="2"/>
      <c r="AY3253" s="2"/>
      <c r="AZ3253" s="2"/>
      <c r="BA3253" s="2"/>
      <c r="BB3253" s="2"/>
    </row>
    <row r="3254" ht="204.75" customHeight="1">
      <c r="A3254" s="1">
        <v>323.0</v>
      </c>
      <c r="B3254" s="2" t="s">
        <v>9711</v>
      </c>
      <c r="C3254" s="2">
        <f>IFERROR(__xludf.DUMMYFUNCTION("split(B3254,""_"")"),1904.0)</f>
        <v>1904</v>
      </c>
      <c r="D3254" s="2" t="str">
        <f>IFERROR(__xludf.DUMMYFUNCTION("""COMPUTED_VALUE"""),"NTV")</f>
        <v>NTV</v>
      </c>
      <c r="E3254" s="2" t="str">
        <f>IFERROR(__xludf.DUMMYFUNCTION("""COMPUTED_VALUE"""),"土22")</f>
        <v>土22</v>
      </c>
      <c r="F3254" s="2" t="s">
        <v>9712</v>
      </c>
      <c r="G3254" s="2" t="s">
        <v>9740</v>
      </c>
      <c r="H3254" s="1">
        <v>10.0</v>
      </c>
      <c r="I3254" s="1" t="s">
        <v>37</v>
      </c>
      <c r="J3254" s="1" t="s">
        <v>86</v>
      </c>
      <c r="K3254" s="2" t="s">
        <v>9741</v>
      </c>
      <c r="L3254" s="11" t="s">
        <v>9742</v>
      </c>
      <c r="M3254" s="2" t="str">
        <f>IFERROR(__xludf.DUMMYFUNCTION("split(split(K3254,""【"",false),""公式LINE"",false)"),"原田のぶお（古田新太）が学校を辞めた。残された2年3組と学園の先生たちは「のぶおっぽさ」を心の中に置いてけぼりにされて毎日を過ごすが、どこか物足りない。「死ぬ前にやりたいことがいっぱいある」というのぶおの言葉が頭に残る学園のみんな。明智（永瀬廉）は「死ぬ前じゃなくてもやりたいこと全部やっていいと思う」と、田中（桐山漣）の授業時間を使いのぶおの「やりたい」自分たちの1年早い卒業式を開こうと提案する!")</f>
        <v>原田のぶお（古田新太）が学校を辞めた。残された2年3組と学園の先生たちは「のぶおっぽさ」を心の中に置いてけぼりにされて毎日を過ごすが、どこか物足りない。「死ぬ前にやりたいことがいっぱいある」というのぶおの言葉が頭に残る学園のみんな。明智（永瀬廉）は「死ぬ前じゃなくてもやりたいこと全部やっていいと思う」と、田中（桐山漣）の授業時間を使いのぶおの「やりたい」自分たちの1年早い卒業式を開こうと提案する!</v>
      </c>
      <c r="N3254" s="2"/>
      <c r="O3254" s="2"/>
      <c r="P3254" s="2"/>
      <c r="Q3254" s="2"/>
      <c r="R3254" s="2"/>
      <c r="S3254" s="2"/>
      <c r="T3254" s="2"/>
      <c r="U3254" s="2"/>
      <c r="V3254" s="2"/>
      <c r="W3254" s="2"/>
      <c r="X3254" s="2"/>
      <c r="Y3254" s="2"/>
      <c r="Z3254" s="2"/>
      <c r="AA3254" s="2"/>
      <c r="AB3254" s="2"/>
      <c r="AC3254" s="2"/>
      <c r="AD3254" s="2"/>
      <c r="AE3254" s="2"/>
      <c r="AF3254" s="2"/>
      <c r="AG3254" s="2"/>
      <c r="AH3254" s="2"/>
      <c r="AI3254" s="2"/>
      <c r="AJ3254" s="2"/>
      <c r="AK3254" s="2"/>
      <c r="AL3254" s="2"/>
      <c r="AM3254" s="2"/>
      <c r="AN3254" s="2"/>
      <c r="AO3254" s="2"/>
      <c r="AP3254" s="2"/>
      <c r="AQ3254" s="2"/>
      <c r="AR3254" s="2"/>
      <c r="AS3254" s="2"/>
      <c r="AT3254" s="2"/>
      <c r="AU3254" s="2"/>
      <c r="AV3254" s="2"/>
      <c r="AW3254" s="2"/>
      <c r="AX3254" s="2"/>
      <c r="AY3254" s="2"/>
      <c r="AZ3254" s="2"/>
      <c r="BA3254" s="2"/>
      <c r="BB3254" s="2"/>
    </row>
    <row r="3255" ht="204.75" customHeight="1">
      <c r="A3255" s="1">
        <v>342.0</v>
      </c>
      <c r="B3255" s="2" t="s">
        <v>9743</v>
      </c>
      <c r="C3255" s="2">
        <f>IFERROR(__xludf.DUMMYFUNCTION("split(B3255,""_"")"),1904.0)</f>
        <v>1904</v>
      </c>
      <c r="D3255" s="2" t="str">
        <f>IFERROR(__xludf.DUMMYFUNCTION("""COMPUTED_VALUE"""),"NTV")</f>
        <v>NTV</v>
      </c>
      <c r="E3255" s="2" t="str">
        <f>IFERROR(__xludf.DUMMYFUNCTION("""COMPUTED_VALUE"""),"日22")</f>
        <v>日22</v>
      </c>
      <c r="F3255" s="2" t="s">
        <v>9621</v>
      </c>
      <c r="G3255" s="2" t="s">
        <v>9744</v>
      </c>
      <c r="H3255" s="1">
        <v>1.0</v>
      </c>
      <c r="I3255" s="1" t="s">
        <v>3</v>
      </c>
      <c r="J3255" s="1" t="s">
        <v>82</v>
      </c>
      <c r="K3255" s="2" t="s">
        <v>9745</v>
      </c>
      <c r="L3255" s="11" t="s">
        <v>9746</v>
      </c>
      <c r="M3255" s="2" t="str">
        <f>IFERROR(__xludf.DUMMYFUNCTION("split(split(K3255,""【"",false),""公式LINE"",false)"),"とあるマンションに引っ越してきた新婚夫婦の菜奈（原田）と翔太（田中）。新生活に胸を膨らませていた2人だが、菜奈が参加した住民会で、ひょんなことから参加者が“殺したい人”の名前を紙に書いて、クジのように引いていく「交換殺人ゲーム」が行われる。それは、ただの憂さ晴らしのゲームだったはずだが…!?")</f>
        <v>とあるマンションに引っ越してきた新婚夫婦の菜奈（原田）と翔太（田中）。新生活に胸を膨らませていた2人だが、菜奈が参加した住民会で、ひょんなことから参加者が“殺したい人”の名前を紙に書いて、クジのように引いていく「交換殺人ゲーム」が行われる。それは、ただの憂さ晴らしのゲームだったはずだが…!?</v>
      </c>
      <c r="N3255" s="2"/>
      <c r="O3255" s="2"/>
      <c r="P3255" s="2"/>
      <c r="Q3255" s="2"/>
      <c r="R3255" s="2"/>
      <c r="S3255" s="2"/>
      <c r="T3255" s="2"/>
      <c r="U3255" s="2"/>
      <c r="V3255" s="2"/>
      <c r="W3255" s="2"/>
      <c r="X3255" s="2"/>
      <c r="Y3255" s="2"/>
      <c r="Z3255" s="2"/>
      <c r="AA3255" s="2"/>
      <c r="AB3255" s="2"/>
      <c r="AC3255" s="2"/>
      <c r="AD3255" s="2"/>
      <c r="AE3255" s="2"/>
      <c r="AF3255" s="2"/>
      <c r="AG3255" s="2"/>
      <c r="AH3255" s="2"/>
      <c r="AI3255" s="2"/>
      <c r="AJ3255" s="2"/>
      <c r="AK3255" s="2"/>
      <c r="AL3255" s="2"/>
      <c r="AM3255" s="2"/>
      <c r="AN3255" s="2"/>
      <c r="AO3255" s="2"/>
      <c r="AP3255" s="2"/>
      <c r="AQ3255" s="2"/>
      <c r="AR3255" s="2"/>
      <c r="AS3255" s="2"/>
      <c r="AT3255" s="2"/>
      <c r="AU3255" s="2"/>
      <c r="AV3255" s="2"/>
      <c r="AW3255" s="2"/>
      <c r="AX3255" s="2"/>
      <c r="AY3255" s="2"/>
      <c r="AZ3255" s="2"/>
      <c r="BA3255" s="2"/>
      <c r="BB3255" s="2"/>
    </row>
    <row r="3256" ht="204.75" customHeight="1">
      <c r="A3256" s="1">
        <v>343.0</v>
      </c>
      <c r="B3256" s="2" t="s">
        <v>9743</v>
      </c>
      <c r="C3256" s="2">
        <f>IFERROR(__xludf.DUMMYFUNCTION("split(B3256,""_"")"),1904.0)</f>
        <v>1904</v>
      </c>
      <c r="D3256" s="2" t="str">
        <f>IFERROR(__xludf.DUMMYFUNCTION("""COMPUTED_VALUE"""),"NTV")</f>
        <v>NTV</v>
      </c>
      <c r="E3256" s="2" t="str">
        <f>IFERROR(__xludf.DUMMYFUNCTION("""COMPUTED_VALUE"""),"日22")</f>
        <v>日22</v>
      </c>
      <c r="F3256" s="2" t="s">
        <v>9621</v>
      </c>
      <c r="G3256" s="2" t="s">
        <v>9747</v>
      </c>
      <c r="H3256" s="1">
        <v>2.0</v>
      </c>
      <c r="I3256" s="1" t="s">
        <v>7</v>
      </c>
      <c r="J3256" s="1" t="s">
        <v>82</v>
      </c>
      <c r="K3256" s="2" t="s">
        <v>9748</v>
      </c>
      <c r="L3256" s="11" t="s">
        <v>9749</v>
      </c>
      <c r="M3256" s="2" t="str">
        <f>IFERROR(__xludf.DUMMYFUNCTION("split(split(K3256,""【"",false),""公式LINE"",false)"),"管理人の床島（竹中直人）が屋上から転落死した。マンションの掲示板には“管理人さん”と書かれた紙が…。恐ろしい交換殺人ゲームの幕開けなのか!?  翔太(田中圭)は、ショックで沈んでいる菜奈（原田知世）を気遣う。一方、ゲームのことを翔太に知られたくない菜奈。  そんな中、臨時の住民会が開かれる。不安ながらも住民たちは「あのゲームは床島の死と関係ないはず」と言い聞かせるが、悲劇はこれで終わりではなかった…!")</f>
        <v>管理人の床島（竹中直人）が屋上から転落死した。マンションの掲示板には“管理人さん”と書かれた紙が…。恐ろしい交換殺人ゲームの幕開けなのか!?  翔太(田中圭)は、ショックで沈んでいる菜奈（原田知世）を気遣う。一方、ゲームのことを翔太に知られたくない菜奈。  そんな中、臨時の住民会が開かれる。不安ながらも住民たちは「あのゲームは床島の死と関係ないはず」と言い聞かせるが、悲劇はこれで終わりではなかった…!</v>
      </c>
      <c r="N3256" s="2"/>
      <c r="O3256" s="2"/>
      <c r="P3256" s="2"/>
      <c r="Q3256" s="2"/>
      <c r="R3256" s="2"/>
      <c r="S3256" s="2"/>
      <c r="T3256" s="2"/>
      <c r="U3256" s="2"/>
      <c r="V3256" s="2"/>
      <c r="W3256" s="2"/>
      <c r="X3256" s="2"/>
      <c r="Y3256" s="2"/>
      <c r="Z3256" s="2"/>
      <c r="AA3256" s="2"/>
      <c r="AB3256" s="2"/>
      <c r="AC3256" s="2"/>
      <c r="AD3256" s="2"/>
      <c r="AE3256" s="2"/>
      <c r="AF3256" s="2"/>
      <c r="AG3256" s="2"/>
      <c r="AH3256" s="2"/>
      <c r="AI3256" s="2"/>
      <c r="AJ3256" s="2"/>
      <c r="AK3256" s="2"/>
      <c r="AL3256" s="2"/>
      <c r="AM3256" s="2"/>
      <c r="AN3256" s="2"/>
      <c r="AO3256" s="2"/>
      <c r="AP3256" s="2"/>
      <c r="AQ3256" s="2"/>
      <c r="AR3256" s="2"/>
      <c r="AS3256" s="2"/>
      <c r="AT3256" s="2"/>
      <c r="AU3256" s="2"/>
      <c r="AV3256" s="2"/>
      <c r="AW3256" s="2"/>
      <c r="AX3256" s="2"/>
      <c r="AY3256" s="2"/>
      <c r="AZ3256" s="2"/>
      <c r="BA3256" s="2"/>
      <c r="BB3256" s="2"/>
    </row>
    <row r="3257" ht="204.75" customHeight="1">
      <c r="A3257" s="1">
        <v>344.0</v>
      </c>
      <c r="B3257" s="2" t="s">
        <v>9743</v>
      </c>
      <c r="C3257" s="2">
        <f>IFERROR(__xludf.DUMMYFUNCTION("split(B3257,""_"")"),1904.0)</f>
        <v>1904</v>
      </c>
      <c r="D3257" s="2" t="str">
        <f>IFERROR(__xludf.DUMMYFUNCTION("""COMPUTED_VALUE"""),"NTV")</f>
        <v>NTV</v>
      </c>
      <c r="E3257" s="2" t="str">
        <f>IFERROR(__xludf.DUMMYFUNCTION("""COMPUTED_VALUE"""),"日22")</f>
        <v>日22</v>
      </c>
      <c r="F3257" s="2" t="s">
        <v>9621</v>
      </c>
      <c r="G3257" s="2" t="s">
        <v>9750</v>
      </c>
      <c r="H3257" s="1">
        <v>3.0</v>
      </c>
      <c r="I3257" s="1" t="s">
        <v>10</v>
      </c>
      <c r="J3257" s="1" t="s">
        <v>82</v>
      </c>
      <c r="K3257" s="2" t="s">
        <v>9751</v>
      </c>
      <c r="L3257" s="11" t="s">
        <v>9752</v>
      </c>
      <c r="M3257" s="2" t="str">
        <f>IFERROR(__xludf.DUMMYFUNCTION("split(split(K3257,""【"",false),""公式LINE"",false)"),"タレント医師の山際（森岡豊）が殺害され、 藤井（片桐仁）への脅迫がエスカレート。藤井は、山際を殺して自分を脅迫する人物がマンション内にいると疑うが、住民の間では、山際を殺したのは藤井だという噂が広がる。  推理モードの翔太（田中圭）は菜奈（原田知世）に山際事件の推理を披露するが、菜奈は心ここにあらず。  住民たちが疑心暗鬼になる中、藤井は引いた紙に書かれた“タナカマサオ”が誰なのか探し始めるが…!?")</f>
        <v>タレント医師の山際（森岡豊）が殺害され、 藤井（片桐仁）への脅迫がエスカレート。藤井は、山際を殺して自分を脅迫する人物がマンション内にいると疑うが、住民の間では、山際を殺したのは藤井だという噂が広がる。  推理モードの翔太（田中圭）は菜奈（原田知世）に山際事件の推理を披露するが、菜奈は心ここにあらず。  住民たちが疑心暗鬼になる中、藤井は引いた紙に書かれた“タナカマサオ”が誰なのか探し始めるが…!?</v>
      </c>
      <c r="N3257" s="2"/>
      <c r="O3257" s="2"/>
      <c r="P3257" s="2"/>
      <c r="Q3257" s="2"/>
      <c r="R3257" s="2"/>
      <c r="S3257" s="2"/>
      <c r="T3257" s="2"/>
      <c r="U3257" s="2"/>
      <c r="V3257" s="2"/>
      <c r="W3257" s="2"/>
      <c r="X3257" s="2"/>
      <c r="Y3257" s="2"/>
      <c r="Z3257" s="2"/>
      <c r="AA3257" s="2"/>
      <c r="AB3257" s="2"/>
      <c r="AC3257" s="2"/>
      <c r="AD3257" s="2"/>
      <c r="AE3257" s="2"/>
      <c r="AF3257" s="2"/>
      <c r="AG3257" s="2"/>
      <c r="AH3257" s="2"/>
      <c r="AI3257" s="2"/>
      <c r="AJ3257" s="2"/>
      <c r="AK3257" s="2"/>
      <c r="AL3257" s="2"/>
      <c r="AM3257" s="2"/>
      <c r="AN3257" s="2"/>
      <c r="AO3257" s="2"/>
      <c r="AP3257" s="2"/>
      <c r="AQ3257" s="2"/>
      <c r="AR3257" s="2"/>
      <c r="AS3257" s="2"/>
      <c r="AT3257" s="2"/>
      <c r="AU3257" s="2"/>
      <c r="AV3257" s="2"/>
      <c r="AW3257" s="2"/>
      <c r="AX3257" s="2"/>
      <c r="AY3257" s="2"/>
      <c r="AZ3257" s="2"/>
      <c r="BA3257" s="2"/>
      <c r="BB3257" s="2"/>
    </row>
    <row r="3258" ht="204.75" customHeight="1">
      <c r="A3258" s="1">
        <v>345.0</v>
      </c>
      <c r="B3258" s="2" t="s">
        <v>9743</v>
      </c>
      <c r="C3258" s="2">
        <f>IFERROR(__xludf.DUMMYFUNCTION("split(B3258,""_"")"),1904.0)</f>
        <v>1904</v>
      </c>
      <c r="D3258" s="2" t="str">
        <f>IFERROR(__xludf.DUMMYFUNCTION("""COMPUTED_VALUE"""),"NTV")</f>
        <v>NTV</v>
      </c>
      <c r="E3258" s="2" t="str">
        <f>IFERROR(__xludf.DUMMYFUNCTION("""COMPUTED_VALUE"""),"日22")</f>
        <v>日22</v>
      </c>
      <c r="F3258" s="2" t="s">
        <v>9621</v>
      </c>
      <c r="G3258" s="2" t="s">
        <v>9753</v>
      </c>
      <c r="H3258" s="1">
        <v>4.0</v>
      </c>
      <c r="I3258" s="1" t="s">
        <v>14</v>
      </c>
      <c r="J3258" s="1" t="s">
        <v>82</v>
      </c>
      <c r="K3258" s="2" t="s">
        <v>9754</v>
      </c>
      <c r="L3258" s="11" t="s">
        <v>9755</v>
      </c>
      <c r="M3258" s="2" t="str">
        <f>IFERROR(__xludf.DUMMYFUNCTION("split(split(K3258,""【"",false),""公式LINE"",false)"),"ゲームで名前を書かれた人物が、立て続けに3人命を落とした。住民会では、「誰の名前を書いたか発表しよう」という話が持ち上がるが、誰も応じない。  そんな中、翔太（田中圭）は尾野（奈緒）から、交換殺人ゲームの話を聞かされ、菜奈（原田知世）が自分に嘘をついていると知りショックを受ける。菜奈に理由を問いただすか迷う翔太。  そして、ゲームの次なる犠牲者は住民の中にいた…！殺されるのは誰なのか…!?")</f>
        <v>ゲームで名前を書かれた人物が、立て続けに3人命を落とした。住民会では、「誰の名前を書いたか発表しよう」という話が持ち上がるが、誰も応じない。  そんな中、翔太（田中圭）は尾野（奈緒）から、交換殺人ゲームの話を聞かされ、菜奈（原田知世）が自分に嘘をついていると知りショックを受ける。菜奈に理由を問いただすか迷う翔太。  そして、ゲームの次なる犠牲者は住民の中にいた…！殺されるのは誰なのか…!?</v>
      </c>
      <c r="N3258" s="2"/>
      <c r="O3258" s="2"/>
      <c r="P3258" s="2"/>
      <c r="Q3258" s="2"/>
      <c r="R3258" s="2"/>
      <c r="S3258" s="2"/>
      <c r="T3258" s="2"/>
      <c r="U3258" s="2"/>
      <c r="V3258" s="2"/>
      <c r="W3258" s="2"/>
      <c r="X3258" s="2"/>
      <c r="Y3258" s="2"/>
      <c r="Z3258" s="2"/>
      <c r="AA3258" s="2"/>
      <c r="AB3258" s="2"/>
      <c r="AC3258" s="2"/>
      <c r="AD3258" s="2"/>
      <c r="AE3258" s="2"/>
      <c r="AF3258" s="2"/>
      <c r="AG3258" s="2"/>
      <c r="AH3258" s="2"/>
      <c r="AI3258" s="2"/>
      <c r="AJ3258" s="2"/>
      <c r="AK3258" s="2"/>
      <c r="AL3258" s="2"/>
      <c r="AM3258" s="2"/>
      <c r="AN3258" s="2"/>
      <c r="AO3258" s="2"/>
      <c r="AP3258" s="2"/>
      <c r="AQ3258" s="2"/>
      <c r="AR3258" s="2"/>
      <c r="AS3258" s="2"/>
      <c r="AT3258" s="2"/>
      <c r="AU3258" s="2"/>
      <c r="AV3258" s="2"/>
      <c r="AW3258" s="2"/>
      <c r="AX3258" s="2"/>
      <c r="AY3258" s="2"/>
      <c r="AZ3258" s="2"/>
      <c r="BA3258" s="2"/>
      <c r="BB3258" s="2"/>
    </row>
    <row r="3259" ht="204.75" customHeight="1">
      <c r="A3259" s="1">
        <v>346.0</v>
      </c>
      <c r="B3259" s="2" t="s">
        <v>9743</v>
      </c>
      <c r="C3259" s="2">
        <f>IFERROR(__xludf.DUMMYFUNCTION("split(B3259,""_"")"),1904.0)</f>
        <v>1904</v>
      </c>
      <c r="D3259" s="2" t="str">
        <f>IFERROR(__xludf.DUMMYFUNCTION("""COMPUTED_VALUE"""),"NTV")</f>
        <v>NTV</v>
      </c>
      <c r="E3259" s="2" t="str">
        <f>IFERROR(__xludf.DUMMYFUNCTION("""COMPUTED_VALUE"""),"日22")</f>
        <v>日22</v>
      </c>
      <c r="F3259" s="2" t="s">
        <v>9621</v>
      </c>
      <c r="G3259" s="2" t="s">
        <v>9756</v>
      </c>
      <c r="H3259" s="1">
        <v>5.0</v>
      </c>
      <c r="I3259" s="1" t="s">
        <v>17</v>
      </c>
      <c r="J3259" s="1" t="s">
        <v>82</v>
      </c>
      <c r="K3259" s="2" t="s">
        <v>9757</v>
      </c>
      <c r="L3259" s="11" t="s">
        <v>9758</v>
      </c>
      <c r="M3259" s="2" t="str">
        <f>IFERROR(__xludf.DUMMYFUNCTION("split(split(K3259,""【"",false),""公式LINE"",false)"),"菜奈（原田知世）は住民会で交換殺人ゲームのことを警察に話すべきだと言うが、住民たちは反対。その後、ある人物から“赤池美里”の名前を書いたと告白され…。  そんな中、翔太（田中圭）がゲームのことを知っていた事を知り、ショックを受ける菜奈。一方、菜奈がこっそり朝男（野間口徹）と会っているところを目撃する翔太。菜奈と翔太の関係に、ついに亀裂が！？さらに、新たな犠牲者が…!!")</f>
        <v>菜奈（原田知世）は住民会で交換殺人ゲームのことを警察に話すべきだと言うが、住民たちは反対。その後、ある人物から“赤池美里”の名前を書いたと告白され…。  そんな中、翔太（田中圭）がゲームのことを知っていた事を知り、ショックを受ける菜奈。一方、菜奈がこっそり朝男（野間口徹）と会っているところを目撃する翔太。菜奈と翔太の関係に、ついに亀裂が！？さらに、新たな犠牲者が…!!</v>
      </c>
      <c r="N3259" s="2"/>
      <c r="O3259" s="2"/>
      <c r="P3259" s="2"/>
      <c r="Q3259" s="2"/>
      <c r="R3259" s="2"/>
      <c r="S3259" s="2"/>
      <c r="T3259" s="2"/>
      <c r="U3259" s="2"/>
      <c r="V3259" s="2"/>
      <c r="W3259" s="2"/>
      <c r="X3259" s="2"/>
      <c r="Y3259" s="2"/>
      <c r="Z3259" s="2"/>
      <c r="AA3259" s="2"/>
      <c r="AB3259" s="2"/>
      <c r="AC3259" s="2"/>
      <c r="AD3259" s="2"/>
      <c r="AE3259" s="2"/>
      <c r="AF3259" s="2"/>
      <c r="AG3259" s="2"/>
      <c r="AH3259" s="2"/>
      <c r="AI3259" s="2"/>
      <c r="AJ3259" s="2"/>
      <c r="AK3259" s="2"/>
      <c r="AL3259" s="2"/>
      <c r="AM3259" s="2"/>
      <c r="AN3259" s="2"/>
      <c r="AO3259" s="2"/>
      <c r="AP3259" s="2"/>
      <c r="AQ3259" s="2"/>
      <c r="AR3259" s="2"/>
      <c r="AS3259" s="2"/>
      <c r="AT3259" s="2"/>
      <c r="AU3259" s="2"/>
      <c r="AV3259" s="2"/>
      <c r="AW3259" s="2"/>
      <c r="AX3259" s="2"/>
      <c r="AY3259" s="2"/>
      <c r="AZ3259" s="2"/>
      <c r="BA3259" s="2"/>
      <c r="BB3259" s="2"/>
    </row>
    <row r="3260" ht="204.75" customHeight="1">
      <c r="A3260" s="1">
        <v>347.0</v>
      </c>
      <c r="B3260" s="2" t="s">
        <v>9743</v>
      </c>
      <c r="C3260" s="2">
        <f>IFERROR(__xludf.DUMMYFUNCTION("split(B3260,""_"")"),1904.0)</f>
        <v>1904</v>
      </c>
      <c r="D3260" s="2" t="str">
        <f>IFERROR(__xludf.DUMMYFUNCTION("""COMPUTED_VALUE"""),"NTV")</f>
        <v>NTV</v>
      </c>
      <c r="E3260" s="2" t="str">
        <f>IFERROR(__xludf.DUMMYFUNCTION("""COMPUTED_VALUE"""),"日22")</f>
        <v>日22</v>
      </c>
      <c r="F3260" s="2" t="s">
        <v>9621</v>
      </c>
      <c r="G3260" s="2" t="s">
        <v>9759</v>
      </c>
      <c r="H3260" s="1">
        <v>6.0</v>
      </c>
      <c r="I3260" s="1" t="s">
        <v>21</v>
      </c>
      <c r="J3260" s="1" t="s">
        <v>82</v>
      </c>
      <c r="K3260" s="2" t="s">
        <v>9760</v>
      </c>
      <c r="L3260" s="11" t="s">
        <v>9761</v>
      </c>
      <c r="M3260" s="2" t="str">
        <f>IFERROR(__xludf.DUMMYFUNCTION("split(split(K3260,""【"",false),""公式LINE"",false)"),"俳優の袴田吉彦が殺され責任を感じる久住(袴田吉彦)。菜奈(原田知世)は“細川朝男”と書いたのは自分だと告げ、翔太（田中圭）に、朝男（野間口徹）との本当の関係を打ち明ける。  一方、102号室の児嶋佳世(片岡礼子)は、夫・俊明(坪倉由幸)との関係が冷え切り、マンション内の子供たちに異常に執着して…。  連鎖する殺人の真相を突き止めるために動き出した菜奈と翔太。しかし、またしても犠牲者が出てしまう…!")</f>
        <v>俳優の袴田吉彦が殺され責任を感じる久住(袴田吉彦)。菜奈(原田知世)は“細川朝男”と書いたのは自分だと告げ、翔太（田中圭）に、朝男（野間口徹）との本当の関係を打ち明ける。  一方、102号室の児嶋佳世(片岡礼子)は、夫・俊明(坪倉由幸)との関係が冷え切り、マンション内の子供たちに異常に執着して…。  連鎖する殺人の真相を突き止めるために動き出した菜奈と翔太。しかし、またしても犠牲者が出てしまう…!</v>
      </c>
      <c r="N3260" s="2"/>
      <c r="O3260" s="2"/>
      <c r="P3260" s="2"/>
      <c r="Q3260" s="2"/>
      <c r="R3260" s="2"/>
      <c r="S3260" s="2"/>
      <c r="T3260" s="2"/>
      <c r="U3260" s="2"/>
      <c r="V3260" s="2"/>
      <c r="W3260" s="2"/>
      <c r="X3260" s="2"/>
      <c r="Y3260" s="2"/>
      <c r="Z3260" s="2"/>
      <c r="AA3260" s="2"/>
      <c r="AB3260" s="2"/>
      <c r="AC3260" s="2"/>
      <c r="AD3260" s="2"/>
      <c r="AE3260" s="2"/>
      <c r="AF3260" s="2"/>
      <c r="AG3260" s="2"/>
      <c r="AH3260" s="2"/>
      <c r="AI3260" s="2"/>
      <c r="AJ3260" s="2"/>
      <c r="AK3260" s="2"/>
      <c r="AL3260" s="2"/>
      <c r="AM3260" s="2"/>
      <c r="AN3260" s="2"/>
      <c r="AO3260" s="2"/>
      <c r="AP3260" s="2"/>
      <c r="AQ3260" s="2"/>
      <c r="AR3260" s="2"/>
      <c r="AS3260" s="2"/>
      <c r="AT3260" s="2"/>
      <c r="AU3260" s="2"/>
      <c r="AV3260" s="2"/>
      <c r="AW3260" s="2"/>
      <c r="AX3260" s="2"/>
      <c r="AY3260" s="2"/>
      <c r="AZ3260" s="2"/>
      <c r="BA3260" s="2"/>
      <c r="BB3260" s="2"/>
    </row>
    <row r="3261" ht="204.75" customHeight="1">
      <c r="A3261" s="1">
        <v>348.0</v>
      </c>
      <c r="B3261" s="2" t="s">
        <v>9743</v>
      </c>
      <c r="C3261" s="2">
        <f>IFERROR(__xludf.DUMMYFUNCTION("split(B3261,""_"")"),1904.0)</f>
        <v>1904</v>
      </c>
      <c r="D3261" s="2" t="str">
        <f>IFERROR(__xludf.DUMMYFUNCTION("""COMPUTED_VALUE"""),"NTV")</f>
        <v>NTV</v>
      </c>
      <c r="E3261" s="2" t="str">
        <f>IFERROR(__xludf.DUMMYFUNCTION("""COMPUTED_VALUE"""),"日22")</f>
        <v>日22</v>
      </c>
      <c r="F3261" s="2" t="s">
        <v>9621</v>
      </c>
      <c r="G3261" s="2" t="s">
        <v>9762</v>
      </c>
      <c r="H3261" s="1">
        <v>7.0</v>
      </c>
      <c r="I3261" s="1" t="s">
        <v>25</v>
      </c>
      <c r="J3261" s="1" t="s">
        <v>82</v>
      </c>
      <c r="K3261" s="2" t="s">
        <v>9763</v>
      </c>
      <c r="L3261" s="11" t="s">
        <v>9764</v>
      </c>
      <c r="M3261" s="2" t="str">
        <f>IFERROR(__xludf.DUMMYFUNCTION("split(split(K3261,""【"",false),""公式LINE"",false)"),"児嶋佳世（片岡礼子）が殺され、足だけが発見。菜奈（原田知世）と翔太（田中圭）は、佳世の名を書いた澄香（真飛聖）とゲームのことを警察に話すべきだと話していた。そこに警察官で早苗（木村多江）の夫・正志（阪田マサノブ）が刑事の神谷（浅香航大）を連れてやってくる。神谷に捜査を任せることに。  度重なる脅迫に悩む久住（袴田吉彦）は、浮田（田中要次）に相談。浮田は殺人犯に見当がついていると、ある行動に出るが…。")</f>
        <v>児嶋佳世（片岡礼子）が殺され、足だけが発見。菜奈（原田知世）と翔太（田中圭）は、佳世の名を書いた澄香（真飛聖）とゲームのことを警察に話すべきだと話していた。そこに警察官で早苗（木村多江）の夫・正志（阪田マサノブ）が刑事の神谷（浅香航大）を連れてやってくる。神谷に捜査を任せることに。  度重なる脅迫に悩む久住（袴田吉彦）は、浮田（田中要次）に相談。浮田は殺人犯に見当がついていると、ある行動に出るが…。</v>
      </c>
      <c r="N3261" s="2"/>
      <c r="O3261" s="2"/>
      <c r="P3261" s="2"/>
      <c r="Q3261" s="2"/>
      <c r="R3261" s="2"/>
      <c r="S3261" s="2"/>
      <c r="T3261" s="2"/>
      <c r="U3261" s="2"/>
      <c r="V3261" s="2"/>
      <c r="W3261" s="2"/>
      <c r="X3261" s="2"/>
      <c r="Y3261" s="2"/>
      <c r="Z3261" s="2"/>
      <c r="AA3261" s="2"/>
      <c r="AB3261" s="2"/>
      <c r="AC3261" s="2"/>
      <c r="AD3261" s="2"/>
      <c r="AE3261" s="2"/>
      <c r="AF3261" s="2"/>
      <c r="AG3261" s="2"/>
      <c r="AH3261" s="2"/>
      <c r="AI3261" s="2"/>
      <c r="AJ3261" s="2"/>
      <c r="AK3261" s="2"/>
      <c r="AL3261" s="2"/>
      <c r="AM3261" s="2"/>
      <c r="AN3261" s="2"/>
      <c r="AO3261" s="2"/>
      <c r="AP3261" s="2"/>
      <c r="AQ3261" s="2"/>
      <c r="AR3261" s="2"/>
      <c r="AS3261" s="2"/>
      <c r="AT3261" s="2"/>
      <c r="AU3261" s="2"/>
      <c r="AV3261" s="2"/>
      <c r="AW3261" s="2"/>
      <c r="AX3261" s="2"/>
      <c r="AY3261" s="2"/>
      <c r="AZ3261" s="2"/>
      <c r="BA3261" s="2"/>
      <c r="BB3261" s="2"/>
    </row>
    <row r="3262" ht="204.75" customHeight="1">
      <c r="A3262" s="1">
        <v>349.0</v>
      </c>
      <c r="B3262" s="2" t="s">
        <v>9743</v>
      </c>
      <c r="C3262" s="2">
        <f>IFERROR(__xludf.DUMMYFUNCTION("split(B3262,""_"")"),1904.0)</f>
        <v>1904</v>
      </c>
      <c r="D3262" s="2" t="str">
        <f>IFERROR(__xludf.DUMMYFUNCTION("""COMPUTED_VALUE"""),"NTV")</f>
        <v>NTV</v>
      </c>
      <c r="E3262" s="2" t="str">
        <f>IFERROR(__xludf.DUMMYFUNCTION("""COMPUTED_VALUE"""),"日22")</f>
        <v>日22</v>
      </c>
      <c r="F3262" s="2" t="s">
        <v>9621</v>
      </c>
      <c r="G3262" s="2" t="s">
        <v>9765</v>
      </c>
      <c r="H3262" s="1">
        <v>8.0</v>
      </c>
      <c r="I3262" s="1" t="s">
        <v>29</v>
      </c>
      <c r="J3262" s="1" t="s">
        <v>82</v>
      </c>
      <c r="K3262" s="2" t="s">
        <v>9766</v>
      </c>
      <c r="L3262" s="11" t="s">
        <v>9767</v>
      </c>
      <c r="M3262" s="2" t="str">
        <f>IFERROR(__xludf.DUMMYFUNCTION("split(split(K3262,""【"",false),""公式LINE"",false)"),"菜奈（原田知世）は、刑事の神谷（浅香航大）と水城（皆川猿時）から、朝男（野間口徹）の殺害依頼をネットに書き込んだ疑いで取調べを受ける。  真相を突き止めたい翔太（田中圭）は、田宮（生瀬勝久）から、書いた名前と引いた紙に書かれていた名前を聞き出すことに成功。早苗（木村多江）や黒島（西野七瀬）を集めて、浮田（田中要次）を殺した可能性のある４人の住民の名を挙げる。その中には、意外な人物が入っていて…!?")</f>
        <v>菜奈（原田知世）は、刑事の神谷（浅香航大）と水城（皆川猿時）から、朝男（野間口徹）の殺害依頼をネットに書き込んだ疑いで取調べを受ける。  真相を突き止めたい翔太（田中圭）は、田宮（生瀬勝久）から、書いた名前と引いた紙に書かれていた名前を聞き出すことに成功。早苗（木村多江）や黒島（西野七瀬）を集めて、浮田（田中要次）を殺した可能性のある４人の住民の名を挙げる。その中には、意外な人物が入っていて…!?</v>
      </c>
      <c r="N3262" s="2"/>
      <c r="O3262" s="2"/>
      <c r="P3262" s="2"/>
      <c r="Q3262" s="2"/>
      <c r="R3262" s="2"/>
      <c r="S3262" s="2"/>
      <c r="T3262" s="2"/>
      <c r="U3262" s="2"/>
      <c r="V3262" s="2"/>
      <c r="W3262" s="2"/>
      <c r="X3262" s="2"/>
      <c r="Y3262" s="2"/>
      <c r="Z3262" s="2"/>
      <c r="AA3262" s="2"/>
      <c r="AB3262" s="2"/>
      <c r="AC3262" s="2"/>
      <c r="AD3262" s="2"/>
      <c r="AE3262" s="2"/>
      <c r="AF3262" s="2"/>
      <c r="AG3262" s="2"/>
      <c r="AH3262" s="2"/>
      <c r="AI3262" s="2"/>
      <c r="AJ3262" s="2"/>
      <c r="AK3262" s="2"/>
      <c r="AL3262" s="2"/>
      <c r="AM3262" s="2"/>
      <c r="AN3262" s="2"/>
      <c r="AO3262" s="2"/>
      <c r="AP3262" s="2"/>
      <c r="AQ3262" s="2"/>
      <c r="AR3262" s="2"/>
      <c r="AS3262" s="2"/>
      <c r="AT3262" s="2"/>
      <c r="AU3262" s="2"/>
      <c r="AV3262" s="2"/>
      <c r="AW3262" s="2"/>
      <c r="AX3262" s="2"/>
      <c r="AY3262" s="2"/>
      <c r="AZ3262" s="2"/>
      <c r="BA3262" s="2"/>
      <c r="BB3262" s="2"/>
    </row>
    <row r="3263" ht="204.75" customHeight="1">
      <c r="A3263" s="1">
        <v>350.0</v>
      </c>
      <c r="B3263" s="2" t="s">
        <v>9743</v>
      </c>
      <c r="C3263" s="2">
        <f>IFERROR(__xludf.DUMMYFUNCTION("split(B3263,""_"")"),1904.0)</f>
        <v>1904</v>
      </c>
      <c r="D3263" s="2" t="str">
        <f>IFERROR(__xludf.DUMMYFUNCTION("""COMPUTED_VALUE"""),"NTV")</f>
        <v>NTV</v>
      </c>
      <c r="E3263" s="2" t="str">
        <f>IFERROR(__xludf.DUMMYFUNCTION("""COMPUTED_VALUE"""),"日22")</f>
        <v>日22</v>
      </c>
      <c r="F3263" s="2" t="s">
        <v>9621</v>
      </c>
      <c r="G3263" s="2" t="s">
        <v>9768</v>
      </c>
      <c r="H3263" s="1">
        <v>9.0</v>
      </c>
      <c r="I3263" s="1" t="s">
        <v>33</v>
      </c>
      <c r="J3263" s="1" t="s">
        <v>82</v>
      </c>
      <c r="K3263" s="2" t="s">
        <v>9769</v>
      </c>
      <c r="L3263" s="11" t="s">
        <v>9770</v>
      </c>
      <c r="M3263" s="2" t="str">
        <f>IFERROR(__xludf.DUMMYFUNCTION("split(split(K3263,""【"",false),""公式LINE"",false)"),"菜奈（原田知世）が“殺す番”だった甲野（鈴木勝大）が殺された。誰が代わりに殺したのか?   菜奈は翔太(田中圭)に引っ越しを提案。誰も助けられなかった上に、木下（山田真歩）に見せられた『302号室の人』の紙も気になる。そんな中、刑事の神谷（浅香航大）と話すうち、2人は早苗(木村多江)が誰かを殺していると考えざるを得なくなる。推理モードの翔太が早苗の周辺を調べ始めると、驚くべき秘密が明らかに…!")</f>
        <v>菜奈（原田知世）が“殺す番”だった甲野（鈴木勝大）が殺された。誰が代わりに殺したのか?   菜奈は翔太(田中圭)に引っ越しを提案。誰も助けられなかった上に、木下（山田真歩）に見せられた『302号室の人』の紙も気になる。そんな中、刑事の神谷（浅香航大）と話すうち、2人は早苗(木村多江)が誰かを殺していると考えざるを得なくなる。推理モードの翔太が早苗の周辺を調べ始めると、驚くべき秘密が明らかに…!</v>
      </c>
      <c r="N3263" s="2"/>
      <c r="O3263" s="2"/>
      <c r="P3263" s="2"/>
      <c r="Q3263" s="2"/>
      <c r="R3263" s="2"/>
      <c r="S3263" s="2"/>
      <c r="T3263" s="2"/>
      <c r="U3263" s="2"/>
      <c r="V3263" s="2"/>
      <c r="W3263" s="2"/>
      <c r="X3263" s="2"/>
      <c r="Y3263" s="2"/>
      <c r="Z3263" s="2"/>
      <c r="AA3263" s="2"/>
      <c r="AB3263" s="2"/>
      <c r="AC3263" s="2"/>
      <c r="AD3263" s="2"/>
      <c r="AE3263" s="2"/>
      <c r="AF3263" s="2"/>
      <c r="AG3263" s="2"/>
      <c r="AH3263" s="2"/>
      <c r="AI3263" s="2"/>
      <c r="AJ3263" s="2"/>
      <c r="AK3263" s="2"/>
      <c r="AL3263" s="2"/>
      <c r="AM3263" s="2"/>
      <c r="AN3263" s="2"/>
      <c r="AO3263" s="2"/>
      <c r="AP3263" s="2"/>
      <c r="AQ3263" s="2"/>
      <c r="AR3263" s="2"/>
      <c r="AS3263" s="2"/>
      <c r="AT3263" s="2"/>
      <c r="AU3263" s="2"/>
      <c r="AV3263" s="2"/>
      <c r="AW3263" s="2"/>
      <c r="AX3263" s="2"/>
      <c r="AY3263" s="2"/>
      <c r="AZ3263" s="2"/>
      <c r="BA3263" s="2"/>
      <c r="BB3263" s="2"/>
    </row>
    <row r="3264" ht="204.75" customHeight="1">
      <c r="A3264" s="1">
        <v>351.0</v>
      </c>
      <c r="B3264" s="2" t="s">
        <v>9743</v>
      </c>
      <c r="C3264" s="2">
        <f>IFERROR(__xludf.DUMMYFUNCTION("split(B3264,""_"")"),1904.0)</f>
        <v>1904</v>
      </c>
      <c r="D3264" s="2" t="str">
        <f>IFERROR(__xludf.DUMMYFUNCTION("""COMPUTED_VALUE"""),"NTV")</f>
        <v>NTV</v>
      </c>
      <c r="E3264" s="2" t="str">
        <f>IFERROR(__xludf.DUMMYFUNCTION("""COMPUTED_VALUE"""),"日22")</f>
        <v>日22</v>
      </c>
      <c r="F3264" s="2" t="s">
        <v>9621</v>
      </c>
      <c r="G3264" s="2" t="s">
        <v>9771</v>
      </c>
      <c r="H3264" s="1">
        <v>10.0</v>
      </c>
      <c r="I3264" s="1" t="s">
        <v>37</v>
      </c>
      <c r="J3264" s="1" t="s">
        <v>82</v>
      </c>
      <c r="K3264" s="2" t="s">
        <v>9772</v>
      </c>
      <c r="L3264" s="11" t="s">
        <v>9773</v>
      </c>
      <c r="M3264" s="2" t="str">
        <f>IFERROR(__xludf.DUMMYFUNCTION("split(split(K3264,""【"",false),""公式LINE"",false)"),"早苗（木村多江）によって402号室の隠し部屋に監禁された翔太（田中圭）と黒島（西野七瀬）。２人は部屋にいた謎の少年（荒木飛羽）の正体を知る。  菜奈（原田知世）は翔太が無断欠勤していると連絡を受け、前夜に翔太が強引に侵入した402号室を訪ねる。早苗は、何食わぬ顔で一緒に捜すと言い…。  推理し始めた菜奈は藤井（片桐仁）がゲームで名前を書いた医師・山際を殺した犯人が誰なのか、ある人物に行きあたる…!")</f>
        <v>早苗（木村多江）によって402号室の隠し部屋に監禁された翔太（田中圭）と黒島（西野七瀬）。２人は部屋にいた謎の少年（荒木飛羽）の正体を知る。  菜奈（原田知世）は翔太が無断欠勤していると連絡を受け、前夜に翔太が強引に侵入した402号室を訪ねる。早苗は、何食わぬ顔で一緒に捜すと言い…。  推理し始めた菜奈は藤井（片桐仁）がゲームで名前を書いた医師・山際を殺した犯人が誰なのか、ある人物に行きあたる…!</v>
      </c>
      <c r="N3264" s="2"/>
      <c r="O3264" s="2"/>
      <c r="P3264" s="2"/>
      <c r="Q3264" s="2"/>
      <c r="R3264" s="2"/>
      <c r="S3264" s="2"/>
      <c r="T3264" s="2"/>
      <c r="U3264" s="2"/>
      <c r="V3264" s="2"/>
      <c r="W3264" s="2"/>
      <c r="X3264" s="2"/>
      <c r="Y3264" s="2"/>
      <c r="Z3264" s="2"/>
      <c r="AA3264" s="2"/>
      <c r="AB3264" s="2"/>
      <c r="AC3264" s="2"/>
      <c r="AD3264" s="2"/>
      <c r="AE3264" s="2"/>
      <c r="AF3264" s="2"/>
      <c r="AG3264" s="2"/>
      <c r="AH3264" s="2"/>
      <c r="AI3264" s="2"/>
      <c r="AJ3264" s="2"/>
      <c r="AK3264" s="2"/>
      <c r="AL3264" s="2"/>
      <c r="AM3264" s="2"/>
      <c r="AN3264" s="2"/>
      <c r="AO3264" s="2"/>
      <c r="AP3264" s="2"/>
      <c r="AQ3264" s="2"/>
      <c r="AR3264" s="2"/>
      <c r="AS3264" s="2"/>
      <c r="AT3264" s="2"/>
      <c r="AU3264" s="2"/>
      <c r="AV3264" s="2"/>
      <c r="AW3264" s="2"/>
      <c r="AX3264" s="2"/>
      <c r="AY3264" s="2"/>
      <c r="AZ3264" s="2"/>
      <c r="BA3264" s="2"/>
      <c r="BB3264" s="2"/>
    </row>
    <row r="3265" ht="204.75" customHeight="1">
      <c r="A3265" s="1">
        <v>352.0</v>
      </c>
      <c r="B3265" s="2" t="s">
        <v>9743</v>
      </c>
      <c r="C3265" s="2">
        <f>IFERROR(__xludf.DUMMYFUNCTION("split(B3265,""_"")"),1904.0)</f>
        <v>1904</v>
      </c>
      <c r="D3265" s="2" t="str">
        <f>IFERROR(__xludf.DUMMYFUNCTION("""COMPUTED_VALUE"""),"NTV")</f>
        <v>NTV</v>
      </c>
      <c r="E3265" s="2" t="str">
        <f>IFERROR(__xludf.DUMMYFUNCTION("""COMPUTED_VALUE"""),"日22")</f>
        <v>日22</v>
      </c>
      <c r="F3265" s="2" t="s">
        <v>9621</v>
      </c>
      <c r="G3265" s="2" t="s">
        <v>9774</v>
      </c>
      <c r="H3265" s="1">
        <v>11.0</v>
      </c>
      <c r="J3265" s="1" t="s">
        <v>2429</v>
      </c>
      <c r="K3265" s="2" t="s">
        <v>9775</v>
      </c>
      <c r="L3265" s="11" t="s">
        <v>9776</v>
      </c>
      <c r="M3265" s="2" t="str">
        <f>IFERROR(__xludf.DUMMYFUNCTION("split(split(K3265,""【"",false),""公式LINE"",false)"),"菜奈（原田知世）の葬儀を終えて茫然自失の翔太（田中圭）は、菜奈が遺した日記を見つける。そこには出会いからの２人の思い出が詰まっていた。すると、パソコンに１通のメールが届き…。  一方、刑事の神谷（浅香航大）と水城（皆川猿時）は、翔太が一連の連続殺人の首謀者である可能性を検証し始める。  刑事たちの目線で振り返る全事件！翔太は容疑者なのか！？菜奈と翔太の出会いからプロポーズまでの軌跡を描く感動の特別編!")</f>
        <v>菜奈（原田知世）の葬儀を終えて茫然自失の翔太（田中圭）は、菜奈が遺した日記を見つける。そこには出会いからの２人の思い出が詰まっていた。すると、パソコンに１通のメールが届き…。  一方、刑事の神谷（浅香航大）と水城（皆川猿時）は、翔太が一連の連続殺人の首謀者である可能性を検証し始める。  刑事たちの目線で振り返る全事件！翔太は容疑者なのか！？菜奈と翔太の出会いからプロポーズまでの軌跡を描く感動の特別編!</v>
      </c>
      <c r="N3265" s="2"/>
      <c r="O3265" s="2"/>
      <c r="P3265" s="2"/>
      <c r="Q3265" s="2"/>
      <c r="R3265" s="2"/>
      <c r="S3265" s="2"/>
      <c r="T3265" s="2"/>
      <c r="U3265" s="2"/>
      <c r="V3265" s="2"/>
      <c r="W3265" s="2"/>
      <c r="X3265" s="2"/>
      <c r="Y3265" s="2"/>
      <c r="Z3265" s="2"/>
      <c r="AA3265" s="2"/>
      <c r="AB3265" s="2"/>
      <c r="AC3265" s="2"/>
      <c r="AD3265" s="2"/>
      <c r="AE3265" s="2"/>
      <c r="AF3265" s="2"/>
      <c r="AG3265" s="2"/>
      <c r="AH3265" s="2"/>
      <c r="AI3265" s="2"/>
      <c r="AJ3265" s="2"/>
      <c r="AK3265" s="2"/>
      <c r="AL3265" s="2"/>
      <c r="AM3265" s="2"/>
      <c r="AN3265" s="2"/>
      <c r="AO3265" s="2"/>
      <c r="AP3265" s="2"/>
      <c r="AQ3265" s="2"/>
      <c r="AR3265" s="2"/>
      <c r="AS3265" s="2"/>
      <c r="AT3265" s="2"/>
      <c r="AU3265" s="2"/>
      <c r="AV3265" s="2"/>
      <c r="AW3265" s="2"/>
      <c r="AX3265" s="2"/>
      <c r="AY3265" s="2"/>
      <c r="AZ3265" s="2"/>
      <c r="BA3265" s="2"/>
      <c r="BB3265" s="2"/>
    </row>
    <row r="3266" ht="204.75" customHeight="1">
      <c r="A3266" s="1">
        <v>353.0</v>
      </c>
      <c r="B3266" s="2" t="s">
        <v>9743</v>
      </c>
      <c r="C3266" s="2">
        <f>IFERROR(__xludf.DUMMYFUNCTION("split(B3266,""_"")"),1904.0)</f>
        <v>1904</v>
      </c>
      <c r="D3266" s="2" t="str">
        <f>IFERROR(__xludf.DUMMYFUNCTION("""COMPUTED_VALUE"""),"NTV")</f>
        <v>NTV</v>
      </c>
      <c r="E3266" s="2" t="str">
        <f>IFERROR(__xludf.DUMMYFUNCTION("""COMPUTED_VALUE"""),"日22")</f>
        <v>日22</v>
      </c>
      <c r="F3266" s="2" t="s">
        <v>9621</v>
      </c>
      <c r="G3266" s="2" t="s">
        <v>9777</v>
      </c>
      <c r="H3266" s="1">
        <v>12.0</v>
      </c>
      <c r="I3266" s="1" t="s">
        <v>41</v>
      </c>
      <c r="J3266" s="1" t="s">
        <v>82</v>
      </c>
      <c r="K3266" s="2" t="s">
        <v>9778</v>
      </c>
      <c r="L3266" s="11" t="s">
        <v>9779</v>
      </c>
      <c r="M3266" s="2" t="str">
        <f>IFERROR(__xludf.DUMMYFUNCTION("split(split(K3266,""【"",false),""公式LINE"",false)"),"最愛の妻を殺された男の反撃が始まる!!  翔太(田中圭)は、菜奈(原田知世)の最期の姿を映した動画のことを警察に通報。神谷（浅香航大）たちはサイバー班を連れてくるが、投稿者は特定できない。進まない捜査に苛立った翔太は、犯人探しをするため住民会に出席。そこへ304号室の新しい住人・二階堂（横浜流星）が登場。大学院生の彼が研究する人工知能・AIは、凶悪事件の捜査にも使われ始めていると聞いた翔太は…。")</f>
        <v>最愛の妻を殺された男の反撃が始まる!!  翔太(田中圭)は、菜奈(原田知世)の最期の姿を映した動画のことを警察に通報。神谷（浅香航大）たちはサイバー班を連れてくるが、投稿者は特定できない。進まない捜査に苛立った翔太は、犯人探しをするため住民会に出席。そこへ304号室の新しい住人・二階堂（横浜流星）が登場。大学院生の彼が研究する人工知能・AIは、凶悪事件の捜査にも使われ始めていると聞いた翔太は…。</v>
      </c>
      <c r="N3266" s="2"/>
      <c r="O3266" s="2"/>
      <c r="P3266" s="2"/>
      <c r="Q3266" s="2"/>
      <c r="R3266" s="2"/>
      <c r="S3266" s="2"/>
      <c r="T3266" s="2"/>
      <c r="U3266" s="2"/>
      <c r="V3266" s="2"/>
      <c r="W3266" s="2"/>
      <c r="X3266" s="2"/>
      <c r="Y3266" s="2"/>
      <c r="Z3266" s="2"/>
      <c r="AA3266" s="2"/>
      <c r="AB3266" s="2"/>
      <c r="AC3266" s="2"/>
      <c r="AD3266" s="2"/>
      <c r="AE3266" s="2"/>
      <c r="AF3266" s="2"/>
      <c r="AG3266" s="2"/>
      <c r="AH3266" s="2"/>
      <c r="AI3266" s="2"/>
      <c r="AJ3266" s="2"/>
      <c r="AK3266" s="2"/>
      <c r="AL3266" s="2"/>
      <c r="AM3266" s="2"/>
      <c r="AN3266" s="2"/>
      <c r="AO3266" s="2"/>
      <c r="AP3266" s="2"/>
      <c r="AQ3266" s="2"/>
      <c r="AR3266" s="2"/>
      <c r="AS3266" s="2"/>
      <c r="AT3266" s="2"/>
      <c r="AU3266" s="2"/>
      <c r="AV3266" s="2"/>
      <c r="AW3266" s="2"/>
      <c r="AX3266" s="2"/>
      <c r="AY3266" s="2"/>
      <c r="AZ3266" s="2"/>
      <c r="BA3266" s="2"/>
      <c r="BB3266" s="2"/>
    </row>
    <row r="3267" ht="204.75" customHeight="1">
      <c r="A3267" s="1">
        <v>384.0</v>
      </c>
      <c r="B3267" s="2" t="s">
        <v>9780</v>
      </c>
      <c r="C3267" s="2">
        <f>IFERROR(__xludf.DUMMYFUNCTION("split(B3267,""_"")"),1901.0)</f>
        <v>1901</v>
      </c>
      <c r="D3267" s="2" t="str">
        <f>IFERROR(__xludf.DUMMYFUNCTION("""COMPUTED_VALUE"""),"NTV")</f>
        <v>NTV</v>
      </c>
      <c r="E3267" s="2" t="str">
        <f>IFERROR(__xludf.DUMMYFUNCTION("""COMPUTED_VALUE"""),"水22")</f>
        <v>水22</v>
      </c>
      <c r="F3267" s="2" t="s">
        <v>9781</v>
      </c>
      <c r="G3267" s="2" t="s">
        <v>9782</v>
      </c>
      <c r="H3267" s="1">
        <v>1.0</v>
      </c>
      <c r="I3267" s="1" t="s">
        <v>3</v>
      </c>
      <c r="J3267" s="1" t="s">
        <v>82</v>
      </c>
      <c r="K3267" s="2" t="s">
        <v>9783</v>
      </c>
      <c r="L3267" s="11" t="s">
        <v>9784</v>
      </c>
      <c r="M3267" s="2" t="str">
        <f>IFERROR(__xludf.DUMMYFUNCTION("split(split(K3267,""【"",false),""公式LINE"",false)"),"伝説の不動産屋三軒家万智（北川景子）が夫である屋代課長（仲村トオル）とテーコー不動産へ戻ってきた。庭野（工藤阿須加）や足立（千葉雄大）との再会も束の間、問題を抱えた客を担当することに。熟年離婚をたくらむ専業主婦（岡江久美子）＆過激な動画で世間を騒がせる炎上系YouTuber(加藤諒)…。")</f>
        <v>伝説の不動産屋三軒家万智（北川景子）が夫である屋代課長（仲村トオル）とテーコー不動産へ戻ってきた。庭野（工藤阿須加）や足立（千葉雄大）との再会も束の間、問題を抱えた客を担当することに。熟年離婚をたくらむ専業主婦（岡江久美子）＆過激な動画で世間を騒がせる炎上系YouTuber(加藤諒)…。</v>
      </c>
      <c r="N3267" s="2"/>
      <c r="O3267" s="2"/>
      <c r="P3267" s="2"/>
      <c r="Q3267" s="2"/>
      <c r="R3267" s="2"/>
      <c r="S3267" s="2"/>
      <c r="T3267" s="2"/>
      <c r="U3267" s="2"/>
      <c r="V3267" s="2"/>
      <c r="W3267" s="2"/>
      <c r="X3267" s="2"/>
      <c r="Y3267" s="2"/>
      <c r="Z3267" s="2"/>
      <c r="AA3267" s="2"/>
      <c r="AB3267" s="2"/>
      <c r="AC3267" s="2"/>
      <c r="AD3267" s="2"/>
      <c r="AE3267" s="2"/>
      <c r="AF3267" s="2"/>
      <c r="AG3267" s="2"/>
      <c r="AH3267" s="2"/>
      <c r="AI3267" s="2"/>
      <c r="AJ3267" s="2"/>
      <c r="AK3267" s="2"/>
      <c r="AL3267" s="2"/>
      <c r="AM3267" s="2"/>
      <c r="AN3267" s="2"/>
      <c r="AO3267" s="2"/>
      <c r="AP3267" s="2"/>
      <c r="AQ3267" s="2"/>
      <c r="AR3267" s="2"/>
      <c r="AS3267" s="2"/>
      <c r="AT3267" s="2"/>
      <c r="AU3267" s="2"/>
      <c r="AV3267" s="2"/>
      <c r="AW3267" s="2"/>
      <c r="AX3267" s="2"/>
      <c r="AY3267" s="2"/>
      <c r="AZ3267" s="2"/>
      <c r="BA3267" s="2"/>
      <c r="BB3267" s="2"/>
    </row>
    <row r="3268" ht="204.75" customHeight="1">
      <c r="A3268" s="1">
        <v>385.0</v>
      </c>
      <c r="B3268" s="2" t="s">
        <v>9780</v>
      </c>
      <c r="C3268" s="2">
        <f>IFERROR(__xludf.DUMMYFUNCTION("split(B3268,""_"")"),1901.0)</f>
        <v>1901</v>
      </c>
      <c r="D3268" s="2" t="str">
        <f>IFERROR(__xludf.DUMMYFUNCTION("""COMPUTED_VALUE"""),"NTV")</f>
        <v>NTV</v>
      </c>
      <c r="E3268" s="2" t="str">
        <f>IFERROR(__xludf.DUMMYFUNCTION("""COMPUTED_VALUE"""),"水22")</f>
        <v>水22</v>
      </c>
      <c r="F3268" s="2" t="s">
        <v>9781</v>
      </c>
      <c r="G3268" s="2" t="s">
        <v>9785</v>
      </c>
      <c r="H3268" s="1">
        <v>2.0</v>
      </c>
      <c r="I3268" s="1" t="s">
        <v>7</v>
      </c>
      <c r="J3268" s="1" t="s">
        <v>82</v>
      </c>
      <c r="K3268" s="2" t="s">
        <v>9786</v>
      </c>
      <c r="L3268" s="11" t="s">
        <v>9787</v>
      </c>
      <c r="M3268" s="2" t="str">
        <f>IFERROR(__xludf.DUMMYFUNCTION("split(split(K3268,""【"",false),""公式LINE"",false)"),"復帰早々、家を売りまくる三軒家万智（北川景子）は屋代課長（仲村トオル）との夫婦生活をほったらかし庭野（工藤阿須加）が担当する性悪な金持ち客・神子（泉ピン子）に立ち向かう。契約直前でドタキャンを繰り返すモンスター客の正体は…ネットカフェで暮らすお婆さん！独特な哲学で家を売る万智が神子にすすめる家とは？さらにフリーランスの不動産屋・留守堂（松田翔太）が現れ…。哲学と哲学がぶつかる熾烈なバトルの行方は?")</f>
        <v>復帰早々、家を売りまくる三軒家万智（北川景子）は屋代課長（仲村トオル）との夫婦生活をほったらかし庭野（工藤阿須加）が担当する性悪な金持ち客・神子（泉ピン子）に立ち向かう。契約直前でドタキャンを繰り返すモンスター客の正体は…ネットカフェで暮らすお婆さん！独特な哲学で家を売る万智が神子にすすめる家とは？さらにフリーランスの不動産屋・留守堂（松田翔太）が現れ…。哲学と哲学がぶつかる熾烈なバトルの行方は?</v>
      </c>
      <c r="N3268" s="2"/>
      <c r="O3268" s="2"/>
      <c r="P3268" s="2"/>
      <c r="Q3268" s="2"/>
      <c r="R3268" s="2"/>
      <c r="S3268" s="2"/>
      <c r="T3268" s="2"/>
      <c r="U3268" s="2"/>
      <c r="V3268" s="2"/>
      <c r="W3268" s="2"/>
      <c r="X3268" s="2"/>
      <c r="Y3268" s="2"/>
      <c r="Z3268" s="2"/>
      <c r="AA3268" s="2"/>
      <c r="AB3268" s="2"/>
      <c r="AC3268" s="2"/>
      <c r="AD3268" s="2"/>
      <c r="AE3268" s="2"/>
      <c r="AF3268" s="2"/>
      <c r="AG3268" s="2"/>
      <c r="AH3268" s="2"/>
      <c r="AI3268" s="2"/>
      <c r="AJ3268" s="2"/>
      <c r="AK3268" s="2"/>
      <c r="AL3268" s="2"/>
      <c r="AM3268" s="2"/>
      <c r="AN3268" s="2"/>
      <c r="AO3268" s="2"/>
      <c r="AP3268" s="2"/>
      <c r="AQ3268" s="2"/>
      <c r="AR3268" s="2"/>
      <c r="AS3268" s="2"/>
      <c r="AT3268" s="2"/>
      <c r="AU3268" s="2"/>
      <c r="AV3268" s="2"/>
      <c r="AW3268" s="2"/>
      <c r="AX3268" s="2"/>
      <c r="AY3268" s="2"/>
      <c r="AZ3268" s="2"/>
      <c r="BA3268" s="2"/>
      <c r="BB3268" s="2"/>
    </row>
    <row r="3269" ht="204.75" customHeight="1">
      <c r="A3269" s="1">
        <v>386.0</v>
      </c>
      <c r="B3269" s="2" t="s">
        <v>9780</v>
      </c>
      <c r="C3269" s="2">
        <f>IFERROR(__xludf.DUMMYFUNCTION("split(B3269,""_"")"),1901.0)</f>
        <v>1901</v>
      </c>
      <c r="D3269" s="2" t="str">
        <f>IFERROR(__xludf.DUMMYFUNCTION("""COMPUTED_VALUE"""),"NTV")</f>
        <v>NTV</v>
      </c>
      <c r="E3269" s="2" t="str">
        <f>IFERROR(__xludf.DUMMYFUNCTION("""COMPUTED_VALUE"""),"水22")</f>
        <v>水22</v>
      </c>
      <c r="F3269" s="2" t="s">
        <v>9781</v>
      </c>
      <c r="G3269" s="2" t="s">
        <v>9788</v>
      </c>
      <c r="H3269" s="1">
        <v>3.0</v>
      </c>
      <c r="I3269" s="1" t="s">
        <v>10</v>
      </c>
      <c r="J3269" s="1" t="s">
        <v>82</v>
      </c>
      <c r="K3269" s="2" t="s">
        <v>9789</v>
      </c>
      <c r="L3269" s="11" t="s">
        <v>9790</v>
      </c>
      <c r="M3269" s="2" t="str">
        <f>IFERROR(__xludf.DUMMYFUNCTION("split(split(K3269,""【"",false),""公式LINE"",false)"),"現地販売開催。旗竿地に建つ家、元力士の家など売りにくい物件を皆で売ることに。そこにゲイやレズビアンの客が訪れ営業課ではLGBTが話題に上がる。そんな中、万智（北川景子）と庭野（工藤阿須加）は家族で住む家を探す女（佐藤仁美）を担当。万智が女の夫に会いに行くと、なんと夫（池田鉄洋）は女装姿！自分の性別に違和感を感じながら生きるトランスジェンダーの夫との生活に限界を感じている家族に万智が驚きの家を提案!")</f>
        <v>現地販売開催。旗竿地に建つ家、元力士の家など売りにくい物件を皆で売ることに。そこにゲイやレズビアンの客が訪れ営業課ではLGBTが話題に上がる。そんな中、万智（北川景子）と庭野（工藤阿須加）は家族で住む家を探す女（佐藤仁美）を担当。万智が女の夫に会いに行くと、なんと夫（池田鉄洋）は女装姿！自分の性別に違和感を感じながら生きるトランスジェンダーの夫との生活に限界を感じている家族に万智が驚きの家を提案!</v>
      </c>
      <c r="N3269" s="2"/>
      <c r="O3269" s="2"/>
      <c r="P3269" s="2"/>
      <c r="Q3269" s="2"/>
      <c r="R3269" s="2"/>
      <c r="S3269" s="2"/>
      <c r="T3269" s="2"/>
      <c r="U3269" s="2"/>
      <c r="V3269" s="2"/>
      <c r="W3269" s="2"/>
      <c r="X3269" s="2"/>
      <c r="Y3269" s="2"/>
      <c r="Z3269" s="2"/>
      <c r="AA3269" s="2"/>
      <c r="AB3269" s="2"/>
      <c r="AC3269" s="2"/>
      <c r="AD3269" s="2"/>
      <c r="AE3269" s="2"/>
      <c r="AF3269" s="2"/>
      <c r="AG3269" s="2"/>
      <c r="AH3269" s="2"/>
      <c r="AI3269" s="2"/>
      <c r="AJ3269" s="2"/>
      <c r="AK3269" s="2"/>
      <c r="AL3269" s="2"/>
      <c r="AM3269" s="2"/>
      <c r="AN3269" s="2"/>
      <c r="AO3269" s="2"/>
      <c r="AP3269" s="2"/>
      <c r="AQ3269" s="2"/>
      <c r="AR3269" s="2"/>
      <c r="AS3269" s="2"/>
      <c r="AT3269" s="2"/>
      <c r="AU3269" s="2"/>
      <c r="AV3269" s="2"/>
      <c r="AW3269" s="2"/>
      <c r="AX3269" s="2"/>
      <c r="AY3269" s="2"/>
      <c r="AZ3269" s="2"/>
      <c r="BA3269" s="2"/>
      <c r="BB3269" s="2"/>
    </row>
    <row r="3270" ht="204.75" customHeight="1">
      <c r="A3270" s="1">
        <v>387.0</v>
      </c>
      <c r="B3270" s="2" t="s">
        <v>9780</v>
      </c>
      <c r="C3270" s="2">
        <f>IFERROR(__xludf.DUMMYFUNCTION("split(B3270,""_"")"),1901.0)</f>
        <v>1901</v>
      </c>
      <c r="D3270" s="2" t="str">
        <f>IFERROR(__xludf.DUMMYFUNCTION("""COMPUTED_VALUE"""),"NTV")</f>
        <v>NTV</v>
      </c>
      <c r="E3270" s="2" t="str">
        <f>IFERROR(__xludf.DUMMYFUNCTION("""COMPUTED_VALUE"""),"水22")</f>
        <v>水22</v>
      </c>
      <c r="F3270" s="2" t="s">
        <v>9781</v>
      </c>
      <c r="G3270" s="2" t="s">
        <v>9791</v>
      </c>
      <c r="H3270" s="1">
        <v>4.0</v>
      </c>
      <c r="I3270" s="1" t="s">
        <v>14</v>
      </c>
      <c r="J3270" s="1" t="s">
        <v>82</v>
      </c>
      <c r="K3270" s="2" t="s">
        <v>9792</v>
      </c>
      <c r="L3270" s="11" t="s">
        <v>9793</v>
      </c>
      <c r="M3270" s="2" t="str">
        <f>IFERROR(__xludf.DUMMYFUNCTION("split(split(K3270,""【"",false),""公式LINE"",false)"),"働き方改革に向け労働時間の見直しが始まった新宿営業所。万智（北川景子）は定年間近の企業戦士・山路（佐野史郎）を担当。娘夫婦の家の資金援助をしたいという山路だが、計画性のない娘と上昇志向のない娘婿は山路の薦める物件をことごとく否定。さらに、娘夫婦と意気投合した新人ダメ社員鍵村（草川拓弥）がまさかの万智の客を横取り!?そしてついに天才的家売るオトコ留守堂（松田翔太）が本領発揮！三軒家万智最大のピンチ!")</f>
        <v>働き方改革に向け労働時間の見直しが始まった新宿営業所。万智（北川景子）は定年間近の企業戦士・山路（佐野史郎）を担当。娘夫婦の家の資金援助をしたいという山路だが、計画性のない娘と上昇志向のない娘婿は山路の薦める物件をことごとく否定。さらに、娘夫婦と意気投合した新人ダメ社員鍵村（草川拓弥）がまさかの万智の客を横取り!?そしてついに天才的家売るオトコ留守堂（松田翔太）が本領発揮！三軒家万智最大のピンチ!</v>
      </c>
      <c r="N3270" s="2"/>
      <c r="O3270" s="2"/>
      <c r="P3270" s="2"/>
      <c r="Q3270" s="2"/>
      <c r="R3270" s="2"/>
      <c r="S3270" s="2"/>
      <c r="T3270" s="2"/>
      <c r="U3270" s="2"/>
      <c r="V3270" s="2"/>
      <c r="W3270" s="2"/>
      <c r="X3270" s="2"/>
      <c r="Y3270" s="2"/>
      <c r="Z3270" s="2"/>
      <c r="AA3270" s="2"/>
      <c r="AB3270" s="2"/>
      <c r="AC3270" s="2"/>
      <c r="AD3270" s="2"/>
      <c r="AE3270" s="2"/>
      <c r="AF3270" s="2"/>
      <c r="AG3270" s="2"/>
      <c r="AH3270" s="2"/>
      <c r="AI3270" s="2"/>
      <c r="AJ3270" s="2"/>
      <c r="AK3270" s="2"/>
      <c r="AL3270" s="2"/>
      <c r="AM3270" s="2"/>
      <c r="AN3270" s="2"/>
      <c r="AO3270" s="2"/>
      <c r="AP3270" s="2"/>
      <c r="AQ3270" s="2"/>
      <c r="AR3270" s="2"/>
      <c r="AS3270" s="2"/>
      <c r="AT3270" s="2"/>
      <c r="AU3270" s="2"/>
      <c r="AV3270" s="2"/>
      <c r="AW3270" s="2"/>
      <c r="AX3270" s="2"/>
      <c r="AY3270" s="2"/>
      <c r="AZ3270" s="2"/>
      <c r="BA3270" s="2"/>
      <c r="BB3270" s="2"/>
    </row>
    <row r="3271" ht="204.75" customHeight="1">
      <c r="A3271" s="1">
        <v>388.0</v>
      </c>
      <c r="B3271" s="2" t="s">
        <v>9780</v>
      </c>
      <c r="C3271" s="2">
        <f>IFERROR(__xludf.DUMMYFUNCTION("split(B3271,""_"")"),1901.0)</f>
        <v>1901</v>
      </c>
      <c r="D3271" s="2" t="str">
        <f>IFERROR(__xludf.DUMMYFUNCTION("""COMPUTED_VALUE"""),"NTV")</f>
        <v>NTV</v>
      </c>
      <c r="E3271" s="2" t="str">
        <f>IFERROR(__xludf.DUMMYFUNCTION("""COMPUTED_VALUE"""),"水22")</f>
        <v>水22</v>
      </c>
      <c r="F3271" s="2" t="s">
        <v>9781</v>
      </c>
      <c r="G3271" s="2" t="s">
        <v>9794</v>
      </c>
      <c r="H3271" s="1">
        <v>5.0</v>
      </c>
      <c r="I3271" s="1" t="s">
        <v>17</v>
      </c>
      <c r="J3271" s="1" t="s">
        <v>82</v>
      </c>
      <c r="K3271" s="2" t="s">
        <v>9795</v>
      </c>
      <c r="L3271" s="11" t="s">
        <v>9796</v>
      </c>
      <c r="M3271" s="2" t="str">
        <f>IFERROR(__xludf.DUMMYFUNCTION("split(split(K3271,""【"",false),""公式LINE"",false)"),"留守堂（松田翔太）に負け、姿を消した万智(北川景子)。庭野(工藤阿須加)は美女と野獣カップル・竜司（柄本時生）と奈々（知英）を担当する。竜司は万智が陽気な人気者だった同級生『マンチッチ』ではないかと言い出し…。そんな中、内見中のアクシデントで奈々が化粧テクニックで素顔を偽った偽装美人と発覚！真実を知り、婚約を破棄しようとする竜司の前に万智が現れ…!!今夜万智の過去と留守堂の正体がついに明かされる!")</f>
        <v>留守堂（松田翔太）に負け、姿を消した万智(北川景子)。庭野(工藤阿須加)は美女と野獣カップル・竜司（柄本時生）と奈々（知英）を担当する。竜司は万智が陽気な人気者だった同級生『マンチッチ』ではないかと言い出し…。そんな中、内見中のアクシデントで奈々が化粧テクニックで素顔を偽った偽装美人と発覚！真実を知り、婚約を破棄しようとする竜司の前に万智が現れ…!!今夜万智の過去と留守堂の正体がついに明かされる!</v>
      </c>
      <c r="N3271" s="2"/>
      <c r="O3271" s="2"/>
      <c r="P3271" s="2"/>
      <c r="Q3271" s="2"/>
      <c r="R3271" s="2"/>
      <c r="S3271" s="2"/>
      <c r="T3271" s="2"/>
      <c r="U3271" s="2"/>
      <c r="V3271" s="2"/>
      <c r="W3271" s="2"/>
      <c r="X3271" s="2"/>
      <c r="Y3271" s="2"/>
      <c r="Z3271" s="2"/>
      <c r="AA3271" s="2"/>
      <c r="AB3271" s="2"/>
      <c r="AC3271" s="2"/>
      <c r="AD3271" s="2"/>
      <c r="AE3271" s="2"/>
      <c r="AF3271" s="2"/>
      <c r="AG3271" s="2"/>
      <c r="AH3271" s="2"/>
      <c r="AI3271" s="2"/>
      <c r="AJ3271" s="2"/>
      <c r="AK3271" s="2"/>
      <c r="AL3271" s="2"/>
      <c r="AM3271" s="2"/>
      <c r="AN3271" s="2"/>
      <c r="AO3271" s="2"/>
      <c r="AP3271" s="2"/>
      <c r="AQ3271" s="2"/>
      <c r="AR3271" s="2"/>
      <c r="AS3271" s="2"/>
      <c r="AT3271" s="2"/>
      <c r="AU3271" s="2"/>
      <c r="AV3271" s="2"/>
      <c r="AW3271" s="2"/>
      <c r="AX3271" s="2"/>
      <c r="AY3271" s="2"/>
      <c r="AZ3271" s="2"/>
      <c r="BA3271" s="2"/>
      <c r="BB3271" s="2"/>
    </row>
    <row r="3272" ht="204.75" customHeight="1">
      <c r="A3272" s="1">
        <v>389.0</v>
      </c>
      <c r="B3272" s="2" t="s">
        <v>9780</v>
      </c>
      <c r="C3272" s="2">
        <f>IFERROR(__xludf.DUMMYFUNCTION("split(B3272,""_"")"),1901.0)</f>
        <v>1901</v>
      </c>
      <c r="D3272" s="2" t="str">
        <f>IFERROR(__xludf.DUMMYFUNCTION("""COMPUTED_VALUE"""),"NTV")</f>
        <v>NTV</v>
      </c>
      <c r="E3272" s="2" t="str">
        <f>IFERROR(__xludf.DUMMYFUNCTION("""COMPUTED_VALUE"""),"水22")</f>
        <v>水22</v>
      </c>
      <c r="F3272" s="2" t="s">
        <v>9781</v>
      </c>
      <c r="G3272" s="2" t="s">
        <v>9797</v>
      </c>
      <c r="H3272" s="1">
        <v>6.0</v>
      </c>
      <c r="I3272" s="1" t="s">
        <v>21</v>
      </c>
      <c r="J3272" s="1" t="s">
        <v>82</v>
      </c>
      <c r="K3272" s="2" t="s">
        <v>9798</v>
      </c>
      <c r="L3272" s="11" t="s">
        <v>9799</v>
      </c>
      <c r="M3272" s="2" t="str">
        <f>IFERROR(__xludf.DUMMYFUNCTION("split(split(K3272,""【"",false),""公式LINE"",false)"),"互いの不倫を公認する八十多湊人（武田航平）・つぐみ（内山理名）夫妻を担当する万智(北川景子)。一方留守堂(松田翔太)は妻・まり（筧美和子）の愛を独り占めしたいという年上の夫・順平（橋爪淳）から家探しを相談される。実はまりは湊人と不倫関係にあって...。妻の浮気に気づいた順平のこじれた愛は刃傷沙汰に発展！家が売れなくなるピンチに万智は留守堂とタッグを組み、新宿営業所をあげて驚愕の作戦を実行する!")</f>
        <v>互いの不倫を公認する八十多湊人（武田航平）・つぐみ（内山理名）夫妻を担当する万智(北川景子)。一方留守堂(松田翔太)は妻・まり（筧美和子）の愛を独り占めしたいという年上の夫・順平（橋爪淳）から家探しを相談される。実はまりは湊人と不倫関係にあって...。妻の浮気に気づいた順平のこじれた愛は刃傷沙汰に発展！家が売れなくなるピンチに万智は留守堂とタッグを組み、新宿営業所をあげて驚愕の作戦を実行する!</v>
      </c>
      <c r="N3272" s="2"/>
      <c r="O3272" s="2"/>
      <c r="P3272" s="2"/>
      <c r="Q3272" s="2"/>
      <c r="R3272" s="2"/>
      <c r="S3272" s="2"/>
      <c r="T3272" s="2"/>
      <c r="U3272" s="2"/>
      <c r="V3272" s="2"/>
      <c r="W3272" s="2"/>
      <c r="X3272" s="2"/>
      <c r="Y3272" s="2"/>
      <c r="Z3272" s="2"/>
      <c r="AA3272" s="2"/>
      <c r="AB3272" s="2"/>
      <c r="AC3272" s="2"/>
      <c r="AD3272" s="2"/>
      <c r="AE3272" s="2"/>
      <c r="AF3272" s="2"/>
      <c r="AG3272" s="2"/>
      <c r="AH3272" s="2"/>
      <c r="AI3272" s="2"/>
      <c r="AJ3272" s="2"/>
      <c r="AK3272" s="2"/>
      <c r="AL3272" s="2"/>
      <c r="AM3272" s="2"/>
      <c r="AN3272" s="2"/>
      <c r="AO3272" s="2"/>
      <c r="AP3272" s="2"/>
      <c r="AQ3272" s="2"/>
      <c r="AR3272" s="2"/>
      <c r="AS3272" s="2"/>
      <c r="AT3272" s="2"/>
      <c r="AU3272" s="2"/>
      <c r="AV3272" s="2"/>
      <c r="AW3272" s="2"/>
      <c r="AX3272" s="2"/>
      <c r="AY3272" s="2"/>
      <c r="AZ3272" s="2"/>
      <c r="BA3272" s="2"/>
      <c r="BB3272" s="2"/>
    </row>
    <row r="3273" ht="204.75" customHeight="1">
      <c r="A3273" s="1">
        <v>390.0</v>
      </c>
      <c r="B3273" s="2" t="s">
        <v>9780</v>
      </c>
      <c r="C3273" s="2">
        <f>IFERROR(__xludf.DUMMYFUNCTION("split(B3273,""_"")"),1901.0)</f>
        <v>1901</v>
      </c>
      <c r="D3273" s="2" t="str">
        <f>IFERROR(__xludf.DUMMYFUNCTION("""COMPUTED_VALUE"""),"NTV")</f>
        <v>NTV</v>
      </c>
      <c r="E3273" s="2" t="str">
        <f>IFERROR(__xludf.DUMMYFUNCTION("""COMPUTED_VALUE"""),"水22")</f>
        <v>水22</v>
      </c>
      <c r="F3273" s="2" t="s">
        <v>9781</v>
      </c>
      <c r="G3273" s="2" t="s">
        <v>9800</v>
      </c>
      <c r="H3273" s="1">
        <v>7.0</v>
      </c>
      <c r="I3273" s="1" t="s">
        <v>25</v>
      </c>
      <c r="J3273" s="1" t="s">
        <v>82</v>
      </c>
      <c r="K3273" s="2" t="s">
        <v>9801</v>
      </c>
      <c r="L3273" s="11" t="s">
        <v>9802</v>
      </c>
      <c r="M3273" s="2" t="str">
        <f>IFERROR(__xludf.DUMMYFUNCTION("split(split(K3273,""【"",false),""公式LINE"",false)"),"輝く女性の活躍をアピールするための社内プロジェクトに選ばれた万智（北川景子）。しかし、チーム内のキャリアウーマン・朝倉雅美（佐藤江梨子）とワーキングマザー・宇佐美サキ（佐津川愛美）は何かと衝突。さらに家探しをしていた二人の希望物件がバッティング！雅美の担当・万智とサキの担当・留守堂（松田翔太）はなんとボウリングで決着をつけることに…!!一方屋代(仲村トオル)と万智の夫婦関係も怪しい雲行きで...。")</f>
        <v>輝く女性の活躍をアピールするための社内プロジェクトに選ばれた万智（北川景子）。しかし、チーム内のキャリアウーマン・朝倉雅美（佐藤江梨子）とワーキングマザー・宇佐美サキ（佐津川愛美）は何かと衝突。さらに家探しをしていた二人の希望物件がバッティング！雅美の担当・万智とサキの担当・留守堂（松田翔太）はなんとボウリングで決着をつけることに…!!一方屋代(仲村トオル)と万智の夫婦関係も怪しい雲行きで...。</v>
      </c>
      <c r="N3273" s="2"/>
      <c r="O3273" s="2"/>
      <c r="P3273" s="2"/>
      <c r="Q3273" s="2"/>
      <c r="R3273" s="2"/>
      <c r="S3273" s="2"/>
      <c r="T3273" s="2"/>
      <c r="U3273" s="2"/>
      <c r="V3273" s="2"/>
      <c r="W3273" s="2"/>
      <c r="X3273" s="2"/>
      <c r="Y3273" s="2"/>
      <c r="Z3273" s="2"/>
      <c r="AA3273" s="2"/>
      <c r="AB3273" s="2"/>
      <c r="AC3273" s="2"/>
      <c r="AD3273" s="2"/>
      <c r="AE3273" s="2"/>
      <c r="AF3273" s="2"/>
      <c r="AG3273" s="2"/>
      <c r="AH3273" s="2"/>
      <c r="AI3273" s="2"/>
      <c r="AJ3273" s="2"/>
      <c r="AK3273" s="2"/>
      <c r="AL3273" s="2"/>
      <c r="AM3273" s="2"/>
      <c r="AN3273" s="2"/>
      <c r="AO3273" s="2"/>
      <c r="AP3273" s="2"/>
      <c r="AQ3273" s="2"/>
      <c r="AR3273" s="2"/>
      <c r="AS3273" s="2"/>
      <c r="AT3273" s="2"/>
      <c r="AU3273" s="2"/>
      <c r="AV3273" s="2"/>
      <c r="AW3273" s="2"/>
      <c r="AX3273" s="2"/>
      <c r="AY3273" s="2"/>
      <c r="AZ3273" s="2"/>
      <c r="BA3273" s="2"/>
      <c r="BB3273" s="2"/>
    </row>
    <row r="3274" ht="204.75" customHeight="1">
      <c r="A3274" s="1">
        <v>391.0</v>
      </c>
      <c r="B3274" s="2" t="s">
        <v>9780</v>
      </c>
      <c r="C3274" s="2">
        <f>IFERROR(__xludf.DUMMYFUNCTION("split(B3274,""_"")"),1901.0)</f>
        <v>1901</v>
      </c>
      <c r="D3274" s="2" t="str">
        <f>IFERROR(__xludf.DUMMYFUNCTION("""COMPUTED_VALUE"""),"NTV")</f>
        <v>NTV</v>
      </c>
      <c r="E3274" s="2" t="str">
        <f>IFERROR(__xludf.DUMMYFUNCTION("""COMPUTED_VALUE"""),"水22")</f>
        <v>水22</v>
      </c>
      <c r="F3274" s="2" t="s">
        <v>9781</v>
      </c>
      <c r="G3274" s="2" t="s">
        <v>9803</v>
      </c>
      <c r="H3274" s="1">
        <v>8.0</v>
      </c>
      <c r="I3274" s="1" t="s">
        <v>29</v>
      </c>
      <c r="J3274" s="1" t="s">
        <v>82</v>
      </c>
      <c r="K3274" s="2" t="s">
        <v>9804</v>
      </c>
      <c r="L3274" s="11" t="s">
        <v>9805</v>
      </c>
      <c r="M3274" s="2" t="str">
        <f>IFERROR(__xludf.DUMMYFUNCTION("split(split(K3274,""【"",false),""公式LINE"",false)"),"庭野（工藤阿須加）のダメ父・茂雄（泉谷しげる）が来店。実家を売った金で夢を追いたいと話す茂雄だが、庭野はだらしなく商才のない茂雄の生活基盤を守るため家の売却に反対。しかし万智（北川景子）が家を売ると宣言する！担当客・棟方幸子（南野陽子）・すみれ（大後寿々花）母娘に自分を重ねた庭野は母の我儘に振り回されるすみれに共感し、万智の言いなりになるまいとするが…!! そして夫婦の危機を前に万智を悲劇が襲う!")</f>
        <v>庭野（工藤阿須加）のダメ父・茂雄（泉谷しげる）が来店。実家を売った金で夢を追いたいと話す茂雄だが、庭野はだらしなく商才のない茂雄の生活基盤を守るため家の売却に反対。しかし万智（北川景子）が家を売ると宣言する！担当客・棟方幸子（南野陽子）・すみれ（大後寿々花）母娘に自分を重ねた庭野は母の我儘に振り回されるすみれに共感し、万智の言いなりになるまいとするが…!! そして夫婦の危機を前に万智を悲劇が襲う!</v>
      </c>
      <c r="N3274" s="2"/>
      <c r="O3274" s="2"/>
      <c r="P3274" s="2"/>
      <c r="Q3274" s="2"/>
      <c r="R3274" s="2"/>
      <c r="S3274" s="2"/>
      <c r="T3274" s="2"/>
      <c r="U3274" s="2"/>
      <c r="V3274" s="2"/>
      <c r="W3274" s="2"/>
      <c r="X3274" s="2"/>
      <c r="Y3274" s="2"/>
      <c r="Z3274" s="2"/>
      <c r="AA3274" s="2"/>
      <c r="AB3274" s="2"/>
      <c r="AC3274" s="2"/>
      <c r="AD3274" s="2"/>
      <c r="AE3274" s="2"/>
      <c r="AF3274" s="2"/>
      <c r="AG3274" s="2"/>
      <c r="AH3274" s="2"/>
      <c r="AI3274" s="2"/>
      <c r="AJ3274" s="2"/>
      <c r="AK3274" s="2"/>
      <c r="AL3274" s="2"/>
      <c r="AM3274" s="2"/>
      <c r="AN3274" s="2"/>
      <c r="AO3274" s="2"/>
      <c r="AP3274" s="2"/>
      <c r="AQ3274" s="2"/>
      <c r="AR3274" s="2"/>
      <c r="AS3274" s="2"/>
      <c r="AT3274" s="2"/>
      <c r="AU3274" s="2"/>
      <c r="AV3274" s="2"/>
      <c r="AW3274" s="2"/>
      <c r="AX3274" s="2"/>
      <c r="AY3274" s="2"/>
      <c r="AZ3274" s="2"/>
      <c r="BA3274" s="2"/>
      <c r="BB3274" s="2"/>
    </row>
    <row r="3275" ht="204.75" customHeight="1">
      <c r="A3275" s="1">
        <v>392.0</v>
      </c>
      <c r="B3275" s="2" t="s">
        <v>9780</v>
      </c>
      <c r="C3275" s="2">
        <f>IFERROR(__xludf.DUMMYFUNCTION("split(B3275,""_"")"),1901.0)</f>
        <v>1901</v>
      </c>
      <c r="D3275" s="2" t="str">
        <f>IFERROR(__xludf.DUMMYFUNCTION("""COMPUTED_VALUE"""),"NTV")</f>
        <v>NTV</v>
      </c>
      <c r="E3275" s="2" t="str">
        <f>IFERROR(__xludf.DUMMYFUNCTION("""COMPUTED_VALUE"""),"水22")</f>
        <v>水22</v>
      </c>
      <c r="F3275" s="2" t="s">
        <v>9781</v>
      </c>
      <c r="G3275" s="2" t="s">
        <v>9806</v>
      </c>
      <c r="H3275" s="1">
        <v>9.0</v>
      </c>
      <c r="I3275" s="1" t="s">
        <v>33</v>
      </c>
      <c r="J3275" s="1" t="s">
        <v>82</v>
      </c>
      <c r="K3275" s="2" t="s">
        <v>9807</v>
      </c>
      <c r="L3275" s="11" t="s">
        <v>9808</v>
      </c>
      <c r="M3275" s="2" t="str">
        <f>IFERROR(__xludf.DUMMYFUNCTION("split(split(K3275,""【"",false),""公式LINE"",false)"),"万智（北川景子）は母（松金よね子）と同居するための家を探す独身女性・馬場礼子（酒井若菜）を担当。庭野（工藤阿須加）は古い家をリノベーションして売るため、施工会社の仲良し社員・真壁（入江甚儀）と協力する。そして足立（千葉雄大）は家を売るため偶然留守堂（松田翔太）と協力することに。そんな中、万智が庭野と真壁のリノベ物件をリノベし直して自分が売ると宣言！さらに今夜、孤独な留守堂の万智への愛が爆発する!?")</f>
        <v>万智（北川景子）は母（松金よね子）と同居するための家を探す独身女性・馬場礼子（酒井若菜）を担当。庭野（工藤阿須加）は古い家をリノベーションして売るため、施工会社の仲良し社員・真壁（入江甚儀）と協力する。そして足立（千葉雄大）は家を売るため偶然留守堂（松田翔太）と協力することに。そんな中、万智が庭野と真壁のリノベ物件をリノベし直して自分が売ると宣言！さらに今夜、孤独な留守堂の万智への愛が爆発する!?</v>
      </c>
      <c r="N3275" s="2"/>
      <c r="O3275" s="2"/>
      <c r="P3275" s="2"/>
      <c r="Q3275" s="2"/>
      <c r="R3275" s="2"/>
      <c r="S3275" s="2"/>
      <c r="T3275" s="2"/>
      <c r="U3275" s="2"/>
      <c r="V3275" s="2"/>
      <c r="W3275" s="2"/>
      <c r="X3275" s="2"/>
      <c r="Y3275" s="2"/>
      <c r="Z3275" s="2"/>
      <c r="AA3275" s="2"/>
      <c r="AB3275" s="2"/>
      <c r="AC3275" s="2"/>
      <c r="AD3275" s="2"/>
      <c r="AE3275" s="2"/>
      <c r="AF3275" s="2"/>
      <c r="AG3275" s="2"/>
      <c r="AH3275" s="2"/>
      <c r="AI3275" s="2"/>
      <c r="AJ3275" s="2"/>
      <c r="AK3275" s="2"/>
      <c r="AL3275" s="2"/>
      <c r="AM3275" s="2"/>
      <c r="AN3275" s="2"/>
      <c r="AO3275" s="2"/>
      <c r="AP3275" s="2"/>
      <c r="AQ3275" s="2"/>
      <c r="AR3275" s="2"/>
      <c r="AS3275" s="2"/>
      <c r="AT3275" s="2"/>
      <c r="AU3275" s="2"/>
      <c r="AV3275" s="2"/>
      <c r="AW3275" s="2"/>
      <c r="AX3275" s="2"/>
      <c r="AY3275" s="2"/>
      <c r="AZ3275" s="2"/>
      <c r="BA3275" s="2"/>
      <c r="BB3275" s="2"/>
    </row>
    <row r="3276" ht="204.75" customHeight="1">
      <c r="A3276" s="1">
        <v>393.0</v>
      </c>
      <c r="B3276" s="2" t="s">
        <v>9780</v>
      </c>
      <c r="C3276" s="2">
        <f>IFERROR(__xludf.DUMMYFUNCTION("split(B3276,""_"")"),1901.0)</f>
        <v>1901</v>
      </c>
      <c r="D3276" s="2" t="str">
        <f>IFERROR(__xludf.DUMMYFUNCTION("""COMPUTED_VALUE"""),"NTV")</f>
        <v>NTV</v>
      </c>
      <c r="E3276" s="2" t="str">
        <f>IFERROR(__xludf.DUMMYFUNCTION("""COMPUTED_VALUE"""),"水22")</f>
        <v>水22</v>
      </c>
      <c r="F3276" s="2" t="s">
        <v>9781</v>
      </c>
      <c r="G3276" s="2" t="s">
        <v>9809</v>
      </c>
      <c r="H3276" s="1">
        <v>10.0</v>
      </c>
      <c r="I3276" s="1" t="s">
        <v>37</v>
      </c>
      <c r="J3276" s="1" t="s">
        <v>82</v>
      </c>
      <c r="K3276" s="2" t="s">
        <v>9810</v>
      </c>
      <c r="L3276" s="11" t="s">
        <v>9811</v>
      </c>
      <c r="M3276" s="2" t="str">
        <f>IFERROR(__xludf.DUMMYFUNCTION("split(split(K3276,""【"",false),""公式LINE"",false)"),")留守堂（松田翔太）が姿を消し１年。ライバル会社の急成長により新宿営業所は消滅危機を迎えていた。ライバルが次々部屋を買い上げているという集合住宅を訪れた万智（北川景子）と庭野（工藤阿須加）は立ち退きを拒否する兄弟・藤見明（笹野高史）と譲（本田博太郎）に出会い…。さらに留守堂がライバル会社の副社長として暗躍していることが発覚！万智は驚愕のプラン実現のため、テーコー不動産社長（舘ひろし）の元を訪ねる…。")</f>
        <v>)留守堂（松田翔太）が姿を消し１年。ライバル会社の急成長により新宿営業所は消滅危機を迎えていた。ライバルが次々部屋を買い上げているという集合住宅を訪れた万智（北川景子）と庭野（工藤阿須加）は立ち退きを拒否する兄弟・藤見明（笹野高史）と譲（本田博太郎）に出会い…。さらに留守堂がライバル会社の副社長として暗躍していることが発覚！万智は驚愕のプラン実現のため、テーコー不動産社長（舘ひろし）の元を訪ねる…。</v>
      </c>
      <c r="N3276" s="2"/>
      <c r="O3276" s="2"/>
      <c r="P3276" s="2"/>
      <c r="Q3276" s="2"/>
      <c r="R3276" s="2"/>
      <c r="S3276" s="2"/>
      <c r="T3276" s="2"/>
      <c r="U3276" s="2"/>
      <c r="V3276" s="2"/>
      <c r="W3276" s="2"/>
      <c r="X3276" s="2"/>
      <c r="Y3276" s="2"/>
      <c r="Z3276" s="2"/>
      <c r="AA3276" s="2"/>
      <c r="AB3276" s="2"/>
      <c r="AC3276" s="2"/>
      <c r="AD3276" s="2"/>
      <c r="AE3276" s="2"/>
      <c r="AF3276" s="2"/>
      <c r="AG3276" s="2"/>
      <c r="AH3276" s="2"/>
      <c r="AI3276" s="2"/>
      <c r="AJ3276" s="2"/>
      <c r="AK3276" s="2"/>
      <c r="AL3276" s="2"/>
      <c r="AM3276" s="2"/>
      <c r="AN3276" s="2"/>
      <c r="AO3276" s="2"/>
      <c r="AP3276" s="2"/>
      <c r="AQ3276" s="2"/>
      <c r="AR3276" s="2"/>
      <c r="AS3276" s="2"/>
      <c r="AT3276" s="2"/>
      <c r="AU3276" s="2"/>
      <c r="AV3276" s="2"/>
      <c r="AW3276" s="2"/>
      <c r="AX3276" s="2"/>
      <c r="AY3276" s="2"/>
      <c r="AZ3276" s="2"/>
      <c r="BA3276" s="2"/>
      <c r="BB3276" s="2"/>
    </row>
    <row r="3277" ht="204.75" customHeight="1">
      <c r="A3277" s="1">
        <v>413.0</v>
      </c>
      <c r="B3277" s="2" t="s">
        <v>9812</v>
      </c>
      <c r="C3277" s="2">
        <f>IFERROR(__xludf.DUMMYFUNCTION("split(B3277,""_"")"),1901.0)</f>
        <v>1901</v>
      </c>
      <c r="D3277" s="2" t="str">
        <f>IFERROR(__xludf.DUMMYFUNCTION("""COMPUTED_VALUE"""),"NTV")</f>
        <v>NTV</v>
      </c>
      <c r="E3277" s="2" t="str">
        <f>IFERROR(__xludf.DUMMYFUNCTION("""COMPUTED_VALUE"""),"木23")</f>
        <v>木23</v>
      </c>
      <c r="F3277" s="2" t="s">
        <v>9813</v>
      </c>
      <c r="G3277" s="2" t="s">
        <v>9814</v>
      </c>
      <c r="H3277" s="1">
        <v>1.0</v>
      </c>
      <c r="J3277" s="1" t="s">
        <v>1435</v>
      </c>
      <c r="K3277" s="2" t="s">
        <v>9815</v>
      </c>
      <c r="L3277" s="11" t="s">
        <v>9816</v>
      </c>
      <c r="M3277" s="2" t="str">
        <f>IFERROR(__xludf.DUMMYFUNCTION("split(split(K3277,""【"",false),""公式LINE"",false)"),"ジャストライト物産に勤務する中川彩香(夏菜)、木原里琴(高橋メアリージュン）、皆本佳恵（小林きな子）は、ある晩、流れ星の光に飲まれ“ちょうどいいブスの神様”（山崎ケイ（相席スタート））と出会う。神様は“自己表現下手くそ女子”の彩香、“融通の利かない女子”の里琴、“開き直り女子”の佳恵に、「おめでとう。あなた達は、私に選ばれました。私についてくれば、あなた達は必ず幸せになれます！」と語りかけるが…。")</f>
        <v>ジャストライト物産に勤務する中川彩香(夏菜)、木原里琴(高橋メアリージュン）、皆本佳恵（小林きな子）は、ある晩、流れ星の光に飲まれ“ちょうどいいブスの神様”（山崎ケイ（相席スタート））と出会う。神様は“自己表現下手くそ女子”の彩香、“融通の利かない女子”の里琴、“開き直り女子”の佳恵に、「おめでとう。あなた達は、私に選ばれました。私についてくれば、あなた達は必ず幸せになれます！」と語りかけるが…。</v>
      </c>
      <c r="N3277" s="2"/>
      <c r="O3277" s="2"/>
      <c r="P3277" s="2"/>
      <c r="Q3277" s="2"/>
      <c r="R3277" s="2"/>
      <c r="S3277" s="2"/>
      <c r="T3277" s="2"/>
      <c r="U3277" s="2"/>
      <c r="V3277" s="2"/>
      <c r="W3277" s="2"/>
      <c r="X3277" s="2"/>
      <c r="Y3277" s="2"/>
      <c r="Z3277" s="2"/>
      <c r="AA3277" s="2"/>
      <c r="AB3277" s="2"/>
      <c r="AC3277" s="2"/>
      <c r="AD3277" s="2"/>
      <c r="AE3277" s="2"/>
      <c r="AF3277" s="2"/>
      <c r="AG3277" s="2"/>
      <c r="AH3277" s="2"/>
      <c r="AI3277" s="2"/>
      <c r="AJ3277" s="2"/>
      <c r="AK3277" s="2"/>
      <c r="AL3277" s="2"/>
      <c r="AM3277" s="2"/>
      <c r="AN3277" s="2"/>
      <c r="AO3277" s="2"/>
      <c r="AP3277" s="2"/>
      <c r="AQ3277" s="2"/>
      <c r="AR3277" s="2"/>
      <c r="AS3277" s="2"/>
      <c r="AT3277" s="2"/>
      <c r="AU3277" s="2"/>
      <c r="AV3277" s="2"/>
      <c r="AW3277" s="2"/>
      <c r="AX3277" s="2"/>
      <c r="AY3277" s="2"/>
      <c r="AZ3277" s="2"/>
      <c r="BA3277" s="2"/>
      <c r="BB3277" s="2"/>
    </row>
    <row r="3278" ht="204.75" customHeight="1">
      <c r="A3278" s="1">
        <v>414.0</v>
      </c>
      <c r="B3278" s="2" t="s">
        <v>9812</v>
      </c>
      <c r="C3278" s="2">
        <f>IFERROR(__xludf.DUMMYFUNCTION("split(B3278,""_"")"),1901.0)</f>
        <v>1901</v>
      </c>
      <c r="D3278" s="2" t="str">
        <f>IFERROR(__xludf.DUMMYFUNCTION("""COMPUTED_VALUE"""),"NTV")</f>
        <v>NTV</v>
      </c>
      <c r="E3278" s="2" t="str">
        <f>IFERROR(__xludf.DUMMYFUNCTION("""COMPUTED_VALUE"""),"木23")</f>
        <v>木23</v>
      </c>
      <c r="F3278" s="2" t="s">
        <v>9813</v>
      </c>
      <c r="G3278" s="2" t="s">
        <v>9817</v>
      </c>
      <c r="H3278" s="1">
        <v>2.0</v>
      </c>
      <c r="J3278" s="1" t="s">
        <v>1435</v>
      </c>
      <c r="K3278" s="2" t="s">
        <v>9818</v>
      </c>
      <c r="L3278" s="11" t="s">
        <v>9819</v>
      </c>
      <c r="M3278" s="2" t="str">
        <f>IFERROR(__xludf.DUMMYFUNCTION("split(split(K3278,""【"",false),""公式LINE"",false)"),"大型契約を控えた得意先のアイザック・ベネット社長が突然、ジャストライト物産を訪れてきた。「抜き打ち視察だ！機嫌を損ねて契約破棄されると困る！」と社内は大慌て。一同総出で対応にあたるが、中川彩香(夏菜)、木原里琴(高橋メアリージュン）、皆本佳恵（小林きな子）は的外れの対応ばかり。それを“ちょうどいいブスの神様”（山崎ケイ・相席スタート）は「あなた達に足りないのはコミュニケーション能力！」と指摘し…")</f>
        <v>大型契約を控えた得意先のアイザック・ベネット社長が突然、ジャストライト物産を訪れてきた。「抜き打ち視察だ！機嫌を損ねて契約破棄されると困る！」と社内は大慌て。一同総出で対応にあたるが、中川彩香(夏菜)、木原里琴(高橋メアリージュン）、皆本佳恵（小林きな子）は的外れの対応ばかり。それを“ちょうどいいブスの神様”（山崎ケイ・相席スタート）は「あなた達に足りないのはコミュニケーション能力！」と指摘し…</v>
      </c>
      <c r="N3278" s="2"/>
      <c r="O3278" s="2"/>
      <c r="P3278" s="2"/>
      <c r="Q3278" s="2"/>
      <c r="R3278" s="2"/>
      <c r="S3278" s="2"/>
      <c r="T3278" s="2"/>
      <c r="U3278" s="2"/>
      <c r="V3278" s="2"/>
      <c r="W3278" s="2"/>
      <c r="X3278" s="2"/>
      <c r="Y3278" s="2"/>
      <c r="Z3278" s="2"/>
      <c r="AA3278" s="2"/>
      <c r="AB3278" s="2"/>
      <c r="AC3278" s="2"/>
      <c r="AD3278" s="2"/>
      <c r="AE3278" s="2"/>
      <c r="AF3278" s="2"/>
      <c r="AG3278" s="2"/>
      <c r="AH3278" s="2"/>
      <c r="AI3278" s="2"/>
      <c r="AJ3278" s="2"/>
      <c r="AK3278" s="2"/>
      <c r="AL3278" s="2"/>
      <c r="AM3278" s="2"/>
      <c r="AN3278" s="2"/>
      <c r="AO3278" s="2"/>
      <c r="AP3278" s="2"/>
      <c r="AQ3278" s="2"/>
      <c r="AR3278" s="2"/>
      <c r="AS3278" s="2"/>
      <c r="AT3278" s="2"/>
      <c r="AU3278" s="2"/>
      <c r="AV3278" s="2"/>
      <c r="AW3278" s="2"/>
      <c r="AX3278" s="2"/>
      <c r="AY3278" s="2"/>
      <c r="AZ3278" s="2"/>
      <c r="BA3278" s="2"/>
      <c r="BB3278" s="2"/>
    </row>
    <row r="3279" ht="204.75" customHeight="1">
      <c r="A3279" s="1">
        <v>415.0</v>
      </c>
      <c r="B3279" s="2" t="s">
        <v>9812</v>
      </c>
      <c r="C3279" s="2">
        <f>IFERROR(__xludf.DUMMYFUNCTION("split(B3279,""_"")"),1901.0)</f>
        <v>1901</v>
      </c>
      <c r="D3279" s="2" t="str">
        <f>IFERROR(__xludf.DUMMYFUNCTION("""COMPUTED_VALUE"""),"NTV")</f>
        <v>NTV</v>
      </c>
      <c r="E3279" s="2" t="str">
        <f>IFERROR(__xludf.DUMMYFUNCTION("""COMPUTED_VALUE"""),"木23")</f>
        <v>木23</v>
      </c>
      <c r="F3279" s="2" t="s">
        <v>9813</v>
      </c>
      <c r="G3279" s="2" t="s">
        <v>9817</v>
      </c>
      <c r="H3279" s="1">
        <v>3.0</v>
      </c>
      <c r="J3279" s="1" t="s">
        <v>1435</v>
      </c>
      <c r="K3279" s="2" t="s">
        <v>9820</v>
      </c>
      <c r="L3279" s="11" t="s">
        <v>9821</v>
      </c>
      <c r="M3279" s="2" t="str">
        <f>IFERROR(__xludf.DUMMYFUNCTION("split(split(K3279,""【"",false),""公式LINE"",false)"),"彩香(夏菜)、里琴(高橋メアリージュン）、佳恵（小林きな子）は自己評価と他人の評価が違いすぎる。ちょうどいいブスの神様（山崎ケイ）から「あなたたちは自分が見えてない！ブスと認めたのなら人並み以上の努力をしなきゃダメ！」と発破をかけられ、３人それぞれに挑戦し始める中、里琴が新人の福田（山本直寛）の教育係を引き受ける。しかし福田は取引先に絡んだミスを起こし、彩香は里琴と一緒に、ある無謀な行動に出る…。")</f>
        <v>彩香(夏菜)、里琴(高橋メアリージュン）、佳恵（小林きな子）は自己評価と他人の評価が違いすぎる。ちょうどいいブスの神様（山崎ケイ）から「あなたたちは自分が見えてない！ブスと認めたのなら人並み以上の努力をしなきゃダメ！」と発破をかけられ、３人それぞれに挑戦し始める中、里琴が新人の福田（山本直寛）の教育係を引き受ける。しかし福田は取引先に絡んだミスを起こし、彩香は里琴と一緒に、ある無謀な行動に出る…。</v>
      </c>
      <c r="N3279" s="2"/>
      <c r="O3279" s="2"/>
      <c r="P3279" s="2"/>
      <c r="Q3279" s="2"/>
      <c r="R3279" s="2"/>
      <c r="S3279" s="2"/>
      <c r="T3279" s="2"/>
      <c r="U3279" s="2"/>
      <c r="V3279" s="2"/>
      <c r="W3279" s="2"/>
      <c r="X3279" s="2"/>
      <c r="Y3279" s="2"/>
      <c r="Z3279" s="2"/>
      <c r="AA3279" s="2"/>
      <c r="AB3279" s="2"/>
      <c r="AC3279" s="2"/>
      <c r="AD3279" s="2"/>
      <c r="AE3279" s="2"/>
      <c r="AF3279" s="2"/>
      <c r="AG3279" s="2"/>
      <c r="AH3279" s="2"/>
      <c r="AI3279" s="2"/>
      <c r="AJ3279" s="2"/>
      <c r="AK3279" s="2"/>
      <c r="AL3279" s="2"/>
      <c r="AM3279" s="2"/>
      <c r="AN3279" s="2"/>
      <c r="AO3279" s="2"/>
      <c r="AP3279" s="2"/>
      <c r="AQ3279" s="2"/>
      <c r="AR3279" s="2"/>
      <c r="AS3279" s="2"/>
      <c r="AT3279" s="2"/>
      <c r="AU3279" s="2"/>
      <c r="AV3279" s="2"/>
      <c r="AW3279" s="2"/>
      <c r="AX3279" s="2"/>
      <c r="AY3279" s="2"/>
      <c r="AZ3279" s="2"/>
      <c r="BA3279" s="2"/>
      <c r="BB3279" s="2"/>
    </row>
    <row r="3280" ht="204.75" customHeight="1">
      <c r="A3280" s="1">
        <v>416.0</v>
      </c>
      <c r="B3280" s="2" t="s">
        <v>9812</v>
      </c>
      <c r="C3280" s="2">
        <f>IFERROR(__xludf.DUMMYFUNCTION("split(B3280,""_"")"),1901.0)</f>
        <v>1901</v>
      </c>
      <c r="D3280" s="2" t="str">
        <f>IFERROR(__xludf.DUMMYFUNCTION("""COMPUTED_VALUE"""),"NTV")</f>
        <v>NTV</v>
      </c>
      <c r="E3280" s="2" t="str">
        <f>IFERROR(__xludf.DUMMYFUNCTION("""COMPUTED_VALUE"""),"木23")</f>
        <v>木23</v>
      </c>
      <c r="F3280" s="2" t="s">
        <v>9813</v>
      </c>
      <c r="G3280" s="2" t="s">
        <v>9822</v>
      </c>
      <c r="H3280" s="1">
        <v>4.0</v>
      </c>
      <c r="J3280" s="1" t="s">
        <v>1435</v>
      </c>
      <c r="K3280" s="2" t="s">
        <v>9823</v>
      </c>
      <c r="L3280" s="11" t="s">
        <v>9824</v>
      </c>
      <c r="M3280" s="2" t="str">
        <f>IFERROR(__xludf.DUMMYFUNCTION("split(split(K3280,""【"",false),""公式LINE"",false)"),"中川彩香（夏菜）は、佐久間涼太（和田琢磨）から誘われたデートのことで頭がいっぱい。恋愛の必殺技など持たない彩香、木原里琴（高橋メアリージュン）、皆本佳恵（小林きな子）に、“ちょうどいいブスの神様”（山崎ケイ・相席スタート）は「“ちょうどいいブスの恋はRPG”!少しずつ経験値を積んで、ひとつひとつステージをクリアしていくの！」とアドバイス。彩香は「佐久間君と楽しく会話をすること」を目標に突き進むが…")</f>
        <v>中川彩香（夏菜）は、佐久間涼太（和田琢磨）から誘われたデートのことで頭がいっぱい。恋愛の必殺技など持たない彩香、木原里琴（高橋メアリージュン）、皆本佳恵（小林きな子）に、“ちょうどいいブスの神様”（山崎ケイ・相席スタート）は「“ちょうどいいブスの恋はRPG”!少しずつ経験値を積んで、ひとつひとつステージをクリアしていくの！」とアドバイス。彩香は「佐久間君と楽しく会話をすること」を目標に突き進むが…</v>
      </c>
      <c r="N3280" s="2"/>
      <c r="O3280" s="2"/>
      <c r="P3280" s="2"/>
      <c r="Q3280" s="2"/>
      <c r="R3280" s="2"/>
      <c r="S3280" s="2"/>
      <c r="T3280" s="2"/>
      <c r="U3280" s="2"/>
      <c r="V3280" s="2"/>
      <c r="W3280" s="2"/>
      <c r="X3280" s="2"/>
      <c r="Y3280" s="2"/>
      <c r="Z3280" s="2"/>
      <c r="AA3280" s="2"/>
      <c r="AB3280" s="2"/>
      <c r="AC3280" s="2"/>
      <c r="AD3280" s="2"/>
      <c r="AE3280" s="2"/>
      <c r="AF3280" s="2"/>
      <c r="AG3280" s="2"/>
      <c r="AH3280" s="2"/>
      <c r="AI3280" s="2"/>
      <c r="AJ3280" s="2"/>
      <c r="AK3280" s="2"/>
      <c r="AL3280" s="2"/>
      <c r="AM3280" s="2"/>
      <c r="AN3280" s="2"/>
      <c r="AO3280" s="2"/>
      <c r="AP3280" s="2"/>
      <c r="AQ3280" s="2"/>
      <c r="AR3280" s="2"/>
      <c r="AS3280" s="2"/>
      <c r="AT3280" s="2"/>
      <c r="AU3280" s="2"/>
      <c r="AV3280" s="2"/>
      <c r="AW3280" s="2"/>
      <c r="AX3280" s="2"/>
      <c r="AY3280" s="2"/>
      <c r="AZ3280" s="2"/>
      <c r="BA3280" s="2"/>
      <c r="BB3280" s="2"/>
    </row>
    <row r="3281" ht="204.75" customHeight="1">
      <c r="A3281" s="1">
        <v>417.0</v>
      </c>
      <c r="B3281" s="2" t="s">
        <v>9812</v>
      </c>
      <c r="C3281" s="2">
        <f>IFERROR(__xludf.DUMMYFUNCTION("split(B3281,""_"")"),1901.0)</f>
        <v>1901</v>
      </c>
      <c r="D3281" s="2" t="str">
        <f>IFERROR(__xludf.DUMMYFUNCTION("""COMPUTED_VALUE"""),"NTV")</f>
        <v>NTV</v>
      </c>
      <c r="E3281" s="2" t="str">
        <f>IFERROR(__xludf.DUMMYFUNCTION("""COMPUTED_VALUE"""),"木23")</f>
        <v>木23</v>
      </c>
      <c r="F3281" s="2" t="s">
        <v>9813</v>
      </c>
      <c r="G3281" s="2" t="s">
        <v>9825</v>
      </c>
      <c r="H3281" s="1">
        <v>5.0</v>
      </c>
      <c r="J3281" s="1" t="s">
        <v>1435</v>
      </c>
      <c r="K3281" s="2" t="s">
        <v>9826</v>
      </c>
      <c r="L3281" s="11" t="s">
        <v>9827</v>
      </c>
      <c r="M3281" s="2" t="str">
        <f>IFERROR(__xludf.DUMMYFUNCTION("split(split(K3281,""【"",false),""公式LINE"",false)"),"神様からのレッスン５は、衝撃の「パンスト相撲」？失恋から立ち直れない中川彩香（夏菜）と皆本佳恵（小林きな子）に、“ちょうどいいブスの神様”（山崎ケイ・相席スタート）は“ショック療法”と称して合コンにチャレンジさせる。合コンに拒否反応を見せる彩香に、神様は「ちょうどいい距離を制する者が、全てを制す！」とアドバイス。そして彩香と佳恵のために、木原里琴（高橋メアリージュン）が合コンをセッティングするが…")</f>
        <v>神様からのレッスン５は、衝撃の「パンスト相撲」？失恋から立ち直れない中川彩香（夏菜）と皆本佳恵（小林きな子）に、“ちょうどいいブスの神様”（山崎ケイ・相席スタート）は“ショック療法”と称して合コンにチャレンジさせる。合コンに拒否反応を見せる彩香に、神様は「ちょうどいい距離を制する者が、全てを制す！」とアドバイス。そして彩香と佳恵のために、木原里琴（高橋メアリージュン）が合コンをセッティングするが…</v>
      </c>
      <c r="N3281" s="2"/>
      <c r="O3281" s="2"/>
      <c r="P3281" s="2"/>
      <c r="Q3281" s="2"/>
      <c r="R3281" s="2"/>
      <c r="S3281" s="2"/>
      <c r="T3281" s="2"/>
      <c r="U3281" s="2"/>
      <c r="V3281" s="2"/>
      <c r="W3281" s="2"/>
      <c r="X3281" s="2"/>
      <c r="Y3281" s="2"/>
      <c r="Z3281" s="2"/>
      <c r="AA3281" s="2"/>
      <c r="AB3281" s="2"/>
      <c r="AC3281" s="2"/>
      <c r="AD3281" s="2"/>
      <c r="AE3281" s="2"/>
      <c r="AF3281" s="2"/>
      <c r="AG3281" s="2"/>
      <c r="AH3281" s="2"/>
      <c r="AI3281" s="2"/>
      <c r="AJ3281" s="2"/>
      <c r="AK3281" s="2"/>
      <c r="AL3281" s="2"/>
      <c r="AM3281" s="2"/>
      <c r="AN3281" s="2"/>
      <c r="AO3281" s="2"/>
      <c r="AP3281" s="2"/>
      <c r="AQ3281" s="2"/>
      <c r="AR3281" s="2"/>
      <c r="AS3281" s="2"/>
      <c r="AT3281" s="2"/>
      <c r="AU3281" s="2"/>
      <c r="AV3281" s="2"/>
      <c r="AW3281" s="2"/>
      <c r="AX3281" s="2"/>
      <c r="AY3281" s="2"/>
      <c r="AZ3281" s="2"/>
      <c r="BA3281" s="2"/>
      <c r="BB3281" s="2"/>
    </row>
    <row r="3282" ht="204.75" customHeight="1">
      <c r="A3282" s="1">
        <v>418.0</v>
      </c>
      <c r="B3282" s="2" t="s">
        <v>9812</v>
      </c>
      <c r="C3282" s="2">
        <f>IFERROR(__xludf.DUMMYFUNCTION("split(B3282,""_"")"),1901.0)</f>
        <v>1901</v>
      </c>
      <c r="D3282" s="2" t="str">
        <f>IFERROR(__xludf.DUMMYFUNCTION("""COMPUTED_VALUE"""),"NTV")</f>
        <v>NTV</v>
      </c>
      <c r="E3282" s="2" t="str">
        <f>IFERROR(__xludf.DUMMYFUNCTION("""COMPUTED_VALUE"""),"木23")</f>
        <v>木23</v>
      </c>
      <c r="F3282" s="2" t="s">
        <v>9813</v>
      </c>
      <c r="G3282" s="2" t="s">
        <v>9828</v>
      </c>
      <c r="H3282" s="1">
        <v>6.0</v>
      </c>
      <c r="J3282" s="1" t="s">
        <v>1435</v>
      </c>
      <c r="K3282" s="2" t="s">
        <v>9829</v>
      </c>
      <c r="L3282" s="11" t="s">
        <v>9830</v>
      </c>
      <c r="M3282" s="2" t="str">
        <f>IFERROR(__xludf.DUMMYFUNCTION("split(split(K3282,""【"",false),""公式LINE"",false)"),"ちょうどいいブスの神様”（山崎ケイ・相席スタート）から与えられた課題は「幸せが勝手に舞い込むなんて思ったら大間違い！受け身にならず、今こそ動く！」というもの。早速、中川彩香（夏菜）は、佐久間涼太（和田琢磨）が女性と言い争うのを見て、木原里琴（高橋メアリージュン）、皆本佳恵（小林きな子）と後をつける。すると涼太の思わぬ一面が発覚。「目に見えているものが真実とは限らない」と三人は引き続き行動するが…")</f>
        <v>ちょうどいいブスの神様”（山崎ケイ・相席スタート）から与えられた課題は「幸せが勝手に舞い込むなんて思ったら大間違い！受け身にならず、今こそ動く！」というもの。早速、中川彩香（夏菜）は、佐久間涼太（和田琢磨）が女性と言い争うのを見て、木原里琴（高橋メアリージュン）、皆本佳恵（小林きな子）と後をつける。すると涼太の思わぬ一面が発覚。「目に見えているものが真実とは限らない」と三人は引き続き行動するが…</v>
      </c>
      <c r="N3282" s="2"/>
      <c r="O3282" s="2"/>
      <c r="P3282" s="2"/>
      <c r="Q3282" s="2"/>
      <c r="R3282" s="2"/>
      <c r="S3282" s="2"/>
      <c r="T3282" s="2"/>
      <c r="U3282" s="2"/>
      <c r="V3282" s="2"/>
      <c r="W3282" s="2"/>
      <c r="X3282" s="2"/>
      <c r="Y3282" s="2"/>
      <c r="Z3282" s="2"/>
      <c r="AA3282" s="2"/>
      <c r="AB3282" s="2"/>
      <c r="AC3282" s="2"/>
      <c r="AD3282" s="2"/>
      <c r="AE3282" s="2"/>
      <c r="AF3282" s="2"/>
      <c r="AG3282" s="2"/>
      <c r="AH3282" s="2"/>
      <c r="AI3282" s="2"/>
      <c r="AJ3282" s="2"/>
      <c r="AK3282" s="2"/>
      <c r="AL3282" s="2"/>
      <c r="AM3282" s="2"/>
      <c r="AN3282" s="2"/>
      <c r="AO3282" s="2"/>
      <c r="AP3282" s="2"/>
      <c r="AQ3282" s="2"/>
      <c r="AR3282" s="2"/>
      <c r="AS3282" s="2"/>
      <c r="AT3282" s="2"/>
      <c r="AU3282" s="2"/>
      <c r="AV3282" s="2"/>
      <c r="AW3282" s="2"/>
      <c r="AX3282" s="2"/>
      <c r="AY3282" s="2"/>
      <c r="AZ3282" s="2"/>
      <c r="BA3282" s="2"/>
      <c r="BB3282" s="2"/>
    </row>
    <row r="3283" ht="204.75" customHeight="1">
      <c r="A3283" s="1">
        <v>419.0</v>
      </c>
      <c r="B3283" s="2" t="s">
        <v>9812</v>
      </c>
      <c r="C3283" s="2">
        <f>IFERROR(__xludf.DUMMYFUNCTION("split(B3283,""_"")"),1901.0)</f>
        <v>1901</v>
      </c>
      <c r="D3283" s="2" t="str">
        <f>IFERROR(__xludf.DUMMYFUNCTION("""COMPUTED_VALUE"""),"NTV")</f>
        <v>NTV</v>
      </c>
      <c r="E3283" s="2" t="str">
        <f>IFERROR(__xludf.DUMMYFUNCTION("""COMPUTED_VALUE"""),"木23")</f>
        <v>木23</v>
      </c>
      <c r="F3283" s="2" t="s">
        <v>9813</v>
      </c>
      <c r="G3283" s="2" t="s">
        <v>9831</v>
      </c>
      <c r="H3283" s="1">
        <v>7.0</v>
      </c>
      <c r="J3283" s="1" t="s">
        <v>1435</v>
      </c>
      <c r="K3283" s="2" t="s">
        <v>9832</v>
      </c>
      <c r="L3283" s="11" t="s">
        <v>9833</v>
      </c>
      <c r="M3283" s="2" t="str">
        <f>IFERROR(__xludf.DUMMYFUNCTION("split(split(K3283,""【"",false),""公式LINE"",false)"),"“ちょうどいいブスの神様”（山崎ケイ・相席スタート）からの次なるミッションは「ブスな部分を長所に変える」。中川彩香（夏菜）は自己表現が下手なところ、木原里琴（高橋メアリージュン）は融通のきかないところ、皆本佳恵（小林きな子）は他人のアラ探しをしてしまうところを、個性ととらえて長所にしてしまえと言うのだが、やり方が分からない三人。「何事も挑戦！ブス Be ambitious!」と神様はけしかけるが…")</f>
        <v>“ちょうどいいブスの神様”（山崎ケイ・相席スタート）からの次なるミッションは「ブスな部分を長所に変える」。中川彩香（夏菜）は自己表現が下手なところ、木原里琴（高橋メアリージュン）は融通のきかないところ、皆本佳恵（小林きな子）は他人のアラ探しをしてしまうところを、個性ととらえて長所にしてしまえと言うのだが、やり方が分からない三人。「何事も挑戦！ブス Be ambitious!」と神様はけしかけるが…</v>
      </c>
      <c r="N3283" s="2"/>
      <c r="O3283" s="2"/>
      <c r="P3283" s="2"/>
      <c r="Q3283" s="2"/>
      <c r="R3283" s="2"/>
      <c r="S3283" s="2"/>
      <c r="T3283" s="2"/>
      <c r="U3283" s="2"/>
      <c r="V3283" s="2"/>
      <c r="W3283" s="2"/>
      <c r="X3283" s="2"/>
      <c r="Y3283" s="2"/>
      <c r="Z3283" s="2"/>
      <c r="AA3283" s="2"/>
      <c r="AB3283" s="2"/>
      <c r="AC3283" s="2"/>
      <c r="AD3283" s="2"/>
      <c r="AE3283" s="2"/>
      <c r="AF3283" s="2"/>
      <c r="AG3283" s="2"/>
      <c r="AH3283" s="2"/>
      <c r="AI3283" s="2"/>
      <c r="AJ3283" s="2"/>
      <c r="AK3283" s="2"/>
      <c r="AL3283" s="2"/>
      <c r="AM3283" s="2"/>
      <c r="AN3283" s="2"/>
      <c r="AO3283" s="2"/>
      <c r="AP3283" s="2"/>
      <c r="AQ3283" s="2"/>
      <c r="AR3283" s="2"/>
      <c r="AS3283" s="2"/>
      <c r="AT3283" s="2"/>
      <c r="AU3283" s="2"/>
      <c r="AV3283" s="2"/>
      <c r="AW3283" s="2"/>
      <c r="AX3283" s="2"/>
      <c r="AY3283" s="2"/>
      <c r="AZ3283" s="2"/>
      <c r="BA3283" s="2"/>
      <c r="BB3283" s="2"/>
    </row>
    <row r="3284" ht="204.75" customHeight="1">
      <c r="A3284" s="1">
        <v>420.0</v>
      </c>
      <c r="B3284" s="2" t="s">
        <v>9812</v>
      </c>
      <c r="C3284" s="2">
        <f>IFERROR(__xludf.DUMMYFUNCTION("split(B3284,""_"")"),1901.0)</f>
        <v>1901</v>
      </c>
      <c r="D3284" s="2" t="str">
        <f>IFERROR(__xludf.DUMMYFUNCTION("""COMPUTED_VALUE"""),"NTV")</f>
        <v>NTV</v>
      </c>
      <c r="E3284" s="2" t="str">
        <f>IFERROR(__xludf.DUMMYFUNCTION("""COMPUTED_VALUE"""),"木23")</f>
        <v>木23</v>
      </c>
      <c r="F3284" s="2" t="s">
        <v>9813</v>
      </c>
      <c r="G3284" s="2" t="s">
        <v>9834</v>
      </c>
      <c r="H3284" s="1">
        <v>8.0</v>
      </c>
      <c r="J3284" s="1" t="s">
        <v>1435</v>
      </c>
      <c r="K3284" s="2" t="s">
        <v>9835</v>
      </c>
      <c r="L3284" s="11" t="s">
        <v>9836</v>
      </c>
      <c r="M3284" s="2" t="str">
        <f>IFERROR(__xludf.DUMMYFUNCTION("split(split(K3284,""【"",false),""公式LINE"",false)"),"木原里琴（高橋メアリージュン）が情報漏洩の犯人だと疑われるが、中川彩香（夏菜）、皆本佳恵（小林きな子）は里琴を信じて疑わない。“ちょうどいいブスの神様”（山崎ケイ・相席スタート）は、そんな３人の友情を褒めたたえ、ブス３か条「真実を見抜く目を持つ」「気高き精神を持つ」「仲間を裏切らない」を掲げて仲間のピンチを救えと言う。そんな折、“ちょうどいいブス”のレジェンド、松澤初美（伊藤修子）に不穏な動きが…")</f>
        <v>木原里琴（高橋メアリージュン）が情報漏洩の犯人だと疑われるが、中川彩香（夏菜）、皆本佳恵（小林きな子）は里琴を信じて疑わない。“ちょうどいいブスの神様”（山崎ケイ・相席スタート）は、そんな３人の友情を褒めたたえ、ブス３か条「真実を見抜く目を持つ」「気高き精神を持つ」「仲間を裏切らない」を掲げて仲間のピンチを救えと言う。そんな折、“ちょうどいいブス”のレジェンド、松澤初美（伊藤修子）に不穏な動きが…</v>
      </c>
      <c r="N3284" s="2"/>
      <c r="O3284" s="2"/>
      <c r="P3284" s="2"/>
      <c r="Q3284" s="2"/>
      <c r="R3284" s="2"/>
      <c r="S3284" s="2"/>
      <c r="T3284" s="2"/>
      <c r="U3284" s="2"/>
      <c r="V3284" s="2"/>
      <c r="W3284" s="2"/>
      <c r="X3284" s="2"/>
      <c r="Y3284" s="2"/>
      <c r="Z3284" s="2"/>
      <c r="AA3284" s="2"/>
      <c r="AB3284" s="2"/>
      <c r="AC3284" s="2"/>
      <c r="AD3284" s="2"/>
      <c r="AE3284" s="2"/>
      <c r="AF3284" s="2"/>
      <c r="AG3284" s="2"/>
      <c r="AH3284" s="2"/>
      <c r="AI3284" s="2"/>
      <c r="AJ3284" s="2"/>
      <c r="AK3284" s="2"/>
      <c r="AL3284" s="2"/>
      <c r="AM3284" s="2"/>
      <c r="AN3284" s="2"/>
      <c r="AO3284" s="2"/>
      <c r="AP3284" s="2"/>
      <c r="AQ3284" s="2"/>
      <c r="AR3284" s="2"/>
      <c r="AS3284" s="2"/>
      <c r="AT3284" s="2"/>
      <c r="AU3284" s="2"/>
      <c r="AV3284" s="2"/>
      <c r="AW3284" s="2"/>
      <c r="AX3284" s="2"/>
      <c r="AY3284" s="2"/>
      <c r="AZ3284" s="2"/>
      <c r="BA3284" s="2"/>
      <c r="BB3284" s="2"/>
    </row>
    <row r="3285" ht="204.75" customHeight="1">
      <c r="A3285" s="1">
        <v>421.0</v>
      </c>
      <c r="B3285" s="2" t="s">
        <v>9812</v>
      </c>
      <c r="C3285" s="2">
        <f>IFERROR(__xludf.DUMMYFUNCTION("split(B3285,""_"")"),1901.0)</f>
        <v>1901</v>
      </c>
      <c r="D3285" s="2" t="str">
        <f>IFERROR(__xludf.DUMMYFUNCTION("""COMPUTED_VALUE"""),"NTV")</f>
        <v>NTV</v>
      </c>
      <c r="E3285" s="2" t="str">
        <f>IFERROR(__xludf.DUMMYFUNCTION("""COMPUTED_VALUE"""),"木23")</f>
        <v>木23</v>
      </c>
      <c r="F3285" s="2" t="s">
        <v>9813</v>
      </c>
      <c r="G3285" s="2" t="s">
        <v>9837</v>
      </c>
      <c r="H3285" s="1">
        <v>9.0</v>
      </c>
      <c r="J3285" s="1" t="s">
        <v>1435</v>
      </c>
      <c r="K3285" s="2" t="s">
        <v>9838</v>
      </c>
      <c r="L3285" s="11" t="s">
        <v>9839</v>
      </c>
      <c r="M3285" s="2" t="str">
        <f>IFERROR(__xludf.DUMMYFUNCTION("split(split(K3285,""【"",false),""公式LINE"",false)"),"ジャストライト物産が、ワンオアエイトカンパニーに吸収合併される見込みとなった。社長の神原重吉（田山涼成）は行方不明のままで、代わりに神原譲吉（阿南健治）が舵をとる。会社の行く末を心配する中川彩香(夏菜)、木原里琴(高橋メアリージュン）、皆本佳恵（小林きな子）に、“ちょうどいいブスの神様”（山崎ケイ・相席スタート）は意外なミッションを与える。そしてそれは“ちょうどいいブス”の卒業試験でもあり…")</f>
        <v>ジャストライト物産が、ワンオアエイトカンパニーに吸収合併される見込みとなった。社長の神原重吉（田山涼成）は行方不明のままで、代わりに神原譲吉（阿南健治）が舵をとる。会社の行く末を心配する中川彩香(夏菜)、木原里琴(高橋メアリージュン）、皆本佳恵（小林きな子）に、“ちょうどいいブスの神様”（山崎ケイ・相席スタート）は意外なミッションを与える。そしてそれは“ちょうどいいブス”の卒業試験でもあり…</v>
      </c>
      <c r="N3285" s="2"/>
      <c r="O3285" s="2"/>
      <c r="P3285" s="2"/>
      <c r="Q3285" s="2"/>
      <c r="R3285" s="2"/>
      <c r="S3285" s="2"/>
      <c r="T3285" s="2"/>
      <c r="U3285" s="2"/>
      <c r="V3285" s="2"/>
      <c r="W3285" s="2"/>
      <c r="X3285" s="2"/>
      <c r="Y3285" s="2"/>
      <c r="Z3285" s="2"/>
      <c r="AA3285" s="2"/>
      <c r="AB3285" s="2"/>
      <c r="AC3285" s="2"/>
      <c r="AD3285" s="2"/>
      <c r="AE3285" s="2"/>
      <c r="AF3285" s="2"/>
      <c r="AG3285" s="2"/>
      <c r="AH3285" s="2"/>
      <c r="AI3285" s="2"/>
      <c r="AJ3285" s="2"/>
      <c r="AK3285" s="2"/>
      <c r="AL3285" s="2"/>
      <c r="AM3285" s="2"/>
      <c r="AN3285" s="2"/>
      <c r="AO3285" s="2"/>
      <c r="AP3285" s="2"/>
      <c r="AQ3285" s="2"/>
      <c r="AR3285" s="2"/>
      <c r="AS3285" s="2"/>
      <c r="AT3285" s="2"/>
      <c r="AU3285" s="2"/>
      <c r="AV3285" s="2"/>
      <c r="AW3285" s="2"/>
      <c r="AX3285" s="2"/>
      <c r="AY3285" s="2"/>
      <c r="AZ3285" s="2"/>
      <c r="BA3285" s="2"/>
      <c r="BB3285" s="2"/>
    </row>
    <row r="3286" ht="204.75" customHeight="1">
      <c r="A3286" s="1">
        <v>422.0</v>
      </c>
      <c r="B3286" s="2" t="s">
        <v>9812</v>
      </c>
      <c r="C3286" s="2">
        <f>IFERROR(__xludf.DUMMYFUNCTION("split(B3286,""_"")"),1901.0)</f>
        <v>1901</v>
      </c>
      <c r="D3286" s="2" t="str">
        <f>IFERROR(__xludf.DUMMYFUNCTION("""COMPUTED_VALUE"""),"NTV")</f>
        <v>NTV</v>
      </c>
      <c r="E3286" s="2" t="str">
        <f>IFERROR(__xludf.DUMMYFUNCTION("""COMPUTED_VALUE"""),"木23")</f>
        <v>木23</v>
      </c>
      <c r="F3286" s="2" t="s">
        <v>9813</v>
      </c>
      <c r="G3286" s="2" t="s">
        <v>9840</v>
      </c>
      <c r="H3286" s="1">
        <v>10.0</v>
      </c>
      <c r="J3286" s="1" t="s">
        <v>1435</v>
      </c>
      <c r="K3286" s="2" t="s">
        <v>9841</v>
      </c>
      <c r="L3286" s="11" t="s">
        <v>9842</v>
      </c>
      <c r="M3286" s="2" t="str">
        <f>IFERROR(__xludf.DUMMYFUNCTION("split(split(K3286,""【"",false),""公式LINE"",false)"),"幸せを目前にして逃げ出してしまう中川彩香(夏菜)、木原里琴(高橋メアリージュン）、皆本佳恵（小林きな子）。その三人は黒い“ブスノート”を手にして“ちょうどいいブスの神様”（山崎ケイ・相席スタート）の記憶を取り戻す。そして再び神様に会うことを願うが、手立てが見つからない。一方、三人のことがいまだに気になる神様は、助手のコロンブスに乗せられ、踏ん切りをつけるために「エア卒業式」を行うことにするが…。")</f>
        <v>幸せを目前にして逃げ出してしまう中川彩香(夏菜)、木原里琴(高橋メアリージュン）、皆本佳恵（小林きな子）。その三人は黒い“ブスノート”を手にして“ちょうどいいブスの神様”（山崎ケイ・相席スタート）の記憶を取り戻す。そして再び神様に会うことを願うが、手立てが見つからない。一方、三人のことがいまだに気になる神様は、助手のコロンブスに乗せられ、踏ん切りをつけるために「エア卒業式」を行うことにするが…。</v>
      </c>
      <c r="N3286" s="2"/>
      <c r="O3286" s="2"/>
      <c r="P3286" s="2"/>
      <c r="Q3286" s="2"/>
      <c r="R3286" s="2"/>
      <c r="S3286" s="2"/>
      <c r="T3286" s="2"/>
      <c r="U3286" s="2"/>
      <c r="V3286" s="2"/>
      <c r="W3286" s="2"/>
      <c r="X3286" s="2"/>
      <c r="Y3286" s="2"/>
      <c r="Z3286" s="2"/>
      <c r="AA3286" s="2"/>
      <c r="AB3286" s="2"/>
      <c r="AC3286" s="2"/>
      <c r="AD3286" s="2"/>
      <c r="AE3286" s="2"/>
      <c r="AF3286" s="2"/>
      <c r="AG3286" s="2"/>
      <c r="AH3286" s="2"/>
      <c r="AI3286" s="2"/>
      <c r="AJ3286" s="2"/>
      <c r="AK3286" s="2"/>
      <c r="AL3286" s="2"/>
      <c r="AM3286" s="2"/>
      <c r="AN3286" s="2"/>
      <c r="AO3286" s="2"/>
      <c r="AP3286" s="2"/>
      <c r="AQ3286" s="2"/>
      <c r="AR3286" s="2"/>
      <c r="AS3286" s="2"/>
      <c r="AT3286" s="2"/>
      <c r="AU3286" s="2"/>
      <c r="AV3286" s="2"/>
      <c r="AW3286" s="2"/>
      <c r="AX3286" s="2"/>
      <c r="AY3286" s="2"/>
      <c r="AZ3286" s="2"/>
      <c r="BA3286" s="2"/>
      <c r="BB3286" s="2"/>
    </row>
    <row r="3287" ht="204.75" customHeight="1">
      <c r="A3287" s="1">
        <v>441.0</v>
      </c>
      <c r="B3287" s="2" t="s">
        <v>9843</v>
      </c>
      <c r="C3287" s="2">
        <f>IFERROR(__xludf.DUMMYFUNCTION("split(B3287,""_"")"),1901.0)</f>
        <v>1901</v>
      </c>
      <c r="D3287" s="2" t="str">
        <f>IFERROR(__xludf.DUMMYFUNCTION("""COMPUTED_VALUE"""),"NTV")</f>
        <v>NTV</v>
      </c>
      <c r="E3287" s="2" t="str">
        <f>IFERROR(__xludf.DUMMYFUNCTION("""COMPUTED_VALUE"""),"土22")</f>
        <v>土22</v>
      </c>
      <c r="F3287" s="2" t="s">
        <v>9844</v>
      </c>
      <c r="G3287" s="2" t="s">
        <v>9845</v>
      </c>
      <c r="H3287" s="1">
        <v>1.0</v>
      </c>
      <c r="I3287" s="1" t="s">
        <v>2868</v>
      </c>
      <c r="J3287" s="1" t="s">
        <v>82</v>
      </c>
      <c r="K3287" s="2" t="s">
        <v>9846</v>
      </c>
      <c r="L3287" s="11" t="s">
        <v>9847</v>
      </c>
      <c r="M3287" s="2" t="str">
        <f>IFERROR(__xludf.DUMMYFUNCTION("split(split(K3287,""【"",false),""公式LINE"",false)"),"黒川拓（坂口健太郎）は逆転無罪を3年で5件も勝ち取った敏腕若手弁護士。拓とバディを組み、振り回されながらも事件解決に向けて情熱を燃やす新米弁護士・和倉楓（川口春奈）。無実なのに罪に問われた弱者を救う弁護士・科学者（藤木直人）・ジャーナリスト（市川実日子）たちの活躍を描くヒューマン・リーガル・エンターテインメント！自宅放火の罪を着せられた男（吉田栄作）の冤罪を“科学の力”で晴らすことができるのか!?")</f>
        <v>黒川拓（坂口健太郎）は逆転無罪を3年で5件も勝ち取った敏腕若手弁護士。拓とバディを組み、振り回されながらも事件解決に向けて情熱を燃やす新米弁護士・和倉楓（川口春奈）。無実なのに罪に問われた弱者を救う弁護士・科学者（藤木直人）・ジャーナリスト（市川実日子）たちの活躍を描くヒューマン・リーガル・エンターテインメント！自宅放火の罪を着せられた男（吉田栄作）の冤罪を“科学の力”で晴らすことができるのか!?</v>
      </c>
      <c r="N3287" s="2"/>
      <c r="O3287" s="2"/>
      <c r="P3287" s="2"/>
      <c r="Q3287" s="2"/>
      <c r="R3287" s="2"/>
      <c r="S3287" s="2"/>
      <c r="T3287" s="2"/>
      <c r="U3287" s="2"/>
      <c r="V3287" s="2"/>
      <c r="W3287" s="2"/>
      <c r="X3287" s="2"/>
      <c r="Y3287" s="2"/>
      <c r="Z3287" s="2"/>
      <c r="AA3287" s="2"/>
      <c r="AB3287" s="2"/>
      <c r="AC3287" s="2"/>
      <c r="AD3287" s="2"/>
      <c r="AE3287" s="2"/>
      <c r="AF3287" s="2"/>
      <c r="AG3287" s="2"/>
      <c r="AH3287" s="2"/>
      <c r="AI3287" s="2"/>
      <c r="AJ3287" s="2"/>
      <c r="AK3287" s="2"/>
      <c r="AL3287" s="2"/>
      <c r="AM3287" s="2"/>
      <c r="AN3287" s="2"/>
      <c r="AO3287" s="2"/>
      <c r="AP3287" s="2"/>
      <c r="AQ3287" s="2"/>
      <c r="AR3287" s="2"/>
      <c r="AS3287" s="2"/>
      <c r="AT3287" s="2"/>
      <c r="AU3287" s="2"/>
      <c r="AV3287" s="2"/>
      <c r="AW3287" s="2"/>
      <c r="AX3287" s="2"/>
      <c r="AY3287" s="2"/>
      <c r="AZ3287" s="2"/>
      <c r="BA3287" s="2"/>
      <c r="BB3287" s="2"/>
    </row>
    <row r="3288" ht="204.75" customHeight="1">
      <c r="A3288" s="1">
        <v>442.0</v>
      </c>
      <c r="B3288" s="2" t="s">
        <v>9843</v>
      </c>
      <c r="C3288" s="2">
        <f>IFERROR(__xludf.DUMMYFUNCTION("split(B3288,""_"")"),1901.0)</f>
        <v>1901</v>
      </c>
      <c r="D3288" s="2" t="str">
        <f>IFERROR(__xludf.DUMMYFUNCTION("""COMPUTED_VALUE"""),"NTV")</f>
        <v>NTV</v>
      </c>
      <c r="E3288" s="2" t="str">
        <f>IFERROR(__xludf.DUMMYFUNCTION("""COMPUTED_VALUE"""),"土22")</f>
        <v>土22</v>
      </c>
      <c r="F3288" s="2" t="s">
        <v>9844</v>
      </c>
      <c r="G3288" s="2" t="s">
        <v>9848</v>
      </c>
      <c r="H3288" s="1">
        <v>2.0</v>
      </c>
      <c r="I3288" s="1" t="s">
        <v>2872</v>
      </c>
      <c r="J3288" s="1" t="s">
        <v>86</v>
      </c>
      <c r="K3288" s="2" t="s">
        <v>9849</v>
      </c>
      <c r="L3288" s="11" t="s">
        <v>9850</v>
      </c>
      <c r="M3288" s="2" t="str">
        <f>IFERROR(__xludf.DUMMYFUNCTION("split(split(K3288,""【"",false),""公式LINE"",false)"),"コンビニ強盗で逮捕された十勝岳雄（山田裕貴）の依頼を受けた拓(坂口健太郎)と楓(川口春奈)。母子家庭で育ち不良だった岳雄は態度が悪く二人を追い返す。料理人になるため更生したはずの息子の無実を信じる母・睦美（仙道敦子） から改めて依頼を受ける二人だが、状況は限りなく黒。しかし、調べるうちに偏見と警察の杜撰な捜査が明らかに。岳雄のアリバイを証明するべく、拓は秋保（藤木直人）と再び衝撃の実験を行う……")</f>
        <v>コンビニ強盗で逮捕された十勝岳雄（山田裕貴）の依頼を受けた拓(坂口健太郎)と楓(川口春奈)。母子家庭で育ち不良だった岳雄は態度が悪く二人を追い返す。料理人になるため更生したはずの息子の無実を信じる母・睦美（仙道敦子） から改めて依頼を受ける二人だが、状況は限りなく黒。しかし、調べるうちに偏見と警察の杜撰な捜査が明らかに。岳雄のアリバイを証明するべく、拓は秋保（藤木直人）と再び衝撃の実験を行う……</v>
      </c>
      <c r="N3288" s="2"/>
      <c r="O3288" s="2"/>
      <c r="P3288" s="2"/>
      <c r="Q3288" s="2"/>
      <c r="R3288" s="2"/>
      <c r="S3288" s="2"/>
      <c r="T3288" s="2"/>
      <c r="U3288" s="2"/>
      <c r="V3288" s="2"/>
      <c r="W3288" s="2"/>
      <c r="X3288" s="2"/>
      <c r="Y3288" s="2"/>
      <c r="Z3288" s="2"/>
      <c r="AA3288" s="2"/>
      <c r="AB3288" s="2"/>
      <c r="AC3288" s="2"/>
      <c r="AD3288" s="2"/>
      <c r="AE3288" s="2"/>
      <c r="AF3288" s="2"/>
      <c r="AG3288" s="2"/>
      <c r="AH3288" s="2"/>
      <c r="AI3288" s="2"/>
      <c r="AJ3288" s="2"/>
      <c r="AK3288" s="2"/>
      <c r="AL3288" s="2"/>
      <c r="AM3288" s="2"/>
      <c r="AN3288" s="2"/>
      <c r="AO3288" s="2"/>
      <c r="AP3288" s="2"/>
      <c r="AQ3288" s="2"/>
      <c r="AR3288" s="2"/>
      <c r="AS3288" s="2"/>
      <c r="AT3288" s="2"/>
      <c r="AU3288" s="2"/>
      <c r="AV3288" s="2"/>
      <c r="AW3288" s="2"/>
      <c r="AX3288" s="2"/>
      <c r="AY3288" s="2"/>
      <c r="AZ3288" s="2"/>
      <c r="BA3288" s="2"/>
      <c r="BB3288" s="2"/>
    </row>
    <row r="3289" ht="204.75" customHeight="1">
      <c r="A3289" s="1">
        <v>443.0</v>
      </c>
      <c r="B3289" s="2" t="s">
        <v>9843</v>
      </c>
      <c r="C3289" s="2">
        <f>IFERROR(__xludf.DUMMYFUNCTION("split(B3289,""_"")"),1901.0)</f>
        <v>1901</v>
      </c>
      <c r="D3289" s="2" t="str">
        <f>IFERROR(__xludf.DUMMYFUNCTION("""COMPUTED_VALUE"""),"NTV")</f>
        <v>NTV</v>
      </c>
      <c r="E3289" s="2" t="str">
        <f>IFERROR(__xludf.DUMMYFUNCTION("""COMPUTED_VALUE"""),"土22")</f>
        <v>土22</v>
      </c>
      <c r="F3289" s="2" t="s">
        <v>9844</v>
      </c>
      <c r="G3289" s="2" t="s">
        <v>9851</v>
      </c>
      <c r="H3289" s="1">
        <v>3.0</v>
      </c>
      <c r="I3289" s="1" t="s">
        <v>2876</v>
      </c>
      <c r="J3289" s="1" t="s">
        <v>86</v>
      </c>
      <c r="K3289" s="16" t="s">
        <v>9852</v>
      </c>
      <c r="L3289" s="17" t="s">
        <v>9852</v>
      </c>
      <c r="M3289" s="2" t="str">
        <f>IFERROR(__xludf.DUMMYFUNCTION("split(split(K3289,""【"",false),""公式LINE"",false)"),"聡子（市川実日子）は心臓手術の医療ミスで逮捕された医師・雲仙（平岳大）の冤罪を晴らしてほしいという看護師・白山（青野楓）を、拓（坂口健太郎）の元へ連れてくる。雲仙の同期で出世頭の磐梯（山本耕史）に話を聞く拓たちだが、手術に立ち会ったスタッフには会わせてもらえず、病院側から渡された内部調査報告書もデタラメであることが発覚。病院側は雲仙のミスとして事態を終息させるため、組織ぐるみの隠蔽をしていたー。")</f>
        <v>聡子（市川実日子）は心臓手術の医療ミスで逮捕された医師・雲仙（平岳大）の冤罪を晴らしてほしいという看護師・白山（青野楓）を、拓（坂口健太郎）の元へ連れてくる。雲仙の同期で出世頭の磐梯（山本耕史）に話を聞く拓たちだが、手術に立ち会ったスタッフには会わせてもらえず、病院側から渡された内部調査報告書もデタラメであることが発覚。病院側は雲仙のミスとして事態を終息させるため、組織ぐるみの隠蔽をしていたー。</v>
      </c>
      <c r="N3289" s="16"/>
      <c r="O3289" s="16"/>
      <c r="P3289" s="16"/>
      <c r="Q3289" s="16"/>
      <c r="R3289" s="16"/>
      <c r="S3289" s="16"/>
      <c r="T3289" s="16"/>
      <c r="U3289" s="16"/>
      <c r="V3289" s="16"/>
      <c r="W3289" s="16"/>
      <c r="X3289" s="16"/>
      <c r="Y3289" s="16"/>
      <c r="Z3289" s="16"/>
      <c r="AA3289" s="16"/>
      <c r="AB3289" s="16"/>
      <c r="AC3289" s="16"/>
      <c r="AD3289" s="16"/>
      <c r="AE3289" s="16"/>
      <c r="AF3289" s="16"/>
      <c r="AG3289" s="16"/>
      <c r="AH3289" s="16"/>
      <c r="AI3289" s="16"/>
      <c r="AJ3289" s="16"/>
      <c r="AK3289" s="16"/>
      <c r="AL3289" s="16"/>
      <c r="AM3289" s="16"/>
      <c r="AN3289" s="16"/>
      <c r="AO3289" s="16"/>
      <c r="AP3289" s="16"/>
      <c r="AQ3289" s="16"/>
      <c r="AR3289" s="16"/>
      <c r="AS3289" s="16"/>
      <c r="AT3289" s="16"/>
      <c r="AU3289" s="16"/>
      <c r="AV3289" s="16"/>
      <c r="AW3289" s="16"/>
      <c r="AX3289" s="16"/>
      <c r="AY3289" s="16"/>
      <c r="AZ3289" s="16"/>
      <c r="BA3289" s="16"/>
      <c r="BB3289" s="16"/>
    </row>
    <row r="3290" ht="204.75" customHeight="1">
      <c r="A3290" s="1">
        <v>444.0</v>
      </c>
      <c r="B3290" s="2" t="s">
        <v>9843</v>
      </c>
      <c r="C3290" s="2">
        <f>IFERROR(__xludf.DUMMYFUNCTION("split(B3290,""_"")"),1901.0)</f>
        <v>1901</v>
      </c>
      <c r="D3290" s="2" t="str">
        <f>IFERROR(__xludf.DUMMYFUNCTION("""COMPUTED_VALUE"""),"NTV")</f>
        <v>NTV</v>
      </c>
      <c r="E3290" s="2" t="str">
        <f>IFERROR(__xludf.DUMMYFUNCTION("""COMPUTED_VALUE"""),"土22")</f>
        <v>土22</v>
      </c>
      <c r="F3290" s="2" t="s">
        <v>9844</v>
      </c>
      <c r="G3290" s="2" t="s">
        <v>9853</v>
      </c>
      <c r="H3290" s="1">
        <v>4.0</v>
      </c>
      <c r="I3290" s="1" t="s">
        <v>2880</v>
      </c>
      <c r="J3290" s="1" t="s">
        <v>86</v>
      </c>
      <c r="K3290" s="2" t="s">
        <v>9854</v>
      </c>
      <c r="L3290" s="11" t="s">
        <v>9855</v>
      </c>
      <c r="M3290" s="2" t="str">
        <f>IFERROR(__xludf.DUMMYFUNCTION("split(split(K3290,""【"",false),""公式LINE"",false)"),"食玩メーカーのOL・小笠原奈美(ともさかりえ）が同僚の姫島理沙（入山法子）殺害容疑で逮捕される。好意を寄せる奈美からの弁護依頼に浮かれる登別（正名僕蔵）だが、企業法務専門の登別に勝ち目はないと、拓（坂口健太郎）たちが引き継ぐ。現場に赴いた拓は、真冬の海に入ると海中に顔を押し付け事件を検証するが…。有力な証拠がないまま裁判を迎え、さらに証人である奈美の上司の意外な一言が一気に拓たちを窮地に追い込む!")</f>
        <v>食玩メーカーのOL・小笠原奈美(ともさかりえ）が同僚の姫島理沙（入山法子）殺害容疑で逮捕される。好意を寄せる奈美からの弁護依頼に浮かれる登別（正名僕蔵）だが、企業法務専門の登別に勝ち目はないと、拓（坂口健太郎）たちが引き継ぐ。現場に赴いた拓は、真冬の海に入ると海中に顔を押し付け事件を検証するが…。有力な証拠がないまま裁判を迎え、さらに証人である奈美の上司の意外な一言が一気に拓たちを窮地に追い込む!</v>
      </c>
      <c r="N3290" s="2"/>
      <c r="O3290" s="2"/>
      <c r="P3290" s="2"/>
      <c r="Q3290" s="2"/>
      <c r="R3290" s="2"/>
      <c r="S3290" s="2"/>
      <c r="T3290" s="2"/>
      <c r="U3290" s="2"/>
      <c r="V3290" s="2"/>
      <c r="W3290" s="2"/>
      <c r="X3290" s="2"/>
      <c r="Y3290" s="2"/>
      <c r="Z3290" s="2"/>
      <c r="AA3290" s="2"/>
      <c r="AB3290" s="2"/>
      <c r="AC3290" s="2"/>
      <c r="AD3290" s="2"/>
      <c r="AE3290" s="2"/>
      <c r="AF3290" s="2"/>
      <c r="AG3290" s="2"/>
      <c r="AH3290" s="2"/>
      <c r="AI3290" s="2"/>
      <c r="AJ3290" s="2"/>
      <c r="AK3290" s="2"/>
      <c r="AL3290" s="2"/>
      <c r="AM3290" s="2"/>
      <c r="AN3290" s="2"/>
      <c r="AO3290" s="2"/>
      <c r="AP3290" s="2"/>
      <c r="AQ3290" s="2"/>
      <c r="AR3290" s="2"/>
      <c r="AS3290" s="2"/>
      <c r="AT3290" s="2"/>
      <c r="AU3290" s="2"/>
      <c r="AV3290" s="2"/>
      <c r="AW3290" s="2"/>
      <c r="AX3290" s="2"/>
      <c r="AY3290" s="2"/>
      <c r="AZ3290" s="2"/>
      <c r="BA3290" s="2"/>
      <c r="BB3290" s="2"/>
    </row>
    <row r="3291" ht="204.75" customHeight="1">
      <c r="A3291" s="1">
        <v>445.0</v>
      </c>
      <c r="B3291" s="2" t="s">
        <v>9843</v>
      </c>
      <c r="C3291" s="2">
        <f>IFERROR(__xludf.DUMMYFUNCTION("split(B3291,""_"")"),1901.0)</f>
        <v>1901</v>
      </c>
      <c r="D3291" s="2" t="str">
        <f>IFERROR(__xludf.DUMMYFUNCTION("""COMPUTED_VALUE"""),"NTV")</f>
        <v>NTV</v>
      </c>
      <c r="E3291" s="2" t="str">
        <f>IFERROR(__xludf.DUMMYFUNCTION("""COMPUTED_VALUE"""),"土22")</f>
        <v>土22</v>
      </c>
      <c r="F3291" s="2" t="s">
        <v>9844</v>
      </c>
      <c r="G3291" s="2" t="s">
        <v>9856</v>
      </c>
      <c r="H3291" s="1">
        <v>5.0</v>
      </c>
      <c r="I3291" s="1" t="s">
        <v>2884</v>
      </c>
      <c r="J3291" s="1" t="s">
        <v>86</v>
      </c>
      <c r="K3291" s="2" t="s">
        <v>9857</v>
      </c>
      <c r="L3291" s="11" t="s">
        <v>9858</v>
      </c>
      <c r="M3291" s="2" t="str">
        <f>IFERROR(__xludf.DUMMYFUNCTION("split(split(K3291,""【"",false),""公式LINE"",false)"),"拓（坂口健太郎）と楓（川口春奈）の元に弁護依頼に訪れた、高校の名門フェンシング部顧問の高松（豊原功補）は、指導中の突きによってエース部員の藤里（清水尋也）を心停止させたとして在宅起訴されたという。優秀な指導者だと生徒や学校関係者からの評判も良く、副部長の田代（柾木玲弥）は高松のためなら裁判で証言をしてもいいと申し出る。そして迎えた証人尋問の日、耳を疑うような田代の証言と体罰動画で法廷は大混乱に!!")</f>
        <v>拓（坂口健太郎）と楓（川口春奈）の元に弁護依頼に訪れた、高校の名門フェンシング部顧問の高松（豊原功補）は、指導中の突きによってエース部員の藤里（清水尋也）を心停止させたとして在宅起訴されたという。優秀な指導者だと生徒や学校関係者からの評判も良く、副部長の田代（柾木玲弥）は高松のためなら裁判で証言をしてもいいと申し出る。そして迎えた証人尋問の日、耳を疑うような田代の証言と体罰動画で法廷は大混乱に!!</v>
      </c>
      <c r="N3291" s="2"/>
      <c r="O3291" s="2"/>
      <c r="P3291" s="2"/>
      <c r="Q3291" s="2"/>
      <c r="R3291" s="2"/>
      <c r="S3291" s="2"/>
      <c r="T3291" s="2"/>
      <c r="U3291" s="2"/>
      <c r="V3291" s="2"/>
      <c r="W3291" s="2"/>
      <c r="X3291" s="2"/>
      <c r="Y3291" s="2"/>
      <c r="Z3291" s="2"/>
      <c r="AA3291" s="2"/>
      <c r="AB3291" s="2"/>
      <c r="AC3291" s="2"/>
      <c r="AD3291" s="2"/>
      <c r="AE3291" s="2"/>
      <c r="AF3291" s="2"/>
      <c r="AG3291" s="2"/>
      <c r="AH3291" s="2"/>
      <c r="AI3291" s="2"/>
      <c r="AJ3291" s="2"/>
      <c r="AK3291" s="2"/>
      <c r="AL3291" s="2"/>
      <c r="AM3291" s="2"/>
      <c r="AN3291" s="2"/>
      <c r="AO3291" s="2"/>
      <c r="AP3291" s="2"/>
      <c r="AQ3291" s="2"/>
      <c r="AR3291" s="2"/>
      <c r="AS3291" s="2"/>
      <c r="AT3291" s="2"/>
      <c r="AU3291" s="2"/>
      <c r="AV3291" s="2"/>
      <c r="AW3291" s="2"/>
      <c r="AX3291" s="2"/>
      <c r="AY3291" s="2"/>
      <c r="AZ3291" s="2"/>
      <c r="BA3291" s="2"/>
      <c r="BB3291" s="2"/>
    </row>
    <row r="3292" ht="204.75" customHeight="1">
      <c r="A3292" s="1">
        <v>446.0</v>
      </c>
      <c r="B3292" s="2" t="s">
        <v>9843</v>
      </c>
      <c r="C3292" s="2">
        <f>IFERROR(__xludf.DUMMYFUNCTION("split(B3292,""_"")"),1901.0)</f>
        <v>1901</v>
      </c>
      <c r="D3292" s="2" t="str">
        <f>IFERROR(__xludf.DUMMYFUNCTION("""COMPUTED_VALUE"""),"NTV")</f>
        <v>NTV</v>
      </c>
      <c r="E3292" s="2" t="str">
        <f>IFERROR(__xludf.DUMMYFUNCTION("""COMPUTED_VALUE"""),"土22")</f>
        <v>土22</v>
      </c>
      <c r="F3292" s="2" t="s">
        <v>9844</v>
      </c>
      <c r="G3292" s="2" t="s">
        <v>9859</v>
      </c>
      <c r="H3292" s="1">
        <v>6.0</v>
      </c>
      <c r="I3292" s="1" t="s">
        <v>2888</v>
      </c>
      <c r="J3292" s="1" t="s">
        <v>86</v>
      </c>
      <c r="K3292" s="2" t="s">
        <v>9860</v>
      </c>
      <c r="L3292" s="11" t="s">
        <v>9861</v>
      </c>
      <c r="M3292" s="2" t="str">
        <f>IFERROR(__xludf.DUMMYFUNCTION("split(split(K3292,""【"",false),""公式LINE"",false)"),"射殺事件が発生。社長子息・裕也（須賀健太）の弁護をすることになった拓（坂口健太郎）と楓（川口春奈）。裕也は犯行を否認するが、証拠が揃っている上に評判も最悪。使用人の有珠田（吹越満）は、事件当日裕也は部屋でベースを弾いていたと言うが、近所でその音を聞いた者はゼロ。そんな中、パラリーガルの穂香（趣里）の息子が誘拐され、弁護をやめないと子供の命はないと脅迫される。拓たちは、穂香の息子の命を救えるのか?!")</f>
        <v>射殺事件が発生。社長子息・裕也（須賀健太）の弁護をすることになった拓（坂口健太郎）と楓（川口春奈）。裕也は犯行を否認するが、証拠が揃っている上に評判も最悪。使用人の有珠田（吹越満）は、事件当日裕也は部屋でベースを弾いていたと言うが、近所でその音を聞いた者はゼロ。そんな中、パラリーガルの穂香（趣里）の息子が誘拐され、弁護をやめないと子供の命はないと脅迫される。拓たちは、穂香の息子の命を救えるのか?!</v>
      </c>
      <c r="N3292" s="2"/>
      <c r="O3292" s="2"/>
      <c r="P3292" s="2"/>
      <c r="Q3292" s="2"/>
      <c r="R3292" s="2"/>
      <c r="S3292" s="2"/>
      <c r="T3292" s="2"/>
      <c r="U3292" s="2"/>
      <c r="V3292" s="2"/>
      <c r="W3292" s="2"/>
      <c r="X3292" s="2"/>
      <c r="Y3292" s="2"/>
      <c r="Z3292" s="2"/>
      <c r="AA3292" s="2"/>
      <c r="AB3292" s="2"/>
      <c r="AC3292" s="2"/>
      <c r="AD3292" s="2"/>
      <c r="AE3292" s="2"/>
      <c r="AF3292" s="2"/>
      <c r="AG3292" s="2"/>
      <c r="AH3292" s="2"/>
      <c r="AI3292" s="2"/>
      <c r="AJ3292" s="2"/>
      <c r="AK3292" s="2"/>
      <c r="AL3292" s="2"/>
      <c r="AM3292" s="2"/>
      <c r="AN3292" s="2"/>
      <c r="AO3292" s="2"/>
      <c r="AP3292" s="2"/>
      <c r="AQ3292" s="2"/>
      <c r="AR3292" s="2"/>
      <c r="AS3292" s="2"/>
      <c r="AT3292" s="2"/>
      <c r="AU3292" s="2"/>
      <c r="AV3292" s="2"/>
      <c r="AW3292" s="2"/>
      <c r="AX3292" s="2"/>
      <c r="AY3292" s="2"/>
      <c r="AZ3292" s="2"/>
      <c r="BA3292" s="2"/>
      <c r="BB3292" s="2"/>
    </row>
    <row r="3293" ht="204.75" customHeight="1">
      <c r="A3293" s="1">
        <v>447.0</v>
      </c>
      <c r="B3293" s="2" t="s">
        <v>9843</v>
      </c>
      <c r="C3293" s="2">
        <f>IFERROR(__xludf.DUMMYFUNCTION("split(B3293,""_"")"),1901.0)</f>
        <v>1901</v>
      </c>
      <c r="D3293" s="2" t="str">
        <f>IFERROR(__xludf.DUMMYFUNCTION("""COMPUTED_VALUE"""),"NTV")</f>
        <v>NTV</v>
      </c>
      <c r="E3293" s="2" t="str">
        <f>IFERROR(__xludf.DUMMYFUNCTION("""COMPUTED_VALUE"""),"土22")</f>
        <v>土22</v>
      </c>
      <c r="F3293" s="2" t="s">
        <v>9844</v>
      </c>
      <c r="G3293" s="2" t="s">
        <v>9862</v>
      </c>
      <c r="H3293" s="1">
        <v>7.0</v>
      </c>
      <c r="I3293" s="1" t="s">
        <v>2892</v>
      </c>
      <c r="J3293" s="1" t="s">
        <v>86</v>
      </c>
      <c r="K3293" s="2" t="s">
        <v>9863</v>
      </c>
      <c r="L3293" s="11" t="s">
        <v>9864</v>
      </c>
      <c r="M3293" s="2" t="str">
        <f>IFERROR(__xludf.DUMMYFUNCTION("split(split(K3293,""【"",false),""公式LINE"",false)"),"拓(坂口健太郎)と楓(川口春奈)は、“青梅のカサノバ”と呼ばれる資産家の夫を殺したとされる若妻・満里奈（川島海荷）を弁護することに。夫が死ぬまで窓から外出していたと疑われた満里奈だが防犯カメラには一酸化炭素の充満した部屋に１時間以上いた証拠が…。調査を進めるうちに依頼人の嘘を暴くかもしれないことに気づいた拓は、弁護士としてどうすべきか葛藤する。そして秋保(藤木直人)らと命がけの再現実験を決行する!!")</f>
        <v>拓(坂口健太郎)と楓(川口春奈)は、“青梅のカサノバ”と呼ばれる資産家の夫を殺したとされる若妻・満里奈（川島海荷）を弁護することに。夫が死ぬまで窓から外出していたと疑われた満里奈だが防犯カメラには一酸化炭素の充満した部屋に１時間以上いた証拠が…。調査を進めるうちに依頼人の嘘を暴くかもしれないことに気づいた拓は、弁護士としてどうすべきか葛藤する。そして秋保(藤木直人)らと命がけの再現実験を決行する!!</v>
      </c>
      <c r="N3293" s="2"/>
      <c r="O3293" s="2"/>
      <c r="P3293" s="2"/>
      <c r="Q3293" s="2"/>
      <c r="R3293" s="2"/>
      <c r="S3293" s="2"/>
      <c r="T3293" s="2"/>
      <c r="U3293" s="2"/>
      <c r="V3293" s="2"/>
      <c r="W3293" s="2"/>
      <c r="X3293" s="2"/>
      <c r="Y3293" s="2"/>
      <c r="Z3293" s="2"/>
      <c r="AA3293" s="2"/>
      <c r="AB3293" s="2"/>
      <c r="AC3293" s="2"/>
      <c r="AD3293" s="2"/>
      <c r="AE3293" s="2"/>
      <c r="AF3293" s="2"/>
      <c r="AG3293" s="2"/>
      <c r="AH3293" s="2"/>
      <c r="AI3293" s="2"/>
      <c r="AJ3293" s="2"/>
      <c r="AK3293" s="2"/>
      <c r="AL3293" s="2"/>
      <c r="AM3293" s="2"/>
      <c r="AN3293" s="2"/>
      <c r="AO3293" s="2"/>
      <c r="AP3293" s="2"/>
      <c r="AQ3293" s="2"/>
      <c r="AR3293" s="2"/>
      <c r="AS3293" s="2"/>
      <c r="AT3293" s="2"/>
      <c r="AU3293" s="2"/>
      <c r="AV3293" s="2"/>
      <c r="AW3293" s="2"/>
      <c r="AX3293" s="2"/>
      <c r="AY3293" s="2"/>
      <c r="AZ3293" s="2"/>
      <c r="BA3293" s="2"/>
      <c r="BB3293" s="2"/>
    </row>
    <row r="3294" ht="204.75" customHeight="1">
      <c r="A3294" s="1">
        <v>448.0</v>
      </c>
      <c r="B3294" s="2" t="s">
        <v>9843</v>
      </c>
      <c r="C3294" s="2">
        <f>IFERROR(__xludf.DUMMYFUNCTION("split(B3294,""_"")"),1901.0)</f>
        <v>1901</v>
      </c>
      <c r="D3294" s="2" t="str">
        <f>IFERROR(__xludf.DUMMYFUNCTION("""COMPUTED_VALUE"""),"NTV")</f>
        <v>NTV</v>
      </c>
      <c r="E3294" s="2" t="str">
        <f>IFERROR(__xludf.DUMMYFUNCTION("""COMPUTED_VALUE"""),"土22")</f>
        <v>土22</v>
      </c>
      <c r="F3294" s="2" t="s">
        <v>9844</v>
      </c>
      <c r="G3294" s="2" t="s">
        <v>9865</v>
      </c>
      <c r="H3294" s="1">
        <v>8.0</v>
      </c>
      <c r="I3294" s="1" t="s">
        <v>2896</v>
      </c>
      <c r="J3294" s="1" t="s">
        <v>86</v>
      </c>
      <c r="K3294" s="2" t="s">
        <v>9866</v>
      </c>
      <c r="L3294" s="11" t="s">
        <v>9867</v>
      </c>
      <c r="M3294" s="2" t="str">
        <f>IFERROR(__xludf.DUMMYFUNCTION("split(split(K3294,""【"",false),""公式LINE"",false)"),"癌で余命宣告を受けた、24年前の毒殺事件の死刑囚・式根(片岡鶴太郎)の冤罪を、生きている内に晴らしてほしいと聡子（市川実日子）から頼まれた拓（坂口健太郎）。マスコミから追われ続けた式根の娘・玲子（星野真里）からは、これ以上苦しめないでほしいと協力を拒絶される。当時の『引き当たり捜査』の写真に違和感を感じた拓は、秋保（藤木直人）の協力を得て警察が証拠を捏造したことを発見！希望の光は見えるのか……!?")</f>
        <v>癌で余命宣告を受けた、24年前の毒殺事件の死刑囚・式根(片岡鶴太郎)の冤罪を、生きている内に晴らしてほしいと聡子（市川実日子）から頼まれた拓（坂口健太郎）。マスコミから追われ続けた式根の娘・玲子（星野真里）からは、これ以上苦しめないでほしいと協力を拒絶される。当時の『引き当たり捜査』の写真に違和感を感じた拓は、秋保（藤木直人）の協力を得て警察が証拠を捏造したことを発見！希望の光は見えるのか……!?</v>
      </c>
      <c r="N3294" s="2"/>
      <c r="O3294" s="2"/>
      <c r="P3294" s="2"/>
      <c r="Q3294" s="2"/>
      <c r="R3294" s="2"/>
      <c r="S3294" s="2"/>
      <c r="T3294" s="2"/>
      <c r="U3294" s="2"/>
      <c r="V3294" s="2"/>
      <c r="W3294" s="2"/>
      <c r="X3294" s="2"/>
      <c r="Y3294" s="2"/>
      <c r="Z3294" s="2"/>
      <c r="AA3294" s="2"/>
      <c r="AB3294" s="2"/>
      <c r="AC3294" s="2"/>
      <c r="AD3294" s="2"/>
      <c r="AE3294" s="2"/>
      <c r="AF3294" s="2"/>
      <c r="AG3294" s="2"/>
      <c r="AH3294" s="2"/>
      <c r="AI3294" s="2"/>
      <c r="AJ3294" s="2"/>
      <c r="AK3294" s="2"/>
      <c r="AL3294" s="2"/>
      <c r="AM3294" s="2"/>
      <c r="AN3294" s="2"/>
      <c r="AO3294" s="2"/>
      <c r="AP3294" s="2"/>
      <c r="AQ3294" s="2"/>
      <c r="AR3294" s="2"/>
      <c r="AS3294" s="2"/>
      <c r="AT3294" s="2"/>
      <c r="AU3294" s="2"/>
      <c r="AV3294" s="2"/>
      <c r="AW3294" s="2"/>
      <c r="AX3294" s="2"/>
      <c r="AY3294" s="2"/>
      <c r="AZ3294" s="2"/>
      <c r="BA3294" s="2"/>
      <c r="BB3294" s="2"/>
    </row>
    <row r="3295" ht="204.75" customHeight="1">
      <c r="A3295" s="1">
        <v>449.0</v>
      </c>
      <c r="B3295" s="2" t="s">
        <v>9843</v>
      </c>
      <c r="C3295" s="2">
        <f>IFERROR(__xludf.DUMMYFUNCTION("split(B3295,""_"")"),1901.0)</f>
        <v>1901</v>
      </c>
      <c r="D3295" s="2" t="str">
        <f>IFERROR(__xludf.DUMMYFUNCTION("""COMPUTED_VALUE"""),"NTV")</f>
        <v>NTV</v>
      </c>
      <c r="E3295" s="2" t="str">
        <f>IFERROR(__xludf.DUMMYFUNCTION("""COMPUTED_VALUE"""),"土22")</f>
        <v>土22</v>
      </c>
      <c r="F3295" s="2" t="s">
        <v>9844</v>
      </c>
      <c r="G3295" s="2" t="s">
        <v>9868</v>
      </c>
      <c r="H3295" s="1">
        <v>9.0</v>
      </c>
      <c r="I3295" s="1" t="s">
        <v>2900</v>
      </c>
      <c r="J3295" s="1" t="s">
        <v>86</v>
      </c>
      <c r="K3295" s="2" t="s">
        <v>9869</v>
      </c>
      <c r="L3295" s="11" t="s">
        <v>9870</v>
      </c>
      <c r="M3295" s="2" t="str">
        <f>IFERROR(__xludf.DUMMYFUNCTION("split(split(K3295,""【"",false),""公式LINE"",false)"),"都内で起きた美大生殺人事件と11年前の事件の共通点を知った拓(坂口健太郎)は、被疑者・富士田(坂本真)に接見。犯行を疑われる内容をSNSに上げていたことに違和感を覚える。浅間の無実を信じたい思いと、調べなければ分からないという理性の間で苦しむ拓に、新たな遺体が見つかり富士田が再逮捕された情報が入る！事件が連続殺人として脚光を浴びる中、11年前の事件と拓との関係も掘り起こされ、拓は窮地に立たされる!")</f>
        <v>都内で起きた美大生殺人事件と11年前の事件の共通点を知った拓(坂口健太郎)は、被疑者・富士田(坂本真)に接見。犯行を疑われる内容をSNSに上げていたことに違和感を覚える。浅間の無実を信じたい思いと、調べなければ分からないという理性の間で苦しむ拓に、新たな遺体が見つかり富士田が再逮捕された情報が入る！事件が連続殺人として脚光を浴びる中、11年前の事件と拓との関係も掘り起こされ、拓は窮地に立たされる!</v>
      </c>
      <c r="N3295" s="2"/>
      <c r="O3295" s="2"/>
      <c r="P3295" s="2"/>
      <c r="Q3295" s="2"/>
      <c r="R3295" s="2"/>
      <c r="S3295" s="2"/>
      <c r="T3295" s="2"/>
      <c r="U3295" s="2"/>
      <c r="V3295" s="2"/>
      <c r="W3295" s="2"/>
      <c r="X3295" s="2"/>
      <c r="Y3295" s="2"/>
      <c r="Z3295" s="2"/>
      <c r="AA3295" s="2"/>
      <c r="AB3295" s="2"/>
      <c r="AC3295" s="2"/>
      <c r="AD3295" s="2"/>
      <c r="AE3295" s="2"/>
      <c r="AF3295" s="2"/>
      <c r="AG3295" s="2"/>
      <c r="AH3295" s="2"/>
      <c r="AI3295" s="2"/>
      <c r="AJ3295" s="2"/>
      <c r="AK3295" s="2"/>
      <c r="AL3295" s="2"/>
      <c r="AM3295" s="2"/>
      <c r="AN3295" s="2"/>
      <c r="AO3295" s="2"/>
      <c r="AP3295" s="2"/>
      <c r="AQ3295" s="2"/>
      <c r="AR3295" s="2"/>
      <c r="AS3295" s="2"/>
      <c r="AT3295" s="2"/>
      <c r="AU3295" s="2"/>
      <c r="AV3295" s="2"/>
      <c r="AW3295" s="2"/>
      <c r="AX3295" s="2"/>
      <c r="AY3295" s="2"/>
      <c r="AZ3295" s="2"/>
      <c r="BA3295" s="2"/>
      <c r="BB3295" s="2"/>
    </row>
    <row r="3296" ht="204.75" customHeight="1">
      <c r="A3296" s="1">
        <v>450.0</v>
      </c>
      <c r="B3296" s="2" t="s">
        <v>9843</v>
      </c>
      <c r="C3296" s="2">
        <f>IFERROR(__xludf.DUMMYFUNCTION("split(B3296,""_"")"),1901.0)</f>
        <v>1901</v>
      </c>
      <c r="D3296" s="2" t="str">
        <f>IFERROR(__xludf.DUMMYFUNCTION("""COMPUTED_VALUE"""),"NTV")</f>
        <v>NTV</v>
      </c>
      <c r="E3296" s="2" t="str">
        <f>IFERROR(__xludf.DUMMYFUNCTION("""COMPUTED_VALUE"""),"土22")</f>
        <v>土22</v>
      </c>
      <c r="F3296" s="2" t="s">
        <v>9844</v>
      </c>
      <c r="G3296" s="2" t="s">
        <v>9871</v>
      </c>
      <c r="H3296" s="1">
        <v>10.0</v>
      </c>
      <c r="I3296" s="1" t="s">
        <v>37</v>
      </c>
      <c r="J3296" s="1" t="s">
        <v>86</v>
      </c>
      <c r="K3296" s="2" t="s">
        <v>9872</v>
      </c>
      <c r="L3296" s="11" t="s">
        <v>9873</v>
      </c>
      <c r="M3296" s="2" t="str">
        <f>IFERROR(__xludf.DUMMYFUNCTION("split(split(K3296,""【"",false),""公式LINE"",false)"),"楓（川口春奈）を刺した男・神津（武田真治）が自首。接見を願い出た拓（坂口健太郎）は、神津から11年前に秋保の妹・彩花(伊藤梨沙子)を殺したのは自分だと告げられるが肝心の証拠がない。11年前捜査に当たっていた元刑事・草津（佐藤Ｂ作）から現場遺留品の煙草の吸殻が証拠とされなかったという新事実を聴いた拓は、地裁に対し証拠品の開示と再審請求を行うが……。それぞれの思いを胸に真実に迫る衝撃と感動の最終話!!")</f>
        <v>楓（川口春奈）を刺した男・神津（武田真治）が自首。接見を願い出た拓（坂口健太郎）は、神津から11年前に秋保の妹・彩花(伊藤梨沙子)を殺したのは自分だと告げられるが肝心の証拠がない。11年前捜査に当たっていた元刑事・草津（佐藤Ｂ作）から現場遺留品の煙草の吸殻が証拠とされなかったという新事実を聴いた拓は、地裁に対し証拠品の開示と再審請求を行うが……。それぞれの思いを胸に真実に迫る衝撃と感動の最終話!!</v>
      </c>
      <c r="N3296" s="2"/>
      <c r="O3296" s="2"/>
      <c r="P3296" s="2"/>
      <c r="Q3296" s="2"/>
      <c r="R3296" s="2"/>
      <c r="S3296" s="2"/>
      <c r="T3296" s="2"/>
      <c r="U3296" s="2"/>
      <c r="V3296" s="2"/>
      <c r="W3296" s="2"/>
      <c r="X3296" s="2"/>
      <c r="Y3296" s="2"/>
      <c r="Z3296" s="2"/>
      <c r="AA3296" s="2"/>
      <c r="AB3296" s="2"/>
      <c r="AC3296" s="2"/>
      <c r="AD3296" s="2"/>
      <c r="AE3296" s="2"/>
      <c r="AF3296" s="2"/>
      <c r="AG3296" s="2"/>
      <c r="AH3296" s="2"/>
      <c r="AI3296" s="2"/>
      <c r="AJ3296" s="2"/>
      <c r="AK3296" s="2"/>
      <c r="AL3296" s="2"/>
      <c r="AM3296" s="2"/>
      <c r="AN3296" s="2"/>
      <c r="AO3296" s="2"/>
      <c r="AP3296" s="2"/>
      <c r="AQ3296" s="2"/>
      <c r="AR3296" s="2"/>
      <c r="AS3296" s="2"/>
      <c r="AT3296" s="2"/>
      <c r="AU3296" s="2"/>
      <c r="AV3296" s="2"/>
      <c r="AW3296" s="2"/>
      <c r="AX3296" s="2"/>
      <c r="AY3296" s="2"/>
      <c r="AZ3296" s="2"/>
      <c r="BA3296" s="2"/>
      <c r="BB3296" s="2"/>
    </row>
    <row r="3297" ht="204.75" customHeight="1">
      <c r="A3297" s="1">
        <v>500.0</v>
      </c>
      <c r="B3297" s="2" t="s">
        <v>9874</v>
      </c>
      <c r="C3297" s="2">
        <f>IFERROR(__xludf.DUMMYFUNCTION("split(B3297,""_"")"),1810.0)</f>
        <v>1810</v>
      </c>
      <c r="D3297" s="2" t="str">
        <f>IFERROR(__xludf.DUMMYFUNCTION("""COMPUTED_VALUE"""),"NTV")</f>
        <v>NTV</v>
      </c>
      <c r="E3297" s="2" t="str">
        <f>IFERROR(__xludf.DUMMYFUNCTION("""COMPUTED_VALUE"""),"水22")</f>
        <v>水22</v>
      </c>
      <c r="F3297" s="2" t="s">
        <v>9875</v>
      </c>
      <c r="G3297" s="2" t="s">
        <v>9876</v>
      </c>
      <c r="H3297" s="1">
        <v>1.0</v>
      </c>
      <c r="I3297" s="1" t="s">
        <v>3</v>
      </c>
      <c r="J3297" s="1" t="s">
        <v>82</v>
      </c>
      <c r="K3297" s="2" t="s">
        <v>9877</v>
      </c>
      <c r="L3297" s="11" t="s">
        <v>9878</v>
      </c>
      <c r="M3297" s="2" t="str">
        <f>IFERROR(__xludf.DUMMYFUNCTION("split(split(K3297,""【"",false),""公式LINE"",false)"),"クラフトビールバー「5tap」で飲む2組のカップル。晶（新垣結衣）と彼氏の京谷（田中圭）と、会計士の恒星（松田龍平）と呉羽（菊地凛子）。呉羽が突然「私結婚した」と告げ、驚く恒星。４人は一緒に呉羽の結婚を祝うことに。呉羽の「私と恒星はお互いに大して好きじゃなかったから」という言葉が気になる晶。晶には、京谷との間に「ある問題」があったのだ。翌日、晶は5tapで恒星に出くわす。思い切って声をかけると…。")</f>
        <v>クラフトビールバー「5tap」で飲む2組のカップル。晶（新垣結衣）と彼氏の京谷（田中圭）と、会計士の恒星（松田龍平）と呉羽（菊地凛子）。呉羽が突然「私結婚した」と告げ、驚く恒星。４人は一緒に呉羽の結婚を祝うことに。呉羽の「私と恒星はお互いに大して好きじゃなかったから」という言葉が気になる晶。晶には、京谷との間に「ある問題」があったのだ。翌日、晶は5tapで恒星に出くわす。思い切って声をかけると…。</v>
      </c>
      <c r="N3297" s="2"/>
      <c r="O3297" s="2"/>
      <c r="P3297" s="2"/>
      <c r="Q3297" s="2"/>
      <c r="R3297" s="2"/>
      <c r="S3297" s="2"/>
      <c r="T3297" s="2"/>
      <c r="U3297" s="2"/>
      <c r="V3297" s="2"/>
      <c r="W3297" s="2"/>
      <c r="X3297" s="2"/>
      <c r="Y3297" s="2"/>
      <c r="Z3297" s="2"/>
      <c r="AA3297" s="2"/>
      <c r="AB3297" s="2"/>
      <c r="AC3297" s="2"/>
      <c r="AD3297" s="2"/>
      <c r="AE3297" s="2"/>
      <c r="AF3297" s="2"/>
      <c r="AG3297" s="2"/>
      <c r="AH3297" s="2"/>
      <c r="AI3297" s="2"/>
      <c r="AJ3297" s="2"/>
      <c r="AK3297" s="2"/>
      <c r="AL3297" s="2"/>
      <c r="AM3297" s="2"/>
      <c r="AN3297" s="2"/>
      <c r="AO3297" s="2"/>
      <c r="AP3297" s="2"/>
      <c r="AQ3297" s="2"/>
      <c r="AR3297" s="2"/>
      <c r="AS3297" s="2"/>
      <c r="AT3297" s="2"/>
      <c r="AU3297" s="2"/>
      <c r="AV3297" s="2"/>
      <c r="AW3297" s="2"/>
      <c r="AX3297" s="2"/>
      <c r="AY3297" s="2"/>
      <c r="AZ3297" s="2"/>
      <c r="BA3297" s="2"/>
      <c r="BB3297" s="2"/>
    </row>
    <row r="3298" ht="204.75" customHeight="1">
      <c r="A3298" s="1">
        <v>501.0</v>
      </c>
      <c r="B3298" s="2" t="s">
        <v>9874</v>
      </c>
      <c r="C3298" s="2">
        <f>IFERROR(__xludf.DUMMYFUNCTION("split(B3298,""_"")"),1810.0)</f>
        <v>1810</v>
      </c>
      <c r="D3298" s="2" t="str">
        <f>IFERROR(__xludf.DUMMYFUNCTION("""COMPUTED_VALUE"""),"NTV")</f>
        <v>NTV</v>
      </c>
      <c r="E3298" s="2" t="str">
        <f>IFERROR(__xludf.DUMMYFUNCTION("""COMPUTED_VALUE"""),"水22")</f>
        <v>水22</v>
      </c>
      <c r="F3298" s="2" t="s">
        <v>9875</v>
      </c>
      <c r="G3298" s="2" t="s">
        <v>9879</v>
      </c>
      <c r="H3298" s="1">
        <v>2.0</v>
      </c>
      <c r="I3298" s="1" t="s">
        <v>7</v>
      </c>
      <c r="J3298" s="1" t="s">
        <v>82</v>
      </c>
      <c r="K3298" s="2" t="s">
        <v>9880</v>
      </c>
      <c r="L3298" s="11" t="s">
        <v>9881</v>
      </c>
      <c r="M3298" s="2" t="str">
        <f>IFERROR(__xludf.DUMMYFUNCTION("split(split(K3298,""【"",false),""公式LINE"",false)"),"我慢し続けていた晶（新垣結衣）は、遂に長の九十九（山内圭哉）に業務改善要求を突き付け休暇をとる。しかし松任谷（伊藤沙莉）から、上野（犬飼貴丈）が大事な契約書を持ったまま無断欠勤しているので助けて欲しいと言われ、休みを返上し上野の家を訪ねるが、そこで思わぬ話を持ちかけられ…。  一方、恒星は初対面の会社社長・勝俣（八嶋智人）から、粉飾した税務申告書類に担当税理士として判を押すよう頼まれていた。")</f>
        <v>我慢し続けていた晶（新垣結衣）は、遂に長の九十九（山内圭哉）に業務改善要求を突き付け休暇をとる。しかし松任谷（伊藤沙莉）から、上野（犬飼貴丈）が大事な契約書を持ったまま無断欠勤しているので助けて欲しいと言われ、休みを返上し上野の家を訪ねるが、そこで思わぬ話を持ちかけられ…。  一方、恒星は初対面の会社社長・勝俣（八嶋智人）から、粉飾した税務申告書類に担当税理士として判を押すよう頼まれていた。</v>
      </c>
      <c r="N3298" s="2"/>
      <c r="O3298" s="2"/>
      <c r="P3298" s="2"/>
      <c r="Q3298" s="2"/>
      <c r="R3298" s="2"/>
      <c r="S3298" s="2"/>
      <c r="T3298" s="2"/>
      <c r="U3298" s="2"/>
      <c r="V3298" s="2"/>
      <c r="W3298" s="2"/>
      <c r="X3298" s="2"/>
      <c r="Y3298" s="2"/>
      <c r="Z3298" s="2"/>
      <c r="AA3298" s="2"/>
      <c r="AB3298" s="2"/>
      <c r="AC3298" s="2"/>
      <c r="AD3298" s="2"/>
      <c r="AE3298" s="2"/>
      <c r="AF3298" s="2"/>
      <c r="AG3298" s="2"/>
      <c r="AH3298" s="2"/>
      <c r="AI3298" s="2"/>
      <c r="AJ3298" s="2"/>
      <c r="AK3298" s="2"/>
      <c r="AL3298" s="2"/>
      <c r="AM3298" s="2"/>
      <c r="AN3298" s="2"/>
      <c r="AO3298" s="2"/>
      <c r="AP3298" s="2"/>
      <c r="AQ3298" s="2"/>
      <c r="AR3298" s="2"/>
      <c r="AS3298" s="2"/>
      <c r="AT3298" s="2"/>
      <c r="AU3298" s="2"/>
      <c r="AV3298" s="2"/>
      <c r="AW3298" s="2"/>
      <c r="AX3298" s="2"/>
      <c r="AY3298" s="2"/>
      <c r="AZ3298" s="2"/>
      <c r="BA3298" s="2"/>
      <c r="BB3298" s="2"/>
    </row>
    <row r="3299" ht="204.75" customHeight="1">
      <c r="A3299" s="1">
        <v>502.0</v>
      </c>
      <c r="B3299" s="2" t="s">
        <v>9874</v>
      </c>
      <c r="C3299" s="2">
        <f>IFERROR(__xludf.DUMMYFUNCTION("split(B3299,""_"")"),1810.0)</f>
        <v>1810</v>
      </c>
      <c r="D3299" s="2" t="str">
        <f>IFERROR(__xludf.DUMMYFUNCTION("""COMPUTED_VALUE"""),"NTV")</f>
        <v>NTV</v>
      </c>
      <c r="E3299" s="2" t="str">
        <f>IFERROR(__xludf.DUMMYFUNCTION("""COMPUTED_VALUE"""),"水22")</f>
        <v>水22</v>
      </c>
      <c r="F3299" s="2" t="s">
        <v>9875</v>
      </c>
      <c r="G3299" s="2" t="s">
        <v>9882</v>
      </c>
      <c r="H3299" s="1">
        <v>3.0</v>
      </c>
      <c r="I3299" s="1" t="s">
        <v>10</v>
      </c>
      <c r="J3299" s="1" t="s">
        <v>82</v>
      </c>
      <c r="K3299" s="2" t="s">
        <v>9883</v>
      </c>
      <c r="L3299" s="11" t="s">
        <v>9884</v>
      </c>
      <c r="M3299" s="2" t="str">
        <f>IFERROR(__xludf.DUMMYFUNCTION("split(split(K3299,""【"",false),""公式LINE"",false)"),"ワンマン社長・九十九(山内圭哉)へ決死の業務改善要求をした結果、うやむやのまま「特別チーフクリエイター」に昇進させられてしまった晶（新垣結衣）。晶は、元彼女の朱里（黒木華）のことで疲れ切っている彼氏の京谷（田中圭）の前では自分のことは何も言えない…  一方、恒星（松田龍平）の事務所に、突然訪ねてきた叔父から告げられたのは、数年前から行方不明になっていた兄が東京にいるらしいという情報だった…")</f>
        <v>ワンマン社長・九十九(山内圭哉)へ決死の業務改善要求をした結果、うやむやのまま「特別チーフクリエイター」に昇進させられてしまった晶（新垣結衣）。晶は、元彼女の朱里（黒木華）のことで疲れ切っている彼氏の京谷（田中圭）の前では自分のことは何も言えない…  一方、恒星（松田龍平）の事務所に、突然訪ねてきた叔父から告げられたのは、数年前から行方不明になっていた兄が東京にいるらしいという情報だった…</v>
      </c>
      <c r="N3299" s="2"/>
      <c r="O3299" s="2"/>
      <c r="P3299" s="2"/>
      <c r="Q3299" s="2"/>
      <c r="R3299" s="2"/>
      <c r="S3299" s="2"/>
      <c r="T3299" s="2"/>
      <c r="U3299" s="2"/>
      <c r="V3299" s="2"/>
      <c r="W3299" s="2"/>
      <c r="X3299" s="2"/>
      <c r="Y3299" s="2"/>
      <c r="Z3299" s="2"/>
      <c r="AA3299" s="2"/>
      <c r="AB3299" s="2"/>
      <c r="AC3299" s="2"/>
      <c r="AD3299" s="2"/>
      <c r="AE3299" s="2"/>
      <c r="AF3299" s="2"/>
      <c r="AG3299" s="2"/>
      <c r="AH3299" s="2"/>
      <c r="AI3299" s="2"/>
      <c r="AJ3299" s="2"/>
      <c r="AK3299" s="2"/>
      <c r="AL3299" s="2"/>
      <c r="AM3299" s="2"/>
      <c r="AN3299" s="2"/>
      <c r="AO3299" s="2"/>
      <c r="AP3299" s="2"/>
      <c r="AQ3299" s="2"/>
      <c r="AR3299" s="2"/>
      <c r="AS3299" s="2"/>
      <c r="AT3299" s="2"/>
      <c r="AU3299" s="2"/>
      <c r="AV3299" s="2"/>
      <c r="AW3299" s="2"/>
      <c r="AX3299" s="2"/>
      <c r="AY3299" s="2"/>
      <c r="AZ3299" s="2"/>
      <c r="BA3299" s="2"/>
      <c r="BB3299" s="2"/>
    </row>
    <row r="3300" ht="204.75" customHeight="1">
      <c r="A3300" s="1">
        <v>503.0</v>
      </c>
      <c r="B3300" s="2" t="s">
        <v>9874</v>
      </c>
      <c r="C3300" s="2">
        <f>IFERROR(__xludf.DUMMYFUNCTION("split(B3300,""_"")"),1810.0)</f>
        <v>1810</v>
      </c>
      <c r="D3300" s="2" t="str">
        <f>IFERROR(__xludf.DUMMYFUNCTION("""COMPUTED_VALUE"""),"NTV")</f>
        <v>NTV</v>
      </c>
      <c r="E3300" s="2" t="str">
        <f>IFERROR(__xludf.DUMMYFUNCTION("""COMPUTED_VALUE"""),"水22")</f>
        <v>水22</v>
      </c>
      <c r="F3300" s="2" t="s">
        <v>9875</v>
      </c>
      <c r="G3300" s="2" t="s">
        <v>9885</v>
      </c>
      <c r="H3300" s="1">
        <v>4.0</v>
      </c>
      <c r="I3300" s="1" t="s">
        <v>14</v>
      </c>
      <c r="J3300" s="1" t="s">
        <v>82</v>
      </c>
      <c r="K3300" s="2" t="s">
        <v>9886</v>
      </c>
      <c r="L3300" s="11" t="s">
        <v>9887</v>
      </c>
      <c r="M3300" s="2" t="str">
        <f>IFERROR(__xludf.DUMMYFUNCTION("split(split(K3300,""【"",false),""公式LINE"",false)"),"「家に居座り続ける元カノ・朱里（黒木華）」の事でケンカになった晶（新垣結衣）と京谷（田中圭）。晶は京谷のスマホに「ごめん」とメッセージを送るも既読にならない。一方、会社で服が昨日から変わっていないことを指摘される京谷・・・  晶は、京谷がなくしたスマホを呉羽（菊地凛子）がもっていることを知り受け取りに。そこで呉羽から昨晩起きた衝撃の事実をきいた晶はパニックのまま恒星（松田龍平）の事務所へ・・・!")</f>
        <v>「家に居座り続ける元カノ・朱里（黒木華）」の事でケンカになった晶（新垣結衣）と京谷（田中圭）。晶は京谷のスマホに「ごめん」とメッセージを送るも既読にならない。一方、会社で服が昨日から変わっていないことを指摘される京谷・・・  晶は、京谷がなくしたスマホを呉羽（菊地凛子）がもっていることを知り受け取りに。そこで呉羽から昨晩起きた衝撃の事実をきいた晶はパニックのまま恒星（松田龍平）の事務所へ・・・!</v>
      </c>
      <c r="N3300" s="2"/>
      <c r="O3300" s="2"/>
      <c r="P3300" s="2"/>
      <c r="Q3300" s="2"/>
      <c r="R3300" s="2"/>
      <c r="S3300" s="2"/>
      <c r="T3300" s="2"/>
      <c r="U3300" s="2"/>
      <c r="V3300" s="2"/>
      <c r="W3300" s="2"/>
      <c r="X3300" s="2"/>
      <c r="Y3300" s="2"/>
      <c r="Z3300" s="2"/>
      <c r="AA3300" s="2"/>
      <c r="AB3300" s="2"/>
      <c r="AC3300" s="2"/>
      <c r="AD3300" s="2"/>
      <c r="AE3300" s="2"/>
      <c r="AF3300" s="2"/>
      <c r="AG3300" s="2"/>
      <c r="AH3300" s="2"/>
      <c r="AI3300" s="2"/>
      <c r="AJ3300" s="2"/>
      <c r="AK3300" s="2"/>
      <c r="AL3300" s="2"/>
      <c r="AM3300" s="2"/>
      <c r="AN3300" s="2"/>
      <c r="AO3300" s="2"/>
      <c r="AP3300" s="2"/>
      <c r="AQ3300" s="2"/>
      <c r="AR3300" s="2"/>
      <c r="AS3300" s="2"/>
      <c r="AT3300" s="2"/>
      <c r="AU3300" s="2"/>
      <c r="AV3300" s="2"/>
      <c r="AW3300" s="2"/>
      <c r="AX3300" s="2"/>
      <c r="AY3300" s="2"/>
      <c r="AZ3300" s="2"/>
      <c r="BA3300" s="2"/>
      <c r="BB3300" s="2"/>
    </row>
    <row r="3301" ht="204.75" customHeight="1">
      <c r="A3301" s="1">
        <v>504.0</v>
      </c>
      <c r="B3301" s="2" t="s">
        <v>9874</v>
      </c>
      <c r="C3301" s="2">
        <f>IFERROR(__xludf.DUMMYFUNCTION("split(B3301,""_"")"),1810.0)</f>
        <v>1810</v>
      </c>
      <c r="D3301" s="2" t="str">
        <f>IFERROR(__xludf.DUMMYFUNCTION("""COMPUTED_VALUE"""),"NTV")</f>
        <v>NTV</v>
      </c>
      <c r="E3301" s="2" t="str">
        <f>IFERROR(__xludf.DUMMYFUNCTION("""COMPUTED_VALUE"""),"水22")</f>
        <v>水22</v>
      </c>
      <c r="F3301" s="2" t="s">
        <v>9875</v>
      </c>
      <c r="G3301" s="2" t="s">
        <v>9888</v>
      </c>
      <c r="H3301" s="1">
        <v>5.0</v>
      </c>
      <c r="I3301" s="1" t="s">
        <v>17</v>
      </c>
      <c r="J3301" s="1" t="s">
        <v>82</v>
      </c>
      <c r="K3301" s="2" t="s">
        <v>9889</v>
      </c>
      <c r="L3301" s="11" t="s">
        <v>9890</v>
      </c>
      <c r="M3301" s="2" t="str">
        <f>IFERROR(__xludf.DUMMYFUNCTION("split(split(K3301,""【"",false),""公式LINE"",false)"),"京谷（田中圭）の家に暮らし続ける元カノ・朱里（黒木華）と遂に対面した晶（新垣結衣）。冷静に「ここを出て行くつもりありますか？」と問いかけるも、感情的に主張をぶつける朱里をみて、自分との違いを改めて突きつけられる。  一方、晶と一夜を共にしたと聞いて逆上した京谷に殴られた恒星（松田龍平）。恒星も今まで目を背けていた呉羽（菊地凛子）の夫「橘カイジ」の名前をPCで検索し、向き合うことを決意する。")</f>
        <v>京谷（田中圭）の家に暮らし続ける元カノ・朱里（黒木華）と遂に対面した晶（新垣結衣）。冷静に「ここを出て行くつもりありますか？」と問いかけるも、感情的に主張をぶつける朱里をみて、自分との違いを改めて突きつけられる。  一方、晶と一夜を共にしたと聞いて逆上した京谷に殴られた恒星（松田龍平）。恒星も今まで目を背けていた呉羽（菊地凛子）の夫「橘カイジ」の名前をPCで検索し、向き合うことを決意する。</v>
      </c>
      <c r="N3301" s="2"/>
      <c r="O3301" s="2"/>
      <c r="P3301" s="2"/>
      <c r="Q3301" s="2"/>
      <c r="R3301" s="2"/>
      <c r="S3301" s="2"/>
      <c r="T3301" s="2"/>
      <c r="U3301" s="2"/>
      <c r="V3301" s="2"/>
      <c r="W3301" s="2"/>
      <c r="X3301" s="2"/>
      <c r="Y3301" s="2"/>
      <c r="Z3301" s="2"/>
      <c r="AA3301" s="2"/>
      <c r="AB3301" s="2"/>
      <c r="AC3301" s="2"/>
      <c r="AD3301" s="2"/>
      <c r="AE3301" s="2"/>
      <c r="AF3301" s="2"/>
      <c r="AG3301" s="2"/>
      <c r="AH3301" s="2"/>
      <c r="AI3301" s="2"/>
      <c r="AJ3301" s="2"/>
      <c r="AK3301" s="2"/>
      <c r="AL3301" s="2"/>
      <c r="AM3301" s="2"/>
      <c r="AN3301" s="2"/>
      <c r="AO3301" s="2"/>
      <c r="AP3301" s="2"/>
      <c r="AQ3301" s="2"/>
      <c r="AR3301" s="2"/>
      <c r="AS3301" s="2"/>
      <c r="AT3301" s="2"/>
      <c r="AU3301" s="2"/>
      <c r="AV3301" s="2"/>
      <c r="AW3301" s="2"/>
      <c r="AX3301" s="2"/>
      <c r="AY3301" s="2"/>
      <c r="AZ3301" s="2"/>
      <c r="BA3301" s="2"/>
      <c r="BB3301" s="2"/>
    </row>
    <row r="3302" ht="204.75" customHeight="1">
      <c r="A3302" s="1">
        <v>505.0</v>
      </c>
      <c r="B3302" s="2" t="s">
        <v>9874</v>
      </c>
      <c r="C3302" s="2">
        <f>IFERROR(__xludf.DUMMYFUNCTION("split(B3302,""_"")"),1810.0)</f>
        <v>1810</v>
      </c>
      <c r="D3302" s="2" t="str">
        <f>IFERROR(__xludf.DUMMYFUNCTION("""COMPUTED_VALUE"""),"NTV")</f>
        <v>NTV</v>
      </c>
      <c r="E3302" s="2" t="str">
        <f>IFERROR(__xludf.DUMMYFUNCTION("""COMPUTED_VALUE"""),"水22")</f>
        <v>水22</v>
      </c>
      <c r="F3302" s="2" t="s">
        <v>9875</v>
      </c>
      <c r="G3302" s="2" t="s">
        <v>9891</v>
      </c>
      <c r="H3302" s="1">
        <v>6.0</v>
      </c>
      <c r="I3302" s="1" t="s">
        <v>21</v>
      </c>
      <c r="J3302" s="1" t="s">
        <v>82</v>
      </c>
      <c r="K3302" s="2" t="s">
        <v>9892</v>
      </c>
      <c r="L3302" s="11" t="s">
        <v>9893</v>
      </c>
      <c r="M3302" s="2" t="str">
        <f>IFERROR(__xludf.DUMMYFUNCTION("split(split(K3302,""【"",false),""公式LINE"",false)"),"晶（新垣結衣）と恒星（松田龍平）は、路上でのキスを呉羽（菊地凛子）に目撃されてしまう。呉羽の夫・橘カイジのことが気になっている恒星は、２人の結婚についての「不穏な噂」を聞く…  朱里（黒木華）が居座るマンションを出た事を晶に告げられないままの京谷(田中圭)。  そんな中、朱里は京谷宛ての昔の年賀状を見つけ、晶の家に向かう。途中5tapに立ち寄った朱里は偶然いた恒星たちと知り合い一緒に飲み始め・・・")</f>
        <v>晶（新垣結衣）と恒星（松田龍平）は、路上でのキスを呉羽（菊地凛子）に目撃されてしまう。呉羽の夫・橘カイジのことが気になっている恒星は、２人の結婚についての「不穏な噂」を聞く…  朱里（黒木華）が居座るマンションを出た事を晶に告げられないままの京谷(田中圭)。  そんな中、朱里は京谷宛ての昔の年賀状を見つけ、晶の家に向かう。途中5tapに立ち寄った朱里は偶然いた恒星たちと知り合い一緒に飲み始め・・・</v>
      </c>
      <c r="N3302" s="2"/>
      <c r="O3302" s="2"/>
      <c r="P3302" s="2"/>
      <c r="Q3302" s="2"/>
      <c r="R3302" s="2"/>
      <c r="S3302" s="2"/>
      <c r="T3302" s="2"/>
      <c r="U3302" s="2"/>
      <c r="V3302" s="2"/>
      <c r="W3302" s="2"/>
      <c r="X3302" s="2"/>
      <c r="Y3302" s="2"/>
      <c r="Z3302" s="2"/>
      <c r="AA3302" s="2"/>
      <c r="AB3302" s="2"/>
      <c r="AC3302" s="2"/>
      <c r="AD3302" s="2"/>
      <c r="AE3302" s="2"/>
      <c r="AF3302" s="2"/>
      <c r="AG3302" s="2"/>
      <c r="AH3302" s="2"/>
      <c r="AI3302" s="2"/>
      <c r="AJ3302" s="2"/>
      <c r="AK3302" s="2"/>
      <c r="AL3302" s="2"/>
      <c r="AM3302" s="2"/>
      <c r="AN3302" s="2"/>
      <c r="AO3302" s="2"/>
      <c r="AP3302" s="2"/>
      <c r="AQ3302" s="2"/>
      <c r="AR3302" s="2"/>
      <c r="AS3302" s="2"/>
      <c r="AT3302" s="2"/>
      <c r="AU3302" s="2"/>
      <c r="AV3302" s="2"/>
      <c r="AW3302" s="2"/>
      <c r="AX3302" s="2"/>
      <c r="AY3302" s="2"/>
      <c r="AZ3302" s="2"/>
      <c r="BA3302" s="2"/>
      <c r="BB3302" s="2"/>
    </row>
    <row r="3303" ht="204.75" customHeight="1">
      <c r="A3303" s="1">
        <v>506.0</v>
      </c>
      <c r="B3303" s="2" t="s">
        <v>9874</v>
      </c>
      <c r="C3303" s="2">
        <f>IFERROR(__xludf.DUMMYFUNCTION("split(B3303,""_"")"),1810.0)</f>
        <v>1810</v>
      </c>
      <c r="D3303" s="2" t="str">
        <f>IFERROR(__xludf.DUMMYFUNCTION("""COMPUTED_VALUE"""),"NTV")</f>
        <v>NTV</v>
      </c>
      <c r="E3303" s="2" t="str">
        <f>IFERROR(__xludf.DUMMYFUNCTION("""COMPUTED_VALUE"""),"水22")</f>
        <v>水22</v>
      </c>
      <c r="F3303" s="2" t="s">
        <v>9875</v>
      </c>
      <c r="G3303" s="2" t="s">
        <v>9894</v>
      </c>
      <c r="H3303" s="1">
        <v>7.0</v>
      </c>
      <c r="I3303" s="1" t="s">
        <v>25</v>
      </c>
      <c r="J3303" s="1" t="s">
        <v>82</v>
      </c>
      <c r="K3303" s="2" t="s">
        <v>9895</v>
      </c>
      <c r="L3303" s="11" t="s">
        <v>9896</v>
      </c>
      <c r="M3303" s="2" t="str">
        <f>IFERROR(__xludf.DUMMYFUNCTION("split(split(K3303,""【"",false),""公式LINE"",false)"),"恒星（松田龍平）が謎の大金を持っているのを目撃し、とまどう晶（新垣結衣）。恒星は「この金で不正に加担するよう脅迫されていて抜け出せない」と話す。その告白を真剣に聞く晶に「…という映画の話」と言って話を変えてしまう恒星。京谷（田中圭）の父の容態が悪化、病院にいれるかどうかで千春（田中美佐子）と家族はもめる。  千春と連絡がつかず心配しながら帰宅した晶は、部屋の前で眠り込む朱里（黒木華）を見つけ…。")</f>
        <v>恒星（松田龍平）が謎の大金を持っているのを目撃し、とまどう晶（新垣結衣）。恒星は「この金で不正に加担するよう脅迫されていて抜け出せない」と話す。その告白を真剣に聞く晶に「…という映画の話」と言って話を変えてしまう恒星。京谷（田中圭）の父の容態が悪化、病院にいれるかどうかで千春（田中美佐子）と家族はもめる。  千春と連絡がつかず心配しながら帰宅した晶は、部屋の前で眠り込む朱里（黒木華）を見つけ…。</v>
      </c>
      <c r="N3303" s="2"/>
      <c r="O3303" s="2"/>
      <c r="P3303" s="2"/>
      <c r="Q3303" s="2"/>
      <c r="R3303" s="2"/>
      <c r="S3303" s="2"/>
      <c r="T3303" s="2"/>
      <c r="U3303" s="2"/>
      <c r="V3303" s="2"/>
      <c r="W3303" s="2"/>
      <c r="X3303" s="2"/>
      <c r="Y3303" s="2"/>
      <c r="Z3303" s="2"/>
      <c r="AA3303" s="2"/>
      <c r="AB3303" s="2"/>
      <c r="AC3303" s="2"/>
      <c r="AD3303" s="2"/>
      <c r="AE3303" s="2"/>
      <c r="AF3303" s="2"/>
      <c r="AG3303" s="2"/>
      <c r="AH3303" s="2"/>
      <c r="AI3303" s="2"/>
      <c r="AJ3303" s="2"/>
      <c r="AK3303" s="2"/>
      <c r="AL3303" s="2"/>
      <c r="AM3303" s="2"/>
      <c r="AN3303" s="2"/>
      <c r="AO3303" s="2"/>
      <c r="AP3303" s="2"/>
      <c r="AQ3303" s="2"/>
      <c r="AR3303" s="2"/>
      <c r="AS3303" s="2"/>
      <c r="AT3303" s="2"/>
      <c r="AU3303" s="2"/>
      <c r="AV3303" s="2"/>
      <c r="AW3303" s="2"/>
      <c r="AX3303" s="2"/>
      <c r="AY3303" s="2"/>
      <c r="AZ3303" s="2"/>
      <c r="BA3303" s="2"/>
      <c r="BB3303" s="2"/>
    </row>
    <row r="3304" ht="204.75" customHeight="1">
      <c r="A3304" s="1">
        <v>507.0</v>
      </c>
      <c r="B3304" s="2" t="s">
        <v>9874</v>
      </c>
      <c r="C3304" s="2">
        <f>IFERROR(__xludf.DUMMYFUNCTION("split(B3304,""_"")"),1810.0)</f>
        <v>1810</v>
      </c>
      <c r="D3304" s="2" t="str">
        <f>IFERROR(__xludf.DUMMYFUNCTION("""COMPUTED_VALUE"""),"NTV")</f>
        <v>NTV</v>
      </c>
      <c r="E3304" s="2" t="str">
        <f>IFERROR(__xludf.DUMMYFUNCTION("""COMPUTED_VALUE"""),"水22")</f>
        <v>水22</v>
      </c>
      <c r="F3304" s="2" t="s">
        <v>9875</v>
      </c>
      <c r="G3304" s="2" t="s">
        <v>9897</v>
      </c>
      <c r="H3304" s="1">
        <v>8.0</v>
      </c>
      <c r="I3304" s="1" t="s">
        <v>29</v>
      </c>
      <c r="J3304" s="1" t="s">
        <v>82</v>
      </c>
      <c r="K3304" s="2" t="s">
        <v>9898</v>
      </c>
      <c r="L3304" s="11" t="s">
        <v>9899</v>
      </c>
      <c r="M3304" s="2" t="str">
        <f>IFERROR(__xludf.DUMMYFUNCTION("split(split(K3304,""【"",false),""公式LINE"",false)"),"晶（新垣結衣）は会社の業務改善に向けて積極的に動き出し、新入社員の採用を開始！しかし面談に現れたのは、京谷（田中圭）の元彼女でひきこもり中の朱里（黒木華）だった!  一方、恒星(松田龍平)は、呉羽(菊地凛子)の夫・橘カイジの会社の上場を手伝うことを決めるが、ドタキャン続きでなかなか会えず仕舞い…そんな中、行方不明の兄・陽太（安井順平）が警察に捕まったという連絡が!")</f>
        <v>晶（新垣結衣）は会社の業務改善に向けて積極的に動き出し、新入社員の採用を開始！しかし面談に現れたのは、京谷（田中圭）の元彼女でひきこもり中の朱里（黒木華）だった!  一方、恒星(松田龍平)は、呉羽(菊地凛子)の夫・橘カイジの会社の上場を手伝うことを決めるが、ドタキャン続きでなかなか会えず仕舞い…そんな中、行方不明の兄・陽太（安井順平）が警察に捕まったという連絡が!</v>
      </c>
      <c r="N3304" s="2"/>
      <c r="O3304" s="2"/>
      <c r="P3304" s="2"/>
      <c r="Q3304" s="2"/>
      <c r="R3304" s="2"/>
      <c r="S3304" s="2"/>
      <c r="T3304" s="2"/>
      <c r="U3304" s="2"/>
      <c r="V3304" s="2"/>
      <c r="W3304" s="2"/>
      <c r="X3304" s="2"/>
      <c r="Y3304" s="2"/>
      <c r="Z3304" s="2"/>
      <c r="AA3304" s="2"/>
      <c r="AB3304" s="2"/>
      <c r="AC3304" s="2"/>
      <c r="AD3304" s="2"/>
      <c r="AE3304" s="2"/>
      <c r="AF3304" s="2"/>
      <c r="AG3304" s="2"/>
      <c r="AH3304" s="2"/>
      <c r="AI3304" s="2"/>
      <c r="AJ3304" s="2"/>
      <c r="AK3304" s="2"/>
      <c r="AL3304" s="2"/>
      <c r="AM3304" s="2"/>
      <c r="AN3304" s="2"/>
      <c r="AO3304" s="2"/>
      <c r="AP3304" s="2"/>
      <c r="AQ3304" s="2"/>
      <c r="AR3304" s="2"/>
      <c r="AS3304" s="2"/>
      <c r="AT3304" s="2"/>
      <c r="AU3304" s="2"/>
      <c r="AV3304" s="2"/>
      <c r="AW3304" s="2"/>
      <c r="AX3304" s="2"/>
      <c r="AY3304" s="2"/>
      <c r="AZ3304" s="2"/>
      <c r="BA3304" s="2"/>
      <c r="BB3304" s="2"/>
    </row>
    <row r="3305" ht="204.75" customHeight="1">
      <c r="A3305" s="1">
        <v>508.0</v>
      </c>
      <c r="B3305" s="2" t="s">
        <v>9874</v>
      </c>
      <c r="C3305" s="2">
        <f>IFERROR(__xludf.DUMMYFUNCTION("split(B3305,""_"")"),1810.0)</f>
        <v>1810</v>
      </c>
      <c r="D3305" s="2" t="str">
        <f>IFERROR(__xludf.DUMMYFUNCTION("""COMPUTED_VALUE"""),"NTV")</f>
        <v>NTV</v>
      </c>
      <c r="E3305" s="2" t="str">
        <f>IFERROR(__xludf.DUMMYFUNCTION("""COMPUTED_VALUE"""),"水22")</f>
        <v>水22</v>
      </c>
      <c r="F3305" s="2" t="s">
        <v>9875</v>
      </c>
      <c r="G3305" s="2" t="s">
        <v>9900</v>
      </c>
      <c r="H3305" s="1">
        <v>9.0</v>
      </c>
      <c r="I3305" s="1" t="s">
        <v>33</v>
      </c>
      <c r="J3305" s="1" t="s">
        <v>82</v>
      </c>
      <c r="K3305" s="2" t="s">
        <v>9901</v>
      </c>
      <c r="L3305" s="11" t="s">
        <v>9902</v>
      </c>
      <c r="M3305" s="2" t="str">
        <f>IFERROR(__xludf.DUMMYFUNCTION("split(split(K3305,""【"",false),""公式LINE"",false)"),"晶（新垣結衣）が進めた業務改善の結果が出始めた頃、九十九（山内圭哉）が晶の『特別チーフクリエイター営業部長』昇進&amp;朱里(黒木華)の『社長秘書』任命を発表し驚く一同。  恒星（松田龍平）と呉羽（菊地凛子）のハグ写真が週刊誌に掲載された。5tap前には橘カイジの妻の呉羽を追うために記者が張り込み不穏な空気に。  京谷（田中圭）の家に遊びに来た千春（田中美佐子）は朱里と鉢合わせ！遂に恋愛問題がバレた!?")</f>
        <v>晶（新垣結衣）が進めた業務改善の結果が出始めた頃、九十九（山内圭哉）が晶の『特別チーフクリエイター営業部長』昇進&amp;朱里(黒木華)の『社長秘書』任命を発表し驚く一同。  恒星（松田龍平）と呉羽（菊地凛子）のハグ写真が週刊誌に掲載された。5tap前には橘カイジの妻の呉羽を追うために記者が張り込み不穏な空気に。  京谷（田中圭）の家に遊びに来た千春（田中美佐子）は朱里と鉢合わせ！遂に恋愛問題がバレた!?</v>
      </c>
      <c r="N3305" s="2"/>
      <c r="O3305" s="2"/>
      <c r="P3305" s="2"/>
      <c r="Q3305" s="2"/>
      <c r="R3305" s="2"/>
      <c r="S3305" s="2"/>
      <c r="T3305" s="2"/>
      <c r="U3305" s="2"/>
      <c r="V3305" s="2"/>
      <c r="W3305" s="2"/>
      <c r="X3305" s="2"/>
      <c r="Y3305" s="2"/>
      <c r="Z3305" s="2"/>
      <c r="AA3305" s="2"/>
      <c r="AB3305" s="2"/>
      <c r="AC3305" s="2"/>
      <c r="AD3305" s="2"/>
      <c r="AE3305" s="2"/>
      <c r="AF3305" s="2"/>
      <c r="AG3305" s="2"/>
      <c r="AH3305" s="2"/>
      <c r="AI3305" s="2"/>
      <c r="AJ3305" s="2"/>
      <c r="AK3305" s="2"/>
      <c r="AL3305" s="2"/>
      <c r="AM3305" s="2"/>
      <c r="AN3305" s="2"/>
      <c r="AO3305" s="2"/>
      <c r="AP3305" s="2"/>
      <c r="AQ3305" s="2"/>
      <c r="AR3305" s="2"/>
      <c r="AS3305" s="2"/>
      <c r="AT3305" s="2"/>
      <c r="AU3305" s="2"/>
      <c r="AV3305" s="2"/>
      <c r="AW3305" s="2"/>
      <c r="AX3305" s="2"/>
      <c r="AY3305" s="2"/>
      <c r="AZ3305" s="2"/>
      <c r="BA3305" s="2"/>
      <c r="BB3305" s="2"/>
    </row>
    <row r="3306" ht="204.75" customHeight="1">
      <c r="A3306" s="1">
        <v>509.0</v>
      </c>
      <c r="B3306" s="2" t="s">
        <v>9874</v>
      </c>
      <c r="C3306" s="2">
        <f>IFERROR(__xludf.DUMMYFUNCTION("split(B3306,""_"")"),1810.0)</f>
        <v>1810</v>
      </c>
      <c r="D3306" s="2" t="str">
        <f>IFERROR(__xludf.DUMMYFUNCTION("""COMPUTED_VALUE"""),"NTV")</f>
        <v>NTV</v>
      </c>
      <c r="E3306" s="2" t="str">
        <f>IFERROR(__xludf.DUMMYFUNCTION("""COMPUTED_VALUE"""),"水22")</f>
        <v>水22</v>
      </c>
      <c r="F3306" s="2" t="s">
        <v>9875</v>
      </c>
      <c r="G3306" s="2" t="s">
        <v>9903</v>
      </c>
      <c r="H3306" s="1">
        <v>10.0</v>
      </c>
      <c r="I3306" s="1" t="s">
        <v>37</v>
      </c>
      <c r="J3306" s="1" t="s">
        <v>82</v>
      </c>
      <c r="K3306" s="2" t="s">
        <v>9904</v>
      </c>
      <c r="L3306" s="11" t="s">
        <v>9905</v>
      </c>
      <c r="M3306" s="2" t="str">
        <f>IFERROR(__xludf.DUMMYFUNCTION("split(split(K3306,""【"",false),""公式LINE"",false)"),"傷ついた心のまま一夜を共にした晶（新垣結衣）と恒星（松田龍平）は、お互いの気持ちが分からずモヤモヤ。5tapで話そうとするが、松任谷（伊藤沙莉）と上野（犬飼貴丈）、更には京谷（田中圭）までが訪ねて来て大混乱！ようやく本音で話そうとした2人に今度は呉羽(菊地凛子)から着信が。バッシング記事でこれ以上夫のカイジに迷惑をかけないためにある決断をする呉羽…人生ままならない大人達が最後に自分で選ぶ人生は!?")</f>
        <v>傷ついた心のまま一夜を共にした晶（新垣結衣）と恒星（松田龍平）は、お互いの気持ちが分からずモヤモヤ。5tapで話そうとするが、松任谷（伊藤沙莉）と上野（犬飼貴丈）、更には京谷（田中圭）までが訪ねて来て大混乱！ようやく本音で話そうとした2人に今度は呉羽(菊地凛子)から着信が。バッシング記事でこれ以上夫のカイジに迷惑をかけないためにある決断をする呉羽…人生ままならない大人達が最後に自分で選ぶ人生は!?</v>
      </c>
      <c r="N3306" s="2"/>
      <c r="O3306" s="2"/>
      <c r="P3306" s="2"/>
      <c r="Q3306" s="2"/>
      <c r="R3306" s="2"/>
      <c r="S3306" s="2"/>
      <c r="T3306" s="2"/>
      <c r="U3306" s="2"/>
      <c r="V3306" s="2"/>
      <c r="W3306" s="2"/>
      <c r="X3306" s="2"/>
      <c r="Y3306" s="2"/>
      <c r="Z3306" s="2"/>
      <c r="AA3306" s="2"/>
      <c r="AB3306" s="2"/>
      <c r="AC3306" s="2"/>
      <c r="AD3306" s="2"/>
      <c r="AE3306" s="2"/>
      <c r="AF3306" s="2"/>
      <c r="AG3306" s="2"/>
      <c r="AH3306" s="2"/>
      <c r="AI3306" s="2"/>
      <c r="AJ3306" s="2"/>
      <c r="AK3306" s="2"/>
      <c r="AL3306" s="2"/>
      <c r="AM3306" s="2"/>
      <c r="AN3306" s="2"/>
      <c r="AO3306" s="2"/>
      <c r="AP3306" s="2"/>
      <c r="AQ3306" s="2"/>
      <c r="AR3306" s="2"/>
      <c r="AS3306" s="2"/>
      <c r="AT3306" s="2"/>
      <c r="AU3306" s="2"/>
      <c r="AV3306" s="2"/>
      <c r="AW3306" s="2"/>
      <c r="AX3306" s="2"/>
      <c r="AY3306" s="2"/>
      <c r="AZ3306" s="2"/>
      <c r="BA3306" s="2"/>
      <c r="BB3306" s="2"/>
    </row>
    <row r="3307" ht="204.75" customHeight="1">
      <c r="A3307" s="1">
        <v>529.0</v>
      </c>
      <c r="B3307" s="2" t="s">
        <v>9906</v>
      </c>
      <c r="C3307" s="2">
        <f>IFERROR(__xludf.DUMMYFUNCTION("split(B3307,""_"")"),1810.0)</f>
        <v>1810</v>
      </c>
      <c r="D3307" s="2" t="str">
        <f>IFERROR(__xludf.DUMMYFUNCTION("""COMPUTED_VALUE"""),"NTV")</f>
        <v>NTV</v>
      </c>
      <c r="E3307" s="2" t="str">
        <f>IFERROR(__xludf.DUMMYFUNCTION("""COMPUTED_VALUE"""),"木23")</f>
        <v>木23</v>
      </c>
      <c r="F3307" s="2" t="s">
        <v>9907</v>
      </c>
      <c r="G3307" s="2" t="s">
        <v>9908</v>
      </c>
      <c r="H3307" s="1">
        <v>1.0</v>
      </c>
      <c r="J3307" s="1" t="s">
        <v>1435</v>
      </c>
      <c r="K3307" s="2" t="s">
        <v>9909</v>
      </c>
      <c r="L3307" s="11" t="s">
        <v>9910</v>
      </c>
      <c r="M3307" s="2" t="str">
        <f>IFERROR(__xludf.DUMMYFUNCTION("split(split(K3307,""【"",false),""公式LINE"",false)"),"５年前。女優の藤崎紗羅（松本まりか）は、根も葉もない不倫スキャンダルの当事者に仕立て上げられ、不本意な偽りの謝罪会見をする羽目となった。紗羅は激しいバッシングを受けて芸能界を追放され、紗羅の母は、娘のスキャンダルを苦に焼身自殺で命を絶った…。  そして現在、全てを失った紗羅は、整形して矢神亜梨沙（山口紗弥加）というマネージャーに姿を変え、偽りの謝罪会見を仕組んだゲス達に復讐を果たすべく動き出す!")</f>
        <v>５年前。女優の藤崎紗羅（松本まりか）は、根も葉もない不倫スキャンダルの当事者に仕立て上げられ、不本意な偽りの謝罪会見をする羽目となった。紗羅は激しいバッシングを受けて芸能界を追放され、紗羅の母は、娘のスキャンダルを苦に焼身自殺で命を絶った…。  そして現在、全てを失った紗羅は、整形して矢神亜梨沙（山口紗弥加）というマネージャーに姿を変え、偽りの謝罪会見を仕組んだゲス達に復讐を果たすべく動き出す!</v>
      </c>
      <c r="N3307" s="2"/>
      <c r="O3307" s="2"/>
      <c r="P3307" s="2"/>
      <c r="Q3307" s="2"/>
      <c r="R3307" s="2"/>
      <c r="S3307" s="2"/>
      <c r="T3307" s="2"/>
      <c r="U3307" s="2"/>
      <c r="V3307" s="2"/>
      <c r="W3307" s="2"/>
      <c r="X3307" s="2"/>
      <c r="Y3307" s="2"/>
      <c r="Z3307" s="2"/>
      <c r="AA3307" s="2"/>
      <c r="AB3307" s="2"/>
      <c r="AC3307" s="2"/>
      <c r="AD3307" s="2"/>
      <c r="AE3307" s="2"/>
      <c r="AF3307" s="2"/>
      <c r="AG3307" s="2"/>
      <c r="AH3307" s="2"/>
      <c r="AI3307" s="2"/>
      <c r="AJ3307" s="2"/>
      <c r="AK3307" s="2"/>
      <c r="AL3307" s="2"/>
      <c r="AM3307" s="2"/>
      <c r="AN3307" s="2"/>
      <c r="AO3307" s="2"/>
      <c r="AP3307" s="2"/>
      <c r="AQ3307" s="2"/>
      <c r="AR3307" s="2"/>
      <c r="AS3307" s="2"/>
      <c r="AT3307" s="2"/>
      <c r="AU3307" s="2"/>
      <c r="AV3307" s="2"/>
      <c r="AW3307" s="2"/>
      <c r="AX3307" s="2"/>
      <c r="AY3307" s="2"/>
      <c r="AZ3307" s="2"/>
      <c r="BA3307" s="2"/>
      <c r="BB3307" s="2"/>
    </row>
    <row r="3308" ht="204.75" customHeight="1">
      <c r="A3308" s="1">
        <v>530.0</v>
      </c>
      <c r="B3308" s="2" t="s">
        <v>9906</v>
      </c>
      <c r="C3308" s="2">
        <f>IFERROR(__xludf.DUMMYFUNCTION("split(B3308,""_"")"),1810.0)</f>
        <v>1810</v>
      </c>
      <c r="D3308" s="2" t="str">
        <f>IFERROR(__xludf.DUMMYFUNCTION("""COMPUTED_VALUE"""),"NTV")</f>
        <v>NTV</v>
      </c>
      <c r="E3308" s="2" t="str">
        <f>IFERROR(__xludf.DUMMYFUNCTION("""COMPUTED_VALUE"""),"木23")</f>
        <v>木23</v>
      </c>
      <c r="F3308" s="2" t="s">
        <v>9907</v>
      </c>
      <c r="G3308" s="2" t="s">
        <v>9911</v>
      </c>
      <c r="H3308" s="1">
        <v>2.0</v>
      </c>
      <c r="J3308" s="1" t="s">
        <v>1435</v>
      </c>
      <c r="K3308" s="2" t="s">
        <v>9912</v>
      </c>
      <c r="L3308" s="11" t="s">
        <v>9913</v>
      </c>
      <c r="M3308" s="2" t="str">
        <f>IFERROR(__xludf.DUMMYFUNCTION("split(split(K3308,""【"",false),""公式LINE"",false)"),"佐藤友治(他)『フローライト』の看板女優、阿久津唯菜（松井玲奈）とドラマで共演することになった俳優の棚城健二郎(波岡一喜)。  健二郎こそが、ありもしない藤崎紗羅（松本まりか）との不倫を認め、紗羅を地獄へ突き落した張本人だった!  矢神亜梨沙(山口紗弥加)は、その健二郎に復讐すべく近づいていく。しかしそれを健二郎のマネージャーに阻まれ事態は棚城の父で人気俳優の棚城正則（山下真司）をも巻き込んでいく事件へと発展していく…")</f>
        <v>佐藤友治(他)『フローライト』の看板女優、阿久津唯菜（松井玲奈）とドラマで共演することになった俳優の棚城健二郎(波岡一喜)。  健二郎こそが、ありもしない藤崎紗羅（松本まりか）との不倫を認め、紗羅を地獄へ突き落した張本人だった!  矢神亜梨沙(山口紗弥加)は、その健二郎に復讐すべく近づいていく。しかしそれを健二郎のマネージャーに阻まれ事態は棚城の父で人気俳優の棚城正則（山下真司）をも巻き込んでいく事件へと発展していく…</v>
      </c>
      <c r="N3308" s="2"/>
      <c r="O3308" s="2"/>
      <c r="P3308" s="2"/>
      <c r="Q3308" s="2"/>
      <c r="R3308" s="2"/>
      <c r="S3308" s="2"/>
      <c r="T3308" s="2"/>
      <c r="U3308" s="2"/>
      <c r="V3308" s="2"/>
      <c r="W3308" s="2"/>
      <c r="X3308" s="2"/>
      <c r="Y3308" s="2"/>
      <c r="Z3308" s="2"/>
      <c r="AA3308" s="2"/>
      <c r="AB3308" s="2"/>
      <c r="AC3308" s="2"/>
      <c r="AD3308" s="2"/>
      <c r="AE3308" s="2"/>
      <c r="AF3308" s="2"/>
      <c r="AG3308" s="2"/>
      <c r="AH3308" s="2"/>
      <c r="AI3308" s="2"/>
      <c r="AJ3308" s="2"/>
      <c r="AK3308" s="2"/>
      <c r="AL3308" s="2"/>
      <c r="AM3308" s="2"/>
      <c r="AN3308" s="2"/>
      <c r="AO3308" s="2"/>
      <c r="AP3308" s="2"/>
      <c r="AQ3308" s="2"/>
      <c r="AR3308" s="2"/>
      <c r="AS3308" s="2"/>
      <c r="AT3308" s="2"/>
      <c r="AU3308" s="2"/>
      <c r="AV3308" s="2"/>
      <c r="AW3308" s="2"/>
      <c r="AX3308" s="2"/>
      <c r="AY3308" s="2"/>
      <c r="AZ3308" s="2"/>
      <c r="BA3308" s="2"/>
      <c r="BB3308" s="2"/>
    </row>
    <row r="3309" ht="204.75" customHeight="1">
      <c r="A3309" s="1">
        <v>531.0</v>
      </c>
      <c r="B3309" s="2" t="s">
        <v>9906</v>
      </c>
      <c r="C3309" s="2">
        <f>IFERROR(__xludf.DUMMYFUNCTION("split(B3309,""_"")"),1810.0)</f>
        <v>1810</v>
      </c>
      <c r="D3309" s="2" t="str">
        <f>IFERROR(__xludf.DUMMYFUNCTION("""COMPUTED_VALUE"""),"NTV")</f>
        <v>NTV</v>
      </c>
      <c r="E3309" s="2" t="str">
        <f>IFERROR(__xludf.DUMMYFUNCTION("""COMPUTED_VALUE"""),"木23")</f>
        <v>木23</v>
      </c>
      <c r="F3309" s="2" t="s">
        <v>9907</v>
      </c>
      <c r="G3309" s="2" t="s">
        <v>9914</v>
      </c>
      <c r="H3309" s="1">
        <v>3.0</v>
      </c>
      <c r="J3309" s="1" t="s">
        <v>1435</v>
      </c>
      <c r="K3309" s="2" t="s">
        <v>9915</v>
      </c>
      <c r="L3309" s="11" t="s">
        <v>9916</v>
      </c>
      <c r="M3309" s="2" t="str">
        <f>IFERROR(__xludf.DUMMYFUNCTION("split(split(K3309,""【"",false),""公式LINE"",false)"),"『週刊星流』の記者、巻田健吾（片桐仁）は、五色沼仁（袴田吉彦）や棚城健二郎（波岡一喜）が起こした騒動の影に、矢神亜梨沙（山口紗弥加）がいることに気付き、亜梨沙のことを探り始める。  一方『フローライト』では、売り出し中のミルキーロードのメンバー、ミカ（田中真琴）の妊娠が発覚！しかも、お腹の子の父親はマネージャーの犬飼遊真（森田甘路）だった。亜梨沙はミカを守るためにある手段を思いつくが…。")</f>
        <v>『週刊星流』の記者、巻田健吾（片桐仁）は、五色沼仁（袴田吉彦）や棚城健二郎（波岡一喜）が起こした騒動の影に、矢神亜梨沙（山口紗弥加）がいることに気付き、亜梨沙のことを探り始める。  一方『フローライト』では、売り出し中のミルキーロードのメンバー、ミカ（田中真琴）の妊娠が発覚！しかも、お腹の子の父親はマネージャーの犬飼遊真（森田甘路）だった。亜梨沙はミカを守るためにある手段を思いつくが…。</v>
      </c>
      <c r="N3309" s="2"/>
      <c r="O3309" s="2"/>
      <c r="P3309" s="2"/>
      <c r="Q3309" s="2"/>
      <c r="R3309" s="2"/>
      <c r="S3309" s="2"/>
      <c r="T3309" s="2"/>
      <c r="U3309" s="2"/>
      <c r="V3309" s="2"/>
      <c r="W3309" s="2"/>
      <c r="X3309" s="2"/>
      <c r="Y3309" s="2"/>
      <c r="Z3309" s="2"/>
      <c r="AA3309" s="2"/>
      <c r="AB3309" s="2"/>
      <c r="AC3309" s="2"/>
      <c r="AD3309" s="2"/>
      <c r="AE3309" s="2"/>
      <c r="AF3309" s="2"/>
      <c r="AG3309" s="2"/>
      <c r="AH3309" s="2"/>
      <c r="AI3309" s="2"/>
      <c r="AJ3309" s="2"/>
      <c r="AK3309" s="2"/>
      <c r="AL3309" s="2"/>
      <c r="AM3309" s="2"/>
      <c r="AN3309" s="2"/>
      <c r="AO3309" s="2"/>
      <c r="AP3309" s="2"/>
      <c r="AQ3309" s="2"/>
      <c r="AR3309" s="2"/>
      <c r="AS3309" s="2"/>
      <c r="AT3309" s="2"/>
      <c r="AU3309" s="2"/>
      <c r="AV3309" s="2"/>
      <c r="AW3309" s="2"/>
      <c r="AX3309" s="2"/>
      <c r="AY3309" s="2"/>
      <c r="AZ3309" s="2"/>
      <c r="BA3309" s="2"/>
      <c r="BB3309" s="2"/>
    </row>
    <row r="3310" ht="204.75" customHeight="1">
      <c r="A3310" s="1">
        <v>532.0</v>
      </c>
      <c r="B3310" s="2" t="s">
        <v>9906</v>
      </c>
      <c r="C3310" s="2">
        <f>IFERROR(__xludf.DUMMYFUNCTION("split(B3310,""_"")"),1810.0)</f>
        <v>1810</v>
      </c>
      <c r="D3310" s="2" t="str">
        <f>IFERROR(__xludf.DUMMYFUNCTION("""COMPUTED_VALUE"""),"NTV")</f>
        <v>NTV</v>
      </c>
      <c r="E3310" s="2" t="str">
        <f>IFERROR(__xludf.DUMMYFUNCTION("""COMPUTED_VALUE"""),"木23")</f>
        <v>木23</v>
      </c>
      <c r="F3310" s="2" t="s">
        <v>9907</v>
      </c>
      <c r="G3310" s="2" t="s">
        <v>9917</v>
      </c>
      <c r="H3310" s="1">
        <v>4.0</v>
      </c>
      <c r="J3310" s="1" t="s">
        <v>1435</v>
      </c>
      <c r="K3310" s="2" t="s">
        <v>9918</v>
      </c>
      <c r="L3310" s="11" t="s">
        <v>9919</v>
      </c>
      <c r="M3310" s="2" t="str">
        <f>IFERROR(__xludf.DUMMYFUNCTION("split(split(K3310,""【"",false),""公式LINE"",false)"),"矢神亜梨沙（山口紗弥加）は、巻田健吾（片桐仁）から「あんたは藤崎紗羅（松本まりか）と同一人物で、５年前の復讐をしている」と見抜かれる。巻田は、それをネタに「バラされたくなければ、大物芸能人のスキャンダルネタを探して来い」と亜梨沙を脅す。一方、花園由祐子（平岩紙）は、亜梨沙にチーフマネージャーの地位を奪われないよう、亜梨沙が担当する小嶋夏恋（小川紗良）の過去の枕営業をスキャンダルにしようと目論むが…")</f>
        <v>矢神亜梨沙（山口紗弥加）は、巻田健吾（片桐仁）から「あんたは藤崎紗羅（松本まりか）と同一人物で、５年前の復讐をしている」と見抜かれる。巻田は、それをネタに「バラされたくなければ、大物芸能人のスキャンダルネタを探して来い」と亜梨沙を脅す。一方、花園由祐子（平岩紙）は、亜梨沙にチーフマネージャーの地位を奪われないよう、亜梨沙が担当する小嶋夏恋（小川紗良）の過去の枕営業をスキャンダルにしようと目論むが…</v>
      </c>
      <c r="N3310" s="2"/>
      <c r="O3310" s="2"/>
      <c r="P3310" s="2"/>
      <c r="Q3310" s="2"/>
      <c r="R3310" s="2"/>
      <c r="S3310" s="2"/>
      <c r="T3310" s="2"/>
      <c r="U3310" s="2"/>
      <c r="V3310" s="2"/>
      <c r="W3310" s="2"/>
      <c r="X3310" s="2"/>
      <c r="Y3310" s="2"/>
      <c r="Z3310" s="2"/>
      <c r="AA3310" s="2"/>
      <c r="AB3310" s="2"/>
      <c r="AC3310" s="2"/>
      <c r="AD3310" s="2"/>
      <c r="AE3310" s="2"/>
      <c r="AF3310" s="2"/>
      <c r="AG3310" s="2"/>
      <c r="AH3310" s="2"/>
      <c r="AI3310" s="2"/>
      <c r="AJ3310" s="2"/>
      <c r="AK3310" s="2"/>
      <c r="AL3310" s="2"/>
      <c r="AM3310" s="2"/>
      <c r="AN3310" s="2"/>
      <c r="AO3310" s="2"/>
      <c r="AP3310" s="2"/>
      <c r="AQ3310" s="2"/>
      <c r="AR3310" s="2"/>
      <c r="AS3310" s="2"/>
      <c r="AT3310" s="2"/>
      <c r="AU3310" s="2"/>
      <c r="AV3310" s="2"/>
      <c r="AW3310" s="2"/>
      <c r="AX3310" s="2"/>
      <c r="AY3310" s="2"/>
      <c r="AZ3310" s="2"/>
      <c r="BA3310" s="2"/>
      <c r="BB3310" s="2"/>
    </row>
    <row r="3311" ht="204.75" customHeight="1">
      <c r="A3311" s="1">
        <v>533.0</v>
      </c>
      <c r="B3311" s="2" t="s">
        <v>9906</v>
      </c>
      <c r="C3311" s="2">
        <f>IFERROR(__xludf.DUMMYFUNCTION("split(B3311,""_"")"),1810.0)</f>
        <v>1810</v>
      </c>
      <c r="D3311" s="2" t="str">
        <f>IFERROR(__xludf.DUMMYFUNCTION("""COMPUTED_VALUE"""),"NTV")</f>
        <v>NTV</v>
      </c>
      <c r="E3311" s="2" t="str">
        <f>IFERROR(__xludf.DUMMYFUNCTION("""COMPUTED_VALUE"""),"木23")</f>
        <v>木23</v>
      </c>
      <c r="F3311" s="2" t="s">
        <v>9907</v>
      </c>
      <c r="G3311" s="2" t="s">
        <v>9920</v>
      </c>
      <c r="H3311" s="1">
        <v>5.0</v>
      </c>
      <c r="J3311" s="1" t="s">
        <v>1435</v>
      </c>
      <c r="K3311" s="2" t="s">
        <v>9921</v>
      </c>
      <c r="L3311" s="11" t="s">
        <v>9922</v>
      </c>
      <c r="M3311" s="2" t="str">
        <f>IFERROR(__xludf.DUMMYFUNCTION("split(split(K3311,""【"",false),""公式LINE"",false)"),"矢神亜梨沙（山口紗弥加）と花園由祐子（平岩紙）は、勅使河原友和（片岡鶴太郎）から、ある企業の仕事を取った方をチーフマネージャーにすると言い渡される。  それは久保寺徹（笠原秀幸）が経営する企業のＣＭで、出演者は久保寺を囲むパーティーで決まると言う。  亜梨沙は小嶋夏恋（小川紗良）を、花園はソフィア（瑛茉ジャスミン）を推してパーティーへ。そこでは熾烈な戦いが繰り広げられていて、想定外の大事件が起きる…")</f>
        <v>矢神亜梨沙（山口紗弥加）と花園由祐子（平岩紙）は、勅使河原友和（片岡鶴太郎）から、ある企業の仕事を取った方をチーフマネージャーにすると言い渡される。  それは久保寺徹（笠原秀幸）が経営する企業のＣＭで、出演者は久保寺を囲むパーティーで決まると言う。  亜梨沙は小嶋夏恋（小川紗良）を、花園はソフィア（瑛茉ジャスミン）を推してパーティーへ。そこでは熾烈な戦いが繰り広げられていて、想定外の大事件が起きる…</v>
      </c>
      <c r="N3311" s="2"/>
      <c r="O3311" s="2"/>
      <c r="P3311" s="2"/>
      <c r="Q3311" s="2"/>
      <c r="R3311" s="2"/>
      <c r="S3311" s="2"/>
      <c r="T3311" s="2"/>
      <c r="U3311" s="2"/>
      <c r="V3311" s="2"/>
      <c r="W3311" s="2"/>
      <c r="X3311" s="2"/>
      <c r="Y3311" s="2"/>
      <c r="Z3311" s="2"/>
      <c r="AA3311" s="2"/>
      <c r="AB3311" s="2"/>
      <c r="AC3311" s="2"/>
      <c r="AD3311" s="2"/>
      <c r="AE3311" s="2"/>
      <c r="AF3311" s="2"/>
      <c r="AG3311" s="2"/>
      <c r="AH3311" s="2"/>
      <c r="AI3311" s="2"/>
      <c r="AJ3311" s="2"/>
      <c r="AK3311" s="2"/>
      <c r="AL3311" s="2"/>
      <c r="AM3311" s="2"/>
      <c r="AN3311" s="2"/>
      <c r="AO3311" s="2"/>
      <c r="AP3311" s="2"/>
      <c r="AQ3311" s="2"/>
      <c r="AR3311" s="2"/>
      <c r="AS3311" s="2"/>
      <c r="AT3311" s="2"/>
      <c r="AU3311" s="2"/>
      <c r="AV3311" s="2"/>
      <c r="AW3311" s="2"/>
      <c r="AX3311" s="2"/>
      <c r="AY3311" s="2"/>
      <c r="AZ3311" s="2"/>
      <c r="BA3311" s="2"/>
      <c r="BB3311" s="2"/>
    </row>
    <row r="3312" ht="204.75" customHeight="1">
      <c r="A3312" s="1">
        <v>534.0</v>
      </c>
      <c r="B3312" s="2" t="s">
        <v>9906</v>
      </c>
      <c r="C3312" s="2">
        <f>IFERROR(__xludf.DUMMYFUNCTION("split(B3312,""_"")"),1810.0)</f>
        <v>1810</v>
      </c>
      <c r="D3312" s="2" t="str">
        <f>IFERROR(__xludf.DUMMYFUNCTION("""COMPUTED_VALUE"""),"NTV")</f>
        <v>NTV</v>
      </c>
      <c r="E3312" s="2" t="str">
        <f>IFERROR(__xludf.DUMMYFUNCTION("""COMPUTED_VALUE"""),"木23")</f>
        <v>木23</v>
      </c>
      <c r="F3312" s="2" t="s">
        <v>9907</v>
      </c>
      <c r="G3312" s="2" t="s">
        <v>9923</v>
      </c>
      <c r="H3312" s="1">
        <v>6.0</v>
      </c>
      <c r="J3312" s="1" t="s">
        <v>1435</v>
      </c>
      <c r="K3312" s="2" t="s">
        <v>9924</v>
      </c>
      <c r="L3312" s="11" t="s">
        <v>9925</v>
      </c>
      <c r="M3312" s="2" t="str">
        <f>IFERROR(__xludf.DUMMYFUNCTION("split(split(K3312,""【"",false),""公式LINE"",false)"),"勅使河原純矢（安藤政信）に、自分が藤崎紗羅であることを打ち明けた矢神亜梨沙（山口紗弥加）。そして亜梨沙は、父親の勅使河原友和（片岡鶴太郎）に復讐するつもりだと純矢に告げる。すると純矢は、思わぬ言葉を亜梨沙に返すのだった…。  一方『フローライト』の新社長になるジョーンＤ（マイケル富岡）は、社員に「私が社長になったら、タレントもマネージャーも整理をする」と言い放ち『フローライト』には不穏な空気が漂い…")</f>
        <v>勅使河原純矢（安藤政信）に、自分が藤崎紗羅であることを打ち明けた矢神亜梨沙（山口紗弥加）。そして亜梨沙は、父親の勅使河原友和（片岡鶴太郎）に復讐するつもりだと純矢に告げる。すると純矢は、思わぬ言葉を亜梨沙に返すのだった…。  一方『フローライト』の新社長になるジョーンＤ（マイケル富岡）は、社員に「私が社長になったら、タレントもマネージャーも整理をする」と言い放ち『フローライト』には不穏な空気が漂い…</v>
      </c>
      <c r="N3312" s="2"/>
      <c r="O3312" s="2"/>
      <c r="P3312" s="2"/>
      <c r="Q3312" s="2"/>
      <c r="R3312" s="2"/>
      <c r="S3312" s="2"/>
      <c r="T3312" s="2"/>
      <c r="U3312" s="2"/>
      <c r="V3312" s="2"/>
      <c r="W3312" s="2"/>
      <c r="X3312" s="2"/>
      <c r="Y3312" s="2"/>
      <c r="Z3312" s="2"/>
      <c r="AA3312" s="2"/>
      <c r="AB3312" s="2"/>
      <c r="AC3312" s="2"/>
      <c r="AD3312" s="2"/>
      <c r="AE3312" s="2"/>
      <c r="AF3312" s="2"/>
      <c r="AG3312" s="2"/>
      <c r="AH3312" s="2"/>
      <c r="AI3312" s="2"/>
      <c r="AJ3312" s="2"/>
      <c r="AK3312" s="2"/>
      <c r="AL3312" s="2"/>
      <c r="AM3312" s="2"/>
      <c r="AN3312" s="2"/>
      <c r="AO3312" s="2"/>
      <c r="AP3312" s="2"/>
      <c r="AQ3312" s="2"/>
      <c r="AR3312" s="2"/>
      <c r="AS3312" s="2"/>
      <c r="AT3312" s="2"/>
      <c r="AU3312" s="2"/>
      <c r="AV3312" s="2"/>
      <c r="AW3312" s="2"/>
      <c r="AX3312" s="2"/>
      <c r="AY3312" s="2"/>
      <c r="AZ3312" s="2"/>
      <c r="BA3312" s="2"/>
      <c r="BB3312" s="2"/>
    </row>
    <row r="3313" ht="204.75" customHeight="1">
      <c r="A3313" s="1">
        <v>535.0</v>
      </c>
      <c r="B3313" s="2" t="s">
        <v>9906</v>
      </c>
      <c r="C3313" s="2">
        <f>IFERROR(__xludf.DUMMYFUNCTION("split(B3313,""_"")"),1810.0)</f>
        <v>1810</v>
      </c>
      <c r="D3313" s="2" t="str">
        <f>IFERROR(__xludf.DUMMYFUNCTION("""COMPUTED_VALUE"""),"NTV")</f>
        <v>NTV</v>
      </c>
      <c r="E3313" s="2" t="str">
        <f>IFERROR(__xludf.DUMMYFUNCTION("""COMPUTED_VALUE"""),"木23")</f>
        <v>木23</v>
      </c>
      <c r="F3313" s="2" t="s">
        <v>9907</v>
      </c>
      <c r="G3313" s="2" t="s">
        <v>9926</v>
      </c>
      <c r="H3313" s="1">
        <v>7.0</v>
      </c>
      <c r="J3313" s="1" t="s">
        <v>1435</v>
      </c>
      <c r="K3313" s="2" t="s">
        <v>9927</v>
      </c>
      <c r="L3313" s="11" t="s">
        <v>9928</v>
      </c>
      <c r="M3313" s="2" t="str">
        <f>IFERROR(__xludf.DUMMYFUNCTION("split(split(K3313,""【"",false),""公式LINE"",false)"),"阿久津唯菜（松井玲奈）と勅使河原純矢（安藤政信）が婚約したというニュースが流れ、唖然とする矢神亜梨沙（山口紗弥加）。さらに亜梨沙は、唯菜の口から衝撃の事実を知らされて…。ショックを受ける亜梨沙の元に、純矢は話したいことがあると訪れる。  一方、巻田健吾（片桐仁）は亜梨沙に、藤崎紗羅であることを暴露されたくなければ大金を払えと脅しをかける。亜梨沙がその巻田のもとに駆け付けると、思わぬ事態が起きていて…")</f>
        <v>阿久津唯菜（松井玲奈）と勅使河原純矢（安藤政信）が婚約したというニュースが流れ、唖然とする矢神亜梨沙（山口紗弥加）。さらに亜梨沙は、唯菜の口から衝撃の事実を知らされて…。ショックを受ける亜梨沙の元に、純矢は話したいことがあると訪れる。  一方、巻田健吾（片桐仁）は亜梨沙に、藤崎紗羅であることを暴露されたくなければ大金を払えと脅しをかける。亜梨沙がその巻田のもとに駆け付けると、思わぬ事態が起きていて…</v>
      </c>
      <c r="N3313" s="2"/>
      <c r="O3313" s="2"/>
      <c r="P3313" s="2"/>
      <c r="Q3313" s="2"/>
      <c r="R3313" s="2"/>
      <c r="S3313" s="2"/>
      <c r="T3313" s="2"/>
      <c r="U3313" s="2"/>
      <c r="V3313" s="2"/>
      <c r="W3313" s="2"/>
      <c r="X3313" s="2"/>
      <c r="Y3313" s="2"/>
      <c r="Z3313" s="2"/>
      <c r="AA3313" s="2"/>
      <c r="AB3313" s="2"/>
      <c r="AC3313" s="2"/>
      <c r="AD3313" s="2"/>
      <c r="AE3313" s="2"/>
      <c r="AF3313" s="2"/>
      <c r="AG3313" s="2"/>
      <c r="AH3313" s="2"/>
      <c r="AI3313" s="2"/>
      <c r="AJ3313" s="2"/>
      <c r="AK3313" s="2"/>
      <c r="AL3313" s="2"/>
      <c r="AM3313" s="2"/>
      <c r="AN3313" s="2"/>
      <c r="AO3313" s="2"/>
      <c r="AP3313" s="2"/>
      <c r="AQ3313" s="2"/>
      <c r="AR3313" s="2"/>
      <c r="AS3313" s="2"/>
      <c r="AT3313" s="2"/>
      <c r="AU3313" s="2"/>
      <c r="AV3313" s="2"/>
      <c r="AW3313" s="2"/>
      <c r="AX3313" s="2"/>
      <c r="AY3313" s="2"/>
      <c r="AZ3313" s="2"/>
      <c r="BA3313" s="2"/>
      <c r="BB3313" s="2"/>
    </row>
    <row r="3314" ht="204.75" customHeight="1">
      <c r="A3314" s="1">
        <v>536.0</v>
      </c>
      <c r="B3314" s="2" t="s">
        <v>9906</v>
      </c>
      <c r="C3314" s="2">
        <f>IFERROR(__xludf.DUMMYFUNCTION("split(B3314,""_"")"),1810.0)</f>
        <v>1810</v>
      </c>
      <c r="D3314" s="2" t="str">
        <f>IFERROR(__xludf.DUMMYFUNCTION("""COMPUTED_VALUE"""),"NTV")</f>
        <v>NTV</v>
      </c>
      <c r="E3314" s="2" t="str">
        <f>IFERROR(__xludf.DUMMYFUNCTION("""COMPUTED_VALUE"""),"木23")</f>
        <v>木23</v>
      </c>
      <c r="F3314" s="2" t="s">
        <v>9907</v>
      </c>
      <c r="G3314" s="2" t="s">
        <v>9929</v>
      </c>
      <c r="H3314" s="1">
        <v>8.0</v>
      </c>
      <c r="J3314" s="1" t="s">
        <v>1435</v>
      </c>
      <c r="K3314" s="2" t="s">
        <v>9930</v>
      </c>
      <c r="L3314" s="11" t="s">
        <v>9931</v>
      </c>
      <c r="M3314" s="2" t="str">
        <f>IFERROR(__xludf.DUMMYFUNCTION("split(split(K3314,""【"",false),""公式LINE"",false)"),"阿久津唯菜（松井玲奈）は、マスコミの前で矢神亜梨沙（山口紗弥加）の正体が藤崎紗羅であり、勅使河原純矢（安藤政信）と唯菜との関係を逆恨みして唯菜に大けがを負わせたと言い放った。そのためマスコミに追われる亜梨沙は、責任を取りフローライトを辞職することに。  一方、水谷快人（若葉竜也）は姉の死に関わる重要な動画を手に入れ勅使河原友和（片岡鶴太郎）に突き付ける。そこに駆け付けた亜梨沙は衝撃の事態を目にして…")</f>
        <v>阿久津唯菜（松井玲奈）は、マスコミの前で矢神亜梨沙（山口紗弥加）の正体が藤崎紗羅であり、勅使河原純矢（安藤政信）と唯菜との関係を逆恨みして唯菜に大けがを負わせたと言い放った。そのためマスコミに追われる亜梨沙は、責任を取りフローライトを辞職することに。  一方、水谷快人（若葉竜也）は姉の死に関わる重要な動画を手に入れ勅使河原友和（片岡鶴太郎）に突き付ける。そこに駆け付けた亜梨沙は衝撃の事態を目にして…</v>
      </c>
      <c r="N3314" s="2"/>
      <c r="O3314" s="2"/>
      <c r="P3314" s="2"/>
      <c r="Q3314" s="2"/>
      <c r="R3314" s="2"/>
      <c r="S3314" s="2"/>
      <c r="T3314" s="2"/>
      <c r="U3314" s="2"/>
      <c r="V3314" s="2"/>
      <c r="W3314" s="2"/>
      <c r="X3314" s="2"/>
      <c r="Y3314" s="2"/>
      <c r="Z3314" s="2"/>
      <c r="AA3314" s="2"/>
      <c r="AB3314" s="2"/>
      <c r="AC3314" s="2"/>
      <c r="AD3314" s="2"/>
      <c r="AE3314" s="2"/>
      <c r="AF3314" s="2"/>
      <c r="AG3314" s="2"/>
      <c r="AH3314" s="2"/>
      <c r="AI3314" s="2"/>
      <c r="AJ3314" s="2"/>
      <c r="AK3314" s="2"/>
      <c r="AL3314" s="2"/>
      <c r="AM3314" s="2"/>
      <c r="AN3314" s="2"/>
      <c r="AO3314" s="2"/>
      <c r="AP3314" s="2"/>
      <c r="AQ3314" s="2"/>
      <c r="AR3314" s="2"/>
      <c r="AS3314" s="2"/>
      <c r="AT3314" s="2"/>
      <c r="AU3314" s="2"/>
      <c r="AV3314" s="2"/>
      <c r="AW3314" s="2"/>
      <c r="AX3314" s="2"/>
      <c r="AY3314" s="2"/>
      <c r="AZ3314" s="2"/>
      <c r="BA3314" s="2"/>
      <c r="BB3314" s="2"/>
    </row>
    <row r="3315" ht="204.75" customHeight="1">
      <c r="A3315" s="1">
        <v>537.0</v>
      </c>
      <c r="B3315" s="2" t="s">
        <v>9906</v>
      </c>
      <c r="C3315" s="2">
        <f>IFERROR(__xludf.DUMMYFUNCTION("split(B3315,""_"")"),1810.0)</f>
        <v>1810</v>
      </c>
      <c r="D3315" s="2" t="str">
        <f>IFERROR(__xludf.DUMMYFUNCTION("""COMPUTED_VALUE"""),"NTV")</f>
        <v>NTV</v>
      </c>
      <c r="E3315" s="2" t="str">
        <f>IFERROR(__xludf.DUMMYFUNCTION("""COMPUTED_VALUE"""),"木23")</f>
        <v>木23</v>
      </c>
      <c r="F3315" s="2" t="s">
        <v>9907</v>
      </c>
      <c r="G3315" s="2" t="s">
        <v>9932</v>
      </c>
      <c r="H3315" s="1">
        <v>9.0</v>
      </c>
      <c r="J3315" s="1" t="s">
        <v>1435</v>
      </c>
      <c r="K3315" s="2" t="s">
        <v>9933</v>
      </c>
      <c r="L3315" s="11" t="s">
        <v>9934</v>
      </c>
      <c r="M3315" s="2" t="str">
        <f>IFERROR(__xludf.DUMMYFUNCTION("split(split(K3315,""【"",false),""公式LINE"",false)"),"勅使河原友和（片岡鶴太郎）が自殺した。  矢神亜梨沙（山口紗弥加）が、勅使河原純矢（安藤政信）に、水谷快人（若葉竜也）の姉の死の真相を問いただすと、「そうだよ、俺が殺した」と認める純矢。そして、純矢は、さらなる衝撃の事実を亜梨沙に告げるのだった…。  その後、純矢は新たに事務所を立ち上げることになり、看板女優となる小嶋夏恋（小川紗良）に目をかける。そして亜梨沙は、真の復讐へと立ち上がるのだが…")</f>
        <v>勅使河原友和（片岡鶴太郎）が自殺した。  矢神亜梨沙（山口紗弥加）が、勅使河原純矢（安藤政信）に、水谷快人（若葉竜也）の姉の死の真相を問いただすと、「そうだよ、俺が殺した」と認める純矢。そして、純矢は、さらなる衝撃の事実を亜梨沙に告げるのだった…。  その後、純矢は新たに事務所を立ち上げることになり、看板女優となる小嶋夏恋（小川紗良）に目をかける。そして亜梨沙は、真の復讐へと立ち上がるのだが…</v>
      </c>
      <c r="N3315" s="2"/>
      <c r="O3315" s="2"/>
      <c r="P3315" s="2"/>
      <c r="Q3315" s="2"/>
      <c r="R3315" s="2"/>
      <c r="S3315" s="2"/>
      <c r="T3315" s="2"/>
      <c r="U3315" s="2"/>
      <c r="V3315" s="2"/>
      <c r="W3315" s="2"/>
      <c r="X3315" s="2"/>
      <c r="Y3315" s="2"/>
      <c r="Z3315" s="2"/>
      <c r="AA3315" s="2"/>
      <c r="AB3315" s="2"/>
      <c r="AC3315" s="2"/>
      <c r="AD3315" s="2"/>
      <c r="AE3315" s="2"/>
      <c r="AF3315" s="2"/>
      <c r="AG3315" s="2"/>
      <c r="AH3315" s="2"/>
      <c r="AI3315" s="2"/>
      <c r="AJ3315" s="2"/>
      <c r="AK3315" s="2"/>
      <c r="AL3315" s="2"/>
      <c r="AM3315" s="2"/>
      <c r="AN3315" s="2"/>
      <c r="AO3315" s="2"/>
      <c r="AP3315" s="2"/>
      <c r="AQ3315" s="2"/>
      <c r="AR3315" s="2"/>
      <c r="AS3315" s="2"/>
      <c r="AT3315" s="2"/>
      <c r="AU3315" s="2"/>
      <c r="AV3315" s="2"/>
      <c r="AW3315" s="2"/>
      <c r="AX3315" s="2"/>
      <c r="AY3315" s="2"/>
      <c r="AZ3315" s="2"/>
      <c r="BA3315" s="2"/>
      <c r="BB3315" s="2"/>
    </row>
    <row r="3316" ht="204.75" customHeight="1">
      <c r="A3316" s="1">
        <v>556.0</v>
      </c>
      <c r="B3316" s="2" t="s">
        <v>9935</v>
      </c>
      <c r="C3316" s="2">
        <f>IFERROR(__xludf.DUMMYFUNCTION("split(B3316,""_"")"),1810.0)</f>
        <v>1810</v>
      </c>
      <c r="D3316" s="2" t="str">
        <f>IFERROR(__xludf.DUMMYFUNCTION("""COMPUTED_VALUE"""),"NTV")</f>
        <v>NTV</v>
      </c>
      <c r="E3316" s="2" t="str">
        <f>IFERROR(__xludf.DUMMYFUNCTION("""COMPUTED_VALUE"""),"土22")</f>
        <v>土22</v>
      </c>
      <c r="F3316" s="2" t="s">
        <v>9936</v>
      </c>
      <c r="G3316" s="2" t="s">
        <v>9937</v>
      </c>
      <c r="H3316" s="1">
        <v>1.0</v>
      </c>
      <c r="I3316" s="1" t="s">
        <v>3</v>
      </c>
      <c r="J3316" s="1" t="s">
        <v>82</v>
      </c>
      <c r="K3316" s="2" t="s">
        <v>9938</v>
      </c>
      <c r="L3316" s="11" t="s">
        <v>9939</v>
      </c>
      <c r="M3316" s="2" t="str">
        <f>IFERROR(__xludf.DUMMYFUNCTION("split(split(K3316,""【"",false),""公式LINE"",false)"),"イマドキの刑事・斑目勉（中島健人）と伝説の大泥棒・煙鴉（遠藤憲一）がなぜか名コンビを組んだ！？ 初戦の相手は、プライドの高い稀代の空き巣「キツツキのマサ」（高橋克実）。捜査三課を舞台にプロvsプロの対決の幕が上がる！騙し合いあり、裏切りあり、どんでん返しありの全く新しい刑事エンターテインメントドラマの誕生！ 煙鴉を狙う刑事皇子山(中村倫也)!密かに13係の結成を目論む鯨岡(稲森いずみ)の真意は!?")</f>
        <v>イマドキの刑事・斑目勉（中島健人）と伝説の大泥棒・煙鴉（遠藤憲一）がなぜか名コンビを組んだ！？ 初戦の相手は、プライドの高い稀代の空き巣「キツツキのマサ」（高橋克実）。捜査三課を舞台にプロvsプロの対決の幕が上がる！騙し合いあり、裏切りあり、どんでん返しありの全く新しい刑事エンターテインメントドラマの誕生！ 煙鴉を狙う刑事皇子山(中村倫也)!密かに13係の結成を目論む鯨岡(稲森いずみ)の真意は!?</v>
      </c>
      <c r="N3316" s="2"/>
      <c r="O3316" s="2"/>
      <c r="P3316" s="2"/>
      <c r="Q3316" s="2"/>
      <c r="R3316" s="2"/>
      <c r="S3316" s="2"/>
      <c r="T3316" s="2"/>
      <c r="U3316" s="2"/>
      <c r="V3316" s="2"/>
      <c r="W3316" s="2"/>
      <c r="X3316" s="2"/>
      <c r="Y3316" s="2"/>
      <c r="Z3316" s="2"/>
      <c r="AA3316" s="2"/>
      <c r="AB3316" s="2"/>
      <c r="AC3316" s="2"/>
      <c r="AD3316" s="2"/>
      <c r="AE3316" s="2"/>
      <c r="AF3316" s="2"/>
      <c r="AG3316" s="2"/>
      <c r="AH3316" s="2"/>
      <c r="AI3316" s="2"/>
      <c r="AJ3316" s="2"/>
      <c r="AK3316" s="2"/>
      <c r="AL3316" s="2"/>
      <c r="AM3316" s="2"/>
      <c r="AN3316" s="2"/>
      <c r="AO3316" s="2"/>
      <c r="AP3316" s="2"/>
      <c r="AQ3316" s="2"/>
      <c r="AR3316" s="2"/>
      <c r="AS3316" s="2"/>
      <c r="AT3316" s="2"/>
      <c r="AU3316" s="2"/>
      <c r="AV3316" s="2"/>
      <c r="AW3316" s="2"/>
      <c r="AX3316" s="2"/>
      <c r="AY3316" s="2"/>
      <c r="AZ3316" s="2"/>
      <c r="BA3316" s="2"/>
      <c r="BB3316" s="2"/>
    </row>
    <row r="3317" ht="204.75" customHeight="1">
      <c r="A3317" s="1">
        <v>557.0</v>
      </c>
      <c r="B3317" s="2" t="s">
        <v>9935</v>
      </c>
      <c r="C3317" s="2">
        <f>IFERROR(__xludf.DUMMYFUNCTION("split(B3317,""_"")"),1810.0)</f>
        <v>1810</v>
      </c>
      <c r="D3317" s="2" t="str">
        <f>IFERROR(__xludf.DUMMYFUNCTION("""COMPUTED_VALUE"""),"NTV")</f>
        <v>NTV</v>
      </c>
      <c r="E3317" s="2" t="str">
        <f>IFERROR(__xludf.DUMMYFUNCTION("""COMPUTED_VALUE"""),"土22")</f>
        <v>土22</v>
      </c>
      <c r="F3317" s="2" t="s">
        <v>9936</v>
      </c>
      <c r="G3317" s="2" t="s">
        <v>9940</v>
      </c>
      <c r="H3317" s="1">
        <v>2.0</v>
      </c>
      <c r="I3317" s="1" t="s">
        <v>7</v>
      </c>
      <c r="J3317" s="1" t="s">
        <v>86</v>
      </c>
      <c r="K3317" s="2" t="s">
        <v>9941</v>
      </c>
      <c r="L3317" s="11" t="s">
        <v>9942</v>
      </c>
      <c r="M3317" s="2" t="str">
        <f>IFERROR(__xludf.DUMMYFUNCTION("split(split(K3317,""【"",false),""公式LINE"",false)"),"刑事・斑目（中島健人）と大泥棒・煙鴉（遠藤憲一）の異色コンビ！次の相手は忍び込みのプロ「黒蛇」大堂吾郎(笹野高史)!13係結成で個性派揃いの刑事たちの捜査も開始!音楽隊出身美希(石橋杏奈)、捜査一課出身皇子山(中村倫也)、スリ捜査出身左門(板尾創路)らを集めた鯨岡（稲森いずみ）の真意は！？執念の張り込みで次の犯行を暴け!警視庁vs県警?警察は数字の取り合い、奪い合い！？泥棒の余罪で検挙数を上げろ!")</f>
        <v>刑事・斑目（中島健人）と大泥棒・煙鴉（遠藤憲一）の異色コンビ！次の相手は忍び込みのプロ「黒蛇」大堂吾郎(笹野高史)!13係結成で個性派揃いの刑事たちの捜査も開始!音楽隊出身美希(石橋杏奈)、捜査一課出身皇子山(中村倫也)、スリ捜査出身左門(板尾創路)らを集めた鯨岡（稲森いずみ）の真意は！？執念の張り込みで次の犯行を暴け!警視庁vs県警?警察は数字の取り合い、奪い合い！？泥棒の余罪で検挙数を上げろ!</v>
      </c>
      <c r="N3317" s="2"/>
      <c r="O3317" s="2"/>
      <c r="P3317" s="2"/>
      <c r="Q3317" s="2"/>
      <c r="R3317" s="2"/>
      <c r="S3317" s="2"/>
      <c r="T3317" s="2"/>
      <c r="U3317" s="2"/>
      <c r="V3317" s="2"/>
      <c r="W3317" s="2"/>
      <c r="X3317" s="2"/>
      <c r="Y3317" s="2"/>
      <c r="Z3317" s="2"/>
      <c r="AA3317" s="2"/>
      <c r="AB3317" s="2"/>
      <c r="AC3317" s="2"/>
      <c r="AD3317" s="2"/>
      <c r="AE3317" s="2"/>
      <c r="AF3317" s="2"/>
      <c r="AG3317" s="2"/>
      <c r="AH3317" s="2"/>
      <c r="AI3317" s="2"/>
      <c r="AJ3317" s="2"/>
      <c r="AK3317" s="2"/>
      <c r="AL3317" s="2"/>
      <c r="AM3317" s="2"/>
      <c r="AN3317" s="2"/>
      <c r="AO3317" s="2"/>
      <c r="AP3317" s="2"/>
      <c r="AQ3317" s="2"/>
      <c r="AR3317" s="2"/>
      <c r="AS3317" s="2"/>
      <c r="AT3317" s="2"/>
      <c r="AU3317" s="2"/>
      <c r="AV3317" s="2"/>
      <c r="AW3317" s="2"/>
      <c r="AX3317" s="2"/>
      <c r="AY3317" s="2"/>
      <c r="AZ3317" s="2"/>
      <c r="BA3317" s="2"/>
      <c r="BB3317" s="2"/>
    </row>
    <row r="3318" ht="204.75" customHeight="1">
      <c r="A3318" s="1">
        <v>558.0</v>
      </c>
      <c r="B3318" s="2" t="s">
        <v>9935</v>
      </c>
      <c r="C3318" s="2">
        <f>IFERROR(__xludf.DUMMYFUNCTION("split(B3318,""_"")"),1810.0)</f>
        <v>1810</v>
      </c>
      <c r="D3318" s="2" t="str">
        <f>IFERROR(__xludf.DUMMYFUNCTION("""COMPUTED_VALUE"""),"NTV")</f>
        <v>NTV</v>
      </c>
      <c r="E3318" s="2" t="str">
        <f>IFERROR(__xludf.DUMMYFUNCTION("""COMPUTED_VALUE"""),"土22")</f>
        <v>土22</v>
      </c>
      <c r="F3318" s="2" t="s">
        <v>9936</v>
      </c>
      <c r="G3318" s="2" t="s">
        <v>9943</v>
      </c>
      <c r="H3318" s="1">
        <v>3.0</v>
      </c>
      <c r="I3318" s="1" t="s">
        <v>10</v>
      </c>
      <c r="J3318" s="1" t="s">
        <v>86</v>
      </c>
      <c r="K3318" s="2" t="s">
        <v>9944</v>
      </c>
      <c r="L3318" s="11" t="s">
        <v>9945</v>
      </c>
      <c r="M3318" s="2" t="str">
        <f>IFERROR(__xludf.DUMMYFUNCTION("split(split(K3318,""【"",false),""公式LINE"",false)"),"刑事・斑目（中島健人）と大泥棒・煙鴉（遠藤憲一）の異色コンビ!!斑目が潜入捜査で大ピンチ!?13係の次なる事件は新手窃盗団による金庫破り！最新技術を駆使した手口に鯨岡（稲森いずみ）はお手上げ宣言!?煙鴉の助言で斑目が天才ハッカー順平（寛一郎）に急接近!!潜入捜査の急展開に13係総力戦!!美希(石橋杏奈)も特技発揮!?皇子山(中村倫也)が頼った意外な相手とは？孤独なハッカーの心の叫びを聞け!!")</f>
        <v>刑事・斑目（中島健人）と大泥棒・煙鴉（遠藤憲一）の異色コンビ!!斑目が潜入捜査で大ピンチ!?13係の次なる事件は新手窃盗団による金庫破り！最新技術を駆使した手口に鯨岡（稲森いずみ）はお手上げ宣言!?煙鴉の助言で斑目が天才ハッカー順平（寛一郎）に急接近!!潜入捜査の急展開に13係総力戦!!美希(石橋杏奈)も特技発揮!?皇子山(中村倫也)が頼った意外な相手とは？孤独なハッカーの心の叫びを聞け!!</v>
      </c>
      <c r="N3318" s="2"/>
      <c r="O3318" s="2"/>
      <c r="P3318" s="2"/>
      <c r="Q3318" s="2"/>
      <c r="R3318" s="2"/>
      <c r="S3318" s="2"/>
      <c r="T3318" s="2"/>
      <c r="U3318" s="2"/>
      <c r="V3318" s="2"/>
      <c r="W3318" s="2"/>
      <c r="X3318" s="2"/>
      <c r="Y3318" s="2"/>
      <c r="Z3318" s="2"/>
      <c r="AA3318" s="2"/>
      <c r="AB3318" s="2"/>
      <c r="AC3318" s="2"/>
      <c r="AD3318" s="2"/>
      <c r="AE3318" s="2"/>
      <c r="AF3318" s="2"/>
      <c r="AG3318" s="2"/>
      <c r="AH3318" s="2"/>
      <c r="AI3318" s="2"/>
      <c r="AJ3318" s="2"/>
      <c r="AK3318" s="2"/>
      <c r="AL3318" s="2"/>
      <c r="AM3318" s="2"/>
      <c r="AN3318" s="2"/>
      <c r="AO3318" s="2"/>
      <c r="AP3318" s="2"/>
      <c r="AQ3318" s="2"/>
      <c r="AR3318" s="2"/>
      <c r="AS3318" s="2"/>
      <c r="AT3318" s="2"/>
      <c r="AU3318" s="2"/>
      <c r="AV3318" s="2"/>
      <c r="AW3318" s="2"/>
      <c r="AX3318" s="2"/>
      <c r="AY3318" s="2"/>
      <c r="AZ3318" s="2"/>
      <c r="BA3318" s="2"/>
      <c r="BB3318" s="2"/>
    </row>
    <row r="3319" ht="204.75" customHeight="1">
      <c r="A3319" s="1">
        <v>559.0</v>
      </c>
      <c r="B3319" s="2" t="s">
        <v>9935</v>
      </c>
      <c r="C3319" s="2">
        <f>IFERROR(__xludf.DUMMYFUNCTION("split(B3319,""_"")"),1810.0)</f>
        <v>1810</v>
      </c>
      <c r="D3319" s="2" t="str">
        <f>IFERROR(__xludf.DUMMYFUNCTION("""COMPUTED_VALUE"""),"NTV")</f>
        <v>NTV</v>
      </c>
      <c r="E3319" s="2" t="str">
        <f>IFERROR(__xludf.DUMMYFUNCTION("""COMPUTED_VALUE"""),"土22")</f>
        <v>土22</v>
      </c>
      <c r="F3319" s="2" t="s">
        <v>9936</v>
      </c>
      <c r="G3319" s="2" t="s">
        <v>9946</v>
      </c>
      <c r="H3319" s="1">
        <v>4.0</v>
      </c>
      <c r="I3319" s="1" t="s">
        <v>14</v>
      </c>
      <c r="J3319" s="1" t="s">
        <v>86</v>
      </c>
      <c r="K3319" s="2" t="s">
        <v>9947</v>
      </c>
      <c r="L3319" s="11" t="s">
        <v>9948</v>
      </c>
      <c r="M3319" s="2" t="str">
        <f>IFERROR(__xludf.DUMMYFUNCTION("split(split(K3319,""【"",false),""公式LINE"",false)"),"刑事・斑目（中島健人）と大泥棒・煙鴉（遠藤憲一）の異色コンビ!!斑目が美希(石橋杏奈)と左門(板尾創路)に弟子入り?元スリ専門刑事”モサ”に学ぶ刑事の道とは!?伝説の最強スリ「機械屋銀次」こと大文(杉本哲太)の復帰に左門の静かな闘志が燃える!!凸凹13係は鯨岡(稲森いずみ)の珍作戦で三課内検挙数バトル!?全国から終結したスリvs刑事の最終決戦で煙鴉に近付く皇子山（中村倫也）に史上最大の危機が!?")</f>
        <v>刑事・斑目（中島健人）と大泥棒・煙鴉（遠藤憲一）の異色コンビ!!斑目が美希(石橋杏奈)と左門(板尾創路)に弟子入り?元スリ専門刑事”モサ”に学ぶ刑事の道とは!?伝説の最強スリ「機械屋銀次」こと大文(杉本哲太)の復帰に左門の静かな闘志が燃える!!凸凹13係は鯨岡(稲森いずみ)の珍作戦で三課内検挙数バトル!?全国から終結したスリvs刑事の最終決戦で煙鴉に近付く皇子山（中村倫也）に史上最大の危機が!?</v>
      </c>
      <c r="N3319" s="2"/>
      <c r="O3319" s="2"/>
      <c r="P3319" s="2"/>
      <c r="Q3319" s="2"/>
      <c r="R3319" s="2"/>
      <c r="S3319" s="2"/>
      <c r="T3319" s="2"/>
      <c r="U3319" s="2"/>
      <c r="V3319" s="2"/>
      <c r="W3319" s="2"/>
      <c r="X3319" s="2"/>
      <c r="Y3319" s="2"/>
      <c r="Z3319" s="2"/>
      <c r="AA3319" s="2"/>
      <c r="AB3319" s="2"/>
      <c r="AC3319" s="2"/>
      <c r="AD3319" s="2"/>
      <c r="AE3319" s="2"/>
      <c r="AF3319" s="2"/>
      <c r="AG3319" s="2"/>
      <c r="AH3319" s="2"/>
      <c r="AI3319" s="2"/>
      <c r="AJ3319" s="2"/>
      <c r="AK3319" s="2"/>
      <c r="AL3319" s="2"/>
      <c r="AM3319" s="2"/>
      <c r="AN3319" s="2"/>
      <c r="AO3319" s="2"/>
      <c r="AP3319" s="2"/>
      <c r="AQ3319" s="2"/>
      <c r="AR3319" s="2"/>
      <c r="AS3319" s="2"/>
      <c r="AT3319" s="2"/>
      <c r="AU3319" s="2"/>
      <c r="AV3319" s="2"/>
      <c r="AW3319" s="2"/>
      <c r="AX3319" s="2"/>
      <c r="AY3319" s="2"/>
      <c r="AZ3319" s="2"/>
      <c r="BA3319" s="2"/>
      <c r="BB3319" s="2"/>
    </row>
    <row r="3320" ht="204.75" customHeight="1">
      <c r="A3320" s="1">
        <v>560.0</v>
      </c>
      <c r="B3320" s="2" t="s">
        <v>9935</v>
      </c>
      <c r="C3320" s="2">
        <f>IFERROR(__xludf.DUMMYFUNCTION("split(B3320,""_"")"),1810.0)</f>
        <v>1810</v>
      </c>
      <c r="D3320" s="2" t="str">
        <f>IFERROR(__xludf.DUMMYFUNCTION("""COMPUTED_VALUE"""),"NTV")</f>
        <v>NTV</v>
      </c>
      <c r="E3320" s="2" t="str">
        <f>IFERROR(__xludf.DUMMYFUNCTION("""COMPUTED_VALUE"""),"土22")</f>
        <v>土22</v>
      </c>
      <c r="F3320" s="2" t="s">
        <v>9936</v>
      </c>
      <c r="G3320" s="2" t="s">
        <v>9949</v>
      </c>
      <c r="H3320" s="1">
        <v>5.0</v>
      </c>
      <c r="I3320" s="1" t="s">
        <v>17</v>
      </c>
      <c r="J3320" s="1" t="s">
        <v>86</v>
      </c>
      <c r="K3320" s="2" t="s">
        <v>9950</v>
      </c>
      <c r="L3320" s="11" t="s">
        <v>9951</v>
      </c>
      <c r="M3320" s="2" t="str">
        <f>IFERROR(__xludf.DUMMYFUNCTION("split(split(K3320,""【"",false),""公式LINE"",false)"),"刑事・斑目（中島健人）と大泥棒・煙鴉（遠藤憲一）の秘密バディ!皇子山(中村倫也)が煙鴉を尾行した先々で殺人事件！煙鴉に殺人容疑でバディ最大の危機!?鯨岡(稲森いずみ)のノルマで13係は必死の捜査!所轄と本庁の意外な関係。斑目は孤独な空き巣”白昼の蝙蝠”東村（三遊亭好楽）と必要以上に仲良くなり。皇子山も美希（石橋杏奈）に関する事件の容疑者に！斑目の直感で炙り出された意外すぎる真実でまさかの結末に!")</f>
        <v>刑事・斑目（中島健人）と大泥棒・煙鴉（遠藤憲一）の秘密バディ!皇子山(中村倫也)が煙鴉を尾行した先々で殺人事件！煙鴉に殺人容疑でバディ最大の危機!?鯨岡(稲森いずみ)のノルマで13係は必死の捜査!所轄と本庁の意外な関係。斑目は孤独な空き巣”白昼の蝙蝠”東村（三遊亭好楽）と必要以上に仲良くなり。皇子山も美希（石橋杏奈）に関する事件の容疑者に！斑目の直感で炙り出された意外すぎる真実でまさかの結末に!</v>
      </c>
      <c r="N3320" s="2"/>
      <c r="O3320" s="2"/>
      <c r="P3320" s="2"/>
      <c r="Q3320" s="2"/>
      <c r="R3320" s="2"/>
      <c r="S3320" s="2"/>
      <c r="T3320" s="2"/>
      <c r="U3320" s="2"/>
      <c r="V3320" s="2"/>
      <c r="W3320" s="2"/>
      <c r="X3320" s="2"/>
      <c r="Y3320" s="2"/>
      <c r="Z3320" s="2"/>
      <c r="AA3320" s="2"/>
      <c r="AB3320" s="2"/>
      <c r="AC3320" s="2"/>
      <c r="AD3320" s="2"/>
      <c r="AE3320" s="2"/>
      <c r="AF3320" s="2"/>
      <c r="AG3320" s="2"/>
      <c r="AH3320" s="2"/>
      <c r="AI3320" s="2"/>
      <c r="AJ3320" s="2"/>
      <c r="AK3320" s="2"/>
      <c r="AL3320" s="2"/>
      <c r="AM3320" s="2"/>
      <c r="AN3320" s="2"/>
      <c r="AO3320" s="2"/>
      <c r="AP3320" s="2"/>
      <c r="AQ3320" s="2"/>
      <c r="AR3320" s="2"/>
      <c r="AS3320" s="2"/>
      <c r="AT3320" s="2"/>
      <c r="AU3320" s="2"/>
      <c r="AV3320" s="2"/>
      <c r="AW3320" s="2"/>
      <c r="AX3320" s="2"/>
      <c r="AY3320" s="2"/>
      <c r="AZ3320" s="2"/>
      <c r="BA3320" s="2"/>
      <c r="BB3320" s="2"/>
    </row>
    <row r="3321" ht="204.75" customHeight="1">
      <c r="A3321" s="1">
        <v>561.0</v>
      </c>
      <c r="B3321" s="2" t="s">
        <v>9935</v>
      </c>
      <c r="C3321" s="2">
        <f>IFERROR(__xludf.DUMMYFUNCTION("split(B3321,""_"")"),1810.0)</f>
        <v>1810</v>
      </c>
      <c r="D3321" s="2" t="str">
        <f>IFERROR(__xludf.DUMMYFUNCTION("""COMPUTED_VALUE"""),"NTV")</f>
        <v>NTV</v>
      </c>
      <c r="E3321" s="2" t="str">
        <f>IFERROR(__xludf.DUMMYFUNCTION("""COMPUTED_VALUE"""),"土22")</f>
        <v>土22</v>
      </c>
      <c r="F3321" s="2" t="s">
        <v>9936</v>
      </c>
      <c r="G3321" s="2" t="s">
        <v>9952</v>
      </c>
      <c r="H3321" s="1">
        <v>6.0</v>
      </c>
      <c r="I3321" s="1" t="s">
        <v>21</v>
      </c>
      <c r="J3321" s="1" t="s">
        <v>86</v>
      </c>
      <c r="K3321" s="2" t="s">
        <v>9953</v>
      </c>
      <c r="L3321" s="11" t="s">
        <v>9954</v>
      </c>
      <c r="M3321" s="2" t="str">
        <f>IFERROR(__xludf.DUMMYFUNCTION("split(split(K3321,""【"",false),""公式LINE"",false)"),"主婦は大泥棒!?不敵に笑う女性窃盗犯鳥飼和子(余 貴美子)と刑事たちの旅の行方は？万引き主婦が総額1500万円の窃盗の余罪を自供、それは”無錠の空き”の犯行と重なる。三課が真相を確かめるべく被疑者と犯行現場に検証に向かう。皇子山（中村倫也）と瑤子（江口のりこ）の厳しい追及をよそに和子は新米刑事斑目（中島健人）と美希（石橋杏奈）を手玉にとる。斑目と美希の直感で判明した本当の家族愛と衝撃の結末とは!?")</f>
        <v>主婦は大泥棒!?不敵に笑う女性窃盗犯鳥飼和子(余 貴美子)と刑事たちの旅の行方は？万引き主婦が総額1500万円の窃盗の余罪を自供、それは”無錠の空き”の犯行と重なる。三課が真相を確かめるべく被疑者と犯行現場に検証に向かう。皇子山（中村倫也）と瑤子（江口のりこ）の厳しい追及をよそに和子は新米刑事斑目（中島健人）と美希（石橋杏奈）を手玉にとる。斑目と美希の直感で判明した本当の家族愛と衝撃の結末とは!?</v>
      </c>
      <c r="N3321" s="2"/>
      <c r="O3321" s="2"/>
      <c r="P3321" s="2"/>
      <c r="Q3321" s="2"/>
      <c r="R3321" s="2"/>
      <c r="S3321" s="2"/>
      <c r="T3321" s="2"/>
      <c r="U3321" s="2"/>
      <c r="V3321" s="2"/>
      <c r="W3321" s="2"/>
      <c r="X3321" s="2"/>
      <c r="Y3321" s="2"/>
      <c r="Z3321" s="2"/>
      <c r="AA3321" s="2"/>
      <c r="AB3321" s="2"/>
      <c r="AC3321" s="2"/>
      <c r="AD3321" s="2"/>
      <c r="AE3321" s="2"/>
      <c r="AF3321" s="2"/>
      <c r="AG3321" s="2"/>
      <c r="AH3321" s="2"/>
      <c r="AI3321" s="2"/>
      <c r="AJ3321" s="2"/>
      <c r="AK3321" s="2"/>
      <c r="AL3321" s="2"/>
      <c r="AM3321" s="2"/>
      <c r="AN3321" s="2"/>
      <c r="AO3321" s="2"/>
      <c r="AP3321" s="2"/>
      <c r="AQ3321" s="2"/>
      <c r="AR3321" s="2"/>
      <c r="AS3321" s="2"/>
      <c r="AT3321" s="2"/>
      <c r="AU3321" s="2"/>
      <c r="AV3321" s="2"/>
      <c r="AW3321" s="2"/>
      <c r="AX3321" s="2"/>
      <c r="AY3321" s="2"/>
      <c r="AZ3321" s="2"/>
      <c r="BA3321" s="2"/>
      <c r="BB3321" s="2"/>
    </row>
    <row r="3322" ht="204.75" customHeight="1">
      <c r="A3322" s="1">
        <v>562.0</v>
      </c>
      <c r="B3322" s="2" t="s">
        <v>9935</v>
      </c>
      <c r="C3322" s="2">
        <f>IFERROR(__xludf.DUMMYFUNCTION("split(B3322,""_"")"),1810.0)</f>
        <v>1810</v>
      </c>
      <c r="D3322" s="2" t="str">
        <f>IFERROR(__xludf.DUMMYFUNCTION("""COMPUTED_VALUE"""),"NTV")</f>
        <v>NTV</v>
      </c>
      <c r="E3322" s="2" t="str">
        <f>IFERROR(__xludf.DUMMYFUNCTION("""COMPUTED_VALUE"""),"土22")</f>
        <v>土22</v>
      </c>
      <c r="F3322" s="2" t="s">
        <v>9936</v>
      </c>
      <c r="G3322" s="2" t="s">
        <v>9955</v>
      </c>
      <c r="H3322" s="1">
        <v>7.0</v>
      </c>
      <c r="I3322" s="1" t="s">
        <v>25</v>
      </c>
      <c r="J3322" s="1" t="s">
        <v>86</v>
      </c>
      <c r="K3322" s="2" t="s">
        <v>9956</v>
      </c>
      <c r="L3322" s="11" t="s">
        <v>9957</v>
      </c>
      <c r="M3322" s="2" t="str">
        <f>IFERROR(__xludf.DUMMYFUNCTION("split(split(K3322,""【"",false),""公式LINE"",false)"),"白い巨塔に潜入捜査！大学病院に出没する窃盗犯を捕まえるべく斑目（中島健人）たち１３係の刑事たちが変装し奮闘！リーダーは変装の達人瑤子（江口のりこ)!研修医美希(石橋杏奈)にナース斑目!患者として潜入した左門（板尾創路）の秘密が発覚！皇子山（中村倫也）は単独で煙鴉（遠藤憲一）の正体を追う！鯨岡（稲森いずみ）の思惑も見え隠れ。意外な真実と医療の闇が暴かれる！そして刑事×泥棒の最強バディ解消の危機!?")</f>
        <v>白い巨塔に潜入捜査！大学病院に出没する窃盗犯を捕まえるべく斑目（中島健人）たち１３係の刑事たちが変装し奮闘！リーダーは変装の達人瑤子（江口のりこ)!研修医美希(石橋杏奈)にナース斑目!患者として潜入した左門（板尾創路）の秘密が発覚！皇子山（中村倫也）は単独で煙鴉（遠藤憲一）の正体を追う！鯨岡（稲森いずみ）の思惑も見え隠れ。意外な真実と医療の闇が暴かれる！そして刑事×泥棒の最強バディ解消の危機!?</v>
      </c>
      <c r="N3322" s="2"/>
      <c r="O3322" s="2"/>
      <c r="P3322" s="2"/>
      <c r="Q3322" s="2"/>
      <c r="R3322" s="2"/>
      <c r="S3322" s="2"/>
      <c r="T3322" s="2"/>
      <c r="U3322" s="2"/>
      <c r="V3322" s="2"/>
      <c r="W3322" s="2"/>
      <c r="X3322" s="2"/>
      <c r="Y3322" s="2"/>
      <c r="Z3322" s="2"/>
      <c r="AA3322" s="2"/>
      <c r="AB3322" s="2"/>
      <c r="AC3322" s="2"/>
      <c r="AD3322" s="2"/>
      <c r="AE3322" s="2"/>
      <c r="AF3322" s="2"/>
      <c r="AG3322" s="2"/>
      <c r="AH3322" s="2"/>
      <c r="AI3322" s="2"/>
      <c r="AJ3322" s="2"/>
      <c r="AK3322" s="2"/>
      <c r="AL3322" s="2"/>
      <c r="AM3322" s="2"/>
      <c r="AN3322" s="2"/>
      <c r="AO3322" s="2"/>
      <c r="AP3322" s="2"/>
      <c r="AQ3322" s="2"/>
      <c r="AR3322" s="2"/>
      <c r="AS3322" s="2"/>
      <c r="AT3322" s="2"/>
      <c r="AU3322" s="2"/>
      <c r="AV3322" s="2"/>
      <c r="AW3322" s="2"/>
      <c r="AX3322" s="2"/>
      <c r="AY3322" s="2"/>
      <c r="AZ3322" s="2"/>
      <c r="BA3322" s="2"/>
      <c r="BB3322" s="2"/>
    </row>
    <row r="3323" ht="204.75" customHeight="1">
      <c r="A3323" s="1">
        <v>563.0</v>
      </c>
      <c r="B3323" s="2" t="s">
        <v>9935</v>
      </c>
      <c r="C3323" s="2">
        <f>IFERROR(__xludf.DUMMYFUNCTION("split(B3323,""_"")"),1810.0)</f>
        <v>1810</v>
      </c>
      <c r="D3323" s="2" t="str">
        <f>IFERROR(__xludf.DUMMYFUNCTION("""COMPUTED_VALUE"""),"NTV")</f>
        <v>NTV</v>
      </c>
      <c r="E3323" s="2" t="str">
        <f>IFERROR(__xludf.DUMMYFUNCTION("""COMPUTED_VALUE"""),"土22")</f>
        <v>土22</v>
      </c>
      <c r="F3323" s="2" t="s">
        <v>9936</v>
      </c>
      <c r="G3323" s="2" t="s">
        <v>9958</v>
      </c>
      <c r="H3323" s="1">
        <v>8.0</v>
      </c>
      <c r="I3323" s="1" t="s">
        <v>29</v>
      </c>
      <c r="J3323" s="1" t="s">
        <v>86</v>
      </c>
      <c r="K3323" s="2" t="s">
        <v>9959</v>
      </c>
      <c r="L3323" s="11" t="s">
        <v>9960</v>
      </c>
      <c r="M3323" s="2" t="str">
        <f>IFERROR(__xludf.DUMMYFUNCTION("split(split(K3323,""【"",false),""公式LINE"",false)"),"自称・煙鴉(大友康平)が出頭する。相棒の偽物登場(?)に戸惑う斑目(中島健人)。煙鴉(遠藤憲一)も真実の追求に動き出す。とんでもない秘密の暴露に翻弄される13係!!ひるむ皇子山(中村倫也)、壊れる美希(石橋杏奈)、果たして知りすぎた男は何者なのか？真の煙鴉は誰なのか!?真実が取り戻す家族の絆!鯨岡(稲森いずみ)が13係を集めた本当の目的がついに明らかに!?最終章へ向けた怒涛の展開が待ち受ける!!")</f>
        <v>自称・煙鴉(大友康平)が出頭する。相棒の偽物登場(?)に戸惑う斑目(中島健人)。煙鴉(遠藤憲一)も真実の追求に動き出す。とんでもない秘密の暴露に翻弄される13係!!ひるむ皇子山(中村倫也)、壊れる美希(石橋杏奈)、果たして知りすぎた男は何者なのか？真の煙鴉は誰なのか!?真実が取り戻す家族の絆!鯨岡(稲森いずみ)が13係を集めた本当の目的がついに明らかに!?最終章へ向けた怒涛の展開が待ち受ける!!</v>
      </c>
      <c r="N3323" s="2"/>
      <c r="O3323" s="2"/>
      <c r="P3323" s="2"/>
      <c r="Q3323" s="2"/>
      <c r="R3323" s="2"/>
      <c r="S3323" s="2"/>
      <c r="T3323" s="2"/>
      <c r="U3323" s="2"/>
      <c r="V3323" s="2"/>
      <c r="W3323" s="2"/>
      <c r="X3323" s="2"/>
      <c r="Y3323" s="2"/>
      <c r="Z3323" s="2"/>
      <c r="AA3323" s="2"/>
      <c r="AB3323" s="2"/>
      <c r="AC3323" s="2"/>
      <c r="AD3323" s="2"/>
      <c r="AE3323" s="2"/>
      <c r="AF3323" s="2"/>
      <c r="AG3323" s="2"/>
      <c r="AH3323" s="2"/>
      <c r="AI3323" s="2"/>
      <c r="AJ3323" s="2"/>
      <c r="AK3323" s="2"/>
      <c r="AL3323" s="2"/>
      <c r="AM3323" s="2"/>
      <c r="AN3323" s="2"/>
      <c r="AO3323" s="2"/>
      <c r="AP3323" s="2"/>
      <c r="AQ3323" s="2"/>
      <c r="AR3323" s="2"/>
      <c r="AS3323" s="2"/>
      <c r="AT3323" s="2"/>
      <c r="AU3323" s="2"/>
      <c r="AV3323" s="2"/>
      <c r="AW3323" s="2"/>
      <c r="AX3323" s="2"/>
      <c r="AY3323" s="2"/>
      <c r="AZ3323" s="2"/>
      <c r="BA3323" s="2"/>
      <c r="BB3323" s="2"/>
    </row>
    <row r="3324" ht="204.75" customHeight="1">
      <c r="A3324" s="1">
        <v>564.0</v>
      </c>
      <c r="B3324" s="2" t="s">
        <v>9935</v>
      </c>
      <c r="C3324" s="2">
        <f>IFERROR(__xludf.DUMMYFUNCTION("split(B3324,""_"")"),1810.0)</f>
        <v>1810</v>
      </c>
      <c r="D3324" s="2" t="str">
        <f>IFERROR(__xludf.DUMMYFUNCTION("""COMPUTED_VALUE"""),"NTV")</f>
        <v>NTV</v>
      </c>
      <c r="E3324" s="2" t="str">
        <f>IFERROR(__xludf.DUMMYFUNCTION("""COMPUTED_VALUE"""),"土22")</f>
        <v>土22</v>
      </c>
      <c r="F3324" s="2" t="s">
        <v>9936</v>
      </c>
      <c r="G3324" s="2" t="s">
        <v>9961</v>
      </c>
      <c r="H3324" s="1">
        <v>9.0</v>
      </c>
      <c r="I3324" s="1" t="s">
        <v>33</v>
      </c>
      <c r="J3324" s="1" t="s">
        <v>86</v>
      </c>
      <c r="K3324" s="2" t="s">
        <v>9962</v>
      </c>
      <c r="L3324" s="11" t="s">
        <v>9963</v>
      </c>
      <c r="M3324" s="2" t="str">
        <f>IFERROR(__xludf.DUMMYFUNCTION("split(split(K3324,""【"",false),""公式LINE"",false)"),"ついに最終章!!覚醒した斑目(中島健人)が相棒の逮捕を決意!?本気の煙鴉(遠藤憲一)vs13係総力戦!!犯行予告と謎の言葉が紡ぐ不可能犯罪!!相棒が真の目的のために動き出す！鯨岡（稲森いずみ）が１３係を結成した意外な秘密も明らかに!!煙鴉の犯行阻止に特技を発揮する美希(石橋杏奈)!!皇子山(中村倫也)の妹の女医を殺したのは誰なのか!?衝撃の悲劇とまさかの結末!!すべての秘密の幕開けが始まる!!")</f>
        <v>ついに最終章!!覚醒した斑目(中島健人)が相棒の逮捕を決意!?本気の煙鴉(遠藤憲一)vs13係総力戦!!犯行予告と謎の言葉が紡ぐ不可能犯罪!!相棒が真の目的のために動き出す！鯨岡（稲森いずみ）が１３係を結成した意外な秘密も明らかに!!煙鴉の犯行阻止に特技を発揮する美希(石橋杏奈)!!皇子山(中村倫也)の妹の女医を殺したのは誰なのか!?衝撃の悲劇とまさかの結末!!すべての秘密の幕開けが始まる!!</v>
      </c>
      <c r="N3324" s="2"/>
      <c r="O3324" s="2"/>
      <c r="P3324" s="2"/>
      <c r="Q3324" s="2"/>
      <c r="R3324" s="2"/>
      <c r="S3324" s="2"/>
      <c r="T3324" s="2"/>
      <c r="U3324" s="2"/>
      <c r="V3324" s="2"/>
      <c r="W3324" s="2"/>
      <c r="X3324" s="2"/>
      <c r="Y3324" s="2"/>
      <c r="Z3324" s="2"/>
      <c r="AA3324" s="2"/>
      <c r="AB3324" s="2"/>
      <c r="AC3324" s="2"/>
      <c r="AD3324" s="2"/>
      <c r="AE3324" s="2"/>
      <c r="AF3324" s="2"/>
      <c r="AG3324" s="2"/>
      <c r="AH3324" s="2"/>
      <c r="AI3324" s="2"/>
      <c r="AJ3324" s="2"/>
      <c r="AK3324" s="2"/>
      <c r="AL3324" s="2"/>
      <c r="AM3324" s="2"/>
      <c r="AN3324" s="2"/>
      <c r="AO3324" s="2"/>
      <c r="AP3324" s="2"/>
      <c r="AQ3324" s="2"/>
      <c r="AR3324" s="2"/>
      <c r="AS3324" s="2"/>
      <c r="AT3324" s="2"/>
      <c r="AU3324" s="2"/>
      <c r="AV3324" s="2"/>
      <c r="AW3324" s="2"/>
      <c r="AX3324" s="2"/>
      <c r="AY3324" s="2"/>
      <c r="AZ3324" s="2"/>
      <c r="BA3324" s="2"/>
      <c r="BB3324" s="2"/>
    </row>
    <row r="3325" ht="204.75" customHeight="1">
      <c r="A3325" s="1">
        <v>565.0</v>
      </c>
      <c r="B3325" s="2" t="s">
        <v>9935</v>
      </c>
      <c r="C3325" s="2">
        <f>IFERROR(__xludf.DUMMYFUNCTION("split(B3325,""_"")"),1810.0)</f>
        <v>1810</v>
      </c>
      <c r="D3325" s="2" t="str">
        <f>IFERROR(__xludf.DUMMYFUNCTION("""COMPUTED_VALUE"""),"NTV")</f>
        <v>NTV</v>
      </c>
      <c r="E3325" s="2" t="str">
        <f>IFERROR(__xludf.DUMMYFUNCTION("""COMPUTED_VALUE"""),"土22")</f>
        <v>土22</v>
      </c>
      <c r="F3325" s="2" t="s">
        <v>9936</v>
      </c>
      <c r="G3325" s="2" t="s">
        <v>9964</v>
      </c>
      <c r="H3325" s="1">
        <v>10.0</v>
      </c>
      <c r="J3325" s="1" t="s">
        <v>86</v>
      </c>
      <c r="K3325" s="2" t="s">
        <v>9965</v>
      </c>
      <c r="L3325" s="11" t="s">
        <v>9966</v>
      </c>
      <c r="M3325" s="2" t="str">
        <f>IFERROR(__xludf.DUMMYFUNCTION("split(split(K3325,""【"",false),""公式LINE"",false)"),"最後の敵は相棒!?13係と刑事斑目(中島健人)vs大泥棒煙鴉(遠藤憲一)衝撃の最終決戦!鯨岡(稲森いずみ)と煙鴉の過去と警察上層部の思惑！皇子山（中村倫也）の妹である女医・真里（真魚）の死と煙鴉の真実が明らかに！標的の正体と真の黒幕は!?全ての伏線を回収する激動のクライマックスと意外すぎる結末！美希（石橋杏奈）が受けたプロポーズの相手は?13係と斑目&amp;煙鴉最強バディの最後の運命は!?")</f>
        <v>最後の敵は相棒!?13係と刑事斑目(中島健人)vs大泥棒煙鴉(遠藤憲一)衝撃の最終決戦!鯨岡(稲森いずみ)と煙鴉の過去と警察上層部の思惑！皇子山（中村倫也）の妹である女医・真里（真魚）の死と煙鴉の真実が明らかに！標的の正体と真の黒幕は!?全ての伏線を回収する激動のクライマックスと意外すぎる結末！美希（石橋杏奈）が受けたプロポーズの相手は?13係と斑目&amp;煙鴉最強バディの最後の運命は!?</v>
      </c>
      <c r="N3325" s="2"/>
      <c r="O3325" s="2"/>
      <c r="P3325" s="2"/>
      <c r="Q3325" s="2"/>
      <c r="R3325" s="2"/>
      <c r="S3325" s="2"/>
      <c r="T3325" s="2"/>
      <c r="U3325" s="2"/>
      <c r="V3325" s="2"/>
      <c r="W3325" s="2"/>
      <c r="X3325" s="2"/>
      <c r="Y3325" s="2"/>
      <c r="Z3325" s="2"/>
      <c r="AA3325" s="2"/>
      <c r="AB3325" s="2"/>
      <c r="AC3325" s="2"/>
      <c r="AD3325" s="2"/>
      <c r="AE3325" s="2"/>
      <c r="AF3325" s="2"/>
      <c r="AG3325" s="2"/>
      <c r="AH3325" s="2"/>
      <c r="AI3325" s="2"/>
      <c r="AJ3325" s="2"/>
      <c r="AK3325" s="2"/>
      <c r="AL3325" s="2"/>
      <c r="AM3325" s="2"/>
      <c r="AN3325" s="2"/>
      <c r="AO3325" s="2"/>
      <c r="AP3325" s="2"/>
      <c r="AQ3325" s="2"/>
      <c r="AR3325" s="2"/>
      <c r="AS3325" s="2"/>
      <c r="AT3325" s="2"/>
      <c r="AU3325" s="2"/>
      <c r="AV3325" s="2"/>
      <c r="AW3325" s="2"/>
      <c r="AX3325" s="2"/>
      <c r="AY3325" s="2"/>
      <c r="AZ3325" s="2"/>
      <c r="BA3325" s="2"/>
      <c r="BB3325" s="2"/>
    </row>
    <row r="3326" ht="204.75" customHeight="1">
      <c r="A3326" s="1">
        <v>584.0</v>
      </c>
      <c r="B3326" s="2" t="s">
        <v>9967</v>
      </c>
      <c r="C3326" s="2">
        <f>IFERROR(__xludf.DUMMYFUNCTION("split(B3326,""_"")"),1810.0)</f>
        <v>1810</v>
      </c>
      <c r="D3326" s="2" t="str">
        <f>IFERROR(__xludf.DUMMYFUNCTION("""COMPUTED_VALUE"""),"NTV")</f>
        <v>NTV</v>
      </c>
      <c r="E3326" s="2" t="str">
        <f>IFERROR(__xludf.DUMMYFUNCTION("""COMPUTED_VALUE"""),"日22")</f>
        <v>日22</v>
      </c>
      <c r="F3326" s="2" t="s">
        <v>9968</v>
      </c>
      <c r="G3326" s="2" t="s">
        <v>9969</v>
      </c>
      <c r="H3326" s="1">
        <v>1.0</v>
      </c>
      <c r="J3326" s="1" t="s">
        <v>82</v>
      </c>
      <c r="K3326" s="2" t="s">
        <v>9970</v>
      </c>
      <c r="L3326" s="11" t="s">
        <v>9971</v>
      </c>
      <c r="M3326" s="2" t="str">
        <f>IFERROR(__xludf.DUMMYFUNCTION("split(split(K3326,""【"",false),""公式LINE"",false)"),"三橋貴志（賀来賢人）は転校を機に「今日からつっぱる!」と金髪にした高校生。登校初日に担任の椋木（ムロツヨシ）やクラスメイトをビビらせるが、三橋と同じツッパリデビューのトゲ頭・伊藤（伊藤健太郎）が現れ大慌て！三橋は、不良１０人を伊藤と２人で偶然倒したことをきっかけに、同じ秘密を抱える相棒として伊藤と手を組む。翌日、２人の噂を聞きつけたスケバン・京子（橋本環奈）が明美（若月佑美）と共に訪ねてきて…")</f>
        <v>三橋貴志（賀来賢人）は転校を機に「今日からつっぱる!」と金髪にした高校生。登校初日に担任の椋木（ムロツヨシ）やクラスメイトをビビらせるが、三橋と同じツッパリデビューのトゲ頭・伊藤（伊藤健太郎）が現れ大慌て！三橋は、不良１０人を伊藤と２人で偶然倒したことをきっかけに、同じ秘密を抱える相棒として伊藤と手を組む。翌日、２人の噂を聞きつけたスケバン・京子（橋本環奈）が明美（若月佑美）と共に訪ねてきて…</v>
      </c>
      <c r="N3326" s="2"/>
      <c r="O3326" s="2"/>
      <c r="P3326" s="2"/>
      <c r="Q3326" s="2"/>
      <c r="R3326" s="2"/>
      <c r="S3326" s="2"/>
      <c r="T3326" s="2"/>
      <c r="U3326" s="2"/>
      <c r="V3326" s="2"/>
      <c r="W3326" s="2"/>
      <c r="X3326" s="2"/>
      <c r="Y3326" s="2"/>
      <c r="Z3326" s="2"/>
      <c r="AA3326" s="2"/>
      <c r="AB3326" s="2"/>
      <c r="AC3326" s="2"/>
      <c r="AD3326" s="2"/>
      <c r="AE3326" s="2"/>
      <c r="AF3326" s="2"/>
      <c r="AG3326" s="2"/>
      <c r="AH3326" s="2"/>
      <c r="AI3326" s="2"/>
      <c r="AJ3326" s="2"/>
      <c r="AK3326" s="2"/>
      <c r="AL3326" s="2"/>
      <c r="AM3326" s="2"/>
      <c r="AN3326" s="2"/>
      <c r="AO3326" s="2"/>
      <c r="AP3326" s="2"/>
      <c r="AQ3326" s="2"/>
      <c r="AR3326" s="2"/>
      <c r="AS3326" s="2"/>
      <c r="AT3326" s="2"/>
      <c r="AU3326" s="2"/>
      <c r="AV3326" s="2"/>
      <c r="AW3326" s="2"/>
      <c r="AX3326" s="2"/>
      <c r="AY3326" s="2"/>
      <c r="AZ3326" s="2"/>
      <c r="BA3326" s="2"/>
      <c r="BB3326" s="2"/>
    </row>
    <row r="3327" ht="204.75" customHeight="1">
      <c r="A3327" s="1">
        <v>585.0</v>
      </c>
      <c r="B3327" s="2" t="s">
        <v>9967</v>
      </c>
      <c r="C3327" s="2">
        <f>IFERROR(__xludf.DUMMYFUNCTION("split(B3327,""_"")"),1810.0)</f>
        <v>1810</v>
      </c>
      <c r="D3327" s="2" t="str">
        <f>IFERROR(__xludf.DUMMYFUNCTION("""COMPUTED_VALUE"""),"NTV")</f>
        <v>NTV</v>
      </c>
      <c r="E3327" s="2" t="str">
        <f>IFERROR(__xludf.DUMMYFUNCTION("""COMPUTED_VALUE"""),"日22")</f>
        <v>日22</v>
      </c>
      <c r="F3327" s="2" t="s">
        <v>9968</v>
      </c>
      <c r="G3327" s="2" t="s">
        <v>9972</v>
      </c>
      <c r="H3327" s="1">
        <v>2.0</v>
      </c>
      <c r="J3327" s="1" t="s">
        <v>82</v>
      </c>
      <c r="K3327" s="2" t="s">
        <v>9973</v>
      </c>
      <c r="L3327" s="11" t="s">
        <v>9974</v>
      </c>
      <c r="M3327" s="2" t="str">
        <f>IFERROR(__xludf.DUMMYFUNCTION("split(split(K3327,""【"",false),""公式LINE"",false)"),"武道の達人・赤坂理子（清野菜名）に道でケチをつけられた三橋（賀来賢人）は、苛立ちながらも理子のことが気になって仕方ない。父・一郎（吉田鋼太郎）から「恋をしている」と指摘されるが、理子をぶっ飛ばしたくてムシャクシャしているだけだと言い張る三橋。そして、理子を倒すつもりが、なぜか理子の父・哲夫（佐藤二朗）に巻き込まれ、伊藤（伊藤健太郎）と共に、理子の家の道場にやってきた道場破りと戦うことになって…!?")</f>
        <v>武道の達人・赤坂理子（清野菜名）に道でケチをつけられた三橋（賀来賢人）は、苛立ちながらも理子のことが気になって仕方ない。父・一郎（吉田鋼太郎）から「恋をしている」と指摘されるが、理子をぶっ飛ばしたくてムシャクシャしているだけだと言い張る三橋。そして、理子を倒すつもりが、なぜか理子の父・哲夫（佐藤二朗）に巻き込まれ、伊藤（伊藤健太郎）と共に、理子の家の道場にやってきた道場破りと戦うことになって…!?</v>
      </c>
      <c r="N3327" s="2"/>
      <c r="O3327" s="2"/>
      <c r="P3327" s="2"/>
      <c r="Q3327" s="2"/>
      <c r="R3327" s="2"/>
      <c r="S3327" s="2"/>
      <c r="T3327" s="2"/>
      <c r="U3327" s="2"/>
      <c r="V3327" s="2"/>
      <c r="W3327" s="2"/>
      <c r="X3327" s="2"/>
      <c r="Y3327" s="2"/>
      <c r="Z3327" s="2"/>
      <c r="AA3327" s="2"/>
      <c r="AB3327" s="2"/>
      <c r="AC3327" s="2"/>
      <c r="AD3327" s="2"/>
      <c r="AE3327" s="2"/>
      <c r="AF3327" s="2"/>
      <c r="AG3327" s="2"/>
      <c r="AH3327" s="2"/>
      <c r="AI3327" s="2"/>
      <c r="AJ3327" s="2"/>
      <c r="AK3327" s="2"/>
      <c r="AL3327" s="2"/>
      <c r="AM3327" s="2"/>
      <c r="AN3327" s="2"/>
      <c r="AO3327" s="2"/>
      <c r="AP3327" s="2"/>
      <c r="AQ3327" s="2"/>
      <c r="AR3327" s="2"/>
      <c r="AS3327" s="2"/>
      <c r="AT3327" s="2"/>
      <c r="AU3327" s="2"/>
      <c r="AV3327" s="2"/>
      <c r="AW3327" s="2"/>
      <c r="AX3327" s="2"/>
      <c r="AY3327" s="2"/>
      <c r="AZ3327" s="2"/>
      <c r="BA3327" s="2"/>
      <c r="BB3327" s="2"/>
    </row>
    <row r="3328" ht="204.75" customHeight="1">
      <c r="A3328" s="1">
        <v>586.0</v>
      </c>
      <c r="B3328" s="2" t="s">
        <v>9967</v>
      </c>
      <c r="C3328" s="2">
        <f>IFERROR(__xludf.DUMMYFUNCTION("split(B3328,""_"")"),1810.0)</f>
        <v>1810</v>
      </c>
      <c r="D3328" s="2" t="str">
        <f>IFERROR(__xludf.DUMMYFUNCTION("""COMPUTED_VALUE"""),"NTV")</f>
        <v>NTV</v>
      </c>
      <c r="E3328" s="2" t="str">
        <f>IFERROR(__xludf.DUMMYFUNCTION("""COMPUTED_VALUE"""),"日22")</f>
        <v>日22</v>
      </c>
      <c r="F3328" s="2" t="s">
        <v>9968</v>
      </c>
      <c r="G3328" s="2" t="s">
        <v>9975</v>
      </c>
      <c r="H3328" s="1">
        <v>3.0</v>
      </c>
      <c r="J3328" s="1" t="s">
        <v>82</v>
      </c>
      <c r="K3328" s="2" t="s">
        <v>9976</v>
      </c>
      <c r="L3328" s="11" t="s">
        <v>9977</v>
      </c>
      <c r="M3328" s="2" t="str">
        <f>IFERROR(__xludf.DUMMYFUNCTION("split(split(K3328,""【"",false),""公式LINE"",false)"),"三橋（賀来賢人）の“意外といいヤツ”な一面を知り、惹かれる理子（清野菜名）。そんな理子に想いを募らせる今井（太賀）は連日の待ち伏せの末、ついに告白するもあえなく玉砕。現実を受け入れられない今井は、失恋の腹いせに馬鹿力で投げた石が運悪く最凶最悪の開久高校のヤンキーに直撃したことで喧嘩が勃発し…。  今井の失恋が、三橋や伊藤（伊藤健太郎）を巻き込んだ大ごとに発展！因縁の開久対決、ついに開幕!")</f>
        <v>三橋（賀来賢人）の“意外といいヤツ”な一面を知り、惹かれる理子（清野菜名）。そんな理子に想いを募らせる今井（太賀）は連日の待ち伏せの末、ついに告白するもあえなく玉砕。現実を受け入れられない今井は、失恋の腹いせに馬鹿力で投げた石が運悪く最凶最悪の開久高校のヤンキーに直撃したことで喧嘩が勃発し…。  今井の失恋が、三橋や伊藤（伊藤健太郎）を巻き込んだ大ごとに発展！因縁の開久対決、ついに開幕!</v>
      </c>
      <c r="N3328" s="2"/>
      <c r="O3328" s="2"/>
      <c r="P3328" s="2"/>
      <c r="Q3328" s="2"/>
      <c r="R3328" s="2"/>
      <c r="S3328" s="2"/>
      <c r="T3328" s="2"/>
      <c r="U3328" s="2"/>
      <c r="V3328" s="2"/>
      <c r="W3328" s="2"/>
      <c r="X3328" s="2"/>
      <c r="Y3328" s="2"/>
      <c r="Z3328" s="2"/>
      <c r="AA3328" s="2"/>
      <c r="AB3328" s="2"/>
      <c r="AC3328" s="2"/>
      <c r="AD3328" s="2"/>
      <c r="AE3328" s="2"/>
      <c r="AF3328" s="2"/>
      <c r="AG3328" s="2"/>
      <c r="AH3328" s="2"/>
      <c r="AI3328" s="2"/>
      <c r="AJ3328" s="2"/>
      <c r="AK3328" s="2"/>
      <c r="AL3328" s="2"/>
      <c r="AM3328" s="2"/>
      <c r="AN3328" s="2"/>
      <c r="AO3328" s="2"/>
      <c r="AP3328" s="2"/>
      <c r="AQ3328" s="2"/>
      <c r="AR3328" s="2"/>
      <c r="AS3328" s="2"/>
      <c r="AT3328" s="2"/>
      <c r="AU3328" s="2"/>
      <c r="AV3328" s="2"/>
      <c r="AW3328" s="2"/>
      <c r="AX3328" s="2"/>
      <c r="AY3328" s="2"/>
      <c r="AZ3328" s="2"/>
      <c r="BA3328" s="2"/>
      <c r="BB3328" s="2"/>
    </row>
    <row r="3329" ht="204.75" customHeight="1">
      <c r="A3329" s="1">
        <v>587.0</v>
      </c>
      <c r="B3329" s="2" t="s">
        <v>9967</v>
      </c>
      <c r="C3329" s="2">
        <f>IFERROR(__xludf.DUMMYFUNCTION("split(B3329,""_"")"),1810.0)</f>
        <v>1810</v>
      </c>
      <c r="D3329" s="2" t="str">
        <f>IFERROR(__xludf.DUMMYFUNCTION("""COMPUTED_VALUE"""),"NTV")</f>
        <v>NTV</v>
      </c>
      <c r="E3329" s="2" t="str">
        <f>IFERROR(__xludf.DUMMYFUNCTION("""COMPUTED_VALUE"""),"日22")</f>
        <v>日22</v>
      </c>
      <c r="F3329" s="2" t="s">
        <v>9968</v>
      </c>
      <c r="G3329" s="2" t="s">
        <v>9978</v>
      </c>
      <c r="H3329" s="1">
        <v>4.0</v>
      </c>
      <c r="J3329" s="1" t="s">
        <v>82</v>
      </c>
      <c r="K3329" s="2" t="s">
        <v>9979</v>
      </c>
      <c r="L3329" s="11" t="s">
        <v>9980</v>
      </c>
      <c r="M3329" s="2" t="str">
        <f>IFERROR(__xludf.DUMMYFUNCTION("split(split(K3329,""【"",false),""公式LINE"",false)"),"モテない今井（太賀）が、突然明美（若月佑美）から告白めいた手紙を渡される！不思議とウマが合う明美とまさかのカップル成立！？それが猛烈に許せない三橋（賀来賢人）は二人の邪魔をしようと試行錯誤。人の恋路に気を取られ、配慮のない三橋の鈍感さに拗ねる理子（清野菜名）と、呆れる伊藤(伊藤健太郎)。一方、京子(橋本環奈)はあることをきっかけに一人落ち込んでいた。そんな中、三橋と伊藤は明美のある秘密を目撃し…!")</f>
        <v>モテない今井（太賀）が、突然明美（若月佑美）から告白めいた手紙を渡される！不思議とウマが合う明美とまさかのカップル成立！？それが猛烈に許せない三橋（賀来賢人）は二人の邪魔をしようと試行錯誤。人の恋路に気を取られ、配慮のない三橋の鈍感さに拗ねる理子（清野菜名）と、呆れる伊藤(伊藤健太郎)。一方、京子(橋本環奈)はあることをきっかけに一人落ち込んでいた。そんな中、三橋と伊藤は明美のある秘密を目撃し…!</v>
      </c>
      <c r="N3329" s="2"/>
      <c r="O3329" s="2"/>
      <c r="P3329" s="2"/>
      <c r="Q3329" s="2"/>
      <c r="R3329" s="2"/>
      <c r="S3329" s="2"/>
      <c r="T3329" s="2"/>
      <c r="U3329" s="2"/>
      <c r="V3329" s="2"/>
      <c r="W3329" s="2"/>
      <c r="X3329" s="2"/>
      <c r="Y3329" s="2"/>
      <c r="Z3329" s="2"/>
      <c r="AA3329" s="2"/>
      <c r="AB3329" s="2"/>
      <c r="AC3329" s="2"/>
      <c r="AD3329" s="2"/>
      <c r="AE3329" s="2"/>
      <c r="AF3329" s="2"/>
      <c r="AG3329" s="2"/>
      <c r="AH3329" s="2"/>
      <c r="AI3329" s="2"/>
      <c r="AJ3329" s="2"/>
      <c r="AK3329" s="2"/>
      <c r="AL3329" s="2"/>
      <c r="AM3329" s="2"/>
      <c r="AN3329" s="2"/>
      <c r="AO3329" s="2"/>
      <c r="AP3329" s="2"/>
      <c r="AQ3329" s="2"/>
      <c r="AR3329" s="2"/>
      <c r="AS3329" s="2"/>
      <c r="AT3329" s="2"/>
      <c r="AU3329" s="2"/>
      <c r="AV3329" s="2"/>
      <c r="AW3329" s="2"/>
      <c r="AX3329" s="2"/>
      <c r="AY3329" s="2"/>
      <c r="AZ3329" s="2"/>
      <c r="BA3329" s="2"/>
      <c r="BB3329" s="2"/>
    </row>
    <row r="3330" ht="204.75" customHeight="1">
      <c r="A3330" s="1">
        <v>588.0</v>
      </c>
      <c r="B3330" s="2" t="s">
        <v>9967</v>
      </c>
      <c r="C3330" s="2">
        <f>IFERROR(__xludf.DUMMYFUNCTION("split(B3330,""_"")"),1810.0)</f>
        <v>1810</v>
      </c>
      <c r="D3330" s="2" t="str">
        <f>IFERROR(__xludf.DUMMYFUNCTION("""COMPUTED_VALUE"""),"NTV")</f>
        <v>NTV</v>
      </c>
      <c r="E3330" s="2" t="str">
        <f>IFERROR(__xludf.DUMMYFUNCTION("""COMPUTED_VALUE"""),"日22")</f>
        <v>日22</v>
      </c>
      <c r="F3330" s="2" t="s">
        <v>9968</v>
      </c>
      <c r="G3330" s="2" t="s">
        <v>9981</v>
      </c>
      <c r="H3330" s="1">
        <v>5.0</v>
      </c>
      <c r="J3330" s="1" t="s">
        <v>82</v>
      </c>
      <c r="K3330" s="2" t="s">
        <v>9982</v>
      </c>
      <c r="L3330" s="11" t="s">
        <v>9983</v>
      </c>
      <c r="M3330" s="2" t="str">
        <f>IFERROR(__xludf.DUMMYFUNCTION("split(split(K3330,""【"",false),""公式LINE"",false)"),"東京に出かけた佐川（柾木玲弥）が、東京の不良・ユタカ（平埜生成）に襲われ入院！翌日、理子（清野菜名）から話を聞いて怒る三橋（賀来賢人）と伊藤（伊藤健太郎）だが犯人の手がかりはなく…。一方、ユタカの仲間・紅野（中村倫也）たちは千葉のヤンキーたちをからかおうと、三橋たちのすぐそばまで迫っていた…！！勝手の違う敵に三橋がまさかの大ピンチ！？東京の不良と千葉ヤンキーの一大闘争勃発！三橋の奇策とは!?")</f>
        <v>東京に出かけた佐川（柾木玲弥）が、東京の不良・ユタカ（平埜生成）に襲われ入院！翌日、理子（清野菜名）から話を聞いて怒る三橋（賀来賢人）と伊藤（伊藤健太郎）だが犯人の手がかりはなく…。一方、ユタカの仲間・紅野（中村倫也）たちは千葉のヤンキーたちをからかおうと、三橋たちのすぐそばまで迫っていた…！！勝手の違う敵に三橋がまさかの大ピンチ！？東京の不良と千葉ヤンキーの一大闘争勃発！三橋の奇策とは!?</v>
      </c>
      <c r="N3330" s="2"/>
      <c r="O3330" s="2"/>
      <c r="P3330" s="2"/>
      <c r="Q3330" s="2"/>
      <c r="R3330" s="2"/>
      <c r="S3330" s="2"/>
      <c r="T3330" s="2"/>
      <c r="U3330" s="2"/>
      <c r="V3330" s="2"/>
      <c r="W3330" s="2"/>
      <c r="X3330" s="2"/>
      <c r="Y3330" s="2"/>
      <c r="Z3330" s="2"/>
      <c r="AA3330" s="2"/>
      <c r="AB3330" s="2"/>
      <c r="AC3330" s="2"/>
      <c r="AD3330" s="2"/>
      <c r="AE3330" s="2"/>
      <c r="AF3330" s="2"/>
      <c r="AG3330" s="2"/>
      <c r="AH3330" s="2"/>
      <c r="AI3330" s="2"/>
      <c r="AJ3330" s="2"/>
      <c r="AK3330" s="2"/>
      <c r="AL3330" s="2"/>
      <c r="AM3330" s="2"/>
      <c r="AN3330" s="2"/>
      <c r="AO3330" s="2"/>
      <c r="AP3330" s="2"/>
      <c r="AQ3330" s="2"/>
      <c r="AR3330" s="2"/>
      <c r="AS3330" s="2"/>
      <c r="AT3330" s="2"/>
      <c r="AU3330" s="2"/>
      <c r="AV3330" s="2"/>
      <c r="AW3330" s="2"/>
      <c r="AX3330" s="2"/>
      <c r="AY3330" s="2"/>
      <c r="AZ3330" s="2"/>
      <c r="BA3330" s="2"/>
      <c r="BB3330" s="2"/>
    </row>
    <row r="3331" ht="204.75" customHeight="1">
      <c r="A3331" s="1">
        <v>589.0</v>
      </c>
      <c r="B3331" s="2" t="s">
        <v>9967</v>
      </c>
      <c r="C3331" s="2">
        <f>IFERROR(__xludf.DUMMYFUNCTION("split(B3331,""_"")"),1810.0)</f>
        <v>1810</v>
      </c>
      <c r="D3331" s="2" t="str">
        <f>IFERROR(__xludf.DUMMYFUNCTION("""COMPUTED_VALUE"""),"NTV")</f>
        <v>NTV</v>
      </c>
      <c r="E3331" s="2" t="str">
        <f>IFERROR(__xludf.DUMMYFUNCTION("""COMPUTED_VALUE"""),"日22")</f>
        <v>日22</v>
      </c>
      <c r="F3331" s="2" t="s">
        <v>9968</v>
      </c>
      <c r="G3331" s="2" t="s">
        <v>9984</v>
      </c>
      <c r="H3331" s="1">
        <v>6.0</v>
      </c>
      <c r="J3331" s="1" t="s">
        <v>82</v>
      </c>
      <c r="K3331" s="2" t="s">
        <v>9985</v>
      </c>
      <c r="L3331" s="11" t="s">
        <v>9986</v>
      </c>
      <c r="M3331" s="2" t="str">
        <f>IFERROR(__xludf.DUMMYFUNCTION("split(split(K3331,""【"",false),""公式LINE"",false)"),"ある場所で三橋（賀来賢人）の父・一郎（吉田鋼太郎）に出くわした椋木（ムロツヨシ）は、秘密を共有する事で「三橋に言うことをきかせる」という取引をする。一郎から“ある見返り”を提案された三橋は、１週間椋木のしもべになるという男の約束を交わす。一方、坂本（じろう）は剛田（勝矢）という元・ヤクザの用心棒を手に入れ、突然強気キャラに豹変！椋木のしもべ・三橋vs坂本の用心棒・剛田の抗争勃発でどうなる軟葉高校!")</f>
        <v>ある場所で三橋（賀来賢人）の父・一郎（吉田鋼太郎）に出くわした椋木（ムロツヨシ）は、秘密を共有する事で「三橋に言うことをきかせる」という取引をする。一郎から“ある見返り”を提案された三橋は、１週間椋木のしもべになるという男の約束を交わす。一方、坂本（じろう）は剛田（勝矢）という元・ヤクザの用心棒を手に入れ、突然強気キャラに豹変！椋木のしもべ・三橋vs坂本の用心棒・剛田の抗争勃発でどうなる軟葉高校!</v>
      </c>
      <c r="N3331" s="2"/>
      <c r="O3331" s="2"/>
      <c r="P3331" s="2"/>
      <c r="Q3331" s="2"/>
      <c r="R3331" s="2"/>
      <c r="S3331" s="2"/>
      <c r="T3331" s="2"/>
      <c r="U3331" s="2"/>
      <c r="V3331" s="2"/>
      <c r="W3331" s="2"/>
      <c r="X3331" s="2"/>
      <c r="Y3331" s="2"/>
      <c r="Z3331" s="2"/>
      <c r="AA3331" s="2"/>
      <c r="AB3331" s="2"/>
      <c r="AC3331" s="2"/>
      <c r="AD3331" s="2"/>
      <c r="AE3331" s="2"/>
      <c r="AF3331" s="2"/>
      <c r="AG3331" s="2"/>
      <c r="AH3331" s="2"/>
      <c r="AI3331" s="2"/>
      <c r="AJ3331" s="2"/>
      <c r="AK3331" s="2"/>
      <c r="AL3331" s="2"/>
      <c r="AM3331" s="2"/>
      <c r="AN3331" s="2"/>
      <c r="AO3331" s="2"/>
      <c r="AP3331" s="2"/>
      <c r="AQ3331" s="2"/>
      <c r="AR3331" s="2"/>
      <c r="AS3331" s="2"/>
      <c r="AT3331" s="2"/>
      <c r="AU3331" s="2"/>
      <c r="AV3331" s="2"/>
      <c r="AW3331" s="2"/>
      <c r="AX3331" s="2"/>
      <c r="AY3331" s="2"/>
      <c r="AZ3331" s="2"/>
      <c r="BA3331" s="2"/>
      <c r="BB3331" s="2"/>
    </row>
    <row r="3332" ht="204.75" customHeight="1">
      <c r="A3332" s="1">
        <v>590.0</v>
      </c>
      <c r="B3332" s="2" t="s">
        <v>9967</v>
      </c>
      <c r="C3332" s="2">
        <f>IFERROR(__xludf.DUMMYFUNCTION("split(B3332,""_"")"),1810.0)</f>
        <v>1810</v>
      </c>
      <c r="D3332" s="2" t="str">
        <f>IFERROR(__xludf.DUMMYFUNCTION("""COMPUTED_VALUE"""),"NTV")</f>
        <v>NTV</v>
      </c>
      <c r="E3332" s="2" t="str">
        <f>IFERROR(__xludf.DUMMYFUNCTION("""COMPUTED_VALUE"""),"日22")</f>
        <v>日22</v>
      </c>
      <c r="F3332" s="2" t="s">
        <v>9968</v>
      </c>
      <c r="G3332" s="2" t="s">
        <v>9987</v>
      </c>
      <c r="H3332" s="1">
        <v>7.0</v>
      </c>
      <c r="J3332" s="1" t="s">
        <v>82</v>
      </c>
      <c r="K3332" s="2" t="s">
        <v>9988</v>
      </c>
      <c r="L3332" s="11" t="s">
        <v>9989</v>
      </c>
      <c r="M3332" s="2" t="str">
        <f>IFERROR(__xludf.DUMMYFUNCTION("split(split(K3332,""【"",false),""公式LINE"",false)"),"今井（太賀）の理子（清野菜名）へのラブレターを盗み読んだ三橋（賀来賢人）は、呼び出し場所に先回りして、今井を脅かそうとするが…!?ここから始まる三橋VS今井の仁義なき戦い。やられたら100倍でやり返す男・三橋が、今井を廃ビルに監禁！？原作ファンの間で最も人気が高く、実写化は無理だと言われた禁断の回がついに…！どうする三橋！！どうなる今井！！あなたは衝撃的瞬間の目撃者になる!!!")</f>
        <v>今井（太賀）の理子（清野菜名）へのラブレターを盗み読んだ三橋（賀来賢人）は、呼び出し場所に先回りして、今井を脅かそうとするが…!?ここから始まる三橋VS今井の仁義なき戦い。やられたら100倍でやり返す男・三橋が、今井を廃ビルに監禁！？原作ファンの間で最も人気が高く、実写化は無理だと言われた禁断の回がついに…！どうする三橋！！どうなる今井！！あなたは衝撃的瞬間の目撃者になる!!!</v>
      </c>
      <c r="N3332" s="2"/>
      <c r="O3332" s="2"/>
      <c r="P3332" s="2"/>
      <c r="Q3332" s="2"/>
      <c r="R3332" s="2"/>
      <c r="S3332" s="2"/>
      <c r="T3332" s="2"/>
      <c r="U3332" s="2"/>
      <c r="V3332" s="2"/>
      <c r="W3332" s="2"/>
      <c r="X3332" s="2"/>
      <c r="Y3332" s="2"/>
      <c r="Z3332" s="2"/>
      <c r="AA3332" s="2"/>
      <c r="AB3332" s="2"/>
      <c r="AC3332" s="2"/>
      <c r="AD3332" s="2"/>
      <c r="AE3332" s="2"/>
      <c r="AF3332" s="2"/>
      <c r="AG3332" s="2"/>
      <c r="AH3332" s="2"/>
      <c r="AI3332" s="2"/>
      <c r="AJ3332" s="2"/>
      <c r="AK3332" s="2"/>
      <c r="AL3332" s="2"/>
      <c r="AM3332" s="2"/>
      <c r="AN3332" s="2"/>
      <c r="AO3332" s="2"/>
      <c r="AP3332" s="2"/>
      <c r="AQ3332" s="2"/>
      <c r="AR3332" s="2"/>
      <c r="AS3332" s="2"/>
      <c r="AT3332" s="2"/>
      <c r="AU3332" s="2"/>
      <c r="AV3332" s="2"/>
      <c r="AW3332" s="2"/>
      <c r="AX3332" s="2"/>
      <c r="AY3332" s="2"/>
      <c r="AZ3332" s="2"/>
      <c r="BA3332" s="2"/>
      <c r="BB3332" s="2"/>
    </row>
    <row r="3333" ht="204.75" customHeight="1">
      <c r="A3333" s="1">
        <v>591.0</v>
      </c>
      <c r="B3333" s="2" t="s">
        <v>9967</v>
      </c>
      <c r="C3333" s="2">
        <f>IFERROR(__xludf.DUMMYFUNCTION("split(B3333,""_"")"),1810.0)</f>
        <v>1810</v>
      </c>
      <c r="D3333" s="2" t="str">
        <f>IFERROR(__xludf.DUMMYFUNCTION("""COMPUTED_VALUE"""),"NTV")</f>
        <v>NTV</v>
      </c>
      <c r="E3333" s="2" t="str">
        <f>IFERROR(__xludf.DUMMYFUNCTION("""COMPUTED_VALUE"""),"日22")</f>
        <v>日22</v>
      </c>
      <c r="F3333" s="2" t="s">
        <v>9968</v>
      </c>
      <c r="G3333" s="2" t="s">
        <v>9990</v>
      </c>
      <c r="H3333" s="1">
        <v>8.0</v>
      </c>
      <c r="J3333" s="1" t="s">
        <v>82</v>
      </c>
      <c r="K3333" s="2" t="s">
        <v>9991</v>
      </c>
      <c r="L3333" s="11" t="s">
        <v>9992</v>
      </c>
      <c r="M3333" s="2" t="str">
        <f>IFERROR(__xludf.DUMMYFUNCTION("split(split(K3333,""【"",false),""公式LINE"",false)"),"新入生にモテて図に乗る三橋（賀来賢人）は、理子（清野菜名）の助言で人気上昇！喧嘩を避ければいいと勘違いした三橋は、三人がかりで挑んできたツッパリを佐川（柾木玲弥）に任せる。理子が慌てて助けると、新入生達は、理子こそ「ウラ番」だと信じる。人気を奪われ、ふてくされる三橋。そんな中、ヘルメットをした危険な新入生（須賀健太）が、軟高で「一番強いヤツ」を探して暴れていた…。狙われた理子！その時、三橋は!?")</f>
        <v>新入生にモテて図に乗る三橋（賀来賢人）は、理子（清野菜名）の助言で人気上昇！喧嘩を避ければいいと勘違いした三橋は、三人がかりで挑んできたツッパリを佐川（柾木玲弥）に任せる。理子が慌てて助けると、新入生達は、理子こそ「ウラ番」だと信じる。人気を奪われ、ふてくされる三橋。そんな中、ヘルメットをした危険な新入生（須賀健太）が、軟高で「一番強いヤツ」を探して暴れていた…。狙われた理子！その時、三橋は!?</v>
      </c>
      <c r="N3333" s="2"/>
      <c r="O3333" s="2"/>
      <c r="P3333" s="2"/>
      <c r="Q3333" s="2"/>
      <c r="R3333" s="2"/>
      <c r="S3333" s="2"/>
      <c r="T3333" s="2"/>
      <c r="U3333" s="2"/>
      <c r="V3333" s="2"/>
      <c r="W3333" s="2"/>
      <c r="X3333" s="2"/>
      <c r="Y3333" s="2"/>
      <c r="Z3333" s="2"/>
      <c r="AA3333" s="2"/>
      <c r="AB3333" s="2"/>
      <c r="AC3333" s="2"/>
      <c r="AD3333" s="2"/>
      <c r="AE3333" s="2"/>
      <c r="AF3333" s="2"/>
      <c r="AG3333" s="2"/>
      <c r="AH3333" s="2"/>
      <c r="AI3333" s="2"/>
      <c r="AJ3333" s="2"/>
      <c r="AK3333" s="2"/>
      <c r="AL3333" s="2"/>
      <c r="AM3333" s="2"/>
      <c r="AN3333" s="2"/>
      <c r="AO3333" s="2"/>
      <c r="AP3333" s="2"/>
      <c r="AQ3333" s="2"/>
      <c r="AR3333" s="2"/>
      <c r="AS3333" s="2"/>
      <c r="AT3333" s="2"/>
      <c r="AU3333" s="2"/>
      <c r="AV3333" s="2"/>
      <c r="AW3333" s="2"/>
      <c r="AX3333" s="2"/>
      <c r="AY3333" s="2"/>
      <c r="AZ3333" s="2"/>
      <c r="BA3333" s="2"/>
      <c r="BB3333" s="2"/>
    </row>
    <row r="3334" ht="204.75" customHeight="1">
      <c r="A3334" s="1">
        <v>592.0</v>
      </c>
      <c r="B3334" s="2" t="s">
        <v>9967</v>
      </c>
      <c r="C3334" s="2">
        <f>IFERROR(__xludf.DUMMYFUNCTION("split(B3334,""_"")"),1810.0)</f>
        <v>1810</v>
      </c>
      <c r="D3334" s="2" t="str">
        <f>IFERROR(__xludf.DUMMYFUNCTION("""COMPUTED_VALUE"""),"NTV")</f>
        <v>NTV</v>
      </c>
      <c r="E3334" s="2" t="str">
        <f>IFERROR(__xludf.DUMMYFUNCTION("""COMPUTED_VALUE"""),"日22")</f>
        <v>日22</v>
      </c>
      <c r="F3334" s="2" t="s">
        <v>9968</v>
      </c>
      <c r="G3334" s="2" t="s">
        <v>9993</v>
      </c>
      <c r="H3334" s="1">
        <v>9.0</v>
      </c>
      <c r="J3334" s="1" t="s">
        <v>82</v>
      </c>
      <c r="K3334" s="2" t="s">
        <v>9994</v>
      </c>
      <c r="L3334" s="11" t="s">
        <v>9995</v>
      </c>
      <c r="M3334" s="2" t="str">
        <f>IFERROR(__xludf.DUMMYFUNCTION("split(split(K3334,""【"",false),""公式LINE"",false)"),"開久の番長・智司（鈴木伸之）の静観の構えに、三橋（賀来賢人）と伊藤（伊藤健太郎）に手を出せず苛ついていた相良（磯村勇斗）は、奇策を思いつく。智司はその作戦にのせられ、集団で伊藤を襲う。突然の奇襲にもかかわらず、智司めがけて正面から挑み続ける伊藤。その姿に、智司は伊藤にタイマンを持ちかけ・・・。相良のクーデター勃発！開久が軟高に押しかける！？どうする三橋伊藤!?軟高vs開久の全面戦争の行方はー!")</f>
        <v>開久の番長・智司（鈴木伸之）の静観の構えに、三橋（賀来賢人）と伊藤（伊藤健太郎）に手を出せず苛ついていた相良（磯村勇斗）は、奇策を思いつく。智司はその作戦にのせられ、集団で伊藤を襲う。突然の奇襲にもかかわらず、智司めがけて正面から挑み続ける伊藤。その姿に、智司は伊藤にタイマンを持ちかけ・・・。相良のクーデター勃発！開久が軟高に押しかける！？どうする三橋伊藤!?軟高vs開久の全面戦争の行方はー!</v>
      </c>
      <c r="N3334" s="2"/>
      <c r="O3334" s="2"/>
      <c r="P3334" s="2"/>
      <c r="Q3334" s="2"/>
      <c r="R3334" s="2"/>
      <c r="S3334" s="2"/>
      <c r="T3334" s="2"/>
      <c r="U3334" s="2"/>
      <c r="V3334" s="2"/>
      <c r="W3334" s="2"/>
      <c r="X3334" s="2"/>
      <c r="Y3334" s="2"/>
      <c r="Z3334" s="2"/>
      <c r="AA3334" s="2"/>
      <c r="AB3334" s="2"/>
      <c r="AC3334" s="2"/>
      <c r="AD3334" s="2"/>
      <c r="AE3334" s="2"/>
      <c r="AF3334" s="2"/>
      <c r="AG3334" s="2"/>
      <c r="AH3334" s="2"/>
      <c r="AI3334" s="2"/>
      <c r="AJ3334" s="2"/>
      <c r="AK3334" s="2"/>
      <c r="AL3334" s="2"/>
      <c r="AM3334" s="2"/>
      <c r="AN3334" s="2"/>
      <c r="AO3334" s="2"/>
      <c r="AP3334" s="2"/>
      <c r="AQ3334" s="2"/>
      <c r="AR3334" s="2"/>
      <c r="AS3334" s="2"/>
      <c r="AT3334" s="2"/>
      <c r="AU3334" s="2"/>
      <c r="AV3334" s="2"/>
      <c r="AW3334" s="2"/>
      <c r="AX3334" s="2"/>
      <c r="AY3334" s="2"/>
      <c r="AZ3334" s="2"/>
      <c r="BA3334" s="2"/>
      <c r="BB3334" s="2"/>
    </row>
    <row r="3335" ht="204.75" customHeight="1">
      <c r="A3335" s="1">
        <v>593.0</v>
      </c>
      <c r="B3335" s="2" t="s">
        <v>9967</v>
      </c>
      <c r="C3335" s="2">
        <f>IFERROR(__xludf.DUMMYFUNCTION("split(B3335,""_"")"),1810.0)</f>
        <v>1810</v>
      </c>
      <c r="D3335" s="2" t="str">
        <f>IFERROR(__xludf.DUMMYFUNCTION("""COMPUTED_VALUE"""),"NTV")</f>
        <v>NTV</v>
      </c>
      <c r="E3335" s="2" t="str">
        <f>IFERROR(__xludf.DUMMYFUNCTION("""COMPUTED_VALUE"""),"日22")</f>
        <v>日22</v>
      </c>
      <c r="F3335" s="2" t="s">
        <v>9968</v>
      </c>
      <c r="G3335" s="2" t="s">
        <v>9996</v>
      </c>
      <c r="H3335" s="1">
        <v>10.0</v>
      </c>
      <c r="J3335" s="1" t="s">
        <v>82</v>
      </c>
      <c r="K3335" s="2" t="s">
        <v>9997</v>
      </c>
      <c r="L3335" s="11" t="s">
        <v>9998</v>
      </c>
      <c r="M3335" s="2" t="str">
        <f>IFERROR(__xludf.DUMMYFUNCTION("split(split(K3335,""【"",false),""公式LINE"",false)"),"今井（太賀）がヤクザに襲われ意識不明の重体。さらに次は伊藤（伊藤健太郎）が…！圧倒的強さの月川（城田優）にどう立ち向かう！？…と、そんな中、三橋（賀来賢人）が「今日からツッパリやめます」宣言!?理子(清野菜名)も怒る理由が見つからず動揺！どうした三橋！最終回だぞ三橋！？待ちきれないけど、来てほしくなかった最終回ついに！開久との真の決着もすべてはこの回で！さようなら８０年代のツッパリたち!")</f>
        <v>今井（太賀）がヤクザに襲われ意識不明の重体。さらに次は伊藤（伊藤健太郎）が…！圧倒的強さの月川（城田優）にどう立ち向かう！？…と、そんな中、三橋（賀来賢人）が「今日からツッパリやめます」宣言!?理子(清野菜名)も怒る理由が見つからず動揺！どうした三橋！最終回だぞ三橋！？待ちきれないけど、来てほしくなかった最終回ついに！開久との真の決着もすべてはこの回で！さようなら８０年代のツッパリたち!</v>
      </c>
      <c r="N3335" s="2"/>
      <c r="O3335" s="2"/>
      <c r="P3335" s="2"/>
      <c r="Q3335" s="2"/>
      <c r="R3335" s="2"/>
      <c r="S3335" s="2"/>
      <c r="T3335" s="2"/>
      <c r="U3335" s="2"/>
      <c r="V3335" s="2"/>
      <c r="W3335" s="2"/>
      <c r="X3335" s="2"/>
      <c r="Y3335" s="2"/>
      <c r="Z3335" s="2"/>
      <c r="AA3335" s="2"/>
      <c r="AB3335" s="2"/>
      <c r="AC3335" s="2"/>
      <c r="AD3335" s="2"/>
      <c r="AE3335" s="2"/>
      <c r="AF3335" s="2"/>
      <c r="AG3335" s="2"/>
      <c r="AH3335" s="2"/>
      <c r="AI3335" s="2"/>
      <c r="AJ3335" s="2"/>
      <c r="AK3335" s="2"/>
      <c r="AL3335" s="2"/>
      <c r="AM3335" s="2"/>
      <c r="AN3335" s="2"/>
      <c r="AO3335" s="2"/>
      <c r="AP3335" s="2"/>
      <c r="AQ3335" s="2"/>
      <c r="AR3335" s="2"/>
      <c r="AS3335" s="2"/>
      <c r="AT3335" s="2"/>
      <c r="AU3335" s="2"/>
      <c r="AV3335" s="2"/>
      <c r="AW3335" s="2"/>
      <c r="AX3335" s="2"/>
      <c r="AY3335" s="2"/>
      <c r="AZ3335" s="2"/>
      <c r="BA3335" s="2"/>
      <c r="BB3335" s="2"/>
    </row>
    <row r="3336" ht="204.75" customHeight="1">
      <c r="A3336" s="1">
        <v>624.0</v>
      </c>
      <c r="B3336" s="2" t="s">
        <v>9999</v>
      </c>
      <c r="C3336" s="2">
        <f>IFERROR(__xludf.DUMMYFUNCTION("split(B3336,""_"")"),1807.0)</f>
        <v>1807</v>
      </c>
      <c r="D3336" s="2" t="str">
        <f>IFERROR(__xludf.DUMMYFUNCTION("""COMPUTED_VALUE"""),"NTV")</f>
        <v>NTV</v>
      </c>
      <c r="E3336" s="2" t="str">
        <f>IFERROR(__xludf.DUMMYFUNCTION("""COMPUTED_VALUE"""),"水22")</f>
        <v>水22</v>
      </c>
      <c r="F3336" s="2" t="s">
        <v>10000</v>
      </c>
      <c r="G3336" s="2" t="s">
        <v>10001</v>
      </c>
      <c r="H3336" s="1">
        <v>1.0</v>
      </c>
      <c r="I3336" s="1" t="s">
        <v>3</v>
      </c>
      <c r="J3336" s="1" t="s">
        <v>82</v>
      </c>
      <c r="K3336" s="2" t="s">
        <v>10002</v>
      </c>
      <c r="L3336" s="11" t="s">
        <v>10002</v>
      </c>
      <c r="M3336" s="2" t="str">
        <f>IFERROR(__xludf.DUMMYFUNCTION("split(split(K3336,""【"",false),""公式LINE"",false)"),"もも（石原さとみ）は華道の名門「月島流」の令嬢。美しく才能豊か、すべてに恵まれたももだったが、婚約者に裏切られて結婚が破談、深く傷つき立ち直れずにいた。ある日、ももは転んで自転車を大破、迷い込んだ小さな商店街で自転車店を営む直人（峯田和伸）と出会う。高飛車で奔放なももを、直人は穏やかに受け入れて…。あり得ない二人の、まさかの運命の恋を描く、野島伸司脚本による怒涛の純愛エンターテインメント!")</f>
        <v>もも（石原さとみ）は華道の名門「月島流」の令嬢。美しく才能豊か、すべてに恵まれたももだったが、婚約者に裏切られて結婚が破談、深く傷つき立ち直れずにいた。ある日、ももは転んで自転車を大破、迷い込んだ小さな商店街で自転車店を営む直人（峯田和伸）と出会う。高飛車で奔放なももを、直人は穏やかに受け入れて…。あり得ない二人の、まさかの運命の恋を描く、野島伸司脚本による怒涛の純愛エンターテインメント!</v>
      </c>
      <c r="N3336" s="2"/>
      <c r="O3336" s="2"/>
      <c r="P3336" s="2"/>
      <c r="Q3336" s="2"/>
      <c r="R3336" s="2"/>
      <c r="S3336" s="2"/>
      <c r="T3336" s="2"/>
      <c r="U3336" s="2"/>
      <c r="V3336" s="2"/>
      <c r="W3336" s="2"/>
      <c r="X3336" s="2"/>
      <c r="Y3336" s="2"/>
      <c r="Z3336" s="2"/>
      <c r="AA3336" s="2"/>
      <c r="AB3336" s="2"/>
      <c r="AC3336" s="2"/>
      <c r="AD3336" s="2"/>
      <c r="AE3336" s="2"/>
      <c r="AF3336" s="2"/>
      <c r="AG3336" s="2"/>
      <c r="AH3336" s="2"/>
      <c r="AI3336" s="2"/>
      <c r="AJ3336" s="2"/>
      <c r="AK3336" s="2"/>
      <c r="AL3336" s="2"/>
      <c r="AM3336" s="2"/>
      <c r="AN3336" s="2"/>
      <c r="AO3336" s="2"/>
      <c r="AP3336" s="2"/>
      <c r="AQ3336" s="2"/>
      <c r="AR3336" s="2"/>
      <c r="AS3336" s="2"/>
      <c r="AT3336" s="2"/>
      <c r="AU3336" s="2"/>
      <c r="AV3336" s="2"/>
      <c r="AW3336" s="2"/>
      <c r="AX3336" s="2"/>
      <c r="AY3336" s="2"/>
      <c r="AZ3336" s="2"/>
      <c r="BA3336" s="2"/>
      <c r="BB3336" s="2"/>
    </row>
    <row r="3337" ht="204.75" customHeight="1">
      <c r="A3337" s="1">
        <v>625.0</v>
      </c>
      <c r="B3337" s="2" t="s">
        <v>9999</v>
      </c>
      <c r="C3337" s="2">
        <f>IFERROR(__xludf.DUMMYFUNCTION("split(B3337,""_"")"),1807.0)</f>
        <v>1807</v>
      </c>
      <c r="D3337" s="2" t="str">
        <f>IFERROR(__xludf.DUMMYFUNCTION("""COMPUTED_VALUE"""),"NTV")</f>
        <v>NTV</v>
      </c>
      <c r="E3337" s="2" t="str">
        <f>IFERROR(__xludf.DUMMYFUNCTION("""COMPUTED_VALUE"""),"水22")</f>
        <v>水22</v>
      </c>
      <c r="F3337" s="2" t="s">
        <v>10000</v>
      </c>
      <c r="G3337" s="2" t="s">
        <v>10003</v>
      </c>
      <c r="H3337" s="1">
        <v>2.0</v>
      </c>
      <c r="I3337" s="1" t="s">
        <v>7</v>
      </c>
      <c r="J3337" s="1" t="s">
        <v>82</v>
      </c>
      <c r="K3337" s="2" t="s">
        <v>10004</v>
      </c>
      <c r="L3337" s="11" t="s">
        <v>10004</v>
      </c>
      <c r="M3337" s="2" t="str">
        <f>IFERROR(__xludf.DUMMYFUNCTION("split(split(K3337,""【"",false),""公式LINE"",false)"),"月島流の大切な行事に登場し、華道家として復活したもも（石原さとみ）のもとに、彼女をキャバクラ嬢と勘違いした直人（峯田和伸）たちから電話が。ももはとっさに話を合わせ、店に来て指名して、と頼む。そしてすぐさま店の面接を受けて即採用、直人をキャバクラ嬢として接客する。酔った勢いも手伝い、二人は急接近…!?だがその帰り道、突然、元婚約者・吉池（三浦貴大）からの電話が鳴って、思わず受けてしまったももは…。")</f>
        <v>月島流の大切な行事に登場し、華道家として復活したもも（石原さとみ）のもとに、彼女をキャバクラ嬢と勘違いした直人（峯田和伸）たちから電話が。ももはとっさに話を合わせ、店に来て指名して、と頼む。そしてすぐさま店の面接を受けて即採用、直人をキャバクラ嬢として接客する。酔った勢いも手伝い、二人は急接近…!?だがその帰り道、突然、元婚約者・吉池（三浦貴大）からの電話が鳴って、思わず受けてしまったももは…。</v>
      </c>
      <c r="N3337" s="2"/>
      <c r="O3337" s="2"/>
      <c r="P3337" s="2"/>
      <c r="Q3337" s="2"/>
      <c r="R3337" s="2"/>
      <c r="S3337" s="2"/>
      <c r="T3337" s="2"/>
      <c r="U3337" s="2"/>
      <c r="V3337" s="2"/>
      <c r="W3337" s="2"/>
      <c r="X3337" s="2"/>
      <c r="Y3337" s="2"/>
      <c r="Z3337" s="2"/>
      <c r="AA3337" s="2"/>
      <c r="AB3337" s="2"/>
      <c r="AC3337" s="2"/>
      <c r="AD3337" s="2"/>
      <c r="AE3337" s="2"/>
      <c r="AF3337" s="2"/>
      <c r="AG3337" s="2"/>
      <c r="AH3337" s="2"/>
      <c r="AI3337" s="2"/>
      <c r="AJ3337" s="2"/>
      <c r="AK3337" s="2"/>
      <c r="AL3337" s="2"/>
      <c r="AM3337" s="2"/>
      <c r="AN3337" s="2"/>
      <c r="AO3337" s="2"/>
      <c r="AP3337" s="2"/>
      <c r="AQ3337" s="2"/>
      <c r="AR3337" s="2"/>
      <c r="AS3337" s="2"/>
      <c r="AT3337" s="2"/>
      <c r="AU3337" s="2"/>
      <c r="AV3337" s="2"/>
      <c r="AW3337" s="2"/>
      <c r="AX3337" s="2"/>
      <c r="AY3337" s="2"/>
      <c r="AZ3337" s="2"/>
      <c r="BA3337" s="2"/>
      <c r="BB3337" s="2"/>
    </row>
    <row r="3338" ht="204.75" customHeight="1">
      <c r="A3338" s="1">
        <v>626.0</v>
      </c>
      <c r="B3338" s="2" t="s">
        <v>9999</v>
      </c>
      <c r="C3338" s="2">
        <f>IFERROR(__xludf.DUMMYFUNCTION("split(B3338,""_"")"),1807.0)</f>
        <v>1807</v>
      </c>
      <c r="D3338" s="2" t="str">
        <f>IFERROR(__xludf.DUMMYFUNCTION("""COMPUTED_VALUE"""),"NTV")</f>
        <v>NTV</v>
      </c>
      <c r="E3338" s="2" t="str">
        <f>IFERROR(__xludf.DUMMYFUNCTION("""COMPUTED_VALUE"""),"水22")</f>
        <v>水22</v>
      </c>
      <c r="F3338" s="2" t="s">
        <v>10000</v>
      </c>
      <c r="G3338" s="2" t="s">
        <v>10005</v>
      </c>
      <c r="H3338" s="1">
        <v>3.0</v>
      </c>
      <c r="I3338" s="1" t="s">
        <v>10</v>
      </c>
      <c r="J3338" s="1" t="s">
        <v>82</v>
      </c>
      <c r="K3338" s="2" t="s">
        <v>10006</v>
      </c>
      <c r="L3338" s="11" t="s">
        <v>10006</v>
      </c>
      <c r="M3338" s="2" t="str">
        <f>IFERROR(__xludf.DUMMYFUNCTION("split(split(K3338,""【"",false),""公式LINE"",false)"),"直人（峯田和伸）はもも（石原さとみ）を慰めようと、元カレとの思い出話を聞くと申し出るが、ももは怒ってしまう。女心がわからない直人。そんな中、ももの雑誌取材を龍一（千葉雄大）が手配、二人はなな（芳根京子）の反対も聞かず連絡先を交換した。その夜、ももの前に吉池（三浦貴大）が現れ、妻が隠していた月島流の免状を見せる。彼女が内部関係者だったと知り、激しく動揺するもも。吉池が誘惑されたのは、誰かの策略か…!")</f>
        <v>直人（峯田和伸）はもも（石原さとみ）を慰めようと、元カレとの思い出話を聞くと申し出るが、ももは怒ってしまう。女心がわからない直人。そんな中、ももの雑誌取材を龍一（千葉雄大）が手配、二人はなな（芳根京子）の反対も聞かず連絡先を交換した。その夜、ももの前に吉池（三浦貴大）が現れ、妻が隠していた月島流の免状を見せる。彼女が内部関係者だったと知り、激しく動揺するもも。吉池が誘惑されたのは、誰かの策略か…!</v>
      </c>
      <c r="N3338" s="2"/>
      <c r="O3338" s="2"/>
      <c r="P3338" s="2"/>
      <c r="Q3338" s="2"/>
      <c r="R3338" s="2"/>
      <c r="S3338" s="2"/>
      <c r="T3338" s="2"/>
      <c r="U3338" s="2"/>
      <c r="V3338" s="2"/>
      <c r="W3338" s="2"/>
      <c r="X3338" s="2"/>
      <c r="Y3338" s="2"/>
      <c r="Z3338" s="2"/>
      <c r="AA3338" s="2"/>
      <c r="AB3338" s="2"/>
      <c r="AC3338" s="2"/>
      <c r="AD3338" s="2"/>
      <c r="AE3338" s="2"/>
      <c r="AF3338" s="2"/>
      <c r="AG3338" s="2"/>
      <c r="AH3338" s="2"/>
      <c r="AI3338" s="2"/>
      <c r="AJ3338" s="2"/>
      <c r="AK3338" s="2"/>
      <c r="AL3338" s="2"/>
      <c r="AM3338" s="2"/>
      <c r="AN3338" s="2"/>
      <c r="AO3338" s="2"/>
      <c r="AP3338" s="2"/>
      <c r="AQ3338" s="2"/>
      <c r="AR3338" s="2"/>
      <c r="AS3338" s="2"/>
      <c r="AT3338" s="2"/>
      <c r="AU3338" s="2"/>
      <c r="AV3338" s="2"/>
      <c r="AW3338" s="2"/>
      <c r="AX3338" s="2"/>
      <c r="AY3338" s="2"/>
      <c r="AZ3338" s="2"/>
      <c r="BA3338" s="2"/>
      <c r="BB3338" s="2"/>
    </row>
    <row r="3339" ht="204.75" customHeight="1">
      <c r="A3339" s="1">
        <v>627.0</v>
      </c>
      <c r="B3339" s="2" t="s">
        <v>9999</v>
      </c>
      <c r="C3339" s="2">
        <f>IFERROR(__xludf.DUMMYFUNCTION("split(B3339,""_"")"),1807.0)</f>
        <v>1807</v>
      </c>
      <c r="D3339" s="2" t="str">
        <f>IFERROR(__xludf.DUMMYFUNCTION("""COMPUTED_VALUE"""),"NTV")</f>
        <v>NTV</v>
      </c>
      <c r="E3339" s="2" t="str">
        <f>IFERROR(__xludf.DUMMYFUNCTION("""COMPUTED_VALUE"""),"水22")</f>
        <v>水22</v>
      </c>
      <c r="F3339" s="2" t="s">
        <v>10000</v>
      </c>
      <c r="G3339" s="2" t="s">
        <v>10007</v>
      </c>
      <c r="H3339" s="1">
        <v>4.0</v>
      </c>
      <c r="I3339" s="1" t="s">
        <v>14</v>
      </c>
      <c r="J3339" s="1" t="s">
        <v>82</v>
      </c>
      <c r="K3339" s="2" t="s">
        <v>10008</v>
      </c>
      <c r="L3339" s="11" t="s">
        <v>10009</v>
      </c>
      <c r="M3339" s="2" t="str">
        <f>IFERROR(__xludf.DUMMYFUNCTION("split(split(K3339,""【"",false),""公式LINE"",false)"),"もも（石原さとみ）は直人（峯田和伸）を恋の相手と意識していたが、ももにキスされて以来、直人は目も合わせられず挙動不審に。一方、なな（芳根京子）は龍一（千葉雄大）への思いから、市松（小日向文世）に自分も家元を継ぐチャンスが欲しいと訴え出て、ももには長年抱えてきたコンプレックスを激しくぶつけた！そんな中、雑誌に月島ももの取材記事が掲載され、直人はついに彼女の正体を知ることになる。その時、ももは…!?")</f>
        <v>もも（石原さとみ）は直人（峯田和伸）を恋の相手と意識していたが、ももにキスされて以来、直人は目も合わせられず挙動不審に。一方、なな（芳根京子）は龍一（千葉雄大）への思いから、市松（小日向文世）に自分も家元を継ぐチャンスが欲しいと訴え出て、ももには長年抱えてきたコンプレックスを激しくぶつけた！そんな中、雑誌に月島ももの取材記事が掲載され、直人はついに彼女の正体を知ることになる。その時、ももは…!?</v>
      </c>
      <c r="N3339" s="2"/>
      <c r="O3339" s="2"/>
      <c r="P3339" s="2"/>
      <c r="Q3339" s="2"/>
      <c r="R3339" s="2"/>
      <c r="S3339" s="2"/>
      <c r="T3339" s="2"/>
      <c r="U3339" s="2"/>
      <c r="V3339" s="2"/>
      <c r="W3339" s="2"/>
      <c r="X3339" s="2"/>
      <c r="Y3339" s="2"/>
      <c r="Z3339" s="2"/>
      <c r="AA3339" s="2"/>
      <c r="AB3339" s="2"/>
      <c r="AC3339" s="2"/>
      <c r="AD3339" s="2"/>
      <c r="AE3339" s="2"/>
      <c r="AF3339" s="2"/>
      <c r="AG3339" s="2"/>
      <c r="AH3339" s="2"/>
      <c r="AI3339" s="2"/>
      <c r="AJ3339" s="2"/>
      <c r="AK3339" s="2"/>
      <c r="AL3339" s="2"/>
      <c r="AM3339" s="2"/>
      <c r="AN3339" s="2"/>
      <c r="AO3339" s="2"/>
      <c r="AP3339" s="2"/>
      <c r="AQ3339" s="2"/>
      <c r="AR3339" s="2"/>
      <c r="AS3339" s="2"/>
      <c r="AT3339" s="2"/>
      <c r="AU3339" s="2"/>
      <c r="AV3339" s="2"/>
      <c r="AW3339" s="2"/>
      <c r="AX3339" s="2"/>
      <c r="AY3339" s="2"/>
      <c r="AZ3339" s="2"/>
      <c r="BA3339" s="2"/>
      <c r="BB3339" s="2"/>
    </row>
    <row r="3340" ht="204.75" customHeight="1">
      <c r="A3340" s="1">
        <v>628.0</v>
      </c>
      <c r="B3340" s="2" t="s">
        <v>9999</v>
      </c>
      <c r="C3340" s="2">
        <f>IFERROR(__xludf.DUMMYFUNCTION("split(B3340,""_"")"),1807.0)</f>
        <v>1807</v>
      </c>
      <c r="D3340" s="2" t="str">
        <f>IFERROR(__xludf.DUMMYFUNCTION("""COMPUTED_VALUE"""),"NTV")</f>
        <v>NTV</v>
      </c>
      <c r="E3340" s="2" t="str">
        <f>IFERROR(__xludf.DUMMYFUNCTION("""COMPUTED_VALUE"""),"水22")</f>
        <v>水22</v>
      </c>
      <c r="F3340" s="2" t="s">
        <v>10000</v>
      </c>
      <c r="G3340" s="2" t="s">
        <v>10010</v>
      </c>
      <c r="H3340" s="1">
        <v>5.0</v>
      </c>
      <c r="I3340" s="1" t="s">
        <v>17</v>
      </c>
      <c r="J3340" s="1" t="s">
        <v>82</v>
      </c>
      <c r="K3340" s="2" t="s">
        <v>10011</v>
      </c>
      <c r="L3340" s="3" t="s">
        <v>10012</v>
      </c>
      <c r="M3340" s="2" t="str">
        <f>IFERROR(__xludf.DUMMYFUNCTION("split(split(K3340,""【"",false),""公式LINE"",false)"),"もも（石原さとみ）は直人（峯田和伸）を月島家に招き、市松（小日向文世）に、彼と結婚するのでなな（芳根京子）を家元に、と切り出す。直人は唐突な結婚話に戸惑いながらも話を合わせる。市松は、それなら破門だとももに告げた。一方、ななは龍一（千葉雄大）とルリ子（戸田菜穂）の密会にニアミス！そんな中、吉池（三浦貴大）が市松を襲い大ケガを負わせた！病院に駆けつけたももに市松は、ももの知らない母親の話を始める…。")</f>
        <v>もも（石原さとみ）は直人（峯田和伸）を月島家に招き、市松（小日向文世）に、彼と結婚するのでなな（芳根京子）を家元に、と切り出す。直人は唐突な結婚話に戸惑いながらも話を合わせる。市松は、それなら破門だとももに告げた。一方、ななは龍一（千葉雄大）とルリ子（戸田菜穂）の密会にニアミス！そんな中、吉池（三浦貴大）が市松を襲い大ケガを負わせた！病院に駆けつけたももに市松は、ももの知らない母親の話を始める…。</v>
      </c>
      <c r="N3340" s="2"/>
      <c r="O3340" s="2"/>
      <c r="P3340" s="2"/>
      <c r="Q3340" s="2"/>
      <c r="R3340" s="2"/>
      <c r="S3340" s="2"/>
      <c r="T3340" s="2"/>
      <c r="U3340" s="2"/>
      <c r="V3340" s="2"/>
      <c r="W3340" s="2"/>
      <c r="X3340" s="2"/>
      <c r="Y3340" s="2"/>
      <c r="Z3340" s="2"/>
      <c r="AA3340" s="2"/>
      <c r="AB3340" s="2"/>
      <c r="AC3340" s="2"/>
      <c r="AD3340" s="2"/>
      <c r="AE3340" s="2"/>
      <c r="AF3340" s="2"/>
      <c r="AG3340" s="2"/>
      <c r="AH3340" s="2"/>
      <c r="AI3340" s="2"/>
      <c r="AJ3340" s="2"/>
      <c r="AK3340" s="2"/>
      <c r="AL3340" s="2"/>
      <c r="AM3340" s="2"/>
      <c r="AN3340" s="2"/>
      <c r="AO3340" s="2"/>
      <c r="AP3340" s="2"/>
      <c r="AQ3340" s="2"/>
      <c r="AR3340" s="2"/>
      <c r="AS3340" s="2"/>
      <c r="AT3340" s="2"/>
      <c r="AU3340" s="2"/>
      <c r="AV3340" s="2"/>
      <c r="AW3340" s="2"/>
      <c r="AX3340" s="2"/>
      <c r="AY3340" s="2"/>
      <c r="AZ3340" s="2"/>
      <c r="BA3340" s="2"/>
      <c r="BB3340" s="2"/>
    </row>
    <row r="3341" ht="204.75" customHeight="1">
      <c r="A3341" s="1">
        <v>629.0</v>
      </c>
      <c r="B3341" s="2" t="s">
        <v>9999</v>
      </c>
      <c r="C3341" s="2">
        <f>IFERROR(__xludf.DUMMYFUNCTION("split(B3341,""_"")"),1807.0)</f>
        <v>1807</v>
      </c>
      <c r="D3341" s="2" t="str">
        <f>IFERROR(__xludf.DUMMYFUNCTION("""COMPUTED_VALUE"""),"NTV")</f>
        <v>NTV</v>
      </c>
      <c r="E3341" s="2" t="str">
        <f>IFERROR(__xludf.DUMMYFUNCTION("""COMPUTED_VALUE"""),"水22")</f>
        <v>水22</v>
      </c>
      <c r="F3341" s="2" t="s">
        <v>10000</v>
      </c>
      <c r="G3341" s="2" t="s">
        <v>10013</v>
      </c>
      <c r="H3341" s="1">
        <v>6.0</v>
      </c>
      <c r="I3341" s="1" t="s">
        <v>21</v>
      </c>
      <c r="J3341" s="1" t="s">
        <v>82</v>
      </c>
      <c r="K3341" s="2" t="s">
        <v>10014</v>
      </c>
      <c r="L3341" s="2" t="s">
        <v>10015</v>
      </c>
      <c r="M3341" s="2" t="str">
        <f>IFERROR(__xludf.DUMMYFUNCTION("split(split(K3341,""【"",false),""公式LINE"",false)"),"家元になると決意したもも（石原さとみ）だったが、満足のいく作品が創れない。一方、なな（芳根京子）はももが逃亡中の吉池（三浦貴大）を匿っていると知り驚愕！そんな中、ももと直人（峯田和伸）の婚約パーティーが開かれる。皆に祝福され、ももははしゃいでいた。ななは、結婚を止めなければと直人にももの「驚くべき計画」を告げるが、それを聞いた直人は意外な反応を…。そして、二人の結婚式が始まる。そこで衝撃の悲劇が…")</f>
        <v>家元になると決意したもも（石原さとみ）だったが、満足のいく作品が創れない。一方、なな（芳根京子）はももが逃亡中の吉池（三浦貴大）を匿っていると知り驚愕！そんな中、ももと直人（峯田和伸）の婚約パーティーが開かれる。皆に祝福され、ももははしゃいでいた。ななは、結婚を止めなければと直人にももの「驚くべき計画」を告げるが、それを聞いた直人は意外な反応を…。そして、二人の結婚式が始まる。そこで衝撃の悲劇が…</v>
      </c>
      <c r="N3341" s="2"/>
      <c r="O3341" s="2"/>
      <c r="P3341" s="2"/>
      <c r="Q3341" s="2"/>
      <c r="R3341" s="2"/>
      <c r="S3341" s="2"/>
      <c r="T3341" s="2"/>
      <c r="U3341" s="2"/>
      <c r="V3341" s="2"/>
      <c r="W3341" s="2"/>
      <c r="X3341" s="2"/>
      <c r="Y3341" s="2"/>
      <c r="Z3341" s="2"/>
      <c r="AA3341" s="2"/>
      <c r="AB3341" s="2"/>
      <c r="AC3341" s="2"/>
      <c r="AD3341" s="2"/>
      <c r="AE3341" s="2"/>
      <c r="AF3341" s="2"/>
      <c r="AG3341" s="2"/>
      <c r="AH3341" s="2"/>
      <c r="AI3341" s="2"/>
      <c r="AJ3341" s="2"/>
      <c r="AK3341" s="2"/>
      <c r="AL3341" s="2"/>
      <c r="AM3341" s="2"/>
      <c r="AN3341" s="2"/>
      <c r="AO3341" s="2"/>
      <c r="AP3341" s="2"/>
      <c r="AQ3341" s="2"/>
      <c r="AR3341" s="2"/>
      <c r="AS3341" s="2"/>
      <c r="AT3341" s="2"/>
      <c r="AU3341" s="2"/>
      <c r="AV3341" s="2"/>
      <c r="AW3341" s="2"/>
      <c r="AX3341" s="2"/>
      <c r="AY3341" s="2"/>
      <c r="AZ3341" s="2"/>
      <c r="BA3341" s="2"/>
      <c r="BB3341" s="2"/>
    </row>
    <row r="3342" ht="204.75" customHeight="1">
      <c r="A3342" s="1">
        <v>630.0</v>
      </c>
      <c r="B3342" s="2" t="s">
        <v>9999</v>
      </c>
      <c r="C3342" s="2">
        <f>IFERROR(__xludf.DUMMYFUNCTION("split(B3342,""_"")"),1807.0)</f>
        <v>1807</v>
      </c>
      <c r="D3342" s="2" t="str">
        <f>IFERROR(__xludf.DUMMYFUNCTION("""COMPUTED_VALUE"""),"NTV")</f>
        <v>NTV</v>
      </c>
      <c r="E3342" s="2" t="str">
        <f>IFERROR(__xludf.DUMMYFUNCTION("""COMPUTED_VALUE"""),"水22")</f>
        <v>水22</v>
      </c>
      <c r="F3342" s="2" t="s">
        <v>10000</v>
      </c>
      <c r="G3342" s="2" t="s">
        <v>10016</v>
      </c>
      <c r="H3342" s="1">
        <v>7.0</v>
      </c>
      <c r="I3342" s="1" t="s">
        <v>25</v>
      </c>
      <c r="J3342" s="1" t="s">
        <v>82</v>
      </c>
      <c r="K3342" s="2" t="s">
        <v>10017</v>
      </c>
      <c r="L3342" s="2" t="s">
        <v>10018</v>
      </c>
      <c r="M3342" s="2" t="str">
        <f>IFERROR(__xludf.DUMMYFUNCTION("split(split(K3342,""【"",false),""公式LINE"",false)"),"結婚式から逃げたもも（石原さとみ）だったが、別れ際の直人（峯田和伸）の笑顔が頭から離れない。直人はなぜ笑ったの…？そんな中、ももは華道界一の名門の家元候補・兵馬（大貫勇輔）と出会い、敬意を抱く。一方、直人は図書館で看護師・千秋（香里奈）と知り合う。そしてなな（芳根京子）は、ついに龍一（千葉雄大）と母・ルリ子（戸田菜穂）が密会しているのを目の当たりに…！秘密、嘘、裏切り、愛憎渦巻く第二章スタート!")</f>
        <v>結婚式から逃げたもも（石原さとみ）だったが、別れ際の直人（峯田和伸）の笑顔が頭から離れない。直人はなぜ笑ったの…？そんな中、ももは華道界一の名門の家元候補・兵馬（大貫勇輔）と出会い、敬意を抱く。一方、直人は図書館で看護師・千秋（香里奈）と知り合う。そしてなな（芳根京子）は、ついに龍一（千葉雄大）と母・ルリ子（戸田菜穂）が密会しているのを目の当たりに…！秘密、嘘、裏切り、愛憎渦巻く第二章スタート!</v>
      </c>
      <c r="N3342" s="2"/>
      <c r="O3342" s="2"/>
      <c r="P3342" s="2"/>
      <c r="Q3342" s="2"/>
      <c r="R3342" s="2"/>
      <c r="S3342" s="2"/>
      <c r="T3342" s="2"/>
      <c r="U3342" s="2"/>
      <c r="V3342" s="2"/>
      <c r="W3342" s="2"/>
      <c r="X3342" s="2"/>
      <c r="Y3342" s="2"/>
      <c r="Z3342" s="2"/>
      <c r="AA3342" s="2"/>
      <c r="AB3342" s="2"/>
      <c r="AC3342" s="2"/>
      <c r="AD3342" s="2"/>
      <c r="AE3342" s="2"/>
      <c r="AF3342" s="2"/>
      <c r="AG3342" s="2"/>
      <c r="AH3342" s="2"/>
      <c r="AI3342" s="2"/>
      <c r="AJ3342" s="2"/>
      <c r="AK3342" s="2"/>
      <c r="AL3342" s="2"/>
      <c r="AM3342" s="2"/>
      <c r="AN3342" s="2"/>
      <c r="AO3342" s="2"/>
      <c r="AP3342" s="2"/>
      <c r="AQ3342" s="2"/>
      <c r="AR3342" s="2"/>
      <c r="AS3342" s="2"/>
      <c r="AT3342" s="2"/>
      <c r="AU3342" s="2"/>
      <c r="AV3342" s="2"/>
      <c r="AW3342" s="2"/>
      <c r="AX3342" s="2"/>
      <c r="AY3342" s="2"/>
      <c r="AZ3342" s="2"/>
      <c r="BA3342" s="2"/>
      <c r="BB3342" s="2"/>
    </row>
    <row r="3343" ht="204.75" customHeight="1">
      <c r="A3343" s="1">
        <v>631.0</v>
      </c>
      <c r="B3343" s="2" t="s">
        <v>9999</v>
      </c>
      <c r="C3343" s="2">
        <f>IFERROR(__xludf.DUMMYFUNCTION("split(B3343,""_"")"),1807.0)</f>
        <v>1807</v>
      </c>
      <c r="D3343" s="2" t="str">
        <f>IFERROR(__xludf.DUMMYFUNCTION("""COMPUTED_VALUE"""),"NTV")</f>
        <v>NTV</v>
      </c>
      <c r="E3343" s="2" t="str">
        <f>IFERROR(__xludf.DUMMYFUNCTION("""COMPUTED_VALUE"""),"水22")</f>
        <v>水22</v>
      </c>
      <c r="F3343" s="2" t="s">
        <v>10000</v>
      </c>
      <c r="G3343" s="2" t="s">
        <v>10019</v>
      </c>
      <c r="H3343" s="1">
        <v>8.0</v>
      </c>
      <c r="I3343" s="1" t="s">
        <v>29</v>
      </c>
      <c r="J3343" s="1" t="s">
        <v>82</v>
      </c>
      <c r="K3343" s="2" t="s">
        <v>10020</v>
      </c>
      <c r="L3343" s="2" t="s">
        <v>10021</v>
      </c>
      <c r="M3343" s="2" t="str">
        <f>IFERROR(__xludf.DUMMYFUNCTION("split(split(K3343,""【"",false),""公式LINE"",false)"),"もも（石原さとみ）は兵馬（大貫勇輔）の生け花に魅了され、直人（峯田和伸）は千秋（香里奈）と親しくなる。一方で直人は、生け花関連の本を読みこみ、ももの苦悩を理解しようと努めていた。そんな中、ついにももとなな（芳根京子）どちらが次の家元か見定める催事「俎上」の日が。直人、龍一（千葉雄大）、それぞれへの想いが移った対照的な作品に、投票は同数に。最後の市松（小日向文世）の一票で、次の家元が決定される…!")</f>
        <v>もも（石原さとみ）は兵馬（大貫勇輔）の生け花に魅了され、直人（峯田和伸）は千秋（香里奈）と親しくなる。一方で直人は、生け花関連の本を読みこみ、ももの苦悩を理解しようと努めていた。そんな中、ついにももとなな（芳根京子）どちらが次の家元か見定める催事「俎上」の日が。直人、龍一（千葉雄大）、それぞれへの想いが移った対照的な作品に、投票は同数に。最後の市松（小日向文世）の一票で、次の家元が決定される…!</v>
      </c>
      <c r="N3343" s="2"/>
      <c r="O3343" s="2"/>
      <c r="P3343" s="2"/>
      <c r="Q3343" s="2"/>
      <c r="R3343" s="2"/>
      <c r="S3343" s="2"/>
      <c r="T3343" s="2"/>
      <c r="U3343" s="2"/>
      <c r="V3343" s="2"/>
      <c r="W3343" s="2"/>
      <c r="X3343" s="2"/>
      <c r="Y3343" s="2"/>
      <c r="Z3343" s="2"/>
      <c r="AA3343" s="2"/>
      <c r="AB3343" s="2"/>
      <c r="AC3343" s="2"/>
      <c r="AD3343" s="2"/>
      <c r="AE3343" s="2"/>
      <c r="AF3343" s="2"/>
      <c r="AG3343" s="2"/>
      <c r="AH3343" s="2"/>
      <c r="AI3343" s="2"/>
      <c r="AJ3343" s="2"/>
      <c r="AK3343" s="2"/>
      <c r="AL3343" s="2"/>
      <c r="AM3343" s="2"/>
      <c r="AN3343" s="2"/>
      <c r="AO3343" s="2"/>
      <c r="AP3343" s="2"/>
      <c r="AQ3343" s="2"/>
      <c r="AR3343" s="2"/>
      <c r="AS3343" s="2"/>
      <c r="AT3343" s="2"/>
      <c r="AU3343" s="2"/>
      <c r="AV3343" s="2"/>
      <c r="AW3343" s="2"/>
      <c r="AX3343" s="2"/>
      <c r="AY3343" s="2"/>
      <c r="AZ3343" s="2"/>
      <c r="BA3343" s="2"/>
      <c r="BB3343" s="2"/>
    </row>
    <row r="3344" ht="204.75" customHeight="1">
      <c r="A3344" s="1">
        <v>632.0</v>
      </c>
      <c r="B3344" s="2" t="s">
        <v>9999</v>
      </c>
      <c r="C3344" s="2">
        <f>IFERROR(__xludf.DUMMYFUNCTION("split(B3344,""_"")"),1807.0)</f>
        <v>1807</v>
      </c>
      <c r="D3344" s="2" t="str">
        <f>IFERROR(__xludf.DUMMYFUNCTION("""COMPUTED_VALUE"""),"NTV")</f>
        <v>NTV</v>
      </c>
      <c r="E3344" s="2" t="str">
        <f>IFERROR(__xludf.DUMMYFUNCTION("""COMPUTED_VALUE"""),"水22")</f>
        <v>水22</v>
      </c>
      <c r="F3344" s="2" t="s">
        <v>10000</v>
      </c>
      <c r="G3344" s="2" t="s">
        <v>10022</v>
      </c>
      <c r="H3344" s="1">
        <v>9.0</v>
      </c>
      <c r="I3344" s="1" t="s">
        <v>33</v>
      </c>
      <c r="J3344" s="1" t="s">
        <v>82</v>
      </c>
      <c r="K3344" s="2" t="s">
        <v>10023</v>
      </c>
      <c r="L3344" s="2" t="s">
        <v>10024</v>
      </c>
      <c r="M3344" s="2" t="str">
        <f>IFERROR(__xludf.DUMMYFUNCTION("split(split(K3344,""【"",false),""公式LINE"",false)"),"神宮流の次の家元を決める催事が龍一（千葉雄大）と兵馬（大貫勇輔）で行われる。もも（石原さとみ）、なな（芳根京子）も票を持つこの決戦に人生を懸けて挑む龍一。直人（峯田和伸）は千秋（香里奈）の意外な正体を知らぬまま親しくなる。そしてももは、龍一から、自分は市松（小日向文世）の実子でないことを知らされる…！激しく動揺し、ももは真実を確かめに市松のもとへ…。その時、市松は？ももの心に押し寄せる思いとは…!")</f>
        <v>神宮流の次の家元を決める催事が龍一（千葉雄大）と兵馬（大貫勇輔）で行われる。もも（石原さとみ）、なな（芳根京子）も票を持つこの決戦に人生を懸けて挑む龍一。直人（峯田和伸）は千秋（香里奈）の意外な正体を知らぬまま親しくなる。そしてももは、龍一から、自分は市松（小日向文世）の実子でないことを知らされる…！激しく動揺し、ももは真実を確かめに市松のもとへ…。その時、市松は？ももの心に押し寄せる思いとは…!</v>
      </c>
      <c r="N3344" s="2"/>
      <c r="O3344" s="2"/>
      <c r="P3344" s="2"/>
      <c r="Q3344" s="2"/>
      <c r="R3344" s="2"/>
      <c r="S3344" s="2"/>
      <c r="T3344" s="2"/>
      <c r="U3344" s="2"/>
      <c r="V3344" s="2"/>
      <c r="W3344" s="2"/>
      <c r="X3344" s="2"/>
      <c r="Y3344" s="2"/>
      <c r="Z3344" s="2"/>
      <c r="AA3344" s="2"/>
      <c r="AB3344" s="2"/>
      <c r="AC3344" s="2"/>
      <c r="AD3344" s="2"/>
      <c r="AE3344" s="2"/>
      <c r="AF3344" s="2"/>
      <c r="AG3344" s="2"/>
      <c r="AH3344" s="2"/>
      <c r="AI3344" s="2"/>
      <c r="AJ3344" s="2"/>
      <c r="AK3344" s="2"/>
      <c r="AL3344" s="2"/>
      <c r="AM3344" s="2"/>
      <c r="AN3344" s="2"/>
      <c r="AO3344" s="2"/>
      <c r="AP3344" s="2"/>
      <c r="AQ3344" s="2"/>
      <c r="AR3344" s="2"/>
      <c r="AS3344" s="2"/>
      <c r="AT3344" s="2"/>
      <c r="AU3344" s="2"/>
      <c r="AV3344" s="2"/>
      <c r="AW3344" s="2"/>
      <c r="AX3344" s="2"/>
      <c r="AY3344" s="2"/>
      <c r="AZ3344" s="2"/>
      <c r="BA3344" s="2"/>
      <c r="BB3344" s="2"/>
    </row>
    <row r="3345" ht="204.75" customHeight="1">
      <c r="A3345" s="1">
        <v>633.0</v>
      </c>
      <c r="B3345" s="2" t="s">
        <v>9999</v>
      </c>
      <c r="C3345" s="2">
        <f>IFERROR(__xludf.DUMMYFUNCTION("split(B3345,""_"")"),1807.0)</f>
        <v>1807</v>
      </c>
      <c r="D3345" s="2" t="str">
        <f>IFERROR(__xludf.DUMMYFUNCTION("""COMPUTED_VALUE"""),"NTV")</f>
        <v>NTV</v>
      </c>
      <c r="E3345" s="2" t="str">
        <f>IFERROR(__xludf.DUMMYFUNCTION("""COMPUTED_VALUE"""),"水22")</f>
        <v>水22</v>
      </c>
      <c r="F3345" s="2" t="s">
        <v>10000</v>
      </c>
      <c r="G3345" s="2" t="s">
        <v>10025</v>
      </c>
      <c r="H3345" s="1">
        <v>10.0</v>
      </c>
      <c r="I3345" s="1" t="s">
        <v>37</v>
      </c>
      <c r="J3345" s="1" t="s">
        <v>82</v>
      </c>
      <c r="K3345" s="2" t="s">
        <v>10026</v>
      </c>
      <c r="L3345" s="2" t="s">
        <v>10027</v>
      </c>
      <c r="M3345" s="2" t="str">
        <f>IFERROR(__xludf.DUMMYFUNCTION("split(split(K3345,""【"",false),""公式LINE"",false)"),"もも（石原さとみ）は千秋（香里奈）が直人（峯田和伸）を誘惑する様子を電話で聴いていた。浮気でかまわない、と誘いかける千秋に、直人は…。龍一（千葉雄大）と生きる決意をしたなな（芳根京子）は市松（小日向文世）に破門され、市松は龍一に、ももとの縁談を持ちかける。ももは直人を呼び出して、月島を継ぐことになったと、これまでの感謝の思いを伝え本当の別れを告げる…。感動と衝撃、すべてのピースがはまる最終回!")</f>
        <v>もも（石原さとみ）は千秋（香里奈）が直人（峯田和伸）を誘惑する様子を電話で聴いていた。浮気でかまわない、と誘いかける千秋に、直人は…。龍一（千葉雄大）と生きる決意をしたなな（芳根京子）は市松（小日向文世）に破門され、市松は龍一に、ももとの縁談を持ちかける。ももは直人を呼び出して、月島を継ぐことになったと、これまでの感謝の思いを伝え本当の別れを告げる…。感動と衝撃、すべてのピースがはまる最終回!</v>
      </c>
      <c r="N3345" s="2"/>
      <c r="O3345" s="2"/>
      <c r="P3345" s="2"/>
      <c r="Q3345" s="2"/>
      <c r="R3345" s="2"/>
      <c r="S3345" s="2"/>
      <c r="T3345" s="2"/>
      <c r="U3345" s="2"/>
      <c r="V3345" s="2"/>
      <c r="W3345" s="2"/>
      <c r="X3345" s="2"/>
      <c r="Y3345" s="2"/>
      <c r="Z3345" s="2"/>
      <c r="AA3345" s="2"/>
      <c r="AB3345" s="2"/>
      <c r="AC3345" s="2"/>
      <c r="AD3345" s="2"/>
      <c r="AE3345" s="2"/>
      <c r="AF3345" s="2"/>
      <c r="AG3345" s="2"/>
      <c r="AH3345" s="2"/>
      <c r="AI3345" s="2"/>
      <c r="AJ3345" s="2"/>
      <c r="AK3345" s="2"/>
      <c r="AL3345" s="2"/>
      <c r="AM3345" s="2"/>
      <c r="AN3345" s="2"/>
      <c r="AO3345" s="2"/>
      <c r="AP3345" s="2"/>
      <c r="AQ3345" s="2"/>
      <c r="AR3345" s="2"/>
      <c r="AS3345" s="2"/>
      <c r="AT3345" s="2"/>
      <c r="AU3345" s="2"/>
      <c r="AV3345" s="2"/>
      <c r="AW3345" s="2"/>
      <c r="AX3345" s="2"/>
      <c r="AY3345" s="2"/>
      <c r="AZ3345" s="2"/>
      <c r="BA3345" s="2"/>
      <c r="BB3345" s="2"/>
    </row>
    <row r="3346" ht="204.75" customHeight="1">
      <c r="A3346" s="1">
        <v>652.0</v>
      </c>
      <c r="B3346" s="2" t="s">
        <v>10028</v>
      </c>
      <c r="C3346" s="2">
        <f>IFERROR(__xludf.DUMMYFUNCTION("split(B3346,""_"")"),1807.0)</f>
        <v>1807</v>
      </c>
      <c r="D3346" s="2" t="str">
        <f>IFERROR(__xludf.DUMMYFUNCTION("""COMPUTED_VALUE"""),"NTV")</f>
        <v>NTV</v>
      </c>
      <c r="E3346" s="2" t="str">
        <f>IFERROR(__xludf.DUMMYFUNCTION("""COMPUTED_VALUE"""),"木23")</f>
        <v>木23</v>
      </c>
      <c r="F3346" s="2" t="s">
        <v>10029</v>
      </c>
      <c r="G3346" s="2" t="s">
        <v>10030</v>
      </c>
      <c r="H3346" s="1">
        <v>1.0</v>
      </c>
      <c r="I3346" s="1" t="s">
        <v>2868</v>
      </c>
      <c r="J3346" s="1" t="s">
        <v>1435</v>
      </c>
      <c r="K3346" s="2" t="s">
        <v>10031</v>
      </c>
      <c r="L3346" s="2" t="s">
        <v>10032</v>
      </c>
      <c r="M3346" s="2" t="str">
        <f>IFERROR(__xludf.DUMMYFUNCTION("split(split(K3346,""【"",false),""公式LINE"",false)"),"千曲川光…滝藤賢一  十川一華…広瀬アリス    城之内翼…佐藤寛太  山崎未夏…南乃彩希  阿部律音…水島麻理奈  大陀羅麻百合…結城モエ  十川純華…新山千春    大陀羅朱鳥…片平なぎさ(特別出演)    大陀羅壬流古…桐山漣  大陀羅亜謄蛇…神保悟志    橋田政子…水野美紀(他)早すぎる探偵・千曲川光（滝藤賢一）が今回受けた依頼は、父親の遺産５兆円を突如相続することになった美女・十川一華（広瀬アリス）の命を守ること。  父親の兄弟たち大陀羅一族が、莫大な遺産を奪おうと、あの手この手で暗殺を仕掛て"&amp;"くる。魑魅魍魎な彼らは緻密に練られた殺害方法で、次々と一華に襲いかかるのだが・・・  秘技トリック返し！史上最速の探偵は事件を未然に防ぎ、犯人を返り討ちにすることができるのか!?")</f>
        <v>千曲川光…滝藤賢一  十川一華…広瀬アリス    城之内翼…佐藤寛太  山崎未夏…南乃彩希  阿部律音…水島麻理奈  大陀羅麻百合…結城モエ  十川純華…新山千春    大陀羅朱鳥…片平なぎさ(特別出演)    大陀羅壬流古…桐山漣  大陀羅亜謄蛇…神保悟志    橋田政子…水野美紀(他)早すぎる探偵・千曲川光（滝藤賢一）が今回受けた依頼は、父親の遺産５兆円を突如相続することになった美女・十川一華（広瀬アリス）の命を守ること。  父親の兄弟たち大陀羅一族が、莫大な遺産を奪おうと、あの手この手で暗殺を仕掛てくる。魑魅魍魎な彼らは緻密に練られた殺害方法で、次々と一華に襲いかかるのだが・・・  秘技トリック返し！史上最速の探偵は事件を未然に防ぎ、犯人を返り討ちにすることができるのか!?</v>
      </c>
      <c r="N3346" s="2"/>
      <c r="O3346" s="2"/>
      <c r="P3346" s="2"/>
      <c r="Q3346" s="2"/>
      <c r="R3346" s="2"/>
      <c r="S3346" s="2"/>
      <c r="T3346" s="2"/>
      <c r="U3346" s="2"/>
      <c r="V3346" s="2"/>
      <c r="W3346" s="2"/>
      <c r="X3346" s="2"/>
      <c r="Y3346" s="2"/>
      <c r="Z3346" s="2"/>
      <c r="AA3346" s="2"/>
      <c r="AB3346" s="2"/>
      <c r="AC3346" s="2"/>
      <c r="AD3346" s="2"/>
      <c r="AE3346" s="2"/>
      <c r="AF3346" s="2"/>
      <c r="AG3346" s="2"/>
      <c r="AH3346" s="2"/>
      <c r="AI3346" s="2"/>
      <c r="AJ3346" s="2"/>
      <c r="AK3346" s="2"/>
      <c r="AL3346" s="2"/>
      <c r="AM3346" s="2"/>
      <c r="AN3346" s="2"/>
      <c r="AO3346" s="2"/>
      <c r="AP3346" s="2"/>
      <c r="AQ3346" s="2"/>
      <c r="AR3346" s="2"/>
      <c r="AS3346" s="2"/>
      <c r="AT3346" s="2"/>
      <c r="AU3346" s="2"/>
      <c r="AV3346" s="2"/>
      <c r="AW3346" s="2"/>
      <c r="AX3346" s="2"/>
      <c r="AY3346" s="2"/>
      <c r="AZ3346" s="2"/>
      <c r="BA3346" s="2"/>
      <c r="BB3346" s="2"/>
    </row>
    <row r="3347" ht="204.75" customHeight="1">
      <c r="A3347" s="1">
        <v>653.0</v>
      </c>
      <c r="B3347" s="2" t="s">
        <v>10028</v>
      </c>
      <c r="C3347" s="2">
        <f>IFERROR(__xludf.DUMMYFUNCTION("split(B3347,""_"")"),1807.0)</f>
        <v>1807</v>
      </c>
      <c r="D3347" s="2" t="str">
        <f>IFERROR(__xludf.DUMMYFUNCTION("""COMPUTED_VALUE"""),"NTV")</f>
        <v>NTV</v>
      </c>
      <c r="E3347" s="2" t="str">
        <f>IFERROR(__xludf.DUMMYFUNCTION("""COMPUTED_VALUE"""),"木23")</f>
        <v>木23</v>
      </c>
      <c r="F3347" s="2" t="s">
        <v>10029</v>
      </c>
      <c r="G3347" s="2" t="s">
        <v>10033</v>
      </c>
      <c r="H3347" s="1">
        <v>2.0</v>
      </c>
      <c r="I3347" s="1" t="s">
        <v>2872</v>
      </c>
      <c r="J3347" s="1" t="s">
        <v>1435</v>
      </c>
      <c r="K3347" s="2" t="s">
        <v>10034</v>
      </c>
      <c r="L3347" s="2" t="s">
        <v>10035</v>
      </c>
      <c r="M3347" s="2" t="str">
        <f>IFERROR(__xludf.DUMMYFUNCTION("split(split(K3347,""【"",false),""公式LINE"",false)"),"千曲川光…滝藤賢一  十川一華…広瀬アリス    城之内翼…佐藤寛太  山崎未夏…南乃彩希  阿部律音…水島麻理奈  大陀羅麻百合…結城モエ  十川純華…新山千春    加藤康子…山田真歩  三田村博…池田鉄洋  マスター…高橋努    大陀羅朱鳥…片平なぎさ(特別出演)    大陀羅壬流古…桐山漣    橋田政子…水野美紀(他)事件を未然に解決し、一華（広瀬アリス）の命を救った千曲川（滝藤賢一）だったが…  一華は探偵のことを“私を殺そうとした奴”と疑い、さらには父親の遺産５兆円の相続までも拒否すること"&amp;"に。しかし、千曲川は自身の報酬のために相続させようと説得する。２人が反発し合う中、大陀羅一族は新たな完全犯罪計画に動き出す…！次なる最恐の刺客とはー!?")</f>
        <v>千曲川光…滝藤賢一  十川一華…広瀬アリス    城之内翼…佐藤寛太  山崎未夏…南乃彩希  阿部律音…水島麻理奈  大陀羅麻百合…結城モエ  十川純華…新山千春    加藤康子…山田真歩  三田村博…池田鉄洋  マスター…高橋努    大陀羅朱鳥…片平なぎさ(特別出演)    大陀羅壬流古…桐山漣    橋田政子…水野美紀(他)事件を未然に解決し、一華（広瀬アリス）の命を救った千曲川（滝藤賢一）だったが…  一華は探偵のことを“私を殺そうとした奴”と疑い、さらには父親の遺産５兆円の相続までも拒否することに。しかし、千曲川は自身の報酬のために相続させようと説得する。２人が反発し合う中、大陀羅一族は新たな完全犯罪計画に動き出す…！次なる最恐の刺客とはー!?</v>
      </c>
      <c r="N3347" s="2"/>
      <c r="O3347" s="2"/>
      <c r="P3347" s="2"/>
      <c r="Q3347" s="2"/>
      <c r="R3347" s="2"/>
      <c r="S3347" s="2"/>
      <c r="T3347" s="2"/>
      <c r="U3347" s="2"/>
      <c r="V3347" s="2"/>
      <c r="W3347" s="2"/>
      <c r="X3347" s="2"/>
      <c r="Y3347" s="2"/>
      <c r="Z3347" s="2"/>
      <c r="AA3347" s="2"/>
      <c r="AB3347" s="2"/>
      <c r="AC3347" s="2"/>
      <c r="AD3347" s="2"/>
      <c r="AE3347" s="2"/>
      <c r="AF3347" s="2"/>
      <c r="AG3347" s="2"/>
      <c r="AH3347" s="2"/>
      <c r="AI3347" s="2"/>
      <c r="AJ3347" s="2"/>
      <c r="AK3347" s="2"/>
      <c r="AL3347" s="2"/>
      <c r="AM3347" s="2"/>
      <c r="AN3347" s="2"/>
      <c r="AO3347" s="2"/>
      <c r="AP3347" s="2"/>
      <c r="AQ3347" s="2"/>
      <c r="AR3347" s="2"/>
      <c r="AS3347" s="2"/>
      <c r="AT3347" s="2"/>
      <c r="AU3347" s="2"/>
      <c r="AV3347" s="2"/>
      <c r="AW3347" s="2"/>
      <c r="AX3347" s="2"/>
      <c r="AY3347" s="2"/>
      <c r="AZ3347" s="2"/>
      <c r="BA3347" s="2"/>
      <c r="BB3347" s="2"/>
    </row>
    <row r="3348" ht="204.75" customHeight="1">
      <c r="A3348" s="1">
        <v>654.0</v>
      </c>
      <c r="B3348" s="2" t="s">
        <v>10028</v>
      </c>
      <c r="C3348" s="2">
        <f>IFERROR(__xludf.DUMMYFUNCTION("split(B3348,""_"")"),1807.0)</f>
        <v>1807</v>
      </c>
      <c r="D3348" s="2" t="str">
        <f>IFERROR(__xludf.DUMMYFUNCTION("""COMPUTED_VALUE"""),"NTV")</f>
        <v>NTV</v>
      </c>
      <c r="E3348" s="2" t="str">
        <f>IFERROR(__xludf.DUMMYFUNCTION("""COMPUTED_VALUE"""),"木23")</f>
        <v>木23</v>
      </c>
      <c r="F3348" s="2" t="s">
        <v>10029</v>
      </c>
      <c r="G3348" s="2" t="s">
        <v>10036</v>
      </c>
      <c r="H3348" s="1">
        <v>3.0</v>
      </c>
      <c r="I3348" s="1" t="s">
        <v>2876</v>
      </c>
      <c r="J3348" s="1" t="s">
        <v>1435</v>
      </c>
      <c r="K3348" s="2" t="s">
        <v>10037</v>
      </c>
      <c r="L3348" s="2" t="s">
        <v>10038</v>
      </c>
      <c r="M3348" s="2" t="str">
        <f>IFERROR(__xludf.DUMMYFUNCTION("split(split(K3348,""【"",false),""公式LINE"",false)"),"千曲川光…滝藤賢一  十川一華…広瀬アリス    城之内翼…佐藤寛太  山崎未夏…南乃彩希  阿部律音…水島麻理奈    西岡京一…相島一之    大陀羅朱鳥…片平なぎさ(特別出演)    大陀羅亜謄蛇…神保悟志    橋田政子…水野美紀(他)またしても一華（広瀬アリス）を守り抜いた千曲川（滝藤賢一）。そして一華は、５兆円の遺産を相続し大陀羅一族と向き合うことを決意する。常に付きまとう千曲川に嫌気がさした一華は、橋田（水野美紀）を通じて千曲川に近づかないようお願いする。しかし、橋田は「彼が離れるときは、あ"&amp;"なたが命を狙われる時です」と言う。千曲川が一華から離れた時、裏ではいったい何が起きているのか…今回の刺客は、恐るべき頭脳犯!!")</f>
        <v>千曲川光…滝藤賢一  十川一華…広瀬アリス    城之内翼…佐藤寛太  山崎未夏…南乃彩希  阿部律音…水島麻理奈    西岡京一…相島一之    大陀羅朱鳥…片平なぎさ(特別出演)    大陀羅亜謄蛇…神保悟志    橋田政子…水野美紀(他)またしても一華（広瀬アリス）を守り抜いた千曲川（滝藤賢一）。そして一華は、５兆円の遺産を相続し大陀羅一族と向き合うことを決意する。常に付きまとう千曲川に嫌気がさした一華は、橋田（水野美紀）を通じて千曲川に近づかないようお願いする。しかし、橋田は「彼が離れるときは、あなたが命を狙われる時です」と言う。千曲川が一華から離れた時、裏ではいったい何が起きているのか…今回の刺客は、恐るべき頭脳犯!!</v>
      </c>
      <c r="N3348" s="2"/>
      <c r="O3348" s="2"/>
      <c r="P3348" s="2"/>
      <c r="Q3348" s="2"/>
      <c r="R3348" s="2"/>
      <c r="S3348" s="2"/>
      <c r="T3348" s="2"/>
      <c r="U3348" s="2"/>
      <c r="V3348" s="2"/>
      <c r="W3348" s="2"/>
      <c r="X3348" s="2"/>
      <c r="Y3348" s="2"/>
      <c r="Z3348" s="2"/>
      <c r="AA3348" s="2"/>
      <c r="AB3348" s="2"/>
      <c r="AC3348" s="2"/>
      <c r="AD3348" s="2"/>
      <c r="AE3348" s="2"/>
      <c r="AF3348" s="2"/>
      <c r="AG3348" s="2"/>
      <c r="AH3348" s="2"/>
      <c r="AI3348" s="2"/>
      <c r="AJ3348" s="2"/>
      <c r="AK3348" s="2"/>
      <c r="AL3348" s="2"/>
      <c r="AM3348" s="2"/>
      <c r="AN3348" s="2"/>
      <c r="AO3348" s="2"/>
      <c r="AP3348" s="2"/>
      <c r="AQ3348" s="2"/>
      <c r="AR3348" s="2"/>
      <c r="AS3348" s="2"/>
      <c r="AT3348" s="2"/>
      <c r="AU3348" s="2"/>
      <c r="AV3348" s="2"/>
      <c r="AW3348" s="2"/>
      <c r="AX3348" s="2"/>
      <c r="AY3348" s="2"/>
      <c r="AZ3348" s="2"/>
      <c r="BA3348" s="2"/>
      <c r="BB3348" s="2"/>
    </row>
    <row r="3349" ht="204.75" customHeight="1">
      <c r="A3349" s="1">
        <v>655.0</v>
      </c>
      <c r="B3349" s="2" t="s">
        <v>10028</v>
      </c>
      <c r="C3349" s="2">
        <f>IFERROR(__xludf.DUMMYFUNCTION("split(B3349,""_"")"),1807.0)</f>
        <v>1807</v>
      </c>
      <c r="D3349" s="2" t="str">
        <f>IFERROR(__xludf.DUMMYFUNCTION("""COMPUTED_VALUE"""),"NTV")</f>
        <v>NTV</v>
      </c>
      <c r="E3349" s="2" t="str">
        <f>IFERROR(__xludf.DUMMYFUNCTION("""COMPUTED_VALUE"""),"木23")</f>
        <v>木23</v>
      </c>
      <c r="F3349" s="2" t="s">
        <v>10029</v>
      </c>
      <c r="G3349" s="2" t="s">
        <v>10039</v>
      </c>
      <c r="H3349" s="1">
        <v>4.0</v>
      </c>
      <c r="I3349" s="1" t="s">
        <v>2880</v>
      </c>
      <c r="J3349" s="1" t="s">
        <v>1435</v>
      </c>
      <c r="K3349" s="2" t="s">
        <v>10040</v>
      </c>
      <c r="L3349" s="2" t="s">
        <v>10041</v>
      </c>
      <c r="M3349" s="2" t="str">
        <f>IFERROR(__xludf.DUMMYFUNCTION("split(split(K3349,""【"",false),""公式LINE"",false)"),"千曲川光…滝藤賢一  十川一華…広瀬アリス    城之内翼…佐藤寛太  山崎未夏…南乃彩希  阿部律音…水島麻理奈  大陀羅麻百合…結城モエ  十川純華…新山千春  大陀羅瑛…玉置孝匡    大陀羅貴人…前田公輝    大陀羅朱鳥…片平なぎさ(特別出演)    大陀羅壬流古…桐山漣    橋田政子…水野美紀(他)一華（広瀬アリス）の命を狙う次なる刺客は、大陀羅一族の中でも随一の天才・貴人（前田公輝）。遊園地を舞台に、サイコパスが考え出した恐るべき完全犯罪のトリックとはー  さらに、正体不明な家政婦・橋田（"&amp;"水野美紀）の過去が明らかに!?  探偵・千曲川(滝藤賢一)は、今回も事件を未然に防ぐことができるのか…早すぎる史上、最高峰の対決が幕を開ける!!")</f>
        <v>千曲川光…滝藤賢一  十川一華…広瀬アリス    城之内翼…佐藤寛太  山崎未夏…南乃彩希  阿部律音…水島麻理奈  大陀羅麻百合…結城モエ  十川純華…新山千春  大陀羅瑛…玉置孝匡    大陀羅貴人…前田公輝    大陀羅朱鳥…片平なぎさ(特別出演)    大陀羅壬流古…桐山漣    橋田政子…水野美紀(他)一華（広瀬アリス）の命を狙う次なる刺客は、大陀羅一族の中でも随一の天才・貴人（前田公輝）。遊園地を舞台に、サイコパスが考え出した恐るべき完全犯罪のトリックとはー  さらに、正体不明な家政婦・橋田（水野美紀）の過去が明らかに!?  探偵・千曲川(滝藤賢一)は、今回も事件を未然に防ぐことができるのか…早すぎる史上、最高峰の対決が幕を開ける!!</v>
      </c>
      <c r="N3349" s="2"/>
      <c r="O3349" s="2"/>
      <c r="P3349" s="2"/>
      <c r="Q3349" s="2"/>
      <c r="R3349" s="2"/>
      <c r="S3349" s="2"/>
      <c r="T3349" s="2"/>
      <c r="U3349" s="2"/>
      <c r="V3349" s="2"/>
      <c r="W3349" s="2"/>
      <c r="X3349" s="2"/>
      <c r="Y3349" s="2"/>
      <c r="Z3349" s="2"/>
      <c r="AA3349" s="2"/>
      <c r="AB3349" s="2"/>
      <c r="AC3349" s="2"/>
      <c r="AD3349" s="2"/>
      <c r="AE3349" s="2"/>
      <c r="AF3349" s="2"/>
      <c r="AG3349" s="2"/>
      <c r="AH3349" s="2"/>
      <c r="AI3349" s="2"/>
      <c r="AJ3349" s="2"/>
      <c r="AK3349" s="2"/>
      <c r="AL3349" s="2"/>
      <c r="AM3349" s="2"/>
      <c r="AN3349" s="2"/>
      <c r="AO3349" s="2"/>
      <c r="AP3349" s="2"/>
      <c r="AQ3349" s="2"/>
      <c r="AR3349" s="2"/>
      <c r="AS3349" s="2"/>
      <c r="AT3349" s="2"/>
      <c r="AU3349" s="2"/>
      <c r="AV3349" s="2"/>
      <c r="AW3349" s="2"/>
      <c r="AX3349" s="2"/>
      <c r="AY3349" s="2"/>
      <c r="AZ3349" s="2"/>
      <c r="BA3349" s="2"/>
      <c r="BB3349" s="2"/>
    </row>
    <row r="3350" ht="204.75" customHeight="1">
      <c r="A3350" s="1">
        <v>656.0</v>
      </c>
      <c r="B3350" s="2" t="s">
        <v>10028</v>
      </c>
      <c r="C3350" s="2">
        <f>IFERROR(__xludf.DUMMYFUNCTION("split(B3350,""_"")"),1807.0)</f>
        <v>1807</v>
      </c>
      <c r="D3350" s="2" t="str">
        <f>IFERROR(__xludf.DUMMYFUNCTION("""COMPUTED_VALUE"""),"NTV")</f>
        <v>NTV</v>
      </c>
      <c r="E3350" s="2" t="str">
        <f>IFERROR(__xludf.DUMMYFUNCTION("""COMPUTED_VALUE"""),"木23")</f>
        <v>木23</v>
      </c>
      <c r="F3350" s="2" t="s">
        <v>10029</v>
      </c>
      <c r="G3350" s="2" t="s">
        <v>10042</v>
      </c>
      <c r="H3350" s="1">
        <v>5.0</v>
      </c>
      <c r="I3350" s="1" t="s">
        <v>2884</v>
      </c>
      <c r="J3350" s="1" t="s">
        <v>1435</v>
      </c>
      <c r="K3350" s="2" t="s">
        <v>10043</v>
      </c>
      <c r="L3350" s="2" t="s">
        <v>10044</v>
      </c>
      <c r="M3350" s="2" t="str">
        <f>IFERROR(__xludf.DUMMYFUNCTION("split(split(K3350,""【"",false),""公式LINE"",false)"),"千曲川光…滝藤賢一  十川一華…広瀬アリス    城之内翼…佐藤寛太  山崎未夏…南乃彩希  阿部律音…水島麻理奈  大陀羅麻百合…結城モエ    透…五十嵐陽向  乃亜…竹野谷咲    大陀羅朱鳥…片平なぎさ(特別出演)    大陀羅壬流古…桐山漣    橋田政子…水野美紀(他)一華（広瀬アリス）の命を狙うべく、朱鳥（片平なぎさ）の息子・壬流古（桐山漣）が声をかけたのは、幼い兄弟。次なる刺客は、まさかの子ども!?  史上最速の探偵・千曲川(滝藤賢一)は、子ども相手にも容赦なくトリック返しで鉄槌をくだすの"&amp;"か！？そして、不穏な動きを見せるドＳ家政婦の橋田（水野美紀）。一華の母親の過去に、彼女が関わっているのか…その謎の真相が!!  夏祭りで繰り広げられる暗殺計画の行方はー")</f>
        <v>千曲川光…滝藤賢一  十川一華…広瀬アリス    城之内翼…佐藤寛太  山崎未夏…南乃彩希  阿部律音…水島麻理奈  大陀羅麻百合…結城モエ    透…五十嵐陽向  乃亜…竹野谷咲    大陀羅朱鳥…片平なぎさ(特別出演)    大陀羅壬流古…桐山漣    橋田政子…水野美紀(他)一華（広瀬アリス）の命を狙うべく、朱鳥（片平なぎさ）の息子・壬流古（桐山漣）が声をかけたのは、幼い兄弟。次なる刺客は、まさかの子ども!?  史上最速の探偵・千曲川(滝藤賢一)は、子ども相手にも容赦なくトリック返しで鉄槌をくだすのか！？そして、不穏な動きを見せるドＳ家政婦の橋田（水野美紀）。一華の母親の過去に、彼女が関わっているのか…その謎の真相が!!  夏祭りで繰り広げられる暗殺計画の行方はー</v>
      </c>
      <c r="N3350" s="2"/>
      <c r="O3350" s="2"/>
      <c r="P3350" s="2"/>
      <c r="Q3350" s="2"/>
      <c r="R3350" s="2"/>
      <c r="S3350" s="2"/>
      <c r="T3350" s="2"/>
      <c r="U3350" s="2"/>
      <c r="V3350" s="2"/>
      <c r="W3350" s="2"/>
      <c r="X3350" s="2"/>
      <c r="Y3350" s="2"/>
      <c r="Z3350" s="2"/>
      <c r="AA3350" s="2"/>
      <c r="AB3350" s="2"/>
      <c r="AC3350" s="2"/>
      <c r="AD3350" s="2"/>
      <c r="AE3350" s="2"/>
      <c r="AF3350" s="2"/>
      <c r="AG3350" s="2"/>
      <c r="AH3350" s="2"/>
      <c r="AI3350" s="2"/>
      <c r="AJ3350" s="2"/>
      <c r="AK3350" s="2"/>
      <c r="AL3350" s="2"/>
      <c r="AM3350" s="2"/>
      <c r="AN3350" s="2"/>
      <c r="AO3350" s="2"/>
      <c r="AP3350" s="2"/>
      <c r="AQ3350" s="2"/>
      <c r="AR3350" s="2"/>
      <c r="AS3350" s="2"/>
      <c r="AT3350" s="2"/>
      <c r="AU3350" s="2"/>
      <c r="AV3350" s="2"/>
      <c r="AW3350" s="2"/>
      <c r="AX3350" s="2"/>
      <c r="AY3350" s="2"/>
      <c r="AZ3350" s="2"/>
      <c r="BA3350" s="2"/>
      <c r="BB3350" s="2"/>
    </row>
    <row r="3351" ht="204.75" customHeight="1">
      <c r="A3351" s="1">
        <v>657.0</v>
      </c>
      <c r="B3351" s="2" t="s">
        <v>10028</v>
      </c>
      <c r="C3351" s="2">
        <f>IFERROR(__xludf.DUMMYFUNCTION("split(B3351,""_"")"),1807.0)</f>
        <v>1807</v>
      </c>
      <c r="D3351" s="2" t="str">
        <f>IFERROR(__xludf.DUMMYFUNCTION("""COMPUTED_VALUE"""),"NTV")</f>
        <v>NTV</v>
      </c>
      <c r="E3351" s="2" t="str">
        <f>IFERROR(__xludf.DUMMYFUNCTION("""COMPUTED_VALUE"""),"木23")</f>
        <v>木23</v>
      </c>
      <c r="F3351" s="2" t="s">
        <v>10029</v>
      </c>
      <c r="G3351" s="2" t="s">
        <v>10045</v>
      </c>
      <c r="H3351" s="1">
        <v>6.0</v>
      </c>
      <c r="I3351" s="1" t="s">
        <v>2888</v>
      </c>
      <c r="J3351" s="1" t="s">
        <v>1435</v>
      </c>
      <c r="K3351" s="2" t="s">
        <v>10046</v>
      </c>
      <c r="L3351" s="2" t="s">
        <v>10047</v>
      </c>
      <c r="M3351" s="2" t="str">
        <f>IFERROR(__xludf.DUMMYFUNCTION("split(split(K3351,""【"",false),""公式LINE"",false)"),"千曲川光…滝藤賢一  十川一華…広瀬アリス    城之内翼…佐藤寛太  山崎未夏…南乃彩希  阿部律音…水島麻理奈  大陀羅麻百合…結城モエ  十川純華…新山千春    マスター…高橋努  城之内早苗…優希美青    大陀羅朱鳥…片平なぎさ(特別出演)    大陀羅壬流古…桐山漣  大陀羅亜謄蛇…神保悟志    橋田政子…水野美紀(他)千曲川（滝藤賢一）が朱鳥（片平なぎさ）の息子・壬流古（桐山漣）に重傷を負わせたことで、朱鳥は大激怒！千曲川を先に始末するように命令を出す。捕らえられ、監禁されてしまった千曲"&amp;"川…探偵の命が危ない中、亜謄蛇（神保悟志）はプロの刺客を雇い一華に襲い掛かる…千曲川不在の中、朱鳥と亜謄蛇が同時に命を狙ってくることにーー  最大のピンチをどう切り抜けるのか!?")</f>
        <v>千曲川光…滝藤賢一  十川一華…広瀬アリス    城之内翼…佐藤寛太  山崎未夏…南乃彩希  阿部律音…水島麻理奈  大陀羅麻百合…結城モエ  十川純華…新山千春    マスター…高橋努  城之内早苗…優希美青    大陀羅朱鳥…片平なぎさ(特別出演)    大陀羅壬流古…桐山漣  大陀羅亜謄蛇…神保悟志    橋田政子…水野美紀(他)千曲川（滝藤賢一）が朱鳥（片平なぎさ）の息子・壬流古（桐山漣）に重傷を負わせたことで、朱鳥は大激怒！千曲川を先に始末するように命令を出す。捕らえられ、監禁されてしまった千曲川…探偵の命が危ない中、亜謄蛇（神保悟志）はプロの刺客を雇い一華に襲い掛かる…千曲川不在の中、朱鳥と亜謄蛇が同時に命を狙ってくることにーー  最大のピンチをどう切り抜けるのか!?</v>
      </c>
      <c r="N3351" s="2"/>
      <c r="O3351" s="2"/>
      <c r="P3351" s="2"/>
      <c r="Q3351" s="2"/>
      <c r="R3351" s="2"/>
      <c r="S3351" s="2"/>
      <c r="T3351" s="2"/>
      <c r="U3351" s="2"/>
      <c r="V3351" s="2"/>
      <c r="W3351" s="2"/>
      <c r="X3351" s="2"/>
      <c r="Y3351" s="2"/>
      <c r="Z3351" s="2"/>
      <c r="AA3351" s="2"/>
      <c r="AB3351" s="2"/>
      <c r="AC3351" s="2"/>
      <c r="AD3351" s="2"/>
      <c r="AE3351" s="2"/>
      <c r="AF3351" s="2"/>
      <c r="AG3351" s="2"/>
      <c r="AH3351" s="2"/>
      <c r="AI3351" s="2"/>
      <c r="AJ3351" s="2"/>
      <c r="AK3351" s="2"/>
      <c r="AL3351" s="2"/>
      <c r="AM3351" s="2"/>
      <c r="AN3351" s="2"/>
      <c r="AO3351" s="2"/>
      <c r="AP3351" s="2"/>
      <c r="AQ3351" s="2"/>
      <c r="AR3351" s="2"/>
      <c r="AS3351" s="2"/>
      <c r="AT3351" s="2"/>
      <c r="AU3351" s="2"/>
      <c r="AV3351" s="2"/>
      <c r="AW3351" s="2"/>
      <c r="AX3351" s="2"/>
      <c r="AY3351" s="2"/>
      <c r="AZ3351" s="2"/>
      <c r="BA3351" s="2"/>
      <c r="BB3351" s="2"/>
    </row>
    <row r="3352" ht="204.75" customHeight="1">
      <c r="A3352" s="1">
        <v>658.0</v>
      </c>
      <c r="B3352" s="2" t="s">
        <v>10028</v>
      </c>
      <c r="C3352" s="2">
        <f>IFERROR(__xludf.DUMMYFUNCTION("split(B3352,""_"")"),1807.0)</f>
        <v>1807</v>
      </c>
      <c r="D3352" s="2" t="str">
        <f>IFERROR(__xludf.DUMMYFUNCTION("""COMPUTED_VALUE"""),"NTV")</f>
        <v>NTV</v>
      </c>
      <c r="E3352" s="2" t="str">
        <f>IFERROR(__xludf.DUMMYFUNCTION("""COMPUTED_VALUE"""),"木23")</f>
        <v>木23</v>
      </c>
      <c r="F3352" s="2" t="s">
        <v>10029</v>
      </c>
      <c r="G3352" s="2" t="s">
        <v>10048</v>
      </c>
      <c r="H3352" s="1">
        <v>7.0</v>
      </c>
      <c r="I3352" s="1" t="s">
        <v>2892</v>
      </c>
      <c r="J3352" s="1" t="s">
        <v>1435</v>
      </c>
      <c r="K3352" s="2" t="s">
        <v>10049</v>
      </c>
      <c r="L3352" s="2" t="s">
        <v>10050</v>
      </c>
      <c r="M3352" s="2" t="str">
        <f>IFERROR(__xludf.DUMMYFUNCTION("split(split(K3352,""【"",false),""公式LINE"",false)"),"千曲川光…滝藤賢一  十川一華…広瀬アリス    城之内翼…佐藤寛太  山崎未夏…南乃彩希  阿部律音…水島麻理奈  大陀羅麻百合…結城モエ  十川純華…新山千春    大陀羅舞輝斗…駒木根隆介    マスター…高橋努  城之内早苗…優希美青大陀羅朱鳥…片平なぎさ(特別出演)    大陀羅亜謄蛇…神保悟志  大陀羅壬流古…桐山漣    橋田政子…水野美紀(他)朱鳥（片平なぎさ）の刺客として、一華（広瀬アリス）の命を狙った城之内（佐藤寛太）は意識不明の状態に。  探偵・千曲川（滝藤賢一）を許せない一華は解雇"&amp;"すると告げるが、橋田（水野美紀）はそれを許してくれない。そんな中、千曲川の知られざる過去が明らかに…  一方、大陀羅一族の新たなメンバーが一華の命を虎視眈々と狙う！今回の完全犯罪トリックは“密室殺人”！？さらに、城之内の妹・早苗（優希美青）まで襲われるーー")</f>
        <v>千曲川光…滝藤賢一  十川一華…広瀬アリス    城之内翼…佐藤寛太  山崎未夏…南乃彩希  阿部律音…水島麻理奈  大陀羅麻百合…結城モエ  十川純華…新山千春    大陀羅舞輝斗…駒木根隆介    マスター…高橋努  城之内早苗…優希美青大陀羅朱鳥…片平なぎさ(特別出演)    大陀羅亜謄蛇…神保悟志  大陀羅壬流古…桐山漣    橋田政子…水野美紀(他)朱鳥（片平なぎさ）の刺客として、一華（広瀬アリス）の命を狙った城之内（佐藤寛太）は意識不明の状態に。  探偵・千曲川（滝藤賢一）を許せない一華は解雇すると告げるが、橋田（水野美紀）はそれを許してくれない。そんな中、千曲川の知られざる過去が明らかに…  一方、大陀羅一族の新たなメンバーが一華の命を虎視眈々と狙う！今回の完全犯罪トリックは“密室殺人”！？さらに、城之内の妹・早苗（優希美青）まで襲われるーー</v>
      </c>
      <c r="N3352" s="2"/>
      <c r="O3352" s="2"/>
      <c r="P3352" s="2"/>
      <c r="Q3352" s="2"/>
      <c r="R3352" s="2"/>
      <c r="S3352" s="2"/>
      <c r="T3352" s="2"/>
      <c r="U3352" s="2"/>
      <c r="V3352" s="2"/>
      <c r="W3352" s="2"/>
      <c r="X3352" s="2"/>
      <c r="Y3352" s="2"/>
      <c r="Z3352" s="2"/>
      <c r="AA3352" s="2"/>
      <c r="AB3352" s="2"/>
      <c r="AC3352" s="2"/>
      <c r="AD3352" s="2"/>
      <c r="AE3352" s="2"/>
      <c r="AF3352" s="2"/>
      <c r="AG3352" s="2"/>
      <c r="AH3352" s="2"/>
      <c r="AI3352" s="2"/>
      <c r="AJ3352" s="2"/>
      <c r="AK3352" s="2"/>
      <c r="AL3352" s="2"/>
      <c r="AM3352" s="2"/>
      <c r="AN3352" s="2"/>
      <c r="AO3352" s="2"/>
      <c r="AP3352" s="2"/>
      <c r="AQ3352" s="2"/>
      <c r="AR3352" s="2"/>
      <c r="AS3352" s="2"/>
      <c r="AT3352" s="2"/>
      <c r="AU3352" s="2"/>
      <c r="AV3352" s="2"/>
      <c r="AW3352" s="2"/>
      <c r="AX3352" s="2"/>
      <c r="AY3352" s="2"/>
      <c r="AZ3352" s="2"/>
      <c r="BA3352" s="2"/>
      <c r="BB3352" s="2"/>
    </row>
    <row r="3353" ht="204.75" customHeight="1">
      <c r="A3353" s="1">
        <v>659.0</v>
      </c>
      <c r="B3353" s="2" t="s">
        <v>10028</v>
      </c>
      <c r="C3353" s="2">
        <f>IFERROR(__xludf.DUMMYFUNCTION("split(B3353,""_"")"),1807.0)</f>
        <v>1807</v>
      </c>
      <c r="D3353" s="2" t="str">
        <f>IFERROR(__xludf.DUMMYFUNCTION("""COMPUTED_VALUE"""),"NTV")</f>
        <v>NTV</v>
      </c>
      <c r="E3353" s="2" t="str">
        <f>IFERROR(__xludf.DUMMYFUNCTION("""COMPUTED_VALUE"""),"木23")</f>
        <v>木23</v>
      </c>
      <c r="F3353" s="2" t="s">
        <v>10029</v>
      </c>
      <c r="G3353" s="2" t="s">
        <v>10051</v>
      </c>
      <c r="H3353" s="1">
        <v>8.0</v>
      </c>
      <c r="I3353" s="1" t="s">
        <v>2896</v>
      </c>
      <c r="J3353" s="1" t="s">
        <v>1435</v>
      </c>
      <c r="K3353" s="2" t="s">
        <v>10052</v>
      </c>
      <c r="L3353" s="2" t="s">
        <v>10053</v>
      </c>
      <c r="M3353" s="2" t="str">
        <f>IFERROR(__xludf.DUMMYFUNCTION("split(split(K3353,""【"",false),""公式LINE"",false)"),"千曲川光…滝藤賢一  十川一華…広瀬アリス    山崎未夏…南乃彩希  阿部律音…水島麻理奈  大陀羅麻百合…結城モエ  十川純華…新山千春  大陀羅瑛…玉置孝匡    マスター…高橋努    大陀羅朱鳥…片平なぎさ(特別出演)    大陀羅壬流古…桐山漣  大陀羅亜謄蛇…神保悟志    橋田政子…水野美紀(他)城之内（佐藤寛太）が病院から姿を消し、妹・早苗（優希美青）も何者かに襲われた。橋田（水野美紀）の腕の傷から、早苗を襲ったのは橋田…？と疑いを抱く一華（広瀬アリス）。そして、母・純華（新山千春）の死"&amp;"に関して新証言を聞く。なんと母は生きていた!?  その一方で、橋田が不穏な動きを見せる…橋田は大陀羅一族の手下だったのか？一華を殺そうとしている刺客なのか？そのとき、探偵・千曲川（滝藤賢一）はーー!?")</f>
        <v>千曲川光…滝藤賢一  十川一華…広瀬アリス    山崎未夏…南乃彩希  阿部律音…水島麻理奈  大陀羅麻百合…結城モエ  十川純華…新山千春  大陀羅瑛…玉置孝匡    マスター…高橋努    大陀羅朱鳥…片平なぎさ(特別出演)    大陀羅壬流古…桐山漣  大陀羅亜謄蛇…神保悟志    橋田政子…水野美紀(他)城之内（佐藤寛太）が病院から姿を消し、妹・早苗（優希美青）も何者かに襲われた。橋田（水野美紀）の腕の傷から、早苗を襲ったのは橋田…？と疑いを抱く一華（広瀬アリス）。そして、母・純華（新山千春）の死に関して新証言を聞く。なんと母は生きていた!?  その一方で、橋田が不穏な動きを見せる…橋田は大陀羅一族の手下だったのか？一華を殺そうとしている刺客なのか？そのとき、探偵・千曲川（滝藤賢一）はーー!?</v>
      </c>
      <c r="N3353" s="2"/>
      <c r="O3353" s="2"/>
      <c r="P3353" s="2"/>
      <c r="Q3353" s="2"/>
      <c r="R3353" s="2"/>
      <c r="S3353" s="2"/>
      <c r="T3353" s="2"/>
      <c r="U3353" s="2"/>
      <c r="V3353" s="2"/>
      <c r="W3353" s="2"/>
      <c r="X3353" s="2"/>
      <c r="Y3353" s="2"/>
      <c r="Z3353" s="2"/>
      <c r="AA3353" s="2"/>
      <c r="AB3353" s="2"/>
      <c r="AC3353" s="2"/>
      <c r="AD3353" s="2"/>
      <c r="AE3353" s="2"/>
      <c r="AF3353" s="2"/>
      <c r="AG3353" s="2"/>
      <c r="AH3353" s="2"/>
      <c r="AI3353" s="2"/>
      <c r="AJ3353" s="2"/>
      <c r="AK3353" s="2"/>
      <c r="AL3353" s="2"/>
      <c r="AM3353" s="2"/>
      <c r="AN3353" s="2"/>
      <c r="AO3353" s="2"/>
      <c r="AP3353" s="2"/>
      <c r="AQ3353" s="2"/>
      <c r="AR3353" s="2"/>
      <c r="AS3353" s="2"/>
      <c r="AT3353" s="2"/>
      <c r="AU3353" s="2"/>
      <c r="AV3353" s="2"/>
      <c r="AW3353" s="2"/>
      <c r="AX3353" s="2"/>
      <c r="AY3353" s="2"/>
      <c r="AZ3353" s="2"/>
      <c r="BA3353" s="2"/>
      <c r="BB3353" s="2"/>
    </row>
    <row r="3354" ht="204.75" customHeight="1">
      <c r="A3354" s="1">
        <v>660.0</v>
      </c>
      <c r="B3354" s="2" t="s">
        <v>10028</v>
      </c>
      <c r="C3354" s="2">
        <f>IFERROR(__xludf.DUMMYFUNCTION("split(B3354,""_"")"),1807.0)</f>
        <v>1807</v>
      </c>
      <c r="D3354" s="2" t="str">
        <f>IFERROR(__xludf.DUMMYFUNCTION("""COMPUTED_VALUE"""),"NTV")</f>
        <v>NTV</v>
      </c>
      <c r="E3354" s="2" t="str">
        <f>IFERROR(__xludf.DUMMYFUNCTION("""COMPUTED_VALUE"""),"木23")</f>
        <v>木23</v>
      </c>
      <c r="F3354" s="2" t="s">
        <v>10029</v>
      </c>
      <c r="G3354" s="2" t="s">
        <v>10054</v>
      </c>
      <c r="H3354" s="1">
        <v>9.0</v>
      </c>
      <c r="J3354" s="1" t="s">
        <v>1435</v>
      </c>
      <c r="K3354" s="2" t="s">
        <v>10055</v>
      </c>
      <c r="L3354" s="2" t="s">
        <v>10056</v>
      </c>
      <c r="M3354" s="2" t="str">
        <f>IFERROR(__xludf.DUMMYFUNCTION("split(split(K3354,""【"",false),""公式LINE"",false)"),"千曲川光…滝藤賢一  十川一華…広瀬アリス    城之内翼…佐藤寛太  山崎未夏…南乃彩希  阿部律音…水島麻理奈  大陀羅麻百合…結城モエ    大陀羅貴人…前田公輝    マスター…高橋努    大陀羅朱鳥…片平なぎさ(特別出演)    大陀羅壬流古…桐山漣  大陀羅亜謄蛇…神保悟志    橋田政子…水野美紀(他)いよいよ！最終決戦の幕が開ける!  大陀羅一族と直接戦う決意をした一華（広瀬アリス）。一方、朱鳥（片平なぎさ）と亜謄蛇（神保悟志）らも手を組み、一族総出で一華を仕留めにかかることに!  決戦"&amp;"の日は、亡き父親の百箇日の法要。一族の別荘に乗り込んでいく千曲川(滝藤賢一)、一華、橋田(水野美紀)。しかし、そこには様々な罠が仕掛けられていた。  はたして、千曲川は一華を守り抜くことができるのかーー!?")</f>
        <v>千曲川光…滝藤賢一  十川一華…広瀬アリス    城之内翼…佐藤寛太  山崎未夏…南乃彩希  阿部律音…水島麻理奈  大陀羅麻百合…結城モエ    大陀羅貴人…前田公輝    マスター…高橋努    大陀羅朱鳥…片平なぎさ(特別出演)    大陀羅壬流古…桐山漣  大陀羅亜謄蛇…神保悟志    橋田政子…水野美紀(他)いよいよ！最終決戦の幕が開ける!  大陀羅一族と直接戦う決意をした一華（広瀬アリス）。一方、朱鳥（片平なぎさ）と亜謄蛇（神保悟志）らも手を組み、一族総出で一華を仕留めにかかることに!  決戦の日は、亡き父親の百箇日の法要。一族の別荘に乗り込んでいく千曲川(滝藤賢一)、一華、橋田(水野美紀)。しかし、そこには様々な罠が仕掛けられていた。  はたして、千曲川は一華を守り抜くことができるのかーー!?</v>
      </c>
      <c r="N3354" s="2"/>
      <c r="O3354" s="2"/>
      <c r="P3354" s="2"/>
      <c r="Q3354" s="2"/>
      <c r="R3354" s="2"/>
      <c r="S3354" s="2"/>
      <c r="T3354" s="2"/>
      <c r="U3354" s="2"/>
      <c r="V3354" s="2"/>
      <c r="W3354" s="2"/>
      <c r="X3354" s="2"/>
      <c r="Y3354" s="2"/>
      <c r="Z3354" s="2"/>
      <c r="AA3354" s="2"/>
      <c r="AB3354" s="2"/>
      <c r="AC3354" s="2"/>
      <c r="AD3354" s="2"/>
      <c r="AE3354" s="2"/>
      <c r="AF3354" s="2"/>
      <c r="AG3354" s="2"/>
      <c r="AH3354" s="2"/>
      <c r="AI3354" s="2"/>
      <c r="AJ3354" s="2"/>
      <c r="AK3354" s="2"/>
      <c r="AL3354" s="2"/>
      <c r="AM3354" s="2"/>
      <c r="AN3354" s="2"/>
      <c r="AO3354" s="2"/>
      <c r="AP3354" s="2"/>
      <c r="AQ3354" s="2"/>
      <c r="AR3354" s="2"/>
      <c r="AS3354" s="2"/>
      <c r="AT3354" s="2"/>
      <c r="AU3354" s="2"/>
      <c r="AV3354" s="2"/>
      <c r="AW3354" s="2"/>
      <c r="AX3354" s="2"/>
      <c r="AY3354" s="2"/>
      <c r="AZ3354" s="2"/>
      <c r="BA3354" s="2"/>
      <c r="BB3354" s="2"/>
    </row>
    <row r="3355" ht="204.75" customHeight="1">
      <c r="A3355" s="1">
        <v>661.0</v>
      </c>
      <c r="B3355" s="2" t="s">
        <v>10028</v>
      </c>
      <c r="C3355" s="2">
        <f>IFERROR(__xludf.DUMMYFUNCTION("split(B3355,""_"")"),1807.0)</f>
        <v>1807</v>
      </c>
      <c r="D3355" s="2" t="str">
        <f>IFERROR(__xludf.DUMMYFUNCTION("""COMPUTED_VALUE"""),"NTV")</f>
        <v>NTV</v>
      </c>
      <c r="E3355" s="2" t="str">
        <f>IFERROR(__xludf.DUMMYFUNCTION("""COMPUTED_VALUE"""),"木23")</f>
        <v>木23</v>
      </c>
      <c r="F3355" s="2" t="s">
        <v>10029</v>
      </c>
      <c r="G3355" s="2" t="s">
        <v>10057</v>
      </c>
      <c r="H3355" s="1">
        <v>10.0</v>
      </c>
      <c r="J3355" s="1" t="s">
        <v>1435</v>
      </c>
      <c r="K3355" s="2" t="s">
        <v>10058</v>
      </c>
      <c r="L3355" s="2" t="s">
        <v>10059</v>
      </c>
      <c r="M3355" s="2" t="str">
        <f>IFERROR(__xludf.DUMMYFUNCTION("split(split(K3355,""【"",false),""公式LINE"",false)"),"千曲川光…滝藤賢一  十川一華…広瀬アリス    城之内翼…佐藤寛太  大陀羅麻百合…結城モエ    大陀羅貴人…前田公輝    大陀羅朱鳥…片平なぎさ(特別出演)    大陀羅壬流古…桐山漣  大陀羅亜謄蛇…神保悟志    橋田政子…水野美紀(他)遺産５兆円をかけた最終決戦が、ついに完結!!橋田(水野美紀)が刺され、激怒した一華（広瀬アリス）は、朱鳥（片平なぎさ）に「ここで殺しなさいよ！」と宣戦布告。  そして、ついに！大陀羅一族の二大巨頭・朱鳥と亜謄蛇（神保悟志）が自ら動き出す!!  女帝・朱鳥が狙う"&amp;"のは、“トリック返しのトリック返し”！？巧妙な罠にはめられた千曲川（滝藤賢一）は絶体絶命のピンチに…命をかけた激動のラストステージの行方はーー")</f>
        <v>千曲川光…滝藤賢一  十川一華…広瀬アリス    城之内翼…佐藤寛太  大陀羅麻百合…結城モエ    大陀羅貴人…前田公輝    大陀羅朱鳥…片平なぎさ(特別出演)    大陀羅壬流古…桐山漣  大陀羅亜謄蛇…神保悟志    橋田政子…水野美紀(他)遺産５兆円をかけた最終決戦が、ついに完結!!橋田(水野美紀)が刺され、激怒した一華（広瀬アリス）は、朱鳥（片平なぎさ）に「ここで殺しなさいよ！」と宣戦布告。  そして、ついに！大陀羅一族の二大巨頭・朱鳥と亜謄蛇（神保悟志）が自ら動き出す!!  女帝・朱鳥が狙うのは、“トリック返しのトリック返し”！？巧妙な罠にはめられた千曲川（滝藤賢一）は絶体絶命のピンチに…命をかけた激動のラストステージの行方はーー</v>
      </c>
      <c r="N3355" s="2"/>
      <c r="O3355" s="2"/>
      <c r="P3355" s="2"/>
      <c r="Q3355" s="2"/>
      <c r="R3355" s="2"/>
      <c r="S3355" s="2"/>
      <c r="T3355" s="2"/>
      <c r="U3355" s="2"/>
      <c r="V3355" s="2"/>
      <c r="W3355" s="2"/>
      <c r="X3355" s="2"/>
      <c r="Y3355" s="2"/>
      <c r="Z3355" s="2"/>
      <c r="AA3355" s="2"/>
      <c r="AB3355" s="2"/>
      <c r="AC3355" s="2"/>
      <c r="AD3355" s="2"/>
      <c r="AE3355" s="2"/>
      <c r="AF3355" s="2"/>
      <c r="AG3355" s="2"/>
      <c r="AH3355" s="2"/>
      <c r="AI3355" s="2"/>
      <c r="AJ3355" s="2"/>
      <c r="AK3355" s="2"/>
      <c r="AL3355" s="2"/>
      <c r="AM3355" s="2"/>
      <c r="AN3355" s="2"/>
      <c r="AO3355" s="2"/>
      <c r="AP3355" s="2"/>
      <c r="AQ3355" s="2"/>
      <c r="AR3355" s="2"/>
      <c r="AS3355" s="2"/>
      <c r="AT3355" s="2"/>
      <c r="AU3355" s="2"/>
      <c r="AV3355" s="2"/>
      <c r="AW3355" s="2"/>
      <c r="AX3355" s="2"/>
      <c r="AY3355" s="2"/>
      <c r="AZ3355" s="2"/>
      <c r="BA3355" s="2"/>
      <c r="BB3355" s="2"/>
    </row>
    <row r="3356" ht="204.75" customHeight="1">
      <c r="A3356" s="1">
        <v>680.0</v>
      </c>
      <c r="B3356" s="2" t="s">
        <v>10060</v>
      </c>
      <c r="C3356" s="2">
        <f>IFERROR(__xludf.DUMMYFUNCTION("split(B3356,""_"")"),1807.0)</f>
        <v>1807</v>
      </c>
      <c r="D3356" s="2" t="str">
        <f>IFERROR(__xludf.DUMMYFUNCTION("""COMPUTED_VALUE"""),"NTV")</f>
        <v>NTV</v>
      </c>
      <c r="E3356" s="2" t="str">
        <f>IFERROR(__xludf.DUMMYFUNCTION("""COMPUTED_VALUE"""),"土22")</f>
        <v>土22</v>
      </c>
      <c r="F3356" s="2" t="s">
        <v>10061</v>
      </c>
      <c r="G3356" s="2" t="s">
        <v>10062</v>
      </c>
      <c r="H3356" s="1">
        <v>1.0</v>
      </c>
      <c r="I3356" s="1" t="s">
        <v>2868</v>
      </c>
      <c r="J3356" s="1" t="s">
        <v>82</v>
      </c>
      <c r="K3356" s="2" t="s">
        <v>10063</v>
      </c>
      <c r="L3356" s="2" t="s">
        <v>10064</v>
      </c>
      <c r="M3356" s="2" t="str">
        <f>IFERROR(__xludf.DUMMYFUNCTION("split(split(K3356,""【"",false),""公式LINE"",false)"),"波瑠、吉沢亮、高橋メアリージュン、ブルゾンちえみ、前野朋哉、山根和馬、小越勇輝、奈緒、石田ニコル、ついひじ杏奈/風間俊介/須藤理彩、野間口徹/生瀬勝久、財前直見/荒川良々/伊勢谷友介 ほか仕事も結婚も同時に失ってしまった人生ドン底女・さやか（波瑠）に救いの手を差し伸べたのは、人気雑誌の編集長・宇佐美（伊勢谷友介）。毒舌・ナルシストの宇佐美のもと、一流ブランドのマーケティング戦略を応用した恋愛戦術で、半年間のサバイバル婚活に挑む!!元カレ(風間俊介)と復縁すべく作戦を実行。うまく行くのか！？さらに、年下のイ"&amp;"ケメン（吉沢亮）にも出会って…!?笑って泣けて、賢くなれる人生応援コメディ!")</f>
        <v>波瑠、吉沢亮、高橋メアリージュン、ブルゾンちえみ、前野朋哉、山根和馬、小越勇輝、奈緒、石田ニコル、ついひじ杏奈/風間俊介/須藤理彩、野間口徹/生瀬勝久、財前直見/荒川良々/伊勢谷友介 ほか仕事も結婚も同時に失ってしまった人生ドン底女・さやか（波瑠）に救いの手を差し伸べたのは、人気雑誌の編集長・宇佐美（伊勢谷友介）。毒舌・ナルシストの宇佐美のもと、一流ブランドのマーケティング戦略を応用した恋愛戦術で、半年間のサバイバル婚活に挑む!!元カレ(風間俊介)と復縁すべく作戦を実行。うまく行くのか！？さらに、年下のイケメン（吉沢亮）にも出会って…!?笑って泣けて、賢くなれる人生応援コメディ!</v>
      </c>
      <c r="N3356" s="2"/>
      <c r="O3356" s="2" t="str">
        <f>IFERROR(__xludf.DUMMYFUNCTION("split(N3356,""【"",false)"),"#VALUE!")</f>
        <v>#VALUE!</v>
      </c>
      <c r="P3356" s="2"/>
      <c r="Q3356" s="2"/>
      <c r="R3356" s="2"/>
      <c r="S3356" s="2"/>
      <c r="T3356" s="2"/>
      <c r="U3356" s="2"/>
      <c r="V3356" s="2"/>
      <c r="W3356" s="2"/>
      <c r="X3356" s="2"/>
      <c r="Y3356" s="2"/>
      <c r="Z3356" s="2"/>
      <c r="AA3356" s="2"/>
      <c r="AB3356" s="2"/>
      <c r="AC3356" s="2"/>
      <c r="AD3356" s="2"/>
      <c r="AE3356" s="2"/>
      <c r="AF3356" s="2"/>
      <c r="AG3356" s="2"/>
      <c r="AH3356" s="2"/>
      <c r="AI3356" s="2"/>
      <c r="AJ3356" s="2"/>
      <c r="AK3356" s="2"/>
      <c r="AL3356" s="2"/>
      <c r="AM3356" s="2"/>
      <c r="AN3356" s="2"/>
      <c r="AO3356" s="2"/>
      <c r="AP3356" s="2"/>
      <c r="AQ3356" s="2"/>
      <c r="AR3356" s="2"/>
      <c r="AS3356" s="2"/>
      <c r="AT3356" s="2"/>
      <c r="AU3356" s="2"/>
      <c r="AV3356" s="2"/>
      <c r="AW3356" s="2"/>
      <c r="AX3356" s="2"/>
      <c r="AY3356" s="2"/>
      <c r="AZ3356" s="2"/>
      <c r="BA3356" s="2"/>
      <c r="BB3356" s="2"/>
    </row>
    <row r="3357" ht="204.75" customHeight="1">
      <c r="A3357" s="1">
        <v>681.0</v>
      </c>
      <c r="B3357" s="2" t="s">
        <v>10060</v>
      </c>
      <c r="C3357" s="2">
        <f>IFERROR(__xludf.DUMMYFUNCTION("split(B3357,""_"")"),1807.0)</f>
        <v>1807</v>
      </c>
      <c r="D3357" s="2" t="str">
        <f>IFERROR(__xludf.DUMMYFUNCTION("""COMPUTED_VALUE"""),"NTV")</f>
        <v>NTV</v>
      </c>
      <c r="E3357" s="2" t="str">
        <f>IFERROR(__xludf.DUMMYFUNCTION("""COMPUTED_VALUE"""),"土22")</f>
        <v>土22</v>
      </c>
      <c r="F3357" s="2" t="s">
        <v>10061</v>
      </c>
      <c r="G3357" s="2" t="s">
        <v>10065</v>
      </c>
      <c r="H3357" s="1">
        <v>2.0</v>
      </c>
      <c r="J3357" s="1" t="s">
        <v>86</v>
      </c>
      <c r="K3357" s="2" t="s">
        <v>10066</v>
      </c>
      <c r="L3357" s="2" t="s">
        <v>10067</v>
      </c>
      <c r="M3357" s="2" t="str">
        <f>IFERROR(__xludf.DUMMYFUNCTION("split(split(K3357,""【"",false),""公式LINE"",false)"),"波瑠、吉沢亮、高橋メアリージュン、ブルゾンちえみ、前野朋哉、山根和馬、小越勇輝、奈緒、石田ニコル、ついひじ杏奈/風間俊介/須藤理彩、野間口徹/生瀬勝久、財前直見/荒川良々/伊勢谷友介 ほか宇佐美（伊勢谷友介）のマーケティング戦略に納得しつつも、自分をうっかり“安売り”してしまう恋愛下手なさやか（波瑠）。そんな彼女に新たな出会いが！優しくイケメン、仕事もできる広告代理店の好青年・祐一（吉沢亮）。久しぶりの“恋のはじまりの予感”を生かすことができるのか!? 和也との関係には“未来”があるのか!? そして宇佐美"&amp;"が授ける次なる“作戦”とは??  笑って泣けて、賢くなれる人生応援コメディ!")</f>
        <v>波瑠、吉沢亮、高橋メアリージュン、ブルゾンちえみ、前野朋哉、山根和馬、小越勇輝、奈緒、石田ニコル、ついひじ杏奈/風間俊介/須藤理彩、野間口徹/生瀬勝久、財前直見/荒川良々/伊勢谷友介 ほか宇佐美（伊勢谷友介）のマーケティング戦略に納得しつつも、自分をうっかり“安売り”してしまう恋愛下手なさやか（波瑠）。そんな彼女に新たな出会いが！優しくイケメン、仕事もできる広告代理店の好青年・祐一（吉沢亮）。久しぶりの“恋のはじまりの予感”を生かすことができるのか!? 和也との関係には“未来”があるのか!? そして宇佐美が授ける次なる“作戦”とは??  笑って泣けて、賢くなれる人生応援コメディ!</v>
      </c>
      <c r="N3357" s="2"/>
      <c r="O3357" s="2" t="str">
        <f>IFERROR(__xludf.DUMMYFUNCTION("split(N3357,""【"",false)"),"#VALUE!")</f>
        <v>#VALUE!</v>
      </c>
      <c r="P3357" s="2"/>
      <c r="Q3357" s="2"/>
      <c r="R3357" s="2"/>
      <c r="S3357" s="2"/>
      <c r="T3357" s="2"/>
      <c r="U3357" s="2"/>
      <c r="V3357" s="2"/>
      <c r="W3357" s="2"/>
      <c r="X3357" s="2"/>
      <c r="Y3357" s="2"/>
      <c r="Z3357" s="2"/>
      <c r="AA3357" s="2"/>
      <c r="AB3357" s="2"/>
      <c r="AC3357" s="2"/>
      <c r="AD3357" s="2"/>
      <c r="AE3357" s="2"/>
      <c r="AF3357" s="2"/>
      <c r="AG3357" s="2"/>
      <c r="AH3357" s="2"/>
      <c r="AI3357" s="2"/>
      <c r="AJ3357" s="2"/>
      <c r="AK3357" s="2"/>
      <c r="AL3357" s="2"/>
      <c r="AM3357" s="2"/>
      <c r="AN3357" s="2"/>
      <c r="AO3357" s="2"/>
      <c r="AP3357" s="2"/>
      <c r="AQ3357" s="2"/>
      <c r="AR3357" s="2"/>
      <c r="AS3357" s="2"/>
      <c r="AT3357" s="2"/>
      <c r="AU3357" s="2"/>
      <c r="AV3357" s="2"/>
      <c r="AW3357" s="2"/>
      <c r="AX3357" s="2"/>
      <c r="AY3357" s="2"/>
      <c r="AZ3357" s="2"/>
      <c r="BA3357" s="2"/>
      <c r="BB3357" s="2"/>
    </row>
    <row r="3358" ht="204.75" customHeight="1">
      <c r="A3358" s="1">
        <v>682.0</v>
      </c>
      <c r="B3358" s="2" t="s">
        <v>10060</v>
      </c>
      <c r="C3358" s="2">
        <f>IFERROR(__xludf.DUMMYFUNCTION("split(B3358,""_"")"),1807.0)</f>
        <v>1807</v>
      </c>
      <c r="D3358" s="2" t="str">
        <f>IFERROR(__xludf.DUMMYFUNCTION("""COMPUTED_VALUE"""),"NTV")</f>
        <v>NTV</v>
      </c>
      <c r="E3358" s="2" t="str">
        <f>IFERROR(__xludf.DUMMYFUNCTION("""COMPUTED_VALUE"""),"土22")</f>
        <v>土22</v>
      </c>
      <c r="F3358" s="2" t="s">
        <v>10061</v>
      </c>
      <c r="G3358" s="2" t="s">
        <v>10068</v>
      </c>
      <c r="H3358" s="1">
        <v>3.0</v>
      </c>
      <c r="I3358" s="1" t="s">
        <v>2876</v>
      </c>
      <c r="J3358" s="1" t="s">
        <v>86</v>
      </c>
      <c r="K3358" s="2" t="s">
        <v>10069</v>
      </c>
      <c r="L3358" s="2" t="s">
        <v>10070</v>
      </c>
      <c r="M3358" s="2" t="str">
        <f>IFERROR(__xludf.DUMMYFUNCTION("split(split(K3358,""【"",false),""公式LINE"",false)"),"波瑠、吉沢亮、高橋メアリージュン、ブルゾンちえみ、前野朋哉、山根和馬、小越勇輝、奈緒、石田ニコル、ついひじ杏奈/風間俊介/須藤理彩、野間口徹/生瀬勝久、財前直見/荒川良々/伊勢谷友介 ほか顧客＝男性のニーズに応える近道として宇佐美（伊勢谷友介）がさやか（波瑠）に提案したのは、男性受けする“愛されファッション”へのシフトチェンジ！しかし、さやかにとって“愛されファッション”のハードルはものすごく高くて…。祐一（吉沢亮）を巡って、仕事でも女子力でもバトルを仕掛けてくる美里（奈緒）。そんな中、さやかと和也（風間"&amp;"俊介）、宇佐美が鉢合わせ!? そして明らかになる祐一の思いがけない素顔とは!?")</f>
        <v>波瑠、吉沢亮、高橋メアリージュン、ブルゾンちえみ、前野朋哉、山根和馬、小越勇輝、奈緒、石田ニコル、ついひじ杏奈/風間俊介/須藤理彩、野間口徹/生瀬勝久、財前直見/荒川良々/伊勢谷友介 ほか顧客＝男性のニーズに応える近道として宇佐美（伊勢谷友介）がさやか（波瑠）に提案したのは、男性受けする“愛されファッション”へのシフトチェンジ！しかし、さやかにとって“愛されファッション”のハードルはものすごく高くて…。祐一（吉沢亮）を巡って、仕事でも女子力でもバトルを仕掛けてくる美里（奈緒）。そんな中、さやかと和也（風間俊介）、宇佐美が鉢合わせ!? そして明らかになる祐一の思いがけない素顔とは!?</v>
      </c>
      <c r="N3358" s="2"/>
      <c r="O3358" s="2" t="str">
        <f>IFERROR(__xludf.DUMMYFUNCTION("split(N3358,""【"",false)"),"#VALUE!")</f>
        <v>#VALUE!</v>
      </c>
      <c r="P3358" s="2"/>
      <c r="Q3358" s="2"/>
      <c r="R3358" s="2"/>
      <c r="S3358" s="2"/>
      <c r="T3358" s="2"/>
      <c r="U3358" s="2"/>
      <c r="V3358" s="2"/>
      <c r="W3358" s="2"/>
      <c r="X3358" s="2"/>
      <c r="Y3358" s="2"/>
      <c r="Z3358" s="2"/>
      <c r="AA3358" s="2"/>
      <c r="AB3358" s="2"/>
      <c r="AC3358" s="2"/>
      <c r="AD3358" s="2"/>
      <c r="AE3358" s="2"/>
      <c r="AF3358" s="2"/>
      <c r="AG3358" s="2"/>
      <c r="AH3358" s="2"/>
      <c r="AI3358" s="2"/>
      <c r="AJ3358" s="2"/>
      <c r="AK3358" s="2"/>
      <c r="AL3358" s="2"/>
      <c r="AM3358" s="2"/>
      <c r="AN3358" s="2"/>
      <c r="AO3358" s="2"/>
      <c r="AP3358" s="2"/>
      <c r="AQ3358" s="2"/>
      <c r="AR3358" s="2"/>
      <c r="AS3358" s="2"/>
      <c r="AT3358" s="2"/>
      <c r="AU3358" s="2"/>
      <c r="AV3358" s="2"/>
      <c r="AW3358" s="2"/>
      <c r="AX3358" s="2"/>
      <c r="AY3358" s="2"/>
      <c r="AZ3358" s="2"/>
      <c r="BA3358" s="2"/>
      <c r="BB3358" s="2"/>
    </row>
    <row r="3359" ht="204.75" customHeight="1">
      <c r="A3359" s="1">
        <v>683.0</v>
      </c>
      <c r="B3359" s="2" t="s">
        <v>10060</v>
      </c>
      <c r="C3359" s="2">
        <f>IFERROR(__xludf.DUMMYFUNCTION("split(B3359,""_"")"),1807.0)</f>
        <v>1807</v>
      </c>
      <c r="D3359" s="2" t="str">
        <f>IFERROR(__xludf.DUMMYFUNCTION("""COMPUTED_VALUE"""),"NTV")</f>
        <v>NTV</v>
      </c>
      <c r="E3359" s="2" t="str">
        <f>IFERROR(__xludf.DUMMYFUNCTION("""COMPUTED_VALUE"""),"土22")</f>
        <v>土22</v>
      </c>
      <c r="F3359" s="2" t="s">
        <v>10061</v>
      </c>
      <c r="G3359" s="2" t="s">
        <v>10071</v>
      </c>
      <c r="H3359" s="1">
        <v>4.0</v>
      </c>
      <c r="J3359" s="1" t="s">
        <v>86</v>
      </c>
      <c r="K3359" s="2" t="s">
        <v>10072</v>
      </c>
      <c r="L3359" s="2" t="s">
        <v>10073</v>
      </c>
      <c r="M3359" s="2" t="str">
        <f>IFERROR(__xludf.DUMMYFUNCTION("split(split(K3359,""【"",false),""公式LINE"",false)"),"波瑠、吉沢亮、高橋メアリージュン、ブルゾンちえみ、前野朋哉、山根和馬、小越勇輝、奈緒、石田ニコル、ついひじ杏奈/風間俊介/須藤理彩、野間口徹/生瀬勝久、財前直見/荒川良々/伊勢谷友介 ほか30歳の誕生日を目前にしたさやか(波瑠)。宇佐美(伊勢谷友介)から、出会う男の数を増やすこと、自分から男性に声をかけるよう命じられ、多香子（高橋メアリージュン）とともに合コンに精を出すさやか。しかし、なかなかいい人には巡り会えない。そんな中、ある合コンで思いがけず祐一（吉沢亮）と再会して…!?そして、ついに迎えた30歳の"&amp;"誕生日。結婚式を挙げるはずだったこの日、思わぬ修羅場が訪れる!!")</f>
        <v>波瑠、吉沢亮、高橋メアリージュン、ブルゾンちえみ、前野朋哉、山根和馬、小越勇輝、奈緒、石田ニコル、ついひじ杏奈/風間俊介/須藤理彩、野間口徹/生瀬勝久、財前直見/荒川良々/伊勢谷友介 ほか30歳の誕生日を目前にしたさやか(波瑠)。宇佐美(伊勢谷友介)から、出会う男の数を増やすこと、自分から男性に声をかけるよう命じられ、多香子（高橋メアリージュン）とともに合コンに精を出すさやか。しかし、なかなかいい人には巡り会えない。そんな中、ある合コンで思いがけず祐一（吉沢亮）と再会して…!?そして、ついに迎えた30歳の誕生日。結婚式を挙げるはずだったこの日、思わぬ修羅場が訪れる!!</v>
      </c>
      <c r="N3359" s="2"/>
      <c r="O3359" s="2" t="str">
        <f>IFERROR(__xludf.DUMMYFUNCTION("split(N3359,""【"",false)"),"#VALUE!")</f>
        <v>#VALUE!</v>
      </c>
      <c r="P3359" s="2"/>
      <c r="Q3359" s="2"/>
      <c r="R3359" s="2"/>
      <c r="S3359" s="2"/>
      <c r="T3359" s="2"/>
      <c r="U3359" s="2"/>
      <c r="V3359" s="2"/>
      <c r="W3359" s="2"/>
      <c r="X3359" s="2"/>
      <c r="Y3359" s="2"/>
      <c r="Z3359" s="2"/>
      <c r="AA3359" s="2"/>
      <c r="AB3359" s="2"/>
      <c r="AC3359" s="2"/>
      <c r="AD3359" s="2"/>
      <c r="AE3359" s="2"/>
      <c r="AF3359" s="2"/>
      <c r="AG3359" s="2"/>
      <c r="AH3359" s="2"/>
      <c r="AI3359" s="2"/>
      <c r="AJ3359" s="2"/>
      <c r="AK3359" s="2"/>
      <c r="AL3359" s="2"/>
      <c r="AM3359" s="2"/>
      <c r="AN3359" s="2"/>
      <c r="AO3359" s="2"/>
      <c r="AP3359" s="2"/>
      <c r="AQ3359" s="2"/>
      <c r="AR3359" s="2"/>
      <c r="AS3359" s="2"/>
      <c r="AT3359" s="2"/>
      <c r="AU3359" s="2"/>
      <c r="AV3359" s="2"/>
      <c r="AW3359" s="2"/>
      <c r="AX3359" s="2"/>
      <c r="AY3359" s="2"/>
      <c r="AZ3359" s="2"/>
      <c r="BA3359" s="2"/>
      <c r="BB3359" s="2"/>
    </row>
    <row r="3360" ht="204.75" customHeight="1">
      <c r="A3360" s="1">
        <v>684.0</v>
      </c>
      <c r="B3360" s="2" t="s">
        <v>10060</v>
      </c>
      <c r="C3360" s="2">
        <f>IFERROR(__xludf.DUMMYFUNCTION("split(B3360,""_"")"),1807.0)</f>
        <v>1807</v>
      </c>
      <c r="D3360" s="2" t="str">
        <f>IFERROR(__xludf.DUMMYFUNCTION("""COMPUTED_VALUE"""),"NTV")</f>
        <v>NTV</v>
      </c>
      <c r="E3360" s="2" t="str">
        <f>IFERROR(__xludf.DUMMYFUNCTION("""COMPUTED_VALUE"""),"土22")</f>
        <v>土22</v>
      </c>
      <c r="F3360" s="2" t="s">
        <v>10061</v>
      </c>
      <c r="G3360" s="2" t="s">
        <v>10074</v>
      </c>
      <c r="H3360" s="1">
        <v>5.0</v>
      </c>
      <c r="J3360" s="1" t="s">
        <v>86</v>
      </c>
      <c r="K3360" s="2" t="s">
        <v>10075</v>
      </c>
      <c r="L3360" s="2" t="s">
        <v>10076</v>
      </c>
      <c r="M3360" s="2" t="str">
        <f>IFERROR(__xludf.DUMMYFUNCTION("split(split(K3360,""【"",false),""公式LINE"",false)"),"波瑠、吉沢亮、高橋メアリージュン、ブルゾンちえみ、前野朋哉、山根和馬、小越勇輝、奈緒、石田ニコル、ついひじ杏奈/風間俊介/須藤理彩、野間口徹/生瀬勝久、財前直見/荒川良々/伊勢谷友介 ほか宇佐美（伊勢谷友介）から“健康で魅力的なボディ”になるため「夏の１か月ボディメイク特集」を担当するよう命じられたさやか（波瑠）。バランスの良い食事＆適度な運動で、健康的な美ボディに近づいたさやかは祐一（吉沢亮）をデートに誘うことに。しかし、宇佐美が初デートに選んだのは、小汚い居酒屋で…!?デート当日、愛されワンピで臨んだ"&amp;"ものの、思わぬトラブルが発生！２人の距離は一気に縮まる…のか!?")</f>
        <v>波瑠、吉沢亮、高橋メアリージュン、ブルゾンちえみ、前野朋哉、山根和馬、小越勇輝、奈緒、石田ニコル、ついひじ杏奈/風間俊介/須藤理彩、野間口徹/生瀬勝久、財前直見/荒川良々/伊勢谷友介 ほか宇佐美（伊勢谷友介）から“健康で魅力的なボディ”になるため「夏の１か月ボディメイク特集」を担当するよう命じられたさやか（波瑠）。バランスの良い食事＆適度な運動で、健康的な美ボディに近づいたさやかは祐一（吉沢亮）をデートに誘うことに。しかし、宇佐美が初デートに選んだのは、小汚い居酒屋で…!?デート当日、愛されワンピで臨んだものの、思わぬトラブルが発生！２人の距離は一気に縮まる…のか!?</v>
      </c>
      <c r="N3360" s="2"/>
      <c r="O3360" s="2" t="str">
        <f>IFERROR(__xludf.DUMMYFUNCTION("split(N3360,""【"",false)"),"#VALUE!")</f>
        <v>#VALUE!</v>
      </c>
      <c r="P3360" s="2"/>
      <c r="Q3360" s="2"/>
      <c r="R3360" s="2"/>
      <c r="S3360" s="2"/>
      <c r="T3360" s="2"/>
      <c r="U3360" s="2"/>
      <c r="V3360" s="2"/>
      <c r="W3360" s="2"/>
      <c r="X3360" s="2"/>
      <c r="Y3360" s="2"/>
      <c r="Z3360" s="2"/>
      <c r="AA3360" s="2"/>
      <c r="AB3360" s="2"/>
      <c r="AC3360" s="2"/>
      <c r="AD3360" s="2"/>
      <c r="AE3360" s="2"/>
      <c r="AF3360" s="2"/>
      <c r="AG3360" s="2"/>
      <c r="AH3360" s="2"/>
      <c r="AI3360" s="2"/>
      <c r="AJ3360" s="2"/>
      <c r="AK3360" s="2"/>
      <c r="AL3360" s="2"/>
      <c r="AM3360" s="2"/>
      <c r="AN3360" s="2"/>
      <c r="AO3360" s="2"/>
      <c r="AP3360" s="2"/>
      <c r="AQ3360" s="2"/>
      <c r="AR3360" s="2"/>
      <c r="AS3360" s="2"/>
      <c r="AT3360" s="2"/>
      <c r="AU3360" s="2"/>
      <c r="AV3360" s="2"/>
      <c r="AW3360" s="2"/>
      <c r="AX3360" s="2"/>
      <c r="AY3360" s="2"/>
      <c r="AZ3360" s="2"/>
      <c r="BA3360" s="2"/>
      <c r="BB3360" s="2"/>
    </row>
    <row r="3361" ht="204.75" customHeight="1">
      <c r="A3361" s="1">
        <v>685.0</v>
      </c>
      <c r="B3361" s="2" t="s">
        <v>10060</v>
      </c>
      <c r="C3361" s="2">
        <f>IFERROR(__xludf.DUMMYFUNCTION("split(B3361,""_"")"),1807.0)</f>
        <v>1807</v>
      </c>
      <c r="D3361" s="2" t="str">
        <f>IFERROR(__xludf.DUMMYFUNCTION("""COMPUTED_VALUE"""),"NTV")</f>
        <v>NTV</v>
      </c>
      <c r="E3361" s="2" t="str">
        <f>IFERROR(__xludf.DUMMYFUNCTION("""COMPUTED_VALUE"""),"土22")</f>
        <v>土22</v>
      </c>
      <c r="F3361" s="2" t="s">
        <v>10061</v>
      </c>
      <c r="G3361" s="2" t="s">
        <v>10077</v>
      </c>
      <c r="H3361" s="1">
        <v>6.0</v>
      </c>
      <c r="I3361" s="1" t="s">
        <v>2888</v>
      </c>
      <c r="J3361" s="1" t="s">
        <v>86</v>
      </c>
      <c r="K3361" s="2" t="s">
        <v>10078</v>
      </c>
      <c r="L3361" s="2" t="s">
        <v>10079</v>
      </c>
      <c r="M3361" s="2" t="str">
        <f>IFERROR(__xludf.DUMMYFUNCTION("split(split(K3361,""【"",false),""公式LINE"",false)"),"波瑠、吉沢亮、高橋メアリージュン、ブルゾンちえみ、前野朋哉、山根和馬、小越勇輝、奈緒、石田ニコル、ついひじ杏奈/風間俊介/須藤理彩、野間口徹/生瀬勝久、財前直見/荒川良々/伊勢谷友介 ほか祐一（吉沢亮）との関係が前進し、仕事も好調なさやか（波瑠）。しかし、親友の多香子（高橋メアリージュン）は、宇佐美（伊勢谷友介）不在中の“編集長代理”を務めることになり、さらにクライアントの永瀬（野間口徹）との不倫が妻にばれて、慰謝料を請求される身に。宇佐美に助けを求めることができない状況で、恋と仕事と女の友情の危機に陥っ"&amp;"てしまったさやか。自力でこのピンチから脱出することができるのか??")</f>
        <v>波瑠、吉沢亮、高橋メアリージュン、ブルゾンちえみ、前野朋哉、山根和馬、小越勇輝、奈緒、石田ニコル、ついひじ杏奈/風間俊介/須藤理彩、野間口徹/生瀬勝久、財前直見/荒川良々/伊勢谷友介 ほか祐一（吉沢亮）との関係が前進し、仕事も好調なさやか（波瑠）。しかし、親友の多香子（高橋メアリージュン）は、宇佐美（伊勢谷友介）不在中の“編集長代理”を務めることになり、さらにクライアントの永瀬（野間口徹）との不倫が妻にばれて、慰謝料を請求される身に。宇佐美に助けを求めることができない状況で、恋と仕事と女の友情の危機に陥ってしまったさやか。自力でこのピンチから脱出することができるのか??</v>
      </c>
      <c r="N3361" s="2"/>
      <c r="O3361" s="2" t="str">
        <f>IFERROR(__xludf.DUMMYFUNCTION("split(N3361,""【"",false)"),"#VALUE!")</f>
        <v>#VALUE!</v>
      </c>
      <c r="P3361" s="2"/>
      <c r="Q3361" s="2"/>
      <c r="R3361" s="2"/>
      <c r="S3361" s="2"/>
      <c r="T3361" s="2"/>
      <c r="U3361" s="2"/>
      <c r="V3361" s="2"/>
      <c r="W3361" s="2"/>
      <c r="X3361" s="2"/>
      <c r="Y3361" s="2"/>
      <c r="Z3361" s="2"/>
      <c r="AA3361" s="2"/>
      <c r="AB3361" s="2"/>
      <c r="AC3361" s="2"/>
      <c r="AD3361" s="2"/>
      <c r="AE3361" s="2"/>
      <c r="AF3361" s="2"/>
      <c r="AG3361" s="2"/>
      <c r="AH3361" s="2"/>
      <c r="AI3361" s="2"/>
      <c r="AJ3361" s="2"/>
      <c r="AK3361" s="2"/>
      <c r="AL3361" s="2"/>
      <c r="AM3361" s="2"/>
      <c r="AN3361" s="2"/>
      <c r="AO3361" s="2"/>
      <c r="AP3361" s="2"/>
      <c r="AQ3361" s="2"/>
      <c r="AR3361" s="2"/>
      <c r="AS3361" s="2"/>
      <c r="AT3361" s="2"/>
      <c r="AU3361" s="2"/>
      <c r="AV3361" s="2"/>
      <c r="AW3361" s="2"/>
      <c r="AX3361" s="2"/>
      <c r="AY3361" s="2"/>
      <c r="AZ3361" s="2"/>
      <c r="BA3361" s="2"/>
      <c r="BB3361" s="2"/>
    </row>
    <row r="3362" ht="204.75" customHeight="1">
      <c r="A3362" s="1">
        <v>686.0</v>
      </c>
      <c r="B3362" s="2" t="s">
        <v>10060</v>
      </c>
      <c r="C3362" s="2">
        <f>IFERROR(__xludf.DUMMYFUNCTION("split(B3362,""_"")"),1807.0)</f>
        <v>1807</v>
      </c>
      <c r="D3362" s="2" t="str">
        <f>IFERROR(__xludf.DUMMYFUNCTION("""COMPUTED_VALUE"""),"NTV")</f>
        <v>NTV</v>
      </c>
      <c r="E3362" s="2" t="str">
        <f>IFERROR(__xludf.DUMMYFUNCTION("""COMPUTED_VALUE"""),"土22")</f>
        <v>土22</v>
      </c>
      <c r="F3362" s="2" t="s">
        <v>10061</v>
      </c>
      <c r="G3362" s="2" t="s">
        <v>10080</v>
      </c>
      <c r="H3362" s="1">
        <v>7.0</v>
      </c>
      <c r="J3362" s="1" t="s">
        <v>86</v>
      </c>
      <c r="K3362" s="2" t="s">
        <v>10081</v>
      </c>
      <c r="L3362" s="2" t="s">
        <v>10082</v>
      </c>
      <c r="M3362" s="2" t="str">
        <f>IFERROR(__xludf.DUMMYFUNCTION("split(split(K3362,""【"",false),""公式LINE"",false)"),"波瑠、吉沢亮、高橋メアリージュン、ブルゾンちえみ、前野朋哉、山根和馬、小越勇輝、奈緒、石田ニコル、ついひじ杏奈/風間俊介/須藤理彩、野間口徹/生瀬勝久、財前直見/荒川良々/伊勢谷友介 ほか元カレの和也（風間俊介）が行方不明になった。子会社への左遷が理由だという。心配ではあるが、正直関わりたくないと思うさやか(波瑠)。一方、祐一(吉沢亮)とは出かける機会も増え、名前で呼び合う仲に進展。そんなさやかに宇佐美（伊勢谷友介）は、結婚するためには「相手を幸せにする力」が必要だと説く。幸せにしてもらう事ばかり考えてい"&amp;"た自分に気づいたさやか。そんな中、目の前に、ボロボロの和也が現れて…!?")</f>
        <v>波瑠、吉沢亮、高橋メアリージュン、ブルゾンちえみ、前野朋哉、山根和馬、小越勇輝、奈緒、石田ニコル、ついひじ杏奈/風間俊介/須藤理彩、野間口徹/生瀬勝久、財前直見/荒川良々/伊勢谷友介 ほか元カレの和也（風間俊介）が行方不明になった。子会社への左遷が理由だという。心配ではあるが、正直関わりたくないと思うさやか(波瑠)。一方、祐一(吉沢亮)とは出かける機会も増え、名前で呼び合う仲に進展。そんなさやかに宇佐美（伊勢谷友介）は、結婚するためには「相手を幸せにする力」が必要だと説く。幸せにしてもらう事ばかり考えていた自分に気づいたさやか。そんな中、目の前に、ボロボロの和也が現れて…!?</v>
      </c>
      <c r="N3362" s="2"/>
      <c r="O3362" s="2" t="str">
        <f>IFERROR(__xludf.DUMMYFUNCTION("split(N3362,""【"",false)"),"#VALUE!")</f>
        <v>#VALUE!</v>
      </c>
      <c r="P3362" s="2"/>
      <c r="Q3362" s="2"/>
      <c r="R3362" s="2"/>
      <c r="S3362" s="2"/>
      <c r="T3362" s="2"/>
      <c r="U3362" s="2"/>
      <c r="V3362" s="2"/>
      <c r="W3362" s="2"/>
      <c r="X3362" s="2"/>
      <c r="Y3362" s="2"/>
      <c r="Z3362" s="2"/>
      <c r="AA3362" s="2"/>
      <c r="AB3362" s="2"/>
      <c r="AC3362" s="2"/>
      <c r="AD3362" s="2"/>
      <c r="AE3362" s="2"/>
      <c r="AF3362" s="2"/>
      <c r="AG3362" s="2"/>
      <c r="AH3362" s="2"/>
      <c r="AI3362" s="2"/>
      <c r="AJ3362" s="2"/>
      <c r="AK3362" s="2"/>
      <c r="AL3362" s="2"/>
      <c r="AM3362" s="2"/>
      <c r="AN3362" s="2"/>
      <c r="AO3362" s="2"/>
      <c r="AP3362" s="2"/>
      <c r="AQ3362" s="2"/>
      <c r="AR3362" s="2"/>
      <c r="AS3362" s="2"/>
      <c r="AT3362" s="2"/>
      <c r="AU3362" s="2"/>
      <c r="AV3362" s="2"/>
      <c r="AW3362" s="2"/>
      <c r="AX3362" s="2"/>
      <c r="AY3362" s="2"/>
      <c r="AZ3362" s="2"/>
      <c r="BA3362" s="2"/>
      <c r="BB3362" s="2"/>
    </row>
    <row r="3363" ht="204.75" customHeight="1">
      <c r="A3363" s="1">
        <v>687.0</v>
      </c>
      <c r="B3363" s="2" t="s">
        <v>10060</v>
      </c>
      <c r="C3363" s="2">
        <f>IFERROR(__xludf.DUMMYFUNCTION("split(B3363,""_"")"),1807.0)</f>
        <v>1807</v>
      </c>
      <c r="D3363" s="2" t="str">
        <f>IFERROR(__xludf.DUMMYFUNCTION("""COMPUTED_VALUE"""),"NTV")</f>
        <v>NTV</v>
      </c>
      <c r="E3363" s="2" t="str">
        <f>IFERROR(__xludf.DUMMYFUNCTION("""COMPUTED_VALUE"""),"土22")</f>
        <v>土22</v>
      </c>
      <c r="F3363" s="2" t="s">
        <v>10061</v>
      </c>
      <c r="G3363" s="2" t="s">
        <v>10083</v>
      </c>
      <c r="H3363" s="1">
        <v>8.0</v>
      </c>
      <c r="J3363" s="1" t="s">
        <v>86</v>
      </c>
      <c r="K3363" s="2" t="s">
        <v>10084</v>
      </c>
      <c r="L3363" s="2" t="s">
        <v>10085</v>
      </c>
      <c r="M3363" s="2" t="str">
        <f>IFERROR(__xludf.DUMMYFUNCTION("split(split(K3363,""【"",false),""公式LINE"",false)"),"波瑠、吉沢亮、高橋メアリージュン、ブルゾンちえみ、前野朋哉、山根和馬、小越勇輝、奈緒、石田ニコル、ついひじ杏奈/風間俊介/須藤理彩、野間口徹/生瀬勝久、財前直見/荒川良々/伊勢谷友介 ほか祐一（吉沢亮）の気持ちが分からず悩むさやか（波瑠）だが、「あと1回の連載のうちに結婚」するためにも、手段を選んでいる暇はない。宇佐美（伊勢谷友介）は祐一の気持ちを確かめるよう命じるが、さやかは勇気が出ない。そんな中、上京した母・美恵子（財前直見）が祐一にグイグイいく姿に苛立ったさやかは、思わず母を傷つけてしまう。母との関"&amp;"係を修復できるのか？そして祐一の思いを確かめることはできるのか…!?")</f>
        <v>波瑠、吉沢亮、高橋メアリージュン、ブルゾンちえみ、前野朋哉、山根和馬、小越勇輝、奈緒、石田ニコル、ついひじ杏奈/風間俊介/須藤理彩、野間口徹/生瀬勝久、財前直見/荒川良々/伊勢谷友介 ほか祐一（吉沢亮）の気持ちが分からず悩むさやか（波瑠）だが、「あと1回の連載のうちに結婚」するためにも、手段を選んでいる暇はない。宇佐美（伊勢谷友介）は祐一の気持ちを確かめるよう命じるが、さやかは勇気が出ない。そんな中、上京した母・美恵子（財前直見）が祐一にグイグイいく姿に苛立ったさやかは、思わず母を傷つけてしまう。母との関係を修復できるのか？そして祐一の思いを確かめることはできるのか…!?</v>
      </c>
      <c r="N3363" s="2"/>
      <c r="O3363" s="2" t="str">
        <f>IFERROR(__xludf.DUMMYFUNCTION("split(N3363,""【"",false)"),"#VALUE!")</f>
        <v>#VALUE!</v>
      </c>
      <c r="P3363" s="2"/>
      <c r="Q3363" s="2"/>
      <c r="R3363" s="2"/>
      <c r="S3363" s="2"/>
      <c r="T3363" s="2"/>
      <c r="U3363" s="2"/>
      <c r="V3363" s="2"/>
      <c r="W3363" s="2"/>
      <c r="X3363" s="2"/>
      <c r="Y3363" s="2"/>
      <c r="Z3363" s="2"/>
      <c r="AA3363" s="2"/>
      <c r="AB3363" s="2"/>
      <c r="AC3363" s="2"/>
      <c r="AD3363" s="2"/>
      <c r="AE3363" s="2"/>
      <c r="AF3363" s="2"/>
      <c r="AG3363" s="2"/>
      <c r="AH3363" s="2"/>
      <c r="AI3363" s="2"/>
      <c r="AJ3363" s="2"/>
      <c r="AK3363" s="2"/>
      <c r="AL3363" s="2"/>
      <c r="AM3363" s="2"/>
      <c r="AN3363" s="2"/>
      <c r="AO3363" s="2"/>
      <c r="AP3363" s="2"/>
      <c r="AQ3363" s="2"/>
      <c r="AR3363" s="2"/>
      <c r="AS3363" s="2"/>
      <c r="AT3363" s="2"/>
      <c r="AU3363" s="2"/>
      <c r="AV3363" s="2"/>
      <c r="AW3363" s="2"/>
      <c r="AX3363" s="2"/>
      <c r="AY3363" s="2"/>
      <c r="AZ3363" s="2"/>
      <c r="BA3363" s="2"/>
      <c r="BB3363" s="2"/>
    </row>
    <row r="3364" ht="204.75" customHeight="1">
      <c r="A3364" s="1">
        <v>688.0</v>
      </c>
      <c r="B3364" s="2" t="s">
        <v>10060</v>
      </c>
      <c r="C3364" s="2">
        <f>IFERROR(__xludf.DUMMYFUNCTION("split(B3364,""_"")"),1807.0)</f>
        <v>1807</v>
      </c>
      <c r="D3364" s="2" t="str">
        <f>IFERROR(__xludf.DUMMYFUNCTION("""COMPUTED_VALUE"""),"NTV")</f>
        <v>NTV</v>
      </c>
      <c r="E3364" s="2" t="str">
        <f>IFERROR(__xludf.DUMMYFUNCTION("""COMPUTED_VALUE"""),"土22")</f>
        <v>土22</v>
      </c>
      <c r="F3364" s="2" t="s">
        <v>10061</v>
      </c>
      <c r="G3364" s="2" t="s">
        <v>10086</v>
      </c>
      <c r="H3364" s="1">
        <v>9.0</v>
      </c>
      <c r="J3364" s="1" t="s">
        <v>86</v>
      </c>
      <c r="K3364" s="2" t="s">
        <v>10087</v>
      </c>
      <c r="L3364" s="2" t="s">
        <v>10088</v>
      </c>
      <c r="M3364" s="2" t="str">
        <f>IFERROR(__xludf.DUMMYFUNCTION("split(split(K3364,""【"",false),""公式LINE"",false)"),"波瑠、吉沢亮、高橋メアリージュン、ブルゾンちえみ、前野朋哉、山根和馬、小越勇輝、奈緒、石田ニコル、ついひじ杏奈/風間俊介/須藤理彩、野間口徹/生瀬勝久、財前直見/荒川良々/伊勢谷友介 ほかさやか（波瑠）が祐一（吉沢亮）からプロポーズされた！ 祐一がインドに転勤になったと早合点したさやかは喜ぶが、実は祐一は今の地位をすべて捨ててインドで新事業を始めるつもりだった。「半年間の連載が終わるまでに結婚する」という“ゴール”まであと一歩のところで、心が揺れ動くさやか。宇佐美（伊勢谷友介）はさやかの背中を押そうとする"&amp;"が、結婚を迷っている本当の理由が他にもあることに気付いたさやかは…!?")</f>
        <v>波瑠、吉沢亮、高橋メアリージュン、ブルゾンちえみ、前野朋哉、山根和馬、小越勇輝、奈緒、石田ニコル、ついひじ杏奈/風間俊介/須藤理彩、野間口徹/生瀬勝久、財前直見/荒川良々/伊勢谷友介 ほかさやか（波瑠）が祐一（吉沢亮）からプロポーズされた！ 祐一がインドに転勤になったと早合点したさやかは喜ぶが、実は祐一は今の地位をすべて捨ててインドで新事業を始めるつもりだった。「半年間の連載が終わるまでに結婚する」という“ゴール”まであと一歩のところで、心が揺れ動くさやか。宇佐美（伊勢谷友介）はさやかの背中を押そうとするが、結婚を迷っている本当の理由が他にもあることに気付いたさやかは…!?</v>
      </c>
      <c r="N3364" s="2"/>
      <c r="O3364" s="2" t="str">
        <f>IFERROR(__xludf.DUMMYFUNCTION("split(N3364,""【"",false)"),"#VALUE!")</f>
        <v>#VALUE!</v>
      </c>
      <c r="P3364" s="2"/>
      <c r="Q3364" s="2"/>
      <c r="R3364" s="2"/>
      <c r="S3364" s="2"/>
      <c r="T3364" s="2"/>
      <c r="U3364" s="2"/>
      <c r="V3364" s="2"/>
      <c r="W3364" s="2"/>
      <c r="X3364" s="2"/>
      <c r="Y3364" s="2"/>
      <c r="Z3364" s="2"/>
      <c r="AA3364" s="2"/>
      <c r="AB3364" s="2"/>
      <c r="AC3364" s="2"/>
      <c r="AD3364" s="2"/>
      <c r="AE3364" s="2"/>
      <c r="AF3364" s="2"/>
      <c r="AG3364" s="2"/>
      <c r="AH3364" s="2"/>
      <c r="AI3364" s="2"/>
      <c r="AJ3364" s="2"/>
      <c r="AK3364" s="2"/>
      <c r="AL3364" s="2"/>
      <c r="AM3364" s="2"/>
      <c r="AN3364" s="2"/>
      <c r="AO3364" s="2"/>
      <c r="AP3364" s="2"/>
      <c r="AQ3364" s="2"/>
      <c r="AR3364" s="2"/>
      <c r="AS3364" s="2"/>
      <c r="AT3364" s="2"/>
      <c r="AU3364" s="2"/>
      <c r="AV3364" s="2"/>
      <c r="AW3364" s="2"/>
      <c r="AX3364" s="2"/>
      <c r="AY3364" s="2"/>
      <c r="AZ3364" s="2"/>
      <c r="BA3364" s="2"/>
      <c r="BB3364" s="2"/>
    </row>
    <row r="3365" ht="204.75" customHeight="1">
      <c r="A3365" s="1">
        <v>689.0</v>
      </c>
      <c r="B3365" s="2" t="s">
        <v>10060</v>
      </c>
      <c r="C3365" s="2">
        <f>IFERROR(__xludf.DUMMYFUNCTION("split(B3365,""_"")"),1807.0)</f>
        <v>1807</v>
      </c>
      <c r="D3365" s="2" t="str">
        <f>IFERROR(__xludf.DUMMYFUNCTION("""COMPUTED_VALUE"""),"NTV")</f>
        <v>NTV</v>
      </c>
      <c r="E3365" s="2" t="str">
        <f>IFERROR(__xludf.DUMMYFUNCTION("""COMPUTED_VALUE"""),"土22")</f>
        <v>土22</v>
      </c>
      <c r="F3365" s="2" t="s">
        <v>10061</v>
      </c>
      <c r="G3365" s="2" t="s">
        <v>10089</v>
      </c>
      <c r="H3365" s="1">
        <v>10.0</v>
      </c>
      <c r="I3365" s="1" t="s">
        <v>37</v>
      </c>
      <c r="J3365" s="1" t="s">
        <v>86</v>
      </c>
      <c r="K3365" s="2" t="s">
        <v>10090</v>
      </c>
      <c r="L3365" s="2" t="s">
        <v>10091</v>
      </c>
      <c r="M3365" s="2" t="str">
        <f>IFERROR(__xludf.DUMMYFUNCTION("split(split(K3365,""【"",false),""公式LINE"",false)"),"波瑠、吉沢亮、高橋メアリージュン、ブルゾンちえみ、前野朋哉、山根和馬、小越勇輝、奈緒、石田ニコル、ついひじ杏奈/風間俊介/須藤理彩、野間口徹/生瀬勝久、財前直見/荒川良々/伊勢谷友介 ほか祐一（吉沢亮）と一緒にインドへ行く覚悟が自分にないこと、そして宇佐美（伊勢谷友介）と一緒にもっと仕事をしたいと気づいたさやか（波瑠）は、プロポーズを断ろうと決断。祐一も結婚は考え直そうと提案する。一方で、インドでの起業は必ず父の惣一（生瀬勝久）に認めてもらうと決意し、さやかも祐一を応援するが…。迷う部下のために、宇佐美が"&amp;"取った驚きの行動とは!?最後にさやかが選ぶ幸せは、仕事か、結婚か…!?")</f>
        <v>波瑠、吉沢亮、高橋メアリージュン、ブルゾンちえみ、前野朋哉、山根和馬、小越勇輝、奈緒、石田ニコル、ついひじ杏奈/風間俊介/須藤理彩、野間口徹/生瀬勝久、財前直見/荒川良々/伊勢谷友介 ほか祐一（吉沢亮）と一緒にインドへ行く覚悟が自分にないこと、そして宇佐美（伊勢谷友介）と一緒にもっと仕事をしたいと気づいたさやか（波瑠）は、プロポーズを断ろうと決断。祐一も結婚は考え直そうと提案する。一方で、インドでの起業は必ず父の惣一（生瀬勝久）に認めてもらうと決意し、さやかも祐一を応援するが…。迷う部下のために、宇佐美が取った驚きの行動とは!?最後にさやかが選ぶ幸せは、仕事か、結婚か…!?</v>
      </c>
      <c r="N3365" s="2"/>
      <c r="O3365" s="2" t="str">
        <f>IFERROR(__xludf.DUMMYFUNCTION("split(N3365,""【"",false)"),"#VALUE!")</f>
        <v>#VALUE!</v>
      </c>
      <c r="P3365" s="2"/>
      <c r="Q3365" s="2"/>
      <c r="R3365" s="2"/>
      <c r="S3365" s="2"/>
      <c r="T3365" s="2"/>
      <c r="U3365" s="2"/>
      <c r="V3365" s="2"/>
      <c r="W3365" s="2"/>
      <c r="X3365" s="2"/>
      <c r="Y3365" s="2"/>
      <c r="Z3365" s="2"/>
      <c r="AA3365" s="2"/>
      <c r="AB3365" s="2"/>
      <c r="AC3365" s="2"/>
      <c r="AD3365" s="2"/>
      <c r="AE3365" s="2"/>
      <c r="AF3365" s="2"/>
      <c r="AG3365" s="2"/>
      <c r="AH3365" s="2"/>
      <c r="AI3365" s="2"/>
      <c r="AJ3365" s="2"/>
      <c r="AK3365" s="2"/>
      <c r="AL3365" s="2"/>
      <c r="AM3365" s="2"/>
      <c r="AN3365" s="2"/>
      <c r="AO3365" s="2"/>
      <c r="AP3365" s="2"/>
      <c r="AQ3365" s="2"/>
      <c r="AR3365" s="2"/>
      <c r="AS3365" s="2"/>
      <c r="AT3365" s="2"/>
      <c r="AU3365" s="2"/>
      <c r="AV3365" s="2"/>
      <c r="AW3365" s="2"/>
      <c r="AX3365" s="2"/>
      <c r="AY3365" s="2"/>
      <c r="AZ3365" s="2"/>
      <c r="BA3365" s="2"/>
      <c r="BB3365" s="2"/>
    </row>
    <row r="3366" ht="204.75" customHeight="1">
      <c r="A3366" s="1">
        <v>706.0</v>
      </c>
      <c r="B3366" s="2" t="s">
        <v>10092</v>
      </c>
      <c r="C3366" s="2">
        <f>IFERROR(__xludf.DUMMYFUNCTION("split(B3366,""_"")"),1807.0)</f>
        <v>1807</v>
      </c>
      <c r="D3366" s="2" t="str">
        <f>IFERROR(__xludf.DUMMYFUNCTION("""COMPUTED_VALUE"""),"NTV")</f>
        <v>NTV</v>
      </c>
      <c r="E3366" s="2" t="str">
        <f>IFERROR(__xludf.DUMMYFUNCTION("""COMPUTED_VALUE"""),"日22")</f>
        <v>日22</v>
      </c>
      <c r="F3366" s="2" t="s">
        <v>10093</v>
      </c>
      <c r="G3366" s="2" t="s">
        <v>10094</v>
      </c>
      <c r="H3366" s="1">
        <v>1.0</v>
      </c>
      <c r="I3366" s="1" t="s">
        <v>3</v>
      </c>
      <c r="J3366" s="1" t="s">
        <v>82</v>
      </c>
      <c r="K3366" s="2" t="s">
        <v>10095</v>
      </c>
      <c r="L3366" s="2" t="s">
        <v>10096</v>
      </c>
      <c r="M3366" s="2" t="str">
        <f>IFERROR(__xludf.DUMMYFUNCTION("split(split(K3366,""【"",false),""公式LINE"",false)"),"加藤シゲアキ(NEWS)、間宮祥太朗、小関裕太、加藤諒、岡山天音、杉野遥亮/ケンドーコバヤシ、梅沢富美男、小池栄子 ほか世間では 義賊が話題になっていた。振り込め詐欺で得た金を義賊に奪われたヤクザの末崎(ケンドーコバヤシ)は激怒。義賊のチカラ（加藤諒）、ヒロシ（岡山天音）、スナオ（杉野遥亮）を拉致するが首謀者は、ゼロ(加藤シゲアキ)という男らしい。ゼロは3人を助けにくるが、在全(梅沢冨美男)と幹部の峰子(小池栄子)が現れ、在全グループの後継者を決める選抜ゲームに参加しろと言う。一同はゲーム会場、ドリームキ"&amp;"ングダムへ")</f>
        <v>加藤シゲアキ(NEWS)、間宮祥太朗、小関裕太、加藤諒、岡山天音、杉野遥亮/ケンドーコバヤシ、梅沢富美男、小池栄子 ほか世間では 義賊が話題になっていた。振り込め詐欺で得た金を義賊に奪われたヤクザの末崎(ケンドーコバヤシ)は激怒。義賊のチカラ（加藤諒）、ヒロシ（岡山天音）、スナオ（杉野遥亮）を拉致するが首謀者は、ゼロ(加藤シゲアキ)という男らしい。ゼロは3人を助けにくるが、在全(梅沢冨美男)と幹部の峰子(小池栄子)が現れ、在全グループの後継者を決める選抜ゲームに参加しろと言う。一同はゲーム会場、ドリームキングダムへ</v>
      </c>
      <c r="N3366" s="2"/>
      <c r="O3366" s="2"/>
      <c r="P3366" s="2"/>
      <c r="Q3366" s="2"/>
      <c r="R3366" s="2"/>
      <c r="S3366" s="2"/>
      <c r="T3366" s="2"/>
      <c r="U3366" s="2"/>
      <c r="V3366" s="2"/>
      <c r="W3366" s="2"/>
      <c r="X3366" s="2"/>
      <c r="Y3366" s="2"/>
      <c r="Z3366" s="2"/>
      <c r="AA3366" s="2"/>
      <c r="AB3366" s="2"/>
      <c r="AC3366" s="2"/>
      <c r="AD3366" s="2"/>
      <c r="AE3366" s="2"/>
      <c r="AF3366" s="2"/>
      <c r="AG3366" s="2"/>
      <c r="AH3366" s="2"/>
      <c r="AI3366" s="2"/>
      <c r="AJ3366" s="2"/>
      <c r="AK3366" s="2"/>
      <c r="AL3366" s="2"/>
      <c r="AM3366" s="2"/>
      <c r="AN3366" s="2"/>
      <c r="AO3366" s="2"/>
      <c r="AP3366" s="2"/>
      <c r="AQ3366" s="2"/>
      <c r="AR3366" s="2"/>
      <c r="AS3366" s="2"/>
      <c r="AT3366" s="2"/>
      <c r="AU3366" s="2"/>
      <c r="AV3366" s="2"/>
      <c r="AW3366" s="2"/>
      <c r="AX3366" s="2"/>
      <c r="AY3366" s="2"/>
      <c r="AZ3366" s="2"/>
      <c r="BA3366" s="2"/>
      <c r="BB3366" s="2"/>
    </row>
    <row r="3367" ht="204.75" customHeight="1">
      <c r="A3367" s="1">
        <v>707.0</v>
      </c>
      <c r="B3367" s="2" t="s">
        <v>10092</v>
      </c>
      <c r="C3367" s="2">
        <f>IFERROR(__xludf.DUMMYFUNCTION("split(B3367,""_"")"),1807.0)</f>
        <v>1807</v>
      </c>
      <c r="D3367" s="2" t="str">
        <f>IFERROR(__xludf.DUMMYFUNCTION("""COMPUTED_VALUE"""),"NTV")</f>
        <v>NTV</v>
      </c>
      <c r="E3367" s="2" t="str">
        <f>IFERROR(__xludf.DUMMYFUNCTION("""COMPUTED_VALUE"""),"日22")</f>
        <v>日22</v>
      </c>
      <c r="F3367" s="2" t="s">
        <v>10093</v>
      </c>
      <c r="G3367" s="2" t="s">
        <v>10097</v>
      </c>
      <c r="H3367" s="1">
        <v>2.0</v>
      </c>
      <c r="I3367" s="1" t="s">
        <v>7</v>
      </c>
      <c r="J3367" s="1" t="s">
        <v>82</v>
      </c>
      <c r="K3367" s="2" t="s">
        <v>10098</v>
      </c>
      <c r="L3367" s="2" t="s">
        <v>10099</v>
      </c>
      <c r="M3367" s="2" t="str">
        <f>IFERROR(__xludf.DUMMYFUNCTION("split(split(K3367,""【"",false),""公式LINE"",false)"),"加藤シゲアキ(NEWS)、間宮祥太朗、小関裕太、加藤諒、岡山天音、杉野遥亮/ケンドーコバヤシ、梅沢富美男、小池栄子 ほかゼロ（加藤シゲアキ）たちは死闘の末に予選を勝ち抜き、金の力の「王」在全（梅沢富美男）の後継者を決める本選へ勝ち進んだ。峰子（小池栄子）によると、ドリームキングダムには20以上のゲームがあり、勝てばもらえるリングを4つ集めた者が王になれるという。リングを強奪する手段に出たセイギ（間宮祥太朗）とユウキ（小関裕太）は、止めようとするゼロ達と対立。そこへゼロの高校時代の同級生、カズヤ（増田貴久）"&amp;"が登場し…")</f>
        <v>加藤シゲアキ(NEWS)、間宮祥太朗、小関裕太、加藤諒、岡山天音、杉野遥亮/ケンドーコバヤシ、梅沢富美男、小池栄子 ほかゼロ（加藤シゲアキ）たちは死闘の末に予選を勝ち抜き、金の力の「王」在全（梅沢富美男）の後継者を決める本選へ勝ち進んだ。峰子（小池栄子）によると、ドリームキングダムには20以上のゲームがあり、勝てばもらえるリングを4つ集めた者が王になれるという。リングを強奪する手段に出たセイギ（間宮祥太朗）とユウキ（小関裕太）は、止めようとするゼロ達と対立。そこへゼロの高校時代の同級生、カズヤ（増田貴久）が登場し…</v>
      </c>
      <c r="N3367" s="2"/>
      <c r="O3367" s="2"/>
      <c r="P3367" s="2"/>
      <c r="Q3367" s="2"/>
      <c r="R3367" s="2"/>
      <c r="S3367" s="2"/>
      <c r="T3367" s="2"/>
      <c r="U3367" s="2"/>
      <c r="V3367" s="2"/>
      <c r="W3367" s="2"/>
      <c r="X3367" s="2"/>
      <c r="Y3367" s="2"/>
      <c r="Z3367" s="2"/>
      <c r="AA3367" s="2"/>
      <c r="AB3367" s="2"/>
      <c r="AC3367" s="2"/>
      <c r="AD3367" s="2"/>
      <c r="AE3367" s="2"/>
      <c r="AF3367" s="2"/>
      <c r="AG3367" s="2"/>
      <c r="AH3367" s="2"/>
      <c r="AI3367" s="2"/>
      <c r="AJ3367" s="2"/>
      <c r="AK3367" s="2"/>
      <c r="AL3367" s="2"/>
      <c r="AM3367" s="2"/>
      <c r="AN3367" s="2"/>
      <c r="AO3367" s="2"/>
      <c r="AP3367" s="2"/>
      <c r="AQ3367" s="2"/>
      <c r="AR3367" s="2"/>
      <c r="AS3367" s="2"/>
      <c r="AT3367" s="2"/>
      <c r="AU3367" s="2"/>
      <c r="AV3367" s="2"/>
      <c r="AW3367" s="2"/>
      <c r="AX3367" s="2"/>
      <c r="AY3367" s="2"/>
      <c r="AZ3367" s="2"/>
      <c r="BA3367" s="2"/>
      <c r="BB3367" s="2"/>
    </row>
    <row r="3368" ht="204.75" customHeight="1">
      <c r="A3368" s="1">
        <v>708.0</v>
      </c>
      <c r="B3368" s="2" t="s">
        <v>10092</v>
      </c>
      <c r="C3368" s="2">
        <f>IFERROR(__xludf.DUMMYFUNCTION("split(B3368,""_"")"),1807.0)</f>
        <v>1807</v>
      </c>
      <c r="D3368" s="2" t="str">
        <f>IFERROR(__xludf.DUMMYFUNCTION("""COMPUTED_VALUE"""),"NTV")</f>
        <v>NTV</v>
      </c>
      <c r="E3368" s="2" t="str">
        <f>IFERROR(__xludf.DUMMYFUNCTION("""COMPUTED_VALUE"""),"日22")</f>
        <v>日22</v>
      </c>
      <c r="F3368" s="2" t="s">
        <v>10093</v>
      </c>
      <c r="G3368" s="2" t="s">
        <v>10100</v>
      </c>
      <c r="H3368" s="1">
        <v>3.0</v>
      </c>
      <c r="I3368" s="1" t="s">
        <v>10</v>
      </c>
      <c r="J3368" s="1" t="s">
        <v>82</v>
      </c>
      <c r="K3368" s="2" t="s">
        <v>10101</v>
      </c>
      <c r="L3368" s="2" t="s">
        <v>10102</v>
      </c>
      <c r="M3368" s="2" t="str">
        <f>IFERROR(__xludf.DUMMYFUNCTION("split(split(K3368,""【"",false),""公式LINE"",false)"),"加藤シゲアキ(NEWS)、間宮祥太朗、小関裕太、加藤諒、岡山天音、杉野遥亮/佐藤龍我(東京B少年/ジャニーズJr.)/ケンドーコバヤシ、梅沢富美男、小池栄子 ほか4方向のうち一つしかないセーフエリアへ飛ばなければ、奈落の底に転落する生存率25%の「クォータージャンプ」。声役のカズヤ（増田貴久）はアウトエリアから目隠しされたゼロ（加藤シゲアキ）に自分が正解の方向にいると嘘をつく。カズヤは学生時代に受けた屈辱からゼロの死を願っていたのだった。ゼロはカズヤを信じて飛ぼうとするが…。  残り2方向の声役には、セイ"&amp;"ギ（間宮祥太朗）と峰子（小池栄子）がそれぞれ立った。")</f>
        <v>加藤シゲアキ(NEWS)、間宮祥太朗、小関裕太、加藤諒、岡山天音、杉野遥亮/佐藤龍我(東京B少年/ジャニーズJr.)/ケンドーコバヤシ、梅沢富美男、小池栄子 ほか4方向のうち一つしかないセーフエリアへ飛ばなければ、奈落の底に転落する生存率25%の「クォータージャンプ」。声役のカズヤ（増田貴久）はアウトエリアから目隠しされたゼロ（加藤シゲアキ）に自分が正解の方向にいると嘘をつく。カズヤは学生時代に受けた屈辱からゼロの死を願っていたのだった。ゼロはカズヤを信じて飛ぼうとするが…。  残り2方向の声役には、セイギ（間宮祥太朗）と峰子（小池栄子）がそれぞれ立った。</v>
      </c>
      <c r="N3368" s="2"/>
      <c r="O3368" s="2"/>
      <c r="P3368" s="2"/>
      <c r="Q3368" s="2"/>
      <c r="R3368" s="2"/>
      <c r="S3368" s="2"/>
      <c r="T3368" s="2"/>
      <c r="U3368" s="2"/>
      <c r="V3368" s="2"/>
      <c r="W3368" s="2"/>
      <c r="X3368" s="2"/>
      <c r="Y3368" s="2"/>
      <c r="Z3368" s="2"/>
      <c r="AA3368" s="2"/>
      <c r="AB3368" s="2"/>
      <c r="AC3368" s="2"/>
      <c r="AD3368" s="2"/>
      <c r="AE3368" s="2"/>
      <c r="AF3368" s="2"/>
      <c r="AG3368" s="2"/>
      <c r="AH3368" s="2"/>
      <c r="AI3368" s="2"/>
      <c r="AJ3368" s="2"/>
      <c r="AK3368" s="2"/>
      <c r="AL3368" s="2"/>
      <c r="AM3368" s="2"/>
      <c r="AN3368" s="2"/>
      <c r="AO3368" s="2"/>
      <c r="AP3368" s="2"/>
      <c r="AQ3368" s="2"/>
      <c r="AR3368" s="2"/>
      <c r="AS3368" s="2"/>
      <c r="AT3368" s="2"/>
      <c r="AU3368" s="2"/>
      <c r="AV3368" s="2"/>
      <c r="AW3368" s="2"/>
      <c r="AX3368" s="2"/>
      <c r="AY3368" s="2"/>
      <c r="AZ3368" s="2"/>
      <c r="BA3368" s="2"/>
      <c r="BB3368" s="2"/>
    </row>
    <row r="3369" ht="204.75" customHeight="1">
      <c r="A3369" s="1">
        <v>709.0</v>
      </c>
      <c r="B3369" s="2" t="s">
        <v>10092</v>
      </c>
      <c r="C3369" s="2">
        <f>IFERROR(__xludf.DUMMYFUNCTION("split(B3369,""_"")"),1807.0)</f>
        <v>1807</v>
      </c>
      <c r="D3369" s="2" t="str">
        <f>IFERROR(__xludf.DUMMYFUNCTION("""COMPUTED_VALUE"""),"NTV")</f>
        <v>NTV</v>
      </c>
      <c r="E3369" s="2" t="str">
        <f>IFERROR(__xludf.DUMMYFUNCTION("""COMPUTED_VALUE"""),"日22")</f>
        <v>日22</v>
      </c>
      <c r="F3369" s="2" t="s">
        <v>10093</v>
      </c>
      <c r="G3369" s="2" t="s">
        <v>10103</v>
      </c>
      <c r="H3369" s="1">
        <v>4.0</v>
      </c>
      <c r="I3369" s="1" t="s">
        <v>14</v>
      </c>
      <c r="J3369" s="1" t="s">
        <v>82</v>
      </c>
      <c r="K3369" s="2" t="s">
        <v>10104</v>
      </c>
      <c r="L3369" s="2" t="s">
        <v>10105</v>
      </c>
      <c r="M3369" s="2" t="str">
        <f>IFERROR(__xludf.DUMMYFUNCTION("split(split(K3369,""【"",false),""公式LINE"",false)"),"加藤シゲアキ(NEWS)、間宮祥太朗、小関裕太、加藤諒、岡山天音、杉野遥亮/佐藤龍我(東京B少年/ジャニーズJr.)/ケンドーコバヤシ、梅沢富美男、小池栄子 ほかゼロ（加藤シゲアキ）は末崎（ケンドーコバヤシ）とセイギ（間宮祥太朗）の3人でチームを組むことになった。扉の奥には三角の部屋が二つ。  そこで出される問題「部屋はすべて同じ。君達は何？」答えるチャンスは一回。25の選択肢の中から30分以内に1チームでも正解すれば終了となるが、出題と同時に注がれる水は、30分でいっぱいになるらしい。  チームワークが"&amp;"最悪の中、拘束されたゼロは仲の悪い兄弟に翻弄されていく。")</f>
        <v>加藤シゲアキ(NEWS)、間宮祥太朗、小関裕太、加藤諒、岡山天音、杉野遥亮/佐藤龍我(東京B少年/ジャニーズJr.)/ケンドーコバヤシ、梅沢富美男、小池栄子 ほかゼロ（加藤シゲアキ）は末崎（ケンドーコバヤシ）とセイギ（間宮祥太朗）の3人でチームを組むことになった。扉の奥には三角の部屋が二つ。  そこで出される問題「部屋はすべて同じ。君達は何？」答えるチャンスは一回。25の選択肢の中から30分以内に1チームでも正解すれば終了となるが、出題と同時に注がれる水は、30分でいっぱいになるらしい。  チームワークが最悪の中、拘束されたゼロは仲の悪い兄弟に翻弄されていく。</v>
      </c>
      <c r="N3369" s="2"/>
      <c r="O3369" s="2"/>
      <c r="P3369" s="2"/>
      <c r="Q3369" s="2"/>
      <c r="R3369" s="2"/>
      <c r="S3369" s="2"/>
      <c r="T3369" s="2"/>
      <c r="U3369" s="2"/>
      <c r="V3369" s="2"/>
      <c r="W3369" s="2"/>
      <c r="X3369" s="2"/>
      <c r="Y3369" s="2"/>
      <c r="Z3369" s="2"/>
      <c r="AA3369" s="2"/>
      <c r="AB3369" s="2"/>
      <c r="AC3369" s="2"/>
      <c r="AD3369" s="2"/>
      <c r="AE3369" s="2"/>
      <c r="AF3369" s="2"/>
      <c r="AG3369" s="2"/>
      <c r="AH3369" s="2"/>
      <c r="AI3369" s="2"/>
      <c r="AJ3369" s="2"/>
      <c r="AK3369" s="2"/>
      <c r="AL3369" s="2"/>
      <c r="AM3369" s="2"/>
      <c r="AN3369" s="2"/>
      <c r="AO3369" s="2"/>
      <c r="AP3369" s="2"/>
      <c r="AQ3369" s="2"/>
      <c r="AR3369" s="2"/>
      <c r="AS3369" s="2"/>
      <c r="AT3369" s="2"/>
      <c r="AU3369" s="2"/>
      <c r="AV3369" s="2"/>
      <c r="AW3369" s="2"/>
      <c r="AX3369" s="2"/>
      <c r="AY3369" s="2"/>
      <c r="AZ3369" s="2"/>
      <c r="BA3369" s="2"/>
      <c r="BB3369" s="2"/>
    </row>
    <row r="3370" ht="204.75" customHeight="1">
      <c r="A3370" s="1">
        <v>710.0</v>
      </c>
      <c r="B3370" s="2" t="s">
        <v>10092</v>
      </c>
      <c r="C3370" s="2">
        <f>IFERROR(__xludf.DUMMYFUNCTION("split(B3370,""_"")"),1807.0)</f>
        <v>1807</v>
      </c>
      <c r="D3370" s="2" t="str">
        <f>IFERROR(__xludf.DUMMYFUNCTION("""COMPUTED_VALUE"""),"NTV")</f>
        <v>NTV</v>
      </c>
      <c r="E3370" s="2" t="str">
        <f>IFERROR(__xludf.DUMMYFUNCTION("""COMPUTED_VALUE"""),"日22")</f>
        <v>日22</v>
      </c>
      <c r="F3370" s="2" t="s">
        <v>10093</v>
      </c>
      <c r="G3370" s="2" t="s">
        <v>10106</v>
      </c>
      <c r="H3370" s="1">
        <v>5.0</v>
      </c>
      <c r="I3370" s="1" t="s">
        <v>17</v>
      </c>
      <c r="J3370" s="1" t="s">
        <v>82</v>
      </c>
      <c r="K3370" s="2" t="s">
        <v>10107</v>
      </c>
      <c r="L3370" s="2" t="s">
        <v>10108</v>
      </c>
      <c r="M3370" s="2" t="str">
        <f>IFERROR(__xludf.DUMMYFUNCTION("split(split(K3370,""【"",false),""公式LINE"",false)"),"加藤シゲアキ(NEWS)、間宮祥太朗、小関裕太、加藤諒、岡山天音、杉野遥亮/佐藤龍我(東京B少年/ジャニーズJr.)/ケンドーコバヤシ、梅沢富美男、小池栄子 ほか制限時間内にどこかのチームが正解しないと、全ての部屋の水槽内の人間全員が犠牲になってしまう。拘束されたゼロ(加藤シゲアキ)は、自分を見殺しにするつもりのセイギ(間宮祥太朗)から解答する主導権を奪うため、末崎(ケンドーコバヤシ)に自力で問題を解かせようと苦闘。しかし二人の兄弟はさらに心の奥底にある憎しみをぶつけあっていき…。追い詰められた各部屋の面"&amp;"々が不正解を送信、一度だけの解答権を失っていく・・・")</f>
        <v>加藤シゲアキ(NEWS)、間宮祥太朗、小関裕太、加藤諒、岡山天音、杉野遥亮/佐藤龍我(東京B少年/ジャニーズJr.)/ケンドーコバヤシ、梅沢富美男、小池栄子 ほか制限時間内にどこかのチームが正解しないと、全ての部屋の水槽内の人間全員が犠牲になってしまう。拘束されたゼロ(加藤シゲアキ)は、自分を見殺しにするつもりのセイギ(間宮祥太朗)から解答する主導権を奪うため、末崎(ケンドーコバヤシ)に自力で問題を解かせようと苦闘。しかし二人の兄弟はさらに心の奥底にある憎しみをぶつけあっていき…。追い詰められた各部屋の面々が不正解を送信、一度だけの解答権を失っていく・・・</v>
      </c>
      <c r="N3370" s="2"/>
      <c r="O3370" s="2"/>
      <c r="P3370" s="2"/>
      <c r="Q3370" s="2"/>
      <c r="R3370" s="2"/>
      <c r="S3370" s="2"/>
      <c r="T3370" s="2"/>
      <c r="U3370" s="2"/>
      <c r="V3370" s="2"/>
      <c r="W3370" s="2"/>
      <c r="X3370" s="2"/>
      <c r="Y3370" s="2"/>
      <c r="Z3370" s="2"/>
      <c r="AA3370" s="2"/>
      <c r="AB3370" s="2"/>
      <c r="AC3370" s="2"/>
      <c r="AD3370" s="2"/>
      <c r="AE3370" s="2"/>
      <c r="AF3370" s="2"/>
      <c r="AG3370" s="2"/>
      <c r="AH3370" s="2"/>
      <c r="AI3370" s="2"/>
      <c r="AJ3370" s="2"/>
      <c r="AK3370" s="2"/>
      <c r="AL3370" s="2"/>
      <c r="AM3370" s="2"/>
      <c r="AN3370" s="2"/>
      <c r="AO3370" s="2"/>
      <c r="AP3370" s="2"/>
      <c r="AQ3370" s="2"/>
      <c r="AR3370" s="2"/>
      <c r="AS3370" s="2"/>
      <c r="AT3370" s="2"/>
      <c r="AU3370" s="2"/>
      <c r="AV3370" s="2"/>
      <c r="AW3370" s="2"/>
      <c r="AX3370" s="2"/>
      <c r="AY3370" s="2"/>
      <c r="AZ3370" s="2"/>
      <c r="BA3370" s="2"/>
      <c r="BB3370" s="2"/>
    </row>
    <row r="3371" ht="204.75" customHeight="1">
      <c r="A3371" s="1">
        <v>711.0</v>
      </c>
      <c r="B3371" s="2" t="s">
        <v>10092</v>
      </c>
      <c r="C3371" s="2">
        <f>IFERROR(__xludf.DUMMYFUNCTION("split(B3371,""_"")"),1807.0)</f>
        <v>1807</v>
      </c>
      <c r="D3371" s="2" t="str">
        <f>IFERROR(__xludf.DUMMYFUNCTION("""COMPUTED_VALUE"""),"NTV")</f>
        <v>NTV</v>
      </c>
      <c r="E3371" s="2" t="str">
        <f>IFERROR(__xludf.DUMMYFUNCTION("""COMPUTED_VALUE"""),"日22")</f>
        <v>日22</v>
      </c>
      <c r="F3371" s="2" t="s">
        <v>10093</v>
      </c>
      <c r="G3371" s="2" t="s">
        <v>10109</v>
      </c>
      <c r="H3371" s="1">
        <v>6.0</v>
      </c>
      <c r="I3371" s="1" t="s">
        <v>21</v>
      </c>
      <c r="J3371" s="1" t="s">
        <v>82</v>
      </c>
      <c r="K3371" s="2" t="s">
        <v>10110</v>
      </c>
      <c r="L3371" s="2" t="s">
        <v>10111</v>
      </c>
      <c r="M3371" s="2" t="str">
        <f>IFERROR(__xludf.DUMMYFUNCTION("split(split(K3371,""【"",false),""公式LINE"",false)"),"加藤シゲアキ(NEWS)、間宮祥太朗、小関裕太、加藤諒、岡山天音、杉野遥亮/佐藤龍我(東京B少年/ジャニーズJr.)/ケンドーコバヤシ、梅沢富美男、小池栄子 ほか「ようこそ『ザ・アンカー』へ！」台に寝かされたゼロ（加藤シゲアキ）達の前にMCの小太郎(手越祐也)が現れた。鉄のアンカー（錨）の鋭い刃が顔の真上で振り子のように行き来する過酷なゲーム。パネルから問題を選び、3人の挑戦者が順に解答、不正解が続けばアンカーが徐々に下がり「アンカーが頭に直撃！どっか～ん！」ゲームの進行役に峰子（小池栄子）が送り込んだの"&amp;"が友情や人の絆を憎悪するサディストの小太郎だった…")</f>
        <v>加藤シゲアキ(NEWS)、間宮祥太朗、小関裕太、加藤諒、岡山天音、杉野遥亮/佐藤龍我(東京B少年/ジャニーズJr.)/ケンドーコバヤシ、梅沢富美男、小池栄子 ほか「ようこそ『ザ・アンカー』へ！」台に寝かされたゼロ（加藤シゲアキ）達の前にMCの小太郎(手越祐也)が現れた。鉄のアンカー（錨）の鋭い刃が顔の真上で振り子のように行き来する過酷なゲーム。パネルから問題を選び、3人の挑戦者が順に解答、不正解が続けばアンカーが徐々に下がり「アンカーが頭に直撃！どっか～ん！」ゲームの進行役に峰子（小池栄子）が送り込んだのが友情や人の絆を憎悪するサディストの小太郎だった…</v>
      </c>
      <c r="N3371" s="2"/>
      <c r="O3371" s="2"/>
      <c r="P3371" s="2"/>
      <c r="Q3371" s="2"/>
      <c r="R3371" s="2"/>
      <c r="S3371" s="2"/>
      <c r="T3371" s="2"/>
      <c r="U3371" s="2"/>
      <c r="V3371" s="2"/>
      <c r="W3371" s="2"/>
      <c r="X3371" s="2"/>
      <c r="Y3371" s="2"/>
      <c r="Z3371" s="2"/>
      <c r="AA3371" s="2"/>
      <c r="AB3371" s="2"/>
      <c r="AC3371" s="2"/>
      <c r="AD3371" s="2"/>
      <c r="AE3371" s="2"/>
      <c r="AF3371" s="2"/>
      <c r="AG3371" s="2"/>
      <c r="AH3371" s="2"/>
      <c r="AI3371" s="2"/>
      <c r="AJ3371" s="2"/>
      <c r="AK3371" s="2"/>
      <c r="AL3371" s="2"/>
      <c r="AM3371" s="2"/>
      <c r="AN3371" s="2"/>
      <c r="AO3371" s="2"/>
      <c r="AP3371" s="2"/>
      <c r="AQ3371" s="2"/>
      <c r="AR3371" s="2"/>
      <c r="AS3371" s="2"/>
      <c r="AT3371" s="2"/>
      <c r="AU3371" s="2"/>
      <c r="AV3371" s="2"/>
      <c r="AW3371" s="2"/>
      <c r="AX3371" s="2"/>
      <c r="AY3371" s="2"/>
      <c r="AZ3371" s="2"/>
      <c r="BA3371" s="2"/>
      <c r="BB3371" s="2"/>
    </row>
    <row r="3372" ht="204.75" customHeight="1">
      <c r="A3372" s="1">
        <v>712.0</v>
      </c>
      <c r="B3372" s="2" t="s">
        <v>10092</v>
      </c>
      <c r="C3372" s="2">
        <f>IFERROR(__xludf.DUMMYFUNCTION("split(B3372,""_"")"),1807.0)</f>
        <v>1807</v>
      </c>
      <c r="D3372" s="2" t="str">
        <f>IFERROR(__xludf.DUMMYFUNCTION("""COMPUTED_VALUE"""),"NTV")</f>
        <v>NTV</v>
      </c>
      <c r="E3372" s="2" t="str">
        <f>IFERROR(__xludf.DUMMYFUNCTION("""COMPUTED_VALUE"""),"日22")</f>
        <v>日22</v>
      </c>
      <c r="F3372" s="2" t="s">
        <v>10093</v>
      </c>
      <c r="G3372" s="2" t="s">
        <v>10112</v>
      </c>
      <c r="H3372" s="1">
        <v>7.0</v>
      </c>
      <c r="I3372" s="1" t="s">
        <v>25</v>
      </c>
      <c r="J3372" s="1" t="s">
        <v>82</v>
      </c>
      <c r="K3372" s="2" t="s">
        <v>10113</v>
      </c>
      <c r="L3372" s="2" t="s">
        <v>10114</v>
      </c>
      <c r="M3372" s="2" t="str">
        <f>IFERROR(__xludf.DUMMYFUNCTION("split(split(K3372,""【"",false),""公式LINE"",false)"),"加藤シゲアキ(NEWS)、間宮祥太朗、小関裕太、加藤諒、岡山天音、杉野遥亮/佐藤龍我(東京B少年/ジャニーズJr.)/ケンドーコバヤシ、梅沢富美男、小池栄子 ほか残虐非道なMC小太郎(手越祐也)が進行する「ザ・アンカー」に挑むゼロ（加藤シゲアキ）達はもはや絶体絶命！無茶な問題でも正解へとにじりよるゼロに、小太郎は焦りの色を隠せない。  絶対に解答不能なスペシャル問題をゼロにぶつけてやると息巻く小太郎。  一方ゼロは、どうやっても勝てないようにゲームが操作されていることに気づく。  「…終わる？」これまでど"&amp;"んな状況でもあきらめなかったゼロが初めて希望を見失い…。")</f>
        <v>加藤シゲアキ(NEWS)、間宮祥太朗、小関裕太、加藤諒、岡山天音、杉野遥亮/佐藤龍我(東京B少年/ジャニーズJr.)/ケンドーコバヤシ、梅沢富美男、小池栄子 ほか残虐非道なMC小太郎(手越祐也)が進行する「ザ・アンカー」に挑むゼロ（加藤シゲアキ）達はもはや絶体絶命！無茶な問題でも正解へとにじりよるゼロに、小太郎は焦りの色を隠せない。  絶対に解答不能なスペシャル問題をゼロにぶつけてやると息巻く小太郎。  一方ゼロは、どうやっても勝てないようにゲームが操作されていることに気づく。  「…終わる？」これまでどんな状況でもあきらめなかったゼロが初めて希望を見失い…。</v>
      </c>
      <c r="N3372" s="2"/>
      <c r="O3372" s="2"/>
      <c r="P3372" s="2"/>
      <c r="Q3372" s="2"/>
      <c r="R3372" s="2"/>
      <c r="S3372" s="2"/>
      <c r="T3372" s="2"/>
      <c r="U3372" s="2"/>
      <c r="V3372" s="2"/>
      <c r="W3372" s="2"/>
      <c r="X3372" s="2"/>
      <c r="Y3372" s="2"/>
      <c r="Z3372" s="2"/>
      <c r="AA3372" s="2"/>
      <c r="AB3372" s="2"/>
      <c r="AC3372" s="2"/>
      <c r="AD3372" s="2"/>
      <c r="AE3372" s="2"/>
      <c r="AF3372" s="2"/>
      <c r="AG3372" s="2"/>
      <c r="AH3372" s="2"/>
      <c r="AI3372" s="2"/>
      <c r="AJ3372" s="2"/>
      <c r="AK3372" s="2"/>
      <c r="AL3372" s="2"/>
      <c r="AM3372" s="2"/>
      <c r="AN3372" s="2"/>
      <c r="AO3372" s="2"/>
      <c r="AP3372" s="2"/>
      <c r="AQ3372" s="2"/>
      <c r="AR3372" s="2"/>
      <c r="AS3372" s="2"/>
      <c r="AT3372" s="2"/>
      <c r="AU3372" s="2"/>
      <c r="AV3372" s="2"/>
      <c r="AW3372" s="2"/>
      <c r="AX3372" s="2"/>
      <c r="AY3372" s="2"/>
      <c r="AZ3372" s="2"/>
      <c r="BA3372" s="2"/>
      <c r="BB3372" s="2"/>
    </row>
    <row r="3373" ht="204.75" customHeight="1">
      <c r="A3373" s="1">
        <v>713.0</v>
      </c>
      <c r="B3373" s="2" t="s">
        <v>10092</v>
      </c>
      <c r="C3373" s="2">
        <f>IFERROR(__xludf.DUMMYFUNCTION("split(B3373,""_"")"),1807.0)</f>
        <v>1807</v>
      </c>
      <c r="D3373" s="2" t="str">
        <f>IFERROR(__xludf.DUMMYFUNCTION("""COMPUTED_VALUE"""),"NTV")</f>
        <v>NTV</v>
      </c>
      <c r="E3373" s="2" t="str">
        <f>IFERROR(__xludf.DUMMYFUNCTION("""COMPUTED_VALUE"""),"日22")</f>
        <v>日22</v>
      </c>
      <c r="F3373" s="2" t="s">
        <v>10093</v>
      </c>
      <c r="G3373" s="2" t="s">
        <v>10115</v>
      </c>
      <c r="H3373" s="1">
        <v>8.0</v>
      </c>
      <c r="I3373" s="1" t="s">
        <v>29</v>
      </c>
      <c r="J3373" s="1" t="s">
        <v>82</v>
      </c>
      <c r="K3373" s="2" t="s">
        <v>10116</v>
      </c>
      <c r="L3373" s="2" t="s">
        <v>10117</v>
      </c>
      <c r="M3373" s="2" t="str">
        <f>IFERROR(__xludf.DUMMYFUNCTION("split(split(K3373,""【"",false),""公式LINE"",false)"),"加藤シゲアキ(NEWS)、間宮祥太朗、小関裕太、加藤諒、岡山天音、杉野遥亮/佐藤龍我(東京B少年/ジャニーズJr.)/ケンドーコバヤシ、梅沢富美男、小池栄子 ほかゼロ（加藤シゲアキ）について行けば確実にリングが獲れると、末崎(ケンドーコバヤシ)が、「魔女の館」の挑戦者を勝手に集めてしまった。兵士が壁に描かれた部屋の中央に立つ魔女像が話し出す。「捕らわれの21人が、生きて出る方法はただひとつ。この部屋にかけられた魔女の呪いを解くこと」  突然壁から無数の槍が飛び出し、ひとりの挑戦者の腹を刺した。間一髪でゼロ"&amp;"が答えを送信するが、『不正解』の文字・・・")</f>
        <v>加藤シゲアキ(NEWS)、間宮祥太朗、小関裕太、加藤諒、岡山天音、杉野遥亮/佐藤龍我(東京B少年/ジャニーズJr.)/ケンドーコバヤシ、梅沢富美男、小池栄子 ほかゼロ（加藤シゲアキ）について行けば確実にリングが獲れると、末崎(ケンドーコバヤシ)が、「魔女の館」の挑戦者を勝手に集めてしまった。兵士が壁に描かれた部屋の中央に立つ魔女像が話し出す。「捕らわれの21人が、生きて出る方法はただひとつ。この部屋にかけられた魔女の呪いを解くこと」  突然壁から無数の槍が飛び出し、ひとりの挑戦者の腹を刺した。間一髪でゼロが答えを送信するが、『不正解』の文字・・・</v>
      </c>
      <c r="N3373" s="2"/>
      <c r="O3373" s="2"/>
      <c r="P3373" s="2"/>
      <c r="Q3373" s="2"/>
      <c r="R3373" s="2"/>
      <c r="S3373" s="2"/>
      <c r="T3373" s="2"/>
      <c r="U3373" s="2"/>
      <c r="V3373" s="2"/>
      <c r="W3373" s="2"/>
      <c r="X3373" s="2"/>
      <c r="Y3373" s="2"/>
      <c r="Z3373" s="2"/>
      <c r="AA3373" s="2"/>
      <c r="AB3373" s="2"/>
      <c r="AC3373" s="2"/>
      <c r="AD3373" s="2"/>
      <c r="AE3373" s="2"/>
      <c r="AF3373" s="2"/>
      <c r="AG3373" s="2"/>
      <c r="AH3373" s="2"/>
      <c r="AI3373" s="2"/>
      <c r="AJ3373" s="2"/>
      <c r="AK3373" s="2"/>
      <c r="AL3373" s="2"/>
      <c r="AM3373" s="2"/>
      <c r="AN3373" s="2"/>
      <c r="AO3373" s="2"/>
      <c r="AP3373" s="2"/>
      <c r="AQ3373" s="2"/>
      <c r="AR3373" s="2"/>
      <c r="AS3373" s="2"/>
      <c r="AT3373" s="2"/>
      <c r="AU3373" s="2"/>
      <c r="AV3373" s="2"/>
      <c r="AW3373" s="2"/>
      <c r="AX3373" s="2"/>
      <c r="AY3373" s="2"/>
      <c r="AZ3373" s="2"/>
      <c r="BA3373" s="2"/>
      <c r="BB3373" s="2"/>
    </row>
    <row r="3374" ht="204.75" customHeight="1">
      <c r="A3374" s="1">
        <v>714.0</v>
      </c>
      <c r="B3374" s="2" t="s">
        <v>10092</v>
      </c>
      <c r="C3374" s="2">
        <f>IFERROR(__xludf.DUMMYFUNCTION("split(B3374,""_"")"),1807.0)</f>
        <v>1807</v>
      </c>
      <c r="D3374" s="2" t="str">
        <f>IFERROR(__xludf.DUMMYFUNCTION("""COMPUTED_VALUE"""),"NTV")</f>
        <v>NTV</v>
      </c>
      <c r="E3374" s="2" t="str">
        <f>IFERROR(__xludf.DUMMYFUNCTION("""COMPUTED_VALUE"""),"日22")</f>
        <v>日22</v>
      </c>
      <c r="F3374" s="2" t="s">
        <v>10093</v>
      </c>
      <c r="G3374" s="2" t="s">
        <v>10118</v>
      </c>
      <c r="H3374" s="1">
        <v>9.0</v>
      </c>
      <c r="I3374" s="1" t="s">
        <v>33</v>
      </c>
      <c r="J3374" s="1" t="s">
        <v>82</v>
      </c>
      <c r="K3374" s="2" t="s">
        <v>10119</v>
      </c>
      <c r="L3374" s="2" t="s">
        <v>10120</v>
      </c>
      <c r="M3374" s="2" t="str">
        <f>IFERROR(__xludf.DUMMYFUNCTION("split(split(K3374,""【"",false),""公式LINE"",false)"),"加藤シゲアキ(NEWS)、間宮祥太朗、小関裕太、加藤諒、岡山天音、杉野遥亮/佐藤龍我(東京B少年/ジャニーズJr.)/ケンドーコバヤシ、梅沢富美男、小池栄子 ほかついに勝者の条件である、4つ目のリングを標（佐藤龍我）が獲得した。あと１つが目前だったゼロ（加藤シゲアキ）は愕然とするが、在全（梅沢富美男）の思いつきで20分の延長が全員に与えられる。最後のチャンスに皆が奔走する中、ゼロは標が企てている“在全を倒す”計画を聞き、全貌に驚愕する。  そして決勝戦ー。標の前にゼロが現れた。行われるのは一対一の心理戦「"&amp;"ブレークダウン」。二人の壮絶な頭脳戦が繰り広げられる。")</f>
        <v>加藤シゲアキ(NEWS)、間宮祥太朗、小関裕太、加藤諒、岡山天音、杉野遥亮/佐藤龍我(東京B少年/ジャニーズJr.)/ケンドーコバヤシ、梅沢富美男、小池栄子 ほかついに勝者の条件である、4つ目のリングを標（佐藤龍我）が獲得した。あと１つが目前だったゼロ（加藤シゲアキ）は愕然とするが、在全（梅沢富美男）の思いつきで20分の延長が全員に与えられる。最後のチャンスに皆が奔走する中、ゼロは標が企てている“在全を倒す”計画を聞き、全貌に驚愕する。  そして決勝戦ー。標の前にゼロが現れた。行われるのは一対一の心理戦「ブレークダウン」。二人の壮絶な頭脳戦が繰り広げられる。</v>
      </c>
      <c r="N3374" s="2"/>
      <c r="O3374" s="2"/>
      <c r="P3374" s="2"/>
      <c r="Q3374" s="2"/>
      <c r="R3374" s="2"/>
      <c r="S3374" s="2"/>
      <c r="T3374" s="2"/>
      <c r="U3374" s="2"/>
      <c r="V3374" s="2"/>
      <c r="W3374" s="2"/>
      <c r="X3374" s="2"/>
      <c r="Y3374" s="2"/>
      <c r="Z3374" s="2"/>
      <c r="AA3374" s="2"/>
      <c r="AB3374" s="2"/>
      <c r="AC3374" s="2"/>
      <c r="AD3374" s="2"/>
      <c r="AE3374" s="2"/>
      <c r="AF3374" s="2"/>
      <c r="AG3374" s="2"/>
      <c r="AH3374" s="2"/>
      <c r="AI3374" s="2"/>
      <c r="AJ3374" s="2"/>
      <c r="AK3374" s="2"/>
      <c r="AL3374" s="2"/>
      <c r="AM3374" s="2"/>
      <c r="AN3374" s="2"/>
      <c r="AO3374" s="2"/>
      <c r="AP3374" s="2"/>
      <c r="AQ3374" s="2"/>
      <c r="AR3374" s="2"/>
      <c r="AS3374" s="2"/>
      <c r="AT3374" s="2"/>
      <c r="AU3374" s="2"/>
      <c r="AV3374" s="2"/>
      <c r="AW3374" s="2"/>
      <c r="AX3374" s="2"/>
      <c r="AY3374" s="2"/>
      <c r="AZ3374" s="2"/>
      <c r="BA3374" s="2"/>
      <c r="BB3374" s="2"/>
    </row>
    <row r="3375" ht="204.75" customHeight="1">
      <c r="A3375" s="1">
        <v>715.0</v>
      </c>
      <c r="B3375" s="2" t="s">
        <v>10092</v>
      </c>
      <c r="C3375" s="2">
        <f>IFERROR(__xludf.DUMMYFUNCTION("split(B3375,""_"")"),1807.0)</f>
        <v>1807</v>
      </c>
      <c r="D3375" s="2" t="str">
        <f>IFERROR(__xludf.DUMMYFUNCTION("""COMPUTED_VALUE"""),"NTV")</f>
        <v>NTV</v>
      </c>
      <c r="E3375" s="2" t="str">
        <f>IFERROR(__xludf.DUMMYFUNCTION("""COMPUTED_VALUE"""),"日22")</f>
        <v>日22</v>
      </c>
      <c r="F3375" s="2" t="s">
        <v>10093</v>
      </c>
      <c r="G3375" s="2" t="s">
        <v>10121</v>
      </c>
      <c r="H3375" s="1">
        <v>10.0</v>
      </c>
      <c r="I3375" s="1" t="s">
        <v>37</v>
      </c>
      <c r="J3375" s="1" t="s">
        <v>82</v>
      </c>
      <c r="K3375" s="2" t="s">
        <v>10122</v>
      </c>
      <c r="L3375" s="2" t="s">
        <v>10123</v>
      </c>
      <c r="M3375" s="2" t="str">
        <f>IFERROR(__xludf.DUMMYFUNCTION("split(split(K3375,""【"",false),""公式LINE"",false)"),"加藤シゲアキ(NEWS)、間宮祥太朗、小関裕太、加藤諒、岡山天音、杉野遥亮/佐藤龍我(東京B少年/ジャニーズJr.)/ケンドーコバヤシ、梅沢富美男、小池栄子 ほかゼロ（加藤シゲアキ）が勝利者となった直後、峰子（小池栄子）は、最後に自分との一騎打ちを仕掛ける。そこへ現れたのは、行方不明になっていた友人ミツル（小山慶一郎）だった。在全グループに匿われていたというミツルは驚くべきことを口にする。 「後藤峰子は俺の姉なんだ」   勝負は変則ポーカー『デイ&amp;ナイト』。峰子が圧倒的な点差をつけた。しかし私情を持ち込ん"&amp;"だ罰として、在全から、峰子に極秘の命令が下る…。")</f>
        <v>加藤シゲアキ(NEWS)、間宮祥太朗、小関裕太、加藤諒、岡山天音、杉野遥亮/佐藤龍我(東京B少年/ジャニーズJr.)/ケンドーコバヤシ、梅沢富美男、小池栄子 ほかゼロ（加藤シゲアキ）が勝利者となった直後、峰子（小池栄子）は、最後に自分との一騎打ちを仕掛ける。そこへ現れたのは、行方不明になっていた友人ミツル（小山慶一郎）だった。在全グループに匿われていたというミツルは驚くべきことを口にする。 「後藤峰子は俺の姉なんだ」   勝負は変則ポーカー『デイ&amp;ナイト』。峰子が圧倒的な点差をつけた。しかし私情を持ち込んだ罰として、在全から、峰子に極秘の命令が下る…。</v>
      </c>
      <c r="N3375" s="2"/>
      <c r="O3375" s="2"/>
      <c r="P3375" s="2"/>
      <c r="Q3375" s="2"/>
      <c r="R3375" s="2"/>
      <c r="S3375" s="2"/>
      <c r="T3375" s="2"/>
      <c r="U3375" s="2"/>
      <c r="V3375" s="2"/>
      <c r="W3375" s="2"/>
      <c r="X3375" s="2"/>
      <c r="Y3375" s="2"/>
      <c r="Z3375" s="2"/>
      <c r="AA3375" s="2"/>
      <c r="AB3375" s="2"/>
      <c r="AC3375" s="2"/>
      <c r="AD3375" s="2"/>
      <c r="AE3375" s="2"/>
      <c r="AF3375" s="2"/>
      <c r="AG3375" s="2"/>
      <c r="AH3375" s="2"/>
      <c r="AI3375" s="2"/>
      <c r="AJ3375" s="2"/>
      <c r="AK3375" s="2"/>
      <c r="AL3375" s="2"/>
      <c r="AM3375" s="2"/>
      <c r="AN3375" s="2"/>
      <c r="AO3375" s="2"/>
      <c r="AP3375" s="2"/>
      <c r="AQ3375" s="2"/>
      <c r="AR3375" s="2"/>
      <c r="AS3375" s="2"/>
      <c r="AT3375" s="2"/>
      <c r="AU3375" s="2"/>
      <c r="AV3375" s="2"/>
      <c r="AW3375" s="2"/>
      <c r="AX3375" s="2"/>
      <c r="AY3375" s="2"/>
      <c r="AZ3375" s="2"/>
      <c r="BA3375" s="2"/>
      <c r="BB3375" s="2"/>
    </row>
    <row r="3376" ht="204.75" customHeight="1">
      <c r="A3376" s="1">
        <v>747.0</v>
      </c>
      <c r="B3376" s="2" t="s">
        <v>10124</v>
      </c>
      <c r="C3376" s="2">
        <f>IFERROR(__xludf.DUMMYFUNCTION("split(B3376,""_"")"),1804.0)</f>
        <v>1804</v>
      </c>
      <c r="D3376" s="2" t="str">
        <f>IFERROR(__xludf.DUMMYFUNCTION("""COMPUTED_VALUE"""),"NTV")</f>
        <v>NTV</v>
      </c>
      <c r="E3376" s="2" t="str">
        <f>IFERROR(__xludf.DUMMYFUNCTION("""COMPUTED_VALUE"""),"水22")</f>
        <v>水22</v>
      </c>
      <c r="F3376" s="2" t="s">
        <v>10125</v>
      </c>
      <c r="G3376" s="2" t="s">
        <v>10126</v>
      </c>
      <c r="H3376" s="1">
        <v>1.0</v>
      </c>
      <c r="I3376" s="1" t="s">
        <v>3</v>
      </c>
      <c r="J3376" s="1" t="s">
        <v>82</v>
      </c>
      <c r="K3376" s="4" t="s">
        <v>10127</v>
      </c>
      <c r="L3376" s="11" t="s">
        <v>10128</v>
      </c>
      <c r="M3376" s="2" t="str">
        <f>IFERROR(__xludf.DUMMYFUNCTION("split(split(K3376,""【演出"",false),""六角慎司"",false)"),"吉高由里子、安田顕、三浦翔平、広瀬アリス、平埜生成、夙川アトム、大野拓朗、塚地武雅、宮崎美子、寺脇康文、生瀬勝久  【ゲスト】石黒賢、浅利陽介、森矢カンナ、")</f>
        <v>吉高由里子、安田顕、三浦翔平、広瀬アリス、平埜生成、夙川アトム、大野拓朗、塚地武雅、宮崎美子、寺脇康文、生瀬勝久  【ゲスト】石黒賢、浅利陽介、森矢カンナ、</v>
      </c>
      <c r="N3376" s="2" t="str">
        <f>IFERROR(__xludf.DUMMYFUNCTION("""COMPUTED_VALUE"""),"竹村凜々子（吉高由里子）は、横浜地検港南支部に赴任した２年目の検事。まだまだ新米なので何ごとにも一生懸命だが、喜怒哀楽がすぐに出てしまう性格のため失敗ばかり。バディを組む事務官の相原（安田顕）から、ついつい小言を言われてしまう。ある日、上司が部下をケガさせた傷害事件を担当する。だが被疑者は容疑を全面的に否認。被害者の言い分と真っ向から対立する。凜々子は、事件の真相解明のために捜査を始めるーー。")</f>
        <v>竹村凜々子（吉高由里子）は、横浜地検港南支部に赴任した２年目の検事。まだまだ新米なので何ごとにも一生懸命だが、喜怒哀楽がすぐに出てしまう性格のため失敗ばかり。バディを組む事務官の相原（安田顕）から、ついつい小言を言われてしまう。ある日、上司が部下をケガさせた傷害事件を担当する。だが被疑者は容疑を全面的に否認。被害者の言い分と真っ向から対立する。凜々子は、事件の真相解明のために捜査を始めるーー。</v>
      </c>
      <c r="O3376" s="2"/>
      <c r="P3376" s="2"/>
      <c r="Q3376" s="2"/>
      <c r="R3376" s="2"/>
      <c r="S3376" s="2"/>
      <c r="T3376" s="2"/>
      <c r="U3376" s="2"/>
      <c r="V3376" s="2"/>
      <c r="W3376" s="2"/>
      <c r="X3376" s="2"/>
      <c r="Y3376" s="2"/>
      <c r="Z3376" s="2"/>
      <c r="AA3376" s="2"/>
      <c r="AB3376" s="2"/>
      <c r="AC3376" s="2"/>
      <c r="AD3376" s="2"/>
      <c r="AE3376" s="2"/>
      <c r="AF3376" s="2"/>
      <c r="AG3376" s="2"/>
      <c r="AH3376" s="2"/>
      <c r="AI3376" s="2"/>
      <c r="AJ3376" s="2"/>
      <c r="AK3376" s="2"/>
      <c r="AL3376" s="2"/>
      <c r="AM3376" s="2"/>
      <c r="AN3376" s="2"/>
      <c r="AO3376" s="2"/>
      <c r="AP3376" s="2"/>
      <c r="AQ3376" s="2"/>
      <c r="AR3376" s="2"/>
      <c r="AS3376" s="2"/>
      <c r="AT3376" s="2"/>
      <c r="AU3376" s="2"/>
      <c r="AV3376" s="2"/>
      <c r="AW3376" s="2"/>
      <c r="AX3376" s="2"/>
      <c r="AY3376" s="2"/>
      <c r="AZ3376" s="2"/>
      <c r="BA3376" s="2"/>
      <c r="BB3376" s="2"/>
    </row>
    <row r="3377" ht="204.75" customHeight="1">
      <c r="A3377" s="1">
        <v>748.0</v>
      </c>
      <c r="B3377" s="2" t="s">
        <v>10124</v>
      </c>
      <c r="C3377" s="2">
        <f>IFERROR(__xludf.DUMMYFUNCTION("split(B3377,""_"")"),1804.0)</f>
        <v>1804</v>
      </c>
      <c r="D3377" s="2" t="str">
        <f>IFERROR(__xludf.DUMMYFUNCTION("""COMPUTED_VALUE"""),"NTV")</f>
        <v>NTV</v>
      </c>
      <c r="E3377" s="2" t="str">
        <f>IFERROR(__xludf.DUMMYFUNCTION("""COMPUTED_VALUE"""),"水22")</f>
        <v>水22</v>
      </c>
      <c r="F3377" s="2" t="s">
        <v>10125</v>
      </c>
      <c r="G3377" s="2" t="s">
        <v>10129</v>
      </c>
      <c r="H3377" s="1">
        <v>2.0</v>
      </c>
      <c r="I3377" s="1" t="s">
        <v>7</v>
      </c>
      <c r="J3377" s="1" t="s">
        <v>82</v>
      </c>
      <c r="K3377" s="2" t="s">
        <v>10130</v>
      </c>
      <c r="L3377" s="10" t="s">
        <v>10131</v>
      </c>
      <c r="M3377" s="2" t="str">
        <f>IFERROR(__xludf.DUMMYFUNCTION("split(split(K3377,""【演出"",false),""六角慎司"",false)"),"吉高由里子、安田顕、三浦翔平、広瀬アリス、平埜生成、夙川アトム、大野拓朗、塚地武雅、宮崎美子、寺脇康文、生瀬勝久  【ゲスト】財前直見、大澄賢也、石橋保、矢作穂香初めて殺人事件を担当する事になった凜々子（吉高由里子）は、大張り切り。しかし事務官の相原（安田顕）からは、「常に冷静に」と釘をさされる。被疑者は、夫の暴力から身を守る為、殺してしまったという主婦・町田かれん（財前直見）。初めは同情する凜々子だったが、その後かれんが夫以外の男性と頻繁に会っていたという情報がもたらされる。さらに司法解剖によって新事実"&amp;"も明らかになり、殺意があった疑いが強まっていくーー。")</f>
        <v>吉高由里子、安田顕、三浦翔平、広瀬アリス、平埜生成、夙川アトム、大野拓朗、塚地武雅、宮崎美子、寺脇康文、生瀬勝久  【ゲスト】財前直見、大澄賢也、石橋保、矢作穂香初めて殺人事件を担当する事になった凜々子（吉高由里子）は、大張り切り。しかし事務官の相原（安田顕）からは、「常に冷静に」と釘をさされる。被疑者は、夫の暴力から身を守る為、殺してしまったという主婦・町田かれん（財前直見）。初めは同情する凜々子だったが、その後かれんが夫以外の男性と頻繁に会っていたという情報がもたらされる。さらに司法解剖によって新事実も明らかになり、殺意があった疑いが強まっていくーー。</v>
      </c>
      <c r="N3377" s="2"/>
      <c r="O3377" s="2"/>
      <c r="P3377" s="2"/>
      <c r="Q3377" s="2"/>
      <c r="R3377" s="2"/>
      <c r="S3377" s="2"/>
      <c r="T3377" s="2"/>
      <c r="U3377" s="2"/>
      <c r="V3377" s="2"/>
      <c r="W3377" s="2"/>
      <c r="X3377" s="2"/>
      <c r="Y3377" s="2"/>
      <c r="Z3377" s="2"/>
      <c r="AA3377" s="2"/>
      <c r="AB3377" s="2"/>
      <c r="AC3377" s="2"/>
      <c r="AD3377" s="2"/>
      <c r="AE3377" s="2"/>
      <c r="AF3377" s="2"/>
      <c r="AG3377" s="2"/>
      <c r="AH3377" s="2"/>
      <c r="AI3377" s="2"/>
      <c r="AJ3377" s="2"/>
      <c r="AK3377" s="2"/>
      <c r="AL3377" s="2"/>
      <c r="AM3377" s="2"/>
      <c r="AN3377" s="2"/>
      <c r="AO3377" s="2"/>
      <c r="AP3377" s="2"/>
      <c r="AQ3377" s="2"/>
      <c r="AR3377" s="2"/>
      <c r="AS3377" s="2"/>
      <c r="AT3377" s="2"/>
      <c r="AU3377" s="2"/>
      <c r="AV3377" s="2"/>
      <c r="AW3377" s="2"/>
      <c r="AX3377" s="2"/>
      <c r="AY3377" s="2"/>
      <c r="AZ3377" s="2"/>
      <c r="BA3377" s="2"/>
      <c r="BB3377" s="2"/>
    </row>
    <row r="3378" ht="204.75" customHeight="1">
      <c r="A3378" s="1">
        <v>749.0</v>
      </c>
      <c r="B3378" s="2" t="s">
        <v>10124</v>
      </c>
      <c r="C3378" s="2">
        <f>IFERROR(__xludf.DUMMYFUNCTION("split(B3378,""_"")"),1804.0)</f>
        <v>1804</v>
      </c>
      <c r="D3378" s="2" t="str">
        <f>IFERROR(__xludf.DUMMYFUNCTION("""COMPUTED_VALUE"""),"NTV")</f>
        <v>NTV</v>
      </c>
      <c r="E3378" s="2" t="str">
        <f>IFERROR(__xludf.DUMMYFUNCTION("""COMPUTED_VALUE"""),"水22")</f>
        <v>水22</v>
      </c>
      <c r="F3378" s="2" t="s">
        <v>10125</v>
      </c>
      <c r="G3378" s="2" t="s">
        <v>10132</v>
      </c>
      <c r="H3378" s="1">
        <v>3.0</v>
      </c>
      <c r="I3378" s="1" t="s">
        <v>10</v>
      </c>
      <c r="J3378" s="1" t="s">
        <v>82</v>
      </c>
      <c r="K3378" s="2" t="s">
        <v>10133</v>
      </c>
      <c r="L3378" s="10" t="s">
        <v>10134</v>
      </c>
      <c r="M3378" s="2" t="str">
        <f>IFERROR(__xludf.DUMMYFUNCTION("split(split(K3378,""【演出"",false),""六角慎司"",false)"),"吉高由里子、安田顕、三浦翔平、広瀬アリス、平埜生成、夙川アトム、大野拓朗、塚地武雅、宮崎美子、生瀬勝久  【ゲスト】三浦貴大、磯山さやか結婚詐欺事件を担当する事になった凜々子（吉高由里子）。被害者の七美（磯山さやか）は、結婚の約束をしていた男から一千万円を騙し取られたという。だが、被疑者の鈴木（三浦貴大）は金は受け取っておらず、七美の事も愛していたと訴える。凜々子は相原（安田顕）とともに詐欺の証拠を探し出そうとするが、決定的な物は見つからず、捜査は難航していく…。そんな中、凜々子は恋人の優希（大野拓朗）か"&amp;"ら突然、プロポーズされる!")</f>
        <v>吉高由里子、安田顕、三浦翔平、広瀬アリス、平埜生成、夙川アトム、大野拓朗、塚地武雅、宮崎美子、生瀬勝久  【ゲスト】三浦貴大、磯山さやか結婚詐欺事件を担当する事になった凜々子（吉高由里子）。被害者の七美（磯山さやか）は、結婚の約束をしていた男から一千万円を騙し取られたという。だが、被疑者の鈴木（三浦貴大）は金は受け取っておらず、七美の事も愛していたと訴える。凜々子は相原（安田顕）とともに詐欺の証拠を探し出そうとするが、決定的な物は見つからず、捜査は難航していく…。そんな中、凜々子は恋人の優希（大野拓朗）から突然、プロポーズされる!</v>
      </c>
      <c r="N3378" s="2"/>
      <c r="O3378" s="2"/>
      <c r="P3378" s="2"/>
      <c r="Q3378" s="2"/>
      <c r="R3378" s="2"/>
      <c r="S3378" s="2"/>
      <c r="T3378" s="2"/>
      <c r="U3378" s="2"/>
      <c r="V3378" s="2"/>
      <c r="W3378" s="2"/>
      <c r="X3378" s="2"/>
      <c r="Y3378" s="2"/>
      <c r="Z3378" s="2"/>
      <c r="AA3378" s="2"/>
      <c r="AB3378" s="2"/>
      <c r="AC3378" s="2"/>
      <c r="AD3378" s="2"/>
      <c r="AE3378" s="2"/>
      <c r="AF3378" s="2"/>
      <c r="AG3378" s="2"/>
      <c r="AH3378" s="2"/>
      <c r="AI3378" s="2"/>
      <c r="AJ3378" s="2"/>
      <c r="AK3378" s="2"/>
      <c r="AL3378" s="2"/>
      <c r="AM3378" s="2"/>
      <c r="AN3378" s="2"/>
      <c r="AO3378" s="2"/>
      <c r="AP3378" s="2"/>
      <c r="AQ3378" s="2"/>
      <c r="AR3378" s="2"/>
      <c r="AS3378" s="2"/>
      <c r="AT3378" s="2"/>
      <c r="AU3378" s="2"/>
      <c r="AV3378" s="2"/>
      <c r="AW3378" s="2"/>
      <c r="AX3378" s="2"/>
      <c r="AY3378" s="2"/>
      <c r="AZ3378" s="2"/>
      <c r="BA3378" s="2"/>
      <c r="BB3378" s="2"/>
    </row>
    <row r="3379" ht="204.75" customHeight="1">
      <c r="A3379" s="1">
        <v>750.0</v>
      </c>
      <c r="B3379" s="2" t="s">
        <v>10124</v>
      </c>
      <c r="C3379" s="2">
        <f>IFERROR(__xludf.DUMMYFUNCTION("split(B3379,""_"")"),1804.0)</f>
        <v>1804</v>
      </c>
      <c r="D3379" s="2" t="str">
        <f>IFERROR(__xludf.DUMMYFUNCTION("""COMPUTED_VALUE"""),"NTV")</f>
        <v>NTV</v>
      </c>
      <c r="E3379" s="2" t="str">
        <f>IFERROR(__xludf.DUMMYFUNCTION("""COMPUTED_VALUE"""),"水22")</f>
        <v>水22</v>
      </c>
      <c r="F3379" s="2" t="s">
        <v>10125</v>
      </c>
      <c r="G3379" s="2" t="s">
        <v>10135</v>
      </c>
      <c r="H3379" s="1">
        <v>4.0</v>
      </c>
      <c r="I3379" s="1" t="s">
        <v>14</v>
      </c>
      <c r="J3379" s="1" t="s">
        <v>82</v>
      </c>
      <c r="K3379" s="2" t="s">
        <v>10136</v>
      </c>
      <c r="L3379" s="10" t="s">
        <v>10137</v>
      </c>
      <c r="M3379" s="2" t="str">
        <f>IFERROR(__xludf.DUMMYFUNCTION("split(split(K3379,""【演出"",false),""六角慎司"",false)"),"吉高由里子、安田顕、三浦翔平、広瀬アリス、平埜生成、夙川アトム、塚地武雅、宮崎美子、寺脇康文、生瀬勝久  【ゲスト】白洲迅、茅島成美、菊池均也凜々子（吉高由里子）は、若者がバイクで老人をはねて死亡させた交通事故案件を担当する。夫を亡くし、残された妻・フネ（茅島成美）は、信号無視をした被疑者・勝村弘（白洲迅）に「厳しい罰を与えてほしい」と訴える。フネの思いを受け、取調べをする凜々子。勝村は容疑を全面的に認めるものの、「記憶がない」と多くを語らない。起訴判断に悩んだ凜々子が事務官の相原（安田顕）と詳しく調べ始"&amp;"めると、意外な事実が発覚する…!")</f>
        <v>吉高由里子、安田顕、三浦翔平、広瀬アリス、平埜生成、夙川アトム、塚地武雅、宮崎美子、寺脇康文、生瀬勝久  【ゲスト】白洲迅、茅島成美、菊池均也凜々子（吉高由里子）は、若者がバイクで老人をはねて死亡させた交通事故案件を担当する。夫を亡くし、残された妻・フネ（茅島成美）は、信号無視をした被疑者・勝村弘（白洲迅）に「厳しい罰を与えてほしい」と訴える。フネの思いを受け、取調べをする凜々子。勝村は容疑を全面的に認めるものの、「記憶がない」と多くを語らない。起訴判断に悩んだ凜々子が事務官の相原（安田顕）と詳しく調べ始めると、意外な事実が発覚する…!</v>
      </c>
      <c r="N3379" s="2"/>
      <c r="O3379" s="2"/>
      <c r="P3379" s="2"/>
      <c r="Q3379" s="2"/>
      <c r="R3379" s="2"/>
      <c r="S3379" s="2"/>
      <c r="T3379" s="2"/>
      <c r="U3379" s="2"/>
      <c r="V3379" s="2"/>
      <c r="W3379" s="2"/>
      <c r="X3379" s="2"/>
      <c r="Y3379" s="2"/>
      <c r="Z3379" s="2"/>
      <c r="AA3379" s="2"/>
      <c r="AB3379" s="2"/>
      <c r="AC3379" s="2"/>
      <c r="AD3379" s="2"/>
      <c r="AE3379" s="2"/>
      <c r="AF3379" s="2"/>
      <c r="AG3379" s="2"/>
      <c r="AH3379" s="2"/>
      <c r="AI3379" s="2"/>
      <c r="AJ3379" s="2"/>
      <c r="AK3379" s="2"/>
      <c r="AL3379" s="2"/>
      <c r="AM3379" s="2"/>
      <c r="AN3379" s="2"/>
      <c r="AO3379" s="2"/>
      <c r="AP3379" s="2"/>
      <c r="AQ3379" s="2"/>
      <c r="AR3379" s="2"/>
      <c r="AS3379" s="2"/>
      <c r="AT3379" s="2"/>
      <c r="AU3379" s="2"/>
      <c r="AV3379" s="2"/>
      <c r="AW3379" s="2"/>
      <c r="AX3379" s="2"/>
      <c r="AY3379" s="2"/>
      <c r="AZ3379" s="2"/>
      <c r="BA3379" s="2"/>
      <c r="BB3379" s="2"/>
    </row>
    <row r="3380" ht="204.75" customHeight="1">
      <c r="A3380" s="1">
        <v>751.0</v>
      </c>
      <c r="B3380" s="2" t="s">
        <v>10124</v>
      </c>
      <c r="C3380" s="2">
        <f>IFERROR(__xludf.DUMMYFUNCTION("split(B3380,""_"")"),1804.0)</f>
        <v>1804</v>
      </c>
      <c r="D3380" s="2" t="str">
        <f>IFERROR(__xludf.DUMMYFUNCTION("""COMPUTED_VALUE"""),"NTV")</f>
        <v>NTV</v>
      </c>
      <c r="E3380" s="2" t="str">
        <f>IFERROR(__xludf.DUMMYFUNCTION("""COMPUTED_VALUE"""),"水22")</f>
        <v>水22</v>
      </c>
      <c r="F3380" s="2" t="s">
        <v>10125</v>
      </c>
      <c r="G3380" s="2" t="s">
        <v>10138</v>
      </c>
      <c r="H3380" s="1">
        <v>5.0</v>
      </c>
      <c r="I3380" s="1" t="s">
        <v>17</v>
      </c>
      <c r="J3380" s="1" t="s">
        <v>82</v>
      </c>
      <c r="K3380" s="2" t="s">
        <v>10139</v>
      </c>
      <c r="L3380" s="10" t="s">
        <v>6960</v>
      </c>
      <c r="M3380" s="2" t="str">
        <f>IFERROR(__xludf.DUMMYFUNCTION("split(split(K3380,""【演出"",false),""六角慎司"",false)"),"吉高由里子、安田顕、三浦翔平、広瀬アリス、平埜生成、夙川アトム、塚地武雅、宮崎美子、寺脇康文、生瀬勝久  【ゲスト】原田龍二、木下隆行(TKO)、佐藤めぐみ医大で起きた女性職員の転落死事件を担当することになった凜々子（吉高由里子）。被害者は、臨床病理学教授・高嶋敦史（原田龍二）の助手を務める三宅香織（佐藤めぐみ）。二人が不倫関係にあったことが発覚し、さらに香織の爪の間から高嶋のDNAが検出されたことから、高嶋が殺人容疑で逮捕される。しかし高嶋は容疑を否認し、完璧なアリバイを主張する！果たして凜々子は、複雑"&amp;"に絡み合う事件を解決に導くことができるのか!?")</f>
        <v>吉高由里子、安田顕、三浦翔平、広瀬アリス、平埜生成、夙川アトム、塚地武雅、宮崎美子、寺脇康文、生瀬勝久  【ゲスト】原田龍二、木下隆行(TKO)、佐藤めぐみ医大で起きた女性職員の転落死事件を担当することになった凜々子（吉高由里子）。被害者は、臨床病理学教授・高嶋敦史（原田龍二）の助手を務める三宅香織（佐藤めぐみ）。二人が不倫関係にあったことが発覚し、さらに香織の爪の間から高嶋のDNAが検出されたことから、高嶋が殺人容疑で逮捕される。しかし高嶋は容疑を否認し、完璧なアリバイを主張する！果たして凜々子は、複雑に絡み合う事件を解決に導くことができるのか!?</v>
      </c>
      <c r="N3380" s="2"/>
      <c r="O3380" s="2"/>
      <c r="P3380" s="2"/>
      <c r="Q3380" s="2"/>
      <c r="R3380" s="2"/>
      <c r="S3380" s="2"/>
      <c r="T3380" s="2"/>
      <c r="U3380" s="2"/>
      <c r="V3380" s="2"/>
      <c r="W3380" s="2"/>
      <c r="X3380" s="2"/>
      <c r="Y3380" s="2"/>
      <c r="Z3380" s="2"/>
      <c r="AA3380" s="2"/>
      <c r="AB3380" s="2"/>
      <c r="AC3380" s="2"/>
      <c r="AD3380" s="2"/>
      <c r="AE3380" s="2"/>
      <c r="AF3380" s="2"/>
      <c r="AG3380" s="2"/>
      <c r="AH3380" s="2"/>
      <c r="AI3380" s="2"/>
      <c r="AJ3380" s="2"/>
      <c r="AK3380" s="2"/>
      <c r="AL3380" s="2"/>
      <c r="AM3380" s="2"/>
      <c r="AN3380" s="2"/>
      <c r="AO3380" s="2"/>
      <c r="AP3380" s="2"/>
      <c r="AQ3380" s="2"/>
      <c r="AR3380" s="2"/>
      <c r="AS3380" s="2"/>
      <c r="AT3380" s="2"/>
      <c r="AU3380" s="2"/>
      <c r="AV3380" s="2"/>
      <c r="AW3380" s="2"/>
      <c r="AX3380" s="2"/>
      <c r="AY3380" s="2"/>
      <c r="AZ3380" s="2"/>
      <c r="BA3380" s="2"/>
      <c r="BB3380" s="2"/>
    </row>
    <row r="3381" ht="204.75" customHeight="1">
      <c r="A3381" s="1">
        <v>752.0</v>
      </c>
      <c r="B3381" s="2" t="s">
        <v>10124</v>
      </c>
      <c r="C3381" s="2">
        <f>IFERROR(__xludf.DUMMYFUNCTION("split(B3381,""_"")"),1804.0)</f>
        <v>1804</v>
      </c>
      <c r="D3381" s="2" t="str">
        <f>IFERROR(__xludf.DUMMYFUNCTION("""COMPUTED_VALUE"""),"NTV")</f>
        <v>NTV</v>
      </c>
      <c r="E3381" s="2" t="str">
        <f>IFERROR(__xludf.DUMMYFUNCTION("""COMPUTED_VALUE"""),"水22")</f>
        <v>水22</v>
      </c>
      <c r="F3381" s="2" t="s">
        <v>10125</v>
      </c>
      <c r="G3381" s="2" t="s">
        <v>10140</v>
      </c>
      <c r="H3381" s="1">
        <v>6.0</v>
      </c>
      <c r="I3381" s="1" t="s">
        <v>21</v>
      </c>
      <c r="J3381" s="1" t="s">
        <v>82</v>
      </c>
      <c r="K3381" s="2" t="s">
        <v>10141</v>
      </c>
      <c r="L3381" s="10" t="s">
        <v>6963</v>
      </c>
      <c r="M3381" s="2" t="str">
        <f>IFERROR(__xludf.DUMMYFUNCTION("split(split(K3381,""【演出"",false),""六角慎司"",false)"),"吉高由里子、安田顕、三浦翔平、広瀬アリス、平埜生成、夙川アトム、塚地武雅、宮崎美子、寺脇康文、生瀬勝久  【ゲスト】倉科カナ、岡山天音、笠原秀幸オレオレ詐欺事件を担当する事になった凜々子（吉高由里子）。逮捕された大学生・浅田（岡山天音）は「アルバイト感覚だった」と主張し、反省した態度を見せる。そこに浅田の弁護士としてやってきたのが、大学時代からの親友・美咲（倉科カナ）だった。浅田の釈放を要求する美咲だが、凜々子は拒否！立場の違いから対立する二人！オレオレ詐欺事件の行方は？そして、二人の友情は?")</f>
        <v>吉高由里子、安田顕、三浦翔平、広瀬アリス、平埜生成、夙川アトム、塚地武雅、宮崎美子、寺脇康文、生瀬勝久  【ゲスト】倉科カナ、岡山天音、笠原秀幸オレオレ詐欺事件を担当する事になった凜々子（吉高由里子）。逮捕された大学生・浅田（岡山天音）は「アルバイト感覚だった」と主張し、反省した態度を見せる。そこに浅田の弁護士としてやってきたのが、大学時代からの親友・美咲（倉科カナ）だった。浅田の釈放を要求する美咲だが、凜々子は拒否！立場の違いから対立する二人！オレオレ詐欺事件の行方は？そして、二人の友情は?</v>
      </c>
      <c r="N3381" s="2"/>
      <c r="O3381" s="2"/>
      <c r="P3381" s="2"/>
      <c r="Q3381" s="2"/>
      <c r="R3381" s="2"/>
      <c r="S3381" s="2"/>
      <c r="T3381" s="2"/>
      <c r="U3381" s="2"/>
      <c r="V3381" s="2"/>
      <c r="W3381" s="2"/>
      <c r="X3381" s="2"/>
      <c r="Y3381" s="2"/>
      <c r="Z3381" s="2"/>
      <c r="AA3381" s="2"/>
      <c r="AB3381" s="2"/>
      <c r="AC3381" s="2"/>
      <c r="AD3381" s="2"/>
      <c r="AE3381" s="2"/>
      <c r="AF3381" s="2"/>
      <c r="AG3381" s="2"/>
      <c r="AH3381" s="2"/>
      <c r="AI3381" s="2"/>
      <c r="AJ3381" s="2"/>
      <c r="AK3381" s="2"/>
      <c r="AL3381" s="2"/>
      <c r="AM3381" s="2"/>
      <c r="AN3381" s="2"/>
      <c r="AO3381" s="2"/>
      <c r="AP3381" s="2"/>
      <c r="AQ3381" s="2"/>
      <c r="AR3381" s="2"/>
      <c r="AS3381" s="2"/>
      <c r="AT3381" s="2"/>
      <c r="AU3381" s="2"/>
      <c r="AV3381" s="2"/>
      <c r="AW3381" s="2"/>
      <c r="AX3381" s="2"/>
      <c r="AY3381" s="2"/>
      <c r="AZ3381" s="2"/>
      <c r="BA3381" s="2"/>
      <c r="BB3381" s="2"/>
    </row>
    <row r="3382" ht="204.75" customHeight="1">
      <c r="A3382" s="1">
        <v>753.0</v>
      </c>
      <c r="B3382" s="2" t="s">
        <v>10124</v>
      </c>
      <c r="C3382" s="2">
        <f>IFERROR(__xludf.DUMMYFUNCTION("split(B3382,""_"")"),1804.0)</f>
        <v>1804</v>
      </c>
      <c r="D3382" s="2" t="str">
        <f>IFERROR(__xludf.DUMMYFUNCTION("""COMPUTED_VALUE"""),"NTV")</f>
        <v>NTV</v>
      </c>
      <c r="E3382" s="2" t="str">
        <f>IFERROR(__xludf.DUMMYFUNCTION("""COMPUTED_VALUE"""),"水22")</f>
        <v>水22</v>
      </c>
      <c r="F3382" s="2" t="s">
        <v>10125</v>
      </c>
      <c r="G3382" s="2" t="s">
        <v>10142</v>
      </c>
      <c r="H3382" s="1">
        <v>7.0</v>
      </c>
      <c r="I3382" s="1" t="s">
        <v>25</v>
      </c>
      <c r="J3382" s="1" t="s">
        <v>82</v>
      </c>
      <c r="K3382" s="2" t="s">
        <v>10143</v>
      </c>
      <c r="L3382" s="2" t="s">
        <v>10128</v>
      </c>
      <c r="M3382" s="2" t="str">
        <f>IFERROR(__xludf.DUMMYFUNCTION("split(split(K3382,""【演出"",false),""六角慎司"",false)"),"吉高由里子、安田顕、三浦翔平、広瀬アリス、平埜生成、夙川アトム、塚地武雅、宮崎美子、寺脇康文、生瀬勝久  【ゲスト】朝加真由美、近藤公園保育園で園児が大ケガを負った！遊具から落ちた事故と思われたが、父・小峰（近藤公園）は、園側の説明に納得がいかず被害届けを提出！凜々子が担当する事に。バツイチ子持ちの相原は、子供が被害者ということで、いつになく熱くなる。小峰の証言から虐待の可能性も出てくるが、保育園の園長・瀬川弥生（朝加真由美）は謝罪しながらも、保育園の過失を否定。単なる事故か？傷害致傷か？子供の聴き取りか"&amp;"ら、意外な事実が明らかに!")</f>
        <v>吉高由里子、安田顕、三浦翔平、広瀬アリス、平埜生成、夙川アトム、塚地武雅、宮崎美子、寺脇康文、生瀬勝久  【ゲスト】朝加真由美、近藤公園保育園で園児が大ケガを負った！遊具から落ちた事故と思われたが、父・小峰（近藤公園）は、園側の説明に納得がいかず被害届けを提出！凜々子が担当する事に。バツイチ子持ちの相原は、子供が被害者ということで、いつになく熱くなる。小峰の証言から虐待の可能性も出てくるが、保育園の園長・瀬川弥生（朝加真由美）は謝罪しながらも、保育園の過失を否定。単なる事故か？傷害致傷か？子供の聴き取りから、意外な事実が明らかに!</v>
      </c>
      <c r="N3382" s="2"/>
      <c r="O3382" s="2"/>
      <c r="P3382" s="2"/>
      <c r="Q3382" s="2"/>
      <c r="R3382" s="2"/>
      <c r="S3382" s="2"/>
      <c r="T3382" s="2"/>
      <c r="U3382" s="2"/>
      <c r="V3382" s="2"/>
      <c r="W3382" s="2"/>
      <c r="X3382" s="2"/>
      <c r="Y3382" s="2"/>
      <c r="Z3382" s="2"/>
      <c r="AA3382" s="2"/>
      <c r="AB3382" s="2"/>
      <c r="AC3382" s="2"/>
      <c r="AD3382" s="2"/>
      <c r="AE3382" s="2"/>
      <c r="AF3382" s="2"/>
      <c r="AG3382" s="2"/>
      <c r="AH3382" s="2"/>
      <c r="AI3382" s="2"/>
      <c r="AJ3382" s="2"/>
      <c r="AK3382" s="2"/>
      <c r="AL3382" s="2"/>
      <c r="AM3382" s="2"/>
      <c r="AN3382" s="2"/>
      <c r="AO3382" s="2"/>
      <c r="AP3382" s="2"/>
      <c r="AQ3382" s="2"/>
      <c r="AR3382" s="2"/>
      <c r="AS3382" s="2"/>
      <c r="AT3382" s="2"/>
      <c r="AU3382" s="2"/>
      <c r="AV3382" s="2"/>
      <c r="AW3382" s="2"/>
      <c r="AX3382" s="2"/>
      <c r="AY3382" s="2"/>
      <c r="AZ3382" s="2"/>
      <c r="BA3382" s="2"/>
      <c r="BB3382" s="2"/>
    </row>
    <row r="3383" ht="204.75" customHeight="1">
      <c r="A3383" s="1">
        <v>754.0</v>
      </c>
      <c r="B3383" s="2" t="s">
        <v>10124</v>
      </c>
      <c r="C3383" s="2">
        <f>IFERROR(__xludf.DUMMYFUNCTION("split(B3383,""_"")"),1804.0)</f>
        <v>1804</v>
      </c>
      <c r="D3383" s="2" t="str">
        <f>IFERROR(__xludf.DUMMYFUNCTION("""COMPUTED_VALUE"""),"NTV")</f>
        <v>NTV</v>
      </c>
      <c r="E3383" s="2" t="str">
        <f>IFERROR(__xludf.DUMMYFUNCTION("""COMPUTED_VALUE"""),"水22")</f>
        <v>水22</v>
      </c>
      <c r="F3383" s="2" t="s">
        <v>10125</v>
      </c>
      <c r="G3383" s="2" t="s">
        <v>10144</v>
      </c>
      <c r="H3383" s="1">
        <v>8.0</v>
      </c>
      <c r="I3383" s="1" t="s">
        <v>29</v>
      </c>
      <c r="J3383" s="1" t="s">
        <v>82</v>
      </c>
      <c r="K3383" s="2" t="s">
        <v>10145</v>
      </c>
      <c r="L3383" s="2" t="s">
        <v>10131</v>
      </c>
      <c r="M3383" s="2" t="str">
        <f>IFERROR(__xludf.DUMMYFUNCTION("split(split(K3383,""【演出"",false),""六角慎司"",false)"),"吉高由里子、安田顕、三浦翔平、広瀬アリス、平埜生成、夙川アトム、塚地武雅、宮崎美子、寺脇康文、生瀬勝久  【ゲスト】正名僕蔵、桐山漣凜々子（吉高由里子）は、ひき逃げ事件を担当する。被疑者は、人気俳優・光岡駿太（桐山漣）のマネージャー・斎藤茂典（正名僕蔵）。斎藤は深く反省した様子だが、「人をはねた記憶はない」と主張しており、凜々子は相原（安田顕）とともに、詳しく捜査を始める。人気俳優に会い、いつもよりテンション高い凜々子に相原はあきれ顔…。そんな中、捜査を進めていくと、ひき逃げ事件に隠された、ある真実が見え"&amp;"てくるーー。")</f>
        <v>吉高由里子、安田顕、三浦翔平、広瀬アリス、平埜生成、夙川アトム、塚地武雅、宮崎美子、寺脇康文、生瀬勝久  【ゲスト】正名僕蔵、桐山漣凜々子（吉高由里子）は、ひき逃げ事件を担当する。被疑者は、人気俳優・光岡駿太（桐山漣）のマネージャー・斎藤茂典（正名僕蔵）。斎藤は深く反省した様子だが、「人をはねた記憶はない」と主張しており、凜々子は相原（安田顕）とともに、詳しく捜査を始める。人気俳優に会い、いつもよりテンション高い凜々子に相原はあきれ顔…。そんな中、捜査を進めていくと、ひき逃げ事件に隠された、ある真実が見えてくるーー。</v>
      </c>
      <c r="N3383" s="2"/>
      <c r="O3383" s="2"/>
      <c r="P3383" s="2"/>
      <c r="Q3383" s="2"/>
      <c r="R3383" s="2"/>
      <c r="S3383" s="2"/>
      <c r="T3383" s="2"/>
      <c r="U3383" s="2"/>
      <c r="V3383" s="2"/>
      <c r="W3383" s="2"/>
      <c r="X3383" s="2"/>
      <c r="Y3383" s="2"/>
      <c r="Z3383" s="2"/>
      <c r="AA3383" s="2"/>
      <c r="AB3383" s="2"/>
      <c r="AC3383" s="2"/>
      <c r="AD3383" s="2"/>
      <c r="AE3383" s="2"/>
      <c r="AF3383" s="2"/>
      <c r="AG3383" s="2"/>
      <c r="AH3383" s="2"/>
      <c r="AI3383" s="2"/>
      <c r="AJ3383" s="2"/>
      <c r="AK3383" s="2"/>
      <c r="AL3383" s="2"/>
      <c r="AM3383" s="2"/>
      <c r="AN3383" s="2"/>
      <c r="AO3383" s="2"/>
      <c r="AP3383" s="2"/>
      <c r="AQ3383" s="2"/>
      <c r="AR3383" s="2"/>
      <c r="AS3383" s="2"/>
      <c r="AT3383" s="2"/>
      <c r="AU3383" s="2"/>
      <c r="AV3383" s="2"/>
      <c r="AW3383" s="2"/>
      <c r="AX3383" s="2"/>
      <c r="AY3383" s="2"/>
      <c r="AZ3383" s="2"/>
      <c r="BA3383" s="2"/>
      <c r="BB3383" s="2"/>
    </row>
    <row r="3384" ht="204.75" customHeight="1">
      <c r="A3384" s="1">
        <v>755.0</v>
      </c>
      <c r="B3384" s="2" t="s">
        <v>10124</v>
      </c>
      <c r="C3384" s="2">
        <f>IFERROR(__xludf.DUMMYFUNCTION("split(B3384,""_"")"),1804.0)</f>
        <v>1804</v>
      </c>
      <c r="D3384" s="2" t="str">
        <f>IFERROR(__xludf.DUMMYFUNCTION("""COMPUTED_VALUE"""),"NTV")</f>
        <v>NTV</v>
      </c>
      <c r="E3384" s="2" t="str">
        <f>IFERROR(__xludf.DUMMYFUNCTION("""COMPUTED_VALUE"""),"水22")</f>
        <v>水22</v>
      </c>
      <c r="F3384" s="2" t="s">
        <v>10125</v>
      </c>
      <c r="G3384" s="2" t="s">
        <v>10146</v>
      </c>
      <c r="H3384" s="1">
        <v>9.0</v>
      </c>
      <c r="I3384" s="1" t="s">
        <v>33</v>
      </c>
      <c r="J3384" s="1" t="s">
        <v>82</v>
      </c>
      <c r="K3384" s="2" t="s">
        <v>10147</v>
      </c>
      <c r="L3384" s="2" t="s">
        <v>10134</v>
      </c>
      <c r="M3384" s="2" t="str">
        <f>IFERROR(__xludf.DUMMYFUNCTION("split(split(K3384,""【演出"",false),""六角慎司"",false)"),"吉高由里子、安田顕、三浦翔平、広瀬アリス、平埜生成、夙川アトム、塚地武雅、宮崎美子、寺脇康文、生瀬勝久  【ゲスト】東幹久、向井地美音(AKB48)、森高愛凜々子（吉高由里子）が、過去に担当した痴漢事件の真犯人が逮捕され「冤罪」だった事が発覚する。被疑者・村井直陽（東幹久）は、取調べでも素直に容疑を認めていた為、確信を持って起訴したはずだった。しかし新たに出てきた証拠で、村井は無罪だと判断される。責任を感じた凜々子は、検事を続けていいのか思い悩むのだった…。検事人生、最大のピンチを迎えた凜々子の運命は！？"&amp;"そして、冤罪となった痴漢事件の真相は!?")</f>
        <v>吉高由里子、安田顕、三浦翔平、広瀬アリス、平埜生成、夙川アトム、塚地武雅、宮崎美子、寺脇康文、生瀬勝久  【ゲスト】東幹久、向井地美音(AKB48)、森高愛凜々子（吉高由里子）が、過去に担当した痴漢事件の真犯人が逮捕され「冤罪」だった事が発覚する。被疑者・村井直陽（東幹久）は、取調べでも素直に容疑を認めていた為、確信を持って起訴したはずだった。しかし新たに出てきた証拠で、村井は無罪だと判断される。責任を感じた凜々子は、検事を続けていいのか思い悩むのだった…。検事人生、最大のピンチを迎えた凜々子の運命は！？そして、冤罪となった痴漢事件の真相は!?</v>
      </c>
      <c r="N3384" s="2"/>
      <c r="O3384" s="2"/>
      <c r="P3384" s="2"/>
      <c r="Q3384" s="2"/>
      <c r="R3384" s="2"/>
      <c r="S3384" s="2"/>
      <c r="T3384" s="2"/>
      <c r="U3384" s="2"/>
      <c r="V3384" s="2"/>
      <c r="W3384" s="2"/>
      <c r="X3384" s="2"/>
      <c r="Y3384" s="2"/>
      <c r="Z3384" s="2"/>
      <c r="AA3384" s="2"/>
      <c r="AB3384" s="2"/>
      <c r="AC3384" s="2"/>
      <c r="AD3384" s="2"/>
      <c r="AE3384" s="2"/>
      <c r="AF3384" s="2"/>
      <c r="AG3384" s="2"/>
      <c r="AH3384" s="2"/>
      <c r="AI3384" s="2"/>
      <c r="AJ3384" s="2"/>
      <c r="AK3384" s="2"/>
      <c r="AL3384" s="2"/>
      <c r="AM3384" s="2"/>
      <c r="AN3384" s="2"/>
      <c r="AO3384" s="2"/>
      <c r="AP3384" s="2"/>
      <c r="AQ3384" s="2"/>
      <c r="AR3384" s="2"/>
      <c r="AS3384" s="2"/>
      <c r="AT3384" s="2"/>
      <c r="AU3384" s="2"/>
      <c r="AV3384" s="2"/>
      <c r="AW3384" s="2"/>
      <c r="AX3384" s="2"/>
      <c r="AY3384" s="2"/>
      <c r="AZ3384" s="2"/>
      <c r="BA3384" s="2"/>
      <c r="BB3384" s="2"/>
    </row>
    <row r="3385" ht="204.75" customHeight="1">
      <c r="A3385" s="1">
        <v>756.0</v>
      </c>
      <c r="B3385" s="2" t="s">
        <v>10124</v>
      </c>
      <c r="C3385" s="2">
        <f>IFERROR(__xludf.DUMMYFUNCTION("split(B3385,""_"")"),1804.0)</f>
        <v>1804</v>
      </c>
      <c r="D3385" s="2" t="str">
        <f>IFERROR(__xludf.DUMMYFUNCTION("""COMPUTED_VALUE"""),"NTV")</f>
        <v>NTV</v>
      </c>
      <c r="E3385" s="2" t="str">
        <f>IFERROR(__xludf.DUMMYFUNCTION("""COMPUTED_VALUE"""),"水22")</f>
        <v>水22</v>
      </c>
      <c r="F3385" s="2" t="s">
        <v>10125</v>
      </c>
      <c r="G3385" s="2" t="s">
        <v>10148</v>
      </c>
      <c r="H3385" s="1">
        <v>10.0</v>
      </c>
      <c r="I3385" s="1" t="s">
        <v>37</v>
      </c>
      <c r="J3385" s="1" t="s">
        <v>82</v>
      </c>
      <c r="K3385" s="2" t="s">
        <v>10149</v>
      </c>
      <c r="L3385" s="2" t="s">
        <v>10137</v>
      </c>
      <c r="M3385" s="2" t="str">
        <f>IFERROR(__xludf.DUMMYFUNCTION("split(split(K3385,""【演出"",false),""六角慎司"",false)"),"吉高由里子、安田顕、三浦翔平、広瀬アリス、平埜生成、夙川アトム、塚地武雅、宮崎美子、寺脇康文、生瀬勝久  【ゲスト】宅麻伸、落合モトキ、岡本玲、佐藤祐基、渡部秀、小松彩夏凜々子（吉高由里子）は、衆議院議員・中条（宅麻伸）の息子・秀成（落合モトキ）が犯した殺人事件を担当する。秀成は「被害者に包丁で脅され、身を守るためだった」と正当防衛を主張。それを裏付ける目撃者も現れる。しかし凜々子と相原（安田顕）が調べを進めていくと、事件には隠された謎が…。中条から捜査への圧力もかかり、凜々子の下す起訴判断が、検察庁全体"&amp;"をゆるがす重大な問題へとなっていく…。果たして事件の行方は?")</f>
        <v>吉高由里子、安田顕、三浦翔平、広瀬アリス、平埜生成、夙川アトム、塚地武雅、宮崎美子、寺脇康文、生瀬勝久  【ゲスト】宅麻伸、落合モトキ、岡本玲、佐藤祐基、渡部秀、小松彩夏凜々子（吉高由里子）は、衆議院議員・中条（宅麻伸）の息子・秀成（落合モトキ）が犯した殺人事件を担当する。秀成は「被害者に包丁で脅され、身を守るためだった」と正当防衛を主張。それを裏付ける目撃者も現れる。しかし凜々子と相原（安田顕）が調べを進めていくと、事件には隠された謎が…。中条から捜査への圧力もかかり、凜々子の下す起訴判断が、検察庁全体をゆるがす重大な問題へとなっていく…。果たして事件の行方は?</v>
      </c>
      <c r="N3385" s="2"/>
      <c r="O3385" s="2"/>
      <c r="P3385" s="2"/>
      <c r="Q3385" s="2"/>
      <c r="R3385" s="2"/>
      <c r="S3385" s="2"/>
      <c r="T3385" s="2"/>
      <c r="U3385" s="2"/>
      <c r="V3385" s="2"/>
      <c r="W3385" s="2"/>
      <c r="X3385" s="2"/>
      <c r="Y3385" s="2"/>
      <c r="Z3385" s="2"/>
      <c r="AA3385" s="2"/>
      <c r="AB3385" s="2"/>
      <c r="AC3385" s="2"/>
      <c r="AD3385" s="2"/>
      <c r="AE3385" s="2"/>
      <c r="AF3385" s="2"/>
      <c r="AG3385" s="2"/>
      <c r="AH3385" s="2"/>
      <c r="AI3385" s="2"/>
      <c r="AJ3385" s="2"/>
      <c r="AK3385" s="2"/>
      <c r="AL3385" s="2"/>
      <c r="AM3385" s="2"/>
      <c r="AN3385" s="2"/>
      <c r="AO3385" s="2"/>
      <c r="AP3385" s="2"/>
      <c r="AQ3385" s="2"/>
      <c r="AR3385" s="2"/>
      <c r="AS3385" s="2"/>
      <c r="AT3385" s="2"/>
      <c r="AU3385" s="2"/>
      <c r="AV3385" s="2"/>
      <c r="AW3385" s="2"/>
      <c r="AX3385" s="2"/>
      <c r="AY3385" s="2"/>
      <c r="AZ3385" s="2"/>
      <c r="BA3385" s="2"/>
      <c r="BB3385" s="2"/>
    </row>
    <row r="3386" ht="204.75" customHeight="1">
      <c r="A3386" s="1">
        <v>774.0</v>
      </c>
      <c r="B3386" s="2" t="s">
        <v>10150</v>
      </c>
      <c r="C3386" s="2">
        <f>IFERROR(__xludf.DUMMYFUNCTION("split(B3386,""_"")"),1804.0)</f>
        <v>1804</v>
      </c>
      <c r="D3386" s="2" t="str">
        <f>IFERROR(__xludf.DUMMYFUNCTION("""COMPUTED_VALUE"""),"NTV")</f>
        <v>NTV</v>
      </c>
      <c r="E3386" s="2" t="str">
        <f>IFERROR(__xludf.DUMMYFUNCTION("""COMPUTED_VALUE"""),"木23")</f>
        <v>木23</v>
      </c>
      <c r="F3386" s="2" t="s">
        <v>10151</v>
      </c>
      <c r="G3386" s="2" t="s">
        <v>10152</v>
      </c>
      <c r="H3386" s="1">
        <v>1.0</v>
      </c>
      <c r="I3386" s="1" t="s">
        <v>2868</v>
      </c>
      <c r="J3386" s="1" t="s">
        <v>1435</v>
      </c>
      <c r="K3386" s="2" t="s">
        <v>10153</v>
      </c>
      <c r="L3386" s="2" t="s">
        <v>10154</v>
      </c>
      <c r="M3386" s="2" t="str">
        <f>IFERROR(__xludf.DUMMYFUNCTION("split(split(K3386,""【"",false),""公式LINE"",false)"),"南さやか…中村アン  町田翔平…古川雄輝  宇野友美…佐津川愛美  菅野太一郎…小松利昌  佐山大輔…渡部秀  青山瑞希…片瀬那奈(特別出演)  前島悟郎…村杉蝉之介  泉智子…ふせえり  小笠原杏子…大政絢  鷺沢亮介…大谷亮平１５年間の幼馴染・鷺沢（大谷亮平）への片想いをこじらせて、３０歳にして男性経験のない地味女子の南さやか（中村アン)。  ある日、目を覚ますとさやかの目の前には、見知らぬ男が…。その男は町田（古川雄輝）と名乗り、２人は付き合っていて同棲をしていると言う。  どうやら３ヶ月間の記憶を"&amp;"失くしているらしい。しかも見た目も、なぜか女子力高めのステキ女子に変身している…  記憶を失くした３ヶ月間に何が起きたのか!?")</f>
        <v>南さやか…中村アン  町田翔平…古川雄輝  宇野友美…佐津川愛美  菅野太一郎…小松利昌  佐山大輔…渡部秀  青山瑞希…片瀬那奈(特別出演)  前島悟郎…村杉蝉之介  泉智子…ふせえり  小笠原杏子…大政絢  鷺沢亮介…大谷亮平１５年間の幼馴染・鷺沢（大谷亮平）への片想いをこじらせて、３０歳にして男性経験のない地味女子の南さやか（中村アン)。  ある日、目を覚ますとさやかの目の前には、見知らぬ男が…。その男は町田（古川雄輝）と名乗り、２人は付き合っていて同棲をしていると言う。  どうやら３ヶ月間の記憶を失くしているらしい。しかも見た目も、なぜか女子力高めのステキ女子に変身している…  記憶を失くした３ヶ月間に何が起きたのか!?</v>
      </c>
      <c r="N3386" s="2"/>
      <c r="O3386" s="2"/>
      <c r="P3386" s="2"/>
      <c r="Q3386" s="2"/>
      <c r="R3386" s="2"/>
      <c r="S3386" s="2"/>
      <c r="T3386" s="2"/>
      <c r="U3386" s="2"/>
      <c r="V3386" s="2"/>
      <c r="W3386" s="2"/>
      <c r="X3386" s="2"/>
      <c r="Y3386" s="2"/>
      <c r="Z3386" s="2"/>
      <c r="AA3386" s="2"/>
      <c r="AB3386" s="2"/>
      <c r="AC3386" s="2"/>
      <c r="AD3386" s="2"/>
      <c r="AE3386" s="2"/>
      <c r="AF3386" s="2"/>
      <c r="AG3386" s="2"/>
      <c r="AH3386" s="2"/>
      <c r="AI3386" s="2"/>
      <c r="AJ3386" s="2"/>
      <c r="AK3386" s="2"/>
      <c r="AL3386" s="2"/>
      <c r="AM3386" s="2"/>
      <c r="AN3386" s="2"/>
      <c r="AO3386" s="2"/>
      <c r="AP3386" s="2"/>
      <c r="AQ3386" s="2"/>
      <c r="AR3386" s="2"/>
      <c r="AS3386" s="2"/>
      <c r="AT3386" s="2"/>
      <c r="AU3386" s="2"/>
      <c r="AV3386" s="2"/>
      <c r="AW3386" s="2"/>
      <c r="AX3386" s="2"/>
      <c r="AY3386" s="2"/>
      <c r="AZ3386" s="2"/>
      <c r="BA3386" s="2"/>
      <c r="BB3386" s="2"/>
    </row>
    <row r="3387" ht="204.75" customHeight="1">
      <c r="A3387" s="1">
        <v>775.0</v>
      </c>
      <c r="B3387" s="2" t="s">
        <v>10150</v>
      </c>
      <c r="C3387" s="2">
        <f>IFERROR(__xludf.DUMMYFUNCTION("split(B3387,""_"")"),1804.0)</f>
        <v>1804</v>
      </c>
      <c r="D3387" s="2" t="str">
        <f>IFERROR(__xludf.DUMMYFUNCTION("""COMPUTED_VALUE"""),"NTV")</f>
        <v>NTV</v>
      </c>
      <c r="E3387" s="2" t="str">
        <f>IFERROR(__xludf.DUMMYFUNCTION("""COMPUTED_VALUE"""),"木23")</f>
        <v>木23</v>
      </c>
      <c r="F3387" s="2" t="s">
        <v>10151</v>
      </c>
      <c r="G3387" s="2" t="s">
        <v>10155</v>
      </c>
      <c r="H3387" s="1">
        <v>2.0</v>
      </c>
      <c r="J3387" s="1" t="s">
        <v>1435</v>
      </c>
      <c r="K3387" s="2" t="s">
        <v>10156</v>
      </c>
      <c r="L3387" s="2" t="s">
        <v>10157</v>
      </c>
      <c r="M3387" s="2" t="str">
        <f>IFERROR(__xludf.DUMMYFUNCTION("split(split(K3387,""【"",false),""公式LINE"",false)"),"南さやか…中村アン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鷺沢亮介…大谷亮平南さやか（中村アン）は記憶が戻るまで、町田翔平（古川雄輝）と再び同棲をすることになった。  そんなさやかの前に、「さやかと寝た」と言う見知らぬ青年・藤崎隼人（市川知宏）が現れ、さやかは驚愕する。その上、鷺沢亮介（大谷亮平）が青山瑞希（片瀬那奈）からプロポーズ"&amp;"を断られたと知り、さやかは亮介への想いも捨てきれずにいた…  そんな中、記憶を失くす前にデザインした広告案が、最終コンペまで残ったと告げられて…")</f>
        <v>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鷺沢亮介…大谷亮平南さやか（中村アン）は記憶が戻るまで、町田翔平（古川雄輝）と再び同棲をすることになった。  そんなさやかの前に、「さやかと寝た」と言う見知らぬ青年・藤崎隼人（市川知宏）が現れ、さやかは驚愕する。その上、鷺沢亮介（大谷亮平）が青山瑞希（片瀬那奈）からプロポーズを断られたと知り、さやかは亮介への想いも捨てきれずにいた…  そんな中、記憶を失くす前にデザインした広告案が、最終コンペまで残ったと告げられて…</v>
      </c>
      <c r="N3387" s="2"/>
      <c r="O3387" s="2"/>
      <c r="P3387" s="2"/>
      <c r="Q3387" s="2"/>
      <c r="R3387" s="2"/>
      <c r="S3387" s="2"/>
      <c r="T3387" s="2"/>
      <c r="U3387" s="2"/>
      <c r="V3387" s="2"/>
      <c r="W3387" s="2"/>
      <c r="X3387" s="2"/>
      <c r="Y3387" s="2"/>
      <c r="Z3387" s="2"/>
      <c r="AA3387" s="2"/>
      <c r="AB3387" s="2"/>
      <c r="AC3387" s="2"/>
      <c r="AD3387" s="2"/>
      <c r="AE3387" s="2"/>
      <c r="AF3387" s="2"/>
      <c r="AG3387" s="2"/>
      <c r="AH3387" s="2"/>
      <c r="AI3387" s="2"/>
      <c r="AJ3387" s="2"/>
      <c r="AK3387" s="2"/>
      <c r="AL3387" s="2"/>
      <c r="AM3387" s="2"/>
      <c r="AN3387" s="2"/>
      <c r="AO3387" s="2"/>
      <c r="AP3387" s="2"/>
      <c r="AQ3387" s="2"/>
      <c r="AR3387" s="2"/>
      <c r="AS3387" s="2"/>
      <c r="AT3387" s="2"/>
      <c r="AU3387" s="2"/>
      <c r="AV3387" s="2"/>
      <c r="AW3387" s="2"/>
      <c r="AX3387" s="2"/>
      <c r="AY3387" s="2"/>
      <c r="AZ3387" s="2"/>
      <c r="BA3387" s="2"/>
      <c r="BB3387" s="2"/>
    </row>
    <row r="3388" ht="204.75" customHeight="1">
      <c r="A3388" s="1">
        <v>776.0</v>
      </c>
      <c r="B3388" s="2" t="s">
        <v>10150</v>
      </c>
      <c r="C3388" s="2">
        <f>IFERROR(__xludf.DUMMYFUNCTION("split(B3388,""_"")"),1804.0)</f>
        <v>1804</v>
      </c>
      <c r="D3388" s="2" t="str">
        <f>IFERROR(__xludf.DUMMYFUNCTION("""COMPUTED_VALUE"""),"NTV")</f>
        <v>NTV</v>
      </c>
      <c r="E3388" s="2" t="str">
        <f>IFERROR(__xludf.DUMMYFUNCTION("""COMPUTED_VALUE"""),"木23")</f>
        <v>木23</v>
      </c>
      <c r="F3388" s="2" t="s">
        <v>10151</v>
      </c>
      <c r="G3388" s="2" t="s">
        <v>10158</v>
      </c>
      <c r="H3388" s="1">
        <v>3.0</v>
      </c>
      <c r="J3388" s="1" t="s">
        <v>1435</v>
      </c>
      <c r="K3388" s="2" t="s">
        <v>10159</v>
      </c>
      <c r="L3388" s="2" t="s">
        <v>10160</v>
      </c>
      <c r="M3388" s="2" t="str">
        <f>IFERROR(__xludf.DUMMYFUNCTION("split(split(K3388,""【"",false),""公式LINE"",false)"),"南さやか…中村アン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鷺沢亮介…大谷亮平南さやか（中村アン）の最終プレゼンの競合相手が、１５年間片想い中の幼馴染み・鷺沢亮介（大谷亮平）だと判明する。  デザイナーとして初めて憧れの亮介と戦うさやかは、全力でプレゼンの準備を進める。  しかし町田翔平（古川雄輝）は、なおも亮介を慕うさやかに対し、「"&amp;"（亮介に）便利使いされているだけ」と冷ややかな態度を取り、さやかはその態度に憤りを感じる。  そしてさやかは、遂に亮介への告白を決意するのだが…")</f>
        <v>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鷺沢亮介…大谷亮平南さやか（中村アン）の最終プレゼンの競合相手が、１５年間片想い中の幼馴染み・鷺沢亮介（大谷亮平）だと判明する。  デザイナーとして初めて憧れの亮介と戦うさやかは、全力でプレゼンの準備を進める。  しかし町田翔平（古川雄輝）は、なおも亮介を慕うさやかに対し、「（亮介に）便利使いされているだけ」と冷ややかな態度を取り、さやかはその態度に憤りを感じる。  そしてさやかは、遂に亮介への告白を決意するのだが…</v>
      </c>
      <c r="N3388" s="2"/>
      <c r="O3388" s="2"/>
      <c r="P3388" s="2"/>
      <c r="Q3388" s="2"/>
      <c r="R3388" s="2"/>
      <c r="S3388" s="2"/>
      <c r="T3388" s="2"/>
      <c r="U3388" s="2"/>
      <c r="V3388" s="2"/>
      <c r="W3388" s="2"/>
      <c r="X3388" s="2"/>
      <c r="Y3388" s="2"/>
      <c r="Z3388" s="2"/>
      <c r="AA3388" s="2"/>
      <c r="AB3388" s="2"/>
      <c r="AC3388" s="2"/>
      <c r="AD3388" s="2"/>
      <c r="AE3388" s="2"/>
      <c r="AF3388" s="2"/>
      <c r="AG3388" s="2"/>
      <c r="AH3388" s="2"/>
      <c r="AI3388" s="2"/>
      <c r="AJ3388" s="2"/>
      <c r="AK3388" s="2"/>
      <c r="AL3388" s="2"/>
      <c r="AM3388" s="2"/>
      <c r="AN3388" s="2"/>
      <c r="AO3388" s="2"/>
      <c r="AP3388" s="2"/>
      <c r="AQ3388" s="2"/>
      <c r="AR3388" s="2"/>
      <c r="AS3388" s="2"/>
      <c r="AT3388" s="2"/>
      <c r="AU3388" s="2"/>
      <c r="AV3388" s="2"/>
      <c r="AW3388" s="2"/>
      <c r="AX3388" s="2"/>
      <c r="AY3388" s="2"/>
      <c r="AZ3388" s="2"/>
      <c r="BA3388" s="2"/>
      <c r="BB3388" s="2"/>
    </row>
    <row r="3389" ht="204.75" customHeight="1">
      <c r="A3389" s="1">
        <v>777.0</v>
      </c>
      <c r="B3389" s="2" t="s">
        <v>10150</v>
      </c>
      <c r="C3389" s="2">
        <f>IFERROR(__xludf.DUMMYFUNCTION("split(B3389,""_"")"),1804.0)</f>
        <v>1804</v>
      </c>
      <c r="D3389" s="2" t="str">
        <f>IFERROR(__xludf.DUMMYFUNCTION("""COMPUTED_VALUE"""),"NTV")</f>
        <v>NTV</v>
      </c>
      <c r="E3389" s="2" t="str">
        <f>IFERROR(__xludf.DUMMYFUNCTION("""COMPUTED_VALUE"""),"木23")</f>
        <v>木23</v>
      </c>
      <c r="F3389" s="2" t="s">
        <v>10151</v>
      </c>
      <c r="G3389" s="2" t="s">
        <v>10161</v>
      </c>
      <c r="H3389" s="1">
        <v>4.0</v>
      </c>
      <c r="J3389" s="1" t="s">
        <v>1435</v>
      </c>
      <c r="K3389" s="2" t="s">
        <v>10162</v>
      </c>
      <c r="L3389" s="2" t="s">
        <v>10163</v>
      </c>
      <c r="M3389" s="2" t="str">
        <f>IFERROR(__xludf.DUMMYFUNCTION("split(split(K3389,""【"",false),""公式LINE"",false)"),"南さやか…中村アン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鷺沢亮介…大谷亮平南さやか（中村アン）を突然ビンタしたのは、人気モデルの小笠原杏子（大政絢）だった。  さやかは、チーフデザイナーの立場で杏子と一緒に仕事をする事になってしまう。  そして同じプロジェクトに参加する鷺沢亮介(大谷亮平)、青山瑞希(片瀬那奈)に、町田翔平(古川雄"&amp;"輝)、さやかを交えた決起集会が開かれるのだが、さやかは亮介と瑞希の仲睦まじい姿を見てザワつく…  そんな中、町田と杏子に意外な関係がある事を知って…")</f>
        <v>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鷺沢亮介…大谷亮平南さやか（中村アン）を突然ビンタしたのは、人気モデルの小笠原杏子（大政絢）だった。  さやかは、チーフデザイナーの立場で杏子と一緒に仕事をする事になってしまう。  そして同じプロジェクトに参加する鷺沢亮介(大谷亮平)、青山瑞希(片瀬那奈)に、町田翔平(古川雄輝)、さやかを交えた決起集会が開かれるのだが、さやかは亮介と瑞希の仲睦まじい姿を見てザワつく…  そんな中、町田と杏子に意外な関係がある事を知って…</v>
      </c>
      <c r="N3389" s="2"/>
      <c r="O3389" s="2"/>
      <c r="P3389" s="2"/>
      <c r="Q3389" s="2"/>
      <c r="R3389" s="2"/>
      <c r="S3389" s="2"/>
      <c r="T3389" s="2"/>
      <c r="U3389" s="2"/>
      <c r="V3389" s="2"/>
      <c r="W3389" s="2"/>
      <c r="X3389" s="2"/>
      <c r="Y3389" s="2"/>
      <c r="Z3389" s="2"/>
      <c r="AA3389" s="2"/>
      <c r="AB3389" s="2"/>
      <c r="AC3389" s="2"/>
      <c r="AD3389" s="2"/>
      <c r="AE3389" s="2"/>
      <c r="AF3389" s="2"/>
      <c r="AG3389" s="2"/>
      <c r="AH3389" s="2"/>
      <c r="AI3389" s="2"/>
      <c r="AJ3389" s="2"/>
      <c r="AK3389" s="2"/>
      <c r="AL3389" s="2"/>
      <c r="AM3389" s="2"/>
      <c r="AN3389" s="2"/>
      <c r="AO3389" s="2"/>
      <c r="AP3389" s="2"/>
      <c r="AQ3389" s="2"/>
      <c r="AR3389" s="2"/>
      <c r="AS3389" s="2"/>
      <c r="AT3389" s="2"/>
      <c r="AU3389" s="2"/>
      <c r="AV3389" s="2"/>
      <c r="AW3389" s="2"/>
      <c r="AX3389" s="2"/>
      <c r="AY3389" s="2"/>
      <c r="AZ3389" s="2"/>
      <c r="BA3389" s="2"/>
      <c r="BB3389" s="2"/>
    </row>
    <row r="3390" ht="204.75" customHeight="1">
      <c r="A3390" s="1">
        <v>778.0</v>
      </c>
      <c r="B3390" s="2" t="s">
        <v>10150</v>
      </c>
      <c r="C3390" s="2">
        <f>IFERROR(__xludf.DUMMYFUNCTION("split(B3390,""_"")"),1804.0)</f>
        <v>1804</v>
      </c>
      <c r="D3390" s="2" t="str">
        <f>IFERROR(__xludf.DUMMYFUNCTION("""COMPUTED_VALUE"""),"NTV")</f>
        <v>NTV</v>
      </c>
      <c r="E3390" s="2" t="str">
        <f>IFERROR(__xludf.DUMMYFUNCTION("""COMPUTED_VALUE"""),"木23")</f>
        <v>木23</v>
      </c>
      <c r="F3390" s="2" t="s">
        <v>10151</v>
      </c>
      <c r="G3390" s="2" t="s">
        <v>10164</v>
      </c>
      <c r="H3390" s="1">
        <v>6.0</v>
      </c>
      <c r="I3390" s="1" t="s">
        <v>2888</v>
      </c>
      <c r="J3390" s="1" t="s">
        <v>1435</v>
      </c>
      <c r="K3390" s="2" t="s">
        <v>10165</v>
      </c>
      <c r="L3390" s="2" t="s">
        <v>10166</v>
      </c>
      <c r="M3390" s="2" t="str">
        <f>IFERROR(__xludf.DUMMYFUNCTION("split(split(K3390,""【"",false),""公式LINE"",false)"),"南さやか…中村アン  町田翔平…古川雄輝  宇野友美…佐津川愛美  菅野太一郎…小松利昌  藤崎隼人…市川知宏  佐山大輔…渡部秀  青山瑞希…片瀬那奈(特別出演)  前島悟郎…村杉蝉之介  小笠原杏子…大政絢  鷺沢亮介…大谷亮平    ")</f>
        <v>南さやか…中村アン  町田翔平…古川雄輝  宇野友美…佐津川愛美  菅野太一郎…小松利昌  藤崎隼人…市川知宏  佐山大輔…渡部秀  青山瑞希…片瀬那奈(特別出演)  前島悟郎…村杉蝉之介  小笠原杏子…大政絢  鷺沢亮介…大谷亮平    </v>
      </c>
      <c r="N3390" s="2"/>
      <c r="O3390" s="2"/>
      <c r="P3390" s="2"/>
      <c r="Q3390" s="2"/>
      <c r="R3390" s="2"/>
      <c r="S3390" s="2"/>
      <c r="T3390" s="2"/>
      <c r="U3390" s="2"/>
      <c r="V3390" s="2"/>
      <c r="W3390" s="2"/>
      <c r="X3390" s="2"/>
      <c r="Y3390" s="2"/>
      <c r="Z3390" s="2"/>
      <c r="AA3390" s="2"/>
      <c r="AB3390" s="2"/>
      <c r="AC3390" s="2"/>
      <c r="AD3390" s="2"/>
      <c r="AE3390" s="2"/>
      <c r="AF3390" s="2"/>
      <c r="AG3390" s="2"/>
      <c r="AH3390" s="2"/>
      <c r="AI3390" s="2"/>
      <c r="AJ3390" s="2"/>
      <c r="AK3390" s="2"/>
      <c r="AL3390" s="2"/>
      <c r="AM3390" s="2"/>
      <c r="AN3390" s="2"/>
      <c r="AO3390" s="2"/>
      <c r="AP3390" s="2"/>
      <c r="AQ3390" s="2"/>
      <c r="AR3390" s="2"/>
      <c r="AS3390" s="2"/>
      <c r="AT3390" s="2"/>
      <c r="AU3390" s="2"/>
      <c r="AV3390" s="2"/>
      <c r="AW3390" s="2"/>
      <c r="AX3390" s="2"/>
      <c r="AY3390" s="2"/>
      <c r="AZ3390" s="2"/>
      <c r="BA3390" s="2"/>
      <c r="BB3390" s="2"/>
    </row>
    <row r="3391" ht="204.75" customHeight="1">
      <c r="A3391" s="1">
        <v>779.0</v>
      </c>
      <c r="B3391" s="2" t="s">
        <v>10150</v>
      </c>
      <c r="C3391" s="2">
        <f>IFERROR(__xludf.DUMMYFUNCTION("split(B3391,""_"")"),1804.0)</f>
        <v>1804</v>
      </c>
      <c r="D3391" s="2" t="str">
        <f>IFERROR(__xludf.DUMMYFUNCTION("""COMPUTED_VALUE"""),"NTV")</f>
        <v>NTV</v>
      </c>
      <c r="E3391" s="2" t="str">
        <f>IFERROR(__xludf.DUMMYFUNCTION("""COMPUTED_VALUE"""),"木23")</f>
        <v>木23</v>
      </c>
      <c r="F3391" s="2" t="s">
        <v>10151</v>
      </c>
      <c r="G3391" s="2" t="s">
        <v>10167</v>
      </c>
      <c r="H3391" s="1">
        <v>7.0</v>
      </c>
      <c r="J3391" s="1" t="s">
        <v>1435</v>
      </c>
      <c r="K3391" s="2" t="s">
        <v>10168</v>
      </c>
      <c r="L3391" s="2" t="s">
        <v>10169</v>
      </c>
      <c r="M3391" s="2" t="str">
        <f>IFERROR(__xludf.DUMMYFUNCTION("split(split(K3391,""【"",false),""公式LINE"",false)"),"南さやか…中村アン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    ")</f>
        <v>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    </v>
      </c>
      <c r="N3391" s="2"/>
      <c r="O3391" s="2"/>
      <c r="P3391" s="2"/>
      <c r="Q3391" s="2"/>
      <c r="R3391" s="2"/>
      <c r="S3391" s="2"/>
      <c r="T3391" s="2"/>
      <c r="U3391" s="2"/>
      <c r="V3391" s="2"/>
      <c r="W3391" s="2"/>
      <c r="X3391" s="2"/>
      <c r="Y3391" s="2"/>
      <c r="Z3391" s="2"/>
      <c r="AA3391" s="2"/>
      <c r="AB3391" s="2"/>
      <c r="AC3391" s="2"/>
      <c r="AD3391" s="2"/>
      <c r="AE3391" s="2"/>
      <c r="AF3391" s="2"/>
      <c r="AG3391" s="2"/>
      <c r="AH3391" s="2"/>
      <c r="AI3391" s="2"/>
      <c r="AJ3391" s="2"/>
      <c r="AK3391" s="2"/>
      <c r="AL3391" s="2"/>
      <c r="AM3391" s="2"/>
      <c r="AN3391" s="2"/>
      <c r="AO3391" s="2"/>
      <c r="AP3391" s="2"/>
      <c r="AQ3391" s="2"/>
      <c r="AR3391" s="2"/>
      <c r="AS3391" s="2"/>
      <c r="AT3391" s="2"/>
      <c r="AU3391" s="2"/>
      <c r="AV3391" s="2"/>
      <c r="AW3391" s="2"/>
      <c r="AX3391" s="2"/>
      <c r="AY3391" s="2"/>
      <c r="AZ3391" s="2"/>
      <c r="BA3391" s="2"/>
      <c r="BB3391" s="2"/>
    </row>
    <row r="3392" ht="204.75" customHeight="1">
      <c r="A3392" s="1">
        <v>780.0</v>
      </c>
      <c r="B3392" s="2" t="s">
        <v>10150</v>
      </c>
      <c r="C3392" s="2">
        <f>IFERROR(__xludf.DUMMYFUNCTION("split(B3392,""_"")"),1804.0)</f>
        <v>1804</v>
      </c>
      <c r="D3392" s="2" t="str">
        <f>IFERROR(__xludf.DUMMYFUNCTION("""COMPUTED_VALUE"""),"NTV")</f>
        <v>NTV</v>
      </c>
      <c r="E3392" s="2" t="str">
        <f>IFERROR(__xludf.DUMMYFUNCTION("""COMPUTED_VALUE"""),"木23")</f>
        <v>木23</v>
      </c>
      <c r="F3392" s="2" t="s">
        <v>10151</v>
      </c>
      <c r="G3392" s="2" t="s">
        <v>10170</v>
      </c>
      <c r="H3392" s="1">
        <v>8.0</v>
      </c>
      <c r="J3392" s="1" t="s">
        <v>1435</v>
      </c>
      <c r="K3392" s="2" t="s">
        <v>10171</v>
      </c>
      <c r="L3392" s="2" t="s">
        <v>10172</v>
      </c>
      <c r="M3392" s="2" t="str">
        <f>IFERROR(__xludf.DUMMYFUNCTION("split(split(K3392,""【"",false),""公式LINE"",false)"),"南さやか…中村アン  町田翔平…古川雄輝  宇野友美…佐津川愛美  菅野太一郎…小松利昌  佐山大輔…渡部秀  青山瑞希…片瀬那奈(特別出演)  前島悟郎…村杉蝉之介  泉智子…ふせえり  小笠原杏子…大政絢  鷺沢亮介…大谷亮平さやか（中村アン）に、亮介（大谷亮平）とキスをしようとする記憶が突然蘇った。さやかは、亮介を好きなまま町田（古川雄輝）と付き合っていたのかもしれないと心を痛める。そんなさやかに亮介は「好きだ」と告白し、町田は「二度と同じ間違いを繰り返すな」と突き放す。さやかは、亮介への想いと町田"&amp;"への想いと、どちらが本当の気持ちなのか分からなくなってしまう。そして、混乱したさやかは仕事に没頭して体を壊してしまい…未知留  ")</f>
        <v>南さやか…中村アン  町田翔平…古川雄輝  宇野友美…佐津川愛美  菅野太一郎…小松利昌  佐山大輔…渡部秀  青山瑞希…片瀬那奈(特別出演)  前島悟郎…村杉蝉之介  泉智子…ふせえり  小笠原杏子…大政絢  鷺沢亮介…大谷亮平さやか（中村アン）に、亮介（大谷亮平）とキスをしようとする記憶が突然蘇った。さやかは、亮介を好きなまま町田（古川雄輝）と付き合っていたのかもしれないと心を痛める。そんなさやかに亮介は「好きだ」と告白し、町田は「二度と同じ間違いを繰り返すな」と突き放す。さやかは、亮介への想いと町田への想いと、どちらが本当の気持ちなのか分からなくなってしまう。そして、混乱したさやかは仕事に没頭して体を壊してしまい…未知留  </v>
      </c>
      <c r="N3392" s="2"/>
      <c r="O3392" s="2"/>
      <c r="P3392" s="2"/>
      <c r="Q3392" s="2"/>
      <c r="R3392" s="2"/>
      <c r="S3392" s="2"/>
      <c r="T3392" s="2"/>
      <c r="U3392" s="2"/>
      <c r="V3392" s="2"/>
      <c r="W3392" s="2"/>
      <c r="X3392" s="2"/>
      <c r="Y3392" s="2"/>
      <c r="Z3392" s="2"/>
      <c r="AA3392" s="2"/>
      <c r="AB3392" s="2"/>
      <c r="AC3392" s="2"/>
      <c r="AD3392" s="2"/>
      <c r="AE3392" s="2"/>
      <c r="AF3392" s="2"/>
      <c r="AG3392" s="2"/>
      <c r="AH3392" s="2"/>
      <c r="AI3392" s="2"/>
      <c r="AJ3392" s="2"/>
      <c r="AK3392" s="2"/>
      <c r="AL3392" s="2"/>
      <c r="AM3392" s="2"/>
      <c r="AN3392" s="2"/>
      <c r="AO3392" s="2"/>
      <c r="AP3392" s="2"/>
      <c r="AQ3392" s="2"/>
      <c r="AR3392" s="2"/>
      <c r="AS3392" s="2"/>
      <c r="AT3392" s="2"/>
      <c r="AU3392" s="2"/>
      <c r="AV3392" s="2"/>
      <c r="AW3392" s="2"/>
      <c r="AX3392" s="2"/>
      <c r="AY3392" s="2"/>
      <c r="AZ3392" s="2"/>
      <c r="BA3392" s="2"/>
      <c r="BB3392" s="2"/>
    </row>
    <row r="3393" ht="204.75" customHeight="1">
      <c r="A3393" s="1">
        <v>781.0</v>
      </c>
      <c r="B3393" s="2" t="s">
        <v>10150</v>
      </c>
      <c r="C3393" s="2">
        <f>IFERROR(__xludf.DUMMYFUNCTION("split(B3393,""_"")"),1804.0)</f>
        <v>1804</v>
      </c>
      <c r="D3393" s="2" t="str">
        <f>IFERROR(__xludf.DUMMYFUNCTION("""COMPUTED_VALUE"""),"NTV")</f>
        <v>NTV</v>
      </c>
      <c r="E3393" s="2" t="str">
        <f>IFERROR(__xludf.DUMMYFUNCTION("""COMPUTED_VALUE"""),"木23")</f>
        <v>木23</v>
      </c>
      <c r="F3393" s="2" t="s">
        <v>10151</v>
      </c>
      <c r="G3393" s="2" t="s">
        <v>10173</v>
      </c>
      <c r="H3393" s="1">
        <v>9.0</v>
      </c>
      <c r="J3393" s="1" t="s">
        <v>1435</v>
      </c>
      <c r="K3393" s="2" t="s">
        <v>10174</v>
      </c>
      <c r="L3393" s="2" t="s">
        <v>10175</v>
      </c>
      <c r="M3393" s="2" t="str">
        <f>IFERROR(__xludf.DUMMYFUNCTION("split(split(K3393,""【"",false),""公式LINE"",false)"),"南さやか…中村アン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    ")</f>
        <v>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    </v>
      </c>
      <c r="N3393" s="2"/>
      <c r="O3393" s="2"/>
      <c r="P3393" s="2"/>
      <c r="Q3393" s="2"/>
      <c r="R3393" s="2"/>
      <c r="S3393" s="2"/>
      <c r="T3393" s="2"/>
      <c r="U3393" s="2"/>
      <c r="V3393" s="2"/>
      <c r="W3393" s="2"/>
      <c r="X3393" s="2"/>
      <c r="Y3393" s="2"/>
      <c r="Z3393" s="2"/>
      <c r="AA3393" s="2"/>
      <c r="AB3393" s="2"/>
      <c r="AC3393" s="2"/>
      <c r="AD3393" s="2"/>
      <c r="AE3393" s="2"/>
      <c r="AF3393" s="2"/>
      <c r="AG3393" s="2"/>
      <c r="AH3393" s="2"/>
      <c r="AI3393" s="2"/>
      <c r="AJ3393" s="2"/>
      <c r="AK3393" s="2"/>
      <c r="AL3393" s="2"/>
      <c r="AM3393" s="2"/>
      <c r="AN3393" s="2"/>
      <c r="AO3393" s="2"/>
      <c r="AP3393" s="2"/>
      <c r="AQ3393" s="2"/>
      <c r="AR3393" s="2"/>
      <c r="AS3393" s="2"/>
      <c r="AT3393" s="2"/>
      <c r="AU3393" s="2"/>
      <c r="AV3393" s="2"/>
      <c r="AW3393" s="2"/>
      <c r="AX3393" s="2"/>
      <c r="AY3393" s="2"/>
      <c r="AZ3393" s="2"/>
      <c r="BA3393" s="2"/>
      <c r="BB3393" s="2"/>
    </row>
    <row r="3394" ht="204.75" customHeight="1">
      <c r="A3394" s="1">
        <v>801.0</v>
      </c>
      <c r="B3394" s="2" t="s">
        <v>10176</v>
      </c>
      <c r="C3394" s="2">
        <f>IFERROR(__xludf.DUMMYFUNCTION("split(B3394,""_"")"),1804.0)</f>
        <v>1804</v>
      </c>
      <c r="D3394" s="2" t="str">
        <f>IFERROR(__xludf.DUMMYFUNCTION("""COMPUTED_VALUE"""),"NTV")</f>
        <v>NTV</v>
      </c>
      <c r="E3394" s="2" t="str">
        <f>IFERROR(__xludf.DUMMYFUNCTION("""COMPUTED_VALUE"""),"土22")</f>
        <v>土22</v>
      </c>
      <c r="F3394" s="2" t="s">
        <v>10177</v>
      </c>
      <c r="G3394" s="2" t="s">
        <v>10178</v>
      </c>
      <c r="H3394" s="1">
        <v>1.0</v>
      </c>
      <c r="I3394" s="1" t="s">
        <v>3</v>
      </c>
      <c r="J3394" s="1" t="s">
        <v>82</v>
      </c>
      <c r="K3394" s="2" t="s">
        <v>10179</v>
      </c>
      <c r="L3394" s="2"/>
      <c r="M3394" s="2" t="str">
        <f>IFERROR(__xludf.DUMMYFUNCTION("split(split(K3394,""【"",false),""公式LINE"",false)"),"菜々緒、佐藤勝利(Sexy Zone)、木村佳乃、和田正人、白石聖、鶴見辰吾/第1話ゲスト:森永悠希/船越英一郎、西田敏行 ほか大手損害保険会社に入社した斉藤博史（佐藤勝利）。だが、「Missデビル」の異名を持つ冷徹な人事コンサルタント・椿眞子（菜々緒）が行う過酷な新人研修に、同期が次々と脱落していく様を見て、希望を打ち砕かれる。見かねた人事部長の伊東千紘（木村佳乃）は研修の中止を大沢社長（船越英一郎）に進言するが、大沢は眞子に全て一任していると言う。会長の喜田村（西田敏行）も静観していた。果たしてこの研"&amp;"修の本当の意味は?")</f>
        <v>菜々緒、佐藤勝利(Sexy Zone)、木村佳乃、和田正人、白石聖、鶴見辰吾/第1話ゲスト:森永悠希/船越英一郎、西田敏行 ほか大手損害保険会社に入社した斉藤博史（佐藤勝利）。だが、「Missデビル」の異名を持つ冷徹な人事コンサルタント・椿眞子（菜々緒）が行う過酷な新人研修に、同期が次々と脱落していく様を見て、希望を打ち砕かれる。見かねた人事部長の伊東千紘（木村佳乃）は研修の中止を大沢社長（船越英一郎）に進言するが、大沢は眞子に全て一任していると言う。会長の喜田村（西田敏行）も静観していた。果たしてこの研修の本当の意味は?</v>
      </c>
      <c r="N3394" s="2"/>
      <c r="O3394" s="2"/>
      <c r="P3394" s="2"/>
      <c r="Q3394" s="2"/>
      <c r="R3394" s="2"/>
      <c r="S3394" s="2"/>
      <c r="T3394" s="2"/>
      <c r="U3394" s="2"/>
      <c r="V3394" s="2"/>
      <c r="W3394" s="2"/>
      <c r="X3394" s="2"/>
      <c r="Y3394" s="2"/>
      <c r="Z3394" s="2"/>
      <c r="AA3394" s="2"/>
      <c r="AB3394" s="2"/>
      <c r="AC3394" s="2"/>
      <c r="AD3394" s="2"/>
      <c r="AE3394" s="2"/>
      <c r="AF3394" s="2"/>
      <c r="AG3394" s="2"/>
      <c r="AH3394" s="2"/>
      <c r="AI3394" s="2"/>
      <c r="AJ3394" s="2"/>
      <c r="AK3394" s="2"/>
      <c r="AL3394" s="2"/>
      <c r="AM3394" s="2"/>
      <c r="AN3394" s="2"/>
      <c r="AO3394" s="2"/>
      <c r="AP3394" s="2"/>
      <c r="AQ3394" s="2"/>
      <c r="AR3394" s="2"/>
      <c r="AS3394" s="2"/>
      <c r="AT3394" s="2"/>
      <c r="AU3394" s="2"/>
      <c r="AV3394" s="2"/>
      <c r="AW3394" s="2"/>
      <c r="AX3394" s="2"/>
      <c r="AY3394" s="2"/>
      <c r="AZ3394" s="2"/>
      <c r="BA3394" s="2"/>
      <c r="BB3394" s="2"/>
    </row>
    <row r="3395" ht="204.75" customHeight="1">
      <c r="A3395" s="1">
        <v>802.0</v>
      </c>
      <c r="B3395" s="2" t="s">
        <v>10176</v>
      </c>
      <c r="C3395" s="2">
        <f>IFERROR(__xludf.DUMMYFUNCTION("split(B3395,""_"")"),1804.0)</f>
        <v>1804</v>
      </c>
      <c r="D3395" s="2" t="str">
        <f>IFERROR(__xludf.DUMMYFUNCTION("""COMPUTED_VALUE"""),"NTV")</f>
        <v>NTV</v>
      </c>
      <c r="E3395" s="2" t="str">
        <f>IFERROR(__xludf.DUMMYFUNCTION("""COMPUTED_VALUE"""),"土22")</f>
        <v>土22</v>
      </c>
      <c r="F3395" s="2" t="s">
        <v>10177</v>
      </c>
      <c r="G3395" s="2" t="s">
        <v>10180</v>
      </c>
      <c r="H3395" s="1">
        <v>2.0</v>
      </c>
      <c r="I3395" s="1" t="s">
        <v>7</v>
      </c>
      <c r="J3395" s="1" t="s">
        <v>86</v>
      </c>
      <c r="K3395" s="2" t="s">
        <v>10181</v>
      </c>
      <c r="L3395" s="2" t="s">
        <v>10182</v>
      </c>
      <c r="M3395" s="2" t="str">
        <f>IFERROR(__xludf.DUMMYFUNCTION("split(split(K3395,""【"",false),""公式LINE"",false)"),"菜々緒、佐藤勝利(Sexy Zone)、木村佳乃、和田正人、白石聖、鶴見辰吾/船越英一郎、西田敏行 ほか  (2話ゲスト)中越典子、神保悟志、チャンカワイ、鈴木拓「Miss デビル」こと眞子（菜々緒）がリーダーとして社員のリストラを推進する「人材活用ラボ」に配属された博史（佐藤勝利）の初仕事は、第２営業部での研修。しかし研修とは名ばかりで、眞子の目的は博史に第２営業部からリストラ対象者を選ばせることにあった！ 博史は、部下の夏月（中越典子）にセクハラしている部長の浅岡（神保悟志）にターゲットを絞るが…!!")</f>
        <v>菜々緒、佐藤勝利(Sexy Zone)、木村佳乃、和田正人、白石聖、鶴見辰吾/船越英一郎、西田敏行 ほか  (2話ゲスト)中越典子、神保悟志、チャンカワイ、鈴木拓「Miss デビル」こと眞子（菜々緒）がリーダーとして社員のリストラを推進する「人材活用ラボ」に配属された博史（佐藤勝利）の初仕事は、第２営業部での研修。しかし研修とは名ばかりで、眞子の目的は博史に第２営業部からリストラ対象者を選ばせることにあった！ 博史は、部下の夏月（中越典子）にセクハラしている部長の浅岡（神保悟志）にターゲットを絞るが…!!</v>
      </c>
      <c r="N3395" s="2"/>
      <c r="O3395" s="2"/>
      <c r="P3395" s="2"/>
      <c r="Q3395" s="2"/>
      <c r="R3395" s="2"/>
      <c r="S3395" s="2"/>
      <c r="T3395" s="2"/>
      <c r="U3395" s="2"/>
      <c r="V3395" s="2"/>
      <c r="W3395" s="2"/>
      <c r="X3395" s="2"/>
      <c r="Y3395" s="2"/>
      <c r="Z3395" s="2"/>
      <c r="AA3395" s="2"/>
      <c r="AB3395" s="2"/>
      <c r="AC3395" s="2"/>
      <c r="AD3395" s="2"/>
      <c r="AE3395" s="2"/>
      <c r="AF3395" s="2"/>
      <c r="AG3395" s="2"/>
      <c r="AH3395" s="2"/>
      <c r="AI3395" s="2"/>
      <c r="AJ3395" s="2"/>
      <c r="AK3395" s="2"/>
      <c r="AL3395" s="2"/>
      <c r="AM3395" s="2"/>
      <c r="AN3395" s="2"/>
      <c r="AO3395" s="2"/>
      <c r="AP3395" s="2"/>
      <c r="AQ3395" s="2"/>
      <c r="AR3395" s="2"/>
      <c r="AS3395" s="2"/>
      <c r="AT3395" s="2"/>
      <c r="AU3395" s="2"/>
      <c r="AV3395" s="2"/>
      <c r="AW3395" s="2"/>
      <c r="AX3395" s="2"/>
      <c r="AY3395" s="2"/>
      <c r="AZ3395" s="2"/>
      <c r="BA3395" s="2"/>
      <c r="BB3395" s="2"/>
    </row>
    <row r="3396" ht="204.75" customHeight="1">
      <c r="A3396" s="1">
        <v>803.0</v>
      </c>
      <c r="B3396" s="2" t="s">
        <v>10176</v>
      </c>
      <c r="C3396" s="2">
        <f>IFERROR(__xludf.DUMMYFUNCTION("split(B3396,""_"")"),1804.0)</f>
        <v>1804</v>
      </c>
      <c r="D3396" s="2" t="str">
        <f>IFERROR(__xludf.DUMMYFUNCTION("""COMPUTED_VALUE"""),"NTV")</f>
        <v>NTV</v>
      </c>
      <c r="E3396" s="2" t="str">
        <f>IFERROR(__xludf.DUMMYFUNCTION("""COMPUTED_VALUE"""),"土22")</f>
        <v>土22</v>
      </c>
      <c r="F3396" s="2" t="s">
        <v>10177</v>
      </c>
      <c r="G3396" s="2" t="s">
        <v>10183</v>
      </c>
      <c r="H3396" s="1">
        <v>3.0</v>
      </c>
      <c r="I3396" s="1" t="s">
        <v>10</v>
      </c>
      <c r="J3396" s="1" t="s">
        <v>86</v>
      </c>
      <c r="K3396" s="2" t="s">
        <v>10184</v>
      </c>
      <c r="L3396" s="2" t="s">
        <v>10185</v>
      </c>
      <c r="M3396" s="2" t="str">
        <f>IFERROR(__xludf.DUMMYFUNCTION("split(split(K3396,""【"",false),""公式LINE"",false)"),"菜々緒、佐藤勝利(Sexy Zone)、木村佳乃、和田正人、白石聖、鶴見辰吾/船越英一郎、西田敏行 ほか  ")</f>
        <v>菜々緒、佐藤勝利(Sexy Zone)、木村佳乃、和田正人、白石聖、鶴見辰吾/船越英一郎、西田敏行 ほか  </v>
      </c>
      <c r="N3396" s="2"/>
      <c r="O3396" s="2"/>
      <c r="P3396" s="2"/>
      <c r="Q3396" s="2"/>
      <c r="R3396" s="2"/>
      <c r="S3396" s="2"/>
      <c r="T3396" s="2"/>
      <c r="U3396" s="2"/>
      <c r="V3396" s="2"/>
      <c r="W3396" s="2"/>
      <c r="X3396" s="2"/>
      <c r="Y3396" s="2"/>
      <c r="Z3396" s="2"/>
      <c r="AA3396" s="2"/>
      <c r="AB3396" s="2"/>
      <c r="AC3396" s="2"/>
      <c r="AD3396" s="2"/>
      <c r="AE3396" s="2"/>
      <c r="AF3396" s="2"/>
      <c r="AG3396" s="2"/>
      <c r="AH3396" s="2"/>
      <c r="AI3396" s="2"/>
      <c r="AJ3396" s="2"/>
      <c r="AK3396" s="2"/>
      <c r="AL3396" s="2"/>
      <c r="AM3396" s="2"/>
      <c r="AN3396" s="2"/>
      <c r="AO3396" s="2"/>
      <c r="AP3396" s="2"/>
      <c r="AQ3396" s="2"/>
      <c r="AR3396" s="2"/>
      <c r="AS3396" s="2"/>
      <c r="AT3396" s="2"/>
      <c r="AU3396" s="2"/>
      <c r="AV3396" s="2"/>
      <c r="AW3396" s="2"/>
      <c r="AX3396" s="2"/>
      <c r="AY3396" s="2"/>
      <c r="AZ3396" s="2"/>
      <c r="BA3396" s="2"/>
      <c r="BB3396" s="2"/>
    </row>
    <row r="3397" ht="204.75" customHeight="1">
      <c r="A3397" s="1">
        <v>804.0</v>
      </c>
      <c r="B3397" s="2" t="s">
        <v>10176</v>
      </c>
      <c r="C3397" s="2">
        <f>IFERROR(__xludf.DUMMYFUNCTION("split(B3397,""_"")"),1804.0)</f>
        <v>1804</v>
      </c>
      <c r="D3397" s="2" t="str">
        <f>IFERROR(__xludf.DUMMYFUNCTION("""COMPUTED_VALUE"""),"NTV")</f>
        <v>NTV</v>
      </c>
      <c r="E3397" s="2" t="str">
        <f>IFERROR(__xludf.DUMMYFUNCTION("""COMPUTED_VALUE"""),"土22")</f>
        <v>土22</v>
      </c>
      <c r="F3397" s="2" t="s">
        <v>10177</v>
      </c>
      <c r="G3397" s="2" t="s">
        <v>10186</v>
      </c>
      <c r="H3397" s="1">
        <v>4.0</v>
      </c>
      <c r="I3397" s="1" t="s">
        <v>14</v>
      </c>
      <c r="J3397" s="1" t="s">
        <v>86</v>
      </c>
      <c r="K3397" s="2" t="s">
        <v>10187</v>
      </c>
      <c r="L3397" s="2" t="s">
        <v>10188</v>
      </c>
      <c r="M3397" s="2" t="str">
        <f>IFERROR(__xludf.DUMMYFUNCTION("split(split(K3397,""【"",false),""公式LINE"",false)"),"菜々緒、佐藤勝利(Sexy Zone)、木村佳乃、和田正人、白石聖、鶴見辰吾/船越英一郎、西田敏行 ほか  ")</f>
        <v>菜々緒、佐藤勝利(Sexy Zone)、木村佳乃、和田正人、白石聖、鶴見辰吾/船越英一郎、西田敏行 ほか  </v>
      </c>
      <c r="N3397" s="2"/>
      <c r="O3397" s="2"/>
      <c r="P3397" s="2"/>
      <c r="Q3397" s="2"/>
      <c r="R3397" s="2"/>
      <c r="S3397" s="2"/>
      <c r="T3397" s="2"/>
      <c r="U3397" s="2"/>
      <c r="V3397" s="2"/>
      <c r="W3397" s="2"/>
      <c r="X3397" s="2"/>
      <c r="Y3397" s="2"/>
      <c r="Z3397" s="2"/>
      <c r="AA3397" s="2"/>
      <c r="AB3397" s="2"/>
      <c r="AC3397" s="2"/>
      <c r="AD3397" s="2"/>
      <c r="AE3397" s="2"/>
      <c r="AF3397" s="2"/>
      <c r="AG3397" s="2"/>
      <c r="AH3397" s="2"/>
      <c r="AI3397" s="2"/>
      <c r="AJ3397" s="2"/>
      <c r="AK3397" s="2"/>
      <c r="AL3397" s="2"/>
      <c r="AM3397" s="2"/>
      <c r="AN3397" s="2"/>
      <c r="AO3397" s="2"/>
      <c r="AP3397" s="2"/>
      <c r="AQ3397" s="2"/>
      <c r="AR3397" s="2"/>
      <c r="AS3397" s="2"/>
      <c r="AT3397" s="2"/>
      <c r="AU3397" s="2"/>
      <c r="AV3397" s="2"/>
      <c r="AW3397" s="2"/>
      <c r="AX3397" s="2"/>
      <c r="AY3397" s="2"/>
      <c r="AZ3397" s="2"/>
      <c r="BA3397" s="2"/>
      <c r="BB3397" s="2"/>
    </row>
    <row r="3398" ht="204.75" customHeight="1">
      <c r="A3398" s="1">
        <v>805.0</v>
      </c>
      <c r="B3398" s="2" t="s">
        <v>10176</v>
      </c>
      <c r="C3398" s="2">
        <f>IFERROR(__xludf.DUMMYFUNCTION("split(B3398,""_"")"),1804.0)</f>
        <v>1804</v>
      </c>
      <c r="D3398" s="2" t="str">
        <f>IFERROR(__xludf.DUMMYFUNCTION("""COMPUTED_VALUE"""),"NTV")</f>
        <v>NTV</v>
      </c>
      <c r="E3398" s="2" t="str">
        <f>IFERROR(__xludf.DUMMYFUNCTION("""COMPUTED_VALUE"""),"土22")</f>
        <v>土22</v>
      </c>
      <c r="F3398" s="2" t="s">
        <v>10177</v>
      </c>
      <c r="G3398" s="2" t="s">
        <v>10189</v>
      </c>
      <c r="H3398" s="1">
        <v>5.0</v>
      </c>
      <c r="I3398" s="1" t="s">
        <v>17</v>
      </c>
      <c r="J3398" s="1" t="s">
        <v>86</v>
      </c>
      <c r="K3398" s="2" t="s">
        <v>10190</v>
      </c>
      <c r="L3398" s="2" t="s">
        <v>10191</v>
      </c>
      <c r="M3398" s="2" t="str">
        <f>IFERROR(__xludf.DUMMYFUNCTION("split(split(K3398,""【"",false),""公式LINE"",false)"),"菜々緒、佐藤勝利(Sexy Zone)、木村佳乃、和田正人、白石聖、鶴見辰吾/船越英一郎、西田敏行 ほか  ")</f>
        <v>菜々緒、佐藤勝利(Sexy Zone)、木村佳乃、和田正人、白石聖、鶴見辰吾/船越英一郎、西田敏行 ほか  </v>
      </c>
      <c r="N3398" s="2"/>
      <c r="O3398" s="2"/>
      <c r="P3398" s="2"/>
      <c r="Q3398" s="2"/>
      <c r="R3398" s="2"/>
      <c r="S3398" s="2"/>
      <c r="T3398" s="2"/>
      <c r="U3398" s="2"/>
      <c r="V3398" s="2"/>
      <c r="W3398" s="2"/>
      <c r="X3398" s="2"/>
      <c r="Y3398" s="2"/>
      <c r="Z3398" s="2"/>
      <c r="AA3398" s="2"/>
      <c r="AB3398" s="2"/>
      <c r="AC3398" s="2"/>
      <c r="AD3398" s="2"/>
      <c r="AE3398" s="2"/>
      <c r="AF3398" s="2"/>
      <c r="AG3398" s="2"/>
      <c r="AH3398" s="2"/>
      <c r="AI3398" s="2"/>
      <c r="AJ3398" s="2"/>
      <c r="AK3398" s="2"/>
      <c r="AL3398" s="2"/>
      <c r="AM3398" s="2"/>
      <c r="AN3398" s="2"/>
      <c r="AO3398" s="2"/>
      <c r="AP3398" s="2"/>
      <c r="AQ3398" s="2"/>
      <c r="AR3398" s="2"/>
      <c r="AS3398" s="2"/>
      <c r="AT3398" s="2"/>
      <c r="AU3398" s="2"/>
      <c r="AV3398" s="2"/>
      <c r="AW3398" s="2"/>
      <c r="AX3398" s="2"/>
      <c r="AY3398" s="2"/>
      <c r="AZ3398" s="2"/>
      <c r="BA3398" s="2"/>
      <c r="BB3398" s="2"/>
    </row>
    <row r="3399" ht="204.75" customHeight="1">
      <c r="A3399" s="1">
        <v>806.0</v>
      </c>
      <c r="B3399" s="2" t="s">
        <v>10176</v>
      </c>
      <c r="C3399" s="2">
        <f>IFERROR(__xludf.DUMMYFUNCTION("split(B3399,""_"")"),1804.0)</f>
        <v>1804</v>
      </c>
      <c r="D3399" s="2" t="str">
        <f>IFERROR(__xludf.DUMMYFUNCTION("""COMPUTED_VALUE"""),"NTV")</f>
        <v>NTV</v>
      </c>
      <c r="E3399" s="2" t="str">
        <f>IFERROR(__xludf.DUMMYFUNCTION("""COMPUTED_VALUE"""),"土22")</f>
        <v>土22</v>
      </c>
      <c r="F3399" s="2" t="s">
        <v>10177</v>
      </c>
      <c r="G3399" s="2" t="s">
        <v>10192</v>
      </c>
      <c r="H3399" s="1">
        <v>6.0</v>
      </c>
      <c r="I3399" s="1" t="s">
        <v>21</v>
      </c>
      <c r="J3399" s="1" t="s">
        <v>86</v>
      </c>
      <c r="K3399" s="2" t="s">
        <v>10193</v>
      </c>
      <c r="L3399" s="2" t="s">
        <v>10194</v>
      </c>
      <c r="M3399" s="2" t="str">
        <f>IFERROR(__xludf.DUMMYFUNCTION("split(split(K3399,""【"",false),""公式LINE"",false)"),"菜々緒、佐藤勝利(Sexy Zone)、木村佳乃、和田正人、白石聖、鶴見辰吾/船越英一郎、西田敏行 ほか  ")</f>
        <v>菜々緒、佐藤勝利(Sexy Zone)、木村佳乃、和田正人、白石聖、鶴見辰吾/船越英一郎、西田敏行 ほか  </v>
      </c>
      <c r="N3399" s="2"/>
      <c r="O3399" s="2"/>
      <c r="P3399" s="2"/>
      <c r="Q3399" s="2"/>
      <c r="R3399" s="2"/>
      <c r="S3399" s="2"/>
      <c r="T3399" s="2"/>
      <c r="U3399" s="2"/>
      <c r="V3399" s="2"/>
      <c r="W3399" s="2"/>
      <c r="X3399" s="2"/>
      <c r="Y3399" s="2"/>
      <c r="Z3399" s="2"/>
      <c r="AA3399" s="2"/>
      <c r="AB3399" s="2"/>
      <c r="AC3399" s="2"/>
      <c r="AD3399" s="2"/>
      <c r="AE3399" s="2"/>
      <c r="AF3399" s="2"/>
      <c r="AG3399" s="2"/>
      <c r="AH3399" s="2"/>
      <c r="AI3399" s="2"/>
      <c r="AJ3399" s="2"/>
      <c r="AK3399" s="2"/>
      <c r="AL3399" s="2"/>
      <c r="AM3399" s="2"/>
      <c r="AN3399" s="2"/>
      <c r="AO3399" s="2"/>
      <c r="AP3399" s="2"/>
      <c r="AQ3399" s="2"/>
      <c r="AR3399" s="2"/>
      <c r="AS3399" s="2"/>
      <c r="AT3399" s="2"/>
      <c r="AU3399" s="2"/>
      <c r="AV3399" s="2"/>
      <c r="AW3399" s="2"/>
      <c r="AX3399" s="2"/>
      <c r="AY3399" s="2"/>
      <c r="AZ3399" s="2"/>
      <c r="BA3399" s="2"/>
      <c r="BB3399" s="2"/>
    </row>
    <row r="3400" ht="204.75" customHeight="1">
      <c r="A3400" s="1">
        <v>807.0</v>
      </c>
      <c r="B3400" s="2" t="s">
        <v>10176</v>
      </c>
      <c r="C3400" s="2">
        <f>IFERROR(__xludf.DUMMYFUNCTION("split(B3400,""_"")"),1804.0)</f>
        <v>1804</v>
      </c>
      <c r="D3400" s="2" t="str">
        <f>IFERROR(__xludf.DUMMYFUNCTION("""COMPUTED_VALUE"""),"NTV")</f>
        <v>NTV</v>
      </c>
      <c r="E3400" s="2" t="str">
        <f>IFERROR(__xludf.DUMMYFUNCTION("""COMPUTED_VALUE"""),"土22")</f>
        <v>土22</v>
      </c>
      <c r="F3400" s="2" t="s">
        <v>10177</v>
      </c>
      <c r="G3400" s="2" t="s">
        <v>10195</v>
      </c>
      <c r="H3400" s="1">
        <v>7.0</v>
      </c>
      <c r="I3400" s="1" t="s">
        <v>25</v>
      </c>
      <c r="J3400" s="1" t="s">
        <v>86</v>
      </c>
      <c r="K3400" s="2" t="s">
        <v>10196</v>
      </c>
      <c r="L3400" s="2" t="s">
        <v>10197</v>
      </c>
      <c r="M3400" s="2" t="str">
        <f>IFERROR(__xludf.DUMMYFUNCTION("split(split(K3400,""【"",false),""公式LINE"",false)"),"菜々緒、佐藤勝利(Sexy Zone)、木村佳乃、和田正人、白石聖、鶴見辰吾/船越英一郎、西田敏行 ほか  ")</f>
        <v>菜々緒、佐藤勝利(Sexy Zone)、木村佳乃、和田正人、白石聖、鶴見辰吾/船越英一郎、西田敏行 ほか  </v>
      </c>
      <c r="N3400" s="2"/>
      <c r="O3400" s="2"/>
      <c r="P3400" s="2"/>
      <c r="Q3400" s="2"/>
      <c r="R3400" s="2"/>
      <c r="S3400" s="2"/>
      <c r="T3400" s="2"/>
      <c r="U3400" s="2"/>
      <c r="V3400" s="2"/>
      <c r="W3400" s="2"/>
      <c r="X3400" s="2"/>
      <c r="Y3400" s="2"/>
      <c r="Z3400" s="2"/>
      <c r="AA3400" s="2"/>
      <c r="AB3400" s="2"/>
      <c r="AC3400" s="2"/>
      <c r="AD3400" s="2"/>
      <c r="AE3400" s="2"/>
      <c r="AF3400" s="2"/>
      <c r="AG3400" s="2"/>
      <c r="AH3400" s="2"/>
      <c r="AI3400" s="2"/>
      <c r="AJ3400" s="2"/>
      <c r="AK3400" s="2"/>
      <c r="AL3400" s="2"/>
      <c r="AM3400" s="2"/>
      <c r="AN3400" s="2"/>
      <c r="AO3400" s="2"/>
      <c r="AP3400" s="2"/>
      <c r="AQ3400" s="2"/>
      <c r="AR3400" s="2"/>
      <c r="AS3400" s="2"/>
      <c r="AT3400" s="2"/>
      <c r="AU3400" s="2"/>
      <c r="AV3400" s="2"/>
      <c r="AW3400" s="2"/>
      <c r="AX3400" s="2"/>
      <c r="AY3400" s="2"/>
      <c r="AZ3400" s="2"/>
      <c r="BA3400" s="2"/>
      <c r="BB3400" s="2"/>
    </row>
    <row r="3401" ht="204.75" customHeight="1">
      <c r="A3401" s="1">
        <v>808.0</v>
      </c>
      <c r="B3401" s="2" t="s">
        <v>10176</v>
      </c>
      <c r="C3401" s="2">
        <f>IFERROR(__xludf.DUMMYFUNCTION("split(B3401,""_"")"),1804.0)</f>
        <v>1804</v>
      </c>
      <c r="D3401" s="2" t="str">
        <f>IFERROR(__xludf.DUMMYFUNCTION("""COMPUTED_VALUE"""),"NTV")</f>
        <v>NTV</v>
      </c>
      <c r="E3401" s="2" t="str">
        <f>IFERROR(__xludf.DUMMYFUNCTION("""COMPUTED_VALUE"""),"土22")</f>
        <v>土22</v>
      </c>
      <c r="F3401" s="2" t="s">
        <v>10177</v>
      </c>
      <c r="G3401" s="2" t="s">
        <v>10198</v>
      </c>
      <c r="H3401" s="1">
        <v>8.0</v>
      </c>
      <c r="I3401" s="1" t="s">
        <v>29</v>
      </c>
      <c r="J3401" s="1" t="s">
        <v>86</v>
      </c>
      <c r="K3401" s="2" t="s">
        <v>10199</v>
      </c>
      <c r="L3401" s="2" t="s">
        <v>10200</v>
      </c>
      <c r="M3401" s="2" t="str">
        <f>IFERROR(__xludf.DUMMYFUNCTION("split(split(K3401,""【"",false),""公式LINE"",false)"),"菜々緒、佐藤勝利(Sexy Zone)、木村佳乃、和田正人、白石聖、鶴見辰吾/船越英一郎、西田敏行 ほか  ")</f>
        <v>菜々緒、佐藤勝利(Sexy Zone)、木村佳乃、和田正人、白石聖、鶴見辰吾/船越英一郎、西田敏行 ほか  </v>
      </c>
      <c r="N3401" s="2"/>
      <c r="O3401" s="2"/>
      <c r="P3401" s="2"/>
      <c r="Q3401" s="2"/>
      <c r="R3401" s="2"/>
      <c r="S3401" s="2"/>
      <c r="T3401" s="2"/>
      <c r="U3401" s="2"/>
      <c r="V3401" s="2"/>
      <c r="W3401" s="2"/>
      <c r="X3401" s="2"/>
      <c r="Y3401" s="2"/>
      <c r="Z3401" s="2"/>
      <c r="AA3401" s="2"/>
      <c r="AB3401" s="2"/>
      <c r="AC3401" s="2"/>
      <c r="AD3401" s="2"/>
      <c r="AE3401" s="2"/>
      <c r="AF3401" s="2"/>
      <c r="AG3401" s="2"/>
      <c r="AH3401" s="2"/>
      <c r="AI3401" s="2"/>
      <c r="AJ3401" s="2"/>
      <c r="AK3401" s="2"/>
      <c r="AL3401" s="2"/>
      <c r="AM3401" s="2"/>
      <c r="AN3401" s="2"/>
      <c r="AO3401" s="2"/>
      <c r="AP3401" s="2"/>
      <c r="AQ3401" s="2"/>
      <c r="AR3401" s="2"/>
      <c r="AS3401" s="2"/>
      <c r="AT3401" s="2"/>
      <c r="AU3401" s="2"/>
      <c r="AV3401" s="2"/>
      <c r="AW3401" s="2"/>
      <c r="AX3401" s="2"/>
      <c r="AY3401" s="2"/>
      <c r="AZ3401" s="2"/>
      <c r="BA3401" s="2"/>
      <c r="BB3401" s="2"/>
    </row>
    <row r="3402" ht="204.75" customHeight="1">
      <c r="A3402" s="1">
        <v>809.0</v>
      </c>
      <c r="B3402" s="2" t="s">
        <v>10176</v>
      </c>
      <c r="C3402" s="2">
        <f>IFERROR(__xludf.DUMMYFUNCTION("split(B3402,""_"")"),1804.0)</f>
        <v>1804</v>
      </c>
      <c r="D3402" s="2" t="str">
        <f>IFERROR(__xludf.DUMMYFUNCTION("""COMPUTED_VALUE"""),"NTV")</f>
        <v>NTV</v>
      </c>
      <c r="E3402" s="2" t="str">
        <f>IFERROR(__xludf.DUMMYFUNCTION("""COMPUTED_VALUE"""),"土22")</f>
        <v>土22</v>
      </c>
      <c r="F3402" s="2" t="s">
        <v>10177</v>
      </c>
      <c r="G3402" s="2" t="s">
        <v>10201</v>
      </c>
      <c r="H3402" s="1">
        <v>9.0</v>
      </c>
      <c r="I3402" s="1" t="s">
        <v>33</v>
      </c>
      <c r="J3402" s="1" t="s">
        <v>86</v>
      </c>
      <c r="K3402" s="2" t="s">
        <v>10202</v>
      </c>
      <c r="L3402" s="2" t="s">
        <v>10203</v>
      </c>
      <c r="M3402" s="2" t="str">
        <f>IFERROR(__xludf.DUMMYFUNCTION("split(split(K3402,""【"",false),""公式LINE"",false)"),"菜々緒、佐藤勝利(Sexy Zone)、木村佳乃、和田正人、白石聖、鶴見辰吾/船越英一郎、西田敏行 ほか  ")</f>
        <v>菜々緒、佐藤勝利(Sexy Zone)、木村佳乃、和田正人、白石聖、鶴見辰吾/船越英一郎、西田敏行 ほか  </v>
      </c>
      <c r="N3402" s="2"/>
      <c r="O3402" s="2"/>
      <c r="P3402" s="2"/>
      <c r="Q3402" s="2"/>
      <c r="R3402" s="2"/>
      <c r="S3402" s="2"/>
      <c r="T3402" s="2"/>
      <c r="U3402" s="2"/>
      <c r="V3402" s="2"/>
      <c r="W3402" s="2"/>
      <c r="X3402" s="2"/>
      <c r="Y3402" s="2"/>
      <c r="Z3402" s="2"/>
      <c r="AA3402" s="2"/>
      <c r="AB3402" s="2"/>
      <c r="AC3402" s="2"/>
      <c r="AD3402" s="2"/>
      <c r="AE3402" s="2"/>
      <c r="AF3402" s="2"/>
      <c r="AG3402" s="2"/>
      <c r="AH3402" s="2"/>
      <c r="AI3402" s="2"/>
      <c r="AJ3402" s="2"/>
      <c r="AK3402" s="2"/>
      <c r="AL3402" s="2"/>
      <c r="AM3402" s="2"/>
      <c r="AN3402" s="2"/>
      <c r="AO3402" s="2"/>
      <c r="AP3402" s="2"/>
      <c r="AQ3402" s="2"/>
      <c r="AR3402" s="2"/>
      <c r="AS3402" s="2"/>
      <c r="AT3402" s="2"/>
      <c r="AU3402" s="2"/>
      <c r="AV3402" s="2"/>
      <c r="AW3402" s="2"/>
      <c r="AX3402" s="2"/>
      <c r="AY3402" s="2"/>
      <c r="AZ3402" s="2"/>
      <c r="BA3402" s="2"/>
      <c r="BB3402" s="2"/>
    </row>
    <row r="3403" ht="204.75" customHeight="1">
      <c r="A3403" s="1">
        <v>810.0</v>
      </c>
      <c r="B3403" s="2" t="s">
        <v>10176</v>
      </c>
      <c r="C3403" s="2">
        <f>IFERROR(__xludf.DUMMYFUNCTION("split(B3403,""_"")"),1804.0)</f>
        <v>1804</v>
      </c>
      <c r="D3403" s="2" t="str">
        <f>IFERROR(__xludf.DUMMYFUNCTION("""COMPUTED_VALUE"""),"NTV")</f>
        <v>NTV</v>
      </c>
      <c r="E3403" s="2" t="str">
        <f>IFERROR(__xludf.DUMMYFUNCTION("""COMPUTED_VALUE"""),"土22")</f>
        <v>土22</v>
      </c>
      <c r="F3403" s="2" t="s">
        <v>10177</v>
      </c>
      <c r="G3403" s="2" t="s">
        <v>10204</v>
      </c>
      <c r="H3403" s="1">
        <v>10.0</v>
      </c>
      <c r="I3403" s="1" t="s">
        <v>37</v>
      </c>
      <c r="J3403" s="1" t="s">
        <v>86</v>
      </c>
      <c r="K3403" s="2" t="s">
        <v>10205</v>
      </c>
      <c r="L3403" s="2" t="s">
        <v>10206</v>
      </c>
      <c r="M3403" s="2" t="str">
        <f>IFERROR(__xludf.DUMMYFUNCTION("split(split(K3403,""【"",false),""公式LINE"",false)"),"菜々緒、佐藤勝利(Sexy Zone)、木村佳乃、和田正人、白石聖、鶴見辰吾/船越英一郎、西田敏行 ほか  ")</f>
        <v>菜々緒、佐藤勝利(Sexy Zone)、木村佳乃、和田正人、白石聖、鶴見辰吾/船越英一郎、西田敏行 ほか  </v>
      </c>
      <c r="N3403" s="2"/>
      <c r="O3403" s="2"/>
      <c r="P3403" s="2"/>
      <c r="Q3403" s="2"/>
      <c r="R3403" s="2"/>
      <c r="S3403" s="2"/>
      <c r="T3403" s="2"/>
      <c r="U3403" s="2"/>
      <c r="V3403" s="2"/>
      <c r="W3403" s="2"/>
      <c r="X3403" s="2"/>
      <c r="Y3403" s="2"/>
      <c r="Z3403" s="2"/>
      <c r="AA3403" s="2"/>
      <c r="AB3403" s="2"/>
      <c r="AC3403" s="2"/>
      <c r="AD3403" s="2"/>
      <c r="AE3403" s="2"/>
      <c r="AF3403" s="2"/>
      <c r="AG3403" s="2"/>
      <c r="AH3403" s="2"/>
      <c r="AI3403" s="2"/>
      <c r="AJ3403" s="2"/>
      <c r="AK3403" s="2"/>
      <c r="AL3403" s="2"/>
      <c r="AM3403" s="2"/>
      <c r="AN3403" s="2"/>
      <c r="AO3403" s="2"/>
      <c r="AP3403" s="2"/>
      <c r="AQ3403" s="2"/>
      <c r="AR3403" s="2"/>
      <c r="AS3403" s="2"/>
      <c r="AT3403" s="2"/>
      <c r="AU3403" s="2"/>
      <c r="AV3403" s="2"/>
      <c r="AW3403" s="2"/>
      <c r="AX3403" s="2"/>
      <c r="AY3403" s="2"/>
      <c r="AZ3403" s="2"/>
      <c r="BA3403" s="2"/>
      <c r="BB3403" s="2"/>
    </row>
    <row r="3404" ht="204.75" customHeight="1">
      <c r="A3404" s="1">
        <v>828.0</v>
      </c>
      <c r="B3404" s="2" t="s">
        <v>10207</v>
      </c>
      <c r="C3404" s="2">
        <f>IFERROR(__xludf.DUMMYFUNCTION("split(B3404,""_"")"),1804.0)</f>
        <v>1804</v>
      </c>
      <c r="D3404" s="2" t="str">
        <f>IFERROR(__xludf.DUMMYFUNCTION("""COMPUTED_VALUE"""),"NTV")</f>
        <v>NTV</v>
      </c>
      <c r="E3404" s="2" t="str">
        <f>IFERROR(__xludf.DUMMYFUNCTION("""COMPUTED_VALUE"""),"日22")</f>
        <v>日22</v>
      </c>
      <c r="F3404" s="2" t="s">
        <v>10208</v>
      </c>
      <c r="G3404" s="2" t="s">
        <v>10209</v>
      </c>
      <c r="H3404" s="1">
        <v>1.0</v>
      </c>
      <c r="I3404" s="1" t="s">
        <v>3</v>
      </c>
      <c r="J3404" s="1" t="s">
        <v>82</v>
      </c>
      <c r="K3404" s="2" t="s">
        <v>10210</v>
      </c>
      <c r="L3404" s="2" t="s">
        <v>10211</v>
      </c>
      <c r="M3404" s="2" t="str">
        <f>IFERROR(__xludf.DUMMYFUNCTION("split(split(K3404,""【"",false),""公式LINE"",false)"),"岩田剛典、戸田恵梨香、浜辺美波、中村倫也、くっきー（野性爆弾）、チャド・マレーン、佐伯大地／鈴木浩介／西尾まり、宮川大輔、りょう、渡辺いっけいかつては栄華を極めた老舗ホテル。…しかし今はクセ者揃いのダメスタッフだけが残り、大借金抱えて破産寸前。新米総支配人の佐那（戸田恵梨香）は周りのスタッフから総スカンの状態の日々を過ごしていた。そこに現れたのは、ホテルに似つかわしくないラフな格好をした謎の客：宇海（岩田剛典）。彼は、到着早々からホテルに対してなぜか無理難題を次々に告げていく。この来客が、この崖っぷちホテ"&amp;"ルの大逆転の幕開けであった……。")</f>
        <v>岩田剛典、戸田恵梨香、浜辺美波、中村倫也、くっきー（野性爆弾）、チャド・マレーン、佐伯大地／鈴木浩介／西尾まり、宮川大輔、りょう、渡辺いっけいかつては栄華を極めた老舗ホテル。…しかし今はクセ者揃いのダメスタッフだけが残り、大借金抱えて破産寸前。新米総支配人の佐那（戸田恵梨香）は周りのスタッフから総スカンの状態の日々を過ごしていた。そこに現れたのは、ホテルに似つかわしくないラフな格好をした謎の客：宇海（岩田剛典）。彼は、到着早々からホテルに対してなぜか無理難題を次々に告げていく。この来客が、この崖っぷちホテルの大逆転の幕開けであった……。</v>
      </c>
      <c r="N3404" s="2"/>
      <c r="O3404" s="2"/>
      <c r="P3404" s="2"/>
      <c r="Q3404" s="2"/>
      <c r="R3404" s="2"/>
      <c r="S3404" s="2"/>
      <c r="T3404" s="2"/>
      <c r="U3404" s="2"/>
      <c r="V3404" s="2"/>
      <c r="W3404" s="2"/>
      <c r="X3404" s="2"/>
      <c r="Y3404" s="2"/>
      <c r="Z3404" s="2"/>
      <c r="AA3404" s="2"/>
      <c r="AB3404" s="2"/>
      <c r="AC3404" s="2"/>
      <c r="AD3404" s="2"/>
      <c r="AE3404" s="2"/>
      <c r="AF3404" s="2"/>
      <c r="AG3404" s="2"/>
      <c r="AH3404" s="2"/>
      <c r="AI3404" s="2"/>
      <c r="AJ3404" s="2"/>
      <c r="AK3404" s="2"/>
      <c r="AL3404" s="2"/>
      <c r="AM3404" s="2"/>
      <c r="AN3404" s="2"/>
      <c r="AO3404" s="2"/>
      <c r="AP3404" s="2"/>
      <c r="AQ3404" s="2"/>
      <c r="AR3404" s="2"/>
      <c r="AS3404" s="2"/>
      <c r="AT3404" s="2"/>
      <c r="AU3404" s="2"/>
      <c r="AV3404" s="2"/>
      <c r="AW3404" s="2"/>
      <c r="AX3404" s="2"/>
      <c r="AY3404" s="2"/>
      <c r="AZ3404" s="2"/>
      <c r="BA3404" s="2"/>
      <c r="BB3404" s="2"/>
    </row>
    <row r="3405" ht="204.75" customHeight="1">
      <c r="A3405" s="1">
        <v>829.0</v>
      </c>
      <c r="B3405" s="2" t="s">
        <v>10207</v>
      </c>
      <c r="C3405" s="2">
        <f>IFERROR(__xludf.DUMMYFUNCTION("split(B3405,""_"")"),1804.0)</f>
        <v>1804</v>
      </c>
      <c r="D3405" s="2" t="str">
        <f>IFERROR(__xludf.DUMMYFUNCTION("""COMPUTED_VALUE"""),"NTV")</f>
        <v>NTV</v>
      </c>
      <c r="E3405" s="2" t="str">
        <f>IFERROR(__xludf.DUMMYFUNCTION("""COMPUTED_VALUE"""),"日22")</f>
        <v>日22</v>
      </c>
      <c r="F3405" s="2" t="s">
        <v>10208</v>
      </c>
      <c r="G3405" s="2" t="s">
        <v>10212</v>
      </c>
      <c r="H3405" s="1">
        <v>2.0</v>
      </c>
      <c r="I3405" s="1" t="s">
        <v>7</v>
      </c>
      <c r="J3405" s="1" t="s">
        <v>82</v>
      </c>
      <c r="K3405" s="2" t="s">
        <v>10213</v>
      </c>
      <c r="L3405" s="2" t="s">
        <v>10214</v>
      </c>
      <c r="M3405" s="2" t="str">
        <f>IFERROR(__xludf.DUMMYFUNCTION("split(split(K3405,""【"",false),""公式LINE"",false)"),"岩田剛典、戸田恵梨香、浜辺美波、中村倫也、くっきー（野性爆弾）、チャド・マレーン、佐伯大地／鈴木浩介／西尾まり、宮川大輔、りょう、渡辺いっけいホテル・グランデインヴルサに訪れた謎の客：宇海直哉（岩田剛典）が支配人の佐那（戸田恵梨香）の申し出により、ホテルマンの一員に。彼が起こす大革命に期待を寄せる中、宇海が最初に言い出したのは、なんとまさかの人事異動。降格処分をくらった時貞（渡辺いっけい）と江口（中村倫也）は猛反発をするが、宇海は気にすることもなく、かつてこのホテルに存在した「幻のケーキ」を復活し、ケーキ"&amp;"フェアを行うことを提案して……")</f>
        <v>岩田剛典、戸田恵梨香、浜辺美波、中村倫也、くっきー（野性爆弾）、チャド・マレーン、佐伯大地／鈴木浩介／西尾まり、宮川大輔、りょう、渡辺いっけいホテル・グランデインヴルサに訪れた謎の客：宇海直哉（岩田剛典）が支配人の佐那（戸田恵梨香）の申し出により、ホテルマンの一員に。彼が起こす大革命に期待を寄せる中、宇海が最初に言い出したのは、なんとまさかの人事異動。降格処分をくらった時貞（渡辺いっけい）と江口（中村倫也）は猛反発をするが、宇海は気にすることもなく、かつてこのホテルに存在した「幻のケーキ」を復活し、ケーキフェアを行うことを提案して……</v>
      </c>
      <c r="N3405" s="2"/>
      <c r="O3405" s="2"/>
      <c r="P3405" s="2"/>
      <c r="Q3405" s="2"/>
      <c r="R3405" s="2"/>
      <c r="S3405" s="2"/>
      <c r="T3405" s="2"/>
      <c r="U3405" s="2"/>
      <c r="V3405" s="2"/>
      <c r="W3405" s="2"/>
      <c r="X3405" s="2"/>
      <c r="Y3405" s="2"/>
      <c r="Z3405" s="2"/>
      <c r="AA3405" s="2"/>
      <c r="AB3405" s="2"/>
      <c r="AC3405" s="2"/>
      <c r="AD3405" s="2"/>
      <c r="AE3405" s="2"/>
      <c r="AF3405" s="2"/>
      <c r="AG3405" s="2"/>
      <c r="AH3405" s="2"/>
      <c r="AI3405" s="2"/>
      <c r="AJ3405" s="2"/>
      <c r="AK3405" s="2"/>
      <c r="AL3405" s="2"/>
      <c r="AM3405" s="2"/>
      <c r="AN3405" s="2"/>
      <c r="AO3405" s="2"/>
      <c r="AP3405" s="2"/>
      <c r="AQ3405" s="2"/>
      <c r="AR3405" s="2"/>
      <c r="AS3405" s="2"/>
      <c r="AT3405" s="2"/>
      <c r="AU3405" s="2"/>
      <c r="AV3405" s="2"/>
      <c r="AW3405" s="2"/>
      <c r="AX3405" s="2"/>
      <c r="AY3405" s="2"/>
      <c r="AZ3405" s="2"/>
      <c r="BA3405" s="2"/>
      <c r="BB3405" s="2"/>
    </row>
    <row r="3406" ht="204.75" customHeight="1">
      <c r="A3406" s="1">
        <v>830.0</v>
      </c>
      <c r="B3406" s="2" t="s">
        <v>10207</v>
      </c>
      <c r="C3406" s="2">
        <f>IFERROR(__xludf.DUMMYFUNCTION("split(B3406,""_"")"),1804.0)</f>
        <v>1804</v>
      </c>
      <c r="D3406" s="2" t="str">
        <f>IFERROR(__xludf.DUMMYFUNCTION("""COMPUTED_VALUE"""),"NTV")</f>
        <v>NTV</v>
      </c>
      <c r="E3406" s="2" t="str">
        <f>IFERROR(__xludf.DUMMYFUNCTION("""COMPUTED_VALUE"""),"日22")</f>
        <v>日22</v>
      </c>
      <c r="F3406" s="2" t="s">
        <v>10208</v>
      </c>
      <c r="G3406" s="2" t="s">
        <v>10215</v>
      </c>
      <c r="H3406" s="1">
        <v>3.0</v>
      </c>
      <c r="I3406" s="1" t="s">
        <v>10</v>
      </c>
      <c r="J3406" s="1" t="s">
        <v>82</v>
      </c>
      <c r="K3406" s="2" t="s">
        <v>10216</v>
      </c>
      <c r="L3406" s="2" t="s">
        <v>10217</v>
      </c>
      <c r="M3406" s="2" t="str">
        <f>IFERROR(__xludf.DUMMYFUNCTION("split(split(K3406,""【"",false),""公式LINE"",false)"),"岩田剛典、戸田恵梨香、浜辺美波、中村倫也、くっきー（野性爆弾）、チャド・マレーン、佐伯大地／鈴木浩介／西尾まり、宮川大輔、りょう、渡辺いっけい降格処分を受けた江口（中村倫也）、時貞（渡辺いっけい）は、佐那（戸田恵梨香）に自分たちを元の役職に戻すように詰めかける。が、佐那は宇海（岩田剛典）の決断を信じて、それを却下。そこに現れた宇海（岩田剛典）。江口、時貞の意見を聞いて、悩み始める。そしてアッサリと役職復帰の提案を始め、愕然とする佐那。だが、そのために宇海は一夜限りの企画勝負を提案する。彼の狙い、その先にあ"&amp;"る新たな小さな奇跡とは…?")</f>
        <v>岩田剛典、戸田恵梨香、浜辺美波、中村倫也、くっきー（野性爆弾）、チャド・マレーン、佐伯大地／鈴木浩介／西尾まり、宮川大輔、りょう、渡辺いっけい降格処分を受けた江口（中村倫也）、時貞（渡辺いっけい）は、佐那（戸田恵梨香）に自分たちを元の役職に戻すように詰めかける。が、佐那は宇海（岩田剛典）の決断を信じて、それを却下。そこに現れた宇海（岩田剛典）。江口、時貞の意見を聞いて、悩み始める。そしてアッサリと役職復帰の提案を始め、愕然とする佐那。だが、そのために宇海は一夜限りの企画勝負を提案する。彼の狙い、その先にある新たな小さな奇跡とは…?</v>
      </c>
      <c r="N3406" s="2"/>
      <c r="O3406" s="2"/>
      <c r="P3406" s="2"/>
      <c r="Q3406" s="2"/>
      <c r="R3406" s="2"/>
      <c r="S3406" s="2"/>
      <c r="T3406" s="2"/>
      <c r="U3406" s="2"/>
      <c r="V3406" s="2"/>
      <c r="W3406" s="2"/>
      <c r="X3406" s="2"/>
      <c r="Y3406" s="2"/>
      <c r="Z3406" s="2"/>
      <c r="AA3406" s="2"/>
      <c r="AB3406" s="2"/>
      <c r="AC3406" s="2"/>
      <c r="AD3406" s="2"/>
      <c r="AE3406" s="2"/>
      <c r="AF3406" s="2"/>
      <c r="AG3406" s="2"/>
      <c r="AH3406" s="2"/>
      <c r="AI3406" s="2"/>
      <c r="AJ3406" s="2"/>
      <c r="AK3406" s="2"/>
      <c r="AL3406" s="2"/>
      <c r="AM3406" s="2"/>
      <c r="AN3406" s="2"/>
      <c r="AO3406" s="2"/>
      <c r="AP3406" s="2"/>
      <c r="AQ3406" s="2"/>
      <c r="AR3406" s="2"/>
      <c r="AS3406" s="2"/>
      <c r="AT3406" s="2"/>
      <c r="AU3406" s="2"/>
      <c r="AV3406" s="2"/>
      <c r="AW3406" s="2"/>
      <c r="AX3406" s="2"/>
      <c r="AY3406" s="2"/>
      <c r="AZ3406" s="2"/>
      <c r="BA3406" s="2"/>
      <c r="BB3406" s="2"/>
    </row>
    <row r="3407" ht="204.75" customHeight="1">
      <c r="A3407" s="1">
        <v>831.0</v>
      </c>
      <c r="B3407" s="2" t="s">
        <v>10207</v>
      </c>
      <c r="C3407" s="2">
        <f>IFERROR(__xludf.DUMMYFUNCTION("split(B3407,""_"")"),1804.0)</f>
        <v>1804</v>
      </c>
      <c r="D3407" s="2" t="str">
        <f>IFERROR(__xludf.DUMMYFUNCTION("""COMPUTED_VALUE"""),"NTV")</f>
        <v>NTV</v>
      </c>
      <c r="E3407" s="2" t="str">
        <f>IFERROR(__xludf.DUMMYFUNCTION("""COMPUTED_VALUE"""),"日22")</f>
        <v>日22</v>
      </c>
      <c r="F3407" s="2" t="s">
        <v>10208</v>
      </c>
      <c r="G3407" s="2" t="s">
        <v>10218</v>
      </c>
      <c r="H3407" s="1">
        <v>4.0</v>
      </c>
      <c r="I3407" s="1" t="s">
        <v>14</v>
      </c>
      <c r="J3407" s="1" t="s">
        <v>82</v>
      </c>
      <c r="K3407" s="2" t="s">
        <v>10219</v>
      </c>
      <c r="L3407" s="2" t="s">
        <v>10220</v>
      </c>
      <c r="M3407" s="2" t="str">
        <f>IFERROR(__xludf.DUMMYFUNCTION("split(split(K3407,""【"",false),""公式LINE"",false)"),"岩田剛典、戸田恵梨香、浜辺美波、中村倫也、くっきー（野性爆弾）、チャド・マレーン、佐伯大地／鈴木浩介／西尾まり、宮川大輔、りょう、渡辺いっけい近隣にビジネスホテルの建設予定が…。そして古参の丹沢（鈴木浩介）がその引き抜きでホテルを辞めると宣言。さらには尚美（西尾まり）、大田原（くっきー）までこのホテルを出ると言い出す。悩める総支配人の佐那（戸田恵梨香）が宇海（岩田剛典）に相談すると、なんと宇海は古参を切り捨て新人面接を行うと言い出す。様々な想いが交錯するホテルインヴルサ。物語のキーは意外なものが握っていて"&amp;"…。次なる大逆転の一手とは!")</f>
        <v>岩田剛典、戸田恵梨香、浜辺美波、中村倫也、くっきー（野性爆弾）、チャド・マレーン、佐伯大地／鈴木浩介／西尾まり、宮川大輔、りょう、渡辺いっけい近隣にビジネスホテルの建設予定が…。そして古参の丹沢（鈴木浩介）がその引き抜きでホテルを辞めると宣言。さらには尚美（西尾まり）、大田原（くっきー）までこのホテルを出ると言い出す。悩める総支配人の佐那（戸田恵梨香）が宇海（岩田剛典）に相談すると、なんと宇海は古参を切り捨て新人面接を行うと言い出す。様々な想いが交錯するホテルインヴルサ。物語のキーは意外なものが握っていて…。次なる大逆転の一手とは!</v>
      </c>
      <c r="N3407" s="2"/>
      <c r="O3407" s="2"/>
      <c r="P3407" s="2"/>
      <c r="Q3407" s="2"/>
      <c r="R3407" s="2"/>
      <c r="S3407" s="2"/>
      <c r="T3407" s="2"/>
      <c r="U3407" s="2"/>
      <c r="V3407" s="2"/>
      <c r="W3407" s="2"/>
      <c r="X3407" s="2"/>
      <c r="Y3407" s="2"/>
      <c r="Z3407" s="2"/>
      <c r="AA3407" s="2"/>
      <c r="AB3407" s="2"/>
      <c r="AC3407" s="2"/>
      <c r="AD3407" s="2"/>
      <c r="AE3407" s="2"/>
      <c r="AF3407" s="2"/>
      <c r="AG3407" s="2"/>
      <c r="AH3407" s="2"/>
      <c r="AI3407" s="2"/>
      <c r="AJ3407" s="2"/>
      <c r="AK3407" s="2"/>
      <c r="AL3407" s="2"/>
      <c r="AM3407" s="2"/>
      <c r="AN3407" s="2"/>
      <c r="AO3407" s="2"/>
      <c r="AP3407" s="2"/>
      <c r="AQ3407" s="2"/>
      <c r="AR3407" s="2"/>
      <c r="AS3407" s="2"/>
      <c r="AT3407" s="2"/>
      <c r="AU3407" s="2"/>
      <c r="AV3407" s="2"/>
      <c r="AW3407" s="2"/>
      <c r="AX3407" s="2"/>
      <c r="AY3407" s="2"/>
      <c r="AZ3407" s="2"/>
      <c r="BA3407" s="2"/>
      <c r="BB3407" s="2"/>
    </row>
    <row r="3408" ht="204.75" customHeight="1">
      <c r="A3408" s="1">
        <v>832.0</v>
      </c>
      <c r="B3408" s="2" t="s">
        <v>10207</v>
      </c>
      <c r="C3408" s="2">
        <f>IFERROR(__xludf.DUMMYFUNCTION("split(B3408,""_"")"),1804.0)</f>
        <v>1804</v>
      </c>
      <c r="D3408" s="2" t="str">
        <f>IFERROR(__xludf.DUMMYFUNCTION("""COMPUTED_VALUE"""),"NTV")</f>
        <v>NTV</v>
      </c>
      <c r="E3408" s="2" t="str">
        <f>IFERROR(__xludf.DUMMYFUNCTION("""COMPUTED_VALUE"""),"日22")</f>
        <v>日22</v>
      </c>
      <c r="F3408" s="2" t="s">
        <v>10208</v>
      </c>
      <c r="G3408" s="2" t="s">
        <v>10221</v>
      </c>
      <c r="H3408" s="1">
        <v>5.0</v>
      </c>
      <c r="I3408" s="1" t="s">
        <v>17</v>
      </c>
      <c r="J3408" s="1" t="s">
        <v>82</v>
      </c>
      <c r="K3408" s="2" t="s">
        <v>10222</v>
      </c>
      <c r="L3408" s="2" t="s">
        <v>10223</v>
      </c>
      <c r="M3408" s="2" t="str">
        <f>IFERROR(__xludf.DUMMYFUNCTION("split(split(K3408,""【"",false),""公式LINE"",false)"),"岩田剛典、戸田恵梨香、浜辺美波、中村倫也、川栄李奈、くっきー（野性爆弾）、チャド・マレーン、佐伯大地／鈴木浩介／西尾まり、宮川大輔、りょう、渡辺いっけいある夫婦から宇海（岩田剛典）にホテルで結婚式を挙げたいと連絡が。しかし、このブライダル…とてつもなく注文の多いブライダルであった。式の希望日はなんと5日後!更には巨大ケーキの発注に、その他次々に注文が殺到。ブライダルプランナーに任命された枝川（りょう）は困り果て…。一方、宇海には元のホテルに戻る疑惑が発生。佐那（戸田恵梨香）と裕子（川栄李奈）がそれを聞きつ"&amp;"け…。")</f>
        <v>岩田剛典、戸田恵梨香、浜辺美波、中村倫也、川栄李奈、くっきー（野性爆弾）、チャド・マレーン、佐伯大地／鈴木浩介／西尾まり、宮川大輔、りょう、渡辺いっけいある夫婦から宇海（岩田剛典）にホテルで結婚式を挙げたいと連絡が。しかし、このブライダル…とてつもなく注文の多いブライダルであった。式の希望日はなんと5日後!更には巨大ケーキの発注に、その他次々に注文が殺到。ブライダルプランナーに任命された枝川（りょう）は困り果て…。一方、宇海には元のホテルに戻る疑惑が発生。佐那（戸田恵梨香）と裕子（川栄李奈）がそれを聞きつけ…。</v>
      </c>
      <c r="N3408" s="2"/>
      <c r="O3408" s="2"/>
      <c r="P3408" s="2"/>
      <c r="Q3408" s="2"/>
      <c r="R3408" s="2"/>
      <c r="S3408" s="2"/>
      <c r="T3408" s="2"/>
      <c r="U3408" s="2"/>
      <c r="V3408" s="2"/>
      <c r="W3408" s="2"/>
      <c r="X3408" s="2"/>
      <c r="Y3408" s="2"/>
      <c r="Z3408" s="2"/>
      <c r="AA3408" s="2"/>
      <c r="AB3408" s="2"/>
      <c r="AC3408" s="2"/>
      <c r="AD3408" s="2"/>
      <c r="AE3408" s="2"/>
      <c r="AF3408" s="2"/>
      <c r="AG3408" s="2"/>
      <c r="AH3408" s="2"/>
      <c r="AI3408" s="2"/>
      <c r="AJ3408" s="2"/>
      <c r="AK3408" s="2"/>
      <c r="AL3408" s="2"/>
      <c r="AM3408" s="2"/>
      <c r="AN3408" s="2"/>
      <c r="AO3408" s="2"/>
      <c r="AP3408" s="2"/>
      <c r="AQ3408" s="2"/>
      <c r="AR3408" s="2"/>
      <c r="AS3408" s="2"/>
      <c r="AT3408" s="2"/>
      <c r="AU3408" s="2"/>
      <c r="AV3408" s="2"/>
      <c r="AW3408" s="2"/>
      <c r="AX3408" s="2"/>
      <c r="AY3408" s="2"/>
      <c r="AZ3408" s="2"/>
      <c r="BA3408" s="2"/>
      <c r="BB3408" s="2"/>
    </row>
    <row r="3409" ht="204.75" customHeight="1">
      <c r="A3409" s="1">
        <v>833.0</v>
      </c>
      <c r="B3409" s="2" t="s">
        <v>10207</v>
      </c>
      <c r="C3409" s="2">
        <f>IFERROR(__xludf.DUMMYFUNCTION("split(B3409,""_"")"),1804.0)</f>
        <v>1804</v>
      </c>
      <c r="D3409" s="2" t="str">
        <f>IFERROR(__xludf.DUMMYFUNCTION("""COMPUTED_VALUE"""),"NTV")</f>
        <v>NTV</v>
      </c>
      <c r="E3409" s="2" t="str">
        <f>IFERROR(__xludf.DUMMYFUNCTION("""COMPUTED_VALUE"""),"日22")</f>
        <v>日22</v>
      </c>
      <c r="F3409" s="2" t="s">
        <v>10208</v>
      </c>
      <c r="G3409" s="2" t="s">
        <v>10224</v>
      </c>
      <c r="H3409" s="1">
        <v>6.0</v>
      </c>
      <c r="I3409" s="1" t="s">
        <v>21</v>
      </c>
      <c r="J3409" s="1" t="s">
        <v>82</v>
      </c>
      <c r="K3409" s="2" t="s">
        <v>10225</v>
      </c>
      <c r="L3409" s="2" t="s">
        <v>10226</v>
      </c>
      <c r="M3409" s="2" t="str">
        <f>IFERROR(__xludf.DUMMYFUNCTION("split(split(K3409,""【"",false),""公式LINE"",false)"),"岩田剛典、戸田恵梨香、浜辺美波、中村倫也、川栄李奈、くっきー（野性爆弾）、チャド・マレーン、佐伯大地／鈴木浩介／西尾まり、宮川大輔、りょう、渡辺いっけいホテルに告発状が届く。内容は時貞（渡辺いっけい）が事件を起こしたというもの。動揺の色を見せる時貞だったが、さらに告発の主とみられる後藤（でんでん）が直接宿泊にやってくる。スタッフたちは時貞の事件の噂話を広げ、長吉（宮川大輔）の怒りが爆発して内部分裂が発生。しかし、宇海（岩田剛典）は後藤に最大のおもてなしでお迎えをとニコやかな表情を浮かべて…。真相は何か、謎"&amp;"が謎を呼ぶ第６話。どうなるインヴルサ!?")</f>
        <v>岩田剛典、戸田恵梨香、浜辺美波、中村倫也、川栄李奈、くっきー（野性爆弾）、チャド・マレーン、佐伯大地／鈴木浩介／西尾まり、宮川大輔、りょう、渡辺いっけいホテルに告発状が届く。内容は時貞（渡辺いっけい）が事件を起こしたというもの。動揺の色を見せる時貞だったが、さらに告発の主とみられる後藤（でんでん）が直接宿泊にやってくる。スタッフたちは時貞の事件の噂話を広げ、長吉（宮川大輔）の怒りが爆発して内部分裂が発生。しかし、宇海（岩田剛典）は後藤に最大のおもてなしでお迎えをとニコやかな表情を浮かべて…。真相は何か、謎が謎を呼ぶ第６話。どうなるインヴルサ!?</v>
      </c>
      <c r="N3409" s="2"/>
      <c r="O3409" s="2"/>
      <c r="P3409" s="2"/>
      <c r="Q3409" s="2"/>
      <c r="R3409" s="2"/>
      <c r="S3409" s="2"/>
      <c r="T3409" s="2"/>
      <c r="U3409" s="2"/>
      <c r="V3409" s="2"/>
      <c r="W3409" s="2"/>
      <c r="X3409" s="2"/>
      <c r="Y3409" s="2"/>
      <c r="Z3409" s="2"/>
      <c r="AA3409" s="2"/>
      <c r="AB3409" s="2"/>
      <c r="AC3409" s="2"/>
      <c r="AD3409" s="2"/>
      <c r="AE3409" s="2"/>
      <c r="AF3409" s="2"/>
      <c r="AG3409" s="2"/>
      <c r="AH3409" s="2"/>
      <c r="AI3409" s="2"/>
      <c r="AJ3409" s="2"/>
      <c r="AK3409" s="2"/>
      <c r="AL3409" s="2"/>
      <c r="AM3409" s="2"/>
      <c r="AN3409" s="2"/>
      <c r="AO3409" s="2"/>
      <c r="AP3409" s="2"/>
      <c r="AQ3409" s="2"/>
      <c r="AR3409" s="2"/>
      <c r="AS3409" s="2"/>
      <c r="AT3409" s="2"/>
      <c r="AU3409" s="2"/>
      <c r="AV3409" s="2"/>
      <c r="AW3409" s="2"/>
      <c r="AX3409" s="2"/>
      <c r="AY3409" s="2"/>
      <c r="AZ3409" s="2"/>
      <c r="BA3409" s="2"/>
      <c r="BB3409" s="2"/>
    </row>
    <row r="3410" ht="204.75" customHeight="1">
      <c r="A3410" s="1">
        <v>834.0</v>
      </c>
      <c r="B3410" s="2" t="s">
        <v>10207</v>
      </c>
      <c r="C3410" s="2">
        <f>IFERROR(__xludf.DUMMYFUNCTION("split(B3410,""_"")"),1804.0)</f>
        <v>1804</v>
      </c>
      <c r="D3410" s="2" t="str">
        <f>IFERROR(__xludf.DUMMYFUNCTION("""COMPUTED_VALUE"""),"NTV")</f>
        <v>NTV</v>
      </c>
      <c r="E3410" s="2" t="str">
        <f>IFERROR(__xludf.DUMMYFUNCTION("""COMPUTED_VALUE"""),"日22")</f>
        <v>日22</v>
      </c>
      <c r="F3410" s="2" t="s">
        <v>10208</v>
      </c>
      <c r="G3410" s="2" t="s">
        <v>10227</v>
      </c>
      <c r="H3410" s="1">
        <v>7.0</v>
      </c>
      <c r="I3410" s="1" t="s">
        <v>25</v>
      </c>
      <c r="J3410" s="1" t="s">
        <v>82</v>
      </c>
      <c r="K3410" s="2" t="s">
        <v>10228</v>
      </c>
      <c r="L3410" s="2" t="s">
        <v>10229</v>
      </c>
      <c r="M3410" s="2" t="str">
        <f>IFERROR(__xludf.DUMMYFUNCTION("split(split(K3410,""【"",false),""公式LINE"",false)"),"岩田剛典、戸田恵梨香、浜辺美波、中村倫也、川栄李奈、くっきー（野性爆弾）、チャド・マレーン、佐伯大地／鈴木浩介／西尾まり、宮川大輔、りょう、渡辺いっけい佐那（戸田恵梨香）の兄・誠一（佐藤隆太）が再びホテルに現れた。かつての身勝手なモンスターぶりを知る従業員達は警戒するが、初対面の宇海（岩田剛典）はすっかり意気投合!?そして誠一は「自分が総支配人だ」と宣言し、従業員のポジションを大シャッフルすると言い出す。抗議する佐那だが誠一は悪びれる様子もなく、ホテルを売るつもりだと告げ…再び崖っぷちに立たされたグランデ"&amp;"・インヴルサに大逆転の手立てはあるのか!?")</f>
        <v>岩田剛典、戸田恵梨香、浜辺美波、中村倫也、川栄李奈、くっきー（野性爆弾）、チャド・マレーン、佐伯大地／鈴木浩介／西尾まり、宮川大輔、りょう、渡辺いっけい佐那（戸田恵梨香）の兄・誠一（佐藤隆太）が再びホテルに現れた。かつての身勝手なモンスターぶりを知る従業員達は警戒するが、初対面の宇海（岩田剛典）はすっかり意気投合!?そして誠一は「自分が総支配人だ」と宣言し、従業員のポジションを大シャッフルすると言い出す。抗議する佐那だが誠一は悪びれる様子もなく、ホテルを売るつもりだと告げ…再び崖っぷちに立たされたグランデ・インヴルサに大逆転の手立てはあるのか!?</v>
      </c>
      <c r="N3410" s="2"/>
      <c r="O3410" s="2"/>
      <c r="P3410" s="2"/>
      <c r="Q3410" s="2"/>
      <c r="R3410" s="2"/>
      <c r="S3410" s="2"/>
      <c r="T3410" s="2"/>
      <c r="U3410" s="2"/>
      <c r="V3410" s="2"/>
      <c r="W3410" s="2"/>
      <c r="X3410" s="2"/>
      <c r="Y3410" s="2"/>
      <c r="Z3410" s="2"/>
      <c r="AA3410" s="2"/>
      <c r="AB3410" s="2"/>
      <c r="AC3410" s="2"/>
      <c r="AD3410" s="2"/>
      <c r="AE3410" s="2"/>
      <c r="AF3410" s="2"/>
      <c r="AG3410" s="2"/>
      <c r="AH3410" s="2"/>
      <c r="AI3410" s="2"/>
      <c r="AJ3410" s="2"/>
      <c r="AK3410" s="2"/>
      <c r="AL3410" s="2"/>
      <c r="AM3410" s="2"/>
      <c r="AN3410" s="2"/>
      <c r="AO3410" s="2"/>
      <c r="AP3410" s="2"/>
      <c r="AQ3410" s="2"/>
      <c r="AR3410" s="2"/>
      <c r="AS3410" s="2"/>
      <c r="AT3410" s="2"/>
      <c r="AU3410" s="2"/>
      <c r="AV3410" s="2"/>
      <c r="AW3410" s="2"/>
      <c r="AX3410" s="2"/>
      <c r="AY3410" s="2"/>
      <c r="AZ3410" s="2"/>
      <c r="BA3410" s="2"/>
      <c r="BB3410" s="2"/>
    </row>
    <row r="3411" ht="204.75" customHeight="1">
      <c r="A3411" s="1">
        <v>835.0</v>
      </c>
      <c r="B3411" s="2" t="s">
        <v>10207</v>
      </c>
      <c r="C3411" s="2">
        <f>IFERROR(__xludf.DUMMYFUNCTION("split(B3411,""_"")"),1804.0)</f>
        <v>1804</v>
      </c>
      <c r="D3411" s="2" t="str">
        <f>IFERROR(__xludf.DUMMYFUNCTION("""COMPUTED_VALUE"""),"NTV")</f>
        <v>NTV</v>
      </c>
      <c r="E3411" s="2" t="str">
        <f>IFERROR(__xludf.DUMMYFUNCTION("""COMPUTED_VALUE"""),"日22")</f>
        <v>日22</v>
      </c>
      <c r="F3411" s="2" t="s">
        <v>10208</v>
      </c>
      <c r="G3411" s="2" t="s">
        <v>10230</v>
      </c>
      <c r="H3411" s="1">
        <v>8.0</v>
      </c>
      <c r="I3411" s="1" t="s">
        <v>29</v>
      </c>
      <c r="J3411" s="1" t="s">
        <v>82</v>
      </c>
      <c r="K3411" s="2" t="s">
        <v>10231</v>
      </c>
      <c r="L3411" s="2" t="s">
        <v>10232</v>
      </c>
      <c r="M3411" s="2" t="str">
        <f>IFERROR(__xludf.DUMMYFUNCTION("split(split(K3411,""【"",false),""公式LINE"",false)"),"岩田剛典、戸田恵梨香、浜辺美波、中村倫也、川栄李奈、くっきー（野性爆弾）、チャド・マレーン、佐伯大地／鈴木浩介／西尾まり、宮川大輔、りょう、渡辺いっけいついに一丸となったチームインヴルサ。そこにやってきたのは国の重要外交相手である王国の７人の王女たち。彼女らは父親である王が昔このインヴルサで食べたという『忘れられないディナー』を経験しにきたという。成功の鍵を握るのはハル（浜辺美波）と江口（中村倫也）の厨房組。このおもてなしの成否がホテルの明日を決める。大ピンチか、はたまた大チャンスか。ホテル・グランデ・イ"&amp;"ンヴルサの明日はどっち!?")</f>
        <v>岩田剛典、戸田恵梨香、浜辺美波、中村倫也、川栄李奈、くっきー（野性爆弾）、チャド・マレーン、佐伯大地／鈴木浩介／西尾まり、宮川大輔、りょう、渡辺いっけいついに一丸となったチームインヴルサ。そこにやってきたのは国の重要外交相手である王国の７人の王女たち。彼女らは父親である王が昔このインヴルサで食べたという『忘れられないディナー』を経験しにきたという。成功の鍵を握るのはハル（浜辺美波）と江口（中村倫也）の厨房組。このおもてなしの成否がホテルの明日を決める。大ピンチか、はたまた大チャンスか。ホテル・グランデ・インヴルサの明日はどっち!?</v>
      </c>
      <c r="N3411" s="2"/>
      <c r="O3411" s="2"/>
      <c r="P3411" s="2"/>
      <c r="Q3411" s="2"/>
      <c r="R3411" s="2"/>
      <c r="S3411" s="2"/>
      <c r="T3411" s="2"/>
      <c r="U3411" s="2"/>
      <c r="V3411" s="2"/>
      <c r="W3411" s="2"/>
      <c r="X3411" s="2"/>
      <c r="Y3411" s="2"/>
      <c r="Z3411" s="2"/>
      <c r="AA3411" s="2"/>
      <c r="AB3411" s="2"/>
      <c r="AC3411" s="2"/>
      <c r="AD3411" s="2"/>
      <c r="AE3411" s="2"/>
      <c r="AF3411" s="2"/>
      <c r="AG3411" s="2"/>
      <c r="AH3411" s="2"/>
      <c r="AI3411" s="2"/>
      <c r="AJ3411" s="2"/>
      <c r="AK3411" s="2"/>
      <c r="AL3411" s="2"/>
      <c r="AM3411" s="2"/>
      <c r="AN3411" s="2"/>
      <c r="AO3411" s="2"/>
      <c r="AP3411" s="2"/>
      <c r="AQ3411" s="2"/>
      <c r="AR3411" s="2"/>
      <c r="AS3411" s="2"/>
      <c r="AT3411" s="2"/>
      <c r="AU3411" s="2"/>
      <c r="AV3411" s="2"/>
      <c r="AW3411" s="2"/>
      <c r="AX3411" s="2"/>
      <c r="AY3411" s="2"/>
      <c r="AZ3411" s="2"/>
      <c r="BA3411" s="2"/>
      <c r="BB3411" s="2"/>
    </row>
    <row r="3412" ht="204.75" customHeight="1">
      <c r="A3412" s="1">
        <v>836.0</v>
      </c>
      <c r="B3412" s="2" t="s">
        <v>10207</v>
      </c>
      <c r="C3412" s="2">
        <f>IFERROR(__xludf.DUMMYFUNCTION("split(B3412,""_"")"),1804.0)</f>
        <v>1804</v>
      </c>
      <c r="D3412" s="2" t="str">
        <f>IFERROR(__xludf.DUMMYFUNCTION("""COMPUTED_VALUE"""),"NTV")</f>
        <v>NTV</v>
      </c>
      <c r="E3412" s="2" t="str">
        <f>IFERROR(__xludf.DUMMYFUNCTION("""COMPUTED_VALUE"""),"日22")</f>
        <v>日22</v>
      </c>
      <c r="F3412" s="2" t="s">
        <v>10208</v>
      </c>
      <c r="G3412" s="2" t="s">
        <v>10233</v>
      </c>
      <c r="H3412" s="1">
        <v>9.0</v>
      </c>
      <c r="I3412" s="1" t="s">
        <v>33</v>
      </c>
      <c r="J3412" s="1" t="s">
        <v>82</v>
      </c>
      <c r="K3412" s="2" t="s">
        <v>10234</v>
      </c>
      <c r="L3412" s="2" t="s">
        <v>10235</v>
      </c>
      <c r="M3412" s="2" t="str">
        <f>IFERROR(__xludf.DUMMYFUNCTION("split(split(K3412,""【"",false),""公式LINE"",false)"),"岩田剛典、戸田恵梨香、浜辺美波、中村倫也、川栄李奈、くっきー（野性爆弾）、チャド・マレーン、佐伯大地／鈴木浩介／西尾まり、宮川大輔、りょう、渡辺いっけいインヴルサに予約の電話が殺到！王国動かす奇跡のホテルとして話題になる！千客万来に喜ぶ一同だったが、取材に来た人物は何やら宇海（岩田剛典）の良からぬ噂を耳にしているようで…。一方、インヴルサは創立５０周年イベントとして大花火大会を計画する。この花火大会がこれまでの全ての奇跡を凌駕する大感動を呼ぶとは知らずに…。そして、宇海は皆のために、これまで謎に包まれてい"&amp;"た自身のことを明かし始める。必見の第９話。")</f>
        <v>岩田剛典、戸田恵梨香、浜辺美波、中村倫也、川栄李奈、くっきー（野性爆弾）、チャド・マレーン、佐伯大地／鈴木浩介／西尾まり、宮川大輔、りょう、渡辺いっけいインヴルサに予約の電話が殺到！王国動かす奇跡のホテルとして話題になる！千客万来に喜ぶ一同だったが、取材に来た人物は何やら宇海（岩田剛典）の良からぬ噂を耳にしているようで…。一方、インヴルサは創立５０周年イベントとして大花火大会を計画する。この花火大会がこれまでの全ての奇跡を凌駕する大感動を呼ぶとは知らずに…。そして、宇海は皆のために、これまで謎に包まれていた自身のことを明かし始める。必見の第９話。</v>
      </c>
      <c r="N3412" s="2"/>
      <c r="O3412" s="2"/>
      <c r="P3412" s="2"/>
      <c r="Q3412" s="2"/>
      <c r="R3412" s="2"/>
      <c r="S3412" s="2"/>
      <c r="T3412" s="2"/>
      <c r="U3412" s="2"/>
      <c r="V3412" s="2"/>
      <c r="W3412" s="2"/>
      <c r="X3412" s="2"/>
      <c r="Y3412" s="2"/>
      <c r="Z3412" s="2"/>
      <c r="AA3412" s="2"/>
      <c r="AB3412" s="2"/>
      <c r="AC3412" s="2"/>
      <c r="AD3412" s="2"/>
      <c r="AE3412" s="2"/>
      <c r="AF3412" s="2"/>
      <c r="AG3412" s="2"/>
      <c r="AH3412" s="2"/>
      <c r="AI3412" s="2"/>
      <c r="AJ3412" s="2"/>
      <c r="AK3412" s="2"/>
      <c r="AL3412" s="2"/>
      <c r="AM3412" s="2"/>
      <c r="AN3412" s="2"/>
      <c r="AO3412" s="2"/>
      <c r="AP3412" s="2"/>
      <c r="AQ3412" s="2"/>
      <c r="AR3412" s="2"/>
      <c r="AS3412" s="2"/>
      <c r="AT3412" s="2"/>
      <c r="AU3412" s="2"/>
      <c r="AV3412" s="2"/>
      <c r="AW3412" s="2"/>
      <c r="AX3412" s="2"/>
      <c r="AY3412" s="2"/>
      <c r="AZ3412" s="2"/>
      <c r="BA3412" s="2"/>
      <c r="BB3412" s="2"/>
    </row>
    <row r="3413" ht="204.75" customHeight="1">
      <c r="A3413" s="1">
        <v>837.0</v>
      </c>
      <c r="B3413" s="2" t="s">
        <v>10207</v>
      </c>
      <c r="C3413" s="2">
        <f>IFERROR(__xludf.DUMMYFUNCTION("split(B3413,""_"")"),1804.0)</f>
        <v>1804</v>
      </c>
      <c r="D3413" s="2" t="str">
        <f>IFERROR(__xludf.DUMMYFUNCTION("""COMPUTED_VALUE"""),"NTV")</f>
        <v>NTV</v>
      </c>
      <c r="E3413" s="2" t="str">
        <f>IFERROR(__xludf.DUMMYFUNCTION("""COMPUTED_VALUE"""),"日22")</f>
        <v>日22</v>
      </c>
      <c r="F3413" s="2" t="s">
        <v>10208</v>
      </c>
      <c r="G3413" s="2" t="s">
        <v>10236</v>
      </c>
      <c r="H3413" s="1">
        <v>10.0</v>
      </c>
      <c r="I3413" s="1" t="s">
        <v>37</v>
      </c>
      <c r="J3413" s="1" t="s">
        <v>82</v>
      </c>
      <c r="K3413" s="2" t="s">
        <v>10237</v>
      </c>
      <c r="L3413" s="2" t="s">
        <v>10238</v>
      </c>
      <c r="M3413" s="2" t="str">
        <f>IFERROR(__xludf.DUMMYFUNCTION("split(split(K3413,""【"",false),""公式LINE"",false)"),"岩田剛典、戸田恵梨香、浜辺美波、中村倫也、川栄李奈、くっきー（野性爆弾）、チャド・マレーン、佐伯大地／鈴木浩介／西尾まり、宮川大輔、りょう、渡辺いっけい宇海（岩田剛典）の夢を叶え、順風満帆なホテル・インヴルサ。そこにやってきたのは、ただいま絶賛崖っぷち状態のホテルに勤めるという11人の団体客。一同は宇海に呼ばれたらしい。何やら不穏な空気を感じる佐那（戸田恵梨香）。宇海に呼び出された佐那は、彼に直接このホテルを出るのかと尋ねる…。その答えは…。宇海の決意に佐那の涙の決断。最後は皆の想いと感動に包まれる最終回"&amp;"。最後のインヴルサは、楽しく、切ない。")</f>
        <v>岩田剛典、戸田恵梨香、浜辺美波、中村倫也、川栄李奈、くっきー（野性爆弾）、チャド・マレーン、佐伯大地／鈴木浩介／西尾まり、宮川大輔、りょう、渡辺いっけい宇海（岩田剛典）の夢を叶え、順風満帆なホテル・インヴルサ。そこにやってきたのは、ただいま絶賛崖っぷち状態のホテルに勤めるという11人の団体客。一同は宇海に呼ばれたらしい。何やら不穏な空気を感じる佐那（戸田恵梨香）。宇海に呼び出された佐那は、彼に直接このホテルを出るのかと尋ねる…。その答えは…。宇海の決意に佐那の涙の決断。最後は皆の想いと感動に包まれる最終回。最後のインヴルサは、楽しく、切ない。</v>
      </c>
      <c r="N3413" s="2"/>
      <c r="O3413" s="2"/>
      <c r="P3413" s="2"/>
      <c r="Q3413" s="2"/>
      <c r="R3413" s="2"/>
      <c r="S3413" s="2"/>
      <c r="T3413" s="2"/>
      <c r="U3413" s="2"/>
      <c r="V3413" s="2"/>
      <c r="W3413" s="2"/>
      <c r="X3413" s="2"/>
      <c r="Y3413" s="2"/>
      <c r="Z3413" s="2"/>
      <c r="AA3413" s="2"/>
      <c r="AB3413" s="2"/>
      <c r="AC3413" s="2"/>
      <c r="AD3413" s="2"/>
      <c r="AE3413" s="2"/>
      <c r="AF3413" s="2"/>
      <c r="AG3413" s="2"/>
      <c r="AH3413" s="2"/>
      <c r="AI3413" s="2"/>
      <c r="AJ3413" s="2"/>
      <c r="AK3413" s="2"/>
      <c r="AL3413" s="2"/>
      <c r="AM3413" s="2"/>
      <c r="AN3413" s="2"/>
      <c r="AO3413" s="2"/>
      <c r="AP3413" s="2"/>
      <c r="AQ3413" s="2"/>
      <c r="AR3413" s="2"/>
      <c r="AS3413" s="2"/>
      <c r="AT3413" s="2"/>
      <c r="AU3413" s="2"/>
      <c r="AV3413" s="2"/>
      <c r="AW3413" s="2"/>
      <c r="AX3413" s="2"/>
      <c r="AY3413" s="2"/>
      <c r="AZ3413" s="2"/>
      <c r="BA3413" s="2"/>
      <c r="BB3413" s="2"/>
    </row>
    <row r="3414" ht="204.75" customHeight="1">
      <c r="A3414" s="1">
        <v>858.0</v>
      </c>
      <c r="B3414" s="2" t="s">
        <v>10239</v>
      </c>
      <c r="C3414" s="2">
        <f>IFERROR(__xludf.DUMMYFUNCTION("split(B3414,""_"")"),1801.0)</f>
        <v>1801</v>
      </c>
      <c r="D3414" s="2" t="str">
        <f>IFERROR(__xludf.DUMMYFUNCTION("""COMPUTED_VALUE"""),"NTV")</f>
        <v>NTV</v>
      </c>
      <c r="E3414" s="2" t="str">
        <f>IFERROR(__xludf.DUMMYFUNCTION("""COMPUTED_VALUE"""),"水22")</f>
        <v>水22</v>
      </c>
      <c r="F3414" s="2" t="s">
        <v>10240</v>
      </c>
      <c r="G3414" s="2" t="s">
        <v>10241</v>
      </c>
      <c r="H3414" s="1">
        <v>1.0</v>
      </c>
      <c r="I3414" s="1" t="s">
        <v>3</v>
      </c>
      <c r="J3414" s="1" t="s">
        <v>82</v>
      </c>
      <c r="K3414" s="2" t="s">
        <v>10242</v>
      </c>
      <c r="L3414" s="2" t="s">
        <v>10243</v>
      </c>
      <c r="M3414" s="2" t="str">
        <f>IFERROR(__xludf.DUMMYFUNCTION("split(split(K3414,""【"",false),""公式LINE"",false)"),"広瀬すず、小林聡美、阿部サダヲ、瑛太、田中裕子 ほか  ")</f>
        <v>広瀬すず、小林聡美、阿部サダヲ、瑛太、田中裕子 ほか  </v>
      </c>
      <c r="N3414" s="2"/>
      <c r="O3414" s="2"/>
      <c r="P3414" s="2"/>
      <c r="Q3414" s="2"/>
      <c r="R3414" s="2"/>
      <c r="S3414" s="2"/>
      <c r="T3414" s="2"/>
      <c r="U3414" s="2"/>
      <c r="V3414" s="2"/>
      <c r="W3414" s="2"/>
      <c r="X3414" s="2"/>
      <c r="Y3414" s="2"/>
      <c r="Z3414" s="2"/>
      <c r="AA3414" s="2"/>
      <c r="AB3414" s="2"/>
      <c r="AC3414" s="2"/>
      <c r="AD3414" s="2"/>
      <c r="AE3414" s="2"/>
      <c r="AF3414" s="2"/>
      <c r="AG3414" s="2"/>
      <c r="AH3414" s="2"/>
      <c r="AI3414" s="2"/>
      <c r="AJ3414" s="2"/>
      <c r="AK3414" s="2"/>
      <c r="AL3414" s="2"/>
      <c r="AM3414" s="2"/>
      <c r="AN3414" s="2"/>
      <c r="AO3414" s="2"/>
      <c r="AP3414" s="2"/>
      <c r="AQ3414" s="2"/>
      <c r="AR3414" s="2"/>
      <c r="AS3414" s="2"/>
      <c r="AT3414" s="2"/>
      <c r="AU3414" s="2"/>
      <c r="AV3414" s="2"/>
      <c r="AW3414" s="2"/>
      <c r="AX3414" s="2"/>
      <c r="AY3414" s="2"/>
      <c r="AZ3414" s="2"/>
      <c r="BA3414" s="2"/>
      <c r="BB3414" s="2"/>
    </row>
    <row r="3415" ht="204.75" customHeight="1">
      <c r="A3415" s="1">
        <v>859.0</v>
      </c>
      <c r="B3415" s="2" t="s">
        <v>10239</v>
      </c>
      <c r="C3415" s="2">
        <f>IFERROR(__xludf.DUMMYFUNCTION("split(B3415,""_"")"),1801.0)</f>
        <v>1801</v>
      </c>
      <c r="D3415" s="2" t="str">
        <f>IFERROR(__xludf.DUMMYFUNCTION("""COMPUTED_VALUE"""),"NTV")</f>
        <v>NTV</v>
      </c>
      <c r="E3415" s="2" t="str">
        <f>IFERROR(__xludf.DUMMYFUNCTION("""COMPUTED_VALUE"""),"水22")</f>
        <v>水22</v>
      </c>
      <c r="F3415" s="2" t="s">
        <v>10240</v>
      </c>
      <c r="G3415" s="2" t="s">
        <v>10244</v>
      </c>
      <c r="H3415" s="1">
        <v>2.0</v>
      </c>
      <c r="I3415" s="1" t="s">
        <v>7</v>
      </c>
      <c r="J3415" s="1" t="s">
        <v>82</v>
      </c>
      <c r="K3415" s="2" t="s">
        <v>10245</v>
      </c>
      <c r="L3415" s="2" t="s">
        <v>10246</v>
      </c>
      <c r="M3415" s="2" t="str">
        <f>IFERROR(__xludf.DUMMYFUNCTION("split(split(K3415,""【"",false),""公式LINE"",false)"),"広瀬すず、小林聡美、阿部サダヲ、瑛太、火野正平、田中裕子 ほかハリカ（広瀬すず）は「林田印刷所」の名前を頼りに亜乃音（田中裕子）の元を訪ねる。そこであの札束の衝撃的な真相を知る。さらに床下から15年前に失踪したはずの亜乃音の娘・玲（江口のりこ）が写っている写真が発見され戸惑う亜乃音。一方、舵（阿部サダヲ）が幼なじみの西海（川瀬陽太）にカレー店を乗っ取られようとしているのを見かねたるい子（小林聡美）は…。玲の足跡を辿るハリカと亜乃音が知るのは更に切ない現実で…")</f>
        <v>広瀬すず、小林聡美、阿部サダヲ、瑛太、火野正平、田中裕子 ほかハリカ（広瀬すず）は「林田印刷所」の名前を頼りに亜乃音（田中裕子）の元を訪ねる。そこであの札束の衝撃的な真相を知る。さらに床下から15年前に失踪したはずの亜乃音の娘・玲（江口のりこ）が写っている写真が発見され戸惑う亜乃音。一方、舵（阿部サダヲ）が幼なじみの西海（川瀬陽太）にカレー店を乗っ取られようとしているのを見かねたるい子（小林聡美）は…。玲の足跡を辿るハリカと亜乃音が知るのは更に切ない現実で…</v>
      </c>
      <c r="N3415" s="2"/>
      <c r="O3415" s="2"/>
      <c r="P3415" s="2"/>
      <c r="Q3415" s="2"/>
      <c r="R3415" s="2"/>
      <c r="S3415" s="2"/>
      <c r="T3415" s="2"/>
      <c r="U3415" s="2"/>
      <c r="V3415" s="2"/>
      <c r="W3415" s="2"/>
      <c r="X3415" s="2"/>
      <c r="Y3415" s="2"/>
      <c r="Z3415" s="2"/>
      <c r="AA3415" s="2"/>
      <c r="AB3415" s="2"/>
      <c r="AC3415" s="2"/>
      <c r="AD3415" s="2"/>
      <c r="AE3415" s="2"/>
      <c r="AF3415" s="2"/>
      <c r="AG3415" s="2"/>
      <c r="AH3415" s="2"/>
      <c r="AI3415" s="2"/>
      <c r="AJ3415" s="2"/>
      <c r="AK3415" s="2"/>
      <c r="AL3415" s="2"/>
      <c r="AM3415" s="2"/>
      <c r="AN3415" s="2"/>
      <c r="AO3415" s="2"/>
      <c r="AP3415" s="2"/>
      <c r="AQ3415" s="2"/>
      <c r="AR3415" s="2"/>
      <c r="AS3415" s="2"/>
      <c r="AT3415" s="2"/>
      <c r="AU3415" s="2"/>
      <c r="AV3415" s="2"/>
      <c r="AW3415" s="2"/>
      <c r="AX3415" s="2"/>
      <c r="AY3415" s="2"/>
      <c r="AZ3415" s="2"/>
      <c r="BA3415" s="2"/>
      <c r="BB3415" s="2"/>
    </row>
    <row r="3416" ht="204.75" customHeight="1">
      <c r="A3416" s="1">
        <v>860.0</v>
      </c>
      <c r="B3416" s="2" t="s">
        <v>10239</v>
      </c>
      <c r="C3416" s="2">
        <f>IFERROR(__xludf.DUMMYFUNCTION("split(B3416,""_"")"),1801.0)</f>
        <v>1801</v>
      </c>
      <c r="D3416" s="2" t="str">
        <f>IFERROR(__xludf.DUMMYFUNCTION("""COMPUTED_VALUE"""),"NTV")</f>
        <v>NTV</v>
      </c>
      <c r="E3416" s="2" t="str">
        <f>IFERROR(__xludf.DUMMYFUNCTION("""COMPUTED_VALUE"""),"水22")</f>
        <v>水22</v>
      </c>
      <c r="F3416" s="2" t="s">
        <v>10240</v>
      </c>
      <c r="G3416" s="2" t="s">
        <v>10247</v>
      </c>
      <c r="H3416" s="1">
        <v>3.0</v>
      </c>
      <c r="I3416" s="1" t="s">
        <v>10</v>
      </c>
      <c r="J3416" s="1" t="s">
        <v>82</v>
      </c>
      <c r="K3416" s="2" t="s">
        <v>10248</v>
      </c>
      <c r="L3416" s="2" t="s">
        <v>10249</v>
      </c>
      <c r="M3416" s="2" t="str">
        <f>IFERROR(__xludf.DUMMYFUNCTION("split(split(K3416,""【"",false),""公式LINE"",false)"),"広瀬すず、小林聡美、阿部サダヲ、瑛太、火野正平、田中裕子 ほかハリカ（広瀬すず）を亜乃音（田中裕子）の娘だと思い込む舵（阿部サダヲ）の話を聞いた西海（川瀬陽太）は、ハリカをだしに亜乃音から身代金を取ろうと言い出す。一方、亜乃音の元をかつて林田印刷所の従業員だった中世古理市（瑛太）が訪ねて来て…。そして身代金の取り立てに亜乃音の元へ来たるい子（小林聡美）は、ハリカが亜乃音の娘ではないことを知る。しかし、亜乃音が選んだ行動はとても意外なもので…。")</f>
        <v>広瀬すず、小林聡美、阿部サダヲ、瑛太、火野正平、田中裕子 ほかハリカ（広瀬すず）を亜乃音（田中裕子）の娘だと思い込む舵（阿部サダヲ）の話を聞いた西海（川瀬陽太）は、ハリカをだしに亜乃音から身代金を取ろうと言い出す。一方、亜乃音の元をかつて林田印刷所の従業員だった中世古理市（瑛太）が訪ねて来て…。そして身代金の取り立てに亜乃音の元へ来たるい子（小林聡美）は、ハリカが亜乃音の娘ではないことを知る。しかし、亜乃音が選んだ行動はとても意外なもので…。</v>
      </c>
      <c r="N3416" s="2"/>
      <c r="O3416" s="2"/>
      <c r="P3416" s="2"/>
      <c r="Q3416" s="2"/>
      <c r="R3416" s="2"/>
      <c r="S3416" s="2"/>
      <c r="T3416" s="2"/>
      <c r="U3416" s="2"/>
      <c r="V3416" s="2"/>
      <c r="W3416" s="2"/>
      <c r="X3416" s="2"/>
      <c r="Y3416" s="2"/>
      <c r="Z3416" s="2"/>
      <c r="AA3416" s="2"/>
      <c r="AB3416" s="2"/>
      <c r="AC3416" s="2"/>
      <c r="AD3416" s="2"/>
      <c r="AE3416" s="2"/>
      <c r="AF3416" s="2"/>
      <c r="AG3416" s="2"/>
      <c r="AH3416" s="2"/>
      <c r="AI3416" s="2"/>
      <c r="AJ3416" s="2"/>
      <c r="AK3416" s="2"/>
      <c r="AL3416" s="2"/>
      <c r="AM3416" s="2"/>
      <c r="AN3416" s="2"/>
      <c r="AO3416" s="2"/>
      <c r="AP3416" s="2"/>
      <c r="AQ3416" s="2"/>
      <c r="AR3416" s="2"/>
      <c r="AS3416" s="2"/>
      <c r="AT3416" s="2"/>
      <c r="AU3416" s="2"/>
      <c r="AV3416" s="2"/>
      <c r="AW3416" s="2"/>
      <c r="AX3416" s="2"/>
      <c r="AY3416" s="2"/>
      <c r="AZ3416" s="2"/>
      <c r="BA3416" s="2"/>
      <c r="BB3416" s="2"/>
    </row>
    <row r="3417" ht="204.75" customHeight="1">
      <c r="A3417" s="1">
        <v>861.0</v>
      </c>
      <c r="B3417" s="2" t="s">
        <v>10239</v>
      </c>
      <c r="C3417" s="2">
        <f>IFERROR(__xludf.DUMMYFUNCTION("split(B3417,""_"")"),1801.0)</f>
        <v>1801</v>
      </c>
      <c r="D3417" s="2" t="str">
        <f>IFERROR(__xludf.DUMMYFUNCTION("""COMPUTED_VALUE"""),"NTV")</f>
        <v>NTV</v>
      </c>
      <c r="E3417" s="2" t="str">
        <f>IFERROR(__xludf.DUMMYFUNCTION("""COMPUTED_VALUE"""),"水22")</f>
        <v>水22</v>
      </c>
      <c r="F3417" s="2" t="s">
        <v>10240</v>
      </c>
      <c r="G3417" s="2" t="s">
        <v>10250</v>
      </c>
      <c r="H3417" s="1">
        <v>4.0</v>
      </c>
      <c r="I3417" s="1" t="s">
        <v>14</v>
      </c>
      <c r="J3417" s="1" t="s">
        <v>82</v>
      </c>
      <c r="K3417" s="2" t="s">
        <v>10251</v>
      </c>
      <c r="L3417" s="2" t="s">
        <v>10252</v>
      </c>
      <c r="M3417" s="2" t="str">
        <f>IFERROR(__xludf.DUMMYFUNCTION("split(split(K3417,""【"",false),""公式LINE"",false)"),"広瀬すず、小林聡美、阿部サダヲ、瑛太、田中裕子 ほか一千万円を持ち逃げしたるい子は、いつも謎の女子高生とともに過ごしている。しかし、どうやらその姿はるい子にしか見えていないようで…。ふと娘・玲（江口のりこ）の仕事先を覗いた亜乃音は、下校中の玲の息子・陽人を見かけ束の間の交流をする。一方、ハリカ（広瀬すず）と舵（阿部サダヲ）はるい子を見つけ出しお金を返すよう詰め寄る。やがて、るい子の過去に秘められた理不尽で悲しい現実が明らかになっていく。")</f>
        <v>広瀬すず、小林聡美、阿部サダヲ、瑛太、田中裕子 ほか一千万円を持ち逃げしたるい子は、いつも謎の女子高生とともに過ごしている。しかし、どうやらその姿はるい子にしか見えていないようで…。ふと娘・玲（江口のりこ）の仕事先を覗いた亜乃音は、下校中の玲の息子・陽人を見かけ束の間の交流をする。一方、ハリカ（広瀬すず）と舵（阿部サダヲ）はるい子を見つけ出しお金を返すよう詰め寄る。やがて、るい子の過去に秘められた理不尽で悲しい現実が明らかになっていく。</v>
      </c>
      <c r="N3417" s="2"/>
      <c r="O3417" s="2"/>
      <c r="P3417" s="2"/>
      <c r="Q3417" s="2"/>
      <c r="R3417" s="2"/>
      <c r="S3417" s="2"/>
      <c r="T3417" s="2"/>
      <c r="U3417" s="2"/>
      <c r="V3417" s="2"/>
      <c r="W3417" s="2"/>
      <c r="X3417" s="2"/>
      <c r="Y3417" s="2"/>
      <c r="Z3417" s="2"/>
      <c r="AA3417" s="2"/>
      <c r="AB3417" s="2"/>
      <c r="AC3417" s="2"/>
      <c r="AD3417" s="2"/>
      <c r="AE3417" s="2"/>
      <c r="AF3417" s="2"/>
      <c r="AG3417" s="2"/>
      <c r="AH3417" s="2"/>
      <c r="AI3417" s="2"/>
      <c r="AJ3417" s="2"/>
      <c r="AK3417" s="2"/>
      <c r="AL3417" s="2"/>
      <c r="AM3417" s="2"/>
      <c r="AN3417" s="2"/>
      <c r="AO3417" s="2"/>
      <c r="AP3417" s="2"/>
      <c r="AQ3417" s="2"/>
      <c r="AR3417" s="2"/>
      <c r="AS3417" s="2"/>
      <c r="AT3417" s="2"/>
      <c r="AU3417" s="2"/>
      <c r="AV3417" s="2"/>
      <c r="AW3417" s="2"/>
      <c r="AX3417" s="2"/>
      <c r="AY3417" s="2"/>
      <c r="AZ3417" s="2"/>
      <c r="BA3417" s="2"/>
      <c r="BB3417" s="2"/>
    </row>
    <row r="3418" ht="204.75" customHeight="1">
      <c r="A3418" s="1">
        <v>862.0</v>
      </c>
      <c r="B3418" s="2" t="s">
        <v>10239</v>
      </c>
      <c r="C3418" s="2">
        <f>IFERROR(__xludf.DUMMYFUNCTION("split(B3418,""_"")"),1801.0)</f>
        <v>1801</v>
      </c>
      <c r="D3418" s="2" t="str">
        <f>IFERROR(__xludf.DUMMYFUNCTION("""COMPUTED_VALUE"""),"NTV")</f>
        <v>NTV</v>
      </c>
      <c r="E3418" s="2" t="str">
        <f>IFERROR(__xludf.DUMMYFUNCTION("""COMPUTED_VALUE"""),"水22")</f>
        <v>水22</v>
      </c>
      <c r="F3418" s="2" t="s">
        <v>10240</v>
      </c>
      <c r="G3418" s="2" t="s">
        <v>10253</v>
      </c>
      <c r="H3418" s="1">
        <v>5.0</v>
      </c>
      <c r="I3418" s="1" t="s">
        <v>17</v>
      </c>
      <c r="J3418" s="1" t="s">
        <v>82</v>
      </c>
      <c r="K3418" s="2" t="s">
        <v>10254</v>
      </c>
      <c r="L3418" s="2" t="s">
        <v>10255</v>
      </c>
      <c r="M3418" s="2" t="str">
        <f>IFERROR(__xludf.DUMMYFUNCTION("split(split(K3418,""【"",false),""公式LINE"",false)"),"広瀬すず、小林聡美、阿部サダヲ、瑛太、火野正平、田中裕子 ほか亜乃音（田中裕子）の元には、お金を返すことの出来なくなったるい子（小林聡美）が、舵（阿部サダヲ）とともに謝罪に訪れる。亜乃音は行き場のない二人をどうしても憎み切れず、四人の奇妙な共同生活が始まることに。一方、理市（瑛太）は秘密の別宅で試行錯誤し、両替機を騙すニセ札を完成させる…。彦星がゲームにログインしなくなり不安になったハリカは窓越しに彦星の病室が片付けられているのを見てショックを受け…。")</f>
        <v>広瀬すず、小林聡美、阿部サダヲ、瑛太、火野正平、田中裕子 ほか亜乃音（田中裕子）の元には、お金を返すことの出来なくなったるい子（小林聡美）が、舵（阿部サダヲ）とともに謝罪に訪れる。亜乃音は行き場のない二人をどうしても憎み切れず、四人の奇妙な共同生活が始まることに。一方、理市（瑛太）は秘密の別宅で試行錯誤し、両替機を騙すニセ札を完成させる…。彦星がゲームにログインしなくなり不安になったハリカは窓越しに彦星の病室が片付けられているのを見てショックを受け…。</v>
      </c>
      <c r="N3418" s="2"/>
      <c r="O3418" s="2"/>
      <c r="P3418" s="2"/>
      <c r="Q3418" s="2"/>
      <c r="R3418" s="2"/>
      <c r="S3418" s="2"/>
      <c r="T3418" s="2"/>
      <c r="U3418" s="2"/>
      <c r="V3418" s="2"/>
      <c r="W3418" s="2"/>
      <c r="X3418" s="2"/>
      <c r="Y3418" s="2"/>
      <c r="Z3418" s="2"/>
      <c r="AA3418" s="2"/>
      <c r="AB3418" s="2"/>
      <c r="AC3418" s="2"/>
      <c r="AD3418" s="2"/>
      <c r="AE3418" s="2"/>
      <c r="AF3418" s="2"/>
      <c r="AG3418" s="2"/>
      <c r="AH3418" s="2"/>
      <c r="AI3418" s="2"/>
      <c r="AJ3418" s="2"/>
      <c r="AK3418" s="2"/>
      <c r="AL3418" s="2"/>
      <c r="AM3418" s="2"/>
      <c r="AN3418" s="2"/>
      <c r="AO3418" s="2"/>
      <c r="AP3418" s="2"/>
      <c r="AQ3418" s="2"/>
      <c r="AR3418" s="2"/>
      <c r="AS3418" s="2"/>
      <c r="AT3418" s="2"/>
      <c r="AU3418" s="2"/>
      <c r="AV3418" s="2"/>
      <c r="AW3418" s="2"/>
      <c r="AX3418" s="2"/>
      <c r="AY3418" s="2"/>
      <c r="AZ3418" s="2"/>
      <c r="BA3418" s="2"/>
      <c r="BB3418" s="2"/>
    </row>
    <row r="3419" ht="204.75" customHeight="1">
      <c r="A3419" s="1">
        <v>863.0</v>
      </c>
      <c r="B3419" s="2" t="s">
        <v>10239</v>
      </c>
      <c r="C3419" s="2">
        <f>IFERROR(__xludf.DUMMYFUNCTION("split(B3419,""_"")"),1801.0)</f>
        <v>1801</v>
      </c>
      <c r="D3419" s="2" t="str">
        <f>IFERROR(__xludf.DUMMYFUNCTION("""COMPUTED_VALUE"""),"NTV")</f>
        <v>NTV</v>
      </c>
      <c r="E3419" s="2" t="str">
        <f>IFERROR(__xludf.DUMMYFUNCTION("""COMPUTED_VALUE"""),"水22")</f>
        <v>水22</v>
      </c>
      <c r="F3419" s="2" t="s">
        <v>10240</v>
      </c>
      <c r="G3419" s="2" t="s">
        <v>10256</v>
      </c>
      <c r="H3419" s="1">
        <v>6.0</v>
      </c>
      <c r="I3419" s="1" t="s">
        <v>21</v>
      </c>
      <c r="J3419" s="1" t="s">
        <v>82</v>
      </c>
      <c r="K3419" s="2" t="s">
        <v>10257</v>
      </c>
      <c r="L3419" s="2" t="s">
        <v>10258</v>
      </c>
      <c r="M3419" s="2" t="str">
        <f>IFERROR(__xludf.DUMMYFUNCTION("split(split(K3419,""【"",false),""公式LINE"",false)"),"広瀬すず、小林聡美、阿部サダヲ、江口のりこ、鈴木杏、瑛太、火野正平、田中裕子 ほか亜乃音（田中裕子）たちは理市（瑛太）から印刷所の機械を使いニセ札を作るよう迫られる。ハリカ（広瀬すず）とるい子(小林聡美)、舵(阿部サダヲ)は亜乃音のために理市を突っぱねつつも、それぞれ心の内には思うところがあって…。かつてお金によって人生を狂わされた理市の不気味な導きによって、四人はニセ札作りの道へ引き込まれようとしていた…")</f>
        <v>広瀬すず、小林聡美、阿部サダヲ、江口のりこ、鈴木杏、瑛太、火野正平、田中裕子 ほか亜乃音（田中裕子）たちは理市（瑛太）から印刷所の機械を使いニセ札を作るよう迫られる。ハリカ（広瀬すず）とるい子(小林聡美)、舵(阿部サダヲ)は亜乃音のために理市を突っぱねつつも、それぞれ心の内には思うところがあって…。かつてお金によって人生を狂わされた理市の不気味な導きによって、四人はニセ札作りの道へ引き込まれようとしていた…</v>
      </c>
      <c r="N3419" s="2"/>
      <c r="O3419" s="2"/>
      <c r="P3419" s="2"/>
      <c r="Q3419" s="2"/>
      <c r="R3419" s="2"/>
      <c r="S3419" s="2"/>
      <c r="T3419" s="2"/>
      <c r="U3419" s="2"/>
      <c r="V3419" s="2"/>
      <c r="W3419" s="2"/>
      <c r="X3419" s="2"/>
      <c r="Y3419" s="2"/>
      <c r="Z3419" s="2"/>
      <c r="AA3419" s="2"/>
      <c r="AB3419" s="2"/>
      <c r="AC3419" s="2"/>
      <c r="AD3419" s="2"/>
      <c r="AE3419" s="2"/>
      <c r="AF3419" s="2"/>
      <c r="AG3419" s="2"/>
      <c r="AH3419" s="2"/>
      <c r="AI3419" s="2"/>
      <c r="AJ3419" s="2"/>
      <c r="AK3419" s="2"/>
      <c r="AL3419" s="2"/>
      <c r="AM3419" s="2"/>
      <c r="AN3419" s="2"/>
      <c r="AO3419" s="2"/>
      <c r="AP3419" s="2"/>
      <c r="AQ3419" s="2"/>
      <c r="AR3419" s="2"/>
      <c r="AS3419" s="2"/>
      <c r="AT3419" s="2"/>
      <c r="AU3419" s="2"/>
      <c r="AV3419" s="2"/>
      <c r="AW3419" s="2"/>
      <c r="AX3419" s="2"/>
      <c r="AY3419" s="2"/>
      <c r="AZ3419" s="2"/>
      <c r="BA3419" s="2"/>
      <c r="BB3419" s="2"/>
    </row>
    <row r="3420" ht="204.75" customHeight="1">
      <c r="A3420" s="1">
        <v>864.0</v>
      </c>
      <c r="B3420" s="2" t="s">
        <v>10239</v>
      </c>
      <c r="C3420" s="2">
        <f>IFERROR(__xludf.DUMMYFUNCTION("split(B3420,""_"")"),1801.0)</f>
        <v>1801</v>
      </c>
      <c r="D3420" s="2" t="str">
        <f>IFERROR(__xludf.DUMMYFUNCTION("""COMPUTED_VALUE"""),"NTV")</f>
        <v>NTV</v>
      </c>
      <c r="E3420" s="2" t="str">
        <f>IFERROR(__xludf.DUMMYFUNCTION("""COMPUTED_VALUE"""),"水22")</f>
        <v>水22</v>
      </c>
      <c r="F3420" s="2" t="s">
        <v>10240</v>
      </c>
      <c r="G3420" s="2" t="s">
        <v>10259</v>
      </c>
      <c r="H3420" s="1">
        <v>7.0</v>
      </c>
      <c r="I3420" s="1" t="s">
        <v>25</v>
      </c>
      <c r="J3420" s="1" t="s">
        <v>82</v>
      </c>
      <c r="K3420" s="2" t="s">
        <v>10260</v>
      </c>
      <c r="L3420" s="2" t="s">
        <v>10261</v>
      </c>
      <c r="M3420" s="2" t="str">
        <f>IFERROR(__xludf.DUMMYFUNCTION("split(split(K3420,""【"",false),""公式LINE"",false)"),"広瀬すず、小林聡美、阿部サダヲ、江口のりこ、鈴木杏、瑛太、火野正平、田中裕子 ほか理市（瑛太）に脅迫され亜乃音（田中裕子）はニセ札作りへの協力を決意する。るい子（小林聡美）と舵（阿部サダヲ）も協力を申し出る中、ハリカ（広瀬すず）を巻き込みたくない亜乃音はそのことをハリカにだけは隠すことに…。しかしハリカが彦星（清水尋也）の治療のために大金を必要としていると知った亜乃音は、ニセ札作りに惹かれるハリカを諭しながらも心の内に葛藤を抱え…。")</f>
        <v>広瀬すず、小林聡美、阿部サダヲ、江口のりこ、鈴木杏、瑛太、火野正平、田中裕子 ほか理市（瑛太）に脅迫され亜乃音（田中裕子）はニセ札作りへの協力を決意する。るい子（小林聡美）と舵（阿部サダヲ）も協力を申し出る中、ハリカ（広瀬すず）を巻き込みたくない亜乃音はそのことをハリカにだけは隠すことに…。しかしハリカが彦星（清水尋也）の治療のために大金を必要としていると知った亜乃音は、ニセ札作りに惹かれるハリカを諭しながらも心の内に葛藤を抱え…。</v>
      </c>
      <c r="N3420" s="2"/>
      <c r="O3420" s="2"/>
      <c r="P3420" s="2"/>
      <c r="Q3420" s="2"/>
      <c r="R3420" s="2"/>
      <c r="S3420" s="2"/>
      <c r="T3420" s="2"/>
      <c r="U3420" s="2"/>
      <c r="V3420" s="2"/>
      <c r="W3420" s="2"/>
      <c r="X3420" s="2"/>
      <c r="Y3420" s="2"/>
      <c r="Z3420" s="2"/>
      <c r="AA3420" s="2"/>
      <c r="AB3420" s="2"/>
      <c r="AC3420" s="2"/>
      <c r="AD3420" s="2"/>
      <c r="AE3420" s="2"/>
      <c r="AF3420" s="2"/>
      <c r="AG3420" s="2"/>
      <c r="AH3420" s="2"/>
      <c r="AI3420" s="2"/>
      <c r="AJ3420" s="2"/>
      <c r="AK3420" s="2"/>
      <c r="AL3420" s="2"/>
      <c r="AM3420" s="2"/>
      <c r="AN3420" s="2"/>
      <c r="AO3420" s="2"/>
      <c r="AP3420" s="2"/>
      <c r="AQ3420" s="2"/>
      <c r="AR3420" s="2"/>
      <c r="AS3420" s="2"/>
      <c r="AT3420" s="2"/>
      <c r="AU3420" s="2"/>
      <c r="AV3420" s="2"/>
      <c r="AW3420" s="2"/>
      <c r="AX3420" s="2"/>
      <c r="AY3420" s="2"/>
      <c r="AZ3420" s="2"/>
      <c r="BA3420" s="2"/>
      <c r="BB3420" s="2"/>
    </row>
    <row r="3421" ht="204.75" customHeight="1">
      <c r="A3421" s="1">
        <v>865.0</v>
      </c>
      <c r="B3421" s="2" t="s">
        <v>10239</v>
      </c>
      <c r="C3421" s="2">
        <f>IFERROR(__xludf.DUMMYFUNCTION("split(B3421,""_"")"),1801.0)</f>
        <v>1801</v>
      </c>
      <c r="D3421" s="2" t="str">
        <f>IFERROR(__xludf.DUMMYFUNCTION("""COMPUTED_VALUE"""),"NTV")</f>
        <v>NTV</v>
      </c>
      <c r="E3421" s="2" t="str">
        <f>IFERROR(__xludf.DUMMYFUNCTION("""COMPUTED_VALUE"""),"水22")</f>
        <v>水22</v>
      </c>
      <c r="F3421" s="2" t="s">
        <v>10240</v>
      </c>
      <c r="G3421" s="2" t="s">
        <v>10262</v>
      </c>
      <c r="H3421" s="1">
        <v>8.0</v>
      </c>
      <c r="I3421" s="1" t="s">
        <v>29</v>
      </c>
      <c r="J3421" s="1" t="s">
        <v>82</v>
      </c>
      <c r="K3421" s="2" t="s">
        <v>10263</v>
      </c>
      <c r="L3421" s="2" t="s">
        <v>10264</v>
      </c>
      <c r="M3421" s="2" t="str">
        <f>IFERROR(__xludf.DUMMYFUNCTION("split(split(K3421,""【"",false),""公式LINE"",false)"),"広瀬すず、小林聡美、阿部サダヲ、江口のりこ、鈴木杏、瑛太、火野正平、田中裕子 ほか万平（火野正平）は、このところ亜乃音（田中裕子）の様子がおかしいと疑い、行動を監視する。そんな中、ニセ千円札を自動販売機に通すことに成功したハリカ（広瀬すず）たちは、ついジュースを買ってしまい、試作のニセ札を回収するべく自動販売機の管理をしている酒屋でニセ札を取り返そうとする。一方チャットゲーム上で彦星（清水尋也）に話しかけたハリカは、返信してきた香澄（藤井武美）に呼び出され…。")</f>
        <v>広瀬すず、小林聡美、阿部サダヲ、江口のりこ、鈴木杏、瑛太、火野正平、田中裕子 ほか万平（火野正平）は、このところ亜乃音（田中裕子）の様子がおかしいと疑い、行動を監視する。そんな中、ニセ千円札を自動販売機に通すことに成功したハリカ（広瀬すず）たちは、ついジュースを買ってしまい、試作のニセ札を回収するべく自動販売機の管理をしている酒屋でニセ札を取り返そうとする。一方チャットゲーム上で彦星（清水尋也）に話しかけたハリカは、返信してきた香澄（藤井武美）に呼び出され…。</v>
      </c>
      <c r="N3421" s="2"/>
      <c r="O3421" s="2"/>
      <c r="P3421" s="2"/>
      <c r="Q3421" s="2"/>
      <c r="R3421" s="2"/>
      <c r="S3421" s="2"/>
      <c r="T3421" s="2"/>
      <c r="U3421" s="2"/>
      <c r="V3421" s="2"/>
      <c r="W3421" s="2"/>
      <c r="X3421" s="2"/>
      <c r="Y3421" s="2"/>
      <c r="Z3421" s="2"/>
      <c r="AA3421" s="2"/>
      <c r="AB3421" s="2"/>
      <c r="AC3421" s="2"/>
      <c r="AD3421" s="2"/>
      <c r="AE3421" s="2"/>
      <c r="AF3421" s="2"/>
      <c r="AG3421" s="2"/>
      <c r="AH3421" s="2"/>
      <c r="AI3421" s="2"/>
      <c r="AJ3421" s="2"/>
      <c r="AK3421" s="2"/>
      <c r="AL3421" s="2"/>
      <c r="AM3421" s="2"/>
      <c r="AN3421" s="2"/>
      <c r="AO3421" s="2"/>
      <c r="AP3421" s="2"/>
      <c r="AQ3421" s="2"/>
      <c r="AR3421" s="2"/>
      <c r="AS3421" s="2"/>
      <c r="AT3421" s="2"/>
      <c r="AU3421" s="2"/>
      <c r="AV3421" s="2"/>
      <c r="AW3421" s="2"/>
      <c r="AX3421" s="2"/>
      <c r="AY3421" s="2"/>
      <c r="AZ3421" s="2"/>
      <c r="BA3421" s="2"/>
      <c r="BB3421" s="2"/>
    </row>
    <row r="3422" ht="204.75" customHeight="1">
      <c r="A3422" s="1">
        <v>866.0</v>
      </c>
      <c r="B3422" s="2" t="s">
        <v>10239</v>
      </c>
      <c r="C3422" s="2">
        <f>IFERROR(__xludf.DUMMYFUNCTION("split(B3422,""_"")"),1801.0)</f>
        <v>1801</v>
      </c>
      <c r="D3422" s="2" t="str">
        <f>IFERROR(__xludf.DUMMYFUNCTION("""COMPUTED_VALUE"""),"NTV")</f>
        <v>NTV</v>
      </c>
      <c r="E3422" s="2" t="str">
        <f>IFERROR(__xludf.DUMMYFUNCTION("""COMPUTED_VALUE"""),"水22")</f>
        <v>水22</v>
      </c>
      <c r="F3422" s="2" t="s">
        <v>10240</v>
      </c>
      <c r="G3422" s="2" t="s">
        <v>10265</v>
      </c>
      <c r="H3422" s="1">
        <v>9.0</v>
      </c>
      <c r="I3422" s="1" t="s">
        <v>33</v>
      </c>
      <c r="J3422" s="1" t="s">
        <v>82</v>
      </c>
      <c r="K3422" s="2" t="s">
        <v>10266</v>
      </c>
      <c r="L3422" s="2" t="s">
        <v>10267</v>
      </c>
      <c r="M3422" s="2" t="str">
        <f>IFERROR(__xludf.DUMMYFUNCTION("split(split(K3422,""【"",false),""公式LINE"",false)"),"広瀬すず、小林聡美、阿部サダヲ、江口のりこ、鈴木杏、瑛太、火野正平、田中裕子 ほかATMで理市（瑛太）が試し、返却されなかったニセ札が元で事件は明るみに、警察の捜査が進むことに。理市の妻・結季（鈴木杏）は、ニュースに流れる防犯カメラに映った映像の男が自分の夫だと確信していた。そんな中、ハリカ（広瀬すず）は彦星（清水尋也）から直接会いたいと言われ、亜乃音（田中裕子）にプレゼントされたワンピースを着て出かけるのだが…。")</f>
        <v>広瀬すず、小林聡美、阿部サダヲ、江口のりこ、鈴木杏、瑛太、火野正平、田中裕子 ほかATMで理市（瑛太）が試し、返却されなかったニセ札が元で事件は明るみに、警察の捜査が進むことに。理市の妻・結季（鈴木杏）は、ニュースに流れる防犯カメラに映った映像の男が自分の夫だと確信していた。そんな中、ハリカ（広瀬すず）は彦星（清水尋也）から直接会いたいと言われ、亜乃音（田中裕子）にプレゼントされたワンピースを着て出かけるのだが…。</v>
      </c>
      <c r="N3422" s="2"/>
      <c r="O3422" s="2"/>
      <c r="P3422" s="2"/>
      <c r="Q3422" s="2"/>
      <c r="R3422" s="2"/>
      <c r="S3422" s="2"/>
      <c r="T3422" s="2"/>
      <c r="U3422" s="2"/>
      <c r="V3422" s="2"/>
      <c r="W3422" s="2"/>
      <c r="X3422" s="2"/>
      <c r="Y3422" s="2"/>
      <c r="Z3422" s="2"/>
      <c r="AA3422" s="2"/>
      <c r="AB3422" s="2"/>
      <c r="AC3422" s="2"/>
      <c r="AD3422" s="2"/>
      <c r="AE3422" s="2"/>
      <c r="AF3422" s="2"/>
      <c r="AG3422" s="2"/>
      <c r="AH3422" s="2"/>
      <c r="AI3422" s="2"/>
      <c r="AJ3422" s="2"/>
      <c r="AK3422" s="2"/>
      <c r="AL3422" s="2"/>
      <c r="AM3422" s="2"/>
      <c r="AN3422" s="2"/>
      <c r="AO3422" s="2"/>
      <c r="AP3422" s="2"/>
      <c r="AQ3422" s="2"/>
      <c r="AR3422" s="2"/>
      <c r="AS3422" s="2"/>
      <c r="AT3422" s="2"/>
      <c r="AU3422" s="2"/>
      <c r="AV3422" s="2"/>
      <c r="AW3422" s="2"/>
      <c r="AX3422" s="2"/>
      <c r="AY3422" s="2"/>
      <c r="AZ3422" s="2"/>
      <c r="BA3422" s="2"/>
      <c r="BB3422" s="2"/>
    </row>
    <row r="3423" ht="204.75" customHeight="1">
      <c r="A3423" s="1">
        <v>867.0</v>
      </c>
      <c r="B3423" s="2" t="s">
        <v>10239</v>
      </c>
      <c r="C3423" s="2">
        <f>IFERROR(__xludf.DUMMYFUNCTION("split(B3423,""_"")"),1801.0)</f>
        <v>1801</v>
      </c>
      <c r="D3423" s="2" t="str">
        <f>IFERROR(__xludf.DUMMYFUNCTION("""COMPUTED_VALUE"""),"NTV")</f>
        <v>NTV</v>
      </c>
      <c r="E3423" s="2" t="str">
        <f>IFERROR(__xludf.DUMMYFUNCTION("""COMPUTED_VALUE"""),"水22")</f>
        <v>水22</v>
      </c>
      <c r="F3423" s="2" t="s">
        <v>10240</v>
      </c>
      <c r="G3423" s="2" t="s">
        <v>10268</v>
      </c>
      <c r="H3423" s="1">
        <v>10.0</v>
      </c>
      <c r="I3423" s="1" t="s">
        <v>37</v>
      </c>
      <c r="J3423" s="1" t="s">
        <v>82</v>
      </c>
      <c r="K3423" s="2" t="s">
        <v>10269</v>
      </c>
      <c r="L3423" s="2" t="s">
        <v>10270</v>
      </c>
      <c r="M3423" s="2" t="str">
        <f>IFERROR(__xludf.DUMMYFUNCTION("split(split(K3423,""【"",false),""公式LINE"",false)"),"広瀬すず、小林聡美、阿部サダヲ、清水尋也、江口のりこ、瑛太、火野正平、田中裕子 ほか一片のニセ札を見つけられ、警察に連行された亜乃音のその後は…。悲しい嘘で別れを告げたハリカ（広瀬すず）と彦星（清水尋也）はこのまま悲恋に終わるのか…。ニセ札を持って逃亡を図った中世古（瑛太）の行方は…。持本（阿部サダヲ）のわずかな余命、それを看取る決意をした青羽（小林聡美）、ふたりの運命は…。すべての物語は、この結末のためにあった。")</f>
        <v>広瀬すず、小林聡美、阿部サダヲ、清水尋也、江口のりこ、瑛太、火野正平、田中裕子 ほか一片のニセ札を見つけられ、警察に連行された亜乃音のその後は…。悲しい嘘で別れを告げたハリカ（広瀬すず）と彦星（清水尋也）はこのまま悲恋に終わるのか…。ニセ札を持って逃亡を図った中世古（瑛太）の行方は…。持本（阿部サダヲ）のわずかな余命、それを看取る決意をした青羽（小林聡美）、ふたりの運命は…。すべての物語は、この結末のためにあった。</v>
      </c>
      <c r="N3423" s="2"/>
      <c r="O3423" s="2"/>
      <c r="P3423" s="2"/>
      <c r="Q3423" s="2"/>
      <c r="R3423" s="2"/>
      <c r="S3423" s="2"/>
      <c r="T3423" s="2"/>
      <c r="U3423" s="2"/>
      <c r="V3423" s="2"/>
      <c r="W3423" s="2"/>
      <c r="X3423" s="2"/>
      <c r="Y3423" s="2"/>
      <c r="Z3423" s="2"/>
      <c r="AA3423" s="2"/>
      <c r="AB3423" s="2"/>
      <c r="AC3423" s="2"/>
      <c r="AD3423" s="2"/>
      <c r="AE3423" s="2"/>
      <c r="AF3423" s="2"/>
      <c r="AG3423" s="2"/>
      <c r="AH3423" s="2"/>
      <c r="AI3423" s="2"/>
      <c r="AJ3423" s="2"/>
      <c r="AK3423" s="2"/>
      <c r="AL3423" s="2"/>
      <c r="AM3423" s="2"/>
      <c r="AN3423" s="2"/>
      <c r="AO3423" s="2"/>
      <c r="AP3423" s="2"/>
      <c r="AQ3423" s="2"/>
      <c r="AR3423" s="2"/>
      <c r="AS3423" s="2"/>
      <c r="AT3423" s="2"/>
      <c r="AU3423" s="2"/>
      <c r="AV3423" s="2"/>
      <c r="AW3423" s="2"/>
      <c r="AX3423" s="2"/>
      <c r="AY3423" s="2"/>
      <c r="AZ3423" s="2"/>
      <c r="BA3423" s="2"/>
      <c r="BB3423" s="2"/>
    </row>
    <row r="3424" ht="204.75" customHeight="1">
      <c r="A3424" s="1">
        <v>887.0</v>
      </c>
      <c r="B3424" s="2" t="s">
        <v>10271</v>
      </c>
      <c r="C3424" s="2">
        <f>IFERROR(__xludf.DUMMYFUNCTION("split(B3424,""_"")"),1801.0)</f>
        <v>1801</v>
      </c>
      <c r="D3424" s="2" t="str">
        <f>IFERROR(__xludf.DUMMYFUNCTION("""COMPUTED_VALUE"""),"NTV")</f>
        <v>NTV</v>
      </c>
      <c r="E3424" s="2" t="str">
        <f>IFERROR(__xludf.DUMMYFUNCTION("""COMPUTED_VALUE"""),"木23")</f>
        <v>木23</v>
      </c>
      <c r="F3424" s="2" t="s">
        <v>10272</v>
      </c>
      <c r="G3424" s="2" t="s">
        <v>10273</v>
      </c>
      <c r="H3424" s="1">
        <v>1.0</v>
      </c>
      <c r="J3424" s="1" t="s">
        <v>1435</v>
      </c>
      <c r="K3424" s="2" t="s">
        <v>10274</v>
      </c>
      <c r="L3424" s="2" t="s">
        <v>10275</v>
      </c>
      <c r="M3424" s="2" t="str">
        <f>IFERROR(__xludf.DUMMYFUNCTION("split(split(K3424,""【"",false),""公式LINE"",false)"),"篠崎鮎美…貫地谷しほり  毛利圭介…本郷奏多  天童太郎…ゴリ（ガレッジセール)  町田由子…島崎遥香  郷原俊樹…清水圭  高橋和彦…福田転球  坪井要…猪野広樹  久瀬一樹…松田悟志  横沢佐知子…手塚理美  大森知恵…安達祐実(特別出演)  風間…六角精児図書館司書の鮎美（貫地谷しほり）のもとに男から「１時間後に地震が起きる」と電話があった。悪戯かと思ったが予言通りに地震が起こる。男は「風間」（六角精児）と名乗り「未来から過去のある時点へと戻っているので未来に起きることを既に知っている」と言う。風間"&amp;"はこの時間旅行に鮎美をゲストとして誘う。そして、鮎美、圭介(本郷奏多)、天童(ゴリ)を含めた男女8人で10か月前へ遡る『リピート』の旅へ出る事になるが…")</f>
        <v>篠崎鮎美…貫地谷しほり  毛利圭介…本郷奏多  天童太郎…ゴリ（ガレッジセール)  町田由子…島崎遥香  郷原俊樹…清水圭  高橋和彦…福田転球  坪井要…猪野広樹  久瀬一樹…松田悟志  横沢佐知子…手塚理美  大森知恵…安達祐実(特別出演)  風間…六角精児図書館司書の鮎美（貫地谷しほり）のもとに男から「１時間後に地震が起きる」と電話があった。悪戯かと思ったが予言通りに地震が起こる。男は「風間」（六角精児）と名乗り「未来から過去のある時点へと戻っているので未来に起きることを既に知っている」と言う。風間はこの時間旅行に鮎美をゲストとして誘う。そして、鮎美、圭介(本郷奏多)、天童(ゴリ)を含めた男女8人で10か月前へ遡る『リピート』の旅へ出る事になるが…</v>
      </c>
      <c r="N3424" s="2"/>
      <c r="O3424" s="2"/>
      <c r="P3424" s="2"/>
      <c r="Q3424" s="2"/>
      <c r="R3424" s="2"/>
      <c r="S3424" s="2"/>
      <c r="T3424" s="2"/>
      <c r="U3424" s="2"/>
      <c r="V3424" s="2"/>
      <c r="W3424" s="2"/>
      <c r="X3424" s="2"/>
      <c r="Y3424" s="2"/>
      <c r="Z3424" s="2"/>
      <c r="AA3424" s="2"/>
      <c r="AB3424" s="2"/>
      <c r="AC3424" s="2"/>
      <c r="AD3424" s="2"/>
      <c r="AE3424" s="2"/>
      <c r="AF3424" s="2"/>
      <c r="AG3424" s="2"/>
      <c r="AH3424" s="2"/>
      <c r="AI3424" s="2"/>
      <c r="AJ3424" s="2"/>
      <c r="AK3424" s="2"/>
      <c r="AL3424" s="2"/>
      <c r="AM3424" s="2"/>
      <c r="AN3424" s="2"/>
      <c r="AO3424" s="2"/>
      <c r="AP3424" s="2"/>
      <c r="AQ3424" s="2"/>
      <c r="AR3424" s="2"/>
      <c r="AS3424" s="2"/>
      <c r="AT3424" s="2"/>
      <c r="AU3424" s="2"/>
      <c r="AV3424" s="2"/>
      <c r="AW3424" s="2"/>
      <c r="AX3424" s="2"/>
      <c r="AY3424" s="2"/>
      <c r="AZ3424" s="2"/>
      <c r="BA3424" s="2"/>
      <c r="BB3424" s="2"/>
    </row>
    <row r="3425" ht="204.75" customHeight="1">
      <c r="A3425" s="1">
        <v>888.0</v>
      </c>
      <c r="B3425" s="2" t="s">
        <v>10271</v>
      </c>
      <c r="C3425" s="2">
        <f>IFERROR(__xludf.DUMMYFUNCTION("split(B3425,""_"")"),1801.0)</f>
        <v>1801</v>
      </c>
      <c r="D3425" s="2" t="str">
        <f>IFERROR(__xludf.DUMMYFUNCTION("""COMPUTED_VALUE"""),"NTV")</f>
        <v>NTV</v>
      </c>
      <c r="E3425" s="2" t="str">
        <f>IFERROR(__xludf.DUMMYFUNCTION("""COMPUTED_VALUE"""),"木23")</f>
        <v>木23</v>
      </c>
      <c r="F3425" s="2" t="s">
        <v>10272</v>
      </c>
      <c r="G3425" s="2" t="s">
        <v>10276</v>
      </c>
      <c r="H3425" s="1">
        <v>2.0</v>
      </c>
      <c r="J3425" s="1" t="s">
        <v>1435</v>
      </c>
      <c r="K3425" s="2" t="s">
        <v>10277</v>
      </c>
      <c r="L3425" s="2" t="s">
        <v>10278</v>
      </c>
      <c r="M3425" s="2" t="str">
        <f>IFERROR(__xludf.DUMMYFUNCTION("split(split(K3425,""【"",false),""公式LINE"",false)"),"篠崎鮎美…貫地谷しほり  毛利圭介…本郷奏多  天童太郎…ゴリ（ガレッジセール)  町田由子…島崎遥香  郷原俊樹…清水圭  高橋和彦…福田転球  坪井要…猪野広樹  久瀬一樹…松田悟志  横沢佐知子…手塚理美  大森知恵…安達祐実(特別出演)  風間…六角精児第２話も、衝撃の大どんでん返し！リピートした仲間の１人が、直後に不慮の事故で亡くなった。それでも篠崎鮎美（貫地谷しほり）はリピートを利用して結婚話を順調に進め、毛利圭介（本郷奏多）も過去のトラブルを回避しようとしていた。そんな折、前の世界では起きて"&amp;"いなかった出来事が次々と起こり始め、事態は思わぬ展開に…。「裏切り・壊された夢・束縛」、鮎美や圭介は、２度目の人生でも運命を変えることはできないのか?")</f>
        <v>篠崎鮎美…貫地谷しほり  毛利圭介…本郷奏多  天童太郎…ゴリ（ガレッジセール)  町田由子…島崎遥香  郷原俊樹…清水圭  高橋和彦…福田転球  坪井要…猪野広樹  久瀬一樹…松田悟志  横沢佐知子…手塚理美  大森知恵…安達祐実(特別出演)  風間…六角精児第２話も、衝撃の大どんでん返し！リピートした仲間の１人が、直後に不慮の事故で亡くなった。それでも篠崎鮎美（貫地谷しほり）はリピートを利用して結婚話を順調に進め、毛利圭介（本郷奏多）も過去のトラブルを回避しようとしていた。そんな折、前の世界では起きていなかった出来事が次々と起こり始め、事態は思わぬ展開に…。「裏切り・壊された夢・束縛」、鮎美や圭介は、２度目の人生でも運命を変えることはできないのか?</v>
      </c>
      <c r="N3425" s="2"/>
      <c r="O3425" s="2"/>
      <c r="P3425" s="2"/>
      <c r="Q3425" s="2"/>
      <c r="R3425" s="2"/>
      <c r="S3425" s="2"/>
      <c r="T3425" s="2"/>
      <c r="U3425" s="2"/>
      <c r="V3425" s="2"/>
      <c r="W3425" s="2"/>
      <c r="X3425" s="2"/>
      <c r="Y3425" s="2"/>
      <c r="Z3425" s="2"/>
      <c r="AA3425" s="2"/>
      <c r="AB3425" s="2"/>
      <c r="AC3425" s="2"/>
      <c r="AD3425" s="2"/>
      <c r="AE3425" s="2"/>
      <c r="AF3425" s="2"/>
      <c r="AG3425" s="2"/>
      <c r="AH3425" s="2"/>
      <c r="AI3425" s="2"/>
      <c r="AJ3425" s="2"/>
      <c r="AK3425" s="2"/>
      <c r="AL3425" s="2"/>
      <c r="AM3425" s="2"/>
      <c r="AN3425" s="2"/>
      <c r="AO3425" s="2"/>
      <c r="AP3425" s="2"/>
      <c r="AQ3425" s="2"/>
      <c r="AR3425" s="2"/>
      <c r="AS3425" s="2"/>
      <c r="AT3425" s="2"/>
      <c r="AU3425" s="2"/>
      <c r="AV3425" s="2"/>
      <c r="AW3425" s="2"/>
      <c r="AX3425" s="2"/>
      <c r="AY3425" s="2"/>
      <c r="AZ3425" s="2"/>
      <c r="BA3425" s="2"/>
      <c r="BB3425" s="2"/>
    </row>
    <row r="3426" ht="204.75" customHeight="1">
      <c r="A3426" s="1">
        <v>889.0</v>
      </c>
      <c r="B3426" s="2" t="s">
        <v>10271</v>
      </c>
      <c r="C3426" s="2">
        <f>IFERROR(__xludf.DUMMYFUNCTION("split(B3426,""_"")"),1801.0)</f>
        <v>1801</v>
      </c>
      <c r="D3426" s="2" t="str">
        <f>IFERROR(__xludf.DUMMYFUNCTION("""COMPUTED_VALUE"""),"NTV")</f>
        <v>NTV</v>
      </c>
      <c r="E3426" s="2" t="str">
        <f>IFERROR(__xludf.DUMMYFUNCTION("""COMPUTED_VALUE"""),"木23")</f>
        <v>木23</v>
      </c>
      <c r="F3426" s="2" t="s">
        <v>10272</v>
      </c>
      <c r="G3426" s="2" t="s">
        <v>10279</v>
      </c>
      <c r="H3426" s="1">
        <v>3.0</v>
      </c>
      <c r="J3426" s="1" t="s">
        <v>1435</v>
      </c>
      <c r="K3426" s="2" t="s">
        <v>10280</v>
      </c>
      <c r="L3426" s="2" t="s">
        <v>10281</v>
      </c>
      <c r="M3426" s="2" t="str">
        <f>IFERROR(__xludf.DUMMYFUNCTION("split(split(K3426,""【"",false),""公式LINE"",false)"),"篠崎鮎美…貫地谷しほり  毛利圭介…本郷奏多  天童太郎…ゴリ（ガレッジセール)  町田由子…島崎遥香  郷原俊樹…清水圭  坪井要…猪野広樹  久瀬一樹…松田悟志  大森知恵…安達祐実(特別出演)  風間…六角精児    ")</f>
        <v>篠崎鮎美…貫地谷しほり  毛利圭介…本郷奏多  天童太郎…ゴリ（ガレッジセール)  町田由子…島崎遥香  郷原俊樹…清水圭  坪井要…猪野広樹  久瀬一樹…松田悟志  大森知恵…安達祐実(特別出演)  風間…六角精児    </v>
      </c>
      <c r="N3426" s="2"/>
      <c r="O3426" s="2"/>
      <c r="P3426" s="2"/>
      <c r="Q3426" s="2"/>
      <c r="R3426" s="2"/>
      <c r="S3426" s="2"/>
      <c r="T3426" s="2"/>
      <c r="U3426" s="2"/>
      <c r="V3426" s="2"/>
      <c r="W3426" s="2"/>
      <c r="X3426" s="2"/>
      <c r="Y3426" s="2"/>
      <c r="Z3426" s="2"/>
      <c r="AA3426" s="2"/>
      <c r="AB3426" s="2"/>
      <c r="AC3426" s="2"/>
      <c r="AD3426" s="2"/>
      <c r="AE3426" s="2"/>
      <c r="AF3426" s="2"/>
      <c r="AG3426" s="2"/>
      <c r="AH3426" s="2"/>
      <c r="AI3426" s="2"/>
      <c r="AJ3426" s="2"/>
      <c r="AK3426" s="2"/>
      <c r="AL3426" s="2"/>
      <c r="AM3426" s="2"/>
      <c r="AN3426" s="2"/>
      <c r="AO3426" s="2"/>
      <c r="AP3426" s="2"/>
      <c r="AQ3426" s="2"/>
      <c r="AR3426" s="2"/>
      <c r="AS3426" s="2"/>
      <c r="AT3426" s="2"/>
      <c r="AU3426" s="2"/>
      <c r="AV3426" s="2"/>
      <c r="AW3426" s="2"/>
      <c r="AX3426" s="2"/>
      <c r="AY3426" s="2"/>
      <c r="AZ3426" s="2"/>
      <c r="BA3426" s="2"/>
      <c r="BB3426" s="2"/>
    </row>
    <row r="3427" ht="204.75" customHeight="1">
      <c r="A3427" s="1">
        <v>890.0</v>
      </c>
      <c r="B3427" s="2" t="s">
        <v>10271</v>
      </c>
      <c r="C3427" s="2">
        <f>IFERROR(__xludf.DUMMYFUNCTION("split(B3427,""_"")"),1801.0)</f>
        <v>1801</v>
      </c>
      <c r="D3427" s="2" t="str">
        <f>IFERROR(__xludf.DUMMYFUNCTION("""COMPUTED_VALUE"""),"NTV")</f>
        <v>NTV</v>
      </c>
      <c r="E3427" s="2" t="str">
        <f>IFERROR(__xludf.DUMMYFUNCTION("""COMPUTED_VALUE"""),"木23")</f>
        <v>木23</v>
      </c>
      <c r="F3427" s="2" t="s">
        <v>10272</v>
      </c>
      <c r="G3427" s="2" t="s">
        <v>10282</v>
      </c>
      <c r="H3427" s="1">
        <v>4.0</v>
      </c>
      <c r="J3427" s="1" t="s">
        <v>1435</v>
      </c>
      <c r="K3427" s="2" t="s">
        <v>10283</v>
      </c>
      <c r="L3427" s="2" t="s">
        <v>10284</v>
      </c>
      <c r="M3427" s="2" t="str">
        <f>IFERROR(__xludf.DUMMYFUNCTION("split(split(K3427,""【"",false),""公式LINE"",false)"),"篠崎鮎美…貫地谷しほり  毛利圭介…本郷奏多  天童太郎…ゴリ（ガレッジセール)  町田由子…島崎遥香  郷原俊樹…清水圭  坪井要…猪野広樹  大森知恵…安達祐実(特別出演)  風間…六角精児天童太郎（ゴリ）の息子の事故死は避けられたが、運命の皮肉なのか、別の少年が亡くなってしまう。ショックを受ける天童と篠崎鮎美（貫地谷しほり）に毛利圭介（本郷奏多）は「リピートは悪いことばかりじゃない」というが…。そんな折、リピート仲間の郷原（清水圭）と坪井（猪野広樹）が路上で揉めていて、その後思わぬ事件が発生する。一"&amp;"方、鮎美は図書館で勤務中、夏目漱石を勉強していると話す見知らぬ女子大生と出会う。")</f>
        <v>篠崎鮎美…貫地谷しほり  毛利圭介…本郷奏多  天童太郎…ゴリ（ガレッジセール)  町田由子…島崎遥香  郷原俊樹…清水圭  坪井要…猪野広樹  大森知恵…安達祐実(特別出演)  風間…六角精児天童太郎（ゴリ）の息子の事故死は避けられたが、運命の皮肉なのか、別の少年が亡くなってしまう。ショックを受ける天童と篠崎鮎美（貫地谷しほり）に毛利圭介（本郷奏多）は「リピートは悪いことばかりじゃない」というが…。そんな折、リピート仲間の郷原（清水圭）と坪井（猪野広樹）が路上で揉めていて、その後思わぬ事件が発生する。一方、鮎美は図書館で勤務中、夏目漱石を勉強していると話す見知らぬ女子大生と出会う。</v>
      </c>
      <c r="N3427" s="2"/>
      <c r="O3427" s="2"/>
      <c r="P3427" s="2"/>
      <c r="Q3427" s="2"/>
      <c r="R3427" s="2"/>
      <c r="S3427" s="2"/>
      <c r="T3427" s="2"/>
      <c r="U3427" s="2"/>
      <c r="V3427" s="2"/>
      <c r="W3427" s="2"/>
      <c r="X3427" s="2"/>
      <c r="Y3427" s="2"/>
      <c r="Z3427" s="2"/>
      <c r="AA3427" s="2"/>
      <c r="AB3427" s="2"/>
      <c r="AC3427" s="2"/>
      <c r="AD3427" s="2"/>
      <c r="AE3427" s="2"/>
      <c r="AF3427" s="2"/>
      <c r="AG3427" s="2"/>
      <c r="AH3427" s="2"/>
      <c r="AI3427" s="2"/>
      <c r="AJ3427" s="2"/>
      <c r="AK3427" s="2"/>
      <c r="AL3427" s="2"/>
      <c r="AM3427" s="2"/>
      <c r="AN3427" s="2"/>
      <c r="AO3427" s="2"/>
      <c r="AP3427" s="2"/>
      <c r="AQ3427" s="2"/>
      <c r="AR3427" s="2"/>
      <c r="AS3427" s="2"/>
      <c r="AT3427" s="2"/>
      <c r="AU3427" s="2"/>
      <c r="AV3427" s="2"/>
      <c r="AW3427" s="2"/>
      <c r="AX3427" s="2"/>
      <c r="AY3427" s="2"/>
      <c r="AZ3427" s="2"/>
      <c r="BA3427" s="2"/>
      <c r="BB3427" s="2"/>
    </row>
    <row r="3428" ht="204.75" customHeight="1">
      <c r="A3428" s="1">
        <v>891.0</v>
      </c>
      <c r="B3428" s="2" t="s">
        <v>10271</v>
      </c>
      <c r="C3428" s="2">
        <f>IFERROR(__xludf.DUMMYFUNCTION("split(B3428,""_"")"),1801.0)</f>
        <v>1801</v>
      </c>
      <c r="D3428" s="2" t="str">
        <f>IFERROR(__xludf.DUMMYFUNCTION("""COMPUTED_VALUE"""),"NTV")</f>
        <v>NTV</v>
      </c>
      <c r="E3428" s="2" t="str">
        <f>IFERROR(__xludf.DUMMYFUNCTION("""COMPUTED_VALUE"""),"木23")</f>
        <v>木23</v>
      </c>
      <c r="F3428" s="2" t="s">
        <v>10272</v>
      </c>
      <c r="G3428" s="2" t="s">
        <v>10285</v>
      </c>
      <c r="H3428" s="1">
        <v>5.0</v>
      </c>
      <c r="J3428" s="1" t="s">
        <v>1435</v>
      </c>
      <c r="K3428" s="2" t="s">
        <v>10286</v>
      </c>
      <c r="L3428" s="2" t="s">
        <v>10287</v>
      </c>
      <c r="M3428" s="2" t="str">
        <f>IFERROR(__xludf.DUMMYFUNCTION("split(split(K3428,""【"",false),""公式LINE"",false)"),"篠崎鮎美…貫地谷しほり  毛利圭介…本郷奏多  天童太郎…ゴリ（ガレッジセール)  町田由子…島崎遥香  坪井要…猪野広樹  まひる…松尾薫  大森知恵…安達祐実(特別出演)  風間…六角精児篠崎鮎美（貫地谷しほり）が階段から突き落とされた。毛利圭介（本郷奏多）と天童太郎（ゴリ）はリピート仲間を狙った事件の犯人は坪井（猪野広樹）では？と疑っていた。坪井は死んだ郷原（清水圭）と言い争いの際「ネメシス」という謎の言葉を言い放っていて…。一方、由子（島崎遥香）は様々な方法で鮎美との距離を縮めていく。天童と大森（"&amp;"安達祐実）も急接近する出来事があり、リピート仲間それぞれの思惑が交錯していく…。")</f>
        <v>篠崎鮎美…貫地谷しほり  毛利圭介…本郷奏多  天童太郎…ゴリ（ガレッジセール)  町田由子…島崎遥香  坪井要…猪野広樹  まひる…松尾薫  大森知恵…安達祐実(特別出演)  風間…六角精児篠崎鮎美（貫地谷しほり）が階段から突き落とされた。毛利圭介（本郷奏多）と天童太郎（ゴリ）はリピート仲間を狙った事件の犯人は坪井（猪野広樹）では？と疑っていた。坪井は死んだ郷原（清水圭）と言い争いの際「ネメシス」という謎の言葉を言い放っていて…。一方、由子（島崎遥香）は様々な方法で鮎美との距離を縮めていく。天童と大森（安達祐実）も急接近する出来事があり、リピート仲間それぞれの思惑が交錯していく…。</v>
      </c>
      <c r="N3428" s="2"/>
      <c r="O3428" s="2"/>
      <c r="P3428" s="2"/>
      <c r="Q3428" s="2"/>
      <c r="R3428" s="2"/>
      <c r="S3428" s="2"/>
      <c r="T3428" s="2"/>
      <c r="U3428" s="2"/>
      <c r="V3428" s="2"/>
      <c r="W3428" s="2"/>
      <c r="X3428" s="2"/>
      <c r="Y3428" s="2"/>
      <c r="Z3428" s="2"/>
      <c r="AA3428" s="2"/>
      <c r="AB3428" s="2"/>
      <c r="AC3428" s="2"/>
      <c r="AD3428" s="2"/>
      <c r="AE3428" s="2"/>
      <c r="AF3428" s="2"/>
      <c r="AG3428" s="2"/>
      <c r="AH3428" s="2"/>
      <c r="AI3428" s="2"/>
      <c r="AJ3428" s="2"/>
      <c r="AK3428" s="2"/>
      <c r="AL3428" s="2"/>
      <c r="AM3428" s="2"/>
      <c r="AN3428" s="2"/>
      <c r="AO3428" s="2"/>
      <c r="AP3428" s="2"/>
      <c r="AQ3428" s="2"/>
      <c r="AR3428" s="2"/>
      <c r="AS3428" s="2"/>
      <c r="AT3428" s="2"/>
      <c r="AU3428" s="2"/>
      <c r="AV3428" s="2"/>
      <c r="AW3428" s="2"/>
      <c r="AX3428" s="2"/>
      <c r="AY3428" s="2"/>
      <c r="AZ3428" s="2"/>
      <c r="BA3428" s="2"/>
      <c r="BB3428" s="2"/>
    </row>
    <row r="3429" ht="204.75" customHeight="1">
      <c r="A3429" s="1">
        <v>892.0</v>
      </c>
      <c r="B3429" s="2" t="s">
        <v>10271</v>
      </c>
      <c r="C3429" s="2">
        <f>IFERROR(__xludf.DUMMYFUNCTION("split(B3429,""_"")"),1801.0)</f>
        <v>1801</v>
      </c>
      <c r="D3429" s="2" t="str">
        <f>IFERROR(__xludf.DUMMYFUNCTION("""COMPUTED_VALUE"""),"NTV")</f>
        <v>NTV</v>
      </c>
      <c r="E3429" s="2" t="str">
        <f>IFERROR(__xludf.DUMMYFUNCTION("""COMPUTED_VALUE"""),"木23")</f>
        <v>木23</v>
      </c>
      <c r="F3429" s="2" t="s">
        <v>10272</v>
      </c>
      <c r="G3429" s="2" t="s">
        <v>10288</v>
      </c>
      <c r="H3429" s="1">
        <v>8.0</v>
      </c>
      <c r="J3429" s="1" t="s">
        <v>1435</v>
      </c>
      <c r="K3429" s="2" t="s">
        <v>10289</v>
      </c>
      <c r="L3429" s="2" t="s">
        <v>10290</v>
      </c>
      <c r="M3429" s="2" t="str">
        <f>IFERROR(__xludf.DUMMYFUNCTION("split(split(K3429,""【"",false),""公式LINE"",false)"),"篠崎鮎美…貫地谷しほり  毛利圭介…本郷奏多  天童太郎…ゴリ（ガレッジセール)  まひる…松尾薫  大森知恵…安達祐実(特別出演)由子（島崎遥香）の行方を探る興信所の男（清水伸）が、篠崎鮎美（貫地谷しほり）と毛利圭介（本郷奏多）の関係を詮索する。一方、坪井（猪野広樹）が殺され、リピート仲間が狙われた事件の犯人の見当がつかなくなる。圭介は天童太郎（ゴリ）の最近の言動から「裏の顔がある」と考え、大森（安達祐実）との関係も疑い出して、２人はぎくしゃくする。再びリピートすることを画策する天童は、ある日「犯人が分"&amp;"かった」と言い出して…")</f>
        <v>篠崎鮎美…貫地谷しほり  毛利圭介…本郷奏多  天童太郎…ゴリ（ガレッジセール)  まひる…松尾薫  大森知恵…安達祐実(特別出演)由子（島崎遥香）の行方を探る興信所の男（清水伸）が、篠崎鮎美（貫地谷しほり）と毛利圭介（本郷奏多）の関係を詮索する。一方、坪井（猪野広樹）が殺され、リピート仲間が狙われた事件の犯人の見当がつかなくなる。圭介は天童太郎（ゴリ）の最近の言動から「裏の顔がある」と考え、大森（安達祐実）との関係も疑い出して、２人はぎくしゃくする。再びリピートすることを画策する天童は、ある日「犯人が分かった」と言い出して…</v>
      </c>
      <c r="N3429" s="2"/>
      <c r="O3429" s="2"/>
      <c r="P3429" s="2"/>
      <c r="Q3429" s="2"/>
      <c r="R3429" s="2"/>
      <c r="S3429" s="2"/>
      <c r="T3429" s="2"/>
      <c r="U3429" s="2"/>
      <c r="V3429" s="2"/>
      <c r="W3429" s="2"/>
      <c r="X3429" s="2"/>
      <c r="Y3429" s="2"/>
      <c r="Z3429" s="2"/>
      <c r="AA3429" s="2"/>
      <c r="AB3429" s="2"/>
      <c r="AC3429" s="2"/>
      <c r="AD3429" s="2"/>
      <c r="AE3429" s="2"/>
      <c r="AF3429" s="2"/>
      <c r="AG3429" s="2"/>
      <c r="AH3429" s="2"/>
      <c r="AI3429" s="2"/>
      <c r="AJ3429" s="2"/>
      <c r="AK3429" s="2"/>
      <c r="AL3429" s="2"/>
      <c r="AM3429" s="2"/>
      <c r="AN3429" s="2"/>
      <c r="AO3429" s="2"/>
      <c r="AP3429" s="2"/>
      <c r="AQ3429" s="2"/>
      <c r="AR3429" s="2"/>
      <c r="AS3429" s="2"/>
      <c r="AT3429" s="2"/>
      <c r="AU3429" s="2"/>
      <c r="AV3429" s="2"/>
      <c r="AW3429" s="2"/>
      <c r="AX3429" s="2"/>
      <c r="AY3429" s="2"/>
      <c r="AZ3429" s="2"/>
      <c r="BA3429" s="2"/>
      <c r="BB3429" s="2"/>
    </row>
    <row r="3430" ht="204.75" customHeight="1">
      <c r="A3430" s="1">
        <v>893.0</v>
      </c>
      <c r="B3430" s="2" t="s">
        <v>10271</v>
      </c>
      <c r="C3430" s="2">
        <f>IFERROR(__xludf.DUMMYFUNCTION("split(B3430,""_"")"),1801.0)</f>
        <v>1801</v>
      </c>
      <c r="D3430" s="2" t="str">
        <f>IFERROR(__xludf.DUMMYFUNCTION("""COMPUTED_VALUE"""),"NTV")</f>
        <v>NTV</v>
      </c>
      <c r="E3430" s="2" t="str">
        <f>IFERROR(__xludf.DUMMYFUNCTION("""COMPUTED_VALUE"""),"木23")</f>
        <v>木23</v>
      </c>
      <c r="F3430" s="2" t="s">
        <v>10272</v>
      </c>
      <c r="G3430" s="2" t="s">
        <v>10291</v>
      </c>
      <c r="H3430" s="1">
        <v>9.0</v>
      </c>
      <c r="J3430" s="1" t="s">
        <v>1435</v>
      </c>
      <c r="K3430" s="2" t="s">
        <v>10292</v>
      </c>
      <c r="L3430" s="2" t="s">
        <v>10293</v>
      </c>
      <c r="M3430" s="2" t="str">
        <f>IFERROR(__xludf.DUMMYFUNCTION("split(split(K3430,""【"",false),""公式LINE"",false)"),"篠崎鮎美…貫地谷しほり  毛利圭介…本郷奏多  天童太郎…ゴリ（ガレッジセール)  坪井要…猪野広樹  まひる…松尾薫  寺山…チングポカ  大森知恵…安達祐実(特別出演)  風間…六角精児お腹に毛利圭介（本郷奏多）の子を宿した篠崎鮎美（貫地谷しほり）は、「もうリピートできない」と言うが、このままでは２人は警察に捕まりかねない。その頃、「一連の事件の犯人が分かった」と大森知恵（安達祐実）に告白した天童太郎（ゴリ）は思わぬ場所にいた。そして圭介も『犯人』に気付き、風間（六角精児）に会いに行く。「正解です！」"&amp;"謎が解けた圭介に、風間から告げられた衝撃の内容と、鮎美に迫る新たな危機とは一体?")</f>
        <v>篠崎鮎美…貫地谷しほり  毛利圭介…本郷奏多  天童太郎…ゴリ（ガレッジセール)  坪井要…猪野広樹  まひる…松尾薫  寺山…チングポカ  大森知恵…安達祐実(特別出演)  風間…六角精児お腹に毛利圭介（本郷奏多）の子を宿した篠崎鮎美（貫地谷しほり）は、「もうリピートできない」と言うが、このままでは２人は警察に捕まりかねない。その頃、「一連の事件の犯人が分かった」と大森知恵（安達祐実）に告白した天童太郎（ゴリ）は思わぬ場所にいた。そして圭介も『犯人』に気付き、風間（六角精児）に会いに行く。「正解です！」謎が解けた圭介に、風間から告げられた衝撃の内容と、鮎美に迫る新たな危機とは一体?</v>
      </c>
      <c r="N3430" s="2"/>
      <c r="O3430" s="2"/>
      <c r="P3430" s="2"/>
      <c r="Q3430" s="2"/>
      <c r="R3430" s="2"/>
      <c r="S3430" s="2"/>
      <c r="T3430" s="2"/>
      <c r="U3430" s="2"/>
      <c r="V3430" s="2"/>
      <c r="W3430" s="2"/>
      <c r="X3430" s="2"/>
      <c r="Y3430" s="2"/>
      <c r="Z3430" s="2"/>
      <c r="AA3430" s="2"/>
      <c r="AB3430" s="2"/>
      <c r="AC3430" s="2"/>
      <c r="AD3430" s="2"/>
      <c r="AE3430" s="2"/>
      <c r="AF3430" s="2"/>
      <c r="AG3430" s="2"/>
      <c r="AH3430" s="2"/>
      <c r="AI3430" s="2"/>
      <c r="AJ3430" s="2"/>
      <c r="AK3430" s="2"/>
      <c r="AL3430" s="2"/>
      <c r="AM3430" s="2"/>
      <c r="AN3430" s="2"/>
      <c r="AO3430" s="2"/>
      <c r="AP3430" s="2"/>
      <c r="AQ3430" s="2"/>
      <c r="AR3430" s="2"/>
      <c r="AS3430" s="2"/>
      <c r="AT3430" s="2"/>
      <c r="AU3430" s="2"/>
      <c r="AV3430" s="2"/>
      <c r="AW3430" s="2"/>
      <c r="AX3430" s="2"/>
      <c r="AY3430" s="2"/>
      <c r="AZ3430" s="2"/>
      <c r="BA3430" s="2"/>
      <c r="BB3430" s="2"/>
    </row>
    <row r="3431" ht="204.75" customHeight="1">
      <c r="A3431" s="1">
        <v>894.0</v>
      </c>
      <c r="B3431" s="2" t="s">
        <v>10271</v>
      </c>
      <c r="C3431" s="2">
        <f>IFERROR(__xludf.DUMMYFUNCTION("split(B3431,""_"")"),1801.0)</f>
        <v>1801</v>
      </c>
      <c r="D3431" s="2" t="str">
        <f>IFERROR(__xludf.DUMMYFUNCTION("""COMPUTED_VALUE"""),"NTV")</f>
        <v>NTV</v>
      </c>
      <c r="E3431" s="2" t="str">
        <f>IFERROR(__xludf.DUMMYFUNCTION("""COMPUTED_VALUE"""),"木23")</f>
        <v>木23</v>
      </c>
      <c r="F3431" s="2" t="s">
        <v>10272</v>
      </c>
      <c r="G3431" s="2" t="s">
        <v>10294</v>
      </c>
      <c r="H3431" s="1">
        <v>10.0</v>
      </c>
      <c r="J3431" s="1" t="s">
        <v>1435</v>
      </c>
      <c r="K3431" s="2" t="s">
        <v>10295</v>
      </c>
      <c r="L3431" s="2" t="s">
        <v>10296</v>
      </c>
      <c r="M3431" s="2" t="str">
        <f>IFERROR(__xludf.DUMMYFUNCTION("split(split(K3431,""【"",false),""公式LINE"",false)"),"篠崎鮎美…貫地谷しほり  毛利圭介…本郷奏多  天童太郎…ゴリ（ガレッジセール)  まひる…松尾薫  風間…六角精児篠崎鮎美（貫地谷しほり）はトラックの事故で死ぬ運命だと風間（六角精児）は言う。その運命の時間が近づき、毛利圭介（本郷奏多）は鮎美を救おうと走り出す。一方、天童太郎（ゴリ）は「死んでしまった町田由子（島崎遥香）や仲間を救うために、もう一度リピートして、次を最後にしよう」と提案する。なんとか風間を出し抜き、２度目のリピートを画策する天童が「計画通りだ」というその方法と、衝撃の大どんでん返しの結末"&amp;"とは?")</f>
        <v>篠崎鮎美…貫地谷しほり  毛利圭介…本郷奏多  天童太郎…ゴリ（ガレッジセール)  まひる…松尾薫  風間…六角精児篠崎鮎美（貫地谷しほり）はトラックの事故で死ぬ運命だと風間（六角精児）は言う。その運命の時間が近づき、毛利圭介（本郷奏多）は鮎美を救おうと走り出す。一方、天童太郎（ゴリ）は「死んでしまった町田由子（島崎遥香）や仲間を救うために、もう一度リピートして、次を最後にしよう」と提案する。なんとか風間を出し抜き、２度目のリピートを画策する天童が「計画通りだ」というその方法と、衝撃の大どんでん返しの結末とは?</v>
      </c>
      <c r="N3431" s="2"/>
      <c r="O3431" s="2"/>
      <c r="P3431" s="2"/>
      <c r="Q3431" s="2"/>
      <c r="R3431" s="2"/>
      <c r="S3431" s="2"/>
      <c r="T3431" s="2"/>
      <c r="U3431" s="2"/>
      <c r="V3431" s="2"/>
      <c r="W3431" s="2"/>
      <c r="X3431" s="2"/>
      <c r="Y3431" s="2"/>
      <c r="Z3431" s="2"/>
      <c r="AA3431" s="2"/>
      <c r="AB3431" s="2"/>
      <c r="AC3431" s="2"/>
      <c r="AD3431" s="2"/>
      <c r="AE3431" s="2"/>
      <c r="AF3431" s="2"/>
      <c r="AG3431" s="2"/>
      <c r="AH3431" s="2"/>
      <c r="AI3431" s="2"/>
      <c r="AJ3431" s="2"/>
      <c r="AK3431" s="2"/>
      <c r="AL3431" s="2"/>
      <c r="AM3431" s="2"/>
      <c r="AN3431" s="2"/>
      <c r="AO3431" s="2"/>
      <c r="AP3431" s="2"/>
      <c r="AQ3431" s="2"/>
      <c r="AR3431" s="2"/>
      <c r="AS3431" s="2"/>
      <c r="AT3431" s="2"/>
      <c r="AU3431" s="2"/>
      <c r="AV3431" s="2"/>
      <c r="AW3431" s="2"/>
      <c r="AX3431" s="2"/>
      <c r="AY3431" s="2"/>
      <c r="AZ3431" s="2"/>
      <c r="BA3431" s="2"/>
      <c r="BB3431" s="2"/>
    </row>
    <row r="3432" ht="204.75" customHeight="1">
      <c r="A3432" s="1">
        <v>913.0</v>
      </c>
      <c r="B3432" s="2" t="s">
        <v>10297</v>
      </c>
      <c r="C3432" s="2">
        <f>IFERROR(__xludf.DUMMYFUNCTION("split(B3432,""_"")"),1801.0)</f>
        <v>1801</v>
      </c>
      <c r="D3432" s="2" t="str">
        <f>IFERROR(__xludf.DUMMYFUNCTION("""COMPUTED_VALUE"""),"NTV")</f>
        <v>NTV</v>
      </c>
      <c r="E3432" s="2" t="str">
        <f>IFERROR(__xludf.DUMMYFUNCTION("""COMPUTED_VALUE"""),"土22")</f>
        <v>土22</v>
      </c>
      <c r="F3432" s="2" t="s">
        <v>10298</v>
      </c>
      <c r="G3432" s="2" t="s">
        <v>10299</v>
      </c>
      <c r="H3432" s="1">
        <v>1.0</v>
      </c>
      <c r="I3432" s="1" t="s">
        <v>3</v>
      </c>
      <c r="J3432" s="1" t="s">
        <v>82</v>
      </c>
      <c r="K3432" s="2" t="s">
        <v>10300</v>
      </c>
      <c r="L3432" s="2" t="s">
        <v>10301</v>
      </c>
      <c r="M3432" s="2" t="str">
        <f>IFERROR(__xludf.DUMMYFUNCTION("split(split(K3432,""【"",false),""公式LINE"",false)"),"山田涼介、波瑠、小澤征悦、小瀧望（ジャニーズWEST)、恒松祐里、児嶋一哉、千葉雄大、浅野和之、中村梅雀エリート警察官の北沢秀作(山田涼介)は、敏腕弁護士の姉、知晶(波瑠)と、天才外科医の兄、博文(小澤征悦) 、私立中の学園長である父、泰蔵(中村梅雀)に、名家の一員としてプレッシャーをかけられ、ちょっとしんどい人生を送ってきた。そんな中、泰蔵が好きになった女性に裸の写真を撮られ、金を要求された。博文と知晶は職業倫理に反してでも何とかしようと奔走。秀作は「家族を守りたいが法律は犯せない」と葛藤し…")</f>
        <v>山田涼介、波瑠、小澤征悦、小瀧望（ジャニーズWEST)、恒松祐里、児嶋一哉、千葉雄大、浅野和之、中村梅雀エリート警察官の北沢秀作(山田涼介)は、敏腕弁護士の姉、知晶(波瑠)と、天才外科医の兄、博文(小澤征悦) 、私立中の学園長である父、泰蔵(中村梅雀)に、名家の一員としてプレッシャーをかけられ、ちょっとしんどい人生を送ってきた。そんな中、泰蔵が好きになった女性に裸の写真を撮られ、金を要求された。博文と知晶は職業倫理に反してでも何とかしようと奔走。秀作は「家族を守りたいが法律は犯せない」と葛藤し…</v>
      </c>
      <c r="N3432" s="2"/>
      <c r="O3432" s="2"/>
      <c r="P3432" s="2"/>
      <c r="Q3432" s="2"/>
      <c r="R3432" s="2"/>
      <c r="S3432" s="2"/>
      <c r="T3432" s="2"/>
      <c r="U3432" s="2"/>
      <c r="V3432" s="2"/>
      <c r="W3432" s="2"/>
      <c r="X3432" s="2"/>
      <c r="Y3432" s="2"/>
      <c r="Z3432" s="2"/>
      <c r="AA3432" s="2"/>
      <c r="AB3432" s="2"/>
      <c r="AC3432" s="2"/>
      <c r="AD3432" s="2"/>
      <c r="AE3432" s="2"/>
      <c r="AF3432" s="2"/>
      <c r="AG3432" s="2"/>
      <c r="AH3432" s="2"/>
      <c r="AI3432" s="2"/>
      <c r="AJ3432" s="2"/>
      <c r="AK3432" s="2"/>
      <c r="AL3432" s="2"/>
      <c r="AM3432" s="2"/>
      <c r="AN3432" s="2"/>
      <c r="AO3432" s="2"/>
      <c r="AP3432" s="2"/>
      <c r="AQ3432" s="2"/>
      <c r="AR3432" s="2"/>
      <c r="AS3432" s="2"/>
      <c r="AT3432" s="2"/>
      <c r="AU3432" s="2"/>
      <c r="AV3432" s="2"/>
      <c r="AW3432" s="2"/>
      <c r="AX3432" s="2"/>
      <c r="AY3432" s="2"/>
      <c r="AZ3432" s="2"/>
      <c r="BA3432" s="2"/>
      <c r="BB3432" s="2"/>
    </row>
    <row r="3433" ht="204.75" customHeight="1">
      <c r="A3433" s="1">
        <v>914.0</v>
      </c>
      <c r="B3433" s="2" t="s">
        <v>10297</v>
      </c>
      <c r="C3433" s="2">
        <f>IFERROR(__xludf.DUMMYFUNCTION("split(B3433,""_"")"),1801.0)</f>
        <v>1801</v>
      </c>
      <c r="D3433" s="2" t="str">
        <f>IFERROR(__xludf.DUMMYFUNCTION("""COMPUTED_VALUE"""),"NTV")</f>
        <v>NTV</v>
      </c>
      <c r="E3433" s="2" t="str">
        <f>IFERROR(__xludf.DUMMYFUNCTION("""COMPUTED_VALUE"""),"土22")</f>
        <v>土22</v>
      </c>
      <c r="F3433" s="2" t="s">
        <v>10298</v>
      </c>
      <c r="G3433" s="2" t="s">
        <v>10302</v>
      </c>
      <c r="H3433" s="1">
        <v>2.0</v>
      </c>
      <c r="I3433" s="1" t="s">
        <v>7</v>
      </c>
      <c r="J3433" s="1" t="s">
        <v>86</v>
      </c>
      <c r="K3433" s="2" t="s">
        <v>10303</v>
      </c>
      <c r="L3433" s="2" t="s">
        <v>10304</v>
      </c>
      <c r="M3433" s="2" t="str">
        <f>IFERROR(__xludf.DUMMYFUNCTION("split(split(K3433,""【"",false),""公式LINE"",false)"),"山田涼介、波瑠、小澤征悦、小瀧望（ジャニーズWEST)、恒松祐里、児嶋一哉、千葉雄大、浅野和之、中村梅雀博文(小澤征悦)が血と泥にまみれて帰ってきた。浜野谷院長(柴俊夫)の愛犬ジョンを逃してしまい、探し回っていたという。72時間以内に見つけないとクビと宣告された大ピンチの博文は、そっくりな犬を探すという知晶（波瑠）の無謀な提案にのる。賛成できない秀作（山田涼介）を外して作戦は着々と進むが、楠木(千葉雄大)が活躍し、知晶に頼られていくのを見た秀作は、北沢家での自分の立ち位置が脅かされる危機を感じて…")</f>
        <v>山田涼介、波瑠、小澤征悦、小瀧望（ジャニーズWEST)、恒松祐里、児嶋一哉、千葉雄大、浅野和之、中村梅雀博文(小澤征悦)が血と泥にまみれて帰ってきた。浜野谷院長(柴俊夫)の愛犬ジョンを逃してしまい、探し回っていたという。72時間以内に見つけないとクビと宣告された大ピンチの博文は、そっくりな犬を探すという知晶（波瑠）の無謀な提案にのる。賛成できない秀作（山田涼介）を外して作戦は着々と進むが、楠木(千葉雄大)が活躍し、知晶に頼られていくのを見た秀作は、北沢家での自分の立ち位置が脅かされる危機を感じて…</v>
      </c>
      <c r="N3433" s="2"/>
      <c r="O3433" s="2"/>
      <c r="P3433" s="2"/>
      <c r="Q3433" s="2"/>
      <c r="R3433" s="2"/>
      <c r="S3433" s="2"/>
      <c r="T3433" s="2"/>
      <c r="U3433" s="2"/>
      <c r="V3433" s="2"/>
      <c r="W3433" s="2"/>
      <c r="X3433" s="2"/>
      <c r="Y3433" s="2"/>
      <c r="Z3433" s="2"/>
      <c r="AA3433" s="2"/>
      <c r="AB3433" s="2"/>
      <c r="AC3433" s="2"/>
      <c r="AD3433" s="2"/>
      <c r="AE3433" s="2"/>
      <c r="AF3433" s="2"/>
      <c r="AG3433" s="2"/>
      <c r="AH3433" s="2"/>
      <c r="AI3433" s="2"/>
      <c r="AJ3433" s="2"/>
      <c r="AK3433" s="2"/>
      <c r="AL3433" s="2"/>
      <c r="AM3433" s="2"/>
      <c r="AN3433" s="2"/>
      <c r="AO3433" s="2"/>
      <c r="AP3433" s="2"/>
      <c r="AQ3433" s="2"/>
      <c r="AR3433" s="2"/>
      <c r="AS3433" s="2"/>
      <c r="AT3433" s="2"/>
      <c r="AU3433" s="2"/>
      <c r="AV3433" s="2"/>
      <c r="AW3433" s="2"/>
      <c r="AX3433" s="2"/>
      <c r="AY3433" s="2"/>
      <c r="AZ3433" s="2"/>
      <c r="BA3433" s="2"/>
      <c r="BB3433" s="2"/>
    </row>
    <row r="3434" ht="204.75" customHeight="1">
      <c r="A3434" s="1">
        <v>915.0</v>
      </c>
      <c r="B3434" s="2" t="s">
        <v>10297</v>
      </c>
      <c r="C3434" s="2">
        <f>IFERROR(__xludf.DUMMYFUNCTION("split(B3434,""_"")"),1801.0)</f>
        <v>1801</v>
      </c>
      <c r="D3434" s="2" t="str">
        <f>IFERROR(__xludf.DUMMYFUNCTION("""COMPUTED_VALUE"""),"NTV")</f>
        <v>NTV</v>
      </c>
      <c r="E3434" s="2" t="str">
        <f>IFERROR(__xludf.DUMMYFUNCTION("""COMPUTED_VALUE"""),"土22")</f>
        <v>土22</v>
      </c>
      <c r="F3434" s="2" t="s">
        <v>10298</v>
      </c>
      <c r="G3434" s="2" t="s">
        <v>10305</v>
      </c>
      <c r="H3434" s="1">
        <v>3.0</v>
      </c>
      <c r="I3434" s="1" t="s">
        <v>10</v>
      </c>
      <c r="J3434" s="1" t="s">
        <v>86</v>
      </c>
      <c r="K3434" s="2" t="s">
        <v>10306</v>
      </c>
      <c r="L3434" s="2" t="s">
        <v>10307</v>
      </c>
      <c r="M3434" s="2" t="str">
        <f>IFERROR(__xludf.DUMMYFUNCTION("split(split(K3434,""【"",false),""公式LINE"",false)"),"山田涼介、波瑠、小澤征悦、小瀧望（ジャニーズWEST)、恒松祐里、児嶋一哉、千葉雄大、浅野和之、中村梅雀ベテラン執事の小岩井(浅野和之)が、自殺しようとしていたところを保護された。小岩井はメイド喫茶にハマっていたらしく、北沢家の名誉を傷つけるのは契約違反だと辞めさせようとする泰蔵(中村梅雀)たち。退職願いを差し出す小岩井を引きとめる秀作（山田涼介）。そんな中、知晶（波瑠）が小岩井の娘（桜井日奈子）がメイド喫茶で働いている事を突き止める。一方、小岩井はすでに新しい職場で働き始めていて…")</f>
        <v>山田涼介、波瑠、小澤征悦、小瀧望（ジャニーズWEST)、恒松祐里、児嶋一哉、千葉雄大、浅野和之、中村梅雀ベテラン執事の小岩井(浅野和之)が、自殺しようとしていたところを保護された。小岩井はメイド喫茶にハマっていたらしく、北沢家の名誉を傷つけるのは契約違反だと辞めさせようとする泰蔵(中村梅雀)たち。退職願いを差し出す小岩井を引きとめる秀作（山田涼介）。そんな中、知晶（波瑠）が小岩井の娘（桜井日奈子）がメイド喫茶で働いている事を突き止める。一方、小岩井はすでに新しい職場で働き始めていて…</v>
      </c>
      <c r="N3434" s="2"/>
      <c r="O3434" s="2"/>
      <c r="P3434" s="2"/>
      <c r="Q3434" s="2"/>
      <c r="R3434" s="2"/>
      <c r="S3434" s="2"/>
      <c r="T3434" s="2"/>
      <c r="U3434" s="2"/>
      <c r="V3434" s="2"/>
      <c r="W3434" s="2"/>
      <c r="X3434" s="2"/>
      <c r="Y3434" s="2"/>
      <c r="Z3434" s="2"/>
      <c r="AA3434" s="2"/>
      <c r="AB3434" s="2"/>
      <c r="AC3434" s="2"/>
      <c r="AD3434" s="2"/>
      <c r="AE3434" s="2"/>
      <c r="AF3434" s="2"/>
      <c r="AG3434" s="2"/>
      <c r="AH3434" s="2"/>
      <c r="AI3434" s="2"/>
      <c r="AJ3434" s="2"/>
      <c r="AK3434" s="2"/>
      <c r="AL3434" s="2"/>
      <c r="AM3434" s="2"/>
      <c r="AN3434" s="2"/>
      <c r="AO3434" s="2"/>
      <c r="AP3434" s="2"/>
      <c r="AQ3434" s="2"/>
      <c r="AR3434" s="2"/>
      <c r="AS3434" s="2"/>
      <c r="AT3434" s="2"/>
      <c r="AU3434" s="2"/>
      <c r="AV3434" s="2"/>
      <c r="AW3434" s="2"/>
      <c r="AX3434" s="2"/>
      <c r="AY3434" s="2"/>
      <c r="AZ3434" s="2"/>
      <c r="BA3434" s="2"/>
      <c r="BB3434" s="2"/>
    </row>
    <row r="3435" ht="204.75" customHeight="1">
      <c r="A3435" s="1">
        <v>916.0</v>
      </c>
      <c r="B3435" s="2" t="s">
        <v>10297</v>
      </c>
      <c r="C3435" s="2">
        <f>IFERROR(__xludf.DUMMYFUNCTION("split(B3435,""_"")"),1801.0)</f>
        <v>1801</v>
      </c>
      <c r="D3435" s="2" t="str">
        <f>IFERROR(__xludf.DUMMYFUNCTION("""COMPUTED_VALUE"""),"NTV")</f>
        <v>NTV</v>
      </c>
      <c r="E3435" s="2" t="str">
        <f>IFERROR(__xludf.DUMMYFUNCTION("""COMPUTED_VALUE"""),"土22")</f>
        <v>土22</v>
      </c>
      <c r="F3435" s="2" t="s">
        <v>10298</v>
      </c>
      <c r="G3435" s="2" t="s">
        <v>10308</v>
      </c>
      <c r="H3435" s="1">
        <v>4.0</v>
      </c>
      <c r="I3435" s="1" t="s">
        <v>14</v>
      </c>
      <c r="J3435" s="1" t="s">
        <v>86</v>
      </c>
      <c r="K3435" s="2" t="s">
        <v>10309</v>
      </c>
      <c r="L3435" s="2" t="s">
        <v>10310</v>
      </c>
      <c r="M3435" s="2" t="str">
        <f>IFERROR(__xludf.DUMMYFUNCTION("split(split(K3435,""【"",false),""公式LINE"",false)"),"山田涼介、波瑠、小澤征悦、小瀧望（ジャニーズWEST)、恒松祐里、児嶋一哉、千葉雄大、浅野和之、中村梅雀知晶（波瑠）が泰蔵（中村梅雀）の持ってきた見合い話を断り、今、気になっている人がいると宣言。  そんな矢先、楠木（千葉雄大）の背中に鯉の入れ墨を目撃した秀作（山田涼介）は、楠木を問いつめると、知晶にキスをされたという衝撃の告白をする。  知晶の恋を応援しようと思う秀作だが、見合い相手の角居（駿河太郎）が北沢学園に関係する重要人物の為、何としても結婚させろと泰蔵たちに追い詰められ、ある作戦に出る…")</f>
        <v>山田涼介、波瑠、小澤征悦、小瀧望（ジャニーズWEST)、恒松祐里、児嶋一哉、千葉雄大、浅野和之、中村梅雀知晶（波瑠）が泰蔵（中村梅雀）の持ってきた見合い話を断り、今、気になっている人がいると宣言。  そんな矢先、楠木（千葉雄大）の背中に鯉の入れ墨を目撃した秀作（山田涼介）は、楠木を問いつめると、知晶にキスをされたという衝撃の告白をする。  知晶の恋を応援しようと思う秀作だが、見合い相手の角居（駿河太郎）が北沢学園に関係する重要人物の為、何としても結婚させろと泰蔵たちに追い詰められ、ある作戦に出る…</v>
      </c>
      <c r="N3435" s="2"/>
      <c r="O3435" s="2"/>
      <c r="P3435" s="2"/>
      <c r="Q3435" s="2"/>
      <c r="R3435" s="2"/>
      <c r="S3435" s="2"/>
      <c r="T3435" s="2"/>
      <c r="U3435" s="2"/>
      <c r="V3435" s="2"/>
      <c r="W3435" s="2"/>
      <c r="X3435" s="2"/>
      <c r="Y3435" s="2"/>
      <c r="Z3435" s="2"/>
      <c r="AA3435" s="2"/>
      <c r="AB3435" s="2"/>
      <c r="AC3435" s="2"/>
      <c r="AD3435" s="2"/>
      <c r="AE3435" s="2"/>
      <c r="AF3435" s="2"/>
      <c r="AG3435" s="2"/>
      <c r="AH3435" s="2"/>
      <c r="AI3435" s="2"/>
      <c r="AJ3435" s="2"/>
      <c r="AK3435" s="2"/>
      <c r="AL3435" s="2"/>
      <c r="AM3435" s="2"/>
      <c r="AN3435" s="2"/>
      <c r="AO3435" s="2"/>
      <c r="AP3435" s="2"/>
      <c r="AQ3435" s="2"/>
      <c r="AR3435" s="2"/>
      <c r="AS3435" s="2"/>
      <c r="AT3435" s="2"/>
      <c r="AU3435" s="2"/>
      <c r="AV3435" s="2"/>
      <c r="AW3435" s="2"/>
      <c r="AX3435" s="2"/>
      <c r="AY3435" s="2"/>
      <c r="AZ3435" s="2"/>
      <c r="BA3435" s="2"/>
      <c r="BB3435" s="2"/>
    </row>
    <row r="3436" ht="204.75" customHeight="1">
      <c r="A3436" s="1">
        <v>917.0</v>
      </c>
      <c r="B3436" s="2" t="s">
        <v>10297</v>
      </c>
      <c r="C3436" s="2">
        <f>IFERROR(__xludf.DUMMYFUNCTION("split(B3436,""_"")"),1801.0)</f>
        <v>1801</v>
      </c>
      <c r="D3436" s="2" t="str">
        <f>IFERROR(__xludf.DUMMYFUNCTION("""COMPUTED_VALUE"""),"NTV")</f>
        <v>NTV</v>
      </c>
      <c r="E3436" s="2" t="str">
        <f>IFERROR(__xludf.DUMMYFUNCTION("""COMPUTED_VALUE"""),"土22")</f>
        <v>土22</v>
      </c>
      <c r="F3436" s="2" t="s">
        <v>10298</v>
      </c>
      <c r="G3436" s="2" t="s">
        <v>10311</v>
      </c>
      <c r="H3436" s="1">
        <v>5.0</v>
      </c>
      <c r="I3436" s="1" t="s">
        <v>17</v>
      </c>
      <c r="J3436" s="1" t="s">
        <v>86</v>
      </c>
      <c r="K3436" s="2" t="s">
        <v>10312</v>
      </c>
      <c r="L3436" s="2" t="s">
        <v>10313</v>
      </c>
      <c r="M3436" s="2" t="str">
        <f>IFERROR(__xludf.DUMMYFUNCTION("split(split(K3436,""【"",false),""公式LINE"",false)"),"山田涼介、波瑠、小澤征悦、小瀧望（ジャニーズWEST)、恒松祐里、児嶋一哉、千葉雄大、浅野和之、中村梅雀秀作（山田涼介）は里子（恒松祐里）と結婚する気の博文（小澤征悦）に、彼女のことを前から好きだったと打ち明けるが、博文は引き下がるどころか「争うだけ無駄」とあしらう。激怒した秀作は、今度ばかりは勝ってみせると宣戦布告するのだった。  一方、楠木(千葉雄大)に見せるためのキスを知晶(波瑠)からされた尾関(小瀧望)は、知晶を好きになってしまったらしく、秀作に例え話を持ち掛ける。")</f>
        <v>山田涼介、波瑠、小澤征悦、小瀧望（ジャニーズWEST)、恒松祐里、児嶋一哉、千葉雄大、浅野和之、中村梅雀秀作（山田涼介）は里子（恒松祐里）と結婚する気の博文（小澤征悦）に、彼女のことを前から好きだったと打ち明けるが、博文は引き下がるどころか「争うだけ無駄」とあしらう。激怒した秀作は、今度ばかりは勝ってみせると宣戦布告するのだった。  一方、楠木(千葉雄大)に見せるためのキスを知晶(波瑠)からされた尾関(小瀧望)は、知晶を好きになってしまったらしく、秀作に例え話を持ち掛ける。</v>
      </c>
      <c r="N3436" s="2"/>
      <c r="O3436" s="2"/>
      <c r="P3436" s="2"/>
      <c r="Q3436" s="2"/>
      <c r="R3436" s="2"/>
      <c r="S3436" s="2"/>
      <c r="T3436" s="2"/>
      <c r="U3436" s="2"/>
      <c r="V3436" s="2"/>
      <c r="W3436" s="2"/>
      <c r="X3436" s="2"/>
      <c r="Y3436" s="2"/>
      <c r="Z3436" s="2"/>
      <c r="AA3436" s="2"/>
      <c r="AB3436" s="2"/>
      <c r="AC3436" s="2"/>
      <c r="AD3436" s="2"/>
      <c r="AE3436" s="2"/>
      <c r="AF3436" s="2"/>
      <c r="AG3436" s="2"/>
      <c r="AH3436" s="2"/>
      <c r="AI3436" s="2"/>
      <c r="AJ3436" s="2"/>
      <c r="AK3436" s="2"/>
      <c r="AL3436" s="2"/>
      <c r="AM3436" s="2"/>
      <c r="AN3436" s="2"/>
      <c r="AO3436" s="2"/>
      <c r="AP3436" s="2"/>
      <c r="AQ3436" s="2"/>
      <c r="AR3436" s="2"/>
      <c r="AS3436" s="2"/>
      <c r="AT3436" s="2"/>
      <c r="AU3436" s="2"/>
      <c r="AV3436" s="2"/>
      <c r="AW3436" s="2"/>
      <c r="AX3436" s="2"/>
      <c r="AY3436" s="2"/>
      <c r="AZ3436" s="2"/>
      <c r="BA3436" s="2"/>
      <c r="BB3436" s="2"/>
    </row>
    <row r="3437" ht="204.75" customHeight="1">
      <c r="A3437" s="1">
        <v>918.0</v>
      </c>
      <c r="B3437" s="2" t="s">
        <v>10297</v>
      </c>
      <c r="C3437" s="2">
        <f>IFERROR(__xludf.DUMMYFUNCTION("split(B3437,""_"")"),1801.0)</f>
        <v>1801</v>
      </c>
      <c r="D3437" s="2" t="str">
        <f>IFERROR(__xludf.DUMMYFUNCTION("""COMPUTED_VALUE"""),"NTV")</f>
        <v>NTV</v>
      </c>
      <c r="E3437" s="2" t="str">
        <f>IFERROR(__xludf.DUMMYFUNCTION("""COMPUTED_VALUE"""),"土22")</f>
        <v>土22</v>
      </c>
      <c r="F3437" s="2" t="s">
        <v>10298</v>
      </c>
      <c r="G3437" s="2" t="s">
        <v>10314</v>
      </c>
      <c r="H3437" s="1">
        <v>6.0</v>
      </c>
      <c r="I3437" s="1" t="s">
        <v>21</v>
      </c>
      <c r="J3437" s="1" t="s">
        <v>86</v>
      </c>
      <c r="K3437" s="2" t="s">
        <v>10315</v>
      </c>
      <c r="L3437" s="2" t="s">
        <v>10316</v>
      </c>
      <c r="M3437" s="2" t="str">
        <f>IFERROR(__xludf.DUMMYFUNCTION("split(split(K3437,""【"",false),""公式LINE"",false)"),"山田涼介、波瑠、小澤征悦、小瀧望（ジャニーズWEST)、恒松祐里、児嶋一哉、千葉雄大、浅野和之、中村梅雀泰蔵(中村梅雀)が何者かに睡眠薬を飲まされ病院に運ばれた。その夜大学時代の社交ダンス部の同窓会に行っていた事から、犯人はその中にいると北沢家では断定。秀作(山田涼介)達は、5人の女性を北沢家に呼んで取り調べするが、その中でひと際犯人のオーラを放つこずえ(山村紅葉)が怪しいとにらむ秀作。さらに別の薬物が検出され、事態は殺人未遂事件へと変わっていく。秀作と知晶（波瑠）の推理対決が繰り広げられてゆくがー")</f>
        <v>山田涼介、波瑠、小澤征悦、小瀧望（ジャニーズWEST)、恒松祐里、児嶋一哉、千葉雄大、浅野和之、中村梅雀泰蔵(中村梅雀)が何者かに睡眠薬を飲まされ病院に運ばれた。その夜大学時代の社交ダンス部の同窓会に行っていた事から、犯人はその中にいると北沢家では断定。秀作(山田涼介)達は、5人の女性を北沢家に呼んで取り調べするが、その中でひと際犯人のオーラを放つこずえ(山村紅葉)が怪しいとにらむ秀作。さらに別の薬物が検出され、事態は殺人未遂事件へと変わっていく。秀作と知晶（波瑠）の推理対決が繰り広げられてゆくがー</v>
      </c>
      <c r="N3437" s="2"/>
      <c r="O3437" s="2"/>
      <c r="P3437" s="2"/>
      <c r="Q3437" s="2"/>
      <c r="R3437" s="2"/>
      <c r="S3437" s="2"/>
      <c r="T3437" s="2"/>
      <c r="U3437" s="2"/>
      <c r="V3437" s="2"/>
      <c r="W3437" s="2"/>
      <c r="X3437" s="2"/>
      <c r="Y3437" s="2"/>
      <c r="Z3437" s="2"/>
      <c r="AA3437" s="2"/>
      <c r="AB3437" s="2"/>
      <c r="AC3437" s="2"/>
      <c r="AD3437" s="2"/>
      <c r="AE3437" s="2"/>
      <c r="AF3437" s="2"/>
      <c r="AG3437" s="2"/>
      <c r="AH3437" s="2"/>
      <c r="AI3437" s="2"/>
      <c r="AJ3437" s="2"/>
      <c r="AK3437" s="2"/>
      <c r="AL3437" s="2"/>
      <c r="AM3437" s="2"/>
      <c r="AN3437" s="2"/>
      <c r="AO3437" s="2"/>
      <c r="AP3437" s="2"/>
      <c r="AQ3437" s="2"/>
      <c r="AR3437" s="2"/>
      <c r="AS3437" s="2"/>
      <c r="AT3437" s="2"/>
      <c r="AU3437" s="2"/>
      <c r="AV3437" s="2"/>
      <c r="AW3437" s="2"/>
      <c r="AX3437" s="2"/>
      <c r="AY3437" s="2"/>
      <c r="AZ3437" s="2"/>
      <c r="BA3437" s="2"/>
      <c r="BB3437" s="2"/>
    </row>
    <row r="3438" ht="204.75" customHeight="1">
      <c r="A3438" s="1">
        <v>919.0</v>
      </c>
      <c r="B3438" s="2" t="s">
        <v>10297</v>
      </c>
      <c r="C3438" s="2">
        <f>IFERROR(__xludf.DUMMYFUNCTION("split(B3438,""_"")"),1801.0)</f>
        <v>1801</v>
      </c>
      <c r="D3438" s="2" t="str">
        <f>IFERROR(__xludf.DUMMYFUNCTION("""COMPUTED_VALUE"""),"NTV")</f>
        <v>NTV</v>
      </c>
      <c r="E3438" s="2" t="str">
        <f>IFERROR(__xludf.DUMMYFUNCTION("""COMPUTED_VALUE"""),"土22")</f>
        <v>土22</v>
      </c>
      <c r="F3438" s="2" t="s">
        <v>10298</v>
      </c>
      <c r="G3438" s="2" t="s">
        <v>10317</v>
      </c>
      <c r="H3438" s="1">
        <v>7.0</v>
      </c>
      <c r="I3438" s="1" t="s">
        <v>25</v>
      </c>
      <c r="J3438" s="1" t="s">
        <v>86</v>
      </c>
      <c r="K3438" s="2" t="s">
        <v>10318</v>
      </c>
      <c r="L3438" s="2" t="s">
        <v>10319</v>
      </c>
      <c r="M3438" s="2" t="str">
        <f>IFERROR(__xludf.DUMMYFUNCTION("split(split(K3438,""【"",false),""公式LINE"",false)"),"山田涼介、波瑠、小澤征悦、小瀧望（ジャニーズWEST)、恒松祐里、児嶋一哉、千葉雄大、浅野和之、中村梅雀善財(竹森千人)が倒れているのを発見した博文(小澤征悦)。ところが犯行動機や指紋から博文が襲ったのではと警察に疑われ、さらに人望のなさが明るみに。出世も遠ざかり、博文は人生初の挫折を味わう。一方、男らしくない態度を里子（恒松祐里）に責められフラれた秀作(山田涼介)は、不幸な秀作なら博文を勇気づけられると知晶(波瑠)から励まし役を命じられる。そんな中、手毛綱（児嶋一哉）がある情報を持ってくる。")</f>
        <v>山田涼介、波瑠、小澤征悦、小瀧望（ジャニーズWEST)、恒松祐里、児嶋一哉、千葉雄大、浅野和之、中村梅雀善財(竹森千人)が倒れているのを発見した博文(小澤征悦)。ところが犯行動機や指紋から博文が襲ったのではと警察に疑われ、さらに人望のなさが明るみに。出世も遠ざかり、博文は人生初の挫折を味わう。一方、男らしくない態度を里子（恒松祐里）に責められフラれた秀作(山田涼介)は、不幸な秀作なら博文を勇気づけられると知晶(波瑠)から励まし役を命じられる。そんな中、手毛綱（児嶋一哉）がある情報を持ってくる。</v>
      </c>
      <c r="N3438" s="2"/>
      <c r="O3438" s="2"/>
      <c r="P3438" s="2"/>
      <c r="Q3438" s="2"/>
      <c r="R3438" s="2"/>
      <c r="S3438" s="2"/>
      <c r="T3438" s="2"/>
      <c r="U3438" s="2"/>
      <c r="V3438" s="2"/>
      <c r="W3438" s="2"/>
      <c r="X3438" s="2"/>
      <c r="Y3438" s="2"/>
      <c r="Z3438" s="2"/>
      <c r="AA3438" s="2"/>
      <c r="AB3438" s="2"/>
      <c r="AC3438" s="2"/>
      <c r="AD3438" s="2"/>
      <c r="AE3438" s="2"/>
      <c r="AF3438" s="2"/>
      <c r="AG3438" s="2"/>
      <c r="AH3438" s="2"/>
      <c r="AI3438" s="2"/>
      <c r="AJ3438" s="2"/>
      <c r="AK3438" s="2"/>
      <c r="AL3438" s="2"/>
      <c r="AM3438" s="2"/>
      <c r="AN3438" s="2"/>
      <c r="AO3438" s="2"/>
      <c r="AP3438" s="2"/>
      <c r="AQ3438" s="2"/>
      <c r="AR3438" s="2"/>
      <c r="AS3438" s="2"/>
      <c r="AT3438" s="2"/>
      <c r="AU3438" s="2"/>
      <c r="AV3438" s="2"/>
      <c r="AW3438" s="2"/>
      <c r="AX3438" s="2"/>
      <c r="AY3438" s="2"/>
      <c r="AZ3438" s="2"/>
      <c r="BA3438" s="2"/>
      <c r="BB3438" s="2"/>
    </row>
    <row r="3439" ht="204.75" customHeight="1">
      <c r="A3439" s="1">
        <v>920.0</v>
      </c>
      <c r="B3439" s="2" t="s">
        <v>10297</v>
      </c>
      <c r="C3439" s="2">
        <f>IFERROR(__xludf.DUMMYFUNCTION("split(B3439,""_"")"),1801.0)</f>
        <v>1801</v>
      </c>
      <c r="D3439" s="2" t="str">
        <f>IFERROR(__xludf.DUMMYFUNCTION("""COMPUTED_VALUE"""),"NTV")</f>
        <v>NTV</v>
      </c>
      <c r="E3439" s="2" t="str">
        <f>IFERROR(__xludf.DUMMYFUNCTION("""COMPUTED_VALUE"""),"土22")</f>
        <v>土22</v>
      </c>
      <c r="F3439" s="2" t="s">
        <v>10298</v>
      </c>
      <c r="G3439" s="2" t="s">
        <v>10320</v>
      </c>
      <c r="H3439" s="1">
        <v>8.0</v>
      </c>
      <c r="I3439" s="1" t="s">
        <v>29</v>
      </c>
      <c r="J3439" s="1" t="s">
        <v>86</v>
      </c>
      <c r="K3439" s="2" t="s">
        <v>10321</v>
      </c>
      <c r="L3439" s="2" t="s">
        <v>10322</v>
      </c>
      <c r="M3439" s="2" t="str">
        <f>IFERROR(__xludf.DUMMYFUNCTION("split(split(K3439,""【"",false),""公式LINE"",false)"),"山田涼介、波瑠、小澤征悦、小瀧望（ジャニーズWEST)、恒松祐里、児嶋一哉、千葉雄大、浅野和之、中村梅雀秀作(山田涼介)は、里子(恒松祐里)を北沢家へ招待して泰蔵(中村梅雀)に紹介することに。その晩、不在のはずの知晶(波瑠)が早々に帰宅。遅くなる予定だった博文(小澤征悦)も、尾関(小瀧望)と手毛綱(児嶋一哉)を引き連れて帰ってきた。嫌な予感しかしない秀作をよそに、リビングでは知晶にキスをした尾関の公開裁判が開かれる。そんな中、里子の靴が玄関から消えていることに気付く秀作。犯人捜しを始めるが…。")</f>
        <v>山田涼介、波瑠、小澤征悦、小瀧望（ジャニーズWEST)、恒松祐里、児嶋一哉、千葉雄大、浅野和之、中村梅雀秀作(山田涼介)は、里子(恒松祐里)を北沢家へ招待して泰蔵(中村梅雀)に紹介することに。その晩、不在のはずの知晶(波瑠)が早々に帰宅。遅くなる予定だった博文(小澤征悦)も、尾関(小瀧望)と手毛綱(児嶋一哉)を引き連れて帰ってきた。嫌な予感しかしない秀作をよそに、リビングでは知晶にキスをした尾関の公開裁判が開かれる。そんな中、里子の靴が玄関から消えていることに気付く秀作。犯人捜しを始めるが…。</v>
      </c>
      <c r="N3439" s="2"/>
      <c r="O3439" s="2"/>
      <c r="P3439" s="2"/>
      <c r="Q3439" s="2"/>
      <c r="R3439" s="2"/>
      <c r="S3439" s="2"/>
      <c r="T3439" s="2"/>
      <c r="U3439" s="2"/>
      <c r="V3439" s="2"/>
      <c r="W3439" s="2"/>
      <c r="X3439" s="2"/>
      <c r="Y3439" s="2"/>
      <c r="Z3439" s="2"/>
      <c r="AA3439" s="2"/>
      <c r="AB3439" s="2"/>
      <c r="AC3439" s="2"/>
      <c r="AD3439" s="2"/>
      <c r="AE3439" s="2"/>
      <c r="AF3439" s="2"/>
      <c r="AG3439" s="2"/>
      <c r="AH3439" s="2"/>
      <c r="AI3439" s="2"/>
      <c r="AJ3439" s="2"/>
      <c r="AK3439" s="2"/>
      <c r="AL3439" s="2"/>
      <c r="AM3439" s="2"/>
      <c r="AN3439" s="2"/>
      <c r="AO3439" s="2"/>
      <c r="AP3439" s="2"/>
      <c r="AQ3439" s="2"/>
      <c r="AR3439" s="2"/>
      <c r="AS3439" s="2"/>
      <c r="AT3439" s="2"/>
      <c r="AU3439" s="2"/>
      <c r="AV3439" s="2"/>
      <c r="AW3439" s="2"/>
      <c r="AX3439" s="2"/>
      <c r="AY3439" s="2"/>
      <c r="AZ3439" s="2"/>
      <c r="BA3439" s="2"/>
      <c r="BB3439" s="2"/>
    </row>
    <row r="3440" ht="204.75" customHeight="1">
      <c r="A3440" s="1">
        <v>921.0</v>
      </c>
      <c r="B3440" s="2" t="s">
        <v>10297</v>
      </c>
      <c r="C3440" s="2">
        <f>IFERROR(__xludf.DUMMYFUNCTION("split(B3440,""_"")"),1801.0)</f>
        <v>1801</v>
      </c>
      <c r="D3440" s="2" t="str">
        <f>IFERROR(__xludf.DUMMYFUNCTION("""COMPUTED_VALUE"""),"NTV")</f>
        <v>NTV</v>
      </c>
      <c r="E3440" s="2" t="str">
        <f>IFERROR(__xludf.DUMMYFUNCTION("""COMPUTED_VALUE"""),"土22")</f>
        <v>土22</v>
      </c>
      <c r="F3440" s="2" t="s">
        <v>10298</v>
      </c>
      <c r="G3440" s="2" t="s">
        <v>10323</v>
      </c>
      <c r="H3440" s="1">
        <v>9.0</v>
      </c>
      <c r="I3440" s="1" t="s">
        <v>33</v>
      </c>
      <c r="J3440" s="1" t="s">
        <v>86</v>
      </c>
      <c r="K3440" s="2" t="s">
        <v>10324</v>
      </c>
      <c r="L3440" s="2" t="s">
        <v>10325</v>
      </c>
      <c r="M3440" s="2" t="str">
        <f>IFERROR(__xludf.DUMMYFUNCTION("split(split(K3440,""【"",false),""公式LINE"",false)"),"山田涼介、波瑠、小澤征悦、小瀧望（ジャニーズWEST)、恒松祐里、児嶋一哉、千葉雄大、浅野和之、中村梅雀  加藤諒秀作（山田涼介）は里子(恒松祐里)の後をつけていたストーカーを捕まえたが、その男、吉田邦夫(加藤諒)の目的は秀作だった。理由を聞くと衝撃の事実を口にする。「ボクたち、赤ちゃんの時に取り違えられたんです」  秀作は、このことを家族に打ち明けるが、知晶(波瑠)と博文(小澤征悦)の反応は薄く、弟に辛くあたってしまう理由がわかってスッキリした様子。  やがて、一週間だけ二人を入れ替えて生活することが決"&amp;"まり…。")</f>
        <v>山田涼介、波瑠、小澤征悦、小瀧望（ジャニーズWEST)、恒松祐里、児嶋一哉、千葉雄大、浅野和之、中村梅雀  加藤諒秀作（山田涼介）は里子(恒松祐里)の後をつけていたストーカーを捕まえたが、その男、吉田邦夫(加藤諒)の目的は秀作だった。理由を聞くと衝撃の事実を口にする。「ボクたち、赤ちゃんの時に取り違えられたんです」  秀作は、このことを家族に打ち明けるが、知晶(波瑠)と博文(小澤征悦)の反応は薄く、弟に辛くあたってしまう理由がわかってスッキリした様子。  やがて、一週間だけ二人を入れ替えて生活することが決まり…。</v>
      </c>
      <c r="N3440" s="2"/>
      <c r="O3440" s="2"/>
      <c r="P3440" s="2"/>
      <c r="Q3440" s="2"/>
      <c r="R3440" s="2"/>
      <c r="S3440" s="2"/>
      <c r="T3440" s="2"/>
      <c r="U3440" s="2"/>
      <c r="V3440" s="2"/>
      <c r="W3440" s="2"/>
      <c r="X3440" s="2"/>
      <c r="Y3440" s="2"/>
      <c r="Z3440" s="2"/>
      <c r="AA3440" s="2"/>
      <c r="AB3440" s="2"/>
      <c r="AC3440" s="2"/>
      <c r="AD3440" s="2"/>
      <c r="AE3440" s="2"/>
      <c r="AF3440" s="2"/>
      <c r="AG3440" s="2"/>
      <c r="AH3440" s="2"/>
      <c r="AI3440" s="2"/>
      <c r="AJ3440" s="2"/>
      <c r="AK3440" s="2"/>
      <c r="AL3440" s="2"/>
      <c r="AM3440" s="2"/>
      <c r="AN3440" s="2"/>
      <c r="AO3440" s="2"/>
      <c r="AP3440" s="2"/>
      <c r="AQ3440" s="2"/>
      <c r="AR3440" s="2"/>
      <c r="AS3440" s="2"/>
      <c r="AT3440" s="2"/>
      <c r="AU3440" s="2"/>
      <c r="AV3440" s="2"/>
      <c r="AW3440" s="2"/>
      <c r="AX3440" s="2"/>
      <c r="AY3440" s="2"/>
      <c r="AZ3440" s="2"/>
      <c r="BA3440" s="2"/>
      <c r="BB3440" s="2"/>
    </row>
    <row r="3441" ht="204.75" customHeight="1">
      <c r="A3441" s="1">
        <v>922.0</v>
      </c>
      <c r="B3441" s="2" t="s">
        <v>10297</v>
      </c>
      <c r="C3441" s="2">
        <f>IFERROR(__xludf.DUMMYFUNCTION("split(B3441,""_"")"),1801.0)</f>
        <v>1801</v>
      </c>
      <c r="D3441" s="2" t="str">
        <f>IFERROR(__xludf.DUMMYFUNCTION("""COMPUTED_VALUE"""),"NTV")</f>
        <v>NTV</v>
      </c>
      <c r="E3441" s="2" t="str">
        <f>IFERROR(__xludf.DUMMYFUNCTION("""COMPUTED_VALUE"""),"土22")</f>
        <v>土22</v>
      </c>
      <c r="F3441" s="2" t="s">
        <v>10298</v>
      </c>
      <c r="G3441" s="2" t="s">
        <v>10326</v>
      </c>
      <c r="H3441" s="1">
        <v>10.0</v>
      </c>
      <c r="I3441" s="1" t="s">
        <v>37</v>
      </c>
      <c r="J3441" s="1" t="s">
        <v>86</v>
      </c>
      <c r="K3441" s="2" t="s">
        <v>10327</v>
      </c>
      <c r="L3441" s="2" t="s">
        <v>10328</v>
      </c>
      <c r="M3441" s="2" t="str">
        <f>IFERROR(__xludf.DUMMYFUNCTION("split(split(K3441,""【"",false),""公式LINE"",false)"),"山田涼介、波瑠、小澤征悦、小瀧望（ジャニーズWEST)、恒松祐里、児嶋一哉、千葉雄大、浅野和之、中村梅雀  加藤諒秀作(山田涼介)と邦夫(加藤諒)の入れ替わり生活は続き、秀作は些細な事で感謝を口にしてくれる吉田家で、幸せをかみしめていた。  納得できない尾関(小瀧望)は、秀作を説得するが、しょせん知晶(波瑠)へのポイント稼ぎだと相手にされない。  そんな中、またもや北沢家にもみ消しが必要な事件が起こる。楠木(千葉雄大)からそのことを知らされた秀作は、もう北沢家の人間ではないからと聞き流すが、あることに気づ"&amp;"き…")</f>
        <v>山田涼介、波瑠、小澤征悦、小瀧望（ジャニーズWEST)、恒松祐里、児嶋一哉、千葉雄大、浅野和之、中村梅雀  加藤諒秀作(山田涼介)と邦夫(加藤諒)の入れ替わり生活は続き、秀作は些細な事で感謝を口にしてくれる吉田家で、幸せをかみしめていた。  納得できない尾関(小瀧望)は、秀作を説得するが、しょせん知晶(波瑠)へのポイント稼ぎだと相手にされない。  そんな中、またもや北沢家にもみ消しが必要な事件が起こる。楠木(千葉雄大)からそのことを知らされた秀作は、もう北沢家の人間ではないからと聞き流すが、あることに気づき…</v>
      </c>
      <c r="N3441" s="2"/>
      <c r="O3441" s="2"/>
      <c r="P3441" s="2"/>
      <c r="Q3441" s="2"/>
      <c r="R3441" s="2"/>
      <c r="S3441" s="2"/>
      <c r="T3441" s="2"/>
      <c r="U3441" s="2"/>
      <c r="V3441" s="2"/>
      <c r="W3441" s="2"/>
      <c r="X3441" s="2"/>
      <c r="Y3441" s="2"/>
      <c r="Z3441" s="2"/>
      <c r="AA3441" s="2"/>
      <c r="AB3441" s="2"/>
      <c r="AC3441" s="2"/>
      <c r="AD3441" s="2"/>
      <c r="AE3441" s="2"/>
      <c r="AF3441" s="2"/>
      <c r="AG3441" s="2"/>
      <c r="AH3441" s="2"/>
      <c r="AI3441" s="2"/>
      <c r="AJ3441" s="2"/>
      <c r="AK3441" s="2"/>
      <c r="AL3441" s="2"/>
      <c r="AM3441" s="2"/>
      <c r="AN3441" s="2"/>
      <c r="AO3441" s="2"/>
      <c r="AP3441" s="2"/>
      <c r="AQ3441" s="2"/>
      <c r="AR3441" s="2"/>
      <c r="AS3441" s="2"/>
      <c r="AT3441" s="2"/>
      <c r="AU3441" s="2"/>
      <c r="AV3441" s="2"/>
      <c r="AW3441" s="2"/>
      <c r="AX3441" s="2"/>
      <c r="AY3441" s="2"/>
      <c r="AZ3441" s="2"/>
      <c r="BA3441" s="2"/>
      <c r="BB3441" s="2"/>
    </row>
    <row r="3442" ht="204.75" customHeight="1">
      <c r="A3442" s="1">
        <v>939.0</v>
      </c>
      <c r="B3442" s="2" t="s">
        <v>10329</v>
      </c>
      <c r="C3442" s="2">
        <f>IFERROR(__xludf.DUMMYFUNCTION("split(B3442,""_"")"),1801.0)</f>
        <v>1801</v>
      </c>
      <c r="D3442" s="2" t="str">
        <f>IFERROR(__xludf.DUMMYFUNCTION("""COMPUTED_VALUE"""),"NTV")</f>
        <v>NTV</v>
      </c>
      <c r="E3442" s="2" t="str">
        <f>IFERROR(__xludf.DUMMYFUNCTION("""COMPUTED_VALUE"""),"日22")</f>
        <v>日22</v>
      </c>
      <c r="F3442" s="2" t="s">
        <v>10330</v>
      </c>
      <c r="G3442" s="2" t="s">
        <v>10331</v>
      </c>
      <c r="H3442" s="1">
        <v>1.0</v>
      </c>
      <c r="I3442" s="1" t="s">
        <v>3</v>
      </c>
      <c r="J3442" s="1" t="s">
        <v>82</v>
      </c>
      <c r="K3442" s="2" t="s">
        <v>10332</v>
      </c>
      <c r="L3442" s="2" t="s">
        <v>10333</v>
      </c>
      <c r="M3442" s="2" t="str">
        <f>IFERROR(__xludf.DUMMYFUNCTION("split(split(K3442,""【"",false),""公式LINE"",false)"),"山崎賢人、門脇麦、新田真剣佑、新木優子、佐野勇斗、  宮沢氷魚、堀田茜、唐田えりか、山本亜依 / 志尊淳  光石研、奥貫薫、岡田義徳、弓削智久、山田明郷、高橋ひとみ、小市慢太郎、菅田将暉No.1ホスト「エイト」こと堂島旺太郎（山崎賢人）は、金と権力のために女を弄んでいる男。自身の成り上がりのために個人資産100億円のホテル王・並樹(なみき)グループの令嬢・美尊（新木優子）に狙いを定めるが、突然現れた真っ赤なルージュの女（門脇麦）に唇を奪われ、そのまま命を落としてしまう。が、目を覚ました旺太郎の前に広がるの"&amp;"はなんと７日前と全く同じ光景だった…。大注目のタイムリープ・ラブサスペンス!")</f>
        <v>山崎賢人、門脇麦、新田真剣佑、新木優子、佐野勇斗、  宮沢氷魚、堀田茜、唐田えりか、山本亜依 / 志尊淳  光石研、奥貫薫、岡田義徳、弓削智久、山田明郷、高橋ひとみ、小市慢太郎、菅田将暉No.1ホスト「エイト」こと堂島旺太郎（山崎賢人）は、金と権力のために女を弄んでいる男。自身の成り上がりのために個人資産100億円のホテル王・並樹(なみき)グループの令嬢・美尊（新木優子）に狙いを定めるが、突然現れた真っ赤なルージュの女（門脇麦）に唇を奪われ、そのまま命を落としてしまう。が、目を覚ました旺太郎の前に広がるのはなんと７日前と全く同じ光景だった…。大注目のタイムリープ・ラブサスペンス!</v>
      </c>
      <c r="N3442" s="2"/>
      <c r="O3442" s="2"/>
      <c r="P3442" s="2"/>
      <c r="Q3442" s="2"/>
      <c r="R3442" s="2"/>
      <c r="S3442" s="2"/>
      <c r="T3442" s="2"/>
      <c r="U3442" s="2"/>
      <c r="V3442" s="2"/>
      <c r="W3442" s="2"/>
      <c r="X3442" s="2"/>
      <c r="Y3442" s="2"/>
      <c r="Z3442" s="2"/>
      <c r="AA3442" s="2"/>
      <c r="AB3442" s="2"/>
      <c r="AC3442" s="2"/>
      <c r="AD3442" s="2"/>
      <c r="AE3442" s="2"/>
      <c r="AF3442" s="2"/>
      <c r="AG3442" s="2"/>
      <c r="AH3442" s="2"/>
      <c r="AI3442" s="2"/>
      <c r="AJ3442" s="2"/>
      <c r="AK3442" s="2"/>
      <c r="AL3442" s="2"/>
      <c r="AM3442" s="2"/>
      <c r="AN3442" s="2"/>
      <c r="AO3442" s="2"/>
      <c r="AP3442" s="2"/>
      <c r="AQ3442" s="2"/>
      <c r="AR3442" s="2"/>
      <c r="AS3442" s="2"/>
      <c r="AT3442" s="2"/>
      <c r="AU3442" s="2"/>
      <c r="AV3442" s="2"/>
      <c r="AW3442" s="2"/>
      <c r="AX3442" s="2"/>
      <c r="AY3442" s="2"/>
      <c r="AZ3442" s="2"/>
      <c r="BA3442" s="2"/>
      <c r="BB3442" s="2"/>
    </row>
    <row r="3443" ht="204.75" customHeight="1">
      <c r="A3443" s="1">
        <v>940.0</v>
      </c>
      <c r="B3443" s="2" t="s">
        <v>10329</v>
      </c>
      <c r="C3443" s="2">
        <f>IFERROR(__xludf.DUMMYFUNCTION("split(B3443,""_"")"),1801.0)</f>
        <v>1801</v>
      </c>
      <c r="D3443" s="2" t="str">
        <f>IFERROR(__xludf.DUMMYFUNCTION("""COMPUTED_VALUE"""),"NTV")</f>
        <v>NTV</v>
      </c>
      <c r="E3443" s="2" t="str">
        <f>IFERROR(__xludf.DUMMYFUNCTION("""COMPUTED_VALUE"""),"日22")</f>
        <v>日22</v>
      </c>
      <c r="F3443" s="2" t="s">
        <v>10330</v>
      </c>
      <c r="G3443" s="2" t="s">
        <v>10334</v>
      </c>
      <c r="H3443" s="1">
        <v>2.0</v>
      </c>
      <c r="I3443" s="1" t="s">
        <v>7</v>
      </c>
      <c r="J3443" s="1" t="s">
        <v>82</v>
      </c>
      <c r="K3443" s="2" t="s">
        <v>10335</v>
      </c>
      <c r="L3443" s="2" t="s">
        <v>10336</v>
      </c>
      <c r="M3443" s="2" t="str">
        <f>IFERROR(__xludf.DUMMYFUNCTION("split(split(K3443,""【"",false),""公式LINE"",false)"),"山崎賢人、門脇麦、新田真剣佑、新木優子、佐野勇斗、  宮沢氷魚、堀田茜、唐田えりか、山本亜依 / 志尊淳  光石研、奥貫薫、岡田義徳、弓削智久、山田明郷、高橋ひとみ、小市慢太郎、菅田将暉バックヤードで旺太郎の栄養ドリンクを飲んだ同僚ホストが倒れ、旺太郎はロッカーから毒物が見つかったことで容疑者に…。心配する和馬（志尊淳）の助けで警察署から逃げ出したところに、なんとキス女（門脇麦）から呼び出しの電話がかかってくる。警戒しつつ待ち合わせ場所に向かった旺太郎は、突然背中を包丁で刺され…!!大注目のタイムリープ・"&amp;"ラブサスペンス!")</f>
        <v>山崎賢人、門脇麦、新田真剣佑、新木優子、佐野勇斗、  宮沢氷魚、堀田茜、唐田えりか、山本亜依 / 志尊淳  光石研、奥貫薫、岡田義徳、弓削智久、山田明郷、高橋ひとみ、小市慢太郎、菅田将暉バックヤードで旺太郎の栄養ドリンクを飲んだ同僚ホストが倒れ、旺太郎はロッカーから毒物が見つかったことで容疑者に…。心配する和馬（志尊淳）の助けで警察署から逃げ出したところに、なんとキス女（門脇麦）から呼び出しの電話がかかってくる。警戒しつつ待ち合わせ場所に向かった旺太郎は、突然背中を包丁で刺され…!!大注目のタイムリープ・ラブサスペンス!</v>
      </c>
      <c r="N3443" s="2"/>
      <c r="O3443" s="2"/>
      <c r="P3443" s="2"/>
      <c r="Q3443" s="2"/>
      <c r="R3443" s="2"/>
      <c r="S3443" s="2"/>
      <c r="T3443" s="2"/>
      <c r="U3443" s="2"/>
      <c r="V3443" s="2"/>
      <c r="W3443" s="2"/>
      <c r="X3443" s="2"/>
      <c r="Y3443" s="2"/>
      <c r="Z3443" s="2"/>
      <c r="AA3443" s="2"/>
      <c r="AB3443" s="2"/>
      <c r="AC3443" s="2"/>
      <c r="AD3443" s="2"/>
      <c r="AE3443" s="2"/>
      <c r="AF3443" s="2"/>
      <c r="AG3443" s="2"/>
      <c r="AH3443" s="2"/>
      <c r="AI3443" s="2"/>
      <c r="AJ3443" s="2"/>
      <c r="AK3443" s="2"/>
      <c r="AL3443" s="2"/>
      <c r="AM3443" s="2"/>
      <c r="AN3443" s="2"/>
      <c r="AO3443" s="2"/>
      <c r="AP3443" s="2"/>
      <c r="AQ3443" s="2"/>
      <c r="AR3443" s="2"/>
      <c r="AS3443" s="2"/>
      <c r="AT3443" s="2"/>
      <c r="AU3443" s="2"/>
      <c r="AV3443" s="2"/>
      <c r="AW3443" s="2"/>
      <c r="AX3443" s="2"/>
      <c r="AY3443" s="2"/>
      <c r="AZ3443" s="2"/>
      <c r="BA3443" s="2"/>
      <c r="BB3443" s="2"/>
    </row>
    <row r="3444" ht="204.75" customHeight="1">
      <c r="A3444" s="1">
        <v>941.0</v>
      </c>
      <c r="B3444" s="2" t="s">
        <v>10329</v>
      </c>
      <c r="C3444" s="2">
        <f>IFERROR(__xludf.DUMMYFUNCTION("split(B3444,""_"")"),1801.0)</f>
        <v>1801</v>
      </c>
      <c r="D3444" s="2" t="str">
        <f>IFERROR(__xludf.DUMMYFUNCTION("""COMPUTED_VALUE"""),"NTV")</f>
        <v>NTV</v>
      </c>
      <c r="E3444" s="2" t="str">
        <f>IFERROR(__xludf.DUMMYFUNCTION("""COMPUTED_VALUE"""),"日22")</f>
        <v>日22</v>
      </c>
      <c r="F3444" s="2" t="s">
        <v>10330</v>
      </c>
      <c r="G3444" s="2" t="s">
        <v>10337</v>
      </c>
      <c r="H3444" s="1">
        <v>3.0</v>
      </c>
      <c r="I3444" s="1" t="s">
        <v>10</v>
      </c>
      <c r="J3444" s="1" t="s">
        <v>82</v>
      </c>
      <c r="K3444" s="2" t="s">
        <v>10338</v>
      </c>
      <c r="L3444" s="2" t="s">
        <v>10339</v>
      </c>
      <c r="M3444" s="2" t="str">
        <f>IFERROR(__xludf.DUMMYFUNCTION("split(split(K3444,""【"",false),""公式LINE"",false)"),"山崎賢人、門脇麦、新田真剣佑、新木優子、佐野勇斗、  宮沢氷魚、堀田茜、唐田えりか、山本亜依 / 志尊淳  光石研、奥貫薫、岡田義徳、弓削智久、山田明郷、高橋ひとみ、小市慢太郎、菅田将暉旺太郎（山崎賢人）への異常な愛情からストーカーとなっていた和馬（志尊淳）に刺された旺太郎は、なんとか一命を取り留めるも負傷を負う。  そして旺太郎に冷たくされ逆上した和馬が美尊（新木優子）を襲い、顔に大怪我を負わせる。美尊の母から責められ、並樹家に近づく術を失った旺太郎は宰子（門脇麦）の自宅を突き止め、過去に戻るため、戸惑"&amp;"う宰子にキスを迫る！")</f>
        <v>山崎賢人、門脇麦、新田真剣佑、新木優子、佐野勇斗、  宮沢氷魚、堀田茜、唐田えりか、山本亜依 / 志尊淳  光石研、奥貫薫、岡田義徳、弓削智久、山田明郷、高橋ひとみ、小市慢太郎、菅田将暉旺太郎（山崎賢人）への異常な愛情からストーカーとなっていた和馬（志尊淳）に刺された旺太郎は、なんとか一命を取り留めるも負傷を負う。  そして旺太郎に冷たくされ逆上した和馬が美尊（新木優子）を襲い、顔に大怪我を負わせる。美尊の母から責められ、並樹家に近づく術を失った旺太郎は宰子（門脇麦）の自宅を突き止め、過去に戻るため、戸惑う宰子にキスを迫る！</v>
      </c>
      <c r="N3444" s="2"/>
      <c r="O3444" s="2"/>
      <c r="P3444" s="2"/>
      <c r="Q3444" s="2"/>
      <c r="R3444" s="2"/>
      <c r="S3444" s="2"/>
      <c r="T3444" s="2"/>
      <c r="U3444" s="2"/>
      <c r="V3444" s="2"/>
      <c r="W3444" s="2"/>
      <c r="X3444" s="2"/>
      <c r="Y3444" s="2"/>
      <c r="Z3444" s="2"/>
      <c r="AA3444" s="2"/>
      <c r="AB3444" s="2"/>
      <c r="AC3444" s="2"/>
      <c r="AD3444" s="2"/>
      <c r="AE3444" s="2"/>
      <c r="AF3444" s="2"/>
      <c r="AG3444" s="2"/>
      <c r="AH3444" s="2"/>
      <c r="AI3444" s="2"/>
      <c r="AJ3444" s="2"/>
      <c r="AK3444" s="2"/>
      <c r="AL3444" s="2"/>
      <c r="AM3444" s="2"/>
      <c r="AN3444" s="2"/>
      <c r="AO3444" s="2"/>
      <c r="AP3444" s="2"/>
      <c r="AQ3444" s="2"/>
      <c r="AR3444" s="2"/>
      <c r="AS3444" s="2"/>
      <c r="AT3444" s="2"/>
      <c r="AU3444" s="2"/>
      <c r="AV3444" s="2"/>
      <c r="AW3444" s="2"/>
      <c r="AX3444" s="2"/>
      <c r="AY3444" s="2"/>
      <c r="AZ3444" s="2"/>
      <c r="BA3444" s="2"/>
      <c r="BB3444" s="2"/>
    </row>
    <row r="3445" ht="204.75" customHeight="1">
      <c r="A3445" s="1">
        <v>942.0</v>
      </c>
      <c r="B3445" s="2" t="s">
        <v>10329</v>
      </c>
      <c r="C3445" s="2">
        <f>IFERROR(__xludf.DUMMYFUNCTION("split(B3445,""_"")"),1801.0)</f>
        <v>1801</v>
      </c>
      <c r="D3445" s="2" t="str">
        <f>IFERROR(__xludf.DUMMYFUNCTION("""COMPUTED_VALUE"""),"NTV")</f>
        <v>NTV</v>
      </c>
      <c r="E3445" s="2" t="str">
        <f>IFERROR(__xludf.DUMMYFUNCTION("""COMPUTED_VALUE"""),"日22")</f>
        <v>日22</v>
      </c>
      <c r="F3445" s="2" t="s">
        <v>10330</v>
      </c>
      <c r="G3445" s="2" t="s">
        <v>10340</v>
      </c>
      <c r="H3445" s="1">
        <v>4.0</v>
      </c>
      <c r="I3445" s="1" t="s">
        <v>14</v>
      </c>
      <c r="J3445" s="1" t="s">
        <v>82</v>
      </c>
      <c r="K3445" s="2" t="s">
        <v>10341</v>
      </c>
      <c r="L3445" s="2" t="s">
        <v>10342</v>
      </c>
      <c r="M3445" s="2" t="str">
        <f>IFERROR(__xludf.DUMMYFUNCTION("split(split(K3445,""【"",false),""公式LINE"",false)"),"山崎賢人、門脇麦、新田真剣佑、新木優子、佐野勇斗、  宮沢氷魚、堀田茜、唐田えりか、山本亜依   弓削智久、山田明郷、高橋ひとみ、小市慢太郎、菅田将暉養子であるために並樹グループの後継を任されない尊氏（新田真剣佑）の前に、副社長の座を狙う尊氏の叔父・郡次（小市慢太郎）は１２年前の沈没事故のある証拠をちらつかせ、養子を解消して妹の美尊（新木優子）と結婚し後継者となるようプレッシャーをかける。一方、尊氏と美尊の婚約話を知った旺太郎（山崎賢人）は時間を戻してやり直すため、自分を避ける宰子（門脇麦）にキスされよう"&amp;"と命がけの作戦を決行する!")</f>
        <v>山崎賢人、門脇麦、新田真剣佑、新木優子、佐野勇斗、  宮沢氷魚、堀田茜、唐田えりか、山本亜依   弓削智久、山田明郷、高橋ひとみ、小市慢太郎、菅田将暉養子であるために並樹グループの後継を任されない尊氏（新田真剣佑）の前に、副社長の座を狙う尊氏の叔父・郡次（小市慢太郎）は１２年前の沈没事故のある証拠をちらつかせ、養子を解消して妹の美尊（新木優子）と結婚し後継者となるようプレッシャーをかける。一方、尊氏と美尊の婚約話を知った旺太郎（山崎賢人）は時間を戻してやり直すため、自分を避ける宰子（門脇麦）にキスされようと命がけの作戦を決行する!</v>
      </c>
      <c r="N3445" s="2"/>
      <c r="O3445" s="2"/>
      <c r="P3445" s="2"/>
      <c r="Q3445" s="2"/>
      <c r="R3445" s="2"/>
      <c r="S3445" s="2"/>
      <c r="T3445" s="2"/>
      <c r="U3445" s="2"/>
      <c r="V3445" s="2"/>
      <c r="W3445" s="2"/>
      <c r="X3445" s="2"/>
      <c r="Y3445" s="2"/>
      <c r="Z3445" s="2"/>
      <c r="AA3445" s="2"/>
      <c r="AB3445" s="2"/>
      <c r="AC3445" s="2"/>
      <c r="AD3445" s="2"/>
      <c r="AE3445" s="2"/>
      <c r="AF3445" s="2"/>
      <c r="AG3445" s="2"/>
      <c r="AH3445" s="2"/>
      <c r="AI3445" s="2"/>
      <c r="AJ3445" s="2"/>
      <c r="AK3445" s="2"/>
      <c r="AL3445" s="2"/>
      <c r="AM3445" s="2"/>
      <c r="AN3445" s="2"/>
      <c r="AO3445" s="2"/>
      <c r="AP3445" s="2"/>
      <c r="AQ3445" s="2"/>
      <c r="AR3445" s="2"/>
      <c r="AS3445" s="2"/>
      <c r="AT3445" s="2"/>
      <c r="AU3445" s="2"/>
      <c r="AV3445" s="2"/>
      <c r="AW3445" s="2"/>
      <c r="AX3445" s="2"/>
      <c r="AY3445" s="2"/>
      <c r="AZ3445" s="2"/>
      <c r="BA3445" s="2"/>
      <c r="BB3445" s="2"/>
    </row>
    <row r="3446" ht="204.75" customHeight="1">
      <c r="A3446" s="1">
        <v>943.0</v>
      </c>
      <c r="B3446" s="2" t="s">
        <v>10329</v>
      </c>
      <c r="C3446" s="2">
        <f>IFERROR(__xludf.DUMMYFUNCTION("split(B3446,""_"")"),1801.0)</f>
        <v>1801</v>
      </c>
      <c r="D3446" s="2" t="str">
        <f>IFERROR(__xludf.DUMMYFUNCTION("""COMPUTED_VALUE"""),"NTV")</f>
        <v>NTV</v>
      </c>
      <c r="E3446" s="2" t="str">
        <f>IFERROR(__xludf.DUMMYFUNCTION("""COMPUTED_VALUE"""),"日22")</f>
        <v>日22</v>
      </c>
      <c r="F3446" s="2" t="s">
        <v>10330</v>
      </c>
      <c r="G3446" s="2" t="s">
        <v>10343</v>
      </c>
      <c r="H3446" s="1">
        <v>5.0</v>
      </c>
      <c r="I3446" s="1" t="s">
        <v>17</v>
      </c>
      <c r="J3446" s="1" t="s">
        <v>82</v>
      </c>
      <c r="K3446" s="2" t="s">
        <v>10344</v>
      </c>
      <c r="L3446" s="2" t="s">
        <v>10345</v>
      </c>
      <c r="M3446" s="2" t="str">
        <f>IFERROR(__xludf.DUMMYFUNCTION("split(split(K3446,""【"",false),""公式LINE"",false)"),"山崎賢人、門脇麦、新田真剣佑、新木優子、佐野勇斗、  宮沢氷魚、堀田茜、唐田えりか、山本亜依   弓削智久、山田明郷、高橋ひとみ、奥貫薫、小市慢太郎、菅田将暉宰子（門脇麦）からのキスで想定外のタイムリープをした旺太郎（山崎賢人）を待っていたのは、社長の座を狙う尊氏（新田真剣佑）があえて病床の父を助けず、それにより美尊（新木優子）を奪うという不都合な状況だった。それを逆転しようという作戦の途中、母・光代（奥貫薫）が転倒して意識不明の状態だという連絡が。直前に母に冷たい言葉をかけてしまった旺太郎の心は揺れるが"&amp;"、運命を変えるチャンスを前に彼が選ぶ道とは…!?")</f>
        <v>山崎賢人、門脇麦、新田真剣佑、新木優子、佐野勇斗、  宮沢氷魚、堀田茜、唐田えりか、山本亜依   弓削智久、山田明郷、高橋ひとみ、奥貫薫、小市慢太郎、菅田将暉宰子（門脇麦）からのキスで想定外のタイムリープをした旺太郎（山崎賢人）を待っていたのは、社長の座を狙う尊氏（新田真剣佑）があえて病床の父を助けず、それにより美尊（新木優子）を奪うという不都合な状況だった。それを逆転しようという作戦の途中、母・光代（奥貫薫）が転倒して意識不明の状態だという連絡が。直前に母に冷たい言葉をかけてしまった旺太郎の心は揺れるが、運命を変えるチャンスを前に彼が選ぶ道とは…!?</v>
      </c>
      <c r="N3446" s="2"/>
      <c r="O3446" s="2"/>
      <c r="P3446" s="2"/>
      <c r="Q3446" s="2"/>
      <c r="R3446" s="2"/>
      <c r="S3446" s="2"/>
      <c r="T3446" s="2"/>
      <c r="U3446" s="2"/>
      <c r="V3446" s="2"/>
      <c r="W3446" s="2"/>
      <c r="X3446" s="2"/>
      <c r="Y3446" s="2"/>
      <c r="Z3446" s="2"/>
      <c r="AA3446" s="2"/>
      <c r="AB3446" s="2"/>
      <c r="AC3446" s="2"/>
      <c r="AD3446" s="2"/>
      <c r="AE3446" s="2"/>
      <c r="AF3446" s="2"/>
      <c r="AG3446" s="2"/>
      <c r="AH3446" s="2"/>
      <c r="AI3446" s="2"/>
      <c r="AJ3446" s="2"/>
      <c r="AK3446" s="2"/>
      <c r="AL3446" s="2"/>
      <c r="AM3446" s="2"/>
      <c r="AN3446" s="2"/>
      <c r="AO3446" s="2"/>
      <c r="AP3446" s="2"/>
      <c r="AQ3446" s="2"/>
      <c r="AR3446" s="2"/>
      <c r="AS3446" s="2"/>
      <c r="AT3446" s="2"/>
      <c r="AU3446" s="2"/>
      <c r="AV3446" s="2"/>
      <c r="AW3446" s="2"/>
      <c r="AX3446" s="2"/>
      <c r="AY3446" s="2"/>
      <c r="AZ3446" s="2"/>
      <c r="BA3446" s="2"/>
      <c r="BB3446" s="2"/>
    </row>
    <row r="3447" ht="204.75" customHeight="1">
      <c r="A3447" s="1">
        <v>944.0</v>
      </c>
      <c r="B3447" s="2" t="s">
        <v>10329</v>
      </c>
      <c r="C3447" s="2">
        <f>IFERROR(__xludf.DUMMYFUNCTION("split(B3447,""_"")"),1801.0)</f>
        <v>1801</v>
      </c>
      <c r="D3447" s="2" t="str">
        <f>IFERROR(__xludf.DUMMYFUNCTION("""COMPUTED_VALUE"""),"NTV")</f>
        <v>NTV</v>
      </c>
      <c r="E3447" s="2" t="str">
        <f>IFERROR(__xludf.DUMMYFUNCTION("""COMPUTED_VALUE"""),"日22")</f>
        <v>日22</v>
      </c>
      <c r="F3447" s="2" t="s">
        <v>10330</v>
      </c>
      <c r="G3447" s="2" t="s">
        <v>10346</v>
      </c>
      <c r="H3447" s="1">
        <v>6.0</v>
      </c>
      <c r="I3447" s="1" t="s">
        <v>21</v>
      </c>
      <c r="J3447" s="1" t="s">
        <v>82</v>
      </c>
      <c r="K3447" s="2" t="s">
        <v>10347</v>
      </c>
      <c r="L3447" s="2" t="s">
        <v>10348</v>
      </c>
      <c r="M3447" s="2" t="str">
        <f>IFERROR(__xludf.DUMMYFUNCTION("split(split(K3447,""【"",false),""公式LINE"",false)"),"山崎賢人、門脇麦、新田真剣佑、新木優子、佐野勇斗、  宮沢氷魚、堀田茜、唐田えりか、山本亜依   岡田義徳、弓削智久、高橋ひとみ、小市慢太郎、菅田将暉沈没事故の証拠のビデオテープを真犯人の尊氏（新田真剣佑）に燃やされてしまった旺太郎（山崎賢人）だが、美尊（新木優子）の心を掴み尊氏と美尊の婚約披露パーティーの場で派手にキスを交わす。  さらにクルーズ会社を営む長谷部（佐野勇斗）の父が尊氏の罪のもみ消しに協力していたという新情報で旺太郎は長谷部を脅迫し、ビデオテープのコピーを探させる。しかし旺太郎を待っていた"&amp;"のは長谷部が亡くなったというニュースで…")</f>
        <v>山崎賢人、門脇麦、新田真剣佑、新木優子、佐野勇斗、  宮沢氷魚、堀田茜、唐田えりか、山本亜依   岡田義徳、弓削智久、高橋ひとみ、小市慢太郎、菅田将暉沈没事故の証拠のビデオテープを真犯人の尊氏（新田真剣佑）に燃やされてしまった旺太郎（山崎賢人）だが、美尊（新木優子）の心を掴み尊氏と美尊の婚約披露パーティーの場で派手にキスを交わす。  さらにクルーズ会社を営む長谷部（佐野勇斗）の父が尊氏の罪のもみ消しに協力していたという新情報で旺太郎は長谷部を脅迫し、ビデオテープのコピーを探させる。しかし旺太郎を待っていたのは長谷部が亡くなったというニュースで…</v>
      </c>
      <c r="N3447" s="2"/>
      <c r="O3447" s="2"/>
      <c r="P3447" s="2"/>
      <c r="Q3447" s="2"/>
      <c r="R3447" s="2"/>
      <c r="S3447" s="2"/>
      <c r="T3447" s="2"/>
      <c r="U3447" s="2"/>
      <c r="V3447" s="2"/>
      <c r="W3447" s="2"/>
      <c r="X3447" s="2"/>
      <c r="Y3447" s="2"/>
      <c r="Z3447" s="2"/>
      <c r="AA3447" s="2"/>
      <c r="AB3447" s="2"/>
      <c r="AC3447" s="2"/>
      <c r="AD3447" s="2"/>
      <c r="AE3447" s="2"/>
      <c r="AF3447" s="2"/>
      <c r="AG3447" s="2"/>
      <c r="AH3447" s="2"/>
      <c r="AI3447" s="2"/>
      <c r="AJ3447" s="2"/>
      <c r="AK3447" s="2"/>
      <c r="AL3447" s="2"/>
      <c r="AM3447" s="2"/>
      <c r="AN3447" s="2"/>
      <c r="AO3447" s="2"/>
      <c r="AP3447" s="2"/>
      <c r="AQ3447" s="2"/>
      <c r="AR3447" s="2"/>
      <c r="AS3447" s="2"/>
      <c r="AT3447" s="2"/>
      <c r="AU3447" s="2"/>
      <c r="AV3447" s="2"/>
      <c r="AW3447" s="2"/>
      <c r="AX3447" s="2"/>
      <c r="AY3447" s="2"/>
      <c r="AZ3447" s="2"/>
      <c r="BA3447" s="2"/>
      <c r="BB3447" s="2"/>
    </row>
    <row r="3448" ht="204.75" customHeight="1">
      <c r="A3448" s="1">
        <v>945.0</v>
      </c>
      <c r="B3448" s="2" t="s">
        <v>10329</v>
      </c>
      <c r="C3448" s="2">
        <f>IFERROR(__xludf.DUMMYFUNCTION("split(B3448,""_"")"),1801.0)</f>
        <v>1801</v>
      </c>
      <c r="D3448" s="2" t="str">
        <f>IFERROR(__xludf.DUMMYFUNCTION("""COMPUTED_VALUE"""),"NTV")</f>
        <v>NTV</v>
      </c>
      <c r="E3448" s="2" t="str">
        <f>IFERROR(__xludf.DUMMYFUNCTION("""COMPUTED_VALUE"""),"日22")</f>
        <v>日22</v>
      </c>
      <c r="F3448" s="2" t="s">
        <v>10330</v>
      </c>
      <c r="G3448" s="2" t="s">
        <v>10349</v>
      </c>
      <c r="H3448" s="1">
        <v>7.0</v>
      </c>
      <c r="I3448" s="1" t="s">
        <v>25</v>
      </c>
      <c r="J3448" s="1" t="s">
        <v>82</v>
      </c>
      <c r="K3448" s="2" t="s">
        <v>10350</v>
      </c>
      <c r="L3448" s="2" t="s">
        <v>10351</v>
      </c>
      <c r="M3448" s="2" t="str">
        <f>IFERROR(__xludf.DUMMYFUNCTION("split(split(K3448,""【"",false),""公式LINE"",false)"),"山崎賢人、門脇麦、新田真剣佑、新木優子、佐野勇斗、  宮沢氷魚、堀田茜、唐田えりか、山本亜依   光石研、奥貫薫、岡田義徳、弓削智久、高橋ひとみ、小市慢太郎、菅田将暉覆面の男に襲われた旺太郎（山崎賢人）は、時間を戻そうと必死にキスする宰子（門脇麦）の努力も虚しく、すでに息絶えていて…!!旺太郎の突然の死に取り乱す美尊（新木優子）は、事件の黒幕が尊氏（新田真剣佑）だと疑う長谷部（佐野勇斗）を尊氏が暴力で黙らせようとしている現場を目撃。そんな中、宰子は12年前の事故で旺太郎の弟を犠牲にして生き残ってしまった償"&amp;"いとして、旺太郎のためにある危険な計画を実行し…。")</f>
        <v>山崎賢人、門脇麦、新田真剣佑、新木優子、佐野勇斗、  宮沢氷魚、堀田茜、唐田えりか、山本亜依   光石研、奥貫薫、岡田義徳、弓削智久、高橋ひとみ、小市慢太郎、菅田将暉覆面の男に襲われた旺太郎（山崎賢人）は、時間を戻そうと必死にキスする宰子（門脇麦）の努力も虚しく、すでに息絶えていて…!!旺太郎の突然の死に取り乱す美尊（新木優子）は、事件の黒幕が尊氏（新田真剣佑）だと疑う長谷部（佐野勇斗）を尊氏が暴力で黙らせようとしている現場を目撃。そんな中、宰子は12年前の事故で旺太郎の弟を犠牲にして生き残ってしまった償いとして、旺太郎のためにある危険な計画を実行し…。</v>
      </c>
      <c r="N3448" s="2"/>
      <c r="O3448" s="2"/>
      <c r="P3448" s="2"/>
      <c r="Q3448" s="2"/>
      <c r="R3448" s="2"/>
      <c r="S3448" s="2"/>
      <c r="T3448" s="2"/>
      <c r="U3448" s="2"/>
      <c r="V3448" s="2"/>
      <c r="W3448" s="2"/>
      <c r="X3448" s="2"/>
      <c r="Y3448" s="2"/>
      <c r="Z3448" s="2"/>
      <c r="AA3448" s="2"/>
      <c r="AB3448" s="2"/>
      <c r="AC3448" s="2"/>
      <c r="AD3448" s="2"/>
      <c r="AE3448" s="2"/>
      <c r="AF3448" s="2"/>
      <c r="AG3448" s="2"/>
      <c r="AH3448" s="2"/>
      <c r="AI3448" s="2"/>
      <c r="AJ3448" s="2"/>
      <c r="AK3448" s="2"/>
      <c r="AL3448" s="2"/>
      <c r="AM3448" s="2"/>
      <c r="AN3448" s="2"/>
      <c r="AO3448" s="2"/>
      <c r="AP3448" s="2"/>
      <c r="AQ3448" s="2"/>
      <c r="AR3448" s="2"/>
      <c r="AS3448" s="2"/>
      <c r="AT3448" s="2"/>
      <c r="AU3448" s="2"/>
      <c r="AV3448" s="2"/>
      <c r="AW3448" s="2"/>
      <c r="AX3448" s="2"/>
      <c r="AY3448" s="2"/>
      <c r="AZ3448" s="2"/>
      <c r="BA3448" s="2"/>
      <c r="BB3448" s="2"/>
    </row>
    <row r="3449" ht="204.75" customHeight="1">
      <c r="A3449" s="1">
        <v>946.0</v>
      </c>
      <c r="B3449" s="2" t="s">
        <v>10329</v>
      </c>
      <c r="C3449" s="2">
        <f>IFERROR(__xludf.DUMMYFUNCTION("split(B3449,""_"")"),1801.0)</f>
        <v>1801</v>
      </c>
      <c r="D3449" s="2" t="str">
        <f>IFERROR(__xludf.DUMMYFUNCTION("""COMPUTED_VALUE"""),"NTV")</f>
        <v>NTV</v>
      </c>
      <c r="E3449" s="2" t="str">
        <f>IFERROR(__xludf.DUMMYFUNCTION("""COMPUTED_VALUE"""),"日22")</f>
        <v>日22</v>
      </c>
      <c r="F3449" s="2" t="s">
        <v>10330</v>
      </c>
      <c r="G3449" s="2" t="s">
        <v>10352</v>
      </c>
      <c r="H3449" s="1">
        <v>8.0</v>
      </c>
      <c r="I3449" s="1" t="s">
        <v>29</v>
      </c>
      <c r="J3449" s="1" t="s">
        <v>82</v>
      </c>
      <c r="K3449" s="2" t="s">
        <v>10353</v>
      </c>
      <c r="L3449" s="2" t="s">
        <v>10354</v>
      </c>
      <c r="M3449" s="2" t="str">
        <f>IFERROR(__xludf.DUMMYFUNCTION("split(split(K3449,""【"",false),""公式LINE"",false)"),"山崎賢人、門脇麦、新田真剣佑、新木優子、佐野勇斗、  宮沢氷魚、堀田茜、唐田えりか、山本亜依   光石研、奥貫薫、高橋ひとみ、小市慢太郎、菅田将暉宰子（門脇麦）の健気な決心を知り思わず抱きしめた所を美尊（新木優子）に見られた旺太郎（山崎賢人）は、咄嗟に宰子を面倒を見ている遠い親戚だと紹介。タイムリープを夢だと思い込む美尊は夢でキスした宰子が実在することに驚くも、旺太郎に結婚を前提に付き合いたいと告白。一方、春海（菅田将暉）から宰子の正体をほのめかされた尊氏（新田真剣佑）は、美尊と旺太郎の交際を応援するふり"&amp;"をして、旺太郎と宰子を並樹家に招く。")</f>
        <v>山崎賢人、門脇麦、新田真剣佑、新木優子、佐野勇斗、  宮沢氷魚、堀田茜、唐田えりか、山本亜依   光石研、奥貫薫、高橋ひとみ、小市慢太郎、菅田将暉宰子（門脇麦）の健気な決心を知り思わず抱きしめた所を美尊（新木優子）に見られた旺太郎（山崎賢人）は、咄嗟に宰子を面倒を見ている遠い親戚だと紹介。タイムリープを夢だと思い込む美尊は夢でキスした宰子が実在することに驚くも、旺太郎に結婚を前提に付き合いたいと告白。一方、春海（菅田将暉）から宰子の正体をほのめかされた尊氏（新田真剣佑）は、美尊と旺太郎の交際を応援するふりをして、旺太郎と宰子を並樹家に招く。</v>
      </c>
      <c r="N3449" s="2"/>
      <c r="O3449" s="2"/>
      <c r="P3449" s="2"/>
      <c r="Q3449" s="2"/>
      <c r="R3449" s="2"/>
      <c r="S3449" s="2"/>
      <c r="T3449" s="2"/>
      <c r="U3449" s="2"/>
      <c r="V3449" s="2"/>
      <c r="W3449" s="2"/>
      <c r="X3449" s="2"/>
      <c r="Y3449" s="2"/>
      <c r="Z3449" s="2"/>
      <c r="AA3449" s="2"/>
      <c r="AB3449" s="2"/>
      <c r="AC3449" s="2"/>
      <c r="AD3449" s="2"/>
      <c r="AE3449" s="2"/>
      <c r="AF3449" s="2"/>
      <c r="AG3449" s="2"/>
      <c r="AH3449" s="2"/>
      <c r="AI3449" s="2"/>
      <c r="AJ3449" s="2"/>
      <c r="AK3449" s="2"/>
      <c r="AL3449" s="2"/>
      <c r="AM3449" s="2"/>
      <c r="AN3449" s="2"/>
      <c r="AO3449" s="2"/>
      <c r="AP3449" s="2"/>
      <c r="AQ3449" s="2"/>
      <c r="AR3449" s="2"/>
      <c r="AS3449" s="2"/>
      <c r="AT3449" s="2"/>
      <c r="AU3449" s="2"/>
      <c r="AV3449" s="2"/>
      <c r="AW3449" s="2"/>
      <c r="AX3449" s="2"/>
      <c r="AY3449" s="2"/>
      <c r="AZ3449" s="2"/>
      <c r="BA3449" s="2"/>
      <c r="BB3449" s="2"/>
    </row>
    <row r="3450" ht="204.75" customHeight="1">
      <c r="A3450" s="1">
        <v>947.0</v>
      </c>
      <c r="B3450" s="2" t="s">
        <v>10329</v>
      </c>
      <c r="C3450" s="2">
        <f>IFERROR(__xludf.DUMMYFUNCTION("split(B3450,""_"")"),1801.0)</f>
        <v>1801</v>
      </c>
      <c r="D3450" s="2" t="str">
        <f>IFERROR(__xludf.DUMMYFUNCTION("""COMPUTED_VALUE"""),"NTV")</f>
        <v>NTV</v>
      </c>
      <c r="E3450" s="2" t="str">
        <f>IFERROR(__xludf.DUMMYFUNCTION("""COMPUTED_VALUE"""),"日22")</f>
        <v>日22</v>
      </c>
      <c r="F3450" s="2" t="s">
        <v>10330</v>
      </c>
      <c r="G3450" s="2" t="s">
        <v>10355</v>
      </c>
      <c r="H3450" s="1">
        <v>9.0</v>
      </c>
      <c r="I3450" s="1" t="s">
        <v>33</v>
      </c>
      <c r="J3450" s="1" t="s">
        <v>82</v>
      </c>
      <c r="K3450" s="2" t="s">
        <v>10356</v>
      </c>
      <c r="L3450" s="2" t="s">
        <v>10357</v>
      </c>
      <c r="M3450" s="2" t="str">
        <f>IFERROR(__xludf.DUMMYFUNCTION("split(split(K3450,""【"",false),""公式LINE"",false)"),"山崎賢人、門脇麦、新田真剣佑、新木優子、佐野勇斗、  宮沢氷魚、堀田茜、唐田えりか、山本亜依 、志尊淳、  高橋ひとみ、小市慢太郎、菅田将暉旺太郎（山崎賢人）の秘密を暴こうとする尊氏（新田真剣佑）が宰子（門脇麦）を拉致。宰子の身を案じながらも、旺太郎は美尊（新木優子）の旅行の誘いを断るわけにいかず…その道中で尊氏から呼び出された旺太郎は美尊を残し指定された工場へ。宰子を人質にタイムリープの秘密に迫ろうとする尊氏だが、旺太郎は美尊から愛されない尊氏を挑発！逆上した尊氏は旺太郎を殺そうと首を絞めるが、そこには"&amp;"予想外の罠が仕掛けてあって…！")</f>
        <v>山崎賢人、門脇麦、新田真剣佑、新木優子、佐野勇斗、  宮沢氷魚、堀田茜、唐田えりか、山本亜依 、志尊淳、  高橋ひとみ、小市慢太郎、菅田将暉旺太郎（山崎賢人）の秘密を暴こうとする尊氏（新田真剣佑）が宰子（門脇麦）を拉致。宰子の身を案じながらも、旺太郎は美尊（新木優子）の旅行の誘いを断るわけにいかず…その道中で尊氏から呼び出された旺太郎は美尊を残し指定された工場へ。宰子を人質にタイムリープの秘密に迫ろうとする尊氏だが、旺太郎は美尊から愛されない尊氏を挑発！逆上した尊氏は旺太郎を殺そうと首を絞めるが、そこには予想外の罠が仕掛けてあって…！</v>
      </c>
      <c r="N3450" s="2"/>
      <c r="O3450" s="2"/>
      <c r="P3450" s="2"/>
      <c r="Q3450" s="2"/>
      <c r="R3450" s="2"/>
      <c r="S3450" s="2"/>
      <c r="T3450" s="2"/>
      <c r="U3450" s="2"/>
      <c r="V3450" s="2"/>
      <c r="W3450" s="2"/>
      <c r="X3450" s="2"/>
      <c r="Y3450" s="2"/>
      <c r="Z3450" s="2"/>
      <c r="AA3450" s="2"/>
      <c r="AB3450" s="2"/>
      <c r="AC3450" s="2"/>
      <c r="AD3450" s="2"/>
      <c r="AE3450" s="2"/>
      <c r="AF3450" s="2"/>
      <c r="AG3450" s="2"/>
      <c r="AH3450" s="2"/>
      <c r="AI3450" s="2"/>
      <c r="AJ3450" s="2"/>
      <c r="AK3450" s="2"/>
      <c r="AL3450" s="2"/>
      <c r="AM3450" s="2"/>
      <c r="AN3450" s="2"/>
      <c r="AO3450" s="2"/>
      <c r="AP3450" s="2"/>
      <c r="AQ3450" s="2"/>
      <c r="AR3450" s="2"/>
      <c r="AS3450" s="2"/>
      <c r="AT3450" s="2"/>
      <c r="AU3450" s="2"/>
      <c r="AV3450" s="2"/>
      <c r="AW3450" s="2"/>
      <c r="AX3450" s="2"/>
      <c r="AY3450" s="2"/>
      <c r="AZ3450" s="2"/>
      <c r="BA3450" s="2"/>
      <c r="BB3450" s="2"/>
    </row>
    <row r="3451" ht="204.75" customHeight="1">
      <c r="A3451" s="1">
        <v>948.0</v>
      </c>
      <c r="B3451" s="2" t="s">
        <v>10329</v>
      </c>
      <c r="C3451" s="2">
        <f>IFERROR(__xludf.DUMMYFUNCTION("split(B3451,""_"")"),1801.0)</f>
        <v>1801</v>
      </c>
      <c r="D3451" s="2" t="str">
        <f>IFERROR(__xludf.DUMMYFUNCTION("""COMPUTED_VALUE"""),"NTV")</f>
        <v>NTV</v>
      </c>
      <c r="E3451" s="2" t="str">
        <f>IFERROR(__xludf.DUMMYFUNCTION("""COMPUTED_VALUE"""),"日22")</f>
        <v>日22</v>
      </c>
      <c r="F3451" s="2" t="s">
        <v>10330</v>
      </c>
      <c r="G3451" s="2" t="s">
        <v>10358</v>
      </c>
      <c r="H3451" s="1">
        <v>10.0</v>
      </c>
      <c r="I3451" s="1" t="s">
        <v>37</v>
      </c>
      <c r="J3451" s="1" t="s">
        <v>82</v>
      </c>
      <c r="K3451" s="2" t="s">
        <v>10359</v>
      </c>
      <c r="L3451" s="2" t="s">
        <v>10360</v>
      </c>
      <c r="M3451" s="2" t="str">
        <f>IFERROR(__xludf.DUMMYFUNCTION("split(split(K3451,""【"",false),""公式LINE"",false)"),"山崎賢人、門脇麦、新田真剣佑、新木優子、佐野勇斗、  宮沢氷魚、堀田茜、唐田えりか、山本亜依 、志尊淳、  岡田義徳、弓削智久、高橋ひとみ、小市慢太郎、菅田将暉死んでしまった宰子（門脇麦）のために美尊（新木優子）を愛して幸せになると誓う旺太郎（山崎賢人）は、入籍と入社の準備を着々と進める。そんな中、旺太郎の部屋に現れた和馬（志尊淳）は、愛を否定し続けてきた旺太郎が宰子を失い苦しむ様子を笑い、旺太郎は初めて自分の宰子に対する愛を自覚する。そんな彼の前に現れたのは春海（菅田将暉）。宰子とキスをしてもタイムリー"&amp;"プしなかった春海の衝撃の正体がついに明らかに…!!")</f>
        <v>山崎賢人、門脇麦、新田真剣佑、新木優子、佐野勇斗、  宮沢氷魚、堀田茜、唐田えりか、山本亜依 、志尊淳、  岡田義徳、弓削智久、高橋ひとみ、小市慢太郎、菅田将暉死んでしまった宰子（門脇麦）のために美尊（新木優子）を愛して幸せになると誓う旺太郎（山崎賢人）は、入籍と入社の準備を着々と進める。そんな中、旺太郎の部屋に現れた和馬（志尊淳）は、愛を否定し続けてきた旺太郎が宰子を失い苦しむ様子を笑い、旺太郎は初めて自分の宰子に対する愛を自覚する。そんな彼の前に現れたのは春海（菅田将暉）。宰子とキスをしてもタイムリープしなかった春海の衝撃の正体がついに明らかに…!!</v>
      </c>
      <c r="N3451" s="2"/>
      <c r="O3451" s="2"/>
      <c r="P3451" s="2"/>
      <c r="Q3451" s="2"/>
      <c r="R3451" s="2"/>
      <c r="S3451" s="2"/>
      <c r="T3451" s="2"/>
      <c r="U3451" s="2"/>
      <c r="V3451" s="2"/>
      <c r="W3451" s="2"/>
      <c r="X3451" s="2"/>
      <c r="Y3451" s="2"/>
      <c r="Z3451" s="2"/>
      <c r="AA3451" s="2"/>
      <c r="AB3451" s="2"/>
      <c r="AC3451" s="2"/>
      <c r="AD3451" s="2"/>
      <c r="AE3451" s="2"/>
      <c r="AF3451" s="2"/>
      <c r="AG3451" s="2"/>
      <c r="AH3451" s="2"/>
      <c r="AI3451" s="2"/>
      <c r="AJ3451" s="2"/>
      <c r="AK3451" s="2"/>
      <c r="AL3451" s="2"/>
      <c r="AM3451" s="2"/>
      <c r="AN3451" s="2"/>
      <c r="AO3451" s="2"/>
      <c r="AP3451" s="2"/>
      <c r="AQ3451" s="2"/>
      <c r="AR3451" s="2"/>
      <c r="AS3451" s="2"/>
      <c r="AT3451" s="2"/>
      <c r="AU3451" s="2"/>
      <c r="AV3451" s="2"/>
      <c r="AW3451" s="2"/>
      <c r="AX3451" s="2"/>
      <c r="AY3451" s="2"/>
      <c r="AZ3451" s="2"/>
      <c r="BA3451" s="2"/>
      <c r="BB3451" s="2"/>
    </row>
    <row r="3452" ht="204.75" customHeight="1">
      <c r="A3452" s="1">
        <v>979.0</v>
      </c>
      <c r="B3452" s="2" t="s">
        <v>10361</v>
      </c>
      <c r="C3452" s="2">
        <f>IFERROR(__xludf.DUMMYFUNCTION("split(B3452,""_"")"),1710.0)</f>
        <v>1710</v>
      </c>
      <c r="D3452" s="2" t="str">
        <f>IFERROR(__xludf.DUMMYFUNCTION("""COMPUTED_VALUE"""),"NTV")</f>
        <v>NTV</v>
      </c>
      <c r="E3452" s="2" t="str">
        <f>IFERROR(__xludf.DUMMYFUNCTION("""COMPUTED_VALUE"""),"水22")</f>
        <v>水22</v>
      </c>
      <c r="F3452" s="2" t="s">
        <v>10362</v>
      </c>
      <c r="G3452" s="2" t="s">
        <v>10363</v>
      </c>
      <c r="H3452" s="1">
        <v>1.0</v>
      </c>
      <c r="I3452" s="1" t="s">
        <v>3</v>
      </c>
      <c r="J3452" s="1" t="s">
        <v>82</v>
      </c>
      <c r="K3452" s="2" t="s">
        <v>10364</v>
      </c>
      <c r="L3452" s="2" t="s">
        <v>10365</v>
      </c>
      <c r="M3452" s="2" t="str">
        <f>IFERROR(__xludf.DUMMYFUNCTION("split(split(K3452,""【"",false),""公式LINE"",false)"),"綾瀬はるか、広末涼子、本田翼、中尾明慶、銀粉蝶、石黒賢、西島秀俊、ほか    ")</f>
        <v>綾瀬はるか、広末涼子、本田翼、中尾明慶、銀粉蝶、石黒賢、西島秀俊、ほか    </v>
      </c>
      <c r="N3452" s="2"/>
      <c r="O3452" s="2"/>
      <c r="P3452" s="2"/>
      <c r="Q3452" s="2"/>
      <c r="R3452" s="2"/>
      <c r="S3452" s="2"/>
      <c r="T3452" s="2"/>
      <c r="U3452" s="2"/>
      <c r="V3452" s="2"/>
      <c r="W3452" s="2"/>
      <c r="X3452" s="2"/>
      <c r="Y3452" s="2"/>
      <c r="Z3452" s="2"/>
      <c r="AA3452" s="2"/>
      <c r="AB3452" s="2"/>
      <c r="AC3452" s="2"/>
      <c r="AD3452" s="2"/>
      <c r="AE3452" s="2"/>
      <c r="AF3452" s="2"/>
      <c r="AG3452" s="2"/>
      <c r="AH3452" s="2"/>
      <c r="AI3452" s="2"/>
      <c r="AJ3452" s="2"/>
      <c r="AK3452" s="2"/>
      <c r="AL3452" s="2"/>
      <c r="AM3452" s="2"/>
      <c r="AN3452" s="2"/>
      <c r="AO3452" s="2"/>
      <c r="AP3452" s="2"/>
      <c r="AQ3452" s="2"/>
      <c r="AR3452" s="2"/>
      <c r="AS3452" s="2"/>
      <c r="AT3452" s="2"/>
      <c r="AU3452" s="2"/>
      <c r="AV3452" s="2"/>
      <c r="AW3452" s="2"/>
      <c r="AX3452" s="2"/>
      <c r="AY3452" s="2"/>
      <c r="AZ3452" s="2"/>
      <c r="BA3452" s="2"/>
      <c r="BB3452" s="2"/>
    </row>
    <row r="3453" ht="204.75" customHeight="1">
      <c r="A3453" s="1">
        <v>980.0</v>
      </c>
      <c r="B3453" s="2" t="s">
        <v>10361</v>
      </c>
      <c r="C3453" s="2">
        <f>IFERROR(__xludf.DUMMYFUNCTION("split(B3453,""_"")"),1710.0)</f>
        <v>1710</v>
      </c>
      <c r="D3453" s="2" t="str">
        <f>IFERROR(__xludf.DUMMYFUNCTION("""COMPUTED_VALUE"""),"NTV")</f>
        <v>NTV</v>
      </c>
      <c r="E3453" s="2" t="str">
        <f>IFERROR(__xludf.DUMMYFUNCTION("""COMPUTED_VALUE"""),"水22")</f>
        <v>水22</v>
      </c>
      <c r="F3453" s="2" t="s">
        <v>10362</v>
      </c>
      <c r="G3453" s="2" t="s">
        <v>10366</v>
      </c>
      <c r="H3453" s="1">
        <v>2.0</v>
      </c>
      <c r="I3453" s="1" t="s">
        <v>7</v>
      </c>
      <c r="J3453" s="1" t="s">
        <v>82</v>
      </c>
      <c r="K3453" s="2" t="s">
        <v>10367</v>
      </c>
      <c r="L3453" s="2" t="s">
        <v>10368</v>
      </c>
      <c r="M3453" s="2" t="str">
        <f>IFERROR(__xludf.DUMMYFUNCTION("split(split(K3453,""【"",false),""公式LINE"",false)"),"綾瀬はるか、広末涼子、本田翼、中尾明慶、銀粉蝶、石黒賢、西島秀俊、ほか    ")</f>
        <v>綾瀬はるか、広末涼子、本田翼、中尾明慶、銀粉蝶、石黒賢、西島秀俊、ほか    </v>
      </c>
      <c r="N3453" s="2"/>
      <c r="O3453" s="2"/>
      <c r="P3453" s="2"/>
      <c r="Q3453" s="2"/>
      <c r="R3453" s="2"/>
      <c r="S3453" s="2"/>
      <c r="T3453" s="2"/>
      <c r="U3453" s="2"/>
      <c r="V3453" s="2"/>
      <c r="W3453" s="2"/>
      <c r="X3453" s="2"/>
      <c r="Y3453" s="2"/>
      <c r="Z3453" s="2"/>
      <c r="AA3453" s="2"/>
      <c r="AB3453" s="2"/>
      <c r="AC3453" s="2"/>
      <c r="AD3453" s="2"/>
      <c r="AE3453" s="2"/>
      <c r="AF3453" s="2"/>
      <c r="AG3453" s="2"/>
      <c r="AH3453" s="2"/>
      <c r="AI3453" s="2"/>
      <c r="AJ3453" s="2"/>
      <c r="AK3453" s="2"/>
      <c r="AL3453" s="2"/>
      <c r="AM3453" s="2"/>
      <c r="AN3453" s="2"/>
      <c r="AO3453" s="2"/>
      <c r="AP3453" s="2"/>
      <c r="AQ3453" s="2"/>
      <c r="AR3453" s="2"/>
      <c r="AS3453" s="2"/>
      <c r="AT3453" s="2"/>
      <c r="AU3453" s="2"/>
      <c r="AV3453" s="2"/>
      <c r="AW3453" s="2"/>
      <c r="AX3453" s="2"/>
      <c r="AY3453" s="2"/>
      <c r="AZ3453" s="2"/>
      <c r="BA3453" s="2"/>
      <c r="BB3453" s="2"/>
    </row>
    <row r="3454" ht="204.75" customHeight="1">
      <c r="A3454" s="1">
        <v>981.0</v>
      </c>
      <c r="B3454" s="2" t="s">
        <v>10361</v>
      </c>
      <c r="C3454" s="2">
        <f>IFERROR(__xludf.DUMMYFUNCTION("split(B3454,""_"")"),1710.0)</f>
        <v>1710</v>
      </c>
      <c r="D3454" s="2" t="str">
        <f>IFERROR(__xludf.DUMMYFUNCTION("""COMPUTED_VALUE"""),"NTV")</f>
        <v>NTV</v>
      </c>
      <c r="E3454" s="2" t="str">
        <f>IFERROR(__xludf.DUMMYFUNCTION("""COMPUTED_VALUE"""),"水22")</f>
        <v>水22</v>
      </c>
      <c r="F3454" s="2" t="s">
        <v>10362</v>
      </c>
      <c r="G3454" s="2" t="s">
        <v>10369</v>
      </c>
      <c r="H3454" s="1">
        <v>3.0</v>
      </c>
      <c r="I3454" s="1" t="s">
        <v>10</v>
      </c>
      <c r="J3454" s="1" t="s">
        <v>82</v>
      </c>
      <c r="K3454" s="2" t="s">
        <v>10370</v>
      </c>
      <c r="L3454" s="2" t="s">
        <v>10371</v>
      </c>
      <c r="M3454" s="2" t="str">
        <f>IFERROR(__xludf.DUMMYFUNCTION("split(split(K3454,""【"",false),""公式LINE"",false)"),"綾瀬はるか、広末涼子、本田翼、銀粉蝶、石黒賢、西島秀俊ほか    ")</f>
        <v>綾瀬はるか、広末涼子、本田翼、銀粉蝶、石黒賢、西島秀俊ほか    </v>
      </c>
      <c r="N3454" s="2"/>
      <c r="O3454" s="2"/>
      <c r="P3454" s="2"/>
      <c r="Q3454" s="2"/>
      <c r="R3454" s="2"/>
      <c r="S3454" s="2"/>
      <c r="T3454" s="2"/>
      <c r="U3454" s="2"/>
      <c r="V3454" s="2"/>
      <c r="W3454" s="2"/>
      <c r="X3454" s="2"/>
      <c r="Y3454" s="2"/>
      <c r="Z3454" s="2"/>
      <c r="AA3454" s="2"/>
      <c r="AB3454" s="2"/>
      <c r="AC3454" s="2"/>
      <c r="AD3454" s="2"/>
      <c r="AE3454" s="2"/>
      <c r="AF3454" s="2"/>
      <c r="AG3454" s="2"/>
      <c r="AH3454" s="2"/>
      <c r="AI3454" s="2"/>
      <c r="AJ3454" s="2"/>
      <c r="AK3454" s="2"/>
      <c r="AL3454" s="2"/>
      <c r="AM3454" s="2"/>
      <c r="AN3454" s="2"/>
      <c r="AO3454" s="2"/>
      <c r="AP3454" s="2"/>
      <c r="AQ3454" s="2"/>
      <c r="AR3454" s="2"/>
      <c r="AS3454" s="2"/>
      <c r="AT3454" s="2"/>
      <c r="AU3454" s="2"/>
      <c r="AV3454" s="2"/>
      <c r="AW3454" s="2"/>
      <c r="AX3454" s="2"/>
      <c r="AY3454" s="2"/>
      <c r="AZ3454" s="2"/>
      <c r="BA3454" s="2"/>
      <c r="BB3454" s="2"/>
    </row>
    <row r="3455" ht="204.75" customHeight="1">
      <c r="A3455" s="1">
        <v>982.0</v>
      </c>
      <c r="B3455" s="2" t="s">
        <v>10361</v>
      </c>
      <c r="C3455" s="2">
        <f>IFERROR(__xludf.DUMMYFUNCTION("split(B3455,""_"")"),1710.0)</f>
        <v>1710</v>
      </c>
      <c r="D3455" s="2" t="str">
        <f>IFERROR(__xludf.DUMMYFUNCTION("""COMPUTED_VALUE"""),"NTV")</f>
        <v>NTV</v>
      </c>
      <c r="E3455" s="2" t="str">
        <f>IFERROR(__xludf.DUMMYFUNCTION("""COMPUTED_VALUE"""),"水22")</f>
        <v>水22</v>
      </c>
      <c r="F3455" s="2" t="s">
        <v>10362</v>
      </c>
      <c r="G3455" s="2" t="s">
        <v>10372</v>
      </c>
      <c r="H3455" s="1">
        <v>4.0</v>
      </c>
      <c r="I3455" s="1" t="s">
        <v>14</v>
      </c>
      <c r="J3455" s="1" t="s">
        <v>82</v>
      </c>
      <c r="K3455" s="2" t="s">
        <v>10373</v>
      </c>
      <c r="L3455" s="2" t="s">
        <v>10374</v>
      </c>
      <c r="M3455" s="2" t="str">
        <f>IFERROR(__xludf.DUMMYFUNCTION("split(split(K3455,""【"",false),""公式LINE"",false)"),"綾瀬はるか、広末涼子、本田翼、中尾明慶、石黒賢、西島秀俊ほか    ")</f>
        <v>綾瀬はるか、広末涼子、本田翼、中尾明慶、石黒賢、西島秀俊ほか    </v>
      </c>
      <c r="N3455" s="2"/>
      <c r="O3455" s="2"/>
      <c r="P3455" s="2"/>
      <c r="Q3455" s="2"/>
      <c r="R3455" s="2"/>
      <c r="S3455" s="2"/>
      <c r="T3455" s="2"/>
      <c r="U3455" s="2"/>
      <c r="V3455" s="2"/>
      <c r="W3455" s="2"/>
      <c r="X3455" s="2"/>
      <c r="Y3455" s="2"/>
      <c r="Z3455" s="2"/>
      <c r="AA3455" s="2"/>
      <c r="AB3455" s="2"/>
      <c r="AC3455" s="2"/>
      <c r="AD3455" s="2"/>
      <c r="AE3455" s="2"/>
      <c r="AF3455" s="2"/>
      <c r="AG3455" s="2"/>
      <c r="AH3455" s="2"/>
      <c r="AI3455" s="2"/>
      <c r="AJ3455" s="2"/>
      <c r="AK3455" s="2"/>
      <c r="AL3455" s="2"/>
      <c r="AM3455" s="2"/>
      <c r="AN3455" s="2"/>
      <c r="AO3455" s="2"/>
      <c r="AP3455" s="2"/>
      <c r="AQ3455" s="2"/>
      <c r="AR3455" s="2"/>
      <c r="AS3455" s="2"/>
      <c r="AT3455" s="2"/>
      <c r="AU3455" s="2"/>
      <c r="AV3455" s="2"/>
      <c r="AW3455" s="2"/>
      <c r="AX3455" s="2"/>
      <c r="AY3455" s="2"/>
      <c r="AZ3455" s="2"/>
      <c r="BA3455" s="2"/>
      <c r="BB3455" s="2"/>
    </row>
    <row r="3456" ht="204.75" customHeight="1">
      <c r="A3456" s="1">
        <v>983.0</v>
      </c>
      <c r="B3456" s="2" t="s">
        <v>10361</v>
      </c>
      <c r="C3456" s="2">
        <f>IFERROR(__xludf.DUMMYFUNCTION("split(B3456,""_"")"),1710.0)</f>
        <v>1710</v>
      </c>
      <c r="D3456" s="2" t="str">
        <f>IFERROR(__xludf.DUMMYFUNCTION("""COMPUTED_VALUE"""),"NTV")</f>
        <v>NTV</v>
      </c>
      <c r="E3456" s="2" t="str">
        <f>IFERROR(__xludf.DUMMYFUNCTION("""COMPUTED_VALUE"""),"水22")</f>
        <v>水22</v>
      </c>
      <c r="F3456" s="2" t="s">
        <v>10362</v>
      </c>
      <c r="G3456" s="2" t="s">
        <v>10375</v>
      </c>
      <c r="H3456" s="1">
        <v>5.0</v>
      </c>
      <c r="I3456" s="1" t="s">
        <v>17</v>
      </c>
      <c r="J3456" s="1" t="s">
        <v>82</v>
      </c>
      <c r="K3456" s="2" t="s">
        <v>10376</v>
      </c>
      <c r="L3456" s="2" t="s">
        <v>10377</v>
      </c>
      <c r="M3456" s="2" t="str">
        <f>IFERROR(__xludf.DUMMYFUNCTION("split(split(K3456,""【"",false),""公式LINE"",false)"),"綾瀬はるか、広末涼子、本田翼、中尾明慶、銀粉蝶、石黒賢、西島秀俊ほか菜美(綾瀬はるか)、優里(広末涼子)、京子(本田翼)が、夫への不満を爆発させて家出を決意!!妻の家出に気付いた勇輝(西島秀俊)と渉(中尾明慶)、啓輔(石黒賢)が心細そうに対策を話し合う一方、3人は久しぶりに味わう自由を謳歌しようと、優里に連れられてクラブへ向かう。不慣れながらも満喫する菜美だったが、目を離した隙に優里と京子が姿を消してしまう。菜美は2人を怪しげな男たちから守ることができるのか!?")</f>
        <v>綾瀬はるか、広末涼子、本田翼、中尾明慶、銀粉蝶、石黒賢、西島秀俊ほか菜美(綾瀬はるか)、優里(広末涼子)、京子(本田翼)が、夫への不満を爆発させて家出を決意!!妻の家出に気付いた勇輝(西島秀俊)と渉(中尾明慶)、啓輔(石黒賢)が心細そうに対策を話し合う一方、3人は久しぶりに味わう自由を謳歌しようと、優里に連れられてクラブへ向かう。不慣れながらも満喫する菜美だったが、目を離した隙に優里と京子が姿を消してしまう。菜美は2人を怪しげな男たちから守ることができるのか!?</v>
      </c>
      <c r="N3456" s="2"/>
      <c r="O3456" s="2"/>
      <c r="P3456" s="2"/>
      <c r="Q3456" s="2"/>
      <c r="R3456" s="2"/>
      <c r="S3456" s="2"/>
      <c r="T3456" s="2"/>
      <c r="U3456" s="2"/>
      <c r="V3456" s="2"/>
      <c r="W3456" s="2"/>
      <c r="X3456" s="2"/>
      <c r="Y3456" s="2"/>
      <c r="Z3456" s="2"/>
      <c r="AA3456" s="2"/>
      <c r="AB3456" s="2"/>
      <c r="AC3456" s="2"/>
      <c r="AD3456" s="2"/>
      <c r="AE3456" s="2"/>
      <c r="AF3456" s="2"/>
      <c r="AG3456" s="2"/>
      <c r="AH3456" s="2"/>
      <c r="AI3456" s="2"/>
      <c r="AJ3456" s="2"/>
      <c r="AK3456" s="2"/>
      <c r="AL3456" s="2"/>
      <c r="AM3456" s="2"/>
      <c r="AN3456" s="2"/>
      <c r="AO3456" s="2"/>
      <c r="AP3456" s="2"/>
      <c r="AQ3456" s="2"/>
      <c r="AR3456" s="2"/>
      <c r="AS3456" s="2"/>
      <c r="AT3456" s="2"/>
      <c r="AU3456" s="2"/>
      <c r="AV3456" s="2"/>
      <c r="AW3456" s="2"/>
      <c r="AX3456" s="2"/>
      <c r="AY3456" s="2"/>
      <c r="AZ3456" s="2"/>
      <c r="BA3456" s="2"/>
      <c r="BB3456" s="2"/>
    </row>
    <row r="3457" ht="204.75" customHeight="1">
      <c r="A3457" s="1">
        <v>984.0</v>
      </c>
      <c r="B3457" s="2" t="s">
        <v>10361</v>
      </c>
      <c r="C3457" s="2">
        <f>IFERROR(__xludf.DUMMYFUNCTION("split(B3457,""_"")"),1710.0)</f>
        <v>1710</v>
      </c>
      <c r="D3457" s="2" t="str">
        <f>IFERROR(__xludf.DUMMYFUNCTION("""COMPUTED_VALUE"""),"NTV")</f>
        <v>NTV</v>
      </c>
      <c r="E3457" s="2" t="str">
        <f>IFERROR(__xludf.DUMMYFUNCTION("""COMPUTED_VALUE"""),"水22")</f>
        <v>水22</v>
      </c>
      <c r="F3457" s="2" t="s">
        <v>10362</v>
      </c>
      <c r="G3457" s="2" t="s">
        <v>10378</v>
      </c>
      <c r="H3457" s="1">
        <v>6.0</v>
      </c>
      <c r="I3457" s="1" t="s">
        <v>21</v>
      </c>
      <c r="J3457" s="1" t="s">
        <v>82</v>
      </c>
      <c r="K3457" s="2" t="s">
        <v>10379</v>
      </c>
      <c r="L3457" s="2" t="s">
        <v>10380</v>
      </c>
      <c r="M3457" s="2" t="str">
        <f>IFERROR(__xludf.DUMMYFUNCTION("split(split(K3457,""【"",false),""公式LINE"",false)"),"綾瀬はるか、広末涼子、本田翼、中尾明慶、石黒賢、西島秀俊ほか    ")</f>
        <v>綾瀬はるか、広末涼子、本田翼、中尾明慶、石黒賢、西島秀俊ほか    </v>
      </c>
      <c r="N3457" s="2"/>
      <c r="O3457" s="2"/>
      <c r="P3457" s="2"/>
      <c r="Q3457" s="2"/>
      <c r="R3457" s="2"/>
      <c r="S3457" s="2"/>
      <c r="T3457" s="2"/>
      <c r="U3457" s="2"/>
      <c r="V3457" s="2"/>
      <c r="W3457" s="2"/>
      <c r="X3457" s="2"/>
      <c r="Y3457" s="2"/>
      <c r="Z3457" s="2"/>
      <c r="AA3457" s="2"/>
      <c r="AB3457" s="2"/>
      <c r="AC3457" s="2"/>
      <c r="AD3457" s="2"/>
      <c r="AE3457" s="2"/>
      <c r="AF3457" s="2"/>
      <c r="AG3457" s="2"/>
      <c r="AH3457" s="2"/>
      <c r="AI3457" s="2"/>
      <c r="AJ3457" s="2"/>
      <c r="AK3457" s="2"/>
      <c r="AL3457" s="2"/>
      <c r="AM3457" s="2"/>
      <c r="AN3457" s="2"/>
      <c r="AO3457" s="2"/>
      <c r="AP3457" s="2"/>
      <c r="AQ3457" s="2"/>
      <c r="AR3457" s="2"/>
      <c r="AS3457" s="2"/>
      <c r="AT3457" s="2"/>
      <c r="AU3457" s="2"/>
      <c r="AV3457" s="2"/>
      <c r="AW3457" s="2"/>
      <c r="AX3457" s="2"/>
      <c r="AY3457" s="2"/>
      <c r="AZ3457" s="2"/>
      <c r="BA3457" s="2"/>
      <c r="BB3457" s="2"/>
    </row>
    <row r="3458" ht="204.75" customHeight="1">
      <c r="A3458" s="1">
        <v>985.0</v>
      </c>
      <c r="B3458" s="2" t="s">
        <v>10361</v>
      </c>
      <c r="C3458" s="2">
        <f>IFERROR(__xludf.DUMMYFUNCTION("split(B3458,""_"")"),1710.0)</f>
        <v>1710</v>
      </c>
      <c r="D3458" s="2" t="str">
        <f>IFERROR(__xludf.DUMMYFUNCTION("""COMPUTED_VALUE"""),"NTV")</f>
        <v>NTV</v>
      </c>
      <c r="E3458" s="2" t="str">
        <f>IFERROR(__xludf.DUMMYFUNCTION("""COMPUTED_VALUE"""),"水22")</f>
        <v>水22</v>
      </c>
      <c r="F3458" s="2" t="s">
        <v>10362</v>
      </c>
      <c r="G3458" s="2" t="s">
        <v>10381</v>
      </c>
      <c r="H3458" s="1">
        <v>7.0</v>
      </c>
      <c r="I3458" s="1" t="s">
        <v>25</v>
      </c>
      <c r="J3458" s="1" t="s">
        <v>82</v>
      </c>
      <c r="K3458" s="2" t="s">
        <v>10382</v>
      </c>
      <c r="L3458" s="2" t="s">
        <v>10383</v>
      </c>
      <c r="M3458" s="2" t="str">
        <f>IFERROR(__xludf.DUMMYFUNCTION("split(split(K3458,""【"",false),""公式LINE"",false)"),"綾瀬はるか、広末涼子、本田翼、中尾明慶、銀粉蝶/玉山鉄二/石黒賢/西島秀俊ほか    ")</f>
        <v>綾瀬はるか、広末涼子、本田翼、中尾明慶、銀粉蝶/玉山鉄二/石黒賢/西島秀俊ほか    </v>
      </c>
      <c r="N3458" s="2"/>
      <c r="O3458" s="2"/>
      <c r="P3458" s="2"/>
      <c r="Q3458" s="2"/>
      <c r="R3458" s="2"/>
      <c r="S3458" s="2"/>
      <c r="T3458" s="2"/>
      <c r="U3458" s="2"/>
      <c r="V3458" s="2"/>
      <c r="W3458" s="2"/>
      <c r="X3458" s="2"/>
      <c r="Y3458" s="2"/>
      <c r="Z3458" s="2"/>
      <c r="AA3458" s="2"/>
      <c r="AB3458" s="2"/>
      <c r="AC3458" s="2"/>
      <c r="AD3458" s="2"/>
      <c r="AE3458" s="2"/>
      <c r="AF3458" s="2"/>
      <c r="AG3458" s="2"/>
      <c r="AH3458" s="2"/>
      <c r="AI3458" s="2"/>
      <c r="AJ3458" s="2"/>
      <c r="AK3458" s="2"/>
      <c r="AL3458" s="2"/>
      <c r="AM3458" s="2"/>
      <c r="AN3458" s="2"/>
      <c r="AO3458" s="2"/>
      <c r="AP3458" s="2"/>
      <c r="AQ3458" s="2"/>
      <c r="AR3458" s="2"/>
      <c r="AS3458" s="2"/>
      <c r="AT3458" s="2"/>
      <c r="AU3458" s="2"/>
      <c r="AV3458" s="2"/>
      <c r="AW3458" s="2"/>
      <c r="AX3458" s="2"/>
      <c r="AY3458" s="2"/>
      <c r="AZ3458" s="2"/>
      <c r="BA3458" s="2"/>
      <c r="BB3458" s="2"/>
    </row>
    <row r="3459" ht="204.75" customHeight="1">
      <c r="A3459" s="1">
        <v>986.0</v>
      </c>
      <c r="B3459" s="2" t="s">
        <v>10361</v>
      </c>
      <c r="C3459" s="2">
        <f>IFERROR(__xludf.DUMMYFUNCTION("split(B3459,""_"")"),1710.0)</f>
        <v>1710</v>
      </c>
      <c r="D3459" s="2" t="str">
        <f>IFERROR(__xludf.DUMMYFUNCTION("""COMPUTED_VALUE"""),"NTV")</f>
        <v>NTV</v>
      </c>
      <c r="E3459" s="2" t="str">
        <f>IFERROR(__xludf.DUMMYFUNCTION("""COMPUTED_VALUE"""),"水22")</f>
        <v>水22</v>
      </c>
      <c r="F3459" s="2" t="s">
        <v>10362</v>
      </c>
      <c r="G3459" s="2" t="s">
        <v>10384</v>
      </c>
      <c r="H3459" s="1">
        <v>8.0</v>
      </c>
      <c r="I3459" s="1" t="s">
        <v>29</v>
      </c>
      <c r="J3459" s="1" t="s">
        <v>82</v>
      </c>
      <c r="K3459" s="2" t="s">
        <v>10385</v>
      </c>
      <c r="L3459" s="2" t="s">
        <v>10386</v>
      </c>
      <c r="M3459" s="2" t="str">
        <f>IFERROR(__xludf.DUMMYFUNCTION("split(split(K3459,""【"",false),""公式LINE"",false)"),"綾瀬はるか、広末涼子、本田翼、中尾明慶、銀粉蝶、石黒賢/西島秀俊ほか    ")</f>
        <v>綾瀬はるか、広末涼子、本田翼、中尾明慶、銀粉蝶、石黒賢/西島秀俊ほか    </v>
      </c>
      <c r="N3459" s="2"/>
      <c r="O3459" s="2"/>
      <c r="P3459" s="2"/>
      <c r="Q3459" s="2"/>
      <c r="R3459" s="2"/>
      <c r="S3459" s="2"/>
      <c r="T3459" s="2"/>
      <c r="U3459" s="2"/>
      <c r="V3459" s="2"/>
      <c r="W3459" s="2"/>
      <c r="X3459" s="2"/>
      <c r="Y3459" s="2"/>
      <c r="Z3459" s="2"/>
      <c r="AA3459" s="2"/>
      <c r="AB3459" s="2"/>
      <c r="AC3459" s="2"/>
      <c r="AD3459" s="2"/>
      <c r="AE3459" s="2"/>
      <c r="AF3459" s="2"/>
      <c r="AG3459" s="2"/>
      <c r="AH3459" s="2"/>
      <c r="AI3459" s="2"/>
      <c r="AJ3459" s="2"/>
      <c r="AK3459" s="2"/>
      <c r="AL3459" s="2"/>
      <c r="AM3459" s="2"/>
      <c r="AN3459" s="2"/>
      <c r="AO3459" s="2"/>
      <c r="AP3459" s="2"/>
      <c r="AQ3459" s="2"/>
      <c r="AR3459" s="2"/>
      <c r="AS3459" s="2"/>
      <c r="AT3459" s="2"/>
      <c r="AU3459" s="2"/>
      <c r="AV3459" s="2"/>
      <c r="AW3459" s="2"/>
      <c r="AX3459" s="2"/>
      <c r="AY3459" s="2"/>
      <c r="AZ3459" s="2"/>
      <c r="BA3459" s="2"/>
      <c r="BB3459" s="2"/>
    </row>
    <row r="3460" ht="204.75" customHeight="1">
      <c r="A3460" s="1">
        <v>987.0</v>
      </c>
      <c r="B3460" s="2" t="s">
        <v>10361</v>
      </c>
      <c r="C3460" s="2">
        <f>IFERROR(__xludf.DUMMYFUNCTION("split(B3460,""_"")"),1710.0)</f>
        <v>1710</v>
      </c>
      <c r="D3460" s="2" t="str">
        <f>IFERROR(__xludf.DUMMYFUNCTION("""COMPUTED_VALUE"""),"NTV")</f>
        <v>NTV</v>
      </c>
      <c r="E3460" s="2" t="str">
        <f>IFERROR(__xludf.DUMMYFUNCTION("""COMPUTED_VALUE"""),"水22")</f>
        <v>水22</v>
      </c>
      <c r="F3460" s="2" t="s">
        <v>10362</v>
      </c>
      <c r="G3460" s="2" t="s">
        <v>10387</v>
      </c>
      <c r="H3460" s="1">
        <v>9.0</v>
      </c>
      <c r="I3460" s="1" t="s">
        <v>33</v>
      </c>
      <c r="J3460" s="1" t="s">
        <v>82</v>
      </c>
      <c r="K3460" s="2" t="s">
        <v>10388</v>
      </c>
      <c r="L3460" s="2" t="s">
        <v>10389</v>
      </c>
      <c r="M3460" s="2" t="str">
        <f>IFERROR(__xludf.DUMMYFUNCTION("split(split(K3460,""【"",false),""公式LINE"",false)"),"綾瀬はるか、広末涼子、本田翼、中尾明慶/玉山鉄二/銀粉蝶、 石黒賢/西島秀俊ほか菜美（綾瀬はるか）は、勇輝（西島秀俊）から突然の海外赴任の話を聞かされ疑惑を深め、小雪（西尾まり）に調査を依頼。一方で、啓輔（石黒賢）との生活に限界を感じた優里（広末涼子）は、安西（小関裕太）に安らぎを求めるようになっていた。京子（本田翼）は夫の不倫を疑い渉（中尾明慶）を尾行し、同僚の女性とホテルに入る姿を目撃。そして遂に謎の男・横溝（玉山鉄二）が動き出す……思いもしない方向へと事態は急発展!!")</f>
        <v>綾瀬はるか、広末涼子、本田翼、中尾明慶/玉山鉄二/銀粉蝶、 石黒賢/西島秀俊ほか菜美（綾瀬はるか）は、勇輝（西島秀俊）から突然の海外赴任の話を聞かされ疑惑を深め、小雪（西尾まり）に調査を依頼。一方で、啓輔（石黒賢）との生活に限界を感じた優里（広末涼子）は、安西（小関裕太）に安らぎを求めるようになっていた。京子（本田翼）は夫の不倫を疑い渉（中尾明慶）を尾行し、同僚の女性とホテルに入る姿を目撃。そして遂に謎の男・横溝（玉山鉄二）が動き出す……思いもしない方向へと事態は急発展!!</v>
      </c>
      <c r="N3460" s="2"/>
      <c r="O3460" s="2"/>
      <c r="P3460" s="2"/>
      <c r="Q3460" s="2"/>
      <c r="R3460" s="2"/>
      <c r="S3460" s="2"/>
      <c r="T3460" s="2"/>
      <c r="U3460" s="2"/>
      <c r="V3460" s="2"/>
      <c r="W3460" s="2"/>
      <c r="X3460" s="2"/>
      <c r="Y3460" s="2"/>
      <c r="Z3460" s="2"/>
      <c r="AA3460" s="2"/>
      <c r="AB3460" s="2"/>
      <c r="AC3460" s="2"/>
      <c r="AD3460" s="2"/>
      <c r="AE3460" s="2"/>
      <c r="AF3460" s="2"/>
      <c r="AG3460" s="2"/>
      <c r="AH3460" s="2"/>
      <c r="AI3460" s="2"/>
      <c r="AJ3460" s="2"/>
      <c r="AK3460" s="2"/>
      <c r="AL3460" s="2"/>
      <c r="AM3460" s="2"/>
      <c r="AN3460" s="2"/>
      <c r="AO3460" s="2"/>
      <c r="AP3460" s="2"/>
      <c r="AQ3460" s="2"/>
      <c r="AR3460" s="2"/>
      <c r="AS3460" s="2"/>
      <c r="AT3460" s="2"/>
      <c r="AU3460" s="2"/>
      <c r="AV3460" s="2"/>
      <c r="AW3460" s="2"/>
      <c r="AX3460" s="2"/>
      <c r="AY3460" s="2"/>
      <c r="AZ3460" s="2"/>
      <c r="BA3460" s="2"/>
      <c r="BB3460" s="2"/>
    </row>
    <row r="3461" ht="204.75" customHeight="1">
      <c r="A3461" s="1">
        <v>988.0</v>
      </c>
      <c r="B3461" s="2" t="s">
        <v>10361</v>
      </c>
      <c r="C3461" s="2">
        <f>IFERROR(__xludf.DUMMYFUNCTION("split(B3461,""_"")"),1710.0)</f>
        <v>1710</v>
      </c>
      <c r="D3461" s="2" t="str">
        <f>IFERROR(__xludf.DUMMYFUNCTION("""COMPUTED_VALUE"""),"NTV")</f>
        <v>NTV</v>
      </c>
      <c r="E3461" s="2" t="str">
        <f>IFERROR(__xludf.DUMMYFUNCTION("""COMPUTED_VALUE"""),"水22")</f>
        <v>水22</v>
      </c>
      <c r="F3461" s="2" t="s">
        <v>10362</v>
      </c>
      <c r="G3461" s="2" t="s">
        <v>10390</v>
      </c>
      <c r="H3461" s="1">
        <v>10.0</v>
      </c>
      <c r="I3461" s="1" t="s">
        <v>37</v>
      </c>
      <c r="J3461" s="1" t="s">
        <v>82</v>
      </c>
      <c r="K3461" s="2" t="s">
        <v>10391</v>
      </c>
      <c r="L3461" s="2" t="s">
        <v>10392</v>
      </c>
      <c r="M3461" s="2" t="str">
        <f>IFERROR(__xludf.DUMMYFUNCTION("split(split(K3461,""【"",false),""公式LINE"",false)"),"綾瀬はるか、広末涼子、本田翼、中尾明慶/玉山鉄二/銀粉蝶、 石黒賢/西島秀俊ほか勇輝（西島秀俊）の本当の姿を知った菜美（綾瀬はるか）は激怒。命がけの夫婦ゲンカの末、自らの秘密を打ち明けた勇輝は、夫婦でいるために自分に従うよう菜美に忠告する。そんな中、横溝（玉山鉄二）に反抗した優里（広末涼子）が暴行を受け、入院。菜美は優里を救うために、勇輝の制止も聞かず、横溝と対決するために敵地へ乗り込んでいく！奥様たちは幸せを手にすることができるのか!?")</f>
        <v>綾瀬はるか、広末涼子、本田翼、中尾明慶/玉山鉄二/銀粉蝶、 石黒賢/西島秀俊ほか勇輝（西島秀俊）の本当の姿を知った菜美（綾瀬はるか）は激怒。命がけの夫婦ゲンカの末、自らの秘密を打ち明けた勇輝は、夫婦でいるために自分に従うよう菜美に忠告する。そんな中、横溝（玉山鉄二）に反抗した優里（広末涼子）が暴行を受け、入院。菜美は優里を救うために、勇輝の制止も聞かず、横溝と対決するために敵地へ乗り込んでいく！奥様たちは幸せを手にすることができるのか!?</v>
      </c>
      <c r="N3461" s="2"/>
      <c r="O3461" s="2"/>
      <c r="P3461" s="2"/>
      <c r="Q3461" s="2"/>
      <c r="R3461" s="2"/>
      <c r="S3461" s="2"/>
      <c r="T3461" s="2"/>
      <c r="U3461" s="2"/>
      <c r="V3461" s="2"/>
      <c r="W3461" s="2"/>
      <c r="X3461" s="2"/>
      <c r="Y3461" s="2"/>
      <c r="Z3461" s="2"/>
      <c r="AA3461" s="2"/>
      <c r="AB3461" s="2"/>
      <c r="AC3461" s="2"/>
      <c r="AD3461" s="2"/>
      <c r="AE3461" s="2"/>
      <c r="AF3461" s="2"/>
      <c r="AG3461" s="2"/>
      <c r="AH3461" s="2"/>
      <c r="AI3461" s="2"/>
      <c r="AJ3461" s="2"/>
      <c r="AK3461" s="2"/>
      <c r="AL3461" s="2"/>
      <c r="AM3461" s="2"/>
      <c r="AN3461" s="2"/>
      <c r="AO3461" s="2"/>
      <c r="AP3461" s="2"/>
      <c r="AQ3461" s="2"/>
      <c r="AR3461" s="2"/>
      <c r="AS3461" s="2"/>
      <c r="AT3461" s="2"/>
      <c r="AU3461" s="2"/>
      <c r="AV3461" s="2"/>
      <c r="AW3461" s="2"/>
      <c r="AX3461" s="2"/>
      <c r="AY3461" s="2"/>
      <c r="AZ3461" s="2"/>
      <c r="BA3461" s="2"/>
      <c r="BB3461" s="2"/>
    </row>
    <row r="3462" ht="204.75" customHeight="1">
      <c r="A3462" s="1">
        <v>1009.0</v>
      </c>
      <c r="B3462" s="2" t="s">
        <v>10393</v>
      </c>
      <c r="C3462" s="2">
        <f>IFERROR(__xludf.DUMMYFUNCTION("split(B3462,""_"")"),1710.0)</f>
        <v>1710</v>
      </c>
      <c r="D3462" s="2" t="str">
        <f>IFERROR(__xludf.DUMMYFUNCTION("""COMPUTED_VALUE"""),"NTV")</f>
        <v>NTV</v>
      </c>
      <c r="E3462" s="2" t="str">
        <f>IFERROR(__xludf.DUMMYFUNCTION("""COMPUTED_VALUE"""),"木23")</f>
        <v>木23</v>
      </c>
      <c r="F3462" s="2" t="s">
        <v>10394</v>
      </c>
      <c r="G3462" s="2" t="s">
        <v>10395</v>
      </c>
      <c r="H3462" s="1">
        <v>1.0</v>
      </c>
      <c r="J3462" s="1" t="s">
        <v>1435</v>
      </c>
      <c r="K3462" s="2" t="s">
        <v>10396</v>
      </c>
      <c r="L3462" s="2" t="s">
        <v>10397</v>
      </c>
      <c r="M3462" s="2" t="str">
        <f>IFERROR(__xludf.DUMMYFUNCTION("split(split(K3462,""【"",false),""公式LINE"",false)"),"今宮沙織…木村多江    福島勲…佐藤二朗  天満龍二…平山浩行  高槻裕也…堀井新太  芦原咲良…岡野真也  田村雄大…竹内まなぶ（カミナリ)  岡島まこと…石田たくみ（カミナリ)  寺田圭吾…高橋光臣    城田純一…DAIGO(特別出演)    糸賀朱里…鈴木砂羽    ")</f>
        <v>今宮沙織…木村多江    福島勲…佐藤二朗  天満龍二…平山浩行  高槻裕也…堀井新太  芦原咲良…岡野真也  田村雄大…竹内まなぶ（カミナリ)  岡島まこと…石田たくみ（カミナリ)  寺田圭吾…高橋光臣    城田純一…DAIGO(特別出演)    糸賀朱里…鈴木砂羽    </v>
      </c>
      <c r="N3462" s="2"/>
      <c r="O3462" s="2"/>
      <c r="P3462" s="2"/>
      <c r="Q3462" s="2"/>
      <c r="R3462" s="2"/>
      <c r="S3462" s="2"/>
      <c r="T3462" s="2"/>
      <c r="U3462" s="2"/>
      <c r="V3462" s="2"/>
      <c r="W3462" s="2"/>
      <c r="X3462" s="2"/>
      <c r="Y3462" s="2"/>
      <c r="Z3462" s="2"/>
      <c r="AA3462" s="2"/>
      <c r="AB3462" s="2"/>
      <c r="AC3462" s="2"/>
      <c r="AD3462" s="2"/>
      <c r="AE3462" s="2"/>
      <c r="AF3462" s="2"/>
      <c r="AG3462" s="2"/>
      <c r="AH3462" s="2"/>
      <c r="AI3462" s="2"/>
      <c r="AJ3462" s="2"/>
      <c r="AK3462" s="2"/>
      <c r="AL3462" s="2"/>
      <c r="AM3462" s="2"/>
      <c r="AN3462" s="2"/>
      <c r="AO3462" s="2"/>
      <c r="AP3462" s="2"/>
      <c r="AQ3462" s="2"/>
      <c r="AR3462" s="2"/>
      <c r="AS3462" s="2"/>
      <c r="AT3462" s="2"/>
      <c r="AU3462" s="2"/>
      <c r="AV3462" s="2"/>
      <c r="AW3462" s="2"/>
      <c r="AX3462" s="2"/>
      <c r="AY3462" s="2"/>
      <c r="AZ3462" s="2"/>
      <c r="BA3462" s="2"/>
      <c r="BB3462" s="2"/>
    </row>
    <row r="3463" ht="204.75" customHeight="1">
      <c r="A3463" s="1">
        <v>1010.0</v>
      </c>
      <c r="B3463" s="2" t="s">
        <v>10393</v>
      </c>
      <c r="C3463" s="2">
        <f>IFERROR(__xludf.DUMMYFUNCTION("split(B3463,""_"")"),1710.0)</f>
        <v>1710</v>
      </c>
      <c r="D3463" s="2" t="str">
        <f>IFERROR(__xludf.DUMMYFUNCTION("""COMPUTED_VALUE"""),"NTV")</f>
        <v>NTV</v>
      </c>
      <c r="E3463" s="2" t="str">
        <f>IFERROR(__xludf.DUMMYFUNCTION("""COMPUTED_VALUE"""),"木23")</f>
        <v>木23</v>
      </c>
      <c r="F3463" s="2" t="s">
        <v>10394</v>
      </c>
      <c r="G3463" s="2" t="s">
        <v>10398</v>
      </c>
      <c r="H3463" s="1">
        <v>2.0</v>
      </c>
      <c r="J3463" s="1" t="s">
        <v>1435</v>
      </c>
      <c r="K3463" s="2" t="s">
        <v>10399</v>
      </c>
      <c r="L3463" s="2" t="s">
        <v>10400</v>
      </c>
      <c r="M3463" s="2" t="str">
        <f>IFERROR(__xludf.DUMMYFUNCTION("split(split(K3463,""【"",false),""公式LINE"",false)"),"今宮沙織…木村多江    福島勲…佐藤二朗  天満龍二…平山浩行  高槻裕也…堀井新太  芦原咲良…岡野真也  田村雄大…竹内まなぶ（カミナリ)  岡島まこと…石田たくみ（カミナリ)    城田純一…DAIGO(特別出演)    糸賀朱里…鈴木砂羽    ")</f>
        <v>今宮沙織…木村多江    福島勲…佐藤二朗  天満龍二…平山浩行  高槻裕也…堀井新太  芦原咲良…岡野真也  田村雄大…竹内まなぶ（カミナリ)  岡島まこと…石田たくみ（カミナリ)    城田純一…DAIGO(特別出演)    糸賀朱里…鈴木砂羽    </v>
      </c>
      <c r="N3463" s="2"/>
      <c r="O3463" s="2"/>
      <c r="P3463" s="2"/>
      <c r="Q3463" s="2"/>
      <c r="R3463" s="2"/>
      <c r="S3463" s="2"/>
      <c r="T3463" s="2"/>
      <c r="U3463" s="2"/>
      <c r="V3463" s="2"/>
      <c r="W3463" s="2"/>
      <c r="X3463" s="2"/>
      <c r="Y3463" s="2"/>
      <c r="Z3463" s="2"/>
      <c r="AA3463" s="2"/>
      <c r="AB3463" s="2"/>
      <c r="AC3463" s="2"/>
      <c r="AD3463" s="2"/>
      <c r="AE3463" s="2"/>
      <c r="AF3463" s="2"/>
      <c r="AG3463" s="2"/>
      <c r="AH3463" s="2"/>
      <c r="AI3463" s="2"/>
      <c r="AJ3463" s="2"/>
      <c r="AK3463" s="2"/>
      <c r="AL3463" s="2"/>
      <c r="AM3463" s="2"/>
      <c r="AN3463" s="2"/>
      <c r="AO3463" s="2"/>
      <c r="AP3463" s="2"/>
      <c r="AQ3463" s="2"/>
      <c r="AR3463" s="2"/>
      <c r="AS3463" s="2"/>
      <c r="AT3463" s="2"/>
      <c r="AU3463" s="2"/>
      <c r="AV3463" s="2"/>
      <c r="AW3463" s="2"/>
      <c r="AX3463" s="2"/>
      <c r="AY3463" s="2"/>
      <c r="AZ3463" s="2"/>
      <c r="BA3463" s="2"/>
      <c r="BB3463" s="2"/>
    </row>
    <row r="3464" ht="204.75" customHeight="1">
      <c r="A3464" s="1">
        <v>1011.0</v>
      </c>
      <c r="B3464" s="2" t="s">
        <v>10393</v>
      </c>
      <c r="C3464" s="2">
        <f>IFERROR(__xludf.DUMMYFUNCTION("split(B3464,""_"")"),1710.0)</f>
        <v>1710</v>
      </c>
      <c r="D3464" s="2" t="str">
        <f>IFERROR(__xludf.DUMMYFUNCTION("""COMPUTED_VALUE"""),"NTV")</f>
        <v>NTV</v>
      </c>
      <c r="E3464" s="2" t="str">
        <f>IFERROR(__xludf.DUMMYFUNCTION("""COMPUTED_VALUE"""),"木23")</f>
        <v>木23</v>
      </c>
      <c r="F3464" s="2" t="s">
        <v>10394</v>
      </c>
      <c r="G3464" s="2" t="s">
        <v>10401</v>
      </c>
      <c r="H3464" s="1">
        <v>3.0</v>
      </c>
      <c r="J3464" s="1" t="s">
        <v>1435</v>
      </c>
      <c r="K3464" s="2" t="s">
        <v>10402</v>
      </c>
      <c r="L3464" s="2" t="s">
        <v>10403</v>
      </c>
      <c r="M3464" s="2" t="str">
        <f>IFERROR(__xludf.DUMMYFUNCTION("split(split(K3464,""【"",false),""公式LINE"",false)"),"今宮沙織…木村多江    福島勲…佐藤二朗  天満龍二…平山浩行  高槻裕也…堀井新太  芦原咲良…岡野真也  田村雄大…竹内まなぶ（カミナリ)  岡島まこと…石田たくみ（カミナリ)  寺田圭吾…高橋光臣    城田純一…DAIGO(特別出演)    糸賀朱里…鈴木砂羽    ")</f>
        <v>今宮沙織…木村多江    福島勲…佐藤二朗  天満龍二…平山浩行  高槻裕也…堀井新太  芦原咲良…岡野真也  田村雄大…竹内まなぶ（カミナリ)  岡島まこと…石田たくみ（カミナリ)  寺田圭吾…高橋光臣    城田純一…DAIGO(特別出演)    糸賀朱里…鈴木砂羽    </v>
      </c>
      <c r="N3464" s="2"/>
      <c r="O3464" s="2"/>
      <c r="P3464" s="2"/>
      <c r="Q3464" s="2"/>
      <c r="R3464" s="2"/>
      <c r="S3464" s="2"/>
      <c r="T3464" s="2"/>
      <c r="U3464" s="2"/>
      <c r="V3464" s="2"/>
      <c r="W3464" s="2"/>
      <c r="X3464" s="2"/>
      <c r="Y3464" s="2"/>
      <c r="Z3464" s="2"/>
      <c r="AA3464" s="2"/>
      <c r="AB3464" s="2"/>
      <c r="AC3464" s="2"/>
      <c r="AD3464" s="2"/>
      <c r="AE3464" s="2"/>
      <c r="AF3464" s="2"/>
      <c r="AG3464" s="2"/>
      <c r="AH3464" s="2"/>
      <c r="AI3464" s="2"/>
      <c r="AJ3464" s="2"/>
      <c r="AK3464" s="2"/>
      <c r="AL3464" s="2"/>
      <c r="AM3464" s="2"/>
      <c r="AN3464" s="2"/>
      <c r="AO3464" s="2"/>
      <c r="AP3464" s="2"/>
      <c r="AQ3464" s="2"/>
      <c r="AR3464" s="2"/>
      <c r="AS3464" s="2"/>
      <c r="AT3464" s="2"/>
      <c r="AU3464" s="2"/>
      <c r="AV3464" s="2"/>
      <c r="AW3464" s="2"/>
      <c r="AX3464" s="2"/>
      <c r="AY3464" s="2"/>
      <c r="AZ3464" s="2"/>
      <c r="BA3464" s="2"/>
      <c r="BB3464" s="2"/>
    </row>
    <row r="3465" ht="204.75" customHeight="1">
      <c r="A3465" s="1">
        <v>1012.0</v>
      </c>
      <c r="B3465" s="2" t="s">
        <v>10393</v>
      </c>
      <c r="C3465" s="2">
        <f>IFERROR(__xludf.DUMMYFUNCTION("split(B3465,""_"")"),1710.0)</f>
        <v>1710</v>
      </c>
      <c r="D3465" s="2" t="str">
        <f>IFERROR(__xludf.DUMMYFUNCTION("""COMPUTED_VALUE"""),"NTV")</f>
        <v>NTV</v>
      </c>
      <c r="E3465" s="2" t="str">
        <f>IFERROR(__xludf.DUMMYFUNCTION("""COMPUTED_VALUE"""),"木23")</f>
        <v>木23</v>
      </c>
      <c r="F3465" s="2" t="s">
        <v>10394</v>
      </c>
      <c r="G3465" s="2" t="s">
        <v>10404</v>
      </c>
      <c r="H3465" s="1">
        <v>4.0</v>
      </c>
      <c r="J3465" s="1" t="s">
        <v>1435</v>
      </c>
      <c r="K3465" s="2" t="s">
        <v>10405</v>
      </c>
      <c r="L3465" s="2" t="s">
        <v>10406</v>
      </c>
      <c r="M3465" s="2" t="str">
        <f>IFERROR(__xludf.DUMMYFUNCTION("split(split(K3465,""【"",false),""公式LINE"",false)"),"今宮沙織…木村多江    福島勲…佐藤二朗  天満龍二…平山浩行  高槻裕也…堀井新太  芦原咲良…岡野真也  田村雄大…竹内まなぶ（カミナリ)  岡島まこと…石田たくみ（カミナリ)  寺田圭吾…高橋光臣    城田純一…DAIGO(特別出演)    糸賀朱里…鈴木砂羽    ")</f>
        <v>今宮沙織…木村多江    福島勲…佐藤二朗  天満龍二…平山浩行  高槻裕也…堀井新太  芦原咲良…岡野真也  田村雄大…竹内まなぶ（カミナリ)  岡島まこと…石田たくみ（カミナリ)  寺田圭吾…高橋光臣    城田純一…DAIGO(特別出演)    糸賀朱里…鈴木砂羽    </v>
      </c>
      <c r="N3465" s="2"/>
      <c r="O3465" s="2"/>
      <c r="P3465" s="2"/>
      <c r="Q3465" s="2"/>
      <c r="R3465" s="2"/>
      <c r="S3465" s="2"/>
      <c r="T3465" s="2"/>
      <c r="U3465" s="2"/>
      <c r="V3465" s="2"/>
      <c r="W3465" s="2"/>
      <c r="X3465" s="2"/>
      <c r="Y3465" s="2"/>
      <c r="Z3465" s="2"/>
      <c r="AA3465" s="2"/>
      <c r="AB3465" s="2"/>
      <c r="AC3465" s="2"/>
      <c r="AD3465" s="2"/>
      <c r="AE3465" s="2"/>
      <c r="AF3465" s="2"/>
      <c r="AG3465" s="2"/>
      <c r="AH3465" s="2"/>
      <c r="AI3465" s="2"/>
      <c r="AJ3465" s="2"/>
      <c r="AK3465" s="2"/>
      <c r="AL3465" s="2"/>
      <c r="AM3465" s="2"/>
      <c r="AN3465" s="2"/>
      <c r="AO3465" s="2"/>
      <c r="AP3465" s="2"/>
      <c r="AQ3465" s="2"/>
      <c r="AR3465" s="2"/>
      <c r="AS3465" s="2"/>
      <c r="AT3465" s="2"/>
      <c r="AU3465" s="2"/>
      <c r="AV3465" s="2"/>
      <c r="AW3465" s="2"/>
      <c r="AX3465" s="2"/>
      <c r="AY3465" s="2"/>
      <c r="AZ3465" s="2"/>
      <c r="BA3465" s="2"/>
      <c r="BB3465" s="2"/>
    </row>
    <row r="3466" ht="204.75" customHeight="1">
      <c r="A3466" s="1">
        <v>1013.0</v>
      </c>
      <c r="B3466" s="2" t="s">
        <v>10393</v>
      </c>
      <c r="C3466" s="2">
        <f>IFERROR(__xludf.DUMMYFUNCTION("split(B3466,""_"")"),1710.0)</f>
        <v>1710</v>
      </c>
      <c r="D3466" s="2" t="str">
        <f>IFERROR(__xludf.DUMMYFUNCTION("""COMPUTED_VALUE"""),"NTV")</f>
        <v>NTV</v>
      </c>
      <c r="E3466" s="2" t="str">
        <f>IFERROR(__xludf.DUMMYFUNCTION("""COMPUTED_VALUE"""),"木23")</f>
        <v>木23</v>
      </c>
      <c r="F3466" s="2" t="s">
        <v>10394</v>
      </c>
      <c r="G3466" s="2" t="s">
        <v>10407</v>
      </c>
      <c r="H3466" s="1">
        <v>5.0</v>
      </c>
      <c r="J3466" s="1" t="s">
        <v>1435</v>
      </c>
      <c r="K3466" s="2" t="s">
        <v>10408</v>
      </c>
      <c r="L3466" s="2" t="s">
        <v>10409</v>
      </c>
      <c r="M3466" s="2" t="str">
        <f>IFERROR(__xludf.DUMMYFUNCTION("split(split(K3466,""【"",false),""公式LINE"",false)"),"今宮沙織…木村多江    福島勲…佐藤二朗  天満龍二…平山浩行  高槻裕也…堀井新太  芦原咲良…岡野真也  田村雄大…竹内まなぶ（カミナリ)  岡島まこと…石田たくみ（カミナリ)  寺田圭吾…高橋光臣    城田純一…DAIGO(特別出演)    糸賀朱里…鈴木砂羽    ")</f>
        <v>今宮沙織…木村多江    福島勲…佐藤二朗  天満龍二…平山浩行  高槻裕也…堀井新太  芦原咲良…岡野真也  田村雄大…竹内まなぶ（カミナリ)  岡島まこと…石田たくみ（カミナリ)  寺田圭吾…高橋光臣    城田純一…DAIGO(特別出演)    糸賀朱里…鈴木砂羽    </v>
      </c>
      <c r="N3466" s="2"/>
      <c r="O3466" s="2"/>
      <c r="P3466" s="2"/>
      <c r="Q3466" s="2"/>
      <c r="R3466" s="2"/>
      <c r="S3466" s="2"/>
      <c r="T3466" s="2"/>
      <c r="U3466" s="2"/>
      <c r="V3466" s="2"/>
      <c r="W3466" s="2"/>
      <c r="X3466" s="2"/>
      <c r="Y3466" s="2"/>
      <c r="Z3466" s="2"/>
      <c r="AA3466" s="2"/>
      <c r="AB3466" s="2"/>
      <c r="AC3466" s="2"/>
      <c r="AD3466" s="2"/>
      <c r="AE3466" s="2"/>
      <c r="AF3466" s="2"/>
      <c r="AG3466" s="2"/>
      <c r="AH3466" s="2"/>
      <c r="AI3466" s="2"/>
      <c r="AJ3466" s="2"/>
      <c r="AK3466" s="2"/>
      <c r="AL3466" s="2"/>
      <c r="AM3466" s="2"/>
      <c r="AN3466" s="2"/>
      <c r="AO3466" s="2"/>
      <c r="AP3466" s="2"/>
      <c r="AQ3466" s="2"/>
      <c r="AR3466" s="2"/>
      <c r="AS3466" s="2"/>
      <c r="AT3466" s="2"/>
      <c r="AU3466" s="2"/>
      <c r="AV3466" s="2"/>
      <c r="AW3466" s="2"/>
      <c r="AX3466" s="2"/>
      <c r="AY3466" s="2"/>
      <c r="AZ3466" s="2"/>
      <c r="BA3466" s="2"/>
      <c r="BB3466" s="2"/>
    </row>
    <row r="3467" ht="204.75" customHeight="1">
      <c r="A3467" s="1">
        <v>1014.0</v>
      </c>
      <c r="B3467" s="2" t="s">
        <v>10393</v>
      </c>
      <c r="C3467" s="2">
        <f>IFERROR(__xludf.DUMMYFUNCTION("split(B3467,""_"")"),1710.0)</f>
        <v>1710</v>
      </c>
      <c r="D3467" s="2" t="str">
        <f>IFERROR(__xludf.DUMMYFUNCTION("""COMPUTED_VALUE"""),"NTV")</f>
        <v>NTV</v>
      </c>
      <c r="E3467" s="2" t="str">
        <f>IFERROR(__xludf.DUMMYFUNCTION("""COMPUTED_VALUE"""),"木23")</f>
        <v>木23</v>
      </c>
      <c r="F3467" s="2" t="s">
        <v>10394</v>
      </c>
      <c r="G3467" s="2" t="s">
        <v>10410</v>
      </c>
      <c r="H3467" s="1">
        <v>6.0</v>
      </c>
      <c r="J3467" s="1" t="s">
        <v>1435</v>
      </c>
      <c r="K3467" s="2" t="s">
        <v>10411</v>
      </c>
      <c r="L3467" s="2" t="s">
        <v>10412</v>
      </c>
      <c r="M3467" s="2" t="str">
        <f>IFERROR(__xludf.DUMMYFUNCTION("split(split(K3467,""【"",false),""公式LINE"",false)"),"今宮沙織…木村多江    福島勲…佐藤二朗  天満龍二…平山浩行  高槻裕也…堀井新太  芦原咲良…岡野真也  田村雄大…竹内まなぶ（カミナリ)  岡島まこと…石田たくみ（カミナリ)    鶴川謙三…宇野祥平  並木猛…加治将樹    石田綾子…中村映里子  寺田圭吾…高橋光臣    城田純一…DAIGO(特別出演)    糸賀朱里…鈴木砂羽沙織（木村多江）は福島（佐藤二朗）のねつ造を誌面で告発しようとするが、福島によって記事は差し替えられる。それは妹の綾子（中村映里子）が圭吾（高橋光臣）の愛人だったとい"&amp;"う記事だった。沙織はまた圭吾の記事をねつ造した事に激怒するが、福島は全部真実だと主張し証拠動画を見せる。その動画で、圭吾は綾子と肉体関係を持った事を認めていた。沙織は綾子に真相を確認し綾子はずっと秘密にしていた衝撃の事実を打ち明けて…")</f>
        <v>今宮沙織…木村多江    福島勲…佐藤二朗  天満龍二…平山浩行  高槻裕也…堀井新太  芦原咲良…岡野真也  田村雄大…竹内まなぶ（カミナリ)  岡島まこと…石田たくみ（カミナリ)    鶴川謙三…宇野祥平  並木猛…加治将樹    石田綾子…中村映里子  寺田圭吾…高橋光臣    城田純一…DAIGO(特別出演)    糸賀朱里…鈴木砂羽沙織（木村多江）は福島（佐藤二朗）のねつ造を誌面で告発しようとするが、福島によって記事は差し替えられる。それは妹の綾子（中村映里子）が圭吾（高橋光臣）の愛人だったという記事だった。沙織はまた圭吾の記事をねつ造した事に激怒するが、福島は全部真実だと主張し証拠動画を見せる。その動画で、圭吾は綾子と肉体関係を持った事を認めていた。沙織は綾子に真相を確認し綾子はずっと秘密にしていた衝撃の事実を打ち明けて…</v>
      </c>
      <c r="N3467" s="2"/>
      <c r="O3467" s="2"/>
      <c r="P3467" s="2"/>
      <c r="Q3467" s="2"/>
      <c r="R3467" s="2"/>
      <c r="S3467" s="2"/>
      <c r="T3467" s="2"/>
      <c r="U3467" s="2"/>
      <c r="V3467" s="2"/>
      <c r="W3467" s="2"/>
      <c r="X3467" s="2"/>
      <c r="Y3467" s="2"/>
      <c r="Z3467" s="2"/>
      <c r="AA3467" s="2"/>
      <c r="AB3467" s="2"/>
      <c r="AC3467" s="2"/>
      <c r="AD3467" s="2"/>
      <c r="AE3467" s="2"/>
      <c r="AF3467" s="2"/>
      <c r="AG3467" s="2"/>
      <c r="AH3467" s="2"/>
      <c r="AI3467" s="2"/>
      <c r="AJ3467" s="2"/>
      <c r="AK3467" s="2"/>
      <c r="AL3467" s="2"/>
      <c r="AM3467" s="2"/>
      <c r="AN3467" s="2"/>
      <c r="AO3467" s="2"/>
      <c r="AP3467" s="2"/>
      <c r="AQ3467" s="2"/>
      <c r="AR3467" s="2"/>
      <c r="AS3467" s="2"/>
      <c r="AT3467" s="2"/>
      <c r="AU3467" s="2"/>
      <c r="AV3467" s="2"/>
      <c r="AW3467" s="2"/>
      <c r="AX3467" s="2"/>
      <c r="AY3467" s="2"/>
      <c r="AZ3467" s="2"/>
      <c r="BA3467" s="2"/>
      <c r="BB3467" s="2"/>
    </row>
    <row r="3468" ht="204.75" customHeight="1">
      <c r="A3468" s="1">
        <v>1015.0</v>
      </c>
      <c r="B3468" s="2" t="s">
        <v>10393</v>
      </c>
      <c r="C3468" s="2">
        <f>IFERROR(__xludf.DUMMYFUNCTION("split(B3468,""_"")"),1710.0)</f>
        <v>1710</v>
      </c>
      <c r="D3468" s="2" t="str">
        <f>IFERROR(__xludf.DUMMYFUNCTION("""COMPUTED_VALUE"""),"NTV")</f>
        <v>NTV</v>
      </c>
      <c r="E3468" s="2" t="str">
        <f>IFERROR(__xludf.DUMMYFUNCTION("""COMPUTED_VALUE"""),"木23")</f>
        <v>木23</v>
      </c>
      <c r="F3468" s="2" t="s">
        <v>10394</v>
      </c>
      <c r="G3468" s="2" t="s">
        <v>10413</v>
      </c>
      <c r="H3468" s="1">
        <v>7.0</v>
      </c>
      <c r="J3468" s="1" t="s">
        <v>1435</v>
      </c>
      <c r="K3468" s="2" t="s">
        <v>10414</v>
      </c>
      <c r="L3468" s="2" t="s">
        <v>10415</v>
      </c>
      <c r="M3468" s="2" t="str">
        <f>IFERROR(__xludf.DUMMYFUNCTION("split(split(K3468,""【"",false),""公式LINE"",false)"),"今宮沙織…木村多江    福島勲…佐藤二朗  天満龍二…平山浩行  高槻裕也…堀井新太  芦原咲良…岡野真也  石山綾子…中村映里子  田村雄大…竹内まなぶ（カミナリ)  岡島まこと…石田たくみ（カミナリ)    寺田圭吾…高橋光臣    糸賀朱里…鈴木砂羽福島（佐藤二朗）は沙織（木村多江）の妹の綾子（中村映里子）が圭吾（高橋光臣）の愛人だったという記事を星流に掲載。綾子は圭吾との肉体関係を認め悠斗（佐藤令旺）が圭吾との間にできた子供と打ち明ける。圭吾、綾子に裏切られた沙織に追い打ちをかけるように福島は悠"&amp;"斗の事も最新号に掲載。さらに福島は星流の記者に綾子を直撃取材させる。心労から倒れて病院に運ばれる綾子。沙織は病室で眠っている綾子の首に両手を伸ばし…")</f>
        <v>今宮沙織…木村多江    福島勲…佐藤二朗  天満龍二…平山浩行  高槻裕也…堀井新太  芦原咲良…岡野真也  石山綾子…中村映里子  田村雄大…竹内まなぶ（カミナリ)  岡島まこと…石田たくみ（カミナリ)    寺田圭吾…高橋光臣    糸賀朱里…鈴木砂羽福島（佐藤二朗）は沙織（木村多江）の妹の綾子（中村映里子）が圭吾（高橋光臣）の愛人だったという記事を星流に掲載。綾子は圭吾との肉体関係を認め悠斗（佐藤令旺）が圭吾との間にできた子供と打ち明ける。圭吾、綾子に裏切られた沙織に追い打ちをかけるように福島は悠斗の事も最新号に掲載。さらに福島は星流の記者に綾子を直撃取材させる。心労から倒れて病院に運ばれる綾子。沙織は病室で眠っている綾子の首に両手を伸ばし…</v>
      </c>
      <c r="N3468" s="2"/>
      <c r="O3468" s="2"/>
      <c r="P3468" s="2"/>
      <c r="Q3468" s="2"/>
      <c r="R3468" s="2"/>
      <c r="S3468" s="2"/>
      <c r="T3468" s="2"/>
      <c r="U3468" s="2"/>
      <c r="V3468" s="2"/>
      <c r="W3468" s="2"/>
      <c r="X3468" s="2"/>
      <c r="Y3468" s="2"/>
      <c r="Z3468" s="2"/>
      <c r="AA3468" s="2"/>
      <c r="AB3468" s="2"/>
      <c r="AC3468" s="2"/>
      <c r="AD3468" s="2"/>
      <c r="AE3468" s="2"/>
      <c r="AF3468" s="2"/>
      <c r="AG3468" s="2"/>
      <c r="AH3468" s="2"/>
      <c r="AI3468" s="2"/>
      <c r="AJ3468" s="2"/>
      <c r="AK3468" s="2"/>
      <c r="AL3468" s="2"/>
      <c r="AM3468" s="2"/>
      <c r="AN3468" s="2"/>
      <c r="AO3468" s="2"/>
      <c r="AP3468" s="2"/>
      <c r="AQ3468" s="2"/>
      <c r="AR3468" s="2"/>
      <c r="AS3468" s="2"/>
      <c r="AT3468" s="2"/>
      <c r="AU3468" s="2"/>
      <c r="AV3468" s="2"/>
      <c r="AW3468" s="2"/>
      <c r="AX3468" s="2"/>
      <c r="AY3468" s="2"/>
      <c r="AZ3468" s="2"/>
      <c r="BA3468" s="2"/>
      <c r="BB3468" s="2"/>
    </row>
    <row r="3469" ht="204.75" customHeight="1">
      <c r="A3469" s="1">
        <v>1016.0</v>
      </c>
      <c r="B3469" s="2" t="s">
        <v>10393</v>
      </c>
      <c r="C3469" s="2">
        <f>IFERROR(__xludf.DUMMYFUNCTION("split(B3469,""_"")"),1710.0)</f>
        <v>1710</v>
      </c>
      <c r="D3469" s="2" t="str">
        <f>IFERROR(__xludf.DUMMYFUNCTION("""COMPUTED_VALUE"""),"NTV")</f>
        <v>NTV</v>
      </c>
      <c r="E3469" s="2" t="str">
        <f>IFERROR(__xludf.DUMMYFUNCTION("""COMPUTED_VALUE"""),"木23")</f>
        <v>木23</v>
      </c>
      <c r="F3469" s="2" t="s">
        <v>10394</v>
      </c>
      <c r="G3469" s="2" t="s">
        <v>10416</v>
      </c>
      <c r="H3469" s="1">
        <v>8.0</v>
      </c>
      <c r="J3469" s="1" t="s">
        <v>1435</v>
      </c>
      <c r="K3469" s="2" t="s">
        <v>10417</v>
      </c>
      <c r="L3469" s="2" t="s">
        <v>10418</v>
      </c>
      <c r="M3469" s="2" t="str">
        <f>IFERROR(__xludf.DUMMYFUNCTION("split(split(K3469,""【"",false),""公式LINE"",false)"),"今宮沙織…木村多江    福島勲…佐藤二朗  天満龍二…平山浩行  高槻裕也…堀井新太  芦原咲良…岡野真也  田村雄大…竹内まなぶ（カミナリ)  岡島まこと…石田たくみ（カミナリ)  寺田圭吾…高橋光臣    糸賀朱里…鈴木砂羽沙織（木村多江）は生きる意味を再び見失うが、朱里（鈴木砂羽）に促され、福島（佐藤二朗）への復讐を再度誓う。警察から逃走中の高槻（堀井新太）は廃屋に身を潜めながら朱里の事を調べ、新事実を突き止める。芦原（岡野真也）は独自に動き、５年前のねつ造の証拠を探すが失敗に終わる。福島は雑誌ス"&amp;"クープ大賞の授賞式に出席。授賞式後、沙織は２人きりになるチャンスを狙い、福島をナイフで刺し殺して復讐するつもりだった…")</f>
        <v>今宮沙織…木村多江    福島勲…佐藤二朗  天満龍二…平山浩行  高槻裕也…堀井新太  芦原咲良…岡野真也  田村雄大…竹内まなぶ（カミナリ)  岡島まこと…石田たくみ（カミナリ)  寺田圭吾…高橋光臣    糸賀朱里…鈴木砂羽沙織（木村多江）は生きる意味を再び見失うが、朱里（鈴木砂羽）に促され、福島（佐藤二朗）への復讐を再度誓う。警察から逃走中の高槻（堀井新太）は廃屋に身を潜めながら朱里の事を調べ、新事実を突き止める。芦原（岡野真也）は独自に動き、５年前のねつ造の証拠を探すが失敗に終わる。福島は雑誌スクープ大賞の授賞式に出席。授賞式後、沙織は２人きりになるチャンスを狙い、福島をナイフで刺し殺して復讐するつもりだった…</v>
      </c>
      <c r="N3469" s="2"/>
      <c r="O3469" s="2"/>
      <c r="P3469" s="2"/>
      <c r="Q3469" s="2"/>
      <c r="R3469" s="2"/>
      <c r="S3469" s="2"/>
      <c r="T3469" s="2"/>
      <c r="U3469" s="2"/>
      <c r="V3469" s="2"/>
      <c r="W3469" s="2"/>
      <c r="X3469" s="2"/>
      <c r="Y3469" s="2"/>
      <c r="Z3469" s="2"/>
      <c r="AA3469" s="2"/>
      <c r="AB3469" s="2"/>
      <c r="AC3469" s="2"/>
      <c r="AD3469" s="2"/>
      <c r="AE3469" s="2"/>
      <c r="AF3469" s="2"/>
      <c r="AG3469" s="2"/>
      <c r="AH3469" s="2"/>
      <c r="AI3469" s="2"/>
      <c r="AJ3469" s="2"/>
      <c r="AK3469" s="2"/>
      <c r="AL3469" s="2"/>
      <c r="AM3469" s="2"/>
      <c r="AN3469" s="2"/>
      <c r="AO3469" s="2"/>
      <c r="AP3469" s="2"/>
      <c r="AQ3469" s="2"/>
      <c r="AR3469" s="2"/>
      <c r="AS3469" s="2"/>
      <c r="AT3469" s="2"/>
      <c r="AU3469" s="2"/>
      <c r="AV3469" s="2"/>
      <c r="AW3469" s="2"/>
      <c r="AX3469" s="2"/>
      <c r="AY3469" s="2"/>
      <c r="AZ3469" s="2"/>
      <c r="BA3469" s="2"/>
      <c r="BB3469" s="2"/>
    </row>
    <row r="3470" ht="204.75" customHeight="1">
      <c r="A3470" s="1">
        <v>1017.0</v>
      </c>
      <c r="B3470" s="2" t="s">
        <v>10393</v>
      </c>
      <c r="C3470" s="2">
        <f>IFERROR(__xludf.DUMMYFUNCTION("split(B3470,""_"")"),1710.0)</f>
        <v>1710</v>
      </c>
      <c r="D3470" s="2" t="str">
        <f>IFERROR(__xludf.DUMMYFUNCTION("""COMPUTED_VALUE"""),"NTV")</f>
        <v>NTV</v>
      </c>
      <c r="E3470" s="2" t="str">
        <f>IFERROR(__xludf.DUMMYFUNCTION("""COMPUTED_VALUE"""),"木23")</f>
        <v>木23</v>
      </c>
      <c r="F3470" s="2" t="s">
        <v>10394</v>
      </c>
      <c r="G3470" s="2" t="s">
        <v>10419</v>
      </c>
      <c r="H3470" s="1">
        <v>9.0</v>
      </c>
      <c r="J3470" s="1" t="s">
        <v>1435</v>
      </c>
      <c r="K3470" s="2" t="s">
        <v>10420</v>
      </c>
      <c r="L3470" s="2" t="s">
        <v>10421</v>
      </c>
      <c r="M3470" s="2" t="str">
        <f>IFERROR(__xludf.DUMMYFUNCTION("split(split(K3470,""【"",false),""公式LINE"",false)"),"今宮沙織…木村多江    福島勲…佐藤二朗  天満龍二…平山浩行  高槻裕也…堀井新太  芦原咲良…岡野真也  石山綾子…中村映里子  田村雄大…竹内まなぶ（カミナリ)  岡島まこと…石田たくみ（カミナリ)  寺田圭吾…高橋光臣    糸賀朱里…鈴木砂羽沙織（木村多江）は福島（佐藤二朗）を地獄の底へと叩き落し、編集部員たちはねつ造騒動の対応に追われる。そして、星流は３０年の歴史に幕を下ろして廃刊が決定する。この後、沙織は福島に呼び出される。復讐を成し遂げてホッとしている沙織に対し、福島は「お前は踊らされて"&amp;"いるだけなんだよ」と言い放ち、５年前に圭吾（高橋光臣）を陥れた記事ねつ造の真実を語り始める。沙織は全く思いもよらない驚愕の真実を知る事になる…")</f>
        <v>今宮沙織…木村多江    福島勲…佐藤二朗  天満龍二…平山浩行  高槻裕也…堀井新太  芦原咲良…岡野真也  石山綾子…中村映里子  田村雄大…竹内まなぶ（カミナリ)  岡島まこと…石田たくみ（カミナリ)  寺田圭吾…高橋光臣    糸賀朱里…鈴木砂羽沙織（木村多江）は福島（佐藤二朗）を地獄の底へと叩き落し、編集部員たちはねつ造騒動の対応に追われる。そして、星流は３０年の歴史に幕を下ろして廃刊が決定する。この後、沙織は福島に呼び出される。復讐を成し遂げてホッとしている沙織に対し、福島は「お前は踊らされているだけなんだよ」と言い放ち、５年前に圭吾（高橋光臣）を陥れた記事ねつ造の真実を語り始める。沙織は全く思いもよらない驚愕の真実を知る事になる…</v>
      </c>
      <c r="N3470" s="2"/>
      <c r="O3470" s="2"/>
      <c r="P3470" s="2"/>
      <c r="Q3470" s="2"/>
      <c r="R3470" s="2"/>
      <c r="S3470" s="2"/>
      <c r="T3470" s="2"/>
      <c r="U3470" s="2"/>
      <c r="V3470" s="2"/>
      <c r="W3470" s="2"/>
      <c r="X3470" s="2"/>
      <c r="Y3470" s="2"/>
      <c r="Z3470" s="2"/>
      <c r="AA3470" s="2"/>
      <c r="AB3470" s="2"/>
      <c r="AC3470" s="2"/>
      <c r="AD3470" s="2"/>
      <c r="AE3470" s="2"/>
      <c r="AF3470" s="2"/>
      <c r="AG3470" s="2"/>
      <c r="AH3470" s="2"/>
      <c r="AI3470" s="2"/>
      <c r="AJ3470" s="2"/>
      <c r="AK3470" s="2"/>
      <c r="AL3470" s="2"/>
      <c r="AM3470" s="2"/>
      <c r="AN3470" s="2"/>
      <c r="AO3470" s="2"/>
      <c r="AP3470" s="2"/>
      <c r="AQ3470" s="2"/>
      <c r="AR3470" s="2"/>
      <c r="AS3470" s="2"/>
      <c r="AT3470" s="2"/>
      <c r="AU3470" s="2"/>
      <c r="AV3470" s="2"/>
      <c r="AW3470" s="2"/>
      <c r="AX3470" s="2"/>
      <c r="AY3470" s="2"/>
      <c r="AZ3470" s="2"/>
      <c r="BA3470" s="2"/>
      <c r="BB3470" s="2"/>
    </row>
    <row r="3471" ht="204.75" customHeight="1">
      <c r="A3471" s="1">
        <v>1037.0</v>
      </c>
      <c r="B3471" s="2" t="s">
        <v>10422</v>
      </c>
      <c r="C3471" s="2">
        <f>IFERROR(__xludf.DUMMYFUNCTION("split(B3471,""_"")"),1710.0)</f>
        <v>1710</v>
      </c>
      <c r="D3471" s="2" t="str">
        <f>IFERROR(__xludf.DUMMYFUNCTION("""COMPUTED_VALUE"""),"NTV")</f>
        <v>NTV</v>
      </c>
      <c r="E3471" s="2" t="str">
        <f>IFERROR(__xludf.DUMMYFUNCTION("""COMPUTED_VALUE"""),"土22")</f>
        <v>土22</v>
      </c>
      <c r="F3471" s="2" t="s">
        <v>10423</v>
      </c>
      <c r="G3471" s="2" t="s">
        <v>10424</v>
      </c>
      <c r="H3471" s="1">
        <v>1.0</v>
      </c>
      <c r="I3471" s="1" t="s">
        <v>3</v>
      </c>
      <c r="J3471" s="1" t="s">
        <v>82</v>
      </c>
      <c r="K3471" s="2" t="s">
        <v>10425</v>
      </c>
      <c r="L3471" s="2" t="s">
        <v>10426</v>
      </c>
      <c r="M3471" s="2" t="str">
        <f>IFERROR(__xludf.DUMMYFUNCTION("split(split(K3471,""【"",false),""公式LINE"",false)"),"櫻井翔、蒼井優、瀬戸康史、木南晴夏、森川葵、平山浩行、池田鉄洋、木下ほうか／多部未華子／井川遥、荒川良々、秋山菜津子、高嶋政伸、風間杜夫嵐の櫻井翔が主演する、社会派エンターテインメントドラマ。  勤め先の商社からの出向辞令を受け、突然私立高校の校長となった35歳の若きサラリーマン。  日本の未来を支える子供たちに、大人たちは、教師たちは、今何を語り教えるべきなのか?  豪華キャストでお送りする大人のための新しい学園ドラマ。")</f>
        <v>櫻井翔、蒼井優、瀬戸康史、木南晴夏、森川葵、平山浩行、池田鉄洋、木下ほうか／多部未華子／井川遥、荒川良々、秋山菜津子、高嶋政伸、風間杜夫嵐の櫻井翔が主演する、社会派エンターテインメントドラマ。  勤め先の商社からの出向辞令を受け、突然私立高校の校長となった35歳の若きサラリーマン。  日本の未来を支える子供たちに、大人たちは、教師たちは、今何を語り教えるべきなのか?  豪華キャストでお送りする大人のための新しい学園ドラマ。</v>
      </c>
      <c r="N3471" s="2"/>
      <c r="O3471" s="2"/>
      <c r="P3471" s="2"/>
      <c r="Q3471" s="2"/>
      <c r="R3471" s="2"/>
      <c r="S3471" s="2"/>
      <c r="T3471" s="2"/>
      <c r="U3471" s="2"/>
      <c r="V3471" s="2"/>
      <c r="W3471" s="2"/>
      <c r="X3471" s="2"/>
      <c r="Y3471" s="2"/>
      <c r="Z3471" s="2"/>
      <c r="AA3471" s="2"/>
      <c r="AB3471" s="2"/>
      <c r="AC3471" s="2"/>
      <c r="AD3471" s="2"/>
      <c r="AE3471" s="2"/>
      <c r="AF3471" s="2"/>
      <c r="AG3471" s="2"/>
      <c r="AH3471" s="2"/>
      <c r="AI3471" s="2"/>
      <c r="AJ3471" s="2"/>
      <c r="AK3471" s="2"/>
      <c r="AL3471" s="2"/>
      <c r="AM3471" s="2"/>
      <c r="AN3471" s="2"/>
      <c r="AO3471" s="2"/>
      <c r="AP3471" s="2"/>
      <c r="AQ3471" s="2"/>
      <c r="AR3471" s="2"/>
      <c r="AS3471" s="2"/>
      <c r="AT3471" s="2"/>
      <c r="AU3471" s="2"/>
      <c r="AV3471" s="2"/>
      <c r="AW3471" s="2"/>
      <c r="AX3471" s="2"/>
      <c r="AY3471" s="2"/>
      <c r="AZ3471" s="2"/>
      <c r="BA3471" s="2"/>
      <c r="BB3471" s="2"/>
    </row>
    <row r="3472" ht="204.75" customHeight="1">
      <c r="A3472" s="1">
        <v>1038.0</v>
      </c>
      <c r="B3472" s="2" t="s">
        <v>10422</v>
      </c>
      <c r="C3472" s="2">
        <f>IFERROR(__xludf.DUMMYFUNCTION("split(B3472,""_"")"),1710.0)</f>
        <v>1710</v>
      </c>
      <c r="D3472" s="2" t="str">
        <f>IFERROR(__xludf.DUMMYFUNCTION("""COMPUTED_VALUE"""),"NTV")</f>
        <v>NTV</v>
      </c>
      <c r="E3472" s="2" t="str">
        <f>IFERROR(__xludf.DUMMYFUNCTION("""COMPUTED_VALUE"""),"土22")</f>
        <v>土22</v>
      </c>
      <c r="F3472" s="2" t="s">
        <v>10423</v>
      </c>
      <c r="G3472" s="2" t="s">
        <v>10427</v>
      </c>
      <c r="H3472" s="1">
        <v>2.0</v>
      </c>
      <c r="I3472" s="1" t="s">
        <v>7</v>
      </c>
      <c r="J3472" s="1" t="s">
        <v>86</v>
      </c>
      <c r="K3472" s="2" t="s">
        <v>10428</v>
      </c>
      <c r="L3472" s="2" t="s">
        <v>10429</v>
      </c>
      <c r="M3472" s="2" t="str">
        <f>IFERROR(__xludf.DUMMYFUNCTION("split(split(K3472,""【"",false),""公式LINE"",false)"),"櫻井翔、蒼井優、瀬戸康史、木南晴夏、森川葵、平山浩行、池田鉄洋、木下ほうか／多部未華子／井川遥、荒川良々、秋山菜津子、高嶋政伸、風間杜夫教育現場を知らない校長として、職員室内で反発を受ける鳴海（櫻井翔）。そんな中、奨学金を受給する事の覚悟を説いて聞かせた生徒が学校を休んでいると分かり、不登校ではないかと気が気では無くなる。さらに、沙織（井川遥）から、腹痛を訴え保健室に毎日通う生徒の事を聞かされ、担任の及川（木下ほうか）にケアするよう言うが、取り合おうとしない。そして、この生徒が抱えていた悩みには、学校内の"&amp;"大きな問題が隠されていて…")</f>
        <v>櫻井翔、蒼井優、瀬戸康史、木南晴夏、森川葵、平山浩行、池田鉄洋、木下ほうか／多部未華子／井川遥、荒川良々、秋山菜津子、高嶋政伸、風間杜夫教育現場を知らない校長として、職員室内で反発を受ける鳴海（櫻井翔）。そんな中、奨学金を受給する事の覚悟を説いて聞かせた生徒が学校を休んでいると分かり、不登校ではないかと気が気では無くなる。さらに、沙織（井川遥）から、腹痛を訴え保健室に毎日通う生徒の事を聞かされ、担任の及川（木下ほうか）にケアするよう言うが、取り合おうとしない。そして、この生徒が抱えていた悩みには、学校内の大きな問題が隠されていて…</v>
      </c>
      <c r="N3472" s="2"/>
      <c r="O3472" s="2"/>
      <c r="P3472" s="2"/>
      <c r="Q3472" s="2"/>
      <c r="R3472" s="2"/>
      <c r="S3472" s="2"/>
      <c r="T3472" s="2"/>
      <c r="U3472" s="2"/>
      <c r="V3472" s="2"/>
      <c r="W3472" s="2"/>
      <c r="X3472" s="2"/>
      <c r="Y3472" s="2"/>
      <c r="Z3472" s="2"/>
      <c r="AA3472" s="2"/>
      <c r="AB3472" s="2"/>
      <c r="AC3472" s="2"/>
      <c r="AD3472" s="2"/>
      <c r="AE3472" s="2"/>
      <c r="AF3472" s="2"/>
      <c r="AG3472" s="2"/>
      <c r="AH3472" s="2"/>
      <c r="AI3472" s="2"/>
      <c r="AJ3472" s="2"/>
      <c r="AK3472" s="2"/>
      <c r="AL3472" s="2"/>
      <c r="AM3472" s="2"/>
      <c r="AN3472" s="2"/>
      <c r="AO3472" s="2"/>
      <c r="AP3472" s="2"/>
      <c r="AQ3472" s="2"/>
      <c r="AR3472" s="2"/>
      <c r="AS3472" s="2"/>
      <c r="AT3472" s="2"/>
      <c r="AU3472" s="2"/>
      <c r="AV3472" s="2"/>
      <c r="AW3472" s="2"/>
      <c r="AX3472" s="2"/>
      <c r="AY3472" s="2"/>
      <c r="AZ3472" s="2"/>
      <c r="BA3472" s="2"/>
      <c r="BB3472" s="2"/>
    </row>
    <row r="3473" ht="204.75" customHeight="1">
      <c r="A3473" s="1">
        <v>1039.0</v>
      </c>
      <c r="B3473" s="2" t="s">
        <v>10422</v>
      </c>
      <c r="C3473" s="2">
        <f>IFERROR(__xludf.DUMMYFUNCTION("split(B3473,""_"")"),1710.0)</f>
        <v>1710</v>
      </c>
      <c r="D3473" s="2" t="str">
        <f>IFERROR(__xludf.DUMMYFUNCTION("""COMPUTED_VALUE"""),"NTV")</f>
        <v>NTV</v>
      </c>
      <c r="E3473" s="2" t="str">
        <f>IFERROR(__xludf.DUMMYFUNCTION("""COMPUTED_VALUE"""),"土22")</f>
        <v>土22</v>
      </c>
      <c r="F3473" s="2" t="s">
        <v>10423</v>
      </c>
      <c r="G3473" s="2" t="s">
        <v>10430</v>
      </c>
      <c r="H3473" s="1">
        <v>3.0</v>
      </c>
      <c r="I3473" s="1" t="s">
        <v>10</v>
      </c>
      <c r="J3473" s="1" t="s">
        <v>86</v>
      </c>
      <c r="K3473" s="2" t="s">
        <v>10431</v>
      </c>
      <c r="L3473" s="2" t="s">
        <v>10432</v>
      </c>
      <c r="M3473" s="2" t="str">
        <f>IFERROR(__xludf.DUMMYFUNCTION("split(split(K3473,""【"",false),""公式LINE"",false)"),"櫻井翔、蒼井優、瀬戸康史、木南晴夏、森川葵、平山浩行、池田鉄洋、木下ほうか／多部未華子／井川遥、荒川良々、秋山菜津子、高嶋政伸、風間杜夫退職した及川（木下ほうか）の代わりに自分が教壇に立つと宣言した鳴海（櫻井翔）。数学を担当することになるものの、教科書に目を通すと思いのほかレベルの高い内容に、すっかり自信を失う。そんな中、京明館高校の生徒がスマホを使って漫画の盗み撮りをしているとコンビニから連絡を受け、鳴海は慌てふためく。そして鳴海の授業当日。注目が集まる中で教壇に立った鳴海は、見よう見まねのアクティブラ"&amp;"ーニング型授業を行うが…。")</f>
        <v>櫻井翔、蒼井優、瀬戸康史、木南晴夏、森川葵、平山浩行、池田鉄洋、木下ほうか／多部未華子／井川遥、荒川良々、秋山菜津子、高嶋政伸、風間杜夫退職した及川（木下ほうか）の代わりに自分が教壇に立つと宣言した鳴海（櫻井翔）。数学を担当することになるものの、教科書に目を通すと思いのほかレベルの高い内容に、すっかり自信を失う。そんな中、京明館高校の生徒がスマホを使って漫画の盗み撮りをしているとコンビニから連絡を受け、鳴海は慌てふためく。そして鳴海の授業当日。注目が集まる中で教壇に立った鳴海は、見よう見まねのアクティブラーニング型授業を行うが…。</v>
      </c>
      <c r="N3473" s="2"/>
      <c r="O3473" s="2"/>
      <c r="P3473" s="2"/>
      <c r="Q3473" s="2"/>
      <c r="R3473" s="2"/>
      <c r="S3473" s="2"/>
      <c r="T3473" s="2"/>
      <c r="U3473" s="2"/>
      <c r="V3473" s="2"/>
      <c r="W3473" s="2"/>
      <c r="X3473" s="2"/>
      <c r="Y3473" s="2"/>
      <c r="Z3473" s="2"/>
      <c r="AA3473" s="2"/>
      <c r="AB3473" s="2"/>
      <c r="AC3473" s="2"/>
      <c r="AD3473" s="2"/>
      <c r="AE3473" s="2"/>
      <c r="AF3473" s="2"/>
      <c r="AG3473" s="2"/>
      <c r="AH3473" s="2"/>
      <c r="AI3473" s="2"/>
      <c r="AJ3473" s="2"/>
      <c r="AK3473" s="2"/>
      <c r="AL3473" s="2"/>
      <c r="AM3473" s="2"/>
      <c r="AN3473" s="2"/>
      <c r="AO3473" s="2"/>
      <c r="AP3473" s="2"/>
      <c r="AQ3473" s="2"/>
      <c r="AR3473" s="2"/>
      <c r="AS3473" s="2"/>
      <c r="AT3473" s="2"/>
      <c r="AU3473" s="2"/>
      <c r="AV3473" s="2"/>
      <c r="AW3473" s="2"/>
      <c r="AX3473" s="2"/>
      <c r="AY3473" s="2"/>
      <c r="AZ3473" s="2"/>
      <c r="BA3473" s="2"/>
      <c r="BB3473" s="2"/>
    </row>
    <row r="3474" ht="204.75" customHeight="1">
      <c r="A3474" s="1">
        <v>1040.0</v>
      </c>
      <c r="B3474" s="2" t="s">
        <v>10422</v>
      </c>
      <c r="C3474" s="2">
        <f>IFERROR(__xludf.DUMMYFUNCTION("split(B3474,""_"")"),1710.0)</f>
        <v>1710</v>
      </c>
      <c r="D3474" s="2" t="str">
        <f>IFERROR(__xludf.DUMMYFUNCTION("""COMPUTED_VALUE"""),"NTV")</f>
        <v>NTV</v>
      </c>
      <c r="E3474" s="2" t="str">
        <f>IFERROR(__xludf.DUMMYFUNCTION("""COMPUTED_VALUE"""),"土22")</f>
        <v>土22</v>
      </c>
      <c r="F3474" s="2" t="s">
        <v>10423</v>
      </c>
      <c r="G3474" s="2" t="s">
        <v>10433</v>
      </c>
      <c r="H3474" s="1">
        <v>4.0</v>
      </c>
      <c r="I3474" s="1" t="s">
        <v>14</v>
      </c>
      <c r="J3474" s="1" t="s">
        <v>86</v>
      </c>
      <c r="K3474" s="2" t="s">
        <v>10434</v>
      </c>
      <c r="L3474" s="2" t="s">
        <v>10435</v>
      </c>
      <c r="M3474" s="2" t="str">
        <f>IFERROR(__xludf.DUMMYFUNCTION("split(split(K3474,""【"",false),""公式LINE"",false)"),"櫻井翔、蒼井優、瀬戸康史、木南晴夏、森川葵、平山浩行、池田鉄洋／多部未華子／井川遥、荒川良々、秋山菜津子、高嶋政伸、風間杜夫生徒たちの勉強意欲を向上させるべく、鳴海（櫻井翔）は授業にアクティブラーニングを導入したいと教師たちに提案する。ノウハウを持っていた島津（瀬戸康史）をはじめ、薫(木南晴夏)、日菜子(森川葵)は賛成。一方、文恵(秋山菜津子)、郷原(荒川良々)、河原崎(池田鉄洋)は反対。職員室の意見が分かれる中、生徒たちには好評で、鳴海は手応えを感じるも、同時に、予想していなかった問題が持ち上がり…。")</f>
        <v>櫻井翔、蒼井優、瀬戸康史、木南晴夏、森川葵、平山浩行、池田鉄洋／多部未華子／井川遥、荒川良々、秋山菜津子、高嶋政伸、風間杜夫生徒たちの勉強意欲を向上させるべく、鳴海（櫻井翔）は授業にアクティブラーニングを導入したいと教師たちに提案する。ノウハウを持っていた島津（瀬戸康史）をはじめ、薫(木南晴夏)、日菜子(森川葵)は賛成。一方、文恵(秋山菜津子)、郷原(荒川良々)、河原崎(池田鉄洋)は反対。職員室の意見が分かれる中、生徒たちには好評で、鳴海は手応えを感じるも、同時に、予想していなかった問題が持ち上がり…。</v>
      </c>
      <c r="N3474" s="2"/>
      <c r="O3474" s="2"/>
      <c r="P3474" s="2"/>
      <c r="Q3474" s="2"/>
      <c r="R3474" s="2"/>
      <c r="S3474" s="2"/>
      <c r="T3474" s="2"/>
      <c r="U3474" s="2"/>
      <c r="V3474" s="2"/>
      <c r="W3474" s="2"/>
      <c r="X3474" s="2"/>
      <c r="Y3474" s="2"/>
      <c r="Z3474" s="2"/>
      <c r="AA3474" s="2"/>
      <c r="AB3474" s="2"/>
      <c r="AC3474" s="2"/>
      <c r="AD3474" s="2"/>
      <c r="AE3474" s="2"/>
      <c r="AF3474" s="2"/>
      <c r="AG3474" s="2"/>
      <c r="AH3474" s="2"/>
      <c r="AI3474" s="2"/>
      <c r="AJ3474" s="2"/>
      <c r="AK3474" s="2"/>
      <c r="AL3474" s="2"/>
      <c r="AM3474" s="2"/>
      <c r="AN3474" s="2"/>
      <c r="AO3474" s="2"/>
      <c r="AP3474" s="2"/>
      <c r="AQ3474" s="2"/>
      <c r="AR3474" s="2"/>
      <c r="AS3474" s="2"/>
      <c r="AT3474" s="2"/>
      <c r="AU3474" s="2"/>
      <c r="AV3474" s="2"/>
      <c r="AW3474" s="2"/>
      <c r="AX3474" s="2"/>
      <c r="AY3474" s="2"/>
      <c r="AZ3474" s="2"/>
      <c r="BA3474" s="2"/>
      <c r="BB3474" s="2"/>
    </row>
    <row r="3475" ht="204.75" customHeight="1">
      <c r="A3475" s="1">
        <v>1041.0</v>
      </c>
      <c r="B3475" s="2" t="s">
        <v>10422</v>
      </c>
      <c r="C3475" s="2">
        <f>IFERROR(__xludf.DUMMYFUNCTION("split(B3475,""_"")"),1710.0)</f>
        <v>1710</v>
      </c>
      <c r="D3475" s="2" t="str">
        <f>IFERROR(__xludf.DUMMYFUNCTION("""COMPUTED_VALUE"""),"NTV")</f>
        <v>NTV</v>
      </c>
      <c r="E3475" s="2" t="str">
        <f>IFERROR(__xludf.DUMMYFUNCTION("""COMPUTED_VALUE"""),"土22")</f>
        <v>土22</v>
      </c>
      <c r="F3475" s="2" t="s">
        <v>10423</v>
      </c>
      <c r="G3475" s="2" t="s">
        <v>10436</v>
      </c>
      <c r="H3475" s="1">
        <v>5.0</v>
      </c>
      <c r="I3475" s="1" t="s">
        <v>17</v>
      </c>
      <c r="J3475" s="1" t="s">
        <v>86</v>
      </c>
      <c r="K3475" s="2" t="s">
        <v>10437</v>
      </c>
      <c r="L3475" s="2" t="s">
        <v>10438</v>
      </c>
      <c r="M3475" s="2" t="str">
        <f>IFERROR(__xludf.DUMMYFUNCTION("split(split(K3475,""【"",false),""公式LINE"",false)"),"櫻井翔、蒼井優、瀬戸康史、木南晴夏、森川葵、平山浩行、池田鉄洋／多部未華子／井川遥、荒川良々、秋山菜津子、高嶋政伸、風間杜夫『オープンキャンパス』開催を知った鳴海（櫻井翔）は、生徒たちにもイベントに協力してもらい、京明館高校の魅力をアピールしたいと教師たちに提案。さらに、樫松物産社長・原（小林勝也）にも来てほしいと直訴。しかし、そんな鳴海の行動が疎ましい加賀谷（高嶋政伸）は沙織（井川遥）に接触し、鳴海に反発している教師の名前を聞き出そうとする。さまざまな思惑と生徒たちの熱意が渦巻く中、オープンキャンパスは"&amp;"当日を迎える…")</f>
        <v>櫻井翔、蒼井優、瀬戸康史、木南晴夏、森川葵、平山浩行、池田鉄洋／多部未華子／井川遥、荒川良々、秋山菜津子、高嶋政伸、風間杜夫『オープンキャンパス』開催を知った鳴海（櫻井翔）は、生徒たちにもイベントに協力してもらい、京明館高校の魅力をアピールしたいと教師たちに提案。さらに、樫松物産社長・原（小林勝也）にも来てほしいと直訴。しかし、そんな鳴海の行動が疎ましい加賀谷（高嶋政伸）は沙織（井川遥）に接触し、鳴海に反発している教師の名前を聞き出そうとする。さまざまな思惑と生徒たちの熱意が渦巻く中、オープンキャンパスは当日を迎える…</v>
      </c>
      <c r="N3475" s="2"/>
      <c r="O3475" s="2"/>
      <c r="P3475" s="2"/>
      <c r="Q3475" s="2"/>
      <c r="R3475" s="2"/>
      <c r="S3475" s="2"/>
      <c r="T3475" s="2"/>
      <c r="U3475" s="2"/>
      <c r="V3475" s="2"/>
      <c r="W3475" s="2"/>
      <c r="X3475" s="2"/>
      <c r="Y3475" s="2"/>
      <c r="Z3475" s="2"/>
      <c r="AA3475" s="2"/>
      <c r="AB3475" s="2"/>
      <c r="AC3475" s="2"/>
      <c r="AD3475" s="2"/>
      <c r="AE3475" s="2"/>
      <c r="AF3475" s="2"/>
      <c r="AG3475" s="2"/>
      <c r="AH3475" s="2"/>
      <c r="AI3475" s="2"/>
      <c r="AJ3475" s="2"/>
      <c r="AK3475" s="2"/>
      <c r="AL3475" s="2"/>
      <c r="AM3475" s="2"/>
      <c r="AN3475" s="2"/>
      <c r="AO3475" s="2"/>
      <c r="AP3475" s="2"/>
      <c r="AQ3475" s="2"/>
      <c r="AR3475" s="2"/>
      <c r="AS3475" s="2"/>
      <c r="AT3475" s="2"/>
      <c r="AU3475" s="2"/>
      <c r="AV3475" s="2"/>
      <c r="AW3475" s="2"/>
      <c r="AX3475" s="2"/>
      <c r="AY3475" s="2"/>
      <c r="AZ3475" s="2"/>
      <c r="BA3475" s="2"/>
      <c r="BB3475" s="2"/>
    </row>
    <row r="3476" ht="204.75" customHeight="1">
      <c r="A3476" s="1">
        <v>1042.0</v>
      </c>
      <c r="B3476" s="2" t="s">
        <v>10422</v>
      </c>
      <c r="C3476" s="2">
        <f>IFERROR(__xludf.DUMMYFUNCTION("split(B3476,""_"")"),1710.0)</f>
        <v>1710</v>
      </c>
      <c r="D3476" s="2" t="str">
        <f>IFERROR(__xludf.DUMMYFUNCTION("""COMPUTED_VALUE"""),"NTV")</f>
        <v>NTV</v>
      </c>
      <c r="E3476" s="2" t="str">
        <f>IFERROR(__xludf.DUMMYFUNCTION("""COMPUTED_VALUE"""),"土22")</f>
        <v>土22</v>
      </c>
      <c r="F3476" s="2" t="s">
        <v>10423</v>
      </c>
      <c r="G3476" s="2" t="s">
        <v>10439</v>
      </c>
      <c r="H3476" s="1">
        <v>6.0</v>
      </c>
      <c r="I3476" s="1" t="s">
        <v>21</v>
      </c>
      <c r="J3476" s="1" t="s">
        <v>86</v>
      </c>
      <c r="K3476" s="2" t="s">
        <v>10440</v>
      </c>
      <c r="L3476" s="2" t="s">
        <v>10441</v>
      </c>
      <c r="M3476" s="2" t="str">
        <f>IFERROR(__xludf.DUMMYFUNCTION("split(split(K3476,""【"",false),""公式LINE"",false)"),"櫻井翔、蒼井優、瀬戸康史、木南晴夏、森川葵、平山浩行、池田鉄洋／多部未華子／井川遥、荒川良々、秋山菜津子、高嶋政伸、風間杜夫オープンキャンパスの成功で京明館高校の評判が高まり、手応えを感じる鳴海（櫻井翔）だが、現在の京明館の位置づけは公立校の滑り止めで、気が焦るばかり。一方、聡子（多部未華子）は、鳴海とちひろ（蒼井優）の関係が気になっていた。そんな聡子の気持ちを知らない鳴海は学校説明会の準備に忙しく、デートの誘いを断り続ける。そして、学校説明会当日。鳴海は得意のプレゼンで京明館をアピールするが、大波乱が待"&amp;"ち受けていた…")</f>
        <v>櫻井翔、蒼井優、瀬戸康史、木南晴夏、森川葵、平山浩行、池田鉄洋／多部未華子／井川遥、荒川良々、秋山菜津子、高嶋政伸、風間杜夫オープンキャンパスの成功で京明館高校の評判が高まり、手応えを感じる鳴海（櫻井翔）だが、現在の京明館の位置づけは公立校の滑り止めで、気が焦るばかり。一方、聡子（多部未華子）は、鳴海とちひろ（蒼井優）の関係が気になっていた。そんな聡子の気持ちを知らない鳴海は学校説明会の準備に忙しく、デートの誘いを断り続ける。そして、学校説明会当日。鳴海は得意のプレゼンで京明館をアピールするが、大波乱が待ち受けていた…</v>
      </c>
      <c r="N3476" s="2"/>
      <c r="O3476" s="2"/>
      <c r="P3476" s="2"/>
      <c r="Q3476" s="2"/>
      <c r="R3476" s="2"/>
      <c r="S3476" s="2"/>
      <c r="T3476" s="2"/>
      <c r="U3476" s="2"/>
      <c r="V3476" s="2"/>
      <c r="W3476" s="2"/>
      <c r="X3476" s="2"/>
      <c r="Y3476" s="2"/>
      <c r="Z3476" s="2"/>
      <c r="AA3476" s="2"/>
      <c r="AB3476" s="2"/>
      <c r="AC3476" s="2"/>
      <c r="AD3476" s="2"/>
      <c r="AE3476" s="2"/>
      <c r="AF3476" s="2"/>
      <c r="AG3476" s="2"/>
      <c r="AH3476" s="2"/>
      <c r="AI3476" s="2"/>
      <c r="AJ3476" s="2"/>
      <c r="AK3476" s="2"/>
      <c r="AL3476" s="2"/>
      <c r="AM3476" s="2"/>
      <c r="AN3476" s="2"/>
      <c r="AO3476" s="2"/>
      <c r="AP3476" s="2"/>
      <c r="AQ3476" s="2"/>
      <c r="AR3476" s="2"/>
      <c r="AS3476" s="2"/>
      <c r="AT3476" s="2"/>
      <c r="AU3476" s="2"/>
      <c r="AV3476" s="2"/>
      <c r="AW3476" s="2"/>
      <c r="AX3476" s="2"/>
      <c r="AY3476" s="2"/>
      <c r="AZ3476" s="2"/>
      <c r="BA3476" s="2"/>
      <c r="BB3476" s="2"/>
    </row>
    <row r="3477" ht="204.75" customHeight="1">
      <c r="A3477" s="1">
        <v>1043.0</v>
      </c>
      <c r="B3477" s="2" t="s">
        <v>10422</v>
      </c>
      <c r="C3477" s="2">
        <f>IFERROR(__xludf.DUMMYFUNCTION("split(B3477,""_"")"),1710.0)</f>
        <v>1710</v>
      </c>
      <c r="D3477" s="2" t="str">
        <f>IFERROR(__xludf.DUMMYFUNCTION("""COMPUTED_VALUE"""),"NTV")</f>
        <v>NTV</v>
      </c>
      <c r="E3477" s="2" t="str">
        <f>IFERROR(__xludf.DUMMYFUNCTION("""COMPUTED_VALUE"""),"土22")</f>
        <v>土22</v>
      </c>
      <c r="F3477" s="2" t="s">
        <v>10423</v>
      </c>
      <c r="G3477" s="2" t="s">
        <v>10442</v>
      </c>
      <c r="H3477" s="1">
        <v>7.0</v>
      </c>
      <c r="I3477" s="1" t="s">
        <v>25</v>
      </c>
      <c r="J3477" s="1" t="s">
        <v>86</v>
      </c>
      <c r="K3477" s="2" t="s">
        <v>10443</v>
      </c>
      <c r="L3477" s="2" t="s">
        <v>10444</v>
      </c>
      <c r="M3477" s="2" t="str">
        <f>IFERROR(__xludf.DUMMYFUNCTION("split(split(K3477,""【"",false),""公式LINE"",false)"),"櫻井翔、蒼井優、瀬戸康史、木南晴夏、森川葵、平山浩行、池田鉄洋／多部未華子／井川遥、荒川良々、秋山菜津子、高嶋政伸、風間杜夫学校説明会を成功させ、入学志願者増加に手応えを感じる鳴海（櫻井翔）。しかし、学校の運営に夢中になるあまり、聡子（多部未華子）と会っていても学校の話ばかり。一方、ちひろ（蒼井優）は三田ほのか（山田佳奈実）の母親から、ほのかが卒業後は進学せず結婚したいと言っていると相談を受ける。鳴海とちひろはほのかから話を聞くも決意は固く…。その頃、加賀谷（高嶋政伸）は鳴海と聡子の仲を引き裂こうと策略を"&amp;"巡らせていて…")</f>
        <v>櫻井翔、蒼井優、瀬戸康史、木南晴夏、森川葵、平山浩行、池田鉄洋／多部未華子／井川遥、荒川良々、秋山菜津子、高嶋政伸、風間杜夫学校説明会を成功させ、入学志願者増加に手応えを感じる鳴海（櫻井翔）。しかし、学校の運営に夢中になるあまり、聡子（多部未華子）と会っていても学校の話ばかり。一方、ちひろ（蒼井優）は三田ほのか（山田佳奈実）の母親から、ほのかが卒業後は進学せず結婚したいと言っていると相談を受ける。鳴海とちひろはほのかから話を聞くも決意は固く…。その頃、加賀谷（高嶋政伸）は鳴海と聡子の仲を引き裂こうと策略を巡らせていて…</v>
      </c>
      <c r="N3477" s="2"/>
      <c r="O3477" s="2"/>
      <c r="P3477" s="2"/>
      <c r="Q3477" s="2"/>
      <c r="R3477" s="2"/>
      <c r="S3477" s="2"/>
      <c r="T3477" s="2"/>
      <c r="U3477" s="2"/>
      <c r="V3477" s="2"/>
      <c r="W3477" s="2"/>
      <c r="X3477" s="2"/>
      <c r="Y3477" s="2"/>
      <c r="Z3477" s="2"/>
      <c r="AA3477" s="2"/>
      <c r="AB3477" s="2"/>
      <c r="AC3477" s="2"/>
      <c r="AD3477" s="2"/>
      <c r="AE3477" s="2"/>
      <c r="AF3477" s="2"/>
      <c r="AG3477" s="2"/>
      <c r="AH3477" s="2"/>
      <c r="AI3477" s="2"/>
      <c r="AJ3477" s="2"/>
      <c r="AK3477" s="2"/>
      <c r="AL3477" s="2"/>
      <c r="AM3477" s="2"/>
      <c r="AN3477" s="2"/>
      <c r="AO3477" s="2"/>
      <c r="AP3477" s="2"/>
      <c r="AQ3477" s="2"/>
      <c r="AR3477" s="2"/>
      <c r="AS3477" s="2"/>
      <c r="AT3477" s="2"/>
      <c r="AU3477" s="2"/>
      <c r="AV3477" s="2"/>
      <c r="AW3477" s="2"/>
      <c r="AX3477" s="2"/>
      <c r="AY3477" s="2"/>
      <c r="AZ3477" s="2"/>
      <c r="BA3477" s="2"/>
      <c r="BB3477" s="2"/>
    </row>
    <row r="3478" ht="204.75" customHeight="1">
      <c r="A3478" s="1">
        <v>1044.0</v>
      </c>
      <c r="B3478" s="2" t="s">
        <v>10422</v>
      </c>
      <c r="C3478" s="2">
        <f>IFERROR(__xludf.DUMMYFUNCTION("split(B3478,""_"")"),1710.0)</f>
        <v>1710</v>
      </c>
      <c r="D3478" s="2" t="str">
        <f>IFERROR(__xludf.DUMMYFUNCTION("""COMPUTED_VALUE"""),"NTV")</f>
        <v>NTV</v>
      </c>
      <c r="E3478" s="2" t="str">
        <f>IFERROR(__xludf.DUMMYFUNCTION("""COMPUTED_VALUE"""),"土22")</f>
        <v>土22</v>
      </c>
      <c r="F3478" s="2" t="s">
        <v>10423</v>
      </c>
      <c r="G3478" s="2" t="s">
        <v>10445</v>
      </c>
      <c r="H3478" s="1">
        <v>8.0</v>
      </c>
      <c r="I3478" s="1" t="s">
        <v>29</v>
      </c>
      <c r="J3478" s="1" t="s">
        <v>86</v>
      </c>
      <c r="K3478" s="2" t="s">
        <v>10446</v>
      </c>
      <c r="L3478" s="2" t="s">
        <v>10447</v>
      </c>
      <c r="M3478" s="2" t="str">
        <f>IFERROR(__xludf.DUMMYFUNCTION("split(split(K3478,""【"",false),""公式LINE"",false)"),"櫻井翔、蒼井優、瀬戸康史、木南晴夏、森川葵、平山浩行、池田鉄洋／多部未華子／井川遥、荒川良々、秋山菜津子、高嶋政伸、風間杜夫学校改革の手応えを感じ始め、一層気合いが入る鳴海（櫻井翔）。そんな中、２年３組の大和田達也（伊能佑之介）の成績が急降下している事を聞かされる。なんと、塾に行くと嘘をつき、将棋教室に通っていた事が判明。さらに、「プロ棋士になる為に学校を辞めたっていい」と言い始める。達也の父は困惑。鳴海やちひろ（蒼井優）は、話し合いの場を設けるが…。一方、聡子（多部未華子）は後藤田（平山浩行）から衝撃の"&amp;"告白を受け…")</f>
        <v>櫻井翔、蒼井優、瀬戸康史、木南晴夏、森川葵、平山浩行、池田鉄洋／多部未華子／井川遥、荒川良々、秋山菜津子、高嶋政伸、風間杜夫学校改革の手応えを感じ始め、一層気合いが入る鳴海（櫻井翔）。そんな中、２年３組の大和田達也（伊能佑之介）の成績が急降下している事を聞かされる。なんと、塾に行くと嘘をつき、将棋教室に通っていた事が判明。さらに、「プロ棋士になる為に学校を辞めたっていい」と言い始める。達也の父は困惑。鳴海やちひろ（蒼井優）は、話し合いの場を設けるが…。一方、聡子（多部未華子）は後藤田（平山浩行）から衝撃の告白を受け…</v>
      </c>
      <c r="N3478" s="2"/>
      <c r="O3478" s="2"/>
      <c r="P3478" s="2"/>
      <c r="Q3478" s="2"/>
      <c r="R3478" s="2"/>
      <c r="S3478" s="2"/>
      <c r="T3478" s="2"/>
      <c r="U3478" s="2"/>
      <c r="V3478" s="2"/>
      <c r="W3478" s="2"/>
      <c r="X3478" s="2"/>
      <c r="Y3478" s="2"/>
      <c r="Z3478" s="2"/>
      <c r="AA3478" s="2"/>
      <c r="AB3478" s="2"/>
      <c r="AC3478" s="2"/>
      <c r="AD3478" s="2"/>
      <c r="AE3478" s="2"/>
      <c r="AF3478" s="2"/>
      <c r="AG3478" s="2"/>
      <c r="AH3478" s="2"/>
      <c r="AI3478" s="2"/>
      <c r="AJ3478" s="2"/>
      <c r="AK3478" s="2"/>
      <c r="AL3478" s="2"/>
      <c r="AM3478" s="2"/>
      <c r="AN3478" s="2"/>
      <c r="AO3478" s="2"/>
      <c r="AP3478" s="2"/>
      <c r="AQ3478" s="2"/>
      <c r="AR3478" s="2"/>
      <c r="AS3478" s="2"/>
      <c r="AT3478" s="2"/>
      <c r="AU3478" s="2"/>
      <c r="AV3478" s="2"/>
      <c r="AW3478" s="2"/>
      <c r="AX3478" s="2"/>
      <c r="AY3478" s="2"/>
      <c r="AZ3478" s="2"/>
      <c r="BA3478" s="2"/>
      <c r="BB3478" s="2"/>
    </row>
    <row r="3479" ht="204.75" customHeight="1">
      <c r="A3479" s="1">
        <v>1045.0</v>
      </c>
      <c r="B3479" s="2" t="s">
        <v>10422</v>
      </c>
      <c r="C3479" s="2">
        <f>IFERROR(__xludf.DUMMYFUNCTION("split(B3479,""_"")"),1710.0)</f>
        <v>1710</v>
      </c>
      <c r="D3479" s="2" t="str">
        <f>IFERROR(__xludf.DUMMYFUNCTION("""COMPUTED_VALUE"""),"NTV")</f>
        <v>NTV</v>
      </c>
      <c r="E3479" s="2" t="str">
        <f>IFERROR(__xludf.DUMMYFUNCTION("""COMPUTED_VALUE"""),"土22")</f>
        <v>土22</v>
      </c>
      <c r="F3479" s="2" t="s">
        <v>10423</v>
      </c>
      <c r="G3479" s="2" t="s">
        <v>10448</v>
      </c>
      <c r="H3479" s="1">
        <v>9.0</v>
      </c>
      <c r="I3479" s="1" t="s">
        <v>33</v>
      </c>
      <c r="J3479" s="1" t="s">
        <v>86</v>
      </c>
      <c r="K3479" s="2" t="s">
        <v>10449</v>
      </c>
      <c r="L3479" s="2" t="s">
        <v>10450</v>
      </c>
      <c r="M3479" s="2" t="str">
        <f>IFERROR(__xludf.DUMMYFUNCTION("split(split(K3479,""【"",false),""公式LINE"",false)"),"櫻井翔、蒼井優、瀬戸康史、木南晴夏、森川葵、平山浩行、池田鉄洋／多部未華子／井川遥、荒川良々、秋山菜津子、高嶋政伸、風間杜夫バスケ部の生徒の保護者が怒っていると顧問の河原崎（池田鉄洋）から聞かされた鳴海（櫻井翔）。部活強化のため雇ったコーチ・熱川（松田悟志）が遠征試合を組み、保護者の負担する費用があまりに高額だった為であった。職員会議では、来年度の入学試験のことが議題に挙がる。教師たちは、どうすれば受験生を増やし、目標の入学者数を確保できるかアイデアを出し合う。一方、鳴海と聡子の関係はさらにすれ違いを生み"&amp;"…")</f>
        <v>櫻井翔、蒼井優、瀬戸康史、木南晴夏、森川葵、平山浩行、池田鉄洋／多部未華子／井川遥、荒川良々、秋山菜津子、高嶋政伸、風間杜夫バスケ部の生徒の保護者が怒っていると顧問の河原崎（池田鉄洋）から聞かされた鳴海（櫻井翔）。部活強化のため雇ったコーチ・熱川（松田悟志）が遠征試合を組み、保護者の負担する費用があまりに高額だった為であった。職員会議では、来年度の入学試験のことが議題に挙がる。教師たちは、どうすれば受験生を増やし、目標の入学者数を確保できるかアイデアを出し合う。一方、鳴海と聡子の関係はさらにすれ違いを生み…</v>
      </c>
      <c r="N3479" s="2"/>
      <c r="O3479" s="2"/>
      <c r="P3479" s="2"/>
      <c r="Q3479" s="2"/>
      <c r="R3479" s="2"/>
      <c r="S3479" s="2"/>
      <c r="T3479" s="2"/>
      <c r="U3479" s="2"/>
      <c r="V3479" s="2"/>
      <c r="W3479" s="2"/>
      <c r="X3479" s="2"/>
      <c r="Y3479" s="2"/>
      <c r="Z3479" s="2"/>
      <c r="AA3479" s="2"/>
      <c r="AB3479" s="2"/>
      <c r="AC3479" s="2"/>
      <c r="AD3479" s="2"/>
      <c r="AE3479" s="2"/>
      <c r="AF3479" s="2"/>
      <c r="AG3479" s="2"/>
      <c r="AH3479" s="2"/>
      <c r="AI3479" s="2"/>
      <c r="AJ3479" s="2"/>
      <c r="AK3479" s="2"/>
      <c r="AL3479" s="2"/>
      <c r="AM3479" s="2"/>
      <c r="AN3479" s="2"/>
      <c r="AO3479" s="2"/>
      <c r="AP3479" s="2"/>
      <c r="AQ3479" s="2"/>
      <c r="AR3479" s="2"/>
      <c r="AS3479" s="2"/>
      <c r="AT3479" s="2"/>
      <c r="AU3479" s="2"/>
      <c r="AV3479" s="2"/>
      <c r="AW3479" s="2"/>
      <c r="AX3479" s="2"/>
      <c r="AY3479" s="2"/>
      <c r="AZ3479" s="2"/>
      <c r="BA3479" s="2"/>
      <c r="BB3479" s="2"/>
    </row>
    <row r="3480" ht="204.75" customHeight="1">
      <c r="A3480" s="1">
        <v>1046.0</v>
      </c>
      <c r="B3480" s="2" t="s">
        <v>10422</v>
      </c>
      <c r="C3480" s="2">
        <f>IFERROR(__xludf.DUMMYFUNCTION("split(B3480,""_"")"),1710.0)</f>
        <v>1710</v>
      </c>
      <c r="D3480" s="2" t="str">
        <f>IFERROR(__xludf.DUMMYFUNCTION("""COMPUTED_VALUE"""),"NTV")</f>
        <v>NTV</v>
      </c>
      <c r="E3480" s="2" t="str">
        <f>IFERROR(__xludf.DUMMYFUNCTION("""COMPUTED_VALUE"""),"土22")</f>
        <v>土22</v>
      </c>
      <c r="F3480" s="2" t="s">
        <v>10423</v>
      </c>
      <c r="G3480" s="2" t="s">
        <v>10451</v>
      </c>
      <c r="H3480" s="1">
        <v>10.0</v>
      </c>
      <c r="I3480" s="1" t="s">
        <v>37</v>
      </c>
      <c r="J3480" s="1" t="s">
        <v>86</v>
      </c>
      <c r="K3480" s="2" t="s">
        <v>10452</v>
      </c>
      <c r="L3480" s="2" t="s">
        <v>10453</v>
      </c>
      <c r="M3480" s="2" t="str">
        <f>IFERROR(__xludf.DUMMYFUNCTION("split(split(K3480,""【"",false),""公式LINE"",false)"),"櫻井翔、蒼井優、瀬戸康史、木南晴夏、森川葵、平山浩行、池田鉄洋／多部未華子／井川遥、荒川良々、秋山菜津子、高嶋政伸、風間杜夫聡子（多部未華子）から別れを告げられ、加賀谷（高嶋政伸）からは校長を続けたいなら会社を辞めて転籍するよう迫られた鳴海（櫻井翔）。一方、ちひろ（蒼井優）らは新入生を増やすための活動を続けるも、思うように集まらない。鳴海は、定員割れになったら自分が責任を取ると宣言。ちひろは鳴海が京明館を辞めてしまうのではないかと動揺するが、柏木（風間杜夫）は鳴海の事を考え、会社に戻って聡子と結婚した方が"&amp;"いいと勧める。")</f>
        <v>櫻井翔、蒼井優、瀬戸康史、木南晴夏、森川葵、平山浩行、池田鉄洋／多部未華子／井川遥、荒川良々、秋山菜津子、高嶋政伸、風間杜夫聡子（多部未華子）から別れを告げられ、加賀谷（高嶋政伸）からは校長を続けたいなら会社を辞めて転籍するよう迫られた鳴海（櫻井翔）。一方、ちひろ（蒼井優）らは新入生を増やすための活動を続けるも、思うように集まらない。鳴海は、定員割れになったら自分が責任を取ると宣言。ちひろは鳴海が京明館を辞めてしまうのではないかと動揺するが、柏木（風間杜夫）は鳴海の事を考え、会社に戻って聡子と結婚した方がいいと勧める。</v>
      </c>
      <c r="N3480" s="2"/>
      <c r="O3480" s="2"/>
      <c r="P3480" s="2"/>
      <c r="Q3480" s="2"/>
      <c r="R3480" s="2"/>
      <c r="S3480" s="2"/>
      <c r="T3480" s="2"/>
      <c r="U3480" s="2"/>
      <c r="V3480" s="2"/>
      <c r="W3480" s="2"/>
      <c r="X3480" s="2"/>
      <c r="Y3480" s="2"/>
      <c r="Z3480" s="2"/>
      <c r="AA3480" s="2"/>
      <c r="AB3480" s="2"/>
      <c r="AC3480" s="2"/>
      <c r="AD3480" s="2"/>
      <c r="AE3480" s="2"/>
      <c r="AF3480" s="2"/>
      <c r="AG3480" s="2"/>
      <c r="AH3480" s="2"/>
      <c r="AI3480" s="2"/>
      <c r="AJ3480" s="2"/>
      <c r="AK3480" s="2"/>
      <c r="AL3480" s="2"/>
      <c r="AM3480" s="2"/>
      <c r="AN3480" s="2"/>
      <c r="AO3480" s="2"/>
      <c r="AP3480" s="2"/>
      <c r="AQ3480" s="2"/>
      <c r="AR3480" s="2"/>
      <c r="AS3480" s="2"/>
      <c r="AT3480" s="2"/>
      <c r="AU3480" s="2"/>
      <c r="AV3480" s="2"/>
      <c r="AW3480" s="2"/>
      <c r="AX3480" s="2"/>
      <c r="AY3480" s="2"/>
      <c r="AZ3480" s="2"/>
      <c r="BA3480" s="2"/>
      <c r="BB3480" s="2"/>
    </row>
    <row r="3481" ht="204.75" customHeight="1">
      <c r="A3481" s="1">
        <v>1057.0</v>
      </c>
      <c r="B3481" s="2" t="s">
        <v>10454</v>
      </c>
      <c r="C3481" s="2">
        <f>IFERROR(__xludf.DUMMYFUNCTION("split(B3481,""_"")"),1710.0)</f>
        <v>1710</v>
      </c>
      <c r="D3481" s="2" t="str">
        <f>IFERROR(__xludf.DUMMYFUNCTION("""COMPUTED_VALUE"""),"NTV")</f>
        <v>NTV</v>
      </c>
      <c r="E3481" s="2" t="str">
        <f>IFERROR(__xludf.DUMMYFUNCTION("""COMPUTED_VALUE"""),"日22")</f>
        <v>日22</v>
      </c>
      <c r="F3481" s="2" t="s">
        <v>10455</v>
      </c>
      <c r="G3481" s="2" t="s">
        <v>10456</v>
      </c>
      <c r="H3481" s="1">
        <v>1.0</v>
      </c>
      <c r="I3481" s="1" t="s">
        <v>3</v>
      </c>
      <c r="J3481" s="1" t="s">
        <v>82</v>
      </c>
      <c r="K3481" s="4" t="s">
        <v>10457</v>
      </c>
      <c r="L3481" s="11" t="s">
        <v>10458</v>
      </c>
      <c r="M3481" s="2" t="str">
        <f>IFERROR(__xludf.DUMMYFUNCTION("split(split(K3481,""【演出】"",false),""ほか"",false)"),"ディーン・フジオカ、武井咲、鈴木伸之、島崎遥香、山賀琴子、佐藤玲、内藤理沙、蛭子能収、三宅弘城、近藤正臣  【ゲスト】稲葉友、石田ひかり、小沢仁志 ")</f>
        <v>ディーン・フジオカ、武井咲、鈴木伸之、島崎遥香、山賀琴子、佐藤玲、内藤理沙、蛭子能収、三宅弘城、近藤正臣  【ゲスト】稲葉友、石田ひかり、小沢仁志 </v>
      </c>
      <c r="N3481" s="2" t="str">
        <f>IFERROR(__xludf.DUMMYFUNCTION("""COMPUTED_VALUE"""),"人を脅して事件を解決する「脅迫屋」の千川完二（ディーン・フジオカ）は、振込詐欺グループと間違えて女子大生・金坂澪（武井咲）を脅迫。しかしお人よしの澪は、見ず知らずの人質・佐藤（稲葉友）を助けるために自分が身代金を払うと言いだした！更に、本来の脅迫相手はすでに何者かに殺されていたことが発覚。そんな中、澪のもとに千川から解放された佐藤が訪れ…。脅迫屋と変人級な善人の出会いで事件は思いがけない展開に!!")</f>
        <v>人を脅して事件を解決する「脅迫屋」の千川完二（ディーン・フジオカ）は、振込詐欺グループと間違えて女子大生・金坂澪（武井咲）を脅迫。しかしお人よしの澪は、見ず知らずの人質・佐藤（稲葉友）を助けるために自分が身代金を払うと言いだした！更に、本来の脅迫相手はすでに何者かに殺されていたことが発覚。そんな中、澪のもとに千川から解放された佐藤が訪れ…。脅迫屋と変人級な善人の出会いで事件は思いがけない展開に!!</v>
      </c>
      <c r="O3481" s="2"/>
      <c r="P3481" s="2"/>
      <c r="Q3481" s="2"/>
      <c r="R3481" s="2"/>
      <c r="S3481" s="2"/>
      <c r="T3481" s="2"/>
      <c r="U3481" s="2"/>
      <c r="V3481" s="2"/>
      <c r="W3481" s="2"/>
      <c r="X3481" s="2"/>
      <c r="Y3481" s="2"/>
      <c r="Z3481" s="2"/>
      <c r="AA3481" s="2"/>
      <c r="AB3481" s="2"/>
      <c r="AC3481" s="2"/>
      <c r="AD3481" s="2"/>
      <c r="AE3481" s="2"/>
      <c r="AF3481" s="2"/>
      <c r="AG3481" s="2"/>
      <c r="AH3481" s="2"/>
      <c r="AI3481" s="2"/>
      <c r="AJ3481" s="2"/>
      <c r="AK3481" s="2"/>
      <c r="AL3481" s="2"/>
      <c r="AM3481" s="2"/>
      <c r="AN3481" s="2"/>
      <c r="AO3481" s="2"/>
      <c r="AP3481" s="2"/>
      <c r="AQ3481" s="2"/>
      <c r="AR3481" s="2"/>
      <c r="AS3481" s="2"/>
      <c r="AT3481" s="2"/>
      <c r="AU3481" s="2"/>
      <c r="AV3481" s="2"/>
      <c r="AW3481" s="2"/>
      <c r="AX3481" s="2"/>
      <c r="AY3481" s="2"/>
      <c r="AZ3481" s="2"/>
      <c r="BA3481" s="2"/>
      <c r="BB3481" s="2"/>
    </row>
    <row r="3482" ht="204.75" customHeight="1">
      <c r="A3482" s="1">
        <v>1058.0</v>
      </c>
      <c r="B3482" s="2" t="s">
        <v>10454</v>
      </c>
      <c r="C3482" s="2">
        <f>IFERROR(__xludf.DUMMYFUNCTION("split(B3482,""_"")"),1710.0)</f>
        <v>1710</v>
      </c>
      <c r="D3482" s="2" t="str">
        <f>IFERROR(__xludf.DUMMYFUNCTION("""COMPUTED_VALUE"""),"NTV")</f>
        <v>NTV</v>
      </c>
      <c r="E3482" s="2" t="str">
        <f>IFERROR(__xludf.DUMMYFUNCTION("""COMPUTED_VALUE"""),"日22")</f>
        <v>日22</v>
      </c>
      <c r="F3482" s="2" t="s">
        <v>10455</v>
      </c>
      <c r="G3482" s="2" t="s">
        <v>10459</v>
      </c>
      <c r="H3482" s="1">
        <v>2.0</v>
      </c>
      <c r="I3482" s="1" t="s">
        <v>7</v>
      </c>
      <c r="J3482" s="1" t="s">
        <v>82</v>
      </c>
      <c r="K3482" s="2" t="s">
        <v>10460</v>
      </c>
      <c r="L3482" s="11" t="s">
        <v>10461</v>
      </c>
      <c r="M3482" s="2" t="str">
        <f>IFERROR(__xludf.DUMMYFUNCTION("split(split(K3482,""【演出】"",false),""ほか"",false)"),"ディーン・フジオカ、武井咲、鈴木伸之、島崎遥香、山賀琴子、佐藤玲、内藤理沙、蛭子能収、三宅弘城、近藤正臣 ")</f>
        <v>ディーン・フジオカ、武井咲、鈴木伸之、島崎遥香、山賀琴子、佐藤玲、内藤理沙、蛭子能収、三宅弘城、近藤正臣 </v>
      </c>
      <c r="N3482" s="2" t="str">
        <f>IFERROR(__xludf.DUMMYFUNCTION("""COMPUTED_VALUE"""),"    【ゲスト】大後寿々花、高月彩良、片岡礼子、小木茂光、袴田吉彦、小沢仁志 ")</f>
        <v>    【ゲスト】大後寿々花、高月彩良、片岡礼子、小木茂光、袴田吉彦、小沢仁志 </v>
      </c>
      <c r="O3482" s="2" t="str">
        <f>IFERROR(__xludf.DUMMYFUNCTION("""COMPUTED_VALUE"""),"脅迫屋の千川（ディーン・フジオカ）に弱みを握られた澪（武井咲）は仕事を手伝うことに。１年前に自殺した人気の歌姫・ERu(高月彩良)の親友・沙和子(大後寿々花)から「ゴーストライターがいるというガセネタでERuを自殺に追いやった週刊誌の編集長・茂木（小木茂光）に彼女の名誉回復のための記事を書かせて欲しい」という依頼を受けるが大苦戦。そんな中、ERuの記事をかかせた本当の黒幕が判明し・・・")</f>
        <v>脅迫屋の千川（ディーン・フジオカ）に弱みを握られた澪（武井咲）は仕事を手伝うことに。１年前に自殺した人気の歌姫・ERu(高月彩良)の親友・沙和子(大後寿々花)から「ゴーストライターがいるというガセネタでERuを自殺に追いやった週刊誌の編集長・茂木（小木茂光）に彼女の名誉回復のための記事を書かせて欲しい」という依頼を受けるが大苦戦。そんな中、ERuの記事をかかせた本当の黒幕が判明し・・・</v>
      </c>
      <c r="P3482" s="2"/>
      <c r="Q3482" s="2"/>
      <c r="R3482" s="2"/>
      <c r="S3482" s="2"/>
      <c r="T3482" s="2"/>
      <c r="U3482" s="2"/>
      <c r="V3482" s="2"/>
      <c r="W3482" s="2"/>
      <c r="X3482" s="2"/>
      <c r="Y3482" s="2"/>
      <c r="Z3482" s="2"/>
      <c r="AA3482" s="2"/>
      <c r="AB3482" s="2"/>
      <c r="AC3482" s="2"/>
      <c r="AD3482" s="2"/>
      <c r="AE3482" s="2"/>
      <c r="AF3482" s="2"/>
      <c r="AG3482" s="2"/>
      <c r="AH3482" s="2"/>
      <c r="AI3482" s="2"/>
      <c r="AJ3482" s="2"/>
      <c r="AK3482" s="2"/>
      <c r="AL3482" s="2"/>
      <c r="AM3482" s="2"/>
      <c r="AN3482" s="2"/>
      <c r="AO3482" s="2"/>
      <c r="AP3482" s="2"/>
      <c r="AQ3482" s="2"/>
      <c r="AR3482" s="2"/>
      <c r="AS3482" s="2"/>
      <c r="AT3482" s="2"/>
      <c r="AU3482" s="2"/>
      <c r="AV3482" s="2"/>
      <c r="AW3482" s="2"/>
      <c r="AX3482" s="2"/>
      <c r="AY3482" s="2"/>
      <c r="AZ3482" s="2"/>
      <c r="BA3482" s="2"/>
      <c r="BB3482" s="2"/>
    </row>
    <row r="3483" ht="204.75" customHeight="1">
      <c r="A3483" s="1">
        <v>1059.0</v>
      </c>
      <c r="B3483" s="2" t="s">
        <v>10454</v>
      </c>
      <c r="C3483" s="2">
        <f>IFERROR(__xludf.DUMMYFUNCTION("split(B3483,""_"")"),1710.0)</f>
        <v>1710</v>
      </c>
      <c r="D3483" s="2" t="str">
        <f>IFERROR(__xludf.DUMMYFUNCTION("""COMPUTED_VALUE"""),"NTV")</f>
        <v>NTV</v>
      </c>
      <c r="E3483" s="2" t="str">
        <f>IFERROR(__xludf.DUMMYFUNCTION("""COMPUTED_VALUE"""),"日22")</f>
        <v>日22</v>
      </c>
      <c r="F3483" s="2" t="s">
        <v>10455</v>
      </c>
      <c r="G3483" s="2" t="s">
        <v>10462</v>
      </c>
      <c r="H3483" s="1">
        <v>3.0</v>
      </c>
      <c r="I3483" s="1" t="s">
        <v>10</v>
      </c>
      <c r="J3483" s="1" t="s">
        <v>82</v>
      </c>
      <c r="K3483" s="2" t="s">
        <v>10463</v>
      </c>
      <c r="L3483" s="10" t="s">
        <v>10464</v>
      </c>
      <c r="M3483" s="2" t="str">
        <f>IFERROR(__xludf.DUMMYFUNCTION("split(split(K3483,""【演出】"",false),""ほか"",false)"),"ディーン・フジオカ、武井咲、鈴木伸之、島崎遥香、山賀琴子、佐藤玲、内藤理沙、蛭子能収、三宅弘城、近藤正臣  【ゲスト】浅香航大、南沢奈央、東幹久、袴田吉彦澪（武井咲）は大学で、千川（ディーン・フジオカ）が学生の益子（浅香航大）を脅迫する現場に遭遇。『500万払わなければ母親が結婚詐欺師だったことをバラす』という要求を益子は飲むという。それどころか益子は千川に『バイト先で働く真希（南沢奈央）が妻子がいる戸田（東幹久）と別れられず困っているので戸田を脅迫して欲しい』と自らも脅迫を依頼。脅迫の依頼が同時多発的に"&amp;"起こる中、千川は全てを解決できる?!")</f>
        <v>ディーン・フジオカ、武井咲、鈴木伸之、島崎遥香、山賀琴子、佐藤玲、内藤理沙、蛭子能収、三宅弘城、近藤正臣  【ゲスト】浅香航大、南沢奈央、東幹久、袴田吉彦澪（武井咲）は大学で、千川（ディーン・フジオカ）が学生の益子（浅香航大）を脅迫する現場に遭遇。『500万払わなければ母親が結婚詐欺師だったことをバラす』という要求を益子は飲むという。それどころか益子は千川に『バイト先で働く真希（南沢奈央）が妻子がいる戸田（東幹久）と別れられず困っているので戸田を脅迫して欲しい』と自らも脅迫を依頼。脅迫の依頼が同時多発的に起こる中、千川は全てを解決できる?!</v>
      </c>
      <c r="N3483" s="2"/>
      <c r="O3483" s="2"/>
      <c r="P3483" s="2"/>
      <c r="Q3483" s="2"/>
      <c r="R3483" s="2"/>
      <c r="S3483" s="2"/>
      <c r="T3483" s="2"/>
      <c r="U3483" s="2"/>
      <c r="V3483" s="2"/>
      <c r="W3483" s="2"/>
      <c r="X3483" s="2"/>
      <c r="Y3483" s="2"/>
      <c r="Z3483" s="2"/>
      <c r="AA3483" s="2"/>
      <c r="AB3483" s="2"/>
      <c r="AC3483" s="2"/>
      <c r="AD3483" s="2"/>
      <c r="AE3483" s="2"/>
      <c r="AF3483" s="2"/>
      <c r="AG3483" s="2"/>
      <c r="AH3483" s="2"/>
      <c r="AI3483" s="2"/>
      <c r="AJ3483" s="2"/>
      <c r="AK3483" s="2"/>
      <c r="AL3483" s="2"/>
      <c r="AM3483" s="2"/>
      <c r="AN3483" s="2"/>
      <c r="AO3483" s="2"/>
      <c r="AP3483" s="2"/>
      <c r="AQ3483" s="2"/>
      <c r="AR3483" s="2"/>
      <c r="AS3483" s="2"/>
      <c r="AT3483" s="2"/>
      <c r="AU3483" s="2"/>
      <c r="AV3483" s="2"/>
      <c r="AW3483" s="2"/>
      <c r="AX3483" s="2"/>
      <c r="AY3483" s="2"/>
      <c r="AZ3483" s="2"/>
      <c r="BA3483" s="2"/>
      <c r="BB3483" s="2"/>
    </row>
    <row r="3484" ht="204.75" customHeight="1">
      <c r="A3484" s="1">
        <v>1060.0</v>
      </c>
      <c r="B3484" s="2" t="s">
        <v>10454</v>
      </c>
      <c r="C3484" s="2">
        <f>IFERROR(__xludf.DUMMYFUNCTION("split(B3484,""_"")"),1710.0)</f>
        <v>1710</v>
      </c>
      <c r="D3484" s="2" t="str">
        <f>IFERROR(__xludf.DUMMYFUNCTION("""COMPUTED_VALUE"""),"NTV")</f>
        <v>NTV</v>
      </c>
      <c r="E3484" s="2" t="str">
        <f>IFERROR(__xludf.DUMMYFUNCTION("""COMPUTED_VALUE"""),"日22")</f>
        <v>日22</v>
      </c>
      <c r="F3484" s="2" t="s">
        <v>10455</v>
      </c>
      <c r="G3484" s="2" t="s">
        <v>10465</v>
      </c>
      <c r="H3484" s="1">
        <v>4.0</v>
      </c>
      <c r="I3484" s="1" t="s">
        <v>14</v>
      </c>
      <c r="J3484" s="1" t="s">
        <v>82</v>
      </c>
      <c r="K3484" s="2" t="s">
        <v>10466</v>
      </c>
      <c r="L3484" s="10" t="s">
        <v>10467</v>
      </c>
      <c r="M3484" s="2" t="str">
        <f>IFERROR(__xludf.DUMMYFUNCTION("split(split(K3484,""【演出】"",false),""ほか"",false)"),"ディーン・フジオカ、武井咲、鈴木伸之、島崎遥香、山賀琴子、佐藤玲、内藤理沙、蛭子能収、三宅弘城、近藤正臣  【ゲスト】前田公輝、森田甘路、石田ひかり、袴田吉彦、小沢仁志澪（武井咲）は教師だった母親の教え子・國枝から、両親が亡くなった交通事故の真犯人はまだ罪を償っていないと聞く。そんな中、國枝が真犯人である添島を襲い逃走。澪の不幸な生い立ちを知った千川（ディーン・フジオカ）は、澪に添島の脅迫を持ちかける。しかし母親の生前の言葉を守って人を憎みたくないという澪は千川の提案を拒む。そして、澪に優しかった隣人のカ"&amp;"オル（鈴木伸之）が、実は澪の部屋を盗聴していて…。")</f>
        <v>ディーン・フジオカ、武井咲、鈴木伸之、島崎遥香、山賀琴子、佐藤玲、内藤理沙、蛭子能収、三宅弘城、近藤正臣  【ゲスト】前田公輝、森田甘路、石田ひかり、袴田吉彦、小沢仁志澪（武井咲）は教師だった母親の教え子・國枝から、両親が亡くなった交通事故の真犯人はまだ罪を償っていないと聞く。そんな中、國枝が真犯人である添島を襲い逃走。澪の不幸な生い立ちを知った千川（ディーン・フジオカ）は、澪に添島の脅迫を持ちかける。しかし母親の生前の言葉を守って人を憎みたくないという澪は千川の提案を拒む。そして、澪に優しかった隣人のカオル（鈴木伸之）が、実は澪の部屋を盗聴していて…。</v>
      </c>
      <c r="N3484" s="2"/>
      <c r="O3484" s="2"/>
      <c r="P3484" s="2"/>
      <c r="Q3484" s="2"/>
      <c r="R3484" s="2"/>
      <c r="S3484" s="2"/>
      <c r="T3484" s="2"/>
      <c r="U3484" s="2"/>
      <c r="V3484" s="2"/>
      <c r="W3484" s="2"/>
      <c r="X3484" s="2"/>
      <c r="Y3484" s="2"/>
      <c r="Z3484" s="2"/>
      <c r="AA3484" s="2"/>
      <c r="AB3484" s="2"/>
      <c r="AC3484" s="2"/>
      <c r="AD3484" s="2"/>
      <c r="AE3484" s="2"/>
      <c r="AF3484" s="2"/>
      <c r="AG3484" s="2"/>
      <c r="AH3484" s="2"/>
      <c r="AI3484" s="2"/>
      <c r="AJ3484" s="2"/>
      <c r="AK3484" s="2"/>
      <c r="AL3484" s="2"/>
      <c r="AM3484" s="2"/>
      <c r="AN3484" s="2"/>
      <c r="AO3484" s="2"/>
      <c r="AP3484" s="2"/>
      <c r="AQ3484" s="2"/>
      <c r="AR3484" s="2"/>
      <c r="AS3484" s="2"/>
      <c r="AT3484" s="2"/>
      <c r="AU3484" s="2"/>
      <c r="AV3484" s="2"/>
      <c r="AW3484" s="2"/>
      <c r="AX3484" s="2"/>
      <c r="AY3484" s="2"/>
      <c r="AZ3484" s="2"/>
      <c r="BA3484" s="2"/>
      <c r="BB3484" s="2"/>
    </row>
    <row r="3485" ht="204.75" customHeight="1">
      <c r="A3485" s="1">
        <v>1061.0</v>
      </c>
      <c r="B3485" s="2" t="s">
        <v>10454</v>
      </c>
      <c r="C3485" s="2">
        <f>IFERROR(__xludf.DUMMYFUNCTION("split(B3485,""_"")"),1710.0)</f>
        <v>1710</v>
      </c>
      <c r="D3485" s="2" t="str">
        <f>IFERROR(__xludf.DUMMYFUNCTION("""COMPUTED_VALUE"""),"NTV")</f>
        <v>NTV</v>
      </c>
      <c r="E3485" s="2" t="str">
        <f>IFERROR(__xludf.DUMMYFUNCTION("""COMPUTED_VALUE"""),"日22")</f>
        <v>日22</v>
      </c>
      <c r="F3485" s="2" t="s">
        <v>10455</v>
      </c>
      <c r="G3485" s="2" t="s">
        <v>10468</v>
      </c>
      <c r="H3485" s="1">
        <v>5.0</v>
      </c>
      <c r="I3485" s="1" t="s">
        <v>17</v>
      </c>
      <c r="J3485" s="1" t="s">
        <v>82</v>
      </c>
      <c r="K3485" s="2" t="s">
        <v>10469</v>
      </c>
      <c r="L3485" s="10" t="s">
        <v>10470</v>
      </c>
      <c r="M3485" s="2" t="str">
        <f>IFERROR(__xludf.DUMMYFUNCTION("split(split(K3485,""【演出】"",false),""ほか"",false)"),"ディーン・フジオカ、武井咲、鈴木伸之、島崎遥香、山賀琴子、佐藤玲、内藤理沙、蛭子能収、三宅弘城、近藤正臣  【ゲスト】袴田吉彦、小沢仁志千川（ディーン・フジオカ）は轟（近藤正臣）に「孫の澪（武井咲）を守れ」と脅迫を受ける。そのころ澪は、隣室のカオル（鈴木伸之）に誘拐され監禁されていた。千川は「監視屋」のカオルを雇っていたのが人気政治家の新戸部（袴田吉彦）だったと知る。新戸部は轟を脅迫し、澪の命と引き換えに轟の命と財産を差し出すよう迫る。澪の救出に向かう千川だが、同時に轟を暗殺しようとしているイベントの時間"&amp;"も迫っていた…!!")</f>
        <v>ディーン・フジオカ、武井咲、鈴木伸之、島崎遥香、山賀琴子、佐藤玲、内藤理沙、蛭子能収、三宅弘城、近藤正臣  【ゲスト】袴田吉彦、小沢仁志千川（ディーン・フジオカ）は轟（近藤正臣）に「孫の澪（武井咲）を守れ」と脅迫を受ける。そのころ澪は、隣室のカオル（鈴木伸之）に誘拐され監禁されていた。千川は「監視屋」のカオルを雇っていたのが人気政治家の新戸部（袴田吉彦）だったと知る。新戸部は轟を脅迫し、澪の命と引き換えに轟の命と財産を差し出すよう迫る。澪の救出に向かう千川だが、同時に轟を暗殺しようとしているイベントの時間も迫っていた…!!</v>
      </c>
      <c r="N3485" s="2"/>
      <c r="O3485" s="2"/>
      <c r="P3485" s="2"/>
      <c r="Q3485" s="2"/>
      <c r="R3485" s="2"/>
      <c r="S3485" s="2"/>
      <c r="T3485" s="2"/>
      <c r="U3485" s="2"/>
      <c r="V3485" s="2"/>
      <c r="W3485" s="2"/>
      <c r="X3485" s="2"/>
      <c r="Y3485" s="2"/>
      <c r="Z3485" s="2"/>
      <c r="AA3485" s="2"/>
      <c r="AB3485" s="2"/>
      <c r="AC3485" s="2"/>
      <c r="AD3485" s="2"/>
      <c r="AE3485" s="2"/>
      <c r="AF3485" s="2"/>
      <c r="AG3485" s="2"/>
      <c r="AH3485" s="2"/>
      <c r="AI3485" s="2"/>
      <c r="AJ3485" s="2"/>
      <c r="AK3485" s="2"/>
      <c r="AL3485" s="2"/>
      <c r="AM3485" s="2"/>
      <c r="AN3485" s="2"/>
      <c r="AO3485" s="2"/>
      <c r="AP3485" s="2"/>
      <c r="AQ3485" s="2"/>
      <c r="AR3485" s="2"/>
      <c r="AS3485" s="2"/>
      <c r="AT3485" s="2"/>
      <c r="AU3485" s="2"/>
      <c r="AV3485" s="2"/>
      <c r="AW3485" s="2"/>
      <c r="AX3485" s="2"/>
      <c r="AY3485" s="2"/>
      <c r="AZ3485" s="2"/>
      <c r="BA3485" s="2"/>
      <c r="BB3485" s="2"/>
    </row>
    <row r="3486" ht="204.75" customHeight="1">
      <c r="A3486" s="1">
        <v>1062.0</v>
      </c>
      <c r="B3486" s="2" t="s">
        <v>10454</v>
      </c>
      <c r="C3486" s="2">
        <f>IFERROR(__xludf.DUMMYFUNCTION("split(B3486,""_"")"),1710.0)</f>
        <v>1710</v>
      </c>
      <c r="D3486" s="2" t="str">
        <f>IFERROR(__xludf.DUMMYFUNCTION("""COMPUTED_VALUE"""),"NTV")</f>
        <v>NTV</v>
      </c>
      <c r="E3486" s="2" t="str">
        <f>IFERROR(__xludf.DUMMYFUNCTION("""COMPUTED_VALUE"""),"日22")</f>
        <v>日22</v>
      </c>
      <c r="F3486" s="2" t="s">
        <v>10455</v>
      </c>
      <c r="G3486" s="2" t="s">
        <v>10471</v>
      </c>
      <c r="H3486" s="1">
        <v>6.0</v>
      </c>
      <c r="I3486" s="1" t="s">
        <v>21</v>
      </c>
      <c r="J3486" s="1" t="s">
        <v>82</v>
      </c>
      <c r="K3486" s="2" t="s">
        <v>10472</v>
      </c>
      <c r="L3486" s="11" t="s">
        <v>10473</v>
      </c>
      <c r="M3486" s="2" t="str">
        <f>IFERROR(__xludf.DUMMYFUNCTION("split(split(K3486,""【演出】"",false),""ほか"",false)"),"ディーン・フジオカ、武井咲、間宮祥太朗、島崎遥香、山賀琴子、佐藤玲、内藤理沙、蛭子能収、真野響子、三宅弘城、近藤正臣    【ゲスト】佐伯日菜子、飯塚悟志(東京03)、高橋洋、笠原秀幸 ")</f>
        <v>ディーン・フジオカ、武井咲、間宮祥太朗、島崎遥香、山賀琴子、佐藤玲、内藤理沙、蛭子能収、真野響子、三宅弘城、近藤正臣    【ゲスト】佐伯日菜子、飯塚悟志(東京03)、高橋洋、笠原秀幸 </v>
      </c>
      <c r="N3486" s="2" t="str">
        <f>IFERROR(__xludf.DUMMYFUNCTION("""COMPUTED_VALUE"""),"誘拐騒ぎ後、澪（武井咲）は祖父の轟（近藤正臣）と和解。そして自称ナンパ師の男・スナオ（間宮祥太朗）に運命の人だと口説かれる。その頃千川（ディーン・フジオカ）は、母親のあかね（佐伯日菜子）の元交際相手に怪我を負わされた小学生・愛梨と知り合い「お母さんを助けて欲しい」と頼まれる。その様子をみていたスナオは千川にほれ込み、舎弟にして欲しいと言い出して…。更に千川の隠された過去が徐々に明らかに!")</f>
        <v>誘拐騒ぎ後、澪（武井咲）は祖父の轟（近藤正臣）と和解。そして自称ナンパ師の男・スナオ（間宮祥太朗）に運命の人だと口説かれる。その頃千川（ディーン・フジオカ）は、母親のあかね（佐伯日菜子）の元交際相手に怪我を負わされた小学生・愛梨と知り合い「お母さんを助けて欲しい」と頼まれる。その様子をみていたスナオは千川にほれ込み、舎弟にして欲しいと言い出して…。更に千川の隠された過去が徐々に明らかに!</v>
      </c>
      <c r="O3486" s="2"/>
      <c r="P3486" s="2"/>
      <c r="Q3486" s="2"/>
      <c r="R3486" s="2"/>
      <c r="S3486" s="2"/>
      <c r="T3486" s="2"/>
      <c r="U3486" s="2"/>
      <c r="V3486" s="2"/>
      <c r="W3486" s="2"/>
      <c r="X3486" s="2"/>
      <c r="Y3486" s="2"/>
      <c r="Z3486" s="2"/>
      <c r="AA3486" s="2"/>
      <c r="AB3486" s="2"/>
      <c r="AC3486" s="2"/>
      <c r="AD3486" s="2"/>
      <c r="AE3486" s="2"/>
      <c r="AF3486" s="2"/>
      <c r="AG3486" s="2"/>
      <c r="AH3486" s="2"/>
      <c r="AI3486" s="2"/>
      <c r="AJ3486" s="2"/>
      <c r="AK3486" s="2"/>
      <c r="AL3486" s="2"/>
      <c r="AM3486" s="2"/>
      <c r="AN3486" s="2"/>
      <c r="AO3486" s="2"/>
      <c r="AP3486" s="2"/>
      <c r="AQ3486" s="2"/>
      <c r="AR3486" s="2"/>
      <c r="AS3486" s="2"/>
      <c r="AT3486" s="2"/>
      <c r="AU3486" s="2"/>
      <c r="AV3486" s="2"/>
      <c r="AW3486" s="2"/>
      <c r="AX3486" s="2"/>
      <c r="AY3486" s="2"/>
      <c r="AZ3486" s="2"/>
      <c r="BA3486" s="2"/>
      <c r="BB3486" s="2"/>
    </row>
    <row r="3487" ht="204.75" customHeight="1">
      <c r="A3487" s="1">
        <v>1063.0</v>
      </c>
      <c r="B3487" s="2" t="s">
        <v>10454</v>
      </c>
      <c r="C3487" s="2">
        <f>IFERROR(__xludf.DUMMYFUNCTION("split(B3487,""_"")"),1710.0)</f>
        <v>1710</v>
      </c>
      <c r="D3487" s="2" t="str">
        <f>IFERROR(__xludf.DUMMYFUNCTION("""COMPUTED_VALUE"""),"NTV")</f>
        <v>NTV</v>
      </c>
      <c r="E3487" s="2" t="str">
        <f>IFERROR(__xludf.DUMMYFUNCTION("""COMPUTED_VALUE"""),"日22")</f>
        <v>日22</v>
      </c>
      <c r="F3487" s="2" t="s">
        <v>10455</v>
      </c>
      <c r="G3487" s="2" t="s">
        <v>10474</v>
      </c>
      <c r="H3487" s="1">
        <v>7.0</v>
      </c>
      <c r="I3487" s="1" t="s">
        <v>25</v>
      </c>
      <c r="J3487" s="1" t="s">
        <v>82</v>
      </c>
      <c r="K3487" s="2" t="s">
        <v>10475</v>
      </c>
      <c r="L3487" s="11" t="s">
        <v>10476</v>
      </c>
      <c r="M3487" s="2" t="str">
        <f>IFERROR(__xludf.DUMMYFUNCTION("split(split(K3487,""【演出】"",false),""ほか"",false)"),"ディーン・フジオカ、武井咲、間宮祥太朗、島崎遥香、山賀琴子、佐藤玲、内藤理沙/松下奈緒/蛭子能収、真野響子、三宅弘城、近藤正臣    【ゲスト】橋本じゅん、阿部純子、佐伯日菜子、飯塚悟志(東京03)/笠原秀幸、後藤亜実")</f>
        <v>ディーン・フジオカ、武井咲、間宮祥太朗、島崎遥香、山賀琴子、佐藤玲、内藤理沙/松下奈緒/蛭子能収、真野響子、三宅弘城、近藤正臣    【ゲスト】橋本じゅん、阿部純子、佐伯日菜子、飯塚悟志(東京03)/笠原秀幸、後藤亜実</v>
      </c>
      <c r="N3487" s="2" t="str">
        <f>IFERROR(__xludf.DUMMYFUNCTION("""COMPUTED_VALUE"""),"千川（ディーン・フジオカ）が脅迫をした蔵井（飯塚悟志）が謎の突然死をしたことで、千川達に殺人犯の疑いがかかる。入院中の澪（武井咲）は心配しつつも素直になれない。容疑を晴らすため死の真相を調べる千川は、蔵井が死んだ状況に偶然が重なりすぎていることを不審に思いはじめる。そして事件の真相に近づく千川の身に危機が！さらに亡くなった千川の恋人・来栖稚奈（松下奈緒）とスナオの意外な過去が明らかに…!?")</f>
        <v>千川（ディーン・フジオカ）が脅迫をした蔵井（飯塚悟志）が謎の突然死をしたことで、千川達に殺人犯の疑いがかかる。入院中の澪（武井咲）は心配しつつも素直になれない。容疑を晴らすため死の真相を調べる千川は、蔵井が死んだ状況に偶然が重なりすぎていることを不審に思いはじめる。そして事件の真相に近づく千川の身に危機が！さらに亡くなった千川の恋人・来栖稚奈（松下奈緒）とスナオの意外な過去が明らかに…!?</v>
      </c>
      <c r="O3487" s="2"/>
      <c r="P3487" s="2"/>
      <c r="Q3487" s="2"/>
      <c r="R3487" s="2"/>
      <c r="S3487" s="2"/>
      <c r="T3487" s="2"/>
      <c r="U3487" s="2"/>
      <c r="V3487" s="2"/>
      <c r="W3487" s="2"/>
      <c r="X3487" s="2"/>
      <c r="Y3487" s="2"/>
      <c r="Z3487" s="2"/>
      <c r="AA3487" s="2"/>
      <c r="AB3487" s="2"/>
      <c r="AC3487" s="2"/>
      <c r="AD3487" s="2"/>
      <c r="AE3487" s="2"/>
      <c r="AF3487" s="2"/>
      <c r="AG3487" s="2"/>
      <c r="AH3487" s="2"/>
      <c r="AI3487" s="2"/>
      <c r="AJ3487" s="2"/>
      <c r="AK3487" s="2"/>
      <c r="AL3487" s="2"/>
      <c r="AM3487" s="2"/>
      <c r="AN3487" s="2"/>
      <c r="AO3487" s="2"/>
      <c r="AP3487" s="2"/>
      <c r="AQ3487" s="2"/>
      <c r="AR3487" s="2"/>
      <c r="AS3487" s="2"/>
      <c r="AT3487" s="2"/>
      <c r="AU3487" s="2"/>
      <c r="AV3487" s="2"/>
      <c r="AW3487" s="2"/>
      <c r="AX3487" s="2"/>
      <c r="AY3487" s="2"/>
      <c r="AZ3487" s="2"/>
      <c r="BA3487" s="2"/>
      <c r="BB3487" s="2"/>
    </row>
    <row r="3488" ht="204.75" customHeight="1">
      <c r="A3488" s="1">
        <v>1064.0</v>
      </c>
      <c r="B3488" s="2" t="s">
        <v>10454</v>
      </c>
      <c r="C3488" s="2">
        <f>IFERROR(__xludf.DUMMYFUNCTION("split(B3488,""_"")"),1710.0)</f>
        <v>1710</v>
      </c>
      <c r="D3488" s="2" t="str">
        <f>IFERROR(__xludf.DUMMYFUNCTION("""COMPUTED_VALUE"""),"NTV")</f>
        <v>NTV</v>
      </c>
      <c r="E3488" s="2" t="str">
        <f>IFERROR(__xludf.DUMMYFUNCTION("""COMPUTED_VALUE"""),"日22")</f>
        <v>日22</v>
      </c>
      <c r="F3488" s="2" t="s">
        <v>10455</v>
      </c>
      <c r="G3488" s="2" t="s">
        <v>10477</v>
      </c>
      <c r="H3488" s="1">
        <v>8.0</v>
      </c>
      <c r="I3488" s="1" t="s">
        <v>29</v>
      </c>
      <c r="J3488" s="1" t="s">
        <v>82</v>
      </c>
      <c r="K3488" s="2" t="s">
        <v>10478</v>
      </c>
      <c r="L3488" s="11" t="s">
        <v>10479</v>
      </c>
      <c r="M3488" s="2" t="str">
        <f>IFERROR(__xludf.DUMMYFUNCTION("split(split(K3488,""【演出】"",false),""ほか"",false)"),"ディーン・フジオカ、武井咲、間宮祥太朗、島崎遥香、山賀琴子、佐藤玲、内藤理沙/松下奈緒/蛭子能収、真野響子、三宅弘城、近藤正臣  【ゲスト】小沢仁志、笠原秀幸、後藤亜実、相島一之")</f>
        <v>ディーン・フジオカ、武井咲、間宮祥太朗、島崎遥香、山賀琴子、佐藤玲、内藤理沙/松下奈緒/蛭子能収、真野響子、三宅弘城、近藤正臣  【ゲスト】小沢仁志、笠原秀幸、後藤亜実、相島一之</v>
      </c>
      <c r="N3488" s="2" t="str">
        <f>IFERROR(__xludf.DUMMYFUNCTION("""COMPUTED_VALUE"""),"澪（武井咲）が千川の亡き恋人・稚奈（松下奈緒）が営んでいたTシャツ屋を訪ねると血まみれで倒れている千川（ディーン・フジオカ）を発見。感電死事件の真相を知ったため医師の高ノ森（笠原秀幸）に襲われたが何とか逃げ出してきたのだ。その頃、目黒（三宅弘城）と栃乙女（島崎遥香）は、スナオ（間宮祥太朗）から４年前の千川と稚奈の幸せだった日々、そして稚奈の不審な死を千川が誰かに殺されたと思っていることを聞く。")</f>
        <v>澪（武井咲）が千川の亡き恋人・稚奈（松下奈緒）が営んでいたTシャツ屋を訪ねると血まみれで倒れている千川（ディーン・フジオカ）を発見。感電死事件の真相を知ったため医師の高ノ森（笠原秀幸）に襲われたが何とか逃げ出してきたのだ。その頃、目黒（三宅弘城）と栃乙女（島崎遥香）は、スナオ（間宮祥太朗）から４年前の千川と稚奈の幸せだった日々、そして稚奈の不審な死を千川が誰かに殺されたと思っていることを聞く。</v>
      </c>
      <c r="O3488" s="2"/>
      <c r="P3488" s="2"/>
      <c r="Q3488" s="2"/>
      <c r="R3488" s="2"/>
      <c r="S3488" s="2"/>
      <c r="T3488" s="2"/>
      <c r="U3488" s="2"/>
      <c r="V3488" s="2"/>
      <c r="W3488" s="2"/>
      <c r="X3488" s="2"/>
      <c r="Y3488" s="2"/>
      <c r="Z3488" s="2"/>
      <c r="AA3488" s="2"/>
      <c r="AB3488" s="2"/>
      <c r="AC3488" s="2"/>
      <c r="AD3488" s="2"/>
      <c r="AE3488" s="2"/>
      <c r="AF3488" s="2"/>
      <c r="AG3488" s="2"/>
      <c r="AH3488" s="2"/>
      <c r="AI3488" s="2"/>
      <c r="AJ3488" s="2"/>
      <c r="AK3488" s="2"/>
      <c r="AL3488" s="2"/>
      <c r="AM3488" s="2"/>
      <c r="AN3488" s="2"/>
      <c r="AO3488" s="2"/>
      <c r="AP3488" s="2"/>
      <c r="AQ3488" s="2"/>
      <c r="AR3488" s="2"/>
      <c r="AS3488" s="2"/>
      <c r="AT3488" s="2"/>
      <c r="AU3488" s="2"/>
      <c r="AV3488" s="2"/>
      <c r="AW3488" s="2"/>
      <c r="AX3488" s="2"/>
      <c r="AY3488" s="2"/>
      <c r="AZ3488" s="2"/>
      <c r="BA3488" s="2"/>
      <c r="BB3488" s="2"/>
    </row>
    <row r="3489" ht="204.75" customHeight="1">
      <c r="A3489" s="1">
        <v>1065.0</v>
      </c>
      <c r="B3489" s="2" t="s">
        <v>10454</v>
      </c>
      <c r="C3489" s="2">
        <f>IFERROR(__xludf.DUMMYFUNCTION("split(B3489,""_"")"),1710.0)</f>
        <v>1710</v>
      </c>
      <c r="D3489" s="2" t="str">
        <f>IFERROR(__xludf.DUMMYFUNCTION("""COMPUTED_VALUE"""),"NTV")</f>
        <v>NTV</v>
      </c>
      <c r="E3489" s="2" t="str">
        <f>IFERROR(__xludf.DUMMYFUNCTION("""COMPUTED_VALUE"""),"日22")</f>
        <v>日22</v>
      </c>
      <c r="F3489" s="2" t="s">
        <v>10455</v>
      </c>
      <c r="G3489" s="2" t="s">
        <v>10480</v>
      </c>
      <c r="H3489" s="1">
        <v>9.0</v>
      </c>
      <c r="I3489" s="1" t="s">
        <v>33</v>
      </c>
      <c r="J3489" s="1" t="s">
        <v>82</v>
      </c>
      <c r="K3489" s="2" t="s">
        <v>10481</v>
      </c>
      <c r="L3489" s="11" t="s">
        <v>10482</v>
      </c>
      <c r="M3489" s="2" t="str">
        <f>IFERROR(__xludf.DUMMYFUNCTION("split(split(K3489,""【演出】"",false),""ほか"",false)"),"ディーン・フジオカ、武井咲、間宮祥太朗、島崎遥香、山賀琴子、佐藤玲、内藤理沙/松下奈緒/蛭子能収、真野響子、三宅弘城、近藤正臣    【ゲスト】小沢仁志、笠原秀幸、後藤亜実 ")</f>
        <v>ディーン・フジオカ、武井咲、間宮祥太朗、島崎遥香、山賀琴子、佐藤玲、内藤理沙/松下奈緒/蛭子能収、真野響子、三宅弘城、近藤正臣    【ゲスト】小沢仁志、笠原秀幸、後藤亜実 </v>
      </c>
      <c r="N3489" s="2" t="str">
        <f>IFERROR(__xludf.DUMMYFUNCTION("""COMPUTED_VALUE"""),"千川（ディーン・フジオカ）を、恋人・稚奈（松下奈緒）の復讐に行かせてしまった澪（武井咲）は後悔していたが、栃乙女（島崎遥香）の「千川を人殺しにしたくない」という言葉を聞き改めて千川を止めようと決意。「人を傷つけない脅迫をして」と語りかける。スナオ（間宮祥太朗）や目黒（三宅弘城）達と、雨垂れの会代表の富永（真野響子）のもとへ向かう千川の前には難攻不落の警備が！さらに最後の脅迫は衝撃的な結末を迎える!")</f>
        <v>千川（ディーン・フジオカ）を、恋人・稚奈（松下奈緒）の復讐に行かせてしまった澪（武井咲）は後悔していたが、栃乙女（島崎遥香）の「千川を人殺しにしたくない」という言葉を聞き改めて千川を止めようと決意。「人を傷つけない脅迫をして」と語りかける。スナオ（間宮祥太朗）や目黒（三宅弘城）達と、雨垂れの会代表の富永（真野響子）のもとへ向かう千川の前には難攻不落の警備が！さらに最後の脅迫は衝撃的な結末を迎える!</v>
      </c>
      <c r="O3489" s="2"/>
      <c r="P3489" s="2"/>
      <c r="Q3489" s="2"/>
      <c r="R3489" s="2"/>
      <c r="S3489" s="2"/>
      <c r="T3489" s="2"/>
      <c r="U3489" s="2"/>
      <c r="V3489" s="2"/>
      <c r="W3489" s="2"/>
      <c r="X3489" s="2"/>
      <c r="Y3489" s="2"/>
      <c r="Z3489" s="2"/>
      <c r="AA3489" s="2"/>
      <c r="AB3489" s="2"/>
      <c r="AC3489" s="2"/>
      <c r="AD3489" s="2"/>
      <c r="AE3489" s="2"/>
      <c r="AF3489" s="2"/>
      <c r="AG3489" s="2"/>
      <c r="AH3489" s="2"/>
      <c r="AI3489" s="2"/>
      <c r="AJ3489" s="2"/>
      <c r="AK3489" s="2"/>
      <c r="AL3489" s="2"/>
      <c r="AM3489" s="2"/>
      <c r="AN3489" s="2"/>
      <c r="AO3489" s="2"/>
      <c r="AP3489" s="2"/>
      <c r="AQ3489" s="2"/>
      <c r="AR3489" s="2"/>
      <c r="AS3489" s="2"/>
      <c r="AT3489" s="2"/>
      <c r="AU3489" s="2"/>
      <c r="AV3489" s="2"/>
      <c r="AW3489" s="2"/>
      <c r="AX3489" s="2"/>
      <c r="AY3489" s="2"/>
      <c r="AZ3489" s="2"/>
      <c r="BA3489" s="2"/>
      <c r="BB3489" s="2"/>
    </row>
    <row r="3490" ht="204.75" customHeight="1">
      <c r="A3490" s="1">
        <v>1086.0</v>
      </c>
      <c r="B3490" s="2" t="s">
        <v>10483</v>
      </c>
      <c r="C3490" s="2">
        <f>IFERROR(__xludf.DUMMYFUNCTION("split(B3490,""_"")"),1707.0)</f>
        <v>1707</v>
      </c>
      <c r="D3490" s="2" t="str">
        <f>IFERROR(__xludf.DUMMYFUNCTION("""COMPUTED_VALUE"""),"NTV")</f>
        <v>NTV</v>
      </c>
      <c r="E3490" s="2" t="str">
        <f>IFERROR(__xludf.DUMMYFUNCTION("""COMPUTED_VALUE"""),"水22")</f>
        <v>水22</v>
      </c>
      <c r="F3490" s="2" t="s">
        <v>10484</v>
      </c>
      <c r="G3490" s="2" t="s">
        <v>10485</v>
      </c>
      <c r="H3490" s="1">
        <v>1.0</v>
      </c>
      <c r="I3490" s="1" t="s">
        <v>2868</v>
      </c>
      <c r="J3490" s="1" t="s">
        <v>82</v>
      </c>
      <c r="K3490" s="2" t="s">
        <v>10486</v>
      </c>
      <c r="L3490" s="11" t="s">
        <v>10487</v>
      </c>
      <c r="M3490" s="2" t="str">
        <f>IFERROR(__xludf.DUMMYFUNCTION("split(split(K3490,""【演出"",false),""ほか"",false)"),"高畑充希、黒木瞳、竹内涼真、久保田紗友、　・三田佳子・　佐藤二朗、　西岡徳馬、　平泉成、時任三郎、")</f>
        <v>高畑充希、黒木瞳、竹内涼真、久保田紗友、　・三田佳子・　佐藤二朗、　西岡徳馬、　平泉成、時任三郎、</v>
      </c>
      <c r="N3490" s="2" t="str">
        <f>IFERROR(__xludf.DUMMYFUNCTION("""COMPUTED_VALUE"""),"カホコ(高畑)は、ママ(黒木)とパパ(時任)の愛情を一身に受け21年間、何の苦労も知らずに育った「超箱入り娘」  そんなカホコの前に、彼女とは正反対の境遇の苦学生の初(竹内)が現れ「お前のような過保護が、日本をダメにしているんだ!」と厳しく言い放つ。  彼との出会いが、カホコの中に眠っていた不思議な力を目覚めさせ、カホコとその家族の人生の歯車が大きく動き出す。  脚本は、「家政婦のミタ」の遊川和彦")</f>
        <v>カホコ(高畑)は、ママ(黒木)とパパ(時任)の愛情を一身に受け21年間、何の苦労も知らずに育った「超箱入り娘」  そんなカホコの前に、彼女とは正反対の境遇の苦学生の初(竹内)が現れ「お前のような過保護が、日本をダメにしているんだ!」と厳しく言い放つ。  彼との出会いが、カホコの中に眠っていた不思議な力を目覚めさせ、カホコとその家族の人生の歯車が大きく動き出す。  脚本は、「家政婦のミタ」の遊川和彦</v>
      </c>
      <c r="O3490" s="2"/>
      <c r="P3490" s="2"/>
      <c r="Q3490" s="2"/>
      <c r="R3490" s="2"/>
      <c r="S3490" s="2"/>
      <c r="T3490" s="2"/>
      <c r="U3490" s="2"/>
      <c r="V3490" s="2"/>
      <c r="W3490" s="2"/>
      <c r="X3490" s="2"/>
      <c r="Y3490" s="2"/>
      <c r="Z3490" s="2"/>
      <c r="AA3490" s="2"/>
      <c r="AB3490" s="2"/>
      <c r="AC3490" s="2"/>
      <c r="AD3490" s="2"/>
      <c r="AE3490" s="2"/>
      <c r="AF3490" s="2"/>
      <c r="AG3490" s="2"/>
      <c r="AH3490" s="2"/>
      <c r="AI3490" s="2"/>
      <c r="AJ3490" s="2"/>
      <c r="AK3490" s="2"/>
      <c r="AL3490" s="2"/>
      <c r="AM3490" s="2"/>
      <c r="AN3490" s="2"/>
      <c r="AO3490" s="2"/>
      <c r="AP3490" s="2"/>
      <c r="AQ3490" s="2"/>
      <c r="AR3490" s="2"/>
      <c r="AS3490" s="2"/>
      <c r="AT3490" s="2"/>
      <c r="AU3490" s="2"/>
      <c r="AV3490" s="2"/>
      <c r="AW3490" s="2"/>
      <c r="AX3490" s="2"/>
      <c r="AY3490" s="2"/>
      <c r="AZ3490" s="2"/>
      <c r="BA3490" s="2"/>
      <c r="BB3490" s="2"/>
    </row>
    <row r="3491" ht="204.75" customHeight="1">
      <c r="A3491" s="1">
        <v>1087.0</v>
      </c>
      <c r="B3491" s="2" t="s">
        <v>10483</v>
      </c>
      <c r="C3491" s="2">
        <f>IFERROR(__xludf.DUMMYFUNCTION("split(B3491,""_"")"),1707.0)</f>
        <v>1707</v>
      </c>
      <c r="D3491" s="2" t="str">
        <f>IFERROR(__xludf.DUMMYFUNCTION("""COMPUTED_VALUE"""),"NTV")</f>
        <v>NTV</v>
      </c>
      <c r="E3491" s="2" t="str">
        <f>IFERROR(__xludf.DUMMYFUNCTION("""COMPUTED_VALUE"""),"水22")</f>
        <v>水22</v>
      </c>
      <c r="F3491" s="2" t="s">
        <v>10484</v>
      </c>
      <c r="G3491" s="2" t="s">
        <v>10488</v>
      </c>
      <c r="H3491" s="1">
        <v>2.0</v>
      </c>
      <c r="I3491" s="1" t="s">
        <v>2872</v>
      </c>
      <c r="J3491" s="1" t="s">
        <v>82</v>
      </c>
      <c r="K3491" s="2" t="s">
        <v>10489</v>
      </c>
      <c r="L3491" s="11" t="s">
        <v>10490</v>
      </c>
      <c r="M3491" s="2" t="str">
        <f>IFERROR(__xludf.DUMMYFUNCTION("split(split(K3491,""【演出"",false),""ほか"",false)"),"高畑充希、黒木瞳、竹内涼真、久保田紗友、　・三田佳子・　佐藤二朗、　西岡徳馬、　平泉成、時任三郎、")</f>
        <v>高畑充希、黒木瞳、竹内涼真、久保田紗友、　・三田佳子・　佐藤二朗、　西岡徳馬、　平泉成、時任三郎、</v>
      </c>
      <c r="N3491" s="2" t="str">
        <f>IFERROR(__xludf.DUMMYFUNCTION("""COMPUTED_VALUE"""),"自分の将来を真剣に考え始めたカホコ(高畑充希)は、泉(黒木瞳)と共に、父や親戚の仕事見学をする。そんな折、イトコの糸が手首を痛めながらもコンクールに出場する事を知ってしまう。本番当日、カホコの怖れていた最悪の結果が待っていた。")</f>
        <v>自分の将来を真剣に考え始めたカホコ(高畑充希)は、泉(黒木瞳)と共に、父や親戚の仕事見学をする。そんな折、イトコの糸が手首を痛めながらもコンクールに出場する事を知ってしまう。本番当日、カホコの怖れていた最悪の結果が待っていた。</v>
      </c>
      <c r="O3491" s="2"/>
      <c r="P3491" s="2"/>
      <c r="Q3491" s="2"/>
      <c r="R3491" s="2"/>
      <c r="S3491" s="2"/>
      <c r="T3491" s="2"/>
      <c r="U3491" s="2"/>
      <c r="V3491" s="2"/>
      <c r="W3491" s="2"/>
      <c r="X3491" s="2"/>
      <c r="Y3491" s="2"/>
      <c r="Z3491" s="2"/>
      <c r="AA3491" s="2"/>
      <c r="AB3491" s="2"/>
      <c r="AC3491" s="2"/>
      <c r="AD3491" s="2"/>
      <c r="AE3491" s="2"/>
      <c r="AF3491" s="2"/>
      <c r="AG3491" s="2"/>
      <c r="AH3491" s="2"/>
      <c r="AI3491" s="2"/>
      <c r="AJ3491" s="2"/>
      <c r="AK3491" s="2"/>
      <c r="AL3491" s="2"/>
      <c r="AM3491" s="2"/>
      <c r="AN3491" s="2"/>
      <c r="AO3491" s="2"/>
      <c r="AP3491" s="2"/>
      <c r="AQ3491" s="2"/>
      <c r="AR3491" s="2"/>
      <c r="AS3491" s="2"/>
      <c r="AT3491" s="2"/>
      <c r="AU3491" s="2"/>
      <c r="AV3491" s="2"/>
      <c r="AW3491" s="2"/>
      <c r="AX3491" s="2"/>
      <c r="AY3491" s="2"/>
      <c r="AZ3491" s="2"/>
      <c r="BA3491" s="2"/>
      <c r="BB3491" s="2"/>
    </row>
    <row r="3492" ht="204.75" customHeight="1">
      <c r="A3492" s="1">
        <v>1088.0</v>
      </c>
      <c r="B3492" s="2" t="s">
        <v>10483</v>
      </c>
      <c r="C3492" s="2">
        <f>IFERROR(__xludf.DUMMYFUNCTION("split(B3492,""_"")"),1707.0)</f>
        <v>1707</v>
      </c>
      <c r="D3492" s="2" t="str">
        <f>IFERROR(__xludf.DUMMYFUNCTION("""COMPUTED_VALUE"""),"NTV")</f>
        <v>NTV</v>
      </c>
      <c r="E3492" s="2" t="str">
        <f>IFERROR(__xludf.DUMMYFUNCTION("""COMPUTED_VALUE"""),"水22")</f>
        <v>水22</v>
      </c>
      <c r="F3492" s="2" t="s">
        <v>10484</v>
      </c>
      <c r="G3492" s="2" t="s">
        <v>10491</v>
      </c>
      <c r="H3492" s="1">
        <v>3.0</v>
      </c>
      <c r="I3492" s="1" t="s">
        <v>2876</v>
      </c>
      <c r="J3492" s="1" t="s">
        <v>82</v>
      </c>
      <c r="K3492" s="2" t="s">
        <v>10492</v>
      </c>
      <c r="L3492" s="11" t="s">
        <v>10493</v>
      </c>
      <c r="M3492" s="2" t="str">
        <f>IFERROR(__xludf.DUMMYFUNCTION("split(split(K3492,""【演出"",false),""ほか"",false)"),"高畑充希、黒木瞳、竹内涼真、久保田紗友、　・三田佳子・　佐藤二朗、　西岡徳馬、　平泉成、時任三郎、")</f>
        <v>高畑充希、黒木瞳、竹内涼真、久保田紗友、　・三田佳子・　佐藤二朗、　西岡徳馬、　平泉成、時任三郎、</v>
      </c>
      <c r="N3492" s="2" t="str">
        <f>IFERROR(__xludf.DUMMYFUNCTION("""COMPUTED_VALUE"""),"カホコ(高畑充希)は、初(竹内涼真)に恋をしたことを自覚するが、それを知った泉(黒木瞳)は猛反発。初の悪口を連発。そんなママに、カホコは生まれて初めて怒鳴ってしまう。")</f>
        <v>カホコ(高畑充希)は、初(竹内涼真)に恋をしたことを自覚するが、それを知った泉(黒木瞳)は猛反発。初の悪口を連発。そんなママに、カホコは生まれて初めて怒鳴ってしまう。</v>
      </c>
      <c r="O3492" s="2"/>
      <c r="P3492" s="2"/>
      <c r="Q3492" s="2"/>
      <c r="R3492" s="2"/>
      <c r="S3492" s="2"/>
      <c r="T3492" s="2"/>
      <c r="U3492" s="2"/>
      <c r="V3492" s="2"/>
      <c r="W3492" s="2"/>
      <c r="X3492" s="2"/>
      <c r="Y3492" s="2"/>
      <c r="Z3492" s="2"/>
      <c r="AA3492" s="2"/>
      <c r="AB3492" s="2"/>
      <c r="AC3492" s="2"/>
      <c r="AD3492" s="2"/>
      <c r="AE3492" s="2"/>
      <c r="AF3492" s="2"/>
      <c r="AG3492" s="2"/>
      <c r="AH3492" s="2"/>
      <c r="AI3492" s="2"/>
      <c r="AJ3492" s="2"/>
      <c r="AK3492" s="2"/>
      <c r="AL3492" s="2"/>
      <c r="AM3492" s="2"/>
      <c r="AN3492" s="2"/>
      <c r="AO3492" s="2"/>
      <c r="AP3492" s="2"/>
      <c r="AQ3492" s="2"/>
      <c r="AR3492" s="2"/>
      <c r="AS3492" s="2"/>
      <c r="AT3492" s="2"/>
      <c r="AU3492" s="2"/>
      <c r="AV3492" s="2"/>
      <c r="AW3492" s="2"/>
      <c r="AX3492" s="2"/>
      <c r="AY3492" s="2"/>
      <c r="AZ3492" s="2"/>
      <c r="BA3492" s="2"/>
      <c r="BB3492" s="2"/>
    </row>
    <row r="3493" ht="204.75" customHeight="1">
      <c r="A3493" s="1">
        <v>1089.0</v>
      </c>
      <c r="B3493" s="2" t="s">
        <v>10483</v>
      </c>
      <c r="C3493" s="2">
        <f>IFERROR(__xludf.DUMMYFUNCTION("split(B3493,""_"")"),1707.0)</f>
        <v>1707</v>
      </c>
      <c r="D3493" s="2" t="str">
        <f>IFERROR(__xludf.DUMMYFUNCTION("""COMPUTED_VALUE"""),"NTV")</f>
        <v>NTV</v>
      </c>
      <c r="E3493" s="2" t="str">
        <f>IFERROR(__xludf.DUMMYFUNCTION("""COMPUTED_VALUE"""),"水22")</f>
        <v>水22</v>
      </c>
      <c r="F3493" s="2" t="s">
        <v>10484</v>
      </c>
      <c r="G3493" s="2" t="s">
        <v>10494</v>
      </c>
      <c r="H3493" s="1">
        <v>4.0</v>
      </c>
      <c r="I3493" s="1" t="s">
        <v>2880</v>
      </c>
      <c r="J3493" s="1" t="s">
        <v>82</v>
      </c>
      <c r="K3493" s="2" t="s">
        <v>10495</v>
      </c>
      <c r="L3493" s="11" t="s">
        <v>10496</v>
      </c>
      <c r="M3493" s="2" t="str">
        <f>IFERROR(__xludf.DUMMYFUNCTION("split(split(K3493,""【演出"",false),""ほか"",false)"),"高畑充希、黒木瞳、竹内涼真、久保田紗友、　・三田佳子・　佐藤二朗、　西岡徳馬、　平泉成、時任三郎、")</f>
        <v>高畑充希、黒木瞳、竹内涼真、久保田紗友、　・三田佳子・　佐藤二朗、　西岡徳馬、　平泉成、時任三郎、</v>
      </c>
      <c r="N3493" s="2" t="str">
        <f>IFERROR(__xludf.DUMMYFUNCTION("""COMPUTED_VALUE"""),"カホコ(高畑充希)と泉(黒木瞳)の固い絆が崩れ、正高(時任三郎)は冷戦状態の2人の板挟みにあう。初(竹内涼真)からフラれ、人生初の失恋に落ち込むカホコは、立ち直る方法を探すが…。正高の提案で気分転換のために泉の実家を訪ねたカホコは、初めてお酒で酔い、そのまま初のもとへ向かう!")</f>
        <v>カホコ(高畑充希)と泉(黒木瞳)の固い絆が崩れ、正高(時任三郎)は冷戦状態の2人の板挟みにあう。初(竹内涼真)からフラれ、人生初の失恋に落ち込むカホコは、立ち直る方法を探すが…。正高の提案で気分転換のために泉の実家を訪ねたカホコは、初めてお酒で酔い、そのまま初のもとへ向かう!</v>
      </c>
      <c r="O3493" s="2"/>
      <c r="P3493" s="2"/>
      <c r="Q3493" s="2"/>
      <c r="R3493" s="2"/>
      <c r="S3493" s="2"/>
      <c r="T3493" s="2"/>
      <c r="U3493" s="2"/>
      <c r="V3493" s="2"/>
      <c r="W3493" s="2"/>
      <c r="X3493" s="2"/>
      <c r="Y3493" s="2"/>
      <c r="Z3493" s="2"/>
      <c r="AA3493" s="2"/>
      <c r="AB3493" s="2"/>
      <c r="AC3493" s="2"/>
      <c r="AD3493" s="2"/>
      <c r="AE3493" s="2"/>
      <c r="AF3493" s="2"/>
      <c r="AG3493" s="2"/>
      <c r="AH3493" s="2"/>
      <c r="AI3493" s="2"/>
      <c r="AJ3493" s="2"/>
      <c r="AK3493" s="2"/>
      <c r="AL3493" s="2"/>
      <c r="AM3493" s="2"/>
      <c r="AN3493" s="2"/>
      <c r="AO3493" s="2"/>
      <c r="AP3493" s="2"/>
      <c r="AQ3493" s="2"/>
      <c r="AR3493" s="2"/>
      <c r="AS3493" s="2"/>
      <c r="AT3493" s="2"/>
      <c r="AU3493" s="2"/>
      <c r="AV3493" s="2"/>
      <c r="AW3493" s="2"/>
      <c r="AX3493" s="2"/>
      <c r="AY3493" s="2"/>
      <c r="AZ3493" s="2"/>
      <c r="BA3493" s="2"/>
      <c r="BB3493" s="2"/>
    </row>
    <row r="3494" ht="204.75" customHeight="1">
      <c r="A3494" s="1">
        <v>1090.0</v>
      </c>
      <c r="B3494" s="2" t="s">
        <v>10483</v>
      </c>
      <c r="C3494" s="2">
        <f>IFERROR(__xludf.DUMMYFUNCTION("split(B3494,""_"")"),1707.0)</f>
        <v>1707</v>
      </c>
      <c r="D3494" s="2" t="str">
        <f>IFERROR(__xludf.DUMMYFUNCTION("""COMPUTED_VALUE"""),"NTV")</f>
        <v>NTV</v>
      </c>
      <c r="E3494" s="2" t="str">
        <f>IFERROR(__xludf.DUMMYFUNCTION("""COMPUTED_VALUE"""),"水22")</f>
        <v>水22</v>
      </c>
      <c r="F3494" s="2" t="s">
        <v>10484</v>
      </c>
      <c r="G3494" s="2" t="s">
        <v>10497</v>
      </c>
      <c r="H3494" s="1">
        <v>5.0</v>
      </c>
      <c r="I3494" s="1" t="s">
        <v>2884</v>
      </c>
      <c r="J3494" s="1" t="s">
        <v>82</v>
      </c>
      <c r="K3494" s="2" t="s">
        <v>10498</v>
      </c>
      <c r="L3494" s="11" t="s">
        <v>10499</v>
      </c>
      <c r="M3494" s="2" t="str">
        <f>IFERROR(__xludf.DUMMYFUNCTION("split(split(K3494,""【演出"",false),""ほか"",false)"),"高畑充希、黒木瞳、竹内涼真、久保田紗友、　・三田佳子・　佐藤二朗、　西岡徳馬、　平泉成、時任三郎、")</f>
        <v>高畑充希、黒木瞳、竹内涼真、久保田紗友、　・三田佳子・　佐藤二朗、　西岡徳馬、　平泉成、時任三郎、</v>
      </c>
      <c r="N3494" s="2" t="str">
        <f>IFERROR(__xludf.DUMMYFUNCTION("""COMPUTED_VALUE"""),"カホコと泉に腹を立てた正高は、とうとう家出を敢行!  時を同じくして親戚の抱えていた問題も次々表面化する。初の影響で過保護を自覚し始めたカホコはこの機会に将来のことを真剣に考えるが、家族のいない初の生い立ちを知り、自分にできることはないか奔走する。")</f>
        <v>カホコと泉に腹を立てた正高は、とうとう家出を敢行!  時を同じくして親戚の抱えていた問題も次々表面化する。初の影響で過保護を自覚し始めたカホコはこの機会に将来のことを真剣に考えるが、家族のいない初の生い立ちを知り、自分にできることはないか奔走する。</v>
      </c>
      <c r="O3494" s="2"/>
      <c r="P3494" s="2"/>
      <c r="Q3494" s="2"/>
      <c r="R3494" s="2"/>
      <c r="S3494" s="2"/>
      <c r="T3494" s="2"/>
      <c r="U3494" s="2"/>
      <c r="V3494" s="2"/>
      <c r="W3494" s="2"/>
      <c r="X3494" s="2"/>
      <c r="Y3494" s="2"/>
      <c r="Z3494" s="2"/>
      <c r="AA3494" s="2"/>
      <c r="AB3494" s="2"/>
      <c r="AC3494" s="2"/>
      <c r="AD3494" s="2"/>
      <c r="AE3494" s="2"/>
      <c r="AF3494" s="2"/>
      <c r="AG3494" s="2"/>
      <c r="AH3494" s="2"/>
      <c r="AI3494" s="2"/>
      <c r="AJ3494" s="2"/>
      <c r="AK3494" s="2"/>
      <c r="AL3494" s="2"/>
      <c r="AM3494" s="2"/>
      <c r="AN3494" s="2"/>
      <c r="AO3494" s="2"/>
      <c r="AP3494" s="2"/>
      <c r="AQ3494" s="2"/>
      <c r="AR3494" s="2"/>
      <c r="AS3494" s="2"/>
      <c r="AT3494" s="2"/>
      <c r="AU3494" s="2"/>
      <c r="AV3494" s="2"/>
      <c r="AW3494" s="2"/>
      <c r="AX3494" s="2"/>
      <c r="AY3494" s="2"/>
      <c r="AZ3494" s="2"/>
      <c r="BA3494" s="2"/>
      <c r="BB3494" s="2"/>
    </row>
    <row r="3495" ht="204.75" customHeight="1">
      <c r="A3495" s="1">
        <v>1091.0</v>
      </c>
      <c r="B3495" s="2" t="s">
        <v>10483</v>
      </c>
      <c r="C3495" s="2">
        <f>IFERROR(__xludf.DUMMYFUNCTION("split(B3495,""_"")"),1707.0)</f>
        <v>1707</v>
      </c>
      <c r="D3495" s="2" t="str">
        <f>IFERROR(__xludf.DUMMYFUNCTION("""COMPUTED_VALUE"""),"NTV")</f>
        <v>NTV</v>
      </c>
      <c r="E3495" s="2" t="str">
        <f>IFERROR(__xludf.DUMMYFUNCTION("""COMPUTED_VALUE"""),"水22")</f>
        <v>水22</v>
      </c>
      <c r="F3495" s="2" t="s">
        <v>10484</v>
      </c>
      <c r="G3495" s="2" t="s">
        <v>10500</v>
      </c>
      <c r="H3495" s="1">
        <v>6.0</v>
      </c>
      <c r="I3495" s="1" t="s">
        <v>2888</v>
      </c>
      <c r="J3495" s="1" t="s">
        <v>82</v>
      </c>
      <c r="K3495" s="2" t="s">
        <v>10501</v>
      </c>
      <c r="L3495" s="11" t="s">
        <v>10502</v>
      </c>
      <c r="M3495" s="2" t="str">
        <f>IFERROR(__xludf.DUMMYFUNCTION("split(split(K3495,""【演出"",false),""ほか"",false)"),"高畑充希、黒木瞳、竹内涼真、久保田紗友、　・三田佳子・　佐藤二朗、　西岡徳馬、　平泉成、時任三郎、")</f>
        <v>高畑充希、黒木瞳、竹内涼真、久保田紗友、　・三田佳子・　佐藤二朗、　西岡徳馬、　平泉成、時任三郎、</v>
      </c>
      <c r="N3495" s="2" t="str">
        <f>IFERROR(__xludf.DUMMYFUNCTION("""COMPUTED_VALUE"""),"カホコの「脱過保護宣言」を受け家出した泉を説得するため、正高は泉の実家へ。しかしそこには家庭問題を抱えた泉の妹が次々家出してくる。一方、両親の前で交際宣言をした初が嬉しいカホコが、「カホコと呼ぶ」「好きと言う」というお願いに答えてくれないモヤモヤと泉の家出に悩み、ついに行動に出る。")</f>
        <v>カホコの「脱過保護宣言」を受け家出した泉を説得するため、正高は泉の実家へ。しかしそこには家庭問題を抱えた泉の妹が次々家出してくる。一方、両親の前で交際宣言をした初が嬉しいカホコが、「カホコと呼ぶ」「好きと言う」というお願いに答えてくれないモヤモヤと泉の家出に悩み、ついに行動に出る。</v>
      </c>
      <c r="O3495" s="2"/>
      <c r="P3495" s="2"/>
      <c r="Q3495" s="2"/>
      <c r="R3495" s="2"/>
      <c r="S3495" s="2"/>
      <c r="T3495" s="2"/>
      <c r="U3495" s="2"/>
      <c r="V3495" s="2"/>
      <c r="W3495" s="2"/>
      <c r="X3495" s="2"/>
      <c r="Y3495" s="2"/>
      <c r="Z3495" s="2"/>
      <c r="AA3495" s="2"/>
      <c r="AB3495" s="2"/>
      <c r="AC3495" s="2"/>
      <c r="AD3495" s="2"/>
      <c r="AE3495" s="2"/>
      <c r="AF3495" s="2"/>
      <c r="AG3495" s="2"/>
      <c r="AH3495" s="2"/>
      <c r="AI3495" s="2"/>
      <c r="AJ3495" s="2"/>
      <c r="AK3495" s="2"/>
      <c r="AL3495" s="2"/>
      <c r="AM3495" s="2"/>
      <c r="AN3495" s="2"/>
      <c r="AO3495" s="2"/>
      <c r="AP3495" s="2"/>
      <c r="AQ3495" s="2"/>
      <c r="AR3495" s="2"/>
      <c r="AS3495" s="2"/>
      <c r="AT3495" s="2"/>
      <c r="AU3495" s="2"/>
      <c r="AV3495" s="2"/>
      <c r="AW3495" s="2"/>
      <c r="AX3495" s="2"/>
      <c r="AY3495" s="2"/>
      <c r="AZ3495" s="2"/>
      <c r="BA3495" s="2"/>
      <c r="BB3495" s="2"/>
    </row>
    <row r="3496" ht="204.75" customHeight="1">
      <c r="A3496" s="1">
        <v>1092.0</v>
      </c>
      <c r="B3496" s="2" t="s">
        <v>10483</v>
      </c>
      <c r="C3496" s="2">
        <f>IFERROR(__xludf.DUMMYFUNCTION("split(B3496,""_"")"),1707.0)</f>
        <v>1707</v>
      </c>
      <c r="D3496" s="2" t="str">
        <f>IFERROR(__xludf.DUMMYFUNCTION("""COMPUTED_VALUE"""),"NTV")</f>
        <v>NTV</v>
      </c>
      <c r="E3496" s="2" t="str">
        <f>IFERROR(__xludf.DUMMYFUNCTION("""COMPUTED_VALUE"""),"水22")</f>
        <v>水22</v>
      </c>
      <c r="F3496" s="2" t="s">
        <v>10484</v>
      </c>
      <c r="G3496" s="2" t="s">
        <v>10503</v>
      </c>
      <c r="H3496" s="1">
        <v>7.0</v>
      </c>
      <c r="I3496" s="1" t="s">
        <v>2892</v>
      </c>
      <c r="J3496" s="1" t="s">
        <v>82</v>
      </c>
      <c r="K3496" s="2" t="s">
        <v>10504</v>
      </c>
      <c r="L3496" s="11" t="s">
        <v>10505</v>
      </c>
      <c r="M3496" s="2" t="str">
        <f>IFERROR(__xludf.DUMMYFUNCTION("split(split(K3496,""【演出"",false),""ほか"",false)"),"高畑充希、黒木瞳、竹内涼真、久保田紗友、　・三田佳子・　佐藤二朗、　西岡徳馬、　平泉成、時任三郎、")</f>
        <v>高畑充希、黒木瞳、竹内涼真、久保田紗友、　・三田佳子・　佐藤二朗、　西岡徳馬、　平泉成、時任三郎、</v>
      </c>
      <c r="N3496" s="2" t="str">
        <f>IFERROR(__xludf.DUMMYFUNCTION("""COMPUTED_VALUE"""),"カホコ(高畑充希)と泉(黒木瞳)が不器用ながら過保護を卒業しようとする姿に正高(時任三郎)は期待を寄せる。カホコは初代(三田佳子)が心臓の病を隠していることを知るが、秘密にして欲しいと頼まれる。初代のため、イト(久保田紗友)の誕生会に親戚を集めようと奮闘するカホコを止める初(竹内涼真)との関係が微妙に変わっていく。")</f>
        <v>カホコ(高畑充希)と泉(黒木瞳)が不器用ながら過保護を卒業しようとする姿に正高(時任三郎)は期待を寄せる。カホコは初代(三田佳子)が心臓の病を隠していることを知るが、秘密にして欲しいと頼まれる。初代のため、イト(久保田紗友)の誕生会に親戚を集めようと奮闘するカホコを止める初(竹内涼真)との関係が微妙に変わっていく。</v>
      </c>
      <c r="O3496" s="2"/>
      <c r="P3496" s="2"/>
      <c r="Q3496" s="2"/>
      <c r="R3496" s="2"/>
      <c r="S3496" s="2"/>
      <c r="T3496" s="2"/>
      <c r="U3496" s="2"/>
      <c r="V3496" s="2"/>
      <c r="W3496" s="2"/>
      <c r="X3496" s="2"/>
      <c r="Y3496" s="2"/>
      <c r="Z3496" s="2"/>
      <c r="AA3496" s="2"/>
      <c r="AB3496" s="2"/>
      <c r="AC3496" s="2"/>
      <c r="AD3496" s="2"/>
      <c r="AE3496" s="2"/>
      <c r="AF3496" s="2"/>
      <c r="AG3496" s="2"/>
      <c r="AH3496" s="2"/>
      <c r="AI3496" s="2"/>
      <c r="AJ3496" s="2"/>
      <c r="AK3496" s="2"/>
      <c r="AL3496" s="2"/>
      <c r="AM3496" s="2"/>
      <c r="AN3496" s="2"/>
      <c r="AO3496" s="2"/>
      <c r="AP3496" s="2"/>
      <c r="AQ3496" s="2"/>
      <c r="AR3496" s="2"/>
      <c r="AS3496" s="2"/>
      <c r="AT3496" s="2"/>
      <c r="AU3496" s="2"/>
      <c r="AV3496" s="2"/>
      <c r="AW3496" s="2"/>
      <c r="AX3496" s="2"/>
      <c r="AY3496" s="2"/>
      <c r="AZ3496" s="2"/>
      <c r="BA3496" s="2"/>
      <c r="BB3496" s="2"/>
    </row>
    <row r="3497" ht="204.75" customHeight="1">
      <c r="A3497" s="1">
        <v>1093.0</v>
      </c>
      <c r="B3497" s="2" t="s">
        <v>10483</v>
      </c>
      <c r="C3497" s="2">
        <f>IFERROR(__xludf.DUMMYFUNCTION("split(B3497,""_"")"),1707.0)</f>
        <v>1707</v>
      </c>
      <c r="D3497" s="2" t="str">
        <f>IFERROR(__xludf.DUMMYFUNCTION("""COMPUTED_VALUE"""),"NTV")</f>
        <v>NTV</v>
      </c>
      <c r="E3497" s="2" t="str">
        <f>IFERROR(__xludf.DUMMYFUNCTION("""COMPUTED_VALUE"""),"水22")</f>
        <v>水22</v>
      </c>
      <c r="F3497" s="2" t="s">
        <v>10484</v>
      </c>
      <c r="G3497" s="2" t="s">
        <v>10506</v>
      </c>
      <c r="H3497" s="1">
        <v>8.0</v>
      </c>
      <c r="I3497" s="1" t="s">
        <v>2896</v>
      </c>
      <c r="J3497" s="1" t="s">
        <v>82</v>
      </c>
      <c r="K3497" s="2" t="s">
        <v>10507</v>
      </c>
      <c r="L3497" s="2"/>
      <c r="M3497" s="2" t="str">
        <f>IFERROR(__xludf.DUMMYFUNCTION("split(split(K3497,""【演出"",false),""ほか"",false)"),"高畑充希、黒木瞳、竹内涼真、久保田紗友、　・三田佳子・　佐藤二朗、　西岡徳馬、　平泉成、時任三郎、")</f>
        <v>高畑充希、黒木瞳、竹内涼真、久保田紗友、　・三田佳子・　佐藤二朗、　西岡徳馬、　平泉成、時任三郎、</v>
      </c>
      <c r="N3497" s="2"/>
      <c r="O3497" s="2"/>
      <c r="P3497" s="2"/>
      <c r="Q3497" s="2"/>
      <c r="R3497" s="2"/>
      <c r="S3497" s="2"/>
      <c r="T3497" s="2"/>
      <c r="U3497" s="2"/>
      <c r="V3497" s="2"/>
      <c r="W3497" s="2"/>
      <c r="X3497" s="2"/>
      <c r="Y3497" s="2"/>
      <c r="Z3497" s="2"/>
      <c r="AA3497" s="2"/>
      <c r="AB3497" s="2"/>
      <c r="AC3497" s="2"/>
      <c r="AD3497" s="2"/>
      <c r="AE3497" s="2"/>
      <c r="AF3497" s="2"/>
      <c r="AG3497" s="2"/>
      <c r="AH3497" s="2"/>
      <c r="AI3497" s="2"/>
      <c r="AJ3497" s="2"/>
      <c r="AK3497" s="2"/>
      <c r="AL3497" s="2"/>
      <c r="AM3497" s="2"/>
      <c r="AN3497" s="2"/>
      <c r="AO3497" s="2"/>
      <c r="AP3497" s="2"/>
      <c r="AQ3497" s="2"/>
      <c r="AR3497" s="2"/>
      <c r="AS3497" s="2"/>
      <c r="AT3497" s="2"/>
      <c r="AU3497" s="2"/>
      <c r="AV3497" s="2"/>
      <c r="AW3497" s="2"/>
      <c r="AX3497" s="2"/>
      <c r="AY3497" s="2"/>
      <c r="AZ3497" s="2"/>
      <c r="BA3497" s="2"/>
      <c r="BB3497" s="2"/>
    </row>
    <row r="3498" ht="204.75" customHeight="1">
      <c r="A3498" s="1">
        <v>1094.0</v>
      </c>
      <c r="B3498" s="2" t="s">
        <v>10483</v>
      </c>
      <c r="C3498" s="2">
        <f>IFERROR(__xludf.DUMMYFUNCTION("split(B3498,""_"")"),1707.0)</f>
        <v>1707</v>
      </c>
      <c r="D3498" s="2" t="str">
        <f>IFERROR(__xludf.DUMMYFUNCTION("""COMPUTED_VALUE"""),"NTV")</f>
        <v>NTV</v>
      </c>
      <c r="E3498" s="2" t="str">
        <f>IFERROR(__xludf.DUMMYFUNCTION("""COMPUTED_VALUE"""),"水22")</f>
        <v>水22</v>
      </c>
      <c r="F3498" s="2" t="s">
        <v>10484</v>
      </c>
      <c r="G3498" s="2" t="s">
        <v>10508</v>
      </c>
      <c r="H3498" s="1">
        <v>9.0</v>
      </c>
      <c r="I3498" s="1" t="s">
        <v>2900</v>
      </c>
      <c r="J3498" s="1" t="s">
        <v>82</v>
      </c>
      <c r="K3498" s="2" t="s">
        <v>10509</v>
      </c>
      <c r="L3498" s="11" t="s">
        <v>10510</v>
      </c>
      <c r="M3498" s="2" t="str">
        <f>IFERROR(__xludf.DUMMYFUNCTION("split(split(K3498,""【演出"",false),""ほか"",false)"),"高畑充希、黒木瞳、竹内涼真、久保田紗友、 ・三田佳子・ 佐藤二朗、 西岡徳馬、 平泉成、時任三郎、")</f>
        <v>高畑充希、黒木瞳、竹内涼真、久保田紗友、 ・三田佳子・ 佐藤二朗、 西岡徳馬、 平泉成、時任三郎、</v>
      </c>
      <c r="N3498" s="2" t="str">
        <f>IFERROR(__xludf.DUMMYFUNCTION("""COMPUTED_VALUE"""),"カホコと初は両親に結婚の許しを乞うが、泉は結婚するなら勘当だとキッパリ告げる。そんな中、初代が倒れ、各家庭の問題も悪化する。カホコは初と助け合い、家族を修復しようと奔走するが...。")</f>
        <v>カホコと初は両親に結婚の許しを乞うが、泉は結婚するなら勘当だとキッパリ告げる。そんな中、初代が倒れ、各家庭の問題も悪化する。カホコは初と助け合い、家族を修復しようと奔走するが...。</v>
      </c>
      <c r="O3498" s="2"/>
      <c r="P3498" s="2"/>
      <c r="Q3498" s="2"/>
      <c r="R3498" s="2"/>
      <c r="S3498" s="2"/>
      <c r="T3498" s="2"/>
      <c r="U3498" s="2"/>
      <c r="V3498" s="2"/>
      <c r="W3498" s="2"/>
      <c r="X3498" s="2"/>
      <c r="Y3498" s="2"/>
      <c r="Z3498" s="2"/>
      <c r="AA3498" s="2"/>
      <c r="AB3498" s="2"/>
      <c r="AC3498" s="2"/>
      <c r="AD3498" s="2"/>
      <c r="AE3498" s="2"/>
      <c r="AF3498" s="2"/>
      <c r="AG3498" s="2"/>
      <c r="AH3498" s="2"/>
      <c r="AI3498" s="2"/>
      <c r="AJ3498" s="2"/>
      <c r="AK3498" s="2"/>
      <c r="AL3498" s="2"/>
      <c r="AM3498" s="2"/>
      <c r="AN3498" s="2"/>
      <c r="AO3498" s="2"/>
      <c r="AP3498" s="2"/>
      <c r="AQ3498" s="2"/>
      <c r="AR3498" s="2"/>
      <c r="AS3498" s="2"/>
      <c r="AT3498" s="2"/>
      <c r="AU3498" s="2"/>
      <c r="AV3498" s="2"/>
      <c r="AW3498" s="2"/>
      <c r="AX3498" s="2"/>
      <c r="AY3498" s="2"/>
      <c r="AZ3498" s="2"/>
      <c r="BA3498" s="2"/>
      <c r="BB3498" s="2"/>
    </row>
    <row r="3499" ht="204.75" customHeight="1">
      <c r="A3499" s="1">
        <v>1095.0</v>
      </c>
      <c r="B3499" s="2" t="s">
        <v>10483</v>
      </c>
      <c r="C3499" s="2">
        <f>IFERROR(__xludf.DUMMYFUNCTION("split(B3499,""_"")"),1707.0)</f>
        <v>1707</v>
      </c>
      <c r="D3499" s="2" t="str">
        <f>IFERROR(__xludf.DUMMYFUNCTION("""COMPUTED_VALUE"""),"NTV")</f>
        <v>NTV</v>
      </c>
      <c r="E3499" s="2" t="str">
        <f>IFERROR(__xludf.DUMMYFUNCTION("""COMPUTED_VALUE"""),"水22")</f>
        <v>水22</v>
      </c>
      <c r="F3499" s="2" t="s">
        <v>10484</v>
      </c>
      <c r="G3499" s="2" t="s">
        <v>10511</v>
      </c>
      <c r="H3499" s="1">
        <v>10.0</v>
      </c>
      <c r="I3499" s="1" t="s">
        <v>37</v>
      </c>
      <c r="J3499" s="1" t="s">
        <v>82</v>
      </c>
      <c r="K3499" s="2" t="s">
        <v>10512</v>
      </c>
      <c r="L3499" s="11" t="s">
        <v>10513</v>
      </c>
      <c r="M3499" s="2" t="str">
        <f>IFERROR(__xludf.DUMMYFUNCTION("split(split(K3499,""【演出"",false),""ほか"",false)"),"高畑充希、黒木瞳、竹内涼真、久保田紗友、 ・三田佳子・ 佐藤二朗、 西岡徳馬、 平泉成、時任三郎、")</f>
        <v>高畑充希、黒木瞳、竹内涼真、久保田紗友、 ・三田佳子・ 佐藤二朗、 西岡徳馬、 平泉成、時任三郎、</v>
      </c>
      <c r="N3499" s="2" t="str">
        <f>IFERROR(__xludf.DUMMYFUNCTION("""COMPUTED_VALUE"""),"カホコは泉と正高に改めて初との結婚を認めて欲しいと頼みに行くが、自分以上にカホコを幸せにできるのかと迫る泉に初は…。そして結婚式の日、泉の姿はなく…。")</f>
        <v>カホコは泉と正高に改めて初との結婚を認めて欲しいと頼みに行くが、自分以上にカホコを幸せにできるのかと迫る泉に初は…。そして結婚式の日、泉の姿はなく…。</v>
      </c>
      <c r="O3499" s="2"/>
      <c r="P3499" s="2"/>
      <c r="Q3499" s="2"/>
      <c r="R3499" s="2"/>
      <c r="S3499" s="2"/>
      <c r="T3499" s="2"/>
      <c r="U3499" s="2"/>
      <c r="V3499" s="2"/>
      <c r="W3499" s="2"/>
      <c r="X3499" s="2"/>
      <c r="Y3499" s="2"/>
      <c r="Z3499" s="2"/>
      <c r="AA3499" s="2"/>
      <c r="AB3499" s="2"/>
      <c r="AC3499" s="2"/>
      <c r="AD3499" s="2"/>
      <c r="AE3499" s="2"/>
      <c r="AF3499" s="2"/>
      <c r="AG3499" s="2"/>
      <c r="AH3499" s="2"/>
      <c r="AI3499" s="2"/>
      <c r="AJ3499" s="2"/>
      <c r="AK3499" s="2"/>
      <c r="AL3499" s="2"/>
      <c r="AM3499" s="2"/>
      <c r="AN3499" s="2"/>
      <c r="AO3499" s="2"/>
      <c r="AP3499" s="2"/>
      <c r="AQ3499" s="2"/>
      <c r="AR3499" s="2"/>
      <c r="AS3499" s="2"/>
      <c r="AT3499" s="2"/>
      <c r="AU3499" s="2"/>
      <c r="AV3499" s="2"/>
      <c r="AW3499" s="2"/>
      <c r="AX3499" s="2"/>
      <c r="AY3499" s="2"/>
      <c r="AZ3499" s="2"/>
      <c r="BA3499" s="2"/>
      <c r="BB3499" s="2"/>
    </row>
    <row r="3500" ht="204.75" customHeight="1">
      <c r="A3500" s="1">
        <v>1122.0</v>
      </c>
      <c r="B3500" s="2" t="s">
        <v>10514</v>
      </c>
      <c r="C3500" s="2">
        <f>IFERROR(__xludf.DUMMYFUNCTION("split(B3500,""_"")"),1707.0)</f>
        <v>1707</v>
      </c>
      <c r="D3500" s="2" t="str">
        <f>IFERROR(__xludf.DUMMYFUNCTION("""COMPUTED_VALUE"""),"NTV")</f>
        <v>NTV</v>
      </c>
      <c r="E3500" s="2" t="str">
        <f>IFERROR(__xludf.DUMMYFUNCTION("""COMPUTED_VALUE"""),"木23")</f>
        <v>木23</v>
      </c>
      <c r="F3500" s="2" t="s">
        <v>10515</v>
      </c>
      <c r="G3500" s="2" t="s">
        <v>10516</v>
      </c>
      <c r="H3500" s="1">
        <v>1.0</v>
      </c>
      <c r="J3500" s="1" t="s">
        <v>1435</v>
      </c>
      <c r="K3500" s="4" t="s">
        <v>10517</v>
      </c>
      <c r="L3500" s="11" t="s">
        <v>10518</v>
      </c>
      <c r="M3500" s="2" t="str">
        <f>IFERROR(__xludf.DUMMYFUNCTION("split(split(K3500,""【主題歌"",false),""…岸谷五朗"",false)"),"折茂圭太…伊藤淳史  石野柳子…新川優愛  安田部々香…安藤なつ(メイプル超合金)    田西譲司…岡田龍太郎  蜂谷薫…野村麻純  臼田定子…ぼくもとさきこ  蟹江小夜…結城モエ  ★  栗山五月…篠田麻里子  竹ノ塚史郎…池田鉄洋  林家ペー…林家ペー  林家パー子…林家パー子  ★  藤木友里…西丸優子  小堀守…戸田昌宏    黒部仁")</f>
        <v>折茂圭太…伊藤淳史  石野柳子…新川優愛  安田部々香…安藤なつ(メイプル超合金)    田西譲司…岡田龍太郎  蜂谷薫…野村麻純  臼田定子…ぼくもとさきこ  蟹江小夜…結城モエ  ★  栗山五月…篠田麻里子  竹ノ塚史郎…池田鉄洋  林家ペー…林家ペー  林家パー子…林家パー子  ★  藤木友里…西丸優子  小堀守…戸田昌宏    黒部仁</v>
      </c>
      <c r="N3500" s="2" t="str">
        <f>IFERROR(__xludf.DUMMYFUNCTION("""COMPUTED_VALUE"""),"アパレル会社『エグザルトン』に勤める折茂圭太(伊藤淳史)。ごくごく普通のサラリーマンだったが、リストラを宣告されたある日突然、“脳内スマホ人間”になってしまう!!!  視界にはスマホと同じ画面が現れ、さらには他人のメッセージまで見ることができるように。戸惑う圭太は、脳内スマホ人間を調べる契約パタンナーの石野柳子(新川優愛)と出会い、次々と社内外のトラブルに巻き込まれていくが……。")</f>
        <v>アパレル会社『エグザルトン』に勤める折茂圭太(伊藤淳史)。ごくごく普通のサラリーマンだったが、リストラを宣告されたある日突然、“脳内スマホ人間”になってしまう!!!  視界にはスマホと同じ画面が現れ、さらには他人のメッセージまで見ることができるように。戸惑う圭太は、脳内スマホ人間を調べる契約パタンナーの石野柳子(新川優愛)と出会い、次々と社内外のトラブルに巻き込まれていくが……。</v>
      </c>
      <c r="O3500" s="2"/>
      <c r="P3500" s="2"/>
      <c r="Q3500" s="2"/>
      <c r="R3500" s="2"/>
      <c r="S3500" s="2"/>
      <c r="T3500" s="2"/>
      <c r="U3500" s="2"/>
      <c r="V3500" s="2"/>
      <c r="W3500" s="2"/>
      <c r="X3500" s="2"/>
      <c r="Y3500" s="2"/>
      <c r="Z3500" s="2"/>
      <c r="AA3500" s="2"/>
      <c r="AB3500" s="2"/>
      <c r="AC3500" s="2"/>
      <c r="AD3500" s="2"/>
      <c r="AE3500" s="2"/>
      <c r="AF3500" s="2"/>
      <c r="AG3500" s="2"/>
      <c r="AH3500" s="2"/>
      <c r="AI3500" s="2"/>
      <c r="AJ3500" s="2"/>
      <c r="AK3500" s="2"/>
      <c r="AL3500" s="2"/>
      <c r="AM3500" s="2"/>
      <c r="AN3500" s="2"/>
      <c r="AO3500" s="2"/>
      <c r="AP3500" s="2"/>
      <c r="AQ3500" s="2"/>
      <c r="AR3500" s="2"/>
      <c r="AS3500" s="2"/>
      <c r="AT3500" s="2"/>
      <c r="AU3500" s="2"/>
      <c r="AV3500" s="2"/>
      <c r="AW3500" s="2"/>
      <c r="AX3500" s="2"/>
      <c r="AY3500" s="2"/>
      <c r="AZ3500" s="2"/>
      <c r="BA3500" s="2"/>
      <c r="BB3500" s="2"/>
    </row>
    <row r="3501" ht="204.75" customHeight="1">
      <c r="A3501" s="1">
        <v>1123.0</v>
      </c>
      <c r="B3501" s="2" t="s">
        <v>10514</v>
      </c>
      <c r="C3501" s="2">
        <f>IFERROR(__xludf.DUMMYFUNCTION("split(B3501,""_"")"),1707.0)</f>
        <v>1707</v>
      </c>
      <c r="D3501" s="2" t="str">
        <f>IFERROR(__xludf.DUMMYFUNCTION("""COMPUTED_VALUE"""),"NTV")</f>
        <v>NTV</v>
      </c>
      <c r="E3501" s="2" t="str">
        <f>IFERROR(__xludf.DUMMYFUNCTION("""COMPUTED_VALUE"""),"木23")</f>
        <v>木23</v>
      </c>
      <c r="F3501" s="2" t="s">
        <v>10515</v>
      </c>
      <c r="G3501" s="2" t="s">
        <v>10519</v>
      </c>
      <c r="H3501" s="1">
        <v>2.0</v>
      </c>
      <c r="J3501" s="1" t="s">
        <v>1435</v>
      </c>
      <c r="K3501" s="2" t="s">
        <v>10520</v>
      </c>
      <c r="L3501" s="11" t="s">
        <v>10521</v>
      </c>
      <c r="M3501" s="2" t="str">
        <f>IFERROR(__xludf.DUMMYFUNCTION("split(split(K3501,""【主題歌"",false),""…岸谷五朗"",false)"),"折茂圭太…伊藤淳史  石野柳子…新川優愛  安田部々香…安藤なつ(メイプル超合金)    田西譲司…岡田龍太郎  蜂谷薫…野村麻純  臼田定子…ぼくもとさきこ  蟹江小夜…結城モエ    相馬美羽…相楽樹〈第2話ゲスト〉    栗山五月…篠田麻里子  林家ペー…林家ペー  林家パー子…林家パー子    藤木友里…西丸優子  小堀守…戸田昌宏    黒部仁")</f>
        <v>折茂圭太…伊藤淳史  石野柳子…新川優愛  安田部々香…安藤なつ(メイプル超合金)    田西譲司…岡田龍太郎  蜂谷薫…野村麻純  臼田定子…ぼくもとさきこ  蟹江小夜…結城モエ    相馬美羽…相楽樹〈第2話ゲスト〉    栗山五月…篠田麻里子  林家ペー…林家ペー  林家パー子…林家パー子    藤木友里…西丸優子  小堀守…戸田昌宏    黒部仁</v>
      </c>
      <c r="N3501" s="2" t="str">
        <f>IFERROR(__xludf.DUMMYFUNCTION("""COMPUTED_VALUE"""),"アパレル会社『エグザルトン』に勤める折茂圭太(伊藤淳史)。“脳内スマホ人間”になってしまった彼に、同僚の石野柳子(新川優愛)は、「黒部社長(岸谷五朗)に復讐したいんです。“脳内スマホ”の力で、助けてもらえませんか?」と言い出す。  そんなある日、かつての部下・相馬美羽(相楽樹)と再会。美羽の思わせぶりな態度にドギマギする圭太だったが、脳内スマホで見た美羽のスマホから、4股交際している事実が発覚し…兼松衆  ")</f>
        <v>アパレル会社『エグザルトン』に勤める折茂圭太(伊藤淳史)。“脳内スマホ人間”になってしまった彼に、同僚の石野柳子(新川優愛)は、「黒部社長(岸谷五朗)に復讐したいんです。“脳内スマホ”の力で、助けてもらえませんか?」と言い出す。  そんなある日、かつての部下・相馬美羽(相楽樹)と再会。美羽の思わせぶりな態度にドギマギする圭太だったが、脳内スマホで見た美羽のスマホから、4股交際している事実が発覚し…兼松衆  </v>
      </c>
      <c r="O3501" s="2"/>
      <c r="P3501" s="2"/>
      <c r="Q3501" s="2"/>
      <c r="R3501" s="2"/>
      <c r="S3501" s="2"/>
      <c r="T3501" s="2"/>
      <c r="U3501" s="2"/>
      <c r="V3501" s="2"/>
      <c r="W3501" s="2"/>
      <c r="X3501" s="2"/>
      <c r="Y3501" s="2"/>
      <c r="Z3501" s="2"/>
      <c r="AA3501" s="2"/>
      <c r="AB3501" s="2"/>
      <c r="AC3501" s="2"/>
      <c r="AD3501" s="2"/>
      <c r="AE3501" s="2"/>
      <c r="AF3501" s="2"/>
      <c r="AG3501" s="2"/>
      <c r="AH3501" s="2"/>
      <c r="AI3501" s="2"/>
      <c r="AJ3501" s="2"/>
      <c r="AK3501" s="2"/>
      <c r="AL3501" s="2"/>
      <c r="AM3501" s="2"/>
      <c r="AN3501" s="2"/>
      <c r="AO3501" s="2"/>
      <c r="AP3501" s="2"/>
      <c r="AQ3501" s="2"/>
      <c r="AR3501" s="2"/>
      <c r="AS3501" s="2"/>
      <c r="AT3501" s="2"/>
      <c r="AU3501" s="2"/>
      <c r="AV3501" s="2"/>
      <c r="AW3501" s="2"/>
      <c r="AX3501" s="2"/>
      <c r="AY3501" s="2"/>
      <c r="AZ3501" s="2"/>
      <c r="BA3501" s="2"/>
      <c r="BB3501" s="2"/>
    </row>
    <row r="3502" ht="204.75" customHeight="1">
      <c r="A3502" s="1">
        <v>1124.0</v>
      </c>
      <c r="B3502" s="2" t="s">
        <v>10514</v>
      </c>
      <c r="C3502" s="2">
        <f>IFERROR(__xludf.DUMMYFUNCTION("split(B3502,""_"")"),1707.0)</f>
        <v>1707</v>
      </c>
      <c r="D3502" s="2" t="str">
        <f>IFERROR(__xludf.DUMMYFUNCTION("""COMPUTED_VALUE"""),"NTV")</f>
        <v>NTV</v>
      </c>
      <c r="E3502" s="2" t="str">
        <f>IFERROR(__xludf.DUMMYFUNCTION("""COMPUTED_VALUE"""),"木23")</f>
        <v>木23</v>
      </c>
      <c r="F3502" s="2" t="s">
        <v>10515</v>
      </c>
      <c r="G3502" s="2" t="s">
        <v>10522</v>
      </c>
      <c r="H3502" s="1">
        <v>3.0</v>
      </c>
      <c r="J3502" s="1" t="s">
        <v>1435</v>
      </c>
      <c r="K3502" s="2" t="s">
        <v>10523</v>
      </c>
      <c r="L3502" s="11" t="s">
        <v>10524</v>
      </c>
      <c r="M3502" s="2" t="str">
        <f>IFERROR(__xludf.DUMMYFUNCTION("split(split(K3502,""【主題歌"",false),""…岸谷五朗"",false)"),"折茂圭太…伊藤淳史  石野柳子…新川優愛  安田部々香…安藤なつ(メイプル超合金)    田西譲司…岡田龍太郎  蜂谷薫…野村麻純  臼田定子…ぼくもとさきこ  蟹江小夜…結城モエ    本吉佳蓮…秋元才加&lt;第3話ゲスト&gt;    栗山五月…篠田麻里子  林家ペー…林家ペー  林家パー子…林家パー子    藤木友里…西丸優子  小堀守…戸田昌宏    黒部仁")</f>
        <v>折茂圭太…伊藤淳史  石野柳子…新川優愛  安田部々香…安藤なつ(メイプル超合金)    田西譲司…岡田龍太郎  蜂谷薫…野村麻純  臼田定子…ぼくもとさきこ  蟹江小夜…結城モエ    本吉佳蓮…秋元才加&lt;第3話ゲスト&gt;    栗山五月…篠田麻里子  林家ペー…林家ペー  林家パー子…林家パー子    藤木友里…西丸優子  小堀守…戸田昌宏    黒部仁</v>
      </c>
      <c r="N3502" s="2" t="str">
        <f>IFERROR(__xludf.DUMMYFUNCTION("""COMPUTED_VALUE"""),"&lt;篠田麻里子&amp;秋元才加　AKB卒業後、ドラマ初共演!&gt;  折茂圭太(伊藤淳史)は、『エグザルトン』の社員、本吉佳蓮(秋元才加)が「死にたい…」とスマホで呟いている事に気づく。佳蓮は実業団チーム所属の世界的に有名なマラソン選手だった。心配した圭太が佳蓮の事情を探ると、佳蓮は右ひざに爆弾を抱えている事を知る。佳蓮を救いたい圭太は、石野柳子(新川優愛)や栗山五月(篠田麻里子)に協力をお願いするが…!?兼松衆  ")</f>
        <v>&lt;篠田麻里子&amp;秋元才加　AKB卒業後、ドラマ初共演!&gt;  折茂圭太(伊藤淳史)は、『エグザルトン』の社員、本吉佳蓮(秋元才加)が「死にたい…」とスマホで呟いている事に気づく。佳蓮は実業団チーム所属の世界的に有名なマラソン選手だった。心配した圭太が佳蓮の事情を探ると、佳蓮は右ひざに爆弾を抱えている事を知る。佳蓮を救いたい圭太は、石野柳子(新川優愛)や栗山五月(篠田麻里子)に協力をお願いするが…!?兼松衆  </v>
      </c>
      <c r="O3502" s="2"/>
      <c r="P3502" s="2"/>
      <c r="Q3502" s="2"/>
      <c r="R3502" s="2"/>
      <c r="S3502" s="2"/>
      <c r="T3502" s="2"/>
      <c r="U3502" s="2"/>
      <c r="V3502" s="2"/>
      <c r="W3502" s="2"/>
      <c r="X3502" s="2"/>
      <c r="Y3502" s="2"/>
      <c r="Z3502" s="2"/>
      <c r="AA3502" s="2"/>
      <c r="AB3502" s="2"/>
      <c r="AC3502" s="2"/>
      <c r="AD3502" s="2"/>
      <c r="AE3502" s="2"/>
      <c r="AF3502" s="2"/>
      <c r="AG3502" s="2"/>
      <c r="AH3502" s="2"/>
      <c r="AI3502" s="2"/>
      <c r="AJ3502" s="2"/>
      <c r="AK3502" s="2"/>
      <c r="AL3502" s="2"/>
      <c r="AM3502" s="2"/>
      <c r="AN3502" s="2"/>
      <c r="AO3502" s="2"/>
      <c r="AP3502" s="2"/>
      <c r="AQ3502" s="2"/>
      <c r="AR3502" s="2"/>
      <c r="AS3502" s="2"/>
      <c r="AT3502" s="2"/>
      <c r="AU3502" s="2"/>
      <c r="AV3502" s="2"/>
      <c r="AW3502" s="2"/>
      <c r="AX3502" s="2"/>
      <c r="AY3502" s="2"/>
      <c r="AZ3502" s="2"/>
      <c r="BA3502" s="2"/>
      <c r="BB3502" s="2"/>
    </row>
    <row r="3503" ht="204.75" customHeight="1">
      <c r="A3503" s="1">
        <v>1125.0</v>
      </c>
      <c r="B3503" s="2" t="s">
        <v>10514</v>
      </c>
      <c r="C3503" s="2">
        <f>IFERROR(__xludf.DUMMYFUNCTION("split(B3503,""_"")"),1707.0)</f>
        <v>1707</v>
      </c>
      <c r="D3503" s="2" t="str">
        <f>IFERROR(__xludf.DUMMYFUNCTION("""COMPUTED_VALUE"""),"NTV")</f>
        <v>NTV</v>
      </c>
      <c r="E3503" s="2" t="str">
        <f>IFERROR(__xludf.DUMMYFUNCTION("""COMPUTED_VALUE"""),"木23")</f>
        <v>木23</v>
      </c>
      <c r="F3503" s="2" t="s">
        <v>10515</v>
      </c>
      <c r="G3503" s="2" t="s">
        <v>10525</v>
      </c>
      <c r="H3503" s="1">
        <v>4.0</v>
      </c>
      <c r="J3503" s="1" t="s">
        <v>1435</v>
      </c>
      <c r="K3503" s="2" t="s">
        <v>10526</v>
      </c>
      <c r="L3503" s="11" t="s">
        <v>10527</v>
      </c>
      <c r="M3503" s="2" t="str">
        <f>IFERROR(__xludf.DUMMYFUNCTION("split(split(K3503,""【主題歌"",false),""…岸谷五朗"",false)"),"折茂圭太…伊藤淳史  石野柳子…新川優愛  安田部々香…安藤なつ(メイプル超合金)    田西譲司…岡田龍太郎  蜂谷薫…野村麻純  臼田定子…ぼくもとさきこ  蟹江小夜…結城モエ    柏木悠介…遠藤雄弥&lt;第4話ゲスト&gt;  朝長真帆…松本穂香&lt;第4話ゲスト&gt;    栗山五月…篠田麻里子    藤木友里…西丸優子  小堀守…戸田昌宏    黒部仁")</f>
        <v>折茂圭太…伊藤淳史  石野柳子…新川優愛  安田部々香…安藤なつ(メイプル超合金)    田西譲司…岡田龍太郎  蜂谷薫…野村麻純  臼田定子…ぼくもとさきこ  蟹江小夜…結城モエ    柏木悠介…遠藤雄弥&lt;第4話ゲスト&gt;  朝長真帆…松本穂香&lt;第4話ゲスト&gt;    栗山五月…篠田麻里子    藤木友里…西丸優子  小堀守…戸田昌宏    黒部仁</v>
      </c>
      <c r="N3503" s="2" t="str">
        <f>IFERROR(__xludf.DUMMYFUNCTION("""COMPUTED_VALUE"""),"ある日、折茂圭太(伊藤淳史)は、社長の黒部仁(岸谷五朗)に呼び出され、パワハラの疑惑がある社員、柏木悠介(遠藤雄弥)の調査を依頼される。柏木は圭太の元部下だった。圭太は、柏木が店長を務める販売店舗へ潜入捜査をする事に!?そこで圭太は、柏木が部下の森脇を強く叱責する姿を見てしまう…  しかし同僚の朝長真帆(松本穂香)から、森脇は柏木のライバルである久保田の為に、わざと柏木に迷惑をかけていると言われて…兼松衆  ")</f>
        <v>ある日、折茂圭太(伊藤淳史)は、社長の黒部仁(岸谷五朗)に呼び出され、パワハラの疑惑がある社員、柏木悠介(遠藤雄弥)の調査を依頼される。柏木は圭太の元部下だった。圭太は、柏木が店長を務める販売店舗へ潜入捜査をする事に!?そこで圭太は、柏木が部下の森脇を強く叱責する姿を見てしまう…  しかし同僚の朝長真帆(松本穂香)から、森脇は柏木のライバルである久保田の為に、わざと柏木に迷惑をかけていると言われて…兼松衆  </v>
      </c>
      <c r="O3503" s="2"/>
      <c r="P3503" s="2"/>
      <c r="Q3503" s="2"/>
      <c r="R3503" s="2"/>
      <c r="S3503" s="2"/>
      <c r="T3503" s="2"/>
      <c r="U3503" s="2"/>
      <c r="V3503" s="2"/>
      <c r="W3503" s="2"/>
      <c r="X3503" s="2"/>
      <c r="Y3503" s="2"/>
      <c r="Z3503" s="2"/>
      <c r="AA3503" s="2"/>
      <c r="AB3503" s="2"/>
      <c r="AC3503" s="2"/>
      <c r="AD3503" s="2"/>
      <c r="AE3503" s="2"/>
      <c r="AF3503" s="2"/>
      <c r="AG3503" s="2"/>
      <c r="AH3503" s="2"/>
      <c r="AI3503" s="2"/>
      <c r="AJ3503" s="2"/>
      <c r="AK3503" s="2"/>
      <c r="AL3503" s="2"/>
      <c r="AM3503" s="2"/>
      <c r="AN3503" s="2"/>
      <c r="AO3503" s="2"/>
      <c r="AP3503" s="2"/>
      <c r="AQ3503" s="2"/>
      <c r="AR3503" s="2"/>
      <c r="AS3503" s="2"/>
      <c r="AT3503" s="2"/>
      <c r="AU3503" s="2"/>
      <c r="AV3503" s="2"/>
      <c r="AW3503" s="2"/>
      <c r="AX3503" s="2"/>
      <c r="AY3503" s="2"/>
      <c r="AZ3503" s="2"/>
      <c r="BA3503" s="2"/>
      <c r="BB3503" s="2"/>
    </row>
    <row r="3504" ht="204.75" customHeight="1">
      <c r="A3504" s="1">
        <v>1126.0</v>
      </c>
      <c r="B3504" s="2" t="s">
        <v>10514</v>
      </c>
      <c r="C3504" s="2">
        <f>IFERROR(__xludf.DUMMYFUNCTION("split(B3504,""_"")"),1707.0)</f>
        <v>1707</v>
      </c>
      <c r="D3504" s="2" t="str">
        <f>IFERROR(__xludf.DUMMYFUNCTION("""COMPUTED_VALUE"""),"NTV")</f>
        <v>NTV</v>
      </c>
      <c r="E3504" s="2" t="str">
        <f>IFERROR(__xludf.DUMMYFUNCTION("""COMPUTED_VALUE"""),"木23")</f>
        <v>木23</v>
      </c>
      <c r="F3504" s="2" t="s">
        <v>10515</v>
      </c>
      <c r="G3504" s="2" t="s">
        <v>10528</v>
      </c>
      <c r="H3504" s="1">
        <v>5.0</v>
      </c>
      <c r="J3504" s="1" t="s">
        <v>1435</v>
      </c>
      <c r="K3504" s="2" t="s">
        <v>10529</v>
      </c>
      <c r="L3504" s="11" t="s">
        <v>10530</v>
      </c>
      <c r="M3504" s="2" t="str">
        <f>IFERROR(__xludf.DUMMYFUNCTION("split(split(K3504,""【主題歌"",false),""…岸谷五朗"",false)"),"折茂圭太…伊藤淳史  石野柳子…新川優愛  安田部々香…安藤なつ(メイプル超合金)    田西譲司…岡田龍太郎  蜂谷薫…野村麻純  臼田定子…ぼくもとさきこ  蟹江小夜…結城モエ    安達信也…佐藤寛太(劇団EXILE)&lt;第5話ゲスト&gt;    栗山五月…篠田麻里子    藤木友里…西丸優子  小堀守…戸田昌宏    黒部仁")</f>
        <v>折茂圭太…伊藤淳史  石野柳子…新川優愛  安田部々香…安藤なつ(メイプル超合金)    田西譲司…岡田龍太郎  蜂谷薫…野村麻純  臼田定子…ぼくもとさきこ  蟹江小夜…結城モエ    安達信也…佐藤寛太(劇団EXILE)&lt;第5話ゲスト&gt;    栗山五月…篠田麻里子    藤木友里…西丸優子  小堀守…戸田昌宏    黒部仁</v>
      </c>
      <c r="N3504" s="2" t="str">
        <f>IFERROR(__xludf.DUMMYFUNCTION("""COMPUTED_VALUE"""),"“脳内スマホ”を使いたくないという折茂圭太(伊藤淳史)とケンカをした石野柳子(新川優愛)。しかたなく圭太とは別のスマホ人間を探そうとする柳子の前に、安達信也(佐藤寛太)という別のスマホ人間が現れる。安達は自らを“スマホマン”と名乗り、脳内スマホの能力を使って、ヒーロー活動を行っていた。柳子の事情を聞いた安達は、黒部社長(岸谷五朗)への復讐を手伝ってくれると言うが…兼松衆  ")</f>
        <v>“脳内スマホ”を使いたくないという折茂圭太(伊藤淳史)とケンカをした石野柳子(新川優愛)。しかたなく圭太とは別のスマホ人間を探そうとする柳子の前に、安達信也(佐藤寛太)という別のスマホ人間が現れる。安達は自らを“スマホマン”と名乗り、脳内スマホの能力を使って、ヒーロー活動を行っていた。柳子の事情を聞いた安達は、黒部社長(岸谷五朗)への復讐を手伝ってくれると言うが…兼松衆  </v>
      </c>
      <c r="O3504" s="2"/>
      <c r="P3504" s="2"/>
      <c r="Q3504" s="2"/>
      <c r="R3504" s="2"/>
      <c r="S3504" s="2"/>
      <c r="T3504" s="2"/>
      <c r="U3504" s="2"/>
      <c r="V3504" s="2"/>
      <c r="W3504" s="2"/>
      <c r="X3504" s="2"/>
      <c r="Y3504" s="2"/>
      <c r="Z3504" s="2"/>
      <c r="AA3504" s="2"/>
      <c r="AB3504" s="2"/>
      <c r="AC3504" s="2"/>
      <c r="AD3504" s="2"/>
      <c r="AE3504" s="2"/>
      <c r="AF3504" s="2"/>
      <c r="AG3504" s="2"/>
      <c r="AH3504" s="2"/>
      <c r="AI3504" s="2"/>
      <c r="AJ3504" s="2"/>
      <c r="AK3504" s="2"/>
      <c r="AL3504" s="2"/>
      <c r="AM3504" s="2"/>
      <c r="AN3504" s="2"/>
      <c r="AO3504" s="2"/>
      <c r="AP3504" s="2"/>
      <c r="AQ3504" s="2"/>
      <c r="AR3504" s="2"/>
      <c r="AS3504" s="2"/>
      <c r="AT3504" s="2"/>
      <c r="AU3504" s="2"/>
      <c r="AV3504" s="2"/>
      <c r="AW3504" s="2"/>
      <c r="AX3504" s="2"/>
      <c r="AY3504" s="2"/>
      <c r="AZ3504" s="2"/>
      <c r="BA3504" s="2"/>
      <c r="BB3504" s="2"/>
    </row>
    <row r="3505" ht="204.75" customHeight="1">
      <c r="A3505" s="1">
        <v>1127.0</v>
      </c>
      <c r="B3505" s="2" t="s">
        <v>10514</v>
      </c>
      <c r="C3505" s="2">
        <f>IFERROR(__xludf.DUMMYFUNCTION("split(B3505,""_"")"),1707.0)</f>
        <v>1707</v>
      </c>
      <c r="D3505" s="2" t="str">
        <f>IFERROR(__xludf.DUMMYFUNCTION("""COMPUTED_VALUE"""),"NTV")</f>
        <v>NTV</v>
      </c>
      <c r="E3505" s="2" t="str">
        <f>IFERROR(__xludf.DUMMYFUNCTION("""COMPUTED_VALUE"""),"木23")</f>
        <v>木23</v>
      </c>
      <c r="F3505" s="2" t="s">
        <v>10515</v>
      </c>
      <c r="G3505" s="2" t="s">
        <v>10531</v>
      </c>
      <c r="H3505" s="1">
        <v>6.0</v>
      </c>
      <c r="J3505" s="1" t="s">
        <v>1435</v>
      </c>
      <c r="K3505" s="2" t="s">
        <v>10532</v>
      </c>
      <c r="L3505" s="10" t="s">
        <v>10533</v>
      </c>
      <c r="M3505" s="2" t="str">
        <f>IFERROR(__xludf.DUMMYFUNCTION("split(split(K3505,""【主題歌"",false),""…岸谷五朗"",false)"),"折茂圭太…伊藤淳史  石野柳子…新川優愛  安田部々香…安藤なつ(メイプル超合金)    田西譲司…岡田龍太郎  蜂谷薫…野村麻純  臼田定子…ぼくもとさきこ  蟹江小夜…結城モエ    会沢聡…東根作寿英&lt;第6話ゲスト&gt;  薮田正樹…岩崎う大(かもめんたる)&lt;第6話ゲスト&gt;    竹ノ塚史郎…池田鉄洋    栗山五月…篠田麻里子    小堀守…戸田昌宏ある日、折茂圭太(伊藤淳史)が娘の愛花に勧められ「お見合いアプリ」を登録すると、迷惑メールが届き出し、脳内スマホの電源が切れないようになってしまう…。  "&amp;"そんな圭太が出社すると、同僚の蜂谷薫(野村麻純)が「お見合いアプリ」で婚活をしていた。お見合い相手の会沢聡(東根作寿英)との結婚を望む蜂谷だったが、会沢が結婚詐欺師ではないかという疑いが生じて…。兼松衆  ")</f>
        <v>折茂圭太…伊藤淳史  石野柳子…新川優愛  安田部々香…安藤なつ(メイプル超合金)    田西譲司…岡田龍太郎  蜂谷薫…野村麻純  臼田定子…ぼくもとさきこ  蟹江小夜…結城モエ    会沢聡…東根作寿英&lt;第6話ゲスト&gt;  薮田正樹…岩崎う大(かもめんたる)&lt;第6話ゲスト&gt;    竹ノ塚史郎…池田鉄洋    栗山五月…篠田麻里子    小堀守…戸田昌宏ある日、折茂圭太(伊藤淳史)が娘の愛花に勧められ「お見合いアプリ」を登録すると、迷惑メールが届き出し、脳内スマホの電源が切れないようになってしまう…。  そんな圭太が出社すると、同僚の蜂谷薫(野村麻純)が「お見合いアプリ」で婚活をしていた。お見合い相手の会沢聡(東根作寿英)との結婚を望む蜂谷だったが、会沢が結婚詐欺師ではないかという疑いが生じて…。兼松衆  </v>
      </c>
      <c r="N3505" s="2"/>
      <c r="O3505" s="2"/>
      <c r="P3505" s="2"/>
      <c r="Q3505" s="2"/>
      <c r="R3505" s="2"/>
      <c r="S3505" s="2"/>
      <c r="T3505" s="2"/>
      <c r="U3505" s="2"/>
      <c r="V3505" s="2"/>
      <c r="W3505" s="2"/>
      <c r="X3505" s="2"/>
      <c r="Y3505" s="2"/>
      <c r="Z3505" s="2"/>
      <c r="AA3505" s="2"/>
      <c r="AB3505" s="2"/>
      <c r="AC3505" s="2"/>
      <c r="AD3505" s="2"/>
      <c r="AE3505" s="2"/>
      <c r="AF3505" s="2"/>
      <c r="AG3505" s="2"/>
      <c r="AH3505" s="2"/>
      <c r="AI3505" s="2"/>
      <c r="AJ3505" s="2"/>
      <c r="AK3505" s="2"/>
      <c r="AL3505" s="2"/>
      <c r="AM3505" s="2"/>
      <c r="AN3505" s="2"/>
      <c r="AO3505" s="2"/>
      <c r="AP3505" s="2"/>
      <c r="AQ3505" s="2"/>
      <c r="AR3505" s="2"/>
      <c r="AS3505" s="2"/>
      <c r="AT3505" s="2"/>
      <c r="AU3505" s="2"/>
      <c r="AV3505" s="2"/>
      <c r="AW3505" s="2"/>
      <c r="AX3505" s="2"/>
      <c r="AY3505" s="2"/>
      <c r="AZ3505" s="2"/>
      <c r="BA3505" s="2"/>
      <c r="BB3505" s="2"/>
    </row>
    <row r="3506" ht="204.75" customHeight="1">
      <c r="A3506" s="1">
        <v>1128.0</v>
      </c>
      <c r="B3506" s="2" t="s">
        <v>10514</v>
      </c>
      <c r="C3506" s="2">
        <f>IFERROR(__xludf.DUMMYFUNCTION("split(B3506,""_"")"),1707.0)</f>
        <v>1707</v>
      </c>
      <c r="D3506" s="2" t="str">
        <f>IFERROR(__xludf.DUMMYFUNCTION("""COMPUTED_VALUE"""),"NTV")</f>
        <v>NTV</v>
      </c>
      <c r="E3506" s="2" t="str">
        <f>IFERROR(__xludf.DUMMYFUNCTION("""COMPUTED_VALUE"""),"木23")</f>
        <v>木23</v>
      </c>
      <c r="F3506" s="2" t="s">
        <v>10515</v>
      </c>
      <c r="G3506" s="2" t="s">
        <v>10534</v>
      </c>
      <c r="H3506" s="1">
        <v>7.0</v>
      </c>
      <c r="I3506" s="1" t="s">
        <v>25</v>
      </c>
      <c r="J3506" s="1" t="s">
        <v>1435</v>
      </c>
      <c r="K3506" s="2" t="s">
        <v>10535</v>
      </c>
      <c r="L3506" s="10" t="s">
        <v>10536</v>
      </c>
      <c r="M3506" s="2" t="str">
        <f>IFERROR(__xludf.DUMMYFUNCTION("split(split(K3506,""【主題歌"",false),""…岸谷五朗"",false)"),"折茂圭太…伊藤淳史  石野柳子…新川優愛  安田部々香…安藤なつ(メイプル超合金)    田西譲司…岡田龍太郎  蜂谷薫…野村麻純  臼田定子…ぼくもとさきこ  蟹江小夜…結城モエ    フローラ・キャンベル…シャーロット・ケイト・フォックス&lt;第7話ゲスト&gt;    栗山五月…篠田麻里子    藤木友里…西丸優子  小堀守…戸田昌宏    黒部仁")</f>
        <v>折茂圭太…伊藤淳史  石野柳子…新川優愛  安田部々香…安藤なつ(メイプル超合金)    田西譲司…岡田龍太郎  蜂谷薫…野村麻純  臼田定子…ぼくもとさきこ  蟹江小夜…結城モエ    フローラ・キャンベル…シャーロット・ケイト・フォックス&lt;第7話ゲスト&gt;    栗山五月…篠田麻里子    藤木友里…西丸優子  小堀守…戸田昌宏    黒部仁</v>
      </c>
      <c r="N3506" s="2" t="str">
        <f>IFERROR(__xludf.DUMMYFUNCTION("""COMPUTED_VALUE"""),"折茂圭太(伊藤淳史)の勤める『エグザルトン』と、海外ブランドのカリスマデザイナー、フローラ・キャンベル(シャーロット・ケイト・フォックス)が、コラボ契約を結ぶことになった。しかし、黒部社長(岸谷五朗)が契約を心待ちにしている中、来日したフローラは空港から逃亡してしまう…  そんな折、何も知らない圭太は、偶然、ふさぎ込むフローラと出会い、二人で東京見学に向かうが、フローラの行方を探す男達が迫ってきて…兼松衆  ")</f>
        <v>折茂圭太(伊藤淳史)の勤める『エグザルトン』と、海外ブランドのカリスマデザイナー、フローラ・キャンベル(シャーロット・ケイト・フォックス)が、コラボ契約を結ぶことになった。しかし、黒部社長(岸谷五朗)が契約を心待ちにしている中、来日したフローラは空港から逃亡してしまう…  そんな折、何も知らない圭太は、偶然、ふさぎ込むフローラと出会い、二人で東京見学に向かうが、フローラの行方を探す男達が迫ってきて…兼松衆  </v>
      </c>
      <c r="O3506" s="2"/>
      <c r="P3506" s="2"/>
      <c r="Q3506" s="2"/>
      <c r="R3506" s="2"/>
      <c r="S3506" s="2"/>
      <c r="T3506" s="2"/>
      <c r="U3506" s="2"/>
      <c r="V3506" s="2"/>
      <c r="W3506" s="2"/>
      <c r="X3506" s="2"/>
      <c r="Y3506" s="2"/>
      <c r="Z3506" s="2"/>
      <c r="AA3506" s="2"/>
      <c r="AB3506" s="2"/>
      <c r="AC3506" s="2"/>
      <c r="AD3506" s="2"/>
      <c r="AE3506" s="2"/>
      <c r="AF3506" s="2"/>
      <c r="AG3506" s="2"/>
      <c r="AH3506" s="2"/>
      <c r="AI3506" s="2"/>
      <c r="AJ3506" s="2"/>
      <c r="AK3506" s="2"/>
      <c r="AL3506" s="2"/>
      <c r="AM3506" s="2"/>
      <c r="AN3506" s="2"/>
      <c r="AO3506" s="2"/>
      <c r="AP3506" s="2"/>
      <c r="AQ3506" s="2"/>
      <c r="AR3506" s="2"/>
      <c r="AS3506" s="2"/>
      <c r="AT3506" s="2"/>
      <c r="AU3506" s="2"/>
      <c r="AV3506" s="2"/>
      <c r="AW3506" s="2"/>
      <c r="AX3506" s="2"/>
      <c r="AY3506" s="2"/>
      <c r="AZ3506" s="2"/>
      <c r="BA3506" s="2"/>
      <c r="BB3506" s="2"/>
    </row>
    <row r="3507" ht="204.75" customHeight="1">
      <c r="A3507" s="1">
        <v>1129.0</v>
      </c>
      <c r="B3507" s="2" t="s">
        <v>10514</v>
      </c>
      <c r="C3507" s="2">
        <f>IFERROR(__xludf.DUMMYFUNCTION("split(B3507,""_"")"),1707.0)</f>
        <v>1707</v>
      </c>
      <c r="D3507" s="2" t="str">
        <f>IFERROR(__xludf.DUMMYFUNCTION("""COMPUTED_VALUE"""),"NTV")</f>
        <v>NTV</v>
      </c>
      <c r="E3507" s="2" t="str">
        <f>IFERROR(__xludf.DUMMYFUNCTION("""COMPUTED_VALUE"""),"木23")</f>
        <v>木23</v>
      </c>
      <c r="F3507" s="2" t="s">
        <v>10515</v>
      </c>
      <c r="G3507" s="2" t="s">
        <v>10537</v>
      </c>
      <c r="H3507" s="1">
        <v>8.0</v>
      </c>
      <c r="I3507" s="1" t="s">
        <v>29</v>
      </c>
      <c r="J3507" s="1" t="s">
        <v>1435</v>
      </c>
      <c r="K3507" s="2" t="s">
        <v>10538</v>
      </c>
      <c r="L3507" s="10" t="s">
        <v>10539</v>
      </c>
      <c r="M3507" s="2" t="str">
        <f>IFERROR(__xludf.DUMMYFUNCTION("split(split(K3507,""【主題歌"",false),""…岸谷五朗"",false)"),"折茂圭太…伊藤淳史  石野柳子…新川優愛  安田部々香…安藤なつ(メイプル超合金)    田西譲司…岡田龍太郎  蜂谷薫…野村麻純  臼田定子…ぼくもとさきこ  蟹江小夜…結城モエ    小堀加代…MEGUMI&lt;第8話ゲスト&gt;    栗山五月…篠田麻里子  　　　　  小堀守…戸田昌宏部下の栗山五月(篠田麻里子)と不倫をしている総務課長・小堀守(戸田昌宏)が、妻に家を追い出され、折茂圭太(伊藤淳史)のシェアハウスに「泊めてほしい」と泣きついてくる。しかも小堀のスマートフォンには、妻によってGPSの監視アプ"&amp;"リがインストールされていた…怯える小堀だったが、栗山とは別れるつもりはないと言う。  しかし、不倫に激怒した妻の加代(MEGUMI)が、会社に乗り込んできて…兼松衆  ")</f>
        <v>折茂圭太…伊藤淳史  石野柳子…新川優愛  安田部々香…安藤なつ(メイプル超合金)    田西譲司…岡田龍太郎  蜂谷薫…野村麻純  臼田定子…ぼくもとさきこ  蟹江小夜…結城モエ    小堀加代…MEGUMI&lt;第8話ゲスト&gt;    栗山五月…篠田麻里子  　　　　  小堀守…戸田昌宏部下の栗山五月(篠田麻里子)と不倫をしている総務課長・小堀守(戸田昌宏)が、妻に家を追い出され、折茂圭太(伊藤淳史)のシェアハウスに「泊めてほしい」と泣きついてくる。しかも小堀のスマートフォンには、妻によってGPSの監視アプリがインストールされていた…怯える小堀だったが、栗山とは別れるつもりはないと言う。  しかし、不倫に激怒した妻の加代(MEGUMI)が、会社に乗り込んできて…兼松衆  </v>
      </c>
      <c r="N3507" s="2"/>
      <c r="O3507" s="2"/>
      <c r="P3507" s="2"/>
      <c r="Q3507" s="2"/>
      <c r="R3507" s="2"/>
      <c r="S3507" s="2"/>
      <c r="T3507" s="2"/>
      <c r="U3507" s="2"/>
      <c r="V3507" s="2"/>
      <c r="W3507" s="2"/>
      <c r="X3507" s="2"/>
      <c r="Y3507" s="2"/>
      <c r="Z3507" s="2"/>
      <c r="AA3507" s="2"/>
      <c r="AB3507" s="2"/>
      <c r="AC3507" s="2"/>
      <c r="AD3507" s="2"/>
      <c r="AE3507" s="2"/>
      <c r="AF3507" s="2"/>
      <c r="AG3507" s="2"/>
      <c r="AH3507" s="2"/>
      <c r="AI3507" s="2"/>
      <c r="AJ3507" s="2"/>
      <c r="AK3507" s="2"/>
      <c r="AL3507" s="2"/>
      <c r="AM3507" s="2"/>
      <c r="AN3507" s="2"/>
      <c r="AO3507" s="2"/>
      <c r="AP3507" s="2"/>
      <c r="AQ3507" s="2"/>
      <c r="AR3507" s="2"/>
      <c r="AS3507" s="2"/>
      <c r="AT3507" s="2"/>
      <c r="AU3507" s="2"/>
      <c r="AV3507" s="2"/>
      <c r="AW3507" s="2"/>
      <c r="AX3507" s="2"/>
      <c r="AY3507" s="2"/>
      <c r="AZ3507" s="2"/>
      <c r="BA3507" s="2"/>
      <c r="BB3507" s="2"/>
    </row>
    <row r="3508" ht="204.75" customHeight="1">
      <c r="A3508" s="1">
        <v>1130.0</v>
      </c>
      <c r="B3508" s="2" t="s">
        <v>10514</v>
      </c>
      <c r="C3508" s="2">
        <f>IFERROR(__xludf.DUMMYFUNCTION("split(B3508,""_"")"),1707.0)</f>
        <v>1707</v>
      </c>
      <c r="D3508" s="2" t="str">
        <f>IFERROR(__xludf.DUMMYFUNCTION("""COMPUTED_VALUE"""),"NTV")</f>
        <v>NTV</v>
      </c>
      <c r="E3508" s="2" t="str">
        <f>IFERROR(__xludf.DUMMYFUNCTION("""COMPUTED_VALUE"""),"木23")</f>
        <v>木23</v>
      </c>
      <c r="F3508" s="2" t="s">
        <v>10515</v>
      </c>
      <c r="G3508" s="2" t="s">
        <v>10540</v>
      </c>
      <c r="H3508" s="1">
        <v>9.0</v>
      </c>
      <c r="I3508" s="1" t="s">
        <v>33</v>
      </c>
      <c r="J3508" s="1" t="s">
        <v>1435</v>
      </c>
      <c r="K3508" s="2" t="s">
        <v>10541</v>
      </c>
      <c r="L3508" s="10" t="s">
        <v>10542</v>
      </c>
      <c r="M3508" s="2" t="str">
        <f>IFERROR(__xludf.DUMMYFUNCTION("split(split(K3508,""【主題歌"",false),""…岸谷五朗"",false)"),"折茂圭太…伊藤淳史  石野柳子…新川優愛  安田部々香…安藤なつ(メイプル超合金)    田西譲司…岡田龍太郎  蜂谷薫…野村麻純  臼田定子…ぼくもとさきこ  蟹江小夜…結城モエ    朝比奈…高月彩良&lt;第9話ゲスト&gt;    楓…中川知香  栞…新田祐里子    栗山五月…篠田麻里子  藤木友里…西丸優子  小堀守…戸田昌宏    黒部仁")</f>
        <v>折茂圭太…伊藤淳史  石野柳子…新川優愛  安田部々香…安藤なつ(メイプル超合金)    田西譲司…岡田龍太郎  蜂谷薫…野村麻純  臼田定子…ぼくもとさきこ  蟹江小夜…結城モエ    朝比奈…高月彩良&lt;第9話ゲスト&gt;    楓…中川知香  栞…新田祐里子    栗山五月…篠田麻里子  藤木友里…西丸優子  小堀守…戸田昌宏    黒部仁</v>
      </c>
      <c r="N3508" s="2" t="str">
        <f>IFERROR(__xludf.DUMMYFUNCTION("""COMPUTED_VALUE"""),"『エグザルトン』の社長・黒部仁(岸谷五朗)は、3年ごとに必ず秘書を代える主義で、新しい秘書候補として、女子大生企業家として名を馳せた朝比奈(高月彩良)を雇う。現在の秘書・藤木友里(西丸優子)は、クビの危機にさらされてしまう。  「秘書なら黒部の弱点を知っているはず!徹底マークして!」と息巻く石野柳子(新川優愛)の指示で、藤木に近づく折茂圭太(伊藤淳史)だったが、思わぬトラブルに巻き込まれてしまい…兼松衆  ")</f>
        <v>『エグザルトン』の社長・黒部仁(岸谷五朗)は、3年ごとに必ず秘書を代える主義で、新しい秘書候補として、女子大生企業家として名を馳せた朝比奈(高月彩良)を雇う。現在の秘書・藤木友里(西丸優子)は、クビの危機にさらされてしまう。  「秘書なら黒部の弱点を知っているはず!徹底マークして!」と息巻く石野柳子(新川優愛)の指示で、藤木に近づく折茂圭太(伊藤淳史)だったが、思わぬトラブルに巻き込まれてしまい…兼松衆  </v>
      </c>
      <c r="O3508" s="2"/>
      <c r="P3508" s="2"/>
      <c r="Q3508" s="2"/>
      <c r="R3508" s="2"/>
      <c r="S3508" s="2"/>
      <c r="T3508" s="2"/>
      <c r="U3508" s="2"/>
      <c r="V3508" s="2"/>
      <c r="W3508" s="2"/>
      <c r="X3508" s="2"/>
      <c r="Y3508" s="2"/>
      <c r="Z3508" s="2"/>
      <c r="AA3508" s="2"/>
      <c r="AB3508" s="2"/>
      <c r="AC3508" s="2"/>
      <c r="AD3508" s="2"/>
      <c r="AE3508" s="2"/>
      <c r="AF3508" s="2"/>
      <c r="AG3508" s="2"/>
      <c r="AH3508" s="2"/>
      <c r="AI3508" s="2"/>
      <c r="AJ3508" s="2"/>
      <c r="AK3508" s="2"/>
      <c r="AL3508" s="2"/>
      <c r="AM3508" s="2"/>
      <c r="AN3508" s="2"/>
      <c r="AO3508" s="2"/>
      <c r="AP3508" s="2"/>
      <c r="AQ3508" s="2"/>
      <c r="AR3508" s="2"/>
      <c r="AS3508" s="2"/>
      <c r="AT3508" s="2"/>
      <c r="AU3508" s="2"/>
      <c r="AV3508" s="2"/>
      <c r="AW3508" s="2"/>
      <c r="AX3508" s="2"/>
      <c r="AY3508" s="2"/>
      <c r="AZ3508" s="2"/>
      <c r="BA3508" s="2"/>
      <c r="BB3508" s="2"/>
    </row>
    <row r="3509" ht="204.75" customHeight="1">
      <c r="A3509" s="1">
        <v>1131.0</v>
      </c>
      <c r="B3509" s="2" t="s">
        <v>10514</v>
      </c>
      <c r="C3509" s="2">
        <f>IFERROR(__xludf.DUMMYFUNCTION("split(B3509,""_"")"),1707.0)</f>
        <v>1707</v>
      </c>
      <c r="D3509" s="2" t="str">
        <f>IFERROR(__xludf.DUMMYFUNCTION("""COMPUTED_VALUE"""),"NTV")</f>
        <v>NTV</v>
      </c>
      <c r="E3509" s="2" t="str">
        <f>IFERROR(__xludf.DUMMYFUNCTION("""COMPUTED_VALUE"""),"木23")</f>
        <v>木23</v>
      </c>
      <c r="F3509" s="2" t="s">
        <v>10515</v>
      </c>
      <c r="G3509" s="2" t="s">
        <v>10543</v>
      </c>
      <c r="H3509" s="1">
        <v>10.0</v>
      </c>
      <c r="I3509" s="1" t="s">
        <v>37</v>
      </c>
      <c r="J3509" s="1" t="s">
        <v>1435</v>
      </c>
      <c r="K3509" s="2" t="s">
        <v>10544</v>
      </c>
      <c r="L3509" s="10" t="s">
        <v>10545</v>
      </c>
      <c r="M3509" s="2" t="str">
        <f>IFERROR(__xludf.DUMMYFUNCTION("split(split(K3509,""【主題歌"",false),""…岸谷五朗"",false)"),"折茂圭太…伊藤淳史  石野柳子…新川優愛  安田部々香…安藤なつ（メイプル超合金)    田西譲司…岡田龍太郎  蜂谷薫…野村麻純  臼田定子…ぼくもとさきこ  蟹江小夜…結城モエ    桝本…福士誠治&lt;第10話ゲスト&gt;    楓…中川知香栞…新田祐里子    竹ノ塚史郎…池田鉄洋  栗山五月…篠田麻里子  藤木友里…西丸優子  小堀守…戸田昌宏    黒部仁")</f>
        <v>折茂圭太…伊藤淳史  石野柳子…新川優愛  安田部々香…安藤なつ（メイプル超合金)    田西譲司…岡田龍太郎  蜂谷薫…野村麻純  臼田定子…ぼくもとさきこ  蟹江小夜…結城モエ    桝本…福士誠治&lt;第10話ゲスト&gt;    楓…中川知香栞…新田祐里子    竹ノ塚史郎…池田鉄洋  栗山五月…篠田麻里子  藤木友里…西丸優子  小堀守…戸田昌宏    黒部仁</v>
      </c>
      <c r="N3509" s="2" t="str">
        <f>IFERROR(__xludf.DUMMYFUNCTION("""COMPUTED_VALUE"""),"折茂圭太（伊藤淳史）は、社長の黒部仁（岸谷五朗）が、水木花店に毎月3000万円もの大金を、私的に会社から振り込んでいるという『裏金の証拠』をついに掴んだ…  そんな中、圭太は黒部より、商品部のチーフＭＤへの昇格辞令を受ける。商品部には、かつての圭太の同期ライバルで、今は上司となる桝本（福士誠治）がいた。  圭太は桝本から、『裏金の証拠』をもとに黒部を社長解任に追い込もうと提案されるが…兼松衆  ")</f>
        <v>折茂圭太（伊藤淳史）は、社長の黒部仁（岸谷五朗）が、水木花店に毎月3000万円もの大金を、私的に会社から振り込んでいるという『裏金の証拠』をついに掴んだ…  そんな中、圭太は黒部より、商品部のチーフＭＤへの昇格辞令を受ける。商品部には、かつての圭太の同期ライバルで、今は上司となる桝本（福士誠治）がいた。  圭太は桝本から、『裏金の証拠』をもとに黒部を社長解任に追い込もうと提案されるが…兼松衆  </v>
      </c>
      <c r="O3509" s="2"/>
      <c r="P3509" s="2"/>
      <c r="Q3509" s="2"/>
      <c r="R3509" s="2"/>
      <c r="S3509" s="2"/>
      <c r="T3509" s="2"/>
      <c r="U3509" s="2"/>
      <c r="V3509" s="2"/>
      <c r="W3509" s="2"/>
      <c r="X3509" s="2"/>
      <c r="Y3509" s="2"/>
      <c r="Z3509" s="2"/>
      <c r="AA3509" s="2"/>
      <c r="AB3509" s="2"/>
      <c r="AC3509" s="2"/>
      <c r="AD3509" s="2"/>
      <c r="AE3509" s="2"/>
      <c r="AF3509" s="2"/>
      <c r="AG3509" s="2"/>
      <c r="AH3509" s="2"/>
      <c r="AI3509" s="2"/>
      <c r="AJ3509" s="2"/>
      <c r="AK3509" s="2"/>
      <c r="AL3509" s="2"/>
      <c r="AM3509" s="2"/>
      <c r="AN3509" s="2"/>
      <c r="AO3509" s="2"/>
      <c r="AP3509" s="2"/>
      <c r="AQ3509" s="2"/>
      <c r="AR3509" s="2"/>
      <c r="AS3509" s="2"/>
      <c r="AT3509" s="2"/>
      <c r="AU3509" s="2"/>
      <c r="AV3509" s="2"/>
      <c r="AW3509" s="2"/>
      <c r="AX3509" s="2"/>
      <c r="AY3509" s="2"/>
      <c r="AZ3509" s="2"/>
      <c r="BA3509" s="2"/>
      <c r="BB3509" s="2"/>
    </row>
    <row r="3510" ht="204.75" customHeight="1">
      <c r="A3510" s="1">
        <v>1132.0</v>
      </c>
      <c r="B3510" s="2" t="s">
        <v>10514</v>
      </c>
      <c r="C3510" s="2">
        <f>IFERROR(__xludf.DUMMYFUNCTION("split(B3510,""_"")"),1707.0)</f>
        <v>1707</v>
      </c>
      <c r="D3510" s="2" t="str">
        <f>IFERROR(__xludf.DUMMYFUNCTION("""COMPUTED_VALUE"""),"NTV")</f>
        <v>NTV</v>
      </c>
      <c r="E3510" s="2" t="str">
        <f>IFERROR(__xludf.DUMMYFUNCTION("""COMPUTED_VALUE"""),"木23")</f>
        <v>木23</v>
      </c>
      <c r="F3510" s="2" t="s">
        <v>10515</v>
      </c>
      <c r="G3510" s="2" t="s">
        <v>10546</v>
      </c>
      <c r="H3510" s="1">
        <v>11.0</v>
      </c>
      <c r="J3510" s="1" t="s">
        <v>1435</v>
      </c>
      <c r="K3510" s="2" t="s">
        <v>10547</v>
      </c>
      <c r="L3510" s="10" t="s">
        <v>10548</v>
      </c>
      <c r="M3510" s="2" t="str">
        <f>IFERROR(__xludf.DUMMYFUNCTION("split(split(K3510,""【主題歌"",false),""…岸谷五朗"",false)"),"折茂圭太…伊藤淳史  石野柳子…新川優愛  安田部々香…安藤なつ（メイプル超合金)  田西譲司…岡田龍太郎  蜂谷薫…野村麻純  臼田定子…ぼくもとさきこ  蟹江小夜…結城モエ  楓…中川知香  栞…新田祐里子  愛花…高嶋琴羽    林家ペー…林家ペー  安達信也…佐藤寛太(劇団EXILE)    栗山五月…篠田麻里子  藤木友里…西丸優子  小堀守…戸田昌宏    黒部仁")</f>
        <v>折茂圭太…伊藤淳史  石野柳子…新川優愛  安田部々香…安藤なつ（メイプル超合金)  田西譲司…岡田龍太郎  蜂谷薫…野村麻純  臼田定子…ぼくもとさきこ  蟹江小夜…結城モエ  楓…中川知香  栞…新田祐里子  愛花…高嶋琴羽    林家ペー…林家ペー  安達信也…佐藤寛太(劇団EXILE)    栗山五月…篠田麻里子  藤木友里…西丸優子  小堀守…戸田昌宏    黒部仁</v>
      </c>
      <c r="N3510" s="2" t="str">
        <f>IFERROR(__xludf.DUMMYFUNCTION("""COMPUTED_VALUE"""),"石野柳子（新川優愛）は折茂圭太（伊藤淳史）に、自身が黒部仁（岸谷五朗）の実の娘であることを打ち明ける。そして同じ頃、安田部々香（安藤なつ）が、「黒部社長もスマホ人間なのでは？」という疑惑を口にする。圭太は黒部に接触し、スマホ人間かどうかを確かめる。そして、柳子と黒部の親子関係の修復を図ろうとするが…  「スマホ人間とは?」「SPMBとは?」…物語は予想もつかない驚きのラストを迎える…!!兼松衆  ")</f>
        <v>石野柳子（新川優愛）は折茂圭太（伊藤淳史）に、自身が黒部仁（岸谷五朗）の実の娘であることを打ち明ける。そして同じ頃、安田部々香（安藤なつ）が、「黒部社長もスマホ人間なのでは？」という疑惑を口にする。圭太は黒部に接触し、スマホ人間かどうかを確かめる。そして、柳子と黒部の親子関係の修復を図ろうとするが…  「スマホ人間とは?」「SPMBとは?」…物語は予想もつかない驚きのラストを迎える…!!兼松衆  </v>
      </c>
      <c r="O3510" s="2"/>
      <c r="P3510" s="2"/>
      <c r="Q3510" s="2"/>
      <c r="R3510" s="2"/>
      <c r="S3510" s="2"/>
      <c r="T3510" s="2"/>
      <c r="U3510" s="2"/>
      <c r="V3510" s="2"/>
      <c r="W3510" s="2"/>
      <c r="X3510" s="2"/>
      <c r="Y3510" s="2"/>
      <c r="Z3510" s="2"/>
      <c r="AA3510" s="2"/>
      <c r="AB3510" s="2"/>
      <c r="AC3510" s="2"/>
      <c r="AD3510" s="2"/>
      <c r="AE3510" s="2"/>
      <c r="AF3510" s="2"/>
      <c r="AG3510" s="2"/>
      <c r="AH3510" s="2"/>
      <c r="AI3510" s="2"/>
      <c r="AJ3510" s="2"/>
      <c r="AK3510" s="2"/>
      <c r="AL3510" s="2"/>
      <c r="AM3510" s="2"/>
      <c r="AN3510" s="2"/>
      <c r="AO3510" s="2"/>
      <c r="AP3510" s="2"/>
      <c r="AQ3510" s="2"/>
      <c r="AR3510" s="2"/>
      <c r="AS3510" s="2"/>
      <c r="AT3510" s="2"/>
      <c r="AU3510" s="2"/>
      <c r="AV3510" s="2"/>
      <c r="AW3510" s="2"/>
      <c r="AX3510" s="2"/>
      <c r="AY3510" s="2"/>
      <c r="AZ3510" s="2"/>
      <c r="BA3510" s="2"/>
      <c r="BB3510" s="2"/>
    </row>
    <row r="3511" ht="204.75" customHeight="1">
      <c r="A3511" s="1">
        <v>1149.0</v>
      </c>
      <c r="B3511" s="2" t="s">
        <v>10549</v>
      </c>
      <c r="C3511" s="2">
        <f>IFERROR(__xludf.DUMMYFUNCTION("split(B3511,""_"")"),1707.0)</f>
        <v>1707</v>
      </c>
      <c r="D3511" s="2" t="str">
        <f>IFERROR(__xludf.DUMMYFUNCTION("""COMPUTED_VALUE"""),"NTV")</f>
        <v>NTV</v>
      </c>
      <c r="E3511" s="2" t="str">
        <f>IFERROR(__xludf.DUMMYFUNCTION("""COMPUTED_VALUE"""),"土22")</f>
        <v>土22</v>
      </c>
      <c r="F3511" s="2" t="s">
        <v>10550</v>
      </c>
      <c r="G3511" s="2" t="s">
        <v>10551</v>
      </c>
      <c r="H3511" s="1">
        <v>1.0</v>
      </c>
      <c r="I3511" s="1" t="s">
        <v>2868</v>
      </c>
      <c r="J3511" s="1" t="s">
        <v>82</v>
      </c>
      <c r="K3511" s="4" t="s">
        <v>10552</v>
      </c>
      <c r="L3511" s="11" t="s">
        <v>10553</v>
      </c>
      <c r="M3511" s="2" t="str">
        <f>IFERROR(__xludf.DUMMYFUNCTION("split(split(K3511,""【"",false),""、佐藤隆太"",false)"),"錦戸亮、松岡茉優、イモトアヤコ、壇蜜、薮宏太(Hey!Say!JUMP)、江口のりこ")</f>
        <v>錦戸亮、松岡茉優、イモトアヤコ、壇蜜、薮宏太(Hey!Say!JUMP)、江口のりこ</v>
      </c>
      <c r="N3511" s="2" t="str">
        <f>IFERROR(__xludf.DUMMYFUNCTION("""COMPUTED_VALUE"""),"イベント会社に勤める小林司(錦戸亮)は見た目・学歴・収入ともに申し分ない理想の夫!しかし実際のところは会社でミスを繰り返すお荷物社員。自分を尊敬する妻・沙也加(松岡茉優)にだけはその事実を知られたくないと思っていた。司は厳しい上司・土方(佐藤隆太)率いる新しい配属先で風当たりに耐えながら一生懸命仕事に打ち込むが、ひょんなことで退職を迫られるピンチに立たされる!そんな矢先、沙也加の妊娠が発覚して…!")</f>
        <v>イベント会社に勤める小林司(錦戸亮)は見た目・学歴・収入ともに申し分ない理想の夫!しかし実際のところは会社でミスを繰り返すお荷物社員。自分を尊敬する妻・沙也加(松岡茉優)にだけはその事実を知られたくないと思っていた。司は厳しい上司・土方(佐藤隆太)率いる新しい配属先で風当たりに耐えながら一生懸命仕事に打ち込むが、ひょんなことで退職を迫られるピンチに立たされる!そんな矢先、沙也加の妊娠が発覚して…!</v>
      </c>
      <c r="O3511" s="2"/>
      <c r="P3511" s="2"/>
      <c r="Q3511" s="2"/>
      <c r="R3511" s="2"/>
      <c r="S3511" s="2"/>
      <c r="T3511" s="2"/>
      <c r="U3511" s="2"/>
      <c r="V3511" s="2"/>
      <c r="W3511" s="2"/>
      <c r="X3511" s="2"/>
      <c r="Y3511" s="2"/>
      <c r="Z3511" s="2"/>
      <c r="AA3511" s="2"/>
      <c r="AB3511" s="2"/>
      <c r="AC3511" s="2"/>
      <c r="AD3511" s="2"/>
      <c r="AE3511" s="2"/>
      <c r="AF3511" s="2"/>
      <c r="AG3511" s="2"/>
      <c r="AH3511" s="2"/>
      <c r="AI3511" s="2"/>
      <c r="AJ3511" s="2"/>
      <c r="AK3511" s="2"/>
      <c r="AL3511" s="2"/>
      <c r="AM3511" s="2"/>
      <c r="AN3511" s="2"/>
      <c r="AO3511" s="2"/>
      <c r="AP3511" s="2"/>
      <c r="AQ3511" s="2"/>
      <c r="AR3511" s="2"/>
      <c r="AS3511" s="2"/>
      <c r="AT3511" s="2"/>
      <c r="AU3511" s="2"/>
      <c r="AV3511" s="2"/>
      <c r="AW3511" s="2"/>
      <c r="AX3511" s="2"/>
      <c r="AY3511" s="2"/>
      <c r="AZ3511" s="2"/>
      <c r="BA3511" s="2"/>
      <c r="BB3511" s="2"/>
    </row>
    <row r="3512" ht="204.75" customHeight="1">
      <c r="A3512" s="1">
        <v>1150.0</v>
      </c>
      <c r="B3512" s="2" t="s">
        <v>10549</v>
      </c>
      <c r="C3512" s="2">
        <f>IFERROR(__xludf.DUMMYFUNCTION("split(B3512,""_"")"),1707.0)</f>
        <v>1707</v>
      </c>
      <c r="D3512" s="2" t="str">
        <f>IFERROR(__xludf.DUMMYFUNCTION("""COMPUTED_VALUE"""),"NTV")</f>
        <v>NTV</v>
      </c>
      <c r="E3512" s="2" t="str">
        <f>IFERROR(__xludf.DUMMYFUNCTION("""COMPUTED_VALUE"""),"土22")</f>
        <v>土22</v>
      </c>
      <c r="F3512" s="2" t="s">
        <v>10550</v>
      </c>
      <c r="G3512" s="2" t="s">
        <v>10554</v>
      </c>
      <c r="H3512" s="1">
        <v>2.0</v>
      </c>
      <c r="I3512" s="1" t="s">
        <v>2872</v>
      </c>
      <c r="J3512" s="1" t="s">
        <v>86</v>
      </c>
      <c r="K3512" s="2" t="s">
        <v>10555</v>
      </c>
      <c r="L3512" s="11" t="s">
        <v>10556</v>
      </c>
      <c r="M3512" s="2" t="str">
        <f>IFERROR(__xludf.DUMMYFUNCTION("split(split(K3512,""【"",false),""、佐藤隆太"",false)"),"錦戸亮、松岡茉優、イモトアヤコ、壇蜜、薮宏太(Hey!Say!JUMP)、江口のりこ")</f>
        <v>錦戸亮、松岡茉優、イモトアヤコ、壇蜜、薮宏太(Hey!Say!JUMP)、江口のりこ</v>
      </c>
      <c r="N3512" s="2" t="str">
        <f>IFERROR(__xludf.DUMMYFUNCTION("""COMPUTED_VALUE"""),"司(錦戸亮)は、仕事ができない自分を丸ごと受け入れてくれた妻・沙也加(松岡茉優)のため会社で頑張ろうと決意。上司の土方(佐藤隆太)から教育係に黒川(壇蜜)を指名され、一大イベントを担当することになるが、任されたのは新人の仕事である弁当発注だけ。それでも沙也加と協力して頑張る司。そんな中、司の話から黒川を男と勘違いした沙也加は「黒川先輩についていきましょう」と二人を接近させるアシストをしてしまう…。")</f>
        <v>司(錦戸亮)は、仕事ができない自分を丸ごと受け入れてくれた妻・沙也加(松岡茉優)のため会社で頑張ろうと決意。上司の土方(佐藤隆太)から教育係に黒川(壇蜜)を指名され、一大イベントを担当することになるが、任されたのは新人の仕事である弁当発注だけ。それでも沙也加と協力して頑張る司。そんな中、司の話から黒川を男と勘違いした沙也加は「黒川先輩についていきましょう」と二人を接近させるアシストをしてしまう…。</v>
      </c>
      <c r="O3512" s="2"/>
      <c r="P3512" s="2"/>
      <c r="Q3512" s="2"/>
      <c r="R3512" s="2"/>
      <c r="S3512" s="2"/>
      <c r="T3512" s="2"/>
      <c r="U3512" s="2"/>
      <c r="V3512" s="2"/>
      <c r="W3512" s="2"/>
      <c r="X3512" s="2"/>
      <c r="Y3512" s="2"/>
      <c r="Z3512" s="2"/>
      <c r="AA3512" s="2"/>
      <c r="AB3512" s="2"/>
      <c r="AC3512" s="2"/>
      <c r="AD3512" s="2"/>
      <c r="AE3512" s="2"/>
      <c r="AF3512" s="2"/>
      <c r="AG3512" s="2"/>
      <c r="AH3512" s="2"/>
      <c r="AI3512" s="2"/>
      <c r="AJ3512" s="2"/>
      <c r="AK3512" s="2"/>
      <c r="AL3512" s="2"/>
      <c r="AM3512" s="2"/>
      <c r="AN3512" s="2"/>
      <c r="AO3512" s="2"/>
      <c r="AP3512" s="2"/>
      <c r="AQ3512" s="2"/>
      <c r="AR3512" s="2"/>
      <c r="AS3512" s="2"/>
      <c r="AT3512" s="2"/>
      <c r="AU3512" s="2"/>
      <c r="AV3512" s="2"/>
      <c r="AW3512" s="2"/>
      <c r="AX3512" s="2"/>
      <c r="AY3512" s="2"/>
      <c r="AZ3512" s="2"/>
      <c r="BA3512" s="2"/>
      <c r="BB3512" s="2"/>
    </row>
    <row r="3513" ht="204.75" customHeight="1">
      <c r="A3513" s="1">
        <v>1151.0</v>
      </c>
      <c r="B3513" s="2" t="s">
        <v>10549</v>
      </c>
      <c r="C3513" s="2">
        <f>IFERROR(__xludf.DUMMYFUNCTION("split(B3513,""_"")"),1707.0)</f>
        <v>1707</v>
      </c>
      <c r="D3513" s="2" t="str">
        <f>IFERROR(__xludf.DUMMYFUNCTION("""COMPUTED_VALUE"""),"NTV")</f>
        <v>NTV</v>
      </c>
      <c r="E3513" s="2" t="str">
        <f>IFERROR(__xludf.DUMMYFUNCTION("""COMPUTED_VALUE"""),"土22")</f>
        <v>土22</v>
      </c>
      <c r="F3513" s="2" t="s">
        <v>10550</v>
      </c>
      <c r="G3513" s="2" t="s">
        <v>10557</v>
      </c>
      <c r="H3513" s="1">
        <v>3.0</v>
      </c>
      <c r="I3513" s="1" t="s">
        <v>2876</v>
      </c>
      <c r="J3513" s="1" t="s">
        <v>86</v>
      </c>
      <c r="K3513" s="4" t="s">
        <v>10558</v>
      </c>
      <c r="L3513" s="10" t="s">
        <v>10559</v>
      </c>
      <c r="M3513" s="2" t="str">
        <f>IFERROR(__xludf.DUMMYFUNCTION("split(split(K3513,""【"",false),""、佐藤隆太"",false)"),"錦戸亮、松岡茉優、イモトアヤコ、壇蜜、薮宏太(Hey!Say!JUMP)、江口のりこ")</f>
        <v>錦戸亮、松岡茉優、イモトアヤコ、壇蜜、薮宏太(Hey!Say!JUMP)、江口のりこ</v>
      </c>
      <c r="N3513" s="2" t="str">
        <f>IFERROR(__xludf.DUMMYFUNCTION("""COMPUTED_VALUE"""),"  ")</f>
        <v>  </v>
      </c>
      <c r="O3513" s="2"/>
      <c r="P3513" s="2"/>
      <c r="Q3513" s="2"/>
      <c r="R3513" s="2"/>
      <c r="S3513" s="2"/>
      <c r="T3513" s="2"/>
      <c r="U3513" s="2"/>
      <c r="V3513" s="2"/>
      <c r="W3513" s="2"/>
      <c r="X3513" s="2"/>
      <c r="Y3513" s="2"/>
      <c r="Z3513" s="2"/>
      <c r="AA3513" s="2"/>
      <c r="AB3513" s="2"/>
      <c r="AC3513" s="2"/>
      <c r="AD3513" s="2"/>
      <c r="AE3513" s="2"/>
      <c r="AF3513" s="2"/>
      <c r="AG3513" s="2"/>
      <c r="AH3513" s="2"/>
      <c r="AI3513" s="2"/>
      <c r="AJ3513" s="2"/>
      <c r="AK3513" s="2"/>
      <c r="AL3513" s="2"/>
      <c r="AM3513" s="2"/>
      <c r="AN3513" s="2"/>
      <c r="AO3513" s="2"/>
      <c r="AP3513" s="2"/>
      <c r="AQ3513" s="2"/>
      <c r="AR3513" s="2"/>
      <c r="AS3513" s="2"/>
      <c r="AT3513" s="2"/>
      <c r="AU3513" s="2"/>
      <c r="AV3513" s="2"/>
      <c r="AW3513" s="2"/>
      <c r="AX3513" s="2"/>
      <c r="AY3513" s="2"/>
      <c r="AZ3513" s="2"/>
      <c r="BA3513" s="2"/>
      <c r="BB3513" s="2"/>
    </row>
    <row r="3514" ht="204.75" customHeight="1">
      <c r="A3514" s="1">
        <v>1152.0</v>
      </c>
      <c r="B3514" s="2" t="s">
        <v>10549</v>
      </c>
      <c r="C3514" s="2">
        <f>IFERROR(__xludf.DUMMYFUNCTION("split(B3514,""_"")"),1707.0)</f>
        <v>1707</v>
      </c>
      <c r="D3514" s="2" t="str">
        <f>IFERROR(__xludf.DUMMYFUNCTION("""COMPUTED_VALUE"""),"NTV")</f>
        <v>NTV</v>
      </c>
      <c r="E3514" s="2" t="str">
        <f>IFERROR(__xludf.DUMMYFUNCTION("""COMPUTED_VALUE"""),"土22")</f>
        <v>土22</v>
      </c>
      <c r="F3514" s="2" t="s">
        <v>10550</v>
      </c>
      <c r="G3514" s="2" t="s">
        <v>10560</v>
      </c>
      <c r="H3514" s="1">
        <v>4.0</v>
      </c>
      <c r="I3514" s="1" t="s">
        <v>2880</v>
      </c>
      <c r="J3514" s="1" t="s">
        <v>86</v>
      </c>
      <c r="K3514" s="2" t="s">
        <v>10561</v>
      </c>
      <c r="L3514" s="11" t="s">
        <v>10562</v>
      </c>
      <c r="M3514" s="2" t="str">
        <f>IFERROR(__xludf.DUMMYFUNCTION("split(split(K3514,""【"",false),""、佐藤隆太"",false)"),"錦戸亮、松岡茉優、イモトアヤコ、壇蜜、薮宏太(Hey!Say!JUMP)、江口のりこ")</f>
        <v>錦戸亮、松岡茉優、イモトアヤコ、壇蜜、薮宏太(Hey!Say!JUMP)、江口のりこ</v>
      </c>
      <c r="N3514" s="2" t="str">
        <f>IFERROR(__xludf.DUMMYFUNCTION("""COMPUTED_VALUE"""),"司(錦戸亮)は仕事ができない告白をしたことで、最近、妻・沙也加(松岡茉優)とのスキンシップが少なくなっているのではと悩む。会社ではテレビ局のイベントの小さなステージ企画を任され、「隙間責任者」とからかわれるが、妻には責任者になったと見栄を張る。一方、沙也加のマタ友のあかり(イモトアヤコ)の夫に浮気疑惑が勃発!さらに、司はイベント直前に一般参加者のキャンセルが相次ぎ隙間企画中止の危機に追い込まれる…")</f>
        <v>司(錦戸亮)は仕事ができない告白をしたことで、最近、妻・沙也加(松岡茉優)とのスキンシップが少なくなっているのではと悩む。会社ではテレビ局のイベントの小さなステージ企画を任され、「隙間責任者」とからかわれるが、妻には責任者になったと見栄を張る。一方、沙也加のマタ友のあかり(イモトアヤコ)の夫に浮気疑惑が勃発!さらに、司はイベント直前に一般参加者のキャンセルが相次ぎ隙間企画中止の危機に追い込まれる…</v>
      </c>
      <c r="O3514" s="2"/>
      <c r="P3514" s="2"/>
      <c r="Q3514" s="2"/>
      <c r="R3514" s="2"/>
      <c r="S3514" s="2"/>
      <c r="T3514" s="2"/>
      <c r="U3514" s="2"/>
      <c r="V3514" s="2"/>
      <c r="W3514" s="2"/>
      <c r="X3514" s="2"/>
      <c r="Y3514" s="2"/>
      <c r="Z3514" s="2"/>
      <c r="AA3514" s="2"/>
      <c r="AB3514" s="2"/>
      <c r="AC3514" s="2"/>
      <c r="AD3514" s="2"/>
      <c r="AE3514" s="2"/>
      <c r="AF3514" s="2"/>
      <c r="AG3514" s="2"/>
      <c r="AH3514" s="2"/>
      <c r="AI3514" s="2"/>
      <c r="AJ3514" s="2"/>
      <c r="AK3514" s="2"/>
      <c r="AL3514" s="2"/>
      <c r="AM3514" s="2"/>
      <c r="AN3514" s="2"/>
      <c r="AO3514" s="2"/>
      <c r="AP3514" s="2"/>
      <c r="AQ3514" s="2"/>
      <c r="AR3514" s="2"/>
      <c r="AS3514" s="2"/>
      <c r="AT3514" s="2"/>
      <c r="AU3514" s="2"/>
      <c r="AV3514" s="2"/>
      <c r="AW3514" s="2"/>
      <c r="AX3514" s="2"/>
      <c r="AY3514" s="2"/>
      <c r="AZ3514" s="2"/>
      <c r="BA3514" s="2"/>
      <c r="BB3514" s="2"/>
    </row>
    <row r="3515" ht="204.75" customHeight="1">
      <c r="A3515" s="1">
        <v>1153.0</v>
      </c>
      <c r="B3515" s="2" t="s">
        <v>10549</v>
      </c>
      <c r="C3515" s="2">
        <f>IFERROR(__xludf.DUMMYFUNCTION("split(B3515,""_"")"),1707.0)</f>
        <v>1707</v>
      </c>
      <c r="D3515" s="2" t="str">
        <f>IFERROR(__xludf.DUMMYFUNCTION("""COMPUTED_VALUE"""),"NTV")</f>
        <v>NTV</v>
      </c>
      <c r="E3515" s="2" t="str">
        <f>IFERROR(__xludf.DUMMYFUNCTION("""COMPUTED_VALUE"""),"土22")</f>
        <v>土22</v>
      </c>
      <c r="F3515" s="2" t="s">
        <v>10550</v>
      </c>
      <c r="G3515" s="2" t="s">
        <v>10563</v>
      </c>
      <c r="H3515" s="1">
        <v>5.0</v>
      </c>
      <c r="I3515" s="1" t="s">
        <v>2884</v>
      </c>
      <c r="J3515" s="1" t="s">
        <v>86</v>
      </c>
      <c r="K3515" s="2" t="s">
        <v>10564</v>
      </c>
      <c r="L3515" s="10" t="s">
        <v>10565</v>
      </c>
      <c r="M3515" s="2" t="str">
        <f>IFERROR(__xludf.DUMMYFUNCTION("split(split(K3515,""【"",false),""、佐藤隆太"",false)"),"錦戸亮、松岡茉優、イモトアヤコ、壇蜜、薮宏太(Hey!Say!JUMP)、江口のりこ")</f>
        <v>錦戸亮、松岡茉優、イモトアヤコ、壇蜜、薮宏太(Hey!Say!JUMP)、江口のりこ</v>
      </c>
      <c r="N3515" s="2" t="str">
        <f>IFERROR(__xludf.DUMMYFUNCTION("""COMPUTED_VALUE"""),"  ")</f>
        <v>  </v>
      </c>
      <c r="O3515" s="2"/>
      <c r="P3515" s="2"/>
      <c r="Q3515" s="2"/>
      <c r="R3515" s="2"/>
      <c r="S3515" s="2"/>
      <c r="T3515" s="2"/>
      <c r="U3515" s="2"/>
      <c r="V3515" s="2"/>
      <c r="W3515" s="2"/>
      <c r="X3515" s="2"/>
      <c r="Y3515" s="2"/>
      <c r="Z3515" s="2"/>
      <c r="AA3515" s="2"/>
      <c r="AB3515" s="2"/>
      <c r="AC3515" s="2"/>
      <c r="AD3515" s="2"/>
      <c r="AE3515" s="2"/>
      <c r="AF3515" s="2"/>
      <c r="AG3515" s="2"/>
      <c r="AH3515" s="2"/>
      <c r="AI3515" s="2"/>
      <c r="AJ3515" s="2"/>
      <c r="AK3515" s="2"/>
      <c r="AL3515" s="2"/>
      <c r="AM3515" s="2"/>
      <c r="AN3515" s="2"/>
      <c r="AO3515" s="2"/>
      <c r="AP3515" s="2"/>
      <c r="AQ3515" s="2"/>
      <c r="AR3515" s="2"/>
      <c r="AS3515" s="2"/>
      <c r="AT3515" s="2"/>
      <c r="AU3515" s="2"/>
      <c r="AV3515" s="2"/>
      <c r="AW3515" s="2"/>
      <c r="AX3515" s="2"/>
      <c r="AY3515" s="2"/>
      <c r="AZ3515" s="2"/>
      <c r="BA3515" s="2"/>
      <c r="BB3515" s="2"/>
    </row>
    <row r="3516" ht="204.75" customHeight="1">
      <c r="A3516" s="1">
        <v>1154.0</v>
      </c>
      <c r="B3516" s="2" t="s">
        <v>10549</v>
      </c>
      <c r="C3516" s="2">
        <f>IFERROR(__xludf.DUMMYFUNCTION("split(B3516,""_"")"),1707.0)</f>
        <v>1707</v>
      </c>
      <c r="D3516" s="2" t="str">
        <f>IFERROR(__xludf.DUMMYFUNCTION("""COMPUTED_VALUE"""),"NTV")</f>
        <v>NTV</v>
      </c>
      <c r="E3516" s="2" t="str">
        <f>IFERROR(__xludf.DUMMYFUNCTION("""COMPUTED_VALUE"""),"土22")</f>
        <v>土22</v>
      </c>
      <c r="F3516" s="2" t="s">
        <v>10550</v>
      </c>
      <c r="G3516" s="2" t="s">
        <v>10566</v>
      </c>
      <c r="H3516" s="1">
        <v>6.0</v>
      </c>
      <c r="I3516" s="1" t="s">
        <v>2888</v>
      </c>
      <c r="J3516" s="1" t="s">
        <v>86</v>
      </c>
      <c r="K3516" s="2" t="s">
        <v>10567</v>
      </c>
      <c r="L3516" s="10" t="s">
        <v>10568</v>
      </c>
      <c r="M3516" s="2" t="str">
        <f>IFERROR(__xludf.DUMMYFUNCTION("split(split(K3516,""【"",false),""、佐藤隆太"",false)"),"錦戸亮、松岡茉優、イモトアヤコ、壇蜜、薮宏太(Hey!Say!JUMP)、江口のりこ")</f>
        <v>錦戸亮、松岡茉優、イモトアヤコ、壇蜜、薮宏太(Hey!Say!JUMP)、江口のりこ</v>
      </c>
      <c r="N3516" s="2" t="str">
        <f>IFERROR(__xludf.DUMMYFUNCTION("""COMPUTED_VALUE"""),"  ")</f>
        <v>  </v>
      </c>
      <c r="O3516" s="2"/>
      <c r="P3516" s="2"/>
      <c r="Q3516" s="2"/>
      <c r="R3516" s="2"/>
      <c r="S3516" s="2"/>
      <c r="T3516" s="2"/>
      <c r="U3516" s="2"/>
      <c r="V3516" s="2"/>
      <c r="W3516" s="2"/>
      <c r="X3516" s="2"/>
      <c r="Y3516" s="2"/>
      <c r="Z3516" s="2"/>
      <c r="AA3516" s="2"/>
      <c r="AB3516" s="2"/>
      <c r="AC3516" s="2"/>
      <c r="AD3516" s="2"/>
      <c r="AE3516" s="2"/>
      <c r="AF3516" s="2"/>
      <c r="AG3516" s="2"/>
      <c r="AH3516" s="2"/>
      <c r="AI3516" s="2"/>
      <c r="AJ3516" s="2"/>
      <c r="AK3516" s="2"/>
      <c r="AL3516" s="2"/>
      <c r="AM3516" s="2"/>
      <c r="AN3516" s="2"/>
      <c r="AO3516" s="2"/>
      <c r="AP3516" s="2"/>
      <c r="AQ3516" s="2"/>
      <c r="AR3516" s="2"/>
      <c r="AS3516" s="2"/>
      <c r="AT3516" s="2"/>
      <c r="AU3516" s="2"/>
      <c r="AV3516" s="2"/>
      <c r="AW3516" s="2"/>
      <c r="AX3516" s="2"/>
      <c r="AY3516" s="2"/>
      <c r="AZ3516" s="2"/>
      <c r="BA3516" s="2"/>
      <c r="BB3516" s="2"/>
    </row>
    <row r="3517" ht="204.75" customHeight="1">
      <c r="A3517" s="1">
        <v>1155.0</v>
      </c>
      <c r="B3517" s="2" t="s">
        <v>10549</v>
      </c>
      <c r="C3517" s="2">
        <f>IFERROR(__xludf.DUMMYFUNCTION("split(B3517,""_"")"),1707.0)</f>
        <v>1707</v>
      </c>
      <c r="D3517" s="2" t="str">
        <f>IFERROR(__xludf.DUMMYFUNCTION("""COMPUTED_VALUE"""),"NTV")</f>
        <v>NTV</v>
      </c>
      <c r="E3517" s="2" t="str">
        <f>IFERROR(__xludf.DUMMYFUNCTION("""COMPUTED_VALUE"""),"土22")</f>
        <v>土22</v>
      </c>
      <c r="F3517" s="2" t="s">
        <v>10550</v>
      </c>
      <c r="G3517" s="2" t="s">
        <v>10569</v>
      </c>
      <c r="H3517" s="1">
        <v>7.0</v>
      </c>
      <c r="I3517" s="1" t="s">
        <v>2892</v>
      </c>
      <c r="J3517" s="1" t="s">
        <v>86</v>
      </c>
      <c r="K3517" s="2" t="s">
        <v>10570</v>
      </c>
      <c r="L3517" s="10" t="s">
        <v>10571</v>
      </c>
      <c r="M3517" s="2" t="str">
        <f>IFERROR(__xludf.DUMMYFUNCTION("split(split(K3517,""【"",false),""、佐藤隆太"",false)"),"錦戸亮、松岡茉優、イモトアヤコ、壇蜜、薮宏太(Hey!Say!JUMP)、江口のりこ")</f>
        <v>錦戸亮、松岡茉優、イモトアヤコ、壇蜜、薮宏太(Hey!Say!JUMP)、江口のりこ</v>
      </c>
      <c r="N3517" s="2" t="str">
        <f>IFERROR(__xludf.DUMMYFUNCTION("""COMPUTED_VALUE"""),"  ")</f>
        <v>  </v>
      </c>
      <c r="O3517" s="2"/>
      <c r="P3517" s="2"/>
      <c r="Q3517" s="2"/>
      <c r="R3517" s="2"/>
      <c r="S3517" s="2"/>
      <c r="T3517" s="2"/>
      <c r="U3517" s="2"/>
      <c r="V3517" s="2"/>
      <c r="W3517" s="2"/>
      <c r="X3517" s="2"/>
      <c r="Y3517" s="2"/>
      <c r="Z3517" s="2"/>
      <c r="AA3517" s="2"/>
      <c r="AB3517" s="2"/>
      <c r="AC3517" s="2"/>
      <c r="AD3517" s="2"/>
      <c r="AE3517" s="2"/>
      <c r="AF3517" s="2"/>
      <c r="AG3517" s="2"/>
      <c r="AH3517" s="2"/>
      <c r="AI3517" s="2"/>
      <c r="AJ3517" s="2"/>
      <c r="AK3517" s="2"/>
      <c r="AL3517" s="2"/>
      <c r="AM3517" s="2"/>
      <c r="AN3517" s="2"/>
      <c r="AO3517" s="2"/>
      <c r="AP3517" s="2"/>
      <c r="AQ3517" s="2"/>
      <c r="AR3517" s="2"/>
      <c r="AS3517" s="2"/>
      <c r="AT3517" s="2"/>
      <c r="AU3517" s="2"/>
      <c r="AV3517" s="2"/>
      <c r="AW3517" s="2"/>
      <c r="AX3517" s="2"/>
      <c r="AY3517" s="2"/>
      <c r="AZ3517" s="2"/>
      <c r="BA3517" s="2"/>
      <c r="BB3517" s="2"/>
    </row>
    <row r="3518" ht="204.75" customHeight="1">
      <c r="A3518" s="1">
        <v>1156.0</v>
      </c>
      <c r="B3518" s="2" t="s">
        <v>10549</v>
      </c>
      <c r="C3518" s="2">
        <f>IFERROR(__xludf.DUMMYFUNCTION("split(B3518,""_"")"),1707.0)</f>
        <v>1707</v>
      </c>
      <c r="D3518" s="2" t="str">
        <f>IFERROR(__xludf.DUMMYFUNCTION("""COMPUTED_VALUE"""),"NTV")</f>
        <v>NTV</v>
      </c>
      <c r="E3518" s="2" t="str">
        <f>IFERROR(__xludf.DUMMYFUNCTION("""COMPUTED_VALUE"""),"土22")</f>
        <v>土22</v>
      </c>
      <c r="F3518" s="2" t="s">
        <v>10550</v>
      </c>
      <c r="G3518" s="2" t="s">
        <v>10572</v>
      </c>
      <c r="H3518" s="1">
        <v>8.0</v>
      </c>
      <c r="I3518" s="1" t="s">
        <v>2896</v>
      </c>
      <c r="J3518" s="1" t="s">
        <v>86</v>
      </c>
      <c r="K3518" s="2" t="s">
        <v>10573</v>
      </c>
      <c r="L3518" s="10" t="s">
        <v>10574</v>
      </c>
      <c r="M3518" s="2" t="str">
        <f>IFERROR(__xludf.DUMMYFUNCTION("split(split(K3518,""【"",false),""、佐藤隆太"",false)"),"錦戸亮、松岡茉優、イモトアヤコ、壇蜜、薮宏太(Hey!Say!JUMP)、江口のりこ")</f>
        <v>錦戸亮、松岡茉優、イモトアヤコ、壇蜜、薮宏太(Hey!Say!JUMP)、江口のりこ</v>
      </c>
      <c r="N3518" s="2" t="str">
        <f>IFERROR(__xludf.DUMMYFUNCTION("""COMPUTED_VALUE"""),"  ")</f>
        <v>  </v>
      </c>
      <c r="O3518" s="2"/>
      <c r="P3518" s="2"/>
      <c r="Q3518" s="2"/>
      <c r="R3518" s="2"/>
      <c r="S3518" s="2"/>
      <c r="T3518" s="2"/>
      <c r="U3518" s="2"/>
      <c r="V3518" s="2"/>
      <c r="W3518" s="2"/>
      <c r="X3518" s="2"/>
      <c r="Y3518" s="2"/>
      <c r="Z3518" s="2"/>
      <c r="AA3518" s="2"/>
      <c r="AB3518" s="2"/>
      <c r="AC3518" s="2"/>
      <c r="AD3518" s="2"/>
      <c r="AE3518" s="2"/>
      <c r="AF3518" s="2"/>
      <c r="AG3518" s="2"/>
      <c r="AH3518" s="2"/>
      <c r="AI3518" s="2"/>
      <c r="AJ3518" s="2"/>
      <c r="AK3518" s="2"/>
      <c r="AL3518" s="2"/>
      <c r="AM3518" s="2"/>
      <c r="AN3518" s="2"/>
      <c r="AO3518" s="2"/>
      <c r="AP3518" s="2"/>
      <c r="AQ3518" s="2"/>
      <c r="AR3518" s="2"/>
      <c r="AS3518" s="2"/>
      <c r="AT3518" s="2"/>
      <c r="AU3518" s="2"/>
      <c r="AV3518" s="2"/>
      <c r="AW3518" s="2"/>
      <c r="AX3518" s="2"/>
      <c r="AY3518" s="2"/>
      <c r="AZ3518" s="2"/>
      <c r="BA3518" s="2"/>
      <c r="BB3518" s="2"/>
    </row>
    <row r="3519" ht="204.75" customHeight="1">
      <c r="A3519" s="1">
        <v>1157.0</v>
      </c>
      <c r="B3519" s="2" t="s">
        <v>10549</v>
      </c>
      <c r="C3519" s="2">
        <f>IFERROR(__xludf.DUMMYFUNCTION("split(B3519,""_"")"),1707.0)</f>
        <v>1707</v>
      </c>
      <c r="D3519" s="2" t="str">
        <f>IFERROR(__xludf.DUMMYFUNCTION("""COMPUTED_VALUE"""),"NTV")</f>
        <v>NTV</v>
      </c>
      <c r="E3519" s="2" t="str">
        <f>IFERROR(__xludf.DUMMYFUNCTION("""COMPUTED_VALUE"""),"土22")</f>
        <v>土22</v>
      </c>
      <c r="F3519" s="2" t="s">
        <v>10550</v>
      </c>
      <c r="G3519" s="2" t="s">
        <v>10575</v>
      </c>
      <c r="H3519" s="1">
        <v>9.0</v>
      </c>
      <c r="I3519" s="1" t="s">
        <v>2900</v>
      </c>
      <c r="J3519" s="1" t="s">
        <v>86</v>
      </c>
      <c r="K3519" s="2" t="s">
        <v>10576</v>
      </c>
      <c r="L3519" s="11" t="s">
        <v>10577</v>
      </c>
      <c r="M3519" s="2" t="str">
        <f>IFERROR(__xludf.DUMMYFUNCTION("split(split(K3519,""【"",false),""、佐藤隆太"",false)"),"錦戸亮、松岡茉優、イモトアヤコ、壇蜜、薮宏太(Hey!Say!JUMP)、江口のりこ")</f>
        <v>錦戸亮、松岡茉優、イモトアヤコ、壇蜜、薮宏太(Hey!Say!JUMP)、江口のりこ</v>
      </c>
      <c r="N3519" s="2" t="str">
        <f>IFERROR(__xludf.DUMMYFUNCTION("""COMPUTED_VALUE"""),"すっかりできる男に変身した司（錦戸亮）はパリで行われる注目のイベントを任される。沙也加（松岡茉優）は司の成功を喜びながらも夫婦で話す時間がなくなったことに虚しさを感じていた。多忙を極め仕事のことで頭がいっぱいの司は成長する赤ちゃんの様子を報告する沙也加の話も上の空。ついに愛妻弁当に手を付けずに家に帰って来てしまう。翌朝、目が覚めると沙也加の姿はなく…。仕事ができることは家族を幸せに導くのか?")</f>
        <v>すっかりできる男に変身した司（錦戸亮）はパリで行われる注目のイベントを任される。沙也加（松岡茉優）は司の成功を喜びながらも夫婦で話す時間がなくなったことに虚しさを感じていた。多忙を極め仕事のことで頭がいっぱいの司は成長する赤ちゃんの様子を報告する沙也加の話も上の空。ついに愛妻弁当に手を付けずに家に帰って来てしまう。翌朝、目が覚めると沙也加の姿はなく…。仕事ができることは家族を幸せに導くのか?</v>
      </c>
      <c r="O3519" s="2"/>
      <c r="P3519" s="2"/>
      <c r="Q3519" s="2"/>
      <c r="R3519" s="2"/>
      <c r="S3519" s="2"/>
      <c r="T3519" s="2"/>
      <c r="U3519" s="2"/>
      <c r="V3519" s="2"/>
      <c r="W3519" s="2"/>
      <c r="X3519" s="2"/>
      <c r="Y3519" s="2"/>
      <c r="Z3519" s="2"/>
      <c r="AA3519" s="2"/>
      <c r="AB3519" s="2"/>
      <c r="AC3519" s="2"/>
      <c r="AD3519" s="2"/>
      <c r="AE3519" s="2"/>
      <c r="AF3519" s="2"/>
      <c r="AG3519" s="2"/>
      <c r="AH3519" s="2"/>
      <c r="AI3519" s="2"/>
      <c r="AJ3519" s="2"/>
      <c r="AK3519" s="2"/>
      <c r="AL3519" s="2"/>
      <c r="AM3519" s="2"/>
      <c r="AN3519" s="2"/>
      <c r="AO3519" s="2"/>
      <c r="AP3519" s="2"/>
      <c r="AQ3519" s="2"/>
      <c r="AR3519" s="2"/>
      <c r="AS3519" s="2"/>
      <c r="AT3519" s="2"/>
      <c r="AU3519" s="2"/>
      <c r="AV3519" s="2"/>
      <c r="AW3519" s="2"/>
      <c r="AX3519" s="2"/>
      <c r="AY3519" s="2"/>
      <c r="AZ3519" s="2"/>
      <c r="BA3519" s="2"/>
      <c r="BB3519" s="2"/>
    </row>
    <row r="3520" ht="204.75" customHeight="1">
      <c r="A3520" s="1">
        <v>1158.0</v>
      </c>
      <c r="B3520" s="2" t="s">
        <v>10549</v>
      </c>
      <c r="C3520" s="2">
        <f>IFERROR(__xludf.DUMMYFUNCTION("split(B3520,""_"")"),1707.0)</f>
        <v>1707</v>
      </c>
      <c r="D3520" s="2" t="str">
        <f>IFERROR(__xludf.DUMMYFUNCTION("""COMPUTED_VALUE"""),"NTV")</f>
        <v>NTV</v>
      </c>
      <c r="E3520" s="2" t="str">
        <f>IFERROR(__xludf.DUMMYFUNCTION("""COMPUTED_VALUE"""),"土22")</f>
        <v>土22</v>
      </c>
      <c r="F3520" s="2" t="s">
        <v>10550</v>
      </c>
      <c r="G3520" s="2" t="s">
        <v>10578</v>
      </c>
      <c r="H3520" s="1">
        <v>10.0</v>
      </c>
      <c r="I3520" s="1" t="s">
        <v>37</v>
      </c>
      <c r="J3520" s="1" t="s">
        <v>86</v>
      </c>
      <c r="K3520" s="2" t="s">
        <v>10579</v>
      </c>
      <c r="L3520" s="11" t="s">
        <v>10580</v>
      </c>
      <c r="M3520" s="2" t="str">
        <f>IFERROR(__xludf.DUMMYFUNCTION("split(split(K3520,""【"",false),""、佐藤隆太"",false)"),"錦戸亮、松岡茉優、イモトアヤコ、壇蜜、薮宏太(Hey!Say!JUMP)、江口のりこ")</f>
        <v>錦戸亮、松岡茉優、イモトアヤコ、壇蜜、薮宏太(Hey!Say!JUMP)、江口のりこ</v>
      </c>
      <c r="N3520" s="2" t="str">
        <f>IFERROR(__xludf.DUMMYFUNCTION("""COMPUTED_VALUE"""),"司（錦戸亮）は沙也加（松岡茉優）と一緒に両親学級に参加し父親になることを実感。出産に立ち会うことを決意した。会社では大手自動車会社の社内イベントを担当し、小さな仕事でも全力で向き合う姿に土方（佐藤隆太）は感心。しかも、そのイベントが好評で大仕事が舞い込む。沙也加は「出産が仕事と重なった場合は仕事を優先して」と言うが…。大切な仕事の日、沙也加から破水の連絡が入った司、…仕事と家庭、両立できるのか!?")</f>
        <v>司（錦戸亮）は沙也加（松岡茉優）と一緒に両親学級に参加し父親になることを実感。出産に立ち会うことを決意した。会社では大手自動車会社の社内イベントを担当し、小さな仕事でも全力で向き合う姿に土方（佐藤隆太）は感心。しかも、そのイベントが好評で大仕事が舞い込む。沙也加は「出産が仕事と重なった場合は仕事を優先して」と言うが…。大切な仕事の日、沙也加から破水の連絡が入った司、…仕事と家庭、両立できるのか!?</v>
      </c>
      <c r="O3520" s="2"/>
      <c r="P3520" s="2"/>
      <c r="Q3520" s="2"/>
      <c r="R3520" s="2"/>
      <c r="S3520" s="2"/>
      <c r="T3520" s="2"/>
      <c r="U3520" s="2"/>
      <c r="V3520" s="2"/>
      <c r="W3520" s="2"/>
      <c r="X3520" s="2"/>
      <c r="Y3520" s="2"/>
      <c r="Z3520" s="2"/>
      <c r="AA3520" s="2"/>
      <c r="AB3520" s="2"/>
      <c r="AC3520" s="2"/>
      <c r="AD3520" s="2"/>
      <c r="AE3520" s="2"/>
      <c r="AF3520" s="2"/>
      <c r="AG3520" s="2"/>
      <c r="AH3520" s="2"/>
      <c r="AI3520" s="2"/>
      <c r="AJ3520" s="2"/>
      <c r="AK3520" s="2"/>
      <c r="AL3520" s="2"/>
      <c r="AM3520" s="2"/>
      <c r="AN3520" s="2"/>
      <c r="AO3520" s="2"/>
      <c r="AP3520" s="2"/>
      <c r="AQ3520" s="2"/>
      <c r="AR3520" s="2"/>
      <c r="AS3520" s="2"/>
      <c r="AT3520" s="2"/>
      <c r="AU3520" s="2"/>
      <c r="AV3520" s="2"/>
      <c r="AW3520" s="2"/>
      <c r="AX3520" s="2"/>
      <c r="AY3520" s="2"/>
      <c r="AZ3520" s="2"/>
      <c r="BA3520" s="2"/>
      <c r="BB3520" s="2"/>
    </row>
    <row r="3521" ht="204.75" customHeight="1">
      <c r="A3521" s="1">
        <v>1179.0</v>
      </c>
      <c r="B3521" s="2" t="s">
        <v>10581</v>
      </c>
      <c r="C3521" s="2">
        <f>IFERROR(__xludf.DUMMYFUNCTION("split(B3521,""_"")"),1707.0)</f>
        <v>1707</v>
      </c>
      <c r="D3521" s="2" t="str">
        <f>IFERROR(__xludf.DUMMYFUNCTION("""COMPUTED_VALUE"""),"NTV")</f>
        <v>NTV</v>
      </c>
      <c r="E3521" s="2" t="str">
        <f>IFERROR(__xludf.DUMMYFUNCTION("""COMPUTED_VALUE"""),"日22")</f>
        <v>日22</v>
      </c>
      <c r="F3521" s="2" t="s">
        <v>10582</v>
      </c>
      <c r="G3521" s="2" t="s">
        <v>10583</v>
      </c>
      <c r="H3521" s="1">
        <v>1.0</v>
      </c>
      <c r="I3521" s="1" t="s">
        <v>2868</v>
      </c>
      <c r="J3521" s="1" t="s">
        <v>82</v>
      </c>
      <c r="K3521" s="4" t="s">
        <v>10584</v>
      </c>
      <c r="L3521" s="11" t="s">
        <v>10585</v>
      </c>
      <c r="M3521" s="2" t="str">
        <f>IFERROR(__xludf.DUMMYFUNCTION("split(split(K3521,""【"",false),""福士蒼汰、"",false)"),"川口春奈、鈴木浩介、賀来賢人、白洲迅、柄本時生、吉川愛、矢柴俊博、佐伯大地/山本未來、堀部圭亮/岡江久美子、遠藤憲一、鈴木保奈美")</f>
        <v>川口春奈、鈴木浩介、賀来賢人、白洲迅、柄本時生、吉川愛、矢柴俊博、佐伯大地/山本未來、堀部圭亮/岡江久美子、遠藤憲一、鈴木保奈美</v>
      </c>
      <c r="N3521" s="2" t="str">
        <f>IFERROR(__xludf.DUMMYFUNCTION("""COMPUTED_VALUE"""),"ミステリー初挑戦!中学生の頃に、父親を殺してしまった主人公は、母親(鈴木保奈美)と2人、その事実を隠したまま生きてきた。絶対言えない秘密を抱えながらも、恋人(川口春奈)にプロポーズするが、その直後から、「秘密」を知る何者かから謎のメッセージが届き始めて…!?1話から衝撃の展開が待ち受ける!その秘密、隠し通せるか?愛する人の秘密、どこまで許せるか?愛の極限が問われる自問自答ラブミステリー!")</f>
        <v>ミステリー初挑戦!中学生の頃に、父親を殺してしまった主人公は、母親(鈴木保奈美)と2人、その事実を隠したまま生きてきた。絶対言えない秘密を抱えながらも、恋人(川口春奈)にプロポーズするが、その直後から、「秘密」を知る何者かから謎のメッセージが届き始めて…!?1話から衝撃の展開が待ち受ける!その秘密、隠し通せるか?愛する人の秘密、どこまで許せるか?愛の極限が問われる自問自答ラブミステリー!</v>
      </c>
      <c r="O3521" s="2"/>
      <c r="P3521" s="2"/>
      <c r="Q3521" s="2"/>
      <c r="R3521" s="2"/>
      <c r="S3521" s="2"/>
      <c r="T3521" s="2"/>
      <c r="U3521" s="2"/>
      <c r="V3521" s="2"/>
      <c r="W3521" s="2"/>
      <c r="X3521" s="2"/>
      <c r="Y3521" s="2"/>
      <c r="Z3521" s="2"/>
      <c r="AA3521" s="2"/>
      <c r="AB3521" s="2"/>
      <c r="AC3521" s="2"/>
      <c r="AD3521" s="2"/>
      <c r="AE3521" s="2"/>
      <c r="AF3521" s="2"/>
      <c r="AG3521" s="2"/>
      <c r="AH3521" s="2"/>
      <c r="AI3521" s="2"/>
      <c r="AJ3521" s="2"/>
      <c r="AK3521" s="2"/>
      <c r="AL3521" s="2"/>
      <c r="AM3521" s="2"/>
      <c r="AN3521" s="2"/>
      <c r="AO3521" s="2"/>
      <c r="AP3521" s="2"/>
      <c r="AQ3521" s="2"/>
      <c r="AR3521" s="2"/>
      <c r="AS3521" s="2"/>
      <c r="AT3521" s="2"/>
      <c r="AU3521" s="2"/>
      <c r="AV3521" s="2"/>
      <c r="AW3521" s="2"/>
      <c r="AX3521" s="2"/>
      <c r="AY3521" s="2"/>
      <c r="AZ3521" s="2"/>
      <c r="BA3521" s="2"/>
      <c r="BB3521" s="2"/>
    </row>
    <row r="3522" ht="204.75" customHeight="1">
      <c r="A3522" s="1">
        <v>1180.0</v>
      </c>
      <c r="B3522" s="2" t="s">
        <v>10581</v>
      </c>
      <c r="C3522" s="2">
        <f>IFERROR(__xludf.DUMMYFUNCTION("split(B3522,""_"")"),1707.0)</f>
        <v>1707</v>
      </c>
      <c r="D3522" s="2" t="str">
        <f>IFERROR(__xludf.DUMMYFUNCTION("""COMPUTED_VALUE"""),"NTV")</f>
        <v>NTV</v>
      </c>
      <c r="E3522" s="2" t="str">
        <f>IFERROR(__xludf.DUMMYFUNCTION("""COMPUTED_VALUE"""),"日22")</f>
        <v>日22</v>
      </c>
      <c r="F3522" s="2" t="s">
        <v>10582</v>
      </c>
      <c r="G3522" s="2" t="s">
        <v>10586</v>
      </c>
      <c r="H3522" s="1">
        <v>2.0</v>
      </c>
      <c r="I3522" s="1" t="s">
        <v>2872</v>
      </c>
      <c r="J3522" s="1" t="s">
        <v>82</v>
      </c>
      <c r="K3522" s="4" t="s">
        <v>10587</v>
      </c>
      <c r="L3522" s="11" t="s">
        <v>10588</v>
      </c>
      <c r="M3522" s="2" t="str">
        <f>IFERROR(__xludf.DUMMYFUNCTION("split(split(K3522,""【"",false),""、鈴木保奈美"",false)"),"福士蒼汰、川口春奈、鈴木浩介、賀来賢人、白洲迅、柄本時生、吉川愛、矢柴俊博、佐伯大地/山本未來、堀部圭亮/岡江久美子、遠藤憲一")</f>
        <v>福士蒼汰、川口春奈、鈴木浩介、賀来賢人、白洲迅、柄本時生、吉川愛、矢柴俊博、佐伯大地/山本未來、堀部圭亮/岡江久美子、遠藤憲一</v>
      </c>
      <c r="N3522" s="2" t="str">
        <f>IFERROR(__xludf.DUMMYFUNCTION("""COMPUTED_VALUE"""),"父の遺体を埋めた庭が掘り返され、遺骨と凶器が持ち去られていた。自首すると言い出す黎(福士蒼汰)に対し、晶子(鈴木保奈美)はやめてほしいと懇願。黎は、爽(川口春奈)と別れる決意をする。一方、立花(遠藤憲一)から黎との結婚を反対される彼女のもとに、差出人不明の封筒が届く。その中には、黎の父に関する、ある事実が記された紙が…!爽は、黎が父親のことで嘘をついていると知る。黎は、爽に問い詰められ…!?")</f>
        <v>父の遺体を埋めた庭が掘り返され、遺骨と凶器が持ち去られていた。自首すると言い出す黎(福士蒼汰)に対し、晶子(鈴木保奈美)はやめてほしいと懇願。黎は、爽(川口春奈)と別れる決意をする。一方、立花(遠藤憲一)から黎との結婚を反対される彼女のもとに、差出人不明の封筒が届く。その中には、黎の父に関する、ある事実が記された紙が…!爽は、黎が父親のことで嘘をついていると知る。黎は、爽に問い詰められ…!?</v>
      </c>
      <c r="O3522" s="2"/>
      <c r="P3522" s="2"/>
      <c r="Q3522" s="2"/>
      <c r="R3522" s="2"/>
      <c r="S3522" s="2"/>
      <c r="T3522" s="2"/>
      <c r="U3522" s="2"/>
      <c r="V3522" s="2"/>
      <c r="W3522" s="2"/>
      <c r="X3522" s="2"/>
      <c r="Y3522" s="2"/>
      <c r="Z3522" s="2"/>
      <c r="AA3522" s="2"/>
      <c r="AB3522" s="2"/>
      <c r="AC3522" s="2"/>
      <c r="AD3522" s="2"/>
      <c r="AE3522" s="2"/>
      <c r="AF3522" s="2"/>
      <c r="AG3522" s="2"/>
      <c r="AH3522" s="2"/>
      <c r="AI3522" s="2"/>
      <c r="AJ3522" s="2"/>
      <c r="AK3522" s="2"/>
      <c r="AL3522" s="2"/>
      <c r="AM3522" s="2"/>
      <c r="AN3522" s="2"/>
      <c r="AO3522" s="2"/>
      <c r="AP3522" s="2"/>
      <c r="AQ3522" s="2"/>
      <c r="AR3522" s="2"/>
      <c r="AS3522" s="2"/>
      <c r="AT3522" s="2"/>
      <c r="AU3522" s="2"/>
      <c r="AV3522" s="2"/>
      <c r="AW3522" s="2"/>
      <c r="AX3522" s="2"/>
      <c r="AY3522" s="2"/>
      <c r="AZ3522" s="2"/>
      <c r="BA3522" s="2"/>
      <c r="BB3522" s="2"/>
    </row>
    <row r="3523" ht="204.75" customHeight="1">
      <c r="A3523" s="1">
        <v>1181.0</v>
      </c>
      <c r="B3523" s="2" t="s">
        <v>10581</v>
      </c>
      <c r="C3523" s="2">
        <f>IFERROR(__xludf.DUMMYFUNCTION("split(B3523,""_"")"),1707.0)</f>
        <v>1707</v>
      </c>
      <c r="D3523" s="2" t="str">
        <f>IFERROR(__xludf.DUMMYFUNCTION("""COMPUTED_VALUE"""),"NTV")</f>
        <v>NTV</v>
      </c>
      <c r="E3523" s="2" t="str">
        <f>IFERROR(__xludf.DUMMYFUNCTION("""COMPUTED_VALUE"""),"日22")</f>
        <v>日22</v>
      </c>
      <c r="F3523" s="2" t="s">
        <v>10582</v>
      </c>
      <c r="G3523" s="2" t="s">
        <v>10589</v>
      </c>
      <c r="H3523" s="1">
        <v>3.0</v>
      </c>
      <c r="I3523" s="1" t="s">
        <v>2876</v>
      </c>
      <c r="J3523" s="1" t="s">
        <v>82</v>
      </c>
      <c r="K3523" s="2" t="s">
        <v>10590</v>
      </c>
      <c r="L3523" s="11" t="s">
        <v>10591</v>
      </c>
      <c r="M3523" s="2" t="str">
        <f>IFERROR(__xludf.DUMMYFUNCTION("split(split(K3523,""【"",false),""、鈴木保奈美"",false)"),"福士蒼汰、川口春奈、鈴木浩介、賀来賢人、白洲迅、柄本時生、吉川愛、矢柴俊博、佐伯大地/山本未來、堀部圭亮/岡江久美子、遠藤憲一")</f>
        <v>福士蒼汰、川口春奈、鈴木浩介、賀来賢人、白洲迅、柄本時生、吉川愛、矢柴俊博、佐伯大地/山本未來、堀部圭亮/岡江久美子、遠藤憲一</v>
      </c>
      <c r="N3523" s="2" t="str">
        <f>IFERROR(__xludf.DUMMYFUNCTION("""COMPUTED_VALUE"""),"11年前に黎(福士蒼汰)と晶子(鈴木保奈美)が罪を隠すため、海に沈めた奥森(堀部圭亮)の車が発見された。黎は、誰かが自分に罪を突き付けていると不安を抱く。一方、爽(川口春奈)は結婚を認めてもらおうと立花(遠藤憲一)を説得するが、立花は「信用できない」と拒絶。爽の父親が神奈川地検の検事だと知った晶子は、驚きの行動に出る…!不気味なメール、謎の侵入者…またしても追い詰められていく黎の運命は…!?")</f>
        <v>11年前に黎(福士蒼汰)と晶子(鈴木保奈美)が罪を隠すため、海に沈めた奥森(堀部圭亮)の車が発見された。黎は、誰かが自分に罪を突き付けていると不安を抱く。一方、爽(川口春奈)は結婚を認めてもらおうと立花(遠藤憲一)を説得するが、立花は「信用できない」と拒絶。爽の父親が神奈川地検の検事だと知った晶子は、驚きの行動に出る…!不気味なメール、謎の侵入者…またしても追い詰められていく黎の運命は…!?</v>
      </c>
      <c r="O3523" s="2"/>
      <c r="P3523" s="2"/>
      <c r="Q3523" s="2"/>
      <c r="R3523" s="2"/>
      <c r="S3523" s="2"/>
      <c r="T3523" s="2"/>
      <c r="U3523" s="2"/>
      <c r="V3523" s="2"/>
      <c r="W3523" s="2"/>
      <c r="X3523" s="2"/>
      <c r="Y3523" s="2"/>
      <c r="Z3523" s="2"/>
      <c r="AA3523" s="2"/>
      <c r="AB3523" s="2"/>
      <c r="AC3523" s="2"/>
      <c r="AD3523" s="2"/>
      <c r="AE3523" s="2"/>
      <c r="AF3523" s="2"/>
      <c r="AG3523" s="2"/>
      <c r="AH3523" s="2"/>
      <c r="AI3523" s="2"/>
      <c r="AJ3523" s="2"/>
      <c r="AK3523" s="2"/>
      <c r="AL3523" s="2"/>
      <c r="AM3523" s="2"/>
      <c r="AN3523" s="2"/>
      <c r="AO3523" s="2"/>
      <c r="AP3523" s="2"/>
      <c r="AQ3523" s="2"/>
      <c r="AR3523" s="2"/>
      <c r="AS3523" s="2"/>
      <c r="AT3523" s="2"/>
      <c r="AU3523" s="2"/>
      <c r="AV3523" s="2"/>
      <c r="AW3523" s="2"/>
      <c r="AX3523" s="2"/>
      <c r="AY3523" s="2"/>
      <c r="AZ3523" s="2"/>
      <c r="BA3523" s="2"/>
      <c r="BB3523" s="2"/>
    </row>
    <row r="3524" ht="204.75" customHeight="1">
      <c r="A3524" s="1">
        <v>1182.0</v>
      </c>
      <c r="B3524" s="2" t="s">
        <v>10581</v>
      </c>
      <c r="C3524" s="2">
        <f>IFERROR(__xludf.DUMMYFUNCTION("split(B3524,""_"")"),1707.0)</f>
        <v>1707</v>
      </c>
      <c r="D3524" s="2" t="str">
        <f>IFERROR(__xludf.DUMMYFUNCTION("""COMPUTED_VALUE"""),"NTV")</f>
        <v>NTV</v>
      </c>
      <c r="E3524" s="2" t="str">
        <f>IFERROR(__xludf.DUMMYFUNCTION("""COMPUTED_VALUE"""),"日22")</f>
        <v>日22</v>
      </c>
      <c r="F3524" s="2" t="s">
        <v>10582</v>
      </c>
      <c r="G3524" s="2" t="s">
        <v>10592</v>
      </c>
      <c r="H3524" s="1">
        <v>4.0</v>
      </c>
      <c r="I3524" s="1" t="s">
        <v>2880</v>
      </c>
      <c r="J3524" s="1" t="s">
        <v>82</v>
      </c>
      <c r="K3524" s="2" t="s">
        <v>10593</v>
      </c>
      <c r="L3524" s="11" t="s">
        <v>10594</v>
      </c>
      <c r="M3524" s="2" t="str">
        <f>IFERROR(__xludf.DUMMYFUNCTION("split(split(K3524,""【"",false),""、鈴木保奈美"",false)"),"福士蒼汰、川口春奈、鈴木浩介、賀来賢人、白洲迅、柄本時生、吉川愛、矢柴俊博、佐伯大地/山本未來、堀部圭亮/岡江久美子、遠藤憲一")</f>
        <v>福士蒼汰、川口春奈、鈴木浩介、賀来賢人、白洲迅、柄本時生、吉川愛、矢柴俊博、佐伯大地/山本未來、堀部圭亮/岡江久美子、遠藤憲一</v>
      </c>
      <c r="N3524" s="2" t="str">
        <f>IFERROR(__xludf.DUMMYFUNCTION("""COMPUTED_VALUE"""),"晶子(鈴木保奈美)が階段から転落し、入院することに。黎(福士蒼汰)は次々と起こる不気味な出来事に、母や爽(川口春奈)の身が危ないのではないかと心配し、“黒幕”に立ち向かう決意をする。そんな中、黎と爽は茜(岡江久美子)から、花火大会のチケットをもらうが、黎にとって花火は、父を殺した夜を思い起こさせるものだった…。さらに、爽のマンションの防犯カメラに、不可解な出来事の“犯人”が映っていて…!?")</f>
        <v>晶子(鈴木保奈美)が階段から転落し、入院することに。黎(福士蒼汰)は次々と起こる不気味な出来事に、母や爽(川口春奈)の身が危ないのではないかと心配し、“黒幕”に立ち向かう決意をする。そんな中、黎と爽は茜(岡江久美子)から、花火大会のチケットをもらうが、黎にとって花火は、父を殺した夜を思い起こさせるものだった…。さらに、爽のマンションの防犯カメラに、不可解な出来事の“犯人”が映っていて…!?</v>
      </c>
      <c r="O3524" s="2"/>
      <c r="P3524" s="2"/>
      <c r="Q3524" s="2"/>
      <c r="R3524" s="2"/>
      <c r="S3524" s="2"/>
      <c r="T3524" s="2"/>
      <c r="U3524" s="2"/>
      <c r="V3524" s="2"/>
      <c r="W3524" s="2"/>
      <c r="X3524" s="2"/>
      <c r="Y3524" s="2"/>
      <c r="Z3524" s="2"/>
      <c r="AA3524" s="2"/>
      <c r="AB3524" s="2"/>
      <c r="AC3524" s="2"/>
      <c r="AD3524" s="2"/>
      <c r="AE3524" s="2"/>
      <c r="AF3524" s="2"/>
      <c r="AG3524" s="2"/>
      <c r="AH3524" s="2"/>
      <c r="AI3524" s="2"/>
      <c r="AJ3524" s="2"/>
      <c r="AK3524" s="2"/>
      <c r="AL3524" s="2"/>
      <c r="AM3524" s="2"/>
      <c r="AN3524" s="2"/>
      <c r="AO3524" s="2"/>
      <c r="AP3524" s="2"/>
      <c r="AQ3524" s="2"/>
      <c r="AR3524" s="2"/>
      <c r="AS3524" s="2"/>
      <c r="AT3524" s="2"/>
      <c r="AU3524" s="2"/>
      <c r="AV3524" s="2"/>
      <c r="AW3524" s="2"/>
      <c r="AX3524" s="2"/>
      <c r="AY3524" s="2"/>
      <c r="AZ3524" s="2"/>
      <c r="BA3524" s="2"/>
      <c r="BB3524" s="2"/>
    </row>
    <row r="3525" ht="204.75" customHeight="1">
      <c r="A3525" s="1">
        <v>1183.0</v>
      </c>
      <c r="B3525" s="2" t="s">
        <v>10581</v>
      </c>
      <c r="C3525" s="2">
        <f>IFERROR(__xludf.DUMMYFUNCTION("split(B3525,""_"")"),1707.0)</f>
        <v>1707</v>
      </c>
      <c r="D3525" s="2" t="str">
        <f>IFERROR(__xludf.DUMMYFUNCTION("""COMPUTED_VALUE"""),"NTV")</f>
        <v>NTV</v>
      </c>
      <c r="E3525" s="2" t="str">
        <f>IFERROR(__xludf.DUMMYFUNCTION("""COMPUTED_VALUE"""),"日22")</f>
        <v>日22</v>
      </c>
      <c r="F3525" s="2" t="s">
        <v>10582</v>
      </c>
      <c r="G3525" s="2" t="s">
        <v>10595</v>
      </c>
      <c r="H3525" s="1">
        <v>5.0</v>
      </c>
      <c r="I3525" s="1" t="s">
        <v>2884</v>
      </c>
      <c r="J3525" s="1" t="s">
        <v>82</v>
      </c>
      <c r="K3525" s="2" t="s">
        <v>10596</v>
      </c>
      <c r="L3525" s="11" t="s">
        <v>10597</v>
      </c>
      <c r="M3525" s="2" t="str">
        <f>IFERROR(__xludf.DUMMYFUNCTION("split(split(K3525,""【"",false),""、鈴木保奈美"",false)"),"福士蒼汰、川口春奈、鈴木浩介、賀来賢人、白洲迅、柄本時生、吉川愛、矢柴俊博、佐伯大地/山本未來、堀部圭亮/岡江久美子、遠藤憲一")</f>
        <v>福士蒼汰、川口春奈、鈴木浩介、賀来賢人、白洲迅、柄本時生、吉川愛、矢柴俊博、佐伯大地/山本未來、堀部圭亮/岡江久美子、遠藤憲一</v>
      </c>
      <c r="N3525" s="2" t="str">
        <f>IFERROR(__xludf.DUMMYFUNCTION("""COMPUTED_VALUE"""),"父を殺した凶器のトロフィーが爽(川口春奈)に送り付けられたと知った黎(福士蒼汰)は、激しく動揺。送り主の名は、父だった…!?何者かによる揺さぶりは続き、苦悩を深める黎だが、立花(遠藤憲一)と話すうち、爽への想いを再認識し、立花に結婚を許してくれるよう頭を下げる。彼女を喜ばせようと、婚約指輪をサプライズでプレゼントしようとする黎だったが、下見に行ったチャペルで、さらなる悲劇が襲い掛かる…!")</f>
        <v>父を殺した凶器のトロフィーが爽(川口春奈)に送り付けられたと知った黎(福士蒼汰)は、激しく動揺。送り主の名は、父だった…!?何者かによる揺さぶりは続き、苦悩を深める黎だが、立花(遠藤憲一)と話すうち、爽への想いを再認識し、立花に結婚を許してくれるよう頭を下げる。彼女を喜ばせようと、婚約指輪をサプライズでプレゼントしようとする黎だったが、下見に行ったチャペルで、さらなる悲劇が襲い掛かる…!</v>
      </c>
      <c r="O3525" s="2"/>
      <c r="P3525" s="2"/>
      <c r="Q3525" s="2"/>
      <c r="R3525" s="2"/>
      <c r="S3525" s="2"/>
      <c r="T3525" s="2"/>
      <c r="U3525" s="2"/>
      <c r="V3525" s="2"/>
      <c r="W3525" s="2"/>
      <c r="X3525" s="2"/>
      <c r="Y3525" s="2"/>
      <c r="Z3525" s="2"/>
      <c r="AA3525" s="2"/>
      <c r="AB3525" s="2"/>
      <c r="AC3525" s="2"/>
      <c r="AD3525" s="2"/>
      <c r="AE3525" s="2"/>
      <c r="AF3525" s="2"/>
      <c r="AG3525" s="2"/>
      <c r="AH3525" s="2"/>
      <c r="AI3525" s="2"/>
      <c r="AJ3525" s="2"/>
      <c r="AK3525" s="2"/>
      <c r="AL3525" s="2"/>
      <c r="AM3525" s="2"/>
      <c r="AN3525" s="2"/>
      <c r="AO3525" s="2"/>
      <c r="AP3525" s="2"/>
      <c r="AQ3525" s="2"/>
      <c r="AR3525" s="2"/>
      <c r="AS3525" s="2"/>
      <c r="AT3525" s="2"/>
      <c r="AU3525" s="2"/>
      <c r="AV3525" s="2"/>
      <c r="AW3525" s="2"/>
      <c r="AX3525" s="2"/>
      <c r="AY3525" s="2"/>
      <c r="AZ3525" s="2"/>
      <c r="BA3525" s="2"/>
      <c r="BB3525" s="2"/>
    </row>
    <row r="3526" ht="204.75" customHeight="1">
      <c r="A3526" s="1">
        <v>1184.0</v>
      </c>
      <c r="B3526" s="2" t="s">
        <v>10581</v>
      </c>
      <c r="C3526" s="2">
        <f>IFERROR(__xludf.DUMMYFUNCTION("split(B3526,""_"")"),1707.0)</f>
        <v>1707</v>
      </c>
      <c r="D3526" s="2" t="str">
        <f>IFERROR(__xludf.DUMMYFUNCTION("""COMPUTED_VALUE"""),"NTV")</f>
        <v>NTV</v>
      </c>
      <c r="E3526" s="2" t="str">
        <f>IFERROR(__xludf.DUMMYFUNCTION("""COMPUTED_VALUE"""),"日22")</f>
        <v>日22</v>
      </c>
      <c r="F3526" s="2" t="s">
        <v>10582</v>
      </c>
      <c r="G3526" s="2" t="s">
        <v>10598</v>
      </c>
      <c r="H3526" s="1">
        <v>6.0</v>
      </c>
      <c r="I3526" s="1" t="s">
        <v>2888</v>
      </c>
      <c r="J3526" s="1" t="s">
        <v>82</v>
      </c>
      <c r="K3526" s="2" t="s">
        <v>10599</v>
      </c>
      <c r="L3526" s="11" t="s">
        <v>10600</v>
      </c>
      <c r="M3526" s="2" t="str">
        <f>IFERROR(__xludf.DUMMYFUNCTION("split(split(K3526,""【"",false),""、鈴木保奈美"",false)"),"福士蒼汰、川口春奈、鈴木浩介、賀来賢人、白洲迅、柄本時生、吉川愛、矢柴俊博、佐伯大地/山本未來、堀部圭亮/岡江久美子、遠藤憲一")</f>
        <v>福士蒼汰、川口春奈、鈴木浩介、賀来賢人、白洲迅、柄本時生、吉川愛、矢柴俊博、佐伯大地/山本未來、堀部圭亮/岡江久美子、遠藤憲一</v>
      </c>
      <c r="N3526" s="2" t="str">
        <f>IFERROR(__xludf.DUMMYFUNCTION("""COMPUTED_VALUE"""),"黎(福士蒼汰)が爽(川口春奈)に渡そうとした婚約指輪は、なぜか埋めたはずの奥森(堀部圭亮)の結婚指輪にすり替わっていた…!そんな中、黎と晶子(鈴木保奈美)は警察に呼び出され、「車が崖から落ちた」と通報した人物の声を聞く。しかし、その声に聞き覚えはなく…。何者かによる不気味な揺さぶりは止まらない。自分が爽や晶子を守らなければならないと決意する黎だったが、ついに怒りが爆発…!")</f>
        <v>黎(福士蒼汰)が爽(川口春奈)に渡そうとした婚約指輪は、なぜか埋めたはずの奥森(堀部圭亮)の結婚指輪にすり替わっていた…!そんな中、黎と晶子(鈴木保奈美)は警察に呼び出され、「車が崖から落ちた」と通報した人物の声を聞く。しかし、その声に聞き覚えはなく…。何者かによる不気味な揺さぶりは止まらない。自分が爽や晶子を守らなければならないと決意する黎だったが、ついに怒りが爆発…!</v>
      </c>
      <c r="O3526" s="2"/>
      <c r="P3526" s="2"/>
      <c r="Q3526" s="2"/>
      <c r="R3526" s="2"/>
      <c r="S3526" s="2"/>
      <c r="T3526" s="2"/>
      <c r="U3526" s="2"/>
      <c r="V3526" s="2"/>
      <c r="W3526" s="2"/>
      <c r="X3526" s="2"/>
      <c r="Y3526" s="2"/>
      <c r="Z3526" s="2"/>
      <c r="AA3526" s="2"/>
      <c r="AB3526" s="2"/>
      <c r="AC3526" s="2"/>
      <c r="AD3526" s="2"/>
      <c r="AE3526" s="2"/>
      <c r="AF3526" s="2"/>
      <c r="AG3526" s="2"/>
      <c r="AH3526" s="2"/>
      <c r="AI3526" s="2"/>
      <c r="AJ3526" s="2"/>
      <c r="AK3526" s="2"/>
      <c r="AL3526" s="2"/>
      <c r="AM3526" s="2"/>
      <c r="AN3526" s="2"/>
      <c r="AO3526" s="2"/>
      <c r="AP3526" s="2"/>
      <c r="AQ3526" s="2"/>
      <c r="AR3526" s="2"/>
      <c r="AS3526" s="2"/>
      <c r="AT3526" s="2"/>
      <c r="AU3526" s="2"/>
      <c r="AV3526" s="2"/>
      <c r="AW3526" s="2"/>
      <c r="AX3526" s="2"/>
      <c r="AY3526" s="2"/>
      <c r="AZ3526" s="2"/>
      <c r="BA3526" s="2"/>
      <c r="BB3526" s="2"/>
    </row>
    <row r="3527" ht="204.75" customHeight="1">
      <c r="A3527" s="1">
        <v>1185.0</v>
      </c>
      <c r="B3527" s="2" t="s">
        <v>10581</v>
      </c>
      <c r="C3527" s="2">
        <f>IFERROR(__xludf.DUMMYFUNCTION("split(B3527,""_"")"),1707.0)</f>
        <v>1707</v>
      </c>
      <c r="D3527" s="2" t="str">
        <f>IFERROR(__xludf.DUMMYFUNCTION("""COMPUTED_VALUE"""),"NTV")</f>
        <v>NTV</v>
      </c>
      <c r="E3527" s="2" t="str">
        <f>IFERROR(__xludf.DUMMYFUNCTION("""COMPUTED_VALUE"""),"日22")</f>
        <v>日22</v>
      </c>
      <c r="F3527" s="2" t="s">
        <v>10582</v>
      </c>
      <c r="G3527" s="2" t="s">
        <v>10601</v>
      </c>
      <c r="H3527" s="1">
        <v>7.0</v>
      </c>
      <c r="I3527" s="1" t="s">
        <v>2892</v>
      </c>
      <c r="J3527" s="1" t="s">
        <v>82</v>
      </c>
      <c r="K3527" s="2" t="s">
        <v>10602</v>
      </c>
      <c r="L3527" s="11" t="s">
        <v>10603</v>
      </c>
      <c r="M3527" s="2" t="str">
        <f>IFERROR(__xludf.DUMMYFUNCTION("split(split(K3527,""【"",false),""、鈴木保奈美"",false)"),"福士蒼汰、川口春奈、鈴木浩介、賀来賢人、白洲迅、柄本時生、吉川愛、矢柴俊博、佐伯大地/山本未來、堀部圭亮/岡江久美子、遠藤憲一")</f>
        <v>福士蒼汰、川口春奈、鈴木浩介、賀来賢人、白洲迅、柄本時生、吉川愛、矢柴俊博、佐伯大地/山本未來、堀部圭亮/岡江久美子、遠藤憲一</v>
      </c>
      <c r="N3527" s="2" t="str">
        <f>IFERROR(__xludf.DUMMYFUNCTION("""COMPUTED_VALUE"""),"風見(鈴木浩介)と顔を合わせた爽(川口春奈)は、ショックで倒れてしまう。黎(福士蒼汰)は爽から、10年前、何者かに襲われた過去を打ち明けられる。爽は犯人が風見だったというが、信じられない黎。そんな中、黎のもとに不気味な写真が舞い込む。虎太郎(白洲迅)に疑いを持ち、尾行すると、果凛(吉川愛)と会っていて…黎を脅かしてきたのは、この2人なのか!?そして、爽の事件と風見の過去に隠された真相とは…!?")</f>
        <v>風見(鈴木浩介)と顔を合わせた爽(川口春奈)は、ショックで倒れてしまう。黎(福士蒼汰)は爽から、10年前、何者かに襲われた過去を打ち明けられる。爽は犯人が風見だったというが、信じられない黎。そんな中、黎のもとに不気味な写真が舞い込む。虎太郎(白洲迅)に疑いを持ち、尾行すると、果凛(吉川愛)と会っていて…黎を脅かしてきたのは、この2人なのか!?そして、爽の事件と風見の過去に隠された真相とは…!?</v>
      </c>
      <c r="O3527" s="2"/>
      <c r="P3527" s="2"/>
      <c r="Q3527" s="2"/>
      <c r="R3527" s="2"/>
      <c r="S3527" s="2"/>
      <c r="T3527" s="2"/>
      <c r="U3527" s="2"/>
      <c r="V3527" s="2"/>
      <c r="W3527" s="2"/>
      <c r="X3527" s="2"/>
      <c r="Y3527" s="2"/>
      <c r="Z3527" s="2"/>
      <c r="AA3527" s="2"/>
      <c r="AB3527" s="2"/>
      <c r="AC3527" s="2"/>
      <c r="AD3527" s="2"/>
      <c r="AE3527" s="2"/>
      <c r="AF3527" s="2"/>
      <c r="AG3527" s="2"/>
      <c r="AH3527" s="2"/>
      <c r="AI3527" s="2"/>
      <c r="AJ3527" s="2"/>
      <c r="AK3527" s="2"/>
      <c r="AL3527" s="2"/>
      <c r="AM3527" s="2"/>
      <c r="AN3527" s="2"/>
      <c r="AO3527" s="2"/>
      <c r="AP3527" s="2"/>
      <c r="AQ3527" s="2"/>
      <c r="AR3527" s="2"/>
      <c r="AS3527" s="2"/>
      <c r="AT3527" s="2"/>
      <c r="AU3527" s="2"/>
      <c r="AV3527" s="2"/>
      <c r="AW3527" s="2"/>
      <c r="AX3527" s="2"/>
      <c r="AY3527" s="2"/>
      <c r="AZ3527" s="2"/>
      <c r="BA3527" s="2"/>
      <c r="BB3527" s="2"/>
    </row>
    <row r="3528" ht="204.75" customHeight="1">
      <c r="A3528" s="1">
        <v>1186.0</v>
      </c>
      <c r="B3528" s="2" t="s">
        <v>10581</v>
      </c>
      <c r="C3528" s="2">
        <f>IFERROR(__xludf.DUMMYFUNCTION("split(B3528,""_"")"),1707.0)</f>
        <v>1707</v>
      </c>
      <c r="D3528" s="2" t="str">
        <f>IFERROR(__xludf.DUMMYFUNCTION("""COMPUTED_VALUE"""),"NTV")</f>
        <v>NTV</v>
      </c>
      <c r="E3528" s="2" t="str">
        <f>IFERROR(__xludf.DUMMYFUNCTION("""COMPUTED_VALUE"""),"日22")</f>
        <v>日22</v>
      </c>
      <c r="F3528" s="2" t="s">
        <v>10582</v>
      </c>
      <c r="G3528" s="2" t="s">
        <v>10604</v>
      </c>
      <c r="H3528" s="1">
        <v>8.0</v>
      </c>
      <c r="I3528" s="1" t="s">
        <v>2896</v>
      </c>
      <c r="J3528" s="1" t="s">
        <v>82</v>
      </c>
      <c r="K3528" s="2" t="s">
        <v>10605</v>
      </c>
      <c r="L3528" s="11" t="s">
        <v>10606</v>
      </c>
      <c r="M3528" s="2" t="str">
        <f>IFERROR(__xludf.DUMMYFUNCTION("split(split(K3528,""【"",false),""、鈴木保奈美"",false)"),"福士蒼汰、川口春奈、鈴木浩介、賀来賢人、白洲迅、柄本時生、吉川愛、矢柴俊博、佐伯大地/山本未來、堀部圭亮/岡江久美子、遠藤憲一")</f>
        <v>福士蒼汰、川口春奈、鈴木浩介、賀来賢人、白洲迅、柄本時生、吉川愛、矢柴俊博、佐伯大地/山本未來、堀部圭亮/岡江久美子、遠藤憲一</v>
      </c>
      <c r="N3528" s="2" t="str">
        <f>IFERROR(__xludf.DUMMYFUNCTION("""COMPUTED_VALUE"""),"黎(福士蒼汰)は風見(鈴木浩介)の部屋で、父(堀部圭亮)の遺骨、指輪と血痕の付いたトロフィーが入った箱を見つけた。風見は、10年前に爽(川口春奈)を誘拐した事件で自首すると言ったきり、姿を消してしまい、警察は風見を奥森殺害の容疑者と断定し、彼の行方を追う。晶子(鈴木保奈美)は、今までの脅迫の黒幕は風見だと言い、殺害の罪をも着せてしまおうと考えるが、黎は、爽にすべてを告白してから自首すると決意する。")</f>
        <v>黎(福士蒼汰)は風見(鈴木浩介)の部屋で、父(堀部圭亮)の遺骨、指輪と血痕の付いたトロフィーが入った箱を見つけた。風見は、10年前に爽(川口春奈)を誘拐した事件で自首すると言ったきり、姿を消してしまい、警察は風見を奥森殺害の容疑者と断定し、彼の行方を追う。晶子(鈴木保奈美)は、今までの脅迫の黒幕は風見だと言い、殺害の罪をも着せてしまおうと考えるが、黎は、爽にすべてを告白してから自首すると決意する。</v>
      </c>
      <c r="O3528" s="2"/>
      <c r="P3528" s="2"/>
      <c r="Q3528" s="2"/>
      <c r="R3528" s="2"/>
      <c r="S3528" s="2"/>
      <c r="T3528" s="2"/>
      <c r="U3528" s="2"/>
      <c r="V3528" s="2"/>
      <c r="W3528" s="2"/>
      <c r="X3528" s="2"/>
      <c r="Y3528" s="2"/>
      <c r="Z3528" s="2"/>
      <c r="AA3528" s="2"/>
      <c r="AB3528" s="2"/>
      <c r="AC3528" s="2"/>
      <c r="AD3528" s="2"/>
      <c r="AE3528" s="2"/>
      <c r="AF3528" s="2"/>
      <c r="AG3528" s="2"/>
      <c r="AH3528" s="2"/>
      <c r="AI3528" s="2"/>
      <c r="AJ3528" s="2"/>
      <c r="AK3528" s="2"/>
      <c r="AL3528" s="2"/>
      <c r="AM3528" s="2"/>
      <c r="AN3528" s="2"/>
      <c r="AO3528" s="2"/>
      <c r="AP3528" s="2"/>
      <c r="AQ3528" s="2"/>
      <c r="AR3528" s="2"/>
      <c r="AS3528" s="2"/>
      <c r="AT3528" s="2"/>
      <c r="AU3528" s="2"/>
      <c r="AV3528" s="2"/>
      <c r="AW3528" s="2"/>
      <c r="AX3528" s="2"/>
      <c r="AY3528" s="2"/>
      <c r="AZ3528" s="2"/>
      <c r="BA3528" s="2"/>
      <c r="BB3528" s="2"/>
    </row>
    <row r="3529" ht="204.75" customHeight="1">
      <c r="A3529" s="1">
        <v>1187.0</v>
      </c>
      <c r="B3529" s="2" t="s">
        <v>10581</v>
      </c>
      <c r="C3529" s="2">
        <f>IFERROR(__xludf.DUMMYFUNCTION("split(B3529,""_"")"),1707.0)</f>
        <v>1707</v>
      </c>
      <c r="D3529" s="2" t="str">
        <f>IFERROR(__xludf.DUMMYFUNCTION("""COMPUTED_VALUE"""),"NTV")</f>
        <v>NTV</v>
      </c>
      <c r="E3529" s="2" t="str">
        <f>IFERROR(__xludf.DUMMYFUNCTION("""COMPUTED_VALUE"""),"日22")</f>
        <v>日22</v>
      </c>
      <c r="F3529" s="2" t="s">
        <v>10582</v>
      </c>
      <c r="G3529" s="2" t="s">
        <v>10607</v>
      </c>
      <c r="H3529" s="1">
        <v>9.0</v>
      </c>
      <c r="I3529" s="1" t="s">
        <v>2900</v>
      </c>
      <c r="J3529" s="1" t="s">
        <v>82</v>
      </c>
      <c r="K3529" s="2" t="s">
        <v>10608</v>
      </c>
      <c r="L3529" s="11" t="s">
        <v>10609</v>
      </c>
      <c r="M3529" s="2" t="str">
        <f>IFERROR(__xludf.DUMMYFUNCTION("split(split(K3529,""【"",false),""、鈴木保奈美"",false)"),"福士蒼汰、川口春奈、鈴木浩介、賀来賢人、白洲迅、柄本時生、吉川愛、矢柴俊博、佐伯大地／山本未來、堀部圭亮／岡江久美子、遠藤憲一")</f>
        <v>福士蒼汰、川口春奈、鈴木浩介、賀来賢人、白洲迅、柄本時生、吉川愛、矢柴俊博、佐伯大地／山本未來、堀部圭亮／岡江久美子、遠藤憲一</v>
      </c>
      <c r="N3529" s="2" t="str">
        <f>IFERROR(__xludf.DUMMYFUNCTION("""COMPUTED_VALUE"""),"晶子（鈴木保奈美）が、11年前に奥森(堀部圭亮)を殺したのは自分だと自首した。黎は葛藤しながらも、警察の事情聴取では晶子に合わせて嘘をつく。晶子は逮捕され、黎は爽（川口春奈）に別れを告げる。そんな折、法律事務所に出勤した爽は、見覚えのない封筒を見つける。中には、奥森が遺した日記のコピーが入っていた。それを読んで衝撃的な事実を知る爽。彼女は、日記に書かれていたことを立花（遠藤憲一）に突きつける。")</f>
        <v>晶子（鈴木保奈美）が、11年前に奥森(堀部圭亮)を殺したのは自分だと自首した。黎は葛藤しながらも、警察の事情聴取では晶子に合わせて嘘をつく。晶子は逮捕され、黎は爽（川口春奈）に別れを告げる。そんな折、法律事務所に出勤した爽は、見覚えのない封筒を見つける。中には、奥森が遺した日記のコピーが入っていた。それを読んで衝撃的な事実を知る爽。彼女は、日記に書かれていたことを立花（遠藤憲一）に突きつける。</v>
      </c>
      <c r="O3529" s="2"/>
      <c r="P3529" s="2"/>
      <c r="Q3529" s="2"/>
      <c r="R3529" s="2"/>
      <c r="S3529" s="2"/>
      <c r="T3529" s="2"/>
      <c r="U3529" s="2"/>
      <c r="V3529" s="2"/>
      <c r="W3529" s="2"/>
      <c r="X3529" s="2"/>
      <c r="Y3529" s="2"/>
      <c r="Z3529" s="2"/>
      <c r="AA3529" s="2"/>
      <c r="AB3529" s="2"/>
      <c r="AC3529" s="2"/>
      <c r="AD3529" s="2"/>
      <c r="AE3529" s="2"/>
      <c r="AF3529" s="2"/>
      <c r="AG3529" s="2"/>
      <c r="AH3529" s="2"/>
      <c r="AI3529" s="2"/>
      <c r="AJ3529" s="2"/>
      <c r="AK3529" s="2"/>
      <c r="AL3529" s="2"/>
      <c r="AM3529" s="2"/>
      <c r="AN3529" s="2"/>
      <c r="AO3529" s="2"/>
      <c r="AP3529" s="2"/>
      <c r="AQ3529" s="2"/>
      <c r="AR3529" s="2"/>
      <c r="AS3529" s="2"/>
      <c r="AT3529" s="2"/>
      <c r="AU3529" s="2"/>
      <c r="AV3529" s="2"/>
      <c r="AW3529" s="2"/>
      <c r="AX3529" s="2"/>
      <c r="AY3529" s="2"/>
      <c r="AZ3529" s="2"/>
      <c r="BA3529" s="2"/>
      <c r="BB3529" s="2"/>
    </row>
    <row r="3530" ht="204.75" customHeight="1">
      <c r="A3530" s="1">
        <v>1188.0</v>
      </c>
      <c r="B3530" s="2" t="s">
        <v>10581</v>
      </c>
      <c r="C3530" s="2">
        <f>IFERROR(__xludf.DUMMYFUNCTION("split(B3530,""_"")"),1707.0)</f>
        <v>1707</v>
      </c>
      <c r="D3530" s="2" t="str">
        <f>IFERROR(__xludf.DUMMYFUNCTION("""COMPUTED_VALUE"""),"NTV")</f>
        <v>NTV</v>
      </c>
      <c r="E3530" s="2" t="str">
        <f>IFERROR(__xludf.DUMMYFUNCTION("""COMPUTED_VALUE"""),"日22")</f>
        <v>日22</v>
      </c>
      <c r="F3530" s="2" t="s">
        <v>10582</v>
      </c>
      <c r="G3530" s="2" t="s">
        <v>10610</v>
      </c>
      <c r="H3530" s="1">
        <v>10.0</v>
      </c>
      <c r="I3530" s="1" t="s">
        <v>37</v>
      </c>
      <c r="J3530" s="1" t="s">
        <v>82</v>
      </c>
      <c r="K3530" s="2" t="s">
        <v>10611</v>
      </c>
      <c r="L3530" s="11" t="s">
        <v>10612</v>
      </c>
      <c r="M3530" s="2" t="str">
        <f>IFERROR(__xludf.DUMMYFUNCTION("split(split(K3530,""【"",false),""、鈴木保奈美"",false)"),"福士蒼汰、川口春奈、鈴木浩介、賀来賢人、白洲迅、柄本時生、吉川愛、矢柴俊博、佐伯大地／山本未來、堀部圭亮／岡江久美子、遠藤憲一")</f>
        <v>福士蒼汰、川口春奈、鈴木浩介、賀来賢人、白洲迅、柄本時生、吉川愛、矢柴俊博、佐伯大地／山本未來、堀部圭亮／岡江久美子、遠藤憲一</v>
      </c>
      <c r="N3530" s="2" t="str">
        <f>IFERROR(__xludf.DUMMYFUNCTION("""COMPUTED_VALUE"""),"「奥森（堀部圭亮）を殺したのは自分だ」と爽（川口春奈）に罪を告白した黎（福士蒼汰）。爽は驚きのあまり、黎を拒絶してしまう。そんな中、警察の捜査により、凶器を爽に送った女が判明！その女が、すべての黒幕だったのか…？真実を確かめるために自首を留まった黎は、ある朝、自宅のリビングで引き裂かれ散乱した奥森の日記のコピーと、見覚えのないDVDを見つける。そのDVDに映っていたのは、思いもよらない人物で…!?")</f>
        <v>「奥森（堀部圭亮）を殺したのは自分だ」と爽（川口春奈）に罪を告白した黎（福士蒼汰）。爽は驚きのあまり、黎を拒絶してしまう。そんな中、警察の捜査により、凶器を爽に送った女が判明！その女が、すべての黒幕だったのか…？真実を確かめるために自首を留まった黎は、ある朝、自宅のリビングで引き裂かれ散乱した奥森の日記のコピーと、見覚えのないDVDを見つける。そのDVDに映っていたのは、思いもよらない人物で…!?</v>
      </c>
      <c r="O3530" s="2"/>
      <c r="P3530" s="2"/>
      <c r="Q3530" s="2"/>
      <c r="R3530" s="2"/>
      <c r="S3530" s="2"/>
      <c r="T3530" s="2"/>
      <c r="U3530" s="2"/>
      <c r="V3530" s="2"/>
      <c r="W3530" s="2"/>
      <c r="X3530" s="2"/>
      <c r="Y3530" s="2"/>
      <c r="Z3530" s="2"/>
      <c r="AA3530" s="2"/>
      <c r="AB3530" s="2"/>
      <c r="AC3530" s="2"/>
      <c r="AD3530" s="2"/>
      <c r="AE3530" s="2"/>
      <c r="AF3530" s="2"/>
      <c r="AG3530" s="2"/>
      <c r="AH3530" s="2"/>
      <c r="AI3530" s="2"/>
      <c r="AJ3530" s="2"/>
      <c r="AK3530" s="2"/>
      <c r="AL3530" s="2"/>
      <c r="AM3530" s="2"/>
      <c r="AN3530" s="2"/>
      <c r="AO3530" s="2"/>
      <c r="AP3530" s="2"/>
      <c r="AQ3530" s="2"/>
      <c r="AR3530" s="2"/>
      <c r="AS3530" s="2"/>
      <c r="AT3530" s="2"/>
      <c r="AU3530" s="2"/>
      <c r="AV3530" s="2"/>
      <c r="AW3530" s="2"/>
      <c r="AX3530" s="2"/>
      <c r="AY3530" s="2"/>
      <c r="AZ3530" s="2"/>
      <c r="BA3530" s="2"/>
      <c r="BB3530" s="2"/>
    </row>
    <row r="3531" ht="204.75" customHeight="1">
      <c r="A3531" s="1">
        <v>1214.0</v>
      </c>
      <c r="B3531" s="2" t="s">
        <v>10613</v>
      </c>
      <c r="C3531" s="2">
        <f>IFERROR(__xludf.DUMMYFUNCTION("split(B3531,""_"")"),1704.0)</f>
        <v>1704</v>
      </c>
      <c r="D3531" s="2" t="str">
        <f>IFERROR(__xludf.DUMMYFUNCTION("""COMPUTED_VALUE"""),"NTV")</f>
        <v>NTV</v>
      </c>
      <c r="E3531" s="2" t="str">
        <f>IFERROR(__xludf.DUMMYFUNCTION("""COMPUTED_VALUE"""),"水22")</f>
        <v>水22</v>
      </c>
      <c r="F3531" s="2" t="s">
        <v>10614</v>
      </c>
      <c r="G3531" s="2" t="s">
        <v>10615</v>
      </c>
      <c r="H3531" s="1">
        <v>1.0</v>
      </c>
      <c r="I3531" s="1" t="s">
        <v>2868</v>
      </c>
      <c r="J3531" s="1" t="s">
        <v>82</v>
      </c>
      <c r="K3531" s="4" t="s">
        <v>10616</v>
      </c>
      <c r="L3531" s="11" t="s">
        <v>10617</v>
      </c>
      <c r="M3531" s="2" t="str">
        <f>IFERROR(__xludf.DUMMYFUNCTION("split(split(K3531,""【"",false),""、ほか"",false)"),"沢尻エリカ、藤木直人、中島裕翔、道枝駿佑(関西ジャニーズJr.)、高橋メアリージュン、藤澤遥、望月歩、浅野和之、板谷由夏、風吹ジュン、小池栄子")</f>
        <v>沢尻エリカ、藤木直人、中島裕翔、道枝駿佑(関西ジャニーズJr.)、高橋メアリージュン、藤澤遥、望月歩、浅野和之、板谷由夏、風吹ジュン、小池栄子</v>
      </c>
      <c r="N3531" s="2" t="str">
        <f>IFERROR(__xludf.DUMMYFUNCTION("""COMPUTED_VALUE"""),"北海道から上京した結衣(沢尻エリカ)は勤め先の書店で陽一(藤木直人)と出会う。やがて息子の広「コウ」を宿した事をきっかけに、2人は結婚する。陽一の母・里恵(風吹ジュン)にも温かく迎えられ、幸せな時間を過ごしていた。ある日、幼稚園の帰り道に息子が誘拐されてしまう。時を同じくして、アパートで一人暮らしのOL・麻子(小池栄子)は、隣の部屋の様子に不審を抱き、ドアを開けて覗き込んでみると・・・。")</f>
        <v>北海道から上京した結衣(沢尻エリカ)は勤め先の書店で陽一(藤木直人)と出会う。やがて息子の広「コウ」を宿した事をきっかけに、2人は結婚する。陽一の母・里恵(風吹ジュン)にも温かく迎えられ、幸せな時間を過ごしていた。ある日、幼稚園の帰り道に息子が誘拐されてしまう。時を同じくして、アパートで一人暮らしのOL・麻子(小池栄子)は、隣の部屋の様子に不審を抱き、ドアを開けて覗き込んでみると・・・。</v>
      </c>
      <c r="O3531" s="2"/>
      <c r="P3531" s="2"/>
      <c r="Q3531" s="2"/>
      <c r="R3531" s="2"/>
      <c r="S3531" s="2"/>
      <c r="T3531" s="2"/>
      <c r="U3531" s="2"/>
      <c r="V3531" s="2"/>
      <c r="W3531" s="2"/>
      <c r="X3531" s="2"/>
      <c r="Y3531" s="2"/>
      <c r="Z3531" s="2"/>
      <c r="AA3531" s="2"/>
      <c r="AB3531" s="2"/>
      <c r="AC3531" s="2"/>
      <c r="AD3531" s="2"/>
      <c r="AE3531" s="2"/>
      <c r="AF3531" s="2"/>
      <c r="AG3531" s="2"/>
      <c r="AH3531" s="2"/>
      <c r="AI3531" s="2"/>
      <c r="AJ3531" s="2"/>
      <c r="AK3531" s="2"/>
      <c r="AL3531" s="2"/>
      <c r="AM3531" s="2"/>
      <c r="AN3531" s="2"/>
      <c r="AO3531" s="2"/>
      <c r="AP3531" s="2"/>
      <c r="AQ3531" s="2"/>
      <c r="AR3531" s="2"/>
      <c r="AS3531" s="2"/>
      <c r="AT3531" s="2"/>
      <c r="AU3531" s="2"/>
      <c r="AV3531" s="2"/>
      <c r="AW3531" s="2"/>
      <c r="AX3531" s="2"/>
      <c r="AY3531" s="2"/>
      <c r="AZ3531" s="2"/>
      <c r="BA3531" s="2"/>
      <c r="BB3531" s="2"/>
    </row>
    <row r="3532" ht="204.75" customHeight="1">
      <c r="A3532" s="1">
        <v>1215.0</v>
      </c>
      <c r="B3532" s="2" t="s">
        <v>10613</v>
      </c>
      <c r="C3532" s="2">
        <f>IFERROR(__xludf.DUMMYFUNCTION("split(B3532,""_"")"),1704.0)</f>
        <v>1704</v>
      </c>
      <c r="D3532" s="2" t="str">
        <f>IFERROR(__xludf.DUMMYFUNCTION("""COMPUTED_VALUE"""),"NTV")</f>
        <v>NTV</v>
      </c>
      <c r="E3532" s="2" t="str">
        <f>IFERROR(__xludf.DUMMYFUNCTION("""COMPUTED_VALUE"""),"水22")</f>
        <v>水22</v>
      </c>
      <c r="F3532" s="2" t="s">
        <v>10614</v>
      </c>
      <c r="G3532" s="2" t="s">
        <v>10618</v>
      </c>
      <c r="H3532" s="1">
        <v>2.0</v>
      </c>
      <c r="I3532" s="1" t="s">
        <v>2872</v>
      </c>
      <c r="J3532" s="1" t="s">
        <v>82</v>
      </c>
      <c r="K3532" s="2" t="s">
        <v>10619</v>
      </c>
      <c r="L3532" s="11" t="s">
        <v>10620</v>
      </c>
      <c r="M3532" s="2" t="str">
        <f>IFERROR(__xludf.DUMMYFUNCTION("split(split(K3532,""【"",false),""、ほか"",false)"),"沢尻エリカ、藤木直人、中島裕翔、道枝駿佑(関西ジャニーズJr.)、高橋メアリージュン、藤澤遥、望月歩、浅野和之、板谷由夏、風吹ジュン、小池栄子")</f>
        <v>沢尻エリカ、藤木直人、中島裕翔、道枝駿佑(関西ジャニーズJr.)、高橋メアリージュン、藤澤遥、望月歩、浅野和之、板谷由夏、風吹ジュン、小池栄子</v>
      </c>
      <c r="N3532" s="2" t="str">
        <f>IFERROR(__xludf.DUMMYFUNCTION("""COMPUTED_VALUE"""),"9年前に誘拐された息子が生きていた。離婚して一人で暮らしていた結衣の生活に明るい光を与える。一方の陽一は引きこもり同然の生活を送っていた。そこへ広の過去を調べている児童福祉司の木野愁平がやってくる。広が養護施設にいる事を知らせにきたのだ。そして広が持っている手紙の存在を打ち明ける。そこには衝撃の事実が隠されていたのであった・・・。")</f>
        <v>9年前に誘拐された息子が生きていた。離婚して一人で暮らしていた結衣の生活に明るい光を与える。一方の陽一は引きこもり同然の生活を送っていた。そこへ広の過去を調べている児童福祉司の木野愁平がやってくる。広が養護施設にいる事を知らせにきたのだ。そして広が持っている手紙の存在を打ち明ける。そこには衝撃の事実が隠されていたのであった・・・。</v>
      </c>
      <c r="O3532" s="2"/>
      <c r="P3532" s="2"/>
      <c r="Q3532" s="2"/>
      <c r="R3532" s="2"/>
      <c r="S3532" s="2"/>
      <c r="T3532" s="2"/>
      <c r="U3532" s="2"/>
      <c r="V3532" s="2"/>
      <c r="W3532" s="2"/>
      <c r="X3532" s="2"/>
      <c r="Y3532" s="2"/>
      <c r="Z3532" s="2"/>
      <c r="AA3532" s="2"/>
      <c r="AB3532" s="2"/>
      <c r="AC3532" s="2"/>
      <c r="AD3532" s="2"/>
      <c r="AE3532" s="2"/>
      <c r="AF3532" s="2"/>
      <c r="AG3532" s="2"/>
      <c r="AH3532" s="2"/>
      <c r="AI3532" s="2"/>
      <c r="AJ3532" s="2"/>
      <c r="AK3532" s="2"/>
      <c r="AL3532" s="2"/>
      <c r="AM3532" s="2"/>
      <c r="AN3532" s="2"/>
      <c r="AO3532" s="2"/>
      <c r="AP3532" s="2"/>
      <c r="AQ3532" s="2"/>
      <c r="AR3532" s="2"/>
      <c r="AS3532" s="2"/>
      <c r="AT3532" s="2"/>
      <c r="AU3532" s="2"/>
      <c r="AV3532" s="2"/>
      <c r="AW3532" s="2"/>
      <c r="AX3532" s="2"/>
      <c r="AY3532" s="2"/>
      <c r="AZ3532" s="2"/>
      <c r="BA3532" s="2"/>
      <c r="BB3532" s="2"/>
    </row>
    <row r="3533" ht="204.75" customHeight="1">
      <c r="A3533" s="1">
        <v>1216.0</v>
      </c>
      <c r="B3533" s="2" t="s">
        <v>10613</v>
      </c>
      <c r="C3533" s="2">
        <f>IFERROR(__xludf.DUMMYFUNCTION("split(B3533,""_"")"),1704.0)</f>
        <v>1704</v>
      </c>
      <c r="D3533" s="2" t="str">
        <f>IFERROR(__xludf.DUMMYFUNCTION("""COMPUTED_VALUE"""),"NTV")</f>
        <v>NTV</v>
      </c>
      <c r="E3533" s="2" t="str">
        <f>IFERROR(__xludf.DUMMYFUNCTION("""COMPUTED_VALUE"""),"水22")</f>
        <v>水22</v>
      </c>
      <c r="F3533" s="2" t="s">
        <v>10614</v>
      </c>
      <c r="G3533" s="2" t="s">
        <v>10621</v>
      </c>
      <c r="H3533" s="1">
        <v>3.0</v>
      </c>
      <c r="I3533" s="1" t="s">
        <v>2876</v>
      </c>
      <c r="J3533" s="1" t="s">
        <v>82</v>
      </c>
      <c r="K3533" s="2" t="s">
        <v>10622</v>
      </c>
      <c r="L3533" s="11" t="s">
        <v>10623</v>
      </c>
      <c r="M3533" s="2" t="str">
        <f>IFERROR(__xludf.DUMMYFUNCTION("split(split(K3533,""【"",false),""、ほか"",false)"),"沢尻エリカ、藤木直人、中島裕翔、道枝駿佑(関西ジャニーズJr.)、高橋メアリージュン、藤澤遥、望月歩、浅野和之、板谷由夏、風吹ジュン、小池栄子")</f>
        <v>沢尻エリカ、藤木直人、中島裕翔、道枝駿佑(関西ジャニーズJr.)、高橋メアリージュン、藤澤遥、望月歩、浅野和之、板谷由夏、風吹ジュン、小池栄子</v>
      </c>
      <c r="N3533" s="2" t="str">
        <f>IFERROR(__xludf.DUMMYFUNCTION("""COMPUTED_VALUE"""),"広と一緒に暮らす事に決めた結衣と陽一。柏崎オートで広の誕生日会が開かれ、すぐに皆と打ち解ける広の様子に里恵と莉沙子も安心する。里恵の勧めで親子3人で一緒に暮らすため、柏崎オートに引っ越して来た結衣は、陽一との距離感に戸惑いながらも、新しい生活が始まる。そんな中、広は誕生日プレゼントに貰った携帯電話でこっそり麻子に連絡を取っていた。麻子は広に「逢いに行く…」と告げ…")</f>
        <v>広と一緒に暮らす事に決めた結衣と陽一。柏崎オートで広の誕生日会が開かれ、すぐに皆と打ち解ける広の様子に里恵と莉沙子も安心する。里恵の勧めで親子3人で一緒に暮らすため、柏崎オートに引っ越して来た結衣は、陽一との距離感に戸惑いながらも、新しい生活が始まる。そんな中、広は誕生日プレゼントに貰った携帯電話でこっそり麻子に連絡を取っていた。麻子は広に「逢いに行く…」と告げ…</v>
      </c>
      <c r="O3533" s="2"/>
      <c r="P3533" s="2"/>
      <c r="Q3533" s="2"/>
      <c r="R3533" s="2"/>
      <c r="S3533" s="2"/>
      <c r="T3533" s="2"/>
      <c r="U3533" s="2"/>
      <c r="V3533" s="2"/>
      <c r="W3533" s="2"/>
      <c r="X3533" s="2"/>
      <c r="Y3533" s="2"/>
      <c r="Z3533" s="2"/>
      <c r="AA3533" s="2"/>
      <c r="AB3533" s="2"/>
      <c r="AC3533" s="2"/>
      <c r="AD3533" s="2"/>
      <c r="AE3533" s="2"/>
      <c r="AF3533" s="2"/>
      <c r="AG3533" s="2"/>
      <c r="AH3533" s="2"/>
      <c r="AI3533" s="2"/>
      <c r="AJ3533" s="2"/>
      <c r="AK3533" s="2"/>
      <c r="AL3533" s="2"/>
      <c r="AM3533" s="2"/>
      <c r="AN3533" s="2"/>
      <c r="AO3533" s="2"/>
      <c r="AP3533" s="2"/>
      <c r="AQ3533" s="2"/>
      <c r="AR3533" s="2"/>
      <c r="AS3533" s="2"/>
      <c r="AT3533" s="2"/>
      <c r="AU3533" s="2"/>
      <c r="AV3533" s="2"/>
      <c r="AW3533" s="2"/>
      <c r="AX3533" s="2"/>
      <c r="AY3533" s="2"/>
      <c r="AZ3533" s="2"/>
      <c r="BA3533" s="2"/>
      <c r="BB3533" s="2"/>
    </row>
    <row r="3534" ht="204.75" customHeight="1">
      <c r="A3534" s="1">
        <v>1217.0</v>
      </c>
      <c r="B3534" s="2" t="s">
        <v>10613</v>
      </c>
      <c r="C3534" s="2">
        <f>IFERROR(__xludf.DUMMYFUNCTION("split(B3534,""_"")"),1704.0)</f>
        <v>1704</v>
      </c>
      <c r="D3534" s="2" t="str">
        <f>IFERROR(__xludf.DUMMYFUNCTION("""COMPUTED_VALUE"""),"NTV")</f>
        <v>NTV</v>
      </c>
      <c r="E3534" s="2" t="str">
        <f>IFERROR(__xludf.DUMMYFUNCTION("""COMPUTED_VALUE"""),"水22")</f>
        <v>水22</v>
      </c>
      <c r="F3534" s="2" t="s">
        <v>10614</v>
      </c>
      <c r="G3534" s="2" t="s">
        <v>10624</v>
      </c>
      <c r="H3534" s="1">
        <v>4.0</v>
      </c>
      <c r="I3534" s="1" t="s">
        <v>2880</v>
      </c>
      <c r="J3534" s="1" t="s">
        <v>82</v>
      </c>
      <c r="K3534" s="2" t="s">
        <v>10625</v>
      </c>
      <c r="L3534" s="11" t="s">
        <v>10626</v>
      </c>
      <c r="M3534" s="2" t="str">
        <f>IFERROR(__xludf.DUMMYFUNCTION("split(split(K3534,""【"",false),""、ほか"",false)"),"沢尻エリカ、藤木直人、中島裕翔、道枝駿佑(関西ジャニーズJr.)、高橋メアリージュン、藤澤遥、望月歩、浅野和之、板谷由夏、風吹ジュン、小池栄子")</f>
        <v>沢尻エリカ、藤木直人、中島裕翔、道枝駿佑(関西ジャニーズJr.)、高橋メアリージュン、藤澤遥、望月歩、浅野和之、板谷由夏、風吹ジュン、小池栄子</v>
      </c>
      <c r="N3534" s="2" t="str">
        <f>IFERROR(__xludf.DUMMYFUNCTION("""COMPUTED_VALUE"""),"麻子に再会したが、捨てられたとショックを受けた広が、結衣に対してよそよそしく振る舞うようになった。陽一や里恵には今まで通りに接する広の様子に戸惑う結衣。自分が作った弁当も、実は食べていなかったことに気づく。必死のアプローチを試みた結衣に「施設に戻りたい」と本音をぶつける広。しかし結衣は何も言い返せずにその場をやり過ごす。陽一も心配するが、結衣は一人で抱え込んでしまうのだった。")</f>
        <v>麻子に再会したが、捨てられたとショックを受けた広が、結衣に対してよそよそしく振る舞うようになった。陽一や里恵には今まで通りに接する広の様子に戸惑う結衣。自分が作った弁当も、実は食べていなかったことに気づく。必死のアプローチを試みた結衣に「施設に戻りたい」と本音をぶつける広。しかし結衣は何も言い返せずにその場をやり過ごす。陽一も心配するが、結衣は一人で抱え込んでしまうのだった。</v>
      </c>
      <c r="O3534" s="2"/>
      <c r="P3534" s="2"/>
      <c r="Q3534" s="2"/>
      <c r="R3534" s="2"/>
      <c r="S3534" s="2"/>
      <c r="T3534" s="2"/>
      <c r="U3534" s="2"/>
      <c r="V3534" s="2"/>
      <c r="W3534" s="2"/>
      <c r="X3534" s="2"/>
      <c r="Y3534" s="2"/>
      <c r="Z3534" s="2"/>
      <c r="AA3534" s="2"/>
      <c r="AB3534" s="2"/>
      <c r="AC3534" s="2"/>
      <c r="AD3534" s="2"/>
      <c r="AE3534" s="2"/>
      <c r="AF3534" s="2"/>
      <c r="AG3534" s="2"/>
      <c r="AH3534" s="2"/>
      <c r="AI3534" s="2"/>
      <c r="AJ3534" s="2"/>
      <c r="AK3534" s="2"/>
      <c r="AL3534" s="2"/>
      <c r="AM3534" s="2"/>
      <c r="AN3534" s="2"/>
      <c r="AO3534" s="2"/>
      <c r="AP3534" s="2"/>
      <c r="AQ3534" s="2"/>
      <c r="AR3534" s="2"/>
      <c r="AS3534" s="2"/>
      <c r="AT3534" s="2"/>
      <c r="AU3534" s="2"/>
      <c r="AV3534" s="2"/>
      <c r="AW3534" s="2"/>
      <c r="AX3534" s="2"/>
      <c r="AY3534" s="2"/>
      <c r="AZ3534" s="2"/>
      <c r="BA3534" s="2"/>
      <c r="BB3534" s="2"/>
    </row>
    <row r="3535" ht="204.75" customHeight="1">
      <c r="A3535" s="1">
        <v>1218.0</v>
      </c>
      <c r="B3535" s="2" t="s">
        <v>10613</v>
      </c>
      <c r="C3535" s="2">
        <f>IFERROR(__xludf.DUMMYFUNCTION("split(B3535,""_"")"),1704.0)</f>
        <v>1704</v>
      </c>
      <c r="D3535" s="2" t="str">
        <f>IFERROR(__xludf.DUMMYFUNCTION("""COMPUTED_VALUE"""),"NTV")</f>
        <v>NTV</v>
      </c>
      <c r="E3535" s="2" t="str">
        <f>IFERROR(__xludf.DUMMYFUNCTION("""COMPUTED_VALUE"""),"水22")</f>
        <v>水22</v>
      </c>
      <c r="F3535" s="2" t="s">
        <v>10614</v>
      </c>
      <c r="G3535" s="2" t="s">
        <v>10627</v>
      </c>
      <c r="H3535" s="1">
        <v>5.0</v>
      </c>
      <c r="I3535" s="1" t="s">
        <v>2884</v>
      </c>
      <c r="J3535" s="1" t="s">
        <v>82</v>
      </c>
      <c r="K3535" s="2" t="s">
        <v>10628</v>
      </c>
      <c r="L3535" s="11" t="s">
        <v>10629</v>
      </c>
      <c r="M3535" s="2" t="str">
        <f>IFERROR(__xludf.DUMMYFUNCTION("split(split(K3535,""【"",false),""、ほか"",false)"),"沢尻エリカ、藤木直人、中島裕翔、道枝駿佑(関西ジャニーズJr.)、高橋メアリージュン、藤澤遥、望月歩、浅野和之、板谷由夏、風吹ジュン、小池栄子")</f>
        <v>沢尻エリカ、藤木直人、中島裕翔、道枝駿佑(関西ジャニーズJr.)、高橋メアリージュン、藤澤遥、望月歩、浅野和之、板谷由夏、風吹ジュン、小池栄子</v>
      </c>
      <c r="N3535" s="2" t="str">
        <f>IFERROR(__xludf.DUMMYFUNCTION("""COMPUTED_VALUE"""),"広が姿を消してしまう。結衣は広が麻子の所へ行ったのではないかと不安を抱えるが、木野から今偉と一緒にネットカフェにいるのを見つけたと連絡が来る。広は行方不明になっている今偉の母親の居場所探しで結託していた。ヒントを掴んだ広達は母親に会いに行くが…。同じ頃、麻子は一緒に飲みに行った琴音と意気投合。新しい仕事を紹介して貰っていた。それが柏崎オートの仕事とは知らないまま、里恵にも紹介されて…。")</f>
        <v>広が姿を消してしまう。結衣は広が麻子の所へ行ったのではないかと不安を抱えるが、木野から今偉と一緒にネットカフェにいるのを見つけたと連絡が来る。広は行方不明になっている今偉の母親の居場所探しで結託していた。ヒントを掴んだ広達は母親に会いに行くが…。同じ頃、麻子は一緒に飲みに行った琴音と意気投合。新しい仕事を紹介して貰っていた。それが柏崎オートの仕事とは知らないまま、里恵にも紹介されて…。</v>
      </c>
      <c r="O3535" s="2"/>
      <c r="P3535" s="2"/>
      <c r="Q3535" s="2"/>
      <c r="R3535" s="2"/>
      <c r="S3535" s="2"/>
      <c r="T3535" s="2"/>
      <c r="U3535" s="2"/>
      <c r="V3535" s="2"/>
      <c r="W3535" s="2"/>
      <c r="X3535" s="2"/>
      <c r="Y3535" s="2"/>
      <c r="Z3535" s="2"/>
      <c r="AA3535" s="2"/>
      <c r="AB3535" s="2"/>
      <c r="AC3535" s="2"/>
      <c r="AD3535" s="2"/>
      <c r="AE3535" s="2"/>
      <c r="AF3535" s="2"/>
      <c r="AG3535" s="2"/>
      <c r="AH3535" s="2"/>
      <c r="AI3535" s="2"/>
      <c r="AJ3535" s="2"/>
      <c r="AK3535" s="2"/>
      <c r="AL3535" s="2"/>
      <c r="AM3535" s="2"/>
      <c r="AN3535" s="2"/>
      <c r="AO3535" s="2"/>
      <c r="AP3535" s="2"/>
      <c r="AQ3535" s="2"/>
      <c r="AR3535" s="2"/>
      <c r="AS3535" s="2"/>
      <c r="AT3535" s="2"/>
      <c r="AU3535" s="2"/>
      <c r="AV3535" s="2"/>
      <c r="AW3535" s="2"/>
      <c r="AX3535" s="2"/>
      <c r="AY3535" s="2"/>
      <c r="AZ3535" s="2"/>
      <c r="BA3535" s="2"/>
      <c r="BB3535" s="2"/>
    </row>
    <row r="3536" ht="204.75" customHeight="1">
      <c r="A3536" s="1">
        <v>1219.0</v>
      </c>
      <c r="B3536" s="2" t="s">
        <v>10613</v>
      </c>
      <c r="C3536" s="2">
        <f>IFERROR(__xludf.DUMMYFUNCTION("split(B3536,""_"")"),1704.0)</f>
        <v>1704</v>
      </c>
      <c r="D3536" s="2" t="str">
        <f>IFERROR(__xludf.DUMMYFUNCTION("""COMPUTED_VALUE"""),"NTV")</f>
        <v>NTV</v>
      </c>
      <c r="E3536" s="2" t="str">
        <f>IFERROR(__xludf.DUMMYFUNCTION("""COMPUTED_VALUE"""),"水22")</f>
        <v>水22</v>
      </c>
      <c r="F3536" s="2" t="s">
        <v>10614</v>
      </c>
      <c r="G3536" s="2" t="s">
        <v>10630</v>
      </c>
      <c r="H3536" s="1">
        <v>6.0</v>
      </c>
      <c r="I3536" s="1" t="s">
        <v>2888</v>
      </c>
      <c r="J3536" s="1" t="s">
        <v>82</v>
      </c>
      <c r="K3536" s="2" t="s">
        <v>10631</v>
      </c>
      <c r="L3536" s="11" t="s">
        <v>10632</v>
      </c>
      <c r="M3536" s="2" t="str">
        <f>IFERROR(__xludf.DUMMYFUNCTION("split(split(K3536,""【"",false),""、ほか"",false)"),"沢尻エリカ、藤木直人、中島裕翔、道枝駿佑(関西ジャニーズJr.)、高橋メアリージュン、藤澤遥、望月歩、浅野和之、板谷由夏、風吹ジュン、小池栄子")</f>
        <v>沢尻エリカ、藤木直人、中島裕翔、道枝駿佑(関西ジャニーズJr.)、高橋メアリージュン、藤澤遥、望月歩、浅野和之、板谷由夏、風吹ジュン、小池栄子</v>
      </c>
      <c r="N3536" s="2" t="str">
        <f>IFERROR(__xludf.DUMMYFUNCTION("""COMPUTED_VALUE"""),"柏崎オートに再び麻子が現れ、ここで働く事になったと言い出す。唖然とする結衣と陽一は、麻子が刑務所にいた事を知りさらに驚く。木野によると、2年前に麻子が起した事件は、つきまとう男の暴力から広を守るためだった。そして麻子が本当の母親だと思っていた木野が刑務所に面会に行ったのは、広に託されていた手紙がきっかけだった。ついに語られる麻子の壮絶な過去と、広との真実。その全てを知った結衣は…。")</f>
        <v>柏崎オートに再び麻子が現れ、ここで働く事になったと言い出す。唖然とする結衣と陽一は、麻子が刑務所にいた事を知りさらに驚く。木野によると、2年前に麻子が起した事件は、つきまとう男の暴力から広を守るためだった。そして麻子が本当の母親だと思っていた木野が刑務所に面会に行ったのは、広に託されていた手紙がきっかけだった。ついに語られる麻子の壮絶な過去と、広との真実。その全てを知った結衣は…。</v>
      </c>
      <c r="O3536" s="2"/>
      <c r="P3536" s="2"/>
      <c r="Q3536" s="2"/>
      <c r="R3536" s="2"/>
      <c r="S3536" s="2"/>
      <c r="T3536" s="2"/>
      <c r="U3536" s="2"/>
      <c r="V3536" s="2"/>
      <c r="W3536" s="2"/>
      <c r="X3536" s="2"/>
      <c r="Y3536" s="2"/>
      <c r="Z3536" s="2"/>
      <c r="AA3536" s="2"/>
      <c r="AB3536" s="2"/>
      <c r="AC3536" s="2"/>
      <c r="AD3536" s="2"/>
      <c r="AE3536" s="2"/>
      <c r="AF3536" s="2"/>
      <c r="AG3536" s="2"/>
      <c r="AH3536" s="2"/>
      <c r="AI3536" s="2"/>
      <c r="AJ3536" s="2"/>
      <c r="AK3536" s="2"/>
      <c r="AL3536" s="2"/>
      <c r="AM3536" s="2"/>
      <c r="AN3536" s="2"/>
      <c r="AO3536" s="2"/>
      <c r="AP3536" s="2"/>
      <c r="AQ3536" s="2"/>
      <c r="AR3536" s="2"/>
      <c r="AS3536" s="2"/>
      <c r="AT3536" s="2"/>
      <c r="AU3536" s="2"/>
      <c r="AV3536" s="2"/>
      <c r="AW3536" s="2"/>
      <c r="AX3536" s="2"/>
      <c r="AY3536" s="2"/>
      <c r="AZ3536" s="2"/>
      <c r="BA3536" s="2"/>
      <c r="BB3536" s="2"/>
    </row>
    <row r="3537" ht="204.75" customHeight="1">
      <c r="A3537" s="1">
        <v>1220.0</v>
      </c>
      <c r="B3537" s="2" t="s">
        <v>10613</v>
      </c>
      <c r="C3537" s="2">
        <f>IFERROR(__xludf.DUMMYFUNCTION("split(B3537,""_"")"),1704.0)</f>
        <v>1704</v>
      </c>
      <c r="D3537" s="2" t="str">
        <f>IFERROR(__xludf.DUMMYFUNCTION("""COMPUTED_VALUE"""),"NTV")</f>
        <v>NTV</v>
      </c>
      <c r="E3537" s="2" t="str">
        <f>IFERROR(__xludf.DUMMYFUNCTION("""COMPUTED_VALUE"""),"水22")</f>
        <v>水22</v>
      </c>
      <c r="F3537" s="2" t="s">
        <v>10614</v>
      </c>
      <c r="G3537" s="2" t="s">
        <v>10633</v>
      </c>
      <c r="H3537" s="1">
        <v>7.0</v>
      </c>
      <c r="I3537" s="1" t="s">
        <v>2892</v>
      </c>
      <c r="J3537" s="1" t="s">
        <v>82</v>
      </c>
      <c r="K3537" s="2" t="s">
        <v>10634</v>
      </c>
      <c r="L3537" s="11" t="s">
        <v>10635</v>
      </c>
      <c r="M3537" s="2" t="str">
        <f>IFERROR(__xludf.DUMMYFUNCTION("split(split(K3537,""【"",false),""、ほか"",false)"),"沢尻エリカ、藤木直人、中島裕翔、道枝駿佑(関西ジャニーズJr.)、高橋メアリージュン、藤澤遥、望月歩、浅野和之、板谷由夏、風吹ジュン、小池栄子")</f>
        <v>沢尻エリカ、藤木直人、中島裕翔、道枝駿佑(関西ジャニーズJr.)、高橋メアリージュン、藤澤遥、望月歩、浅野和之、板谷由夏、風吹ジュン、小池栄子</v>
      </c>
      <c r="N3537" s="2" t="str">
        <f>IFERROR(__xludf.DUMMYFUNCTION("""COMPUTED_VALUE"""),"結衣は同じ母親としてわかりあいたいと思い、陽一と広を釣りに送り出した後、麻子を家に迎える。低姿勢で謝罪する麻子に、麻子の過去を考えると責める気持ちは無いと謝罪を受け入れる。しかし、結衣が無意識に発した一言で麻子の態度は豹変し、壮絶な言い合いへ。一方、莉沙子も太治に自分が母の代わりをやるので、母親業をやめていいと言われ、戸惑う。そんな中、陽一達と釣りに行った木野は、柏崎オートで意外な人物と再会する。")</f>
        <v>結衣は同じ母親としてわかりあいたいと思い、陽一と広を釣りに送り出した後、麻子を家に迎える。低姿勢で謝罪する麻子に、麻子の過去を考えると責める気持ちは無いと謝罪を受け入れる。しかし、結衣が無意識に発した一言で麻子の態度は豹変し、壮絶な言い合いへ。一方、莉沙子も太治に自分が母の代わりをやるので、母親業をやめていいと言われ、戸惑う。そんな中、陽一達と釣りに行った木野は、柏崎オートで意外な人物と再会する。</v>
      </c>
      <c r="O3537" s="2"/>
      <c r="P3537" s="2"/>
      <c r="Q3537" s="2"/>
      <c r="R3537" s="2"/>
      <c r="S3537" s="2"/>
      <c r="T3537" s="2"/>
      <c r="U3537" s="2"/>
      <c r="V3537" s="2"/>
      <c r="W3537" s="2"/>
      <c r="X3537" s="2"/>
      <c r="Y3537" s="2"/>
      <c r="Z3537" s="2"/>
      <c r="AA3537" s="2"/>
      <c r="AB3537" s="2"/>
      <c r="AC3537" s="2"/>
      <c r="AD3537" s="2"/>
      <c r="AE3537" s="2"/>
      <c r="AF3537" s="2"/>
      <c r="AG3537" s="2"/>
      <c r="AH3537" s="2"/>
      <c r="AI3537" s="2"/>
      <c r="AJ3537" s="2"/>
      <c r="AK3537" s="2"/>
      <c r="AL3537" s="2"/>
      <c r="AM3537" s="2"/>
      <c r="AN3537" s="2"/>
      <c r="AO3537" s="2"/>
      <c r="AP3537" s="2"/>
      <c r="AQ3537" s="2"/>
      <c r="AR3537" s="2"/>
      <c r="AS3537" s="2"/>
      <c r="AT3537" s="2"/>
      <c r="AU3537" s="2"/>
      <c r="AV3537" s="2"/>
      <c r="AW3537" s="2"/>
      <c r="AX3537" s="2"/>
      <c r="AY3537" s="2"/>
      <c r="AZ3537" s="2"/>
      <c r="BA3537" s="2"/>
      <c r="BB3537" s="2"/>
    </row>
    <row r="3538" ht="204.75" customHeight="1">
      <c r="A3538" s="1">
        <v>1221.0</v>
      </c>
      <c r="B3538" s="2" t="s">
        <v>10613</v>
      </c>
      <c r="C3538" s="2">
        <f>IFERROR(__xludf.DUMMYFUNCTION("split(B3538,""_"")"),1704.0)</f>
        <v>1704</v>
      </c>
      <c r="D3538" s="2" t="str">
        <f>IFERROR(__xludf.DUMMYFUNCTION("""COMPUTED_VALUE"""),"NTV")</f>
        <v>NTV</v>
      </c>
      <c r="E3538" s="2" t="str">
        <f>IFERROR(__xludf.DUMMYFUNCTION("""COMPUTED_VALUE"""),"水22")</f>
        <v>水22</v>
      </c>
      <c r="F3538" s="2" t="s">
        <v>10614</v>
      </c>
      <c r="G3538" s="2" t="s">
        <v>10636</v>
      </c>
      <c r="H3538" s="1">
        <v>8.0</v>
      </c>
      <c r="I3538" s="1" t="s">
        <v>2896</v>
      </c>
      <c r="J3538" s="1" t="s">
        <v>82</v>
      </c>
      <c r="K3538" s="2" t="s">
        <v>10637</v>
      </c>
      <c r="L3538" s="11" t="s">
        <v>10638</v>
      </c>
      <c r="M3538" s="2" t="str">
        <f>IFERROR(__xludf.DUMMYFUNCTION("split(split(K3538,""【"",false),""、ほか"",false)"),"沢尻エリカ、藤木直人、中島裕翔、道枝駿佑(関西ジャニーズJr.)、高橋メアリージュン、藤澤遥、望月歩、浅野和之、板谷由夏、風吹ジュン、小池栄子")</f>
        <v>沢尻エリカ、藤木直人、中島裕翔、道枝駿佑(関西ジャニーズJr.)、高橋メアリージュン、藤澤遥、望月歩、浅野和之、板谷由夏、風吹ジュン、小池栄子</v>
      </c>
      <c r="N3538" s="2" t="str">
        <f>IFERROR(__xludf.DUMMYFUNCTION("""COMPUTED_VALUE"""),"結衣は麻子から、2年前の事件を広が知っても、今は嘘をついて欲しいと頼まれ、困惑する。そんな中、麻子は愛美が柏崎オートに取材目当てで近づいた事を知り、後をつけるとそこには育児放棄された息子の姿が。木野は亡き友達の母の行動にショックを受ける。一方、結衣と陽一は広が昔、麻子と訪れたお好み焼き屋を訪ね、自分たちの知らない広の様子を聞く。同じ頃、広は繭から告白されるが、心の中には別の女子の存在が・・・。")</f>
        <v>結衣は麻子から、2年前の事件を広が知っても、今は嘘をついて欲しいと頼まれ、困惑する。そんな中、麻子は愛美が柏崎オートに取材目当てで近づいた事を知り、後をつけるとそこには育児放棄された息子の姿が。木野は亡き友達の母の行動にショックを受ける。一方、結衣と陽一は広が昔、麻子と訪れたお好み焼き屋を訪ね、自分たちの知らない広の様子を聞く。同じ頃、広は繭から告白されるが、心の中には別の女子の存在が・・・。</v>
      </c>
      <c r="O3538" s="2"/>
      <c r="P3538" s="2"/>
      <c r="Q3538" s="2"/>
      <c r="R3538" s="2"/>
      <c r="S3538" s="2"/>
      <c r="T3538" s="2"/>
      <c r="U3538" s="2"/>
      <c r="V3538" s="2"/>
      <c r="W3538" s="2"/>
      <c r="X3538" s="2"/>
      <c r="Y3538" s="2"/>
      <c r="Z3538" s="2"/>
      <c r="AA3538" s="2"/>
      <c r="AB3538" s="2"/>
      <c r="AC3538" s="2"/>
      <c r="AD3538" s="2"/>
      <c r="AE3538" s="2"/>
      <c r="AF3538" s="2"/>
      <c r="AG3538" s="2"/>
      <c r="AH3538" s="2"/>
      <c r="AI3538" s="2"/>
      <c r="AJ3538" s="2"/>
      <c r="AK3538" s="2"/>
      <c r="AL3538" s="2"/>
      <c r="AM3538" s="2"/>
      <c r="AN3538" s="2"/>
      <c r="AO3538" s="2"/>
      <c r="AP3538" s="2"/>
      <c r="AQ3538" s="2"/>
      <c r="AR3538" s="2"/>
      <c r="AS3538" s="2"/>
      <c r="AT3538" s="2"/>
      <c r="AU3538" s="2"/>
      <c r="AV3538" s="2"/>
      <c r="AW3538" s="2"/>
      <c r="AX3538" s="2"/>
      <c r="AY3538" s="2"/>
      <c r="AZ3538" s="2"/>
      <c r="BA3538" s="2"/>
      <c r="BB3538" s="2"/>
    </row>
    <row r="3539" ht="204.75" customHeight="1">
      <c r="A3539" s="1">
        <v>1222.0</v>
      </c>
      <c r="B3539" s="2" t="s">
        <v>10613</v>
      </c>
      <c r="C3539" s="2">
        <f>IFERROR(__xludf.DUMMYFUNCTION("split(B3539,""_"")"),1704.0)</f>
        <v>1704</v>
      </c>
      <c r="D3539" s="2" t="str">
        <f>IFERROR(__xludf.DUMMYFUNCTION("""COMPUTED_VALUE"""),"NTV")</f>
        <v>NTV</v>
      </c>
      <c r="E3539" s="2" t="str">
        <f>IFERROR(__xludf.DUMMYFUNCTION("""COMPUTED_VALUE"""),"水22")</f>
        <v>水22</v>
      </c>
      <c r="F3539" s="2" t="s">
        <v>10614</v>
      </c>
      <c r="G3539" s="2" t="s">
        <v>10639</v>
      </c>
      <c r="H3539" s="1">
        <v>9.0</v>
      </c>
      <c r="I3539" s="1" t="s">
        <v>2900</v>
      </c>
      <c r="J3539" s="1" t="s">
        <v>82</v>
      </c>
      <c r="K3539" s="2" t="s">
        <v>10640</v>
      </c>
      <c r="L3539" s="11" t="s">
        <v>10641</v>
      </c>
      <c r="M3539" s="2" t="str">
        <f>IFERROR(__xludf.DUMMYFUNCTION("split(split(K3539,""【"",false),""、ほか"",false)"),"沢尻エリカ、藤木直人、中島裕翔、道枝駿佑(関西ジャニーズJr.)、高橋メアリージュン、藤澤遥、望月歩、浅野和之、板谷由夏、風吹ジュン、小池栄子")</f>
        <v>沢尻エリカ、藤木直人、中島裕翔、道枝駿佑(関西ジャニーズJr.)、高橋メアリージュン、藤澤遥、望月歩、浅野和之、板谷由夏、風吹ジュン、小池栄子</v>
      </c>
      <c r="N3539" s="2" t="str">
        <f>IFERROR(__xludf.DUMMYFUNCTION("""COMPUTED_VALUE"""),"広が学校をサボり女子高生の桃と一緒にいた事を知り、ショックを受ける結衣。それを知った里恵は家族会議を開く事を決め、広に関わる人々を集める。そんな中、広は桃を花火大会に誘う。心配する結衣は麻子に思わず連絡してしまう。麻子は働き口を見つけ、東京を離れると告げ、お互い連絡先を消去する約束をする。陽一は広の恋を微笑ましく見守っていたが、約束の時間に帰ってこなかった広に、厳しい父親の顔を見せる。")</f>
        <v>広が学校をサボり女子高生の桃と一緒にいた事を知り、ショックを受ける結衣。それを知った里恵は家族会議を開く事を決め、広に関わる人々を集める。そんな中、広は桃を花火大会に誘う。心配する結衣は麻子に思わず連絡してしまう。麻子は働き口を見つけ、東京を離れると告げ、お互い連絡先を消去する約束をする。陽一は広の恋を微笑ましく見守っていたが、約束の時間に帰ってこなかった広に、厳しい父親の顔を見せる。</v>
      </c>
      <c r="O3539" s="2"/>
      <c r="P3539" s="2"/>
      <c r="Q3539" s="2"/>
      <c r="R3539" s="2"/>
      <c r="S3539" s="2"/>
      <c r="T3539" s="2"/>
      <c r="U3539" s="2"/>
      <c r="V3539" s="2"/>
      <c r="W3539" s="2"/>
      <c r="X3539" s="2"/>
      <c r="Y3539" s="2"/>
      <c r="Z3539" s="2"/>
      <c r="AA3539" s="2"/>
      <c r="AB3539" s="2"/>
      <c r="AC3539" s="2"/>
      <c r="AD3539" s="2"/>
      <c r="AE3539" s="2"/>
      <c r="AF3539" s="2"/>
      <c r="AG3539" s="2"/>
      <c r="AH3539" s="2"/>
      <c r="AI3539" s="2"/>
      <c r="AJ3539" s="2"/>
      <c r="AK3539" s="2"/>
      <c r="AL3539" s="2"/>
      <c r="AM3539" s="2"/>
      <c r="AN3539" s="2"/>
      <c r="AO3539" s="2"/>
      <c r="AP3539" s="2"/>
      <c r="AQ3539" s="2"/>
      <c r="AR3539" s="2"/>
      <c r="AS3539" s="2"/>
      <c r="AT3539" s="2"/>
      <c r="AU3539" s="2"/>
      <c r="AV3539" s="2"/>
      <c r="AW3539" s="2"/>
      <c r="AX3539" s="2"/>
      <c r="AY3539" s="2"/>
      <c r="AZ3539" s="2"/>
      <c r="BA3539" s="2"/>
      <c r="BB3539" s="2"/>
    </row>
    <row r="3540" ht="204.75" customHeight="1">
      <c r="A3540" s="1">
        <v>1223.0</v>
      </c>
      <c r="B3540" s="2" t="s">
        <v>10613</v>
      </c>
      <c r="C3540" s="2">
        <f>IFERROR(__xludf.DUMMYFUNCTION("split(B3540,""_"")"),1704.0)</f>
        <v>1704</v>
      </c>
      <c r="D3540" s="2" t="str">
        <f>IFERROR(__xludf.DUMMYFUNCTION("""COMPUTED_VALUE"""),"NTV")</f>
        <v>NTV</v>
      </c>
      <c r="E3540" s="2" t="str">
        <f>IFERROR(__xludf.DUMMYFUNCTION("""COMPUTED_VALUE"""),"水22")</f>
        <v>水22</v>
      </c>
      <c r="F3540" s="2" t="s">
        <v>10614</v>
      </c>
      <c r="G3540" s="2" t="s">
        <v>10642</v>
      </c>
      <c r="H3540" s="1">
        <v>10.0</v>
      </c>
      <c r="I3540" s="1" t="s">
        <v>37</v>
      </c>
      <c r="J3540" s="1" t="s">
        <v>82</v>
      </c>
      <c r="K3540" s="2" t="s">
        <v>10643</v>
      </c>
      <c r="L3540" s="11" t="s">
        <v>10644</v>
      </c>
      <c r="M3540" s="2" t="str">
        <f>IFERROR(__xludf.DUMMYFUNCTION("split(split(K3540,""【"",false),""、ほか"",false)"),"沢尻エリカ、藤木直人、中島裕翔、道枝駿佑(関西ジャニーズJr.)、高橋メアリージュン、藤澤遥、望月歩、浅野和之、板谷由夏、風吹ジュン、小池栄子")</f>
        <v>沢尻エリカ、藤木直人、中島裕翔、道枝駿佑(関西ジャニーズJr.)、高橋メアリージュン、藤澤遥、望月歩、浅野和之、板谷由夏、風吹ジュン、小池栄子</v>
      </c>
      <c r="N3540" s="2" t="str">
        <f>IFERROR(__xludf.DUMMYFUNCTION("""COMPUTED_VALUE"""),"麻子が東京を去り、結衣は気持ちを切り替えると宣言。そんな中、莉沙子は長期出張を断った事を繭と太治に言い出せずにいた。繭は自分の為に仕事を断ったと察し、会社に直談判をしに行く。一方、麻子への気持ちに決着を付けられずにいた結衣は、広のマラソン大会のお知らせを麻子に送ってしまう。広は桃に彼氏がいる事を知り、意気消沈。マラソン大会には誰も応援に来ないで欲しいと言い出し、再び家族会議が開かれる事に・・・")</f>
        <v>麻子が東京を去り、結衣は気持ちを切り替えると宣言。そんな中、莉沙子は長期出張を断った事を繭と太治に言い出せずにいた。繭は自分の為に仕事を断ったと察し、会社に直談判をしに行く。一方、麻子への気持ちに決着を付けられずにいた結衣は、広のマラソン大会のお知らせを麻子に送ってしまう。広は桃に彼氏がいる事を知り、意気消沈。マラソン大会には誰も応援に来ないで欲しいと言い出し、再び家族会議が開かれる事に・・・</v>
      </c>
      <c r="O3540" s="2"/>
      <c r="P3540" s="2"/>
      <c r="Q3540" s="2"/>
      <c r="R3540" s="2"/>
      <c r="S3540" s="2"/>
      <c r="T3540" s="2"/>
      <c r="U3540" s="2"/>
      <c r="V3540" s="2"/>
      <c r="W3540" s="2"/>
      <c r="X3540" s="2"/>
      <c r="Y3540" s="2"/>
      <c r="Z3540" s="2"/>
      <c r="AA3540" s="2"/>
      <c r="AB3540" s="2"/>
      <c r="AC3540" s="2"/>
      <c r="AD3540" s="2"/>
      <c r="AE3540" s="2"/>
      <c r="AF3540" s="2"/>
      <c r="AG3540" s="2"/>
      <c r="AH3540" s="2"/>
      <c r="AI3540" s="2"/>
      <c r="AJ3540" s="2"/>
      <c r="AK3540" s="2"/>
      <c r="AL3540" s="2"/>
      <c r="AM3540" s="2"/>
      <c r="AN3540" s="2"/>
      <c r="AO3540" s="2"/>
      <c r="AP3540" s="2"/>
      <c r="AQ3540" s="2"/>
      <c r="AR3540" s="2"/>
      <c r="AS3540" s="2"/>
      <c r="AT3540" s="2"/>
      <c r="AU3540" s="2"/>
      <c r="AV3540" s="2"/>
      <c r="AW3540" s="2"/>
      <c r="AX3540" s="2"/>
      <c r="AY3540" s="2"/>
      <c r="AZ3540" s="2"/>
      <c r="BA3540" s="2"/>
      <c r="BB3540" s="2"/>
    </row>
    <row r="3541" ht="204.75" customHeight="1">
      <c r="A3541" s="1">
        <v>1243.0</v>
      </c>
      <c r="B3541" s="2" t="s">
        <v>10645</v>
      </c>
      <c r="C3541" s="2">
        <f>IFERROR(__xludf.DUMMYFUNCTION("split(B3541,""_"")"),1704.0)</f>
        <v>1704</v>
      </c>
      <c r="D3541" s="2" t="str">
        <f>IFERROR(__xludf.DUMMYFUNCTION("""COMPUTED_VALUE"""),"NTV")</f>
        <v>NTV</v>
      </c>
      <c r="E3541" s="2" t="str">
        <f>IFERROR(__xludf.DUMMYFUNCTION("""COMPUTED_VALUE"""),"木23")</f>
        <v>木23</v>
      </c>
      <c r="F3541" s="2" t="s">
        <v>10646</v>
      </c>
      <c r="G3541" s="2" t="s">
        <v>10647</v>
      </c>
      <c r="H3541" s="1">
        <v>1.0</v>
      </c>
      <c r="J3541" s="1" t="s">
        <v>1435</v>
      </c>
      <c r="K3541" s="4" t="s">
        <v>10648</v>
      </c>
      <c r="L3541" s="11" t="s">
        <v>10649</v>
      </c>
      <c r="M3541" s="2" t="str">
        <f>IFERROR(__xludf.DUMMYFUNCTION("split(split(K3541,""【"",false),""…寺脇康文"",false)"),"茅ヶ崎美沙…高梨臨  雄島佳介…田中圭  榎田千尋…土村芳  橋本司…淵上泰史    桜井理佳子…内田理央  柿谷真吾…小関裕太  時藤仁…長田成哉  小池奈々…今野杏南  塚地マサノブ…中村公隆  夏目元気…雨野宮将明  前島耕一…金剛地武志    日下部慎太郎")</f>
        <v>茅ヶ崎美沙…高梨臨  雄島佳介…田中圭  榎田千尋…土村芳  橋本司…淵上泰史    桜井理佳子…内田理央  柿谷真吾…小関裕太  時藤仁…長田成哉  小池奈々…今野杏南  塚地マサノブ…中村公隆  夏目元気…雨野宮将明  前島耕一…金剛地武志    日下部慎太郎</v>
      </c>
      <c r="N3541" s="2" t="str">
        <f>IFERROR(__xludf.DUMMYFUNCTION("""COMPUTED_VALUE"""),"スマホゲーム会社で恋愛ゲームのプロデューサーを務める茅ヶ崎美沙(高梨臨)。仕事が恋人で恋愛は2か月以上続かない。ヒットゲームを生み出し日々奮闘していた美沙だが、突然現れた経営のプロ・雄島佳介(田中圭)に念願だった社長の座を奪われる。美沙の親友・榎田千尋(土村芳)は、4年付き合っていた彼氏からプロポーズされるが、彼氏の浮気を目撃。そんな彼女の前に、女は体だけで十分と言う橋本司(淵上泰史)が現れる。吉俣良  ")</f>
        <v>スマホゲーム会社で恋愛ゲームのプロデューサーを務める茅ヶ崎美沙(高梨臨)。仕事が恋人で恋愛は2か月以上続かない。ヒットゲームを生み出し日々奮闘していた美沙だが、突然現れた経営のプロ・雄島佳介(田中圭)に念願だった社長の座を奪われる。美沙の親友・榎田千尋(土村芳)は、4年付き合っていた彼氏からプロポーズされるが、彼氏の浮気を目撃。そんな彼女の前に、女は体だけで十分と言う橋本司(淵上泰史)が現れる。吉俣良  </v>
      </c>
      <c r="O3541" s="2"/>
      <c r="P3541" s="1"/>
      <c r="Q3541" s="1"/>
      <c r="R3541" s="1"/>
      <c r="S3541" s="1"/>
      <c r="T3541" s="1"/>
      <c r="U3541" s="1"/>
      <c r="V3541" s="1"/>
      <c r="W3541" s="1"/>
      <c r="X3541" s="1"/>
      <c r="Y3541" s="1"/>
      <c r="Z3541" s="1"/>
      <c r="AA3541" s="1"/>
      <c r="AB3541" s="1"/>
      <c r="AC3541" s="1"/>
      <c r="AD3541" s="1"/>
      <c r="AE3541" s="1"/>
      <c r="AF3541" s="1"/>
      <c r="AG3541" s="1"/>
      <c r="AH3541" s="1"/>
      <c r="AI3541" s="1"/>
      <c r="AJ3541" s="1"/>
      <c r="AK3541" s="1"/>
      <c r="AL3541" s="1"/>
      <c r="AM3541" s="1"/>
      <c r="AN3541" s="1"/>
      <c r="AO3541" s="1"/>
      <c r="AP3541" s="1"/>
      <c r="AQ3541" s="1"/>
      <c r="AR3541" s="1"/>
      <c r="AS3541" s="1"/>
      <c r="AT3541" s="1"/>
      <c r="AU3541" s="1"/>
      <c r="AV3541" s="1"/>
      <c r="AW3541" s="1"/>
      <c r="AX3541" s="1"/>
      <c r="AY3541" s="1"/>
      <c r="AZ3541" s="1"/>
      <c r="BA3541" s="1"/>
      <c r="BB3541" s="1"/>
    </row>
    <row r="3542" ht="204.75" customHeight="1">
      <c r="A3542" s="1">
        <v>1244.0</v>
      </c>
      <c r="B3542" s="2" t="s">
        <v>10645</v>
      </c>
      <c r="C3542" s="2">
        <f>IFERROR(__xludf.DUMMYFUNCTION("split(B3542,""_"")"),1704.0)</f>
        <v>1704</v>
      </c>
      <c r="D3542" s="2" t="str">
        <f>IFERROR(__xludf.DUMMYFUNCTION("""COMPUTED_VALUE"""),"NTV")</f>
        <v>NTV</v>
      </c>
      <c r="E3542" s="2" t="str">
        <f>IFERROR(__xludf.DUMMYFUNCTION("""COMPUTED_VALUE"""),"木23")</f>
        <v>木23</v>
      </c>
      <c r="F3542" s="2" t="s">
        <v>10646</v>
      </c>
      <c r="G3542" s="2" t="s">
        <v>10650</v>
      </c>
      <c r="H3542" s="1">
        <v>2.0</v>
      </c>
      <c r="J3542" s="1" t="s">
        <v>1435</v>
      </c>
      <c r="K3542" s="2" t="s">
        <v>10651</v>
      </c>
      <c r="L3542" s="11" t="s">
        <v>10652</v>
      </c>
      <c r="M3542" s="2" t="str">
        <f>IFERROR(__xludf.DUMMYFUNCTION("split(split(K3542,""【"",false),""…寺脇康文"",false)"),"茅ヶ崎美沙…高梨臨  雄島佳介…田中圭  榎田千尋…土村芳  橋本司…淵上泰史    桜井理佳子…内田理央  柿谷真吾…小関裕太  時藤仁…長田成哉  小池奈々…今野杏南  塚地マサノブ…中村公隆  夏目元気…雨野宮将明  前島耕一…金剛地武志    和久井遙香…野波麻帆    日下部慎太郎")</f>
        <v>茅ヶ崎美沙…高梨臨  雄島佳介…田中圭  榎田千尋…土村芳  橋本司…淵上泰史    桜井理佳子…内田理央  柿谷真吾…小関裕太  時藤仁…長田成哉  小池奈々…今野杏南  塚地マサノブ…中村公隆  夏目元気…雨野宮将明  前島耕一…金剛地武志    和久井遙香…野波麻帆    日下部慎太郎</v>
      </c>
      <c r="N3542" s="2" t="str">
        <f>IFERROR(__xludf.DUMMYFUNCTION("""COMPUTED_VALUE"""),"スマホゲーム会社で恋愛ゲームのプロデューサーを務める美沙(高梨臨)。恋愛ヘタの美沙は突然現れた佳介(田中圭)にキスされ、交際を申し込まれた。社長の座も佳介に奪われた美沙は、仕事の実権を握られ今まで通り仕事ができないでいた。そんな中、ゲームの新キャラがパクリではないかという騒動が。一方、婚約者に浮気されていた千尋(土村芳)は、池に溺れていたのを救ってくれた命の恩人・司(淵上泰史)と再会する。吉俣良  ")</f>
        <v>スマホゲーム会社で恋愛ゲームのプロデューサーを務める美沙(高梨臨)。恋愛ヘタの美沙は突然現れた佳介(田中圭)にキスされ、交際を申し込まれた。社長の座も佳介に奪われた美沙は、仕事の実権を握られ今まで通り仕事ができないでいた。そんな中、ゲームの新キャラがパクリではないかという騒動が。一方、婚約者に浮気されていた千尋(土村芳)は、池に溺れていたのを救ってくれた命の恩人・司(淵上泰史)と再会する。吉俣良  </v>
      </c>
      <c r="O3542" s="2"/>
      <c r="P3542" s="1"/>
      <c r="Q3542" s="1"/>
      <c r="R3542" s="1"/>
      <c r="S3542" s="1"/>
      <c r="T3542" s="1"/>
      <c r="U3542" s="1"/>
      <c r="V3542" s="1"/>
      <c r="W3542" s="1"/>
      <c r="X3542" s="1"/>
      <c r="Y3542" s="1"/>
      <c r="Z3542" s="1"/>
      <c r="AA3542" s="1"/>
      <c r="AB3542" s="1"/>
      <c r="AC3542" s="1"/>
      <c r="AD3542" s="1"/>
      <c r="AE3542" s="1"/>
      <c r="AF3542" s="1"/>
      <c r="AG3542" s="1"/>
      <c r="AH3542" s="1"/>
      <c r="AI3542" s="1"/>
      <c r="AJ3542" s="1"/>
      <c r="AK3542" s="1"/>
      <c r="AL3542" s="1"/>
      <c r="AM3542" s="1"/>
      <c r="AN3542" s="1"/>
      <c r="AO3542" s="1"/>
      <c r="AP3542" s="1"/>
      <c r="AQ3542" s="1"/>
      <c r="AR3542" s="1"/>
      <c r="AS3542" s="1"/>
      <c r="AT3542" s="1"/>
      <c r="AU3542" s="1"/>
      <c r="AV3542" s="1"/>
      <c r="AW3542" s="1"/>
      <c r="AX3542" s="1"/>
      <c r="AY3542" s="1"/>
      <c r="AZ3542" s="1"/>
      <c r="BA3542" s="1"/>
      <c r="BB3542" s="1"/>
    </row>
    <row r="3543" ht="204.75" customHeight="1">
      <c r="A3543" s="1">
        <v>1245.0</v>
      </c>
      <c r="B3543" s="2" t="s">
        <v>10645</v>
      </c>
      <c r="C3543" s="2">
        <f>IFERROR(__xludf.DUMMYFUNCTION("split(B3543,""_"")"),1704.0)</f>
        <v>1704</v>
      </c>
      <c r="D3543" s="2" t="str">
        <f>IFERROR(__xludf.DUMMYFUNCTION("""COMPUTED_VALUE"""),"NTV")</f>
        <v>NTV</v>
      </c>
      <c r="E3543" s="2" t="str">
        <f>IFERROR(__xludf.DUMMYFUNCTION("""COMPUTED_VALUE"""),"木23")</f>
        <v>木23</v>
      </c>
      <c r="F3543" s="2" t="s">
        <v>10646</v>
      </c>
      <c r="G3543" s="2" t="s">
        <v>10653</v>
      </c>
      <c r="H3543" s="1">
        <v>3.0</v>
      </c>
      <c r="J3543" s="1" t="s">
        <v>1435</v>
      </c>
      <c r="K3543" s="2" t="s">
        <v>10654</v>
      </c>
      <c r="L3543" s="11" t="s">
        <v>10655</v>
      </c>
      <c r="M3543" s="2" t="str">
        <f>IFERROR(__xludf.DUMMYFUNCTION("split(split(K3543,""【"",false),""…寺脇康文"",false)"),"茅ヶ崎美沙…高梨臨  雄島佳介…田中圭  榎田千尋…土村芳  橋本司…淵上泰史    桜井理佳子…内田理央  柿谷真吾…小関裕太  時藤仁…長田成哉  小池奈々…今野杏南  塚地マサノブ…中村公隆  夏目元気…雨野宮将明    和久井遙香…野波麻帆    日下部慎太郎")</f>
        <v>茅ヶ崎美沙…高梨臨  雄島佳介…田中圭  榎田千尋…土村芳  橋本司…淵上泰史    桜井理佳子…内田理央  柿谷真吾…小関裕太  時藤仁…長田成哉  小池奈々…今野杏南  塚地マサノブ…中村公隆  夏目元気…雨野宮将明    和久井遙香…野波麻帆    日下部慎太郎</v>
      </c>
      <c r="N3543" s="2" t="str">
        <f>IFERROR(__xludf.DUMMYFUNCTION("""COMPUTED_VALUE"""),"美沙(高梨臨)は佳介(田中圭)から交際を申し込まれるが、「付き合いたいなら会社をやめてください」と条件を突きつける。そんな中、2人は取引先の社長である佳介の元カノ・遙香(野波麻帆)が主催するパーティーへ行くことに。デートのような雰囲気に“仕事”と言い聞かせ葛藤する美沙。しかし、その思いとは裏腹な行動に出てしまう。そして、その夜、突如佳介とお泊りすることにー吉俣良  ")</f>
        <v>美沙(高梨臨)は佳介(田中圭)から交際を申し込まれるが、「付き合いたいなら会社をやめてください」と条件を突きつける。そんな中、2人は取引先の社長である佳介の元カノ・遙香(野波麻帆)が主催するパーティーへ行くことに。デートのような雰囲気に“仕事”と言い聞かせ葛藤する美沙。しかし、その思いとは裏腹な行動に出てしまう。そして、その夜、突如佳介とお泊りすることにー吉俣良  </v>
      </c>
      <c r="O3543" s="2"/>
      <c r="P3543" s="1"/>
      <c r="Q3543" s="1"/>
      <c r="R3543" s="1"/>
      <c r="S3543" s="1"/>
      <c r="T3543" s="1"/>
      <c r="U3543" s="1"/>
      <c r="V3543" s="1"/>
      <c r="W3543" s="1"/>
      <c r="X3543" s="1"/>
      <c r="Y3543" s="1"/>
      <c r="Z3543" s="1"/>
      <c r="AA3543" s="1"/>
      <c r="AB3543" s="1"/>
      <c r="AC3543" s="1"/>
      <c r="AD3543" s="1"/>
      <c r="AE3543" s="1"/>
      <c r="AF3543" s="1"/>
      <c r="AG3543" s="1"/>
      <c r="AH3543" s="1"/>
      <c r="AI3543" s="1"/>
      <c r="AJ3543" s="1"/>
      <c r="AK3543" s="1"/>
      <c r="AL3543" s="1"/>
      <c r="AM3543" s="1"/>
      <c r="AN3543" s="1"/>
      <c r="AO3543" s="1"/>
      <c r="AP3543" s="1"/>
      <c r="AQ3543" s="1"/>
      <c r="AR3543" s="1"/>
      <c r="AS3543" s="1"/>
      <c r="AT3543" s="1"/>
      <c r="AU3543" s="1"/>
      <c r="AV3543" s="1"/>
      <c r="AW3543" s="1"/>
      <c r="AX3543" s="1"/>
      <c r="AY3543" s="1"/>
      <c r="AZ3543" s="1"/>
      <c r="BA3543" s="1"/>
      <c r="BB3543" s="1"/>
    </row>
    <row r="3544" ht="204.75" customHeight="1">
      <c r="A3544" s="1">
        <v>1246.0</v>
      </c>
      <c r="B3544" s="2" t="s">
        <v>10645</v>
      </c>
      <c r="C3544" s="2">
        <f>IFERROR(__xludf.DUMMYFUNCTION("split(B3544,""_"")"),1704.0)</f>
        <v>1704</v>
      </c>
      <c r="D3544" s="2" t="str">
        <f>IFERROR(__xludf.DUMMYFUNCTION("""COMPUTED_VALUE"""),"NTV")</f>
        <v>NTV</v>
      </c>
      <c r="E3544" s="2" t="str">
        <f>IFERROR(__xludf.DUMMYFUNCTION("""COMPUTED_VALUE"""),"木23")</f>
        <v>木23</v>
      </c>
      <c r="F3544" s="2" t="s">
        <v>10646</v>
      </c>
      <c r="G3544" s="2" t="s">
        <v>10656</v>
      </c>
      <c r="H3544" s="1">
        <v>4.0</v>
      </c>
      <c r="J3544" s="1" t="s">
        <v>1435</v>
      </c>
      <c r="K3544" s="2" t="s">
        <v>10657</v>
      </c>
      <c r="L3544" s="10" t="s">
        <v>10658</v>
      </c>
      <c r="M3544" s="2" t="str">
        <f>IFERROR(__xludf.DUMMYFUNCTION("split(split(K3544,""【"",false),""…寺脇康文"",false)"),"茅ヶ崎美沙…高梨臨  雄島佳介…田中圭  榎田千尋…土村芳  橋本司…淵上泰史    桜井理佳子…内田理央  柿谷真吾…小関裕太  時藤仁…長田成哉  小池奈々…今野杏南  塚地マサノブ…中村公隆  夏目元気…雨野宮将明  前島耕一…金剛地武志    和久井遙香…野波麻帆佳介(田中圭)と一晩をともにすることになった美沙(高梨臨)だったが、突然逃げ出してしまう。そんな矢先、後輩の真吾(小関裕太)が思いもよらぬ行動を…一方、千尋(土村芳)は、『彼氏を浮気相手から取り戻すレッスン』として司(淵上泰史)と体の関係"&amp;"を持つことに。さらに、千尋の彼氏を奪った理佳子(内田理央)が司にも近づき始めたー。それぞれに待ち受ける恋の試練を“恋ヘタ”男女は乗り越えていくことができるのか!?吉俣良  ")</f>
        <v>茅ヶ崎美沙…高梨臨  雄島佳介…田中圭  榎田千尋…土村芳  橋本司…淵上泰史    桜井理佳子…内田理央  柿谷真吾…小関裕太  時藤仁…長田成哉  小池奈々…今野杏南  塚地マサノブ…中村公隆  夏目元気…雨野宮将明  前島耕一…金剛地武志    和久井遙香…野波麻帆佳介(田中圭)と一晩をともにすることになった美沙(高梨臨)だったが、突然逃げ出してしまう。そんな矢先、後輩の真吾(小関裕太)が思いもよらぬ行動を…一方、千尋(土村芳)は、『彼氏を浮気相手から取り戻すレッスン』として司(淵上泰史)と体の関係を持つことに。さらに、千尋の彼氏を奪った理佳子(内田理央)が司にも近づき始めたー。それぞれに待ち受ける恋の試練を“恋ヘタ”男女は乗り越えていくことができるのか!?吉俣良  </v>
      </c>
      <c r="N3544" s="2"/>
      <c r="O3544" s="2"/>
      <c r="P3544" s="1"/>
      <c r="Q3544" s="1"/>
      <c r="R3544" s="1"/>
      <c r="S3544" s="1"/>
      <c r="T3544" s="1"/>
      <c r="U3544" s="1"/>
      <c r="V3544" s="1"/>
      <c r="W3544" s="1"/>
      <c r="X3544" s="1"/>
      <c r="Y3544" s="1"/>
      <c r="Z3544" s="1"/>
      <c r="AA3544" s="1"/>
      <c r="AB3544" s="1"/>
      <c r="AC3544" s="1"/>
      <c r="AD3544" s="1"/>
      <c r="AE3544" s="1"/>
      <c r="AF3544" s="1"/>
      <c r="AG3544" s="1"/>
      <c r="AH3544" s="1"/>
      <c r="AI3544" s="1"/>
      <c r="AJ3544" s="1"/>
      <c r="AK3544" s="1"/>
      <c r="AL3544" s="1"/>
      <c r="AM3544" s="1"/>
      <c r="AN3544" s="1"/>
      <c r="AO3544" s="1"/>
      <c r="AP3544" s="1"/>
      <c r="AQ3544" s="1"/>
      <c r="AR3544" s="1"/>
      <c r="AS3544" s="1"/>
      <c r="AT3544" s="1"/>
      <c r="AU3544" s="1"/>
      <c r="AV3544" s="1"/>
      <c r="AW3544" s="1"/>
      <c r="AX3544" s="1"/>
      <c r="AY3544" s="1"/>
      <c r="AZ3544" s="1"/>
      <c r="BA3544" s="1"/>
      <c r="BB3544" s="1"/>
    </row>
    <row r="3545" ht="204.75" customHeight="1">
      <c r="A3545" s="1">
        <v>1247.0</v>
      </c>
      <c r="B3545" s="2" t="s">
        <v>10645</v>
      </c>
      <c r="C3545" s="2">
        <f>IFERROR(__xludf.DUMMYFUNCTION("split(B3545,""_"")"),1704.0)</f>
        <v>1704</v>
      </c>
      <c r="D3545" s="2" t="str">
        <f>IFERROR(__xludf.DUMMYFUNCTION("""COMPUTED_VALUE"""),"NTV")</f>
        <v>NTV</v>
      </c>
      <c r="E3545" s="2" t="str">
        <f>IFERROR(__xludf.DUMMYFUNCTION("""COMPUTED_VALUE"""),"木23")</f>
        <v>木23</v>
      </c>
      <c r="F3545" s="2" t="s">
        <v>10646</v>
      </c>
      <c r="G3545" s="2" t="s">
        <v>10659</v>
      </c>
      <c r="H3545" s="1">
        <v>5.0</v>
      </c>
      <c r="J3545" s="1" t="s">
        <v>1435</v>
      </c>
      <c r="K3545" s="2" t="s">
        <v>10660</v>
      </c>
      <c r="L3545" s="10" t="s">
        <v>10661</v>
      </c>
      <c r="M3545" s="2" t="str">
        <f>IFERROR(__xludf.DUMMYFUNCTION("split(split(K3545,""【"",false),""…寺脇康文"",false)"),"茅ヶ崎美沙…高梨臨  雄島佳介…田中圭  榎田千尋…土村芳  橋本司…淵上泰史    桜井理佳子…内田理央  柿谷真吾…小関裕太  時藤仁…長田成哉  小池奈々…今野杏南  塚地マサノブ…中村公隆  夏目元気…雨野宮将明  黒川卓美…小西遼生  占い師…山崎ケイ(相席スタート)佳介(田中圭)と一晩ともにする直前で逃げ出した美沙(高梨臨)。さらに真吾(小関裕太)からもキスをされ…そんな中、佳介からデートに誘われる。迷いながらもデートへ行くことを決意したが、思いもよらぬ事態に。一方、婚約者に浮気された千尋(土"&amp;"村芳)は司(淵上泰史)と体の関係を持つことに。しかし、理佳子(内田理央)がまたもや邪魔をし始める。苦悩と葛藤を繰り返しながらも前に進もうとする恋ヘタ男女たちの運命は!?吉俣良  ")</f>
        <v>茅ヶ崎美沙…高梨臨  雄島佳介…田中圭  榎田千尋…土村芳  橋本司…淵上泰史    桜井理佳子…内田理央  柿谷真吾…小関裕太  時藤仁…長田成哉  小池奈々…今野杏南  塚地マサノブ…中村公隆  夏目元気…雨野宮将明  黒川卓美…小西遼生  占い師…山崎ケイ(相席スタート)佳介(田中圭)と一晩ともにする直前で逃げ出した美沙(高梨臨)。さらに真吾(小関裕太)からもキスをされ…そんな中、佳介からデートに誘われる。迷いながらもデートへ行くことを決意したが、思いもよらぬ事態に。一方、婚約者に浮気された千尋(土村芳)は司(淵上泰史)と体の関係を持つことに。しかし、理佳子(内田理央)がまたもや邪魔をし始める。苦悩と葛藤を繰り返しながらも前に進もうとする恋ヘタ男女たちの運命は!?吉俣良  </v>
      </c>
      <c r="N3545" s="2"/>
      <c r="O3545" s="2"/>
      <c r="P3545" s="1"/>
      <c r="Q3545" s="1"/>
      <c r="R3545" s="1"/>
      <c r="S3545" s="1"/>
      <c r="T3545" s="1"/>
      <c r="U3545" s="1"/>
      <c r="V3545" s="1"/>
      <c r="W3545" s="1"/>
      <c r="X3545" s="1"/>
      <c r="Y3545" s="1"/>
      <c r="Z3545" s="1"/>
      <c r="AA3545" s="1"/>
      <c r="AB3545" s="1"/>
      <c r="AC3545" s="1"/>
      <c r="AD3545" s="1"/>
      <c r="AE3545" s="1"/>
      <c r="AF3545" s="1"/>
      <c r="AG3545" s="1"/>
      <c r="AH3545" s="1"/>
      <c r="AI3545" s="1"/>
      <c r="AJ3545" s="1"/>
      <c r="AK3545" s="1"/>
      <c r="AL3545" s="1"/>
      <c r="AM3545" s="1"/>
      <c r="AN3545" s="1"/>
      <c r="AO3545" s="1"/>
      <c r="AP3545" s="1"/>
      <c r="AQ3545" s="1"/>
      <c r="AR3545" s="1"/>
      <c r="AS3545" s="1"/>
      <c r="AT3545" s="1"/>
      <c r="AU3545" s="1"/>
      <c r="AV3545" s="1"/>
      <c r="AW3545" s="1"/>
      <c r="AX3545" s="1"/>
      <c r="AY3545" s="1"/>
      <c r="AZ3545" s="1"/>
      <c r="BA3545" s="1"/>
      <c r="BB3545" s="1"/>
    </row>
    <row r="3546" ht="204.75" customHeight="1">
      <c r="A3546" s="1">
        <v>1248.0</v>
      </c>
      <c r="B3546" s="2" t="s">
        <v>10645</v>
      </c>
      <c r="C3546" s="2">
        <f>IFERROR(__xludf.DUMMYFUNCTION("split(B3546,""_"")"),1704.0)</f>
        <v>1704</v>
      </c>
      <c r="D3546" s="2" t="str">
        <f>IFERROR(__xludf.DUMMYFUNCTION("""COMPUTED_VALUE"""),"NTV")</f>
        <v>NTV</v>
      </c>
      <c r="E3546" s="2" t="str">
        <f>IFERROR(__xludf.DUMMYFUNCTION("""COMPUTED_VALUE"""),"木23")</f>
        <v>木23</v>
      </c>
      <c r="F3546" s="2" t="s">
        <v>10646</v>
      </c>
      <c r="G3546" s="2" t="s">
        <v>10662</v>
      </c>
      <c r="H3546" s="1">
        <v>6.0</v>
      </c>
      <c r="J3546" s="1" t="s">
        <v>1435</v>
      </c>
      <c r="K3546" s="2" t="s">
        <v>10663</v>
      </c>
      <c r="L3546" s="10" t="s">
        <v>10664</v>
      </c>
      <c r="M3546" s="2" t="str">
        <f>IFERROR(__xludf.DUMMYFUNCTION("split(split(K3546,""【"",false),""…寺脇康文"",false)"),"茅ヶ崎美沙…高梨臨  雄島佳介…田中圭  榎田千尋…土村芳  橋本司…淵上泰史    桜井理佳子…内田理央  柿谷真吾…小関裕太  時藤仁…長田成哉  小池奈々…今野杏南  塚地マサノブ…中村公隆  夏目元気…雨野宮将明  黒川卓美…小西遼生    和久井遙香…野波麻帆  日下部慎太郎")</f>
        <v>茅ヶ崎美沙…高梨臨  雄島佳介…田中圭  榎田千尋…土村芳  橋本司…淵上泰史    桜井理佳子…内田理央  柿谷真吾…小関裕太  時藤仁…長田成哉  小池奈々…今野杏南  塚地マサノブ…中村公隆  夏目元気…雨野宮将明  黒川卓美…小西遼生    和久井遙香…野波麻帆  日下部慎太郎</v>
      </c>
      <c r="N3546" s="2" t="str">
        <f>IFERROR(__xludf.DUMMYFUNCTION("""COMPUTED_VALUE"""),"初デートの後、ついに佳介(田中圭)と結ばれ喜ぶ美沙(高梨臨)。だが、いざ付き合ったらどうしていいか分からず、どんどん不安が募っていく。そんな中、元カレに誘われ、迷いながらも会うことに…体の関係だけと割り切っていたはずの千尋(土村芳)は、徐々に司(淵上泰史)に惹かれ始め、ついに婚約者の仁(長田成哉)に別れを告げる。自分の思いとは裏腹に…自分の思いに正直に…恋ヘタ男女たちの恋の行方は、はたして!?吉俣良  ")</f>
        <v>初デートの後、ついに佳介(田中圭)と結ばれ喜ぶ美沙(高梨臨)。だが、いざ付き合ったらどうしていいか分からず、どんどん不安が募っていく。そんな中、元カレに誘われ、迷いながらも会うことに…体の関係だけと割り切っていたはずの千尋(土村芳)は、徐々に司(淵上泰史)に惹かれ始め、ついに婚約者の仁(長田成哉)に別れを告げる。自分の思いとは裏腹に…自分の思いに正直に…恋ヘタ男女たちの恋の行方は、はたして!?吉俣良  </v>
      </c>
      <c r="O3546" s="2"/>
      <c r="P3546" s="1"/>
      <c r="Q3546" s="1"/>
      <c r="R3546" s="1"/>
      <c r="S3546" s="1"/>
      <c r="T3546" s="1"/>
      <c r="U3546" s="1"/>
      <c r="V3546" s="1"/>
      <c r="W3546" s="1"/>
      <c r="X3546" s="1"/>
      <c r="Y3546" s="1"/>
      <c r="Z3546" s="1"/>
      <c r="AA3546" s="1"/>
      <c r="AB3546" s="1"/>
      <c r="AC3546" s="1"/>
      <c r="AD3546" s="1"/>
      <c r="AE3546" s="1"/>
      <c r="AF3546" s="1"/>
      <c r="AG3546" s="1"/>
      <c r="AH3546" s="1"/>
      <c r="AI3546" s="1"/>
      <c r="AJ3546" s="1"/>
      <c r="AK3546" s="1"/>
      <c r="AL3546" s="1"/>
      <c r="AM3546" s="1"/>
      <c r="AN3546" s="1"/>
      <c r="AO3546" s="1"/>
      <c r="AP3546" s="1"/>
      <c r="AQ3546" s="1"/>
      <c r="AR3546" s="1"/>
      <c r="AS3546" s="1"/>
      <c r="AT3546" s="1"/>
      <c r="AU3546" s="1"/>
      <c r="AV3546" s="1"/>
      <c r="AW3546" s="1"/>
      <c r="AX3546" s="1"/>
      <c r="AY3546" s="1"/>
      <c r="AZ3546" s="1"/>
      <c r="BA3546" s="1"/>
      <c r="BB3546" s="1"/>
    </row>
    <row r="3547" ht="204.75" customHeight="1">
      <c r="A3547" s="1">
        <v>1249.0</v>
      </c>
      <c r="B3547" s="2" t="s">
        <v>10645</v>
      </c>
      <c r="C3547" s="2">
        <f>IFERROR(__xludf.DUMMYFUNCTION("split(B3547,""_"")"),1704.0)</f>
        <v>1704</v>
      </c>
      <c r="D3547" s="2" t="str">
        <f>IFERROR(__xludf.DUMMYFUNCTION("""COMPUTED_VALUE"""),"NTV")</f>
        <v>NTV</v>
      </c>
      <c r="E3547" s="2" t="str">
        <f>IFERROR(__xludf.DUMMYFUNCTION("""COMPUTED_VALUE"""),"木23")</f>
        <v>木23</v>
      </c>
      <c r="F3547" s="2" t="s">
        <v>10646</v>
      </c>
      <c r="G3547" s="2" t="s">
        <v>10665</v>
      </c>
      <c r="H3547" s="1">
        <v>7.0</v>
      </c>
      <c r="I3547" s="1" t="s">
        <v>2892</v>
      </c>
      <c r="J3547" s="1" t="s">
        <v>1435</v>
      </c>
      <c r="K3547" s="2" t="s">
        <v>10666</v>
      </c>
      <c r="L3547" s="10" t="s">
        <v>10667</v>
      </c>
      <c r="M3547" s="2" t="str">
        <f>IFERROR(__xludf.DUMMYFUNCTION("split(split(K3547,""【"",false),""…寺脇康文"",false)"),"茅ヶ崎美沙…高梨臨  雄島佳介…田中圭  榎田千尋…土村芳  橋本司…淵上泰史    桜井理佳子…内田理央  柿谷真吾…小関裕太  時藤仁…長田成哉  小池奈々…今野杏南  塚地マサノブ…中村公隆  夏目元気…雨野宮将明  前島耕一…金剛地武志  川上怜奈…大沢ひかる  黒川卓美…小西遼生  馬場薫…遊井亮子佳介(田中圭)に元カレとのキスを目撃されてしまった美沙(高梨臨)。たまっていた不安を優しく受け止めてくれる佳介に初めて自分の思いを伝える。彼女として充実した生活を満喫する美沙だったが、佳介の思わぬ姿を"&amp;"目撃してしまうー結婚を取りやめた千尋(土村芳)は、新しいスタートを切ろうと決意。しかし、司(淵上泰史)のことになるとセフレとしての立場に苦悩してしまう。2人のいびつな関係は一体どうなっていくのかー吉俣良  ")</f>
        <v>茅ヶ崎美沙…高梨臨  雄島佳介…田中圭  榎田千尋…土村芳  橋本司…淵上泰史    桜井理佳子…内田理央  柿谷真吾…小関裕太  時藤仁…長田成哉  小池奈々…今野杏南  塚地マサノブ…中村公隆  夏目元気…雨野宮将明  前島耕一…金剛地武志  川上怜奈…大沢ひかる  黒川卓美…小西遼生  馬場薫…遊井亮子佳介(田中圭)に元カレとのキスを目撃されてしまった美沙(高梨臨)。たまっていた不安を優しく受け止めてくれる佳介に初めて自分の思いを伝える。彼女として充実した生活を満喫する美沙だったが、佳介の思わぬ姿を目撃してしまうー結婚を取りやめた千尋(土村芳)は、新しいスタートを切ろうと決意。しかし、司(淵上泰史)のことになるとセフレとしての立場に苦悩してしまう。2人のいびつな関係は一体どうなっていくのかー吉俣良  </v>
      </c>
      <c r="N3547" s="2"/>
      <c r="O3547" s="2"/>
      <c r="P3547" s="1"/>
      <c r="Q3547" s="1"/>
      <c r="R3547" s="1"/>
      <c r="S3547" s="1"/>
      <c r="T3547" s="1"/>
      <c r="U3547" s="1"/>
      <c r="V3547" s="1"/>
      <c r="W3547" s="1"/>
      <c r="X3547" s="1"/>
      <c r="Y3547" s="1"/>
      <c r="Z3547" s="1"/>
      <c r="AA3547" s="1"/>
      <c r="AB3547" s="1"/>
      <c r="AC3547" s="1"/>
      <c r="AD3547" s="1"/>
      <c r="AE3547" s="1"/>
      <c r="AF3547" s="1"/>
      <c r="AG3547" s="1"/>
      <c r="AH3547" s="1"/>
      <c r="AI3547" s="1"/>
      <c r="AJ3547" s="1"/>
      <c r="AK3547" s="1"/>
      <c r="AL3547" s="1"/>
      <c r="AM3547" s="1"/>
      <c r="AN3547" s="1"/>
      <c r="AO3547" s="1"/>
      <c r="AP3547" s="1"/>
      <c r="AQ3547" s="1"/>
      <c r="AR3547" s="1"/>
      <c r="AS3547" s="1"/>
      <c r="AT3547" s="1"/>
      <c r="AU3547" s="1"/>
      <c r="AV3547" s="1"/>
      <c r="AW3547" s="1"/>
      <c r="AX3547" s="1"/>
      <c r="AY3547" s="1"/>
      <c r="AZ3547" s="1"/>
      <c r="BA3547" s="1"/>
      <c r="BB3547" s="1"/>
    </row>
    <row r="3548" ht="204.75" customHeight="1">
      <c r="A3548" s="1">
        <v>1250.0</v>
      </c>
      <c r="B3548" s="2" t="s">
        <v>10645</v>
      </c>
      <c r="C3548" s="2">
        <f>IFERROR(__xludf.DUMMYFUNCTION("split(B3548,""_"")"),1704.0)</f>
        <v>1704</v>
      </c>
      <c r="D3548" s="2" t="str">
        <f>IFERROR(__xludf.DUMMYFUNCTION("""COMPUTED_VALUE"""),"NTV")</f>
        <v>NTV</v>
      </c>
      <c r="E3548" s="2" t="str">
        <f>IFERROR(__xludf.DUMMYFUNCTION("""COMPUTED_VALUE"""),"木23")</f>
        <v>木23</v>
      </c>
      <c r="F3548" s="2" t="s">
        <v>10646</v>
      </c>
      <c r="G3548" s="2" t="s">
        <v>10668</v>
      </c>
      <c r="H3548" s="1">
        <v>8.0</v>
      </c>
      <c r="J3548" s="1" t="s">
        <v>1435</v>
      </c>
      <c r="K3548" s="2" t="s">
        <v>10669</v>
      </c>
      <c r="L3548" s="10" t="s">
        <v>10670</v>
      </c>
      <c r="M3548" s="2" t="str">
        <f>IFERROR(__xludf.DUMMYFUNCTION("split(split(K3548,""【"",false),""…寺脇康文"",false)"),"茅ヶ崎美沙…高梨臨  雄島佳介…田中圭  榎田千尋…土村芳  橋本司…淵上泰史    桜井理佳子…内田理央  柿谷真吾…小関裕太  時藤仁…長田成哉  小池奈々…今野杏南  塚地マサノブ…中村公隆  夏目元気…雨野宮将明  前島耕一…金剛地武志  川上怜奈…大沢ひかる  馬場薫…遊井亮子  和久井遙香…野波麻帆  日下部慎太郎")</f>
        <v>茅ヶ崎美沙…高梨臨  雄島佳介…田中圭  榎田千尋…土村芳  橋本司…淵上泰史    桜井理佳子…内田理央  柿谷真吾…小関裕太  時藤仁…長田成哉  小池奈々…今野杏南  塚地マサノブ…中村公隆  夏目元気…雨野宮将明  前島耕一…金剛地武志  川上怜奈…大沢ひかる  馬場薫…遊井亮子  和久井遙香…野波麻帆  日下部慎太郎</v>
      </c>
      <c r="N3548" s="2" t="str">
        <f>IFERROR(__xludf.DUMMYFUNCTION("""COMPUTED_VALUE"""),"幸せの絶頂だった美沙(高梨臨)だが、佳介(田中圭)の元カノ・怜奈(大沢ひかる)が現れ、佳介から距離を置こうと言われてしまう。恋も仕事も行き詰まり路頭に迷ってしまう美沙…結婚を取りやめた千尋(土村芳)は、“セフレ”ではなく、なんとか司(淵上泰史)と一緒の時間を過ごしたいという思いが強まっていく。しかし、司の部屋で理佳子(内田理央)と出くわし、司を取り合う女同士のケンカが…その結末とはー?吉俣良  ")</f>
        <v>幸せの絶頂だった美沙(高梨臨)だが、佳介(田中圭)の元カノ・怜奈(大沢ひかる)が現れ、佳介から距離を置こうと言われてしまう。恋も仕事も行き詰まり路頭に迷ってしまう美沙…結婚を取りやめた千尋(土村芳)は、“セフレ”ではなく、なんとか司(淵上泰史)と一緒の時間を過ごしたいという思いが強まっていく。しかし、司の部屋で理佳子(内田理央)と出くわし、司を取り合う女同士のケンカが…その結末とはー?吉俣良  </v>
      </c>
      <c r="O3548" s="2"/>
      <c r="P3548" s="1"/>
      <c r="Q3548" s="1"/>
      <c r="R3548" s="1"/>
      <c r="S3548" s="1"/>
      <c r="T3548" s="1"/>
      <c r="U3548" s="1"/>
      <c r="V3548" s="1"/>
      <c r="W3548" s="1"/>
      <c r="X3548" s="1"/>
      <c r="Y3548" s="1"/>
      <c r="Z3548" s="1"/>
      <c r="AA3548" s="1"/>
      <c r="AB3548" s="1"/>
      <c r="AC3548" s="1"/>
      <c r="AD3548" s="1"/>
      <c r="AE3548" s="1"/>
      <c r="AF3548" s="1"/>
      <c r="AG3548" s="1"/>
      <c r="AH3548" s="1"/>
      <c r="AI3548" s="1"/>
      <c r="AJ3548" s="1"/>
      <c r="AK3548" s="1"/>
      <c r="AL3548" s="1"/>
      <c r="AM3548" s="1"/>
      <c r="AN3548" s="1"/>
      <c r="AO3548" s="1"/>
      <c r="AP3548" s="1"/>
      <c r="AQ3548" s="1"/>
      <c r="AR3548" s="1"/>
      <c r="AS3548" s="1"/>
      <c r="AT3548" s="1"/>
      <c r="AU3548" s="1"/>
      <c r="AV3548" s="1"/>
      <c r="AW3548" s="1"/>
      <c r="AX3548" s="1"/>
      <c r="AY3548" s="1"/>
      <c r="AZ3548" s="1"/>
      <c r="BA3548" s="1"/>
      <c r="BB3548" s="1"/>
    </row>
    <row r="3549" ht="204.75" customHeight="1">
      <c r="A3549" s="1">
        <v>1251.0</v>
      </c>
      <c r="B3549" s="2" t="s">
        <v>10645</v>
      </c>
      <c r="C3549" s="2">
        <f>IFERROR(__xludf.DUMMYFUNCTION("split(B3549,""_"")"),1704.0)</f>
        <v>1704</v>
      </c>
      <c r="D3549" s="2" t="str">
        <f>IFERROR(__xludf.DUMMYFUNCTION("""COMPUTED_VALUE"""),"NTV")</f>
        <v>NTV</v>
      </c>
      <c r="E3549" s="2" t="str">
        <f>IFERROR(__xludf.DUMMYFUNCTION("""COMPUTED_VALUE"""),"木23")</f>
        <v>木23</v>
      </c>
      <c r="F3549" s="2" t="s">
        <v>10646</v>
      </c>
      <c r="G3549" s="2" t="s">
        <v>10671</v>
      </c>
      <c r="H3549" s="1">
        <v>9.0</v>
      </c>
      <c r="J3549" s="1" t="s">
        <v>1435</v>
      </c>
      <c r="K3549" s="2" t="s">
        <v>10672</v>
      </c>
      <c r="L3549" s="10" t="s">
        <v>10673</v>
      </c>
      <c r="M3549" s="2" t="str">
        <f>IFERROR(__xludf.DUMMYFUNCTION("split(split(K3549,""【"",false),""…寺脇康文"",false)"),"茅ヶ崎美沙…高梨臨  雄島佳介…田中圭  榎田千尋…土村芳  橋本司…淵上泰史    桜井理佳子…内田理央  柿谷真吾…小関裕太  時藤仁…長田成哉  小池奈々…今野杏南  塚地マサノブ…中村公隆  夏目元気…雨野宮将明  前島耕一…金剛地武志  川上怜奈…大沢ひかる  馬場薫…遊井亮子  小宮山泰造…森岡豊  和久井遙香…野波麻帆  日下部慎太郎")</f>
        <v>茅ヶ崎美沙…高梨臨  雄島佳介…田中圭  榎田千尋…土村芳  橋本司…淵上泰史    桜井理佳子…内田理央  柿谷真吾…小関裕太  時藤仁…長田成哉  小池奈々…今野杏南  塚地マサノブ…中村公隆  夏目元気…雨野宮将明  前島耕一…金剛地武志  川上怜奈…大沢ひかる  馬場薫…遊井亮子  小宮山泰造…森岡豊  和久井遙香…野波麻帆  日下部慎太郎</v>
      </c>
      <c r="N3549" s="2" t="str">
        <f>IFERROR(__xludf.DUMMYFUNCTION("""COMPUTED_VALUE"""),"佳介(田中圭)から距離を置こうと言われ、彼女としての立場に葛藤する美沙(高梨臨)。佳介に言われた言葉をきっかけに自分を見つめ直した美沙は、恋も仕事も前向きに頑張っていこうと決意する…しかし、そんな矢先、会社の根幹を揺るがす大問題が発覚…司(淵上泰史)と一緒にいたい千尋(土村芳)は、意を決してランチデートに誘う。初めてのデートを楽しみ、幸せをかみしめる千尋だが、司は驚きの言葉を口にする…吉俣良  ")</f>
        <v>佳介(田中圭)から距離を置こうと言われ、彼女としての立場に葛藤する美沙(高梨臨)。佳介に言われた言葉をきっかけに自分を見つめ直した美沙は、恋も仕事も前向きに頑張っていこうと決意する…しかし、そんな矢先、会社の根幹を揺るがす大問題が発覚…司(淵上泰史)と一緒にいたい千尋(土村芳)は、意を決してランチデートに誘う。初めてのデートを楽しみ、幸せをかみしめる千尋だが、司は驚きの言葉を口にする…吉俣良  </v>
      </c>
      <c r="O3549" s="2"/>
      <c r="P3549" s="1"/>
      <c r="Q3549" s="1"/>
      <c r="R3549" s="1"/>
      <c r="S3549" s="1"/>
      <c r="T3549" s="1"/>
      <c r="U3549" s="1"/>
      <c r="V3549" s="1"/>
      <c r="W3549" s="1"/>
      <c r="X3549" s="1"/>
      <c r="Y3549" s="1"/>
      <c r="Z3549" s="1"/>
      <c r="AA3549" s="1"/>
      <c r="AB3549" s="1"/>
      <c r="AC3549" s="1"/>
      <c r="AD3549" s="1"/>
      <c r="AE3549" s="1"/>
      <c r="AF3549" s="1"/>
      <c r="AG3549" s="1"/>
      <c r="AH3549" s="1"/>
      <c r="AI3549" s="1"/>
      <c r="AJ3549" s="1"/>
      <c r="AK3549" s="1"/>
      <c r="AL3549" s="1"/>
      <c r="AM3549" s="1"/>
      <c r="AN3549" s="1"/>
      <c r="AO3549" s="1"/>
      <c r="AP3549" s="1"/>
      <c r="AQ3549" s="1"/>
      <c r="AR3549" s="1"/>
      <c r="AS3549" s="1"/>
      <c r="AT3549" s="1"/>
      <c r="AU3549" s="1"/>
      <c r="AV3549" s="1"/>
      <c r="AW3549" s="1"/>
      <c r="AX3549" s="1"/>
      <c r="AY3549" s="1"/>
      <c r="AZ3549" s="1"/>
      <c r="BA3549" s="1"/>
      <c r="BB3549" s="1"/>
    </row>
    <row r="3550" ht="204.75" customHeight="1">
      <c r="A3550" s="1">
        <v>1252.0</v>
      </c>
      <c r="B3550" s="2" t="s">
        <v>10645</v>
      </c>
      <c r="C3550" s="2">
        <f>IFERROR(__xludf.DUMMYFUNCTION("split(B3550,""_"")"),1704.0)</f>
        <v>1704</v>
      </c>
      <c r="D3550" s="2" t="str">
        <f>IFERROR(__xludf.DUMMYFUNCTION("""COMPUTED_VALUE"""),"NTV")</f>
        <v>NTV</v>
      </c>
      <c r="E3550" s="2" t="str">
        <f>IFERROR(__xludf.DUMMYFUNCTION("""COMPUTED_VALUE"""),"木23")</f>
        <v>木23</v>
      </c>
      <c r="F3550" s="2" t="s">
        <v>10646</v>
      </c>
      <c r="G3550" s="2" t="s">
        <v>10674</v>
      </c>
      <c r="H3550" s="1">
        <v>10.0</v>
      </c>
      <c r="J3550" s="1" t="s">
        <v>1435</v>
      </c>
      <c r="K3550" s="2" t="s">
        <v>10675</v>
      </c>
      <c r="L3550" s="10" t="s">
        <v>10676</v>
      </c>
      <c r="M3550" s="2" t="str">
        <f>IFERROR(__xludf.DUMMYFUNCTION("split(split(K3550,""【"",false),""…寺脇康文"",false)"),"茅ヶ崎美沙…高梨臨  雄島佳介…田中圭  榎田千尋…土村芳  橋本司…淵上泰史    桜井理佳子…内田理央  柿谷真吾…小関裕太  小池奈々…今野杏南  塚地マサノブ…中村公隆  夏目元気…雨野宮将明  前島耕一…金剛地武志  川上怜奈…大沢ひかる  馬場薫…遊井亮子  小宮山泰造…森岡豊  和久井遙香…野波麻帆  日下部慎太郎")</f>
        <v>茅ヶ崎美沙…高梨臨  雄島佳介…田中圭  榎田千尋…土村芳  橋本司…淵上泰史    桜井理佳子…内田理央  柿谷真吾…小関裕太  小池奈々…今野杏南  塚地マサノブ…中村公隆  夏目元気…雨野宮将明  前島耕一…金剛地武志  川上怜奈…大沢ひかる  馬場薫…遊井亮子  小宮山泰造…森岡豊  和久井遙香…野波麻帆  日下部慎太郎</v>
      </c>
      <c r="N3550" s="2" t="str">
        <f>IFERROR(__xludf.DUMMYFUNCTION("""COMPUTED_VALUE"""),"バスキアの買収問題が発覚し、美沙(高梨臨)は佳介(田中圭)に会社を辞めると告げた。仕事と恋愛の両方を失いかけていた美沙は、ついにある決心を胸に佳介のもとへー。結婚を取りやめ、司(淵上泰史)に「セフレにしてください!」と頼み込んだ千尋(土村芳)は、司から別れを切り出され、“セフレ”という、いびつな関係も解消し、今までのように会えなくなってしまう。2人の恋は、このまま切ない終わりを迎えてしまうのかー。吉俣良  ")</f>
        <v>バスキアの買収問題が発覚し、美沙(高梨臨)は佳介(田中圭)に会社を辞めると告げた。仕事と恋愛の両方を失いかけていた美沙は、ついにある決心を胸に佳介のもとへー。結婚を取りやめ、司(淵上泰史)に「セフレにしてください!」と頼み込んだ千尋(土村芳)は、司から別れを切り出され、“セフレ”という、いびつな関係も解消し、今までのように会えなくなってしまう。2人の恋は、このまま切ない終わりを迎えてしまうのかー。吉俣良  </v>
      </c>
      <c r="O3550" s="2"/>
      <c r="P3550" s="1"/>
      <c r="Q3550" s="1"/>
      <c r="R3550" s="1"/>
      <c r="S3550" s="1"/>
      <c r="T3550" s="1"/>
      <c r="U3550" s="1"/>
      <c r="V3550" s="1"/>
      <c r="W3550" s="1"/>
      <c r="X3550" s="1"/>
      <c r="Y3550" s="1"/>
      <c r="Z3550" s="1"/>
      <c r="AA3550" s="1"/>
      <c r="AB3550" s="1"/>
      <c r="AC3550" s="1"/>
      <c r="AD3550" s="1"/>
      <c r="AE3550" s="1"/>
      <c r="AF3550" s="1"/>
      <c r="AG3550" s="1"/>
      <c r="AH3550" s="1"/>
      <c r="AI3550" s="1"/>
      <c r="AJ3550" s="1"/>
      <c r="AK3550" s="1"/>
      <c r="AL3550" s="1"/>
      <c r="AM3550" s="1"/>
      <c r="AN3550" s="1"/>
      <c r="AO3550" s="1"/>
      <c r="AP3550" s="1"/>
      <c r="AQ3550" s="1"/>
      <c r="AR3550" s="1"/>
      <c r="AS3550" s="1"/>
      <c r="AT3550" s="1"/>
      <c r="AU3550" s="1"/>
      <c r="AV3550" s="1"/>
      <c r="AW3550" s="1"/>
      <c r="AX3550" s="1"/>
      <c r="AY3550" s="1"/>
      <c r="AZ3550" s="1"/>
      <c r="BA3550" s="1"/>
      <c r="BB3550" s="1"/>
    </row>
    <row r="3551" ht="204.75" customHeight="1">
      <c r="A3551" s="1">
        <v>1253.0</v>
      </c>
      <c r="B3551" s="2" t="s">
        <v>10645</v>
      </c>
      <c r="C3551" s="2">
        <f>IFERROR(__xludf.DUMMYFUNCTION("split(B3551,""_"")"),1704.0)</f>
        <v>1704</v>
      </c>
      <c r="D3551" s="2" t="str">
        <f>IFERROR(__xludf.DUMMYFUNCTION("""COMPUTED_VALUE"""),"NTV")</f>
        <v>NTV</v>
      </c>
      <c r="E3551" s="2" t="str">
        <f>IFERROR(__xludf.DUMMYFUNCTION("""COMPUTED_VALUE"""),"木23")</f>
        <v>木23</v>
      </c>
      <c r="F3551" s="2" t="s">
        <v>10646</v>
      </c>
      <c r="G3551" s="2" t="s">
        <v>10677</v>
      </c>
      <c r="H3551" s="1">
        <v>11.0</v>
      </c>
      <c r="J3551" s="1" t="s">
        <v>1435</v>
      </c>
      <c r="K3551" s="2" t="s">
        <v>10678</v>
      </c>
      <c r="L3551" s="10" t="s">
        <v>10679</v>
      </c>
      <c r="M3551" s="2" t="str">
        <f>IFERROR(__xludf.DUMMYFUNCTION("split(split(K3551,""【"",false),""…寺脇康文"",false)"),"茅ヶ崎美沙…高梨臨  雄島佳介…田中圭  榎田千尋…土村芳  橋本司…淵上泰史    桜井理佳子…内田理央  柿谷真吾…小関裕太  時藤仁…長田成哉  小池奈々…今野杏南  塚地マサノブ…中村公隆  夏目元気…雨野宮将明  前島耕一…金剛地武志  川上怜奈…大沢ひかる  馬場薫…遊井亮子  小宮山泰造…森岡豊  和久井遙香…野波麻帆  日下部慎太郎")</f>
        <v>茅ヶ崎美沙…高梨臨  雄島佳介…田中圭  榎田千尋…土村芳  橋本司…淵上泰史    桜井理佳子…内田理央  柿谷真吾…小関裕太  時藤仁…長田成哉  小池奈々…今野杏南  塚地マサノブ…中村公隆  夏目元気…雨野宮将明  前島耕一…金剛地武志  川上怜奈…大沢ひかる  馬場薫…遊井亮子  小宮山泰造…森岡豊  和久井遙香…野波麻帆  日下部慎太郎</v>
      </c>
      <c r="N3551" s="2" t="str">
        <f>IFERROR(__xludf.DUMMYFUNCTION("""COMPUTED_VALUE"""),"美沙(高梨臨)は会社を辞める、と佳介(田中圭)に伝え合鍵も返してしまう。その後、バスキアの買収問題は意外な展開に。そして、その裏には思いもよらぬ事実が隠されていた…恋に仕事に佳介から振り回されていた美沙はどんな運命を迎えるのかー!?千尋(土村芳)は司(淵上泰史)から「もう会わない」と別れを切り出されてしまった。会わない間、お互いのことを考えていた2人に待ち受ける驚きの結末とはー!?吉俣良  ")</f>
        <v>美沙(高梨臨)は会社を辞める、と佳介(田中圭)に伝え合鍵も返してしまう。その後、バスキアの買収問題は意外な展開に。そして、その裏には思いもよらぬ事実が隠されていた…恋に仕事に佳介から振り回されていた美沙はどんな運命を迎えるのかー!?千尋(土村芳)は司(淵上泰史)から「もう会わない」と別れを切り出されてしまった。会わない間、お互いのことを考えていた2人に待ち受ける驚きの結末とはー!?吉俣良  </v>
      </c>
      <c r="O3551" s="2"/>
      <c r="P3551" s="1"/>
      <c r="Q3551" s="1"/>
      <c r="R3551" s="1"/>
      <c r="S3551" s="1"/>
      <c r="T3551" s="1"/>
      <c r="U3551" s="1"/>
      <c r="V3551" s="1"/>
      <c r="W3551" s="1"/>
      <c r="X3551" s="1"/>
      <c r="Y3551" s="1"/>
      <c r="Z3551" s="1"/>
      <c r="AA3551" s="1"/>
      <c r="AB3551" s="1"/>
      <c r="AC3551" s="1"/>
      <c r="AD3551" s="1"/>
      <c r="AE3551" s="1"/>
      <c r="AF3551" s="1"/>
      <c r="AG3551" s="1"/>
      <c r="AH3551" s="1"/>
      <c r="AI3551" s="1"/>
      <c r="AJ3551" s="1"/>
      <c r="AK3551" s="1"/>
      <c r="AL3551" s="1"/>
      <c r="AM3551" s="1"/>
      <c r="AN3551" s="1"/>
      <c r="AO3551" s="1"/>
      <c r="AP3551" s="1"/>
      <c r="AQ3551" s="1"/>
      <c r="AR3551" s="1"/>
      <c r="AS3551" s="1"/>
      <c r="AT3551" s="1"/>
      <c r="AU3551" s="1"/>
      <c r="AV3551" s="1"/>
      <c r="AW3551" s="1"/>
      <c r="AX3551" s="1"/>
      <c r="AY3551" s="1"/>
      <c r="AZ3551" s="1"/>
      <c r="BA3551" s="1"/>
      <c r="BB3551" s="1"/>
    </row>
    <row r="3552" ht="204.75" customHeight="1">
      <c r="A3552" s="1">
        <v>1272.0</v>
      </c>
      <c r="B3552" s="2" t="s">
        <v>10680</v>
      </c>
      <c r="C3552" s="2">
        <f>IFERROR(__xludf.DUMMYFUNCTION("split(B3552,""_"")"),1704.0)</f>
        <v>1704</v>
      </c>
      <c r="D3552" s="2" t="str">
        <f>IFERROR(__xludf.DUMMYFUNCTION("""COMPUTED_VALUE"""),"NTV")</f>
        <v>NTV</v>
      </c>
      <c r="E3552" s="2" t="str">
        <f>IFERROR(__xludf.DUMMYFUNCTION("""COMPUTED_VALUE"""),"土22")</f>
        <v>土22</v>
      </c>
      <c r="F3552" s="2" t="s">
        <v>10681</v>
      </c>
      <c r="G3552" s="2" t="s">
        <v>10682</v>
      </c>
      <c r="H3552" s="1">
        <v>1.0</v>
      </c>
      <c r="I3552" s="1" t="s">
        <v>2868</v>
      </c>
      <c r="J3552" s="1" t="s">
        <v>82</v>
      </c>
      <c r="K3552" s="4" t="s">
        <v>10683</v>
      </c>
      <c r="L3552" s="11" t="s">
        <v>10684</v>
      </c>
      <c r="M3552" s="2" t="str">
        <f>IFERROR(__xludf.DUMMYFUNCTION("split(split(K3552,""【"",false),""/山下智久"",false)"),"亀梨和也、木村文乃　　菜々緒、澤部佑、渡辺江里子(阿佐ヶ谷姉妹)、岡野真也/杉本哲太/大倉孝二、石野真子、田辺誠一")</f>
        <v>亀梨和也、木村文乃　　菜々緒、澤部佑、渡辺江里子(阿佐ヶ谷姉妹)、岡野真也/杉本哲太/大倉孝二、石野真子、田辺誠一</v>
      </c>
      <c r="N3552" s="2" t="str">
        <f>IFERROR(__xludf.DUMMYFUNCTION("""COMPUTED_VALUE"""),"これまで圧倒的に女運の無い恋愛ばかりしてきた男:正木誠(亀梨和也)。彼はこの春、東京の営業所へと異動してくることに。そんな誠が家に着くと、突然謎の男(山下智久)が現れる。自分を神と名乗るその男。驚く誠に一人の女性:湖月晴子(木村文乃)の写真を見せ、彼女が誠の「運命の女性」だと告げる。晴子は誠にとって見ず知らずの女性……。しかし二人は過去に何度も奇跡のようなすれ違いをしていたことが明らかになりーー。")</f>
        <v>これまで圧倒的に女運の無い恋愛ばかりしてきた男:正木誠(亀梨和也)。彼はこの春、東京の営業所へと異動してくることに。そんな誠が家に着くと、突然謎の男(山下智久)が現れる。自分を神と名乗るその男。驚く誠に一人の女性:湖月晴子(木村文乃)の写真を見せ、彼女が誠の「運命の女性」だと告げる。晴子は誠にとって見ず知らずの女性……。しかし二人は過去に何度も奇跡のようなすれ違いをしていたことが明らかになりーー。</v>
      </c>
      <c r="O3552" s="2"/>
      <c r="P3552" s="1"/>
      <c r="Q3552" s="1"/>
      <c r="R3552" s="1"/>
      <c r="S3552" s="1"/>
      <c r="T3552" s="1"/>
      <c r="U3552" s="1"/>
      <c r="V3552" s="1"/>
      <c r="W3552" s="1"/>
      <c r="X3552" s="1"/>
      <c r="Y3552" s="1"/>
      <c r="Z3552" s="1"/>
      <c r="AA3552" s="1"/>
      <c r="AB3552" s="1"/>
      <c r="AC3552" s="1"/>
      <c r="AD3552" s="1"/>
      <c r="AE3552" s="1"/>
      <c r="AF3552" s="1"/>
      <c r="AG3552" s="1"/>
      <c r="AH3552" s="1"/>
      <c r="AI3552" s="1"/>
      <c r="AJ3552" s="1"/>
      <c r="AK3552" s="1"/>
      <c r="AL3552" s="1"/>
      <c r="AM3552" s="1"/>
      <c r="AN3552" s="1"/>
      <c r="AO3552" s="1"/>
      <c r="AP3552" s="1"/>
      <c r="AQ3552" s="1"/>
      <c r="AR3552" s="1"/>
      <c r="AS3552" s="1"/>
      <c r="AT3552" s="1"/>
      <c r="AU3552" s="1"/>
      <c r="AV3552" s="1"/>
      <c r="AW3552" s="1"/>
      <c r="AX3552" s="1"/>
      <c r="AY3552" s="1"/>
      <c r="AZ3552" s="1"/>
      <c r="BA3552" s="1"/>
      <c r="BB3552" s="1"/>
    </row>
    <row r="3553" ht="204.75" customHeight="1">
      <c r="A3553" s="1">
        <v>1273.0</v>
      </c>
      <c r="B3553" s="2" t="s">
        <v>10680</v>
      </c>
      <c r="C3553" s="2">
        <f>IFERROR(__xludf.DUMMYFUNCTION("split(B3553,""_"")"),1704.0)</f>
        <v>1704</v>
      </c>
      <c r="D3553" s="2" t="str">
        <f>IFERROR(__xludf.DUMMYFUNCTION("""COMPUTED_VALUE"""),"NTV")</f>
        <v>NTV</v>
      </c>
      <c r="E3553" s="2" t="str">
        <f>IFERROR(__xludf.DUMMYFUNCTION("""COMPUTED_VALUE"""),"土22")</f>
        <v>土22</v>
      </c>
      <c r="F3553" s="2" t="s">
        <v>10681</v>
      </c>
      <c r="G3553" s="2" t="s">
        <v>10685</v>
      </c>
      <c r="H3553" s="1">
        <v>2.0</v>
      </c>
      <c r="I3553" s="1" t="s">
        <v>2872</v>
      </c>
      <c r="J3553" s="1" t="s">
        <v>86</v>
      </c>
      <c r="K3553" s="2" t="s">
        <v>10686</v>
      </c>
      <c r="L3553" s="11" t="s">
        <v>10687</v>
      </c>
      <c r="M3553" s="2" t="str">
        <f>IFERROR(__xludf.DUMMYFUNCTION("split(split(K3553,""【"",false),""/山下智久"",false)"),"亀梨和也、木村文乃　　満島真之介、菜々緒、澤部佑、渡辺江里子(阿佐ヶ谷姉妹)、岡野真也/杉本哲太/大倉孝二、石野真子、田辺誠一")</f>
        <v>亀梨和也、木村文乃　　満島真之介、菜々緒、澤部佑、渡辺江里子(阿佐ヶ谷姉妹)、岡野真也/杉本哲太/大倉孝二、石野真子、田辺誠一</v>
      </c>
      <c r="N3553" s="2" t="str">
        <f>IFERROR(__xludf.DUMMYFUNCTION("""COMPUTED_VALUE"""),"恋のライバル登場!晴子(木村文乃)は高校の同級生・定岡(満島真之介)と運命的な再会を果たす。誠(亀梨和也)はその瞬間を目撃し対抗しようとするが、晴子の目にはまだ誠の存在は「運命を語る変わった男」という認識でしかなかった。誠が謎の男(山下智久)にどうすればいいかと尋ねると、誠に今必要なのは愛でも情熱でもなく「お金」だという。「お金」に立ち向かう誠。彼の持つ運命の力は彼に味方をするのか……")</f>
        <v>恋のライバル登場!晴子(木村文乃)は高校の同級生・定岡(満島真之介)と運命的な再会を果たす。誠(亀梨和也)はその瞬間を目撃し対抗しようとするが、晴子の目にはまだ誠の存在は「運命を語る変わった男」という認識でしかなかった。誠が謎の男(山下智久)にどうすればいいかと尋ねると、誠に今必要なのは愛でも情熱でもなく「お金」だという。「お金」に立ち向かう誠。彼の持つ運命の力は彼に味方をするのか……</v>
      </c>
      <c r="O3553" s="2"/>
      <c r="P3553" s="1"/>
      <c r="Q3553" s="1"/>
      <c r="R3553" s="1"/>
      <c r="S3553" s="1"/>
      <c r="T3553" s="1"/>
      <c r="U3553" s="1"/>
      <c r="V3553" s="1"/>
      <c r="W3553" s="1"/>
      <c r="X3553" s="1"/>
      <c r="Y3553" s="1"/>
      <c r="Z3553" s="1"/>
      <c r="AA3553" s="1"/>
      <c r="AB3553" s="1"/>
      <c r="AC3553" s="1"/>
      <c r="AD3553" s="1"/>
      <c r="AE3553" s="1"/>
      <c r="AF3553" s="1"/>
      <c r="AG3553" s="1"/>
      <c r="AH3553" s="1"/>
      <c r="AI3553" s="1"/>
      <c r="AJ3553" s="1"/>
      <c r="AK3553" s="1"/>
      <c r="AL3553" s="1"/>
      <c r="AM3553" s="1"/>
      <c r="AN3553" s="1"/>
      <c r="AO3553" s="1"/>
      <c r="AP3553" s="1"/>
      <c r="AQ3553" s="1"/>
      <c r="AR3553" s="1"/>
      <c r="AS3553" s="1"/>
      <c r="AT3553" s="1"/>
      <c r="AU3553" s="1"/>
      <c r="AV3553" s="1"/>
      <c r="AW3553" s="1"/>
      <c r="AX3553" s="1"/>
      <c r="AY3553" s="1"/>
      <c r="AZ3553" s="1"/>
      <c r="BA3553" s="1"/>
      <c r="BB3553" s="1"/>
    </row>
    <row r="3554" ht="204.75" customHeight="1">
      <c r="A3554" s="1">
        <v>1274.0</v>
      </c>
      <c r="B3554" s="2" t="s">
        <v>10680</v>
      </c>
      <c r="C3554" s="2">
        <f>IFERROR(__xludf.DUMMYFUNCTION("split(B3554,""_"")"),1704.0)</f>
        <v>1704</v>
      </c>
      <c r="D3554" s="2" t="str">
        <f>IFERROR(__xludf.DUMMYFUNCTION("""COMPUTED_VALUE"""),"NTV")</f>
        <v>NTV</v>
      </c>
      <c r="E3554" s="2" t="str">
        <f>IFERROR(__xludf.DUMMYFUNCTION("""COMPUTED_VALUE"""),"土22")</f>
        <v>土22</v>
      </c>
      <c r="F3554" s="2" t="s">
        <v>10681</v>
      </c>
      <c r="G3554" s="2" t="s">
        <v>10688</v>
      </c>
      <c r="H3554" s="1">
        <v>3.0</v>
      </c>
      <c r="I3554" s="1" t="s">
        <v>2876</v>
      </c>
      <c r="J3554" s="1" t="s">
        <v>86</v>
      </c>
      <c r="K3554" s="2" t="s">
        <v>10689</v>
      </c>
      <c r="L3554" s="11" t="s">
        <v>10690</v>
      </c>
      <c r="M3554" s="2" t="str">
        <f>IFERROR(__xludf.DUMMYFUNCTION("split(split(K3554,""【"",false),""/山下智久"",false)"),"亀梨和也、木村文乃　　満島真之介、菜々緒、澤部佑、渡辺江里子(阿佐ヶ谷姉妹)、岡野真也/杉本哲太/大倉孝二、石野真子、田辺誠一")</f>
        <v>亀梨和也、木村文乃　　満島真之介、菜々緒、澤部佑、渡辺江里子(阿佐ヶ谷姉妹)、岡野真也/杉本哲太/大倉孝二、石野真子、田辺誠一</v>
      </c>
      <c r="N3554" s="2" t="str">
        <f>IFERROR(__xludf.DUMMYFUNCTION("""COMPUTED_VALUE"""),"早くも運命の恋に大進展が!?謎の男(山下智久)の指令により、日常に溢れる「音楽」に注目を置く誠。ささいな出来事が力をくれると言うのだが…。一方ライバルの定岡(満島真之介)はなんと晴子(木村文乃)に告白をすると宣言。焦る誠は二人の元へと走って行くのだが…。恋が大きく動きだす第3話。皆さんの日常も大きく変わってしまうかもしれない、小さな奇跡のお話。")</f>
        <v>早くも運命の恋に大進展が!?謎の男(山下智久)の指令により、日常に溢れる「音楽」に注目を置く誠。ささいな出来事が力をくれると言うのだが…。一方ライバルの定岡(満島真之介)はなんと晴子(木村文乃)に告白をすると宣言。焦る誠は二人の元へと走って行くのだが…。恋が大きく動きだす第3話。皆さんの日常も大きく変わってしまうかもしれない、小さな奇跡のお話。</v>
      </c>
      <c r="O3554" s="2"/>
      <c r="P3554" s="1"/>
      <c r="Q3554" s="1"/>
      <c r="R3554" s="1"/>
      <c r="S3554" s="1"/>
      <c r="T3554" s="1"/>
      <c r="U3554" s="1"/>
      <c r="V3554" s="1"/>
      <c r="W3554" s="1"/>
      <c r="X3554" s="1"/>
      <c r="Y3554" s="1"/>
      <c r="Z3554" s="1"/>
      <c r="AA3554" s="1"/>
      <c r="AB3554" s="1"/>
      <c r="AC3554" s="1"/>
      <c r="AD3554" s="1"/>
      <c r="AE3554" s="1"/>
      <c r="AF3554" s="1"/>
      <c r="AG3554" s="1"/>
      <c r="AH3554" s="1"/>
      <c r="AI3554" s="1"/>
      <c r="AJ3554" s="1"/>
      <c r="AK3554" s="1"/>
      <c r="AL3554" s="1"/>
      <c r="AM3554" s="1"/>
      <c r="AN3554" s="1"/>
      <c r="AO3554" s="1"/>
      <c r="AP3554" s="1"/>
      <c r="AQ3554" s="1"/>
      <c r="AR3554" s="1"/>
      <c r="AS3554" s="1"/>
      <c r="AT3554" s="1"/>
      <c r="AU3554" s="1"/>
      <c r="AV3554" s="1"/>
      <c r="AW3554" s="1"/>
      <c r="AX3554" s="1"/>
      <c r="AY3554" s="1"/>
      <c r="AZ3554" s="1"/>
      <c r="BA3554" s="1"/>
      <c r="BB3554" s="1"/>
    </row>
    <row r="3555" ht="204.75" customHeight="1">
      <c r="A3555" s="1">
        <v>1275.0</v>
      </c>
      <c r="B3555" s="2" t="s">
        <v>10680</v>
      </c>
      <c r="C3555" s="2">
        <f>IFERROR(__xludf.DUMMYFUNCTION("split(B3555,""_"")"),1704.0)</f>
        <v>1704</v>
      </c>
      <c r="D3555" s="2" t="str">
        <f>IFERROR(__xludf.DUMMYFUNCTION("""COMPUTED_VALUE"""),"NTV")</f>
        <v>NTV</v>
      </c>
      <c r="E3555" s="2" t="str">
        <f>IFERROR(__xludf.DUMMYFUNCTION("""COMPUTED_VALUE"""),"土22")</f>
        <v>土22</v>
      </c>
      <c r="F3555" s="2" t="s">
        <v>10681</v>
      </c>
      <c r="G3555" s="2" t="s">
        <v>10691</v>
      </c>
      <c r="H3555" s="1">
        <v>4.0</v>
      </c>
      <c r="I3555" s="1" t="s">
        <v>2880</v>
      </c>
      <c r="J3555" s="1" t="s">
        <v>86</v>
      </c>
      <c r="K3555" s="2" t="s">
        <v>10692</v>
      </c>
      <c r="L3555" s="11" t="s">
        <v>10693</v>
      </c>
      <c r="M3555" s="2" t="str">
        <f>IFERROR(__xludf.DUMMYFUNCTION("split(split(K3555,""【"",false),""/山下智久"",false)"),"亀梨和也、木村文乃　　満島真之介、菜々緒、澤部佑、渡辺江里子(阿佐ヶ谷姉妹)、岡野真也/杉本哲太/大倉孝二、石野真子、田辺誠一")</f>
        <v>亀梨和也、木村文乃　　満島真之介、菜々緒、澤部佑、渡辺江里子(阿佐ヶ谷姉妹)、岡野真也/杉本哲太/大倉孝二、石野真子、田辺誠一</v>
      </c>
      <c r="N3555" s="2" t="str">
        <f>IFERROR(__xludf.DUMMYFUNCTION("""COMPUTED_VALUE"""),"自分は恋するスイッチを失ったと、自己嫌悪の中に入る晴子(木村文乃)。完全に勝機がないと諦める謎の男(山下智久)だったが、彼女を本気で好きになったと不屈の宣言をする誠(亀梨和也)に、男はなぜか烏田(田辺誠一)の人参嫌い克服へ向かうという謎の指令を授ける。嫌いを好きに変える方法に悩む誠。しかし、その騒動は晴子の固い殻を突き破るある発見に繋がっていくことに…!?気持ち動かす一手が飛び出す必見の第4話!")</f>
        <v>自分は恋するスイッチを失ったと、自己嫌悪の中に入る晴子(木村文乃)。完全に勝機がないと諦める謎の男(山下智久)だったが、彼女を本気で好きになったと不屈の宣言をする誠(亀梨和也)に、男はなぜか烏田(田辺誠一)の人参嫌い克服へ向かうという謎の指令を授ける。嫌いを好きに変える方法に悩む誠。しかし、その騒動は晴子の固い殻を突き破るある発見に繋がっていくことに…!?気持ち動かす一手が飛び出す必見の第4話!</v>
      </c>
      <c r="O3555" s="2"/>
      <c r="P3555" s="1"/>
      <c r="Q3555" s="1"/>
      <c r="R3555" s="1"/>
      <c r="S3555" s="1"/>
      <c r="T3555" s="1"/>
      <c r="U3555" s="1"/>
      <c r="V3555" s="1"/>
      <c r="W3555" s="1"/>
      <c r="X3555" s="1"/>
      <c r="Y3555" s="1"/>
      <c r="Z3555" s="1"/>
      <c r="AA3555" s="1"/>
      <c r="AB3555" s="1"/>
      <c r="AC3555" s="1"/>
      <c r="AD3555" s="1"/>
      <c r="AE3555" s="1"/>
      <c r="AF3555" s="1"/>
      <c r="AG3555" s="1"/>
      <c r="AH3555" s="1"/>
      <c r="AI3555" s="1"/>
      <c r="AJ3555" s="1"/>
      <c r="AK3555" s="1"/>
      <c r="AL3555" s="1"/>
      <c r="AM3555" s="1"/>
      <c r="AN3555" s="1"/>
      <c r="AO3555" s="1"/>
      <c r="AP3555" s="1"/>
      <c r="AQ3555" s="1"/>
      <c r="AR3555" s="1"/>
      <c r="AS3555" s="1"/>
      <c r="AT3555" s="1"/>
      <c r="AU3555" s="1"/>
      <c r="AV3555" s="1"/>
      <c r="AW3555" s="1"/>
      <c r="AX3555" s="1"/>
      <c r="AY3555" s="1"/>
      <c r="AZ3555" s="1"/>
      <c r="BA3555" s="1"/>
      <c r="BB3555" s="1"/>
    </row>
    <row r="3556" ht="204.75" customHeight="1">
      <c r="A3556" s="1">
        <v>1276.0</v>
      </c>
      <c r="B3556" s="2" t="s">
        <v>10680</v>
      </c>
      <c r="C3556" s="2">
        <f>IFERROR(__xludf.DUMMYFUNCTION("split(B3556,""_"")"),1704.0)</f>
        <v>1704</v>
      </c>
      <c r="D3556" s="2" t="str">
        <f>IFERROR(__xludf.DUMMYFUNCTION("""COMPUTED_VALUE"""),"NTV")</f>
        <v>NTV</v>
      </c>
      <c r="E3556" s="2" t="str">
        <f>IFERROR(__xludf.DUMMYFUNCTION("""COMPUTED_VALUE"""),"土22")</f>
        <v>土22</v>
      </c>
      <c r="F3556" s="2" t="s">
        <v>10681</v>
      </c>
      <c r="G3556" s="2" t="s">
        <v>10694</v>
      </c>
      <c r="H3556" s="1">
        <v>5.0</v>
      </c>
      <c r="I3556" s="1" t="s">
        <v>2884</v>
      </c>
      <c r="J3556" s="1" t="s">
        <v>86</v>
      </c>
      <c r="K3556" s="2" t="s">
        <v>10695</v>
      </c>
      <c r="L3556" s="11" t="s">
        <v>10696</v>
      </c>
      <c r="M3556" s="2" t="str">
        <f>IFERROR(__xludf.DUMMYFUNCTION("split(split(K3556,""【"",false),""/山下智久"",false)"),"亀梨和也、木村文乃　　満島真之介、菜々緒、澤部佑、渡辺江里子(阿佐ヶ谷姉妹)、岡野真也/杉本哲太/大倉孝二、石野真子、田辺誠一")</f>
        <v>亀梨和也、木村文乃　　満島真之介、菜々緒、澤部佑、渡辺江里子(阿佐ヶ谷姉妹)、岡野真也/杉本哲太/大倉孝二、石野真子、田辺誠一</v>
      </c>
      <c r="N3556" s="2" t="str">
        <f>IFERROR(__xludf.DUMMYFUNCTION("""COMPUTED_VALUE"""),"誠(亀梨和也)と晴子(木村文乃)の初デート。二人は、晴子の憧れの元力士の断髪式へと誘われる。そんな中、誠は謎の男(山下智久)の指令でなぜか定岡(満島真之介)と共に筋力トレーニングをさせられる。それが奇跡を呼び起こすとは知らずに…。二人がデートで訪れた場所は偶然晴子の両親が30年前に結婚式を挙げたホテルで。ーーこの回、誰も想像していないアノ奇跡が起きる。皆さんで是非、見届けてください。")</f>
        <v>誠(亀梨和也)と晴子(木村文乃)の初デート。二人は、晴子の憧れの元力士の断髪式へと誘われる。そんな中、誠は謎の男(山下智久)の指令でなぜか定岡(満島真之介)と共に筋力トレーニングをさせられる。それが奇跡を呼び起こすとは知らずに…。二人がデートで訪れた場所は偶然晴子の両親が30年前に結婚式を挙げたホテルで。ーーこの回、誰も想像していないアノ奇跡が起きる。皆さんで是非、見届けてください。</v>
      </c>
      <c r="O3556" s="2"/>
      <c r="P3556" s="1"/>
      <c r="Q3556" s="1"/>
      <c r="R3556" s="1"/>
      <c r="S3556" s="1"/>
      <c r="T3556" s="1"/>
      <c r="U3556" s="1"/>
      <c r="V3556" s="1"/>
      <c r="W3556" s="1"/>
      <c r="X3556" s="1"/>
      <c r="Y3556" s="1"/>
      <c r="Z3556" s="1"/>
      <c r="AA3556" s="1"/>
      <c r="AB3556" s="1"/>
      <c r="AC3556" s="1"/>
      <c r="AD3556" s="1"/>
      <c r="AE3556" s="1"/>
      <c r="AF3556" s="1"/>
      <c r="AG3556" s="1"/>
      <c r="AH3556" s="1"/>
      <c r="AI3556" s="1"/>
      <c r="AJ3556" s="1"/>
      <c r="AK3556" s="1"/>
      <c r="AL3556" s="1"/>
      <c r="AM3556" s="1"/>
      <c r="AN3556" s="1"/>
      <c r="AO3556" s="1"/>
      <c r="AP3556" s="1"/>
      <c r="AQ3556" s="1"/>
      <c r="AR3556" s="1"/>
      <c r="AS3556" s="1"/>
      <c r="AT3556" s="1"/>
      <c r="AU3556" s="1"/>
      <c r="AV3556" s="1"/>
      <c r="AW3556" s="1"/>
      <c r="AX3556" s="1"/>
      <c r="AY3556" s="1"/>
      <c r="AZ3556" s="1"/>
      <c r="BA3556" s="1"/>
      <c r="BB3556" s="1"/>
    </row>
    <row r="3557" ht="204.75" customHeight="1">
      <c r="A3557" s="1">
        <v>1277.0</v>
      </c>
      <c r="B3557" s="2" t="s">
        <v>10680</v>
      </c>
      <c r="C3557" s="2">
        <f>IFERROR(__xludf.DUMMYFUNCTION("split(B3557,""_"")"),1704.0)</f>
        <v>1704</v>
      </c>
      <c r="D3557" s="2" t="str">
        <f>IFERROR(__xludf.DUMMYFUNCTION("""COMPUTED_VALUE"""),"NTV")</f>
        <v>NTV</v>
      </c>
      <c r="E3557" s="2" t="str">
        <f>IFERROR(__xludf.DUMMYFUNCTION("""COMPUTED_VALUE"""),"土22")</f>
        <v>土22</v>
      </c>
      <c r="F3557" s="2" t="s">
        <v>10681</v>
      </c>
      <c r="G3557" s="2" t="s">
        <v>10697</v>
      </c>
      <c r="H3557" s="1">
        <v>6.0</v>
      </c>
      <c r="I3557" s="1" t="s">
        <v>2888</v>
      </c>
      <c r="J3557" s="1" t="s">
        <v>86</v>
      </c>
      <c r="K3557" s="2" t="s">
        <v>10698</v>
      </c>
      <c r="L3557" s="11" t="s">
        <v>10699</v>
      </c>
      <c r="M3557" s="2" t="str">
        <f>IFERROR(__xludf.DUMMYFUNCTION("split(split(K3557,""【"",false),""/山下智久"",false)"),"亀梨和也、木村文乃　　満島真之介、菜々緒、澤部佑、渡辺江里子(阿佐ヶ谷姉妹)、岡野真也/杉本哲太/大倉孝二、石野真子、田辺誠一")</f>
        <v>亀梨和也、木村文乃　　満島真之介、菜々緒、澤部佑、渡辺江里子(阿佐ヶ谷姉妹)、岡野真也/杉本哲太/大倉孝二、石野真子、田辺誠一</v>
      </c>
      <c r="N3557" s="2" t="str">
        <f>IFERROR(__xludf.DUMMYFUNCTION("""COMPUTED_VALUE"""),"晴子(木村文乃)を自宅に呼んでしまおうと誠(亀梨和也)に提案する謎の男(山下智久)。誠に足りないのは強引に女性を引っ張る男らしさだと言う謎の男は誠に「目指せ亭主関白」を指令として出す。いつものように無茶苦茶な指令に戸惑う中で、誠が別の女性と交際しているのではという疑惑が発生。その誤解を解くために必死の説得で晴子を家に招く誠。一つ屋根の下、涙する彼女。全てが繋がる第6話。一つの答えが導き出される…。")</f>
        <v>晴子(木村文乃)を自宅に呼んでしまおうと誠(亀梨和也)に提案する謎の男(山下智久)。誠に足りないのは強引に女性を引っ張る男らしさだと言う謎の男は誠に「目指せ亭主関白」を指令として出す。いつものように無茶苦茶な指令に戸惑う中で、誠が別の女性と交際しているのではという疑惑が発生。その誤解を解くために必死の説得で晴子を家に招く誠。一つ屋根の下、涙する彼女。全てが繋がる第6話。一つの答えが導き出される…。</v>
      </c>
      <c r="O3557" s="2"/>
      <c r="P3557" s="1"/>
      <c r="Q3557" s="1"/>
      <c r="R3557" s="1"/>
      <c r="S3557" s="1"/>
      <c r="T3557" s="1"/>
      <c r="U3557" s="1"/>
      <c r="V3557" s="1"/>
      <c r="W3557" s="1"/>
      <c r="X3557" s="1"/>
      <c r="Y3557" s="1"/>
      <c r="Z3557" s="1"/>
      <c r="AA3557" s="1"/>
      <c r="AB3557" s="1"/>
      <c r="AC3557" s="1"/>
      <c r="AD3557" s="1"/>
      <c r="AE3557" s="1"/>
      <c r="AF3557" s="1"/>
      <c r="AG3557" s="1"/>
      <c r="AH3557" s="1"/>
      <c r="AI3557" s="1"/>
      <c r="AJ3557" s="1"/>
      <c r="AK3557" s="1"/>
      <c r="AL3557" s="1"/>
      <c r="AM3557" s="1"/>
      <c r="AN3557" s="1"/>
      <c r="AO3557" s="1"/>
      <c r="AP3557" s="1"/>
      <c r="AQ3557" s="1"/>
      <c r="AR3557" s="1"/>
      <c r="AS3557" s="1"/>
      <c r="AT3557" s="1"/>
      <c r="AU3557" s="1"/>
      <c r="AV3557" s="1"/>
      <c r="AW3557" s="1"/>
      <c r="AX3557" s="1"/>
      <c r="AY3557" s="1"/>
      <c r="AZ3557" s="1"/>
      <c r="BA3557" s="1"/>
      <c r="BB3557" s="1"/>
    </row>
    <row r="3558" ht="204.75" customHeight="1">
      <c r="A3558" s="1">
        <v>1278.0</v>
      </c>
      <c r="B3558" s="2" t="s">
        <v>10680</v>
      </c>
      <c r="C3558" s="2">
        <f>IFERROR(__xludf.DUMMYFUNCTION("split(B3558,""_"")"),1704.0)</f>
        <v>1704</v>
      </c>
      <c r="D3558" s="2" t="str">
        <f>IFERROR(__xludf.DUMMYFUNCTION("""COMPUTED_VALUE"""),"NTV")</f>
        <v>NTV</v>
      </c>
      <c r="E3558" s="2" t="str">
        <f>IFERROR(__xludf.DUMMYFUNCTION("""COMPUTED_VALUE"""),"土22")</f>
        <v>土22</v>
      </c>
      <c r="F3558" s="2" t="s">
        <v>10681</v>
      </c>
      <c r="G3558" s="2" t="s">
        <v>10700</v>
      </c>
      <c r="H3558" s="1">
        <v>7.0</v>
      </c>
      <c r="I3558" s="1" t="s">
        <v>2892</v>
      </c>
      <c r="J3558" s="1" t="s">
        <v>86</v>
      </c>
      <c r="K3558" s="2" t="s">
        <v>10701</v>
      </c>
      <c r="L3558" s="11" t="s">
        <v>10702</v>
      </c>
      <c r="M3558" s="2" t="str">
        <f>IFERROR(__xludf.DUMMYFUNCTION("split(split(K3558,""【"",false),""/山下智久"",false)"),"亀梨和也、木村文乃　　満島真之介、菜々緒、澤部佑、渡辺江里子(阿佐ヶ谷姉妹)、岡野真也/杉本哲太/大倉孝二、石野真子、田辺誠一")</f>
        <v>亀梨和也、木村文乃　　満島真之介、菜々緒、澤部佑、渡辺江里子(阿佐ヶ谷姉妹)、岡野真也/杉本哲太/大倉孝二、石野真子、田辺誠一</v>
      </c>
      <c r="N3558" s="2" t="str">
        <f>IFERROR(__xludf.DUMMYFUNCTION("""COMPUTED_VALUE"""),"晴れて付き合うことになった誠(亀梨和也)と晴子(木村文乃)。だが、謎の男(山下智久)はあくまで二人の結婚を求め、その期限はあと1ヶ月だと告げる。通常の手順では間に合わないという謎の男は、彼女のちゃんとした誕生日プレゼントに指輪をプレゼントすることを指示する。しかも、その渡し方は誰も想像出来ない究極のサプライズを求められ…。付き合った二人。その「二人」にこれまでにない奇跡の運命が降り注ぐ…。")</f>
        <v>晴れて付き合うことになった誠(亀梨和也)と晴子(木村文乃)。だが、謎の男(山下智久)はあくまで二人の結婚を求め、その期限はあと1ヶ月だと告げる。通常の手順では間に合わないという謎の男は、彼女のちゃんとした誕生日プレゼントに指輪をプレゼントすることを指示する。しかも、その渡し方は誰も想像出来ない究極のサプライズを求められ…。付き合った二人。その「二人」にこれまでにない奇跡の運命が降り注ぐ…。</v>
      </c>
      <c r="O3558" s="2"/>
      <c r="P3558" s="1"/>
      <c r="Q3558" s="1"/>
      <c r="R3558" s="1"/>
      <c r="S3558" s="1"/>
      <c r="T3558" s="1"/>
      <c r="U3558" s="1"/>
      <c r="V3558" s="1"/>
      <c r="W3558" s="1"/>
      <c r="X3558" s="1"/>
      <c r="Y3558" s="1"/>
      <c r="Z3558" s="1"/>
      <c r="AA3558" s="1"/>
      <c r="AB3558" s="1"/>
      <c r="AC3558" s="1"/>
      <c r="AD3558" s="1"/>
      <c r="AE3558" s="1"/>
      <c r="AF3558" s="1"/>
      <c r="AG3558" s="1"/>
      <c r="AH3558" s="1"/>
      <c r="AI3558" s="1"/>
      <c r="AJ3558" s="1"/>
      <c r="AK3558" s="1"/>
      <c r="AL3558" s="1"/>
      <c r="AM3558" s="1"/>
      <c r="AN3558" s="1"/>
      <c r="AO3558" s="1"/>
      <c r="AP3558" s="1"/>
      <c r="AQ3558" s="1"/>
      <c r="AR3558" s="1"/>
      <c r="AS3558" s="1"/>
      <c r="AT3558" s="1"/>
      <c r="AU3558" s="1"/>
      <c r="AV3558" s="1"/>
      <c r="AW3558" s="1"/>
      <c r="AX3558" s="1"/>
      <c r="AY3558" s="1"/>
      <c r="AZ3558" s="1"/>
      <c r="BA3558" s="1"/>
      <c r="BB3558" s="1"/>
    </row>
    <row r="3559" ht="204.75" customHeight="1">
      <c r="A3559" s="1">
        <v>1279.0</v>
      </c>
      <c r="B3559" s="2" t="s">
        <v>10680</v>
      </c>
      <c r="C3559" s="2">
        <f>IFERROR(__xludf.DUMMYFUNCTION("split(B3559,""_"")"),1704.0)</f>
        <v>1704</v>
      </c>
      <c r="D3559" s="2" t="str">
        <f>IFERROR(__xludf.DUMMYFUNCTION("""COMPUTED_VALUE"""),"NTV")</f>
        <v>NTV</v>
      </c>
      <c r="E3559" s="2" t="str">
        <f>IFERROR(__xludf.DUMMYFUNCTION("""COMPUTED_VALUE"""),"土22")</f>
        <v>土22</v>
      </c>
      <c r="F3559" s="2" t="s">
        <v>10681</v>
      </c>
      <c r="G3559" s="2" t="s">
        <v>10703</v>
      </c>
      <c r="H3559" s="1">
        <v>8.0</v>
      </c>
      <c r="I3559" s="1" t="s">
        <v>2896</v>
      </c>
      <c r="J3559" s="1" t="s">
        <v>86</v>
      </c>
      <c r="K3559" s="2" t="s">
        <v>10704</v>
      </c>
      <c r="L3559" s="11" t="s">
        <v>10705</v>
      </c>
      <c r="M3559" s="2" t="str">
        <f>IFERROR(__xludf.DUMMYFUNCTION("split(split(K3559,""【"",false),""/山下智久"",false)"),"亀梨和也、木村文乃　　満島真之介、菜々緒、澤部佑、渡辺江里子(阿佐ヶ谷姉妹)、岡野真也/杉本哲太/大倉孝二、石野真子、田辺誠一")</f>
        <v>亀梨和也、木村文乃　　満島真之介、菜々緒、澤部佑、渡辺江里子(阿佐ヶ谷姉妹)、岡野真也/杉本哲太/大倉孝二、石野真子、田辺誠一</v>
      </c>
      <c r="N3559" s="2" t="str">
        <f>IFERROR(__xludf.DUMMYFUNCTION("""COMPUTED_VALUE"""),"誠(亀梨和也)の元彼女が美人局の罪を行なっていたことを知った晴子(木村文乃)の父・大地(杉本哲太)が大激怒。誠のことを認めていた状態が一転。娘との交際は許さないと殻を閉ざしてしまう。落ち込む誠とは逆に今こそチャンスだと言う謎の男(山下智久)。不良が良いことをした時に株が急上昇するのと同じく挽回したら奇跡の男になれると助言。そして攻略の鍵は三恵(菜々緒)にアリと聞き…。親子が起こす新たな運命とは!?")</f>
        <v>誠(亀梨和也)の元彼女が美人局の罪を行なっていたことを知った晴子(木村文乃)の父・大地(杉本哲太)が大激怒。誠のことを認めていた状態が一転。娘との交際は許さないと殻を閉ざしてしまう。落ち込む誠とは逆に今こそチャンスだと言う謎の男(山下智久)。不良が良いことをした時に株が急上昇するのと同じく挽回したら奇跡の男になれると助言。そして攻略の鍵は三恵(菜々緒)にアリと聞き…。親子が起こす新たな運命とは!?</v>
      </c>
      <c r="O3559" s="2"/>
      <c r="P3559" s="1"/>
      <c r="Q3559" s="1"/>
      <c r="R3559" s="1"/>
      <c r="S3559" s="1"/>
      <c r="T3559" s="1"/>
      <c r="U3559" s="1"/>
      <c r="V3559" s="1"/>
      <c r="W3559" s="1"/>
      <c r="X3559" s="1"/>
      <c r="Y3559" s="1"/>
      <c r="Z3559" s="1"/>
      <c r="AA3559" s="1"/>
      <c r="AB3559" s="1"/>
      <c r="AC3559" s="1"/>
      <c r="AD3559" s="1"/>
      <c r="AE3559" s="1"/>
      <c r="AF3559" s="1"/>
      <c r="AG3559" s="1"/>
      <c r="AH3559" s="1"/>
      <c r="AI3559" s="1"/>
      <c r="AJ3559" s="1"/>
      <c r="AK3559" s="1"/>
      <c r="AL3559" s="1"/>
      <c r="AM3559" s="1"/>
      <c r="AN3559" s="1"/>
      <c r="AO3559" s="1"/>
      <c r="AP3559" s="1"/>
      <c r="AQ3559" s="1"/>
      <c r="AR3559" s="1"/>
      <c r="AS3559" s="1"/>
      <c r="AT3559" s="1"/>
      <c r="AU3559" s="1"/>
      <c r="AV3559" s="1"/>
      <c r="AW3559" s="1"/>
      <c r="AX3559" s="1"/>
      <c r="AY3559" s="1"/>
      <c r="AZ3559" s="1"/>
      <c r="BA3559" s="1"/>
      <c r="BB3559" s="1"/>
    </row>
    <row r="3560" ht="204.75" customHeight="1">
      <c r="A3560" s="1">
        <v>1280.0</v>
      </c>
      <c r="B3560" s="2" t="s">
        <v>10680</v>
      </c>
      <c r="C3560" s="2">
        <f>IFERROR(__xludf.DUMMYFUNCTION("split(B3560,""_"")"),1704.0)</f>
        <v>1704</v>
      </c>
      <c r="D3560" s="2" t="str">
        <f>IFERROR(__xludf.DUMMYFUNCTION("""COMPUTED_VALUE"""),"NTV")</f>
        <v>NTV</v>
      </c>
      <c r="E3560" s="2" t="str">
        <f>IFERROR(__xludf.DUMMYFUNCTION("""COMPUTED_VALUE"""),"土22")</f>
        <v>土22</v>
      </c>
      <c r="F3560" s="2" t="s">
        <v>10681</v>
      </c>
      <c r="G3560" s="2" t="s">
        <v>10706</v>
      </c>
      <c r="H3560" s="1">
        <v>9.0</v>
      </c>
      <c r="I3560" s="1" t="s">
        <v>2900</v>
      </c>
      <c r="J3560" s="1" t="s">
        <v>86</v>
      </c>
      <c r="K3560" s="2" t="s">
        <v>10707</v>
      </c>
      <c r="L3560" s="11" t="s">
        <v>10708</v>
      </c>
      <c r="M3560" s="2" t="str">
        <f>IFERROR(__xludf.DUMMYFUNCTION("split(split(K3560,""【"",false),""/山下智久"",false)"),"亀梨和也、木村文乃　　満島真之介、菜々緒、澤部佑、渡辺江里子(阿佐ヶ谷姉妹)、岡野真也/杉本哲太/大倉孝二、石野真子、田辺誠一")</f>
        <v>亀梨和也、木村文乃　　満島真之介、菜々緒、澤部佑、渡辺江里子(阿佐ヶ谷姉妹)、岡野真也/杉本哲太/大倉孝二、石野真子、田辺誠一</v>
      </c>
      <c r="N3560" s="2" t="str">
        <f>IFERROR(__xludf.DUMMYFUNCTION("""COMPUTED_VALUE"""),"ついに最終試験!運命の一夜を過ごすことになった誠(亀梨和也)と晴子(木村文乃)。一方、謎の男(山下智久)は突然自らの正体を誠に語り出す。戸惑う誠を尻目にそんなことはどうでもいいとばかりに晴子との温泉旅行に対しいつも通りの無茶な指令として、「湯を全て抜いてこい」と誠に命じる。温泉旅行を満喫する誠と晴子は思わぬ夜を迎え…。そして謎の男はいつもと違う表情で誠を出迎える。寂しげな神。二人、出会いがあれば…")</f>
        <v>ついに最終試験!運命の一夜を過ごすことになった誠(亀梨和也)と晴子(木村文乃)。一方、謎の男(山下智久)は突然自らの正体を誠に語り出す。戸惑う誠を尻目にそんなことはどうでもいいとばかりに晴子との温泉旅行に対しいつも通りの無茶な指令として、「湯を全て抜いてこい」と誠に命じる。温泉旅行を満喫する誠と晴子は思わぬ夜を迎え…。そして謎の男はいつもと違う表情で誠を出迎える。寂しげな神。二人、出会いがあれば…</v>
      </c>
      <c r="O3560" s="2"/>
      <c r="P3560" s="1"/>
      <c r="Q3560" s="1"/>
      <c r="R3560" s="1"/>
      <c r="S3560" s="1"/>
      <c r="T3560" s="1"/>
      <c r="U3560" s="1"/>
      <c r="V3560" s="1"/>
      <c r="W3560" s="1"/>
      <c r="X3560" s="1"/>
      <c r="Y3560" s="1"/>
      <c r="Z3560" s="1"/>
      <c r="AA3560" s="1"/>
      <c r="AB3560" s="1"/>
      <c r="AC3560" s="1"/>
      <c r="AD3560" s="1"/>
      <c r="AE3560" s="1"/>
      <c r="AF3560" s="1"/>
      <c r="AG3560" s="1"/>
      <c r="AH3560" s="1"/>
      <c r="AI3560" s="1"/>
      <c r="AJ3560" s="1"/>
      <c r="AK3560" s="1"/>
      <c r="AL3560" s="1"/>
      <c r="AM3560" s="1"/>
      <c r="AN3560" s="1"/>
      <c r="AO3560" s="1"/>
      <c r="AP3560" s="1"/>
      <c r="AQ3560" s="1"/>
      <c r="AR3560" s="1"/>
      <c r="AS3560" s="1"/>
      <c r="AT3560" s="1"/>
      <c r="AU3560" s="1"/>
      <c r="AV3560" s="1"/>
      <c r="AW3560" s="1"/>
      <c r="AX3560" s="1"/>
      <c r="AY3560" s="1"/>
      <c r="AZ3560" s="1"/>
      <c r="BA3560" s="1"/>
      <c r="BB3560" s="1"/>
    </row>
    <row r="3561" ht="204.75" customHeight="1">
      <c r="A3561" s="1">
        <v>1281.0</v>
      </c>
      <c r="B3561" s="2" t="s">
        <v>10680</v>
      </c>
      <c r="C3561" s="2">
        <f>IFERROR(__xludf.DUMMYFUNCTION("split(B3561,""_"")"),1704.0)</f>
        <v>1704</v>
      </c>
      <c r="D3561" s="2" t="str">
        <f>IFERROR(__xludf.DUMMYFUNCTION("""COMPUTED_VALUE"""),"NTV")</f>
        <v>NTV</v>
      </c>
      <c r="E3561" s="2" t="str">
        <f>IFERROR(__xludf.DUMMYFUNCTION("""COMPUTED_VALUE"""),"土22")</f>
        <v>土22</v>
      </c>
      <c r="F3561" s="2" t="s">
        <v>10681</v>
      </c>
      <c r="G3561" s="2" t="s">
        <v>10709</v>
      </c>
      <c r="H3561" s="1">
        <v>10.0</v>
      </c>
      <c r="I3561" s="1" t="s">
        <v>37</v>
      </c>
      <c r="J3561" s="1" t="s">
        <v>86</v>
      </c>
      <c r="K3561" s="2" t="s">
        <v>10710</v>
      </c>
      <c r="L3561" s="11" t="s">
        <v>10711</v>
      </c>
      <c r="M3561" s="2" t="str">
        <f>IFERROR(__xludf.DUMMYFUNCTION("split(split(K3561,""【"",false),""/山下智久"",false)"),"亀梨和也、木村文乃　　満島真之介、菜々緒、澤部佑、渡辺江里子(阿佐ヶ谷姉妹)、岡野真也/杉本哲太/大倉孝二、石野真子、田辺誠一")</f>
        <v>亀梨和也、木村文乃　　満島真之介、菜々緒、澤部佑、渡辺江里子(阿佐ヶ谷姉妹)、岡野真也/杉本哲太/大倉孝二、石野真子、田辺誠一</v>
      </c>
      <c r="N3561" s="2" t="str">
        <f>IFERROR(__xludf.DUMMYFUNCTION("""COMPUTED_VALUE"""),"未来から来た正木一郎(山下智久)の記憶が消えてしまった誠(亀梨和也)。自らの力で晴子(木村文乃)へプロポーズに向かうが、なぜか二人の運命の歯車は少しずつ噛み合わなくなっていく…。背中越しの席は変わり、晴子は遠方へ出張が決まる。しかしいつも助けてくれていた一郎はもう居ない…。そんな一郎は突然、定岡(満島真之介)の前に現れて…。全ての奇跡はこの日のために。皆さん是非一緒に彼らの運命を見届けてください!")</f>
        <v>未来から来た正木一郎(山下智久)の記憶が消えてしまった誠(亀梨和也)。自らの力で晴子(木村文乃)へプロポーズに向かうが、なぜか二人の運命の歯車は少しずつ噛み合わなくなっていく…。背中越しの席は変わり、晴子は遠方へ出張が決まる。しかしいつも助けてくれていた一郎はもう居ない…。そんな一郎は突然、定岡(満島真之介)の前に現れて…。全ての奇跡はこの日のために。皆さん是非一緒に彼らの運命を見届けてください!</v>
      </c>
      <c r="O3561" s="2"/>
      <c r="P3561" s="1"/>
      <c r="Q3561" s="1"/>
      <c r="R3561" s="1"/>
      <c r="S3561" s="1"/>
      <c r="T3561" s="1"/>
      <c r="U3561" s="1"/>
      <c r="V3561" s="1"/>
      <c r="W3561" s="1"/>
      <c r="X3561" s="1"/>
      <c r="Y3561" s="1"/>
      <c r="Z3561" s="1"/>
      <c r="AA3561" s="1"/>
      <c r="AB3561" s="1"/>
      <c r="AC3561" s="1"/>
      <c r="AD3561" s="1"/>
      <c r="AE3561" s="1"/>
      <c r="AF3561" s="1"/>
      <c r="AG3561" s="1"/>
      <c r="AH3561" s="1"/>
      <c r="AI3561" s="1"/>
      <c r="AJ3561" s="1"/>
      <c r="AK3561" s="1"/>
      <c r="AL3561" s="1"/>
      <c r="AM3561" s="1"/>
      <c r="AN3561" s="1"/>
      <c r="AO3561" s="1"/>
      <c r="AP3561" s="1"/>
      <c r="AQ3561" s="1"/>
      <c r="AR3561" s="1"/>
      <c r="AS3561" s="1"/>
      <c r="AT3561" s="1"/>
      <c r="AU3561" s="1"/>
      <c r="AV3561" s="1"/>
      <c r="AW3561" s="1"/>
      <c r="AX3561" s="1"/>
      <c r="AY3561" s="1"/>
      <c r="AZ3561" s="1"/>
      <c r="BA3561" s="1"/>
      <c r="BB3561" s="1"/>
    </row>
    <row r="3562" ht="204.75" customHeight="1">
      <c r="A3562" s="1">
        <v>1302.0</v>
      </c>
      <c r="B3562" s="2" t="s">
        <v>10712</v>
      </c>
      <c r="C3562" s="2">
        <f>IFERROR(__xludf.DUMMYFUNCTION("split(B3562,""_"")"),1704.0)</f>
        <v>1704</v>
      </c>
      <c r="D3562" s="2" t="str">
        <f>IFERROR(__xludf.DUMMYFUNCTION("""COMPUTED_VALUE"""),"NTV")</f>
        <v>NTV</v>
      </c>
      <c r="E3562" s="2" t="str">
        <f>IFERROR(__xludf.DUMMYFUNCTION("""COMPUTED_VALUE"""),"日22")</f>
        <v>日22</v>
      </c>
      <c r="F3562" s="2" t="s">
        <v>10713</v>
      </c>
      <c r="G3562" s="2" t="s">
        <v>10714</v>
      </c>
      <c r="H3562" s="1">
        <v>1.0</v>
      </c>
      <c r="I3562" s="1" t="s">
        <v>2868</v>
      </c>
      <c r="J3562" s="1" t="s">
        <v>82</v>
      </c>
      <c r="K3562" s="4" t="s">
        <v>10715</v>
      </c>
      <c r="L3562" s="11" t="s">
        <v>10716</v>
      </c>
      <c r="M3562" s="2" t="str">
        <f>IFERROR(__xludf.DUMMYFUNCTION("split(split(K3562,""【"",false),""、柄本明"",false)"),"綾野剛、二階堂ふみ、柳楽優弥、川栄李奈、篠原篤、葉山奨之、木野花、黒田大輔、森岡龍、水沢エレナ、大西礼芳、田島ゆみか、中村無何有、永岡佑、新井浩文、山内圭哉、光石研")</f>
        <v>綾野剛、二階堂ふみ、柳楽優弥、川栄李奈、篠原篤、葉山奨之、木野花、黒田大輔、森岡龍、水沢エレナ、大西礼芳、田島ゆみか、中村無何有、永岡佑、新井浩文、山内圭哉、光石研</v>
      </c>
      <c r="N3562" s="2" t="str">
        <f>IFERROR(__xludf.DUMMYFUNCTION("""COMPUTED_VALUE"""),"津軽(二階堂ふみ)は、キノコの研究に没頭する大学生。同じ研究室の稲庭(柳楽優弥)からは、菌類女子“キンジョ”というあだ名を付けられるほどキノコにのめり込んでいた。ある日、キノコを探して森に入った彼女は、怪物(綾野剛)と出会う。「僕は人間じゃない」と謎めいた言葉を口にし、自分は人間とは暮らせないと打ち明ける怪物を津軽は森から連れ出す。ずっと孤独に生きてきた怪物は、初めて人間と触れ合うことになり…。　")</f>
        <v>津軽(二階堂ふみ)は、キノコの研究に没頭する大学生。同じ研究室の稲庭(柳楽優弥)からは、菌類女子“キンジョ”というあだ名を付けられるほどキノコにのめり込んでいた。ある日、キノコを探して森に入った彼女は、怪物(綾野剛)と出会う。「僕は人間じゃない」と謎めいた言葉を口にし、自分は人間とは暮らせないと打ち明ける怪物を津軽は森から連れ出す。ずっと孤独に生きてきた怪物は、初めて人間と触れ合うことになり…。　</v>
      </c>
      <c r="O3562" s="2"/>
      <c r="P3562" s="1"/>
      <c r="Q3562" s="1"/>
      <c r="R3562" s="1"/>
      <c r="S3562" s="1"/>
      <c r="T3562" s="1"/>
      <c r="U3562" s="1"/>
      <c r="V3562" s="1"/>
      <c r="W3562" s="1"/>
      <c r="X3562" s="1"/>
      <c r="Y3562" s="1"/>
      <c r="Z3562" s="1"/>
      <c r="AA3562" s="1"/>
      <c r="AB3562" s="1"/>
      <c r="AC3562" s="1"/>
      <c r="AD3562" s="1"/>
      <c r="AE3562" s="1"/>
      <c r="AF3562" s="1"/>
      <c r="AG3562" s="1"/>
      <c r="AH3562" s="1"/>
      <c r="AI3562" s="1"/>
      <c r="AJ3562" s="1"/>
      <c r="AK3562" s="1"/>
      <c r="AL3562" s="1"/>
      <c r="AM3562" s="1"/>
      <c r="AN3562" s="1"/>
      <c r="AO3562" s="1"/>
      <c r="AP3562" s="1"/>
      <c r="AQ3562" s="1"/>
      <c r="AR3562" s="1"/>
      <c r="AS3562" s="1"/>
      <c r="AT3562" s="1"/>
      <c r="AU3562" s="1"/>
      <c r="AV3562" s="1"/>
      <c r="AW3562" s="1"/>
      <c r="AX3562" s="1"/>
      <c r="AY3562" s="1"/>
      <c r="AZ3562" s="1"/>
      <c r="BA3562" s="1"/>
      <c r="BB3562" s="1"/>
    </row>
    <row r="3563" ht="204.75" customHeight="1">
      <c r="A3563" s="1">
        <v>1303.0</v>
      </c>
      <c r="B3563" s="2" t="s">
        <v>10712</v>
      </c>
      <c r="C3563" s="2">
        <f>IFERROR(__xludf.DUMMYFUNCTION("split(B3563,""_"")"),1704.0)</f>
        <v>1704</v>
      </c>
      <c r="D3563" s="2" t="str">
        <f>IFERROR(__xludf.DUMMYFUNCTION("""COMPUTED_VALUE"""),"NTV")</f>
        <v>NTV</v>
      </c>
      <c r="E3563" s="2" t="str">
        <f>IFERROR(__xludf.DUMMYFUNCTION("""COMPUTED_VALUE"""),"日22")</f>
        <v>日22</v>
      </c>
      <c r="F3563" s="2" t="s">
        <v>10713</v>
      </c>
      <c r="G3563" s="2" t="s">
        <v>10717</v>
      </c>
      <c r="H3563" s="1">
        <v>2.0</v>
      </c>
      <c r="I3563" s="1" t="s">
        <v>2872</v>
      </c>
      <c r="J3563" s="1" t="s">
        <v>82</v>
      </c>
      <c r="K3563" s="2" t="s">
        <v>10718</v>
      </c>
      <c r="L3563" s="11" t="s">
        <v>10719</v>
      </c>
      <c r="M3563" s="2" t="str">
        <f>IFERROR(__xludf.DUMMYFUNCTION("split(split(K3563,""【"",false),""、柄本明"",false)"),"綾野剛、二階堂ふみ、柳楽優弥、川栄李奈、篠原篤、葉山奨之、木野花、黒田大輔、森岡龍、水沢エレナ、大西礼芳、田島ゆみか、中村無何有、永岡佑、新井浩文、山内圭哉、光石研")</f>
        <v>綾野剛、二階堂ふみ、柳楽優弥、川栄李奈、篠原篤、葉山奨之、木野花、黒田大輔、森岡龍、水沢エレナ、大西礼芳、田島ゆみか、中村無何有、永岡佑、新井浩文、山内圭哉、光石研</v>
      </c>
      <c r="N3563" s="2" t="str">
        <f>IFERROR(__xludf.DUMMYFUNCTION("""COMPUTED_VALUE"""),"津軽(二階堂ふみ)と稲庭(柳楽優弥)の2人の抱擁を見た深志研(綾野剛)は、嫉妬の感情からか、変態してしまう。さらに、深志研がその体で触れてしまった晴果(田島ゆみか)は、顔を半透明の白いキノコに覆われ、意識不明の状態に。津軽は、深志研が晴果の症状に関わっていると考え、姿を消した彼を探す。だが、目の前に現れた津軽に深志研は「ぼくをもう見つけないでください」と言い残し、森の中へ去ってしまう…。")</f>
        <v>津軽(二階堂ふみ)と稲庭(柳楽優弥)の2人の抱擁を見た深志研(綾野剛)は、嫉妬の感情からか、変態してしまう。さらに、深志研がその体で触れてしまった晴果(田島ゆみか)は、顔を半透明の白いキノコに覆われ、意識不明の状態に。津軽は、深志研が晴果の症状に関わっていると考え、姿を消した彼を探す。だが、目の前に現れた津軽に深志研は「ぼくをもう見つけないでください」と言い残し、森の中へ去ってしまう…。</v>
      </c>
      <c r="O3563" s="2"/>
      <c r="P3563" s="1"/>
      <c r="Q3563" s="1"/>
      <c r="R3563" s="1"/>
      <c r="S3563" s="1"/>
      <c r="T3563" s="1"/>
      <c r="U3563" s="1"/>
      <c r="V3563" s="1"/>
      <c r="W3563" s="1"/>
      <c r="X3563" s="1"/>
      <c r="Y3563" s="1"/>
      <c r="Z3563" s="1"/>
      <c r="AA3563" s="1"/>
      <c r="AB3563" s="1"/>
      <c r="AC3563" s="1"/>
      <c r="AD3563" s="1"/>
      <c r="AE3563" s="1"/>
      <c r="AF3563" s="1"/>
      <c r="AG3563" s="1"/>
      <c r="AH3563" s="1"/>
      <c r="AI3563" s="1"/>
      <c r="AJ3563" s="1"/>
      <c r="AK3563" s="1"/>
      <c r="AL3563" s="1"/>
      <c r="AM3563" s="1"/>
      <c r="AN3563" s="1"/>
      <c r="AO3563" s="1"/>
      <c r="AP3563" s="1"/>
      <c r="AQ3563" s="1"/>
      <c r="AR3563" s="1"/>
      <c r="AS3563" s="1"/>
      <c r="AT3563" s="1"/>
      <c r="AU3563" s="1"/>
      <c r="AV3563" s="1"/>
      <c r="AW3563" s="1"/>
      <c r="AX3563" s="1"/>
      <c r="AY3563" s="1"/>
      <c r="AZ3563" s="1"/>
      <c r="BA3563" s="1"/>
      <c r="BB3563" s="1"/>
    </row>
    <row r="3564" ht="204.75" customHeight="1">
      <c r="A3564" s="1">
        <v>1304.0</v>
      </c>
      <c r="B3564" s="2" t="s">
        <v>10712</v>
      </c>
      <c r="C3564" s="2">
        <f>IFERROR(__xludf.DUMMYFUNCTION("split(B3564,""_"")"),1704.0)</f>
        <v>1704</v>
      </c>
      <c r="D3564" s="2" t="str">
        <f>IFERROR(__xludf.DUMMYFUNCTION("""COMPUTED_VALUE"""),"NTV")</f>
        <v>NTV</v>
      </c>
      <c r="E3564" s="2" t="str">
        <f>IFERROR(__xludf.DUMMYFUNCTION("""COMPUTED_VALUE"""),"日22")</f>
        <v>日22</v>
      </c>
      <c r="F3564" s="2" t="s">
        <v>10713</v>
      </c>
      <c r="G3564" s="2" t="s">
        <v>10720</v>
      </c>
      <c r="H3564" s="1">
        <v>3.0</v>
      </c>
      <c r="I3564" s="1" t="s">
        <v>2876</v>
      </c>
      <c r="J3564" s="1" t="s">
        <v>82</v>
      </c>
      <c r="K3564" s="2" t="s">
        <v>10721</v>
      </c>
      <c r="L3564" s="11" t="s">
        <v>10722</v>
      </c>
      <c r="M3564" s="2" t="str">
        <f>IFERROR(__xludf.DUMMYFUNCTION("split(split(K3564,""【"",false),""、柄本明"",false)"),"綾野剛、二階堂ふみ、柳楽優弥、川栄李奈、篠原篤、葉山奨之、木野花、黒田大輔、森岡龍、水沢エレナ、大西礼芳、田島ゆみか、中村無何有、新井浩文、山内圭哉、光石研")</f>
        <v>綾野剛、二階堂ふみ、柳楽優弥、川栄李奈、篠原篤、葉山奨之、木野花、黒田大輔、森岡龍、水沢エレナ、大西礼芳、田島ゆみか、中村無何有、新井浩文、山内圭哉、光石研</v>
      </c>
      <c r="N3564" s="2" t="str">
        <f>IFERROR(__xludf.DUMMYFUNCTION("""COMPUTED_VALUE"""),"稲庭工務店に戻ってきた深志研(綾野剛)は、稲庭(柳楽優弥)の助けを借り、大好きなラジオ番組の悩み相談に投稿することに。一方、津軽(二階堂ふみ)は祖母の叶枝(木野花)から、120年前、半透明のキノコに覆われるという原因不明の病気で死んだ叶枝の祖母の妹・サキの話を聞く。そんな中、工務店の面々が働く建築現場の壁に落書きが見つかる。それを見て、激しく動揺する室園(川栄李奈)の前に、町田という男が現れて…。")</f>
        <v>稲庭工務店に戻ってきた深志研(綾野剛)は、稲庭(柳楽優弥)の助けを借り、大好きなラジオ番組の悩み相談に投稿することに。一方、津軽(二階堂ふみ)は祖母の叶枝(木野花)から、120年前、半透明のキノコに覆われるという原因不明の病気で死んだ叶枝の祖母の妹・サキの話を聞く。そんな中、工務店の面々が働く建築現場の壁に落書きが見つかる。それを見て、激しく動揺する室園(川栄李奈)の前に、町田という男が現れて…。</v>
      </c>
      <c r="O3564" s="2"/>
      <c r="P3564" s="1"/>
      <c r="Q3564" s="1"/>
      <c r="R3564" s="1"/>
      <c r="S3564" s="1"/>
      <c r="T3564" s="1"/>
      <c r="U3564" s="1"/>
      <c r="V3564" s="1"/>
      <c r="W3564" s="1"/>
      <c r="X3564" s="1"/>
      <c r="Y3564" s="1"/>
      <c r="Z3564" s="1"/>
      <c r="AA3564" s="1"/>
      <c r="AB3564" s="1"/>
      <c r="AC3564" s="1"/>
      <c r="AD3564" s="1"/>
      <c r="AE3564" s="1"/>
      <c r="AF3564" s="1"/>
      <c r="AG3564" s="1"/>
      <c r="AH3564" s="1"/>
      <c r="AI3564" s="1"/>
      <c r="AJ3564" s="1"/>
      <c r="AK3564" s="1"/>
      <c r="AL3564" s="1"/>
      <c r="AM3564" s="1"/>
      <c r="AN3564" s="1"/>
      <c r="AO3564" s="1"/>
      <c r="AP3564" s="1"/>
      <c r="AQ3564" s="1"/>
      <c r="AR3564" s="1"/>
      <c r="AS3564" s="1"/>
      <c r="AT3564" s="1"/>
      <c r="AU3564" s="1"/>
      <c r="AV3564" s="1"/>
      <c r="AW3564" s="1"/>
      <c r="AX3564" s="1"/>
      <c r="AY3564" s="1"/>
      <c r="AZ3564" s="1"/>
      <c r="BA3564" s="1"/>
      <c r="BB3564" s="1"/>
    </row>
    <row r="3565" ht="204.75" customHeight="1">
      <c r="A3565" s="1">
        <v>1305.0</v>
      </c>
      <c r="B3565" s="2" t="s">
        <v>10712</v>
      </c>
      <c r="C3565" s="2">
        <f>IFERROR(__xludf.DUMMYFUNCTION("split(B3565,""_"")"),1704.0)</f>
        <v>1704</v>
      </c>
      <c r="D3565" s="2" t="str">
        <f>IFERROR(__xludf.DUMMYFUNCTION("""COMPUTED_VALUE"""),"NTV")</f>
        <v>NTV</v>
      </c>
      <c r="E3565" s="2" t="str">
        <f>IFERROR(__xludf.DUMMYFUNCTION("""COMPUTED_VALUE"""),"日22")</f>
        <v>日22</v>
      </c>
      <c r="F3565" s="2" t="s">
        <v>10713</v>
      </c>
      <c r="G3565" s="2" t="s">
        <v>10723</v>
      </c>
      <c r="H3565" s="1">
        <v>4.0</v>
      </c>
      <c r="I3565" s="1" t="s">
        <v>2880</v>
      </c>
      <c r="J3565" s="1" t="s">
        <v>82</v>
      </c>
      <c r="K3565" s="2" t="s">
        <v>10724</v>
      </c>
      <c r="L3565" s="11" t="s">
        <v>10725</v>
      </c>
      <c r="M3565" s="2" t="str">
        <f>IFERROR(__xludf.DUMMYFUNCTION("split(split(K3565,""【"",false),""、柄本明"",false)"),"綾野剛、二階堂ふみ、柳楽優弥、川栄李奈、篠原篤、葉山奨之、黒田大輔、森岡龍、水沢エレナ、大西礼芳、田島ゆみか、中村無何有、新井浩文、山内圭哉、光石研")</f>
        <v>綾野剛、二階堂ふみ、柳楽優弥、川栄李奈、篠原篤、葉山奨之、黒田大輔、森岡龍、水沢エレナ、大西礼芳、田島ゆみか、中村無何有、新井浩文、山内圭哉、光石研</v>
      </c>
      <c r="N3565" s="2" t="str">
        <f>IFERROR(__xludf.DUMMYFUNCTION("""COMPUTED_VALUE"""),"深志研の「恋をした相手が治らない病気で悩んでいる。その人の命を守るためにはどうしたらいいか」という投稿を受け取った天草は、生放送中に鶴丸(柄本明)を訪ねる。悩みに答えてほしいと頼まれた鶴丸は「相手の生命力を引き出すために、恋をしなさい」と勧める。津軽に恋をしていると告白するが、拒絶された深志研は、どうしたら津軽を救うことができるのか思案する。そんな中、彼は建設現場で事故に遭ってしまう…。")</f>
        <v>深志研の「恋をした相手が治らない病気で悩んでいる。その人の命を守るためにはどうしたらいいか」という投稿を受け取った天草は、生放送中に鶴丸(柄本明)を訪ねる。悩みに答えてほしいと頼まれた鶴丸は「相手の生命力を引き出すために、恋をしなさい」と勧める。津軽に恋をしていると告白するが、拒絶された深志研は、どうしたら津軽を救うことができるのか思案する。そんな中、彼は建設現場で事故に遭ってしまう…。</v>
      </c>
      <c r="O3565" s="2"/>
      <c r="P3565" s="1"/>
      <c r="Q3565" s="1"/>
      <c r="R3565" s="1"/>
      <c r="S3565" s="1"/>
      <c r="T3565" s="1"/>
      <c r="U3565" s="1"/>
      <c r="V3565" s="1"/>
      <c r="W3565" s="1"/>
      <c r="X3565" s="1"/>
      <c r="Y3565" s="1"/>
      <c r="Z3565" s="1"/>
      <c r="AA3565" s="1"/>
      <c r="AB3565" s="1"/>
      <c r="AC3565" s="1"/>
      <c r="AD3565" s="1"/>
      <c r="AE3565" s="1"/>
      <c r="AF3565" s="1"/>
      <c r="AG3565" s="1"/>
      <c r="AH3565" s="1"/>
      <c r="AI3565" s="1"/>
      <c r="AJ3565" s="1"/>
      <c r="AK3565" s="1"/>
      <c r="AL3565" s="1"/>
      <c r="AM3565" s="1"/>
      <c r="AN3565" s="1"/>
      <c r="AO3565" s="1"/>
      <c r="AP3565" s="1"/>
      <c r="AQ3565" s="1"/>
      <c r="AR3565" s="1"/>
      <c r="AS3565" s="1"/>
      <c r="AT3565" s="1"/>
      <c r="AU3565" s="1"/>
      <c r="AV3565" s="1"/>
      <c r="AW3565" s="1"/>
      <c r="AX3565" s="1"/>
      <c r="AY3565" s="1"/>
      <c r="AZ3565" s="1"/>
      <c r="BA3565" s="1"/>
      <c r="BB3565" s="1"/>
    </row>
    <row r="3566" ht="204.75" customHeight="1">
      <c r="A3566" s="1">
        <v>1306.0</v>
      </c>
      <c r="B3566" s="2" t="s">
        <v>10712</v>
      </c>
      <c r="C3566" s="2">
        <f>IFERROR(__xludf.DUMMYFUNCTION("split(B3566,""_"")"),1704.0)</f>
        <v>1704</v>
      </c>
      <c r="D3566" s="2" t="str">
        <f>IFERROR(__xludf.DUMMYFUNCTION("""COMPUTED_VALUE"""),"NTV")</f>
        <v>NTV</v>
      </c>
      <c r="E3566" s="2" t="str">
        <f>IFERROR(__xludf.DUMMYFUNCTION("""COMPUTED_VALUE"""),"日22")</f>
        <v>日22</v>
      </c>
      <c r="F3566" s="2" t="s">
        <v>10713</v>
      </c>
      <c r="G3566" s="2" t="s">
        <v>10726</v>
      </c>
      <c r="H3566" s="1">
        <v>5.0</v>
      </c>
      <c r="I3566" s="1" t="s">
        <v>2884</v>
      </c>
      <c r="J3566" s="1" t="s">
        <v>82</v>
      </c>
      <c r="K3566" s="2" t="s">
        <v>10727</v>
      </c>
      <c r="L3566" s="11" t="s">
        <v>10728</v>
      </c>
      <c r="M3566" s="2" t="str">
        <f>IFERROR(__xludf.DUMMYFUNCTION("split(split(K3566,""【"",false),""、柄本明"",false)"),"綾野剛、二階堂ふみ、柳楽優弥、川栄李奈、篠原篤、葉山奨之、黒田大輔、森岡龍、水沢エレナ、大西礼芳、田島ゆみか、中村無何有、新井浩文、山内圭哉、光石研")</f>
        <v>綾野剛、二階堂ふみ、柳楽優弥、川栄李奈、篠原篤、葉山奨之、黒田大輔、森岡龍、水沢エレナ、大西礼芳、田島ゆみか、中村無何有、新井浩文、山内圭哉、光石研</v>
      </c>
      <c r="N3566" s="2" t="str">
        <f>IFERROR(__xludf.DUMMYFUNCTION("""COMPUTED_VALUE"""),"深志研は稲庭(柳楽優弥)から、天草が会いたがっていることを聞かされ、喜び、天草と会えるのを心待ちにするように。稲庭工務店では、母親が病気でお金に困っているのでお金を貸して欲しいと部屋を訪れた飯塚(葉山奨之)に給料全てを渡してしまった深志研。しかし、飯塚が嘘をついていたことが発覚し、工務店の人々を巻き込んだ騒動になってしまう。そして、天草が稲庭工務店にやって来て、ついに深志研は天草に対面し・・・。")</f>
        <v>深志研は稲庭(柳楽優弥)から、天草が会いたがっていることを聞かされ、喜び、天草と会えるのを心待ちにするように。稲庭工務店では、母親が病気でお金に困っているのでお金を貸して欲しいと部屋を訪れた飯塚(葉山奨之)に給料全てを渡してしまった深志研。しかし、飯塚が嘘をついていたことが発覚し、工務店の人々を巻き込んだ騒動になってしまう。そして、天草が稲庭工務店にやって来て、ついに深志研は天草に対面し・・・。</v>
      </c>
      <c r="O3566" s="2"/>
      <c r="P3566" s="1"/>
      <c r="Q3566" s="1"/>
      <c r="R3566" s="1"/>
      <c r="S3566" s="1"/>
      <c r="T3566" s="1"/>
      <c r="U3566" s="1"/>
      <c r="V3566" s="1"/>
      <c r="W3566" s="1"/>
      <c r="X3566" s="1"/>
      <c r="Y3566" s="1"/>
      <c r="Z3566" s="1"/>
      <c r="AA3566" s="1"/>
      <c r="AB3566" s="1"/>
      <c r="AC3566" s="1"/>
      <c r="AD3566" s="1"/>
      <c r="AE3566" s="1"/>
      <c r="AF3566" s="1"/>
      <c r="AG3566" s="1"/>
      <c r="AH3566" s="1"/>
      <c r="AI3566" s="1"/>
      <c r="AJ3566" s="1"/>
      <c r="AK3566" s="1"/>
      <c r="AL3566" s="1"/>
      <c r="AM3566" s="1"/>
      <c r="AN3566" s="1"/>
      <c r="AO3566" s="1"/>
      <c r="AP3566" s="1"/>
      <c r="AQ3566" s="1"/>
      <c r="AR3566" s="1"/>
      <c r="AS3566" s="1"/>
      <c r="AT3566" s="1"/>
      <c r="AU3566" s="1"/>
      <c r="AV3566" s="1"/>
      <c r="AW3566" s="1"/>
      <c r="AX3566" s="1"/>
      <c r="AY3566" s="1"/>
      <c r="AZ3566" s="1"/>
      <c r="BA3566" s="1"/>
      <c r="BB3566" s="1"/>
    </row>
    <row r="3567" ht="204.75" customHeight="1">
      <c r="A3567" s="1">
        <v>1307.0</v>
      </c>
      <c r="B3567" s="2" t="s">
        <v>10712</v>
      </c>
      <c r="C3567" s="2">
        <f>IFERROR(__xludf.DUMMYFUNCTION("split(B3567,""_"")"),1704.0)</f>
        <v>1704</v>
      </c>
      <c r="D3567" s="2" t="str">
        <f>IFERROR(__xludf.DUMMYFUNCTION("""COMPUTED_VALUE"""),"NTV")</f>
        <v>NTV</v>
      </c>
      <c r="E3567" s="2" t="str">
        <f>IFERROR(__xludf.DUMMYFUNCTION("""COMPUTED_VALUE"""),"日22")</f>
        <v>日22</v>
      </c>
      <c r="F3567" s="2" t="s">
        <v>10713</v>
      </c>
      <c r="G3567" s="2" t="s">
        <v>10729</v>
      </c>
      <c r="H3567" s="1">
        <v>6.0</v>
      </c>
      <c r="I3567" s="1" t="s">
        <v>2888</v>
      </c>
      <c r="J3567" s="1" t="s">
        <v>82</v>
      </c>
      <c r="K3567" s="2" t="s">
        <v>10730</v>
      </c>
      <c r="L3567" s="11" t="s">
        <v>10731</v>
      </c>
      <c r="M3567" s="2" t="str">
        <f>IFERROR(__xludf.DUMMYFUNCTION("split(split(K3567,""【"",false),""、柄本明"",false)"),"綾野剛、二階堂ふみ、柳楽優弥、川栄李奈、篠原篤、葉山奨之、黒田大輔、森岡龍、水沢エレナ、大西礼芳、中村無何有、新井浩文、山内圭哉、光石研")</f>
        <v>綾野剛、二階堂ふみ、柳楽優弥、川栄李奈、篠原篤、葉山奨之、黒田大輔、森岡龍、水沢エレナ、大西礼芳、中村無何有、新井浩文、山内圭哉、光石研</v>
      </c>
      <c r="N3567" s="2" t="str">
        <f>IFERROR(__xludf.DUMMYFUNCTION("""COMPUTED_VALUE"""),"鶴丸(柄本明)は、感情の高ぶりによって菌を放出する深志研がラジオ出演を通じて多くの人と関わると、菌をまき散らす危険性があると分析。津軽は、ラジオ出演が深志研にとって本当に良いことなのか、心配になる。放送後の反響が大きく、津軽の思いをよそに、菌の放出を誘発するまでのトラブルも起こらず、放送は好評。“フランケンシュタイン”の人気はさらに高まっていくが…。")</f>
        <v>鶴丸(柄本明)は、感情の高ぶりによって菌を放出する深志研がラジオ出演を通じて多くの人と関わると、菌をまき散らす危険性があると分析。津軽は、ラジオ出演が深志研にとって本当に良いことなのか、心配になる。放送後の反響が大きく、津軽の思いをよそに、菌の放出を誘発するまでのトラブルも起こらず、放送は好評。“フランケンシュタイン”の人気はさらに高まっていくが…。</v>
      </c>
      <c r="O3567" s="2"/>
      <c r="P3567" s="1"/>
      <c r="Q3567" s="1"/>
      <c r="R3567" s="1"/>
      <c r="S3567" s="1"/>
      <c r="T3567" s="1"/>
      <c r="U3567" s="1"/>
      <c r="V3567" s="1"/>
      <c r="W3567" s="1"/>
      <c r="X3567" s="1"/>
      <c r="Y3567" s="1"/>
      <c r="Z3567" s="1"/>
      <c r="AA3567" s="1"/>
      <c r="AB3567" s="1"/>
      <c r="AC3567" s="1"/>
      <c r="AD3567" s="1"/>
      <c r="AE3567" s="1"/>
      <c r="AF3567" s="1"/>
      <c r="AG3567" s="1"/>
      <c r="AH3567" s="1"/>
      <c r="AI3567" s="1"/>
      <c r="AJ3567" s="1"/>
      <c r="AK3567" s="1"/>
      <c r="AL3567" s="1"/>
      <c r="AM3567" s="1"/>
      <c r="AN3567" s="1"/>
      <c r="AO3567" s="1"/>
      <c r="AP3567" s="1"/>
      <c r="AQ3567" s="1"/>
      <c r="AR3567" s="1"/>
      <c r="AS3567" s="1"/>
      <c r="AT3567" s="1"/>
      <c r="AU3567" s="1"/>
      <c r="AV3567" s="1"/>
      <c r="AW3567" s="1"/>
      <c r="AX3567" s="1"/>
      <c r="AY3567" s="1"/>
      <c r="AZ3567" s="1"/>
      <c r="BA3567" s="1"/>
      <c r="BB3567" s="1"/>
    </row>
    <row r="3568" ht="204.75" customHeight="1">
      <c r="A3568" s="1">
        <v>1308.0</v>
      </c>
      <c r="B3568" s="2" t="s">
        <v>10712</v>
      </c>
      <c r="C3568" s="2">
        <f>IFERROR(__xludf.DUMMYFUNCTION("split(B3568,""_"")"),1704.0)</f>
        <v>1704</v>
      </c>
      <c r="D3568" s="2" t="str">
        <f>IFERROR(__xludf.DUMMYFUNCTION("""COMPUTED_VALUE"""),"NTV")</f>
        <v>NTV</v>
      </c>
      <c r="E3568" s="2" t="str">
        <f>IFERROR(__xludf.DUMMYFUNCTION("""COMPUTED_VALUE"""),"日22")</f>
        <v>日22</v>
      </c>
      <c r="F3568" s="2" t="s">
        <v>10713</v>
      </c>
      <c r="G3568" s="2" t="s">
        <v>10732</v>
      </c>
      <c r="H3568" s="1">
        <v>7.0</v>
      </c>
      <c r="I3568" s="1" t="s">
        <v>2892</v>
      </c>
      <c r="J3568" s="1" t="s">
        <v>82</v>
      </c>
      <c r="K3568" s="2" t="s">
        <v>10733</v>
      </c>
      <c r="L3568" s="11" t="s">
        <v>10734</v>
      </c>
      <c r="M3568" s="2" t="str">
        <f>IFERROR(__xludf.DUMMYFUNCTION("split(split(K3568,""【"",false),""、柄本明"",false)"),"綾野剛、二階堂ふみ、柳楽優弥、川栄李奈、篠原篤、葉山奨之、木野花、黒田大輔、森岡龍、水沢エレナ、大西礼芳、田島ゆみか、中村無何有、永岡佑、新井浩文、山内圭哉、光石研")</f>
        <v>綾野剛、二階堂ふみ、柳楽優弥、川栄李奈、篠原篤、葉山奨之、木野花、黒田大輔、森岡龍、水沢エレナ、大西礼芳、田島ゆみか、中村無何有、永岡佑、新井浩文、山内圭哉、光石研</v>
      </c>
      <c r="N3568" s="2" t="str">
        <f>IFERROR(__xludf.DUMMYFUNCTION("""COMPUTED_VALUE"""),"深志研は鶴丸(柄本明)に自分の体の仕組みを尋ね、今後、人間の世界で生活する中で複雑な感情が生まれるたびに、危険なものを生み出すことになるだろうと告げられる。自分が津軽といることで再び同じ現象が起こってしまうのではないかと恐れる。プロデューサーからラジオの公開放送にフランケンを出すよう言われた天草は彼の秘密を知り、断るが、聞き入れてもらえず、深志研はラジオの公開生放送へ出演することになる…。")</f>
        <v>深志研は鶴丸(柄本明)に自分の体の仕組みを尋ね、今後、人間の世界で生活する中で複雑な感情が生まれるたびに、危険なものを生み出すことになるだろうと告げられる。自分が津軽といることで再び同じ現象が起こってしまうのではないかと恐れる。プロデューサーからラジオの公開放送にフランケンを出すよう言われた天草は彼の秘密を知り、断るが、聞き入れてもらえず、深志研はラジオの公開生放送へ出演することになる…。</v>
      </c>
      <c r="O3568" s="2"/>
      <c r="P3568" s="1"/>
      <c r="Q3568" s="1"/>
      <c r="R3568" s="1"/>
      <c r="S3568" s="1"/>
      <c r="T3568" s="1"/>
      <c r="U3568" s="1"/>
      <c r="V3568" s="1"/>
      <c r="W3568" s="1"/>
      <c r="X3568" s="1"/>
      <c r="Y3568" s="1"/>
      <c r="Z3568" s="1"/>
      <c r="AA3568" s="1"/>
      <c r="AB3568" s="1"/>
      <c r="AC3568" s="1"/>
      <c r="AD3568" s="1"/>
      <c r="AE3568" s="1"/>
      <c r="AF3568" s="1"/>
      <c r="AG3568" s="1"/>
      <c r="AH3568" s="1"/>
      <c r="AI3568" s="1"/>
      <c r="AJ3568" s="1"/>
      <c r="AK3568" s="1"/>
      <c r="AL3568" s="1"/>
      <c r="AM3568" s="1"/>
      <c r="AN3568" s="1"/>
      <c r="AO3568" s="1"/>
      <c r="AP3568" s="1"/>
      <c r="AQ3568" s="1"/>
      <c r="AR3568" s="1"/>
      <c r="AS3568" s="1"/>
      <c r="AT3568" s="1"/>
      <c r="AU3568" s="1"/>
      <c r="AV3568" s="1"/>
      <c r="AW3568" s="1"/>
      <c r="AX3568" s="1"/>
      <c r="AY3568" s="1"/>
      <c r="AZ3568" s="1"/>
      <c r="BA3568" s="1"/>
      <c r="BB3568" s="1"/>
    </row>
    <row r="3569" ht="204.75" customHeight="1">
      <c r="A3569" s="1">
        <v>1309.0</v>
      </c>
      <c r="B3569" s="2" t="s">
        <v>10712</v>
      </c>
      <c r="C3569" s="2">
        <f>IFERROR(__xludf.DUMMYFUNCTION("split(B3569,""_"")"),1704.0)</f>
        <v>1704</v>
      </c>
      <c r="D3569" s="2" t="str">
        <f>IFERROR(__xludf.DUMMYFUNCTION("""COMPUTED_VALUE"""),"NTV")</f>
        <v>NTV</v>
      </c>
      <c r="E3569" s="2" t="str">
        <f>IFERROR(__xludf.DUMMYFUNCTION("""COMPUTED_VALUE"""),"日22")</f>
        <v>日22</v>
      </c>
      <c r="F3569" s="2" t="s">
        <v>10713</v>
      </c>
      <c r="G3569" s="2" t="s">
        <v>10735</v>
      </c>
      <c r="H3569" s="1">
        <v>8.0</v>
      </c>
      <c r="I3569" s="1" t="s">
        <v>2896</v>
      </c>
      <c r="J3569" s="1" t="s">
        <v>82</v>
      </c>
      <c r="K3569" s="2" t="s">
        <v>10736</v>
      </c>
      <c r="L3569" s="11" t="s">
        <v>10737</v>
      </c>
      <c r="M3569" s="2" t="str">
        <f>IFERROR(__xludf.DUMMYFUNCTION("split(split(K3569,""【"",false),""、柄本明"",false)"),"綾野剛、二階堂ふみ、柳楽優弥、川栄李奈、篠原篤、葉山奨之、黒田大輔、森岡龍、水沢エレナ、大西礼芳、田島ゆみか、中村無何有、永岡佑、新井浩文、山内圭哉、光石研")</f>
        <v>綾野剛、二階堂ふみ、柳楽優弥、川栄李奈、篠原篤、葉山奨之、黒田大輔、森岡龍、水沢エレナ、大西礼芳、田島ゆみか、中村無何有、永岡佑、新井浩文、山内圭哉、光石研</v>
      </c>
      <c r="N3569" s="2" t="str">
        <f>IFERROR(__xludf.DUMMYFUNCTION("""COMPUTED_VALUE"""),"深志研に「僕は本物の怪物なんです」と打ち明けられた稲庭工務店の皆は動揺する。公開生放送で深志研の菌に触れて体調を崩した人が続出し、ラジオ局には抗議が殺到していた。天草(新井浩文)は深志研に真実をラジオで話してほしいと頼み、深志研は承諾。そんな彼のラジオ出演を止めようと津軽(二階堂ふみ)は、二人で一緒に森に逃げようと言う。その時、彼の奥に眠っていた120年前のある記憶がよみがえり…。")</f>
        <v>深志研に「僕は本物の怪物なんです」と打ち明けられた稲庭工務店の皆は動揺する。公開生放送で深志研の菌に触れて体調を崩した人が続出し、ラジオ局には抗議が殺到していた。天草(新井浩文)は深志研に真実をラジオで話してほしいと頼み、深志研は承諾。そんな彼のラジオ出演を止めようと津軽(二階堂ふみ)は、二人で一緒に森に逃げようと言う。その時、彼の奥に眠っていた120年前のある記憶がよみがえり…。</v>
      </c>
      <c r="O3569" s="2"/>
      <c r="P3569" s="1"/>
      <c r="Q3569" s="1"/>
      <c r="R3569" s="1"/>
      <c r="S3569" s="1"/>
      <c r="T3569" s="1"/>
      <c r="U3569" s="1"/>
      <c r="V3569" s="1"/>
      <c r="W3569" s="1"/>
      <c r="X3569" s="1"/>
      <c r="Y3569" s="1"/>
      <c r="Z3569" s="1"/>
      <c r="AA3569" s="1"/>
      <c r="AB3569" s="1"/>
      <c r="AC3569" s="1"/>
      <c r="AD3569" s="1"/>
      <c r="AE3569" s="1"/>
      <c r="AF3569" s="1"/>
      <c r="AG3569" s="1"/>
      <c r="AH3569" s="1"/>
      <c r="AI3569" s="1"/>
      <c r="AJ3569" s="1"/>
      <c r="AK3569" s="1"/>
      <c r="AL3569" s="1"/>
      <c r="AM3569" s="1"/>
      <c r="AN3569" s="1"/>
      <c r="AO3569" s="1"/>
      <c r="AP3569" s="1"/>
      <c r="AQ3569" s="1"/>
      <c r="AR3569" s="1"/>
      <c r="AS3569" s="1"/>
      <c r="AT3569" s="1"/>
      <c r="AU3569" s="1"/>
      <c r="AV3569" s="1"/>
      <c r="AW3569" s="1"/>
      <c r="AX3569" s="1"/>
      <c r="AY3569" s="1"/>
      <c r="AZ3569" s="1"/>
      <c r="BA3569" s="1"/>
      <c r="BB3569" s="1"/>
    </row>
    <row r="3570" ht="204.75" customHeight="1">
      <c r="A3570" s="1">
        <v>1310.0</v>
      </c>
      <c r="B3570" s="2" t="s">
        <v>10712</v>
      </c>
      <c r="C3570" s="2">
        <f>IFERROR(__xludf.DUMMYFUNCTION("split(B3570,""_"")"),1704.0)</f>
        <v>1704</v>
      </c>
      <c r="D3570" s="2" t="str">
        <f>IFERROR(__xludf.DUMMYFUNCTION("""COMPUTED_VALUE"""),"NTV")</f>
        <v>NTV</v>
      </c>
      <c r="E3570" s="2" t="str">
        <f>IFERROR(__xludf.DUMMYFUNCTION("""COMPUTED_VALUE"""),"日22")</f>
        <v>日22</v>
      </c>
      <c r="F3570" s="2" t="s">
        <v>10713</v>
      </c>
      <c r="G3570" s="2" t="s">
        <v>10738</v>
      </c>
      <c r="H3570" s="1">
        <v>9.0</v>
      </c>
      <c r="I3570" s="1" t="s">
        <v>2900</v>
      </c>
      <c r="J3570" s="1" t="s">
        <v>82</v>
      </c>
      <c r="K3570" s="2" t="s">
        <v>10739</v>
      </c>
      <c r="L3570" s="11" t="s">
        <v>10740</v>
      </c>
      <c r="M3570" s="2" t="str">
        <f>IFERROR(__xludf.DUMMYFUNCTION("split(split(K3570,""【"",false),""、柄本明"",false)"),"綾野剛、二階堂ふみ、柳楽優弥、川栄李奈、篠原篤、葉山奨之、斎藤工、木野花、黒田大輔、森岡龍、水沢エレナ、大西礼芳、田島ゆみか、中村無何有、永岡佑、新井浩文、山内圭哉、光石研")</f>
        <v>綾野剛、二階堂ふみ、柳楽優弥、川栄李奈、篠原篤、葉山奨之、斎藤工、木野花、黒田大輔、森岡龍、水沢エレナ、大西礼芳、田島ゆみか、中村無何有、永岡佑、新井浩文、山内圭哉、光石研</v>
      </c>
      <c r="N3570" s="2" t="str">
        <f>IFERROR(__xludf.DUMMYFUNCTION("""COMPUTED_VALUE"""),"120年前、貧しい農家に生まれた山部呼六(綾野・二役)という男がいた。彼は、独学で医師になり、富嶽伝染病研究所で細菌の研究を続ける医学博士・研太郎(斎藤工)に弟子入りする。呼六は、患者のために研究所の周りにある農地で野菜を作ろうと考え、地主の娘・サキ(二階堂ふみ)と出会う。一方、研太郎は密かに、世界中の菌類を集め培養し交配させて新しい菌を生み出そうとしていた。それは、不老不死の研究であったが…。")</f>
        <v>120年前、貧しい農家に生まれた山部呼六(綾野・二役)という男がいた。彼は、独学で医師になり、富嶽伝染病研究所で細菌の研究を続ける医学博士・研太郎(斎藤工)に弟子入りする。呼六は、患者のために研究所の周りにある農地で野菜を作ろうと考え、地主の娘・サキ(二階堂ふみ)と出会う。一方、研太郎は密かに、世界中の菌類を集め培養し交配させて新しい菌を生み出そうとしていた。それは、不老不死の研究であったが…。</v>
      </c>
      <c r="O3570" s="2"/>
      <c r="P3570" s="1"/>
      <c r="Q3570" s="1"/>
      <c r="R3570" s="1"/>
      <c r="S3570" s="1"/>
      <c r="T3570" s="1"/>
      <c r="U3570" s="1"/>
      <c r="V3570" s="1"/>
      <c r="W3570" s="1"/>
      <c r="X3570" s="1"/>
      <c r="Y3570" s="1"/>
      <c r="Z3570" s="1"/>
      <c r="AA3570" s="1"/>
      <c r="AB3570" s="1"/>
      <c r="AC3570" s="1"/>
      <c r="AD3570" s="1"/>
      <c r="AE3570" s="1"/>
      <c r="AF3570" s="1"/>
      <c r="AG3570" s="1"/>
      <c r="AH3570" s="1"/>
      <c r="AI3570" s="1"/>
      <c r="AJ3570" s="1"/>
      <c r="AK3570" s="1"/>
      <c r="AL3570" s="1"/>
      <c r="AM3570" s="1"/>
      <c r="AN3570" s="1"/>
      <c r="AO3570" s="1"/>
      <c r="AP3570" s="1"/>
      <c r="AQ3570" s="1"/>
      <c r="AR3570" s="1"/>
      <c r="AS3570" s="1"/>
      <c r="AT3570" s="1"/>
      <c r="AU3570" s="1"/>
      <c r="AV3570" s="1"/>
      <c r="AW3570" s="1"/>
      <c r="AX3570" s="1"/>
      <c r="AY3570" s="1"/>
      <c r="AZ3570" s="1"/>
      <c r="BA3570" s="1"/>
      <c r="BB3570" s="1"/>
    </row>
    <row r="3571" ht="204.75" customHeight="1">
      <c r="A3571" s="1">
        <v>1311.0</v>
      </c>
      <c r="B3571" s="2" t="s">
        <v>10712</v>
      </c>
      <c r="C3571" s="2">
        <f>IFERROR(__xludf.DUMMYFUNCTION("split(B3571,""_"")"),1704.0)</f>
        <v>1704</v>
      </c>
      <c r="D3571" s="2" t="str">
        <f>IFERROR(__xludf.DUMMYFUNCTION("""COMPUTED_VALUE"""),"NTV")</f>
        <v>NTV</v>
      </c>
      <c r="E3571" s="2" t="str">
        <f>IFERROR(__xludf.DUMMYFUNCTION("""COMPUTED_VALUE"""),"日22")</f>
        <v>日22</v>
      </c>
      <c r="F3571" s="2" t="s">
        <v>10713</v>
      </c>
      <c r="G3571" s="2" t="s">
        <v>10741</v>
      </c>
      <c r="H3571" s="1">
        <v>10.0</v>
      </c>
      <c r="I3571" s="1" t="s">
        <v>37</v>
      </c>
      <c r="J3571" s="1" t="s">
        <v>82</v>
      </c>
      <c r="K3571" s="2" t="s">
        <v>10742</v>
      </c>
      <c r="L3571" s="11" t="s">
        <v>10743</v>
      </c>
      <c r="M3571" s="2" t="str">
        <f>IFERROR(__xludf.DUMMYFUNCTION("split(split(K3571,""【"",false),""、柄本明"",false)"),"綾野剛、二階堂ふみ、柳楽優弥、川栄李奈、篠原篤、葉山奨之、木野花、黒田大輔、森岡龍、水沢エレナ、大西礼芳、田島ゆみか、中村無何有、新井浩文、山内圭哉、光石研")</f>
        <v>綾野剛、二階堂ふみ、柳楽優弥、川栄李奈、篠原篤、葉山奨之、木野花、黒田大輔、森岡龍、水沢エレナ、大西礼芳、田島ゆみか、中村無何有、新井浩文、山内圭哉、光石研</v>
      </c>
      <c r="N3571" s="2" t="str">
        <f>IFERROR(__xludf.DUMMYFUNCTION("""COMPUTED_VALUE"""),"深志研は、自分が津軽の先祖・サキと恋をしていた120年前の記憶を津軽に語り、二人は、お互いの気持ちを確かめ合う。ラジオでの深志研の告白に、世間は賛否両論。深志研の持つ菌を危険視する声、深志研を支持する声など、さまざまな意見がラジオ局に寄せられる。そんな中、近所の住民が通報し、保健所の職員が深志研を調べるため、連行しにやってくる。深志研と津軽は、120年の恋を貫くことができるのか!?感動の最終回!")</f>
        <v>深志研は、自分が津軽の先祖・サキと恋をしていた120年前の記憶を津軽に語り、二人は、お互いの気持ちを確かめ合う。ラジオでの深志研の告白に、世間は賛否両論。深志研の持つ菌を危険視する声、深志研を支持する声など、さまざまな意見がラジオ局に寄せられる。そんな中、近所の住民が通報し、保健所の職員が深志研を調べるため、連行しにやってくる。深志研と津軽は、120年の恋を貫くことができるのか!?感動の最終回!</v>
      </c>
      <c r="O3571" s="2"/>
      <c r="P3571" s="1"/>
      <c r="Q3571" s="1"/>
      <c r="R3571" s="1"/>
      <c r="S3571" s="1"/>
      <c r="T3571" s="1"/>
      <c r="U3571" s="1"/>
      <c r="V3571" s="1"/>
      <c r="W3571" s="1"/>
      <c r="X3571" s="1"/>
      <c r="Y3571" s="1"/>
      <c r="Z3571" s="1"/>
      <c r="AA3571" s="1"/>
      <c r="AB3571" s="1"/>
      <c r="AC3571" s="1"/>
      <c r="AD3571" s="1"/>
      <c r="AE3571" s="1"/>
      <c r="AF3571" s="1"/>
      <c r="AG3571" s="1"/>
      <c r="AH3571" s="1"/>
      <c r="AI3571" s="1"/>
      <c r="AJ3571" s="1"/>
      <c r="AK3571" s="1"/>
      <c r="AL3571" s="1"/>
      <c r="AM3571" s="1"/>
      <c r="AN3571" s="1"/>
      <c r="AO3571" s="1"/>
      <c r="AP3571" s="1"/>
      <c r="AQ3571" s="1"/>
      <c r="AR3571" s="1"/>
      <c r="AS3571" s="1"/>
      <c r="AT3571" s="1"/>
      <c r="AU3571" s="1"/>
      <c r="AV3571" s="1"/>
      <c r="AW3571" s="1"/>
      <c r="AX3571" s="1"/>
      <c r="AY3571" s="1"/>
      <c r="AZ3571" s="1"/>
      <c r="BA3571" s="1"/>
      <c r="BB3571" s="1"/>
    </row>
    <row r="3572" ht="204.75" customHeight="1">
      <c r="A3572" s="1">
        <v>1341.0</v>
      </c>
      <c r="B3572" s="2" t="s">
        <v>10744</v>
      </c>
      <c r="C3572" s="2">
        <f>IFERROR(__xludf.DUMMYFUNCTION("split(B3572,""_"")"),1701.0)</f>
        <v>1701</v>
      </c>
      <c r="D3572" s="2" t="str">
        <f>IFERROR(__xludf.DUMMYFUNCTION("""COMPUTED_VALUE"""),"NTV")</f>
        <v>NTV</v>
      </c>
      <c r="E3572" s="2" t="str">
        <f>IFERROR(__xludf.DUMMYFUNCTION("""COMPUTED_VALUE"""),"水22")</f>
        <v>水22</v>
      </c>
      <c r="F3572" s="2" t="s">
        <v>10745</v>
      </c>
      <c r="G3572" s="2" t="s">
        <v>10746</v>
      </c>
      <c r="H3572" s="1">
        <v>1.0</v>
      </c>
      <c r="I3572" s="1" t="s">
        <v>3</v>
      </c>
      <c r="J3572" s="1" t="s">
        <v>82</v>
      </c>
      <c r="K3572" s="4" t="s">
        <v>10747</v>
      </c>
      <c r="L3572" s="11" t="s">
        <v>10748</v>
      </c>
      <c r="M3572" s="2" t="str">
        <f>IFERROR(__xludf.DUMMYFUNCTION("split(split(K3572,""【演出"",false),""Perfume)"",false)"),"吉高由里子、榮倉奈々、大島優子  坂口健太郎、鈴木亮平  石川恋、菊池均也、金田明夫  【声の出演】加藤諒、あ～ちゃん(")</f>
        <v>吉高由里子、榮倉奈々、大島優子  坂口健太郎、鈴木亮平  石川恋、菊池均也、金田明夫  【声の出演】加藤諒、あ～ちゃん(</v>
      </c>
      <c r="N3572" s="2" t="str">
        <f>IFERROR(__xludf.DUMMYFUNCTION("""COMPUTED_VALUE"""),"倫子(吉高由里子)、香(榮倉奈々)、小雪(大島優子)は、女子会と称して酒を飲んでばかりのアラサー独身女子。ある日、倫子は仕事仲間の早坂(鈴木亮平)から食事に誘われ、「告白?プロポーズ?」と思いがけずときめく。だが、謎の男・KEY(坂口健太郎)が現れ、タラレバ話ばかり繰り広げて騒ぐ倫子たちは「タラレバ女」と名付けられてしまう。突然つきつけられた厳しい現実。幸せ求めてタラレバ娘たちの奮闘の日々が始まる")</f>
        <v>倫子(吉高由里子)、香(榮倉奈々)、小雪(大島優子)は、女子会と称して酒を飲んでばかりのアラサー独身女子。ある日、倫子は仕事仲間の早坂(鈴木亮平)から食事に誘われ、「告白?プロポーズ?」と思いがけずときめく。だが、謎の男・KEY(坂口健太郎)が現れ、タラレバ話ばかり繰り広げて騒ぐ倫子たちは「タラレバ女」と名付けられてしまう。突然つきつけられた厳しい現実。幸せ求めてタラレバ娘たちの奮闘の日々が始まる</v>
      </c>
      <c r="O3572" s="2"/>
      <c r="P3572" s="1"/>
      <c r="Q3572" s="1"/>
      <c r="R3572" s="1"/>
      <c r="S3572" s="1"/>
      <c r="T3572" s="1"/>
      <c r="U3572" s="1"/>
      <c r="V3572" s="1"/>
      <c r="W3572" s="1"/>
      <c r="X3572" s="1"/>
      <c r="Y3572" s="1"/>
      <c r="Z3572" s="1"/>
      <c r="AA3572" s="1"/>
      <c r="AB3572" s="1"/>
      <c r="AC3572" s="1"/>
      <c r="AD3572" s="1"/>
      <c r="AE3572" s="1"/>
      <c r="AF3572" s="1"/>
      <c r="AG3572" s="1"/>
      <c r="AH3572" s="1"/>
      <c r="AI3572" s="1"/>
      <c r="AJ3572" s="1"/>
      <c r="AK3572" s="1"/>
      <c r="AL3572" s="1"/>
      <c r="AM3572" s="1"/>
      <c r="AN3572" s="1"/>
      <c r="AO3572" s="1"/>
      <c r="AP3572" s="1"/>
      <c r="AQ3572" s="1"/>
      <c r="AR3572" s="1"/>
      <c r="AS3572" s="1"/>
      <c r="AT3572" s="1"/>
      <c r="AU3572" s="1"/>
      <c r="AV3572" s="1"/>
      <c r="AW3572" s="1"/>
      <c r="AX3572" s="1"/>
      <c r="AY3572" s="1"/>
      <c r="AZ3572" s="1"/>
      <c r="BA3572" s="1"/>
      <c r="BB3572" s="1"/>
    </row>
    <row r="3573" ht="204.75" customHeight="1">
      <c r="A3573" s="1">
        <v>1342.0</v>
      </c>
      <c r="B3573" s="2" t="s">
        <v>10744</v>
      </c>
      <c r="C3573" s="2">
        <f>IFERROR(__xludf.DUMMYFUNCTION("split(B3573,""_"")"),1701.0)</f>
        <v>1701</v>
      </c>
      <c r="D3573" s="2" t="str">
        <f>IFERROR(__xludf.DUMMYFUNCTION("""COMPUTED_VALUE"""),"NTV")</f>
        <v>NTV</v>
      </c>
      <c r="E3573" s="2" t="str">
        <f>IFERROR(__xludf.DUMMYFUNCTION("""COMPUTED_VALUE"""),"水22")</f>
        <v>水22</v>
      </c>
      <c r="F3573" s="2" t="s">
        <v>10745</v>
      </c>
      <c r="G3573" s="2" t="s">
        <v>10749</v>
      </c>
      <c r="H3573" s="1">
        <v>2.0</v>
      </c>
      <c r="I3573" s="1" t="s">
        <v>7</v>
      </c>
      <c r="J3573" s="1" t="s">
        <v>82</v>
      </c>
      <c r="K3573" s="2" t="s">
        <v>10750</v>
      </c>
      <c r="L3573" s="11" t="s">
        <v>10751</v>
      </c>
      <c r="M3573" s="2" t="str">
        <f>IFERROR(__xludf.DUMMYFUNCTION("split(split(K3573,""【演出"",false),""Perfume)"",false)"),"吉高由里子、榮倉奈々、大島優子  坂口健太郎、鈴木亮平  石川恋、平岡祐太、金田明夫  菊池均也、遼河はるひ、筧美和子  【声の出演】加藤諒、あ～ちゃん(")</f>
        <v>吉高由里子、榮倉奈々、大島優子  坂口健太郎、鈴木亮平  石川恋、平岡祐太、金田明夫  菊池均也、遼河はるひ、筧美和子  【声の出演】加藤諒、あ～ちゃん(</v>
      </c>
      <c r="N3573" s="2" t="str">
        <f>IFERROR(__xludf.DUMMYFUNCTION("""COMPUTED_VALUE"""),"倫子(吉高由里子)、香(榮倉奈々)、小雪(大島優子)は女子会と称して酒を飲んでばかりいる三人組。仕事仲間の早坂(鈴木亮平)との恋が、始まる前に終わってしまった倫子に、仕事でもピンチが!新ドラマの仕事を、若い女性脚本家に取られてしまう。一方香は、人気バンドのギタリストとなっていた元カレの涼(平岡祐太)と再会。そして、倫子たちに「タラレバ女」と名付けたKEY(坂口健太郎)の意外な一面が明らかに……。")</f>
        <v>倫子(吉高由里子)、香(榮倉奈々)、小雪(大島優子)は女子会と称して酒を飲んでばかりいる三人組。仕事仲間の早坂(鈴木亮平)との恋が、始まる前に終わってしまった倫子に、仕事でもピンチが!新ドラマの仕事を、若い女性脚本家に取られてしまう。一方香は、人気バンドのギタリストとなっていた元カレの涼(平岡祐太)と再会。そして、倫子たちに「タラレバ女」と名付けたKEY(坂口健太郎)の意外な一面が明らかに……。</v>
      </c>
      <c r="O3573" s="2"/>
      <c r="P3573" s="1"/>
      <c r="Q3573" s="1"/>
      <c r="R3573" s="1"/>
      <c r="S3573" s="1"/>
      <c r="T3573" s="1"/>
      <c r="U3573" s="1"/>
      <c r="V3573" s="1"/>
      <c r="W3573" s="1"/>
      <c r="X3573" s="1"/>
      <c r="Y3573" s="1"/>
      <c r="Z3573" s="1"/>
      <c r="AA3573" s="1"/>
      <c r="AB3573" s="1"/>
      <c r="AC3573" s="1"/>
      <c r="AD3573" s="1"/>
      <c r="AE3573" s="1"/>
      <c r="AF3573" s="1"/>
      <c r="AG3573" s="1"/>
      <c r="AH3573" s="1"/>
      <c r="AI3573" s="1"/>
      <c r="AJ3573" s="1"/>
      <c r="AK3573" s="1"/>
      <c r="AL3573" s="1"/>
      <c r="AM3573" s="1"/>
      <c r="AN3573" s="1"/>
      <c r="AO3573" s="1"/>
      <c r="AP3573" s="1"/>
      <c r="AQ3573" s="1"/>
      <c r="AR3573" s="1"/>
      <c r="AS3573" s="1"/>
      <c r="AT3573" s="1"/>
      <c r="AU3573" s="1"/>
      <c r="AV3573" s="1"/>
      <c r="AW3573" s="1"/>
      <c r="AX3573" s="1"/>
      <c r="AY3573" s="1"/>
      <c r="AZ3573" s="1"/>
      <c r="BA3573" s="1"/>
      <c r="BB3573" s="1"/>
    </row>
    <row r="3574" ht="204.75" customHeight="1">
      <c r="A3574" s="1">
        <v>1343.0</v>
      </c>
      <c r="B3574" s="2" t="s">
        <v>10744</v>
      </c>
      <c r="C3574" s="2">
        <f>IFERROR(__xludf.DUMMYFUNCTION("split(B3574,""_"")"),1701.0)</f>
        <v>1701</v>
      </c>
      <c r="D3574" s="2" t="str">
        <f>IFERROR(__xludf.DUMMYFUNCTION("""COMPUTED_VALUE"""),"NTV")</f>
        <v>NTV</v>
      </c>
      <c r="E3574" s="2" t="str">
        <f>IFERROR(__xludf.DUMMYFUNCTION("""COMPUTED_VALUE"""),"水22")</f>
        <v>水22</v>
      </c>
      <c r="F3574" s="2" t="s">
        <v>10745</v>
      </c>
      <c r="G3574" s="2" t="s">
        <v>10752</v>
      </c>
      <c r="H3574" s="1">
        <v>3.0</v>
      </c>
      <c r="I3574" s="1" t="s">
        <v>10</v>
      </c>
      <c r="J3574" s="1" t="s">
        <v>82</v>
      </c>
      <c r="K3574" s="2" t="s">
        <v>10753</v>
      </c>
      <c r="L3574" s="11" t="s">
        <v>10754</v>
      </c>
      <c r="M3574" s="2" t="str">
        <f>IFERROR(__xludf.DUMMYFUNCTION("split(split(K3574,""【演出"",false),""Perfume)"",false)"),"吉高由里子、榮倉奈々、大島優子  坂口健太郎、平岡祐太、田中圭、鈴木亮平  石川恋、金田明夫  【声の出演】  加藤諒、あ～ちゃん(")</f>
        <v>吉高由里子、榮倉奈々、大島優子  坂口健太郎、平岡祐太、田中圭、鈴木亮平  石川恋、金田明夫  【声の出演】  加藤諒、あ～ちゃん(</v>
      </c>
      <c r="N3574" s="2" t="str">
        <f>IFERROR(__xludf.DUMMYFUNCTION("""COMPUTED_VALUE"""),"KEY(坂口健太郎)と一夜を共にしてしまった倫子(吉高由里子)。KEYの気持ちがわからず悶々とする倫子は、せめて仕事だけでも前へ進もうと早坂(鈴木亮平)に仕事の売り込みをかける。一方、香(榮倉奈々)も元カレ・涼(平岡祐太)と一夜を共にするが、涼が彼女と同棲していることを知り、忘れようと決意。そして、小雪(大島優子)にも運命の恋が到来!超絶タイプの男・丸井(田中圭)と出会い、急速に惹かれていく。")</f>
        <v>KEY(坂口健太郎)と一夜を共にしてしまった倫子(吉高由里子)。KEYの気持ちがわからず悶々とする倫子は、せめて仕事だけでも前へ進もうと早坂(鈴木亮平)に仕事の売り込みをかける。一方、香(榮倉奈々)も元カレ・涼(平岡祐太)と一夜を共にするが、涼が彼女と同棲していることを知り、忘れようと決意。そして、小雪(大島優子)にも運命の恋が到来!超絶タイプの男・丸井(田中圭)と出会い、急速に惹かれていく。</v>
      </c>
      <c r="O3574" s="2"/>
      <c r="P3574" s="1"/>
      <c r="Q3574" s="1"/>
      <c r="R3574" s="1"/>
      <c r="S3574" s="1"/>
      <c r="T3574" s="1"/>
      <c r="U3574" s="1"/>
      <c r="V3574" s="1"/>
      <c r="W3574" s="1"/>
      <c r="X3574" s="1"/>
      <c r="Y3574" s="1"/>
      <c r="Z3574" s="1"/>
      <c r="AA3574" s="1"/>
      <c r="AB3574" s="1"/>
      <c r="AC3574" s="1"/>
      <c r="AD3574" s="1"/>
      <c r="AE3574" s="1"/>
      <c r="AF3574" s="1"/>
      <c r="AG3574" s="1"/>
      <c r="AH3574" s="1"/>
      <c r="AI3574" s="1"/>
      <c r="AJ3574" s="1"/>
      <c r="AK3574" s="1"/>
      <c r="AL3574" s="1"/>
      <c r="AM3574" s="1"/>
      <c r="AN3574" s="1"/>
      <c r="AO3574" s="1"/>
      <c r="AP3574" s="1"/>
      <c r="AQ3574" s="1"/>
      <c r="AR3574" s="1"/>
      <c r="AS3574" s="1"/>
      <c r="AT3574" s="1"/>
      <c r="AU3574" s="1"/>
      <c r="AV3574" s="1"/>
      <c r="AW3574" s="1"/>
      <c r="AX3574" s="1"/>
      <c r="AY3574" s="1"/>
      <c r="AZ3574" s="1"/>
      <c r="BA3574" s="1"/>
      <c r="BB3574" s="1"/>
    </row>
    <row r="3575" ht="204.75" customHeight="1">
      <c r="A3575" s="1">
        <v>1344.0</v>
      </c>
      <c r="B3575" s="2" t="s">
        <v>10744</v>
      </c>
      <c r="C3575" s="2">
        <f>IFERROR(__xludf.DUMMYFUNCTION("split(B3575,""_"")"),1701.0)</f>
        <v>1701</v>
      </c>
      <c r="D3575" s="2" t="str">
        <f>IFERROR(__xludf.DUMMYFUNCTION("""COMPUTED_VALUE"""),"NTV")</f>
        <v>NTV</v>
      </c>
      <c r="E3575" s="2" t="str">
        <f>IFERROR(__xludf.DUMMYFUNCTION("""COMPUTED_VALUE"""),"水22")</f>
        <v>水22</v>
      </c>
      <c r="F3575" s="2" t="s">
        <v>10745</v>
      </c>
      <c r="G3575" s="2" t="s">
        <v>10755</v>
      </c>
      <c r="H3575" s="1">
        <v>4.0</v>
      </c>
      <c r="I3575" s="1" t="s">
        <v>14</v>
      </c>
      <c r="J3575" s="1" t="s">
        <v>82</v>
      </c>
      <c r="K3575" s="2" t="s">
        <v>10756</v>
      </c>
      <c r="L3575" s="11" t="s">
        <v>10757</v>
      </c>
      <c r="M3575" s="2" t="str">
        <f>IFERROR(__xludf.DUMMYFUNCTION("split(split(K3575,""【演出"",false),""Perfume)"",false)"),"吉高由里子、榮倉奈々、大島優子  坂口健太郎、石川恋、平岡祐太  金田明夫、田中圭、鈴木亮平  【声の出演】加藤諒、あ～ちゃん(")</f>
        <v>吉高由里子、榮倉奈々、大島優子  坂口健太郎、石川恋、平岡祐太  金田明夫、田中圭、鈴木亮平  【声の出演】加藤諒、あ～ちゃん(</v>
      </c>
      <c r="N3575" s="2" t="str">
        <f>IFERROR(__xludf.DUMMYFUNCTION("""COMPUTED_VALUE"""),"丸井(田中圭)との不倫の恋が始まった小雪(大島優子)。数年ぶりに再会した元カレ・涼(平岡祐太)に彼女がいると知りながら“セカンド”のポジションを受け入れてしまった香(榮倉奈々)。そんな二人に、仕事も恋もうまくいかない倫子(吉高由里子)が八つ当たりをしたことから、3人は今までにない大ゲンカをしてしまう!高校時代から続いた女の友情に、ついに亀裂が!タラレバ娘の絆に暗雲が立ち込める第4話!!")</f>
        <v>丸井(田中圭)との不倫の恋が始まった小雪(大島優子)。数年ぶりに再会した元カレ・涼(平岡祐太)に彼女がいると知りながら“セカンド”のポジションを受け入れてしまった香(榮倉奈々)。そんな二人に、仕事も恋もうまくいかない倫子(吉高由里子)が八つ当たりをしたことから、3人は今までにない大ゲンカをしてしまう!高校時代から続いた女の友情に、ついに亀裂が!タラレバ娘の絆に暗雲が立ち込める第4話!!</v>
      </c>
      <c r="O3575" s="2"/>
      <c r="P3575" s="1"/>
      <c r="Q3575" s="1"/>
      <c r="R3575" s="1"/>
      <c r="S3575" s="1"/>
      <c r="T3575" s="1"/>
      <c r="U3575" s="1"/>
      <c r="V3575" s="1"/>
      <c r="W3575" s="1"/>
      <c r="X3575" s="1"/>
      <c r="Y3575" s="1"/>
      <c r="Z3575" s="1"/>
      <c r="AA3575" s="1"/>
      <c r="AB3575" s="1"/>
      <c r="AC3575" s="1"/>
      <c r="AD3575" s="1"/>
      <c r="AE3575" s="1"/>
      <c r="AF3575" s="1"/>
      <c r="AG3575" s="1"/>
      <c r="AH3575" s="1"/>
      <c r="AI3575" s="1"/>
      <c r="AJ3575" s="1"/>
      <c r="AK3575" s="1"/>
      <c r="AL3575" s="1"/>
      <c r="AM3575" s="1"/>
      <c r="AN3575" s="1"/>
      <c r="AO3575" s="1"/>
      <c r="AP3575" s="1"/>
      <c r="AQ3575" s="1"/>
      <c r="AR3575" s="1"/>
      <c r="AS3575" s="1"/>
      <c r="AT3575" s="1"/>
      <c r="AU3575" s="1"/>
      <c r="AV3575" s="1"/>
      <c r="AW3575" s="1"/>
      <c r="AX3575" s="1"/>
      <c r="AY3575" s="1"/>
      <c r="AZ3575" s="1"/>
      <c r="BA3575" s="1"/>
      <c r="BB3575" s="1"/>
    </row>
    <row r="3576" ht="204.75" customHeight="1">
      <c r="A3576" s="1">
        <v>1345.0</v>
      </c>
      <c r="B3576" s="2" t="s">
        <v>10744</v>
      </c>
      <c r="C3576" s="2">
        <f>IFERROR(__xludf.DUMMYFUNCTION("split(B3576,""_"")"),1701.0)</f>
        <v>1701</v>
      </c>
      <c r="D3576" s="2" t="str">
        <f>IFERROR(__xludf.DUMMYFUNCTION("""COMPUTED_VALUE"""),"NTV")</f>
        <v>NTV</v>
      </c>
      <c r="E3576" s="2" t="str">
        <f>IFERROR(__xludf.DUMMYFUNCTION("""COMPUTED_VALUE"""),"水22")</f>
        <v>水22</v>
      </c>
      <c r="F3576" s="2" t="s">
        <v>10745</v>
      </c>
      <c r="G3576" s="2" t="s">
        <v>10758</v>
      </c>
      <c r="H3576" s="1">
        <v>5.0</v>
      </c>
      <c r="I3576" s="1" t="s">
        <v>17</v>
      </c>
      <c r="J3576" s="1" t="s">
        <v>82</v>
      </c>
      <c r="K3576" s="2" t="s">
        <v>10759</v>
      </c>
      <c r="L3576" s="11" t="s">
        <v>10760</v>
      </c>
      <c r="M3576" s="2" t="str">
        <f>IFERROR(__xludf.DUMMYFUNCTION("split(split(K3576,""【演出"",false),""Perfume)"",false)"),"吉高由里子、榮倉奈々、大島優子  坂口健太郎、鈴木亮平  石川恋、金田明夫  【声の出演】加藤諒、あ～ちゃん(")</f>
        <v>吉高由里子、榮倉奈々、大島優子  坂口健太郎、鈴木亮平  石川恋、金田明夫  【声の出演】加藤諒、あ～ちゃん(</v>
      </c>
      <c r="N3576" s="2" t="str">
        <f>IFERROR(__xludf.DUMMYFUNCTION("""COMPUTED_VALUE"""),"気づけば恋だけでなく仕事まで失ってしまった倫子(吉高由里子)。厳しい現実に落ち込んでいたある日、長身でイケメン、性格もいいバーテンダー・奥田(速水もこみち)と出会う。「運命の出会い!」と、あっという間に心惹かれていく倫子に、香(榮倉奈々)と小雪(大島優子)は「結婚のチャンスかも!?」と盛り上がるが、KEY(坂口健太郎)は「結婚は夢ではなく現実だ」と厳しい言葉を投げかける。幸せ求めてさまよう第5話!")</f>
        <v>気づけば恋だけでなく仕事まで失ってしまった倫子(吉高由里子)。厳しい現実に落ち込んでいたある日、長身でイケメン、性格もいいバーテンダー・奥田(速水もこみち)と出会う。「運命の出会い!」と、あっという間に心惹かれていく倫子に、香(榮倉奈々)と小雪(大島優子)は「結婚のチャンスかも!?」と盛り上がるが、KEY(坂口健太郎)は「結婚は夢ではなく現実だ」と厳しい言葉を投げかける。幸せ求めてさまよう第5話!</v>
      </c>
      <c r="O3576" s="2"/>
      <c r="P3576" s="1"/>
      <c r="Q3576" s="1"/>
      <c r="R3576" s="1"/>
      <c r="S3576" s="1"/>
      <c r="T3576" s="1"/>
      <c r="U3576" s="1"/>
      <c r="V3576" s="1"/>
      <c r="W3576" s="1"/>
      <c r="X3576" s="1"/>
      <c r="Y3576" s="1"/>
      <c r="Z3576" s="1"/>
      <c r="AA3576" s="1"/>
      <c r="AB3576" s="1"/>
      <c r="AC3576" s="1"/>
      <c r="AD3576" s="1"/>
      <c r="AE3576" s="1"/>
      <c r="AF3576" s="1"/>
      <c r="AG3576" s="1"/>
      <c r="AH3576" s="1"/>
      <c r="AI3576" s="1"/>
      <c r="AJ3576" s="1"/>
      <c r="AK3576" s="1"/>
      <c r="AL3576" s="1"/>
      <c r="AM3576" s="1"/>
      <c r="AN3576" s="1"/>
      <c r="AO3576" s="1"/>
      <c r="AP3576" s="1"/>
      <c r="AQ3576" s="1"/>
      <c r="AR3576" s="1"/>
      <c r="AS3576" s="1"/>
      <c r="AT3576" s="1"/>
      <c r="AU3576" s="1"/>
      <c r="AV3576" s="1"/>
      <c r="AW3576" s="1"/>
      <c r="AX3576" s="1"/>
      <c r="AY3576" s="1"/>
      <c r="AZ3576" s="1"/>
      <c r="BA3576" s="1"/>
      <c r="BB3576" s="1"/>
    </row>
    <row r="3577" ht="204.75" customHeight="1">
      <c r="A3577" s="1">
        <v>1346.0</v>
      </c>
      <c r="B3577" s="2" t="s">
        <v>10744</v>
      </c>
      <c r="C3577" s="2">
        <f>IFERROR(__xludf.DUMMYFUNCTION("split(B3577,""_"")"),1701.0)</f>
        <v>1701</v>
      </c>
      <c r="D3577" s="2" t="str">
        <f>IFERROR(__xludf.DUMMYFUNCTION("""COMPUTED_VALUE"""),"NTV")</f>
        <v>NTV</v>
      </c>
      <c r="E3577" s="2" t="str">
        <f>IFERROR(__xludf.DUMMYFUNCTION("""COMPUTED_VALUE"""),"水22")</f>
        <v>水22</v>
      </c>
      <c r="F3577" s="2" t="s">
        <v>10745</v>
      </c>
      <c r="G3577" s="2" t="s">
        <v>10761</v>
      </c>
      <c r="H3577" s="1">
        <v>6.0</v>
      </c>
      <c r="I3577" s="1" t="s">
        <v>21</v>
      </c>
      <c r="J3577" s="1" t="s">
        <v>82</v>
      </c>
      <c r="K3577" s="2" t="s">
        <v>10762</v>
      </c>
      <c r="L3577" s="11" t="s">
        <v>10763</v>
      </c>
      <c r="M3577" s="2" t="str">
        <f>IFERROR(__xludf.DUMMYFUNCTION("split(split(K3577,""【演出"",false),""Perfume)"",false)"),"吉高由里子、榮倉奈々、大島優子  坂口健太郎、石川恋、平岡祐太  速水もこみち、金田明夫、田中圭、鈴木亮平  【声の出演】  加藤諒、あ～ちゃん(")</f>
        <v>吉高由里子、榮倉奈々、大島優子  坂口健太郎、石川恋、平岡祐太  速水もこみち、金田明夫、田中圭、鈴木亮平  【声の出演】  加藤諒、あ～ちゃん(</v>
      </c>
      <c r="N3577" s="2" t="str">
        <f>IFERROR(__xludf.DUMMYFUNCTION("""COMPUTED_VALUE"""),"バーテンダーの奥田(速水もこみち)と付き合うことになった倫子(吉高由里子)。結婚もほのめかされ胸を躍らせるが、次第に奥田との間に微妙なズレが生まれていく…。香(榮倉奈々)は婚活をスタートさせようと結婚相談所に登録。小雪(大島優子)は丸井(田中圭)との不倫関係を継続させる。3人にとって「結婚」とは「幸せ」とはいったい…。KEY(坂口健太郎)と早坂(鈴木亮平)、男たちの心情にも変化が訪れる第6話!")</f>
        <v>バーテンダーの奥田(速水もこみち)と付き合うことになった倫子(吉高由里子)。結婚もほのめかされ胸を躍らせるが、次第に奥田との間に微妙なズレが生まれていく…。香(榮倉奈々)は婚活をスタートさせようと結婚相談所に登録。小雪(大島優子)は丸井(田中圭)との不倫関係を継続させる。3人にとって「結婚」とは「幸せ」とはいったい…。KEY(坂口健太郎)と早坂(鈴木亮平)、男たちの心情にも変化が訪れる第6話!</v>
      </c>
      <c r="O3577" s="2"/>
      <c r="P3577" s="1"/>
      <c r="Q3577" s="1"/>
      <c r="R3577" s="1"/>
      <c r="S3577" s="1"/>
      <c r="T3577" s="1"/>
      <c r="U3577" s="1"/>
      <c r="V3577" s="1"/>
      <c r="W3577" s="1"/>
      <c r="X3577" s="1"/>
      <c r="Y3577" s="1"/>
      <c r="Z3577" s="1"/>
      <c r="AA3577" s="1"/>
      <c r="AB3577" s="1"/>
      <c r="AC3577" s="1"/>
      <c r="AD3577" s="1"/>
      <c r="AE3577" s="1"/>
      <c r="AF3577" s="1"/>
      <c r="AG3577" s="1"/>
      <c r="AH3577" s="1"/>
      <c r="AI3577" s="1"/>
      <c r="AJ3577" s="1"/>
      <c r="AK3577" s="1"/>
      <c r="AL3577" s="1"/>
      <c r="AM3577" s="1"/>
      <c r="AN3577" s="1"/>
      <c r="AO3577" s="1"/>
      <c r="AP3577" s="1"/>
      <c r="AQ3577" s="1"/>
      <c r="AR3577" s="1"/>
      <c r="AS3577" s="1"/>
      <c r="AT3577" s="1"/>
      <c r="AU3577" s="1"/>
      <c r="AV3577" s="1"/>
      <c r="AW3577" s="1"/>
      <c r="AX3577" s="1"/>
      <c r="AY3577" s="1"/>
      <c r="AZ3577" s="1"/>
      <c r="BA3577" s="1"/>
      <c r="BB3577" s="1"/>
    </row>
    <row r="3578" ht="204.75" customHeight="1">
      <c r="A3578" s="1">
        <v>1347.0</v>
      </c>
      <c r="B3578" s="2" t="s">
        <v>10744</v>
      </c>
      <c r="C3578" s="2">
        <f>IFERROR(__xludf.DUMMYFUNCTION("split(B3578,""_"")"),1701.0)</f>
        <v>1701</v>
      </c>
      <c r="D3578" s="2" t="str">
        <f>IFERROR(__xludf.DUMMYFUNCTION("""COMPUTED_VALUE"""),"NTV")</f>
        <v>NTV</v>
      </c>
      <c r="E3578" s="2" t="str">
        <f>IFERROR(__xludf.DUMMYFUNCTION("""COMPUTED_VALUE"""),"水22")</f>
        <v>水22</v>
      </c>
      <c r="F3578" s="2" t="s">
        <v>10745</v>
      </c>
      <c r="G3578" s="2" t="s">
        <v>10764</v>
      </c>
      <c r="H3578" s="1">
        <v>7.0</v>
      </c>
      <c r="I3578" s="1" t="s">
        <v>25</v>
      </c>
      <c r="J3578" s="1" t="s">
        <v>82</v>
      </c>
      <c r="K3578" s="2" t="s">
        <v>10765</v>
      </c>
      <c r="L3578" s="11" t="s">
        <v>10766</v>
      </c>
      <c r="M3578" s="2" t="str">
        <f>IFERROR(__xludf.DUMMYFUNCTION("split(split(K3578,""【演出"",false),""Perfume)"",false)"),"吉高由里子、榮倉奈々、大島優子  坂口健太郎、石川恋、平岡祐太  速水もこみち、金田明夫、田中圭、鈴木亮平  【声の出演】  加藤諒、あ～ちゃん(")</f>
        <v>吉高由里子、榮倉奈々、大島優子  坂口健太郎、石川恋、平岡祐太  速水もこみち、金田明夫、田中圭、鈴木亮平  【声の出演】  加藤諒、あ～ちゃん(</v>
      </c>
      <c r="N3578" s="2" t="str">
        <f>IFERROR(__xludf.DUMMYFUNCTION("""COMPUTED_VALUE"""),"一つの恋が終わった倫子(吉高由里子)に、早坂(鈴木亮平)から町おこしPRドラマの仕事が舞い込む。はじめは気乗りがしない倫子だったが、町の人たちの熱い思いに心を動かされ、仕事への意欲を取り戻していく。生き生きと働く倫子の姿に、KEY(坂口健太郎)は何かを感じ…。一方、香(榮倉奈々)は元カレ・涼(平岡祐太)との関係が停滞。小雪(大島優子)は、丸井(田中圭)との不倫関係を父に知られてしまう……。")</f>
        <v>一つの恋が終わった倫子(吉高由里子)に、早坂(鈴木亮平)から町おこしPRドラマの仕事が舞い込む。はじめは気乗りがしない倫子だったが、町の人たちの熱い思いに心を動かされ、仕事への意欲を取り戻していく。生き生きと働く倫子の姿に、KEY(坂口健太郎)は何かを感じ…。一方、香(榮倉奈々)は元カレ・涼(平岡祐太)との関係が停滞。小雪(大島優子)は、丸井(田中圭)との不倫関係を父に知られてしまう……。</v>
      </c>
      <c r="O3578" s="2"/>
      <c r="P3578" s="1"/>
      <c r="Q3578" s="1"/>
      <c r="R3578" s="1"/>
      <c r="S3578" s="1"/>
      <c r="T3578" s="1"/>
      <c r="U3578" s="1"/>
      <c r="V3578" s="1"/>
      <c r="W3578" s="1"/>
      <c r="X3578" s="1"/>
      <c r="Y3578" s="1"/>
      <c r="Z3578" s="1"/>
      <c r="AA3578" s="1"/>
      <c r="AB3578" s="1"/>
      <c r="AC3578" s="1"/>
      <c r="AD3578" s="1"/>
      <c r="AE3578" s="1"/>
      <c r="AF3578" s="1"/>
      <c r="AG3578" s="1"/>
      <c r="AH3578" s="1"/>
      <c r="AI3578" s="1"/>
      <c r="AJ3578" s="1"/>
      <c r="AK3578" s="1"/>
      <c r="AL3578" s="1"/>
      <c r="AM3578" s="1"/>
      <c r="AN3578" s="1"/>
      <c r="AO3578" s="1"/>
      <c r="AP3578" s="1"/>
      <c r="AQ3578" s="1"/>
      <c r="AR3578" s="1"/>
      <c r="AS3578" s="1"/>
      <c r="AT3578" s="1"/>
      <c r="AU3578" s="1"/>
      <c r="AV3578" s="1"/>
      <c r="AW3578" s="1"/>
      <c r="AX3578" s="1"/>
      <c r="AY3578" s="1"/>
      <c r="AZ3578" s="1"/>
      <c r="BA3578" s="1"/>
      <c r="BB3578" s="1"/>
    </row>
    <row r="3579" ht="204.75" customHeight="1">
      <c r="A3579" s="1">
        <v>1348.0</v>
      </c>
      <c r="B3579" s="2" t="s">
        <v>10744</v>
      </c>
      <c r="C3579" s="2">
        <f>IFERROR(__xludf.DUMMYFUNCTION("split(B3579,""_"")"),1701.0)</f>
        <v>1701</v>
      </c>
      <c r="D3579" s="2" t="str">
        <f>IFERROR(__xludf.DUMMYFUNCTION("""COMPUTED_VALUE"""),"NTV")</f>
        <v>NTV</v>
      </c>
      <c r="E3579" s="2" t="str">
        <f>IFERROR(__xludf.DUMMYFUNCTION("""COMPUTED_VALUE"""),"水22")</f>
        <v>水22</v>
      </c>
      <c r="F3579" s="2" t="s">
        <v>10745</v>
      </c>
      <c r="G3579" s="2" t="s">
        <v>10767</v>
      </c>
      <c r="H3579" s="1">
        <v>8.0</v>
      </c>
      <c r="I3579" s="1" t="s">
        <v>29</v>
      </c>
      <c r="J3579" s="1" t="s">
        <v>82</v>
      </c>
      <c r="K3579" s="2" t="s">
        <v>10768</v>
      </c>
      <c r="L3579" s="11" t="s">
        <v>10769</v>
      </c>
      <c r="M3579" s="2" t="str">
        <f>IFERROR(__xludf.DUMMYFUNCTION("split(split(K3579,""【演出"",false),""Perfume)"",false)"),"吉高由里子、榮倉奈々、大島優子  坂口健太郎、石川恋、平岡祐太、井上晴美  金田明夫、田中圭、鈴木亮平  【声の出演】  加藤諒、あ～ちゃん(")</f>
        <v>吉高由里子、榮倉奈々、大島優子  坂口健太郎、石川恋、平岡祐太、井上晴美  金田明夫、田中圭、鈴木亮平  【声の出演】  加藤諒、あ～ちゃん(</v>
      </c>
      <c r="N3579" s="2" t="str">
        <f>IFERROR(__xludf.DUMMYFUNCTION("""COMPUTED_VALUE"""),"北伊豆での早坂(鈴木亮平)とのキスに、動揺を隠せない倫子(吉高由里子)。香(榮倉奈々)と小雪(大島優子)は「今度こそプロポーズされるのでは?」と盛り上がるが、倫子は自分の気持ちにブレーキをかけ、素直に喜べずにいた。同じ頃、香に妊娠の可能性が発覚する。香はこれを期に、涼(平岡祐太)がもう一度自分を本命にしてくれるかもしれないと期待する一方、「もし嫌な顔されたら」と涼の反応が気になって……。")</f>
        <v>北伊豆での早坂(鈴木亮平)とのキスに、動揺を隠せない倫子(吉高由里子)。香(榮倉奈々)と小雪(大島優子)は「今度こそプロポーズされるのでは?」と盛り上がるが、倫子は自分の気持ちにブレーキをかけ、素直に喜べずにいた。同じ頃、香に妊娠の可能性が発覚する。香はこれを期に、涼(平岡祐太)がもう一度自分を本命にしてくれるかもしれないと期待する一方、「もし嫌な顔されたら」と涼の反応が気になって……。</v>
      </c>
      <c r="O3579" s="2"/>
      <c r="P3579" s="1"/>
      <c r="Q3579" s="1"/>
      <c r="R3579" s="1"/>
      <c r="S3579" s="1"/>
      <c r="T3579" s="1"/>
      <c r="U3579" s="1"/>
      <c r="V3579" s="1"/>
      <c r="W3579" s="1"/>
      <c r="X3579" s="1"/>
      <c r="Y3579" s="1"/>
      <c r="Z3579" s="1"/>
      <c r="AA3579" s="1"/>
      <c r="AB3579" s="1"/>
      <c r="AC3579" s="1"/>
      <c r="AD3579" s="1"/>
      <c r="AE3579" s="1"/>
      <c r="AF3579" s="1"/>
      <c r="AG3579" s="1"/>
      <c r="AH3579" s="1"/>
      <c r="AI3579" s="1"/>
      <c r="AJ3579" s="1"/>
      <c r="AK3579" s="1"/>
      <c r="AL3579" s="1"/>
      <c r="AM3579" s="1"/>
      <c r="AN3579" s="1"/>
      <c r="AO3579" s="1"/>
      <c r="AP3579" s="1"/>
      <c r="AQ3579" s="1"/>
      <c r="AR3579" s="1"/>
      <c r="AS3579" s="1"/>
      <c r="AT3579" s="1"/>
      <c r="AU3579" s="1"/>
      <c r="AV3579" s="1"/>
      <c r="AW3579" s="1"/>
      <c r="AX3579" s="1"/>
      <c r="AY3579" s="1"/>
      <c r="AZ3579" s="1"/>
      <c r="BA3579" s="1"/>
      <c r="BB3579" s="1"/>
    </row>
    <row r="3580" ht="204.75" customHeight="1">
      <c r="A3580" s="1">
        <v>1349.0</v>
      </c>
      <c r="B3580" s="2" t="s">
        <v>10744</v>
      </c>
      <c r="C3580" s="2">
        <f>IFERROR(__xludf.DUMMYFUNCTION("split(B3580,""_"")"),1701.0)</f>
        <v>1701</v>
      </c>
      <c r="D3580" s="2" t="str">
        <f>IFERROR(__xludf.DUMMYFUNCTION("""COMPUTED_VALUE"""),"NTV")</f>
        <v>NTV</v>
      </c>
      <c r="E3580" s="2" t="str">
        <f>IFERROR(__xludf.DUMMYFUNCTION("""COMPUTED_VALUE"""),"水22")</f>
        <v>水22</v>
      </c>
      <c r="F3580" s="2" t="s">
        <v>10745</v>
      </c>
      <c r="G3580" s="2" t="s">
        <v>10770</v>
      </c>
      <c r="H3580" s="1">
        <v>9.0</v>
      </c>
      <c r="I3580" s="1" t="s">
        <v>33</v>
      </c>
      <c r="J3580" s="1" t="s">
        <v>82</v>
      </c>
      <c r="K3580" s="2" t="s">
        <v>10771</v>
      </c>
      <c r="L3580" s="11" t="s">
        <v>10772</v>
      </c>
      <c r="M3580" s="2" t="str">
        <f>IFERROR(__xludf.DUMMYFUNCTION("split(split(K3580,""【演出"",false),""Perfume)"",false)"),"吉高由里子、榮倉奈々、大島優子  坂口健太郎、石川恋、平岡祐太、井上晴美  金田明夫、田中圭、鈴木亮平  【声の出演】  加藤諒、あ～ちゃん(")</f>
        <v>吉高由里子、榮倉奈々、大島優子  坂口健太郎、石川恋、平岡祐太、井上晴美  金田明夫、田中圭、鈴木亮平  【声の出演】  加藤諒、あ～ちゃん(</v>
      </c>
      <c r="N3580" s="2" t="str">
        <f>IFERROR(__xludf.DUMMYFUNCTION("""COMPUTED_VALUE"""),"早坂(鈴木亮平)と付き合い始めた倫子(吉高由里子)は、「一緒に暮らそう」と提案され、幸せを実感。一方、亡き妻への思いを断ち切れないKEY(坂口健太郎)は、七回忌法要で義父から「娘のことは忘れて」と言われショックを受ける。小雪はルール違反であることを自覚しながら、妻が不在の丸井(田中圭)の家に泊まる。だが翌朝、妻の緊急出産の知らせが入って丸井は慌てて出ていき、小雪は一人取り残されてしまう…。")</f>
        <v>早坂(鈴木亮平)と付き合い始めた倫子(吉高由里子)は、「一緒に暮らそう」と提案され、幸せを実感。一方、亡き妻への思いを断ち切れないKEY(坂口健太郎)は、七回忌法要で義父から「娘のことは忘れて」と言われショックを受ける。小雪はルール違反であることを自覚しながら、妻が不在の丸井(田中圭)の家に泊まる。だが翌朝、妻の緊急出産の知らせが入って丸井は慌てて出ていき、小雪は一人取り残されてしまう…。</v>
      </c>
      <c r="O3580" s="2"/>
      <c r="P3580" s="1"/>
      <c r="Q3580" s="1"/>
      <c r="R3580" s="1"/>
      <c r="S3580" s="1"/>
      <c r="T3580" s="1"/>
      <c r="U3580" s="1"/>
      <c r="V3580" s="1"/>
      <c r="W3580" s="1"/>
      <c r="X3580" s="1"/>
      <c r="Y3580" s="1"/>
      <c r="Z3580" s="1"/>
      <c r="AA3580" s="1"/>
      <c r="AB3580" s="1"/>
      <c r="AC3580" s="1"/>
      <c r="AD3580" s="1"/>
      <c r="AE3580" s="1"/>
      <c r="AF3580" s="1"/>
      <c r="AG3580" s="1"/>
      <c r="AH3580" s="1"/>
      <c r="AI3580" s="1"/>
      <c r="AJ3580" s="1"/>
      <c r="AK3580" s="1"/>
      <c r="AL3580" s="1"/>
      <c r="AM3580" s="1"/>
      <c r="AN3580" s="1"/>
      <c r="AO3580" s="1"/>
      <c r="AP3580" s="1"/>
      <c r="AQ3580" s="1"/>
      <c r="AR3580" s="1"/>
      <c r="AS3580" s="1"/>
      <c r="AT3580" s="1"/>
      <c r="AU3580" s="1"/>
      <c r="AV3580" s="1"/>
      <c r="AW3580" s="1"/>
      <c r="AX3580" s="1"/>
      <c r="AY3580" s="1"/>
      <c r="AZ3580" s="1"/>
      <c r="BA3580" s="1"/>
      <c r="BB3580" s="1"/>
    </row>
    <row r="3581" ht="204.75" customHeight="1">
      <c r="A3581" s="1">
        <v>1350.0</v>
      </c>
      <c r="B3581" s="2" t="s">
        <v>10744</v>
      </c>
      <c r="C3581" s="2">
        <f>IFERROR(__xludf.DUMMYFUNCTION("split(B3581,""_"")"),1701.0)</f>
        <v>1701</v>
      </c>
      <c r="D3581" s="2" t="str">
        <f>IFERROR(__xludf.DUMMYFUNCTION("""COMPUTED_VALUE"""),"NTV")</f>
        <v>NTV</v>
      </c>
      <c r="E3581" s="2" t="str">
        <f>IFERROR(__xludf.DUMMYFUNCTION("""COMPUTED_VALUE"""),"水22")</f>
        <v>水22</v>
      </c>
      <c r="F3581" s="2" t="s">
        <v>10745</v>
      </c>
      <c r="G3581" s="2" t="s">
        <v>10773</v>
      </c>
      <c r="H3581" s="1">
        <v>10.0</v>
      </c>
      <c r="I3581" s="1" t="s">
        <v>37</v>
      </c>
      <c r="J3581" s="1" t="s">
        <v>82</v>
      </c>
      <c r="K3581" s="2" t="s">
        <v>10774</v>
      </c>
      <c r="L3581" s="11" t="s">
        <v>10775</v>
      </c>
      <c r="M3581" s="2" t="str">
        <f>IFERROR(__xludf.DUMMYFUNCTION("split(split(K3581,""【演出"",false),""Perfume)"",false)"),"吉高由里子、榮倉奈々、大島優子  坂口健太郎、石川恋、平岡祐太、井上晴美  金田明夫、田中圭、鈴木亮平  【声の出演】  加藤諒、あ～ちゃん(")</f>
        <v>吉高由里子、榮倉奈々、大島優子  坂口健太郎、石川恋、平岡祐太、井上晴美  金田明夫、田中圭、鈴木亮平  【声の出演】  加藤諒、あ～ちゃん(</v>
      </c>
      <c r="N3581" s="2" t="str">
        <f>IFERROR(__xludf.DUMMYFUNCTION("""COMPUTED_VALUE"""),"早坂(鈴木亮平)との同棲準備が進む中、倫子(吉高由里子)は精神的に落ち込んでいたKEY(坂口健太郎)を放っておけず、家に一晩泊めてしまう。KEYに惹かれている自分の気持ちに蓋をして、なかったとこにしようと決意する倫子。一方、香(榮倉奈々)の前に涼(平岡祐太)が現れ、彼女と別れたと告白。小雪(大島優子)は、不倫相手だった丸井(田中圭)と偶然再会する。三人が探していた“幸せ”の行方は…!?")</f>
        <v>早坂(鈴木亮平)との同棲準備が進む中、倫子(吉高由里子)は精神的に落ち込んでいたKEY(坂口健太郎)を放っておけず、家に一晩泊めてしまう。KEYに惹かれている自分の気持ちに蓋をして、なかったとこにしようと決意する倫子。一方、香(榮倉奈々)の前に涼(平岡祐太)が現れ、彼女と別れたと告白。小雪(大島優子)は、不倫相手だった丸井(田中圭)と偶然再会する。三人が探していた“幸せ”の行方は…!?</v>
      </c>
      <c r="O3581" s="2"/>
      <c r="P3581" s="1"/>
      <c r="Q3581" s="1"/>
      <c r="R3581" s="1"/>
      <c r="S3581" s="1"/>
      <c r="T3581" s="1"/>
      <c r="U3581" s="1"/>
      <c r="V3581" s="1"/>
      <c r="W3581" s="1"/>
      <c r="X3581" s="1"/>
      <c r="Y3581" s="1"/>
      <c r="Z3581" s="1"/>
      <c r="AA3581" s="1"/>
      <c r="AB3581" s="1"/>
      <c r="AC3581" s="1"/>
      <c r="AD3581" s="1"/>
      <c r="AE3581" s="1"/>
      <c r="AF3581" s="1"/>
      <c r="AG3581" s="1"/>
      <c r="AH3581" s="1"/>
      <c r="AI3581" s="1"/>
      <c r="AJ3581" s="1"/>
      <c r="AK3581" s="1"/>
      <c r="AL3581" s="1"/>
      <c r="AM3581" s="1"/>
      <c r="AN3581" s="1"/>
      <c r="AO3581" s="1"/>
      <c r="AP3581" s="1"/>
      <c r="AQ3581" s="1"/>
      <c r="AR3581" s="1"/>
      <c r="AS3581" s="1"/>
      <c r="AT3581" s="1"/>
      <c r="AU3581" s="1"/>
      <c r="AV3581" s="1"/>
      <c r="AW3581" s="1"/>
      <c r="AX3581" s="1"/>
      <c r="AY3581" s="1"/>
      <c r="AZ3581" s="1"/>
      <c r="BA3581" s="1"/>
      <c r="BB3581" s="1"/>
    </row>
    <row r="3582" ht="204.75" customHeight="1">
      <c r="A3582" s="1">
        <v>1370.0</v>
      </c>
      <c r="B3582" s="2" t="s">
        <v>10776</v>
      </c>
      <c r="C3582" s="2">
        <f>IFERROR(__xludf.DUMMYFUNCTION("split(B3582,""_"")"),1701.0)</f>
        <v>1701</v>
      </c>
      <c r="D3582" s="2" t="str">
        <f>IFERROR(__xludf.DUMMYFUNCTION("""COMPUTED_VALUE"""),"NTV")</f>
        <v>NTV</v>
      </c>
      <c r="E3582" s="2" t="str">
        <f>IFERROR(__xludf.DUMMYFUNCTION("""COMPUTED_VALUE"""),"木23")</f>
        <v>木23</v>
      </c>
      <c r="F3582" s="2" t="s">
        <v>10777</v>
      </c>
      <c r="G3582" s="2" t="s">
        <v>10778</v>
      </c>
      <c r="H3582" s="1">
        <v>1.0</v>
      </c>
      <c r="J3582" s="1" t="s">
        <v>1435</v>
      </c>
      <c r="K3582" s="4" t="s">
        <v>10779</v>
      </c>
      <c r="L3582" s="10" t="s">
        <v>10780</v>
      </c>
      <c r="M3582" s="2" t="str">
        <f>IFERROR(__xludf.DUMMYFUNCTION("split(split(K3582,""【"",false),""公式LINE"",false)"),"増山圭太郎…田中直樹(ココリコ)  高原篤志…浅香航大  住吉悦子…中村ゆり  中井健…柄本時生  大谷津朋江…平田敦子    河原崎晃…忍成修吾  宇川明美…ルウト    榎本克己…六平直政    高鍋逸雄…鹿賀丈史    ")</f>
        <v>増山圭太郎…田中直樹(ココリコ)  高原篤志…浅香航大  住吉悦子…中村ゆり  中井健…柄本時生  大谷津朋江…平田敦子    河原崎晃…忍成修吾  宇川明美…ルウト    榎本克己…六平直政    高鍋逸雄…鹿賀丈史    </v>
      </c>
      <c r="N3582" s="2"/>
      <c r="O3582" s="2"/>
      <c r="P3582" s="1"/>
      <c r="Q3582" s="1"/>
      <c r="R3582" s="1"/>
      <c r="S3582" s="1"/>
      <c r="T3582" s="1"/>
      <c r="U3582" s="1"/>
      <c r="V3582" s="1"/>
      <c r="W3582" s="1"/>
      <c r="X3582" s="1"/>
      <c r="Y3582" s="1"/>
      <c r="Z3582" s="1"/>
      <c r="AA3582" s="1"/>
      <c r="AB3582" s="1"/>
      <c r="AC3582" s="1"/>
      <c r="AD3582" s="1"/>
      <c r="AE3582" s="1"/>
      <c r="AF3582" s="1"/>
      <c r="AG3582" s="1"/>
      <c r="AH3582" s="1"/>
      <c r="AI3582" s="1"/>
      <c r="AJ3582" s="1"/>
      <c r="AK3582" s="1"/>
      <c r="AL3582" s="1"/>
      <c r="AM3582" s="1"/>
      <c r="AN3582" s="1"/>
      <c r="AO3582" s="1"/>
      <c r="AP3582" s="1"/>
      <c r="AQ3582" s="1"/>
      <c r="AR3582" s="1"/>
      <c r="AS3582" s="1"/>
      <c r="AT3582" s="1"/>
      <c r="AU3582" s="1"/>
      <c r="AV3582" s="1"/>
      <c r="AW3582" s="1"/>
      <c r="AX3582" s="1"/>
      <c r="AY3582" s="1"/>
      <c r="AZ3582" s="1"/>
      <c r="BA3582" s="1"/>
      <c r="BB3582" s="1"/>
    </row>
    <row r="3583" ht="204.75" customHeight="1">
      <c r="A3583" s="1">
        <v>1371.0</v>
      </c>
      <c r="B3583" s="2" t="s">
        <v>10776</v>
      </c>
      <c r="C3583" s="2">
        <f>IFERROR(__xludf.DUMMYFUNCTION("split(B3583,""_"")"),1701.0)</f>
        <v>1701</v>
      </c>
      <c r="D3583" s="2" t="str">
        <f>IFERROR(__xludf.DUMMYFUNCTION("""COMPUTED_VALUE"""),"NTV")</f>
        <v>NTV</v>
      </c>
      <c r="E3583" s="2" t="str">
        <f>IFERROR(__xludf.DUMMYFUNCTION("""COMPUTED_VALUE"""),"木23")</f>
        <v>木23</v>
      </c>
      <c r="F3583" s="2" t="s">
        <v>10777</v>
      </c>
      <c r="G3583" s="2" t="s">
        <v>10781</v>
      </c>
      <c r="H3583" s="1">
        <v>2.0</v>
      </c>
      <c r="J3583" s="1" t="s">
        <v>1435</v>
      </c>
      <c r="K3583" s="2" t="s">
        <v>10782</v>
      </c>
      <c r="L3583" s="10" t="s">
        <v>10783</v>
      </c>
      <c r="M3583" s="2" t="str">
        <f>IFERROR(__xludf.DUMMYFUNCTION("split(split(K3583,""【演出"",false),""公式LINE"",false)"),"増山圭太郎…田中直樹(ココリコ)  高原篤志…浅香航大  住吉悦子…中村ゆり  中井健…柄本時生  大谷津朋江…平田敦子    白石耕太…好井まさお(井下好井)  榎本克己…六平直政    【第2話ゲスト】  西条照美…雛形あきこ  西条敏郎…梶原善(他)増山圭太郎(田中直樹)が設立した「超能力師事務所」が始動!所員は認定試験に合格したばかりの篤志(浅香航大)ら個性的な二級超能力師。そんな篤志に増山は初仕事を任せる。依頼者は上品な夫人・照美(雛形あきこ)。依頼内容は愛する夫の浮気調査だ。篤志は超能力を駆使"&amp;"してアパレル社長の夫(梶原善)を尾行。女の気配を感じながらも決定的な証拠が掴めない。ついに増山が動き…女の意外な正体に、妻がキレる…必見の結末!BRADIO  田井モトヨシ  石塚徹  【主題歌】  「君じゃなきゃ」ユナク&amp;ソンジェ　from　超新星(YM3D/よしもとアール・アンド・シー)【原作】  『増山超能力師事務所』誉田哲也著(文春文庫刊)  【脚本】  櫻井剛  ")</f>
        <v>増山圭太郎…田中直樹(ココリコ)  高原篤志…浅香航大  住吉悦子…中村ゆり  中井健…柄本時生  大谷津朋江…平田敦子    白石耕太…好井まさお(井下好井)  榎本克己…六平直政    【第2話ゲスト】  西条照美…雛形あきこ  西条敏郎…梶原善(他)増山圭太郎(田中直樹)が設立した「超能力師事務所」が始動!所員は認定試験に合格したばかりの篤志(浅香航大)ら個性的な二級超能力師。そんな篤志に増山は初仕事を任せる。依頼者は上品な夫人・照美(雛形あきこ)。依頼内容は愛する夫の浮気調査だ。篤志は超能力を駆使してアパレル社長の夫(梶原善)を尾行。女の気配を感じながらも決定的な証拠が掴めない。ついに増山が動き…女の意外な正体に、妻がキレる…必見の結末!BRADIO  田井モトヨシ  石塚徹  【主題歌】  「君じゃなきゃ」ユナク&amp;ソンジェ　from　超新星(YM3D/よしもとアール・アンド・シー)【原作】  『増山超能力師事務所』誉田哲也著(文春文庫刊)  【脚本】  櫻井剛  </v>
      </c>
      <c r="N3583" s="2"/>
      <c r="O3583" s="2"/>
      <c r="P3583" s="1"/>
      <c r="Q3583" s="1"/>
      <c r="R3583" s="1"/>
      <c r="S3583" s="1"/>
      <c r="T3583" s="1"/>
      <c r="U3583" s="1"/>
      <c r="V3583" s="1"/>
      <c r="W3583" s="1"/>
      <c r="X3583" s="1"/>
      <c r="Y3583" s="1"/>
      <c r="Z3583" s="1"/>
      <c r="AA3583" s="1"/>
      <c r="AB3583" s="1"/>
      <c r="AC3583" s="1"/>
      <c r="AD3583" s="1"/>
      <c r="AE3583" s="1"/>
      <c r="AF3583" s="1"/>
      <c r="AG3583" s="1"/>
      <c r="AH3583" s="1"/>
      <c r="AI3583" s="1"/>
      <c r="AJ3583" s="1"/>
      <c r="AK3583" s="1"/>
      <c r="AL3583" s="1"/>
      <c r="AM3583" s="1"/>
      <c r="AN3583" s="1"/>
      <c r="AO3583" s="1"/>
      <c r="AP3583" s="1"/>
      <c r="AQ3583" s="1"/>
      <c r="AR3583" s="1"/>
      <c r="AS3583" s="1"/>
      <c r="AT3583" s="1"/>
      <c r="AU3583" s="1"/>
      <c r="AV3583" s="1"/>
      <c r="AW3583" s="1"/>
      <c r="AX3583" s="1"/>
      <c r="AY3583" s="1"/>
      <c r="AZ3583" s="1"/>
      <c r="BA3583" s="1"/>
      <c r="BB3583" s="1"/>
    </row>
    <row r="3584" ht="204.75" customHeight="1">
      <c r="A3584" s="1">
        <v>1372.0</v>
      </c>
      <c r="B3584" s="2" t="s">
        <v>10776</v>
      </c>
      <c r="C3584" s="2">
        <f>IFERROR(__xludf.DUMMYFUNCTION("split(B3584,""_"")"),1701.0)</f>
        <v>1701</v>
      </c>
      <c r="D3584" s="2" t="str">
        <f>IFERROR(__xludf.DUMMYFUNCTION("""COMPUTED_VALUE"""),"NTV")</f>
        <v>NTV</v>
      </c>
      <c r="E3584" s="2" t="str">
        <f>IFERROR(__xludf.DUMMYFUNCTION("""COMPUTED_VALUE"""),"木23")</f>
        <v>木23</v>
      </c>
      <c r="F3584" s="2" t="s">
        <v>10777</v>
      </c>
      <c r="G3584" s="2" t="s">
        <v>10784</v>
      </c>
      <c r="H3584" s="1">
        <v>3.0</v>
      </c>
      <c r="J3584" s="1" t="s">
        <v>1435</v>
      </c>
      <c r="K3584" s="2" t="s">
        <v>10785</v>
      </c>
      <c r="L3584" s="10" t="s">
        <v>10786</v>
      </c>
      <c r="M3584" s="2" t="str">
        <f>IFERROR(__xludf.DUMMYFUNCTION("split(split(K3584,""【演出"",false),""公式LINE"",false)"),"増山圭太郎…田中直樹(ココリコ)  高原篤志…浅香航大  住吉悦子…中村ゆり  中井健…柄本時生  大谷津朋江…平田敦子    【ゲスト】  川西今日子…田丸麻紀  川西彰浩…藤本涼    川西春奈…畑芽育  里美…ami(J☆Dee‘Z)    山本亜美…Nono(J☆Dee‘Z)  森山加代子…MOMOKA(J☆Dee‘Z)  従業員…久保田和靖(とろサーモン)  ラーメン屋店主…藤原光博(リットン調査団)増山圭太郎(田中直樹)に家出少女の捜索を任された篤志(浅香航大)。依頼人は美人の母親・今日子(田"&amp;"丸麻紀)。家出人は高1の娘・春奈(畑芽育)だった。理由が思い当たらないと言う今日子だが、篤志が超能力で春奈の部屋の私物を読み取ると「私はママの子じゃない」と叫ぶ可憐な春奈の姿が見えて来る。中井(柄本時生)と共に捜索する内、“里美”という美しい謎の少女の存在が浮上…。複雑な糸が絡み合う「家族の秘密」とは?BRADIO  田井モトヨシ  石塚徹  【主題歌】  「君じゃなきゃ」ユナク&amp;ソンジェ　from　超新星(YM3D/よしもとアール・アンド・シー)【原作】  『増山超能力師事務所』誉田哲也著(文春文庫刊)"&amp;"  【脚本】  櫻井剛  ")</f>
        <v>増山圭太郎…田中直樹(ココリコ)  高原篤志…浅香航大  住吉悦子…中村ゆり  中井健…柄本時生  大谷津朋江…平田敦子    【ゲスト】  川西今日子…田丸麻紀  川西彰浩…藤本涼    川西春奈…畑芽育  里美…ami(J☆Dee‘Z)    山本亜美…Nono(J☆Dee‘Z)  森山加代子…MOMOKA(J☆Dee‘Z)  従業員…久保田和靖(とろサーモン)  ラーメン屋店主…藤原光博(リットン調査団)増山圭太郎(田中直樹)に家出少女の捜索を任された篤志(浅香航大)。依頼人は美人の母親・今日子(田丸麻紀)。家出人は高1の娘・春奈(畑芽育)だった。理由が思い当たらないと言う今日子だが、篤志が超能力で春奈の部屋の私物を読み取ると「私はママの子じゃない」と叫ぶ可憐な春奈の姿が見えて来る。中井(柄本時生)と共に捜索する内、“里美”という美しい謎の少女の存在が浮上…。複雑な糸が絡み合う「家族の秘密」とは?BRADIO  田井モトヨシ  石塚徹  【主題歌】  「君じゃなきゃ」ユナク&amp;ソンジェ　from　超新星(YM3D/よしもとアール・アンド・シー)【原作】  『増山超能力師事務所』誉田哲也著(文春文庫刊)  【脚本】  櫻井剛  </v>
      </c>
      <c r="N3584" s="2"/>
      <c r="O3584" s="2"/>
      <c r="P3584" s="1"/>
      <c r="Q3584" s="1"/>
      <c r="R3584" s="1"/>
      <c r="S3584" s="1"/>
      <c r="T3584" s="1"/>
      <c r="U3584" s="1"/>
      <c r="V3584" s="1"/>
      <c r="W3584" s="1"/>
      <c r="X3584" s="1"/>
      <c r="Y3584" s="1"/>
      <c r="Z3584" s="1"/>
      <c r="AA3584" s="1"/>
      <c r="AB3584" s="1"/>
      <c r="AC3584" s="1"/>
      <c r="AD3584" s="1"/>
      <c r="AE3584" s="1"/>
      <c r="AF3584" s="1"/>
      <c r="AG3584" s="1"/>
      <c r="AH3584" s="1"/>
      <c r="AI3584" s="1"/>
      <c r="AJ3584" s="1"/>
      <c r="AK3584" s="1"/>
      <c r="AL3584" s="1"/>
      <c r="AM3584" s="1"/>
      <c r="AN3584" s="1"/>
      <c r="AO3584" s="1"/>
      <c r="AP3584" s="1"/>
      <c r="AQ3584" s="1"/>
      <c r="AR3584" s="1"/>
      <c r="AS3584" s="1"/>
      <c r="AT3584" s="1"/>
      <c r="AU3584" s="1"/>
      <c r="AV3584" s="1"/>
      <c r="AW3584" s="1"/>
      <c r="AX3584" s="1"/>
      <c r="AY3584" s="1"/>
      <c r="AZ3584" s="1"/>
      <c r="BA3584" s="1"/>
      <c r="BB3584" s="1"/>
    </row>
    <row r="3585" ht="204.75" customHeight="1">
      <c r="A3585" s="1">
        <v>1373.0</v>
      </c>
      <c r="B3585" s="2" t="s">
        <v>10776</v>
      </c>
      <c r="C3585" s="2">
        <f>IFERROR(__xludf.DUMMYFUNCTION("split(B3585,""_"")"),1701.0)</f>
        <v>1701</v>
      </c>
      <c r="D3585" s="2" t="str">
        <f>IFERROR(__xludf.DUMMYFUNCTION("""COMPUTED_VALUE"""),"NTV")</f>
        <v>NTV</v>
      </c>
      <c r="E3585" s="2" t="str">
        <f>IFERROR(__xludf.DUMMYFUNCTION("""COMPUTED_VALUE"""),"木23")</f>
        <v>木23</v>
      </c>
      <c r="F3585" s="2" t="s">
        <v>10777</v>
      </c>
      <c r="G3585" s="2" t="s">
        <v>10787</v>
      </c>
      <c r="H3585" s="1">
        <v>4.0</v>
      </c>
      <c r="J3585" s="1" t="s">
        <v>1435</v>
      </c>
      <c r="K3585" s="2" t="s">
        <v>10788</v>
      </c>
      <c r="L3585" s="10" t="s">
        <v>10789</v>
      </c>
      <c r="M3585" s="2" t="str">
        <f>IFERROR(__xludf.DUMMYFUNCTION("split(split(K3585,""【演出"",false),""公式LINE"",false)"),"増山圭太郎…田中直樹(ココリコ)  高原篤志…浅香航大  住吉悦子…中村ゆり  中井健…柄本時生  大谷津朋江…平田敦子  宇川明美…ルウト  河原崎晃…忍成修吾    【ゲスト】  石野公子…上原多香子  大倉和斗…村田秀亮(とろサーモン)  常連客…堤下敦(インパルス)  キャバクラ店長…小村裕次郎    安田幸一…モト冬樹(他)事務所に異能の新メンバー明美(ルウト)が加入!?しかも彼女をスカウトした増山(ココリコ田中)が高額報酬の案件を抱えて行方不明!そんな中、国会議員秘書・石野(上原多香子)から依"&amp;"頼が。議員(モト冬樹)の不正献金問題が世間をにぎわす中、情報をリークした秘書・大倉(とろサーモン村田)が失踪、議員が派遣したヤクザに捕まれば命がない…。大倉を助けて欲しいと言う石野だが、この件には増山が関与しているようで…BRADIO  田井モトヨシ  石塚徹  【主題歌】  「君じゃなきゃ」ユナク&amp;ソンジェ　from　超新星(YM3D/よしもとアール・アンド・シー)【原作】  『増山超能力師事務所』誉田哲也著(文春文庫刊)  【脚本】  櫻井剛  ")</f>
        <v>増山圭太郎…田中直樹(ココリコ)  高原篤志…浅香航大  住吉悦子…中村ゆり  中井健…柄本時生  大谷津朋江…平田敦子  宇川明美…ルウト  河原崎晃…忍成修吾    【ゲスト】  石野公子…上原多香子  大倉和斗…村田秀亮(とろサーモン)  常連客…堤下敦(インパルス)  キャバクラ店長…小村裕次郎    安田幸一…モト冬樹(他)事務所に異能の新メンバー明美(ルウト)が加入!?しかも彼女をスカウトした増山(ココリコ田中)が高額報酬の案件を抱えて行方不明!そんな中、国会議員秘書・石野(上原多香子)から依頼が。議員(モト冬樹)の不正献金問題が世間をにぎわす中、情報をリークした秘書・大倉(とろサーモン村田)が失踪、議員が派遣したヤクザに捕まれば命がない…。大倉を助けて欲しいと言う石野だが、この件には増山が関与しているようで…BRADIO  田井モトヨシ  石塚徹  【主題歌】  「君じゃなきゃ」ユナク&amp;ソンジェ　from　超新星(YM3D/よしもとアール・アンド・シー)【原作】  『増山超能力師事務所』誉田哲也著(文春文庫刊)  【脚本】  櫻井剛  </v>
      </c>
      <c r="N3585" s="2"/>
      <c r="O3585" s="2"/>
      <c r="P3585" s="1"/>
      <c r="Q3585" s="1"/>
      <c r="R3585" s="1"/>
      <c r="S3585" s="1"/>
      <c r="T3585" s="1"/>
      <c r="U3585" s="1"/>
      <c r="V3585" s="1"/>
      <c r="W3585" s="1"/>
      <c r="X3585" s="1"/>
      <c r="Y3585" s="1"/>
      <c r="Z3585" s="1"/>
      <c r="AA3585" s="1"/>
      <c r="AB3585" s="1"/>
      <c r="AC3585" s="1"/>
      <c r="AD3585" s="1"/>
      <c r="AE3585" s="1"/>
      <c r="AF3585" s="1"/>
      <c r="AG3585" s="1"/>
      <c r="AH3585" s="1"/>
      <c r="AI3585" s="1"/>
      <c r="AJ3585" s="1"/>
      <c r="AK3585" s="1"/>
      <c r="AL3585" s="1"/>
      <c r="AM3585" s="1"/>
      <c r="AN3585" s="1"/>
      <c r="AO3585" s="1"/>
      <c r="AP3585" s="1"/>
      <c r="AQ3585" s="1"/>
      <c r="AR3585" s="1"/>
      <c r="AS3585" s="1"/>
      <c r="AT3585" s="1"/>
      <c r="AU3585" s="1"/>
      <c r="AV3585" s="1"/>
      <c r="AW3585" s="1"/>
      <c r="AX3585" s="1"/>
      <c r="AY3585" s="1"/>
      <c r="AZ3585" s="1"/>
      <c r="BA3585" s="1"/>
      <c r="BB3585" s="1"/>
    </row>
    <row r="3586" ht="204.75" customHeight="1">
      <c r="A3586" s="1">
        <v>1374.0</v>
      </c>
      <c r="B3586" s="2" t="s">
        <v>10776</v>
      </c>
      <c r="C3586" s="2">
        <f>IFERROR(__xludf.DUMMYFUNCTION("split(B3586,""_"")"),1701.0)</f>
        <v>1701</v>
      </c>
      <c r="D3586" s="2" t="str">
        <f>IFERROR(__xludf.DUMMYFUNCTION("""COMPUTED_VALUE"""),"NTV")</f>
        <v>NTV</v>
      </c>
      <c r="E3586" s="2" t="str">
        <f>IFERROR(__xludf.DUMMYFUNCTION("""COMPUTED_VALUE"""),"木23")</f>
        <v>木23</v>
      </c>
      <c r="F3586" s="2" t="s">
        <v>10777</v>
      </c>
      <c r="G3586" s="2" t="s">
        <v>10790</v>
      </c>
      <c r="H3586" s="1">
        <v>5.0</v>
      </c>
      <c r="J3586" s="1" t="s">
        <v>1435</v>
      </c>
      <c r="K3586" s="2" t="s">
        <v>10791</v>
      </c>
      <c r="L3586" s="10" t="s">
        <v>10792</v>
      </c>
      <c r="M3586" s="2" t="str">
        <f>IFERROR(__xludf.DUMMYFUNCTION("split(split(K3586,""【演出"",false),""公式LINE"",false)"),"増山圭太郎…田中直樹(ココリコ)  高原篤志…浅香航大  住吉悦子…中村ゆり  中井健…柄本時生  大谷津朋江…平田敦子  宇川明美…ルウト    【ゲスト】  田丸等…寺脇康文  田丸俊介…柳喬之  リポーター…横澤夏子(他)「超能力を教えてくれ!」と、突然やってきた「いこい食堂」の息子・俊介(柳喬之)。父・等(寺脇康文)は“超能力めし”で食堂を街一番の繁盛店にした料理人だ。しかし、等が体を壊して入院してしまい、俊介は勝手に父親の代わりをつとめることに。しかし、その途端に客が激減する。俊介は自分も父親の"&amp;"ように超能力を使った料理を作り、客を取り戻したいと言う。一方、増山は「食堂を潰してほしい」という等の依頼を引き受ける。BRADIO  田井モトヨシ  石塚徹  【主題歌】  「君じゃなきゃ」ユナク&amp;ソンジェ　from　超新星(YM3D/よしもとアール・アンド・シー)【原作】  『増山超能力師事務所』誉田哲也著(文春文庫刊)  【脚本】  櫻井剛  ")</f>
        <v>増山圭太郎…田中直樹(ココリコ)  高原篤志…浅香航大  住吉悦子…中村ゆり  中井健…柄本時生  大谷津朋江…平田敦子  宇川明美…ルウト    【ゲスト】  田丸等…寺脇康文  田丸俊介…柳喬之  リポーター…横澤夏子(他)「超能力を教えてくれ!」と、突然やってきた「いこい食堂」の息子・俊介(柳喬之)。父・等(寺脇康文)は“超能力めし”で食堂を街一番の繁盛店にした料理人だ。しかし、等が体を壊して入院してしまい、俊介は勝手に父親の代わりをつとめることに。しかし、その途端に客が激減する。俊介は自分も父親のように超能力を使った料理を作り、客を取り戻したいと言う。一方、増山は「食堂を潰してほしい」という等の依頼を引き受ける。BRADIO  田井モトヨシ  石塚徹  【主題歌】  「君じゃなきゃ」ユナク&amp;ソンジェ　from　超新星(YM3D/よしもとアール・アンド・シー)【原作】  『増山超能力師事務所』誉田哲也著(文春文庫刊)  【脚本】  櫻井剛  </v>
      </c>
      <c r="N3586" s="2"/>
      <c r="O3586" s="2"/>
      <c r="P3586" s="1"/>
      <c r="Q3586" s="1"/>
      <c r="R3586" s="1"/>
      <c r="S3586" s="1"/>
      <c r="T3586" s="1"/>
      <c r="U3586" s="1"/>
      <c r="V3586" s="1"/>
      <c r="W3586" s="1"/>
      <c r="X3586" s="1"/>
      <c r="Y3586" s="1"/>
      <c r="Z3586" s="1"/>
      <c r="AA3586" s="1"/>
      <c r="AB3586" s="1"/>
      <c r="AC3586" s="1"/>
      <c r="AD3586" s="1"/>
      <c r="AE3586" s="1"/>
      <c r="AF3586" s="1"/>
      <c r="AG3586" s="1"/>
      <c r="AH3586" s="1"/>
      <c r="AI3586" s="1"/>
      <c r="AJ3586" s="1"/>
      <c r="AK3586" s="1"/>
      <c r="AL3586" s="1"/>
      <c r="AM3586" s="1"/>
      <c r="AN3586" s="1"/>
      <c r="AO3586" s="1"/>
      <c r="AP3586" s="1"/>
      <c r="AQ3586" s="1"/>
      <c r="AR3586" s="1"/>
      <c r="AS3586" s="1"/>
      <c r="AT3586" s="1"/>
      <c r="AU3586" s="1"/>
      <c r="AV3586" s="1"/>
      <c r="AW3586" s="1"/>
      <c r="AX3586" s="1"/>
      <c r="AY3586" s="1"/>
      <c r="AZ3586" s="1"/>
      <c r="BA3586" s="1"/>
      <c r="BB3586" s="1"/>
    </row>
    <row r="3587" ht="204.75" customHeight="1">
      <c r="A3587" s="1">
        <v>1375.0</v>
      </c>
      <c r="B3587" s="2" t="s">
        <v>10776</v>
      </c>
      <c r="C3587" s="2">
        <f>IFERROR(__xludf.DUMMYFUNCTION("split(B3587,""_"")"),1701.0)</f>
        <v>1701</v>
      </c>
      <c r="D3587" s="2" t="str">
        <f>IFERROR(__xludf.DUMMYFUNCTION("""COMPUTED_VALUE"""),"NTV")</f>
        <v>NTV</v>
      </c>
      <c r="E3587" s="2" t="str">
        <f>IFERROR(__xludf.DUMMYFUNCTION("""COMPUTED_VALUE"""),"木23")</f>
        <v>木23</v>
      </c>
      <c r="F3587" s="2" t="s">
        <v>10777</v>
      </c>
      <c r="G3587" s="2" t="s">
        <v>10793</v>
      </c>
      <c r="H3587" s="1">
        <v>6.0</v>
      </c>
      <c r="J3587" s="1" t="s">
        <v>1435</v>
      </c>
      <c r="K3587" s="2" t="s">
        <v>10794</v>
      </c>
      <c r="L3587" s="10" t="s">
        <v>10795</v>
      </c>
      <c r="M3587" s="2" t="str">
        <f>IFERROR(__xludf.DUMMYFUNCTION("split(split(K3587,""【演出"",false),""公式LINE"",false)"),"増山圭太郎…田中直樹(ココリコ)  高原篤志…浅香航大  住吉悦子…中村ゆり  中井健…柄本時生  大谷津朋江…平田敦子  宇川明美…ルウト  白石耕太…好井まさお(井下好井)  榎本克己…六平直政    【ゲスト】  浦沢南…内田未来  浦沢留美…中島ひろ子  杉下正明…小野寺大夢(他)男の変死体が発見され、榎本刑事(六平直政)から増山(ココリコ田中)に調査依頼が。超能力者による事件の可能性が高いと言うのだ。悦子(中村ゆり)と明美(ルウト)らが現場検証を開始すると、小学生の超能力者・南(内田未来)が事件"&amp;"に関与した疑いが。しかし悦子はかつての自分を思い出し、南を頑なに庇う…。少女は本当に超能力で男を死に至らしめたのか?増山の活躍で意外な真実が明らかに!そして悦子の過去とは…BRADIO  田井モトヨシ  石塚徹  【主題歌】  「君じゃなきゃ」ユナク&amp;ソンジェ　from　超新星(YM3D/よしもとアール・アンド・シー)【原作】  『増山超能力師事務所』誉田哲也著(文春文庫刊)  【脚本】  櫻井剛  ")</f>
        <v>増山圭太郎…田中直樹(ココリコ)  高原篤志…浅香航大  住吉悦子…中村ゆり  中井健…柄本時生  大谷津朋江…平田敦子  宇川明美…ルウト  白石耕太…好井まさお(井下好井)  榎本克己…六平直政    【ゲスト】  浦沢南…内田未来  浦沢留美…中島ひろ子  杉下正明…小野寺大夢(他)男の変死体が発見され、榎本刑事(六平直政)から増山(ココリコ田中)に調査依頼が。超能力者による事件の可能性が高いと言うのだ。悦子(中村ゆり)と明美(ルウト)らが現場検証を開始すると、小学生の超能力者・南(内田未来)が事件に関与した疑いが。しかし悦子はかつての自分を思い出し、南を頑なに庇う…。少女は本当に超能力で男を死に至らしめたのか?増山の活躍で意外な真実が明らかに!そして悦子の過去とは…BRADIO  田井モトヨシ  石塚徹  【主題歌】  「君じゃなきゃ」ユナク&amp;ソンジェ　from　超新星(YM3D/よしもとアール・アンド・シー)【原作】  『増山超能力師事務所』誉田哲也著(文春文庫刊)  【脚本】  櫻井剛  </v>
      </c>
      <c r="N3587" s="2"/>
      <c r="O3587" s="2"/>
      <c r="P3587" s="1"/>
      <c r="Q3587" s="1"/>
      <c r="R3587" s="1"/>
      <c r="S3587" s="1"/>
      <c r="T3587" s="1"/>
      <c r="U3587" s="1"/>
      <c r="V3587" s="1"/>
      <c r="W3587" s="1"/>
      <c r="X3587" s="1"/>
      <c r="Y3587" s="1"/>
      <c r="Z3587" s="1"/>
      <c r="AA3587" s="1"/>
      <c r="AB3587" s="1"/>
      <c r="AC3587" s="1"/>
      <c r="AD3587" s="1"/>
      <c r="AE3587" s="1"/>
      <c r="AF3587" s="1"/>
      <c r="AG3587" s="1"/>
      <c r="AH3587" s="1"/>
      <c r="AI3587" s="1"/>
      <c r="AJ3587" s="1"/>
      <c r="AK3587" s="1"/>
      <c r="AL3587" s="1"/>
      <c r="AM3587" s="1"/>
      <c r="AN3587" s="1"/>
      <c r="AO3587" s="1"/>
      <c r="AP3587" s="1"/>
      <c r="AQ3587" s="1"/>
      <c r="AR3587" s="1"/>
      <c r="AS3587" s="1"/>
      <c r="AT3587" s="1"/>
      <c r="AU3587" s="1"/>
      <c r="AV3587" s="1"/>
      <c r="AW3587" s="1"/>
      <c r="AX3587" s="1"/>
      <c r="AY3587" s="1"/>
      <c r="AZ3587" s="1"/>
      <c r="BA3587" s="1"/>
      <c r="BB3587" s="1"/>
    </row>
    <row r="3588" ht="204.75" customHeight="1">
      <c r="A3588" s="1">
        <v>1376.0</v>
      </c>
      <c r="B3588" s="2" t="s">
        <v>10776</v>
      </c>
      <c r="C3588" s="2">
        <f>IFERROR(__xludf.DUMMYFUNCTION("split(B3588,""_"")"),1701.0)</f>
        <v>1701</v>
      </c>
      <c r="D3588" s="2" t="str">
        <f>IFERROR(__xludf.DUMMYFUNCTION("""COMPUTED_VALUE"""),"NTV")</f>
        <v>NTV</v>
      </c>
      <c r="E3588" s="2" t="str">
        <f>IFERROR(__xludf.DUMMYFUNCTION("""COMPUTED_VALUE"""),"木23")</f>
        <v>木23</v>
      </c>
      <c r="F3588" s="2" t="s">
        <v>10777</v>
      </c>
      <c r="G3588" s="2" t="s">
        <v>10796</v>
      </c>
      <c r="H3588" s="1">
        <v>7.0</v>
      </c>
      <c r="J3588" s="1" t="s">
        <v>1435</v>
      </c>
      <c r="K3588" s="2" t="s">
        <v>10797</v>
      </c>
      <c r="L3588" s="10" t="s">
        <v>10798</v>
      </c>
      <c r="M3588" s="2" t="str">
        <f>IFERROR(__xludf.DUMMYFUNCTION("split(split(K3588,""【演出"",false),""公式LINE"",false)"),"増山圭太郎…田中直樹(ココリコ)  高原篤志…浅香航大  住吉悦子…中村ゆり  中井健…柄本時生  大谷津朋江…平田敦子  宇川明美…ルウト    【ゲスト】  畑中葵…真野恵里菜  宮田純一…落合モトキ  染谷保…土佐信道(明和電機)(他)明美(ルウト)が幼馴染・純一(落合モトキ)の依頼を引き受けて来た。同僚の葵(真野恵里菜)が職場でパワハラに遭っており、その原因を究明して欲しいと言う。しかし、この葵という女性は、篤志(浅香航大)が身辺調査中の人物でもあった。その依頼人は…葵の勤務先の店長・染谷(土佐信"&amp;"道/明和電機)。染谷が葵に強い好意を抱いていると判断した悦子(中村ゆり)達は、染谷が職場内のパワハラにも関わっていると推測するが…?BRADIO  田井モトヨシ  石塚徹  【主題歌】  「君じゃなきゃ」ユナク&amp;ソンジェ　from　超新星(YM3D/よしもとアール・アンド・シー)【原作】  『増山超能力師事務所』誉田哲也著(文春文庫刊)  【脚本】  櫻井剛  ")</f>
        <v>増山圭太郎…田中直樹(ココリコ)  高原篤志…浅香航大  住吉悦子…中村ゆり  中井健…柄本時生  大谷津朋江…平田敦子  宇川明美…ルウト    【ゲスト】  畑中葵…真野恵里菜  宮田純一…落合モトキ  染谷保…土佐信道(明和電機)(他)明美(ルウト)が幼馴染・純一(落合モトキ)の依頼を引き受けて来た。同僚の葵(真野恵里菜)が職場でパワハラに遭っており、その原因を究明して欲しいと言う。しかし、この葵という女性は、篤志(浅香航大)が身辺調査中の人物でもあった。その依頼人は…葵の勤務先の店長・染谷(土佐信道/明和電機)。染谷が葵に強い好意を抱いていると判断した悦子(中村ゆり)達は、染谷が職場内のパワハラにも関わっていると推測するが…?BRADIO  田井モトヨシ  石塚徹  【主題歌】  「君じゃなきゃ」ユナク&amp;ソンジェ　from　超新星(YM3D/よしもとアール・アンド・シー)【原作】  『増山超能力師事務所』誉田哲也著(文春文庫刊)  【脚本】  櫻井剛  </v>
      </c>
      <c r="N3588" s="2"/>
      <c r="O3588" s="2"/>
      <c r="P3588" s="1"/>
      <c r="Q3588" s="1"/>
      <c r="R3588" s="1"/>
      <c r="S3588" s="1"/>
      <c r="T3588" s="1"/>
      <c r="U3588" s="1"/>
      <c r="V3588" s="1"/>
      <c r="W3588" s="1"/>
      <c r="X3588" s="1"/>
      <c r="Y3588" s="1"/>
      <c r="Z3588" s="1"/>
      <c r="AA3588" s="1"/>
      <c r="AB3588" s="1"/>
      <c r="AC3588" s="1"/>
      <c r="AD3588" s="1"/>
      <c r="AE3588" s="1"/>
      <c r="AF3588" s="1"/>
      <c r="AG3588" s="1"/>
      <c r="AH3588" s="1"/>
      <c r="AI3588" s="1"/>
      <c r="AJ3588" s="1"/>
      <c r="AK3588" s="1"/>
      <c r="AL3588" s="1"/>
      <c r="AM3588" s="1"/>
      <c r="AN3588" s="1"/>
      <c r="AO3588" s="1"/>
      <c r="AP3588" s="1"/>
      <c r="AQ3588" s="1"/>
      <c r="AR3588" s="1"/>
      <c r="AS3588" s="1"/>
      <c r="AT3588" s="1"/>
      <c r="AU3588" s="1"/>
      <c r="AV3588" s="1"/>
      <c r="AW3588" s="1"/>
      <c r="AX3588" s="1"/>
      <c r="AY3588" s="1"/>
      <c r="AZ3588" s="1"/>
      <c r="BA3588" s="1"/>
      <c r="BB3588" s="1"/>
    </row>
    <row r="3589" ht="204.75" customHeight="1">
      <c r="A3589" s="1">
        <v>1377.0</v>
      </c>
      <c r="B3589" s="2" t="s">
        <v>10776</v>
      </c>
      <c r="C3589" s="2">
        <f>IFERROR(__xludf.DUMMYFUNCTION("split(B3589,""_"")"),1701.0)</f>
        <v>1701</v>
      </c>
      <c r="D3589" s="2" t="str">
        <f>IFERROR(__xludf.DUMMYFUNCTION("""COMPUTED_VALUE"""),"NTV")</f>
        <v>NTV</v>
      </c>
      <c r="E3589" s="2" t="str">
        <f>IFERROR(__xludf.DUMMYFUNCTION("""COMPUTED_VALUE"""),"木23")</f>
        <v>木23</v>
      </c>
      <c r="F3589" s="2" t="s">
        <v>10777</v>
      </c>
      <c r="G3589" s="2" t="s">
        <v>10799</v>
      </c>
      <c r="H3589" s="1">
        <v>8.0</v>
      </c>
      <c r="J3589" s="1" t="s">
        <v>1435</v>
      </c>
      <c r="K3589" s="2" t="s">
        <v>10800</v>
      </c>
      <c r="L3589" s="10" t="s">
        <v>10801</v>
      </c>
      <c r="M3589" s="2" t="str">
        <f>IFERROR(__xludf.DUMMYFUNCTION("split(split(K3589,""【演出"",false),""公式LINE"",false)"),"増山圭太郎…田中直樹(ココリコ)  高原篤志…浅香航大  住吉悦子…中村ゆり  中井健…柄本時生  大谷津朋江…平田敦子  宇川明美…ルウト  増山アリス…武田梨花  増山文乃…芦名星    【ゲスト】  篠崎玲奈…山下リオ  ユン・ジフン…ユナク(from　超新星)  大谷津誠司…モロ師岡(他)主題歌を歌うユナク(超新星)がゲスト出演!男関係が派手な玲奈(山下リオ)の依頼は、「友達が窓から投げ捨てた指輪を探して欲しい」。一方、事務員・朋江(平田敦子)は夫・誠司(モロ師岡)からもらった結婚指輪を失くし、増"&amp;"山(ココリコ田中)がその捜索に乗り出していた。2つの指輪をめぐる謎を事務所メンバーが超能力で解き明かす。そこには深い思いと意外な真実が隠されていた…!そして増山の妻・文乃の秘密とは!?BRADIO  田井モトヨシ  石塚徹  【主題歌】  「君じゃなきゃ」ユナク&amp;ソンジェ　from　超新星(YM3D/よしもとアール・アンド・シー)【原作】  『増山超能力師事務所』誉田哲也著(文春文庫刊)  【脚本】  櫻井剛  ")</f>
        <v>増山圭太郎…田中直樹(ココリコ)  高原篤志…浅香航大  住吉悦子…中村ゆり  中井健…柄本時生  大谷津朋江…平田敦子  宇川明美…ルウト  増山アリス…武田梨花  増山文乃…芦名星    【ゲスト】  篠崎玲奈…山下リオ  ユン・ジフン…ユナク(from　超新星)  大谷津誠司…モロ師岡(他)主題歌を歌うユナク(超新星)がゲスト出演!男関係が派手な玲奈(山下リオ)の依頼は、「友達が窓から投げ捨てた指輪を探して欲しい」。一方、事務員・朋江(平田敦子)は夫・誠司(モロ師岡)からもらった結婚指輪を失くし、増山(ココリコ田中)がその捜索に乗り出していた。2つの指輪をめぐる謎を事務所メンバーが超能力で解き明かす。そこには深い思いと意外な真実が隠されていた…!そして増山の妻・文乃の秘密とは!?BRADIO  田井モトヨシ  石塚徹  【主題歌】  「君じゃなきゃ」ユナク&amp;ソンジェ　from　超新星(YM3D/よしもとアール・アンド・シー)【原作】  『増山超能力師事務所』誉田哲也著(文春文庫刊)  【脚本】  櫻井剛  </v>
      </c>
      <c r="N3589" s="2"/>
      <c r="O3589" s="2"/>
      <c r="P3589" s="1"/>
      <c r="Q3589" s="1"/>
      <c r="R3589" s="1"/>
      <c r="S3589" s="1"/>
      <c r="T3589" s="1"/>
      <c r="U3589" s="1"/>
      <c r="V3589" s="1"/>
      <c r="W3589" s="1"/>
      <c r="X3589" s="1"/>
      <c r="Y3589" s="1"/>
      <c r="Z3589" s="1"/>
      <c r="AA3589" s="1"/>
      <c r="AB3589" s="1"/>
      <c r="AC3589" s="1"/>
      <c r="AD3589" s="1"/>
      <c r="AE3589" s="1"/>
      <c r="AF3589" s="1"/>
      <c r="AG3589" s="1"/>
      <c r="AH3589" s="1"/>
      <c r="AI3589" s="1"/>
      <c r="AJ3589" s="1"/>
      <c r="AK3589" s="1"/>
      <c r="AL3589" s="1"/>
      <c r="AM3589" s="1"/>
      <c r="AN3589" s="1"/>
      <c r="AO3589" s="1"/>
      <c r="AP3589" s="1"/>
      <c r="AQ3589" s="1"/>
      <c r="AR3589" s="1"/>
      <c r="AS3589" s="1"/>
      <c r="AT3589" s="1"/>
      <c r="AU3589" s="1"/>
      <c r="AV3589" s="1"/>
      <c r="AW3589" s="1"/>
      <c r="AX3589" s="1"/>
      <c r="AY3589" s="1"/>
      <c r="AZ3589" s="1"/>
      <c r="BA3589" s="1"/>
      <c r="BB3589" s="1"/>
    </row>
    <row r="3590" ht="204.75" customHeight="1">
      <c r="A3590" s="1">
        <v>1378.0</v>
      </c>
      <c r="B3590" s="2" t="s">
        <v>10776</v>
      </c>
      <c r="C3590" s="2">
        <f>IFERROR(__xludf.DUMMYFUNCTION("split(B3590,""_"")"),1701.0)</f>
        <v>1701</v>
      </c>
      <c r="D3590" s="2" t="str">
        <f>IFERROR(__xludf.DUMMYFUNCTION("""COMPUTED_VALUE"""),"NTV")</f>
        <v>NTV</v>
      </c>
      <c r="E3590" s="2" t="str">
        <f>IFERROR(__xludf.DUMMYFUNCTION("""COMPUTED_VALUE"""),"木23")</f>
        <v>木23</v>
      </c>
      <c r="F3590" s="2" t="s">
        <v>10777</v>
      </c>
      <c r="G3590" s="2" t="s">
        <v>10802</v>
      </c>
      <c r="H3590" s="1">
        <v>9.0</v>
      </c>
      <c r="J3590" s="1" t="s">
        <v>1435</v>
      </c>
      <c r="K3590" s="2" t="s">
        <v>10803</v>
      </c>
      <c r="L3590" s="10" t="s">
        <v>10804</v>
      </c>
      <c r="M3590" s="2" t="str">
        <f>IFERROR(__xludf.DUMMYFUNCTION("split(split(K3590,""【演出"",false),""公式LINE"",false)"),"増山圭太郎…田中直樹(ココリコ)  高原篤志…浅香航大  住吉悦子…中村ゆり  中井健…柄本時生  大谷津朋江…平田敦子  宇川明美…ルウト  白石耕太…好井まさお(井下好井)  増山アリス…武田梨花  増山文乃…芦名星  榎本克己…六平直政    【ゲスト】  倉木都…小沢真珠  松澤萌…筧美和子(他)白石刑事の恋人・萌(筧美和子)の浮気調査をする事になった中井(柄本時生)と明美(ルウト)。調査すると疑わしい点ばかり。一方、篤志(浅香航大)は白石の上司・榎本(六平直政)からの依頼で記憶喪失の女(小沢真珠"&amp;")を捜索。篤志が残された女の衣服をサイコメトリーすると、女はどこかから命からがら逃げてきた様子。そんな中、萌が死体となって発見!?2つの事件にはある共通点があった…超能力師たちが怒涛の活躍で解決!BRADIO  田井モトヨシ  石塚徹  【主題歌】  「君じゃなきゃ」ユナク&amp;ソンジェ　from　超新星(YM3D/よしもとアール・アンド・シー)【原作】  『増山超能力師事務所』誉田哲也著(文春文庫刊)  【脚本】  櫻井剛  ")</f>
        <v>増山圭太郎…田中直樹(ココリコ)  高原篤志…浅香航大  住吉悦子…中村ゆり  中井健…柄本時生  大谷津朋江…平田敦子  宇川明美…ルウト  白石耕太…好井まさお(井下好井)  増山アリス…武田梨花  増山文乃…芦名星  榎本克己…六平直政    【ゲスト】  倉木都…小沢真珠  松澤萌…筧美和子(他)白石刑事の恋人・萌(筧美和子)の浮気調査をする事になった中井(柄本時生)と明美(ルウト)。調査すると疑わしい点ばかり。一方、篤志(浅香航大)は白石の上司・榎本(六平直政)からの依頼で記憶喪失の女(小沢真珠)を捜索。篤志が残された女の衣服をサイコメトリーすると、女はどこかから命からがら逃げてきた様子。そんな中、萌が死体となって発見!?2つの事件にはある共通点があった…超能力師たちが怒涛の活躍で解決!BRADIO  田井モトヨシ  石塚徹  【主題歌】  「君じゃなきゃ」ユナク&amp;ソンジェ　from　超新星(YM3D/よしもとアール・アンド・シー)【原作】  『増山超能力師事務所』誉田哲也著(文春文庫刊)  【脚本】  櫻井剛  </v>
      </c>
      <c r="N3590" s="2"/>
      <c r="O3590" s="2"/>
      <c r="P3590" s="1"/>
      <c r="Q3590" s="1"/>
      <c r="R3590" s="1"/>
      <c r="S3590" s="1"/>
      <c r="T3590" s="1"/>
      <c r="U3590" s="1"/>
      <c r="V3590" s="1"/>
      <c r="W3590" s="1"/>
      <c r="X3590" s="1"/>
      <c r="Y3590" s="1"/>
      <c r="Z3590" s="1"/>
      <c r="AA3590" s="1"/>
      <c r="AB3590" s="1"/>
      <c r="AC3590" s="1"/>
      <c r="AD3590" s="1"/>
      <c r="AE3590" s="1"/>
      <c r="AF3590" s="1"/>
      <c r="AG3590" s="1"/>
      <c r="AH3590" s="1"/>
      <c r="AI3590" s="1"/>
      <c r="AJ3590" s="1"/>
      <c r="AK3590" s="1"/>
      <c r="AL3590" s="1"/>
      <c r="AM3590" s="1"/>
      <c r="AN3590" s="1"/>
      <c r="AO3590" s="1"/>
      <c r="AP3590" s="1"/>
      <c r="AQ3590" s="1"/>
      <c r="AR3590" s="1"/>
      <c r="AS3590" s="1"/>
      <c r="AT3590" s="1"/>
      <c r="AU3590" s="1"/>
      <c r="AV3590" s="1"/>
      <c r="AW3590" s="1"/>
      <c r="AX3590" s="1"/>
      <c r="AY3590" s="1"/>
      <c r="AZ3590" s="1"/>
      <c r="BA3590" s="1"/>
      <c r="BB3590" s="1"/>
    </row>
    <row r="3591" ht="204.75" customHeight="1">
      <c r="A3591" s="1">
        <v>1379.0</v>
      </c>
      <c r="B3591" s="2" t="s">
        <v>10776</v>
      </c>
      <c r="C3591" s="2">
        <f>IFERROR(__xludf.DUMMYFUNCTION("split(B3591,""_"")"),1701.0)</f>
        <v>1701</v>
      </c>
      <c r="D3591" s="2" t="str">
        <f>IFERROR(__xludf.DUMMYFUNCTION("""COMPUTED_VALUE"""),"NTV")</f>
        <v>NTV</v>
      </c>
      <c r="E3591" s="2" t="str">
        <f>IFERROR(__xludf.DUMMYFUNCTION("""COMPUTED_VALUE"""),"木23")</f>
        <v>木23</v>
      </c>
      <c r="F3591" s="2" t="s">
        <v>10777</v>
      </c>
      <c r="G3591" s="2" t="s">
        <v>10805</v>
      </c>
      <c r="H3591" s="1">
        <v>10.0</v>
      </c>
      <c r="J3591" s="1" t="s">
        <v>1435</v>
      </c>
      <c r="K3591" s="2" t="s">
        <v>10806</v>
      </c>
      <c r="L3591" s="10" t="s">
        <v>10807</v>
      </c>
      <c r="M3591" s="2" t="str">
        <f>IFERROR(__xludf.DUMMYFUNCTION("split(split(K3591,""【演出"",false),""公式LINE"",false)"),"増山圭太郎…田中直樹(ココリコ)  高原篤志…浅香航大  住吉悦子…中村ゆり  中井健…柄本時生  大谷津朋江…平田敦子  宇川明美…ルウト  白石耕太…好井まさお(井下好井)  増山アリス…武田梨花  増山文乃…芦名星  河原崎晃…忍成修吾  榎本克己…六平直政  高鍋逸雄…鹿賀丈史    【ゲスト】  長尾秀人…山中崇  竹田月子…芹那  金田信夫…福田転球(他)事務所近くのビルで転落死事件が起きる。ビルの屋上からDM値が検出されたことから、その時事務所にいた事務所メンバーたちが疑われる。しかし榎本刑"&amp;"事(六平直政)が被害者の男の携帯の発信履歴から転落死の直前にかけている番号をダイヤルすると、篤志の依頼人・長尾(山中崇)の携帯が鳴る…。遠距離恋愛中に音信不通となった恋人・月子(芹那)の調査を依頼していた長尾。彼の過去が明らかになり、事件の謎は深まっていく…BRADIO  田井モトヨシ  石塚徹  【主題歌】  「君じゃなきゃ」ユナク&amp;ソンジェ　from　超新星(YM3D/よしもとアール・アンド・シー)【原作】  『増山超能力師事務所』誉田哲也著(文春文庫刊)  【脚本】  櫻井剛  ")</f>
        <v>増山圭太郎…田中直樹(ココリコ)  高原篤志…浅香航大  住吉悦子…中村ゆり  中井健…柄本時生  大谷津朋江…平田敦子  宇川明美…ルウト  白石耕太…好井まさお(井下好井)  増山アリス…武田梨花  増山文乃…芦名星  河原崎晃…忍成修吾  榎本克己…六平直政  高鍋逸雄…鹿賀丈史    【ゲスト】  長尾秀人…山中崇  竹田月子…芹那  金田信夫…福田転球(他)事務所近くのビルで転落死事件が起きる。ビルの屋上からDM値が検出されたことから、その時事務所にいた事務所メンバーたちが疑われる。しかし榎本刑事(六平直政)が被害者の男の携帯の発信履歴から転落死の直前にかけている番号をダイヤルすると、篤志の依頼人・長尾(山中崇)の携帯が鳴る…。遠距離恋愛中に音信不通となった恋人・月子(芹那)の調査を依頼していた長尾。彼の過去が明らかになり、事件の謎は深まっていく…BRADIO  田井モトヨシ  石塚徹  【主題歌】  「君じゃなきゃ」ユナク&amp;ソンジェ　from　超新星(YM3D/よしもとアール・アンド・シー)【原作】  『増山超能力師事務所』誉田哲也著(文春文庫刊)  【脚本】  櫻井剛  </v>
      </c>
      <c r="N3591" s="2"/>
      <c r="O3591" s="2"/>
      <c r="P3591" s="1"/>
      <c r="Q3591" s="1"/>
      <c r="R3591" s="1"/>
      <c r="S3591" s="1"/>
      <c r="T3591" s="1"/>
      <c r="U3591" s="1"/>
      <c r="V3591" s="1"/>
      <c r="W3591" s="1"/>
      <c r="X3591" s="1"/>
      <c r="Y3591" s="1"/>
      <c r="Z3591" s="1"/>
      <c r="AA3591" s="1"/>
      <c r="AB3591" s="1"/>
      <c r="AC3591" s="1"/>
      <c r="AD3591" s="1"/>
      <c r="AE3591" s="1"/>
      <c r="AF3591" s="1"/>
      <c r="AG3591" s="1"/>
      <c r="AH3591" s="1"/>
      <c r="AI3591" s="1"/>
      <c r="AJ3591" s="1"/>
      <c r="AK3591" s="1"/>
      <c r="AL3591" s="1"/>
      <c r="AM3591" s="1"/>
      <c r="AN3591" s="1"/>
      <c r="AO3591" s="1"/>
      <c r="AP3591" s="1"/>
      <c r="AQ3591" s="1"/>
      <c r="AR3591" s="1"/>
      <c r="AS3591" s="1"/>
      <c r="AT3591" s="1"/>
      <c r="AU3591" s="1"/>
      <c r="AV3591" s="1"/>
      <c r="AW3591" s="1"/>
      <c r="AX3591" s="1"/>
      <c r="AY3591" s="1"/>
      <c r="AZ3591" s="1"/>
      <c r="BA3591" s="1"/>
      <c r="BB3591" s="1"/>
    </row>
    <row r="3592" ht="204.75" customHeight="1">
      <c r="A3592" s="1">
        <v>1380.0</v>
      </c>
      <c r="B3592" s="2" t="s">
        <v>10776</v>
      </c>
      <c r="C3592" s="2">
        <f>IFERROR(__xludf.DUMMYFUNCTION("split(B3592,""_"")"),1701.0)</f>
        <v>1701</v>
      </c>
      <c r="D3592" s="2" t="str">
        <f>IFERROR(__xludf.DUMMYFUNCTION("""COMPUTED_VALUE"""),"NTV")</f>
        <v>NTV</v>
      </c>
      <c r="E3592" s="2" t="str">
        <f>IFERROR(__xludf.DUMMYFUNCTION("""COMPUTED_VALUE"""),"木23")</f>
        <v>木23</v>
      </c>
      <c r="F3592" s="2" t="s">
        <v>10777</v>
      </c>
      <c r="G3592" s="2" t="s">
        <v>10808</v>
      </c>
      <c r="H3592" s="1">
        <v>11.0</v>
      </c>
      <c r="J3592" s="1" t="s">
        <v>1435</v>
      </c>
      <c r="K3592" s="2" t="s">
        <v>10809</v>
      </c>
      <c r="L3592" s="11" t="s">
        <v>10810</v>
      </c>
      <c r="M3592" s="2" t="str">
        <f>IFERROR(__xludf.DUMMYFUNCTION("split(split(K3592,""【演出"",false),""公式LINE"",false)"),"増山圭太郎…田中直樹(ココリコ)  高原篤志…浅香航大  住吉悦子…中村ゆり  中井健…柄本時生  大谷津朋江…平田敦子  宇川明美…ルウト  河原崎晃…忍成修吾  増山文乃…芦名星  増山アリス…武田梨花  榎本克己…六平直政  高鍋逸雄…鹿賀丈史    【ゲスト】  藤宮千秋…高月彩良  藤宮亜澄…堀田茜  藤宮博之…星田英利  藤宮千佳…須藤理彩(他)ある家庭を悩ますポルターガイスト現象。それは受験を控えた高校生の藤宮千秋(高月彩良)がひた隠しにしている、ある秘密が原因だった。千秋を調査する中で、増"&amp;"山(ココリコ田中)の妻・文乃(芦名星)の過去に行き当たる河原崎(忍成修吾)。そして文乃には高鍋(鹿賀丈史)の影が忍び寄っていた。藤宮家で起こるポルターガイストの正体は超能力なのか?だとすれば一体、誰の?ついに増山の妻・文乃の衝撃の過去が明らかになる…BRADIO  田井モトヨシ  石塚徹  【主題歌】  「君じゃなきゃ」ユナク&amp;ソンジェ　from　超新星(YM3D/よしもとアール・アンド・シー)【原作】  『増山超能力師事務所』誉田哲也著(文春文庫刊)  【脚本】  櫻井剛  ")</f>
        <v>増山圭太郎…田中直樹(ココリコ)  高原篤志…浅香航大  住吉悦子…中村ゆり  中井健…柄本時生  大谷津朋江…平田敦子  宇川明美…ルウト  河原崎晃…忍成修吾  増山文乃…芦名星  増山アリス…武田梨花  榎本克己…六平直政  高鍋逸雄…鹿賀丈史    【ゲスト】  藤宮千秋…高月彩良  藤宮亜澄…堀田茜  藤宮博之…星田英利  藤宮千佳…須藤理彩(他)ある家庭を悩ますポルターガイスト現象。それは受験を控えた高校生の藤宮千秋(高月彩良)がひた隠しにしている、ある秘密が原因だった。千秋を調査する中で、増山(ココリコ田中)の妻・文乃(芦名星)の過去に行き当たる河原崎(忍成修吾)。そして文乃には高鍋(鹿賀丈史)の影が忍び寄っていた。藤宮家で起こるポルターガイストの正体は超能力なのか?だとすれば一体、誰の?ついに増山の妻・文乃の衝撃の過去が明らかになる…BRADIO  田井モトヨシ  石塚徹  【主題歌】  「君じゃなきゃ」ユナク&amp;ソンジェ　from　超新星(YM3D/よしもとアール・アンド・シー)【原作】  『増山超能力師事務所』誉田哲也著(文春文庫刊)  【脚本】  櫻井剛  </v>
      </c>
      <c r="N3592" s="2"/>
      <c r="O3592" s="2"/>
      <c r="P3592" s="1"/>
      <c r="Q3592" s="1"/>
      <c r="R3592" s="1"/>
      <c r="S3592" s="1"/>
      <c r="T3592" s="1"/>
      <c r="U3592" s="1"/>
      <c r="V3592" s="1"/>
      <c r="W3592" s="1"/>
      <c r="X3592" s="1"/>
      <c r="Y3592" s="1"/>
      <c r="Z3592" s="1"/>
      <c r="AA3592" s="1"/>
      <c r="AB3592" s="1"/>
      <c r="AC3592" s="1"/>
      <c r="AD3592" s="1"/>
      <c r="AE3592" s="1"/>
      <c r="AF3592" s="1"/>
      <c r="AG3592" s="1"/>
      <c r="AH3592" s="1"/>
      <c r="AI3592" s="1"/>
      <c r="AJ3592" s="1"/>
      <c r="AK3592" s="1"/>
      <c r="AL3592" s="1"/>
      <c r="AM3592" s="1"/>
      <c r="AN3592" s="1"/>
      <c r="AO3592" s="1"/>
      <c r="AP3592" s="1"/>
      <c r="AQ3592" s="1"/>
      <c r="AR3592" s="1"/>
      <c r="AS3592" s="1"/>
      <c r="AT3592" s="1"/>
      <c r="AU3592" s="1"/>
      <c r="AV3592" s="1"/>
      <c r="AW3592" s="1"/>
      <c r="AX3592" s="1"/>
      <c r="AY3592" s="1"/>
      <c r="AZ3592" s="1"/>
      <c r="BA3592" s="1"/>
      <c r="BB3592" s="1"/>
    </row>
    <row r="3593" ht="204.75" customHeight="1">
      <c r="A3593" s="1">
        <v>1381.0</v>
      </c>
      <c r="B3593" s="2" t="s">
        <v>10776</v>
      </c>
      <c r="C3593" s="2">
        <f>IFERROR(__xludf.DUMMYFUNCTION("split(B3593,""_"")"),1701.0)</f>
        <v>1701</v>
      </c>
      <c r="D3593" s="2" t="str">
        <f>IFERROR(__xludf.DUMMYFUNCTION("""COMPUTED_VALUE"""),"NTV")</f>
        <v>NTV</v>
      </c>
      <c r="E3593" s="2" t="str">
        <f>IFERROR(__xludf.DUMMYFUNCTION("""COMPUTED_VALUE"""),"木23")</f>
        <v>木23</v>
      </c>
      <c r="F3593" s="2" t="s">
        <v>10777</v>
      </c>
      <c r="G3593" s="2" t="s">
        <v>10811</v>
      </c>
      <c r="H3593" s="1">
        <v>12.0</v>
      </c>
      <c r="J3593" s="1" t="s">
        <v>1435</v>
      </c>
      <c r="K3593" s="2" t="s">
        <v>10812</v>
      </c>
      <c r="L3593" s="11" t="s">
        <v>10813</v>
      </c>
      <c r="M3593" s="2" t="str">
        <f>IFERROR(__xludf.DUMMYFUNCTION("split(split(K3593,""【演出"",false),""公式LINE"",false)"),"増山圭太郎…田中直樹(ココリコ)  高原篤志…浅香航大  住吉悦子…中村ゆり  中井健…柄本時生  大谷津朋江…平田敦子  宇川明美…ルウト    増山アリス…武田梨花  増山文乃…芦名星  榎本克己…六平直政  高鍋逸雄…鹿賀丈史    【ゲスト】  マダム朝倉…横山めぐみ  遠藤いずみ…黒川智花  今井司郎…藤原一裕(ライセンス)(他)TVディレクターからエステ詐欺の実態を調査して欲しいと依頼が。ターゲットはサロン経営者のマダム朝倉(横山めぐみ)。被害者(黒川智花)の証言をもとに調査を進めると、マダム"&amp;"は『理想の自分になれる』と謳いながら、実際は超能力を使った詐欺行為で暴利を貪っていた。だがそこにはマダムの悲しい過去が…。そして高鍋(鹿賀丈史)と増山(ココリコ田中)が直接対決!「増山超能力師事務所」最後の活躍にご期待ください!BRADIO  田井モトヨシ  石塚徹  【主題歌】  「君じゃなきゃ」ユナク&amp;ソンジェ　from　超新星(YM3D/よしもとアール・アンド・シー)【原作】  『増山超能力師事務所』誉田哲也著(文春文庫刊)  【脚本】  櫻井剛  ")</f>
        <v>増山圭太郎…田中直樹(ココリコ)  高原篤志…浅香航大  住吉悦子…中村ゆり  中井健…柄本時生  大谷津朋江…平田敦子  宇川明美…ルウト    増山アリス…武田梨花  増山文乃…芦名星  榎本克己…六平直政  高鍋逸雄…鹿賀丈史    【ゲスト】  マダム朝倉…横山めぐみ  遠藤いずみ…黒川智花  今井司郎…藤原一裕(ライセンス)(他)TVディレクターからエステ詐欺の実態を調査して欲しいと依頼が。ターゲットはサロン経営者のマダム朝倉(横山めぐみ)。被害者(黒川智花)の証言をもとに調査を進めると、マダムは『理想の自分になれる』と謳いながら、実際は超能力を使った詐欺行為で暴利を貪っていた。だがそこにはマダムの悲しい過去が…。そして高鍋(鹿賀丈史)と増山(ココリコ田中)が直接対決!「増山超能力師事務所」最後の活躍にご期待ください!BRADIO  田井モトヨシ  石塚徹  【主題歌】  「君じゃなきゃ」ユナク&amp;ソンジェ　from　超新星(YM3D/よしもとアール・アンド・シー)【原作】  『増山超能力師事務所』誉田哲也著(文春文庫刊)  【脚本】  櫻井剛  </v>
      </c>
      <c r="N3593" s="2"/>
      <c r="O3593" s="2"/>
      <c r="P3593" s="1"/>
      <c r="Q3593" s="1"/>
      <c r="R3593" s="1"/>
      <c r="S3593" s="1"/>
      <c r="T3593" s="1"/>
      <c r="U3593" s="1"/>
      <c r="V3593" s="1"/>
      <c r="W3593" s="1"/>
      <c r="X3593" s="1"/>
      <c r="Y3593" s="1"/>
      <c r="Z3593" s="1"/>
      <c r="AA3593" s="1"/>
      <c r="AB3593" s="1"/>
      <c r="AC3593" s="1"/>
      <c r="AD3593" s="1"/>
      <c r="AE3593" s="1"/>
      <c r="AF3593" s="1"/>
      <c r="AG3593" s="1"/>
      <c r="AH3593" s="1"/>
      <c r="AI3593" s="1"/>
      <c r="AJ3593" s="1"/>
      <c r="AK3593" s="1"/>
      <c r="AL3593" s="1"/>
      <c r="AM3593" s="1"/>
      <c r="AN3593" s="1"/>
      <c r="AO3593" s="1"/>
      <c r="AP3593" s="1"/>
      <c r="AQ3593" s="1"/>
      <c r="AR3593" s="1"/>
      <c r="AS3593" s="1"/>
      <c r="AT3593" s="1"/>
      <c r="AU3593" s="1"/>
      <c r="AV3593" s="1"/>
      <c r="AW3593" s="1"/>
      <c r="AX3593" s="1"/>
      <c r="AY3593" s="1"/>
      <c r="AZ3593" s="1"/>
      <c r="BA3593" s="1"/>
      <c r="BB3593" s="1"/>
    </row>
    <row r="3594" ht="204.75" customHeight="1">
      <c r="A3594" s="1">
        <v>1399.0</v>
      </c>
      <c r="B3594" s="2" t="s">
        <v>10814</v>
      </c>
      <c r="C3594" s="2">
        <f>IFERROR(__xludf.DUMMYFUNCTION("split(B3594,""_"")"),1701.0)</f>
        <v>1701</v>
      </c>
      <c r="D3594" s="2" t="str">
        <f>IFERROR(__xludf.DUMMYFUNCTION("""COMPUTED_VALUE"""),"NTV")</f>
        <v>NTV</v>
      </c>
      <c r="E3594" s="2" t="str">
        <f>IFERROR(__xludf.DUMMYFUNCTION("""COMPUTED_VALUE"""),"土21")</f>
        <v>土21</v>
      </c>
      <c r="F3594" s="2" t="s">
        <v>10815</v>
      </c>
      <c r="G3594" s="2" t="s">
        <v>10816</v>
      </c>
      <c r="H3594" s="1">
        <v>1.0</v>
      </c>
      <c r="J3594" s="1" t="s">
        <v>4</v>
      </c>
      <c r="K3594" s="4" t="s">
        <v>10817</v>
      </c>
      <c r="L3594" s="11" t="s">
        <v>10818</v>
      </c>
      <c r="M3594" s="2" t="str">
        <f>IFERROR(__xludf.DUMMYFUNCTION("split(split(K3594,""【"",false),""ほか"",false)"),"堤真一、小泉今日子、ムロツヨシ、島崎遥香、賀来賢人、早見あかり、中村倫也、横山歩、福島マリコ、富山えり子、金澤美穂、犬飼貴丈/塚本高史/佐藤二朗、笹野高史、高橋克実")</f>
        <v>堤真一、小泉今日子、ムロツヨシ、島崎遥香、賀来賢人、早見あかり、中村倫也、横山歩、福島マリコ、富山えり子、金澤美穂、犬飼貴丈/塚本高史/佐藤二朗、笹野高史、高橋克実</v>
      </c>
      <c r="N3594" s="2" t="str">
        <f>IFERROR(__xludf.DUMMYFUNCTION("""COMPUTED_VALUE"""),"左江内(堤真一)は、万年係長。鬼嫁・円子(小泉今日子)に逆らえず、二人の子供・はね子(島崎遥香)、もや夫(横山歩)にも舐められる。ある日、左江内は、怪しい老人(笹野高史)から「スーパーヒーローにならないか?」と言われる。無視しようとする左江内につきまとう老人。そんな中、円子からはね子のお弁当を届けてくれと頼まれた左江内は、仕方なく、老人からスーパースーツを借りることにするのだが…。")</f>
        <v>左江内(堤真一)は、万年係長。鬼嫁・円子(小泉今日子)に逆らえず、二人の子供・はね子(島崎遥香)、もや夫(横山歩)にも舐められる。ある日、左江内は、怪しい老人(笹野高史)から「スーパーヒーローにならないか?」と言われる。無視しようとする左江内につきまとう老人。そんな中、円子からはね子のお弁当を届けてくれと頼まれた左江内は、仕方なく、老人からスーパースーツを借りることにするのだが…。</v>
      </c>
      <c r="O3594" s="2"/>
      <c r="P3594" s="1"/>
      <c r="Q3594" s="1"/>
      <c r="R3594" s="1"/>
      <c r="S3594" s="1"/>
      <c r="T3594" s="1"/>
      <c r="U3594" s="1"/>
      <c r="V3594" s="1"/>
      <c r="W3594" s="1"/>
      <c r="X3594" s="1"/>
      <c r="Y3594" s="1"/>
      <c r="Z3594" s="1"/>
      <c r="AA3594" s="1"/>
      <c r="AB3594" s="1"/>
      <c r="AC3594" s="1"/>
      <c r="AD3594" s="1"/>
      <c r="AE3594" s="1"/>
      <c r="AF3594" s="1"/>
      <c r="AG3594" s="1"/>
      <c r="AH3594" s="1"/>
      <c r="AI3594" s="1"/>
      <c r="AJ3594" s="1"/>
      <c r="AK3594" s="1"/>
      <c r="AL3594" s="1"/>
      <c r="AM3594" s="1"/>
      <c r="AN3594" s="1"/>
      <c r="AO3594" s="1"/>
      <c r="AP3594" s="1"/>
      <c r="AQ3594" s="1"/>
      <c r="AR3594" s="1"/>
      <c r="AS3594" s="1"/>
      <c r="AT3594" s="1"/>
      <c r="AU3594" s="1"/>
      <c r="AV3594" s="1"/>
      <c r="AW3594" s="1"/>
      <c r="AX3594" s="1"/>
      <c r="AY3594" s="1"/>
      <c r="AZ3594" s="1"/>
      <c r="BA3594" s="1"/>
      <c r="BB3594" s="1"/>
    </row>
    <row r="3595" ht="204.75" customHeight="1">
      <c r="A3595" s="1">
        <v>1400.0</v>
      </c>
      <c r="B3595" s="2" t="s">
        <v>10814</v>
      </c>
      <c r="C3595" s="2">
        <f>IFERROR(__xludf.DUMMYFUNCTION("split(B3595,""_"")"),1701.0)</f>
        <v>1701</v>
      </c>
      <c r="D3595" s="2" t="str">
        <f>IFERROR(__xludf.DUMMYFUNCTION("""COMPUTED_VALUE"""),"NTV")</f>
        <v>NTV</v>
      </c>
      <c r="E3595" s="2" t="str">
        <f>IFERROR(__xludf.DUMMYFUNCTION("""COMPUTED_VALUE"""),"土21")</f>
        <v>土21</v>
      </c>
      <c r="F3595" s="2" t="s">
        <v>10815</v>
      </c>
      <c r="G3595" s="2" t="s">
        <v>10819</v>
      </c>
      <c r="H3595" s="1">
        <v>2.0</v>
      </c>
      <c r="J3595" s="1" t="s">
        <v>11</v>
      </c>
      <c r="K3595" s="2" t="s">
        <v>10820</v>
      </c>
      <c r="L3595" s="11" t="s">
        <v>10821</v>
      </c>
      <c r="M3595" s="2" t="str">
        <f>IFERROR(__xludf.DUMMYFUNCTION("split(split(K3595,""【"",false),""ほか"",false)"),"堤真一、小泉今日子、ムロツヨシ、島崎遥香、賀来賢人、早見あかり、中村倫也、横山歩、福島マリコ、富山えり子、金澤美穂、犬飼貴丈/織本順吉、佐々木すみ江/佐藤二朗、笹野高史、高橋克実")</f>
        <v>堤真一、小泉今日子、ムロツヨシ、島崎遥香、賀来賢人、早見あかり、中村倫也、横山歩、福島マリコ、富山えり子、金澤美穂、犬飼貴丈/織本順吉、佐々木すみ江/佐藤二朗、笹野高史、高橋克実</v>
      </c>
      <c r="N3595" s="2" t="str">
        <f>IFERROR(__xludf.DUMMYFUNCTION("""COMPUTED_VALUE"""),"左江内(堤真一)の息子・もや夫(横山歩)が、合唱コンクールで指揮者に選ばれた。円子(小泉今日子)は大喜び。そんな中、もや夫が学校のうんていから落ちてケガをした。指揮者に選ばれたもや夫に嫉妬した同級生の仕業らしく、もや夫はふさぎ込んでしまい…。一方、左江内が進めるタワーマンション建設計画にも大きなトラブルが…。プライベートと仕事で問題を抱えた左江内は、父として、人として、どう立ち向かうのか!?")</f>
        <v>左江内(堤真一)の息子・もや夫(横山歩)が、合唱コンクールで指揮者に選ばれた。円子(小泉今日子)は大喜び。そんな中、もや夫が学校のうんていから落ちてケガをした。指揮者に選ばれたもや夫に嫉妬した同級生の仕業らしく、もや夫はふさぎ込んでしまい…。一方、左江内が進めるタワーマンション建設計画にも大きなトラブルが…。プライベートと仕事で問題を抱えた左江内は、父として、人として、どう立ち向かうのか!?</v>
      </c>
      <c r="O3595" s="2"/>
      <c r="P3595" s="1"/>
      <c r="Q3595" s="1"/>
      <c r="R3595" s="1"/>
      <c r="S3595" s="1"/>
      <c r="T3595" s="1"/>
      <c r="U3595" s="1"/>
      <c r="V3595" s="1"/>
      <c r="W3595" s="1"/>
      <c r="X3595" s="1"/>
      <c r="Y3595" s="1"/>
      <c r="Z3595" s="1"/>
      <c r="AA3595" s="1"/>
      <c r="AB3595" s="1"/>
      <c r="AC3595" s="1"/>
      <c r="AD3595" s="1"/>
      <c r="AE3595" s="1"/>
      <c r="AF3595" s="1"/>
      <c r="AG3595" s="1"/>
      <c r="AH3595" s="1"/>
      <c r="AI3595" s="1"/>
      <c r="AJ3595" s="1"/>
      <c r="AK3595" s="1"/>
      <c r="AL3595" s="1"/>
      <c r="AM3595" s="1"/>
      <c r="AN3595" s="1"/>
      <c r="AO3595" s="1"/>
      <c r="AP3595" s="1"/>
      <c r="AQ3595" s="1"/>
      <c r="AR3595" s="1"/>
      <c r="AS3595" s="1"/>
      <c r="AT3595" s="1"/>
      <c r="AU3595" s="1"/>
      <c r="AV3595" s="1"/>
      <c r="AW3595" s="1"/>
      <c r="AX3595" s="1"/>
      <c r="AY3595" s="1"/>
      <c r="AZ3595" s="1"/>
      <c r="BA3595" s="1"/>
      <c r="BB3595" s="1"/>
    </row>
    <row r="3596" ht="204.75" customHeight="1">
      <c r="A3596" s="1">
        <v>1401.0</v>
      </c>
      <c r="B3596" s="2" t="s">
        <v>10814</v>
      </c>
      <c r="C3596" s="2">
        <f>IFERROR(__xludf.DUMMYFUNCTION("split(B3596,""_"")"),1701.0)</f>
        <v>1701</v>
      </c>
      <c r="D3596" s="2" t="str">
        <f>IFERROR(__xludf.DUMMYFUNCTION("""COMPUTED_VALUE"""),"NTV")</f>
        <v>NTV</v>
      </c>
      <c r="E3596" s="2" t="str">
        <f>IFERROR(__xludf.DUMMYFUNCTION("""COMPUTED_VALUE"""),"土21")</f>
        <v>土21</v>
      </c>
      <c r="F3596" s="2" t="s">
        <v>10815</v>
      </c>
      <c r="G3596" s="2" t="s">
        <v>10822</v>
      </c>
      <c r="H3596" s="1">
        <v>3.0</v>
      </c>
      <c r="J3596" s="1" t="s">
        <v>11</v>
      </c>
      <c r="K3596" s="2" t="s">
        <v>10823</v>
      </c>
      <c r="L3596" s="11" t="s">
        <v>10824</v>
      </c>
      <c r="M3596" s="2" t="str">
        <f>IFERROR(__xludf.DUMMYFUNCTION("split(split(K3596,""【"",false),""ほか"",false)"),"堤真一、小泉今日子、ムロツヨシ、島崎遥香、賀来賢人、早見あかり、中村倫也、横山歩、富山えり子、金澤美穂、犬飼貴丈/浜辺美波、村岡希美、郭　智博、戸塚純貴/佐藤二朗、笹野高史、高橋克実")</f>
        <v>堤真一、小泉今日子、ムロツヨシ、島崎遥香、賀来賢人、早見あかり、中村倫也、横山歩、富山えり子、金澤美穂、犬飼貴丈/浜辺美波、村岡希美、郭　智博、戸塚純貴/佐藤二朗、笹野高史、高橋克実</v>
      </c>
      <c r="N3596" s="2" t="str">
        <f>IFERROR(__xludf.DUMMYFUNCTION("""COMPUTED_VALUE"""),"左江内(堤真一)は、はね子(島崎遥香)から、アイドルグループのオーディションを受けると聞かされる。「センターを奪う!」と、野望に燃える家族。そんな中、左江内は、会社のCM撮影で、そのアイドルのセンター・真中ありさ(浜辺美波)と出会う。裏表のはげしい性格のありさにこき使われる左江内。左江内ははね子のオーディションを反対し出すが、逆に、ありさにはね子をプッシュしてほしいと円子に言われ…?")</f>
        <v>左江内(堤真一)は、はね子(島崎遥香)から、アイドルグループのオーディションを受けると聞かされる。「センターを奪う!」と、野望に燃える家族。そんな中、左江内は、会社のCM撮影で、そのアイドルのセンター・真中ありさ(浜辺美波)と出会う。裏表のはげしい性格のありさにこき使われる左江内。左江内ははね子のオーディションを反対し出すが、逆に、ありさにはね子をプッシュしてほしいと円子に言われ…?</v>
      </c>
      <c r="O3596" s="2"/>
      <c r="P3596" s="1"/>
      <c r="Q3596" s="1"/>
      <c r="R3596" s="1"/>
      <c r="S3596" s="1"/>
      <c r="T3596" s="1"/>
      <c r="U3596" s="1"/>
      <c r="V3596" s="1"/>
      <c r="W3596" s="1"/>
      <c r="X3596" s="1"/>
      <c r="Y3596" s="1"/>
      <c r="Z3596" s="1"/>
      <c r="AA3596" s="1"/>
      <c r="AB3596" s="1"/>
      <c r="AC3596" s="1"/>
      <c r="AD3596" s="1"/>
      <c r="AE3596" s="1"/>
      <c r="AF3596" s="1"/>
      <c r="AG3596" s="1"/>
      <c r="AH3596" s="1"/>
      <c r="AI3596" s="1"/>
      <c r="AJ3596" s="1"/>
      <c r="AK3596" s="1"/>
      <c r="AL3596" s="1"/>
      <c r="AM3596" s="1"/>
      <c r="AN3596" s="1"/>
      <c r="AO3596" s="1"/>
      <c r="AP3596" s="1"/>
      <c r="AQ3596" s="1"/>
      <c r="AR3596" s="1"/>
      <c r="AS3596" s="1"/>
      <c r="AT3596" s="1"/>
      <c r="AU3596" s="1"/>
      <c r="AV3596" s="1"/>
      <c r="AW3596" s="1"/>
      <c r="AX3596" s="1"/>
      <c r="AY3596" s="1"/>
      <c r="AZ3596" s="1"/>
      <c r="BA3596" s="1"/>
      <c r="BB3596" s="1"/>
    </row>
    <row r="3597" ht="204.75" customHeight="1">
      <c r="A3597" s="1">
        <v>1402.0</v>
      </c>
      <c r="B3597" s="2" t="s">
        <v>10814</v>
      </c>
      <c r="C3597" s="2">
        <f>IFERROR(__xludf.DUMMYFUNCTION("split(B3597,""_"")"),1701.0)</f>
        <v>1701</v>
      </c>
      <c r="D3597" s="2" t="str">
        <f>IFERROR(__xludf.DUMMYFUNCTION("""COMPUTED_VALUE"""),"NTV")</f>
        <v>NTV</v>
      </c>
      <c r="E3597" s="2" t="str">
        <f>IFERROR(__xludf.DUMMYFUNCTION("""COMPUTED_VALUE"""),"土21")</f>
        <v>土21</v>
      </c>
      <c r="F3597" s="2" t="s">
        <v>10815</v>
      </c>
      <c r="G3597" s="2" t="s">
        <v>10825</v>
      </c>
      <c r="H3597" s="1">
        <v>4.0</v>
      </c>
      <c r="J3597" s="1" t="s">
        <v>11</v>
      </c>
      <c r="K3597" s="2" t="s">
        <v>10826</v>
      </c>
      <c r="L3597" s="11" t="s">
        <v>10827</v>
      </c>
      <c r="M3597" s="2" t="str">
        <f>IFERROR(__xludf.DUMMYFUNCTION("split(split(K3597,""【"",false),""ほか"",false)"),"堤真一、小泉今日子、ムロツヨシ、島崎遥香、賀来賢人、早見あかり、中村倫也、横山歩、福島マリコ、富山えり子/笠原秀幸、尾上寛之/佐藤二朗、笹野高史、高橋克実")</f>
        <v>堤真一、小泉今日子、ムロツヨシ、島崎遥香、賀来賢人、早見あかり、中村倫也、横山歩、福島マリコ、富山えり子/笠原秀幸、尾上寛之/佐藤二朗、笹野高史、高橋克実</v>
      </c>
      <c r="N3597" s="2" t="str">
        <f>IFERROR(__xludf.DUMMYFUNCTION("""COMPUTED_VALUE"""),"左江内(堤真一)は、新しいホテルの受注競合プレゼンを任される。ただし、期日は2日後・・・。そんな中、左江内は円子(小泉今日子)から、もや夫(横山歩)の遠足の付き添いを頼まれる。ママ友とけんかしてしまったから行きたくないという。しかし、遠足とプレゼンは同日。困り果てた左江内は老人(笹野高史)に、身代わりになるコピーロボットを用意してほしいと懇願するが・・左江内は仕事と遠足、どう切り抜けるのか!?")</f>
        <v>左江内(堤真一)は、新しいホテルの受注競合プレゼンを任される。ただし、期日は2日後・・・。そんな中、左江内は円子(小泉今日子)から、もや夫(横山歩)の遠足の付き添いを頼まれる。ママ友とけんかしてしまったから行きたくないという。しかし、遠足とプレゼンは同日。困り果てた左江内は老人(笹野高史)に、身代わりになるコピーロボットを用意してほしいと懇願するが・・左江内は仕事と遠足、どう切り抜けるのか!?</v>
      </c>
      <c r="O3597" s="2"/>
      <c r="P3597" s="1"/>
      <c r="Q3597" s="1"/>
      <c r="R3597" s="1"/>
      <c r="S3597" s="1"/>
      <c r="T3597" s="1"/>
      <c r="U3597" s="1"/>
      <c r="V3597" s="1"/>
      <c r="W3597" s="1"/>
      <c r="X3597" s="1"/>
      <c r="Y3597" s="1"/>
      <c r="Z3597" s="1"/>
      <c r="AA3597" s="1"/>
      <c r="AB3597" s="1"/>
      <c r="AC3597" s="1"/>
      <c r="AD3597" s="1"/>
      <c r="AE3597" s="1"/>
      <c r="AF3597" s="1"/>
      <c r="AG3597" s="1"/>
      <c r="AH3597" s="1"/>
      <c r="AI3597" s="1"/>
      <c r="AJ3597" s="1"/>
      <c r="AK3597" s="1"/>
      <c r="AL3597" s="1"/>
      <c r="AM3597" s="1"/>
      <c r="AN3597" s="1"/>
      <c r="AO3597" s="1"/>
      <c r="AP3597" s="1"/>
      <c r="AQ3597" s="1"/>
      <c r="AR3597" s="1"/>
      <c r="AS3597" s="1"/>
      <c r="AT3597" s="1"/>
      <c r="AU3597" s="1"/>
      <c r="AV3597" s="1"/>
      <c r="AW3597" s="1"/>
      <c r="AX3597" s="1"/>
      <c r="AY3597" s="1"/>
      <c r="AZ3597" s="1"/>
      <c r="BA3597" s="1"/>
      <c r="BB3597" s="1"/>
    </row>
    <row r="3598" ht="204.75" customHeight="1">
      <c r="A3598" s="1">
        <v>1403.0</v>
      </c>
      <c r="B3598" s="2" t="s">
        <v>10814</v>
      </c>
      <c r="C3598" s="2">
        <f>IFERROR(__xludf.DUMMYFUNCTION("split(B3598,""_"")"),1701.0)</f>
        <v>1701</v>
      </c>
      <c r="D3598" s="2" t="str">
        <f>IFERROR(__xludf.DUMMYFUNCTION("""COMPUTED_VALUE"""),"NTV")</f>
        <v>NTV</v>
      </c>
      <c r="E3598" s="2" t="str">
        <f>IFERROR(__xludf.DUMMYFUNCTION("""COMPUTED_VALUE"""),"土21")</f>
        <v>土21</v>
      </c>
      <c r="F3598" s="2" t="s">
        <v>10815</v>
      </c>
      <c r="G3598" s="2" t="s">
        <v>10828</v>
      </c>
      <c r="H3598" s="1">
        <v>5.0</v>
      </c>
      <c r="J3598" s="1" t="s">
        <v>11</v>
      </c>
      <c r="K3598" s="2" t="s">
        <v>10829</v>
      </c>
      <c r="L3598" s="11" t="s">
        <v>10830</v>
      </c>
      <c r="M3598" s="2" t="str">
        <f>IFERROR(__xludf.DUMMYFUNCTION("split(split(K3598,""【"",false),""ほか"",false)"),"堤真一、小泉今日子、ムロツヨシ、島崎遥香、賀来賢人、早見あかり、中村倫也、横山歩、富山えり子、金澤美穂、犬飼貴丈/本田翼/山田明郷、若葉竜也/佐藤二朗、笹野高史、高橋克実")</f>
        <v>堤真一、小泉今日子、ムロツヨシ、島崎遥香、賀来賢人、早見あかり、中村倫也、横山歩、富山えり子、金澤美穂、犬飼貴丈/本田翼/山田明郷、若葉竜也/佐藤二朗、笹野高史、高橋克実</v>
      </c>
      <c r="N3598" s="2" t="str">
        <f>IFERROR(__xludf.DUMMYFUNCTION("""COMPUTED_VALUE"""),"左江内(堤真一)は簑島(高橋克実)に、藤崎(本田翼)という総務課の社員と酔った勢いで不倫したかもしれないと相談される。左江内は、真相を確かめる為、藤崎と飲みに行く。…が、気がつくとホテルの一室で目を覚ます。まったく記憶がない。こんなことが円子(小泉今日子)にバレたら、タダでは済まない左江内。何があったのか真相を知りたい左江内は、再び藤崎と飲みに行く。そこで彼は、意外なことを聞かされ…。")</f>
        <v>左江内(堤真一)は簑島(高橋克実)に、藤崎(本田翼)という総務課の社員と酔った勢いで不倫したかもしれないと相談される。左江内は、真相を確かめる為、藤崎と飲みに行く。…が、気がつくとホテルの一室で目を覚ます。まったく記憶がない。こんなことが円子(小泉今日子)にバレたら、タダでは済まない左江内。何があったのか真相を知りたい左江内は、再び藤崎と飲みに行く。そこで彼は、意外なことを聞かされ…。</v>
      </c>
      <c r="O3598" s="2"/>
      <c r="P3598" s="1"/>
      <c r="Q3598" s="1"/>
      <c r="R3598" s="1"/>
      <c r="S3598" s="1"/>
      <c r="T3598" s="1"/>
      <c r="U3598" s="1"/>
      <c r="V3598" s="1"/>
      <c r="W3598" s="1"/>
      <c r="X3598" s="1"/>
      <c r="Y3598" s="1"/>
      <c r="Z3598" s="1"/>
      <c r="AA3598" s="1"/>
      <c r="AB3598" s="1"/>
      <c r="AC3598" s="1"/>
      <c r="AD3598" s="1"/>
      <c r="AE3598" s="1"/>
      <c r="AF3598" s="1"/>
      <c r="AG3598" s="1"/>
      <c r="AH3598" s="1"/>
      <c r="AI3598" s="1"/>
      <c r="AJ3598" s="1"/>
      <c r="AK3598" s="1"/>
      <c r="AL3598" s="1"/>
      <c r="AM3598" s="1"/>
      <c r="AN3598" s="1"/>
      <c r="AO3598" s="1"/>
      <c r="AP3598" s="1"/>
      <c r="AQ3598" s="1"/>
      <c r="AR3598" s="1"/>
      <c r="AS3598" s="1"/>
      <c r="AT3598" s="1"/>
      <c r="AU3598" s="1"/>
      <c r="AV3598" s="1"/>
      <c r="AW3598" s="1"/>
      <c r="AX3598" s="1"/>
      <c r="AY3598" s="1"/>
      <c r="AZ3598" s="1"/>
      <c r="BA3598" s="1"/>
      <c r="BB3598" s="1"/>
    </row>
    <row r="3599" ht="204.75" customHeight="1">
      <c r="A3599" s="1">
        <v>1404.0</v>
      </c>
      <c r="B3599" s="2" t="s">
        <v>10814</v>
      </c>
      <c r="C3599" s="2">
        <f>IFERROR(__xludf.DUMMYFUNCTION("split(B3599,""_"")"),1701.0)</f>
        <v>1701</v>
      </c>
      <c r="D3599" s="2" t="str">
        <f>IFERROR(__xludf.DUMMYFUNCTION("""COMPUTED_VALUE"""),"NTV")</f>
        <v>NTV</v>
      </c>
      <c r="E3599" s="2" t="str">
        <f>IFERROR(__xludf.DUMMYFUNCTION("""COMPUTED_VALUE"""),"土21")</f>
        <v>土21</v>
      </c>
      <c r="F3599" s="2" t="s">
        <v>10815</v>
      </c>
      <c r="G3599" s="2" t="s">
        <v>10831</v>
      </c>
      <c r="H3599" s="1">
        <v>6.0</v>
      </c>
      <c r="J3599" s="1" t="s">
        <v>11</v>
      </c>
      <c r="K3599" s="2" t="s">
        <v>10832</v>
      </c>
      <c r="L3599" s="11" t="s">
        <v>10833</v>
      </c>
      <c r="M3599" s="2" t="str">
        <f>IFERROR(__xludf.DUMMYFUNCTION("split(split(K3599,""【"",false),""ほか"",false)"),"堤真一、小泉今日子、ムロツヨシ、島崎遥香、賀来賢人、早見あかり、中村倫也、横山歩、福島マリコ、富山えり子、金澤美穂、犬飼貴丈/矢本悠馬/佐藤二朗、笹野高史、高橋克実")</f>
        <v>堤真一、小泉今日子、ムロツヨシ、島崎遥香、賀来賢人、早見あかり、中村倫也、横山歩、福島マリコ、富山えり子、金澤美穂、犬飼貴丈/矢本悠馬/佐藤二朗、笹野高史、高橋克実</v>
      </c>
      <c r="N3599" s="2" t="str">
        <f>IFERROR(__xludf.DUMMYFUNCTION("""COMPUTED_VALUE"""),"小池刑事(ムロツヨシ)と刈野(中村倫也)が大活躍!?週末、家族と遊園地にやってきた左江内(堤真一)。そんな彼の耳に危険を知らせる信号が聞こえてくる。遊園地のどこかに爆弾が仕掛けられているという。左江内は家族を避難させようとするが、円子(小泉今日子)たちは信じない。しかも、次々と騒動に見舞われ…。一方、小池たちは、爆弾捜しに奔走。左江内は家族を守り、危機を救うことができるのか!?")</f>
        <v>小池刑事(ムロツヨシ)と刈野(中村倫也)が大活躍!?週末、家族と遊園地にやってきた左江内(堤真一)。そんな彼の耳に危険を知らせる信号が聞こえてくる。遊園地のどこかに爆弾が仕掛けられているという。左江内は家族を避難させようとするが、円子(小泉今日子)たちは信じない。しかも、次々と騒動に見舞われ…。一方、小池たちは、爆弾捜しに奔走。左江内は家族を守り、危機を救うことができるのか!?</v>
      </c>
      <c r="O3599" s="2"/>
      <c r="P3599" s="1"/>
      <c r="Q3599" s="1"/>
      <c r="R3599" s="1"/>
      <c r="S3599" s="1"/>
      <c r="T3599" s="1"/>
      <c r="U3599" s="1"/>
      <c r="V3599" s="1"/>
      <c r="W3599" s="1"/>
      <c r="X3599" s="1"/>
      <c r="Y3599" s="1"/>
      <c r="Z3599" s="1"/>
      <c r="AA3599" s="1"/>
      <c r="AB3599" s="1"/>
      <c r="AC3599" s="1"/>
      <c r="AD3599" s="1"/>
      <c r="AE3599" s="1"/>
      <c r="AF3599" s="1"/>
      <c r="AG3599" s="1"/>
      <c r="AH3599" s="1"/>
      <c r="AI3599" s="1"/>
      <c r="AJ3599" s="1"/>
      <c r="AK3599" s="1"/>
      <c r="AL3599" s="1"/>
      <c r="AM3599" s="1"/>
      <c r="AN3599" s="1"/>
      <c r="AO3599" s="1"/>
      <c r="AP3599" s="1"/>
      <c r="AQ3599" s="1"/>
      <c r="AR3599" s="1"/>
      <c r="AS3599" s="1"/>
      <c r="AT3599" s="1"/>
      <c r="AU3599" s="1"/>
      <c r="AV3599" s="1"/>
      <c r="AW3599" s="1"/>
      <c r="AX3599" s="1"/>
      <c r="AY3599" s="1"/>
      <c r="AZ3599" s="1"/>
      <c r="BA3599" s="1"/>
      <c r="BB3599" s="1"/>
    </row>
    <row r="3600" ht="204.75" customHeight="1">
      <c r="A3600" s="1">
        <v>1405.0</v>
      </c>
      <c r="B3600" s="2" t="s">
        <v>10814</v>
      </c>
      <c r="C3600" s="2">
        <f>IFERROR(__xludf.DUMMYFUNCTION("split(B3600,""_"")"),1701.0)</f>
        <v>1701</v>
      </c>
      <c r="D3600" s="2" t="str">
        <f>IFERROR(__xludf.DUMMYFUNCTION("""COMPUTED_VALUE"""),"NTV")</f>
        <v>NTV</v>
      </c>
      <c r="E3600" s="2" t="str">
        <f>IFERROR(__xludf.DUMMYFUNCTION("""COMPUTED_VALUE"""),"土21")</f>
        <v>土21</v>
      </c>
      <c r="F3600" s="2" t="s">
        <v>10815</v>
      </c>
      <c r="G3600" s="2" t="s">
        <v>10834</v>
      </c>
      <c r="H3600" s="1">
        <v>7.0</v>
      </c>
      <c r="J3600" s="1" t="s">
        <v>11</v>
      </c>
      <c r="K3600" s="2" t="s">
        <v>10835</v>
      </c>
      <c r="L3600" s="11" t="s">
        <v>10836</v>
      </c>
      <c r="M3600" s="2" t="str">
        <f>IFERROR(__xludf.DUMMYFUNCTION("split(split(K3600,""【"",false),""ほか"",false)"),"堤真一、小泉今日子、ムロツヨシ、島崎遥香、賀来賢人、早見あかり、中村倫也、横山歩、富山えり子、金澤美穂、犬飼貴丈/鈴木浩介、間宮祥太朗/佐藤二朗、笹野高史、高橋克実")</f>
        <v>堤真一、小泉今日子、ムロツヨシ、島崎遥香、賀来賢人、早見あかり、中村倫也、横山歩、富山えり子、金澤美穂、犬飼貴丈/鈴木浩介、間宮祥太朗/佐藤二朗、笹野高史、高橋克実</v>
      </c>
      <c r="N3600" s="2" t="str">
        <f>IFERROR(__xludf.DUMMYFUNCTION("""COMPUTED_VALUE"""),"平和を守っているものの、海外のテロのニュースを見て無力感を覚えるヒーローブルーな左江内(堤真一)。彼は酔った勢いで池杉(賀来賢人)にスーパーヒーローを引き継ぐと言い出し、スーパースーツを渡してしまう。意気揚々と左江内に代わって人助けを始める池杉だったが・・・。そんな中、いくつかの銀行から次々と大金が消える事件が起こる。")</f>
        <v>平和を守っているものの、海外のテロのニュースを見て無力感を覚えるヒーローブルーな左江内(堤真一)。彼は酔った勢いで池杉(賀来賢人)にスーパーヒーローを引き継ぐと言い出し、スーパースーツを渡してしまう。意気揚々と左江内に代わって人助けを始める池杉だったが・・・。そんな中、いくつかの銀行から次々と大金が消える事件が起こる。</v>
      </c>
      <c r="O3600" s="2"/>
      <c r="P3600" s="1"/>
      <c r="Q3600" s="1"/>
      <c r="R3600" s="1"/>
      <c r="S3600" s="1"/>
      <c r="T3600" s="1"/>
      <c r="U3600" s="1"/>
      <c r="V3600" s="1"/>
      <c r="W3600" s="1"/>
      <c r="X3600" s="1"/>
      <c r="Y3600" s="1"/>
      <c r="Z3600" s="1"/>
      <c r="AA3600" s="1"/>
      <c r="AB3600" s="1"/>
      <c r="AC3600" s="1"/>
      <c r="AD3600" s="1"/>
      <c r="AE3600" s="1"/>
      <c r="AF3600" s="1"/>
      <c r="AG3600" s="1"/>
      <c r="AH3600" s="1"/>
      <c r="AI3600" s="1"/>
      <c r="AJ3600" s="1"/>
      <c r="AK3600" s="1"/>
      <c r="AL3600" s="1"/>
      <c r="AM3600" s="1"/>
      <c r="AN3600" s="1"/>
      <c r="AO3600" s="1"/>
      <c r="AP3600" s="1"/>
      <c r="AQ3600" s="1"/>
      <c r="AR3600" s="1"/>
      <c r="AS3600" s="1"/>
      <c r="AT3600" s="1"/>
      <c r="AU3600" s="1"/>
      <c r="AV3600" s="1"/>
      <c r="AW3600" s="1"/>
      <c r="AX3600" s="1"/>
      <c r="AY3600" s="1"/>
      <c r="AZ3600" s="1"/>
      <c r="BA3600" s="1"/>
      <c r="BB3600" s="1"/>
    </row>
    <row r="3601" ht="204.75" customHeight="1">
      <c r="A3601" s="1">
        <v>1406.0</v>
      </c>
      <c r="B3601" s="2" t="s">
        <v>10814</v>
      </c>
      <c r="C3601" s="2">
        <f>IFERROR(__xludf.DUMMYFUNCTION("split(B3601,""_"")"),1701.0)</f>
        <v>1701</v>
      </c>
      <c r="D3601" s="2" t="str">
        <f>IFERROR(__xludf.DUMMYFUNCTION("""COMPUTED_VALUE"""),"NTV")</f>
        <v>NTV</v>
      </c>
      <c r="E3601" s="2" t="str">
        <f>IFERROR(__xludf.DUMMYFUNCTION("""COMPUTED_VALUE"""),"土21")</f>
        <v>土21</v>
      </c>
      <c r="F3601" s="2" t="s">
        <v>10815</v>
      </c>
      <c r="G3601" s="2" t="s">
        <v>10837</v>
      </c>
      <c r="H3601" s="1">
        <v>8.0</v>
      </c>
      <c r="J3601" s="1" t="s">
        <v>11</v>
      </c>
      <c r="K3601" s="2" t="s">
        <v>10838</v>
      </c>
      <c r="L3601" s="11" t="s">
        <v>10839</v>
      </c>
      <c r="M3601" s="2" t="str">
        <f>IFERROR(__xludf.DUMMYFUNCTION("split(split(K3601,""【"",false),""ほか"",false)"),"堤真一、小泉今日子、ムロツヨシ、島崎遥香、賀来賢人、早見あかり、中村倫也、横山歩、富山えり子/平泉成、立石涼子、永野芽郁/佐藤二朗、笹野高史、高橋克実")</f>
        <v>堤真一、小泉今日子、ムロツヨシ、島崎遥香、賀来賢人、早見あかり、中村倫也、横山歩、富山えり子/平泉成、立石涼子、永野芽郁/佐藤二朗、笹野高史、高橋克実</v>
      </c>
      <c r="N3601" s="2" t="str">
        <f>IFERROR(__xludf.DUMMYFUNCTION("""COMPUTED_VALUE"""),"左江内(堤真一)の父・茂雄(平泉成)の80歳のお祝いに、実家に帰ることになった左江内一家。義父母・茂雄と春子(立石涼子)の前では、完璧な良妻ぶりを発揮する円子(小泉今日子)に恐れおののく左江内。そんな中、SOSに呼び出された左江内は、発信地で一足先に犯人を捕まえる人物と遭遇。その人物は、左江内と同じくスーパースーツを着て人々の危機を救うスーパーウーマン桃子(永野芽郁)だった・・・!")</f>
        <v>左江内(堤真一)の父・茂雄(平泉成)の80歳のお祝いに、実家に帰ることになった左江内一家。義父母・茂雄と春子(立石涼子)の前では、完璧な良妻ぶりを発揮する円子(小泉今日子)に恐れおののく左江内。そんな中、SOSに呼び出された左江内は、発信地で一足先に犯人を捕まえる人物と遭遇。その人物は、左江内と同じくスーパースーツを着て人々の危機を救うスーパーウーマン桃子(永野芽郁)だった・・・!</v>
      </c>
      <c r="O3601" s="2"/>
      <c r="P3601" s="1"/>
      <c r="Q3601" s="1"/>
      <c r="R3601" s="1"/>
      <c r="S3601" s="1"/>
      <c r="T3601" s="1"/>
      <c r="U3601" s="1"/>
      <c r="V3601" s="1"/>
      <c r="W3601" s="1"/>
      <c r="X3601" s="1"/>
      <c r="Y3601" s="1"/>
      <c r="Z3601" s="1"/>
      <c r="AA3601" s="1"/>
      <c r="AB3601" s="1"/>
      <c r="AC3601" s="1"/>
      <c r="AD3601" s="1"/>
      <c r="AE3601" s="1"/>
      <c r="AF3601" s="1"/>
      <c r="AG3601" s="1"/>
      <c r="AH3601" s="1"/>
      <c r="AI3601" s="1"/>
      <c r="AJ3601" s="1"/>
      <c r="AK3601" s="1"/>
      <c r="AL3601" s="1"/>
      <c r="AM3601" s="1"/>
      <c r="AN3601" s="1"/>
      <c r="AO3601" s="1"/>
      <c r="AP3601" s="1"/>
      <c r="AQ3601" s="1"/>
      <c r="AR3601" s="1"/>
      <c r="AS3601" s="1"/>
      <c r="AT3601" s="1"/>
      <c r="AU3601" s="1"/>
      <c r="AV3601" s="1"/>
      <c r="AW3601" s="1"/>
      <c r="AX3601" s="1"/>
      <c r="AY3601" s="1"/>
      <c r="AZ3601" s="1"/>
      <c r="BA3601" s="1"/>
      <c r="BB3601" s="1"/>
    </row>
    <row r="3602" ht="204.75" customHeight="1">
      <c r="A3602" s="1">
        <v>1407.0</v>
      </c>
      <c r="B3602" s="2" t="s">
        <v>10814</v>
      </c>
      <c r="C3602" s="2">
        <f>IFERROR(__xludf.DUMMYFUNCTION("split(B3602,""_"")"),1701.0)</f>
        <v>1701</v>
      </c>
      <c r="D3602" s="2" t="str">
        <f>IFERROR(__xludf.DUMMYFUNCTION("""COMPUTED_VALUE"""),"NTV")</f>
        <v>NTV</v>
      </c>
      <c r="E3602" s="2" t="str">
        <f>IFERROR(__xludf.DUMMYFUNCTION("""COMPUTED_VALUE"""),"土21")</f>
        <v>土21</v>
      </c>
      <c r="F3602" s="2" t="s">
        <v>10815</v>
      </c>
      <c r="G3602" s="2" t="s">
        <v>10840</v>
      </c>
      <c r="H3602" s="1">
        <v>9.0</v>
      </c>
      <c r="J3602" s="1" t="s">
        <v>11</v>
      </c>
      <c r="K3602" s="2" t="s">
        <v>10841</v>
      </c>
      <c r="L3602" s="11" t="s">
        <v>10842</v>
      </c>
      <c r="M3602" s="2" t="str">
        <f>IFERROR(__xludf.DUMMYFUNCTION("split(split(K3602,""【"",false),""ほか"",false)"),"堤真一、小泉今日子、ムロツヨシ、島崎遥香、賀来賢人、早見あかり、中村倫也、横山歩、福島マリコ、富山えり子、金澤美穂、犬飼貴丈/風間杜夫、石野真子、宅麻伸、やべきょうすけ、高橋努/佐藤二朗、笹野高史、高橋克実")</f>
        <v>堤真一、小泉今日子、ムロツヨシ、島崎遥香、賀来賢人、早見あかり、中村倫也、横山歩、福島マリコ、富山えり子、金澤美穂、犬飼貴丈/風間杜夫、石野真子、宅麻伸、やべきょうすけ、高橋努/佐藤二朗、笹野高史、高橋克実</v>
      </c>
      <c r="N3602" s="2" t="str">
        <f>IFERROR(__xludf.DUMMYFUNCTION("""COMPUTED_VALUE"""),"簑島課長(高橋克実)が部長に昇進することになった。左江内(堤真一)や営業3課はビックリ。簑島の代わりに左江内が新課長になるのではないかと池杉(賀来賢人)らが騒ぐ。家でも円子が大喜び。はね子(島崎遥香)も、もや夫(横山歩)と夢を膨らませる。そんな中、SOSを受信する左江内。とある豪邸で年配の男性と強盗(やべきょうすけ)が対峙していた。その男性は、なんと藤子建設の社長(風間杜夫)で…")</f>
        <v>簑島課長(高橋克実)が部長に昇進することになった。左江内(堤真一)や営業3課はビックリ。簑島の代わりに左江内が新課長になるのではないかと池杉(賀来賢人)らが騒ぐ。家でも円子が大喜び。はね子(島崎遥香)も、もや夫(横山歩)と夢を膨らませる。そんな中、SOSを受信する左江内。とある豪邸で年配の男性と強盗(やべきょうすけ)が対峙していた。その男性は、なんと藤子建設の社長(風間杜夫)で…</v>
      </c>
      <c r="O3602" s="2"/>
      <c r="P3602" s="1"/>
      <c r="Q3602" s="1"/>
      <c r="R3602" s="1"/>
      <c r="S3602" s="1"/>
      <c r="T3602" s="1"/>
      <c r="U3602" s="1"/>
      <c r="V3602" s="1"/>
      <c r="W3602" s="1"/>
      <c r="X3602" s="1"/>
      <c r="Y3602" s="1"/>
      <c r="Z3602" s="1"/>
      <c r="AA3602" s="1"/>
      <c r="AB3602" s="1"/>
      <c r="AC3602" s="1"/>
      <c r="AD3602" s="1"/>
      <c r="AE3602" s="1"/>
      <c r="AF3602" s="1"/>
      <c r="AG3602" s="1"/>
      <c r="AH3602" s="1"/>
      <c r="AI3602" s="1"/>
      <c r="AJ3602" s="1"/>
      <c r="AK3602" s="1"/>
      <c r="AL3602" s="1"/>
      <c r="AM3602" s="1"/>
      <c r="AN3602" s="1"/>
      <c r="AO3602" s="1"/>
      <c r="AP3602" s="1"/>
      <c r="AQ3602" s="1"/>
      <c r="AR3602" s="1"/>
      <c r="AS3602" s="1"/>
      <c r="AT3602" s="1"/>
      <c r="AU3602" s="1"/>
      <c r="AV3602" s="1"/>
      <c r="AW3602" s="1"/>
      <c r="AX3602" s="1"/>
      <c r="AY3602" s="1"/>
      <c r="AZ3602" s="1"/>
      <c r="BA3602" s="1"/>
      <c r="BB3602" s="1"/>
    </row>
    <row r="3603" ht="204.75" customHeight="1">
      <c r="A3603" s="1">
        <v>1408.0</v>
      </c>
      <c r="B3603" s="2" t="s">
        <v>10814</v>
      </c>
      <c r="C3603" s="2">
        <f>IFERROR(__xludf.DUMMYFUNCTION("split(B3603,""_"")"),1701.0)</f>
        <v>1701</v>
      </c>
      <c r="D3603" s="2" t="str">
        <f>IFERROR(__xludf.DUMMYFUNCTION("""COMPUTED_VALUE"""),"NTV")</f>
        <v>NTV</v>
      </c>
      <c r="E3603" s="2" t="str">
        <f>IFERROR(__xludf.DUMMYFUNCTION("""COMPUTED_VALUE"""),"土21")</f>
        <v>土21</v>
      </c>
      <c r="F3603" s="2" t="s">
        <v>10815</v>
      </c>
      <c r="G3603" s="2" t="s">
        <v>10843</v>
      </c>
      <c r="H3603" s="1">
        <v>10.0</v>
      </c>
      <c r="J3603" s="1" t="s">
        <v>11</v>
      </c>
      <c r="K3603" s="2" t="s">
        <v>10844</v>
      </c>
      <c r="L3603" s="11" t="s">
        <v>10845</v>
      </c>
      <c r="M3603" s="2" t="str">
        <f>IFERROR(__xludf.DUMMYFUNCTION("split(split(K3603,""【"",false),""ほか"",false)"),"堤真一、小泉今日子、ムロツヨシ、島崎遥香、賀来賢人、早見あかり、中村倫也、横山歩、福島マリコ、富山えり子、金澤美穂、犬飼貴丈/菅田将暉/佐藤二朗、笹野高史、高橋克実")</f>
        <v>堤真一、小泉今日子、ムロツヨシ、島崎遥香、賀来賢人、早見あかり、中村倫也、横山歩、福島マリコ、富山えり子、金澤美穂、犬飼貴丈/菅田将暉/佐藤二朗、笹野高史、高橋克実</v>
      </c>
      <c r="N3603" s="2" t="str">
        <f>IFERROR(__xludf.DUMMYFUNCTION("""COMPUTED_VALUE"""),"最終回、左江内(堤真一)が出社すると、自分の席に見知らぬ男が座っている。それは、謎の男・米倉(佐藤二朗)。営業三課の全員が左江内に「どちらさまですか?」と言い始め…?  そんな中、妻・円子(小泉今日子)がバスジャック犯(菅田将暉)に拉致され!?この夫婦の在り方、愛の形が見える驚愕のラスト!全ての謎が解き明かされる!放送直後、スピンオフ「小池刑事の鬼の取調室」がHulu配信にて配信スタート!")</f>
        <v>最終回、左江内(堤真一)が出社すると、自分の席に見知らぬ男が座っている。それは、謎の男・米倉(佐藤二朗)。営業三課の全員が左江内に「どちらさまですか?」と言い始め…?  そんな中、妻・円子(小泉今日子)がバスジャック犯(菅田将暉)に拉致され!?この夫婦の在り方、愛の形が見える驚愕のラスト!全ての謎が解き明かされる!放送直後、スピンオフ「小池刑事の鬼の取調室」がHulu配信にて配信スタート!</v>
      </c>
      <c r="O3603" s="2"/>
      <c r="P3603" s="1"/>
      <c r="Q3603" s="1"/>
      <c r="R3603" s="1"/>
      <c r="S3603" s="1"/>
      <c r="T3603" s="1"/>
      <c r="U3603" s="1"/>
      <c r="V3603" s="1"/>
      <c r="W3603" s="1"/>
      <c r="X3603" s="1"/>
      <c r="Y3603" s="1"/>
      <c r="Z3603" s="1"/>
      <c r="AA3603" s="1"/>
      <c r="AB3603" s="1"/>
      <c r="AC3603" s="1"/>
      <c r="AD3603" s="1"/>
      <c r="AE3603" s="1"/>
      <c r="AF3603" s="1"/>
      <c r="AG3603" s="1"/>
      <c r="AH3603" s="1"/>
      <c r="AI3603" s="1"/>
      <c r="AJ3603" s="1"/>
      <c r="AK3603" s="1"/>
      <c r="AL3603" s="1"/>
      <c r="AM3603" s="1"/>
      <c r="AN3603" s="1"/>
      <c r="AO3603" s="1"/>
      <c r="AP3603" s="1"/>
      <c r="AQ3603" s="1"/>
      <c r="AR3603" s="1"/>
      <c r="AS3603" s="1"/>
      <c r="AT3603" s="1"/>
      <c r="AU3603" s="1"/>
      <c r="AV3603" s="1"/>
      <c r="AW3603" s="1"/>
      <c r="AX3603" s="1"/>
      <c r="AY3603" s="1"/>
      <c r="AZ3603" s="1"/>
      <c r="BA3603" s="1"/>
      <c r="BB3603" s="1"/>
    </row>
    <row r="3604" ht="204.75" customHeight="1">
      <c r="A3604" s="1">
        <v>1419.0</v>
      </c>
      <c r="B3604" s="2" t="s">
        <v>10846</v>
      </c>
      <c r="C3604" s="2">
        <f>IFERROR(__xludf.DUMMYFUNCTION("split(B3604,""_"")"),1701.0)</f>
        <v>1701</v>
      </c>
      <c r="D3604" s="2" t="str">
        <f>IFERROR(__xludf.DUMMYFUNCTION("""COMPUTED_VALUE"""),"NTV")</f>
        <v>NTV</v>
      </c>
      <c r="E3604" s="2" t="str">
        <f>IFERROR(__xludf.DUMMYFUNCTION("""COMPUTED_VALUE"""),"日22")</f>
        <v>日22</v>
      </c>
      <c r="F3604" s="2" t="s">
        <v>10847</v>
      </c>
      <c r="G3604" s="2" t="s">
        <v>10848</v>
      </c>
      <c r="H3604" s="1">
        <v>1.0</v>
      </c>
      <c r="J3604" s="1" t="s">
        <v>82</v>
      </c>
      <c r="K3604" s="4" t="s">
        <v>10849</v>
      </c>
      <c r="L3604" s="11" t="s">
        <v>10850</v>
      </c>
      <c r="M3604" s="2" t="str">
        <f>IFERROR(__xludf.DUMMYFUNCTION("split(split(K3604,""【演出"",false),""　戸田恵子"",false)"),"松坂桃李、多部未華子、濱田岳、木南晴夏、住田萌乃、和田聰宏、ほのか　/　上田竜也、シシド・カフカ　/　木野花、北大路欣也　ほか    【ゲスト】桐山漣、菅原大吉、岡本あずさ　/")</f>
        <v>松坂桃李、多部未華子、濱田岳、木南晴夏、住田萌乃、和田聰宏、ほのか　/　上田竜也、シシド・カフカ　/　木野花、北大路欣也　ほか    【ゲスト】桐山漣、菅原大吉、岡本あずさ　/</v>
      </c>
      <c r="N3604" s="2" t="str">
        <f>IFERROR(__xludf.DUMMYFUNCTION("""COMPUTED_VALUE"""),"五感のうち聴覚・嗅覚・味覚・触覚の四つを失った日暮旅人(松坂桃李)は、匂いや感情を視ることができる視覚を駆使し、相棒の雪路(濱田岳)と探し物探偵を営む。ヤクザの金庫を破った犯人を探しあてた矢先、娘の灯衣(住田萌乃)と保育士の陽子(多部未華子)が、チンピラ・亀吉(上田竜也)の巻き添えで行方不明と連絡が入る。しかし、特殊な目の能力を使いすぎると、失明の危険が。果たして、旅人は二人を見つけ出せるのか!?")</f>
        <v>五感のうち聴覚・嗅覚・味覚・触覚の四つを失った日暮旅人(松坂桃李)は、匂いや感情を視ることができる視覚を駆使し、相棒の雪路(濱田岳)と探し物探偵を営む。ヤクザの金庫を破った犯人を探しあてた矢先、娘の灯衣(住田萌乃)と保育士の陽子(多部未華子)が、チンピラ・亀吉(上田竜也)の巻き添えで行方不明と連絡が入る。しかし、特殊な目の能力を使いすぎると、失明の危険が。果たして、旅人は二人を見つけ出せるのか!?</v>
      </c>
      <c r="O3604" s="2"/>
      <c r="P3604" s="1"/>
      <c r="Q3604" s="1"/>
      <c r="R3604" s="1"/>
      <c r="S3604" s="1"/>
      <c r="T3604" s="1"/>
      <c r="U3604" s="1"/>
      <c r="V3604" s="1"/>
      <c r="W3604" s="1"/>
      <c r="X3604" s="1"/>
      <c r="Y3604" s="1"/>
      <c r="Z3604" s="1"/>
      <c r="AA3604" s="1"/>
      <c r="AB3604" s="1"/>
      <c r="AC3604" s="1"/>
      <c r="AD3604" s="1"/>
      <c r="AE3604" s="1"/>
      <c r="AF3604" s="1"/>
      <c r="AG3604" s="1"/>
      <c r="AH3604" s="1"/>
      <c r="AI3604" s="1"/>
      <c r="AJ3604" s="1"/>
      <c r="AK3604" s="1"/>
      <c r="AL3604" s="1"/>
      <c r="AM3604" s="1"/>
      <c r="AN3604" s="1"/>
      <c r="AO3604" s="1"/>
      <c r="AP3604" s="1"/>
      <c r="AQ3604" s="1"/>
      <c r="AR3604" s="1"/>
      <c r="AS3604" s="1"/>
      <c r="AT3604" s="1"/>
      <c r="AU3604" s="1"/>
      <c r="AV3604" s="1"/>
      <c r="AW3604" s="1"/>
      <c r="AX3604" s="1"/>
      <c r="AY3604" s="1"/>
      <c r="AZ3604" s="1"/>
      <c r="BA3604" s="1"/>
      <c r="BB3604" s="1"/>
    </row>
    <row r="3605" ht="204.75" customHeight="1">
      <c r="A3605" s="1">
        <v>1420.0</v>
      </c>
      <c r="B3605" s="2" t="s">
        <v>10846</v>
      </c>
      <c r="C3605" s="2">
        <f>IFERROR(__xludf.DUMMYFUNCTION("split(B3605,""_"")"),1701.0)</f>
        <v>1701</v>
      </c>
      <c r="D3605" s="2" t="str">
        <f>IFERROR(__xludf.DUMMYFUNCTION("""COMPUTED_VALUE"""),"NTV")</f>
        <v>NTV</v>
      </c>
      <c r="E3605" s="2" t="str">
        <f>IFERROR(__xludf.DUMMYFUNCTION("""COMPUTED_VALUE"""),"日22")</f>
        <v>日22</v>
      </c>
      <c r="F3605" s="2" t="s">
        <v>10847</v>
      </c>
      <c r="G3605" s="2" t="s">
        <v>10851</v>
      </c>
      <c r="H3605" s="1">
        <v>2.0</v>
      </c>
      <c r="I3605" s="1" t="s">
        <v>2872</v>
      </c>
      <c r="J3605" s="1" t="s">
        <v>82</v>
      </c>
      <c r="K3605" s="2" t="s">
        <v>10852</v>
      </c>
      <c r="L3605" s="10" t="s">
        <v>10853</v>
      </c>
      <c r="M3605" s="2" t="str">
        <f>IFERROR(__xludf.DUMMYFUNCTION("split(split(K3605,""【演出"",false),""　戸田恵子"",false)"),"松坂桃李、多部未華子、濱田岳、木南晴夏、住田萌乃、和田聰宏　/　上田竜也、シシド・カフカ　/　吹越満、北大路欣也　ほか　  　　　　　　　　　  【ゲスト】矢田亜希子、今野浩喜、入山法子、栗原類、ダチョウ倶楽部、萩原利久見えないモノが視える日暮旅人(松坂桃李)に、シングルマザーから行方不明の5歳の娘を探して欲しいという依頼が舞い込む。旅人と雪路(濱田岳)は、親子の住むアパートの住人達を調べ始める。一方、保育士の陽子(多部未華子)は、旅人の娘・灯衣(住田萌乃)が野良犬に給食のパンを与えていることに気付く。あ"&amp;"る日その犬が、行方不明の少女の指輪を持って旅人達の前に現れ、事件は急展開!旅人は5歳の少女を救い出せるのか!?")</f>
        <v>松坂桃李、多部未華子、濱田岳、木南晴夏、住田萌乃、和田聰宏　/　上田竜也、シシド・カフカ　/　吹越満、北大路欣也　ほか　  　　　　　　　　　  【ゲスト】矢田亜希子、今野浩喜、入山法子、栗原類、ダチョウ倶楽部、萩原利久見えないモノが視える日暮旅人(松坂桃李)に、シングルマザーから行方不明の5歳の娘を探して欲しいという依頼が舞い込む。旅人と雪路(濱田岳)は、親子の住むアパートの住人達を調べ始める。一方、保育士の陽子(多部未華子)は、旅人の娘・灯衣(住田萌乃)が野良犬に給食のパンを与えていることに気付く。ある日その犬が、行方不明の少女の指輪を持って旅人達の前に現れ、事件は急展開!旅人は5歳の少女を救い出せるのか!?</v>
      </c>
      <c r="N3605" s="2"/>
      <c r="O3605" s="2"/>
      <c r="P3605" s="1"/>
      <c r="Q3605" s="1"/>
      <c r="R3605" s="1"/>
      <c r="S3605" s="1"/>
      <c r="T3605" s="1"/>
      <c r="U3605" s="1"/>
      <c r="V3605" s="1"/>
      <c r="W3605" s="1"/>
      <c r="X3605" s="1"/>
      <c r="Y3605" s="1"/>
      <c r="Z3605" s="1"/>
      <c r="AA3605" s="1"/>
      <c r="AB3605" s="1"/>
      <c r="AC3605" s="1"/>
      <c r="AD3605" s="1"/>
      <c r="AE3605" s="1"/>
      <c r="AF3605" s="1"/>
      <c r="AG3605" s="1"/>
      <c r="AH3605" s="1"/>
      <c r="AI3605" s="1"/>
      <c r="AJ3605" s="1"/>
      <c r="AK3605" s="1"/>
      <c r="AL3605" s="1"/>
      <c r="AM3605" s="1"/>
      <c r="AN3605" s="1"/>
      <c r="AO3605" s="1"/>
      <c r="AP3605" s="1"/>
      <c r="AQ3605" s="1"/>
      <c r="AR3605" s="1"/>
      <c r="AS3605" s="1"/>
      <c r="AT3605" s="1"/>
      <c r="AU3605" s="1"/>
      <c r="AV3605" s="1"/>
      <c r="AW3605" s="1"/>
      <c r="AX3605" s="1"/>
      <c r="AY3605" s="1"/>
      <c r="AZ3605" s="1"/>
      <c r="BA3605" s="1"/>
      <c r="BB3605" s="1"/>
    </row>
    <row r="3606" ht="204.75" customHeight="1">
      <c r="A3606" s="1">
        <v>1421.0</v>
      </c>
      <c r="B3606" s="2" t="s">
        <v>10846</v>
      </c>
      <c r="C3606" s="2">
        <f>IFERROR(__xludf.DUMMYFUNCTION("split(B3606,""_"")"),1701.0)</f>
        <v>1701</v>
      </c>
      <c r="D3606" s="2" t="str">
        <f>IFERROR(__xludf.DUMMYFUNCTION("""COMPUTED_VALUE"""),"NTV")</f>
        <v>NTV</v>
      </c>
      <c r="E3606" s="2" t="str">
        <f>IFERROR(__xludf.DUMMYFUNCTION("""COMPUTED_VALUE"""),"日22")</f>
        <v>日22</v>
      </c>
      <c r="F3606" s="2" t="s">
        <v>10847</v>
      </c>
      <c r="G3606" s="2" t="s">
        <v>10854</v>
      </c>
      <c r="H3606" s="1">
        <v>3.0</v>
      </c>
      <c r="I3606" s="1" t="s">
        <v>2876</v>
      </c>
      <c r="J3606" s="1" t="s">
        <v>82</v>
      </c>
      <c r="K3606" s="2" t="s">
        <v>10855</v>
      </c>
      <c r="L3606" s="10" t="s">
        <v>10856</v>
      </c>
      <c r="M3606" s="2" t="str">
        <f>IFERROR(__xludf.DUMMYFUNCTION("split(split(K3606,""【演出"",false),""　戸田恵子"",false)"),"松坂桃李、多部未華子、濱田岳、木南晴夏、住田萌乃、和田聰宏　/　上田竜也、シシド・カフカ　/　吹越満、伊武雅刀　ほか  【ゲスト】国仲涼子、眞島秀和、福田悠太(ふぉ～ゆ～)、蝶野正洋、渡辺哲、高田聖子探し物探偵事務所に、結婚式を目前に控えた新郎・川辺(福田悠太)が、新婦の愛歌(国仲涼子)が塞ぎ込んでいる原因を探して欲しいと依頼にやってくる。雪路は隠していたが、実は雪路の父・照之(伊武雅刀)は大物政治家で、愛歌は、雪路家に長年勤めている使用人だった。16年前に兄・勝彦(眞島秀和)が自殺した原因は父にあると考"&amp;"えている雪路は実家に関わる依頼を避けようとするが、なぜか旅人が強引に引き受けてしまう……。")</f>
        <v>松坂桃李、多部未華子、濱田岳、木南晴夏、住田萌乃、和田聰宏　/　上田竜也、シシド・カフカ　/　吹越満、伊武雅刀　ほか  【ゲスト】国仲涼子、眞島秀和、福田悠太(ふぉ～ゆ～)、蝶野正洋、渡辺哲、高田聖子探し物探偵事務所に、結婚式を目前に控えた新郎・川辺(福田悠太)が、新婦の愛歌(国仲涼子)が塞ぎ込んでいる原因を探して欲しいと依頼にやってくる。雪路は隠していたが、実は雪路の父・照之(伊武雅刀)は大物政治家で、愛歌は、雪路家に長年勤めている使用人だった。16年前に兄・勝彦(眞島秀和)が自殺した原因は父にあると考えている雪路は実家に関わる依頼を避けようとするが、なぜか旅人が強引に引き受けてしまう……。</v>
      </c>
      <c r="N3606" s="2"/>
      <c r="O3606" s="2"/>
      <c r="P3606" s="1"/>
      <c r="Q3606" s="1"/>
      <c r="R3606" s="1"/>
      <c r="S3606" s="1"/>
      <c r="T3606" s="1"/>
      <c r="U3606" s="1"/>
      <c r="V3606" s="1"/>
      <c r="W3606" s="1"/>
      <c r="X3606" s="1"/>
      <c r="Y3606" s="1"/>
      <c r="Z3606" s="1"/>
      <c r="AA3606" s="1"/>
      <c r="AB3606" s="1"/>
      <c r="AC3606" s="1"/>
      <c r="AD3606" s="1"/>
      <c r="AE3606" s="1"/>
      <c r="AF3606" s="1"/>
      <c r="AG3606" s="1"/>
      <c r="AH3606" s="1"/>
      <c r="AI3606" s="1"/>
      <c r="AJ3606" s="1"/>
      <c r="AK3606" s="1"/>
      <c r="AL3606" s="1"/>
      <c r="AM3606" s="1"/>
      <c r="AN3606" s="1"/>
      <c r="AO3606" s="1"/>
      <c r="AP3606" s="1"/>
      <c r="AQ3606" s="1"/>
      <c r="AR3606" s="1"/>
      <c r="AS3606" s="1"/>
      <c r="AT3606" s="1"/>
      <c r="AU3606" s="1"/>
      <c r="AV3606" s="1"/>
      <c r="AW3606" s="1"/>
      <c r="AX3606" s="1"/>
      <c r="AY3606" s="1"/>
      <c r="AZ3606" s="1"/>
      <c r="BA3606" s="1"/>
      <c r="BB3606" s="1"/>
    </row>
    <row r="3607" ht="204.75" customHeight="1">
      <c r="A3607" s="1">
        <v>1422.0</v>
      </c>
      <c r="B3607" s="2" t="s">
        <v>10846</v>
      </c>
      <c r="C3607" s="2">
        <f>IFERROR(__xludf.DUMMYFUNCTION("split(B3607,""_"")"),1701.0)</f>
        <v>1701</v>
      </c>
      <c r="D3607" s="2" t="str">
        <f>IFERROR(__xludf.DUMMYFUNCTION("""COMPUTED_VALUE"""),"NTV")</f>
        <v>NTV</v>
      </c>
      <c r="E3607" s="2" t="str">
        <f>IFERROR(__xludf.DUMMYFUNCTION("""COMPUTED_VALUE"""),"日22")</f>
        <v>日22</v>
      </c>
      <c r="F3607" s="2" t="s">
        <v>10847</v>
      </c>
      <c r="G3607" s="2" t="s">
        <v>10857</v>
      </c>
      <c r="H3607" s="1">
        <v>4.0</v>
      </c>
      <c r="I3607" s="1" t="s">
        <v>2880</v>
      </c>
      <c r="J3607" s="1" t="s">
        <v>82</v>
      </c>
      <c r="K3607" s="2" t="s">
        <v>10858</v>
      </c>
      <c r="L3607" s="10" t="s">
        <v>10859</v>
      </c>
      <c r="M3607" s="2" t="str">
        <f>IFERROR(__xludf.DUMMYFUNCTION("split(split(K3607,""【演出"",false),""　戸田恵子"",false)"),"松坂桃李、多部未華子、濱田岳、木南晴夏、住田萌乃、和田聰宏　/　上田竜也、シシド・カフカ　/　木野花、北村有起哉、吹越満、北大路欣也　ほか  【ゲスト】三浦貴大、池田鉄洋、前野朋哉、半海一晃、大島蓉子、ブリリアン婚活パーティーに参加した保育士の智子先生(木南晴夏)が行方不明に!心配した陽子(多部未華子)は日暮旅人(松坂桃李)に助けを求めるが、旅人は目の力を使いすぎて意識不明の状態だった。雪路(濱田岳)、亀吉(上田竜也)と共に智子を探す陽子だが、捜索は難航。そんな中、目を覚ました旅人は、榎木(北大路欣也)達"&amp;"の制止を振り切り、智子を探しに飛び出す。が、その行動の裏には、ブラック旅人のある企みが隠されていた……")</f>
        <v>松坂桃李、多部未華子、濱田岳、木南晴夏、住田萌乃、和田聰宏　/　上田竜也、シシド・カフカ　/　木野花、北村有起哉、吹越満、北大路欣也　ほか  【ゲスト】三浦貴大、池田鉄洋、前野朋哉、半海一晃、大島蓉子、ブリリアン婚活パーティーに参加した保育士の智子先生(木南晴夏)が行方不明に!心配した陽子(多部未華子)は日暮旅人(松坂桃李)に助けを求めるが、旅人は目の力を使いすぎて意識不明の状態だった。雪路(濱田岳)、亀吉(上田竜也)と共に智子を探す陽子だが、捜索は難航。そんな中、目を覚ました旅人は、榎木(北大路欣也)達の制止を振り切り、智子を探しに飛び出す。が、その行動の裏には、ブラック旅人のある企みが隠されていた……</v>
      </c>
      <c r="N3607" s="2"/>
      <c r="O3607" s="2"/>
      <c r="P3607" s="1"/>
      <c r="Q3607" s="1"/>
      <c r="R3607" s="1"/>
      <c r="S3607" s="1"/>
      <c r="T3607" s="1"/>
      <c r="U3607" s="1"/>
      <c r="V3607" s="1"/>
      <c r="W3607" s="1"/>
      <c r="X3607" s="1"/>
      <c r="Y3607" s="1"/>
      <c r="Z3607" s="1"/>
      <c r="AA3607" s="1"/>
      <c r="AB3607" s="1"/>
      <c r="AC3607" s="1"/>
      <c r="AD3607" s="1"/>
      <c r="AE3607" s="1"/>
      <c r="AF3607" s="1"/>
      <c r="AG3607" s="1"/>
      <c r="AH3607" s="1"/>
      <c r="AI3607" s="1"/>
      <c r="AJ3607" s="1"/>
      <c r="AK3607" s="1"/>
      <c r="AL3607" s="1"/>
      <c r="AM3607" s="1"/>
      <c r="AN3607" s="1"/>
      <c r="AO3607" s="1"/>
      <c r="AP3607" s="1"/>
      <c r="AQ3607" s="1"/>
      <c r="AR3607" s="1"/>
      <c r="AS3607" s="1"/>
      <c r="AT3607" s="1"/>
      <c r="AU3607" s="1"/>
      <c r="AV3607" s="1"/>
      <c r="AW3607" s="1"/>
      <c r="AX3607" s="1"/>
      <c r="AY3607" s="1"/>
      <c r="AZ3607" s="1"/>
      <c r="BA3607" s="1"/>
      <c r="BB3607" s="1"/>
    </row>
    <row r="3608" ht="204.75" customHeight="1">
      <c r="A3608" s="1">
        <v>1423.0</v>
      </c>
      <c r="B3608" s="2" t="s">
        <v>10846</v>
      </c>
      <c r="C3608" s="2">
        <f>IFERROR(__xludf.DUMMYFUNCTION("split(B3608,""_"")"),1701.0)</f>
        <v>1701</v>
      </c>
      <c r="D3608" s="2" t="str">
        <f>IFERROR(__xludf.DUMMYFUNCTION("""COMPUTED_VALUE"""),"NTV")</f>
        <v>NTV</v>
      </c>
      <c r="E3608" s="2" t="str">
        <f>IFERROR(__xludf.DUMMYFUNCTION("""COMPUTED_VALUE"""),"日22")</f>
        <v>日22</v>
      </c>
      <c r="F3608" s="2" t="s">
        <v>10847</v>
      </c>
      <c r="G3608" s="2" t="s">
        <v>10860</v>
      </c>
      <c r="H3608" s="1">
        <v>5.0</v>
      </c>
      <c r="I3608" s="1" t="s">
        <v>2884</v>
      </c>
      <c r="J3608" s="1" t="s">
        <v>82</v>
      </c>
      <c r="K3608" s="2" t="s">
        <v>10861</v>
      </c>
      <c r="L3608" s="10" t="s">
        <v>10862</v>
      </c>
      <c r="M3608" s="2" t="str">
        <f>IFERROR(__xludf.DUMMYFUNCTION("split(split(K3608,""【演出"",false),""　戸田恵子"",false)"),"松坂桃李、多部未華子、濱田岳、住田萌乃、和田聰宏　/　上田竜也、シシド・カフカ　/　北村有起哉、吹越満、北大路欣也　ほか  【ゲスト】吉田栄作、三吉彩花、池田鉄洋、半海一晃、笠松将今回の依頼は、失踪したミュージシャン・犬飼啓(吉田栄作)を探せ!耳の聴こえない女性ファン・静香(三吉彩花)のため、いつも以上に熱心に探す旅人(松坂桃李)には、ある隠された狙いがあった!一方、20年前に自分が誘拐・監禁した子供が、旅人であることに気づいた刑事の白石(吹越満)は、過去の罪を揉み消すために動き出す……。いよいよ、旅人の"&amp;"過去と現在が繋がり始め、周囲の人間たちも、その渦に巻きこまれていく。")</f>
        <v>松坂桃李、多部未華子、濱田岳、住田萌乃、和田聰宏　/　上田竜也、シシド・カフカ　/　北村有起哉、吹越満、北大路欣也　ほか  【ゲスト】吉田栄作、三吉彩花、池田鉄洋、半海一晃、笠松将今回の依頼は、失踪したミュージシャン・犬飼啓(吉田栄作)を探せ!耳の聴こえない女性ファン・静香(三吉彩花)のため、いつも以上に熱心に探す旅人(松坂桃李)には、ある隠された狙いがあった!一方、20年前に自分が誘拐・監禁した子供が、旅人であることに気づいた刑事の白石(吹越満)は、過去の罪を揉み消すために動き出す……。いよいよ、旅人の過去と現在が繋がり始め、周囲の人間たちも、その渦に巻きこまれていく。</v>
      </c>
      <c r="N3608" s="2"/>
      <c r="O3608" s="2"/>
      <c r="P3608" s="1"/>
      <c r="Q3608" s="1"/>
      <c r="R3608" s="1"/>
      <c r="S3608" s="1"/>
      <c r="T3608" s="1"/>
      <c r="U3608" s="1"/>
      <c r="V3608" s="1"/>
      <c r="W3608" s="1"/>
      <c r="X3608" s="1"/>
      <c r="Y3608" s="1"/>
      <c r="Z3608" s="1"/>
      <c r="AA3608" s="1"/>
      <c r="AB3608" s="1"/>
      <c r="AC3608" s="1"/>
      <c r="AD3608" s="1"/>
      <c r="AE3608" s="1"/>
      <c r="AF3608" s="1"/>
      <c r="AG3608" s="1"/>
      <c r="AH3608" s="1"/>
      <c r="AI3608" s="1"/>
      <c r="AJ3608" s="1"/>
      <c r="AK3608" s="1"/>
      <c r="AL3608" s="1"/>
      <c r="AM3608" s="1"/>
      <c r="AN3608" s="1"/>
      <c r="AO3608" s="1"/>
      <c r="AP3608" s="1"/>
      <c r="AQ3608" s="1"/>
      <c r="AR3608" s="1"/>
      <c r="AS3608" s="1"/>
      <c r="AT3608" s="1"/>
      <c r="AU3608" s="1"/>
      <c r="AV3608" s="1"/>
      <c r="AW3608" s="1"/>
      <c r="AX3608" s="1"/>
      <c r="AY3608" s="1"/>
      <c r="AZ3608" s="1"/>
      <c r="BA3608" s="1"/>
      <c r="BB3608" s="1"/>
    </row>
    <row r="3609" ht="204.75" customHeight="1">
      <c r="A3609" s="1">
        <v>1424.0</v>
      </c>
      <c r="B3609" s="2" t="s">
        <v>10846</v>
      </c>
      <c r="C3609" s="2">
        <f>IFERROR(__xludf.DUMMYFUNCTION("split(B3609,""_"")"),1701.0)</f>
        <v>1701</v>
      </c>
      <c r="D3609" s="2" t="str">
        <f>IFERROR(__xludf.DUMMYFUNCTION("""COMPUTED_VALUE"""),"NTV")</f>
        <v>NTV</v>
      </c>
      <c r="E3609" s="2" t="str">
        <f>IFERROR(__xludf.DUMMYFUNCTION("""COMPUTED_VALUE"""),"日22")</f>
        <v>日22</v>
      </c>
      <c r="F3609" s="2" t="s">
        <v>10847</v>
      </c>
      <c r="G3609" s="2" t="s">
        <v>10863</v>
      </c>
      <c r="H3609" s="1">
        <v>6.0</v>
      </c>
      <c r="I3609" s="1" t="s">
        <v>2888</v>
      </c>
      <c r="J3609" s="1" t="s">
        <v>82</v>
      </c>
      <c r="K3609" s="2" t="s">
        <v>10864</v>
      </c>
      <c r="L3609" s="10" t="s">
        <v>10865</v>
      </c>
      <c r="M3609" s="2" t="str">
        <f>IFERROR(__xludf.DUMMYFUNCTION("split(split(K3609,""【演出"",false),""　戸田恵子"",false)"),"松坂桃李、多部未華子、濱田岳、住田萌乃、和田聰宏　/　上田竜也、シシド・カフカ　/　眞島秀和、北村有起哉、吹越満　ほか  【ゲスト】ともさかりえ、高橋メアリージュン、福士誠治、小林きな子、龍坐　/　西尾まり、池田鉄洋、永島敏行　ほか日暮旅人(松坂桃李)は、20年前に自分を誘拐・監禁した白石(吹越満)と遂に対峙する。帰途、探偵事務所の下の階にある飲み屋のホステス・ハルカ(ともさかりえ)を視た旅人は突然倒れてしまう。目を覚ました旅人は、ハルカと共に、鳥羽組の今林(池田鉄洋)と権藤会の権藤(永島敏行)の抗争に巻"&amp;"き込まれる。一方、雪路(濱田岳)は、旅人の秘密を知り激しく動揺する。謎の女性・ハルカの正体は!?旅人と雪路の絆の行方は!?稲留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f>
        <v>松坂桃李、多部未華子、濱田岳、住田萌乃、和田聰宏　/　上田竜也、シシド・カフカ　/　眞島秀和、北村有起哉、吹越満　ほか  【ゲスト】ともさかりえ、高橋メアリージュン、福士誠治、小林きな子、龍坐　/　西尾まり、池田鉄洋、永島敏行　ほか日暮旅人(松坂桃李)は、20年前に自分を誘拐・監禁した白石(吹越満)と遂に対峙する。帰途、探偵事務所の下の階にある飲み屋のホステス・ハルカ(ともさかりえ)を視た旅人は突然倒れてしまう。目を覚ました旅人は、ハルカと共に、鳥羽組の今林(池田鉄洋)と権藤会の権藤(永島敏行)の抗争に巻き込まれる。一方、雪路(濱田岳)は、旅人の秘密を知り激しく動揺する。謎の女性・ハルカの正体は!?旅人と雪路の絆の行方は!?稲留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v>
      </c>
      <c r="N3609" s="2"/>
      <c r="O3609" s="2"/>
      <c r="P3609" s="1"/>
      <c r="Q3609" s="1"/>
      <c r="R3609" s="1"/>
      <c r="S3609" s="1"/>
      <c r="T3609" s="1"/>
      <c r="U3609" s="1"/>
      <c r="V3609" s="1"/>
      <c r="W3609" s="1"/>
      <c r="X3609" s="1"/>
      <c r="Y3609" s="1"/>
      <c r="Z3609" s="1"/>
      <c r="AA3609" s="1"/>
      <c r="AB3609" s="1"/>
      <c r="AC3609" s="1"/>
      <c r="AD3609" s="1"/>
      <c r="AE3609" s="1"/>
      <c r="AF3609" s="1"/>
      <c r="AG3609" s="1"/>
      <c r="AH3609" s="1"/>
      <c r="AI3609" s="1"/>
      <c r="AJ3609" s="1"/>
      <c r="AK3609" s="1"/>
      <c r="AL3609" s="1"/>
      <c r="AM3609" s="1"/>
      <c r="AN3609" s="1"/>
      <c r="AO3609" s="1"/>
      <c r="AP3609" s="1"/>
      <c r="AQ3609" s="1"/>
      <c r="AR3609" s="1"/>
      <c r="AS3609" s="1"/>
      <c r="AT3609" s="1"/>
      <c r="AU3609" s="1"/>
      <c r="AV3609" s="1"/>
      <c r="AW3609" s="1"/>
      <c r="AX3609" s="1"/>
      <c r="AY3609" s="1"/>
      <c r="AZ3609" s="1"/>
      <c r="BA3609" s="1"/>
      <c r="BB3609" s="1"/>
    </row>
    <row r="3610" ht="204.75" customHeight="1">
      <c r="A3610" s="1">
        <v>1425.0</v>
      </c>
      <c r="B3610" s="2" t="s">
        <v>10846</v>
      </c>
      <c r="C3610" s="2">
        <f>IFERROR(__xludf.DUMMYFUNCTION("split(B3610,""_"")"),1701.0)</f>
        <v>1701</v>
      </c>
      <c r="D3610" s="2" t="str">
        <f>IFERROR(__xludf.DUMMYFUNCTION("""COMPUTED_VALUE"""),"NTV")</f>
        <v>NTV</v>
      </c>
      <c r="E3610" s="2" t="str">
        <f>IFERROR(__xludf.DUMMYFUNCTION("""COMPUTED_VALUE"""),"日22")</f>
        <v>日22</v>
      </c>
      <c r="F3610" s="2" t="s">
        <v>10847</v>
      </c>
      <c r="G3610" s="2" t="s">
        <v>10866</v>
      </c>
      <c r="H3610" s="1">
        <v>7.0</v>
      </c>
      <c r="I3610" s="1" t="s">
        <v>2892</v>
      </c>
      <c r="J3610" s="1" t="s">
        <v>82</v>
      </c>
      <c r="K3610" s="2" t="s">
        <v>10867</v>
      </c>
      <c r="L3610" s="10" t="s">
        <v>10868</v>
      </c>
      <c r="M3610" s="2" t="str">
        <f>IFERROR(__xludf.DUMMYFUNCTION("split(split(K3610,""【演出"",false),""　戸田恵子"",false)"),"松坂桃李、多部未華子、濱田岳、住田萌乃、和田聰宏　/　上田竜也、シシド・カフカ　/　伊武雅刀、北村有起哉、吹越満、北大路欣也　ほか  【ゲスト】ともさかりえ、池田鉄洋　ほか日暮旅人(松坂桃李)を訪ねるホステス・ハルカこと灯果(ともさかりえ)。旅人は自分を誘拐・監禁した灯果が灯衣(住田萌乃)の母親だと知る。最後に一度だけ娘と会わせてほしいという灯果の願いを旅人は受け入れ、旅人と陽子(多部未華子)が見守る中親子はデパートの屋上で会う。しかし、天才ドラッグデザイナーである灯果を追って鳥羽組のリッチー(北村有起哉"&amp;")が登場。はたして旅人達は灯果と灯衣を守ることができるのか!?菅原伸太郎【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f>
        <v>松坂桃李、多部未華子、濱田岳、住田萌乃、和田聰宏　/　上田竜也、シシド・カフカ　/　伊武雅刀、北村有起哉、吹越満、北大路欣也　ほか  【ゲスト】ともさかりえ、池田鉄洋　ほか日暮旅人(松坂桃李)を訪ねるホステス・ハルカこと灯果(ともさかりえ)。旅人は自分を誘拐・監禁した灯果が灯衣(住田萌乃)の母親だと知る。最後に一度だけ娘と会わせてほしいという灯果の願いを旅人は受け入れ、旅人と陽子(多部未華子)が見守る中親子はデパートの屋上で会う。しかし、天才ドラッグデザイナーである灯果を追って鳥羽組のリッチー(北村有起哉)が登場。はたして旅人達は灯果と灯衣を守ることができるのか!?菅原伸太郎【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v>
      </c>
      <c r="N3610" s="2"/>
      <c r="O3610" s="2"/>
      <c r="P3610" s="1"/>
      <c r="Q3610" s="1"/>
      <c r="R3610" s="1"/>
      <c r="S3610" s="1"/>
      <c r="T3610" s="1"/>
      <c r="U3610" s="1"/>
      <c r="V3610" s="1"/>
      <c r="W3610" s="1"/>
      <c r="X3610" s="1"/>
      <c r="Y3610" s="1"/>
      <c r="Z3610" s="1"/>
      <c r="AA3610" s="1"/>
      <c r="AB3610" s="1"/>
      <c r="AC3610" s="1"/>
      <c r="AD3610" s="1"/>
      <c r="AE3610" s="1"/>
      <c r="AF3610" s="1"/>
      <c r="AG3610" s="1"/>
      <c r="AH3610" s="1"/>
      <c r="AI3610" s="1"/>
      <c r="AJ3610" s="1"/>
      <c r="AK3610" s="1"/>
      <c r="AL3610" s="1"/>
      <c r="AM3610" s="1"/>
      <c r="AN3610" s="1"/>
      <c r="AO3610" s="1"/>
      <c r="AP3610" s="1"/>
      <c r="AQ3610" s="1"/>
      <c r="AR3610" s="1"/>
      <c r="AS3610" s="1"/>
      <c r="AT3610" s="1"/>
      <c r="AU3610" s="1"/>
      <c r="AV3610" s="1"/>
      <c r="AW3610" s="1"/>
      <c r="AX3610" s="1"/>
      <c r="AY3610" s="1"/>
      <c r="AZ3610" s="1"/>
      <c r="BA3610" s="1"/>
      <c r="BB3610" s="1"/>
    </row>
    <row r="3611" ht="204.75" customHeight="1">
      <c r="A3611" s="1">
        <v>1426.0</v>
      </c>
      <c r="B3611" s="2" t="s">
        <v>10846</v>
      </c>
      <c r="C3611" s="2">
        <f>IFERROR(__xludf.DUMMYFUNCTION("split(B3611,""_"")"),1701.0)</f>
        <v>1701</v>
      </c>
      <c r="D3611" s="2" t="str">
        <f>IFERROR(__xludf.DUMMYFUNCTION("""COMPUTED_VALUE"""),"NTV")</f>
        <v>NTV</v>
      </c>
      <c r="E3611" s="2" t="str">
        <f>IFERROR(__xludf.DUMMYFUNCTION("""COMPUTED_VALUE"""),"日22")</f>
        <v>日22</v>
      </c>
      <c r="F3611" s="2" t="s">
        <v>10847</v>
      </c>
      <c r="G3611" s="2" t="s">
        <v>10869</v>
      </c>
      <c r="H3611" s="1">
        <v>8.0</v>
      </c>
      <c r="I3611" s="1" t="s">
        <v>2896</v>
      </c>
      <c r="J3611" s="1" t="s">
        <v>82</v>
      </c>
      <c r="K3611" s="2" t="s">
        <v>10870</v>
      </c>
      <c r="L3611" s="10" t="s">
        <v>10871</v>
      </c>
      <c r="M3611" s="2" t="str">
        <f>IFERROR(__xludf.DUMMYFUNCTION("split(split(K3611,""【演出"",false),""　戸田恵子"",false)"),"松坂桃李、多部未華子、濱田岳、住田萌乃、和田聰宏、三浦力、柳喬之　/　上田竜也、シシド・カフカ　/　伊武雅刀、北村有起哉、吹越満、北大路欣也　ほか  【ゲスト】ともさかりえ、今野浩喜、SEAMO、中川翼自分の過去、復讐計画を告白する日暮旅人(松坂桃李)に大きなショックを受ける陽子(多部未華子)、雪路(濱田岳)、亀吉(上田竜也)、灯衣(住田萌乃)。そんな中、陽子が、まずは白石刑事(吹越満)に、続いて鳥羽組で最も危険な男・リッチー(北村有起哉)に“二重誘拐”されてしまう。陽子はリッチーから、旅人の両親の死の真"&amp;"相を聞いてしまう……。旅人は、陽子を救い出すことができるのか!?そして旅人の復讐の行方は!?堤幸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f>
        <v>松坂桃李、多部未華子、濱田岳、住田萌乃、和田聰宏、三浦力、柳喬之　/　上田竜也、シシド・カフカ　/　伊武雅刀、北村有起哉、吹越満、北大路欣也　ほか  【ゲスト】ともさかりえ、今野浩喜、SEAMO、中川翼自分の過去、復讐計画を告白する日暮旅人(松坂桃李)に大きなショックを受ける陽子(多部未華子)、雪路(濱田岳)、亀吉(上田竜也)、灯衣(住田萌乃)。そんな中、陽子が、まずは白石刑事(吹越満)に、続いて鳥羽組で最も危険な男・リッチー(北村有起哉)に“二重誘拐”されてしまう。陽子はリッチーから、旅人の両親の死の真相を聞いてしまう……。旅人は、陽子を救い出すことができるのか!?そして旅人の復讐の行方は!?堤幸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v>
      </c>
      <c r="N3611" s="2"/>
      <c r="O3611" s="2"/>
      <c r="P3611" s="1"/>
      <c r="Q3611" s="1"/>
      <c r="R3611" s="1"/>
      <c r="S3611" s="1"/>
      <c r="T3611" s="1"/>
      <c r="U3611" s="1"/>
      <c r="V3611" s="1"/>
      <c r="W3611" s="1"/>
      <c r="X3611" s="1"/>
      <c r="Y3611" s="1"/>
      <c r="Z3611" s="1"/>
      <c r="AA3611" s="1"/>
      <c r="AB3611" s="1"/>
      <c r="AC3611" s="1"/>
      <c r="AD3611" s="1"/>
      <c r="AE3611" s="1"/>
      <c r="AF3611" s="1"/>
      <c r="AG3611" s="1"/>
      <c r="AH3611" s="1"/>
      <c r="AI3611" s="1"/>
      <c r="AJ3611" s="1"/>
      <c r="AK3611" s="1"/>
      <c r="AL3611" s="1"/>
      <c r="AM3611" s="1"/>
      <c r="AN3611" s="1"/>
      <c r="AO3611" s="1"/>
      <c r="AP3611" s="1"/>
      <c r="AQ3611" s="1"/>
      <c r="AR3611" s="1"/>
      <c r="AS3611" s="1"/>
      <c r="AT3611" s="1"/>
      <c r="AU3611" s="1"/>
      <c r="AV3611" s="1"/>
      <c r="AW3611" s="1"/>
      <c r="AX3611" s="1"/>
      <c r="AY3611" s="1"/>
      <c r="AZ3611" s="1"/>
      <c r="BA3611" s="1"/>
      <c r="BB3611" s="1"/>
    </row>
    <row r="3612" ht="204.75" customHeight="1">
      <c r="A3612" s="1">
        <v>1427.0</v>
      </c>
      <c r="B3612" s="2" t="s">
        <v>10846</v>
      </c>
      <c r="C3612" s="2">
        <f>IFERROR(__xludf.DUMMYFUNCTION("split(B3612,""_"")"),1701.0)</f>
        <v>1701</v>
      </c>
      <c r="D3612" s="2" t="str">
        <f>IFERROR(__xludf.DUMMYFUNCTION("""COMPUTED_VALUE"""),"NTV")</f>
        <v>NTV</v>
      </c>
      <c r="E3612" s="2" t="str">
        <f>IFERROR(__xludf.DUMMYFUNCTION("""COMPUTED_VALUE"""),"日22")</f>
        <v>日22</v>
      </c>
      <c r="F3612" s="2" t="s">
        <v>10847</v>
      </c>
      <c r="G3612" s="2" t="s">
        <v>10872</v>
      </c>
      <c r="H3612" s="1">
        <v>9.0</v>
      </c>
      <c r="I3612" s="1" t="s">
        <v>2900</v>
      </c>
      <c r="J3612" s="1" t="s">
        <v>82</v>
      </c>
      <c r="K3612" s="2" t="s">
        <v>10873</v>
      </c>
      <c r="L3612" s="10" t="s">
        <v>10874</v>
      </c>
      <c r="M3612" s="2" t="str">
        <f>IFERROR(__xludf.DUMMYFUNCTION("split(split(K3612,""【演出"",false),""　戸田恵子"",false)"),"松坂桃李、多部未華子、濱田岳、木南晴夏、住田萌乃、和田聰宏、三浦力　/　上田竜也、シシド・カフカ　/　伊武雅刀、北村有起哉、吹越満、北大路欣也　ほか  【ゲスト】ともさかりえ、SEAMO、中川翼復讐だけが生きる希望だった日暮旅人(松坂桃李)は、遂に両親を殺したリッチー(北村有起哉)と対峙する。その手には拳銃が……。一方、旅人の復讐を思い留まらせようとする陽子(多部未華子)、雪路(濱田岳)、亀吉(上田竜也)、灯衣(住田萌乃)、榎木(北大路欣也)だったが、強敵に阻まれ次々と傷つき倒れていく……。憎悪と愛情の狭"&amp;"間で揺れ動く旅人が下す決断は!?闇のむこうに光は視えるのか!?驚愕と感動の最終話!!堤幸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f>
        <v>松坂桃李、多部未華子、濱田岳、木南晴夏、住田萌乃、和田聰宏、三浦力　/　上田竜也、シシド・カフカ　/　伊武雅刀、北村有起哉、吹越満、北大路欣也　ほか  【ゲスト】ともさかりえ、SEAMO、中川翼復讐だけが生きる希望だった日暮旅人(松坂桃李)は、遂に両親を殺したリッチー(北村有起哉)と対峙する。その手には拳銃が……。一方、旅人の復讐を思い留まらせようとする陽子(多部未華子)、雪路(濱田岳)、亀吉(上田竜也)、灯衣(住田萌乃)、榎木(北大路欣也)だったが、強敵に阻まれ次々と傷つき倒れていく……。憎悪と愛情の狭間で揺れ動く旅人が下す決断は!?闇のむこうに光は視えるのか!?驚愕と感動の最終話!!堤幸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v>
      </c>
      <c r="N3612" s="2"/>
      <c r="O3612" s="2"/>
      <c r="P3612" s="1"/>
      <c r="Q3612" s="1"/>
      <c r="R3612" s="1"/>
      <c r="S3612" s="1"/>
      <c r="T3612" s="1"/>
      <c r="U3612" s="1"/>
      <c r="V3612" s="1"/>
      <c r="W3612" s="1"/>
      <c r="X3612" s="1"/>
      <c r="Y3612" s="1"/>
      <c r="Z3612" s="1"/>
      <c r="AA3612" s="1"/>
      <c r="AB3612" s="1"/>
      <c r="AC3612" s="1"/>
      <c r="AD3612" s="1"/>
      <c r="AE3612" s="1"/>
      <c r="AF3612" s="1"/>
      <c r="AG3612" s="1"/>
      <c r="AH3612" s="1"/>
      <c r="AI3612" s="1"/>
      <c r="AJ3612" s="1"/>
      <c r="AK3612" s="1"/>
      <c r="AL3612" s="1"/>
      <c r="AM3612" s="1"/>
      <c r="AN3612" s="1"/>
      <c r="AO3612" s="1"/>
      <c r="AP3612" s="1"/>
      <c r="AQ3612" s="1"/>
      <c r="AR3612" s="1"/>
      <c r="AS3612" s="1"/>
      <c r="AT3612" s="1"/>
      <c r="AU3612" s="1"/>
      <c r="AV3612" s="1"/>
      <c r="AW3612" s="1"/>
      <c r="AX3612" s="1"/>
      <c r="AY3612" s="1"/>
      <c r="AZ3612" s="1"/>
      <c r="BA3612" s="1"/>
      <c r="BB3612" s="1"/>
    </row>
    <row r="3613" ht="204.75" customHeight="1">
      <c r="A3613" s="1">
        <v>1459.0</v>
      </c>
      <c r="B3613" s="2" t="s">
        <v>10875</v>
      </c>
      <c r="C3613" s="2">
        <f>IFERROR(__xludf.DUMMYFUNCTION("split(B3613,""_"")"),1610.0)</f>
        <v>1610</v>
      </c>
      <c r="D3613" s="2" t="str">
        <f>IFERROR(__xludf.DUMMYFUNCTION("""COMPUTED_VALUE"""),"NTV")</f>
        <v>NTV</v>
      </c>
      <c r="E3613" s="2" t="str">
        <f>IFERROR(__xludf.DUMMYFUNCTION("""COMPUTED_VALUE"""),"水22")</f>
        <v>水22</v>
      </c>
      <c r="F3613" s="2" t="s">
        <v>10876</v>
      </c>
      <c r="G3613" s="2" t="s">
        <v>10877</v>
      </c>
      <c r="H3613" s="1">
        <v>1.0</v>
      </c>
      <c r="J3613" s="1" t="s">
        <v>82</v>
      </c>
      <c r="K3613" s="4" t="s">
        <v>10878</v>
      </c>
      <c r="L3613" s="11" t="s">
        <v>10879</v>
      </c>
      <c r="M3613" s="2" t="str">
        <f>IFERROR(__xludf.DUMMYFUNCTION("split(split(K3613,""【"",false),""、岸谷五朗"",false)"),"石原さとみ、菅田将暉、本田翼、和田正人、江口のりこ/田口浩正、足立梨花、伊勢佳世、曽田茉莉江、松川尚瑠輝、杉野遥亮/ミスターちん、長江英和、店長松本、麻生かほ里、高橋修/鹿賀丈史(特別出演)/芳本美代子、青木崇高")</f>
        <v>石原さとみ、菅田将暉、本田翼、和田正人、江口のりこ/田口浩正、足立梨花、伊勢佳世、曽田茉莉江、松川尚瑠輝、杉野遥亮/ミスターちん、長江英和、店長松本、麻生かほ里、高橋修/鹿賀丈史(特別出演)/芳本美代子、青木崇高</v>
      </c>
      <c r="N3613" s="2" t="str">
        <f>IFERROR(__xludf.DUMMYFUNCTION("""COMPUTED_VALUE"""),"オシャレ大好き河野悦子(石原さとみ)はファッション誌の編集者を夢見て出版社に入社。しかし配属されたのは「校閲部」。原稿の誤字脱字や内容に間違いがないかを確認する超地味な部署だった…。それでも、ポジティブな悦子は一生懸命!破天荒な校閲で大御所作家に呼び出された一方、偶然出会った大学生の作家・折原幸人(菅田将暉)に一目惚れ!?  ド派手なファッションの校閲ガール・河野悦子が仕事に恋に大暴れ!")</f>
        <v>オシャレ大好き河野悦子(石原さとみ)はファッション誌の編集者を夢見て出版社に入社。しかし配属されたのは「校閲部」。原稿の誤字脱字や内容に間違いがないかを確認する超地味な部署だった…。それでも、ポジティブな悦子は一生懸命!破天荒な校閲で大御所作家に呼び出された一方、偶然出会った大学生の作家・折原幸人(菅田将暉)に一目惚れ!?  ド派手なファッションの校閲ガール・河野悦子が仕事に恋に大暴れ!</v>
      </c>
      <c r="O3613" s="2"/>
      <c r="P3613" s="1"/>
      <c r="Q3613" s="1"/>
      <c r="R3613" s="1"/>
      <c r="S3613" s="1"/>
      <c r="T3613" s="1"/>
      <c r="U3613" s="1"/>
      <c r="V3613" s="1"/>
      <c r="W3613" s="1"/>
      <c r="X3613" s="1"/>
      <c r="Y3613" s="1"/>
      <c r="Z3613" s="1"/>
      <c r="AA3613" s="1"/>
      <c r="AB3613" s="1"/>
      <c r="AC3613" s="1"/>
      <c r="AD3613" s="1"/>
      <c r="AE3613" s="1"/>
      <c r="AF3613" s="1"/>
      <c r="AG3613" s="1"/>
      <c r="AH3613" s="1"/>
      <c r="AI3613" s="1"/>
      <c r="AJ3613" s="1"/>
      <c r="AK3613" s="1"/>
      <c r="AL3613" s="1"/>
      <c r="AM3613" s="1"/>
      <c r="AN3613" s="1"/>
      <c r="AO3613" s="1"/>
      <c r="AP3613" s="1"/>
      <c r="AQ3613" s="1"/>
      <c r="AR3613" s="1"/>
      <c r="AS3613" s="1"/>
      <c r="AT3613" s="1"/>
      <c r="AU3613" s="1"/>
      <c r="AV3613" s="1"/>
      <c r="AW3613" s="1"/>
      <c r="AX3613" s="1"/>
      <c r="AY3613" s="1"/>
      <c r="AZ3613" s="1"/>
      <c r="BA3613" s="1"/>
      <c r="BB3613" s="1"/>
    </row>
    <row r="3614" ht="204.75" customHeight="1">
      <c r="A3614" s="1">
        <v>1460.0</v>
      </c>
      <c r="B3614" s="2" t="s">
        <v>10875</v>
      </c>
      <c r="C3614" s="2">
        <f>IFERROR(__xludf.DUMMYFUNCTION("split(B3614,""_"")"),1610.0)</f>
        <v>1610</v>
      </c>
      <c r="D3614" s="2" t="str">
        <f>IFERROR(__xludf.DUMMYFUNCTION("""COMPUTED_VALUE"""),"NTV")</f>
        <v>NTV</v>
      </c>
      <c r="E3614" s="2" t="str">
        <f>IFERROR(__xludf.DUMMYFUNCTION("""COMPUTED_VALUE"""),"水22")</f>
        <v>水22</v>
      </c>
      <c r="F3614" s="2" t="s">
        <v>10876</v>
      </c>
      <c r="G3614" s="2" t="s">
        <v>10880</v>
      </c>
      <c r="H3614" s="1">
        <v>2.0</v>
      </c>
      <c r="J3614" s="1" t="s">
        <v>82</v>
      </c>
      <c r="K3614" s="2" t="s">
        <v>10881</v>
      </c>
      <c r="L3614" s="10" t="s">
        <v>10882</v>
      </c>
      <c r="M3614" s="2" t="str">
        <f>IFERROR(__xludf.DUMMYFUNCTION("split(split(K3614,""【"",false),""、岸谷五朗"",false)"),"石原さとみ、菅田将暉、本田翼、和田正人、江口のりこ、田口浩正、青木崇高")</f>
        <v>石原さとみ、菅田将暉、本田翼、和田正人、江口のりこ、田口浩正、青木崇高</v>
      </c>
      <c r="N3614" s="2" t="str">
        <f>IFERROR(__xludf.DUMMYFUNCTION("""COMPUTED_VALUE"""),"  ")</f>
        <v>  </v>
      </c>
      <c r="O3614" s="2"/>
      <c r="P3614" s="1"/>
      <c r="Q3614" s="1"/>
      <c r="R3614" s="1"/>
      <c r="S3614" s="1"/>
      <c r="T3614" s="1"/>
      <c r="U3614" s="1"/>
      <c r="V3614" s="1"/>
      <c r="W3614" s="1"/>
      <c r="X3614" s="1"/>
      <c r="Y3614" s="1"/>
      <c r="Z3614" s="1"/>
      <c r="AA3614" s="1"/>
      <c r="AB3614" s="1"/>
      <c r="AC3614" s="1"/>
      <c r="AD3614" s="1"/>
      <c r="AE3614" s="1"/>
      <c r="AF3614" s="1"/>
      <c r="AG3614" s="1"/>
      <c r="AH3614" s="1"/>
      <c r="AI3614" s="1"/>
      <c r="AJ3614" s="1"/>
      <c r="AK3614" s="1"/>
      <c r="AL3614" s="1"/>
      <c r="AM3614" s="1"/>
      <c r="AN3614" s="1"/>
      <c r="AO3614" s="1"/>
      <c r="AP3614" s="1"/>
      <c r="AQ3614" s="1"/>
      <c r="AR3614" s="1"/>
      <c r="AS3614" s="1"/>
      <c r="AT3614" s="1"/>
      <c r="AU3614" s="1"/>
      <c r="AV3614" s="1"/>
      <c r="AW3614" s="1"/>
      <c r="AX3614" s="1"/>
      <c r="AY3614" s="1"/>
      <c r="AZ3614" s="1"/>
      <c r="BA3614" s="1"/>
      <c r="BB3614" s="1"/>
    </row>
    <row r="3615" ht="204.75" customHeight="1">
      <c r="A3615" s="1">
        <v>1461.0</v>
      </c>
      <c r="B3615" s="2" t="s">
        <v>10875</v>
      </c>
      <c r="C3615" s="2">
        <f>IFERROR(__xludf.DUMMYFUNCTION("split(B3615,""_"")"),1610.0)</f>
        <v>1610</v>
      </c>
      <c r="D3615" s="2" t="str">
        <f>IFERROR(__xludf.DUMMYFUNCTION("""COMPUTED_VALUE"""),"NTV")</f>
        <v>NTV</v>
      </c>
      <c r="E3615" s="2" t="str">
        <f>IFERROR(__xludf.DUMMYFUNCTION("""COMPUTED_VALUE"""),"水22")</f>
        <v>水22</v>
      </c>
      <c r="F3615" s="2" t="s">
        <v>10876</v>
      </c>
      <c r="G3615" s="2" t="s">
        <v>10883</v>
      </c>
      <c r="H3615" s="1">
        <v>3.0</v>
      </c>
      <c r="J3615" s="1" t="s">
        <v>82</v>
      </c>
      <c r="K3615" s="2" t="s">
        <v>10884</v>
      </c>
      <c r="L3615" s="10" t="s">
        <v>10885</v>
      </c>
      <c r="M3615" s="2" t="str">
        <f>IFERROR(__xludf.DUMMYFUNCTION("split(split(K3615,""【"",false),""、岸谷五朗"",false)"),"石原さとみ、菅田将暉、本田翼、和田正人、江口のりこ、田口浩正、青木崇高")</f>
        <v>石原さとみ、菅田将暉、本田翼、和田正人、江口のりこ、田口浩正、青木崇高</v>
      </c>
      <c r="N3615" s="2" t="str">
        <f>IFERROR(__xludf.DUMMYFUNCTION("""COMPUTED_VALUE"""),"  ")</f>
        <v>  </v>
      </c>
      <c r="O3615" s="2"/>
      <c r="P3615" s="1"/>
      <c r="Q3615" s="1"/>
      <c r="R3615" s="1"/>
      <c r="S3615" s="1"/>
      <c r="T3615" s="1"/>
      <c r="U3615" s="1"/>
      <c r="V3615" s="1"/>
      <c r="W3615" s="1"/>
      <c r="X3615" s="1"/>
      <c r="Y3615" s="1"/>
      <c r="Z3615" s="1"/>
      <c r="AA3615" s="1"/>
      <c r="AB3615" s="1"/>
      <c r="AC3615" s="1"/>
      <c r="AD3615" s="1"/>
      <c r="AE3615" s="1"/>
      <c r="AF3615" s="1"/>
      <c r="AG3615" s="1"/>
      <c r="AH3615" s="1"/>
      <c r="AI3615" s="1"/>
      <c r="AJ3615" s="1"/>
      <c r="AK3615" s="1"/>
      <c r="AL3615" s="1"/>
      <c r="AM3615" s="1"/>
      <c r="AN3615" s="1"/>
      <c r="AO3615" s="1"/>
      <c r="AP3615" s="1"/>
      <c r="AQ3615" s="1"/>
      <c r="AR3615" s="1"/>
      <c r="AS3615" s="1"/>
      <c r="AT3615" s="1"/>
      <c r="AU3615" s="1"/>
      <c r="AV3615" s="1"/>
      <c r="AW3615" s="1"/>
      <c r="AX3615" s="1"/>
      <c r="AY3615" s="1"/>
      <c r="AZ3615" s="1"/>
      <c r="BA3615" s="1"/>
      <c r="BB3615" s="1"/>
    </row>
    <row r="3616" ht="204.75" customHeight="1">
      <c r="A3616" s="1">
        <v>1462.0</v>
      </c>
      <c r="B3616" s="2" t="s">
        <v>10875</v>
      </c>
      <c r="C3616" s="2">
        <f>IFERROR(__xludf.DUMMYFUNCTION("split(B3616,""_"")"),1610.0)</f>
        <v>1610</v>
      </c>
      <c r="D3616" s="2" t="str">
        <f>IFERROR(__xludf.DUMMYFUNCTION("""COMPUTED_VALUE"""),"NTV")</f>
        <v>NTV</v>
      </c>
      <c r="E3616" s="2" t="str">
        <f>IFERROR(__xludf.DUMMYFUNCTION("""COMPUTED_VALUE"""),"水22")</f>
        <v>水22</v>
      </c>
      <c r="F3616" s="2" t="s">
        <v>10876</v>
      </c>
      <c r="G3616" s="2" t="s">
        <v>10886</v>
      </c>
      <c r="H3616" s="1">
        <v>4.0</v>
      </c>
      <c r="J3616" s="1" t="s">
        <v>82</v>
      </c>
      <c r="K3616" s="2" t="s">
        <v>10887</v>
      </c>
      <c r="L3616" s="10" t="s">
        <v>10888</v>
      </c>
      <c r="M3616" s="2" t="str">
        <f>IFERROR(__xludf.DUMMYFUNCTION("split(split(K3616,""【"",false),""、岸谷五朗"",false)"),"石原さとみ、菅田将暉、本田翼、和田正人、江口のりこ、田口浩正、青木崇高")</f>
        <v>石原さとみ、菅田将暉、本田翼、和田正人、江口のりこ、田口浩正、青木崇高</v>
      </c>
      <c r="N3616" s="2" t="str">
        <f>IFERROR(__xludf.DUMMYFUNCTION("""COMPUTED_VALUE"""),"  ")</f>
        <v>  </v>
      </c>
      <c r="O3616" s="2"/>
      <c r="P3616" s="1"/>
      <c r="Q3616" s="1"/>
      <c r="R3616" s="1"/>
      <c r="S3616" s="1"/>
      <c r="T3616" s="1"/>
      <c r="U3616" s="1"/>
      <c r="V3616" s="1"/>
      <c r="W3616" s="1"/>
      <c r="X3616" s="1"/>
      <c r="Y3616" s="1"/>
      <c r="Z3616" s="1"/>
      <c r="AA3616" s="1"/>
      <c r="AB3616" s="1"/>
      <c r="AC3616" s="1"/>
      <c r="AD3616" s="1"/>
      <c r="AE3616" s="1"/>
      <c r="AF3616" s="1"/>
      <c r="AG3616" s="1"/>
      <c r="AH3616" s="1"/>
      <c r="AI3616" s="1"/>
      <c r="AJ3616" s="1"/>
      <c r="AK3616" s="1"/>
      <c r="AL3616" s="1"/>
      <c r="AM3616" s="1"/>
      <c r="AN3616" s="1"/>
      <c r="AO3616" s="1"/>
      <c r="AP3616" s="1"/>
      <c r="AQ3616" s="1"/>
      <c r="AR3616" s="1"/>
      <c r="AS3616" s="1"/>
      <c r="AT3616" s="1"/>
      <c r="AU3616" s="1"/>
      <c r="AV3616" s="1"/>
      <c r="AW3616" s="1"/>
      <c r="AX3616" s="1"/>
      <c r="AY3616" s="1"/>
      <c r="AZ3616" s="1"/>
      <c r="BA3616" s="1"/>
      <c r="BB3616" s="1"/>
    </row>
    <row r="3617" ht="204.75" customHeight="1">
      <c r="A3617" s="1">
        <v>1463.0</v>
      </c>
      <c r="B3617" s="2" t="s">
        <v>10875</v>
      </c>
      <c r="C3617" s="2">
        <f>IFERROR(__xludf.DUMMYFUNCTION("split(B3617,""_"")"),1610.0)</f>
        <v>1610</v>
      </c>
      <c r="D3617" s="2" t="str">
        <f>IFERROR(__xludf.DUMMYFUNCTION("""COMPUTED_VALUE"""),"NTV")</f>
        <v>NTV</v>
      </c>
      <c r="E3617" s="2" t="str">
        <f>IFERROR(__xludf.DUMMYFUNCTION("""COMPUTED_VALUE"""),"水22")</f>
        <v>水22</v>
      </c>
      <c r="F3617" s="2" t="s">
        <v>10876</v>
      </c>
      <c r="G3617" s="2" t="s">
        <v>10889</v>
      </c>
      <c r="H3617" s="1">
        <v>5.0</v>
      </c>
      <c r="J3617" s="1" t="s">
        <v>82</v>
      </c>
      <c r="K3617" s="2" t="s">
        <v>10890</v>
      </c>
      <c r="L3617" s="10" t="s">
        <v>10891</v>
      </c>
      <c r="M3617" s="2" t="str">
        <f>IFERROR(__xludf.DUMMYFUNCTION("split(split(K3617,""【"",false),""、岸谷五朗"",false)"),"石原さとみ、菅田将暉、本田翼、和田正人、江口のりこ、田口浩正、青木崇高")</f>
        <v>石原さとみ、菅田将暉、本田翼、和田正人、江口のりこ、田口浩正、青木崇高</v>
      </c>
      <c r="N3617" s="2" t="str">
        <f>IFERROR(__xludf.DUMMYFUNCTION("""COMPUTED_VALUE"""),"  ")</f>
        <v>  </v>
      </c>
      <c r="O3617" s="2"/>
      <c r="P3617" s="1"/>
      <c r="Q3617" s="1"/>
      <c r="R3617" s="1"/>
      <c r="S3617" s="1"/>
      <c r="T3617" s="1"/>
      <c r="U3617" s="1"/>
      <c r="V3617" s="1"/>
      <c r="W3617" s="1"/>
      <c r="X3617" s="1"/>
      <c r="Y3617" s="1"/>
      <c r="Z3617" s="1"/>
      <c r="AA3617" s="1"/>
      <c r="AB3617" s="1"/>
      <c r="AC3617" s="1"/>
      <c r="AD3617" s="1"/>
      <c r="AE3617" s="1"/>
      <c r="AF3617" s="1"/>
      <c r="AG3617" s="1"/>
      <c r="AH3617" s="1"/>
      <c r="AI3617" s="1"/>
      <c r="AJ3617" s="1"/>
      <c r="AK3617" s="1"/>
      <c r="AL3617" s="1"/>
      <c r="AM3617" s="1"/>
      <c r="AN3617" s="1"/>
      <c r="AO3617" s="1"/>
      <c r="AP3617" s="1"/>
      <c r="AQ3617" s="1"/>
      <c r="AR3617" s="1"/>
      <c r="AS3617" s="1"/>
      <c r="AT3617" s="1"/>
      <c r="AU3617" s="1"/>
      <c r="AV3617" s="1"/>
      <c r="AW3617" s="1"/>
      <c r="AX3617" s="1"/>
      <c r="AY3617" s="1"/>
      <c r="AZ3617" s="1"/>
      <c r="BA3617" s="1"/>
      <c r="BB3617" s="1"/>
    </row>
    <row r="3618" ht="204.75" customHeight="1">
      <c r="A3618" s="1">
        <v>1464.0</v>
      </c>
      <c r="B3618" s="2" t="s">
        <v>10875</v>
      </c>
      <c r="C3618" s="2">
        <f>IFERROR(__xludf.DUMMYFUNCTION("split(B3618,""_"")"),1610.0)</f>
        <v>1610</v>
      </c>
      <c r="D3618" s="2" t="str">
        <f>IFERROR(__xludf.DUMMYFUNCTION("""COMPUTED_VALUE"""),"NTV")</f>
        <v>NTV</v>
      </c>
      <c r="E3618" s="2" t="str">
        <f>IFERROR(__xludf.DUMMYFUNCTION("""COMPUTED_VALUE"""),"水22")</f>
        <v>水22</v>
      </c>
      <c r="F3618" s="2" t="s">
        <v>10876</v>
      </c>
      <c r="G3618" s="2" t="s">
        <v>10892</v>
      </c>
      <c r="H3618" s="1">
        <v>6.0</v>
      </c>
      <c r="J3618" s="1" t="s">
        <v>82</v>
      </c>
      <c r="K3618" s="2" t="s">
        <v>10893</v>
      </c>
      <c r="L3618" s="10" t="s">
        <v>10894</v>
      </c>
      <c r="M3618" s="2" t="str">
        <f>IFERROR(__xludf.DUMMYFUNCTION("split(split(K3618,""【"",false),""、岸谷五朗"",false)"),"石原さとみ、菅田将暉、本田翼、和田正人、江口のりこ、田口浩正、青木崇高")</f>
        <v>石原さとみ、菅田将暉、本田翼、和田正人、江口のりこ、田口浩正、青木崇高</v>
      </c>
      <c r="N3618" s="2" t="str">
        <f>IFERROR(__xludf.DUMMYFUNCTION("""COMPUTED_VALUE"""),"  ")</f>
        <v>  </v>
      </c>
      <c r="O3618" s="2"/>
      <c r="P3618" s="1"/>
      <c r="Q3618" s="1"/>
      <c r="R3618" s="1"/>
      <c r="S3618" s="1"/>
      <c r="T3618" s="1"/>
      <c r="U3618" s="1"/>
      <c r="V3618" s="1"/>
      <c r="W3618" s="1"/>
      <c r="X3618" s="1"/>
      <c r="Y3618" s="1"/>
      <c r="Z3618" s="1"/>
      <c r="AA3618" s="1"/>
      <c r="AB3618" s="1"/>
      <c r="AC3618" s="1"/>
      <c r="AD3618" s="1"/>
      <c r="AE3618" s="1"/>
      <c r="AF3618" s="1"/>
      <c r="AG3618" s="1"/>
      <c r="AH3618" s="1"/>
      <c r="AI3618" s="1"/>
      <c r="AJ3618" s="1"/>
      <c r="AK3618" s="1"/>
      <c r="AL3618" s="1"/>
      <c r="AM3618" s="1"/>
      <c r="AN3618" s="1"/>
      <c r="AO3618" s="1"/>
      <c r="AP3618" s="1"/>
      <c r="AQ3618" s="1"/>
      <c r="AR3618" s="1"/>
      <c r="AS3618" s="1"/>
      <c r="AT3618" s="1"/>
      <c r="AU3618" s="1"/>
      <c r="AV3618" s="1"/>
      <c r="AW3618" s="1"/>
      <c r="AX3618" s="1"/>
      <c r="AY3618" s="1"/>
      <c r="AZ3618" s="1"/>
      <c r="BA3618" s="1"/>
      <c r="BB3618" s="1"/>
    </row>
    <row r="3619" ht="204.75" customHeight="1">
      <c r="A3619" s="1">
        <v>1465.0</v>
      </c>
      <c r="B3619" s="2" t="s">
        <v>10875</v>
      </c>
      <c r="C3619" s="2">
        <f>IFERROR(__xludf.DUMMYFUNCTION("split(B3619,""_"")"),1610.0)</f>
        <v>1610</v>
      </c>
      <c r="D3619" s="2" t="str">
        <f>IFERROR(__xludf.DUMMYFUNCTION("""COMPUTED_VALUE"""),"NTV")</f>
        <v>NTV</v>
      </c>
      <c r="E3619" s="2" t="str">
        <f>IFERROR(__xludf.DUMMYFUNCTION("""COMPUTED_VALUE"""),"水22")</f>
        <v>水22</v>
      </c>
      <c r="F3619" s="2" t="s">
        <v>10876</v>
      </c>
      <c r="G3619" s="2" t="s">
        <v>10895</v>
      </c>
      <c r="H3619" s="1">
        <v>7.0</v>
      </c>
      <c r="J3619" s="1" t="s">
        <v>82</v>
      </c>
      <c r="K3619" s="2" t="s">
        <v>10896</v>
      </c>
      <c r="L3619" s="11" t="s">
        <v>10897</v>
      </c>
      <c r="M3619" s="2" t="str">
        <f>IFERROR(__xludf.DUMMYFUNCTION("split(split(K3619,""【"",false),""、岸谷五朗"",false)"),"石原さとみ、菅田将暉、本田翼、和田正人、江口のりこ、田口浩正、鹿賀丈史(特別出演)、青木崇高")</f>
        <v>石原さとみ、菅田将暉、本田翼、和田正人、江口のりこ、田口浩正、鹿賀丈史(特別出演)、青木崇高</v>
      </c>
      <c r="N3619" s="2" t="str">
        <f>IFERROR(__xludf.DUMMYFUNCTION("""COMPUTED_VALUE"""),"幸人(菅田将暉)が本郷先生(鹿賀丈史)の息子!?本郷のエッセイを校閲していた悦子(石原さとみ)はそんな疑問にたどり着いてしまった。担当編集者である貝塚(青木崇高)に聞くと、幸人と本郷の関係には深い闇があるらしい…。幸人に確かめるか悩む悦子だったが、リスクを恐れて指摘を無くしてしまっては作品のためにならないと、校閲者として幸人に問いかける…")</f>
        <v>幸人(菅田将暉)が本郷先生(鹿賀丈史)の息子!?本郷のエッセイを校閲していた悦子(石原さとみ)はそんな疑問にたどり着いてしまった。担当編集者である貝塚(青木崇高)に聞くと、幸人と本郷の関係には深い闇があるらしい…。幸人に確かめるか悩む悦子だったが、リスクを恐れて指摘を無くしてしまっては作品のためにならないと、校閲者として幸人に問いかける…</v>
      </c>
      <c r="O3619" s="2"/>
      <c r="P3619" s="1"/>
      <c r="Q3619" s="1"/>
      <c r="R3619" s="1"/>
      <c r="S3619" s="1"/>
      <c r="T3619" s="1"/>
      <c r="U3619" s="1"/>
      <c r="V3619" s="1"/>
      <c r="W3619" s="1"/>
      <c r="X3619" s="1"/>
      <c r="Y3619" s="1"/>
      <c r="Z3619" s="1"/>
      <c r="AA3619" s="1"/>
      <c r="AB3619" s="1"/>
      <c r="AC3619" s="1"/>
      <c r="AD3619" s="1"/>
      <c r="AE3619" s="1"/>
      <c r="AF3619" s="1"/>
      <c r="AG3619" s="1"/>
      <c r="AH3619" s="1"/>
      <c r="AI3619" s="1"/>
      <c r="AJ3619" s="1"/>
      <c r="AK3619" s="1"/>
      <c r="AL3619" s="1"/>
      <c r="AM3619" s="1"/>
      <c r="AN3619" s="1"/>
      <c r="AO3619" s="1"/>
      <c r="AP3619" s="1"/>
      <c r="AQ3619" s="1"/>
      <c r="AR3619" s="1"/>
      <c r="AS3619" s="1"/>
      <c r="AT3619" s="1"/>
      <c r="AU3619" s="1"/>
      <c r="AV3619" s="1"/>
      <c r="AW3619" s="1"/>
      <c r="AX3619" s="1"/>
      <c r="AY3619" s="1"/>
      <c r="AZ3619" s="1"/>
      <c r="BA3619" s="1"/>
      <c r="BB3619" s="1"/>
    </row>
    <row r="3620" ht="204.75" customHeight="1">
      <c r="A3620" s="1">
        <v>1466.0</v>
      </c>
      <c r="B3620" s="2" t="s">
        <v>10875</v>
      </c>
      <c r="C3620" s="2">
        <f>IFERROR(__xludf.DUMMYFUNCTION("split(B3620,""_"")"),1610.0)</f>
        <v>1610</v>
      </c>
      <c r="D3620" s="2" t="str">
        <f>IFERROR(__xludf.DUMMYFUNCTION("""COMPUTED_VALUE"""),"NTV")</f>
        <v>NTV</v>
      </c>
      <c r="E3620" s="2" t="str">
        <f>IFERROR(__xludf.DUMMYFUNCTION("""COMPUTED_VALUE"""),"水22")</f>
        <v>水22</v>
      </c>
      <c r="F3620" s="2" t="s">
        <v>10876</v>
      </c>
      <c r="G3620" s="2" t="s">
        <v>10898</v>
      </c>
      <c r="H3620" s="1">
        <v>8.0</v>
      </c>
      <c r="J3620" s="1" t="s">
        <v>82</v>
      </c>
      <c r="K3620" s="2" t="s">
        <v>10899</v>
      </c>
      <c r="L3620" s="10" t="s">
        <v>10900</v>
      </c>
      <c r="M3620" s="2" t="str">
        <f>IFERROR(__xludf.DUMMYFUNCTION("split(split(K3620,""【"",false),""、岸谷五朗"",false)"),"石原さとみ、菅田将暉、本田翼、和田正人、江口のりこ、田口浩正、青木崇高")</f>
        <v>石原さとみ、菅田将暉、本田翼、和田正人、江口のりこ、田口浩正、青木崇高</v>
      </c>
      <c r="N3620" s="2" t="str">
        <f>IFERROR(__xludf.DUMMYFUNCTION("""COMPUTED_VALUE"""),"  ")</f>
        <v>  </v>
      </c>
      <c r="O3620" s="2"/>
      <c r="P3620" s="1"/>
      <c r="Q3620" s="1"/>
      <c r="R3620" s="1"/>
      <c r="S3620" s="1"/>
      <c r="T3620" s="1"/>
      <c r="U3620" s="1"/>
      <c r="V3620" s="1"/>
      <c r="W3620" s="1"/>
      <c r="X3620" s="1"/>
      <c r="Y3620" s="1"/>
      <c r="Z3620" s="1"/>
      <c r="AA3620" s="1"/>
      <c r="AB3620" s="1"/>
      <c r="AC3620" s="1"/>
      <c r="AD3620" s="1"/>
      <c r="AE3620" s="1"/>
      <c r="AF3620" s="1"/>
      <c r="AG3620" s="1"/>
      <c r="AH3620" s="1"/>
      <c r="AI3620" s="1"/>
      <c r="AJ3620" s="1"/>
      <c r="AK3620" s="1"/>
      <c r="AL3620" s="1"/>
      <c r="AM3620" s="1"/>
      <c r="AN3620" s="1"/>
      <c r="AO3620" s="1"/>
      <c r="AP3620" s="1"/>
      <c r="AQ3620" s="1"/>
      <c r="AR3620" s="1"/>
      <c r="AS3620" s="1"/>
      <c r="AT3620" s="1"/>
      <c r="AU3620" s="1"/>
      <c r="AV3620" s="1"/>
      <c r="AW3620" s="1"/>
      <c r="AX3620" s="1"/>
      <c r="AY3620" s="1"/>
      <c r="AZ3620" s="1"/>
      <c r="BA3620" s="1"/>
      <c r="BB3620" s="1"/>
    </row>
    <row r="3621" ht="204.75" customHeight="1">
      <c r="A3621" s="1">
        <v>1467.0</v>
      </c>
      <c r="B3621" s="2" t="s">
        <v>10875</v>
      </c>
      <c r="C3621" s="2">
        <f>IFERROR(__xludf.DUMMYFUNCTION("split(B3621,""_"")"),1610.0)</f>
        <v>1610</v>
      </c>
      <c r="D3621" s="2" t="str">
        <f>IFERROR(__xludf.DUMMYFUNCTION("""COMPUTED_VALUE"""),"NTV")</f>
        <v>NTV</v>
      </c>
      <c r="E3621" s="2" t="str">
        <f>IFERROR(__xludf.DUMMYFUNCTION("""COMPUTED_VALUE"""),"水22")</f>
        <v>水22</v>
      </c>
      <c r="F3621" s="2" t="s">
        <v>10876</v>
      </c>
      <c r="G3621" s="2" t="s">
        <v>10901</v>
      </c>
      <c r="H3621" s="1">
        <v>9.0</v>
      </c>
      <c r="J3621" s="1" t="s">
        <v>82</v>
      </c>
      <c r="K3621" s="2" t="s">
        <v>10902</v>
      </c>
      <c r="L3621" s="11" t="s">
        <v>10903</v>
      </c>
      <c r="M3621" s="2" t="str">
        <f>IFERROR(__xludf.DUMMYFUNCTION("split(split(K3621,""【"",false),""、岸谷五朗"",false)"),"石原さとみ、菅田将暉、本田翼、和田正人、江口のりこ、田口浩正、鹿賀丈史(特別出演)、青木崇高")</f>
        <v>石原さとみ、菅田将暉、本田翼、和田正人、江口のりこ、田口浩正、鹿賀丈史(特別出演)、青木崇高</v>
      </c>
      <c r="N3621" s="2" t="str">
        <f>IFERROR(__xludf.DUMMYFUNCTION("""COMPUTED_VALUE"""),"憧れのファッション誌『Lassy』の校閲をすることになり、張り切る悦子(石原さとみ)。しかし、普段やっている書籍の校閲と勝手が違うため、苦戦する。一方、幸人(菅田将暉)との関係は相変わらず、あいまいなまま。そんな中、悦子は貝塚(青木崇高)から、森尾(本田翼)が幸人のことを想っていると聞かされ、ショックを受ける。仕事も恋愛もうまくいかない悦子は元気をなくし、驚くほど地味な服装で出社する…。")</f>
        <v>憧れのファッション誌『Lassy』の校閲をすることになり、張り切る悦子(石原さとみ)。しかし、普段やっている書籍の校閲と勝手が違うため、苦戦する。一方、幸人(菅田将暉)との関係は相変わらず、あいまいなまま。そんな中、悦子は貝塚(青木崇高)から、森尾(本田翼)が幸人のことを想っていると聞かされ、ショックを受ける。仕事も恋愛もうまくいかない悦子は元気をなくし、驚くほど地味な服装で出社する…。</v>
      </c>
      <c r="O3621" s="2"/>
      <c r="P3621" s="1"/>
      <c r="Q3621" s="1"/>
      <c r="R3621" s="1"/>
      <c r="S3621" s="1"/>
      <c r="T3621" s="1"/>
      <c r="U3621" s="1"/>
      <c r="V3621" s="1"/>
      <c r="W3621" s="1"/>
      <c r="X3621" s="1"/>
      <c r="Y3621" s="1"/>
      <c r="Z3621" s="1"/>
      <c r="AA3621" s="1"/>
      <c r="AB3621" s="1"/>
      <c r="AC3621" s="1"/>
      <c r="AD3621" s="1"/>
      <c r="AE3621" s="1"/>
      <c r="AF3621" s="1"/>
      <c r="AG3621" s="1"/>
      <c r="AH3621" s="1"/>
      <c r="AI3621" s="1"/>
      <c r="AJ3621" s="1"/>
      <c r="AK3621" s="1"/>
      <c r="AL3621" s="1"/>
      <c r="AM3621" s="1"/>
      <c r="AN3621" s="1"/>
      <c r="AO3621" s="1"/>
      <c r="AP3621" s="1"/>
      <c r="AQ3621" s="1"/>
      <c r="AR3621" s="1"/>
      <c r="AS3621" s="1"/>
      <c r="AT3621" s="1"/>
      <c r="AU3621" s="1"/>
      <c r="AV3621" s="1"/>
      <c r="AW3621" s="1"/>
      <c r="AX3621" s="1"/>
      <c r="AY3621" s="1"/>
      <c r="AZ3621" s="1"/>
      <c r="BA3621" s="1"/>
      <c r="BB3621" s="1"/>
    </row>
    <row r="3622" ht="204.75" customHeight="1">
      <c r="A3622" s="1">
        <v>1468.0</v>
      </c>
      <c r="B3622" s="2" t="s">
        <v>10875</v>
      </c>
      <c r="C3622" s="2">
        <f>IFERROR(__xludf.DUMMYFUNCTION("split(B3622,""_"")"),1610.0)</f>
        <v>1610</v>
      </c>
      <c r="D3622" s="2" t="str">
        <f>IFERROR(__xludf.DUMMYFUNCTION("""COMPUTED_VALUE"""),"NTV")</f>
        <v>NTV</v>
      </c>
      <c r="E3622" s="2" t="str">
        <f>IFERROR(__xludf.DUMMYFUNCTION("""COMPUTED_VALUE"""),"水22")</f>
        <v>水22</v>
      </c>
      <c r="F3622" s="2" t="s">
        <v>10876</v>
      </c>
      <c r="G3622" s="2" t="s">
        <v>10904</v>
      </c>
      <c r="H3622" s="1">
        <v>10.0</v>
      </c>
      <c r="J3622" s="1" t="s">
        <v>82</v>
      </c>
      <c r="K3622" s="2" t="s">
        <v>10905</v>
      </c>
      <c r="L3622" s="10" t="s">
        <v>10906</v>
      </c>
      <c r="M3622" s="2" t="str">
        <f>IFERROR(__xludf.DUMMYFUNCTION("split(split(K3622,""【"",false),""、岸谷五朗"",false)"),"石原さとみ、菅田将暉、本田翼、和田正人、江口のりこ/田口浩正、足立梨花、伊勢佳世、曽田茉莉江、松川尚瑠輝、杉野遥亮/ミスターちん、長江英和、店長松本、麻生かほ里、高橋修/鹿賀丈史(特別出演)/芳本美代子、青木崇高")</f>
        <v>石原さとみ、菅田将暉、本田翼、和田正人、江口のりこ/田口浩正、足立梨花、伊勢佳世、曽田茉莉江、松川尚瑠輝、杉野遥亮/ミスターちん、長江英和、店長松本、麻生かほ里、高橋修/鹿賀丈史(特別出演)/芳本美代子、青木崇高</v>
      </c>
      <c r="N3622" s="2" t="str">
        <f>IFERROR(__xludf.DUMMYFUNCTION("""COMPUTED_VALUE"""),"  ")</f>
        <v>  </v>
      </c>
      <c r="O3622" s="2"/>
      <c r="P3622" s="1"/>
      <c r="Q3622" s="1"/>
      <c r="R3622" s="1"/>
      <c r="S3622" s="1"/>
      <c r="T3622" s="1"/>
      <c r="U3622" s="1"/>
      <c r="V3622" s="1"/>
      <c r="W3622" s="1"/>
      <c r="X3622" s="1"/>
      <c r="Y3622" s="1"/>
      <c r="Z3622" s="1"/>
      <c r="AA3622" s="1"/>
      <c r="AB3622" s="1"/>
      <c r="AC3622" s="1"/>
      <c r="AD3622" s="1"/>
      <c r="AE3622" s="1"/>
      <c r="AF3622" s="1"/>
      <c r="AG3622" s="1"/>
      <c r="AH3622" s="1"/>
      <c r="AI3622" s="1"/>
      <c r="AJ3622" s="1"/>
      <c r="AK3622" s="1"/>
      <c r="AL3622" s="1"/>
      <c r="AM3622" s="1"/>
      <c r="AN3622" s="1"/>
      <c r="AO3622" s="1"/>
      <c r="AP3622" s="1"/>
      <c r="AQ3622" s="1"/>
      <c r="AR3622" s="1"/>
      <c r="AS3622" s="1"/>
      <c r="AT3622" s="1"/>
      <c r="AU3622" s="1"/>
      <c r="AV3622" s="1"/>
      <c r="AW3622" s="1"/>
      <c r="AX3622" s="1"/>
      <c r="AY3622" s="1"/>
      <c r="AZ3622" s="1"/>
      <c r="BA3622" s="1"/>
      <c r="BB3622" s="1"/>
    </row>
    <row r="3623" ht="204.75" customHeight="1">
      <c r="A3623" s="1">
        <v>1490.0</v>
      </c>
      <c r="B3623" s="2" t="s">
        <v>10907</v>
      </c>
      <c r="C3623" s="2">
        <f>IFERROR(__xludf.DUMMYFUNCTION("split(B3623,""_"")"),1610.0)</f>
        <v>1610</v>
      </c>
      <c r="D3623" s="2" t="str">
        <f>IFERROR(__xludf.DUMMYFUNCTION("""COMPUTED_VALUE"""),"NTV")</f>
        <v>NTV</v>
      </c>
      <c r="E3623" s="2" t="str">
        <f>IFERROR(__xludf.DUMMYFUNCTION("""COMPUTED_VALUE"""),"木23")</f>
        <v>木23</v>
      </c>
      <c r="F3623" s="2" t="s">
        <v>10908</v>
      </c>
      <c r="G3623" s="2" t="s">
        <v>10909</v>
      </c>
      <c r="H3623" s="1">
        <v>2.0</v>
      </c>
      <c r="J3623" s="1" t="s">
        <v>1435</v>
      </c>
      <c r="K3623" s="2" t="s">
        <v>10910</v>
      </c>
      <c r="L3623" s="10" t="s">
        <v>10911</v>
      </c>
      <c r="M3623" s="2" t="str">
        <f>IFERROR(__xludf.DUMMYFUNCTION("split(split(K3623,""【"",false),""公式LINE"",false)"),"船越英一郎、成海璃子、トリンドル玲奈、佐藤仁美  佐野ひなこ、MEGUMI、水上剣星、新田祐里子  水野美紀ドラマプロデューサーの風(船越英一郎)には妻のほかに、なんと9人の愛人がいた。  不倫から抜け出そうと新たな恋を見つけた久未(成海璃子)だったが、思いもよらぬ驚きの展開に…そして、志乃(トリンドル玲奈)もまた別の男性との間で揺れ動いていた。その裏で、風を他の愛人たちと別れさせようと動き出す美羽(佐藤仁美)…さらには、4人以外の新たな愛人が発覚!不倫女たちの愛憎劇が加速し始めるー")</f>
        <v>船越英一郎、成海璃子、トリンドル玲奈、佐藤仁美  佐野ひなこ、MEGUMI、水上剣星、新田祐里子  水野美紀ドラマプロデューサーの風(船越英一郎)には妻のほかに、なんと9人の愛人がいた。  不倫から抜け出そうと新たな恋を見つけた久未(成海璃子)だったが、思いもよらぬ驚きの展開に…そして、志乃(トリンドル玲奈)もまた別の男性との間で揺れ動いていた。その裏で、風を他の愛人たちと別れさせようと動き出す美羽(佐藤仁美)…さらには、4人以外の新たな愛人が発覚!不倫女たちの愛憎劇が加速し始めるー</v>
      </c>
      <c r="N3623" s="2"/>
      <c r="O3623" s="2"/>
      <c r="P3623" s="1"/>
      <c r="Q3623" s="1"/>
      <c r="R3623" s="1"/>
      <c r="S3623" s="1"/>
      <c r="T3623" s="1"/>
      <c r="U3623" s="1"/>
      <c r="V3623" s="1"/>
      <c r="W3623" s="1"/>
      <c r="X3623" s="1"/>
      <c r="Y3623" s="1"/>
      <c r="Z3623" s="1"/>
      <c r="AA3623" s="1"/>
      <c r="AB3623" s="1"/>
      <c r="AC3623" s="1"/>
      <c r="AD3623" s="1"/>
      <c r="AE3623" s="1"/>
      <c r="AF3623" s="1"/>
      <c r="AG3623" s="1"/>
      <c r="AH3623" s="1"/>
      <c r="AI3623" s="1"/>
      <c r="AJ3623" s="1"/>
      <c r="AK3623" s="1"/>
      <c r="AL3623" s="1"/>
      <c r="AM3623" s="1"/>
      <c r="AN3623" s="1"/>
      <c r="AO3623" s="1"/>
      <c r="AP3623" s="1"/>
      <c r="AQ3623" s="1"/>
      <c r="AR3623" s="1"/>
      <c r="AS3623" s="1"/>
      <c r="AT3623" s="1"/>
      <c r="AU3623" s="1"/>
      <c r="AV3623" s="1"/>
      <c r="AW3623" s="1"/>
      <c r="AX3623" s="1"/>
      <c r="AY3623" s="1"/>
      <c r="AZ3623" s="1"/>
      <c r="BA3623" s="1"/>
      <c r="BB3623" s="1"/>
    </row>
    <row r="3624" ht="204.75" customHeight="1">
      <c r="A3624" s="1">
        <v>1491.0</v>
      </c>
      <c r="B3624" s="2" t="s">
        <v>10907</v>
      </c>
      <c r="C3624" s="2">
        <f>IFERROR(__xludf.DUMMYFUNCTION("split(B3624,""_"")"),1610.0)</f>
        <v>1610</v>
      </c>
      <c r="D3624" s="2" t="str">
        <f>IFERROR(__xludf.DUMMYFUNCTION("""COMPUTED_VALUE"""),"NTV")</f>
        <v>NTV</v>
      </c>
      <c r="E3624" s="2" t="str">
        <f>IFERROR(__xludf.DUMMYFUNCTION("""COMPUTED_VALUE"""),"木23")</f>
        <v>木23</v>
      </c>
      <c r="F3624" s="2" t="s">
        <v>10908</v>
      </c>
      <c r="G3624" s="2" t="s">
        <v>10912</v>
      </c>
      <c r="H3624" s="1">
        <v>3.0</v>
      </c>
      <c r="J3624" s="1" t="s">
        <v>1435</v>
      </c>
      <c r="K3624" s="2" t="s">
        <v>10913</v>
      </c>
      <c r="L3624" s="10" t="s">
        <v>10914</v>
      </c>
      <c r="M3624" s="2" t="str">
        <f>IFERROR(__xludf.DUMMYFUNCTION("split(split(K3624,""【"",false),""公式LINE"",false)"),"船越英一郎、成海璃子、トリンドル玲奈、佐藤仁美  佐野ひなこ、MEGUMI、平山あや、水上剣星、ちすん、新田祐里子  若村麻由美(特別出演)  水野美紀「私と手を組まない?」久未(成海璃子)は美羽(佐藤仁美)から思いもよらぬ相談を持ちかけられる。そして、2人はついに風(船越英一郎)の奥さんのもとへ…乗り込んだ2人に待ち受けていたのは!?そして、またもや新たな愛人が発覚!志乃(トリンドル玲奈)は驚きの事実を知らされることに…今回もまた美羽の言動によってかき乱されていく愛人たち。女たちの不倫劇はどんどんエスカ"&amp;"レートし、崩壊へと向かっていくー")</f>
        <v>船越英一郎、成海璃子、トリンドル玲奈、佐藤仁美  佐野ひなこ、MEGUMI、平山あや、水上剣星、ちすん、新田祐里子  若村麻由美(特別出演)  水野美紀「私と手を組まない?」久未(成海璃子)は美羽(佐藤仁美)から思いもよらぬ相談を持ちかけられる。そして、2人はついに風(船越英一郎)の奥さんのもとへ…乗り込んだ2人に待ち受けていたのは!?そして、またもや新たな愛人が発覚!志乃(トリンドル玲奈)は驚きの事実を知らされることに…今回もまた美羽の言動によってかき乱されていく愛人たち。女たちの不倫劇はどんどんエスカレートし、崩壊へと向かっていくー</v>
      </c>
      <c r="N3624" s="2"/>
      <c r="O3624" s="2"/>
      <c r="P3624" s="1"/>
      <c r="Q3624" s="1"/>
      <c r="R3624" s="1"/>
      <c r="S3624" s="1"/>
      <c r="T3624" s="1"/>
      <c r="U3624" s="1"/>
      <c r="V3624" s="1"/>
      <c r="W3624" s="1"/>
      <c r="X3624" s="1"/>
      <c r="Y3624" s="1"/>
      <c r="Z3624" s="1"/>
      <c r="AA3624" s="1"/>
      <c r="AB3624" s="1"/>
      <c r="AC3624" s="1"/>
      <c r="AD3624" s="1"/>
      <c r="AE3624" s="1"/>
      <c r="AF3624" s="1"/>
      <c r="AG3624" s="1"/>
      <c r="AH3624" s="1"/>
      <c r="AI3624" s="1"/>
      <c r="AJ3624" s="1"/>
      <c r="AK3624" s="1"/>
      <c r="AL3624" s="1"/>
      <c r="AM3624" s="1"/>
      <c r="AN3624" s="1"/>
      <c r="AO3624" s="1"/>
      <c r="AP3624" s="1"/>
      <c r="AQ3624" s="1"/>
      <c r="AR3624" s="1"/>
      <c r="AS3624" s="1"/>
      <c r="AT3624" s="1"/>
      <c r="AU3624" s="1"/>
      <c r="AV3624" s="1"/>
      <c r="AW3624" s="1"/>
      <c r="AX3624" s="1"/>
      <c r="AY3624" s="1"/>
      <c r="AZ3624" s="1"/>
      <c r="BA3624" s="1"/>
      <c r="BB3624" s="1"/>
    </row>
    <row r="3625" ht="204.75" customHeight="1">
      <c r="A3625" s="1">
        <v>1492.0</v>
      </c>
      <c r="B3625" s="2" t="s">
        <v>10907</v>
      </c>
      <c r="C3625" s="2">
        <f>IFERROR(__xludf.DUMMYFUNCTION("split(B3625,""_"")"),1610.0)</f>
        <v>1610</v>
      </c>
      <c r="D3625" s="2" t="str">
        <f>IFERROR(__xludf.DUMMYFUNCTION("""COMPUTED_VALUE"""),"NTV")</f>
        <v>NTV</v>
      </c>
      <c r="E3625" s="2" t="str">
        <f>IFERROR(__xludf.DUMMYFUNCTION("""COMPUTED_VALUE"""),"木23")</f>
        <v>木23</v>
      </c>
      <c r="F3625" s="2" t="s">
        <v>10908</v>
      </c>
      <c r="G3625" s="2" t="s">
        <v>10915</v>
      </c>
      <c r="H3625" s="1">
        <v>4.0</v>
      </c>
      <c r="J3625" s="1" t="s">
        <v>1435</v>
      </c>
      <c r="K3625" s="2" t="s">
        <v>10916</v>
      </c>
      <c r="L3625" s="10" t="s">
        <v>10917</v>
      </c>
      <c r="M3625" s="2" t="str">
        <f>IFERROR(__xludf.DUMMYFUNCTION("split(split(K3625,""【"",false),""公式LINE"",false)"),"船越英一郎、成海璃子、トリンドル玲奈、佐藤仁美  佐野ひなこ、MEGUMI、平山あや、白羽ゆり、水上剣星、ちすん、新田祐里子  若村麻由美(特別出演)  水野美紀風(船越英一郎)には妻のほかに、なんと9人の愛人がいた。そんな9人の愛人のうち6人が、ついに集結!自分以外にも愛人がいる事、しかも9人いる事を知った愛人達の嫉妬と怒りが爆発する!互いを罵り合う女達がぶっかけ合うのは、とうとう水にとどまらず驚きの展開に…そんな愛人達の激しい争いを全く知らない風は、別の美女と会っていた。そう、またもや新たな愛人が発覚"&amp;"!そして、その愛人はなんと…衝撃の新事実も明らかに!")</f>
        <v>船越英一郎、成海璃子、トリンドル玲奈、佐藤仁美  佐野ひなこ、MEGUMI、平山あや、白羽ゆり、水上剣星、ちすん、新田祐里子  若村麻由美(特別出演)  水野美紀風(船越英一郎)には妻のほかに、なんと9人の愛人がいた。そんな9人の愛人のうち6人が、ついに集結!自分以外にも愛人がいる事、しかも9人いる事を知った愛人達の嫉妬と怒りが爆発する!互いを罵り合う女達がぶっかけ合うのは、とうとう水にとどまらず驚きの展開に…そんな愛人達の激しい争いを全く知らない風は、別の美女と会っていた。そう、またもや新たな愛人が発覚!そして、その愛人はなんと…衝撃の新事実も明らかに!</v>
      </c>
      <c r="N3625" s="2"/>
      <c r="O3625" s="2"/>
      <c r="P3625" s="1"/>
      <c r="Q3625" s="1"/>
      <c r="R3625" s="1"/>
      <c r="S3625" s="1"/>
      <c r="T3625" s="1"/>
      <c r="U3625" s="1"/>
      <c r="V3625" s="1"/>
      <c r="W3625" s="1"/>
      <c r="X3625" s="1"/>
      <c r="Y3625" s="1"/>
      <c r="Z3625" s="1"/>
      <c r="AA3625" s="1"/>
      <c r="AB3625" s="1"/>
      <c r="AC3625" s="1"/>
      <c r="AD3625" s="1"/>
      <c r="AE3625" s="1"/>
      <c r="AF3625" s="1"/>
      <c r="AG3625" s="1"/>
      <c r="AH3625" s="1"/>
      <c r="AI3625" s="1"/>
      <c r="AJ3625" s="1"/>
      <c r="AK3625" s="1"/>
      <c r="AL3625" s="1"/>
      <c r="AM3625" s="1"/>
      <c r="AN3625" s="1"/>
      <c r="AO3625" s="1"/>
      <c r="AP3625" s="1"/>
      <c r="AQ3625" s="1"/>
      <c r="AR3625" s="1"/>
      <c r="AS3625" s="1"/>
      <c r="AT3625" s="1"/>
      <c r="AU3625" s="1"/>
      <c r="AV3625" s="1"/>
      <c r="AW3625" s="1"/>
      <c r="AX3625" s="1"/>
      <c r="AY3625" s="1"/>
      <c r="AZ3625" s="1"/>
      <c r="BA3625" s="1"/>
      <c r="BB3625" s="1"/>
    </row>
    <row r="3626" ht="204.75" customHeight="1">
      <c r="A3626" s="1">
        <v>1493.0</v>
      </c>
      <c r="B3626" s="2" t="s">
        <v>10907</v>
      </c>
      <c r="C3626" s="2">
        <f>IFERROR(__xludf.DUMMYFUNCTION("split(B3626,""_"")"),1610.0)</f>
        <v>1610</v>
      </c>
      <c r="D3626" s="2" t="str">
        <f>IFERROR(__xludf.DUMMYFUNCTION("""COMPUTED_VALUE"""),"NTV")</f>
        <v>NTV</v>
      </c>
      <c r="E3626" s="2" t="str">
        <f>IFERROR(__xludf.DUMMYFUNCTION("""COMPUTED_VALUE"""),"木23")</f>
        <v>木23</v>
      </c>
      <c r="F3626" s="2" t="s">
        <v>10908</v>
      </c>
      <c r="G3626" s="2" t="s">
        <v>10918</v>
      </c>
      <c r="H3626" s="1">
        <v>5.0</v>
      </c>
      <c r="J3626" s="1" t="s">
        <v>1435</v>
      </c>
      <c r="K3626" s="2" t="s">
        <v>10919</v>
      </c>
      <c r="L3626" s="10" t="s">
        <v>10920</v>
      </c>
      <c r="M3626" s="2" t="str">
        <f>IFERROR(__xludf.DUMMYFUNCTION("split(split(K3626,""【"",false),""公式LINE"",false)"),"船越英一郎、成海璃子、トリンドル玲奈、佐藤仁美  佐野ひなこ、MEGUMI、平山あや、白羽ゆり、水上剣星、ちすん、新田祐里子  若村麻由美(特別出演)  水野美紀ドラマプロデューサーの風(船越英一郎)には妻のほかに、なんと9人の愛人がいた。  不倫関係に終止符を打とうとする女、2人の男の間で揺れ動く女、好きな女性に不倫をやめさせたい男、他の不倫女を蹴落としたい女…風をめぐって争う様々な人物たちの欲望・怒り・嫉妬が激しくぶつかり合う!さらに、新たな愛人たちが続々と発覚!そして、ついに9人の愛人全員が明らかに"&amp;"!")</f>
        <v>船越英一郎、成海璃子、トリンドル玲奈、佐藤仁美  佐野ひなこ、MEGUMI、平山あや、白羽ゆり、水上剣星、ちすん、新田祐里子  若村麻由美(特別出演)  水野美紀ドラマプロデューサーの風(船越英一郎)には妻のほかに、なんと9人の愛人がいた。  不倫関係に終止符を打とうとする女、2人の男の間で揺れ動く女、好きな女性に不倫をやめさせたい男、他の不倫女を蹴落としたい女…風をめぐって争う様々な人物たちの欲望・怒り・嫉妬が激しくぶつかり合う!さらに、新たな愛人たちが続々と発覚!そして、ついに9人の愛人全員が明らかに!</v>
      </c>
      <c r="N3626" s="2"/>
      <c r="O3626" s="2"/>
      <c r="P3626" s="1"/>
      <c r="Q3626" s="1"/>
      <c r="R3626" s="1"/>
      <c r="S3626" s="1"/>
      <c r="T3626" s="1"/>
      <c r="U3626" s="1"/>
      <c r="V3626" s="1"/>
      <c r="W3626" s="1"/>
      <c r="X3626" s="1"/>
      <c r="Y3626" s="1"/>
      <c r="Z3626" s="1"/>
      <c r="AA3626" s="1"/>
      <c r="AB3626" s="1"/>
      <c r="AC3626" s="1"/>
      <c r="AD3626" s="1"/>
      <c r="AE3626" s="1"/>
      <c r="AF3626" s="1"/>
      <c r="AG3626" s="1"/>
      <c r="AH3626" s="1"/>
      <c r="AI3626" s="1"/>
      <c r="AJ3626" s="1"/>
      <c r="AK3626" s="1"/>
      <c r="AL3626" s="1"/>
      <c r="AM3626" s="1"/>
      <c r="AN3626" s="1"/>
      <c r="AO3626" s="1"/>
      <c r="AP3626" s="1"/>
      <c r="AQ3626" s="1"/>
      <c r="AR3626" s="1"/>
      <c r="AS3626" s="1"/>
      <c r="AT3626" s="1"/>
      <c r="AU3626" s="1"/>
      <c r="AV3626" s="1"/>
      <c r="AW3626" s="1"/>
      <c r="AX3626" s="1"/>
      <c r="AY3626" s="1"/>
      <c r="AZ3626" s="1"/>
      <c r="BA3626" s="1"/>
      <c r="BB3626" s="1"/>
    </row>
    <row r="3627" ht="204.75" customHeight="1">
      <c r="A3627" s="1">
        <v>1494.0</v>
      </c>
      <c r="B3627" s="2" t="s">
        <v>10907</v>
      </c>
      <c r="C3627" s="2">
        <f>IFERROR(__xludf.DUMMYFUNCTION("split(B3627,""_"")"),1610.0)</f>
        <v>1610</v>
      </c>
      <c r="D3627" s="2" t="str">
        <f>IFERROR(__xludf.DUMMYFUNCTION("""COMPUTED_VALUE"""),"NTV")</f>
        <v>NTV</v>
      </c>
      <c r="E3627" s="2" t="str">
        <f>IFERROR(__xludf.DUMMYFUNCTION("""COMPUTED_VALUE"""),"木23")</f>
        <v>木23</v>
      </c>
      <c r="F3627" s="2" t="s">
        <v>10908</v>
      </c>
      <c r="G3627" s="2" t="s">
        <v>10921</v>
      </c>
      <c r="H3627" s="1">
        <v>6.0</v>
      </c>
      <c r="J3627" s="1" t="s">
        <v>1435</v>
      </c>
      <c r="K3627" s="2" t="s">
        <v>10922</v>
      </c>
      <c r="L3627" s="10" t="s">
        <v>10923</v>
      </c>
      <c r="M3627" s="2" t="str">
        <f>IFERROR(__xludf.DUMMYFUNCTION("split(split(K3627,""【"",false),""公式LINE"",false)"),"船越英一郎、成海璃子、トリンドル玲奈、佐藤仁美  佐野ひなこ、MEGUMI、平山あや、白羽ゆり、水上剣星、ちすん、新田祐里子  若村麻由美(特別出演)  水野美紀ドラマプロデューサーの風(船越英一郎)には妻のほかに、なんと9人の愛人がいた。  不倫の相談に乗ってもらっていた彩乃(佐野ひなこ)も愛人だと知り、怒り狂う久未(成海璃子)。親友2人が想像を絶するほどの激しい戦いを繰り広げる!“これは不倫ドラマなのか!?”と錯覚するほどアクションシーンが満載!!そして、")</f>
        <v>船越英一郎、成海璃子、トリンドル玲奈、佐藤仁美  佐野ひなこ、MEGUMI、平山あや、白羽ゆり、水上剣星、ちすん、新田祐里子  若村麻由美(特別出演)  水野美紀ドラマプロデューサーの風(船越英一郎)には妻のほかに、なんと9人の愛人がいた。  不倫の相談に乗ってもらっていた彩乃(佐野ひなこ)も愛人だと知り、怒り狂う久未(成海璃子)。親友2人が想像を絶するほどの激しい戦いを繰り広げる!“これは不倫ドラマなのか!?”と錯覚するほどアクションシーンが満載!!そして、</v>
      </c>
      <c r="N3627" s="2"/>
      <c r="O3627" s="2"/>
      <c r="P3627" s="1"/>
      <c r="Q3627" s="1"/>
      <c r="R3627" s="1"/>
      <c r="S3627" s="1"/>
      <c r="T3627" s="1"/>
      <c r="U3627" s="1"/>
      <c r="V3627" s="1"/>
      <c r="W3627" s="1"/>
      <c r="X3627" s="1"/>
      <c r="Y3627" s="1"/>
      <c r="Z3627" s="1"/>
      <c r="AA3627" s="1"/>
      <c r="AB3627" s="1"/>
      <c r="AC3627" s="1"/>
      <c r="AD3627" s="1"/>
      <c r="AE3627" s="1"/>
      <c r="AF3627" s="1"/>
      <c r="AG3627" s="1"/>
      <c r="AH3627" s="1"/>
      <c r="AI3627" s="1"/>
      <c r="AJ3627" s="1"/>
      <c r="AK3627" s="1"/>
      <c r="AL3627" s="1"/>
      <c r="AM3627" s="1"/>
      <c r="AN3627" s="1"/>
      <c r="AO3627" s="1"/>
      <c r="AP3627" s="1"/>
      <c r="AQ3627" s="1"/>
      <c r="AR3627" s="1"/>
      <c r="AS3627" s="1"/>
      <c r="AT3627" s="1"/>
      <c r="AU3627" s="1"/>
      <c r="AV3627" s="1"/>
      <c r="AW3627" s="1"/>
      <c r="AX3627" s="1"/>
      <c r="AY3627" s="1"/>
      <c r="AZ3627" s="1"/>
      <c r="BA3627" s="1"/>
      <c r="BB3627" s="1"/>
    </row>
    <row r="3628" ht="204.75" customHeight="1">
      <c r="A3628" s="1">
        <v>1495.0</v>
      </c>
      <c r="B3628" s="2" t="s">
        <v>10907</v>
      </c>
      <c r="C3628" s="2">
        <f>IFERROR(__xludf.DUMMYFUNCTION("split(B3628,""_"")"),1610.0)</f>
        <v>1610</v>
      </c>
      <c r="D3628" s="2" t="str">
        <f>IFERROR(__xludf.DUMMYFUNCTION("""COMPUTED_VALUE"""),"NTV")</f>
        <v>NTV</v>
      </c>
      <c r="E3628" s="2" t="str">
        <f>IFERROR(__xludf.DUMMYFUNCTION("""COMPUTED_VALUE"""),"木23")</f>
        <v>木23</v>
      </c>
      <c r="F3628" s="2" t="s">
        <v>10908</v>
      </c>
      <c r="G3628" s="2" t="s">
        <v>10924</v>
      </c>
      <c r="H3628" s="1">
        <v>7.0</v>
      </c>
      <c r="J3628" s="1" t="s">
        <v>1435</v>
      </c>
      <c r="K3628" s="2" t="s">
        <v>10925</v>
      </c>
      <c r="L3628" s="10" t="s">
        <v>10926</v>
      </c>
      <c r="M3628" s="2" t="str">
        <f>IFERROR(__xludf.DUMMYFUNCTION("split(split(K3628,""【"",false),""公式LINE"",false)"),"船越英一郎、成海璃子、トリンドル玲奈、佐藤仁美  佐野ひなこ、MEGUMI、平山あや、白羽ゆり、水上剣星、ちすん、新田祐里子  若村麻由美(特別出演)  水野美紀ドラマプロデューサーの風(船越英一郎)には妻のほかに、なんと9人の愛人がいた。多くの愛人たちが携わっているドラマ『淡い三人の男』の裏側では、女の熾烈な争いが繰り広げられていた!真空飛び膝蹴りを美羽(佐藤仁美)に喰らわせた真衣(白羽ゆり)が、その美羽と初対面し、一触即発に!そして、ついに風の妻と9人の愛人…10人の女が集結!初めて集まった不倫女たち"&amp;"にいったい、何が起こるのかー!?")</f>
        <v>船越英一郎、成海璃子、トリンドル玲奈、佐藤仁美  佐野ひなこ、MEGUMI、平山あや、白羽ゆり、水上剣星、ちすん、新田祐里子  若村麻由美(特別出演)  水野美紀ドラマプロデューサーの風(船越英一郎)には妻のほかに、なんと9人の愛人がいた。多くの愛人たちが携わっているドラマ『淡い三人の男』の裏側では、女の熾烈な争いが繰り広げられていた!真空飛び膝蹴りを美羽(佐藤仁美)に喰らわせた真衣(白羽ゆり)が、その美羽と初対面し、一触即発に!そして、ついに風の妻と9人の愛人…10人の女が集結!初めて集まった不倫女たちにいったい、何が起こるのかー!?</v>
      </c>
      <c r="N3628" s="2"/>
      <c r="O3628" s="2"/>
      <c r="P3628" s="1"/>
      <c r="Q3628" s="1"/>
      <c r="R3628" s="1"/>
      <c r="S3628" s="1"/>
      <c r="T3628" s="1"/>
      <c r="U3628" s="1"/>
      <c r="V3628" s="1"/>
      <c r="W3628" s="1"/>
      <c r="X3628" s="1"/>
      <c r="Y3628" s="1"/>
      <c r="Z3628" s="1"/>
      <c r="AA3628" s="1"/>
      <c r="AB3628" s="1"/>
      <c r="AC3628" s="1"/>
      <c r="AD3628" s="1"/>
      <c r="AE3628" s="1"/>
      <c r="AF3628" s="1"/>
      <c r="AG3628" s="1"/>
      <c r="AH3628" s="1"/>
      <c r="AI3628" s="1"/>
      <c r="AJ3628" s="1"/>
      <c r="AK3628" s="1"/>
      <c r="AL3628" s="1"/>
      <c r="AM3628" s="1"/>
      <c r="AN3628" s="1"/>
      <c r="AO3628" s="1"/>
      <c r="AP3628" s="1"/>
      <c r="AQ3628" s="1"/>
      <c r="AR3628" s="1"/>
      <c r="AS3628" s="1"/>
      <c r="AT3628" s="1"/>
      <c r="AU3628" s="1"/>
      <c r="AV3628" s="1"/>
      <c r="AW3628" s="1"/>
      <c r="AX3628" s="1"/>
      <c r="AY3628" s="1"/>
      <c r="AZ3628" s="1"/>
      <c r="BA3628" s="1"/>
      <c r="BB3628" s="1"/>
    </row>
    <row r="3629" ht="204.75" customHeight="1">
      <c r="A3629" s="1">
        <v>1496.0</v>
      </c>
      <c r="B3629" s="2" t="s">
        <v>10907</v>
      </c>
      <c r="C3629" s="2">
        <f>IFERROR(__xludf.DUMMYFUNCTION("split(B3629,""_"")"),1610.0)</f>
        <v>1610</v>
      </c>
      <c r="D3629" s="2" t="str">
        <f>IFERROR(__xludf.DUMMYFUNCTION("""COMPUTED_VALUE"""),"NTV")</f>
        <v>NTV</v>
      </c>
      <c r="E3629" s="2" t="str">
        <f>IFERROR(__xludf.DUMMYFUNCTION("""COMPUTED_VALUE"""),"木23")</f>
        <v>木23</v>
      </c>
      <c r="F3629" s="2" t="s">
        <v>10908</v>
      </c>
      <c r="G3629" s="2" t="s">
        <v>10927</v>
      </c>
      <c r="H3629" s="1">
        <v>8.0</v>
      </c>
      <c r="J3629" s="1" t="s">
        <v>1435</v>
      </c>
      <c r="K3629" s="2" t="s">
        <v>10928</v>
      </c>
      <c r="L3629" s="10" t="s">
        <v>10929</v>
      </c>
      <c r="M3629" s="2" t="str">
        <f>IFERROR(__xludf.DUMMYFUNCTION("split(split(K3629,""【"",false),""公式LINE"",false)"),"船越英一郎、成海璃子、トリンドル玲奈、佐藤仁美  佐野ひなこ、MEGUMI、平山あや、白羽ゆり、水上剣星、ちすん、新田祐里子  若村麻由美(特別出演)  水野美紀身の回りにいる様々な女性を愛人にしていた風(船越英一郎)。最も古株の愛人である佳代(水野美紀)の呼びかけで、妻と愛人9人…10人の女がついに全員集結した!そこで、佳代は驚きの提案をする…その驚愕の内容とはー!?そして、10人の女たちのもとに突然現れた風。妻と愛人たちの前で、風がとんでもない発言を…その発言をきっかけに、10人の女たちがついに動き出"&amp;"す!!10股男・風松吉の運命はー!?")</f>
        <v>船越英一郎、成海璃子、トリンドル玲奈、佐藤仁美  佐野ひなこ、MEGUMI、平山あや、白羽ゆり、水上剣星、ちすん、新田祐里子  若村麻由美(特別出演)  水野美紀身の回りにいる様々な女性を愛人にしていた風(船越英一郎)。最も古株の愛人である佳代(水野美紀)の呼びかけで、妻と愛人9人…10人の女がついに全員集結した!そこで、佳代は驚きの提案をする…その驚愕の内容とはー!?そして、10人の女たちのもとに突然現れた風。妻と愛人たちの前で、風がとんでもない発言を…その発言をきっかけに、10人の女たちがついに動き出す!!10股男・風松吉の運命はー!?</v>
      </c>
      <c r="N3629" s="2"/>
      <c r="O3629" s="2"/>
      <c r="P3629" s="1"/>
      <c r="Q3629" s="1"/>
      <c r="R3629" s="1"/>
      <c r="S3629" s="1"/>
      <c r="T3629" s="1"/>
      <c r="U3629" s="1"/>
      <c r="V3629" s="1"/>
      <c r="W3629" s="1"/>
      <c r="X3629" s="1"/>
      <c r="Y3629" s="1"/>
      <c r="Z3629" s="1"/>
      <c r="AA3629" s="1"/>
      <c r="AB3629" s="1"/>
      <c r="AC3629" s="1"/>
      <c r="AD3629" s="1"/>
      <c r="AE3629" s="1"/>
      <c r="AF3629" s="1"/>
      <c r="AG3629" s="1"/>
      <c r="AH3629" s="1"/>
      <c r="AI3629" s="1"/>
      <c r="AJ3629" s="1"/>
      <c r="AK3629" s="1"/>
      <c r="AL3629" s="1"/>
      <c r="AM3629" s="1"/>
      <c r="AN3629" s="1"/>
      <c r="AO3629" s="1"/>
      <c r="AP3629" s="1"/>
      <c r="AQ3629" s="1"/>
      <c r="AR3629" s="1"/>
      <c r="AS3629" s="1"/>
      <c r="AT3629" s="1"/>
      <c r="AU3629" s="1"/>
      <c r="AV3629" s="1"/>
      <c r="AW3629" s="1"/>
      <c r="AX3629" s="1"/>
      <c r="AY3629" s="1"/>
      <c r="AZ3629" s="1"/>
      <c r="BA3629" s="1"/>
      <c r="BB3629" s="1"/>
    </row>
    <row r="3630" ht="204.75" customHeight="1">
      <c r="A3630" s="1">
        <v>1497.0</v>
      </c>
      <c r="B3630" s="2" t="s">
        <v>10907</v>
      </c>
      <c r="C3630" s="2">
        <f>IFERROR(__xludf.DUMMYFUNCTION("split(B3630,""_"")"),1610.0)</f>
        <v>1610</v>
      </c>
      <c r="D3630" s="2" t="str">
        <f>IFERROR(__xludf.DUMMYFUNCTION("""COMPUTED_VALUE"""),"NTV")</f>
        <v>NTV</v>
      </c>
      <c r="E3630" s="2" t="str">
        <f>IFERROR(__xludf.DUMMYFUNCTION("""COMPUTED_VALUE"""),"木23")</f>
        <v>木23</v>
      </c>
      <c r="F3630" s="2" t="s">
        <v>10908</v>
      </c>
      <c r="G3630" s="2" t="s">
        <v>10930</v>
      </c>
      <c r="H3630" s="1">
        <v>9.0</v>
      </c>
      <c r="J3630" s="1" t="s">
        <v>1435</v>
      </c>
      <c r="K3630" s="2" t="s">
        <v>10931</v>
      </c>
      <c r="L3630" s="10" t="s">
        <v>10932</v>
      </c>
      <c r="M3630" s="2" t="str">
        <f>IFERROR(__xludf.DUMMYFUNCTION("split(split(K3630,""【"",false),""公式LINE"",false)"),"船越英一郎、成海璃子、トリンドル玲奈、佐藤仁美  佐野ひなこ、MEGUMI、平山あや、白羽ゆり、水上剣星、ちすん、新田祐里子  若村麻由美(特別出演)  水野美紀風(船越英一郎)の妻・睦(若村麻由美)と9人の愛人たちが計画したのは、“風松吉の殺害”。12時間以内に10錠飲めば死ぬという薬を1人1錠ずつ風に飲ませようとする10人の女たち。風を殺すことはできるのか…1人の男に人生を狂わされた女たちの復讐劇が今、幕を開ける!そして、ラストに待ち受ける驚きの展開とはー!?山本大輔")</f>
        <v>船越英一郎、成海璃子、トリンドル玲奈、佐藤仁美  佐野ひなこ、MEGUMI、平山あや、白羽ゆり、水上剣星、ちすん、新田祐里子  若村麻由美(特別出演)  水野美紀風(船越英一郎)の妻・睦(若村麻由美)と9人の愛人たちが計画したのは、“風松吉の殺害”。12時間以内に10錠飲めば死ぬという薬を1人1錠ずつ風に飲ませようとする10人の女たち。風を殺すことはできるのか…1人の男に人生を狂わされた女たちの復讐劇が今、幕を開ける!そして、ラストに待ち受ける驚きの展開とはー!?山本大輔</v>
      </c>
      <c r="N3630" s="2"/>
      <c r="O3630" s="2"/>
      <c r="P3630" s="1"/>
      <c r="Q3630" s="1"/>
      <c r="R3630" s="1"/>
      <c r="S3630" s="1"/>
      <c r="T3630" s="1"/>
      <c r="U3630" s="1"/>
      <c r="V3630" s="1"/>
      <c r="W3630" s="1"/>
      <c r="X3630" s="1"/>
      <c r="Y3630" s="1"/>
      <c r="Z3630" s="1"/>
      <c r="AA3630" s="1"/>
      <c r="AB3630" s="1"/>
      <c r="AC3630" s="1"/>
      <c r="AD3630" s="1"/>
      <c r="AE3630" s="1"/>
      <c r="AF3630" s="1"/>
      <c r="AG3630" s="1"/>
      <c r="AH3630" s="1"/>
      <c r="AI3630" s="1"/>
      <c r="AJ3630" s="1"/>
      <c r="AK3630" s="1"/>
      <c r="AL3630" s="1"/>
      <c r="AM3630" s="1"/>
      <c r="AN3630" s="1"/>
      <c r="AO3630" s="1"/>
      <c r="AP3630" s="1"/>
      <c r="AQ3630" s="1"/>
      <c r="AR3630" s="1"/>
      <c r="AS3630" s="1"/>
      <c r="AT3630" s="1"/>
      <c r="AU3630" s="1"/>
      <c r="AV3630" s="1"/>
      <c r="AW3630" s="1"/>
      <c r="AX3630" s="1"/>
      <c r="AY3630" s="1"/>
      <c r="AZ3630" s="1"/>
      <c r="BA3630" s="1"/>
      <c r="BB3630" s="1"/>
    </row>
    <row r="3631" ht="204.75" customHeight="1">
      <c r="A3631" s="1">
        <v>1536.0</v>
      </c>
      <c r="B3631" s="2" t="s">
        <v>10933</v>
      </c>
      <c r="C3631" s="2">
        <f>IFERROR(__xludf.DUMMYFUNCTION("split(B3631,""_"")"),1610.0)</f>
        <v>1610</v>
      </c>
      <c r="D3631" s="2" t="str">
        <f>IFERROR(__xludf.DUMMYFUNCTION("""COMPUTED_VALUE"""),"NTV")</f>
        <v>NTV</v>
      </c>
      <c r="E3631" s="2" t="str">
        <f>IFERROR(__xludf.DUMMYFUNCTION("""COMPUTED_VALUE"""),"日22")</f>
        <v>日22</v>
      </c>
      <c r="F3631" s="2" t="s">
        <v>10934</v>
      </c>
      <c r="G3631" s="2" t="s">
        <v>10935</v>
      </c>
      <c r="H3631" s="1">
        <v>1.0</v>
      </c>
      <c r="J3631" s="1" t="s">
        <v>82</v>
      </c>
      <c r="K3631" s="2" t="s">
        <v>10936</v>
      </c>
      <c r="L3631" s="11" t="s">
        <v>10937</v>
      </c>
      <c r="M3631" s="2" t="str">
        <f>IFERROR(__xludf.DUMMYFUNCTION("split(split(K3631,""【"",false),""ほか"",false)"),"沢村一樹、藤井流星、志田未来、福原遥、稲葉友、梶原善　・　勝地涼　・　中村アン、稲森いずみ、大杉漣、")</f>
        <v>沢村一樹、藤井流星、志田未来、福原遥、稲葉友、梶原善　・　勝地涼　・　中村アン、稲森いずみ、大杉漣、</v>
      </c>
      <c r="N3631" s="2" t="str">
        <f>IFERROR(__xludf.DUMMYFUNCTION("""COMPUTED_VALUE"""),"日曜の夜を明るくする!どんな依頼も絶対解決、異常・異端なプロ集団がレンタル開始!大借金男明辺悠五(沢村一樹)の命懸けの物語!初回いきなり生放送も!?　　  超お人好し男明辺悠五(沢村一樹)は同僚に騙され100万ドルという嘘のような大借金を背負う。明辺は超高額給料の「レンタル救世主」という会社と出会い、採用されるが、そこは命懸けで「なんでもやる」謎のレンタル会社で…。")</f>
        <v>日曜の夜を明るくする!どんな依頼も絶対解決、異常・異端なプロ集団がレンタル開始!大借金男明辺悠五(沢村一樹)の命懸けの物語!初回いきなり生放送も!?　　  超お人好し男明辺悠五(沢村一樹)は同僚に騙され100万ドルという嘘のような大借金を背負う。明辺は超高額給料の「レンタル救世主」という会社と出会い、採用されるが、そこは命懸けで「なんでもやる」謎のレンタル会社で…。</v>
      </c>
      <c r="O3631" s="2"/>
      <c r="P3631" s="1"/>
      <c r="Q3631" s="1"/>
      <c r="R3631" s="1"/>
      <c r="S3631" s="1"/>
      <c r="T3631" s="1"/>
      <c r="U3631" s="1"/>
      <c r="V3631" s="1"/>
      <c r="W3631" s="1"/>
      <c r="X3631" s="1"/>
      <c r="Y3631" s="1"/>
      <c r="Z3631" s="1"/>
      <c r="AA3631" s="1"/>
      <c r="AB3631" s="1"/>
      <c r="AC3631" s="1"/>
      <c r="AD3631" s="1"/>
      <c r="AE3631" s="1"/>
      <c r="AF3631" s="1"/>
      <c r="AG3631" s="1"/>
      <c r="AH3631" s="1"/>
      <c r="AI3631" s="1"/>
      <c r="AJ3631" s="1"/>
      <c r="AK3631" s="1"/>
      <c r="AL3631" s="1"/>
      <c r="AM3631" s="1"/>
      <c r="AN3631" s="1"/>
      <c r="AO3631" s="1"/>
      <c r="AP3631" s="1"/>
      <c r="AQ3631" s="1"/>
      <c r="AR3631" s="1"/>
      <c r="AS3631" s="1"/>
      <c r="AT3631" s="1"/>
      <c r="AU3631" s="1"/>
      <c r="AV3631" s="1"/>
      <c r="AW3631" s="1"/>
      <c r="AX3631" s="1"/>
      <c r="AY3631" s="1"/>
      <c r="AZ3631" s="1"/>
      <c r="BA3631" s="1"/>
      <c r="BB3631" s="1"/>
    </row>
    <row r="3632" ht="204.75" customHeight="1">
      <c r="A3632" s="1">
        <v>1537.0</v>
      </c>
      <c r="B3632" s="2" t="s">
        <v>10933</v>
      </c>
      <c r="C3632" s="2">
        <f>IFERROR(__xludf.DUMMYFUNCTION("split(B3632,""_"")"),1610.0)</f>
        <v>1610</v>
      </c>
      <c r="D3632" s="2" t="str">
        <f>IFERROR(__xludf.DUMMYFUNCTION("""COMPUTED_VALUE"""),"NTV")</f>
        <v>NTV</v>
      </c>
      <c r="E3632" s="2" t="str">
        <f>IFERROR(__xludf.DUMMYFUNCTION("""COMPUTED_VALUE"""),"日22")</f>
        <v>日22</v>
      </c>
      <c r="F3632" s="2" t="s">
        <v>10934</v>
      </c>
      <c r="G3632" s="2" t="s">
        <v>10938</v>
      </c>
      <c r="H3632" s="1">
        <v>2.0</v>
      </c>
      <c r="I3632" s="1" t="s">
        <v>2872</v>
      </c>
      <c r="J3632" s="1" t="s">
        <v>82</v>
      </c>
      <c r="K3632" s="2" t="s">
        <v>10939</v>
      </c>
      <c r="L3632" s="11" t="s">
        <v>10940</v>
      </c>
      <c r="M3632" s="2" t="str">
        <f>IFERROR(__xludf.DUMMYFUNCTION("split(split(K3632,""【"",false),""ほか"",false)"),"沢村一樹、藤井流星、志田未来、福原遥、稲葉友、梶原善　・　勝地涼　・　中村アン、稲森いずみ、大杉漣、")</f>
        <v>沢村一樹、藤井流星、志田未来、福原遥、稲葉友、梶原善　・　勝地涼　・　中村アン、稲森いずみ、大杉漣、</v>
      </c>
      <c r="N3632" s="2" t="str">
        <f>IFERROR(__xludf.DUMMYFUNCTION("""COMPUTED_VALUE"""),"ヒロコ(森カンナ)というラジオDJがレンタル救世主の元に依頼に来る。その内容はプロデューサーの神保(遠藤章造)からのストーカー被害の解消であった。依頼解決に向かう明辺(沢村一樹)はストーカーの証拠を確保するも、警察から泥棒に間違われ留置所に入れられてしまう。遅い帰りに明辺の浮気を疑う妻の紫乃(稲森いずみ)。明辺家に危機が訪れる中、依頼人ヒロコの前には新たなストーカーが現れて…。")</f>
        <v>ヒロコ(森カンナ)というラジオDJがレンタル救世主の元に依頼に来る。その内容はプロデューサーの神保(遠藤章造)からのストーカー被害の解消であった。依頼解決に向かう明辺(沢村一樹)はストーカーの証拠を確保するも、警察から泥棒に間違われ留置所に入れられてしまう。遅い帰りに明辺の浮気を疑う妻の紫乃(稲森いずみ)。明辺家に危機が訪れる中、依頼人ヒロコの前には新たなストーカーが現れて…。</v>
      </c>
      <c r="O3632" s="2"/>
      <c r="P3632" s="1"/>
      <c r="Q3632" s="1"/>
      <c r="R3632" s="1"/>
      <c r="S3632" s="1"/>
      <c r="T3632" s="1"/>
      <c r="U3632" s="1"/>
      <c r="V3632" s="1"/>
      <c r="W3632" s="1"/>
      <c r="X3632" s="1"/>
      <c r="Y3632" s="1"/>
      <c r="Z3632" s="1"/>
      <c r="AA3632" s="1"/>
      <c r="AB3632" s="1"/>
      <c r="AC3632" s="1"/>
      <c r="AD3632" s="1"/>
      <c r="AE3632" s="1"/>
      <c r="AF3632" s="1"/>
      <c r="AG3632" s="1"/>
      <c r="AH3632" s="1"/>
      <c r="AI3632" s="1"/>
      <c r="AJ3632" s="1"/>
      <c r="AK3632" s="1"/>
      <c r="AL3632" s="1"/>
      <c r="AM3632" s="1"/>
      <c r="AN3632" s="1"/>
      <c r="AO3632" s="1"/>
      <c r="AP3632" s="1"/>
      <c r="AQ3632" s="1"/>
      <c r="AR3632" s="1"/>
      <c r="AS3632" s="1"/>
      <c r="AT3632" s="1"/>
      <c r="AU3632" s="1"/>
      <c r="AV3632" s="1"/>
      <c r="AW3632" s="1"/>
      <c r="AX3632" s="1"/>
      <c r="AY3632" s="1"/>
      <c r="AZ3632" s="1"/>
      <c r="BA3632" s="1"/>
      <c r="BB3632" s="1"/>
    </row>
    <row r="3633" ht="204.75" customHeight="1">
      <c r="A3633" s="1">
        <v>1538.0</v>
      </c>
      <c r="B3633" s="2" t="s">
        <v>10933</v>
      </c>
      <c r="C3633" s="2">
        <f>IFERROR(__xludf.DUMMYFUNCTION("split(B3633,""_"")"),1610.0)</f>
        <v>1610</v>
      </c>
      <c r="D3633" s="2" t="str">
        <f>IFERROR(__xludf.DUMMYFUNCTION("""COMPUTED_VALUE"""),"NTV")</f>
        <v>NTV</v>
      </c>
      <c r="E3633" s="2" t="str">
        <f>IFERROR(__xludf.DUMMYFUNCTION("""COMPUTED_VALUE"""),"日22")</f>
        <v>日22</v>
      </c>
      <c r="F3633" s="2" t="s">
        <v>10934</v>
      </c>
      <c r="G3633" s="2" t="s">
        <v>10941</v>
      </c>
      <c r="H3633" s="1">
        <v>3.0</v>
      </c>
      <c r="I3633" s="1" t="s">
        <v>2876</v>
      </c>
      <c r="J3633" s="1" t="s">
        <v>82</v>
      </c>
      <c r="K3633" s="2" t="s">
        <v>10942</v>
      </c>
      <c r="L3633" s="10" t="s">
        <v>10943</v>
      </c>
      <c r="M3633" s="2" t="str">
        <f>IFERROR(__xludf.DUMMYFUNCTION("split(split(K3633,""【"",false),""ほか"",false)"),"沢村一樹、藤井流星、志田未来、福原遥、・　勝地涼　・　中村アン、稲森いずみ、大杉漣　  ")</f>
        <v>沢村一樹、藤井流星、志田未来、福原遥、・　勝地涼　・　中村アン、稲森いずみ、大杉漣　  </v>
      </c>
      <c r="N3633" s="2"/>
      <c r="O3633" s="2"/>
      <c r="P3633" s="1"/>
      <c r="Q3633" s="1"/>
      <c r="R3633" s="1"/>
      <c r="S3633" s="1"/>
      <c r="T3633" s="1"/>
      <c r="U3633" s="1"/>
      <c r="V3633" s="1"/>
      <c r="W3633" s="1"/>
      <c r="X3633" s="1"/>
      <c r="Y3633" s="1"/>
      <c r="Z3633" s="1"/>
      <c r="AA3633" s="1"/>
      <c r="AB3633" s="1"/>
      <c r="AC3633" s="1"/>
      <c r="AD3633" s="1"/>
      <c r="AE3633" s="1"/>
      <c r="AF3633" s="1"/>
      <c r="AG3633" s="1"/>
      <c r="AH3633" s="1"/>
      <c r="AI3633" s="1"/>
      <c r="AJ3633" s="1"/>
      <c r="AK3633" s="1"/>
      <c r="AL3633" s="1"/>
      <c r="AM3633" s="1"/>
      <c r="AN3633" s="1"/>
      <c r="AO3633" s="1"/>
      <c r="AP3633" s="1"/>
      <c r="AQ3633" s="1"/>
      <c r="AR3633" s="1"/>
      <c r="AS3633" s="1"/>
      <c r="AT3633" s="1"/>
      <c r="AU3633" s="1"/>
      <c r="AV3633" s="1"/>
      <c r="AW3633" s="1"/>
      <c r="AX3633" s="1"/>
      <c r="AY3633" s="1"/>
      <c r="AZ3633" s="1"/>
      <c r="BA3633" s="1"/>
      <c r="BB3633" s="1"/>
    </row>
    <row r="3634" ht="204.75" customHeight="1">
      <c r="A3634" s="1">
        <v>1539.0</v>
      </c>
      <c r="B3634" s="2" t="s">
        <v>10933</v>
      </c>
      <c r="C3634" s="2">
        <f>IFERROR(__xludf.DUMMYFUNCTION("split(B3634,""_"")"),1610.0)</f>
        <v>1610</v>
      </c>
      <c r="D3634" s="2" t="str">
        <f>IFERROR(__xludf.DUMMYFUNCTION("""COMPUTED_VALUE"""),"NTV")</f>
        <v>NTV</v>
      </c>
      <c r="E3634" s="2" t="str">
        <f>IFERROR(__xludf.DUMMYFUNCTION("""COMPUTED_VALUE"""),"日22")</f>
        <v>日22</v>
      </c>
      <c r="F3634" s="2" t="s">
        <v>10934</v>
      </c>
      <c r="G3634" s="2" t="s">
        <v>10944</v>
      </c>
      <c r="H3634" s="1">
        <v>4.0</v>
      </c>
      <c r="I3634" s="1" t="s">
        <v>2880</v>
      </c>
      <c r="J3634" s="1" t="s">
        <v>82</v>
      </c>
      <c r="K3634" s="2" t="s">
        <v>10945</v>
      </c>
      <c r="L3634" s="10" t="s">
        <v>10946</v>
      </c>
      <c r="M3634" s="2" t="str">
        <f>IFERROR(__xludf.DUMMYFUNCTION("split(split(K3634,""【"",false),""ほか"",false)"),"沢村一樹、藤井流星、志田未来、福原遥、稲葉友、・　勝地涼　・　中村アン、稲森いずみ、大杉漣　")</f>
        <v>沢村一樹、藤井流星、志田未来、福原遥、稲葉友、・　勝地涼　・　中村アン、稲森いずみ、大杉漣　</v>
      </c>
      <c r="N3634" s="2" t="str">
        <f>IFERROR(__xludf.DUMMYFUNCTION("""COMPUTED_VALUE"""),"  ")</f>
        <v>  </v>
      </c>
      <c r="O3634" s="2"/>
      <c r="P3634" s="1"/>
      <c r="Q3634" s="1"/>
      <c r="R3634" s="1"/>
      <c r="S3634" s="1"/>
      <c r="T3634" s="1"/>
      <c r="U3634" s="1"/>
      <c r="V3634" s="1"/>
      <c r="W3634" s="1"/>
      <c r="X3634" s="1"/>
      <c r="Y3634" s="1"/>
      <c r="Z3634" s="1"/>
      <c r="AA3634" s="1"/>
      <c r="AB3634" s="1"/>
      <c r="AC3634" s="1"/>
      <c r="AD3634" s="1"/>
      <c r="AE3634" s="1"/>
      <c r="AF3634" s="1"/>
      <c r="AG3634" s="1"/>
      <c r="AH3634" s="1"/>
      <c r="AI3634" s="1"/>
      <c r="AJ3634" s="1"/>
      <c r="AK3634" s="1"/>
      <c r="AL3634" s="1"/>
      <c r="AM3634" s="1"/>
      <c r="AN3634" s="1"/>
      <c r="AO3634" s="1"/>
      <c r="AP3634" s="1"/>
      <c r="AQ3634" s="1"/>
      <c r="AR3634" s="1"/>
      <c r="AS3634" s="1"/>
      <c r="AT3634" s="1"/>
      <c r="AU3634" s="1"/>
      <c r="AV3634" s="1"/>
      <c r="AW3634" s="1"/>
      <c r="AX3634" s="1"/>
      <c r="AY3634" s="1"/>
      <c r="AZ3634" s="1"/>
      <c r="BA3634" s="1"/>
      <c r="BB3634" s="1"/>
    </row>
    <row r="3635" ht="204.75" customHeight="1">
      <c r="A3635" s="1">
        <v>1540.0</v>
      </c>
      <c r="B3635" s="2" t="s">
        <v>10933</v>
      </c>
      <c r="C3635" s="2">
        <f>IFERROR(__xludf.DUMMYFUNCTION("split(B3635,""_"")"),1610.0)</f>
        <v>1610</v>
      </c>
      <c r="D3635" s="2" t="str">
        <f>IFERROR(__xludf.DUMMYFUNCTION("""COMPUTED_VALUE"""),"NTV")</f>
        <v>NTV</v>
      </c>
      <c r="E3635" s="2" t="str">
        <f>IFERROR(__xludf.DUMMYFUNCTION("""COMPUTED_VALUE"""),"日22")</f>
        <v>日22</v>
      </c>
      <c r="F3635" s="2" t="s">
        <v>10934</v>
      </c>
      <c r="G3635" s="2" t="s">
        <v>10947</v>
      </c>
      <c r="H3635" s="1">
        <v>5.0</v>
      </c>
      <c r="J3635" s="1" t="s">
        <v>82</v>
      </c>
      <c r="K3635" s="2" t="s">
        <v>10948</v>
      </c>
      <c r="L3635" s="10" t="s">
        <v>10949</v>
      </c>
      <c r="M3635" s="2" t="str">
        <f>IFERROR(__xludf.DUMMYFUNCTION("split(split(K3635,""【"",false),""ほか"",false)"),"沢村一樹、藤井流星、志田未来、福原遥、稲葉友、・　勝地涼　・　中村アン、稲森いずみ、大杉漣、")</f>
        <v>沢村一樹、藤井流星、志田未来、福原遥、稲葉友、・　勝地涼　・　中村アン、稲森いずみ、大杉漣、</v>
      </c>
      <c r="N3635" s="2" t="str">
        <f>IFERROR(__xludf.DUMMYFUNCTION("""COMPUTED_VALUE"""),"　")</f>
        <v>　</v>
      </c>
      <c r="O3635" s="2"/>
      <c r="P3635" s="1"/>
      <c r="Q3635" s="1"/>
      <c r="R3635" s="1"/>
      <c r="S3635" s="1"/>
      <c r="T3635" s="1"/>
      <c r="U3635" s="1"/>
      <c r="V3635" s="1"/>
      <c r="W3635" s="1"/>
      <c r="X3635" s="1"/>
      <c r="Y3635" s="1"/>
      <c r="Z3635" s="1"/>
      <c r="AA3635" s="1"/>
      <c r="AB3635" s="1"/>
      <c r="AC3635" s="1"/>
      <c r="AD3635" s="1"/>
      <c r="AE3635" s="1"/>
      <c r="AF3635" s="1"/>
      <c r="AG3635" s="1"/>
      <c r="AH3635" s="1"/>
      <c r="AI3635" s="1"/>
      <c r="AJ3635" s="1"/>
      <c r="AK3635" s="1"/>
      <c r="AL3635" s="1"/>
      <c r="AM3635" s="1"/>
      <c r="AN3635" s="1"/>
      <c r="AO3635" s="1"/>
      <c r="AP3635" s="1"/>
      <c r="AQ3635" s="1"/>
      <c r="AR3635" s="1"/>
      <c r="AS3635" s="1"/>
      <c r="AT3635" s="1"/>
      <c r="AU3635" s="1"/>
      <c r="AV3635" s="1"/>
      <c r="AW3635" s="1"/>
      <c r="AX3635" s="1"/>
      <c r="AY3635" s="1"/>
      <c r="AZ3635" s="1"/>
      <c r="BA3635" s="1"/>
      <c r="BB3635" s="1"/>
    </row>
    <row r="3636" ht="204.75" customHeight="1">
      <c r="A3636" s="1">
        <v>1541.0</v>
      </c>
      <c r="B3636" s="2" t="s">
        <v>10933</v>
      </c>
      <c r="C3636" s="2">
        <f>IFERROR(__xludf.DUMMYFUNCTION("split(B3636,""_"")"),1610.0)</f>
        <v>1610</v>
      </c>
      <c r="D3636" s="2" t="str">
        <f>IFERROR(__xludf.DUMMYFUNCTION("""COMPUTED_VALUE"""),"NTV")</f>
        <v>NTV</v>
      </c>
      <c r="E3636" s="2" t="str">
        <f>IFERROR(__xludf.DUMMYFUNCTION("""COMPUTED_VALUE"""),"日22")</f>
        <v>日22</v>
      </c>
      <c r="F3636" s="2" t="s">
        <v>10934</v>
      </c>
      <c r="G3636" s="2" t="s">
        <v>10950</v>
      </c>
      <c r="H3636" s="1">
        <v>6.0</v>
      </c>
      <c r="I3636" s="1" t="s">
        <v>2888</v>
      </c>
      <c r="J3636" s="1" t="s">
        <v>82</v>
      </c>
      <c r="K3636" s="2" t="s">
        <v>10951</v>
      </c>
      <c r="L3636" s="10" t="s">
        <v>10952</v>
      </c>
      <c r="M3636" s="2" t="str">
        <f>IFERROR(__xludf.DUMMYFUNCTION("split(split(K3636,""【"",false),""ほか"",false)"),"沢村一樹、藤井流星、志田未来、福原遥、稲葉友、・　勝地涼　・　中村アン、稲森いずみ、大杉漣、")</f>
        <v>沢村一樹、藤井流星、志田未来、福原遥、稲葉友、・　勝地涼　・　中村アン、稲森いずみ、大杉漣、</v>
      </c>
      <c r="N3636" s="2" t="str">
        <f>IFERROR(__xludf.DUMMYFUNCTION("""COMPUTED_VALUE"""),"  ")</f>
        <v>  </v>
      </c>
      <c r="O3636" s="2"/>
      <c r="P3636" s="1"/>
      <c r="Q3636" s="1"/>
      <c r="R3636" s="1"/>
      <c r="S3636" s="1"/>
      <c r="T3636" s="1"/>
      <c r="U3636" s="1"/>
      <c r="V3636" s="1"/>
      <c r="W3636" s="1"/>
      <c r="X3636" s="1"/>
      <c r="Y3636" s="1"/>
      <c r="Z3636" s="1"/>
      <c r="AA3636" s="1"/>
      <c r="AB3636" s="1"/>
      <c r="AC3636" s="1"/>
      <c r="AD3636" s="1"/>
      <c r="AE3636" s="1"/>
      <c r="AF3636" s="1"/>
      <c r="AG3636" s="1"/>
      <c r="AH3636" s="1"/>
      <c r="AI3636" s="1"/>
      <c r="AJ3636" s="1"/>
      <c r="AK3636" s="1"/>
      <c r="AL3636" s="1"/>
      <c r="AM3636" s="1"/>
      <c r="AN3636" s="1"/>
      <c r="AO3636" s="1"/>
      <c r="AP3636" s="1"/>
      <c r="AQ3636" s="1"/>
      <c r="AR3636" s="1"/>
      <c r="AS3636" s="1"/>
      <c r="AT3636" s="1"/>
      <c r="AU3636" s="1"/>
      <c r="AV3636" s="1"/>
      <c r="AW3636" s="1"/>
      <c r="AX3636" s="1"/>
      <c r="AY3636" s="1"/>
      <c r="AZ3636" s="1"/>
      <c r="BA3636" s="1"/>
      <c r="BB3636" s="1"/>
    </row>
    <row r="3637" ht="204.75" customHeight="1">
      <c r="A3637" s="1">
        <v>1542.0</v>
      </c>
      <c r="B3637" s="2" t="s">
        <v>10933</v>
      </c>
      <c r="C3637" s="2">
        <f>IFERROR(__xludf.DUMMYFUNCTION("split(B3637,""_"")"),1610.0)</f>
        <v>1610</v>
      </c>
      <c r="D3637" s="2" t="str">
        <f>IFERROR(__xludf.DUMMYFUNCTION("""COMPUTED_VALUE"""),"NTV")</f>
        <v>NTV</v>
      </c>
      <c r="E3637" s="2" t="str">
        <f>IFERROR(__xludf.DUMMYFUNCTION("""COMPUTED_VALUE"""),"日22")</f>
        <v>日22</v>
      </c>
      <c r="F3637" s="2" t="s">
        <v>10934</v>
      </c>
      <c r="G3637" s="2" t="s">
        <v>10953</v>
      </c>
      <c r="H3637" s="1">
        <v>7.0</v>
      </c>
      <c r="I3637" s="1" t="s">
        <v>2892</v>
      </c>
      <c r="J3637" s="1" t="s">
        <v>82</v>
      </c>
      <c r="K3637" s="2" t="s">
        <v>10954</v>
      </c>
      <c r="L3637" s="10" t="s">
        <v>10955</v>
      </c>
      <c r="M3637" s="2" t="str">
        <f>IFERROR(__xludf.DUMMYFUNCTION("split(split(K3637,""【"",false),""ほか"",false)"),"沢村一樹、藤井流星、志田未来、福原遥、稲葉友、・　勝地涼　・　中村アン、稲森いずみ、大杉漣　")</f>
        <v>沢村一樹、藤井流星、志田未来、福原遥、稲葉友、・　勝地涼　・　中村アン、稲森いずみ、大杉漣　</v>
      </c>
      <c r="N3637" s="2" t="str">
        <f>IFERROR(__xludf.DUMMYFUNCTION("""COMPUTED_VALUE"""),"  ")</f>
        <v>  </v>
      </c>
      <c r="O3637" s="2"/>
      <c r="P3637" s="1"/>
      <c r="Q3637" s="1"/>
      <c r="R3637" s="1"/>
      <c r="S3637" s="1"/>
      <c r="T3637" s="1"/>
      <c r="U3637" s="1"/>
      <c r="V3637" s="1"/>
      <c r="W3637" s="1"/>
      <c r="X3637" s="1"/>
      <c r="Y3637" s="1"/>
      <c r="Z3637" s="1"/>
      <c r="AA3637" s="1"/>
      <c r="AB3637" s="1"/>
      <c r="AC3637" s="1"/>
      <c r="AD3637" s="1"/>
      <c r="AE3637" s="1"/>
      <c r="AF3637" s="1"/>
      <c r="AG3637" s="1"/>
      <c r="AH3637" s="1"/>
      <c r="AI3637" s="1"/>
      <c r="AJ3637" s="1"/>
      <c r="AK3637" s="1"/>
      <c r="AL3637" s="1"/>
      <c r="AM3637" s="1"/>
      <c r="AN3637" s="1"/>
      <c r="AO3637" s="1"/>
      <c r="AP3637" s="1"/>
      <c r="AQ3637" s="1"/>
      <c r="AR3637" s="1"/>
      <c r="AS3637" s="1"/>
      <c r="AT3637" s="1"/>
      <c r="AU3637" s="1"/>
      <c r="AV3637" s="1"/>
      <c r="AW3637" s="1"/>
      <c r="AX3637" s="1"/>
      <c r="AY3637" s="1"/>
      <c r="AZ3637" s="1"/>
      <c r="BA3637" s="1"/>
      <c r="BB3637" s="1"/>
    </row>
    <row r="3638" ht="204.75" customHeight="1">
      <c r="A3638" s="1">
        <v>1543.0</v>
      </c>
      <c r="B3638" s="2" t="s">
        <v>10933</v>
      </c>
      <c r="C3638" s="2">
        <f>IFERROR(__xludf.DUMMYFUNCTION("split(B3638,""_"")"),1610.0)</f>
        <v>1610</v>
      </c>
      <c r="D3638" s="2" t="str">
        <f>IFERROR(__xludf.DUMMYFUNCTION("""COMPUTED_VALUE"""),"NTV")</f>
        <v>NTV</v>
      </c>
      <c r="E3638" s="2" t="str">
        <f>IFERROR(__xludf.DUMMYFUNCTION("""COMPUTED_VALUE"""),"日22")</f>
        <v>日22</v>
      </c>
      <c r="F3638" s="2" t="s">
        <v>10934</v>
      </c>
      <c r="G3638" s="2" t="s">
        <v>10956</v>
      </c>
      <c r="H3638" s="1">
        <v>8.0</v>
      </c>
      <c r="I3638" s="1" t="s">
        <v>2896</v>
      </c>
      <c r="J3638" s="1" t="s">
        <v>82</v>
      </c>
      <c r="K3638" s="2" t="s">
        <v>10957</v>
      </c>
      <c r="L3638" s="11" t="s">
        <v>10958</v>
      </c>
      <c r="M3638" s="2" t="str">
        <f>IFERROR(__xludf.DUMMYFUNCTION("split(split(K3638,""【"",false),""ほか"",false)"),"沢村一樹、藤井流星、志田未来、福原遥、稲葉友、・　勝地涼　・　中村アン、稲森いずみ、大杉漣　")</f>
        <v>沢村一樹、藤井流星、志田未来、福原遥、稲葉友、・　勝地涼　・　中村アン、稲森いずみ、大杉漣　</v>
      </c>
      <c r="N3638" s="2" t="str">
        <f>IFERROR(__xludf.DUMMYFUNCTION("""COMPUTED_VALUE"""),"ついに離婚の話を切り出された明辺(沢村一樹)。空元気で自分を保つ父をヨソにコッソリとレンタル救世主に依頼に来たのは明辺の娘。娘は親に仲直りして欲しいと願う。レンタル救世主が考える仲直りの方法とは…。さらに、レンタル救世主には零子(志田未来)の兄、千太郎(小出恵介)が現れ、なんとレンタル救世主の買収計画を持ち出す。それを跳ね返す救世主たち。しかし、物語は衝撃展開をむかえ…。")</f>
        <v>ついに離婚の話を切り出された明辺(沢村一樹)。空元気で自分を保つ父をヨソにコッソリとレンタル救世主に依頼に来たのは明辺の娘。娘は親に仲直りして欲しいと願う。レンタル救世主が考える仲直りの方法とは…。さらに、レンタル救世主には零子(志田未来)の兄、千太郎(小出恵介)が現れ、なんとレンタル救世主の買収計画を持ち出す。それを跳ね返す救世主たち。しかし、物語は衝撃展開をむかえ…。</v>
      </c>
      <c r="O3638" s="2"/>
      <c r="P3638" s="1"/>
      <c r="Q3638" s="1"/>
      <c r="R3638" s="1"/>
      <c r="S3638" s="1"/>
      <c r="T3638" s="1"/>
      <c r="U3638" s="1"/>
      <c r="V3638" s="1"/>
      <c r="W3638" s="1"/>
      <c r="X3638" s="1"/>
      <c r="Y3638" s="1"/>
      <c r="Z3638" s="1"/>
      <c r="AA3638" s="1"/>
      <c r="AB3638" s="1"/>
      <c r="AC3638" s="1"/>
      <c r="AD3638" s="1"/>
      <c r="AE3638" s="1"/>
      <c r="AF3638" s="1"/>
      <c r="AG3638" s="1"/>
      <c r="AH3638" s="1"/>
      <c r="AI3638" s="1"/>
      <c r="AJ3638" s="1"/>
      <c r="AK3638" s="1"/>
      <c r="AL3638" s="1"/>
      <c r="AM3638" s="1"/>
      <c r="AN3638" s="1"/>
      <c r="AO3638" s="1"/>
      <c r="AP3638" s="1"/>
      <c r="AQ3638" s="1"/>
      <c r="AR3638" s="1"/>
      <c r="AS3638" s="1"/>
      <c r="AT3638" s="1"/>
      <c r="AU3638" s="1"/>
      <c r="AV3638" s="1"/>
      <c r="AW3638" s="1"/>
      <c r="AX3638" s="1"/>
      <c r="AY3638" s="1"/>
      <c r="AZ3638" s="1"/>
      <c r="BA3638" s="1"/>
      <c r="BB3638" s="1"/>
    </row>
    <row r="3639" ht="204.75" customHeight="1">
      <c r="A3639" s="1">
        <v>1544.0</v>
      </c>
      <c r="B3639" s="2" t="s">
        <v>10933</v>
      </c>
      <c r="C3639" s="2">
        <f>IFERROR(__xludf.DUMMYFUNCTION("split(B3639,""_"")"),1610.0)</f>
        <v>1610</v>
      </c>
      <c r="D3639" s="2" t="str">
        <f>IFERROR(__xludf.DUMMYFUNCTION("""COMPUTED_VALUE"""),"NTV")</f>
        <v>NTV</v>
      </c>
      <c r="E3639" s="2" t="str">
        <f>IFERROR(__xludf.DUMMYFUNCTION("""COMPUTED_VALUE"""),"日22")</f>
        <v>日22</v>
      </c>
      <c r="F3639" s="2" t="s">
        <v>10934</v>
      </c>
      <c r="G3639" s="2" t="s">
        <v>10959</v>
      </c>
      <c r="H3639" s="1">
        <v>9.0</v>
      </c>
      <c r="I3639" s="1" t="s">
        <v>2900</v>
      </c>
      <c r="J3639" s="1" t="s">
        <v>82</v>
      </c>
      <c r="K3639" s="2" t="s">
        <v>10960</v>
      </c>
      <c r="L3639" s="11" t="s">
        <v>10961</v>
      </c>
      <c r="M3639" s="2" t="str">
        <f>IFERROR(__xludf.DUMMYFUNCTION("split(split(K3639,""【"",false),""ほか"",false)"),"沢村一樹、藤井流星、志田未来、福原遥、稲葉友、梶原善、・　勝地涼　・　中村アン、小出恵介、稲森いずみ、大杉漣　")</f>
        <v>沢村一樹、藤井流星、志田未来、福原遥、稲葉友、梶原善、・　勝地涼　・　中村アン、小出恵介、稲森いずみ、大杉漣　</v>
      </c>
      <c r="N3639" s="2" t="str">
        <f>IFERROR(__xludf.DUMMYFUNCTION("""COMPUTED_VALUE"""),"まさかの逮捕劇で英雄から一転、人々から指をさされることになったレンタル救世主。彼らは千太郎(小出恵介)と黒宇(大杉漣)の計画に利用され、そして捨てられてしまったのだった…。零子(志田未来)は兄である千太郎に皆の釈放を懇願。自分が兄の代わりに会社を引き継ぐことを条件に、黒宇にも全員への説明を求める。そして相対するレンタル救世主と裏切りの黒宇。レンタル救世主の全てが明かされる夜…。")</f>
        <v>まさかの逮捕劇で英雄から一転、人々から指をさされることになったレンタル救世主。彼らは千太郎(小出恵介)と黒宇(大杉漣)の計画に利用され、そして捨てられてしまったのだった…。零子(志田未来)は兄である千太郎に皆の釈放を懇願。自分が兄の代わりに会社を引き継ぐことを条件に、黒宇にも全員への説明を求める。そして相対するレンタル救世主と裏切りの黒宇。レンタル救世主の全てが明かされる夜…。</v>
      </c>
      <c r="O3639" s="2"/>
      <c r="P3639" s="1"/>
      <c r="Q3639" s="1"/>
      <c r="R3639" s="1"/>
      <c r="S3639" s="1"/>
      <c r="T3639" s="1"/>
      <c r="U3639" s="1"/>
      <c r="V3639" s="1"/>
      <c r="W3639" s="1"/>
      <c r="X3639" s="1"/>
      <c r="Y3639" s="1"/>
      <c r="Z3639" s="1"/>
      <c r="AA3639" s="1"/>
      <c r="AB3639" s="1"/>
      <c r="AC3639" s="1"/>
      <c r="AD3639" s="1"/>
      <c r="AE3639" s="1"/>
      <c r="AF3639" s="1"/>
      <c r="AG3639" s="1"/>
      <c r="AH3639" s="1"/>
      <c r="AI3639" s="1"/>
      <c r="AJ3639" s="1"/>
      <c r="AK3639" s="1"/>
      <c r="AL3639" s="1"/>
      <c r="AM3639" s="1"/>
      <c r="AN3639" s="1"/>
      <c r="AO3639" s="1"/>
      <c r="AP3639" s="1"/>
      <c r="AQ3639" s="1"/>
      <c r="AR3639" s="1"/>
      <c r="AS3639" s="1"/>
      <c r="AT3639" s="1"/>
      <c r="AU3639" s="1"/>
      <c r="AV3639" s="1"/>
      <c r="AW3639" s="1"/>
      <c r="AX3639" s="1"/>
      <c r="AY3639" s="1"/>
      <c r="AZ3639" s="1"/>
      <c r="BA3639" s="1"/>
      <c r="BB3639" s="1"/>
    </row>
    <row r="3640" ht="204.75" customHeight="1">
      <c r="A3640" s="1">
        <v>1545.0</v>
      </c>
      <c r="B3640" s="2" t="s">
        <v>10933</v>
      </c>
      <c r="C3640" s="2">
        <f>IFERROR(__xludf.DUMMYFUNCTION("split(B3640,""_"")"),1610.0)</f>
        <v>1610</v>
      </c>
      <c r="D3640" s="2" t="str">
        <f>IFERROR(__xludf.DUMMYFUNCTION("""COMPUTED_VALUE"""),"NTV")</f>
        <v>NTV</v>
      </c>
      <c r="E3640" s="2" t="str">
        <f>IFERROR(__xludf.DUMMYFUNCTION("""COMPUTED_VALUE"""),"日22")</f>
        <v>日22</v>
      </c>
      <c r="F3640" s="2" t="s">
        <v>10934</v>
      </c>
      <c r="G3640" s="2" t="s">
        <v>10962</v>
      </c>
      <c r="H3640" s="1">
        <v>10.0</v>
      </c>
      <c r="I3640" s="1" t="s">
        <v>37</v>
      </c>
      <c r="J3640" s="1" t="s">
        <v>82</v>
      </c>
      <c r="K3640" s="2" t="s">
        <v>10963</v>
      </c>
      <c r="L3640" s="11" t="s">
        <v>10964</v>
      </c>
      <c r="M3640" s="2" t="str">
        <f>IFERROR(__xludf.DUMMYFUNCTION("split(split(K3640,""【"",false),""ほか"",false)"),"沢村一樹、藤井流星、志田未来、福原遥、稲葉友、・　勝地涼　・　中村アン、小出恵介、稲森いずみ、大杉漣　")</f>
        <v>沢村一樹、藤井流星、志田未来、福原遥、稲葉友、・　勝地涼　・　中村アン、小出恵介、稲森いずみ、大杉漣　</v>
      </c>
      <c r="N3640" s="2" t="str">
        <f>IFERROR(__xludf.DUMMYFUNCTION("""COMPUTED_VALUE"""),"ついに最終回!予想を超えた結末が待つ!変わりつつあるこの街を救うのは誰!?余命を伝えられた明辺(沢村一樹)が最後に残すモノとは…。人々の心根、何気なく過ごす日々、全てに光を照らすべく、この物語の全てが分かる最終回!是非、お見逃しなく!")</f>
        <v>ついに最終回!予想を超えた結末が待つ!変わりつつあるこの街を救うのは誰!?余命を伝えられた明辺(沢村一樹)が最後に残すモノとは…。人々の心根、何気なく過ごす日々、全てに光を照らすべく、この物語の全てが分かる最終回!是非、お見逃しなく!</v>
      </c>
      <c r="O3640" s="2"/>
      <c r="P3640" s="1"/>
      <c r="Q3640" s="1"/>
      <c r="R3640" s="1"/>
      <c r="S3640" s="1"/>
      <c r="T3640" s="1"/>
      <c r="U3640" s="1"/>
      <c r="V3640" s="1"/>
      <c r="W3640" s="1"/>
      <c r="X3640" s="1"/>
      <c r="Y3640" s="1"/>
      <c r="Z3640" s="1"/>
      <c r="AA3640" s="1"/>
      <c r="AB3640" s="1"/>
      <c r="AC3640" s="1"/>
      <c r="AD3640" s="1"/>
      <c r="AE3640" s="1"/>
      <c r="AF3640" s="1"/>
      <c r="AG3640" s="1"/>
      <c r="AH3640" s="1"/>
      <c r="AI3640" s="1"/>
      <c r="AJ3640" s="1"/>
      <c r="AK3640" s="1"/>
      <c r="AL3640" s="1"/>
      <c r="AM3640" s="1"/>
      <c r="AN3640" s="1"/>
      <c r="AO3640" s="1"/>
      <c r="AP3640" s="1"/>
      <c r="AQ3640" s="1"/>
      <c r="AR3640" s="1"/>
      <c r="AS3640" s="1"/>
      <c r="AT3640" s="1"/>
      <c r="AU3640" s="1"/>
      <c r="AV3640" s="1"/>
      <c r="AW3640" s="1"/>
      <c r="AX3640" s="1"/>
      <c r="AY3640" s="1"/>
      <c r="AZ3640" s="1"/>
      <c r="BA3640" s="1"/>
      <c r="BB3640" s="1"/>
    </row>
    <row r="3641" ht="204.75" customHeight="1">
      <c r="A3641" s="1">
        <v>1575.0</v>
      </c>
      <c r="B3641" s="2" t="s">
        <v>10965</v>
      </c>
      <c r="C3641" s="2">
        <f>IFERROR(__xludf.DUMMYFUNCTION("split(B3641,""_"")"),1607.0)</f>
        <v>1607</v>
      </c>
      <c r="D3641" s="2" t="str">
        <f>IFERROR(__xludf.DUMMYFUNCTION("""COMPUTED_VALUE"""),"NTV")</f>
        <v>NTV</v>
      </c>
      <c r="E3641" s="2" t="str">
        <f>IFERROR(__xludf.DUMMYFUNCTION("""COMPUTED_VALUE"""),"水22")</f>
        <v>水22</v>
      </c>
      <c r="F3641" s="2" t="s">
        <v>10966</v>
      </c>
      <c r="G3641" s="2" t="s">
        <v>10967</v>
      </c>
      <c r="H3641" s="1">
        <v>1.0</v>
      </c>
      <c r="J3641" s="1" t="s">
        <v>82</v>
      </c>
      <c r="K3641" s="2" t="s">
        <v>10968</v>
      </c>
      <c r="L3641" s="10" t="s">
        <v>10969</v>
      </c>
      <c r="M3641" s="2" t="str">
        <f>IFERROR(__xludf.DUMMYFUNCTION("split(split(K3641,""【演出"",false),""ゲスト"",false)"),"【出演者】北川景子、工藤阿須加、千葉雄大、イモトアヤコ、  鈴木裕樹、新木優子、本多力、  臼田あさ美/梶原善、仲村トオル、  【")</f>
        <v>【出演者】北川景子、工藤阿須加、千葉雄大、イモトアヤコ、  鈴木裕樹、新木優子、本多力、  臼田あさ美/梶原善、仲村トオル、  【</v>
      </c>
      <c r="N3641" s="2" t="str">
        <f>IFERROR(__xludf.DUMMYFUNCTION("""COMPUTED_VALUE"""),"】りょう中堅不動産会社・テーコー不動産。売り上げの伸び悩む営業所に、天才的不動産屋・三軒家万智(北川景子)が異動してくる。着任早々、成績の悪い課員をしごきあげると客を横取り!なかなか買わなかった客に鮮やかなテクニックで家を売る。コンプライアンスを気にする課長の屋代(仲村トオル)と対立しながら、さらに若手の庭野(工藤阿須加)の客に目をつけた万智。希望の家を見つけられない一家に万智が提案する最高の家とは…!?")</f>
        <v>】りょう中堅不動産会社・テーコー不動産。売り上げの伸び悩む営業所に、天才的不動産屋・三軒家万智(北川景子)が異動してくる。着任早々、成績の悪い課員をしごきあげると客を横取り!なかなか買わなかった客に鮮やかなテクニックで家を売る。コンプライアンスを気にする課長の屋代(仲村トオル)と対立しながら、さらに若手の庭野(工藤阿須加)の客に目をつけた万智。希望の家を見つけられない一家に万智が提案する最高の家とは…!?</v>
      </c>
      <c r="O3641" s="2"/>
      <c r="P3641" s="1"/>
      <c r="Q3641" s="1"/>
      <c r="R3641" s="1"/>
      <c r="S3641" s="1"/>
      <c r="T3641" s="1"/>
      <c r="U3641" s="1"/>
      <c r="V3641" s="1"/>
      <c r="W3641" s="1"/>
      <c r="X3641" s="1"/>
      <c r="Y3641" s="1"/>
      <c r="Z3641" s="1"/>
      <c r="AA3641" s="1"/>
      <c r="AB3641" s="1"/>
      <c r="AC3641" s="1"/>
      <c r="AD3641" s="1"/>
      <c r="AE3641" s="1"/>
      <c r="AF3641" s="1"/>
      <c r="AG3641" s="1"/>
      <c r="AH3641" s="1"/>
      <c r="AI3641" s="1"/>
      <c r="AJ3641" s="1"/>
      <c r="AK3641" s="1"/>
      <c r="AL3641" s="1"/>
      <c r="AM3641" s="1"/>
      <c r="AN3641" s="1"/>
      <c r="AO3641" s="1"/>
      <c r="AP3641" s="1"/>
      <c r="AQ3641" s="1"/>
      <c r="AR3641" s="1"/>
      <c r="AS3641" s="1"/>
      <c r="AT3641" s="1"/>
      <c r="AU3641" s="1"/>
      <c r="AV3641" s="1"/>
      <c r="AW3641" s="1"/>
      <c r="AX3641" s="1"/>
      <c r="AY3641" s="1"/>
      <c r="AZ3641" s="1"/>
      <c r="BA3641" s="1"/>
      <c r="BB3641" s="1"/>
    </row>
    <row r="3642" ht="204.75" customHeight="1">
      <c r="A3642" s="1">
        <v>1576.0</v>
      </c>
      <c r="B3642" s="2" t="s">
        <v>10965</v>
      </c>
      <c r="C3642" s="2">
        <f>IFERROR(__xludf.DUMMYFUNCTION("split(B3642,""_"")"),1607.0)</f>
        <v>1607</v>
      </c>
      <c r="D3642" s="2" t="str">
        <f>IFERROR(__xludf.DUMMYFUNCTION("""COMPUTED_VALUE"""),"NTV")</f>
        <v>NTV</v>
      </c>
      <c r="E3642" s="2" t="str">
        <f>IFERROR(__xludf.DUMMYFUNCTION("""COMPUTED_VALUE"""),"水22")</f>
        <v>水22</v>
      </c>
      <c r="F3642" s="2" t="s">
        <v>10966</v>
      </c>
      <c r="G3642" s="2" t="s">
        <v>10970</v>
      </c>
      <c r="H3642" s="1">
        <v>2.0</v>
      </c>
      <c r="I3642" s="1" t="s">
        <v>2872</v>
      </c>
      <c r="J3642" s="1" t="s">
        <v>82</v>
      </c>
      <c r="K3642" s="2" t="s">
        <v>10971</v>
      </c>
      <c r="L3642" s="10" t="s">
        <v>10972</v>
      </c>
      <c r="M3642" s="2" t="str">
        <f>IFERROR(__xludf.DUMMYFUNCTION("split(split(K3642,""【演出"",false),""ゲスト"",false)"),"【出演者】北川景子、工藤阿須加、千葉雄大、イモトアヤコ、  鈴木裕樹、新木優子、本多力、  臼田あさ美/梶原善　、仲村トオル  【")</f>
        <v>【出演者】北川景子、工藤阿須加、千葉雄大、イモトアヤコ、  鈴木裕樹、新木優子、本多力、  臼田あさ美/梶原善　、仲村トオル  【</v>
      </c>
      <c r="N3642" s="2" t="str">
        <f>IFERROR(__xludf.DUMMYFUNCTION("""COMPUTED_VALUE"""),"】ビビる大木　木野花60代の城ヶ崎夫婦の住み替えを担当した庭野(工藤阿須加)。査定のため家を訪ねると、無人のはずの2階から物音がしたり、開かずの間があったりと不審な点が…。一方、万智(北川景子)はダメ社員・美加(イモトアヤコ)への接し方で屋代(仲村トオル)と対立。さらに城ヶ崎家を訪れた万智は、夫妻に本当に2人暮らしかと迫り、突然「火事だ!」と暴れる。騒ぎの中、2階から降りてきたのはなんと中年のひきこもり息子で…!!")</f>
        <v>】ビビる大木　木野花60代の城ヶ崎夫婦の住み替えを担当した庭野(工藤阿須加)。査定のため家を訪ねると、無人のはずの2階から物音がしたり、開かずの間があったりと不審な点が…。一方、万智(北川景子)はダメ社員・美加(イモトアヤコ)への接し方で屋代(仲村トオル)と対立。さらに城ヶ崎家を訪れた万智は、夫妻に本当に2人暮らしかと迫り、突然「火事だ!」と暴れる。騒ぎの中、2階から降りてきたのはなんと中年のひきこもり息子で…!!</v>
      </c>
      <c r="O3642" s="2"/>
      <c r="P3642" s="1"/>
      <c r="Q3642" s="1"/>
      <c r="R3642" s="1"/>
      <c r="S3642" s="1"/>
      <c r="T3642" s="1"/>
      <c r="U3642" s="1"/>
      <c r="V3642" s="1"/>
      <c r="W3642" s="1"/>
      <c r="X3642" s="1"/>
      <c r="Y3642" s="1"/>
      <c r="Z3642" s="1"/>
      <c r="AA3642" s="1"/>
      <c r="AB3642" s="1"/>
      <c r="AC3642" s="1"/>
      <c r="AD3642" s="1"/>
      <c r="AE3642" s="1"/>
      <c r="AF3642" s="1"/>
      <c r="AG3642" s="1"/>
      <c r="AH3642" s="1"/>
      <c r="AI3642" s="1"/>
      <c r="AJ3642" s="1"/>
      <c r="AK3642" s="1"/>
      <c r="AL3642" s="1"/>
      <c r="AM3642" s="1"/>
      <c r="AN3642" s="1"/>
      <c r="AO3642" s="1"/>
      <c r="AP3642" s="1"/>
      <c r="AQ3642" s="1"/>
      <c r="AR3642" s="1"/>
      <c r="AS3642" s="1"/>
      <c r="AT3642" s="1"/>
      <c r="AU3642" s="1"/>
      <c r="AV3642" s="1"/>
      <c r="AW3642" s="1"/>
      <c r="AX3642" s="1"/>
      <c r="AY3642" s="1"/>
      <c r="AZ3642" s="1"/>
      <c r="BA3642" s="1"/>
      <c r="BB3642" s="1"/>
    </row>
    <row r="3643" ht="204.75" customHeight="1">
      <c r="A3643" s="1">
        <v>1577.0</v>
      </c>
      <c r="B3643" s="2" t="s">
        <v>10965</v>
      </c>
      <c r="C3643" s="2">
        <f>IFERROR(__xludf.DUMMYFUNCTION("split(B3643,""_"")"),1607.0)</f>
        <v>1607</v>
      </c>
      <c r="D3643" s="2" t="str">
        <f>IFERROR(__xludf.DUMMYFUNCTION("""COMPUTED_VALUE"""),"NTV")</f>
        <v>NTV</v>
      </c>
      <c r="E3643" s="2" t="str">
        <f>IFERROR(__xludf.DUMMYFUNCTION("""COMPUTED_VALUE"""),"水22")</f>
        <v>水22</v>
      </c>
      <c r="F3643" s="2" t="s">
        <v>10966</v>
      </c>
      <c r="G3643" s="2" t="s">
        <v>10973</v>
      </c>
      <c r="H3643" s="1">
        <v>3.0</v>
      </c>
      <c r="J3643" s="1" t="s">
        <v>82</v>
      </c>
      <c r="K3643" s="2" t="s">
        <v>10974</v>
      </c>
      <c r="L3643" s="10" t="s">
        <v>10975</v>
      </c>
      <c r="M3643" s="2" t="str">
        <f>IFERROR(__xludf.DUMMYFUNCTION("split(split(K3643,""【演出"",false),""ゲスト"",false)"),"【出演者】北川景子、工藤阿須加、千葉雄大、イモトアヤコ、  鈴木裕樹、新木優子、本多力、  臼田あさ美/梶原善　、仲村トオル  【")</f>
        <v>【出演者】北川景子、工藤阿須加、千葉雄大、イモトアヤコ、  鈴木裕樹、新木優子、本多力、  臼田あさ美/梶原善　、仲村トオル  【</v>
      </c>
      <c r="N3643" s="2" t="str">
        <f>IFERROR(__xludf.DUMMYFUNCTION("""COMPUTED_VALUE"""),"】中野裕太、はいだしょうこ万智(北川景子)は家を売りたい女性・夏木桜(はいだしょうこ)を担当。しかし物を捨てられない桜の部屋はゴミ屋敷のような状態。万智はある作戦のもと、実家を売って小さなマンションに住み替えたいと言う保坂(中野裕太)に桜の部屋を薦める。実は保坂は物を持つことを嫌う極度のミニマリスト。そして内見で顔を合わせた2人が元恋人だと発覚!万智は価値観が違い別れた2人が「再びくっついて自分から家を買う」と予言する…。")</f>
        <v>】中野裕太、はいだしょうこ万智(北川景子)は家を売りたい女性・夏木桜(はいだしょうこ)を担当。しかし物を捨てられない桜の部屋はゴミ屋敷のような状態。万智はある作戦のもと、実家を売って小さなマンションに住み替えたいと言う保坂(中野裕太)に桜の部屋を薦める。実は保坂は物を持つことを嫌う極度のミニマリスト。そして内見で顔を合わせた2人が元恋人だと発覚!万智は価値観が違い別れた2人が「再びくっついて自分から家を買う」と予言する…。</v>
      </c>
      <c r="O3643" s="2"/>
      <c r="P3643" s="1"/>
      <c r="Q3643" s="1"/>
      <c r="R3643" s="1"/>
      <c r="S3643" s="1"/>
      <c r="T3643" s="1"/>
      <c r="U3643" s="1"/>
      <c r="V3643" s="1"/>
      <c r="W3643" s="1"/>
      <c r="X3643" s="1"/>
      <c r="Y3643" s="1"/>
      <c r="Z3643" s="1"/>
      <c r="AA3643" s="1"/>
      <c r="AB3643" s="1"/>
      <c r="AC3643" s="1"/>
      <c r="AD3643" s="1"/>
      <c r="AE3643" s="1"/>
      <c r="AF3643" s="1"/>
      <c r="AG3643" s="1"/>
      <c r="AH3643" s="1"/>
      <c r="AI3643" s="1"/>
      <c r="AJ3643" s="1"/>
      <c r="AK3643" s="1"/>
      <c r="AL3643" s="1"/>
      <c r="AM3643" s="1"/>
      <c r="AN3643" s="1"/>
      <c r="AO3643" s="1"/>
      <c r="AP3643" s="1"/>
      <c r="AQ3643" s="1"/>
      <c r="AR3643" s="1"/>
      <c r="AS3643" s="1"/>
      <c r="AT3643" s="1"/>
      <c r="AU3643" s="1"/>
      <c r="AV3643" s="1"/>
      <c r="AW3643" s="1"/>
      <c r="AX3643" s="1"/>
      <c r="AY3643" s="1"/>
      <c r="AZ3643" s="1"/>
      <c r="BA3643" s="1"/>
      <c r="BB3643" s="1"/>
    </row>
    <row r="3644" ht="204.75" customHeight="1">
      <c r="A3644" s="1">
        <v>1578.0</v>
      </c>
      <c r="B3644" s="2" t="s">
        <v>10965</v>
      </c>
      <c r="C3644" s="2">
        <f>IFERROR(__xludf.DUMMYFUNCTION("split(B3644,""_"")"),1607.0)</f>
        <v>1607</v>
      </c>
      <c r="D3644" s="2" t="str">
        <f>IFERROR(__xludf.DUMMYFUNCTION("""COMPUTED_VALUE"""),"NTV")</f>
        <v>NTV</v>
      </c>
      <c r="E3644" s="2" t="str">
        <f>IFERROR(__xludf.DUMMYFUNCTION("""COMPUTED_VALUE"""),"水22")</f>
        <v>水22</v>
      </c>
      <c r="F3644" s="2" t="s">
        <v>10966</v>
      </c>
      <c r="G3644" s="2" t="s">
        <v>10976</v>
      </c>
      <c r="H3644" s="1">
        <v>4.0</v>
      </c>
      <c r="I3644" s="1" t="s">
        <v>2880</v>
      </c>
      <c r="J3644" s="1" t="s">
        <v>82</v>
      </c>
      <c r="K3644" s="2" t="s">
        <v>10977</v>
      </c>
      <c r="L3644" s="10" t="s">
        <v>10978</v>
      </c>
      <c r="M3644" s="2" t="str">
        <f>IFERROR(__xludf.DUMMYFUNCTION("split(split(K3644,""【演出"",false),""ゲスト"",false)"),"【出演者】北川景子、工藤阿須加、千葉雄大、イモトアヤコ、  鈴木裕樹、新木優子、本多力、  臼田あさ美/梶原善　、仲村トオル  【")</f>
        <v>【出演者】北川景子、工藤阿須加、千葉雄大、イモトアヤコ、  鈴木裕樹、新木優子、本多力、  臼田あさ美/梶原善　、仲村トオル  【</v>
      </c>
      <c r="N3644" s="2" t="str">
        <f>IFERROR(__xludf.DUMMYFUNCTION("""COMPUTED_VALUE"""),"】かとうかず子　渡辺哲屋代(仲村トオル)はカリスマ料理研究家の峰乃(かとうかず子)に高級マンションへの住み替えを提案。代わりに婚活料理教室に参加してほしいと頼まれる。意外にも婚活に前向きな万智(北川景子)が同行するが、婚活は惨敗。一方、美加(イモトアヤコ)は想いを寄せる足立(千葉雄大)と酒を飲み泥酔。放置された公園でホームレス風の男・富田(渡辺哲)と意気投合する。そんな中、峰乃が莫大な借金を抱えていることが発覚し…。")</f>
        <v>】かとうかず子　渡辺哲屋代(仲村トオル)はカリスマ料理研究家の峰乃(かとうかず子)に高級マンションへの住み替えを提案。代わりに婚活料理教室に参加してほしいと頼まれる。意外にも婚活に前向きな万智(北川景子)が同行するが、婚活は惨敗。一方、美加(イモトアヤコ)は想いを寄せる足立(千葉雄大)と酒を飲み泥酔。放置された公園でホームレス風の男・富田(渡辺哲)と意気投合する。そんな中、峰乃が莫大な借金を抱えていることが発覚し…。</v>
      </c>
      <c r="O3644" s="2"/>
      <c r="P3644" s="1"/>
      <c r="Q3644" s="1"/>
      <c r="R3644" s="1"/>
      <c r="S3644" s="1"/>
      <c r="T3644" s="1"/>
      <c r="U3644" s="1"/>
      <c r="V3644" s="1"/>
      <c r="W3644" s="1"/>
      <c r="X3644" s="1"/>
      <c r="Y3644" s="1"/>
      <c r="Z3644" s="1"/>
      <c r="AA3644" s="1"/>
      <c r="AB3644" s="1"/>
      <c r="AC3644" s="1"/>
      <c r="AD3644" s="1"/>
      <c r="AE3644" s="1"/>
      <c r="AF3644" s="1"/>
      <c r="AG3644" s="1"/>
      <c r="AH3644" s="1"/>
      <c r="AI3644" s="1"/>
      <c r="AJ3644" s="1"/>
      <c r="AK3644" s="1"/>
      <c r="AL3644" s="1"/>
      <c r="AM3644" s="1"/>
      <c r="AN3644" s="1"/>
      <c r="AO3644" s="1"/>
      <c r="AP3644" s="1"/>
      <c r="AQ3644" s="1"/>
      <c r="AR3644" s="1"/>
      <c r="AS3644" s="1"/>
      <c r="AT3644" s="1"/>
      <c r="AU3644" s="1"/>
      <c r="AV3644" s="1"/>
      <c r="AW3644" s="1"/>
      <c r="AX3644" s="1"/>
      <c r="AY3644" s="1"/>
      <c r="AZ3644" s="1"/>
      <c r="BA3644" s="1"/>
      <c r="BB3644" s="1"/>
    </row>
    <row r="3645" ht="204.75" customHeight="1">
      <c r="A3645" s="1">
        <v>1579.0</v>
      </c>
      <c r="B3645" s="2" t="s">
        <v>10965</v>
      </c>
      <c r="C3645" s="2">
        <f>IFERROR(__xludf.DUMMYFUNCTION("split(B3645,""_"")"),1607.0)</f>
        <v>1607</v>
      </c>
      <c r="D3645" s="2" t="str">
        <f>IFERROR(__xludf.DUMMYFUNCTION("""COMPUTED_VALUE"""),"NTV")</f>
        <v>NTV</v>
      </c>
      <c r="E3645" s="2" t="str">
        <f>IFERROR(__xludf.DUMMYFUNCTION("""COMPUTED_VALUE"""),"水22")</f>
        <v>水22</v>
      </c>
      <c r="F3645" s="2" t="s">
        <v>10966</v>
      </c>
      <c r="G3645" s="2" t="s">
        <v>10979</v>
      </c>
      <c r="H3645" s="1">
        <v>5.0</v>
      </c>
      <c r="J3645" s="1" t="s">
        <v>82</v>
      </c>
      <c r="K3645" s="2" t="s">
        <v>10980</v>
      </c>
      <c r="L3645" s="10" t="s">
        <v>10981</v>
      </c>
      <c r="M3645" s="2" t="str">
        <f>IFERROR(__xludf.DUMMYFUNCTION("split(split(K3645,""【演出"",false),""ゲスト"",false)"),"【出演者】北川景子、工藤阿須加、千葉雄大、イモトアヤコ、  鈴木裕樹、新木優子、本多力、  臼田あさ美/梶原善　、仲村トオル  【")</f>
        <v>【出演者】北川景子、工藤阿須加、千葉雄大、イモトアヤコ、  鈴木裕樹、新木優子、本多力、  臼田あさ美/梶原善　、仲村トオル  【</v>
      </c>
      <c r="N3645" s="2" t="str">
        <f>IFERROR(__xludf.DUMMYFUNCTION("""COMPUTED_VALUE"""),"】ともさかりえ、山田真歩庭野(工藤阿須加)は勝気な独身フリージャーナリスト日向詩文(ともさかりえ)を担当。万智(北川景子)は地味な独身OL草壁歩子(山田真歩)を担当する。庭野は万智そっくりの強気な詩文に振り回され家探しが難航。ようやく気に入った部屋は万智の客・歩子が契約しようとしていた部屋だった。しかも2人は同じ会社に勤めている犬猿の仲。タイプの違う独身女が同じ部屋を巡って対立する!さらに庭野が万智の客を横取りして…")</f>
        <v>】ともさかりえ、山田真歩庭野(工藤阿須加)は勝気な独身フリージャーナリスト日向詩文(ともさかりえ)を担当。万智(北川景子)は地味な独身OL草壁歩子(山田真歩)を担当する。庭野は万智そっくりの強気な詩文に振り回され家探しが難航。ようやく気に入った部屋は万智の客・歩子が契約しようとしていた部屋だった。しかも2人は同じ会社に勤めている犬猿の仲。タイプの違う独身女が同じ部屋を巡って対立する!さらに庭野が万智の客を横取りして…</v>
      </c>
      <c r="O3645" s="2"/>
      <c r="P3645" s="1"/>
      <c r="Q3645" s="1"/>
      <c r="R3645" s="1"/>
      <c r="S3645" s="1"/>
      <c r="T3645" s="1"/>
      <c r="U3645" s="1"/>
      <c r="V3645" s="1"/>
      <c r="W3645" s="1"/>
      <c r="X3645" s="1"/>
      <c r="Y3645" s="1"/>
      <c r="Z3645" s="1"/>
      <c r="AA3645" s="1"/>
      <c r="AB3645" s="1"/>
      <c r="AC3645" s="1"/>
      <c r="AD3645" s="1"/>
      <c r="AE3645" s="1"/>
      <c r="AF3645" s="1"/>
      <c r="AG3645" s="1"/>
      <c r="AH3645" s="1"/>
      <c r="AI3645" s="1"/>
      <c r="AJ3645" s="1"/>
      <c r="AK3645" s="1"/>
      <c r="AL3645" s="1"/>
      <c r="AM3645" s="1"/>
      <c r="AN3645" s="1"/>
      <c r="AO3645" s="1"/>
      <c r="AP3645" s="1"/>
      <c r="AQ3645" s="1"/>
      <c r="AR3645" s="1"/>
      <c r="AS3645" s="1"/>
      <c r="AT3645" s="1"/>
      <c r="AU3645" s="1"/>
      <c r="AV3645" s="1"/>
      <c r="AW3645" s="1"/>
      <c r="AX3645" s="1"/>
      <c r="AY3645" s="1"/>
      <c r="AZ3645" s="1"/>
      <c r="BA3645" s="1"/>
      <c r="BB3645" s="1"/>
    </row>
    <row r="3646" ht="204.75" customHeight="1">
      <c r="A3646" s="1">
        <v>1580.0</v>
      </c>
      <c r="B3646" s="2" t="s">
        <v>10965</v>
      </c>
      <c r="C3646" s="2">
        <f>IFERROR(__xludf.DUMMYFUNCTION("split(B3646,""_"")"),1607.0)</f>
        <v>1607</v>
      </c>
      <c r="D3646" s="2" t="str">
        <f>IFERROR(__xludf.DUMMYFUNCTION("""COMPUTED_VALUE"""),"NTV")</f>
        <v>NTV</v>
      </c>
      <c r="E3646" s="2" t="str">
        <f>IFERROR(__xludf.DUMMYFUNCTION("""COMPUTED_VALUE"""),"水22")</f>
        <v>水22</v>
      </c>
      <c r="F3646" s="2" t="s">
        <v>10966</v>
      </c>
      <c r="G3646" s="2" t="s">
        <v>10982</v>
      </c>
      <c r="H3646" s="1">
        <v>6.0</v>
      </c>
      <c r="J3646" s="1" t="s">
        <v>82</v>
      </c>
      <c r="K3646" s="2" t="s">
        <v>10983</v>
      </c>
      <c r="L3646" s="10" t="s">
        <v>10984</v>
      </c>
      <c r="M3646" s="2" t="str">
        <f>IFERROR(__xludf.DUMMYFUNCTION("split(split(K3646,""【演出"",false),""ゲスト"",false)"),"【出演者】北川景子、工藤阿須加、千葉雄大、イモトアヤコ、  鈴木裕樹、新木優子、本多力、  臼田あさ美/梶原善　、仲村トオル  【")</f>
        <v>【出演者】北川景子、工藤阿須加、千葉雄大、イモトアヤコ、  鈴木裕樹、新木優子、本多力、  臼田あさ美/梶原善　、仲村トオル  【</v>
      </c>
      <c r="N3646" s="2" t="str">
        <f>IFERROR(__xludf.DUMMYFUNCTION("""COMPUTED_VALUE"""),"】東根作寿英、小野ゆり子、田中美奈子　ほかヘッドハンティングの話が舞い込み心が揺れる足立(千葉雄大)は、かつて家を売った客・宮澤(東根作寿英)から、愛人の礼央奈(小野ゆり子)のための家を探して欲しいと相談される。一方万智(北川景子)は買い手のつかない事故物件を担当。美加(イモトアヤコ)とともに泊まり込みで現地販売を企画する。気が引けながらも愛人の家探しをする足立のもとに宮澤の本妻・昌代(田中美奈子)が乗り込んできて、会社は修羅場に!")</f>
        <v>】東根作寿英、小野ゆり子、田中美奈子　ほかヘッドハンティングの話が舞い込み心が揺れる足立(千葉雄大)は、かつて家を売った客・宮澤(東根作寿英)から、愛人の礼央奈(小野ゆり子)のための家を探して欲しいと相談される。一方万智(北川景子)は買い手のつかない事故物件を担当。美加(イモトアヤコ)とともに泊まり込みで現地販売を企画する。気が引けながらも愛人の家探しをする足立のもとに宮澤の本妻・昌代(田中美奈子)が乗り込んできて、会社は修羅場に!</v>
      </c>
      <c r="O3646" s="2"/>
      <c r="P3646" s="1"/>
      <c r="Q3646" s="1"/>
      <c r="R3646" s="1"/>
      <c r="S3646" s="1"/>
      <c r="T3646" s="1"/>
      <c r="U3646" s="1"/>
      <c r="V3646" s="1"/>
      <c r="W3646" s="1"/>
      <c r="X3646" s="1"/>
      <c r="Y3646" s="1"/>
      <c r="Z3646" s="1"/>
      <c r="AA3646" s="1"/>
      <c r="AB3646" s="1"/>
      <c r="AC3646" s="1"/>
      <c r="AD3646" s="1"/>
      <c r="AE3646" s="1"/>
      <c r="AF3646" s="1"/>
      <c r="AG3646" s="1"/>
      <c r="AH3646" s="1"/>
      <c r="AI3646" s="1"/>
      <c r="AJ3646" s="1"/>
      <c r="AK3646" s="1"/>
      <c r="AL3646" s="1"/>
      <c r="AM3646" s="1"/>
      <c r="AN3646" s="1"/>
      <c r="AO3646" s="1"/>
      <c r="AP3646" s="1"/>
      <c r="AQ3646" s="1"/>
      <c r="AR3646" s="1"/>
      <c r="AS3646" s="1"/>
      <c r="AT3646" s="1"/>
      <c r="AU3646" s="1"/>
      <c r="AV3646" s="1"/>
      <c r="AW3646" s="1"/>
      <c r="AX3646" s="1"/>
      <c r="AY3646" s="1"/>
      <c r="AZ3646" s="1"/>
      <c r="BA3646" s="1"/>
      <c r="BB3646" s="1"/>
    </row>
    <row r="3647" ht="204.75" customHeight="1">
      <c r="A3647" s="1">
        <v>1581.0</v>
      </c>
      <c r="B3647" s="2" t="s">
        <v>10965</v>
      </c>
      <c r="C3647" s="2">
        <f>IFERROR(__xludf.DUMMYFUNCTION("split(B3647,""_"")"),1607.0)</f>
        <v>1607</v>
      </c>
      <c r="D3647" s="2" t="str">
        <f>IFERROR(__xludf.DUMMYFUNCTION("""COMPUTED_VALUE"""),"NTV")</f>
        <v>NTV</v>
      </c>
      <c r="E3647" s="2" t="str">
        <f>IFERROR(__xludf.DUMMYFUNCTION("""COMPUTED_VALUE"""),"水22")</f>
        <v>水22</v>
      </c>
      <c r="F3647" s="2" t="s">
        <v>10966</v>
      </c>
      <c r="G3647" s="2" t="s">
        <v>10985</v>
      </c>
      <c r="H3647" s="1">
        <v>7.0</v>
      </c>
      <c r="J3647" s="1" t="s">
        <v>82</v>
      </c>
      <c r="K3647" s="2" t="s">
        <v>10986</v>
      </c>
      <c r="L3647" s="10" t="s">
        <v>10987</v>
      </c>
      <c r="M3647" s="2" t="str">
        <f>IFERROR(__xludf.DUMMYFUNCTION("split(split(K3647,""【演出"",false),""ゲスト"",false)"),"【出演者】北川景子、工藤阿須加、千葉雄大、イモトアヤコ、  鈴木裕樹、新木優子、本多力、  臼田あさ美/梶原善　、仲村トオル  【")</f>
        <v>【出演者】北川景子、工藤阿須加、千葉雄大、イモトアヤコ、  鈴木裕樹、新木優子、本多力、  臼田あさ美/梶原善　、仲村トオル  【</v>
      </c>
      <c r="N3647" s="2" t="str">
        <f>IFERROR(__xludf.DUMMYFUNCTION("""COMPUTED_VALUE"""),"】原日出子　モロ師岡　櫻井淳子　ほか美加(イモトアヤコ)の母(原日出子)が職場に押しかけ、浮気した夫(モロ師岡)と離婚して家を売りたいと相談。両親の離婚を止めようとする美加だったが、万智(北川景子)が美加の実家を売ると宣言。老朽化の進んだ建物を壊し、更地にして売ると言う。美加は思い出の詰まった実家を取り壊しから守るため奔走する。一方、庭野(工藤阿須加)は屋代(仲村トオル)から持ちかけられた見合い話を受け、相手の女性と会うが…。")</f>
        <v>】原日出子　モロ師岡　櫻井淳子　ほか美加(イモトアヤコ)の母(原日出子)が職場に押しかけ、浮気した夫(モロ師岡)と離婚して家を売りたいと相談。両親の離婚を止めようとする美加だったが、万智(北川景子)が美加の実家を売ると宣言。老朽化の進んだ建物を壊し、更地にして売ると言う。美加は思い出の詰まった実家を取り壊しから守るため奔走する。一方、庭野(工藤阿須加)は屋代(仲村トオル)から持ちかけられた見合い話を受け、相手の女性と会うが…。</v>
      </c>
      <c r="O3647" s="2"/>
      <c r="P3647" s="1"/>
      <c r="Q3647" s="1"/>
      <c r="R3647" s="1"/>
      <c r="S3647" s="1"/>
      <c r="T3647" s="1"/>
      <c r="U3647" s="1"/>
      <c r="V3647" s="1"/>
      <c r="W3647" s="1"/>
      <c r="X3647" s="1"/>
      <c r="Y3647" s="1"/>
      <c r="Z3647" s="1"/>
      <c r="AA3647" s="1"/>
      <c r="AB3647" s="1"/>
      <c r="AC3647" s="1"/>
      <c r="AD3647" s="1"/>
      <c r="AE3647" s="1"/>
      <c r="AF3647" s="1"/>
      <c r="AG3647" s="1"/>
      <c r="AH3647" s="1"/>
      <c r="AI3647" s="1"/>
      <c r="AJ3647" s="1"/>
      <c r="AK3647" s="1"/>
      <c r="AL3647" s="1"/>
      <c r="AM3647" s="1"/>
      <c r="AN3647" s="1"/>
      <c r="AO3647" s="1"/>
      <c r="AP3647" s="1"/>
      <c r="AQ3647" s="1"/>
      <c r="AR3647" s="1"/>
      <c r="AS3647" s="1"/>
      <c r="AT3647" s="1"/>
      <c r="AU3647" s="1"/>
      <c r="AV3647" s="1"/>
      <c r="AW3647" s="1"/>
      <c r="AX3647" s="1"/>
      <c r="AY3647" s="1"/>
      <c r="AZ3647" s="1"/>
      <c r="BA3647" s="1"/>
      <c r="BB3647" s="1"/>
    </row>
    <row r="3648" ht="204.75" customHeight="1">
      <c r="A3648" s="1">
        <v>1582.0</v>
      </c>
      <c r="B3648" s="2" t="s">
        <v>10965</v>
      </c>
      <c r="C3648" s="2">
        <f>IFERROR(__xludf.DUMMYFUNCTION("split(B3648,""_"")"),1607.0)</f>
        <v>1607</v>
      </c>
      <c r="D3648" s="2" t="str">
        <f>IFERROR(__xludf.DUMMYFUNCTION("""COMPUTED_VALUE"""),"NTV")</f>
        <v>NTV</v>
      </c>
      <c r="E3648" s="2" t="str">
        <f>IFERROR(__xludf.DUMMYFUNCTION("""COMPUTED_VALUE"""),"水22")</f>
        <v>水22</v>
      </c>
      <c r="F3648" s="2" t="s">
        <v>10966</v>
      </c>
      <c r="G3648" s="2" t="s">
        <v>10988</v>
      </c>
      <c r="H3648" s="1">
        <v>8.0</v>
      </c>
      <c r="J3648" s="1" t="s">
        <v>82</v>
      </c>
      <c r="K3648" s="2" t="s">
        <v>10989</v>
      </c>
      <c r="L3648" s="10" t="s">
        <v>10990</v>
      </c>
      <c r="M3648" s="2" t="str">
        <f>IFERROR(__xludf.DUMMYFUNCTION("split(split(K3648,""【演出"",false),""ゲスト"",false)"),"【出演者】北川景子、工藤阿須加、千葉雄大、イモトアヤコ、  鈴木裕樹、新木優子、本多力、  臼田あさ美/梶原善　、仲村トオル  【")</f>
        <v>【出演者】北川景子、工藤阿須加、千葉雄大、イモトアヤコ、  鈴木裕樹、新木優子、本多力、  臼田あさ美/梶原善　、仲村トオル  【</v>
      </c>
      <c r="N3648" s="2" t="str">
        <f>IFERROR(__xludf.DUMMYFUNCTION("""COMPUTED_VALUE"""),"】篠田麻里子、和田正人、櫻井淳子　ほか人気お天気お姉さん・前原あかね(篠田麻里子)の担当につき浮かれる足立(千葉雄大)だが、あかねはテレビとは別人。タバコは吸うわ、マネージャーの津田(和田正人)とは結婚しているわで玉砕した足立は、万智(北川景子)に担当を変えられてしまう。一方元妻の理恵(櫻井淳子)に家の売買を頼まれた屋代(仲村トオル)は復縁を迫られしどろもどろ。そんな中あかねに家を売るため快進撃に出た万智を思わぬ落とし穴が待っていた!")</f>
        <v>】篠田麻里子、和田正人、櫻井淳子　ほか人気お天気お姉さん・前原あかね(篠田麻里子)の担当につき浮かれる足立(千葉雄大)だが、あかねはテレビとは別人。タバコは吸うわ、マネージャーの津田(和田正人)とは結婚しているわで玉砕した足立は、万智(北川景子)に担当を変えられてしまう。一方元妻の理恵(櫻井淳子)に家の売買を頼まれた屋代(仲村トオル)は復縁を迫られしどろもどろ。そんな中あかねに家を売るため快進撃に出た万智を思わぬ落とし穴が待っていた!</v>
      </c>
      <c r="O3648" s="2"/>
      <c r="P3648" s="1"/>
      <c r="Q3648" s="1"/>
      <c r="R3648" s="1"/>
      <c r="S3648" s="1"/>
      <c r="T3648" s="1"/>
      <c r="U3648" s="1"/>
      <c r="V3648" s="1"/>
      <c r="W3648" s="1"/>
      <c r="X3648" s="1"/>
      <c r="Y3648" s="1"/>
      <c r="Z3648" s="1"/>
      <c r="AA3648" s="1"/>
      <c r="AB3648" s="1"/>
      <c r="AC3648" s="1"/>
      <c r="AD3648" s="1"/>
      <c r="AE3648" s="1"/>
      <c r="AF3648" s="1"/>
      <c r="AG3648" s="1"/>
      <c r="AH3648" s="1"/>
      <c r="AI3648" s="1"/>
      <c r="AJ3648" s="1"/>
      <c r="AK3648" s="1"/>
      <c r="AL3648" s="1"/>
      <c r="AM3648" s="1"/>
      <c r="AN3648" s="1"/>
      <c r="AO3648" s="1"/>
      <c r="AP3648" s="1"/>
      <c r="AQ3648" s="1"/>
      <c r="AR3648" s="1"/>
      <c r="AS3648" s="1"/>
      <c r="AT3648" s="1"/>
      <c r="AU3648" s="1"/>
      <c r="AV3648" s="1"/>
      <c r="AW3648" s="1"/>
      <c r="AX3648" s="1"/>
      <c r="AY3648" s="1"/>
      <c r="AZ3648" s="1"/>
      <c r="BA3648" s="1"/>
      <c r="BB3648" s="1"/>
    </row>
    <row r="3649" ht="204.75" customHeight="1">
      <c r="A3649" s="1">
        <v>1583.0</v>
      </c>
      <c r="B3649" s="2" t="s">
        <v>10965</v>
      </c>
      <c r="C3649" s="2">
        <f>IFERROR(__xludf.DUMMYFUNCTION("split(B3649,""_"")"),1607.0)</f>
        <v>1607</v>
      </c>
      <c r="D3649" s="2" t="str">
        <f>IFERROR(__xludf.DUMMYFUNCTION("""COMPUTED_VALUE"""),"NTV")</f>
        <v>NTV</v>
      </c>
      <c r="E3649" s="2" t="str">
        <f>IFERROR(__xludf.DUMMYFUNCTION("""COMPUTED_VALUE"""),"水22")</f>
        <v>水22</v>
      </c>
      <c r="F3649" s="2" t="s">
        <v>10966</v>
      </c>
      <c r="G3649" s="2" t="s">
        <v>10991</v>
      </c>
      <c r="H3649" s="1">
        <v>9.0</v>
      </c>
      <c r="J3649" s="1" t="s">
        <v>82</v>
      </c>
      <c r="K3649" s="2" t="s">
        <v>10992</v>
      </c>
      <c r="L3649" s="10" t="s">
        <v>10993</v>
      </c>
      <c r="M3649" s="2" t="str">
        <f>IFERROR(__xludf.DUMMYFUNCTION("split(split(K3649,""【演出"",false),""ゲスト"",false)"),"【出演者】北川景子、工藤阿須加、千葉雄大、イモトアヤコ、  鈴木裕樹、新木優子、本多力、  臼田あさ美/梶原善　、仲村トオル  【")</f>
        <v>【出演者】北川景子、工藤阿須加、千葉雄大、イモトアヤコ、  鈴木裕樹、新木優子、本多力、  臼田あさ美/梶原善　、仲村トオル  【</v>
      </c>
      <c r="N3649" s="2" t="str">
        <f>IFERROR(__xludf.DUMMYFUNCTION("""COMPUTED_VALUE"""),"】鷲尾真知子、MEGUMI、星野ルネ、八木優子　ほか万智(北川景子)は二世帯住宅の売却を担当。一方、客に手を焼く庭野(工藤阿須加)と足立(千葉雄大)は、お互いの客「雨宮家」が実は親子だと気づく。さらに、万智は餃子屋のナイジェリア人アルバイト・ビクトルから恋人との家探しを依頼されるが、その恋人はなんと雨宮家の結婚出来ない娘・波留だと発覚。万智は雨宮家をまとめて二世帯住宅を売ると宣言するが嫁の礼(MEGUMI)と姑の昌代(鷲尾真知子)は犬猿の仲で…。")</f>
        <v>】鷲尾真知子、MEGUMI、星野ルネ、八木優子　ほか万智(北川景子)は二世帯住宅の売却を担当。一方、客に手を焼く庭野(工藤阿須加)と足立(千葉雄大)は、お互いの客「雨宮家」が実は親子だと気づく。さらに、万智は餃子屋のナイジェリア人アルバイト・ビクトルから恋人との家探しを依頼されるが、その恋人はなんと雨宮家の結婚出来ない娘・波留だと発覚。万智は雨宮家をまとめて二世帯住宅を売ると宣言するが嫁の礼(MEGUMI)と姑の昌代(鷲尾真知子)は犬猿の仲で…。</v>
      </c>
      <c r="O3649" s="2"/>
      <c r="P3649" s="1"/>
      <c r="Q3649" s="1"/>
      <c r="R3649" s="1"/>
      <c r="S3649" s="1"/>
      <c r="T3649" s="1"/>
      <c r="U3649" s="1"/>
      <c r="V3649" s="1"/>
      <c r="W3649" s="1"/>
      <c r="X3649" s="1"/>
      <c r="Y3649" s="1"/>
      <c r="Z3649" s="1"/>
      <c r="AA3649" s="1"/>
      <c r="AB3649" s="1"/>
      <c r="AC3649" s="1"/>
      <c r="AD3649" s="1"/>
      <c r="AE3649" s="1"/>
      <c r="AF3649" s="1"/>
      <c r="AG3649" s="1"/>
      <c r="AH3649" s="1"/>
      <c r="AI3649" s="1"/>
      <c r="AJ3649" s="1"/>
      <c r="AK3649" s="1"/>
      <c r="AL3649" s="1"/>
      <c r="AM3649" s="1"/>
      <c r="AN3649" s="1"/>
      <c r="AO3649" s="1"/>
      <c r="AP3649" s="1"/>
      <c r="AQ3649" s="1"/>
      <c r="AR3649" s="1"/>
      <c r="AS3649" s="1"/>
      <c r="AT3649" s="1"/>
      <c r="AU3649" s="1"/>
      <c r="AV3649" s="1"/>
      <c r="AW3649" s="1"/>
      <c r="AX3649" s="1"/>
      <c r="AY3649" s="1"/>
      <c r="AZ3649" s="1"/>
      <c r="BA3649" s="1"/>
      <c r="BB3649" s="1"/>
    </row>
    <row r="3650" ht="204.75" customHeight="1">
      <c r="A3650" s="1">
        <v>1584.0</v>
      </c>
      <c r="B3650" s="2" t="s">
        <v>10965</v>
      </c>
      <c r="C3650" s="2">
        <f>IFERROR(__xludf.DUMMYFUNCTION("split(B3650,""_"")"),1607.0)</f>
        <v>1607</v>
      </c>
      <c r="D3650" s="2" t="str">
        <f>IFERROR(__xludf.DUMMYFUNCTION("""COMPUTED_VALUE"""),"NTV")</f>
        <v>NTV</v>
      </c>
      <c r="E3650" s="2" t="str">
        <f>IFERROR(__xludf.DUMMYFUNCTION("""COMPUTED_VALUE"""),"水22")</f>
        <v>水22</v>
      </c>
      <c r="F3650" s="2" t="s">
        <v>10966</v>
      </c>
      <c r="G3650" s="2" t="s">
        <v>10994</v>
      </c>
      <c r="H3650" s="1">
        <v>10.0</v>
      </c>
      <c r="J3650" s="1" t="s">
        <v>82</v>
      </c>
      <c r="K3650" s="2" t="s">
        <v>10995</v>
      </c>
      <c r="L3650" s="10" t="s">
        <v>10996</v>
      </c>
      <c r="M3650" s="2" t="str">
        <f>IFERROR(__xludf.DUMMYFUNCTION("split(split(K3650,""【演出"",false),""ゲスト"",false)"),"【出演者】北川景子、工藤阿須加、千葉雄大、イモトアヤコ、  鈴木裕樹、新木優子、本多力、  臼田あさ美/梶原善　、仲村トオル  【")</f>
        <v>【出演者】北川景子、工藤阿須加、千葉雄大、イモトアヤコ、  鈴木裕樹、新木優子、本多力、  臼田あさ美/梶原善　、仲村トオル  【</v>
      </c>
      <c r="N3650" s="2" t="str">
        <f>IFERROR(__xludf.DUMMYFUNCTION("""COMPUTED_VALUE"""),"】凰稀かなめ、堀田真由ビルの取り壊しが決まり店の立ち退きを迫られたと、営業課にこころ(臼田あさ美)が駆込む。屋代(仲村トオル)はビルの空きテナントを埋めて、価値を高めた上で高く売るとオーナーに提案。皆でテナント探しに奔走する。万智(北川景子)は元バレリーナの葵(凰稀かなめ)から足の不自由な娘のための家探しを頼まれる。そんな中ビルの建て替えが本社の極秘再開発案件と発覚。屋代は手を引くが、万智は自分がビルを売ると宣言し…。")</f>
        <v>】凰稀かなめ、堀田真由ビルの取り壊しが決まり店の立ち退きを迫られたと、営業課にこころ(臼田あさ美)が駆込む。屋代(仲村トオル)はビルの空きテナントを埋めて、価値を高めた上で高く売るとオーナーに提案。皆でテナント探しに奔走する。万智(北川景子)は元バレリーナの葵(凰稀かなめ)から足の不自由な娘のための家探しを頼まれる。そんな中ビルの建て替えが本社の極秘再開発案件と発覚。屋代は手を引くが、万智は自分がビルを売ると宣言し…。</v>
      </c>
      <c r="O3650" s="2"/>
      <c r="P3650" s="1"/>
      <c r="Q3650" s="1"/>
      <c r="R3650" s="1"/>
      <c r="S3650" s="1"/>
      <c r="T3650" s="1"/>
      <c r="U3650" s="1"/>
      <c r="V3650" s="1"/>
      <c r="W3650" s="1"/>
      <c r="X3650" s="1"/>
      <c r="Y3650" s="1"/>
      <c r="Z3650" s="1"/>
      <c r="AA3650" s="1"/>
      <c r="AB3650" s="1"/>
      <c r="AC3650" s="1"/>
      <c r="AD3650" s="1"/>
      <c r="AE3650" s="1"/>
      <c r="AF3650" s="1"/>
      <c r="AG3650" s="1"/>
      <c r="AH3650" s="1"/>
      <c r="AI3650" s="1"/>
      <c r="AJ3650" s="1"/>
      <c r="AK3650" s="1"/>
      <c r="AL3650" s="1"/>
      <c r="AM3650" s="1"/>
      <c r="AN3650" s="1"/>
      <c r="AO3650" s="1"/>
      <c r="AP3650" s="1"/>
      <c r="AQ3650" s="1"/>
      <c r="AR3650" s="1"/>
      <c r="AS3650" s="1"/>
      <c r="AT3650" s="1"/>
      <c r="AU3650" s="1"/>
      <c r="AV3650" s="1"/>
      <c r="AW3650" s="1"/>
      <c r="AX3650" s="1"/>
      <c r="AY3650" s="1"/>
      <c r="AZ3650" s="1"/>
      <c r="BA3650" s="1"/>
      <c r="BB3650" s="1"/>
    </row>
    <row r="3651" ht="204.75" customHeight="1">
      <c r="A3651" s="1">
        <v>1612.0</v>
      </c>
      <c r="B3651" s="2" t="s">
        <v>10997</v>
      </c>
      <c r="C3651" s="2">
        <f>IFERROR(__xludf.DUMMYFUNCTION("split(B3651,""_"")"),1607.0)</f>
        <v>1607</v>
      </c>
      <c r="D3651" s="2" t="str">
        <f>IFERROR(__xludf.DUMMYFUNCTION("""COMPUTED_VALUE"""),"NTV")</f>
        <v>NTV</v>
      </c>
      <c r="E3651" s="2" t="str">
        <f>IFERROR(__xludf.DUMMYFUNCTION("""COMPUTED_VALUE"""),"土21")</f>
        <v>土21</v>
      </c>
      <c r="F3651" s="2" t="s">
        <v>10998</v>
      </c>
      <c r="G3651" s="2" t="s">
        <v>10999</v>
      </c>
      <c r="H3651" s="1">
        <v>1.0</v>
      </c>
      <c r="I3651" s="1" t="s">
        <v>2868</v>
      </c>
      <c r="J3651" s="1" t="s">
        <v>4</v>
      </c>
      <c r="K3651" s="2" t="s">
        <v>11000</v>
      </c>
      <c r="L3651" s="11" t="s">
        <v>11001</v>
      </c>
      <c r="M3651" s="2" t="str">
        <f>IFERROR(__xludf.DUMMYFUNCTION("split(split(K3651,""【演出"",false),""ほか"",false)"),"黒島結菜、菊池風磨(Sexy　Zone)、竹内涼真、  吉本実憂、高橋克実、加藤シゲアキ(NEWS)、高畑淳子　")</f>
        <v>黒島結菜、菊池風磨(Sexy　Zone)、竹内涼真、  吉本実憂、高橋克実、加藤シゲアキ(NEWS)、高畑淳子　</v>
      </c>
      <c r="N3651" s="2" t="str">
        <f>IFERROR(__xludf.DUMMYFUNCTION("""COMPUTED_VALUE"""),"未羽(黒島結菜)は放課後の理科実験室でラベンダーの香りをかいでからタイムリープの能力を身に付ける。幼なじみの翔平(菊池風磨)と吾朗(竹内涼真)と共にタイムリープの力を使って恋や友情、将来への悩みを乗り越えていく青春ラブストーリーです!さらに今まで描かれなかった未来人ケン・ソゴルの知られざる真実も解き明かされる!?ここでしか描かれない「時かけ」をこの夏、あなたにお届けします!")</f>
        <v>未羽(黒島結菜)は放課後の理科実験室でラベンダーの香りをかいでからタイムリープの能力を身に付ける。幼なじみの翔平(菊池風磨)と吾朗(竹内涼真)と共にタイムリープの力を使って恋や友情、将来への悩みを乗り越えていく青春ラブストーリーです!さらに今まで描かれなかった未来人ケン・ソゴルの知られざる真実も解き明かされる!?ここでしか描かれない「時かけ」をこの夏、あなたにお届けします!</v>
      </c>
      <c r="O3651" s="2"/>
      <c r="P3651" s="1"/>
      <c r="Q3651" s="1"/>
      <c r="R3651" s="1"/>
      <c r="S3651" s="1"/>
      <c r="T3651" s="1"/>
      <c r="U3651" s="1"/>
      <c r="V3651" s="1"/>
      <c r="W3651" s="1"/>
      <c r="X3651" s="1"/>
      <c r="Y3651" s="1"/>
      <c r="Z3651" s="1"/>
      <c r="AA3651" s="1"/>
      <c r="AB3651" s="1"/>
      <c r="AC3651" s="1"/>
      <c r="AD3651" s="1"/>
      <c r="AE3651" s="1"/>
      <c r="AF3651" s="1"/>
      <c r="AG3651" s="1"/>
      <c r="AH3651" s="1"/>
      <c r="AI3651" s="1"/>
      <c r="AJ3651" s="1"/>
      <c r="AK3651" s="1"/>
      <c r="AL3651" s="1"/>
      <c r="AM3651" s="1"/>
      <c r="AN3651" s="1"/>
      <c r="AO3651" s="1"/>
      <c r="AP3651" s="1"/>
      <c r="AQ3651" s="1"/>
      <c r="AR3651" s="1"/>
      <c r="AS3651" s="1"/>
      <c r="AT3651" s="1"/>
      <c r="AU3651" s="1"/>
      <c r="AV3651" s="1"/>
      <c r="AW3651" s="1"/>
      <c r="AX3651" s="1"/>
      <c r="AY3651" s="1"/>
      <c r="AZ3651" s="1"/>
      <c r="BA3651" s="1"/>
      <c r="BB3651" s="1"/>
    </row>
    <row r="3652" ht="204.75" customHeight="1">
      <c r="A3652" s="1">
        <v>1613.0</v>
      </c>
      <c r="B3652" s="2" t="s">
        <v>10997</v>
      </c>
      <c r="C3652" s="2">
        <f>IFERROR(__xludf.DUMMYFUNCTION("split(B3652,""_"")"),1607.0)</f>
        <v>1607</v>
      </c>
      <c r="D3652" s="2" t="str">
        <f>IFERROR(__xludf.DUMMYFUNCTION("""COMPUTED_VALUE"""),"NTV")</f>
        <v>NTV</v>
      </c>
      <c r="E3652" s="2" t="str">
        <f>IFERROR(__xludf.DUMMYFUNCTION("""COMPUTED_VALUE"""),"土21")</f>
        <v>土21</v>
      </c>
      <c r="F3652" s="2" t="s">
        <v>10998</v>
      </c>
      <c r="G3652" s="2" t="s">
        <v>11002</v>
      </c>
      <c r="H3652" s="1">
        <v>2.0</v>
      </c>
      <c r="I3652" s="1" t="s">
        <v>2872</v>
      </c>
      <c r="J3652" s="1" t="s">
        <v>11</v>
      </c>
      <c r="K3652" s="2" t="s">
        <v>11003</v>
      </c>
      <c r="L3652" s="11" t="s">
        <v>11004</v>
      </c>
      <c r="M3652" s="2" t="str">
        <f>IFERROR(__xludf.DUMMYFUNCTION("split(split(K3652,""【演出"",false),""ほか"",false)"),"黒島結菜、菊池風磨(Sexy　Zone)、竹内涼真、  吉本実憂、高橋克実、加藤シゲアキ(NEWS)、高畑淳子、  森永悠希、高月彩良　")</f>
        <v>黒島結菜、菊池風磨(Sexy　Zone)、竹内涼真、  吉本実憂、高橋克実、加藤シゲアキ(NEWS)、高畑淳子、  森永悠希、高月彩良　</v>
      </c>
      <c r="N3652" s="2" t="str">
        <f>IFERROR(__xludf.DUMMYFUNCTION("""COMPUTED_VALUE"""),"  未羽(黒島結菜)、翔平(菊池風磨)、吾朗(竹内涼真)は屋上で飛び降りそうな西岡(森永悠希)を止める。彼は2年前、心臓の移植手術を受けて以来、毎日20時過ぎに胸がドキドキするようになった。その謎を解明すべく未羽はタイムリープで心臓提供者に会いに行くことに。その人物はミホ(高月彩良)という女子高生で彼女を調べるうち、担任の矢野(加藤シゲアキ)が関係していることを知る。矢野とミホとの隠された過去とは!?")</f>
        <v>  未羽(黒島結菜)、翔平(菊池風磨)、吾朗(竹内涼真)は屋上で飛び降りそうな西岡(森永悠希)を止める。彼は2年前、心臓の移植手術を受けて以来、毎日20時過ぎに胸がドキドキするようになった。その謎を解明すべく未羽はタイムリープで心臓提供者に会いに行くことに。その人物はミホ(高月彩良)という女子高生で彼女を調べるうち、担任の矢野(加藤シゲアキ)が関係していることを知る。矢野とミホとの隠された過去とは!?</v>
      </c>
      <c r="O3652" s="2"/>
      <c r="P3652" s="1"/>
      <c r="Q3652" s="1"/>
      <c r="R3652" s="1"/>
      <c r="S3652" s="1"/>
      <c r="T3652" s="1"/>
      <c r="U3652" s="1"/>
      <c r="V3652" s="1"/>
      <c r="W3652" s="1"/>
      <c r="X3652" s="1"/>
      <c r="Y3652" s="1"/>
      <c r="Z3652" s="1"/>
      <c r="AA3652" s="1"/>
      <c r="AB3652" s="1"/>
      <c r="AC3652" s="1"/>
      <c r="AD3652" s="1"/>
      <c r="AE3652" s="1"/>
      <c r="AF3652" s="1"/>
      <c r="AG3652" s="1"/>
      <c r="AH3652" s="1"/>
      <c r="AI3652" s="1"/>
      <c r="AJ3652" s="1"/>
      <c r="AK3652" s="1"/>
      <c r="AL3652" s="1"/>
      <c r="AM3652" s="1"/>
      <c r="AN3652" s="1"/>
      <c r="AO3652" s="1"/>
      <c r="AP3652" s="1"/>
      <c r="AQ3652" s="1"/>
      <c r="AR3652" s="1"/>
      <c r="AS3652" s="1"/>
      <c r="AT3652" s="1"/>
      <c r="AU3652" s="1"/>
      <c r="AV3652" s="1"/>
      <c r="AW3652" s="1"/>
      <c r="AX3652" s="1"/>
      <c r="AY3652" s="1"/>
      <c r="AZ3652" s="1"/>
      <c r="BA3652" s="1"/>
      <c r="BB3652" s="1"/>
    </row>
    <row r="3653" ht="204.75" customHeight="1">
      <c r="A3653" s="1">
        <v>1614.0</v>
      </c>
      <c r="B3653" s="2" t="s">
        <v>10997</v>
      </c>
      <c r="C3653" s="2">
        <f>IFERROR(__xludf.DUMMYFUNCTION("split(B3653,""_"")"),1607.0)</f>
        <v>1607</v>
      </c>
      <c r="D3653" s="2" t="str">
        <f>IFERROR(__xludf.DUMMYFUNCTION("""COMPUTED_VALUE"""),"NTV")</f>
        <v>NTV</v>
      </c>
      <c r="E3653" s="2" t="str">
        <f>IFERROR(__xludf.DUMMYFUNCTION("""COMPUTED_VALUE"""),"土21")</f>
        <v>土21</v>
      </c>
      <c r="F3653" s="2" t="s">
        <v>10998</v>
      </c>
      <c r="G3653" s="2" t="s">
        <v>11005</v>
      </c>
      <c r="H3653" s="1">
        <v>3.0</v>
      </c>
      <c r="I3653" s="1" t="s">
        <v>2876</v>
      </c>
      <c r="J3653" s="1" t="s">
        <v>11</v>
      </c>
      <c r="K3653" s="2" t="s">
        <v>11006</v>
      </c>
      <c r="L3653" s="11" t="s">
        <v>11007</v>
      </c>
      <c r="M3653" s="2" t="str">
        <f>IFERROR(__xludf.DUMMYFUNCTION("split(split(K3653,""【演出"",false),""ほか"",false)"),"黒島結菜、菊池風磨(Sexy　Zone)、竹内涼真、吉本実憂、猫背椿、野波麻帆、安蘭けい、田口浩正、小松和重、ゆいP(おかずクラブ)、高橋克実、古畑星夏、三浦透子、八木莉可子、五十嵐陽向、石井萌々果、加藤シゲアキ(NEWS)、高畑淳子　")</f>
        <v>黒島結菜、菊池風磨(Sexy　Zone)、竹内涼真、吉本実憂、猫背椿、野波麻帆、安蘭けい、田口浩正、小松和重、ゆいP(おかずクラブ)、高橋克実、古畑星夏、三浦透子、八木莉可子、五十嵐陽向、石井萌々果、加藤シゲアキ(NEWS)、高畑淳子　</v>
      </c>
      <c r="N3653" s="2" t="str">
        <f>IFERROR(__xludf.DUMMYFUNCTION("""COMPUTED_VALUE"""),"翔平(菊池風磨)にファーストキスを奪われ、動揺する未羽(黒島結菜)。そんな中、ゾーイ(吉本実憂)が3年6組のクラスメイトになりすまし、一緒に学校行事の雅涼祭で「ロミオとジュリエット」の劇をすることに。ロミオ役に吾朗(竹内涼真)が、そしてなんとジュリエット役にゾーイが抜擢される。クラスみんなで仲良く準備を進めてきたが本番が近付くにつれ、険悪な雰囲気に。そんな中、翔平は未羽への想いが強まりすぎて…!?")</f>
        <v>翔平(菊池風磨)にファーストキスを奪われ、動揺する未羽(黒島結菜)。そんな中、ゾーイ(吉本実憂)が3年6組のクラスメイトになりすまし、一緒に学校行事の雅涼祭で「ロミオとジュリエット」の劇をすることに。ロミオ役に吾朗(竹内涼真)が、そしてなんとジュリエット役にゾーイが抜擢される。クラスみんなで仲良く準備を進めてきたが本番が近付くにつれ、険悪な雰囲気に。そんな中、翔平は未羽への想いが強まりすぎて…!?</v>
      </c>
      <c r="O3653" s="2"/>
      <c r="P3653" s="1"/>
      <c r="Q3653" s="1"/>
      <c r="R3653" s="1"/>
      <c r="S3653" s="1"/>
      <c r="T3653" s="1"/>
      <c r="U3653" s="1"/>
      <c r="V3653" s="1"/>
      <c r="W3653" s="1"/>
      <c r="X3653" s="1"/>
      <c r="Y3653" s="1"/>
      <c r="Z3653" s="1"/>
      <c r="AA3653" s="1"/>
      <c r="AB3653" s="1"/>
      <c r="AC3653" s="1"/>
      <c r="AD3653" s="1"/>
      <c r="AE3653" s="1"/>
      <c r="AF3653" s="1"/>
      <c r="AG3653" s="1"/>
      <c r="AH3653" s="1"/>
      <c r="AI3653" s="1"/>
      <c r="AJ3653" s="1"/>
      <c r="AK3653" s="1"/>
      <c r="AL3653" s="1"/>
      <c r="AM3653" s="1"/>
      <c r="AN3653" s="1"/>
      <c r="AO3653" s="1"/>
      <c r="AP3653" s="1"/>
      <c r="AQ3653" s="1"/>
      <c r="AR3653" s="1"/>
      <c r="AS3653" s="1"/>
      <c r="AT3653" s="1"/>
      <c r="AU3653" s="1"/>
      <c r="AV3653" s="1"/>
      <c r="AW3653" s="1"/>
      <c r="AX3653" s="1"/>
      <c r="AY3653" s="1"/>
      <c r="AZ3653" s="1"/>
      <c r="BA3653" s="1"/>
      <c r="BB3653" s="1"/>
    </row>
    <row r="3654" ht="204.75" customHeight="1">
      <c r="A3654" s="1">
        <v>1615.0</v>
      </c>
      <c r="B3654" s="2" t="s">
        <v>10997</v>
      </c>
      <c r="C3654" s="2">
        <f>IFERROR(__xludf.DUMMYFUNCTION("split(B3654,""_"")"),1607.0)</f>
        <v>1607</v>
      </c>
      <c r="D3654" s="2" t="str">
        <f>IFERROR(__xludf.DUMMYFUNCTION("""COMPUTED_VALUE"""),"NTV")</f>
        <v>NTV</v>
      </c>
      <c r="E3654" s="2" t="str">
        <f>IFERROR(__xludf.DUMMYFUNCTION("""COMPUTED_VALUE"""),"土21")</f>
        <v>土21</v>
      </c>
      <c r="F3654" s="2" t="s">
        <v>10998</v>
      </c>
      <c r="G3654" s="2" t="s">
        <v>11008</v>
      </c>
      <c r="H3654" s="1">
        <v>4.0</v>
      </c>
      <c r="I3654" s="1" t="s">
        <v>2880</v>
      </c>
      <c r="J3654" s="1" t="s">
        <v>11</v>
      </c>
      <c r="K3654" s="2" t="s">
        <v>11009</v>
      </c>
      <c r="L3654" s="11" t="s">
        <v>11010</v>
      </c>
      <c r="M3654" s="2" t="str">
        <f>IFERROR(__xludf.DUMMYFUNCTION("split(split(K3654,""【演出"",false),""ほか"",false)"),"黒島結菜、菊池風磨(Sexy　Zone)、竹内涼真、吉本実憂、猫背椿、野波麻帆、安蘭けい、田口浩正、小松和重、ゆいP(おかずクラブ)、高橋克実、古畑星夏、三浦透子、八木莉可子、五十嵐陽向、石井萌々果、加藤シゲアキ(NEWS)、高畑淳子　")</f>
        <v>黒島結菜、菊池風磨(Sexy　Zone)、竹内涼真、吉本実憂、猫背椿、野波麻帆、安蘭けい、田口浩正、小松和重、ゆいP(おかずクラブ)、高橋克実、古畑星夏、三浦透子、八木莉可子、五十嵐陽向、石井萌々果、加藤シゲアキ(NEWS)、高畑淳子　</v>
      </c>
      <c r="N3654" s="2" t="str">
        <f>IFERROR(__xludf.DUMMYFUNCTION("""COMPUTED_VALUE"""),"未羽(黒島結菜)と翔平(菊池風磨)はデートをして楽しい時を過ごしていた。その頃、吾朗(竹内涼真)は未羽への想いを抱えつつ、受験勉強に没頭。理髪店を営む父の努(田口浩正)は息子への期待を高めていた。そんな中、吾朗が努に大学受験をやめたいと言い、親子喧嘩に発展。そして吾朗は家を飛び出してしまう。吾朗の家出を知った未羽と翔平はタイムリープで吾朗の家出を阻止しようとするが傷ついた吾朗を見た二人は…。")</f>
        <v>未羽(黒島結菜)と翔平(菊池風磨)はデートをして楽しい時を過ごしていた。その頃、吾朗(竹内涼真)は未羽への想いを抱えつつ、受験勉強に没頭。理髪店を営む父の努(田口浩正)は息子への期待を高めていた。そんな中、吾朗が努に大学受験をやめたいと言い、親子喧嘩に発展。そして吾朗は家を飛び出してしまう。吾朗の家出を知った未羽と翔平はタイムリープで吾朗の家出を阻止しようとするが傷ついた吾朗を見た二人は…。</v>
      </c>
      <c r="O3654" s="2"/>
      <c r="P3654" s="1"/>
      <c r="Q3654" s="1"/>
      <c r="R3654" s="1"/>
      <c r="S3654" s="1"/>
      <c r="T3654" s="1"/>
      <c r="U3654" s="1"/>
      <c r="V3654" s="1"/>
      <c r="W3654" s="1"/>
      <c r="X3654" s="1"/>
      <c r="Y3654" s="1"/>
      <c r="Z3654" s="1"/>
      <c r="AA3654" s="1"/>
      <c r="AB3654" s="1"/>
      <c r="AC3654" s="1"/>
      <c r="AD3654" s="1"/>
      <c r="AE3654" s="1"/>
      <c r="AF3654" s="1"/>
      <c r="AG3654" s="1"/>
      <c r="AH3654" s="1"/>
      <c r="AI3654" s="1"/>
      <c r="AJ3654" s="1"/>
      <c r="AK3654" s="1"/>
      <c r="AL3654" s="1"/>
      <c r="AM3654" s="1"/>
      <c r="AN3654" s="1"/>
      <c r="AO3654" s="1"/>
      <c r="AP3654" s="1"/>
      <c r="AQ3654" s="1"/>
      <c r="AR3654" s="1"/>
      <c r="AS3654" s="1"/>
      <c r="AT3654" s="1"/>
      <c r="AU3654" s="1"/>
      <c r="AV3654" s="1"/>
      <c r="AW3654" s="1"/>
      <c r="AX3654" s="1"/>
      <c r="AY3654" s="1"/>
      <c r="AZ3654" s="1"/>
      <c r="BA3654" s="1"/>
      <c r="BB3654" s="1"/>
    </row>
    <row r="3655" ht="204.75" customHeight="1">
      <c r="A3655" s="1">
        <v>1616.0</v>
      </c>
      <c r="B3655" s="2" t="s">
        <v>10997</v>
      </c>
      <c r="C3655" s="2">
        <f>IFERROR(__xludf.DUMMYFUNCTION("split(B3655,""_"")"),1607.0)</f>
        <v>1607</v>
      </c>
      <c r="D3655" s="2" t="str">
        <f>IFERROR(__xludf.DUMMYFUNCTION("""COMPUTED_VALUE"""),"NTV")</f>
        <v>NTV</v>
      </c>
      <c r="E3655" s="2" t="str">
        <f>IFERROR(__xludf.DUMMYFUNCTION("""COMPUTED_VALUE"""),"土21")</f>
        <v>土21</v>
      </c>
      <c r="F3655" s="2" t="s">
        <v>10998</v>
      </c>
      <c r="G3655" s="2" t="s">
        <v>11011</v>
      </c>
      <c r="H3655" s="1">
        <v>5.0</v>
      </c>
      <c r="I3655" s="1" t="s">
        <v>2884</v>
      </c>
      <c r="J3655" s="1" t="s">
        <v>11</v>
      </c>
      <c r="K3655" s="2" t="s">
        <v>11012</v>
      </c>
      <c r="L3655" s="11" t="s">
        <v>11013</v>
      </c>
      <c r="M3655" s="2" t="str">
        <f>IFERROR(__xludf.DUMMYFUNCTION("split(split(K3655,""【演出"",false),""ほか"",false)"),"黒島結菜、菊池風磨(Sexy　Zone)、竹内涼真、吉本実憂、猫背椿、野波麻帆、安蘭けい、田口浩正、小松和重、ゆいP(おかずクラブ)、高橋克実、古畑星夏、三浦透子、八木莉可子、五十嵐陽向、石井萌々果、加藤シゲアキ(NEWS)、高畑淳子　")</f>
        <v>黒島結菜、菊池風磨(Sexy　Zone)、竹内涼真、吉本実憂、猫背椿、野波麻帆、安蘭けい、田口浩正、小松和重、ゆいP(おかずクラブ)、高橋克実、古畑星夏、三浦透子、八木莉可子、五十嵐陽向、石井萌々果、加藤シゲアキ(NEWS)、高畑淳子　</v>
      </c>
      <c r="N3655" s="2" t="str">
        <f>IFERROR(__xludf.DUMMYFUNCTION("""COMPUTED_VALUE"""),"未羽(黒島結菜)は三浦(高橋克実)から、翔平(菊池風磨)が未来人だと聞かされるものの、幼なじみの翔平が未来人のはずがないと信じていた。しかし、翔平との思い出だと思っていた記憶が、実は吾朗(竹内涼真)との思い出だったと気付いてしまう。未羽は翔平に向かって「あなたは一体、何者なの?」と問い詰める。そして、追い詰められた翔平が出した答えとは…!?さらに2人の運命は!?涙と感動のクライマックスを迎える!!")</f>
        <v>未羽(黒島結菜)は三浦(高橋克実)から、翔平(菊池風磨)が未来人だと聞かされるものの、幼なじみの翔平が未来人のはずがないと信じていた。しかし、翔平との思い出だと思っていた記憶が、実は吾朗(竹内涼真)との思い出だったと気付いてしまう。未羽は翔平に向かって「あなたは一体、何者なの?」と問い詰める。そして、追い詰められた翔平が出した答えとは…!?さらに2人の運命は!?涙と感動のクライマックスを迎える!!</v>
      </c>
      <c r="O3655" s="2"/>
      <c r="P3655" s="1"/>
      <c r="Q3655" s="1"/>
      <c r="R3655" s="1"/>
      <c r="S3655" s="1"/>
      <c r="T3655" s="1"/>
      <c r="U3655" s="1"/>
      <c r="V3655" s="1"/>
      <c r="W3655" s="1"/>
      <c r="X3655" s="1"/>
      <c r="Y3655" s="1"/>
      <c r="Z3655" s="1"/>
      <c r="AA3655" s="1"/>
      <c r="AB3655" s="1"/>
      <c r="AC3655" s="1"/>
      <c r="AD3655" s="1"/>
      <c r="AE3655" s="1"/>
      <c r="AF3655" s="1"/>
      <c r="AG3655" s="1"/>
      <c r="AH3655" s="1"/>
      <c r="AI3655" s="1"/>
      <c r="AJ3655" s="1"/>
      <c r="AK3655" s="1"/>
      <c r="AL3655" s="1"/>
      <c r="AM3655" s="1"/>
      <c r="AN3655" s="1"/>
      <c r="AO3655" s="1"/>
      <c r="AP3655" s="1"/>
      <c r="AQ3655" s="1"/>
      <c r="AR3655" s="1"/>
      <c r="AS3655" s="1"/>
      <c r="AT3655" s="1"/>
      <c r="AU3655" s="1"/>
      <c r="AV3655" s="1"/>
      <c r="AW3655" s="1"/>
      <c r="AX3655" s="1"/>
      <c r="AY3655" s="1"/>
      <c r="AZ3655" s="1"/>
      <c r="BA3655" s="1"/>
      <c r="BB3655" s="1"/>
    </row>
    <row r="3656" ht="204.75" customHeight="1">
      <c r="A3656" s="1">
        <v>1634.0</v>
      </c>
      <c r="B3656" s="2" t="s">
        <v>11014</v>
      </c>
      <c r="C3656" s="2">
        <f>IFERROR(__xludf.DUMMYFUNCTION("split(B3656,""_"")"),1607.0)</f>
        <v>1607</v>
      </c>
      <c r="D3656" s="2" t="str">
        <f>IFERROR(__xludf.DUMMYFUNCTION("""COMPUTED_VALUE"""),"NTV")</f>
        <v>NTV</v>
      </c>
      <c r="E3656" s="2" t="str">
        <f>IFERROR(__xludf.DUMMYFUNCTION("""COMPUTED_VALUE"""),"日22")</f>
        <v>日22</v>
      </c>
      <c r="F3656" s="2" t="s">
        <v>11015</v>
      </c>
      <c r="G3656" s="2" t="s">
        <v>11016</v>
      </c>
      <c r="H3656" s="1">
        <v>1.0</v>
      </c>
      <c r="I3656" s="1" t="s">
        <v>2868</v>
      </c>
      <c r="J3656" s="1" t="s">
        <v>82</v>
      </c>
      <c r="K3656" s="2" t="s">
        <v>11017</v>
      </c>
      <c r="L3656" s="11" t="s">
        <v>11018</v>
      </c>
      <c r="M3656" s="2" t="str">
        <f>IFERROR(__xludf.DUMMYFUNCTION("split(split(K3656,""【演出"",false),""/黒木瞳"",false)"),"藤原竜也、玉山鉄二、二階堂ふみ、伊野尾慧  /志尊淳、今野浩喜、遠藤要、おのののか、桜井日奈子/  ミムラ/小市慢太郎、神保悟志、ヒロミ、鶴見辰吾")</f>
        <v>藤原竜也、玉山鉄二、二階堂ふみ、伊野尾慧  /志尊淳、今野浩喜、遠藤要、おのののか、桜井日奈子/  ミムラ/小市慢太郎、神保悟志、ヒロミ、鶴見辰吾</v>
      </c>
      <c r="N3656" s="2" t="str">
        <f>IFERROR(__xludf.DUMMYFUNCTION("""COMPUTED_VALUE"""),"藤堂新一(藤原竜也)は優秀な研究者だ。早苗(二階堂ふみ)との結婚も決まり、母・万紀子(黒木瞳)への紹介も済ませ、順風満帆な人生を送っていた。しかしある日突然、同姓同名の男の逮捕によって、彼の人生の転落が始まった!総務省に務める友人・小山内(玉山鉄二)は、新一の個人情報が全てその男のものになり、新一の存在が消えたと告げる…。一体誰が、何のために?登場人物、全員、容疑者。エンタメサスペンスの登場!")</f>
        <v>藤堂新一(藤原竜也)は優秀な研究者だ。早苗(二階堂ふみ)との結婚も決まり、母・万紀子(黒木瞳)への紹介も済ませ、順風満帆な人生を送っていた。しかしある日突然、同姓同名の男の逮捕によって、彼の人生の転落が始まった!総務省に務める友人・小山内(玉山鉄二)は、新一の個人情報が全てその男のものになり、新一の存在が消えたと告げる…。一体誰が、何のために?登場人物、全員、容疑者。エンタメサスペンスの登場!</v>
      </c>
      <c r="O3656" s="2"/>
      <c r="P3656" s="1"/>
      <c r="Q3656" s="1"/>
      <c r="R3656" s="1"/>
      <c r="S3656" s="1"/>
      <c r="T3656" s="1"/>
      <c r="U3656" s="1"/>
      <c r="V3656" s="1"/>
      <c r="W3656" s="1"/>
      <c r="X3656" s="1"/>
      <c r="Y3656" s="1"/>
      <c r="Z3656" s="1"/>
      <c r="AA3656" s="1"/>
      <c r="AB3656" s="1"/>
      <c r="AC3656" s="1"/>
      <c r="AD3656" s="1"/>
      <c r="AE3656" s="1"/>
      <c r="AF3656" s="1"/>
      <c r="AG3656" s="1"/>
      <c r="AH3656" s="1"/>
      <c r="AI3656" s="1"/>
      <c r="AJ3656" s="1"/>
      <c r="AK3656" s="1"/>
      <c r="AL3656" s="1"/>
      <c r="AM3656" s="1"/>
      <c r="AN3656" s="1"/>
      <c r="AO3656" s="1"/>
      <c r="AP3656" s="1"/>
      <c r="AQ3656" s="1"/>
      <c r="AR3656" s="1"/>
      <c r="AS3656" s="1"/>
      <c r="AT3656" s="1"/>
      <c r="AU3656" s="1"/>
      <c r="AV3656" s="1"/>
      <c r="AW3656" s="1"/>
      <c r="AX3656" s="1"/>
      <c r="AY3656" s="1"/>
      <c r="AZ3656" s="1"/>
      <c r="BA3656" s="1"/>
      <c r="BB3656" s="1"/>
    </row>
    <row r="3657" ht="204.75" customHeight="1">
      <c r="A3657" s="1">
        <v>1635.0</v>
      </c>
      <c r="B3657" s="2" t="s">
        <v>11014</v>
      </c>
      <c r="C3657" s="2">
        <f>IFERROR(__xludf.DUMMYFUNCTION("split(B3657,""_"")"),1607.0)</f>
        <v>1607</v>
      </c>
      <c r="D3657" s="2" t="str">
        <f>IFERROR(__xludf.DUMMYFUNCTION("""COMPUTED_VALUE"""),"NTV")</f>
        <v>NTV</v>
      </c>
      <c r="E3657" s="2" t="str">
        <f>IFERROR(__xludf.DUMMYFUNCTION("""COMPUTED_VALUE"""),"日22")</f>
        <v>日22</v>
      </c>
      <c r="F3657" s="2" t="s">
        <v>11015</v>
      </c>
      <c r="G3657" s="2" t="s">
        <v>11019</v>
      </c>
      <c r="H3657" s="1">
        <v>2.0</v>
      </c>
      <c r="I3657" s="1" t="s">
        <v>2872</v>
      </c>
      <c r="J3657" s="1" t="s">
        <v>82</v>
      </c>
      <c r="K3657" s="2" t="s">
        <v>11020</v>
      </c>
      <c r="L3657" s="11" t="s">
        <v>11021</v>
      </c>
      <c r="M3657" s="2" t="str">
        <f>IFERROR(__xludf.DUMMYFUNCTION("split(split(K3657,""【演出"",false),""/黒木瞳"",false)"),"藤原竜也、玉山鉄二、二階堂ふみ、伊野尾慧  /志尊淳、今野浩喜、遠藤要、おのののか、桜井日奈子/  ミムラ/小市慢太郎、神保悟志、ヒロミ、鶴見辰吾")</f>
        <v>藤原竜也、玉山鉄二、二階堂ふみ、伊野尾慧  /志尊淳、今野浩喜、遠藤要、おのののか、桜井日奈子/  ミムラ/小市慢太郎、神保悟志、ヒロミ、鶴見辰吾</v>
      </c>
      <c r="N3657" s="2" t="str">
        <f>IFERROR(__xludf.DUMMYFUNCTION("""COMPUTED_VALUE"""),"優秀なソフトウェア開発者だった藤堂新一(藤原竜也)は、個人情報を集約した“パーソナル・ナンバー”を乗っ取られ、自分が何者かを証明できなくなってしまった。新一は自分を名乗る“ニセ新一”(遠藤要)の弁護士・西条(鶴見辰吾)を突き止め会いに行く。そして“ニセ”の背後に見え隠れする何者かによって全て仕組まれているのだと確信する。しかしそんな矢先、謎の男たちに捕まった新一は、そのまま銃を突き付けられ…!?")</f>
        <v>優秀なソフトウェア開発者だった藤堂新一(藤原竜也)は、個人情報を集約した“パーソナル・ナンバー”を乗っ取られ、自分が何者かを証明できなくなってしまった。新一は自分を名乗る“ニセ新一”(遠藤要)の弁護士・西条(鶴見辰吾)を突き止め会いに行く。そして“ニセ”の背後に見え隠れする何者かによって全て仕組まれているのだと確信する。しかしそんな矢先、謎の男たちに捕まった新一は、そのまま銃を突き付けられ…!?</v>
      </c>
      <c r="O3657" s="2"/>
      <c r="P3657" s="1"/>
      <c r="Q3657" s="1"/>
      <c r="R3657" s="1"/>
      <c r="S3657" s="1"/>
      <c r="T3657" s="1"/>
      <c r="U3657" s="1"/>
      <c r="V3657" s="1"/>
      <c r="W3657" s="1"/>
      <c r="X3657" s="1"/>
      <c r="Y3657" s="1"/>
      <c r="Z3657" s="1"/>
      <c r="AA3657" s="1"/>
      <c r="AB3657" s="1"/>
      <c r="AC3657" s="1"/>
      <c r="AD3657" s="1"/>
      <c r="AE3657" s="1"/>
      <c r="AF3657" s="1"/>
      <c r="AG3657" s="1"/>
      <c r="AH3657" s="1"/>
      <c r="AI3657" s="1"/>
      <c r="AJ3657" s="1"/>
      <c r="AK3657" s="1"/>
      <c r="AL3657" s="1"/>
      <c r="AM3657" s="1"/>
      <c r="AN3657" s="1"/>
      <c r="AO3657" s="1"/>
      <c r="AP3657" s="1"/>
      <c r="AQ3657" s="1"/>
      <c r="AR3657" s="1"/>
      <c r="AS3657" s="1"/>
      <c r="AT3657" s="1"/>
      <c r="AU3657" s="1"/>
      <c r="AV3657" s="1"/>
      <c r="AW3657" s="1"/>
      <c r="AX3657" s="1"/>
      <c r="AY3657" s="1"/>
      <c r="AZ3657" s="1"/>
      <c r="BA3657" s="1"/>
      <c r="BB3657" s="1"/>
    </row>
    <row r="3658" ht="204.75" customHeight="1">
      <c r="A3658" s="1">
        <v>1636.0</v>
      </c>
      <c r="B3658" s="2" t="s">
        <v>11014</v>
      </c>
      <c r="C3658" s="2">
        <f>IFERROR(__xludf.DUMMYFUNCTION("split(B3658,""_"")"),1607.0)</f>
        <v>1607</v>
      </c>
      <c r="D3658" s="2" t="str">
        <f>IFERROR(__xludf.DUMMYFUNCTION("""COMPUTED_VALUE"""),"NTV")</f>
        <v>NTV</v>
      </c>
      <c r="E3658" s="2" t="str">
        <f>IFERROR(__xludf.DUMMYFUNCTION("""COMPUTED_VALUE"""),"日22")</f>
        <v>日22</v>
      </c>
      <c r="F3658" s="2" t="s">
        <v>11015</v>
      </c>
      <c r="G3658" s="2" t="s">
        <v>11022</v>
      </c>
      <c r="H3658" s="1">
        <v>3.0</v>
      </c>
      <c r="I3658" s="1" t="s">
        <v>2876</v>
      </c>
      <c r="J3658" s="1" t="s">
        <v>82</v>
      </c>
      <c r="K3658" s="2" t="s">
        <v>11023</v>
      </c>
      <c r="L3658" s="11" t="s">
        <v>11024</v>
      </c>
      <c r="M3658" s="2" t="str">
        <f>IFERROR(__xludf.DUMMYFUNCTION("split(split(K3658,""【演出"",false),""/黒木瞳"",false)"),"藤原竜也、玉山鉄二、二階堂ふみ、伊野尾慧  /志尊淳、今野浩喜、遠藤要、おのののか、桜井日奈子/  ミムラ/小市慢太郎、神保悟志、ヒロミ、鶴見辰吾")</f>
        <v>藤原竜也、玉山鉄二、二階堂ふみ、伊野尾慧  /志尊淳、今野浩喜、遠藤要、おのののか、桜井日奈子/  ミムラ/小市慢太郎、神保悟志、ヒロミ、鶴見辰吾</v>
      </c>
      <c r="N3658" s="2" t="str">
        <f>IFERROR(__xludf.DUMMYFUNCTION("""COMPUTED_VALUE"""),"公安の鬼塚(神保悟志)に捕まった新一(藤原竜也)は、弁護士の西条(鶴見辰吾)に依頼し監禁から脱出する。さらに新一は西条に「ある女性があなたの周辺で様子を伺っている」と言われる。新一が思い浮かべたのは、不自然な状況で再会したはるか(ミムラ)だった…。新一ははるかを待ち伏せ、真相を問いただす。するとはるかは「私と結婚してくれたら、全部教えてあげる」と言い、新一にある写真を見せる。その写真の中身は…!?")</f>
        <v>公安の鬼塚(神保悟志)に捕まった新一(藤原竜也)は、弁護士の西条(鶴見辰吾)に依頼し監禁から脱出する。さらに新一は西条に「ある女性があなたの周辺で様子を伺っている」と言われる。新一が思い浮かべたのは、不自然な状況で再会したはるか(ミムラ)だった…。新一ははるかを待ち伏せ、真相を問いただす。するとはるかは「私と結婚してくれたら、全部教えてあげる」と言い、新一にある写真を見せる。その写真の中身は…!?</v>
      </c>
      <c r="O3658" s="2"/>
      <c r="P3658" s="1"/>
      <c r="Q3658" s="1"/>
      <c r="R3658" s="1"/>
      <c r="S3658" s="1"/>
      <c r="T3658" s="1"/>
      <c r="U3658" s="1"/>
      <c r="V3658" s="1"/>
      <c r="W3658" s="1"/>
      <c r="X3658" s="1"/>
      <c r="Y3658" s="1"/>
      <c r="Z3658" s="1"/>
      <c r="AA3658" s="1"/>
      <c r="AB3658" s="1"/>
      <c r="AC3658" s="1"/>
      <c r="AD3658" s="1"/>
      <c r="AE3658" s="1"/>
      <c r="AF3658" s="1"/>
      <c r="AG3658" s="1"/>
      <c r="AH3658" s="1"/>
      <c r="AI3658" s="1"/>
      <c r="AJ3658" s="1"/>
      <c r="AK3658" s="1"/>
      <c r="AL3658" s="1"/>
      <c r="AM3658" s="1"/>
      <c r="AN3658" s="1"/>
      <c r="AO3658" s="1"/>
      <c r="AP3658" s="1"/>
      <c r="AQ3658" s="1"/>
      <c r="AR3658" s="1"/>
      <c r="AS3658" s="1"/>
      <c r="AT3658" s="1"/>
      <c r="AU3658" s="1"/>
      <c r="AV3658" s="1"/>
      <c r="AW3658" s="1"/>
      <c r="AX3658" s="1"/>
      <c r="AY3658" s="1"/>
      <c r="AZ3658" s="1"/>
      <c r="BA3658" s="1"/>
      <c r="BB3658" s="1"/>
    </row>
    <row r="3659" ht="204.75" customHeight="1">
      <c r="A3659" s="1">
        <v>1637.0</v>
      </c>
      <c r="B3659" s="2" t="s">
        <v>11014</v>
      </c>
      <c r="C3659" s="2">
        <f>IFERROR(__xludf.DUMMYFUNCTION("split(B3659,""_"")"),1607.0)</f>
        <v>1607</v>
      </c>
      <c r="D3659" s="2" t="str">
        <f>IFERROR(__xludf.DUMMYFUNCTION("""COMPUTED_VALUE"""),"NTV")</f>
        <v>NTV</v>
      </c>
      <c r="E3659" s="2" t="str">
        <f>IFERROR(__xludf.DUMMYFUNCTION("""COMPUTED_VALUE"""),"日22")</f>
        <v>日22</v>
      </c>
      <c r="F3659" s="2" t="s">
        <v>11015</v>
      </c>
      <c r="G3659" s="2" t="s">
        <v>11025</v>
      </c>
      <c r="H3659" s="1">
        <v>4.0</v>
      </c>
      <c r="I3659" s="1" t="s">
        <v>2880</v>
      </c>
      <c r="J3659" s="1" t="s">
        <v>82</v>
      </c>
      <c r="K3659" s="2" t="s">
        <v>11026</v>
      </c>
      <c r="L3659" s="11" t="s">
        <v>11027</v>
      </c>
      <c r="M3659" s="2" t="str">
        <f>IFERROR(__xludf.DUMMYFUNCTION("split(split(K3659,""【演出"",false),""/黒木瞳"",false)"),"藤原竜也、玉山鉄二、二階堂ふみ、伊野尾慧  /志尊淳、今野浩喜、遠藤要、おのののか、桜井日奈子/  小市慢太郎、神保悟志、ヒロミ、鶴見辰吾")</f>
        <v>藤原竜也、玉山鉄二、二階堂ふみ、伊野尾慧  /志尊淳、今野浩喜、遠藤要、おのののか、桜井日奈子/  小市慢太郎、神保悟志、ヒロミ、鶴見辰吾</v>
      </c>
      <c r="N3659" s="2" t="str">
        <f>IFERROR(__xludf.DUMMYFUNCTION("""COMPUTED_VALUE"""),"新一(藤原竜也)は自分のニセモノを演じる川野瀬(遠藤要)に会い、「自分の人生を買い戻したい」と持ちかける。川野瀬は400万で新一に「業者」を紹介した。その業者は「ガキの使い」を名乗っていた馬場(小市慢太郎)だった。さらに馬場は新一を五木(志尊淳)の元に案内。「お前が全部仕組んでいたのか?!」と激高する新一だが、逆に五木から「先輩、早苗(二階堂ふみ)のこと、本当にわかっているんですか?」と問われ…")</f>
        <v>新一(藤原竜也)は自分のニセモノを演じる川野瀬(遠藤要)に会い、「自分の人生を買い戻したい」と持ちかける。川野瀬は400万で新一に「業者」を紹介した。その業者は「ガキの使い」を名乗っていた馬場(小市慢太郎)だった。さらに馬場は新一を五木(志尊淳)の元に案内。「お前が全部仕組んでいたのか?!」と激高する新一だが、逆に五木から「先輩、早苗(二階堂ふみ)のこと、本当にわかっているんですか?」と問われ…</v>
      </c>
      <c r="O3659" s="2"/>
      <c r="P3659" s="1"/>
      <c r="Q3659" s="1"/>
      <c r="R3659" s="1"/>
      <c r="S3659" s="1"/>
      <c r="T3659" s="1"/>
      <c r="U3659" s="1"/>
      <c r="V3659" s="1"/>
      <c r="W3659" s="1"/>
      <c r="X3659" s="1"/>
      <c r="Y3659" s="1"/>
      <c r="Z3659" s="1"/>
      <c r="AA3659" s="1"/>
      <c r="AB3659" s="1"/>
      <c r="AC3659" s="1"/>
      <c r="AD3659" s="1"/>
      <c r="AE3659" s="1"/>
      <c r="AF3659" s="1"/>
      <c r="AG3659" s="1"/>
      <c r="AH3659" s="1"/>
      <c r="AI3659" s="1"/>
      <c r="AJ3659" s="1"/>
      <c r="AK3659" s="1"/>
      <c r="AL3659" s="1"/>
      <c r="AM3659" s="1"/>
      <c r="AN3659" s="1"/>
      <c r="AO3659" s="1"/>
      <c r="AP3659" s="1"/>
      <c r="AQ3659" s="1"/>
      <c r="AR3659" s="1"/>
      <c r="AS3659" s="1"/>
      <c r="AT3659" s="1"/>
      <c r="AU3659" s="1"/>
      <c r="AV3659" s="1"/>
      <c r="AW3659" s="1"/>
      <c r="AX3659" s="1"/>
      <c r="AY3659" s="1"/>
      <c r="AZ3659" s="1"/>
      <c r="BA3659" s="1"/>
      <c r="BB3659" s="1"/>
    </row>
    <row r="3660" ht="204.75" customHeight="1">
      <c r="A3660" s="1">
        <v>1638.0</v>
      </c>
      <c r="B3660" s="2" t="s">
        <v>11014</v>
      </c>
      <c r="C3660" s="2">
        <f>IFERROR(__xludf.DUMMYFUNCTION("split(B3660,""_"")"),1607.0)</f>
        <v>1607</v>
      </c>
      <c r="D3660" s="2" t="str">
        <f>IFERROR(__xludf.DUMMYFUNCTION("""COMPUTED_VALUE"""),"NTV")</f>
        <v>NTV</v>
      </c>
      <c r="E3660" s="2" t="str">
        <f>IFERROR(__xludf.DUMMYFUNCTION("""COMPUTED_VALUE"""),"日22")</f>
        <v>日22</v>
      </c>
      <c r="F3660" s="2" t="s">
        <v>11015</v>
      </c>
      <c r="G3660" s="2" t="s">
        <v>11028</v>
      </c>
      <c r="H3660" s="1">
        <v>5.0</v>
      </c>
      <c r="I3660" s="1" t="s">
        <v>2884</v>
      </c>
      <c r="J3660" s="1" t="s">
        <v>82</v>
      </c>
      <c r="K3660" s="2" t="s">
        <v>11029</v>
      </c>
      <c r="L3660" s="11" t="s">
        <v>11030</v>
      </c>
      <c r="M3660" s="2" t="str">
        <f>IFERROR(__xludf.DUMMYFUNCTION("split(split(K3660,""【演出"",false),""/黒木瞳"",false)"),"藤原竜也、玉山鉄二、二階堂ふみ、伊野尾慧  /志尊淳、今野浩喜、遠藤要、おのののか、桜井日奈子/  小市慢太郎、神保悟志、ヒロミ、鶴見辰吾")</f>
        <v>藤原竜也、玉山鉄二、二階堂ふみ、伊野尾慧  /志尊淳、今野浩喜、遠藤要、おのののか、桜井日奈子/  小市慢太郎、神保悟志、ヒロミ、鶴見辰吾</v>
      </c>
      <c r="N3660" s="2" t="str">
        <f>IFERROR(__xludf.DUMMYFUNCTION("""COMPUTED_VALUE"""),"新一(藤原竜也)の目の前で、斉藤(今野浩喜)が死んだ。親しい友人を2人亡くした新一はパニックに陥る。そんな新一をなぐさめたのは日下(伊野尾慧)だった。日下は新一に「自分もパーソナル・ナンバーを持っていない」と告白する。日下も新一と同じく「存在していない」人間だったのだ。そのとき、新一たちはガスを吸わされ意識を失ってしまう。新一は謎の真っ白い部屋で目覚め、見知らぬ少女・砂央里(桜井日奈子)に出会う。")</f>
        <v>新一(藤原竜也)の目の前で、斉藤(今野浩喜)が死んだ。親しい友人を2人亡くした新一はパニックに陥る。そんな新一をなぐさめたのは日下(伊野尾慧)だった。日下は新一に「自分もパーソナル・ナンバーを持っていない」と告白する。日下も新一と同じく「存在していない」人間だったのだ。そのとき、新一たちはガスを吸わされ意識を失ってしまう。新一は謎の真っ白い部屋で目覚め、見知らぬ少女・砂央里(桜井日奈子)に出会う。</v>
      </c>
      <c r="O3660" s="2"/>
      <c r="P3660" s="1"/>
      <c r="Q3660" s="1"/>
      <c r="R3660" s="1"/>
      <c r="S3660" s="1"/>
      <c r="T3660" s="1"/>
      <c r="U3660" s="1"/>
      <c r="V3660" s="1"/>
      <c r="W3660" s="1"/>
      <c r="X3660" s="1"/>
      <c r="Y3660" s="1"/>
      <c r="Z3660" s="1"/>
      <c r="AA3660" s="1"/>
      <c r="AB3660" s="1"/>
      <c r="AC3660" s="1"/>
      <c r="AD3660" s="1"/>
      <c r="AE3660" s="1"/>
      <c r="AF3660" s="1"/>
      <c r="AG3660" s="1"/>
      <c r="AH3660" s="1"/>
      <c r="AI3660" s="1"/>
      <c r="AJ3660" s="1"/>
      <c r="AK3660" s="1"/>
      <c r="AL3660" s="1"/>
      <c r="AM3660" s="1"/>
      <c r="AN3660" s="1"/>
      <c r="AO3660" s="1"/>
      <c r="AP3660" s="1"/>
      <c r="AQ3660" s="1"/>
      <c r="AR3660" s="1"/>
      <c r="AS3660" s="1"/>
      <c r="AT3660" s="1"/>
      <c r="AU3660" s="1"/>
      <c r="AV3660" s="1"/>
      <c r="AW3660" s="1"/>
      <c r="AX3660" s="1"/>
      <c r="AY3660" s="1"/>
      <c r="AZ3660" s="1"/>
      <c r="BA3660" s="1"/>
      <c r="BB3660" s="1"/>
    </row>
    <row r="3661" ht="204.75" customHeight="1">
      <c r="A3661" s="1">
        <v>1639.0</v>
      </c>
      <c r="B3661" s="2" t="s">
        <v>11014</v>
      </c>
      <c r="C3661" s="2">
        <f>IFERROR(__xludf.DUMMYFUNCTION("split(B3661,""_"")"),1607.0)</f>
        <v>1607</v>
      </c>
      <c r="D3661" s="2" t="str">
        <f>IFERROR(__xludf.DUMMYFUNCTION("""COMPUTED_VALUE"""),"NTV")</f>
        <v>NTV</v>
      </c>
      <c r="E3661" s="2" t="str">
        <f>IFERROR(__xludf.DUMMYFUNCTION("""COMPUTED_VALUE"""),"日22")</f>
        <v>日22</v>
      </c>
      <c r="F3661" s="2" t="s">
        <v>11015</v>
      </c>
      <c r="G3661" s="2" t="s">
        <v>11031</v>
      </c>
      <c r="H3661" s="1">
        <v>6.0</v>
      </c>
      <c r="I3661" s="1" t="s">
        <v>2888</v>
      </c>
      <c r="J3661" s="1" t="s">
        <v>82</v>
      </c>
      <c r="K3661" s="2" t="s">
        <v>11032</v>
      </c>
      <c r="L3661" s="11" t="s">
        <v>11033</v>
      </c>
      <c r="M3661" s="2" t="str">
        <f>IFERROR(__xludf.DUMMYFUNCTION("split(split(K3661,""【演出"",false),""/黒木瞳"",false)"),"藤原竜也、玉山鉄二、二階堂ふみ、伊野尾慧  /志尊淳、今野浩喜、遠藤要、おのののか、桜井日奈子/  ミムラ/小市慢太郎、神保悟志、ヒロミ、鶴見辰吾")</f>
        <v>藤原竜也、玉山鉄二、二階堂ふみ、伊野尾慧  /志尊淳、今野浩喜、遠藤要、おのののか、桜井日奈子/  ミムラ/小市慢太郎、神保悟志、ヒロミ、鶴見辰吾</v>
      </c>
      <c r="N3661" s="2" t="str">
        <f>IFERROR(__xludf.DUMMYFUNCTION("""COMPUTED_VALUE"""),"　新一(藤原竜也)は謎の声に「誰とも繋がり合えない、孤独な世界を作りたい」と要求され、日下(伊野尾慧)たちと共に謎の声の指令に従うことに。そして新一はそのまま姿を消し、1か月が経った…。小山内(玉山鉄二)は新一の行方を探すが、ある日「藤堂新一からのプレゼントだ」と謎の男に殴られ気絶する。気が付けば車のトランクの中で、車はそのまま海へと飛び込み…!?鬼と化した主人公の復讐が始まったのだ…")</f>
        <v>　新一(藤原竜也)は謎の声に「誰とも繋がり合えない、孤独な世界を作りたい」と要求され、日下(伊野尾慧)たちと共に謎の声の指令に従うことに。そして新一はそのまま姿を消し、1か月が経った…。小山内(玉山鉄二)は新一の行方を探すが、ある日「藤堂新一からのプレゼントだ」と謎の男に殴られ気絶する。気が付けば車のトランクの中で、車はそのまま海へと飛び込み…!?鬼と化した主人公の復讐が始まったのだ…</v>
      </c>
      <c r="O3661" s="2"/>
      <c r="P3661" s="1"/>
      <c r="Q3661" s="1"/>
      <c r="R3661" s="1"/>
      <c r="S3661" s="1"/>
      <c r="T3661" s="1"/>
      <c r="U3661" s="1"/>
      <c r="V3661" s="1"/>
      <c r="W3661" s="1"/>
      <c r="X3661" s="1"/>
      <c r="Y3661" s="1"/>
      <c r="Z3661" s="1"/>
      <c r="AA3661" s="1"/>
      <c r="AB3661" s="1"/>
      <c r="AC3661" s="1"/>
      <c r="AD3661" s="1"/>
      <c r="AE3661" s="1"/>
      <c r="AF3661" s="1"/>
      <c r="AG3661" s="1"/>
      <c r="AH3661" s="1"/>
      <c r="AI3661" s="1"/>
      <c r="AJ3661" s="1"/>
      <c r="AK3661" s="1"/>
      <c r="AL3661" s="1"/>
      <c r="AM3661" s="1"/>
      <c r="AN3661" s="1"/>
      <c r="AO3661" s="1"/>
      <c r="AP3661" s="1"/>
      <c r="AQ3661" s="1"/>
      <c r="AR3661" s="1"/>
      <c r="AS3661" s="1"/>
      <c r="AT3661" s="1"/>
      <c r="AU3661" s="1"/>
      <c r="AV3661" s="1"/>
      <c r="AW3661" s="1"/>
      <c r="AX3661" s="1"/>
      <c r="AY3661" s="1"/>
      <c r="AZ3661" s="1"/>
      <c r="BA3661" s="1"/>
      <c r="BB3661" s="1"/>
    </row>
    <row r="3662" ht="204.75" customHeight="1">
      <c r="A3662" s="1">
        <v>1640.0</v>
      </c>
      <c r="B3662" s="2" t="s">
        <v>11014</v>
      </c>
      <c r="C3662" s="2">
        <f>IFERROR(__xludf.DUMMYFUNCTION("split(B3662,""_"")"),1607.0)</f>
        <v>1607</v>
      </c>
      <c r="D3662" s="2" t="str">
        <f>IFERROR(__xludf.DUMMYFUNCTION("""COMPUTED_VALUE"""),"NTV")</f>
        <v>NTV</v>
      </c>
      <c r="E3662" s="2" t="str">
        <f>IFERROR(__xludf.DUMMYFUNCTION("""COMPUTED_VALUE"""),"日22")</f>
        <v>日22</v>
      </c>
      <c r="F3662" s="2" t="s">
        <v>11015</v>
      </c>
      <c r="G3662" s="2" t="s">
        <v>11034</v>
      </c>
      <c r="H3662" s="1">
        <v>7.0</v>
      </c>
      <c r="I3662" s="1" t="s">
        <v>2892</v>
      </c>
      <c r="J3662" s="1" t="s">
        <v>82</v>
      </c>
      <c r="K3662" s="2" t="s">
        <v>11035</v>
      </c>
      <c r="L3662" s="11" t="s">
        <v>11036</v>
      </c>
      <c r="M3662" s="2" t="str">
        <f>IFERROR(__xludf.DUMMYFUNCTION("split(split(K3662,""【演出"",false),""/黒木瞳"",false)"),"藤原竜也、玉山鉄二、二階堂ふみ、伊野尾慧  /志尊淳、今野浩喜、遠藤要、おのののか、桜井日奈子/  小市慢太郎、神保悟志、ヒロミ、鶴見辰吾")</f>
        <v>藤原竜也、玉山鉄二、二階堂ふみ、伊野尾慧  /志尊淳、今野浩喜、遠藤要、おのののか、桜井日奈子/  小市慢太郎、神保悟志、ヒロミ、鶴見辰吾</v>
      </c>
      <c r="N3662" s="2" t="str">
        <f>IFERROR(__xludf.DUMMYFUNCTION("""COMPUTED_VALUE"""),"新一(藤原竜也)は瑛治(伊野尾慧)たちと共に、複数のドローンを使ったある計画を進めていた。それは、日本国民全員を脅かすものだった。その実行が刻一刻と迫る中、車のトランクに閉じ込められたまま海に落ちた小山内(玉山鉄二)は奇跡的に命を取り留めていた。そして早苗(二階堂ふみ)と共に、新一の母・万紀子(黒木瞳)に呼び出された、とある山荘へ向かう。そこで彼らは、あってはならないものを発見してしまいーー。")</f>
        <v>新一(藤原竜也)は瑛治(伊野尾慧)たちと共に、複数のドローンを使ったある計画を進めていた。それは、日本国民全員を脅かすものだった。その実行が刻一刻と迫る中、車のトランクに閉じ込められたまま海に落ちた小山内(玉山鉄二)は奇跡的に命を取り留めていた。そして早苗(二階堂ふみ)と共に、新一の母・万紀子(黒木瞳)に呼び出された、とある山荘へ向かう。そこで彼らは、あってはならないものを発見してしまいーー。</v>
      </c>
      <c r="O3662" s="2"/>
      <c r="P3662" s="1"/>
      <c r="Q3662" s="1"/>
      <c r="R3662" s="1"/>
      <c r="S3662" s="1"/>
      <c r="T3662" s="1"/>
      <c r="U3662" s="1"/>
      <c r="V3662" s="1"/>
      <c r="W3662" s="1"/>
      <c r="X3662" s="1"/>
      <c r="Y3662" s="1"/>
      <c r="Z3662" s="1"/>
      <c r="AA3662" s="1"/>
      <c r="AB3662" s="1"/>
      <c r="AC3662" s="1"/>
      <c r="AD3662" s="1"/>
      <c r="AE3662" s="1"/>
      <c r="AF3662" s="1"/>
      <c r="AG3662" s="1"/>
      <c r="AH3662" s="1"/>
      <c r="AI3662" s="1"/>
      <c r="AJ3662" s="1"/>
      <c r="AK3662" s="1"/>
      <c r="AL3662" s="1"/>
      <c r="AM3662" s="1"/>
      <c r="AN3662" s="1"/>
      <c r="AO3662" s="1"/>
      <c r="AP3662" s="1"/>
      <c r="AQ3662" s="1"/>
      <c r="AR3662" s="1"/>
      <c r="AS3662" s="1"/>
      <c r="AT3662" s="1"/>
      <c r="AU3662" s="1"/>
      <c r="AV3662" s="1"/>
      <c r="AW3662" s="1"/>
      <c r="AX3662" s="1"/>
      <c r="AY3662" s="1"/>
      <c r="AZ3662" s="1"/>
      <c r="BA3662" s="1"/>
      <c r="BB3662" s="1"/>
    </row>
    <row r="3663" ht="204.75" customHeight="1">
      <c r="A3663" s="1">
        <v>1641.0</v>
      </c>
      <c r="B3663" s="2" t="s">
        <v>11014</v>
      </c>
      <c r="C3663" s="2">
        <f>IFERROR(__xludf.DUMMYFUNCTION("split(B3663,""_"")"),1607.0)</f>
        <v>1607</v>
      </c>
      <c r="D3663" s="2" t="str">
        <f>IFERROR(__xludf.DUMMYFUNCTION("""COMPUTED_VALUE"""),"NTV")</f>
        <v>NTV</v>
      </c>
      <c r="E3663" s="2" t="str">
        <f>IFERROR(__xludf.DUMMYFUNCTION("""COMPUTED_VALUE"""),"日22")</f>
        <v>日22</v>
      </c>
      <c r="F3663" s="2" t="s">
        <v>11015</v>
      </c>
      <c r="G3663" s="2" t="s">
        <v>11037</v>
      </c>
      <c r="H3663" s="1">
        <v>8.0</v>
      </c>
      <c r="I3663" s="1" t="s">
        <v>2896</v>
      </c>
      <c r="J3663" s="1" t="s">
        <v>82</v>
      </c>
      <c r="K3663" s="2" t="s">
        <v>11038</v>
      </c>
      <c r="L3663" s="11" t="s">
        <v>11039</v>
      </c>
      <c r="M3663" s="2" t="str">
        <f>IFERROR(__xludf.DUMMYFUNCTION("split(split(K3663,""【演出"",false),""/黒木瞳"",false)"),"藤原竜也、玉山鉄二、二階堂ふみ、伊野尾慧  /桜井日奈子、小市慢太郎、神保悟志、ヒロミ")</f>
        <v>藤原竜也、玉山鉄二、二階堂ふみ、伊野尾慧  /桜井日奈子、小市慢太郎、神保悟志、ヒロミ</v>
      </c>
      <c r="N3663" s="2" t="str">
        <f>IFERROR(__xludf.DUMMYFUNCTION("""COMPUTED_VALUE"""),"新一(藤原竜也)の計画通り、爆弾を搭載した複数のドローンが屋上から飛び立った。狙うは国のデータサーバー。新一は国民全員のパーソナル・ナンバーを消そうとしているのだ。国民全員が名前も身分も失い、社会的信用を失う。新一がそうだったように…。それを必死に止めようと、親友の小山内(玉山鉄二)は新一を追い続ける。「さあ、世界の終わりが始まるぞ」……新一がつぶやいたその時、ドローンが一斉にUターンを始めた!")</f>
        <v>新一(藤原竜也)の計画通り、爆弾を搭載した複数のドローンが屋上から飛び立った。狙うは国のデータサーバー。新一は国民全員のパーソナル・ナンバーを消そうとしているのだ。国民全員が名前も身分も失い、社会的信用を失う。新一がそうだったように…。それを必死に止めようと、親友の小山内(玉山鉄二)は新一を追い続ける。「さあ、世界の終わりが始まるぞ」……新一がつぶやいたその時、ドローンが一斉にUターンを始めた!</v>
      </c>
      <c r="O3663" s="2"/>
      <c r="P3663" s="1"/>
      <c r="Q3663" s="1"/>
      <c r="R3663" s="1"/>
      <c r="S3663" s="1"/>
      <c r="T3663" s="1"/>
      <c r="U3663" s="1"/>
      <c r="V3663" s="1"/>
      <c r="W3663" s="1"/>
      <c r="X3663" s="1"/>
      <c r="Y3663" s="1"/>
      <c r="Z3663" s="1"/>
      <c r="AA3663" s="1"/>
      <c r="AB3663" s="1"/>
      <c r="AC3663" s="1"/>
      <c r="AD3663" s="1"/>
      <c r="AE3663" s="1"/>
      <c r="AF3663" s="1"/>
      <c r="AG3663" s="1"/>
      <c r="AH3663" s="1"/>
      <c r="AI3663" s="1"/>
      <c r="AJ3663" s="1"/>
      <c r="AK3663" s="1"/>
      <c r="AL3663" s="1"/>
      <c r="AM3663" s="1"/>
      <c r="AN3663" s="1"/>
      <c r="AO3663" s="1"/>
      <c r="AP3663" s="1"/>
      <c r="AQ3663" s="1"/>
      <c r="AR3663" s="1"/>
      <c r="AS3663" s="1"/>
      <c r="AT3663" s="1"/>
      <c r="AU3663" s="1"/>
      <c r="AV3663" s="1"/>
      <c r="AW3663" s="1"/>
      <c r="AX3663" s="1"/>
      <c r="AY3663" s="1"/>
      <c r="AZ3663" s="1"/>
      <c r="BA3663" s="1"/>
      <c r="BB3663" s="1"/>
    </row>
    <row r="3664" ht="204.75" customHeight="1">
      <c r="A3664" s="1">
        <v>1642.0</v>
      </c>
      <c r="B3664" s="2" t="s">
        <v>11014</v>
      </c>
      <c r="C3664" s="2">
        <f>IFERROR(__xludf.DUMMYFUNCTION("split(B3664,""_"")"),1607.0)</f>
        <v>1607</v>
      </c>
      <c r="D3664" s="2" t="str">
        <f>IFERROR(__xludf.DUMMYFUNCTION("""COMPUTED_VALUE"""),"NTV")</f>
        <v>NTV</v>
      </c>
      <c r="E3664" s="2" t="str">
        <f>IFERROR(__xludf.DUMMYFUNCTION("""COMPUTED_VALUE"""),"日22")</f>
        <v>日22</v>
      </c>
      <c r="F3664" s="2" t="s">
        <v>11015</v>
      </c>
      <c r="G3664" s="2" t="s">
        <v>11040</v>
      </c>
      <c r="H3664" s="1">
        <v>9.0</v>
      </c>
      <c r="I3664" s="1" t="s">
        <v>2900</v>
      </c>
      <c r="J3664" s="1" t="s">
        <v>82</v>
      </c>
      <c r="K3664" s="2" t="s">
        <v>11041</v>
      </c>
      <c r="L3664" s="11" t="s">
        <v>11042</v>
      </c>
      <c r="M3664" s="2" t="str">
        <f>IFERROR(__xludf.DUMMYFUNCTION("split(split(K3664,""【演出"",false),""/黒木瞳"",false)"),"藤原竜也、玉山鉄二、二階堂ふみ、伊野尾慧  /志尊淳、遠藤要、おのののか、小市慢太郎、  神保悟志、ヒロミ、鶴見辰吾")</f>
        <v>藤原竜也、玉山鉄二、二階堂ふみ、伊野尾慧  /志尊淳、遠藤要、おのののか、小市慢太郎、  神保悟志、ヒロミ、鶴見辰吾</v>
      </c>
      <c r="N3664" s="2" t="str">
        <f>IFERROR(__xludf.DUMMYFUNCTION("""COMPUTED_VALUE"""),"新一(藤原竜也)の背後に、車いすから立ち上がり、ナイフを持った万紀子(黒木瞳)が迫った。新一が驚いて振り向くと、万紀子はその場に崩れ落ちる。そのとき万紀子に電話がかかってきた。電話口から聞こえたのは日下(伊野尾慧)の声。「どう?殺した?」ーー遂にすべての謎が解き明かされる。そして、日下から驚きの提案が…「俺が憎いでしょう?　いまから俺を殺してみませんか?」ーー果たして、新一の決断は?")</f>
        <v>新一(藤原竜也)の背後に、車いすから立ち上がり、ナイフを持った万紀子(黒木瞳)が迫った。新一が驚いて振り向くと、万紀子はその場に崩れ落ちる。そのとき万紀子に電話がかかってきた。電話口から聞こえたのは日下(伊野尾慧)の声。「どう?殺した?」ーー遂にすべての謎が解き明かされる。そして、日下から驚きの提案が…「俺が憎いでしょう?　いまから俺を殺してみませんか?」ーー果たして、新一の決断は?</v>
      </c>
      <c r="O3664" s="2"/>
      <c r="P3664" s="1"/>
      <c r="Q3664" s="1"/>
      <c r="R3664" s="1"/>
      <c r="S3664" s="1"/>
      <c r="T3664" s="1"/>
      <c r="U3664" s="1"/>
      <c r="V3664" s="1"/>
      <c r="W3664" s="1"/>
      <c r="X3664" s="1"/>
      <c r="Y3664" s="1"/>
      <c r="Z3664" s="1"/>
      <c r="AA3664" s="1"/>
      <c r="AB3664" s="1"/>
      <c r="AC3664" s="1"/>
      <c r="AD3664" s="1"/>
      <c r="AE3664" s="1"/>
      <c r="AF3664" s="1"/>
      <c r="AG3664" s="1"/>
      <c r="AH3664" s="1"/>
      <c r="AI3664" s="1"/>
      <c r="AJ3664" s="1"/>
      <c r="AK3664" s="1"/>
      <c r="AL3664" s="1"/>
      <c r="AM3664" s="1"/>
      <c r="AN3664" s="1"/>
      <c r="AO3664" s="1"/>
      <c r="AP3664" s="1"/>
      <c r="AQ3664" s="1"/>
      <c r="AR3664" s="1"/>
      <c r="AS3664" s="1"/>
      <c r="AT3664" s="1"/>
      <c r="AU3664" s="1"/>
      <c r="AV3664" s="1"/>
      <c r="AW3664" s="1"/>
      <c r="AX3664" s="1"/>
      <c r="AY3664" s="1"/>
      <c r="AZ3664" s="1"/>
      <c r="BA3664" s="1"/>
      <c r="BB3664" s="1"/>
    </row>
    <row r="3665" ht="204.75" customHeight="1">
      <c r="A3665" s="1">
        <v>1672.0</v>
      </c>
      <c r="B3665" s="2" t="s">
        <v>11043</v>
      </c>
      <c r="C3665" s="2">
        <f>IFERROR(__xludf.DUMMYFUNCTION("split(B3665,""_"")"),1604.0)</f>
        <v>1604</v>
      </c>
      <c r="D3665" s="2" t="str">
        <f>IFERROR(__xludf.DUMMYFUNCTION("""COMPUTED_VALUE"""),"NTV")</f>
        <v>NTV</v>
      </c>
      <c r="E3665" s="2" t="str">
        <f>IFERROR(__xludf.DUMMYFUNCTION("""COMPUTED_VALUE"""),"水22")</f>
        <v>水22</v>
      </c>
      <c r="F3665" s="2" t="s">
        <v>11044</v>
      </c>
      <c r="G3665" s="2" t="s">
        <v>11045</v>
      </c>
      <c r="H3665" s="1">
        <v>1.0</v>
      </c>
      <c r="J3665" s="1" t="s">
        <v>82</v>
      </c>
      <c r="K3665" s="2" t="s">
        <v>11046</v>
      </c>
      <c r="L3665" s="11" t="s">
        <v>11047</v>
      </c>
      <c r="M3665" s="2" t="str">
        <f>IFERROR(__xludf.DUMMYFUNCTION("split(split(K3665,""【演出"",false),""ほか"",false)"),"大野智、波瑠、小池栄子、小瀧望(ジャニーズWEST)、清水富美加、西堀亮(マシンガンズ)、若林誠、札内幸太/杉本哲太/丸山智己、三宅弘城/北村一輝  美保純、山野海、中村アン、鈴之助、")</f>
        <v>大野智、波瑠、小池栄子、小瀧望(ジャニーズWEST)、清水富美加、西堀亮(マシンガンズ)、若林誠、札内幸太/杉本哲太/丸山智己、三宅弘城/北村一輝  美保純、山野海、中村アン、鈴之助、</v>
      </c>
      <c r="N3665" s="2" t="str">
        <f>IFERROR(__xludf.DUMMYFUNCTION("""COMPUTED_VALUE"""),"日本を代表する一流ホテルグループを経営する若き社長・鮫島零治(大野智)は、年収はピカイチでなかなかのイケメン。だが、女性を喜ばせることに掛けては1ミリも才能がない「性格難あり」男だった!そんな彼が、超マイペース女・柴山美咲(波瑠)に、まさかの初恋!恋愛経験ゼロの不器用すぎる恋のアプローチがはじまる!高スペックだけど性格ダメ男・鮫島零治の、世界一難しい恋はどうなるのか!?")</f>
        <v>日本を代表する一流ホテルグループを経営する若き社長・鮫島零治(大野智)は、年収はピカイチでなかなかのイケメン。だが、女性を喜ばせることに掛けては1ミリも才能がない「性格難あり」男だった!そんな彼が、超マイペース女・柴山美咲(波瑠)に、まさかの初恋!恋愛経験ゼロの不器用すぎる恋のアプローチがはじまる!高スペックだけど性格ダメ男・鮫島零治の、世界一難しい恋はどうなるのか!?</v>
      </c>
      <c r="O3665" s="2"/>
      <c r="P3665" s="1"/>
      <c r="Q3665" s="1"/>
      <c r="R3665" s="1"/>
      <c r="S3665" s="1"/>
      <c r="T3665" s="1"/>
      <c r="U3665" s="1"/>
      <c r="V3665" s="1"/>
      <c r="W3665" s="1"/>
      <c r="X3665" s="1"/>
      <c r="Y3665" s="1"/>
      <c r="Z3665" s="1"/>
      <c r="AA3665" s="1"/>
      <c r="AB3665" s="1"/>
      <c r="AC3665" s="1"/>
      <c r="AD3665" s="1"/>
      <c r="AE3665" s="1"/>
      <c r="AF3665" s="1"/>
      <c r="AG3665" s="1"/>
      <c r="AH3665" s="1"/>
      <c r="AI3665" s="1"/>
      <c r="AJ3665" s="1"/>
      <c r="AK3665" s="1"/>
      <c r="AL3665" s="1"/>
      <c r="AM3665" s="1"/>
      <c r="AN3665" s="1"/>
      <c r="AO3665" s="1"/>
      <c r="AP3665" s="1"/>
      <c r="AQ3665" s="1"/>
      <c r="AR3665" s="1"/>
      <c r="AS3665" s="1"/>
      <c r="AT3665" s="1"/>
      <c r="AU3665" s="1"/>
      <c r="AV3665" s="1"/>
      <c r="AW3665" s="1"/>
      <c r="AX3665" s="1"/>
      <c r="AY3665" s="1"/>
      <c r="AZ3665" s="1"/>
      <c r="BA3665" s="1"/>
      <c r="BB3665" s="1"/>
    </row>
    <row r="3666" ht="204.75" customHeight="1">
      <c r="A3666" s="1">
        <v>1673.0</v>
      </c>
      <c r="B3666" s="2" t="s">
        <v>11043</v>
      </c>
      <c r="C3666" s="2">
        <f>IFERROR(__xludf.DUMMYFUNCTION("split(B3666,""_"")"),1604.0)</f>
        <v>1604</v>
      </c>
      <c r="D3666" s="2" t="str">
        <f>IFERROR(__xludf.DUMMYFUNCTION("""COMPUTED_VALUE"""),"NTV")</f>
        <v>NTV</v>
      </c>
      <c r="E3666" s="2" t="str">
        <f>IFERROR(__xludf.DUMMYFUNCTION("""COMPUTED_VALUE"""),"水22")</f>
        <v>水22</v>
      </c>
      <c r="F3666" s="2" t="s">
        <v>11044</v>
      </c>
      <c r="G3666" s="2" t="s">
        <v>11048</v>
      </c>
      <c r="H3666" s="1">
        <v>2.0</v>
      </c>
      <c r="J3666" s="1" t="s">
        <v>82</v>
      </c>
      <c r="K3666" s="4" t="s">
        <v>11049</v>
      </c>
      <c r="L3666" s="11" t="s">
        <v>11050</v>
      </c>
      <c r="M3666" s="2" t="str">
        <f>IFERROR(__xludf.DUMMYFUNCTION("split(split(K3666,""【演出"",false),""/北村一輝"",false)"),"大野智、波瑠、小池栄子、小瀧望(ジャニーズWEST)、清水富美加、西堀亮(マシンガンズ)、若林誠、札内幸太/杉本哲太/丸山智己、三宅弘城")</f>
        <v>大野智、波瑠、小池栄子、小瀧望(ジャニーズWEST)、清水富美加、西堀亮(マシンガンズ)、若林誠、札内幸太/杉本哲太/丸山智己、三宅弘城</v>
      </c>
      <c r="N3666" s="2" t="str">
        <f>IFERROR(__xludf.DUMMYFUNCTION("""COMPUTED_VALUE"""),"美咲(波瑠)にベルギー人の恋人がいるらしいと知った零治(大野智)。彼は、社内イチのチャラ男・三浦(小瀧望)に調べさせ、美咲はベルギー人と付き合っていたがすでに別れたと知る。美咲の過去を気にして手を引こうとした零治だったが、あきらめきれず、彼女の心をつかむため一切変えたことのない自分の行いを改める。そして、美咲とデートするために行動に出るのだが…")</f>
        <v>美咲(波瑠)にベルギー人の恋人がいるらしいと知った零治(大野智)。彼は、社内イチのチャラ男・三浦(小瀧望)に調べさせ、美咲はベルギー人と付き合っていたがすでに別れたと知る。美咲の過去を気にして手を引こうとした零治だったが、あきらめきれず、彼女の心をつかむため一切変えたことのない自分の行いを改める。そして、美咲とデートするために行動に出るのだが…</v>
      </c>
      <c r="O3666" s="2"/>
      <c r="P3666" s="1"/>
      <c r="Q3666" s="1"/>
      <c r="R3666" s="1"/>
      <c r="S3666" s="1"/>
      <c r="T3666" s="1"/>
      <c r="U3666" s="1"/>
      <c r="V3666" s="1"/>
      <c r="W3666" s="1"/>
      <c r="X3666" s="1"/>
      <c r="Y3666" s="1"/>
      <c r="Z3666" s="1"/>
      <c r="AA3666" s="1"/>
      <c r="AB3666" s="1"/>
      <c r="AC3666" s="1"/>
      <c r="AD3666" s="1"/>
      <c r="AE3666" s="1"/>
      <c r="AF3666" s="1"/>
      <c r="AG3666" s="1"/>
      <c r="AH3666" s="1"/>
      <c r="AI3666" s="1"/>
      <c r="AJ3666" s="1"/>
      <c r="AK3666" s="1"/>
      <c r="AL3666" s="1"/>
      <c r="AM3666" s="1"/>
      <c r="AN3666" s="1"/>
      <c r="AO3666" s="1"/>
      <c r="AP3666" s="1"/>
      <c r="AQ3666" s="1"/>
      <c r="AR3666" s="1"/>
      <c r="AS3666" s="1"/>
      <c r="AT3666" s="1"/>
      <c r="AU3666" s="1"/>
      <c r="AV3666" s="1"/>
      <c r="AW3666" s="1"/>
      <c r="AX3666" s="1"/>
      <c r="AY3666" s="1"/>
      <c r="AZ3666" s="1"/>
      <c r="BA3666" s="1"/>
      <c r="BB3666" s="1"/>
    </row>
    <row r="3667" ht="204.75" customHeight="1">
      <c r="A3667" s="1">
        <v>1674.0</v>
      </c>
      <c r="B3667" s="2" t="s">
        <v>11043</v>
      </c>
      <c r="C3667" s="2">
        <f>IFERROR(__xludf.DUMMYFUNCTION("split(B3667,""_"")"),1604.0)</f>
        <v>1604</v>
      </c>
      <c r="D3667" s="2" t="str">
        <f>IFERROR(__xludf.DUMMYFUNCTION("""COMPUTED_VALUE"""),"NTV")</f>
        <v>NTV</v>
      </c>
      <c r="E3667" s="2" t="str">
        <f>IFERROR(__xludf.DUMMYFUNCTION("""COMPUTED_VALUE"""),"水22")</f>
        <v>水22</v>
      </c>
      <c r="F3667" s="2" t="s">
        <v>11044</v>
      </c>
      <c r="G3667" s="2" t="s">
        <v>11051</v>
      </c>
      <c r="H3667" s="1">
        <v>3.0</v>
      </c>
      <c r="J3667" s="1" t="s">
        <v>82</v>
      </c>
      <c r="K3667" s="2" t="s">
        <v>11052</v>
      </c>
      <c r="L3667" s="11" t="s">
        <v>11053</v>
      </c>
      <c r="M3667" s="2" t="str">
        <f>IFERROR(__xludf.DUMMYFUNCTION("split(split(K3667,""【演出"",false),""/北村一輝"",false)"),"大野智、波瑠、小池栄子、小瀧望(ジャニーズWEST)、清水富美加、西堀亮(マシンガンズ)、若林誠、札内幸太/杉本哲太/丸山智己、三宅弘城")</f>
        <v>大野智、波瑠、小池栄子、小瀧望(ジャニーズWEST)、清水富美加、西堀亮(マシンガンズ)、若林誠、札内幸太/杉本哲太/丸山智己、三宅弘城</v>
      </c>
      <c r="N3667" s="2" t="str">
        <f>IFERROR(__xludf.DUMMYFUNCTION("""COMPUTED_VALUE"""),"人生で初めての恋に落ちている一流ホテル社長・鮫島零治(大野智)は、その気持ちを相手の超マイペース女・美咲(波瑠)に伝えようと決意する。しかし、恋愛経験ゼロの零治が思いつく告白方法はまったくの的外れ…。そんな中、美咲がライバル社長・和田(北村一輝)と会っていたと知るや、二人の関係を疑い彼女をクビにすると宣言してしまう。果たして、零治はうまく気持ちを伝えることができるのか?")</f>
        <v>人生で初めての恋に落ちている一流ホテル社長・鮫島零治(大野智)は、その気持ちを相手の超マイペース女・美咲(波瑠)に伝えようと決意する。しかし、恋愛経験ゼロの零治が思いつく告白方法はまったくの的外れ…。そんな中、美咲がライバル社長・和田(北村一輝)と会っていたと知るや、二人の関係を疑い彼女をクビにすると宣言してしまう。果たして、零治はうまく気持ちを伝えることができるのか?</v>
      </c>
      <c r="O3667" s="2"/>
      <c r="P3667" s="1"/>
      <c r="Q3667" s="1"/>
      <c r="R3667" s="1"/>
      <c r="S3667" s="1"/>
      <c r="T3667" s="1"/>
      <c r="U3667" s="1"/>
      <c r="V3667" s="1"/>
      <c r="W3667" s="1"/>
      <c r="X3667" s="1"/>
      <c r="Y3667" s="1"/>
      <c r="Z3667" s="1"/>
      <c r="AA3667" s="1"/>
      <c r="AB3667" s="1"/>
      <c r="AC3667" s="1"/>
      <c r="AD3667" s="1"/>
      <c r="AE3667" s="1"/>
      <c r="AF3667" s="1"/>
      <c r="AG3667" s="1"/>
      <c r="AH3667" s="1"/>
      <c r="AI3667" s="1"/>
      <c r="AJ3667" s="1"/>
      <c r="AK3667" s="1"/>
      <c r="AL3667" s="1"/>
      <c r="AM3667" s="1"/>
      <c r="AN3667" s="1"/>
      <c r="AO3667" s="1"/>
      <c r="AP3667" s="1"/>
      <c r="AQ3667" s="1"/>
      <c r="AR3667" s="1"/>
      <c r="AS3667" s="1"/>
      <c r="AT3667" s="1"/>
      <c r="AU3667" s="1"/>
      <c r="AV3667" s="1"/>
      <c r="AW3667" s="1"/>
      <c r="AX3667" s="1"/>
      <c r="AY3667" s="1"/>
      <c r="AZ3667" s="1"/>
      <c r="BA3667" s="1"/>
      <c r="BB3667" s="1"/>
    </row>
    <row r="3668" ht="204.75" customHeight="1">
      <c r="A3668" s="1">
        <v>1675.0</v>
      </c>
      <c r="B3668" s="2" t="s">
        <v>11043</v>
      </c>
      <c r="C3668" s="2">
        <f>IFERROR(__xludf.DUMMYFUNCTION("split(B3668,""_"")"),1604.0)</f>
        <v>1604</v>
      </c>
      <c r="D3668" s="2" t="str">
        <f>IFERROR(__xludf.DUMMYFUNCTION("""COMPUTED_VALUE"""),"NTV")</f>
        <v>NTV</v>
      </c>
      <c r="E3668" s="2" t="str">
        <f>IFERROR(__xludf.DUMMYFUNCTION("""COMPUTED_VALUE"""),"水22")</f>
        <v>水22</v>
      </c>
      <c r="F3668" s="2" t="s">
        <v>11044</v>
      </c>
      <c r="G3668" s="2" t="s">
        <v>11054</v>
      </c>
      <c r="H3668" s="1">
        <v>4.0</v>
      </c>
      <c r="J3668" s="1" t="s">
        <v>82</v>
      </c>
      <c r="K3668" s="2" t="s">
        <v>11055</v>
      </c>
      <c r="L3668" s="10" t="s">
        <v>11056</v>
      </c>
      <c r="M3668" s="2" t="str">
        <f>IFERROR(__xludf.DUMMYFUNCTION("split(split(K3668,""【演出"",false),""/北村一輝"",false)"),"大野智、波瑠、小池栄子、小瀧望(ジャニーズWEST)、清水富美加、西堀亮(マシンガンズ)、若林誠、札内幸太/杉本哲太/丸山智己、三宅弘城")</f>
        <v>大野智、波瑠、小池栄子、小瀧望(ジャニーズWEST)、清水富美加、西堀亮(マシンガンズ)、若林誠、札内幸太/杉本哲太/丸山智己、三宅弘城</v>
      </c>
      <c r="N3668" s="2" t="str">
        <f>IFERROR(__xludf.DUMMYFUNCTION("""COMPUTED_VALUE"""),"　ほかライバル和田(北村一輝)に弟子入りし、社内恋愛のテクニックを教えてもらうことになった零治(大野智)。片想いの相手・美咲(波瑠)の気を引こうと次々にアプローチを開始したところ、美咲から“脈あり”の反応が!次に和田から零治に課されたミッションは、仕事にかこつけて美咲との一泊旅行に持ち込むというもの。零治は、新しいホテルのシェフ探しに美咲を同行させようとするのだが…")</f>
        <v>　ほかライバル和田(北村一輝)に弟子入りし、社内恋愛のテクニックを教えてもらうことになった零治(大野智)。片想いの相手・美咲(波瑠)の気を引こうと次々にアプローチを開始したところ、美咲から“脈あり”の反応が!次に和田から零治に課されたミッションは、仕事にかこつけて美咲との一泊旅行に持ち込むというもの。零治は、新しいホテルのシェフ探しに美咲を同行させようとするのだが…</v>
      </c>
      <c r="O3668" s="2"/>
      <c r="P3668" s="1"/>
      <c r="Q3668" s="1"/>
      <c r="R3668" s="1"/>
      <c r="S3668" s="1"/>
      <c r="T3668" s="1"/>
      <c r="U3668" s="1"/>
      <c r="V3668" s="1"/>
      <c r="W3668" s="1"/>
      <c r="X3668" s="1"/>
      <c r="Y3668" s="1"/>
      <c r="Z3668" s="1"/>
      <c r="AA3668" s="1"/>
      <c r="AB3668" s="1"/>
      <c r="AC3668" s="1"/>
      <c r="AD3668" s="1"/>
      <c r="AE3668" s="1"/>
      <c r="AF3668" s="1"/>
      <c r="AG3668" s="1"/>
      <c r="AH3668" s="1"/>
      <c r="AI3668" s="1"/>
      <c r="AJ3668" s="1"/>
      <c r="AK3668" s="1"/>
      <c r="AL3668" s="1"/>
      <c r="AM3668" s="1"/>
      <c r="AN3668" s="1"/>
      <c r="AO3668" s="1"/>
      <c r="AP3668" s="1"/>
      <c r="AQ3668" s="1"/>
      <c r="AR3668" s="1"/>
      <c r="AS3668" s="1"/>
      <c r="AT3668" s="1"/>
      <c r="AU3668" s="1"/>
      <c r="AV3668" s="1"/>
      <c r="AW3668" s="1"/>
      <c r="AX3668" s="1"/>
      <c r="AY3668" s="1"/>
      <c r="AZ3668" s="1"/>
      <c r="BA3668" s="1"/>
      <c r="BB3668" s="1"/>
    </row>
    <row r="3669" ht="204.75" customHeight="1">
      <c r="A3669" s="1">
        <v>1676.0</v>
      </c>
      <c r="B3669" s="2" t="s">
        <v>11043</v>
      </c>
      <c r="C3669" s="2">
        <f>IFERROR(__xludf.DUMMYFUNCTION("split(B3669,""_"")"),1604.0)</f>
        <v>1604</v>
      </c>
      <c r="D3669" s="2" t="str">
        <f>IFERROR(__xludf.DUMMYFUNCTION("""COMPUTED_VALUE"""),"NTV")</f>
        <v>NTV</v>
      </c>
      <c r="E3669" s="2" t="str">
        <f>IFERROR(__xludf.DUMMYFUNCTION("""COMPUTED_VALUE"""),"水22")</f>
        <v>水22</v>
      </c>
      <c r="F3669" s="2" t="s">
        <v>11044</v>
      </c>
      <c r="G3669" s="2" t="s">
        <v>11057</v>
      </c>
      <c r="H3669" s="1">
        <v>5.0</v>
      </c>
      <c r="J3669" s="1" t="s">
        <v>82</v>
      </c>
      <c r="K3669" s="2" t="s">
        <v>11058</v>
      </c>
      <c r="L3669" s="10" t="s">
        <v>11059</v>
      </c>
      <c r="M3669" s="2" t="str">
        <f>IFERROR(__xludf.DUMMYFUNCTION("split(split(K3669,""【演出"",false),""/北村一輝"",false)"),"大野智、波瑠、小池栄子、小瀧望(ジャニーズWEST)、清水富美加、西堀亮(マシンガンズ)、若林誠、札内幸太/杉本哲太/丸山智己、三宅弘城")</f>
        <v>大野智、波瑠、小池栄子、小瀧望(ジャニーズWEST)、清水富美加、西堀亮(マシンガンズ)、若林誠、札内幸太/杉本哲太/丸山智己、三宅弘城</v>
      </c>
      <c r="N3669" s="2" t="str">
        <f>IFERROR(__xludf.DUMMYFUNCTION("""COMPUTED_VALUE"""),"　ほかついに、美咲(波瑠)に告白した零治(大野智)。美咲からの答えは「考えさせてください」だった。零治はその意味を図りかねる。告白から数日が過ぎても美咲は返事をくれないため、困惑した零治は再びライバル社長の和田(北村一輝)に相談することに。そんな中、零治は石神(杉本哲太)から結婚の報告を受ける。零治は今まで学んだ恋愛スキルを総動員し、美咲たち社員を招いて石神の結婚パーティーを開くが…。")</f>
        <v>　ほかついに、美咲(波瑠)に告白した零治(大野智)。美咲からの答えは「考えさせてください」だった。零治はその意味を図りかねる。告白から数日が過ぎても美咲は返事をくれないため、困惑した零治は再びライバル社長の和田(北村一輝)に相談することに。そんな中、零治は石神(杉本哲太)から結婚の報告を受ける。零治は今まで学んだ恋愛スキルを総動員し、美咲たち社員を招いて石神の結婚パーティーを開くが…。</v>
      </c>
      <c r="O3669" s="2"/>
      <c r="P3669" s="1"/>
      <c r="Q3669" s="1"/>
      <c r="R3669" s="1"/>
      <c r="S3669" s="1"/>
      <c r="T3669" s="1"/>
      <c r="U3669" s="1"/>
      <c r="V3669" s="1"/>
      <c r="W3669" s="1"/>
      <c r="X3669" s="1"/>
      <c r="Y3669" s="1"/>
      <c r="Z3669" s="1"/>
      <c r="AA3669" s="1"/>
      <c r="AB3669" s="1"/>
      <c r="AC3669" s="1"/>
      <c r="AD3669" s="1"/>
      <c r="AE3669" s="1"/>
      <c r="AF3669" s="1"/>
      <c r="AG3669" s="1"/>
      <c r="AH3669" s="1"/>
      <c r="AI3669" s="1"/>
      <c r="AJ3669" s="1"/>
      <c r="AK3669" s="1"/>
      <c r="AL3669" s="1"/>
      <c r="AM3669" s="1"/>
      <c r="AN3669" s="1"/>
      <c r="AO3669" s="1"/>
      <c r="AP3669" s="1"/>
      <c r="AQ3669" s="1"/>
      <c r="AR3669" s="1"/>
      <c r="AS3669" s="1"/>
      <c r="AT3669" s="1"/>
      <c r="AU3669" s="1"/>
      <c r="AV3669" s="1"/>
      <c r="AW3669" s="1"/>
      <c r="AX3669" s="1"/>
      <c r="AY3669" s="1"/>
      <c r="AZ3669" s="1"/>
      <c r="BA3669" s="1"/>
      <c r="BB3669" s="1"/>
    </row>
    <row r="3670" ht="204.75" customHeight="1">
      <c r="A3670" s="1">
        <v>1677.0</v>
      </c>
      <c r="B3670" s="2" t="s">
        <v>11043</v>
      </c>
      <c r="C3670" s="2">
        <f>IFERROR(__xludf.DUMMYFUNCTION("split(B3670,""_"")"),1604.0)</f>
        <v>1604</v>
      </c>
      <c r="D3670" s="2" t="str">
        <f>IFERROR(__xludf.DUMMYFUNCTION("""COMPUTED_VALUE"""),"NTV")</f>
        <v>NTV</v>
      </c>
      <c r="E3670" s="2" t="str">
        <f>IFERROR(__xludf.DUMMYFUNCTION("""COMPUTED_VALUE"""),"水22")</f>
        <v>水22</v>
      </c>
      <c r="F3670" s="2" t="s">
        <v>11044</v>
      </c>
      <c r="G3670" s="2" t="s">
        <v>11060</v>
      </c>
      <c r="H3670" s="1">
        <v>6.0</v>
      </c>
      <c r="J3670" s="1" t="s">
        <v>82</v>
      </c>
      <c r="K3670" s="2" t="s">
        <v>11061</v>
      </c>
      <c r="L3670" s="10" t="s">
        <v>11062</v>
      </c>
      <c r="M3670" s="2" t="str">
        <f>IFERROR(__xludf.DUMMYFUNCTION("split(split(K3670,""【演出"",false),""/北村一輝"",false)"),"大野智、波瑠、小池栄子、小瀧望(ジャニーズWEST)、清水富美加、西堀亮(マシンガンズ)、若林誠、札内幸太/杉本哲太/丸山智己、三宅弘城")</f>
        <v>大野智、波瑠、小池栄子、小瀧望(ジャニーズWEST)、清水富美加、西堀亮(マシンガンズ)、若林誠、札内幸太/杉本哲太/丸山智己、三宅弘城</v>
      </c>
      <c r="N3670" s="2" t="str">
        <f>IFERROR(__xludf.DUMMYFUNCTION("""COMPUTED_VALUE"""),"　ほかついにヒネクレ社長・零治(大野智)とマイペース社員・美咲(波瑠)の交際が始まった。互いを「レイさん」「ミサさん」と呼び合うことになり、幸せをかみしめる零治。しかし、美咲を連れていくつもりだったホテル協会のパーティーの開催日が、社員数名での出張と重なってしまう。あの手この手で必死に難局を乗り越えた零治だったが、あることをきっかけに、いきなり破局のピンチに!?")</f>
        <v>　ほかついにヒネクレ社長・零治(大野智)とマイペース社員・美咲(波瑠)の交際が始まった。互いを「レイさん」「ミサさん」と呼び合うことになり、幸せをかみしめる零治。しかし、美咲を連れていくつもりだったホテル協会のパーティーの開催日が、社員数名での出張と重なってしまう。あの手この手で必死に難局を乗り越えた零治だったが、あることをきっかけに、いきなり破局のピンチに!?</v>
      </c>
      <c r="O3670" s="2"/>
      <c r="P3670" s="1"/>
      <c r="Q3670" s="1"/>
      <c r="R3670" s="1"/>
      <c r="S3670" s="1"/>
      <c r="T3670" s="1"/>
      <c r="U3670" s="1"/>
      <c r="V3670" s="1"/>
      <c r="W3670" s="1"/>
      <c r="X3670" s="1"/>
      <c r="Y3670" s="1"/>
      <c r="Z3670" s="1"/>
      <c r="AA3670" s="1"/>
      <c r="AB3670" s="1"/>
      <c r="AC3670" s="1"/>
      <c r="AD3670" s="1"/>
      <c r="AE3670" s="1"/>
      <c r="AF3670" s="1"/>
      <c r="AG3670" s="1"/>
      <c r="AH3670" s="1"/>
      <c r="AI3670" s="1"/>
      <c r="AJ3670" s="1"/>
      <c r="AK3670" s="1"/>
      <c r="AL3670" s="1"/>
      <c r="AM3670" s="1"/>
      <c r="AN3670" s="1"/>
      <c r="AO3670" s="1"/>
      <c r="AP3670" s="1"/>
      <c r="AQ3670" s="1"/>
      <c r="AR3670" s="1"/>
      <c r="AS3670" s="1"/>
      <c r="AT3670" s="1"/>
      <c r="AU3670" s="1"/>
      <c r="AV3670" s="1"/>
      <c r="AW3670" s="1"/>
      <c r="AX3670" s="1"/>
      <c r="AY3670" s="1"/>
      <c r="AZ3670" s="1"/>
      <c r="BA3670" s="1"/>
      <c r="BB3670" s="1"/>
    </row>
    <row r="3671" ht="204.75" customHeight="1">
      <c r="A3671" s="1">
        <v>1678.0</v>
      </c>
      <c r="B3671" s="2" t="s">
        <v>11043</v>
      </c>
      <c r="C3671" s="2">
        <f>IFERROR(__xludf.DUMMYFUNCTION("split(B3671,""_"")"),1604.0)</f>
        <v>1604</v>
      </c>
      <c r="D3671" s="2" t="str">
        <f>IFERROR(__xludf.DUMMYFUNCTION("""COMPUTED_VALUE"""),"NTV")</f>
        <v>NTV</v>
      </c>
      <c r="E3671" s="2" t="str">
        <f>IFERROR(__xludf.DUMMYFUNCTION("""COMPUTED_VALUE"""),"水22")</f>
        <v>水22</v>
      </c>
      <c r="F3671" s="2" t="s">
        <v>11044</v>
      </c>
      <c r="G3671" s="2" t="s">
        <v>11063</v>
      </c>
      <c r="H3671" s="1">
        <v>7.0</v>
      </c>
      <c r="J3671" s="1" t="s">
        <v>82</v>
      </c>
      <c r="K3671" s="2" t="s">
        <v>11064</v>
      </c>
      <c r="L3671" s="11" t="s">
        <v>11065</v>
      </c>
      <c r="M3671" s="2" t="str">
        <f>IFERROR(__xludf.DUMMYFUNCTION("split(split(K3671,""【演出"",false),""/北村一輝"",false)"),"大野智、波瑠、小池栄子、小瀧望(ジャニーズWEST)、清水富美加、西堀亮(マシンガンズ)、若林誠、札内幸太/杉本哲太/丸山智己、三宅弘城")</f>
        <v>大野智、波瑠、小池栄子、小瀧望(ジャニーズWEST)、清水富美加、西堀亮(マシンガンズ)、若林誠、札内幸太/杉本哲太/丸山智己、三宅弘城</v>
      </c>
      <c r="N3671" s="2" t="str">
        <f>IFERROR(__xludf.DUMMYFUNCTION("""COMPUTED_VALUE"""),"美咲(波瑠)が零治(大野智)のマンションに来た!さらに、零治が「泊まっていかないか」と誘うと、美咲はOK!零治はベッドで、美咲はその横に敷いたふとんで眠る。しかし、一夜をともにした二人の間には何も起こらなかった。舞子(小池栄子)から「キスの一つもすればよかった」と言われた零治は、美咲に最高のキスをプレゼントするために、夜景の見える観覧車に美咲を誘う…。")</f>
        <v>美咲(波瑠)が零治(大野智)のマンションに来た!さらに、零治が「泊まっていかないか」と誘うと、美咲はOK!零治はベッドで、美咲はその横に敷いたふとんで眠る。しかし、一夜をともにした二人の間には何も起こらなかった。舞子(小池栄子)から「キスの一つもすればよかった」と言われた零治は、美咲に最高のキスをプレゼントするために、夜景の見える観覧車に美咲を誘う…。</v>
      </c>
      <c r="O3671" s="2"/>
      <c r="P3671" s="1"/>
      <c r="Q3671" s="1"/>
      <c r="R3671" s="1"/>
      <c r="S3671" s="1"/>
      <c r="T3671" s="1"/>
      <c r="U3671" s="1"/>
      <c r="V3671" s="1"/>
      <c r="W3671" s="1"/>
      <c r="X3671" s="1"/>
      <c r="Y3671" s="1"/>
      <c r="Z3671" s="1"/>
      <c r="AA3671" s="1"/>
      <c r="AB3671" s="1"/>
      <c r="AC3671" s="1"/>
      <c r="AD3671" s="1"/>
      <c r="AE3671" s="1"/>
      <c r="AF3671" s="1"/>
      <c r="AG3671" s="1"/>
      <c r="AH3671" s="1"/>
      <c r="AI3671" s="1"/>
      <c r="AJ3671" s="1"/>
      <c r="AK3671" s="1"/>
      <c r="AL3671" s="1"/>
      <c r="AM3671" s="1"/>
      <c r="AN3671" s="1"/>
      <c r="AO3671" s="1"/>
      <c r="AP3671" s="1"/>
      <c r="AQ3671" s="1"/>
      <c r="AR3671" s="1"/>
      <c r="AS3671" s="1"/>
      <c r="AT3671" s="1"/>
      <c r="AU3671" s="1"/>
      <c r="AV3671" s="1"/>
      <c r="AW3671" s="1"/>
      <c r="AX3671" s="1"/>
      <c r="AY3671" s="1"/>
      <c r="AZ3671" s="1"/>
      <c r="BA3671" s="1"/>
      <c r="BB3671" s="1"/>
    </row>
    <row r="3672" ht="204.75" customHeight="1">
      <c r="A3672" s="1">
        <v>1679.0</v>
      </c>
      <c r="B3672" s="2" t="s">
        <v>11043</v>
      </c>
      <c r="C3672" s="2">
        <f>IFERROR(__xludf.DUMMYFUNCTION("split(B3672,""_"")"),1604.0)</f>
        <v>1604</v>
      </c>
      <c r="D3672" s="2" t="str">
        <f>IFERROR(__xludf.DUMMYFUNCTION("""COMPUTED_VALUE"""),"NTV")</f>
        <v>NTV</v>
      </c>
      <c r="E3672" s="2" t="str">
        <f>IFERROR(__xludf.DUMMYFUNCTION("""COMPUTED_VALUE"""),"水22")</f>
        <v>水22</v>
      </c>
      <c r="F3672" s="2" t="s">
        <v>11044</v>
      </c>
      <c r="G3672" s="2" t="s">
        <v>11066</v>
      </c>
      <c r="H3672" s="1">
        <v>8.0</v>
      </c>
      <c r="J3672" s="1" t="s">
        <v>82</v>
      </c>
      <c r="K3672" s="2" t="s">
        <v>11067</v>
      </c>
      <c r="L3672" s="11" t="s">
        <v>11068</v>
      </c>
      <c r="M3672" s="2" t="str">
        <f>IFERROR(__xludf.DUMMYFUNCTION("split(split(K3672,""【演出"",false),""/北村一輝"",false)"),"大野智、波瑠、小池栄子、小瀧望(ジャニーズWEST)、清水富美加、西堀亮(マシンガンズ)、若林誠、札内幸太/杉本哲太/丸山智己、三宅弘城")</f>
        <v>大野智、波瑠、小池栄子、小瀧望(ジャニーズWEST)、清水富美加、西堀亮(マシンガンズ)、若林誠、札内幸太/杉本哲太/丸山智己、三宅弘城</v>
      </c>
      <c r="N3672" s="2" t="str">
        <f>IFERROR(__xludf.DUMMYFUNCTION("""COMPUTED_VALUE"""),"美咲(波瑠)にクビを宣告してしまったヒネクレ者の社長・零治(大野智)は、送別会の席でクビを撤回する。しかし、美咲はすでにライバルホテルへの再就職を決めていた。  ライバルホテルの社長・和田(北村一輝)に抗議しに行った零治だったが、和田から意外なことを知らされる。それは、秘書の舞子(小池栄子)が零治を好きだということだった。舞子の気持ちを知ってしまった零治は、彼女を意識するようになる…。")</f>
        <v>美咲(波瑠)にクビを宣告してしまったヒネクレ者の社長・零治(大野智)は、送別会の席でクビを撤回する。しかし、美咲はすでにライバルホテルへの再就職を決めていた。  ライバルホテルの社長・和田(北村一輝)に抗議しに行った零治だったが、和田から意外なことを知らされる。それは、秘書の舞子(小池栄子)が零治を好きだということだった。舞子の気持ちを知ってしまった零治は、彼女を意識するようになる…。</v>
      </c>
      <c r="O3672" s="2"/>
      <c r="P3672" s="1"/>
      <c r="Q3672" s="1"/>
      <c r="R3672" s="1"/>
      <c r="S3672" s="1"/>
      <c r="T3672" s="1"/>
      <c r="U3672" s="1"/>
      <c r="V3672" s="1"/>
      <c r="W3672" s="1"/>
      <c r="X3672" s="1"/>
      <c r="Y3672" s="1"/>
      <c r="Z3672" s="1"/>
      <c r="AA3672" s="1"/>
      <c r="AB3672" s="1"/>
      <c r="AC3672" s="1"/>
      <c r="AD3672" s="1"/>
      <c r="AE3672" s="1"/>
      <c r="AF3672" s="1"/>
      <c r="AG3672" s="1"/>
      <c r="AH3672" s="1"/>
      <c r="AI3672" s="1"/>
      <c r="AJ3672" s="1"/>
      <c r="AK3672" s="1"/>
      <c r="AL3672" s="1"/>
      <c r="AM3672" s="1"/>
      <c r="AN3672" s="1"/>
      <c r="AO3672" s="1"/>
      <c r="AP3672" s="1"/>
      <c r="AQ3672" s="1"/>
      <c r="AR3672" s="1"/>
      <c r="AS3672" s="1"/>
      <c r="AT3672" s="1"/>
      <c r="AU3672" s="1"/>
      <c r="AV3672" s="1"/>
      <c r="AW3672" s="1"/>
      <c r="AX3672" s="1"/>
      <c r="AY3672" s="1"/>
      <c r="AZ3672" s="1"/>
      <c r="BA3672" s="1"/>
      <c r="BB3672" s="1"/>
    </row>
    <row r="3673" ht="204.75" customHeight="1">
      <c r="A3673" s="1">
        <v>1680.0</v>
      </c>
      <c r="B3673" s="2" t="s">
        <v>11043</v>
      </c>
      <c r="C3673" s="2">
        <f>IFERROR(__xludf.DUMMYFUNCTION("split(B3673,""_"")"),1604.0)</f>
        <v>1604</v>
      </c>
      <c r="D3673" s="2" t="str">
        <f>IFERROR(__xludf.DUMMYFUNCTION("""COMPUTED_VALUE"""),"NTV")</f>
        <v>NTV</v>
      </c>
      <c r="E3673" s="2" t="str">
        <f>IFERROR(__xludf.DUMMYFUNCTION("""COMPUTED_VALUE"""),"水22")</f>
        <v>水22</v>
      </c>
      <c r="F3673" s="2" t="s">
        <v>11044</v>
      </c>
      <c r="G3673" s="2" t="s">
        <v>11069</v>
      </c>
      <c r="H3673" s="1">
        <v>9.0</v>
      </c>
      <c r="J3673" s="1" t="s">
        <v>82</v>
      </c>
      <c r="K3673" s="2" t="s">
        <v>11070</v>
      </c>
      <c r="L3673" s="10" t="s">
        <v>11071</v>
      </c>
      <c r="M3673" s="2" t="str">
        <f>IFERROR(__xludf.DUMMYFUNCTION("split(split(K3673,""【演出"",false),""/北村一輝"",false)"),"大野智、波瑠、小池栄子、小瀧望(ジャニーズWEST)、清水富美加、西堀亮(マシンガンズ)、若林誠、札内幸太/杉本哲太/丸山智己、三宅弘城")</f>
        <v>大野智、波瑠、小池栄子、小瀧望(ジャニーズWEST)、清水富美加、西堀亮(マシンガンズ)、若林誠、札内幸太/杉本哲太/丸山智己、三宅弘城</v>
      </c>
      <c r="N3673" s="2" t="str">
        <f>IFERROR(__xludf.DUMMYFUNCTION("""COMPUTED_VALUE"""),"　ほか美咲(波瑠)ともう一度やり直したい零治(大野智)だったが、「しばらくお会いしたくありません」とメールで告げられ、距離を置くことに。約束を守りつつ美咲に会うにはどうしたらいいかと試行錯誤する零治は、風船を配っているゆるキャラを見かける。これなら美咲に気づかれずに会えると、零治はゆるキャラの中の男・藤田(上島竜兵)に頼み、着ぐるみを着て街に出る。彼が人々とふれあっているところに、美咲が現れるが…。")</f>
        <v>　ほか美咲(波瑠)ともう一度やり直したい零治(大野智)だったが、「しばらくお会いしたくありません」とメールで告げられ、距離を置くことに。約束を守りつつ美咲に会うにはどうしたらいいかと試行錯誤する零治は、風船を配っているゆるキャラを見かける。これなら美咲に気づかれずに会えると、零治はゆるキャラの中の男・藤田(上島竜兵)に頼み、着ぐるみを着て街に出る。彼が人々とふれあっているところに、美咲が現れるが…。</v>
      </c>
      <c r="O3673" s="2"/>
      <c r="P3673" s="1"/>
      <c r="Q3673" s="1"/>
      <c r="R3673" s="1"/>
      <c r="S3673" s="1"/>
      <c r="T3673" s="1"/>
      <c r="U3673" s="1"/>
      <c r="V3673" s="1"/>
      <c r="W3673" s="1"/>
      <c r="X3673" s="1"/>
      <c r="Y3673" s="1"/>
      <c r="Z3673" s="1"/>
      <c r="AA3673" s="1"/>
      <c r="AB3673" s="1"/>
      <c r="AC3673" s="1"/>
      <c r="AD3673" s="1"/>
      <c r="AE3673" s="1"/>
      <c r="AF3673" s="1"/>
      <c r="AG3673" s="1"/>
      <c r="AH3673" s="1"/>
      <c r="AI3673" s="1"/>
      <c r="AJ3673" s="1"/>
      <c r="AK3673" s="1"/>
      <c r="AL3673" s="1"/>
      <c r="AM3673" s="1"/>
      <c r="AN3673" s="1"/>
      <c r="AO3673" s="1"/>
      <c r="AP3673" s="1"/>
      <c r="AQ3673" s="1"/>
      <c r="AR3673" s="1"/>
      <c r="AS3673" s="1"/>
      <c r="AT3673" s="1"/>
      <c r="AU3673" s="1"/>
      <c r="AV3673" s="1"/>
      <c r="AW3673" s="1"/>
      <c r="AX3673" s="1"/>
      <c r="AY3673" s="1"/>
      <c r="AZ3673" s="1"/>
      <c r="BA3673" s="1"/>
      <c r="BB3673" s="1"/>
    </row>
    <row r="3674" ht="204.75" customHeight="1">
      <c r="A3674" s="1">
        <v>1681.0</v>
      </c>
      <c r="B3674" s="2" t="s">
        <v>11043</v>
      </c>
      <c r="C3674" s="2">
        <f>IFERROR(__xludf.DUMMYFUNCTION("split(B3674,""_"")"),1604.0)</f>
        <v>1604</v>
      </c>
      <c r="D3674" s="2" t="str">
        <f>IFERROR(__xludf.DUMMYFUNCTION("""COMPUTED_VALUE"""),"NTV")</f>
        <v>NTV</v>
      </c>
      <c r="E3674" s="2" t="str">
        <f>IFERROR(__xludf.DUMMYFUNCTION("""COMPUTED_VALUE"""),"水22")</f>
        <v>水22</v>
      </c>
      <c r="F3674" s="2" t="s">
        <v>11044</v>
      </c>
      <c r="G3674" s="2" t="s">
        <v>11072</v>
      </c>
      <c r="H3674" s="1">
        <v>10.0</v>
      </c>
      <c r="J3674" s="1" t="s">
        <v>82</v>
      </c>
      <c r="K3674" s="2" t="s">
        <v>11073</v>
      </c>
      <c r="L3674" s="10" t="s">
        <v>11074</v>
      </c>
      <c r="M3674" s="2" t="str">
        <f>IFERROR(__xludf.DUMMYFUNCTION("split(split(K3674,""【演出"",false),""/北村一輝"",false)"),"大野智、波瑠、小池栄子、小瀧望(ジャニーズWEST)、清水富美加、西堀亮(マシンガンズ)、若林誠、札内幸太/杉本哲太/丸山智己、三宅弘城")</f>
        <v>大野智、波瑠、小池栄子、小瀧望(ジャニーズWEST)、清水富美加、西堀亮(マシンガンズ)、若林誠、札内幸太/杉本哲太/丸山智己、三宅弘城</v>
      </c>
      <c r="N3674" s="2" t="str">
        <f>IFERROR(__xludf.DUMMYFUNCTION("""COMPUTED_VALUE"""),"  /小堺一機　山野海　中村アン/櫻井翔美咲(波瑠)を抱きしめ、大満足の零治(大野智)。とはいえ、キスも交わしていない零治に秘書・舞子(小池栄子)は「恋愛の頂上はもっと上にある」と釘をさす。そんな中、和田(北村一輝)が結婚すると聞き、対抗心を燃やす零治。舞子(小池栄子)から結婚を前提とした同棲を勧められた零治は、美咲に同棲を持ちかけるが、もっとゆっくり関係を深めたいと断られてしまう。美咲との結婚に向けて、零治はあることを思い立つ…。")</f>
        <v>  /小堺一機　山野海　中村アン/櫻井翔美咲(波瑠)を抱きしめ、大満足の零治(大野智)。とはいえ、キスも交わしていない零治に秘書・舞子(小池栄子)は「恋愛の頂上はもっと上にある」と釘をさす。そんな中、和田(北村一輝)が結婚すると聞き、対抗心を燃やす零治。舞子(小池栄子)から結婚を前提とした同棲を勧められた零治は、美咲に同棲を持ちかけるが、もっとゆっくり関係を深めたいと断られてしまう。美咲との結婚に向けて、零治はあることを思い立つ…。</v>
      </c>
      <c r="O3674" s="2"/>
      <c r="P3674" s="1"/>
      <c r="Q3674" s="1"/>
      <c r="R3674" s="1"/>
      <c r="S3674" s="1"/>
      <c r="T3674" s="1"/>
      <c r="U3674" s="1"/>
      <c r="V3674" s="1"/>
      <c r="W3674" s="1"/>
      <c r="X3674" s="1"/>
      <c r="Y3674" s="1"/>
      <c r="Z3674" s="1"/>
      <c r="AA3674" s="1"/>
      <c r="AB3674" s="1"/>
      <c r="AC3674" s="1"/>
      <c r="AD3674" s="1"/>
      <c r="AE3674" s="1"/>
      <c r="AF3674" s="1"/>
      <c r="AG3674" s="1"/>
      <c r="AH3674" s="1"/>
      <c r="AI3674" s="1"/>
      <c r="AJ3674" s="1"/>
      <c r="AK3674" s="1"/>
      <c r="AL3674" s="1"/>
      <c r="AM3674" s="1"/>
      <c r="AN3674" s="1"/>
      <c r="AO3674" s="1"/>
      <c r="AP3674" s="1"/>
      <c r="AQ3674" s="1"/>
      <c r="AR3674" s="1"/>
      <c r="AS3674" s="1"/>
      <c r="AT3674" s="1"/>
      <c r="AU3674" s="1"/>
      <c r="AV3674" s="1"/>
      <c r="AW3674" s="1"/>
      <c r="AX3674" s="1"/>
      <c r="AY3674" s="1"/>
      <c r="AZ3674" s="1"/>
      <c r="BA3674" s="1"/>
      <c r="BB3674" s="1"/>
    </row>
    <row r="3675" ht="204.75" customHeight="1">
      <c r="A3675" s="1">
        <v>1700.0</v>
      </c>
      <c r="B3675" s="2" t="s">
        <v>11075</v>
      </c>
      <c r="C3675" s="2">
        <f>IFERROR(__xludf.DUMMYFUNCTION("split(B3675,""_"")"),1604.0)</f>
        <v>1604</v>
      </c>
      <c r="D3675" s="2" t="str">
        <f>IFERROR(__xludf.DUMMYFUNCTION("""COMPUTED_VALUE"""),"NTV")</f>
        <v>NTV</v>
      </c>
      <c r="E3675" s="2" t="str">
        <f>IFERROR(__xludf.DUMMYFUNCTION("""COMPUTED_VALUE"""),"木23")</f>
        <v>木23</v>
      </c>
      <c r="F3675" s="2" t="s">
        <v>11076</v>
      </c>
      <c r="G3675" s="2" t="s">
        <v>11077</v>
      </c>
      <c r="H3675" s="1">
        <v>1.0</v>
      </c>
      <c r="J3675" s="1" t="s">
        <v>1435</v>
      </c>
      <c r="K3675" s="2" t="s">
        <v>11078</v>
      </c>
      <c r="L3675" s="11" t="s">
        <v>11079</v>
      </c>
      <c r="M3675" s="2" t="str">
        <f>IFERROR(__xludf.DUMMYFUNCTION("split(split(K3675,""【監督"",false),""他)"",false)"),"剛力彩芽、中村俊介、笛木優子、木下ほうか、内藤理沙、久保田磨希、伊東孝明、遠藤雄弥、横山歩、東ちづる、かたせ梨乃(")</f>
        <v>剛力彩芽、中村俊介、笛木優子、木下ほうか、内藤理沙、久保田磨希、伊東孝明、遠藤雄弥、横山歩、東ちづる、かたせ梨乃(</v>
      </c>
      <c r="N3675" s="2" t="str">
        <f>IFERROR(__xludf.DUMMYFUNCTION("""COMPUTED_VALUE"""),"シングルマザーで新人医師の天童一花(剛力彩芽)は豊かな想像力から生まれる卓越した診断能力を武器にドクターカーに乗り込む。しかし初出動の日、絶体絶命の患者の元へ駆けつけた一花は凄惨な事故現場を前に立ちすくむ…さらに病院理事長(かたせ梨乃)の息子で医師の朝城勇介(中村俊介)は「ドクターカーもバカ女も必要ない」と徹底的に一花をイジメまくる。試練の連続の中、一花はドクターカーで瀕死の患者の命を救えるのか?")</f>
        <v>シングルマザーで新人医師の天童一花(剛力彩芽)は豊かな想像力から生まれる卓越した診断能力を武器にドクターカーに乗り込む。しかし初出動の日、絶体絶命の患者の元へ駆けつけた一花は凄惨な事故現場を前に立ちすくむ…さらに病院理事長(かたせ梨乃)の息子で医師の朝城勇介(中村俊介)は「ドクターカーもバカ女も必要ない」と徹底的に一花をイジメまくる。試練の連続の中、一花はドクターカーで瀕死の患者の命を救えるのか?</v>
      </c>
      <c r="O3675" s="2"/>
      <c r="P3675" s="1"/>
      <c r="Q3675" s="1"/>
      <c r="R3675" s="1"/>
      <c r="S3675" s="1"/>
      <c r="T3675" s="1"/>
      <c r="U3675" s="1"/>
      <c r="V3675" s="1"/>
      <c r="W3675" s="1"/>
      <c r="X3675" s="1"/>
      <c r="Y3675" s="1"/>
      <c r="Z3675" s="1"/>
      <c r="AA3675" s="1"/>
      <c r="AB3675" s="1"/>
      <c r="AC3675" s="1"/>
      <c r="AD3675" s="1"/>
      <c r="AE3675" s="1"/>
      <c r="AF3675" s="1"/>
      <c r="AG3675" s="1"/>
      <c r="AH3675" s="1"/>
      <c r="AI3675" s="1"/>
      <c r="AJ3675" s="1"/>
      <c r="AK3675" s="1"/>
      <c r="AL3675" s="1"/>
      <c r="AM3675" s="1"/>
      <c r="AN3675" s="1"/>
      <c r="AO3675" s="1"/>
      <c r="AP3675" s="1"/>
      <c r="AQ3675" s="1"/>
      <c r="AR3675" s="1"/>
      <c r="AS3675" s="1"/>
      <c r="AT3675" s="1"/>
      <c r="AU3675" s="1"/>
      <c r="AV3675" s="1"/>
      <c r="AW3675" s="1"/>
      <c r="AX3675" s="1"/>
      <c r="AY3675" s="1"/>
      <c r="AZ3675" s="1"/>
      <c r="BA3675" s="1"/>
      <c r="BB3675" s="1"/>
    </row>
    <row r="3676" ht="204.75" customHeight="1">
      <c r="A3676" s="1">
        <v>1701.0</v>
      </c>
      <c r="B3676" s="2" t="s">
        <v>11075</v>
      </c>
      <c r="C3676" s="2">
        <f>IFERROR(__xludf.DUMMYFUNCTION("split(B3676,""_"")"),1604.0)</f>
        <v>1604</v>
      </c>
      <c r="D3676" s="2" t="str">
        <f>IFERROR(__xludf.DUMMYFUNCTION("""COMPUTED_VALUE"""),"NTV")</f>
        <v>NTV</v>
      </c>
      <c r="E3676" s="2" t="str">
        <f>IFERROR(__xludf.DUMMYFUNCTION("""COMPUTED_VALUE"""),"木23")</f>
        <v>木23</v>
      </c>
      <c r="F3676" s="2" t="s">
        <v>11076</v>
      </c>
      <c r="G3676" s="2" t="s">
        <v>11080</v>
      </c>
      <c r="H3676" s="1">
        <v>2.0</v>
      </c>
      <c r="J3676" s="1" t="s">
        <v>1435</v>
      </c>
      <c r="K3676" s="2" t="s">
        <v>11081</v>
      </c>
      <c r="L3676" s="10" t="s">
        <v>11082</v>
      </c>
      <c r="M3676" s="2" t="str">
        <f>IFERROR(__xludf.DUMMYFUNCTION("split(split(K3676,""【監督"",false),""他)"",false)"),"剛力彩芽、中村俊介、笛木優子、木下ほうか、内藤理沙、久保田磨希、伊東孝明、遠藤雄弥、横山歩、東ちづる、かたせ梨乃  【第2話ゲスト】森岡豊、霧島れいか、小林颯、横山芽生シングルマザーで新人医師の天童一花(剛力彩芽)は、キャンプ場で容体が悪化した5歳の少女の救助に向かう。兄・健太(小林颯)のSOSを受け、ドクターヘリでは着陸不能な山奥へ進んで行くドクターカー。しかし、さらに少女の父・隆夫(森岡豊)が雨の中、崖崩れで大けがをしたことを知る。急ぎ救助に向かう一花たち。しかし駆けつけた時には、隆夫は心肺停止の状態"&amp;"に…。果たして一花は隆夫の命を蘇らせることができるのか!?")</f>
        <v>剛力彩芽、中村俊介、笛木優子、木下ほうか、内藤理沙、久保田磨希、伊東孝明、遠藤雄弥、横山歩、東ちづる、かたせ梨乃  【第2話ゲスト】森岡豊、霧島れいか、小林颯、横山芽生シングルマザーで新人医師の天童一花(剛力彩芽)は、キャンプ場で容体が悪化した5歳の少女の救助に向かう。兄・健太(小林颯)のSOSを受け、ドクターヘリでは着陸不能な山奥へ進んで行くドクターカー。しかし、さらに少女の父・隆夫(森岡豊)が雨の中、崖崩れで大けがをしたことを知る。急ぎ救助に向かう一花たち。しかし駆けつけた時には、隆夫は心肺停止の状態に…。果たして一花は隆夫の命を蘇らせることができるのか!?</v>
      </c>
      <c r="N3676" s="2"/>
      <c r="O3676" s="2"/>
      <c r="P3676" s="1"/>
      <c r="Q3676" s="1"/>
      <c r="R3676" s="1"/>
      <c r="S3676" s="1"/>
      <c r="T3676" s="1"/>
      <c r="U3676" s="1"/>
      <c r="V3676" s="1"/>
      <c r="W3676" s="1"/>
      <c r="X3676" s="1"/>
      <c r="Y3676" s="1"/>
      <c r="Z3676" s="1"/>
      <c r="AA3676" s="1"/>
      <c r="AB3676" s="1"/>
      <c r="AC3676" s="1"/>
      <c r="AD3676" s="1"/>
      <c r="AE3676" s="1"/>
      <c r="AF3676" s="1"/>
      <c r="AG3676" s="1"/>
      <c r="AH3676" s="1"/>
      <c r="AI3676" s="1"/>
      <c r="AJ3676" s="1"/>
      <c r="AK3676" s="1"/>
      <c r="AL3676" s="1"/>
      <c r="AM3676" s="1"/>
      <c r="AN3676" s="1"/>
      <c r="AO3676" s="1"/>
      <c r="AP3676" s="1"/>
      <c r="AQ3676" s="1"/>
      <c r="AR3676" s="1"/>
      <c r="AS3676" s="1"/>
      <c r="AT3676" s="1"/>
      <c r="AU3676" s="1"/>
      <c r="AV3676" s="1"/>
      <c r="AW3676" s="1"/>
      <c r="AX3676" s="1"/>
      <c r="AY3676" s="1"/>
      <c r="AZ3676" s="1"/>
      <c r="BA3676" s="1"/>
      <c r="BB3676" s="1"/>
    </row>
    <row r="3677" ht="204.75" customHeight="1">
      <c r="A3677" s="1">
        <v>1702.0</v>
      </c>
      <c r="B3677" s="2" t="s">
        <v>11075</v>
      </c>
      <c r="C3677" s="2">
        <f>IFERROR(__xludf.DUMMYFUNCTION("split(B3677,""_"")"),1604.0)</f>
        <v>1604</v>
      </c>
      <c r="D3677" s="2" t="str">
        <f>IFERROR(__xludf.DUMMYFUNCTION("""COMPUTED_VALUE"""),"NTV")</f>
        <v>NTV</v>
      </c>
      <c r="E3677" s="2" t="str">
        <f>IFERROR(__xludf.DUMMYFUNCTION("""COMPUTED_VALUE"""),"木23")</f>
        <v>木23</v>
      </c>
      <c r="F3677" s="2" t="s">
        <v>11076</v>
      </c>
      <c r="G3677" s="2" t="s">
        <v>11083</v>
      </c>
      <c r="H3677" s="1">
        <v>3.0</v>
      </c>
      <c r="J3677" s="1" t="s">
        <v>1435</v>
      </c>
      <c r="K3677" s="2" t="s">
        <v>11084</v>
      </c>
      <c r="L3677" s="10" t="s">
        <v>11085</v>
      </c>
      <c r="M3677" s="2" t="str">
        <f>IFERROR(__xludf.DUMMYFUNCTION("split(split(K3677,""【監督"",false),""他)"",false)"),"剛力彩芽、中村俊介、笛木優子、木下ほうか、内藤理沙、久保田磨希、伊東孝明、遠藤雄弥、横山歩、東ちづる、かたせ梨乃  【第3話ゲスト】小宮孝泰、朝倉伸二、原慎一、久保晶、木村翠勇介(中村俊介)は金儲けの為、地元の権力者達に寄付金を募る。寄付してくれたら優先的にドクターカーを使用できると言うのだ。そんな中、市議会議員の神蔵(小宮孝泰)が事故を起こす。出動する一花(剛力彩芽)たち。寄付金狙いの勇介は軽症の神蔵を手厚くドクターカーで搬送するのだが、一花は事故の様子から現場に残った運転手の方が命に係わる重症だと気づ"&amp;"く。勇介に逆らい、たった一人で現場に戻る一花…絶体絶命を救えるか")</f>
        <v>剛力彩芽、中村俊介、笛木優子、木下ほうか、内藤理沙、久保田磨希、伊東孝明、遠藤雄弥、横山歩、東ちづる、かたせ梨乃  【第3話ゲスト】小宮孝泰、朝倉伸二、原慎一、久保晶、木村翠勇介(中村俊介)は金儲けの為、地元の権力者達に寄付金を募る。寄付してくれたら優先的にドクターカーを使用できると言うのだ。そんな中、市議会議員の神蔵(小宮孝泰)が事故を起こす。出動する一花(剛力彩芽)たち。寄付金狙いの勇介は軽症の神蔵を手厚くドクターカーで搬送するのだが、一花は事故の様子から現場に残った運転手の方が命に係わる重症だと気づく。勇介に逆らい、たった一人で現場に戻る一花…絶体絶命を救えるか</v>
      </c>
      <c r="N3677" s="2"/>
      <c r="O3677" s="2"/>
      <c r="P3677" s="1"/>
      <c r="Q3677" s="1"/>
      <c r="R3677" s="1"/>
      <c r="S3677" s="1"/>
      <c r="T3677" s="1"/>
      <c r="U3677" s="1"/>
      <c r="V3677" s="1"/>
      <c r="W3677" s="1"/>
      <c r="X3677" s="1"/>
      <c r="Y3677" s="1"/>
      <c r="Z3677" s="1"/>
      <c r="AA3677" s="1"/>
      <c r="AB3677" s="1"/>
      <c r="AC3677" s="1"/>
      <c r="AD3677" s="1"/>
      <c r="AE3677" s="1"/>
      <c r="AF3677" s="1"/>
      <c r="AG3677" s="1"/>
      <c r="AH3677" s="1"/>
      <c r="AI3677" s="1"/>
      <c r="AJ3677" s="1"/>
      <c r="AK3677" s="1"/>
      <c r="AL3677" s="1"/>
      <c r="AM3677" s="1"/>
      <c r="AN3677" s="1"/>
      <c r="AO3677" s="1"/>
      <c r="AP3677" s="1"/>
      <c r="AQ3677" s="1"/>
      <c r="AR3677" s="1"/>
      <c r="AS3677" s="1"/>
      <c r="AT3677" s="1"/>
      <c r="AU3677" s="1"/>
      <c r="AV3677" s="1"/>
      <c r="AW3677" s="1"/>
      <c r="AX3677" s="1"/>
      <c r="AY3677" s="1"/>
      <c r="AZ3677" s="1"/>
      <c r="BA3677" s="1"/>
      <c r="BB3677" s="1"/>
    </row>
    <row r="3678" ht="204.75" customHeight="1">
      <c r="A3678" s="1">
        <v>1703.0</v>
      </c>
      <c r="B3678" s="2" t="s">
        <v>11075</v>
      </c>
      <c r="C3678" s="2">
        <f>IFERROR(__xludf.DUMMYFUNCTION("split(B3678,""_"")"),1604.0)</f>
        <v>1604</v>
      </c>
      <c r="D3678" s="2" t="str">
        <f>IFERROR(__xludf.DUMMYFUNCTION("""COMPUTED_VALUE"""),"NTV")</f>
        <v>NTV</v>
      </c>
      <c r="E3678" s="2" t="str">
        <f>IFERROR(__xludf.DUMMYFUNCTION("""COMPUTED_VALUE"""),"木23")</f>
        <v>木23</v>
      </c>
      <c r="F3678" s="2" t="s">
        <v>11076</v>
      </c>
      <c r="G3678" s="2" t="s">
        <v>11086</v>
      </c>
      <c r="H3678" s="1">
        <v>4.0</v>
      </c>
      <c r="J3678" s="1" t="s">
        <v>1435</v>
      </c>
      <c r="K3678" s="2" t="s">
        <v>11087</v>
      </c>
      <c r="L3678" s="10" t="s">
        <v>11088</v>
      </c>
      <c r="M3678" s="2" t="str">
        <f>IFERROR(__xludf.DUMMYFUNCTION("split(split(K3678,""【監督"",false),""他)"",false)"),"剛力彩芽、中村俊介、笛木優子、木下ほうか、内藤理沙、久保田磨希、伊東孝明、遠藤雄弥、横山歩、東ちづる、かたせ梨乃  【第4話ゲスト】水沢エレナ、盛永晶月アレルギーの疑いがある5歳の男児のもとにドクターカーで駆けつけた天童一花(剛力彩芽)。しかしシングルマザーのレイナ(水沢エレナ)は生活が苦しく検査を拒む。心配する一花だが逆に「保育園の行事にも参加しないあんたより自分の方がちゃんと母親をやっている」となじられる。仕事か子供かそれは今の一花が抱える悩みだった。そんなある日、レイナの子供に重篤な発作が起きる…")</f>
        <v>剛力彩芽、中村俊介、笛木優子、木下ほうか、内藤理沙、久保田磨希、伊東孝明、遠藤雄弥、横山歩、東ちづる、かたせ梨乃  【第4話ゲスト】水沢エレナ、盛永晶月アレルギーの疑いがある5歳の男児のもとにドクターカーで駆けつけた天童一花(剛力彩芽)。しかしシングルマザーのレイナ(水沢エレナ)は生活が苦しく検査を拒む。心配する一花だが逆に「保育園の行事にも参加しないあんたより自分の方がちゃんと母親をやっている」となじられる。仕事か子供かそれは今の一花が抱える悩みだった。そんなある日、レイナの子供に重篤な発作が起きる…</v>
      </c>
      <c r="N3678" s="2"/>
      <c r="O3678" s="2"/>
      <c r="P3678" s="1"/>
      <c r="Q3678" s="1"/>
      <c r="R3678" s="1"/>
      <c r="S3678" s="1"/>
      <c r="T3678" s="1"/>
      <c r="U3678" s="1"/>
      <c r="V3678" s="1"/>
      <c r="W3678" s="1"/>
      <c r="X3678" s="1"/>
      <c r="Y3678" s="1"/>
      <c r="Z3678" s="1"/>
      <c r="AA3678" s="1"/>
      <c r="AB3678" s="1"/>
      <c r="AC3678" s="1"/>
      <c r="AD3678" s="1"/>
      <c r="AE3678" s="1"/>
      <c r="AF3678" s="1"/>
      <c r="AG3678" s="1"/>
      <c r="AH3678" s="1"/>
      <c r="AI3678" s="1"/>
      <c r="AJ3678" s="1"/>
      <c r="AK3678" s="1"/>
      <c r="AL3678" s="1"/>
      <c r="AM3678" s="1"/>
      <c r="AN3678" s="1"/>
      <c r="AO3678" s="1"/>
      <c r="AP3678" s="1"/>
      <c r="AQ3678" s="1"/>
      <c r="AR3678" s="1"/>
      <c r="AS3678" s="1"/>
      <c r="AT3678" s="1"/>
      <c r="AU3678" s="1"/>
      <c r="AV3678" s="1"/>
      <c r="AW3678" s="1"/>
      <c r="AX3678" s="1"/>
      <c r="AY3678" s="1"/>
      <c r="AZ3678" s="1"/>
      <c r="BA3678" s="1"/>
      <c r="BB3678" s="1"/>
    </row>
    <row r="3679" ht="204.75" customHeight="1">
      <c r="A3679" s="1">
        <v>1704.0</v>
      </c>
      <c r="B3679" s="2" t="s">
        <v>11075</v>
      </c>
      <c r="C3679" s="2">
        <f>IFERROR(__xludf.DUMMYFUNCTION("split(B3679,""_"")"),1604.0)</f>
        <v>1604</v>
      </c>
      <c r="D3679" s="2" t="str">
        <f>IFERROR(__xludf.DUMMYFUNCTION("""COMPUTED_VALUE"""),"NTV")</f>
        <v>NTV</v>
      </c>
      <c r="E3679" s="2" t="str">
        <f>IFERROR(__xludf.DUMMYFUNCTION("""COMPUTED_VALUE"""),"木23")</f>
        <v>木23</v>
      </c>
      <c r="F3679" s="2" t="s">
        <v>11076</v>
      </c>
      <c r="G3679" s="2" t="s">
        <v>11089</v>
      </c>
      <c r="H3679" s="1">
        <v>5.0</v>
      </c>
      <c r="J3679" s="1" t="s">
        <v>1435</v>
      </c>
      <c r="K3679" s="2" t="s">
        <v>11090</v>
      </c>
      <c r="L3679" s="10" t="s">
        <v>11091</v>
      </c>
      <c r="M3679" s="2" t="str">
        <f>IFERROR(__xludf.DUMMYFUNCTION("split(split(K3679,""【監督"",false),""他)"",false)"),"剛力彩芽、中村俊介、笛木優子、木下ほうか、内藤理沙、久保田磨希、伊東孝明、遠藤雄弥、横山歩、東ちづる、かたせ梨乃  【第5話ゲスト】徳井優、山崎潤、長谷川真弓、内田愛ドクターカー導入を考える順徳医科大学・教授の小峰(徳井優)から「協力するなら准教授の椅子を用意する」と言われた勇介(中村俊介)はすっかりその気になる。そんな時、先日、小峰が内視鏡手術をした男性が倒れドクターカーに出動要請が入る。男性を診察した一花(剛力彩芽)は違和感を覚える。小峰が手術をしたのは“治験”のため!?そして数日後、再び男性が倒れる"&amp;"。一花は車内で男性の開胸手術をすることになるのだが…。")</f>
        <v>剛力彩芽、中村俊介、笛木優子、木下ほうか、内藤理沙、久保田磨希、伊東孝明、遠藤雄弥、横山歩、東ちづる、かたせ梨乃  【第5話ゲスト】徳井優、山崎潤、長谷川真弓、内田愛ドクターカー導入を考える順徳医科大学・教授の小峰(徳井優)から「協力するなら准教授の椅子を用意する」と言われた勇介(中村俊介)はすっかりその気になる。そんな時、先日、小峰が内視鏡手術をした男性が倒れドクターカーに出動要請が入る。男性を診察した一花(剛力彩芽)は違和感を覚える。小峰が手術をしたのは“治験”のため!?そして数日後、再び男性が倒れる。一花は車内で男性の開胸手術をすることになるのだが…。</v>
      </c>
      <c r="N3679" s="2"/>
      <c r="O3679" s="2"/>
      <c r="P3679" s="1"/>
      <c r="Q3679" s="1"/>
      <c r="R3679" s="1"/>
      <c r="S3679" s="1"/>
      <c r="T3679" s="1"/>
      <c r="U3679" s="1"/>
      <c r="V3679" s="1"/>
      <c r="W3679" s="1"/>
      <c r="X3679" s="1"/>
      <c r="Y3679" s="1"/>
      <c r="Z3679" s="1"/>
      <c r="AA3679" s="1"/>
      <c r="AB3679" s="1"/>
      <c r="AC3679" s="1"/>
      <c r="AD3679" s="1"/>
      <c r="AE3679" s="1"/>
      <c r="AF3679" s="1"/>
      <c r="AG3679" s="1"/>
      <c r="AH3679" s="1"/>
      <c r="AI3679" s="1"/>
      <c r="AJ3679" s="1"/>
      <c r="AK3679" s="1"/>
      <c r="AL3679" s="1"/>
      <c r="AM3679" s="1"/>
      <c r="AN3679" s="1"/>
      <c r="AO3679" s="1"/>
      <c r="AP3679" s="1"/>
      <c r="AQ3679" s="1"/>
      <c r="AR3679" s="1"/>
      <c r="AS3679" s="1"/>
      <c r="AT3679" s="1"/>
      <c r="AU3679" s="1"/>
      <c r="AV3679" s="1"/>
      <c r="AW3679" s="1"/>
      <c r="AX3679" s="1"/>
      <c r="AY3679" s="1"/>
      <c r="AZ3679" s="1"/>
      <c r="BA3679" s="1"/>
      <c r="BB3679" s="1"/>
    </row>
    <row r="3680" ht="204.75" customHeight="1">
      <c r="A3680" s="1">
        <v>1705.0</v>
      </c>
      <c r="B3680" s="2" t="s">
        <v>11075</v>
      </c>
      <c r="C3680" s="2">
        <f>IFERROR(__xludf.DUMMYFUNCTION("split(B3680,""_"")"),1604.0)</f>
        <v>1604</v>
      </c>
      <c r="D3680" s="2" t="str">
        <f>IFERROR(__xludf.DUMMYFUNCTION("""COMPUTED_VALUE"""),"NTV")</f>
        <v>NTV</v>
      </c>
      <c r="E3680" s="2" t="str">
        <f>IFERROR(__xludf.DUMMYFUNCTION("""COMPUTED_VALUE"""),"木23")</f>
        <v>木23</v>
      </c>
      <c r="F3680" s="2" t="s">
        <v>11076</v>
      </c>
      <c r="G3680" s="2" t="s">
        <v>11092</v>
      </c>
      <c r="H3680" s="1">
        <v>6.0</v>
      </c>
      <c r="J3680" s="1" t="s">
        <v>1435</v>
      </c>
      <c r="K3680" s="2" t="s">
        <v>11093</v>
      </c>
      <c r="L3680" s="10" t="s">
        <v>11094</v>
      </c>
      <c r="M3680" s="2" t="str">
        <f>IFERROR(__xludf.DUMMYFUNCTION("split(split(K3680,""【監督"",false),""他)"",false)"),"剛力彩芽、中村俊介、笛木優子、木下ほうか、内藤理沙、久保田磨希、伊東孝明、遠藤雄弥、横山歩、東ちづる、かたせ梨乃  【第6話ゲスト】武田梨奈、成田瑛基、外海多伽子、クラドクターカーが乗っ取られる。犯人は仲間の金を盗んで逃走中の男女。男は腹部を刺されていた。車内で応急処置をする一花(剛力彩芽)。病院で治療するように言うが犯人(武田梨奈)は拳銃で勇介(中村俊介)を脅し厚木に向かうよう指示する。やむなく厚木へ向かうドクターカー。すると盗まれた金を取り戻そうと仲間の男達が追いかけて来て…。犯罪に巻き込まれたドクタ"&amp;"ーカー。一花はこのピンチをどう切り抜けるのか?")</f>
        <v>剛力彩芽、中村俊介、笛木優子、木下ほうか、内藤理沙、久保田磨希、伊東孝明、遠藤雄弥、横山歩、東ちづる、かたせ梨乃  【第6話ゲスト】武田梨奈、成田瑛基、外海多伽子、クラドクターカーが乗っ取られる。犯人は仲間の金を盗んで逃走中の男女。男は腹部を刺されていた。車内で応急処置をする一花(剛力彩芽)。病院で治療するように言うが犯人(武田梨奈)は拳銃で勇介(中村俊介)を脅し厚木に向かうよう指示する。やむなく厚木へ向かうドクターカー。すると盗まれた金を取り戻そうと仲間の男達が追いかけて来て…。犯罪に巻き込まれたドクターカー。一花はこのピンチをどう切り抜けるのか?</v>
      </c>
      <c r="N3680" s="2"/>
      <c r="O3680" s="2"/>
      <c r="P3680" s="1"/>
      <c r="Q3680" s="1"/>
      <c r="R3680" s="1"/>
      <c r="S3680" s="1"/>
      <c r="T3680" s="1"/>
      <c r="U3680" s="1"/>
      <c r="V3680" s="1"/>
      <c r="W3680" s="1"/>
      <c r="X3680" s="1"/>
      <c r="Y3680" s="1"/>
      <c r="Z3680" s="1"/>
      <c r="AA3680" s="1"/>
      <c r="AB3680" s="1"/>
      <c r="AC3680" s="1"/>
      <c r="AD3680" s="1"/>
      <c r="AE3680" s="1"/>
      <c r="AF3680" s="1"/>
      <c r="AG3680" s="1"/>
      <c r="AH3680" s="1"/>
      <c r="AI3680" s="1"/>
      <c r="AJ3680" s="1"/>
      <c r="AK3680" s="1"/>
      <c r="AL3680" s="1"/>
      <c r="AM3680" s="1"/>
      <c r="AN3680" s="1"/>
      <c r="AO3680" s="1"/>
      <c r="AP3680" s="1"/>
      <c r="AQ3680" s="1"/>
      <c r="AR3680" s="1"/>
      <c r="AS3680" s="1"/>
      <c r="AT3680" s="1"/>
      <c r="AU3680" s="1"/>
      <c r="AV3680" s="1"/>
      <c r="AW3680" s="1"/>
      <c r="AX3680" s="1"/>
      <c r="AY3680" s="1"/>
      <c r="AZ3680" s="1"/>
      <c r="BA3680" s="1"/>
      <c r="BB3680" s="1"/>
    </row>
    <row r="3681" ht="204.75" customHeight="1">
      <c r="A3681" s="1">
        <v>1706.0</v>
      </c>
      <c r="B3681" s="2" t="s">
        <v>11075</v>
      </c>
      <c r="C3681" s="2">
        <f>IFERROR(__xludf.DUMMYFUNCTION("split(B3681,""_"")"),1604.0)</f>
        <v>1604</v>
      </c>
      <c r="D3681" s="2" t="str">
        <f>IFERROR(__xludf.DUMMYFUNCTION("""COMPUTED_VALUE"""),"NTV")</f>
        <v>NTV</v>
      </c>
      <c r="E3681" s="2" t="str">
        <f>IFERROR(__xludf.DUMMYFUNCTION("""COMPUTED_VALUE"""),"木23")</f>
        <v>木23</v>
      </c>
      <c r="F3681" s="2" t="s">
        <v>11076</v>
      </c>
      <c r="G3681" s="2" t="s">
        <v>11095</v>
      </c>
      <c r="H3681" s="1">
        <v>7.0</v>
      </c>
      <c r="J3681" s="1" t="s">
        <v>1435</v>
      </c>
      <c r="K3681" s="2" t="s">
        <v>11096</v>
      </c>
      <c r="L3681" s="10" t="s">
        <v>11097</v>
      </c>
      <c r="M3681" s="2" t="str">
        <f>IFERROR(__xludf.DUMMYFUNCTION("split(split(K3681,""【監督"",false),""他)"",false)"),"剛力彩芽、中村俊介、笛木優子、木下ほうか、内藤理沙、久保田磨希、伊東孝明、遠藤雄弥、横山歩、東ちづる、かたせ梨乃  【第7話ゲスト】平山祐介、佐藤旭ドクターカーに、同時に2つの出動要請が!1つは、男性がジョギング中に倒れ脳震盪の疑い。もう1つは、海で溺れた男性、呼吸なし。どちらに行けば…と一花(剛力彩芽)は悩むが勇介(中村俊介)の指示に従い海岸へ向かう。男性は仲間の人工呼吸で意識は回復。一方、脳震盪疑いの男性の容体が急変したと連絡が。勇介は、現場での選択ミスだと一花を責める。悩む一花に再び2箇所からの出動"&amp;"要請が!果たして…一花が出した答えは!?")</f>
        <v>剛力彩芽、中村俊介、笛木優子、木下ほうか、内藤理沙、久保田磨希、伊東孝明、遠藤雄弥、横山歩、東ちづる、かたせ梨乃  【第7話ゲスト】平山祐介、佐藤旭ドクターカーに、同時に2つの出動要請が!1つは、男性がジョギング中に倒れ脳震盪の疑い。もう1つは、海で溺れた男性、呼吸なし。どちらに行けば…と一花(剛力彩芽)は悩むが勇介(中村俊介)の指示に従い海岸へ向かう。男性は仲間の人工呼吸で意識は回復。一方、脳震盪疑いの男性の容体が急変したと連絡が。勇介は、現場での選択ミスだと一花を責める。悩む一花に再び2箇所からの出動要請が!果たして…一花が出した答えは!?</v>
      </c>
      <c r="N3681" s="2"/>
      <c r="O3681" s="2"/>
      <c r="P3681" s="1"/>
      <c r="Q3681" s="1"/>
      <c r="R3681" s="1"/>
      <c r="S3681" s="1"/>
      <c r="T3681" s="1"/>
      <c r="U3681" s="1"/>
      <c r="V3681" s="1"/>
      <c r="W3681" s="1"/>
      <c r="X3681" s="1"/>
      <c r="Y3681" s="1"/>
      <c r="Z3681" s="1"/>
      <c r="AA3681" s="1"/>
      <c r="AB3681" s="1"/>
      <c r="AC3681" s="1"/>
      <c r="AD3681" s="1"/>
      <c r="AE3681" s="1"/>
      <c r="AF3681" s="1"/>
      <c r="AG3681" s="1"/>
      <c r="AH3681" s="1"/>
      <c r="AI3681" s="1"/>
      <c r="AJ3681" s="1"/>
      <c r="AK3681" s="1"/>
      <c r="AL3681" s="1"/>
      <c r="AM3681" s="1"/>
      <c r="AN3681" s="1"/>
      <c r="AO3681" s="1"/>
      <c r="AP3681" s="1"/>
      <c r="AQ3681" s="1"/>
      <c r="AR3681" s="1"/>
      <c r="AS3681" s="1"/>
      <c r="AT3681" s="1"/>
      <c r="AU3681" s="1"/>
      <c r="AV3681" s="1"/>
      <c r="AW3681" s="1"/>
      <c r="AX3681" s="1"/>
      <c r="AY3681" s="1"/>
      <c r="AZ3681" s="1"/>
      <c r="BA3681" s="1"/>
      <c r="BB3681" s="1"/>
    </row>
    <row r="3682" ht="204.75" customHeight="1">
      <c r="A3682" s="1">
        <v>1707.0</v>
      </c>
      <c r="B3682" s="2" t="s">
        <v>11075</v>
      </c>
      <c r="C3682" s="2">
        <f>IFERROR(__xludf.DUMMYFUNCTION("split(B3682,""_"")"),1604.0)</f>
        <v>1604</v>
      </c>
      <c r="D3682" s="2" t="str">
        <f>IFERROR(__xludf.DUMMYFUNCTION("""COMPUTED_VALUE"""),"NTV")</f>
        <v>NTV</v>
      </c>
      <c r="E3682" s="2" t="str">
        <f>IFERROR(__xludf.DUMMYFUNCTION("""COMPUTED_VALUE"""),"木23")</f>
        <v>木23</v>
      </c>
      <c r="F3682" s="2" t="s">
        <v>11076</v>
      </c>
      <c r="G3682" s="2" t="s">
        <v>11098</v>
      </c>
      <c r="H3682" s="1">
        <v>8.0</v>
      </c>
      <c r="J3682" s="1" t="s">
        <v>1435</v>
      </c>
      <c r="K3682" s="2" t="s">
        <v>11099</v>
      </c>
      <c r="L3682" s="10" t="s">
        <v>11100</v>
      </c>
      <c r="M3682" s="2" t="str">
        <f>IFERROR(__xludf.DUMMYFUNCTION("split(split(K3682,""【監督"",false),""他)"",false)"),"剛力彩芽、中村俊介、笛木優子、木下ほうか、内藤理沙、久保田磨希、伊東孝明、遠藤雄弥、横山歩、東ちづる、かたせ梨乃  【第8話ゲスト】綾田俊樹、野村麻純一花(剛力彩芽)は石段から落ちて負傷した漁師・悠木(綾田俊樹)をドクターカーで搬送する。しかし悠木は病院での検査を頑に拒む。駆けつけた一人娘(野村麻純)と悠木が絶縁状態にあることを知った一花は2人の関係を修復しようとするが、親子のわだかまりは根深い…その後、悠木の右足が重度の動脈硬化を起こしていると判明。足を切断しなければ命が危ないと知った一花…父親の命を救"&amp;"い父娘の絆を再生させる事はできるのか!?")</f>
        <v>剛力彩芽、中村俊介、笛木優子、木下ほうか、内藤理沙、久保田磨希、伊東孝明、遠藤雄弥、横山歩、東ちづる、かたせ梨乃  【第8話ゲスト】綾田俊樹、野村麻純一花(剛力彩芽)は石段から落ちて負傷した漁師・悠木(綾田俊樹)をドクターカーで搬送する。しかし悠木は病院での検査を頑に拒む。駆けつけた一人娘(野村麻純)と悠木が絶縁状態にあることを知った一花は2人の関係を修復しようとするが、親子のわだかまりは根深い…その後、悠木の右足が重度の動脈硬化を起こしていると判明。足を切断しなければ命が危ないと知った一花…父親の命を救い父娘の絆を再生させる事はできるのか!?</v>
      </c>
      <c r="N3682" s="2"/>
      <c r="O3682" s="2"/>
      <c r="P3682" s="1"/>
      <c r="Q3682" s="1"/>
      <c r="R3682" s="1"/>
      <c r="S3682" s="1"/>
      <c r="T3682" s="1"/>
      <c r="U3682" s="1"/>
      <c r="V3682" s="1"/>
      <c r="W3682" s="1"/>
      <c r="X3682" s="1"/>
      <c r="Y3682" s="1"/>
      <c r="Z3682" s="1"/>
      <c r="AA3682" s="1"/>
      <c r="AB3682" s="1"/>
      <c r="AC3682" s="1"/>
      <c r="AD3682" s="1"/>
      <c r="AE3682" s="1"/>
      <c r="AF3682" s="1"/>
      <c r="AG3682" s="1"/>
      <c r="AH3682" s="1"/>
      <c r="AI3682" s="1"/>
      <c r="AJ3682" s="1"/>
      <c r="AK3682" s="1"/>
      <c r="AL3682" s="1"/>
      <c r="AM3682" s="1"/>
      <c r="AN3682" s="1"/>
      <c r="AO3682" s="1"/>
      <c r="AP3682" s="1"/>
      <c r="AQ3682" s="1"/>
      <c r="AR3682" s="1"/>
      <c r="AS3682" s="1"/>
      <c r="AT3682" s="1"/>
      <c r="AU3682" s="1"/>
      <c r="AV3682" s="1"/>
      <c r="AW3682" s="1"/>
      <c r="AX3682" s="1"/>
      <c r="AY3682" s="1"/>
      <c r="AZ3682" s="1"/>
      <c r="BA3682" s="1"/>
      <c r="BB3682" s="1"/>
    </row>
    <row r="3683" ht="204.75" customHeight="1">
      <c r="A3683" s="1">
        <v>1708.0</v>
      </c>
      <c r="B3683" s="2" t="s">
        <v>11075</v>
      </c>
      <c r="C3683" s="2">
        <f>IFERROR(__xludf.DUMMYFUNCTION("split(B3683,""_"")"),1604.0)</f>
        <v>1604</v>
      </c>
      <c r="D3683" s="2" t="str">
        <f>IFERROR(__xludf.DUMMYFUNCTION("""COMPUTED_VALUE"""),"NTV")</f>
        <v>NTV</v>
      </c>
      <c r="E3683" s="2" t="str">
        <f>IFERROR(__xludf.DUMMYFUNCTION("""COMPUTED_VALUE"""),"木23")</f>
        <v>木23</v>
      </c>
      <c r="F3683" s="2" t="s">
        <v>11076</v>
      </c>
      <c r="G3683" s="2" t="s">
        <v>11101</v>
      </c>
      <c r="H3683" s="1">
        <v>9.0</v>
      </c>
      <c r="J3683" s="1" t="s">
        <v>1435</v>
      </c>
      <c r="K3683" s="2" t="s">
        <v>11102</v>
      </c>
      <c r="L3683" s="10" t="s">
        <v>11103</v>
      </c>
      <c r="M3683" s="2" t="str">
        <f>IFERROR(__xludf.DUMMYFUNCTION("split(split(K3683,""【監督"",false),""他)"",false)"),"剛力彩芽、中村俊介、笛木優子、木下ほうか、内藤理沙、久保田磨希、伊東孝明、遠藤雄弥、横山歩、東ちづる、かたせ梨乃  【第9話ゲスト】宮川一朗太、高杉瑞穂、岩田和浩、中野魁星院長の涼子(かたせ梨乃)が不在の間に結果を残そうと、勇介(中村俊介)はドクターカーを僻地で出張医院に使用することに。そこで一花(剛力彩芽)は、かつて紗那(笛木優子)によって命を救われた海斗という身寄りのない少年に出会う。しかしなぜか紗那は海斗を避けている…。そんな中ドクターカーに出動要請が。一花が現場に駆けつけるとバイクにはねられ血まみ"&amp;"れの海斗と一見外傷の少ない運転手の姿が!?")</f>
        <v>剛力彩芽、中村俊介、笛木優子、木下ほうか、内藤理沙、久保田磨希、伊東孝明、遠藤雄弥、横山歩、東ちづる、かたせ梨乃  【第9話ゲスト】宮川一朗太、高杉瑞穂、岩田和浩、中野魁星院長の涼子(かたせ梨乃)が不在の間に結果を残そうと、勇介(中村俊介)はドクターカーを僻地で出張医院に使用することに。そこで一花(剛力彩芽)は、かつて紗那(笛木優子)によって命を救われた海斗という身寄りのない少年に出会う。しかしなぜか紗那は海斗を避けている…。そんな中ドクターカーに出動要請が。一花が現場に駆けつけるとバイクにはねられ血まみれの海斗と一見外傷の少ない運転手の姿が!?</v>
      </c>
      <c r="N3683" s="2"/>
      <c r="O3683" s="2"/>
      <c r="P3683" s="1"/>
      <c r="Q3683" s="1"/>
      <c r="R3683" s="1"/>
      <c r="S3683" s="1"/>
      <c r="T3683" s="1"/>
      <c r="U3683" s="1"/>
      <c r="V3683" s="1"/>
      <c r="W3683" s="1"/>
      <c r="X3683" s="1"/>
      <c r="Y3683" s="1"/>
      <c r="Z3683" s="1"/>
      <c r="AA3683" s="1"/>
      <c r="AB3683" s="1"/>
      <c r="AC3683" s="1"/>
      <c r="AD3683" s="1"/>
      <c r="AE3683" s="1"/>
      <c r="AF3683" s="1"/>
      <c r="AG3683" s="1"/>
      <c r="AH3683" s="1"/>
      <c r="AI3683" s="1"/>
      <c r="AJ3683" s="1"/>
      <c r="AK3683" s="1"/>
      <c r="AL3683" s="1"/>
      <c r="AM3683" s="1"/>
      <c r="AN3683" s="1"/>
      <c r="AO3683" s="1"/>
      <c r="AP3683" s="1"/>
      <c r="AQ3683" s="1"/>
      <c r="AR3683" s="1"/>
      <c r="AS3683" s="1"/>
      <c r="AT3683" s="1"/>
      <c r="AU3683" s="1"/>
      <c r="AV3683" s="1"/>
      <c r="AW3683" s="1"/>
      <c r="AX3683" s="1"/>
      <c r="AY3683" s="1"/>
      <c r="AZ3683" s="1"/>
      <c r="BA3683" s="1"/>
      <c r="BB3683" s="1"/>
    </row>
    <row r="3684" ht="204.75" customHeight="1">
      <c r="A3684" s="1">
        <v>1709.0</v>
      </c>
      <c r="B3684" s="2" t="s">
        <v>11075</v>
      </c>
      <c r="C3684" s="2">
        <f>IFERROR(__xludf.DUMMYFUNCTION("split(B3684,""_"")"),1604.0)</f>
        <v>1604</v>
      </c>
      <c r="D3684" s="2" t="str">
        <f>IFERROR(__xludf.DUMMYFUNCTION("""COMPUTED_VALUE"""),"NTV")</f>
        <v>NTV</v>
      </c>
      <c r="E3684" s="2" t="str">
        <f>IFERROR(__xludf.DUMMYFUNCTION("""COMPUTED_VALUE"""),"木23")</f>
        <v>木23</v>
      </c>
      <c r="F3684" s="2" t="s">
        <v>11076</v>
      </c>
      <c r="G3684" s="2" t="s">
        <v>11104</v>
      </c>
      <c r="H3684" s="1">
        <v>10.0</v>
      </c>
      <c r="J3684" s="1" t="s">
        <v>1435</v>
      </c>
      <c r="K3684" s="2" t="s">
        <v>11105</v>
      </c>
      <c r="L3684" s="10" t="s">
        <v>11106</v>
      </c>
      <c r="M3684" s="2" t="str">
        <f>IFERROR(__xludf.DUMMYFUNCTION("split(split(K3684,""【監督"",false),""他)"",false)"),"剛力彩芽、中村俊介、笛木優子、木下ほうか、内藤理沙、久保田磨希、伊東孝明、遠藤雄弥、横山歩、東ちづる、かたせ梨乃  【第10話ゲスト】おかやまはじめ、佐野勇斗、宮田早苗海岸の崖から海に転落した中年男・板倉(おかやまはじめ)を救助した一花(剛力彩芽)。幸い板倉は足の骨折だけで済んだが、検査で重病が判明。しかし板倉は何故か病院から姿を消してしまう。一花はすぐに板倉を探しに行こうとするのだが、勇介(中村俊介)に遮られる…。一方、一花の息子・一太郎(横山歩)は、偶然ある写真を見てしまう。それは母・一花が、見たこと"&amp;"もない男性と仲睦まじく写っている写真だった…。")</f>
        <v>剛力彩芽、中村俊介、笛木優子、木下ほうか、内藤理沙、久保田磨希、伊東孝明、遠藤雄弥、横山歩、東ちづる、かたせ梨乃  【第10話ゲスト】おかやまはじめ、佐野勇斗、宮田早苗海岸の崖から海に転落した中年男・板倉(おかやまはじめ)を救助した一花(剛力彩芽)。幸い板倉は足の骨折だけで済んだが、検査で重病が判明。しかし板倉は何故か病院から姿を消してしまう。一花はすぐに板倉を探しに行こうとするのだが、勇介(中村俊介)に遮られる…。一方、一花の息子・一太郎(横山歩)は、偶然ある写真を見てしまう。それは母・一花が、見たこともない男性と仲睦まじく写っている写真だった…。</v>
      </c>
      <c r="N3684" s="2"/>
      <c r="O3684" s="2"/>
      <c r="P3684" s="1"/>
      <c r="Q3684" s="1"/>
      <c r="R3684" s="1"/>
      <c r="S3684" s="1"/>
      <c r="T3684" s="1"/>
      <c r="U3684" s="1"/>
      <c r="V3684" s="1"/>
      <c r="W3684" s="1"/>
      <c r="X3684" s="1"/>
      <c r="Y3684" s="1"/>
      <c r="Z3684" s="1"/>
      <c r="AA3684" s="1"/>
      <c r="AB3684" s="1"/>
      <c r="AC3684" s="1"/>
      <c r="AD3684" s="1"/>
      <c r="AE3684" s="1"/>
      <c r="AF3684" s="1"/>
      <c r="AG3684" s="1"/>
      <c r="AH3684" s="1"/>
      <c r="AI3684" s="1"/>
      <c r="AJ3684" s="1"/>
      <c r="AK3684" s="1"/>
      <c r="AL3684" s="1"/>
      <c r="AM3684" s="1"/>
      <c r="AN3684" s="1"/>
      <c r="AO3684" s="1"/>
      <c r="AP3684" s="1"/>
      <c r="AQ3684" s="1"/>
      <c r="AR3684" s="1"/>
      <c r="AS3684" s="1"/>
      <c r="AT3684" s="1"/>
      <c r="AU3684" s="1"/>
      <c r="AV3684" s="1"/>
      <c r="AW3684" s="1"/>
      <c r="AX3684" s="1"/>
      <c r="AY3684" s="1"/>
      <c r="AZ3684" s="1"/>
      <c r="BA3684" s="1"/>
      <c r="BB3684" s="1"/>
    </row>
    <row r="3685" ht="204.75" customHeight="1">
      <c r="A3685" s="1">
        <v>1710.0</v>
      </c>
      <c r="B3685" s="2" t="s">
        <v>11075</v>
      </c>
      <c r="C3685" s="2">
        <f>IFERROR(__xludf.DUMMYFUNCTION("split(B3685,""_"")"),1604.0)</f>
        <v>1604</v>
      </c>
      <c r="D3685" s="2" t="str">
        <f>IFERROR(__xludf.DUMMYFUNCTION("""COMPUTED_VALUE"""),"NTV")</f>
        <v>NTV</v>
      </c>
      <c r="E3685" s="2" t="str">
        <f>IFERROR(__xludf.DUMMYFUNCTION("""COMPUTED_VALUE"""),"木23")</f>
        <v>木23</v>
      </c>
      <c r="F3685" s="2" t="s">
        <v>11076</v>
      </c>
      <c r="G3685" s="2" t="s">
        <v>11107</v>
      </c>
      <c r="H3685" s="1">
        <v>11.0</v>
      </c>
      <c r="J3685" s="1" t="s">
        <v>1435</v>
      </c>
      <c r="K3685" s="2" t="s">
        <v>11108</v>
      </c>
      <c r="L3685" s="10" t="s">
        <v>11109</v>
      </c>
      <c r="M3685" s="2" t="str">
        <f>IFERROR(__xludf.DUMMYFUNCTION("split(split(K3685,""【監督"",false),""他)"",false)"),"剛力彩芽、中村俊介、笛木優子、木下ほうか、内藤理沙、久保田磨希、伊東孝明、遠藤雄弥、横山歩、東ちづる、かたせ梨乃  【第11話ゲスト】細田善彦、寺田農、辻本祐樹、尾中琴美一花(剛力彩芽)の後任の医師として呼ばれて来たのは、一太郎の父親・矢崎直道(細田善彦)だった。6年ぶりの再会。しかし、かつての恋人・矢崎は様子が変わり、一花が思い描いていたような男ではなかった…。その頃、経営不振から朝城総合病院は存続の危機に陥っていた。焦る勇介(中村俊介)の元に、病院を支援する想善会グループ会長の息子からドクターカー出動"&amp;"の要請が入る。現場には階段から転落した女性がいて…。")</f>
        <v>剛力彩芽、中村俊介、笛木優子、木下ほうか、内藤理沙、久保田磨希、伊東孝明、遠藤雄弥、横山歩、東ちづる、かたせ梨乃  【第11話ゲスト】細田善彦、寺田農、辻本祐樹、尾中琴美一花(剛力彩芽)の後任の医師として呼ばれて来たのは、一太郎の父親・矢崎直道(細田善彦)だった。6年ぶりの再会。しかし、かつての恋人・矢崎は様子が変わり、一花が思い描いていたような男ではなかった…。その頃、経営不振から朝城総合病院は存続の危機に陥っていた。焦る勇介(中村俊介)の元に、病院を支援する想善会グループ会長の息子からドクターカー出動の要請が入る。現場には階段から転落した女性がいて…。</v>
      </c>
      <c r="N3685" s="2"/>
      <c r="O3685" s="2"/>
      <c r="P3685" s="1"/>
      <c r="Q3685" s="1"/>
      <c r="R3685" s="1"/>
      <c r="S3685" s="1"/>
      <c r="T3685" s="1"/>
      <c r="U3685" s="1"/>
      <c r="V3685" s="1"/>
      <c r="W3685" s="1"/>
      <c r="X3685" s="1"/>
      <c r="Y3685" s="1"/>
      <c r="Z3685" s="1"/>
      <c r="AA3685" s="1"/>
      <c r="AB3685" s="1"/>
      <c r="AC3685" s="1"/>
      <c r="AD3685" s="1"/>
      <c r="AE3685" s="1"/>
      <c r="AF3685" s="1"/>
      <c r="AG3685" s="1"/>
      <c r="AH3685" s="1"/>
      <c r="AI3685" s="1"/>
      <c r="AJ3685" s="1"/>
      <c r="AK3685" s="1"/>
      <c r="AL3685" s="1"/>
      <c r="AM3685" s="1"/>
      <c r="AN3685" s="1"/>
      <c r="AO3685" s="1"/>
      <c r="AP3685" s="1"/>
      <c r="AQ3685" s="1"/>
      <c r="AR3685" s="1"/>
      <c r="AS3685" s="1"/>
      <c r="AT3685" s="1"/>
      <c r="AU3685" s="1"/>
      <c r="AV3685" s="1"/>
      <c r="AW3685" s="1"/>
      <c r="AX3685" s="1"/>
      <c r="AY3685" s="1"/>
      <c r="AZ3685" s="1"/>
      <c r="BA3685" s="1"/>
      <c r="BB3685" s="1"/>
    </row>
    <row r="3686" ht="204.75" customHeight="1">
      <c r="A3686" s="1">
        <v>1711.0</v>
      </c>
      <c r="B3686" s="2" t="s">
        <v>11075</v>
      </c>
      <c r="C3686" s="2">
        <f>IFERROR(__xludf.DUMMYFUNCTION("split(B3686,""_"")"),1604.0)</f>
        <v>1604</v>
      </c>
      <c r="D3686" s="2" t="str">
        <f>IFERROR(__xludf.DUMMYFUNCTION("""COMPUTED_VALUE"""),"NTV")</f>
        <v>NTV</v>
      </c>
      <c r="E3686" s="2" t="str">
        <f>IFERROR(__xludf.DUMMYFUNCTION("""COMPUTED_VALUE"""),"木23")</f>
        <v>木23</v>
      </c>
      <c r="F3686" s="2" t="s">
        <v>11076</v>
      </c>
      <c r="G3686" s="2" t="s">
        <v>11110</v>
      </c>
      <c r="H3686" s="1">
        <v>12.0</v>
      </c>
      <c r="J3686" s="1" t="s">
        <v>1435</v>
      </c>
      <c r="K3686" s="2" t="s">
        <v>11111</v>
      </c>
      <c r="L3686" s="10" t="s">
        <v>11112</v>
      </c>
      <c r="M3686" s="2" t="str">
        <f>IFERROR(__xludf.DUMMYFUNCTION("split(split(K3686,""【監督"",false),""他)"",false)"),"剛力彩芽、中村俊介、笛木優子、木下ほうか、内藤理沙、久保田磨希、伊東孝明、遠藤雄弥、横山歩、東ちづる、かたせ梨乃  【最終話ゲスト】寺田農、辻本祐樹勇介(中村俊介)からドクターカーの廃止と解雇を言い渡された一花(剛力彩芽)に他の病院への誘いが入る。ドクターカーのことが気になりながらも承諾する一花。一方、朝城総合病院は資金援助を打ち切られ存続の危機に立たされる。メンバー達もバラバラに…。そんな時、勇介が逃亡中の強盗犯にバスの中で刺されて瀕死の状態にあると連絡が入る!果たして一花たちの、そしてドクターカーの運"&amp;"命は!?")</f>
        <v>剛力彩芽、中村俊介、笛木優子、木下ほうか、内藤理沙、久保田磨希、伊東孝明、遠藤雄弥、横山歩、東ちづる、かたせ梨乃  【最終話ゲスト】寺田農、辻本祐樹勇介(中村俊介)からドクターカーの廃止と解雇を言い渡された一花(剛力彩芽)に他の病院への誘いが入る。ドクターカーのことが気になりながらも承諾する一花。一方、朝城総合病院は資金援助を打ち切られ存続の危機に立たされる。メンバー達もバラバラに…。そんな時、勇介が逃亡中の強盗犯にバスの中で刺されて瀕死の状態にあると連絡が入る!果たして一花たちの、そしてドクターカーの運命は!?</v>
      </c>
      <c r="N3686" s="2"/>
      <c r="O3686" s="2"/>
      <c r="P3686" s="1"/>
      <c r="Q3686" s="1"/>
      <c r="R3686" s="1"/>
      <c r="S3686" s="1"/>
      <c r="T3686" s="1"/>
      <c r="U3686" s="1"/>
      <c r="V3686" s="1"/>
      <c r="W3686" s="1"/>
      <c r="X3686" s="1"/>
      <c r="Y3686" s="1"/>
      <c r="Z3686" s="1"/>
      <c r="AA3686" s="1"/>
      <c r="AB3686" s="1"/>
      <c r="AC3686" s="1"/>
      <c r="AD3686" s="1"/>
      <c r="AE3686" s="1"/>
      <c r="AF3686" s="1"/>
      <c r="AG3686" s="1"/>
      <c r="AH3686" s="1"/>
      <c r="AI3686" s="1"/>
      <c r="AJ3686" s="1"/>
      <c r="AK3686" s="1"/>
      <c r="AL3686" s="1"/>
      <c r="AM3686" s="1"/>
      <c r="AN3686" s="1"/>
      <c r="AO3686" s="1"/>
      <c r="AP3686" s="1"/>
      <c r="AQ3686" s="1"/>
      <c r="AR3686" s="1"/>
      <c r="AS3686" s="1"/>
      <c r="AT3686" s="1"/>
      <c r="AU3686" s="1"/>
      <c r="AV3686" s="1"/>
      <c r="AW3686" s="1"/>
      <c r="AX3686" s="1"/>
      <c r="AY3686" s="1"/>
      <c r="AZ3686" s="1"/>
      <c r="BA3686" s="1"/>
      <c r="BB3686" s="1"/>
    </row>
    <row r="3687" ht="204.75" customHeight="1">
      <c r="A3687" s="1">
        <v>1719.0</v>
      </c>
      <c r="B3687" s="2" t="s">
        <v>11113</v>
      </c>
      <c r="C3687" s="2">
        <f>IFERROR(__xludf.DUMMYFUNCTION("split(B3687,""_"")"),1604.0)</f>
        <v>1604</v>
      </c>
      <c r="D3687" s="2" t="str">
        <f>IFERROR(__xludf.DUMMYFUNCTION("""COMPUTED_VALUE"""),"NTV")</f>
        <v>NTV</v>
      </c>
      <c r="E3687" s="2" t="str">
        <f>IFERROR(__xludf.DUMMYFUNCTION("""COMPUTED_VALUE"""),"土21")</f>
        <v>土21</v>
      </c>
      <c r="F3687" s="2" t="s">
        <v>11114</v>
      </c>
      <c r="G3687" s="2" t="s">
        <v>11115</v>
      </c>
      <c r="H3687" s="1">
        <v>1.0</v>
      </c>
      <c r="J3687" s="1" t="s">
        <v>4</v>
      </c>
      <c r="K3687" s="2" t="s">
        <v>11116</v>
      </c>
      <c r="L3687" s="11" t="s">
        <v>11117</v>
      </c>
      <c r="M3687" s="2" t="str">
        <f>IFERROR(__xludf.DUMMYFUNCTION("split(split(K3687,""【演出"",false),""ほか"",false)"),"福士蒼汰、土屋太鳳、鈴木亮平、門脇麦、濱田ここね  /(1話ゲスト)伊東四朗、菅野美穂/  野間口徹、森永悠希、大友花恋、根岸拓哉、比留川游/石野真子、大杉漣　")</f>
        <v>福士蒼汰、土屋太鳳、鈴木亮平、門脇麦、濱田ここね  /(1話ゲスト)伊東四朗、菅野美穂/  野間口徹、森永悠希、大友花恋、根岸拓哉、比留川游/石野真子、大杉漣　</v>
      </c>
      <c r="N3687" s="2" t="str">
        <f>IFERROR(__xludf.DUMMYFUNCTION("""COMPUTED_VALUE"""),"理系大学生の堤円(福士蒼汰)は同じ大学に通う阿熊幸(土屋太鳳)と不思議な出会いをする。その日の夜、高校の同級生・千里(門脇麦)の訃報を聞き、通夜に行った帰り道でありえない光景を目にする円。ウサギの着ぐるみを着た男と、初老の男・陽造(伊東四朗)が取っ組み合いをしているのだ。ウサギの中身は、死神と名乗るナベシマ(鈴木亮平)。彼は、円に自分の仕事を手伝ってほしいと頼む。円は幻覚だと無視するが…。")</f>
        <v>理系大学生の堤円(福士蒼汰)は同じ大学に通う阿熊幸(土屋太鳳)と不思議な出会いをする。その日の夜、高校の同級生・千里(門脇麦)の訃報を聞き、通夜に行った帰り道でありえない光景を目にする円。ウサギの着ぐるみを着た男と、初老の男・陽造(伊東四朗)が取っ組み合いをしているのだ。ウサギの中身は、死神と名乗るナベシマ(鈴木亮平)。彼は、円に自分の仕事を手伝ってほしいと頼む。円は幻覚だと無視するが…。</v>
      </c>
      <c r="O3687" s="2"/>
      <c r="P3687" s="1"/>
      <c r="Q3687" s="1"/>
      <c r="R3687" s="1"/>
      <c r="S3687" s="1"/>
      <c r="T3687" s="1"/>
      <c r="U3687" s="1"/>
      <c r="V3687" s="1"/>
      <c r="W3687" s="1"/>
      <c r="X3687" s="1"/>
      <c r="Y3687" s="1"/>
      <c r="Z3687" s="1"/>
      <c r="AA3687" s="1"/>
      <c r="AB3687" s="1"/>
      <c r="AC3687" s="1"/>
      <c r="AD3687" s="1"/>
      <c r="AE3687" s="1"/>
      <c r="AF3687" s="1"/>
      <c r="AG3687" s="1"/>
      <c r="AH3687" s="1"/>
      <c r="AI3687" s="1"/>
      <c r="AJ3687" s="1"/>
      <c r="AK3687" s="1"/>
      <c r="AL3687" s="1"/>
      <c r="AM3687" s="1"/>
      <c r="AN3687" s="1"/>
      <c r="AO3687" s="1"/>
      <c r="AP3687" s="1"/>
      <c r="AQ3687" s="1"/>
      <c r="AR3687" s="1"/>
      <c r="AS3687" s="1"/>
      <c r="AT3687" s="1"/>
      <c r="AU3687" s="1"/>
      <c r="AV3687" s="1"/>
      <c r="AW3687" s="1"/>
      <c r="AX3687" s="1"/>
      <c r="AY3687" s="1"/>
      <c r="AZ3687" s="1"/>
      <c r="BA3687" s="1"/>
      <c r="BB3687" s="1"/>
    </row>
    <row r="3688" ht="204.75" customHeight="1">
      <c r="A3688" s="1">
        <v>1720.0</v>
      </c>
      <c r="B3688" s="2" t="s">
        <v>11113</v>
      </c>
      <c r="C3688" s="2">
        <f>IFERROR(__xludf.DUMMYFUNCTION("split(B3688,""_"")"),1604.0)</f>
        <v>1604</v>
      </c>
      <c r="D3688" s="2" t="str">
        <f>IFERROR(__xludf.DUMMYFUNCTION("""COMPUTED_VALUE"""),"NTV")</f>
        <v>NTV</v>
      </c>
      <c r="E3688" s="2" t="str">
        <f>IFERROR(__xludf.DUMMYFUNCTION("""COMPUTED_VALUE"""),"土21")</f>
        <v>土21</v>
      </c>
      <c r="F3688" s="2" t="s">
        <v>11114</v>
      </c>
      <c r="G3688" s="2" t="s">
        <v>11118</v>
      </c>
      <c r="H3688" s="1">
        <v>2.0</v>
      </c>
      <c r="J3688" s="1" t="s">
        <v>11</v>
      </c>
      <c r="K3688" s="2" t="s">
        <v>11119</v>
      </c>
      <c r="L3688" s="10" t="s">
        <v>11120</v>
      </c>
      <c r="M3688" s="2" t="str">
        <f>IFERROR(__xludf.DUMMYFUNCTION("split(split(K3688,""【演出"",false),""ほか"",false)"),"福士蒼汰、土屋太鳳、鈴木亮平、門脇麦、濱田ここね/(2話ゲスト)比嘉愛未、加部亜門、笠原秀幸/野間口徹、森永悠希、大友花恋、根岸拓哉、比留川游/石野真子、大杉漣　")</f>
        <v>福士蒼汰、土屋太鳳、鈴木亮平、門脇麦、濱田ここね/(2話ゲスト)比嘉愛未、加部亜門、笠原秀幸/野間口徹、森永悠希、大友花恋、根岸拓哉、比留川游/石野真子、大杉漣　</v>
      </c>
      <c r="N3688" s="2" t="str">
        <f>IFERROR(__xludf.DUMMYFUNCTION("""COMPUTED_VALUE"""),"突然、幸(土屋太鳳)に告白した円(福士蒼汰)。一体何を考えているのか…。そんな中、円と幸にナベシマ(鈴木亮平)から、新しい仕事が。今回のターゲットは、14歳の少年・和弥(加部亜門)彼の心残りは、担当看護師・瑞江(比嘉愛未)と約束した観覧車デート。幸は、和弥が円に憑依して瑞江と観覧車に乗るという形で約束を果たすアイデアを提案。円は、自分なりに女心を研究し、あの手この手で瑞江に近付こうとするが…。【ドラマ・演出】南雲聖一【原作】田中メカ「お迎えです。」(白泉社刊・LaLa連載)  【脚本】尾崎将也【主題歌】「"&amp;"僕たちの未来」家入レオ(ビクターエンタテインメント)  【音楽】高見　優【プロデューサー】高　明希/大塚英治(ケイファクトリー)")</f>
        <v>突然、幸(土屋太鳳)に告白した円(福士蒼汰)。一体何を考えているのか…。そんな中、円と幸にナベシマ(鈴木亮平)から、新しい仕事が。今回のターゲットは、14歳の少年・和弥(加部亜門)彼の心残りは、担当看護師・瑞江(比嘉愛未)と約束した観覧車デート。幸は、和弥が円に憑依して瑞江と観覧車に乗るという形で約束を果たすアイデアを提案。円は、自分なりに女心を研究し、あの手この手で瑞江に近付こうとするが…。【ドラマ・演出】南雲聖一【原作】田中メカ「お迎えです。」(白泉社刊・LaLa連載)  【脚本】尾崎将也【主題歌】「僕たちの未来」家入レオ(ビクターエンタテインメント)  【音楽】高見　優【プロデューサー】高　明希/大塚英治(ケイファクトリー)</v>
      </c>
      <c r="O3688" s="2"/>
      <c r="P3688" s="1"/>
      <c r="Q3688" s="1"/>
      <c r="R3688" s="1"/>
      <c r="S3688" s="1"/>
      <c r="T3688" s="1"/>
      <c r="U3688" s="1"/>
      <c r="V3688" s="1"/>
      <c r="W3688" s="1"/>
      <c r="X3688" s="1"/>
      <c r="Y3688" s="1"/>
      <c r="Z3688" s="1"/>
      <c r="AA3688" s="1"/>
      <c r="AB3688" s="1"/>
      <c r="AC3688" s="1"/>
      <c r="AD3688" s="1"/>
      <c r="AE3688" s="1"/>
      <c r="AF3688" s="1"/>
      <c r="AG3688" s="1"/>
      <c r="AH3688" s="1"/>
      <c r="AI3688" s="1"/>
      <c r="AJ3688" s="1"/>
      <c r="AK3688" s="1"/>
      <c r="AL3688" s="1"/>
      <c r="AM3688" s="1"/>
      <c r="AN3688" s="1"/>
      <c r="AO3688" s="1"/>
      <c r="AP3688" s="1"/>
      <c r="AQ3688" s="1"/>
      <c r="AR3688" s="1"/>
      <c r="AS3688" s="1"/>
      <c r="AT3688" s="1"/>
      <c r="AU3688" s="1"/>
      <c r="AV3688" s="1"/>
      <c r="AW3688" s="1"/>
      <c r="AX3688" s="1"/>
      <c r="AY3688" s="1"/>
      <c r="AZ3688" s="1"/>
      <c r="BA3688" s="1"/>
      <c r="BB3688" s="1"/>
    </row>
    <row r="3689" ht="204.75" customHeight="1">
      <c r="A3689" s="1">
        <v>1721.0</v>
      </c>
      <c r="B3689" s="2" t="s">
        <v>11113</v>
      </c>
      <c r="C3689" s="2">
        <f>IFERROR(__xludf.DUMMYFUNCTION("split(B3689,""_"")"),1604.0)</f>
        <v>1604</v>
      </c>
      <c r="D3689" s="2" t="str">
        <f>IFERROR(__xludf.DUMMYFUNCTION("""COMPUTED_VALUE"""),"NTV")</f>
        <v>NTV</v>
      </c>
      <c r="E3689" s="2" t="str">
        <f>IFERROR(__xludf.DUMMYFUNCTION("""COMPUTED_VALUE"""),"土21")</f>
        <v>土21</v>
      </c>
      <c r="F3689" s="2" t="s">
        <v>11114</v>
      </c>
      <c r="G3689" s="2" t="s">
        <v>11121</v>
      </c>
      <c r="H3689" s="1">
        <v>3.0</v>
      </c>
      <c r="J3689" s="1" t="s">
        <v>11</v>
      </c>
      <c r="K3689" s="2" t="s">
        <v>11122</v>
      </c>
      <c r="L3689" s="10" t="s">
        <v>11123</v>
      </c>
      <c r="M3689" s="2" t="str">
        <f>IFERROR(__xludf.DUMMYFUNCTION("split(split(K3689,""【演出"",false),""ほか"",false)"),"福士蒼汰、土屋太鳳、鈴木亮平、門脇麦、濱田ここね/野間口徹、森永悠希、大友花恋、根岸拓哉、比留川游/石野真子、大杉漣　")</f>
        <v>福士蒼汰、土屋太鳳、鈴木亮平、門脇麦、濱田ここね/野間口徹、森永悠希、大友花恋、根岸拓哉、比留川游/石野真子、大杉漣　</v>
      </c>
      <c r="N3689" s="2" t="str">
        <f>IFERROR(__xludf.DUMMYFUNCTION("""COMPUTED_VALUE"""),"円(福士蒼汰)と幸(土屋太鳳)は、高校教師だった美樹(野波麻帆)という幽霊に出会う。成仏できないのは、教え子の亮二(竜星涼)が、大学に行かずに遊び歩いているため。美樹は、原因を突き止めなければ成仏できないという。そんな中、幸は、保(今野浩喜)という幽霊をあの世に連れて行く途中のナベシマ(鈴木亮平)と遭遇。保は、四十九日まで恋人になってほしいと幸につきまとい始め…。【ドラマ・演出】南雲聖一【原作】田中メカ「お迎えです。」(白泉社刊・LaLa連載)  【脚本】尾崎将也・泉澤陽子【主題歌】「僕たちの未来」家入レ"&amp;"オ(ビクターエンタテインメント)  【音楽】高見　優【プロデューサー】高　明希/大塚英治(ケイファクトリー)【限定!データ放送企画】  リアルタイム視聴するだけで、福士蒼汰と豪華共演者のデータ放送のみの激レア画像をGETできる!詳しくは番組HPまで!http://www.ntv.co.jp/omukaedesu/data/index.html")</f>
        <v>円(福士蒼汰)と幸(土屋太鳳)は、高校教師だった美樹(野波麻帆)という幽霊に出会う。成仏できないのは、教え子の亮二(竜星涼)が、大学に行かずに遊び歩いているため。美樹は、原因を突き止めなければ成仏できないという。そんな中、幸は、保(今野浩喜)という幽霊をあの世に連れて行く途中のナベシマ(鈴木亮平)と遭遇。保は、四十九日まで恋人になってほしいと幸につきまとい始め…。【ドラマ・演出】南雲聖一【原作】田中メカ「お迎えです。」(白泉社刊・LaLa連載)  【脚本】尾崎将也・泉澤陽子【主題歌】「僕たちの未来」家入レオ(ビクターエンタテインメント)  【音楽】高見　優【プロデューサー】高　明希/大塚英治(ケイファクトリー)【限定!データ放送企画】  リアルタイム視聴するだけで、福士蒼汰と豪華共演者のデータ放送のみの激レア画像をGETできる!詳しくは番組HPまで!http://www.ntv.co.jp/omukaedesu/data/index.html</v>
      </c>
      <c r="O3689" s="2"/>
      <c r="P3689" s="1"/>
      <c r="Q3689" s="1"/>
      <c r="R3689" s="1"/>
      <c r="S3689" s="1"/>
      <c r="T3689" s="1"/>
      <c r="U3689" s="1"/>
      <c r="V3689" s="1"/>
      <c r="W3689" s="1"/>
      <c r="X3689" s="1"/>
      <c r="Y3689" s="1"/>
      <c r="Z3689" s="1"/>
      <c r="AA3689" s="1"/>
      <c r="AB3689" s="1"/>
      <c r="AC3689" s="1"/>
      <c r="AD3689" s="1"/>
      <c r="AE3689" s="1"/>
      <c r="AF3689" s="1"/>
      <c r="AG3689" s="1"/>
      <c r="AH3689" s="1"/>
      <c r="AI3689" s="1"/>
      <c r="AJ3689" s="1"/>
      <c r="AK3689" s="1"/>
      <c r="AL3689" s="1"/>
      <c r="AM3689" s="1"/>
      <c r="AN3689" s="1"/>
      <c r="AO3689" s="1"/>
      <c r="AP3689" s="1"/>
      <c r="AQ3689" s="1"/>
      <c r="AR3689" s="1"/>
      <c r="AS3689" s="1"/>
      <c r="AT3689" s="1"/>
      <c r="AU3689" s="1"/>
      <c r="AV3689" s="1"/>
      <c r="AW3689" s="1"/>
      <c r="AX3689" s="1"/>
      <c r="AY3689" s="1"/>
      <c r="AZ3689" s="1"/>
      <c r="BA3689" s="1"/>
      <c r="BB3689" s="1"/>
    </row>
    <row r="3690" ht="204.75" customHeight="1">
      <c r="A3690" s="1">
        <v>1722.0</v>
      </c>
      <c r="B3690" s="2" t="s">
        <v>11113</v>
      </c>
      <c r="C3690" s="2">
        <f>IFERROR(__xludf.DUMMYFUNCTION("split(B3690,""_"")"),1604.0)</f>
        <v>1604</v>
      </c>
      <c r="D3690" s="2" t="str">
        <f>IFERROR(__xludf.DUMMYFUNCTION("""COMPUTED_VALUE"""),"NTV")</f>
        <v>NTV</v>
      </c>
      <c r="E3690" s="2" t="str">
        <f>IFERROR(__xludf.DUMMYFUNCTION("""COMPUTED_VALUE"""),"土21")</f>
        <v>土21</v>
      </c>
      <c r="F3690" s="2" t="s">
        <v>11114</v>
      </c>
      <c r="G3690" s="2" t="s">
        <v>11124</v>
      </c>
      <c r="H3690" s="1">
        <v>4.0</v>
      </c>
      <c r="J3690" s="1" t="s">
        <v>11</v>
      </c>
      <c r="K3690" s="2" t="s">
        <v>11125</v>
      </c>
      <c r="L3690" s="11" t="s">
        <v>11126</v>
      </c>
      <c r="M3690" s="2" t="str">
        <f>IFERROR(__xludf.DUMMYFUNCTION("split(split(K3690,""【演出"",false),""ほか"",false)"),"福士蒼汰、土屋太鳳、鈴木亮平、門脇麦、濱田ここね/野間口徹、森永悠希、大友花恋、根岸拓哉、比留川游/石野真子、大杉漣　")</f>
        <v>福士蒼汰、土屋太鳳、鈴木亮平、門脇麦、濱田ここね/野間口徹、森永悠希、大友花恋、根岸拓哉、比留川游/石野真子、大杉漣　</v>
      </c>
      <c r="N3690" s="2" t="str">
        <f>IFERROR(__xludf.DUMMYFUNCTION("""COMPUTED_VALUE"""),"ストーカーとなった保(今野浩喜)が円(福士蒼汰)に憑依し、幸(土屋太鳳)に襲いかかる!円は自分の中の保と戦い、幸を守る。ナベシマ(鈴木亮平)とゆずこ(濱田ここね)は、保の行方を追う。円は、動揺する幸を家まで送る。親しげな二人を、千里(門脇麦)が複雑な思いで見ていた。そんな中、亮二(竜星涼)が大学にくる。亮二は高校時代、亡くなった美樹(野波麻帆)のためにも大学で古典を勉強したいと語るが…")</f>
        <v>ストーカーとなった保(今野浩喜)が円(福士蒼汰)に憑依し、幸(土屋太鳳)に襲いかかる!円は自分の中の保と戦い、幸を守る。ナベシマ(鈴木亮平)とゆずこ(濱田ここね)は、保の行方を追う。円は、動揺する幸を家まで送る。親しげな二人を、千里(門脇麦)が複雑な思いで見ていた。そんな中、亮二(竜星涼)が大学にくる。亮二は高校時代、亡くなった美樹(野波麻帆)のためにも大学で古典を勉強したいと語るが…</v>
      </c>
      <c r="O3690" s="2"/>
      <c r="P3690" s="1"/>
      <c r="Q3690" s="1"/>
      <c r="R3690" s="1"/>
      <c r="S3690" s="1"/>
      <c r="T3690" s="1"/>
      <c r="U3690" s="1"/>
      <c r="V3690" s="1"/>
      <c r="W3690" s="1"/>
      <c r="X3690" s="1"/>
      <c r="Y3690" s="1"/>
      <c r="Z3690" s="1"/>
      <c r="AA3690" s="1"/>
      <c r="AB3690" s="1"/>
      <c r="AC3690" s="1"/>
      <c r="AD3690" s="1"/>
      <c r="AE3690" s="1"/>
      <c r="AF3690" s="1"/>
      <c r="AG3690" s="1"/>
      <c r="AH3690" s="1"/>
      <c r="AI3690" s="1"/>
      <c r="AJ3690" s="1"/>
      <c r="AK3690" s="1"/>
      <c r="AL3690" s="1"/>
      <c r="AM3690" s="1"/>
      <c r="AN3690" s="1"/>
      <c r="AO3690" s="1"/>
      <c r="AP3690" s="1"/>
      <c r="AQ3690" s="1"/>
      <c r="AR3690" s="1"/>
      <c r="AS3690" s="1"/>
      <c r="AT3690" s="1"/>
      <c r="AU3690" s="1"/>
      <c r="AV3690" s="1"/>
      <c r="AW3690" s="1"/>
      <c r="AX3690" s="1"/>
      <c r="AY3690" s="1"/>
      <c r="AZ3690" s="1"/>
      <c r="BA3690" s="1"/>
      <c r="BB3690" s="1"/>
    </row>
    <row r="3691" ht="204.75" customHeight="1">
      <c r="A3691" s="1">
        <v>1723.0</v>
      </c>
      <c r="B3691" s="2" t="s">
        <v>11113</v>
      </c>
      <c r="C3691" s="2">
        <f>IFERROR(__xludf.DUMMYFUNCTION("split(B3691,""_"")"),1604.0)</f>
        <v>1604</v>
      </c>
      <c r="D3691" s="2" t="str">
        <f>IFERROR(__xludf.DUMMYFUNCTION("""COMPUTED_VALUE"""),"NTV")</f>
        <v>NTV</v>
      </c>
      <c r="E3691" s="2" t="str">
        <f>IFERROR(__xludf.DUMMYFUNCTION("""COMPUTED_VALUE"""),"土21")</f>
        <v>土21</v>
      </c>
      <c r="F3691" s="2" t="s">
        <v>11114</v>
      </c>
      <c r="G3691" s="2" t="s">
        <v>11127</v>
      </c>
      <c r="H3691" s="1">
        <v>5.0</v>
      </c>
      <c r="J3691" s="1" t="s">
        <v>11</v>
      </c>
      <c r="K3691" s="2" t="s">
        <v>11128</v>
      </c>
      <c r="L3691" s="11" t="s">
        <v>11129</v>
      </c>
      <c r="M3691" s="2" t="str">
        <f>IFERROR(__xludf.DUMMYFUNCTION("split(split(K3691,""【演出"",false),""ほか"",false)"),"福士蒼汰、土屋太鳳、鈴木亮平、門脇麦、濱田ここね/(5話ゲスト)藤田弓子、西岡徳馬、飯豊まりえ/野間口徹、森永悠希、大友花恋、根岸拓哉、比留川游/石野真子、大杉漣　")</f>
        <v>福士蒼汰、土屋太鳳、鈴木亮平、門脇麦、濱田ここね/(5話ゲスト)藤田弓子、西岡徳馬、飯豊まりえ/野間口徹、森永悠希、大友花恋、根岸拓哉、比留川游/石野真子、大杉漣　</v>
      </c>
      <c r="N3691" s="2" t="str">
        <f>IFERROR(__xludf.DUMMYFUNCTION("""COMPUTED_VALUE"""),"幸(土屋太鳳)の病室で、円(福士蒼汰)は、幽霊・千里(門脇麦)と再会。三角関係が動き出す。円は、加藤(森永悠希)の祖母・嘉子(藤田弓子)の幽霊と出会う。嘉子は大学の教授・前田(西岡徳馬)を気にかけていた。そんな中、前田がセクハラ事件を起こす。被害者は大学生・利恵(飯豊まりえ)。円は一部始終を見ていた嘉子から、濡れ衣だと聞かされる。円は幸に相談。動けない幸は、千里に円を手伝ってほしいと頼み…。")</f>
        <v>幸(土屋太鳳)の病室で、円(福士蒼汰)は、幽霊・千里(門脇麦)と再会。三角関係が動き出す。円は、加藤(森永悠希)の祖母・嘉子(藤田弓子)の幽霊と出会う。嘉子は大学の教授・前田(西岡徳馬)を気にかけていた。そんな中、前田がセクハラ事件を起こす。被害者は大学生・利恵(飯豊まりえ)。円は一部始終を見ていた嘉子から、濡れ衣だと聞かされる。円は幸に相談。動けない幸は、千里に円を手伝ってほしいと頼み…。</v>
      </c>
      <c r="O3691" s="2"/>
      <c r="P3691" s="1"/>
      <c r="Q3691" s="1"/>
      <c r="R3691" s="1"/>
      <c r="S3691" s="1"/>
      <c r="T3691" s="1"/>
      <c r="U3691" s="1"/>
      <c r="V3691" s="1"/>
      <c r="W3691" s="1"/>
      <c r="X3691" s="1"/>
      <c r="Y3691" s="1"/>
      <c r="Z3691" s="1"/>
      <c r="AA3691" s="1"/>
      <c r="AB3691" s="1"/>
      <c r="AC3691" s="1"/>
      <c r="AD3691" s="1"/>
      <c r="AE3691" s="1"/>
      <c r="AF3691" s="1"/>
      <c r="AG3691" s="1"/>
      <c r="AH3691" s="1"/>
      <c r="AI3691" s="1"/>
      <c r="AJ3691" s="1"/>
      <c r="AK3691" s="1"/>
      <c r="AL3691" s="1"/>
      <c r="AM3691" s="1"/>
      <c r="AN3691" s="1"/>
      <c r="AO3691" s="1"/>
      <c r="AP3691" s="1"/>
      <c r="AQ3691" s="1"/>
      <c r="AR3691" s="1"/>
      <c r="AS3691" s="1"/>
      <c r="AT3691" s="1"/>
      <c r="AU3691" s="1"/>
      <c r="AV3691" s="1"/>
      <c r="AW3691" s="1"/>
      <c r="AX3691" s="1"/>
      <c r="AY3691" s="1"/>
      <c r="AZ3691" s="1"/>
      <c r="BA3691" s="1"/>
      <c r="BB3691" s="1"/>
    </row>
    <row r="3692" ht="204.75" customHeight="1">
      <c r="A3692" s="1">
        <v>1724.0</v>
      </c>
      <c r="B3692" s="2" t="s">
        <v>11113</v>
      </c>
      <c r="C3692" s="2">
        <f>IFERROR(__xludf.DUMMYFUNCTION("split(B3692,""_"")"),1604.0)</f>
        <v>1604</v>
      </c>
      <c r="D3692" s="2" t="str">
        <f>IFERROR(__xludf.DUMMYFUNCTION("""COMPUTED_VALUE"""),"NTV")</f>
        <v>NTV</v>
      </c>
      <c r="E3692" s="2" t="str">
        <f>IFERROR(__xludf.DUMMYFUNCTION("""COMPUTED_VALUE"""),"土21")</f>
        <v>土21</v>
      </c>
      <c r="F3692" s="2" t="s">
        <v>11114</v>
      </c>
      <c r="G3692" s="2" t="s">
        <v>11130</v>
      </c>
      <c r="H3692" s="1">
        <v>6.0</v>
      </c>
      <c r="J3692" s="1" t="s">
        <v>11</v>
      </c>
      <c r="K3692" s="2" t="s">
        <v>11131</v>
      </c>
      <c r="L3692" s="10" t="s">
        <v>11132</v>
      </c>
      <c r="M3692" s="2" t="str">
        <f>IFERROR(__xludf.DUMMYFUNCTION("split(split(K3692,""【演出"",false),""ほか"",false)"),"福士蒼汰、土屋太鳳、鈴木亮平、門脇麦、濱田ここね/(6話ゲスト)伊澤柾樹、森カンナ/野間口徹、森永悠希、大友花恋、根岸拓哉、比留川游/石野真子、大杉漣　")</f>
        <v>福士蒼汰、土屋太鳳、鈴木亮平、門脇麦、濱田ここね/(6話ゲスト)伊澤柾樹、森カンナ/野間口徹、森永悠希、大友花恋、根岸拓哉、比留川游/石野真子、大杉漣　</v>
      </c>
      <c r="N3692" s="2" t="str">
        <f>IFERROR(__xludf.DUMMYFUNCTION("""COMPUTED_VALUE"""),"入院中の幸(土屋太鳳)は幽体離脱できるように!?一方、円(福士蒼汰)は幽霊・千里(門脇麦)を匿い続けながら、死神・ナベシマ(鈴木亮平)から、熱血幽霊・達夫(寺島進)の仕事を引き受ける。彼の心残りは、自分が死んだせいで発足した草野球チームの人数が足りなくなり、試合に出られなくなること。メンバーが解散を考えている中、円は達夫に頼まれ、ラビッツに加わりたいと申し出るが…【ドラマ・演出】小室直子【原作】田中メカ「お迎えです。」(白泉社刊・LaLa連載)  【脚本】尾崎将也【主題歌】「僕たちの未来」家入レオ(ビクタ"&amp;"ーエンタテインメント)  【音楽】高見優【プロデューサー】高明希/大塚英治(ケイファクトリー)リアルタイム視聴するだけで、福士蒼汰と豪華共演者のデータ放送のみの激レア画像をGETできる!詳しくは番組HPまで!http://www.ntv.co.jp/omukaedesu/data/index.html")</f>
        <v>入院中の幸(土屋太鳳)は幽体離脱できるように!?一方、円(福士蒼汰)は幽霊・千里(門脇麦)を匿い続けながら、死神・ナベシマ(鈴木亮平)から、熱血幽霊・達夫(寺島進)の仕事を引き受ける。彼の心残りは、自分が死んだせいで発足した草野球チームの人数が足りなくなり、試合に出られなくなること。メンバーが解散を考えている中、円は達夫に頼まれ、ラビッツに加わりたいと申し出るが…【ドラマ・演出】小室直子【原作】田中メカ「お迎えです。」(白泉社刊・LaLa連載)  【脚本】尾崎将也【主題歌】「僕たちの未来」家入レオ(ビクターエンタテインメント)  【音楽】高見優【プロデューサー】高明希/大塚英治(ケイファクトリー)リアルタイム視聴するだけで、福士蒼汰と豪華共演者のデータ放送のみの激レア画像をGETできる!詳しくは番組HPまで!http://www.ntv.co.jp/omukaedesu/data/index.html</v>
      </c>
      <c r="O3692" s="2"/>
      <c r="P3692" s="1"/>
      <c r="Q3692" s="1"/>
      <c r="R3692" s="1"/>
      <c r="S3692" s="1"/>
      <c r="T3692" s="1"/>
      <c r="U3692" s="1"/>
      <c r="V3692" s="1"/>
      <c r="W3692" s="1"/>
      <c r="X3692" s="1"/>
      <c r="Y3692" s="1"/>
      <c r="Z3692" s="1"/>
      <c r="AA3692" s="1"/>
      <c r="AB3692" s="1"/>
      <c r="AC3692" s="1"/>
      <c r="AD3692" s="1"/>
      <c r="AE3692" s="1"/>
      <c r="AF3692" s="1"/>
      <c r="AG3692" s="1"/>
      <c r="AH3692" s="1"/>
      <c r="AI3692" s="1"/>
      <c r="AJ3692" s="1"/>
      <c r="AK3692" s="1"/>
      <c r="AL3692" s="1"/>
      <c r="AM3692" s="1"/>
      <c r="AN3692" s="1"/>
      <c r="AO3692" s="1"/>
      <c r="AP3692" s="1"/>
      <c r="AQ3692" s="1"/>
      <c r="AR3692" s="1"/>
      <c r="AS3692" s="1"/>
      <c r="AT3692" s="1"/>
      <c r="AU3692" s="1"/>
      <c r="AV3692" s="1"/>
      <c r="AW3692" s="1"/>
      <c r="AX3692" s="1"/>
      <c r="AY3692" s="1"/>
      <c r="AZ3692" s="1"/>
      <c r="BA3692" s="1"/>
      <c r="BB3692" s="1"/>
    </row>
    <row r="3693" ht="204.75" customHeight="1">
      <c r="A3693" s="1">
        <v>1725.0</v>
      </c>
      <c r="B3693" s="2" t="s">
        <v>11113</v>
      </c>
      <c r="C3693" s="2">
        <f>IFERROR(__xludf.DUMMYFUNCTION("split(B3693,""_"")"),1604.0)</f>
        <v>1604</v>
      </c>
      <c r="D3693" s="2" t="str">
        <f>IFERROR(__xludf.DUMMYFUNCTION("""COMPUTED_VALUE"""),"NTV")</f>
        <v>NTV</v>
      </c>
      <c r="E3693" s="2" t="str">
        <f>IFERROR(__xludf.DUMMYFUNCTION("""COMPUTED_VALUE"""),"土21")</f>
        <v>土21</v>
      </c>
      <c r="F3693" s="2" t="s">
        <v>11114</v>
      </c>
      <c r="G3693" s="2" t="s">
        <v>11133</v>
      </c>
      <c r="H3693" s="1">
        <v>7.0</v>
      </c>
      <c r="J3693" s="1" t="s">
        <v>11</v>
      </c>
      <c r="K3693" s="2" t="s">
        <v>11134</v>
      </c>
      <c r="L3693" s="11" t="s">
        <v>11135</v>
      </c>
      <c r="M3693" s="2" t="str">
        <f>IFERROR(__xludf.DUMMYFUNCTION("split(split(K3693,""【演出"",false),""ほか"",false)"),"福士蒼汰、土屋太鳳、鈴木亮平、門脇麦、濱田ここね/野間口徹、森永悠希、大友花恋、根岸拓哉、比留川游/石野真子、大杉漣　")</f>
        <v>福士蒼汰、土屋太鳳、鈴木亮平、門脇麦、濱田ここね/野間口徹、森永悠希、大友花恋、根岸拓哉、比留川游/石野真子、大杉漣　</v>
      </c>
      <c r="N3693" s="2" t="str">
        <f>IFERROR(__xludf.DUMMYFUNCTION("""COMPUTED_VALUE"""),"幽体離脱ができるようになった幸(土屋太鳳)は、シノザキ(野間口徹)に仲間にならないかと誘われる。一方、堤家では、郁夫(大杉漣)の浮気疑惑が持ち上がる。由美子(石野真子)が郁夫を問い詰めたその時、郁夫が突然、倒れてしまう。郁夫は意識不明に。すると、心配する円(福士蒼汰)の前に、郁夫の霊体が現れる。郁夫は生死の境をさまよっている状態で、幽体離脱してしまったのだった…!一体どうなる堤家!")</f>
        <v>幽体離脱ができるようになった幸(土屋太鳳)は、シノザキ(野間口徹)に仲間にならないかと誘われる。一方、堤家では、郁夫(大杉漣)の浮気疑惑が持ち上がる。由美子(石野真子)が郁夫を問い詰めたその時、郁夫が突然、倒れてしまう。郁夫は意識不明に。すると、心配する円(福士蒼汰)の前に、郁夫の霊体が現れる。郁夫は生死の境をさまよっている状態で、幽体離脱してしまったのだった…!一体どうなる堤家!</v>
      </c>
      <c r="O3693" s="2"/>
      <c r="P3693" s="1"/>
      <c r="Q3693" s="1"/>
      <c r="R3693" s="1"/>
      <c r="S3693" s="1"/>
      <c r="T3693" s="1"/>
      <c r="U3693" s="1"/>
      <c r="V3693" s="1"/>
      <c r="W3693" s="1"/>
      <c r="X3693" s="1"/>
      <c r="Y3693" s="1"/>
      <c r="Z3693" s="1"/>
      <c r="AA3693" s="1"/>
      <c r="AB3693" s="1"/>
      <c r="AC3693" s="1"/>
      <c r="AD3693" s="1"/>
      <c r="AE3693" s="1"/>
      <c r="AF3693" s="1"/>
      <c r="AG3693" s="1"/>
      <c r="AH3693" s="1"/>
      <c r="AI3693" s="1"/>
      <c r="AJ3693" s="1"/>
      <c r="AK3693" s="1"/>
      <c r="AL3693" s="1"/>
      <c r="AM3693" s="1"/>
      <c r="AN3693" s="1"/>
      <c r="AO3693" s="1"/>
      <c r="AP3693" s="1"/>
      <c r="AQ3693" s="1"/>
      <c r="AR3693" s="1"/>
      <c r="AS3693" s="1"/>
      <c r="AT3693" s="1"/>
      <c r="AU3693" s="1"/>
      <c r="AV3693" s="1"/>
      <c r="AW3693" s="1"/>
      <c r="AX3693" s="1"/>
      <c r="AY3693" s="1"/>
      <c r="AZ3693" s="1"/>
      <c r="BA3693" s="1"/>
      <c r="BB3693" s="1"/>
    </row>
    <row r="3694" ht="204.75" customHeight="1">
      <c r="A3694" s="1">
        <v>1726.0</v>
      </c>
      <c r="B3694" s="2" t="s">
        <v>11113</v>
      </c>
      <c r="C3694" s="2">
        <f>IFERROR(__xludf.DUMMYFUNCTION("split(B3694,""_"")"),1604.0)</f>
        <v>1604</v>
      </c>
      <c r="D3694" s="2" t="str">
        <f>IFERROR(__xludf.DUMMYFUNCTION("""COMPUTED_VALUE"""),"NTV")</f>
        <v>NTV</v>
      </c>
      <c r="E3694" s="2" t="str">
        <f>IFERROR(__xludf.DUMMYFUNCTION("""COMPUTED_VALUE"""),"土21")</f>
        <v>土21</v>
      </c>
      <c r="F3694" s="2" t="s">
        <v>11114</v>
      </c>
      <c r="G3694" s="2" t="s">
        <v>11136</v>
      </c>
      <c r="H3694" s="1">
        <v>8.0</v>
      </c>
      <c r="J3694" s="1" t="s">
        <v>11</v>
      </c>
      <c r="K3694" s="2" t="s">
        <v>11137</v>
      </c>
      <c r="L3694" s="11" t="s">
        <v>11138</v>
      </c>
      <c r="M3694" s="2" t="str">
        <f>IFERROR(__xludf.DUMMYFUNCTION("split(split(K3694,""【演出"",false),""ほか"",false)"),"福士蒼汰、土屋太鳳、鈴木亮平、門脇麦、濱田ここね/野間口徹、森永悠希、大友花恋、根岸拓哉、比留川游/石野真子、大杉漣　")</f>
        <v>福士蒼汰、土屋太鳳、鈴木亮平、門脇麦、濱田ここね/野間口徹、森永悠希、大友花恋、根岸拓哉、比留川游/石野真子、大杉漣　</v>
      </c>
      <c r="N3694" s="2" t="str">
        <f>IFERROR(__xludf.DUMMYFUNCTION("""COMPUTED_VALUE"""),"円(福士蒼汰)との別れを決意した千里(門脇麦)。なんとか力になりたい幸(土屋太鳳)は、幽体離脱の力を使って、千里に最後に想い出のデートをさせようと画策する。円はそんなことを知る由もなく、ロケット大会に向け準備を進めていた…。")</f>
        <v>円(福士蒼汰)との別れを決意した千里(門脇麦)。なんとか力になりたい幸(土屋太鳳)は、幽体離脱の力を使って、千里に最後に想い出のデートをさせようと画策する。円はそんなことを知る由もなく、ロケット大会に向け準備を進めていた…。</v>
      </c>
      <c r="O3694" s="2"/>
      <c r="P3694" s="1"/>
      <c r="Q3694" s="1"/>
      <c r="R3694" s="1"/>
      <c r="S3694" s="1"/>
      <c r="T3694" s="1"/>
      <c r="U3694" s="1"/>
      <c r="V3694" s="1"/>
      <c r="W3694" s="1"/>
      <c r="X3694" s="1"/>
      <c r="Y3694" s="1"/>
      <c r="Z3694" s="1"/>
      <c r="AA3694" s="1"/>
      <c r="AB3694" s="1"/>
      <c r="AC3694" s="1"/>
      <c r="AD3694" s="1"/>
      <c r="AE3694" s="1"/>
      <c r="AF3694" s="1"/>
      <c r="AG3694" s="1"/>
      <c r="AH3694" s="1"/>
      <c r="AI3694" s="1"/>
      <c r="AJ3694" s="1"/>
      <c r="AK3694" s="1"/>
      <c r="AL3694" s="1"/>
      <c r="AM3694" s="1"/>
      <c r="AN3694" s="1"/>
      <c r="AO3694" s="1"/>
      <c r="AP3694" s="1"/>
      <c r="AQ3694" s="1"/>
      <c r="AR3694" s="1"/>
      <c r="AS3694" s="1"/>
      <c r="AT3694" s="1"/>
      <c r="AU3694" s="1"/>
      <c r="AV3694" s="1"/>
      <c r="AW3694" s="1"/>
      <c r="AX3694" s="1"/>
      <c r="AY3694" s="1"/>
      <c r="AZ3694" s="1"/>
      <c r="BA3694" s="1"/>
      <c r="BB3694" s="1"/>
    </row>
    <row r="3695" ht="204.75" customHeight="1">
      <c r="A3695" s="1">
        <v>1727.0</v>
      </c>
      <c r="B3695" s="2" t="s">
        <v>11113</v>
      </c>
      <c r="C3695" s="2">
        <f>IFERROR(__xludf.DUMMYFUNCTION("split(B3695,""_"")"),1604.0)</f>
        <v>1604</v>
      </c>
      <c r="D3695" s="2" t="str">
        <f>IFERROR(__xludf.DUMMYFUNCTION("""COMPUTED_VALUE"""),"NTV")</f>
        <v>NTV</v>
      </c>
      <c r="E3695" s="2" t="str">
        <f>IFERROR(__xludf.DUMMYFUNCTION("""COMPUTED_VALUE"""),"土21")</f>
        <v>土21</v>
      </c>
      <c r="F3695" s="2" t="s">
        <v>11114</v>
      </c>
      <c r="G3695" s="2" t="s">
        <v>11139</v>
      </c>
      <c r="H3695" s="1">
        <v>9.0</v>
      </c>
      <c r="J3695" s="1" t="s">
        <v>1647</v>
      </c>
      <c r="K3695" s="2" t="s">
        <v>11140</v>
      </c>
      <c r="L3695" s="10" t="s">
        <v>11141</v>
      </c>
      <c r="M3695" s="2" t="str">
        <f>IFERROR(__xludf.DUMMYFUNCTION("split(split(K3695,""【演出"",false),""ほか"",false)"),"福士蒼汰、土屋太鳳、鈴木亮平、門脇麦、濱田ここね/(最終話ゲスト)観月ありさ、田中圭、小林涼子/(スペシャルサンクス)伊東四朗、加部亜門/野間口徹、森永悠希、大友花恋、根岸拓哉、比留川游/石野真子、大杉漣　")</f>
        <v>福士蒼汰、土屋太鳳、鈴木亮平、門脇麦、濱田ここね/(最終話ゲスト)観月ありさ、田中圭、小林涼子/(スペシャルサンクス)伊東四朗、加部亜門/野間口徹、森永悠希、大友花恋、根岸拓哉、比留川游/石野真子、大杉漣　</v>
      </c>
      <c r="N3695" s="2" t="str">
        <f>IFERROR(__xludf.DUMMYFUNCTION("""COMPUTED_VALUE"""),"円(福士蒼汰)と幸(土屋太鳳)はナベシマ(鈴木亮平)から、次の仕事を頼まれる。仕事中の事故で亡くなった律子(観月ありさ)。律子の願いは、会社の後輩・あさみ(小林涼子)と弘(田中圭)が結婚することだという。そんな中、律子の死に他殺の可能性が浮上し、その容疑が弘にかかってしまう。  この事件をきっかけに、思いもよらない真実が明らかになってくる。だが、その真実に近付いていく円と幸を何者かが狙っていて…。【ドラマ・演出】南雲聖一【原作】田中メカ「お迎えです。」(白泉社刊・LaLa連載)  【脚本】尾崎将也【主題歌"&amp;"】「僕たちの未来」家入レオ(ビクターエンタテインメント)  【音楽】高見　優【プロデューサー】高　明希/大塚英治(ケイファクトリー)リアルタイム視聴するだけで、福士蒼汰と豪華共演者のデータ放送のみの激レア画像をGETできる!詳しくは番組HPまで!http://www.ntv.co.jp/omukaedesu/data/index.html")</f>
        <v>円(福士蒼汰)と幸(土屋太鳳)はナベシマ(鈴木亮平)から、次の仕事を頼まれる。仕事中の事故で亡くなった律子(観月ありさ)。律子の願いは、会社の後輩・あさみ(小林涼子)と弘(田中圭)が結婚することだという。そんな中、律子の死に他殺の可能性が浮上し、その容疑が弘にかかってしまう。  この事件をきっかけに、思いもよらない真実が明らかになってくる。だが、その真実に近付いていく円と幸を何者かが狙っていて…。【ドラマ・演出】南雲聖一【原作】田中メカ「お迎えです。」(白泉社刊・LaLa連載)  【脚本】尾崎将也【主題歌】「僕たちの未来」家入レオ(ビクターエンタテインメント)  【音楽】高見　優【プロデューサー】高　明希/大塚英治(ケイファクトリー)リアルタイム視聴するだけで、福士蒼汰と豪華共演者のデータ放送のみの激レア画像をGETできる!詳しくは番組HPまで!http://www.ntv.co.jp/omukaedesu/data/index.html</v>
      </c>
      <c r="O3695" s="2"/>
      <c r="P3695" s="1"/>
      <c r="Q3695" s="1"/>
      <c r="R3695" s="1"/>
      <c r="S3695" s="1"/>
      <c r="T3695" s="1"/>
      <c r="U3695" s="1"/>
      <c r="V3695" s="1"/>
      <c r="W3695" s="1"/>
      <c r="X3695" s="1"/>
      <c r="Y3695" s="1"/>
      <c r="Z3695" s="1"/>
      <c r="AA3695" s="1"/>
      <c r="AB3695" s="1"/>
      <c r="AC3695" s="1"/>
      <c r="AD3695" s="1"/>
      <c r="AE3695" s="1"/>
      <c r="AF3695" s="1"/>
      <c r="AG3695" s="1"/>
      <c r="AH3695" s="1"/>
      <c r="AI3695" s="1"/>
      <c r="AJ3695" s="1"/>
      <c r="AK3695" s="1"/>
      <c r="AL3695" s="1"/>
      <c r="AM3695" s="1"/>
      <c r="AN3695" s="1"/>
      <c r="AO3695" s="1"/>
      <c r="AP3695" s="1"/>
      <c r="AQ3695" s="1"/>
      <c r="AR3695" s="1"/>
      <c r="AS3695" s="1"/>
      <c r="AT3695" s="1"/>
      <c r="AU3695" s="1"/>
      <c r="AV3695" s="1"/>
      <c r="AW3695" s="1"/>
      <c r="AX3695" s="1"/>
      <c r="AY3695" s="1"/>
      <c r="AZ3695" s="1"/>
      <c r="BA3695" s="1"/>
      <c r="BB3695" s="1"/>
    </row>
    <row r="3696" ht="204.75" customHeight="1">
      <c r="A3696" s="1">
        <v>1746.0</v>
      </c>
      <c r="B3696" s="2" t="s">
        <v>11142</v>
      </c>
      <c r="C3696" s="2">
        <f>IFERROR(__xludf.DUMMYFUNCTION("split(B3696,""_"")"),1604.0)</f>
        <v>1604</v>
      </c>
      <c r="D3696" s="2" t="str">
        <f>IFERROR(__xludf.DUMMYFUNCTION("""COMPUTED_VALUE"""),"NTV")</f>
        <v>NTV</v>
      </c>
      <c r="E3696" s="2" t="str">
        <f>IFERROR(__xludf.DUMMYFUNCTION("""COMPUTED_VALUE"""),"日22")</f>
        <v>日22</v>
      </c>
      <c r="F3696" s="2" t="s">
        <v>11143</v>
      </c>
      <c r="G3696" s="2" t="s">
        <v>11144</v>
      </c>
      <c r="H3696" s="1">
        <v>1.0</v>
      </c>
      <c r="I3696" s="1" t="s">
        <v>2868</v>
      </c>
      <c r="J3696" s="1" t="s">
        <v>82</v>
      </c>
      <c r="K3696" s="2" t="s">
        <v>11145</v>
      </c>
      <c r="L3696" s="10" t="s">
        <v>11146</v>
      </c>
      <c r="M3696" s="2" t="str">
        <f>IFERROR(__xludf.DUMMYFUNCTION("split(split(K3696,""【演出"",false),""ほか"",false)"),"【レギュラー】岡田将生、松坂桃李、柳楽優弥、安藤サクラ、太賀、島崎遥香(AKB48)、高橋洋、吉岡里帆、小松和重、少路勇介、矢本悠馬、加藤諒、原扶貴子、菊池美里、手塚とおる、青木さやか、中田喜子、吉田鋼太郎　")</f>
        <v>【レギュラー】岡田将生、松坂桃李、柳楽優弥、安藤サクラ、太賀、島崎遥香(AKB48)、高橋洋、吉岡里帆、小松和重、少路勇介、矢本悠馬、加藤諒、原扶貴子、菊池美里、手塚とおる、青木さやか、中田喜子、吉田鋼太郎　</v>
      </c>
      <c r="N3696" s="2" t="str">
        <f>IFERROR(__xludf.DUMMYFUNCTION("""COMPUTED_VALUE"""),"  【ゲスト】でんでん食品会社に勤める坂間正和(岡田将生)は、“ゆとり世代”の29歳。成績不振で居酒屋『鳥の民』へ出向を命じられ、さらに後輩・入社2年目の山岸ひろむ(太賀)のゆとりっぷりにモヤモヤし、レンタルおじさん・麻生厳(吉田鋼太郎)に相談する。そこで同い年の小学校教師・山路一豊(松坂桃李)と出会う。悩みを打ち明け合い意気投合する二人。そこに、「おっぱいいかがっすかー?」と客引き・道上まりぶ(柳楽優弥)が現れ…")</f>
        <v>  【ゲスト】でんでん食品会社に勤める坂間正和(岡田将生)は、“ゆとり世代”の29歳。成績不振で居酒屋『鳥の民』へ出向を命じられ、さらに後輩・入社2年目の山岸ひろむ(太賀)のゆとりっぷりにモヤモヤし、レンタルおじさん・麻生厳(吉田鋼太郎)に相談する。そこで同い年の小学校教師・山路一豊(松坂桃李)と出会う。悩みを打ち明け合い意気投合する二人。そこに、「おっぱいいかがっすかー?」と客引き・道上まりぶ(柳楽優弥)が現れ…</v>
      </c>
      <c r="O3696" s="2"/>
      <c r="P3696" s="1"/>
      <c r="Q3696" s="1"/>
      <c r="R3696" s="1"/>
      <c r="S3696" s="1"/>
      <c r="T3696" s="1"/>
      <c r="U3696" s="1"/>
      <c r="V3696" s="1"/>
      <c r="W3696" s="1"/>
      <c r="X3696" s="1"/>
      <c r="Y3696" s="1"/>
      <c r="Z3696" s="1"/>
      <c r="AA3696" s="1"/>
      <c r="AB3696" s="1"/>
      <c r="AC3696" s="1"/>
      <c r="AD3696" s="1"/>
      <c r="AE3696" s="1"/>
      <c r="AF3696" s="1"/>
      <c r="AG3696" s="1"/>
      <c r="AH3696" s="1"/>
      <c r="AI3696" s="1"/>
      <c r="AJ3696" s="1"/>
      <c r="AK3696" s="1"/>
      <c r="AL3696" s="1"/>
      <c r="AM3696" s="1"/>
      <c r="AN3696" s="1"/>
      <c r="AO3696" s="1"/>
      <c r="AP3696" s="1"/>
      <c r="AQ3696" s="1"/>
      <c r="AR3696" s="1"/>
      <c r="AS3696" s="1"/>
      <c r="AT3696" s="1"/>
      <c r="AU3696" s="1"/>
      <c r="AV3696" s="1"/>
      <c r="AW3696" s="1"/>
      <c r="AX3696" s="1"/>
      <c r="AY3696" s="1"/>
      <c r="AZ3696" s="1"/>
      <c r="BA3696" s="1"/>
      <c r="BB3696" s="1"/>
    </row>
    <row r="3697" ht="204.75" customHeight="1">
      <c r="A3697" s="1">
        <v>1747.0</v>
      </c>
      <c r="B3697" s="2" t="s">
        <v>11142</v>
      </c>
      <c r="C3697" s="2">
        <f>IFERROR(__xludf.DUMMYFUNCTION("split(B3697,""_"")"),1604.0)</f>
        <v>1604</v>
      </c>
      <c r="D3697" s="2" t="str">
        <f>IFERROR(__xludf.DUMMYFUNCTION("""COMPUTED_VALUE"""),"NTV")</f>
        <v>NTV</v>
      </c>
      <c r="E3697" s="2" t="str">
        <f>IFERROR(__xludf.DUMMYFUNCTION("""COMPUTED_VALUE"""),"日22")</f>
        <v>日22</v>
      </c>
      <c r="F3697" s="2" t="s">
        <v>11143</v>
      </c>
      <c r="G3697" s="2" t="s">
        <v>11147</v>
      </c>
      <c r="H3697" s="1">
        <v>2.0</v>
      </c>
      <c r="I3697" s="1" t="s">
        <v>2872</v>
      </c>
      <c r="J3697" s="1" t="s">
        <v>82</v>
      </c>
      <c r="K3697" s="2" t="s">
        <v>11148</v>
      </c>
      <c r="L3697" s="11" t="s">
        <v>11149</v>
      </c>
      <c r="M3697" s="2" t="str">
        <f>IFERROR(__xludf.DUMMYFUNCTION("split(split(K3697,""【演出"",false),""ほか"",false)"),"【レギュラー】岡田将生、松坂桃李、柳楽優弥、安藤サクラ、太賀、島崎遥香(AKB48)、高橋洋、吉岡里帆、小松和重、少路勇介、矢本悠馬、加藤諒、原扶貴子、菊池美里、手塚とおる、青木さやか、中田喜子、吉田鋼太郎　")</f>
        <v>【レギュラー】岡田将生、松坂桃李、柳楽優弥、安藤サクラ、太賀、島崎遥香(AKB48)、高橋洋、吉岡里帆、小松和重、少路勇介、矢本悠馬、加藤諒、原扶貴子、菊池美里、手塚とおる、青木さやか、中田喜子、吉田鋼太郎　</v>
      </c>
      <c r="N3697" s="2" t="str">
        <f>IFERROR(__xludf.DUMMYFUNCTION("""COMPUTED_VALUE"""),"正和(岡田将生)は山岸(太賀)が自殺したのではないかと大混乱。やがてそれは人違いだと分かるが、山岸は正和のパワハラを理由に会社を辞めると宮下(安藤サクラ)たちに連絡をいれていた。一方、山路(松坂桃李)は、まりぶ(柳楽優弥)が麻生(吉田鋼太郎)となにやら話し込んでいるところを目撃。二人の関係を追及する。その後山岸が原因で謹慎処分になる正和だったが、彼をたずねてまりぶが『鳥の民』へやってきて……")</f>
        <v>正和(岡田将生)は山岸(太賀)が自殺したのではないかと大混乱。やがてそれは人違いだと分かるが、山岸は正和のパワハラを理由に会社を辞めると宮下(安藤サクラ)たちに連絡をいれていた。一方、山路(松坂桃李)は、まりぶ(柳楽優弥)が麻生(吉田鋼太郎)となにやら話し込んでいるところを目撃。二人の関係を追及する。その後山岸が原因で謹慎処分になる正和だったが、彼をたずねてまりぶが『鳥の民』へやってきて……</v>
      </c>
      <c r="O3697" s="2"/>
      <c r="P3697" s="1"/>
      <c r="Q3697" s="1"/>
      <c r="R3697" s="1"/>
      <c r="S3697" s="1"/>
      <c r="T3697" s="1"/>
      <c r="U3697" s="1"/>
      <c r="V3697" s="1"/>
      <c r="W3697" s="1"/>
      <c r="X3697" s="1"/>
      <c r="Y3697" s="1"/>
      <c r="Z3697" s="1"/>
      <c r="AA3697" s="1"/>
      <c r="AB3697" s="1"/>
      <c r="AC3697" s="1"/>
      <c r="AD3697" s="1"/>
      <c r="AE3697" s="1"/>
      <c r="AF3697" s="1"/>
      <c r="AG3697" s="1"/>
      <c r="AH3697" s="1"/>
      <c r="AI3697" s="1"/>
      <c r="AJ3697" s="1"/>
      <c r="AK3697" s="1"/>
      <c r="AL3697" s="1"/>
      <c r="AM3697" s="1"/>
      <c r="AN3697" s="1"/>
      <c r="AO3697" s="1"/>
      <c r="AP3697" s="1"/>
      <c r="AQ3697" s="1"/>
      <c r="AR3697" s="1"/>
      <c r="AS3697" s="1"/>
      <c r="AT3697" s="1"/>
      <c r="AU3697" s="1"/>
      <c r="AV3697" s="1"/>
      <c r="AW3697" s="1"/>
      <c r="AX3697" s="1"/>
      <c r="AY3697" s="1"/>
      <c r="AZ3697" s="1"/>
      <c r="BA3697" s="1"/>
      <c r="BB3697" s="1"/>
    </row>
    <row r="3698" ht="204.75" customHeight="1">
      <c r="A3698" s="1">
        <v>1748.0</v>
      </c>
      <c r="B3698" s="2" t="s">
        <v>11142</v>
      </c>
      <c r="C3698" s="2">
        <f>IFERROR(__xludf.DUMMYFUNCTION("split(B3698,""_"")"),1604.0)</f>
        <v>1604</v>
      </c>
      <c r="D3698" s="2" t="str">
        <f>IFERROR(__xludf.DUMMYFUNCTION("""COMPUTED_VALUE"""),"NTV")</f>
        <v>NTV</v>
      </c>
      <c r="E3698" s="2" t="str">
        <f>IFERROR(__xludf.DUMMYFUNCTION("""COMPUTED_VALUE"""),"日22")</f>
        <v>日22</v>
      </c>
      <c r="F3698" s="2" t="s">
        <v>11143</v>
      </c>
      <c r="G3698" s="2" t="s">
        <v>11150</v>
      </c>
      <c r="H3698" s="1">
        <v>3.0</v>
      </c>
      <c r="I3698" s="1" t="s">
        <v>2876</v>
      </c>
      <c r="J3698" s="1" t="s">
        <v>82</v>
      </c>
      <c r="K3698" s="2" t="s">
        <v>11151</v>
      </c>
      <c r="L3698" s="11" t="s">
        <v>11152</v>
      </c>
      <c r="M3698" s="2" t="str">
        <f>IFERROR(__xludf.DUMMYFUNCTION("split(split(K3698,""【演出"",false),""ほか"",false)"),"【レギュラー】岡田将生、松坂桃李、柳楽優弥、安藤サクラ、太賀、島崎遥香(AKB48)、高橋洋、吉岡里帆、小松和重、少路勇介、矢本悠馬、加藤諒、原扶貴子、菊池美里、瑛蓮、北村匠海(DISH//)、手塚とおる、青木さやか、でんでん、真野響子、中田喜子、吉田鋼太郎　")</f>
        <v>【レギュラー】岡田将生、松坂桃李、柳楽優弥、安藤サクラ、太賀、島崎遥香(AKB48)、高橋洋、吉岡里帆、小松和重、少路勇介、矢本悠馬、加藤諒、原扶貴子、菊池美里、瑛蓮、北村匠海(DISH//)、手塚とおる、青木さやか、でんでん、真野響子、中田喜子、吉田鋼太郎　</v>
      </c>
      <c r="N3698" s="2" t="str">
        <f>IFERROR(__xludf.DUMMYFUNCTION("""COMPUTED_VALUE"""),"正和(岡田将生)は、山岸(太賀)にパワハラを認めないと訴訟を起こすと脅される。納得できない正和。一方、山路(松坂桃李)は佐倉(吉岡里帆)から、クラスでいじめがあると聞かされる。山路は決めつけないほうがいいと言うが佐倉は聞かない。「鳥の民」で早川(手塚とおる)と宮下(安藤サクラ)に始末書を提出する正和。その頃、店には山路、佐倉が同僚と訪れ、いじめ問題を話していた。そこにまりぶ(柳楽優弥)が現れ…。")</f>
        <v>正和(岡田将生)は、山岸(太賀)にパワハラを認めないと訴訟を起こすと脅される。納得できない正和。一方、山路(松坂桃李)は佐倉(吉岡里帆)から、クラスでいじめがあると聞かされる。山路は決めつけないほうがいいと言うが佐倉は聞かない。「鳥の民」で早川(手塚とおる)と宮下(安藤サクラ)に始末書を提出する正和。その頃、店には山路、佐倉が同僚と訪れ、いじめ問題を話していた。そこにまりぶ(柳楽優弥)が現れ…。</v>
      </c>
      <c r="O3698" s="2"/>
      <c r="P3698" s="1"/>
      <c r="Q3698" s="1"/>
      <c r="R3698" s="1"/>
      <c r="S3698" s="1"/>
      <c r="T3698" s="1"/>
      <c r="U3698" s="1"/>
      <c r="V3698" s="1"/>
      <c r="W3698" s="1"/>
      <c r="X3698" s="1"/>
      <c r="Y3698" s="1"/>
      <c r="Z3698" s="1"/>
      <c r="AA3698" s="1"/>
      <c r="AB3698" s="1"/>
      <c r="AC3698" s="1"/>
      <c r="AD3698" s="1"/>
      <c r="AE3698" s="1"/>
      <c r="AF3698" s="1"/>
      <c r="AG3698" s="1"/>
      <c r="AH3698" s="1"/>
      <c r="AI3698" s="1"/>
      <c r="AJ3698" s="1"/>
      <c r="AK3698" s="1"/>
      <c r="AL3698" s="1"/>
      <c r="AM3698" s="1"/>
      <c r="AN3698" s="1"/>
      <c r="AO3698" s="1"/>
      <c r="AP3698" s="1"/>
      <c r="AQ3698" s="1"/>
      <c r="AR3698" s="1"/>
      <c r="AS3698" s="1"/>
      <c r="AT3698" s="1"/>
      <c r="AU3698" s="1"/>
      <c r="AV3698" s="1"/>
      <c r="AW3698" s="1"/>
      <c r="AX3698" s="1"/>
      <c r="AY3698" s="1"/>
      <c r="AZ3698" s="1"/>
      <c r="BA3698" s="1"/>
      <c r="BB3698" s="1"/>
    </row>
    <row r="3699" ht="204.75" customHeight="1">
      <c r="A3699" s="1">
        <v>1749.0</v>
      </c>
      <c r="B3699" s="2" t="s">
        <v>11142</v>
      </c>
      <c r="C3699" s="2">
        <f>IFERROR(__xludf.DUMMYFUNCTION("split(B3699,""_"")"),1604.0)</f>
        <v>1604</v>
      </c>
      <c r="D3699" s="2" t="str">
        <f>IFERROR(__xludf.DUMMYFUNCTION("""COMPUTED_VALUE"""),"NTV")</f>
        <v>NTV</v>
      </c>
      <c r="E3699" s="2" t="str">
        <f>IFERROR(__xludf.DUMMYFUNCTION("""COMPUTED_VALUE"""),"日22")</f>
        <v>日22</v>
      </c>
      <c r="F3699" s="2" t="s">
        <v>11143</v>
      </c>
      <c r="G3699" s="2" t="s">
        <v>11153</v>
      </c>
      <c r="H3699" s="1">
        <v>4.0</v>
      </c>
      <c r="I3699" s="1" t="s">
        <v>2880</v>
      </c>
      <c r="J3699" s="1" t="s">
        <v>82</v>
      </c>
      <c r="K3699" s="2" t="s">
        <v>11154</v>
      </c>
      <c r="L3699" s="11" t="s">
        <v>11155</v>
      </c>
      <c r="M3699" s="2" t="str">
        <f>IFERROR(__xludf.DUMMYFUNCTION("split(split(K3699,""【演出"",false),""ほか"",false)"),"【レギュラー】岡田将生、松坂桃李、柳楽優弥、安藤サクラ、太賀、島崎遥香(AKB48)、高橋洋、吉岡里帆、小松和重、少路勇介、矢本悠馬、加藤諒、原扶貴子、菊池美里、瑛蓮、北村匠海(DISH//)、手塚とおる、青木さやか、でんでん、真野響子、中田喜子、吉田鋼太郎　")</f>
        <v>【レギュラー】岡田将生、松坂桃李、柳楽優弥、安藤サクラ、太賀、島崎遥香(AKB48)、高橋洋、吉岡里帆、小松和重、少路勇介、矢本悠馬、加藤諒、原扶貴子、菊池美里、瑛蓮、北村匠海(DISH//)、手塚とおる、青木さやか、でんでん、真野響子、中田喜子、吉田鋼太郎　</v>
      </c>
      <c r="N3699" s="2" t="str">
        <f>IFERROR(__xludf.DUMMYFUNCTION("""COMPUTED_VALUE"""),"山路(松坂桃李)の学校に怒鳴り込んできた静磨(北村匠海)は、教育実習生・佐倉(吉岡里帆)の年下のカレシ。静磨から、童貞だと学校中に暴露され山路は絶句。正和(岡田将生)は宮下(安藤サクラ)との関係を山岸(太賀)に言いふらされ、それを全力で嫌がる宮下に違和感を覚える。まりぶ(柳楽優弥)はガールズバー店長となり忙しくなる。寂しい正和は山路に連絡をするが、その頃山路は宮下と一緒にボルダリングジムにいて…。")</f>
        <v>山路(松坂桃李)の学校に怒鳴り込んできた静磨(北村匠海)は、教育実習生・佐倉(吉岡里帆)の年下のカレシ。静磨から、童貞だと学校中に暴露され山路は絶句。正和(岡田将生)は宮下(安藤サクラ)との関係を山岸(太賀)に言いふらされ、それを全力で嫌がる宮下に違和感を覚える。まりぶ(柳楽優弥)はガールズバー店長となり忙しくなる。寂しい正和は山路に連絡をするが、その頃山路は宮下と一緒にボルダリングジムにいて…。</v>
      </c>
      <c r="O3699" s="2"/>
      <c r="P3699" s="1"/>
      <c r="Q3699" s="1"/>
      <c r="R3699" s="1"/>
      <c r="S3699" s="1"/>
      <c r="T3699" s="1"/>
      <c r="U3699" s="1"/>
      <c r="V3699" s="1"/>
      <c r="W3699" s="1"/>
      <c r="X3699" s="1"/>
      <c r="Y3699" s="1"/>
      <c r="Z3699" s="1"/>
      <c r="AA3699" s="1"/>
      <c r="AB3699" s="1"/>
      <c r="AC3699" s="1"/>
      <c r="AD3699" s="1"/>
      <c r="AE3699" s="1"/>
      <c r="AF3699" s="1"/>
      <c r="AG3699" s="1"/>
      <c r="AH3699" s="1"/>
      <c r="AI3699" s="1"/>
      <c r="AJ3699" s="1"/>
      <c r="AK3699" s="1"/>
      <c r="AL3699" s="1"/>
      <c r="AM3699" s="1"/>
      <c r="AN3699" s="1"/>
      <c r="AO3699" s="1"/>
      <c r="AP3699" s="1"/>
      <c r="AQ3699" s="1"/>
      <c r="AR3699" s="1"/>
      <c r="AS3699" s="1"/>
      <c r="AT3699" s="1"/>
      <c r="AU3699" s="1"/>
      <c r="AV3699" s="1"/>
      <c r="AW3699" s="1"/>
      <c r="AX3699" s="1"/>
      <c r="AY3699" s="1"/>
      <c r="AZ3699" s="1"/>
      <c r="BA3699" s="1"/>
      <c r="BB3699" s="1"/>
    </row>
    <row r="3700" ht="204.75" customHeight="1">
      <c r="A3700" s="1">
        <v>1750.0</v>
      </c>
      <c r="B3700" s="2" t="s">
        <v>11142</v>
      </c>
      <c r="C3700" s="2">
        <f>IFERROR(__xludf.DUMMYFUNCTION("split(B3700,""_"")"),1604.0)</f>
        <v>1604</v>
      </c>
      <c r="D3700" s="2" t="str">
        <f>IFERROR(__xludf.DUMMYFUNCTION("""COMPUTED_VALUE"""),"NTV")</f>
        <v>NTV</v>
      </c>
      <c r="E3700" s="2" t="str">
        <f>IFERROR(__xludf.DUMMYFUNCTION("""COMPUTED_VALUE"""),"日22")</f>
        <v>日22</v>
      </c>
      <c r="F3700" s="2" t="s">
        <v>11143</v>
      </c>
      <c r="G3700" s="2" t="s">
        <v>11156</v>
      </c>
      <c r="H3700" s="1">
        <v>5.0</v>
      </c>
      <c r="I3700" s="1" t="s">
        <v>2884</v>
      </c>
      <c r="J3700" s="1" t="s">
        <v>82</v>
      </c>
      <c r="K3700" s="2" t="s">
        <v>11157</v>
      </c>
      <c r="L3700" s="11" t="s">
        <v>11158</v>
      </c>
      <c r="M3700" s="2" t="str">
        <f>IFERROR(__xludf.DUMMYFUNCTION("split(split(K3700,""【演出"",false),""ほか"",false)"),"【レギュラー】岡田将生、松坂桃李、柳楽優弥、安藤サクラ、太賀、島崎遥香(AKB48)、高橋洋、吉岡里帆、小松和重、少路勇介、矢本悠馬、加藤諒、原扶貴子、菊池美里、手塚とおる、青木さやか、中田喜子、吉田鋼太郎　")</f>
        <v>【レギュラー】岡田将生、松坂桃李、柳楽優弥、安藤サクラ、太賀、島崎遥香(AKB48)、高橋洋、吉岡里帆、小松和重、少路勇介、矢本悠馬、加藤諒、原扶貴子、菊池美里、手塚とおる、青木さやか、中田喜子、吉田鋼太郎　</v>
      </c>
      <c r="N3700" s="2" t="str">
        <f>IFERROR(__xludf.DUMMYFUNCTION("""COMPUTED_VALUE"""),"正和(岡田将生)は妹のゆとり(島崎遥香)が、まりぶ(柳楽優弥)のガールズバーでバイトしていると知り頭を抱える。麻生(吉田鋼太郎)に相談し店に偵察に行ってもらうことに。そんな中、正和は宮下に仙台支店長の話があると聞き、知らなかったことにショック!一方、山路(松坂桃李)と宮下は何でも相談できる友達に。ある日、二人がボルダリングジムに行くと正和が。無理に壁を登ろうとした正和は、落下し大ケガをして…。")</f>
        <v>正和(岡田将生)は妹のゆとり(島崎遥香)が、まりぶ(柳楽優弥)のガールズバーでバイトしていると知り頭を抱える。麻生(吉田鋼太郎)に相談し店に偵察に行ってもらうことに。そんな中、正和は宮下に仙台支店長の話があると聞き、知らなかったことにショック!一方、山路(松坂桃李)と宮下は何でも相談できる友達に。ある日、二人がボルダリングジムに行くと正和が。無理に壁を登ろうとした正和は、落下し大ケガをして…。</v>
      </c>
      <c r="O3700" s="2"/>
      <c r="P3700" s="1"/>
      <c r="Q3700" s="1"/>
      <c r="R3700" s="1"/>
      <c r="S3700" s="1"/>
      <c r="T3700" s="1"/>
      <c r="U3700" s="1"/>
      <c r="V3700" s="1"/>
      <c r="W3700" s="1"/>
      <c r="X3700" s="1"/>
      <c r="Y3700" s="1"/>
      <c r="Z3700" s="1"/>
      <c r="AA3700" s="1"/>
      <c r="AB3700" s="1"/>
      <c r="AC3700" s="1"/>
      <c r="AD3700" s="1"/>
      <c r="AE3700" s="1"/>
      <c r="AF3700" s="1"/>
      <c r="AG3700" s="1"/>
      <c r="AH3700" s="1"/>
      <c r="AI3700" s="1"/>
      <c r="AJ3700" s="1"/>
      <c r="AK3700" s="1"/>
      <c r="AL3700" s="1"/>
      <c r="AM3700" s="1"/>
      <c r="AN3700" s="1"/>
      <c r="AO3700" s="1"/>
      <c r="AP3700" s="1"/>
      <c r="AQ3700" s="1"/>
      <c r="AR3700" s="1"/>
      <c r="AS3700" s="1"/>
      <c r="AT3700" s="1"/>
      <c r="AU3700" s="1"/>
      <c r="AV3700" s="1"/>
      <c r="AW3700" s="1"/>
      <c r="AX3700" s="1"/>
      <c r="AY3700" s="1"/>
      <c r="AZ3700" s="1"/>
      <c r="BA3700" s="1"/>
      <c r="BB3700" s="1"/>
    </row>
    <row r="3701" ht="204.75" customHeight="1">
      <c r="A3701" s="1">
        <v>1751.0</v>
      </c>
      <c r="B3701" s="2" t="s">
        <v>11142</v>
      </c>
      <c r="C3701" s="2">
        <f>IFERROR(__xludf.DUMMYFUNCTION("split(B3701,""_"")"),1604.0)</f>
        <v>1604</v>
      </c>
      <c r="D3701" s="2" t="str">
        <f>IFERROR(__xludf.DUMMYFUNCTION("""COMPUTED_VALUE"""),"NTV")</f>
        <v>NTV</v>
      </c>
      <c r="E3701" s="2" t="str">
        <f>IFERROR(__xludf.DUMMYFUNCTION("""COMPUTED_VALUE"""),"日22")</f>
        <v>日22</v>
      </c>
      <c r="F3701" s="2" t="s">
        <v>11143</v>
      </c>
      <c r="G3701" s="2" t="s">
        <v>11159</v>
      </c>
      <c r="H3701" s="1">
        <v>6.0</v>
      </c>
      <c r="I3701" s="1" t="s">
        <v>2888</v>
      </c>
      <c r="J3701" s="1" t="s">
        <v>82</v>
      </c>
      <c r="K3701" s="2" t="s">
        <v>11160</v>
      </c>
      <c r="L3701" s="11" t="s">
        <v>11161</v>
      </c>
      <c r="M3701" s="2" t="str">
        <f>IFERROR(__xludf.DUMMYFUNCTION("split(split(K3701,""【演出"",false),""ほか"",false)"),"【レギュラー】岡田将生、松坂桃李、柳楽優弥、安藤サクラ、太賀、島崎遥香(AKB48)、高橋洋、吉岡里帆、小松和重、少路勇介、矢本悠馬、加藤諒、原扶貴子、菊池美里、手塚とおる、青木さやか、中田喜子、吉田鋼太郎　")</f>
        <v>【レギュラー】岡田将生、松坂桃李、柳楽優弥、安藤サクラ、太賀、島崎遥香(AKB48)、高橋洋、吉岡里帆、小松和重、少路勇介、矢本悠馬、加藤諒、原扶貴子、菊池美里、手塚とおる、青木さやか、中田喜子、吉田鋼太郎　</v>
      </c>
      <c r="N3701" s="2" t="str">
        <f>IFERROR(__xludf.DUMMYFUNCTION("""COMPUTED_VALUE"""),"正和(岡田将生)は、妻子持ちのまりぶ(柳楽優弥)と妹のゆとり(島崎遥香)の関係を知り、麻生(吉田鋼太郎)と共にまりぶのアパートへ。さらに、取引先の野上(でんでん)が他社に乗り換えようとしているという問題が正和を悩ませる。一方、山路(松坂桃李)は学習障害の大悟のために尽力し、母親の奈々江(石橋けい)から信頼されるように。お互いを意識しあう2人。さらに佐倉(吉岡里帆)から連絡が来てモテ期到来!?")</f>
        <v>正和(岡田将生)は、妻子持ちのまりぶ(柳楽優弥)と妹のゆとり(島崎遥香)の関係を知り、麻生(吉田鋼太郎)と共にまりぶのアパートへ。さらに、取引先の野上(でんでん)が他社に乗り換えようとしているという問題が正和を悩ませる。一方、山路(松坂桃李)は学習障害の大悟のために尽力し、母親の奈々江(石橋けい)から信頼されるように。お互いを意識しあう2人。さらに佐倉(吉岡里帆)から連絡が来てモテ期到来!?</v>
      </c>
      <c r="O3701" s="2"/>
      <c r="P3701" s="1"/>
      <c r="Q3701" s="1"/>
      <c r="R3701" s="1"/>
      <c r="S3701" s="1"/>
      <c r="T3701" s="1"/>
      <c r="U3701" s="1"/>
      <c r="V3701" s="1"/>
      <c r="W3701" s="1"/>
      <c r="X3701" s="1"/>
      <c r="Y3701" s="1"/>
      <c r="Z3701" s="1"/>
      <c r="AA3701" s="1"/>
      <c r="AB3701" s="1"/>
      <c r="AC3701" s="1"/>
      <c r="AD3701" s="1"/>
      <c r="AE3701" s="1"/>
      <c r="AF3701" s="1"/>
      <c r="AG3701" s="1"/>
      <c r="AH3701" s="1"/>
      <c r="AI3701" s="1"/>
      <c r="AJ3701" s="1"/>
      <c r="AK3701" s="1"/>
      <c r="AL3701" s="1"/>
      <c r="AM3701" s="1"/>
      <c r="AN3701" s="1"/>
      <c r="AO3701" s="1"/>
      <c r="AP3701" s="1"/>
      <c r="AQ3701" s="1"/>
      <c r="AR3701" s="1"/>
      <c r="AS3701" s="1"/>
      <c r="AT3701" s="1"/>
      <c r="AU3701" s="1"/>
      <c r="AV3701" s="1"/>
      <c r="AW3701" s="1"/>
      <c r="AX3701" s="1"/>
      <c r="AY3701" s="1"/>
      <c r="AZ3701" s="1"/>
      <c r="BA3701" s="1"/>
      <c r="BB3701" s="1"/>
    </row>
    <row r="3702" ht="204.75" customHeight="1">
      <c r="A3702" s="1">
        <v>1752.0</v>
      </c>
      <c r="B3702" s="2" t="s">
        <v>11142</v>
      </c>
      <c r="C3702" s="2">
        <f>IFERROR(__xludf.DUMMYFUNCTION("split(B3702,""_"")"),1604.0)</f>
        <v>1604</v>
      </c>
      <c r="D3702" s="2" t="str">
        <f>IFERROR(__xludf.DUMMYFUNCTION("""COMPUTED_VALUE"""),"NTV")</f>
        <v>NTV</v>
      </c>
      <c r="E3702" s="2" t="str">
        <f>IFERROR(__xludf.DUMMYFUNCTION("""COMPUTED_VALUE"""),"日22")</f>
        <v>日22</v>
      </c>
      <c r="F3702" s="2" t="s">
        <v>11143</v>
      </c>
      <c r="G3702" s="2" t="s">
        <v>11162</v>
      </c>
      <c r="H3702" s="1">
        <v>7.0</v>
      </c>
      <c r="I3702" s="1" t="s">
        <v>2892</v>
      </c>
      <c r="J3702" s="1" t="s">
        <v>82</v>
      </c>
      <c r="K3702" s="2" t="s">
        <v>11163</v>
      </c>
      <c r="L3702" s="11" t="s">
        <v>11164</v>
      </c>
      <c r="M3702" s="2" t="str">
        <f>IFERROR(__xludf.DUMMYFUNCTION("split(split(K3702,""【演出"",false),""ほか"",false)"),"【レギュラー】岡田将生、松坂桃李、柳楽優弥、安藤サクラ、太賀、島崎遥香(AKB48)、高橋洋、吉岡里帆、小松和重、少路勇介、矢本悠馬、加藤諒、原扶貴子、菊池美里、瑛蓮、北村匠海(DISH//)、手塚とおる、青木さやか/中尾明慶、でんでん、辻萬長、真野響子/中田喜子、吉田鋼太郎　")</f>
        <v>【レギュラー】岡田将生、松坂桃李、柳楽優弥、安藤サクラ、太賀、島崎遥香(AKB48)、高橋洋、吉岡里帆、小松和重、少路勇介、矢本悠馬、加藤諒、原扶貴子、菊池美里、瑛蓮、北村匠海(DISH//)、手塚とおる、青木さやか/中尾明慶、でんでん、辻萬長、真野響子/中田喜子、吉田鋼太郎　</v>
      </c>
      <c r="N3702" s="2" t="str">
        <f>IFERROR(__xludf.DUMMYFUNCTION("""COMPUTED_VALUE"""),"正和(岡田将生)の会社の得意先で食中毒が発生。早川(手塚とおる)と会社を救おうと奔走する。  山路(松坂桃李)はクラスの児童・大悟の学習障害を理解しない父親が、授業参観に来ると聞き意気込むが…。  まりぶ(柳楽優弥)は、ゆとり(島崎遥香)と別れると約束したが別れられず…。  そんな中、茜(安藤サクラ)の父が上京。別れたと親に言えない正和と茜だが、重蔵が結納を交わそうと坂間家に乗り込み…。")</f>
        <v>正和(岡田将生)の会社の得意先で食中毒が発生。早川(手塚とおる)と会社を救おうと奔走する。  山路(松坂桃李)はクラスの児童・大悟の学習障害を理解しない父親が、授業参観に来ると聞き意気込むが…。  まりぶ(柳楽優弥)は、ゆとり(島崎遥香)と別れると約束したが別れられず…。  そんな中、茜(安藤サクラ)の父が上京。別れたと親に言えない正和と茜だが、重蔵が結納を交わそうと坂間家に乗り込み…。</v>
      </c>
      <c r="O3702" s="2"/>
      <c r="P3702" s="1"/>
      <c r="Q3702" s="1"/>
      <c r="R3702" s="1"/>
      <c r="S3702" s="1"/>
      <c r="T3702" s="1"/>
      <c r="U3702" s="1"/>
      <c r="V3702" s="1"/>
      <c r="W3702" s="1"/>
      <c r="X3702" s="1"/>
      <c r="Y3702" s="1"/>
      <c r="Z3702" s="1"/>
      <c r="AA3702" s="1"/>
      <c r="AB3702" s="1"/>
      <c r="AC3702" s="1"/>
      <c r="AD3702" s="1"/>
      <c r="AE3702" s="1"/>
      <c r="AF3702" s="1"/>
      <c r="AG3702" s="1"/>
      <c r="AH3702" s="1"/>
      <c r="AI3702" s="1"/>
      <c r="AJ3702" s="1"/>
      <c r="AK3702" s="1"/>
      <c r="AL3702" s="1"/>
      <c r="AM3702" s="1"/>
      <c r="AN3702" s="1"/>
      <c r="AO3702" s="1"/>
      <c r="AP3702" s="1"/>
      <c r="AQ3702" s="1"/>
      <c r="AR3702" s="1"/>
      <c r="AS3702" s="1"/>
      <c r="AT3702" s="1"/>
      <c r="AU3702" s="1"/>
      <c r="AV3702" s="1"/>
      <c r="AW3702" s="1"/>
      <c r="AX3702" s="1"/>
      <c r="AY3702" s="1"/>
      <c r="AZ3702" s="1"/>
      <c r="BA3702" s="1"/>
      <c r="BB3702" s="1"/>
    </row>
    <row r="3703" ht="204.75" customHeight="1">
      <c r="A3703" s="1">
        <v>1753.0</v>
      </c>
      <c r="B3703" s="2" t="s">
        <v>11142</v>
      </c>
      <c r="C3703" s="2">
        <f>IFERROR(__xludf.DUMMYFUNCTION("split(B3703,""_"")"),1604.0)</f>
        <v>1604</v>
      </c>
      <c r="D3703" s="2" t="str">
        <f>IFERROR(__xludf.DUMMYFUNCTION("""COMPUTED_VALUE"""),"NTV")</f>
        <v>NTV</v>
      </c>
      <c r="E3703" s="2" t="str">
        <f>IFERROR(__xludf.DUMMYFUNCTION("""COMPUTED_VALUE"""),"日22")</f>
        <v>日22</v>
      </c>
      <c r="F3703" s="2" t="s">
        <v>11143</v>
      </c>
      <c r="G3703" s="2" t="s">
        <v>11165</v>
      </c>
      <c r="H3703" s="1">
        <v>8.0</v>
      </c>
      <c r="I3703" s="1" t="s">
        <v>2896</v>
      </c>
      <c r="J3703" s="1" t="s">
        <v>82</v>
      </c>
      <c r="K3703" s="2" t="s">
        <v>11166</v>
      </c>
      <c r="L3703" s="11" t="s">
        <v>11167</v>
      </c>
      <c r="M3703" s="2" t="str">
        <f>IFERROR(__xludf.DUMMYFUNCTION("split(split(K3703,""【演出"",false),""ほか"",false)"),"【レギュラー】岡田将生、松坂桃李、柳楽優弥、安藤サクラ、太賀、島崎遥香(AKB48)、高橋洋、吉岡里帆、小松和重、少路勇介、矢本悠馬、加藤諒、原扶貴子、菊池美里、瑛蓮、北村匠海(DISH//)、手塚とおる、青木さやか、半海一晃、でんでん、中田喜子、吉田鋼太郎　")</f>
        <v>【レギュラー】岡田将生、松坂桃李、柳楽優弥、安藤サクラ、太賀、島崎遥香(AKB48)、高橋洋、吉岡里帆、小松和重、少路勇介、矢本悠馬、加藤諒、原扶貴子、菊池美里、瑛蓮、北村匠海(DISH//)、手塚とおる、青木さやか、半海一晃、でんでん、中田喜子、吉田鋼太郎　</v>
      </c>
      <c r="N3703" s="2" t="str">
        <f>IFERROR(__xludf.DUMMYFUNCTION("""COMPUTED_VALUE"""),"正和(岡田将生)は、会社を辞め、兄・宗貴と一緒に酒屋を継ぐと宣言するが、兄は北海道で農業をやると言い出す。勝手な息子たちに母は激怒し、坂間家は険悪に。童貞の山路(松坂桃李)は、性教育の授業をすることになり動揺を隠せない。一方、植木屋職人として働き始めたまりぶ(柳楽優弥)は、同僚から前に会ったことがあると言い出され…!?茜(安藤サクラ)の最後の出勤日。別れの挨拶をしていると、正和が突然号泣して……")</f>
        <v>正和(岡田将生)は、会社を辞め、兄・宗貴と一緒に酒屋を継ぐと宣言するが、兄は北海道で農業をやると言い出す。勝手な息子たちに母は激怒し、坂間家は険悪に。童貞の山路(松坂桃李)は、性教育の授業をすることになり動揺を隠せない。一方、植木屋職人として働き始めたまりぶ(柳楽優弥)は、同僚から前に会ったことがあると言い出され…!?茜(安藤サクラ)の最後の出勤日。別れの挨拶をしていると、正和が突然号泣して……</v>
      </c>
      <c r="O3703" s="2"/>
      <c r="P3703" s="1"/>
      <c r="Q3703" s="1"/>
      <c r="R3703" s="1"/>
      <c r="S3703" s="1"/>
      <c r="T3703" s="1"/>
      <c r="U3703" s="1"/>
      <c r="V3703" s="1"/>
      <c r="W3703" s="1"/>
      <c r="X3703" s="1"/>
      <c r="Y3703" s="1"/>
      <c r="Z3703" s="1"/>
      <c r="AA3703" s="1"/>
      <c r="AB3703" s="1"/>
      <c r="AC3703" s="1"/>
      <c r="AD3703" s="1"/>
      <c r="AE3703" s="1"/>
      <c r="AF3703" s="1"/>
      <c r="AG3703" s="1"/>
      <c r="AH3703" s="1"/>
      <c r="AI3703" s="1"/>
      <c r="AJ3703" s="1"/>
      <c r="AK3703" s="1"/>
      <c r="AL3703" s="1"/>
      <c r="AM3703" s="1"/>
      <c r="AN3703" s="1"/>
      <c r="AO3703" s="1"/>
      <c r="AP3703" s="1"/>
      <c r="AQ3703" s="1"/>
      <c r="AR3703" s="1"/>
      <c r="AS3703" s="1"/>
      <c r="AT3703" s="1"/>
      <c r="AU3703" s="1"/>
      <c r="AV3703" s="1"/>
      <c r="AW3703" s="1"/>
      <c r="AX3703" s="1"/>
      <c r="AY3703" s="1"/>
      <c r="AZ3703" s="1"/>
      <c r="BA3703" s="1"/>
      <c r="BB3703" s="1"/>
    </row>
    <row r="3704" ht="204.75" customHeight="1">
      <c r="A3704" s="1">
        <v>1754.0</v>
      </c>
      <c r="B3704" s="2" t="s">
        <v>11142</v>
      </c>
      <c r="C3704" s="2">
        <f>IFERROR(__xludf.DUMMYFUNCTION("split(B3704,""_"")"),1604.0)</f>
        <v>1604</v>
      </c>
      <c r="D3704" s="2" t="str">
        <f>IFERROR(__xludf.DUMMYFUNCTION("""COMPUTED_VALUE"""),"NTV")</f>
        <v>NTV</v>
      </c>
      <c r="E3704" s="2" t="str">
        <f>IFERROR(__xludf.DUMMYFUNCTION("""COMPUTED_VALUE"""),"日22")</f>
        <v>日22</v>
      </c>
      <c r="F3704" s="2" t="s">
        <v>11143</v>
      </c>
      <c r="G3704" s="2" t="s">
        <v>11168</v>
      </c>
      <c r="H3704" s="1">
        <v>9.0</v>
      </c>
      <c r="I3704" s="1" t="s">
        <v>2900</v>
      </c>
      <c r="J3704" s="1" t="s">
        <v>82</v>
      </c>
      <c r="K3704" s="2" t="s">
        <v>11169</v>
      </c>
      <c r="L3704" s="11" t="s">
        <v>11170</v>
      </c>
      <c r="M3704" s="2" t="str">
        <f>IFERROR(__xludf.DUMMYFUNCTION("split(split(K3704,""【演出"",false),""ほか"",false)"),"【レギュラー】岡田将生、松坂桃李、柳楽優弥、安藤サクラ、太賀、島崎遥香(AKB48)、高橋洋、吉岡里帆、小松和重、少路勇介、矢本悠馬、加藤諒、原扶貴子、菊池美里、手塚とおる、青木さやか、平山浩行、でんでん、古手川祐子/中田喜子、吉田鋼太郎　")</f>
        <v>【レギュラー】岡田将生、松坂桃李、柳楽優弥、安藤サクラ、太賀、島崎遥香(AKB48)、高橋洋、吉岡里帆、小松和重、少路勇介、矢本悠馬、加藤諒、原扶貴子、菊池美里、手塚とおる、青木さやか、平山浩行、でんでん、古手川祐子/中田喜子、吉田鋼太郎　</v>
      </c>
      <c r="N3704" s="2" t="str">
        <f>IFERROR(__xludf.DUMMYFUNCTION("""COMPUTED_VALUE"""),"正和(岡田将生)と山路(松坂桃李)は、店が警察のガサ入れ受け逮捕されたまりぶ(柳楽優弥)を救う為、彼の父・麻生(吉田鋼太郎)が呼んだ弁護士と会う。現れたのはまりぶの異母兄・政伸(平山浩行)。政伸は麻生ともまりぶとも険悪。面会ではまりぶとつかみ合いのケンカに。酒蔵を継いだ正和は営業に苦戦し、茜(安藤サクラ)に叱咤される。性教育の授業を控え緊張する童貞の山路のもとに、正和と茜の結婚式の招待状が届くが…")</f>
        <v>正和(岡田将生)と山路(松坂桃李)は、店が警察のガサ入れ受け逮捕されたまりぶ(柳楽優弥)を救う為、彼の父・麻生(吉田鋼太郎)が呼んだ弁護士と会う。現れたのはまりぶの異母兄・政伸(平山浩行)。政伸は麻生ともまりぶとも険悪。面会ではまりぶとつかみ合いのケンカに。酒蔵を継いだ正和は営業に苦戦し、茜(安藤サクラ)に叱咤される。性教育の授業を控え緊張する童貞の山路のもとに、正和と茜の結婚式の招待状が届くが…</v>
      </c>
      <c r="O3704" s="2"/>
      <c r="P3704" s="1"/>
      <c r="Q3704" s="1"/>
      <c r="R3704" s="1"/>
      <c r="S3704" s="1"/>
      <c r="T3704" s="1"/>
      <c r="U3704" s="1"/>
      <c r="V3704" s="1"/>
      <c r="W3704" s="1"/>
      <c r="X3704" s="1"/>
      <c r="Y3704" s="1"/>
      <c r="Z3704" s="1"/>
      <c r="AA3704" s="1"/>
      <c r="AB3704" s="1"/>
      <c r="AC3704" s="1"/>
      <c r="AD3704" s="1"/>
      <c r="AE3704" s="1"/>
      <c r="AF3704" s="1"/>
      <c r="AG3704" s="1"/>
      <c r="AH3704" s="1"/>
      <c r="AI3704" s="1"/>
      <c r="AJ3704" s="1"/>
      <c r="AK3704" s="1"/>
      <c r="AL3704" s="1"/>
      <c r="AM3704" s="1"/>
      <c r="AN3704" s="1"/>
      <c r="AO3704" s="1"/>
      <c r="AP3704" s="1"/>
      <c r="AQ3704" s="1"/>
      <c r="AR3704" s="1"/>
      <c r="AS3704" s="1"/>
      <c r="AT3704" s="1"/>
      <c r="AU3704" s="1"/>
      <c r="AV3704" s="1"/>
      <c r="AW3704" s="1"/>
      <c r="AX3704" s="1"/>
      <c r="AY3704" s="1"/>
      <c r="AZ3704" s="1"/>
      <c r="BA3704" s="1"/>
      <c r="BB3704" s="1"/>
    </row>
    <row r="3705" ht="204.75" customHeight="1">
      <c r="A3705" s="1">
        <v>1755.0</v>
      </c>
      <c r="B3705" s="2" t="s">
        <v>11142</v>
      </c>
      <c r="C3705" s="2">
        <f>IFERROR(__xludf.DUMMYFUNCTION("split(B3705,""_"")"),1604.0)</f>
        <v>1604</v>
      </c>
      <c r="D3705" s="2" t="str">
        <f>IFERROR(__xludf.DUMMYFUNCTION("""COMPUTED_VALUE"""),"NTV")</f>
        <v>NTV</v>
      </c>
      <c r="E3705" s="2" t="str">
        <f>IFERROR(__xludf.DUMMYFUNCTION("""COMPUTED_VALUE"""),"日22")</f>
        <v>日22</v>
      </c>
      <c r="F3705" s="2" t="s">
        <v>11143</v>
      </c>
      <c r="G3705" s="2" t="s">
        <v>11171</v>
      </c>
      <c r="H3705" s="1">
        <v>10.0</v>
      </c>
      <c r="I3705" s="1" t="s">
        <v>37</v>
      </c>
      <c r="J3705" s="1" t="s">
        <v>82</v>
      </c>
      <c r="K3705" s="2" t="s">
        <v>11172</v>
      </c>
      <c r="L3705" s="11" t="s">
        <v>11173</v>
      </c>
      <c r="M3705" s="2" t="str">
        <f>IFERROR(__xludf.DUMMYFUNCTION("split(split(K3705,""【演出"",false),""ほか"",false)"),"【レギュラー】岡田将生、松坂桃李、柳楽優弥、安藤サクラ、太賀、島崎遥香(AKB48)、高橋洋、吉岡里帆、小松和重、少路勇介、矢本悠馬、加藤諒、原扶貴子、菊池美里、瑛蓮、北村匠海(DISH//)、半海一晃、手塚とおる、青木さやか、/でんでん、辻萬長、/中田喜子、吉田鋼太郎　")</f>
        <v>【レギュラー】岡田将生、松坂桃李、柳楽優弥、安藤サクラ、太賀、島崎遥香(AKB48)、高橋洋、吉岡里帆、小松和重、少路勇介、矢本悠馬、加藤諒、原扶貴子、菊池美里、瑛蓮、北村匠海(DISH//)、半海一晃、手塚とおる、青木さやか、/でんでん、辻萬長、/中田喜子、吉田鋼太郎　</v>
      </c>
      <c r="N3705" s="2" t="str">
        <f>IFERROR(__xludf.DUMMYFUNCTION("""COMPUTED_VALUE"""),"茜(安藤サクラ)は結婚式を前に正和(岡田将生)に不安を口にする。不審に思った正和は早川(手塚とおる)との関係を尋ねると、茜は一夜を共にしたと告白。激しく動揺する正和。山路(松坂桃李)は性教育の授業を間近に控え悩んでいた。気付くと奈々江(石橋けい)とラブホテルに。まりぶ(柳楽優弥)は再び植木職人として働き、妻子が戻るのを待っている。結婚式当日、神社へ向かう途中で突然正和が逃げ出し…")</f>
        <v>茜(安藤サクラ)は結婚式を前に正和(岡田将生)に不安を口にする。不審に思った正和は早川(手塚とおる)との関係を尋ねると、茜は一夜を共にしたと告白。激しく動揺する正和。山路(松坂桃李)は性教育の授業を間近に控え悩んでいた。気付くと奈々江(石橋けい)とラブホテルに。まりぶ(柳楽優弥)は再び植木職人として働き、妻子が戻るのを待っている。結婚式当日、神社へ向かう途中で突然正和が逃げ出し…</v>
      </c>
      <c r="O3705" s="2"/>
      <c r="P3705" s="1"/>
      <c r="Q3705" s="1"/>
      <c r="R3705" s="1"/>
      <c r="S3705" s="1"/>
      <c r="T3705" s="1"/>
      <c r="U3705" s="1"/>
      <c r="V3705" s="1"/>
      <c r="W3705" s="1"/>
      <c r="X3705" s="1"/>
      <c r="Y3705" s="1"/>
      <c r="Z3705" s="1"/>
      <c r="AA3705" s="1"/>
      <c r="AB3705" s="1"/>
      <c r="AC3705" s="1"/>
      <c r="AD3705" s="1"/>
      <c r="AE3705" s="1"/>
      <c r="AF3705" s="1"/>
      <c r="AG3705" s="1"/>
      <c r="AH3705" s="1"/>
      <c r="AI3705" s="1"/>
      <c r="AJ3705" s="1"/>
      <c r="AK3705" s="1"/>
      <c r="AL3705" s="1"/>
      <c r="AM3705" s="1"/>
      <c r="AN3705" s="1"/>
      <c r="AO3705" s="1"/>
      <c r="AP3705" s="1"/>
      <c r="AQ3705" s="1"/>
      <c r="AR3705" s="1"/>
      <c r="AS3705" s="1"/>
      <c r="AT3705" s="1"/>
      <c r="AU3705" s="1"/>
      <c r="AV3705" s="1"/>
      <c r="AW3705" s="1"/>
      <c r="AX3705" s="1"/>
      <c r="AY3705" s="1"/>
      <c r="AZ3705" s="1"/>
      <c r="BA3705" s="1"/>
      <c r="BB3705" s="1"/>
    </row>
    <row r="3706" ht="204.75" customHeight="1">
      <c r="A3706" s="1">
        <v>1785.0</v>
      </c>
      <c r="B3706" s="2" t="s">
        <v>11174</v>
      </c>
      <c r="C3706" s="2">
        <f>IFERROR(__xludf.DUMMYFUNCTION("split(B3706,""_"")"),1601.0)</f>
        <v>1601</v>
      </c>
      <c r="D3706" s="2" t="str">
        <f>IFERROR(__xludf.DUMMYFUNCTION("""COMPUTED_VALUE"""),"NTV")</f>
        <v>NTV</v>
      </c>
      <c r="E3706" s="2" t="str">
        <f>IFERROR(__xludf.DUMMYFUNCTION("""COMPUTED_VALUE"""),"水22")</f>
        <v>水22</v>
      </c>
      <c r="F3706" s="2" t="s">
        <v>11175</v>
      </c>
      <c r="G3706" s="2" t="s">
        <v>11176</v>
      </c>
      <c r="H3706" s="1">
        <v>1.0</v>
      </c>
      <c r="J3706" s="1" t="s">
        <v>82</v>
      </c>
      <c r="K3706" s="2" t="s">
        <v>11177</v>
      </c>
      <c r="L3706" s="11" t="s">
        <v>11178</v>
      </c>
      <c r="M3706" s="2" t="str">
        <f>IFERROR(__xludf.DUMMYFUNCTION("split(split(K3706,""【演出"",false),""ほか"",false)"),"堀北真希、檀れい、知英、高梨臨、YOU、DAIGO、市川知宏、木本武宏(TKO)、高橋惠子、平山浩行、佐野史郎、大地真央、ともさかりえ、関めぐみ、矢本悠馬、山中崇、小野ゆり子、山田明郷")</f>
        <v>堀北真希、檀れい、知英、高梨臨、YOU、DAIGO、市川知宏、木本武宏(TKO)、高橋惠子、平山浩行、佐野史郎、大地真央、ともさかりえ、関めぐみ、矢本悠馬、山中崇、小野ゆり子、山田明郷</v>
      </c>
      <c r="N3706" s="2" t="str">
        <f>IFERROR(__xludf.DUMMYFUNCTION("""COMPUTED_VALUE"""),"海外からの要人を乗せた豪華客船に“爆破予告”が!さらに同じ日、女性雑誌編集者の遺体が発見される!殺害現場で、捜査一課の熱血刑事・雪乃(檀れい)は、口が悪く無愛想な刑事・渚(堀北真希)と出くわすが、渚は「うそつき」と呟いて気絶してしまい…。“事件現場に残された声”にシンクロ(同調)してしまう渚を中心とした、個性豊かな女刑事だけの捜査七課=通称ヒガンバナが、女性ならではの視点で2つの事件の真相に迫る!")</f>
        <v>海外からの要人を乗せた豪華客船に“爆破予告”が!さらに同じ日、女性雑誌編集者の遺体が発見される!殺害現場で、捜査一課の熱血刑事・雪乃(檀れい)は、口が悪く無愛想な刑事・渚(堀北真希)と出くわすが、渚は「うそつき」と呟いて気絶してしまい…。“事件現場に残された声”にシンクロ(同調)してしまう渚を中心とした、個性豊かな女刑事だけの捜査七課=通称ヒガンバナが、女性ならではの視点で2つの事件の真相に迫る!</v>
      </c>
      <c r="O3706" s="2"/>
      <c r="P3706" s="1"/>
      <c r="Q3706" s="1"/>
      <c r="R3706" s="1"/>
      <c r="S3706" s="1"/>
      <c r="T3706" s="1"/>
      <c r="U3706" s="1"/>
      <c r="V3706" s="1"/>
      <c r="W3706" s="1"/>
      <c r="X3706" s="1"/>
      <c r="Y3706" s="1"/>
      <c r="Z3706" s="1"/>
      <c r="AA3706" s="1"/>
      <c r="AB3706" s="1"/>
      <c r="AC3706" s="1"/>
      <c r="AD3706" s="1"/>
      <c r="AE3706" s="1"/>
      <c r="AF3706" s="1"/>
      <c r="AG3706" s="1"/>
      <c r="AH3706" s="1"/>
      <c r="AI3706" s="1"/>
      <c r="AJ3706" s="1"/>
      <c r="AK3706" s="1"/>
      <c r="AL3706" s="1"/>
      <c r="AM3706" s="1"/>
      <c r="AN3706" s="1"/>
      <c r="AO3706" s="1"/>
      <c r="AP3706" s="1"/>
      <c r="AQ3706" s="1"/>
      <c r="AR3706" s="1"/>
      <c r="AS3706" s="1"/>
      <c r="AT3706" s="1"/>
      <c r="AU3706" s="1"/>
      <c r="AV3706" s="1"/>
      <c r="AW3706" s="1"/>
      <c r="AX3706" s="1"/>
      <c r="AY3706" s="1"/>
      <c r="AZ3706" s="1"/>
      <c r="BA3706" s="1"/>
      <c r="BB3706" s="1"/>
    </row>
    <row r="3707" ht="204.75" customHeight="1">
      <c r="A3707" s="1">
        <v>1786.0</v>
      </c>
      <c r="B3707" s="2" t="s">
        <v>11174</v>
      </c>
      <c r="C3707" s="2">
        <f>IFERROR(__xludf.DUMMYFUNCTION("split(B3707,""_"")"),1601.0)</f>
        <v>1601</v>
      </c>
      <c r="D3707" s="2" t="str">
        <f>IFERROR(__xludf.DUMMYFUNCTION("""COMPUTED_VALUE"""),"NTV")</f>
        <v>NTV</v>
      </c>
      <c r="E3707" s="2" t="str">
        <f>IFERROR(__xludf.DUMMYFUNCTION("""COMPUTED_VALUE"""),"水22")</f>
        <v>水22</v>
      </c>
      <c r="F3707" s="2" t="s">
        <v>11175</v>
      </c>
      <c r="G3707" s="2" t="s">
        <v>11179</v>
      </c>
      <c r="H3707" s="1">
        <v>2.0</v>
      </c>
      <c r="J3707" s="1" t="s">
        <v>82</v>
      </c>
      <c r="K3707" s="2" t="s">
        <v>11180</v>
      </c>
      <c r="L3707" s="11" t="s">
        <v>11181</v>
      </c>
      <c r="M3707" s="2" t="str">
        <f>IFERROR(__xludf.DUMMYFUNCTION("split(split(K3707,""【演出"",false),""ほか"",false)"),"堀北真希、檀れい、知英、高梨臨、YOU、DAIGO、市川知宏、木本武宏(TKO)、高橋惠子、平山浩行、佐野史郎、大地真央  川栄李奈、山本未來、遠藤雄弥、桜井聖、片岡礼子")</f>
        <v>堀北真希、檀れい、知英、高梨臨、YOU、DAIGO、市川知宏、木本武宏(TKO)、高橋惠子、平山浩行、佐野史郎、大地真央  川栄李奈、山本未來、遠藤雄弥、桜井聖、片岡礼子</v>
      </c>
      <c r="N3707" s="2" t="str">
        <f>IFERROR(__xludf.DUMMYFUNCTION("""COMPUTED_VALUE"""),"有名弁護士が誘拐され、犯人は身代金の受け渡しに被害者の娘で女子高生の可南(川栄李奈)を指名!渚(堀北真希)は代理で可南に扮し、身代金を運ぶことに!しかし犯人は次々と行先を変え、渚が街を右往左往する様子を女子高生向けの動画サイトで実況していて…!?何か隠しているような可南と、娘を捜査から遠ざけようとする母・由香里(山本未來)。2人を警備する雪乃(檀れい)も違和感を抱き…。はたして犯人の目的とは!?")</f>
        <v>有名弁護士が誘拐され、犯人は身代金の受け渡しに被害者の娘で女子高生の可南(川栄李奈)を指名!渚(堀北真希)は代理で可南に扮し、身代金を運ぶことに!しかし犯人は次々と行先を変え、渚が街を右往左往する様子を女子高生向けの動画サイトで実況していて…!?何か隠しているような可南と、娘を捜査から遠ざけようとする母・由香里(山本未來)。2人を警備する雪乃(檀れい)も違和感を抱き…。はたして犯人の目的とは!?</v>
      </c>
      <c r="O3707" s="2"/>
      <c r="P3707" s="1"/>
      <c r="Q3707" s="1"/>
      <c r="R3707" s="1"/>
      <c r="S3707" s="1"/>
      <c r="T3707" s="1"/>
      <c r="U3707" s="1"/>
      <c r="V3707" s="1"/>
      <c r="W3707" s="1"/>
      <c r="X3707" s="1"/>
      <c r="Y3707" s="1"/>
      <c r="Z3707" s="1"/>
      <c r="AA3707" s="1"/>
      <c r="AB3707" s="1"/>
      <c r="AC3707" s="1"/>
      <c r="AD3707" s="1"/>
      <c r="AE3707" s="1"/>
      <c r="AF3707" s="1"/>
      <c r="AG3707" s="1"/>
      <c r="AH3707" s="1"/>
      <c r="AI3707" s="1"/>
      <c r="AJ3707" s="1"/>
      <c r="AK3707" s="1"/>
      <c r="AL3707" s="1"/>
      <c r="AM3707" s="1"/>
      <c r="AN3707" s="1"/>
      <c r="AO3707" s="1"/>
      <c r="AP3707" s="1"/>
      <c r="AQ3707" s="1"/>
      <c r="AR3707" s="1"/>
      <c r="AS3707" s="1"/>
      <c r="AT3707" s="1"/>
      <c r="AU3707" s="1"/>
      <c r="AV3707" s="1"/>
      <c r="AW3707" s="1"/>
      <c r="AX3707" s="1"/>
      <c r="AY3707" s="1"/>
      <c r="AZ3707" s="1"/>
      <c r="BA3707" s="1"/>
      <c r="BB3707" s="1"/>
    </row>
    <row r="3708" ht="204.75" customHeight="1">
      <c r="A3708" s="1">
        <v>1787.0</v>
      </c>
      <c r="B3708" s="2" t="s">
        <v>11174</v>
      </c>
      <c r="C3708" s="2">
        <f>IFERROR(__xludf.DUMMYFUNCTION("split(B3708,""_"")"),1601.0)</f>
        <v>1601</v>
      </c>
      <c r="D3708" s="2" t="str">
        <f>IFERROR(__xludf.DUMMYFUNCTION("""COMPUTED_VALUE"""),"NTV")</f>
        <v>NTV</v>
      </c>
      <c r="E3708" s="2" t="str">
        <f>IFERROR(__xludf.DUMMYFUNCTION("""COMPUTED_VALUE"""),"水22")</f>
        <v>水22</v>
      </c>
      <c r="F3708" s="2" t="s">
        <v>11175</v>
      </c>
      <c r="G3708" s="2" t="s">
        <v>11182</v>
      </c>
      <c r="H3708" s="1">
        <v>3.0</v>
      </c>
      <c r="J3708" s="1" t="s">
        <v>82</v>
      </c>
      <c r="K3708" s="2" t="s">
        <v>11183</v>
      </c>
      <c r="L3708" s="11" t="s">
        <v>11184</v>
      </c>
      <c r="M3708" s="2" t="str">
        <f>IFERROR(__xludf.DUMMYFUNCTION("split(split(K3708,""【演出"",false),""ほか"",false)"),"堀北真希、檀れい、知英、高梨臨、YOU、DAIGO、市川知宏、木本武宏(TKO)、高橋惠子、平山浩行、佐野史郎、大地真央  紺野まひる　安藤玉恵　片桐仁　須田瑛斗　")</f>
        <v>堀北真希、檀れい、知英、高梨臨、YOU、DAIGO、市川知宏、木本武宏(TKO)、高橋惠子、平山浩行、佐野史郎、大地真央  紺野まひる　安藤玉恵　片桐仁　須田瑛斗　</v>
      </c>
      <c r="N3708" s="2" t="str">
        <f>IFERROR(__xludf.DUMMYFUNCTION("""COMPUTED_VALUE"""),"カリスマ主婦ブロガー・早紀(紺野まひる)のサイン会で、彼女の本に殺害予告めいた脅迫文が見つかる。謙人(DAIGO)からの情報で、他にも5人のカリスマ主婦に同じ脅迫文が届いていることが判明。渚(堀北真希)たちが捜査を始めた矢先、その中の一人“いち葉”が遺体で発見される。しかし、彼女の正体は雅子(安藤玉恵)という質素な独身OLだった…!徐々に明らかになるカリスマ主婦たちの素顔とは…!?")</f>
        <v>カリスマ主婦ブロガー・早紀(紺野まひる)のサイン会で、彼女の本に殺害予告めいた脅迫文が見つかる。謙人(DAIGO)からの情報で、他にも5人のカリスマ主婦に同じ脅迫文が届いていることが判明。渚(堀北真希)たちが捜査を始めた矢先、その中の一人“いち葉”が遺体で発見される。しかし、彼女の正体は雅子(安藤玉恵)という質素な独身OLだった…!徐々に明らかになるカリスマ主婦たちの素顔とは…!?</v>
      </c>
      <c r="O3708" s="2"/>
      <c r="P3708" s="1"/>
      <c r="Q3708" s="1"/>
      <c r="R3708" s="1"/>
      <c r="S3708" s="1"/>
      <c r="T3708" s="1"/>
      <c r="U3708" s="1"/>
      <c r="V3708" s="1"/>
      <c r="W3708" s="1"/>
      <c r="X3708" s="1"/>
      <c r="Y3708" s="1"/>
      <c r="Z3708" s="1"/>
      <c r="AA3708" s="1"/>
      <c r="AB3708" s="1"/>
      <c r="AC3708" s="1"/>
      <c r="AD3708" s="1"/>
      <c r="AE3708" s="1"/>
      <c r="AF3708" s="1"/>
      <c r="AG3708" s="1"/>
      <c r="AH3708" s="1"/>
      <c r="AI3708" s="1"/>
      <c r="AJ3708" s="1"/>
      <c r="AK3708" s="1"/>
      <c r="AL3708" s="1"/>
      <c r="AM3708" s="1"/>
      <c r="AN3708" s="1"/>
      <c r="AO3708" s="1"/>
      <c r="AP3708" s="1"/>
      <c r="AQ3708" s="1"/>
      <c r="AR3708" s="1"/>
      <c r="AS3708" s="1"/>
      <c r="AT3708" s="1"/>
      <c r="AU3708" s="1"/>
      <c r="AV3708" s="1"/>
      <c r="AW3708" s="1"/>
      <c r="AX3708" s="1"/>
      <c r="AY3708" s="1"/>
      <c r="AZ3708" s="1"/>
      <c r="BA3708" s="1"/>
      <c r="BB3708" s="1"/>
    </row>
    <row r="3709" ht="204.75" customHeight="1">
      <c r="A3709" s="1">
        <v>1788.0</v>
      </c>
      <c r="B3709" s="2" t="s">
        <v>11174</v>
      </c>
      <c r="C3709" s="2">
        <f>IFERROR(__xludf.DUMMYFUNCTION("split(B3709,""_"")"),1601.0)</f>
        <v>1601</v>
      </c>
      <c r="D3709" s="2" t="str">
        <f>IFERROR(__xludf.DUMMYFUNCTION("""COMPUTED_VALUE"""),"NTV")</f>
        <v>NTV</v>
      </c>
      <c r="E3709" s="2" t="str">
        <f>IFERROR(__xludf.DUMMYFUNCTION("""COMPUTED_VALUE"""),"水22")</f>
        <v>水22</v>
      </c>
      <c r="F3709" s="2" t="s">
        <v>11175</v>
      </c>
      <c r="G3709" s="2" t="s">
        <v>11185</v>
      </c>
      <c r="H3709" s="1">
        <v>4.0</v>
      </c>
      <c r="J3709" s="1" t="s">
        <v>82</v>
      </c>
      <c r="K3709" s="2" t="s">
        <v>11186</v>
      </c>
      <c r="L3709" s="11" t="s">
        <v>11187</v>
      </c>
      <c r="M3709" s="2" t="str">
        <f>IFERROR(__xludf.DUMMYFUNCTION("split(split(K3709,""【演出"",false),""ほか"",false)"),"堀北真希、檀れい、知英、高梨臨、YOU、DAIGO、市川知宏、木本武宏(TKO)、高橋惠子、平山浩行、佐野史郎、大地真央、  萩原聖人、中原丈雄、月船さらら、西山繭子、渋江譲二、")</f>
        <v>堀北真希、檀れい、知英、高梨臨、YOU、DAIGO、市川知宏、木本武宏(TKO)、高橋惠子、平山浩行、佐野史郎、大地真央、  萩原聖人、中原丈雄、月船さらら、西山繭子、渋江譲二、</v>
      </c>
      <c r="N3709" s="2" t="str">
        <f>IFERROR(__xludf.DUMMYFUNCTION("""COMPUTED_VALUE"""),"ある公園の池で女性科学者・曜子(月船さらら)が爆死する。現場でシンクロした渚(堀北真希)は、異様にお金に執着する人物の声を聴く。渚と雪乃(檀れい)は、曜子の勤務先「先端科学研究所」に聞き込みに訪れる。そこで雪乃は研究員・三岡(萩原聖人)と出会い、恋してしまう。一方、曜子の派手な男性関係から教授(中原丈雄)や結婚詐欺師(渋江譲二)など次々と容疑者が浮上!果たして事件の真相と、雪乃の恋の行方は…!?")</f>
        <v>ある公園の池で女性科学者・曜子(月船さらら)が爆死する。現場でシンクロした渚(堀北真希)は、異様にお金に執着する人物の声を聴く。渚と雪乃(檀れい)は、曜子の勤務先「先端科学研究所」に聞き込みに訪れる。そこで雪乃は研究員・三岡(萩原聖人)と出会い、恋してしまう。一方、曜子の派手な男性関係から教授(中原丈雄)や結婚詐欺師(渋江譲二)など次々と容疑者が浮上!果たして事件の真相と、雪乃の恋の行方は…!?</v>
      </c>
      <c r="O3709" s="2"/>
      <c r="P3709" s="1"/>
      <c r="Q3709" s="1"/>
      <c r="R3709" s="1"/>
      <c r="S3709" s="1"/>
      <c r="T3709" s="1"/>
      <c r="U3709" s="1"/>
      <c r="V3709" s="1"/>
      <c r="W3709" s="1"/>
      <c r="X3709" s="1"/>
      <c r="Y3709" s="1"/>
      <c r="Z3709" s="1"/>
      <c r="AA3709" s="1"/>
      <c r="AB3709" s="1"/>
      <c r="AC3709" s="1"/>
      <c r="AD3709" s="1"/>
      <c r="AE3709" s="1"/>
      <c r="AF3709" s="1"/>
      <c r="AG3709" s="1"/>
      <c r="AH3709" s="1"/>
      <c r="AI3709" s="1"/>
      <c r="AJ3709" s="1"/>
      <c r="AK3709" s="1"/>
      <c r="AL3709" s="1"/>
      <c r="AM3709" s="1"/>
      <c r="AN3709" s="1"/>
      <c r="AO3709" s="1"/>
      <c r="AP3709" s="1"/>
      <c r="AQ3709" s="1"/>
      <c r="AR3709" s="1"/>
      <c r="AS3709" s="1"/>
      <c r="AT3709" s="1"/>
      <c r="AU3709" s="1"/>
      <c r="AV3709" s="1"/>
      <c r="AW3709" s="1"/>
      <c r="AX3709" s="1"/>
      <c r="AY3709" s="1"/>
      <c r="AZ3709" s="1"/>
      <c r="BA3709" s="1"/>
      <c r="BB3709" s="1"/>
    </row>
    <row r="3710" ht="204.75" customHeight="1">
      <c r="A3710" s="1">
        <v>1789.0</v>
      </c>
      <c r="B3710" s="2" t="s">
        <v>11174</v>
      </c>
      <c r="C3710" s="2">
        <f>IFERROR(__xludf.DUMMYFUNCTION("split(B3710,""_"")"),1601.0)</f>
        <v>1601</v>
      </c>
      <c r="D3710" s="2" t="str">
        <f>IFERROR(__xludf.DUMMYFUNCTION("""COMPUTED_VALUE"""),"NTV")</f>
        <v>NTV</v>
      </c>
      <c r="E3710" s="2" t="str">
        <f>IFERROR(__xludf.DUMMYFUNCTION("""COMPUTED_VALUE"""),"水22")</f>
        <v>水22</v>
      </c>
      <c r="F3710" s="2" t="s">
        <v>11175</v>
      </c>
      <c r="G3710" s="2" t="s">
        <v>11188</v>
      </c>
      <c r="H3710" s="1">
        <v>5.0</v>
      </c>
      <c r="J3710" s="1" t="s">
        <v>82</v>
      </c>
      <c r="K3710" s="2" t="s">
        <v>11189</v>
      </c>
      <c r="L3710" s="11" t="s">
        <v>11190</v>
      </c>
      <c r="M3710" s="2" t="str">
        <f>IFERROR(__xludf.DUMMYFUNCTION("split(split(K3710,""【演出"",false),""ほか"",false)"),"堀北真希、檀れい、知英、高梨臨、YOU、DAIGO、市川知宏、木本武宏(TKO)、高橋惠子、平山浩行、佐野史郎、大地真央、  マイコ　尾中琴美　秋月成美　田原可南子　小宮有紗　ミスターちん　酒井美紀　")</f>
        <v>堀北真希、檀れい、知英、高梨臨、YOU、DAIGO、市川知宏、木本武宏(TKO)、高橋惠子、平山浩行、佐野史郎、大地真央、  マイコ　尾中琴美　秋月成美　田原可南子　小宮有紗　ミスターちん　酒井美紀　</v>
      </c>
      <c r="N3710" s="2" t="str">
        <f>IFERROR(__xludf.DUMMYFUNCTION("""COMPUTED_VALUE"""),"薫子(知英)の妹・透子(尾中琴美)は名門バレエ団の附属高校に通う天才バレリーナ。教師の英里子(マイコ)に発表会の主役に抜擢され、親友の美月(田原可南子)やまどか(秋月成美)も大喜び。しかし発表会当日の朝、校内のレッスンスタジオで透子は意識不明の重体で発見される。しかもスタジオには外側からは鍵がかけられており…。捜査を始めた渚(堀北真希)は、嫉妬と羨望渦巻くバレエの世界の実情を目の当たりにしていく。")</f>
        <v>薫子(知英)の妹・透子(尾中琴美)は名門バレエ団の附属高校に通う天才バレリーナ。教師の英里子(マイコ)に発表会の主役に抜擢され、親友の美月(田原可南子)やまどか(秋月成美)も大喜び。しかし発表会当日の朝、校内のレッスンスタジオで透子は意識不明の重体で発見される。しかもスタジオには外側からは鍵がかけられており…。捜査を始めた渚(堀北真希)は、嫉妬と羨望渦巻くバレエの世界の実情を目の当たりにしていく。</v>
      </c>
      <c r="O3710" s="2"/>
      <c r="P3710" s="1"/>
      <c r="Q3710" s="1"/>
      <c r="R3710" s="1"/>
      <c r="S3710" s="1"/>
      <c r="T3710" s="1"/>
      <c r="U3710" s="1"/>
      <c r="V3710" s="1"/>
      <c r="W3710" s="1"/>
      <c r="X3710" s="1"/>
      <c r="Y3710" s="1"/>
      <c r="Z3710" s="1"/>
      <c r="AA3710" s="1"/>
      <c r="AB3710" s="1"/>
      <c r="AC3710" s="1"/>
      <c r="AD3710" s="1"/>
      <c r="AE3710" s="1"/>
      <c r="AF3710" s="1"/>
      <c r="AG3710" s="1"/>
      <c r="AH3710" s="1"/>
      <c r="AI3710" s="1"/>
      <c r="AJ3710" s="1"/>
      <c r="AK3710" s="1"/>
      <c r="AL3710" s="1"/>
      <c r="AM3710" s="1"/>
      <c r="AN3710" s="1"/>
      <c r="AO3710" s="1"/>
      <c r="AP3710" s="1"/>
      <c r="AQ3710" s="1"/>
      <c r="AR3710" s="1"/>
      <c r="AS3710" s="1"/>
      <c r="AT3710" s="1"/>
      <c r="AU3710" s="1"/>
      <c r="AV3710" s="1"/>
      <c r="AW3710" s="1"/>
      <c r="AX3710" s="1"/>
      <c r="AY3710" s="1"/>
      <c r="AZ3710" s="1"/>
      <c r="BA3710" s="1"/>
      <c r="BB3710" s="1"/>
    </row>
    <row r="3711" ht="204.75" customHeight="1">
      <c r="A3711" s="1">
        <v>1790.0</v>
      </c>
      <c r="B3711" s="2" t="s">
        <v>11174</v>
      </c>
      <c r="C3711" s="2">
        <f>IFERROR(__xludf.DUMMYFUNCTION("split(B3711,""_"")"),1601.0)</f>
        <v>1601</v>
      </c>
      <c r="D3711" s="2" t="str">
        <f>IFERROR(__xludf.DUMMYFUNCTION("""COMPUTED_VALUE"""),"NTV")</f>
        <v>NTV</v>
      </c>
      <c r="E3711" s="2" t="str">
        <f>IFERROR(__xludf.DUMMYFUNCTION("""COMPUTED_VALUE"""),"水22")</f>
        <v>水22</v>
      </c>
      <c r="F3711" s="2" t="s">
        <v>11175</v>
      </c>
      <c r="G3711" s="2" t="s">
        <v>11191</v>
      </c>
      <c r="H3711" s="1">
        <v>6.0</v>
      </c>
      <c r="J3711" s="1" t="s">
        <v>82</v>
      </c>
      <c r="K3711" s="2" t="s">
        <v>11192</v>
      </c>
      <c r="L3711" s="11" t="s">
        <v>11193</v>
      </c>
      <c r="M3711" s="2" t="str">
        <f>IFERROR(__xludf.DUMMYFUNCTION("split(split(K3711,""【演出"",false),""ほか"",false)"),"堀北真希、檀れい、知英、高梨臨、YOU、DAIGO、市川知宏、木本武宏(TKO)、高橋惠子、平山浩行、佐野史郎、大地真央、浅野和之　酒井美紀　")</f>
        <v>堀北真希、檀れい、知英、高梨臨、YOU、DAIGO、市川知宏、木本武宏(TKO)、高橋惠子、平山浩行、佐野史郎、大地真央、浅野和之　酒井美紀　</v>
      </c>
      <c r="N3711" s="2" t="str">
        <f>IFERROR(__xludf.DUMMYFUNCTION("""COMPUTED_VALUE"""),"火事の現場から発見された遺体は20年前、渚(堀北真希)の父を殺害した犯人・狩野(浅野和之)だった!火災で緊急搬送された家主の女性・夏子(酒井美紀)は意識不明の重体のまま、事件の謎が深まる中、事件当日、現場を訪れていた男を捉えた防犯カメラ映像が発見される。そこに映っていたのは謙人(DAIGO)だった…!謙人と渚の数奇な運命が明かされる!日ドラから火村と有栖が登場!クイズ正解で豪華プレゼントをGET!")</f>
        <v>火事の現場から発見された遺体は20年前、渚(堀北真希)の父を殺害した犯人・狩野(浅野和之)だった!火災で緊急搬送された家主の女性・夏子(酒井美紀)は意識不明の重体のまま、事件の謎が深まる中、事件当日、現場を訪れていた男を捉えた防犯カメラ映像が発見される。そこに映っていたのは謙人(DAIGO)だった…!謙人と渚の数奇な運命が明かされる!日ドラから火村と有栖が登場!クイズ正解で豪華プレゼントをGET!</v>
      </c>
      <c r="O3711" s="2"/>
      <c r="P3711" s="1"/>
      <c r="Q3711" s="1"/>
      <c r="R3711" s="1"/>
      <c r="S3711" s="1"/>
      <c r="T3711" s="1"/>
      <c r="U3711" s="1"/>
      <c r="V3711" s="1"/>
      <c r="W3711" s="1"/>
      <c r="X3711" s="1"/>
      <c r="Y3711" s="1"/>
      <c r="Z3711" s="1"/>
      <c r="AA3711" s="1"/>
      <c r="AB3711" s="1"/>
      <c r="AC3711" s="1"/>
      <c r="AD3711" s="1"/>
      <c r="AE3711" s="1"/>
      <c r="AF3711" s="1"/>
      <c r="AG3711" s="1"/>
      <c r="AH3711" s="1"/>
      <c r="AI3711" s="1"/>
      <c r="AJ3711" s="1"/>
      <c r="AK3711" s="1"/>
      <c r="AL3711" s="1"/>
      <c r="AM3711" s="1"/>
      <c r="AN3711" s="1"/>
      <c r="AO3711" s="1"/>
      <c r="AP3711" s="1"/>
      <c r="AQ3711" s="1"/>
      <c r="AR3711" s="1"/>
      <c r="AS3711" s="1"/>
      <c r="AT3711" s="1"/>
      <c r="AU3711" s="1"/>
      <c r="AV3711" s="1"/>
      <c r="AW3711" s="1"/>
      <c r="AX3711" s="1"/>
      <c r="AY3711" s="1"/>
      <c r="AZ3711" s="1"/>
      <c r="BA3711" s="1"/>
      <c r="BB3711" s="1"/>
    </row>
    <row r="3712" ht="204.75" customHeight="1">
      <c r="A3712" s="1">
        <v>1791.0</v>
      </c>
      <c r="B3712" s="2" t="s">
        <v>11174</v>
      </c>
      <c r="C3712" s="2">
        <f>IFERROR(__xludf.DUMMYFUNCTION("split(B3712,""_"")"),1601.0)</f>
        <v>1601</v>
      </c>
      <c r="D3712" s="2" t="str">
        <f>IFERROR(__xludf.DUMMYFUNCTION("""COMPUTED_VALUE"""),"NTV")</f>
        <v>NTV</v>
      </c>
      <c r="E3712" s="2" t="str">
        <f>IFERROR(__xludf.DUMMYFUNCTION("""COMPUTED_VALUE"""),"水22")</f>
        <v>水22</v>
      </c>
      <c r="F3712" s="2" t="s">
        <v>11175</v>
      </c>
      <c r="G3712" s="2" t="s">
        <v>11194</v>
      </c>
      <c r="H3712" s="1">
        <v>7.0</v>
      </c>
      <c r="J3712" s="1" t="s">
        <v>82</v>
      </c>
      <c r="K3712" s="2" t="s">
        <v>11195</v>
      </c>
      <c r="L3712" s="11" t="s">
        <v>11196</v>
      </c>
      <c r="M3712" s="2" t="str">
        <f>IFERROR(__xludf.DUMMYFUNCTION("split(split(K3712,""【演出"",false),""ほか"",false)"),"堀北真希、檀れい、知英、高梨臨、YOU、DAIGO、市川知宏、木本武宏(TKO)、高橋惠子、平山浩行、佐野史郎、大地真央、浅野和之　酒井美紀　篠田光亮　江口のりこ　川島鈴遥　")</f>
        <v>堀北真希、檀れい、知英、高梨臨、YOU、DAIGO、市川知宏、木本武宏(TKO)、高橋惠子、平山浩行、佐野史郎、大地真央、浅野和之　酒井美紀　篠田光亮　江口のりこ　川島鈴遥　</v>
      </c>
      <c r="N3712" s="2" t="str">
        <f>IFERROR(__xludf.DUMMYFUNCTION("""COMPUTED_VALUE"""),"腹を刺されたまま車を運転していた謙人(DAIGO)が事故を起こす。相手の車には中学教師・浜岡(篠田光亮)の遺体が…。しかし浜岡の死因は事故ではなく殺人で、運転手が逃走していたと判明!浜岡を殺し、遺体を運んでいたのは誰なのか?この事件の真相が渚(堀北真希)と謙人の数奇な運命を紐解くカギとなる!あの日、何が起こったのか…殺人犯の息子と被害者の娘…20年の時を越え、再び出会ってしまった2人の宿命とは!?")</f>
        <v>腹を刺されたまま車を運転していた謙人(DAIGO)が事故を起こす。相手の車には中学教師・浜岡(篠田光亮)の遺体が…。しかし浜岡の死因は事故ではなく殺人で、運転手が逃走していたと判明!浜岡を殺し、遺体を運んでいたのは誰なのか?この事件の真相が渚(堀北真希)と謙人の数奇な運命を紐解くカギとなる!あの日、何が起こったのか…殺人犯の息子と被害者の娘…20年の時を越え、再び出会ってしまった2人の宿命とは!?</v>
      </c>
      <c r="O3712" s="2"/>
      <c r="P3712" s="1"/>
      <c r="Q3712" s="1"/>
      <c r="R3712" s="1"/>
      <c r="S3712" s="1"/>
      <c r="T3712" s="1"/>
      <c r="U3712" s="1"/>
      <c r="V3712" s="1"/>
      <c r="W3712" s="1"/>
      <c r="X3712" s="1"/>
      <c r="Y3712" s="1"/>
      <c r="Z3712" s="1"/>
      <c r="AA3712" s="1"/>
      <c r="AB3712" s="1"/>
      <c r="AC3712" s="1"/>
      <c r="AD3712" s="1"/>
      <c r="AE3712" s="1"/>
      <c r="AF3712" s="1"/>
      <c r="AG3712" s="1"/>
      <c r="AH3712" s="1"/>
      <c r="AI3712" s="1"/>
      <c r="AJ3712" s="1"/>
      <c r="AK3712" s="1"/>
      <c r="AL3712" s="1"/>
      <c r="AM3712" s="1"/>
      <c r="AN3712" s="1"/>
      <c r="AO3712" s="1"/>
      <c r="AP3712" s="1"/>
      <c r="AQ3712" s="1"/>
      <c r="AR3712" s="1"/>
      <c r="AS3712" s="1"/>
      <c r="AT3712" s="1"/>
      <c r="AU3712" s="1"/>
      <c r="AV3712" s="1"/>
      <c r="AW3712" s="1"/>
      <c r="AX3712" s="1"/>
      <c r="AY3712" s="1"/>
      <c r="AZ3712" s="1"/>
      <c r="BA3712" s="1"/>
      <c r="BB3712" s="1"/>
    </row>
    <row r="3713" ht="204.75" customHeight="1">
      <c r="A3713" s="1">
        <v>1792.0</v>
      </c>
      <c r="B3713" s="2" t="s">
        <v>11174</v>
      </c>
      <c r="C3713" s="2">
        <f>IFERROR(__xludf.DUMMYFUNCTION("split(B3713,""_"")"),1601.0)</f>
        <v>1601</v>
      </c>
      <c r="D3713" s="2" t="str">
        <f>IFERROR(__xludf.DUMMYFUNCTION("""COMPUTED_VALUE"""),"NTV")</f>
        <v>NTV</v>
      </c>
      <c r="E3713" s="2" t="str">
        <f>IFERROR(__xludf.DUMMYFUNCTION("""COMPUTED_VALUE"""),"水22")</f>
        <v>水22</v>
      </c>
      <c r="F3713" s="2" t="s">
        <v>11175</v>
      </c>
      <c r="G3713" s="2" t="s">
        <v>11197</v>
      </c>
      <c r="H3713" s="1">
        <v>8.0</v>
      </c>
      <c r="J3713" s="1" t="s">
        <v>82</v>
      </c>
      <c r="K3713" s="2" t="s">
        <v>11198</v>
      </c>
      <c r="L3713" s="11" t="s">
        <v>11199</v>
      </c>
      <c r="M3713" s="2" t="str">
        <f>IFERROR(__xludf.DUMMYFUNCTION("split(split(K3713,""【演出"",false),""ほか"",false)"),"堀北真希、檀れい、知英、高梨臨、YOU、DAIGO、市川知宏、木本武宏(TKO)、高橋惠子、平山浩行、佐野史郎、大地真央、堀部圭亮　小篠恵奈　淵上泰史　ラサール石井　")</f>
        <v>堀北真希、檀れい、知英、高梨臨、YOU、DAIGO、市川知宏、木本武宏(TKO)、高橋惠子、平山浩行、佐野史郎、大地真央、堀部圭亮　小篠恵奈　淵上泰史　ラサール石井　</v>
      </c>
      <c r="N3713" s="2" t="str">
        <f>IFERROR(__xludf.DUMMYFUNCTION("""COMPUTED_VALUE"""),"凛(高梨臨)が捜査一課に連行される。会社員・郷田(淵上泰史)が自宅で刺殺体となって見つかり、その殺人容疑がかかったのだ。取り調べを受ける凛は事件への関与を否定せず、疑いが深まるばかり。渚(堀北真希)たちは凛のために捜査に乗り出すが、すみれ(大地真央)から郷田は3年前に起きた婦女暴行未遂事件の犯人であり、凛はその被害者だと聞かされ…。復讐のためか、それとも!?何も語らない凛が胸に秘めた思いとは…!?")</f>
        <v>凛(高梨臨)が捜査一課に連行される。会社員・郷田(淵上泰史)が自宅で刺殺体となって見つかり、その殺人容疑がかかったのだ。取り調べを受ける凛は事件への関与を否定せず、疑いが深まるばかり。渚(堀北真希)たちは凛のために捜査に乗り出すが、すみれ(大地真央)から郷田は3年前に起きた婦女暴行未遂事件の犯人であり、凛はその被害者だと聞かされ…。復讐のためか、それとも!?何も語らない凛が胸に秘めた思いとは…!?</v>
      </c>
      <c r="O3713" s="2"/>
      <c r="P3713" s="1"/>
      <c r="Q3713" s="1"/>
      <c r="R3713" s="1"/>
      <c r="S3713" s="1"/>
      <c r="T3713" s="1"/>
      <c r="U3713" s="1"/>
      <c r="V3713" s="1"/>
      <c r="W3713" s="1"/>
      <c r="X3713" s="1"/>
      <c r="Y3713" s="1"/>
      <c r="Z3713" s="1"/>
      <c r="AA3713" s="1"/>
      <c r="AB3713" s="1"/>
      <c r="AC3713" s="1"/>
      <c r="AD3713" s="1"/>
      <c r="AE3713" s="1"/>
      <c r="AF3713" s="1"/>
      <c r="AG3713" s="1"/>
      <c r="AH3713" s="1"/>
      <c r="AI3713" s="1"/>
      <c r="AJ3713" s="1"/>
      <c r="AK3713" s="1"/>
      <c r="AL3713" s="1"/>
      <c r="AM3713" s="1"/>
      <c r="AN3713" s="1"/>
      <c r="AO3713" s="1"/>
      <c r="AP3713" s="1"/>
      <c r="AQ3713" s="1"/>
      <c r="AR3713" s="1"/>
      <c r="AS3713" s="1"/>
      <c r="AT3713" s="1"/>
      <c r="AU3713" s="1"/>
      <c r="AV3713" s="1"/>
      <c r="AW3713" s="1"/>
      <c r="AX3713" s="1"/>
      <c r="AY3713" s="1"/>
      <c r="AZ3713" s="1"/>
      <c r="BA3713" s="1"/>
      <c r="BB3713" s="1"/>
    </row>
    <row r="3714" ht="204.75" customHeight="1">
      <c r="A3714" s="1">
        <v>1793.0</v>
      </c>
      <c r="B3714" s="2" t="s">
        <v>11174</v>
      </c>
      <c r="C3714" s="2">
        <f>IFERROR(__xludf.DUMMYFUNCTION("split(B3714,""_"")"),1601.0)</f>
        <v>1601</v>
      </c>
      <c r="D3714" s="2" t="str">
        <f>IFERROR(__xludf.DUMMYFUNCTION("""COMPUTED_VALUE"""),"NTV")</f>
        <v>NTV</v>
      </c>
      <c r="E3714" s="2" t="str">
        <f>IFERROR(__xludf.DUMMYFUNCTION("""COMPUTED_VALUE"""),"水22")</f>
        <v>水22</v>
      </c>
      <c r="F3714" s="2" t="s">
        <v>11175</v>
      </c>
      <c r="G3714" s="2" t="s">
        <v>11200</v>
      </c>
      <c r="H3714" s="1">
        <v>9.0</v>
      </c>
      <c r="J3714" s="1" t="s">
        <v>82</v>
      </c>
      <c r="K3714" s="2" t="s">
        <v>11201</v>
      </c>
      <c r="L3714" s="11" t="s">
        <v>11202</v>
      </c>
      <c r="M3714" s="2" t="str">
        <f>IFERROR(__xludf.DUMMYFUNCTION("split(split(K3714,""【演出"",false),""ほか"",false)"),"堀北真希、檀れい、知英、高梨臨、YOU、DAIGO、市川知宏、木本武宏(TKO)、高橋惠子、平山浩行、佐野史郎、大地真央、斉藤由貴　ダンカン　新妻聖子　山中聡　")</f>
        <v>堀北真希、檀れい、知英、高梨臨、YOU、DAIGO、市川知宏、木本武宏(TKO)、高橋惠子、平山浩行、佐野史郎、大地真央、斉藤由貴　ダンカン　新妻聖子　山中聡　</v>
      </c>
      <c r="N3714" s="2" t="str">
        <f>IFERROR(__xludf.DUMMYFUNCTION("""COMPUTED_VALUE"""),"資産10億という老人宅に強盗が入り、老人は人工呼吸器が外されて死亡した。現場にいた家政婦の晴子(斉藤由貴)の証言から、老人の娘を名乗る優香(新妻聖子)と弁護士の道重(山中聡)への疑いが深まっていく。しかし、渚(堀北真希)は晴子が所属する人材派遣会社の社長・海原(ダンカン)に違和感を抱く。彼は警察OBで…。同じ頃、先輩刑事の不審死について調べていた雪乃(檀れい)は、その裏に女の影があると知って…!?")</f>
        <v>資産10億という老人宅に強盗が入り、老人は人工呼吸器が外されて死亡した。現場にいた家政婦の晴子(斉藤由貴)の証言から、老人の娘を名乗る優香(新妻聖子)と弁護士の道重(山中聡)への疑いが深まっていく。しかし、渚(堀北真希)は晴子が所属する人材派遣会社の社長・海原(ダンカン)に違和感を抱く。彼は警察OBで…。同じ頃、先輩刑事の不審死について調べていた雪乃(檀れい)は、その裏に女の影があると知って…!?</v>
      </c>
      <c r="O3714" s="2"/>
      <c r="P3714" s="1"/>
      <c r="Q3714" s="1"/>
      <c r="R3714" s="1"/>
      <c r="S3714" s="1"/>
      <c r="T3714" s="1"/>
      <c r="U3714" s="1"/>
      <c r="V3714" s="1"/>
      <c r="W3714" s="1"/>
      <c r="X3714" s="1"/>
      <c r="Y3714" s="1"/>
      <c r="Z3714" s="1"/>
      <c r="AA3714" s="1"/>
      <c r="AB3714" s="1"/>
      <c r="AC3714" s="1"/>
      <c r="AD3714" s="1"/>
      <c r="AE3714" s="1"/>
      <c r="AF3714" s="1"/>
      <c r="AG3714" s="1"/>
      <c r="AH3714" s="1"/>
      <c r="AI3714" s="1"/>
      <c r="AJ3714" s="1"/>
      <c r="AK3714" s="1"/>
      <c r="AL3714" s="1"/>
      <c r="AM3714" s="1"/>
      <c r="AN3714" s="1"/>
      <c r="AO3714" s="1"/>
      <c r="AP3714" s="1"/>
      <c r="AQ3714" s="1"/>
      <c r="AR3714" s="1"/>
      <c r="AS3714" s="1"/>
      <c r="AT3714" s="1"/>
      <c r="AU3714" s="1"/>
      <c r="AV3714" s="1"/>
      <c r="AW3714" s="1"/>
      <c r="AX3714" s="1"/>
      <c r="AY3714" s="1"/>
      <c r="AZ3714" s="1"/>
      <c r="BA3714" s="1"/>
      <c r="BB3714" s="1"/>
    </row>
    <row r="3715" ht="204.75" customHeight="1">
      <c r="A3715" s="1">
        <v>1794.0</v>
      </c>
      <c r="B3715" s="2" t="s">
        <v>11174</v>
      </c>
      <c r="C3715" s="2">
        <f>IFERROR(__xludf.DUMMYFUNCTION("split(B3715,""_"")"),1601.0)</f>
        <v>1601</v>
      </c>
      <c r="D3715" s="2" t="str">
        <f>IFERROR(__xludf.DUMMYFUNCTION("""COMPUTED_VALUE"""),"NTV")</f>
        <v>NTV</v>
      </c>
      <c r="E3715" s="2" t="str">
        <f>IFERROR(__xludf.DUMMYFUNCTION("""COMPUTED_VALUE"""),"水22")</f>
        <v>水22</v>
      </c>
      <c r="F3715" s="2" t="s">
        <v>11175</v>
      </c>
      <c r="G3715" s="2" t="s">
        <v>11203</v>
      </c>
      <c r="H3715" s="1">
        <v>10.0</v>
      </c>
      <c r="J3715" s="1" t="s">
        <v>82</v>
      </c>
      <c r="K3715" s="2" t="s">
        <v>11204</v>
      </c>
      <c r="L3715" s="11" t="s">
        <v>11205</v>
      </c>
      <c r="M3715" s="2" t="str">
        <f>IFERROR(__xludf.DUMMYFUNCTION("split(split(K3715,""【演出"",false),""ほか"",false)"),"堀北真希、檀れい、知英、高梨臨、YOU、DAIGO、市川知宏、木本武宏(TKO)、高橋惠子、平山浩行、佐野史郎、大地真央、斉藤由貴　ダンカン　寺泉憲　飯田基祐　池津祥子　山中聡　新妻聖子")</f>
        <v>堀北真希、檀れい、知英、高梨臨、YOU、DAIGO、市川知宏、木本武宏(TKO)、高橋惠子、平山浩行、佐野史郎、大地真央、斉藤由貴　ダンカン　寺泉憲　飯田基祐　池津祥子　山中聡　新妻聖子</v>
      </c>
      <c r="N3715" s="2" t="str">
        <f>IFERROR(__xludf.DUMMYFUNCTION("""COMPUTED_VALUE"""),"資産家殺しの捜査を進める渚(堀北真希)たちは、複数の孤独な男性がある家政婦と懇意になり、次々と不審死を遂げていることを突き止める。その家政婦・晴子(斉藤由貴)と彼女を男たちのもとへ派遣する会社社長(ダンカン)に迫るも、警視庁上層部からの圧力で捜査を妨害される七課。実はその裏には、課長のすみれ(大地真央)も関係する警察のある不祥事が…!果たして七課の面々は、すみれと組織の圧力にどう立ち向かうのか!?")</f>
        <v>資産家殺しの捜査を進める渚(堀北真希)たちは、複数の孤独な男性がある家政婦と懇意になり、次々と不審死を遂げていることを突き止める。その家政婦・晴子(斉藤由貴)と彼女を男たちのもとへ派遣する会社社長(ダンカン)に迫るも、警視庁上層部からの圧力で捜査を妨害される七課。実はその裏には、課長のすみれ(大地真央)も関係する警察のある不祥事が…!果たして七課の面々は、すみれと組織の圧力にどう立ち向かうのか!?</v>
      </c>
      <c r="O3715" s="2"/>
      <c r="P3715" s="1"/>
      <c r="Q3715" s="1"/>
      <c r="R3715" s="1"/>
      <c r="S3715" s="1"/>
      <c r="T3715" s="1"/>
      <c r="U3715" s="1"/>
      <c r="V3715" s="1"/>
      <c r="W3715" s="1"/>
      <c r="X3715" s="1"/>
      <c r="Y3715" s="1"/>
      <c r="Z3715" s="1"/>
      <c r="AA3715" s="1"/>
      <c r="AB3715" s="1"/>
      <c r="AC3715" s="1"/>
      <c r="AD3715" s="1"/>
      <c r="AE3715" s="1"/>
      <c r="AF3715" s="1"/>
      <c r="AG3715" s="1"/>
      <c r="AH3715" s="1"/>
      <c r="AI3715" s="1"/>
      <c r="AJ3715" s="1"/>
      <c r="AK3715" s="1"/>
      <c r="AL3715" s="1"/>
      <c r="AM3715" s="1"/>
      <c r="AN3715" s="1"/>
      <c r="AO3715" s="1"/>
      <c r="AP3715" s="1"/>
      <c r="AQ3715" s="1"/>
      <c r="AR3715" s="1"/>
      <c r="AS3715" s="1"/>
      <c r="AT3715" s="1"/>
      <c r="AU3715" s="1"/>
      <c r="AV3715" s="1"/>
      <c r="AW3715" s="1"/>
      <c r="AX3715" s="1"/>
      <c r="AY3715" s="1"/>
      <c r="AZ3715" s="1"/>
      <c r="BA3715" s="1"/>
      <c r="BB3715" s="1"/>
    </row>
    <row r="3716" ht="204.75" customHeight="1">
      <c r="A3716" s="1">
        <v>1825.0</v>
      </c>
      <c r="B3716" s="2" t="s">
        <v>11206</v>
      </c>
      <c r="C3716" s="2">
        <f>IFERROR(__xludf.DUMMYFUNCTION("split(B3716,""_"")"),1601.0)</f>
        <v>1601</v>
      </c>
      <c r="D3716" s="2" t="str">
        <f>IFERROR(__xludf.DUMMYFUNCTION("""COMPUTED_VALUE"""),"NTV")</f>
        <v>NTV</v>
      </c>
      <c r="E3716" s="2" t="str">
        <f>IFERROR(__xludf.DUMMYFUNCTION("""COMPUTED_VALUE"""),"木23")</f>
        <v>木23</v>
      </c>
      <c r="F3716" s="2" t="s">
        <v>11207</v>
      </c>
      <c r="G3716" s="2" t="s">
        <v>11208</v>
      </c>
      <c r="H3716" s="1">
        <v>1.0</v>
      </c>
      <c r="J3716" s="1" t="s">
        <v>1435</v>
      </c>
      <c r="K3716" s="2" t="s">
        <v>11209</v>
      </c>
      <c r="L3716" s="11" t="s">
        <v>11210</v>
      </c>
      <c r="M3716" s="2" t="str">
        <f>IFERROR(__xludf.DUMMYFUNCTION("split(split(K3716,""MONACA"",false),""ほか"",false)"),"小籔千豊(吉本新喜劇)、片瀬那奈  葵わかな、矢倉楓子(NMB48)、藤田みりあ(フェアリーズ)  中野公美子、永瀬匡  竹中直人  【第1話ゲスト】緋田康人、梅沢富美男、中川パラダイス(ウーマンラッシュアワー)(他)【第1話】  ゼニのまち、大阪。無職の竹内茂(小籔千豊)は、偶然、宝田富一(緋田康人)に出くわす。宝田は、茂が働いていた工場の社長だった。茂は、当時の給料に未払い分があったことを思い出し、請求するが、シラを切られた上、相談した弁護士の殿村賢一郎(竹中直人)に見放されてしまう。打つ手のなくなっ"&amp;"た茂の前に、栗原理佐(片瀬那奈)というメキシコ料理店の店長だという女性が現れ……")</f>
        <v>小籔千豊(吉本新喜劇)、片瀬那奈  葵わかな、矢倉楓子(NMB48)、藤田みりあ(フェアリーズ)  中野公美子、永瀬匡  竹中直人  【第1話ゲスト】緋田康人、梅沢富美男、中川パラダイス(ウーマンラッシュアワー)(他)【第1話】  ゼニのまち、大阪。無職の竹内茂(小籔千豊)は、偶然、宝田富一(緋田康人)に出くわす。宝田は、茂が働いていた工場の社長だった。茂は、当時の給料に未払い分があったことを思い出し、請求するが、シラを切られた上、相談した弁護士の殿村賢一郎(竹中直人)に見放されてしまう。打つ手のなくなった茂の前に、栗原理佐(片瀬那奈)というメキシコ料理店の店長だという女性が現れ……</v>
      </c>
      <c r="N3716" s="2"/>
      <c r="O3716" s="2"/>
      <c r="P3716" s="1"/>
      <c r="Q3716" s="1"/>
      <c r="R3716" s="1"/>
      <c r="S3716" s="1"/>
      <c r="T3716" s="1"/>
      <c r="U3716" s="1"/>
      <c r="V3716" s="1"/>
      <c r="W3716" s="1"/>
      <c r="X3716" s="1"/>
      <c r="Y3716" s="1"/>
      <c r="Z3716" s="1"/>
      <c r="AA3716" s="1"/>
      <c r="AB3716" s="1"/>
      <c r="AC3716" s="1"/>
      <c r="AD3716" s="1"/>
      <c r="AE3716" s="1"/>
      <c r="AF3716" s="1"/>
      <c r="AG3716" s="1"/>
      <c r="AH3716" s="1"/>
      <c r="AI3716" s="1"/>
      <c r="AJ3716" s="1"/>
      <c r="AK3716" s="1"/>
      <c r="AL3716" s="1"/>
      <c r="AM3716" s="1"/>
      <c r="AN3716" s="1"/>
      <c r="AO3716" s="1"/>
      <c r="AP3716" s="1"/>
      <c r="AQ3716" s="1"/>
      <c r="AR3716" s="1"/>
      <c r="AS3716" s="1"/>
      <c r="AT3716" s="1"/>
      <c r="AU3716" s="1"/>
      <c r="AV3716" s="1"/>
      <c r="AW3716" s="1"/>
      <c r="AX3716" s="1"/>
      <c r="AY3716" s="1"/>
      <c r="AZ3716" s="1"/>
      <c r="BA3716" s="1"/>
      <c r="BB3716" s="1"/>
    </row>
    <row r="3717" ht="204.75" customHeight="1">
      <c r="A3717" s="1">
        <v>1826.0</v>
      </c>
      <c r="B3717" s="2" t="s">
        <v>11206</v>
      </c>
      <c r="C3717" s="2">
        <f>IFERROR(__xludf.DUMMYFUNCTION("split(B3717,""_"")"),1601.0)</f>
        <v>1601</v>
      </c>
      <c r="D3717" s="2" t="str">
        <f>IFERROR(__xludf.DUMMYFUNCTION("""COMPUTED_VALUE"""),"NTV")</f>
        <v>NTV</v>
      </c>
      <c r="E3717" s="2" t="str">
        <f>IFERROR(__xludf.DUMMYFUNCTION("""COMPUTED_VALUE"""),"木23")</f>
        <v>木23</v>
      </c>
      <c r="F3717" s="2" t="s">
        <v>11207</v>
      </c>
      <c r="G3717" s="2" t="s">
        <v>11211</v>
      </c>
      <c r="H3717" s="1">
        <v>2.0</v>
      </c>
      <c r="J3717" s="1" t="s">
        <v>1435</v>
      </c>
      <c r="K3717" s="2" t="s">
        <v>11212</v>
      </c>
      <c r="L3717" s="11" t="s">
        <v>11213</v>
      </c>
      <c r="M3717" s="2" t="str">
        <f>IFERROR(__xludf.DUMMYFUNCTION("split(split(K3717,""MONACA"",false),""ほか"",false)"),"小籔千豊(吉本新喜劇)、片瀬那奈  葵わかな、矢倉楓子(NMB48)、藤田みりあ(フェアリーズ)  中野公美子、永瀬匡  竹中直人  【第2話ゲスト】星野真里、忍成修吾(他)【第2話】  山名美優(星野真里)は、同棲していた綱島龍治(忍成修吾)に浮気をされ、別れを決意。これまで貢いだお金を取り返したいと思うが、相手は、お金も仕事も持たないヒモ男。回収しようにも回収する手立てがない。その美優に、栗原理佐(片瀬那奈)と菅原円(葵わかな)がある方法を提案するが……")</f>
        <v>小籔千豊(吉本新喜劇)、片瀬那奈  葵わかな、矢倉楓子(NMB48)、藤田みりあ(フェアリーズ)  中野公美子、永瀬匡  竹中直人  【第2話ゲスト】星野真里、忍成修吾(他)【第2話】  山名美優(星野真里)は、同棲していた綱島龍治(忍成修吾)に浮気をされ、別れを決意。これまで貢いだお金を取り返したいと思うが、相手は、お金も仕事も持たないヒモ男。回収しようにも回収する手立てがない。その美優に、栗原理佐(片瀬那奈)と菅原円(葵わかな)がある方法を提案するが……</v>
      </c>
      <c r="N3717" s="2"/>
      <c r="O3717" s="2"/>
      <c r="P3717" s="1"/>
      <c r="Q3717" s="1"/>
      <c r="R3717" s="1"/>
      <c r="S3717" s="1"/>
      <c r="T3717" s="1"/>
      <c r="U3717" s="1"/>
      <c r="V3717" s="1"/>
      <c r="W3717" s="1"/>
      <c r="X3717" s="1"/>
      <c r="Y3717" s="1"/>
      <c r="Z3717" s="1"/>
      <c r="AA3717" s="1"/>
      <c r="AB3717" s="1"/>
      <c r="AC3717" s="1"/>
      <c r="AD3717" s="1"/>
      <c r="AE3717" s="1"/>
      <c r="AF3717" s="1"/>
      <c r="AG3717" s="1"/>
      <c r="AH3717" s="1"/>
      <c r="AI3717" s="1"/>
      <c r="AJ3717" s="1"/>
      <c r="AK3717" s="1"/>
      <c r="AL3717" s="1"/>
      <c r="AM3717" s="1"/>
      <c r="AN3717" s="1"/>
      <c r="AO3717" s="1"/>
      <c r="AP3717" s="1"/>
      <c r="AQ3717" s="1"/>
      <c r="AR3717" s="1"/>
      <c r="AS3717" s="1"/>
      <c r="AT3717" s="1"/>
      <c r="AU3717" s="1"/>
      <c r="AV3717" s="1"/>
      <c r="AW3717" s="1"/>
      <c r="AX3717" s="1"/>
      <c r="AY3717" s="1"/>
      <c r="AZ3717" s="1"/>
      <c r="BA3717" s="1"/>
      <c r="BB3717" s="1"/>
    </row>
    <row r="3718" ht="204.75" customHeight="1">
      <c r="A3718" s="1">
        <v>1827.0</v>
      </c>
      <c r="B3718" s="2" t="s">
        <v>11206</v>
      </c>
      <c r="C3718" s="2">
        <f>IFERROR(__xludf.DUMMYFUNCTION("split(B3718,""_"")"),1601.0)</f>
        <v>1601</v>
      </c>
      <c r="D3718" s="2" t="str">
        <f>IFERROR(__xludf.DUMMYFUNCTION("""COMPUTED_VALUE"""),"NTV")</f>
        <v>NTV</v>
      </c>
      <c r="E3718" s="2" t="str">
        <f>IFERROR(__xludf.DUMMYFUNCTION("""COMPUTED_VALUE"""),"木23")</f>
        <v>木23</v>
      </c>
      <c r="F3718" s="2" t="s">
        <v>11207</v>
      </c>
      <c r="G3718" s="2" t="s">
        <v>11214</v>
      </c>
      <c r="H3718" s="1">
        <v>3.0</v>
      </c>
      <c r="J3718" s="1" t="s">
        <v>1435</v>
      </c>
      <c r="K3718" s="2" t="s">
        <v>11215</v>
      </c>
      <c r="L3718" s="11" t="s">
        <v>11216</v>
      </c>
      <c r="M3718" s="2" t="str">
        <f>IFERROR(__xludf.DUMMYFUNCTION("split(split(K3718,""MONACA"",false),""ほか"",false)"),"小籔千豊(吉本新喜劇)、片瀬那奈  葵わかな、矢倉楓子(NMB48)、藤田みりあ(フェアリーズ)  中野公美子、永瀬匡  竹中直人  【第3話ゲスト】黒川智花、牧田哲也、チングポカ、冨家規政(他)【第3話】  白井美佳(黒川智花)という女性と結婚を前提に付き合っていたが、マンションを購入した途端、別れを切り出され、音信不通になったという男性が現れた。彼は婚活詐欺にあったと気付くが、もはやマンションを解約することもできない。相談を受けた栗原理佐(片瀬那奈)は、竹内茂(小籔千豊)をおとりに、詐欺の実態を探り始"&amp;"めるが……")</f>
        <v>小籔千豊(吉本新喜劇)、片瀬那奈  葵わかな、矢倉楓子(NMB48)、藤田みりあ(フェアリーズ)  中野公美子、永瀬匡  竹中直人  【第3話ゲスト】黒川智花、牧田哲也、チングポカ、冨家規政(他)【第3話】  白井美佳(黒川智花)という女性と結婚を前提に付き合っていたが、マンションを購入した途端、別れを切り出され、音信不通になったという男性が現れた。彼は婚活詐欺にあったと気付くが、もはやマンションを解約することもできない。相談を受けた栗原理佐(片瀬那奈)は、竹内茂(小籔千豊)をおとりに、詐欺の実態を探り始めるが……</v>
      </c>
      <c r="N3718" s="2"/>
      <c r="O3718" s="2"/>
      <c r="P3718" s="1"/>
      <c r="Q3718" s="1"/>
      <c r="R3718" s="1"/>
      <c r="S3718" s="1"/>
      <c r="T3718" s="1"/>
      <c r="U3718" s="1"/>
      <c r="V3718" s="1"/>
      <c r="W3718" s="1"/>
      <c r="X3718" s="1"/>
      <c r="Y3718" s="1"/>
      <c r="Z3718" s="1"/>
      <c r="AA3718" s="1"/>
      <c r="AB3718" s="1"/>
      <c r="AC3718" s="1"/>
      <c r="AD3718" s="1"/>
      <c r="AE3718" s="1"/>
      <c r="AF3718" s="1"/>
      <c r="AG3718" s="1"/>
      <c r="AH3718" s="1"/>
      <c r="AI3718" s="1"/>
      <c r="AJ3718" s="1"/>
      <c r="AK3718" s="1"/>
      <c r="AL3718" s="1"/>
      <c r="AM3718" s="1"/>
      <c r="AN3718" s="1"/>
      <c r="AO3718" s="1"/>
      <c r="AP3718" s="1"/>
      <c r="AQ3718" s="1"/>
      <c r="AR3718" s="1"/>
      <c r="AS3718" s="1"/>
      <c r="AT3718" s="1"/>
      <c r="AU3718" s="1"/>
      <c r="AV3718" s="1"/>
      <c r="AW3718" s="1"/>
      <c r="AX3718" s="1"/>
      <c r="AY3718" s="1"/>
      <c r="AZ3718" s="1"/>
      <c r="BA3718" s="1"/>
      <c r="BB3718" s="1"/>
    </row>
    <row r="3719" ht="204.75" customHeight="1">
      <c r="A3719" s="1">
        <v>1828.0</v>
      </c>
      <c r="B3719" s="2" t="s">
        <v>11206</v>
      </c>
      <c r="C3719" s="2">
        <f>IFERROR(__xludf.DUMMYFUNCTION("split(B3719,""_"")"),1601.0)</f>
        <v>1601</v>
      </c>
      <c r="D3719" s="2" t="str">
        <f>IFERROR(__xludf.DUMMYFUNCTION("""COMPUTED_VALUE"""),"NTV")</f>
        <v>NTV</v>
      </c>
      <c r="E3719" s="2" t="str">
        <f>IFERROR(__xludf.DUMMYFUNCTION("""COMPUTED_VALUE"""),"木23")</f>
        <v>木23</v>
      </c>
      <c r="F3719" s="2" t="s">
        <v>11207</v>
      </c>
      <c r="G3719" s="2" t="s">
        <v>11217</v>
      </c>
      <c r="H3719" s="1">
        <v>4.0</v>
      </c>
      <c r="J3719" s="1" t="s">
        <v>1435</v>
      </c>
      <c r="K3719" s="2" t="s">
        <v>11218</v>
      </c>
      <c r="L3719" s="11" t="s">
        <v>11219</v>
      </c>
      <c r="M3719" s="2" t="str">
        <f>IFERROR(__xludf.DUMMYFUNCTION("split(split(K3719,""MONACA"",false),""ほか"",false)"),"小籔千豊(吉本新喜劇)、片瀬那奈  葵わかな、矢倉楓子(NMB48)、藤田みりあ(フェアリーズ)  中野公美子、永瀬匡  竹中直人  【第4話ゲスト】酒井美紀、佐藤仁美(他)【第4話】  足立由佳(酒井美紀)は、ママ友の高村法子(佐藤仁美)から、たびたびランチ代やイベント代の立て替えを頼まれ、気付けば貸したお金は20万円もの金額になっていた。由佳はお金を返してほしいと法子に言うが、法子は裕福な家庭であるにも関わらず、一向に返すそぶりを見せない。由佳に相談を受けた栗原理佐(片瀬那奈)らが仲裁に乗り出すが……")</f>
        <v>小籔千豊(吉本新喜劇)、片瀬那奈  葵わかな、矢倉楓子(NMB48)、藤田みりあ(フェアリーズ)  中野公美子、永瀬匡  竹中直人  【第4話ゲスト】酒井美紀、佐藤仁美(他)【第4話】  足立由佳(酒井美紀)は、ママ友の高村法子(佐藤仁美)から、たびたびランチ代やイベント代の立て替えを頼まれ、気付けば貸したお金は20万円もの金額になっていた。由佳はお金を返してほしいと法子に言うが、法子は裕福な家庭であるにも関わらず、一向に返すそぶりを見せない。由佳に相談を受けた栗原理佐(片瀬那奈)らが仲裁に乗り出すが……</v>
      </c>
      <c r="N3719" s="2"/>
      <c r="O3719" s="2"/>
      <c r="P3719" s="1"/>
      <c r="Q3719" s="1"/>
      <c r="R3719" s="1"/>
      <c r="S3719" s="1"/>
      <c r="T3719" s="1"/>
      <c r="U3719" s="1"/>
      <c r="V3719" s="1"/>
      <c r="W3719" s="1"/>
      <c r="X3719" s="1"/>
      <c r="Y3719" s="1"/>
      <c r="Z3719" s="1"/>
      <c r="AA3719" s="1"/>
      <c r="AB3719" s="1"/>
      <c r="AC3719" s="1"/>
      <c r="AD3719" s="1"/>
      <c r="AE3719" s="1"/>
      <c r="AF3719" s="1"/>
      <c r="AG3719" s="1"/>
      <c r="AH3719" s="1"/>
      <c r="AI3719" s="1"/>
      <c r="AJ3719" s="1"/>
      <c r="AK3719" s="1"/>
      <c r="AL3719" s="1"/>
      <c r="AM3719" s="1"/>
      <c r="AN3719" s="1"/>
      <c r="AO3719" s="1"/>
      <c r="AP3719" s="1"/>
      <c r="AQ3719" s="1"/>
      <c r="AR3719" s="1"/>
      <c r="AS3719" s="1"/>
      <c r="AT3719" s="1"/>
      <c r="AU3719" s="1"/>
      <c r="AV3719" s="1"/>
      <c r="AW3719" s="1"/>
      <c r="AX3719" s="1"/>
      <c r="AY3719" s="1"/>
      <c r="AZ3719" s="1"/>
      <c r="BA3719" s="1"/>
      <c r="BB3719" s="1"/>
    </row>
    <row r="3720" ht="204.75" customHeight="1">
      <c r="A3720" s="1">
        <v>1829.0</v>
      </c>
      <c r="B3720" s="2" t="s">
        <v>11206</v>
      </c>
      <c r="C3720" s="2">
        <f>IFERROR(__xludf.DUMMYFUNCTION("split(B3720,""_"")"),1601.0)</f>
        <v>1601</v>
      </c>
      <c r="D3720" s="2" t="str">
        <f>IFERROR(__xludf.DUMMYFUNCTION("""COMPUTED_VALUE"""),"NTV")</f>
        <v>NTV</v>
      </c>
      <c r="E3720" s="2" t="str">
        <f>IFERROR(__xludf.DUMMYFUNCTION("""COMPUTED_VALUE"""),"木23")</f>
        <v>木23</v>
      </c>
      <c r="F3720" s="2" t="s">
        <v>11207</v>
      </c>
      <c r="G3720" s="2" t="s">
        <v>11220</v>
      </c>
      <c r="H3720" s="1">
        <v>5.0</v>
      </c>
      <c r="J3720" s="1" t="s">
        <v>1435</v>
      </c>
      <c r="K3720" s="2" t="s">
        <v>11221</v>
      </c>
      <c r="L3720" s="11" t="s">
        <v>11222</v>
      </c>
      <c r="M3720" s="2" t="str">
        <f>IFERROR(__xludf.DUMMYFUNCTION("split(split(K3720,""MONACA"",false),""ほか"",false)"),"小籔千豊(吉本新喜劇)、片瀬那奈  葵わかな、矢倉楓子(NMB48)、藤田みりあ(フェアリーズ)  中野公美子、永瀬匡  竹中直人  【第5話ゲスト】藤田弓子、大路恵美、村杉蝉之介、村松利史(他)【第5話】  一人暮らしのお年寄り、柿沼サダ(藤田弓子)は悪質な訪問販売に騙され、何度も不要な商品を買わされてしまう。サダの家政婦、真野杏奈(大路恵美)から相談を受けた栗原理佐(片瀬那奈)と菅原円(葵わかな)は、訪問販売員の正体をつかもうと、竹内茂(小籔千豊)をサダの家へ潜入させるが……")</f>
        <v>小籔千豊(吉本新喜劇)、片瀬那奈  葵わかな、矢倉楓子(NMB48)、藤田みりあ(フェアリーズ)  中野公美子、永瀬匡  竹中直人  【第5話ゲスト】藤田弓子、大路恵美、村杉蝉之介、村松利史(他)【第5話】  一人暮らしのお年寄り、柿沼サダ(藤田弓子)は悪質な訪問販売に騙され、何度も不要な商品を買わされてしまう。サダの家政婦、真野杏奈(大路恵美)から相談を受けた栗原理佐(片瀬那奈)と菅原円(葵わかな)は、訪問販売員の正体をつかもうと、竹内茂(小籔千豊)をサダの家へ潜入させるが……</v>
      </c>
      <c r="N3720" s="2"/>
      <c r="O3720" s="2"/>
      <c r="P3720" s="1"/>
      <c r="Q3720" s="1"/>
      <c r="R3720" s="1"/>
      <c r="S3720" s="1"/>
      <c r="T3720" s="1"/>
      <c r="U3720" s="1"/>
      <c r="V3720" s="1"/>
      <c r="W3720" s="1"/>
      <c r="X3720" s="1"/>
      <c r="Y3720" s="1"/>
      <c r="Z3720" s="1"/>
      <c r="AA3720" s="1"/>
      <c r="AB3720" s="1"/>
      <c r="AC3720" s="1"/>
      <c r="AD3720" s="1"/>
      <c r="AE3720" s="1"/>
      <c r="AF3720" s="1"/>
      <c r="AG3720" s="1"/>
      <c r="AH3720" s="1"/>
      <c r="AI3720" s="1"/>
      <c r="AJ3720" s="1"/>
      <c r="AK3720" s="1"/>
      <c r="AL3720" s="1"/>
      <c r="AM3720" s="1"/>
      <c r="AN3720" s="1"/>
      <c r="AO3720" s="1"/>
      <c r="AP3720" s="1"/>
      <c r="AQ3720" s="1"/>
      <c r="AR3720" s="1"/>
      <c r="AS3720" s="1"/>
      <c r="AT3720" s="1"/>
      <c r="AU3720" s="1"/>
      <c r="AV3720" s="1"/>
      <c r="AW3720" s="1"/>
      <c r="AX3720" s="1"/>
      <c r="AY3720" s="1"/>
      <c r="AZ3720" s="1"/>
      <c r="BA3720" s="1"/>
      <c r="BB3720" s="1"/>
    </row>
    <row r="3721" ht="204.75" customHeight="1">
      <c r="A3721" s="1">
        <v>1830.0</v>
      </c>
      <c r="B3721" s="2" t="s">
        <v>11206</v>
      </c>
      <c r="C3721" s="2">
        <f>IFERROR(__xludf.DUMMYFUNCTION("split(B3721,""_"")"),1601.0)</f>
        <v>1601</v>
      </c>
      <c r="D3721" s="2" t="str">
        <f>IFERROR(__xludf.DUMMYFUNCTION("""COMPUTED_VALUE"""),"NTV")</f>
        <v>NTV</v>
      </c>
      <c r="E3721" s="2" t="str">
        <f>IFERROR(__xludf.DUMMYFUNCTION("""COMPUTED_VALUE"""),"木23")</f>
        <v>木23</v>
      </c>
      <c r="F3721" s="2" t="s">
        <v>11207</v>
      </c>
      <c r="G3721" s="2" t="s">
        <v>11223</v>
      </c>
      <c r="H3721" s="1">
        <v>6.0</v>
      </c>
      <c r="J3721" s="1" t="s">
        <v>1435</v>
      </c>
      <c r="K3721" s="2" t="s">
        <v>11224</v>
      </c>
      <c r="L3721" s="11" t="s">
        <v>11225</v>
      </c>
      <c r="M3721" s="2" t="str">
        <f>IFERROR(__xludf.DUMMYFUNCTION("split(split(K3721,""MONACA"",false),""ほか"",false)"),"小籔千豊(吉本新喜劇)、片瀬那奈  葵わかな、矢倉楓子(NMB48)、藤田みりあ(フェアリーズ)  中野公美子、永瀬匡  竹中直人  【第6話ゲスト】馬渕英里何、松田洋昌(ハイキングウォーキング)、村松怜、遼河はるひ(他)【第6話】  シングルマザーの伊沢志織(馬渕英里何)は、息子の勇樹(村松怜)を抱え、パートをクビになり困っていた。別れた夫から約束していた養育費も振り込まれず、連絡も取れずにいた。だが栗原理佐(片瀬那奈)たちの調査で、その夫がフィットネススタジオの社長兼インストラクターとして成功している"&amp;"ことがわかり……")</f>
        <v>小籔千豊(吉本新喜劇)、片瀬那奈  葵わかな、矢倉楓子(NMB48)、藤田みりあ(フェアリーズ)  中野公美子、永瀬匡  竹中直人  【第6話ゲスト】馬渕英里何、松田洋昌(ハイキングウォーキング)、村松怜、遼河はるひ(他)【第6話】  シングルマザーの伊沢志織(馬渕英里何)は、息子の勇樹(村松怜)を抱え、パートをクビになり困っていた。別れた夫から約束していた養育費も振り込まれず、連絡も取れずにいた。だが栗原理佐(片瀬那奈)たちの調査で、その夫がフィットネススタジオの社長兼インストラクターとして成功していることがわかり……</v>
      </c>
      <c r="N3721" s="2"/>
      <c r="O3721" s="2"/>
      <c r="P3721" s="1"/>
      <c r="Q3721" s="1"/>
      <c r="R3721" s="1"/>
      <c r="S3721" s="1"/>
      <c r="T3721" s="1"/>
      <c r="U3721" s="1"/>
      <c r="V3721" s="1"/>
      <c r="W3721" s="1"/>
      <c r="X3721" s="1"/>
      <c r="Y3721" s="1"/>
      <c r="Z3721" s="1"/>
      <c r="AA3721" s="1"/>
      <c r="AB3721" s="1"/>
      <c r="AC3721" s="1"/>
      <c r="AD3721" s="1"/>
      <c r="AE3721" s="1"/>
      <c r="AF3721" s="1"/>
      <c r="AG3721" s="1"/>
      <c r="AH3721" s="1"/>
      <c r="AI3721" s="1"/>
      <c r="AJ3721" s="1"/>
      <c r="AK3721" s="1"/>
      <c r="AL3721" s="1"/>
      <c r="AM3721" s="1"/>
      <c r="AN3721" s="1"/>
      <c r="AO3721" s="1"/>
      <c r="AP3721" s="1"/>
      <c r="AQ3721" s="1"/>
      <c r="AR3721" s="1"/>
      <c r="AS3721" s="1"/>
      <c r="AT3721" s="1"/>
      <c r="AU3721" s="1"/>
      <c r="AV3721" s="1"/>
      <c r="AW3721" s="1"/>
      <c r="AX3721" s="1"/>
      <c r="AY3721" s="1"/>
      <c r="AZ3721" s="1"/>
      <c r="BA3721" s="1"/>
      <c r="BB3721" s="1"/>
    </row>
    <row r="3722" ht="204.75" customHeight="1">
      <c r="A3722" s="1">
        <v>1831.0</v>
      </c>
      <c r="B3722" s="2" t="s">
        <v>11206</v>
      </c>
      <c r="C3722" s="2">
        <f>IFERROR(__xludf.DUMMYFUNCTION("split(B3722,""_"")"),1601.0)</f>
        <v>1601</v>
      </c>
      <c r="D3722" s="2" t="str">
        <f>IFERROR(__xludf.DUMMYFUNCTION("""COMPUTED_VALUE"""),"NTV")</f>
        <v>NTV</v>
      </c>
      <c r="E3722" s="2" t="str">
        <f>IFERROR(__xludf.DUMMYFUNCTION("""COMPUTED_VALUE"""),"木23")</f>
        <v>木23</v>
      </c>
      <c r="F3722" s="2" t="s">
        <v>11207</v>
      </c>
      <c r="G3722" s="2" t="s">
        <v>11226</v>
      </c>
      <c r="H3722" s="1">
        <v>7.0</v>
      </c>
      <c r="J3722" s="1" t="s">
        <v>1435</v>
      </c>
      <c r="K3722" s="2" t="s">
        <v>11227</v>
      </c>
      <c r="L3722" s="11" t="s">
        <v>11228</v>
      </c>
      <c r="M3722" s="2" t="str">
        <f>IFERROR(__xludf.DUMMYFUNCTION("split(split(K3722,""MONACA"",false),""ほか"",false)"),"小籔千豊(吉本新喜劇)、片瀬那奈  葵わかな、矢倉楓子(NMB48)、藤田みりあ(フェアリーズ)  中野公美子、永瀬匡  竹中直人  【第7話ゲスト】角替和枝、岩尾望(フットボールアワー)、松尾諭、藤原光博(リットン調査団)、木村祐一、天龍源一郎、水橋研二、斎藤洋介(他)【第7話】  小さな芸能事務所の社長、近石みゆき(角替和枝)は、所属のお笑いコンビ、富田(岩尾望)と織田(松尾諭)に、あるパーティで漫才を披露させたが、主催者から「ネタが面白くないからギャラは払わない」と言われてしまう。一方、もう一人の所"&amp;"属芸人、マネー樋口(藤原光博)は、得体のしれない大金を手にしていて…。問題山積みの近石は、栗原理佐(片瀬那奈)らに解決を依頼するが……")</f>
        <v>小籔千豊(吉本新喜劇)、片瀬那奈  葵わかな、矢倉楓子(NMB48)、藤田みりあ(フェアリーズ)  中野公美子、永瀬匡  竹中直人  【第7話ゲスト】角替和枝、岩尾望(フットボールアワー)、松尾諭、藤原光博(リットン調査団)、木村祐一、天龍源一郎、水橋研二、斎藤洋介(他)【第7話】  小さな芸能事務所の社長、近石みゆき(角替和枝)は、所属のお笑いコンビ、富田(岩尾望)と織田(松尾諭)に、あるパーティで漫才を披露させたが、主催者から「ネタが面白くないからギャラは払わない」と言われてしまう。一方、もう一人の所属芸人、マネー樋口(藤原光博)は、得体のしれない大金を手にしていて…。問題山積みの近石は、栗原理佐(片瀬那奈)らに解決を依頼するが……</v>
      </c>
      <c r="N3722" s="2"/>
      <c r="O3722" s="2"/>
      <c r="P3722" s="1"/>
      <c r="Q3722" s="1"/>
      <c r="R3722" s="1"/>
      <c r="S3722" s="1"/>
      <c r="T3722" s="1"/>
      <c r="U3722" s="1"/>
      <c r="V3722" s="1"/>
      <c r="W3722" s="1"/>
      <c r="X3722" s="1"/>
      <c r="Y3722" s="1"/>
      <c r="Z3722" s="1"/>
      <c r="AA3722" s="1"/>
      <c r="AB3722" s="1"/>
      <c r="AC3722" s="1"/>
      <c r="AD3722" s="1"/>
      <c r="AE3722" s="1"/>
      <c r="AF3722" s="1"/>
      <c r="AG3722" s="1"/>
      <c r="AH3722" s="1"/>
      <c r="AI3722" s="1"/>
      <c r="AJ3722" s="1"/>
      <c r="AK3722" s="1"/>
      <c r="AL3722" s="1"/>
      <c r="AM3722" s="1"/>
      <c r="AN3722" s="1"/>
      <c r="AO3722" s="1"/>
      <c r="AP3722" s="1"/>
      <c r="AQ3722" s="1"/>
      <c r="AR3722" s="1"/>
      <c r="AS3722" s="1"/>
      <c r="AT3722" s="1"/>
      <c r="AU3722" s="1"/>
      <c r="AV3722" s="1"/>
      <c r="AW3722" s="1"/>
      <c r="AX3722" s="1"/>
      <c r="AY3722" s="1"/>
      <c r="AZ3722" s="1"/>
      <c r="BA3722" s="1"/>
      <c r="BB3722" s="1"/>
    </row>
    <row r="3723" ht="204.75" customHeight="1">
      <c r="A3723" s="1">
        <v>1832.0</v>
      </c>
      <c r="B3723" s="2" t="s">
        <v>11206</v>
      </c>
      <c r="C3723" s="2">
        <f>IFERROR(__xludf.DUMMYFUNCTION("split(B3723,""_"")"),1601.0)</f>
        <v>1601</v>
      </c>
      <c r="D3723" s="2" t="str">
        <f>IFERROR(__xludf.DUMMYFUNCTION("""COMPUTED_VALUE"""),"NTV")</f>
        <v>NTV</v>
      </c>
      <c r="E3723" s="2" t="str">
        <f>IFERROR(__xludf.DUMMYFUNCTION("""COMPUTED_VALUE"""),"木23")</f>
        <v>木23</v>
      </c>
      <c r="F3723" s="2" t="s">
        <v>11207</v>
      </c>
      <c r="G3723" s="2" t="s">
        <v>11229</v>
      </c>
      <c r="H3723" s="1">
        <v>8.0</v>
      </c>
      <c r="J3723" s="1" t="s">
        <v>1435</v>
      </c>
      <c r="K3723" s="2" t="s">
        <v>11230</v>
      </c>
      <c r="L3723" s="11" t="s">
        <v>11231</v>
      </c>
      <c r="M3723" s="2" t="str">
        <f>IFERROR(__xludf.DUMMYFUNCTION("split(split(K3723,""MONACA"",false),""ほか"",false)"),"小籔千豊(吉本新喜劇)、片瀬那奈  葵わかな、矢倉楓子(NMB48)、藤田みりあ(フェアリーズ)  中野公美子、永瀬匡  竹中直人  【第8話ゲスト】皆川猿時、原幹恵(他)【第8話】  魚住貞雄(皆川猿時)は妻・町子(原幹恵)の浪費癖に困っていた。結婚前から貯めていた1000万円もの貯金も、町子がすっかり使い果たしてしまい、困った貞雄は、竹内茂(小籔千豊)や栗原理佐(片瀬那奈)のもとへ駆け込む。だが解決を図るうちに、思わぬ事情が発覚し……")</f>
        <v>小籔千豊(吉本新喜劇)、片瀬那奈  葵わかな、矢倉楓子(NMB48)、藤田みりあ(フェアリーズ)  中野公美子、永瀬匡  竹中直人  【第8話ゲスト】皆川猿時、原幹恵(他)【第8話】  魚住貞雄(皆川猿時)は妻・町子(原幹恵)の浪費癖に困っていた。結婚前から貯めていた1000万円もの貯金も、町子がすっかり使い果たしてしまい、困った貞雄は、竹内茂(小籔千豊)や栗原理佐(片瀬那奈)のもとへ駆け込む。だが解決を図るうちに、思わぬ事情が発覚し……</v>
      </c>
      <c r="N3723" s="2"/>
      <c r="O3723" s="2"/>
      <c r="P3723" s="1"/>
      <c r="Q3723" s="1"/>
      <c r="R3723" s="1"/>
      <c r="S3723" s="1"/>
      <c r="T3723" s="1"/>
      <c r="U3723" s="1"/>
      <c r="V3723" s="1"/>
      <c r="W3723" s="1"/>
      <c r="X3723" s="1"/>
      <c r="Y3723" s="1"/>
      <c r="Z3723" s="1"/>
      <c r="AA3723" s="1"/>
      <c r="AB3723" s="1"/>
      <c r="AC3723" s="1"/>
      <c r="AD3723" s="1"/>
      <c r="AE3723" s="1"/>
      <c r="AF3723" s="1"/>
      <c r="AG3723" s="1"/>
      <c r="AH3723" s="1"/>
      <c r="AI3723" s="1"/>
      <c r="AJ3723" s="1"/>
      <c r="AK3723" s="1"/>
      <c r="AL3723" s="1"/>
      <c r="AM3723" s="1"/>
      <c r="AN3723" s="1"/>
      <c r="AO3723" s="1"/>
      <c r="AP3723" s="1"/>
      <c r="AQ3723" s="1"/>
      <c r="AR3723" s="1"/>
      <c r="AS3723" s="1"/>
      <c r="AT3723" s="1"/>
      <c r="AU3723" s="1"/>
      <c r="AV3723" s="1"/>
      <c r="AW3723" s="1"/>
      <c r="AX3723" s="1"/>
      <c r="AY3723" s="1"/>
      <c r="AZ3723" s="1"/>
      <c r="BA3723" s="1"/>
      <c r="BB3723" s="1"/>
    </row>
    <row r="3724" ht="204.75" customHeight="1">
      <c r="A3724" s="1">
        <v>1833.0</v>
      </c>
      <c r="B3724" s="2" t="s">
        <v>11206</v>
      </c>
      <c r="C3724" s="2">
        <f>IFERROR(__xludf.DUMMYFUNCTION("split(B3724,""_"")"),1601.0)</f>
        <v>1601</v>
      </c>
      <c r="D3724" s="2" t="str">
        <f>IFERROR(__xludf.DUMMYFUNCTION("""COMPUTED_VALUE"""),"NTV")</f>
        <v>NTV</v>
      </c>
      <c r="E3724" s="2" t="str">
        <f>IFERROR(__xludf.DUMMYFUNCTION("""COMPUTED_VALUE"""),"木23")</f>
        <v>木23</v>
      </c>
      <c r="F3724" s="2" t="s">
        <v>11207</v>
      </c>
      <c r="G3724" s="2" t="s">
        <v>11232</v>
      </c>
      <c r="H3724" s="1">
        <v>9.0</v>
      </c>
      <c r="J3724" s="1" t="s">
        <v>1435</v>
      </c>
      <c r="K3724" s="2" t="s">
        <v>11233</v>
      </c>
      <c r="L3724" s="11" t="s">
        <v>11234</v>
      </c>
      <c r="M3724" s="2" t="str">
        <f>IFERROR(__xludf.DUMMYFUNCTION("split(split(K3724,""MONACA"",false),""ほか"",false)"),"小籔千豊(吉本新喜劇)、片瀬那奈  葵わかな、矢倉楓子(NMB48)、藤田みりあ(フェアリーズ)  中野公美子、永瀬匡  竹中直人  【第9話ゲスト】芳本美代子、久世星佳、平田薫、今別府直之(吉本新喜劇)、太田芳伸(吉本新喜劇)(他)【第9話】  仲川百合(芳本美代子)の父が亡くなった。姉の茜(久世星佳)は早速、父のお好み焼き屋と家を売り払って、遺産を折半しようと言い出すが、店を守りたい百合は茜の提案が受け入れられない。しかも姉妹にはもう一人、行方不明の妹、えりか(平田薫)がおり、事態は骨肉の争いに発展す"&amp;"る……")</f>
        <v>小籔千豊(吉本新喜劇)、片瀬那奈  葵わかな、矢倉楓子(NMB48)、藤田みりあ(フェアリーズ)  中野公美子、永瀬匡  竹中直人  【第9話ゲスト】芳本美代子、久世星佳、平田薫、今別府直之(吉本新喜劇)、太田芳伸(吉本新喜劇)(他)【第9話】  仲川百合(芳本美代子)の父が亡くなった。姉の茜(久世星佳)は早速、父のお好み焼き屋と家を売り払って、遺産を折半しようと言い出すが、店を守りたい百合は茜の提案が受け入れられない。しかも姉妹にはもう一人、行方不明の妹、えりか(平田薫)がおり、事態は骨肉の争いに発展する……</v>
      </c>
      <c r="N3724" s="2"/>
      <c r="O3724" s="2"/>
      <c r="P3724" s="1"/>
      <c r="Q3724" s="1"/>
      <c r="R3724" s="1"/>
      <c r="S3724" s="1"/>
      <c r="T3724" s="1"/>
      <c r="U3724" s="1"/>
      <c r="V3724" s="1"/>
      <c r="W3724" s="1"/>
      <c r="X3724" s="1"/>
      <c r="Y3724" s="1"/>
      <c r="Z3724" s="1"/>
      <c r="AA3724" s="1"/>
      <c r="AB3724" s="1"/>
      <c r="AC3724" s="1"/>
      <c r="AD3724" s="1"/>
      <c r="AE3724" s="1"/>
      <c r="AF3724" s="1"/>
      <c r="AG3724" s="1"/>
      <c r="AH3724" s="1"/>
      <c r="AI3724" s="1"/>
      <c r="AJ3724" s="1"/>
      <c r="AK3724" s="1"/>
      <c r="AL3724" s="1"/>
      <c r="AM3724" s="1"/>
      <c r="AN3724" s="1"/>
      <c r="AO3724" s="1"/>
      <c r="AP3724" s="1"/>
      <c r="AQ3724" s="1"/>
      <c r="AR3724" s="1"/>
      <c r="AS3724" s="1"/>
      <c r="AT3724" s="1"/>
      <c r="AU3724" s="1"/>
      <c r="AV3724" s="1"/>
      <c r="AW3724" s="1"/>
      <c r="AX3724" s="1"/>
      <c r="AY3724" s="1"/>
      <c r="AZ3724" s="1"/>
      <c r="BA3724" s="1"/>
      <c r="BB3724" s="1"/>
    </row>
    <row r="3725" ht="204.75" customHeight="1">
      <c r="A3725" s="1">
        <v>1834.0</v>
      </c>
      <c r="B3725" s="2" t="s">
        <v>11206</v>
      </c>
      <c r="C3725" s="2">
        <f>IFERROR(__xludf.DUMMYFUNCTION("split(B3725,""_"")"),1601.0)</f>
        <v>1601</v>
      </c>
      <c r="D3725" s="2" t="str">
        <f>IFERROR(__xludf.DUMMYFUNCTION("""COMPUTED_VALUE"""),"NTV")</f>
        <v>NTV</v>
      </c>
      <c r="E3725" s="2" t="str">
        <f>IFERROR(__xludf.DUMMYFUNCTION("""COMPUTED_VALUE"""),"木23")</f>
        <v>木23</v>
      </c>
      <c r="F3725" s="2" t="s">
        <v>11207</v>
      </c>
      <c r="G3725" s="2" t="s">
        <v>11235</v>
      </c>
      <c r="H3725" s="1">
        <v>10.0</v>
      </c>
      <c r="J3725" s="1" t="s">
        <v>1435</v>
      </c>
      <c r="K3725" s="2" t="s">
        <v>11236</v>
      </c>
      <c r="L3725" s="11" t="s">
        <v>11237</v>
      </c>
      <c r="M3725" s="2" t="str">
        <f>IFERROR(__xludf.DUMMYFUNCTION("split(split(K3725,""MONACA"",false),""ほか"",false)"),"小籔千豊(吉本新喜劇)、片瀬那奈  葵わかな、矢倉楓子(NMB48)、藤田みりあ(フェアリーズ)  中野公美子、永瀬匡  竹中直人  【第10話ゲスト】山崎静代(南海キャンディーズ)、滝沢沙織、池畑慎之介、石橋穂乃香、ちすん(他)【第10話】  本庄咲良(山崎静代)は、痩せたい一心でエステに通うが、行くたびに大量の化粧品などを買わされていた。栗原理佐(片瀬那奈)と菅原円(葵わかな)は、エステ側の説明に虚偽があったとして解約を促すが、そこに、エステティシャンという武蔵川華子(藤田みりあ)の姉が現れ……")</f>
        <v>小籔千豊(吉本新喜劇)、片瀬那奈  葵わかな、矢倉楓子(NMB48)、藤田みりあ(フェアリーズ)  中野公美子、永瀬匡  竹中直人  【第10話ゲスト】山崎静代(南海キャンディーズ)、滝沢沙織、池畑慎之介、石橋穂乃香、ちすん(他)【第10話】  本庄咲良(山崎静代)は、痩せたい一心でエステに通うが、行くたびに大量の化粧品などを買わされていた。栗原理佐(片瀬那奈)と菅原円(葵わかな)は、エステ側の説明に虚偽があったとして解約を促すが、そこに、エステティシャンという武蔵川華子(藤田みりあ)の姉が現れ……</v>
      </c>
      <c r="N3725" s="2"/>
      <c r="O3725" s="2"/>
      <c r="P3725" s="1"/>
      <c r="Q3725" s="1"/>
      <c r="R3725" s="1"/>
      <c r="S3725" s="1"/>
      <c r="T3725" s="1"/>
      <c r="U3725" s="1"/>
      <c r="V3725" s="1"/>
      <c r="W3725" s="1"/>
      <c r="X3725" s="1"/>
      <c r="Y3725" s="1"/>
      <c r="Z3725" s="1"/>
      <c r="AA3725" s="1"/>
      <c r="AB3725" s="1"/>
      <c r="AC3725" s="1"/>
      <c r="AD3725" s="1"/>
      <c r="AE3725" s="1"/>
      <c r="AF3725" s="1"/>
      <c r="AG3725" s="1"/>
      <c r="AH3725" s="1"/>
      <c r="AI3725" s="1"/>
      <c r="AJ3725" s="1"/>
      <c r="AK3725" s="1"/>
      <c r="AL3725" s="1"/>
      <c r="AM3725" s="1"/>
      <c r="AN3725" s="1"/>
      <c r="AO3725" s="1"/>
      <c r="AP3725" s="1"/>
      <c r="AQ3725" s="1"/>
      <c r="AR3725" s="1"/>
      <c r="AS3725" s="1"/>
      <c r="AT3725" s="1"/>
      <c r="AU3725" s="1"/>
      <c r="AV3725" s="1"/>
      <c r="AW3725" s="1"/>
      <c r="AX3725" s="1"/>
      <c r="AY3725" s="1"/>
      <c r="AZ3725" s="1"/>
      <c r="BA3725" s="1"/>
      <c r="BB3725" s="1"/>
    </row>
    <row r="3726" ht="204.75" customHeight="1">
      <c r="A3726" s="1">
        <v>1835.0</v>
      </c>
      <c r="B3726" s="2" t="s">
        <v>11206</v>
      </c>
      <c r="C3726" s="2">
        <f>IFERROR(__xludf.DUMMYFUNCTION("split(B3726,""_"")"),1601.0)</f>
        <v>1601</v>
      </c>
      <c r="D3726" s="2" t="str">
        <f>IFERROR(__xludf.DUMMYFUNCTION("""COMPUTED_VALUE"""),"NTV")</f>
        <v>NTV</v>
      </c>
      <c r="E3726" s="2" t="str">
        <f>IFERROR(__xludf.DUMMYFUNCTION("""COMPUTED_VALUE"""),"木23")</f>
        <v>木23</v>
      </c>
      <c r="F3726" s="2" t="s">
        <v>11207</v>
      </c>
      <c r="G3726" s="2" t="s">
        <v>11238</v>
      </c>
      <c r="H3726" s="1">
        <v>11.0</v>
      </c>
      <c r="J3726" s="1" t="s">
        <v>1435</v>
      </c>
      <c r="K3726" s="2" t="s">
        <v>11239</v>
      </c>
      <c r="L3726" s="11" t="s">
        <v>11240</v>
      </c>
      <c r="M3726" s="2" t="str">
        <f>IFERROR(__xludf.DUMMYFUNCTION("split(split(K3726,""MONACA"",false),""ほか"",false)"),"小籔千豊(吉本新喜劇)、片瀬那奈  葵わかな、矢倉楓子(NMB48)、藤田みりあ(フェアリーズ)  中野公美子、永瀬匡  竹中直人  【第11話ゲスト】植野行雄(デニス)、佐戸井けん太、鈴木勝大、上遠野太洸、粟島瑞丸、我善導、徳井健太、川畑泰史(他)【第11話】  ピン芸人のガルシア(植野行雄)は、外国人であることを理由にギャラは後輩芸人の半分にされ、お笑いコンテストに優勝しても賞金ももらえずにいた。栗原理佐(片瀬那奈)らは、事務所の実態調査に竹内茂(小籔千豊)を派遣し、解決しようとするが……")</f>
        <v>小籔千豊(吉本新喜劇)、片瀬那奈  葵わかな、矢倉楓子(NMB48)、藤田みりあ(フェアリーズ)  中野公美子、永瀬匡  竹中直人  【第11話ゲスト】植野行雄(デニス)、佐戸井けん太、鈴木勝大、上遠野太洸、粟島瑞丸、我善導、徳井健太、川畑泰史(他)【第11話】  ピン芸人のガルシア(植野行雄)は、外国人であることを理由にギャラは後輩芸人の半分にされ、お笑いコンテストに優勝しても賞金ももらえずにいた。栗原理佐(片瀬那奈)らは、事務所の実態調査に竹内茂(小籔千豊)を派遣し、解決しようとするが……</v>
      </c>
      <c r="N3726" s="2"/>
      <c r="O3726" s="2"/>
      <c r="P3726" s="1"/>
      <c r="Q3726" s="1"/>
      <c r="R3726" s="1"/>
      <c r="S3726" s="1"/>
      <c r="T3726" s="1"/>
      <c r="U3726" s="1"/>
      <c r="V3726" s="1"/>
      <c r="W3726" s="1"/>
      <c r="X3726" s="1"/>
      <c r="Y3726" s="1"/>
      <c r="Z3726" s="1"/>
      <c r="AA3726" s="1"/>
      <c r="AB3726" s="1"/>
      <c r="AC3726" s="1"/>
      <c r="AD3726" s="1"/>
      <c r="AE3726" s="1"/>
      <c r="AF3726" s="1"/>
      <c r="AG3726" s="1"/>
      <c r="AH3726" s="1"/>
      <c r="AI3726" s="1"/>
      <c r="AJ3726" s="1"/>
      <c r="AK3726" s="1"/>
      <c r="AL3726" s="1"/>
      <c r="AM3726" s="1"/>
      <c r="AN3726" s="1"/>
      <c r="AO3726" s="1"/>
      <c r="AP3726" s="1"/>
      <c r="AQ3726" s="1"/>
      <c r="AR3726" s="1"/>
      <c r="AS3726" s="1"/>
      <c r="AT3726" s="1"/>
      <c r="AU3726" s="1"/>
      <c r="AV3726" s="1"/>
      <c r="AW3726" s="1"/>
      <c r="AX3726" s="1"/>
      <c r="AY3726" s="1"/>
      <c r="AZ3726" s="1"/>
      <c r="BA3726" s="1"/>
      <c r="BB3726" s="1"/>
    </row>
    <row r="3727" ht="204.75" customHeight="1">
      <c r="A3727" s="1">
        <v>1836.0</v>
      </c>
      <c r="B3727" s="2" t="s">
        <v>11206</v>
      </c>
      <c r="C3727" s="2">
        <f>IFERROR(__xludf.DUMMYFUNCTION("split(B3727,""_"")"),1601.0)</f>
        <v>1601</v>
      </c>
      <c r="D3727" s="2" t="str">
        <f>IFERROR(__xludf.DUMMYFUNCTION("""COMPUTED_VALUE"""),"NTV")</f>
        <v>NTV</v>
      </c>
      <c r="E3727" s="2" t="str">
        <f>IFERROR(__xludf.DUMMYFUNCTION("""COMPUTED_VALUE"""),"木23")</f>
        <v>木23</v>
      </c>
      <c r="F3727" s="2" t="s">
        <v>11207</v>
      </c>
      <c r="G3727" s="2" t="s">
        <v>11241</v>
      </c>
      <c r="H3727" s="1">
        <v>12.0</v>
      </c>
      <c r="J3727" s="1" t="s">
        <v>1435</v>
      </c>
      <c r="K3727" s="2" t="s">
        <v>11242</v>
      </c>
      <c r="L3727" s="11" t="s">
        <v>11243</v>
      </c>
      <c r="M3727" s="2" t="str">
        <f>IFERROR(__xludf.DUMMYFUNCTION("split(split(K3727,""MONACA"",false),""ほか"",false)"),"小籔千豊(吉本新喜劇)、片瀬那奈  葵わかな、矢倉楓子(NMB48)、藤田みりあ(フェアリーズ)  中野公美子、永瀬匡  竹中直人  【最終話ゲスト】宮川一朗太、袴田吉彦、酒井敏也(他)【最終話】  大手企業に就職することになった茂(小籔千豊)。だがそこは、社長の息子、黒沼誠(宮川一朗太)のパワハラが横行するブラック企業だった。茂は、パワハラを指摘したため、解雇を言い渡され、会社から訴えられる羽目になる。一方、理佐(片瀬那奈)の金銭トラブル相談窓口には、閉鎖の危機が迫り……")</f>
        <v>小籔千豊(吉本新喜劇)、片瀬那奈  葵わかな、矢倉楓子(NMB48)、藤田みりあ(フェアリーズ)  中野公美子、永瀬匡  竹中直人  【最終話ゲスト】宮川一朗太、袴田吉彦、酒井敏也(他)【最終話】  大手企業に就職することになった茂(小籔千豊)。だがそこは、社長の息子、黒沼誠(宮川一朗太)のパワハラが横行するブラック企業だった。茂は、パワハラを指摘したため、解雇を言い渡され、会社から訴えられる羽目になる。一方、理佐(片瀬那奈)の金銭トラブル相談窓口には、閉鎖の危機が迫り……</v>
      </c>
      <c r="N3727" s="2"/>
      <c r="O3727" s="2"/>
      <c r="P3727" s="1"/>
      <c r="Q3727" s="1"/>
      <c r="R3727" s="1"/>
      <c r="S3727" s="1"/>
      <c r="T3727" s="1"/>
      <c r="U3727" s="1"/>
      <c r="V3727" s="1"/>
      <c r="W3727" s="1"/>
      <c r="X3727" s="1"/>
      <c r="Y3727" s="1"/>
      <c r="Z3727" s="1"/>
      <c r="AA3727" s="1"/>
      <c r="AB3727" s="1"/>
      <c r="AC3727" s="1"/>
      <c r="AD3727" s="1"/>
      <c r="AE3727" s="1"/>
      <c r="AF3727" s="1"/>
      <c r="AG3727" s="1"/>
      <c r="AH3727" s="1"/>
      <c r="AI3727" s="1"/>
      <c r="AJ3727" s="1"/>
      <c r="AK3727" s="1"/>
      <c r="AL3727" s="1"/>
      <c r="AM3727" s="1"/>
      <c r="AN3727" s="1"/>
      <c r="AO3727" s="1"/>
      <c r="AP3727" s="1"/>
      <c r="AQ3727" s="1"/>
      <c r="AR3727" s="1"/>
      <c r="AS3727" s="1"/>
      <c r="AT3727" s="1"/>
      <c r="AU3727" s="1"/>
      <c r="AV3727" s="1"/>
      <c r="AW3727" s="1"/>
      <c r="AX3727" s="1"/>
      <c r="AY3727" s="1"/>
      <c r="AZ3727" s="1"/>
      <c r="BA3727" s="1"/>
      <c r="BB3727" s="1"/>
    </row>
    <row r="3728" ht="204.75" customHeight="1">
      <c r="A3728" s="1">
        <v>1865.0</v>
      </c>
      <c r="B3728" s="2" t="s">
        <v>11244</v>
      </c>
      <c r="C3728" s="2">
        <f>IFERROR(__xludf.DUMMYFUNCTION("split(B3728,""_"")"),1601.0)</f>
        <v>1601</v>
      </c>
      <c r="D3728" s="2" t="str">
        <f>IFERROR(__xludf.DUMMYFUNCTION("""COMPUTED_VALUE"""),"NTV")</f>
        <v>NTV</v>
      </c>
      <c r="E3728" s="2" t="str">
        <f>IFERROR(__xludf.DUMMYFUNCTION("""COMPUTED_VALUE"""),"日22")</f>
        <v>日22</v>
      </c>
      <c r="F3728" s="2" t="s">
        <v>11245</v>
      </c>
      <c r="G3728" s="2" t="s">
        <v>11246</v>
      </c>
      <c r="H3728" s="1">
        <v>1.0</v>
      </c>
      <c r="I3728" s="1" t="s">
        <v>2868</v>
      </c>
      <c r="J3728" s="1" t="s">
        <v>82</v>
      </c>
      <c r="K3728" s="2" t="s">
        <v>11247</v>
      </c>
      <c r="L3728" s="10" t="s">
        <v>11248</v>
      </c>
      <c r="M3728" s="2" t="str">
        <f>IFERROR(__xludf.DUMMYFUNCTION("split(split(K3728,""【演出"",false),""ほか"",false)"),"【レギュラー】  斎藤工、窪田正孝、優香、山本美月、マキタスポーツ、清水一希、堀口ひかる、松永渚、小野寺晃良、松澤一之、長谷川京子、生瀬勝久、夏木マリ  【第1話ゲスト】  戸次重幸、音尾琢真、入山法子、高杉真宙、松尾諭犯罪学者・火村英生(斎藤工)と推理作家・有栖川有栖(窪田正孝)は、警察に協力して数々の難事件を解決してきた。若い女性を狙った連続通り魔事件が発生し、手口が「絶叫城」という人気ゲームを模倣していた為、世間は震撼。捜査が混迷する中、遂に第4の犠牲者が。遺族との面会にも傍若無人な姿勢で臨む火村に"&amp;"、捜査一課の小野(優香)や鍋島(生瀬勝久)も驚きを隠せない。だが火村は衝撃的な事実を突き止め…。")</f>
        <v>【レギュラー】  斎藤工、窪田正孝、優香、山本美月、マキタスポーツ、清水一希、堀口ひかる、松永渚、小野寺晃良、松澤一之、長谷川京子、生瀬勝久、夏木マリ  【第1話ゲスト】  戸次重幸、音尾琢真、入山法子、高杉真宙、松尾諭犯罪学者・火村英生(斎藤工)と推理作家・有栖川有栖(窪田正孝)は、警察に協力して数々の難事件を解決してきた。若い女性を狙った連続通り魔事件が発生し、手口が「絶叫城」という人気ゲームを模倣していた為、世間は震撼。捜査が混迷する中、遂に第4の犠牲者が。遺族との面会にも傍若無人な姿勢で臨む火村に、捜査一課の小野(優香)や鍋島(生瀬勝久)も驚きを隠せない。だが火村は衝撃的な事実を突き止め…。</v>
      </c>
      <c r="N3728" s="2"/>
      <c r="O3728" s="2"/>
      <c r="P3728" s="1"/>
      <c r="Q3728" s="1"/>
      <c r="R3728" s="1"/>
      <c r="S3728" s="1"/>
      <c r="T3728" s="1"/>
      <c r="U3728" s="1"/>
      <c r="V3728" s="1"/>
      <c r="W3728" s="1"/>
      <c r="X3728" s="1"/>
      <c r="Y3728" s="1"/>
      <c r="Z3728" s="1"/>
      <c r="AA3728" s="1"/>
      <c r="AB3728" s="1"/>
      <c r="AC3728" s="1"/>
      <c r="AD3728" s="1"/>
      <c r="AE3728" s="1"/>
      <c r="AF3728" s="1"/>
      <c r="AG3728" s="1"/>
      <c r="AH3728" s="1"/>
      <c r="AI3728" s="1"/>
      <c r="AJ3728" s="1"/>
      <c r="AK3728" s="1"/>
      <c r="AL3728" s="1"/>
      <c r="AM3728" s="1"/>
      <c r="AN3728" s="1"/>
      <c r="AO3728" s="1"/>
      <c r="AP3728" s="1"/>
      <c r="AQ3728" s="1"/>
      <c r="AR3728" s="1"/>
      <c r="AS3728" s="1"/>
      <c r="AT3728" s="1"/>
      <c r="AU3728" s="1"/>
      <c r="AV3728" s="1"/>
      <c r="AW3728" s="1"/>
      <c r="AX3728" s="1"/>
      <c r="AY3728" s="1"/>
      <c r="AZ3728" s="1"/>
      <c r="BA3728" s="1"/>
      <c r="BB3728" s="1"/>
    </row>
    <row r="3729" ht="204.75" customHeight="1">
      <c r="A3729" s="1">
        <v>1866.0</v>
      </c>
      <c r="B3729" s="2" t="s">
        <v>11244</v>
      </c>
      <c r="C3729" s="2">
        <f>IFERROR(__xludf.DUMMYFUNCTION("split(B3729,""_"")"),1601.0)</f>
        <v>1601</v>
      </c>
      <c r="D3729" s="2" t="str">
        <f>IFERROR(__xludf.DUMMYFUNCTION("""COMPUTED_VALUE"""),"NTV")</f>
        <v>NTV</v>
      </c>
      <c r="E3729" s="2" t="str">
        <f>IFERROR(__xludf.DUMMYFUNCTION("""COMPUTED_VALUE"""),"日22")</f>
        <v>日22</v>
      </c>
      <c r="F3729" s="2" t="s">
        <v>11245</v>
      </c>
      <c r="G3729" s="2" t="s">
        <v>11249</v>
      </c>
      <c r="H3729" s="1">
        <v>2.0</v>
      </c>
      <c r="J3729" s="1" t="s">
        <v>82</v>
      </c>
      <c r="K3729" s="2" t="s">
        <v>11250</v>
      </c>
      <c r="L3729" s="11" t="s">
        <v>11251</v>
      </c>
      <c r="M3729" s="2" t="str">
        <f>IFERROR(__xludf.DUMMYFUNCTION("split(split(K3729,""【演出"",false),""ほか"",false)"),"【レギュラー】斎藤工、窪田正孝、優香、山本美月、マキタスポーツ、清水一希、堀口ひかる、松永渚、小野寺晃良、松澤一之、長谷川京子、生瀬勝久、夏木マリ　")</f>
        <v>【レギュラー】斎藤工、窪田正孝、優香、山本美月、マキタスポーツ、清水一希、堀口ひかる、松永渚、小野寺晃良、松澤一之、長谷川京子、生瀬勝久、夏木マリ　</v>
      </c>
      <c r="N3729" s="2" t="str">
        <f>IFERROR(__xludf.DUMMYFUNCTION("""COMPUTED_VALUE"""),"  【第二話ゲスト】吉沢亮、佐野岳山間の温泉旅館で執筆をすることになった有栖川有栖(窪田正孝)は、顔全体を包帯で巻いた不気味な宿泊客と遭遇。宿の面々が「透明人間?」と噂したその男の部屋で、翌朝、絞殺された男性遺体が発見される。包帯男逃走の目撃情報から有栖も容疑者として事情聴取される窮地に。そんな最中、颯爽と火村英生(斎藤工)が登場。捜査線上に相羽(佐野岳)と幡多(吉沢亮)という大学生が浮かび上がる。謎の包帯男、そして事件の真相は?")</f>
        <v>  【第二話ゲスト】吉沢亮、佐野岳山間の温泉旅館で執筆をすることになった有栖川有栖(窪田正孝)は、顔全体を包帯で巻いた不気味な宿泊客と遭遇。宿の面々が「透明人間?」と噂したその男の部屋で、翌朝、絞殺された男性遺体が発見される。包帯男逃走の目撃情報から有栖も容疑者として事情聴取される窮地に。そんな最中、颯爽と火村英生(斎藤工)が登場。捜査線上に相羽(佐野岳)と幡多(吉沢亮)という大学生が浮かび上がる。謎の包帯男、そして事件の真相は?</v>
      </c>
      <c r="O3729" s="2"/>
      <c r="P3729" s="1"/>
      <c r="Q3729" s="1"/>
      <c r="R3729" s="1"/>
      <c r="S3729" s="1"/>
      <c r="T3729" s="1"/>
      <c r="U3729" s="1"/>
      <c r="V3729" s="1"/>
      <c r="W3729" s="1"/>
      <c r="X3729" s="1"/>
      <c r="Y3729" s="1"/>
      <c r="Z3729" s="1"/>
      <c r="AA3729" s="1"/>
      <c r="AB3729" s="1"/>
      <c r="AC3729" s="1"/>
      <c r="AD3729" s="1"/>
      <c r="AE3729" s="1"/>
      <c r="AF3729" s="1"/>
      <c r="AG3729" s="1"/>
      <c r="AH3729" s="1"/>
      <c r="AI3729" s="1"/>
      <c r="AJ3729" s="1"/>
      <c r="AK3729" s="1"/>
      <c r="AL3729" s="1"/>
      <c r="AM3729" s="1"/>
      <c r="AN3729" s="1"/>
      <c r="AO3729" s="1"/>
      <c r="AP3729" s="1"/>
      <c r="AQ3729" s="1"/>
      <c r="AR3729" s="1"/>
      <c r="AS3729" s="1"/>
      <c r="AT3729" s="1"/>
      <c r="AU3729" s="1"/>
      <c r="AV3729" s="1"/>
      <c r="AW3729" s="1"/>
      <c r="AX3729" s="1"/>
      <c r="AY3729" s="1"/>
      <c r="AZ3729" s="1"/>
      <c r="BA3729" s="1"/>
      <c r="BB3729" s="1"/>
    </row>
    <row r="3730" ht="204.75" customHeight="1">
      <c r="A3730" s="1">
        <v>1867.0</v>
      </c>
      <c r="B3730" s="2" t="s">
        <v>11244</v>
      </c>
      <c r="C3730" s="2">
        <f>IFERROR(__xludf.DUMMYFUNCTION("split(B3730,""_"")"),1601.0)</f>
        <v>1601</v>
      </c>
      <c r="D3730" s="2" t="str">
        <f>IFERROR(__xludf.DUMMYFUNCTION("""COMPUTED_VALUE"""),"NTV")</f>
        <v>NTV</v>
      </c>
      <c r="E3730" s="2" t="str">
        <f>IFERROR(__xludf.DUMMYFUNCTION("""COMPUTED_VALUE"""),"日22")</f>
        <v>日22</v>
      </c>
      <c r="F3730" s="2" t="s">
        <v>11245</v>
      </c>
      <c r="G3730" s="2" t="s">
        <v>11252</v>
      </c>
      <c r="H3730" s="1">
        <v>3.0</v>
      </c>
      <c r="J3730" s="1" t="s">
        <v>82</v>
      </c>
      <c r="K3730" s="2" t="s">
        <v>11253</v>
      </c>
      <c r="L3730" s="10" t="s">
        <v>11254</v>
      </c>
      <c r="M3730" s="2" t="str">
        <f>IFERROR(__xludf.DUMMYFUNCTION("split(split(K3730,""【演出"",false),""ほか"",false)"),"【レギュラー】斎藤工、窪田正孝、優香、山本美月、マキタスポーツ、清水一希、堀口ひかる、松永渚、小野寺晃良、・長谷川京子・、松澤一之、生瀬勝久、夏木マリ、")</f>
        <v>【レギュラー】斎藤工、窪田正孝、優香、山本美月、マキタスポーツ、清水一希、堀口ひかる、松永渚、小野寺晃良、・長谷川京子・、松澤一之、生瀬勝久、夏木マリ、</v>
      </c>
      <c r="N3730" s="2" t="str">
        <f>IFERROR(__xludf.DUMMYFUNCTION("""COMPUTED_VALUE"""),"  【第三話ゲスト】西田尚美、児嶋一哉、飯田基祐、猫背椿人気俳優の志摩(飯田基祐)が誘拐される。志摩の妻・恵里香(西田尚美)は、夫の安否を気遣い、警察の介入を拒むが、マネージャー・城戸(児嶋一哉)が通報。恵里香は、火村(斎藤工)とアリス(窪田正孝)に身代金受け渡しの同行を求める。だが、犯人との接触がないまま、志摩の遺体が発見される。恵里香は、脅迫電話で志摩本人の声を聴かされたと証言するが、鑑識の結果、その時点では既に死亡していたことが判明し・・・。")</f>
        <v>  【第三話ゲスト】西田尚美、児嶋一哉、飯田基祐、猫背椿人気俳優の志摩(飯田基祐)が誘拐される。志摩の妻・恵里香(西田尚美)は、夫の安否を気遣い、警察の介入を拒むが、マネージャー・城戸(児嶋一哉)が通報。恵里香は、火村(斎藤工)とアリス(窪田正孝)に身代金受け渡しの同行を求める。だが、犯人との接触がないまま、志摩の遺体が発見される。恵里香は、脅迫電話で志摩本人の声を聴かされたと証言するが、鑑識の結果、その時点では既に死亡していたことが判明し・・・。</v>
      </c>
      <c r="O3730" s="2"/>
      <c r="P3730" s="1"/>
      <c r="Q3730" s="1"/>
      <c r="R3730" s="1"/>
      <c r="S3730" s="1"/>
      <c r="T3730" s="1"/>
      <c r="U3730" s="1"/>
      <c r="V3730" s="1"/>
      <c r="W3730" s="1"/>
      <c r="X3730" s="1"/>
      <c r="Y3730" s="1"/>
      <c r="Z3730" s="1"/>
      <c r="AA3730" s="1"/>
      <c r="AB3730" s="1"/>
      <c r="AC3730" s="1"/>
      <c r="AD3730" s="1"/>
      <c r="AE3730" s="1"/>
      <c r="AF3730" s="1"/>
      <c r="AG3730" s="1"/>
      <c r="AH3730" s="1"/>
      <c r="AI3730" s="1"/>
      <c r="AJ3730" s="1"/>
      <c r="AK3730" s="1"/>
      <c r="AL3730" s="1"/>
      <c r="AM3730" s="1"/>
      <c r="AN3730" s="1"/>
      <c r="AO3730" s="1"/>
      <c r="AP3730" s="1"/>
      <c r="AQ3730" s="1"/>
      <c r="AR3730" s="1"/>
      <c r="AS3730" s="1"/>
      <c r="AT3730" s="1"/>
      <c r="AU3730" s="1"/>
      <c r="AV3730" s="1"/>
      <c r="AW3730" s="1"/>
      <c r="AX3730" s="1"/>
      <c r="AY3730" s="1"/>
      <c r="AZ3730" s="1"/>
      <c r="BA3730" s="1"/>
      <c r="BB3730" s="1"/>
    </row>
    <row r="3731" ht="204.75" customHeight="1">
      <c r="A3731" s="1">
        <v>1868.0</v>
      </c>
      <c r="B3731" s="2" t="s">
        <v>11244</v>
      </c>
      <c r="C3731" s="2">
        <f>IFERROR(__xludf.DUMMYFUNCTION("split(B3731,""_"")"),1601.0)</f>
        <v>1601</v>
      </c>
      <c r="D3731" s="2" t="str">
        <f>IFERROR(__xludf.DUMMYFUNCTION("""COMPUTED_VALUE"""),"NTV")</f>
        <v>NTV</v>
      </c>
      <c r="E3731" s="2" t="str">
        <f>IFERROR(__xludf.DUMMYFUNCTION("""COMPUTED_VALUE"""),"日22")</f>
        <v>日22</v>
      </c>
      <c r="F3731" s="2" t="s">
        <v>11245</v>
      </c>
      <c r="G3731" s="2" t="s">
        <v>11255</v>
      </c>
      <c r="H3731" s="1">
        <v>4.0</v>
      </c>
      <c r="I3731" s="1" t="s">
        <v>14</v>
      </c>
      <c r="J3731" s="1" t="s">
        <v>82</v>
      </c>
      <c r="K3731" s="2" t="s">
        <v>11256</v>
      </c>
      <c r="L3731" s="10" t="s">
        <v>11257</v>
      </c>
      <c r="M3731" s="2" t="str">
        <f>IFERROR(__xludf.DUMMYFUNCTION("split(split(K3731,""【演出"",false),""ほか"",false)"),"【レギュラー】斎藤工、窪田正孝、優香、山本美月、マキタスポーツ、清水一希、堀口ひかる、松永渚、小野寺晃良、松澤一之、長谷川京子、生瀬勝久、夏木マリ　")</f>
        <v>【レギュラー】斎藤工、窪田正孝、優香、山本美月、マキタスポーツ、清水一希、堀口ひかる、松永渚、小野寺晃良、松澤一之、長谷川京子、生瀬勝久、夏木マリ　</v>
      </c>
      <c r="N3731" s="2" t="str">
        <f>IFERROR(__xludf.DUMMYFUNCTION("""COMPUTED_VALUE"""),"  【第四話ゲスト】岩城滉一、忍成修吾、内田理央、合田雅吏、渋谷謙人  火村(斎藤工)とアリス(窪田正孝)は、ダリに心酔する有名な宝石商・堂条秀一(岩城滉一)を見かける。その連れの女性・鷺尾優子(内田理央)を見た火村は、彼女がアリスの理想の女性に違いないと断言し、図星のアリスは困惑。数日後、秀一が殺害されるが、遺体の第一発見者は秘書の優子だった。事件を追う一方、優子のことが気にかかり、つい捜査に私情を挟んでしまうアリス。そんな中、決定的な証拠が見つかり…。")</f>
        <v>  【第四話ゲスト】岩城滉一、忍成修吾、内田理央、合田雅吏、渋谷謙人  火村(斎藤工)とアリス(窪田正孝)は、ダリに心酔する有名な宝石商・堂条秀一(岩城滉一)を見かける。その連れの女性・鷺尾優子(内田理央)を見た火村は、彼女がアリスの理想の女性に違いないと断言し、図星のアリスは困惑。数日後、秀一が殺害されるが、遺体の第一発見者は秘書の優子だった。事件を追う一方、優子のことが気にかかり、つい捜査に私情を挟んでしまうアリス。そんな中、決定的な証拠が見つかり…。</v>
      </c>
      <c r="O3731" s="2"/>
      <c r="P3731" s="1"/>
      <c r="Q3731" s="1"/>
      <c r="R3731" s="1"/>
      <c r="S3731" s="1"/>
      <c r="T3731" s="1"/>
      <c r="U3731" s="1"/>
      <c r="V3731" s="1"/>
      <c r="W3731" s="1"/>
      <c r="X3731" s="1"/>
      <c r="Y3731" s="1"/>
      <c r="Z3731" s="1"/>
      <c r="AA3731" s="1"/>
      <c r="AB3731" s="1"/>
      <c r="AC3731" s="1"/>
      <c r="AD3731" s="1"/>
      <c r="AE3731" s="1"/>
      <c r="AF3731" s="1"/>
      <c r="AG3731" s="1"/>
      <c r="AH3731" s="1"/>
      <c r="AI3731" s="1"/>
      <c r="AJ3731" s="1"/>
      <c r="AK3731" s="1"/>
      <c r="AL3731" s="1"/>
      <c r="AM3731" s="1"/>
      <c r="AN3731" s="1"/>
      <c r="AO3731" s="1"/>
      <c r="AP3731" s="1"/>
      <c r="AQ3731" s="1"/>
      <c r="AR3731" s="1"/>
      <c r="AS3731" s="1"/>
      <c r="AT3731" s="1"/>
      <c r="AU3731" s="1"/>
      <c r="AV3731" s="1"/>
      <c r="AW3731" s="1"/>
      <c r="AX3731" s="1"/>
      <c r="AY3731" s="1"/>
      <c r="AZ3731" s="1"/>
      <c r="BA3731" s="1"/>
      <c r="BB3731" s="1"/>
    </row>
    <row r="3732" ht="204.75" customHeight="1">
      <c r="A3732" s="1">
        <v>1869.0</v>
      </c>
      <c r="B3732" s="2" t="s">
        <v>11244</v>
      </c>
      <c r="C3732" s="2">
        <f>IFERROR(__xludf.DUMMYFUNCTION("split(B3732,""_"")"),1601.0)</f>
        <v>1601</v>
      </c>
      <c r="D3732" s="2" t="str">
        <f>IFERROR(__xludf.DUMMYFUNCTION("""COMPUTED_VALUE"""),"NTV")</f>
        <v>NTV</v>
      </c>
      <c r="E3732" s="2" t="str">
        <f>IFERROR(__xludf.DUMMYFUNCTION("""COMPUTED_VALUE"""),"日22")</f>
        <v>日22</v>
      </c>
      <c r="F3732" s="2" t="s">
        <v>11245</v>
      </c>
      <c r="G3732" s="2" t="s">
        <v>11258</v>
      </c>
      <c r="H3732" s="1">
        <v>5.0</v>
      </c>
      <c r="J3732" s="1" t="s">
        <v>82</v>
      </c>
      <c r="K3732" s="2" t="s">
        <v>11259</v>
      </c>
      <c r="L3732" s="10" t="s">
        <v>11260</v>
      </c>
      <c r="M3732" s="2" t="str">
        <f>IFERROR(__xludf.DUMMYFUNCTION("split(split(K3732,""【演出"",false),""ほか"",false)"),"【レギュラー】斎藤工、窪田正孝、優香、山本美月、マキタスポーツ、清水一希、堀口ひかる、松永渚、小野寺晃良、松澤一之、長谷川京子、生瀬勝久、夏木マリ　")</f>
        <v>【レギュラー】斎藤工、窪田正孝、優香、山本美月、マキタスポーツ、清水一希、堀口ひかる、松永渚、小野寺晃良、松澤一之、長谷川京子、生瀬勝久、夏木マリ　</v>
      </c>
      <c r="N3732" s="2" t="str">
        <f>IFERROR(__xludf.DUMMYFUNCTION("""COMPUTED_VALUE"""),"  【第五話ゲスト】宅麻伸、小島梨里杏芸能プロダクション社長の夕狩正比古(宅麻伸)は、恋人の愉良(小島梨里杏)を殺害。完全犯罪を目論むが、見抜いた火村(斎藤工)は、アリス(窪田正孝)とのコンビプレーで、正比古に罠を仕掛け、じわじわと追い詰める!殺人鬼VS火村の緊迫感あふれる心理戦!そして、明らかになる恐るべき殺害動機とは!?今回は、古畑任三郎や刑事コロンボでお馴染み、“真犯人を追い込む名探偵”の白熱する倒叙式ミステリーです!")</f>
        <v>  【第五話ゲスト】宅麻伸、小島梨里杏芸能プロダクション社長の夕狩正比古(宅麻伸)は、恋人の愉良(小島梨里杏)を殺害。完全犯罪を目論むが、見抜いた火村(斎藤工)は、アリス(窪田正孝)とのコンビプレーで、正比古に罠を仕掛け、じわじわと追い詰める!殺人鬼VS火村の緊迫感あふれる心理戦!そして、明らかになる恐るべき殺害動機とは!?今回は、古畑任三郎や刑事コロンボでお馴染み、“真犯人を追い込む名探偵”の白熱する倒叙式ミステリーです!</v>
      </c>
      <c r="O3732" s="2"/>
      <c r="P3732" s="1"/>
      <c r="Q3732" s="1"/>
      <c r="R3732" s="1"/>
      <c r="S3732" s="1"/>
      <c r="T3732" s="1"/>
      <c r="U3732" s="1"/>
      <c r="V3732" s="1"/>
      <c r="W3732" s="1"/>
      <c r="X3732" s="1"/>
      <c r="Y3732" s="1"/>
      <c r="Z3732" s="1"/>
      <c r="AA3732" s="1"/>
      <c r="AB3732" s="1"/>
      <c r="AC3732" s="1"/>
      <c r="AD3732" s="1"/>
      <c r="AE3732" s="1"/>
      <c r="AF3732" s="1"/>
      <c r="AG3732" s="1"/>
      <c r="AH3732" s="1"/>
      <c r="AI3732" s="1"/>
      <c r="AJ3732" s="1"/>
      <c r="AK3732" s="1"/>
      <c r="AL3732" s="1"/>
      <c r="AM3732" s="1"/>
      <c r="AN3732" s="1"/>
      <c r="AO3732" s="1"/>
      <c r="AP3732" s="1"/>
      <c r="AQ3732" s="1"/>
      <c r="AR3732" s="1"/>
      <c r="AS3732" s="1"/>
      <c r="AT3732" s="1"/>
      <c r="AU3732" s="1"/>
      <c r="AV3732" s="1"/>
      <c r="AW3732" s="1"/>
      <c r="AX3732" s="1"/>
      <c r="AY3732" s="1"/>
      <c r="AZ3732" s="1"/>
      <c r="BA3732" s="1"/>
      <c r="BB3732" s="1"/>
    </row>
    <row r="3733" ht="204.75" customHeight="1">
      <c r="A3733" s="1">
        <v>1870.0</v>
      </c>
      <c r="B3733" s="2" t="s">
        <v>11244</v>
      </c>
      <c r="C3733" s="2">
        <f>IFERROR(__xludf.DUMMYFUNCTION("split(B3733,""_"")"),1601.0)</f>
        <v>1601</v>
      </c>
      <c r="D3733" s="2" t="str">
        <f>IFERROR(__xludf.DUMMYFUNCTION("""COMPUTED_VALUE"""),"NTV")</f>
        <v>NTV</v>
      </c>
      <c r="E3733" s="2" t="str">
        <f>IFERROR(__xludf.DUMMYFUNCTION("""COMPUTED_VALUE"""),"日22")</f>
        <v>日22</v>
      </c>
      <c r="F3733" s="2" t="s">
        <v>11245</v>
      </c>
      <c r="G3733" s="2" t="s">
        <v>11261</v>
      </c>
      <c r="H3733" s="1">
        <v>6.0</v>
      </c>
      <c r="I3733" s="1" t="s">
        <v>21</v>
      </c>
      <c r="J3733" s="1" t="s">
        <v>82</v>
      </c>
      <c r="K3733" s="2" t="s">
        <v>11262</v>
      </c>
      <c r="L3733" s="2" t="s">
        <v>11263</v>
      </c>
      <c r="M3733" s="2" t="str">
        <f>IFERROR(__xludf.DUMMYFUNCTION("split(split(K3733,""【演出"",false),""ほか"",false)"),"【レギュラー】斎藤工、窪田正孝、優香、山本美月、マキタスポーツ、清水一希、堀口ひかる、松永渚、小野寺晃良、松澤一之、長谷川京子、生瀬勝久、夏木マリ　")</f>
        <v>【レギュラー】斎藤工、窪田正孝、優香、山本美月、マキタスポーツ、清水一希、堀口ひかる、松永渚、小野寺晃良、松澤一之、長谷川京子、生瀬勝久、夏木マリ　</v>
      </c>
      <c r="N3733" s="2" t="str">
        <f>IFERROR(__xludf.DUMMYFUNCTION("""COMPUTED_VALUE"""),"  【第六話ゲスト】山本裕典、高橋ひとみ、鈴之助、上野なつひ、大高洋夫")</f>
        <v>  【第六話ゲスト】山本裕典、高橋ひとみ、鈴之助、上野なつひ、大高洋夫</v>
      </c>
      <c r="O3733" s="2" t="str">
        <f>IFERROR(__xludf.DUMMYFUNCTION("""COMPUTED_VALUE"""),"深夜、火村(斎藤工)を挑発する謎の電話が!アリス(窪田正孝)と共に向かった先は、幽霊マンションと噂される不気味な場所。指定された806号室には、正体不明の謎の死体!このマンションには、朱美(山本美月)から依頼された事件の関係者・宗像正明(鈴之助)が住んでいた。そして、捜査線上に浮かぶ重要参考人・六人部(山本裕典)の存在。あらゆる疑惑が交差する中、幽霊マンションで起きた怪奇現象とは!?")</f>
        <v>深夜、火村(斎藤工)を挑発する謎の電話が!アリス(窪田正孝)と共に向かった先は、幽霊マンションと噂される不気味な場所。指定された806号室には、正体不明の謎の死体!このマンションには、朱美(山本美月)から依頼された事件の関係者・宗像正明(鈴之助)が住んでいた。そして、捜査線上に浮かぶ重要参考人・六人部(山本裕典)の存在。あらゆる疑惑が交差する中、幽霊マンションで起きた怪奇現象とは!?</v>
      </c>
      <c r="P3733" s="1"/>
      <c r="Q3733" s="1"/>
      <c r="R3733" s="1"/>
      <c r="S3733" s="1"/>
      <c r="T3733" s="1"/>
      <c r="U3733" s="1"/>
      <c r="V3733" s="1"/>
      <c r="W3733" s="1"/>
      <c r="X3733" s="1"/>
      <c r="Y3733" s="1"/>
      <c r="Z3733" s="1"/>
      <c r="AA3733" s="1"/>
      <c r="AB3733" s="1"/>
      <c r="AC3733" s="1"/>
      <c r="AD3733" s="1"/>
      <c r="AE3733" s="1"/>
      <c r="AF3733" s="1"/>
      <c r="AG3733" s="1"/>
      <c r="AH3733" s="1"/>
      <c r="AI3733" s="1"/>
      <c r="AJ3733" s="1"/>
      <c r="AK3733" s="1"/>
      <c r="AL3733" s="1"/>
      <c r="AM3733" s="1"/>
      <c r="AN3733" s="1"/>
      <c r="AO3733" s="1"/>
      <c r="AP3733" s="1"/>
      <c r="AQ3733" s="1"/>
      <c r="AR3733" s="1"/>
      <c r="AS3733" s="1"/>
      <c r="AT3733" s="1"/>
      <c r="AU3733" s="1"/>
      <c r="AV3733" s="1"/>
      <c r="AW3733" s="1"/>
      <c r="AX3733" s="1"/>
      <c r="AY3733" s="1"/>
      <c r="AZ3733" s="1"/>
      <c r="BA3733" s="1"/>
      <c r="BB3733" s="1"/>
    </row>
    <row r="3734" ht="204.75" customHeight="1">
      <c r="A3734" s="1">
        <v>1900.0</v>
      </c>
      <c r="B3734" s="2" t="s">
        <v>11264</v>
      </c>
      <c r="C3734" s="2">
        <f>IFERROR(__xludf.DUMMYFUNCTION("split(B3734,""_"")"),1510.0)</f>
        <v>1510</v>
      </c>
      <c r="D3734" s="2" t="str">
        <f>IFERROR(__xludf.DUMMYFUNCTION("""COMPUTED_VALUE"""),"NTV")</f>
        <v>NTV</v>
      </c>
      <c r="E3734" s="2" t="str">
        <f>IFERROR(__xludf.DUMMYFUNCTION("""COMPUTED_VALUE"""),"水22")</f>
        <v>水22</v>
      </c>
      <c r="F3734" s="2" t="s">
        <v>11265</v>
      </c>
      <c r="G3734" s="2" t="s">
        <v>11266</v>
      </c>
      <c r="H3734" s="1">
        <v>1.0</v>
      </c>
      <c r="I3734" s="1" t="s">
        <v>2868</v>
      </c>
      <c r="J3734" s="1" t="s">
        <v>82</v>
      </c>
      <c r="K3734" s="2" t="s">
        <v>11267</v>
      </c>
      <c r="L3734" s="11" t="s">
        <v>11268</v>
      </c>
      <c r="M3734" s="2" t="str">
        <f>IFERROR(__xludf.DUMMYFUNCTION("split(split(K3734,""【演出"",false),""ほか"",false)"),"天海祐希、沢村一樹、内田有紀、工藤阿須加、坂井真紀、佐藤二朗、柴本幸、田中要次、キムラ緑子、富司純子　")</f>
        <v>天海祐希、沢村一樹、内田有紀、工藤阿須加、坂井真紀、佐藤二朗、柴本幸、田中要次、キムラ緑子、富司純子　</v>
      </c>
      <c r="N3734" s="2" t="str">
        <f>IFERROR(__xludf.DUMMYFUNCTION("""COMPUTED_VALUE"""),"世間に背を向け、本だけを愛する図書館司書・ヒロ(天海祐希)。孤独を貫く彼女は穏やかな笑みを浮かべ、心の中では悪態をつく人嫌い。ヒロはかつての恋人・超治(沢村一樹)と再会し、超治は幼稚園の園長代理を務めていた。25年前、超治は突然姿を消し二人の関係は終わった。ヒロは超治が自分を捨てた理由が気にかかっていた。ヒロが理由を尋ねると、超治は自分がゲイだと告白。さらに、ヒロに結婚してほしいと言い出し…")</f>
        <v>世間に背を向け、本だけを愛する図書館司書・ヒロ(天海祐希)。孤独を貫く彼女は穏やかな笑みを浮かべ、心の中では悪態をつく人嫌い。ヒロはかつての恋人・超治(沢村一樹)と再会し、超治は幼稚園の園長代理を務めていた。25年前、超治は突然姿を消し二人の関係は終わった。ヒロは超治が自分を捨てた理由が気にかかっていた。ヒロが理由を尋ねると、超治は自分がゲイだと告白。さらに、ヒロに結婚してほしいと言い出し…</v>
      </c>
      <c r="O3734" s="2"/>
      <c r="P3734" s="1"/>
      <c r="Q3734" s="1"/>
      <c r="R3734" s="1"/>
      <c r="S3734" s="1"/>
      <c r="T3734" s="1"/>
      <c r="U3734" s="1"/>
      <c r="V3734" s="1"/>
      <c r="W3734" s="1"/>
      <c r="X3734" s="1"/>
      <c r="Y3734" s="1"/>
      <c r="Z3734" s="1"/>
      <c r="AA3734" s="1"/>
      <c r="AB3734" s="1"/>
      <c r="AC3734" s="1"/>
      <c r="AD3734" s="1"/>
      <c r="AE3734" s="1"/>
      <c r="AF3734" s="1"/>
      <c r="AG3734" s="1"/>
      <c r="AH3734" s="1"/>
      <c r="AI3734" s="1"/>
      <c r="AJ3734" s="1"/>
      <c r="AK3734" s="1"/>
      <c r="AL3734" s="1"/>
      <c r="AM3734" s="1"/>
      <c r="AN3734" s="1"/>
      <c r="AO3734" s="1"/>
      <c r="AP3734" s="1"/>
      <c r="AQ3734" s="1"/>
      <c r="AR3734" s="1"/>
      <c r="AS3734" s="1"/>
      <c r="AT3734" s="1"/>
      <c r="AU3734" s="1"/>
      <c r="AV3734" s="1"/>
      <c r="AW3734" s="1"/>
      <c r="AX3734" s="1"/>
      <c r="AY3734" s="1"/>
      <c r="AZ3734" s="1"/>
      <c r="BA3734" s="1"/>
      <c r="BB3734" s="1"/>
    </row>
    <row r="3735" ht="204.75" customHeight="1">
      <c r="A3735" s="1">
        <v>1901.0</v>
      </c>
      <c r="B3735" s="2" t="s">
        <v>11264</v>
      </c>
      <c r="C3735" s="2">
        <f>IFERROR(__xludf.DUMMYFUNCTION("split(B3735,""_"")"),1510.0)</f>
        <v>1510</v>
      </c>
      <c r="D3735" s="2" t="str">
        <f>IFERROR(__xludf.DUMMYFUNCTION("""COMPUTED_VALUE"""),"NTV")</f>
        <v>NTV</v>
      </c>
      <c r="E3735" s="2" t="str">
        <f>IFERROR(__xludf.DUMMYFUNCTION("""COMPUTED_VALUE"""),"水22")</f>
        <v>水22</v>
      </c>
      <c r="F3735" s="2" t="s">
        <v>11265</v>
      </c>
      <c r="G3735" s="2" t="s">
        <v>11269</v>
      </c>
      <c r="H3735" s="1">
        <v>2.0</v>
      </c>
      <c r="I3735" s="1" t="s">
        <v>2872</v>
      </c>
      <c r="J3735" s="1" t="s">
        <v>82</v>
      </c>
      <c r="K3735" s="2" t="s">
        <v>11270</v>
      </c>
      <c r="L3735" s="11" t="s">
        <v>11271</v>
      </c>
      <c r="M3735" s="2" t="str">
        <f>IFERROR(__xludf.DUMMYFUNCTION("split(split(K3735,""【演出"",false),""ほか"",false)"),"天海祐希、沢村一樹、内田有紀、工藤阿須加、坂井真紀、佐藤二朗、柴本幸、田中要次、キムラ緑子、富司純子　")</f>
        <v>天海祐希、沢村一樹、内田有紀、工藤阿須加、坂井真紀、佐藤二朗、柴本幸、田中要次、キムラ緑子、富司純子　</v>
      </c>
      <c r="N3735" s="2" t="str">
        <f>IFERROR(__xludf.DUMMYFUNCTION("""COMPUTED_VALUE"""),"超治(沢村一樹)の「偽装結婚してほしい」という頼みを断ったヒロ(天海祐希)。今度は、シングルマザーのしおり(内田有紀)がヒロにプロポーズ?!ヒロは、新しい住まいを見つけるまでは超治の家へ。そこへ華苗(富司純子)がやってくる。ヒロは華苗に、超治とは結婚できないと告げ家を出ていく。諦められない華苗は、ヒロの親戚に会いたいと言い、ヒロは申し出を断りきれず、超治と華苗を連れ叔母の照乃(キムラ緑子)を訪ね…")</f>
        <v>超治(沢村一樹)の「偽装結婚してほしい」という頼みを断ったヒロ(天海祐希)。今度は、シングルマザーのしおり(内田有紀)がヒロにプロポーズ?!ヒロは、新しい住まいを見つけるまでは超治の家へ。そこへ華苗(富司純子)がやってくる。ヒロは華苗に、超治とは結婚できないと告げ家を出ていく。諦められない華苗は、ヒロの親戚に会いたいと言い、ヒロは申し出を断りきれず、超治と華苗を連れ叔母の照乃(キムラ緑子)を訪ね…</v>
      </c>
      <c r="O3735" s="2"/>
      <c r="P3735" s="1"/>
      <c r="Q3735" s="1"/>
      <c r="R3735" s="1"/>
      <c r="S3735" s="1"/>
      <c r="T3735" s="1"/>
      <c r="U3735" s="1"/>
      <c r="V3735" s="1"/>
      <c r="W3735" s="1"/>
      <c r="X3735" s="1"/>
      <c r="Y3735" s="1"/>
      <c r="Z3735" s="1"/>
      <c r="AA3735" s="1"/>
      <c r="AB3735" s="1"/>
      <c r="AC3735" s="1"/>
      <c r="AD3735" s="1"/>
      <c r="AE3735" s="1"/>
      <c r="AF3735" s="1"/>
      <c r="AG3735" s="1"/>
      <c r="AH3735" s="1"/>
      <c r="AI3735" s="1"/>
      <c r="AJ3735" s="1"/>
      <c r="AK3735" s="1"/>
      <c r="AL3735" s="1"/>
      <c r="AM3735" s="1"/>
      <c r="AN3735" s="1"/>
      <c r="AO3735" s="1"/>
      <c r="AP3735" s="1"/>
      <c r="AQ3735" s="1"/>
      <c r="AR3735" s="1"/>
      <c r="AS3735" s="1"/>
      <c r="AT3735" s="1"/>
      <c r="AU3735" s="1"/>
      <c r="AV3735" s="1"/>
      <c r="AW3735" s="1"/>
      <c r="AX3735" s="1"/>
      <c r="AY3735" s="1"/>
      <c r="AZ3735" s="1"/>
      <c r="BA3735" s="1"/>
      <c r="BB3735" s="1"/>
    </row>
    <row r="3736" ht="204.75" customHeight="1">
      <c r="A3736" s="1">
        <v>1902.0</v>
      </c>
      <c r="B3736" s="2" t="s">
        <v>11264</v>
      </c>
      <c r="C3736" s="2">
        <f>IFERROR(__xludf.DUMMYFUNCTION("split(B3736,""_"")"),1510.0)</f>
        <v>1510</v>
      </c>
      <c r="D3736" s="2" t="str">
        <f>IFERROR(__xludf.DUMMYFUNCTION("""COMPUTED_VALUE"""),"NTV")</f>
        <v>NTV</v>
      </c>
      <c r="E3736" s="2" t="str">
        <f>IFERROR(__xludf.DUMMYFUNCTION("""COMPUTED_VALUE"""),"水22")</f>
        <v>水22</v>
      </c>
      <c r="F3736" s="2" t="s">
        <v>11265</v>
      </c>
      <c r="G3736" s="2" t="s">
        <v>11272</v>
      </c>
      <c r="H3736" s="1">
        <v>3.0</v>
      </c>
      <c r="I3736" s="1" t="s">
        <v>2876</v>
      </c>
      <c r="J3736" s="1" t="s">
        <v>82</v>
      </c>
      <c r="K3736" s="2" t="s">
        <v>11273</v>
      </c>
      <c r="L3736" s="11" t="s">
        <v>11274</v>
      </c>
      <c r="M3736" s="2" t="str">
        <f>IFERROR(__xludf.DUMMYFUNCTION("split(split(K3736,""【演出"",false),""ほか"",false)"),"天海祐希、沢村一樹、内田有紀、工藤阿須加、坂井真紀、佐藤二朗、柴本幸、田中要次、キムラ緑子、富司純子　")</f>
        <v>天海祐希、沢村一樹、内田有紀、工藤阿須加、坂井真紀、佐藤二朗、柴本幸、田中要次、キムラ緑子、富司純子　</v>
      </c>
      <c r="N3736" s="2" t="str">
        <f>IFERROR(__xludf.DUMMYFUNCTION("""COMPUTED_VALUE"""),"ヒロ(天海祐希)は、華苗(富司純子)から、超治(沢村一樹)と結婚式を挙げてほしいと婚姻届まで渡される。最初ははぐらかす2人だったが、超治がいくら言っても聞く耳を持たず、勝手に式場を決め、ついには激しい親子ゲンカに発展。見ていられなくなったヒロは、結婚式をすることを決意する。一方、招待状を届けに行った先で、超治は保が脅迫されている所に遭遇してしまい…。結婚式当日に明かされるもう一つの嘘とはー?")</f>
        <v>ヒロ(天海祐希)は、華苗(富司純子)から、超治(沢村一樹)と結婚式を挙げてほしいと婚姻届まで渡される。最初ははぐらかす2人だったが、超治がいくら言っても聞く耳を持たず、勝手に式場を決め、ついには激しい親子ゲンカに発展。見ていられなくなったヒロは、結婚式をすることを決意する。一方、招待状を届けに行った先で、超治は保が脅迫されている所に遭遇してしまい…。結婚式当日に明かされるもう一つの嘘とはー?</v>
      </c>
      <c r="O3736" s="2"/>
      <c r="P3736" s="1"/>
      <c r="Q3736" s="1"/>
      <c r="R3736" s="1"/>
      <c r="S3736" s="1"/>
      <c r="T3736" s="1"/>
      <c r="U3736" s="1"/>
      <c r="V3736" s="1"/>
      <c r="W3736" s="1"/>
      <c r="X3736" s="1"/>
      <c r="Y3736" s="1"/>
      <c r="Z3736" s="1"/>
      <c r="AA3736" s="1"/>
      <c r="AB3736" s="1"/>
      <c r="AC3736" s="1"/>
      <c r="AD3736" s="1"/>
      <c r="AE3736" s="1"/>
      <c r="AF3736" s="1"/>
      <c r="AG3736" s="1"/>
      <c r="AH3736" s="1"/>
      <c r="AI3736" s="1"/>
      <c r="AJ3736" s="1"/>
      <c r="AK3736" s="1"/>
      <c r="AL3736" s="1"/>
      <c r="AM3736" s="1"/>
      <c r="AN3736" s="1"/>
      <c r="AO3736" s="1"/>
      <c r="AP3736" s="1"/>
      <c r="AQ3736" s="1"/>
      <c r="AR3736" s="1"/>
      <c r="AS3736" s="1"/>
      <c r="AT3736" s="1"/>
      <c r="AU3736" s="1"/>
      <c r="AV3736" s="1"/>
      <c r="AW3736" s="1"/>
      <c r="AX3736" s="1"/>
      <c r="AY3736" s="1"/>
      <c r="AZ3736" s="1"/>
      <c r="BA3736" s="1"/>
      <c r="BB3736" s="1"/>
    </row>
    <row r="3737" ht="204.75" customHeight="1">
      <c r="A3737" s="1">
        <v>1903.0</v>
      </c>
      <c r="B3737" s="2" t="s">
        <v>11264</v>
      </c>
      <c r="C3737" s="2">
        <f>IFERROR(__xludf.DUMMYFUNCTION("split(B3737,""_"")"),1510.0)</f>
        <v>1510</v>
      </c>
      <c r="D3737" s="2" t="str">
        <f>IFERROR(__xludf.DUMMYFUNCTION("""COMPUTED_VALUE"""),"NTV")</f>
        <v>NTV</v>
      </c>
      <c r="E3737" s="2" t="str">
        <f>IFERROR(__xludf.DUMMYFUNCTION("""COMPUTED_VALUE"""),"水22")</f>
        <v>水22</v>
      </c>
      <c r="F3737" s="2" t="s">
        <v>11265</v>
      </c>
      <c r="G3737" s="2" t="s">
        <v>11275</v>
      </c>
      <c r="H3737" s="1">
        <v>4.0</v>
      </c>
      <c r="I3737" s="1" t="s">
        <v>2880</v>
      </c>
      <c r="J3737" s="1" t="s">
        <v>82</v>
      </c>
      <c r="K3737" s="2" t="s">
        <v>11276</v>
      </c>
      <c r="L3737" s="11" t="s">
        <v>11277</v>
      </c>
      <c r="M3737" s="2" t="str">
        <f>IFERROR(__xludf.DUMMYFUNCTION("split(split(K3737,""【演出"",false),""ほか"",false)"),"天海祐希、沢村一樹、内田有紀、工藤阿須加、坂井真紀、佐藤二朗、柴本幸、田中要次、キムラ緑子、富司純子　")</f>
        <v>天海祐希、沢村一樹、内田有紀、工藤阿須加、坂井真紀、佐藤二朗、柴本幸、田中要次、キムラ緑子、富司純子　</v>
      </c>
      <c r="N3737" s="2" t="str">
        <f>IFERROR(__xludf.DUMMYFUNCTION("""COMPUTED_VALUE"""),"ヒロ(天海祐希)は華苗(富司純子)から、病気が嘘であったと明かされ、何のために偽装結婚したのか、自問自答する。そんなヒロの葛藤も知らず、保(工藤阿須加)へ急接近する超治(沢村一樹)。ヒロは思わずしおり(内田有紀)に「友達の話なんですが…」と悩みを打ち明ける。そんなある夜、保に「好きだ!」と打ち明けた超治が酔って帰宅。「ヒロ～、どうしよう!」いつものように頼って来る彼についにヒロの怒りが爆発する!")</f>
        <v>ヒロ(天海祐希)は華苗(富司純子)から、病気が嘘であったと明かされ、何のために偽装結婚したのか、自問自答する。そんなヒロの葛藤も知らず、保(工藤阿須加)へ急接近する超治(沢村一樹)。ヒロは思わずしおり(内田有紀)に「友達の話なんですが…」と悩みを打ち明ける。そんなある夜、保に「好きだ!」と打ち明けた超治が酔って帰宅。「ヒロ～、どうしよう!」いつものように頼って来る彼についにヒロの怒りが爆発する!</v>
      </c>
      <c r="O3737" s="2"/>
      <c r="P3737" s="1"/>
      <c r="Q3737" s="1"/>
      <c r="R3737" s="1"/>
      <c r="S3737" s="1"/>
      <c r="T3737" s="1"/>
      <c r="U3737" s="1"/>
      <c r="V3737" s="1"/>
      <c r="W3737" s="1"/>
      <c r="X3737" s="1"/>
      <c r="Y3737" s="1"/>
      <c r="Z3737" s="1"/>
      <c r="AA3737" s="1"/>
      <c r="AB3737" s="1"/>
      <c r="AC3737" s="1"/>
      <c r="AD3737" s="1"/>
      <c r="AE3737" s="1"/>
      <c r="AF3737" s="1"/>
      <c r="AG3737" s="1"/>
      <c r="AH3737" s="1"/>
      <c r="AI3737" s="1"/>
      <c r="AJ3737" s="1"/>
      <c r="AK3737" s="1"/>
      <c r="AL3737" s="1"/>
      <c r="AM3737" s="1"/>
      <c r="AN3737" s="1"/>
      <c r="AO3737" s="1"/>
      <c r="AP3737" s="1"/>
      <c r="AQ3737" s="1"/>
      <c r="AR3737" s="1"/>
      <c r="AS3737" s="1"/>
      <c r="AT3737" s="1"/>
      <c r="AU3737" s="1"/>
      <c r="AV3737" s="1"/>
      <c r="AW3737" s="1"/>
      <c r="AX3737" s="1"/>
      <c r="AY3737" s="1"/>
      <c r="AZ3737" s="1"/>
      <c r="BA3737" s="1"/>
      <c r="BB3737" s="1"/>
    </row>
    <row r="3738" ht="204.75" customHeight="1">
      <c r="A3738" s="1">
        <v>1904.0</v>
      </c>
      <c r="B3738" s="2" t="s">
        <v>11264</v>
      </c>
      <c r="C3738" s="2">
        <f>IFERROR(__xludf.DUMMYFUNCTION("split(B3738,""_"")"),1510.0)</f>
        <v>1510</v>
      </c>
      <c r="D3738" s="2" t="str">
        <f>IFERROR(__xludf.DUMMYFUNCTION("""COMPUTED_VALUE"""),"NTV")</f>
        <v>NTV</v>
      </c>
      <c r="E3738" s="2" t="str">
        <f>IFERROR(__xludf.DUMMYFUNCTION("""COMPUTED_VALUE"""),"水22")</f>
        <v>水22</v>
      </c>
      <c r="F3738" s="2" t="s">
        <v>11265</v>
      </c>
      <c r="G3738" s="2" t="s">
        <v>11278</v>
      </c>
      <c r="H3738" s="1">
        <v>5.0</v>
      </c>
      <c r="I3738" s="1" t="s">
        <v>2884</v>
      </c>
      <c r="J3738" s="1" t="s">
        <v>82</v>
      </c>
      <c r="K3738" s="2" t="s">
        <v>11279</v>
      </c>
      <c r="L3738" s="11" t="s">
        <v>11280</v>
      </c>
      <c r="M3738" s="2" t="str">
        <f>IFERROR(__xludf.DUMMYFUNCTION("split(split(K3738,""【演出"",false),""ほか"",false)"),"天海祐希、沢村一樹、内田有紀、工藤阿須加、坂井真紀、佐藤二朗、柴本幸、田中要次、キムラ緑子、富司純子　")</f>
        <v>天海祐希、沢村一樹、内田有紀、工藤阿須加、坂井真紀、佐藤二朗、柴本幸、田中要次、キムラ緑子、富司純子　</v>
      </c>
      <c r="N3738" s="2" t="str">
        <f>IFERROR(__xludf.DUMMYFUNCTION("""COMPUTED_VALUE"""),"超治(沢村一樹)を好きになったのでは?と自覚するヒロ(天海祐希)。一方、超治は保(工藤阿須加)に夢中。超治の告白に戸惑う保(工藤阿須加)から相談されたヒロは、告白に深い意味はないと超治をフォローするハメに。超治はホームパーティーを開き、ヒロと超治は2人の出会いについて語る。そこへ八重子(坂井真紀)がやって来て、様子がおかしいと心配になるヒロ。そして、ヒロは天人(佐藤二朗)から意外な告白を聞かされ…")</f>
        <v>超治(沢村一樹)を好きになったのでは?と自覚するヒロ(天海祐希)。一方、超治は保(工藤阿須加)に夢中。超治の告白に戸惑う保(工藤阿須加)から相談されたヒロは、告白に深い意味はないと超治をフォローするハメに。超治はホームパーティーを開き、ヒロと超治は2人の出会いについて語る。そこへ八重子(坂井真紀)がやって来て、様子がおかしいと心配になるヒロ。そして、ヒロは天人(佐藤二朗)から意外な告白を聞かされ…</v>
      </c>
      <c r="O3738" s="2"/>
      <c r="P3738" s="1"/>
      <c r="Q3738" s="1"/>
      <c r="R3738" s="1"/>
      <c r="S3738" s="1"/>
      <c r="T3738" s="1"/>
      <c r="U3738" s="1"/>
      <c r="V3738" s="1"/>
      <c r="W3738" s="1"/>
      <c r="X3738" s="1"/>
      <c r="Y3738" s="1"/>
      <c r="Z3738" s="1"/>
      <c r="AA3738" s="1"/>
      <c r="AB3738" s="1"/>
      <c r="AC3738" s="1"/>
      <c r="AD3738" s="1"/>
      <c r="AE3738" s="1"/>
      <c r="AF3738" s="1"/>
      <c r="AG3738" s="1"/>
      <c r="AH3738" s="1"/>
      <c r="AI3738" s="1"/>
      <c r="AJ3738" s="1"/>
      <c r="AK3738" s="1"/>
      <c r="AL3738" s="1"/>
      <c r="AM3738" s="1"/>
      <c r="AN3738" s="1"/>
      <c r="AO3738" s="1"/>
      <c r="AP3738" s="1"/>
      <c r="AQ3738" s="1"/>
      <c r="AR3738" s="1"/>
      <c r="AS3738" s="1"/>
      <c r="AT3738" s="1"/>
      <c r="AU3738" s="1"/>
      <c r="AV3738" s="1"/>
      <c r="AW3738" s="1"/>
      <c r="AX3738" s="1"/>
      <c r="AY3738" s="1"/>
      <c r="AZ3738" s="1"/>
      <c r="BA3738" s="1"/>
      <c r="BB3738" s="1"/>
    </row>
    <row r="3739" ht="204.75" customHeight="1">
      <c r="A3739" s="1">
        <v>1905.0</v>
      </c>
      <c r="B3739" s="2" t="s">
        <v>11264</v>
      </c>
      <c r="C3739" s="2">
        <f>IFERROR(__xludf.DUMMYFUNCTION("split(B3739,""_"")"),1510.0)</f>
        <v>1510</v>
      </c>
      <c r="D3739" s="2" t="str">
        <f>IFERROR(__xludf.DUMMYFUNCTION("""COMPUTED_VALUE"""),"NTV")</f>
        <v>NTV</v>
      </c>
      <c r="E3739" s="2" t="str">
        <f>IFERROR(__xludf.DUMMYFUNCTION("""COMPUTED_VALUE"""),"水22")</f>
        <v>水22</v>
      </c>
      <c r="F3739" s="2" t="s">
        <v>11265</v>
      </c>
      <c r="G3739" s="2" t="s">
        <v>11281</v>
      </c>
      <c r="H3739" s="1">
        <v>6.0</v>
      </c>
      <c r="I3739" s="1" t="s">
        <v>2888</v>
      </c>
      <c r="J3739" s="1" t="s">
        <v>82</v>
      </c>
      <c r="K3739" s="2" t="s">
        <v>11282</v>
      </c>
      <c r="L3739" s="11" t="s">
        <v>11283</v>
      </c>
      <c r="M3739" s="2" t="str">
        <f>IFERROR(__xludf.DUMMYFUNCTION("split(split(K3739,""【演出"",false),""ほか"",false)"),"天海祐希、沢村一樹、内田有紀、工藤阿須加、坂井真紀、佐藤二朗、柴本幸、田中要次、キムラ緑子、富司純子　")</f>
        <v>天海祐希、沢村一樹、内田有紀、工藤阿須加、坂井真紀、佐藤二朗、柴本幸、田中要次、キムラ緑子、富司純子　</v>
      </c>
      <c r="N3739" s="2" t="str">
        <f>IFERROR(__xludf.DUMMYFUNCTION("""COMPUTED_VALUE"""),"ヒロ(天海祐希)は、保(工藤阿須加)に告白すると帰ってこなかった超治(沢村一樹)のことが気がかり。また、超治から保との一夜に何があったかを聞き、複雑な心境になる中、超治に助けを求められる。しおり(内田有紀)がユウ(井上琳水)を前夫の皆川(神尾佑)に奪われ困っているらしい。しおりの前夫・弁護士の皆川は暴力と、離婚後もストーカー行為をする男だった。ヒロはユウを奪還するために、保の力を借り作戦を考え…")</f>
        <v>ヒロ(天海祐希)は、保(工藤阿須加)に告白すると帰ってこなかった超治(沢村一樹)のことが気がかり。また、超治から保との一夜に何があったかを聞き、複雑な心境になる中、超治に助けを求められる。しおり(内田有紀)がユウ(井上琳水)を前夫の皆川(神尾佑)に奪われ困っているらしい。しおりの前夫・弁護士の皆川は暴力と、離婚後もストーカー行為をする男だった。ヒロはユウを奪還するために、保の力を借り作戦を考え…</v>
      </c>
      <c r="O3739" s="2"/>
      <c r="P3739" s="1"/>
      <c r="Q3739" s="1"/>
      <c r="R3739" s="1"/>
      <c r="S3739" s="1"/>
      <c r="T3739" s="1"/>
      <c r="U3739" s="1"/>
      <c r="V3739" s="1"/>
      <c r="W3739" s="1"/>
      <c r="X3739" s="1"/>
      <c r="Y3739" s="1"/>
      <c r="Z3739" s="1"/>
      <c r="AA3739" s="1"/>
      <c r="AB3739" s="1"/>
      <c r="AC3739" s="1"/>
      <c r="AD3739" s="1"/>
      <c r="AE3739" s="1"/>
      <c r="AF3739" s="1"/>
      <c r="AG3739" s="1"/>
      <c r="AH3739" s="1"/>
      <c r="AI3739" s="1"/>
      <c r="AJ3739" s="1"/>
      <c r="AK3739" s="1"/>
      <c r="AL3739" s="1"/>
      <c r="AM3739" s="1"/>
      <c r="AN3739" s="1"/>
      <c r="AO3739" s="1"/>
      <c r="AP3739" s="1"/>
      <c r="AQ3739" s="1"/>
      <c r="AR3739" s="1"/>
      <c r="AS3739" s="1"/>
      <c r="AT3739" s="1"/>
      <c r="AU3739" s="1"/>
      <c r="AV3739" s="1"/>
      <c r="AW3739" s="1"/>
      <c r="AX3739" s="1"/>
      <c r="AY3739" s="1"/>
      <c r="AZ3739" s="1"/>
      <c r="BA3739" s="1"/>
      <c r="BB3739" s="1"/>
    </row>
    <row r="3740" ht="204.75" customHeight="1">
      <c r="A3740" s="1">
        <v>1906.0</v>
      </c>
      <c r="B3740" s="2" t="s">
        <v>11264</v>
      </c>
      <c r="C3740" s="2">
        <f>IFERROR(__xludf.DUMMYFUNCTION("split(B3740,""_"")"),1510.0)</f>
        <v>1510</v>
      </c>
      <c r="D3740" s="2" t="str">
        <f>IFERROR(__xludf.DUMMYFUNCTION("""COMPUTED_VALUE"""),"NTV")</f>
        <v>NTV</v>
      </c>
      <c r="E3740" s="2" t="str">
        <f>IFERROR(__xludf.DUMMYFUNCTION("""COMPUTED_VALUE"""),"水22")</f>
        <v>水22</v>
      </c>
      <c r="F3740" s="2" t="s">
        <v>11265</v>
      </c>
      <c r="G3740" s="2" t="s">
        <v>11284</v>
      </c>
      <c r="H3740" s="1">
        <v>7.0</v>
      </c>
      <c r="I3740" s="1" t="s">
        <v>2892</v>
      </c>
      <c r="J3740" s="1" t="s">
        <v>82</v>
      </c>
      <c r="K3740" s="2" t="s">
        <v>11285</v>
      </c>
      <c r="L3740" s="11" t="s">
        <v>11286</v>
      </c>
      <c r="M3740" s="2" t="str">
        <f>IFERROR(__xludf.DUMMYFUNCTION("split(split(K3740,""【演出"",false),""ほか"",false)"),"天海祐希、沢村一樹、内田有紀、工藤阿須加、坂井真紀、佐藤二朗、柴本幸、田中要次、キムラ緑子、富司純子　")</f>
        <v>天海祐希、沢村一樹、内田有紀、工藤阿須加、坂井真紀、佐藤二朗、柴本幸、田中要次、キムラ緑子、富司純子　</v>
      </c>
      <c r="N3740" s="2" t="str">
        <f>IFERROR(__xludf.DUMMYFUNCTION("""COMPUTED_VALUE"""),"ヒロ(天海祐希)は超治(沢村一樹)に、ゲイであることを華苗(富司純子)にカミングアウトしてほしいと頼む。尻込みする超治に、ヒロは思わず「自分が本当に超治を好きになってしまったから一緒にいるのが辛い」と本音を言いそうになるのだった。そんな中、幼稚園のホームページに超治がゲイだという書き込みがされ、嫌がらせが始まる。超治が園児の保護者会で事情を説明することになり、不安を覚えるヒロだが・・・")</f>
        <v>ヒロ(天海祐希)は超治(沢村一樹)に、ゲイであることを華苗(富司純子)にカミングアウトしてほしいと頼む。尻込みする超治に、ヒロは思わず「自分が本当に超治を好きになってしまったから一緒にいるのが辛い」と本音を言いそうになるのだった。そんな中、幼稚園のホームページに超治がゲイだという書き込みがされ、嫌がらせが始まる。超治が園児の保護者会で事情を説明することになり、不安を覚えるヒロだが・・・</v>
      </c>
      <c r="O3740" s="2"/>
      <c r="P3740" s="1"/>
      <c r="Q3740" s="1"/>
      <c r="R3740" s="1"/>
      <c r="S3740" s="1"/>
      <c r="T3740" s="1"/>
      <c r="U3740" s="1"/>
      <c r="V3740" s="1"/>
      <c r="W3740" s="1"/>
      <c r="X3740" s="1"/>
      <c r="Y3740" s="1"/>
      <c r="Z3740" s="1"/>
      <c r="AA3740" s="1"/>
      <c r="AB3740" s="1"/>
      <c r="AC3740" s="1"/>
      <c r="AD3740" s="1"/>
      <c r="AE3740" s="1"/>
      <c r="AF3740" s="1"/>
      <c r="AG3740" s="1"/>
      <c r="AH3740" s="1"/>
      <c r="AI3740" s="1"/>
      <c r="AJ3740" s="1"/>
      <c r="AK3740" s="1"/>
      <c r="AL3740" s="1"/>
      <c r="AM3740" s="1"/>
      <c r="AN3740" s="1"/>
      <c r="AO3740" s="1"/>
      <c r="AP3740" s="1"/>
      <c r="AQ3740" s="1"/>
      <c r="AR3740" s="1"/>
      <c r="AS3740" s="1"/>
      <c r="AT3740" s="1"/>
      <c r="AU3740" s="1"/>
      <c r="AV3740" s="1"/>
      <c r="AW3740" s="1"/>
      <c r="AX3740" s="1"/>
      <c r="AY3740" s="1"/>
      <c r="AZ3740" s="1"/>
      <c r="BA3740" s="1"/>
      <c r="BB3740" s="1"/>
    </row>
    <row r="3741" ht="204.75" customHeight="1">
      <c r="A3741" s="1">
        <v>1907.0</v>
      </c>
      <c r="B3741" s="2" t="s">
        <v>11264</v>
      </c>
      <c r="C3741" s="2">
        <f>IFERROR(__xludf.DUMMYFUNCTION("split(B3741,""_"")"),1510.0)</f>
        <v>1510</v>
      </c>
      <c r="D3741" s="2" t="str">
        <f>IFERROR(__xludf.DUMMYFUNCTION("""COMPUTED_VALUE"""),"NTV")</f>
        <v>NTV</v>
      </c>
      <c r="E3741" s="2" t="str">
        <f>IFERROR(__xludf.DUMMYFUNCTION("""COMPUTED_VALUE"""),"水22")</f>
        <v>水22</v>
      </c>
      <c r="F3741" s="2" t="s">
        <v>11265</v>
      </c>
      <c r="G3741" s="2" t="s">
        <v>11287</v>
      </c>
      <c r="H3741" s="1">
        <v>8.0</v>
      </c>
      <c r="I3741" s="1" t="s">
        <v>2896</v>
      </c>
      <c r="J3741" s="1" t="s">
        <v>82</v>
      </c>
      <c r="K3741" s="2" t="s">
        <v>11288</v>
      </c>
      <c r="L3741" s="11" t="s">
        <v>11289</v>
      </c>
      <c r="M3741" s="2" t="str">
        <f>IFERROR(__xludf.DUMMYFUNCTION("split(split(K3741,""【演出"",false),""ほか"",false)"),"天海祐希、沢村一樹、内田有紀、工藤阿須加、坂井真紀、佐藤二朗、柴本幸、田中要次、キムラ緑子、富司純子　")</f>
        <v>天海祐希、沢村一樹、内田有紀、工藤阿須加、坂井真紀、佐藤二朗、柴本幸、田中要次、キムラ緑子、富司純子　</v>
      </c>
      <c r="N3741" s="2" t="str">
        <f>IFERROR(__xludf.DUMMYFUNCTION("""COMPUTED_VALUE"""),"ヒロ(天海祐希)は、超治(沢村一樹)に募る想いを告白し、離婚届を渡して家を飛び出した。そんな彼女に寄り添うしおり(内田有紀)の前で、ヒロは25年ぶりの涙を流した。ヒロは両親の墓参りに行き、待っていた天人(佐藤二朗)と一緒に郷田家へ行く。そこでヒロは天人と八重子(坂井真紀)から、両親の死の真相を告げられる。そんな中、ヒロは保(工藤阿須加)に、超治の様子がおかしいので会ってほしいと頼まれて…。")</f>
        <v>ヒロ(天海祐希)は、超治(沢村一樹)に募る想いを告白し、離婚届を渡して家を飛び出した。そんな彼女に寄り添うしおり(内田有紀)の前で、ヒロは25年ぶりの涙を流した。ヒロは両親の墓参りに行き、待っていた天人(佐藤二朗)と一緒に郷田家へ行く。そこでヒロは天人と八重子(坂井真紀)から、両親の死の真相を告げられる。そんな中、ヒロは保(工藤阿須加)に、超治の様子がおかしいので会ってほしいと頼まれて…。</v>
      </c>
      <c r="O3741" s="2"/>
      <c r="P3741" s="1"/>
      <c r="Q3741" s="1"/>
      <c r="R3741" s="1"/>
      <c r="S3741" s="1"/>
      <c r="T3741" s="1"/>
      <c r="U3741" s="1"/>
      <c r="V3741" s="1"/>
      <c r="W3741" s="1"/>
      <c r="X3741" s="1"/>
      <c r="Y3741" s="1"/>
      <c r="Z3741" s="1"/>
      <c r="AA3741" s="1"/>
      <c r="AB3741" s="1"/>
      <c r="AC3741" s="1"/>
      <c r="AD3741" s="1"/>
      <c r="AE3741" s="1"/>
      <c r="AF3741" s="1"/>
      <c r="AG3741" s="1"/>
      <c r="AH3741" s="1"/>
      <c r="AI3741" s="1"/>
      <c r="AJ3741" s="1"/>
      <c r="AK3741" s="1"/>
      <c r="AL3741" s="1"/>
      <c r="AM3741" s="1"/>
      <c r="AN3741" s="1"/>
      <c r="AO3741" s="1"/>
      <c r="AP3741" s="1"/>
      <c r="AQ3741" s="1"/>
      <c r="AR3741" s="1"/>
      <c r="AS3741" s="1"/>
      <c r="AT3741" s="1"/>
      <c r="AU3741" s="1"/>
      <c r="AV3741" s="1"/>
      <c r="AW3741" s="1"/>
      <c r="AX3741" s="1"/>
      <c r="AY3741" s="1"/>
      <c r="AZ3741" s="1"/>
      <c r="BA3741" s="1"/>
      <c r="BB3741" s="1"/>
    </row>
    <row r="3742" ht="204.75" customHeight="1">
      <c r="A3742" s="1">
        <v>1908.0</v>
      </c>
      <c r="B3742" s="2" t="s">
        <v>11264</v>
      </c>
      <c r="C3742" s="2">
        <f>IFERROR(__xludf.DUMMYFUNCTION("split(B3742,""_"")"),1510.0)</f>
        <v>1510</v>
      </c>
      <c r="D3742" s="2" t="str">
        <f>IFERROR(__xludf.DUMMYFUNCTION("""COMPUTED_VALUE"""),"NTV")</f>
        <v>NTV</v>
      </c>
      <c r="E3742" s="2" t="str">
        <f>IFERROR(__xludf.DUMMYFUNCTION("""COMPUTED_VALUE"""),"水22")</f>
        <v>水22</v>
      </c>
      <c r="F3742" s="2" t="s">
        <v>11265</v>
      </c>
      <c r="G3742" s="2" t="s">
        <v>11290</v>
      </c>
      <c r="H3742" s="1">
        <v>9.0</v>
      </c>
      <c r="I3742" s="1" t="s">
        <v>2900</v>
      </c>
      <c r="J3742" s="1" t="s">
        <v>82</v>
      </c>
      <c r="K3742" s="2" t="s">
        <v>11291</v>
      </c>
      <c r="L3742" s="11" t="s">
        <v>11292</v>
      </c>
      <c r="M3742" s="2" t="str">
        <f>IFERROR(__xludf.DUMMYFUNCTION("split(split(K3742,""【演出"",false),""ほか"",false)"),"天海祐希、沢村一樹、内田有紀、工藤阿須加、坂井真紀、佐藤二朗、柴本幸、田中要次、キムラ緑子、富司純子　")</f>
        <v>天海祐希、沢村一樹、内田有紀、工藤阿須加、坂井真紀、佐藤二朗、柴本幸、田中要次、キムラ緑子、富司純子　</v>
      </c>
      <c r="N3742" s="2" t="str">
        <f>IFERROR(__xludf.DUMMYFUNCTION("""COMPUTED_VALUE"""),"ヒロ(天海祐希)は、超治(沢村一樹)と正式に離婚し、偽装結婚を解消。「一年後にお互い付き合っている人がいたら同じ場所で同じ時間に再会して、その人を紹介し合おう」と約束し、二人は別れた。そして一年後。ヒロと超治は、約束の場所で再会する。心の中で悪態をつくことを止め、柔らかい雰囲気を漂わせるヒロと、ちょっとワイルドになった超治。二人は、一年をどのように過ごしてきたのかを語り合う。")</f>
        <v>ヒロ(天海祐希)は、超治(沢村一樹)と正式に離婚し、偽装結婚を解消。「一年後にお互い付き合っている人がいたら同じ場所で同じ時間に再会して、その人を紹介し合おう」と約束し、二人は別れた。そして一年後。ヒロと超治は、約束の場所で再会する。心の中で悪態をつくことを止め、柔らかい雰囲気を漂わせるヒロと、ちょっとワイルドになった超治。二人は、一年をどのように過ごしてきたのかを語り合う。</v>
      </c>
      <c r="O3742" s="2"/>
      <c r="P3742" s="1"/>
      <c r="Q3742" s="1"/>
      <c r="R3742" s="1"/>
      <c r="S3742" s="1"/>
      <c r="T3742" s="1"/>
      <c r="U3742" s="1"/>
      <c r="V3742" s="1"/>
      <c r="W3742" s="1"/>
      <c r="X3742" s="1"/>
      <c r="Y3742" s="1"/>
      <c r="Z3742" s="1"/>
      <c r="AA3742" s="1"/>
      <c r="AB3742" s="1"/>
      <c r="AC3742" s="1"/>
      <c r="AD3742" s="1"/>
      <c r="AE3742" s="1"/>
      <c r="AF3742" s="1"/>
      <c r="AG3742" s="1"/>
      <c r="AH3742" s="1"/>
      <c r="AI3742" s="1"/>
      <c r="AJ3742" s="1"/>
      <c r="AK3742" s="1"/>
      <c r="AL3742" s="1"/>
      <c r="AM3742" s="1"/>
      <c r="AN3742" s="1"/>
      <c r="AO3742" s="1"/>
      <c r="AP3742" s="1"/>
      <c r="AQ3742" s="1"/>
      <c r="AR3742" s="1"/>
      <c r="AS3742" s="1"/>
      <c r="AT3742" s="1"/>
      <c r="AU3742" s="1"/>
      <c r="AV3742" s="1"/>
      <c r="AW3742" s="1"/>
      <c r="AX3742" s="1"/>
      <c r="AY3742" s="1"/>
      <c r="AZ3742" s="1"/>
      <c r="BA3742" s="1"/>
      <c r="BB3742" s="1"/>
    </row>
    <row r="3743" ht="204.75" customHeight="1">
      <c r="A3743" s="1">
        <v>1909.0</v>
      </c>
      <c r="B3743" s="2" t="s">
        <v>11264</v>
      </c>
      <c r="C3743" s="2">
        <f>IFERROR(__xludf.DUMMYFUNCTION("split(B3743,""_"")"),1510.0)</f>
        <v>1510</v>
      </c>
      <c r="D3743" s="2" t="str">
        <f>IFERROR(__xludf.DUMMYFUNCTION("""COMPUTED_VALUE"""),"NTV")</f>
        <v>NTV</v>
      </c>
      <c r="E3743" s="2" t="str">
        <f>IFERROR(__xludf.DUMMYFUNCTION("""COMPUTED_VALUE"""),"水22")</f>
        <v>水22</v>
      </c>
      <c r="F3743" s="2" t="s">
        <v>11265</v>
      </c>
      <c r="G3743" s="2" t="s">
        <v>11293</v>
      </c>
      <c r="H3743" s="1">
        <v>10.0</v>
      </c>
      <c r="I3743" s="1" t="s">
        <v>37</v>
      </c>
      <c r="J3743" s="1" t="s">
        <v>82</v>
      </c>
      <c r="K3743" s="2" t="s">
        <v>11294</v>
      </c>
      <c r="L3743" s="11" t="s">
        <v>11295</v>
      </c>
      <c r="M3743" s="2" t="str">
        <f>IFERROR(__xludf.DUMMYFUNCTION("split(split(K3743,""【演出"",false),""ほか"",false)"),"天海祐希、沢村一樹、内田有紀、工藤阿須加、坂井真紀、佐藤二朗、柴本幸、田中要次、キムラ緑子、富司純子　")</f>
        <v>天海祐希、沢村一樹、内田有紀、工藤阿須加、坂井真紀、佐藤二朗、柴本幸、田中要次、キムラ緑子、富司純子　</v>
      </c>
      <c r="N3743" s="2" t="str">
        <f>IFERROR(__xludf.DUMMYFUNCTION("""COMPUTED_VALUE"""),"ヒロ(天海祐希)は超治(沢村一樹)から「もう一度やり直したい」と告白される。心揺れるヒロだったが「やり直すなら、お互いのパートナーと別れるべき」と言い、「親友のままでいるのが一番いい」と超治に言い聞かせる。しかし、しおり(内田有紀)、ユウ(井上琳水)が待つ家に帰ってきたものの、自分の心の声をうまく抑えられなくなった彼女は、自分の思いを封じ込めるように、結婚式をしようとしおりに提案するが…")</f>
        <v>ヒロ(天海祐希)は超治(沢村一樹)から「もう一度やり直したい」と告白される。心揺れるヒロだったが「やり直すなら、お互いのパートナーと別れるべき」と言い、「親友のままでいるのが一番いい」と超治に言い聞かせる。しかし、しおり(内田有紀)、ユウ(井上琳水)が待つ家に帰ってきたものの、自分の心の声をうまく抑えられなくなった彼女は、自分の思いを封じ込めるように、結婚式をしようとしおりに提案するが…</v>
      </c>
      <c r="O3743" s="2"/>
      <c r="P3743" s="1"/>
      <c r="Q3743" s="1"/>
      <c r="R3743" s="1"/>
      <c r="S3743" s="1"/>
      <c r="T3743" s="1"/>
      <c r="U3743" s="1"/>
      <c r="V3743" s="1"/>
      <c r="W3743" s="1"/>
      <c r="X3743" s="1"/>
      <c r="Y3743" s="1"/>
      <c r="Z3743" s="1"/>
      <c r="AA3743" s="1"/>
      <c r="AB3743" s="1"/>
      <c r="AC3743" s="1"/>
      <c r="AD3743" s="1"/>
      <c r="AE3743" s="1"/>
      <c r="AF3743" s="1"/>
      <c r="AG3743" s="1"/>
      <c r="AH3743" s="1"/>
      <c r="AI3743" s="1"/>
      <c r="AJ3743" s="1"/>
      <c r="AK3743" s="1"/>
      <c r="AL3743" s="1"/>
      <c r="AM3743" s="1"/>
      <c r="AN3743" s="1"/>
      <c r="AO3743" s="1"/>
      <c r="AP3743" s="1"/>
      <c r="AQ3743" s="1"/>
      <c r="AR3743" s="1"/>
      <c r="AS3743" s="1"/>
      <c r="AT3743" s="1"/>
      <c r="AU3743" s="1"/>
      <c r="AV3743" s="1"/>
      <c r="AW3743" s="1"/>
      <c r="AX3743" s="1"/>
      <c r="AY3743" s="1"/>
      <c r="AZ3743" s="1"/>
      <c r="BA3743" s="1"/>
      <c r="BB3743" s="1"/>
    </row>
    <row r="3744" ht="204.75" customHeight="1">
      <c r="A3744" s="1">
        <v>1939.0</v>
      </c>
      <c r="B3744" s="2" t="s">
        <v>11296</v>
      </c>
      <c r="C3744" s="2">
        <f>IFERROR(__xludf.DUMMYFUNCTION("split(B3744,""_"")"),1510.0)</f>
        <v>1510</v>
      </c>
      <c r="D3744" s="2" t="str">
        <f>IFERROR(__xludf.DUMMYFUNCTION("""COMPUTED_VALUE"""),"NTV")</f>
        <v>NTV</v>
      </c>
      <c r="E3744" s="2" t="str">
        <f>IFERROR(__xludf.DUMMYFUNCTION("""COMPUTED_VALUE"""),"木23")</f>
        <v>木23</v>
      </c>
      <c r="F3744" s="2" t="s">
        <v>11297</v>
      </c>
      <c r="G3744" s="2" t="s">
        <v>11298</v>
      </c>
      <c r="H3744" s="1">
        <v>1.0</v>
      </c>
      <c r="J3744" s="1" t="s">
        <v>1435</v>
      </c>
      <c r="K3744" s="2" t="s">
        <v>11299</v>
      </c>
      <c r="L3744" s="10" t="s">
        <v>11300</v>
      </c>
      <c r="M3744" s="2" t="str">
        <f>IFERROR(__xludf.DUMMYFUNCTION("split(split(K3744,""【演出"",false),""話】"",false)"),"玉森裕太(Kis-My-Ft2)、新川優愛、高田翔(ジャニーズJr.)  柳ゆり菜、阿見201、池田沙絵美、小槙まこ、伊倉愛美、篠川桃音  宇梶剛士、高島礼子  【ゲスト】陳内将、遠山俊也、武田航平、金井勇太、池田純矢、城咲仁(他)【第1")</f>
        <v>玉森裕太(Kis-My-Ft2)、新川優愛、高田翔(ジャニーズJr.)  柳ゆり菜、阿見201、池田沙絵美、小槙まこ、伊倉愛美、篠川桃音  宇梶剛士、高島礼子  【ゲスト】陳内将、遠山俊也、武田航平、金井勇太、池田純矢、城咲仁(他)【第1</v>
      </c>
      <c r="N3744" s="2" t="str">
        <f>IFERROR(__xludf.DUMMYFUNCTION("""COMPUTED_VALUE"""),"貧乏学生の浅木晴也(玉森裕太)は、親友・窪寺和臣(高田翔)から、ミスキャンパスの能見美羽(新川優愛)を付け回すストーカーを捕まえてほしいとの依頼を受ける。報酬に目がくらみ、晴也は調査を始めるが、事件は思わぬ展開にーー?!井筒昭雄  【主題歌】  「AAO」Kis-My-Ft2  【挿入歌】  「リスタート」Honey　L　Days【原作】  「青春探偵ハルヤ」福田栄一(創元推理文庫)  【脚本】  田中眞一  ")</f>
        <v>貧乏学生の浅木晴也(玉森裕太)は、親友・窪寺和臣(高田翔)から、ミスキャンパスの能見美羽(新川優愛)を付け回すストーカーを捕まえてほしいとの依頼を受ける。報酬に目がくらみ、晴也は調査を始めるが、事件は思わぬ展開にーー?!井筒昭雄  【主題歌】  「AAO」Kis-My-Ft2  【挿入歌】  「リスタート」Honey　L　Days【原作】  「青春探偵ハルヤ」福田栄一(創元推理文庫)  【脚本】  田中眞一  </v>
      </c>
      <c r="O3744" s="2"/>
      <c r="P3744" s="1"/>
      <c r="Q3744" s="1"/>
      <c r="R3744" s="1"/>
      <c r="S3744" s="1"/>
      <c r="T3744" s="1"/>
      <c r="U3744" s="1"/>
      <c r="V3744" s="1"/>
      <c r="W3744" s="1"/>
      <c r="X3744" s="1"/>
      <c r="Y3744" s="1"/>
      <c r="Z3744" s="1"/>
      <c r="AA3744" s="1"/>
      <c r="AB3744" s="1"/>
      <c r="AC3744" s="1"/>
      <c r="AD3744" s="1"/>
      <c r="AE3744" s="1"/>
      <c r="AF3744" s="1"/>
      <c r="AG3744" s="1"/>
      <c r="AH3744" s="1"/>
      <c r="AI3744" s="1"/>
      <c r="AJ3744" s="1"/>
      <c r="AK3744" s="1"/>
      <c r="AL3744" s="1"/>
      <c r="AM3744" s="1"/>
      <c r="AN3744" s="1"/>
      <c r="AO3744" s="1"/>
      <c r="AP3744" s="1"/>
      <c r="AQ3744" s="1"/>
      <c r="AR3744" s="1"/>
      <c r="AS3744" s="1"/>
      <c r="AT3744" s="1"/>
      <c r="AU3744" s="1"/>
      <c r="AV3744" s="1"/>
      <c r="AW3744" s="1"/>
      <c r="AX3744" s="1"/>
      <c r="AY3744" s="1"/>
      <c r="AZ3744" s="1"/>
      <c r="BA3744" s="1"/>
      <c r="BB3744" s="1"/>
    </row>
    <row r="3745" ht="204.75" customHeight="1">
      <c r="A3745" s="1">
        <v>1940.0</v>
      </c>
      <c r="B3745" s="2" t="s">
        <v>11296</v>
      </c>
      <c r="C3745" s="2">
        <f>IFERROR(__xludf.DUMMYFUNCTION("split(B3745,""_"")"),1510.0)</f>
        <v>1510</v>
      </c>
      <c r="D3745" s="2" t="str">
        <f>IFERROR(__xludf.DUMMYFUNCTION("""COMPUTED_VALUE"""),"NTV")</f>
        <v>NTV</v>
      </c>
      <c r="E3745" s="2" t="str">
        <f>IFERROR(__xludf.DUMMYFUNCTION("""COMPUTED_VALUE"""),"木23")</f>
        <v>木23</v>
      </c>
      <c r="F3745" s="2" t="s">
        <v>11297</v>
      </c>
      <c r="G3745" s="2" t="s">
        <v>11301</v>
      </c>
      <c r="H3745" s="1">
        <v>2.0</v>
      </c>
      <c r="J3745" s="1" t="s">
        <v>1435</v>
      </c>
      <c r="K3745" s="2" t="s">
        <v>11302</v>
      </c>
      <c r="L3745" s="10" t="s">
        <v>11303</v>
      </c>
      <c r="M3745" s="2" t="str">
        <f>IFERROR(__xludf.DUMMYFUNCTION("split(split(K3745,""【演出"",false),""話】"",false)"),"玉森裕太(Kis-My-Ft2)、新川優愛、高田翔(ジャニーズJr.)  柳ゆり菜、阿見201、池田沙絵美、小槙まこ、伊倉愛美、篠川桃音  宇梶剛士、高島礼子  【ゲスト】遠山俊也、武田航平、金井勇太、小島梨里杏(他)【第2")</f>
        <v>玉森裕太(Kis-My-Ft2)、新川優愛、高田翔(ジャニーズJr.)  柳ゆり菜、阿見201、池田沙絵美、小槙まこ、伊倉愛美、篠川桃音  宇梶剛士、高島礼子  【ゲスト】遠山俊也、武田航平、金井勇太、小島梨里杏(他)【第2</v>
      </c>
      <c r="N3745" s="2" t="str">
        <f>IFERROR(__xludf.DUMMYFUNCTION("""COMPUTED_VALUE"""),"  ストーカー事件が解決したはずの能見美羽(新川優愛)が謎の不審者に襲われた。浅木晴也(玉森裕太)はその正体を探るため奔走するが、事態はますます深刻になり、危険度を増していくーー井筒昭雄  【主題歌】  「AAO」Kis-My-Ft2  【挿入歌】  「リスタート」Honey　L　Days【原作】  「青春探偵ハルヤ」福田栄一(創元推理文庫)  【脚本】  田中眞一  ")</f>
        <v>  ストーカー事件が解決したはずの能見美羽(新川優愛)が謎の不審者に襲われた。浅木晴也(玉森裕太)はその正体を探るため奔走するが、事態はますます深刻になり、危険度を増していくーー井筒昭雄  【主題歌】  「AAO」Kis-My-Ft2  【挿入歌】  「リスタート」Honey　L　Days【原作】  「青春探偵ハルヤ」福田栄一(創元推理文庫)  【脚本】  田中眞一  </v>
      </c>
      <c r="O3745" s="2"/>
      <c r="P3745" s="1"/>
      <c r="Q3745" s="1"/>
      <c r="R3745" s="1"/>
      <c r="S3745" s="1"/>
      <c r="T3745" s="1"/>
      <c r="U3745" s="1"/>
      <c r="V3745" s="1"/>
      <c r="W3745" s="1"/>
      <c r="X3745" s="1"/>
      <c r="Y3745" s="1"/>
      <c r="Z3745" s="1"/>
      <c r="AA3745" s="1"/>
      <c r="AB3745" s="1"/>
      <c r="AC3745" s="1"/>
      <c r="AD3745" s="1"/>
      <c r="AE3745" s="1"/>
      <c r="AF3745" s="1"/>
      <c r="AG3745" s="1"/>
      <c r="AH3745" s="1"/>
      <c r="AI3745" s="1"/>
      <c r="AJ3745" s="1"/>
      <c r="AK3745" s="1"/>
      <c r="AL3745" s="1"/>
      <c r="AM3745" s="1"/>
      <c r="AN3745" s="1"/>
      <c r="AO3745" s="1"/>
      <c r="AP3745" s="1"/>
      <c r="AQ3745" s="1"/>
      <c r="AR3745" s="1"/>
      <c r="AS3745" s="1"/>
      <c r="AT3745" s="1"/>
      <c r="AU3745" s="1"/>
      <c r="AV3745" s="1"/>
      <c r="AW3745" s="1"/>
      <c r="AX3745" s="1"/>
      <c r="AY3745" s="1"/>
      <c r="AZ3745" s="1"/>
      <c r="BA3745" s="1"/>
      <c r="BB3745" s="1"/>
    </row>
    <row r="3746" ht="204.75" customHeight="1">
      <c r="A3746" s="1">
        <v>1941.0</v>
      </c>
      <c r="B3746" s="2" t="s">
        <v>11296</v>
      </c>
      <c r="C3746" s="2">
        <f>IFERROR(__xludf.DUMMYFUNCTION("split(B3746,""_"")"),1510.0)</f>
        <v>1510</v>
      </c>
      <c r="D3746" s="2" t="str">
        <f>IFERROR(__xludf.DUMMYFUNCTION("""COMPUTED_VALUE"""),"NTV")</f>
        <v>NTV</v>
      </c>
      <c r="E3746" s="2" t="str">
        <f>IFERROR(__xludf.DUMMYFUNCTION("""COMPUTED_VALUE"""),"木23")</f>
        <v>木23</v>
      </c>
      <c r="F3746" s="2" t="s">
        <v>11297</v>
      </c>
      <c r="G3746" s="2" t="s">
        <v>11304</v>
      </c>
      <c r="H3746" s="1">
        <v>3.0</v>
      </c>
      <c r="J3746" s="1" t="s">
        <v>1435</v>
      </c>
      <c r="K3746" s="2" t="s">
        <v>11305</v>
      </c>
      <c r="L3746" s="10" t="s">
        <v>11306</v>
      </c>
      <c r="M3746" s="2" t="str">
        <f>IFERROR(__xludf.DUMMYFUNCTION("split(split(K3746,""【演出"",false),""話】"",false)"),"玉森裕太(Kis-My-Ft2)、新川優愛、高田翔(ジャニーズJr.)  柳ゆり菜、阿見201、池田沙絵美、小槙まこ、伊倉愛美、篠川桃音  宇梶剛士、高島礼子  【ゲスト】矢柴俊博、田中美奈子、藤重政孝、丸高愛実(他)【第3")</f>
        <v>玉森裕太(Kis-My-Ft2)、新川優愛、高田翔(ジャニーズJr.)  柳ゆり菜、阿見201、池田沙絵美、小槙まこ、伊倉愛美、篠川桃音  宇梶剛士、高島礼子  【ゲスト】矢柴俊博、田中美奈子、藤重政孝、丸高愛実(他)【第3</v>
      </c>
      <c r="N3746" s="2" t="str">
        <f>IFERROR(__xludf.DUMMYFUNCTION("""COMPUTED_VALUE"""),"  浅木晴也(玉森裕太)の探偵ぶりを能見美羽(新川優愛)から聞きつけ、小さなカメラ会社を営む馬場洋二(矢柴俊博)という男がやってきた。浮気相手のキャバ嬢(丸高愛実)から脅迫されているという馬場は、妻の千鶴子(田中美奈子)にばれないうちに事態を解決したいと晴也にあることを頼み込むがーー井筒昭雄  【主題歌】「AAO」Kis-My-Ft2  【挿入歌】「リスタート」Honey　L　Days【原作】「青春探偵ハルヤ」福田栄一(創元推理文庫)  【脚本】中村由加里  ")</f>
        <v>  浅木晴也(玉森裕太)の探偵ぶりを能見美羽(新川優愛)から聞きつけ、小さなカメラ会社を営む馬場洋二(矢柴俊博)という男がやってきた。浮気相手のキャバ嬢(丸高愛実)から脅迫されているという馬場は、妻の千鶴子(田中美奈子)にばれないうちに事態を解決したいと晴也にあることを頼み込むがーー井筒昭雄  【主題歌】「AAO」Kis-My-Ft2  【挿入歌】「リスタート」Honey　L　Days【原作】「青春探偵ハルヤ」福田栄一(創元推理文庫)  【脚本】中村由加里  </v>
      </c>
      <c r="O3746" s="2"/>
      <c r="P3746" s="1"/>
      <c r="Q3746" s="1"/>
      <c r="R3746" s="1"/>
      <c r="S3746" s="1"/>
      <c r="T3746" s="1"/>
      <c r="U3746" s="1"/>
      <c r="V3746" s="1"/>
      <c r="W3746" s="1"/>
      <c r="X3746" s="1"/>
      <c r="Y3746" s="1"/>
      <c r="Z3746" s="1"/>
      <c r="AA3746" s="1"/>
      <c r="AB3746" s="1"/>
      <c r="AC3746" s="1"/>
      <c r="AD3746" s="1"/>
      <c r="AE3746" s="1"/>
      <c r="AF3746" s="1"/>
      <c r="AG3746" s="1"/>
      <c r="AH3746" s="1"/>
      <c r="AI3746" s="1"/>
      <c r="AJ3746" s="1"/>
      <c r="AK3746" s="1"/>
      <c r="AL3746" s="1"/>
      <c r="AM3746" s="1"/>
      <c r="AN3746" s="1"/>
      <c r="AO3746" s="1"/>
      <c r="AP3746" s="1"/>
      <c r="AQ3746" s="1"/>
      <c r="AR3746" s="1"/>
      <c r="AS3746" s="1"/>
      <c r="AT3746" s="1"/>
      <c r="AU3746" s="1"/>
      <c r="AV3746" s="1"/>
      <c r="AW3746" s="1"/>
      <c r="AX3746" s="1"/>
      <c r="AY3746" s="1"/>
      <c r="AZ3746" s="1"/>
      <c r="BA3746" s="1"/>
      <c r="BB3746" s="1"/>
    </row>
    <row r="3747" ht="204.75" customHeight="1">
      <c r="A3747" s="1">
        <v>1942.0</v>
      </c>
      <c r="B3747" s="2" t="s">
        <v>11296</v>
      </c>
      <c r="C3747" s="2">
        <f>IFERROR(__xludf.DUMMYFUNCTION("split(B3747,""_"")"),1510.0)</f>
        <v>1510</v>
      </c>
      <c r="D3747" s="2" t="str">
        <f>IFERROR(__xludf.DUMMYFUNCTION("""COMPUTED_VALUE"""),"NTV")</f>
        <v>NTV</v>
      </c>
      <c r="E3747" s="2" t="str">
        <f>IFERROR(__xludf.DUMMYFUNCTION("""COMPUTED_VALUE"""),"木23")</f>
        <v>木23</v>
      </c>
      <c r="F3747" s="2" t="s">
        <v>11297</v>
      </c>
      <c r="G3747" s="2" t="s">
        <v>11307</v>
      </c>
      <c r="H3747" s="1">
        <v>4.0</v>
      </c>
      <c r="J3747" s="1" t="s">
        <v>1435</v>
      </c>
      <c r="K3747" s="2" t="s">
        <v>11308</v>
      </c>
      <c r="L3747" s="10" t="s">
        <v>11309</v>
      </c>
      <c r="M3747" s="2" t="str">
        <f>IFERROR(__xludf.DUMMYFUNCTION("split(split(K3747,""【演出"",false),""話】"",false)"),"玉森裕太(Kis-My-Ft2)、新川優愛、高田翔(ジャニーズJr.)  柳ゆり菜、阿見201、池田沙絵美、小槙まこ、伊倉愛美、篠川桃音  宇梶剛士、高島礼子  【ゲスト】伊藤かずえ、宮地雅子、富山えり子、佐野圭亮、長田成哉、中岡創一(ロッチ)(他)【第4")</f>
        <v>玉森裕太(Kis-My-Ft2)、新川優愛、高田翔(ジャニーズJr.)  柳ゆり菜、阿見201、池田沙絵美、小槙まこ、伊倉愛美、篠川桃音  宇梶剛士、高島礼子  【ゲスト】伊藤かずえ、宮地雅子、富山えり子、佐野圭亮、長田成哉、中岡創一(ロッチ)(他)【第4</v>
      </c>
      <c r="N3747" s="2" t="str">
        <f>IFERROR(__xludf.DUMMYFUNCTION("""COMPUTED_VALUE"""),"  浅木晴也(玉森裕太)が、女子寮で“のぞき魔”と間違えられてしまう。その女子寮には、何者かにより風呂場に盗撮カメラが仕掛けられていた。汚名を晴らすため、晴也は盗撮犯を探ることになるがーー井筒昭雄  【主題歌】  「AAO」Kis-My-Ft2  【挿入歌】  「リスタート」Honey　L　Days【原作】  「青春探偵ハルヤ」福田栄一(創元推理文庫)  【脚本】  嶋田うれ葉  ")</f>
        <v>  浅木晴也(玉森裕太)が、女子寮で“のぞき魔”と間違えられてしまう。その女子寮には、何者かにより風呂場に盗撮カメラが仕掛けられていた。汚名を晴らすため、晴也は盗撮犯を探ることになるがーー井筒昭雄  【主題歌】  「AAO」Kis-My-Ft2  【挿入歌】  「リスタート」Honey　L　Days【原作】  「青春探偵ハルヤ」福田栄一(創元推理文庫)  【脚本】  嶋田うれ葉  </v>
      </c>
      <c r="O3747" s="2"/>
      <c r="P3747" s="1"/>
      <c r="Q3747" s="1"/>
      <c r="R3747" s="1"/>
      <c r="S3747" s="1"/>
      <c r="T3747" s="1"/>
      <c r="U3747" s="1"/>
      <c r="V3747" s="1"/>
      <c r="W3747" s="1"/>
      <c r="X3747" s="1"/>
      <c r="Y3747" s="1"/>
      <c r="Z3747" s="1"/>
      <c r="AA3747" s="1"/>
      <c r="AB3747" s="1"/>
      <c r="AC3747" s="1"/>
      <c r="AD3747" s="1"/>
      <c r="AE3747" s="1"/>
      <c r="AF3747" s="1"/>
      <c r="AG3747" s="1"/>
      <c r="AH3747" s="1"/>
      <c r="AI3747" s="1"/>
      <c r="AJ3747" s="1"/>
      <c r="AK3747" s="1"/>
      <c r="AL3747" s="1"/>
      <c r="AM3747" s="1"/>
      <c r="AN3747" s="1"/>
      <c r="AO3747" s="1"/>
      <c r="AP3747" s="1"/>
      <c r="AQ3747" s="1"/>
      <c r="AR3747" s="1"/>
      <c r="AS3747" s="1"/>
      <c r="AT3747" s="1"/>
      <c r="AU3747" s="1"/>
      <c r="AV3747" s="1"/>
      <c r="AW3747" s="1"/>
      <c r="AX3747" s="1"/>
      <c r="AY3747" s="1"/>
      <c r="AZ3747" s="1"/>
      <c r="BA3747" s="1"/>
      <c r="BB3747" s="1"/>
    </row>
    <row r="3748" ht="204.75" customHeight="1">
      <c r="A3748" s="1">
        <v>1943.0</v>
      </c>
      <c r="B3748" s="2" t="s">
        <v>11296</v>
      </c>
      <c r="C3748" s="2">
        <f>IFERROR(__xludf.DUMMYFUNCTION("split(B3748,""_"")"),1510.0)</f>
        <v>1510</v>
      </c>
      <c r="D3748" s="2" t="str">
        <f>IFERROR(__xludf.DUMMYFUNCTION("""COMPUTED_VALUE"""),"NTV")</f>
        <v>NTV</v>
      </c>
      <c r="E3748" s="2" t="str">
        <f>IFERROR(__xludf.DUMMYFUNCTION("""COMPUTED_VALUE"""),"木23")</f>
        <v>木23</v>
      </c>
      <c r="F3748" s="2" t="s">
        <v>11297</v>
      </c>
      <c r="G3748" s="2" t="s">
        <v>11310</v>
      </c>
      <c r="H3748" s="1">
        <v>5.0</v>
      </c>
      <c r="J3748" s="1" t="s">
        <v>1435</v>
      </c>
      <c r="K3748" s="2" t="s">
        <v>11311</v>
      </c>
      <c r="L3748" s="10" t="s">
        <v>11312</v>
      </c>
      <c r="M3748" s="2" t="str">
        <f>IFERROR(__xludf.DUMMYFUNCTION("split(split(K3748,""【演出"",false),""話】"",false)"),"玉森裕太(Kis-My-Ft2)、新川優愛、高田翔(ジャニーズJr.)  柳ゆり菜、阿見201、池田沙絵美、小槙まこ、伊倉愛美、篠川桃音  宇梶剛士、高島礼子  【ゲスト】神保悟志、中島ひろ子、神宮寺勇太(ジャニーズJr.)(他)【第5")</f>
        <v>玉森裕太(Kis-My-Ft2)、新川優愛、高田翔(ジャニーズJr.)  柳ゆり菜、阿見201、池田沙絵美、小槙まこ、伊倉愛美、篠川桃音  宇梶剛士、高島礼子  【ゲスト】神保悟志、中島ひろ子、神宮寺勇太(ジャニーズJr.)(他)【第5</v>
      </c>
      <c r="N3748" s="2" t="str">
        <f>IFERROR(__xludf.DUMMYFUNCTION("""COMPUTED_VALUE"""),"  教授の宮沢公平(神保悟志)から留年を言い渡された浅木晴也(玉森裕太)は、宮沢が妻の多香子(中島ひろ子)の浮気疑惑に悩んでいることを知る。晴也は留年を回避するため、問題解決に協力するが、その多香子は思わぬトラブルに巻き込まれていた…井筒昭雄  【主題歌】  「AAO」Kis-My-Ft2  【挿入歌】  「リスタート」Honey　L　Days【原作】  「青春探偵ハルヤ」福田栄一(創元推理文庫)  【脚本】  田中眞一  ")</f>
        <v>  教授の宮沢公平(神保悟志)から留年を言い渡された浅木晴也(玉森裕太)は、宮沢が妻の多香子(中島ひろ子)の浮気疑惑に悩んでいることを知る。晴也は留年を回避するため、問題解決に協力するが、その多香子は思わぬトラブルに巻き込まれていた…井筒昭雄  【主題歌】  「AAO」Kis-My-Ft2  【挿入歌】  「リスタート」Honey　L　Days【原作】  「青春探偵ハルヤ」福田栄一(創元推理文庫)  【脚本】  田中眞一  </v>
      </c>
      <c r="O3748" s="2"/>
      <c r="P3748" s="1"/>
      <c r="Q3748" s="1"/>
      <c r="R3748" s="1"/>
      <c r="S3748" s="1"/>
      <c r="T3748" s="1"/>
      <c r="U3748" s="1"/>
      <c r="V3748" s="1"/>
      <c r="W3748" s="1"/>
      <c r="X3748" s="1"/>
      <c r="Y3748" s="1"/>
      <c r="Z3748" s="1"/>
      <c r="AA3748" s="1"/>
      <c r="AB3748" s="1"/>
      <c r="AC3748" s="1"/>
      <c r="AD3748" s="1"/>
      <c r="AE3748" s="1"/>
      <c r="AF3748" s="1"/>
      <c r="AG3748" s="1"/>
      <c r="AH3748" s="1"/>
      <c r="AI3748" s="1"/>
      <c r="AJ3748" s="1"/>
      <c r="AK3748" s="1"/>
      <c r="AL3748" s="1"/>
      <c r="AM3748" s="1"/>
      <c r="AN3748" s="1"/>
      <c r="AO3748" s="1"/>
      <c r="AP3748" s="1"/>
      <c r="AQ3748" s="1"/>
      <c r="AR3748" s="1"/>
      <c r="AS3748" s="1"/>
      <c r="AT3748" s="1"/>
      <c r="AU3748" s="1"/>
      <c r="AV3748" s="1"/>
      <c r="AW3748" s="1"/>
      <c r="AX3748" s="1"/>
      <c r="AY3748" s="1"/>
      <c r="AZ3748" s="1"/>
      <c r="BA3748" s="1"/>
      <c r="BB3748" s="1"/>
    </row>
    <row r="3749" ht="204.75" customHeight="1">
      <c r="A3749" s="1">
        <v>1944.0</v>
      </c>
      <c r="B3749" s="2" t="s">
        <v>11296</v>
      </c>
      <c r="C3749" s="2">
        <f>IFERROR(__xludf.DUMMYFUNCTION("split(B3749,""_"")"),1510.0)</f>
        <v>1510</v>
      </c>
      <c r="D3749" s="2" t="str">
        <f>IFERROR(__xludf.DUMMYFUNCTION("""COMPUTED_VALUE"""),"NTV")</f>
        <v>NTV</v>
      </c>
      <c r="E3749" s="2" t="str">
        <f>IFERROR(__xludf.DUMMYFUNCTION("""COMPUTED_VALUE"""),"木23")</f>
        <v>木23</v>
      </c>
      <c r="F3749" s="2" t="s">
        <v>11297</v>
      </c>
      <c r="G3749" s="2" t="s">
        <v>11313</v>
      </c>
      <c r="H3749" s="1">
        <v>6.0</v>
      </c>
      <c r="J3749" s="1" t="s">
        <v>1435</v>
      </c>
      <c r="K3749" s="2" t="s">
        <v>11314</v>
      </c>
      <c r="L3749" s="10" t="s">
        <v>11315</v>
      </c>
      <c r="M3749" s="2" t="str">
        <f>IFERROR(__xludf.DUMMYFUNCTION("split(split(K3749,""【演出"",false),""話】"",false)"),"玉森裕太(Kis-My-Ft2)、新川優愛、高田翔(ジャニーズJr.)  柳ゆり菜、阿見201、池田沙絵美、小槙まこ、伊倉愛美、篠川桃音  宇梶剛士、高島礼子  【ゲスト】白洲迅、山中崇、木下隆行(TKO)(他)【第6")</f>
        <v>玉森裕太(Kis-My-Ft2)、新川優愛、高田翔(ジャニーズJr.)  柳ゆり菜、阿見201、池田沙絵美、小槙まこ、伊倉愛美、篠川桃音  宇梶剛士、高島礼子  【ゲスト】白洲迅、山中崇、木下隆行(TKO)(他)【第6</v>
      </c>
      <c r="N3749" s="2" t="str">
        <f>IFERROR(__xludf.DUMMYFUNCTION("""COMPUTED_VALUE"""),"  浅木晴也(玉森裕太)は、就職活動中の学生、岡島武(白洲迅)から何者かに就職活動を妨害されていると相談される。何者かがインターネットの就活掲示板で岡島に成りすまし、悪意ある書き込みを続けていたのだ。晴也たちはその犯人を探るが……【原作】  「青春探偵ハルヤ」福田栄一(創元推理文庫)  【脚本】  中村由加里  ")</f>
        <v>  浅木晴也(玉森裕太)は、就職活動中の学生、岡島武(白洲迅)から何者かに就職活動を妨害されていると相談される。何者かがインターネットの就活掲示板で岡島に成りすまし、悪意ある書き込みを続けていたのだ。晴也たちはその犯人を探るが……【原作】  「青春探偵ハルヤ」福田栄一(創元推理文庫)  【脚本】  中村由加里  </v>
      </c>
      <c r="O3749" s="2"/>
      <c r="P3749" s="1"/>
      <c r="Q3749" s="1"/>
      <c r="R3749" s="1"/>
      <c r="S3749" s="1"/>
      <c r="T3749" s="1"/>
      <c r="U3749" s="1"/>
      <c r="V3749" s="1"/>
      <c r="W3749" s="1"/>
      <c r="X3749" s="1"/>
      <c r="Y3749" s="1"/>
      <c r="Z3749" s="1"/>
      <c r="AA3749" s="1"/>
      <c r="AB3749" s="1"/>
      <c r="AC3749" s="1"/>
      <c r="AD3749" s="1"/>
      <c r="AE3749" s="1"/>
      <c r="AF3749" s="1"/>
      <c r="AG3749" s="1"/>
      <c r="AH3749" s="1"/>
      <c r="AI3749" s="1"/>
      <c r="AJ3749" s="1"/>
      <c r="AK3749" s="1"/>
      <c r="AL3749" s="1"/>
      <c r="AM3749" s="1"/>
      <c r="AN3749" s="1"/>
      <c r="AO3749" s="1"/>
      <c r="AP3749" s="1"/>
      <c r="AQ3749" s="1"/>
      <c r="AR3749" s="1"/>
      <c r="AS3749" s="1"/>
      <c r="AT3749" s="1"/>
      <c r="AU3749" s="1"/>
      <c r="AV3749" s="1"/>
      <c r="AW3749" s="1"/>
      <c r="AX3749" s="1"/>
      <c r="AY3749" s="1"/>
      <c r="AZ3749" s="1"/>
      <c r="BA3749" s="1"/>
      <c r="BB3749" s="1"/>
    </row>
    <row r="3750" ht="204.75" customHeight="1">
      <c r="A3750" s="1">
        <v>1945.0</v>
      </c>
      <c r="B3750" s="2" t="s">
        <v>11296</v>
      </c>
      <c r="C3750" s="2">
        <f>IFERROR(__xludf.DUMMYFUNCTION("split(B3750,""_"")"),1510.0)</f>
        <v>1510</v>
      </c>
      <c r="D3750" s="2" t="str">
        <f>IFERROR(__xludf.DUMMYFUNCTION("""COMPUTED_VALUE"""),"NTV")</f>
        <v>NTV</v>
      </c>
      <c r="E3750" s="2" t="str">
        <f>IFERROR(__xludf.DUMMYFUNCTION("""COMPUTED_VALUE"""),"木23")</f>
        <v>木23</v>
      </c>
      <c r="F3750" s="2" t="s">
        <v>11297</v>
      </c>
      <c r="G3750" s="2" t="s">
        <v>11316</v>
      </c>
      <c r="H3750" s="1">
        <v>7.0</v>
      </c>
      <c r="J3750" s="1" t="s">
        <v>1435</v>
      </c>
      <c r="K3750" s="2" t="s">
        <v>11317</v>
      </c>
      <c r="L3750" s="10" t="s">
        <v>11318</v>
      </c>
      <c r="M3750" s="2" t="str">
        <f>IFERROR(__xludf.DUMMYFUNCTION("split(split(K3750,""【演出"",false),""話】"",false)"),"玉森裕太(Kis-My-Ft2)、新川優愛、高田翔(ジャニーズJr.)  柳ゆり菜、阿見201、池田沙絵美、小槙まこ、伊倉愛美、篠川桃音  宇梶剛士、高島礼子  【ゲスト】宮地真緒、山口良一、八神蓮、須田琉雅、須田瑛斗、須田理央(他)【第7")</f>
        <v>玉森裕太(Kis-My-Ft2)、新川優愛、高田翔(ジャニーズJr.)  柳ゆり菜、阿見201、池田沙絵美、小槙まこ、伊倉愛美、篠川桃音  宇梶剛士、高島礼子  【ゲスト】宮地真緒、山口良一、八神蓮、須田琉雅、須田瑛斗、須田理央(他)【第7</v>
      </c>
      <c r="N3750" s="2" t="str">
        <f>IFERROR(__xludf.DUMMYFUNCTION("""COMPUTED_VALUE"""),"  浅木晴也(玉森裕太)の前に現れた、幼い蓮・亮・陽菜の三兄妹。子供たちの母親、早織(宮地真緒)は、一週間前から姿を消していた。晴也は子供たちのために、早織を探すが……【原作】  「青春探偵ハルヤ」福田栄一(創元推理文庫)  【脚本】  田中眞一  ")</f>
        <v>  浅木晴也(玉森裕太)の前に現れた、幼い蓮・亮・陽菜の三兄妹。子供たちの母親、早織(宮地真緒)は、一週間前から姿を消していた。晴也は子供たちのために、早織を探すが……【原作】  「青春探偵ハルヤ」福田栄一(創元推理文庫)  【脚本】  田中眞一  </v>
      </c>
      <c r="O3750" s="2"/>
      <c r="P3750" s="1"/>
      <c r="Q3750" s="1"/>
      <c r="R3750" s="1"/>
      <c r="S3750" s="1"/>
      <c r="T3750" s="1"/>
      <c r="U3750" s="1"/>
      <c r="V3750" s="1"/>
      <c r="W3750" s="1"/>
      <c r="X3750" s="1"/>
      <c r="Y3750" s="1"/>
      <c r="Z3750" s="1"/>
      <c r="AA3750" s="1"/>
      <c r="AB3750" s="1"/>
      <c r="AC3750" s="1"/>
      <c r="AD3750" s="1"/>
      <c r="AE3750" s="1"/>
      <c r="AF3750" s="1"/>
      <c r="AG3750" s="1"/>
      <c r="AH3750" s="1"/>
      <c r="AI3750" s="1"/>
      <c r="AJ3750" s="1"/>
      <c r="AK3750" s="1"/>
      <c r="AL3750" s="1"/>
      <c r="AM3750" s="1"/>
      <c r="AN3750" s="1"/>
      <c r="AO3750" s="1"/>
      <c r="AP3750" s="1"/>
      <c r="AQ3750" s="1"/>
      <c r="AR3750" s="1"/>
      <c r="AS3750" s="1"/>
      <c r="AT3750" s="1"/>
      <c r="AU3750" s="1"/>
      <c r="AV3750" s="1"/>
      <c r="AW3750" s="1"/>
      <c r="AX3750" s="1"/>
      <c r="AY3750" s="1"/>
      <c r="AZ3750" s="1"/>
      <c r="BA3750" s="1"/>
      <c r="BB3750" s="1"/>
    </row>
    <row r="3751" ht="204.75" customHeight="1">
      <c r="A3751" s="1">
        <v>1946.0</v>
      </c>
      <c r="B3751" s="2" t="s">
        <v>11296</v>
      </c>
      <c r="C3751" s="2">
        <f>IFERROR(__xludf.DUMMYFUNCTION("split(B3751,""_"")"),1510.0)</f>
        <v>1510</v>
      </c>
      <c r="D3751" s="2" t="str">
        <f>IFERROR(__xludf.DUMMYFUNCTION("""COMPUTED_VALUE"""),"NTV")</f>
        <v>NTV</v>
      </c>
      <c r="E3751" s="2" t="str">
        <f>IFERROR(__xludf.DUMMYFUNCTION("""COMPUTED_VALUE"""),"木23")</f>
        <v>木23</v>
      </c>
      <c r="F3751" s="2" t="s">
        <v>11297</v>
      </c>
      <c r="G3751" s="2" t="s">
        <v>11319</v>
      </c>
      <c r="H3751" s="1">
        <v>8.0</v>
      </c>
      <c r="J3751" s="1" t="s">
        <v>1435</v>
      </c>
      <c r="K3751" s="2" t="s">
        <v>11320</v>
      </c>
      <c r="L3751" s="10" t="s">
        <v>11321</v>
      </c>
      <c r="M3751" s="2" t="str">
        <f>IFERROR(__xludf.DUMMYFUNCTION("split(split(K3751,""【演出"",false),""話】"",false)"),"玉森裕太(Kis-My-Ft2)、新川優愛、高田翔(ジャニーズJr.)  柳ゆり菜、阿見201、池田沙絵美、小槙まこ、伊倉愛美、篠川桃音  宇梶剛士、高島礼子  【ゲスト】高嶋政宏、本宮泰風、川藤幸三(他)【最終")</f>
        <v>玉森裕太(Kis-My-Ft2)、新川優愛、高田翔(ジャニーズJr.)  柳ゆり菜、阿見201、池田沙絵美、小槙まこ、伊倉愛美、篠川桃音  宇梶剛士、高島礼子  【ゲスト】高嶋政宏、本宮泰風、川藤幸三(他)【最終</v>
      </c>
      <c r="N3751" s="2" t="str">
        <f>IFERROR(__xludf.DUMMYFUNCTION("""COMPUTED_VALUE"""),"  「喫茶&amp;スナック　アラバマ」のママ、石田静江(高島礼子)ら商店街の店主たちは、不審な傷害事件に巻き込まれていた。浅木晴也(玉森裕太)が調査に乗り出すと、静江の前に元夫の新田彬が現れ……井筒昭雄  【主題歌】「AAO」Kis-My-Ft2  【挿入歌】「リスタート」Honey　L　Days【原作】「青春探偵ハルヤ」福田栄一(創元推理文庫)  【脚本】田中眞一  ")</f>
        <v>  「喫茶&amp;スナック　アラバマ」のママ、石田静江(高島礼子)ら商店街の店主たちは、不審な傷害事件に巻き込まれていた。浅木晴也(玉森裕太)が調査に乗り出すと、静江の前に元夫の新田彬が現れ……井筒昭雄  【主題歌】「AAO」Kis-My-Ft2  【挿入歌】「リスタート」Honey　L　Days【原作】「青春探偵ハルヤ」福田栄一(創元推理文庫)  【脚本】田中眞一  </v>
      </c>
      <c r="O3751" s="2"/>
      <c r="P3751" s="1"/>
      <c r="Q3751" s="1"/>
      <c r="R3751" s="1"/>
      <c r="S3751" s="1"/>
      <c r="T3751" s="1"/>
      <c r="U3751" s="1"/>
      <c r="V3751" s="1"/>
      <c r="W3751" s="1"/>
      <c r="X3751" s="1"/>
      <c r="Y3751" s="1"/>
      <c r="Z3751" s="1"/>
      <c r="AA3751" s="1"/>
      <c r="AB3751" s="1"/>
      <c r="AC3751" s="1"/>
      <c r="AD3751" s="1"/>
      <c r="AE3751" s="1"/>
      <c r="AF3751" s="1"/>
      <c r="AG3751" s="1"/>
      <c r="AH3751" s="1"/>
      <c r="AI3751" s="1"/>
      <c r="AJ3751" s="1"/>
      <c r="AK3751" s="1"/>
      <c r="AL3751" s="1"/>
      <c r="AM3751" s="1"/>
      <c r="AN3751" s="1"/>
      <c r="AO3751" s="1"/>
      <c r="AP3751" s="1"/>
      <c r="AQ3751" s="1"/>
      <c r="AR3751" s="1"/>
      <c r="AS3751" s="1"/>
      <c r="AT3751" s="1"/>
      <c r="AU3751" s="1"/>
      <c r="AV3751" s="1"/>
      <c r="AW3751" s="1"/>
      <c r="AX3751" s="1"/>
      <c r="AY3751" s="1"/>
      <c r="AZ3751" s="1"/>
      <c r="BA3751" s="1"/>
      <c r="BB3751" s="1"/>
    </row>
    <row r="3752" ht="204.75" customHeight="1">
      <c r="A3752" s="1">
        <v>1965.0</v>
      </c>
      <c r="B3752" s="2" t="s">
        <v>11322</v>
      </c>
      <c r="C3752" s="2">
        <f>IFERROR(__xludf.DUMMYFUNCTION("split(B3752,""_"")"),1510.0)</f>
        <v>1510</v>
      </c>
      <c r="D3752" s="2" t="str">
        <f>IFERROR(__xludf.DUMMYFUNCTION("""COMPUTED_VALUE"""),"NTV")</f>
        <v>NTV</v>
      </c>
      <c r="E3752" s="2" t="str">
        <f>IFERROR(__xludf.DUMMYFUNCTION("""COMPUTED_VALUE"""),"土21")</f>
        <v>土21</v>
      </c>
      <c r="F3752" s="2" t="s">
        <v>11323</v>
      </c>
      <c r="G3752" s="2" t="s">
        <v>11324</v>
      </c>
      <c r="H3752" s="1">
        <v>1.0</v>
      </c>
      <c r="I3752" s="1" t="s">
        <v>2868</v>
      </c>
      <c r="J3752" s="1" t="s">
        <v>4</v>
      </c>
      <c r="K3752" s="2" t="s">
        <v>11325</v>
      </c>
      <c r="L3752" s="11" t="s">
        <v>11326</v>
      </c>
      <c r="M3752" s="2" t="str">
        <f>IFERROR(__xludf.DUMMYFUNCTION("split(split(K3752,""【演出"",false),""ほか"",false)"),"新垣結衣、岡田将生、及川光博、有岡大貴、内田理央　")</f>
        <v>新垣結衣、岡田将生、及川光博、有岡大貴、内田理央　</v>
      </c>
      <c r="N3752" s="2" t="str">
        <f>IFERROR(__xludf.DUMMYFUNCTION("""COMPUTED_VALUE"""),"掟上今日子(新垣結衣)は、寝るとその日の記憶がリセットされる忘却探偵。そのため秘密保持は確実で、事件は即日解決。ある日、彼女に隠館厄介(岡田将生)からの依頼が舞い込む。厄介は幼い頃から常に事件に巻き込まれる不運な男。勤務先の機密が入ったSDカードが盗まれ犯人だと疑われているのだ。今日子は「真犯人はわかった」と言い切り、安心する厄介。しかしその矢先、今日子は犯人に眠らされ推理の全てを忘れてしまう…。")</f>
        <v>掟上今日子(新垣結衣)は、寝るとその日の記憶がリセットされる忘却探偵。そのため秘密保持は確実で、事件は即日解決。ある日、彼女に隠館厄介(岡田将生)からの依頼が舞い込む。厄介は幼い頃から常に事件に巻き込まれる不運な男。勤務先の機密が入ったSDカードが盗まれ犯人だと疑われているのだ。今日子は「真犯人はわかった」と言い切り、安心する厄介。しかしその矢先、今日子は犯人に眠らされ推理の全てを忘れてしまう…。</v>
      </c>
      <c r="O3752" s="2"/>
      <c r="P3752" s="1"/>
      <c r="Q3752" s="1"/>
      <c r="R3752" s="1"/>
      <c r="S3752" s="1"/>
      <c r="T3752" s="1"/>
      <c r="U3752" s="1"/>
      <c r="V3752" s="1"/>
      <c r="W3752" s="1"/>
      <c r="X3752" s="1"/>
      <c r="Y3752" s="1"/>
      <c r="Z3752" s="1"/>
      <c r="AA3752" s="1"/>
      <c r="AB3752" s="1"/>
      <c r="AC3752" s="1"/>
      <c r="AD3752" s="1"/>
      <c r="AE3752" s="1"/>
      <c r="AF3752" s="1"/>
      <c r="AG3752" s="1"/>
      <c r="AH3752" s="1"/>
      <c r="AI3752" s="1"/>
      <c r="AJ3752" s="1"/>
      <c r="AK3752" s="1"/>
      <c r="AL3752" s="1"/>
      <c r="AM3752" s="1"/>
      <c r="AN3752" s="1"/>
      <c r="AO3752" s="1"/>
      <c r="AP3752" s="1"/>
      <c r="AQ3752" s="1"/>
      <c r="AR3752" s="1"/>
      <c r="AS3752" s="1"/>
      <c r="AT3752" s="1"/>
      <c r="AU3752" s="1"/>
      <c r="AV3752" s="1"/>
      <c r="AW3752" s="1"/>
      <c r="AX3752" s="1"/>
      <c r="AY3752" s="1"/>
      <c r="AZ3752" s="1"/>
      <c r="BA3752" s="1"/>
      <c r="BB3752" s="1"/>
    </row>
    <row r="3753" ht="204.75" customHeight="1">
      <c r="A3753" s="1">
        <v>1966.0</v>
      </c>
      <c r="B3753" s="2" t="s">
        <v>11322</v>
      </c>
      <c r="C3753" s="2">
        <f>IFERROR(__xludf.DUMMYFUNCTION("split(B3753,""_"")"),1510.0)</f>
        <v>1510</v>
      </c>
      <c r="D3753" s="2" t="str">
        <f>IFERROR(__xludf.DUMMYFUNCTION("""COMPUTED_VALUE"""),"NTV")</f>
        <v>NTV</v>
      </c>
      <c r="E3753" s="2" t="str">
        <f>IFERROR(__xludf.DUMMYFUNCTION("""COMPUTED_VALUE"""),"土21")</f>
        <v>土21</v>
      </c>
      <c r="F3753" s="2" t="s">
        <v>11323</v>
      </c>
      <c r="G3753" s="2" t="s">
        <v>11327</v>
      </c>
      <c r="H3753" s="1">
        <v>2.0</v>
      </c>
      <c r="I3753" s="1" t="s">
        <v>2872</v>
      </c>
      <c r="J3753" s="1" t="s">
        <v>11</v>
      </c>
      <c r="K3753" s="2" t="s">
        <v>11328</v>
      </c>
      <c r="L3753" s="11" t="s">
        <v>11329</v>
      </c>
      <c r="M3753" s="2" t="str">
        <f>IFERROR(__xludf.DUMMYFUNCTION("split(split(K3753,""【演出"",false),""ほか"",false)"),"新垣結衣、岡田将生、及川光博、有岡大貴(Hey!Say!JUMP)、内田理央")</f>
        <v>新垣結衣、岡田将生、及川光博、有岡大貴(Hey!Say!JUMP)、内田理央</v>
      </c>
      <c r="N3753" s="2" t="str">
        <f>IFERROR(__xludf.DUMMYFUNCTION("""COMPUTED_VALUE"""),"今日子(新垣結衣)は数日前の殺人事件のアリバイ証言を頼まれる。容疑者の鯨井(堀井新太)は「犯行時間に今日子とお茶をしていた」というのだが、1日で記憶を無くす今日子は覚えていない。事件を仲良く調査する2人に嫉妬する厄介(岡田将生)は、不運なことに、鯨井の代わりに殺人事件の重要参考人として指名手配されることに!一方、今日子と鯨井は犯行現場のマンションにいた。そして今日子の首に静かに鯨井の手が伸び…!?")</f>
        <v>今日子(新垣結衣)は数日前の殺人事件のアリバイ証言を頼まれる。容疑者の鯨井(堀井新太)は「犯行時間に今日子とお茶をしていた」というのだが、1日で記憶を無くす今日子は覚えていない。事件を仲良く調査する2人に嫉妬する厄介(岡田将生)は、不運なことに、鯨井の代わりに殺人事件の重要参考人として指名手配されることに!一方、今日子と鯨井は犯行現場のマンションにいた。そして今日子の首に静かに鯨井の手が伸び…!?</v>
      </c>
      <c r="O3753" s="2"/>
      <c r="P3753" s="1"/>
      <c r="Q3753" s="1"/>
      <c r="R3753" s="1"/>
      <c r="S3753" s="1"/>
      <c r="T3753" s="1"/>
      <c r="U3753" s="1"/>
      <c r="V3753" s="1"/>
      <c r="W3753" s="1"/>
      <c r="X3753" s="1"/>
      <c r="Y3753" s="1"/>
      <c r="Z3753" s="1"/>
      <c r="AA3753" s="1"/>
      <c r="AB3753" s="1"/>
      <c r="AC3753" s="1"/>
      <c r="AD3753" s="1"/>
      <c r="AE3753" s="1"/>
      <c r="AF3753" s="1"/>
      <c r="AG3753" s="1"/>
      <c r="AH3753" s="1"/>
      <c r="AI3753" s="1"/>
      <c r="AJ3753" s="1"/>
      <c r="AK3753" s="1"/>
      <c r="AL3753" s="1"/>
      <c r="AM3753" s="1"/>
      <c r="AN3753" s="1"/>
      <c r="AO3753" s="1"/>
      <c r="AP3753" s="1"/>
      <c r="AQ3753" s="1"/>
      <c r="AR3753" s="1"/>
      <c r="AS3753" s="1"/>
      <c r="AT3753" s="1"/>
      <c r="AU3753" s="1"/>
      <c r="AV3753" s="1"/>
      <c r="AW3753" s="1"/>
      <c r="AX3753" s="1"/>
      <c r="AY3753" s="1"/>
      <c r="AZ3753" s="1"/>
      <c r="BA3753" s="1"/>
      <c r="BB3753" s="1"/>
    </row>
    <row r="3754" ht="204.75" customHeight="1">
      <c r="A3754" s="1">
        <v>1967.0</v>
      </c>
      <c r="B3754" s="2" t="s">
        <v>11322</v>
      </c>
      <c r="C3754" s="2">
        <f>IFERROR(__xludf.DUMMYFUNCTION("split(B3754,""_"")"),1510.0)</f>
        <v>1510</v>
      </c>
      <c r="D3754" s="2" t="str">
        <f>IFERROR(__xludf.DUMMYFUNCTION("""COMPUTED_VALUE"""),"NTV")</f>
        <v>NTV</v>
      </c>
      <c r="E3754" s="2" t="str">
        <f>IFERROR(__xludf.DUMMYFUNCTION("""COMPUTED_VALUE"""),"土21")</f>
        <v>土21</v>
      </c>
      <c r="F3754" s="2" t="s">
        <v>11323</v>
      </c>
      <c r="G3754" s="2" t="s">
        <v>11330</v>
      </c>
      <c r="H3754" s="1">
        <v>3.0</v>
      </c>
      <c r="I3754" s="1" t="s">
        <v>2876</v>
      </c>
      <c r="J3754" s="1" t="s">
        <v>11</v>
      </c>
      <c r="K3754" s="2" t="s">
        <v>11331</v>
      </c>
      <c r="L3754" s="11" t="s">
        <v>11332</v>
      </c>
      <c r="M3754" s="2" t="str">
        <f>IFERROR(__xludf.DUMMYFUNCTION("split(split(K3754,""【演出"",false),""ほか"",false)"),"新垣結衣、岡田将生、及川光博、有岡大貴(Hey!Say!JUMP)、内田理央")</f>
        <v>新垣結衣、岡田将生、及川光博、有岡大貴(Hey!Say!JUMP)、内田理央</v>
      </c>
      <c r="N3754" s="2" t="str">
        <f>IFERROR(__xludf.DUMMYFUNCTION("""COMPUTED_VALUE"""),"警備員として厄介(岡田将生)が勤める美術館に、今日子(新垣結衣)が何度も訪れ、『母』という絵を熱心に鑑賞。「この絵には2億円の価値がある」と言う今日子だが、別日には「この絵の価値は200万円」と全く違うことを口にする。数日後、美術館で『母』の絵をみた老人が暴れ出し、絵を傷つける事件が発生。クビになった厄介は今日子に『母』に関する真相究明を依頼。今日子は黒髪姿に変装し内部調査を開始する。")</f>
        <v>警備員として厄介(岡田将生)が勤める美術館に、今日子(新垣結衣)が何度も訪れ、『母』という絵を熱心に鑑賞。「この絵には2億円の価値がある」と言う今日子だが、別日には「この絵の価値は200万円」と全く違うことを口にする。数日後、美術館で『母』の絵をみた老人が暴れ出し、絵を傷つける事件が発生。クビになった厄介は今日子に『母』に関する真相究明を依頼。今日子は黒髪姿に変装し内部調査を開始する。</v>
      </c>
      <c r="O3754" s="2"/>
      <c r="P3754" s="1"/>
      <c r="Q3754" s="1"/>
      <c r="R3754" s="1"/>
      <c r="S3754" s="1"/>
      <c r="T3754" s="1"/>
      <c r="U3754" s="1"/>
      <c r="V3754" s="1"/>
      <c r="W3754" s="1"/>
      <c r="X3754" s="1"/>
      <c r="Y3754" s="1"/>
      <c r="Z3754" s="1"/>
      <c r="AA3754" s="1"/>
      <c r="AB3754" s="1"/>
      <c r="AC3754" s="1"/>
      <c r="AD3754" s="1"/>
      <c r="AE3754" s="1"/>
      <c r="AF3754" s="1"/>
      <c r="AG3754" s="1"/>
      <c r="AH3754" s="1"/>
      <c r="AI3754" s="1"/>
      <c r="AJ3754" s="1"/>
      <c r="AK3754" s="1"/>
      <c r="AL3754" s="1"/>
      <c r="AM3754" s="1"/>
      <c r="AN3754" s="1"/>
      <c r="AO3754" s="1"/>
      <c r="AP3754" s="1"/>
      <c r="AQ3754" s="1"/>
      <c r="AR3754" s="1"/>
      <c r="AS3754" s="1"/>
      <c r="AT3754" s="1"/>
      <c r="AU3754" s="1"/>
      <c r="AV3754" s="1"/>
      <c r="AW3754" s="1"/>
      <c r="AX3754" s="1"/>
      <c r="AY3754" s="1"/>
      <c r="AZ3754" s="1"/>
      <c r="BA3754" s="1"/>
      <c r="BB3754" s="1"/>
    </row>
    <row r="3755" ht="204.75" customHeight="1">
      <c r="A3755" s="1">
        <v>1968.0</v>
      </c>
      <c r="B3755" s="2" t="s">
        <v>11322</v>
      </c>
      <c r="C3755" s="2">
        <f>IFERROR(__xludf.DUMMYFUNCTION("split(B3755,""_"")"),1510.0)</f>
        <v>1510</v>
      </c>
      <c r="D3755" s="2" t="str">
        <f>IFERROR(__xludf.DUMMYFUNCTION("""COMPUTED_VALUE"""),"NTV")</f>
        <v>NTV</v>
      </c>
      <c r="E3755" s="2" t="str">
        <f>IFERROR(__xludf.DUMMYFUNCTION("""COMPUTED_VALUE"""),"土21")</f>
        <v>土21</v>
      </c>
      <c r="F3755" s="2" t="s">
        <v>11323</v>
      </c>
      <c r="G3755" s="2" t="s">
        <v>11333</v>
      </c>
      <c r="H3755" s="1">
        <v>4.0</v>
      </c>
      <c r="I3755" s="1" t="s">
        <v>2880</v>
      </c>
      <c r="J3755" s="1" t="s">
        <v>11</v>
      </c>
      <c r="K3755" s="2" t="s">
        <v>11334</v>
      </c>
      <c r="L3755" s="11" t="s">
        <v>11335</v>
      </c>
      <c r="M3755" s="2" t="str">
        <f>IFERROR(__xludf.DUMMYFUNCTION("split(split(K3755,""【演出"",false),""ほか"",false)"),"新垣結衣、岡田将生、及川光博、有岡大貴(Hey!Say!JUMP)、内田理央")</f>
        <v>新垣結衣、岡田将生、及川光博、有岡大貴(Hey!Say!JUMP)、内田理央</v>
      </c>
      <c r="N3755" s="2" t="str">
        <f>IFERROR(__xludf.DUMMYFUNCTION("""COMPUTED_VALUE"""),"今日子(新垣結衣)と厄介(岡田将生)は、有名な額縁匠・和久井(山田明郷)から、引退前の最後の仕事となる額縁の製作期間の警備を頼まれる。アトリエ荘と名付けたマンションに有望な画家の卵を集めて暮らしている和久井。2人がそこを訪ねると和久井は刺されて血まみれに・・・なんとか一命を取り留めるが和久井は犯人の名前を言おうとしない。今日子は、アトリエ荘の住人37人の誰かが犯人だと推理し、自首させると宣言する。")</f>
        <v>今日子(新垣結衣)と厄介(岡田将生)は、有名な額縁匠・和久井(山田明郷)から、引退前の最後の仕事となる額縁の製作期間の警備を頼まれる。アトリエ荘と名付けたマンションに有望な画家の卵を集めて暮らしている和久井。2人がそこを訪ねると和久井は刺されて血まみれに・・・なんとか一命を取り留めるが和久井は犯人の名前を言おうとしない。今日子は、アトリエ荘の住人37人の誰かが犯人だと推理し、自首させると宣言する。</v>
      </c>
      <c r="O3755" s="2"/>
      <c r="P3755" s="1"/>
      <c r="Q3755" s="1"/>
      <c r="R3755" s="1"/>
      <c r="S3755" s="1"/>
      <c r="T3755" s="1"/>
      <c r="U3755" s="1"/>
      <c r="V3755" s="1"/>
      <c r="W3755" s="1"/>
      <c r="X3755" s="1"/>
      <c r="Y3755" s="1"/>
      <c r="Z3755" s="1"/>
      <c r="AA3755" s="1"/>
      <c r="AB3755" s="1"/>
      <c r="AC3755" s="1"/>
      <c r="AD3755" s="1"/>
      <c r="AE3755" s="1"/>
      <c r="AF3755" s="1"/>
      <c r="AG3755" s="1"/>
      <c r="AH3755" s="1"/>
      <c r="AI3755" s="1"/>
      <c r="AJ3755" s="1"/>
      <c r="AK3755" s="1"/>
      <c r="AL3755" s="1"/>
      <c r="AM3755" s="1"/>
      <c r="AN3755" s="1"/>
      <c r="AO3755" s="1"/>
      <c r="AP3755" s="1"/>
      <c r="AQ3755" s="1"/>
      <c r="AR3755" s="1"/>
      <c r="AS3755" s="1"/>
      <c r="AT3755" s="1"/>
      <c r="AU3755" s="1"/>
      <c r="AV3755" s="1"/>
      <c r="AW3755" s="1"/>
      <c r="AX3755" s="1"/>
      <c r="AY3755" s="1"/>
      <c r="AZ3755" s="1"/>
      <c r="BA3755" s="1"/>
      <c r="BB3755" s="1"/>
    </row>
    <row r="3756" ht="204.75" customHeight="1">
      <c r="A3756" s="1">
        <v>1969.0</v>
      </c>
      <c r="B3756" s="2" t="s">
        <v>11322</v>
      </c>
      <c r="C3756" s="2">
        <f>IFERROR(__xludf.DUMMYFUNCTION("split(B3756,""_"")"),1510.0)</f>
        <v>1510</v>
      </c>
      <c r="D3756" s="2" t="str">
        <f>IFERROR(__xludf.DUMMYFUNCTION("""COMPUTED_VALUE"""),"NTV")</f>
        <v>NTV</v>
      </c>
      <c r="E3756" s="2" t="str">
        <f>IFERROR(__xludf.DUMMYFUNCTION("""COMPUTED_VALUE"""),"土21")</f>
        <v>土21</v>
      </c>
      <c r="F3756" s="2" t="s">
        <v>11323</v>
      </c>
      <c r="G3756" s="2" t="s">
        <v>11336</v>
      </c>
      <c r="H3756" s="1">
        <v>5.0</v>
      </c>
      <c r="I3756" s="1" t="s">
        <v>2884</v>
      </c>
      <c r="J3756" s="1" t="s">
        <v>11</v>
      </c>
      <c r="K3756" s="2" t="s">
        <v>11337</v>
      </c>
      <c r="L3756" s="11" t="s">
        <v>11338</v>
      </c>
      <c r="M3756" s="2" t="str">
        <f>IFERROR(__xludf.DUMMYFUNCTION("split(split(K3756,""【演出"",false),""ほか"",false)"),"新垣結衣、岡田将生、及川光博、有岡大貴(Hey!Say!JUMP)、内田理央")</f>
        <v>新垣結衣、岡田将生、及川光博、有岡大貴(Hey!Say!JUMP)、内田理央</v>
      </c>
      <c r="N3756" s="2" t="str">
        <f>IFERROR(__xludf.DUMMYFUNCTION("""COMPUTED_VALUE"""),"今日子(新垣結衣)と厄介(岡田将生)は推理作家・須永昼兵衛が開催する“須永フェスタ”に招待される。須永フェスタとは、新作原稿を須永自らが隠し、ヒントを元に編集者達が探し出す恒例イベント。須永ファンである今日子は大喜び。今日子と厄介&amp;サンドグラス一行は会場である須永の別荘へ向かうが、開始直前に厄介だけ須永の急死を知らされる。今日子の喜びを奪いたくない厄介は、そのままイベントを続けようとするが…。")</f>
        <v>今日子(新垣結衣)と厄介(岡田将生)は推理作家・須永昼兵衛が開催する“須永フェスタ”に招待される。須永フェスタとは、新作原稿を須永自らが隠し、ヒントを元に編集者達が探し出す恒例イベント。須永ファンである今日子は大喜び。今日子と厄介&amp;サンドグラス一行は会場である須永の別荘へ向かうが、開始直前に厄介だけ須永の急死を知らされる。今日子の喜びを奪いたくない厄介は、そのままイベントを続けようとするが…。</v>
      </c>
      <c r="O3756" s="2"/>
      <c r="P3756" s="1"/>
      <c r="Q3756" s="1"/>
      <c r="R3756" s="1"/>
      <c r="S3756" s="1"/>
      <c r="T3756" s="1"/>
      <c r="U3756" s="1"/>
      <c r="V3756" s="1"/>
      <c r="W3756" s="1"/>
      <c r="X3756" s="1"/>
      <c r="Y3756" s="1"/>
      <c r="Z3756" s="1"/>
      <c r="AA3756" s="1"/>
      <c r="AB3756" s="1"/>
      <c r="AC3756" s="1"/>
      <c r="AD3756" s="1"/>
      <c r="AE3756" s="1"/>
      <c r="AF3756" s="1"/>
      <c r="AG3756" s="1"/>
      <c r="AH3756" s="1"/>
      <c r="AI3756" s="1"/>
      <c r="AJ3756" s="1"/>
      <c r="AK3756" s="1"/>
      <c r="AL3756" s="1"/>
      <c r="AM3756" s="1"/>
      <c r="AN3756" s="1"/>
      <c r="AO3756" s="1"/>
      <c r="AP3756" s="1"/>
      <c r="AQ3756" s="1"/>
      <c r="AR3756" s="1"/>
      <c r="AS3756" s="1"/>
      <c r="AT3756" s="1"/>
      <c r="AU3756" s="1"/>
      <c r="AV3756" s="1"/>
      <c r="AW3756" s="1"/>
      <c r="AX3756" s="1"/>
      <c r="AY3756" s="1"/>
      <c r="AZ3756" s="1"/>
      <c r="BA3756" s="1"/>
      <c r="BB3756" s="1"/>
    </row>
    <row r="3757" ht="204.75" customHeight="1">
      <c r="A3757" s="1">
        <v>1970.0</v>
      </c>
      <c r="B3757" s="2" t="s">
        <v>11322</v>
      </c>
      <c r="C3757" s="2">
        <f>IFERROR(__xludf.DUMMYFUNCTION("split(B3757,""_"")"),1510.0)</f>
        <v>1510</v>
      </c>
      <c r="D3757" s="2" t="str">
        <f>IFERROR(__xludf.DUMMYFUNCTION("""COMPUTED_VALUE"""),"NTV")</f>
        <v>NTV</v>
      </c>
      <c r="E3757" s="2" t="str">
        <f>IFERROR(__xludf.DUMMYFUNCTION("""COMPUTED_VALUE"""),"土21")</f>
        <v>土21</v>
      </c>
      <c r="F3757" s="2" t="s">
        <v>11323</v>
      </c>
      <c r="G3757" s="2" t="s">
        <v>11339</v>
      </c>
      <c r="H3757" s="1">
        <v>6.0</v>
      </c>
      <c r="I3757" s="1" t="s">
        <v>2888</v>
      </c>
      <c r="J3757" s="1" t="s">
        <v>11</v>
      </c>
      <c r="K3757" s="2" t="s">
        <v>11340</v>
      </c>
      <c r="L3757" s="11" t="s">
        <v>11341</v>
      </c>
      <c r="M3757" s="2" t="str">
        <f>IFERROR(__xludf.DUMMYFUNCTION("split(split(K3757,""【演出"",false),""ほか"",false)"),"新垣結衣、岡田将生、及川光博、有岡大貴(Hey!Say!JUMP)、内田理央")</f>
        <v>新垣結衣、岡田将生、及川光博、有岡大貴(Hey!Say!JUMP)、内田理央</v>
      </c>
      <c r="N3757" s="2" t="str">
        <f>IFERROR(__xludf.DUMMYFUNCTION("""COMPUTED_VALUE"""),"  【スペシャルゲスト】吉田沙保里女子校の管理作業員として働き始めた厄介(岡田将生)は、ガス自殺をはかろうとしている生徒を助け出すが、またもや殺人犯として疑いをかけられる。証言してもらいたくても少女は目覚めないまま。厄介は今日子(新垣結衣)に真相の究明を依頼し、2人は女子校に潜入。そんな中、厄介は事件当時に別の少女を現場で見かけた事を思い出す。果たして少女は自殺?それとも他の少女による殺人未遂?今日子は少女たちの心に迫っていく。")</f>
        <v>  【スペシャルゲスト】吉田沙保里女子校の管理作業員として働き始めた厄介(岡田将生)は、ガス自殺をはかろうとしている生徒を助け出すが、またもや殺人犯として疑いをかけられる。証言してもらいたくても少女は目覚めないまま。厄介は今日子(新垣結衣)に真相の究明を依頼し、2人は女子校に潜入。そんな中、厄介は事件当時に別の少女を現場で見かけた事を思い出す。果たして少女は自殺?それとも他の少女による殺人未遂?今日子は少女たちの心に迫っていく。</v>
      </c>
      <c r="O3757" s="2"/>
      <c r="P3757" s="1"/>
      <c r="Q3757" s="1"/>
      <c r="R3757" s="1"/>
      <c r="S3757" s="1"/>
      <c r="T3757" s="1"/>
      <c r="U3757" s="1"/>
      <c r="V3757" s="1"/>
      <c r="W3757" s="1"/>
      <c r="X3757" s="1"/>
      <c r="Y3757" s="1"/>
      <c r="Z3757" s="1"/>
      <c r="AA3757" s="1"/>
      <c r="AB3757" s="1"/>
      <c r="AC3757" s="1"/>
      <c r="AD3757" s="1"/>
      <c r="AE3757" s="1"/>
      <c r="AF3757" s="1"/>
      <c r="AG3757" s="1"/>
      <c r="AH3757" s="1"/>
      <c r="AI3757" s="1"/>
      <c r="AJ3757" s="1"/>
      <c r="AK3757" s="1"/>
      <c r="AL3757" s="1"/>
      <c r="AM3757" s="1"/>
      <c r="AN3757" s="1"/>
      <c r="AO3757" s="1"/>
      <c r="AP3757" s="1"/>
      <c r="AQ3757" s="1"/>
      <c r="AR3757" s="1"/>
      <c r="AS3757" s="1"/>
      <c r="AT3757" s="1"/>
      <c r="AU3757" s="1"/>
      <c r="AV3757" s="1"/>
      <c r="AW3757" s="1"/>
      <c r="AX3757" s="1"/>
      <c r="AY3757" s="1"/>
      <c r="AZ3757" s="1"/>
      <c r="BA3757" s="1"/>
      <c r="BB3757" s="1"/>
    </row>
    <row r="3758" ht="204.75" customHeight="1">
      <c r="A3758" s="1">
        <v>1971.0</v>
      </c>
      <c r="B3758" s="2" t="s">
        <v>11322</v>
      </c>
      <c r="C3758" s="2">
        <f>IFERROR(__xludf.DUMMYFUNCTION("split(B3758,""_"")"),1510.0)</f>
        <v>1510</v>
      </c>
      <c r="D3758" s="2" t="str">
        <f>IFERROR(__xludf.DUMMYFUNCTION("""COMPUTED_VALUE"""),"NTV")</f>
        <v>NTV</v>
      </c>
      <c r="E3758" s="2" t="str">
        <f>IFERROR(__xludf.DUMMYFUNCTION("""COMPUTED_VALUE"""),"土21")</f>
        <v>土21</v>
      </c>
      <c r="F3758" s="2" t="s">
        <v>11323</v>
      </c>
      <c r="G3758" s="2" t="s">
        <v>11342</v>
      </c>
      <c r="H3758" s="1">
        <v>7.0</v>
      </c>
      <c r="I3758" s="1" t="s">
        <v>2892</v>
      </c>
      <c r="J3758" s="1" t="s">
        <v>11</v>
      </c>
      <c r="K3758" s="2" t="s">
        <v>11343</v>
      </c>
      <c r="L3758" s="11" t="s">
        <v>11344</v>
      </c>
      <c r="M3758" s="2" t="str">
        <f>IFERROR(__xludf.DUMMYFUNCTION("split(split(K3758,""【演出"",false),""ほか"",false)"),"新垣結衣、岡田将生、及川光博、有岡大貴(Hey!Say!JUMP)、内田理央")</f>
        <v>新垣結衣、岡田将生、及川光博、有岡大貴(Hey!Say!JUMP)、内田理央</v>
      </c>
      <c r="N3758" s="2" t="str">
        <f>IFERROR(__xludf.DUMMYFUNCTION("""COMPUTED_VALUE"""),"今日子(新垣結衣)と厄介(岡田将生)に、先日亡くなった推理作家・須永昼兵衛に自殺の可能性が出てきたため、真実を調べてほしいという依頼が来る。今日子は、調査のため須永の全著作99冊を読破すると言い出し、自分が眠らないよう厄介に見張ってくれと頼む。部屋に閉じこもり読書をするうちに、距離も縮まっていく2人・・・しかし、数日が過ぎるうちに心も体も限界をむかえ、遂に今日子はシャワー室で倒れてしまう…")</f>
        <v>今日子(新垣結衣)と厄介(岡田将生)に、先日亡くなった推理作家・須永昼兵衛に自殺の可能性が出てきたため、真実を調べてほしいという依頼が来る。今日子は、調査のため須永の全著作99冊を読破すると言い出し、自分が眠らないよう厄介に見張ってくれと頼む。部屋に閉じこもり読書をするうちに、距離も縮まっていく2人・・・しかし、数日が過ぎるうちに心も体も限界をむかえ、遂に今日子はシャワー室で倒れてしまう…</v>
      </c>
      <c r="O3758" s="2"/>
      <c r="P3758" s="1"/>
      <c r="Q3758" s="1"/>
      <c r="R3758" s="1"/>
      <c r="S3758" s="1"/>
      <c r="T3758" s="1"/>
      <c r="U3758" s="1"/>
      <c r="V3758" s="1"/>
      <c r="W3758" s="1"/>
      <c r="X3758" s="1"/>
      <c r="Y3758" s="1"/>
      <c r="Z3758" s="1"/>
      <c r="AA3758" s="1"/>
      <c r="AB3758" s="1"/>
      <c r="AC3758" s="1"/>
      <c r="AD3758" s="1"/>
      <c r="AE3758" s="1"/>
      <c r="AF3758" s="1"/>
      <c r="AG3758" s="1"/>
      <c r="AH3758" s="1"/>
      <c r="AI3758" s="1"/>
      <c r="AJ3758" s="1"/>
      <c r="AK3758" s="1"/>
      <c r="AL3758" s="1"/>
      <c r="AM3758" s="1"/>
      <c r="AN3758" s="1"/>
      <c r="AO3758" s="1"/>
      <c r="AP3758" s="1"/>
      <c r="AQ3758" s="1"/>
      <c r="AR3758" s="1"/>
      <c r="AS3758" s="1"/>
      <c r="AT3758" s="1"/>
      <c r="AU3758" s="1"/>
      <c r="AV3758" s="1"/>
      <c r="AW3758" s="1"/>
      <c r="AX3758" s="1"/>
      <c r="AY3758" s="1"/>
      <c r="AZ3758" s="1"/>
      <c r="BA3758" s="1"/>
      <c r="BB3758" s="1"/>
    </row>
    <row r="3759" ht="204.75" customHeight="1">
      <c r="A3759" s="1">
        <v>1972.0</v>
      </c>
      <c r="B3759" s="2" t="s">
        <v>11322</v>
      </c>
      <c r="C3759" s="2">
        <f>IFERROR(__xludf.DUMMYFUNCTION("split(B3759,""_"")"),1510.0)</f>
        <v>1510</v>
      </c>
      <c r="D3759" s="2" t="str">
        <f>IFERROR(__xludf.DUMMYFUNCTION("""COMPUTED_VALUE"""),"NTV")</f>
        <v>NTV</v>
      </c>
      <c r="E3759" s="2" t="str">
        <f>IFERROR(__xludf.DUMMYFUNCTION("""COMPUTED_VALUE"""),"土21")</f>
        <v>土21</v>
      </c>
      <c r="F3759" s="2" t="s">
        <v>11323</v>
      </c>
      <c r="G3759" s="2" t="s">
        <v>11345</v>
      </c>
      <c r="H3759" s="1">
        <v>8.0</v>
      </c>
      <c r="I3759" s="1" t="s">
        <v>2896</v>
      </c>
      <c r="J3759" s="1" t="s">
        <v>11</v>
      </c>
      <c r="K3759" s="2" t="s">
        <v>11346</v>
      </c>
      <c r="L3759" s="11" t="s">
        <v>11347</v>
      </c>
      <c r="M3759" s="2" t="str">
        <f>IFERROR(__xludf.DUMMYFUNCTION("split(split(K3759,""【演出"",false),""ほか"",false)"),"新垣結衣、岡田将生、及川光博、有岡大貴(Hey!Say!JUMP)、内田理央")</f>
        <v>新垣結衣、岡田将生、及川光博、有岡大貴(Hey!Say!JUMP)、内田理央</v>
      </c>
      <c r="N3759" s="2" t="str">
        <f>IFERROR(__xludf.DUMMYFUNCTION("""COMPUTED_VALUE"""),"厄介(岡田将生)への信頼を深めた今日子(新垣結衣)は体に「厄介さん信頼できる」と書いて眠るが、目を覚ますと“厄介さん”が誰か覚えていない。そんな中、今日子は捜査一課長の妻(石田ひかり)に頼まれ殺人事件の調査を行う。第一発見者はバイトとして働いていた厄介。厄介は無実を訴えるが、今日子はなぜ「昨日の自分」が厄介を信頼できると書いたのか分からない。今日子は殺人の謎を解きながら厄介とは何者かを探っていく。")</f>
        <v>厄介(岡田将生)への信頼を深めた今日子(新垣結衣)は体に「厄介さん信頼できる」と書いて眠るが、目を覚ますと“厄介さん”が誰か覚えていない。そんな中、今日子は捜査一課長の妻(石田ひかり)に頼まれ殺人事件の調査を行う。第一発見者はバイトとして働いていた厄介。厄介は無実を訴えるが、今日子はなぜ「昨日の自分」が厄介を信頼できると書いたのか分からない。今日子は殺人の謎を解きながら厄介とは何者かを探っていく。</v>
      </c>
      <c r="O3759" s="2"/>
      <c r="P3759" s="1"/>
      <c r="Q3759" s="1"/>
      <c r="R3759" s="1"/>
      <c r="S3759" s="1"/>
      <c r="T3759" s="1"/>
      <c r="U3759" s="1"/>
      <c r="V3759" s="1"/>
      <c r="W3759" s="1"/>
      <c r="X3759" s="1"/>
      <c r="Y3759" s="1"/>
      <c r="Z3759" s="1"/>
      <c r="AA3759" s="1"/>
      <c r="AB3759" s="1"/>
      <c r="AC3759" s="1"/>
      <c r="AD3759" s="1"/>
      <c r="AE3759" s="1"/>
      <c r="AF3759" s="1"/>
      <c r="AG3759" s="1"/>
      <c r="AH3759" s="1"/>
      <c r="AI3759" s="1"/>
      <c r="AJ3759" s="1"/>
      <c r="AK3759" s="1"/>
      <c r="AL3759" s="1"/>
      <c r="AM3759" s="1"/>
      <c r="AN3759" s="1"/>
      <c r="AO3759" s="1"/>
      <c r="AP3759" s="1"/>
      <c r="AQ3759" s="1"/>
      <c r="AR3759" s="1"/>
      <c r="AS3759" s="1"/>
      <c r="AT3759" s="1"/>
      <c r="AU3759" s="1"/>
      <c r="AV3759" s="1"/>
      <c r="AW3759" s="1"/>
      <c r="AX3759" s="1"/>
      <c r="AY3759" s="1"/>
      <c r="AZ3759" s="1"/>
      <c r="BA3759" s="1"/>
      <c r="BB3759" s="1"/>
    </row>
    <row r="3760" ht="204.75" customHeight="1">
      <c r="A3760" s="1">
        <v>1973.0</v>
      </c>
      <c r="B3760" s="2" t="s">
        <v>11322</v>
      </c>
      <c r="C3760" s="2">
        <f>IFERROR(__xludf.DUMMYFUNCTION("split(B3760,""_"")"),1510.0)</f>
        <v>1510</v>
      </c>
      <c r="D3760" s="2" t="str">
        <f>IFERROR(__xludf.DUMMYFUNCTION("""COMPUTED_VALUE"""),"NTV")</f>
        <v>NTV</v>
      </c>
      <c r="E3760" s="2" t="str">
        <f>IFERROR(__xludf.DUMMYFUNCTION("""COMPUTED_VALUE"""),"土21")</f>
        <v>土21</v>
      </c>
      <c r="F3760" s="2" t="s">
        <v>11323</v>
      </c>
      <c r="G3760" s="2" t="s">
        <v>11348</v>
      </c>
      <c r="H3760" s="1">
        <v>9.0</v>
      </c>
      <c r="I3760" s="1" t="s">
        <v>2900</v>
      </c>
      <c r="J3760" s="1" t="s">
        <v>11</v>
      </c>
      <c r="K3760" s="2" t="s">
        <v>11349</v>
      </c>
      <c r="L3760" s="11" t="s">
        <v>11350</v>
      </c>
      <c r="M3760" s="2" t="str">
        <f>IFERROR(__xludf.DUMMYFUNCTION("split(split(K3760,""【演出"",false),""ほか"",false)"),"新垣結衣、岡田将生、及川光博、有岡大貴(Hey!Say!JUMP)、内田理央")</f>
        <v>新垣結衣、岡田将生、及川光博、有岡大貴(Hey!Say!JUMP)、内田理央</v>
      </c>
      <c r="N3760" s="2" t="str">
        <f>IFERROR(__xludf.DUMMYFUNCTION("""COMPUTED_VALUE"""),"今日子(新垣結衣)は誰かに利用されているのではないかと心配な厄介(岡田将生)は、法郎(及川光博)がカギを握る人物と考え調査を開始。一方、今日子は会社社長の結納坂(要潤)から、ある暗号を解き明かしてほしいと依頼をうける。謎を解きながら、結納坂という男とこの依頼には何か裏があると感じはじめる今日子…。その頃、厄介は初めてOKしてもらった今日子とのデートのため、映画館の前で待ち続けるが…。")</f>
        <v>今日子(新垣結衣)は誰かに利用されているのではないかと心配な厄介(岡田将生)は、法郎(及川光博)がカギを握る人物と考え調査を開始。一方、今日子は会社社長の結納坂(要潤)から、ある暗号を解き明かしてほしいと依頼をうける。謎を解きながら、結納坂という男とこの依頼には何か裏があると感じはじめる今日子…。その頃、厄介は初めてOKしてもらった今日子とのデートのため、映画館の前で待ち続けるが…。</v>
      </c>
      <c r="O3760" s="2"/>
      <c r="P3760" s="1"/>
      <c r="Q3760" s="1"/>
      <c r="R3760" s="1"/>
      <c r="S3760" s="1"/>
      <c r="T3760" s="1"/>
      <c r="U3760" s="1"/>
      <c r="V3760" s="1"/>
      <c r="W3760" s="1"/>
      <c r="X3760" s="1"/>
      <c r="Y3760" s="1"/>
      <c r="Z3760" s="1"/>
      <c r="AA3760" s="1"/>
      <c r="AB3760" s="1"/>
      <c r="AC3760" s="1"/>
      <c r="AD3760" s="1"/>
      <c r="AE3760" s="1"/>
      <c r="AF3760" s="1"/>
      <c r="AG3760" s="1"/>
      <c r="AH3760" s="1"/>
      <c r="AI3760" s="1"/>
      <c r="AJ3760" s="1"/>
      <c r="AK3760" s="1"/>
      <c r="AL3760" s="1"/>
      <c r="AM3760" s="1"/>
      <c r="AN3760" s="1"/>
      <c r="AO3760" s="1"/>
      <c r="AP3760" s="1"/>
      <c r="AQ3760" s="1"/>
      <c r="AR3760" s="1"/>
      <c r="AS3760" s="1"/>
      <c r="AT3760" s="1"/>
      <c r="AU3760" s="1"/>
      <c r="AV3760" s="1"/>
      <c r="AW3760" s="1"/>
      <c r="AX3760" s="1"/>
      <c r="AY3760" s="1"/>
      <c r="AZ3760" s="1"/>
      <c r="BA3760" s="1"/>
      <c r="BB3760" s="1"/>
    </row>
    <row r="3761" ht="204.75" customHeight="1">
      <c r="A3761" s="1">
        <v>1974.0</v>
      </c>
      <c r="B3761" s="2" t="s">
        <v>11322</v>
      </c>
      <c r="C3761" s="2">
        <f>IFERROR(__xludf.DUMMYFUNCTION("split(B3761,""_"")"),1510.0)</f>
        <v>1510</v>
      </c>
      <c r="D3761" s="2" t="str">
        <f>IFERROR(__xludf.DUMMYFUNCTION("""COMPUTED_VALUE"""),"NTV")</f>
        <v>NTV</v>
      </c>
      <c r="E3761" s="2" t="str">
        <f>IFERROR(__xludf.DUMMYFUNCTION("""COMPUTED_VALUE"""),"土21")</f>
        <v>土21</v>
      </c>
      <c r="F3761" s="2" t="s">
        <v>11323</v>
      </c>
      <c r="G3761" s="2" t="s">
        <v>11351</v>
      </c>
      <c r="H3761" s="1">
        <v>10.0</v>
      </c>
      <c r="I3761" s="1" t="s">
        <v>37</v>
      </c>
      <c r="J3761" s="1" t="s">
        <v>11</v>
      </c>
      <c r="K3761" s="2" t="s">
        <v>11352</v>
      </c>
      <c r="L3761" s="11" t="s">
        <v>11353</v>
      </c>
      <c r="M3761" s="2" t="str">
        <f>IFERROR(__xludf.DUMMYFUNCTION("split(split(K3761,""【演出"",false),""ほか"",false)"),"新垣結衣、岡田将生、及川光博、有岡大貴(Hey!Say!JUMP)、内田理央")</f>
        <v>新垣結衣、岡田将生、及川光博、有岡大貴(Hey!Say!JUMP)、内田理央</v>
      </c>
      <c r="N3761" s="2" t="str">
        <f>IFERROR(__xludf.DUMMYFUNCTION("""COMPUTED_VALUE"""),"今日子(新垣結衣)が消えて10日。厄介(岡田将生)は街で黒髪の今日子を見つける。しかし今日子は“掟上今日子”という名前も忘れていた。そんな厄介の前に澤野(要潤)が。澤野によると今日子は自分の妻であり、ある日突然いなくなったため何年も探しやっと見つけたのだという。厄介は今日子の幸せを壊したくないと彼女に別れを告げる。一方「サンドグラス」は閉鎖の危機に。今日子が探偵として生きた痕跡は次々と消えていく…")</f>
        <v>今日子(新垣結衣)が消えて10日。厄介(岡田将生)は街で黒髪の今日子を見つける。しかし今日子は“掟上今日子”という名前も忘れていた。そんな厄介の前に澤野(要潤)が。澤野によると今日子は自分の妻であり、ある日突然いなくなったため何年も探しやっと見つけたのだという。厄介は今日子の幸せを壊したくないと彼女に別れを告げる。一方「サンドグラス」は閉鎖の危機に。今日子が探偵として生きた痕跡は次々と消えていく…</v>
      </c>
      <c r="O3761" s="2"/>
      <c r="P3761" s="1"/>
      <c r="Q3761" s="1"/>
      <c r="R3761" s="1"/>
      <c r="S3761" s="1"/>
      <c r="T3761" s="1"/>
      <c r="U3761" s="1"/>
      <c r="V3761" s="1"/>
      <c r="W3761" s="1"/>
      <c r="X3761" s="1"/>
      <c r="Y3761" s="1"/>
      <c r="Z3761" s="1"/>
      <c r="AA3761" s="1"/>
      <c r="AB3761" s="1"/>
      <c r="AC3761" s="1"/>
      <c r="AD3761" s="1"/>
      <c r="AE3761" s="1"/>
      <c r="AF3761" s="1"/>
      <c r="AG3761" s="1"/>
      <c r="AH3761" s="1"/>
      <c r="AI3761" s="1"/>
      <c r="AJ3761" s="1"/>
      <c r="AK3761" s="1"/>
      <c r="AL3761" s="1"/>
      <c r="AM3761" s="1"/>
      <c r="AN3761" s="1"/>
      <c r="AO3761" s="1"/>
      <c r="AP3761" s="1"/>
      <c r="AQ3761" s="1"/>
      <c r="AR3761" s="1"/>
      <c r="AS3761" s="1"/>
      <c r="AT3761" s="1"/>
      <c r="AU3761" s="1"/>
      <c r="AV3761" s="1"/>
      <c r="AW3761" s="1"/>
      <c r="AX3761" s="1"/>
      <c r="AY3761" s="1"/>
      <c r="AZ3761" s="1"/>
      <c r="BA3761" s="1"/>
      <c r="BB3761" s="1"/>
    </row>
    <row r="3762" ht="204.75" customHeight="1">
      <c r="A3762" s="1">
        <v>1985.0</v>
      </c>
      <c r="B3762" s="2" t="s">
        <v>11354</v>
      </c>
      <c r="C3762" s="2">
        <f>IFERROR(__xludf.DUMMYFUNCTION("split(B3762,""_"")"),1510.0)</f>
        <v>1510</v>
      </c>
      <c r="D3762" s="2" t="str">
        <f>IFERROR(__xludf.DUMMYFUNCTION("""COMPUTED_VALUE"""),"NTV")</f>
        <v>NTV</v>
      </c>
      <c r="E3762" s="2" t="str">
        <f>IFERROR(__xludf.DUMMYFUNCTION("""COMPUTED_VALUE"""),"日22")</f>
        <v>日22</v>
      </c>
      <c r="F3762" s="2" t="s">
        <v>11355</v>
      </c>
      <c r="G3762" s="2" t="s">
        <v>11356</v>
      </c>
      <c r="H3762" s="1">
        <v>1.0</v>
      </c>
      <c r="I3762" s="1" t="s">
        <v>2868</v>
      </c>
      <c r="J3762" s="1" t="s">
        <v>82</v>
      </c>
      <c r="K3762" s="2" t="s">
        <v>11357</v>
      </c>
      <c r="L3762" s="11" t="s">
        <v>11358</v>
      </c>
      <c r="M3762" s="2" t="str">
        <f>IFERROR(__xludf.DUMMYFUNCTION("split(split(K3762,""【演出"",false),""ほか"",false)"),"上川隆也、三吉彩花、相武紗季、三浦翔平、ブラザートム、ミッキー・カーチス、和泉崇司、山寺宏一、ゴリ(ガレッジセール)、高橋努、齋藤めぐみ、戸塚純貴、高島礼子(特別出演)、竜雷太　")</f>
        <v>上川隆也、三吉彩花、相武紗季、三浦翔平、ブラザートム、ミッキー・カーチス、和泉崇司、山寺宏一、ゴリ(ガレッジセール)、高橋努、齋藤めぐみ、戸塚純貴、高島礼子(特別出演)、竜雷太　</v>
      </c>
      <c r="N3762" s="2" t="str">
        <f>IFERROR(__xludf.DUMMYFUNCTION("""COMPUTED_VALUE"""),"リョウ(上川)は一見お調子者の男。しかし彼の正体はシティハンターと呼ばれる凄腕のスイーパー≪始末屋≫。依頼を受け街の悪どもを懲らしめ始末するのが彼の稼業。相棒でフィアンセの香(相武)は彼を支える最大の理解者。しかし二人に絶体絶命のピンチが訪れる。香を襲う不慮の事故、そして死。一年後、リョウの前に現れる謎の美少女・グラスハート(三吉)。彼女は脳死状態の香の心臓が移植され蘇った秘密結社の暗殺者だった!")</f>
        <v>リョウ(上川)は一見お調子者の男。しかし彼の正体はシティハンターと呼ばれる凄腕のスイーパー≪始末屋≫。依頼を受け街の悪どもを懲らしめ始末するのが彼の稼業。相棒でフィアンセの香(相武)は彼を支える最大の理解者。しかし二人に絶体絶命のピンチが訪れる。香を襲う不慮の事故、そして死。一年後、リョウの前に現れる謎の美少女・グラスハート(三吉)。彼女は脳死状態の香の心臓が移植され蘇った秘密結社の暗殺者だった!</v>
      </c>
      <c r="O3762" s="2"/>
      <c r="P3762" s="1"/>
      <c r="Q3762" s="1"/>
      <c r="R3762" s="1"/>
      <c r="S3762" s="1"/>
      <c r="T3762" s="1"/>
      <c r="U3762" s="1"/>
      <c r="V3762" s="1"/>
      <c r="W3762" s="1"/>
      <c r="X3762" s="1"/>
      <c r="Y3762" s="1"/>
      <c r="Z3762" s="1"/>
      <c r="AA3762" s="1"/>
      <c r="AB3762" s="1"/>
      <c r="AC3762" s="1"/>
      <c r="AD3762" s="1"/>
      <c r="AE3762" s="1"/>
      <c r="AF3762" s="1"/>
      <c r="AG3762" s="1"/>
      <c r="AH3762" s="1"/>
      <c r="AI3762" s="1"/>
      <c r="AJ3762" s="1"/>
      <c r="AK3762" s="1"/>
      <c r="AL3762" s="1"/>
      <c r="AM3762" s="1"/>
      <c r="AN3762" s="1"/>
      <c r="AO3762" s="1"/>
      <c r="AP3762" s="1"/>
      <c r="AQ3762" s="1"/>
      <c r="AR3762" s="1"/>
      <c r="AS3762" s="1"/>
      <c r="AT3762" s="1"/>
      <c r="AU3762" s="1"/>
      <c r="AV3762" s="1"/>
      <c r="AW3762" s="1"/>
      <c r="AX3762" s="1"/>
      <c r="AY3762" s="1"/>
      <c r="AZ3762" s="1"/>
      <c r="BA3762" s="1"/>
      <c r="BB3762" s="1"/>
    </row>
    <row r="3763" ht="204.75" customHeight="1">
      <c r="A3763" s="1">
        <v>1986.0</v>
      </c>
      <c r="B3763" s="2" t="s">
        <v>11354</v>
      </c>
      <c r="C3763" s="2">
        <f>IFERROR(__xludf.DUMMYFUNCTION("split(B3763,""_"")"),1510.0)</f>
        <v>1510</v>
      </c>
      <c r="D3763" s="2" t="str">
        <f>IFERROR(__xludf.DUMMYFUNCTION("""COMPUTED_VALUE"""),"NTV")</f>
        <v>NTV</v>
      </c>
      <c r="E3763" s="2" t="str">
        <f>IFERROR(__xludf.DUMMYFUNCTION("""COMPUTED_VALUE"""),"日22")</f>
        <v>日22</v>
      </c>
      <c r="F3763" s="2" t="s">
        <v>11355</v>
      </c>
      <c r="G3763" s="2" t="s">
        <v>11359</v>
      </c>
      <c r="H3763" s="1">
        <v>2.0</v>
      </c>
      <c r="I3763" s="1" t="s">
        <v>2872</v>
      </c>
      <c r="J3763" s="1" t="s">
        <v>82</v>
      </c>
      <c r="K3763" s="2" t="s">
        <v>11360</v>
      </c>
      <c r="L3763" s="11" t="s">
        <v>11361</v>
      </c>
      <c r="M3763" s="2" t="str">
        <f>IFERROR(__xludf.DUMMYFUNCTION("split(split(K3763,""【演出"",false),""ほか"",false)"),"上川隆也、三吉彩花、相武紗季、三浦翔平、ブラザートム、ミッキー・カーチス、和泉崇司、山寺宏一、ゴリ(ガレッジセール)、高橋努、齋藤めぐみ、戸塚純貴、葛山信吾、高島礼子(特別出演)、竜雷太　")</f>
        <v>上川隆也、三吉彩花、相武紗季、三浦翔平、ブラザートム、ミッキー・カーチス、和泉崇司、山寺宏一、ゴリ(ガレッジセール)、高橋努、齋藤めぐみ、戸塚純貴、葛山信吾、高島礼子(特別出演)、竜雷太　</v>
      </c>
      <c r="N3763" s="2" t="str">
        <f>IFERROR(__xludf.DUMMYFUNCTION("""COMPUTED_VALUE"""),"香(相武)の心臓を受け継いだグラス・ハート(三吉)が、暗殺者ではなく普通の女性として生きるための手助けをしようとするリョウ(上川)。しかしそれは一筋縄にはいかなかった。そんなおり、ドク(ミッキー)はグラス・ハートにリョウがシティハンターを始めることになったいきさつを語り始める。それはリョウと香の兄・槇村(葛山信吾)との出会いから始まった。さらに、それはある悲しい物語の始まりでもあった。")</f>
        <v>香(相武)の心臓を受け継いだグラス・ハート(三吉)が、暗殺者ではなく普通の女性として生きるための手助けをしようとするリョウ(上川)。しかしそれは一筋縄にはいかなかった。そんなおり、ドク(ミッキー)はグラス・ハートにリョウがシティハンターを始めることになったいきさつを語り始める。それはリョウと香の兄・槇村(葛山信吾)との出会いから始まった。さらに、それはある悲しい物語の始まりでもあった。</v>
      </c>
      <c r="O3763" s="2"/>
      <c r="P3763" s="1"/>
      <c r="Q3763" s="1"/>
      <c r="R3763" s="1"/>
      <c r="S3763" s="1"/>
      <c r="T3763" s="1"/>
      <c r="U3763" s="1"/>
      <c r="V3763" s="1"/>
      <c r="W3763" s="1"/>
      <c r="X3763" s="1"/>
      <c r="Y3763" s="1"/>
      <c r="Z3763" s="1"/>
      <c r="AA3763" s="1"/>
      <c r="AB3763" s="1"/>
      <c r="AC3763" s="1"/>
      <c r="AD3763" s="1"/>
      <c r="AE3763" s="1"/>
      <c r="AF3763" s="1"/>
      <c r="AG3763" s="1"/>
      <c r="AH3763" s="1"/>
      <c r="AI3763" s="1"/>
      <c r="AJ3763" s="1"/>
      <c r="AK3763" s="1"/>
      <c r="AL3763" s="1"/>
      <c r="AM3763" s="1"/>
      <c r="AN3763" s="1"/>
      <c r="AO3763" s="1"/>
      <c r="AP3763" s="1"/>
      <c r="AQ3763" s="1"/>
      <c r="AR3763" s="1"/>
      <c r="AS3763" s="1"/>
      <c r="AT3763" s="1"/>
      <c r="AU3763" s="1"/>
      <c r="AV3763" s="1"/>
      <c r="AW3763" s="1"/>
      <c r="AX3763" s="1"/>
      <c r="AY3763" s="1"/>
      <c r="AZ3763" s="1"/>
      <c r="BA3763" s="1"/>
      <c r="BB3763" s="1"/>
    </row>
    <row r="3764" ht="204.75" customHeight="1">
      <c r="A3764" s="1">
        <v>1987.0</v>
      </c>
      <c r="B3764" s="2" t="s">
        <v>11354</v>
      </c>
      <c r="C3764" s="2">
        <f>IFERROR(__xludf.DUMMYFUNCTION("split(B3764,""_"")"),1510.0)</f>
        <v>1510</v>
      </c>
      <c r="D3764" s="2" t="str">
        <f>IFERROR(__xludf.DUMMYFUNCTION("""COMPUTED_VALUE"""),"NTV")</f>
        <v>NTV</v>
      </c>
      <c r="E3764" s="2" t="str">
        <f>IFERROR(__xludf.DUMMYFUNCTION("""COMPUTED_VALUE"""),"日22")</f>
        <v>日22</v>
      </c>
      <c r="F3764" s="2" t="s">
        <v>11355</v>
      </c>
      <c r="G3764" s="2" t="s">
        <v>11362</v>
      </c>
      <c r="H3764" s="1">
        <v>3.0</v>
      </c>
      <c r="I3764" s="1" t="s">
        <v>2876</v>
      </c>
      <c r="J3764" s="1" t="s">
        <v>82</v>
      </c>
      <c r="K3764" s="2" t="s">
        <v>11363</v>
      </c>
      <c r="L3764" s="11" t="s">
        <v>11364</v>
      </c>
      <c r="M3764" s="2" t="str">
        <f>IFERROR(__xludf.DUMMYFUNCTION("split(split(K3764,""【演出"",false),""ほか"",false)"),"上川隆也、三吉彩花、相武紗季、三浦翔平、ブラザートム、ミッキー・カーチス、和泉崇司、山寺宏一、ゴリ(ガレッジセール)、高橋努、齋藤めぐみ、戸塚純貴、渡邉このみ、高島礼子(特別出演)、竜雷太　")</f>
        <v>上川隆也、三吉彩花、相武紗季、三浦翔平、ブラザートム、ミッキー・カーチス、和泉崇司、山寺宏一、ゴリ(ガレッジセール)、高橋努、齋藤めぐみ、戸塚純貴、渡邉このみ、高島礼子(特別出演)、竜雷太　</v>
      </c>
      <c r="N3764" s="2" t="str">
        <f>IFERROR(__xludf.DUMMYFUNCTION("""COMPUTED_VALUE"""),"最近ファルコン(ブラザートム)の様子がおかしい。ボーッと上の空かと思えば、昼頃にいそいそと出かけていくのだ。聞けばファルコンは公園で少女ミキ(渡邉このみ)と会い絵本を読んでもらっているらしい。少女は学校にも行かず新宿界隈をフラフラしているのだ。あるときリョウ(上川)とシャンイン(三吉)はミキがテナントビルの一隅で一人で住んでいることを知る。さらに冴子(高島)の調査で少女の悲しい境遇が明らかになる。")</f>
        <v>最近ファルコン(ブラザートム)の様子がおかしい。ボーッと上の空かと思えば、昼頃にいそいそと出かけていくのだ。聞けばファルコンは公園で少女ミキ(渡邉このみ)と会い絵本を読んでもらっているらしい。少女は学校にも行かず新宿界隈をフラフラしているのだ。あるときリョウ(上川)とシャンイン(三吉)はミキがテナントビルの一隅で一人で住んでいることを知る。さらに冴子(高島)の調査で少女の悲しい境遇が明らかになる。</v>
      </c>
      <c r="O3764" s="2"/>
      <c r="P3764" s="1"/>
      <c r="Q3764" s="1"/>
      <c r="R3764" s="1"/>
      <c r="S3764" s="1"/>
      <c r="T3764" s="1"/>
      <c r="U3764" s="1"/>
      <c r="V3764" s="1"/>
      <c r="W3764" s="1"/>
      <c r="X3764" s="1"/>
      <c r="Y3764" s="1"/>
      <c r="Z3764" s="1"/>
      <c r="AA3764" s="1"/>
      <c r="AB3764" s="1"/>
      <c r="AC3764" s="1"/>
      <c r="AD3764" s="1"/>
      <c r="AE3764" s="1"/>
      <c r="AF3764" s="1"/>
      <c r="AG3764" s="1"/>
      <c r="AH3764" s="1"/>
      <c r="AI3764" s="1"/>
      <c r="AJ3764" s="1"/>
      <c r="AK3764" s="1"/>
      <c r="AL3764" s="1"/>
      <c r="AM3764" s="1"/>
      <c r="AN3764" s="1"/>
      <c r="AO3764" s="1"/>
      <c r="AP3764" s="1"/>
      <c r="AQ3764" s="1"/>
      <c r="AR3764" s="1"/>
      <c r="AS3764" s="1"/>
      <c r="AT3764" s="1"/>
      <c r="AU3764" s="1"/>
      <c r="AV3764" s="1"/>
      <c r="AW3764" s="1"/>
      <c r="AX3764" s="1"/>
      <c r="AY3764" s="1"/>
      <c r="AZ3764" s="1"/>
      <c r="BA3764" s="1"/>
      <c r="BB3764" s="1"/>
    </row>
    <row r="3765" ht="204.75" customHeight="1">
      <c r="A3765" s="1">
        <v>1988.0</v>
      </c>
      <c r="B3765" s="2" t="s">
        <v>11354</v>
      </c>
      <c r="C3765" s="2">
        <f>IFERROR(__xludf.DUMMYFUNCTION("split(B3765,""_"")"),1510.0)</f>
        <v>1510</v>
      </c>
      <c r="D3765" s="2" t="str">
        <f>IFERROR(__xludf.DUMMYFUNCTION("""COMPUTED_VALUE"""),"NTV")</f>
        <v>NTV</v>
      </c>
      <c r="E3765" s="2" t="str">
        <f>IFERROR(__xludf.DUMMYFUNCTION("""COMPUTED_VALUE"""),"日22")</f>
        <v>日22</v>
      </c>
      <c r="F3765" s="2" t="s">
        <v>11355</v>
      </c>
      <c r="G3765" s="2" t="s">
        <v>11365</v>
      </c>
      <c r="H3765" s="1">
        <v>4.0</v>
      </c>
      <c r="I3765" s="1" t="s">
        <v>2880</v>
      </c>
      <c r="J3765" s="1" t="s">
        <v>82</v>
      </c>
      <c r="K3765" s="2" t="s">
        <v>11366</v>
      </c>
      <c r="L3765" s="11" t="s">
        <v>11367</v>
      </c>
      <c r="M3765" s="2" t="str">
        <f>IFERROR(__xludf.DUMMYFUNCTION("split(split(K3765,""【演出"",false),""ほか"",false)"),"上川隆也、三吉彩花、相武紗季、三浦翔平、ブラザートム、ミッキー・カーチス、和泉崇司、山寺宏一、ゴリ(ガレッジセール)、高橋努、齋藤めぐみ、戸塚純貴、高島礼子(特別出演)、竜雷太　")</f>
        <v>上川隆也、三吉彩花、相武紗季、三浦翔平、ブラザートム、ミッキー・カーチス、和泉崇司、山寺宏一、ゴリ(ガレッジセール)、高橋努、齋藤めぐみ、戸塚純貴、高島礼子(特別出演)、竜雷太　</v>
      </c>
      <c r="N3765" s="2" t="str">
        <f>IFERROR(__xludf.DUMMYFUNCTION("""COMPUTED_VALUE"""),"シティハンターを再開したリョウ(上川)のもとに依頼人の高畑(鳥羽潤)がやってくる。高畑は15年前に心臓移植手術を受けており、心臓を提供してくれたドナーの家族に礼をしたいので探したいと言う。さらに「先日、ある見知らぬ女性に出会ったとき、なぜか心臓がドクンと高鳴った」と話す高畑に、リョウとシャンイン(三吉)は他人事とは思えず依頼を引き受けることに。")</f>
        <v>シティハンターを再開したリョウ(上川)のもとに依頼人の高畑(鳥羽潤)がやってくる。高畑は15年前に心臓移植手術を受けており、心臓を提供してくれたドナーの家族に礼をしたいので探したいと言う。さらに「先日、ある見知らぬ女性に出会ったとき、なぜか心臓がドクンと高鳴った」と話す高畑に、リョウとシャンイン(三吉)は他人事とは思えず依頼を引き受けることに。</v>
      </c>
      <c r="O3765" s="2"/>
      <c r="P3765" s="1"/>
      <c r="Q3765" s="1"/>
      <c r="R3765" s="1"/>
      <c r="S3765" s="1"/>
      <c r="T3765" s="1"/>
      <c r="U3765" s="1"/>
      <c r="V3765" s="1"/>
      <c r="W3765" s="1"/>
      <c r="X3765" s="1"/>
      <c r="Y3765" s="1"/>
      <c r="Z3765" s="1"/>
      <c r="AA3765" s="1"/>
      <c r="AB3765" s="1"/>
      <c r="AC3765" s="1"/>
      <c r="AD3765" s="1"/>
      <c r="AE3765" s="1"/>
      <c r="AF3765" s="1"/>
      <c r="AG3765" s="1"/>
      <c r="AH3765" s="1"/>
      <c r="AI3765" s="1"/>
      <c r="AJ3765" s="1"/>
      <c r="AK3765" s="1"/>
      <c r="AL3765" s="1"/>
      <c r="AM3765" s="1"/>
      <c r="AN3765" s="1"/>
      <c r="AO3765" s="1"/>
      <c r="AP3765" s="1"/>
      <c r="AQ3765" s="1"/>
      <c r="AR3765" s="1"/>
      <c r="AS3765" s="1"/>
      <c r="AT3765" s="1"/>
      <c r="AU3765" s="1"/>
      <c r="AV3765" s="1"/>
      <c r="AW3765" s="1"/>
      <c r="AX3765" s="1"/>
      <c r="AY3765" s="1"/>
      <c r="AZ3765" s="1"/>
      <c r="BA3765" s="1"/>
      <c r="BB3765" s="1"/>
    </row>
    <row r="3766" ht="204.75" customHeight="1">
      <c r="A3766" s="1">
        <v>1989.0</v>
      </c>
      <c r="B3766" s="2" t="s">
        <v>11354</v>
      </c>
      <c r="C3766" s="2">
        <f>IFERROR(__xludf.DUMMYFUNCTION("split(B3766,""_"")"),1510.0)</f>
        <v>1510</v>
      </c>
      <c r="D3766" s="2" t="str">
        <f>IFERROR(__xludf.DUMMYFUNCTION("""COMPUTED_VALUE"""),"NTV")</f>
        <v>NTV</v>
      </c>
      <c r="E3766" s="2" t="str">
        <f>IFERROR(__xludf.DUMMYFUNCTION("""COMPUTED_VALUE"""),"日22")</f>
        <v>日22</v>
      </c>
      <c r="F3766" s="2" t="s">
        <v>11355</v>
      </c>
      <c r="G3766" s="2" t="s">
        <v>11368</v>
      </c>
      <c r="H3766" s="1">
        <v>5.0</v>
      </c>
      <c r="I3766" s="1" t="s">
        <v>2884</v>
      </c>
      <c r="J3766" s="1" t="s">
        <v>82</v>
      </c>
      <c r="K3766" s="2" t="s">
        <v>11369</v>
      </c>
      <c r="L3766" s="10" t="s">
        <v>11370</v>
      </c>
      <c r="M3766" s="2" t="str">
        <f>IFERROR(__xludf.DUMMYFUNCTION("split(split(K3766,""【演出"",false),""ほか"",false)"),"上川隆也、三吉彩花、相武紗季、三浦翔平、ブラザートム、ミッキー・カーチス、和泉崇司、山寺宏一、ゴリ(ガレッジセール)、高橋努、齋藤めぐみ、戸塚純貴、高島礼子(特別出演)、竜雷太　")</f>
        <v>上川隆也、三吉彩花、相武紗季、三浦翔平、ブラザートム、ミッキー・カーチス、和泉崇司、山寺宏一、ゴリ(ガレッジセール)、高橋努、齋藤めぐみ、戸塚純貴、高島礼子(特別出演)、竜雷太　</v>
      </c>
      <c r="N3766" s="2" t="str">
        <f>IFERROR(__xludf.DUMMYFUNCTION("""COMPUTED_VALUE"""),"喫茶キャッツアイにやってきた美女パイラン(前田亜季)。彼女はかつてシンホン(三浦)がいた組織レギオンの仲間で、街で偶然シンホンを見かけたのだと言う。リョウ(上川)はパイランがレギオンの敵対組織の会長・早川(岩城滉一)のもとに身を置いていることを突き止める。早川は2年前に実の娘を亡くしており、パイランを「娘に生き写しだ」と可愛がっていたのだ。果たしてパイランの目的とは…。【原作】北条司『エンジェル・ハート』  【脚本】高橋悠也【主題歌】西内まりや『Save　me』(SONIC　GROOVE)  【劇伴】金子"&amp;"隆博【制作協力】ケイファクトリー")</f>
        <v>喫茶キャッツアイにやってきた美女パイラン(前田亜季)。彼女はかつてシンホン(三浦)がいた組織レギオンの仲間で、街で偶然シンホンを見かけたのだと言う。リョウ(上川)はパイランがレギオンの敵対組織の会長・早川(岩城滉一)のもとに身を置いていることを突き止める。早川は2年前に実の娘を亡くしており、パイランを「娘に生き写しだ」と可愛がっていたのだ。果たしてパイランの目的とは…。【原作】北条司『エンジェル・ハート』  【脚本】高橋悠也【主題歌】西内まりや『Save　me』(SONIC　GROOVE)  【劇伴】金子隆博【制作協力】ケイファクトリー</v>
      </c>
      <c r="O3766" s="2"/>
      <c r="P3766" s="1"/>
      <c r="Q3766" s="1"/>
      <c r="R3766" s="1"/>
      <c r="S3766" s="1"/>
      <c r="T3766" s="1"/>
      <c r="U3766" s="1"/>
      <c r="V3766" s="1"/>
      <c r="W3766" s="1"/>
      <c r="X3766" s="1"/>
      <c r="Y3766" s="1"/>
      <c r="Z3766" s="1"/>
      <c r="AA3766" s="1"/>
      <c r="AB3766" s="1"/>
      <c r="AC3766" s="1"/>
      <c r="AD3766" s="1"/>
      <c r="AE3766" s="1"/>
      <c r="AF3766" s="1"/>
      <c r="AG3766" s="1"/>
      <c r="AH3766" s="1"/>
      <c r="AI3766" s="1"/>
      <c r="AJ3766" s="1"/>
      <c r="AK3766" s="1"/>
      <c r="AL3766" s="1"/>
      <c r="AM3766" s="1"/>
      <c r="AN3766" s="1"/>
      <c r="AO3766" s="1"/>
      <c r="AP3766" s="1"/>
      <c r="AQ3766" s="1"/>
      <c r="AR3766" s="1"/>
      <c r="AS3766" s="1"/>
      <c r="AT3766" s="1"/>
      <c r="AU3766" s="1"/>
      <c r="AV3766" s="1"/>
      <c r="AW3766" s="1"/>
      <c r="AX3766" s="1"/>
      <c r="AY3766" s="1"/>
      <c r="AZ3766" s="1"/>
      <c r="BA3766" s="1"/>
      <c r="BB3766" s="1"/>
    </row>
    <row r="3767" ht="204.75" customHeight="1">
      <c r="A3767" s="1">
        <v>1990.0</v>
      </c>
      <c r="B3767" s="2" t="s">
        <v>11354</v>
      </c>
      <c r="C3767" s="2">
        <f>IFERROR(__xludf.DUMMYFUNCTION("split(B3767,""_"")"),1510.0)</f>
        <v>1510</v>
      </c>
      <c r="D3767" s="2" t="str">
        <f>IFERROR(__xludf.DUMMYFUNCTION("""COMPUTED_VALUE"""),"NTV")</f>
        <v>NTV</v>
      </c>
      <c r="E3767" s="2" t="str">
        <f>IFERROR(__xludf.DUMMYFUNCTION("""COMPUTED_VALUE"""),"日22")</f>
        <v>日22</v>
      </c>
      <c r="F3767" s="2" t="s">
        <v>11355</v>
      </c>
      <c r="G3767" s="2" t="s">
        <v>11371</v>
      </c>
      <c r="H3767" s="1">
        <v>6.0</v>
      </c>
      <c r="I3767" s="1" t="s">
        <v>2888</v>
      </c>
      <c r="J3767" s="1" t="s">
        <v>82</v>
      </c>
      <c r="K3767" s="2" t="s">
        <v>11372</v>
      </c>
      <c r="L3767" s="11" t="s">
        <v>11373</v>
      </c>
      <c r="M3767" s="2" t="str">
        <f>IFERROR(__xludf.DUMMYFUNCTION("split(split(K3767,""【演出"",false),""ほか"",false)"),"上川隆也、三吉彩花、相武紗季、三浦翔平、ブラザートム、ミッキー・カーチス、和泉崇司、山寺宏一、ゴリ(ガレッジセール)、高橋努、齋藤めぐみ、戸塚純貴、高島礼子(特別出演)、竜雷太　")</f>
        <v>上川隆也、三吉彩花、相武紗季、三浦翔平、ブラザートム、ミッキー・カーチス、和泉崇司、山寺宏一、ゴリ(ガレッジセール)、高橋努、齋藤めぐみ、戸塚純貴、高島礼子(特別出演)、竜雷太　</v>
      </c>
      <c r="N3767" s="2" t="str">
        <f>IFERROR(__xludf.DUMMYFUNCTION("""COMPUTED_VALUE"""),"リョウの元パートナー香の兄である槇村の命日に彼の墓前を訪れたリョウとシャンイン。そこには槇村の元恋人・冴子の姿があった。冴子はある決意の表情でリョウにXYZを告げる。十年前に槇村を殺した犯人・遠山一真からメールで挑戦状が届いたというのだ。遠山の真の目的とは…。リョウにとってシティハンターの元相棒、また香の兄であり、そして冴子の恋人だった槇村を殺した男……。その再来にそれぞれの複雑な想いが交錯する。")</f>
        <v>リョウの元パートナー香の兄である槇村の命日に彼の墓前を訪れたリョウとシャンイン。そこには槇村の元恋人・冴子の姿があった。冴子はある決意の表情でリョウにXYZを告げる。十年前に槇村を殺した犯人・遠山一真からメールで挑戦状が届いたというのだ。遠山の真の目的とは…。リョウにとってシティハンターの元相棒、また香の兄であり、そして冴子の恋人だった槇村を殺した男……。その再来にそれぞれの複雑な想いが交錯する。</v>
      </c>
      <c r="O3767" s="2"/>
      <c r="P3767" s="1"/>
      <c r="Q3767" s="1"/>
      <c r="R3767" s="1"/>
      <c r="S3767" s="1"/>
      <c r="T3767" s="1"/>
      <c r="U3767" s="1"/>
      <c r="V3767" s="1"/>
      <c r="W3767" s="1"/>
      <c r="X3767" s="1"/>
      <c r="Y3767" s="1"/>
      <c r="Z3767" s="1"/>
      <c r="AA3767" s="1"/>
      <c r="AB3767" s="1"/>
      <c r="AC3767" s="1"/>
      <c r="AD3767" s="1"/>
      <c r="AE3767" s="1"/>
      <c r="AF3767" s="1"/>
      <c r="AG3767" s="1"/>
      <c r="AH3767" s="1"/>
      <c r="AI3767" s="1"/>
      <c r="AJ3767" s="1"/>
      <c r="AK3767" s="1"/>
      <c r="AL3767" s="1"/>
      <c r="AM3767" s="1"/>
      <c r="AN3767" s="1"/>
      <c r="AO3767" s="1"/>
      <c r="AP3767" s="1"/>
      <c r="AQ3767" s="1"/>
      <c r="AR3767" s="1"/>
      <c r="AS3767" s="1"/>
      <c r="AT3767" s="1"/>
      <c r="AU3767" s="1"/>
      <c r="AV3767" s="1"/>
      <c r="AW3767" s="1"/>
      <c r="AX3767" s="1"/>
      <c r="AY3767" s="1"/>
      <c r="AZ3767" s="1"/>
      <c r="BA3767" s="1"/>
      <c r="BB3767" s="1"/>
    </row>
    <row r="3768" ht="204.75" customHeight="1">
      <c r="A3768" s="1">
        <v>1991.0</v>
      </c>
      <c r="B3768" s="2" t="s">
        <v>11354</v>
      </c>
      <c r="C3768" s="2">
        <f>IFERROR(__xludf.DUMMYFUNCTION("split(B3768,""_"")"),1510.0)</f>
        <v>1510</v>
      </c>
      <c r="D3768" s="2" t="str">
        <f>IFERROR(__xludf.DUMMYFUNCTION("""COMPUTED_VALUE"""),"NTV")</f>
        <v>NTV</v>
      </c>
      <c r="E3768" s="2" t="str">
        <f>IFERROR(__xludf.DUMMYFUNCTION("""COMPUTED_VALUE"""),"日22")</f>
        <v>日22</v>
      </c>
      <c r="F3768" s="2" t="s">
        <v>11355</v>
      </c>
      <c r="G3768" s="2" t="s">
        <v>11374</v>
      </c>
      <c r="H3768" s="1">
        <v>7.0</v>
      </c>
      <c r="I3768" s="1" t="s">
        <v>2892</v>
      </c>
      <c r="J3768" s="1" t="s">
        <v>82</v>
      </c>
      <c r="K3768" s="2" t="s">
        <v>11375</v>
      </c>
      <c r="L3768" s="10" t="s">
        <v>11376</v>
      </c>
      <c r="M3768" s="2" t="str">
        <f>IFERROR(__xludf.DUMMYFUNCTION("split(split(K3768,""【演出"",false),""ほか"",false)"),"上川隆也、三吉彩花、相武紗季、三浦翔平、ブラザートム、ミッキー・カーチス、和泉崇司、山寺宏一、ゴリ(ガレッジセール)、高橋努、齋藤めぐみ、戸塚純貴、高島礼子(特別出演)、竜雷太　")</f>
        <v>上川隆也、三吉彩花、相武紗季、三浦翔平、ブラザートム、ミッキー・カーチス、和泉崇司、山寺宏一、ゴリ(ガレッジセール)、高橋努、齋藤めぐみ、戸塚純貴、高島礼子(特別出演)、竜雷太　</v>
      </c>
      <c r="N3768" s="2" t="str">
        <f>IFERROR(__xludf.DUMMYFUNCTION("""COMPUTED_VALUE"""),"天才ピアニストと呼ばれる少女・夢がキャッツアイを訪ねてきた。夢は1年前殺された父親が何者だったのかを知りたいと言う。そして誰が父親を殺したのかも……。だがシャンインはその答えを知っていた。夢の父親を殺したのはグラス・ハート、すなわちレギオンの暗殺部隊の一員だった頃のシャンインだったのだ。シャンインは「私、逃げない」と依頼を引き受けることを決意するのだが…。【原作】北条司『エンジェル・ハート』  【脚本】高橋悠也【主題歌】西内まりや『Save　me』(SONIC　GROOVE)  【劇伴】金子隆博【制作協力"&amp;"】ケイファクトリー")</f>
        <v>天才ピアニストと呼ばれる少女・夢がキャッツアイを訪ねてきた。夢は1年前殺された父親が何者だったのかを知りたいと言う。そして誰が父親を殺したのかも……。だがシャンインはその答えを知っていた。夢の父親を殺したのはグラス・ハート、すなわちレギオンの暗殺部隊の一員だった頃のシャンインだったのだ。シャンインは「私、逃げない」と依頼を引き受けることを決意するのだが…。【原作】北条司『エンジェル・ハート』  【脚本】高橋悠也【主題歌】西内まりや『Save　me』(SONIC　GROOVE)  【劇伴】金子隆博【制作協力】ケイファクトリー</v>
      </c>
      <c r="O3768" s="2"/>
      <c r="P3768" s="1"/>
      <c r="Q3768" s="1"/>
      <c r="R3768" s="1"/>
      <c r="S3768" s="1"/>
      <c r="T3768" s="1"/>
      <c r="U3768" s="1"/>
      <c r="V3768" s="1"/>
      <c r="W3768" s="1"/>
      <c r="X3768" s="1"/>
      <c r="Y3768" s="1"/>
      <c r="Z3768" s="1"/>
      <c r="AA3768" s="1"/>
      <c r="AB3768" s="1"/>
      <c r="AC3768" s="1"/>
      <c r="AD3768" s="1"/>
      <c r="AE3768" s="1"/>
      <c r="AF3768" s="1"/>
      <c r="AG3768" s="1"/>
      <c r="AH3768" s="1"/>
      <c r="AI3768" s="1"/>
      <c r="AJ3768" s="1"/>
      <c r="AK3768" s="1"/>
      <c r="AL3768" s="1"/>
      <c r="AM3768" s="1"/>
      <c r="AN3768" s="1"/>
      <c r="AO3768" s="1"/>
      <c r="AP3768" s="1"/>
      <c r="AQ3768" s="1"/>
      <c r="AR3768" s="1"/>
      <c r="AS3768" s="1"/>
      <c r="AT3768" s="1"/>
      <c r="AU3768" s="1"/>
      <c r="AV3768" s="1"/>
      <c r="AW3768" s="1"/>
      <c r="AX3768" s="1"/>
      <c r="AY3768" s="1"/>
      <c r="AZ3768" s="1"/>
      <c r="BA3768" s="1"/>
      <c r="BB3768" s="1"/>
    </row>
    <row r="3769" ht="204.75" customHeight="1">
      <c r="A3769" s="1">
        <v>1992.0</v>
      </c>
      <c r="B3769" s="2" t="s">
        <v>11354</v>
      </c>
      <c r="C3769" s="2">
        <f>IFERROR(__xludf.DUMMYFUNCTION("split(B3769,""_"")"),1510.0)</f>
        <v>1510</v>
      </c>
      <c r="D3769" s="2" t="str">
        <f>IFERROR(__xludf.DUMMYFUNCTION("""COMPUTED_VALUE"""),"NTV")</f>
        <v>NTV</v>
      </c>
      <c r="E3769" s="2" t="str">
        <f>IFERROR(__xludf.DUMMYFUNCTION("""COMPUTED_VALUE"""),"日22")</f>
        <v>日22</v>
      </c>
      <c r="F3769" s="2" t="s">
        <v>11355</v>
      </c>
      <c r="G3769" s="2" t="s">
        <v>11377</v>
      </c>
      <c r="H3769" s="1">
        <v>8.0</v>
      </c>
      <c r="I3769" s="1" t="s">
        <v>2896</v>
      </c>
      <c r="J3769" s="1" t="s">
        <v>82</v>
      </c>
      <c r="K3769" s="2" t="s">
        <v>11378</v>
      </c>
      <c r="L3769" s="10" t="s">
        <v>11379</v>
      </c>
      <c r="M3769" s="2" t="str">
        <f>IFERROR(__xludf.DUMMYFUNCTION("split(split(K3769,""【演出"",false),""ほか"",false)"),"上川隆也、三吉彩花、相武紗季、三浦翔平、ブラザートム、ミッキー・カーチス、和泉崇司、山寺宏一、ゴリ(ガレッジセール)、高橋努、齋藤めぐみ、戸塚純貴、高島礼子(特別出演)、竜雷太　")</f>
        <v>上川隆也、三吉彩花、相武紗季、三浦翔平、ブラザートム、ミッキー・カーチス、和泉崇司、山寺宏一、ゴリ(ガレッジセール)、高橋努、齋藤めぐみ、戸塚純貴、高島礼子(特別出演)、竜雷太　</v>
      </c>
      <c r="N3769" s="2" t="str">
        <f>IFERROR(__xludf.DUMMYFUNCTION("""COMPUTED_VALUE"""),"レギオンのトップ李の指令により、ついにシャンインはカリートによって連れ去られてしまった。さらに街のいたるところにレギオンの暗殺部隊たちが不穏な動きを見せ始める。いったい、彼らは何をしようとしているのか…?このピンチにいっそう結束を強くするリョウとキャッツアイの仲間たち。巨大組織・レギオンに立ち向かうつもりなのか?果たしてシャンインを救い出すことはできるのか?物語はいよいよクライマックスへ突入!【原作】北条司『エンジェル・ハート』  【脚本】高橋悠也【主題歌】西内まりや『Save　me』(SONIC　GRO"&amp;"OVE)  【劇伴】金子隆博【制作協力】ケイファクトリー")</f>
        <v>レギオンのトップ李の指令により、ついにシャンインはカリートによって連れ去られてしまった。さらに街のいたるところにレギオンの暗殺部隊たちが不穏な動きを見せ始める。いったい、彼らは何をしようとしているのか…?このピンチにいっそう結束を強くするリョウとキャッツアイの仲間たち。巨大組織・レギオンに立ち向かうつもりなのか?果たしてシャンインを救い出すことはできるのか?物語はいよいよクライマックスへ突入!【原作】北条司『エンジェル・ハート』  【脚本】高橋悠也【主題歌】西内まりや『Save　me』(SONIC　GROOVE)  【劇伴】金子隆博【制作協力】ケイファクトリー</v>
      </c>
      <c r="O3769" s="2"/>
      <c r="P3769" s="1"/>
      <c r="Q3769" s="1"/>
      <c r="R3769" s="1"/>
      <c r="S3769" s="1"/>
      <c r="T3769" s="1"/>
      <c r="U3769" s="1"/>
      <c r="V3769" s="1"/>
      <c r="W3769" s="1"/>
      <c r="X3769" s="1"/>
      <c r="Y3769" s="1"/>
      <c r="Z3769" s="1"/>
      <c r="AA3769" s="1"/>
      <c r="AB3769" s="1"/>
      <c r="AC3769" s="1"/>
      <c r="AD3769" s="1"/>
      <c r="AE3769" s="1"/>
      <c r="AF3769" s="1"/>
      <c r="AG3769" s="1"/>
      <c r="AH3769" s="1"/>
      <c r="AI3769" s="1"/>
      <c r="AJ3769" s="1"/>
      <c r="AK3769" s="1"/>
      <c r="AL3769" s="1"/>
      <c r="AM3769" s="1"/>
      <c r="AN3769" s="1"/>
      <c r="AO3769" s="1"/>
      <c r="AP3769" s="1"/>
      <c r="AQ3769" s="1"/>
      <c r="AR3769" s="1"/>
      <c r="AS3769" s="1"/>
      <c r="AT3769" s="1"/>
      <c r="AU3769" s="1"/>
      <c r="AV3769" s="1"/>
      <c r="AW3769" s="1"/>
      <c r="AX3769" s="1"/>
      <c r="AY3769" s="1"/>
      <c r="AZ3769" s="1"/>
      <c r="BA3769" s="1"/>
      <c r="BB3769" s="1"/>
    </row>
    <row r="3770" ht="204.75" customHeight="1">
      <c r="A3770" s="1">
        <v>1993.0</v>
      </c>
      <c r="B3770" s="2" t="s">
        <v>11354</v>
      </c>
      <c r="C3770" s="2">
        <f>IFERROR(__xludf.DUMMYFUNCTION("split(B3770,""_"")"),1510.0)</f>
        <v>1510</v>
      </c>
      <c r="D3770" s="2" t="str">
        <f>IFERROR(__xludf.DUMMYFUNCTION("""COMPUTED_VALUE"""),"NTV")</f>
        <v>NTV</v>
      </c>
      <c r="E3770" s="2" t="str">
        <f>IFERROR(__xludf.DUMMYFUNCTION("""COMPUTED_VALUE"""),"日22")</f>
        <v>日22</v>
      </c>
      <c r="F3770" s="2" t="s">
        <v>11355</v>
      </c>
      <c r="G3770" s="2" t="s">
        <v>11380</v>
      </c>
      <c r="H3770" s="1">
        <v>9.0</v>
      </c>
      <c r="I3770" s="1" t="s">
        <v>2900</v>
      </c>
      <c r="J3770" s="1" t="s">
        <v>82</v>
      </c>
      <c r="K3770" s="2" t="s">
        <v>11381</v>
      </c>
      <c r="L3770" s="10" t="s">
        <v>11382</v>
      </c>
      <c r="M3770" s="2" t="str">
        <f>IFERROR(__xludf.DUMMYFUNCTION("split(split(K3770,""【演出"",false),""ほか"",false)"),"上川隆也、三吉彩花、相武紗季、三浦翔平、ブラザートム、ミッキー・カーチス、和泉崇司、山寺宏一、ゴリ(ガレッジセール)、高橋努、齋藤めぐみ、戸塚純貴、高島礼子(特別出演)、竜雷太　")</f>
        <v>上川隆也、三吉彩花、相武紗季、三浦翔平、ブラザートム、ミッキー・カーチス、和泉崇司、山寺宏一、ゴリ(ガレッジセール)、高橋努、齋藤めぐみ、戸塚純貴、高島礼子(特別出演)、竜雷太　</v>
      </c>
      <c r="N3770" s="2" t="str">
        <f>IFERROR(__xludf.DUMMYFUNCTION("""COMPUTED_VALUE"""),"誘拐されたシャンインを救い出すためレギオン本部に乗り込んだリョウとシンホン、そしてファルコン。それぞれの場所で決死の覚悟で闘う仲間の想いを胸に、リョウはレギオンとの最後の闘いに挑む。そしてリョウの前に現れる一人の男、それはレギオン会長・李だった。李の口から語られたのは、信じがたいシャンインの出生の秘密だった。果たしてリョウたちはシャンインを救い出せるのか!物語は運命的な結末を迎える。【原作】北条司『エンジェル・ハート』  【脚本】高橋悠也【主題歌】西内まりや『Save　me』(SONIC　GROOVE) "&amp;" 【劇伴】金子隆博【制作協力】ケイファクトリー")</f>
        <v>誘拐されたシャンインを救い出すためレギオン本部に乗り込んだリョウとシンホン、そしてファルコン。それぞれの場所で決死の覚悟で闘う仲間の想いを胸に、リョウはレギオンとの最後の闘いに挑む。そしてリョウの前に現れる一人の男、それはレギオン会長・李だった。李の口から語られたのは、信じがたいシャンインの出生の秘密だった。果たしてリョウたちはシャンインを救い出せるのか!物語は運命的な結末を迎える。【原作】北条司『エンジェル・ハート』  【脚本】高橋悠也【主題歌】西内まりや『Save　me』(SONIC　GROOVE)  【劇伴】金子隆博【制作協力】ケイファクトリー</v>
      </c>
      <c r="O3770" s="2"/>
      <c r="P3770" s="1"/>
      <c r="Q3770" s="1"/>
      <c r="R3770" s="1"/>
      <c r="S3770" s="1"/>
      <c r="T3770" s="1"/>
      <c r="U3770" s="1"/>
      <c r="V3770" s="1"/>
      <c r="W3770" s="1"/>
      <c r="X3770" s="1"/>
      <c r="Y3770" s="1"/>
      <c r="Z3770" s="1"/>
      <c r="AA3770" s="1"/>
      <c r="AB3770" s="1"/>
      <c r="AC3770" s="1"/>
      <c r="AD3770" s="1"/>
      <c r="AE3770" s="1"/>
      <c r="AF3770" s="1"/>
      <c r="AG3770" s="1"/>
      <c r="AH3770" s="1"/>
      <c r="AI3770" s="1"/>
      <c r="AJ3770" s="1"/>
      <c r="AK3770" s="1"/>
      <c r="AL3770" s="1"/>
      <c r="AM3770" s="1"/>
      <c r="AN3770" s="1"/>
      <c r="AO3770" s="1"/>
      <c r="AP3770" s="1"/>
      <c r="AQ3770" s="1"/>
      <c r="AR3770" s="1"/>
      <c r="AS3770" s="1"/>
      <c r="AT3770" s="1"/>
      <c r="AU3770" s="1"/>
      <c r="AV3770" s="1"/>
      <c r="AW3770" s="1"/>
      <c r="AX3770" s="1"/>
      <c r="AY3770" s="1"/>
      <c r="AZ3770" s="1"/>
      <c r="BA3770" s="1"/>
      <c r="BB3770" s="1"/>
    </row>
    <row r="3771" ht="204.75" customHeight="1">
      <c r="A3771" s="1">
        <v>2022.0</v>
      </c>
      <c r="B3771" s="2" t="s">
        <v>11383</v>
      </c>
      <c r="C3771" s="2">
        <f>IFERROR(__xludf.DUMMYFUNCTION("split(B3771,""_"")"),1507.0)</f>
        <v>1507</v>
      </c>
      <c r="D3771" s="2" t="str">
        <f>IFERROR(__xludf.DUMMYFUNCTION("""COMPUTED_VALUE"""),"NTV")</f>
        <v>NTV</v>
      </c>
      <c r="E3771" s="2" t="str">
        <f>IFERROR(__xludf.DUMMYFUNCTION("""COMPUTED_VALUE"""),"水22")</f>
        <v>水22</v>
      </c>
      <c r="F3771" s="2" t="s">
        <v>11384</v>
      </c>
      <c r="G3771" s="2" t="s">
        <v>11385</v>
      </c>
      <c r="H3771" s="1">
        <v>1.0</v>
      </c>
      <c r="I3771" s="1" t="s">
        <v>2868</v>
      </c>
      <c r="J3771" s="1" t="s">
        <v>82</v>
      </c>
      <c r="K3771" s="2" t="s">
        <v>11386</v>
      </c>
      <c r="L3771" s="10" t="s">
        <v>11387</v>
      </c>
      <c r="M3771" s="2" t="str">
        <f>IFERROR(__xludf.DUMMYFUNCTION("split(split(K3771,""【演出"",false),""ほか"",false)"),"杏、上川隆也、塚地武雅(ドランクドラゴン)、榎木孝明、  石橋凌、甲本雅裕、大杉漣、生瀬勝久  寺脇康文、片瀬那奈、佐藤B作、小松和重、児嶋一哉(アンジャッシュ)舞(杏)と相馬(上川隆也)がコンビを組んで1年余りが過ぎた。ある日二人は、投資信託トラブルを起こした日本橋支店へ臨店する。顧客の諸角産業が、三千万円の投資信託を購入し半年後に解約したところ、三百万円の損失が出た。だが諸角社長が言うには、購入時に渉外課の北原有里(片瀬那奈)から「元本は保証する。損はしない」と説明されていたという。支店長の橋爪(寺脇"&amp;"康文)も、「そんなのは言いがかりだ」と取り合わず…。")</f>
        <v>杏、上川隆也、塚地武雅(ドランクドラゴン)、榎木孝明、  石橋凌、甲本雅裕、大杉漣、生瀬勝久  寺脇康文、片瀬那奈、佐藤B作、小松和重、児嶋一哉(アンジャッシュ)舞(杏)と相馬(上川隆也)がコンビを組んで1年余りが過ぎた。ある日二人は、投資信託トラブルを起こした日本橋支店へ臨店する。顧客の諸角産業が、三千万円の投資信託を購入し半年後に解約したところ、三百万円の損失が出た。だが諸角社長が言うには、購入時に渉外課の北原有里(片瀬那奈)から「元本は保証する。損はしない」と説明されていたという。支店長の橋爪(寺脇康文)も、「そんなのは言いがかりだ」と取り合わず…。</v>
      </c>
      <c r="N3771" s="2"/>
      <c r="O3771" s="2"/>
      <c r="P3771" s="1"/>
      <c r="Q3771" s="1"/>
      <c r="R3771" s="1"/>
      <c r="S3771" s="1"/>
      <c r="T3771" s="1"/>
      <c r="U3771" s="1"/>
      <c r="V3771" s="1"/>
      <c r="W3771" s="1"/>
      <c r="X3771" s="1"/>
      <c r="Y3771" s="1"/>
      <c r="Z3771" s="1"/>
      <c r="AA3771" s="1"/>
      <c r="AB3771" s="1"/>
      <c r="AC3771" s="1"/>
      <c r="AD3771" s="1"/>
      <c r="AE3771" s="1"/>
      <c r="AF3771" s="1"/>
      <c r="AG3771" s="1"/>
      <c r="AH3771" s="1"/>
      <c r="AI3771" s="1"/>
      <c r="AJ3771" s="1"/>
      <c r="AK3771" s="1"/>
      <c r="AL3771" s="1"/>
      <c r="AM3771" s="1"/>
      <c r="AN3771" s="1"/>
      <c r="AO3771" s="1"/>
      <c r="AP3771" s="1"/>
      <c r="AQ3771" s="1"/>
      <c r="AR3771" s="1"/>
      <c r="AS3771" s="1"/>
      <c r="AT3771" s="1"/>
      <c r="AU3771" s="1"/>
      <c r="AV3771" s="1"/>
      <c r="AW3771" s="1"/>
      <c r="AX3771" s="1"/>
      <c r="AY3771" s="1"/>
      <c r="AZ3771" s="1"/>
      <c r="BA3771" s="1"/>
      <c r="BB3771" s="1"/>
    </row>
    <row r="3772" ht="204.75" customHeight="1">
      <c r="A3772" s="1">
        <v>2023.0</v>
      </c>
      <c r="B3772" s="2" t="s">
        <v>11383</v>
      </c>
      <c r="C3772" s="2">
        <f>IFERROR(__xludf.DUMMYFUNCTION("split(B3772,""_"")"),1507.0)</f>
        <v>1507</v>
      </c>
      <c r="D3772" s="2" t="str">
        <f>IFERROR(__xludf.DUMMYFUNCTION("""COMPUTED_VALUE"""),"NTV")</f>
        <v>NTV</v>
      </c>
      <c r="E3772" s="2" t="str">
        <f>IFERROR(__xludf.DUMMYFUNCTION("""COMPUTED_VALUE"""),"水22")</f>
        <v>水22</v>
      </c>
      <c r="F3772" s="2" t="s">
        <v>11384</v>
      </c>
      <c r="G3772" s="2" t="s">
        <v>11388</v>
      </c>
      <c r="H3772" s="1">
        <v>2.0</v>
      </c>
      <c r="I3772" s="1" t="s">
        <v>2872</v>
      </c>
      <c r="J3772" s="1" t="s">
        <v>82</v>
      </c>
      <c r="K3772" s="2" t="s">
        <v>11389</v>
      </c>
      <c r="L3772" s="11" t="s">
        <v>11390</v>
      </c>
      <c r="M3772" s="2" t="str">
        <f>IFERROR(__xludf.DUMMYFUNCTION("split(split(K3772,""【演出"",false),""ほか"",false)"),"杏、上川隆也、成宮寛貴、塚地武雅(ドランクドラゴン)、榎木孝明、石橋凌、甲本雅裕、大杉漣、生瀬勝久、金田明夫、おかやまはじめ、冨家規政　")</f>
        <v>杏、上川隆也、成宮寛貴、塚地武雅(ドランクドラゴン)、榎木孝明、石橋凌、甲本雅裕、大杉漣、生瀬勝久、金田明夫、おかやまはじめ、冨家規政　</v>
      </c>
      <c r="N3772" s="2" t="str">
        <f>IFERROR(__xludf.DUMMYFUNCTION("""COMPUTED_VALUE"""),"舞(杏)と相馬(上川隆也)は、真藤(生瀬勝久)派閥の中北(金田明夫)が支店長を務める五反田支店へ臨店する。そこで二人は、相馬のかつての部下で融資課の松木(成宮寛貴)と出会う。松木は、担当するスーパー・あづみ屋ストアへの融資1億円を、中北から突然回収しろと指示され、悩んでいた。小さなスーパーを救おうとする松木の思いに動かされ、突然の融資回収の真相を調べ始める舞と相馬。そこには、不正が潜んでいた…。")</f>
        <v>舞(杏)と相馬(上川隆也)は、真藤(生瀬勝久)派閥の中北(金田明夫)が支店長を務める五反田支店へ臨店する。そこで二人は、相馬のかつての部下で融資課の松木(成宮寛貴)と出会う。松木は、担当するスーパー・あづみ屋ストアへの融資1億円を、中北から突然回収しろと指示され、悩んでいた。小さなスーパーを救おうとする松木の思いに動かされ、突然の融資回収の真相を調べ始める舞と相馬。そこには、不正が潜んでいた…。</v>
      </c>
      <c r="O3772" s="2"/>
      <c r="P3772" s="1"/>
      <c r="Q3772" s="1"/>
      <c r="R3772" s="1"/>
      <c r="S3772" s="1"/>
      <c r="T3772" s="1"/>
      <c r="U3772" s="1"/>
      <c r="V3772" s="1"/>
      <c r="W3772" s="1"/>
      <c r="X3772" s="1"/>
      <c r="Y3772" s="1"/>
      <c r="Z3772" s="1"/>
      <c r="AA3772" s="1"/>
      <c r="AB3772" s="1"/>
      <c r="AC3772" s="1"/>
      <c r="AD3772" s="1"/>
      <c r="AE3772" s="1"/>
      <c r="AF3772" s="1"/>
      <c r="AG3772" s="1"/>
      <c r="AH3772" s="1"/>
      <c r="AI3772" s="1"/>
      <c r="AJ3772" s="1"/>
      <c r="AK3772" s="1"/>
      <c r="AL3772" s="1"/>
      <c r="AM3772" s="1"/>
      <c r="AN3772" s="1"/>
      <c r="AO3772" s="1"/>
      <c r="AP3772" s="1"/>
      <c r="AQ3772" s="1"/>
      <c r="AR3772" s="1"/>
      <c r="AS3772" s="1"/>
      <c r="AT3772" s="1"/>
      <c r="AU3772" s="1"/>
      <c r="AV3772" s="1"/>
      <c r="AW3772" s="1"/>
      <c r="AX3772" s="1"/>
      <c r="AY3772" s="1"/>
      <c r="AZ3772" s="1"/>
      <c r="BA3772" s="1"/>
      <c r="BB3772" s="1"/>
    </row>
    <row r="3773" ht="204.75" customHeight="1">
      <c r="A3773" s="1">
        <v>2024.0</v>
      </c>
      <c r="B3773" s="2" t="s">
        <v>11383</v>
      </c>
      <c r="C3773" s="2">
        <f>IFERROR(__xludf.DUMMYFUNCTION("split(B3773,""_"")"),1507.0)</f>
        <v>1507</v>
      </c>
      <c r="D3773" s="2" t="str">
        <f>IFERROR(__xludf.DUMMYFUNCTION("""COMPUTED_VALUE"""),"NTV")</f>
        <v>NTV</v>
      </c>
      <c r="E3773" s="2" t="str">
        <f>IFERROR(__xludf.DUMMYFUNCTION("""COMPUTED_VALUE"""),"水22")</f>
        <v>水22</v>
      </c>
      <c r="F3773" s="2" t="s">
        <v>11384</v>
      </c>
      <c r="G3773" s="2" t="s">
        <v>11391</v>
      </c>
      <c r="H3773" s="1">
        <v>3.0</v>
      </c>
      <c r="I3773" s="1" t="s">
        <v>2876</v>
      </c>
      <c r="J3773" s="1" t="s">
        <v>82</v>
      </c>
      <c r="K3773" s="2" t="s">
        <v>11392</v>
      </c>
      <c r="L3773" s="10" t="s">
        <v>11393</v>
      </c>
      <c r="M3773" s="2" t="str">
        <f>IFERROR(__xludf.DUMMYFUNCTION("split(split(K3773,""【演出"",false),""ほか"",false)"),"杏、上川隆也、塚地武雅(ドランクドラゴン)、  石橋凌、甲本雅裕、大杉漣、生瀬勝久、  内山理名、正名僕蔵、袴田吉彦、宮地雅子、遠山俊也六本木支店で300万円の現金が紛失する事件が発生し、舞(杏)と相馬(上川隆也)は緊急臨店を命じられる。営業課長・神田(正名僕蔵)によると、支店中をくまなく調べたが現金は見つからないという。やむを得ず行員たちの私物検査、ロッカーの検査までするが、それでも300万円は出てこない。舞と相馬は、もう一度防犯カメラの映像を調べることに。すると、テラーの恭子(内山理名)の動きに、不審"&amp;"な点がある事に気づく…。")</f>
        <v>杏、上川隆也、塚地武雅(ドランクドラゴン)、  石橋凌、甲本雅裕、大杉漣、生瀬勝久、  内山理名、正名僕蔵、袴田吉彦、宮地雅子、遠山俊也六本木支店で300万円の現金が紛失する事件が発生し、舞(杏)と相馬(上川隆也)は緊急臨店を命じられる。営業課長・神田(正名僕蔵)によると、支店中をくまなく調べたが現金は見つからないという。やむを得ず行員たちの私物検査、ロッカーの検査までするが、それでも300万円は出てこない。舞と相馬は、もう一度防犯カメラの映像を調べることに。すると、テラーの恭子(内山理名)の動きに、不審な点がある事に気づく…。</v>
      </c>
      <c r="N3773" s="2"/>
      <c r="O3773" s="2"/>
      <c r="P3773" s="1"/>
      <c r="Q3773" s="1"/>
      <c r="R3773" s="1"/>
      <c r="S3773" s="1"/>
      <c r="T3773" s="1"/>
      <c r="U3773" s="1"/>
      <c r="V3773" s="1"/>
      <c r="W3773" s="1"/>
      <c r="X3773" s="1"/>
      <c r="Y3773" s="1"/>
      <c r="Z3773" s="1"/>
      <c r="AA3773" s="1"/>
      <c r="AB3773" s="1"/>
      <c r="AC3773" s="1"/>
      <c r="AD3773" s="1"/>
      <c r="AE3773" s="1"/>
      <c r="AF3773" s="1"/>
      <c r="AG3773" s="1"/>
      <c r="AH3773" s="1"/>
      <c r="AI3773" s="1"/>
      <c r="AJ3773" s="1"/>
      <c r="AK3773" s="1"/>
      <c r="AL3773" s="1"/>
      <c r="AM3773" s="1"/>
      <c r="AN3773" s="1"/>
      <c r="AO3773" s="1"/>
      <c r="AP3773" s="1"/>
      <c r="AQ3773" s="1"/>
      <c r="AR3773" s="1"/>
      <c r="AS3773" s="1"/>
      <c r="AT3773" s="1"/>
      <c r="AU3773" s="1"/>
      <c r="AV3773" s="1"/>
      <c r="AW3773" s="1"/>
      <c r="AX3773" s="1"/>
      <c r="AY3773" s="1"/>
      <c r="AZ3773" s="1"/>
      <c r="BA3773" s="1"/>
      <c r="BB3773" s="1"/>
    </row>
    <row r="3774" ht="204.75" customHeight="1">
      <c r="A3774" s="1">
        <v>2025.0</v>
      </c>
      <c r="B3774" s="2" t="s">
        <v>11383</v>
      </c>
      <c r="C3774" s="2">
        <f>IFERROR(__xludf.DUMMYFUNCTION("split(B3774,""_"")"),1507.0)</f>
        <v>1507</v>
      </c>
      <c r="D3774" s="2" t="str">
        <f>IFERROR(__xludf.DUMMYFUNCTION("""COMPUTED_VALUE"""),"NTV")</f>
        <v>NTV</v>
      </c>
      <c r="E3774" s="2" t="str">
        <f>IFERROR(__xludf.DUMMYFUNCTION("""COMPUTED_VALUE"""),"水22")</f>
        <v>水22</v>
      </c>
      <c r="F3774" s="2" t="s">
        <v>11384</v>
      </c>
      <c r="G3774" s="2" t="s">
        <v>11394</v>
      </c>
      <c r="H3774" s="1">
        <v>4.0</v>
      </c>
      <c r="I3774" s="1" t="s">
        <v>2880</v>
      </c>
      <c r="J3774" s="1" t="s">
        <v>82</v>
      </c>
      <c r="K3774" s="2" t="s">
        <v>11395</v>
      </c>
      <c r="L3774" s="10" t="s">
        <v>11396</v>
      </c>
      <c r="M3774" s="2" t="str">
        <f>IFERROR(__xludf.DUMMYFUNCTION("split(split(K3774,""【演出"",false),""ほか"",false)"),"杏、上川隆也、塚地武雅(ドランクドラゴン)、  甲本雅裕、大杉漣、生瀬勝久  渡辺いっけい、中越典子、山田純大、長田成哉  町田支店で女性行員・美樹(中越典子)がストーカー被害に遭うという事件が発生する。同僚の行員による犯行の可能性があり、舞(杏)と相馬(上川隆也)は内密に調査することに。だが怪しい人物は見つからず、支店長・春日(山田純大)と融資課長・小見山(渡辺いっけい)は「思い過ごしだ」と、事態を終息させようとする。ストーカー犯を捕まえるため、美樹の帰り道を張り込む舞と相馬。すると、不審な男の姿が現れ"&amp;"る…。")</f>
        <v>杏、上川隆也、塚地武雅(ドランクドラゴン)、  甲本雅裕、大杉漣、生瀬勝久  渡辺いっけい、中越典子、山田純大、長田成哉  町田支店で女性行員・美樹(中越典子)がストーカー被害に遭うという事件が発生する。同僚の行員による犯行の可能性があり、舞(杏)と相馬(上川隆也)は内密に調査することに。だが怪しい人物は見つからず、支店長・春日(山田純大)と融資課長・小見山(渡辺いっけい)は「思い過ごしだ」と、事態を終息させようとする。ストーカー犯を捕まえるため、美樹の帰り道を張り込む舞と相馬。すると、不審な男の姿が現れる…。</v>
      </c>
      <c r="N3774" s="2"/>
      <c r="O3774" s="2"/>
      <c r="P3774" s="1"/>
      <c r="Q3774" s="1"/>
      <c r="R3774" s="1"/>
      <c r="S3774" s="1"/>
      <c r="T3774" s="1"/>
      <c r="U3774" s="1"/>
      <c r="V3774" s="1"/>
      <c r="W3774" s="1"/>
      <c r="X3774" s="1"/>
      <c r="Y3774" s="1"/>
      <c r="Z3774" s="1"/>
      <c r="AA3774" s="1"/>
      <c r="AB3774" s="1"/>
      <c r="AC3774" s="1"/>
      <c r="AD3774" s="1"/>
      <c r="AE3774" s="1"/>
      <c r="AF3774" s="1"/>
      <c r="AG3774" s="1"/>
      <c r="AH3774" s="1"/>
      <c r="AI3774" s="1"/>
      <c r="AJ3774" s="1"/>
      <c r="AK3774" s="1"/>
      <c r="AL3774" s="1"/>
      <c r="AM3774" s="1"/>
      <c r="AN3774" s="1"/>
      <c r="AO3774" s="1"/>
      <c r="AP3774" s="1"/>
      <c r="AQ3774" s="1"/>
      <c r="AR3774" s="1"/>
      <c r="AS3774" s="1"/>
      <c r="AT3774" s="1"/>
      <c r="AU3774" s="1"/>
      <c r="AV3774" s="1"/>
      <c r="AW3774" s="1"/>
      <c r="AX3774" s="1"/>
      <c r="AY3774" s="1"/>
      <c r="AZ3774" s="1"/>
      <c r="BA3774" s="1"/>
      <c r="BB3774" s="1"/>
    </row>
    <row r="3775" ht="204.75" customHeight="1">
      <c r="A3775" s="1">
        <v>2026.0</v>
      </c>
      <c r="B3775" s="2" t="s">
        <v>11383</v>
      </c>
      <c r="C3775" s="2">
        <f>IFERROR(__xludf.DUMMYFUNCTION("split(B3775,""_"")"),1507.0)</f>
        <v>1507</v>
      </c>
      <c r="D3775" s="2" t="str">
        <f>IFERROR(__xludf.DUMMYFUNCTION("""COMPUTED_VALUE"""),"NTV")</f>
        <v>NTV</v>
      </c>
      <c r="E3775" s="2" t="str">
        <f>IFERROR(__xludf.DUMMYFUNCTION("""COMPUTED_VALUE"""),"水22")</f>
        <v>水22</v>
      </c>
      <c r="F3775" s="2" t="s">
        <v>11384</v>
      </c>
      <c r="G3775" s="2" t="s">
        <v>11397</v>
      </c>
      <c r="H3775" s="1">
        <v>5.0</v>
      </c>
      <c r="I3775" s="1" t="s">
        <v>2884</v>
      </c>
      <c r="J3775" s="1" t="s">
        <v>82</v>
      </c>
      <c r="K3775" s="2" t="s">
        <v>11398</v>
      </c>
      <c r="L3775" s="10" t="s">
        <v>11399</v>
      </c>
      <c r="M3775" s="2" t="str">
        <f>IFERROR(__xludf.DUMMYFUNCTION("split(split(K3775,""【演出"",false),""ほか"",false)"),"杏、上川隆也、成宮寛貴、塚地武雅(ドランクドラゴン)、  甲本雅裕、大杉漣、生瀬勝久  石黒賢、財前直見相馬(上川隆也)は大学の同窓会で元妻の由美(財前直見)と、友人の青井(石黒賢)と再会する。IT企業を立ち上げていた青井は、再会を機に東京第一銀行に融資を依頼。相馬の紹介で五反田支店の松木(成宮寛貴)が担当になり、融資の話は順調に進む。だが、松木から融資の稟議書を見せられた相馬は青井の会社の業績の不審な点に気づき、舞(杏)と共に詳しく調査を始める。果たして、友人との再会が相馬にもたらした事件とは…。")</f>
        <v>杏、上川隆也、成宮寛貴、塚地武雅(ドランクドラゴン)、  甲本雅裕、大杉漣、生瀬勝久  石黒賢、財前直見相馬(上川隆也)は大学の同窓会で元妻の由美(財前直見)と、友人の青井(石黒賢)と再会する。IT企業を立ち上げていた青井は、再会を機に東京第一銀行に融資を依頼。相馬の紹介で五反田支店の松木(成宮寛貴)が担当になり、融資の話は順調に進む。だが、松木から融資の稟議書を見せられた相馬は青井の会社の業績の不審な点に気づき、舞(杏)と共に詳しく調査を始める。果たして、友人との再会が相馬にもたらした事件とは…。</v>
      </c>
      <c r="N3775" s="2"/>
      <c r="O3775" s="2"/>
      <c r="P3775" s="1"/>
      <c r="Q3775" s="1"/>
      <c r="R3775" s="1"/>
      <c r="S3775" s="1"/>
      <c r="T3775" s="1"/>
      <c r="U3775" s="1"/>
      <c r="V3775" s="1"/>
      <c r="W3775" s="1"/>
      <c r="X3775" s="1"/>
      <c r="Y3775" s="1"/>
      <c r="Z3775" s="1"/>
      <c r="AA3775" s="1"/>
      <c r="AB3775" s="1"/>
      <c r="AC3775" s="1"/>
      <c r="AD3775" s="1"/>
      <c r="AE3775" s="1"/>
      <c r="AF3775" s="1"/>
      <c r="AG3775" s="1"/>
      <c r="AH3775" s="1"/>
      <c r="AI3775" s="1"/>
      <c r="AJ3775" s="1"/>
      <c r="AK3775" s="1"/>
      <c r="AL3775" s="1"/>
      <c r="AM3775" s="1"/>
      <c r="AN3775" s="1"/>
      <c r="AO3775" s="1"/>
      <c r="AP3775" s="1"/>
      <c r="AQ3775" s="1"/>
      <c r="AR3775" s="1"/>
      <c r="AS3775" s="1"/>
      <c r="AT3775" s="1"/>
      <c r="AU3775" s="1"/>
      <c r="AV3775" s="1"/>
      <c r="AW3775" s="1"/>
      <c r="AX3775" s="1"/>
      <c r="AY3775" s="1"/>
      <c r="AZ3775" s="1"/>
      <c r="BA3775" s="1"/>
      <c r="BB3775" s="1"/>
    </row>
    <row r="3776" ht="204.75" customHeight="1">
      <c r="A3776" s="1">
        <v>2027.0</v>
      </c>
      <c r="B3776" s="2" t="s">
        <v>11383</v>
      </c>
      <c r="C3776" s="2">
        <f>IFERROR(__xludf.DUMMYFUNCTION("split(B3776,""_"")"),1507.0)</f>
        <v>1507</v>
      </c>
      <c r="D3776" s="2" t="str">
        <f>IFERROR(__xludf.DUMMYFUNCTION("""COMPUTED_VALUE"""),"NTV")</f>
        <v>NTV</v>
      </c>
      <c r="E3776" s="2" t="str">
        <f>IFERROR(__xludf.DUMMYFUNCTION("""COMPUTED_VALUE"""),"水22")</f>
        <v>水22</v>
      </c>
      <c r="F3776" s="2" t="s">
        <v>11384</v>
      </c>
      <c r="G3776" s="2" t="s">
        <v>11400</v>
      </c>
      <c r="H3776" s="1">
        <v>6.0</v>
      </c>
      <c r="I3776" s="1" t="s">
        <v>2888</v>
      </c>
      <c r="J3776" s="1" t="s">
        <v>82</v>
      </c>
      <c r="K3776" s="2" t="s">
        <v>11401</v>
      </c>
      <c r="L3776" s="10" t="s">
        <v>11402</v>
      </c>
      <c r="M3776" s="2" t="str">
        <f>IFERROR(__xludf.DUMMYFUNCTION("split(split(K3776,""【演出"",false),""ほか"",false)"),"杏、上川隆也、塚地武雅(ドランクドラゴン)、  榎木孝明、石橋凌、甲本雅裕、大杉漣、生瀬勝久  東幹久、石橋保、笠原秀幸、土屋裕一舞(杏)と相馬(上川隆也)は、支店の融資が正しく行われているかをチェックする「与信検査」への応援を命じられる。検査を指揮する氷室(東幹久)は“支店荒らし”と噂されるほど厳しく高圧的な人物で、舞はそんな氷室の態度に嫌悪感を覚える。一方、相馬は氷室の動向に目を光らせる。実は「氷室が支店の行員の弱みを握って脅し、金銭を要求している」という内部告発があり、それが事実かどうかを探るのが応"&amp;"援の目的だったのだ。")</f>
        <v>杏、上川隆也、塚地武雅(ドランクドラゴン)、  榎木孝明、石橋凌、甲本雅裕、大杉漣、生瀬勝久  東幹久、石橋保、笠原秀幸、土屋裕一舞(杏)と相馬(上川隆也)は、支店の融資が正しく行われているかをチェックする「与信検査」への応援を命じられる。検査を指揮する氷室(東幹久)は“支店荒らし”と噂されるほど厳しく高圧的な人物で、舞はそんな氷室の態度に嫌悪感を覚える。一方、相馬は氷室の動向に目を光らせる。実は「氷室が支店の行員の弱みを握って脅し、金銭を要求している」という内部告発があり、それが事実かどうかを探るのが応援の目的だったのだ。</v>
      </c>
      <c r="N3776" s="2"/>
      <c r="O3776" s="2"/>
      <c r="P3776" s="1"/>
      <c r="Q3776" s="1"/>
      <c r="R3776" s="1"/>
      <c r="S3776" s="1"/>
      <c r="T3776" s="1"/>
      <c r="U3776" s="1"/>
      <c r="V3776" s="1"/>
      <c r="W3776" s="1"/>
      <c r="X3776" s="1"/>
      <c r="Y3776" s="1"/>
      <c r="Z3776" s="1"/>
      <c r="AA3776" s="1"/>
      <c r="AB3776" s="1"/>
      <c r="AC3776" s="1"/>
      <c r="AD3776" s="1"/>
      <c r="AE3776" s="1"/>
      <c r="AF3776" s="1"/>
      <c r="AG3776" s="1"/>
      <c r="AH3776" s="1"/>
      <c r="AI3776" s="1"/>
      <c r="AJ3776" s="1"/>
      <c r="AK3776" s="1"/>
      <c r="AL3776" s="1"/>
      <c r="AM3776" s="1"/>
      <c r="AN3776" s="1"/>
      <c r="AO3776" s="1"/>
      <c r="AP3776" s="1"/>
      <c r="AQ3776" s="1"/>
      <c r="AR3776" s="1"/>
      <c r="AS3776" s="1"/>
      <c r="AT3776" s="1"/>
      <c r="AU3776" s="1"/>
      <c r="AV3776" s="1"/>
      <c r="AW3776" s="1"/>
      <c r="AX3776" s="1"/>
      <c r="AY3776" s="1"/>
      <c r="AZ3776" s="1"/>
      <c r="BA3776" s="1"/>
      <c r="BB3776" s="1"/>
    </row>
    <row r="3777" ht="204.75" customHeight="1">
      <c r="A3777" s="1">
        <v>2028.0</v>
      </c>
      <c r="B3777" s="2" t="s">
        <v>11383</v>
      </c>
      <c r="C3777" s="2">
        <f>IFERROR(__xludf.DUMMYFUNCTION("split(B3777,""_"")"),1507.0)</f>
        <v>1507</v>
      </c>
      <c r="D3777" s="2" t="str">
        <f>IFERROR(__xludf.DUMMYFUNCTION("""COMPUTED_VALUE"""),"NTV")</f>
        <v>NTV</v>
      </c>
      <c r="E3777" s="2" t="str">
        <f>IFERROR(__xludf.DUMMYFUNCTION("""COMPUTED_VALUE"""),"水22")</f>
        <v>水22</v>
      </c>
      <c r="F3777" s="2" t="s">
        <v>11384</v>
      </c>
      <c r="G3777" s="2" t="s">
        <v>11403</v>
      </c>
      <c r="H3777" s="1">
        <v>7.0</v>
      </c>
      <c r="I3777" s="1" t="s">
        <v>2892</v>
      </c>
      <c r="J3777" s="1" t="s">
        <v>82</v>
      </c>
      <c r="K3777" s="2" t="s">
        <v>11404</v>
      </c>
      <c r="L3777" s="10" t="s">
        <v>11405</v>
      </c>
      <c r="M3777" s="2" t="str">
        <f>IFERROR(__xludf.DUMMYFUNCTION("split(split(K3777,""【演出"",false),""ほか"",false)"),"杏、上川隆也、成宮寛貴、塚地武雅(ドランクドラゴン)、  甲本雅裕、大杉漣、生瀬勝久  戸次重幸、音尾琢真、まいど豊、小松彩夏、丸高愛実舞(杏)と相馬(上川隆也)は、取引先の財務情報が漏洩した五反田支店へ赴く。担当の松木(成宮寛貴)が、サワダ建業のクレジットファイルを支店の外に持ち出し、それをどこかで盗まれてしまった。そして、何者かから「ファイルを拾った」と電話が入り、100万円もの謝礼を要求されているという。銀行の内部資料が盗まれたとなると、東京第一銀行を揺るがす不祥事。舞たちは松木のためにも、事件解決"&amp;"の手がかりを探り始める…。")</f>
        <v>杏、上川隆也、成宮寛貴、塚地武雅(ドランクドラゴン)、  甲本雅裕、大杉漣、生瀬勝久  戸次重幸、音尾琢真、まいど豊、小松彩夏、丸高愛実舞(杏)と相馬(上川隆也)は、取引先の財務情報が漏洩した五反田支店へ赴く。担当の松木(成宮寛貴)が、サワダ建業のクレジットファイルを支店の外に持ち出し、それをどこかで盗まれてしまった。そして、何者かから「ファイルを拾った」と電話が入り、100万円もの謝礼を要求されているという。銀行の内部資料が盗まれたとなると、東京第一銀行を揺るがす不祥事。舞たちは松木のためにも、事件解決の手がかりを探り始める…。</v>
      </c>
      <c r="N3777" s="2"/>
      <c r="O3777" s="2"/>
      <c r="P3777" s="1"/>
      <c r="Q3777" s="1"/>
      <c r="R3777" s="1"/>
      <c r="S3777" s="1"/>
      <c r="T3777" s="1"/>
      <c r="U3777" s="1"/>
      <c r="V3777" s="1"/>
      <c r="W3777" s="1"/>
      <c r="X3777" s="1"/>
      <c r="Y3777" s="1"/>
      <c r="Z3777" s="1"/>
      <c r="AA3777" s="1"/>
      <c r="AB3777" s="1"/>
      <c r="AC3777" s="1"/>
      <c r="AD3777" s="1"/>
      <c r="AE3777" s="1"/>
      <c r="AF3777" s="1"/>
      <c r="AG3777" s="1"/>
      <c r="AH3777" s="1"/>
      <c r="AI3777" s="1"/>
      <c r="AJ3777" s="1"/>
      <c r="AK3777" s="1"/>
      <c r="AL3777" s="1"/>
      <c r="AM3777" s="1"/>
      <c r="AN3777" s="1"/>
      <c r="AO3777" s="1"/>
      <c r="AP3777" s="1"/>
      <c r="AQ3777" s="1"/>
      <c r="AR3777" s="1"/>
      <c r="AS3777" s="1"/>
      <c r="AT3777" s="1"/>
      <c r="AU3777" s="1"/>
      <c r="AV3777" s="1"/>
      <c r="AW3777" s="1"/>
      <c r="AX3777" s="1"/>
      <c r="AY3777" s="1"/>
      <c r="AZ3777" s="1"/>
      <c r="BA3777" s="1"/>
      <c r="BB3777" s="1"/>
    </row>
    <row r="3778" ht="204.75" customHeight="1">
      <c r="A3778" s="1">
        <v>2029.0</v>
      </c>
      <c r="B3778" s="2" t="s">
        <v>11383</v>
      </c>
      <c r="C3778" s="2">
        <f>IFERROR(__xludf.DUMMYFUNCTION("split(B3778,""_"")"),1507.0)</f>
        <v>1507</v>
      </c>
      <c r="D3778" s="2" t="str">
        <f>IFERROR(__xludf.DUMMYFUNCTION("""COMPUTED_VALUE"""),"NTV")</f>
        <v>NTV</v>
      </c>
      <c r="E3778" s="2" t="str">
        <f>IFERROR(__xludf.DUMMYFUNCTION("""COMPUTED_VALUE"""),"水22")</f>
        <v>水22</v>
      </c>
      <c r="F3778" s="2" t="s">
        <v>11384</v>
      </c>
      <c r="G3778" s="2" t="s">
        <v>11406</v>
      </c>
      <c r="H3778" s="1">
        <v>8.0</v>
      </c>
      <c r="I3778" s="1" t="s">
        <v>2896</v>
      </c>
      <c r="J3778" s="1" t="s">
        <v>82</v>
      </c>
      <c r="K3778" s="2" t="s">
        <v>11407</v>
      </c>
      <c r="L3778" s="10" t="s">
        <v>11408</v>
      </c>
      <c r="M3778" s="2" t="str">
        <f>IFERROR(__xludf.DUMMYFUNCTION("split(split(K3778,""【演出"",false),""ほか"",false)"),"杏、上川隆也、塚地武雅(ドランクドラゴン)、  甲本雅裕、大杉漣、生瀬勝久  半海一晃、小市慢太郎、高橋ひとみ、森岡豊、八十田勇一川崎支店の支店長・水原(半海一晃)、武蔵小杉支店の支店長・金田(森岡豊)が立て続けに何者かに襲われるという事件が発生する。仕事上の恨みによる犯行の可能性もあり、舞(杏)と相馬(上川隆也)は調査を命じられる。そして、水原と金田が7年前に一緒に働いていた虎ノ門支店で、一つの会社の倒産を巡り、暴力事件が起きていたことが発覚する。調べを進める舞と相馬。事件の裏には、悲しい真実が待ち受け"&amp;"ていた……!")</f>
        <v>杏、上川隆也、塚地武雅(ドランクドラゴン)、  甲本雅裕、大杉漣、生瀬勝久  半海一晃、小市慢太郎、高橋ひとみ、森岡豊、八十田勇一川崎支店の支店長・水原(半海一晃)、武蔵小杉支店の支店長・金田(森岡豊)が立て続けに何者かに襲われるという事件が発生する。仕事上の恨みによる犯行の可能性もあり、舞(杏)と相馬(上川隆也)は調査を命じられる。そして、水原と金田が7年前に一緒に働いていた虎ノ門支店で、一つの会社の倒産を巡り、暴力事件が起きていたことが発覚する。調べを進める舞と相馬。事件の裏には、悲しい真実が待ち受けていた……!</v>
      </c>
      <c r="N3778" s="2"/>
      <c r="O3778" s="2"/>
      <c r="P3778" s="1"/>
      <c r="Q3778" s="1"/>
      <c r="R3778" s="1"/>
      <c r="S3778" s="1"/>
      <c r="T3778" s="1"/>
      <c r="U3778" s="1"/>
      <c r="V3778" s="1"/>
      <c r="W3778" s="1"/>
      <c r="X3778" s="1"/>
      <c r="Y3778" s="1"/>
      <c r="Z3778" s="1"/>
      <c r="AA3778" s="1"/>
      <c r="AB3778" s="1"/>
      <c r="AC3778" s="1"/>
      <c r="AD3778" s="1"/>
      <c r="AE3778" s="1"/>
      <c r="AF3778" s="1"/>
      <c r="AG3778" s="1"/>
      <c r="AH3778" s="1"/>
      <c r="AI3778" s="1"/>
      <c r="AJ3778" s="1"/>
      <c r="AK3778" s="1"/>
      <c r="AL3778" s="1"/>
      <c r="AM3778" s="1"/>
      <c r="AN3778" s="1"/>
      <c r="AO3778" s="1"/>
      <c r="AP3778" s="1"/>
      <c r="AQ3778" s="1"/>
      <c r="AR3778" s="1"/>
      <c r="AS3778" s="1"/>
      <c r="AT3778" s="1"/>
      <c r="AU3778" s="1"/>
      <c r="AV3778" s="1"/>
      <c r="AW3778" s="1"/>
      <c r="AX3778" s="1"/>
      <c r="AY3778" s="1"/>
      <c r="AZ3778" s="1"/>
      <c r="BA3778" s="1"/>
      <c r="BB3778" s="1"/>
    </row>
    <row r="3779" ht="204.75" customHeight="1">
      <c r="A3779" s="1">
        <v>2030.0</v>
      </c>
      <c r="B3779" s="2" t="s">
        <v>11383</v>
      </c>
      <c r="C3779" s="2">
        <f>IFERROR(__xludf.DUMMYFUNCTION("split(B3779,""_"")"),1507.0)</f>
        <v>1507</v>
      </c>
      <c r="D3779" s="2" t="str">
        <f>IFERROR(__xludf.DUMMYFUNCTION("""COMPUTED_VALUE"""),"NTV")</f>
        <v>NTV</v>
      </c>
      <c r="E3779" s="2" t="str">
        <f>IFERROR(__xludf.DUMMYFUNCTION("""COMPUTED_VALUE"""),"水22")</f>
        <v>水22</v>
      </c>
      <c r="F3779" s="2" t="s">
        <v>11384</v>
      </c>
      <c r="G3779" s="2" t="s">
        <v>11409</v>
      </c>
      <c r="H3779" s="1">
        <v>9.0</v>
      </c>
      <c r="I3779" s="1" t="s">
        <v>2900</v>
      </c>
      <c r="J3779" s="1" t="s">
        <v>82</v>
      </c>
      <c r="K3779" s="2" t="s">
        <v>11410</v>
      </c>
      <c r="L3779" s="10" t="s">
        <v>11411</v>
      </c>
      <c r="M3779" s="2" t="str">
        <f>IFERROR(__xludf.DUMMYFUNCTION("split(split(K3779,""【演出"",false),""ほか"",false)"),"杏、上川隆也、塚地武雅(ドランクドラゴン)、  甲本雅裕、大杉漣、生瀬勝久  中村ゆり、和田正人、佐戸井けん太三鷹支店で一千万円の手形が紛失する事件が発生する。舞(杏)と相馬(上川隆也)が駆けつけると、支店内では行員総出で手形を探していた。舞は、偶然再会した先輩行員・香澄(中村ゆり)らと共に手形の捜索を手伝うが、結局見つからない。そこで、手形をなくした融資課員・堀田(和田正人)の行動の足取りをたどることに。すると、堀田がカワバタ機械で手形を受け取ってから支店に戻る間に、空白の一時間があることが判明する…。")</f>
        <v>杏、上川隆也、塚地武雅(ドランクドラゴン)、  甲本雅裕、大杉漣、生瀬勝久  中村ゆり、和田正人、佐戸井けん太三鷹支店で一千万円の手形が紛失する事件が発生する。舞(杏)と相馬(上川隆也)が駆けつけると、支店内では行員総出で手形を探していた。舞は、偶然再会した先輩行員・香澄(中村ゆり)らと共に手形の捜索を手伝うが、結局見つからない。そこで、手形をなくした融資課員・堀田(和田正人)の行動の足取りをたどることに。すると、堀田がカワバタ機械で手形を受け取ってから支店に戻る間に、空白の一時間があることが判明する…。</v>
      </c>
      <c r="N3779" s="2"/>
      <c r="O3779" s="2"/>
      <c r="P3779" s="1"/>
      <c r="Q3779" s="1"/>
      <c r="R3779" s="1"/>
      <c r="S3779" s="1"/>
      <c r="T3779" s="1"/>
      <c r="U3779" s="1"/>
      <c r="V3779" s="1"/>
      <c r="W3779" s="1"/>
      <c r="X3779" s="1"/>
      <c r="Y3779" s="1"/>
      <c r="Z3779" s="1"/>
      <c r="AA3779" s="1"/>
      <c r="AB3779" s="1"/>
      <c r="AC3779" s="1"/>
      <c r="AD3779" s="1"/>
      <c r="AE3779" s="1"/>
      <c r="AF3779" s="1"/>
      <c r="AG3779" s="1"/>
      <c r="AH3779" s="1"/>
      <c r="AI3779" s="1"/>
      <c r="AJ3779" s="1"/>
      <c r="AK3779" s="1"/>
      <c r="AL3779" s="1"/>
      <c r="AM3779" s="1"/>
      <c r="AN3779" s="1"/>
      <c r="AO3779" s="1"/>
      <c r="AP3779" s="1"/>
      <c r="AQ3779" s="1"/>
      <c r="AR3779" s="1"/>
      <c r="AS3779" s="1"/>
      <c r="AT3779" s="1"/>
      <c r="AU3779" s="1"/>
      <c r="AV3779" s="1"/>
      <c r="AW3779" s="1"/>
      <c r="AX3779" s="1"/>
      <c r="AY3779" s="1"/>
      <c r="AZ3779" s="1"/>
      <c r="BA3779" s="1"/>
      <c r="BB3779" s="1"/>
    </row>
    <row r="3780" ht="204.75" customHeight="1">
      <c r="A3780" s="1">
        <v>2031.0</v>
      </c>
      <c r="B3780" s="2" t="s">
        <v>11383</v>
      </c>
      <c r="C3780" s="2">
        <f>IFERROR(__xludf.DUMMYFUNCTION("split(B3780,""_"")"),1507.0)</f>
        <v>1507</v>
      </c>
      <c r="D3780" s="2" t="str">
        <f>IFERROR(__xludf.DUMMYFUNCTION("""COMPUTED_VALUE"""),"NTV")</f>
        <v>NTV</v>
      </c>
      <c r="E3780" s="2" t="str">
        <f>IFERROR(__xludf.DUMMYFUNCTION("""COMPUTED_VALUE"""),"水22")</f>
        <v>水22</v>
      </c>
      <c r="F3780" s="2" t="s">
        <v>11384</v>
      </c>
      <c r="G3780" s="2" t="s">
        <v>11412</v>
      </c>
      <c r="H3780" s="1">
        <v>10.0</v>
      </c>
      <c r="I3780" s="1" t="s">
        <v>37</v>
      </c>
      <c r="J3780" s="1" t="s">
        <v>82</v>
      </c>
      <c r="K3780" s="2" t="s">
        <v>11413</v>
      </c>
      <c r="L3780" s="10" t="s">
        <v>11414</v>
      </c>
      <c r="M3780" s="2" t="str">
        <f>IFERROR(__xludf.DUMMYFUNCTION("split(split(K3780,""【演出"",false),""ほか"",false)"),"杏、上川隆也、塚地武雅(ドランクドラゴン)、  甲本雅裕、榎木孝明、大杉漣、石橋凌、生瀬勝久  津田寛治、大和田獏、山崎銀之丞インターネットの掲示板サイトに“狐”と名乗る人物から「豊洲支店をぶっつぶす」という書き込みがあり、舞(杏)と相馬(上川隆也)は豊洲支店へ赴く。閉店後、突然ゴミ集積所から火災が発生。現場検証の結果、ATMコーナーから集めたゴミの中に、時限発火装置が入れられていたことが判明する。防犯カメラの映像をチェックすると、そこには帽子とマスクで顔を隠した若い男が、ゴミ箱に不審なものを入れている姿"&amp;"が映っていた。")</f>
        <v>杏、上川隆也、塚地武雅(ドランクドラゴン)、  甲本雅裕、榎木孝明、大杉漣、石橋凌、生瀬勝久  津田寛治、大和田獏、山崎銀之丞インターネットの掲示板サイトに“狐”と名乗る人物から「豊洲支店をぶっつぶす」という書き込みがあり、舞(杏)と相馬(上川隆也)は豊洲支店へ赴く。閉店後、突然ゴミ集積所から火災が発生。現場検証の結果、ATMコーナーから集めたゴミの中に、時限発火装置が入れられていたことが判明する。防犯カメラの映像をチェックすると、そこには帽子とマスクで顔を隠した若い男が、ゴミ箱に不審なものを入れている姿が映っていた。</v>
      </c>
      <c r="N3780" s="2"/>
      <c r="O3780" s="2"/>
      <c r="P3780" s="1"/>
      <c r="Q3780" s="1"/>
      <c r="R3780" s="1"/>
      <c r="S3780" s="1"/>
      <c r="T3780" s="1"/>
      <c r="U3780" s="1"/>
      <c r="V3780" s="1"/>
      <c r="W3780" s="1"/>
      <c r="X3780" s="1"/>
      <c r="Y3780" s="1"/>
      <c r="Z3780" s="1"/>
      <c r="AA3780" s="1"/>
      <c r="AB3780" s="1"/>
      <c r="AC3780" s="1"/>
      <c r="AD3780" s="1"/>
      <c r="AE3780" s="1"/>
      <c r="AF3780" s="1"/>
      <c r="AG3780" s="1"/>
      <c r="AH3780" s="1"/>
      <c r="AI3780" s="1"/>
      <c r="AJ3780" s="1"/>
      <c r="AK3780" s="1"/>
      <c r="AL3780" s="1"/>
      <c r="AM3780" s="1"/>
      <c r="AN3780" s="1"/>
      <c r="AO3780" s="1"/>
      <c r="AP3780" s="1"/>
      <c r="AQ3780" s="1"/>
      <c r="AR3780" s="1"/>
      <c r="AS3780" s="1"/>
      <c r="AT3780" s="1"/>
      <c r="AU3780" s="1"/>
      <c r="AV3780" s="1"/>
      <c r="AW3780" s="1"/>
      <c r="AX3780" s="1"/>
      <c r="AY3780" s="1"/>
      <c r="AZ3780" s="1"/>
      <c r="BA3780" s="1"/>
      <c r="BB3780" s="1"/>
    </row>
    <row r="3781" ht="204.75" customHeight="1">
      <c r="A3781" s="1">
        <v>2032.0</v>
      </c>
      <c r="B3781" s="2" t="s">
        <v>11383</v>
      </c>
      <c r="C3781" s="2">
        <f>IFERROR(__xludf.DUMMYFUNCTION("split(B3781,""_"")"),1507.0)</f>
        <v>1507</v>
      </c>
      <c r="D3781" s="2" t="str">
        <f>IFERROR(__xludf.DUMMYFUNCTION("""COMPUTED_VALUE"""),"NTV")</f>
        <v>NTV</v>
      </c>
      <c r="E3781" s="2" t="str">
        <f>IFERROR(__xludf.DUMMYFUNCTION("""COMPUTED_VALUE"""),"水22")</f>
        <v>水22</v>
      </c>
      <c r="F3781" s="2" t="s">
        <v>11384</v>
      </c>
      <c r="G3781" s="2" t="s">
        <v>11415</v>
      </c>
      <c r="H3781" s="1">
        <v>11.0</v>
      </c>
      <c r="J3781" s="1" t="s">
        <v>82</v>
      </c>
      <c r="K3781" s="2" t="s">
        <v>11416</v>
      </c>
      <c r="L3781" s="10" t="s">
        <v>11417</v>
      </c>
      <c r="M3781" s="2" t="str">
        <f>IFERROR(__xludf.DUMMYFUNCTION("split(split(K3781,""【演出"",false),""ほか"",false)"),"杏、上川隆也、塚地武雅(ドランクドラゴン)、  甲本雅裕、榎木孝明、大杉漣、石橋凌、生瀬勝久  村井國夫、大高洋夫、大島さと子大手建設会社・蔵中建設が倒産し、行内が騒然とする中、「裏金一億円が東京第一銀行に賄賂として流れている」という告発のメールが届く。堂島専務(石橋凌)の命を受けて舞(杏)と相馬(上川隆也)が調べると、なんと、賄賂を受け取っていたのは真藤常務(生瀬勝久)だということが発覚する。衝撃の事実に心が揺れる舞。果たして事件の真相は?　真藤はなぜ金をもらったのか?　東京第一銀行最大の危機に、舞と相"&amp;"馬が立ち向かう")</f>
        <v>杏、上川隆也、塚地武雅(ドランクドラゴン)、  甲本雅裕、榎木孝明、大杉漣、石橋凌、生瀬勝久  村井國夫、大高洋夫、大島さと子大手建設会社・蔵中建設が倒産し、行内が騒然とする中、「裏金一億円が東京第一銀行に賄賂として流れている」という告発のメールが届く。堂島専務(石橋凌)の命を受けて舞(杏)と相馬(上川隆也)が調べると、なんと、賄賂を受け取っていたのは真藤常務(生瀬勝久)だということが発覚する。衝撃の事実に心が揺れる舞。果たして事件の真相は?　真藤はなぜ金をもらったのか?　東京第一銀行最大の危機に、舞と相馬が立ち向かう</v>
      </c>
      <c r="N3781" s="2"/>
      <c r="O3781" s="2"/>
      <c r="P3781" s="1"/>
      <c r="Q3781" s="1"/>
      <c r="R3781" s="1"/>
      <c r="S3781" s="1"/>
      <c r="T3781" s="1"/>
      <c r="U3781" s="1"/>
      <c r="V3781" s="1"/>
      <c r="W3781" s="1"/>
      <c r="X3781" s="1"/>
      <c r="Y3781" s="1"/>
      <c r="Z3781" s="1"/>
      <c r="AA3781" s="1"/>
      <c r="AB3781" s="1"/>
      <c r="AC3781" s="1"/>
      <c r="AD3781" s="1"/>
      <c r="AE3781" s="1"/>
      <c r="AF3781" s="1"/>
      <c r="AG3781" s="1"/>
      <c r="AH3781" s="1"/>
      <c r="AI3781" s="1"/>
      <c r="AJ3781" s="1"/>
      <c r="AK3781" s="1"/>
      <c r="AL3781" s="1"/>
      <c r="AM3781" s="1"/>
      <c r="AN3781" s="1"/>
      <c r="AO3781" s="1"/>
      <c r="AP3781" s="1"/>
      <c r="AQ3781" s="1"/>
      <c r="AR3781" s="1"/>
      <c r="AS3781" s="1"/>
      <c r="AT3781" s="1"/>
      <c r="AU3781" s="1"/>
      <c r="AV3781" s="1"/>
      <c r="AW3781" s="1"/>
      <c r="AX3781" s="1"/>
      <c r="AY3781" s="1"/>
      <c r="AZ3781" s="1"/>
      <c r="BA3781" s="1"/>
      <c r="BB3781" s="1"/>
    </row>
    <row r="3782" ht="204.75" customHeight="1">
      <c r="A3782" s="1">
        <v>2073.0</v>
      </c>
      <c r="B3782" s="2" t="s">
        <v>11418</v>
      </c>
      <c r="C3782" s="2">
        <f>IFERROR(__xludf.DUMMYFUNCTION("split(B3782,""_"")"),1507.0)</f>
        <v>1507</v>
      </c>
      <c r="D3782" s="2" t="str">
        <f>IFERROR(__xludf.DUMMYFUNCTION("""COMPUTED_VALUE"""),"NTV")</f>
        <v>NTV</v>
      </c>
      <c r="E3782" s="2" t="str">
        <f>IFERROR(__xludf.DUMMYFUNCTION("""COMPUTED_VALUE"""),"木23")</f>
        <v>木23</v>
      </c>
      <c r="F3782" s="2" t="s">
        <v>11419</v>
      </c>
      <c r="G3782" s="2" t="s">
        <v>11420</v>
      </c>
      <c r="H3782" s="1">
        <v>1.0</v>
      </c>
      <c r="J3782" s="1" t="s">
        <v>1435</v>
      </c>
      <c r="K3782" s="2" t="s">
        <v>11421</v>
      </c>
      <c r="L3782" s="2"/>
      <c r="M3782" s="2" t="str">
        <f>IFERROR(__xludf.DUMMYFUNCTION("split(split(K3782,""【原作"",false),""ゲスト"",false)"),"伊藤歩、小池徹平  升毅  森カンナ、栗山航、吉満寛人、加藤諒、赤星昇一郎  川村エミコ(たんぽぽ)、片岡明日香  鈴木砂羽  大杉漣  【第1話")</f>
        <v>伊藤歩、小池徹平  升毅  森カンナ、栗山航、吉満寛人、加藤諒、赤星昇一郎  川村エミコ(たんぽぽ)、片岡明日香  鈴木砂羽  大杉漣  【第1話</v>
      </c>
      <c r="N3782" s="2" t="str">
        <f>IFERROR(__xludf.DUMMYFUNCTION("""COMPUTED_VALUE"""),"】和田正人仕事に打ち込んでいる内に気付いたら35歳。両国署・刑事課の花田米子(伊藤歩)は婚活に励んでいた。ある日、婚活会場で高校の同級生、福田潤平(和田正人)と再会。意気投合した2人の距離は一気に縮まっていく。そんな折、ヤミ金の社長が殺害される。米子は超エリート刑事の藤岡躑躅(小池徹平)とコンビを組むが、潤平が容疑者の1人として浮上。潤平を信じる米子だったが…実は米子が好きになった男は全員犯罪者なのだ!!!")</f>
        <v>】和田正人仕事に打ち込んでいる内に気付いたら35歳。両国署・刑事課の花田米子(伊藤歩)は婚活に励んでいた。ある日、婚活会場で高校の同級生、福田潤平(和田正人)と再会。意気投合した2人の距離は一気に縮まっていく。そんな折、ヤミ金の社長が殺害される。米子は超エリート刑事の藤岡躑躅(小池徹平)とコンビを組むが、潤平が容疑者の1人として浮上。潤平を信じる米子だったが…実は米子が好きになった男は全員犯罪者なのだ!!!</v>
      </c>
      <c r="O3782" s="2"/>
      <c r="P3782" s="1"/>
      <c r="Q3782" s="1"/>
      <c r="R3782" s="1"/>
      <c r="S3782" s="1"/>
      <c r="T3782" s="1"/>
      <c r="U3782" s="1"/>
      <c r="V3782" s="1"/>
      <c r="W3782" s="1"/>
      <c r="X3782" s="1"/>
      <c r="Y3782" s="1"/>
      <c r="Z3782" s="1"/>
      <c r="AA3782" s="1"/>
      <c r="AB3782" s="1"/>
      <c r="AC3782" s="1"/>
      <c r="AD3782" s="1"/>
      <c r="AE3782" s="1"/>
      <c r="AF3782" s="1"/>
      <c r="AG3782" s="1"/>
      <c r="AH3782" s="1"/>
      <c r="AI3782" s="1"/>
      <c r="AJ3782" s="1"/>
      <c r="AK3782" s="1"/>
      <c r="AL3782" s="1"/>
      <c r="AM3782" s="1"/>
      <c r="AN3782" s="1"/>
      <c r="AO3782" s="1"/>
      <c r="AP3782" s="1"/>
      <c r="AQ3782" s="1"/>
      <c r="AR3782" s="1"/>
      <c r="AS3782" s="1"/>
      <c r="AT3782" s="1"/>
      <c r="AU3782" s="1"/>
      <c r="AV3782" s="1"/>
      <c r="AW3782" s="1"/>
      <c r="AX3782" s="1"/>
      <c r="AY3782" s="1"/>
      <c r="AZ3782" s="1"/>
      <c r="BA3782" s="1"/>
      <c r="BB3782" s="1"/>
    </row>
    <row r="3783" ht="204.75" customHeight="1">
      <c r="A3783" s="1">
        <v>2074.0</v>
      </c>
      <c r="B3783" s="2" t="s">
        <v>11418</v>
      </c>
      <c r="C3783" s="2">
        <f>IFERROR(__xludf.DUMMYFUNCTION("split(B3783,""_"")"),1507.0)</f>
        <v>1507</v>
      </c>
      <c r="D3783" s="2" t="str">
        <f>IFERROR(__xludf.DUMMYFUNCTION("""COMPUTED_VALUE"""),"NTV")</f>
        <v>NTV</v>
      </c>
      <c r="E3783" s="2" t="str">
        <f>IFERROR(__xludf.DUMMYFUNCTION("""COMPUTED_VALUE"""),"木23")</f>
        <v>木23</v>
      </c>
      <c r="F3783" s="2" t="s">
        <v>11419</v>
      </c>
      <c r="G3783" s="2" t="s">
        <v>11422</v>
      </c>
      <c r="H3783" s="1">
        <v>2.0</v>
      </c>
      <c r="J3783" s="1" t="s">
        <v>1435</v>
      </c>
      <c r="K3783" s="2" t="s">
        <v>11423</v>
      </c>
      <c r="L3783" s="2"/>
      <c r="M3783" s="2" t="str">
        <f>IFERROR(__xludf.DUMMYFUNCTION("split(split(K3783,""【原作"",false),""ゲスト"",false)"),"伊藤歩、小池徹平  升毅、森カンナ、栗山航、吉満寛人、加藤諒、赤星昇一郎、川村エミコ(たんぽぽ)  片岡明日香  鈴木砂羽  大杉漣  【第2話")</f>
        <v>伊藤歩、小池徹平  升毅、森カンナ、栗山航、吉満寛人、加藤諒、赤星昇一郎、川村エミコ(たんぽぽ)  片岡明日香  鈴木砂羽  大杉漣  【第2話</v>
      </c>
      <c r="N3783" s="2" t="str">
        <f>IFERROR(__xludf.DUMMYFUNCTION("""COMPUTED_VALUE"""),"】中村俊介米子(伊藤歩)はスポーツジムのプールで溺れそうになった時に助けてくれた男性に恋心を抱く。そんな折、財田病院外科医の三好(堤匡孝)がホテルの非常階段から転落死。警察は事件と自殺の可能性を考えて捜査を進める。病院に聞き込みに行った米子は、院長の財田(中村俊介)と運命的な再会をする。三好の事件は自殺と判断されたが、躑躅(小池徹平)だけは納得できずに捜査を続けていた。  米子は財田の人柄に惹かれていくが…。")</f>
        <v>】中村俊介米子(伊藤歩)はスポーツジムのプールで溺れそうになった時に助けてくれた男性に恋心を抱く。そんな折、財田病院外科医の三好(堤匡孝)がホテルの非常階段から転落死。警察は事件と自殺の可能性を考えて捜査を進める。病院に聞き込みに行った米子は、院長の財田(中村俊介)と運命的な再会をする。三好の事件は自殺と判断されたが、躑躅(小池徹平)だけは納得できずに捜査を続けていた。  米子は財田の人柄に惹かれていくが…。</v>
      </c>
      <c r="O3783" s="2"/>
      <c r="P3783" s="1"/>
      <c r="Q3783" s="1"/>
      <c r="R3783" s="1"/>
      <c r="S3783" s="1"/>
      <c r="T3783" s="1"/>
      <c r="U3783" s="1"/>
      <c r="V3783" s="1"/>
      <c r="W3783" s="1"/>
      <c r="X3783" s="1"/>
      <c r="Y3783" s="1"/>
      <c r="Z3783" s="1"/>
      <c r="AA3783" s="1"/>
      <c r="AB3783" s="1"/>
      <c r="AC3783" s="1"/>
      <c r="AD3783" s="1"/>
      <c r="AE3783" s="1"/>
      <c r="AF3783" s="1"/>
      <c r="AG3783" s="1"/>
      <c r="AH3783" s="1"/>
      <c r="AI3783" s="1"/>
      <c r="AJ3783" s="1"/>
      <c r="AK3783" s="1"/>
      <c r="AL3783" s="1"/>
      <c r="AM3783" s="1"/>
      <c r="AN3783" s="1"/>
      <c r="AO3783" s="1"/>
      <c r="AP3783" s="1"/>
      <c r="AQ3783" s="1"/>
      <c r="AR3783" s="1"/>
      <c r="AS3783" s="1"/>
      <c r="AT3783" s="1"/>
      <c r="AU3783" s="1"/>
      <c r="AV3783" s="1"/>
      <c r="AW3783" s="1"/>
      <c r="AX3783" s="1"/>
      <c r="AY3783" s="1"/>
      <c r="AZ3783" s="1"/>
      <c r="BA3783" s="1"/>
      <c r="BB3783" s="1"/>
    </row>
    <row r="3784" ht="204.75" customHeight="1">
      <c r="A3784" s="1">
        <v>2075.0</v>
      </c>
      <c r="B3784" s="2" t="s">
        <v>11418</v>
      </c>
      <c r="C3784" s="2">
        <f>IFERROR(__xludf.DUMMYFUNCTION("split(B3784,""_"")"),1507.0)</f>
        <v>1507</v>
      </c>
      <c r="D3784" s="2" t="str">
        <f>IFERROR(__xludf.DUMMYFUNCTION("""COMPUTED_VALUE"""),"NTV")</f>
        <v>NTV</v>
      </c>
      <c r="E3784" s="2" t="str">
        <f>IFERROR(__xludf.DUMMYFUNCTION("""COMPUTED_VALUE"""),"木23")</f>
        <v>木23</v>
      </c>
      <c r="F3784" s="2" t="s">
        <v>11419</v>
      </c>
      <c r="G3784" s="2" t="s">
        <v>11424</v>
      </c>
      <c r="H3784" s="1">
        <v>3.0</v>
      </c>
      <c r="J3784" s="1" t="s">
        <v>1435</v>
      </c>
      <c r="K3784" s="2" t="s">
        <v>11425</v>
      </c>
      <c r="L3784" s="2"/>
      <c r="M3784" s="2" t="str">
        <f>IFERROR(__xludf.DUMMYFUNCTION("split(split(K3784,""【原作"",false),""ゲスト"",false)"),"伊藤歩、小池徹平  升毅、森カンナ、栗山航、吉満寛人、加藤諒、赤星昇一郎、川村エミコ(たんぽぽ)  片岡明日香  鈴木砂羽  【第3話")</f>
        <v>伊藤歩、小池徹平  升毅、森カンナ、栗山航、吉満寛人、加藤諒、赤星昇一郎、川村エミコ(たんぽぽ)  片岡明日香  鈴木砂羽  【第3話</v>
      </c>
      <c r="N3784" s="2" t="str">
        <f>IFERROR(__xludf.DUMMYFUNCTION("""COMPUTED_VALUE"""),"】徳山秀典、坪倉由幸(我が家)、杉山裕之(我が家)、谷田部俊(我が家)米子(伊藤歩)は料理合コンに参加し、商社マンの火野(徳山秀典)、研究者の木原(坪倉由幸)、漁師の水島(杉山裕之)、機械メーカーの土田(谷田部俊)の4人の男性と知り合う。ただ、躑躅(小池徹平)達がこの様子を別室で監視し、OL変死事件の重要参考人として火野を追っていた。何も知らない米子は火野に好意を抱くが、火野は泡を噴いて絶命。宮谷(升毅)は“米子レーダー”を頼りに火野を毒殺した犯人を探そうとするが…")</f>
        <v>】徳山秀典、坪倉由幸(我が家)、杉山裕之(我が家)、谷田部俊(我が家)米子(伊藤歩)は料理合コンに参加し、商社マンの火野(徳山秀典)、研究者の木原(坪倉由幸)、漁師の水島(杉山裕之)、機械メーカーの土田(谷田部俊)の4人の男性と知り合う。ただ、躑躅(小池徹平)達がこの様子を別室で監視し、OL変死事件の重要参考人として火野を追っていた。何も知らない米子は火野に好意を抱くが、火野は泡を噴いて絶命。宮谷(升毅)は“米子レーダー”を頼りに火野を毒殺した犯人を探そうとするが…</v>
      </c>
      <c r="O3784" s="2"/>
      <c r="P3784" s="1"/>
      <c r="Q3784" s="1"/>
      <c r="R3784" s="1"/>
      <c r="S3784" s="1"/>
      <c r="T3784" s="1"/>
      <c r="U3784" s="1"/>
      <c r="V3784" s="1"/>
      <c r="W3784" s="1"/>
      <c r="X3784" s="1"/>
      <c r="Y3784" s="1"/>
      <c r="Z3784" s="1"/>
      <c r="AA3784" s="1"/>
      <c r="AB3784" s="1"/>
      <c r="AC3784" s="1"/>
      <c r="AD3784" s="1"/>
      <c r="AE3784" s="1"/>
      <c r="AF3784" s="1"/>
      <c r="AG3784" s="1"/>
      <c r="AH3784" s="1"/>
      <c r="AI3784" s="1"/>
      <c r="AJ3784" s="1"/>
      <c r="AK3784" s="1"/>
      <c r="AL3784" s="1"/>
      <c r="AM3784" s="1"/>
      <c r="AN3784" s="1"/>
      <c r="AO3784" s="1"/>
      <c r="AP3784" s="1"/>
      <c r="AQ3784" s="1"/>
      <c r="AR3784" s="1"/>
      <c r="AS3784" s="1"/>
      <c r="AT3784" s="1"/>
      <c r="AU3784" s="1"/>
      <c r="AV3784" s="1"/>
      <c r="AW3784" s="1"/>
      <c r="AX3784" s="1"/>
      <c r="AY3784" s="1"/>
      <c r="AZ3784" s="1"/>
      <c r="BA3784" s="1"/>
      <c r="BB3784" s="1"/>
    </row>
    <row r="3785" ht="204.75" customHeight="1">
      <c r="A3785" s="1">
        <v>2076.0</v>
      </c>
      <c r="B3785" s="2" t="s">
        <v>11418</v>
      </c>
      <c r="C3785" s="2">
        <f>IFERROR(__xludf.DUMMYFUNCTION("split(B3785,""_"")"),1507.0)</f>
        <v>1507</v>
      </c>
      <c r="D3785" s="2" t="str">
        <f>IFERROR(__xludf.DUMMYFUNCTION("""COMPUTED_VALUE"""),"NTV")</f>
        <v>NTV</v>
      </c>
      <c r="E3785" s="2" t="str">
        <f>IFERROR(__xludf.DUMMYFUNCTION("""COMPUTED_VALUE"""),"木23")</f>
        <v>木23</v>
      </c>
      <c r="F3785" s="2" t="s">
        <v>11419</v>
      </c>
      <c r="G3785" s="2" t="s">
        <v>11426</v>
      </c>
      <c r="H3785" s="1">
        <v>4.0</v>
      </c>
      <c r="J3785" s="1" t="s">
        <v>1435</v>
      </c>
      <c r="K3785" s="2" t="s">
        <v>11427</v>
      </c>
      <c r="L3785" s="2"/>
      <c r="M3785" s="2" t="str">
        <f>IFERROR(__xludf.DUMMYFUNCTION("split(split(K3785,""【原作"",false),""ゲスト"",false)"),"伊藤歩、小池徹平  升毅、森カンナ、栗山航、吉満寛人、赤星昇一郎、川村エミコ(たんぽぽ)、片岡明日香  鈴木砂羽  【第4話")</f>
        <v>伊藤歩、小池徹平  升毅、森カンナ、栗山航、吉満寛人、赤星昇一郎、川村エミコ(たんぽぽ)、片岡明日香  鈴木砂羽  【第4話</v>
      </c>
      <c r="N3785" s="2" t="str">
        <f>IFERROR(__xludf.DUMMYFUNCTION("""COMPUTED_VALUE"""),"】阿部力米子(伊藤歩)は婚活アプリに登録し、フリースクールで子供達と野菜を作る井上(阿部力)と知り合う。米子は井上の考えに共感し、30万円を支払い、野菜を年間契約する。そんな折、詐欺に騙され借金苦で自殺した女性の遺体が発見される。後日、詐欺を強要されていたと井上から打ち明けられた米子だが、詐欺集団から土地の権利書を守ろうとする井上の力になり、2人の距離は一気に縮まる。そして井上からプロポーズされて…。")</f>
        <v>】阿部力米子(伊藤歩)は婚活アプリに登録し、フリースクールで子供達と野菜を作る井上(阿部力)と知り合う。米子は井上の考えに共感し、30万円を支払い、野菜を年間契約する。そんな折、詐欺に騙され借金苦で自殺した女性の遺体が発見される。後日、詐欺を強要されていたと井上から打ち明けられた米子だが、詐欺集団から土地の権利書を守ろうとする井上の力になり、2人の距離は一気に縮まる。そして井上からプロポーズされて…。</v>
      </c>
      <c r="O3785" s="2"/>
      <c r="P3785" s="1"/>
      <c r="Q3785" s="1"/>
      <c r="R3785" s="1"/>
      <c r="S3785" s="1"/>
      <c r="T3785" s="1"/>
      <c r="U3785" s="1"/>
      <c r="V3785" s="1"/>
      <c r="W3785" s="1"/>
      <c r="X3785" s="1"/>
      <c r="Y3785" s="1"/>
      <c r="Z3785" s="1"/>
      <c r="AA3785" s="1"/>
      <c r="AB3785" s="1"/>
      <c r="AC3785" s="1"/>
      <c r="AD3785" s="1"/>
      <c r="AE3785" s="1"/>
      <c r="AF3785" s="1"/>
      <c r="AG3785" s="1"/>
      <c r="AH3785" s="1"/>
      <c r="AI3785" s="1"/>
      <c r="AJ3785" s="1"/>
      <c r="AK3785" s="1"/>
      <c r="AL3785" s="1"/>
      <c r="AM3785" s="1"/>
      <c r="AN3785" s="1"/>
      <c r="AO3785" s="1"/>
      <c r="AP3785" s="1"/>
      <c r="AQ3785" s="1"/>
      <c r="AR3785" s="1"/>
      <c r="AS3785" s="1"/>
      <c r="AT3785" s="1"/>
      <c r="AU3785" s="1"/>
      <c r="AV3785" s="1"/>
      <c r="AW3785" s="1"/>
      <c r="AX3785" s="1"/>
      <c r="AY3785" s="1"/>
      <c r="AZ3785" s="1"/>
      <c r="BA3785" s="1"/>
      <c r="BB3785" s="1"/>
    </row>
    <row r="3786" ht="204.75" customHeight="1">
      <c r="A3786" s="1">
        <v>2077.0</v>
      </c>
      <c r="B3786" s="2" t="s">
        <v>11418</v>
      </c>
      <c r="C3786" s="2">
        <f>IFERROR(__xludf.DUMMYFUNCTION("split(B3786,""_"")"),1507.0)</f>
        <v>1507</v>
      </c>
      <c r="D3786" s="2" t="str">
        <f>IFERROR(__xludf.DUMMYFUNCTION("""COMPUTED_VALUE"""),"NTV")</f>
        <v>NTV</v>
      </c>
      <c r="E3786" s="2" t="str">
        <f>IFERROR(__xludf.DUMMYFUNCTION("""COMPUTED_VALUE"""),"木23")</f>
        <v>木23</v>
      </c>
      <c r="F3786" s="2" t="s">
        <v>11419</v>
      </c>
      <c r="G3786" s="2" t="s">
        <v>11428</v>
      </c>
      <c r="H3786" s="1">
        <v>5.0</v>
      </c>
      <c r="J3786" s="1" t="s">
        <v>1435</v>
      </c>
      <c r="K3786" s="2" t="s">
        <v>11429</v>
      </c>
      <c r="L3786" s="2"/>
      <c r="M3786" s="2" t="str">
        <f>IFERROR(__xludf.DUMMYFUNCTION("split(split(K3786,""【原作"",false),""ゲスト"",false)"),"伊藤歩  小池徹平    升毅  森カンナ  栗山航  吉満寛人  赤星昇一郎  川村エミコ(たんぽぽ)  片岡明日香    鈴木砂羽    【第5話")</f>
        <v>伊藤歩  小池徹平    升毅  森カンナ  栗山航  吉満寛人  赤星昇一郎  川村エミコ(たんぽぽ)  片岡明日香    鈴木砂羽    【第5話</v>
      </c>
      <c r="N3786" s="2" t="str">
        <f>IFERROR(__xludf.DUMMYFUNCTION("""COMPUTED_VALUE"""),"】  深水元基米子(伊藤歩)は弥生(森カンナ)の彼氏であるワインバーオーナー来栖(深水元基)から悩みを相談される。米子は弥生の彼氏と分かっていながら優しい来栖に心をときめかせる。両国署では女性3人の失踪事件が発生し直前に3人と会っていた平川(やべけんじ)が疑われる。後日、ひょんな事から平川と一緒に飲む事になった米子。翌朝、ベッドで目覚めた米子の前には平川ではなく来栖がいた!?米子は来栖が好きと弥生に打ち明けて…")</f>
        <v>】  深水元基米子(伊藤歩)は弥生(森カンナ)の彼氏であるワインバーオーナー来栖(深水元基)から悩みを相談される。米子は弥生の彼氏と分かっていながら優しい来栖に心をときめかせる。両国署では女性3人の失踪事件が発生し直前に3人と会っていた平川(やべけんじ)が疑われる。後日、ひょんな事から平川と一緒に飲む事になった米子。翌朝、ベッドで目覚めた米子の前には平川ではなく来栖がいた!?米子は来栖が好きと弥生に打ち明けて…</v>
      </c>
      <c r="O3786" s="2"/>
      <c r="P3786" s="1"/>
      <c r="Q3786" s="1"/>
      <c r="R3786" s="1"/>
      <c r="S3786" s="1"/>
      <c r="T3786" s="1"/>
      <c r="U3786" s="1"/>
      <c r="V3786" s="1"/>
      <c r="W3786" s="1"/>
      <c r="X3786" s="1"/>
      <c r="Y3786" s="1"/>
      <c r="Z3786" s="1"/>
      <c r="AA3786" s="1"/>
      <c r="AB3786" s="1"/>
      <c r="AC3786" s="1"/>
      <c r="AD3786" s="1"/>
      <c r="AE3786" s="1"/>
      <c r="AF3786" s="1"/>
      <c r="AG3786" s="1"/>
      <c r="AH3786" s="1"/>
      <c r="AI3786" s="1"/>
      <c r="AJ3786" s="1"/>
      <c r="AK3786" s="1"/>
      <c r="AL3786" s="1"/>
      <c r="AM3786" s="1"/>
      <c r="AN3786" s="1"/>
      <c r="AO3786" s="1"/>
      <c r="AP3786" s="1"/>
      <c r="AQ3786" s="1"/>
      <c r="AR3786" s="1"/>
      <c r="AS3786" s="1"/>
      <c r="AT3786" s="1"/>
      <c r="AU3786" s="1"/>
      <c r="AV3786" s="1"/>
      <c r="AW3786" s="1"/>
      <c r="AX3786" s="1"/>
      <c r="AY3786" s="1"/>
      <c r="AZ3786" s="1"/>
      <c r="BA3786" s="1"/>
      <c r="BB3786" s="1"/>
    </row>
    <row r="3787" ht="204.75" customHeight="1">
      <c r="A3787" s="1">
        <v>2078.0</v>
      </c>
      <c r="B3787" s="2" t="s">
        <v>11418</v>
      </c>
      <c r="C3787" s="2">
        <f>IFERROR(__xludf.DUMMYFUNCTION("split(B3787,""_"")"),1507.0)</f>
        <v>1507</v>
      </c>
      <c r="D3787" s="2" t="str">
        <f>IFERROR(__xludf.DUMMYFUNCTION("""COMPUTED_VALUE"""),"NTV")</f>
        <v>NTV</v>
      </c>
      <c r="E3787" s="2" t="str">
        <f>IFERROR(__xludf.DUMMYFUNCTION("""COMPUTED_VALUE"""),"木23")</f>
        <v>木23</v>
      </c>
      <c r="F3787" s="2" t="s">
        <v>11419</v>
      </c>
      <c r="G3787" s="2" t="s">
        <v>11430</v>
      </c>
      <c r="H3787" s="1">
        <v>6.0</v>
      </c>
      <c r="J3787" s="1" t="s">
        <v>1435</v>
      </c>
      <c r="K3787" s="2" t="s">
        <v>11431</v>
      </c>
      <c r="L3787" s="2"/>
      <c r="M3787" s="2" t="str">
        <f>IFERROR(__xludf.DUMMYFUNCTION("split(split(K3787,""【原作"",false),""ゲスト"",false)"),"伊藤歩、小池徹平  升毅、森カンナ、栗山航、吉満寛人、加藤諒、赤星昇一郎、川村エミコ(たんぽぽ)、片岡明日香  鈴木砂羽  大杉漣  【第6話")</f>
        <v>伊藤歩、小池徹平  升毅、森カンナ、栗山航、吉満寛人、加藤諒、赤星昇一郎、川村エミコ(たんぽぽ)、片岡明日香  鈴木砂羽  大杉漣  【第6話</v>
      </c>
      <c r="N3787" s="2" t="str">
        <f>IFERROR(__xludf.DUMMYFUNCTION("""COMPUTED_VALUE"""),"】赤座美代子突然、婚活を辞めると宣言した米子(伊藤歩)。そんな折、刑事課に躑躅(小池徹平)の祖母のイネ(赤座美代子)が現れ、結婚しろと躑躅をせっつくが、躑躅は結婚式場「オテゴロ・ウェディング」を調べていた。式場ではダイヤの結婚指輪が安く買えるキャンペーンを展開していたが、ダイヤがニセモノと判明する事件が発生。米子と躑躅は潜入捜査を命じられ、夫婦役を演じる事に!そして結婚式当日、二人は誓いのキスをする事になり…")</f>
        <v>】赤座美代子突然、婚活を辞めると宣言した米子(伊藤歩)。そんな折、刑事課に躑躅(小池徹平)の祖母のイネ(赤座美代子)が現れ、結婚しろと躑躅をせっつくが、躑躅は結婚式場「オテゴロ・ウェディング」を調べていた。式場ではダイヤの結婚指輪が安く買えるキャンペーンを展開していたが、ダイヤがニセモノと判明する事件が発生。米子と躑躅は潜入捜査を命じられ、夫婦役を演じる事に!そして結婚式当日、二人は誓いのキスをする事になり…</v>
      </c>
      <c r="O3787" s="2"/>
      <c r="P3787" s="1"/>
      <c r="Q3787" s="1"/>
      <c r="R3787" s="1"/>
      <c r="S3787" s="1"/>
      <c r="T3787" s="1"/>
      <c r="U3787" s="1"/>
      <c r="V3787" s="1"/>
      <c r="W3787" s="1"/>
      <c r="X3787" s="1"/>
      <c r="Y3787" s="1"/>
      <c r="Z3787" s="1"/>
      <c r="AA3787" s="1"/>
      <c r="AB3787" s="1"/>
      <c r="AC3787" s="1"/>
      <c r="AD3787" s="1"/>
      <c r="AE3787" s="1"/>
      <c r="AF3787" s="1"/>
      <c r="AG3787" s="1"/>
      <c r="AH3787" s="1"/>
      <c r="AI3787" s="1"/>
      <c r="AJ3787" s="1"/>
      <c r="AK3787" s="1"/>
      <c r="AL3787" s="1"/>
      <c r="AM3787" s="1"/>
      <c r="AN3787" s="1"/>
      <c r="AO3787" s="1"/>
      <c r="AP3787" s="1"/>
      <c r="AQ3787" s="1"/>
      <c r="AR3787" s="1"/>
      <c r="AS3787" s="1"/>
      <c r="AT3787" s="1"/>
      <c r="AU3787" s="1"/>
      <c r="AV3787" s="1"/>
      <c r="AW3787" s="1"/>
      <c r="AX3787" s="1"/>
      <c r="AY3787" s="1"/>
      <c r="AZ3787" s="1"/>
      <c r="BA3787" s="1"/>
      <c r="BB3787" s="1"/>
    </row>
    <row r="3788" ht="204.75" customHeight="1">
      <c r="A3788" s="1">
        <v>2079.0</v>
      </c>
      <c r="B3788" s="2" t="s">
        <v>11418</v>
      </c>
      <c r="C3788" s="2">
        <f>IFERROR(__xludf.DUMMYFUNCTION("split(B3788,""_"")"),1507.0)</f>
        <v>1507</v>
      </c>
      <c r="D3788" s="2" t="str">
        <f>IFERROR(__xludf.DUMMYFUNCTION("""COMPUTED_VALUE"""),"NTV")</f>
        <v>NTV</v>
      </c>
      <c r="E3788" s="2" t="str">
        <f>IFERROR(__xludf.DUMMYFUNCTION("""COMPUTED_VALUE"""),"木23")</f>
        <v>木23</v>
      </c>
      <c r="F3788" s="2" t="s">
        <v>11419</v>
      </c>
      <c r="G3788" s="2" t="s">
        <v>11432</v>
      </c>
      <c r="H3788" s="1">
        <v>7.0</v>
      </c>
      <c r="J3788" s="1" t="s">
        <v>1435</v>
      </c>
      <c r="K3788" s="2" t="s">
        <v>11433</v>
      </c>
      <c r="L3788" s="2"/>
      <c r="M3788" s="2" t="str">
        <f>IFERROR(__xludf.DUMMYFUNCTION("split(split(K3788,""【原作"",false),""ゲスト"",false)"),"伊藤歩、小池徹平  升毅、森カンナ、栗山航、吉満寛人、加藤諒、赤星昇一郎、川村エミコ(たんぽぽ)、片岡明日香  鈴木砂羽  【第7話")</f>
        <v>伊藤歩、小池徹平  升毅、森カンナ、栗山航、吉満寛人、加藤諒、赤星昇一郎、川村エミコ(たんぽぽ)、片岡明日香  鈴木砂羽  【第7話</v>
      </c>
      <c r="N3788" s="2" t="str">
        <f>IFERROR(__xludf.DUMMYFUNCTION("""COMPUTED_VALUE"""),"】鈴木福、川口覚、河井青葉婚活を再開した米子(伊藤歩)はボルダリングジムで啓介(川口覚)と知り合う。この出会いを運命と感じる米子だったが、啓介はバツイチの子持ちだった。そんな折、一軒家で父子が殺害される事件が発生。宮谷(升毅)は再婚相手の友理恵(河井青葉)が犯人と睨み、行方を追う。米子は啓介の代わりに息子の翔(鈴木福)の面倒を見る。そして、啓介と一緒に翔の誕生日をお祝いしようとするが…当日、啓介は友理恵と密会していた!?")</f>
        <v>】鈴木福、川口覚、河井青葉婚活を再開した米子(伊藤歩)はボルダリングジムで啓介(川口覚)と知り合う。この出会いを運命と感じる米子だったが、啓介はバツイチの子持ちだった。そんな折、一軒家で父子が殺害される事件が発生。宮谷(升毅)は再婚相手の友理恵(河井青葉)が犯人と睨み、行方を追う。米子は啓介の代わりに息子の翔(鈴木福)の面倒を見る。そして、啓介と一緒に翔の誕生日をお祝いしようとするが…当日、啓介は友理恵と密会していた!?</v>
      </c>
      <c r="O3788" s="2"/>
      <c r="P3788" s="1"/>
      <c r="Q3788" s="1"/>
      <c r="R3788" s="1"/>
      <c r="S3788" s="1"/>
      <c r="T3788" s="1"/>
      <c r="U3788" s="1"/>
      <c r="V3788" s="1"/>
      <c r="W3788" s="1"/>
      <c r="X3788" s="1"/>
      <c r="Y3788" s="1"/>
      <c r="Z3788" s="1"/>
      <c r="AA3788" s="1"/>
      <c r="AB3788" s="1"/>
      <c r="AC3788" s="1"/>
      <c r="AD3788" s="1"/>
      <c r="AE3788" s="1"/>
      <c r="AF3788" s="1"/>
      <c r="AG3788" s="1"/>
      <c r="AH3788" s="1"/>
      <c r="AI3788" s="1"/>
      <c r="AJ3788" s="1"/>
      <c r="AK3788" s="1"/>
      <c r="AL3788" s="1"/>
      <c r="AM3788" s="1"/>
      <c r="AN3788" s="1"/>
      <c r="AO3788" s="1"/>
      <c r="AP3788" s="1"/>
      <c r="AQ3788" s="1"/>
      <c r="AR3788" s="1"/>
      <c r="AS3788" s="1"/>
      <c r="AT3788" s="1"/>
      <c r="AU3788" s="1"/>
      <c r="AV3788" s="1"/>
      <c r="AW3788" s="1"/>
      <c r="AX3788" s="1"/>
      <c r="AY3788" s="1"/>
      <c r="AZ3788" s="1"/>
      <c r="BA3788" s="1"/>
      <c r="BB3788" s="1"/>
    </row>
    <row r="3789" ht="204.75" customHeight="1">
      <c r="A3789" s="1">
        <v>2080.0</v>
      </c>
      <c r="B3789" s="2" t="s">
        <v>11418</v>
      </c>
      <c r="C3789" s="2">
        <f>IFERROR(__xludf.DUMMYFUNCTION("split(B3789,""_"")"),1507.0)</f>
        <v>1507</v>
      </c>
      <c r="D3789" s="2" t="str">
        <f>IFERROR(__xludf.DUMMYFUNCTION("""COMPUTED_VALUE"""),"NTV")</f>
        <v>NTV</v>
      </c>
      <c r="E3789" s="2" t="str">
        <f>IFERROR(__xludf.DUMMYFUNCTION("""COMPUTED_VALUE"""),"木23")</f>
        <v>木23</v>
      </c>
      <c r="F3789" s="2" t="s">
        <v>11419</v>
      </c>
      <c r="G3789" s="2" t="s">
        <v>11434</v>
      </c>
      <c r="H3789" s="1">
        <v>8.0</v>
      </c>
      <c r="J3789" s="1" t="s">
        <v>1435</v>
      </c>
      <c r="K3789" s="2" t="s">
        <v>11435</v>
      </c>
      <c r="L3789" s="2"/>
      <c r="M3789" s="2" t="str">
        <f>IFERROR(__xludf.DUMMYFUNCTION("split(split(K3789,""【原作"",false),""ゲスト"",false)"),"伊藤歩、小池徹平  升毅、森カンナ、栗山航、吉満寛人、加藤諒、赤星昇一郎、川村エミコ(たんぽぽ)、片岡明日香  鈴木砂羽  【第8話")</f>
        <v>伊藤歩、小池徹平  升毅、森カンナ、栗山航、吉満寛人、加藤諒、赤星昇一郎、川村エミコ(たんぽぽ)、片岡明日香  鈴木砂羽  【第8話</v>
      </c>
      <c r="N3789" s="2" t="str">
        <f>IFERROR(__xludf.DUMMYFUNCTION("""COMPUTED_VALUE"""),"】阿部亮平、黄川田将也米子(伊藤歩)は組織犯罪対策課の権堂(阿部亮平)から交際を申し込まれる。米子達は危険ドラッグの売人グループの峰(大口兼悟)を追い取引現場に踏み込むが失敗。躑躅(小池徹平)は内通者がいるかもしれないと考える。権堂から改めて交際を申し込まれた米子。宮谷(升毅)はついに“米子レーダー”が発動したとショックを受ける。そんな折、売人グループのメンバーが銃殺される事件が発生。現場に権堂の警察手帳が落ちていて…")</f>
        <v>】阿部亮平、黄川田将也米子(伊藤歩)は組織犯罪対策課の権堂(阿部亮平)から交際を申し込まれる。米子達は危険ドラッグの売人グループの峰(大口兼悟)を追い取引現場に踏み込むが失敗。躑躅(小池徹平)は内通者がいるかもしれないと考える。権堂から改めて交際を申し込まれた米子。宮谷(升毅)はついに“米子レーダー”が発動したとショックを受ける。そんな折、売人グループのメンバーが銃殺される事件が発生。現場に権堂の警察手帳が落ちていて…</v>
      </c>
      <c r="O3789" s="2"/>
      <c r="P3789" s="1"/>
      <c r="Q3789" s="1"/>
      <c r="R3789" s="1"/>
      <c r="S3789" s="1"/>
      <c r="T3789" s="1"/>
      <c r="U3789" s="1"/>
      <c r="V3789" s="1"/>
      <c r="W3789" s="1"/>
      <c r="X3789" s="1"/>
      <c r="Y3789" s="1"/>
      <c r="Z3789" s="1"/>
      <c r="AA3789" s="1"/>
      <c r="AB3789" s="1"/>
      <c r="AC3789" s="1"/>
      <c r="AD3789" s="1"/>
      <c r="AE3789" s="1"/>
      <c r="AF3789" s="1"/>
      <c r="AG3789" s="1"/>
      <c r="AH3789" s="1"/>
      <c r="AI3789" s="1"/>
      <c r="AJ3789" s="1"/>
      <c r="AK3789" s="1"/>
      <c r="AL3789" s="1"/>
      <c r="AM3789" s="1"/>
      <c r="AN3789" s="1"/>
      <c r="AO3789" s="1"/>
      <c r="AP3789" s="1"/>
      <c r="AQ3789" s="1"/>
      <c r="AR3789" s="1"/>
      <c r="AS3789" s="1"/>
      <c r="AT3789" s="1"/>
      <c r="AU3789" s="1"/>
      <c r="AV3789" s="1"/>
      <c r="AW3789" s="1"/>
      <c r="AX3789" s="1"/>
      <c r="AY3789" s="1"/>
      <c r="AZ3789" s="1"/>
      <c r="BA3789" s="1"/>
      <c r="BB3789" s="1"/>
    </row>
    <row r="3790" ht="204.75" customHeight="1">
      <c r="A3790" s="1">
        <v>2081.0</v>
      </c>
      <c r="B3790" s="2" t="s">
        <v>11418</v>
      </c>
      <c r="C3790" s="2">
        <f>IFERROR(__xludf.DUMMYFUNCTION("split(B3790,""_"")"),1507.0)</f>
        <v>1507</v>
      </c>
      <c r="D3790" s="2" t="str">
        <f>IFERROR(__xludf.DUMMYFUNCTION("""COMPUTED_VALUE"""),"NTV")</f>
        <v>NTV</v>
      </c>
      <c r="E3790" s="2" t="str">
        <f>IFERROR(__xludf.DUMMYFUNCTION("""COMPUTED_VALUE"""),"木23")</f>
        <v>木23</v>
      </c>
      <c r="F3790" s="2" t="s">
        <v>11419</v>
      </c>
      <c r="G3790" s="2" t="s">
        <v>11436</v>
      </c>
      <c r="H3790" s="1">
        <v>9.0</v>
      </c>
      <c r="J3790" s="1" t="s">
        <v>1435</v>
      </c>
      <c r="K3790" s="2" t="s">
        <v>11437</v>
      </c>
      <c r="L3790" s="10" t="s">
        <v>11438</v>
      </c>
      <c r="M3790" s="2" t="str">
        <f>IFERROR(__xludf.DUMMYFUNCTION("split(split(K3790,""【原作"",false),""ゲスト"",false)"),"伊藤歩、小池徹平  升毅、森カンナ、栗山航、赤星昇一郎、川村エミコ(たんぽぽ)、片岡明日香  大杉漣  【第9話")</f>
        <v>伊藤歩、小池徹平  升毅、森カンナ、栗山航、赤星昇一郎、川村エミコ(たんぽぽ)、片岡明日香  大杉漣  【第9話</v>
      </c>
      <c r="N3790" s="2" t="str">
        <f>IFERROR(__xludf.DUMMYFUNCTION("""COMPUTED_VALUE"""),"】丸山智己、武田梨奈米子(伊藤歩)はキャバクラの従業員として潜入捜査している時に、国会議員の秘書・小山(丸山智己)と出会う。2人は同郷という事もあり意気投合。小山は米子に勇気をもらい、鳥取の選挙区から出馬する事を決意。そして、米子は小山から一緒に鳥取に帰って欲しいとプロポーズされる。が、実は躑躅(小池徹平)たちがキャバクラ嬢殺害事件でマークしていたのは小山だった。米子は政治家の妻になると退職願を提出するが…。")</f>
        <v>】丸山智己、武田梨奈米子(伊藤歩)はキャバクラの従業員として潜入捜査している時に、国会議員の秘書・小山(丸山智己)と出会う。2人は同郷という事もあり意気投合。小山は米子に勇気をもらい、鳥取の選挙区から出馬する事を決意。そして、米子は小山から一緒に鳥取に帰って欲しいとプロポーズされる。が、実は躑躅(小池徹平)たちがキャバクラ嬢殺害事件でマークしていたのは小山だった。米子は政治家の妻になると退職願を提出するが…。</v>
      </c>
      <c r="O3790" s="2"/>
      <c r="P3790" s="1"/>
      <c r="Q3790" s="1"/>
      <c r="R3790" s="1"/>
      <c r="S3790" s="1"/>
      <c r="T3790" s="1"/>
      <c r="U3790" s="1"/>
      <c r="V3790" s="1"/>
      <c r="W3790" s="1"/>
      <c r="X3790" s="1"/>
      <c r="Y3790" s="1"/>
      <c r="Z3790" s="1"/>
      <c r="AA3790" s="1"/>
      <c r="AB3790" s="1"/>
      <c r="AC3790" s="1"/>
      <c r="AD3790" s="1"/>
      <c r="AE3790" s="1"/>
      <c r="AF3790" s="1"/>
      <c r="AG3790" s="1"/>
      <c r="AH3790" s="1"/>
      <c r="AI3790" s="1"/>
      <c r="AJ3790" s="1"/>
      <c r="AK3790" s="1"/>
      <c r="AL3790" s="1"/>
      <c r="AM3790" s="1"/>
      <c r="AN3790" s="1"/>
      <c r="AO3790" s="1"/>
      <c r="AP3790" s="1"/>
      <c r="AQ3790" s="1"/>
      <c r="AR3790" s="1"/>
      <c r="AS3790" s="1"/>
      <c r="AT3790" s="1"/>
      <c r="AU3790" s="1"/>
      <c r="AV3790" s="1"/>
      <c r="AW3790" s="1"/>
      <c r="AX3790" s="1"/>
      <c r="AY3790" s="1"/>
      <c r="AZ3790" s="1"/>
      <c r="BA3790" s="1"/>
      <c r="BB3790" s="1"/>
    </row>
    <row r="3791" ht="204.75" customHeight="1">
      <c r="A3791" s="1">
        <v>2082.0</v>
      </c>
      <c r="B3791" s="2" t="s">
        <v>11418</v>
      </c>
      <c r="C3791" s="2">
        <f>IFERROR(__xludf.DUMMYFUNCTION("split(B3791,""_"")"),1507.0)</f>
        <v>1507</v>
      </c>
      <c r="D3791" s="2" t="str">
        <f>IFERROR(__xludf.DUMMYFUNCTION("""COMPUTED_VALUE"""),"NTV")</f>
        <v>NTV</v>
      </c>
      <c r="E3791" s="2" t="str">
        <f>IFERROR(__xludf.DUMMYFUNCTION("""COMPUTED_VALUE"""),"木23")</f>
        <v>木23</v>
      </c>
      <c r="F3791" s="2" t="s">
        <v>11419</v>
      </c>
      <c r="G3791" s="2" t="s">
        <v>11439</v>
      </c>
      <c r="H3791" s="1">
        <v>10.0</v>
      </c>
      <c r="J3791" s="1" t="s">
        <v>1435</v>
      </c>
      <c r="K3791" s="2" t="s">
        <v>11440</v>
      </c>
      <c r="L3791" s="10" t="s">
        <v>11441</v>
      </c>
      <c r="M3791" s="2" t="str">
        <f>IFERROR(__xludf.DUMMYFUNCTION("split(split(K3791,""【原作"",false),""ゲスト"",false)"),"伊藤歩、小池徹平  升毅、森カンナ、栗山航、加藤諒、赤星昇一郎、川村エミコ(たんぽぽ)、片岡明日香  鈴木砂羽  大杉漣  【第11話")</f>
        <v>伊藤歩、小池徹平  升毅、森カンナ、栗山航、加藤諒、赤星昇一郎、川村エミコ(たんぽぽ)、片岡明日香  鈴木砂羽  大杉漣  【第11話</v>
      </c>
      <c r="N3791" s="2" t="str">
        <f>IFERROR(__xludf.DUMMYFUNCTION("""COMPUTED_VALUE"""),"】高部あい、中村繁之米子(伊藤歩)は躑躅(小池徹平)に好きと告白し、宮谷(升毅)は“米子レーダー”が発動したと頭を抱える。そんな中、躑躅がルミ殺害の容疑で緊急手配される。米子と宮谷は躑躅の自宅マンションを調べ、躑躅の恋人だった沙織(高部あい)の部屋から結婚日記と書かれたノートを発見する。その頃、躑躅は別府(中村繁之)を呼び出し、沙織が死んだ交通事故現場の画像を突き付ける。そこには、沙織が殺害された証拠が写っていた…。")</f>
        <v>】高部あい、中村繁之米子(伊藤歩)は躑躅(小池徹平)に好きと告白し、宮谷(升毅)は“米子レーダー”が発動したと頭を抱える。そんな中、躑躅がルミ殺害の容疑で緊急手配される。米子と宮谷は躑躅の自宅マンションを調べ、躑躅の恋人だった沙織(高部あい)の部屋から結婚日記と書かれたノートを発見する。その頃、躑躅は別府(中村繁之)を呼び出し、沙織が死んだ交通事故現場の画像を突き付ける。そこには、沙織が殺害された証拠が写っていた…。</v>
      </c>
      <c r="O3791" s="2"/>
      <c r="P3791" s="1"/>
      <c r="Q3791" s="1"/>
      <c r="R3791" s="1"/>
      <c r="S3791" s="1"/>
      <c r="T3791" s="1"/>
      <c r="U3791" s="1"/>
      <c r="V3791" s="1"/>
      <c r="W3791" s="1"/>
      <c r="X3791" s="1"/>
      <c r="Y3791" s="1"/>
      <c r="Z3791" s="1"/>
      <c r="AA3791" s="1"/>
      <c r="AB3791" s="1"/>
      <c r="AC3791" s="1"/>
      <c r="AD3791" s="1"/>
      <c r="AE3791" s="1"/>
      <c r="AF3791" s="1"/>
      <c r="AG3791" s="1"/>
      <c r="AH3791" s="1"/>
      <c r="AI3791" s="1"/>
      <c r="AJ3791" s="1"/>
      <c r="AK3791" s="1"/>
      <c r="AL3791" s="1"/>
      <c r="AM3791" s="1"/>
      <c r="AN3791" s="1"/>
      <c r="AO3791" s="1"/>
      <c r="AP3791" s="1"/>
      <c r="AQ3791" s="1"/>
      <c r="AR3791" s="1"/>
      <c r="AS3791" s="1"/>
      <c r="AT3791" s="1"/>
      <c r="AU3791" s="1"/>
      <c r="AV3791" s="1"/>
      <c r="AW3791" s="1"/>
      <c r="AX3791" s="1"/>
      <c r="AY3791" s="1"/>
      <c r="AZ3791" s="1"/>
      <c r="BA3791" s="1"/>
      <c r="BB3791" s="1"/>
    </row>
    <row r="3792" ht="204.75" customHeight="1">
      <c r="A3792" s="1">
        <v>2083.0</v>
      </c>
      <c r="B3792" s="2" t="s">
        <v>11418</v>
      </c>
      <c r="C3792" s="2">
        <f>IFERROR(__xludf.DUMMYFUNCTION("split(B3792,""_"")"),1507.0)</f>
        <v>1507</v>
      </c>
      <c r="D3792" s="2" t="str">
        <f>IFERROR(__xludf.DUMMYFUNCTION("""COMPUTED_VALUE"""),"NTV")</f>
        <v>NTV</v>
      </c>
      <c r="E3792" s="2" t="str">
        <f>IFERROR(__xludf.DUMMYFUNCTION("""COMPUTED_VALUE"""),"木23")</f>
        <v>木23</v>
      </c>
      <c r="F3792" s="2" t="s">
        <v>11419</v>
      </c>
      <c r="G3792" s="2" t="s">
        <v>11442</v>
      </c>
      <c r="H3792" s="1">
        <v>11.0</v>
      </c>
      <c r="J3792" s="1" t="s">
        <v>1435</v>
      </c>
      <c r="K3792" s="2" t="s">
        <v>11443</v>
      </c>
      <c r="L3792" s="10" t="s">
        <v>11444</v>
      </c>
      <c r="M3792" s="2" t="str">
        <f>IFERROR(__xludf.DUMMYFUNCTION("split(split(K3792,""【原作"",false),""ゲスト"",false)"),"伊藤歩、小池徹平  升毅、森カンナ、栗山航、吉満寛人、加藤諒、赤星昇一郎、川村エミコ(たんぽぽ)、片岡明日香  鈴木砂羽  大杉漣  【最終話")</f>
        <v>伊藤歩、小池徹平  升毅、森カンナ、栗山航、吉満寛人、加藤諒、赤星昇一郎、川村エミコ(たんぽぽ)、片岡明日香  鈴木砂羽  大杉漣  【最終話</v>
      </c>
      <c r="N3792" s="2" t="str">
        <f>IFERROR(__xludf.DUMMYFUNCTION("""COMPUTED_VALUE"""),"】高部あい米子(伊藤歩)は逮捕された躑躅(小池徹平)の代わりに沙織(高部あい)が追っていた事件を解決すると心に誓う。米子は生前の沙織と同じ行動をとれば何か掴めるかもしれないと考え、宮谷(升毅)たちと共に沙織の足跡を辿っていくが、銀竜会の構成員達にしつこく追われる。  サクラプロジェクト、黒幕の正体、消えた3億円の謎、それぞれの事件が予想だにしない結末を向かえる…そして、米子はついに躑躅と結ばれるのか!?")</f>
        <v>】高部あい米子(伊藤歩)は逮捕された躑躅(小池徹平)の代わりに沙織(高部あい)が追っていた事件を解決すると心に誓う。米子は生前の沙織と同じ行動をとれば何か掴めるかもしれないと考え、宮谷(升毅)たちと共に沙織の足跡を辿っていくが、銀竜会の構成員達にしつこく追われる。  サクラプロジェクト、黒幕の正体、消えた3億円の謎、それぞれの事件が予想だにしない結末を向かえる…そして、米子はついに躑躅と結ばれるのか!?</v>
      </c>
      <c r="O3792" s="2"/>
      <c r="P3792" s="1"/>
      <c r="Q3792" s="1"/>
      <c r="R3792" s="1"/>
      <c r="S3792" s="1"/>
      <c r="T3792" s="1"/>
      <c r="U3792" s="1"/>
      <c r="V3792" s="1"/>
      <c r="W3792" s="1"/>
      <c r="X3792" s="1"/>
      <c r="Y3792" s="1"/>
      <c r="Z3792" s="1"/>
      <c r="AA3792" s="1"/>
      <c r="AB3792" s="1"/>
      <c r="AC3792" s="1"/>
      <c r="AD3792" s="1"/>
      <c r="AE3792" s="1"/>
      <c r="AF3792" s="1"/>
      <c r="AG3792" s="1"/>
      <c r="AH3792" s="1"/>
      <c r="AI3792" s="1"/>
      <c r="AJ3792" s="1"/>
      <c r="AK3792" s="1"/>
      <c r="AL3792" s="1"/>
      <c r="AM3792" s="1"/>
      <c r="AN3792" s="1"/>
      <c r="AO3792" s="1"/>
      <c r="AP3792" s="1"/>
      <c r="AQ3792" s="1"/>
      <c r="AR3792" s="1"/>
      <c r="AS3792" s="1"/>
      <c r="AT3792" s="1"/>
      <c r="AU3792" s="1"/>
      <c r="AV3792" s="1"/>
      <c r="AW3792" s="1"/>
      <c r="AX3792" s="1"/>
      <c r="AY3792" s="1"/>
      <c r="AZ3792" s="1"/>
      <c r="BA3792" s="1"/>
      <c r="BB3792" s="1"/>
    </row>
    <row r="3793" ht="204.75" customHeight="1">
      <c r="A3793" s="1">
        <v>2102.0</v>
      </c>
      <c r="B3793" s="2" t="s">
        <v>11445</v>
      </c>
      <c r="C3793" s="2">
        <f>IFERROR(__xludf.DUMMYFUNCTION("split(B3793,""_"")"),1507.0)</f>
        <v>1507</v>
      </c>
      <c r="D3793" s="2" t="str">
        <f>IFERROR(__xludf.DUMMYFUNCTION("""COMPUTED_VALUE"""),"NTV")</f>
        <v>NTV</v>
      </c>
      <c r="E3793" s="2" t="str">
        <f>IFERROR(__xludf.DUMMYFUNCTION("""COMPUTED_VALUE"""),"土21")</f>
        <v>土21</v>
      </c>
      <c r="F3793" s="2" t="s">
        <v>11446</v>
      </c>
      <c r="G3793" s="2" t="s">
        <v>11447</v>
      </c>
      <c r="H3793" s="1">
        <v>1.0</v>
      </c>
      <c r="I3793" s="1" t="s">
        <v>2868</v>
      </c>
      <c r="J3793" s="1" t="s">
        <v>4</v>
      </c>
      <c r="K3793" s="2" t="s">
        <v>11448</v>
      </c>
      <c r="L3793" s="11" t="s">
        <v>11449</v>
      </c>
      <c r="M3793" s="2" t="str">
        <f>IFERROR(__xludf.DUMMYFUNCTION("split(split(K3793,""【演出"",false),""ほか"",false)"),"松山ケンイチ、満島ひかり、前田敦子、勝地涼、光石研、でんでん、白羽ゆり、新井浩文、白石加代子、薬師丸ひろ子　")</f>
        <v>松山ケンイチ、満島ひかり、前田敦子、勝地涼、光石研、でんでん、白羽ゆり、新井浩文、白石加代子、薬師丸ひろ子　</v>
      </c>
      <c r="N3793" s="2" t="str">
        <f>IFERROR(__xludf.DUMMYFUNCTION("""COMPUTED_VALUE"""),"ついに実写化!「ど根性ガエル」。松山ケンイチ、満島ひかり(声の出演)、前田敦子、勝地涼、光石研、でんでん、白羽ゆり、新井浩文、白石加代子、薬師丸ひろ子、という豪華キャストでおくる、笑いと涙とアクション満載の感動ドラマ。ダメ男と平面ガエルピョン吉が根性出してがんばります!なぜカエルがシャツにはりついたのか??そして、ピョン吉に異変が起きる!?")</f>
        <v>ついに実写化!「ど根性ガエル」。松山ケンイチ、満島ひかり(声の出演)、前田敦子、勝地涼、光石研、でんでん、白羽ゆり、新井浩文、白石加代子、薬師丸ひろ子、という豪華キャストでおくる、笑いと涙とアクション満載の感動ドラマ。ダメ男と平面ガエルピョン吉が根性出してがんばります!なぜカエルがシャツにはりついたのか??そして、ピョン吉に異変が起きる!?</v>
      </c>
      <c r="O3793" s="2"/>
      <c r="P3793" s="1"/>
      <c r="Q3793" s="1"/>
      <c r="R3793" s="1"/>
      <c r="S3793" s="1"/>
      <c r="T3793" s="1"/>
      <c r="U3793" s="1"/>
      <c r="V3793" s="1"/>
      <c r="W3793" s="1"/>
      <c r="X3793" s="1"/>
      <c r="Y3793" s="1"/>
      <c r="Z3793" s="1"/>
      <c r="AA3793" s="1"/>
      <c r="AB3793" s="1"/>
      <c r="AC3793" s="1"/>
      <c r="AD3793" s="1"/>
      <c r="AE3793" s="1"/>
      <c r="AF3793" s="1"/>
      <c r="AG3793" s="1"/>
      <c r="AH3793" s="1"/>
      <c r="AI3793" s="1"/>
      <c r="AJ3793" s="1"/>
      <c r="AK3793" s="1"/>
      <c r="AL3793" s="1"/>
      <c r="AM3793" s="1"/>
      <c r="AN3793" s="1"/>
      <c r="AO3793" s="1"/>
      <c r="AP3793" s="1"/>
      <c r="AQ3793" s="1"/>
      <c r="AR3793" s="1"/>
      <c r="AS3793" s="1"/>
      <c r="AT3793" s="1"/>
      <c r="AU3793" s="1"/>
      <c r="AV3793" s="1"/>
      <c r="AW3793" s="1"/>
      <c r="AX3793" s="1"/>
      <c r="AY3793" s="1"/>
      <c r="AZ3793" s="1"/>
      <c r="BA3793" s="1"/>
      <c r="BB3793" s="1"/>
    </row>
    <row r="3794" ht="204.75" customHeight="1">
      <c r="A3794" s="1">
        <v>2103.0</v>
      </c>
      <c r="B3794" s="2" t="s">
        <v>11445</v>
      </c>
      <c r="C3794" s="2">
        <f>IFERROR(__xludf.DUMMYFUNCTION("split(B3794,""_"")"),1507.0)</f>
        <v>1507</v>
      </c>
      <c r="D3794" s="2" t="str">
        <f>IFERROR(__xludf.DUMMYFUNCTION("""COMPUTED_VALUE"""),"NTV")</f>
        <v>NTV</v>
      </c>
      <c r="E3794" s="2" t="str">
        <f>IFERROR(__xludf.DUMMYFUNCTION("""COMPUTED_VALUE"""),"土21")</f>
        <v>土21</v>
      </c>
      <c r="F3794" s="2" t="s">
        <v>11446</v>
      </c>
      <c r="G3794" s="2" t="s">
        <v>11450</v>
      </c>
      <c r="H3794" s="1">
        <v>2.0</v>
      </c>
      <c r="I3794" s="1" t="s">
        <v>2872</v>
      </c>
      <c r="J3794" s="1" t="s">
        <v>11</v>
      </c>
      <c r="K3794" s="2" t="s">
        <v>11451</v>
      </c>
      <c r="L3794" s="11" t="s">
        <v>11452</v>
      </c>
      <c r="M3794" s="2" t="str">
        <f>IFERROR(__xludf.DUMMYFUNCTION("split(split(K3794,""【演出"",false),""ほか"",false)"),"松山ケンイチ、満島ひかり、前田敦子、勝地涼、光石研、でんでん、白羽ゆり、新井浩文、白石加代子、薬師丸ひろ子　")</f>
        <v>松山ケンイチ、満島ひかり、前田敦子、勝地涼、光石研、でんでん、白羽ゆり、新井浩文、白石加代子、薬師丸ひろ子　</v>
      </c>
      <c r="N3794" s="2" t="str">
        <f>IFERROR(__xludf.DUMMYFUNCTION("""COMPUTED_VALUE"""),"「ど根性で京子ちゃんと結婚する!」とみんなの前で宣言したが、結局何も変わらずダラダラと毎日を過ごすひろし。母ちゃんとピョン吉が説教しても、「ど根性は、いざという時に出す」と屁理屈をこねて耳を貸さない。母ちゃんとケンカになったひろしは、家を出ていくと言ってしまう。しかし、ひろしには金がなかった。ひろしは五郎に金を借りようとするが、相手にされない。ついにゴリライモのパンの移動販売車を奪って旅に出るが…")</f>
        <v>「ど根性で京子ちゃんと結婚する!」とみんなの前で宣言したが、結局何も変わらずダラダラと毎日を過ごすひろし。母ちゃんとピョン吉が説教しても、「ど根性は、いざという時に出す」と屁理屈をこねて耳を貸さない。母ちゃんとケンカになったひろしは、家を出ていくと言ってしまう。しかし、ひろしには金がなかった。ひろしは五郎に金を借りようとするが、相手にされない。ついにゴリライモのパンの移動販売車を奪って旅に出るが…</v>
      </c>
      <c r="O3794" s="2"/>
      <c r="P3794" s="1"/>
      <c r="Q3794" s="1"/>
      <c r="R3794" s="1"/>
      <c r="S3794" s="1"/>
      <c r="T3794" s="1"/>
      <c r="U3794" s="1"/>
      <c r="V3794" s="1"/>
      <c r="W3794" s="1"/>
      <c r="X3794" s="1"/>
      <c r="Y3794" s="1"/>
      <c r="Z3794" s="1"/>
      <c r="AA3794" s="1"/>
      <c r="AB3794" s="1"/>
      <c r="AC3794" s="1"/>
      <c r="AD3794" s="1"/>
      <c r="AE3794" s="1"/>
      <c r="AF3794" s="1"/>
      <c r="AG3794" s="1"/>
      <c r="AH3794" s="1"/>
      <c r="AI3794" s="1"/>
      <c r="AJ3794" s="1"/>
      <c r="AK3794" s="1"/>
      <c r="AL3794" s="1"/>
      <c r="AM3794" s="1"/>
      <c r="AN3794" s="1"/>
      <c r="AO3794" s="1"/>
      <c r="AP3794" s="1"/>
      <c r="AQ3794" s="1"/>
      <c r="AR3794" s="1"/>
      <c r="AS3794" s="1"/>
      <c r="AT3794" s="1"/>
      <c r="AU3794" s="1"/>
      <c r="AV3794" s="1"/>
      <c r="AW3794" s="1"/>
      <c r="AX3794" s="1"/>
      <c r="AY3794" s="1"/>
      <c r="AZ3794" s="1"/>
      <c r="BA3794" s="1"/>
      <c r="BB3794" s="1"/>
    </row>
    <row r="3795" ht="204.75" customHeight="1">
      <c r="A3795" s="1">
        <v>2104.0</v>
      </c>
      <c r="B3795" s="2" t="s">
        <v>11445</v>
      </c>
      <c r="C3795" s="2">
        <f>IFERROR(__xludf.DUMMYFUNCTION("split(B3795,""_"")"),1507.0)</f>
        <v>1507</v>
      </c>
      <c r="D3795" s="2" t="str">
        <f>IFERROR(__xludf.DUMMYFUNCTION("""COMPUTED_VALUE"""),"NTV")</f>
        <v>NTV</v>
      </c>
      <c r="E3795" s="2" t="str">
        <f>IFERROR(__xludf.DUMMYFUNCTION("""COMPUTED_VALUE"""),"土21")</f>
        <v>土21</v>
      </c>
      <c r="F3795" s="2" t="s">
        <v>11446</v>
      </c>
      <c r="G3795" s="2" t="s">
        <v>11453</v>
      </c>
      <c r="H3795" s="1">
        <v>3.0</v>
      </c>
      <c r="I3795" s="1" t="s">
        <v>2876</v>
      </c>
      <c r="J3795" s="1" t="s">
        <v>11</v>
      </c>
      <c r="K3795" s="2" t="s">
        <v>11454</v>
      </c>
      <c r="L3795" s="11" t="s">
        <v>11455</v>
      </c>
      <c r="M3795" s="2" t="str">
        <f>IFERROR(__xludf.DUMMYFUNCTION("split(split(K3795,""【演出"",false),""ほか"",false)"),"松山ケンイチ、満島ひかり、前田敦子、勝地涼、光石研、でんでん、白羽ゆり、新井浩文、白石加代子、薬師丸ひろ子　")</f>
        <v>松山ケンイチ、満島ひかり、前田敦子、勝地涼、光石研、でんでん、白羽ゆり、新井浩文、白石加代子、薬師丸ひろ子　</v>
      </c>
      <c r="N3795" s="2" t="str">
        <f>IFERROR(__xludf.DUMMYFUNCTION("""COMPUTED_VALUE"""),"ゴリラパン工場で働き始めたひろし(松山ケンイチ)は仕事が上手くいかずクサリ気味。さらに深夜の工場に忍び込み警察に連行されてしまう。ピョン吉(満島ひかり)は仕事を手伝うと言うが、ひろしは助けてもらって仕事をするわけにはいかないと断る。一方ゴリライモは必死に働いて自分を育ててくれた両親への感謝に目覚め、まじめな人間が幸福になれる社会を作りたいと語る。ひろしは、自分が何のために働くのか分からなくなり…。")</f>
        <v>ゴリラパン工場で働き始めたひろし(松山ケンイチ)は仕事が上手くいかずクサリ気味。さらに深夜の工場に忍び込み警察に連行されてしまう。ピョン吉(満島ひかり)は仕事を手伝うと言うが、ひろしは助けてもらって仕事をするわけにはいかないと断る。一方ゴリライモは必死に働いて自分を育ててくれた両親への感謝に目覚め、まじめな人間が幸福になれる社会を作りたいと語る。ひろしは、自分が何のために働くのか分からなくなり…。</v>
      </c>
      <c r="O3795" s="2"/>
      <c r="P3795" s="1"/>
      <c r="Q3795" s="1"/>
      <c r="R3795" s="1"/>
      <c r="S3795" s="1"/>
      <c r="T3795" s="1"/>
      <c r="U3795" s="1"/>
      <c r="V3795" s="1"/>
      <c r="W3795" s="1"/>
      <c r="X3795" s="1"/>
      <c r="Y3795" s="1"/>
      <c r="Z3795" s="1"/>
      <c r="AA3795" s="1"/>
      <c r="AB3795" s="1"/>
      <c r="AC3795" s="1"/>
      <c r="AD3795" s="1"/>
      <c r="AE3795" s="1"/>
      <c r="AF3795" s="1"/>
      <c r="AG3795" s="1"/>
      <c r="AH3795" s="1"/>
      <c r="AI3795" s="1"/>
      <c r="AJ3795" s="1"/>
      <c r="AK3795" s="1"/>
      <c r="AL3795" s="1"/>
      <c r="AM3795" s="1"/>
      <c r="AN3795" s="1"/>
      <c r="AO3795" s="1"/>
      <c r="AP3795" s="1"/>
      <c r="AQ3795" s="1"/>
      <c r="AR3795" s="1"/>
      <c r="AS3795" s="1"/>
      <c r="AT3795" s="1"/>
      <c r="AU3795" s="1"/>
      <c r="AV3795" s="1"/>
      <c r="AW3795" s="1"/>
      <c r="AX3795" s="1"/>
      <c r="AY3795" s="1"/>
      <c r="AZ3795" s="1"/>
      <c r="BA3795" s="1"/>
      <c r="BB3795" s="1"/>
    </row>
    <row r="3796" ht="204.75" customHeight="1">
      <c r="A3796" s="1">
        <v>2105.0</v>
      </c>
      <c r="B3796" s="2" t="s">
        <v>11445</v>
      </c>
      <c r="C3796" s="2">
        <f>IFERROR(__xludf.DUMMYFUNCTION("split(B3796,""_"")"),1507.0)</f>
        <v>1507</v>
      </c>
      <c r="D3796" s="2" t="str">
        <f>IFERROR(__xludf.DUMMYFUNCTION("""COMPUTED_VALUE"""),"NTV")</f>
        <v>NTV</v>
      </c>
      <c r="E3796" s="2" t="str">
        <f>IFERROR(__xludf.DUMMYFUNCTION("""COMPUTED_VALUE"""),"土21")</f>
        <v>土21</v>
      </c>
      <c r="F3796" s="2" t="s">
        <v>11446</v>
      </c>
      <c r="G3796" s="2" t="s">
        <v>11456</v>
      </c>
      <c r="H3796" s="1">
        <v>4.0</v>
      </c>
      <c r="I3796" s="1" t="s">
        <v>2880</v>
      </c>
      <c r="J3796" s="1" t="s">
        <v>11</v>
      </c>
      <c r="K3796" s="2" t="s">
        <v>11457</v>
      </c>
      <c r="L3796" s="11" t="s">
        <v>11458</v>
      </c>
      <c r="M3796" s="2" t="str">
        <f>IFERROR(__xludf.DUMMYFUNCTION("split(split(K3796,""【演出"",false),""ほか"",false)"),"松山ケンイチ、満島ひかり、前田敦子、勝地涼、光石研、でんでん、白羽ゆり、新井浩文、白石加代子、薬師丸ひろ子　")</f>
        <v>松山ケンイチ、満島ひかり、前田敦子、勝地涼、光石研、でんでん、白羽ゆり、新井浩文、白石加代子、薬師丸ひろ子　</v>
      </c>
      <c r="N3796" s="2" t="str">
        <f>IFERROR(__xludf.DUMMYFUNCTION("""COMPUTED_VALUE"""),"夏の花火大会が近付き、ひろし(松山ケンイチ)は京子ちゃん(前田敦子)と一緒に花火を見ようと気分揚々。ピョン吉(満島ひかり)もひろしに花火大会へ連れて行ってもらおうと楽しみにしていた。そんな中、ひろしは、サングラスをひったくりに奪われる。意気消沈なひろし。実はひろしのサングラスにはある秘密があった・・・。そんな中、中学時代、ゴリライモ(新井浩文)の子分だったモグラ(柄本時生)と再会するのだが・・・。")</f>
        <v>夏の花火大会が近付き、ひろし(松山ケンイチ)は京子ちゃん(前田敦子)と一緒に花火を見ようと気分揚々。ピョン吉(満島ひかり)もひろしに花火大会へ連れて行ってもらおうと楽しみにしていた。そんな中、ひろしは、サングラスをひったくりに奪われる。意気消沈なひろし。実はひろしのサングラスにはある秘密があった・・・。そんな中、中学時代、ゴリライモ(新井浩文)の子分だったモグラ(柄本時生)と再会するのだが・・・。</v>
      </c>
      <c r="O3796" s="2"/>
      <c r="P3796" s="1"/>
      <c r="Q3796" s="1"/>
      <c r="R3796" s="1"/>
      <c r="S3796" s="1"/>
      <c r="T3796" s="1"/>
      <c r="U3796" s="1"/>
      <c r="V3796" s="1"/>
      <c r="W3796" s="1"/>
      <c r="X3796" s="1"/>
      <c r="Y3796" s="1"/>
      <c r="Z3796" s="1"/>
      <c r="AA3796" s="1"/>
      <c r="AB3796" s="1"/>
      <c r="AC3796" s="1"/>
      <c r="AD3796" s="1"/>
      <c r="AE3796" s="1"/>
      <c r="AF3796" s="1"/>
      <c r="AG3796" s="1"/>
      <c r="AH3796" s="1"/>
      <c r="AI3796" s="1"/>
      <c r="AJ3796" s="1"/>
      <c r="AK3796" s="1"/>
      <c r="AL3796" s="1"/>
      <c r="AM3796" s="1"/>
      <c r="AN3796" s="1"/>
      <c r="AO3796" s="1"/>
      <c r="AP3796" s="1"/>
      <c r="AQ3796" s="1"/>
      <c r="AR3796" s="1"/>
      <c r="AS3796" s="1"/>
      <c r="AT3796" s="1"/>
      <c r="AU3796" s="1"/>
      <c r="AV3796" s="1"/>
      <c r="AW3796" s="1"/>
      <c r="AX3796" s="1"/>
      <c r="AY3796" s="1"/>
      <c r="AZ3796" s="1"/>
      <c r="BA3796" s="1"/>
      <c r="BB3796" s="1"/>
    </row>
    <row r="3797" ht="204.75" customHeight="1">
      <c r="A3797" s="1">
        <v>2106.0</v>
      </c>
      <c r="B3797" s="2" t="s">
        <v>11445</v>
      </c>
      <c r="C3797" s="2">
        <f>IFERROR(__xludf.DUMMYFUNCTION("split(B3797,""_"")"),1507.0)</f>
        <v>1507</v>
      </c>
      <c r="D3797" s="2" t="str">
        <f>IFERROR(__xludf.DUMMYFUNCTION("""COMPUTED_VALUE"""),"NTV")</f>
        <v>NTV</v>
      </c>
      <c r="E3797" s="2" t="str">
        <f>IFERROR(__xludf.DUMMYFUNCTION("""COMPUTED_VALUE"""),"土21")</f>
        <v>土21</v>
      </c>
      <c r="F3797" s="2" t="s">
        <v>11446</v>
      </c>
      <c r="G3797" s="2" t="s">
        <v>11459</v>
      </c>
      <c r="H3797" s="1">
        <v>5.0</v>
      </c>
      <c r="I3797" s="1" t="s">
        <v>2884</v>
      </c>
      <c r="J3797" s="1" t="s">
        <v>11</v>
      </c>
      <c r="K3797" s="2" t="s">
        <v>11460</v>
      </c>
      <c r="L3797" s="11" t="s">
        <v>11461</v>
      </c>
      <c r="M3797" s="2" t="str">
        <f>IFERROR(__xludf.DUMMYFUNCTION("split(split(K3797,""【演出"",false),""ほか"",false)"),"松山ケンイチ、満島ひかり、前田敦子、勝地涼、光石研、でんでん、白羽ゆり、新井浩文、白石加代子、薬師丸ひろ子　")</f>
        <v>松山ケンイチ、満島ひかり、前田敦子、勝地涼、光石研、でんでん、白羽ゆり、新井浩文、白石加代子、薬師丸ひろ子　</v>
      </c>
      <c r="N3797" s="2" t="str">
        <f>IFERROR(__xludf.DUMMYFUNCTION("""COMPUTED_VALUE"""),"ゴリラパンが創立記念日を迎え、ゴリライモ(新井浩文)は、社員の誰かを一日社長にするという毎年の恒例行事を行う。ひろし(松山ケンイチ)が、まさかの一日社長になる。その頃、五郎(勝地涼)が、ピョン吉のTシャツを着ていた。具合が悪いのを隠そうとするピョン吉だったが、五郎はピョン吉の異変に気付く。一方、ひろしは、5000個のゴリラパンの急発注を受け、張り切るが…。")</f>
        <v>ゴリラパンが創立記念日を迎え、ゴリライモ(新井浩文)は、社員の誰かを一日社長にするという毎年の恒例行事を行う。ひろし(松山ケンイチ)が、まさかの一日社長になる。その頃、五郎(勝地涼)が、ピョン吉のTシャツを着ていた。具合が悪いのを隠そうとするピョン吉だったが、五郎はピョン吉の異変に気付く。一方、ひろしは、5000個のゴリラパンの急発注を受け、張り切るが…。</v>
      </c>
      <c r="O3797" s="2"/>
      <c r="P3797" s="1"/>
      <c r="Q3797" s="1"/>
      <c r="R3797" s="1"/>
      <c r="S3797" s="1"/>
      <c r="T3797" s="1"/>
      <c r="U3797" s="1"/>
      <c r="V3797" s="1"/>
      <c r="W3797" s="1"/>
      <c r="X3797" s="1"/>
      <c r="Y3797" s="1"/>
      <c r="Z3797" s="1"/>
      <c r="AA3797" s="1"/>
      <c r="AB3797" s="1"/>
      <c r="AC3797" s="1"/>
      <c r="AD3797" s="1"/>
      <c r="AE3797" s="1"/>
      <c r="AF3797" s="1"/>
      <c r="AG3797" s="1"/>
      <c r="AH3797" s="1"/>
      <c r="AI3797" s="1"/>
      <c r="AJ3797" s="1"/>
      <c r="AK3797" s="1"/>
      <c r="AL3797" s="1"/>
      <c r="AM3797" s="1"/>
      <c r="AN3797" s="1"/>
      <c r="AO3797" s="1"/>
      <c r="AP3797" s="1"/>
      <c r="AQ3797" s="1"/>
      <c r="AR3797" s="1"/>
      <c r="AS3797" s="1"/>
      <c r="AT3797" s="1"/>
      <c r="AU3797" s="1"/>
      <c r="AV3797" s="1"/>
      <c r="AW3797" s="1"/>
      <c r="AX3797" s="1"/>
      <c r="AY3797" s="1"/>
      <c r="AZ3797" s="1"/>
      <c r="BA3797" s="1"/>
      <c r="BB3797" s="1"/>
    </row>
    <row r="3798" ht="204.75" customHeight="1">
      <c r="A3798" s="1">
        <v>2107.0</v>
      </c>
      <c r="B3798" s="2" t="s">
        <v>11445</v>
      </c>
      <c r="C3798" s="2">
        <f>IFERROR(__xludf.DUMMYFUNCTION("split(B3798,""_"")"),1507.0)</f>
        <v>1507</v>
      </c>
      <c r="D3798" s="2" t="str">
        <f>IFERROR(__xludf.DUMMYFUNCTION("""COMPUTED_VALUE"""),"NTV")</f>
        <v>NTV</v>
      </c>
      <c r="E3798" s="2" t="str">
        <f>IFERROR(__xludf.DUMMYFUNCTION("""COMPUTED_VALUE"""),"土21")</f>
        <v>土21</v>
      </c>
      <c r="F3798" s="2" t="s">
        <v>11446</v>
      </c>
      <c r="G3798" s="2" t="s">
        <v>11462</v>
      </c>
      <c r="H3798" s="1">
        <v>6.0</v>
      </c>
      <c r="I3798" s="1" t="s">
        <v>2888</v>
      </c>
      <c r="J3798" s="1" t="s">
        <v>11</v>
      </c>
      <c r="K3798" s="2" t="s">
        <v>11463</v>
      </c>
      <c r="L3798" s="11" t="s">
        <v>11464</v>
      </c>
      <c r="M3798" s="2" t="str">
        <f>IFERROR(__xludf.DUMMYFUNCTION("split(split(K3798,""【演出"",false),""ほか"",false)"),"松山ケンイチ、満島ひかり、前田敦子、勝地涼、光石研、でんでん、白羽ゆり、新井浩文、白石加代子、薬師丸ひろ子　")</f>
        <v>松山ケンイチ、満島ひかり、前田敦子、勝地涼、光石研、でんでん、白羽ゆり、新井浩文、白石加代子、薬師丸ひろ子　</v>
      </c>
      <c r="N3798" s="2" t="str">
        <f>IFERROR(__xludf.DUMMYFUNCTION("""COMPUTED_VALUE"""),"不発弾が発見され処理されることに。皆の家が避難区域に指定されたため、ひろし(松山ケンイチ)の家に大集合。そんな中、ピョン吉が不発弾を見たいと言い出して…。  一方、ひろしはゴリライモ(新井浩文)から、立候補を表明する選挙公示日に応援演説をしてくれと頼まれる。ゴリライモに「本当の俺を語ってほしい」と言われて引き受けたものの、何を語ればいいのか分からず悩むひろし。そして当日、ひろしに異変が起こる…。")</f>
        <v>不発弾が発見され処理されることに。皆の家が避難区域に指定されたため、ひろし(松山ケンイチ)の家に大集合。そんな中、ピョン吉が不発弾を見たいと言い出して…。  一方、ひろしはゴリライモ(新井浩文)から、立候補を表明する選挙公示日に応援演説をしてくれと頼まれる。ゴリライモに「本当の俺を語ってほしい」と言われて引き受けたものの、何を語ればいいのか分からず悩むひろし。そして当日、ひろしに異変が起こる…。</v>
      </c>
      <c r="O3798" s="2"/>
      <c r="P3798" s="1"/>
      <c r="Q3798" s="1"/>
      <c r="R3798" s="1"/>
      <c r="S3798" s="1"/>
      <c r="T3798" s="1"/>
      <c r="U3798" s="1"/>
      <c r="V3798" s="1"/>
      <c r="W3798" s="1"/>
      <c r="X3798" s="1"/>
      <c r="Y3798" s="1"/>
      <c r="Z3798" s="1"/>
      <c r="AA3798" s="1"/>
      <c r="AB3798" s="1"/>
      <c r="AC3798" s="1"/>
      <c r="AD3798" s="1"/>
      <c r="AE3798" s="1"/>
      <c r="AF3798" s="1"/>
      <c r="AG3798" s="1"/>
      <c r="AH3798" s="1"/>
      <c r="AI3798" s="1"/>
      <c r="AJ3798" s="1"/>
      <c r="AK3798" s="1"/>
      <c r="AL3798" s="1"/>
      <c r="AM3798" s="1"/>
      <c r="AN3798" s="1"/>
      <c r="AO3798" s="1"/>
      <c r="AP3798" s="1"/>
      <c r="AQ3798" s="1"/>
      <c r="AR3798" s="1"/>
      <c r="AS3798" s="1"/>
      <c r="AT3798" s="1"/>
      <c r="AU3798" s="1"/>
      <c r="AV3798" s="1"/>
      <c r="AW3798" s="1"/>
      <c r="AX3798" s="1"/>
      <c r="AY3798" s="1"/>
      <c r="AZ3798" s="1"/>
      <c r="BA3798" s="1"/>
      <c r="BB3798" s="1"/>
    </row>
    <row r="3799" ht="204.75" customHeight="1">
      <c r="A3799" s="1">
        <v>2108.0</v>
      </c>
      <c r="B3799" s="2" t="s">
        <v>11445</v>
      </c>
      <c r="C3799" s="2">
        <f>IFERROR(__xludf.DUMMYFUNCTION("split(B3799,""_"")"),1507.0)</f>
        <v>1507</v>
      </c>
      <c r="D3799" s="2" t="str">
        <f>IFERROR(__xludf.DUMMYFUNCTION("""COMPUTED_VALUE"""),"NTV")</f>
        <v>NTV</v>
      </c>
      <c r="E3799" s="2" t="str">
        <f>IFERROR(__xludf.DUMMYFUNCTION("""COMPUTED_VALUE"""),"土21")</f>
        <v>土21</v>
      </c>
      <c r="F3799" s="2" t="s">
        <v>11446</v>
      </c>
      <c r="G3799" s="2" t="s">
        <v>11465</v>
      </c>
      <c r="H3799" s="1">
        <v>7.0</v>
      </c>
      <c r="I3799" s="1" t="s">
        <v>2892</v>
      </c>
      <c r="J3799" s="1" t="s">
        <v>11</v>
      </c>
      <c r="K3799" s="2" t="s">
        <v>11466</v>
      </c>
      <c r="L3799" s="11" t="s">
        <v>11467</v>
      </c>
      <c r="M3799" s="2" t="str">
        <f>IFERROR(__xludf.DUMMYFUNCTION("split(split(K3799,""【演出"",false),""ほか"",false)"),"松山ケンイチ、満島ひかり、前田敦子、勝地涼、光石研、でんでん、白羽ゆり、新井浩文、白石加代子、薬師丸ひろ子　")</f>
        <v>松山ケンイチ、満島ひかり、前田敦子、勝地涼、光石研、でんでん、白羽ゆり、新井浩文、白石加代子、薬師丸ひろ子　</v>
      </c>
      <c r="N3799" s="2" t="str">
        <f>IFERROR(__xludf.DUMMYFUNCTION("""COMPUTED_VALUE"""),"ピョン吉(満島ひかり)の寿命が近づいていることを知ったひろし(松山ケンイチ)。ひろしはピョン吉を助けるために奔走するが上手くいかない。さらにピョン吉とひろしを物陰から見つめる何者かが。それはカエルの仲間たちで…。そして遂にひろしとピョン吉にさよならの時がやってくる…。")</f>
        <v>ピョン吉(満島ひかり)の寿命が近づいていることを知ったひろし(松山ケンイチ)。ひろしはピョン吉を助けるために奔走するが上手くいかない。さらにピョン吉とひろしを物陰から見つめる何者かが。それはカエルの仲間たちで…。そして遂にひろしとピョン吉にさよならの時がやってくる…。</v>
      </c>
      <c r="O3799" s="2"/>
      <c r="P3799" s="1"/>
      <c r="Q3799" s="1"/>
      <c r="R3799" s="1"/>
      <c r="S3799" s="1"/>
      <c r="T3799" s="1"/>
      <c r="U3799" s="1"/>
      <c r="V3799" s="1"/>
      <c r="W3799" s="1"/>
      <c r="X3799" s="1"/>
      <c r="Y3799" s="1"/>
      <c r="Z3799" s="1"/>
      <c r="AA3799" s="1"/>
      <c r="AB3799" s="1"/>
      <c r="AC3799" s="1"/>
      <c r="AD3799" s="1"/>
      <c r="AE3799" s="1"/>
      <c r="AF3799" s="1"/>
      <c r="AG3799" s="1"/>
      <c r="AH3799" s="1"/>
      <c r="AI3799" s="1"/>
      <c r="AJ3799" s="1"/>
      <c r="AK3799" s="1"/>
      <c r="AL3799" s="1"/>
      <c r="AM3799" s="1"/>
      <c r="AN3799" s="1"/>
      <c r="AO3799" s="1"/>
      <c r="AP3799" s="1"/>
      <c r="AQ3799" s="1"/>
      <c r="AR3799" s="1"/>
      <c r="AS3799" s="1"/>
      <c r="AT3799" s="1"/>
      <c r="AU3799" s="1"/>
      <c r="AV3799" s="1"/>
      <c r="AW3799" s="1"/>
      <c r="AX3799" s="1"/>
      <c r="AY3799" s="1"/>
      <c r="AZ3799" s="1"/>
      <c r="BA3799" s="1"/>
      <c r="BB3799" s="1"/>
    </row>
    <row r="3800" ht="204.75" customHeight="1">
      <c r="A3800" s="1">
        <v>2109.0</v>
      </c>
      <c r="B3800" s="2" t="s">
        <v>11445</v>
      </c>
      <c r="C3800" s="2">
        <f>IFERROR(__xludf.DUMMYFUNCTION("split(B3800,""_"")"),1507.0)</f>
        <v>1507</v>
      </c>
      <c r="D3800" s="2" t="str">
        <f>IFERROR(__xludf.DUMMYFUNCTION("""COMPUTED_VALUE"""),"NTV")</f>
        <v>NTV</v>
      </c>
      <c r="E3800" s="2" t="str">
        <f>IFERROR(__xludf.DUMMYFUNCTION("""COMPUTED_VALUE"""),"土21")</f>
        <v>土21</v>
      </c>
      <c r="F3800" s="2" t="s">
        <v>11446</v>
      </c>
      <c r="G3800" s="2" t="s">
        <v>11468</v>
      </c>
      <c r="H3800" s="1">
        <v>8.0</v>
      </c>
      <c r="I3800" s="1" t="s">
        <v>2896</v>
      </c>
      <c r="J3800" s="1" t="s">
        <v>11</v>
      </c>
      <c r="K3800" s="2" t="s">
        <v>11469</v>
      </c>
      <c r="L3800" s="11" t="s">
        <v>11470</v>
      </c>
      <c r="M3800" s="2" t="str">
        <f>IFERROR(__xludf.DUMMYFUNCTION("split(split(K3800,""【演出"",false),""ほか"",false)"),"松山ケンイチ、満島ひかり、前田敦子、勝地涼、光石研、でんでん、白羽ゆり、新井浩文、白石加代子、薬師丸ひろ子　")</f>
        <v>松山ケンイチ、満島ひかり、前田敦子、勝地涼、光石研、でんでん、白羽ゆり、新井浩文、白石加代子、薬師丸ひろ子　</v>
      </c>
      <c r="N3800" s="2" t="str">
        <f>IFERROR(__xludf.DUMMYFUNCTION("""COMPUTED_VALUE"""),"ゴリライモ(新井浩文)が皆の前で京子ちゃん(前田敦子)に「当選したら結婚してほしい」と公開プロポーズ。焦るひろし(松山ケンイチ)。そして投票日がやってくる。16年間の三角関係に終止符が打たれるか!?一方、シャツから剥がれかかり、寿命が近づいているかのようなピョン吉(満島ひかり)。それがいよいよ酷くなってきてしまう…。")</f>
        <v>ゴリライモ(新井浩文)が皆の前で京子ちゃん(前田敦子)に「当選したら結婚してほしい」と公開プロポーズ。焦るひろし(松山ケンイチ)。そして投票日がやってくる。16年間の三角関係に終止符が打たれるか!?一方、シャツから剥がれかかり、寿命が近づいているかのようなピョン吉(満島ひかり)。それがいよいよ酷くなってきてしまう…。</v>
      </c>
      <c r="O3800" s="2"/>
      <c r="P3800" s="1"/>
      <c r="Q3800" s="1"/>
      <c r="R3800" s="1"/>
      <c r="S3800" s="1"/>
      <c r="T3800" s="1"/>
      <c r="U3800" s="1"/>
      <c r="V3800" s="1"/>
      <c r="W3800" s="1"/>
      <c r="X3800" s="1"/>
      <c r="Y3800" s="1"/>
      <c r="Z3800" s="1"/>
      <c r="AA3800" s="1"/>
      <c r="AB3800" s="1"/>
      <c r="AC3800" s="1"/>
      <c r="AD3800" s="1"/>
      <c r="AE3800" s="1"/>
      <c r="AF3800" s="1"/>
      <c r="AG3800" s="1"/>
      <c r="AH3800" s="1"/>
      <c r="AI3800" s="1"/>
      <c r="AJ3800" s="1"/>
      <c r="AK3800" s="1"/>
      <c r="AL3800" s="1"/>
      <c r="AM3800" s="1"/>
      <c r="AN3800" s="1"/>
      <c r="AO3800" s="1"/>
      <c r="AP3800" s="1"/>
      <c r="AQ3800" s="1"/>
      <c r="AR3800" s="1"/>
      <c r="AS3800" s="1"/>
      <c r="AT3800" s="1"/>
      <c r="AU3800" s="1"/>
      <c r="AV3800" s="1"/>
      <c r="AW3800" s="1"/>
      <c r="AX3800" s="1"/>
      <c r="AY3800" s="1"/>
      <c r="AZ3800" s="1"/>
      <c r="BA3800" s="1"/>
      <c r="BB3800" s="1"/>
    </row>
    <row r="3801" ht="204.75" customHeight="1">
      <c r="A3801" s="1">
        <v>2110.0</v>
      </c>
      <c r="B3801" s="2" t="s">
        <v>11445</v>
      </c>
      <c r="C3801" s="2">
        <f>IFERROR(__xludf.DUMMYFUNCTION("split(B3801,""_"")"),1507.0)</f>
        <v>1507</v>
      </c>
      <c r="D3801" s="2" t="str">
        <f>IFERROR(__xludf.DUMMYFUNCTION("""COMPUTED_VALUE"""),"NTV")</f>
        <v>NTV</v>
      </c>
      <c r="E3801" s="2" t="str">
        <f>IFERROR(__xludf.DUMMYFUNCTION("""COMPUTED_VALUE"""),"土21")</f>
        <v>土21</v>
      </c>
      <c r="F3801" s="2" t="s">
        <v>11446</v>
      </c>
      <c r="G3801" s="2" t="s">
        <v>11471</v>
      </c>
      <c r="H3801" s="1">
        <v>9.0</v>
      </c>
      <c r="I3801" s="1" t="s">
        <v>2900</v>
      </c>
      <c r="J3801" s="1" t="s">
        <v>11</v>
      </c>
      <c r="K3801" s="2" t="s">
        <v>11472</v>
      </c>
      <c r="L3801" s="11" t="s">
        <v>11473</v>
      </c>
      <c r="M3801" s="2" t="str">
        <f>IFERROR(__xludf.DUMMYFUNCTION("split(split(K3801,""【演出"",false),""ほか"",false)"),"松山ケンイチ、満島ひかり、前田敦子、勝地涼、光石研、でんでん、白羽ゆり、新井浩文、白石加代子、薬師丸ひろ子　")</f>
        <v>松山ケンイチ、満島ひかり、前田敦子、勝地涼、光石研、でんでん、白羽ゆり、新井浩文、白石加代子、薬師丸ひろ子　</v>
      </c>
      <c r="N3801" s="2" t="str">
        <f>IFERROR(__xludf.DUMMYFUNCTION("""COMPUTED_VALUE"""),"秋祭りの日に、今年の福男と福女を決めるレースが行われる。ひろし(松山ケンイチ)は練習に励む。そんな中、ゴリラパン工場では、ピョン吉の形をしたパンを新作商品として発売すると決定。それは、ひろしが出したアイデアだった。一方、ピョン吉はひろしを応援しようと、中学校のブラスバンド部に協力を頼む。お互いを大切に思うひろしとピョン吉。そんな中、ついにひろしとピョン吉に、お別れの時間がやってきてしまう…。")</f>
        <v>秋祭りの日に、今年の福男と福女を決めるレースが行われる。ひろし(松山ケンイチ)は練習に励む。そんな中、ゴリラパン工場では、ピョン吉の形をしたパンを新作商品として発売すると決定。それは、ひろしが出したアイデアだった。一方、ピョン吉はひろしを応援しようと、中学校のブラスバンド部に協力を頼む。お互いを大切に思うひろしとピョン吉。そんな中、ついにひろしとピョン吉に、お別れの時間がやってきてしまう…。</v>
      </c>
      <c r="O3801" s="2"/>
      <c r="P3801" s="1"/>
      <c r="Q3801" s="1"/>
      <c r="R3801" s="1"/>
      <c r="S3801" s="1"/>
      <c r="T3801" s="1"/>
      <c r="U3801" s="1"/>
      <c r="V3801" s="1"/>
      <c r="W3801" s="1"/>
      <c r="X3801" s="1"/>
      <c r="Y3801" s="1"/>
      <c r="Z3801" s="1"/>
      <c r="AA3801" s="1"/>
      <c r="AB3801" s="1"/>
      <c r="AC3801" s="1"/>
      <c r="AD3801" s="1"/>
      <c r="AE3801" s="1"/>
      <c r="AF3801" s="1"/>
      <c r="AG3801" s="1"/>
      <c r="AH3801" s="1"/>
      <c r="AI3801" s="1"/>
      <c r="AJ3801" s="1"/>
      <c r="AK3801" s="1"/>
      <c r="AL3801" s="1"/>
      <c r="AM3801" s="1"/>
      <c r="AN3801" s="1"/>
      <c r="AO3801" s="1"/>
      <c r="AP3801" s="1"/>
      <c r="AQ3801" s="1"/>
      <c r="AR3801" s="1"/>
      <c r="AS3801" s="1"/>
      <c r="AT3801" s="1"/>
      <c r="AU3801" s="1"/>
      <c r="AV3801" s="1"/>
      <c r="AW3801" s="1"/>
      <c r="AX3801" s="1"/>
      <c r="AY3801" s="1"/>
      <c r="AZ3801" s="1"/>
      <c r="BA3801" s="1"/>
      <c r="BB3801" s="1"/>
    </row>
    <row r="3802" ht="204.75" customHeight="1">
      <c r="A3802" s="1">
        <v>2111.0</v>
      </c>
      <c r="B3802" s="2" t="s">
        <v>11445</v>
      </c>
      <c r="C3802" s="2">
        <f>IFERROR(__xludf.DUMMYFUNCTION("split(B3802,""_"")"),1507.0)</f>
        <v>1507</v>
      </c>
      <c r="D3802" s="2" t="str">
        <f>IFERROR(__xludf.DUMMYFUNCTION("""COMPUTED_VALUE"""),"NTV")</f>
        <v>NTV</v>
      </c>
      <c r="E3802" s="2" t="str">
        <f>IFERROR(__xludf.DUMMYFUNCTION("""COMPUTED_VALUE"""),"土21")</f>
        <v>土21</v>
      </c>
      <c r="F3802" s="2" t="s">
        <v>11446</v>
      </c>
      <c r="G3802" s="2" t="s">
        <v>11474</v>
      </c>
      <c r="H3802" s="1">
        <v>10.0</v>
      </c>
      <c r="I3802" s="1" t="s">
        <v>37</v>
      </c>
      <c r="J3802" s="1" t="s">
        <v>11</v>
      </c>
      <c r="K3802" s="2" t="s">
        <v>11475</v>
      </c>
      <c r="L3802" s="11" t="s">
        <v>11476</v>
      </c>
      <c r="M3802" s="2" t="str">
        <f>IFERROR(__xludf.DUMMYFUNCTION("split(split(K3802,""【演出"",false),""ほか"",false)"),"松山ケンイチ、満島ひかり、前田敦子、勝地涼、光石研、でんでん、白羽ゆり、新井浩文、白石加代子、薬師丸ひろ子　")</f>
        <v>松山ケンイチ、満島ひかり、前田敦子、勝地涼、光石研、でんでん、白羽ゆり、新井浩文、白石加代子、薬師丸ひろ子　</v>
      </c>
      <c r="N3802" s="2" t="str">
        <f>IFERROR(__xludf.DUMMYFUNCTION("""COMPUTED_VALUE"""),"ピョン吉はいなくなった…。町では、いろんな家から少しだけ食べ物が盗まれるという不思議な事件が続発。もしかして犯人はピョン吉??どこかで生きている???一方、ひろし(松山ケンイチ)は、自分とそっくりな男と出会う…。さらにその男はなぜかピョン吉がいなくなったTシャツを着ていて???笑と涙と驚きの、感動の最終回!")</f>
        <v>ピョン吉はいなくなった…。町では、いろんな家から少しだけ食べ物が盗まれるという不思議な事件が続発。もしかして犯人はピョン吉??どこかで生きている???一方、ひろし(松山ケンイチ)は、自分とそっくりな男と出会う…。さらにその男はなぜかピョン吉がいなくなったTシャツを着ていて???笑と涙と驚きの、感動の最終回!</v>
      </c>
      <c r="O3802" s="2"/>
      <c r="P3802" s="1"/>
      <c r="Q3802" s="1"/>
      <c r="R3802" s="1"/>
      <c r="S3802" s="1"/>
      <c r="T3802" s="1"/>
      <c r="U3802" s="1"/>
      <c r="V3802" s="1"/>
      <c r="W3802" s="1"/>
      <c r="X3802" s="1"/>
      <c r="Y3802" s="1"/>
      <c r="Z3802" s="1"/>
      <c r="AA3802" s="1"/>
      <c r="AB3802" s="1"/>
      <c r="AC3802" s="1"/>
      <c r="AD3802" s="1"/>
      <c r="AE3802" s="1"/>
      <c r="AF3802" s="1"/>
      <c r="AG3802" s="1"/>
      <c r="AH3802" s="1"/>
      <c r="AI3802" s="1"/>
      <c r="AJ3802" s="1"/>
      <c r="AK3802" s="1"/>
      <c r="AL3802" s="1"/>
      <c r="AM3802" s="1"/>
      <c r="AN3802" s="1"/>
      <c r="AO3802" s="1"/>
      <c r="AP3802" s="1"/>
      <c r="AQ3802" s="1"/>
      <c r="AR3802" s="1"/>
      <c r="AS3802" s="1"/>
      <c r="AT3802" s="1"/>
      <c r="AU3802" s="1"/>
      <c r="AV3802" s="1"/>
      <c r="AW3802" s="1"/>
      <c r="AX3802" s="1"/>
      <c r="AY3802" s="1"/>
      <c r="AZ3802" s="1"/>
      <c r="BA3802" s="1"/>
      <c r="BB3802" s="1"/>
    </row>
    <row r="3803" ht="204.75" customHeight="1">
      <c r="A3803" s="1">
        <v>2119.0</v>
      </c>
      <c r="B3803" s="2" t="s">
        <v>11477</v>
      </c>
      <c r="C3803" s="2">
        <f>IFERROR(__xludf.DUMMYFUNCTION("split(B3803,""_"")"),1507.0)</f>
        <v>1507</v>
      </c>
      <c r="D3803" s="2" t="str">
        <f>IFERROR(__xludf.DUMMYFUNCTION("""COMPUTED_VALUE"""),"NTV")</f>
        <v>NTV</v>
      </c>
      <c r="E3803" s="2" t="str">
        <f>IFERROR(__xludf.DUMMYFUNCTION("""COMPUTED_VALUE"""),"日22")</f>
        <v>日22</v>
      </c>
      <c r="F3803" s="2" t="s">
        <v>11478</v>
      </c>
      <c r="G3803" s="2" t="s">
        <v>11479</v>
      </c>
      <c r="H3803" s="1">
        <v>1.0</v>
      </c>
      <c r="I3803" s="1" t="s">
        <v>2868</v>
      </c>
      <c r="J3803" s="1" t="s">
        <v>82</v>
      </c>
      <c r="K3803" s="2" t="s">
        <v>11480</v>
      </c>
      <c r="L3803" s="10" t="s">
        <v>11481</v>
      </c>
      <c r="M3803" s="2" t="str">
        <f>IFERROR(__xludf.DUMMYFUNCTION("split(split(K3803,""【演出"",false),""ほか"",false)"),"窪田正孝、山崎賢人、優希美青  佐野ひなこ、藤原令子、関めぐみ、前田公輝、弓削智久、  忍成修吾、半海一晃、佐藤二朗、松重豊大学生の月(窪田正孝)は、ある日、名前を書かれた人間は死ぬという「デスノート」を手に入れた。ノートの力で警察に勤める父・総一郎(松重豊)の絶体絶命の危機を救った月は、その後、死神・リュークと共に凶悪犯を次々に殺害。すると、ネット上で“キラ”として賞賛されるようになる。しかしそんな時、キラに関する事件を捜査するために天才探偵のL(山崎賢人)が来日する。月とL、二人の熱き頭脳バトルが幕を"&amp;"開ける…")</f>
        <v>窪田正孝、山崎賢人、優希美青  佐野ひなこ、藤原令子、関めぐみ、前田公輝、弓削智久、  忍成修吾、半海一晃、佐藤二朗、松重豊大学生の月(窪田正孝)は、ある日、名前を書かれた人間は死ぬという「デスノート」を手に入れた。ノートの力で警察に勤める父・総一郎(松重豊)の絶体絶命の危機を救った月は、その後、死神・リュークと共に凶悪犯を次々に殺害。すると、ネット上で“キラ”として賞賛されるようになる。しかしそんな時、キラに関する事件を捜査するために天才探偵のL(山崎賢人)が来日する。月とL、二人の熱き頭脳バトルが幕を開ける…</v>
      </c>
      <c r="N3803" s="2"/>
      <c r="O3803" s="2"/>
      <c r="P3803" s="1"/>
      <c r="Q3803" s="1"/>
      <c r="R3803" s="1"/>
      <c r="S3803" s="1"/>
      <c r="T3803" s="1"/>
      <c r="U3803" s="1"/>
      <c r="V3803" s="1"/>
      <c r="W3803" s="1"/>
      <c r="X3803" s="1"/>
      <c r="Y3803" s="1"/>
      <c r="Z3803" s="1"/>
      <c r="AA3803" s="1"/>
      <c r="AB3803" s="1"/>
      <c r="AC3803" s="1"/>
      <c r="AD3803" s="1"/>
      <c r="AE3803" s="1"/>
      <c r="AF3803" s="1"/>
      <c r="AG3803" s="1"/>
      <c r="AH3803" s="1"/>
      <c r="AI3803" s="1"/>
      <c r="AJ3803" s="1"/>
      <c r="AK3803" s="1"/>
      <c r="AL3803" s="1"/>
      <c r="AM3803" s="1"/>
      <c r="AN3803" s="1"/>
      <c r="AO3803" s="1"/>
      <c r="AP3803" s="1"/>
      <c r="AQ3803" s="1"/>
      <c r="AR3803" s="1"/>
      <c r="AS3803" s="1"/>
      <c r="AT3803" s="1"/>
      <c r="AU3803" s="1"/>
      <c r="AV3803" s="1"/>
      <c r="AW3803" s="1"/>
      <c r="AX3803" s="1"/>
      <c r="AY3803" s="1"/>
      <c r="AZ3803" s="1"/>
      <c r="BA3803" s="1"/>
      <c r="BB3803" s="1"/>
    </row>
    <row r="3804" ht="204.75" customHeight="1">
      <c r="A3804" s="1">
        <v>2120.0</v>
      </c>
      <c r="B3804" s="2" t="s">
        <v>11477</v>
      </c>
      <c r="C3804" s="2">
        <f>IFERROR(__xludf.DUMMYFUNCTION("split(B3804,""_"")"),1507.0)</f>
        <v>1507</v>
      </c>
      <c r="D3804" s="2" t="str">
        <f>IFERROR(__xludf.DUMMYFUNCTION("""COMPUTED_VALUE"""),"NTV")</f>
        <v>NTV</v>
      </c>
      <c r="E3804" s="2" t="str">
        <f>IFERROR(__xludf.DUMMYFUNCTION("""COMPUTED_VALUE"""),"日22")</f>
        <v>日22</v>
      </c>
      <c r="F3804" s="2" t="s">
        <v>11478</v>
      </c>
      <c r="G3804" s="2" t="s">
        <v>11482</v>
      </c>
      <c r="H3804" s="1">
        <v>2.0</v>
      </c>
      <c r="I3804" s="1" t="s">
        <v>2872</v>
      </c>
      <c r="J3804" s="1" t="s">
        <v>82</v>
      </c>
      <c r="K3804" s="2" t="s">
        <v>11483</v>
      </c>
      <c r="L3804" s="10" t="s">
        <v>11484</v>
      </c>
      <c r="M3804" s="2" t="str">
        <f>IFERROR(__xludf.DUMMYFUNCTION("split(split(K3804,""【演出"",false),""ほか"",false)"),"窪田正孝、山崎賢人、優希美青  佐野ひなこ、藤原令子、関めぐみ、前田公輝、弓削智久、  忍成修吾、半海一晃、佐藤二朗、松重豊殺人鬼キラとして生きる月(窪田正孝)は、探偵L(山崎賢人)の命令を受けたFBI捜査官に尾行されていることを知り、彼と共にLを葬り去るための準備を開始。キラの動きから彼の正体が月であるという疑いを持ちつつあったLは、総一郎(松重豊)と行動を共にすることに。そんな中、死神リュークは海砂(佐野ひなこ)の余命が残り少ないことを月に告げる。デスノートでは人の命を救うことは出来ない…苦悩する月は"&amp;"ある行動に出る")</f>
        <v>窪田正孝、山崎賢人、優希美青  佐野ひなこ、藤原令子、関めぐみ、前田公輝、弓削智久、  忍成修吾、半海一晃、佐藤二朗、松重豊殺人鬼キラとして生きる月(窪田正孝)は、探偵L(山崎賢人)の命令を受けたFBI捜査官に尾行されていることを知り、彼と共にLを葬り去るための準備を開始。キラの動きから彼の正体が月であるという疑いを持ちつつあったLは、総一郎(松重豊)と行動を共にすることに。そんな中、死神リュークは海砂(佐野ひなこ)の余命が残り少ないことを月に告げる。デスノートでは人の命を救うことは出来ない…苦悩する月はある行動に出る</v>
      </c>
      <c r="N3804" s="2"/>
      <c r="O3804" s="2"/>
      <c r="P3804" s="1"/>
      <c r="Q3804" s="1"/>
      <c r="R3804" s="1"/>
      <c r="S3804" s="1"/>
      <c r="T3804" s="1"/>
      <c r="U3804" s="1"/>
      <c r="V3804" s="1"/>
      <c r="W3804" s="1"/>
      <c r="X3804" s="1"/>
      <c r="Y3804" s="1"/>
      <c r="Z3804" s="1"/>
      <c r="AA3804" s="1"/>
      <c r="AB3804" s="1"/>
      <c r="AC3804" s="1"/>
      <c r="AD3804" s="1"/>
      <c r="AE3804" s="1"/>
      <c r="AF3804" s="1"/>
      <c r="AG3804" s="1"/>
      <c r="AH3804" s="1"/>
      <c r="AI3804" s="1"/>
      <c r="AJ3804" s="1"/>
      <c r="AK3804" s="1"/>
      <c r="AL3804" s="1"/>
      <c r="AM3804" s="1"/>
      <c r="AN3804" s="1"/>
      <c r="AO3804" s="1"/>
      <c r="AP3804" s="1"/>
      <c r="AQ3804" s="1"/>
      <c r="AR3804" s="1"/>
      <c r="AS3804" s="1"/>
      <c r="AT3804" s="1"/>
      <c r="AU3804" s="1"/>
      <c r="AV3804" s="1"/>
      <c r="AW3804" s="1"/>
      <c r="AX3804" s="1"/>
      <c r="AY3804" s="1"/>
      <c r="AZ3804" s="1"/>
      <c r="BA3804" s="1"/>
      <c r="BB3804" s="1"/>
    </row>
    <row r="3805" ht="204.75" customHeight="1">
      <c r="A3805" s="1">
        <v>2121.0</v>
      </c>
      <c r="B3805" s="2" t="s">
        <v>11477</v>
      </c>
      <c r="C3805" s="2">
        <f>IFERROR(__xludf.DUMMYFUNCTION("split(B3805,""_"")"),1507.0)</f>
        <v>1507</v>
      </c>
      <c r="D3805" s="2" t="str">
        <f>IFERROR(__xludf.DUMMYFUNCTION("""COMPUTED_VALUE"""),"NTV")</f>
        <v>NTV</v>
      </c>
      <c r="E3805" s="2" t="str">
        <f>IFERROR(__xludf.DUMMYFUNCTION("""COMPUTED_VALUE"""),"日22")</f>
        <v>日22</v>
      </c>
      <c r="F3805" s="2" t="s">
        <v>11478</v>
      </c>
      <c r="G3805" s="2" t="s">
        <v>11485</v>
      </c>
      <c r="H3805" s="1">
        <v>3.0</v>
      </c>
      <c r="I3805" s="1" t="s">
        <v>2876</v>
      </c>
      <c r="J3805" s="1" t="s">
        <v>82</v>
      </c>
      <c r="K3805" s="2" t="s">
        <v>11486</v>
      </c>
      <c r="L3805" s="10" t="s">
        <v>11487</v>
      </c>
      <c r="M3805" s="2" t="str">
        <f>IFERROR(__xludf.DUMMYFUNCTION("split(split(K3805,""【演出"",false),""ほか"",false)"),"窪田正孝、山崎賢人、優希美青  佐野ひなこ、藤原令子、関めぐみ、前田公輝、弓削智久  半海一晃、佐藤二朗、松重豊L(山崎賢人)からキラではないかと指摘されて動揺した月(窪田正孝)だったが、自分がまだ容疑者の一人でしかないと知り、自分を尾行中のFBI捜査官を全員殺そうと決意。そんな月に、リュークは人の名前と寿命を正確に知ることができる“死神の目”を寿命の半分と交換するという取り引きを持ちかけるが、月はそれに頼らず捜査官全員の名前を知ろうと画策する。一方、赤いデスノートを手にした海砂(佐野ひなこ)は…。")</f>
        <v>窪田正孝、山崎賢人、優希美青  佐野ひなこ、藤原令子、関めぐみ、前田公輝、弓削智久  半海一晃、佐藤二朗、松重豊L(山崎賢人)からキラではないかと指摘されて動揺した月(窪田正孝)だったが、自分がまだ容疑者の一人でしかないと知り、自分を尾行中のFBI捜査官を全員殺そうと決意。そんな月に、リュークは人の名前と寿命を正確に知ることができる“死神の目”を寿命の半分と交換するという取り引きを持ちかけるが、月はそれに頼らず捜査官全員の名前を知ろうと画策する。一方、赤いデスノートを手にした海砂(佐野ひなこ)は…。</v>
      </c>
      <c r="N3805" s="2"/>
      <c r="O3805" s="2"/>
      <c r="P3805" s="1"/>
      <c r="Q3805" s="1"/>
      <c r="R3805" s="1"/>
      <c r="S3805" s="1"/>
      <c r="T3805" s="1"/>
      <c r="U3805" s="1"/>
      <c r="V3805" s="1"/>
      <c r="W3805" s="1"/>
      <c r="X3805" s="1"/>
      <c r="Y3805" s="1"/>
      <c r="Z3805" s="1"/>
      <c r="AA3805" s="1"/>
      <c r="AB3805" s="1"/>
      <c r="AC3805" s="1"/>
      <c r="AD3805" s="1"/>
      <c r="AE3805" s="1"/>
      <c r="AF3805" s="1"/>
      <c r="AG3805" s="1"/>
      <c r="AH3805" s="1"/>
      <c r="AI3805" s="1"/>
      <c r="AJ3805" s="1"/>
      <c r="AK3805" s="1"/>
      <c r="AL3805" s="1"/>
      <c r="AM3805" s="1"/>
      <c r="AN3805" s="1"/>
      <c r="AO3805" s="1"/>
      <c r="AP3805" s="1"/>
      <c r="AQ3805" s="1"/>
      <c r="AR3805" s="1"/>
      <c r="AS3805" s="1"/>
      <c r="AT3805" s="1"/>
      <c r="AU3805" s="1"/>
      <c r="AV3805" s="1"/>
      <c r="AW3805" s="1"/>
      <c r="AX3805" s="1"/>
      <c r="AY3805" s="1"/>
      <c r="AZ3805" s="1"/>
      <c r="BA3805" s="1"/>
      <c r="BB3805" s="1"/>
    </row>
    <row r="3806" ht="204.75" customHeight="1">
      <c r="A3806" s="1">
        <v>2122.0</v>
      </c>
      <c r="B3806" s="2" t="s">
        <v>11477</v>
      </c>
      <c r="C3806" s="2">
        <f>IFERROR(__xludf.DUMMYFUNCTION("split(B3806,""_"")"),1507.0)</f>
        <v>1507</v>
      </c>
      <c r="D3806" s="2" t="str">
        <f>IFERROR(__xludf.DUMMYFUNCTION("""COMPUTED_VALUE"""),"NTV")</f>
        <v>NTV</v>
      </c>
      <c r="E3806" s="2" t="str">
        <f>IFERROR(__xludf.DUMMYFUNCTION("""COMPUTED_VALUE"""),"日22")</f>
        <v>日22</v>
      </c>
      <c r="F3806" s="2" t="s">
        <v>11478</v>
      </c>
      <c r="G3806" s="2" t="s">
        <v>11488</v>
      </c>
      <c r="H3806" s="1">
        <v>4.0</v>
      </c>
      <c r="I3806" s="1" t="s">
        <v>2880</v>
      </c>
      <c r="J3806" s="1" t="s">
        <v>82</v>
      </c>
      <c r="K3806" s="2" t="s">
        <v>11489</v>
      </c>
      <c r="L3806" s="10" t="s">
        <v>11490</v>
      </c>
      <c r="M3806" s="2" t="str">
        <f>IFERROR(__xludf.DUMMYFUNCTION("split(split(K3806,""【演出"",false),""ほか"",false)"),"窪田正孝、山崎賢人、優希美青、  佐野ひなこ、藤原令子、関めぐみ、前田公輝、弓削智久  忍成修吾、半海一晃、佐藤二朗、松重豊FBI捜査官が全員殺害されたことで、ますます月(窪田正孝)への疑いを深めたL(山崎賢人)は、総一郎(松重豊)にも無断で月の部屋に監視カメラを設置。何者かが部屋に入ったことに気付いた月は、リュークに監視カメラが置かれた場所を調べさせ、その絶体絶命の状況を利用してLの疑いを晴らすための計画を練ることに。何とか危機を脱した月だったが、安心したのもつかの間、目の前にLと名乗る男が現れ…!?")</f>
        <v>窪田正孝、山崎賢人、優希美青、  佐野ひなこ、藤原令子、関めぐみ、前田公輝、弓削智久  忍成修吾、半海一晃、佐藤二朗、松重豊FBI捜査官が全員殺害されたことで、ますます月(窪田正孝)への疑いを深めたL(山崎賢人)は、総一郎(松重豊)にも無断で月の部屋に監視カメラを設置。何者かが部屋に入ったことに気付いた月は、リュークに監視カメラが置かれた場所を調べさせ、その絶体絶命の状況を利用してLの疑いを晴らすための計画を練ることに。何とか危機を脱した月だったが、安心したのもつかの間、目の前にLと名乗る男が現れ…!?</v>
      </c>
      <c r="N3806" s="2"/>
      <c r="O3806" s="2"/>
      <c r="P3806" s="1"/>
      <c r="Q3806" s="1"/>
      <c r="R3806" s="1"/>
      <c r="S3806" s="1"/>
      <c r="T3806" s="1"/>
      <c r="U3806" s="1"/>
      <c r="V3806" s="1"/>
      <c r="W3806" s="1"/>
      <c r="X3806" s="1"/>
      <c r="Y3806" s="1"/>
      <c r="Z3806" s="1"/>
      <c r="AA3806" s="1"/>
      <c r="AB3806" s="1"/>
      <c r="AC3806" s="1"/>
      <c r="AD3806" s="1"/>
      <c r="AE3806" s="1"/>
      <c r="AF3806" s="1"/>
      <c r="AG3806" s="1"/>
      <c r="AH3806" s="1"/>
      <c r="AI3806" s="1"/>
      <c r="AJ3806" s="1"/>
      <c r="AK3806" s="1"/>
      <c r="AL3806" s="1"/>
      <c r="AM3806" s="1"/>
      <c r="AN3806" s="1"/>
      <c r="AO3806" s="1"/>
      <c r="AP3806" s="1"/>
      <c r="AQ3806" s="1"/>
      <c r="AR3806" s="1"/>
      <c r="AS3806" s="1"/>
      <c r="AT3806" s="1"/>
      <c r="AU3806" s="1"/>
      <c r="AV3806" s="1"/>
      <c r="AW3806" s="1"/>
      <c r="AX3806" s="1"/>
      <c r="AY3806" s="1"/>
      <c r="AZ3806" s="1"/>
      <c r="BA3806" s="1"/>
      <c r="BB3806" s="1"/>
    </row>
    <row r="3807" ht="204.75" customHeight="1">
      <c r="A3807" s="1">
        <v>2123.0</v>
      </c>
      <c r="B3807" s="2" t="s">
        <v>11477</v>
      </c>
      <c r="C3807" s="2">
        <f>IFERROR(__xludf.DUMMYFUNCTION("split(B3807,""_"")"),1507.0)</f>
        <v>1507</v>
      </c>
      <c r="D3807" s="2" t="str">
        <f>IFERROR(__xludf.DUMMYFUNCTION("""COMPUTED_VALUE"""),"NTV")</f>
        <v>NTV</v>
      </c>
      <c r="E3807" s="2" t="str">
        <f>IFERROR(__xludf.DUMMYFUNCTION("""COMPUTED_VALUE"""),"日22")</f>
        <v>日22</v>
      </c>
      <c r="F3807" s="2" t="s">
        <v>11478</v>
      </c>
      <c r="G3807" s="2" t="s">
        <v>11491</v>
      </c>
      <c r="H3807" s="1">
        <v>5.0</v>
      </c>
      <c r="I3807" s="1" t="s">
        <v>2884</v>
      </c>
      <c r="J3807" s="1" t="s">
        <v>82</v>
      </c>
      <c r="K3807" s="2" t="s">
        <v>11492</v>
      </c>
      <c r="L3807" s="10" t="s">
        <v>11493</v>
      </c>
      <c r="M3807" s="2" t="str">
        <f>IFERROR(__xludf.DUMMYFUNCTION("split(split(K3807,""【演出"",false),""ほか"",false)"),"窪田正孝、山崎賢人、優希美青  佐野ひなこ、藤原令子、関めぐみ、前田公輝、弓削智久  忍成修吾、半海一晃、佐藤二朗、松重豊海砂(佐野ひなこ)が突然月(窪田正孝)の家にやってきた。なんとか自宅の外に海砂を連れ出した月に、海砂は自分の“死神の目”を使ってL(山崎賢人)を殺すと言い出す。海砂を巻き込みたくない月は、その申し出に悩み…。一方、脅迫状から“第二のキラ”の出現を察知したLは、捜査対象をひとまず“第二のキラ”に絞ることを決意。月をキラ対策室に呼び出し、協力を求めることにする。しかしそれは月をキラだと疑う"&amp;"Lの罠で…。")</f>
        <v>窪田正孝、山崎賢人、優希美青  佐野ひなこ、藤原令子、関めぐみ、前田公輝、弓削智久  忍成修吾、半海一晃、佐藤二朗、松重豊海砂(佐野ひなこ)が突然月(窪田正孝)の家にやってきた。なんとか自宅の外に海砂を連れ出した月に、海砂は自分の“死神の目”を使ってL(山崎賢人)を殺すと言い出す。海砂を巻き込みたくない月は、その申し出に悩み…。一方、脅迫状から“第二のキラ”の出現を察知したLは、捜査対象をひとまず“第二のキラ”に絞ることを決意。月をキラ対策室に呼び出し、協力を求めることにする。しかしそれは月をキラだと疑うLの罠で…。</v>
      </c>
      <c r="N3807" s="2"/>
      <c r="O3807" s="2"/>
      <c r="P3807" s="1"/>
      <c r="Q3807" s="1"/>
      <c r="R3807" s="1"/>
      <c r="S3807" s="1"/>
      <c r="T3807" s="1"/>
      <c r="U3807" s="1"/>
      <c r="V3807" s="1"/>
      <c r="W3807" s="1"/>
      <c r="X3807" s="1"/>
      <c r="Y3807" s="1"/>
      <c r="Z3807" s="1"/>
      <c r="AA3807" s="1"/>
      <c r="AB3807" s="1"/>
      <c r="AC3807" s="1"/>
      <c r="AD3807" s="1"/>
      <c r="AE3807" s="1"/>
      <c r="AF3807" s="1"/>
      <c r="AG3807" s="1"/>
      <c r="AH3807" s="1"/>
      <c r="AI3807" s="1"/>
      <c r="AJ3807" s="1"/>
      <c r="AK3807" s="1"/>
      <c r="AL3807" s="1"/>
      <c r="AM3807" s="1"/>
      <c r="AN3807" s="1"/>
      <c r="AO3807" s="1"/>
      <c r="AP3807" s="1"/>
      <c r="AQ3807" s="1"/>
      <c r="AR3807" s="1"/>
      <c r="AS3807" s="1"/>
      <c r="AT3807" s="1"/>
      <c r="AU3807" s="1"/>
      <c r="AV3807" s="1"/>
      <c r="AW3807" s="1"/>
      <c r="AX3807" s="1"/>
      <c r="AY3807" s="1"/>
      <c r="AZ3807" s="1"/>
      <c r="BA3807" s="1"/>
      <c r="BB3807" s="1"/>
    </row>
    <row r="3808" ht="204.75" customHeight="1">
      <c r="A3808" s="1">
        <v>2124.0</v>
      </c>
      <c r="B3808" s="2" t="s">
        <v>11477</v>
      </c>
      <c r="C3808" s="2">
        <f>IFERROR(__xludf.DUMMYFUNCTION("split(B3808,""_"")"),1507.0)</f>
        <v>1507</v>
      </c>
      <c r="D3808" s="2" t="str">
        <f>IFERROR(__xludf.DUMMYFUNCTION("""COMPUTED_VALUE"""),"NTV")</f>
        <v>NTV</v>
      </c>
      <c r="E3808" s="2" t="str">
        <f>IFERROR(__xludf.DUMMYFUNCTION("""COMPUTED_VALUE"""),"日22")</f>
        <v>日22</v>
      </c>
      <c r="F3808" s="2" t="s">
        <v>11478</v>
      </c>
      <c r="G3808" s="2" t="s">
        <v>11494</v>
      </c>
      <c r="H3808" s="1">
        <v>6.0</v>
      </c>
      <c r="I3808" s="1" t="s">
        <v>2888</v>
      </c>
      <c r="J3808" s="1" t="s">
        <v>82</v>
      </c>
      <c r="K3808" s="2" t="s">
        <v>11495</v>
      </c>
      <c r="L3808" s="10" t="s">
        <v>11496</v>
      </c>
      <c r="M3808" s="2" t="str">
        <f>IFERROR(__xludf.DUMMYFUNCTION("split(split(K3808,""【演出"",false),""ほか"",false)"),"窪田正孝、山崎賢人、優希美青  佐野ひなこ、藤原令子、関めぐみ、前田公輝、弓削智久  忍成修吾、半海一晃、佐藤二朗、松重豊海砂(佐野ひなこ)が“第2のキラ”としてL(山崎賢人)に拘束された。海砂にデスノートを放棄させることで記憶の一部を消し、彼女を守ることにしたレムは、月(窪田正孝)からある作戦を託される。そして月は、何と自らがキラなのではないかと告白しキラ対策室に出頭。驚きに包まれる総一郎(松重豊)たちをよそに、月は24時間Lの監視下に置かれることで疑いを晴らそうとする。そしてLは、そんな月にきつい質問"&amp;"責めを行い…")</f>
        <v>窪田正孝、山崎賢人、優希美青  佐野ひなこ、藤原令子、関めぐみ、前田公輝、弓削智久  忍成修吾、半海一晃、佐藤二朗、松重豊海砂(佐野ひなこ)が“第2のキラ”としてL(山崎賢人)に拘束された。海砂にデスノートを放棄させることで記憶の一部を消し、彼女を守ることにしたレムは、月(窪田正孝)からある作戦を託される。そして月は、何と自らがキラなのではないかと告白しキラ対策室に出頭。驚きに包まれる総一郎(松重豊)たちをよそに、月は24時間Lの監視下に置かれることで疑いを晴らそうとする。そしてLは、そんな月にきつい質問責めを行い…</v>
      </c>
      <c r="N3808" s="2"/>
      <c r="O3808" s="2"/>
      <c r="P3808" s="1"/>
      <c r="Q3808" s="1"/>
      <c r="R3808" s="1"/>
      <c r="S3808" s="1"/>
      <c r="T3808" s="1"/>
      <c r="U3808" s="1"/>
      <c r="V3808" s="1"/>
      <c r="W3808" s="1"/>
      <c r="X3808" s="1"/>
      <c r="Y3808" s="1"/>
      <c r="Z3808" s="1"/>
      <c r="AA3808" s="1"/>
      <c r="AB3808" s="1"/>
      <c r="AC3808" s="1"/>
      <c r="AD3808" s="1"/>
      <c r="AE3808" s="1"/>
      <c r="AF3808" s="1"/>
      <c r="AG3808" s="1"/>
      <c r="AH3808" s="1"/>
      <c r="AI3808" s="1"/>
      <c r="AJ3808" s="1"/>
      <c r="AK3808" s="1"/>
      <c r="AL3808" s="1"/>
      <c r="AM3808" s="1"/>
      <c r="AN3808" s="1"/>
      <c r="AO3808" s="1"/>
      <c r="AP3808" s="1"/>
      <c r="AQ3808" s="1"/>
      <c r="AR3808" s="1"/>
      <c r="AS3808" s="1"/>
      <c r="AT3808" s="1"/>
      <c r="AU3808" s="1"/>
      <c r="AV3808" s="1"/>
      <c r="AW3808" s="1"/>
      <c r="AX3808" s="1"/>
      <c r="AY3808" s="1"/>
      <c r="AZ3808" s="1"/>
      <c r="BA3808" s="1"/>
      <c r="BB3808" s="1"/>
    </row>
    <row r="3809" ht="204.75" customHeight="1">
      <c r="A3809" s="1">
        <v>2125.0</v>
      </c>
      <c r="B3809" s="2" t="s">
        <v>11477</v>
      </c>
      <c r="C3809" s="2">
        <f>IFERROR(__xludf.DUMMYFUNCTION("split(B3809,""_"")"),1507.0)</f>
        <v>1507</v>
      </c>
      <c r="D3809" s="2" t="str">
        <f>IFERROR(__xludf.DUMMYFUNCTION("""COMPUTED_VALUE"""),"NTV")</f>
        <v>NTV</v>
      </c>
      <c r="E3809" s="2" t="str">
        <f>IFERROR(__xludf.DUMMYFUNCTION("""COMPUTED_VALUE"""),"日22")</f>
        <v>日22</v>
      </c>
      <c r="F3809" s="2" t="s">
        <v>11478</v>
      </c>
      <c r="G3809" s="2" t="s">
        <v>11497</v>
      </c>
      <c r="H3809" s="1">
        <v>7.0</v>
      </c>
      <c r="I3809" s="1" t="s">
        <v>2892</v>
      </c>
      <c r="J3809" s="1" t="s">
        <v>82</v>
      </c>
      <c r="K3809" s="2" t="s">
        <v>11498</v>
      </c>
      <c r="L3809" s="10" t="s">
        <v>11499</v>
      </c>
      <c r="M3809" s="2" t="str">
        <f>IFERROR(__xludf.DUMMYFUNCTION("split(split(K3809,""【演出"",false),""ほか"",false)"),"窪田正孝、山崎賢人、優希美青、  佐野ひなこ、関めぐみ、前田公輝、弓削智久、  忍成修吾、半海一晃、佐藤二朗、松重豊、L(山崎賢人)の疑いを晴らすために月(窪田正孝)がキラ逮捕に全力を賭ける決意を固める中、キラが大企業・ヨツバジャパングループの関係者である可能性が浮かび上がる。海砂(佐野ひなこ)、松田(前田公輝)、月は、CMオーディションに乗じてヨツバ本社に潜入。ヨツバ幹部の中にキラがいると確信したLは、次の罠を仕掛けることに。そしてクライマックスに待ち受ける、衝撃の展開とは…!?")</f>
        <v>窪田正孝、山崎賢人、優希美青、  佐野ひなこ、関めぐみ、前田公輝、弓削智久、  忍成修吾、半海一晃、佐藤二朗、松重豊、L(山崎賢人)の疑いを晴らすために月(窪田正孝)がキラ逮捕に全力を賭ける決意を固める中、キラが大企業・ヨツバジャパングループの関係者である可能性が浮かび上がる。海砂(佐野ひなこ)、松田(前田公輝)、月は、CMオーディションに乗じてヨツバ本社に潜入。ヨツバ幹部の中にキラがいると確信したLは、次の罠を仕掛けることに。そしてクライマックスに待ち受ける、衝撃の展開とは…!?</v>
      </c>
      <c r="N3809" s="2"/>
      <c r="O3809" s="2"/>
      <c r="P3809" s="1"/>
      <c r="Q3809" s="1"/>
      <c r="R3809" s="1"/>
      <c r="S3809" s="1"/>
      <c r="T3809" s="1"/>
      <c r="U3809" s="1"/>
      <c r="V3809" s="1"/>
      <c r="W3809" s="1"/>
      <c r="X3809" s="1"/>
      <c r="Y3809" s="1"/>
      <c r="Z3809" s="1"/>
      <c r="AA3809" s="1"/>
      <c r="AB3809" s="1"/>
      <c r="AC3809" s="1"/>
      <c r="AD3809" s="1"/>
      <c r="AE3809" s="1"/>
      <c r="AF3809" s="1"/>
      <c r="AG3809" s="1"/>
      <c r="AH3809" s="1"/>
      <c r="AI3809" s="1"/>
      <c r="AJ3809" s="1"/>
      <c r="AK3809" s="1"/>
      <c r="AL3809" s="1"/>
      <c r="AM3809" s="1"/>
      <c r="AN3809" s="1"/>
      <c r="AO3809" s="1"/>
      <c r="AP3809" s="1"/>
      <c r="AQ3809" s="1"/>
      <c r="AR3809" s="1"/>
      <c r="AS3809" s="1"/>
      <c r="AT3809" s="1"/>
      <c r="AU3809" s="1"/>
      <c r="AV3809" s="1"/>
      <c r="AW3809" s="1"/>
      <c r="AX3809" s="1"/>
      <c r="AY3809" s="1"/>
      <c r="AZ3809" s="1"/>
      <c r="BA3809" s="1"/>
      <c r="BB3809" s="1"/>
    </row>
    <row r="3810" ht="204.75" customHeight="1">
      <c r="A3810" s="1">
        <v>2126.0</v>
      </c>
      <c r="B3810" s="2" t="s">
        <v>11477</v>
      </c>
      <c r="C3810" s="2">
        <f>IFERROR(__xludf.DUMMYFUNCTION("split(B3810,""_"")"),1507.0)</f>
        <v>1507</v>
      </c>
      <c r="D3810" s="2" t="str">
        <f>IFERROR(__xludf.DUMMYFUNCTION("""COMPUTED_VALUE"""),"NTV")</f>
        <v>NTV</v>
      </c>
      <c r="E3810" s="2" t="str">
        <f>IFERROR(__xludf.DUMMYFUNCTION("""COMPUTED_VALUE"""),"日22")</f>
        <v>日22</v>
      </c>
      <c r="F3810" s="2" t="s">
        <v>11478</v>
      </c>
      <c r="G3810" s="2" t="s">
        <v>11500</v>
      </c>
      <c r="H3810" s="1">
        <v>8.0</v>
      </c>
      <c r="I3810" s="1" t="s">
        <v>2896</v>
      </c>
      <c r="J3810" s="1" t="s">
        <v>82</v>
      </c>
      <c r="K3810" s="2" t="s">
        <v>11501</v>
      </c>
      <c r="L3810" s="10" t="s">
        <v>11502</v>
      </c>
      <c r="M3810" s="2" t="str">
        <f>IFERROR(__xludf.DUMMYFUNCTION("split(split(K3810,""【演出"",false),""ほか"",false)"),"窪田正孝、山崎賢人、優希美青  佐野ひなこ、関めぐみ、前田公輝、弓削智久  忍成修吾、半海一晃、佐藤二朗、松重豊、“第3のキラ”から押収したデスノートに書かれていたルールのお陰で、L(山崎賢人)の疑いを晴らすことができた月(窪田正孝)。今度こそLを葬り去るべく、月は森に埋めたデスノートを海砂(佐野ひなこ)に取りに行かせるが、海砂が襲われノートを何者かに奪われてしまう。一方Lは本格的にニア(優希美青)と一緒に捜査を開始するが、ニアはもう一つの凶暴人格・メロを抑えることが出来ずついに…!")</f>
        <v>窪田正孝、山崎賢人、優希美青  佐野ひなこ、関めぐみ、前田公輝、弓削智久  忍成修吾、半海一晃、佐藤二朗、松重豊、“第3のキラ”から押収したデスノートに書かれていたルールのお陰で、L(山崎賢人)の疑いを晴らすことができた月(窪田正孝)。今度こそLを葬り去るべく、月は森に埋めたデスノートを海砂(佐野ひなこ)に取りに行かせるが、海砂が襲われノートを何者かに奪われてしまう。一方Lは本格的にニア(優希美青)と一緒に捜査を開始するが、ニアはもう一つの凶暴人格・メロを抑えることが出来ずついに…!</v>
      </c>
      <c r="N3810" s="2"/>
      <c r="O3810" s="2"/>
      <c r="P3810" s="1"/>
      <c r="Q3810" s="1"/>
      <c r="R3810" s="1"/>
      <c r="S3810" s="1"/>
      <c r="T3810" s="1"/>
      <c r="U3810" s="1"/>
      <c r="V3810" s="1"/>
      <c r="W3810" s="1"/>
      <c r="X3810" s="1"/>
      <c r="Y3810" s="1"/>
      <c r="Z3810" s="1"/>
      <c r="AA3810" s="1"/>
      <c r="AB3810" s="1"/>
      <c r="AC3810" s="1"/>
      <c r="AD3810" s="1"/>
      <c r="AE3810" s="1"/>
      <c r="AF3810" s="1"/>
      <c r="AG3810" s="1"/>
      <c r="AH3810" s="1"/>
      <c r="AI3810" s="1"/>
      <c r="AJ3810" s="1"/>
      <c r="AK3810" s="1"/>
      <c r="AL3810" s="1"/>
      <c r="AM3810" s="1"/>
      <c r="AN3810" s="1"/>
      <c r="AO3810" s="1"/>
      <c r="AP3810" s="1"/>
      <c r="AQ3810" s="1"/>
      <c r="AR3810" s="1"/>
      <c r="AS3810" s="1"/>
      <c r="AT3810" s="1"/>
      <c r="AU3810" s="1"/>
      <c r="AV3810" s="1"/>
      <c r="AW3810" s="1"/>
      <c r="AX3810" s="1"/>
      <c r="AY3810" s="1"/>
      <c r="AZ3810" s="1"/>
      <c r="BA3810" s="1"/>
      <c r="BB3810" s="1"/>
    </row>
    <row r="3811" ht="204.75" customHeight="1">
      <c r="A3811" s="1">
        <v>2127.0</v>
      </c>
      <c r="B3811" s="2" t="s">
        <v>11477</v>
      </c>
      <c r="C3811" s="2">
        <f>IFERROR(__xludf.DUMMYFUNCTION("split(B3811,""_"")"),1507.0)</f>
        <v>1507</v>
      </c>
      <c r="D3811" s="2" t="str">
        <f>IFERROR(__xludf.DUMMYFUNCTION("""COMPUTED_VALUE"""),"NTV")</f>
        <v>NTV</v>
      </c>
      <c r="E3811" s="2" t="str">
        <f>IFERROR(__xludf.DUMMYFUNCTION("""COMPUTED_VALUE"""),"日22")</f>
        <v>日22</v>
      </c>
      <c r="F3811" s="2" t="s">
        <v>11478</v>
      </c>
      <c r="G3811" s="2" t="s">
        <v>11503</v>
      </c>
      <c r="H3811" s="1">
        <v>9.0</v>
      </c>
      <c r="I3811" s="1" t="s">
        <v>2900</v>
      </c>
      <c r="J3811" s="1" t="s">
        <v>82</v>
      </c>
      <c r="K3811" s="2" t="s">
        <v>11504</v>
      </c>
      <c r="L3811" s="10" t="s">
        <v>11505</v>
      </c>
      <c r="M3811" s="2" t="str">
        <f>IFERROR(__xludf.DUMMYFUNCTION("split(split(K3811,""【演出"",false),""ほか"",false)"),"窪田正孝、山崎賢人、優希美青、  佐野ひなこ、藤原令子、関めぐみ、前田公輝、弓削智久、  忍成修吾、半海一晃、佐藤二朗、松重豊L(山崎賢人)はデスノートに細工を施すことで月(窪田正孝)を追いつめ、キラだと認めさせた。しかしその直後、Lは死亡。ニア(優希美青)がキラ対策室に加わることとなる。月は総一郎(松重豊)が持つデスノートを手に入れようと行動を開始するが、彼の目の前に再びLの姿が…!?そんな中、粧裕(藤原令子)が誘拐されてしまう!救出の条件はデスノートとの交換!さらに、その犯人はどうやら対策室メンバーの"&amp;"中にいるようで…")</f>
        <v>窪田正孝、山崎賢人、優希美青、  佐野ひなこ、藤原令子、関めぐみ、前田公輝、弓削智久、  忍成修吾、半海一晃、佐藤二朗、松重豊L(山崎賢人)はデスノートに細工を施すことで月(窪田正孝)を追いつめ、キラだと認めさせた。しかしその直後、Lは死亡。ニア(優希美青)がキラ対策室に加わることとなる。月は総一郎(松重豊)が持つデスノートを手に入れようと行動を開始するが、彼の目の前に再びLの姿が…!?そんな中、粧裕(藤原令子)が誘拐されてしまう!救出の条件はデスノートとの交換!さらに、その犯人はどうやら対策室メンバーの中にいるようで…</v>
      </c>
      <c r="N3811" s="2"/>
      <c r="O3811" s="2"/>
      <c r="P3811" s="1"/>
      <c r="Q3811" s="1"/>
      <c r="R3811" s="1"/>
      <c r="S3811" s="1"/>
      <c r="T3811" s="1"/>
      <c r="U3811" s="1"/>
      <c r="V3811" s="1"/>
      <c r="W3811" s="1"/>
      <c r="X3811" s="1"/>
      <c r="Y3811" s="1"/>
      <c r="Z3811" s="1"/>
      <c r="AA3811" s="1"/>
      <c r="AB3811" s="1"/>
      <c r="AC3811" s="1"/>
      <c r="AD3811" s="1"/>
      <c r="AE3811" s="1"/>
      <c r="AF3811" s="1"/>
      <c r="AG3811" s="1"/>
      <c r="AH3811" s="1"/>
      <c r="AI3811" s="1"/>
      <c r="AJ3811" s="1"/>
      <c r="AK3811" s="1"/>
      <c r="AL3811" s="1"/>
      <c r="AM3811" s="1"/>
      <c r="AN3811" s="1"/>
      <c r="AO3811" s="1"/>
      <c r="AP3811" s="1"/>
      <c r="AQ3811" s="1"/>
      <c r="AR3811" s="1"/>
      <c r="AS3811" s="1"/>
      <c r="AT3811" s="1"/>
      <c r="AU3811" s="1"/>
      <c r="AV3811" s="1"/>
      <c r="AW3811" s="1"/>
      <c r="AX3811" s="1"/>
      <c r="AY3811" s="1"/>
      <c r="AZ3811" s="1"/>
      <c r="BA3811" s="1"/>
      <c r="BB3811" s="1"/>
    </row>
    <row r="3812" ht="204.75" customHeight="1">
      <c r="A3812" s="1">
        <v>2128.0</v>
      </c>
      <c r="B3812" s="2" t="s">
        <v>11477</v>
      </c>
      <c r="C3812" s="2">
        <f>IFERROR(__xludf.DUMMYFUNCTION("split(B3812,""_"")"),1507.0)</f>
        <v>1507</v>
      </c>
      <c r="D3812" s="2" t="str">
        <f>IFERROR(__xludf.DUMMYFUNCTION("""COMPUTED_VALUE"""),"NTV")</f>
        <v>NTV</v>
      </c>
      <c r="E3812" s="2" t="str">
        <f>IFERROR(__xludf.DUMMYFUNCTION("""COMPUTED_VALUE"""),"日22")</f>
        <v>日22</v>
      </c>
      <c r="F3812" s="2" t="s">
        <v>11478</v>
      </c>
      <c r="G3812" s="2" t="s">
        <v>11506</v>
      </c>
      <c r="H3812" s="1">
        <v>10.0</v>
      </c>
      <c r="I3812" s="1" t="s">
        <v>37</v>
      </c>
      <c r="J3812" s="1" t="s">
        <v>82</v>
      </c>
      <c r="K3812" s="2" t="s">
        <v>11507</v>
      </c>
      <c r="L3812" s="10" t="s">
        <v>11508</v>
      </c>
      <c r="M3812" s="2" t="str">
        <f>IFERROR(__xludf.DUMMYFUNCTION("split(split(K3812,""【演出"",false),""ほか"",false)"),"窪田正孝、山崎賢人、優希美青、  佐野ひなこ、藤原令子、関めぐみ、前田公輝、弓削智久、  忍成修吾、半海一晃、佐藤二朗、松重豊月(窪田正孝)と総一郎(松重豊)は、粧裕(藤原令子)を救うために日村(関めぐみ)から指定された場所へ。粧裕の救出には成功するが、日村にデスノートを奪われてしまう。時を同じくして、凶暴なメロに人格を乗っ取られたニア(優希美青)が失踪。月はメロの行方を突き止め、デスノートを再び手に入れるため暗躍し始める。そんな中、総一郎はLが残した最後のビデオを見て、キラが月だと確信し…。総一郎は、月"&amp;"に自首を迫る!")</f>
        <v>窪田正孝、山崎賢人、優希美青、  佐野ひなこ、藤原令子、関めぐみ、前田公輝、弓削智久、  忍成修吾、半海一晃、佐藤二朗、松重豊月(窪田正孝)と総一郎(松重豊)は、粧裕(藤原令子)を救うために日村(関めぐみ)から指定された場所へ。粧裕の救出には成功するが、日村にデスノートを奪われてしまう。時を同じくして、凶暴なメロに人格を乗っ取られたニア(優希美青)が失踪。月はメロの行方を突き止め、デスノートを再び手に入れるため暗躍し始める。そんな中、総一郎はLが残した最後のビデオを見て、キラが月だと確信し…。総一郎は、月に自首を迫る!</v>
      </c>
      <c r="N3812" s="2"/>
      <c r="O3812" s="2"/>
      <c r="P3812" s="1"/>
      <c r="Q3812" s="1"/>
      <c r="R3812" s="1"/>
      <c r="S3812" s="1"/>
      <c r="T3812" s="1"/>
      <c r="U3812" s="1"/>
      <c r="V3812" s="1"/>
      <c r="W3812" s="1"/>
      <c r="X3812" s="1"/>
      <c r="Y3812" s="1"/>
      <c r="Z3812" s="1"/>
      <c r="AA3812" s="1"/>
      <c r="AB3812" s="1"/>
      <c r="AC3812" s="1"/>
      <c r="AD3812" s="1"/>
      <c r="AE3812" s="1"/>
      <c r="AF3812" s="1"/>
      <c r="AG3812" s="1"/>
      <c r="AH3812" s="1"/>
      <c r="AI3812" s="1"/>
      <c r="AJ3812" s="1"/>
      <c r="AK3812" s="1"/>
      <c r="AL3812" s="1"/>
      <c r="AM3812" s="1"/>
      <c r="AN3812" s="1"/>
      <c r="AO3812" s="1"/>
      <c r="AP3812" s="1"/>
      <c r="AQ3812" s="1"/>
      <c r="AR3812" s="1"/>
      <c r="AS3812" s="1"/>
      <c r="AT3812" s="1"/>
      <c r="AU3812" s="1"/>
      <c r="AV3812" s="1"/>
      <c r="AW3812" s="1"/>
      <c r="AX3812" s="1"/>
      <c r="AY3812" s="1"/>
      <c r="AZ3812" s="1"/>
      <c r="BA3812" s="1"/>
      <c r="BB3812" s="1"/>
    </row>
    <row r="3813" ht="204.75" customHeight="1">
      <c r="A3813" s="1">
        <v>2129.0</v>
      </c>
      <c r="B3813" s="2" t="s">
        <v>11477</v>
      </c>
      <c r="C3813" s="2">
        <f>IFERROR(__xludf.DUMMYFUNCTION("split(B3813,""_"")"),1507.0)</f>
        <v>1507</v>
      </c>
      <c r="D3813" s="2" t="str">
        <f>IFERROR(__xludf.DUMMYFUNCTION("""COMPUTED_VALUE"""),"NTV")</f>
        <v>NTV</v>
      </c>
      <c r="E3813" s="2" t="str">
        <f>IFERROR(__xludf.DUMMYFUNCTION("""COMPUTED_VALUE"""),"日22")</f>
        <v>日22</v>
      </c>
      <c r="F3813" s="2" t="s">
        <v>11478</v>
      </c>
      <c r="G3813" s="2" t="s">
        <v>11509</v>
      </c>
      <c r="H3813" s="1">
        <v>11.0</v>
      </c>
      <c r="I3813" s="1" t="s">
        <v>41</v>
      </c>
      <c r="J3813" s="1" t="s">
        <v>82</v>
      </c>
      <c r="K3813" s="2" t="s">
        <v>11510</v>
      </c>
      <c r="L3813" s="10" t="s">
        <v>11511</v>
      </c>
      <c r="M3813" s="2" t="str">
        <f>IFERROR(__xludf.DUMMYFUNCTION("split(split(K3813,""【演出"",false),""ほか"",false)"),"窪田正孝、山崎賢人、優希美青、  佐野ひなこ、藤原令子、関めぐみ、前田公輝、弓削智久、  忍成修吾、半海一晃、佐藤二朗、松重豊月(窪田正孝)の証言により、メロ(優希美青)は総一郎(松重豊)殺害の容疑者として警察から追われる身に。月は今度こそメロを抹殺しようと決意するが、メロも反撃を開始する。そしてメロの居場所が判明。死神の目を持つ魅上(忍成修吾)と共に現場に向かった月は、遂にメロ=ニアと対峙。2人の最後の勝負が幕を開ける!!そしてさらに、死んだはずのL(山崎賢人)が遺した最後のビデオメッセージが流れ始め…")</f>
        <v>窪田正孝、山崎賢人、優希美青、  佐野ひなこ、藤原令子、関めぐみ、前田公輝、弓削智久、  忍成修吾、半海一晃、佐藤二朗、松重豊月(窪田正孝)の証言により、メロ(優希美青)は総一郎(松重豊)殺害の容疑者として警察から追われる身に。月は今度こそメロを抹殺しようと決意するが、メロも反撃を開始する。そしてメロの居場所が判明。死神の目を持つ魅上(忍成修吾)と共に現場に向かった月は、遂にメロ=ニアと対峙。2人の最後の勝負が幕を開ける!!そしてさらに、死んだはずのL(山崎賢人)が遺した最後のビデオメッセージが流れ始め…</v>
      </c>
      <c r="N3813" s="2"/>
      <c r="O3813" s="2"/>
      <c r="P3813" s="1"/>
      <c r="Q3813" s="1"/>
      <c r="R3813" s="1"/>
      <c r="S3813" s="1"/>
      <c r="T3813" s="1"/>
      <c r="U3813" s="1"/>
      <c r="V3813" s="1"/>
      <c r="W3813" s="1"/>
      <c r="X3813" s="1"/>
      <c r="Y3813" s="1"/>
      <c r="Z3813" s="1"/>
      <c r="AA3813" s="1"/>
      <c r="AB3813" s="1"/>
      <c r="AC3813" s="1"/>
      <c r="AD3813" s="1"/>
      <c r="AE3813" s="1"/>
      <c r="AF3813" s="1"/>
      <c r="AG3813" s="1"/>
      <c r="AH3813" s="1"/>
      <c r="AI3813" s="1"/>
      <c r="AJ3813" s="1"/>
      <c r="AK3813" s="1"/>
      <c r="AL3813" s="1"/>
      <c r="AM3813" s="1"/>
      <c r="AN3813" s="1"/>
      <c r="AO3813" s="1"/>
      <c r="AP3813" s="1"/>
      <c r="AQ3813" s="1"/>
      <c r="AR3813" s="1"/>
      <c r="AS3813" s="1"/>
      <c r="AT3813" s="1"/>
      <c r="AU3813" s="1"/>
      <c r="AV3813" s="1"/>
      <c r="AW3813" s="1"/>
      <c r="AX3813" s="1"/>
      <c r="AY3813" s="1"/>
      <c r="AZ3813" s="1"/>
      <c r="BA3813" s="1"/>
      <c r="BB3813" s="1"/>
    </row>
    <row r="3814" ht="204.75" customHeight="1">
      <c r="A3814" s="1">
        <v>2150.0</v>
      </c>
      <c r="B3814" s="2" t="s">
        <v>11512</v>
      </c>
      <c r="C3814" s="2">
        <f>IFERROR(__xludf.DUMMYFUNCTION("split(B3814,""_"")"),1504.0)</f>
        <v>1504</v>
      </c>
      <c r="D3814" s="2" t="str">
        <f>IFERROR(__xludf.DUMMYFUNCTION("""COMPUTED_VALUE"""),"NTV")</f>
        <v>NTV</v>
      </c>
      <c r="E3814" s="2" t="str">
        <f>IFERROR(__xludf.DUMMYFUNCTION("""COMPUTED_VALUE"""),"水22")</f>
        <v>水22</v>
      </c>
      <c r="F3814" s="2" t="s">
        <v>11513</v>
      </c>
      <c r="G3814" s="2" t="s">
        <v>11514</v>
      </c>
      <c r="H3814" s="1">
        <v>1.0</v>
      </c>
      <c r="I3814" s="1" t="s">
        <v>2868</v>
      </c>
      <c r="J3814" s="1" t="s">
        <v>82</v>
      </c>
      <c r="K3814" s="2" t="s">
        <v>11515</v>
      </c>
      <c r="L3814" s="11" t="s">
        <v>11516</v>
      </c>
      <c r="M3814" s="2" t="str">
        <f>IFERROR(__xludf.DUMMYFUNCTION("split(split(K3814,""【演出"",false),""ほか"",false)"),"堺雅人、蒼井優、吉瀬美智子、内田有紀、高梨臨、高橋一生、真飛聖、中西美帆、余貴美子、遠藤憲一、酒井若菜、長塚圭史、松重豊、石橋蓮司、高畑淳子、小日向文世　")</f>
        <v>堺雅人、蒼井優、吉瀬美智子、内田有紀、高梨臨、高橋一生、真飛聖、中西美帆、余貴美子、遠藤憲一、酒井若菜、長塚圭史、松重豊、石橋蓮司、高畑淳子、小日向文世　</v>
      </c>
      <c r="N3814" s="2" t="str">
        <f>IFERROR(__xludf.DUMMYFUNCTION("""COMPUTED_VALUE"""),"慧南大学病院の精神科医・倫太郎(堺雅人)は、多くの人の心を解きほぐしてきた評判の医師。彼は、同大学の理事長・円能寺(小日向文世)との会食で、芸者の夢乃(蒼井優)と出会う。これが、人生を一変させる出会いになるという事を、彼は知る由もなかった。  そんなある日、倫太郎はOLの繭子(近藤春菜)がビルの屋上から飛び降りようとしている騒ぎに遭遇する。彼女を止めるべく、倫太郎は繭子の心に寄り添おうとするが…?")</f>
        <v>慧南大学病院の精神科医・倫太郎(堺雅人)は、多くの人の心を解きほぐしてきた評判の医師。彼は、同大学の理事長・円能寺(小日向文世)との会食で、芸者の夢乃(蒼井優)と出会う。これが、人生を一変させる出会いになるという事を、彼は知る由もなかった。  そんなある日、倫太郎はOLの繭子(近藤春菜)がビルの屋上から飛び降りようとしている騒ぎに遭遇する。彼女を止めるべく、倫太郎は繭子の心に寄り添おうとするが…?</v>
      </c>
      <c r="O3814" s="2"/>
      <c r="P3814" s="1"/>
      <c r="Q3814" s="1"/>
      <c r="R3814" s="1"/>
      <c r="S3814" s="1"/>
      <c r="T3814" s="1"/>
      <c r="U3814" s="1"/>
      <c r="V3814" s="1"/>
      <c r="W3814" s="1"/>
      <c r="X3814" s="1"/>
      <c r="Y3814" s="1"/>
      <c r="Z3814" s="1"/>
      <c r="AA3814" s="1"/>
      <c r="AB3814" s="1"/>
      <c r="AC3814" s="1"/>
      <c r="AD3814" s="1"/>
      <c r="AE3814" s="1"/>
      <c r="AF3814" s="1"/>
      <c r="AG3814" s="1"/>
      <c r="AH3814" s="1"/>
      <c r="AI3814" s="1"/>
      <c r="AJ3814" s="1"/>
      <c r="AK3814" s="1"/>
      <c r="AL3814" s="1"/>
      <c r="AM3814" s="1"/>
      <c r="AN3814" s="1"/>
      <c r="AO3814" s="1"/>
      <c r="AP3814" s="1"/>
      <c r="AQ3814" s="1"/>
      <c r="AR3814" s="1"/>
      <c r="AS3814" s="1"/>
      <c r="AT3814" s="1"/>
      <c r="AU3814" s="1"/>
      <c r="AV3814" s="1"/>
      <c r="AW3814" s="1"/>
      <c r="AX3814" s="1"/>
      <c r="AY3814" s="1"/>
      <c r="AZ3814" s="1"/>
      <c r="BA3814" s="1"/>
      <c r="BB3814" s="1"/>
    </row>
    <row r="3815" ht="204.75" customHeight="1">
      <c r="A3815" s="1">
        <v>2151.0</v>
      </c>
      <c r="B3815" s="2" t="s">
        <v>11512</v>
      </c>
      <c r="C3815" s="2">
        <f>IFERROR(__xludf.DUMMYFUNCTION("split(B3815,""_"")"),1504.0)</f>
        <v>1504</v>
      </c>
      <c r="D3815" s="2" t="str">
        <f>IFERROR(__xludf.DUMMYFUNCTION("""COMPUTED_VALUE"""),"NTV")</f>
        <v>NTV</v>
      </c>
      <c r="E3815" s="2" t="str">
        <f>IFERROR(__xludf.DUMMYFUNCTION("""COMPUTED_VALUE"""),"水22")</f>
        <v>水22</v>
      </c>
      <c r="F3815" s="2" t="s">
        <v>11513</v>
      </c>
      <c r="G3815" s="2" t="s">
        <v>11517</v>
      </c>
      <c r="H3815" s="1">
        <v>2.0</v>
      </c>
      <c r="I3815" s="1" t="s">
        <v>2872</v>
      </c>
      <c r="J3815" s="1" t="s">
        <v>82</v>
      </c>
      <c r="K3815" s="2" t="s">
        <v>11518</v>
      </c>
      <c r="L3815" s="11" t="s">
        <v>11519</v>
      </c>
      <c r="M3815" s="2" t="str">
        <f>IFERROR(__xludf.DUMMYFUNCTION("split(split(K3815,""【演出"",false),""ほか"",false)"),"堺雅人、蒼井優、吉瀬美智子、内田有紀、高梨臨、高橋一生、真飛聖、中西美帆、余貴美子、遠藤憲一、酒井若菜、長塚圭史、松重豊、石橋蓮司、高畑淳子、小日向文世　")</f>
        <v>堺雅人、蒼井優、吉瀬美智子、内田有紀、高梨臨、高橋一生、真飛聖、中西美帆、余貴美子、遠藤憲一、酒井若菜、長塚圭史、松重豊、石橋蓮司、高畑淳子、小日向文世　</v>
      </c>
      <c r="N3815" s="2" t="str">
        <f>IFERROR(__xludf.DUMMYFUNCTION("""COMPUTED_VALUE"""),"倫太郎(堺雅人)は円能寺(小日向文世)から、大物小説家の風間を紹介される。最新作を酷評され精神的に不安定になっていた彼は、突如、長年支え勤めてきた秘書に「そっくりな別人だ」と言って暴れ出す。頭部を負傷し、百合子(吉瀬美智子)の治療を受けた風間だが、彼に対して宮川(長塚圭史)が出した診断に、倫太郎は異論を唱える。さらに、夢乃(蒼井優)は、倫太郎をデートに誘い、「あるお願い」をする…。")</f>
        <v>倫太郎(堺雅人)は円能寺(小日向文世)から、大物小説家の風間を紹介される。最新作を酷評され精神的に不安定になっていた彼は、突如、長年支え勤めてきた秘書に「そっくりな別人だ」と言って暴れ出す。頭部を負傷し、百合子(吉瀬美智子)の治療を受けた風間だが、彼に対して宮川(長塚圭史)が出した診断に、倫太郎は異論を唱える。さらに、夢乃(蒼井優)は、倫太郎をデートに誘い、「あるお願い」をする…。</v>
      </c>
      <c r="O3815" s="2"/>
      <c r="P3815" s="1"/>
      <c r="Q3815" s="1"/>
      <c r="R3815" s="1"/>
      <c r="S3815" s="1"/>
      <c r="T3815" s="1"/>
      <c r="U3815" s="1"/>
      <c r="V3815" s="1"/>
      <c r="W3815" s="1"/>
      <c r="X3815" s="1"/>
      <c r="Y3815" s="1"/>
      <c r="Z3815" s="1"/>
      <c r="AA3815" s="1"/>
      <c r="AB3815" s="1"/>
      <c r="AC3815" s="1"/>
      <c r="AD3815" s="1"/>
      <c r="AE3815" s="1"/>
      <c r="AF3815" s="1"/>
      <c r="AG3815" s="1"/>
      <c r="AH3815" s="1"/>
      <c r="AI3815" s="1"/>
      <c r="AJ3815" s="1"/>
      <c r="AK3815" s="1"/>
      <c r="AL3815" s="1"/>
      <c r="AM3815" s="1"/>
      <c r="AN3815" s="1"/>
      <c r="AO3815" s="1"/>
      <c r="AP3815" s="1"/>
      <c r="AQ3815" s="1"/>
      <c r="AR3815" s="1"/>
      <c r="AS3815" s="1"/>
      <c r="AT3815" s="1"/>
      <c r="AU3815" s="1"/>
      <c r="AV3815" s="1"/>
      <c r="AW3815" s="1"/>
      <c r="AX3815" s="1"/>
      <c r="AY3815" s="1"/>
      <c r="AZ3815" s="1"/>
      <c r="BA3815" s="1"/>
      <c r="BB3815" s="1"/>
    </row>
    <row r="3816" ht="204.75" customHeight="1">
      <c r="A3816" s="1">
        <v>2152.0</v>
      </c>
      <c r="B3816" s="2" t="s">
        <v>11512</v>
      </c>
      <c r="C3816" s="2">
        <f>IFERROR(__xludf.DUMMYFUNCTION("split(B3816,""_"")"),1504.0)</f>
        <v>1504</v>
      </c>
      <c r="D3816" s="2" t="str">
        <f>IFERROR(__xludf.DUMMYFUNCTION("""COMPUTED_VALUE"""),"NTV")</f>
        <v>NTV</v>
      </c>
      <c r="E3816" s="2" t="str">
        <f>IFERROR(__xludf.DUMMYFUNCTION("""COMPUTED_VALUE"""),"水22")</f>
        <v>水22</v>
      </c>
      <c r="F3816" s="2" t="s">
        <v>11513</v>
      </c>
      <c r="G3816" s="2" t="s">
        <v>11520</v>
      </c>
      <c r="H3816" s="1">
        <v>3.0</v>
      </c>
      <c r="I3816" s="1" t="s">
        <v>2876</v>
      </c>
      <c r="J3816" s="1" t="s">
        <v>82</v>
      </c>
      <c r="K3816" s="2" t="s">
        <v>11521</v>
      </c>
      <c r="L3816" s="11" t="s">
        <v>11522</v>
      </c>
      <c r="M3816" s="2" t="str">
        <f>IFERROR(__xludf.DUMMYFUNCTION("split(split(K3816,""【演出"",false),""ほか"",false)"),"堺雅人、蒼井優、吉瀬美智子、内田有紀、高梨臨、高橋一生、真飛聖、中西美帆、余貴美子、遠藤憲一、酒井若菜、長塚圭史、松重豊、石橋蓮司、高畑淳子、小日向文世　")</f>
        <v>堺雅人、蒼井優、吉瀬美智子、内田有紀、高梨臨、高橋一生、真飛聖、中西美帆、余貴美子、遠藤憲一、酒井若菜、長塚圭史、松重豊、石橋蓮司、高畑淳子、小日向文世　</v>
      </c>
      <c r="N3816" s="2" t="str">
        <f>IFERROR(__xludf.DUMMYFUNCTION("""COMPUTED_VALUE"""),"重傷を負った女性・弓子(宮本真希)が救急搬送され、手術を担当した百合子(吉瀬美智子)は、DVによるケガではないかと疑う。それを聞いた倫太郎(堺雅人)は、ケアが必要ではないかと考え、彼女とその夫・司(北村有起哉)に話を聞こうとする。しかし、弓子はDVの疑いを真っ向から否定するのだった。そんな中、夢乃(蒼井優)が倫太郎に、700万円を貸してほしいと懇願し、その代わりに身を捧げると言い出し…。")</f>
        <v>重傷を負った女性・弓子(宮本真希)が救急搬送され、手術を担当した百合子(吉瀬美智子)は、DVによるケガではないかと疑う。それを聞いた倫太郎(堺雅人)は、ケアが必要ではないかと考え、彼女とその夫・司(北村有起哉)に話を聞こうとする。しかし、弓子はDVの疑いを真っ向から否定するのだった。そんな中、夢乃(蒼井優)が倫太郎に、700万円を貸してほしいと懇願し、その代わりに身を捧げると言い出し…。</v>
      </c>
      <c r="O3816" s="2"/>
      <c r="P3816" s="1"/>
      <c r="Q3816" s="1"/>
      <c r="R3816" s="1"/>
      <c r="S3816" s="1"/>
      <c r="T3816" s="1"/>
      <c r="U3816" s="1"/>
      <c r="V3816" s="1"/>
      <c r="W3816" s="1"/>
      <c r="X3816" s="1"/>
      <c r="Y3816" s="1"/>
      <c r="Z3816" s="1"/>
      <c r="AA3816" s="1"/>
      <c r="AB3816" s="1"/>
      <c r="AC3816" s="1"/>
      <c r="AD3816" s="1"/>
      <c r="AE3816" s="1"/>
      <c r="AF3816" s="1"/>
      <c r="AG3816" s="1"/>
      <c r="AH3816" s="1"/>
      <c r="AI3816" s="1"/>
      <c r="AJ3816" s="1"/>
      <c r="AK3816" s="1"/>
      <c r="AL3816" s="1"/>
      <c r="AM3816" s="1"/>
      <c r="AN3816" s="1"/>
      <c r="AO3816" s="1"/>
      <c r="AP3816" s="1"/>
      <c r="AQ3816" s="1"/>
      <c r="AR3816" s="1"/>
      <c r="AS3816" s="1"/>
      <c r="AT3816" s="1"/>
      <c r="AU3816" s="1"/>
      <c r="AV3816" s="1"/>
      <c r="AW3816" s="1"/>
      <c r="AX3816" s="1"/>
      <c r="AY3816" s="1"/>
      <c r="AZ3816" s="1"/>
      <c r="BA3816" s="1"/>
      <c r="BB3816" s="1"/>
    </row>
    <row r="3817" ht="204.75" customHeight="1">
      <c r="A3817" s="1">
        <v>2153.0</v>
      </c>
      <c r="B3817" s="2" t="s">
        <v>11512</v>
      </c>
      <c r="C3817" s="2">
        <f>IFERROR(__xludf.DUMMYFUNCTION("split(B3817,""_"")"),1504.0)</f>
        <v>1504</v>
      </c>
      <c r="D3817" s="2" t="str">
        <f>IFERROR(__xludf.DUMMYFUNCTION("""COMPUTED_VALUE"""),"NTV")</f>
        <v>NTV</v>
      </c>
      <c r="E3817" s="2" t="str">
        <f>IFERROR(__xludf.DUMMYFUNCTION("""COMPUTED_VALUE"""),"水22")</f>
        <v>水22</v>
      </c>
      <c r="F3817" s="2" t="s">
        <v>11513</v>
      </c>
      <c r="G3817" s="2" t="s">
        <v>11523</v>
      </c>
      <c r="H3817" s="1">
        <v>4.0</v>
      </c>
      <c r="I3817" s="1" t="s">
        <v>2880</v>
      </c>
      <c r="J3817" s="1" t="s">
        <v>82</v>
      </c>
      <c r="K3817" s="2" t="s">
        <v>11524</v>
      </c>
      <c r="L3817" s="11" t="s">
        <v>11525</v>
      </c>
      <c r="M3817" s="2" t="str">
        <f>IFERROR(__xludf.DUMMYFUNCTION("split(split(K3817,""【演出"",false),""ほか"",false)"),"堺雅人、蒼井優、吉瀬美智子、内田有紀、高梨臨、高橋一生、真飛聖、中西美帆、余貴美子、マイコ、遠藤憲一、酒井若菜、長塚圭史、松重豊、石橋蓮司、高畑淳子、小日向文世　")</f>
        <v>堺雅人、蒼井優、吉瀬美智子、内田有紀、高梨臨、高橋一生、真飛聖、中西美帆、余貴美子、マイコ、遠藤憲一、酒井若菜、長塚圭史、松重豊、石橋蓮司、高畑淳子、小日向文世　</v>
      </c>
      <c r="N3817" s="2" t="str">
        <f>IFERROR(__xludf.DUMMYFUNCTION("""COMPUTED_VALUE"""),"患者の牧子(マイコ)が診察中宮川からセクハラをされたと訴え、騒ぎになる。しかし、宮川は転んだ彼女を助けただけだったと主張。そんな中、牧子の娘・千果(井上琳水)が姿を消す。千果は、病院で出会った夢乃(蒼井優)に連れられて遊園地で遊んでいた。倫太郎(堺雅人)が迎えに行くと、夢乃は怯えた少女のような態度。彼女の中の別人格が現れていたと判断した倫太郎は、彼女の精神疾患を確信する…。")</f>
        <v>患者の牧子(マイコ)が診察中宮川からセクハラをされたと訴え、騒ぎになる。しかし、宮川は転んだ彼女を助けただけだったと主張。そんな中、牧子の娘・千果(井上琳水)が姿を消す。千果は、病院で出会った夢乃(蒼井優)に連れられて遊園地で遊んでいた。倫太郎(堺雅人)が迎えに行くと、夢乃は怯えた少女のような態度。彼女の中の別人格が現れていたと判断した倫太郎は、彼女の精神疾患を確信する…。</v>
      </c>
      <c r="O3817" s="2"/>
      <c r="P3817" s="1"/>
      <c r="Q3817" s="1"/>
      <c r="R3817" s="1"/>
      <c r="S3817" s="1"/>
      <c r="T3817" s="1"/>
      <c r="U3817" s="1"/>
      <c r="V3817" s="1"/>
      <c r="W3817" s="1"/>
      <c r="X3817" s="1"/>
      <c r="Y3817" s="1"/>
      <c r="Z3817" s="1"/>
      <c r="AA3817" s="1"/>
      <c r="AB3817" s="1"/>
      <c r="AC3817" s="1"/>
      <c r="AD3817" s="1"/>
      <c r="AE3817" s="1"/>
      <c r="AF3817" s="1"/>
      <c r="AG3817" s="1"/>
      <c r="AH3817" s="1"/>
      <c r="AI3817" s="1"/>
      <c r="AJ3817" s="1"/>
      <c r="AK3817" s="1"/>
      <c r="AL3817" s="1"/>
      <c r="AM3817" s="1"/>
      <c r="AN3817" s="1"/>
      <c r="AO3817" s="1"/>
      <c r="AP3817" s="1"/>
      <c r="AQ3817" s="1"/>
      <c r="AR3817" s="1"/>
      <c r="AS3817" s="1"/>
      <c r="AT3817" s="1"/>
      <c r="AU3817" s="1"/>
      <c r="AV3817" s="1"/>
      <c r="AW3817" s="1"/>
      <c r="AX3817" s="1"/>
      <c r="AY3817" s="1"/>
      <c r="AZ3817" s="1"/>
      <c r="BA3817" s="1"/>
      <c r="BB3817" s="1"/>
    </row>
    <row r="3818" ht="204.75" customHeight="1">
      <c r="A3818" s="1">
        <v>2154.0</v>
      </c>
      <c r="B3818" s="2" t="s">
        <v>11512</v>
      </c>
      <c r="C3818" s="2">
        <f>IFERROR(__xludf.DUMMYFUNCTION("split(B3818,""_"")"),1504.0)</f>
        <v>1504</v>
      </c>
      <c r="D3818" s="2" t="str">
        <f>IFERROR(__xludf.DUMMYFUNCTION("""COMPUTED_VALUE"""),"NTV")</f>
        <v>NTV</v>
      </c>
      <c r="E3818" s="2" t="str">
        <f>IFERROR(__xludf.DUMMYFUNCTION("""COMPUTED_VALUE"""),"水22")</f>
        <v>水22</v>
      </c>
      <c r="F3818" s="2" t="s">
        <v>11513</v>
      </c>
      <c r="G3818" s="2" t="s">
        <v>11526</v>
      </c>
      <c r="H3818" s="1">
        <v>5.0</v>
      </c>
      <c r="I3818" s="1" t="s">
        <v>2884</v>
      </c>
      <c r="J3818" s="1" t="s">
        <v>82</v>
      </c>
      <c r="K3818" s="2" t="s">
        <v>11527</v>
      </c>
      <c r="L3818" s="11" t="s">
        <v>11528</v>
      </c>
      <c r="M3818" s="2" t="str">
        <f>IFERROR(__xludf.DUMMYFUNCTION("split(split(K3818,""【演出"",false),""ほか"",false)"),"堺雅人、蒼井優、吉瀬美智子、内田有紀、高梨臨、高橋一生、真飛聖、中西美帆、余貴美子、遠藤憲一、酒井若菜、長塚圭史、松重豊、石橋蓮司、高畑淳子、小日向文世　")</f>
        <v>堺雅人、蒼井優、吉瀬美智子、内田有紀、高梨臨、高橋一生、真飛聖、中西美帆、余貴美子、遠藤憲一、酒井若菜、長塚圭史、松重豊、石橋蓮司、高畑淳子、小日向文世　</v>
      </c>
      <c r="N3818" s="2" t="str">
        <f>IFERROR(__xludf.DUMMYFUNCTION("""COMPUTED_VALUE"""),"倫太郎(堺雅人)のもとへ葉子(高梨臨)が友人のことで相談を持ちかける。彼女はもともと福原(高橋一生)の患者だったが、症状が再発した模様。しかし事情はそれだけではなさそうだ…。夢乃を解離性同一性障害であると診断した倫太郎は、彼女のことを強く心配する。百合子(吉瀬美智子)からは「医師としての境界を越えるな」と忠告される。そんな中、夢乃が海で失踪してしまう。倫太郎は、彼女を探しに向かったのだが…。")</f>
        <v>倫太郎(堺雅人)のもとへ葉子(高梨臨)が友人のことで相談を持ちかける。彼女はもともと福原(高橋一生)の患者だったが、症状が再発した模様。しかし事情はそれだけではなさそうだ…。夢乃を解離性同一性障害であると診断した倫太郎は、彼女のことを強く心配する。百合子(吉瀬美智子)からは「医師としての境界を越えるな」と忠告される。そんな中、夢乃が海で失踪してしまう。倫太郎は、彼女を探しに向かったのだが…。</v>
      </c>
      <c r="O3818" s="2"/>
      <c r="P3818" s="1"/>
      <c r="Q3818" s="1"/>
      <c r="R3818" s="1"/>
      <c r="S3818" s="1"/>
      <c r="T3818" s="1"/>
      <c r="U3818" s="1"/>
      <c r="V3818" s="1"/>
      <c r="W3818" s="1"/>
      <c r="X3818" s="1"/>
      <c r="Y3818" s="1"/>
      <c r="Z3818" s="1"/>
      <c r="AA3818" s="1"/>
      <c r="AB3818" s="1"/>
      <c r="AC3818" s="1"/>
      <c r="AD3818" s="1"/>
      <c r="AE3818" s="1"/>
      <c r="AF3818" s="1"/>
      <c r="AG3818" s="1"/>
      <c r="AH3818" s="1"/>
      <c r="AI3818" s="1"/>
      <c r="AJ3818" s="1"/>
      <c r="AK3818" s="1"/>
      <c r="AL3818" s="1"/>
      <c r="AM3818" s="1"/>
      <c r="AN3818" s="1"/>
      <c r="AO3818" s="1"/>
      <c r="AP3818" s="1"/>
      <c r="AQ3818" s="1"/>
      <c r="AR3818" s="1"/>
      <c r="AS3818" s="1"/>
      <c r="AT3818" s="1"/>
      <c r="AU3818" s="1"/>
      <c r="AV3818" s="1"/>
      <c r="AW3818" s="1"/>
      <c r="AX3818" s="1"/>
      <c r="AY3818" s="1"/>
      <c r="AZ3818" s="1"/>
      <c r="BA3818" s="1"/>
      <c r="BB3818" s="1"/>
    </row>
    <row r="3819" ht="204.75" customHeight="1">
      <c r="A3819" s="1">
        <v>2155.0</v>
      </c>
      <c r="B3819" s="2" t="s">
        <v>11512</v>
      </c>
      <c r="C3819" s="2">
        <f>IFERROR(__xludf.DUMMYFUNCTION("split(B3819,""_"")"),1504.0)</f>
        <v>1504</v>
      </c>
      <c r="D3819" s="2" t="str">
        <f>IFERROR(__xludf.DUMMYFUNCTION("""COMPUTED_VALUE"""),"NTV")</f>
        <v>NTV</v>
      </c>
      <c r="E3819" s="2" t="str">
        <f>IFERROR(__xludf.DUMMYFUNCTION("""COMPUTED_VALUE"""),"水22")</f>
        <v>水22</v>
      </c>
      <c r="F3819" s="2" t="s">
        <v>11513</v>
      </c>
      <c r="G3819" s="2" t="s">
        <v>11529</v>
      </c>
      <c r="H3819" s="1">
        <v>6.0</v>
      </c>
      <c r="I3819" s="1" t="s">
        <v>2888</v>
      </c>
      <c r="J3819" s="1" t="s">
        <v>82</v>
      </c>
      <c r="K3819" s="2" t="s">
        <v>11530</v>
      </c>
      <c r="L3819" s="11" t="s">
        <v>11531</v>
      </c>
      <c r="M3819" s="2" t="str">
        <f>IFERROR(__xludf.DUMMYFUNCTION("split(split(K3819,""【演出"",false),""ほか"",false)"),"堺雅人、蒼井優、吉瀬美智子、内田有紀、高梨臨、高橋一生、真飛聖、中西美帆、余貴美子、遠藤憲一、酒井若菜、長塚圭史、松重豊、石橋蓮司、高畑淳子、小日向文世　")</f>
        <v>堺雅人、蒼井優、吉瀬美智子、内田有紀、高梨臨、高橋一生、真飛聖、中西美帆、余貴美子、遠藤憲一、酒井若菜、長塚圭史、松重豊、石橋蓮司、高畑淳子、小日向文世　</v>
      </c>
      <c r="N3819" s="2" t="str">
        <f>IFERROR(__xludf.DUMMYFUNCTION("""COMPUTED_VALUE"""),"倫太郎(堺雅人)と明良(蒼井優)が、交流を深めていく中、明良のもう一つの人格・夢乃は、明良に近付く倫太郎に激しい敵意を抱いていた。そんな中、ストーカー被害で精神的に不安定になっているという好美(山田真歩)が訪れ、倫太郎に助けを求める。葉子(高梨臨)は、倫太郎に近付く明良や好美に、つい冷たい目をむけてしまう。一方、倫太郎への嫌がらせはエスカレートし、愛犬の弥助が連れ去られてしまう・・・。")</f>
        <v>倫太郎(堺雅人)と明良(蒼井優)が、交流を深めていく中、明良のもう一つの人格・夢乃は、明良に近付く倫太郎に激しい敵意を抱いていた。そんな中、ストーカー被害で精神的に不安定になっているという好美(山田真歩)が訪れ、倫太郎に助けを求める。葉子(高梨臨)は、倫太郎に近付く明良や好美に、つい冷たい目をむけてしまう。一方、倫太郎への嫌がらせはエスカレートし、愛犬の弥助が連れ去られてしまう・・・。</v>
      </c>
      <c r="O3819" s="2"/>
      <c r="P3819" s="1"/>
      <c r="Q3819" s="1"/>
      <c r="R3819" s="1"/>
      <c r="S3819" s="1"/>
      <c r="T3819" s="1"/>
      <c r="U3819" s="1"/>
      <c r="V3819" s="1"/>
      <c r="W3819" s="1"/>
      <c r="X3819" s="1"/>
      <c r="Y3819" s="1"/>
      <c r="Z3819" s="1"/>
      <c r="AA3819" s="1"/>
      <c r="AB3819" s="1"/>
      <c r="AC3819" s="1"/>
      <c r="AD3819" s="1"/>
      <c r="AE3819" s="1"/>
      <c r="AF3819" s="1"/>
      <c r="AG3819" s="1"/>
      <c r="AH3819" s="1"/>
      <c r="AI3819" s="1"/>
      <c r="AJ3819" s="1"/>
      <c r="AK3819" s="1"/>
      <c r="AL3819" s="1"/>
      <c r="AM3819" s="1"/>
      <c r="AN3819" s="1"/>
      <c r="AO3819" s="1"/>
      <c r="AP3819" s="1"/>
      <c r="AQ3819" s="1"/>
      <c r="AR3819" s="1"/>
      <c r="AS3819" s="1"/>
      <c r="AT3819" s="1"/>
      <c r="AU3819" s="1"/>
      <c r="AV3819" s="1"/>
      <c r="AW3819" s="1"/>
      <c r="AX3819" s="1"/>
      <c r="AY3819" s="1"/>
      <c r="AZ3819" s="1"/>
      <c r="BA3819" s="1"/>
      <c r="BB3819" s="1"/>
    </row>
    <row r="3820" ht="204.75" customHeight="1">
      <c r="A3820" s="1">
        <v>2156.0</v>
      </c>
      <c r="B3820" s="2" t="s">
        <v>11512</v>
      </c>
      <c r="C3820" s="2">
        <f>IFERROR(__xludf.DUMMYFUNCTION("split(B3820,""_"")"),1504.0)</f>
        <v>1504</v>
      </c>
      <c r="D3820" s="2" t="str">
        <f>IFERROR(__xludf.DUMMYFUNCTION("""COMPUTED_VALUE"""),"NTV")</f>
        <v>NTV</v>
      </c>
      <c r="E3820" s="2" t="str">
        <f>IFERROR(__xludf.DUMMYFUNCTION("""COMPUTED_VALUE"""),"水22")</f>
        <v>水22</v>
      </c>
      <c r="F3820" s="2" t="s">
        <v>11513</v>
      </c>
      <c r="G3820" s="2" t="s">
        <v>11532</v>
      </c>
      <c r="H3820" s="1">
        <v>7.0</v>
      </c>
      <c r="I3820" s="1" t="s">
        <v>2892</v>
      </c>
      <c r="J3820" s="1" t="s">
        <v>82</v>
      </c>
      <c r="K3820" s="2" t="s">
        <v>11533</v>
      </c>
      <c r="L3820" s="11" t="s">
        <v>11534</v>
      </c>
      <c r="M3820" s="2" t="str">
        <f>IFERROR(__xludf.DUMMYFUNCTION("split(split(K3820,""【演出"",false),""ほか"",false)"),"堺雅人、蒼井優、吉瀬美智子、内田有紀、高梨臨、高橋一生、真飛聖、中西美帆、余貴美子、遠藤憲一、酒井若菜、長塚圭史、松重豊、石橋蓮司、高畑淳子、小日向文世　")</f>
        <v>堺雅人、蒼井優、吉瀬美智子、内田有紀、高梨臨、高橋一生、真飛聖、中西美帆、余貴美子、遠藤憲一、酒井若菜、長塚圭史、松重豊、石橋蓮司、高畑淳子、小日向文世　</v>
      </c>
      <c r="N3820" s="2" t="str">
        <f>IFERROR(__xludf.DUMMYFUNCTION("""COMPUTED_VALUE"""),"倫太郎(堺雅人)は明良(蒼井優)の診察を本格的に開始。しかし、彼女の別人格・夢乃は診察室で暴れ、倫太郎に抵抗。そんな中、薫(内田有紀)の息子が美術展でグランプリを受賞。サヴァン症候群を伴う自閉症スペクトラムである彼に興味を持った宮川(長塚圭史)は、深也を研究対象にしたいと申し出る。激しく反対する倫太郎だが、円能寺(小日向文世)に担当を外れるよう命じられてしまう。落ち込む倫太郎の前に、明良が現れ…。")</f>
        <v>倫太郎(堺雅人)は明良(蒼井優)の診察を本格的に開始。しかし、彼女の別人格・夢乃は診察室で暴れ、倫太郎に抵抗。そんな中、薫(内田有紀)の息子が美術展でグランプリを受賞。サヴァン症候群を伴う自閉症スペクトラムである彼に興味を持った宮川(長塚圭史)は、深也を研究対象にしたいと申し出る。激しく反対する倫太郎だが、円能寺(小日向文世)に担当を外れるよう命じられてしまう。落ち込む倫太郎の前に、明良が現れ…。</v>
      </c>
      <c r="O3820" s="2"/>
      <c r="P3820" s="1"/>
      <c r="Q3820" s="1"/>
      <c r="R3820" s="1"/>
      <c r="S3820" s="1"/>
      <c r="T3820" s="1"/>
      <c r="U3820" s="1"/>
      <c r="V3820" s="1"/>
      <c r="W3820" s="1"/>
      <c r="X3820" s="1"/>
      <c r="Y3820" s="1"/>
      <c r="Z3820" s="1"/>
      <c r="AA3820" s="1"/>
      <c r="AB3820" s="1"/>
      <c r="AC3820" s="1"/>
      <c r="AD3820" s="1"/>
      <c r="AE3820" s="1"/>
      <c r="AF3820" s="1"/>
      <c r="AG3820" s="1"/>
      <c r="AH3820" s="1"/>
      <c r="AI3820" s="1"/>
      <c r="AJ3820" s="1"/>
      <c r="AK3820" s="1"/>
      <c r="AL3820" s="1"/>
      <c r="AM3820" s="1"/>
      <c r="AN3820" s="1"/>
      <c r="AO3820" s="1"/>
      <c r="AP3820" s="1"/>
      <c r="AQ3820" s="1"/>
      <c r="AR3820" s="1"/>
      <c r="AS3820" s="1"/>
      <c r="AT3820" s="1"/>
      <c r="AU3820" s="1"/>
      <c r="AV3820" s="1"/>
      <c r="AW3820" s="1"/>
      <c r="AX3820" s="1"/>
      <c r="AY3820" s="1"/>
      <c r="AZ3820" s="1"/>
      <c r="BA3820" s="1"/>
      <c r="BB3820" s="1"/>
    </row>
    <row r="3821" ht="204.75" customHeight="1">
      <c r="A3821" s="1">
        <v>2157.0</v>
      </c>
      <c r="B3821" s="2" t="s">
        <v>11512</v>
      </c>
      <c r="C3821" s="2">
        <f>IFERROR(__xludf.DUMMYFUNCTION("split(B3821,""_"")"),1504.0)</f>
        <v>1504</v>
      </c>
      <c r="D3821" s="2" t="str">
        <f>IFERROR(__xludf.DUMMYFUNCTION("""COMPUTED_VALUE"""),"NTV")</f>
        <v>NTV</v>
      </c>
      <c r="E3821" s="2" t="str">
        <f>IFERROR(__xludf.DUMMYFUNCTION("""COMPUTED_VALUE"""),"水22")</f>
        <v>水22</v>
      </c>
      <c r="F3821" s="2" t="s">
        <v>11513</v>
      </c>
      <c r="G3821" s="2" t="s">
        <v>11535</v>
      </c>
      <c r="H3821" s="1">
        <v>8.0</v>
      </c>
      <c r="I3821" s="1" t="s">
        <v>2896</v>
      </c>
      <c r="J3821" s="1" t="s">
        <v>82</v>
      </c>
      <c r="K3821" s="2" t="s">
        <v>11536</v>
      </c>
      <c r="L3821" s="11" t="s">
        <v>11537</v>
      </c>
      <c r="M3821" s="2" t="str">
        <f>IFERROR(__xludf.DUMMYFUNCTION("split(split(K3821,""【演出"",false),""ほか"",false)"),"堺雅人、蒼井優、吉瀬美智子、内田有紀、高梨臨、高橋一生、真飛聖、中西美帆、余貴美子、遠藤憲一、酒井若菜、長塚圭史、松重豊、石橋蓮司、高畑淳子、小日向文世　")</f>
        <v>堺雅人、蒼井優、吉瀬美智子、内田有紀、高梨臨、高橋一生、真飛聖、中西美帆、余貴美子、遠藤憲一、酒井若菜、長塚圭史、松重豊、石橋蓮司、高畑淳子、小日向文世　</v>
      </c>
      <c r="N3821" s="2" t="str">
        <f>IFERROR(__xludf.DUMMYFUNCTION("""COMPUTED_VALUE"""),"倫太郎(堺雅人)は副院長で脳外科医の蓮見(松重豊)の視力が落ちていることに気付き、心因性の視力障害を疑う。蓮見は、理事長の円能寺(小日向文世)から政治的理由で強引に手術執刀を命じられていた。倫太郎は、蓮見の目が見えなくなった原因を探るため、蓮見の同期だった荒木(遠藤憲一)に相談。そして、過去に隠された「ある事件」が明らかになる。一方、るり子(高畑淳子)から呼び出された明良(蒼井優)に悲劇が…。")</f>
        <v>倫太郎(堺雅人)は副院長で脳外科医の蓮見(松重豊)の視力が落ちていることに気付き、心因性の視力障害を疑う。蓮見は、理事長の円能寺(小日向文世)から政治的理由で強引に手術執刀を命じられていた。倫太郎は、蓮見の目が見えなくなった原因を探るため、蓮見の同期だった荒木(遠藤憲一)に相談。そして、過去に隠された「ある事件」が明らかになる。一方、るり子(高畑淳子)から呼び出された明良(蒼井優)に悲劇が…。</v>
      </c>
      <c r="O3821" s="2"/>
      <c r="P3821" s="1"/>
      <c r="Q3821" s="1"/>
      <c r="R3821" s="1"/>
      <c r="S3821" s="1"/>
      <c r="T3821" s="1"/>
      <c r="U3821" s="1"/>
      <c r="V3821" s="1"/>
      <c r="W3821" s="1"/>
      <c r="X3821" s="1"/>
      <c r="Y3821" s="1"/>
      <c r="Z3821" s="1"/>
      <c r="AA3821" s="1"/>
      <c r="AB3821" s="1"/>
      <c r="AC3821" s="1"/>
      <c r="AD3821" s="1"/>
      <c r="AE3821" s="1"/>
      <c r="AF3821" s="1"/>
      <c r="AG3821" s="1"/>
      <c r="AH3821" s="1"/>
      <c r="AI3821" s="1"/>
      <c r="AJ3821" s="1"/>
      <c r="AK3821" s="1"/>
      <c r="AL3821" s="1"/>
      <c r="AM3821" s="1"/>
      <c r="AN3821" s="1"/>
      <c r="AO3821" s="1"/>
      <c r="AP3821" s="1"/>
      <c r="AQ3821" s="1"/>
      <c r="AR3821" s="1"/>
      <c r="AS3821" s="1"/>
      <c r="AT3821" s="1"/>
      <c r="AU3821" s="1"/>
      <c r="AV3821" s="1"/>
      <c r="AW3821" s="1"/>
      <c r="AX3821" s="1"/>
      <c r="AY3821" s="1"/>
      <c r="AZ3821" s="1"/>
      <c r="BA3821" s="1"/>
      <c r="BB3821" s="1"/>
    </row>
    <row r="3822" ht="204.75" customHeight="1">
      <c r="A3822" s="1">
        <v>2158.0</v>
      </c>
      <c r="B3822" s="2" t="s">
        <v>11512</v>
      </c>
      <c r="C3822" s="2">
        <f>IFERROR(__xludf.DUMMYFUNCTION("split(B3822,""_"")"),1504.0)</f>
        <v>1504</v>
      </c>
      <c r="D3822" s="2" t="str">
        <f>IFERROR(__xludf.DUMMYFUNCTION("""COMPUTED_VALUE"""),"NTV")</f>
        <v>NTV</v>
      </c>
      <c r="E3822" s="2" t="str">
        <f>IFERROR(__xludf.DUMMYFUNCTION("""COMPUTED_VALUE"""),"水22")</f>
        <v>水22</v>
      </c>
      <c r="F3822" s="2" t="s">
        <v>11513</v>
      </c>
      <c r="G3822" s="2" t="s">
        <v>11538</v>
      </c>
      <c r="H3822" s="1">
        <v>9.0</v>
      </c>
      <c r="I3822" s="1" t="s">
        <v>2900</v>
      </c>
      <c r="J3822" s="1" t="s">
        <v>82</v>
      </c>
      <c r="K3822" s="2" t="s">
        <v>11539</v>
      </c>
      <c r="L3822" s="11" t="s">
        <v>11540</v>
      </c>
      <c r="M3822" s="2" t="str">
        <f>IFERROR(__xludf.DUMMYFUNCTION("split(split(K3822,""【演出"",false),""ほか"",false)"),"堺雅人、蒼井優、吉瀬美智子、内田有紀、高梨臨、高橋一生、真飛聖、中西美帆、余貴美子、遠藤憲一、酒井若菜、長塚圭史、松重豊、石橋蓮司、高畑淳子、小日向文世　")</f>
        <v>堺雅人、蒼井優、吉瀬美智子、内田有紀、高梨臨、高橋一生、真飛聖、中西美帆、余貴美子、遠藤憲一、酒井若菜、長塚圭史、松重豊、石橋蓮司、高畑淳子、小日向文世　</v>
      </c>
      <c r="N3822" s="2" t="str">
        <f>IFERROR(__xludf.DUMMYFUNCTION("""COMPUTED_VALUE"""),"倫太郎(堺雅人)と夢乃(蒼井優)の路上キス写真によって、倫太郎はスキャンダルの渦中に。彼の代わりに慧南大学病院に荒木(遠藤憲一)が復帰することになるが、その真意は不明。夢乃は倫太郎の心の傷をえぐって彼を挑発するが、それでも倫太郎は医師として夢乃を受け入れ、救おうとする。そんな倫太郎に戸惑い、逆上した夢乃は、るり子(高畑淳子)と組んで「ある策略」を仕掛け、倫太郎をますます窮地に追い込むのだった…")</f>
        <v>倫太郎(堺雅人)と夢乃(蒼井優)の路上キス写真によって、倫太郎はスキャンダルの渦中に。彼の代わりに慧南大学病院に荒木(遠藤憲一)が復帰することになるが、その真意は不明。夢乃は倫太郎の心の傷をえぐって彼を挑発するが、それでも倫太郎は医師として夢乃を受け入れ、救おうとする。そんな倫太郎に戸惑い、逆上した夢乃は、るり子(高畑淳子)と組んで「ある策略」を仕掛け、倫太郎をますます窮地に追い込むのだった…</v>
      </c>
      <c r="O3822" s="2"/>
      <c r="P3822" s="1"/>
      <c r="Q3822" s="1"/>
      <c r="R3822" s="1"/>
      <c r="S3822" s="1"/>
      <c r="T3822" s="1"/>
      <c r="U3822" s="1"/>
      <c r="V3822" s="1"/>
      <c r="W3822" s="1"/>
      <c r="X3822" s="1"/>
      <c r="Y3822" s="1"/>
      <c r="Z3822" s="1"/>
      <c r="AA3822" s="1"/>
      <c r="AB3822" s="1"/>
      <c r="AC3822" s="1"/>
      <c r="AD3822" s="1"/>
      <c r="AE3822" s="1"/>
      <c r="AF3822" s="1"/>
      <c r="AG3822" s="1"/>
      <c r="AH3822" s="1"/>
      <c r="AI3822" s="1"/>
      <c r="AJ3822" s="1"/>
      <c r="AK3822" s="1"/>
      <c r="AL3822" s="1"/>
      <c r="AM3822" s="1"/>
      <c r="AN3822" s="1"/>
      <c r="AO3822" s="1"/>
      <c r="AP3822" s="1"/>
      <c r="AQ3822" s="1"/>
      <c r="AR3822" s="1"/>
      <c r="AS3822" s="1"/>
      <c r="AT3822" s="1"/>
      <c r="AU3822" s="1"/>
      <c r="AV3822" s="1"/>
      <c r="AW3822" s="1"/>
      <c r="AX3822" s="1"/>
      <c r="AY3822" s="1"/>
      <c r="AZ3822" s="1"/>
      <c r="BA3822" s="1"/>
      <c r="BB3822" s="1"/>
    </row>
    <row r="3823" ht="204.75" customHeight="1">
      <c r="A3823" s="1">
        <v>2159.0</v>
      </c>
      <c r="B3823" s="2" t="s">
        <v>11512</v>
      </c>
      <c r="C3823" s="2">
        <f>IFERROR(__xludf.DUMMYFUNCTION("split(B3823,""_"")"),1504.0)</f>
        <v>1504</v>
      </c>
      <c r="D3823" s="2" t="str">
        <f>IFERROR(__xludf.DUMMYFUNCTION("""COMPUTED_VALUE"""),"NTV")</f>
        <v>NTV</v>
      </c>
      <c r="E3823" s="2" t="str">
        <f>IFERROR(__xludf.DUMMYFUNCTION("""COMPUTED_VALUE"""),"水22")</f>
        <v>水22</v>
      </c>
      <c r="F3823" s="2" t="s">
        <v>11513</v>
      </c>
      <c r="G3823" s="2" t="s">
        <v>11541</v>
      </c>
      <c r="H3823" s="1">
        <v>10.0</v>
      </c>
      <c r="I3823" s="1" t="s">
        <v>37</v>
      </c>
      <c r="J3823" s="1" t="s">
        <v>82</v>
      </c>
      <c r="K3823" s="2" t="s">
        <v>11542</v>
      </c>
      <c r="L3823" s="11" t="s">
        <v>11543</v>
      </c>
      <c r="M3823" s="2" t="str">
        <f>IFERROR(__xludf.DUMMYFUNCTION("split(split(K3823,""【演出"",false),""ほか"",false)"),"堺雅人、蒼井優、吉瀬美智子、内田有紀、高梨臨、高橋一生、真飛聖、中西美帆、余貴美子、遠藤憲一、酒井若菜、長塚圭史、松重豊、石橋蓮司、高畑淳子、小日向文世　")</f>
        <v>堺雅人、蒼井優、吉瀬美智子、内田有紀、高梨臨、高橋一生、真飛聖、中西美帆、余貴美子、遠藤憲一、酒井若菜、長塚圭史、松重豊、石橋蓮司、高畑淳子、小日向文世　</v>
      </c>
      <c r="N3823" s="2" t="str">
        <f>IFERROR(__xludf.DUMMYFUNCTION("""COMPUTED_VALUE"""),"自宅謹慎を命じられた倫太郎(堺雅人)は、明良(蒼井優)とともに穏やかな時間を過ごし、明良の解離されていた人格が統合されたのではないか思えるほど治療の効果を感じ始めていた。一方、新病院開業の野望が破れた円能寺(小日向文世)は、その失意から精神を病み、暴れ始める。明良の存在が自分自身にとって、無くてはならないものだと気づいた倫太郎は、母の命日、自分の気持ちを明良に告白する決意をする。")</f>
        <v>自宅謹慎を命じられた倫太郎(堺雅人)は、明良(蒼井優)とともに穏やかな時間を過ごし、明良の解離されていた人格が統合されたのではないか思えるほど治療の効果を感じ始めていた。一方、新病院開業の野望が破れた円能寺(小日向文世)は、その失意から精神を病み、暴れ始める。明良の存在が自分自身にとって、無くてはならないものだと気づいた倫太郎は、母の命日、自分の気持ちを明良に告白する決意をする。</v>
      </c>
      <c r="O3823" s="2"/>
      <c r="P3823" s="1"/>
      <c r="Q3823" s="1"/>
      <c r="R3823" s="1"/>
      <c r="S3823" s="1"/>
      <c r="T3823" s="1"/>
      <c r="U3823" s="1"/>
      <c r="V3823" s="1"/>
      <c r="W3823" s="1"/>
      <c r="X3823" s="1"/>
      <c r="Y3823" s="1"/>
      <c r="Z3823" s="1"/>
      <c r="AA3823" s="1"/>
      <c r="AB3823" s="1"/>
      <c r="AC3823" s="1"/>
      <c r="AD3823" s="1"/>
      <c r="AE3823" s="1"/>
      <c r="AF3823" s="1"/>
      <c r="AG3823" s="1"/>
      <c r="AH3823" s="1"/>
      <c r="AI3823" s="1"/>
      <c r="AJ3823" s="1"/>
      <c r="AK3823" s="1"/>
      <c r="AL3823" s="1"/>
      <c r="AM3823" s="1"/>
      <c r="AN3823" s="1"/>
      <c r="AO3823" s="1"/>
      <c r="AP3823" s="1"/>
      <c r="AQ3823" s="1"/>
      <c r="AR3823" s="1"/>
      <c r="AS3823" s="1"/>
      <c r="AT3823" s="1"/>
      <c r="AU3823" s="1"/>
      <c r="AV3823" s="1"/>
      <c r="AW3823" s="1"/>
      <c r="AX3823" s="1"/>
      <c r="AY3823" s="1"/>
      <c r="AZ3823" s="1"/>
      <c r="BA3823" s="1"/>
      <c r="BB3823" s="1"/>
    </row>
    <row r="3824" ht="204.75" customHeight="1">
      <c r="A3824" s="1">
        <v>2201.0</v>
      </c>
      <c r="B3824" s="2" t="s">
        <v>11544</v>
      </c>
      <c r="C3824" s="2">
        <f>IFERROR(__xludf.DUMMYFUNCTION("split(B3824,""_"")"),1504.0)</f>
        <v>1504</v>
      </c>
      <c r="D3824" s="2" t="str">
        <f>IFERROR(__xludf.DUMMYFUNCTION("""COMPUTED_VALUE"""),"NTV")</f>
        <v>NTV</v>
      </c>
      <c r="E3824" s="2" t="str">
        <f>IFERROR(__xludf.DUMMYFUNCTION("""COMPUTED_VALUE"""),"木23")</f>
        <v>木23</v>
      </c>
      <c r="F3824" s="2" t="s">
        <v>11545</v>
      </c>
      <c r="G3824" s="2" t="s">
        <v>11546</v>
      </c>
      <c r="H3824" s="1">
        <v>1.0</v>
      </c>
      <c r="J3824" s="1" t="s">
        <v>1435</v>
      </c>
      <c r="K3824" s="2" t="s">
        <v>11547</v>
      </c>
      <c r="L3824" s="2"/>
      <c r="M3824" s="2" t="str">
        <f>IFERROR(__xludf.DUMMYFUNCTION("split(split(K3824,""【演出"",false),""ほか"",false)"),"比嘉愛未  満島真之介    佐津川愛美  淵上泰史  中尾明慶  江口のりこ  町田マリー  松川星  横山芽生(子役)  河合透真  川添野愛    大石吾朗    佐藤隆太「俺がお前に再婚相手を見つけてやるよ!」別れた夫の口から飛び出した突然の爆弾発言。離婚したあとも奇妙な交友関係を続ける、衛藤はる(比嘉愛未)と早勢理一郎(満島真之介)の元夫婦は、ひょんなことから互いの再婚相手を紹介しあうことに。最初は、ちょっとした意地の張り合いだった。なのに、2人が動けば動くほど、運命の糸はどんどん絡まりだして…"&amp;"…。果たしてはると理一郎の恋の行く末は?【原作】  『恋愛時代』野沢尚(幻冬舎文庫)【主題歌】  「ありがとうForever...」西内まりや4月2日「す・またん!」(関西)「ZIP!」「スッキリ!!」「PON!」「ヒルナンデス!」「ミヤネ屋」電波ジャック決定!!  さらに、よる9時放送  「秘密のケンミンSHOWスペシャル」に比嘉愛未さん出演【番組公式サイト】  http://www.ytv.co.jp/renaijidai/  【番組公式facebook】  https://www.facebook."&amp;"com/renaijidai  【番組公式instagram】  http://instagram.com/ytv.drama  【番組公式Twitter】  https://twitter.com/ytvdrama  #恋愛時代")</f>
        <v>比嘉愛未  満島真之介    佐津川愛美  淵上泰史  中尾明慶  江口のりこ  町田マリー  松川星  横山芽生(子役)  河合透真  川添野愛    大石吾朗    佐藤隆太「俺がお前に再婚相手を見つけてやるよ!」別れた夫の口から飛び出した突然の爆弾発言。離婚したあとも奇妙な交友関係を続ける、衛藤はる(比嘉愛未)と早勢理一郎(満島真之介)の元夫婦は、ひょんなことから互いの再婚相手を紹介しあうことに。最初は、ちょっとした意地の張り合いだった。なのに、2人が動けば動くほど、運命の糸はどんどん絡まりだして……。果たしてはると理一郎の恋の行く末は?【原作】  『恋愛時代』野沢尚(幻冬舎文庫)【主題歌】  「ありがとうForever...」西内まりや4月2日「す・またん!」(関西)「ZIP!」「スッキリ!!」「PON!」「ヒルナンデス!」「ミヤネ屋」電波ジャック決定!!  さらに、よる9時放送  「秘密のケンミンSHOWスペシャル」に比嘉愛未さん出演【番組公式サイト】  http://www.ytv.co.jp/renaijidai/  【番組公式facebook】  https://www.facebook.com/renaijidai  【番組公式instagram】  http://instagram.com/ytv.drama  【番組公式Twitter】  https://twitter.com/ytvdrama  #恋愛時代</v>
      </c>
      <c r="N3824" s="2"/>
      <c r="O3824" s="2"/>
      <c r="P3824" s="1"/>
      <c r="Q3824" s="1"/>
      <c r="R3824" s="1"/>
      <c r="S3824" s="1"/>
      <c r="T3824" s="1"/>
      <c r="U3824" s="1"/>
      <c r="V3824" s="1"/>
      <c r="W3824" s="1"/>
      <c r="X3824" s="1"/>
      <c r="Y3824" s="1"/>
      <c r="Z3824" s="1"/>
      <c r="AA3824" s="1"/>
      <c r="AB3824" s="1"/>
      <c r="AC3824" s="1"/>
      <c r="AD3824" s="1"/>
      <c r="AE3824" s="1"/>
      <c r="AF3824" s="1"/>
      <c r="AG3824" s="1"/>
      <c r="AH3824" s="1"/>
      <c r="AI3824" s="1"/>
      <c r="AJ3824" s="1"/>
      <c r="AK3824" s="1"/>
      <c r="AL3824" s="1"/>
      <c r="AM3824" s="1"/>
      <c r="AN3824" s="1"/>
      <c r="AO3824" s="1"/>
      <c r="AP3824" s="1"/>
      <c r="AQ3824" s="1"/>
      <c r="AR3824" s="1"/>
      <c r="AS3824" s="1"/>
      <c r="AT3824" s="1"/>
      <c r="AU3824" s="1"/>
      <c r="AV3824" s="1"/>
      <c r="AW3824" s="1"/>
      <c r="AX3824" s="1"/>
      <c r="AY3824" s="1"/>
      <c r="AZ3824" s="1"/>
      <c r="BA3824" s="1"/>
      <c r="BB3824" s="1"/>
    </row>
    <row r="3825" ht="204.75" customHeight="1">
      <c r="A3825" s="1">
        <v>2202.0</v>
      </c>
      <c r="B3825" s="2" t="s">
        <v>11544</v>
      </c>
      <c r="C3825" s="2">
        <f>IFERROR(__xludf.DUMMYFUNCTION("split(B3825,""_"")"),1504.0)</f>
        <v>1504</v>
      </c>
      <c r="D3825" s="2" t="str">
        <f>IFERROR(__xludf.DUMMYFUNCTION("""COMPUTED_VALUE"""),"NTV")</f>
        <v>NTV</v>
      </c>
      <c r="E3825" s="2" t="str">
        <f>IFERROR(__xludf.DUMMYFUNCTION("""COMPUTED_VALUE"""),"木23")</f>
        <v>木23</v>
      </c>
      <c r="F3825" s="2" t="s">
        <v>11545</v>
      </c>
      <c r="G3825" s="2" t="s">
        <v>11548</v>
      </c>
      <c r="H3825" s="1">
        <v>2.0</v>
      </c>
      <c r="I3825" s="1" t="s">
        <v>2872</v>
      </c>
      <c r="J3825" s="1" t="s">
        <v>1435</v>
      </c>
      <c r="K3825" s="2" t="s">
        <v>11549</v>
      </c>
      <c r="L3825" s="2"/>
      <c r="M3825" s="2" t="str">
        <f>IFERROR(__xludf.DUMMYFUNCTION("split(split(K3825,""【演出"",false),""ほか"",false)"),"比嘉愛未、満島真之介  佐津川愛美、淵上泰史、中尾明慶、江口のりこ、町田マリー、松川星、横山芽生(子役)、河合透真、川添野愛  大石吾朗  佐藤隆太はる(比嘉愛未)と理一郎(満島真之介)の元夫婦は、再婚相手を紹介し合うことに。しかし、はるは理一郎から紹介された永冨(淵上泰史)のアプローチを心から受け入れられず、曖昧な気持ちのままデートの誘いに応じる。理一郎もはるに紹介された子持ちのバツイチ美女・かすみ(佐津川愛美)の強引さにただ押されるばかり。顔を合わせれば意地を張りあってしまう2人の脳裏に、離婚のきっか"&amp;"けとなった悲しい記憶が蘇る……。【原作】『恋愛時代』野沢尚(幻冬舎文庫)【主題歌】「ありがとうForever...」西内まりや4月9日(木)よる9時放送  「ダウンタウンDXDX」に比嘉愛未さん出演!【番組公式サイト】  http://www.ytv.co.jp/renaijidai/  【番組公式facebook】  https://www.facebook.com/renaijidai  【番組公式instagram】  http://instagram.com/ytv.drama  【番組公式Twi"&amp;"tter】  https://twitter.com/ytvdrama　#恋愛時代")</f>
        <v>比嘉愛未、満島真之介  佐津川愛美、淵上泰史、中尾明慶、江口のりこ、町田マリー、松川星、横山芽生(子役)、河合透真、川添野愛  大石吾朗  佐藤隆太はる(比嘉愛未)と理一郎(満島真之介)の元夫婦は、再婚相手を紹介し合うことに。しかし、はるは理一郎から紹介された永冨(淵上泰史)のアプローチを心から受け入れられず、曖昧な気持ちのままデートの誘いに応じる。理一郎もはるに紹介された子持ちのバツイチ美女・かすみ(佐津川愛美)の強引さにただ押されるばかり。顔を合わせれば意地を張りあってしまう2人の脳裏に、離婚のきっかけとなった悲しい記憶が蘇る……。【原作】『恋愛時代』野沢尚(幻冬舎文庫)【主題歌】「ありがとうForever...」西内まりや4月9日(木)よる9時放送  「ダウンタウンDXDX」に比嘉愛未さん出演!【番組公式サイト】  http://www.ytv.co.jp/renaijidai/  【番組公式facebook】  https://www.facebook.com/renaijidai  【番組公式instagram】  http://instagram.com/ytv.drama  【番組公式Twitter】  https://twitter.com/ytvdrama　#恋愛時代</v>
      </c>
      <c r="N3825" s="2"/>
      <c r="O3825" s="2"/>
      <c r="P3825" s="1"/>
      <c r="Q3825" s="1"/>
      <c r="R3825" s="1"/>
      <c r="S3825" s="1"/>
      <c r="T3825" s="1"/>
      <c r="U3825" s="1"/>
      <c r="V3825" s="1"/>
      <c r="W3825" s="1"/>
      <c r="X3825" s="1"/>
      <c r="Y3825" s="1"/>
      <c r="Z3825" s="1"/>
      <c r="AA3825" s="1"/>
      <c r="AB3825" s="1"/>
      <c r="AC3825" s="1"/>
      <c r="AD3825" s="1"/>
      <c r="AE3825" s="1"/>
      <c r="AF3825" s="1"/>
      <c r="AG3825" s="1"/>
      <c r="AH3825" s="1"/>
      <c r="AI3825" s="1"/>
      <c r="AJ3825" s="1"/>
      <c r="AK3825" s="1"/>
      <c r="AL3825" s="1"/>
      <c r="AM3825" s="1"/>
      <c r="AN3825" s="1"/>
      <c r="AO3825" s="1"/>
      <c r="AP3825" s="1"/>
      <c r="AQ3825" s="1"/>
      <c r="AR3825" s="1"/>
      <c r="AS3825" s="1"/>
      <c r="AT3825" s="1"/>
      <c r="AU3825" s="1"/>
      <c r="AV3825" s="1"/>
      <c r="AW3825" s="1"/>
      <c r="AX3825" s="1"/>
      <c r="AY3825" s="1"/>
      <c r="AZ3825" s="1"/>
      <c r="BA3825" s="1"/>
      <c r="BB3825" s="1"/>
    </row>
    <row r="3826" ht="204.75" customHeight="1">
      <c r="A3826" s="1">
        <v>2203.0</v>
      </c>
      <c r="B3826" s="2" t="s">
        <v>11544</v>
      </c>
      <c r="C3826" s="2">
        <f>IFERROR(__xludf.DUMMYFUNCTION("split(B3826,""_"")"),1504.0)</f>
        <v>1504</v>
      </c>
      <c r="D3826" s="2" t="str">
        <f>IFERROR(__xludf.DUMMYFUNCTION("""COMPUTED_VALUE"""),"NTV")</f>
        <v>NTV</v>
      </c>
      <c r="E3826" s="2" t="str">
        <f>IFERROR(__xludf.DUMMYFUNCTION("""COMPUTED_VALUE"""),"木23")</f>
        <v>木23</v>
      </c>
      <c r="F3826" s="2" t="s">
        <v>11545</v>
      </c>
      <c r="G3826" s="2" t="s">
        <v>11550</v>
      </c>
      <c r="H3826" s="1">
        <v>3.0</v>
      </c>
      <c r="I3826" s="1" t="s">
        <v>2876</v>
      </c>
      <c r="J3826" s="1" t="s">
        <v>1435</v>
      </c>
      <c r="K3826" s="2" t="s">
        <v>11551</v>
      </c>
      <c r="L3826" s="2"/>
      <c r="M3826" s="2" t="str">
        <f>IFERROR(__xludf.DUMMYFUNCTION("split(split(K3826,""【演出"",false),""ほか"",false)"),"比嘉愛未、満島真之介  佐津川愛美、淵上泰史、中尾明慶、江口のりこ、町田マリー、松川星、横山芽生(子役)、河合透真、川添野愛  大石吾朗  佐藤隆太元夫である理一郎(満島真之介)に再婚相手として紹介された永冨(淵上泰史)との距離を縮めるはる(比嘉愛未)。あとは、はるの気持ち次第。だが、物分りのよすぎる永冨に、少し物足りなさも感じてしまう。理一郎は彩(横山芽生)の子守を引き受けながら、かすみ(佐津川愛美)と会っているうちに、少しづつ心が動き出していく。そんな折、永冨がホテル・グループの御曹司だと知ったはるは"&amp;"、予想外の事実に混乱してしまい……。【原作】  『恋愛時代』野沢尚(幻冬舎文庫)【主題歌】  「ありがとうForever...」西内まりや【番組公式サイト】  http://www.ytv.co.jp/renaijidai/  【番組公式facebook】  https://www.facebook.com/renaijidai  【番組公式instagram】  http://instagram.com/ytv.drama  【番組公式Twitter】  https://twitter.com/ytvd"&amp;"rama  #恋愛時代")</f>
        <v>比嘉愛未、満島真之介  佐津川愛美、淵上泰史、中尾明慶、江口のりこ、町田マリー、松川星、横山芽生(子役)、河合透真、川添野愛  大石吾朗  佐藤隆太元夫である理一郎(満島真之介)に再婚相手として紹介された永冨(淵上泰史)との距離を縮めるはる(比嘉愛未)。あとは、はるの気持ち次第。だが、物分りのよすぎる永冨に、少し物足りなさも感じてしまう。理一郎は彩(横山芽生)の子守を引き受けながら、かすみ(佐津川愛美)と会っているうちに、少しづつ心が動き出していく。そんな折、永冨がホテル・グループの御曹司だと知ったはるは、予想外の事実に混乱してしまい……。【原作】  『恋愛時代』野沢尚(幻冬舎文庫)【主題歌】  「ありがとうForever...」西内まりや【番組公式サイト】  http://www.ytv.co.jp/renaijidai/  【番組公式facebook】  https://www.facebook.com/renaijidai  【番組公式instagram】  http://instagram.com/ytv.drama  【番組公式Twitter】  https://twitter.com/ytvdrama  #恋愛時代</v>
      </c>
      <c r="N3826" s="2"/>
      <c r="O3826" s="2"/>
      <c r="P3826" s="1"/>
      <c r="Q3826" s="1"/>
      <c r="R3826" s="1"/>
      <c r="S3826" s="1"/>
      <c r="T3826" s="1"/>
      <c r="U3826" s="1"/>
      <c r="V3826" s="1"/>
      <c r="W3826" s="1"/>
      <c r="X3826" s="1"/>
      <c r="Y3826" s="1"/>
      <c r="Z3826" s="1"/>
      <c r="AA3826" s="1"/>
      <c r="AB3826" s="1"/>
      <c r="AC3826" s="1"/>
      <c r="AD3826" s="1"/>
      <c r="AE3826" s="1"/>
      <c r="AF3826" s="1"/>
      <c r="AG3826" s="1"/>
      <c r="AH3826" s="1"/>
      <c r="AI3826" s="1"/>
      <c r="AJ3826" s="1"/>
      <c r="AK3826" s="1"/>
      <c r="AL3826" s="1"/>
      <c r="AM3826" s="1"/>
      <c r="AN3826" s="1"/>
      <c r="AO3826" s="1"/>
      <c r="AP3826" s="1"/>
      <c r="AQ3826" s="1"/>
      <c r="AR3826" s="1"/>
      <c r="AS3826" s="1"/>
      <c r="AT3826" s="1"/>
      <c r="AU3826" s="1"/>
      <c r="AV3826" s="1"/>
      <c r="AW3826" s="1"/>
      <c r="AX3826" s="1"/>
      <c r="AY3826" s="1"/>
      <c r="AZ3826" s="1"/>
      <c r="BA3826" s="1"/>
      <c r="BB3826" s="1"/>
    </row>
    <row r="3827" ht="204.75" customHeight="1">
      <c r="A3827" s="1">
        <v>2204.0</v>
      </c>
      <c r="B3827" s="2" t="s">
        <v>11544</v>
      </c>
      <c r="C3827" s="2">
        <f>IFERROR(__xludf.DUMMYFUNCTION("split(B3827,""_"")"),1504.0)</f>
        <v>1504</v>
      </c>
      <c r="D3827" s="2" t="str">
        <f>IFERROR(__xludf.DUMMYFUNCTION("""COMPUTED_VALUE"""),"NTV")</f>
        <v>NTV</v>
      </c>
      <c r="E3827" s="2" t="str">
        <f>IFERROR(__xludf.DUMMYFUNCTION("""COMPUTED_VALUE"""),"木23")</f>
        <v>木23</v>
      </c>
      <c r="F3827" s="2" t="s">
        <v>11545</v>
      </c>
      <c r="G3827" s="2" t="s">
        <v>11552</v>
      </c>
      <c r="H3827" s="1">
        <v>4.0</v>
      </c>
      <c r="I3827" s="1" t="s">
        <v>2880</v>
      </c>
      <c r="J3827" s="1" t="s">
        <v>1435</v>
      </c>
      <c r="K3827" s="2" t="s">
        <v>11553</v>
      </c>
      <c r="L3827" s="2"/>
      <c r="M3827" s="2" t="str">
        <f>IFERROR(__xludf.DUMMYFUNCTION("split(split(K3827,""【演出"",false),""ほか"",false)"),"比嘉愛未、満島真之介  佐津川愛美、淵上泰史、中尾明慶、江口のりこ、町田マリー、松川星、横山芽生(子役)  大石吾朗  佐藤隆太永冨(淵上泰史)の両親と食事をしたはる(比嘉愛未)だが、息子の恋人がバツイチであることを会社のイメージ戦略に利用するような発言をされ違和感を感じる。そんなはるの様子を社会学者の喜多嶋(佐藤隆太)が興味深く眺めていた。理一郎(満島真之介)は、押しかけられる形でかすみ(佐津川愛美)とその娘・彩(横山芽生)と同居を始めていた。ある日「花籠」で鉢合わせたはると理一郎。そこで、意外な事実が"&amp;"明らかになって…。【原作】  『恋愛時代』野沢尚(幻冬舎文庫)【主題歌】  「ありがとうForever...」西内まりや【番組公式サイト】  http://www.ytv.co.jp/renaijidai/  【番組公式facebook】  https://www.facebook.com/renaijidai  【番組公式instagram】  http://instagram.com/ytv.drama  【番組公式Twitter】  https://twitter.com/ytvdrama　#恋愛時"&amp;"代")</f>
        <v>比嘉愛未、満島真之介  佐津川愛美、淵上泰史、中尾明慶、江口のりこ、町田マリー、松川星、横山芽生(子役)  大石吾朗  佐藤隆太永冨(淵上泰史)の両親と食事をしたはる(比嘉愛未)だが、息子の恋人がバツイチであることを会社のイメージ戦略に利用するような発言をされ違和感を感じる。そんなはるの様子を社会学者の喜多嶋(佐藤隆太)が興味深く眺めていた。理一郎(満島真之介)は、押しかけられる形でかすみ(佐津川愛美)とその娘・彩(横山芽生)と同居を始めていた。ある日「花籠」で鉢合わせたはると理一郎。そこで、意外な事実が明らかになって…。【原作】  『恋愛時代』野沢尚(幻冬舎文庫)【主題歌】  「ありがとうForever...」西内まりや【番組公式サイト】  http://www.ytv.co.jp/renaijidai/  【番組公式facebook】  https://www.facebook.com/renaijidai  【番組公式instagram】  http://instagram.com/ytv.drama  【番組公式Twitter】  https://twitter.com/ytvdrama　#恋愛時代</v>
      </c>
      <c r="N3827" s="2"/>
      <c r="O3827" s="2"/>
      <c r="P3827" s="1"/>
      <c r="Q3827" s="1"/>
      <c r="R3827" s="1"/>
      <c r="S3827" s="1"/>
      <c r="T3827" s="1"/>
      <c r="U3827" s="1"/>
      <c r="V3827" s="1"/>
      <c r="W3827" s="1"/>
      <c r="X3827" s="1"/>
      <c r="Y3827" s="1"/>
      <c r="Z3827" s="1"/>
      <c r="AA3827" s="1"/>
      <c r="AB3827" s="1"/>
      <c r="AC3827" s="1"/>
      <c r="AD3827" s="1"/>
      <c r="AE3827" s="1"/>
      <c r="AF3827" s="1"/>
      <c r="AG3827" s="1"/>
      <c r="AH3827" s="1"/>
      <c r="AI3827" s="1"/>
      <c r="AJ3827" s="1"/>
      <c r="AK3827" s="1"/>
      <c r="AL3827" s="1"/>
      <c r="AM3827" s="1"/>
      <c r="AN3827" s="1"/>
      <c r="AO3827" s="1"/>
      <c r="AP3827" s="1"/>
      <c r="AQ3827" s="1"/>
      <c r="AR3827" s="1"/>
      <c r="AS3827" s="1"/>
      <c r="AT3827" s="1"/>
      <c r="AU3827" s="1"/>
      <c r="AV3827" s="1"/>
      <c r="AW3827" s="1"/>
      <c r="AX3827" s="1"/>
      <c r="AY3827" s="1"/>
      <c r="AZ3827" s="1"/>
      <c r="BA3827" s="1"/>
      <c r="BB3827" s="1"/>
    </row>
    <row r="3828" ht="204.75" customHeight="1">
      <c r="A3828" s="1">
        <v>2205.0</v>
      </c>
      <c r="B3828" s="2" t="s">
        <v>11544</v>
      </c>
      <c r="C3828" s="2">
        <f>IFERROR(__xludf.DUMMYFUNCTION("split(B3828,""_"")"),1504.0)</f>
        <v>1504</v>
      </c>
      <c r="D3828" s="2" t="str">
        <f>IFERROR(__xludf.DUMMYFUNCTION("""COMPUTED_VALUE"""),"NTV")</f>
        <v>NTV</v>
      </c>
      <c r="E3828" s="2" t="str">
        <f>IFERROR(__xludf.DUMMYFUNCTION("""COMPUTED_VALUE"""),"木23")</f>
        <v>木23</v>
      </c>
      <c r="F3828" s="2" t="s">
        <v>11545</v>
      </c>
      <c r="G3828" s="2" t="s">
        <v>11554</v>
      </c>
      <c r="H3828" s="1">
        <v>5.0</v>
      </c>
      <c r="J3828" s="1" t="s">
        <v>1435</v>
      </c>
      <c r="K3828" s="2" t="s">
        <v>11555</v>
      </c>
      <c r="L3828" s="2"/>
      <c r="M3828" s="2" t="str">
        <f>IFERROR(__xludf.DUMMYFUNCTION("split(split(K3828,""【演出"",false),""ほか"",false)"),"比嘉愛未  満島真之介    佐津川愛美  淵上泰史  中尾明慶  江口のりこ  霧島れいか  町田マリー  松川星  横山芽生(子役)    大石吾朗    佐藤隆太はる(比嘉愛未)は小百合(江口のりこ)に永冨(淵上泰史)と結婚する事にしたと告げる。理一郎(満島真之介)は、かすみ(佐津川愛美)の以前の結婚生活が幸せなものでなかった事を知り、彼女のためにゆっくりと関係を深めていこうと決意する。お互い違う方向に歩き始めたように見えた2人。だが、過去にきっぱりとケリをつけるために、これまで言えなかった思いを理"&amp;"一郎にぶつけたはるは、自分の本当の気持ちに気づいてしまい…【原作】  『恋愛時代』野沢尚(幻冬舎文庫)【主題歌】  「ありがとうForever...」西内まりや【番組公式サイト】  http://www.ytv.co.jp/renaijidai/  【番組公式facebook】  https://www.facebook.com/renaijidai  【番組公式instagram】  http://instagram.com/ytv.drama  【番組公式Twitter】  https://twitt"&amp;"er.com/ytvdrama  #恋愛時代")</f>
        <v>比嘉愛未  満島真之介    佐津川愛美  淵上泰史  中尾明慶  江口のりこ  霧島れいか  町田マリー  松川星  横山芽生(子役)    大石吾朗    佐藤隆太はる(比嘉愛未)は小百合(江口のりこ)に永冨(淵上泰史)と結婚する事にしたと告げる。理一郎(満島真之介)は、かすみ(佐津川愛美)の以前の結婚生活が幸せなものでなかった事を知り、彼女のためにゆっくりと関係を深めていこうと決意する。お互い違う方向に歩き始めたように見えた2人。だが、過去にきっぱりとケリをつけるために、これまで言えなかった思いを理一郎にぶつけたはるは、自分の本当の気持ちに気づいてしまい…【原作】  『恋愛時代』野沢尚(幻冬舎文庫)【主題歌】  「ありがとうForever...」西内まりや【番組公式サイト】  http://www.ytv.co.jp/renaijidai/  【番組公式facebook】  https://www.facebook.com/renaijidai  【番組公式instagram】  http://instagram.com/ytv.drama  【番組公式Twitter】  https://twitter.com/ytvdrama  #恋愛時代</v>
      </c>
      <c r="N3828" s="2"/>
      <c r="O3828" s="2"/>
      <c r="P3828" s="1"/>
      <c r="Q3828" s="1"/>
      <c r="R3828" s="1"/>
      <c r="S3828" s="1"/>
      <c r="T3828" s="1"/>
      <c r="U3828" s="1"/>
      <c r="V3828" s="1"/>
      <c r="W3828" s="1"/>
      <c r="X3828" s="1"/>
      <c r="Y3828" s="1"/>
      <c r="Z3828" s="1"/>
      <c r="AA3828" s="1"/>
      <c r="AB3828" s="1"/>
      <c r="AC3828" s="1"/>
      <c r="AD3828" s="1"/>
      <c r="AE3828" s="1"/>
      <c r="AF3828" s="1"/>
      <c r="AG3828" s="1"/>
      <c r="AH3828" s="1"/>
      <c r="AI3828" s="1"/>
      <c r="AJ3828" s="1"/>
      <c r="AK3828" s="1"/>
      <c r="AL3828" s="1"/>
      <c r="AM3828" s="1"/>
      <c r="AN3828" s="1"/>
      <c r="AO3828" s="1"/>
      <c r="AP3828" s="1"/>
      <c r="AQ3828" s="1"/>
      <c r="AR3828" s="1"/>
      <c r="AS3828" s="1"/>
      <c r="AT3828" s="1"/>
      <c r="AU3828" s="1"/>
      <c r="AV3828" s="1"/>
      <c r="AW3828" s="1"/>
      <c r="AX3828" s="1"/>
      <c r="AY3828" s="1"/>
      <c r="AZ3828" s="1"/>
      <c r="BA3828" s="1"/>
      <c r="BB3828" s="1"/>
    </row>
    <row r="3829" ht="204.75" customHeight="1">
      <c r="A3829" s="1">
        <v>2206.0</v>
      </c>
      <c r="B3829" s="2" t="s">
        <v>11544</v>
      </c>
      <c r="C3829" s="2">
        <f>IFERROR(__xludf.DUMMYFUNCTION("split(B3829,""_"")"),1504.0)</f>
        <v>1504</v>
      </c>
      <c r="D3829" s="2" t="str">
        <f>IFERROR(__xludf.DUMMYFUNCTION("""COMPUTED_VALUE"""),"NTV")</f>
        <v>NTV</v>
      </c>
      <c r="E3829" s="2" t="str">
        <f>IFERROR(__xludf.DUMMYFUNCTION("""COMPUTED_VALUE"""),"木23")</f>
        <v>木23</v>
      </c>
      <c r="F3829" s="2" t="s">
        <v>11545</v>
      </c>
      <c r="G3829" s="2" t="s">
        <v>11556</v>
      </c>
      <c r="H3829" s="1">
        <v>6.0</v>
      </c>
      <c r="J3829" s="1" t="s">
        <v>1435</v>
      </c>
      <c r="K3829" s="2" t="s">
        <v>11557</v>
      </c>
      <c r="L3829" s="2"/>
      <c r="M3829" s="2" t="str">
        <f>IFERROR(__xludf.DUMMYFUNCTION("split(split(K3829,""【演出"",false),""ほか"",false)"),"比嘉愛未  満島真之介    佐津川愛美  淵上泰史  中尾明慶  江口のりこ  町田マリー  松川星  横山芽生(子役)  河合透真  川添野愛    大石吾朗    芦名星    佐藤隆太あわや婚約かと思われた永冨(淵上泰史)との関係に終止符を打ったはる(比嘉愛未)。だが、自分の存在が元夫の理一郎(満島真之介)の新しい人生の邪魔になってはいけないと、永冨と破局した事を周囲には伏せてしまう。そんな様子を見かねた小百合(江口のりこ)は海江田(中尾明慶)の誕生会を企画し皆を集める。その場で小百合が切り出した"&amp;"話を聞き、理一郎にアタック中のかすみ(佐津川愛美)はある決断をくだすのだった……。【原作】  『恋愛時代』野沢尚(幻冬舎文庫)【主題歌】  「ありがとうForever...」西内まりや5月2日(土)よる7時56分放送  「世界一受けたい授業」に佐藤隆太さん出演!    5月7日(木)よる10時放送  「ダウンタウンDX」に佐藤隆太さん出演!【番組公式サイト】  http://www.ytv.co.jp/renaijidai/  【番組公式facebook】  https://www.facebook.co"&amp;"m/renaijidai  【番組公式instagram】  http://instagram.com/ytv.drama  【番組公式Twitter】  https://twitter.com/ytvdrama　#恋愛時代")</f>
        <v>比嘉愛未  満島真之介    佐津川愛美  淵上泰史  中尾明慶  江口のりこ  町田マリー  松川星  横山芽生(子役)  河合透真  川添野愛    大石吾朗    芦名星    佐藤隆太あわや婚約かと思われた永冨(淵上泰史)との関係に終止符を打ったはる(比嘉愛未)。だが、自分の存在が元夫の理一郎(満島真之介)の新しい人生の邪魔になってはいけないと、永冨と破局した事を周囲には伏せてしまう。そんな様子を見かねた小百合(江口のりこ)は海江田(中尾明慶)の誕生会を企画し皆を集める。その場で小百合が切り出した話を聞き、理一郎にアタック中のかすみ(佐津川愛美)はある決断をくだすのだった……。【原作】  『恋愛時代』野沢尚(幻冬舎文庫)【主題歌】  「ありがとうForever...」西内まりや5月2日(土)よる7時56分放送  「世界一受けたい授業」に佐藤隆太さん出演!    5月7日(木)よる10時放送  「ダウンタウンDX」に佐藤隆太さん出演!【番組公式サイト】  http://www.ytv.co.jp/renaijidai/  【番組公式facebook】  https://www.facebook.com/renaijidai  【番組公式instagram】  http://instagram.com/ytv.drama  【番組公式Twitter】  https://twitter.com/ytvdrama　#恋愛時代</v>
      </c>
      <c r="N3829" s="2"/>
      <c r="O3829" s="2"/>
      <c r="P3829" s="1"/>
      <c r="Q3829" s="1"/>
      <c r="R3829" s="1"/>
      <c r="S3829" s="1"/>
      <c r="T3829" s="1"/>
      <c r="U3829" s="1"/>
      <c r="V3829" s="1"/>
      <c r="W3829" s="1"/>
      <c r="X3829" s="1"/>
      <c r="Y3829" s="1"/>
      <c r="Z3829" s="1"/>
      <c r="AA3829" s="1"/>
      <c r="AB3829" s="1"/>
      <c r="AC3829" s="1"/>
      <c r="AD3829" s="1"/>
      <c r="AE3829" s="1"/>
      <c r="AF3829" s="1"/>
      <c r="AG3829" s="1"/>
      <c r="AH3829" s="1"/>
      <c r="AI3829" s="1"/>
      <c r="AJ3829" s="1"/>
      <c r="AK3829" s="1"/>
      <c r="AL3829" s="1"/>
      <c r="AM3829" s="1"/>
      <c r="AN3829" s="1"/>
      <c r="AO3829" s="1"/>
      <c r="AP3829" s="1"/>
      <c r="AQ3829" s="1"/>
      <c r="AR3829" s="1"/>
      <c r="AS3829" s="1"/>
      <c r="AT3829" s="1"/>
      <c r="AU3829" s="1"/>
      <c r="AV3829" s="1"/>
      <c r="AW3829" s="1"/>
      <c r="AX3829" s="1"/>
      <c r="AY3829" s="1"/>
      <c r="AZ3829" s="1"/>
      <c r="BA3829" s="1"/>
      <c r="BB3829" s="1"/>
    </row>
    <row r="3830" ht="204.75" customHeight="1">
      <c r="A3830" s="1">
        <v>2207.0</v>
      </c>
      <c r="B3830" s="2" t="s">
        <v>11544</v>
      </c>
      <c r="C3830" s="2">
        <f>IFERROR(__xludf.DUMMYFUNCTION("split(B3830,""_"")"),1504.0)</f>
        <v>1504</v>
      </c>
      <c r="D3830" s="2" t="str">
        <f>IFERROR(__xludf.DUMMYFUNCTION("""COMPUTED_VALUE"""),"NTV")</f>
        <v>NTV</v>
      </c>
      <c r="E3830" s="2" t="str">
        <f>IFERROR(__xludf.DUMMYFUNCTION("""COMPUTED_VALUE"""),"木23")</f>
        <v>木23</v>
      </c>
      <c r="F3830" s="2" t="s">
        <v>11545</v>
      </c>
      <c r="G3830" s="2" t="s">
        <v>11558</v>
      </c>
      <c r="H3830" s="1">
        <v>7.0</v>
      </c>
      <c r="J3830" s="1" t="s">
        <v>1435</v>
      </c>
      <c r="K3830" s="2" t="s">
        <v>11559</v>
      </c>
      <c r="L3830" s="2"/>
      <c r="M3830" s="2" t="str">
        <f>IFERROR(__xludf.DUMMYFUNCTION("split(split(K3830,""【演出"",false),""ほか"",false)"),"比嘉愛未  満島真之介    芦名星  中尾明慶  江口のりこ  霧島れいか  町田マリー  松川星  川添野愛    大石吾朗    佐藤隆太喜多嶋(佐藤隆太)に心を開きかけていたはる(比嘉愛未)。だが、喜多嶋の妻(霧島れいか)が突然現れた。ショックを受けたはるは、再三の喜多嶋の呼び出しにも応じなくなる。  一方、はるの元夫、理一郎(満島真之介)は同窓会で再会した多実子(芦名星)の料理教室に通いだし、これまで離れていた時間を埋めていく。理一郎の中に再燃する恋心。だが同時にはるの幸せも願う理一郎は喜多嶋の"&amp;"話を聞き、ある行動に出るのだった…。【原作】  『恋愛時代』野沢尚(幻冬舎文庫)【主題歌】  「ありがとうForever...」西内まりや★データ放送プレゼント★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http://ins"&amp;"tagram.com/ytv.drama  【番組公式Twitter】  https://twitter.com/ytvdrama  #恋愛時代")</f>
        <v>比嘉愛未  満島真之介    芦名星  中尾明慶  江口のりこ  霧島れいか  町田マリー  松川星  川添野愛    大石吾朗    佐藤隆太喜多嶋(佐藤隆太)に心を開きかけていたはる(比嘉愛未)。だが、喜多嶋の妻(霧島れいか)が突然現れた。ショックを受けたはるは、再三の喜多嶋の呼び出しにも応じなくなる。  一方、はるの元夫、理一郎(満島真之介)は同窓会で再会した多実子(芦名星)の料理教室に通いだし、これまで離れていた時間を埋めていく。理一郎の中に再燃する恋心。だが同時にはるの幸せも願う理一郎は喜多嶋の話を聞き、ある行動に出るのだった…。【原作】  『恋愛時代』野沢尚(幻冬舎文庫)【主題歌】  「ありがとうForever...」西内まりや★データ放送プレゼント★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http://instagram.com/ytv.drama  【番組公式Twitter】  https://twitter.com/ytvdrama  #恋愛時代</v>
      </c>
      <c r="N3830" s="2"/>
      <c r="O3830" s="2"/>
      <c r="P3830" s="1"/>
      <c r="Q3830" s="1"/>
      <c r="R3830" s="1"/>
      <c r="S3830" s="1"/>
      <c r="T3830" s="1"/>
      <c r="U3830" s="1"/>
      <c r="V3830" s="1"/>
      <c r="W3830" s="1"/>
      <c r="X3830" s="1"/>
      <c r="Y3830" s="1"/>
      <c r="Z3830" s="1"/>
      <c r="AA3830" s="1"/>
      <c r="AB3830" s="1"/>
      <c r="AC3830" s="1"/>
      <c r="AD3830" s="1"/>
      <c r="AE3830" s="1"/>
      <c r="AF3830" s="1"/>
      <c r="AG3830" s="1"/>
      <c r="AH3830" s="1"/>
      <c r="AI3830" s="1"/>
      <c r="AJ3830" s="1"/>
      <c r="AK3830" s="1"/>
      <c r="AL3830" s="1"/>
      <c r="AM3830" s="1"/>
      <c r="AN3830" s="1"/>
      <c r="AO3830" s="1"/>
      <c r="AP3830" s="1"/>
      <c r="AQ3830" s="1"/>
      <c r="AR3830" s="1"/>
      <c r="AS3830" s="1"/>
      <c r="AT3830" s="1"/>
      <c r="AU3830" s="1"/>
      <c r="AV3830" s="1"/>
      <c r="AW3830" s="1"/>
      <c r="AX3830" s="1"/>
      <c r="AY3830" s="1"/>
      <c r="AZ3830" s="1"/>
      <c r="BA3830" s="1"/>
      <c r="BB3830" s="1"/>
    </row>
    <row r="3831" ht="204.75" customHeight="1">
      <c r="A3831" s="1">
        <v>2208.0</v>
      </c>
      <c r="B3831" s="2" t="s">
        <v>11544</v>
      </c>
      <c r="C3831" s="2">
        <f>IFERROR(__xludf.DUMMYFUNCTION("split(B3831,""_"")"),1504.0)</f>
        <v>1504</v>
      </c>
      <c r="D3831" s="2" t="str">
        <f>IFERROR(__xludf.DUMMYFUNCTION("""COMPUTED_VALUE"""),"NTV")</f>
        <v>NTV</v>
      </c>
      <c r="E3831" s="2" t="str">
        <f>IFERROR(__xludf.DUMMYFUNCTION("""COMPUTED_VALUE"""),"木23")</f>
        <v>木23</v>
      </c>
      <c r="F3831" s="2" t="s">
        <v>11545</v>
      </c>
      <c r="G3831" s="2" t="s">
        <v>11560</v>
      </c>
      <c r="H3831" s="1">
        <v>9.0</v>
      </c>
      <c r="I3831" s="1" t="s">
        <v>2900</v>
      </c>
      <c r="J3831" s="1" t="s">
        <v>1435</v>
      </c>
      <c r="K3831" s="2" t="s">
        <v>11561</v>
      </c>
      <c r="L3831" s="2"/>
      <c r="M3831" s="2" t="str">
        <f>IFERROR(__xludf.DUMMYFUNCTION("split(split(K3831,""【演出"",false),""ほか"",false)"),"比嘉愛未、満島真之介  芦名星、中尾明慶、江口のりこ、霧島れいか、町田マリー、松川星  大石吾朗  佐藤隆太喜多嶋(佐藤隆太)の妻・貴子(霧島れいか)から離婚届を預かったはる(比嘉愛未)。だが、自分に喜多嶋の離婚を成立させる資格があるのかと悩み、提出することができない。一方、理一郎(満島真之介)は多実子(芦名星)と順調な交際を続けていた。しかし、海江田(中尾明慶)は多実子の策略家な一面に気付き、理一郎が利用されているのではと不安を募らせる。海江田は、多実子の誕生日にかこつけてパーティーを催すのだが…。【原"&amp;"作】  『恋愛時代』野沢尚(幻冬舎文庫)【主題歌】  「ありがとうForever...」西内まりや★データ放送プレゼント★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http://instagram.com/ytv.drama"&amp;"  【番組公式Twitter】  https://twitter.com/ytvdrama  #恋愛時代")</f>
        <v>比嘉愛未、満島真之介  芦名星、中尾明慶、江口のりこ、霧島れいか、町田マリー、松川星  大石吾朗  佐藤隆太喜多嶋(佐藤隆太)の妻・貴子(霧島れいか)から離婚届を預かったはる(比嘉愛未)。だが、自分に喜多嶋の離婚を成立させる資格があるのかと悩み、提出することができない。一方、理一郎(満島真之介)は多実子(芦名星)と順調な交際を続けていた。しかし、海江田(中尾明慶)は多実子の策略家な一面に気付き、理一郎が利用されているのではと不安を募らせる。海江田は、多実子の誕生日にかこつけてパーティーを催すのだが…。【原作】  『恋愛時代』野沢尚(幻冬舎文庫)【主題歌】  「ありがとうForever...」西内まりや★データ放送プレゼント★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http://instagram.com/ytv.drama  【番組公式Twitter】  https://twitter.com/ytvdrama  #恋愛時代</v>
      </c>
      <c r="N3831" s="2"/>
      <c r="O3831" s="2"/>
      <c r="P3831" s="1"/>
      <c r="Q3831" s="1"/>
      <c r="R3831" s="1"/>
      <c r="S3831" s="1"/>
      <c r="T3831" s="1"/>
      <c r="U3831" s="1"/>
      <c r="V3831" s="1"/>
      <c r="W3831" s="1"/>
      <c r="X3831" s="1"/>
      <c r="Y3831" s="1"/>
      <c r="Z3831" s="1"/>
      <c r="AA3831" s="1"/>
      <c r="AB3831" s="1"/>
      <c r="AC3831" s="1"/>
      <c r="AD3831" s="1"/>
      <c r="AE3831" s="1"/>
      <c r="AF3831" s="1"/>
      <c r="AG3831" s="1"/>
      <c r="AH3831" s="1"/>
      <c r="AI3831" s="1"/>
      <c r="AJ3831" s="1"/>
      <c r="AK3831" s="1"/>
      <c r="AL3831" s="1"/>
      <c r="AM3831" s="1"/>
      <c r="AN3831" s="1"/>
      <c r="AO3831" s="1"/>
      <c r="AP3831" s="1"/>
      <c r="AQ3831" s="1"/>
      <c r="AR3831" s="1"/>
      <c r="AS3831" s="1"/>
      <c r="AT3831" s="1"/>
      <c r="AU3831" s="1"/>
      <c r="AV3831" s="1"/>
      <c r="AW3831" s="1"/>
      <c r="AX3831" s="1"/>
      <c r="AY3831" s="1"/>
      <c r="AZ3831" s="1"/>
      <c r="BA3831" s="1"/>
      <c r="BB3831" s="1"/>
    </row>
    <row r="3832" ht="204.75" customHeight="1">
      <c r="A3832" s="1">
        <v>2209.0</v>
      </c>
      <c r="B3832" s="2" t="s">
        <v>11544</v>
      </c>
      <c r="C3832" s="2">
        <f>IFERROR(__xludf.DUMMYFUNCTION("split(B3832,""_"")"),1504.0)</f>
        <v>1504</v>
      </c>
      <c r="D3832" s="2" t="str">
        <f>IFERROR(__xludf.DUMMYFUNCTION("""COMPUTED_VALUE"""),"NTV")</f>
        <v>NTV</v>
      </c>
      <c r="E3832" s="2" t="str">
        <f>IFERROR(__xludf.DUMMYFUNCTION("""COMPUTED_VALUE"""),"木23")</f>
        <v>木23</v>
      </c>
      <c r="F3832" s="2" t="s">
        <v>11545</v>
      </c>
      <c r="G3832" s="2" t="s">
        <v>11562</v>
      </c>
      <c r="H3832" s="1">
        <v>10.0</v>
      </c>
      <c r="I3832" s="1" t="s">
        <v>37</v>
      </c>
      <c r="J3832" s="1" t="s">
        <v>1435</v>
      </c>
      <c r="K3832" s="2" t="s">
        <v>11563</v>
      </c>
      <c r="L3832" s="2"/>
      <c r="M3832" s="2" t="str">
        <f>IFERROR(__xludf.DUMMYFUNCTION("split(split(K3832,""【演出"",false),""ほか"",false)"),"比嘉愛未、満島真之介  芦名星、中尾明慶、江口のりこ、霧島れいか、町田マリー、松川星、川添野愛、角替和枝  大石吾朗  佐藤隆太喜多嶋(佐藤隆太)と貴子(霧島れいか)の離婚届を提出する決心がつかないままのはる(比嘉愛未)。一方、理一郎(満島真之介)は多実子(芦名星)にプロポーズをしようと決心するが、海江田(中尾明慶)や小百合(江口のりこ)の反応は冷ややかだった。2人は理一郎の運命の相手ははるだと気付いているのだ。多実子ははるの職場へ赴き、背中を押してくれた礼を述べる。そして、はるにもう1つ、新たな頼み事を"&amp;"するのだった…。【原作】『恋愛時代』野沢尚(幻冬舎文庫)【主題歌】「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http://instagram.com/ytv"&amp;".drama  【番組公式Twitter】  https://twitter.com/ytvdrama  #恋愛時代")</f>
        <v>比嘉愛未、満島真之介  芦名星、中尾明慶、江口のりこ、霧島れいか、町田マリー、松川星、川添野愛、角替和枝  大石吾朗  佐藤隆太喜多嶋(佐藤隆太)と貴子(霧島れいか)の離婚届を提出する決心がつかないままのはる(比嘉愛未)。一方、理一郎(満島真之介)は多実子(芦名星)にプロポーズをしようと決心するが、海江田(中尾明慶)や小百合(江口のりこ)の反応は冷ややかだった。2人は理一郎の運命の相手ははるだと気付いているのだ。多実子ははるの職場へ赴き、背中を押してくれた礼を述べる。そして、はるにもう1つ、新たな頼み事をするのだった…。【原作】『恋愛時代』野沢尚(幻冬舎文庫)【主題歌】「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http://instagram.com/ytv.drama  【番組公式Twitter】  https://twitter.com/ytvdrama  #恋愛時代</v>
      </c>
      <c r="N3832" s="2"/>
      <c r="O3832" s="2"/>
      <c r="P3832" s="1"/>
      <c r="Q3832" s="1"/>
      <c r="R3832" s="1"/>
      <c r="S3832" s="1"/>
      <c r="T3832" s="1"/>
      <c r="U3832" s="1"/>
      <c r="V3832" s="1"/>
      <c r="W3832" s="1"/>
      <c r="X3832" s="1"/>
      <c r="Y3832" s="1"/>
      <c r="Z3832" s="1"/>
      <c r="AA3832" s="1"/>
      <c r="AB3832" s="1"/>
      <c r="AC3832" s="1"/>
      <c r="AD3832" s="1"/>
      <c r="AE3832" s="1"/>
      <c r="AF3832" s="1"/>
      <c r="AG3832" s="1"/>
      <c r="AH3832" s="1"/>
      <c r="AI3832" s="1"/>
      <c r="AJ3832" s="1"/>
      <c r="AK3832" s="1"/>
      <c r="AL3832" s="1"/>
      <c r="AM3832" s="1"/>
      <c r="AN3832" s="1"/>
      <c r="AO3832" s="1"/>
      <c r="AP3832" s="1"/>
      <c r="AQ3832" s="1"/>
      <c r="AR3832" s="1"/>
      <c r="AS3832" s="1"/>
      <c r="AT3832" s="1"/>
      <c r="AU3832" s="1"/>
      <c r="AV3832" s="1"/>
      <c r="AW3832" s="1"/>
      <c r="AX3832" s="1"/>
      <c r="AY3832" s="1"/>
      <c r="AZ3832" s="1"/>
      <c r="BA3832" s="1"/>
      <c r="BB3832" s="1"/>
    </row>
    <row r="3833" ht="204.75" customHeight="1">
      <c r="A3833" s="1">
        <v>2210.0</v>
      </c>
      <c r="B3833" s="2" t="s">
        <v>11544</v>
      </c>
      <c r="C3833" s="2">
        <f>IFERROR(__xludf.DUMMYFUNCTION("split(B3833,""_"")"),1504.0)</f>
        <v>1504</v>
      </c>
      <c r="D3833" s="2" t="str">
        <f>IFERROR(__xludf.DUMMYFUNCTION("""COMPUTED_VALUE"""),"NTV")</f>
        <v>NTV</v>
      </c>
      <c r="E3833" s="2" t="str">
        <f>IFERROR(__xludf.DUMMYFUNCTION("""COMPUTED_VALUE"""),"木23")</f>
        <v>木23</v>
      </c>
      <c r="F3833" s="2" t="s">
        <v>11545</v>
      </c>
      <c r="G3833" s="2" t="s">
        <v>11564</v>
      </c>
      <c r="H3833" s="1">
        <v>11.0</v>
      </c>
      <c r="I3833" s="1" t="s">
        <v>41</v>
      </c>
      <c r="J3833" s="1" t="s">
        <v>1435</v>
      </c>
      <c r="K3833" s="2" t="s">
        <v>11565</v>
      </c>
      <c r="L3833" s="2"/>
      <c r="M3833" s="2" t="str">
        <f>IFERROR(__xludf.DUMMYFUNCTION("split(split(K3833,""【演出"",false),""ほか"",false)"),"比嘉愛未、満島真之介  芦名星、中尾明慶、江口のりこ、霧島れいか、町田マリー、松川星、河合透真、川添野愛、角替和枝  大石吾朗  佐藤隆太多実子(芦名星)から結婚式での牧師役を頼まれたはる(比嘉愛未)は、理一郎(満島真之介)と多実子を相手に「結婚講座」を行う。いよいよ後戻りできない一歩を踏み出そうとしているはると理一郎。2人は自分たちの「恋愛時代」が終わりを告げたのだと感慨に浸る。その一方で、理一郎とある「秘密」を共有していた海江田(中尾明慶)はその事実を自分だけの胸にしまっておくことができず、ついにはる"&amp;"に打ち明けてしまうのだが…。【原作】  『恋愛時代』野沢尚(幻冬舎文庫)【主題歌】  「ありがとうForever...」西内まりや★データ放送プレゼント★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http://instagr"&amp;"am.com/ytv.drama  【番組公式Twitter】  https://twitter.com/ytvdrama　#恋愛時代")</f>
        <v>比嘉愛未、満島真之介  芦名星、中尾明慶、江口のりこ、霧島れいか、町田マリー、松川星、河合透真、川添野愛、角替和枝  大石吾朗  佐藤隆太多実子(芦名星)から結婚式での牧師役を頼まれたはる(比嘉愛未)は、理一郎(満島真之介)と多実子を相手に「結婚講座」を行う。いよいよ後戻りできない一歩を踏み出そうとしているはると理一郎。2人は自分たちの「恋愛時代」が終わりを告げたのだと感慨に浸る。その一方で、理一郎とある「秘密」を共有していた海江田(中尾明慶)はその事実を自分だけの胸にしまっておくことができず、ついにはるに打ち明けてしまうのだが…。【原作】  『恋愛時代』野沢尚(幻冬舎文庫)【主題歌】  「ありがとうForever...」西内まりや★データ放送プレゼント★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http://instagram.com/ytv.drama  【番組公式Twitter】  https://twitter.com/ytvdrama　#恋愛時代</v>
      </c>
      <c r="N3833" s="2"/>
      <c r="O3833" s="2"/>
      <c r="P3833" s="1"/>
      <c r="Q3833" s="1"/>
      <c r="R3833" s="1"/>
      <c r="S3833" s="1"/>
      <c r="T3833" s="1"/>
      <c r="U3833" s="1"/>
      <c r="V3833" s="1"/>
      <c r="W3833" s="1"/>
      <c r="X3833" s="1"/>
      <c r="Y3833" s="1"/>
      <c r="Z3833" s="1"/>
      <c r="AA3833" s="1"/>
      <c r="AB3833" s="1"/>
      <c r="AC3833" s="1"/>
      <c r="AD3833" s="1"/>
      <c r="AE3833" s="1"/>
      <c r="AF3833" s="1"/>
      <c r="AG3833" s="1"/>
      <c r="AH3833" s="1"/>
      <c r="AI3833" s="1"/>
      <c r="AJ3833" s="1"/>
      <c r="AK3833" s="1"/>
      <c r="AL3833" s="1"/>
      <c r="AM3833" s="1"/>
      <c r="AN3833" s="1"/>
      <c r="AO3833" s="1"/>
      <c r="AP3833" s="1"/>
      <c r="AQ3833" s="1"/>
      <c r="AR3833" s="1"/>
      <c r="AS3833" s="1"/>
      <c r="AT3833" s="1"/>
      <c r="AU3833" s="1"/>
      <c r="AV3833" s="1"/>
      <c r="AW3833" s="1"/>
      <c r="AX3833" s="1"/>
      <c r="AY3833" s="1"/>
      <c r="AZ3833" s="1"/>
      <c r="BA3833" s="1"/>
      <c r="BB3833" s="1"/>
    </row>
    <row r="3834" ht="204.75" customHeight="1">
      <c r="A3834" s="1">
        <v>2211.0</v>
      </c>
      <c r="B3834" s="2" t="s">
        <v>11544</v>
      </c>
      <c r="C3834" s="2">
        <f>IFERROR(__xludf.DUMMYFUNCTION("split(B3834,""_"")"),1504.0)</f>
        <v>1504</v>
      </c>
      <c r="D3834" s="2" t="str">
        <f>IFERROR(__xludf.DUMMYFUNCTION("""COMPUTED_VALUE"""),"NTV")</f>
        <v>NTV</v>
      </c>
      <c r="E3834" s="2" t="str">
        <f>IFERROR(__xludf.DUMMYFUNCTION("""COMPUTED_VALUE"""),"木23")</f>
        <v>木23</v>
      </c>
      <c r="F3834" s="2" t="s">
        <v>11545</v>
      </c>
      <c r="G3834" s="2" t="s">
        <v>11566</v>
      </c>
      <c r="H3834" s="1">
        <v>12.0</v>
      </c>
      <c r="I3834" s="1" t="s">
        <v>3666</v>
      </c>
      <c r="J3834" s="1" t="s">
        <v>1435</v>
      </c>
      <c r="K3834" s="2" t="s">
        <v>11567</v>
      </c>
      <c r="L3834" s="2"/>
      <c r="M3834" s="2" t="str">
        <f>IFERROR(__xludf.DUMMYFUNCTION("split(split(K3834,""【演出"",false),""ほか"",false)"),"比嘉愛未、満島真之介  芦名星、中尾明慶、江口のりこ、霧島れいか、町田マリー、松川星、河合透真、川添野愛、角替和枝  大石吾朗  佐藤隆太元夫の理一郎(満島真之介)と多実子(芦名星)の結婚式で無事、牧師役を務めあげたはる(比嘉愛未)。はるはこれを機に、新しい生活を始めようと勤め先のスポーツ・ジムをやめて沖縄に移住しようと決意する。一方、理一郎は多実子に持ち上がったレシピ本の出版話がきっかけで、お互いの心に決して共有できないものがあると気付き始める。それぞれがそれぞれの新しい道を歩み始める中、はると理一郎が"&amp;"最後に下した結論とは……。【原作】『恋愛時代』野沢尚(幻冬舎文庫)【主題歌】「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http://instagram.co"&amp;"m/ytv.drama  【番組公式Twitter】  https://twitter.com/ytvdrama　#恋愛時代")</f>
        <v>比嘉愛未、満島真之介  芦名星、中尾明慶、江口のりこ、霧島れいか、町田マリー、松川星、河合透真、川添野愛、角替和枝  大石吾朗  佐藤隆太元夫の理一郎(満島真之介)と多実子(芦名星)の結婚式で無事、牧師役を務めあげたはる(比嘉愛未)。はるはこれを機に、新しい生活を始めようと勤め先のスポーツ・ジムをやめて沖縄に移住しようと決意する。一方、理一郎は多実子に持ち上がったレシピ本の出版話がきっかけで、お互いの心に決して共有できないものがあると気付き始める。それぞれがそれぞれの新しい道を歩み始める中、はると理一郎が最後に下した結論とは……。【原作】『恋愛時代』野沢尚(幻冬舎文庫)【主題歌】「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http://instagram.com/ytv.drama  【番組公式Twitter】  https://twitter.com/ytvdrama　#恋愛時代</v>
      </c>
      <c r="N3834" s="2"/>
      <c r="O3834" s="2"/>
      <c r="P3834" s="1"/>
      <c r="Q3834" s="1"/>
      <c r="R3834" s="1"/>
      <c r="S3834" s="1"/>
      <c r="T3834" s="1"/>
      <c r="U3834" s="1"/>
      <c r="V3834" s="1"/>
      <c r="W3834" s="1"/>
      <c r="X3834" s="1"/>
      <c r="Y3834" s="1"/>
      <c r="Z3834" s="1"/>
      <c r="AA3834" s="1"/>
      <c r="AB3834" s="1"/>
      <c r="AC3834" s="1"/>
      <c r="AD3834" s="1"/>
      <c r="AE3834" s="1"/>
      <c r="AF3834" s="1"/>
      <c r="AG3834" s="1"/>
      <c r="AH3834" s="1"/>
      <c r="AI3834" s="1"/>
      <c r="AJ3834" s="1"/>
      <c r="AK3834" s="1"/>
      <c r="AL3834" s="1"/>
      <c r="AM3834" s="1"/>
      <c r="AN3834" s="1"/>
      <c r="AO3834" s="1"/>
      <c r="AP3834" s="1"/>
      <c r="AQ3834" s="1"/>
      <c r="AR3834" s="1"/>
      <c r="AS3834" s="1"/>
      <c r="AT3834" s="1"/>
      <c r="AU3834" s="1"/>
      <c r="AV3834" s="1"/>
      <c r="AW3834" s="1"/>
      <c r="AX3834" s="1"/>
      <c r="AY3834" s="1"/>
      <c r="AZ3834" s="1"/>
      <c r="BA3834" s="1"/>
      <c r="BB3834" s="1"/>
    </row>
    <row r="3835" ht="204.75" customHeight="1">
      <c r="A3835" s="1">
        <v>2231.0</v>
      </c>
      <c r="B3835" s="2" t="s">
        <v>11568</v>
      </c>
      <c r="C3835" s="2">
        <f>IFERROR(__xludf.DUMMYFUNCTION("split(B3835,""_"")"),1504.0)</f>
        <v>1504</v>
      </c>
      <c r="D3835" s="2" t="str">
        <f>IFERROR(__xludf.DUMMYFUNCTION("""COMPUTED_VALUE"""),"NTV")</f>
        <v>NTV</v>
      </c>
      <c r="E3835" s="2" t="str">
        <f>IFERROR(__xludf.DUMMYFUNCTION("""COMPUTED_VALUE"""),"土21")</f>
        <v>土21</v>
      </c>
      <c r="F3835" s="2" t="s">
        <v>11569</v>
      </c>
      <c r="G3835" s="2" t="s">
        <v>11570</v>
      </c>
      <c r="H3835" s="1">
        <v>1.0</v>
      </c>
      <c r="I3835" s="1" t="s">
        <v>2868</v>
      </c>
      <c r="J3835" s="1" t="s">
        <v>4</v>
      </c>
      <c r="K3835" s="2" t="s">
        <v>11571</v>
      </c>
      <c r="L3835" s="2"/>
      <c r="M3835" s="2" t="str">
        <f>IFERROR(__xludf.DUMMYFUNCTION("split(split(K3835,""【演出"",false),""ほか"",false)"),"多部未華子、大倉忠義、吉田羊、八乙女光、中村靖日、勝村政信、石井正則、ミッツ・マングローブ、瀬戸さおり、菅裕輔、伊武雅刀、岸本加世子　")</f>
        <v>多部未華子、大倉忠義、吉田羊、八乙女光、中村靖日、勝村政信、石井正則、ミッツ・マングローブ、瀬戸さおり、菅裕輔、伊武雅刀、岸本加世子　</v>
      </c>
      <c r="N3835" s="2" t="str">
        <f>IFERROR(__xludf.DUMMYFUNCTION("""COMPUTED_VALUE"""),"川崎青空警察署刑事一課強行犯捜査係に、犯人をいたぶりたいがために刑事になった、“ドS刑事”の黒井マヤ(多部未華子)が着任する。ある日、廃工場で殺人事件が発生。遺体の第一発見者である巡査の代官山脩介(大倉忠義)を気に入ったマヤは、上司の白金不二子(吉田羊)の許可も得ずに彼を強行犯捜査係に異動させてしまう。こうして、ドSな女刑事とマジメでお人好しの相棒という最強!?バディが誕生する!")</f>
        <v>川崎青空警察署刑事一課強行犯捜査係に、犯人をいたぶりたいがために刑事になった、“ドS刑事”の黒井マヤ(多部未華子)が着任する。ある日、廃工場で殺人事件が発生。遺体の第一発見者である巡査の代官山脩介(大倉忠義)を気に入ったマヤは、上司の白金不二子(吉田羊)の許可も得ずに彼を強行犯捜査係に異動させてしまう。こうして、ドSな女刑事とマジメでお人好しの相棒という最強!?バディが誕生する!</v>
      </c>
      <c r="O3835" s="2"/>
      <c r="P3835" s="1"/>
      <c r="Q3835" s="1"/>
      <c r="R3835" s="1"/>
      <c r="S3835" s="1"/>
      <c r="T3835" s="1"/>
      <c r="U3835" s="1"/>
      <c r="V3835" s="1"/>
      <c r="W3835" s="1"/>
      <c r="X3835" s="1"/>
      <c r="Y3835" s="1"/>
      <c r="Z3835" s="1"/>
      <c r="AA3835" s="1"/>
      <c r="AB3835" s="1"/>
      <c r="AC3835" s="1"/>
      <c r="AD3835" s="1"/>
      <c r="AE3835" s="1"/>
      <c r="AF3835" s="1"/>
      <c r="AG3835" s="1"/>
      <c r="AH3835" s="1"/>
      <c r="AI3835" s="1"/>
      <c r="AJ3835" s="1"/>
      <c r="AK3835" s="1"/>
      <c r="AL3835" s="1"/>
      <c r="AM3835" s="1"/>
      <c r="AN3835" s="1"/>
      <c r="AO3835" s="1"/>
      <c r="AP3835" s="1"/>
      <c r="AQ3835" s="1"/>
      <c r="AR3835" s="1"/>
      <c r="AS3835" s="1"/>
      <c r="AT3835" s="1"/>
      <c r="AU3835" s="1"/>
      <c r="AV3835" s="1"/>
      <c r="AW3835" s="1"/>
      <c r="AX3835" s="1"/>
      <c r="AY3835" s="1"/>
      <c r="AZ3835" s="1"/>
      <c r="BA3835" s="1"/>
      <c r="BB3835" s="1"/>
    </row>
    <row r="3836" ht="204.75" customHeight="1">
      <c r="A3836" s="1">
        <v>2232.0</v>
      </c>
      <c r="B3836" s="2" t="s">
        <v>11568</v>
      </c>
      <c r="C3836" s="2">
        <f>IFERROR(__xludf.DUMMYFUNCTION("split(B3836,""_"")"),1504.0)</f>
        <v>1504</v>
      </c>
      <c r="D3836" s="2" t="str">
        <f>IFERROR(__xludf.DUMMYFUNCTION("""COMPUTED_VALUE"""),"NTV")</f>
        <v>NTV</v>
      </c>
      <c r="E3836" s="2" t="str">
        <f>IFERROR(__xludf.DUMMYFUNCTION("""COMPUTED_VALUE"""),"土21")</f>
        <v>土21</v>
      </c>
      <c r="F3836" s="2" t="s">
        <v>11569</v>
      </c>
      <c r="G3836" s="2" t="s">
        <v>11572</v>
      </c>
      <c r="H3836" s="1">
        <v>2.0</v>
      </c>
      <c r="I3836" s="1" t="s">
        <v>2872</v>
      </c>
      <c r="J3836" s="1" t="s">
        <v>11</v>
      </c>
      <c r="K3836" s="2" t="s">
        <v>11573</v>
      </c>
      <c r="L3836" s="2"/>
      <c r="M3836" s="2" t="str">
        <f>IFERROR(__xludf.DUMMYFUNCTION("split(split(K3836,""【演出"",false),""ほか"",false)"),"多部未華子、大倉忠義、吉田羊、八乙女光、中村靖日、勝村政信、石井正則、ミッツ・マングローブ、瀬戸さおり、菅裕輔、伊武雅刀、岸本加世子　")</f>
        <v>多部未華子、大倉忠義、吉田羊、八乙女光、中村靖日、勝村政信、石井正則、ミッツ・マングローブ、瀬戸さおり、菅裕輔、伊武雅刀、岸本加世子　</v>
      </c>
      <c r="N3836" s="2" t="str">
        <f>IFERROR(__xludf.DUMMYFUNCTION("""COMPUTED_VALUE"""),"  【2話ゲスト】小峠英二(バイきんぐ)、ダンカンアパートに火炎瓶が投げ込まれ、1組のカップルが焼死する事件が発生した。死亡した男が以前所属していた暴力団のメンバーとトラブルを抱えていたことから、怨恨の線で捜査が進む。しかし、死亡した女の遺体のある点に着目したマヤ(多部未華子)は、彼女が福本(ダンカン)という男が主催する婚活パーティーに参加していた情報を掴み、独自に捜査を開始する。ボーリング合コンに潜入したマヤと代官山が掴んだある情報とは?")</f>
        <v>  【2話ゲスト】小峠英二(バイきんぐ)、ダンカンアパートに火炎瓶が投げ込まれ、1組のカップルが焼死する事件が発生した。死亡した男が以前所属していた暴力団のメンバーとトラブルを抱えていたことから、怨恨の線で捜査が進む。しかし、死亡した女の遺体のある点に着目したマヤ(多部未華子)は、彼女が福本(ダンカン)という男が主催する婚活パーティーに参加していた情報を掴み、独自に捜査を開始する。ボーリング合コンに潜入したマヤと代官山が掴んだある情報とは?</v>
      </c>
      <c r="O3836" s="2"/>
      <c r="P3836" s="1"/>
      <c r="Q3836" s="1"/>
      <c r="R3836" s="1"/>
      <c r="S3836" s="1"/>
      <c r="T3836" s="1"/>
      <c r="U3836" s="1"/>
      <c r="V3836" s="1"/>
      <c r="W3836" s="1"/>
      <c r="X3836" s="1"/>
      <c r="Y3836" s="1"/>
      <c r="Z3836" s="1"/>
      <c r="AA3836" s="1"/>
      <c r="AB3836" s="1"/>
      <c r="AC3836" s="1"/>
      <c r="AD3836" s="1"/>
      <c r="AE3836" s="1"/>
      <c r="AF3836" s="1"/>
      <c r="AG3836" s="1"/>
      <c r="AH3836" s="1"/>
      <c r="AI3836" s="1"/>
      <c r="AJ3836" s="1"/>
      <c r="AK3836" s="1"/>
      <c r="AL3836" s="1"/>
      <c r="AM3836" s="1"/>
      <c r="AN3836" s="1"/>
      <c r="AO3836" s="1"/>
      <c r="AP3836" s="1"/>
      <c r="AQ3836" s="1"/>
      <c r="AR3836" s="1"/>
      <c r="AS3836" s="1"/>
      <c r="AT3836" s="1"/>
      <c r="AU3836" s="1"/>
      <c r="AV3836" s="1"/>
      <c r="AW3836" s="1"/>
      <c r="AX3836" s="1"/>
      <c r="AY3836" s="1"/>
      <c r="AZ3836" s="1"/>
      <c r="BA3836" s="1"/>
      <c r="BB3836" s="1"/>
    </row>
    <row r="3837" ht="204.75" customHeight="1">
      <c r="A3837" s="1">
        <v>2233.0</v>
      </c>
      <c r="B3837" s="2" t="s">
        <v>11568</v>
      </c>
      <c r="C3837" s="2">
        <f>IFERROR(__xludf.DUMMYFUNCTION("split(B3837,""_"")"),1504.0)</f>
        <v>1504</v>
      </c>
      <c r="D3837" s="2" t="str">
        <f>IFERROR(__xludf.DUMMYFUNCTION("""COMPUTED_VALUE"""),"NTV")</f>
        <v>NTV</v>
      </c>
      <c r="E3837" s="2" t="str">
        <f>IFERROR(__xludf.DUMMYFUNCTION("""COMPUTED_VALUE"""),"土21")</f>
        <v>土21</v>
      </c>
      <c r="F3837" s="2" t="s">
        <v>11569</v>
      </c>
      <c r="G3837" s="2" t="s">
        <v>11574</v>
      </c>
      <c r="H3837" s="1">
        <v>3.0</v>
      </c>
      <c r="I3837" s="1" t="s">
        <v>2876</v>
      </c>
      <c r="J3837" s="1" t="s">
        <v>11</v>
      </c>
      <c r="K3837" s="2" t="s">
        <v>11575</v>
      </c>
      <c r="L3837" s="2"/>
      <c r="M3837" s="2" t="str">
        <f>IFERROR(__xludf.DUMMYFUNCTION("split(split(K3837,""【演出"",false),""ほか"",false)"),"多部未華子、大倉忠義、吉田羊、八乙女光、中村靖日、勝村政信、石井正則、ミッツ・マングローブ、瀬戸さおり、菅裕輔、伊武雅刀、岸本加世子　")</f>
        <v>多部未華子、大倉忠義、吉田羊、八乙女光、中村靖日、勝村政信、石井正則、ミッツ・マングローブ、瀬戸さおり、菅裕輔、伊武雅刀、岸本加世子　</v>
      </c>
      <c r="N3837" s="2" t="str">
        <f>IFERROR(__xludf.DUMMYFUNCTION("""COMPUTED_VALUE"""),"マヤ(多部未華子)と代官山(大倉忠義)は、放火事件で犠牲になったカップルが佐々木という男を恐喝していたことを突き止めるが、その佐々木も焼死してしまう。そんな中、マヤはこの連続放火殺人事件とは無関係のある女性の焼身自殺事件に着目。女性の母・時枝から娘が自殺した思いがけない“原因”を聞き、関係者を探り始める。しかし、その間にも放火殺人は続き…マヤの目的が読み切れず、代官山は思わずマヤを責めてしまう。")</f>
        <v>マヤ(多部未華子)と代官山(大倉忠義)は、放火事件で犠牲になったカップルが佐々木という男を恐喝していたことを突き止めるが、その佐々木も焼死してしまう。そんな中、マヤはこの連続放火殺人事件とは無関係のある女性の焼身自殺事件に着目。女性の母・時枝から娘が自殺した思いがけない“原因”を聞き、関係者を探り始める。しかし、その間にも放火殺人は続き…マヤの目的が読み切れず、代官山は思わずマヤを責めてしまう。</v>
      </c>
      <c r="O3837" s="2"/>
      <c r="P3837" s="1"/>
      <c r="Q3837" s="1"/>
      <c r="R3837" s="1"/>
      <c r="S3837" s="1"/>
      <c r="T3837" s="1"/>
      <c r="U3837" s="1"/>
      <c r="V3837" s="1"/>
      <c r="W3837" s="1"/>
      <c r="X3837" s="1"/>
      <c r="Y3837" s="1"/>
      <c r="Z3837" s="1"/>
      <c r="AA3837" s="1"/>
      <c r="AB3837" s="1"/>
      <c r="AC3837" s="1"/>
      <c r="AD3837" s="1"/>
      <c r="AE3837" s="1"/>
      <c r="AF3837" s="1"/>
      <c r="AG3837" s="1"/>
      <c r="AH3837" s="1"/>
      <c r="AI3837" s="1"/>
      <c r="AJ3837" s="1"/>
      <c r="AK3837" s="1"/>
      <c r="AL3837" s="1"/>
      <c r="AM3837" s="1"/>
      <c r="AN3837" s="1"/>
      <c r="AO3837" s="1"/>
      <c r="AP3837" s="1"/>
      <c r="AQ3837" s="1"/>
      <c r="AR3837" s="1"/>
      <c r="AS3837" s="1"/>
      <c r="AT3837" s="1"/>
      <c r="AU3837" s="1"/>
      <c r="AV3837" s="1"/>
      <c r="AW3837" s="1"/>
      <c r="AX3837" s="1"/>
      <c r="AY3837" s="1"/>
      <c r="AZ3837" s="1"/>
      <c r="BA3837" s="1"/>
      <c r="BB3837" s="1"/>
    </row>
    <row r="3838" ht="204.75" customHeight="1">
      <c r="A3838" s="1">
        <v>2234.0</v>
      </c>
      <c r="B3838" s="2" t="s">
        <v>11568</v>
      </c>
      <c r="C3838" s="2">
        <f>IFERROR(__xludf.DUMMYFUNCTION("split(B3838,""_"")"),1504.0)</f>
        <v>1504</v>
      </c>
      <c r="D3838" s="2" t="str">
        <f>IFERROR(__xludf.DUMMYFUNCTION("""COMPUTED_VALUE"""),"NTV")</f>
        <v>NTV</v>
      </c>
      <c r="E3838" s="2" t="str">
        <f>IFERROR(__xludf.DUMMYFUNCTION("""COMPUTED_VALUE"""),"土21")</f>
        <v>土21</v>
      </c>
      <c r="F3838" s="2" t="s">
        <v>11569</v>
      </c>
      <c r="G3838" s="2" t="s">
        <v>11576</v>
      </c>
      <c r="H3838" s="1">
        <v>4.0</v>
      </c>
      <c r="I3838" s="1" t="s">
        <v>2880</v>
      </c>
      <c r="J3838" s="1" t="s">
        <v>11</v>
      </c>
      <c r="K3838" s="2" t="s">
        <v>11577</v>
      </c>
      <c r="L3838" s="2"/>
      <c r="M3838" s="2" t="str">
        <f>IFERROR(__xludf.DUMMYFUNCTION("split(split(K3838,""【演出"",false),""ほか"",false)"),"多部未華子、大倉忠義、吉田羊、八乙女光、中村靖日、勝村政信、石井正則、ミッツ・マングローブ、瀬戸さおり、菅裕輔、伊武雅刀、岸本加世子　")</f>
        <v>多部未華子、大倉忠義、吉田羊、八乙女光、中村靖日、勝村政信、石井正則、ミッツ・マングローブ、瀬戸さおり、菅裕輔、伊武雅刀、岸本加世子　</v>
      </c>
      <c r="N3838" s="2" t="str">
        <f>IFERROR(__xludf.DUMMYFUNCTION("""COMPUTED_VALUE"""),"  【4話ゲスト】鈴木梨央、近藤公園、岡山天音真島家で長女のマヤ(鈴木梨央)が誘拐される。犯人から提示された身代金は10万円。格安の金額に黒井マヤ(多部未華子)は違和感を覚える。代官山(大倉忠義)は真島家で飼っている犬の“マヤ”に誘拐された“マヤ”を探させようとするが…。少女・マヤのアルバムに不自然にはがされた写真の跡があったり、何者かに“しゃべらされている”ような犯人の脅迫電話の様子から、黒井マヤは両親が少女について何か隠していると見抜く…")</f>
        <v>  【4話ゲスト】鈴木梨央、近藤公園、岡山天音真島家で長女のマヤ(鈴木梨央)が誘拐される。犯人から提示された身代金は10万円。格安の金額に黒井マヤ(多部未華子)は違和感を覚える。代官山(大倉忠義)は真島家で飼っている犬の“マヤ”に誘拐された“マヤ”を探させようとするが…。少女・マヤのアルバムに不自然にはがされた写真の跡があったり、何者かに“しゃべらされている”ような犯人の脅迫電話の様子から、黒井マヤは両親が少女について何か隠していると見抜く…</v>
      </c>
      <c r="O3838" s="2"/>
      <c r="P3838" s="1"/>
      <c r="Q3838" s="1"/>
      <c r="R3838" s="1"/>
      <c r="S3838" s="1"/>
      <c r="T3838" s="1"/>
      <c r="U3838" s="1"/>
      <c r="V3838" s="1"/>
      <c r="W3838" s="1"/>
      <c r="X3838" s="1"/>
      <c r="Y3838" s="1"/>
      <c r="Z3838" s="1"/>
      <c r="AA3838" s="1"/>
      <c r="AB3838" s="1"/>
      <c r="AC3838" s="1"/>
      <c r="AD3838" s="1"/>
      <c r="AE3838" s="1"/>
      <c r="AF3838" s="1"/>
      <c r="AG3838" s="1"/>
      <c r="AH3838" s="1"/>
      <c r="AI3838" s="1"/>
      <c r="AJ3838" s="1"/>
      <c r="AK3838" s="1"/>
      <c r="AL3838" s="1"/>
      <c r="AM3838" s="1"/>
      <c r="AN3838" s="1"/>
      <c r="AO3838" s="1"/>
      <c r="AP3838" s="1"/>
      <c r="AQ3838" s="1"/>
      <c r="AR3838" s="1"/>
      <c r="AS3838" s="1"/>
      <c r="AT3838" s="1"/>
      <c r="AU3838" s="1"/>
      <c r="AV3838" s="1"/>
      <c r="AW3838" s="1"/>
      <c r="AX3838" s="1"/>
      <c r="AY3838" s="1"/>
      <c r="AZ3838" s="1"/>
      <c r="BA3838" s="1"/>
      <c r="BB3838" s="1"/>
    </row>
    <row r="3839" ht="204.75" customHeight="1">
      <c r="A3839" s="1">
        <v>2235.0</v>
      </c>
      <c r="B3839" s="2" t="s">
        <v>11568</v>
      </c>
      <c r="C3839" s="2">
        <f>IFERROR(__xludf.DUMMYFUNCTION("split(B3839,""_"")"),1504.0)</f>
        <v>1504</v>
      </c>
      <c r="D3839" s="2" t="str">
        <f>IFERROR(__xludf.DUMMYFUNCTION("""COMPUTED_VALUE"""),"NTV")</f>
        <v>NTV</v>
      </c>
      <c r="E3839" s="2" t="str">
        <f>IFERROR(__xludf.DUMMYFUNCTION("""COMPUTED_VALUE"""),"土21")</f>
        <v>土21</v>
      </c>
      <c r="F3839" s="2" t="s">
        <v>11569</v>
      </c>
      <c r="G3839" s="2" t="s">
        <v>11578</v>
      </c>
      <c r="H3839" s="1">
        <v>5.0</v>
      </c>
      <c r="I3839" s="1" t="s">
        <v>2884</v>
      </c>
      <c r="J3839" s="1" t="s">
        <v>11</v>
      </c>
      <c r="K3839" s="2" t="s">
        <v>11579</v>
      </c>
      <c r="L3839" s="2"/>
      <c r="M3839" s="2" t="str">
        <f>IFERROR(__xludf.DUMMYFUNCTION("split(split(K3839,""【演出"",false),""ほか"",false)"),"多部未華子、大倉忠義、吉田羊、八乙女光、中村靖日、勝村政信、石井正則、ミッツ・マングローブ、瀬戸さおり、菅裕輔、伊武雅刀、岸本加世子　")</f>
        <v>多部未華子、大倉忠義、吉田羊、八乙女光、中村靖日、勝村政信、石井正則、ミッツ・マングローブ、瀬戸さおり、菅裕輔、伊武雅刀、岸本加世子　</v>
      </c>
      <c r="N3839" s="2" t="str">
        <f>IFERROR(__xludf.DUMMYFUNCTION("""COMPUTED_VALUE"""),"  【5話ゲスト】ダイアモンド☆ユカイ、入山法子、赤間麻里子、柏原収史40歳の誕生日を迎えた不二子(吉田羊)がイライラMAX状態の中、マヤ(多部未華子)と代官山(大倉忠義)はサプライズ祝いを企画。一方、IT企業のサプライズパーティで主賓の大隣(ダイアモンド☆ユカイ)がショック死した。死因がアレルギーだったため、彼の恋人で当日のシェフだった有美香(入山法子)への疑いが深まる中、死亡寸前の行動に疑問を抱いたマヤは、パーティを仕掛けた部下の脇本(柏原収史)に話を聞く。")</f>
        <v>  【5話ゲスト】ダイアモンド☆ユカイ、入山法子、赤間麻里子、柏原収史40歳の誕生日を迎えた不二子(吉田羊)がイライラMAX状態の中、マヤ(多部未華子)と代官山(大倉忠義)はサプライズ祝いを企画。一方、IT企業のサプライズパーティで主賓の大隣(ダイアモンド☆ユカイ)がショック死した。死因がアレルギーだったため、彼の恋人で当日のシェフだった有美香(入山法子)への疑いが深まる中、死亡寸前の行動に疑問を抱いたマヤは、パーティを仕掛けた部下の脇本(柏原収史)に話を聞く。</v>
      </c>
      <c r="O3839" s="2"/>
      <c r="P3839" s="1"/>
      <c r="Q3839" s="1"/>
      <c r="R3839" s="1"/>
      <c r="S3839" s="1"/>
      <c r="T3839" s="1"/>
      <c r="U3839" s="1"/>
      <c r="V3839" s="1"/>
      <c r="W3839" s="1"/>
      <c r="X3839" s="1"/>
      <c r="Y3839" s="1"/>
      <c r="Z3839" s="1"/>
      <c r="AA3839" s="1"/>
      <c r="AB3839" s="1"/>
      <c r="AC3839" s="1"/>
      <c r="AD3839" s="1"/>
      <c r="AE3839" s="1"/>
      <c r="AF3839" s="1"/>
      <c r="AG3839" s="1"/>
      <c r="AH3839" s="1"/>
      <c r="AI3839" s="1"/>
      <c r="AJ3839" s="1"/>
      <c r="AK3839" s="1"/>
      <c r="AL3839" s="1"/>
      <c r="AM3839" s="1"/>
      <c r="AN3839" s="1"/>
      <c r="AO3839" s="1"/>
      <c r="AP3839" s="1"/>
      <c r="AQ3839" s="1"/>
      <c r="AR3839" s="1"/>
      <c r="AS3839" s="1"/>
      <c r="AT3839" s="1"/>
      <c r="AU3839" s="1"/>
      <c r="AV3839" s="1"/>
      <c r="AW3839" s="1"/>
      <c r="AX3839" s="1"/>
      <c r="AY3839" s="1"/>
      <c r="AZ3839" s="1"/>
      <c r="BA3839" s="1"/>
      <c r="BB3839" s="1"/>
    </row>
    <row r="3840" ht="204.75" customHeight="1">
      <c r="A3840" s="1">
        <v>2236.0</v>
      </c>
      <c r="B3840" s="2" t="s">
        <v>11568</v>
      </c>
      <c r="C3840" s="2">
        <f>IFERROR(__xludf.DUMMYFUNCTION("split(B3840,""_"")"),1504.0)</f>
        <v>1504</v>
      </c>
      <c r="D3840" s="2" t="str">
        <f>IFERROR(__xludf.DUMMYFUNCTION("""COMPUTED_VALUE"""),"NTV")</f>
        <v>NTV</v>
      </c>
      <c r="E3840" s="2" t="str">
        <f>IFERROR(__xludf.DUMMYFUNCTION("""COMPUTED_VALUE"""),"土21")</f>
        <v>土21</v>
      </c>
      <c r="F3840" s="2" t="s">
        <v>11569</v>
      </c>
      <c r="G3840" s="2" t="s">
        <v>11580</v>
      </c>
      <c r="H3840" s="1">
        <v>6.0</v>
      </c>
      <c r="I3840" s="1" t="s">
        <v>2888</v>
      </c>
      <c r="J3840" s="1" t="s">
        <v>11</v>
      </c>
      <c r="K3840" s="2" t="s">
        <v>11581</v>
      </c>
      <c r="L3840" s="2"/>
      <c r="M3840" s="2" t="str">
        <f>IFERROR(__xludf.DUMMYFUNCTION("split(split(K3840,""【演出"",false),""ほか"",false)"),"多部未華子、大倉忠義、吉田羊、八乙女光、中村靖日、勝村政信、石井正則、ミッツ・マングローブ、瀬戸さおり、菅裕輔、伊武雅刀、岸本加世子　")</f>
        <v>多部未華子、大倉忠義、吉田羊、八乙女光、中村靖日、勝村政信、石井正則、ミッツ・マングローブ、瀬戸さおり、菅裕輔、伊武雅刀、岸本加世子　</v>
      </c>
      <c r="N3840" s="2" t="str">
        <f>IFERROR(__xludf.DUMMYFUNCTION("""COMPUTED_VALUE"""),"  【6話ゲスト】森川葵、恒松祐里、おかやまはじめ名門女子校に通う学生・めぐみ(恒松祐里)の遺体が河川敷で発見される。不二子(吉田羊)に見た目がそっくりな女子校の担任に代官山(大倉忠義)はビックリ!めぐみは頻繁に痴漢にあっていたが、彼女には様々な裏の顔があることが判明。そんな中、最近学校を休んでいる友人・香奈(森川葵)に着目したマヤ(多部未華子)は浜田(八乙女光)を女装させて代官山とある実験をする。そして、マヤは痴漢裁判にドS弁護士として登場し…")</f>
        <v>  【6話ゲスト】森川葵、恒松祐里、おかやまはじめ名門女子校に通う学生・めぐみ(恒松祐里)の遺体が河川敷で発見される。不二子(吉田羊)に見た目がそっくりな女子校の担任に代官山(大倉忠義)はビックリ!めぐみは頻繁に痴漢にあっていたが、彼女には様々な裏の顔があることが判明。そんな中、最近学校を休んでいる友人・香奈(森川葵)に着目したマヤ(多部未華子)は浜田(八乙女光)を女装させて代官山とある実験をする。そして、マヤは痴漢裁判にドS弁護士として登場し…</v>
      </c>
      <c r="O3840" s="2"/>
      <c r="P3840" s="1"/>
      <c r="Q3840" s="1"/>
      <c r="R3840" s="1"/>
      <c r="S3840" s="1"/>
      <c r="T3840" s="1"/>
      <c r="U3840" s="1"/>
      <c r="V3840" s="1"/>
      <c r="W3840" s="1"/>
      <c r="X3840" s="1"/>
      <c r="Y3840" s="1"/>
      <c r="Z3840" s="1"/>
      <c r="AA3840" s="1"/>
      <c r="AB3840" s="1"/>
      <c r="AC3840" s="1"/>
      <c r="AD3840" s="1"/>
      <c r="AE3840" s="1"/>
      <c r="AF3840" s="1"/>
      <c r="AG3840" s="1"/>
      <c r="AH3840" s="1"/>
      <c r="AI3840" s="1"/>
      <c r="AJ3840" s="1"/>
      <c r="AK3840" s="1"/>
      <c r="AL3840" s="1"/>
      <c r="AM3840" s="1"/>
      <c r="AN3840" s="1"/>
      <c r="AO3840" s="1"/>
      <c r="AP3840" s="1"/>
      <c r="AQ3840" s="1"/>
      <c r="AR3840" s="1"/>
      <c r="AS3840" s="1"/>
      <c r="AT3840" s="1"/>
      <c r="AU3840" s="1"/>
      <c r="AV3840" s="1"/>
      <c r="AW3840" s="1"/>
      <c r="AX3840" s="1"/>
      <c r="AY3840" s="1"/>
      <c r="AZ3840" s="1"/>
      <c r="BA3840" s="1"/>
      <c r="BB3840" s="1"/>
    </row>
    <row r="3841" ht="204.75" customHeight="1">
      <c r="A3841" s="1">
        <v>2237.0</v>
      </c>
      <c r="B3841" s="2" t="s">
        <v>11568</v>
      </c>
      <c r="C3841" s="2">
        <f>IFERROR(__xludf.DUMMYFUNCTION("split(B3841,""_"")"),1504.0)</f>
        <v>1504</v>
      </c>
      <c r="D3841" s="2" t="str">
        <f>IFERROR(__xludf.DUMMYFUNCTION("""COMPUTED_VALUE"""),"NTV")</f>
        <v>NTV</v>
      </c>
      <c r="E3841" s="2" t="str">
        <f>IFERROR(__xludf.DUMMYFUNCTION("""COMPUTED_VALUE"""),"土21")</f>
        <v>土21</v>
      </c>
      <c r="F3841" s="2" t="s">
        <v>11569</v>
      </c>
      <c r="G3841" s="2" t="s">
        <v>11582</v>
      </c>
      <c r="H3841" s="1">
        <v>7.0</v>
      </c>
      <c r="I3841" s="1" t="s">
        <v>2892</v>
      </c>
      <c r="J3841" s="1" t="s">
        <v>11</v>
      </c>
      <c r="K3841" s="2" t="s">
        <v>11583</v>
      </c>
      <c r="L3841" s="2"/>
      <c r="M3841" s="2" t="str">
        <f>IFERROR(__xludf.DUMMYFUNCTION("split(split(K3841,""【演出"",false),""ほか"",false)"),"多部未華子、大倉忠義、吉田羊、八乙女光(Hey!Say!JUMP)、中村靖日、石井正則、ミッツ・マングローブ、瀬戸さおり、菅裕輔、勝村政信、松嶋亮太、やべけんじ、高橋修、伊武雅刀、岸本加世子　")</f>
        <v>多部未華子、大倉忠義、吉田羊、八乙女光(Hey!Say!JUMP)、中村靖日、石井正則、ミッツ・マングローブ、瀬戸さおり、菅裕輔、勝村政信、松嶋亮太、やべけんじ、高橋修、伊武雅刀、岸本加世子　</v>
      </c>
      <c r="N3841" s="2" t="str">
        <f>IFERROR(__xludf.DUMMYFUNCTION("""COMPUTED_VALUE"""),"  【7話ゲスト】手塚とおる連続連れ去り事件が発生し、現場にミステリーサークルが残っていたことから、被害者たちはUFOに連れ去られたのではと騒ぎに。マヤ(多部未華子)と代官山(大倉忠義)はUFO研究家の田宮ユウホウ(手塚とおる)の元へ。宇宙人の声を耳にした代官山はUFOを呼び出そうとするが、行方不明になってしまう…1人になったマヤに浜田(八乙女光)がコンビを組みたいと申し出る。マヤは代官山を救出できるのか?事件の真相とは?")</f>
        <v>  【7話ゲスト】手塚とおる連続連れ去り事件が発生し、現場にミステリーサークルが残っていたことから、被害者たちはUFOに連れ去られたのではと騒ぎに。マヤ(多部未華子)と代官山(大倉忠義)はUFO研究家の田宮ユウホウ(手塚とおる)の元へ。宇宙人の声を耳にした代官山はUFOを呼び出そうとするが、行方不明になってしまう…1人になったマヤに浜田(八乙女光)がコンビを組みたいと申し出る。マヤは代官山を救出できるのか?事件の真相とは?</v>
      </c>
      <c r="O3841" s="2"/>
      <c r="P3841" s="1"/>
      <c r="Q3841" s="1"/>
      <c r="R3841" s="1"/>
      <c r="S3841" s="1"/>
      <c r="T3841" s="1"/>
      <c r="U3841" s="1"/>
      <c r="V3841" s="1"/>
      <c r="W3841" s="1"/>
      <c r="X3841" s="1"/>
      <c r="Y3841" s="1"/>
      <c r="Z3841" s="1"/>
      <c r="AA3841" s="1"/>
      <c r="AB3841" s="1"/>
      <c r="AC3841" s="1"/>
      <c r="AD3841" s="1"/>
      <c r="AE3841" s="1"/>
      <c r="AF3841" s="1"/>
      <c r="AG3841" s="1"/>
      <c r="AH3841" s="1"/>
      <c r="AI3841" s="1"/>
      <c r="AJ3841" s="1"/>
      <c r="AK3841" s="1"/>
      <c r="AL3841" s="1"/>
      <c r="AM3841" s="1"/>
      <c r="AN3841" s="1"/>
      <c r="AO3841" s="1"/>
      <c r="AP3841" s="1"/>
      <c r="AQ3841" s="1"/>
      <c r="AR3841" s="1"/>
      <c r="AS3841" s="1"/>
      <c r="AT3841" s="1"/>
      <c r="AU3841" s="1"/>
      <c r="AV3841" s="1"/>
      <c r="AW3841" s="1"/>
      <c r="AX3841" s="1"/>
      <c r="AY3841" s="1"/>
      <c r="AZ3841" s="1"/>
      <c r="BA3841" s="1"/>
      <c r="BB3841" s="1"/>
    </row>
    <row r="3842" ht="204.75" customHeight="1">
      <c r="A3842" s="1">
        <v>2238.0</v>
      </c>
      <c r="B3842" s="2" t="s">
        <v>11568</v>
      </c>
      <c r="C3842" s="2">
        <f>IFERROR(__xludf.DUMMYFUNCTION("split(B3842,""_"")"),1504.0)</f>
        <v>1504</v>
      </c>
      <c r="D3842" s="2" t="str">
        <f>IFERROR(__xludf.DUMMYFUNCTION("""COMPUTED_VALUE"""),"NTV")</f>
        <v>NTV</v>
      </c>
      <c r="E3842" s="2" t="str">
        <f>IFERROR(__xludf.DUMMYFUNCTION("""COMPUTED_VALUE"""),"土21")</f>
        <v>土21</v>
      </c>
      <c r="F3842" s="2" t="s">
        <v>11569</v>
      </c>
      <c r="G3842" s="2" t="s">
        <v>11584</v>
      </c>
      <c r="H3842" s="1">
        <v>8.0</v>
      </c>
      <c r="I3842" s="1" t="s">
        <v>2896</v>
      </c>
      <c r="J3842" s="1" t="s">
        <v>11</v>
      </c>
      <c r="K3842" s="2" t="s">
        <v>11585</v>
      </c>
      <c r="L3842" s="2"/>
      <c r="M3842" s="2" t="str">
        <f>IFERROR(__xludf.DUMMYFUNCTION("split(split(K3842,""【演出"",false),""ほか"",false)"),"多部未華子、大倉忠義、吉田羊、八乙女光、中村靖日、石井正則、ミッツ・マングローブ、瀬戸さおり、菅裕輔、勝村政信、野崎萌香、中島亜梨沙、三沢幸育、岩倉健伸、萩原利映、伊武雅刀、岸本加世子　")</f>
        <v>多部未華子、大倉忠義、吉田羊、八乙女光、中村靖日、石井正則、ミッツ・マングローブ、瀬戸さおり、菅裕輔、勝村政信、野崎萌香、中島亜梨沙、三沢幸育、岩倉健伸、萩原利映、伊武雅刀、岸本加世子　</v>
      </c>
      <c r="N3842" s="2" t="str">
        <f>IFERROR(__xludf.DUMMYFUNCTION("""COMPUTED_VALUE"""),"  【8話ゲスト】遠山俊也、矢野聖人飲食店を狙った連続爆破事件が発生!評判のパンケーキ店まで被害に遭い、食べに行くつもりだった代官山(大倉忠義)は大ショック!そんな中、徳二(伊武雅刀)は犯行声明文に書かれた顔文字に注目、ある男のことを思い出す。一方、マヤ(多部未華子)は被害にあった店のある共通点に気付づき、犯人をおびき出すためとんでもない作戦を決行する。そして、マヤの父と代官山の母・啓子(岸本加世子)との関係がついに明らかに!")</f>
        <v>  【8話ゲスト】遠山俊也、矢野聖人飲食店を狙った連続爆破事件が発生!評判のパンケーキ店まで被害に遭い、食べに行くつもりだった代官山(大倉忠義)は大ショック!そんな中、徳二(伊武雅刀)は犯行声明文に書かれた顔文字に注目、ある男のことを思い出す。一方、マヤ(多部未華子)は被害にあった店のある共通点に気付づき、犯人をおびき出すためとんでもない作戦を決行する。そして、マヤの父と代官山の母・啓子(岸本加世子)との関係がついに明らかに!</v>
      </c>
      <c r="O3842" s="2"/>
      <c r="P3842" s="1"/>
      <c r="Q3842" s="1"/>
      <c r="R3842" s="1"/>
      <c r="S3842" s="1"/>
      <c r="T3842" s="1"/>
      <c r="U3842" s="1"/>
      <c r="V3842" s="1"/>
      <c r="W3842" s="1"/>
      <c r="X3842" s="1"/>
      <c r="Y3842" s="1"/>
      <c r="Z3842" s="1"/>
      <c r="AA3842" s="1"/>
      <c r="AB3842" s="1"/>
      <c r="AC3842" s="1"/>
      <c r="AD3842" s="1"/>
      <c r="AE3842" s="1"/>
      <c r="AF3842" s="1"/>
      <c r="AG3842" s="1"/>
      <c r="AH3842" s="1"/>
      <c r="AI3842" s="1"/>
      <c r="AJ3842" s="1"/>
      <c r="AK3842" s="1"/>
      <c r="AL3842" s="1"/>
      <c r="AM3842" s="1"/>
      <c r="AN3842" s="1"/>
      <c r="AO3842" s="1"/>
      <c r="AP3842" s="1"/>
      <c r="AQ3842" s="1"/>
      <c r="AR3842" s="1"/>
      <c r="AS3842" s="1"/>
      <c r="AT3842" s="1"/>
      <c r="AU3842" s="1"/>
      <c r="AV3842" s="1"/>
      <c r="AW3842" s="1"/>
      <c r="AX3842" s="1"/>
      <c r="AY3842" s="1"/>
      <c r="AZ3842" s="1"/>
      <c r="BA3842" s="1"/>
      <c r="BB3842" s="1"/>
    </row>
    <row r="3843" ht="204.75" customHeight="1">
      <c r="A3843" s="1">
        <v>2239.0</v>
      </c>
      <c r="B3843" s="2" t="s">
        <v>11568</v>
      </c>
      <c r="C3843" s="2">
        <f>IFERROR(__xludf.DUMMYFUNCTION("split(B3843,""_"")"),1504.0)</f>
        <v>1504</v>
      </c>
      <c r="D3843" s="2" t="str">
        <f>IFERROR(__xludf.DUMMYFUNCTION("""COMPUTED_VALUE"""),"NTV")</f>
        <v>NTV</v>
      </c>
      <c r="E3843" s="2" t="str">
        <f>IFERROR(__xludf.DUMMYFUNCTION("""COMPUTED_VALUE"""),"土21")</f>
        <v>土21</v>
      </c>
      <c r="F3843" s="2" t="s">
        <v>11569</v>
      </c>
      <c r="G3843" s="2" t="s">
        <v>11586</v>
      </c>
      <c r="H3843" s="1">
        <v>9.0</v>
      </c>
      <c r="I3843" s="1" t="s">
        <v>2900</v>
      </c>
      <c r="J3843" s="1" t="s">
        <v>11</v>
      </c>
      <c r="K3843" s="2" t="s">
        <v>11587</v>
      </c>
      <c r="L3843" s="2"/>
      <c r="M3843" s="2" t="str">
        <f>IFERROR(__xludf.DUMMYFUNCTION("split(split(K3843,""【演出"",false),""ほか"",false)"),"多部未華子、大倉忠義、吉田羊、八乙女光、中村靖日、勝村政信、石井正則、ミッツ・マングローブ、瀬戸さおり、菅裕輔、伊武雅刀、岸本加世子　")</f>
        <v>多部未華子、大倉忠義、吉田羊、八乙女光、中村靖日、勝村政信、石井正則、ミッツ・マングローブ、瀬戸さおり、菅裕輔、伊武雅刀、岸本加世子　</v>
      </c>
      <c r="N3843" s="2" t="str">
        <f>IFERROR(__xludf.DUMMYFUNCTION("""COMPUTED_VALUE"""),"  【9話ゲスト】金児憲史、寉岡萌希、北浦愛、ざわちんコスプレ界では有名な女性が殺された。代官山(大倉忠義)はマヤ(多部未華子)から命じられたわけでもないのに率先してコスプレをしてイベントに潜入する一方、マヤは犯人が女性の部屋から何かを持ち去った可能性を直感する。そして、伝説のメイクアーティスト“ざわちん”の力を借り、ある作戦を思いつく。そんな中、不二子(吉田羊)と有栖川(勝村政信)が○○のコスプレで登場し…マヤと不二子のコラボドS攻撃が炸裂する!")</f>
        <v>  【9話ゲスト】金児憲史、寉岡萌希、北浦愛、ざわちんコスプレ界では有名な女性が殺された。代官山(大倉忠義)はマヤ(多部未華子)から命じられたわけでもないのに率先してコスプレをしてイベントに潜入する一方、マヤは犯人が女性の部屋から何かを持ち去った可能性を直感する。そして、伝説のメイクアーティスト“ざわちん”の力を借り、ある作戦を思いつく。そんな中、不二子(吉田羊)と有栖川(勝村政信)が○○のコスプレで登場し…マヤと不二子のコラボドS攻撃が炸裂する!</v>
      </c>
      <c r="O3843" s="2"/>
      <c r="P3843" s="1"/>
      <c r="Q3843" s="1"/>
      <c r="R3843" s="1"/>
      <c r="S3843" s="1"/>
      <c r="T3843" s="1"/>
      <c r="U3843" s="1"/>
      <c r="V3843" s="1"/>
      <c r="W3843" s="1"/>
      <c r="X3843" s="1"/>
      <c r="Y3843" s="1"/>
      <c r="Z3843" s="1"/>
      <c r="AA3843" s="1"/>
      <c r="AB3843" s="1"/>
      <c r="AC3843" s="1"/>
      <c r="AD3843" s="1"/>
      <c r="AE3843" s="1"/>
      <c r="AF3843" s="1"/>
      <c r="AG3843" s="1"/>
      <c r="AH3843" s="1"/>
      <c r="AI3843" s="1"/>
      <c r="AJ3843" s="1"/>
      <c r="AK3843" s="1"/>
      <c r="AL3843" s="1"/>
      <c r="AM3843" s="1"/>
      <c r="AN3843" s="1"/>
      <c r="AO3843" s="1"/>
      <c r="AP3843" s="1"/>
      <c r="AQ3843" s="1"/>
      <c r="AR3843" s="1"/>
      <c r="AS3843" s="1"/>
      <c r="AT3843" s="1"/>
      <c r="AU3843" s="1"/>
      <c r="AV3843" s="1"/>
      <c r="AW3843" s="1"/>
      <c r="AX3843" s="1"/>
      <c r="AY3843" s="1"/>
      <c r="AZ3843" s="1"/>
      <c r="BA3843" s="1"/>
      <c r="BB3843" s="1"/>
    </row>
    <row r="3844" ht="204.75" customHeight="1">
      <c r="A3844" s="1">
        <v>2240.0</v>
      </c>
      <c r="B3844" s="2" t="s">
        <v>11568</v>
      </c>
      <c r="C3844" s="2">
        <f>IFERROR(__xludf.DUMMYFUNCTION("split(B3844,""_"")"),1504.0)</f>
        <v>1504</v>
      </c>
      <c r="D3844" s="2" t="str">
        <f>IFERROR(__xludf.DUMMYFUNCTION("""COMPUTED_VALUE"""),"NTV")</f>
        <v>NTV</v>
      </c>
      <c r="E3844" s="2" t="str">
        <f>IFERROR(__xludf.DUMMYFUNCTION("""COMPUTED_VALUE"""),"土21")</f>
        <v>土21</v>
      </c>
      <c r="F3844" s="2" t="s">
        <v>11569</v>
      </c>
      <c r="G3844" s="2" t="s">
        <v>11588</v>
      </c>
      <c r="H3844" s="1">
        <v>10.0</v>
      </c>
      <c r="I3844" s="1" t="s">
        <v>37</v>
      </c>
      <c r="J3844" s="1" t="s">
        <v>11</v>
      </c>
      <c r="K3844" s="2" t="s">
        <v>11589</v>
      </c>
      <c r="L3844" s="2"/>
      <c r="M3844" s="2" t="str">
        <f>IFERROR(__xludf.DUMMYFUNCTION("split(split(K3844,""【演出"",false),""ほか"",false)"),"多部未華子、大倉忠義、吉田羊、八乙女光、中村靖日、勝村政信、石井正則、ミッツ・マングローブ、瀬戸さおり、菅裕輔、伊武雅刀、岸本加世子　")</f>
        <v>多部未華子、大倉忠義、吉田羊、八乙女光、中村靖日、勝村政信、石井正則、ミッツ・マングローブ、瀬戸さおり、菅裕輔、伊武雅刀、岸本加世子　</v>
      </c>
      <c r="N3844" s="2" t="str">
        <f>IFERROR(__xludf.DUMMYFUNCTION("""COMPUTED_VALUE"""),"    【10話ゲスト】佐戸井けん太、小林且弥、久保田悠来、青山倫子マヤ(多部未華子)がお見合いすることに。代官山(大倉忠義)が見守る中、無銭飲食の客・富樫が店から飛び出す!すると突然現れた5人の好青年が富樫を捕まえ、その場を穏便に収めてしまう。彼らは「川崎デイジーフラッグス」という自警団だった。翌日、富樫が遺体で発見される。彼は過去に無差別傷害事件を起こし、最近出所したばかりだった。そんな中、出所したての男がもう一人犠牲になり…代官山が慕っていた警官が撲殺される")</f>
        <v>    【10話ゲスト】佐戸井けん太、小林且弥、久保田悠来、青山倫子マヤ(多部未華子)がお見合いすることに。代官山(大倉忠義)が見守る中、無銭飲食の客・富樫が店から飛び出す!すると突然現れた5人の好青年が富樫を捕まえ、その場を穏便に収めてしまう。彼らは「川崎デイジーフラッグス」という自警団だった。翌日、富樫が遺体で発見される。彼は過去に無差別傷害事件を起こし、最近出所したばかりだった。そんな中、出所したての男がもう一人犠牲になり…代官山が慕っていた警官が撲殺される</v>
      </c>
      <c r="O3844" s="2"/>
      <c r="P3844" s="1"/>
      <c r="Q3844" s="1"/>
      <c r="R3844" s="1"/>
      <c r="S3844" s="1"/>
      <c r="T3844" s="1"/>
      <c r="U3844" s="1"/>
      <c r="V3844" s="1"/>
      <c r="W3844" s="1"/>
      <c r="X3844" s="1"/>
      <c r="Y3844" s="1"/>
      <c r="Z3844" s="1"/>
      <c r="AA3844" s="1"/>
      <c r="AB3844" s="1"/>
      <c r="AC3844" s="1"/>
      <c r="AD3844" s="1"/>
      <c r="AE3844" s="1"/>
      <c r="AF3844" s="1"/>
      <c r="AG3844" s="1"/>
      <c r="AH3844" s="1"/>
      <c r="AI3844" s="1"/>
      <c r="AJ3844" s="1"/>
      <c r="AK3844" s="1"/>
      <c r="AL3844" s="1"/>
      <c r="AM3844" s="1"/>
      <c r="AN3844" s="1"/>
      <c r="AO3844" s="1"/>
      <c r="AP3844" s="1"/>
      <c r="AQ3844" s="1"/>
      <c r="AR3844" s="1"/>
      <c r="AS3844" s="1"/>
      <c r="AT3844" s="1"/>
      <c r="AU3844" s="1"/>
      <c r="AV3844" s="1"/>
      <c r="AW3844" s="1"/>
      <c r="AX3844" s="1"/>
      <c r="AY3844" s="1"/>
      <c r="AZ3844" s="1"/>
      <c r="BA3844" s="1"/>
      <c r="BB3844" s="1"/>
    </row>
    <row r="3845" ht="204.75" customHeight="1">
      <c r="A3845" s="1">
        <v>2241.0</v>
      </c>
      <c r="B3845" s="2" t="s">
        <v>11568</v>
      </c>
      <c r="C3845" s="2">
        <f>IFERROR(__xludf.DUMMYFUNCTION("split(B3845,""_"")"),1504.0)</f>
        <v>1504</v>
      </c>
      <c r="D3845" s="2" t="str">
        <f>IFERROR(__xludf.DUMMYFUNCTION("""COMPUTED_VALUE"""),"NTV")</f>
        <v>NTV</v>
      </c>
      <c r="E3845" s="2" t="str">
        <f>IFERROR(__xludf.DUMMYFUNCTION("""COMPUTED_VALUE"""),"土21")</f>
        <v>土21</v>
      </c>
      <c r="F3845" s="2" t="s">
        <v>11569</v>
      </c>
      <c r="G3845" s="2" t="s">
        <v>11590</v>
      </c>
      <c r="H3845" s="1">
        <v>11.0</v>
      </c>
      <c r="I3845" s="1" t="s">
        <v>41</v>
      </c>
      <c r="J3845" s="1" t="s">
        <v>11</v>
      </c>
      <c r="K3845" s="2" t="s">
        <v>11591</v>
      </c>
      <c r="L3845" s="2"/>
      <c r="M3845" s="2" t="str">
        <f>IFERROR(__xludf.DUMMYFUNCTION("split(split(K3845,""【演出"",false),""ほか"",false)"),"多部未華子、大倉忠義、吉田羊、八乙女光、中村靖日、勝村政信、石井正則、ミッツ・マングローブ、瀬戸さおり、菅裕輔、伊武雅刀、岸本加世子　")</f>
        <v>多部未華子、大倉忠義、吉田羊、八乙女光、中村靖日、勝村政信、石井正則、ミッツ・マングローブ、瀬戸さおり、菅裕輔、伊武雅刀、岸本加世子　</v>
      </c>
      <c r="N3845" s="2" t="str">
        <f>IFERROR(__xludf.DUMMYFUNCTION("""COMPUTED_VALUE"""),"  【最終回ゲスト】石黒賢、小林且弥、青山倫子強行犯捜査係のメンバー浜田(八乙女光)と徳二(伊武雅刀)が次々と何者かに襲われる。危険を感じた不二子(吉田羊)は捜査係の単独行動を禁止する。そんな中、事件の黒幕にたどり着きかけたマヤ(多部未華子)だったが、突然姿を消してしまう…代官山(大倉忠義)は一人で回転遊具での臨時捜査会議に挑み、マヤの行方を懸命に捜す。絶体絶命のピンチに青空署メンバーが一丸となって立ち向かう!そして、最後のドS攻撃が炸裂!")</f>
        <v>  【最終回ゲスト】石黒賢、小林且弥、青山倫子強行犯捜査係のメンバー浜田(八乙女光)と徳二(伊武雅刀)が次々と何者かに襲われる。危険を感じた不二子(吉田羊)は捜査係の単独行動を禁止する。そんな中、事件の黒幕にたどり着きかけたマヤ(多部未華子)だったが、突然姿を消してしまう…代官山(大倉忠義)は一人で回転遊具での臨時捜査会議に挑み、マヤの行方を懸命に捜す。絶体絶命のピンチに青空署メンバーが一丸となって立ち向かう!そして、最後のドS攻撃が炸裂!</v>
      </c>
      <c r="O3845" s="2"/>
      <c r="P3845" s="1"/>
      <c r="Q3845" s="1"/>
      <c r="R3845" s="1"/>
      <c r="S3845" s="1"/>
      <c r="T3845" s="1"/>
      <c r="U3845" s="1"/>
      <c r="V3845" s="1"/>
      <c r="W3845" s="1"/>
      <c r="X3845" s="1"/>
      <c r="Y3845" s="1"/>
      <c r="Z3845" s="1"/>
      <c r="AA3845" s="1"/>
      <c r="AB3845" s="1"/>
      <c r="AC3845" s="1"/>
      <c r="AD3845" s="1"/>
      <c r="AE3845" s="1"/>
      <c r="AF3845" s="1"/>
      <c r="AG3845" s="1"/>
      <c r="AH3845" s="1"/>
      <c r="AI3845" s="1"/>
      <c r="AJ3845" s="1"/>
      <c r="AK3845" s="1"/>
      <c r="AL3845" s="1"/>
      <c r="AM3845" s="1"/>
      <c r="AN3845" s="1"/>
      <c r="AO3845" s="1"/>
      <c r="AP3845" s="1"/>
      <c r="AQ3845" s="1"/>
      <c r="AR3845" s="1"/>
      <c r="AS3845" s="1"/>
      <c r="AT3845" s="1"/>
      <c r="AU3845" s="1"/>
      <c r="AV3845" s="1"/>
      <c r="AW3845" s="1"/>
      <c r="AX3845" s="1"/>
      <c r="AY3845" s="1"/>
      <c r="AZ3845" s="1"/>
      <c r="BA3845" s="1"/>
      <c r="BB3845" s="1"/>
    </row>
    <row r="3846" ht="204.75" customHeight="1">
      <c r="A3846" s="1">
        <v>2252.0</v>
      </c>
      <c r="B3846" s="2" t="s">
        <v>11592</v>
      </c>
      <c r="C3846" s="2">
        <f>IFERROR(__xludf.DUMMYFUNCTION("split(B3846,""_"")"),1504.0)</f>
        <v>1504</v>
      </c>
      <c r="D3846" s="2" t="str">
        <f>IFERROR(__xludf.DUMMYFUNCTION("""COMPUTED_VALUE"""),"NTV")</f>
        <v>NTV</v>
      </c>
      <c r="E3846" s="2" t="str">
        <f>IFERROR(__xludf.DUMMYFUNCTION("""COMPUTED_VALUE"""),"日22")</f>
        <v>日22</v>
      </c>
      <c r="F3846" s="2" t="s">
        <v>11593</v>
      </c>
      <c r="G3846" s="2" t="s">
        <v>11594</v>
      </c>
      <c r="H3846" s="1">
        <v>1.0</v>
      </c>
      <c r="I3846" s="1" t="s">
        <v>2868</v>
      </c>
      <c r="J3846" s="1" t="s">
        <v>82</v>
      </c>
      <c r="K3846" s="2" t="s">
        <v>11595</v>
      </c>
      <c r="L3846" s="2"/>
      <c r="M3846" s="2" t="str">
        <f>IFERROR(__xludf.DUMMYFUNCTION("split(split(K3846,""【演出"",false),""ほか"",false)"),"TAKAHIRO  青柳翔、岩田剛典、野替愁平、八木将康、佐藤大樹、黒木啓司  桜田ひより、水沢エレナ  長谷川初範、朝加真由美、飛田光里、草村礼子、二宮愛、和希沙也、平田薫  塚本高史、内藤剛志転勤で十年ぶりに故郷へ戻った冴えない営業マン・希一(TAKAHIRO)。そんな彼が偶然、裏社会から命を狙われている謎の少女(桜田ひより)を助けて逃げる!いきなり追われる身となった希一が頼ったのは、かつての悪ガキ仲間たち。だが、希一と彼らの間には「裏切り」という過去の深い溝が横たわっていた…。果たして7人の元ヤンは"&amp;"絆を取り戻し、少女を守りぬけるのか!?スリルと感動のアクション・エンターテインメント!")</f>
        <v>TAKAHIRO  青柳翔、岩田剛典、野替愁平、八木将康、佐藤大樹、黒木啓司  桜田ひより、水沢エレナ  長谷川初範、朝加真由美、飛田光里、草村礼子、二宮愛、和希沙也、平田薫  塚本高史、内藤剛志転勤で十年ぶりに故郷へ戻った冴えない営業マン・希一(TAKAHIRO)。そんな彼が偶然、裏社会から命を狙われている謎の少女(桜田ひより)を助けて逃げる!いきなり追われる身となった希一が頼ったのは、かつての悪ガキ仲間たち。だが、希一と彼らの間には「裏切り」という過去の深い溝が横たわっていた…。果たして7人の元ヤンは絆を取り戻し、少女を守りぬけるのか!?スリルと感動のアクション・エンターテインメント!</v>
      </c>
      <c r="N3846" s="2"/>
      <c r="O3846" s="2"/>
      <c r="P3846" s="1"/>
      <c r="Q3846" s="1"/>
      <c r="R3846" s="1"/>
      <c r="S3846" s="1"/>
      <c r="T3846" s="1"/>
      <c r="U3846" s="1"/>
      <c r="V3846" s="1"/>
      <c r="W3846" s="1"/>
      <c r="X3846" s="1"/>
      <c r="Y3846" s="1"/>
      <c r="Z3846" s="1"/>
      <c r="AA3846" s="1"/>
      <c r="AB3846" s="1"/>
      <c r="AC3846" s="1"/>
      <c r="AD3846" s="1"/>
      <c r="AE3846" s="1"/>
      <c r="AF3846" s="1"/>
      <c r="AG3846" s="1"/>
      <c r="AH3846" s="1"/>
      <c r="AI3846" s="1"/>
      <c r="AJ3846" s="1"/>
      <c r="AK3846" s="1"/>
      <c r="AL3846" s="1"/>
      <c r="AM3846" s="1"/>
      <c r="AN3846" s="1"/>
      <c r="AO3846" s="1"/>
      <c r="AP3846" s="1"/>
      <c r="AQ3846" s="1"/>
      <c r="AR3846" s="1"/>
      <c r="AS3846" s="1"/>
      <c r="AT3846" s="1"/>
      <c r="AU3846" s="1"/>
      <c r="AV3846" s="1"/>
      <c r="AW3846" s="1"/>
      <c r="AX3846" s="1"/>
      <c r="AY3846" s="1"/>
      <c r="AZ3846" s="1"/>
      <c r="BA3846" s="1"/>
      <c r="BB3846" s="1"/>
    </row>
    <row r="3847" ht="204.75" customHeight="1">
      <c r="A3847" s="1">
        <v>2253.0</v>
      </c>
      <c r="B3847" s="2" t="s">
        <v>11592</v>
      </c>
      <c r="C3847" s="2">
        <f>IFERROR(__xludf.DUMMYFUNCTION("split(B3847,""_"")"),1504.0)</f>
        <v>1504</v>
      </c>
      <c r="D3847" s="2" t="str">
        <f>IFERROR(__xludf.DUMMYFUNCTION("""COMPUTED_VALUE"""),"NTV")</f>
        <v>NTV</v>
      </c>
      <c r="E3847" s="2" t="str">
        <f>IFERROR(__xludf.DUMMYFUNCTION("""COMPUTED_VALUE"""),"日22")</f>
        <v>日22</v>
      </c>
      <c r="F3847" s="2" t="s">
        <v>11593</v>
      </c>
      <c r="G3847" s="2" t="s">
        <v>11596</v>
      </c>
      <c r="H3847" s="1">
        <v>2.0</v>
      </c>
      <c r="I3847" s="1" t="s">
        <v>2872</v>
      </c>
      <c r="J3847" s="1" t="s">
        <v>82</v>
      </c>
      <c r="K3847" s="2" t="s">
        <v>11597</v>
      </c>
      <c r="L3847" s="2"/>
      <c r="M3847" s="2" t="str">
        <f>IFERROR(__xludf.DUMMYFUNCTION("split(split(K3847,""【演出"",false),""ほか"",false)"),"TAKAHIRO、青柳翔、岩田剛典、野替愁平、八木将康、佐藤大樹、黒木啓司、桜田ひより、水沢エレナ、長谷川初範、朝加真由美、飛田光里、草村礼子、酒井美紀、二宮愛、和希沙也、平田薫、前田公輝、塚本高史、内藤剛志　")</f>
        <v>TAKAHIRO、青柳翔、岩田剛典、野替愁平、八木将康、佐藤大樹、黒木啓司、桜田ひより、水沢エレナ、長谷川初範、朝加真由美、飛田光里、草村礼子、酒井美紀、二宮愛、和希沙也、平田薫、前田公輝、塚本高史、内藤剛志　</v>
      </c>
      <c r="N3847" s="2" t="str">
        <f>IFERROR(__xludf.DUMMYFUNCTION("""COMPUTED_VALUE"""),"希一(TAKAHIRO)がヤクザから救った少女・日花里(桜田ひより)は刑事・赤城(内藤剛志)と一緒に姿を消した。希一は赤城に不信を抱くが、かつて世話になった洸介(青柳翔)春太郎(岩田剛典)らは取り合わない。必死で行方を捜す希一、ついに日花里の居所を突き止めた時、赤城が銃を手に立ちはだかった!果たして希一は、恩人を敵に回して日花里を救出することができるのか?そこには思いがけない結末が待ち受けていた!")</f>
        <v>希一(TAKAHIRO)がヤクザから救った少女・日花里(桜田ひより)は刑事・赤城(内藤剛志)と一緒に姿を消した。希一は赤城に不信を抱くが、かつて世話になった洸介(青柳翔)春太郎(岩田剛典)らは取り合わない。必死で行方を捜す希一、ついに日花里の居所を突き止めた時、赤城が銃を手に立ちはだかった!果たして希一は、恩人を敵に回して日花里を救出することができるのか?そこには思いがけない結末が待ち受けていた!</v>
      </c>
      <c r="O3847" s="2"/>
      <c r="P3847" s="1"/>
      <c r="Q3847" s="1"/>
      <c r="R3847" s="1"/>
      <c r="S3847" s="1"/>
      <c r="T3847" s="1"/>
      <c r="U3847" s="1"/>
      <c r="V3847" s="1"/>
      <c r="W3847" s="1"/>
      <c r="X3847" s="1"/>
      <c r="Y3847" s="1"/>
      <c r="Z3847" s="1"/>
      <c r="AA3847" s="1"/>
      <c r="AB3847" s="1"/>
      <c r="AC3847" s="1"/>
      <c r="AD3847" s="1"/>
      <c r="AE3847" s="1"/>
      <c r="AF3847" s="1"/>
      <c r="AG3847" s="1"/>
      <c r="AH3847" s="1"/>
      <c r="AI3847" s="1"/>
      <c r="AJ3847" s="1"/>
      <c r="AK3847" s="1"/>
      <c r="AL3847" s="1"/>
      <c r="AM3847" s="1"/>
      <c r="AN3847" s="1"/>
      <c r="AO3847" s="1"/>
      <c r="AP3847" s="1"/>
      <c r="AQ3847" s="1"/>
      <c r="AR3847" s="1"/>
      <c r="AS3847" s="1"/>
      <c r="AT3847" s="1"/>
      <c r="AU3847" s="1"/>
      <c r="AV3847" s="1"/>
      <c r="AW3847" s="1"/>
      <c r="AX3847" s="1"/>
      <c r="AY3847" s="1"/>
      <c r="AZ3847" s="1"/>
      <c r="BA3847" s="1"/>
      <c r="BB3847" s="1"/>
    </row>
    <row r="3848" ht="204.75" customHeight="1">
      <c r="A3848" s="1">
        <v>2254.0</v>
      </c>
      <c r="B3848" s="2" t="s">
        <v>11592</v>
      </c>
      <c r="C3848" s="2">
        <f>IFERROR(__xludf.DUMMYFUNCTION("split(B3848,""_"")"),1504.0)</f>
        <v>1504</v>
      </c>
      <c r="D3848" s="2" t="str">
        <f>IFERROR(__xludf.DUMMYFUNCTION("""COMPUTED_VALUE"""),"NTV")</f>
        <v>NTV</v>
      </c>
      <c r="E3848" s="2" t="str">
        <f>IFERROR(__xludf.DUMMYFUNCTION("""COMPUTED_VALUE"""),"日22")</f>
        <v>日22</v>
      </c>
      <c r="F3848" s="2" t="s">
        <v>11593</v>
      </c>
      <c r="G3848" s="2" t="s">
        <v>11598</v>
      </c>
      <c r="H3848" s="1">
        <v>3.0</v>
      </c>
      <c r="I3848" s="1" t="s">
        <v>2876</v>
      </c>
      <c r="J3848" s="1" t="s">
        <v>82</v>
      </c>
      <c r="K3848" s="2" t="s">
        <v>11599</v>
      </c>
      <c r="L3848" s="2"/>
      <c r="M3848" s="2" t="str">
        <f>IFERROR(__xludf.DUMMYFUNCTION("split(split(K3848,""【演出"",false),""ほか"",false)"),"TAKAHIRO、  青柳翔、岩田剛典、野替愁平、八木将康、佐藤大樹、黒木啓司、  桜田ひより、水沢エレナ、  草村礼子、酒井美紀、中村静香、二宮愛、和希沙也、平田薫、  音尾琢真、前田公輝、原日出子、  塚本高史、内藤剛志日花里(桜田ひより)を救った希一(TAKAHIRO)だが赤城(内藤剛志)殺害の疑いで警察に連行される。一方、日花里は洸介(青柳翔)と共に事件のあった山荘に戻った。そこで出会ったのが日花里の新任教師(原日出子)。洸介は日花里の安全のため先生に預ける事を決心。しかし赤城殺しの真犯人が密かに"&amp;"忍び寄る。さらに田川(塚本高史)は柳原(音尾琢真)の命令で再び動き出す。果たして希一は日花里を守る事は出来るのか?")</f>
        <v>TAKAHIRO、  青柳翔、岩田剛典、野替愁平、八木将康、佐藤大樹、黒木啓司、  桜田ひより、水沢エレナ、  草村礼子、酒井美紀、中村静香、二宮愛、和希沙也、平田薫、  音尾琢真、前田公輝、原日出子、  塚本高史、内藤剛志日花里(桜田ひより)を救った希一(TAKAHIRO)だが赤城(内藤剛志)殺害の疑いで警察に連行される。一方、日花里は洸介(青柳翔)と共に事件のあった山荘に戻った。そこで出会ったのが日花里の新任教師(原日出子)。洸介は日花里の安全のため先生に預ける事を決心。しかし赤城殺しの真犯人が密かに忍び寄る。さらに田川(塚本高史)は柳原(音尾琢真)の命令で再び動き出す。果たして希一は日花里を守る事は出来るのか?</v>
      </c>
      <c r="N3848" s="2"/>
      <c r="O3848" s="2"/>
      <c r="P3848" s="1"/>
      <c r="Q3848" s="1"/>
      <c r="R3848" s="1"/>
      <c r="S3848" s="1"/>
      <c r="T3848" s="1"/>
      <c r="U3848" s="1"/>
      <c r="V3848" s="1"/>
      <c r="W3848" s="1"/>
      <c r="X3848" s="1"/>
      <c r="Y3848" s="1"/>
      <c r="Z3848" s="1"/>
      <c r="AA3848" s="1"/>
      <c r="AB3848" s="1"/>
      <c r="AC3848" s="1"/>
      <c r="AD3848" s="1"/>
      <c r="AE3848" s="1"/>
      <c r="AF3848" s="1"/>
      <c r="AG3848" s="1"/>
      <c r="AH3848" s="1"/>
      <c r="AI3848" s="1"/>
      <c r="AJ3848" s="1"/>
      <c r="AK3848" s="1"/>
      <c r="AL3848" s="1"/>
      <c r="AM3848" s="1"/>
      <c r="AN3848" s="1"/>
      <c r="AO3848" s="1"/>
      <c r="AP3848" s="1"/>
      <c r="AQ3848" s="1"/>
      <c r="AR3848" s="1"/>
      <c r="AS3848" s="1"/>
      <c r="AT3848" s="1"/>
      <c r="AU3848" s="1"/>
      <c r="AV3848" s="1"/>
      <c r="AW3848" s="1"/>
      <c r="AX3848" s="1"/>
      <c r="AY3848" s="1"/>
      <c r="AZ3848" s="1"/>
      <c r="BA3848" s="1"/>
      <c r="BB3848" s="1"/>
    </row>
    <row r="3849" ht="204.75" customHeight="1">
      <c r="A3849" s="1">
        <v>2255.0</v>
      </c>
      <c r="B3849" s="2" t="s">
        <v>11592</v>
      </c>
      <c r="C3849" s="2">
        <f>IFERROR(__xludf.DUMMYFUNCTION("split(B3849,""_"")"),1504.0)</f>
        <v>1504</v>
      </c>
      <c r="D3849" s="2" t="str">
        <f>IFERROR(__xludf.DUMMYFUNCTION("""COMPUTED_VALUE"""),"NTV")</f>
        <v>NTV</v>
      </c>
      <c r="E3849" s="2" t="str">
        <f>IFERROR(__xludf.DUMMYFUNCTION("""COMPUTED_VALUE"""),"日22")</f>
        <v>日22</v>
      </c>
      <c r="F3849" s="2" t="s">
        <v>11593</v>
      </c>
      <c r="G3849" s="2" t="s">
        <v>11600</v>
      </c>
      <c r="H3849" s="1">
        <v>4.0</v>
      </c>
      <c r="I3849" s="1" t="s">
        <v>2880</v>
      </c>
      <c r="J3849" s="1" t="s">
        <v>82</v>
      </c>
      <c r="K3849" s="2" t="s">
        <v>11601</v>
      </c>
      <c r="L3849" s="2"/>
      <c r="M3849" s="2" t="str">
        <f>IFERROR(__xludf.DUMMYFUNCTION("split(split(K3849,""【演出"",false),""ほか"",false)"),"TAKAHIRO、  青柳翔、岩田剛典、野替愁平、八木将康、佐藤大樹、黒木啓司、  桜田ひより、水沢エレナ、  朝加真由美、草村礼子、酒井美紀、中村静香、二宮愛、平田薫、  原日出子、前田公輝、音尾琢真、  村井國夫、塚本高史希一(TAKAHIRO)は洸介(青柳翔)春太郎(岩田剛典)らと小学校を訪ね、日花里(桜田ひより)を連れ去ったさわこ(原日出子)が偽教師だったと知る。その頃、日花里は暗殺者の青年(前田公輝)が見張る中、さわこに監禁されていた!日花里の決死のメッセージを受け取った希一らは救出に向かうが、"&amp;"すでに日花里は「誰か」の指示でかつてさ迷っていた山の高い崖上に連れていかれていた。そこに日花里の秘密があるらしい…!")</f>
        <v>TAKAHIRO、  青柳翔、岩田剛典、野替愁平、八木将康、佐藤大樹、黒木啓司、  桜田ひより、水沢エレナ、  朝加真由美、草村礼子、酒井美紀、中村静香、二宮愛、平田薫、  原日出子、前田公輝、音尾琢真、  村井國夫、塚本高史希一(TAKAHIRO)は洸介(青柳翔)春太郎(岩田剛典)らと小学校を訪ね、日花里(桜田ひより)を連れ去ったさわこ(原日出子)が偽教師だったと知る。その頃、日花里は暗殺者の青年(前田公輝)が見張る中、さわこに監禁されていた!日花里の決死のメッセージを受け取った希一らは救出に向かうが、すでに日花里は「誰か」の指示でかつてさ迷っていた山の高い崖上に連れていかれていた。そこに日花里の秘密があるらしい…!</v>
      </c>
      <c r="N3849" s="2"/>
      <c r="O3849" s="2"/>
      <c r="P3849" s="1"/>
      <c r="Q3849" s="1"/>
      <c r="R3849" s="1"/>
      <c r="S3849" s="1"/>
      <c r="T3849" s="1"/>
      <c r="U3849" s="1"/>
      <c r="V3849" s="1"/>
      <c r="W3849" s="1"/>
      <c r="X3849" s="1"/>
      <c r="Y3849" s="1"/>
      <c r="Z3849" s="1"/>
      <c r="AA3849" s="1"/>
      <c r="AB3849" s="1"/>
      <c r="AC3849" s="1"/>
      <c r="AD3849" s="1"/>
      <c r="AE3849" s="1"/>
      <c r="AF3849" s="1"/>
      <c r="AG3849" s="1"/>
      <c r="AH3849" s="1"/>
      <c r="AI3849" s="1"/>
      <c r="AJ3849" s="1"/>
      <c r="AK3849" s="1"/>
      <c r="AL3849" s="1"/>
      <c r="AM3849" s="1"/>
      <c r="AN3849" s="1"/>
      <c r="AO3849" s="1"/>
      <c r="AP3849" s="1"/>
      <c r="AQ3849" s="1"/>
      <c r="AR3849" s="1"/>
      <c r="AS3849" s="1"/>
      <c r="AT3849" s="1"/>
      <c r="AU3849" s="1"/>
      <c r="AV3849" s="1"/>
      <c r="AW3849" s="1"/>
      <c r="AX3849" s="1"/>
      <c r="AY3849" s="1"/>
      <c r="AZ3849" s="1"/>
      <c r="BA3849" s="1"/>
      <c r="BB3849" s="1"/>
    </row>
    <row r="3850" ht="204.75" customHeight="1">
      <c r="A3850" s="1">
        <v>2256.0</v>
      </c>
      <c r="B3850" s="2" t="s">
        <v>11592</v>
      </c>
      <c r="C3850" s="2">
        <f>IFERROR(__xludf.DUMMYFUNCTION("split(B3850,""_"")"),1504.0)</f>
        <v>1504</v>
      </c>
      <c r="D3850" s="2" t="str">
        <f>IFERROR(__xludf.DUMMYFUNCTION("""COMPUTED_VALUE"""),"NTV")</f>
        <v>NTV</v>
      </c>
      <c r="E3850" s="2" t="str">
        <f>IFERROR(__xludf.DUMMYFUNCTION("""COMPUTED_VALUE"""),"日22")</f>
        <v>日22</v>
      </c>
      <c r="F3850" s="2" t="s">
        <v>11593</v>
      </c>
      <c r="G3850" s="2" t="s">
        <v>11602</v>
      </c>
      <c r="H3850" s="1">
        <v>5.0</v>
      </c>
      <c r="I3850" s="1" t="s">
        <v>2884</v>
      </c>
      <c r="J3850" s="1" t="s">
        <v>82</v>
      </c>
      <c r="K3850" s="2" t="s">
        <v>11603</v>
      </c>
      <c r="L3850" s="2"/>
      <c r="M3850" s="2" t="str">
        <f>IFERROR(__xludf.DUMMYFUNCTION("split(split(K3850,""【演出"",false),""ほか"",false)"),"TAKAHIRO  青柳翔、岩田剛典、野替愁平、八木将康、佐藤大樹、黒木啓司  桜田ひより、水沢エレナ  草村礼子、酒井美紀、中村静香、二宮愛、和希沙也、平田薫  村井國夫、塚本高史希一(TAKAHIRO)は日花里(桜田ひより)の父が新聞記者だったと突きとめ、東京の新聞社へ向かう。だが事態の異常さ深刻さに気づいた洸介(青柳翔)たちは一緒に行くことを拒んだ。皆それぞれ守るべき家族や生活があるのだ。東京で、希一と日花里は父の後輩だった男と出会い、父が追っていた事件を知る。それ以降、希一と日花里に次々と衝撃的な"&amp;"出来事が襲いかかる!仲間の助けがない東京で、孤立無援の二人は逃げ惑う…!")</f>
        <v>TAKAHIRO  青柳翔、岩田剛典、野替愁平、八木将康、佐藤大樹、黒木啓司  桜田ひより、水沢エレナ  草村礼子、酒井美紀、中村静香、二宮愛、和希沙也、平田薫  村井國夫、塚本高史希一(TAKAHIRO)は日花里(桜田ひより)の父が新聞記者だったと突きとめ、東京の新聞社へ向かう。だが事態の異常さ深刻さに気づいた洸介(青柳翔)たちは一緒に行くことを拒んだ。皆それぞれ守るべき家族や生活があるのだ。東京で、希一と日花里は父の後輩だった男と出会い、父が追っていた事件を知る。それ以降、希一と日花里に次々と衝撃的な出来事が襲いかかる!仲間の助けがない東京で、孤立無援の二人は逃げ惑う…!</v>
      </c>
      <c r="N3850" s="2"/>
      <c r="O3850" s="2"/>
      <c r="P3850" s="1"/>
      <c r="Q3850" s="1"/>
      <c r="R3850" s="1"/>
      <c r="S3850" s="1"/>
      <c r="T3850" s="1"/>
      <c r="U3850" s="1"/>
      <c r="V3850" s="1"/>
      <c r="W3850" s="1"/>
      <c r="X3850" s="1"/>
      <c r="Y3850" s="1"/>
      <c r="Z3850" s="1"/>
      <c r="AA3850" s="1"/>
      <c r="AB3850" s="1"/>
      <c r="AC3850" s="1"/>
      <c r="AD3850" s="1"/>
      <c r="AE3850" s="1"/>
      <c r="AF3850" s="1"/>
      <c r="AG3850" s="1"/>
      <c r="AH3850" s="1"/>
      <c r="AI3850" s="1"/>
      <c r="AJ3850" s="1"/>
      <c r="AK3850" s="1"/>
      <c r="AL3850" s="1"/>
      <c r="AM3850" s="1"/>
      <c r="AN3850" s="1"/>
      <c r="AO3850" s="1"/>
      <c r="AP3850" s="1"/>
      <c r="AQ3850" s="1"/>
      <c r="AR3850" s="1"/>
      <c r="AS3850" s="1"/>
      <c r="AT3850" s="1"/>
      <c r="AU3850" s="1"/>
      <c r="AV3850" s="1"/>
      <c r="AW3850" s="1"/>
      <c r="AX3850" s="1"/>
      <c r="AY3850" s="1"/>
      <c r="AZ3850" s="1"/>
      <c r="BA3850" s="1"/>
      <c r="BB3850" s="1"/>
    </row>
    <row r="3851" ht="204.75" customHeight="1">
      <c r="A3851" s="1">
        <v>2257.0</v>
      </c>
      <c r="B3851" s="2" t="s">
        <v>11592</v>
      </c>
      <c r="C3851" s="2">
        <f>IFERROR(__xludf.DUMMYFUNCTION("split(B3851,""_"")"),1504.0)</f>
        <v>1504</v>
      </c>
      <c r="D3851" s="2" t="str">
        <f>IFERROR(__xludf.DUMMYFUNCTION("""COMPUTED_VALUE"""),"NTV")</f>
        <v>NTV</v>
      </c>
      <c r="E3851" s="2" t="str">
        <f>IFERROR(__xludf.DUMMYFUNCTION("""COMPUTED_VALUE"""),"日22")</f>
        <v>日22</v>
      </c>
      <c r="F3851" s="2" t="s">
        <v>11593</v>
      </c>
      <c r="G3851" s="2" t="s">
        <v>11604</v>
      </c>
      <c r="H3851" s="1">
        <v>6.0</v>
      </c>
      <c r="I3851" s="1" t="s">
        <v>2888</v>
      </c>
      <c r="J3851" s="1" t="s">
        <v>82</v>
      </c>
      <c r="K3851" s="2" t="s">
        <v>11605</v>
      </c>
      <c r="L3851" s="2"/>
      <c r="M3851" s="2" t="str">
        <f>IFERROR(__xludf.DUMMYFUNCTION("split(split(K3851,""【演出"",false),""ほか"",false)"),"TAKAHIRO  青柳翔、岩田剛典、野替愁平、八木将康、佐藤大樹、黒木啓司  桜田ひより、水沢エレナ  草村礼子、酒井美紀、星智也、大浦龍宇一、姜暢雄、三波豊和  梅沢富美男、村井國夫、塚本高史日花里(桜田ひより)は銃撃を見てすべての記憶を取り戻す。美史(水沢エレナ)を疑った日花里は希一(TAKAHIRO)に「美史は怪しい」と告げ彼女の同席を拒むが、希一はまったく取り合わない。しかたなく日花里は美史を含めた全員に記憶を語り、希一たちは探していた携帯電話の行方に迫る。そこに春太郎(岩田剛典)を撃った女スナ"&amp;"イパーが現れた!希一はついに美史の裏切りを知る。その時、希一は?そして驚愕の新事実!")</f>
        <v>TAKAHIRO  青柳翔、岩田剛典、野替愁平、八木将康、佐藤大樹、黒木啓司  桜田ひより、水沢エレナ  草村礼子、酒井美紀、星智也、大浦龍宇一、姜暢雄、三波豊和  梅沢富美男、村井國夫、塚本高史日花里(桜田ひより)は銃撃を見てすべての記憶を取り戻す。美史(水沢エレナ)を疑った日花里は希一(TAKAHIRO)に「美史は怪しい」と告げ彼女の同席を拒むが、希一はまったく取り合わない。しかたなく日花里は美史を含めた全員に記憶を語り、希一たちは探していた携帯電話の行方に迫る。そこに春太郎(岩田剛典)を撃った女スナイパーが現れた!希一はついに美史の裏切りを知る。その時、希一は?そして驚愕の新事実!</v>
      </c>
      <c r="N3851" s="2"/>
      <c r="O3851" s="2"/>
      <c r="P3851" s="1"/>
      <c r="Q3851" s="1"/>
      <c r="R3851" s="1"/>
      <c r="S3851" s="1"/>
      <c r="T3851" s="1"/>
      <c r="U3851" s="1"/>
      <c r="V3851" s="1"/>
      <c r="W3851" s="1"/>
      <c r="X3851" s="1"/>
      <c r="Y3851" s="1"/>
      <c r="Z3851" s="1"/>
      <c r="AA3851" s="1"/>
      <c r="AB3851" s="1"/>
      <c r="AC3851" s="1"/>
      <c r="AD3851" s="1"/>
      <c r="AE3851" s="1"/>
      <c r="AF3851" s="1"/>
      <c r="AG3851" s="1"/>
      <c r="AH3851" s="1"/>
      <c r="AI3851" s="1"/>
      <c r="AJ3851" s="1"/>
      <c r="AK3851" s="1"/>
      <c r="AL3851" s="1"/>
      <c r="AM3851" s="1"/>
      <c r="AN3851" s="1"/>
      <c r="AO3851" s="1"/>
      <c r="AP3851" s="1"/>
      <c r="AQ3851" s="1"/>
      <c r="AR3851" s="1"/>
      <c r="AS3851" s="1"/>
      <c r="AT3851" s="1"/>
      <c r="AU3851" s="1"/>
      <c r="AV3851" s="1"/>
      <c r="AW3851" s="1"/>
      <c r="AX3851" s="1"/>
      <c r="AY3851" s="1"/>
      <c r="AZ3851" s="1"/>
      <c r="BA3851" s="1"/>
      <c r="BB3851" s="1"/>
    </row>
    <row r="3852" ht="204.75" customHeight="1">
      <c r="A3852" s="1">
        <v>2258.0</v>
      </c>
      <c r="B3852" s="2" t="s">
        <v>11592</v>
      </c>
      <c r="C3852" s="2">
        <f>IFERROR(__xludf.DUMMYFUNCTION("split(B3852,""_"")"),1504.0)</f>
        <v>1504</v>
      </c>
      <c r="D3852" s="2" t="str">
        <f>IFERROR(__xludf.DUMMYFUNCTION("""COMPUTED_VALUE"""),"NTV")</f>
        <v>NTV</v>
      </c>
      <c r="E3852" s="2" t="str">
        <f>IFERROR(__xludf.DUMMYFUNCTION("""COMPUTED_VALUE"""),"日22")</f>
        <v>日22</v>
      </c>
      <c r="F3852" s="2" t="s">
        <v>11593</v>
      </c>
      <c r="G3852" s="2" t="s">
        <v>11606</v>
      </c>
      <c r="H3852" s="1">
        <v>7.0</v>
      </c>
      <c r="I3852" s="1" t="s">
        <v>2892</v>
      </c>
      <c r="J3852" s="1" t="s">
        <v>82</v>
      </c>
      <c r="K3852" s="2" t="s">
        <v>11607</v>
      </c>
      <c r="L3852" s="2"/>
      <c r="M3852" s="2" t="str">
        <f>IFERROR(__xludf.DUMMYFUNCTION("split(split(K3852,""【演出"",false),""ほか"",false)"),"TAKAHIRO、  青柳翔、岩田剛典、野替愁平、八木将康、佐藤大樹、黒木啓司  桜田ひより、水沢エレナ  草村礼子、酒井美紀、中村静香、二宮愛、和希沙也、平田薫  梅沢富美男、村井國夫、塚本高史海に飛び込んで日花里(桜田ひより)のデータを守った希一(TAKAHIRO)は解析に訪れた科捜研で罠に落ち、助けた洸介(青柳翔)らと共に警察全体を敵に回す破目になる。命の危険を感じた洸介、典明(黒木啓司)らは束の間帰り、それぞれ愛する人と別れの時を過ごす。一方、入院中の春太郎(岩田剛典)の前に美史(水沢エレナ)が現"&amp;"れて…。ドンデン返しの連続で話題の本作、今回、史上最大の衝撃エンディングが待ち受ける!")</f>
        <v>TAKAHIRO、  青柳翔、岩田剛典、野替愁平、八木将康、佐藤大樹、黒木啓司  桜田ひより、水沢エレナ  草村礼子、酒井美紀、中村静香、二宮愛、和希沙也、平田薫  梅沢富美男、村井國夫、塚本高史海に飛び込んで日花里(桜田ひより)のデータを守った希一(TAKAHIRO)は解析に訪れた科捜研で罠に落ち、助けた洸介(青柳翔)らと共に警察全体を敵に回す破目になる。命の危険を感じた洸介、典明(黒木啓司)らは束の間帰り、それぞれ愛する人と別れの時を過ごす。一方、入院中の春太郎(岩田剛典)の前に美史(水沢エレナ)が現れて…。ドンデン返しの連続で話題の本作、今回、史上最大の衝撃エンディングが待ち受ける!</v>
      </c>
      <c r="N3852" s="2"/>
      <c r="O3852" s="2"/>
      <c r="P3852" s="1"/>
      <c r="Q3852" s="1"/>
      <c r="R3852" s="1"/>
      <c r="S3852" s="1"/>
      <c r="T3852" s="1"/>
      <c r="U3852" s="1"/>
      <c r="V3852" s="1"/>
      <c r="W3852" s="1"/>
      <c r="X3852" s="1"/>
      <c r="Y3852" s="1"/>
      <c r="Z3852" s="1"/>
      <c r="AA3852" s="1"/>
      <c r="AB3852" s="1"/>
      <c r="AC3852" s="1"/>
      <c r="AD3852" s="1"/>
      <c r="AE3852" s="1"/>
      <c r="AF3852" s="1"/>
      <c r="AG3852" s="1"/>
      <c r="AH3852" s="1"/>
      <c r="AI3852" s="1"/>
      <c r="AJ3852" s="1"/>
      <c r="AK3852" s="1"/>
      <c r="AL3852" s="1"/>
      <c r="AM3852" s="1"/>
      <c r="AN3852" s="1"/>
      <c r="AO3852" s="1"/>
      <c r="AP3852" s="1"/>
      <c r="AQ3852" s="1"/>
      <c r="AR3852" s="1"/>
      <c r="AS3852" s="1"/>
      <c r="AT3852" s="1"/>
      <c r="AU3852" s="1"/>
      <c r="AV3852" s="1"/>
      <c r="AW3852" s="1"/>
      <c r="AX3852" s="1"/>
      <c r="AY3852" s="1"/>
      <c r="AZ3852" s="1"/>
      <c r="BA3852" s="1"/>
      <c r="BB3852" s="1"/>
    </row>
    <row r="3853" ht="204.75" customHeight="1">
      <c r="A3853" s="1">
        <v>2259.0</v>
      </c>
      <c r="B3853" s="2" t="s">
        <v>11592</v>
      </c>
      <c r="C3853" s="2">
        <f>IFERROR(__xludf.DUMMYFUNCTION("split(B3853,""_"")"),1504.0)</f>
        <v>1504</v>
      </c>
      <c r="D3853" s="2" t="str">
        <f>IFERROR(__xludf.DUMMYFUNCTION("""COMPUTED_VALUE"""),"NTV")</f>
        <v>NTV</v>
      </c>
      <c r="E3853" s="2" t="str">
        <f>IFERROR(__xludf.DUMMYFUNCTION("""COMPUTED_VALUE"""),"日22")</f>
        <v>日22</v>
      </c>
      <c r="F3853" s="2" t="s">
        <v>11593</v>
      </c>
      <c r="G3853" s="2" t="s">
        <v>11608</v>
      </c>
      <c r="H3853" s="1">
        <v>8.0</v>
      </c>
      <c r="I3853" s="1" t="s">
        <v>2896</v>
      </c>
      <c r="J3853" s="1" t="s">
        <v>82</v>
      </c>
      <c r="K3853" s="2" t="s">
        <v>11609</v>
      </c>
      <c r="L3853" s="2"/>
      <c r="M3853" s="2" t="str">
        <f>IFERROR(__xludf.DUMMYFUNCTION("split(split(K3853,""【演出"",false),""ほか"",false)"),"TAKAHIRO、  青柳翔、岩田剛典、野替愁平、八木将康、佐藤大樹、黒木啓司  桜田ひより、水沢エレナ、  草村礼子、中村静香、二宮愛、和希沙也、平田薫  梅沢富美男、村井國夫、塚本高史日花里(桜田ひより)は偽者!?混乱する希一(TAKAHIRO)たちの前で、千駄木(梅沢富美男)は田川(塚本高史)に少女を殺せと命じる。だが田川が銃を向けた相手はーー!一方、美史(水沢エレナ)は姉・双葉(渡辺舞)を呼び出しデータと引き換えに『かがやきの方舟』を脱会してくれと願い出る。その説得に現れたのは、死んだと思われてい"&amp;"た意外な人物だった…!今回、『風愛友(フーアーユー)』命名の秘話も明かされる!")</f>
        <v>TAKAHIRO、  青柳翔、岩田剛典、野替愁平、八木将康、佐藤大樹、黒木啓司  桜田ひより、水沢エレナ、  草村礼子、中村静香、二宮愛、和希沙也、平田薫  梅沢富美男、村井國夫、塚本高史日花里(桜田ひより)は偽者!?混乱する希一(TAKAHIRO)たちの前で、千駄木(梅沢富美男)は田川(塚本高史)に少女を殺せと命じる。だが田川が銃を向けた相手はーー!一方、美史(水沢エレナ)は姉・双葉(渡辺舞)を呼び出しデータと引き換えに『かがやきの方舟』を脱会してくれと願い出る。その説得に現れたのは、死んだと思われていた意外な人物だった…!今回、『風愛友(フーアーユー)』命名の秘話も明かされる!</v>
      </c>
      <c r="N3853" s="2"/>
      <c r="O3853" s="2"/>
      <c r="P3853" s="1"/>
      <c r="Q3853" s="1"/>
      <c r="R3853" s="1"/>
      <c r="S3853" s="1"/>
      <c r="T3853" s="1"/>
      <c r="U3853" s="1"/>
      <c r="V3853" s="1"/>
      <c r="W3853" s="1"/>
      <c r="X3853" s="1"/>
      <c r="Y3853" s="1"/>
      <c r="Z3853" s="1"/>
      <c r="AA3853" s="1"/>
      <c r="AB3853" s="1"/>
      <c r="AC3853" s="1"/>
      <c r="AD3853" s="1"/>
      <c r="AE3853" s="1"/>
      <c r="AF3853" s="1"/>
      <c r="AG3853" s="1"/>
      <c r="AH3853" s="1"/>
      <c r="AI3853" s="1"/>
      <c r="AJ3853" s="1"/>
      <c r="AK3853" s="1"/>
      <c r="AL3853" s="1"/>
      <c r="AM3853" s="1"/>
      <c r="AN3853" s="1"/>
      <c r="AO3853" s="1"/>
      <c r="AP3853" s="1"/>
      <c r="AQ3853" s="1"/>
      <c r="AR3853" s="1"/>
      <c r="AS3853" s="1"/>
      <c r="AT3853" s="1"/>
      <c r="AU3853" s="1"/>
      <c r="AV3853" s="1"/>
      <c r="AW3853" s="1"/>
      <c r="AX3853" s="1"/>
      <c r="AY3853" s="1"/>
      <c r="AZ3853" s="1"/>
      <c r="BA3853" s="1"/>
      <c r="BB3853" s="1"/>
    </row>
    <row r="3854" ht="204.75" customHeight="1">
      <c r="A3854" s="1">
        <v>2260.0</v>
      </c>
      <c r="B3854" s="2" t="s">
        <v>11592</v>
      </c>
      <c r="C3854" s="2">
        <f>IFERROR(__xludf.DUMMYFUNCTION("split(B3854,""_"")"),1504.0)</f>
        <v>1504</v>
      </c>
      <c r="D3854" s="2" t="str">
        <f>IFERROR(__xludf.DUMMYFUNCTION("""COMPUTED_VALUE"""),"NTV")</f>
        <v>NTV</v>
      </c>
      <c r="E3854" s="2" t="str">
        <f>IFERROR(__xludf.DUMMYFUNCTION("""COMPUTED_VALUE"""),"日22")</f>
        <v>日22</v>
      </c>
      <c r="F3854" s="2" t="s">
        <v>11593</v>
      </c>
      <c r="G3854" s="2" t="s">
        <v>11610</v>
      </c>
      <c r="H3854" s="1">
        <v>9.0</v>
      </c>
      <c r="I3854" s="1" t="s">
        <v>2900</v>
      </c>
      <c r="J3854" s="1" t="s">
        <v>82</v>
      </c>
      <c r="K3854" s="2" t="s">
        <v>11611</v>
      </c>
      <c r="L3854" s="2"/>
      <c r="M3854" s="2" t="str">
        <f>IFERROR(__xludf.DUMMYFUNCTION("split(split(K3854,""【演出"",false),""ほか"",false)"),"TAKAHIRO  青柳翔、岩田剛典、野替愁平、八木将康、佐藤大樹、黒木啓司、  桜田ひより、水沢エレナ、  星智也、大浦龍宇一、姜暢雄、横山めぐみ、  村井國夫、塚本高史日花里(桜田ひより)の死を受け止めきれない希一(TAKAHIRO)は心のバランスを崩す。美史(水沢エレナ)を頼り『かがやきの方舟』に身を投じた希一に、なぜか教主・榊(村井國夫)は入信を認め、あるテストを受けよと命じる。それは、戦闘員としての能力を試す勝ち抜き戦。勝ち続ける希一の前に、捕えられた仲間が連れてこられた!「この中から一人殺しな"&amp;"さい」。榊の指示に、希一は無表情に洸介(青柳翔)を指差す…!")</f>
        <v>TAKAHIRO  青柳翔、岩田剛典、野替愁平、八木将康、佐藤大樹、黒木啓司、  桜田ひより、水沢エレナ、  星智也、大浦龍宇一、姜暢雄、横山めぐみ、  村井國夫、塚本高史日花里(桜田ひより)の死を受け止めきれない希一(TAKAHIRO)は心のバランスを崩す。美史(水沢エレナ)を頼り『かがやきの方舟』に身を投じた希一に、なぜか教主・榊(村井國夫)は入信を認め、あるテストを受けよと命じる。それは、戦闘員としての能力を試す勝ち抜き戦。勝ち続ける希一の前に、捕えられた仲間が連れてこられた!「この中から一人殺しなさい」。榊の指示に、希一は無表情に洸介(青柳翔)を指差す…!</v>
      </c>
      <c r="N3854" s="2"/>
      <c r="O3854" s="2"/>
      <c r="P3854" s="1"/>
      <c r="Q3854" s="1"/>
      <c r="R3854" s="1"/>
      <c r="S3854" s="1"/>
      <c r="T3854" s="1"/>
      <c r="U3854" s="1"/>
      <c r="V3854" s="1"/>
      <c r="W3854" s="1"/>
      <c r="X3854" s="1"/>
      <c r="Y3854" s="1"/>
      <c r="Z3854" s="1"/>
      <c r="AA3854" s="1"/>
      <c r="AB3854" s="1"/>
      <c r="AC3854" s="1"/>
      <c r="AD3854" s="1"/>
      <c r="AE3854" s="1"/>
      <c r="AF3854" s="1"/>
      <c r="AG3854" s="1"/>
      <c r="AH3854" s="1"/>
      <c r="AI3854" s="1"/>
      <c r="AJ3854" s="1"/>
      <c r="AK3854" s="1"/>
      <c r="AL3854" s="1"/>
      <c r="AM3854" s="1"/>
      <c r="AN3854" s="1"/>
      <c r="AO3854" s="1"/>
      <c r="AP3854" s="1"/>
      <c r="AQ3854" s="1"/>
      <c r="AR3854" s="1"/>
      <c r="AS3854" s="1"/>
      <c r="AT3854" s="1"/>
      <c r="AU3854" s="1"/>
      <c r="AV3854" s="1"/>
      <c r="AW3854" s="1"/>
      <c r="AX3854" s="1"/>
      <c r="AY3854" s="1"/>
      <c r="AZ3854" s="1"/>
      <c r="BA3854" s="1"/>
      <c r="BB3854" s="1"/>
    </row>
    <row r="3855" ht="204.75" customHeight="1">
      <c r="A3855" s="1">
        <v>2261.0</v>
      </c>
      <c r="B3855" s="2" t="s">
        <v>11592</v>
      </c>
      <c r="C3855" s="2">
        <f>IFERROR(__xludf.DUMMYFUNCTION("split(B3855,""_"")"),1504.0)</f>
        <v>1504</v>
      </c>
      <c r="D3855" s="2" t="str">
        <f>IFERROR(__xludf.DUMMYFUNCTION("""COMPUTED_VALUE"""),"NTV")</f>
        <v>NTV</v>
      </c>
      <c r="E3855" s="2" t="str">
        <f>IFERROR(__xludf.DUMMYFUNCTION("""COMPUTED_VALUE"""),"日22")</f>
        <v>日22</v>
      </c>
      <c r="F3855" s="2" t="s">
        <v>11593</v>
      </c>
      <c r="G3855" s="2" t="s">
        <v>11612</v>
      </c>
      <c r="H3855" s="1">
        <v>10.0</v>
      </c>
      <c r="I3855" s="1" t="s">
        <v>37</v>
      </c>
      <c r="J3855" s="1" t="s">
        <v>82</v>
      </c>
      <c r="K3855" s="2" t="s">
        <v>11613</v>
      </c>
      <c r="L3855" s="2"/>
      <c r="M3855" s="2" t="str">
        <f>IFERROR(__xludf.DUMMYFUNCTION("split(split(K3855,""【演出"",false),""ほか"",false)"),"TAKAHIRO  青柳翔、岩田剛典、野替愁平、八木将康、佐藤大樹、黒木啓司  桜田ひより、水沢エレナ  草村礼子、酒井美紀、中村静香、二宮愛、和希沙也、平田薫  星智也、大浦龍宇一、姜暢雄、横山めぐみ、村井國夫、塚本高史希一(TAKAHIRO)たちはデータを見て闇の存在レインマンの全容と異様な「儀式」の存在を知る。日花里(桜田ひより)はレインマンを継ぐべき存在だった…!儀式は明日の誕生日に執り行われる。あと1日、絶対に日花里を守りぬく!希一らの最後の戦いが始まる。それは、機動隊と暗殺集団に取り囲まれた廃"&amp;"墟での決死の「立てこもり戦」。圧倒的な戦力差、本当に少女を守ることなどできるのか!?ついに敵が総攻撃を開始した!")</f>
        <v>TAKAHIRO  青柳翔、岩田剛典、野替愁平、八木将康、佐藤大樹、黒木啓司  桜田ひより、水沢エレナ  草村礼子、酒井美紀、中村静香、二宮愛、和希沙也、平田薫  星智也、大浦龍宇一、姜暢雄、横山めぐみ、村井國夫、塚本高史希一(TAKAHIRO)たちはデータを見て闇の存在レインマンの全容と異様な「儀式」の存在を知る。日花里(桜田ひより)はレインマンを継ぐべき存在だった…!儀式は明日の誕生日に執り行われる。あと1日、絶対に日花里を守りぬく!希一らの最後の戦いが始まる。それは、機動隊と暗殺集団に取り囲まれた廃墟での決死の「立てこもり戦」。圧倒的な戦力差、本当に少女を守ることなどできるのか!?ついに敵が総攻撃を開始した!</v>
      </c>
      <c r="N3855" s="2"/>
      <c r="O3855" s="2"/>
      <c r="P3855" s="1"/>
      <c r="Q3855" s="1"/>
      <c r="R3855" s="1"/>
      <c r="S3855" s="1"/>
      <c r="T3855" s="1"/>
      <c r="U3855" s="1"/>
      <c r="V3855" s="1"/>
      <c r="W3855" s="1"/>
      <c r="X3855" s="1"/>
      <c r="Y3855" s="1"/>
      <c r="Z3855" s="1"/>
      <c r="AA3855" s="1"/>
      <c r="AB3855" s="1"/>
      <c r="AC3855" s="1"/>
      <c r="AD3855" s="1"/>
      <c r="AE3855" s="1"/>
      <c r="AF3855" s="1"/>
      <c r="AG3855" s="1"/>
      <c r="AH3855" s="1"/>
      <c r="AI3855" s="1"/>
      <c r="AJ3855" s="1"/>
      <c r="AK3855" s="1"/>
      <c r="AL3855" s="1"/>
      <c r="AM3855" s="1"/>
      <c r="AN3855" s="1"/>
      <c r="AO3855" s="1"/>
      <c r="AP3855" s="1"/>
      <c r="AQ3855" s="1"/>
      <c r="AR3855" s="1"/>
      <c r="AS3855" s="1"/>
      <c r="AT3855" s="1"/>
      <c r="AU3855" s="1"/>
      <c r="AV3855" s="1"/>
      <c r="AW3855" s="1"/>
      <c r="AX3855" s="1"/>
      <c r="AY3855" s="1"/>
      <c r="AZ3855" s="1"/>
      <c r="BA3855" s="1"/>
      <c r="BB3855" s="1"/>
    </row>
    <row r="3856" ht="204.75" customHeight="1">
      <c r="A3856" s="1">
        <v>2314.0</v>
      </c>
      <c r="B3856" s="2" t="s">
        <v>11614</v>
      </c>
      <c r="C3856" s="2">
        <f>IFERROR(__xludf.DUMMYFUNCTION("split(B3856,""_"")"),1501.0)</f>
        <v>1501</v>
      </c>
      <c r="D3856" s="2" t="str">
        <f>IFERROR(__xludf.DUMMYFUNCTION("""COMPUTED_VALUE"""),"NTV")</f>
        <v>NTV</v>
      </c>
      <c r="E3856" s="2" t="str">
        <f>IFERROR(__xludf.DUMMYFUNCTION("""COMPUTED_VALUE"""),"水22")</f>
        <v>水22</v>
      </c>
      <c r="F3856" s="2" t="s">
        <v>11615</v>
      </c>
      <c r="G3856" s="2" t="s">
        <v>11616</v>
      </c>
      <c r="H3856" s="1">
        <v>1.0</v>
      </c>
      <c r="I3856" s="1" t="s">
        <v>2868</v>
      </c>
      <c r="J3856" s="1" t="s">
        <v>82</v>
      </c>
      <c r="K3856" s="2" t="s">
        <v>11617</v>
      </c>
      <c r="L3856" s="2"/>
      <c r="M3856" s="2" t="str">
        <f>IFERROR(__xludf.DUMMYFUNCTION("split(split(K3856,""【演出"",false),""ほか"",false)"),"柴咲コウ、  黒木瞳、城田優、蓮佛美沙子、奥貫薫、渡辺真起子、岩本多代、平泉成、  東山紀之誰もが認める理想の妻は、秘密を抱える「○○妻」でした…。  妻・ひかり(柴咲コウ)は、歯に衣着せぬ物言いと熱い報道魂で人気を誇る、ニュースキャスターの夫・久保田正純(東山紀之)を完璧な内助の功で支えている。正純の出演番組は隈なくチェックし、的確なアドバイスを手紙にして毎晩渡し、全てを夫に捧げる、正に「理想の妻」。だが、ひかりには大きな秘密が…。愛とは何か?夫婦とは何か?を問う究極のラブストーリー!")</f>
        <v>柴咲コウ、  黒木瞳、城田優、蓮佛美沙子、奥貫薫、渡辺真起子、岩本多代、平泉成、  東山紀之誰もが認める理想の妻は、秘密を抱える「○○妻」でした…。  妻・ひかり(柴咲コウ)は、歯に衣着せぬ物言いと熱い報道魂で人気を誇る、ニュースキャスターの夫・久保田正純(東山紀之)を完璧な内助の功で支えている。正純の出演番組は隈なくチェックし、的確なアドバイスを手紙にして毎晩渡し、全てを夫に捧げる、正に「理想の妻」。だが、ひかりには大きな秘密が…。愛とは何か?夫婦とは何か?を問う究極のラブストーリー!</v>
      </c>
      <c r="N3856" s="2"/>
      <c r="O3856" s="2"/>
      <c r="P3856" s="1"/>
      <c r="Q3856" s="1"/>
      <c r="R3856" s="1"/>
      <c r="S3856" s="1"/>
      <c r="T3856" s="1"/>
      <c r="U3856" s="1"/>
      <c r="V3856" s="1"/>
      <c r="W3856" s="1"/>
      <c r="X3856" s="1"/>
      <c r="Y3856" s="1"/>
      <c r="Z3856" s="1"/>
      <c r="AA3856" s="1"/>
      <c r="AB3856" s="1"/>
      <c r="AC3856" s="1"/>
      <c r="AD3856" s="1"/>
      <c r="AE3856" s="1"/>
      <c r="AF3856" s="1"/>
      <c r="AG3856" s="1"/>
      <c r="AH3856" s="1"/>
      <c r="AI3856" s="1"/>
      <c r="AJ3856" s="1"/>
      <c r="AK3856" s="1"/>
      <c r="AL3856" s="1"/>
      <c r="AM3856" s="1"/>
      <c r="AN3856" s="1"/>
      <c r="AO3856" s="1"/>
      <c r="AP3856" s="1"/>
      <c r="AQ3856" s="1"/>
      <c r="AR3856" s="1"/>
      <c r="AS3856" s="1"/>
      <c r="AT3856" s="1"/>
      <c r="AU3856" s="1"/>
      <c r="AV3856" s="1"/>
      <c r="AW3856" s="1"/>
      <c r="AX3856" s="1"/>
      <c r="AY3856" s="1"/>
      <c r="AZ3856" s="1"/>
      <c r="BA3856" s="1"/>
      <c r="BB3856" s="1"/>
    </row>
    <row r="3857" ht="204.75" customHeight="1">
      <c r="A3857" s="1">
        <v>2315.0</v>
      </c>
      <c r="B3857" s="2" t="s">
        <v>11614</v>
      </c>
      <c r="C3857" s="2">
        <f>IFERROR(__xludf.DUMMYFUNCTION("split(B3857,""_"")"),1501.0)</f>
        <v>1501</v>
      </c>
      <c r="D3857" s="2" t="str">
        <f>IFERROR(__xludf.DUMMYFUNCTION("""COMPUTED_VALUE"""),"NTV")</f>
        <v>NTV</v>
      </c>
      <c r="E3857" s="2" t="str">
        <f>IFERROR(__xludf.DUMMYFUNCTION("""COMPUTED_VALUE"""),"水22")</f>
        <v>水22</v>
      </c>
      <c r="F3857" s="2" t="s">
        <v>11615</v>
      </c>
      <c r="G3857" s="2" t="s">
        <v>11618</v>
      </c>
      <c r="H3857" s="1">
        <v>2.0</v>
      </c>
      <c r="I3857" s="1" t="s">
        <v>2872</v>
      </c>
      <c r="J3857" s="1" t="s">
        <v>82</v>
      </c>
      <c r="K3857" s="2" t="s">
        <v>11619</v>
      </c>
      <c r="L3857" s="2"/>
      <c r="M3857" s="2" t="str">
        <f>IFERROR(__xludf.DUMMYFUNCTION("split(split(K3857,""【演出"",false),""ほか"",false)"),"柴咲コウ、  黒木瞳、城田優、蓮佛美沙子、奥貫薫、渡辺真起子、岩本多代、平泉成、  東山紀之ひかり(柴咲コウ)と正純(東山紀之)は、籍を入れず、6年間「契約夫婦」として暮らしてきた。正純が契約更新を拒否してプロポーズすると、ひかりは家を出ていく。献身的な「妻」を失った正純の生活は荒れ、番組で問題発言をして大バッシングを受ける。そんな中、ひかりの過去を知る女性・千春(黒木瞳)が現れ、ひかりが「契約結婚」にこだわる秘密をほのめかす。どうしても知りたい正純に千春はある条件を持ちかける。")</f>
        <v>柴咲コウ、  黒木瞳、城田優、蓮佛美沙子、奥貫薫、渡辺真起子、岩本多代、平泉成、  東山紀之ひかり(柴咲コウ)と正純(東山紀之)は、籍を入れず、6年間「契約夫婦」として暮らしてきた。正純が契約更新を拒否してプロポーズすると、ひかりは家を出ていく。献身的な「妻」を失った正純の生活は荒れ、番組で問題発言をして大バッシングを受ける。そんな中、ひかりの過去を知る女性・千春(黒木瞳)が現れ、ひかりが「契約結婚」にこだわる秘密をほのめかす。どうしても知りたい正純に千春はある条件を持ちかける。</v>
      </c>
      <c r="N3857" s="2"/>
      <c r="O3857" s="2"/>
      <c r="P3857" s="1"/>
      <c r="Q3857" s="1"/>
      <c r="R3857" s="1"/>
      <c r="S3857" s="1"/>
      <c r="T3857" s="1"/>
      <c r="U3857" s="1"/>
      <c r="V3857" s="1"/>
      <c r="W3857" s="1"/>
      <c r="X3857" s="1"/>
      <c r="Y3857" s="1"/>
      <c r="Z3857" s="1"/>
      <c r="AA3857" s="1"/>
      <c r="AB3857" s="1"/>
      <c r="AC3857" s="1"/>
      <c r="AD3857" s="1"/>
      <c r="AE3857" s="1"/>
      <c r="AF3857" s="1"/>
      <c r="AG3857" s="1"/>
      <c r="AH3857" s="1"/>
      <c r="AI3857" s="1"/>
      <c r="AJ3857" s="1"/>
      <c r="AK3857" s="1"/>
      <c r="AL3857" s="1"/>
      <c r="AM3857" s="1"/>
      <c r="AN3857" s="1"/>
      <c r="AO3857" s="1"/>
      <c r="AP3857" s="1"/>
      <c r="AQ3857" s="1"/>
      <c r="AR3857" s="1"/>
      <c r="AS3857" s="1"/>
      <c r="AT3857" s="1"/>
      <c r="AU3857" s="1"/>
      <c r="AV3857" s="1"/>
      <c r="AW3857" s="1"/>
      <c r="AX3857" s="1"/>
      <c r="AY3857" s="1"/>
      <c r="AZ3857" s="1"/>
      <c r="BA3857" s="1"/>
      <c r="BB3857" s="1"/>
    </row>
    <row r="3858" ht="204.75" customHeight="1">
      <c r="A3858" s="1">
        <v>2316.0</v>
      </c>
      <c r="B3858" s="2" t="s">
        <v>11614</v>
      </c>
      <c r="C3858" s="2">
        <f>IFERROR(__xludf.DUMMYFUNCTION("split(B3858,""_"")"),1501.0)</f>
        <v>1501</v>
      </c>
      <c r="D3858" s="2" t="str">
        <f>IFERROR(__xludf.DUMMYFUNCTION("""COMPUTED_VALUE"""),"NTV")</f>
        <v>NTV</v>
      </c>
      <c r="E3858" s="2" t="str">
        <f>IFERROR(__xludf.DUMMYFUNCTION("""COMPUTED_VALUE"""),"水22")</f>
        <v>水22</v>
      </c>
      <c r="F3858" s="2" t="s">
        <v>11615</v>
      </c>
      <c r="G3858" s="2" t="s">
        <v>11620</v>
      </c>
      <c r="H3858" s="1">
        <v>3.0</v>
      </c>
      <c r="I3858" s="1" t="s">
        <v>2876</v>
      </c>
      <c r="J3858" s="1" t="s">
        <v>82</v>
      </c>
      <c r="K3858" s="2" t="s">
        <v>11621</v>
      </c>
      <c r="L3858" s="2"/>
      <c r="M3858" s="2" t="str">
        <f>IFERROR(__xludf.DUMMYFUNCTION("split(split(K3858,""【演出"",false),""ほか"",false)"),"柴咲コウ、  黒木瞳、城田優、蓮佛美沙子、奥貫薫、渡辺真起子、岩本多代、平泉成、  東山紀之契約結婚を続けることになったひかり(柴咲コウ)と正純(東山紀之)。しかし、ひかりが契約にこだわる理由を知るため、正純は彼女の過去を探る。そんな中、こん睡状態だった作太郎(平泉成)が目を覚ますが、なぜか、ひかり以外の人間とは話したくないと主張。正純は激怒し作太郎への長年の恨みをぶつける。ひかりだけが、作太郎の真意を聞かされていたが、作太郎を思い口を閉ざす。行き場のない正純の怒りはひかりに向かい…。")</f>
        <v>柴咲コウ、  黒木瞳、城田優、蓮佛美沙子、奥貫薫、渡辺真起子、岩本多代、平泉成、  東山紀之契約結婚を続けることになったひかり(柴咲コウ)と正純(東山紀之)。しかし、ひかりが契約にこだわる理由を知るため、正純は彼女の過去を探る。そんな中、こん睡状態だった作太郎(平泉成)が目を覚ますが、なぜか、ひかり以外の人間とは話したくないと主張。正純は激怒し作太郎への長年の恨みをぶつける。ひかりだけが、作太郎の真意を聞かされていたが、作太郎を思い口を閉ざす。行き場のない正純の怒りはひかりに向かい…。</v>
      </c>
      <c r="N3858" s="2"/>
      <c r="O3858" s="2"/>
      <c r="P3858" s="1"/>
      <c r="Q3858" s="1"/>
      <c r="R3858" s="1"/>
      <c r="S3858" s="1"/>
      <c r="T3858" s="1"/>
      <c r="U3858" s="1"/>
      <c r="V3858" s="1"/>
      <c r="W3858" s="1"/>
      <c r="X3858" s="1"/>
      <c r="Y3858" s="1"/>
      <c r="Z3858" s="1"/>
      <c r="AA3858" s="1"/>
      <c r="AB3858" s="1"/>
      <c r="AC3858" s="1"/>
      <c r="AD3858" s="1"/>
      <c r="AE3858" s="1"/>
      <c r="AF3858" s="1"/>
      <c r="AG3858" s="1"/>
      <c r="AH3858" s="1"/>
      <c r="AI3858" s="1"/>
      <c r="AJ3858" s="1"/>
      <c r="AK3858" s="1"/>
      <c r="AL3858" s="1"/>
      <c r="AM3858" s="1"/>
      <c r="AN3858" s="1"/>
      <c r="AO3858" s="1"/>
      <c r="AP3858" s="1"/>
      <c r="AQ3858" s="1"/>
      <c r="AR3858" s="1"/>
      <c r="AS3858" s="1"/>
      <c r="AT3858" s="1"/>
      <c r="AU3858" s="1"/>
      <c r="AV3858" s="1"/>
      <c r="AW3858" s="1"/>
      <c r="AX3858" s="1"/>
      <c r="AY3858" s="1"/>
      <c r="AZ3858" s="1"/>
      <c r="BA3858" s="1"/>
      <c r="BB3858" s="1"/>
    </row>
    <row r="3859" ht="204.75" customHeight="1">
      <c r="A3859" s="1">
        <v>2317.0</v>
      </c>
      <c r="B3859" s="2" t="s">
        <v>11614</v>
      </c>
      <c r="C3859" s="2">
        <f>IFERROR(__xludf.DUMMYFUNCTION("split(B3859,""_"")"),1501.0)</f>
        <v>1501</v>
      </c>
      <c r="D3859" s="2" t="str">
        <f>IFERROR(__xludf.DUMMYFUNCTION("""COMPUTED_VALUE"""),"NTV")</f>
        <v>NTV</v>
      </c>
      <c r="E3859" s="2" t="str">
        <f>IFERROR(__xludf.DUMMYFUNCTION("""COMPUTED_VALUE"""),"水22")</f>
        <v>水22</v>
      </c>
      <c r="F3859" s="2" t="s">
        <v>11615</v>
      </c>
      <c r="G3859" s="2" t="s">
        <v>11622</v>
      </c>
      <c r="H3859" s="1">
        <v>4.0</v>
      </c>
      <c r="I3859" s="1" t="s">
        <v>2880</v>
      </c>
      <c r="J3859" s="1" t="s">
        <v>82</v>
      </c>
      <c r="K3859" s="2" t="s">
        <v>11623</v>
      </c>
      <c r="L3859" s="2"/>
      <c r="M3859" s="2" t="str">
        <f>IFERROR(__xludf.DUMMYFUNCTION("split(split(K3859,""【演出"",false),""ほか"",false)"),"柴咲コウ、  黒木瞳、城田優、蓮佛美沙子、奥貫薫、渡辺真起子、岩本多代、平泉成、  東山紀之酔った勢いでひかり(柴咲コウ)が契約妻であることをめぐみ(蓮佛美沙子)に話してしまった正純(東山紀之)。めぐみは契約結婚について興味深々。秘密を共有した二人の距離は縮まっていく。一方、契約結婚にこだわる理由を問いただしても、頑なに答えないひかりとの距離はどんどん広がってゆく。そして、正純とめぐみは再び二人きりで飲みに行き、その様子を写真週刊誌に撮られ、スキャンダルに発展。その時ひかりは…!?")</f>
        <v>柴咲コウ、  黒木瞳、城田優、蓮佛美沙子、奥貫薫、渡辺真起子、岩本多代、平泉成、  東山紀之酔った勢いでひかり(柴咲コウ)が契約妻であることをめぐみ(蓮佛美沙子)に話してしまった正純(東山紀之)。めぐみは契約結婚について興味深々。秘密を共有した二人の距離は縮まっていく。一方、契約結婚にこだわる理由を問いただしても、頑なに答えないひかりとの距離はどんどん広がってゆく。そして、正純とめぐみは再び二人きりで飲みに行き、その様子を写真週刊誌に撮られ、スキャンダルに発展。その時ひかりは…!?</v>
      </c>
      <c r="N3859" s="2"/>
      <c r="O3859" s="2"/>
      <c r="P3859" s="1"/>
      <c r="Q3859" s="1"/>
      <c r="R3859" s="1"/>
      <c r="S3859" s="1"/>
      <c r="T3859" s="1"/>
      <c r="U3859" s="1"/>
      <c r="V3859" s="1"/>
      <c r="W3859" s="1"/>
      <c r="X3859" s="1"/>
      <c r="Y3859" s="1"/>
      <c r="Z3859" s="1"/>
      <c r="AA3859" s="1"/>
      <c r="AB3859" s="1"/>
      <c r="AC3859" s="1"/>
      <c r="AD3859" s="1"/>
      <c r="AE3859" s="1"/>
      <c r="AF3859" s="1"/>
      <c r="AG3859" s="1"/>
      <c r="AH3859" s="1"/>
      <c r="AI3859" s="1"/>
      <c r="AJ3859" s="1"/>
      <c r="AK3859" s="1"/>
      <c r="AL3859" s="1"/>
      <c r="AM3859" s="1"/>
      <c r="AN3859" s="1"/>
      <c r="AO3859" s="1"/>
      <c r="AP3859" s="1"/>
      <c r="AQ3859" s="1"/>
      <c r="AR3859" s="1"/>
      <c r="AS3859" s="1"/>
      <c r="AT3859" s="1"/>
      <c r="AU3859" s="1"/>
      <c r="AV3859" s="1"/>
      <c r="AW3859" s="1"/>
      <c r="AX3859" s="1"/>
      <c r="AY3859" s="1"/>
      <c r="AZ3859" s="1"/>
      <c r="BA3859" s="1"/>
      <c r="BB3859" s="1"/>
    </row>
    <row r="3860" ht="204.75" customHeight="1">
      <c r="A3860" s="1">
        <v>2318.0</v>
      </c>
      <c r="B3860" s="2" t="s">
        <v>11614</v>
      </c>
      <c r="C3860" s="2">
        <f>IFERROR(__xludf.DUMMYFUNCTION("split(B3860,""_"")"),1501.0)</f>
        <v>1501</v>
      </c>
      <c r="D3860" s="2" t="str">
        <f>IFERROR(__xludf.DUMMYFUNCTION("""COMPUTED_VALUE"""),"NTV")</f>
        <v>NTV</v>
      </c>
      <c r="E3860" s="2" t="str">
        <f>IFERROR(__xludf.DUMMYFUNCTION("""COMPUTED_VALUE"""),"水22")</f>
        <v>水22</v>
      </c>
      <c r="F3860" s="2" t="s">
        <v>11615</v>
      </c>
      <c r="G3860" s="2" t="s">
        <v>11624</v>
      </c>
      <c r="H3860" s="1">
        <v>5.0</v>
      </c>
      <c r="I3860" s="1" t="s">
        <v>2884</v>
      </c>
      <c r="J3860" s="1" t="s">
        <v>82</v>
      </c>
      <c r="K3860" s="2" t="s">
        <v>11625</v>
      </c>
      <c r="L3860" s="2"/>
      <c r="M3860" s="2" t="str">
        <f>IFERROR(__xludf.DUMMYFUNCTION("split(split(K3860,""【演出"",false),""ほか"",false)"),"柴咲コウ、  黒木瞳、城田優、蓮佛美沙子、奥貫薫、渡辺真起子、岩本多代、平泉成、  東山紀之「私は、昔、人を殺しました」  ひかり(柴咲コウ)の告白に、驚きを隠せない作太郎(平泉成)だったが、ひかりの秘密は墓場まで持っていくと誓う。しかし、作太郎の容態が急変、危篤状態に陥る。朦朧とした意識の中、作太郎は正純(東山紀之)を呼び出し、久保田家の「秘密」を語り、息を引き取る。作太郎の葬儀の後、正純はひかりに「正式に結婚して子供を作りたい」と訴える。そして遂にひかりも自らの「秘密」を語り始める…!")</f>
        <v>柴咲コウ、  黒木瞳、城田優、蓮佛美沙子、奥貫薫、渡辺真起子、岩本多代、平泉成、  東山紀之「私は、昔、人を殺しました」  ひかり(柴咲コウ)の告白に、驚きを隠せない作太郎(平泉成)だったが、ひかりの秘密は墓場まで持っていくと誓う。しかし、作太郎の容態が急変、危篤状態に陥る。朦朧とした意識の中、作太郎は正純(東山紀之)を呼び出し、久保田家の「秘密」を語り、息を引き取る。作太郎の葬儀の後、正純はひかりに「正式に結婚して子供を作りたい」と訴える。そして遂にひかりも自らの「秘密」を語り始める…!</v>
      </c>
      <c r="N3860" s="2"/>
      <c r="O3860" s="2"/>
      <c r="P3860" s="1"/>
      <c r="Q3860" s="1"/>
      <c r="R3860" s="1"/>
      <c r="S3860" s="1"/>
      <c r="T3860" s="1"/>
      <c r="U3860" s="1"/>
      <c r="V3860" s="1"/>
      <c r="W3860" s="1"/>
      <c r="X3860" s="1"/>
      <c r="Y3860" s="1"/>
      <c r="Z3860" s="1"/>
      <c r="AA3860" s="1"/>
      <c r="AB3860" s="1"/>
      <c r="AC3860" s="1"/>
      <c r="AD3860" s="1"/>
      <c r="AE3860" s="1"/>
      <c r="AF3860" s="1"/>
      <c r="AG3860" s="1"/>
      <c r="AH3860" s="1"/>
      <c r="AI3860" s="1"/>
      <c r="AJ3860" s="1"/>
      <c r="AK3860" s="1"/>
      <c r="AL3860" s="1"/>
      <c r="AM3860" s="1"/>
      <c r="AN3860" s="1"/>
      <c r="AO3860" s="1"/>
      <c r="AP3860" s="1"/>
      <c r="AQ3860" s="1"/>
      <c r="AR3860" s="1"/>
      <c r="AS3860" s="1"/>
      <c r="AT3860" s="1"/>
      <c r="AU3860" s="1"/>
      <c r="AV3860" s="1"/>
      <c r="AW3860" s="1"/>
      <c r="AX3860" s="1"/>
      <c r="AY3860" s="1"/>
      <c r="AZ3860" s="1"/>
      <c r="BA3860" s="1"/>
      <c r="BB3860" s="1"/>
    </row>
    <row r="3861" ht="204.75" customHeight="1">
      <c r="A3861" s="1">
        <v>2319.0</v>
      </c>
      <c r="B3861" s="2" t="s">
        <v>11614</v>
      </c>
      <c r="C3861" s="2">
        <f>IFERROR(__xludf.DUMMYFUNCTION("split(B3861,""_"")"),1501.0)</f>
        <v>1501</v>
      </c>
      <c r="D3861" s="2" t="str">
        <f>IFERROR(__xludf.DUMMYFUNCTION("""COMPUTED_VALUE"""),"NTV")</f>
        <v>NTV</v>
      </c>
      <c r="E3861" s="2" t="str">
        <f>IFERROR(__xludf.DUMMYFUNCTION("""COMPUTED_VALUE"""),"水22")</f>
        <v>水22</v>
      </c>
      <c r="F3861" s="2" t="s">
        <v>11615</v>
      </c>
      <c r="G3861" s="2" t="s">
        <v>11626</v>
      </c>
      <c r="H3861" s="1">
        <v>6.0</v>
      </c>
      <c r="I3861" s="1" t="s">
        <v>2888</v>
      </c>
      <c r="J3861" s="1" t="s">
        <v>82</v>
      </c>
      <c r="K3861" s="2" t="s">
        <v>11627</v>
      </c>
      <c r="L3861" s="2"/>
      <c r="M3861" s="2" t="str">
        <f>IFERROR(__xludf.DUMMYFUNCTION("split(split(K3861,""【演出"",false),""ほか"",false)"),"柴咲コウ、  黒木瞳、城田優、蓮佛美沙子、奥貫薫、渡辺真起子、岩本多代、  東山紀之ひかり(柴咲コウ)は育児放棄で子供を死なせた過去を正純(東山紀之)に告白。一夜明け、正純はひかりに「正式に結婚しよう」と婚姻届を渡す。やっと幸せを手に入れたのに、戸惑いを覚えるひかり…。そして正純もまた、ひかりの過去の重さを受け止めきれていなかった。育児放棄のニュースを読むことが出来ず、板垣(城田優)と決裂し、「ニュースライフ」の降板を宣言してしまう…。正純の窮地を知ったひかりはある決断をする…。")</f>
        <v>柴咲コウ、  黒木瞳、城田優、蓮佛美沙子、奥貫薫、渡辺真起子、岩本多代、  東山紀之ひかり(柴咲コウ)は育児放棄で子供を死なせた過去を正純(東山紀之)に告白。一夜明け、正純はひかりに「正式に結婚しよう」と婚姻届を渡す。やっと幸せを手に入れたのに、戸惑いを覚えるひかり…。そして正純もまた、ひかりの過去の重さを受け止めきれていなかった。育児放棄のニュースを読むことが出来ず、板垣(城田優)と決裂し、「ニュースライフ」の降板を宣言してしまう…。正純の窮地を知ったひかりはある決断をする…。</v>
      </c>
      <c r="N3861" s="2"/>
      <c r="O3861" s="2"/>
      <c r="P3861" s="1"/>
      <c r="Q3861" s="1"/>
      <c r="R3861" s="1"/>
      <c r="S3861" s="1"/>
      <c r="T3861" s="1"/>
      <c r="U3861" s="1"/>
      <c r="V3861" s="1"/>
      <c r="W3861" s="1"/>
      <c r="X3861" s="1"/>
      <c r="Y3861" s="1"/>
      <c r="Z3861" s="1"/>
      <c r="AA3861" s="1"/>
      <c r="AB3861" s="1"/>
      <c r="AC3861" s="1"/>
      <c r="AD3861" s="1"/>
      <c r="AE3861" s="1"/>
      <c r="AF3861" s="1"/>
      <c r="AG3861" s="1"/>
      <c r="AH3861" s="1"/>
      <c r="AI3861" s="1"/>
      <c r="AJ3861" s="1"/>
      <c r="AK3861" s="1"/>
      <c r="AL3861" s="1"/>
      <c r="AM3861" s="1"/>
      <c r="AN3861" s="1"/>
      <c r="AO3861" s="1"/>
      <c r="AP3861" s="1"/>
      <c r="AQ3861" s="1"/>
      <c r="AR3861" s="1"/>
      <c r="AS3861" s="1"/>
      <c r="AT3861" s="1"/>
      <c r="AU3861" s="1"/>
      <c r="AV3861" s="1"/>
      <c r="AW3861" s="1"/>
      <c r="AX3861" s="1"/>
      <c r="AY3861" s="1"/>
      <c r="AZ3861" s="1"/>
      <c r="BA3861" s="1"/>
      <c r="BB3861" s="1"/>
    </row>
    <row r="3862" ht="204.75" customHeight="1">
      <c r="A3862" s="1">
        <v>2320.0</v>
      </c>
      <c r="B3862" s="2" t="s">
        <v>11614</v>
      </c>
      <c r="C3862" s="2">
        <f>IFERROR(__xludf.DUMMYFUNCTION("split(B3862,""_"")"),1501.0)</f>
        <v>1501</v>
      </c>
      <c r="D3862" s="2" t="str">
        <f>IFERROR(__xludf.DUMMYFUNCTION("""COMPUTED_VALUE"""),"NTV")</f>
        <v>NTV</v>
      </c>
      <c r="E3862" s="2" t="str">
        <f>IFERROR(__xludf.DUMMYFUNCTION("""COMPUTED_VALUE"""),"水22")</f>
        <v>水22</v>
      </c>
      <c r="F3862" s="2" t="s">
        <v>11615</v>
      </c>
      <c r="G3862" s="2" t="s">
        <v>11628</v>
      </c>
      <c r="H3862" s="1">
        <v>7.0</v>
      </c>
      <c r="I3862" s="1" t="s">
        <v>2892</v>
      </c>
      <c r="J3862" s="1" t="s">
        <v>82</v>
      </c>
      <c r="K3862" s="2" t="s">
        <v>11629</v>
      </c>
      <c r="L3862" s="2"/>
      <c r="M3862" s="2" t="str">
        <f>IFERROR(__xludf.DUMMYFUNCTION("split(split(K3862,""【演出"",false),""ほか"",false)"),"柴咲コウ、  黒木瞳、城田優、蓮佛美沙子、奥貫薫、渡辺真起子、岩本多代、  東山紀之正純(東山紀之)を守るために姿を消したひかり(柴咲コウ)はきっぱり縁を切ろうと決めたはずなのに、条件反射で「ニュースライフ」を見てしまう。そして正純は、板垣(城田優)から「マスコミに離婚を発表してほしい」と頼まれ、断ることが出来ず、ひかりの想いとは裏腹に仕事でも精彩を欠く。  まるで、言葉を失くした人魚姫のように、街をさまようひかり。自分の無力さに絶望し、最後に魂の一言を叫び、自らの命を…。")</f>
        <v>柴咲コウ、  黒木瞳、城田優、蓮佛美沙子、奥貫薫、渡辺真起子、岩本多代、  東山紀之正純(東山紀之)を守るために姿を消したひかり(柴咲コウ)はきっぱり縁を切ろうと決めたはずなのに、条件反射で「ニュースライフ」を見てしまう。そして正純は、板垣(城田優)から「マスコミに離婚を発表してほしい」と頼まれ、断ることが出来ず、ひかりの想いとは裏腹に仕事でも精彩を欠く。  まるで、言葉を失くした人魚姫のように、街をさまようひかり。自分の無力さに絶望し、最後に魂の一言を叫び、自らの命を…。</v>
      </c>
      <c r="N3862" s="2"/>
      <c r="O3862" s="2"/>
      <c r="P3862" s="1"/>
      <c r="Q3862" s="1"/>
      <c r="R3862" s="1"/>
      <c r="S3862" s="1"/>
      <c r="T3862" s="1"/>
      <c r="U3862" s="1"/>
      <c r="V3862" s="1"/>
      <c r="W3862" s="1"/>
      <c r="X3862" s="1"/>
      <c r="Y3862" s="1"/>
      <c r="Z3862" s="1"/>
      <c r="AA3862" s="1"/>
      <c r="AB3862" s="1"/>
      <c r="AC3862" s="1"/>
      <c r="AD3862" s="1"/>
      <c r="AE3862" s="1"/>
      <c r="AF3862" s="1"/>
      <c r="AG3862" s="1"/>
      <c r="AH3862" s="1"/>
      <c r="AI3862" s="1"/>
      <c r="AJ3862" s="1"/>
      <c r="AK3862" s="1"/>
      <c r="AL3862" s="1"/>
      <c r="AM3862" s="1"/>
      <c r="AN3862" s="1"/>
      <c r="AO3862" s="1"/>
      <c r="AP3862" s="1"/>
      <c r="AQ3862" s="1"/>
      <c r="AR3862" s="1"/>
      <c r="AS3862" s="1"/>
      <c r="AT3862" s="1"/>
      <c r="AU3862" s="1"/>
      <c r="AV3862" s="1"/>
      <c r="AW3862" s="1"/>
      <c r="AX3862" s="1"/>
      <c r="AY3862" s="1"/>
      <c r="AZ3862" s="1"/>
      <c r="BA3862" s="1"/>
      <c r="BB3862" s="1"/>
    </row>
    <row r="3863" ht="204.75" customHeight="1">
      <c r="A3863" s="1">
        <v>2321.0</v>
      </c>
      <c r="B3863" s="2" t="s">
        <v>11614</v>
      </c>
      <c r="C3863" s="2">
        <f>IFERROR(__xludf.DUMMYFUNCTION("split(B3863,""_"")"),1501.0)</f>
        <v>1501</v>
      </c>
      <c r="D3863" s="2" t="str">
        <f>IFERROR(__xludf.DUMMYFUNCTION("""COMPUTED_VALUE"""),"NTV")</f>
        <v>NTV</v>
      </c>
      <c r="E3863" s="2" t="str">
        <f>IFERROR(__xludf.DUMMYFUNCTION("""COMPUTED_VALUE"""),"水22")</f>
        <v>水22</v>
      </c>
      <c r="F3863" s="2" t="s">
        <v>11615</v>
      </c>
      <c r="G3863" s="2" t="s">
        <v>11630</v>
      </c>
      <c r="H3863" s="1">
        <v>8.0</v>
      </c>
      <c r="I3863" s="1" t="s">
        <v>2896</v>
      </c>
      <c r="J3863" s="1" t="s">
        <v>82</v>
      </c>
      <c r="K3863" s="2" t="s">
        <v>11631</v>
      </c>
      <c r="L3863" s="2"/>
      <c r="M3863" s="2" t="str">
        <f>IFERROR(__xludf.DUMMYFUNCTION("split(split(K3863,""【演出"",false),""ほか"",false)"),"柴咲コウ、  黒木瞳、城田優、蓮佛美沙子、奥貫薫、渡辺真起子、岩本多代、  東山紀之絶望したひかり(柴咲コウ)は正純(東山紀之)の名を叫びながらスクランブル交差点に足を踏み出すが、千春(黒木瞳)に助けられ奇跡的に一命をとりとめる。一方、正純は「ニュースライフ」で離婚を発表する。  ひかりは正純(東山)への思いを振り切るためナースとして働き出すが、いつも思い出すのは正純の言葉ばかりで…。そんな中、特別室に入院した患者の世話を頼まれたひかり。部屋に入るとそこには何故か正純が…!?")</f>
        <v>柴咲コウ、  黒木瞳、城田優、蓮佛美沙子、奥貫薫、渡辺真起子、岩本多代、  東山紀之絶望したひかり(柴咲コウ)は正純(東山紀之)の名を叫びながらスクランブル交差点に足を踏み出すが、千春(黒木瞳)に助けられ奇跡的に一命をとりとめる。一方、正純は「ニュースライフ」で離婚を発表する。  ひかりは正純(東山)への思いを振り切るためナースとして働き出すが、いつも思い出すのは正純の言葉ばかりで…。そんな中、特別室に入院した患者の世話を頼まれたひかり。部屋に入るとそこには何故か正純が…!?</v>
      </c>
      <c r="N3863" s="2"/>
      <c r="O3863" s="2"/>
      <c r="P3863" s="1"/>
      <c r="Q3863" s="1"/>
      <c r="R3863" s="1"/>
      <c r="S3863" s="1"/>
      <c r="T3863" s="1"/>
      <c r="U3863" s="1"/>
      <c r="V3863" s="1"/>
      <c r="W3863" s="1"/>
      <c r="X3863" s="1"/>
      <c r="Y3863" s="1"/>
      <c r="Z3863" s="1"/>
      <c r="AA3863" s="1"/>
      <c r="AB3863" s="1"/>
      <c r="AC3863" s="1"/>
      <c r="AD3863" s="1"/>
      <c r="AE3863" s="1"/>
      <c r="AF3863" s="1"/>
      <c r="AG3863" s="1"/>
      <c r="AH3863" s="1"/>
      <c r="AI3863" s="1"/>
      <c r="AJ3863" s="1"/>
      <c r="AK3863" s="1"/>
      <c r="AL3863" s="1"/>
      <c r="AM3863" s="1"/>
      <c r="AN3863" s="1"/>
      <c r="AO3863" s="1"/>
      <c r="AP3863" s="1"/>
      <c r="AQ3863" s="1"/>
      <c r="AR3863" s="1"/>
      <c r="AS3863" s="1"/>
      <c r="AT3863" s="1"/>
      <c r="AU3863" s="1"/>
      <c r="AV3863" s="1"/>
      <c r="AW3863" s="1"/>
      <c r="AX3863" s="1"/>
      <c r="AY3863" s="1"/>
      <c r="AZ3863" s="1"/>
      <c r="BA3863" s="1"/>
      <c r="BB3863" s="1"/>
    </row>
    <row r="3864" ht="204.75" customHeight="1">
      <c r="A3864" s="1">
        <v>2322.0</v>
      </c>
      <c r="B3864" s="2" t="s">
        <v>11614</v>
      </c>
      <c r="C3864" s="2">
        <f>IFERROR(__xludf.DUMMYFUNCTION("split(B3864,""_"")"),1501.0)</f>
        <v>1501</v>
      </c>
      <c r="D3864" s="2" t="str">
        <f>IFERROR(__xludf.DUMMYFUNCTION("""COMPUTED_VALUE"""),"NTV")</f>
        <v>NTV</v>
      </c>
      <c r="E3864" s="2" t="str">
        <f>IFERROR(__xludf.DUMMYFUNCTION("""COMPUTED_VALUE"""),"水22")</f>
        <v>水22</v>
      </c>
      <c r="F3864" s="2" t="s">
        <v>11615</v>
      </c>
      <c r="G3864" s="2" t="s">
        <v>11632</v>
      </c>
      <c r="H3864" s="1">
        <v>9.0</v>
      </c>
      <c r="I3864" s="1" t="s">
        <v>2900</v>
      </c>
      <c r="J3864" s="1" t="s">
        <v>82</v>
      </c>
      <c r="K3864" s="2" t="s">
        <v>11633</v>
      </c>
      <c r="L3864" s="2"/>
      <c r="M3864" s="2" t="str">
        <f>IFERROR(__xludf.DUMMYFUNCTION("split(split(K3864,""【演出"",false),""ほか"",false)"),"柴咲コウ、  黒木瞳、城田優、蓮佛美沙子、奥貫薫、渡辺真起子、岩本多代、  東山紀之ひかり(柴咲コウ)は弱気になった正純(東山紀之)をめぐみ(蓮佛美沙子)に託し、正純への思いを吹っ切るように看護師の仕事に打ち込む。だが、思い出すのは正純の言葉ばかり…。そんな中、正純とめぐみの関係を番組スタッフに知られ、正純は板垣(城田優)から番組降板を迫られる。さらに、正純の私生活やひかりの過去がネット上で拡散され正純は、すべてを失ってしまう。一方、ひかりは、東京を離れようと決意して…!?")</f>
        <v>柴咲コウ、  黒木瞳、城田優、蓮佛美沙子、奥貫薫、渡辺真起子、岩本多代、  東山紀之ひかり(柴咲コウ)は弱気になった正純(東山紀之)をめぐみ(蓮佛美沙子)に託し、正純への思いを吹っ切るように看護師の仕事に打ち込む。だが、思い出すのは正純の言葉ばかり…。そんな中、正純とめぐみの関係を番組スタッフに知られ、正純は板垣(城田優)から番組降板を迫られる。さらに、正純の私生活やひかりの過去がネット上で拡散され正純は、すべてを失ってしまう。一方、ひかりは、東京を離れようと決意して…!?</v>
      </c>
      <c r="N3864" s="2"/>
      <c r="O3864" s="2"/>
      <c r="P3864" s="1"/>
      <c r="Q3864" s="1"/>
      <c r="R3864" s="1"/>
      <c r="S3864" s="1"/>
      <c r="T3864" s="1"/>
      <c r="U3864" s="1"/>
      <c r="V3864" s="1"/>
      <c r="W3864" s="1"/>
      <c r="X3864" s="1"/>
      <c r="Y3864" s="1"/>
      <c r="Z3864" s="1"/>
      <c r="AA3864" s="1"/>
      <c r="AB3864" s="1"/>
      <c r="AC3864" s="1"/>
      <c r="AD3864" s="1"/>
      <c r="AE3864" s="1"/>
      <c r="AF3864" s="1"/>
      <c r="AG3864" s="1"/>
      <c r="AH3864" s="1"/>
      <c r="AI3864" s="1"/>
      <c r="AJ3864" s="1"/>
      <c r="AK3864" s="1"/>
      <c r="AL3864" s="1"/>
      <c r="AM3864" s="1"/>
      <c r="AN3864" s="1"/>
      <c r="AO3864" s="1"/>
      <c r="AP3864" s="1"/>
      <c r="AQ3864" s="1"/>
      <c r="AR3864" s="1"/>
      <c r="AS3864" s="1"/>
      <c r="AT3864" s="1"/>
      <c r="AU3864" s="1"/>
      <c r="AV3864" s="1"/>
      <c r="AW3864" s="1"/>
      <c r="AX3864" s="1"/>
      <c r="AY3864" s="1"/>
      <c r="AZ3864" s="1"/>
      <c r="BA3864" s="1"/>
      <c r="BB3864" s="1"/>
    </row>
    <row r="3865" ht="204.75" customHeight="1">
      <c r="A3865" s="1">
        <v>2323.0</v>
      </c>
      <c r="B3865" s="2" t="s">
        <v>11614</v>
      </c>
      <c r="C3865" s="2">
        <f>IFERROR(__xludf.DUMMYFUNCTION("split(B3865,""_"")"),1501.0)</f>
        <v>1501</v>
      </c>
      <c r="D3865" s="2" t="str">
        <f>IFERROR(__xludf.DUMMYFUNCTION("""COMPUTED_VALUE"""),"NTV")</f>
        <v>NTV</v>
      </c>
      <c r="E3865" s="2" t="str">
        <f>IFERROR(__xludf.DUMMYFUNCTION("""COMPUTED_VALUE"""),"水22")</f>
        <v>水22</v>
      </c>
      <c r="F3865" s="2" t="s">
        <v>11615</v>
      </c>
      <c r="G3865" s="2" t="s">
        <v>11634</v>
      </c>
      <c r="H3865" s="1">
        <v>10.0</v>
      </c>
      <c r="I3865" s="1" t="s">
        <v>37</v>
      </c>
      <c r="J3865" s="1" t="s">
        <v>82</v>
      </c>
      <c r="K3865" s="2" t="s">
        <v>11635</v>
      </c>
      <c r="L3865" s="2"/>
      <c r="M3865" s="2" t="str">
        <f>IFERROR(__xludf.DUMMYFUNCTION("split(split(K3865,""【演出"",false),""ほか"",false)"),"柴咲コウ、  黒木瞳、城田優、蓮佛美沙子、奥貫薫、渡辺真起子、岩本多代、  東山紀之ひかり(柴咲コウ)と正純(東山紀之)は、過去を乗り越え、正式に結婚し、新生活を始める。結婚式も挙げることになり、ひかりの心からの笑顔を見た正純は幸せを噛みしめる。しかし結婚式前日、正純が高校生の集団に絡まれ、正純とひかりは階段から転落。ひかりは意識不明の重体に…。正純は「ニュースライフ」でひかりが教えてくれた大切なことを語りだす。そこに病院から連絡が入り…。今夜、衝撃と感動の最終回!!")</f>
        <v>柴咲コウ、  黒木瞳、城田優、蓮佛美沙子、奥貫薫、渡辺真起子、岩本多代、  東山紀之ひかり(柴咲コウ)と正純(東山紀之)は、過去を乗り越え、正式に結婚し、新生活を始める。結婚式も挙げることになり、ひかりの心からの笑顔を見た正純は幸せを噛みしめる。しかし結婚式前日、正純が高校生の集団に絡まれ、正純とひかりは階段から転落。ひかりは意識不明の重体に…。正純は「ニュースライフ」でひかりが教えてくれた大切なことを語りだす。そこに病院から連絡が入り…。今夜、衝撃と感動の最終回!!</v>
      </c>
      <c r="N3865" s="2"/>
      <c r="O3865" s="2"/>
      <c r="P3865" s="1"/>
      <c r="Q3865" s="1"/>
      <c r="R3865" s="1"/>
      <c r="S3865" s="1"/>
      <c r="T3865" s="1"/>
      <c r="U3865" s="1"/>
      <c r="V3865" s="1"/>
      <c r="W3865" s="1"/>
      <c r="X3865" s="1"/>
      <c r="Y3865" s="1"/>
      <c r="Z3865" s="1"/>
      <c r="AA3865" s="1"/>
      <c r="AB3865" s="1"/>
      <c r="AC3865" s="1"/>
      <c r="AD3865" s="1"/>
      <c r="AE3865" s="1"/>
      <c r="AF3865" s="1"/>
      <c r="AG3865" s="1"/>
      <c r="AH3865" s="1"/>
      <c r="AI3865" s="1"/>
      <c r="AJ3865" s="1"/>
      <c r="AK3865" s="1"/>
      <c r="AL3865" s="1"/>
      <c r="AM3865" s="1"/>
      <c r="AN3865" s="1"/>
      <c r="AO3865" s="1"/>
      <c r="AP3865" s="1"/>
      <c r="AQ3865" s="1"/>
      <c r="AR3865" s="1"/>
      <c r="AS3865" s="1"/>
      <c r="AT3865" s="1"/>
      <c r="AU3865" s="1"/>
      <c r="AV3865" s="1"/>
      <c r="AW3865" s="1"/>
      <c r="AX3865" s="1"/>
      <c r="AY3865" s="1"/>
      <c r="AZ3865" s="1"/>
      <c r="BA3865" s="1"/>
      <c r="BB3865" s="1"/>
    </row>
    <row r="3866" ht="204.75" customHeight="1">
      <c r="A3866" s="1">
        <v>2363.0</v>
      </c>
      <c r="B3866" s="2" t="s">
        <v>11636</v>
      </c>
      <c r="C3866" s="2">
        <f>IFERROR(__xludf.DUMMYFUNCTION("split(B3866,""_"")"),1501.0)</f>
        <v>1501</v>
      </c>
      <c r="D3866" s="2" t="str">
        <f>IFERROR(__xludf.DUMMYFUNCTION("""COMPUTED_VALUE"""),"NTV")</f>
        <v>NTV</v>
      </c>
      <c r="E3866" s="2" t="str">
        <f>IFERROR(__xludf.DUMMYFUNCTION("""COMPUTED_VALUE"""),"木23")</f>
        <v>木23</v>
      </c>
      <c r="F3866" s="2" t="s">
        <v>11637</v>
      </c>
      <c r="G3866" s="2" t="s">
        <v>11638</v>
      </c>
      <c r="H3866" s="1">
        <v>1.0</v>
      </c>
      <c r="J3866" s="1" t="s">
        <v>1435</v>
      </c>
      <c r="K3866" s="2" t="s">
        <v>11639</v>
      </c>
      <c r="L3866" s="2"/>
      <c r="M3866" s="2" t="str">
        <f>IFERROR(__xludf.DUMMYFUNCTION("split(split(K3866,""【演出"",false),""ほか"",false)"),"渡辺直美、山本裕典、高月彩良、綾田俊樹、星田英利、ちすん、天翔りいら、ロバータ  ***  有森也実、寺島進  【ゲスト】西岡徳馬、入山法子、大塚良重、是近敦之(他)【第1話】  『“伝説のトラベルマスター”京香登場!』  旅行会社の新人社員・佐竹一郎(山本裕典)は、添乗員としての初仕事に意気揚々と向かうが、任されたのは強烈なクレーム客、松永和彦(西岡徳馬)の担当だった!対応に困り果てる佐竹だが、どんなお客も満足させるという“スゴ腕トラベルマスター”高瀬京香(渡辺直美)が現れ、究極のツアープランでおもてな"&amp;"しすることになる!")</f>
        <v>渡辺直美、山本裕典、高月彩良、綾田俊樹、星田英利、ちすん、天翔りいら、ロバータ  ***  有森也実、寺島進  【ゲスト】西岡徳馬、入山法子、大塚良重、是近敦之(他)【第1話】  『“伝説のトラベルマスター”京香登場!』  旅行会社の新人社員・佐竹一郎(山本裕典)は、添乗員としての初仕事に意気揚々と向かうが、任されたのは強烈なクレーム客、松永和彦(西岡徳馬)の担当だった!対応に困り果てる佐竹だが、どんなお客も満足させるという“スゴ腕トラベルマスター”高瀬京香(渡辺直美)が現れ、究極のツアープランでおもてなしすることになる!</v>
      </c>
      <c r="N3866" s="2"/>
      <c r="O3866" s="2"/>
      <c r="P3866" s="1"/>
      <c r="Q3866" s="1"/>
      <c r="R3866" s="1"/>
      <c r="S3866" s="1"/>
      <c r="T3866" s="1"/>
      <c r="U3866" s="1"/>
      <c r="V3866" s="1"/>
      <c r="W3866" s="1"/>
      <c r="X3866" s="1"/>
      <c r="Y3866" s="1"/>
      <c r="Z3866" s="1"/>
      <c r="AA3866" s="1"/>
      <c r="AB3866" s="1"/>
      <c r="AC3866" s="1"/>
      <c r="AD3866" s="1"/>
      <c r="AE3866" s="1"/>
      <c r="AF3866" s="1"/>
      <c r="AG3866" s="1"/>
      <c r="AH3866" s="1"/>
      <c r="AI3866" s="1"/>
      <c r="AJ3866" s="1"/>
      <c r="AK3866" s="1"/>
      <c r="AL3866" s="1"/>
      <c r="AM3866" s="1"/>
      <c r="AN3866" s="1"/>
      <c r="AO3866" s="1"/>
      <c r="AP3866" s="1"/>
      <c r="AQ3866" s="1"/>
      <c r="AR3866" s="1"/>
      <c r="AS3866" s="1"/>
      <c r="AT3866" s="1"/>
      <c r="AU3866" s="1"/>
      <c r="AV3866" s="1"/>
      <c r="AW3866" s="1"/>
      <c r="AX3866" s="1"/>
      <c r="AY3866" s="1"/>
      <c r="AZ3866" s="1"/>
      <c r="BA3866" s="1"/>
      <c r="BB3866" s="1"/>
    </row>
    <row r="3867" ht="204.75" customHeight="1">
      <c r="A3867" s="1">
        <v>2364.0</v>
      </c>
      <c r="B3867" s="2" t="s">
        <v>11636</v>
      </c>
      <c r="C3867" s="2">
        <f>IFERROR(__xludf.DUMMYFUNCTION("split(B3867,""_"")"),1501.0)</f>
        <v>1501</v>
      </c>
      <c r="D3867" s="2" t="str">
        <f>IFERROR(__xludf.DUMMYFUNCTION("""COMPUTED_VALUE"""),"NTV")</f>
        <v>NTV</v>
      </c>
      <c r="E3867" s="2" t="str">
        <f>IFERROR(__xludf.DUMMYFUNCTION("""COMPUTED_VALUE"""),"木23")</f>
        <v>木23</v>
      </c>
      <c r="F3867" s="2" t="s">
        <v>11637</v>
      </c>
      <c r="G3867" s="2" t="s">
        <v>11640</v>
      </c>
      <c r="H3867" s="1">
        <v>2.0</v>
      </c>
      <c r="J3867" s="1" t="s">
        <v>1435</v>
      </c>
      <c r="K3867" s="2" t="s">
        <v>11641</v>
      </c>
      <c r="L3867" s="2"/>
      <c r="M3867" s="2" t="str">
        <f>IFERROR(__xludf.DUMMYFUNCTION("split(split(K3867,""【演出"",false),""ほか"",false)"),"渡辺直美、山本裕典、高月彩良、綾田俊樹、星田英利、ちすん、天翔りいら、ロバータ  ***  有森也実、寺島進  【ゲスト】東幹久、中島ひろ子、松本莉緒、遠藤瑠菜(他)【第2話】  妻(中島ひろ子)と幼い娘(遠藤瑠菜)と家族旅行を楽しんでいる大沢ミノル(東幹久)。そのミノルのもとに、不倫相手の女性(松本莉緒)が乗り込んできた!あわてたミノルは、添乗員の佐竹一郎(山本裕典)に、家族と不倫相手、双方に気付かれないよう、それぞれの旅行プランを成立させてほしいと頼み込むがーー。")</f>
        <v>渡辺直美、山本裕典、高月彩良、綾田俊樹、星田英利、ちすん、天翔りいら、ロバータ  ***  有森也実、寺島進  【ゲスト】東幹久、中島ひろ子、松本莉緒、遠藤瑠菜(他)【第2話】  妻(中島ひろ子)と幼い娘(遠藤瑠菜)と家族旅行を楽しんでいる大沢ミノル(東幹久)。そのミノルのもとに、不倫相手の女性(松本莉緒)が乗り込んできた!あわてたミノルは、添乗員の佐竹一郎(山本裕典)に、家族と不倫相手、双方に気付かれないよう、それぞれの旅行プランを成立させてほしいと頼み込むがーー。</v>
      </c>
      <c r="N3867" s="2"/>
      <c r="O3867" s="2"/>
      <c r="P3867" s="1"/>
      <c r="Q3867" s="1"/>
      <c r="R3867" s="1"/>
      <c r="S3867" s="1"/>
      <c r="T3867" s="1"/>
      <c r="U3867" s="1"/>
      <c r="V3867" s="1"/>
      <c r="W3867" s="1"/>
      <c r="X3867" s="1"/>
      <c r="Y3867" s="1"/>
      <c r="Z3867" s="1"/>
      <c r="AA3867" s="1"/>
      <c r="AB3867" s="1"/>
      <c r="AC3867" s="1"/>
      <c r="AD3867" s="1"/>
      <c r="AE3867" s="1"/>
      <c r="AF3867" s="1"/>
      <c r="AG3867" s="1"/>
      <c r="AH3867" s="1"/>
      <c r="AI3867" s="1"/>
      <c r="AJ3867" s="1"/>
      <c r="AK3867" s="1"/>
      <c r="AL3867" s="1"/>
      <c r="AM3867" s="1"/>
      <c r="AN3867" s="1"/>
      <c r="AO3867" s="1"/>
      <c r="AP3867" s="1"/>
      <c r="AQ3867" s="1"/>
      <c r="AR3867" s="1"/>
      <c r="AS3867" s="1"/>
      <c r="AT3867" s="1"/>
      <c r="AU3867" s="1"/>
      <c r="AV3867" s="1"/>
      <c r="AW3867" s="1"/>
      <c r="AX3867" s="1"/>
      <c r="AY3867" s="1"/>
      <c r="AZ3867" s="1"/>
      <c r="BA3867" s="1"/>
      <c r="BB3867" s="1"/>
    </row>
    <row r="3868" ht="204.75" customHeight="1">
      <c r="A3868" s="1">
        <v>2365.0</v>
      </c>
      <c r="B3868" s="2" t="s">
        <v>11636</v>
      </c>
      <c r="C3868" s="2">
        <f>IFERROR(__xludf.DUMMYFUNCTION("split(B3868,""_"")"),1501.0)</f>
        <v>1501</v>
      </c>
      <c r="D3868" s="2" t="str">
        <f>IFERROR(__xludf.DUMMYFUNCTION("""COMPUTED_VALUE"""),"NTV")</f>
        <v>NTV</v>
      </c>
      <c r="E3868" s="2" t="str">
        <f>IFERROR(__xludf.DUMMYFUNCTION("""COMPUTED_VALUE"""),"木23")</f>
        <v>木23</v>
      </c>
      <c r="F3868" s="2" t="s">
        <v>11637</v>
      </c>
      <c r="G3868" s="2" t="s">
        <v>11642</v>
      </c>
      <c r="H3868" s="1">
        <v>3.0</v>
      </c>
      <c r="J3868" s="1" t="s">
        <v>1435</v>
      </c>
      <c r="K3868" s="2" t="s">
        <v>11643</v>
      </c>
      <c r="L3868" s="2"/>
      <c r="M3868" s="2" t="str">
        <f>IFERROR(__xludf.DUMMYFUNCTION("split(split(K3868,""【演出"",false),""ほか"",false)"),"渡辺直美、山本裕典、高月彩良、綾田俊樹、星田英利、ちすん、天翔りいら、ロバータ  有森也実、寺島進  【ゲスト】  遠山景織子、窪塚俊介、内田春菊(他)【第3話】  サンセットツアーズでは、カリスマ占い師・天地魅和子(内田春菊)プロデュースの「縁切りバスツアー」が人気で、悪縁を断ち切りたい客たちが押し寄せていた。その中には、倉石亜紀(遠山景織子)もいて、夫・弘樹(窪塚俊介)との離縁を祈願していた。それを知った弘樹は、亜紀と別れたくないと慌てて追いかけてきてーー")</f>
        <v>渡辺直美、山本裕典、高月彩良、綾田俊樹、星田英利、ちすん、天翔りいら、ロバータ  有森也実、寺島進  【ゲスト】  遠山景織子、窪塚俊介、内田春菊(他)【第3話】  サンセットツアーズでは、カリスマ占い師・天地魅和子(内田春菊)プロデュースの「縁切りバスツアー」が人気で、悪縁を断ち切りたい客たちが押し寄せていた。その中には、倉石亜紀(遠山景織子)もいて、夫・弘樹(窪塚俊介)との離縁を祈願していた。それを知った弘樹は、亜紀と別れたくないと慌てて追いかけてきてーー</v>
      </c>
      <c r="N3868" s="2"/>
      <c r="O3868" s="2"/>
      <c r="P3868" s="1"/>
      <c r="Q3868" s="1"/>
      <c r="R3868" s="1"/>
      <c r="S3868" s="1"/>
      <c r="T3868" s="1"/>
      <c r="U3868" s="1"/>
      <c r="V3868" s="1"/>
      <c r="W3868" s="1"/>
      <c r="X3868" s="1"/>
      <c r="Y3868" s="1"/>
      <c r="Z3868" s="1"/>
      <c r="AA3868" s="1"/>
      <c r="AB3868" s="1"/>
      <c r="AC3868" s="1"/>
      <c r="AD3868" s="1"/>
      <c r="AE3868" s="1"/>
      <c r="AF3868" s="1"/>
      <c r="AG3868" s="1"/>
      <c r="AH3868" s="1"/>
      <c r="AI3868" s="1"/>
      <c r="AJ3868" s="1"/>
      <c r="AK3868" s="1"/>
      <c r="AL3868" s="1"/>
      <c r="AM3868" s="1"/>
      <c r="AN3868" s="1"/>
      <c r="AO3868" s="1"/>
      <c r="AP3868" s="1"/>
      <c r="AQ3868" s="1"/>
      <c r="AR3868" s="1"/>
      <c r="AS3868" s="1"/>
      <c r="AT3868" s="1"/>
      <c r="AU3868" s="1"/>
      <c r="AV3868" s="1"/>
      <c r="AW3868" s="1"/>
      <c r="AX3868" s="1"/>
      <c r="AY3868" s="1"/>
      <c r="AZ3868" s="1"/>
      <c r="BA3868" s="1"/>
      <c r="BB3868" s="1"/>
    </row>
    <row r="3869" ht="204.75" customHeight="1">
      <c r="A3869" s="1">
        <v>2366.0</v>
      </c>
      <c r="B3869" s="2" t="s">
        <v>11636</v>
      </c>
      <c r="C3869" s="2">
        <f>IFERROR(__xludf.DUMMYFUNCTION("split(B3869,""_"")"),1501.0)</f>
        <v>1501</v>
      </c>
      <c r="D3869" s="2" t="str">
        <f>IFERROR(__xludf.DUMMYFUNCTION("""COMPUTED_VALUE"""),"NTV")</f>
        <v>NTV</v>
      </c>
      <c r="E3869" s="2" t="str">
        <f>IFERROR(__xludf.DUMMYFUNCTION("""COMPUTED_VALUE"""),"木23")</f>
        <v>木23</v>
      </c>
      <c r="F3869" s="2" t="s">
        <v>11637</v>
      </c>
      <c r="G3869" s="2" t="s">
        <v>11644</v>
      </c>
      <c r="H3869" s="1">
        <v>4.0</v>
      </c>
      <c r="J3869" s="1" t="s">
        <v>1435</v>
      </c>
      <c r="K3869" s="2" t="s">
        <v>11645</v>
      </c>
      <c r="L3869" s="2"/>
      <c r="M3869" s="2" t="str">
        <f>IFERROR(__xludf.DUMMYFUNCTION("split(split(K3869,""【演出"",false),""ほか"",false)"),"渡辺直美、山本裕典、高月彩良、綾田俊樹、星田英利、ちすん、天翔りいら、ロバータ  有森也実、寺島進  【ゲスト】桐山漣、岩田さゆり(他)【第4話】  京都の映画祭にやってきた人気イケメン俳優・春川優也(桐山漣)。お忍びで京都を満喫したいという優也のため、ツアーを企画しようとする佐竹一郎(山本裕典)。だが、無理難題を言いだすワガママな優也に、途方に暮れる。そこに優也の大ファンだという高瀬京香(渡辺直美)も加わって……")</f>
        <v>渡辺直美、山本裕典、高月彩良、綾田俊樹、星田英利、ちすん、天翔りいら、ロバータ  有森也実、寺島進  【ゲスト】桐山漣、岩田さゆり(他)【第4話】  京都の映画祭にやってきた人気イケメン俳優・春川優也(桐山漣)。お忍びで京都を満喫したいという優也のため、ツアーを企画しようとする佐竹一郎(山本裕典)。だが、無理難題を言いだすワガママな優也に、途方に暮れる。そこに優也の大ファンだという高瀬京香(渡辺直美)も加わって……</v>
      </c>
      <c r="N3869" s="2"/>
      <c r="O3869" s="2"/>
      <c r="P3869" s="1"/>
      <c r="Q3869" s="1"/>
      <c r="R3869" s="1"/>
      <c r="S3869" s="1"/>
      <c r="T3869" s="1"/>
      <c r="U3869" s="1"/>
      <c r="V3869" s="1"/>
      <c r="W3869" s="1"/>
      <c r="X3869" s="1"/>
      <c r="Y3869" s="1"/>
      <c r="Z3869" s="1"/>
      <c r="AA3869" s="1"/>
      <c r="AB3869" s="1"/>
      <c r="AC3869" s="1"/>
      <c r="AD3869" s="1"/>
      <c r="AE3869" s="1"/>
      <c r="AF3869" s="1"/>
      <c r="AG3869" s="1"/>
      <c r="AH3869" s="1"/>
      <c r="AI3869" s="1"/>
      <c r="AJ3869" s="1"/>
      <c r="AK3869" s="1"/>
      <c r="AL3869" s="1"/>
      <c r="AM3869" s="1"/>
      <c r="AN3869" s="1"/>
      <c r="AO3869" s="1"/>
      <c r="AP3869" s="1"/>
      <c r="AQ3869" s="1"/>
      <c r="AR3869" s="1"/>
      <c r="AS3869" s="1"/>
      <c r="AT3869" s="1"/>
      <c r="AU3869" s="1"/>
      <c r="AV3869" s="1"/>
      <c r="AW3869" s="1"/>
      <c r="AX3869" s="1"/>
      <c r="AY3869" s="1"/>
      <c r="AZ3869" s="1"/>
      <c r="BA3869" s="1"/>
      <c r="BB3869" s="1"/>
    </row>
    <row r="3870" ht="204.75" customHeight="1">
      <c r="A3870" s="1">
        <v>2367.0</v>
      </c>
      <c r="B3870" s="2" t="s">
        <v>11636</v>
      </c>
      <c r="C3870" s="2">
        <f>IFERROR(__xludf.DUMMYFUNCTION("split(B3870,""_"")"),1501.0)</f>
        <v>1501</v>
      </c>
      <c r="D3870" s="2" t="str">
        <f>IFERROR(__xludf.DUMMYFUNCTION("""COMPUTED_VALUE"""),"NTV")</f>
        <v>NTV</v>
      </c>
      <c r="E3870" s="2" t="str">
        <f>IFERROR(__xludf.DUMMYFUNCTION("""COMPUTED_VALUE"""),"木23")</f>
        <v>木23</v>
      </c>
      <c r="F3870" s="2" t="s">
        <v>11637</v>
      </c>
      <c r="G3870" s="2" t="s">
        <v>11646</v>
      </c>
      <c r="H3870" s="1">
        <v>5.0</v>
      </c>
      <c r="J3870" s="1" t="s">
        <v>1435</v>
      </c>
      <c r="K3870" s="2" t="s">
        <v>11647</v>
      </c>
      <c r="L3870" s="2"/>
      <c r="M3870" s="2" t="str">
        <f>IFERROR(__xludf.DUMMYFUNCTION("split(split(K3870,""【演出"",false),""ほか"",false)"),"渡辺直美、山本裕典、高月彩良、綾田俊樹、星田英利、ちすん、天翔りいら、ロバータ  有森也実、寺島進  【ゲスト】伊藤かずえ、小久保結、中林大樹(他)【第5話】  契約タクシードライバーの川端哲男(寺島進)は、別れた妻の丸山美穂(伊藤かずえ)が再婚すると聞き、心穏やかでない。ある日、その美穂が、恋人の大倉孝彦(中林大樹)と京都旅行に来ることになり、川端は、高瀬京香(渡辺直美)らを巻き込み、そのツアーを担当しようとするがーー")</f>
        <v>渡辺直美、山本裕典、高月彩良、綾田俊樹、星田英利、ちすん、天翔りいら、ロバータ  有森也実、寺島進  【ゲスト】伊藤かずえ、小久保結、中林大樹(他)【第5話】  契約タクシードライバーの川端哲男(寺島進)は、別れた妻の丸山美穂(伊藤かずえ)が再婚すると聞き、心穏やかでない。ある日、その美穂が、恋人の大倉孝彦(中林大樹)と京都旅行に来ることになり、川端は、高瀬京香(渡辺直美)らを巻き込み、そのツアーを担当しようとするがーー</v>
      </c>
      <c r="N3870" s="2"/>
      <c r="O3870" s="2"/>
      <c r="P3870" s="1"/>
      <c r="Q3870" s="1"/>
      <c r="R3870" s="1"/>
      <c r="S3870" s="1"/>
      <c r="T3870" s="1"/>
      <c r="U3870" s="1"/>
      <c r="V3870" s="1"/>
      <c r="W3870" s="1"/>
      <c r="X3870" s="1"/>
      <c r="Y3870" s="1"/>
      <c r="Z3870" s="1"/>
      <c r="AA3870" s="1"/>
      <c r="AB3870" s="1"/>
      <c r="AC3870" s="1"/>
      <c r="AD3870" s="1"/>
      <c r="AE3870" s="1"/>
      <c r="AF3870" s="1"/>
      <c r="AG3870" s="1"/>
      <c r="AH3870" s="1"/>
      <c r="AI3870" s="1"/>
      <c r="AJ3870" s="1"/>
      <c r="AK3870" s="1"/>
      <c r="AL3870" s="1"/>
      <c r="AM3870" s="1"/>
      <c r="AN3870" s="1"/>
      <c r="AO3870" s="1"/>
      <c r="AP3870" s="1"/>
      <c r="AQ3870" s="1"/>
      <c r="AR3870" s="1"/>
      <c r="AS3870" s="1"/>
      <c r="AT3870" s="1"/>
      <c r="AU3870" s="1"/>
      <c r="AV3870" s="1"/>
      <c r="AW3870" s="1"/>
      <c r="AX3870" s="1"/>
      <c r="AY3870" s="1"/>
      <c r="AZ3870" s="1"/>
      <c r="BA3870" s="1"/>
      <c r="BB3870" s="1"/>
    </row>
    <row r="3871" ht="204.75" customHeight="1">
      <c r="A3871" s="1">
        <v>2368.0</v>
      </c>
      <c r="B3871" s="2" t="s">
        <v>11636</v>
      </c>
      <c r="C3871" s="2">
        <f>IFERROR(__xludf.DUMMYFUNCTION("split(B3871,""_"")"),1501.0)</f>
        <v>1501</v>
      </c>
      <c r="D3871" s="2" t="str">
        <f>IFERROR(__xludf.DUMMYFUNCTION("""COMPUTED_VALUE"""),"NTV")</f>
        <v>NTV</v>
      </c>
      <c r="E3871" s="2" t="str">
        <f>IFERROR(__xludf.DUMMYFUNCTION("""COMPUTED_VALUE"""),"木23")</f>
        <v>木23</v>
      </c>
      <c r="F3871" s="2" t="s">
        <v>11637</v>
      </c>
      <c r="G3871" s="2" t="s">
        <v>11648</v>
      </c>
      <c r="H3871" s="1">
        <v>6.0</v>
      </c>
      <c r="J3871" s="1" t="s">
        <v>1435</v>
      </c>
      <c r="K3871" s="2" t="s">
        <v>11649</v>
      </c>
      <c r="L3871" s="2"/>
      <c r="M3871" s="2" t="str">
        <f>IFERROR(__xludf.DUMMYFUNCTION("split(split(K3871,""【演出"",false),""ほか"",false)"),"渡辺直美、山本裕典、高月彩良、綾田俊樹、星田英利、ちすん、天翔りいら、ロバータ  有森也実、寺島進  【ゲスト】村上ショージ、中村久美、山口美也子(他)【第6話】  熟年婚活ツアーに参加してはツアーをぶち壊す、“ツアークラッシャー”の迫田健三(村上ショージ)。その対応を任された高瀬京香(渡辺直美)と佐竹一郎(山本裕典)は、迫田に隠された意外な事実を知ることになる……")</f>
        <v>渡辺直美、山本裕典、高月彩良、綾田俊樹、星田英利、ちすん、天翔りいら、ロバータ  有森也実、寺島進  【ゲスト】村上ショージ、中村久美、山口美也子(他)【第6話】  熟年婚活ツアーに参加してはツアーをぶち壊す、“ツアークラッシャー”の迫田健三(村上ショージ)。その対応を任された高瀬京香(渡辺直美)と佐竹一郎(山本裕典)は、迫田に隠された意外な事実を知ることになる……</v>
      </c>
      <c r="N3871" s="2"/>
      <c r="O3871" s="2"/>
      <c r="P3871" s="1"/>
      <c r="Q3871" s="1"/>
      <c r="R3871" s="1"/>
      <c r="S3871" s="1"/>
      <c r="T3871" s="1"/>
      <c r="U3871" s="1"/>
      <c r="V3871" s="1"/>
      <c r="W3871" s="1"/>
      <c r="X3871" s="1"/>
      <c r="Y3871" s="1"/>
      <c r="Z3871" s="1"/>
      <c r="AA3871" s="1"/>
      <c r="AB3871" s="1"/>
      <c r="AC3871" s="1"/>
      <c r="AD3871" s="1"/>
      <c r="AE3871" s="1"/>
      <c r="AF3871" s="1"/>
      <c r="AG3871" s="1"/>
      <c r="AH3871" s="1"/>
      <c r="AI3871" s="1"/>
      <c r="AJ3871" s="1"/>
      <c r="AK3871" s="1"/>
      <c r="AL3871" s="1"/>
      <c r="AM3871" s="1"/>
      <c r="AN3871" s="1"/>
      <c r="AO3871" s="1"/>
      <c r="AP3871" s="1"/>
      <c r="AQ3871" s="1"/>
      <c r="AR3871" s="1"/>
      <c r="AS3871" s="1"/>
      <c r="AT3871" s="1"/>
      <c r="AU3871" s="1"/>
      <c r="AV3871" s="1"/>
      <c r="AW3871" s="1"/>
      <c r="AX3871" s="1"/>
      <c r="AY3871" s="1"/>
      <c r="AZ3871" s="1"/>
      <c r="BA3871" s="1"/>
      <c r="BB3871" s="1"/>
    </row>
    <row r="3872" ht="204.75" customHeight="1">
      <c r="A3872" s="1">
        <v>2369.0</v>
      </c>
      <c r="B3872" s="2" t="s">
        <v>11636</v>
      </c>
      <c r="C3872" s="2">
        <f>IFERROR(__xludf.DUMMYFUNCTION("split(B3872,""_"")"),1501.0)</f>
        <v>1501</v>
      </c>
      <c r="D3872" s="2" t="str">
        <f>IFERROR(__xludf.DUMMYFUNCTION("""COMPUTED_VALUE"""),"NTV")</f>
        <v>NTV</v>
      </c>
      <c r="E3872" s="2" t="str">
        <f>IFERROR(__xludf.DUMMYFUNCTION("""COMPUTED_VALUE"""),"木23")</f>
        <v>木23</v>
      </c>
      <c r="F3872" s="2" t="s">
        <v>11637</v>
      </c>
      <c r="G3872" s="2" t="s">
        <v>11650</v>
      </c>
      <c r="H3872" s="1">
        <v>7.0</v>
      </c>
      <c r="J3872" s="1" t="s">
        <v>1435</v>
      </c>
      <c r="K3872" s="2" t="s">
        <v>11651</v>
      </c>
      <c r="L3872" s="2"/>
      <c r="M3872" s="2" t="str">
        <f>IFERROR(__xludf.DUMMYFUNCTION("split(split(K3872,""【演出"",false),""ほか"",false)"),"渡辺直美、山本裕典、高月彩良、綾田俊樹、星田英利、ちすん、天翔りいら、ロバータ  有森也実、寺島進  【ゲスト】大友康平、竹富聖花(他)【第7話】  佐竹一郎(山本裕典)は、ツアーの企画を初めて任され、目の見えない阿久津和也(大友康平)とその娘、葉月(竹富聖花)の父娘旅行を担当することになった。張り切る佐竹だが、カメラマンである阿久津の機嫌を損ねてしまい、親子仲も険悪になってしまう……。")</f>
        <v>渡辺直美、山本裕典、高月彩良、綾田俊樹、星田英利、ちすん、天翔りいら、ロバータ  有森也実、寺島進  【ゲスト】大友康平、竹富聖花(他)【第7話】  佐竹一郎(山本裕典)は、ツアーの企画を初めて任され、目の見えない阿久津和也(大友康平)とその娘、葉月(竹富聖花)の父娘旅行を担当することになった。張り切る佐竹だが、カメラマンである阿久津の機嫌を損ねてしまい、親子仲も険悪になってしまう……。</v>
      </c>
      <c r="N3872" s="2"/>
      <c r="O3872" s="2"/>
      <c r="P3872" s="1"/>
      <c r="Q3872" s="1"/>
      <c r="R3872" s="1"/>
      <c r="S3872" s="1"/>
      <c r="T3872" s="1"/>
      <c r="U3872" s="1"/>
      <c r="V3872" s="1"/>
      <c r="W3872" s="1"/>
      <c r="X3872" s="1"/>
      <c r="Y3872" s="1"/>
      <c r="Z3872" s="1"/>
      <c r="AA3872" s="1"/>
      <c r="AB3872" s="1"/>
      <c r="AC3872" s="1"/>
      <c r="AD3872" s="1"/>
      <c r="AE3872" s="1"/>
      <c r="AF3872" s="1"/>
      <c r="AG3872" s="1"/>
      <c r="AH3872" s="1"/>
      <c r="AI3872" s="1"/>
      <c r="AJ3872" s="1"/>
      <c r="AK3872" s="1"/>
      <c r="AL3872" s="1"/>
      <c r="AM3872" s="1"/>
      <c r="AN3872" s="1"/>
      <c r="AO3872" s="1"/>
      <c r="AP3872" s="1"/>
      <c r="AQ3872" s="1"/>
      <c r="AR3872" s="1"/>
      <c r="AS3872" s="1"/>
      <c r="AT3872" s="1"/>
      <c r="AU3872" s="1"/>
      <c r="AV3872" s="1"/>
      <c r="AW3872" s="1"/>
      <c r="AX3872" s="1"/>
      <c r="AY3872" s="1"/>
      <c r="AZ3872" s="1"/>
      <c r="BA3872" s="1"/>
      <c r="BB3872" s="1"/>
    </row>
    <row r="3873" ht="204.75" customHeight="1">
      <c r="A3873" s="1">
        <v>2370.0</v>
      </c>
      <c r="B3873" s="2" t="s">
        <v>11636</v>
      </c>
      <c r="C3873" s="2">
        <f>IFERROR(__xludf.DUMMYFUNCTION("split(B3873,""_"")"),1501.0)</f>
        <v>1501</v>
      </c>
      <c r="D3873" s="2" t="str">
        <f>IFERROR(__xludf.DUMMYFUNCTION("""COMPUTED_VALUE"""),"NTV")</f>
        <v>NTV</v>
      </c>
      <c r="E3873" s="2" t="str">
        <f>IFERROR(__xludf.DUMMYFUNCTION("""COMPUTED_VALUE"""),"木23")</f>
        <v>木23</v>
      </c>
      <c r="F3873" s="2" t="s">
        <v>11637</v>
      </c>
      <c r="G3873" s="2" t="s">
        <v>11652</v>
      </c>
      <c r="H3873" s="1">
        <v>8.0</v>
      </c>
      <c r="J3873" s="1" t="s">
        <v>1435</v>
      </c>
      <c r="K3873" s="2" t="s">
        <v>11653</v>
      </c>
      <c r="L3873" s="2"/>
      <c r="M3873" s="2" t="str">
        <f>IFERROR(__xludf.DUMMYFUNCTION("split(split(K3873,""【演出"",false),""ほか"",false)"),"渡辺直美、山本裕典、高月彩良、綾田俊樹、星田英利、ちすん、天翔りいら、ロバータ  有森也実、寺島進  【ゲスト】ダンカン、榊原徹士、小林竜樹、福田転球、藤田宗久、チャド・マレーン(他)【第8話】  ある町工場の社員旅行を任されることになった佐竹一郎(山本裕典)。だが、その社長の小林恒雄(ダンカン)は、ツアー料金を不当に値切り、佐竹は“超激安”旅行を決行する羽目になり……。")</f>
        <v>渡辺直美、山本裕典、高月彩良、綾田俊樹、星田英利、ちすん、天翔りいら、ロバータ  有森也実、寺島進  【ゲスト】ダンカン、榊原徹士、小林竜樹、福田転球、藤田宗久、チャド・マレーン(他)【第8話】  ある町工場の社員旅行を任されることになった佐竹一郎(山本裕典)。だが、その社長の小林恒雄(ダンカン)は、ツアー料金を不当に値切り、佐竹は“超激安”旅行を決行する羽目になり……。</v>
      </c>
      <c r="N3873" s="2"/>
      <c r="O3873" s="2"/>
      <c r="P3873" s="1"/>
      <c r="Q3873" s="1"/>
      <c r="R3873" s="1"/>
      <c r="S3873" s="1"/>
      <c r="T3873" s="1"/>
      <c r="U3873" s="1"/>
      <c r="V3873" s="1"/>
      <c r="W3873" s="1"/>
      <c r="X3873" s="1"/>
      <c r="Y3873" s="1"/>
      <c r="Z3873" s="1"/>
      <c r="AA3873" s="1"/>
      <c r="AB3873" s="1"/>
      <c r="AC3873" s="1"/>
      <c r="AD3873" s="1"/>
      <c r="AE3873" s="1"/>
      <c r="AF3873" s="1"/>
      <c r="AG3873" s="1"/>
      <c r="AH3873" s="1"/>
      <c r="AI3873" s="1"/>
      <c r="AJ3873" s="1"/>
      <c r="AK3873" s="1"/>
      <c r="AL3873" s="1"/>
      <c r="AM3873" s="1"/>
      <c r="AN3873" s="1"/>
      <c r="AO3873" s="1"/>
      <c r="AP3873" s="1"/>
      <c r="AQ3873" s="1"/>
      <c r="AR3873" s="1"/>
      <c r="AS3873" s="1"/>
      <c r="AT3873" s="1"/>
      <c r="AU3873" s="1"/>
      <c r="AV3873" s="1"/>
      <c r="AW3873" s="1"/>
      <c r="AX3873" s="1"/>
      <c r="AY3873" s="1"/>
      <c r="AZ3873" s="1"/>
      <c r="BA3873" s="1"/>
      <c r="BB3873" s="1"/>
    </row>
    <row r="3874" ht="204.75" customHeight="1">
      <c r="A3874" s="1">
        <v>2371.0</v>
      </c>
      <c r="B3874" s="2" t="s">
        <v>11636</v>
      </c>
      <c r="C3874" s="2">
        <f>IFERROR(__xludf.DUMMYFUNCTION("split(B3874,""_"")"),1501.0)</f>
        <v>1501</v>
      </c>
      <c r="D3874" s="2" t="str">
        <f>IFERROR(__xludf.DUMMYFUNCTION("""COMPUTED_VALUE"""),"NTV")</f>
        <v>NTV</v>
      </c>
      <c r="E3874" s="2" t="str">
        <f>IFERROR(__xludf.DUMMYFUNCTION("""COMPUTED_VALUE"""),"木23")</f>
        <v>木23</v>
      </c>
      <c r="F3874" s="2" t="s">
        <v>11637</v>
      </c>
      <c r="G3874" s="2" t="s">
        <v>11654</v>
      </c>
      <c r="H3874" s="1">
        <v>9.0</v>
      </c>
      <c r="J3874" s="1" t="s">
        <v>1435</v>
      </c>
      <c r="K3874" s="2" t="s">
        <v>11655</v>
      </c>
      <c r="L3874" s="2"/>
      <c r="M3874" s="2" t="str">
        <f>IFERROR(__xludf.DUMMYFUNCTION("split(split(K3874,""【演出"",false),""ほか"",false)"),"渡辺直美、山本裕典、高月彩良、綾田俊樹、星田英利、ちすん、天翔りいら、ロバータ、有森也実、寺島進  【ゲスト】佐藤藍子、鈴之助、かとうかず子(他)【第9話】  佐竹一郎(山本裕典)は、大口顧客で大クレーマーの美人女社長、芹沢江利奈(佐藤藍子)のツアーを担当することになった。江利奈は「おばんざい食べ歩きツアー」で、様々な料亭をまわるが、どの料亭でも“かぶら蒸し”だけを口にし、すぐに立ち去ってしまう。その不可解な行動にはある深い事情があってーー")</f>
        <v>渡辺直美、山本裕典、高月彩良、綾田俊樹、星田英利、ちすん、天翔りいら、ロバータ、有森也実、寺島進  【ゲスト】佐藤藍子、鈴之助、かとうかず子(他)【第9話】  佐竹一郎(山本裕典)は、大口顧客で大クレーマーの美人女社長、芹沢江利奈(佐藤藍子)のツアーを担当することになった。江利奈は「おばんざい食べ歩きツアー」で、様々な料亭をまわるが、どの料亭でも“かぶら蒸し”だけを口にし、すぐに立ち去ってしまう。その不可解な行動にはある深い事情があってーー</v>
      </c>
      <c r="N3874" s="2"/>
      <c r="O3874" s="2"/>
      <c r="P3874" s="1"/>
      <c r="Q3874" s="1"/>
      <c r="R3874" s="1"/>
      <c r="S3874" s="1"/>
      <c r="T3874" s="1"/>
      <c r="U3874" s="1"/>
      <c r="V3874" s="1"/>
      <c r="W3874" s="1"/>
      <c r="X3874" s="1"/>
      <c r="Y3874" s="1"/>
      <c r="Z3874" s="1"/>
      <c r="AA3874" s="1"/>
      <c r="AB3874" s="1"/>
      <c r="AC3874" s="1"/>
      <c r="AD3874" s="1"/>
      <c r="AE3874" s="1"/>
      <c r="AF3874" s="1"/>
      <c r="AG3874" s="1"/>
      <c r="AH3874" s="1"/>
      <c r="AI3874" s="1"/>
      <c r="AJ3874" s="1"/>
      <c r="AK3874" s="1"/>
      <c r="AL3874" s="1"/>
      <c r="AM3874" s="1"/>
      <c r="AN3874" s="1"/>
      <c r="AO3874" s="1"/>
      <c r="AP3874" s="1"/>
      <c r="AQ3874" s="1"/>
      <c r="AR3874" s="1"/>
      <c r="AS3874" s="1"/>
      <c r="AT3874" s="1"/>
      <c r="AU3874" s="1"/>
      <c r="AV3874" s="1"/>
      <c r="AW3874" s="1"/>
      <c r="AX3874" s="1"/>
      <c r="AY3874" s="1"/>
      <c r="AZ3874" s="1"/>
      <c r="BA3874" s="1"/>
      <c r="BB3874" s="1"/>
    </row>
    <row r="3875" ht="204.75" customHeight="1">
      <c r="A3875" s="1">
        <v>2372.0</v>
      </c>
      <c r="B3875" s="2" t="s">
        <v>11636</v>
      </c>
      <c r="C3875" s="2">
        <f>IFERROR(__xludf.DUMMYFUNCTION("split(B3875,""_"")"),1501.0)</f>
        <v>1501</v>
      </c>
      <c r="D3875" s="2" t="str">
        <f>IFERROR(__xludf.DUMMYFUNCTION("""COMPUTED_VALUE"""),"NTV")</f>
        <v>NTV</v>
      </c>
      <c r="E3875" s="2" t="str">
        <f>IFERROR(__xludf.DUMMYFUNCTION("""COMPUTED_VALUE"""),"木23")</f>
        <v>木23</v>
      </c>
      <c r="F3875" s="2" t="s">
        <v>11637</v>
      </c>
      <c r="G3875" s="2" t="s">
        <v>11656</v>
      </c>
      <c r="H3875" s="1">
        <v>10.0</v>
      </c>
      <c r="J3875" s="1" t="s">
        <v>1435</v>
      </c>
      <c r="K3875" s="2" t="s">
        <v>11657</v>
      </c>
      <c r="L3875" s="2"/>
      <c r="M3875" s="2" t="str">
        <f>IFERROR(__xludf.DUMMYFUNCTION("split(split(K3875,""【演出"",false),""ほか"",false)"),"渡辺直美、山本裕典、高月彩良、綾田俊樹、星田英利、ちすん、天翔りいら、ロバータ、有森也実、寺島進  【ゲスト】杉田かおる、永田彬、黒川芽以(他)【第10話】  佐竹一郎(山本裕典)は、大学時代の先輩、新谷誠人(永田彬)が結婚を前提に付き合っている牧村留美(黒川芽以)との旅行の担当をしていた。だが、そこに新谷の母、旅館の女将である敦子(杉田かおる)が乗り込んできてーー")</f>
        <v>渡辺直美、山本裕典、高月彩良、綾田俊樹、星田英利、ちすん、天翔りいら、ロバータ、有森也実、寺島進  【ゲスト】杉田かおる、永田彬、黒川芽以(他)【第10話】  佐竹一郎(山本裕典)は、大学時代の先輩、新谷誠人(永田彬)が結婚を前提に付き合っている牧村留美(黒川芽以)との旅行の担当をしていた。だが、そこに新谷の母、旅館の女将である敦子(杉田かおる)が乗り込んできてーー</v>
      </c>
      <c r="N3875" s="2"/>
      <c r="O3875" s="2"/>
      <c r="P3875" s="1"/>
      <c r="Q3875" s="1"/>
      <c r="R3875" s="1"/>
      <c r="S3875" s="1"/>
      <c r="T3875" s="1"/>
      <c r="U3875" s="1"/>
      <c r="V3875" s="1"/>
      <c r="W3875" s="1"/>
      <c r="X3875" s="1"/>
      <c r="Y3875" s="1"/>
      <c r="Z3875" s="1"/>
      <c r="AA3875" s="1"/>
      <c r="AB3875" s="1"/>
      <c r="AC3875" s="1"/>
      <c r="AD3875" s="1"/>
      <c r="AE3875" s="1"/>
      <c r="AF3875" s="1"/>
      <c r="AG3875" s="1"/>
      <c r="AH3875" s="1"/>
      <c r="AI3875" s="1"/>
      <c r="AJ3875" s="1"/>
      <c r="AK3875" s="1"/>
      <c r="AL3875" s="1"/>
      <c r="AM3875" s="1"/>
      <c r="AN3875" s="1"/>
      <c r="AO3875" s="1"/>
      <c r="AP3875" s="1"/>
      <c r="AQ3875" s="1"/>
      <c r="AR3875" s="1"/>
      <c r="AS3875" s="1"/>
      <c r="AT3875" s="1"/>
      <c r="AU3875" s="1"/>
      <c r="AV3875" s="1"/>
      <c r="AW3875" s="1"/>
      <c r="AX3875" s="1"/>
      <c r="AY3875" s="1"/>
      <c r="AZ3875" s="1"/>
      <c r="BA3875" s="1"/>
      <c r="BB3875" s="1"/>
    </row>
    <row r="3876" ht="204.75" customHeight="1">
      <c r="A3876" s="1">
        <v>2373.0</v>
      </c>
      <c r="B3876" s="2" t="s">
        <v>11636</v>
      </c>
      <c r="C3876" s="2">
        <f>IFERROR(__xludf.DUMMYFUNCTION("split(B3876,""_"")"),1501.0)</f>
        <v>1501</v>
      </c>
      <c r="D3876" s="2" t="str">
        <f>IFERROR(__xludf.DUMMYFUNCTION("""COMPUTED_VALUE"""),"NTV")</f>
        <v>NTV</v>
      </c>
      <c r="E3876" s="2" t="str">
        <f>IFERROR(__xludf.DUMMYFUNCTION("""COMPUTED_VALUE"""),"木23")</f>
        <v>木23</v>
      </c>
      <c r="F3876" s="2" t="s">
        <v>11637</v>
      </c>
      <c r="G3876" s="2" t="s">
        <v>11658</v>
      </c>
      <c r="H3876" s="1">
        <v>11.0</v>
      </c>
      <c r="J3876" s="1" t="s">
        <v>1435</v>
      </c>
      <c r="K3876" s="2" t="s">
        <v>11659</v>
      </c>
      <c r="L3876" s="2"/>
      <c r="M3876" s="2" t="str">
        <f>IFERROR(__xludf.DUMMYFUNCTION("split(split(K3876,""【演出"",false),""ほか"",false)"),"渡辺直美、山本裕典、高月彩良、綾田俊樹、星田英利、ちすん、天翔りいら、ロバータ  有森也実、寺島進  【ゲスト】東ちづる、岡まゆみ、山野海、渡邉紘平、花井瑠美、長原成樹、サラ・マクドナルド(他)【第11話】  佐竹一郎(山本裕典)らのいる「サンセットツアーズ」京都観光課に、常務の真田涼子(東ちづる)が東京本社からリストラ対象を探すべくやってきた。そんな中、佐竹は、ある観光ツアーに潜伏している覆面ブロガーを探す、というミッションを受け、高瀬京香(渡辺直美)に相談するが……")</f>
        <v>渡辺直美、山本裕典、高月彩良、綾田俊樹、星田英利、ちすん、天翔りいら、ロバータ  有森也実、寺島進  【ゲスト】東ちづる、岡まゆみ、山野海、渡邉紘平、花井瑠美、長原成樹、サラ・マクドナルド(他)【第11話】  佐竹一郎(山本裕典)らのいる「サンセットツアーズ」京都観光課に、常務の真田涼子(東ちづる)が東京本社からリストラ対象を探すべくやってきた。そんな中、佐竹は、ある観光ツアーに潜伏している覆面ブロガーを探す、というミッションを受け、高瀬京香(渡辺直美)に相談するが……</v>
      </c>
      <c r="N3876" s="2"/>
      <c r="O3876" s="2"/>
      <c r="P3876" s="1"/>
      <c r="Q3876" s="1"/>
      <c r="R3876" s="1"/>
      <c r="S3876" s="1"/>
      <c r="T3876" s="1"/>
      <c r="U3876" s="1"/>
      <c r="V3876" s="1"/>
      <c r="W3876" s="1"/>
      <c r="X3876" s="1"/>
      <c r="Y3876" s="1"/>
      <c r="Z3876" s="1"/>
      <c r="AA3876" s="1"/>
      <c r="AB3876" s="1"/>
      <c r="AC3876" s="1"/>
      <c r="AD3876" s="1"/>
      <c r="AE3876" s="1"/>
      <c r="AF3876" s="1"/>
      <c r="AG3876" s="1"/>
      <c r="AH3876" s="1"/>
      <c r="AI3876" s="1"/>
      <c r="AJ3876" s="1"/>
      <c r="AK3876" s="1"/>
      <c r="AL3876" s="1"/>
      <c r="AM3876" s="1"/>
      <c r="AN3876" s="1"/>
      <c r="AO3876" s="1"/>
      <c r="AP3876" s="1"/>
      <c r="AQ3876" s="1"/>
      <c r="AR3876" s="1"/>
      <c r="AS3876" s="1"/>
      <c r="AT3876" s="1"/>
      <c r="AU3876" s="1"/>
      <c r="AV3876" s="1"/>
      <c r="AW3876" s="1"/>
      <c r="AX3876" s="1"/>
      <c r="AY3876" s="1"/>
      <c r="AZ3876" s="1"/>
      <c r="BA3876" s="1"/>
      <c r="BB3876" s="1"/>
    </row>
    <row r="3877" ht="204.75" customHeight="1">
      <c r="A3877" s="1">
        <v>2374.0</v>
      </c>
      <c r="B3877" s="2" t="s">
        <v>11636</v>
      </c>
      <c r="C3877" s="2">
        <f>IFERROR(__xludf.DUMMYFUNCTION("split(B3877,""_"")"),1501.0)</f>
        <v>1501</v>
      </c>
      <c r="D3877" s="2" t="str">
        <f>IFERROR(__xludf.DUMMYFUNCTION("""COMPUTED_VALUE"""),"NTV")</f>
        <v>NTV</v>
      </c>
      <c r="E3877" s="2" t="str">
        <f>IFERROR(__xludf.DUMMYFUNCTION("""COMPUTED_VALUE"""),"木23")</f>
        <v>木23</v>
      </c>
      <c r="F3877" s="2" t="s">
        <v>11637</v>
      </c>
      <c r="G3877" s="2" t="s">
        <v>11660</v>
      </c>
      <c r="H3877" s="1">
        <v>12.0</v>
      </c>
      <c r="J3877" s="1" t="s">
        <v>1435</v>
      </c>
      <c r="K3877" s="2" t="s">
        <v>11661</v>
      </c>
      <c r="L3877" s="2"/>
      <c r="M3877" s="2" t="str">
        <f>IFERROR(__xludf.DUMMYFUNCTION("split(split(K3877,""【演出"",false),""ほか"",false)"),"渡辺直美、山本裕典、高月彩良、綾田俊樹、星田英利、ちすん、天翔りいら、ロバータ、有森也実、寺島進  【ゲスト】篠田麻里子、佐藤祐基、東ちづる(他)【最終話】  常務の真田涼子(東ちづる)のひと声で、高瀬京香(渡辺直美)のいる中央管理センターが潰されることになった!その京香に、「サンセットツアーズ」の社長令嬢、日暮美園(篠田麻里子)からツアー添乗の指名が入る。その美園の婚約者、長友孝俊(佐藤祐基)は京香の元カレでーー")</f>
        <v>渡辺直美、山本裕典、高月彩良、綾田俊樹、星田英利、ちすん、天翔りいら、ロバータ、有森也実、寺島進  【ゲスト】篠田麻里子、佐藤祐基、東ちづる(他)【最終話】  常務の真田涼子(東ちづる)のひと声で、高瀬京香(渡辺直美)のいる中央管理センターが潰されることになった!その京香に、「サンセットツアーズ」の社長令嬢、日暮美園(篠田麻里子)からツアー添乗の指名が入る。その美園の婚約者、長友孝俊(佐藤祐基)は京香の元カレでーー</v>
      </c>
      <c r="N3877" s="2"/>
      <c r="O3877" s="2"/>
      <c r="P3877" s="1"/>
      <c r="Q3877" s="1"/>
      <c r="R3877" s="1"/>
      <c r="S3877" s="1"/>
      <c r="T3877" s="1"/>
      <c r="U3877" s="1"/>
      <c r="V3877" s="1"/>
      <c r="W3877" s="1"/>
      <c r="X3877" s="1"/>
      <c r="Y3877" s="1"/>
      <c r="Z3877" s="1"/>
      <c r="AA3877" s="1"/>
      <c r="AB3877" s="1"/>
      <c r="AC3877" s="1"/>
      <c r="AD3877" s="1"/>
      <c r="AE3877" s="1"/>
      <c r="AF3877" s="1"/>
      <c r="AG3877" s="1"/>
      <c r="AH3877" s="1"/>
      <c r="AI3877" s="1"/>
      <c r="AJ3877" s="1"/>
      <c r="AK3877" s="1"/>
      <c r="AL3877" s="1"/>
      <c r="AM3877" s="1"/>
      <c r="AN3877" s="1"/>
      <c r="AO3877" s="1"/>
      <c r="AP3877" s="1"/>
      <c r="AQ3877" s="1"/>
      <c r="AR3877" s="1"/>
      <c r="AS3877" s="1"/>
      <c r="AT3877" s="1"/>
      <c r="AU3877" s="1"/>
      <c r="AV3877" s="1"/>
      <c r="AW3877" s="1"/>
      <c r="AX3877" s="1"/>
      <c r="AY3877" s="1"/>
      <c r="AZ3877" s="1"/>
      <c r="BA3877" s="1"/>
      <c r="BB3877" s="1"/>
    </row>
    <row r="3878" ht="204.75" customHeight="1">
      <c r="A3878" s="1">
        <v>2392.0</v>
      </c>
      <c r="B3878" s="2" t="s">
        <v>11662</v>
      </c>
      <c r="C3878" s="2">
        <f>IFERROR(__xludf.DUMMYFUNCTION("split(B3878,""_"")"),1501.0)</f>
        <v>1501</v>
      </c>
      <c r="D3878" s="2" t="str">
        <f>IFERROR(__xludf.DUMMYFUNCTION("""COMPUTED_VALUE"""),"NTV")</f>
        <v>NTV</v>
      </c>
      <c r="E3878" s="2" t="str">
        <f>IFERROR(__xludf.DUMMYFUNCTION("""COMPUTED_VALUE"""),"土21")</f>
        <v>土21</v>
      </c>
      <c r="F3878" s="2" t="s">
        <v>11663</v>
      </c>
      <c r="G3878" s="2" t="s">
        <v>11664</v>
      </c>
      <c r="H3878" s="1">
        <v>1.0</v>
      </c>
      <c r="I3878" s="1" t="s">
        <v>2868</v>
      </c>
      <c r="J3878" s="1" t="s">
        <v>4</v>
      </c>
      <c r="K3878" s="2" t="s">
        <v>11665</v>
      </c>
      <c r="L3878" s="2"/>
      <c r="M3878" s="2" t="str">
        <f>IFERROR(__xludf.DUMMYFUNCTION("split(split(K3878,""【演出"",false),""ほか"",false)"),"広瀬すず、神木隆之介、石橋杏奈、杉咲花、須賀健太、間宮祥太朗、白洲迅、清水くるみ、吉倉あおい、飯豊まりえ、金子ノブアキ、野波麻帆、金山一彦、泉谷しげる、生瀬勝久、浅野温子　他「そのコトバで世界を変えろ!」ド底辺女子高生×天才スピーチライター!誰も見たことがない学園ドラマ、開幕!  名門・明蘭学園高校に特別採用枠で編入したツバメ(広瀬すず)。特別採用枠の生徒は“特サ枠”と呼ばれ、他の生徒達からバカにされる毎日…。  ある日突然、ツバメは生徒会長に選ばれる。生徒会長とは名ばかりで、誰もツバメの話を聞いてくれな"&amp;"い…。途方に暮れるツバメの前に、謎の男(神木隆之介)が現れて…。")</f>
        <v>広瀬すず、神木隆之介、石橋杏奈、杉咲花、須賀健太、間宮祥太朗、白洲迅、清水くるみ、吉倉あおい、飯豊まりえ、金子ノブアキ、野波麻帆、金山一彦、泉谷しげる、生瀬勝久、浅野温子　他「そのコトバで世界を変えろ!」ド底辺女子高生×天才スピーチライター!誰も見たことがない学園ドラマ、開幕!  名門・明蘭学園高校に特別採用枠で編入したツバメ(広瀬すず)。特別採用枠の生徒は“特サ枠”と呼ばれ、他の生徒達からバカにされる毎日…。  ある日突然、ツバメは生徒会長に選ばれる。生徒会長とは名ばかりで、誰もツバメの話を聞いてくれない…。途方に暮れるツバメの前に、謎の男(神木隆之介)が現れて…。</v>
      </c>
      <c r="N3878" s="2"/>
      <c r="O3878" s="2"/>
      <c r="P3878" s="1"/>
      <c r="Q3878" s="1"/>
      <c r="R3878" s="1"/>
      <c r="S3878" s="1"/>
      <c r="T3878" s="1"/>
      <c r="U3878" s="1"/>
      <c r="V3878" s="1"/>
      <c r="W3878" s="1"/>
      <c r="X3878" s="1"/>
      <c r="Y3878" s="1"/>
      <c r="Z3878" s="1"/>
      <c r="AA3878" s="1"/>
      <c r="AB3878" s="1"/>
      <c r="AC3878" s="1"/>
      <c r="AD3878" s="1"/>
      <c r="AE3878" s="1"/>
      <c r="AF3878" s="1"/>
      <c r="AG3878" s="1"/>
      <c r="AH3878" s="1"/>
      <c r="AI3878" s="1"/>
      <c r="AJ3878" s="1"/>
      <c r="AK3878" s="1"/>
      <c r="AL3878" s="1"/>
      <c r="AM3878" s="1"/>
      <c r="AN3878" s="1"/>
      <c r="AO3878" s="1"/>
      <c r="AP3878" s="1"/>
      <c r="AQ3878" s="1"/>
      <c r="AR3878" s="1"/>
      <c r="AS3878" s="1"/>
      <c r="AT3878" s="1"/>
      <c r="AU3878" s="1"/>
      <c r="AV3878" s="1"/>
      <c r="AW3878" s="1"/>
      <c r="AX3878" s="1"/>
      <c r="AY3878" s="1"/>
      <c r="AZ3878" s="1"/>
      <c r="BA3878" s="1"/>
      <c r="BB3878" s="1"/>
    </row>
    <row r="3879" ht="204.75" customHeight="1">
      <c r="A3879" s="1">
        <v>2393.0</v>
      </c>
      <c r="B3879" s="2" t="s">
        <v>11662</v>
      </c>
      <c r="C3879" s="2">
        <f>IFERROR(__xludf.DUMMYFUNCTION("split(B3879,""_"")"),1501.0)</f>
        <v>1501</v>
      </c>
      <c r="D3879" s="2" t="str">
        <f>IFERROR(__xludf.DUMMYFUNCTION("""COMPUTED_VALUE"""),"NTV")</f>
        <v>NTV</v>
      </c>
      <c r="E3879" s="2" t="str">
        <f>IFERROR(__xludf.DUMMYFUNCTION("""COMPUTED_VALUE"""),"土21")</f>
        <v>土21</v>
      </c>
      <c r="F3879" s="2" t="s">
        <v>11663</v>
      </c>
      <c r="G3879" s="2" t="s">
        <v>11666</v>
      </c>
      <c r="H3879" s="1">
        <v>2.0</v>
      </c>
      <c r="I3879" s="1" t="s">
        <v>2872</v>
      </c>
      <c r="J3879" s="1" t="s">
        <v>11</v>
      </c>
      <c r="K3879" s="2" t="s">
        <v>11667</v>
      </c>
      <c r="L3879" s="2"/>
      <c r="M3879" s="2" t="str">
        <f>IFERROR(__xludf.DUMMYFUNCTION("split(split(K3879,""【演出"",false),""ほか"",false)"),"広瀬すず、神木隆之介、石橋杏奈、杉咲花、須賀健太、間宮祥太朗、白洲迅、清水くるみ、吉倉あおい、飯豊まりえ、金子ノブアキ、野波麻帆、金山一彦、泉谷しげる、生瀬勝久、浅野温子　他「この学校を変えたい!」全校生徒に向かって宣戦布告をしたツバメ(広瀬すず)。しかし、何をしたらよいかも分からず、ウジウジする中で彗(神木隆之介)からの次なる指令は、「自分たちの村を作れ」。ツバメはその指示に従い、生徒会の役員たちを味方にしようとするが、生徒会予算の紛失事件に巻き込まれ、「会長不信任」を突きつけられる。「村を作る」どころ"&amp;"か、孤立無援となったツバメに、彗が授ける次なる秘策は…!?")</f>
        <v>広瀬すず、神木隆之介、石橋杏奈、杉咲花、須賀健太、間宮祥太朗、白洲迅、清水くるみ、吉倉あおい、飯豊まりえ、金子ノブアキ、野波麻帆、金山一彦、泉谷しげる、生瀬勝久、浅野温子　他「この学校を変えたい!」全校生徒に向かって宣戦布告をしたツバメ(広瀬すず)。しかし、何をしたらよいかも分からず、ウジウジする中で彗(神木隆之介)からの次なる指令は、「自分たちの村を作れ」。ツバメはその指示に従い、生徒会の役員たちを味方にしようとするが、生徒会予算の紛失事件に巻き込まれ、「会長不信任」を突きつけられる。「村を作る」どころか、孤立無援となったツバメに、彗が授ける次なる秘策は…!?</v>
      </c>
      <c r="N3879" s="2"/>
      <c r="O3879" s="2"/>
      <c r="P3879" s="1"/>
      <c r="Q3879" s="1"/>
      <c r="R3879" s="1"/>
      <c r="S3879" s="1"/>
      <c r="T3879" s="1"/>
      <c r="U3879" s="1"/>
      <c r="V3879" s="1"/>
      <c r="W3879" s="1"/>
      <c r="X3879" s="1"/>
      <c r="Y3879" s="1"/>
      <c r="Z3879" s="1"/>
      <c r="AA3879" s="1"/>
      <c r="AB3879" s="1"/>
      <c r="AC3879" s="1"/>
      <c r="AD3879" s="1"/>
      <c r="AE3879" s="1"/>
      <c r="AF3879" s="1"/>
      <c r="AG3879" s="1"/>
      <c r="AH3879" s="1"/>
      <c r="AI3879" s="1"/>
      <c r="AJ3879" s="1"/>
      <c r="AK3879" s="1"/>
      <c r="AL3879" s="1"/>
      <c r="AM3879" s="1"/>
      <c r="AN3879" s="1"/>
      <c r="AO3879" s="1"/>
      <c r="AP3879" s="1"/>
      <c r="AQ3879" s="1"/>
      <c r="AR3879" s="1"/>
      <c r="AS3879" s="1"/>
      <c r="AT3879" s="1"/>
      <c r="AU3879" s="1"/>
      <c r="AV3879" s="1"/>
      <c r="AW3879" s="1"/>
      <c r="AX3879" s="1"/>
      <c r="AY3879" s="1"/>
      <c r="AZ3879" s="1"/>
      <c r="BA3879" s="1"/>
      <c r="BB3879" s="1"/>
    </row>
    <row r="3880" ht="204.75" customHeight="1">
      <c r="A3880" s="1">
        <v>2394.0</v>
      </c>
      <c r="B3880" s="2" t="s">
        <v>11662</v>
      </c>
      <c r="C3880" s="2">
        <f>IFERROR(__xludf.DUMMYFUNCTION("split(B3880,""_"")"),1501.0)</f>
        <v>1501</v>
      </c>
      <c r="D3880" s="2" t="str">
        <f>IFERROR(__xludf.DUMMYFUNCTION("""COMPUTED_VALUE"""),"NTV")</f>
        <v>NTV</v>
      </c>
      <c r="E3880" s="2" t="str">
        <f>IFERROR(__xludf.DUMMYFUNCTION("""COMPUTED_VALUE"""),"土21")</f>
        <v>土21</v>
      </c>
      <c r="F3880" s="2" t="s">
        <v>11663</v>
      </c>
      <c r="G3880" s="2" t="s">
        <v>11668</v>
      </c>
      <c r="H3880" s="1">
        <v>3.0</v>
      </c>
      <c r="I3880" s="1" t="s">
        <v>2876</v>
      </c>
      <c r="J3880" s="1" t="s">
        <v>11</v>
      </c>
      <c r="K3880" s="2" t="s">
        <v>11669</v>
      </c>
      <c r="L3880" s="2"/>
      <c r="M3880" s="2" t="str">
        <f>IFERROR(__xludf.DUMMYFUNCTION("split(split(K3880,""【演出"",false),""ほか"",false)"),"広瀬すず、神木隆之介、石橋杏奈、杉咲花、須賀健太、間宮祥太朗、白洲迅、清水くるみ、吉倉あおい、飯豊まりえ、金子ノブアキ、野波麻帆、金山一彦、泉谷しげる、生瀬勝久、浅野温子　他生徒会室が乗っ取られた!?  生徒会というか弱き仲間を得たツバメ(広瀬すず)が次に彗(神木隆之介)に命じられた課題は、「自分たちの砦を守る」というもの。  ツバメ達は、生徒たちの悩みを知るために目安箱を設置する。そんな中、各運動部の予算配分などで生徒会に怒涛のクレームが!バスケ部の夏樹(間宮祥太朗)らの悪だくみで部室が割り当てられない"&amp;"「日陰クラブ」の部室として、生徒会室が占拠されてしまい…。")</f>
        <v>広瀬すず、神木隆之介、石橋杏奈、杉咲花、須賀健太、間宮祥太朗、白洲迅、清水くるみ、吉倉あおい、飯豊まりえ、金子ノブアキ、野波麻帆、金山一彦、泉谷しげる、生瀬勝久、浅野温子　他生徒会室が乗っ取られた!?  生徒会というか弱き仲間を得たツバメ(広瀬すず)が次に彗(神木隆之介)に命じられた課題は、「自分たちの砦を守る」というもの。  ツバメ達は、生徒たちの悩みを知るために目安箱を設置する。そんな中、各運動部の予算配分などで生徒会に怒涛のクレームが!バスケ部の夏樹(間宮祥太朗)らの悪だくみで部室が割り当てられない「日陰クラブ」の部室として、生徒会室が占拠されてしまい…。</v>
      </c>
      <c r="N3880" s="2"/>
      <c r="O3880" s="2"/>
      <c r="P3880" s="1"/>
      <c r="Q3880" s="1"/>
      <c r="R3880" s="1"/>
      <c r="S3880" s="1"/>
      <c r="T3880" s="1"/>
      <c r="U3880" s="1"/>
      <c r="V3880" s="1"/>
      <c r="W3880" s="1"/>
      <c r="X3880" s="1"/>
      <c r="Y3880" s="1"/>
      <c r="Z3880" s="1"/>
      <c r="AA3880" s="1"/>
      <c r="AB3880" s="1"/>
      <c r="AC3880" s="1"/>
      <c r="AD3880" s="1"/>
      <c r="AE3880" s="1"/>
      <c r="AF3880" s="1"/>
      <c r="AG3880" s="1"/>
      <c r="AH3880" s="1"/>
      <c r="AI3880" s="1"/>
      <c r="AJ3880" s="1"/>
      <c r="AK3880" s="1"/>
      <c r="AL3880" s="1"/>
      <c r="AM3880" s="1"/>
      <c r="AN3880" s="1"/>
      <c r="AO3880" s="1"/>
      <c r="AP3880" s="1"/>
      <c r="AQ3880" s="1"/>
      <c r="AR3880" s="1"/>
      <c r="AS3880" s="1"/>
      <c r="AT3880" s="1"/>
      <c r="AU3880" s="1"/>
      <c r="AV3880" s="1"/>
      <c r="AW3880" s="1"/>
      <c r="AX3880" s="1"/>
      <c r="AY3880" s="1"/>
      <c r="AZ3880" s="1"/>
      <c r="BA3880" s="1"/>
      <c r="BB3880" s="1"/>
    </row>
    <row r="3881" ht="204.75" customHeight="1">
      <c r="A3881" s="1">
        <v>2395.0</v>
      </c>
      <c r="B3881" s="2" t="s">
        <v>11662</v>
      </c>
      <c r="C3881" s="2">
        <f>IFERROR(__xludf.DUMMYFUNCTION("split(B3881,""_"")"),1501.0)</f>
        <v>1501</v>
      </c>
      <c r="D3881" s="2" t="str">
        <f>IFERROR(__xludf.DUMMYFUNCTION("""COMPUTED_VALUE"""),"NTV")</f>
        <v>NTV</v>
      </c>
      <c r="E3881" s="2" t="str">
        <f>IFERROR(__xludf.DUMMYFUNCTION("""COMPUTED_VALUE"""),"土21")</f>
        <v>土21</v>
      </c>
      <c r="F3881" s="2" t="s">
        <v>11663</v>
      </c>
      <c r="G3881" s="2" t="s">
        <v>11670</v>
      </c>
      <c r="H3881" s="1">
        <v>4.0</v>
      </c>
      <c r="I3881" s="1" t="s">
        <v>2880</v>
      </c>
      <c r="J3881" s="1" t="s">
        <v>11</v>
      </c>
      <c r="K3881" s="2" t="s">
        <v>11671</v>
      </c>
      <c r="L3881" s="2"/>
      <c r="M3881" s="2" t="str">
        <f>IFERROR(__xludf.DUMMYFUNCTION("split(split(K3881,""【演出"",false),""ほか"",false)"),"広瀬すず、神木隆之介、石橋杏奈、杉咲花、須賀健太、間宮祥太朗、白洲迅、清水くるみ、吉倉あおい、飯豊まりえ、金子ノブアキ、野波麻帆、金山一彦、泉谷しげる、生瀬勝久、浅野温子　他さあ、「腐った教師を、切り捨てろ!」  ある日、ツバメ(広瀬すず)達が生徒会室を訪れると室内がめちゃくちゃに荒らされていた。犯人はプラチナ8に違いないのに、それを見て見ぬフリをする教師達…。彗(神木隆之介)はそんな大人を懲らしめる唯一の方法は、「スキャンダルだ!」と高らかに宣言。  次の日、生徒会の壁新聞に、エミリー(吉倉あおい)と担"&amp;"任の壺井(金子ノブアキ)の熱愛スクープが貼り出されていて…。")</f>
        <v>広瀬すず、神木隆之介、石橋杏奈、杉咲花、須賀健太、間宮祥太朗、白洲迅、清水くるみ、吉倉あおい、飯豊まりえ、金子ノブアキ、野波麻帆、金山一彦、泉谷しげる、生瀬勝久、浅野温子　他さあ、「腐った教師を、切り捨てろ!」  ある日、ツバメ(広瀬すず)達が生徒会室を訪れると室内がめちゃくちゃに荒らされていた。犯人はプラチナ8に違いないのに、それを見て見ぬフリをする教師達…。彗(神木隆之介)はそんな大人を懲らしめる唯一の方法は、「スキャンダルだ!」と高らかに宣言。  次の日、生徒会の壁新聞に、エミリー(吉倉あおい)と担任の壺井(金子ノブアキ)の熱愛スクープが貼り出されていて…。</v>
      </c>
      <c r="N3881" s="2"/>
      <c r="O3881" s="2"/>
      <c r="P3881" s="1"/>
      <c r="Q3881" s="1"/>
      <c r="R3881" s="1"/>
      <c r="S3881" s="1"/>
      <c r="T3881" s="1"/>
      <c r="U3881" s="1"/>
      <c r="V3881" s="1"/>
      <c r="W3881" s="1"/>
      <c r="X3881" s="1"/>
      <c r="Y3881" s="1"/>
      <c r="Z3881" s="1"/>
      <c r="AA3881" s="1"/>
      <c r="AB3881" s="1"/>
      <c r="AC3881" s="1"/>
      <c r="AD3881" s="1"/>
      <c r="AE3881" s="1"/>
      <c r="AF3881" s="1"/>
      <c r="AG3881" s="1"/>
      <c r="AH3881" s="1"/>
      <c r="AI3881" s="1"/>
      <c r="AJ3881" s="1"/>
      <c r="AK3881" s="1"/>
      <c r="AL3881" s="1"/>
      <c r="AM3881" s="1"/>
      <c r="AN3881" s="1"/>
      <c r="AO3881" s="1"/>
      <c r="AP3881" s="1"/>
      <c r="AQ3881" s="1"/>
      <c r="AR3881" s="1"/>
      <c r="AS3881" s="1"/>
      <c r="AT3881" s="1"/>
      <c r="AU3881" s="1"/>
      <c r="AV3881" s="1"/>
      <c r="AW3881" s="1"/>
      <c r="AX3881" s="1"/>
      <c r="AY3881" s="1"/>
      <c r="AZ3881" s="1"/>
      <c r="BA3881" s="1"/>
      <c r="BB3881" s="1"/>
    </row>
    <row r="3882" ht="204.75" customHeight="1">
      <c r="A3882" s="1">
        <v>2396.0</v>
      </c>
      <c r="B3882" s="2" t="s">
        <v>11662</v>
      </c>
      <c r="C3882" s="2">
        <f>IFERROR(__xludf.DUMMYFUNCTION("split(B3882,""_"")"),1501.0)</f>
        <v>1501</v>
      </c>
      <c r="D3882" s="2" t="str">
        <f>IFERROR(__xludf.DUMMYFUNCTION("""COMPUTED_VALUE"""),"NTV")</f>
        <v>NTV</v>
      </c>
      <c r="E3882" s="2" t="str">
        <f>IFERROR(__xludf.DUMMYFUNCTION("""COMPUTED_VALUE"""),"土21")</f>
        <v>土21</v>
      </c>
      <c r="F3882" s="2" t="s">
        <v>11663</v>
      </c>
      <c r="G3882" s="2" t="s">
        <v>11672</v>
      </c>
      <c r="H3882" s="1">
        <v>5.0</v>
      </c>
      <c r="I3882" s="1" t="s">
        <v>2884</v>
      </c>
      <c r="J3882" s="1" t="s">
        <v>11</v>
      </c>
      <c r="K3882" s="2" t="s">
        <v>11673</v>
      </c>
      <c r="L3882" s="2"/>
      <c r="M3882" s="2" t="str">
        <f>IFERROR(__xludf.DUMMYFUNCTION("split(split(K3882,""【演出"",false),""ほか"",false)"),"広瀬すず、神木隆之介、石橋杏奈、杉咲花、須賀健太、間宮祥太朗、白洲迅、清水くるみ、吉倉あおい、飯豊まりえ、金子ノブアキ、野波麻帆、金山一彦、泉谷しげる、生瀬勝久、浅野温子　他「腑抜け共が蠢くクラスをヒックリ返せ!」  文化祭のシーズン。ツバメ(広瀬すず)は着実に生徒の支持を集めていた…かのように見えたが、文化祭の準備中に、突如全員からボイコットを食らってしまう。最初は協力的に見えたみもりん(杉咲花)らプラチナ8がまたも何かおかしな動きをしたようで…。慌てるツバメだが、彗(神木隆之介)が「ハブられたんじゃな"&amp;"い。おまえがやつらをハブってるんだ!」と言われ、動き始める…。")</f>
        <v>広瀬すず、神木隆之介、石橋杏奈、杉咲花、須賀健太、間宮祥太朗、白洲迅、清水くるみ、吉倉あおい、飯豊まりえ、金子ノブアキ、野波麻帆、金山一彦、泉谷しげる、生瀬勝久、浅野温子　他「腑抜け共が蠢くクラスをヒックリ返せ!」  文化祭のシーズン。ツバメ(広瀬すず)は着実に生徒の支持を集めていた…かのように見えたが、文化祭の準備中に、突如全員からボイコットを食らってしまう。最初は協力的に見えたみもりん(杉咲花)らプラチナ8がまたも何かおかしな動きをしたようで…。慌てるツバメだが、彗(神木隆之介)が「ハブられたんじゃない。おまえがやつらをハブってるんだ!」と言われ、動き始める…。</v>
      </c>
      <c r="N3882" s="2"/>
      <c r="O3882" s="2"/>
      <c r="P3882" s="1"/>
      <c r="Q3882" s="1"/>
      <c r="R3882" s="1"/>
      <c r="S3882" s="1"/>
      <c r="T3882" s="1"/>
      <c r="U3882" s="1"/>
      <c r="V3882" s="1"/>
      <c r="W3882" s="1"/>
      <c r="X3882" s="1"/>
      <c r="Y3882" s="1"/>
      <c r="Z3882" s="1"/>
      <c r="AA3882" s="1"/>
      <c r="AB3882" s="1"/>
      <c r="AC3882" s="1"/>
      <c r="AD3882" s="1"/>
      <c r="AE3882" s="1"/>
      <c r="AF3882" s="1"/>
      <c r="AG3882" s="1"/>
      <c r="AH3882" s="1"/>
      <c r="AI3882" s="1"/>
      <c r="AJ3882" s="1"/>
      <c r="AK3882" s="1"/>
      <c r="AL3882" s="1"/>
      <c r="AM3882" s="1"/>
      <c r="AN3882" s="1"/>
      <c r="AO3882" s="1"/>
      <c r="AP3882" s="1"/>
      <c r="AQ3882" s="1"/>
      <c r="AR3882" s="1"/>
      <c r="AS3882" s="1"/>
      <c r="AT3882" s="1"/>
      <c r="AU3882" s="1"/>
      <c r="AV3882" s="1"/>
      <c r="AW3882" s="1"/>
      <c r="AX3882" s="1"/>
      <c r="AY3882" s="1"/>
      <c r="AZ3882" s="1"/>
      <c r="BA3882" s="1"/>
      <c r="BB3882" s="1"/>
    </row>
    <row r="3883" ht="204.75" customHeight="1">
      <c r="A3883" s="1">
        <v>2397.0</v>
      </c>
      <c r="B3883" s="2" t="s">
        <v>11662</v>
      </c>
      <c r="C3883" s="2">
        <f>IFERROR(__xludf.DUMMYFUNCTION("split(B3883,""_"")"),1501.0)</f>
        <v>1501</v>
      </c>
      <c r="D3883" s="2" t="str">
        <f>IFERROR(__xludf.DUMMYFUNCTION("""COMPUTED_VALUE"""),"NTV")</f>
        <v>NTV</v>
      </c>
      <c r="E3883" s="2" t="str">
        <f>IFERROR(__xludf.DUMMYFUNCTION("""COMPUTED_VALUE"""),"土21")</f>
        <v>土21</v>
      </c>
      <c r="F3883" s="2" t="s">
        <v>11663</v>
      </c>
      <c r="G3883" s="2" t="s">
        <v>11674</v>
      </c>
      <c r="H3883" s="1">
        <v>6.0</v>
      </c>
      <c r="I3883" s="1" t="s">
        <v>2888</v>
      </c>
      <c r="J3883" s="1" t="s">
        <v>11</v>
      </c>
      <c r="K3883" s="2" t="s">
        <v>11675</v>
      </c>
      <c r="L3883" s="2"/>
      <c r="M3883" s="2" t="str">
        <f>IFERROR(__xludf.DUMMYFUNCTION("split(split(K3883,""【演出"",false),""ほか"",false)"),"広瀬すず、神木隆之介、石橋杏奈、杉咲花、須賀健太、間宮祥太朗、白洲迅、清水くるみ、吉倉あおい、飯豊まりえ、金子ノブアキ、野波麻帆、金山一彦、泉谷しげる、生瀬勝久、浅野温子　他ツバメ(広瀬すず)への次なる彗(神木隆之介)からの指令は、プラチナ軍団との直接対決!!ツバメ軍は次々に夏樹(間宮祥太朗)を中心としたプラチナ枠の不当な権利に対して戦いをしかける。そしてついに自由なる日々を取り返した…、と思ったのも束の間、そこに現れたのはプラチナ枠の生徒の親で結成された明蘭PTA。そのPTAの会合で特別採用枠の廃止が主"&amp;"張され、ツバメたちを学園から追い出そうという決議が促される…。")</f>
        <v>広瀬すず、神木隆之介、石橋杏奈、杉咲花、須賀健太、間宮祥太朗、白洲迅、清水くるみ、吉倉あおい、飯豊まりえ、金子ノブアキ、野波麻帆、金山一彦、泉谷しげる、生瀬勝久、浅野温子　他ツバメ(広瀬すず)への次なる彗(神木隆之介)からの指令は、プラチナ軍団との直接対決!!ツバメ軍は次々に夏樹(間宮祥太朗)を中心としたプラチナ枠の不当な権利に対して戦いをしかける。そしてついに自由なる日々を取り返した…、と思ったのも束の間、そこに現れたのはプラチナ枠の生徒の親で結成された明蘭PTA。そのPTAの会合で特別採用枠の廃止が主張され、ツバメたちを学園から追い出そうという決議が促される…。</v>
      </c>
      <c r="N3883" s="2"/>
      <c r="O3883" s="2"/>
      <c r="P3883" s="1"/>
      <c r="Q3883" s="1"/>
      <c r="R3883" s="1"/>
      <c r="S3883" s="1"/>
      <c r="T3883" s="1"/>
      <c r="U3883" s="1"/>
      <c r="V3883" s="1"/>
      <c r="W3883" s="1"/>
      <c r="X3883" s="1"/>
      <c r="Y3883" s="1"/>
      <c r="Z3883" s="1"/>
      <c r="AA3883" s="1"/>
      <c r="AB3883" s="1"/>
      <c r="AC3883" s="1"/>
      <c r="AD3883" s="1"/>
      <c r="AE3883" s="1"/>
      <c r="AF3883" s="1"/>
      <c r="AG3883" s="1"/>
      <c r="AH3883" s="1"/>
      <c r="AI3883" s="1"/>
      <c r="AJ3883" s="1"/>
      <c r="AK3883" s="1"/>
      <c r="AL3883" s="1"/>
      <c r="AM3883" s="1"/>
      <c r="AN3883" s="1"/>
      <c r="AO3883" s="1"/>
      <c r="AP3883" s="1"/>
      <c r="AQ3883" s="1"/>
      <c r="AR3883" s="1"/>
      <c r="AS3883" s="1"/>
      <c r="AT3883" s="1"/>
      <c r="AU3883" s="1"/>
      <c r="AV3883" s="1"/>
      <c r="AW3883" s="1"/>
      <c r="AX3883" s="1"/>
      <c r="AY3883" s="1"/>
      <c r="AZ3883" s="1"/>
      <c r="BA3883" s="1"/>
      <c r="BB3883" s="1"/>
    </row>
    <row r="3884" ht="204.75" customHeight="1">
      <c r="A3884" s="1">
        <v>2398.0</v>
      </c>
      <c r="B3884" s="2" t="s">
        <v>11662</v>
      </c>
      <c r="C3884" s="2">
        <f>IFERROR(__xludf.DUMMYFUNCTION("split(B3884,""_"")"),1501.0)</f>
        <v>1501</v>
      </c>
      <c r="D3884" s="2" t="str">
        <f>IFERROR(__xludf.DUMMYFUNCTION("""COMPUTED_VALUE"""),"NTV")</f>
        <v>NTV</v>
      </c>
      <c r="E3884" s="2" t="str">
        <f>IFERROR(__xludf.DUMMYFUNCTION("""COMPUTED_VALUE"""),"土21")</f>
        <v>土21</v>
      </c>
      <c r="F3884" s="2" t="s">
        <v>11663</v>
      </c>
      <c r="G3884" s="2" t="s">
        <v>11676</v>
      </c>
      <c r="H3884" s="1">
        <v>7.0</v>
      </c>
      <c r="I3884" s="1" t="s">
        <v>2892</v>
      </c>
      <c r="J3884" s="1" t="s">
        <v>11</v>
      </c>
      <c r="K3884" s="2" t="s">
        <v>11677</v>
      </c>
      <c r="L3884" s="2"/>
      <c r="M3884" s="2" t="str">
        <f>IFERROR(__xludf.DUMMYFUNCTION("split(split(K3884,""【演出"",false),""ほか"",false)"),"広瀬すず、神木隆之介、石橋杏奈、杉咲花、須賀健太、間宮祥太朗、白洲迅、清水くるみ、吉倉あおい、飯豊まりえ、金子ノブアキ、野波麻帆、金山一彦、泉谷しげる、生瀬勝久、浅野温子　他革命家の「バケの皮」剥がれる!?  ツバメ(広瀬すず)のスピーチを慧(神木隆之介)が書いていたことが南(石橋杏奈)によって暴かれた。ツバメの言葉に感動した生徒たちは怒り、ツバメを責める。南は、全校生徒でツバメを学校から追放しようと動き出す…。  慧の元へ駈けるツバメだが、彗はツバメを追い返す。さらに、南は、彗を大金で雇い、再び学校を支"&amp;"配しようと画策する…。  唯一の味方・慧を失ったツバメの運命は!?")</f>
        <v>広瀬すず、神木隆之介、石橋杏奈、杉咲花、須賀健太、間宮祥太朗、白洲迅、清水くるみ、吉倉あおい、飯豊まりえ、金子ノブアキ、野波麻帆、金山一彦、泉谷しげる、生瀬勝久、浅野温子　他革命家の「バケの皮」剥がれる!?  ツバメ(広瀬すず)のスピーチを慧(神木隆之介)が書いていたことが南(石橋杏奈)によって暴かれた。ツバメの言葉に感動した生徒たちは怒り、ツバメを責める。南は、全校生徒でツバメを学校から追放しようと動き出す…。  慧の元へ駈けるツバメだが、彗はツバメを追い返す。さらに、南は、彗を大金で雇い、再び学校を支配しようと画策する…。  唯一の味方・慧を失ったツバメの運命は!?</v>
      </c>
      <c r="N3884" s="2"/>
      <c r="O3884" s="2"/>
      <c r="P3884" s="1"/>
      <c r="Q3884" s="1"/>
      <c r="R3884" s="1"/>
      <c r="S3884" s="1"/>
      <c r="T3884" s="1"/>
      <c r="U3884" s="1"/>
      <c r="V3884" s="1"/>
      <c r="W3884" s="1"/>
      <c r="X3884" s="1"/>
      <c r="Y3884" s="1"/>
      <c r="Z3884" s="1"/>
      <c r="AA3884" s="1"/>
      <c r="AB3884" s="1"/>
      <c r="AC3884" s="1"/>
      <c r="AD3884" s="1"/>
      <c r="AE3884" s="1"/>
      <c r="AF3884" s="1"/>
      <c r="AG3884" s="1"/>
      <c r="AH3884" s="1"/>
      <c r="AI3884" s="1"/>
      <c r="AJ3884" s="1"/>
      <c r="AK3884" s="1"/>
      <c r="AL3884" s="1"/>
      <c r="AM3884" s="1"/>
      <c r="AN3884" s="1"/>
      <c r="AO3884" s="1"/>
      <c r="AP3884" s="1"/>
      <c r="AQ3884" s="1"/>
      <c r="AR3884" s="1"/>
      <c r="AS3884" s="1"/>
      <c r="AT3884" s="1"/>
      <c r="AU3884" s="1"/>
      <c r="AV3884" s="1"/>
      <c r="AW3884" s="1"/>
      <c r="AX3884" s="1"/>
      <c r="AY3884" s="1"/>
      <c r="AZ3884" s="1"/>
      <c r="BA3884" s="1"/>
      <c r="BB3884" s="1"/>
    </row>
    <row r="3885" ht="204.75" customHeight="1">
      <c r="A3885" s="1">
        <v>2399.0</v>
      </c>
      <c r="B3885" s="2" t="s">
        <v>11662</v>
      </c>
      <c r="C3885" s="2">
        <f>IFERROR(__xludf.DUMMYFUNCTION("split(B3885,""_"")"),1501.0)</f>
        <v>1501</v>
      </c>
      <c r="D3885" s="2" t="str">
        <f>IFERROR(__xludf.DUMMYFUNCTION("""COMPUTED_VALUE"""),"NTV")</f>
        <v>NTV</v>
      </c>
      <c r="E3885" s="2" t="str">
        <f>IFERROR(__xludf.DUMMYFUNCTION("""COMPUTED_VALUE"""),"土21")</f>
        <v>土21</v>
      </c>
      <c r="F3885" s="2" t="s">
        <v>11663</v>
      </c>
      <c r="G3885" s="2" t="s">
        <v>11678</v>
      </c>
      <c r="H3885" s="1">
        <v>8.0</v>
      </c>
      <c r="I3885" s="1" t="s">
        <v>2896</v>
      </c>
      <c r="J3885" s="1" t="s">
        <v>11</v>
      </c>
      <c r="K3885" s="2" t="s">
        <v>11679</v>
      </c>
      <c r="L3885" s="2"/>
      <c r="M3885" s="2" t="str">
        <f>IFERROR(__xludf.DUMMYFUNCTION("split(split(K3885,""【演出"",false),""ほか"",false)"),"広瀬すず、神木隆之介、石橋杏奈、杉咲花、須賀健太、間宮祥太朗、白洲迅、清水くるみ、吉倉あおい、飯豊まりえ、金子ノブアキ、野波麻帆、金山一彦、泉谷しげる、生瀬勝久、浅野温子　他ついに生徒達全てを味方につけたツバメ(広瀬すず)。だが、カイダンは終わらない!!「信念なき教師どもを、打ちのめせ!」  生徒への徹底管理を強いる金時(生瀬勝久)。ツバメたちは一致団結して金時に反発。そんな中、陸(成田凌)が書いた小説が文学賞に入選。ツバメたちは作家になりたいという陸の夢を応援するが、金時はその夢を打ち砕く。金時への怒り"&amp;"に燃えるツバメに彗(神木隆之介)は、若い頃の金時の写真を見せ…。")</f>
        <v>広瀬すず、神木隆之介、石橋杏奈、杉咲花、須賀健太、間宮祥太朗、白洲迅、清水くるみ、吉倉あおい、飯豊まりえ、金子ノブアキ、野波麻帆、金山一彦、泉谷しげる、生瀬勝久、浅野温子　他ついに生徒達全てを味方につけたツバメ(広瀬すず)。だが、カイダンは終わらない!!「信念なき教師どもを、打ちのめせ!」  生徒への徹底管理を強いる金時(生瀬勝久)。ツバメたちは一致団結して金時に反発。そんな中、陸(成田凌)が書いた小説が文学賞に入選。ツバメたちは作家になりたいという陸の夢を応援するが、金時はその夢を打ち砕く。金時への怒りに燃えるツバメに彗(神木隆之介)は、若い頃の金時の写真を見せ…。</v>
      </c>
      <c r="N3885" s="2"/>
      <c r="O3885" s="2"/>
      <c r="P3885" s="1"/>
      <c r="Q3885" s="1"/>
      <c r="R3885" s="1"/>
      <c r="S3885" s="1"/>
      <c r="T3885" s="1"/>
      <c r="U3885" s="1"/>
      <c r="V3885" s="1"/>
      <c r="W3885" s="1"/>
      <c r="X3885" s="1"/>
      <c r="Y3885" s="1"/>
      <c r="Z3885" s="1"/>
      <c r="AA3885" s="1"/>
      <c r="AB3885" s="1"/>
      <c r="AC3885" s="1"/>
      <c r="AD3885" s="1"/>
      <c r="AE3885" s="1"/>
      <c r="AF3885" s="1"/>
      <c r="AG3885" s="1"/>
      <c r="AH3885" s="1"/>
      <c r="AI3885" s="1"/>
      <c r="AJ3885" s="1"/>
      <c r="AK3885" s="1"/>
      <c r="AL3885" s="1"/>
      <c r="AM3885" s="1"/>
      <c r="AN3885" s="1"/>
      <c r="AO3885" s="1"/>
      <c r="AP3885" s="1"/>
      <c r="AQ3885" s="1"/>
      <c r="AR3885" s="1"/>
      <c r="AS3885" s="1"/>
      <c r="AT3885" s="1"/>
      <c r="AU3885" s="1"/>
      <c r="AV3885" s="1"/>
      <c r="AW3885" s="1"/>
      <c r="AX3885" s="1"/>
      <c r="AY3885" s="1"/>
      <c r="AZ3885" s="1"/>
      <c r="BA3885" s="1"/>
      <c r="BB3885" s="1"/>
    </row>
    <row r="3886" ht="204.75" customHeight="1">
      <c r="A3886" s="1">
        <v>2400.0</v>
      </c>
      <c r="B3886" s="2" t="s">
        <v>11662</v>
      </c>
      <c r="C3886" s="2">
        <f>IFERROR(__xludf.DUMMYFUNCTION("split(B3886,""_"")"),1501.0)</f>
        <v>1501</v>
      </c>
      <c r="D3886" s="2" t="str">
        <f>IFERROR(__xludf.DUMMYFUNCTION("""COMPUTED_VALUE"""),"NTV")</f>
        <v>NTV</v>
      </c>
      <c r="E3886" s="2" t="str">
        <f>IFERROR(__xludf.DUMMYFUNCTION("""COMPUTED_VALUE"""),"土21")</f>
        <v>土21</v>
      </c>
      <c r="F3886" s="2" t="s">
        <v>11663</v>
      </c>
      <c r="G3886" s="2" t="s">
        <v>11680</v>
      </c>
      <c r="H3886" s="1">
        <v>9.0</v>
      </c>
      <c r="I3886" s="1" t="s">
        <v>2900</v>
      </c>
      <c r="J3886" s="1" t="s">
        <v>11</v>
      </c>
      <c r="K3886" s="2" t="s">
        <v>11681</v>
      </c>
      <c r="L3886" s="2"/>
      <c r="M3886" s="2" t="str">
        <f>IFERROR(__xludf.DUMMYFUNCTION("split(split(K3886,""【演出"",false),""ほか"",false)"),"広瀬すず、神木隆之介、石橋杏奈、杉咲花、須賀健太、間宮祥太朗、白洲迅、清水くるみ、吉倉あおい、飯豊まりえ、金子ノブアキ、野波麻帆、金山一彦、泉谷しげる、生瀬勝久、浅野温子　他ついに、彗(神木隆之介)の過去があきらかに…!かつて明蘭学園の特サ枠第一期生で生徒会長を務めていた彗。だが、5年前に彗の体の自由と未来を奪ったある事件が発生。しかし、蜜子(浅野温子)は保身のために事件を隠ぺいしたのだった…。ツバメ(広瀬すず)は蜜子に怒りを覚え、生徒会役員やプラチナ8と結束し、蜜子追放のための行動を開始する。彗の苦しみ"&amp;"を救おうと奔走するツバメに彗の「最後のレッスン」が始まる…。")</f>
        <v>広瀬すず、神木隆之介、石橋杏奈、杉咲花、須賀健太、間宮祥太朗、白洲迅、清水くるみ、吉倉あおい、飯豊まりえ、金子ノブアキ、野波麻帆、金山一彦、泉谷しげる、生瀬勝久、浅野温子　他ついに、彗(神木隆之介)の過去があきらかに…!かつて明蘭学園の特サ枠第一期生で生徒会長を務めていた彗。だが、5年前に彗の体の自由と未来を奪ったある事件が発生。しかし、蜜子(浅野温子)は保身のために事件を隠ぺいしたのだった…。ツバメ(広瀬すず)は蜜子に怒りを覚え、生徒会役員やプラチナ8と結束し、蜜子追放のための行動を開始する。彗の苦しみを救おうと奔走するツバメに彗の「最後のレッスン」が始まる…。</v>
      </c>
      <c r="N3886" s="2"/>
      <c r="O3886" s="2"/>
      <c r="P3886" s="1"/>
      <c r="Q3886" s="1"/>
      <c r="R3886" s="1"/>
      <c r="S3886" s="1"/>
      <c r="T3886" s="1"/>
      <c r="U3886" s="1"/>
      <c r="V3886" s="1"/>
      <c r="W3886" s="1"/>
      <c r="X3886" s="1"/>
      <c r="Y3886" s="1"/>
      <c r="Z3886" s="1"/>
      <c r="AA3886" s="1"/>
      <c r="AB3886" s="1"/>
      <c r="AC3886" s="1"/>
      <c r="AD3886" s="1"/>
      <c r="AE3886" s="1"/>
      <c r="AF3886" s="1"/>
      <c r="AG3886" s="1"/>
      <c r="AH3886" s="1"/>
      <c r="AI3886" s="1"/>
      <c r="AJ3886" s="1"/>
      <c r="AK3886" s="1"/>
      <c r="AL3886" s="1"/>
      <c r="AM3886" s="1"/>
      <c r="AN3886" s="1"/>
      <c r="AO3886" s="1"/>
      <c r="AP3886" s="1"/>
      <c r="AQ3886" s="1"/>
      <c r="AR3886" s="1"/>
      <c r="AS3886" s="1"/>
      <c r="AT3886" s="1"/>
      <c r="AU3886" s="1"/>
      <c r="AV3886" s="1"/>
      <c r="AW3886" s="1"/>
      <c r="AX3886" s="1"/>
      <c r="AY3886" s="1"/>
      <c r="AZ3886" s="1"/>
      <c r="BA3886" s="1"/>
      <c r="BB3886" s="1"/>
    </row>
    <row r="3887" ht="204.75" customHeight="1">
      <c r="A3887" s="1">
        <v>2401.0</v>
      </c>
      <c r="B3887" s="2" t="s">
        <v>11662</v>
      </c>
      <c r="C3887" s="2">
        <f>IFERROR(__xludf.DUMMYFUNCTION("split(B3887,""_"")"),1501.0)</f>
        <v>1501</v>
      </c>
      <c r="D3887" s="2" t="str">
        <f>IFERROR(__xludf.DUMMYFUNCTION("""COMPUTED_VALUE"""),"NTV")</f>
        <v>NTV</v>
      </c>
      <c r="E3887" s="2" t="str">
        <f>IFERROR(__xludf.DUMMYFUNCTION("""COMPUTED_VALUE"""),"土21")</f>
        <v>土21</v>
      </c>
      <c r="F3887" s="2" t="s">
        <v>11663</v>
      </c>
      <c r="G3887" s="2" t="s">
        <v>11682</v>
      </c>
      <c r="H3887" s="1">
        <v>10.0</v>
      </c>
      <c r="I3887" s="1" t="s">
        <v>37</v>
      </c>
      <c r="J3887" s="1" t="s">
        <v>11</v>
      </c>
      <c r="K3887" s="2" t="s">
        <v>11683</v>
      </c>
      <c r="L3887" s="2"/>
      <c r="M3887" s="2" t="str">
        <f>IFERROR(__xludf.DUMMYFUNCTION("split(split(K3887,""【演出"",false),""ほか"",false)"),"広瀬すず、神木隆之介、石橋杏奈、杉咲花、須賀健太、間宮祥太朗、白洲迅、清水くるみ、吉倉あおい、飯豊まりえ、金子ノブアキ、野波麻帆、金山一彦、泉谷しげる、生瀬勝久、浅野温子　他「学校のカイダン」ついに最終回ーー。  これまで登ってきた全ての「カイダン」は蜜子(浅野温子)への復讐のためだったことを彗(神木隆之介)に告げられたツバメ(広瀬すず)。蜜子がイジメ事件の隠ぺいをしていたことが彗の手によって世の中に知れ渡り、明蘭学園の評価は地に落ちる。その風評を受け止めた蜜子が明蘭高校の廃校を発表。  彗を失ったツバメ"&amp;"が、自分たちの学校を守るために選んだ最後の「カイダン」とは!?")</f>
        <v>広瀬すず、神木隆之介、石橋杏奈、杉咲花、須賀健太、間宮祥太朗、白洲迅、清水くるみ、吉倉あおい、飯豊まりえ、金子ノブアキ、野波麻帆、金山一彦、泉谷しげる、生瀬勝久、浅野温子　他「学校のカイダン」ついに最終回ーー。  これまで登ってきた全ての「カイダン」は蜜子(浅野温子)への復讐のためだったことを彗(神木隆之介)に告げられたツバメ(広瀬すず)。蜜子がイジメ事件の隠ぺいをしていたことが彗の手によって世の中に知れ渡り、明蘭学園の評価は地に落ちる。その風評を受け止めた蜜子が明蘭高校の廃校を発表。  彗を失ったツバメが、自分たちの学校を守るために選んだ最後の「カイダン」とは!?</v>
      </c>
      <c r="N3887" s="2"/>
      <c r="O3887" s="2"/>
      <c r="P3887" s="1"/>
      <c r="Q3887" s="1"/>
      <c r="R3887" s="1"/>
      <c r="S3887" s="1"/>
      <c r="T3887" s="1"/>
      <c r="U3887" s="1"/>
      <c r="V3887" s="1"/>
      <c r="W3887" s="1"/>
      <c r="X3887" s="1"/>
      <c r="Y3887" s="1"/>
      <c r="Z3887" s="1"/>
      <c r="AA3887" s="1"/>
      <c r="AB3887" s="1"/>
      <c r="AC3887" s="1"/>
      <c r="AD3887" s="1"/>
      <c r="AE3887" s="1"/>
      <c r="AF3887" s="1"/>
      <c r="AG3887" s="1"/>
      <c r="AH3887" s="1"/>
      <c r="AI3887" s="1"/>
      <c r="AJ3887" s="1"/>
      <c r="AK3887" s="1"/>
      <c r="AL3887" s="1"/>
      <c r="AM3887" s="1"/>
      <c r="AN3887" s="1"/>
      <c r="AO3887" s="1"/>
      <c r="AP3887" s="1"/>
      <c r="AQ3887" s="1"/>
      <c r="AR3887" s="1"/>
      <c r="AS3887" s="1"/>
      <c r="AT3887" s="1"/>
      <c r="AU3887" s="1"/>
      <c r="AV3887" s="1"/>
      <c r="AW3887" s="1"/>
      <c r="AX3887" s="1"/>
      <c r="AY3887" s="1"/>
      <c r="AZ3887" s="1"/>
      <c r="BA3887" s="1"/>
      <c r="BB3887" s="1"/>
    </row>
    <row r="3888" ht="204.75" customHeight="1">
      <c r="A3888" s="1">
        <v>2463.0</v>
      </c>
      <c r="B3888" s="2" t="s">
        <v>11684</v>
      </c>
      <c r="C3888" s="2">
        <f>IFERROR(__xludf.DUMMYFUNCTION("split(B3888,""_"")"),1410.0)</f>
        <v>1410</v>
      </c>
      <c r="D3888" s="2" t="str">
        <f>IFERROR(__xludf.DUMMYFUNCTION("""COMPUTED_VALUE"""),"NTV")</f>
        <v>NTV</v>
      </c>
      <c r="E3888" s="2" t="str">
        <f>IFERROR(__xludf.DUMMYFUNCTION("""COMPUTED_VALUE"""),"水22")</f>
        <v>水22</v>
      </c>
      <c r="F3888" s="2" t="s">
        <v>11685</v>
      </c>
      <c r="G3888" s="2" t="s">
        <v>11686</v>
      </c>
      <c r="H3888" s="1">
        <v>1.0</v>
      </c>
      <c r="I3888" s="1" t="s">
        <v>2868</v>
      </c>
      <c r="J3888" s="1" t="s">
        <v>82</v>
      </c>
      <c r="K3888" s="2" t="s">
        <v>11687</v>
      </c>
      <c r="L3888" s="2"/>
      <c r="M3888" s="2" t="str">
        <f>IFERROR(__xludf.DUMMYFUNCTION("split(split(K3888,""【演出"",false),""ほか"",false)"),"綾瀬はるか、  福士蒼汰、仲里依紗、田口淳之介、  千葉雄大、平岩紙、浅野和之、  吹越満、高畑淳子、玉木宏彼氏いない歴30年、もちろん処女、の地味で残念なOL・花笑(綾瀬はるか)。  出会いもなく、ときめきもなく、同じことを繰り返す日々…。そんな花笑が、飲み会の流れで同じ部署の現役大学生アルバイト・田之倉(福士蒼汰)と2人きりに。誕生日をサプライズで祝われ、そのまま一夜を共にする…。嵐のようにやってきた処女卒業、初恋。さらにイケメンCEO朝尾(玉木宏)もいきなり大接近!?こじらせ女子の運命は如何に!?")</f>
        <v>綾瀬はるか、  福士蒼汰、仲里依紗、田口淳之介、  千葉雄大、平岩紙、浅野和之、  吹越満、高畑淳子、玉木宏彼氏いない歴30年、もちろん処女、の地味で残念なOL・花笑(綾瀬はるか)。  出会いもなく、ときめきもなく、同じことを繰り返す日々…。そんな花笑が、飲み会の流れで同じ部署の現役大学生アルバイト・田之倉(福士蒼汰)と2人きりに。誕生日をサプライズで祝われ、そのまま一夜を共にする…。嵐のようにやってきた処女卒業、初恋。さらにイケメンCEO朝尾(玉木宏)もいきなり大接近!?こじらせ女子の運命は如何に!?</v>
      </c>
      <c r="N3888" s="2"/>
      <c r="O3888" s="2"/>
      <c r="P3888" s="1"/>
      <c r="Q3888" s="1"/>
      <c r="R3888" s="1"/>
      <c r="S3888" s="1"/>
      <c r="T3888" s="1"/>
      <c r="U3888" s="1"/>
      <c r="V3888" s="1"/>
      <c r="W3888" s="1"/>
      <c r="X3888" s="1"/>
      <c r="Y3888" s="1"/>
      <c r="Z3888" s="1"/>
      <c r="AA3888" s="1"/>
      <c r="AB3888" s="1"/>
      <c r="AC3888" s="1"/>
      <c r="AD3888" s="1"/>
      <c r="AE3888" s="1"/>
      <c r="AF3888" s="1"/>
      <c r="AG3888" s="1"/>
      <c r="AH3888" s="1"/>
      <c r="AI3888" s="1"/>
      <c r="AJ3888" s="1"/>
      <c r="AK3888" s="1"/>
      <c r="AL3888" s="1"/>
      <c r="AM3888" s="1"/>
      <c r="AN3888" s="1"/>
      <c r="AO3888" s="1"/>
      <c r="AP3888" s="1"/>
      <c r="AQ3888" s="1"/>
      <c r="AR3888" s="1"/>
      <c r="AS3888" s="1"/>
      <c r="AT3888" s="1"/>
      <c r="AU3888" s="1"/>
      <c r="AV3888" s="1"/>
      <c r="AW3888" s="1"/>
      <c r="AX3888" s="1"/>
      <c r="AY3888" s="1"/>
      <c r="AZ3888" s="1"/>
      <c r="BA3888" s="1"/>
      <c r="BB3888" s="1"/>
    </row>
    <row r="3889" ht="204.75" customHeight="1">
      <c r="A3889" s="1">
        <v>2464.0</v>
      </c>
      <c r="B3889" s="2" t="s">
        <v>11684</v>
      </c>
      <c r="C3889" s="2">
        <f>IFERROR(__xludf.DUMMYFUNCTION("split(B3889,""_"")"),1410.0)</f>
        <v>1410</v>
      </c>
      <c r="D3889" s="2" t="str">
        <f>IFERROR(__xludf.DUMMYFUNCTION("""COMPUTED_VALUE"""),"NTV")</f>
        <v>NTV</v>
      </c>
      <c r="E3889" s="2" t="str">
        <f>IFERROR(__xludf.DUMMYFUNCTION("""COMPUTED_VALUE"""),"水22")</f>
        <v>水22</v>
      </c>
      <c r="F3889" s="2" t="s">
        <v>11685</v>
      </c>
      <c r="G3889" s="2" t="s">
        <v>11688</v>
      </c>
      <c r="H3889" s="1">
        <v>2.0</v>
      </c>
      <c r="I3889" s="1" t="s">
        <v>2872</v>
      </c>
      <c r="J3889" s="1" t="s">
        <v>82</v>
      </c>
      <c r="K3889" s="2" t="s">
        <v>11689</v>
      </c>
      <c r="L3889" s="2"/>
      <c r="M3889" s="2" t="str">
        <f>IFERROR(__xludf.DUMMYFUNCTION("split(split(K3889,""【演出"",false),""ほか"",false)"),"綾瀬はるか、  福士蒼汰、仲里依紗、田口淳之介、  千葉雄大、平岩紙、田口浩正、浅野和之、  吹越満、高畑淳子、玉木宏田之倉(福士蒼汰)の想いが信じられない花笑(綾瀬はるか)は交際の返事を保留する。しかし連絡先を交換した事で始まったメールのやりとりにいちいちドギマギ。一方、会社の後輩・瞳(仲里依紗)はイケメンCEO朝尾(玉木宏)に猛烈アタックするが、「気になる女性がいる」とアッサリ玉砕。そんな折、花笑の前に田之倉と親しげに話す若い女が現れ…花笑のこじらせ度はさらに加速していく!")</f>
        <v>綾瀬はるか、  福士蒼汰、仲里依紗、田口淳之介、  千葉雄大、平岩紙、田口浩正、浅野和之、  吹越満、高畑淳子、玉木宏田之倉(福士蒼汰)の想いが信じられない花笑(綾瀬はるか)は交際の返事を保留する。しかし連絡先を交換した事で始まったメールのやりとりにいちいちドギマギ。一方、会社の後輩・瞳(仲里依紗)はイケメンCEO朝尾(玉木宏)に猛烈アタックするが、「気になる女性がいる」とアッサリ玉砕。そんな折、花笑の前に田之倉と親しげに話す若い女が現れ…花笑のこじらせ度はさらに加速していく!</v>
      </c>
      <c r="N3889" s="2"/>
      <c r="O3889" s="2"/>
      <c r="P3889" s="1"/>
      <c r="Q3889" s="1"/>
      <c r="R3889" s="1"/>
      <c r="S3889" s="1"/>
      <c r="T3889" s="1"/>
      <c r="U3889" s="1"/>
      <c r="V3889" s="1"/>
      <c r="W3889" s="1"/>
      <c r="X3889" s="1"/>
      <c r="Y3889" s="1"/>
      <c r="Z3889" s="1"/>
      <c r="AA3889" s="1"/>
      <c r="AB3889" s="1"/>
      <c r="AC3889" s="1"/>
      <c r="AD3889" s="1"/>
      <c r="AE3889" s="1"/>
      <c r="AF3889" s="1"/>
      <c r="AG3889" s="1"/>
      <c r="AH3889" s="1"/>
      <c r="AI3889" s="1"/>
      <c r="AJ3889" s="1"/>
      <c r="AK3889" s="1"/>
      <c r="AL3889" s="1"/>
      <c r="AM3889" s="1"/>
      <c r="AN3889" s="1"/>
      <c r="AO3889" s="1"/>
      <c r="AP3889" s="1"/>
      <c r="AQ3889" s="1"/>
      <c r="AR3889" s="1"/>
      <c r="AS3889" s="1"/>
      <c r="AT3889" s="1"/>
      <c r="AU3889" s="1"/>
      <c r="AV3889" s="1"/>
      <c r="AW3889" s="1"/>
      <c r="AX3889" s="1"/>
      <c r="AY3889" s="1"/>
      <c r="AZ3889" s="1"/>
      <c r="BA3889" s="1"/>
      <c r="BB3889" s="1"/>
    </row>
    <row r="3890" ht="204.75" customHeight="1">
      <c r="A3890" s="1">
        <v>2465.0</v>
      </c>
      <c r="B3890" s="2" t="s">
        <v>11684</v>
      </c>
      <c r="C3890" s="2">
        <f>IFERROR(__xludf.DUMMYFUNCTION("split(B3890,""_"")"),1410.0)</f>
        <v>1410</v>
      </c>
      <c r="D3890" s="2" t="str">
        <f>IFERROR(__xludf.DUMMYFUNCTION("""COMPUTED_VALUE"""),"NTV")</f>
        <v>NTV</v>
      </c>
      <c r="E3890" s="2" t="str">
        <f>IFERROR(__xludf.DUMMYFUNCTION("""COMPUTED_VALUE"""),"水22")</f>
        <v>水22</v>
      </c>
      <c r="F3890" s="2" t="s">
        <v>11685</v>
      </c>
      <c r="G3890" s="2" t="s">
        <v>11690</v>
      </c>
      <c r="H3890" s="1">
        <v>3.0</v>
      </c>
      <c r="I3890" s="1" t="s">
        <v>2876</v>
      </c>
      <c r="J3890" s="1" t="s">
        <v>82</v>
      </c>
      <c r="K3890" s="2" t="s">
        <v>11691</v>
      </c>
      <c r="L3890" s="2"/>
      <c r="M3890" s="2" t="str">
        <f>IFERROR(__xludf.DUMMYFUNCTION("split(split(K3890,""【演出"",false),""ほか"",false)"),"綾瀬はるか、  福士蒼汰、仲里依紗、田口淳之介、  千葉雄大、平岩紙、田口浩正、浅野和之、  吹越満、高畑淳子、玉木宏田之倉(福士蒼汰)と付き合いだした花笑(綾瀬はるか)。初めての彼氏に浮かれ気味だが、「重い女にならないように」という朝尾(玉木宏)の忠告を意識する余り、デート中も観たい映画や食べたい物が言い出せない。さらに、田之倉の部屋でいい雰囲気になるものの、ベッドの下にシュシュを見つけてしまい、「他にも付き合っている人がいるのかも」とパニックになり家を飛び出してしまう…!")</f>
        <v>綾瀬はるか、  福士蒼汰、仲里依紗、田口淳之介、  千葉雄大、平岩紙、田口浩正、浅野和之、  吹越満、高畑淳子、玉木宏田之倉(福士蒼汰)と付き合いだした花笑(綾瀬はるか)。初めての彼氏に浮かれ気味だが、「重い女にならないように」という朝尾(玉木宏)の忠告を意識する余り、デート中も観たい映画や食べたい物が言い出せない。さらに、田之倉の部屋でいい雰囲気になるものの、ベッドの下にシュシュを見つけてしまい、「他にも付き合っている人がいるのかも」とパニックになり家を飛び出してしまう…!</v>
      </c>
      <c r="N3890" s="2"/>
      <c r="O3890" s="2"/>
      <c r="P3890" s="1"/>
      <c r="Q3890" s="1"/>
      <c r="R3890" s="1"/>
      <c r="S3890" s="1"/>
      <c r="T3890" s="1"/>
      <c r="U3890" s="1"/>
      <c r="V3890" s="1"/>
      <c r="W3890" s="1"/>
      <c r="X3890" s="1"/>
      <c r="Y3890" s="1"/>
      <c r="Z3890" s="1"/>
      <c r="AA3890" s="1"/>
      <c r="AB3890" s="1"/>
      <c r="AC3890" s="1"/>
      <c r="AD3890" s="1"/>
      <c r="AE3890" s="1"/>
      <c r="AF3890" s="1"/>
      <c r="AG3890" s="1"/>
      <c r="AH3890" s="1"/>
      <c r="AI3890" s="1"/>
      <c r="AJ3890" s="1"/>
      <c r="AK3890" s="1"/>
      <c r="AL3890" s="1"/>
      <c r="AM3890" s="1"/>
      <c r="AN3890" s="1"/>
      <c r="AO3890" s="1"/>
      <c r="AP3890" s="1"/>
      <c r="AQ3890" s="1"/>
      <c r="AR3890" s="1"/>
      <c r="AS3890" s="1"/>
      <c r="AT3890" s="1"/>
      <c r="AU3890" s="1"/>
      <c r="AV3890" s="1"/>
      <c r="AW3890" s="1"/>
      <c r="AX3890" s="1"/>
      <c r="AY3890" s="1"/>
      <c r="AZ3890" s="1"/>
      <c r="BA3890" s="1"/>
      <c r="BB3890" s="1"/>
    </row>
    <row r="3891" ht="204.75" customHeight="1">
      <c r="A3891" s="1">
        <v>2466.0</v>
      </c>
      <c r="B3891" s="2" t="s">
        <v>11684</v>
      </c>
      <c r="C3891" s="2">
        <f>IFERROR(__xludf.DUMMYFUNCTION("split(B3891,""_"")"),1410.0)</f>
        <v>1410</v>
      </c>
      <c r="D3891" s="2" t="str">
        <f>IFERROR(__xludf.DUMMYFUNCTION("""COMPUTED_VALUE"""),"NTV")</f>
        <v>NTV</v>
      </c>
      <c r="E3891" s="2" t="str">
        <f>IFERROR(__xludf.DUMMYFUNCTION("""COMPUTED_VALUE"""),"水22")</f>
        <v>水22</v>
      </c>
      <c r="F3891" s="2" t="s">
        <v>11685</v>
      </c>
      <c r="G3891" s="2" t="s">
        <v>11692</v>
      </c>
      <c r="H3891" s="1">
        <v>4.0</v>
      </c>
      <c r="I3891" s="1" t="s">
        <v>2880</v>
      </c>
      <c r="J3891" s="1" t="s">
        <v>82</v>
      </c>
      <c r="K3891" s="2" t="s">
        <v>11693</v>
      </c>
      <c r="L3891" s="2"/>
      <c r="M3891" s="2" t="str">
        <f>IFERROR(__xludf.DUMMYFUNCTION("split(split(K3891,""【演出"",false),""ほか"",false)"),"綾瀬はるか、  福士蒼汰、仲里依紗、田口淳之介、  千葉雄大、平岩紙、田口浩正、浅野和之、  吹越満、高畑淳子、玉木宏田之倉(福士蒼汰)の浮気疑惑も晴れ、無事に合鍵という恋人の証を手に入れた花笑(綾瀬はるか)。だが「親への紹介」という次なる難関が…!  彼氏が出来たと家族にバレたが、相手が大学生とは言い出せず悩む花笑。さらにひょんなことから父・巌(浅野和之)は朝尾(玉木宏)を花笑の彼氏だと勘違い。  田之倉(福士蒼汰)を家に連れてくるが、彼氏が大学生と知り青石家はパニックに!巌に結婚の意思を聞かれた田之倉"&amp;"の答えは!?")</f>
        <v>綾瀬はるか、  福士蒼汰、仲里依紗、田口淳之介、  千葉雄大、平岩紙、田口浩正、浅野和之、  吹越満、高畑淳子、玉木宏田之倉(福士蒼汰)の浮気疑惑も晴れ、無事に合鍵という恋人の証を手に入れた花笑(綾瀬はるか)。だが「親への紹介」という次なる難関が…!  彼氏が出来たと家族にバレたが、相手が大学生とは言い出せず悩む花笑。さらにひょんなことから父・巌(浅野和之)は朝尾(玉木宏)を花笑の彼氏だと勘違い。  田之倉(福士蒼汰)を家に連れてくるが、彼氏が大学生と知り青石家はパニックに!巌に結婚の意思を聞かれた田之倉の答えは!?</v>
      </c>
      <c r="N3891" s="2"/>
      <c r="O3891" s="2"/>
      <c r="P3891" s="1"/>
      <c r="Q3891" s="1"/>
      <c r="R3891" s="1"/>
      <c r="S3891" s="1"/>
      <c r="T3891" s="1"/>
      <c r="U3891" s="1"/>
      <c r="V3891" s="1"/>
      <c r="W3891" s="1"/>
      <c r="X3891" s="1"/>
      <c r="Y3891" s="1"/>
      <c r="Z3891" s="1"/>
      <c r="AA3891" s="1"/>
      <c r="AB3891" s="1"/>
      <c r="AC3891" s="1"/>
      <c r="AD3891" s="1"/>
      <c r="AE3891" s="1"/>
      <c r="AF3891" s="1"/>
      <c r="AG3891" s="1"/>
      <c r="AH3891" s="1"/>
      <c r="AI3891" s="1"/>
      <c r="AJ3891" s="1"/>
      <c r="AK3891" s="1"/>
      <c r="AL3891" s="1"/>
      <c r="AM3891" s="1"/>
      <c r="AN3891" s="1"/>
      <c r="AO3891" s="1"/>
      <c r="AP3891" s="1"/>
      <c r="AQ3891" s="1"/>
      <c r="AR3891" s="1"/>
      <c r="AS3891" s="1"/>
      <c r="AT3891" s="1"/>
      <c r="AU3891" s="1"/>
      <c r="AV3891" s="1"/>
      <c r="AW3891" s="1"/>
      <c r="AX3891" s="1"/>
      <c r="AY3891" s="1"/>
      <c r="AZ3891" s="1"/>
      <c r="BA3891" s="1"/>
      <c r="BB3891" s="1"/>
    </row>
    <row r="3892" ht="204.75" customHeight="1">
      <c r="A3892" s="1">
        <v>2467.0</v>
      </c>
      <c r="B3892" s="2" t="s">
        <v>11684</v>
      </c>
      <c r="C3892" s="2">
        <f>IFERROR(__xludf.DUMMYFUNCTION("split(B3892,""_"")"),1410.0)</f>
        <v>1410</v>
      </c>
      <c r="D3892" s="2" t="str">
        <f>IFERROR(__xludf.DUMMYFUNCTION("""COMPUTED_VALUE"""),"NTV")</f>
        <v>NTV</v>
      </c>
      <c r="E3892" s="2" t="str">
        <f>IFERROR(__xludf.DUMMYFUNCTION("""COMPUTED_VALUE"""),"水22")</f>
        <v>水22</v>
      </c>
      <c r="F3892" s="2" t="s">
        <v>11685</v>
      </c>
      <c r="G3892" s="2" t="s">
        <v>11694</v>
      </c>
      <c r="H3892" s="1">
        <v>5.0</v>
      </c>
      <c r="I3892" s="1" t="s">
        <v>2884</v>
      </c>
      <c r="J3892" s="1" t="s">
        <v>82</v>
      </c>
      <c r="K3892" s="2" t="s">
        <v>11695</v>
      </c>
      <c r="L3892" s="2"/>
      <c r="M3892" s="2" t="str">
        <f>IFERROR(__xludf.DUMMYFUNCTION("split(split(K3892,""【演出"",false),""ほか"",false)"),"綾瀬はるか、  福士蒼汰、仲里依紗、田口淳之介、  千葉雄大、平岩紙、田口浩正、浅野和之、  吹越満、高畑淳子、玉木宏田之倉(福士蒼汰)との交際を両親にも認められ絶好調の花笑(綾瀬はるか)。田之倉の後輩・ひろ乃(古畑星夏)と再会し恋愛相談を受ける。すると彼女が好きなのは田之倉と判明!ひろ乃の真剣な気持ちを聞き、自分が田之倉の彼女だと言い出せない花笑はそのことで田之倉と喧嘩してしまう…。そんな時、CEOを解任になった朝尾(玉木宏)から助けてほしいと呼び出され…。")</f>
        <v>綾瀬はるか、  福士蒼汰、仲里依紗、田口淳之介、  千葉雄大、平岩紙、田口浩正、浅野和之、  吹越満、高畑淳子、玉木宏田之倉(福士蒼汰)との交際を両親にも認められ絶好調の花笑(綾瀬はるか)。田之倉の後輩・ひろ乃(古畑星夏)と再会し恋愛相談を受ける。すると彼女が好きなのは田之倉と判明!ひろ乃の真剣な気持ちを聞き、自分が田之倉の彼女だと言い出せない花笑はそのことで田之倉と喧嘩してしまう…。そんな時、CEOを解任になった朝尾(玉木宏)から助けてほしいと呼び出され…。</v>
      </c>
      <c r="N3892" s="2"/>
      <c r="O3892" s="2"/>
      <c r="P3892" s="1"/>
      <c r="Q3892" s="1"/>
      <c r="R3892" s="1"/>
      <c r="S3892" s="1"/>
      <c r="T3892" s="1"/>
      <c r="U3892" s="1"/>
      <c r="V3892" s="1"/>
      <c r="W3892" s="1"/>
      <c r="X3892" s="1"/>
      <c r="Y3892" s="1"/>
      <c r="Z3892" s="1"/>
      <c r="AA3892" s="1"/>
      <c r="AB3892" s="1"/>
      <c r="AC3892" s="1"/>
      <c r="AD3892" s="1"/>
      <c r="AE3892" s="1"/>
      <c r="AF3892" s="1"/>
      <c r="AG3892" s="1"/>
      <c r="AH3892" s="1"/>
      <c r="AI3892" s="1"/>
      <c r="AJ3892" s="1"/>
      <c r="AK3892" s="1"/>
      <c r="AL3892" s="1"/>
      <c r="AM3892" s="1"/>
      <c r="AN3892" s="1"/>
      <c r="AO3892" s="1"/>
      <c r="AP3892" s="1"/>
      <c r="AQ3892" s="1"/>
      <c r="AR3892" s="1"/>
      <c r="AS3892" s="1"/>
      <c r="AT3892" s="1"/>
      <c r="AU3892" s="1"/>
      <c r="AV3892" s="1"/>
      <c r="AW3892" s="1"/>
      <c r="AX3892" s="1"/>
      <c r="AY3892" s="1"/>
      <c r="AZ3892" s="1"/>
      <c r="BA3892" s="1"/>
      <c r="BB3892" s="1"/>
    </row>
    <row r="3893" ht="204.75" customHeight="1">
      <c r="A3893" s="1">
        <v>2468.0</v>
      </c>
      <c r="B3893" s="2" t="s">
        <v>11684</v>
      </c>
      <c r="C3893" s="2">
        <f>IFERROR(__xludf.DUMMYFUNCTION("split(B3893,""_"")"),1410.0)</f>
        <v>1410</v>
      </c>
      <c r="D3893" s="2" t="str">
        <f>IFERROR(__xludf.DUMMYFUNCTION("""COMPUTED_VALUE"""),"NTV")</f>
        <v>NTV</v>
      </c>
      <c r="E3893" s="2" t="str">
        <f>IFERROR(__xludf.DUMMYFUNCTION("""COMPUTED_VALUE"""),"水22")</f>
        <v>水22</v>
      </c>
      <c r="F3893" s="2" t="s">
        <v>11685</v>
      </c>
      <c r="G3893" s="2" t="s">
        <v>11696</v>
      </c>
      <c r="H3893" s="1">
        <v>6.0</v>
      </c>
      <c r="I3893" s="1" t="s">
        <v>2888</v>
      </c>
      <c r="J3893" s="1" t="s">
        <v>82</v>
      </c>
      <c r="K3893" s="2" t="s">
        <v>11697</v>
      </c>
      <c r="L3893" s="2"/>
      <c r="M3893" s="2" t="str">
        <f>IFERROR(__xludf.DUMMYFUNCTION("split(split(K3893,""【演出"",false),""ほか"",false)"),"綾瀬はるか、  福士蒼汰、仲里依紗、田口淳之介、  千葉雄大、平岩紙、田口浩正、浅野和之、  吹越満、高畑淳子、玉木宏ひろ乃(古畑星夏)の一件を巡り、田之倉(福士蒼汰)から距離を置かれた花笑(綾瀬はるか)。さらにひろ乃からの「田之倉と一緒にいる」という宣戦布告メール…。  一体、この状態はいつまで続くの!?電話やメールならOKなの!?思い悩む花笑は、田之倉の行動からサインを読み取ろうとするが、別れを切り出される恐怖から、田之倉を避けてしまう。  朝尾(玉木宏)の助言もあり、きちんと話そうと田之倉を呼び出す"&amp;"花笑だが…。")</f>
        <v>綾瀬はるか、  福士蒼汰、仲里依紗、田口淳之介、  千葉雄大、平岩紙、田口浩正、浅野和之、  吹越満、高畑淳子、玉木宏ひろ乃(古畑星夏)の一件を巡り、田之倉(福士蒼汰)から距離を置かれた花笑(綾瀬はるか)。さらにひろ乃からの「田之倉と一緒にいる」という宣戦布告メール…。  一体、この状態はいつまで続くの!?電話やメールならOKなの!?思い悩む花笑は、田之倉の行動からサインを読み取ろうとするが、別れを切り出される恐怖から、田之倉を避けてしまう。  朝尾(玉木宏)の助言もあり、きちんと話そうと田之倉を呼び出す花笑だが…。</v>
      </c>
      <c r="N3893" s="2"/>
      <c r="O3893" s="2"/>
      <c r="P3893" s="1"/>
      <c r="Q3893" s="1"/>
      <c r="R3893" s="1"/>
      <c r="S3893" s="1"/>
      <c r="T3893" s="1"/>
      <c r="U3893" s="1"/>
      <c r="V3893" s="1"/>
      <c r="W3893" s="1"/>
      <c r="X3893" s="1"/>
      <c r="Y3893" s="1"/>
      <c r="Z3893" s="1"/>
      <c r="AA3893" s="1"/>
      <c r="AB3893" s="1"/>
      <c r="AC3893" s="1"/>
      <c r="AD3893" s="1"/>
      <c r="AE3893" s="1"/>
      <c r="AF3893" s="1"/>
      <c r="AG3893" s="1"/>
      <c r="AH3893" s="1"/>
      <c r="AI3893" s="1"/>
      <c r="AJ3893" s="1"/>
      <c r="AK3893" s="1"/>
      <c r="AL3893" s="1"/>
      <c r="AM3893" s="1"/>
      <c r="AN3893" s="1"/>
      <c r="AO3893" s="1"/>
      <c r="AP3893" s="1"/>
      <c r="AQ3893" s="1"/>
      <c r="AR3893" s="1"/>
      <c r="AS3893" s="1"/>
      <c r="AT3893" s="1"/>
      <c r="AU3893" s="1"/>
      <c r="AV3893" s="1"/>
      <c r="AW3893" s="1"/>
      <c r="AX3893" s="1"/>
      <c r="AY3893" s="1"/>
      <c r="AZ3893" s="1"/>
      <c r="BA3893" s="1"/>
      <c r="BB3893" s="1"/>
    </row>
    <row r="3894" ht="204.75" customHeight="1">
      <c r="A3894" s="1">
        <v>2469.0</v>
      </c>
      <c r="B3894" s="2" t="s">
        <v>11684</v>
      </c>
      <c r="C3894" s="2">
        <f>IFERROR(__xludf.DUMMYFUNCTION("split(B3894,""_"")"),1410.0)</f>
        <v>1410</v>
      </c>
      <c r="D3894" s="2" t="str">
        <f>IFERROR(__xludf.DUMMYFUNCTION("""COMPUTED_VALUE"""),"NTV")</f>
        <v>NTV</v>
      </c>
      <c r="E3894" s="2" t="str">
        <f>IFERROR(__xludf.DUMMYFUNCTION("""COMPUTED_VALUE"""),"水22")</f>
        <v>水22</v>
      </c>
      <c r="F3894" s="2" t="s">
        <v>11685</v>
      </c>
      <c r="G3894" s="2" t="s">
        <v>11698</v>
      </c>
      <c r="H3894" s="1">
        <v>7.0</v>
      </c>
      <c r="I3894" s="1" t="s">
        <v>2892</v>
      </c>
      <c r="J3894" s="1" t="s">
        <v>82</v>
      </c>
      <c r="K3894" s="2" t="s">
        <v>11699</v>
      </c>
      <c r="L3894" s="2"/>
      <c r="M3894" s="2" t="str">
        <f>IFERROR(__xludf.DUMMYFUNCTION("split(split(K3894,""【演出"",false),""ほか"",false)"),"綾瀬はるか、  福士蒼汰、仲里依紗、田口淳之介、  千葉雄大、平岩紙、田口浩正、浅野和之、  吹越満、高畑淳子、玉木宏こじらせ女、ネクストステージへ!?田之倉(福士蒼汰)から同棲を提案された花笑(綾瀬はるか)。はりきって部屋探しを始めるが、2泊以上の外泊すら殆ど経験がない花笑は、新居を探しながら、予行演習として田之倉のアパートに連泊することに!だが、慣れない共同生活の緊張感にリラックスできず、実家が恋しくなってしまう…。さらに、朝尾(玉木宏)から「同棲するカップルのほとんどは結婚前に別れる」と聞かされて…")</f>
        <v>綾瀬はるか、  福士蒼汰、仲里依紗、田口淳之介、  千葉雄大、平岩紙、田口浩正、浅野和之、  吹越満、高畑淳子、玉木宏こじらせ女、ネクストステージへ!?田之倉(福士蒼汰)から同棲を提案された花笑(綾瀬はるか)。はりきって部屋探しを始めるが、2泊以上の外泊すら殆ど経験がない花笑は、新居を探しながら、予行演習として田之倉のアパートに連泊することに!だが、慣れない共同生活の緊張感にリラックスできず、実家が恋しくなってしまう…。さらに、朝尾(玉木宏)から「同棲するカップルのほとんどは結婚前に別れる」と聞かされて…</v>
      </c>
      <c r="N3894" s="2"/>
      <c r="O3894" s="2"/>
      <c r="P3894" s="1"/>
      <c r="Q3894" s="1"/>
      <c r="R3894" s="1"/>
      <c r="S3894" s="1"/>
      <c r="T3894" s="1"/>
      <c r="U3894" s="1"/>
      <c r="V3894" s="1"/>
      <c r="W3894" s="1"/>
      <c r="X3894" s="1"/>
      <c r="Y3894" s="1"/>
      <c r="Z3894" s="1"/>
      <c r="AA3894" s="1"/>
      <c r="AB3894" s="1"/>
      <c r="AC3894" s="1"/>
      <c r="AD3894" s="1"/>
      <c r="AE3894" s="1"/>
      <c r="AF3894" s="1"/>
      <c r="AG3894" s="1"/>
      <c r="AH3894" s="1"/>
      <c r="AI3894" s="1"/>
      <c r="AJ3894" s="1"/>
      <c r="AK3894" s="1"/>
      <c r="AL3894" s="1"/>
      <c r="AM3894" s="1"/>
      <c r="AN3894" s="1"/>
      <c r="AO3894" s="1"/>
      <c r="AP3894" s="1"/>
      <c r="AQ3894" s="1"/>
      <c r="AR3894" s="1"/>
      <c r="AS3894" s="1"/>
      <c r="AT3894" s="1"/>
      <c r="AU3894" s="1"/>
      <c r="AV3894" s="1"/>
      <c r="AW3894" s="1"/>
      <c r="AX3894" s="1"/>
      <c r="AY3894" s="1"/>
      <c r="AZ3894" s="1"/>
      <c r="BA3894" s="1"/>
      <c r="BB3894" s="1"/>
    </row>
    <row r="3895" ht="204.75" customHeight="1">
      <c r="A3895" s="1">
        <v>2470.0</v>
      </c>
      <c r="B3895" s="2" t="s">
        <v>11684</v>
      </c>
      <c r="C3895" s="2">
        <f>IFERROR(__xludf.DUMMYFUNCTION("split(B3895,""_"")"),1410.0)</f>
        <v>1410</v>
      </c>
      <c r="D3895" s="2" t="str">
        <f>IFERROR(__xludf.DUMMYFUNCTION("""COMPUTED_VALUE"""),"NTV")</f>
        <v>NTV</v>
      </c>
      <c r="E3895" s="2" t="str">
        <f>IFERROR(__xludf.DUMMYFUNCTION("""COMPUTED_VALUE"""),"水22")</f>
        <v>水22</v>
      </c>
      <c r="F3895" s="2" t="s">
        <v>11685</v>
      </c>
      <c r="G3895" s="2" t="s">
        <v>11700</v>
      </c>
      <c r="H3895" s="1">
        <v>8.0</v>
      </c>
      <c r="I3895" s="1" t="s">
        <v>2896</v>
      </c>
      <c r="J3895" s="1" t="s">
        <v>82</v>
      </c>
      <c r="K3895" s="2" t="s">
        <v>11701</v>
      </c>
      <c r="L3895" s="2"/>
      <c r="M3895" s="2" t="str">
        <f>IFERROR(__xludf.DUMMYFUNCTION("split(split(K3895,""【演出"",false),""ほか"",false)"),"綾瀬はるか、  福士蒼汰、仲里依紗、田口淳之介、  千葉雄大、平岩紙、田口浩正、浅野和之、  吹越満、高畑淳子、玉木宏田之倉(福士蒼汰)とのデートを、会社で一番おしゃべりな同期の大城(田口淳之介)に見られてしまった花笑(綾瀬はるか)。2人の交際が会社中にバレる!とビビる花笑だが、大城は秘密を守り、大学院に進学するという田之倉と花笑の将来を心配する。  田之倉の将来の夢を聞いた花笑は、田之倉の未来に自分の姿がないことに、不安を覚える。そんな折、花笑は仕事で東京に来た田之倉の母と挨拶をすることに…!")</f>
        <v>綾瀬はるか、  福士蒼汰、仲里依紗、田口淳之介、  千葉雄大、平岩紙、田口浩正、浅野和之、  吹越満、高畑淳子、玉木宏田之倉(福士蒼汰)とのデートを、会社で一番おしゃべりな同期の大城(田口淳之介)に見られてしまった花笑(綾瀬はるか)。2人の交際が会社中にバレる!とビビる花笑だが、大城は秘密を守り、大学院に進学するという田之倉と花笑の将来を心配する。  田之倉の将来の夢を聞いた花笑は、田之倉の未来に自分の姿がないことに、不安を覚える。そんな折、花笑は仕事で東京に来た田之倉の母と挨拶をすることに…!</v>
      </c>
      <c r="N3895" s="2"/>
      <c r="O3895" s="2"/>
      <c r="P3895" s="1"/>
      <c r="Q3895" s="1"/>
      <c r="R3895" s="1"/>
      <c r="S3895" s="1"/>
      <c r="T3895" s="1"/>
      <c r="U3895" s="1"/>
      <c r="V3895" s="1"/>
      <c r="W3895" s="1"/>
      <c r="X3895" s="1"/>
      <c r="Y3895" s="1"/>
      <c r="Z3895" s="1"/>
      <c r="AA3895" s="1"/>
      <c r="AB3895" s="1"/>
      <c r="AC3895" s="1"/>
      <c r="AD3895" s="1"/>
      <c r="AE3895" s="1"/>
      <c r="AF3895" s="1"/>
      <c r="AG3895" s="1"/>
      <c r="AH3895" s="1"/>
      <c r="AI3895" s="1"/>
      <c r="AJ3895" s="1"/>
      <c r="AK3895" s="1"/>
      <c r="AL3895" s="1"/>
      <c r="AM3895" s="1"/>
      <c r="AN3895" s="1"/>
      <c r="AO3895" s="1"/>
      <c r="AP3895" s="1"/>
      <c r="AQ3895" s="1"/>
      <c r="AR3895" s="1"/>
      <c r="AS3895" s="1"/>
      <c r="AT3895" s="1"/>
      <c r="AU3895" s="1"/>
      <c r="AV3895" s="1"/>
      <c r="AW3895" s="1"/>
      <c r="AX3895" s="1"/>
      <c r="AY3895" s="1"/>
      <c r="AZ3895" s="1"/>
      <c r="BA3895" s="1"/>
      <c r="BB3895" s="1"/>
    </row>
    <row r="3896" ht="204.75" customHeight="1">
      <c r="A3896" s="1">
        <v>2471.0</v>
      </c>
      <c r="B3896" s="2" t="s">
        <v>11684</v>
      </c>
      <c r="C3896" s="2">
        <f>IFERROR(__xludf.DUMMYFUNCTION("split(B3896,""_"")"),1410.0)</f>
        <v>1410</v>
      </c>
      <c r="D3896" s="2" t="str">
        <f>IFERROR(__xludf.DUMMYFUNCTION("""COMPUTED_VALUE"""),"NTV")</f>
        <v>NTV</v>
      </c>
      <c r="E3896" s="2" t="str">
        <f>IFERROR(__xludf.DUMMYFUNCTION("""COMPUTED_VALUE"""),"水22")</f>
        <v>水22</v>
      </c>
      <c r="F3896" s="2" t="s">
        <v>11685</v>
      </c>
      <c r="G3896" s="2" t="s">
        <v>11702</v>
      </c>
      <c r="H3896" s="1">
        <v>9.0</v>
      </c>
      <c r="I3896" s="1" t="s">
        <v>2900</v>
      </c>
      <c r="J3896" s="1" t="s">
        <v>82</v>
      </c>
      <c r="K3896" s="2" t="s">
        <v>11703</v>
      </c>
      <c r="L3896" s="2"/>
      <c r="M3896" s="2" t="str">
        <f>IFERROR(__xludf.DUMMYFUNCTION("split(split(K3896,""【演出"",false),""ほか"",false)"),"綾瀬はるか、  福士蒼汰、仲里依紗、田口淳之介、  千葉雄大、平岩紙、田口浩正、浅野和之、  吹越満、高畑淳子、玉木宏突然の田之倉(福士蒼汰)からのプロポーズ!そして夢にまで見た彼氏との温泉旅行!人生最高の幸せに舞い上がる花笑(綾瀬はるか)だが、田之倉のゼミの先輩・戸崎(香椎由宇)に、優秀な田之倉が大学院を諦めるのは残念だと聞かされ、自分が田之倉の足を引っ張っていることに罪悪感を感じる。自分が田之倉のためにできることは何かと考え、花笑が出した答えは…!?さらに、朝尾(玉木宏)のレストランの開店日に呼び出さ"&amp;"れ…?")</f>
        <v>綾瀬はるか、  福士蒼汰、仲里依紗、田口淳之介、  千葉雄大、平岩紙、田口浩正、浅野和之、  吹越満、高畑淳子、玉木宏突然の田之倉(福士蒼汰)からのプロポーズ!そして夢にまで見た彼氏との温泉旅行!人生最高の幸せに舞い上がる花笑(綾瀬はるか)だが、田之倉のゼミの先輩・戸崎(香椎由宇)に、優秀な田之倉が大学院を諦めるのは残念だと聞かされ、自分が田之倉の足を引っ張っていることに罪悪感を感じる。自分が田之倉のためにできることは何かと考え、花笑が出した答えは…!?さらに、朝尾(玉木宏)のレストランの開店日に呼び出され…?</v>
      </c>
      <c r="N3896" s="2"/>
      <c r="O3896" s="2"/>
      <c r="P3896" s="1"/>
      <c r="Q3896" s="1"/>
      <c r="R3896" s="1"/>
      <c r="S3896" s="1"/>
      <c r="T3896" s="1"/>
      <c r="U3896" s="1"/>
      <c r="V3896" s="1"/>
      <c r="W3896" s="1"/>
      <c r="X3896" s="1"/>
      <c r="Y3896" s="1"/>
      <c r="Z3896" s="1"/>
      <c r="AA3896" s="1"/>
      <c r="AB3896" s="1"/>
      <c r="AC3896" s="1"/>
      <c r="AD3896" s="1"/>
      <c r="AE3896" s="1"/>
      <c r="AF3896" s="1"/>
      <c r="AG3896" s="1"/>
      <c r="AH3896" s="1"/>
      <c r="AI3896" s="1"/>
      <c r="AJ3896" s="1"/>
      <c r="AK3896" s="1"/>
      <c r="AL3896" s="1"/>
      <c r="AM3896" s="1"/>
      <c r="AN3896" s="1"/>
      <c r="AO3896" s="1"/>
      <c r="AP3896" s="1"/>
      <c r="AQ3896" s="1"/>
      <c r="AR3896" s="1"/>
      <c r="AS3896" s="1"/>
      <c r="AT3896" s="1"/>
      <c r="AU3896" s="1"/>
      <c r="AV3896" s="1"/>
      <c r="AW3896" s="1"/>
      <c r="AX3896" s="1"/>
      <c r="AY3896" s="1"/>
      <c r="AZ3896" s="1"/>
      <c r="BA3896" s="1"/>
      <c r="BB3896" s="1"/>
    </row>
    <row r="3897" ht="204.75" customHeight="1">
      <c r="A3897" s="1">
        <v>2472.0</v>
      </c>
      <c r="B3897" s="2" t="s">
        <v>11684</v>
      </c>
      <c r="C3897" s="2">
        <f>IFERROR(__xludf.DUMMYFUNCTION("split(B3897,""_"")"),1410.0)</f>
        <v>1410</v>
      </c>
      <c r="D3897" s="2" t="str">
        <f>IFERROR(__xludf.DUMMYFUNCTION("""COMPUTED_VALUE"""),"NTV")</f>
        <v>NTV</v>
      </c>
      <c r="E3897" s="2" t="str">
        <f>IFERROR(__xludf.DUMMYFUNCTION("""COMPUTED_VALUE"""),"水22")</f>
        <v>水22</v>
      </c>
      <c r="F3897" s="2" t="s">
        <v>11685</v>
      </c>
      <c r="G3897" s="2" t="s">
        <v>11704</v>
      </c>
      <c r="H3897" s="1">
        <v>10.0</v>
      </c>
      <c r="I3897" s="1" t="s">
        <v>37</v>
      </c>
      <c r="J3897" s="1" t="s">
        <v>82</v>
      </c>
      <c r="K3897" s="2" t="s">
        <v>11705</v>
      </c>
      <c r="L3897" s="2"/>
      <c r="M3897" s="2" t="str">
        <f>IFERROR(__xludf.DUMMYFUNCTION("split(split(K3897,""【演出"",false),""ほか"",false)"),"綾瀬はるか、  福士蒼汰、仲里依紗、田口淳之介、  千葉雄大、平岩紙、田口浩正、浅野和之、  吹越満、高畑淳子、玉木宏「きょうは会社休みます。」今夜、笑いと涙の最終回!  田之倉(福士蒼汰)の将来を想って別れを告げた花笑(綾瀬はるか)に突然朝尾(玉木宏)がプロポーズ!朝尾と結婚なんて考えられない!と思う一方で、朝尾とは何でも話せる関係であることを自覚する。そして、田之倉と会わなくなれば、この恋を忘れて、次に踏み出せると思う花笑…。最後に花笑が出した答えは!?こじらせ女・青石花笑は幸せを掴むことができるのか"&amp;"!?")</f>
        <v>綾瀬はるか、  福士蒼汰、仲里依紗、田口淳之介、  千葉雄大、平岩紙、田口浩正、浅野和之、  吹越満、高畑淳子、玉木宏「きょうは会社休みます。」今夜、笑いと涙の最終回!  田之倉(福士蒼汰)の将来を想って別れを告げた花笑(綾瀬はるか)に突然朝尾(玉木宏)がプロポーズ!朝尾と結婚なんて考えられない!と思う一方で、朝尾とは何でも話せる関係であることを自覚する。そして、田之倉と会わなくなれば、この恋を忘れて、次に踏み出せると思う花笑…。最後に花笑が出した答えは!?こじらせ女・青石花笑は幸せを掴むことができるのか!?</v>
      </c>
      <c r="N3897" s="2"/>
      <c r="O3897" s="2"/>
      <c r="P3897" s="1"/>
      <c r="Q3897" s="1"/>
      <c r="R3897" s="1"/>
      <c r="S3897" s="1"/>
      <c r="T3897" s="1"/>
      <c r="U3897" s="1"/>
      <c r="V3897" s="1"/>
      <c r="W3897" s="1"/>
      <c r="X3897" s="1"/>
      <c r="Y3897" s="1"/>
      <c r="Z3897" s="1"/>
      <c r="AA3897" s="1"/>
      <c r="AB3897" s="1"/>
      <c r="AC3897" s="1"/>
      <c r="AD3897" s="1"/>
      <c r="AE3897" s="1"/>
      <c r="AF3897" s="1"/>
      <c r="AG3897" s="1"/>
      <c r="AH3897" s="1"/>
      <c r="AI3897" s="1"/>
      <c r="AJ3897" s="1"/>
      <c r="AK3897" s="1"/>
      <c r="AL3897" s="1"/>
      <c r="AM3897" s="1"/>
      <c r="AN3897" s="1"/>
      <c r="AO3897" s="1"/>
      <c r="AP3897" s="1"/>
      <c r="AQ3897" s="1"/>
      <c r="AR3897" s="1"/>
      <c r="AS3897" s="1"/>
      <c r="AT3897" s="1"/>
      <c r="AU3897" s="1"/>
      <c r="AV3897" s="1"/>
      <c r="AW3897" s="1"/>
      <c r="AX3897" s="1"/>
      <c r="AY3897" s="1"/>
      <c r="AZ3897" s="1"/>
      <c r="BA3897" s="1"/>
      <c r="BB3897" s="1"/>
    </row>
    <row r="3898" ht="204.75" customHeight="1">
      <c r="A3898" s="1">
        <v>2509.0</v>
      </c>
      <c r="B3898" s="2" t="s">
        <v>11706</v>
      </c>
      <c r="C3898" s="2">
        <f>IFERROR(__xludf.DUMMYFUNCTION("split(B3898,""_"")"),1410.0)</f>
        <v>1410</v>
      </c>
      <c r="D3898" s="2" t="str">
        <f>IFERROR(__xludf.DUMMYFUNCTION("""COMPUTED_VALUE"""),"NTV")</f>
        <v>NTV</v>
      </c>
      <c r="E3898" s="2" t="str">
        <f>IFERROR(__xludf.DUMMYFUNCTION("""COMPUTED_VALUE"""),"木23")</f>
        <v>木23</v>
      </c>
      <c r="F3898" s="2" t="s">
        <v>11707</v>
      </c>
      <c r="G3898" s="2" t="s">
        <v>11708</v>
      </c>
      <c r="H3898" s="1">
        <v>1.0</v>
      </c>
      <c r="J3898" s="1" t="s">
        <v>1435</v>
      </c>
      <c r="K3898" s="2" t="s">
        <v>11709</v>
      </c>
      <c r="L3898" s="2"/>
      <c r="M3898" s="2" t="str">
        <f>IFERROR(__xludf.DUMMYFUNCTION("split(split(K3898,""【演出"",false),""ほか"",false)"),"松本利夫(EXILE)、山口紗弥加、石黒英雄、原菜乃華(子役)、西村雅彦  【第1話ゲスト】酒井美紀、袴田吉彦、児嶋一哉(アンジャッシュ)元暴走族総長ミノワ(松本利夫)は父の死を知り故郷月島へ。そこには9歳の妹カナがいた。カナの為、定職に就く事を迫られたミノワは奇跡的に弁護士・高田夏美(山口紗弥加)の事務員となる。しかし、採用した所長・工藤洋平(西村雅彦)には何か思惑が…。  そんな中、酒井健一(袴田吉彦)と遺産相続で揉めている戸上玲奈(酒井美紀)が依頼人としてやって来て…。  果たしてミノワは、絡み合っ"&amp;"た兄妹関係を修復できるのか!?【原作】『特攻事務員ミノワ』小川圭(講談社　ヤングマガジンKC所載)【主題歌】「秋風のアンサー」Flower10月2日(木)放送予定  ★スッキリ!!  ★PON!(一部地域を除く)  ★情報ライブ　ミヤネ屋  ★かんさい情報ネットten.(関西地方のみ)  松本利夫(EXILE)さん、山口紗弥加さん、西村雅彦さん出演!    さらに、  10月2日(木)よる9時から放送  「ダウンタウンDXDX」に松本利夫(EXILE)さん出演!!【番組公式サイト】  http://www"&amp;".ytv.co.jp/binta/  【番組公式Twitter】  https://twitter.com/ytvdrama　#ビンタ  【番組公式facebook】  https://www.facebook.com/ytv.binta")</f>
        <v>松本利夫(EXILE)、山口紗弥加、石黒英雄、原菜乃華(子役)、西村雅彦  【第1話ゲスト】酒井美紀、袴田吉彦、児嶋一哉(アンジャッシュ)元暴走族総長ミノワ(松本利夫)は父の死を知り故郷月島へ。そこには9歳の妹カナがいた。カナの為、定職に就く事を迫られたミノワは奇跡的に弁護士・高田夏美(山口紗弥加)の事務員となる。しかし、採用した所長・工藤洋平(西村雅彦)には何か思惑が…。  そんな中、酒井健一(袴田吉彦)と遺産相続で揉めている戸上玲奈(酒井美紀)が依頼人としてやって来て…。  果たしてミノワは、絡み合った兄妹関係を修復できるのか!?【原作】『特攻事務員ミノワ』小川圭(講談社　ヤングマガジンKC所載)【主題歌】「秋風のアンサー」Flower10月2日(木)放送予定  ★スッキリ!!  ★PON!(一部地域を除く)  ★情報ライブ　ミヤネ屋  ★かんさい情報ネットten.(関西地方のみ)  松本利夫(EXILE)さん、山口紗弥加さん、西村雅彦さん出演!    さらに、  10月2日(木)よる9時から放送  「ダウンタウンDXDX」に松本利夫(EXILE)さん出演!!【番組公式サイト】  http://www.ytv.co.jp/binta/  【番組公式Twitter】  https://twitter.com/ytvdrama　#ビンタ  【番組公式facebook】  https://www.facebook.com/ytv.binta</v>
      </c>
      <c r="N3898" s="2"/>
      <c r="O3898" s="2"/>
      <c r="P3898" s="1"/>
      <c r="Q3898" s="1"/>
      <c r="R3898" s="1"/>
      <c r="S3898" s="1"/>
      <c r="T3898" s="1"/>
      <c r="U3898" s="1"/>
      <c r="V3898" s="1"/>
      <c r="W3898" s="1"/>
      <c r="X3898" s="1"/>
      <c r="Y3898" s="1"/>
      <c r="Z3898" s="1"/>
      <c r="AA3898" s="1"/>
      <c r="AB3898" s="1"/>
      <c r="AC3898" s="1"/>
      <c r="AD3898" s="1"/>
      <c r="AE3898" s="1"/>
      <c r="AF3898" s="1"/>
      <c r="AG3898" s="1"/>
      <c r="AH3898" s="1"/>
      <c r="AI3898" s="1"/>
      <c r="AJ3898" s="1"/>
      <c r="AK3898" s="1"/>
      <c r="AL3898" s="1"/>
      <c r="AM3898" s="1"/>
      <c r="AN3898" s="1"/>
      <c r="AO3898" s="1"/>
      <c r="AP3898" s="1"/>
      <c r="AQ3898" s="1"/>
      <c r="AR3898" s="1"/>
      <c r="AS3898" s="1"/>
      <c r="AT3898" s="1"/>
      <c r="AU3898" s="1"/>
      <c r="AV3898" s="1"/>
      <c r="AW3898" s="1"/>
      <c r="AX3898" s="1"/>
      <c r="AY3898" s="1"/>
      <c r="AZ3898" s="1"/>
      <c r="BA3898" s="1"/>
      <c r="BB3898" s="1"/>
    </row>
    <row r="3899" ht="204.75" customHeight="1">
      <c r="A3899" s="1">
        <v>2510.0</v>
      </c>
      <c r="B3899" s="2" t="s">
        <v>11706</v>
      </c>
      <c r="C3899" s="2">
        <f>IFERROR(__xludf.DUMMYFUNCTION("split(B3899,""_"")"),1410.0)</f>
        <v>1410</v>
      </c>
      <c r="D3899" s="2" t="str">
        <f>IFERROR(__xludf.DUMMYFUNCTION("""COMPUTED_VALUE"""),"NTV")</f>
        <v>NTV</v>
      </c>
      <c r="E3899" s="2" t="str">
        <f>IFERROR(__xludf.DUMMYFUNCTION("""COMPUTED_VALUE"""),"木23")</f>
        <v>木23</v>
      </c>
      <c r="F3899" s="2" t="s">
        <v>11707</v>
      </c>
      <c r="G3899" s="2" t="s">
        <v>11710</v>
      </c>
      <c r="H3899" s="1">
        <v>2.0</v>
      </c>
      <c r="J3899" s="1" t="s">
        <v>1435</v>
      </c>
      <c r="K3899" s="2" t="s">
        <v>11711</v>
      </c>
      <c r="L3899" s="2"/>
      <c r="M3899" s="2" t="str">
        <f>IFERROR(__xludf.DUMMYFUNCTION("split(split(K3899,""【演出"",false),""ほか"",false)"),"松本利夫(EXILE)、山口紗弥加、石黒英雄、原菜乃華(子役)、西村雅彦  【第2話ゲスト】岡田義徳、紺野まひる、河相我聞、五十嵐陽向(子役)工藤(西村雅彦)に逆らいミノワ(松本利夫)と共に独立した夏美(山口紗弥加)。最初の依頼人は和菓子屋の主人・長澤(岡田義徳)。  DNA鑑定の結果、息子・裕希(五十嵐陽向)と血が繋がっていない事が判明したのだ。そして、離婚を拒む妻・絵里子(紺野まひる)の弁護についたのは、なんと工藤だった!師弟対決に燃える夏美だが次々と明らかになる意外な事実に翻弄される。本当の父親は誰"&amp;"なのか?ミノワが取った行動とは!?【原作】  『特攻事務員ミノワ』小川圭(講談社　ヤングマガジンKC所載)【主題歌】  「秋風のアンサー」Flower10月9日(木)放送  「す・またん!」(関西ローカル)  松本利夫さん、山口紗弥加さん、西村雅彦さん　VTR出演!!【番組公式サイト】  http://www.ytv.co.jp/binta/  【番組公式Twitter】  https://twitter.com/ytvdrama　#ビンタ  【番組公式facebook】  https://www.fac"&amp;"ebook.com/ytv.binta")</f>
        <v>松本利夫(EXILE)、山口紗弥加、石黒英雄、原菜乃華(子役)、西村雅彦  【第2話ゲスト】岡田義徳、紺野まひる、河相我聞、五十嵐陽向(子役)工藤(西村雅彦)に逆らいミノワ(松本利夫)と共に独立した夏美(山口紗弥加)。最初の依頼人は和菓子屋の主人・長澤(岡田義徳)。  DNA鑑定の結果、息子・裕希(五十嵐陽向)と血が繋がっていない事が判明したのだ。そして、離婚を拒む妻・絵里子(紺野まひる)の弁護についたのは、なんと工藤だった!師弟対決に燃える夏美だが次々と明らかになる意外な事実に翻弄される。本当の父親は誰なのか?ミノワが取った行動とは!?【原作】  『特攻事務員ミノワ』小川圭(講談社　ヤングマガジンKC所載)【主題歌】  「秋風のアンサー」Flower10月9日(木)放送  「す・またん!」(関西ローカル)  松本利夫さん、山口紗弥加さん、西村雅彦さん　VTR出演!!【番組公式サイト】  http://www.ytv.co.jp/binta/  【番組公式Twitter】  https://twitter.com/ytvdrama　#ビンタ  【番組公式facebook】  https://www.facebook.com/ytv.binta</v>
      </c>
      <c r="N3899" s="2"/>
      <c r="O3899" s="2"/>
      <c r="P3899" s="1"/>
      <c r="Q3899" s="1"/>
      <c r="R3899" s="1"/>
      <c r="S3899" s="1"/>
      <c r="T3899" s="1"/>
      <c r="U3899" s="1"/>
      <c r="V3899" s="1"/>
      <c r="W3899" s="1"/>
      <c r="X3899" s="1"/>
      <c r="Y3899" s="1"/>
      <c r="Z3899" s="1"/>
      <c r="AA3899" s="1"/>
      <c r="AB3899" s="1"/>
      <c r="AC3899" s="1"/>
      <c r="AD3899" s="1"/>
      <c r="AE3899" s="1"/>
      <c r="AF3899" s="1"/>
      <c r="AG3899" s="1"/>
      <c r="AH3899" s="1"/>
      <c r="AI3899" s="1"/>
      <c r="AJ3899" s="1"/>
      <c r="AK3899" s="1"/>
      <c r="AL3899" s="1"/>
      <c r="AM3899" s="1"/>
      <c r="AN3899" s="1"/>
      <c r="AO3899" s="1"/>
      <c r="AP3899" s="1"/>
      <c r="AQ3899" s="1"/>
      <c r="AR3899" s="1"/>
      <c r="AS3899" s="1"/>
      <c r="AT3899" s="1"/>
      <c r="AU3899" s="1"/>
      <c r="AV3899" s="1"/>
      <c r="AW3899" s="1"/>
      <c r="AX3899" s="1"/>
      <c r="AY3899" s="1"/>
      <c r="AZ3899" s="1"/>
      <c r="BA3899" s="1"/>
      <c r="BB3899" s="1"/>
    </row>
    <row r="3900" ht="204.75" customHeight="1">
      <c r="A3900" s="1">
        <v>2511.0</v>
      </c>
      <c r="B3900" s="2" t="s">
        <v>11706</v>
      </c>
      <c r="C3900" s="2">
        <f>IFERROR(__xludf.DUMMYFUNCTION("split(B3900,""_"")"),1410.0)</f>
        <v>1410</v>
      </c>
      <c r="D3900" s="2" t="str">
        <f>IFERROR(__xludf.DUMMYFUNCTION("""COMPUTED_VALUE"""),"NTV")</f>
        <v>NTV</v>
      </c>
      <c r="E3900" s="2" t="str">
        <f>IFERROR(__xludf.DUMMYFUNCTION("""COMPUTED_VALUE"""),"木23")</f>
        <v>木23</v>
      </c>
      <c r="F3900" s="2" t="s">
        <v>11707</v>
      </c>
      <c r="G3900" s="2" t="s">
        <v>11712</v>
      </c>
      <c r="H3900" s="1">
        <v>3.0</v>
      </c>
      <c r="J3900" s="1" t="s">
        <v>1435</v>
      </c>
      <c r="K3900" s="2" t="s">
        <v>11713</v>
      </c>
      <c r="L3900" s="2"/>
      <c r="M3900" s="2" t="str">
        <f>IFERROR(__xludf.DUMMYFUNCTION("split(split(K3900,""【演出"",false),""ほか"",false)"),"松本利夫(EXILE)、山口紗弥加、石黒英雄、原菜乃華(子役)、西村雅彦  【第3話ゲスト】谷村美月、近江谷太朗、MAKIDAI(友情出演)、AKIRA(友情出演)ミノワ(松本利夫)は、闇金の取り立て屋に追われている派遣OL・野村未歩(谷村美月)と出会う。取り立てに困っている未歩に同情したミノワは、夏美(山口紗弥加)と共に闇金業者と対決する事に。一時は見事撃退するミノワ達だったが、闇金業者も反撃を開始。さらに、ミノワを利用して夏美を追い詰めようとする工藤(西村雅彦)の思惑も絡み、事態は意外な展開を見せる。"&amp;"果たしてミノワは未歩を救う事ができるのか…!?【原作】『特攻事務員ミノワ』小川圭(講談社　ヤングマガジンKC所載)【主題歌】「秋風のアンサー」Flower10月16日(木)よる9時から放送  「秘密のケンミンSHOW　ダウンタウンDX　合体SP」に西村雅彦さんさん出演!!【番組公式サイト】  http://www.ytv.co.jp/binta/  【番組公式Twitter】  https://twitter.com/ytvdrama　#ビンタ  【番組公式facebook】  https://www.f"&amp;"acebook.com/ytv.binta")</f>
        <v>松本利夫(EXILE)、山口紗弥加、石黒英雄、原菜乃華(子役)、西村雅彦  【第3話ゲスト】谷村美月、近江谷太朗、MAKIDAI(友情出演)、AKIRA(友情出演)ミノワ(松本利夫)は、闇金の取り立て屋に追われている派遣OL・野村未歩(谷村美月)と出会う。取り立てに困っている未歩に同情したミノワは、夏美(山口紗弥加)と共に闇金業者と対決する事に。一時は見事撃退するミノワ達だったが、闇金業者も反撃を開始。さらに、ミノワを利用して夏美を追い詰めようとする工藤(西村雅彦)の思惑も絡み、事態は意外な展開を見せる。果たしてミノワは未歩を救う事ができるのか…!?【原作】『特攻事務員ミノワ』小川圭(講談社　ヤングマガジンKC所載)【主題歌】「秋風のアンサー」Flower10月16日(木)よる9時から放送  「秘密のケンミンSHOW　ダウンタウンDX　合体SP」に西村雅彦さんさん出演!!【番組公式サイト】  http://www.ytv.co.jp/binta/  【番組公式Twitter】  https://twitter.com/ytvdrama　#ビンタ  【番組公式facebook】  https://www.facebook.com/ytv.binta</v>
      </c>
      <c r="N3900" s="2"/>
      <c r="O3900" s="2"/>
      <c r="P3900" s="1"/>
      <c r="Q3900" s="1"/>
      <c r="R3900" s="1"/>
      <c r="S3900" s="1"/>
      <c r="T3900" s="1"/>
      <c r="U3900" s="1"/>
      <c r="V3900" s="1"/>
      <c r="W3900" s="1"/>
      <c r="X3900" s="1"/>
      <c r="Y3900" s="1"/>
      <c r="Z3900" s="1"/>
      <c r="AA3900" s="1"/>
      <c r="AB3900" s="1"/>
      <c r="AC3900" s="1"/>
      <c r="AD3900" s="1"/>
      <c r="AE3900" s="1"/>
      <c r="AF3900" s="1"/>
      <c r="AG3900" s="1"/>
      <c r="AH3900" s="1"/>
      <c r="AI3900" s="1"/>
      <c r="AJ3900" s="1"/>
      <c r="AK3900" s="1"/>
      <c r="AL3900" s="1"/>
      <c r="AM3900" s="1"/>
      <c r="AN3900" s="1"/>
      <c r="AO3900" s="1"/>
      <c r="AP3900" s="1"/>
      <c r="AQ3900" s="1"/>
      <c r="AR3900" s="1"/>
      <c r="AS3900" s="1"/>
      <c r="AT3900" s="1"/>
      <c r="AU3900" s="1"/>
      <c r="AV3900" s="1"/>
      <c r="AW3900" s="1"/>
      <c r="AX3900" s="1"/>
      <c r="AY3900" s="1"/>
      <c r="AZ3900" s="1"/>
      <c r="BA3900" s="1"/>
      <c r="BB3900" s="1"/>
    </row>
    <row r="3901" ht="204.75" customHeight="1">
      <c r="A3901" s="1">
        <v>2512.0</v>
      </c>
      <c r="B3901" s="2" t="s">
        <v>11706</v>
      </c>
      <c r="C3901" s="2">
        <f>IFERROR(__xludf.DUMMYFUNCTION("split(B3901,""_"")"),1410.0)</f>
        <v>1410</v>
      </c>
      <c r="D3901" s="2" t="str">
        <f>IFERROR(__xludf.DUMMYFUNCTION("""COMPUTED_VALUE"""),"NTV")</f>
        <v>NTV</v>
      </c>
      <c r="E3901" s="2" t="str">
        <f>IFERROR(__xludf.DUMMYFUNCTION("""COMPUTED_VALUE"""),"木23")</f>
        <v>木23</v>
      </c>
      <c r="F3901" s="2" t="s">
        <v>11707</v>
      </c>
      <c r="G3901" s="2" t="s">
        <v>11714</v>
      </c>
      <c r="H3901" s="1">
        <v>4.0</v>
      </c>
      <c r="J3901" s="1" t="s">
        <v>1435</v>
      </c>
      <c r="K3901" s="2" t="s">
        <v>11715</v>
      </c>
      <c r="L3901" s="2"/>
      <c r="M3901" s="2" t="str">
        <f>IFERROR(__xludf.DUMMYFUNCTION("split(split(K3901,""【演出"",false),""ほか"",false)"),"松本利夫(EXILE)、山口紗弥加、石黒英雄、原菜乃華(子役)、西村雅彦  【第4話ゲスト】七瀬なつみ、菅谷哲也高田法律事務所にカナ(原菜乃華)の担任・増田亮太(菅谷哲也)がやって来る。PTA役員の桜井薫子(七瀬なつみ)に担任を替わるよう迫られているのだ。薫子はいわゆるモンスターペアレントで、言い分は理不尽なものばかりだった。また、厄介な事に、薫子の弁護士には工藤(西村雅彦)がついている。  夏美(山口紗弥加)は増田を救うべく、ミノワ(松本利夫)にPTAに潜入するよう命じるが、そこで大事件が起きてしまい…"&amp;"。【原作】  『特攻事務員ミノワ』小川圭(講談社　ヤングマガジンKC所載)【主題歌】  「秋風のアンサー」Flower【番組公式サイト】  http://www.ytv.co.jp/binta/  【番組公式Twitter】  https://twitter.com/ytvdrama　#ビンタ  【番組公式facebook】  https://www.facebook.com/ytv.binta")</f>
        <v>松本利夫(EXILE)、山口紗弥加、石黒英雄、原菜乃華(子役)、西村雅彦  【第4話ゲスト】七瀬なつみ、菅谷哲也高田法律事務所にカナ(原菜乃華)の担任・増田亮太(菅谷哲也)がやって来る。PTA役員の桜井薫子(七瀬なつみ)に担任を替わるよう迫られているのだ。薫子はいわゆるモンスターペアレントで、言い分は理不尽なものばかりだった。また、厄介な事に、薫子の弁護士には工藤(西村雅彦)がついている。  夏美(山口紗弥加)は増田を救うべく、ミノワ(松本利夫)にPTAに潜入するよう命じるが、そこで大事件が起きてしまい…。【原作】  『特攻事務員ミノワ』小川圭(講談社　ヤングマガジンKC所載)【主題歌】  「秋風のアンサー」Flower【番組公式サイト】  http://www.ytv.co.jp/binta/  【番組公式Twitter】  https://twitter.com/ytvdrama　#ビンタ  【番組公式facebook】  https://www.facebook.com/ytv.binta</v>
      </c>
      <c r="N3901" s="2"/>
      <c r="O3901" s="2"/>
      <c r="P3901" s="1"/>
      <c r="Q3901" s="1"/>
      <c r="R3901" s="1"/>
      <c r="S3901" s="1"/>
      <c r="T3901" s="1"/>
      <c r="U3901" s="1"/>
      <c r="V3901" s="1"/>
      <c r="W3901" s="1"/>
      <c r="X3901" s="1"/>
      <c r="Y3901" s="1"/>
      <c r="Z3901" s="1"/>
      <c r="AA3901" s="1"/>
      <c r="AB3901" s="1"/>
      <c r="AC3901" s="1"/>
      <c r="AD3901" s="1"/>
      <c r="AE3901" s="1"/>
      <c r="AF3901" s="1"/>
      <c r="AG3901" s="1"/>
      <c r="AH3901" s="1"/>
      <c r="AI3901" s="1"/>
      <c r="AJ3901" s="1"/>
      <c r="AK3901" s="1"/>
      <c r="AL3901" s="1"/>
      <c r="AM3901" s="1"/>
      <c r="AN3901" s="1"/>
      <c r="AO3901" s="1"/>
      <c r="AP3901" s="1"/>
      <c r="AQ3901" s="1"/>
      <c r="AR3901" s="1"/>
      <c r="AS3901" s="1"/>
      <c r="AT3901" s="1"/>
      <c r="AU3901" s="1"/>
      <c r="AV3901" s="1"/>
      <c r="AW3901" s="1"/>
      <c r="AX3901" s="1"/>
      <c r="AY3901" s="1"/>
      <c r="AZ3901" s="1"/>
      <c r="BA3901" s="1"/>
      <c r="BB3901" s="1"/>
    </row>
    <row r="3902" ht="204.75" customHeight="1">
      <c r="A3902" s="1">
        <v>2513.0</v>
      </c>
      <c r="B3902" s="2" t="s">
        <v>11706</v>
      </c>
      <c r="C3902" s="2">
        <f>IFERROR(__xludf.DUMMYFUNCTION("split(B3902,""_"")"),1410.0)</f>
        <v>1410</v>
      </c>
      <c r="D3902" s="2" t="str">
        <f>IFERROR(__xludf.DUMMYFUNCTION("""COMPUTED_VALUE"""),"NTV")</f>
        <v>NTV</v>
      </c>
      <c r="E3902" s="2" t="str">
        <f>IFERROR(__xludf.DUMMYFUNCTION("""COMPUTED_VALUE"""),"木23")</f>
        <v>木23</v>
      </c>
      <c r="F3902" s="2" t="s">
        <v>11707</v>
      </c>
      <c r="G3902" s="2" t="s">
        <v>11716</v>
      </c>
      <c r="H3902" s="1">
        <v>5.0</v>
      </c>
      <c r="I3902" s="1" t="s">
        <v>2884</v>
      </c>
      <c r="J3902" s="1" t="s">
        <v>1435</v>
      </c>
      <c r="K3902" s="2" t="s">
        <v>11717</v>
      </c>
      <c r="L3902" s="2"/>
      <c r="M3902" s="2" t="str">
        <f>IFERROR(__xludf.DUMMYFUNCTION("split(split(K3902,""【演出"",false),""ほか"",false)"),"松本利夫(EXILE)、山口紗弥加、石黒英雄、原菜乃華(子役)、西村雅彦  【第5話ゲスト】櫻井淳子、黒坂真美、東根作寿英不倫関係にある永井絵美(黒坂真美)と秋野修治(東根作寿英)が夏美(山口紗弥加)の元に依頼にやって来る。修治の妻・多香子(櫻井淳子)に不倫がバレてしまい、絵美が慰謝料を請求されているというのだ。セックスレスで夫に愛もないが、子供のため離婚を拒む多香子。  秋野を愛しているから結婚したいという絵美。二人の間で揺れる秋野。三者の愛憎渦巻く中、ミノワ(松本利夫)の行動がとんでもない修羅場を招い"&amp;"てしまい…!?【原作】『特攻事務員ミノワ』小川圭(講談社　ヤングマガジンKC所載)【主題歌】「秋風のアンサー」Flower【番組公式サイト】  http://www.ytv.co.jp/binta/  【番組公式Twitter】  https://twitter.com/ytvdrama　#ビンタ  【番組公式facebook】  https://www.facebook.com/ytv.binta")</f>
        <v>松本利夫(EXILE)、山口紗弥加、石黒英雄、原菜乃華(子役)、西村雅彦  【第5話ゲスト】櫻井淳子、黒坂真美、東根作寿英不倫関係にある永井絵美(黒坂真美)と秋野修治(東根作寿英)が夏美(山口紗弥加)の元に依頼にやって来る。修治の妻・多香子(櫻井淳子)に不倫がバレてしまい、絵美が慰謝料を請求されているというのだ。セックスレスで夫に愛もないが、子供のため離婚を拒む多香子。  秋野を愛しているから結婚したいという絵美。二人の間で揺れる秋野。三者の愛憎渦巻く中、ミノワ(松本利夫)の行動がとんでもない修羅場を招いてしまい…!?【原作】『特攻事務員ミノワ』小川圭(講談社　ヤングマガジンKC所載)【主題歌】「秋風のアンサー」Flower【番組公式サイト】  http://www.ytv.co.jp/binta/  【番組公式Twitter】  https://twitter.com/ytvdrama　#ビンタ  【番組公式facebook】  https://www.facebook.com/ytv.binta</v>
      </c>
      <c r="N3902" s="2"/>
      <c r="O3902" s="2"/>
      <c r="P3902" s="1"/>
      <c r="Q3902" s="1"/>
      <c r="R3902" s="1"/>
      <c r="S3902" s="1"/>
      <c r="T3902" s="1"/>
      <c r="U3902" s="1"/>
      <c r="V3902" s="1"/>
      <c r="W3902" s="1"/>
      <c r="X3902" s="1"/>
      <c r="Y3902" s="1"/>
      <c r="Z3902" s="1"/>
      <c r="AA3902" s="1"/>
      <c r="AB3902" s="1"/>
      <c r="AC3902" s="1"/>
      <c r="AD3902" s="1"/>
      <c r="AE3902" s="1"/>
      <c r="AF3902" s="1"/>
      <c r="AG3902" s="1"/>
      <c r="AH3902" s="1"/>
      <c r="AI3902" s="1"/>
      <c r="AJ3902" s="1"/>
      <c r="AK3902" s="1"/>
      <c r="AL3902" s="1"/>
      <c r="AM3902" s="1"/>
      <c r="AN3902" s="1"/>
      <c r="AO3902" s="1"/>
      <c r="AP3902" s="1"/>
      <c r="AQ3902" s="1"/>
      <c r="AR3902" s="1"/>
      <c r="AS3902" s="1"/>
      <c r="AT3902" s="1"/>
      <c r="AU3902" s="1"/>
      <c r="AV3902" s="1"/>
      <c r="AW3902" s="1"/>
      <c r="AX3902" s="1"/>
      <c r="AY3902" s="1"/>
      <c r="AZ3902" s="1"/>
      <c r="BA3902" s="1"/>
      <c r="BB3902" s="1"/>
    </row>
    <row r="3903" ht="204.75" customHeight="1">
      <c r="A3903" s="1">
        <v>2514.0</v>
      </c>
      <c r="B3903" s="2" t="s">
        <v>11706</v>
      </c>
      <c r="C3903" s="2">
        <f>IFERROR(__xludf.DUMMYFUNCTION("split(B3903,""_"")"),1410.0)</f>
        <v>1410</v>
      </c>
      <c r="D3903" s="2" t="str">
        <f>IFERROR(__xludf.DUMMYFUNCTION("""COMPUTED_VALUE"""),"NTV")</f>
        <v>NTV</v>
      </c>
      <c r="E3903" s="2" t="str">
        <f>IFERROR(__xludf.DUMMYFUNCTION("""COMPUTED_VALUE"""),"木23")</f>
        <v>木23</v>
      </c>
      <c r="F3903" s="2" t="s">
        <v>11707</v>
      </c>
      <c r="G3903" s="2" t="s">
        <v>11718</v>
      </c>
      <c r="H3903" s="1">
        <v>6.0</v>
      </c>
      <c r="I3903" s="1" t="s">
        <v>2888</v>
      </c>
      <c r="J3903" s="1" t="s">
        <v>1435</v>
      </c>
      <c r="K3903" s="2" t="s">
        <v>11719</v>
      </c>
      <c r="L3903" s="2"/>
      <c r="M3903" s="2" t="str">
        <f>IFERROR(__xludf.DUMMYFUNCTION("split(split(K3903,""【演出"",false),""ほか"",false)"),"松本利夫(EXILE)、山口紗弥加、石黒英雄、原菜乃華(子役)、西村雅彦  【第6話ゲスト】ちすん、根岸季衣、馬場徹夏美(山口紗弥加)の元に友人で女医の小田律子(ちすん)が訪れる。年下の研修医と婚約中の律子だが、結婚に反対する律子の母・早苗(根岸季衣)が執拗に干渉してくるらしい。早苗は娘を愛するあまり、束縛し、私物化しようとする“毒母”だったのだ。  一方、カナ(原菜乃華)が中学生に告白され気が気じゃないミノワ(松本利夫)は早苗の味方になってしまう。しかし、早苗の行動はエスカレートし、遂に決定的な事件が起"&amp;"こる…!【原作】  『特攻事務員ミノワ』小川圭(講談社　ヤングマガジンKC所載)【主題歌】  「秋風のアンサー」Flower【番組公式サイト】  http://www.ytv.co.jp/binta/  【番組公式Twitter】  https://twitter.com/ytvdrama　#ビンタ  【番組公式facebook】  https://www.facebook.com/ytv.binta")</f>
        <v>松本利夫(EXILE)、山口紗弥加、石黒英雄、原菜乃華(子役)、西村雅彦  【第6話ゲスト】ちすん、根岸季衣、馬場徹夏美(山口紗弥加)の元に友人で女医の小田律子(ちすん)が訪れる。年下の研修医と婚約中の律子だが、結婚に反対する律子の母・早苗(根岸季衣)が執拗に干渉してくるらしい。早苗は娘を愛するあまり、束縛し、私物化しようとする“毒母”だったのだ。  一方、カナ(原菜乃華)が中学生に告白され気が気じゃないミノワ(松本利夫)は早苗の味方になってしまう。しかし、早苗の行動はエスカレートし、遂に決定的な事件が起こる…!【原作】  『特攻事務員ミノワ』小川圭(講談社　ヤングマガジンKC所載)【主題歌】  「秋風のアンサー」Flower【番組公式サイト】  http://www.ytv.co.jp/binta/  【番組公式Twitter】  https://twitter.com/ytvdrama　#ビンタ  【番組公式facebook】  https://www.facebook.com/ytv.binta</v>
      </c>
      <c r="N3903" s="2"/>
      <c r="O3903" s="2"/>
      <c r="P3903" s="1"/>
      <c r="Q3903" s="1"/>
      <c r="R3903" s="1"/>
      <c r="S3903" s="1"/>
      <c r="T3903" s="1"/>
      <c r="U3903" s="1"/>
      <c r="V3903" s="1"/>
      <c r="W3903" s="1"/>
      <c r="X3903" s="1"/>
      <c r="Y3903" s="1"/>
      <c r="Z3903" s="1"/>
      <c r="AA3903" s="1"/>
      <c r="AB3903" s="1"/>
      <c r="AC3903" s="1"/>
      <c r="AD3903" s="1"/>
      <c r="AE3903" s="1"/>
      <c r="AF3903" s="1"/>
      <c r="AG3903" s="1"/>
      <c r="AH3903" s="1"/>
      <c r="AI3903" s="1"/>
      <c r="AJ3903" s="1"/>
      <c r="AK3903" s="1"/>
      <c r="AL3903" s="1"/>
      <c r="AM3903" s="1"/>
      <c r="AN3903" s="1"/>
      <c r="AO3903" s="1"/>
      <c r="AP3903" s="1"/>
      <c r="AQ3903" s="1"/>
      <c r="AR3903" s="1"/>
      <c r="AS3903" s="1"/>
      <c r="AT3903" s="1"/>
      <c r="AU3903" s="1"/>
      <c r="AV3903" s="1"/>
      <c r="AW3903" s="1"/>
      <c r="AX3903" s="1"/>
      <c r="AY3903" s="1"/>
      <c r="AZ3903" s="1"/>
      <c r="BA3903" s="1"/>
      <c r="BB3903" s="1"/>
    </row>
    <row r="3904" ht="204.75" customHeight="1">
      <c r="A3904" s="1">
        <v>2515.0</v>
      </c>
      <c r="B3904" s="2" t="s">
        <v>11706</v>
      </c>
      <c r="C3904" s="2">
        <f>IFERROR(__xludf.DUMMYFUNCTION("split(B3904,""_"")"),1410.0)</f>
        <v>1410</v>
      </c>
      <c r="D3904" s="2" t="str">
        <f>IFERROR(__xludf.DUMMYFUNCTION("""COMPUTED_VALUE"""),"NTV")</f>
        <v>NTV</v>
      </c>
      <c r="E3904" s="2" t="str">
        <f>IFERROR(__xludf.DUMMYFUNCTION("""COMPUTED_VALUE"""),"木23")</f>
        <v>木23</v>
      </c>
      <c r="F3904" s="2" t="s">
        <v>11707</v>
      </c>
      <c r="G3904" s="2" t="s">
        <v>11720</v>
      </c>
      <c r="H3904" s="1">
        <v>7.0</v>
      </c>
      <c r="I3904" s="1" t="s">
        <v>2892</v>
      </c>
      <c r="J3904" s="1" t="s">
        <v>1435</v>
      </c>
      <c r="K3904" s="2" t="s">
        <v>11721</v>
      </c>
      <c r="L3904" s="2"/>
      <c r="M3904" s="2" t="str">
        <f>IFERROR(__xludf.DUMMYFUNCTION("split(split(K3904,""【演出"",false),""ほか"",false)"),"松本利夫(EXILE)、山口紗弥加、石黒英雄、原菜乃華(子役)、西村雅彦  【第7話ゲスト】三浦理恵子、音月桂、浅越ゴエ高田法律事務所に主婦・浅野真知子(三浦理恵子)がやって来る。引っ越したばかりの新居で隣の主婦・小森谷幸恵(音月桂)から嫌がらせを受けているというのだ。しかし、幸恵は「嫌がらせを受けているのはこっちだ」と主張。夏美(山口紗弥加)は証拠を押さえるべく、ミノワ(松本利夫)に近くのボロアパートで張り込みさせるが、そのアパートはいわくつきの物件で…。果たしてミノワは隣人トラブルを解決する事が出来る"&amp;"のか…!?【原作】  『特攻事務員ミノワ』小川圭(講談社　ヤングマガジンKC所載)【主題歌】  「秋風のアンサー」Flower☆11月13日(木)『かんさい情報ネットten.』(関西地方のみ)にて、『ビンタ!』と番組コーナーとのコラボレーション企画が放送されます!お楽しみに!【番組公式サイト】  http://www.ytv.co.jp/binta/  【番組公式Twitter】  https://twitter.com/ytvdrama　#ビンタ  【番組公式facebook】  https://www"&amp;".facebook.com/ytv.binta")</f>
        <v>松本利夫(EXILE)、山口紗弥加、石黒英雄、原菜乃華(子役)、西村雅彦  【第7話ゲスト】三浦理恵子、音月桂、浅越ゴエ高田法律事務所に主婦・浅野真知子(三浦理恵子)がやって来る。引っ越したばかりの新居で隣の主婦・小森谷幸恵(音月桂)から嫌がらせを受けているというのだ。しかし、幸恵は「嫌がらせを受けているのはこっちだ」と主張。夏美(山口紗弥加)は証拠を押さえるべく、ミノワ(松本利夫)に近くのボロアパートで張り込みさせるが、そのアパートはいわくつきの物件で…。果たしてミノワは隣人トラブルを解決する事が出来るのか…!?【原作】  『特攻事務員ミノワ』小川圭(講談社　ヤングマガジンKC所載)【主題歌】  「秋風のアンサー」Flower☆11月13日(木)『かんさい情報ネットten.』(関西地方のみ)にて、『ビンタ!』と番組コーナーとのコラボレーション企画が放送されます!お楽しみに!【番組公式サイト】  http://www.ytv.co.jp/binta/  【番組公式Twitter】  https://twitter.com/ytvdrama　#ビンタ  【番組公式facebook】  https://www.facebook.com/ytv.binta</v>
      </c>
      <c r="N3904" s="2"/>
      <c r="O3904" s="2"/>
      <c r="P3904" s="1"/>
      <c r="Q3904" s="1"/>
      <c r="R3904" s="1"/>
      <c r="S3904" s="1"/>
      <c r="T3904" s="1"/>
      <c r="U3904" s="1"/>
      <c r="V3904" s="1"/>
      <c r="W3904" s="1"/>
      <c r="X3904" s="1"/>
      <c r="Y3904" s="1"/>
      <c r="Z3904" s="1"/>
      <c r="AA3904" s="1"/>
      <c r="AB3904" s="1"/>
      <c r="AC3904" s="1"/>
      <c r="AD3904" s="1"/>
      <c r="AE3904" s="1"/>
      <c r="AF3904" s="1"/>
      <c r="AG3904" s="1"/>
      <c r="AH3904" s="1"/>
      <c r="AI3904" s="1"/>
      <c r="AJ3904" s="1"/>
      <c r="AK3904" s="1"/>
      <c r="AL3904" s="1"/>
      <c r="AM3904" s="1"/>
      <c r="AN3904" s="1"/>
      <c r="AO3904" s="1"/>
      <c r="AP3904" s="1"/>
      <c r="AQ3904" s="1"/>
      <c r="AR3904" s="1"/>
      <c r="AS3904" s="1"/>
      <c r="AT3904" s="1"/>
      <c r="AU3904" s="1"/>
      <c r="AV3904" s="1"/>
      <c r="AW3904" s="1"/>
      <c r="AX3904" s="1"/>
      <c r="AY3904" s="1"/>
      <c r="AZ3904" s="1"/>
      <c r="BA3904" s="1"/>
      <c r="BB3904" s="1"/>
    </row>
    <row r="3905" ht="204.75" customHeight="1">
      <c r="A3905" s="1">
        <v>2516.0</v>
      </c>
      <c r="B3905" s="2" t="s">
        <v>11706</v>
      </c>
      <c r="C3905" s="2">
        <f>IFERROR(__xludf.DUMMYFUNCTION("split(B3905,""_"")"),1410.0)</f>
        <v>1410</v>
      </c>
      <c r="D3905" s="2" t="str">
        <f>IFERROR(__xludf.DUMMYFUNCTION("""COMPUTED_VALUE"""),"NTV")</f>
        <v>NTV</v>
      </c>
      <c r="E3905" s="2" t="str">
        <f>IFERROR(__xludf.DUMMYFUNCTION("""COMPUTED_VALUE"""),"木23")</f>
        <v>木23</v>
      </c>
      <c r="F3905" s="2" t="s">
        <v>11707</v>
      </c>
      <c r="G3905" s="2" t="s">
        <v>11722</v>
      </c>
      <c r="H3905" s="1">
        <v>8.0</v>
      </c>
      <c r="I3905" s="1" t="s">
        <v>2896</v>
      </c>
      <c r="J3905" s="1" t="s">
        <v>1435</v>
      </c>
      <c r="K3905" s="2" t="s">
        <v>11723</v>
      </c>
      <c r="L3905" s="2"/>
      <c r="M3905" s="2" t="str">
        <f>IFERROR(__xludf.DUMMYFUNCTION("split(split(K3905,""【演出"",false),""ほか"",false)"),"松本利夫(EXILE)、山口紗弥加、石黒英雄、原菜乃華(子役)、西村雅彦  【第8話ゲスト】村川絵梨高田法律事務所に若い女性・今野結衣(村川絵梨)がやって来る。なんと吾郎(石黒英雄)に不当に婚約を破棄されたというのだ。夏美(山口紗弥加)とミノワ(松本利夫)は「婚約などしてない」という吾郎を信じ、依頼を断る。だが、結衣は工藤(西村雅彦)を弁護士につけ、吾郎に慰謝料を要求。すると、「婚約などしてない」という吾郎の言葉を覆す新事実が次々と発覚!追い込まれた吾郎にミノワは驚きの解決方法を提案するが…!?【原作】『"&amp;"特攻事務員ミノワ』小川圭(講談社　ヤングマガジンKC所載)【主題歌】「秋風のアンサー」Flower【番組公式サイト】  http://www.ytv.co.jp/binta/  【番組公式Twitter】  https://twitter.com/ytvdrama　#ビンタ  【番組公式facebook】  https://www.facebook.com/ytv.binta")</f>
        <v>松本利夫(EXILE)、山口紗弥加、石黒英雄、原菜乃華(子役)、西村雅彦  【第8話ゲスト】村川絵梨高田法律事務所に若い女性・今野結衣(村川絵梨)がやって来る。なんと吾郎(石黒英雄)に不当に婚約を破棄されたというのだ。夏美(山口紗弥加)とミノワ(松本利夫)は「婚約などしてない」という吾郎を信じ、依頼を断る。だが、結衣は工藤(西村雅彦)を弁護士につけ、吾郎に慰謝料を要求。すると、「婚約などしてない」という吾郎の言葉を覆す新事実が次々と発覚!追い込まれた吾郎にミノワは驚きの解決方法を提案するが…!?【原作】『特攻事務員ミノワ』小川圭(講談社　ヤングマガジンKC所載)【主題歌】「秋風のアンサー」Flower【番組公式サイト】  http://www.ytv.co.jp/binta/  【番組公式Twitter】  https://twitter.com/ytvdrama　#ビンタ  【番組公式facebook】  https://www.facebook.com/ytv.binta</v>
      </c>
      <c r="N3905" s="2"/>
      <c r="O3905" s="2"/>
      <c r="P3905" s="1"/>
      <c r="Q3905" s="1"/>
      <c r="R3905" s="1"/>
      <c r="S3905" s="1"/>
      <c r="T3905" s="1"/>
      <c r="U3905" s="1"/>
      <c r="V3905" s="1"/>
      <c r="W3905" s="1"/>
      <c r="X3905" s="1"/>
      <c r="Y3905" s="1"/>
      <c r="Z3905" s="1"/>
      <c r="AA3905" s="1"/>
      <c r="AB3905" s="1"/>
      <c r="AC3905" s="1"/>
      <c r="AD3905" s="1"/>
      <c r="AE3905" s="1"/>
      <c r="AF3905" s="1"/>
      <c r="AG3905" s="1"/>
      <c r="AH3905" s="1"/>
      <c r="AI3905" s="1"/>
      <c r="AJ3905" s="1"/>
      <c r="AK3905" s="1"/>
      <c r="AL3905" s="1"/>
      <c r="AM3905" s="1"/>
      <c r="AN3905" s="1"/>
      <c r="AO3905" s="1"/>
      <c r="AP3905" s="1"/>
      <c r="AQ3905" s="1"/>
      <c r="AR3905" s="1"/>
      <c r="AS3905" s="1"/>
      <c r="AT3905" s="1"/>
      <c r="AU3905" s="1"/>
      <c r="AV3905" s="1"/>
      <c r="AW3905" s="1"/>
      <c r="AX3905" s="1"/>
      <c r="AY3905" s="1"/>
      <c r="AZ3905" s="1"/>
      <c r="BA3905" s="1"/>
      <c r="BB3905" s="1"/>
    </row>
    <row r="3906" ht="204.75" customHeight="1">
      <c r="A3906" s="1">
        <v>2517.0</v>
      </c>
      <c r="B3906" s="2" t="s">
        <v>11706</v>
      </c>
      <c r="C3906" s="2">
        <f>IFERROR(__xludf.DUMMYFUNCTION("split(B3906,""_"")"),1410.0)</f>
        <v>1410</v>
      </c>
      <c r="D3906" s="2" t="str">
        <f>IFERROR(__xludf.DUMMYFUNCTION("""COMPUTED_VALUE"""),"NTV")</f>
        <v>NTV</v>
      </c>
      <c r="E3906" s="2" t="str">
        <f>IFERROR(__xludf.DUMMYFUNCTION("""COMPUTED_VALUE"""),"木23")</f>
        <v>木23</v>
      </c>
      <c r="F3906" s="2" t="s">
        <v>11707</v>
      </c>
      <c r="G3906" s="2" t="s">
        <v>11724</v>
      </c>
      <c r="H3906" s="1">
        <v>9.0</v>
      </c>
      <c r="I3906" s="1" t="s">
        <v>2900</v>
      </c>
      <c r="J3906" s="1" t="s">
        <v>1435</v>
      </c>
      <c r="K3906" s="2" t="s">
        <v>11725</v>
      </c>
      <c r="L3906" s="2"/>
      <c r="M3906" s="2" t="str">
        <f>IFERROR(__xludf.DUMMYFUNCTION("split(split(K3906,""【演出"",false),""ほか"",false)"),"松本利夫(EXILE)、山口紗弥加、石黒英雄、原菜乃華(子役)、西村雅彦  【第9話ゲスト】升毅最近、挙動不審のミノワ(松本利夫)。怪しむ夏美(山口紗弥加)の元に衝撃的な知らせが。ミノワが階段から転落し、救急車で運ばれたのだ。ミノワは書店の店長・酒井哲夫(升毅)と諍いになり、誤って転落したという。書店を訪れた夏美は、万引きの疑いをかけられたミノワの写真が店頭に貼られているのを発見する!疑いを晴らそうと奔走する夏美だが出て来るのは不利な材料ばかり。さらにミノワを犯人だと言う目撃者が現れて…!?【原作】  『"&amp;"特攻事務員ミノワ』小川圭(講談社　ヤングマガジンKC所載)【主題歌】  「秋風のアンサー」Flower【番組公式サイト】  http://www.ytv.co.jp/binta/  【番組公式Twitter】  https://twitter.com/ytvdrama　#ビンタ  【番組公式facebook】  https://www.facebook.com/ytv.binta")</f>
        <v>松本利夫(EXILE)、山口紗弥加、石黒英雄、原菜乃華(子役)、西村雅彦  【第9話ゲスト】升毅最近、挙動不審のミノワ(松本利夫)。怪しむ夏美(山口紗弥加)の元に衝撃的な知らせが。ミノワが階段から転落し、救急車で運ばれたのだ。ミノワは書店の店長・酒井哲夫(升毅)と諍いになり、誤って転落したという。書店を訪れた夏美は、万引きの疑いをかけられたミノワの写真が店頭に貼られているのを発見する!疑いを晴らそうと奔走する夏美だが出て来るのは不利な材料ばかり。さらにミノワを犯人だと言う目撃者が現れて…!?【原作】  『特攻事務員ミノワ』小川圭(講談社　ヤングマガジンKC所載)【主題歌】  「秋風のアンサー」Flower【番組公式サイト】  http://www.ytv.co.jp/binta/  【番組公式Twitter】  https://twitter.com/ytvdrama　#ビンタ  【番組公式facebook】  https://www.facebook.com/ytv.binta</v>
      </c>
      <c r="N3906" s="2"/>
      <c r="O3906" s="2"/>
      <c r="P3906" s="1"/>
      <c r="Q3906" s="1"/>
      <c r="R3906" s="1"/>
      <c r="S3906" s="1"/>
      <c r="T3906" s="1"/>
      <c r="U3906" s="1"/>
      <c r="V3906" s="1"/>
      <c r="W3906" s="1"/>
      <c r="X3906" s="1"/>
      <c r="Y3906" s="1"/>
      <c r="Z3906" s="1"/>
      <c r="AA3906" s="1"/>
      <c r="AB3906" s="1"/>
      <c r="AC3906" s="1"/>
      <c r="AD3906" s="1"/>
      <c r="AE3906" s="1"/>
      <c r="AF3906" s="1"/>
      <c r="AG3906" s="1"/>
      <c r="AH3906" s="1"/>
      <c r="AI3906" s="1"/>
      <c r="AJ3906" s="1"/>
      <c r="AK3906" s="1"/>
      <c r="AL3906" s="1"/>
      <c r="AM3906" s="1"/>
      <c r="AN3906" s="1"/>
      <c r="AO3906" s="1"/>
      <c r="AP3906" s="1"/>
      <c r="AQ3906" s="1"/>
      <c r="AR3906" s="1"/>
      <c r="AS3906" s="1"/>
      <c r="AT3906" s="1"/>
      <c r="AU3906" s="1"/>
      <c r="AV3906" s="1"/>
      <c r="AW3906" s="1"/>
      <c r="AX3906" s="1"/>
      <c r="AY3906" s="1"/>
      <c r="AZ3906" s="1"/>
      <c r="BA3906" s="1"/>
      <c r="BB3906" s="1"/>
    </row>
    <row r="3907" ht="204.75" customHeight="1">
      <c r="A3907" s="1">
        <v>2518.0</v>
      </c>
      <c r="B3907" s="2" t="s">
        <v>11706</v>
      </c>
      <c r="C3907" s="2">
        <f>IFERROR(__xludf.DUMMYFUNCTION("split(B3907,""_"")"),1410.0)</f>
        <v>1410</v>
      </c>
      <c r="D3907" s="2" t="str">
        <f>IFERROR(__xludf.DUMMYFUNCTION("""COMPUTED_VALUE"""),"NTV")</f>
        <v>NTV</v>
      </c>
      <c r="E3907" s="2" t="str">
        <f>IFERROR(__xludf.DUMMYFUNCTION("""COMPUTED_VALUE"""),"木23")</f>
        <v>木23</v>
      </c>
      <c r="F3907" s="2" t="s">
        <v>11707</v>
      </c>
      <c r="G3907" s="2" t="s">
        <v>11726</v>
      </c>
      <c r="H3907" s="1">
        <v>10.0</v>
      </c>
      <c r="I3907" s="1" t="s">
        <v>37</v>
      </c>
      <c r="J3907" s="1" t="s">
        <v>1435</v>
      </c>
      <c r="K3907" s="2" t="s">
        <v>11727</v>
      </c>
      <c r="L3907" s="2"/>
      <c r="M3907" s="2" t="str">
        <f>IFERROR(__xludf.DUMMYFUNCTION("split(split(K3907,""【演出"",false),""ほか"",false)"),"松本利夫(EXILE)、山口紗弥加、石黒英雄、原菜乃華(子役)、西村雅彦  【第10話ゲスト】朝加真由美、柴本幸子育てを巡って、嫁・新城沙織(柴本幸)と姑・礼子(朝加真由美)が激しく対立。家族と向き合おうとしない夫にも愛想を尽かした沙織は、離婚を決意。一人息子・歩の親権を勝ち取るべく夏美(山口紗弥加)に相談する。一方、歩の為にも離婚を止め、家族皆で幸せになって貰いたいミノワ(松本利夫)は、その為に奔走するが、火に油を注ぐ結果となってしまう。勇み足続きのミノワは、夏美に依頼人との接触を禁じられてしまい…!?"&amp;"【原作】『特攻事務員ミノワ』小川圭(講談社　ヤングマガジンKC所載)【主題歌】「秋風のアンサー」Flower【番組公式サイト】  http://www.ytv.co.jp/binta/  【番組公式Twitter】  https://twitter.com/ytvdrama　#ビンタ  【番組公式facebook】  https://www.facebook.com/ytv.binta")</f>
        <v>松本利夫(EXILE)、山口紗弥加、石黒英雄、原菜乃華(子役)、西村雅彦  【第10話ゲスト】朝加真由美、柴本幸子育てを巡って、嫁・新城沙織(柴本幸)と姑・礼子(朝加真由美)が激しく対立。家族と向き合おうとしない夫にも愛想を尽かした沙織は、離婚を決意。一人息子・歩の親権を勝ち取るべく夏美(山口紗弥加)に相談する。一方、歩の為にも離婚を止め、家族皆で幸せになって貰いたいミノワ(松本利夫)は、その為に奔走するが、火に油を注ぐ結果となってしまう。勇み足続きのミノワは、夏美に依頼人との接触を禁じられてしまい…!?【原作】『特攻事務員ミノワ』小川圭(講談社　ヤングマガジンKC所載)【主題歌】「秋風のアンサー」Flower【番組公式サイト】  http://www.ytv.co.jp/binta/  【番組公式Twitter】  https://twitter.com/ytvdrama　#ビンタ  【番組公式facebook】  https://www.facebook.com/ytv.binta</v>
      </c>
      <c r="N3907" s="2"/>
      <c r="O3907" s="2"/>
      <c r="P3907" s="1"/>
      <c r="Q3907" s="1"/>
      <c r="R3907" s="1"/>
      <c r="S3907" s="1"/>
      <c r="T3907" s="1"/>
      <c r="U3907" s="1"/>
      <c r="V3907" s="1"/>
      <c r="W3907" s="1"/>
      <c r="X3907" s="1"/>
      <c r="Y3907" s="1"/>
      <c r="Z3907" s="1"/>
      <c r="AA3907" s="1"/>
      <c r="AB3907" s="1"/>
      <c r="AC3907" s="1"/>
      <c r="AD3907" s="1"/>
      <c r="AE3907" s="1"/>
      <c r="AF3907" s="1"/>
      <c r="AG3907" s="1"/>
      <c r="AH3907" s="1"/>
      <c r="AI3907" s="1"/>
      <c r="AJ3907" s="1"/>
      <c r="AK3907" s="1"/>
      <c r="AL3907" s="1"/>
      <c r="AM3907" s="1"/>
      <c r="AN3907" s="1"/>
      <c r="AO3907" s="1"/>
      <c r="AP3907" s="1"/>
      <c r="AQ3907" s="1"/>
      <c r="AR3907" s="1"/>
      <c r="AS3907" s="1"/>
      <c r="AT3907" s="1"/>
      <c r="AU3907" s="1"/>
      <c r="AV3907" s="1"/>
      <c r="AW3907" s="1"/>
      <c r="AX3907" s="1"/>
      <c r="AY3907" s="1"/>
      <c r="AZ3907" s="1"/>
      <c r="BA3907" s="1"/>
      <c r="BB3907" s="1"/>
    </row>
    <row r="3908" ht="204.75" customHeight="1">
      <c r="A3908" s="1">
        <v>2537.0</v>
      </c>
      <c r="B3908" s="2" t="s">
        <v>11728</v>
      </c>
      <c r="C3908" s="2">
        <f>IFERROR(__xludf.DUMMYFUNCTION("split(B3908,""_"")"),1410.0)</f>
        <v>1410</v>
      </c>
      <c r="D3908" s="2" t="str">
        <f>IFERROR(__xludf.DUMMYFUNCTION("""COMPUTED_VALUE"""),"NTV")</f>
        <v>NTV</v>
      </c>
      <c r="E3908" s="2" t="str">
        <f>IFERROR(__xludf.DUMMYFUNCTION("""COMPUTED_VALUE"""),"土21")</f>
        <v>土21</v>
      </c>
      <c r="F3908" s="2" t="s">
        <v>11729</v>
      </c>
      <c r="G3908" s="2" t="s">
        <v>11730</v>
      </c>
      <c r="H3908" s="1">
        <v>1.0</v>
      </c>
      <c r="I3908" s="1" t="s">
        <v>2868</v>
      </c>
      <c r="J3908" s="1" t="s">
        <v>4</v>
      </c>
      <c r="K3908" s="2" t="s">
        <v>11731</v>
      </c>
      <c r="L3908" s="2"/>
      <c r="M3908" s="2" t="str">
        <f>IFERROR(__xludf.DUMMYFUNCTION("split(split(K3908,""【演出"",false),""ほか"",false)"),"【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鵺野鳴介(通称ぬ～べ～:丸山隆平)は、熱意が空回りする残念なダメ教師。同僚のリツコ先生(桐谷美玲)には転任早々失望され、キザな家庭科教師の玉藻(速水もこみち)にも差をつけられる。そんな折、まこと(知念侑李)ら、ぬ"&amp;"～べ～クラスの生徒達が立て続けに不気味な怪物の幻覚を見る。ぬ～べ～は「それは妖怪のしわざだ!」と生徒たちに告げるが、バカにされてまるで相手にされない。だが、学校は鏡の妖怪に支配されて…。")</f>
        <v>【レギュラー】丸山隆平(関ジャニ∞)、桐谷美玲、速水もこみち、知英、山本美月、知念侑李(Hey!Say!JUMP)、遠山俊也、山田親太朗、柴田美咲、マキタスポーツ、優香、坂上忍、高橋英樹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鵺野鳴介(通称ぬ～べ～:丸山隆平)は、熱意が空回りする残念なダメ教師。同僚のリツコ先生(桐谷美玲)には転任早々失望され、キザな家庭科教師の玉藻(速水もこみち)にも差をつけられる。そんな折、まこと(知念侑李)ら、ぬ～べ～クラスの生徒達が立て続けに不気味な怪物の幻覚を見る。ぬ～べ～は「それは妖怪のしわざだ!」と生徒たちに告げるが、バカにされてまるで相手にされない。だが、学校は鏡の妖怪に支配されて…。</v>
      </c>
      <c r="N3908" s="2"/>
      <c r="O3908" s="2"/>
      <c r="P3908" s="1"/>
      <c r="Q3908" s="1"/>
      <c r="R3908" s="1"/>
      <c r="S3908" s="1"/>
      <c r="T3908" s="1"/>
      <c r="U3908" s="1"/>
      <c r="V3908" s="1"/>
      <c r="W3908" s="1"/>
      <c r="X3908" s="1"/>
      <c r="Y3908" s="1"/>
      <c r="Z3908" s="1"/>
      <c r="AA3908" s="1"/>
      <c r="AB3908" s="1"/>
      <c r="AC3908" s="1"/>
      <c r="AD3908" s="1"/>
      <c r="AE3908" s="1"/>
      <c r="AF3908" s="1"/>
      <c r="AG3908" s="1"/>
      <c r="AH3908" s="1"/>
      <c r="AI3908" s="1"/>
      <c r="AJ3908" s="1"/>
      <c r="AK3908" s="1"/>
      <c r="AL3908" s="1"/>
      <c r="AM3908" s="1"/>
      <c r="AN3908" s="1"/>
      <c r="AO3908" s="1"/>
      <c r="AP3908" s="1"/>
      <c r="AQ3908" s="1"/>
      <c r="AR3908" s="1"/>
      <c r="AS3908" s="1"/>
      <c r="AT3908" s="1"/>
      <c r="AU3908" s="1"/>
      <c r="AV3908" s="1"/>
      <c r="AW3908" s="1"/>
      <c r="AX3908" s="1"/>
      <c r="AY3908" s="1"/>
      <c r="AZ3908" s="1"/>
      <c r="BA3908" s="1"/>
      <c r="BB3908" s="1"/>
    </row>
    <row r="3909" ht="204.75" customHeight="1">
      <c r="A3909" s="1">
        <v>2538.0</v>
      </c>
      <c r="B3909" s="2" t="s">
        <v>11728</v>
      </c>
      <c r="C3909" s="2">
        <f>IFERROR(__xludf.DUMMYFUNCTION("split(B3909,""_"")"),1410.0)</f>
        <v>1410</v>
      </c>
      <c r="D3909" s="2" t="str">
        <f>IFERROR(__xludf.DUMMYFUNCTION("""COMPUTED_VALUE"""),"NTV")</f>
        <v>NTV</v>
      </c>
      <c r="E3909" s="2" t="str">
        <f>IFERROR(__xludf.DUMMYFUNCTION("""COMPUTED_VALUE"""),"土21")</f>
        <v>土21</v>
      </c>
      <c r="F3909" s="2" t="s">
        <v>11729</v>
      </c>
      <c r="G3909" s="2" t="s">
        <v>11732</v>
      </c>
      <c r="H3909" s="1">
        <v>2.0</v>
      </c>
      <c r="I3909" s="1" t="s">
        <v>2872</v>
      </c>
      <c r="J3909" s="1" t="s">
        <v>11</v>
      </c>
      <c r="K3909" s="2" t="s">
        <v>11733</v>
      </c>
      <c r="L3909" s="2"/>
      <c r="M3909" s="2" t="str">
        <f>IFERROR(__xludf.DUMMYFUNCTION("split(split(K3909,""【演出"",false),""ほか"",false)"),"【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【ゲスト】桝太一(日本テレビアナウンサー)着任早々、大人気教師となった玉藻(速水もこみち)。だが実はその正体は、齢400歳の妖怪・妖狐。鬼の手の秘密を探る玉藻はぬ～べ～(丸山隆平)に罠を仕掛ける。  そんな中"&amp;"、2年3組は文化祭でお化け屋敷を計画。お節介なぬ～べ～に生徒達はブーイング。日に日にぬ～べ～への「負の妖気」が高まる中、玉藻の策略で、ぬ～べ～は文化祭壊滅の犯人にされてしまい窮地に陥る。そしてついに2年3組の生徒達にも玉藻の魔の手が…!")</f>
        <v>【レギュラー】丸山隆平(関ジャニ∞)、桐谷美玲、速水もこみち、知英、山本美月、知念侑李(Hey!Say!JUMP)、遠山俊也、山田親太朗、柴田美咲、マキタスポーツ、優香、坂上忍、高橋英樹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【ゲスト】桝太一(日本テレビアナウンサー)着任早々、大人気教師となった玉藻(速水もこみち)。だが実はその正体は、齢400歳の妖怪・妖狐。鬼の手の秘密を探る玉藻はぬ～べ～(丸山隆平)に罠を仕掛ける。  そんな中、2年3組は文化祭でお化け屋敷を計画。お節介なぬ～べ～に生徒達はブーイング。日に日にぬ～べ～への「負の妖気」が高まる中、玉藻の策略で、ぬ～べ～は文化祭壊滅の犯人にされてしまい窮地に陥る。そしてついに2年3組の生徒達にも玉藻の魔の手が…!</v>
      </c>
      <c r="N3909" s="2"/>
      <c r="O3909" s="2"/>
      <c r="P3909" s="1"/>
      <c r="Q3909" s="1"/>
      <c r="R3909" s="1"/>
      <c r="S3909" s="1"/>
      <c r="T3909" s="1"/>
      <c r="U3909" s="1"/>
      <c r="V3909" s="1"/>
      <c r="W3909" s="1"/>
      <c r="X3909" s="1"/>
      <c r="Y3909" s="1"/>
      <c r="Z3909" s="1"/>
      <c r="AA3909" s="1"/>
      <c r="AB3909" s="1"/>
      <c r="AC3909" s="1"/>
      <c r="AD3909" s="1"/>
      <c r="AE3909" s="1"/>
      <c r="AF3909" s="1"/>
      <c r="AG3909" s="1"/>
      <c r="AH3909" s="1"/>
      <c r="AI3909" s="1"/>
      <c r="AJ3909" s="1"/>
      <c r="AK3909" s="1"/>
      <c r="AL3909" s="1"/>
      <c r="AM3909" s="1"/>
      <c r="AN3909" s="1"/>
      <c r="AO3909" s="1"/>
      <c r="AP3909" s="1"/>
      <c r="AQ3909" s="1"/>
      <c r="AR3909" s="1"/>
      <c r="AS3909" s="1"/>
      <c r="AT3909" s="1"/>
      <c r="AU3909" s="1"/>
      <c r="AV3909" s="1"/>
      <c r="AW3909" s="1"/>
      <c r="AX3909" s="1"/>
      <c r="AY3909" s="1"/>
      <c r="AZ3909" s="1"/>
      <c r="BA3909" s="1"/>
      <c r="BB3909" s="1"/>
    </row>
    <row r="3910" ht="204.75" customHeight="1">
      <c r="A3910" s="1">
        <v>2539.0</v>
      </c>
      <c r="B3910" s="2" t="s">
        <v>11728</v>
      </c>
      <c r="C3910" s="2">
        <f>IFERROR(__xludf.DUMMYFUNCTION("split(B3910,""_"")"),1410.0)</f>
        <v>1410</v>
      </c>
      <c r="D3910" s="2" t="str">
        <f>IFERROR(__xludf.DUMMYFUNCTION("""COMPUTED_VALUE"""),"NTV")</f>
        <v>NTV</v>
      </c>
      <c r="E3910" s="2" t="str">
        <f>IFERROR(__xludf.DUMMYFUNCTION("""COMPUTED_VALUE"""),"土21")</f>
        <v>土21</v>
      </c>
      <c r="F3910" s="2" t="s">
        <v>11729</v>
      </c>
      <c r="G3910" s="2" t="s">
        <v>11734</v>
      </c>
      <c r="H3910" s="1">
        <v>3.0</v>
      </c>
      <c r="I3910" s="1" t="s">
        <v>2876</v>
      </c>
      <c r="J3910" s="1" t="s">
        <v>11</v>
      </c>
      <c r="K3910" s="2" t="s">
        <v>11735</v>
      </c>
      <c r="L3910" s="2"/>
      <c r="M3910" s="2" t="str">
        <f>IFERROR(__xludf.DUMMYFUNCTION("split(split(K3910,""【演出"",false),""ほか"",false)"),"【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【ゲスト】高橋真麻美樹(佐野ひなこ)はネット上で注目を浴びるのが大好きな「SNS中毒」の生徒。何でもすぐにツイートする美樹に、ぬ～べ～(丸山隆平)は注意をするが、どこ吹く風で…。  ある日、美樹のSNSが寝て"&amp;"いる間に勝手に更新され、生徒やぬ～べ～の恥ずかしい画像が流出。生徒達は激怒。身に覚えがない美樹は弁解するが、クラスで孤立してしまう。そんな美樹に、人間に憑りつき死に追いやる、恐ろしい妖怪・影愚痴が忍び寄る…。")</f>
        <v>【レギュラー】丸山隆平(関ジャニ∞)、桐谷美玲、速水もこみち、知英、山本美月、知念侑李(Hey!Say!JUMP)、遠山俊也、山田親太朗、柴田美咲、マキタスポーツ、優香、坂上忍、高橋英樹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【ゲスト】高橋真麻美樹(佐野ひなこ)はネット上で注目を浴びるのが大好きな「SNS中毒」の生徒。何でもすぐにツイートする美樹に、ぬ～べ～(丸山隆平)は注意をするが、どこ吹く風で…。  ある日、美樹のSNSが寝ている間に勝手に更新され、生徒やぬ～べ～の恥ずかしい画像が流出。生徒達は激怒。身に覚えがない美樹は弁解するが、クラスで孤立してしまう。そんな美樹に、人間に憑りつき死に追いやる、恐ろしい妖怪・影愚痴が忍び寄る…。</v>
      </c>
      <c r="N3910" s="2"/>
      <c r="O3910" s="2"/>
      <c r="P3910" s="1"/>
      <c r="Q3910" s="1"/>
      <c r="R3910" s="1"/>
      <c r="S3910" s="1"/>
      <c r="T3910" s="1"/>
      <c r="U3910" s="1"/>
      <c r="V3910" s="1"/>
      <c r="W3910" s="1"/>
      <c r="X3910" s="1"/>
      <c r="Y3910" s="1"/>
      <c r="Z3910" s="1"/>
      <c r="AA3910" s="1"/>
      <c r="AB3910" s="1"/>
      <c r="AC3910" s="1"/>
      <c r="AD3910" s="1"/>
      <c r="AE3910" s="1"/>
      <c r="AF3910" s="1"/>
      <c r="AG3910" s="1"/>
      <c r="AH3910" s="1"/>
      <c r="AI3910" s="1"/>
      <c r="AJ3910" s="1"/>
      <c r="AK3910" s="1"/>
      <c r="AL3910" s="1"/>
      <c r="AM3910" s="1"/>
      <c r="AN3910" s="1"/>
      <c r="AO3910" s="1"/>
      <c r="AP3910" s="1"/>
      <c r="AQ3910" s="1"/>
      <c r="AR3910" s="1"/>
      <c r="AS3910" s="1"/>
      <c r="AT3910" s="1"/>
      <c r="AU3910" s="1"/>
      <c r="AV3910" s="1"/>
      <c r="AW3910" s="1"/>
      <c r="AX3910" s="1"/>
      <c r="AY3910" s="1"/>
      <c r="AZ3910" s="1"/>
      <c r="BA3910" s="1"/>
      <c r="BB3910" s="1"/>
    </row>
    <row r="3911" ht="204.75" customHeight="1">
      <c r="A3911" s="1">
        <v>2540.0</v>
      </c>
      <c r="B3911" s="2" t="s">
        <v>11728</v>
      </c>
      <c r="C3911" s="2">
        <f>IFERROR(__xludf.DUMMYFUNCTION("split(B3911,""_"")"),1410.0)</f>
        <v>1410</v>
      </c>
      <c r="D3911" s="2" t="str">
        <f>IFERROR(__xludf.DUMMYFUNCTION("""COMPUTED_VALUE"""),"NTV")</f>
        <v>NTV</v>
      </c>
      <c r="E3911" s="2" t="str">
        <f>IFERROR(__xludf.DUMMYFUNCTION("""COMPUTED_VALUE"""),"土21")</f>
        <v>土21</v>
      </c>
      <c r="F3911" s="2" t="s">
        <v>11729</v>
      </c>
      <c r="G3911" s="2" t="s">
        <v>11736</v>
      </c>
      <c r="H3911" s="1">
        <v>4.0</v>
      </c>
      <c r="I3911" s="1" t="s">
        <v>2880</v>
      </c>
      <c r="J3911" s="1" t="s">
        <v>11</v>
      </c>
      <c r="K3911" s="2" t="s">
        <v>11737</v>
      </c>
      <c r="L3911" s="2"/>
      <c r="M3911" s="2" t="str">
        <f>IFERROR(__xludf.DUMMYFUNCTION("split(split(K3911,""【演出"",false),""ほか"",false)"),"【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【ゲスト】高橋真麻ぬ～べ～(丸山隆平)の正体を知った2年3組では妖怪が大ブーム!!生徒達の妖怪に対する危機感のなさに、ぬ～べ～は不安を抱くが、生徒の上手い叱り方がわからなくて…。  そんな中、生徒達の前で調子"&amp;"に乗ったいずな(山本美月)のせいで美樹(佐野ひなこ)がろくろっ首状態に!!事なきを得たが、未熟な霊能力で生徒を危険な目に遭わされたぬ～べ～は大激怒!ぬ～べ～を見返すために、いずなは危険な妖怪の召喚を試みる…。")</f>
        <v>【レギュラー】丸山隆平(関ジャニ∞)、桐谷美玲、速水もこみち、知英、山本美月、知念侑李(Hey!Say!JUMP)、遠山俊也、山田親太朗、柴田美咲、マキタスポーツ、優香、坂上忍、高橋英樹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【ゲスト】高橋真麻ぬ～べ～(丸山隆平)の正体を知った2年3組では妖怪が大ブーム!!生徒達の妖怪に対する危機感のなさに、ぬ～べ～は不安を抱くが、生徒の上手い叱り方がわからなくて…。  そんな中、生徒達の前で調子に乗ったいずな(山本美月)のせいで美樹(佐野ひなこ)がろくろっ首状態に!!事なきを得たが、未熟な霊能力で生徒を危険な目に遭わされたぬ～べ～は大激怒!ぬ～べ～を見返すために、いずなは危険な妖怪の召喚を試みる…。</v>
      </c>
      <c r="N3911" s="2"/>
      <c r="O3911" s="2"/>
      <c r="P3911" s="1"/>
      <c r="Q3911" s="1"/>
      <c r="R3911" s="1"/>
      <c r="S3911" s="1"/>
      <c r="T3911" s="1"/>
      <c r="U3911" s="1"/>
      <c r="V3911" s="1"/>
      <c r="W3911" s="1"/>
      <c r="X3911" s="1"/>
      <c r="Y3911" s="1"/>
      <c r="Z3911" s="1"/>
      <c r="AA3911" s="1"/>
      <c r="AB3911" s="1"/>
      <c r="AC3911" s="1"/>
      <c r="AD3911" s="1"/>
      <c r="AE3911" s="1"/>
      <c r="AF3911" s="1"/>
      <c r="AG3911" s="1"/>
      <c r="AH3911" s="1"/>
      <c r="AI3911" s="1"/>
      <c r="AJ3911" s="1"/>
      <c r="AK3911" s="1"/>
      <c r="AL3911" s="1"/>
      <c r="AM3911" s="1"/>
      <c r="AN3911" s="1"/>
      <c r="AO3911" s="1"/>
      <c r="AP3911" s="1"/>
      <c r="AQ3911" s="1"/>
      <c r="AR3911" s="1"/>
      <c r="AS3911" s="1"/>
      <c r="AT3911" s="1"/>
      <c r="AU3911" s="1"/>
      <c r="AV3911" s="1"/>
      <c r="AW3911" s="1"/>
      <c r="AX3911" s="1"/>
      <c r="AY3911" s="1"/>
      <c r="AZ3911" s="1"/>
      <c r="BA3911" s="1"/>
      <c r="BB3911" s="1"/>
    </row>
    <row r="3912" ht="204.75" customHeight="1">
      <c r="A3912" s="1">
        <v>2541.0</v>
      </c>
      <c r="B3912" s="2" t="s">
        <v>11728</v>
      </c>
      <c r="C3912" s="2">
        <f>IFERROR(__xludf.DUMMYFUNCTION("split(B3912,""_"")"),1410.0)</f>
        <v>1410</v>
      </c>
      <c r="D3912" s="2" t="str">
        <f>IFERROR(__xludf.DUMMYFUNCTION("""COMPUTED_VALUE"""),"NTV")</f>
        <v>NTV</v>
      </c>
      <c r="E3912" s="2" t="str">
        <f>IFERROR(__xludf.DUMMYFUNCTION("""COMPUTED_VALUE"""),"土21")</f>
        <v>土21</v>
      </c>
      <c r="F3912" s="2" t="s">
        <v>11729</v>
      </c>
      <c r="G3912" s="2" t="s">
        <v>11738</v>
      </c>
      <c r="H3912" s="1">
        <v>5.0</v>
      </c>
      <c r="I3912" s="1" t="s">
        <v>2884</v>
      </c>
      <c r="J3912" s="1" t="s">
        <v>11</v>
      </c>
      <c r="K3912" s="2" t="s">
        <v>11739</v>
      </c>
      <c r="L3912" s="2"/>
      <c r="M3912" s="2" t="str">
        <f>IFERROR(__xludf.DUMMYFUNCTION("split(split(K3912,""【演出"",false),""ほか"",false)"),"【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将来の夢も目標もないいわゆる「さとり系」の生徒・晶(清水一希)。そんな晶の身体が人間になりたいと願っていた人体模型に乗っ取られてしまった!ぬ～べ～(丸山隆平)は、人体模型の気持ちを汲み、1日だけ人間でいることを許"&amp;"す。憧れの学園生活を楽しむうちに、本当の人間になりたいと願うようになる人体模型の「ジンタ」。1日という限られた時間に満足できないジンタの欲望が暴走!その時ぬ～べ～は…!?")</f>
        <v>【レギュラー】丸山隆平(関ジャニ∞)、桐谷美玲、速水もこみち、知英、山本美月、知念侑李(Hey!Say!JUMP)、遠山俊也、山田親太朗、柴田美咲、マキタスポーツ、優香、坂上忍、高橋英樹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将来の夢も目標もないいわゆる「さとり系」の生徒・晶(清水一希)。そんな晶の身体が人間になりたいと願っていた人体模型に乗っ取られてしまった!ぬ～べ～(丸山隆平)は、人体模型の気持ちを汲み、1日だけ人間でいることを許す。憧れの学園生活を楽しむうちに、本当の人間になりたいと願うようになる人体模型の「ジンタ」。1日という限られた時間に満足できないジンタの欲望が暴走!その時ぬ～べ～は…!?</v>
      </c>
      <c r="N3912" s="2"/>
      <c r="O3912" s="2"/>
      <c r="P3912" s="1"/>
      <c r="Q3912" s="1"/>
      <c r="R3912" s="1"/>
      <c r="S3912" s="1"/>
      <c r="T3912" s="1"/>
      <c r="U3912" s="1"/>
      <c r="V3912" s="1"/>
      <c r="W3912" s="1"/>
      <c r="X3912" s="1"/>
      <c r="Y3912" s="1"/>
      <c r="Z3912" s="1"/>
      <c r="AA3912" s="1"/>
      <c r="AB3912" s="1"/>
      <c r="AC3912" s="1"/>
      <c r="AD3912" s="1"/>
      <c r="AE3912" s="1"/>
      <c r="AF3912" s="1"/>
      <c r="AG3912" s="1"/>
      <c r="AH3912" s="1"/>
      <c r="AI3912" s="1"/>
      <c r="AJ3912" s="1"/>
      <c r="AK3912" s="1"/>
      <c r="AL3912" s="1"/>
      <c r="AM3912" s="1"/>
      <c r="AN3912" s="1"/>
      <c r="AO3912" s="1"/>
      <c r="AP3912" s="1"/>
      <c r="AQ3912" s="1"/>
      <c r="AR3912" s="1"/>
      <c r="AS3912" s="1"/>
      <c r="AT3912" s="1"/>
      <c r="AU3912" s="1"/>
      <c r="AV3912" s="1"/>
      <c r="AW3912" s="1"/>
      <c r="AX3912" s="1"/>
      <c r="AY3912" s="1"/>
      <c r="AZ3912" s="1"/>
      <c r="BA3912" s="1"/>
      <c r="BB3912" s="1"/>
    </row>
    <row r="3913" ht="204.75" customHeight="1">
      <c r="A3913" s="1">
        <v>2542.0</v>
      </c>
      <c r="B3913" s="2" t="s">
        <v>11728</v>
      </c>
      <c r="C3913" s="2">
        <f>IFERROR(__xludf.DUMMYFUNCTION("split(B3913,""_"")"),1410.0)</f>
        <v>1410</v>
      </c>
      <c r="D3913" s="2" t="str">
        <f>IFERROR(__xludf.DUMMYFUNCTION("""COMPUTED_VALUE"""),"NTV")</f>
        <v>NTV</v>
      </c>
      <c r="E3913" s="2" t="str">
        <f>IFERROR(__xludf.DUMMYFUNCTION("""COMPUTED_VALUE"""),"土21")</f>
        <v>土21</v>
      </c>
      <c r="F3913" s="2" t="s">
        <v>11729</v>
      </c>
      <c r="G3913" s="2" t="s">
        <v>11740</v>
      </c>
      <c r="H3913" s="1">
        <v>6.0</v>
      </c>
      <c r="I3913" s="1" t="s">
        <v>2888</v>
      </c>
      <c r="J3913" s="1" t="s">
        <v>11</v>
      </c>
      <c r="K3913" s="2" t="s">
        <v>11741</v>
      </c>
      <c r="L3913" s="2"/>
      <c r="M3913" s="2" t="str">
        <f>IFERROR(__xludf.DUMMYFUNCTION("split(split(K3913,""【演出"",false),""ほか"",false)"),"【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ぬ～べ～(丸山隆平)の事を意識し始めるリツコ(桐谷美玲)。そんな中、恋する女性に嫉妬する妖怪おはぐろベッタリがリツコに憑りついた!リツコはぬ～べ～にベッタリ。両想いと勘違いしたぬ～べ～はデレデレ。それを見たゆきめ"&amp;"(知英)はヤキモチ!生徒達も巻き込んで、恋の三角関係がヒートアップ!!果たして、ぬ～べ～はおはぐろベッタリからリツコを助け出す事ができるのか?そして悲しき妖怪おはぐろベッタリとの対決は!?")</f>
        <v>【レギュラー】丸山隆平(関ジャニ∞)、桐谷美玲、速水もこみち、知英、山本美月、知念侑李(Hey!Say!JUMP)、遠山俊也、山田親太朗、柴田美咲、マキタスポーツ、優香、坂上忍、高橋英樹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ぬ～べ～(丸山隆平)の事を意識し始めるリツコ(桐谷美玲)。そんな中、恋する女性に嫉妬する妖怪おはぐろベッタリがリツコに憑りついた!リツコはぬ～べ～にベッタリ。両想いと勘違いしたぬ～べ～はデレデレ。それを見たゆきめ(知英)はヤキモチ!生徒達も巻き込んで、恋の三角関係がヒートアップ!!果たして、ぬ～べ～はおはぐろベッタリからリツコを助け出す事ができるのか?そして悲しき妖怪おはぐろベッタリとの対決は!?</v>
      </c>
      <c r="N3913" s="2"/>
      <c r="O3913" s="2"/>
      <c r="P3913" s="1"/>
      <c r="Q3913" s="1"/>
      <c r="R3913" s="1"/>
      <c r="S3913" s="1"/>
      <c r="T3913" s="1"/>
      <c r="U3913" s="1"/>
      <c r="V3913" s="1"/>
      <c r="W3913" s="1"/>
      <c r="X3913" s="1"/>
      <c r="Y3913" s="1"/>
      <c r="Z3913" s="1"/>
      <c r="AA3913" s="1"/>
      <c r="AB3913" s="1"/>
      <c r="AC3913" s="1"/>
      <c r="AD3913" s="1"/>
      <c r="AE3913" s="1"/>
      <c r="AF3913" s="1"/>
      <c r="AG3913" s="1"/>
      <c r="AH3913" s="1"/>
      <c r="AI3913" s="1"/>
      <c r="AJ3913" s="1"/>
      <c r="AK3913" s="1"/>
      <c r="AL3913" s="1"/>
      <c r="AM3913" s="1"/>
      <c r="AN3913" s="1"/>
      <c r="AO3913" s="1"/>
      <c r="AP3913" s="1"/>
      <c r="AQ3913" s="1"/>
      <c r="AR3913" s="1"/>
      <c r="AS3913" s="1"/>
      <c r="AT3913" s="1"/>
      <c r="AU3913" s="1"/>
      <c r="AV3913" s="1"/>
      <c r="AW3913" s="1"/>
      <c r="AX3913" s="1"/>
      <c r="AY3913" s="1"/>
      <c r="AZ3913" s="1"/>
      <c r="BA3913" s="1"/>
      <c r="BB3913" s="1"/>
    </row>
    <row r="3914" ht="204.75" customHeight="1">
      <c r="A3914" s="1">
        <v>2543.0</v>
      </c>
      <c r="B3914" s="2" t="s">
        <v>11728</v>
      </c>
      <c r="C3914" s="2">
        <f>IFERROR(__xludf.DUMMYFUNCTION("split(B3914,""_"")"),1410.0)</f>
        <v>1410</v>
      </c>
      <c r="D3914" s="2" t="str">
        <f>IFERROR(__xludf.DUMMYFUNCTION("""COMPUTED_VALUE"""),"NTV")</f>
        <v>NTV</v>
      </c>
      <c r="E3914" s="2" t="str">
        <f>IFERROR(__xludf.DUMMYFUNCTION("""COMPUTED_VALUE"""),"土21")</f>
        <v>土21</v>
      </c>
      <c r="F3914" s="2" t="s">
        <v>11729</v>
      </c>
      <c r="G3914" s="2" t="s">
        <v>11742</v>
      </c>
      <c r="H3914" s="1">
        <v>7.0</v>
      </c>
      <c r="I3914" s="1" t="s">
        <v>2892</v>
      </c>
      <c r="J3914" s="1" t="s">
        <v>11</v>
      </c>
      <c r="K3914" s="2" t="s">
        <v>11743</v>
      </c>
      <c r="L3914" s="2"/>
      <c r="M3914" s="2" t="str">
        <f>IFERROR(__xludf.DUMMYFUNCTION("split(split(K3914,""【演出"",false),""ほか"",false)"),"【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スペシャルゲスト】明石家さんまぬ～べ～(丸山隆平)に最大のピンチ!人の夢を支配する妖怪「怪人赤マント」に憑りつかれたぬ～べ～。怪人赤マントは、夢の中で審判を繰り返し、ぬ～べ～に襲い掛かる。鬼の手も、封印され"&amp;"てしまい、なされるがままのぬ～べ～…。苦しむぬ～べ～を救おうと、まこと(知念侑李)達は必死に声をかけるが、目を覚まさない。このままだと、ぬ～べ～が死んでしまう!ぬ～べ～を救おうと、まことはある男のもとへ走り出す…!")</f>
        <v>【レギュラー】丸山隆平(関ジャニ∞)、桐谷美玲、速水もこみち、知英、山本美月、知念侑李(Hey!Say!JUMP)、遠山俊也、山田親太朗、柴田美咲、マキタスポーツ、優香、坂上忍、高橋英樹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スペシャルゲスト】明石家さんまぬ～べ～(丸山隆平)に最大のピンチ!人の夢を支配する妖怪「怪人赤マント」に憑りつかれたぬ～べ～。怪人赤マントは、夢の中で審判を繰り返し、ぬ～べ～に襲い掛かる。鬼の手も、封印されてしまい、なされるがままのぬ～べ～…。苦しむぬ～べ～を救おうと、まこと(知念侑李)達は必死に声をかけるが、目を覚まさない。このままだと、ぬ～べ～が死んでしまう!ぬ～べ～を救おうと、まことはある男のもとへ走り出す…!</v>
      </c>
      <c r="N3914" s="2"/>
      <c r="O3914" s="2"/>
      <c r="P3914" s="1"/>
      <c r="Q3914" s="1"/>
      <c r="R3914" s="1"/>
      <c r="S3914" s="1"/>
      <c r="T3914" s="1"/>
      <c r="U3914" s="1"/>
      <c r="V3914" s="1"/>
      <c r="W3914" s="1"/>
      <c r="X3914" s="1"/>
      <c r="Y3914" s="1"/>
      <c r="Z3914" s="1"/>
      <c r="AA3914" s="1"/>
      <c r="AB3914" s="1"/>
      <c r="AC3914" s="1"/>
      <c r="AD3914" s="1"/>
      <c r="AE3914" s="1"/>
      <c r="AF3914" s="1"/>
      <c r="AG3914" s="1"/>
      <c r="AH3914" s="1"/>
      <c r="AI3914" s="1"/>
      <c r="AJ3914" s="1"/>
      <c r="AK3914" s="1"/>
      <c r="AL3914" s="1"/>
      <c r="AM3914" s="1"/>
      <c r="AN3914" s="1"/>
      <c r="AO3914" s="1"/>
      <c r="AP3914" s="1"/>
      <c r="AQ3914" s="1"/>
      <c r="AR3914" s="1"/>
      <c r="AS3914" s="1"/>
      <c r="AT3914" s="1"/>
      <c r="AU3914" s="1"/>
      <c r="AV3914" s="1"/>
      <c r="AW3914" s="1"/>
      <c r="AX3914" s="1"/>
      <c r="AY3914" s="1"/>
      <c r="AZ3914" s="1"/>
      <c r="BA3914" s="1"/>
      <c r="BB3914" s="1"/>
    </row>
    <row r="3915" ht="204.75" customHeight="1">
      <c r="A3915" s="1">
        <v>2544.0</v>
      </c>
      <c r="B3915" s="2" t="s">
        <v>11728</v>
      </c>
      <c r="C3915" s="2">
        <f>IFERROR(__xludf.DUMMYFUNCTION("split(B3915,""_"")"),1410.0)</f>
        <v>1410</v>
      </c>
      <c r="D3915" s="2" t="str">
        <f>IFERROR(__xludf.DUMMYFUNCTION("""COMPUTED_VALUE"""),"NTV")</f>
        <v>NTV</v>
      </c>
      <c r="E3915" s="2" t="str">
        <f>IFERROR(__xludf.DUMMYFUNCTION("""COMPUTED_VALUE"""),"土21")</f>
        <v>土21</v>
      </c>
      <c r="F3915" s="2" t="s">
        <v>11729</v>
      </c>
      <c r="G3915" s="2" t="s">
        <v>11744</v>
      </c>
      <c r="H3915" s="1">
        <v>8.0</v>
      </c>
      <c r="I3915" s="1" t="s">
        <v>2896</v>
      </c>
      <c r="J3915" s="1" t="s">
        <v>11</v>
      </c>
      <c r="K3915" s="2" t="s">
        <v>11745</v>
      </c>
      <c r="L3915" s="2"/>
      <c r="M3915" s="2" t="str">
        <f>IFERROR(__xludf.DUMMYFUNCTION("split(split(K3915,""【演出"",false),""ほか"",false)"),"【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スペシャルゲスト】山田涼介(Hey!Say!JUMP)童守高校、恐怖の3日間!ある朝、校庭に突如現れた巨大なモナリザの絵。克也(吉沢亮)は、これは妖怪「人食いモナリザ」の仕業だと宣言し、ぬ～べ～(丸山隆平)は苦"&amp;"笑い。そして、次の日、高校の屋上には高く積み上げられた机の柱…。克也は、人食いモナリザのカウントダウンが始まり、最後には生徒が皆残らず食われてしまうと予言…。最終章に突入!物語の鍵を握るのは、覇鬼(坂上忍)の弟・最恐鬼・絶鬼(山田涼介)!")</f>
        <v>【レギュラー】丸山隆平(関ジャニ∞)、桐谷美玲、速水もこみち、知英、山本美月、知念侑李(Hey!Say!JUMP)、遠山俊也、山田親太朗、柴田美咲、マキタスポーツ、優香、坂上忍、高橋英樹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スペシャルゲスト】山田涼介(Hey!Say!JUMP)童守高校、恐怖の3日間!ある朝、校庭に突如現れた巨大なモナリザの絵。克也(吉沢亮)は、これは妖怪「人食いモナリザ」の仕業だと宣言し、ぬ～べ～(丸山隆平)は苦笑い。そして、次の日、高校の屋上には高く積み上げられた机の柱…。克也は、人食いモナリザのカウントダウンが始まり、最後には生徒が皆残らず食われてしまうと予言…。最終章に突入!物語の鍵を握るのは、覇鬼(坂上忍)の弟・最恐鬼・絶鬼(山田涼介)!</v>
      </c>
      <c r="N3915" s="2"/>
      <c r="O3915" s="2"/>
      <c r="P3915" s="1"/>
      <c r="Q3915" s="1"/>
      <c r="R3915" s="1"/>
      <c r="S3915" s="1"/>
      <c r="T3915" s="1"/>
      <c r="U3915" s="1"/>
      <c r="V3915" s="1"/>
      <c r="W3915" s="1"/>
      <c r="X3915" s="1"/>
      <c r="Y3915" s="1"/>
      <c r="Z3915" s="1"/>
      <c r="AA3915" s="1"/>
      <c r="AB3915" s="1"/>
      <c r="AC3915" s="1"/>
      <c r="AD3915" s="1"/>
      <c r="AE3915" s="1"/>
      <c r="AF3915" s="1"/>
      <c r="AG3915" s="1"/>
      <c r="AH3915" s="1"/>
      <c r="AI3915" s="1"/>
      <c r="AJ3915" s="1"/>
      <c r="AK3915" s="1"/>
      <c r="AL3915" s="1"/>
      <c r="AM3915" s="1"/>
      <c r="AN3915" s="1"/>
      <c r="AO3915" s="1"/>
      <c r="AP3915" s="1"/>
      <c r="AQ3915" s="1"/>
      <c r="AR3915" s="1"/>
      <c r="AS3915" s="1"/>
      <c r="AT3915" s="1"/>
      <c r="AU3915" s="1"/>
      <c r="AV3915" s="1"/>
      <c r="AW3915" s="1"/>
      <c r="AX3915" s="1"/>
      <c r="AY3915" s="1"/>
      <c r="AZ3915" s="1"/>
      <c r="BA3915" s="1"/>
      <c r="BB3915" s="1"/>
    </row>
    <row r="3916" ht="204.75" customHeight="1">
      <c r="A3916" s="1">
        <v>2545.0</v>
      </c>
      <c r="B3916" s="2" t="s">
        <v>11728</v>
      </c>
      <c r="C3916" s="2">
        <f>IFERROR(__xludf.DUMMYFUNCTION("split(B3916,""_"")"),1410.0)</f>
        <v>1410</v>
      </c>
      <c r="D3916" s="2" t="str">
        <f>IFERROR(__xludf.DUMMYFUNCTION("""COMPUTED_VALUE"""),"NTV")</f>
        <v>NTV</v>
      </c>
      <c r="E3916" s="2" t="str">
        <f>IFERROR(__xludf.DUMMYFUNCTION("""COMPUTED_VALUE"""),"土21")</f>
        <v>土21</v>
      </c>
      <c r="F3916" s="2" t="s">
        <v>11729</v>
      </c>
      <c r="G3916" s="2" t="s">
        <v>11746</v>
      </c>
      <c r="H3916" s="1">
        <v>9.0</v>
      </c>
      <c r="I3916" s="1" t="s">
        <v>2900</v>
      </c>
      <c r="J3916" s="1" t="s">
        <v>11</v>
      </c>
      <c r="K3916" s="2" t="s">
        <v>11747</v>
      </c>
      <c r="L3916" s="2"/>
      <c r="M3916" s="2" t="str">
        <f>IFERROR(__xludf.DUMMYFUNCTION("split(split(K3916,""【演出"",false),""ほか"",false)"),"【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スペシャルゲスト】山田涼介(Hey!Say!JUMP)2年3組にやってきた転入生。その正体は、妖気を消した覇鬼(坂上忍)の弟、絶鬼…(山田涼介)。ぬ～べ～(丸山隆平)の左手に封印された覇鬼を解放するため、絶"&amp;"鬼は生徒達に妖術をかける。さらに、絶鬼の凶悪なパワーを前に、玉藻(速水もこみち)も妖狐としての本性を取り戻し…。  そして魔の手は、ぬ～べ～の大切な人々にまで及びつつあった…。  最恐鬼・絶鬼を相手に、ぬ～べ～の最後の戦いが今、始まる…!")</f>
        <v>【レギュラー】丸山隆平(関ジャニ∞)、桐谷美玲、速水もこみち、知英、山本美月、知念侑李(Hey!Say!JUMP)、遠山俊也、山田親太朗、柴田美咲、マキタスポーツ、優香、坂上忍、高橋英樹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スペシャルゲスト】山田涼介(Hey!Say!JUMP)2年3組にやってきた転入生。その正体は、妖気を消した覇鬼(坂上忍)の弟、絶鬼…(山田涼介)。ぬ～べ～(丸山隆平)の左手に封印された覇鬼を解放するため、絶鬼は生徒達に妖術をかける。さらに、絶鬼の凶悪なパワーを前に、玉藻(速水もこみち)も妖狐としての本性を取り戻し…。  そして魔の手は、ぬ～べ～の大切な人々にまで及びつつあった…。  最恐鬼・絶鬼を相手に、ぬ～べ～の最後の戦いが今、始まる…!</v>
      </c>
      <c r="N3916" s="2"/>
      <c r="O3916" s="2"/>
      <c r="P3916" s="1"/>
      <c r="Q3916" s="1"/>
      <c r="R3916" s="1"/>
      <c r="S3916" s="1"/>
      <c r="T3916" s="1"/>
      <c r="U3916" s="1"/>
      <c r="V3916" s="1"/>
      <c r="W3916" s="1"/>
      <c r="X3916" s="1"/>
      <c r="Y3916" s="1"/>
      <c r="Z3916" s="1"/>
      <c r="AA3916" s="1"/>
      <c r="AB3916" s="1"/>
      <c r="AC3916" s="1"/>
      <c r="AD3916" s="1"/>
      <c r="AE3916" s="1"/>
      <c r="AF3916" s="1"/>
      <c r="AG3916" s="1"/>
      <c r="AH3916" s="1"/>
      <c r="AI3916" s="1"/>
      <c r="AJ3916" s="1"/>
      <c r="AK3916" s="1"/>
      <c r="AL3916" s="1"/>
      <c r="AM3916" s="1"/>
      <c r="AN3916" s="1"/>
      <c r="AO3916" s="1"/>
      <c r="AP3916" s="1"/>
      <c r="AQ3916" s="1"/>
      <c r="AR3916" s="1"/>
      <c r="AS3916" s="1"/>
      <c r="AT3916" s="1"/>
      <c r="AU3916" s="1"/>
      <c r="AV3916" s="1"/>
      <c r="AW3916" s="1"/>
      <c r="AX3916" s="1"/>
      <c r="AY3916" s="1"/>
      <c r="AZ3916" s="1"/>
      <c r="BA3916" s="1"/>
      <c r="BB3916" s="1"/>
    </row>
    <row r="3917" ht="204.75" customHeight="1">
      <c r="A3917" s="1">
        <v>2546.0</v>
      </c>
      <c r="B3917" s="2" t="s">
        <v>11728</v>
      </c>
      <c r="C3917" s="2">
        <f>IFERROR(__xludf.DUMMYFUNCTION("split(B3917,""_"")"),1410.0)</f>
        <v>1410</v>
      </c>
      <c r="D3917" s="2" t="str">
        <f>IFERROR(__xludf.DUMMYFUNCTION("""COMPUTED_VALUE"""),"NTV")</f>
        <v>NTV</v>
      </c>
      <c r="E3917" s="2" t="str">
        <f>IFERROR(__xludf.DUMMYFUNCTION("""COMPUTED_VALUE"""),"土21")</f>
        <v>土21</v>
      </c>
      <c r="F3917" s="2" t="s">
        <v>11729</v>
      </c>
      <c r="G3917" s="2" t="s">
        <v>11748</v>
      </c>
      <c r="H3917" s="1">
        <v>10.0</v>
      </c>
      <c r="I3917" s="1" t="s">
        <v>37</v>
      </c>
      <c r="J3917" s="1" t="s">
        <v>11</v>
      </c>
      <c r="K3917" s="2" t="s">
        <v>11749</v>
      </c>
      <c r="L3917" s="2"/>
      <c r="M3917" s="2" t="str">
        <f>IFERROR(__xludf.DUMMYFUNCTION("split(split(K3917,""【演出"",false),""ほか"",false)"),"【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【生徒役レギュラー】中川大志、吉沢亮、佐野岳、清水一希、松井愛莉、佐野ひなこ、水谷果穂、中村ゆりか、高月彩良遂にぬ～べ～(丸山隆平)と覇鬼(坂上忍)の最終決戦!  ぬ～べ～の左手の封印が解かれた覇鬼は暴れだす。ぬ～べ～や玉藻(速水もこみち)、ゆきめ(知英)は果敢に立ち向かうが、その凄まじい強さに、全く歯が立たないぬ～べ"&amp;"～達…。  さらに、ぬ～べ～に「本当の絶望の景色」を見せようとする覇鬼の次なる標的は、無限界時空(高橋英樹)…!!  果たして鬼の手を失ったぬ～べ～は、皆を守れるのか!?感動と興奮の最終回!")</f>
        <v>【レギュラー】丸山隆平(関ジャニ∞)、桐谷美玲、速水もこみち、知英、山本美月、知念侑李(Hey!Say!JUMP)、遠山俊也、山田親太朗、柴田美咲、マキタスポーツ、優香、坂上忍、高橋英樹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【生徒役レギュラー】中川大志、吉沢亮、佐野岳、清水一希、松井愛莉、佐野ひなこ、水谷果穂、中村ゆりか、高月彩良遂にぬ～べ～(丸山隆平)と覇鬼(坂上忍)の最終決戦!  ぬ～べ～の左手の封印が解かれた覇鬼は暴れだす。ぬ～べ～や玉藻(速水もこみち)、ゆきめ(知英)は果敢に立ち向かうが、その凄まじい強さに、全く歯が立たないぬ～べ～達…。  さらに、ぬ～べ～に「本当の絶望の景色」を見せようとする覇鬼の次なる標的は、無限界時空(高橋英樹)…!!  果たして鬼の手を失ったぬ～べ～は、皆を守れるのか!?感動と興奮の最終回!</v>
      </c>
      <c r="N3917" s="2"/>
      <c r="O3917" s="2"/>
      <c r="P3917" s="1"/>
      <c r="Q3917" s="1"/>
      <c r="R3917" s="1"/>
      <c r="S3917" s="1"/>
      <c r="T3917" s="1"/>
      <c r="U3917" s="1"/>
      <c r="V3917" s="1"/>
      <c r="W3917" s="1"/>
      <c r="X3917" s="1"/>
      <c r="Y3917" s="1"/>
      <c r="Z3917" s="1"/>
      <c r="AA3917" s="1"/>
      <c r="AB3917" s="1"/>
      <c r="AC3917" s="1"/>
      <c r="AD3917" s="1"/>
      <c r="AE3917" s="1"/>
      <c r="AF3917" s="1"/>
      <c r="AG3917" s="1"/>
      <c r="AH3917" s="1"/>
      <c r="AI3917" s="1"/>
      <c r="AJ3917" s="1"/>
      <c r="AK3917" s="1"/>
      <c r="AL3917" s="1"/>
      <c r="AM3917" s="1"/>
      <c r="AN3917" s="1"/>
      <c r="AO3917" s="1"/>
      <c r="AP3917" s="1"/>
      <c r="AQ3917" s="1"/>
      <c r="AR3917" s="1"/>
      <c r="AS3917" s="1"/>
      <c r="AT3917" s="1"/>
      <c r="AU3917" s="1"/>
      <c r="AV3917" s="1"/>
      <c r="AW3917" s="1"/>
      <c r="AX3917" s="1"/>
      <c r="AY3917" s="1"/>
      <c r="AZ3917" s="1"/>
      <c r="BA3917" s="1"/>
      <c r="BB3917" s="1"/>
    </row>
    <row r="3918" ht="204.75" customHeight="1">
      <c r="A3918" s="1">
        <v>2608.0</v>
      </c>
      <c r="B3918" s="2" t="s">
        <v>11750</v>
      </c>
      <c r="C3918" s="2">
        <f>IFERROR(__xludf.DUMMYFUNCTION("split(B3918,""_"")"),1407.0)</f>
        <v>1407</v>
      </c>
      <c r="D3918" s="2" t="str">
        <f>IFERROR(__xludf.DUMMYFUNCTION("""COMPUTED_VALUE"""),"NTV")</f>
        <v>NTV</v>
      </c>
      <c r="E3918" s="2" t="str">
        <f>IFERROR(__xludf.DUMMYFUNCTION("""COMPUTED_VALUE"""),"水22")</f>
        <v>水22</v>
      </c>
      <c r="F3918" s="2" t="s">
        <v>11751</v>
      </c>
      <c r="G3918" s="2"/>
      <c r="H3918" s="1"/>
      <c r="J3918" s="1"/>
      <c r="K3918" s="2"/>
      <c r="L3918" s="2"/>
      <c r="M3918" s="2" t="str">
        <f>IFERROR(__xludf.DUMMYFUNCTION("split(split(K3918,""【演出"",false),""ほか"",false)"),"#VALUE!")</f>
        <v>#VALUE!</v>
      </c>
      <c r="N3918" s="2"/>
      <c r="O3918" s="2"/>
      <c r="P3918" s="1"/>
      <c r="Q3918" s="1"/>
      <c r="R3918" s="1"/>
      <c r="S3918" s="1"/>
      <c r="T3918" s="1"/>
      <c r="U3918" s="1"/>
      <c r="V3918" s="1"/>
      <c r="W3918" s="1"/>
      <c r="X3918" s="1"/>
      <c r="Y3918" s="1"/>
      <c r="Z3918" s="1"/>
      <c r="AA3918" s="1"/>
      <c r="AB3918" s="1"/>
      <c r="AC3918" s="1"/>
      <c r="AD3918" s="1"/>
      <c r="AE3918" s="1"/>
      <c r="AF3918" s="1"/>
      <c r="AG3918" s="1"/>
      <c r="AH3918" s="1"/>
      <c r="AI3918" s="1"/>
      <c r="AJ3918" s="1"/>
      <c r="AK3918" s="1"/>
      <c r="AL3918" s="1"/>
      <c r="AM3918" s="1"/>
      <c r="AN3918" s="1"/>
      <c r="AO3918" s="1"/>
      <c r="AP3918" s="1"/>
      <c r="AQ3918" s="1"/>
      <c r="AR3918" s="1"/>
      <c r="AS3918" s="1"/>
      <c r="AT3918" s="1"/>
      <c r="AU3918" s="1"/>
      <c r="AV3918" s="1"/>
      <c r="AW3918" s="1"/>
      <c r="AX3918" s="1"/>
      <c r="AY3918" s="1"/>
      <c r="AZ3918" s="1"/>
      <c r="BA3918" s="1"/>
      <c r="BB3918" s="1"/>
    </row>
    <row r="3919" ht="204.75" customHeight="1">
      <c r="A3919" s="1">
        <v>2609.0</v>
      </c>
      <c r="B3919" s="2" t="s">
        <v>11750</v>
      </c>
      <c r="C3919" s="2">
        <f>IFERROR(__xludf.DUMMYFUNCTION("split(B3919,""_"")"),1407.0)</f>
        <v>1407</v>
      </c>
      <c r="D3919" s="2" t="str">
        <f>IFERROR(__xludf.DUMMYFUNCTION("""COMPUTED_VALUE"""),"NTV")</f>
        <v>NTV</v>
      </c>
      <c r="E3919" s="2" t="str">
        <f>IFERROR(__xludf.DUMMYFUNCTION("""COMPUTED_VALUE"""),"水22")</f>
        <v>水22</v>
      </c>
      <c r="F3919" s="2" t="s">
        <v>11751</v>
      </c>
      <c r="G3919" s="2"/>
      <c r="H3919" s="1"/>
      <c r="J3919" s="1"/>
      <c r="K3919" s="2"/>
      <c r="L3919" s="2"/>
      <c r="M3919" s="2" t="str">
        <f>IFERROR(__xludf.DUMMYFUNCTION("split(split(K3919,""【演出"",false),""ほか"",false)"),"#VALUE!")</f>
        <v>#VALUE!</v>
      </c>
      <c r="N3919" s="2"/>
      <c r="O3919" s="2"/>
      <c r="P3919" s="1"/>
      <c r="Q3919" s="1"/>
      <c r="R3919" s="1"/>
      <c r="S3919" s="1"/>
      <c r="T3919" s="1"/>
      <c r="U3919" s="1"/>
      <c r="V3919" s="1"/>
      <c r="W3919" s="1"/>
      <c r="X3919" s="1"/>
      <c r="Y3919" s="1"/>
      <c r="Z3919" s="1"/>
      <c r="AA3919" s="1"/>
      <c r="AB3919" s="1"/>
      <c r="AC3919" s="1"/>
      <c r="AD3919" s="1"/>
      <c r="AE3919" s="1"/>
      <c r="AF3919" s="1"/>
      <c r="AG3919" s="1"/>
      <c r="AH3919" s="1"/>
      <c r="AI3919" s="1"/>
      <c r="AJ3919" s="1"/>
      <c r="AK3919" s="1"/>
      <c r="AL3919" s="1"/>
      <c r="AM3919" s="1"/>
      <c r="AN3919" s="1"/>
      <c r="AO3919" s="1"/>
      <c r="AP3919" s="1"/>
      <c r="AQ3919" s="1"/>
      <c r="AR3919" s="1"/>
      <c r="AS3919" s="1"/>
      <c r="AT3919" s="1"/>
      <c r="AU3919" s="1"/>
      <c r="AV3919" s="1"/>
      <c r="AW3919" s="1"/>
      <c r="AX3919" s="1"/>
      <c r="AY3919" s="1"/>
      <c r="AZ3919" s="1"/>
      <c r="BA3919" s="1"/>
      <c r="BB3919" s="1"/>
    </row>
    <row r="3920" ht="204.75" customHeight="1">
      <c r="A3920" s="1">
        <v>2610.0</v>
      </c>
      <c r="B3920" s="2" t="s">
        <v>11750</v>
      </c>
      <c r="C3920" s="2">
        <f>IFERROR(__xludf.DUMMYFUNCTION("split(B3920,""_"")"),1407.0)</f>
        <v>1407</v>
      </c>
      <c r="D3920" s="2" t="str">
        <f>IFERROR(__xludf.DUMMYFUNCTION("""COMPUTED_VALUE"""),"NTV")</f>
        <v>NTV</v>
      </c>
      <c r="E3920" s="2" t="str">
        <f>IFERROR(__xludf.DUMMYFUNCTION("""COMPUTED_VALUE"""),"水22")</f>
        <v>水22</v>
      </c>
      <c r="F3920" s="2" t="s">
        <v>11751</v>
      </c>
      <c r="G3920" s="2"/>
      <c r="H3920" s="1"/>
      <c r="J3920" s="1"/>
      <c r="K3920" s="2"/>
      <c r="L3920" s="2"/>
      <c r="M3920" s="2" t="str">
        <f>IFERROR(__xludf.DUMMYFUNCTION("split(split(K3920,""【演出"",false),""ほか"",false)"),"#VALUE!")</f>
        <v>#VALUE!</v>
      </c>
      <c r="N3920" s="2"/>
      <c r="O3920" s="2"/>
      <c r="P3920" s="1"/>
      <c r="Q3920" s="1"/>
      <c r="R3920" s="1"/>
      <c r="S3920" s="1"/>
      <c r="T3920" s="1"/>
      <c r="U3920" s="1"/>
      <c r="V3920" s="1"/>
      <c r="W3920" s="1"/>
      <c r="X3920" s="1"/>
      <c r="Y3920" s="1"/>
      <c r="Z3920" s="1"/>
      <c r="AA3920" s="1"/>
      <c r="AB3920" s="1"/>
      <c r="AC3920" s="1"/>
      <c r="AD3920" s="1"/>
      <c r="AE3920" s="1"/>
      <c r="AF3920" s="1"/>
      <c r="AG3920" s="1"/>
      <c r="AH3920" s="1"/>
      <c r="AI3920" s="1"/>
      <c r="AJ3920" s="1"/>
      <c r="AK3920" s="1"/>
      <c r="AL3920" s="1"/>
      <c r="AM3920" s="1"/>
      <c r="AN3920" s="1"/>
      <c r="AO3920" s="1"/>
      <c r="AP3920" s="1"/>
      <c r="AQ3920" s="1"/>
      <c r="AR3920" s="1"/>
      <c r="AS3920" s="1"/>
      <c r="AT3920" s="1"/>
      <c r="AU3920" s="1"/>
      <c r="AV3920" s="1"/>
      <c r="AW3920" s="1"/>
      <c r="AX3920" s="1"/>
      <c r="AY3920" s="1"/>
      <c r="AZ3920" s="1"/>
      <c r="BA3920" s="1"/>
      <c r="BB3920" s="1"/>
    </row>
    <row r="3921" ht="204.75" customHeight="1">
      <c r="A3921" s="1">
        <v>2611.0</v>
      </c>
      <c r="B3921" s="2" t="s">
        <v>11750</v>
      </c>
      <c r="C3921" s="2">
        <f>IFERROR(__xludf.DUMMYFUNCTION("split(B3921,""_"")"),1407.0)</f>
        <v>1407</v>
      </c>
      <c r="D3921" s="2" t="str">
        <f>IFERROR(__xludf.DUMMYFUNCTION("""COMPUTED_VALUE"""),"NTV")</f>
        <v>NTV</v>
      </c>
      <c r="E3921" s="2" t="str">
        <f>IFERROR(__xludf.DUMMYFUNCTION("""COMPUTED_VALUE"""),"水22")</f>
        <v>水22</v>
      </c>
      <c r="F3921" s="2" t="s">
        <v>11751</v>
      </c>
      <c r="G3921" s="2"/>
      <c r="H3921" s="1"/>
      <c r="J3921" s="1"/>
      <c r="K3921" s="2"/>
      <c r="L3921" s="2"/>
      <c r="M3921" s="2" t="str">
        <f>IFERROR(__xludf.DUMMYFUNCTION("split(split(K3921,""【演出"",false),""ほか"",false)"),"#VALUE!")</f>
        <v>#VALUE!</v>
      </c>
      <c r="N3921" s="2"/>
      <c r="O3921" s="2"/>
      <c r="P3921" s="1"/>
      <c r="Q3921" s="1"/>
      <c r="R3921" s="1"/>
      <c r="S3921" s="1"/>
      <c r="T3921" s="1"/>
      <c r="U3921" s="1"/>
      <c r="V3921" s="1"/>
      <c r="W3921" s="1"/>
      <c r="X3921" s="1"/>
      <c r="Y3921" s="1"/>
      <c r="Z3921" s="1"/>
      <c r="AA3921" s="1"/>
      <c r="AB3921" s="1"/>
      <c r="AC3921" s="1"/>
      <c r="AD3921" s="1"/>
      <c r="AE3921" s="1"/>
      <c r="AF3921" s="1"/>
      <c r="AG3921" s="1"/>
      <c r="AH3921" s="1"/>
      <c r="AI3921" s="1"/>
      <c r="AJ3921" s="1"/>
      <c r="AK3921" s="1"/>
      <c r="AL3921" s="1"/>
      <c r="AM3921" s="1"/>
      <c r="AN3921" s="1"/>
      <c r="AO3921" s="1"/>
      <c r="AP3921" s="1"/>
      <c r="AQ3921" s="1"/>
      <c r="AR3921" s="1"/>
      <c r="AS3921" s="1"/>
      <c r="AT3921" s="1"/>
      <c r="AU3921" s="1"/>
      <c r="AV3921" s="1"/>
      <c r="AW3921" s="1"/>
      <c r="AX3921" s="1"/>
      <c r="AY3921" s="1"/>
      <c r="AZ3921" s="1"/>
      <c r="BA3921" s="1"/>
      <c r="BB3921" s="1"/>
    </row>
    <row r="3922" ht="204.75" customHeight="1">
      <c r="A3922" s="1">
        <v>2762.0</v>
      </c>
      <c r="B3922" s="2" t="s">
        <v>11752</v>
      </c>
      <c r="C3922" s="2">
        <f>IFERROR(__xludf.DUMMYFUNCTION("split(B3922,""_"")"),1404.0)</f>
        <v>1404</v>
      </c>
      <c r="D3922" s="2" t="str">
        <f>IFERROR(__xludf.DUMMYFUNCTION("""COMPUTED_VALUE"""),"NTV")</f>
        <v>NTV</v>
      </c>
      <c r="E3922" s="2" t="str">
        <f>IFERROR(__xludf.DUMMYFUNCTION("""COMPUTED_VALUE"""),"水22")</f>
        <v>水22</v>
      </c>
      <c r="F3922" s="2" t="s">
        <v>11384</v>
      </c>
      <c r="G3922" s="2" t="s">
        <v>11385</v>
      </c>
      <c r="H3922" s="1">
        <v>1.0</v>
      </c>
      <c r="I3922" s="1" t="s">
        <v>2868</v>
      </c>
      <c r="J3922" s="1" t="s">
        <v>82</v>
      </c>
      <c r="K3922" s="2" t="s">
        <v>11753</v>
      </c>
      <c r="L3922" s="2"/>
      <c r="M3922" s="2" t="str">
        <f>IFERROR(__xludf.DUMMYFUNCTION("split(split(K3922,""【演出"",false),""ほか"",false)"),"杏、上川隆也、塚地武雅、榎木孝明  甲本雅裕、大杉漣、生瀬勝久  木村佳乃、羽場裕一東京第一銀行の窓口係だった花咲舞(杏)は、事件を起こした支店に赴き解決に導く「臨店」という部署へ異動を命じられる。コンビを組むことになったのは、ベテラン行員・相馬健(上川隆也)。二人は早速、事務ミスが起きた茅場町支店へ向かうが、そこで、窓口係の聡子(木村佳乃)が百万円を多く客に払ってしまう「過払い」という現金事故を起こしてしまう。責任の行方は?果たして、舞は百万円を取り戻すことができるのか…!?")</f>
        <v>杏、上川隆也、塚地武雅、榎木孝明  甲本雅裕、大杉漣、生瀬勝久  木村佳乃、羽場裕一東京第一銀行の窓口係だった花咲舞(杏)は、事件を起こした支店に赴き解決に導く「臨店」という部署へ異動を命じられる。コンビを組むことになったのは、ベテラン行員・相馬健(上川隆也)。二人は早速、事務ミスが起きた茅場町支店へ向かうが、そこで、窓口係の聡子(木村佳乃)が百万円を多く客に払ってしまう「過払い」という現金事故を起こしてしまう。責任の行方は?果たして、舞は百万円を取り戻すことができるのか…!?</v>
      </c>
      <c r="N3922" s="2"/>
      <c r="O3922" s="2"/>
      <c r="P3922" s="1"/>
      <c r="Q3922" s="1"/>
      <c r="R3922" s="1"/>
      <c r="S3922" s="1"/>
      <c r="T3922" s="1"/>
      <c r="U3922" s="1"/>
      <c r="V3922" s="1"/>
      <c r="W3922" s="1"/>
      <c r="X3922" s="1"/>
      <c r="Y3922" s="1"/>
      <c r="Z3922" s="1"/>
      <c r="AA3922" s="1"/>
      <c r="AB3922" s="1"/>
      <c r="AC3922" s="1"/>
      <c r="AD3922" s="1"/>
      <c r="AE3922" s="1"/>
      <c r="AF3922" s="1"/>
      <c r="AG3922" s="1"/>
      <c r="AH3922" s="1"/>
      <c r="AI3922" s="1"/>
      <c r="AJ3922" s="1"/>
      <c r="AK3922" s="1"/>
      <c r="AL3922" s="1"/>
      <c r="AM3922" s="1"/>
      <c r="AN3922" s="1"/>
      <c r="AO3922" s="1"/>
      <c r="AP3922" s="1"/>
      <c r="AQ3922" s="1"/>
      <c r="AR3922" s="1"/>
      <c r="AS3922" s="1"/>
      <c r="AT3922" s="1"/>
      <c r="AU3922" s="1"/>
      <c r="AV3922" s="1"/>
      <c r="AW3922" s="1"/>
      <c r="AX3922" s="1"/>
      <c r="AY3922" s="1"/>
      <c r="AZ3922" s="1"/>
      <c r="BA3922" s="1"/>
      <c r="BB3922" s="1"/>
    </row>
    <row r="3923" ht="204.75" customHeight="1">
      <c r="A3923" s="1">
        <v>2763.0</v>
      </c>
      <c r="B3923" s="2" t="s">
        <v>11752</v>
      </c>
      <c r="C3923" s="2">
        <f>IFERROR(__xludf.DUMMYFUNCTION("split(B3923,""_"")"),1404.0)</f>
        <v>1404</v>
      </c>
      <c r="D3923" s="2" t="str">
        <f>IFERROR(__xludf.DUMMYFUNCTION("""COMPUTED_VALUE"""),"NTV")</f>
        <v>NTV</v>
      </c>
      <c r="E3923" s="2" t="str">
        <f>IFERROR(__xludf.DUMMYFUNCTION("""COMPUTED_VALUE"""),"水22")</f>
        <v>水22</v>
      </c>
      <c r="F3923" s="2" t="s">
        <v>11384</v>
      </c>
      <c r="G3923" s="2" t="s">
        <v>11388</v>
      </c>
      <c r="H3923" s="1">
        <v>2.0</v>
      </c>
      <c r="I3923" s="1" t="s">
        <v>2872</v>
      </c>
      <c r="J3923" s="1" t="s">
        <v>82</v>
      </c>
      <c r="K3923" s="2" t="s">
        <v>11754</v>
      </c>
      <c r="L3923" s="2"/>
      <c r="M3923" s="2" t="str">
        <f>IFERROR(__xludf.DUMMYFUNCTION("split(split(K3923,""【演出"",false),""ほか"",false)"),"杏、上川隆也、塚地武雅、榎木孝明  甲本雅裕、大杉漣、生瀬勝久  田中圭、飯田基祐青山支店が融資する結婚相談所の女性会員たちから抗議文が送られてくる。入会以来、会員の誰一人、相手を紹介してもらっていないという。それが本当なら銀行が詐欺行為に加担したことになってしまう。調査を始めた舞(杏)と相馬(上川隆也)は、融資を担当した杉下(田中圭)と共に結婚相談所へ向かうが、会社はもぬけの殻。すでに詐欺容疑で刑事告訴された社長の宗方が、会員から集めた6億円を持って失踪してしまっていた……。")</f>
        <v>杏、上川隆也、塚地武雅、榎木孝明  甲本雅裕、大杉漣、生瀬勝久  田中圭、飯田基祐青山支店が融資する結婚相談所の女性会員たちから抗議文が送られてくる。入会以来、会員の誰一人、相手を紹介してもらっていないという。それが本当なら銀行が詐欺行為に加担したことになってしまう。調査を始めた舞(杏)と相馬(上川隆也)は、融資を担当した杉下(田中圭)と共に結婚相談所へ向かうが、会社はもぬけの殻。すでに詐欺容疑で刑事告訴された社長の宗方が、会員から集めた6億円を持って失踪してしまっていた……。</v>
      </c>
      <c r="N3923" s="2"/>
      <c r="O3923" s="2"/>
      <c r="P3923" s="1"/>
      <c r="Q3923" s="1"/>
      <c r="R3923" s="1"/>
      <c r="S3923" s="1"/>
      <c r="T3923" s="1"/>
      <c r="U3923" s="1"/>
      <c r="V3923" s="1"/>
      <c r="W3923" s="1"/>
      <c r="X3923" s="1"/>
      <c r="Y3923" s="1"/>
      <c r="Z3923" s="1"/>
      <c r="AA3923" s="1"/>
      <c r="AB3923" s="1"/>
      <c r="AC3923" s="1"/>
      <c r="AD3923" s="1"/>
      <c r="AE3923" s="1"/>
      <c r="AF3923" s="1"/>
      <c r="AG3923" s="1"/>
      <c r="AH3923" s="1"/>
      <c r="AI3923" s="1"/>
      <c r="AJ3923" s="1"/>
      <c r="AK3923" s="1"/>
      <c r="AL3923" s="1"/>
      <c r="AM3923" s="1"/>
      <c r="AN3923" s="1"/>
      <c r="AO3923" s="1"/>
      <c r="AP3923" s="1"/>
      <c r="AQ3923" s="1"/>
      <c r="AR3923" s="1"/>
      <c r="AS3923" s="1"/>
      <c r="AT3923" s="1"/>
      <c r="AU3923" s="1"/>
      <c r="AV3923" s="1"/>
      <c r="AW3923" s="1"/>
      <c r="AX3923" s="1"/>
      <c r="AY3923" s="1"/>
      <c r="AZ3923" s="1"/>
      <c r="BA3923" s="1"/>
      <c r="BB3923" s="1"/>
    </row>
    <row r="3924" ht="204.75" customHeight="1">
      <c r="A3924" s="1">
        <v>2764.0</v>
      </c>
      <c r="B3924" s="2" t="s">
        <v>11752</v>
      </c>
      <c r="C3924" s="2">
        <f>IFERROR(__xludf.DUMMYFUNCTION("split(B3924,""_"")"),1404.0)</f>
        <v>1404</v>
      </c>
      <c r="D3924" s="2" t="str">
        <f>IFERROR(__xludf.DUMMYFUNCTION("""COMPUTED_VALUE"""),"NTV")</f>
        <v>NTV</v>
      </c>
      <c r="E3924" s="2" t="str">
        <f>IFERROR(__xludf.DUMMYFUNCTION("""COMPUTED_VALUE"""),"水22")</f>
        <v>水22</v>
      </c>
      <c r="F3924" s="2" t="s">
        <v>11384</v>
      </c>
      <c r="G3924" s="2" t="s">
        <v>11391</v>
      </c>
      <c r="H3924" s="1">
        <v>3.0</v>
      </c>
      <c r="I3924" s="1" t="s">
        <v>2876</v>
      </c>
      <c r="J3924" s="1" t="s">
        <v>82</v>
      </c>
      <c r="K3924" s="2" t="s">
        <v>11755</v>
      </c>
      <c r="L3924" s="2"/>
      <c r="M3924" s="2" t="str">
        <f>IFERROR(__xludf.DUMMYFUNCTION("split(split(K3924,""【演出"",false),""ほか"",false)"),"杏、上川隆也、塚地武雅  甲本雅裕、大杉漣、生瀬勝久  神保悟志、阿南健治、丸山智己舞(杏)と相馬(上川隆也)は蒲田支店へ事務応援に行くように命じられる。久々にテラーの仕事ができると張り切る舞。だが、蒲田支店の支店長・須賀(神保悟志)は「無能な奴はこの支店には必要ない!」と部下たちが委縮するほど高圧的な発言をする男で、舞と相馬にもあからさまに敵意をむき出しにしてきた。そして、須賀の策略にはめられた舞は大きなミスを犯してしまい……。")</f>
        <v>杏、上川隆也、塚地武雅  甲本雅裕、大杉漣、生瀬勝久  神保悟志、阿南健治、丸山智己舞(杏)と相馬(上川隆也)は蒲田支店へ事務応援に行くように命じられる。久々にテラーの仕事ができると張り切る舞。だが、蒲田支店の支店長・須賀(神保悟志)は「無能な奴はこの支店には必要ない!」と部下たちが委縮するほど高圧的な発言をする男で、舞と相馬にもあからさまに敵意をむき出しにしてきた。そして、須賀の策略にはめられた舞は大きなミスを犯してしまい……。</v>
      </c>
      <c r="N3924" s="2"/>
      <c r="O3924" s="2"/>
      <c r="P3924" s="1"/>
      <c r="Q3924" s="1"/>
      <c r="R3924" s="1"/>
      <c r="S3924" s="1"/>
      <c r="T3924" s="1"/>
      <c r="U3924" s="1"/>
      <c r="V3924" s="1"/>
      <c r="W3924" s="1"/>
      <c r="X3924" s="1"/>
      <c r="Y3924" s="1"/>
      <c r="Z3924" s="1"/>
      <c r="AA3924" s="1"/>
      <c r="AB3924" s="1"/>
      <c r="AC3924" s="1"/>
      <c r="AD3924" s="1"/>
      <c r="AE3924" s="1"/>
      <c r="AF3924" s="1"/>
      <c r="AG3924" s="1"/>
      <c r="AH3924" s="1"/>
      <c r="AI3924" s="1"/>
      <c r="AJ3924" s="1"/>
      <c r="AK3924" s="1"/>
      <c r="AL3924" s="1"/>
      <c r="AM3924" s="1"/>
      <c r="AN3924" s="1"/>
      <c r="AO3924" s="1"/>
      <c r="AP3924" s="1"/>
      <c r="AQ3924" s="1"/>
      <c r="AR3924" s="1"/>
      <c r="AS3924" s="1"/>
      <c r="AT3924" s="1"/>
      <c r="AU3924" s="1"/>
      <c r="AV3924" s="1"/>
      <c r="AW3924" s="1"/>
      <c r="AX3924" s="1"/>
      <c r="AY3924" s="1"/>
      <c r="AZ3924" s="1"/>
      <c r="BA3924" s="1"/>
      <c r="BB3924" s="1"/>
    </row>
    <row r="3925" ht="204.75" customHeight="1">
      <c r="A3925" s="1">
        <v>2765.0</v>
      </c>
      <c r="B3925" s="2" t="s">
        <v>11752</v>
      </c>
      <c r="C3925" s="2">
        <f>IFERROR(__xludf.DUMMYFUNCTION("split(B3925,""_"")"),1404.0)</f>
        <v>1404</v>
      </c>
      <c r="D3925" s="2" t="str">
        <f>IFERROR(__xludf.DUMMYFUNCTION("""COMPUTED_VALUE"""),"NTV")</f>
        <v>NTV</v>
      </c>
      <c r="E3925" s="2" t="str">
        <f>IFERROR(__xludf.DUMMYFUNCTION("""COMPUTED_VALUE"""),"水22")</f>
        <v>水22</v>
      </c>
      <c r="F3925" s="2" t="s">
        <v>11384</v>
      </c>
      <c r="G3925" s="2" t="s">
        <v>11394</v>
      </c>
      <c r="H3925" s="1">
        <v>4.0</v>
      </c>
      <c r="I3925" s="1" t="s">
        <v>2880</v>
      </c>
      <c r="J3925" s="1" t="s">
        <v>82</v>
      </c>
      <c r="K3925" s="2" t="s">
        <v>11756</v>
      </c>
      <c r="L3925" s="2"/>
      <c r="M3925" s="2" t="str">
        <f>IFERROR(__xludf.DUMMYFUNCTION("split(split(K3925,""【演出"",false),""ほか"",false)"),"杏、上川隆也、塚地武雅、  甲本雅裕、大杉漣、生瀬勝久  戸田恵子、秋本奈緒美、吉村卓也光岡には一つ問題があった。母親の和代(秋本奈緒美)がモンスターペアレントで、日頃から何かと銀行に文句をつけているという。だが、光岡家は東京第一銀行に5億円の預金をしている得意先。支店長の中村(戸田恵子)たちは強く出ることができないでいた。息子がいなくなったのは銀行のせいだと乗り込んできた和代に、舞は「子供の職場に親が乗り込んでくるなんて非常識じゃないですか」と言い、さらに怒らせてしまい…。")</f>
        <v>杏、上川隆也、塚地武雅、  甲本雅裕、大杉漣、生瀬勝久  戸田恵子、秋本奈緒美、吉村卓也光岡には一つ問題があった。母親の和代(秋本奈緒美)がモンスターペアレントで、日頃から何かと銀行に文句をつけているという。だが、光岡家は東京第一銀行に5億円の預金をしている得意先。支店長の中村(戸田恵子)たちは強く出ることができないでいた。息子がいなくなったのは銀行のせいだと乗り込んできた和代に、舞は「子供の職場に親が乗り込んでくるなんて非常識じゃないですか」と言い、さらに怒らせてしまい…。</v>
      </c>
      <c r="N3925" s="2"/>
      <c r="O3925" s="2"/>
      <c r="P3925" s="1"/>
      <c r="Q3925" s="1"/>
      <c r="R3925" s="1"/>
      <c r="S3925" s="1"/>
      <c r="T3925" s="1"/>
      <c r="U3925" s="1"/>
      <c r="V3925" s="1"/>
      <c r="W3925" s="1"/>
      <c r="X3925" s="1"/>
      <c r="Y3925" s="1"/>
      <c r="Z3925" s="1"/>
      <c r="AA3925" s="1"/>
      <c r="AB3925" s="1"/>
      <c r="AC3925" s="1"/>
      <c r="AD3925" s="1"/>
      <c r="AE3925" s="1"/>
      <c r="AF3925" s="1"/>
      <c r="AG3925" s="1"/>
      <c r="AH3925" s="1"/>
      <c r="AI3925" s="1"/>
      <c r="AJ3925" s="1"/>
      <c r="AK3925" s="1"/>
      <c r="AL3925" s="1"/>
      <c r="AM3925" s="1"/>
      <c r="AN3925" s="1"/>
      <c r="AO3925" s="1"/>
      <c r="AP3925" s="1"/>
      <c r="AQ3925" s="1"/>
      <c r="AR3925" s="1"/>
      <c r="AS3925" s="1"/>
      <c r="AT3925" s="1"/>
      <c r="AU3925" s="1"/>
      <c r="AV3925" s="1"/>
      <c r="AW3925" s="1"/>
      <c r="AX3925" s="1"/>
      <c r="AY3925" s="1"/>
      <c r="AZ3925" s="1"/>
      <c r="BA3925" s="1"/>
      <c r="BB3925" s="1"/>
    </row>
    <row r="3926" ht="204.75" customHeight="1">
      <c r="A3926" s="1">
        <v>2766.0</v>
      </c>
      <c r="B3926" s="2" t="s">
        <v>11752</v>
      </c>
      <c r="C3926" s="2">
        <f>IFERROR(__xludf.DUMMYFUNCTION("split(B3926,""_"")"),1404.0)</f>
        <v>1404</v>
      </c>
      <c r="D3926" s="2" t="str">
        <f>IFERROR(__xludf.DUMMYFUNCTION("""COMPUTED_VALUE"""),"NTV")</f>
        <v>NTV</v>
      </c>
      <c r="E3926" s="2" t="str">
        <f>IFERROR(__xludf.DUMMYFUNCTION("""COMPUTED_VALUE"""),"水22")</f>
        <v>水22</v>
      </c>
      <c r="F3926" s="2" t="s">
        <v>11384</v>
      </c>
      <c r="G3926" s="2" t="s">
        <v>11397</v>
      </c>
      <c r="H3926" s="1">
        <v>5.0</v>
      </c>
      <c r="I3926" s="1" t="s">
        <v>2884</v>
      </c>
      <c r="J3926" s="1" t="s">
        <v>82</v>
      </c>
      <c r="K3926" s="2" t="s">
        <v>11757</v>
      </c>
      <c r="L3926" s="2"/>
      <c r="M3926" s="2" t="str">
        <f>IFERROR(__xludf.DUMMYFUNCTION("split(split(K3926,""【演出"",false),""ほか"",false)"),"杏、上川隆也、塚地武雅、  甲本雅裕、大杉漣、生瀬勝久  高杉亘、小木茂光、田中幸太朗舞(杏)と相馬(上川隆也)が以前働いていた中野支店に金融庁検査が入る。主任検査官の青田(高杉亘)の一声で、検査が始まった。厳しい検査が続く中、支店長の牧野(小木茂光)が、見られたくない資料を地下物品庫に隠してあるという。そこに、検査官たちが物品庫に向ったという知らせが入る。なぜ支店の行員しか知らない隠し場所を青田が知っていたのか?舞は、銀行に対して敵意をむき出しにする青田のやり方に怒りを覚え…。")</f>
        <v>杏、上川隆也、塚地武雅、  甲本雅裕、大杉漣、生瀬勝久  高杉亘、小木茂光、田中幸太朗舞(杏)と相馬(上川隆也)が以前働いていた中野支店に金融庁検査が入る。主任検査官の青田(高杉亘)の一声で、検査が始まった。厳しい検査が続く中、支店長の牧野(小木茂光)が、見られたくない資料を地下物品庫に隠してあるという。そこに、検査官たちが物品庫に向ったという知らせが入る。なぜ支店の行員しか知らない隠し場所を青田が知っていたのか?舞は、銀行に対して敵意をむき出しにする青田のやり方に怒りを覚え…。</v>
      </c>
      <c r="N3926" s="2"/>
      <c r="O3926" s="2"/>
      <c r="P3926" s="1"/>
      <c r="Q3926" s="1"/>
      <c r="R3926" s="1"/>
      <c r="S3926" s="1"/>
      <c r="T3926" s="1"/>
      <c r="U3926" s="1"/>
      <c r="V3926" s="1"/>
      <c r="W3926" s="1"/>
      <c r="X3926" s="1"/>
      <c r="Y3926" s="1"/>
      <c r="Z3926" s="1"/>
      <c r="AA3926" s="1"/>
      <c r="AB3926" s="1"/>
      <c r="AC3926" s="1"/>
      <c r="AD3926" s="1"/>
      <c r="AE3926" s="1"/>
      <c r="AF3926" s="1"/>
      <c r="AG3926" s="1"/>
      <c r="AH3926" s="1"/>
      <c r="AI3926" s="1"/>
      <c r="AJ3926" s="1"/>
      <c r="AK3926" s="1"/>
      <c r="AL3926" s="1"/>
      <c r="AM3926" s="1"/>
      <c r="AN3926" s="1"/>
      <c r="AO3926" s="1"/>
      <c r="AP3926" s="1"/>
      <c r="AQ3926" s="1"/>
      <c r="AR3926" s="1"/>
      <c r="AS3926" s="1"/>
      <c r="AT3926" s="1"/>
      <c r="AU3926" s="1"/>
      <c r="AV3926" s="1"/>
      <c r="AW3926" s="1"/>
      <c r="AX3926" s="1"/>
      <c r="AY3926" s="1"/>
      <c r="AZ3926" s="1"/>
      <c r="BA3926" s="1"/>
      <c r="BB3926" s="1"/>
    </row>
    <row r="3927" ht="204.75" customHeight="1">
      <c r="A3927" s="1">
        <v>2767.0</v>
      </c>
      <c r="B3927" s="2" t="s">
        <v>11752</v>
      </c>
      <c r="C3927" s="2">
        <f>IFERROR(__xludf.DUMMYFUNCTION("split(B3927,""_"")"),1404.0)</f>
        <v>1404</v>
      </c>
      <c r="D3927" s="2" t="str">
        <f>IFERROR(__xludf.DUMMYFUNCTION("""COMPUTED_VALUE"""),"NTV")</f>
        <v>NTV</v>
      </c>
      <c r="E3927" s="2" t="str">
        <f>IFERROR(__xludf.DUMMYFUNCTION("""COMPUTED_VALUE"""),"水22")</f>
        <v>水22</v>
      </c>
      <c r="F3927" s="2" t="s">
        <v>11384</v>
      </c>
      <c r="G3927" s="2" t="s">
        <v>11400</v>
      </c>
      <c r="H3927" s="1">
        <v>6.0</v>
      </c>
      <c r="I3927" s="1" t="s">
        <v>2888</v>
      </c>
      <c r="J3927" s="1" t="s">
        <v>82</v>
      </c>
      <c r="K3927" s="2" t="s">
        <v>11758</v>
      </c>
      <c r="L3927" s="2"/>
      <c r="M3927" s="2" t="str">
        <f>IFERROR(__xludf.DUMMYFUNCTION("split(split(K3927,""【演出"",false),""ほか"",false)"),"杏、上川隆也、塚地武雅、  甲本雅裕、大杉漣、生瀬勝久  前田亜季、堀部圭亮週刊誌に大手銀行・支店長のセクハラ行為に対する告発記事がでた。その銀行は東京第一銀行であることは明らかで、舞(杏)と相馬(上川隆也)は告発した人物を探すよう命じられた。しかし、それらしき行員はなかなか見つからない。そんな中、頭取宛てに、告発した行員は京橋支店の川島奈津子(前田亜季)だというメールが届く。奈津子は告発記事を出したのは自分だと舞に告げ、さらにセクハラした人物に意外な相手の名前を挙げた。")</f>
        <v>杏、上川隆也、塚地武雅、  甲本雅裕、大杉漣、生瀬勝久  前田亜季、堀部圭亮週刊誌に大手銀行・支店長のセクハラ行為に対する告発記事がでた。その銀行は東京第一銀行であることは明らかで、舞(杏)と相馬(上川隆也)は告発した人物を探すよう命じられた。しかし、それらしき行員はなかなか見つからない。そんな中、頭取宛てに、告発した行員は京橋支店の川島奈津子(前田亜季)だというメールが届く。奈津子は告発記事を出したのは自分だと舞に告げ、さらにセクハラした人物に意外な相手の名前を挙げた。</v>
      </c>
      <c r="N3927" s="2"/>
      <c r="O3927" s="2"/>
      <c r="P3927" s="1"/>
      <c r="Q3927" s="1"/>
      <c r="R3927" s="1"/>
      <c r="S3927" s="1"/>
      <c r="T3927" s="1"/>
      <c r="U3927" s="1"/>
      <c r="V3927" s="1"/>
      <c r="W3927" s="1"/>
      <c r="X3927" s="1"/>
      <c r="Y3927" s="1"/>
      <c r="Z3927" s="1"/>
      <c r="AA3927" s="1"/>
      <c r="AB3927" s="1"/>
      <c r="AC3927" s="1"/>
      <c r="AD3927" s="1"/>
      <c r="AE3927" s="1"/>
      <c r="AF3927" s="1"/>
      <c r="AG3927" s="1"/>
      <c r="AH3927" s="1"/>
      <c r="AI3927" s="1"/>
      <c r="AJ3927" s="1"/>
      <c r="AK3927" s="1"/>
      <c r="AL3927" s="1"/>
      <c r="AM3927" s="1"/>
      <c r="AN3927" s="1"/>
      <c r="AO3927" s="1"/>
      <c r="AP3927" s="1"/>
      <c r="AQ3927" s="1"/>
      <c r="AR3927" s="1"/>
      <c r="AS3927" s="1"/>
      <c r="AT3927" s="1"/>
      <c r="AU3927" s="1"/>
      <c r="AV3927" s="1"/>
      <c r="AW3927" s="1"/>
      <c r="AX3927" s="1"/>
      <c r="AY3927" s="1"/>
      <c r="AZ3927" s="1"/>
      <c r="BA3927" s="1"/>
      <c r="BB3927" s="1"/>
    </row>
    <row r="3928" ht="204.75" customHeight="1">
      <c r="A3928" s="1">
        <v>2768.0</v>
      </c>
      <c r="B3928" s="2" t="s">
        <v>11752</v>
      </c>
      <c r="C3928" s="2">
        <f>IFERROR(__xludf.DUMMYFUNCTION("split(B3928,""_"")"),1404.0)</f>
        <v>1404</v>
      </c>
      <c r="D3928" s="2" t="str">
        <f>IFERROR(__xludf.DUMMYFUNCTION("""COMPUTED_VALUE"""),"NTV")</f>
        <v>NTV</v>
      </c>
      <c r="E3928" s="2" t="str">
        <f>IFERROR(__xludf.DUMMYFUNCTION("""COMPUTED_VALUE"""),"水22")</f>
        <v>水22</v>
      </c>
      <c r="F3928" s="2" t="s">
        <v>11384</v>
      </c>
      <c r="G3928" s="2" t="s">
        <v>11403</v>
      </c>
      <c r="H3928" s="1">
        <v>7.0</v>
      </c>
      <c r="I3928" s="1" t="s">
        <v>2892</v>
      </c>
      <c r="J3928" s="1" t="s">
        <v>82</v>
      </c>
      <c r="K3928" s="2" t="s">
        <v>11759</v>
      </c>
      <c r="L3928" s="2"/>
      <c r="M3928" s="2" t="str">
        <f>IFERROR(__xludf.DUMMYFUNCTION("split(split(K3928,""【演出"",false),""ほか"",false)"),"杏、上川隆也、塚地武雅、  甲本雅裕、大杉漣、生瀬勝久  姜暢雄、夕輝壽太舞(杏)は、同期の彩奈(瀬戸早妃)からレストラン『東京ダラス』のオーナー・友田(姜暢雄)を紹介された。好青年の友田に、舞もすぐに気に入ってしまう。そんな中、舞は友田が融資を受けるために、東京第一銀行の行員に賄賂を渡しているという話を聞かされる。舞と相馬(上川隆也)は、賄賂を受け取った行員が誰なのかを調べることになった。しかし、東京ダラスは融資先として問題がなく、友田が賄賂を渡す理由は見当たらず…。")</f>
        <v>杏、上川隆也、塚地武雅、  甲本雅裕、大杉漣、生瀬勝久  姜暢雄、夕輝壽太舞(杏)は、同期の彩奈(瀬戸早妃)からレストラン『東京ダラス』のオーナー・友田(姜暢雄)を紹介された。好青年の友田に、舞もすぐに気に入ってしまう。そんな中、舞は友田が融資を受けるために、東京第一銀行の行員に賄賂を渡しているという話を聞かされる。舞と相馬(上川隆也)は、賄賂を受け取った行員が誰なのかを調べることになった。しかし、東京ダラスは融資先として問題がなく、友田が賄賂を渡す理由は見当たらず…。</v>
      </c>
      <c r="N3928" s="2"/>
      <c r="O3928" s="2"/>
      <c r="P3928" s="1"/>
      <c r="Q3928" s="1"/>
      <c r="R3928" s="1"/>
      <c r="S3928" s="1"/>
      <c r="T3928" s="1"/>
      <c r="U3928" s="1"/>
      <c r="V3928" s="1"/>
      <c r="W3928" s="1"/>
      <c r="X3928" s="1"/>
      <c r="Y3928" s="1"/>
      <c r="Z3928" s="1"/>
      <c r="AA3928" s="1"/>
      <c r="AB3928" s="1"/>
      <c r="AC3928" s="1"/>
      <c r="AD3928" s="1"/>
      <c r="AE3928" s="1"/>
      <c r="AF3928" s="1"/>
      <c r="AG3928" s="1"/>
      <c r="AH3928" s="1"/>
      <c r="AI3928" s="1"/>
      <c r="AJ3928" s="1"/>
      <c r="AK3928" s="1"/>
      <c r="AL3928" s="1"/>
      <c r="AM3928" s="1"/>
      <c r="AN3928" s="1"/>
      <c r="AO3928" s="1"/>
      <c r="AP3928" s="1"/>
      <c r="AQ3928" s="1"/>
      <c r="AR3928" s="1"/>
      <c r="AS3928" s="1"/>
      <c r="AT3928" s="1"/>
      <c r="AU3928" s="1"/>
      <c r="AV3928" s="1"/>
      <c r="AW3928" s="1"/>
      <c r="AX3928" s="1"/>
      <c r="AY3928" s="1"/>
      <c r="AZ3928" s="1"/>
      <c r="BA3928" s="1"/>
      <c r="BB3928" s="1"/>
    </row>
    <row r="3929" ht="204.75" customHeight="1">
      <c r="A3929" s="1">
        <v>2769.0</v>
      </c>
      <c r="B3929" s="2" t="s">
        <v>11752</v>
      </c>
      <c r="C3929" s="2">
        <f>IFERROR(__xludf.DUMMYFUNCTION("split(B3929,""_"")"),1404.0)</f>
        <v>1404</v>
      </c>
      <c r="D3929" s="2" t="str">
        <f>IFERROR(__xludf.DUMMYFUNCTION("""COMPUTED_VALUE"""),"NTV")</f>
        <v>NTV</v>
      </c>
      <c r="E3929" s="2" t="str">
        <f>IFERROR(__xludf.DUMMYFUNCTION("""COMPUTED_VALUE"""),"水22")</f>
        <v>水22</v>
      </c>
      <c r="F3929" s="2" t="s">
        <v>11384</v>
      </c>
      <c r="G3929" s="2" t="s">
        <v>11406</v>
      </c>
      <c r="H3929" s="1">
        <v>8.0</v>
      </c>
      <c r="I3929" s="1" t="s">
        <v>2896</v>
      </c>
      <c r="J3929" s="1" t="s">
        <v>82</v>
      </c>
      <c r="K3929" s="2" t="s">
        <v>11760</v>
      </c>
      <c r="L3929" s="2"/>
      <c r="M3929" s="2" t="str">
        <f>IFERROR(__xludf.DUMMYFUNCTION("split(split(K3929,""【演出"",false),""ほか"",false)"),"杏、上川隆也、塚地武雅、  甲本雅裕、大杉漣、生瀬勝久  桐山漣、茅島成美舞(杏)がお見合いをした秋本(桐山漣)の勤める、京浜銀行が経営破たんした。驚く舞のもとに、テラー時代の客・静枝(茅島成美)から相談が来る。静枝は、秋本に頼まれて京浜銀行に2千万円の定期預金をしていたらしい。銀行が破たんすれば、預金は1千万円までしか保護されない。舞は、秋本が破たんの危機を知りながら静枝に多額の預金をさせたのではないかと疑問を抱き、相馬(上川隆也)とともに秋本のことを調べ始めると…。")</f>
        <v>杏、上川隆也、塚地武雅、  甲本雅裕、大杉漣、生瀬勝久  桐山漣、茅島成美舞(杏)がお見合いをした秋本(桐山漣)の勤める、京浜銀行が経営破たんした。驚く舞のもとに、テラー時代の客・静枝(茅島成美)から相談が来る。静枝は、秋本に頼まれて京浜銀行に2千万円の定期預金をしていたらしい。銀行が破たんすれば、預金は1千万円までしか保護されない。舞は、秋本が破たんの危機を知りながら静枝に多額の預金をさせたのではないかと疑問を抱き、相馬(上川隆也)とともに秋本のことを調べ始めると…。</v>
      </c>
      <c r="N3929" s="2"/>
      <c r="O3929" s="2"/>
      <c r="P3929" s="1"/>
      <c r="Q3929" s="1"/>
      <c r="R3929" s="1"/>
      <c r="S3929" s="1"/>
      <c r="T3929" s="1"/>
      <c r="U3929" s="1"/>
      <c r="V3929" s="1"/>
      <c r="W3929" s="1"/>
      <c r="X3929" s="1"/>
      <c r="Y3929" s="1"/>
      <c r="Z3929" s="1"/>
      <c r="AA3929" s="1"/>
      <c r="AB3929" s="1"/>
      <c r="AC3929" s="1"/>
      <c r="AD3929" s="1"/>
      <c r="AE3929" s="1"/>
      <c r="AF3929" s="1"/>
      <c r="AG3929" s="1"/>
      <c r="AH3929" s="1"/>
      <c r="AI3929" s="1"/>
      <c r="AJ3929" s="1"/>
      <c r="AK3929" s="1"/>
      <c r="AL3929" s="1"/>
      <c r="AM3929" s="1"/>
      <c r="AN3929" s="1"/>
      <c r="AO3929" s="1"/>
      <c r="AP3929" s="1"/>
      <c r="AQ3929" s="1"/>
      <c r="AR3929" s="1"/>
      <c r="AS3929" s="1"/>
      <c r="AT3929" s="1"/>
      <c r="AU3929" s="1"/>
      <c r="AV3929" s="1"/>
      <c r="AW3929" s="1"/>
      <c r="AX3929" s="1"/>
      <c r="AY3929" s="1"/>
      <c r="AZ3929" s="1"/>
      <c r="BA3929" s="1"/>
      <c r="BB3929" s="1"/>
    </row>
    <row r="3930" ht="204.75" customHeight="1">
      <c r="A3930" s="1">
        <v>2770.0</v>
      </c>
      <c r="B3930" s="2" t="s">
        <v>11752</v>
      </c>
      <c r="C3930" s="2">
        <f>IFERROR(__xludf.DUMMYFUNCTION("split(B3930,""_"")"),1404.0)</f>
        <v>1404</v>
      </c>
      <c r="D3930" s="2" t="str">
        <f>IFERROR(__xludf.DUMMYFUNCTION("""COMPUTED_VALUE"""),"NTV")</f>
        <v>NTV</v>
      </c>
      <c r="E3930" s="2" t="str">
        <f>IFERROR(__xludf.DUMMYFUNCTION("""COMPUTED_VALUE"""),"水22")</f>
        <v>水22</v>
      </c>
      <c r="F3930" s="2" t="s">
        <v>11384</v>
      </c>
      <c r="G3930" s="2" t="s">
        <v>11409</v>
      </c>
      <c r="H3930" s="1">
        <v>9.0</v>
      </c>
      <c r="I3930" s="1" t="s">
        <v>2900</v>
      </c>
      <c r="J3930" s="1" t="s">
        <v>82</v>
      </c>
      <c r="K3930" s="2" t="s">
        <v>11761</v>
      </c>
      <c r="L3930" s="2"/>
      <c r="M3930" s="2" t="str">
        <f>IFERROR(__xludf.DUMMYFUNCTION("split(split(K3930,""【演出"",false),""ほか"",false)"),"杏、上川隆也、塚地武雅、榎木孝明  甲本雅裕、大杉漣、生瀬勝久  平岡祐太、梨本謙次郎  入江雅人、山中崇  船越英一郎舞(杏)が事務応援のために行った新宿支店の融資課には、東京第一銀行の取引先、伊丹グループの御曹司・伊丹清一郎(平岡祐太)が働いていた。舞と離れて開放感を味わっていた相馬(上川隆也)も、監視のため新宿支店に行くよう命じられる。かつて新宿支店の融資課にいた相馬は、当時の担当客・幸田(梨本謙次郎)と再会する。幸田は、清一郎に融資を渋られていて、決済日当日に清一郎から一方的に融資を断られてしまう"&amp;"。")</f>
        <v>杏、上川隆也、塚地武雅、榎木孝明  甲本雅裕、大杉漣、生瀬勝久  平岡祐太、梨本謙次郎  入江雅人、山中崇  船越英一郎舞(杏)が事務応援のために行った新宿支店の融資課には、東京第一銀行の取引先、伊丹グループの御曹司・伊丹清一郎(平岡祐太)が働いていた。舞と離れて開放感を味わっていた相馬(上川隆也)も、監視のため新宿支店に行くよう命じられる。かつて新宿支店の融資課にいた相馬は、当時の担当客・幸田(梨本謙次郎)と再会する。幸田は、清一郎に融資を渋られていて、決済日当日に清一郎から一方的に融資を断られてしまう。</v>
      </c>
      <c r="N3930" s="2"/>
      <c r="O3930" s="2"/>
      <c r="P3930" s="1"/>
      <c r="Q3930" s="1"/>
      <c r="R3930" s="1"/>
      <c r="S3930" s="1"/>
      <c r="T3930" s="1"/>
      <c r="U3930" s="1"/>
      <c r="V3930" s="1"/>
      <c r="W3930" s="1"/>
      <c r="X3930" s="1"/>
      <c r="Y3930" s="1"/>
      <c r="Z3930" s="1"/>
      <c r="AA3930" s="1"/>
      <c r="AB3930" s="1"/>
      <c r="AC3930" s="1"/>
      <c r="AD3930" s="1"/>
      <c r="AE3930" s="1"/>
      <c r="AF3930" s="1"/>
      <c r="AG3930" s="1"/>
      <c r="AH3930" s="1"/>
      <c r="AI3930" s="1"/>
      <c r="AJ3930" s="1"/>
      <c r="AK3930" s="1"/>
      <c r="AL3930" s="1"/>
      <c r="AM3930" s="1"/>
      <c r="AN3930" s="1"/>
      <c r="AO3930" s="1"/>
      <c r="AP3930" s="1"/>
      <c r="AQ3930" s="1"/>
      <c r="AR3930" s="1"/>
      <c r="AS3930" s="1"/>
      <c r="AT3930" s="1"/>
      <c r="AU3930" s="1"/>
      <c r="AV3930" s="1"/>
      <c r="AW3930" s="1"/>
      <c r="AX3930" s="1"/>
      <c r="AY3930" s="1"/>
      <c r="AZ3930" s="1"/>
      <c r="BA3930" s="1"/>
      <c r="BB3930" s="1"/>
    </row>
    <row r="3931" ht="204.75" customHeight="1">
      <c r="A3931" s="1">
        <v>2771.0</v>
      </c>
      <c r="B3931" s="2" t="s">
        <v>11752</v>
      </c>
      <c r="C3931" s="2">
        <f>IFERROR(__xludf.DUMMYFUNCTION("split(B3931,""_"")"),1404.0)</f>
        <v>1404</v>
      </c>
      <c r="D3931" s="2" t="str">
        <f>IFERROR(__xludf.DUMMYFUNCTION("""COMPUTED_VALUE"""),"NTV")</f>
        <v>NTV</v>
      </c>
      <c r="E3931" s="2" t="str">
        <f>IFERROR(__xludf.DUMMYFUNCTION("""COMPUTED_VALUE"""),"水22")</f>
        <v>水22</v>
      </c>
      <c r="F3931" s="2" t="s">
        <v>11384</v>
      </c>
      <c r="G3931" s="2" t="s">
        <v>11412</v>
      </c>
      <c r="H3931" s="1">
        <v>10.0</v>
      </c>
      <c r="I3931" s="1" t="s">
        <v>37</v>
      </c>
      <c r="J3931" s="1" t="s">
        <v>82</v>
      </c>
      <c r="K3931" s="2" t="s">
        <v>11762</v>
      </c>
      <c r="L3931" s="2"/>
      <c r="M3931" s="2" t="str">
        <f>IFERROR(__xludf.DUMMYFUNCTION("split(split(K3931,""【演出"",false),""ほか"",false)"),"杏、上川隆也、塚地武雅、榎木孝明  甲本雅裕、大杉漣、生瀬勝久  平岡祐太、東根作寿英、船越英一郎東京第一銀行始まって以来の不祥事が発生!伊丹グループの従業員の給与データが紛失してしまったのだ。舞(杏)と相馬(上川隆也)は、事件解決のための調査委員に選ばれる。伊丹グループとの関係が悪化すれば大きな取引を失ってしまうため、真藤(生瀬勝久)は一刻も早いデータの発見と事態の収拾を命じる。そんな中、舞は、データは悪意のある者に盗まれたのではないかと調べ始める。一方、真藤は臨店班の解体を画策していて…。")</f>
        <v>杏、上川隆也、塚地武雅、榎木孝明  甲本雅裕、大杉漣、生瀬勝久  平岡祐太、東根作寿英、船越英一郎東京第一銀行始まって以来の不祥事が発生!伊丹グループの従業員の給与データが紛失してしまったのだ。舞(杏)と相馬(上川隆也)は、事件解決のための調査委員に選ばれる。伊丹グループとの関係が悪化すれば大きな取引を失ってしまうため、真藤(生瀬勝久)は一刻も早いデータの発見と事態の収拾を命じる。そんな中、舞は、データは悪意のある者に盗まれたのではないかと調べ始める。一方、真藤は臨店班の解体を画策していて…。</v>
      </c>
      <c r="N3931" s="2"/>
      <c r="O3931" s="2"/>
      <c r="P3931" s="1"/>
      <c r="Q3931" s="1"/>
      <c r="R3931" s="1"/>
      <c r="S3931" s="1"/>
      <c r="T3931" s="1"/>
      <c r="U3931" s="1"/>
      <c r="V3931" s="1"/>
      <c r="W3931" s="1"/>
      <c r="X3931" s="1"/>
      <c r="Y3931" s="1"/>
      <c r="Z3931" s="1"/>
      <c r="AA3931" s="1"/>
      <c r="AB3931" s="1"/>
      <c r="AC3931" s="1"/>
      <c r="AD3931" s="1"/>
      <c r="AE3931" s="1"/>
      <c r="AF3931" s="1"/>
      <c r="AG3931" s="1"/>
      <c r="AH3931" s="1"/>
      <c r="AI3931" s="1"/>
      <c r="AJ3931" s="1"/>
      <c r="AK3931" s="1"/>
      <c r="AL3931" s="1"/>
      <c r="AM3931" s="1"/>
      <c r="AN3931" s="1"/>
      <c r="AO3931" s="1"/>
      <c r="AP3931" s="1"/>
      <c r="AQ3931" s="1"/>
      <c r="AR3931" s="1"/>
      <c r="AS3931" s="1"/>
      <c r="AT3931" s="1"/>
      <c r="AU3931" s="1"/>
      <c r="AV3931" s="1"/>
      <c r="AW3931" s="1"/>
      <c r="AX3931" s="1"/>
      <c r="AY3931" s="1"/>
      <c r="AZ3931" s="1"/>
      <c r="BA3931" s="1"/>
      <c r="BB3931" s="1"/>
    </row>
    <row r="3932" ht="204.75" customHeight="1">
      <c r="A3932" s="1">
        <v>2808.0</v>
      </c>
      <c r="B3932" s="2" t="s">
        <v>11763</v>
      </c>
      <c r="C3932" s="2">
        <f>IFERROR(__xludf.DUMMYFUNCTION("split(B3932,""_"")"),1404.0)</f>
        <v>1404</v>
      </c>
      <c r="D3932" s="2" t="str">
        <f>IFERROR(__xludf.DUMMYFUNCTION("""COMPUTED_VALUE"""),"NTV")</f>
        <v>NTV</v>
      </c>
      <c r="E3932" s="2" t="str">
        <f>IFERROR(__xludf.DUMMYFUNCTION("""COMPUTED_VALUE"""),"木23")</f>
        <v>木23</v>
      </c>
      <c r="F3932" s="2" t="s">
        <v>11764</v>
      </c>
      <c r="G3932" s="2" t="s">
        <v>11765</v>
      </c>
      <c r="H3932" s="1">
        <v>1.0</v>
      </c>
      <c r="J3932" s="1" t="s">
        <v>1435</v>
      </c>
      <c r="K3932" s="2" t="s">
        <v>11766</v>
      </c>
      <c r="L3932" s="2"/>
      <c r="M3932" s="2" t="str">
        <f>IFERROR(__xludf.DUMMYFUNCTION("split(split(K3932,""【演出"",false),""ほか"",false)"),"伊原剛志    松下洸平  宅間孝行    名高達男  多岐川華子    安達祐実(他)【第1話】  警察庁生活安全局特殊防犯課の警視、朝倉草平(伊原剛志)。ドSな上司の叶美由紀(安達祐実)に命じられる朝倉の任務は、逮捕できない悪人を「矯正執行(きょうせいしっこう)」の名のもとに徹底的に改心させること。  今回のターゲットは、人気フレンチレストランのオーナー・峰岸(名高達男)。アレルギーを持つ男性の不審死で、食品偽装の疑いが浮上!所轄の刑事・辻恵一(松下洸平)とともに潜入調査を開始する。【主題歌】  『H"&amp;"ANDs』AAA(avex　trax)4/16(水)着うた配信スタート!【原作】  『トクボウ　朝倉草平』高橋秀武(集英社　ジャンプコミックス　デラックス刊)【「トクボウ　警察庁特殊防犯課」公式サイト】http://www.ytv.co.jp/tokubou/    あなたのレシピで辻巡査を救え!「たまご料理」アイディアコンテスト実施中!詳しくは番組HPへ!伊原剛志さん　安達祐実さん出演!  4月3日(木)放送  『スッキリ!!』  『PON!』(一部地域を除く)  『ヒルナンデス!』　  『情報ライブ　"&amp;"ミヤネ屋』  『かんさい情報ネット　ten.』(関西ローカル)4月3日よる9時から放送される  『おカネさま!お金に好かれる秘密大公開SP』  に、安達祐実さんが出演!")</f>
        <v>伊原剛志    松下洸平  宅間孝行    名高達男  多岐川華子    安達祐実(他)【第1話】  警察庁生活安全局特殊防犯課の警視、朝倉草平(伊原剛志)。ドSな上司の叶美由紀(安達祐実)に命じられる朝倉の任務は、逮捕できない悪人を「矯正執行(きょうせいしっこう)」の名のもとに徹底的に改心させること。  今回のターゲットは、人気フレンチレストランのオーナー・峰岸(名高達男)。アレルギーを持つ男性の不審死で、食品偽装の疑いが浮上!所轄の刑事・辻恵一(松下洸平)とともに潜入調査を開始する。【主題歌】  『HANDs』AAA(avex　trax)4/16(水)着うた配信スタート!【原作】  『トクボウ　朝倉草平』高橋秀武(集英社　ジャンプコミックス　デラックス刊)【「トクボウ　警察庁特殊防犯課」公式サイト】http://www.ytv.co.jp/tokubou/    あなたのレシピで辻巡査を救え!「たまご料理」アイディアコンテスト実施中!詳しくは番組HPへ!伊原剛志さん　安達祐実さん出演!  4月3日(木)放送  『スッキリ!!』  『PON!』(一部地域を除く)  『ヒルナンデス!』　  『情報ライブ　ミヤネ屋』  『かんさい情報ネット　ten.』(関西ローカル)4月3日よる9時から放送される  『おカネさま!お金に好かれる秘密大公開SP』  に、安達祐実さんが出演!</v>
      </c>
      <c r="N3932" s="2"/>
      <c r="O3932" s="2"/>
      <c r="P3932" s="1"/>
      <c r="Q3932" s="1"/>
      <c r="R3932" s="1"/>
      <c r="S3932" s="1"/>
      <c r="T3932" s="1"/>
      <c r="U3932" s="1"/>
      <c r="V3932" s="1"/>
      <c r="W3932" s="1"/>
      <c r="X3932" s="1"/>
      <c r="Y3932" s="1"/>
      <c r="Z3932" s="1"/>
      <c r="AA3932" s="1"/>
      <c r="AB3932" s="1"/>
      <c r="AC3932" s="1"/>
      <c r="AD3932" s="1"/>
      <c r="AE3932" s="1"/>
      <c r="AF3932" s="1"/>
      <c r="AG3932" s="1"/>
      <c r="AH3932" s="1"/>
      <c r="AI3932" s="1"/>
      <c r="AJ3932" s="1"/>
      <c r="AK3932" s="1"/>
      <c r="AL3932" s="1"/>
      <c r="AM3932" s="1"/>
      <c r="AN3932" s="1"/>
      <c r="AO3932" s="1"/>
      <c r="AP3932" s="1"/>
      <c r="AQ3932" s="1"/>
      <c r="AR3932" s="1"/>
      <c r="AS3932" s="1"/>
      <c r="AT3932" s="1"/>
      <c r="AU3932" s="1"/>
      <c r="AV3932" s="1"/>
      <c r="AW3932" s="1"/>
      <c r="AX3932" s="1"/>
      <c r="AY3932" s="1"/>
      <c r="AZ3932" s="1"/>
      <c r="BA3932" s="1"/>
      <c r="BB3932" s="1"/>
    </row>
    <row r="3933" ht="204.75" customHeight="1">
      <c r="A3933" s="1">
        <v>2809.0</v>
      </c>
      <c r="B3933" s="2" t="s">
        <v>11763</v>
      </c>
      <c r="C3933" s="2">
        <f>IFERROR(__xludf.DUMMYFUNCTION("split(B3933,""_"")"),1404.0)</f>
        <v>1404</v>
      </c>
      <c r="D3933" s="2" t="str">
        <f>IFERROR(__xludf.DUMMYFUNCTION("""COMPUTED_VALUE"""),"NTV")</f>
        <v>NTV</v>
      </c>
      <c r="E3933" s="2" t="str">
        <f>IFERROR(__xludf.DUMMYFUNCTION("""COMPUTED_VALUE"""),"木23")</f>
        <v>木23</v>
      </c>
      <c r="F3933" s="2" t="s">
        <v>11764</v>
      </c>
      <c r="G3933" s="2" t="s">
        <v>11767</v>
      </c>
      <c r="H3933" s="1">
        <v>2.0</v>
      </c>
      <c r="J3933" s="1" t="s">
        <v>1435</v>
      </c>
      <c r="K3933" s="2" t="s">
        <v>11768</v>
      </c>
      <c r="L3933" s="2"/>
      <c r="M3933" s="2" t="str">
        <f>IFERROR(__xludf.DUMMYFUNCTION("split(split(K3933,""【演出"",false),""ほか"",false)"),"伊原剛志  松下洸平、宅間孝行  足立梨花、落合モトキ  安達祐実(他)【第2話】警視・朝倉草平(伊原剛志)は、ドSな上司・叶(安達祐実)の指示で、“JKお散歩”の横行する秋葉原へ…。JKお散歩とは、女子高生がお散歩と称して男性とデートし、お金を得るアルバイトの事。朝倉は、豊島署の辻(松下洸平)を囮捜査に巻き込み、女子高生・かおり(足立梨花)に接触。彼女たちを裏で操る男・須藤(落合モトキ)を突き止める。「俺たちを逮捕できる法律なんてない」と豪語するが…果たして【主題歌】  『HANDs』AAA(avex　"&amp;"trax)4/16(水)着うた配信スタート!【原作】  『トクボウ　朝倉草平』高橋秀武(集英社　ジャンプコミックス　デラックス刊)【「トクボウ　警察庁特殊防犯課」公式サイト】http://www.ytv.co.jp/tokubou/    あなたのレシピで辻巡査を救え!「たまご料理」アイディアコンテスト実施中!詳しくは番組HPへ!")</f>
        <v>伊原剛志  松下洸平、宅間孝行  足立梨花、落合モトキ  安達祐実(他)【第2話】警視・朝倉草平(伊原剛志)は、ドSな上司・叶(安達祐実)の指示で、“JKお散歩”の横行する秋葉原へ…。JKお散歩とは、女子高生がお散歩と称して男性とデートし、お金を得るアルバイトの事。朝倉は、豊島署の辻(松下洸平)を囮捜査に巻き込み、女子高生・かおり(足立梨花)に接触。彼女たちを裏で操る男・須藤(落合モトキ)を突き止める。「俺たちを逮捕できる法律なんてない」と豪語するが…果たして【主題歌】  『HANDs』AAA(avex　trax)4/16(水)着うた配信スタート!【原作】  『トクボウ　朝倉草平』高橋秀武(集英社　ジャンプコミックス　デラックス刊)【「トクボウ　警察庁特殊防犯課」公式サイト】http://www.ytv.co.jp/tokubou/    あなたのレシピで辻巡査を救え!「たまご料理」アイディアコンテスト実施中!詳しくは番組HPへ!</v>
      </c>
      <c r="N3933" s="2"/>
      <c r="O3933" s="2"/>
      <c r="P3933" s="1"/>
      <c r="Q3933" s="1"/>
      <c r="R3933" s="1"/>
      <c r="S3933" s="1"/>
      <c r="T3933" s="1"/>
      <c r="U3933" s="1"/>
      <c r="V3933" s="1"/>
      <c r="W3933" s="1"/>
      <c r="X3933" s="1"/>
      <c r="Y3933" s="1"/>
      <c r="Z3933" s="1"/>
      <c r="AA3933" s="1"/>
      <c r="AB3933" s="1"/>
      <c r="AC3933" s="1"/>
      <c r="AD3933" s="1"/>
      <c r="AE3933" s="1"/>
      <c r="AF3933" s="1"/>
      <c r="AG3933" s="1"/>
      <c r="AH3933" s="1"/>
      <c r="AI3933" s="1"/>
      <c r="AJ3933" s="1"/>
      <c r="AK3933" s="1"/>
      <c r="AL3933" s="1"/>
      <c r="AM3933" s="1"/>
      <c r="AN3933" s="1"/>
      <c r="AO3933" s="1"/>
      <c r="AP3933" s="1"/>
      <c r="AQ3933" s="1"/>
      <c r="AR3933" s="1"/>
      <c r="AS3933" s="1"/>
      <c r="AT3933" s="1"/>
      <c r="AU3933" s="1"/>
      <c r="AV3933" s="1"/>
      <c r="AW3933" s="1"/>
      <c r="AX3933" s="1"/>
      <c r="AY3933" s="1"/>
      <c r="AZ3933" s="1"/>
      <c r="BA3933" s="1"/>
      <c r="BB3933" s="1"/>
    </row>
    <row r="3934" ht="204.75" customHeight="1">
      <c r="A3934" s="1">
        <v>2810.0</v>
      </c>
      <c r="B3934" s="2" t="s">
        <v>11763</v>
      </c>
      <c r="C3934" s="2">
        <f>IFERROR(__xludf.DUMMYFUNCTION("split(B3934,""_"")"),1404.0)</f>
        <v>1404</v>
      </c>
      <c r="D3934" s="2" t="str">
        <f>IFERROR(__xludf.DUMMYFUNCTION("""COMPUTED_VALUE"""),"NTV")</f>
        <v>NTV</v>
      </c>
      <c r="E3934" s="2" t="str">
        <f>IFERROR(__xludf.DUMMYFUNCTION("""COMPUTED_VALUE"""),"木23")</f>
        <v>木23</v>
      </c>
      <c r="F3934" s="2" t="s">
        <v>11764</v>
      </c>
      <c r="G3934" s="2" t="s">
        <v>11769</v>
      </c>
      <c r="H3934" s="1">
        <v>3.0</v>
      </c>
      <c r="J3934" s="1" t="s">
        <v>1435</v>
      </c>
      <c r="K3934" s="2" t="s">
        <v>11770</v>
      </c>
      <c r="L3934" s="2"/>
      <c r="M3934" s="2" t="str">
        <f>IFERROR(__xludf.DUMMYFUNCTION("split(split(K3934,""【演出"",false),""ほか"",false)"),"伊原剛志  松下洸平、宅間孝行  南野陽子、冨樫真  安達祐実(他)【第3話】美のカリスマ・綾野百合子(冨樫真)が経営するユリズケアの女性会員が自殺を図った。警視・朝倉草平(伊原剛志)と豊島署の辻恵一(松下洸平)は、エイジレス講座に参加。百合子が発する言葉とその美しさを称賛する中年女性たちが次々と会員契約する様を目撃。そんな中、会員の塩田ヒトミ(南野陽子)に誘われた辻は人妻と知りながらデートを重ねる。若く綺麗でいたい女性達の切実な思いにつけ込む百合子の裏の顔とは…【主題歌】  『HANDs』AAA(ave"&amp;"x　trax)4/16(水)着うた配信スタート!【原作】  『トクボウ　朝倉草平』高橋秀武(集英社　ジャンプコミックス　デラックス刊)http://www.ytv.co.jp/tokubou/    あなたのレシピで辻巡査を救え!「たまご料理」アイディアコンテスト実施中!詳しくは番組HPへ!")</f>
        <v>伊原剛志  松下洸平、宅間孝行  南野陽子、冨樫真  安達祐実(他)【第3話】美のカリスマ・綾野百合子(冨樫真)が経営するユリズケアの女性会員が自殺を図った。警視・朝倉草平(伊原剛志)と豊島署の辻恵一(松下洸平)は、エイジレス講座に参加。百合子が発する言葉とその美しさを称賛する中年女性たちが次々と会員契約する様を目撃。そんな中、会員の塩田ヒトミ(南野陽子)に誘われた辻は人妻と知りながらデートを重ねる。若く綺麗でいたい女性達の切実な思いにつけ込む百合子の裏の顔とは…【主題歌】  『HANDs』AAA(avex　trax)4/16(水)着うた配信スタート!【原作】  『トクボウ　朝倉草平』高橋秀武(集英社　ジャンプコミックス　デラックス刊)http://www.ytv.co.jp/tokubou/    あなたのレシピで辻巡査を救え!「たまご料理」アイディアコンテスト実施中!詳しくは番組HPへ!</v>
      </c>
      <c r="N3934" s="2"/>
      <c r="O3934" s="2"/>
      <c r="P3934" s="1"/>
      <c r="Q3934" s="1"/>
      <c r="R3934" s="1"/>
      <c r="S3934" s="1"/>
      <c r="T3934" s="1"/>
      <c r="U3934" s="1"/>
      <c r="V3934" s="1"/>
      <c r="W3934" s="1"/>
      <c r="X3934" s="1"/>
      <c r="Y3934" s="1"/>
      <c r="Z3934" s="1"/>
      <c r="AA3934" s="1"/>
      <c r="AB3934" s="1"/>
      <c r="AC3934" s="1"/>
      <c r="AD3934" s="1"/>
      <c r="AE3934" s="1"/>
      <c r="AF3934" s="1"/>
      <c r="AG3934" s="1"/>
      <c r="AH3934" s="1"/>
      <c r="AI3934" s="1"/>
      <c r="AJ3934" s="1"/>
      <c r="AK3934" s="1"/>
      <c r="AL3934" s="1"/>
      <c r="AM3934" s="1"/>
      <c r="AN3934" s="1"/>
      <c r="AO3934" s="1"/>
      <c r="AP3934" s="1"/>
      <c r="AQ3934" s="1"/>
      <c r="AR3934" s="1"/>
      <c r="AS3934" s="1"/>
      <c r="AT3934" s="1"/>
      <c r="AU3934" s="1"/>
      <c r="AV3934" s="1"/>
      <c r="AW3934" s="1"/>
      <c r="AX3934" s="1"/>
      <c r="AY3934" s="1"/>
      <c r="AZ3934" s="1"/>
      <c r="BA3934" s="1"/>
      <c r="BB3934" s="1"/>
    </row>
    <row r="3935" ht="204.75" customHeight="1">
      <c r="A3935" s="1">
        <v>2811.0</v>
      </c>
      <c r="B3935" s="2" t="s">
        <v>11763</v>
      </c>
      <c r="C3935" s="2">
        <f>IFERROR(__xludf.DUMMYFUNCTION("split(B3935,""_"")"),1404.0)</f>
        <v>1404</v>
      </c>
      <c r="D3935" s="2" t="str">
        <f>IFERROR(__xludf.DUMMYFUNCTION("""COMPUTED_VALUE"""),"NTV")</f>
        <v>NTV</v>
      </c>
      <c r="E3935" s="2" t="str">
        <f>IFERROR(__xludf.DUMMYFUNCTION("""COMPUTED_VALUE"""),"木23")</f>
        <v>木23</v>
      </c>
      <c r="F3935" s="2" t="s">
        <v>11764</v>
      </c>
      <c r="G3935" s="2" t="s">
        <v>11771</v>
      </c>
      <c r="H3935" s="1">
        <v>4.0</v>
      </c>
      <c r="J3935" s="1" t="s">
        <v>1435</v>
      </c>
      <c r="K3935" s="2" t="s">
        <v>11772</v>
      </c>
      <c r="L3935" s="2"/>
      <c r="M3935" s="2" t="str">
        <f>IFERROR(__xludf.DUMMYFUNCTION("split(split(K3935,""【演出"",false),""ほか"",false)"),"伊原剛志    松下洸平  宅間孝行    渡邊紘平  奥田達士  阪田マサノブ  棚橋ナッツ    川平慈英  安達祐実(他)【第4話】若いOLがロープで縛られ、吊るされた遺体となって発見された。  FBIでの研修から帰国した警視庁の警視・伊達鉄人(川平慈英)は、この犯行は秩序型の快楽殺人とプロファイリングする。「犯人はもっとゲス野郎だ」トクボウ課警視・朝倉草平(伊原剛志)は伊達の意見に聞く耳を持たない。幼馴染みでもある二人は真っ向から対立する…。やがて、ある男が運営する『呪いのハローワーク』というサイ"&amp;"トの存在が発覚して…【主題歌】  『HANDs』AAA(avex　trax)着うた配信中!【原作】  『トクボウ　朝倉草平』高橋秀武(集英社　ジャンプコミックス　デラックス刊)【「トクボウ　警察庁特殊防犯課」公式サイト】  http://www.ytv.co.jp/tokubou/")</f>
        <v>伊原剛志    松下洸平  宅間孝行    渡邊紘平  奥田達士  阪田マサノブ  棚橋ナッツ    川平慈英  安達祐実(他)【第4話】若いOLがロープで縛られ、吊るされた遺体となって発見された。  FBIでの研修から帰国した警視庁の警視・伊達鉄人(川平慈英)は、この犯行は秩序型の快楽殺人とプロファイリングする。「犯人はもっとゲス野郎だ」トクボウ課警視・朝倉草平(伊原剛志)は伊達の意見に聞く耳を持たない。幼馴染みでもある二人は真っ向から対立する…。やがて、ある男が運営する『呪いのハローワーク』というサイトの存在が発覚して…【主題歌】  『HANDs』AAA(avex　trax)着うた配信中!【原作】  『トクボウ　朝倉草平』高橋秀武(集英社　ジャンプコミックス　デラックス刊)【「トクボウ　警察庁特殊防犯課」公式サイト】  http://www.ytv.co.jp/tokubou/</v>
      </c>
      <c r="N3935" s="2"/>
      <c r="O3935" s="2"/>
      <c r="P3935" s="1"/>
      <c r="Q3935" s="1"/>
      <c r="R3935" s="1"/>
      <c r="S3935" s="1"/>
      <c r="T3935" s="1"/>
      <c r="U3935" s="1"/>
      <c r="V3935" s="1"/>
      <c r="W3935" s="1"/>
      <c r="X3935" s="1"/>
      <c r="Y3935" s="1"/>
      <c r="Z3935" s="1"/>
      <c r="AA3935" s="1"/>
      <c r="AB3935" s="1"/>
      <c r="AC3935" s="1"/>
      <c r="AD3935" s="1"/>
      <c r="AE3935" s="1"/>
      <c r="AF3935" s="1"/>
      <c r="AG3935" s="1"/>
      <c r="AH3935" s="1"/>
      <c r="AI3935" s="1"/>
      <c r="AJ3935" s="1"/>
      <c r="AK3935" s="1"/>
      <c r="AL3935" s="1"/>
      <c r="AM3935" s="1"/>
      <c r="AN3935" s="1"/>
      <c r="AO3935" s="1"/>
      <c r="AP3935" s="1"/>
      <c r="AQ3935" s="1"/>
      <c r="AR3935" s="1"/>
      <c r="AS3935" s="1"/>
      <c r="AT3935" s="1"/>
      <c r="AU3935" s="1"/>
      <c r="AV3935" s="1"/>
      <c r="AW3935" s="1"/>
      <c r="AX3935" s="1"/>
      <c r="AY3935" s="1"/>
      <c r="AZ3935" s="1"/>
      <c r="BA3935" s="1"/>
      <c r="BB3935" s="1"/>
    </row>
    <row r="3936" ht="204.75" customHeight="1">
      <c r="A3936" s="1">
        <v>2812.0</v>
      </c>
      <c r="B3936" s="2" t="s">
        <v>11763</v>
      </c>
      <c r="C3936" s="2">
        <f>IFERROR(__xludf.DUMMYFUNCTION("split(B3936,""_"")"),1404.0)</f>
        <v>1404</v>
      </c>
      <c r="D3936" s="2" t="str">
        <f>IFERROR(__xludf.DUMMYFUNCTION("""COMPUTED_VALUE"""),"NTV")</f>
        <v>NTV</v>
      </c>
      <c r="E3936" s="2" t="str">
        <f>IFERROR(__xludf.DUMMYFUNCTION("""COMPUTED_VALUE"""),"木23")</f>
        <v>木23</v>
      </c>
      <c r="F3936" s="2" t="s">
        <v>11764</v>
      </c>
      <c r="G3936" s="2" t="s">
        <v>11773</v>
      </c>
      <c r="H3936" s="1">
        <v>5.0</v>
      </c>
      <c r="J3936" s="1" t="s">
        <v>1435</v>
      </c>
      <c r="K3936" s="2" t="s">
        <v>11774</v>
      </c>
      <c r="L3936" s="2"/>
      <c r="M3936" s="2" t="str">
        <f>IFERROR(__xludf.DUMMYFUNCTION("split(split(K3936,""【演出"",false),""ほか"",false)"),"伊原剛志  松下洸平、宅間孝行  国広富之、升毅、矢島健一  川平慈英、安達祐実(他)【第5話】辻(松下洸平)の中学時代の友人が派遣社員として働く工場内で自殺。彼の死を不審に思った辻は、この会社に疑念を抱くが従業員は仕事に満足し社長(国広富之)を尊敬していた。優良企業だと断言する朝倉(伊原剛志)と決別した辻は単独で潜入捜査を行うが会社の考えに取り込まれていく。朝倉は裏に潜む人材派遣会社の労災隠しを追及。一方、叶(安達祐実)はそれらの裏に暗躍する存在に気付くが警察庁監査に連行されて…【主題歌】  『HAND"&amp;"s』AAA(avex　trax)着うた配信中!【原作】  『トクボウ　朝倉草平』高橋秀武(集英社　ジャンプコミックス　デラックス刊)【「トクボウ　警察庁特殊防犯課」公式サイト】  http://www.ytv.co.jp/tokubou/")</f>
        <v>伊原剛志  松下洸平、宅間孝行  国広富之、升毅、矢島健一  川平慈英、安達祐実(他)【第5話】辻(松下洸平)の中学時代の友人が派遣社員として働く工場内で自殺。彼の死を不審に思った辻は、この会社に疑念を抱くが従業員は仕事に満足し社長(国広富之)を尊敬していた。優良企業だと断言する朝倉(伊原剛志)と決別した辻は単独で潜入捜査を行うが会社の考えに取り込まれていく。朝倉は裏に潜む人材派遣会社の労災隠しを追及。一方、叶(安達祐実)はそれらの裏に暗躍する存在に気付くが警察庁監査に連行されて…【主題歌】  『HANDs』AAA(avex　trax)着うた配信中!【原作】  『トクボウ　朝倉草平』高橋秀武(集英社　ジャンプコミックス　デラックス刊)【「トクボウ　警察庁特殊防犯課」公式サイト】  http://www.ytv.co.jp/tokubou/</v>
      </c>
      <c r="N3936" s="2"/>
      <c r="O3936" s="2"/>
      <c r="P3936" s="1"/>
      <c r="Q3936" s="1"/>
      <c r="R3936" s="1"/>
      <c r="S3936" s="1"/>
      <c r="T3936" s="1"/>
      <c r="U3936" s="1"/>
      <c r="V3936" s="1"/>
      <c r="W3936" s="1"/>
      <c r="X3936" s="1"/>
      <c r="Y3936" s="1"/>
      <c r="Z3936" s="1"/>
      <c r="AA3936" s="1"/>
      <c r="AB3936" s="1"/>
      <c r="AC3936" s="1"/>
      <c r="AD3936" s="1"/>
      <c r="AE3936" s="1"/>
      <c r="AF3936" s="1"/>
      <c r="AG3936" s="1"/>
      <c r="AH3936" s="1"/>
      <c r="AI3936" s="1"/>
      <c r="AJ3936" s="1"/>
      <c r="AK3936" s="1"/>
      <c r="AL3936" s="1"/>
      <c r="AM3936" s="1"/>
      <c r="AN3936" s="1"/>
      <c r="AO3936" s="1"/>
      <c r="AP3936" s="1"/>
      <c r="AQ3936" s="1"/>
      <c r="AR3936" s="1"/>
      <c r="AS3936" s="1"/>
      <c r="AT3936" s="1"/>
      <c r="AU3936" s="1"/>
      <c r="AV3936" s="1"/>
      <c r="AW3936" s="1"/>
      <c r="AX3936" s="1"/>
      <c r="AY3936" s="1"/>
      <c r="AZ3936" s="1"/>
      <c r="BA3936" s="1"/>
      <c r="BB3936" s="1"/>
    </row>
    <row r="3937" ht="204.75" customHeight="1">
      <c r="A3937" s="1">
        <v>2813.0</v>
      </c>
      <c r="B3937" s="2" t="s">
        <v>11763</v>
      </c>
      <c r="C3937" s="2">
        <f>IFERROR(__xludf.DUMMYFUNCTION("split(B3937,""_"")"),1404.0)</f>
        <v>1404</v>
      </c>
      <c r="D3937" s="2" t="str">
        <f>IFERROR(__xludf.DUMMYFUNCTION("""COMPUTED_VALUE"""),"NTV")</f>
        <v>NTV</v>
      </c>
      <c r="E3937" s="2" t="str">
        <f>IFERROR(__xludf.DUMMYFUNCTION("""COMPUTED_VALUE"""),"木23")</f>
        <v>木23</v>
      </c>
      <c r="F3937" s="2" t="s">
        <v>11764</v>
      </c>
      <c r="G3937" s="2" t="s">
        <v>11775</v>
      </c>
      <c r="H3937" s="1">
        <v>6.0</v>
      </c>
      <c r="J3937" s="1" t="s">
        <v>1435</v>
      </c>
      <c r="K3937" s="2" t="s">
        <v>11776</v>
      </c>
      <c r="L3937" s="2"/>
      <c r="M3937" s="2" t="str">
        <f>IFERROR(__xludf.DUMMYFUNCTION("split(split(K3937,""【演出"",false),""ほか"",false)"),"伊原剛志  松下洸平、宅間孝行  川野直輝、升毅、吉田鋼太郎、矢島健一  川平慈英、安達祐実(他)【第6話】労災隠し疑いで人材派遣会社アオスブレインを内偵中のトクボウ課に最大の危機!叶(安達祐実)が警察庁監査に軟禁される。事態収拾のため朝倉(伊原剛志)は伊達(川平慈英)と辻(松下洸平)の協力のもと、アオスブレインに潜入、社長(升毅)の矯正執行に向かうが軍隊さながらのツルイ警備に阻まれる。創業者鶴井(吉田鋼太郎)は元警視総監。警視庁に多大な影響力を持つカリスマ的存在…果たして朝倉は叶を救えるか。【主題歌】 "&amp;" 『HANDs』AAA(avex　trax)着うた配信中!【原作】  『トクボウ　朝倉草平』高橋秀武(集英社　ジャンプコミックス　デラックス刊)【「トクボウ　警察庁特殊防犯課」公式サイト】  http://www.ytv.co.jp/tokubou/")</f>
        <v>伊原剛志  松下洸平、宅間孝行  川野直輝、升毅、吉田鋼太郎、矢島健一  川平慈英、安達祐実(他)【第6話】労災隠し疑いで人材派遣会社アオスブレインを内偵中のトクボウ課に最大の危機!叶(安達祐実)が警察庁監査に軟禁される。事態収拾のため朝倉(伊原剛志)は伊達(川平慈英)と辻(松下洸平)の協力のもと、アオスブレインに潜入、社長(升毅)の矯正執行に向かうが軍隊さながらのツルイ警備に阻まれる。創業者鶴井(吉田鋼太郎)は元警視総監。警視庁に多大な影響力を持つカリスマ的存在…果たして朝倉は叶を救えるか。【主題歌】  『HANDs』AAA(avex　trax)着うた配信中!【原作】  『トクボウ　朝倉草平』高橋秀武(集英社　ジャンプコミックス　デラックス刊)【「トクボウ　警察庁特殊防犯課」公式サイト】  http://www.ytv.co.jp/tokubou/</v>
      </c>
      <c r="N3937" s="2"/>
      <c r="O3937" s="2"/>
      <c r="P3937" s="1"/>
      <c r="Q3937" s="1"/>
      <c r="R3937" s="1"/>
      <c r="S3937" s="1"/>
      <c r="T3937" s="1"/>
      <c r="U3937" s="1"/>
      <c r="V3937" s="1"/>
      <c r="W3937" s="1"/>
      <c r="X3937" s="1"/>
      <c r="Y3937" s="1"/>
      <c r="Z3937" s="1"/>
      <c r="AA3937" s="1"/>
      <c r="AB3937" s="1"/>
      <c r="AC3937" s="1"/>
      <c r="AD3937" s="1"/>
      <c r="AE3937" s="1"/>
      <c r="AF3937" s="1"/>
      <c r="AG3937" s="1"/>
      <c r="AH3937" s="1"/>
      <c r="AI3937" s="1"/>
      <c r="AJ3937" s="1"/>
      <c r="AK3937" s="1"/>
      <c r="AL3937" s="1"/>
      <c r="AM3937" s="1"/>
      <c r="AN3937" s="1"/>
      <c r="AO3937" s="1"/>
      <c r="AP3937" s="1"/>
      <c r="AQ3937" s="1"/>
      <c r="AR3937" s="1"/>
      <c r="AS3937" s="1"/>
      <c r="AT3937" s="1"/>
      <c r="AU3937" s="1"/>
      <c r="AV3937" s="1"/>
      <c r="AW3937" s="1"/>
      <c r="AX3937" s="1"/>
      <c r="AY3937" s="1"/>
      <c r="AZ3937" s="1"/>
      <c r="BA3937" s="1"/>
      <c r="BB3937" s="1"/>
    </row>
    <row r="3938" ht="204.75" customHeight="1">
      <c r="A3938" s="1">
        <v>2814.0</v>
      </c>
      <c r="B3938" s="2" t="s">
        <v>11763</v>
      </c>
      <c r="C3938" s="2">
        <f>IFERROR(__xludf.DUMMYFUNCTION("split(B3938,""_"")"),1404.0)</f>
        <v>1404</v>
      </c>
      <c r="D3938" s="2" t="str">
        <f>IFERROR(__xludf.DUMMYFUNCTION("""COMPUTED_VALUE"""),"NTV")</f>
        <v>NTV</v>
      </c>
      <c r="E3938" s="2" t="str">
        <f>IFERROR(__xludf.DUMMYFUNCTION("""COMPUTED_VALUE"""),"木23")</f>
        <v>木23</v>
      </c>
      <c r="F3938" s="2" t="s">
        <v>11764</v>
      </c>
      <c r="G3938" s="2" t="s">
        <v>11777</v>
      </c>
      <c r="H3938" s="1">
        <v>7.0</v>
      </c>
      <c r="J3938" s="1" t="s">
        <v>1435</v>
      </c>
      <c r="K3938" s="2" t="s">
        <v>11778</v>
      </c>
      <c r="L3938" s="2"/>
      <c r="M3938" s="2" t="str">
        <f>IFERROR(__xludf.DUMMYFUNCTION("split(split(K3938,""【演出"",false),""ほか"",false)"),"伊原剛志  松下洸平、宅間孝行  川野直輝、岡本玲、姜暢雄、吉田鋼太郎、品川徹  川平慈英、安達祐実(他)【第7話】女性がお金を払った分だけデートが出来る「派遣ボーイフレンド」事務所の内偵を進める朝倉(伊原剛志)と辻(松下洸平)。  そこでは客である女性と肉体関係を持ち、結婚をエサに車やマンションを買わせて転売するという詐欺行為が行われていた。辻の捜査に進展がないのを見兼ねた叶(安達祐実)は自らおとり捜査に赴き彼らの悪質な詐欺行為の証拠をつかむが…  一方、野望を持つ鶴井(吉田鋼太郎)と朝倉が接近…。【主"&amp;"題歌】  『HANDs』AAA(avex　trax)着うた配信中!【原作】  『トクボウ　朝倉草平』高橋秀武(集英社　ジャンプコミックス　デラックス刊)http://www.ytv.co.jp/tokubou/")</f>
        <v>伊原剛志  松下洸平、宅間孝行  川野直輝、岡本玲、姜暢雄、吉田鋼太郎、品川徹  川平慈英、安達祐実(他)【第7話】女性がお金を払った分だけデートが出来る「派遣ボーイフレンド」事務所の内偵を進める朝倉(伊原剛志)と辻(松下洸平)。  そこでは客である女性と肉体関係を持ち、結婚をエサに車やマンションを買わせて転売するという詐欺行為が行われていた。辻の捜査に進展がないのを見兼ねた叶(安達祐実)は自らおとり捜査に赴き彼らの悪質な詐欺行為の証拠をつかむが…  一方、野望を持つ鶴井(吉田鋼太郎)と朝倉が接近…。【主題歌】  『HANDs』AAA(avex　trax)着うた配信中!【原作】  『トクボウ　朝倉草平』高橋秀武(集英社　ジャンプコミックス　デラックス刊)http://www.ytv.co.jp/tokubou/</v>
      </c>
      <c r="N3938" s="2"/>
      <c r="O3938" s="2"/>
      <c r="P3938" s="1"/>
      <c r="Q3938" s="1"/>
      <c r="R3938" s="1"/>
      <c r="S3938" s="1"/>
      <c r="T3938" s="1"/>
      <c r="U3938" s="1"/>
      <c r="V3938" s="1"/>
      <c r="W3938" s="1"/>
      <c r="X3938" s="1"/>
      <c r="Y3938" s="1"/>
      <c r="Z3938" s="1"/>
      <c r="AA3938" s="1"/>
      <c r="AB3938" s="1"/>
      <c r="AC3938" s="1"/>
      <c r="AD3938" s="1"/>
      <c r="AE3938" s="1"/>
      <c r="AF3938" s="1"/>
      <c r="AG3938" s="1"/>
      <c r="AH3938" s="1"/>
      <c r="AI3938" s="1"/>
      <c r="AJ3938" s="1"/>
      <c r="AK3938" s="1"/>
      <c r="AL3938" s="1"/>
      <c r="AM3938" s="1"/>
      <c r="AN3938" s="1"/>
      <c r="AO3938" s="1"/>
      <c r="AP3938" s="1"/>
      <c r="AQ3938" s="1"/>
      <c r="AR3938" s="1"/>
      <c r="AS3938" s="1"/>
      <c r="AT3938" s="1"/>
      <c r="AU3938" s="1"/>
      <c r="AV3938" s="1"/>
      <c r="AW3938" s="1"/>
      <c r="AX3938" s="1"/>
      <c r="AY3938" s="1"/>
      <c r="AZ3938" s="1"/>
      <c r="BA3938" s="1"/>
      <c r="BB3938" s="1"/>
    </row>
    <row r="3939" ht="204.75" customHeight="1">
      <c r="A3939" s="1">
        <v>2815.0</v>
      </c>
      <c r="B3939" s="2" t="s">
        <v>11763</v>
      </c>
      <c r="C3939" s="2">
        <f>IFERROR(__xludf.DUMMYFUNCTION("split(B3939,""_"")"),1404.0)</f>
        <v>1404</v>
      </c>
      <c r="D3939" s="2" t="str">
        <f>IFERROR(__xludf.DUMMYFUNCTION("""COMPUTED_VALUE"""),"NTV")</f>
        <v>NTV</v>
      </c>
      <c r="E3939" s="2" t="str">
        <f>IFERROR(__xludf.DUMMYFUNCTION("""COMPUTED_VALUE"""),"木23")</f>
        <v>木23</v>
      </c>
      <c r="F3939" s="2" t="s">
        <v>11764</v>
      </c>
      <c r="G3939" s="2" t="s">
        <v>11779</v>
      </c>
      <c r="H3939" s="1">
        <v>8.0</v>
      </c>
      <c r="J3939" s="1" t="s">
        <v>1435</v>
      </c>
      <c r="K3939" s="2" t="s">
        <v>11780</v>
      </c>
      <c r="L3939" s="2"/>
      <c r="M3939" s="2" t="str">
        <f>IFERROR(__xludf.DUMMYFUNCTION("split(split(K3939,""【演出"",false),""ほか"",false)"),"伊原剛志  松下洸平、宅間孝行  川野直輝、芳賀優里亜、吉田鋼太郎、品川徹  川平慈英、安達祐実(他)【第8話】元民自党副総裁の大藪(品川徹)とツルイ警備の鶴井(吉田鋼太郎)。この二人と闘うことを決意した朝倉(伊原剛志)は、辻(松下洸平)と共に山奥の施設で行われるツルイ警備の訓練キャンプに潜入!そこではまるで軍事演習が…。そんな中、キャンプ内の食堂で働く篠崎(芳賀優里亜)が辻に接近。朝倉は里奈の思惑を見抜くが…。ある日の昼食後、隊員達が激しい腹痛を起こし事態は急展開する。【主題歌】  『HANDs』AAA"&amp;"(avex　trax)着うた配信中!【原作】  『トクボウ　朝倉草平』高橋秀武(集英社　ジャンプコミックス　デラックス刊)http://www.ytv.co.jp/tokubou/")</f>
        <v>伊原剛志  松下洸平、宅間孝行  川野直輝、芳賀優里亜、吉田鋼太郎、品川徹  川平慈英、安達祐実(他)【第8話】元民自党副総裁の大藪(品川徹)とツルイ警備の鶴井(吉田鋼太郎)。この二人と闘うことを決意した朝倉(伊原剛志)は、辻(松下洸平)と共に山奥の施設で行われるツルイ警備の訓練キャンプに潜入!そこではまるで軍事演習が…。そんな中、キャンプ内の食堂で働く篠崎(芳賀優里亜)が辻に接近。朝倉は里奈の思惑を見抜くが…。ある日の昼食後、隊員達が激しい腹痛を起こし事態は急展開する。【主題歌】  『HANDs』AAA(avex　trax)着うた配信中!【原作】  『トクボウ　朝倉草平』高橋秀武(集英社　ジャンプコミックス　デラックス刊)http://www.ytv.co.jp/tokubou/</v>
      </c>
      <c r="N3939" s="2"/>
      <c r="O3939" s="2"/>
      <c r="P3939" s="1"/>
      <c r="Q3939" s="1"/>
      <c r="R3939" s="1"/>
      <c r="S3939" s="1"/>
      <c r="T3939" s="1"/>
      <c r="U3939" s="1"/>
      <c r="V3939" s="1"/>
      <c r="W3939" s="1"/>
      <c r="X3939" s="1"/>
      <c r="Y3939" s="1"/>
      <c r="Z3939" s="1"/>
      <c r="AA3939" s="1"/>
      <c r="AB3939" s="1"/>
      <c r="AC3939" s="1"/>
      <c r="AD3939" s="1"/>
      <c r="AE3939" s="1"/>
      <c r="AF3939" s="1"/>
      <c r="AG3939" s="1"/>
      <c r="AH3939" s="1"/>
      <c r="AI3939" s="1"/>
      <c r="AJ3939" s="1"/>
      <c r="AK3939" s="1"/>
      <c r="AL3939" s="1"/>
      <c r="AM3939" s="1"/>
      <c r="AN3939" s="1"/>
      <c r="AO3939" s="1"/>
      <c r="AP3939" s="1"/>
      <c r="AQ3939" s="1"/>
      <c r="AR3939" s="1"/>
      <c r="AS3939" s="1"/>
      <c r="AT3939" s="1"/>
      <c r="AU3939" s="1"/>
      <c r="AV3939" s="1"/>
      <c r="AW3939" s="1"/>
      <c r="AX3939" s="1"/>
      <c r="AY3939" s="1"/>
      <c r="AZ3939" s="1"/>
      <c r="BA3939" s="1"/>
      <c r="BB3939" s="1"/>
    </row>
    <row r="3940" ht="204.75" customHeight="1">
      <c r="A3940" s="1">
        <v>2816.0</v>
      </c>
      <c r="B3940" s="2" t="s">
        <v>11763</v>
      </c>
      <c r="C3940" s="2">
        <f>IFERROR(__xludf.DUMMYFUNCTION("split(B3940,""_"")"),1404.0)</f>
        <v>1404</v>
      </c>
      <c r="D3940" s="2" t="str">
        <f>IFERROR(__xludf.DUMMYFUNCTION("""COMPUTED_VALUE"""),"NTV")</f>
        <v>NTV</v>
      </c>
      <c r="E3940" s="2" t="str">
        <f>IFERROR(__xludf.DUMMYFUNCTION("""COMPUTED_VALUE"""),"木23")</f>
        <v>木23</v>
      </c>
      <c r="F3940" s="2" t="s">
        <v>11764</v>
      </c>
      <c r="G3940" s="2" t="s">
        <v>11781</v>
      </c>
      <c r="H3940" s="1">
        <v>9.0</v>
      </c>
      <c r="J3940" s="1" t="s">
        <v>1435</v>
      </c>
      <c r="K3940" s="2" t="s">
        <v>11782</v>
      </c>
      <c r="L3940" s="2"/>
      <c r="M3940" s="2" t="str">
        <f>IFERROR(__xludf.DUMMYFUNCTION("split(split(K3940,""【演出"",false),""ほか"",false)"),"伊原剛志  松下洸平、宅間孝行  川野直輝、芳賀優里亜、吉田鋼太郎  川平慈英、安達祐実(他)【第9話】朝倉(伊原剛志)と辻(松下洸平)は軍事演習さながらのツルイ警備訓練キャンプに潜入捜査。施設長森田(川野直輝)の補佐を命じられた朝倉は、鶴井(吉田鋼太郎)の計画には別の問題が隠されていると睨み、森田を言葉巧みに誘導し緊縛催眠を施す。一方、辻は単独で脱走を試みるが…。森田は全隊員に、スパイとして捕まった女性と辻の処刑を命じ、二人は実弾訓練の餌食となり、朝倉に追われることになる。【主題歌】  『HANDs』A"&amp;"AA(avex　trax)着うた配信中!【原作】  『トクボウ　朝倉草平』高橋秀武(集英社　ジャンプコミックス　デラックス刊)http://www.ytv.co.jp/tokubou/")</f>
        <v>伊原剛志  松下洸平、宅間孝行  川野直輝、芳賀優里亜、吉田鋼太郎  川平慈英、安達祐実(他)【第9話】朝倉(伊原剛志)と辻(松下洸平)は軍事演習さながらのツルイ警備訓練キャンプに潜入捜査。施設長森田(川野直輝)の補佐を命じられた朝倉は、鶴井(吉田鋼太郎)の計画には別の問題が隠されていると睨み、森田を言葉巧みに誘導し緊縛催眠を施す。一方、辻は単独で脱走を試みるが…。森田は全隊員に、スパイとして捕まった女性と辻の処刑を命じ、二人は実弾訓練の餌食となり、朝倉に追われることになる。【主題歌】  『HANDs』AAA(avex　trax)着うた配信中!【原作】  『トクボウ　朝倉草平』高橋秀武(集英社　ジャンプコミックス　デラックス刊)http://www.ytv.co.jp/tokubou/</v>
      </c>
      <c r="N3940" s="2"/>
      <c r="O3940" s="2"/>
      <c r="P3940" s="1"/>
      <c r="Q3940" s="1"/>
      <c r="R3940" s="1"/>
      <c r="S3940" s="1"/>
      <c r="T3940" s="1"/>
      <c r="U3940" s="1"/>
      <c r="V3940" s="1"/>
      <c r="W3940" s="1"/>
      <c r="X3940" s="1"/>
      <c r="Y3940" s="1"/>
      <c r="Z3940" s="1"/>
      <c r="AA3940" s="1"/>
      <c r="AB3940" s="1"/>
      <c r="AC3940" s="1"/>
      <c r="AD3940" s="1"/>
      <c r="AE3940" s="1"/>
      <c r="AF3940" s="1"/>
      <c r="AG3940" s="1"/>
      <c r="AH3940" s="1"/>
      <c r="AI3940" s="1"/>
      <c r="AJ3940" s="1"/>
      <c r="AK3940" s="1"/>
      <c r="AL3940" s="1"/>
      <c r="AM3940" s="1"/>
      <c r="AN3940" s="1"/>
      <c r="AO3940" s="1"/>
      <c r="AP3940" s="1"/>
      <c r="AQ3940" s="1"/>
      <c r="AR3940" s="1"/>
      <c r="AS3940" s="1"/>
      <c r="AT3940" s="1"/>
      <c r="AU3940" s="1"/>
      <c r="AV3940" s="1"/>
      <c r="AW3940" s="1"/>
      <c r="AX3940" s="1"/>
      <c r="AY3940" s="1"/>
      <c r="AZ3940" s="1"/>
      <c r="BA3940" s="1"/>
      <c r="BB3940" s="1"/>
    </row>
    <row r="3941" ht="204.75" customHeight="1">
      <c r="A3941" s="1">
        <v>2817.0</v>
      </c>
      <c r="B3941" s="2" t="s">
        <v>11763</v>
      </c>
      <c r="C3941" s="2">
        <f>IFERROR(__xludf.DUMMYFUNCTION("split(B3941,""_"")"),1404.0)</f>
        <v>1404</v>
      </c>
      <c r="D3941" s="2" t="str">
        <f>IFERROR(__xludf.DUMMYFUNCTION("""COMPUTED_VALUE"""),"NTV")</f>
        <v>NTV</v>
      </c>
      <c r="E3941" s="2" t="str">
        <f>IFERROR(__xludf.DUMMYFUNCTION("""COMPUTED_VALUE"""),"木23")</f>
        <v>木23</v>
      </c>
      <c r="F3941" s="2" t="s">
        <v>11764</v>
      </c>
      <c r="G3941" s="2" t="s">
        <v>11783</v>
      </c>
      <c r="H3941" s="1">
        <v>10.0</v>
      </c>
      <c r="J3941" s="1" t="s">
        <v>1435</v>
      </c>
      <c r="K3941" s="2" t="s">
        <v>11784</v>
      </c>
      <c r="L3941" s="2"/>
      <c r="M3941" s="2" t="str">
        <f>IFERROR(__xludf.DUMMYFUNCTION("split(split(K3941,""【演出"",false),""ほか"",false)"),"伊原剛志  松下洸平、宅間孝行  川野直輝、大浦龍宇一、大和田健介、吉田鋼太郎  川平慈英、安達祐実(他)【第10話】下町にあるスナックの女性経営者が自殺。遺体の傍に亀の置物が残されているだけで遺書はなく動機は不明であった。  女性は悪質業者からの借金があり、多重債務の返済で有名な瀬野弁護士(大浦龍宇一)に相談。一度は返済したもののオレオレ詐欺の被害に遭い再び闇金業者に。朝倉(伊原剛志)は詐欺グループと瀬野弁護士の関係に疑惑を持つ。叶(安達祐実)と伊達(川平慈英)がおとりとなり弁護士の裏の顔を暴く!【主題"&amp;"歌】  『HANDs』AAA(avex　trax)着うた配信中!【原作】  『トクボウ　朝倉草平』高橋秀武(集英社　ジャンプコミックス　デラックス刊)「たまご料理」アイデアコンテスト、グランプリ作品登場します!!http://www.ytv.co.jp/tokubou/")</f>
        <v>伊原剛志  松下洸平、宅間孝行  川野直輝、大浦龍宇一、大和田健介、吉田鋼太郎  川平慈英、安達祐実(他)【第10話】下町にあるスナックの女性経営者が自殺。遺体の傍に亀の置物が残されているだけで遺書はなく動機は不明であった。  女性は悪質業者からの借金があり、多重債務の返済で有名な瀬野弁護士(大浦龍宇一)に相談。一度は返済したもののオレオレ詐欺の被害に遭い再び闇金業者に。朝倉(伊原剛志)は詐欺グループと瀬野弁護士の関係に疑惑を持つ。叶(安達祐実)と伊達(川平慈英)がおとりとなり弁護士の裏の顔を暴く!【主題歌】  『HANDs』AAA(avex　trax)着うた配信中!【原作】  『トクボウ　朝倉草平』高橋秀武(集英社　ジャンプコミックス　デラックス刊)「たまご料理」アイデアコンテスト、グランプリ作品登場します!!http://www.ytv.co.jp/tokubou/</v>
      </c>
      <c r="N3941" s="2"/>
      <c r="O3941" s="2"/>
      <c r="P3941" s="1"/>
      <c r="Q3941" s="1"/>
      <c r="R3941" s="1"/>
      <c r="S3941" s="1"/>
      <c r="T3941" s="1"/>
      <c r="U3941" s="1"/>
      <c r="V3941" s="1"/>
      <c r="W3941" s="1"/>
      <c r="X3941" s="1"/>
      <c r="Y3941" s="1"/>
      <c r="Z3941" s="1"/>
      <c r="AA3941" s="1"/>
      <c r="AB3941" s="1"/>
      <c r="AC3941" s="1"/>
      <c r="AD3941" s="1"/>
      <c r="AE3941" s="1"/>
      <c r="AF3941" s="1"/>
      <c r="AG3941" s="1"/>
      <c r="AH3941" s="1"/>
      <c r="AI3941" s="1"/>
      <c r="AJ3941" s="1"/>
      <c r="AK3941" s="1"/>
      <c r="AL3941" s="1"/>
      <c r="AM3941" s="1"/>
      <c r="AN3941" s="1"/>
      <c r="AO3941" s="1"/>
      <c r="AP3941" s="1"/>
      <c r="AQ3941" s="1"/>
      <c r="AR3941" s="1"/>
      <c r="AS3941" s="1"/>
      <c r="AT3941" s="1"/>
      <c r="AU3941" s="1"/>
      <c r="AV3941" s="1"/>
      <c r="AW3941" s="1"/>
      <c r="AX3941" s="1"/>
      <c r="AY3941" s="1"/>
      <c r="AZ3941" s="1"/>
      <c r="BA3941" s="1"/>
      <c r="BB3941" s="1"/>
    </row>
    <row r="3942" ht="204.75" customHeight="1">
      <c r="A3942" s="1">
        <v>2818.0</v>
      </c>
      <c r="B3942" s="2" t="s">
        <v>11763</v>
      </c>
      <c r="C3942" s="2">
        <f>IFERROR(__xludf.DUMMYFUNCTION("split(B3942,""_"")"),1404.0)</f>
        <v>1404</v>
      </c>
      <c r="D3942" s="2" t="str">
        <f>IFERROR(__xludf.DUMMYFUNCTION("""COMPUTED_VALUE"""),"NTV")</f>
        <v>NTV</v>
      </c>
      <c r="E3942" s="2" t="str">
        <f>IFERROR(__xludf.DUMMYFUNCTION("""COMPUTED_VALUE"""),"木23")</f>
        <v>木23</v>
      </c>
      <c r="F3942" s="2" t="s">
        <v>11764</v>
      </c>
      <c r="G3942" s="2" t="s">
        <v>11785</v>
      </c>
      <c r="H3942" s="1">
        <v>11.0</v>
      </c>
      <c r="J3942" s="1" t="s">
        <v>1435</v>
      </c>
      <c r="K3942" s="2" t="s">
        <v>11786</v>
      </c>
      <c r="L3942" s="2"/>
      <c r="M3942" s="2" t="str">
        <f>IFERROR(__xludf.DUMMYFUNCTION("split(split(K3942,""【演出"",false),""ほか"",false)"),"伊原剛志  松下洸平、宅間孝行、川野直輝  岡本玲  吉田鋼太郎  川平慈英、安達祐実(他)【最終話】遊園地で武装集団が銃を乱射。ツルイ警備代表鶴井(吉田鋼太郎)による自作自演のテロであった。犯人に仕立てられた柏木警視長(宅間孝行)から次の犯行予告メールが…。テロを未然に防ぐためアジトに潜入する朝倉(伊原剛志)、叶(安達祐実)、伊達(川平慈英)、辻(松下洸平)。遂に朝倉と鶴井が対決。果たして最後の強制執行は行われるのか。【主題歌】  『HANDs』AAA(avex　trax)着うた配信中!【原作】  『ト"&amp;"クボウ　朝倉草平』高橋秀武(集英社　ジャンプコミックス　デラックス刊)新ドラマ「獣医さん、事件ですよ」7月3日木曜よる11時59分!  出演:陣内孝則、吉本実憂、野際陽子  第1話ゲスト釈由美子、本田望結  陣内孝則が獣医に!なぜか人助けに奮闘!?美女に惚れて…問題解決!?http://www.ytv.co.jp/tokubou/")</f>
        <v>伊原剛志  松下洸平、宅間孝行、川野直輝  岡本玲  吉田鋼太郎  川平慈英、安達祐実(他)【最終話】遊園地で武装集団が銃を乱射。ツルイ警備代表鶴井(吉田鋼太郎)による自作自演のテロであった。犯人に仕立てられた柏木警視長(宅間孝行)から次の犯行予告メールが…。テロを未然に防ぐためアジトに潜入する朝倉(伊原剛志)、叶(安達祐実)、伊達(川平慈英)、辻(松下洸平)。遂に朝倉と鶴井が対決。果たして最後の強制執行は行われるのか。【主題歌】  『HANDs』AAA(avex　trax)着うた配信中!【原作】  『トクボウ　朝倉草平』高橋秀武(集英社　ジャンプコミックス　デラックス刊)新ドラマ「獣医さん、事件ですよ」7月3日木曜よる11時59分!  出演:陣内孝則、吉本実憂、野際陽子  第1話ゲスト釈由美子、本田望結  陣内孝則が獣医に!なぜか人助けに奮闘!?美女に惚れて…問題解決!?http://www.ytv.co.jp/tokubou/</v>
      </c>
      <c r="N3942" s="2"/>
      <c r="O3942" s="2"/>
      <c r="P3942" s="1"/>
      <c r="Q3942" s="1"/>
      <c r="R3942" s="1"/>
      <c r="S3942" s="1"/>
      <c r="T3942" s="1"/>
      <c r="U3942" s="1"/>
      <c r="V3942" s="1"/>
      <c r="W3942" s="1"/>
      <c r="X3942" s="1"/>
      <c r="Y3942" s="1"/>
      <c r="Z3942" s="1"/>
      <c r="AA3942" s="1"/>
      <c r="AB3942" s="1"/>
      <c r="AC3942" s="1"/>
      <c r="AD3942" s="1"/>
      <c r="AE3942" s="1"/>
      <c r="AF3942" s="1"/>
      <c r="AG3942" s="1"/>
      <c r="AH3942" s="1"/>
      <c r="AI3942" s="1"/>
      <c r="AJ3942" s="1"/>
      <c r="AK3942" s="1"/>
      <c r="AL3942" s="1"/>
      <c r="AM3942" s="1"/>
      <c r="AN3942" s="1"/>
      <c r="AO3942" s="1"/>
      <c r="AP3942" s="1"/>
      <c r="AQ3942" s="1"/>
      <c r="AR3942" s="1"/>
      <c r="AS3942" s="1"/>
      <c r="AT3942" s="1"/>
      <c r="AU3942" s="1"/>
      <c r="AV3942" s="1"/>
      <c r="AW3942" s="1"/>
      <c r="AX3942" s="1"/>
      <c r="AY3942" s="1"/>
      <c r="AZ3942" s="1"/>
      <c r="BA3942" s="1"/>
      <c r="BB3942" s="1"/>
    </row>
    <row r="3943" ht="204.75" customHeight="1">
      <c r="A3943" s="1">
        <v>2838.0</v>
      </c>
      <c r="B3943" s="2" t="s">
        <v>11787</v>
      </c>
      <c r="C3943" s="2">
        <f>IFERROR(__xludf.DUMMYFUNCTION("split(B3943,""_"")"),1404.0)</f>
        <v>1404</v>
      </c>
      <c r="D3943" s="2" t="str">
        <f>IFERROR(__xludf.DUMMYFUNCTION("""COMPUTED_VALUE"""),"NTV")</f>
        <v>NTV</v>
      </c>
      <c r="E3943" s="2" t="str">
        <f>IFERROR(__xludf.DUMMYFUNCTION("""COMPUTED_VALUE"""),"土21")</f>
        <v>土21</v>
      </c>
      <c r="F3943" s="2" t="s">
        <v>11788</v>
      </c>
      <c r="G3943" s="2" t="s">
        <v>11789</v>
      </c>
      <c r="H3943" s="1">
        <v>1.0</v>
      </c>
      <c r="I3943" s="1" t="s">
        <v>2868</v>
      </c>
      <c r="J3943" s="1" t="s">
        <v>4</v>
      </c>
      <c r="K3943" s="2" t="s">
        <v>11790</v>
      </c>
      <c r="L3943" s="2"/>
      <c r="M3943" s="2" t="str">
        <f>IFERROR(__xludf.DUMMYFUNCTION("split(split(K3943,""【演出"",false),""ほか"",false)"),"二宮和也、麻生久美子、福士蒼汰、有村架純、中島裕翔、山崎賢人、本郷奏多、間宮祥太朗、桜田通、鈴木勝大、柳俊太郎、平岡拓真、阿久津愼太郎、市川海老蔵、光石研、川原和久、荒川良々、笹野高史、薬師丸ひろ子　")</f>
        <v>二宮和也、麻生久美子、福士蒼汰、有村架純、中島裕翔、山崎賢人、本郷奏多、間宮祥太朗、桜田通、鈴木勝大、柳俊太郎、平岡拓真、阿久津愼太郎、市川海老蔵、光石研、川原和久、荒川良々、笹野高史、薬師丸ひろ子　</v>
      </c>
      <c r="N3943" s="2" t="str">
        <f>IFERROR(__xludf.DUMMYFUNCTION("""COMPUTED_VALUE"""),"日本有数の進学校にやってきた新人教師・田茂青志(二宮和也)。  そこで出会ったのは、部員5人、エラーは伝統、かけ声の出し方すら知らない、救いようのない超へっぽこ野球部!!そんな弱小野球部の監督を引き受けることになった青志は決意する。  「弱くても勝てるということを証明してやる!」  へんてこ教師とへっぽこ野球部が「勝利」を目指す!  笑いと涙の青春学園ドラマが幕を開ける!")</f>
        <v>日本有数の進学校にやってきた新人教師・田茂青志(二宮和也)。  そこで出会ったのは、部員5人、エラーは伝統、かけ声の出し方すら知らない、救いようのない超へっぽこ野球部!!そんな弱小野球部の監督を引き受けることになった青志は決意する。  「弱くても勝てるということを証明してやる!」  へんてこ教師とへっぽこ野球部が「勝利」を目指す!  笑いと涙の青春学園ドラマが幕を開ける!</v>
      </c>
      <c r="O3943" s="2"/>
      <c r="P3943" s="1"/>
      <c r="Q3943" s="1"/>
      <c r="R3943" s="1"/>
      <c r="S3943" s="1"/>
      <c r="T3943" s="1"/>
      <c r="U3943" s="1"/>
      <c r="V3943" s="1"/>
      <c r="W3943" s="1"/>
      <c r="X3943" s="1"/>
      <c r="Y3943" s="1"/>
      <c r="Z3943" s="1"/>
      <c r="AA3943" s="1"/>
      <c r="AB3943" s="1"/>
      <c r="AC3943" s="1"/>
      <c r="AD3943" s="1"/>
      <c r="AE3943" s="1"/>
      <c r="AF3943" s="1"/>
      <c r="AG3943" s="1"/>
      <c r="AH3943" s="1"/>
      <c r="AI3943" s="1"/>
      <c r="AJ3943" s="1"/>
      <c r="AK3943" s="1"/>
      <c r="AL3943" s="1"/>
      <c r="AM3943" s="1"/>
      <c r="AN3943" s="1"/>
      <c r="AO3943" s="1"/>
      <c r="AP3943" s="1"/>
      <c r="AQ3943" s="1"/>
      <c r="AR3943" s="1"/>
      <c r="AS3943" s="1"/>
      <c r="AT3943" s="1"/>
      <c r="AU3943" s="1"/>
      <c r="AV3943" s="1"/>
      <c r="AW3943" s="1"/>
      <c r="AX3943" s="1"/>
      <c r="AY3943" s="1"/>
      <c r="AZ3943" s="1"/>
      <c r="BA3943" s="1"/>
      <c r="BB3943" s="1"/>
    </row>
    <row r="3944" ht="204.75" customHeight="1">
      <c r="A3944" s="1">
        <v>2839.0</v>
      </c>
      <c r="B3944" s="2" t="s">
        <v>11787</v>
      </c>
      <c r="C3944" s="2">
        <f>IFERROR(__xludf.DUMMYFUNCTION("split(B3944,""_"")"),1404.0)</f>
        <v>1404</v>
      </c>
      <c r="D3944" s="2" t="str">
        <f>IFERROR(__xludf.DUMMYFUNCTION("""COMPUTED_VALUE"""),"NTV")</f>
        <v>NTV</v>
      </c>
      <c r="E3944" s="2" t="str">
        <f>IFERROR(__xludf.DUMMYFUNCTION("""COMPUTED_VALUE"""),"土21")</f>
        <v>土21</v>
      </c>
      <c r="F3944" s="2" t="s">
        <v>11788</v>
      </c>
      <c r="G3944" s="2" t="s">
        <v>11791</v>
      </c>
      <c r="H3944" s="1">
        <v>2.0</v>
      </c>
      <c r="I3944" s="1" t="s">
        <v>2872</v>
      </c>
      <c r="J3944" s="1" t="s">
        <v>11</v>
      </c>
      <c r="K3944" s="2" t="s">
        <v>11792</v>
      </c>
      <c r="L3944" s="2"/>
      <c r="M3944" s="2" t="str">
        <f>IFERROR(__xludf.DUMMYFUNCTION("split(split(K3944,""【演出"",false),""ほか"",false)"),"二宮和也、麻生久美子、福士蒼汰、有村架純、中島裕翔、山崎賢人、本郷奏多、間宮祥太朗、桜田通、鈴木勝大、柳俊太郎、平岡拓真、阿久津愼太郎、市川海老蔵、光石研、川原和久、荒川良々、笹野高史、薬師丸ひろ子　")</f>
        <v>二宮和也、麻生久美子、福士蒼汰、有村架純、中島裕翔、山崎賢人、本郷奏多、間宮祥太朗、桜田通、鈴木勝大、柳俊太郎、平岡拓真、阿久津愼太郎、市川海老蔵、光石研、川原和久、荒川良々、笹野高史、薬師丸ひろ子　</v>
      </c>
      <c r="N3944" s="2" t="str">
        <f>IFERROR(__xludf.DUMMYFUNCTION("""COMPUTED_VALUE"""),"城徳高校野球部の監督となった青志(二宮和也)。  しかし、青志の指導は野球のセオリーを全く無視。それに対して城徳唯一の天才球児・白尾(中島裕翔)は猛反発!「普通の野球部に近づきたい」白尾と「普通になる必要はない」と言う青志は対立、白尾は野球部を去ってしまう…。そこにはある恋心が…。  一方、青志の因縁の相手である谷内田(市川海老蔵)がライバル校・堂東野球部コーチに就任。2人は再会を果たすが…")</f>
        <v>城徳高校野球部の監督となった青志(二宮和也)。  しかし、青志の指導は野球のセオリーを全く無視。それに対して城徳唯一の天才球児・白尾(中島裕翔)は猛反発!「普通の野球部に近づきたい」白尾と「普通になる必要はない」と言う青志は対立、白尾は野球部を去ってしまう…。そこにはある恋心が…。  一方、青志の因縁の相手である谷内田(市川海老蔵)がライバル校・堂東野球部コーチに就任。2人は再会を果たすが…</v>
      </c>
      <c r="O3944" s="2"/>
      <c r="P3944" s="1"/>
      <c r="Q3944" s="1"/>
      <c r="R3944" s="1"/>
      <c r="S3944" s="1"/>
      <c r="T3944" s="1"/>
      <c r="U3944" s="1"/>
      <c r="V3944" s="1"/>
      <c r="W3944" s="1"/>
      <c r="X3944" s="1"/>
      <c r="Y3944" s="1"/>
      <c r="Z3944" s="1"/>
      <c r="AA3944" s="1"/>
      <c r="AB3944" s="1"/>
      <c r="AC3944" s="1"/>
      <c r="AD3944" s="1"/>
      <c r="AE3944" s="1"/>
      <c r="AF3944" s="1"/>
      <c r="AG3944" s="1"/>
      <c r="AH3944" s="1"/>
      <c r="AI3944" s="1"/>
      <c r="AJ3944" s="1"/>
      <c r="AK3944" s="1"/>
      <c r="AL3944" s="1"/>
      <c r="AM3944" s="1"/>
      <c r="AN3944" s="1"/>
      <c r="AO3944" s="1"/>
      <c r="AP3944" s="1"/>
      <c r="AQ3944" s="1"/>
      <c r="AR3944" s="1"/>
      <c r="AS3944" s="1"/>
      <c r="AT3944" s="1"/>
      <c r="AU3944" s="1"/>
      <c r="AV3944" s="1"/>
      <c r="AW3944" s="1"/>
      <c r="AX3944" s="1"/>
      <c r="AY3944" s="1"/>
      <c r="AZ3944" s="1"/>
      <c r="BA3944" s="1"/>
      <c r="BB3944" s="1"/>
    </row>
    <row r="3945" ht="204.75" customHeight="1">
      <c r="A3945" s="1">
        <v>2840.0</v>
      </c>
      <c r="B3945" s="2" t="s">
        <v>11787</v>
      </c>
      <c r="C3945" s="2">
        <f>IFERROR(__xludf.DUMMYFUNCTION("split(B3945,""_"")"),1404.0)</f>
        <v>1404</v>
      </c>
      <c r="D3945" s="2" t="str">
        <f>IFERROR(__xludf.DUMMYFUNCTION("""COMPUTED_VALUE"""),"NTV")</f>
        <v>NTV</v>
      </c>
      <c r="E3945" s="2" t="str">
        <f>IFERROR(__xludf.DUMMYFUNCTION("""COMPUTED_VALUE"""),"土21")</f>
        <v>土21</v>
      </c>
      <c r="F3945" s="2" t="s">
        <v>11788</v>
      </c>
      <c r="G3945" s="2" t="s">
        <v>11793</v>
      </c>
      <c r="H3945" s="1">
        <v>3.0</v>
      </c>
      <c r="I3945" s="1" t="s">
        <v>2876</v>
      </c>
      <c r="J3945" s="1" t="s">
        <v>11</v>
      </c>
      <c r="K3945" s="2" t="s">
        <v>11794</v>
      </c>
      <c r="L3945" s="2"/>
      <c r="M3945" s="2" t="str">
        <f>IFERROR(__xludf.DUMMYFUNCTION("split(split(K3945,""【演出"",false),""ほか"",false)"),"二宮和也、麻生久美子、福士蒼汰、有村架純、中島裕翔、山崎賢人、本郷奏多、間宮祥太朗、桜田通、鈴木勝大、柳俊太郎、平岡拓真、阿久津愼太郎、市川海老蔵、光石研、川原和久、荒川良々、笹野高史、薬師丸ひろ子　")</f>
        <v>二宮和也、麻生久美子、福士蒼汰、有村架純、中島裕翔、山崎賢人、本郷奏多、間宮祥太朗、桜田通、鈴木勝大、柳俊太郎、平岡拓真、阿久津愼太郎、市川海老蔵、光石研、川原和久、荒川良々、笹野高史、薬師丸ひろ子　</v>
      </c>
      <c r="N3945" s="2" t="str">
        <f>IFERROR(__xludf.DUMMYFUNCTION("""COMPUTED_VALUE"""),"何故か柚子(有村架純)が選手に!?  突然、マネージャーを辞めて選手になると宣言した柚子。毎年、父の命日が近づくと決まってそう言い出す理由は父と最後に見た高校時代の青志(二宮和也)の試合にあった…。  一方、赤岩(福士蒼汰)は亀沢(本郷奏多)が一人暮らしで、学費を稼ぐためのバイトと勉強と野球部の練習で睡眠時間すら十分に取れていないことを知る。心配した赤岩は、亀沢のために何かしたい!と張り切るが…。")</f>
        <v>何故か柚子(有村架純)が選手に!?  突然、マネージャーを辞めて選手になると宣言した柚子。毎年、父の命日が近づくと決まってそう言い出す理由は父と最後に見た高校時代の青志(二宮和也)の試合にあった…。  一方、赤岩(福士蒼汰)は亀沢(本郷奏多)が一人暮らしで、学費を稼ぐためのバイトと勉強と野球部の練習で睡眠時間すら十分に取れていないことを知る。心配した赤岩は、亀沢のために何かしたい!と張り切るが…。</v>
      </c>
      <c r="O3945" s="2"/>
      <c r="P3945" s="1"/>
      <c r="Q3945" s="1"/>
      <c r="R3945" s="1"/>
      <c r="S3945" s="1"/>
      <c r="T3945" s="1"/>
      <c r="U3945" s="1"/>
      <c r="V3945" s="1"/>
      <c r="W3945" s="1"/>
      <c r="X3945" s="1"/>
      <c r="Y3945" s="1"/>
      <c r="Z3945" s="1"/>
      <c r="AA3945" s="1"/>
      <c r="AB3945" s="1"/>
      <c r="AC3945" s="1"/>
      <c r="AD3945" s="1"/>
      <c r="AE3945" s="1"/>
      <c r="AF3945" s="1"/>
      <c r="AG3945" s="1"/>
      <c r="AH3945" s="1"/>
      <c r="AI3945" s="1"/>
      <c r="AJ3945" s="1"/>
      <c r="AK3945" s="1"/>
      <c r="AL3945" s="1"/>
      <c r="AM3945" s="1"/>
      <c r="AN3945" s="1"/>
      <c r="AO3945" s="1"/>
      <c r="AP3945" s="1"/>
      <c r="AQ3945" s="1"/>
      <c r="AR3945" s="1"/>
      <c r="AS3945" s="1"/>
      <c r="AT3945" s="1"/>
      <c r="AU3945" s="1"/>
      <c r="AV3945" s="1"/>
      <c r="AW3945" s="1"/>
      <c r="AX3945" s="1"/>
      <c r="AY3945" s="1"/>
      <c r="AZ3945" s="1"/>
      <c r="BA3945" s="1"/>
      <c r="BB3945" s="1"/>
    </row>
    <row r="3946" ht="204.75" customHeight="1">
      <c r="A3946" s="1">
        <v>2841.0</v>
      </c>
      <c r="B3946" s="2" t="s">
        <v>11787</v>
      </c>
      <c r="C3946" s="2">
        <f>IFERROR(__xludf.DUMMYFUNCTION("split(B3946,""_"")"),1404.0)</f>
        <v>1404</v>
      </c>
      <c r="D3946" s="2" t="str">
        <f>IFERROR(__xludf.DUMMYFUNCTION("""COMPUTED_VALUE"""),"NTV")</f>
        <v>NTV</v>
      </c>
      <c r="E3946" s="2" t="str">
        <f>IFERROR(__xludf.DUMMYFUNCTION("""COMPUTED_VALUE"""),"土21")</f>
        <v>土21</v>
      </c>
      <c r="F3946" s="2" t="s">
        <v>11788</v>
      </c>
      <c r="G3946" s="2" t="s">
        <v>11795</v>
      </c>
      <c r="H3946" s="1">
        <v>4.0</v>
      </c>
      <c r="I3946" s="1" t="s">
        <v>2880</v>
      </c>
      <c r="J3946" s="1" t="s">
        <v>11</v>
      </c>
      <c r="K3946" s="2" t="s">
        <v>11796</v>
      </c>
      <c r="L3946" s="2"/>
      <c r="M3946" s="2" t="str">
        <f>IFERROR(__xludf.DUMMYFUNCTION("split(split(K3946,""【演出"",false),""ほか"",false)"),"二宮和也、麻生久美子、福士蒼汰、有村架純、中島裕翔、山崎賢人、本郷奏多、間宮祥太朗、桜田通、鈴木勝大、柳俊太郎、平岡拓真、阿久津愼太郎、市川海老蔵、光石研、川原和久、荒川良々、笹野高史、薬師丸ひろ子　")</f>
        <v>二宮和也、麻生久美子、福士蒼汰、有村架純、中島裕翔、山崎賢人、本郷奏多、間宮祥太朗、桜田通、鈴木勝大、柳俊太郎、平岡拓真、阿久津愼太郎、市川海老蔵、光石研、川原和久、荒川良々、笹野高史、薬師丸ひろ子　</v>
      </c>
      <c r="N3946" s="2" t="str">
        <f>IFERROR(__xludf.DUMMYFUNCTION("""COMPUTED_VALUE"""),"試験期間に入り、部活動が禁止に。  野球部員達も勉強、勉強、また勉強…。青志(二宮和也)が野球と勉強を両立させろと言うと、部員達は「無理!」と猛反発!  そんな中、赤岩(福士蒼汰)の様子がどこかおかしい。必死に勉強しなくても成績は学年トップ、モテる上に、実家はお金持ちの赤岩は「このままでは俺は堕落してしまう」と何とも贅沢な悩みをこじらせた結果、璃子(麻生久美子)に自分の密着取材をしてくれ、と頼むが…")</f>
        <v>試験期間に入り、部活動が禁止に。  野球部員達も勉強、勉強、また勉強…。青志(二宮和也)が野球と勉強を両立させろと言うと、部員達は「無理!」と猛反発!  そんな中、赤岩(福士蒼汰)の様子がどこかおかしい。必死に勉強しなくても成績は学年トップ、モテる上に、実家はお金持ちの赤岩は「このままでは俺は堕落してしまう」と何とも贅沢な悩みをこじらせた結果、璃子(麻生久美子)に自分の密着取材をしてくれ、と頼むが…</v>
      </c>
      <c r="O3946" s="2"/>
      <c r="P3946" s="1"/>
      <c r="Q3946" s="1"/>
      <c r="R3946" s="1"/>
      <c r="S3946" s="1"/>
      <c r="T3946" s="1"/>
      <c r="U3946" s="1"/>
      <c r="V3946" s="1"/>
      <c r="W3946" s="1"/>
      <c r="X3946" s="1"/>
      <c r="Y3946" s="1"/>
      <c r="Z3946" s="1"/>
      <c r="AA3946" s="1"/>
      <c r="AB3946" s="1"/>
      <c r="AC3946" s="1"/>
      <c r="AD3946" s="1"/>
      <c r="AE3946" s="1"/>
      <c r="AF3946" s="1"/>
      <c r="AG3946" s="1"/>
      <c r="AH3946" s="1"/>
      <c r="AI3946" s="1"/>
      <c r="AJ3946" s="1"/>
      <c r="AK3946" s="1"/>
      <c r="AL3946" s="1"/>
      <c r="AM3946" s="1"/>
      <c r="AN3946" s="1"/>
      <c r="AO3946" s="1"/>
      <c r="AP3946" s="1"/>
      <c r="AQ3946" s="1"/>
      <c r="AR3946" s="1"/>
      <c r="AS3946" s="1"/>
      <c r="AT3946" s="1"/>
      <c r="AU3946" s="1"/>
      <c r="AV3946" s="1"/>
      <c r="AW3946" s="1"/>
      <c r="AX3946" s="1"/>
      <c r="AY3946" s="1"/>
      <c r="AZ3946" s="1"/>
      <c r="BA3946" s="1"/>
      <c r="BB3946" s="1"/>
    </row>
    <row r="3947" ht="204.75" customHeight="1">
      <c r="A3947" s="1">
        <v>2842.0</v>
      </c>
      <c r="B3947" s="2" t="s">
        <v>11787</v>
      </c>
      <c r="C3947" s="2">
        <f>IFERROR(__xludf.DUMMYFUNCTION("split(B3947,""_"")"),1404.0)</f>
        <v>1404</v>
      </c>
      <c r="D3947" s="2" t="str">
        <f>IFERROR(__xludf.DUMMYFUNCTION("""COMPUTED_VALUE"""),"NTV")</f>
        <v>NTV</v>
      </c>
      <c r="E3947" s="2" t="str">
        <f>IFERROR(__xludf.DUMMYFUNCTION("""COMPUTED_VALUE"""),"土21")</f>
        <v>土21</v>
      </c>
      <c r="F3947" s="2" t="s">
        <v>11788</v>
      </c>
      <c r="G3947" s="2" t="s">
        <v>11797</v>
      </c>
      <c r="H3947" s="1">
        <v>5.0</v>
      </c>
      <c r="I3947" s="1" t="s">
        <v>2884</v>
      </c>
      <c r="J3947" s="1" t="s">
        <v>11</v>
      </c>
      <c r="K3947" s="2" t="s">
        <v>11798</v>
      </c>
      <c r="L3947" s="2"/>
      <c r="M3947" s="2" t="str">
        <f>IFERROR(__xludf.DUMMYFUNCTION("split(split(K3947,""【演出"",false),""ほか"",false)"),"二宮和也、麻生久美子、福士蒼汰、有村架純、中島裕翔、山崎賢人、本郷奏多、間宮祥太朗、桜田通、鈴木勝大、柳俊太郎、平岡拓真、阿久津愼太郎、市川海老蔵、光石研、川原和久、荒川良々、笹野高史、薬師丸ひろ子　")</f>
        <v>二宮和也、麻生久美子、福士蒼汰、有村架純、中島裕翔、山崎賢人、本郷奏多、間宮祥太朗、桜田通、鈴木勝大、柳俊太郎、平岡拓真、阿久津愼太郎、市川海老蔵、光石研、川原和久、荒川良々、笹野高史、薬師丸ひろ子　</v>
      </c>
      <c r="N3947" s="2" t="str">
        <f>IFERROR(__xludf.DUMMYFUNCTION("""COMPUTED_VALUE"""),"「守備は捨て打ちまくり、コールド勝ちで逃げ切る!」というトンデモ戦法で練習試合に挑む城徳野球部!  だが実はこの試合は、勘違いから城徳野球部に恨みを抱いた赤岩(福士蒼汰)の父・晴敏(光石研)が、城徳野球部に恥をかかせるために仕組んだものだった…。  一方、白尾(中島裕翔)が柚子(有村架純)との距離を縮めていくのが、何故か気になってしまう赤岩。さらに白尾は練習試合に負けたら柚子に告白する、と宣言して…。")</f>
        <v>「守備は捨て打ちまくり、コールド勝ちで逃げ切る!」というトンデモ戦法で練習試合に挑む城徳野球部!  だが実はこの試合は、勘違いから城徳野球部に恨みを抱いた赤岩(福士蒼汰)の父・晴敏(光石研)が、城徳野球部に恥をかかせるために仕組んだものだった…。  一方、白尾(中島裕翔)が柚子(有村架純)との距離を縮めていくのが、何故か気になってしまう赤岩。さらに白尾は練習試合に負けたら柚子に告白する、と宣言して…。</v>
      </c>
      <c r="O3947" s="2"/>
      <c r="P3947" s="1"/>
      <c r="Q3947" s="1"/>
      <c r="R3947" s="1"/>
      <c r="S3947" s="1"/>
      <c r="T3947" s="1"/>
      <c r="U3947" s="1"/>
      <c r="V3947" s="1"/>
      <c r="W3947" s="1"/>
      <c r="X3947" s="1"/>
      <c r="Y3947" s="1"/>
      <c r="Z3947" s="1"/>
      <c r="AA3947" s="1"/>
      <c r="AB3947" s="1"/>
      <c r="AC3947" s="1"/>
      <c r="AD3947" s="1"/>
      <c r="AE3947" s="1"/>
      <c r="AF3947" s="1"/>
      <c r="AG3947" s="1"/>
      <c r="AH3947" s="1"/>
      <c r="AI3947" s="1"/>
      <c r="AJ3947" s="1"/>
      <c r="AK3947" s="1"/>
      <c r="AL3947" s="1"/>
      <c r="AM3947" s="1"/>
      <c r="AN3947" s="1"/>
      <c r="AO3947" s="1"/>
      <c r="AP3947" s="1"/>
      <c r="AQ3947" s="1"/>
      <c r="AR3947" s="1"/>
      <c r="AS3947" s="1"/>
      <c r="AT3947" s="1"/>
      <c r="AU3947" s="1"/>
      <c r="AV3947" s="1"/>
      <c r="AW3947" s="1"/>
      <c r="AX3947" s="1"/>
      <c r="AY3947" s="1"/>
      <c r="AZ3947" s="1"/>
      <c r="BA3947" s="1"/>
      <c r="BB3947" s="1"/>
    </row>
    <row r="3948" ht="204.75" customHeight="1">
      <c r="A3948" s="1">
        <v>2843.0</v>
      </c>
      <c r="B3948" s="2" t="s">
        <v>11787</v>
      </c>
      <c r="C3948" s="2">
        <f>IFERROR(__xludf.DUMMYFUNCTION("split(B3948,""_"")"),1404.0)</f>
        <v>1404</v>
      </c>
      <c r="D3948" s="2" t="str">
        <f>IFERROR(__xludf.DUMMYFUNCTION("""COMPUTED_VALUE"""),"NTV")</f>
        <v>NTV</v>
      </c>
      <c r="E3948" s="2" t="str">
        <f>IFERROR(__xludf.DUMMYFUNCTION("""COMPUTED_VALUE"""),"土21")</f>
        <v>土21</v>
      </c>
      <c r="F3948" s="2" t="s">
        <v>11788</v>
      </c>
      <c r="G3948" s="2" t="s">
        <v>11799</v>
      </c>
      <c r="H3948" s="1">
        <v>6.0</v>
      </c>
      <c r="I3948" s="1" t="s">
        <v>2888</v>
      </c>
      <c r="J3948" s="1" t="s">
        <v>11</v>
      </c>
      <c r="K3948" s="2" t="s">
        <v>11800</v>
      </c>
      <c r="L3948" s="2"/>
      <c r="M3948" s="2" t="str">
        <f>IFERROR(__xludf.DUMMYFUNCTION("split(split(K3948,""【演出"",false),""ほか"",false)"),"二宮和也、麻生久美子、福士蒼汰、有村架純、中島裕翔、山崎賢人、本郷奏多、間宮祥太朗、桜田通、鈴木勝大、柳俊太郎、平岡拓真、阿久津愼太郎、市川海老蔵、光石研、川原和久、荒川良々、笹野高史、薬師丸ひろ子　")</f>
        <v>二宮和也、麻生久美子、福士蒼汰、有村架純、中島裕翔、山崎賢人、本郷奏多、間宮祥太朗、桜田通、鈴木勝大、柳俊太郎、平岡拓真、阿久津愼太郎、市川海老蔵、光石研、川原和久、荒川良々、笹野高史、薬師丸ひろ子　</v>
      </c>
      <c r="N3948" s="2" t="str">
        <f>IFERROR(__xludf.DUMMYFUNCTION("""COMPUTED_VALUE"""),"家計のことを考え、退学を決意した苦学生・亀沢(本郷奏多)。  部員にも告げず学校を去ろうとする亀沢を、青志(二宮和也)は引き止めようとするが、亀沢の決意は固い。そして2人の話を偶然聞いてしまった柚子(有村架純)…。  そんな中、文化祭が近づき野球部は亀沢主演の劇をすることになる。  それぞれの思いを乗せて、亀沢にとって最後の文化祭の準備は進んでいき…。")</f>
        <v>家計のことを考え、退学を決意した苦学生・亀沢(本郷奏多)。  部員にも告げず学校を去ろうとする亀沢を、青志(二宮和也)は引き止めようとするが、亀沢の決意は固い。そして2人の話を偶然聞いてしまった柚子(有村架純)…。  そんな中、文化祭が近づき野球部は亀沢主演の劇をすることになる。  それぞれの思いを乗せて、亀沢にとって最後の文化祭の準備は進んでいき…。</v>
      </c>
      <c r="O3948" s="2"/>
      <c r="P3948" s="1"/>
      <c r="Q3948" s="1"/>
      <c r="R3948" s="1"/>
      <c r="S3948" s="1"/>
      <c r="T3948" s="1"/>
      <c r="U3948" s="1"/>
      <c r="V3948" s="1"/>
      <c r="W3948" s="1"/>
      <c r="X3948" s="1"/>
      <c r="Y3948" s="1"/>
      <c r="Z3948" s="1"/>
      <c r="AA3948" s="1"/>
      <c r="AB3948" s="1"/>
      <c r="AC3948" s="1"/>
      <c r="AD3948" s="1"/>
      <c r="AE3948" s="1"/>
      <c r="AF3948" s="1"/>
      <c r="AG3948" s="1"/>
      <c r="AH3948" s="1"/>
      <c r="AI3948" s="1"/>
      <c r="AJ3948" s="1"/>
      <c r="AK3948" s="1"/>
      <c r="AL3948" s="1"/>
      <c r="AM3948" s="1"/>
      <c r="AN3948" s="1"/>
      <c r="AO3948" s="1"/>
      <c r="AP3948" s="1"/>
      <c r="AQ3948" s="1"/>
      <c r="AR3948" s="1"/>
      <c r="AS3948" s="1"/>
      <c r="AT3948" s="1"/>
      <c r="AU3948" s="1"/>
      <c r="AV3948" s="1"/>
      <c r="AW3948" s="1"/>
      <c r="AX3948" s="1"/>
      <c r="AY3948" s="1"/>
      <c r="AZ3948" s="1"/>
      <c r="BA3948" s="1"/>
      <c r="BB3948" s="1"/>
    </row>
    <row r="3949" ht="204.75" customHeight="1">
      <c r="A3949" s="1">
        <v>2844.0</v>
      </c>
      <c r="B3949" s="2" t="s">
        <v>11787</v>
      </c>
      <c r="C3949" s="2">
        <f>IFERROR(__xludf.DUMMYFUNCTION("split(B3949,""_"")"),1404.0)</f>
        <v>1404</v>
      </c>
      <c r="D3949" s="2" t="str">
        <f>IFERROR(__xludf.DUMMYFUNCTION("""COMPUTED_VALUE"""),"NTV")</f>
        <v>NTV</v>
      </c>
      <c r="E3949" s="2" t="str">
        <f>IFERROR(__xludf.DUMMYFUNCTION("""COMPUTED_VALUE"""),"土21")</f>
        <v>土21</v>
      </c>
      <c r="F3949" s="2" t="s">
        <v>11788</v>
      </c>
      <c r="G3949" s="2" t="s">
        <v>11801</v>
      </c>
      <c r="H3949" s="1">
        <v>7.0</v>
      </c>
      <c r="I3949" s="1" t="s">
        <v>2892</v>
      </c>
      <c r="J3949" s="1" t="s">
        <v>11</v>
      </c>
      <c r="K3949" s="2" t="s">
        <v>11802</v>
      </c>
      <c r="L3949" s="2"/>
      <c r="M3949" s="2" t="str">
        <f>IFERROR(__xludf.DUMMYFUNCTION("split(split(K3949,""【演出"",false),""ほか"",false)"),"二宮和也、麻生久美子、福士蒼汰、有村架純、中島裕翔、山崎賢人、本郷奏多、間宮祥太朗、桜田通、鈴木勝大、柳俊太郎、平岡拓真、阿久津愼太郎、市川海老蔵、光石研、川原和久、荒川良々、笹野高史、薬師丸ひろ子　")</f>
        <v>二宮和也、麻生久美子、福士蒼汰、有村架純、中島裕翔、山崎賢人、本郷奏多、間宮祥太朗、桜田通、鈴木勝大、柳俊太郎、平岡拓真、阿久津愼太郎、市川海老蔵、光石研、川原和久、荒川良々、笹野高史、薬師丸ひろ子　</v>
      </c>
      <c r="N3949" s="2" t="str">
        <f>IFERROR(__xludf.DUMMYFUNCTION("""COMPUTED_VALUE"""),"城徳野球部、初の強化合宿!  堂学の合宿所を間借りして行うことになり「打倒堂学!」と部員達が盛り上がる中、光安(平岡拓真)は複雑な表情を浮かべていた。実は光安は堂学野球部とある「繋がり」があることを隠していた…  闘志を燃やして挑んだ合宿だったが、堂学の練習をすぐ横で目の当りにし、その気持ちは萎んでいく。朝から晩まで野球に全てを捧げる堂学野球部を見て、自分達の挑戦は無謀だと不安になる城徳野球部だが…【原作】高橋秀実『「弱くても勝てます」開成高校野球部のセオリー』(新潮文庫刊)  【脚本】倉持裕【音楽】井上"&amp;"鑑")</f>
        <v>城徳野球部、初の強化合宿!  堂学の合宿所を間借りして行うことになり「打倒堂学!」と部員達が盛り上がる中、光安(平岡拓真)は複雑な表情を浮かべていた。実は光安は堂学野球部とある「繋がり」があることを隠していた…  闘志を燃やして挑んだ合宿だったが、堂学の練習をすぐ横で目の当りにし、その気持ちは萎んでいく。朝から晩まで野球に全てを捧げる堂学野球部を見て、自分達の挑戦は無謀だと不安になる城徳野球部だが…【原作】高橋秀実『「弱くても勝てます」開成高校野球部のセオリー』(新潮文庫刊)  【脚本】倉持裕【音楽】井上鑑</v>
      </c>
      <c r="O3949" s="2"/>
      <c r="P3949" s="1"/>
      <c r="Q3949" s="1"/>
      <c r="R3949" s="1"/>
      <c r="S3949" s="1"/>
      <c r="T3949" s="1"/>
      <c r="U3949" s="1"/>
      <c r="V3949" s="1"/>
      <c r="W3949" s="1"/>
      <c r="X3949" s="1"/>
      <c r="Y3949" s="1"/>
      <c r="Z3949" s="1"/>
      <c r="AA3949" s="1"/>
      <c r="AB3949" s="1"/>
      <c r="AC3949" s="1"/>
      <c r="AD3949" s="1"/>
      <c r="AE3949" s="1"/>
      <c r="AF3949" s="1"/>
      <c r="AG3949" s="1"/>
      <c r="AH3949" s="1"/>
      <c r="AI3949" s="1"/>
      <c r="AJ3949" s="1"/>
      <c r="AK3949" s="1"/>
      <c r="AL3949" s="1"/>
      <c r="AM3949" s="1"/>
      <c r="AN3949" s="1"/>
      <c r="AO3949" s="1"/>
      <c r="AP3949" s="1"/>
      <c r="AQ3949" s="1"/>
      <c r="AR3949" s="1"/>
      <c r="AS3949" s="1"/>
      <c r="AT3949" s="1"/>
      <c r="AU3949" s="1"/>
      <c r="AV3949" s="1"/>
      <c r="AW3949" s="1"/>
      <c r="AX3949" s="1"/>
      <c r="AY3949" s="1"/>
      <c r="AZ3949" s="1"/>
      <c r="BA3949" s="1"/>
      <c r="BB3949" s="1"/>
    </row>
    <row r="3950" ht="204.75" customHeight="1">
      <c r="A3950" s="1">
        <v>2845.0</v>
      </c>
      <c r="B3950" s="2" t="s">
        <v>11787</v>
      </c>
      <c r="C3950" s="2">
        <f>IFERROR(__xludf.DUMMYFUNCTION("split(B3950,""_"")"),1404.0)</f>
        <v>1404</v>
      </c>
      <c r="D3950" s="2" t="str">
        <f>IFERROR(__xludf.DUMMYFUNCTION("""COMPUTED_VALUE"""),"NTV")</f>
        <v>NTV</v>
      </c>
      <c r="E3950" s="2" t="str">
        <f>IFERROR(__xludf.DUMMYFUNCTION("""COMPUTED_VALUE"""),"土21")</f>
        <v>土21</v>
      </c>
      <c r="F3950" s="2" t="s">
        <v>11788</v>
      </c>
      <c r="G3950" s="2" t="s">
        <v>11803</v>
      </c>
      <c r="H3950" s="1">
        <v>8.0</v>
      </c>
      <c r="I3950" s="1" t="s">
        <v>2896</v>
      </c>
      <c r="J3950" s="1" t="s">
        <v>11</v>
      </c>
      <c r="K3950" s="2" t="s">
        <v>11804</v>
      </c>
      <c r="L3950" s="2"/>
      <c r="M3950" s="2" t="str">
        <f>IFERROR(__xludf.DUMMYFUNCTION("split(split(K3950,""【演出"",false),""ほか"",false)"),"二宮和也、麻生久美子、福士蒼汰、有村架純、中島裕翔、山崎賢人、本郷奏多、間宮祥太朗、桜田通、鈴木勝大、柳俊太郎、平岡拓真、阿久津愼太郎、市川海老蔵、光石研、川原和久、荒川良々、笹野高史、薬師丸ひろ子　")</f>
        <v>二宮和也、麻生久美子、福士蒼汰、有村架純、中島裕翔、山崎賢人、本郷奏多、間宮祥太朗、桜田通、鈴木勝大、柳俊太郎、平岡拓真、阿久津愼太郎、市川海老蔵、光石研、川原和久、荒川良々、笹野高史、薬師丸ひろ子　</v>
      </c>
      <c r="N3950" s="2" t="str">
        <f>IFERROR(__xludf.DUMMYFUNCTION("""COMPUTED_VALUE"""),"いよいよ夏の県大会!城徳高校の一回戦の対戦相手は武宮高校…。因縁の戦いを前に士気を高めるが、来年の春に青志(二宮和也)が研究室に戻ることが決まったことを知り、不安を隠せない城徳野球部の面々…。  一方、武宮高校のスポンサーで、赤岩(福士蒼汰)の父・晴敏(光石研)は城徳を完膚なきまでに叩き潰すため、ある策を講じていた…。  それぞれの思惑を乗せて青志先生と野球部の最初で最後の夏が始まる!")</f>
        <v>いよいよ夏の県大会!城徳高校の一回戦の対戦相手は武宮高校…。因縁の戦いを前に士気を高めるが、来年の春に青志(二宮和也)が研究室に戻ることが決まったことを知り、不安を隠せない城徳野球部の面々…。  一方、武宮高校のスポンサーで、赤岩(福士蒼汰)の父・晴敏(光石研)は城徳を完膚なきまでに叩き潰すため、ある策を講じていた…。  それぞれの思惑を乗せて青志先生と野球部の最初で最後の夏が始まる!</v>
      </c>
      <c r="O3950" s="2"/>
      <c r="P3950" s="1"/>
      <c r="Q3950" s="1"/>
      <c r="R3950" s="1"/>
      <c r="S3950" s="1"/>
      <c r="T3950" s="1"/>
      <c r="U3950" s="1"/>
      <c r="V3950" s="1"/>
      <c r="W3950" s="1"/>
      <c r="X3950" s="1"/>
      <c r="Y3950" s="1"/>
      <c r="Z3950" s="1"/>
      <c r="AA3950" s="1"/>
      <c r="AB3950" s="1"/>
      <c r="AC3950" s="1"/>
      <c r="AD3950" s="1"/>
      <c r="AE3950" s="1"/>
      <c r="AF3950" s="1"/>
      <c r="AG3950" s="1"/>
      <c r="AH3950" s="1"/>
      <c r="AI3950" s="1"/>
      <c r="AJ3950" s="1"/>
      <c r="AK3950" s="1"/>
      <c r="AL3950" s="1"/>
      <c r="AM3950" s="1"/>
      <c r="AN3950" s="1"/>
      <c r="AO3950" s="1"/>
      <c r="AP3950" s="1"/>
      <c r="AQ3950" s="1"/>
      <c r="AR3950" s="1"/>
      <c r="AS3950" s="1"/>
      <c r="AT3950" s="1"/>
      <c r="AU3950" s="1"/>
      <c r="AV3950" s="1"/>
      <c r="AW3950" s="1"/>
      <c r="AX3950" s="1"/>
      <c r="AY3950" s="1"/>
      <c r="AZ3950" s="1"/>
      <c r="BA3950" s="1"/>
      <c r="BB3950" s="1"/>
    </row>
    <row r="3951" ht="204.75" customHeight="1">
      <c r="A3951" s="1">
        <v>2846.0</v>
      </c>
      <c r="B3951" s="2" t="s">
        <v>11787</v>
      </c>
      <c r="C3951" s="2">
        <f>IFERROR(__xludf.DUMMYFUNCTION("split(B3951,""_"")"),1404.0)</f>
        <v>1404</v>
      </c>
      <c r="D3951" s="2" t="str">
        <f>IFERROR(__xludf.DUMMYFUNCTION("""COMPUTED_VALUE"""),"NTV")</f>
        <v>NTV</v>
      </c>
      <c r="E3951" s="2" t="str">
        <f>IFERROR(__xludf.DUMMYFUNCTION("""COMPUTED_VALUE"""),"土21")</f>
        <v>土21</v>
      </c>
      <c r="F3951" s="2" t="s">
        <v>11788</v>
      </c>
      <c r="G3951" s="2" t="s">
        <v>11805</v>
      </c>
      <c r="H3951" s="1">
        <v>9.0</v>
      </c>
      <c r="I3951" s="1" t="s">
        <v>2900</v>
      </c>
      <c r="J3951" s="1" t="s">
        <v>11</v>
      </c>
      <c r="K3951" s="2" t="s">
        <v>11806</v>
      </c>
      <c r="L3951" s="2"/>
      <c r="M3951" s="2" t="str">
        <f>IFERROR(__xludf.DUMMYFUNCTION("split(split(K3951,""【演出"",false),""ほか"",false)"),"二宮和也、麻生久美子、福士蒼汰、有村架純、中島裕翔、山崎賢人、本郷奏多、間宮祥太朗、桜田通、鈴木勝大、柳俊太郎、平岡拓真、阿久津愼太郎、市川海老蔵、光石研、川原和久、荒川良々、笹野高史、薬師丸ひろ子　")</f>
        <v>二宮和也、麻生久美子、福士蒼汰、有村架純、中島裕翔、山崎賢人、本郷奏多、間宮祥太朗、桜田通、鈴木勝大、柳俊太郎、平岡拓真、阿久津愼太郎、市川海老蔵、光石研、川原和久、荒川良々、笹野高史、薬師丸ひろ子　</v>
      </c>
      <c r="N3951" s="2" t="str">
        <f>IFERROR(__xludf.DUMMYFUNCTION("""COMPUTED_VALUE"""),"武宮戦を目前にメキメキと成長を遂げていく城徳野球部のメンバー。そんな中、柚子(有村架純)の母・楓(薬師丸ひろ子)が敵の武宮高校の特別コーチに!?いつも城徳の味方だった「小田原の母」が一体なぜ!?  一方、楓同様に城徳野球部を見守り続けた璃子(麻生久美子)だが、武宮戦に負ければ連載が打ち切られ、異動することが告げられる…。  「弱くても勝てる」ことを証明するため、絶対に負けられない戦いが今始まる!")</f>
        <v>武宮戦を目前にメキメキと成長を遂げていく城徳野球部のメンバー。そんな中、柚子(有村架純)の母・楓(薬師丸ひろ子)が敵の武宮高校の特別コーチに!?いつも城徳の味方だった「小田原の母」が一体なぜ!?  一方、楓同様に城徳野球部を見守り続けた璃子(麻生久美子)だが、武宮戦に負ければ連載が打ち切られ、異動することが告げられる…。  「弱くても勝てる」ことを証明するため、絶対に負けられない戦いが今始まる!</v>
      </c>
      <c r="O3951" s="2"/>
      <c r="P3951" s="1"/>
      <c r="Q3951" s="1"/>
      <c r="R3951" s="1"/>
      <c r="S3951" s="1"/>
      <c r="T3951" s="1"/>
      <c r="U3951" s="1"/>
      <c r="V3951" s="1"/>
      <c r="W3951" s="1"/>
      <c r="X3951" s="1"/>
      <c r="Y3951" s="1"/>
      <c r="Z3951" s="1"/>
      <c r="AA3951" s="1"/>
      <c r="AB3951" s="1"/>
      <c r="AC3951" s="1"/>
      <c r="AD3951" s="1"/>
      <c r="AE3951" s="1"/>
      <c r="AF3951" s="1"/>
      <c r="AG3951" s="1"/>
      <c r="AH3951" s="1"/>
      <c r="AI3951" s="1"/>
      <c r="AJ3951" s="1"/>
      <c r="AK3951" s="1"/>
      <c r="AL3951" s="1"/>
      <c r="AM3951" s="1"/>
      <c r="AN3951" s="1"/>
      <c r="AO3951" s="1"/>
      <c r="AP3951" s="1"/>
      <c r="AQ3951" s="1"/>
      <c r="AR3951" s="1"/>
      <c r="AS3951" s="1"/>
      <c r="AT3951" s="1"/>
      <c r="AU3951" s="1"/>
      <c r="AV3951" s="1"/>
      <c r="AW3951" s="1"/>
      <c r="AX3951" s="1"/>
      <c r="AY3951" s="1"/>
      <c r="AZ3951" s="1"/>
      <c r="BA3951" s="1"/>
      <c r="BB3951" s="1"/>
    </row>
    <row r="3952" ht="204.75" customHeight="1">
      <c r="A3952" s="1">
        <v>2847.0</v>
      </c>
      <c r="B3952" s="2" t="s">
        <v>11787</v>
      </c>
      <c r="C3952" s="2">
        <f>IFERROR(__xludf.DUMMYFUNCTION("split(B3952,""_"")"),1404.0)</f>
        <v>1404</v>
      </c>
      <c r="D3952" s="2" t="str">
        <f>IFERROR(__xludf.DUMMYFUNCTION("""COMPUTED_VALUE"""),"NTV")</f>
        <v>NTV</v>
      </c>
      <c r="E3952" s="2" t="str">
        <f>IFERROR(__xludf.DUMMYFUNCTION("""COMPUTED_VALUE"""),"土21")</f>
        <v>土21</v>
      </c>
      <c r="F3952" s="2" t="s">
        <v>11788</v>
      </c>
      <c r="G3952" s="2" t="s">
        <v>11807</v>
      </c>
      <c r="H3952" s="1">
        <v>10.0</v>
      </c>
      <c r="I3952" s="1" t="s">
        <v>37</v>
      </c>
      <c r="J3952" s="1" t="s">
        <v>11</v>
      </c>
      <c r="K3952" s="2" t="s">
        <v>11808</v>
      </c>
      <c r="L3952" s="2"/>
      <c r="M3952" s="2" t="str">
        <f>IFERROR(__xludf.DUMMYFUNCTION("split(split(K3952,""【演出"",false),""ほか"",false)"),"二宮和也、麻生久美子、福士蒼汰、有村架純、中島裕翔、山崎賢人、本郷奏多、間宮祥太朗、桜田通、鈴木勝大、柳俊太郎、平岡拓真、阿久津愼太郎、市川海老蔵、光石研、川原和久、荒川良々、笹野高史、薬師丸ひろ子　")</f>
        <v>二宮和也、麻生久美子、福士蒼汰、有村架純、中島裕翔、山崎賢人、本郷奏多、間宮祥太朗、桜田通、鈴木勝大、柳俊太郎、平岡拓真、阿久津愼太郎、市川海老蔵、光石研、川原和久、荒川良々、笹野高史、薬師丸ひろ子　</v>
      </c>
      <c r="N3952" s="2" t="str">
        <f>IFERROR(__xludf.DUMMYFUNCTION("""COMPUTED_VALUE"""),"へっぽこ野球部、悲願の初勝利!一回戦の武宮高校を制す。だが、次の相手は宿敵・堂学…。強豪校・堂学に勝つには、城徳野球部の「異常な野球」に引きずり込むしかない…!堂学のイメージを超えた何かを仕掛けるために、それぞれが練習に励む。青志先生(二宮和也)が教えてくれたこと、「弱者のプライド」を胸に「異常なセオリー」で「弱いまま」「俺達『が』勝つ」!誓いを胸に、因縁の対決が遂に幕をあける…!")</f>
        <v>へっぽこ野球部、悲願の初勝利!一回戦の武宮高校を制す。だが、次の相手は宿敵・堂学…。強豪校・堂学に勝つには、城徳野球部の「異常な野球」に引きずり込むしかない…!堂学のイメージを超えた何かを仕掛けるために、それぞれが練習に励む。青志先生(二宮和也)が教えてくれたこと、「弱者のプライド」を胸に「異常なセオリー」で「弱いまま」「俺達『が』勝つ」!誓いを胸に、因縁の対決が遂に幕をあける…!</v>
      </c>
      <c r="O3952" s="2"/>
      <c r="P3952" s="1"/>
      <c r="Q3952" s="1"/>
      <c r="R3952" s="1"/>
      <c r="S3952" s="1"/>
      <c r="T3952" s="1"/>
      <c r="U3952" s="1"/>
      <c r="V3952" s="1"/>
      <c r="W3952" s="1"/>
      <c r="X3952" s="1"/>
      <c r="Y3952" s="1"/>
      <c r="Z3952" s="1"/>
      <c r="AA3952" s="1"/>
      <c r="AB3952" s="1"/>
      <c r="AC3952" s="1"/>
      <c r="AD3952" s="1"/>
      <c r="AE3952" s="1"/>
      <c r="AF3952" s="1"/>
      <c r="AG3952" s="1"/>
      <c r="AH3952" s="1"/>
      <c r="AI3952" s="1"/>
      <c r="AJ3952" s="1"/>
      <c r="AK3952" s="1"/>
      <c r="AL3952" s="1"/>
      <c r="AM3952" s="1"/>
      <c r="AN3952" s="1"/>
      <c r="AO3952" s="1"/>
      <c r="AP3952" s="1"/>
      <c r="AQ3952" s="1"/>
      <c r="AR3952" s="1"/>
      <c r="AS3952" s="1"/>
      <c r="AT3952" s="1"/>
      <c r="AU3952" s="1"/>
      <c r="AV3952" s="1"/>
      <c r="AW3952" s="1"/>
      <c r="AX3952" s="1"/>
      <c r="AY3952" s="1"/>
      <c r="AZ3952" s="1"/>
      <c r="BA3952" s="1"/>
      <c r="BB3952" s="1"/>
    </row>
    <row r="3953" ht="204.75" customHeight="1">
      <c r="A3953" s="1">
        <v>2848.0</v>
      </c>
      <c r="B3953" s="2" t="s">
        <v>11787</v>
      </c>
      <c r="C3953" s="2">
        <f>IFERROR(__xludf.DUMMYFUNCTION("split(B3953,""_"")"),1404.0)</f>
        <v>1404</v>
      </c>
      <c r="D3953" s="2" t="str">
        <f>IFERROR(__xludf.DUMMYFUNCTION("""COMPUTED_VALUE"""),"NTV")</f>
        <v>NTV</v>
      </c>
      <c r="E3953" s="2" t="str">
        <f>IFERROR(__xludf.DUMMYFUNCTION("""COMPUTED_VALUE"""),"土21")</f>
        <v>土21</v>
      </c>
      <c r="F3953" s="2" t="s">
        <v>11788</v>
      </c>
      <c r="G3953" s="2" t="s">
        <v>11809</v>
      </c>
      <c r="H3953" s="1">
        <v>11.0</v>
      </c>
      <c r="I3953" s="1" t="s">
        <v>41</v>
      </c>
      <c r="J3953" s="1" t="s">
        <v>11</v>
      </c>
      <c r="K3953" s="2" t="s">
        <v>11810</v>
      </c>
      <c r="L3953" s="2"/>
      <c r="M3953" s="2" t="str">
        <f>IFERROR(__xludf.DUMMYFUNCTION("split(split(K3953,""【演出"",false),""ほか"",false)"),"二宮和也、麻生久美子、福士蒼汰、有村架純、中島裕翔、山崎賢人、本郷奏多、間宮祥太朗、桜田通、鈴木勝大、柳俊太郎、平岡拓真、阿久津愼太郎、市川海老蔵、光石研、川原和久、荒川良々、笹野高史、薬師丸ひろ子　")</f>
        <v>二宮和也、麻生久美子、福士蒼汰、有村架純、中島裕翔、山崎賢人、本郷奏多、間宮祥太朗、桜田通、鈴木勝大、柳俊太郎、平岡拓真、阿久津愼太郎、市川海老蔵、光石研、川原和久、荒川良々、笹野高史、薬師丸ひろ子　</v>
      </c>
      <c r="N3953" s="2" t="str">
        <f>IFERROR(__xludf.DUMMYFUNCTION("""COMPUTED_VALUE"""),"堂学相手に善戦し、惜敗した城徳野球部。赤岩(福士蒼汰)ら3年生は引退、大学受験へまっしぐら!…のはずが勉強に集中できない。  璃子(麻生久美子)の連載も最終回を迎えるが、青志(二宮和也)の言葉に新天地でも勝負を賭けることを誓う。  そして、赤岩と柚子(有村架純)の素直になれない幼馴染2人も変化が?  かけがえのない日々の中で別れの時は刻一刻と近づいてゆき…  青志先生とへっぽこ野球部、涙と笑いの卒業式!")</f>
        <v>堂学相手に善戦し、惜敗した城徳野球部。赤岩(福士蒼汰)ら3年生は引退、大学受験へまっしぐら!…のはずが勉強に集中できない。  璃子(麻生久美子)の連載も最終回を迎えるが、青志(二宮和也)の言葉に新天地でも勝負を賭けることを誓う。  そして、赤岩と柚子(有村架純)の素直になれない幼馴染2人も変化が?  かけがえのない日々の中で別れの時は刻一刻と近づいてゆき…  青志先生とへっぽこ野球部、涙と笑いの卒業式!</v>
      </c>
      <c r="O3953" s="2"/>
      <c r="P3953" s="1"/>
      <c r="Q3953" s="1"/>
      <c r="R3953" s="1"/>
      <c r="S3953" s="1"/>
      <c r="T3953" s="1"/>
      <c r="U3953" s="1"/>
      <c r="V3953" s="1"/>
      <c r="W3953" s="1"/>
      <c r="X3953" s="1"/>
      <c r="Y3953" s="1"/>
      <c r="Z3953" s="1"/>
      <c r="AA3953" s="1"/>
      <c r="AB3953" s="1"/>
      <c r="AC3953" s="1"/>
      <c r="AD3953" s="1"/>
      <c r="AE3953" s="1"/>
      <c r="AF3953" s="1"/>
      <c r="AG3953" s="1"/>
      <c r="AH3953" s="1"/>
      <c r="AI3953" s="1"/>
      <c r="AJ3953" s="1"/>
      <c r="AK3953" s="1"/>
      <c r="AL3953" s="1"/>
      <c r="AM3953" s="1"/>
      <c r="AN3953" s="1"/>
      <c r="AO3953" s="1"/>
      <c r="AP3953" s="1"/>
      <c r="AQ3953" s="1"/>
      <c r="AR3953" s="1"/>
      <c r="AS3953" s="1"/>
      <c r="AT3953" s="1"/>
      <c r="AU3953" s="1"/>
      <c r="AV3953" s="1"/>
      <c r="AW3953" s="1"/>
      <c r="AX3953" s="1"/>
      <c r="AY3953" s="1"/>
      <c r="AZ3953" s="1"/>
      <c r="BA3953" s="1"/>
      <c r="BB3953" s="1"/>
    </row>
    <row r="3954" ht="204.75" customHeight="1">
      <c r="A3954" s="1">
        <v>2912.0</v>
      </c>
      <c r="B3954" s="2" t="s">
        <v>11811</v>
      </c>
      <c r="C3954" s="2">
        <f>IFERROR(__xludf.DUMMYFUNCTION("split(B3954,""_"")"),1401.0)</f>
        <v>1401</v>
      </c>
      <c r="D3954" s="2" t="str">
        <f>IFERROR(__xludf.DUMMYFUNCTION("""COMPUTED_VALUE"""),"NTV")</f>
        <v>NTV</v>
      </c>
      <c r="E3954" s="2" t="str">
        <f>IFERROR(__xludf.DUMMYFUNCTION("""COMPUTED_VALUE"""),"水22")</f>
        <v>水22</v>
      </c>
      <c r="F3954" s="2" t="s">
        <v>11812</v>
      </c>
      <c r="G3954" s="2" t="s">
        <v>11813</v>
      </c>
      <c r="H3954" s="1">
        <v>1.0</v>
      </c>
      <c r="I3954" s="1" t="s">
        <v>2868</v>
      </c>
      <c r="J3954" s="1" t="s">
        <v>82</v>
      </c>
      <c r="K3954" s="2" t="s">
        <v>11814</v>
      </c>
      <c r="L3954" s="2"/>
      <c r="M3954" s="2" t="str">
        <f>IFERROR(__xludf.DUMMYFUNCTION("split(split(K3954,""【演出"",false),""ほか"",false)"),"芦田愛菜、鈴木梨央、  三浦翔平、木村文乃、大後寿々花、渡邉このみ、桜田ひより・城田優・鈴木砂羽、  三上博史　")</f>
        <v>芦田愛菜、鈴木梨央、  三浦翔平、木村文乃、大後寿々花、渡邉このみ、桜田ひより・城田優・鈴木砂羽、  三上博史　</v>
      </c>
      <c r="N3954" s="2" t="str">
        <f>IFERROR(__xludf.DUMMYFUNCTION("""COMPUTED_VALUE"""),"「私たち、誰も知らなかった。明日、ママがいないなんて…」    母親が逮捕され、児童養護施設「コガモの家」に預けられることになった少女・真希(鈴木梨央)。そこで真希は施設の子ども達のリーダー的存在のポストと呼ばれる少女(芦田愛菜)と出会う。「良いお家」にもらわれていくことが夢、という施設の子ども達の考えに真希は違和感を覚え、自分の母親は迎えに来てくれるはずと信じていたが…。")</f>
        <v>「私たち、誰も知らなかった。明日、ママがいないなんて…」    母親が逮捕され、児童養護施設「コガモの家」に預けられることになった少女・真希(鈴木梨央)。そこで真希は施設の子ども達のリーダー的存在のポストと呼ばれる少女(芦田愛菜)と出会う。「良いお家」にもらわれていくことが夢、という施設の子ども達の考えに真希は違和感を覚え、自分の母親は迎えに来てくれるはずと信じていたが…。</v>
      </c>
      <c r="O3954" s="2"/>
      <c r="P3954" s="1"/>
      <c r="Q3954" s="1"/>
      <c r="R3954" s="1"/>
      <c r="S3954" s="1"/>
      <c r="T3954" s="1"/>
      <c r="U3954" s="1"/>
      <c r="V3954" s="1"/>
      <c r="W3954" s="1"/>
      <c r="X3954" s="1"/>
      <c r="Y3954" s="1"/>
      <c r="Z3954" s="1"/>
      <c r="AA3954" s="1"/>
      <c r="AB3954" s="1"/>
      <c r="AC3954" s="1"/>
      <c r="AD3954" s="1"/>
      <c r="AE3954" s="1"/>
      <c r="AF3954" s="1"/>
      <c r="AG3954" s="1"/>
      <c r="AH3954" s="1"/>
      <c r="AI3954" s="1"/>
      <c r="AJ3954" s="1"/>
      <c r="AK3954" s="1"/>
      <c r="AL3954" s="1"/>
      <c r="AM3954" s="1"/>
      <c r="AN3954" s="1"/>
      <c r="AO3954" s="1"/>
      <c r="AP3954" s="1"/>
      <c r="AQ3954" s="1"/>
      <c r="AR3954" s="1"/>
      <c r="AS3954" s="1"/>
      <c r="AT3954" s="1"/>
      <c r="AU3954" s="1"/>
      <c r="AV3954" s="1"/>
      <c r="AW3954" s="1"/>
      <c r="AX3954" s="1"/>
      <c r="AY3954" s="1"/>
      <c r="AZ3954" s="1"/>
      <c r="BA3954" s="1"/>
      <c r="BB3954" s="1"/>
    </row>
    <row r="3955" ht="204.75" customHeight="1">
      <c r="A3955" s="1">
        <v>2913.0</v>
      </c>
      <c r="B3955" s="2" t="s">
        <v>11811</v>
      </c>
      <c r="C3955" s="2">
        <f>IFERROR(__xludf.DUMMYFUNCTION("split(B3955,""_"")"),1401.0)</f>
        <v>1401</v>
      </c>
      <c r="D3955" s="2" t="str">
        <f>IFERROR(__xludf.DUMMYFUNCTION("""COMPUTED_VALUE"""),"NTV")</f>
        <v>NTV</v>
      </c>
      <c r="E3955" s="2" t="str">
        <f>IFERROR(__xludf.DUMMYFUNCTION("""COMPUTED_VALUE"""),"水22")</f>
        <v>水22</v>
      </c>
      <c r="F3955" s="2" t="s">
        <v>11812</v>
      </c>
      <c r="G3955" s="2" t="s">
        <v>11815</v>
      </c>
      <c r="H3955" s="1">
        <v>2.0</v>
      </c>
      <c r="I3955" s="1" t="s">
        <v>2872</v>
      </c>
      <c r="J3955" s="1" t="s">
        <v>82</v>
      </c>
      <c r="K3955" s="2" t="s">
        <v>11816</v>
      </c>
      <c r="L3955" s="2"/>
      <c r="M3955" s="2" t="str">
        <f>IFERROR(__xludf.DUMMYFUNCTION("split(split(K3955,""【演出"",false),""ほか"",false)"),"芦田愛菜、鈴木梨央、  三浦翔平、木村文乃、大後寿々花、渡邉このみ、桜田ひより・城田優・鈴木砂羽、  三上博史　")</f>
        <v>芦田愛菜、鈴木梨央、  三浦翔平、木村文乃、大後寿々花、渡邉このみ、桜田ひより・城田優・鈴木砂羽、  三上博史　</v>
      </c>
      <c r="N3955" s="2" t="str">
        <f>IFERROR(__xludf.DUMMYFUNCTION("""COMPUTED_VALUE"""),"子供たちの視点から「愛」とは何かを描く新ドラマ「明日、ママがいない」  ドンキ(鈴木梨央)とパチ(五十嵐陽向)は、里親候補と会うこととなった。初めての「お試し」に不安そうなパチの様子を見て、母親代わりのポスト(芦田愛菜)は「私が守ってやる」と約束する。  里親候補の美智子(江口のりこ)はパチを可愛がるが、パチが母の匂いが染み込んだシャンプーボトルを常に持ち歩いていることが気にかかっていて…")</f>
        <v>子供たちの視点から「愛」とは何かを描く新ドラマ「明日、ママがいない」  ドンキ(鈴木梨央)とパチ(五十嵐陽向)は、里親候補と会うこととなった。初めての「お試し」に不安そうなパチの様子を見て、母親代わりのポスト(芦田愛菜)は「私が守ってやる」と約束する。  里親候補の美智子(江口のりこ)はパチを可愛がるが、パチが母の匂いが染み込んだシャンプーボトルを常に持ち歩いていることが気にかかっていて…</v>
      </c>
      <c r="O3955" s="2"/>
      <c r="P3955" s="1"/>
      <c r="Q3955" s="1"/>
      <c r="R3955" s="1"/>
      <c r="S3955" s="1"/>
      <c r="T3955" s="1"/>
      <c r="U3955" s="1"/>
      <c r="V3955" s="1"/>
      <c r="W3955" s="1"/>
      <c r="X3955" s="1"/>
      <c r="Y3955" s="1"/>
      <c r="Z3955" s="1"/>
      <c r="AA3955" s="1"/>
      <c r="AB3955" s="1"/>
      <c r="AC3955" s="1"/>
      <c r="AD3955" s="1"/>
      <c r="AE3955" s="1"/>
      <c r="AF3955" s="1"/>
      <c r="AG3955" s="1"/>
      <c r="AH3955" s="1"/>
      <c r="AI3955" s="1"/>
      <c r="AJ3955" s="1"/>
      <c r="AK3955" s="1"/>
      <c r="AL3955" s="1"/>
      <c r="AM3955" s="1"/>
      <c r="AN3955" s="1"/>
      <c r="AO3955" s="1"/>
      <c r="AP3955" s="1"/>
      <c r="AQ3955" s="1"/>
      <c r="AR3955" s="1"/>
      <c r="AS3955" s="1"/>
      <c r="AT3955" s="1"/>
      <c r="AU3955" s="1"/>
      <c r="AV3955" s="1"/>
      <c r="AW3955" s="1"/>
      <c r="AX3955" s="1"/>
      <c r="AY3955" s="1"/>
      <c r="AZ3955" s="1"/>
      <c r="BA3955" s="1"/>
      <c r="BB3955" s="1"/>
    </row>
    <row r="3956" ht="204.75" customHeight="1">
      <c r="A3956" s="1">
        <v>2914.0</v>
      </c>
      <c r="B3956" s="2" t="s">
        <v>11811</v>
      </c>
      <c r="C3956" s="2">
        <f>IFERROR(__xludf.DUMMYFUNCTION("split(B3956,""_"")"),1401.0)</f>
        <v>1401</v>
      </c>
      <c r="D3956" s="2" t="str">
        <f>IFERROR(__xludf.DUMMYFUNCTION("""COMPUTED_VALUE"""),"NTV")</f>
        <v>NTV</v>
      </c>
      <c r="E3956" s="2" t="str">
        <f>IFERROR(__xludf.DUMMYFUNCTION("""COMPUTED_VALUE"""),"水22")</f>
        <v>水22</v>
      </c>
      <c r="F3956" s="2" t="s">
        <v>11812</v>
      </c>
      <c r="G3956" s="2" t="s">
        <v>11817</v>
      </c>
      <c r="H3956" s="1">
        <v>3.0</v>
      </c>
      <c r="I3956" s="1" t="s">
        <v>2876</v>
      </c>
      <c r="J3956" s="1" t="s">
        <v>82</v>
      </c>
      <c r="K3956" s="2" t="s">
        <v>11818</v>
      </c>
      <c r="L3956" s="2"/>
      <c r="M3956" s="2" t="str">
        <f>IFERROR(__xludf.DUMMYFUNCTION("split(split(K3956,""【演出"",false),""ほか"",false)"),"芦田愛菜、鈴木梨央、  三浦翔平、木村文乃、大後寿々花、渡邉このみ、桜田ひより・城田優・鈴木砂羽、  三上博史　")</f>
        <v>芦田愛菜、鈴木梨央、  三浦翔平、木村文乃、大後寿々花、渡邉このみ、桜田ひより・城田優・鈴木砂羽、  三上博史　</v>
      </c>
      <c r="N3956" s="2" t="str">
        <f>IFERROR(__xludf.DUMMYFUNCTION("""COMPUTED_VALUE"""),"「コガモの家」に、子供が射手座である事のみを条件とする里親候補が現れる。射手座のポスト(芦田愛菜)とオツボネ(大後寿々花)が「お試し」に行く事になったが、  17歳のオツボネは「これが、お家にもらわれるラストチャンスかもしれない」と、不安と期待でガチガチに緊張してしまう。  そんな中、2人は里親候補と対面するが、案内された部屋には2台のノートPCがあるだけ。奇妙な状況に訝しむ2人だが…。")</f>
        <v>「コガモの家」に、子供が射手座である事のみを条件とする里親候補が現れる。射手座のポスト(芦田愛菜)とオツボネ(大後寿々花)が「お試し」に行く事になったが、  17歳のオツボネは「これが、お家にもらわれるラストチャンスかもしれない」と、不安と期待でガチガチに緊張してしまう。  そんな中、2人は里親候補と対面するが、案内された部屋には2台のノートPCがあるだけ。奇妙な状況に訝しむ2人だが…。</v>
      </c>
      <c r="O3956" s="2"/>
      <c r="P3956" s="1"/>
      <c r="Q3956" s="1"/>
      <c r="R3956" s="1"/>
      <c r="S3956" s="1"/>
      <c r="T3956" s="1"/>
      <c r="U3956" s="1"/>
      <c r="V3956" s="1"/>
      <c r="W3956" s="1"/>
      <c r="X3956" s="1"/>
      <c r="Y3956" s="1"/>
      <c r="Z3956" s="1"/>
      <c r="AA3956" s="1"/>
      <c r="AB3956" s="1"/>
      <c r="AC3956" s="1"/>
      <c r="AD3956" s="1"/>
      <c r="AE3956" s="1"/>
      <c r="AF3956" s="1"/>
      <c r="AG3956" s="1"/>
      <c r="AH3956" s="1"/>
      <c r="AI3956" s="1"/>
      <c r="AJ3956" s="1"/>
      <c r="AK3956" s="1"/>
      <c r="AL3956" s="1"/>
      <c r="AM3956" s="1"/>
      <c r="AN3956" s="1"/>
      <c r="AO3956" s="1"/>
      <c r="AP3956" s="1"/>
      <c r="AQ3956" s="1"/>
      <c r="AR3956" s="1"/>
      <c r="AS3956" s="1"/>
      <c r="AT3956" s="1"/>
      <c r="AU3956" s="1"/>
      <c r="AV3956" s="1"/>
      <c r="AW3956" s="1"/>
      <c r="AX3956" s="1"/>
      <c r="AY3956" s="1"/>
      <c r="AZ3956" s="1"/>
      <c r="BA3956" s="1"/>
      <c r="BB3956" s="1"/>
    </row>
    <row r="3957" ht="204.75" customHeight="1">
      <c r="A3957" s="1">
        <v>2915.0</v>
      </c>
      <c r="B3957" s="2" t="s">
        <v>11811</v>
      </c>
      <c r="C3957" s="2">
        <f>IFERROR(__xludf.DUMMYFUNCTION("split(B3957,""_"")"),1401.0)</f>
        <v>1401</v>
      </c>
      <c r="D3957" s="2" t="str">
        <f>IFERROR(__xludf.DUMMYFUNCTION("""COMPUTED_VALUE"""),"NTV")</f>
        <v>NTV</v>
      </c>
      <c r="E3957" s="2" t="str">
        <f>IFERROR(__xludf.DUMMYFUNCTION("""COMPUTED_VALUE"""),"水22")</f>
        <v>水22</v>
      </c>
      <c r="F3957" s="2" t="s">
        <v>11812</v>
      </c>
      <c r="G3957" s="2" t="s">
        <v>11819</v>
      </c>
      <c r="H3957" s="1">
        <v>4.0</v>
      </c>
      <c r="I3957" s="1" t="s">
        <v>2880</v>
      </c>
      <c r="J3957" s="1" t="s">
        <v>82</v>
      </c>
      <c r="K3957" s="2" t="s">
        <v>11820</v>
      </c>
      <c r="L3957" s="2"/>
      <c r="M3957" s="2" t="str">
        <f>IFERROR(__xludf.DUMMYFUNCTION("split(split(K3957,""【演出"",false),""ほか"",false)"),"芦田愛菜、鈴木梨央、  三浦翔平、木村文乃、大後寿々花、渡邉このみ、桜田ひより・城田優・鈴木砂羽、  三上博史　")</f>
        <v>芦田愛菜、鈴木梨央、  三浦翔平、木村文乃、大後寿々花、渡邉このみ、桜田ひより・城田優・鈴木砂羽、  三上博史　</v>
      </c>
      <c r="N3957" s="2" t="str">
        <f>IFERROR(__xludf.DUMMYFUNCTION("""COMPUTED_VALUE"""),"  ボンビ(渡邉このみ)に初めての「お試し」の機会がやってくる。しかし、「お金が貯まったら、本当の両親が迎えに来てくれるはずだ」と「お試し」を頑なに拒否する。そんなボンビを見て、佐々木(三上博史)は「現実を見ろ」と一蹴する。佐々木の言葉もあり、ボンビは「お試し」に挑む。  一方、ポスト(芦田愛菜)とレン(藤本哉汰)が良い雰囲気なのを目撃したピア美(桜田ひより)はポストに嫉妬してしまい…。")</f>
        <v>  ボンビ(渡邉このみ)に初めての「お試し」の機会がやってくる。しかし、「お金が貯まったら、本当の両親が迎えに来てくれるはずだ」と「お試し」を頑なに拒否する。そんなボンビを見て、佐々木(三上博史)は「現実を見ろ」と一蹴する。佐々木の言葉もあり、ボンビは「お試し」に挑む。  一方、ポスト(芦田愛菜)とレン(藤本哉汰)が良い雰囲気なのを目撃したピア美(桜田ひより)はポストに嫉妬してしまい…。</v>
      </c>
      <c r="O3957" s="2"/>
      <c r="P3957" s="1"/>
      <c r="Q3957" s="1"/>
      <c r="R3957" s="1"/>
      <c r="S3957" s="1"/>
      <c r="T3957" s="1"/>
      <c r="U3957" s="1"/>
      <c r="V3957" s="1"/>
      <c r="W3957" s="1"/>
      <c r="X3957" s="1"/>
      <c r="Y3957" s="1"/>
      <c r="Z3957" s="1"/>
      <c r="AA3957" s="1"/>
      <c r="AB3957" s="1"/>
      <c r="AC3957" s="1"/>
      <c r="AD3957" s="1"/>
      <c r="AE3957" s="1"/>
      <c r="AF3957" s="1"/>
      <c r="AG3957" s="1"/>
      <c r="AH3957" s="1"/>
      <c r="AI3957" s="1"/>
      <c r="AJ3957" s="1"/>
      <c r="AK3957" s="1"/>
      <c r="AL3957" s="1"/>
      <c r="AM3957" s="1"/>
      <c r="AN3957" s="1"/>
      <c r="AO3957" s="1"/>
      <c r="AP3957" s="1"/>
      <c r="AQ3957" s="1"/>
      <c r="AR3957" s="1"/>
      <c r="AS3957" s="1"/>
      <c r="AT3957" s="1"/>
      <c r="AU3957" s="1"/>
      <c r="AV3957" s="1"/>
      <c r="AW3957" s="1"/>
      <c r="AX3957" s="1"/>
      <c r="AY3957" s="1"/>
      <c r="AZ3957" s="1"/>
      <c r="BA3957" s="1"/>
      <c r="BB3957" s="1"/>
    </row>
    <row r="3958" ht="204.75" customHeight="1">
      <c r="A3958" s="1">
        <v>2916.0</v>
      </c>
      <c r="B3958" s="2" t="s">
        <v>11811</v>
      </c>
      <c r="C3958" s="2">
        <f>IFERROR(__xludf.DUMMYFUNCTION("split(B3958,""_"")"),1401.0)</f>
        <v>1401</v>
      </c>
      <c r="D3958" s="2" t="str">
        <f>IFERROR(__xludf.DUMMYFUNCTION("""COMPUTED_VALUE"""),"NTV")</f>
        <v>NTV</v>
      </c>
      <c r="E3958" s="2" t="str">
        <f>IFERROR(__xludf.DUMMYFUNCTION("""COMPUTED_VALUE"""),"水22")</f>
        <v>水22</v>
      </c>
      <c r="F3958" s="2" t="s">
        <v>11812</v>
      </c>
      <c r="G3958" s="2" t="s">
        <v>11821</v>
      </c>
      <c r="H3958" s="1">
        <v>5.0</v>
      </c>
      <c r="I3958" s="1" t="s">
        <v>2884</v>
      </c>
      <c r="J3958" s="1" t="s">
        <v>86</v>
      </c>
      <c r="K3958" s="2" t="s">
        <v>11822</v>
      </c>
      <c r="L3958" s="2"/>
      <c r="M3958" s="2" t="str">
        <f>IFERROR(__xludf.DUMMYFUNCTION("split(split(K3958,""【演出"",false),""ほか"",false)"),"芦田愛菜、鈴木梨央、  三浦翔平、木村文乃、大後寿々花、渡邉このみ、桜田ひより・城田優・鈴木砂羽、  三上博史　")</f>
        <v>芦田愛菜、鈴木梨央、  三浦翔平、木村文乃、大後寿々花、渡邉このみ、桜田ひより・城田優・鈴木砂羽、  三上博史　</v>
      </c>
      <c r="N3958" s="2" t="str">
        <f>IFERROR(__xludf.DUMMYFUNCTION("""COMPUTED_VALUE"""),"有名なピアノコンクールの予選に出場することになったピア美(桜田ひより)。ポスト(芦田愛菜)を巻き込み、毎晩学校の音楽室に忍び込み、猛練習を開始する。そこには「コンクールに出場すれば、実の父親が気付いて見に来てくれるかもしれない」という期待があった。ポストに父親の写真を渡し、コンクール会場で見かけたら引き留めて欲しい、と頼むピア美。一方パチ(五十嵐陽向)は温かな里親と出会い…")</f>
        <v>有名なピアノコンクールの予選に出場することになったピア美(桜田ひより)。ポスト(芦田愛菜)を巻き込み、毎晩学校の音楽室に忍び込み、猛練習を開始する。そこには「コンクールに出場すれば、実の父親が気付いて見に来てくれるかもしれない」という期待があった。ポストに父親の写真を渡し、コンクール会場で見かけたら引き留めて欲しい、と頼むピア美。一方パチ(五十嵐陽向)は温かな里親と出会い…</v>
      </c>
      <c r="O3958" s="2"/>
      <c r="P3958" s="1"/>
      <c r="Q3958" s="1"/>
      <c r="R3958" s="1"/>
      <c r="S3958" s="1"/>
      <c r="T3958" s="1"/>
      <c r="U3958" s="1"/>
      <c r="V3958" s="1"/>
      <c r="W3958" s="1"/>
      <c r="X3958" s="1"/>
      <c r="Y3958" s="1"/>
      <c r="Z3958" s="1"/>
      <c r="AA3958" s="1"/>
      <c r="AB3958" s="1"/>
      <c r="AC3958" s="1"/>
      <c r="AD3958" s="1"/>
      <c r="AE3958" s="1"/>
      <c r="AF3958" s="1"/>
      <c r="AG3958" s="1"/>
      <c r="AH3958" s="1"/>
      <c r="AI3958" s="1"/>
      <c r="AJ3958" s="1"/>
      <c r="AK3958" s="1"/>
      <c r="AL3958" s="1"/>
      <c r="AM3958" s="1"/>
      <c r="AN3958" s="1"/>
      <c r="AO3958" s="1"/>
      <c r="AP3958" s="1"/>
      <c r="AQ3958" s="1"/>
      <c r="AR3958" s="1"/>
      <c r="AS3958" s="1"/>
      <c r="AT3958" s="1"/>
      <c r="AU3958" s="1"/>
      <c r="AV3958" s="1"/>
      <c r="AW3958" s="1"/>
      <c r="AX3958" s="1"/>
      <c r="AY3958" s="1"/>
      <c r="AZ3958" s="1"/>
      <c r="BA3958" s="1"/>
      <c r="BB3958" s="1"/>
    </row>
    <row r="3959" ht="204.75" customHeight="1">
      <c r="A3959" s="1">
        <v>2917.0</v>
      </c>
      <c r="B3959" s="2" t="s">
        <v>11811</v>
      </c>
      <c r="C3959" s="2">
        <f>IFERROR(__xludf.DUMMYFUNCTION("split(B3959,""_"")"),1401.0)</f>
        <v>1401</v>
      </c>
      <c r="D3959" s="2" t="str">
        <f>IFERROR(__xludf.DUMMYFUNCTION("""COMPUTED_VALUE"""),"NTV")</f>
        <v>NTV</v>
      </c>
      <c r="E3959" s="2" t="str">
        <f>IFERROR(__xludf.DUMMYFUNCTION("""COMPUTED_VALUE"""),"水22")</f>
        <v>水22</v>
      </c>
      <c r="F3959" s="2" t="s">
        <v>11812</v>
      </c>
      <c r="G3959" s="2" t="s">
        <v>11823</v>
      </c>
      <c r="H3959" s="1">
        <v>6.0</v>
      </c>
      <c r="I3959" s="1" t="s">
        <v>2888</v>
      </c>
      <c r="J3959" s="1" t="s">
        <v>82</v>
      </c>
      <c r="K3959" s="2" t="s">
        <v>11824</v>
      </c>
      <c r="L3959" s="2"/>
      <c r="M3959" s="2" t="str">
        <f>IFERROR(__xludf.DUMMYFUNCTION("split(split(K3959,""【演出"",false),""ほか"",false)"),"芦田愛菜、鈴木梨央、  三浦翔平、木村文乃、大後寿々花、渡邉このみ、桜田ひより・城田優・鈴木砂羽、  三上博史　")</f>
        <v>芦田愛菜、鈴木梨央、  三浦翔平、木村文乃、大後寿々花、渡邉このみ、桜田ひより・城田優・鈴木砂羽、  三上博史　</v>
      </c>
      <c r="N3959" s="2" t="str">
        <f>IFERROR(__xludf.DUMMYFUNCTION("""COMPUTED_VALUE"""),"  「コガモの家」に新しい子供がやってきた。自ら「二代目パチ」としてニッパチと名乗るその子は、パチと同様にポスト(芦田愛菜)に懐く。  そんな賑やかな「コガモの家」に衝撃が。ロッカー(三浦翔平)が事件を起こし、逮捕されたのだ。心優しきロッカーの逮捕に子供達は動揺し、ロッカーに反発するようにーー。  そんな中でもロッカーを信じ、一人寄り添い続けるポスト。物言わぬ青年の過去が今、ついに明らかになる…。")</f>
        <v>  「コガモの家」に新しい子供がやってきた。自ら「二代目パチ」としてニッパチと名乗るその子は、パチと同様にポスト(芦田愛菜)に懐く。  そんな賑やかな「コガモの家」に衝撃が。ロッカー(三浦翔平)が事件を起こし、逮捕されたのだ。心優しきロッカーの逮捕に子供達は動揺し、ロッカーに反発するようにーー。  そんな中でもロッカーを信じ、一人寄り添い続けるポスト。物言わぬ青年の過去が今、ついに明らかになる…。</v>
      </c>
      <c r="O3959" s="2"/>
      <c r="P3959" s="1"/>
      <c r="Q3959" s="1"/>
      <c r="R3959" s="1"/>
      <c r="S3959" s="1"/>
      <c r="T3959" s="1"/>
      <c r="U3959" s="1"/>
      <c r="V3959" s="1"/>
      <c r="W3959" s="1"/>
      <c r="X3959" s="1"/>
      <c r="Y3959" s="1"/>
      <c r="Z3959" s="1"/>
      <c r="AA3959" s="1"/>
      <c r="AB3959" s="1"/>
      <c r="AC3959" s="1"/>
      <c r="AD3959" s="1"/>
      <c r="AE3959" s="1"/>
      <c r="AF3959" s="1"/>
      <c r="AG3959" s="1"/>
      <c r="AH3959" s="1"/>
      <c r="AI3959" s="1"/>
      <c r="AJ3959" s="1"/>
      <c r="AK3959" s="1"/>
      <c r="AL3959" s="1"/>
      <c r="AM3959" s="1"/>
      <c r="AN3959" s="1"/>
      <c r="AO3959" s="1"/>
      <c r="AP3959" s="1"/>
      <c r="AQ3959" s="1"/>
      <c r="AR3959" s="1"/>
      <c r="AS3959" s="1"/>
      <c r="AT3959" s="1"/>
      <c r="AU3959" s="1"/>
      <c r="AV3959" s="1"/>
      <c r="AW3959" s="1"/>
      <c r="AX3959" s="1"/>
      <c r="AY3959" s="1"/>
      <c r="AZ3959" s="1"/>
      <c r="BA3959" s="1"/>
      <c r="BB3959" s="1"/>
    </row>
    <row r="3960" ht="204.75" customHeight="1">
      <c r="A3960" s="1">
        <v>2918.0</v>
      </c>
      <c r="B3960" s="2" t="s">
        <v>11811</v>
      </c>
      <c r="C3960" s="2">
        <f>IFERROR(__xludf.DUMMYFUNCTION("split(B3960,""_"")"),1401.0)</f>
        <v>1401</v>
      </c>
      <c r="D3960" s="2" t="str">
        <f>IFERROR(__xludf.DUMMYFUNCTION("""COMPUTED_VALUE"""),"NTV")</f>
        <v>NTV</v>
      </c>
      <c r="E3960" s="2" t="str">
        <f>IFERROR(__xludf.DUMMYFUNCTION("""COMPUTED_VALUE"""),"水22")</f>
        <v>水22</v>
      </c>
      <c r="F3960" s="2" t="s">
        <v>11812</v>
      </c>
      <c r="G3960" s="2" t="s">
        <v>11825</v>
      </c>
      <c r="H3960" s="1">
        <v>7.0</v>
      </c>
      <c r="I3960" s="1" t="s">
        <v>2892</v>
      </c>
      <c r="J3960" s="1" t="s">
        <v>82</v>
      </c>
      <c r="K3960" s="2" t="s">
        <v>11826</v>
      </c>
      <c r="L3960" s="2"/>
      <c r="M3960" s="2" t="str">
        <f>IFERROR(__xludf.DUMMYFUNCTION("split(split(K3960,""【演出"",false),""ほか"",false)"),"芦田愛菜、鈴木梨央、  三浦翔平、木村文乃、大後寿々花、渡邉このみ、桜田ひより・城田優・鈴木砂羽、  三上博史　")</f>
        <v>芦田愛菜、鈴木梨央、  三浦翔平、木村文乃、大後寿々花、渡邉このみ、桜田ひより・城田優・鈴木砂羽、  三上博史　</v>
      </c>
      <c r="N3960" s="2" t="str">
        <f>IFERROR(__xludf.DUMMYFUNCTION("""COMPUTED_VALUE"""),"ついにジョリピがコガモの家にやって来た。子供達は大興奮だが、ジョリピ夫妻が望むのは男の子…。そこでボンビ(渡邉このみ)はハサミを髪に当て……。  一方、ポストは産休の先生に代わり担任となった朝倉(吉沢悠)の家にピア美(桜田ひより)と共に遊びに行くこととなる。そこには病に伏した妻:朝倉瞳(安達祐実)が居た。偶然に瞳と顔を合わせることになったポストはーー。")</f>
        <v>ついにジョリピがコガモの家にやって来た。子供達は大興奮だが、ジョリピ夫妻が望むのは男の子…。そこでボンビ(渡邉このみ)はハサミを髪に当て……。  一方、ポストは産休の先生に代わり担任となった朝倉(吉沢悠)の家にピア美(桜田ひより)と共に遊びに行くこととなる。そこには病に伏した妻:朝倉瞳(安達祐実)が居た。偶然に瞳と顔を合わせることになったポストはーー。</v>
      </c>
      <c r="O3960" s="2"/>
      <c r="P3960" s="1"/>
      <c r="Q3960" s="1"/>
      <c r="R3960" s="1"/>
      <c r="S3960" s="1"/>
      <c r="T3960" s="1"/>
      <c r="U3960" s="1"/>
      <c r="V3960" s="1"/>
      <c r="W3960" s="1"/>
      <c r="X3960" s="1"/>
      <c r="Y3960" s="1"/>
      <c r="Z3960" s="1"/>
      <c r="AA3960" s="1"/>
      <c r="AB3960" s="1"/>
      <c r="AC3960" s="1"/>
      <c r="AD3960" s="1"/>
      <c r="AE3960" s="1"/>
      <c r="AF3960" s="1"/>
      <c r="AG3960" s="1"/>
      <c r="AH3960" s="1"/>
      <c r="AI3960" s="1"/>
      <c r="AJ3960" s="1"/>
      <c r="AK3960" s="1"/>
      <c r="AL3960" s="1"/>
      <c r="AM3960" s="1"/>
      <c r="AN3960" s="1"/>
      <c r="AO3960" s="1"/>
      <c r="AP3960" s="1"/>
      <c r="AQ3960" s="1"/>
      <c r="AR3960" s="1"/>
      <c r="AS3960" s="1"/>
      <c r="AT3960" s="1"/>
      <c r="AU3960" s="1"/>
      <c r="AV3960" s="1"/>
      <c r="AW3960" s="1"/>
      <c r="AX3960" s="1"/>
      <c r="AY3960" s="1"/>
      <c r="AZ3960" s="1"/>
      <c r="BA3960" s="1"/>
      <c r="BB3960" s="1"/>
    </row>
    <row r="3961" ht="204.75" customHeight="1">
      <c r="A3961" s="1">
        <v>2919.0</v>
      </c>
      <c r="B3961" s="2" t="s">
        <v>11811</v>
      </c>
      <c r="C3961" s="2">
        <f>IFERROR(__xludf.DUMMYFUNCTION("split(B3961,""_"")"),1401.0)</f>
        <v>1401</v>
      </c>
      <c r="D3961" s="2" t="str">
        <f>IFERROR(__xludf.DUMMYFUNCTION("""COMPUTED_VALUE"""),"NTV")</f>
        <v>NTV</v>
      </c>
      <c r="E3961" s="2" t="str">
        <f>IFERROR(__xludf.DUMMYFUNCTION("""COMPUTED_VALUE"""),"水22")</f>
        <v>水22</v>
      </c>
      <c r="F3961" s="2" t="s">
        <v>11812</v>
      </c>
      <c r="G3961" s="2" t="s">
        <v>11827</v>
      </c>
      <c r="H3961" s="1">
        <v>8.0</v>
      </c>
      <c r="I3961" s="1" t="s">
        <v>2896</v>
      </c>
      <c r="J3961" s="1" t="s">
        <v>82</v>
      </c>
      <c r="K3961" s="2" t="s">
        <v>11828</v>
      </c>
      <c r="L3961" s="2"/>
      <c r="M3961" s="2" t="str">
        <f>IFERROR(__xludf.DUMMYFUNCTION("split(split(K3961,""【演出"",false),""ほか"",false)"),"芦田愛菜、鈴木梨央、  三浦翔平、木村文乃、大後寿々花、渡邉このみ、桜田ひより・城田優・鈴木砂羽、  三上博史　")</f>
        <v>芦田愛菜、鈴木梨央、  三浦翔平、木村文乃、大後寿々花、渡邉このみ、桜田ひより・城田優・鈴木砂羽、  三上博史　</v>
      </c>
      <c r="N3961" s="2" t="str">
        <f>IFERROR(__xludf.DUMMYFUNCTION("""COMPUTED_VALUE"""),"娘の死を受け入れられない瞳(安達祐実)の為に亡くなった娘・愛となり朝倉夫妻との交流を深めるポスト(芦田愛菜)。実の母親ではない瞳のことを、心から素直に「ママ」と呼べることに、ポスト自身も不思議に感じていた。  ドンキ(鈴木梨央)も優しい川島夫妻の下で順調に「お試し」を続けていた。一見、温かな本当の家族のようだが、ドンキの内心の不安は広がり続け、ある日ついにドンキは倒れてしまう…。")</f>
        <v>娘の死を受け入れられない瞳(安達祐実)の為に亡くなった娘・愛となり朝倉夫妻との交流を深めるポスト(芦田愛菜)。実の母親ではない瞳のことを、心から素直に「ママ」と呼べることに、ポスト自身も不思議に感じていた。  ドンキ(鈴木梨央)も優しい川島夫妻の下で順調に「お試し」を続けていた。一見、温かな本当の家族のようだが、ドンキの内心の不安は広がり続け、ある日ついにドンキは倒れてしまう…。</v>
      </c>
      <c r="O3961" s="2"/>
      <c r="P3961" s="1"/>
      <c r="Q3961" s="1"/>
      <c r="R3961" s="1"/>
      <c r="S3961" s="1"/>
      <c r="T3961" s="1"/>
      <c r="U3961" s="1"/>
      <c r="V3961" s="1"/>
      <c r="W3961" s="1"/>
      <c r="X3961" s="1"/>
      <c r="Y3961" s="1"/>
      <c r="Z3961" s="1"/>
      <c r="AA3961" s="1"/>
      <c r="AB3961" s="1"/>
      <c r="AC3961" s="1"/>
      <c r="AD3961" s="1"/>
      <c r="AE3961" s="1"/>
      <c r="AF3961" s="1"/>
      <c r="AG3961" s="1"/>
      <c r="AH3961" s="1"/>
      <c r="AI3961" s="1"/>
      <c r="AJ3961" s="1"/>
      <c r="AK3961" s="1"/>
      <c r="AL3961" s="1"/>
      <c r="AM3961" s="1"/>
      <c r="AN3961" s="1"/>
      <c r="AO3961" s="1"/>
      <c r="AP3961" s="1"/>
      <c r="AQ3961" s="1"/>
      <c r="AR3961" s="1"/>
      <c r="AS3961" s="1"/>
      <c r="AT3961" s="1"/>
      <c r="AU3961" s="1"/>
      <c r="AV3961" s="1"/>
      <c r="AW3961" s="1"/>
      <c r="AX3961" s="1"/>
      <c r="AY3961" s="1"/>
      <c r="AZ3961" s="1"/>
      <c r="BA3961" s="1"/>
      <c r="BB3961" s="1"/>
    </row>
    <row r="3962" ht="204.75" customHeight="1">
      <c r="A3962" s="1">
        <v>2920.0</v>
      </c>
      <c r="B3962" s="2" t="s">
        <v>11811</v>
      </c>
      <c r="C3962" s="2">
        <f>IFERROR(__xludf.DUMMYFUNCTION("split(B3962,""_"")"),1401.0)</f>
        <v>1401</v>
      </c>
      <c r="D3962" s="2" t="str">
        <f>IFERROR(__xludf.DUMMYFUNCTION("""COMPUTED_VALUE"""),"NTV")</f>
        <v>NTV</v>
      </c>
      <c r="E3962" s="2" t="str">
        <f>IFERROR(__xludf.DUMMYFUNCTION("""COMPUTED_VALUE"""),"水22")</f>
        <v>水22</v>
      </c>
      <c r="F3962" s="2" t="s">
        <v>11812</v>
      </c>
      <c r="G3962" s="2" t="s">
        <v>11829</v>
      </c>
      <c r="H3962" s="1">
        <v>9.0</v>
      </c>
      <c r="I3962" s="1" t="s">
        <v>2900</v>
      </c>
      <c r="J3962" s="1" t="s">
        <v>82</v>
      </c>
      <c r="K3962" s="2" t="s">
        <v>11830</v>
      </c>
      <c r="L3962" s="2"/>
      <c r="M3962" s="2" t="str">
        <f>IFERROR(__xludf.DUMMYFUNCTION("split(split(K3962,""【演出"",false),""ほか"",false)"),"芦田愛菜、鈴木梨央、  三浦翔平、木村文乃、大後寿々花、渡邉このみ、桜田ひより・城田優・鈴木砂羽、  三上博史　")</f>
        <v>芦田愛菜、鈴木梨央、  三浦翔平、木村文乃、大後寿々花、渡邉このみ、桜田ひより・城田優・鈴木砂羽、  三上博史　</v>
      </c>
      <c r="N3962" s="2" t="str">
        <f>IFERROR(__xludf.DUMMYFUNCTION("""COMPUTED_VALUE"""),"ピア美(桜田ひより)は実の父親の元へ、ドンキ(鈴木梨央)は川島夫妻の元へと引き取られた。1人1人とコガモの家から去って行く子供達。その中でポスト(芦田愛菜)は瞳(安達祐実)の亡くなった娘・愛として交流を深めていく。人を愛することを知る少女。  しかしその目に浮かぶものは、涙ーー。彼女が辿り着く「愛情」の形とは……。  幸せとは何か、真実の愛とは何か。問いかける感動の最終回。")</f>
        <v>ピア美(桜田ひより)は実の父親の元へ、ドンキ(鈴木梨央)は川島夫妻の元へと引き取られた。1人1人とコガモの家から去って行く子供達。その中でポスト(芦田愛菜)は瞳(安達祐実)の亡くなった娘・愛として交流を深めていく。人を愛することを知る少女。  しかしその目に浮かぶものは、涙ーー。彼女が辿り着く「愛情」の形とは……。  幸せとは何か、真実の愛とは何か。問いかける感動の最終回。</v>
      </c>
      <c r="O3962" s="2"/>
      <c r="P3962" s="1"/>
      <c r="Q3962" s="1"/>
      <c r="R3962" s="1"/>
      <c r="S3962" s="1"/>
      <c r="T3962" s="1"/>
      <c r="U3962" s="1"/>
      <c r="V3962" s="1"/>
      <c r="W3962" s="1"/>
      <c r="X3962" s="1"/>
      <c r="Y3962" s="1"/>
      <c r="Z3962" s="1"/>
      <c r="AA3962" s="1"/>
      <c r="AB3962" s="1"/>
      <c r="AC3962" s="1"/>
      <c r="AD3962" s="1"/>
      <c r="AE3962" s="1"/>
      <c r="AF3962" s="1"/>
      <c r="AG3962" s="1"/>
      <c r="AH3962" s="1"/>
      <c r="AI3962" s="1"/>
      <c r="AJ3962" s="1"/>
      <c r="AK3962" s="1"/>
      <c r="AL3962" s="1"/>
      <c r="AM3962" s="1"/>
      <c r="AN3962" s="1"/>
      <c r="AO3962" s="1"/>
      <c r="AP3962" s="1"/>
      <c r="AQ3962" s="1"/>
      <c r="AR3962" s="1"/>
      <c r="AS3962" s="1"/>
      <c r="AT3962" s="1"/>
      <c r="AU3962" s="1"/>
      <c r="AV3962" s="1"/>
      <c r="AW3962" s="1"/>
      <c r="AX3962" s="1"/>
      <c r="AY3962" s="1"/>
      <c r="AZ3962" s="1"/>
      <c r="BA3962" s="1"/>
      <c r="BB3962" s="1"/>
    </row>
    <row r="3963" ht="204.75" customHeight="1">
      <c r="A3963" s="1">
        <v>2963.0</v>
      </c>
      <c r="B3963" s="2" t="s">
        <v>11831</v>
      </c>
      <c r="C3963" s="2">
        <f>IFERROR(__xludf.DUMMYFUNCTION("split(B3963,""_"")"),1401.0)</f>
        <v>1401</v>
      </c>
      <c r="D3963" s="2" t="str">
        <f>IFERROR(__xludf.DUMMYFUNCTION("""COMPUTED_VALUE"""),"NTV")</f>
        <v>NTV</v>
      </c>
      <c r="E3963" s="2" t="str">
        <f>IFERROR(__xludf.DUMMYFUNCTION("""COMPUTED_VALUE"""),"木23")</f>
        <v>木23</v>
      </c>
      <c r="F3963" s="2" t="s">
        <v>11832</v>
      </c>
      <c r="G3963" s="2" t="s">
        <v>11833</v>
      </c>
      <c r="H3963" s="1">
        <v>1.0</v>
      </c>
      <c r="J3963" s="1" t="s">
        <v>1435</v>
      </c>
      <c r="K3963" s="2" t="s">
        <v>11834</v>
      </c>
      <c r="L3963" s="2"/>
      <c r="M3963" s="2" t="str">
        <f>IFERROR(__xludf.DUMMYFUNCTION("split(split(K3963,""【演出"",false),""ほか"",false)"),"◇袴田幸男:田中直樹(ココリコ)  ◇野々村(倉沢)香苗:矢田亜希子  ◇梅本くるみ:渡辺直美    ◇水谷沙羅:山田菜々(NMB48)  ◇田畑美里:高嶋香帆  ◇篠塚里奈:岩崎名美    ◇倉沢義人:永井大  ◇相川詩織:野村麻純  ◇カフェの店長:モト冬樹    ◇遠山芳江:美保純(他)【第1話】「あなたの涙、お金に変えましょう。」必ず“慰謝料”を勝ち取って、人生の再出発を後押してくれる腕利き弁護士がいた。その名も袴田幸男(田中直樹)。普段はパン作りにハマって世情には疎い男だが、慰謝料の請求だけはど"&amp;"ん欲。毎回、男女のトラブルを小気味良く解決していく。今回の依頼人は、夫のモラル・ハラスメントに耐えながら漫画家を目指す主婦・倉沢香苗(矢田亜希子)。そんな矢先、夫の浮気が発覚した…。【★主題歌】  「泣きたい僕ら」fumika&lt;1月29日リリース!&gt;【原案】  『慰謝料上手にとれるかな?』(うえみあゆみ著/KADOKAWAエンターブレイン刊)  【脚本】  森ハヤシ  【音楽】  井筒昭雄  ")</f>
        <v>◇袴田幸男:田中直樹(ココリコ)  ◇野々村(倉沢)香苗:矢田亜希子  ◇梅本くるみ:渡辺直美    ◇水谷沙羅:山田菜々(NMB48)  ◇田畑美里:高嶋香帆  ◇篠塚里奈:岩崎名美    ◇倉沢義人:永井大  ◇相川詩織:野村麻純  ◇カフェの店長:モト冬樹    ◇遠山芳江:美保純(他)【第1話】「あなたの涙、お金に変えましょう。」必ず“慰謝料”を勝ち取って、人生の再出発を後押してくれる腕利き弁護士がいた。その名も袴田幸男(田中直樹)。普段はパン作りにハマって世情には疎い男だが、慰謝料の請求だけはどん欲。毎回、男女のトラブルを小気味良く解決していく。今回の依頼人は、夫のモラル・ハラスメントに耐えながら漫画家を目指す主婦・倉沢香苗(矢田亜希子)。そんな矢先、夫の浮気が発覚した…。【★主題歌】  「泣きたい僕ら」fumika&lt;1月29日リリース!&gt;【原案】  『慰謝料上手にとれるかな?』(うえみあゆみ著/KADOKAWAエンターブレイン刊)  【脚本】  森ハヤシ  【音楽】  井筒昭雄  </v>
      </c>
      <c r="N3963" s="2"/>
      <c r="O3963" s="2"/>
      <c r="P3963" s="1"/>
      <c r="Q3963" s="1"/>
      <c r="R3963" s="1"/>
      <c r="S3963" s="1"/>
      <c r="T3963" s="1"/>
      <c r="U3963" s="1"/>
      <c r="V3963" s="1"/>
      <c r="W3963" s="1"/>
      <c r="X3963" s="1"/>
      <c r="Y3963" s="1"/>
      <c r="Z3963" s="1"/>
      <c r="AA3963" s="1"/>
      <c r="AB3963" s="1"/>
      <c r="AC3963" s="1"/>
      <c r="AD3963" s="1"/>
      <c r="AE3963" s="1"/>
      <c r="AF3963" s="1"/>
      <c r="AG3963" s="1"/>
      <c r="AH3963" s="1"/>
      <c r="AI3963" s="1"/>
      <c r="AJ3963" s="1"/>
      <c r="AK3963" s="1"/>
      <c r="AL3963" s="1"/>
      <c r="AM3963" s="1"/>
      <c r="AN3963" s="1"/>
      <c r="AO3963" s="1"/>
      <c r="AP3963" s="1"/>
      <c r="AQ3963" s="1"/>
      <c r="AR3963" s="1"/>
      <c r="AS3963" s="1"/>
      <c r="AT3963" s="1"/>
      <c r="AU3963" s="1"/>
      <c r="AV3963" s="1"/>
      <c r="AW3963" s="1"/>
      <c r="AX3963" s="1"/>
      <c r="AY3963" s="1"/>
      <c r="AZ3963" s="1"/>
      <c r="BA3963" s="1"/>
      <c r="BB3963" s="1"/>
    </row>
    <row r="3964" ht="204.75" customHeight="1">
      <c r="A3964" s="1">
        <v>2964.0</v>
      </c>
      <c r="B3964" s="2" t="s">
        <v>11831</v>
      </c>
      <c r="C3964" s="2">
        <f>IFERROR(__xludf.DUMMYFUNCTION("split(B3964,""_"")"),1401.0)</f>
        <v>1401</v>
      </c>
      <c r="D3964" s="2" t="str">
        <f>IFERROR(__xludf.DUMMYFUNCTION("""COMPUTED_VALUE"""),"NTV")</f>
        <v>NTV</v>
      </c>
      <c r="E3964" s="2" t="str">
        <f>IFERROR(__xludf.DUMMYFUNCTION("""COMPUTED_VALUE"""),"木23")</f>
        <v>木23</v>
      </c>
      <c r="F3964" s="2" t="s">
        <v>11832</v>
      </c>
      <c r="G3964" s="2" t="s">
        <v>11835</v>
      </c>
      <c r="H3964" s="1">
        <v>2.0</v>
      </c>
      <c r="J3964" s="1" t="s">
        <v>1435</v>
      </c>
      <c r="K3964" s="2" t="s">
        <v>11836</v>
      </c>
      <c r="L3964" s="2"/>
      <c r="M3964" s="2" t="str">
        <f>IFERROR(__xludf.DUMMYFUNCTION("split(split(K3964,""【演出"",false),""ほか"",false)"),"◇袴田幸男:田中直樹(ココリコ)  ◇野々村香苗:矢田亜希子  ◇梅本くるみ:渡辺直美    ◇水谷沙羅:山田菜々(NMB48)  ◇田畑美里:高嶋香帆  ◇篠塚里奈:岩崎名美    ◇小寺清美:雛形あきこ  ◇小寺文也:村杉蝉之介  ◇戸川裕子:ちすん    ◇遠山芳江:美保純(他)【第2話】“慰謝料”を勝ち取って、人生の再出発を後押してくれる弁護士・袴田幸男(田中直樹)。今回の依頼人は、夫のダブル不倫に憤る主婦・小寺清美(雛形あきこ)。しかも、浮気相手の女は不貞行為さえ認めず、その態度はふてぶてしいそ"&amp;"のもの。袴田と清美はついに裁判に踏み切ることに。実はそう、浮気相手からも慰謝料は取れるんです…。一方、駆け出し漫画家・野々村香苗(矢田亜希子)は袴田法律事務所で働き始めるが…。【主題歌】  「泣きたい僕ら」fumika&lt;1月29日リリース!&gt;【原案】  『慰謝料上手にとれるかな?』(うえみあゆみ著/KADOKAWAエンターブレイン刊)  【脚本】  森ハヤシ  【音楽】  井筒昭雄  ")</f>
        <v>◇袴田幸男:田中直樹(ココリコ)  ◇野々村香苗:矢田亜希子  ◇梅本くるみ:渡辺直美    ◇水谷沙羅:山田菜々(NMB48)  ◇田畑美里:高嶋香帆  ◇篠塚里奈:岩崎名美    ◇小寺清美:雛形あきこ  ◇小寺文也:村杉蝉之介  ◇戸川裕子:ちすん    ◇遠山芳江:美保純(他)【第2話】“慰謝料”を勝ち取って、人生の再出発を後押してくれる弁護士・袴田幸男(田中直樹)。今回の依頼人は、夫のダブル不倫に憤る主婦・小寺清美(雛形あきこ)。しかも、浮気相手の女は不貞行為さえ認めず、その態度はふてぶてしいそのもの。袴田と清美はついに裁判に踏み切ることに。実はそう、浮気相手からも慰謝料は取れるんです…。一方、駆け出し漫画家・野々村香苗(矢田亜希子)は袴田法律事務所で働き始めるが…。【主題歌】  「泣きたい僕ら」fumika&lt;1月29日リリース!&gt;【原案】  『慰謝料上手にとれるかな?』(うえみあゆみ著/KADOKAWAエンターブレイン刊)  【脚本】  森ハヤシ  【音楽】  井筒昭雄  </v>
      </c>
      <c r="N3964" s="2"/>
      <c r="O3964" s="2"/>
      <c r="P3964" s="1"/>
      <c r="Q3964" s="1"/>
      <c r="R3964" s="1"/>
      <c r="S3964" s="1"/>
      <c r="T3964" s="1"/>
      <c r="U3964" s="1"/>
      <c r="V3964" s="1"/>
      <c r="W3964" s="1"/>
      <c r="X3964" s="1"/>
      <c r="Y3964" s="1"/>
      <c r="Z3964" s="1"/>
      <c r="AA3964" s="1"/>
      <c r="AB3964" s="1"/>
      <c r="AC3964" s="1"/>
      <c r="AD3964" s="1"/>
      <c r="AE3964" s="1"/>
      <c r="AF3964" s="1"/>
      <c r="AG3964" s="1"/>
      <c r="AH3964" s="1"/>
      <c r="AI3964" s="1"/>
      <c r="AJ3964" s="1"/>
      <c r="AK3964" s="1"/>
      <c r="AL3964" s="1"/>
      <c r="AM3964" s="1"/>
      <c r="AN3964" s="1"/>
      <c r="AO3964" s="1"/>
      <c r="AP3964" s="1"/>
      <c r="AQ3964" s="1"/>
      <c r="AR3964" s="1"/>
      <c r="AS3964" s="1"/>
      <c r="AT3964" s="1"/>
      <c r="AU3964" s="1"/>
      <c r="AV3964" s="1"/>
      <c r="AW3964" s="1"/>
      <c r="AX3964" s="1"/>
      <c r="AY3964" s="1"/>
      <c r="AZ3964" s="1"/>
      <c r="BA3964" s="1"/>
      <c r="BB3964" s="1"/>
    </row>
    <row r="3965" ht="204.75" customHeight="1">
      <c r="A3965" s="1">
        <v>2965.0</v>
      </c>
      <c r="B3965" s="2" t="s">
        <v>11831</v>
      </c>
      <c r="C3965" s="2">
        <f>IFERROR(__xludf.DUMMYFUNCTION("split(B3965,""_"")"),1401.0)</f>
        <v>1401</v>
      </c>
      <c r="D3965" s="2" t="str">
        <f>IFERROR(__xludf.DUMMYFUNCTION("""COMPUTED_VALUE"""),"NTV")</f>
        <v>NTV</v>
      </c>
      <c r="E3965" s="2" t="str">
        <f>IFERROR(__xludf.DUMMYFUNCTION("""COMPUTED_VALUE"""),"木23")</f>
        <v>木23</v>
      </c>
      <c r="F3965" s="2" t="s">
        <v>11832</v>
      </c>
      <c r="G3965" s="2" t="s">
        <v>11837</v>
      </c>
      <c r="H3965" s="1">
        <v>3.0</v>
      </c>
      <c r="J3965" s="1" t="s">
        <v>1435</v>
      </c>
      <c r="K3965" s="2" t="s">
        <v>11838</v>
      </c>
      <c r="L3965" s="2"/>
      <c r="M3965" s="2" t="str">
        <f>IFERROR(__xludf.DUMMYFUNCTION("split(split(K3965,""【演出"",false),""ほか"",false)"),"◇袴田幸男:田中直樹(ココリコ)  ◇野々村香苗:矢田亜希子  ◇梅本くるみ:渡辺直美    ◇水谷沙羅:山田菜々(NMB48)  ◇田畑美里:高嶋香帆  ◇篠塚里奈:岩崎名美    ◇西園寺文子:沢田亜矢子  ◇西園寺正:小野武彦  ◇中谷卓也:大門正明    ◇遠山芳江:美保純(他)【第3話】“慰謝料”を勝ち取って、人生の再出発を後押してくれる弁護士・袴田幸男(田中直樹)。今回の依頼人は、一人娘の結婚を機に離婚を決意した専業主婦・西園寺文子(沢田亜矢子)。文子は袴田の指導でこの1年、離婚に向けて準備を"&amp;"してきたが、完璧な“熟年離婚”まであと一息というところで、横暴な夫の仕打ちに耐えられず、ついに家を出てしまう。一方、夫・正(小野武彦)は頑なに離婚を拒否するが…。【主題歌】  「泣きたい僕ら」fumika&lt;1月29日リリース&gt;【原案】  『慰謝料上手にとれるかな?』(うえみあゆみ著/KADOKAWAエンターブレイン刊)  【脚本】  高橋美幸  【音楽】  井筒昭雄  ")</f>
        <v>◇袴田幸男:田中直樹(ココリコ)  ◇野々村香苗:矢田亜希子  ◇梅本くるみ:渡辺直美    ◇水谷沙羅:山田菜々(NMB48)  ◇田畑美里:高嶋香帆  ◇篠塚里奈:岩崎名美    ◇西園寺文子:沢田亜矢子  ◇西園寺正:小野武彦  ◇中谷卓也:大門正明    ◇遠山芳江:美保純(他)【第3話】“慰謝料”を勝ち取って、人生の再出発を後押してくれる弁護士・袴田幸男(田中直樹)。今回の依頼人は、一人娘の結婚を機に離婚を決意した専業主婦・西園寺文子(沢田亜矢子)。文子は袴田の指導でこの1年、離婚に向けて準備をしてきたが、完璧な“熟年離婚”まであと一息というところで、横暴な夫の仕打ちに耐えられず、ついに家を出てしまう。一方、夫・正(小野武彦)は頑なに離婚を拒否するが…。【主題歌】  「泣きたい僕ら」fumika&lt;1月29日リリース&gt;【原案】  『慰謝料上手にとれるかな?』(うえみあゆみ著/KADOKAWAエンターブレイン刊)  【脚本】  高橋美幸  【音楽】  井筒昭雄  </v>
      </c>
      <c r="N3965" s="2"/>
      <c r="O3965" s="2"/>
      <c r="P3965" s="1"/>
      <c r="Q3965" s="1"/>
      <c r="R3965" s="1"/>
      <c r="S3965" s="1"/>
      <c r="T3965" s="1"/>
      <c r="U3965" s="1"/>
      <c r="V3965" s="1"/>
      <c r="W3965" s="1"/>
      <c r="X3965" s="1"/>
      <c r="Y3965" s="1"/>
      <c r="Z3965" s="1"/>
      <c r="AA3965" s="1"/>
      <c r="AB3965" s="1"/>
      <c r="AC3965" s="1"/>
      <c r="AD3965" s="1"/>
      <c r="AE3965" s="1"/>
      <c r="AF3965" s="1"/>
      <c r="AG3965" s="1"/>
      <c r="AH3965" s="1"/>
      <c r="AI3965" s="1"/>
      <c r="AJ3965" s="1"/>
      <c r="AK3965" s="1"/>
      <c r="AL3965" s="1"/>
      <c r="AM3965" s="1"/>
      <c r="AN3965" s="1"/>
      <c r="AO3965" s="1"/>
      <c r="AP3965" s="1"/>
      <c r="AQ3965" s="1"/>
      <c r="AR3965" s="1"/>
      <c r="AS3965" s="1"/>
      <c r="AT3965" s="1"/>
      <c r="AU3965" s="1"/>
      <c r="AV3965" s="1"/>
      <c r="AW3965" s="1"/>
      <c r="AX3965" s="1"/>
      <c r="AY3965" s="1"/>
      <c r="AZ3965" s="1"/>
      <c r="BA3965" s="1"/>
      <c r="BB3965" s="1"/>
    </row>
    <row r="3966" ht="204.75" customHeight="1">
      <c r="A3966" s="1">
        <v>2966.0</v>
      </c>
      <c r="B3966" s="2" t="s">
        <v>11831</v>
      </c>
      <c r="C3966" s="2">
        <f>IFERROR(__xludf.DUMMYFUNCTION("split(B3966,""_"")"),1401.0)</f>
        <v>1401</v>
      </c>
      <c r="D3966" s="2" t="str">
        <f>IFERROR(__xludf.DUMMYFUNCTION("""COMPUTED_VALUE"""),"NTV")</f>
        <v>NTV</v>
      </c>
      <c r="E3966" s="2" t="str">
        <f>IFERROR(__xludf.DUMMYFUNCTION("""COMPUTED_VALUE"""),"木23")</f>
        <v>木23</v>
      </c>
      <c r="F3966" s="2" t="s">
        <v>11832</v>
      </c>
      <c r="G3966" s="2" t="s">
        <v>11839</v>
      </c>
      <c r="H3966" s="1">
        <v>4.0</v>
      </c>
      <c r="J3966" s="1" t="s">
        <v>1435</v>
      </c>
      <c r="K3966" s="2" t="s">
        <v>11840</v>
      </c>
      <c r="L3966" s="2"/>
      <c r="M3966" s="2" t="str">
        <f>IFERROR(__xludf.DUMMYFUNCTION("split(split(K3966,""【演出"",false),""ほか"",false)"),"◇袴田幸男:田中直樹(ココリコ)  ◇野々村香苗:矢田亜希子  ◇梅本くるみ:渡辺直美    ◇水谷沙羅:山田菜々(NMB48)  ◇田畑美里:高嶋香帆  ◇篠塚里奈:岩崎名美    ◇市川美咲:遊井亮子  ◇市川友宏:東根作寿英    ◇遠山芳江:美保純(他)【第4話】“慰謝料”を勝ち取って、人生の再出発を後押してくれる弁護士・袴田幸男(田中直樹)。今回の依頼人は、妻のDV、モラルハラスメント、家事放棄、そして浪費に思い悩む、気弱な夫・市川友宏(東根作寿英)。しかし、袴田の指示で離婚を宣言しても“夫は金"&amp;"づる”、絶対に離婚はしないと、妻・美咲(遊井亮子)のモンスターぶりはエスカレートするばかり。しかし、袴田には思惑があった…。【主題歌】  「泣きたい僕ら」fumika&lt;USENリクエストチャート5位獲得!大好評発売中!&gt;【原案】  『慰謝料上手にとれるかな?』(うえみあゆみ著/KADOKAWAエンターブレイン刊)  【脚本】  小峯裕之  【音楽】  井筒昭雄  ")</f>
        <v>◇袴田幸男:田中直樹(ココリコ)  ◇野々村香苗:矢田亜希子  ◇梅本くるみ:渡辺直美    ◇水谷沙羅:山田菜々(NMB48)  ◇田畑美里:高嶋香帆  ◇篠塚里奈:岩崎名美    ◇市川美咲:遊井亮子  ◇市川友宏:東根作寿英    ◇遠山芳江:美保純(他)【第4話】“慰謝料”を勝ち取って、人生の再出発を後押してくれる弁護士・袴田幸男(田中直樹)。今回の依頼人は、妻のDV、モラルハラスメント、家事放棄、そして浪費に思い悩む、気弱な夫・市川友宏(東根作寿英)。しかし、袴田の指示で離婚を宣言しても“夫は金づる”、絶対に離婚はしないと、妻・美咲(遊井亮子)のモンスターぶりはエスカレートするばかり。しかし、袴田には思惑があった…。【主題歌】  「泣きたい僕ら」fumika&lt;USENリクエストチャート5位獲得!大好評発売中!&gt;【原案】  『慰謝料上手にとれるかな?』(うえみあゆみ著/KADOKAWAエンターブレイン刊)  【脚本】  小峯裕之  【音楽】  井筒昭雄  </v>
      </c>
      <c r="N3966" s="2"/>
      <c r="O3966" s="2"/>
      <c r="P3966" s="1"/>
      <c r="Q3966" s="1"/>
      <c r="R3966" s="1"/>
      <c r="S3966" s="1"/>
      <c r="T3966" s="1"/>
      <c r="U3966" s="1"/>
      <c r="V3966" s="1"/>
      <c r="W3966" s="1"/>
      <c r="X3966" s="1"/>
      <c r="Y3966" s="1"/>
      <c r="Z3966" s="1"/>
      <c r="AA3966" s="1"/>
      <c r="AB3966" s="1"/>
      <c r="AC3966" s="1"/>
      <c r="AD3966" s="1"/>
      <c r="AE3966" s="1"/>
      <c r="AF3966" s="1"/>
      <c r="AG3966" s="1"/>
      <c r="AH3966" s="1"/>
      <c r="AI3966" s="1"/>
      <c r="AJ3966" s="1"/>
      <c r="AK3966" s="1"/>
      <c r="AL3966" s="1"/>
      <c r="AM3966" s="1"/>
      <c r="AN3966" s="1"/>
      <c r="AO3966" s="1"/>
      <c r="AP3966" s="1"/>
      <c r="AQ3966" s="1"/>
      <c r="AR3966" s="1"/>
      <c r="AS3966" s="1"/>
      <c r="AT3966" s="1"/>
      <c r="AU3966" s="1"/>
      <c r="AV3966" s="1"/>
      <c r="AW3966" s="1"/>
      <c r="AX3966" s="1"/>
      <c r="AY3966" s="1"/>
      <c r="AZ3966" s="1"/>
      <c r="BA3966" s="1"/>
      <c r="BB3966" s="1"/>
    </row>
    <row r="3967" ht="204.75" customHeight="1">
      <c r="A3967" s="1">
        <v>2970.0</v>
      </c>
      <c r="B3967" s="2" t="s">
        <v>11831</v>
      </c>
      <c r="C3967" s="2">
        <f>IFERROR(__xludf.DUMMYFUNCTION("split(B3967,""_"")"),1401.0)</f>
        <v>1401</v>
      </c>
      <c r="D3967" s="2" t="str">
        <f>IFERROR(__xludf.DUMMYFUNCTION("""COMPUTED_VALUE"""),"NTV")</f>
        <v>NTV</v>
      </c>
      <c r="E3967" s="2" t="str">
        <f>IFERROR(__xludf.DUMMYFUNCTION("""COMPUTED_VALUE"""),"木23")</f>
        <v>木23</v>
      </c>
      <c r="F3967" s="2" t="s">
        <v>11832</v>
      </c>
      <c r="G3967" s="2" t="s">
        <v>11841</v>
      </c>
      <c r="H3967" s="1">
        <v>8.0</v>
      </c>
      <c r="J3967" s="1" t="s">
        <v>1435</v>
      </c>
      <c r="K3967" s="2" t="s">
        <v>11842</v>
      </c>
      <c r="L3967" s="2"/>
      <c r="M3967" s="2" t="str">
        <f>IFERROR(__xludf.DUMMYFUNCTION("split(split(K3967,""【演出"",false),""ほか"",false)"),"◇袴田幸男:田中直樹(ココリコ)  ◇野々村香苗:矢田亜希子  ◇梅本くるみ:渡辺直美    ◇水谷沙羅:山田菜々(NMB48)  ◇田畑美里:高嶋香帆  ◇篠塚里奈:岩崎名美    ◇坂上剛士:河相我聞  ◇坂上いずみ:宮地真緒    ◇東海林弁護士:エド・はるみ    ◇遠山芳江:美保純(他)【第8話】慰謝料弁護士・袴田幸男(田中直樹)に、小さな子供たちの友達ができた…!?ところが、今回のクライアントは事もあろうか、その子供たちの父親・坂上剛士(河相我聞)。彼は1年前、会社をリストラされて専業主夫をし"&amp;"ていたが、この度、キャリアウーマンの妻・いずみ(宮地真緒)から三行半を突きつけられてしまった。しかも、大切な子供たちの親権も奪われそうで…。果たして、坂上家の子供たちの未来は…!?【主題歌】  「泣きたい僕ら」fumika【原案】  『慰謝料上手にとれるかな?』(うえみあゆみ著/KADOKAWAエンターブレイン刊)  【脚本】  千葉美鈴  【音楽】  井筒昭雄  ")</f>
        <v>◇袴田幸男:田中直樹(ココリコ)  ◇野々村香苗:矢田亜希子  ◇梅本くるみ:渡辺直美    ◇水谷沙羅:山田菜々(NMB48)  ◇田畑美里:高嶋香帆  ◇篠塚里奈:岩崎名美    ◇坂上剛士:河相我聞  ◇坂上いずみ:宮地真緒    ◇東海林弁護士:エド・はるみ    ◇遠山芳江:美保純(他)【第8話】慰謝料弁護士・袴田幸男(田中直樹)に、小さな子供たちの友達ができた…!?ところが、今回のクライアントは事もあろうか、その子供たちの父親・坂上剛士(河相我聞)。彼は1年前、会社をリストラされて専業主夫をしていたが、この度、キャリアウーマンの妻・いずみ(宮地真緒)から三行半を突きつけられてしまった。しかも、大切な子供たちの親権も奪われそうで…。果たして、坂上家の子供たちの未来は…!?【主題歌】  「泣きたい僕ら」fumika【原案】  『慰謝料上手にとれるかな?』(うえみあゆみ著/KADOKAWAエンターブレイン刊)  【脚本】  千葉美鈴  【音楽】  井筒昭雄  </v>
      </c>
      <c r="N3967" s="2"/>
      <c r="O3967" s="2"/>
      <c r="P3967" s="1"/>
      <c r="Q3967" s="1"/>
      <c r="R3967" s="1"/>
      <c r="S3967" s="1"/>
      <c r="T3967" s="1"/>
      <c r="U3967" s="1"/>
      <c r="V3967" s="1"/>
      <c r="W3967" s="1"/>
      <c r="X3967" s="1"/>
      <c r="Y3967" s="1"/>
      <c r="Z3967" s="1"/>
      <c r="AA3967" s="1"/>
      <c r="AB3967" s="1"/>
      <c r="AC3967" s="1"/>
      <c r="AD3967" s="1"/>
      <c r="AE3967" s="1"/>
      <c r="AF3967" s="1"/>
      <c r="AG3967" s="1"/>
      <c r="AH3967" s="1"/>
      <c r="AI3967" s="1"/>
      <c r="AJ3967" s="1"/>
      <c r="AK3967" s="1"/>
      <c r="AL3967" s="1"/>
      <c r="AM3967" s="1"/>
      <c r="AN3967" s="1"/>
      <c r="AO3967" s="1"/>
      <c r="AP3967" s="1"/>
      <c r="AQ3967" s="1"/>
      <c r="AR3967" s="1"/>
      <c r="AS3967" s="1"/>
      <c r="AT3967" s="1"/>
      <c r="AU3967" s="1"/>
      <c r="AV3967" s="1"/>
      <c r="AW3967" s="1"/>
      <c r="AX3967" s="1"/>
      <c r="AY3967" s="1"/>
      <c r="AZ3967" s="1"/>
      <c r="BA3967" s="1"/>
      <c r="BB3967" s="1"/>
    </row>
    <row r="3968" ht="204.75" customHeight="1">
      <c r="A3968" s="1">
        <v>2971.0</v>
      </c>
      <c r="B3968" s="2" t="s">
        <v>11831</v>
      </c>
      <c r="C3968" s="2">
        <f>IFERROR(__xludf.DUMMYFUNCTION("split(B3968,""_"")"),1401.0)</f>
        <v>1401</v>
      </c>
      <c r="D3968" s="2" t="str">
        <f>IFERROR(__xludf.DUMMYFUNCTION("""COMPUTED_VALUE"""),"NTV")</f>
        <v>NTV</v>
      </c>
      <c r="E3968" s="2" t="str">
        <f>IFERROR(__xludf.DUMMYFUNCTION("""COMPUTED_VALUE"""),"木23")</f>
        <v>木23</v>
      </c>
      <c r="F3968" s="2" t="s">
        <v>11832</v>
      </c>
      <c r="G3968" s="2" t="s">
        <v>11843</v>
      </c>
      <c r="H3968" s="1">
        <v>9.0</v>
      </c>
      <c r="J3968" s="1" t="s">
        <v>1435</v>
      </c>
      <c r="K3968" s="2" t="s">
        <v>11844</v>
      </c>
      <c r="L3968" s="2"/>
      <c r="M3968" s="2" t="str">
        <f>IFERROR(__xludf.DUMMYFUNCTION("split(split(K3968,""【演出"",false),""ほか"",false)"),"◇袴田幸男:田中直樹(ココリコ)  ◇野々村香苗:矢田亜希子  ◇梅本くるみ:渡辺直美    ◇水谷沙羅:山田菜々(NMB48)  ◇田畑美里:高嶋香帆  ◇篠塚里奈:岩崎名美    ◇西嶋葵:MEGUMI  ◇平野知美:嘉門洋子  ◇平野康平:山田将之  ◇藤岡茂:浅見小四郎    ◇遠山芳江:美保純(他)【第9話】今回の依頼人は、事実婚の関係にある“夫”から、突然別れを告げられた美容師の西嶋葵(MEGUMI)。慰謝料弁護士・袴田幸男(田中直樹)は事実婚でもその関係を証明できれば、慰謝料は取れると胸を張"&amp;"るが、その証拠を夫・平野康平(山田将之)に消され…。実は康平、重役の娘・知美(嘉門洋子)と法律上の結婚をしていた。しかも、知美は葵を康平の愛人と勘違いし、彼女から慰謝料を取ろうと袴田を訪ねてきた…!【主題歌】  「泣きたい僕ら」fumika【原案】  『慰謝料上手にとれるかな?』(うえみあゆみ著/KADOKAWAエンターブレイン刊)  【脚本】  千葉美鈴  【音楽】  井筒昭雄  ")</f>
        <v>◇袴田幸男:田中直樹(ココリコ)  ◇野々村香苗:矢田亜希子  ◇梅本くるみ:渡辺直美    ◇水谷沙羅:山田菜々(NMB48)  ◇田畑美里:高嶋香帆  ◇篠塚里奈:岩崎名美    ◇西嶋葵:MEGUMI  ◇平野知美:嘉門洋子  ◇平野康平:山田将之  ◇藤岡茂:浅見小四郎    ◇遠山芳江:美保純(他)【第9話】今回の依頼人は、事実婚の関係にある“夫”から、突然別れを告げられた美容師の西嶋葵(MEGUMI)。慰謝料弁護士・袴田幸男(田中直樹)は事実婚でもその関係を証明できれば、慰謝料は取れると胸を張るが、その証拠を夫・平野康平(山田将之)に消され…。実は康平、重役の娘・知美(嘉門洋子)と法律上の結婚をしていた。しかも、知美は葵を康平の愛人と勘違いし、彼女から慰謝料を取ろうと袴田を訪ねてきた…!【主題歌】  「泣きたい僕ら」fumika【原案】  『慰謝料上手にとれるかな?』(うえみあゆみ著/KADOKAWAエンターブレイン刊)  【脚本】  千葉美鈴  【音楽】  井筒昭雄  </v>
      </c>
      <c r="N3968" s="2"/>
      <c r="O3968" s="2"/>
      <c r="P3968" s="1"/>
      <c r="Q3968" s="1"/>
      <c r="R3968" s="1"/>
      <c r="S3968" s="1"/>
      <c r="T3968" s="1"/>
      <c r="U3968" s="1"/>
      <c r="V3968" s="1"/>
      <c r="W3968" s="1"/>
      <c r="X3968" s="1"/>
      <c r="Y3968" s="1"/>
      <c r="Z3968" s="1"/>
      <c r="AA3968" s="1"/>
      <c r="AB3968" s="1"/>
      <c r="AC3968" s="1"/>
      <c r="AD3968" s="1"/>
      <c r="AE3968" s="1"/>
      <c r="AF3968" s="1"/>
      <c r="AG3968" s="1"/>
      <c r="AH3968" s="1"/>
      <c r="AI3968" s="1"/>
      <c r="AJ3968" s="1"/>
      <c r="AK3968" s="1"/>
      <c r="AL3968" s="1"/>
      <c r="AM3968" s="1"/>
      <c r="AN3968" s="1"/>
      <c r="AO3968" s="1"/>
      <c r="AP3968" s="1"/>
      <c r="AQ3968" s="1"/>
      <c r="AR3968" s="1"/>
      <c r="AS3968" s="1"/>
      <c r="AT3968" s="1"/>
      <c r="AU3968" s="1"/>
      <c r="AV3968" s="1"/>
      <c r="AW3968" s="1"/>
      <c r="AX3968" s="1"/>
      <c r="AY3968" s="1"/>
      <c r="AZ3968" s="1"/>
      <c r="BA3968" s="1"/>
      <c r="BB3968" s="1"/>
    </row>
    <row r="3969" ht="204.75" customHeight="1">
      <c r="A3969" s="1">
        <v>2972.0</v>
      </c>
      <c r="B3969" s="2" t="s">
        <v>11831</v>
      </c>
      <c r="C3969" s="2">
        <f>IFERROR(__xludf.DUMMYFUNCTION("split(B3969,""_"")"),1401.0)</f>
        <v>1401</v>
      </c>
      <c r="D3969" s="2" t="str">
        <f>IFERROR(__xludf.DUMMYFUNCTION("""COMPUTED_VALUE"""),"NTV")</f>
        <v>NTV</v>
      </c>
      <c r="E3969" s="2" t="str">
        <f>IFERROR(__xludf.DUMMYFUNCTION("""COMPUTED_VALUE"""),"木23")</f>
        <v>木23</v>
      </c>
      <c r="F3969" s="2" t="s">
        <v>11832</v>
      </c>
      <c r="G3969" s="2" t="s">
        <v>11845</v>
      </c>
      <c r="H3969" s="1">
        <v>10.0</v>
      </c>
      <c r="J3969" s="1" t="s">
        <v>1435</v>
      </c>
      <c r="K3969" s="2" t="s">
        <v>11846</v>
      </c>
      <c r="L3969" s="2"/>
      <c r="M3969" s="2" t="str">
        <f>IFERROR(__xludf.DUMMYFUNCTION("split(split(K3969,""【演出"",false),""ほか"",false)"),"◇袴田幸男:田中直樹(ココリコ)  ◇野々村香苗:矢田亜希子  ◇梅本くるみ:渡辺直美    ◇水谷沙羅:山田菜々(NMB48)  ◇田畑美里:高嶋香帆  ◇篠塚里奈:岩崎名美    ◇吉岡美紀:遠山景織子  ◇吉岡智枝:東てる美  ◇吉岡俊介:日栄洋祐  ◇久保ゆり子:倉田あみ    ◇遠山芳江:美保純(他)【第10話】今回の依頼人は、姑・智枝(東てる美)にいびられ、朝から晩まで自営の居酒屋でブラック企業並みに働かされている吉岡美紀(遠山景織子)。ついには夫の元カノまで家に招き入れ、比較される始末。夫・"&amp;"俊介(日栄洋祐)にも庇ってもらえず、美紀は離婚を決意したが…。果たして、嫁は姑から慰謝料を取れるのか!?一方、慰謝料弁護士・袴田幸男(田中直樹)は気づいていた。この“嫁いびり”には裏があることを…。【主題歌】  「泣きたい僕ら」fumika【原案】  『慰謝料上手にとれるかな?』(うえみあゆみ著/KADOKAWAエンターブレイン刊)  【脚本】  高橋美幸  【音楽】  井筒昭雄  ")</f>
        <v>◇袴田幸男:田中直樹(ココリコ)  ◇野々村香苗:矢田亜希子  ◇梅本くるみ:渡辺直美    ◇水谷沙羅:山田菜々(NMB48)  ◇田畑美里:高嶋香帆  ◇篠塚里奈:岩崎名美    ◇吉岡美紀:遠山景織子  ◇吉岡智枝:東てる美  ◇吉岡俊介:日栄洋祐  ◇久保ゆり子:倉田あみ    ◇遠山芳江:美保純(他)【第10話】今回の依頼人は、姑・智枝(東てる美)にいびられ、朝から晩まで自営の居酒屋でブラック企業並みに働かされている吉岡美紀(遠山景織子)。ついには夫の元カノまで家に招き入れ、比較される始末。夫・俊介(日栄洋祐)にも庇ってもらえず、美紀は離婚を決意したが…。果たして、嫁は姑から慰謝料を取れるのか!?一方、慰謝料弁護士・袴田幸男(田中直樹)は気づいていた。この“嫁いびり”には裏があることを…。【主題歌】  「泣きたい僕ら」fumika【原案】  『慰謝料上手にとれるかな?』(うえみあゆみ著/KADOKAWAエンターブレイン刊)  【脚本】  高橋美幸  【音楽】  井筒昭雄  </v>
      </c>
      <c r="N3969" s="2"/>
      <c r="O3969" s="2"/>
      <c r="P3969" s="1"/>
      <c r="Q3969" s="1"/>
      <c r="R3969" s="1"/>
      <c r="S3969" s="1"/>
      <c r="T3969" s="1"/>
      <c r="U3969" s="1"/>
      <c r="V3969" s="1"/>
      <c r="W3969" s="1"/>
      <c r="X3969" s="1"/>
      <c r="Y3969" s="1"/>
      <c r="Z3969" s="1"/>
      <c r="AA3969" s="1"/>
      <c r="AB3969" s="1"/>
      <c r="AC3969" s="1"/>
      <c r="AD3969" s="1"/>
      <c r="AE3969" s="1"/>
      <c r="AF3969" s="1"/>
      <c r="AG3969" s="1"/>
      <c r="AH3969" s="1"/>
      <c r="AI3969" s="1"/>
      <c r="AJ3969" s="1"/>
      <c r="AK3969" s="1"/>
      <c r="AL3969" s="1"/>
      <c r="AM3969" s="1"/>
      <c r="AN3969" s="1"/>
      <c r="AO3969" s="1"/>
      <c r="AP3969" s="1"/>
      <c r="AQ3969" s="1"/>
      <c r="AR3969" s="1"/>
      <c r="AS3969" s="1"/>
      <c r="AT3969" s="1"/>
      <c r="AU3969" s="1"/>
      <c r="AV3969" s="1"/>
      <c r="AW3969" s="1"/>
      <c r="AX3969" s="1"/>
      <c r="AY3969" s="1"/>
      <c r="AZ3969" s="1"/>
      <c r="BA3969" s="1"/>
      <c r="BB3969" s="1"/>
    </row>
    <row r="3970" ht="204.75" customHeight="1">
      <c r="A3970" s="1">
        <v>2973.0</v>
      </c>
      <c r="B3970" s="2" t="s">
        <v>11831</v>
      </c>
      <c r="C3970" s="2">
        <f>IFERROR(__xludf.DUMMYFUNCTION("split(B3970,""_"")"),1401.0)</f>
        <v>1401</v>
      </c>
      <c r="D3970" s="2" t="str">
        <f>IFERROR(__xludf.DUMMYFUNCTION("""COMPUTED_VALUE"""),"NTV")</f>
        <v>NTV</v>
      </c>
      <c r="E3970" s="2" t="str">
        <f>IFERROR(__xludf.DUMMYFUNCTION("""COMPUTED_VALUE"""),"木23")</f>
        <v>木23</v>
      </c>
      <c r="F3970" s="2" t="s">
        <v>11832</v>
      </c>
      <c r="G3970" s="2" t="s">
        <v>11847</v>
      </c>
      <c r="H3970" s="1">
        <v>11.0</v>
      </c>
      <c r="J3970" s="1" t="s">
        <v>1435</v>
      </c>
      <c r="K3970" s="2" t="s">
        <v>11848</v>
      </c>
      <c r="L3970" s="2"/>
      <c r="M3970" s="2" t="str">
        <f>IFERROR(__xludf.DUMMYFUNCTION("split(split(K3970,""【演出"",false),""ほか"",false)"),"◇袴田幸男:田中直樹(ココリコ)  ◇野々村香苗:矢田亜希子  ◇梅本くるみ:渡辺直美    ◇水谷沙羅:山田菜々(NMB48)  ◇田畑美里:高嶋香帆  ◇篠塚里奈:岩崎名美    ◇倉沢義人:永井大  ◇倉沢詩織:野村麻純    ◇本条隆司:渡辺裕之  ◇本条やよい:大路恵美    ◇袴田の元上司:北村晴男    ◇烏丸恵子:とよた真帆  ◇遠山芳江:美保純(他)【第11話】今回の依頼人は、倉沢義人(永井大)。事もあろうか、助手の野々村香苗(矢田亜希子)の元夫だ。またも浮気したのかと思いきや、再婚した"&amp;"元愛人・詩織(野村麻純)がダブル不倫をして、浮気相手の妻から慰謝料を請求されたという。複雑な香苗…。しかも袴田幸男(田中直樹)と相手方の弁護士・烏丸恵子(とよた真帆)は何やら訳アリのよう…。この恵子の登場で、袴田はやる気を失ってしまうが、果たして…。【主題歌】  「泣きたい僕ら」fumika【原案】  『慰謝料上手にとれるかな?』(うえみあゆみ著/KADOKAWAエンターブレイン刊)  【脚本】  森ハヤシ  【音楽】  井筒昭雄  ")</f>
        <v>◇袴田幸男:田中直樹(ココリコ)  ◇野々村香苗:矢田亜希子  ◇梅本くるみ:渡辺直美    ◇水谷沙羅:山田菜々(NMB48)  ◇田畑美里:高嶋香帆  ◇篠塚里奈:岩崎名美    ◇倉沢義人:永井大  ◇倉沢詩織:野村麻純    ◇本条隆司:渡辺裕之  ◇本条やよい:大路恵美    ◇袴田の元上司:北村晴男    ◇烏丸恵子:とよた真帆  ◇遠山芳江:美保純(他)【第11話】今回の依頼人は、倉沢義人(永井大)。事もあろうか、助手の野々村香苗(矢田亜希子)の元夫だ。またも浮気したのかと思いきや、再婚した元愛人・詩織(野村麻純)がダブル不倫をして、浮気相手の妻から慰謝料を請求されたという。複雑な香苗…。しかも袴田幸男(田中直樹)と相手方の弁護士・烏丸恵子(とよた真帆)は何やら訳アリのよう…。この恵子の登場で、袴田はやる気を失ってしまうが、果たして…。【主題歌】  「泣きたい僕ら」fumika【原案】  『慰謝料上手にとれるかな?』(うえみあゆみ著/KADOKAWAエンターブレイン刊)  【脚本】  森ハヤシ  【音楽】  井筒昭雄  </v>
      </c>
      <c r="N3970" s="2"/>
      <c r="O3970" s="2"/>
      <c r="P3970" s="1"/>
      <c r="Q3970" s="1"/>
      <c r="R3970" s="1"/>
      <c r="S3970" s="1"/>
      <c r="T3970" s="1"/>
      <c r="U3970" s="1"/>
      <c r="V3970" s="1"/>
      <c r="W3970" s="1"/>
      <c r="X3970" s="1"/>
      <c r="Y3970" s="1"/>
      <c r="Z3970" s="1"/>
      <c r="AA3970" s="1"/>
      <c r="AB3970" s="1"/>
      <c r="AC3970" s="1"/>
      <c r="AD3970" s="1"/>
      <c r="AE3970" s="1"/>
      <c r="AF3970" s="1"/>
      <c r="AG3970" s="1"/>
      <c r="AH3970" s="1"/>
      <c r="AI3970" s="1"/>
      <c r="AJ3970" s="1"/>
      <c r="AK3970" s="1"/>
      <c r="AL3970" s="1"/>
      <c r="AM3970" s="1"/>
      <c r="AN3970" s="1"/>
      <c r="AO3970" s="1"/>
      <c r="AP3970" s="1"/>
      <c r="AQ3970" s="1"/>
      <c r="AR3970" s="1"/>
      <c r="AS3970" s="1"/>
      <c r="AT3970" s="1"/>
      <c r="AU3970" s="1"/>
      <c r="AV3970" s="1"/>
      <c r="AW3970" s="1"/>
      <c r="AX3970" s="1"/>
      <c r="AY3970" s="1"/>
      <c r="AZ3970" s="1"/>
      <c r="BA3970" s="1"/>
      <c r="BB3970" s="1"/>
    </row>
    <row r="3971" ht="204.75" customHeight="1">
      <c r="A3971" s="1">
        <v>2974.0</v>
      </c>
      <c r="B3971" s="2" t="s">
        <v>11831</v>
      </c>
      <c r="C3971" s="2">
        <f>IFERROR(__xludf.DUMMYFUNCTION("split(B3971,""_"")"),1401.0)</f>
        <v>1401</v>
      </c>
      <c r="D3971" s="2" t="str">
        <f>IFERROR(__xludf.DUMMYFUNCTION("""COMPUTED_VALUE"""),"NTV")</f>
        <v>NTV</v>
      </c>
      <c r="E3971" s="2" t="str">
        <f>IFERROR(__xludf.DUMMYFUNCTION("""COMPUTED_VALUE"""),"木23")</f>
        <v>木23</v>
      </c>
      <c r="F3971" s="2" t="s">
        <v>11832</v>
      </c>
      <c r="G3971" s="2" t="s">
        <v>11849</v>
      </c>
      <c r="H3971" s="1">
        <v>12.0</v>
      </c>
      <c r="J3971" s="1" t="s">
        <v>1435</v>
      </c>
      <c r="K3971" s="2" t="s">
        <v>11850</v>
      </c>
      <c r="L3971" s="2"/>
      <c r="M3971" s="2" t="str">
        <f>IFERROR(__xludf.DUMMYFUNCTION("split(split(K3971,""【演出"",false),""ほか"",false)"),"◇袴田幸男:田中直樹(ココリコ)  ◇野々村香苗:矢田亜希子  ◇梅本くるみ:渡辺直美    ◇水谷沙羅:山田菜々(NMB48)  ◇田畑美里:高嶋香帆  ◇篠塚里奈:岩崎名美    ◇倉沢義人:永井大  ◇倉沢詩織:野村麻純    ◇本条隆司:渡辺裕之  ◇本条やよい:大路恵美    ◇バーテンダー:大沢樹生    ◇烏丸恵子:とよた真帆  ◇遠山芳江:美保純(他)【最終話】元カノのスゴ腕弁護士・烏丸恵子(とよた真帆)に宣戦布告した袴田(田中直樹)。助手の野々村香苗(矢田亜希子)たちとともに、本条隆司("&amp;"渡辺裕之)が浮気に積極的だった証拠集めに奔走するものの、恵子はかなりの強者…。調査は困難を極めるが、そんな中、有力な証人となるバーテンダー(大沢樹生)が見つかった!果たして…!?【主題歌】  「泣きたい僕ら」fumika【原案】  『慰謝料上手にとれるかな?』(うえみあゆみ著/KADOKAWAエンターブレイン刊)  【脚本】  森ハヤシ  【音楽】  井筒昭雄  ")</f>
        <v>◇袴田幸男:田中直樹(ココリコ)  ◇野々村香苗:矢田亜希子  ◇梅本くるみ:渡辺直美    ◇水谷沙羅:山田菜々(NMB48)  ◇田畑美里:高嶋香帆  ◇篠塚里奈:岩崎名美    ◇倉沢義人:永井大  ◇倉沢詩織:野村麻純    ◇本条隆司:渡辺裕之  ◇本条やよい:大路恵美    ◇バーテンダー:大沢樹生    ◇烏丸恵子:とよた真帆  ◇遠山芳江:美保純(他)【最終話】元カノのスゴ腕弁護士・烏丸恵子(とよた真帆)に宣戦布告した袴田(田中直樹)。助手の野々村香苗(矢田亜希子)たちとともに、本条隆司(渡辺裕之)が浮気に積極的だった証拠集めに奔走するものの、恵子はかなりの強者…。調査は困難を極めるが、そんな中、有力な証人となるバーテンダー(大沢樹生)が見つかった!果たして…!?【主題歌】  「泣きたい僕ら」fumika【原案】  『慰謝料上手にとれるかな?』(うえみあゆみ著/KADOKAWAエンターブレイン刊)  【脚本】  森ハヤシ  【音楽】  井筒昭雄  </v>
      </c>
      <c r="N3971" s="2"/>
      <c r="O3971" s="2"/>
      <c r="P3971" s="1"/>
      <c r="Q3971" s="1"/>
      <c r="R3971" s="1"/>
      <c r="S3971" s="1"/>
      <c r="T3971" s="1"/>
      <c r="U3971" s="1"/>
      <c r="V3971" s="1"/>
      <c r="W3971" s="1"/>
      <c r="X3971" s="1"/>
      <c r="Y3971" s="1"/>
      <c r="Z3971" s="1"/>
      <c r="AA3971" s="1"/>
      <c r="AB3971" s="1"/>
      <c r="AC3971" s="1"/>
      <c r="AD3971" s="1"/>
      <c r="AE3971" s="1"/>
      <c r="AF3971" s="1"/>
      <c r="AG3971" s="1"/>
      <c r="AH3971" s="1"/>
      <c r="AI3971" s="1"/>
      <c r="AJ3971" s="1"/>
      <c r="AK3971" s="1"/>
      <c r="AL3971" s="1"/>
      <c r="AM3971" s="1"/>
      <c r="AN3971" s="1"/>
      <c r="AO3971" s="1"/>
      <c r="AP3971" s="1"/>
      <c r="AQ3971" s="1"/>
      <c r="AR3971" s="1"/>
      <c r="AS3971" s="1"/>
      <c r="AT3971" s="1"/>
      <c r="AU3971" s="1"/>
      <c r="AV3971" s="1"/>
      <c r="AW3971" s="1"/>
      <c r="AX3971" s="1"/>
      <c r="AY3971" s="1"/>
      <c r="AZ3971" s="1"/>
      <c r="BA3971" s="1"/>
      <c r="BB3971" s="1"/>
    </row>
    <row r="3972" ht="204.75" customHeight="1">
      <c r="A3972" s="1">
        <v>3001.0</v>
      </c>
      <c r="B3972" s="2" t="s">
        <v>11851</v>
      </c>
      <c r="C3972" s="2">
        <f>IFERROR(__xludf.DUMMYFUNCTION("split(B3972,""_"")"),1401.0)</f>
        <v>1401</v>
      </c>
      <c r="D3972" s="2" t="str">
        <f>IFERROR(__xludf.DUMMYFUNCTION("""COMPUTED_VALUE"""),"NTV")</f>
        <v>NTV</v>
      </c>
      <c r="E3972" s="2" t="str">
        <f>IFERROR(__xludf.DUMMYFUNCTION("""COMPUTED_VALUE"""),"土21")</f>
        <v>土21</v>
      </c>
      <c r="F3972" s="2" t="s">
        <v>11852</v>
      </c>
      <c r="G3972" s="2" t="s">
        <v>11853</v>
      </c>
      <c r="H3972" s="1">
        <v>1.0</v>
      </c>
      <c r="I3972" s="1" t="s">
        <v>2868</v>
      </c>
      <c r="J3972" s="1" t="s">
        <v>4</v>
      </c>
      <c r="K3972" s="2" t="s">
        <v>11854</v>
      </c>
      <c r="L3972" s="2"/>
      <c r="M3972" s="2" t="str">
        <f>IFERROR(__xludf.DUMMYFUNCTION("split(split(K3972,""【演出"",false),""ほか"",false)"),"武井咲、TAKAHIRO(EXILE)・八嶋智人、徳重聡、濱田マリ、木下隆行、水沢エレナ・北川弘美、伊吹吾郎、YOU・佐野史郎、関根勤、柄本明　")</f>
        <v>武井咲、TAKAHIRO(EXILE)・八嶋智人、徳重聡、濱田マリ、木下隆行、水沢エレナ・北川弘美、伊吹吾郎、YOU・佐野史郎、関根勤、柄本明　</v>
      </c>
      <c r="N3972" s="2" t="str">
        <f>IFERROR(__xludf.DUMMYFUNCTION("""COMPUTED_VALUE"""),"  海月千波(武井咲)はキャリアでありながら「現場に出たい」と希望し、捜査一課18係に配属される。だが刑事達にとっては大迷惑!「キャリアの小娘など戦力外!」と、若手巡査・設楽恭介(TAKAHIRO)に千波のお守りを押し付け、捜査に参加させないよう仕向ける。  そんな折に中学生が殺される事件が発生。「戦力外」の千波も独自で捜査を開始。千波の情熱と意外な推理力に、設楽は心を動かされ捜査を手伝うことに…")</f>
        <v>  海月千波(武井咲)はキャリアでありながら「現場に出たい」と希望し、捜査一課18係に配属される。だが刑事達にとっては大迷惑!「キャリアの小娘など戦力外!」と、若手巡査・設楽恭介(TAKAHIRO)に千波のお守りを押し付け、捜査に参加させないよう仕向ける。  そんな折に中学生が殺される事件が発生。「戦力外」の千波も独自で捜査を開始。千波の情熱と意外な推理力に、設楽は心を動かされ捜査を手伝うことに…</v>
      </c>
      <c r="O3972" s="2"/>
      <c r="P3972" s="1"/>
      <c r="Q3972" s="1"/>
      <c r="R3972" s="1"/>
      <c r="S3972" s="1"/>
      <c r="T3972" s="1"/>
      <c r="U3972" s="1"/>
      <c r="V3972" s="1"/>
      <c r="W3972" s="1"/>
      <c r="X3972" s="1"/>
      <c r="Y3972" s="1"/>
      <c r="Z3972" s="1"/>
      <c r="AA3972" s="1"/>
      <c r="AB3972" s="1"/>
      <c r="AC3972" s="1"/>
      <c r="AD3972" s="1"/>
      <c r="AE3972" s="1"/>
      <c r="AF3972" s="1"/>
      <c r="AG3972" s="1"/>
      <c r="AH3972" s="1"/>
      <c r="AI3972" s="1"/>
      <c r="AJ3972" s="1"/>
      <c r="AK3972" s="1"/>
      <c r="AL3972" s="1"/>
      <c r="AM3972" s="1"/>
      <c r="AN3972" s="1"/>
      <c r="AO3972" s="1"/>
      <c r="AP3972" s="1"/>
      <c r="AQ3972" s="1"/>
      <c r="AR3972" s="1"/>
      <c r="AS3972" s="1"/>
      <c r="AT3972" s="1"/>
      <c r="AU3972" s="1"/>
      <c r="AV3972" s="1"/>
      <c r="AW3972" s="1"/>
      <c r="AX3972" s="1"/>
      <c r="AY3972" s="1"/>
      <c r="AZ3972" s="1"/>
      <c r="BA3972" s="1"/>
      <c r="BB3972" s="1"/>
    </row>
    <row r="3973" ht="204.75" customHeight="1">
      <c r="A3973" s="1">
        <v>3002.0</v>
      </c>
      <c r="B3973" s="2" t="s">
        <v>11851</v>
      </c>
      <c r="C3973" s="2">
        <f>IFERROR(__xludf.DUMMYFUNCTION("split(B3973,""_"")"),1401.0)</f>
        <v>1401</v>
      </c>
      <c r="D3973" s="2" t="str">
        <f>IFERROR(__xludf.DUMMYFUNCTION("""COMPUTED_VALUE"""),"NTV")</f>
        <v>NTV</v>
      </c>
      <c r="E3973" s="2" t="str">
        <f>IFERROR(__xludf.DUMMYFUNCTION("""COMPUTED_VALUE"""),"土21")</f>
        <v>土21</v>
      </c>
      <c r="F3973" s="2" t="s">
        <v>11852</v>
      </c>
      <c r="G3973" s="2" t="s">
        <v>11855</v>
      </c>
      <c r="H3973" s="1">
        <v>2.0</v>
      </c>
      <c r="I3973" s="1" t="s">
        <v>2872</v>
      </c>
      <c r="J3973" s="1" t="s">
        <v>11</v>
      </c>
      <c r="K3973" s="2" t="s">
        <v>11856</v>
      </c>
      <c r="L3973" s="2"/>
      <c r="M3973" s="2" t="str">
        <f>IFERROR(__xludf.DUMMYFUNCTION("split(split(K3973,""【演出"",false),""ほか"",false)"),"武井咲、TAKAHIRO(EXILE)・八嶋智人、徳重聡、濱田マリ、野間口徹、木下隆行、水沢エレナ・伊吹吾郎、北川弘美、小籔千豊、YOU・佐野史郎、関根勤、柄本明　")</f>
        <v>武井咲、TAKAHIRO(EXILE)・八嶋智人、徳重聡、濱田マリ、野間口徹、木下隆行、水沢エレナ・伊吹吾郎、北川弘美、小籔千豊、YOU・佐野史郎、関根勤、柄本明　</v>
      </c>
      <c r="N3973" s="2" t="str">
        <f>IFERROR(__xludf.DUMMYFUNCTION("""COMPUTED_VALUE"""),"早くも話題騒然!新感覚「非正統派」刑事ドラマ第2話!  警視庁キャリア組で推理オタクの千波(武井咲)と、おもり役の巡査・設楽(TAKAHIRO)の迷コンビに新たな事件が!  アパートで若い女性看護師の変死体が発見される。18係の刑事たちは自殺を装った他殺を疑う。現場には不自然に残された2つのケーキが…。  捜査に参加させてもらえない「戦力外」の千波は、看護師の勤務先の病院へ仮病を使って潜入するが…。")</f>
        <v>早くも話題騒然!新感覚「非正統派」刑事ドラマ第2話!  警視庁キャリア組で推理オタクの千波(武井咲)と、おもり役の巡査・設楽(TAKAHIRO)の迷コンビに新たな事件が!  アパートで若い女性看護師の変死体が発見される。18係の刑事たちは自殺を装った他殺を疑う。現場には不自然に残された2つのケーキが…。  捜査に参加させてもらえない「戦力外」の千波は、看護師の勤務先の病院へ仮病を使って潜入するが…。</v>
      </c>
      <c r="O3973" s="2"/>
      <c r="P3973" s="1"/>
      <c r="Q3973" s="1"/>
      <c r="R3973" s="1"/>
      <c r="S3973" s="1"/>
      <c r="T3973" s="1"/>
      <c r="U3973" s="1"/>
      <c r="V3973" s="1"/>
      <c r="W3973" s="1"/>
      <c r="X3973" s="1"/>
      <c r="Y3973" s="1"/>
      <c r="Z3973" s="1"/>
      <c r="AA3973" s="1"/>
      <c r="AB3973" s="1"/>
      <c r="AC3973" s="1"/>
      <c r="AD3973" s="1"/>
      <c r="AE3973" s="1"/>
      <c r="AF3973" s="1"/>
      <c r="AG3973" s="1"/>
      <c r="AH3973" s="1"/>
      <c r="AI3973" s="1"/>
      <c r="AJ3973" s="1"/>
      <c r="AK3973" s="1"/>
      <c r="AL3973" s="1"/>
      <c r="AM3973" s="1"/>
      <c r="AN3973" s="1"/>
      <c r="AO3973" s="1"/>
      <c r="AP3973" s="1"/>
      <c r="AQ3973" s="1"/>
      <c r="AR3973" s="1"/>
      <c r="AS3973" s="1"/>
      <c r="AT3973" s="1"/>
      <c r="AU3973" s="1"/>
      <c r="AV3973" s="1"/>
      <c r="AW3973" s="1"/>
      <c r="AX3973" s="1"/>
      <c r="AY3973" s="1"/>
      <c r="AZ3973" s="1"/>
      <c r="BA3973" s="1"/>
      <c r="BB3973" s="1"/>
    </row>
    <row r="3974" ht="204.75" customHeight="1">
      <c r="A3974" s="1">
        <v>3003.0</v>
      </c>
      <c r="B3974" s="2" t="s">
        <v>11851</v>
      </c>
      <c r="C3974" s="2">
        <f>IFERROR(__xludf.DUMMYFUNCTION("split(B3974,""_"")"),1401.0)</f>
        <v>1401</v>
      </c>
      <c r="D3974" s="2" t="str">
        <f>IFERROR(__xludf.DUMMYFUNCTION("""COMPUTED_VALUE"""),"NTV")</f>
        <v>NTV</v>
      </c>
      <c r="E3974" s="2" t="str">
        <f>IFERROR(__xludf.DUMMYFUNCTION("""COMPUTED_VALUE"""),"土21")</f>
        <v>土21</v>
      </c>
      <c r="F3974" s="2" t="s">
        <v>11852</v>
      </c>
      <c r="G3974" s="2" t="s">
        <v>11857</v>
      </c>
      <c r="H3974" s="1">
        <v>3.0</v>
      </c>
      <c r="I3974" s="1" t="s">
        <v>2876</v>
      </c>
      <c r="J3974" s="1" t="s">
        <v>11</v>
      </c>
      <c r="K3974" s="2" t="s">
        <v>11858</v>
      </c>
      <c r="L3974" s="2"/>
      <c r="M3974" s="2" t="str">
        <f>IFERROR(__xludf.DUMMYFUNCTION("split(split(K3974,""【演出"",false),""ほか"",false)"),"武井咲、TAKAHIRO(EXILE)・八嶋智人、徳重聡、濱田マリ、野間口徹、木下隆行、水沢エレナ・伊吹吾郎、北川弘美、小籔千豊、YOU・佐野史郎、関根勤、柄本明　")</f>
        <v>武井咲、TAKAHIRO(EXILE)・八嶋智人、徳重聡、濱田マリ、野間口徹、木下隆行、水沢エレナ・伊吹吾郎、北川弘美、小籔千豊、YOU・佐野史郎、関根勤、柄本明　</v>
      </c>
      <c r="N3974" s="2" t="str">
        <f>IFERROR(__xludf.DUMMYFUNCTION("""COMPUTED_VALUE"""),"「パトロールをしたい」という千波(武井咲)に付き合った設楽(TAKAHIRO)は、その帰り道に繁華街で何者かに突然殴られ、怪我を負い入院する。  そしてその映像がネットで公開され、18係は騒然となる。設楽は、他人を突然殴り倒して逃げ、その映像をネットに上げて楽しむ悪質な犯罪「ノックアウト・ゲーム」の標的となったのだった。  責任を感じた千波は、この手で犯人を捕まえると意気込むが…。")</f>
        <v>「パトロールをしたい」という千波(武井咲)に付き合った設楽(TAKAHIRO)は、その帰り道に繁華街で何者かに突然殴られ、怪我を負い入院する。  そしてその映像がネットで公開され、18係は騒然となる。設楽は、他人を突然殴り倒して逃げ、その映像をネットに上げて楽しむ悪質な犯罪「ノックアウト・ゲーム」の標的となったのだった。  責任を感じた千波は、この手で犯人を捕まえると意気込むが…。</v>
      </c>
      <c r="O3974" s="2"/>
      <c r="P3974" s="1"/>
      <c r="Q3974" s="1"/>
      <c r="R3974" s="1"/>
      <c r="S3974" s="1"/>
      <c r="T3974" s="1"/>
      <c r="U3974" s="1"/>
      <c r="V3974" s="1"/>
      <c r="W3974" s="1"/>
      <c r="X3974" s="1"/>
      <c r="Y3974" s="1"/>
      <c r="Z3974" s="1"/>
      <c r="AA3974" s="1"/>
      <c r="AB3974" s="1"/>
      <c r="AC3974" s="1"/>
      <c r="AD3974" s="1"/>
      <c r="AE3974" s="1"/>
      <c r="AF3974" s="1"/>
      <c r="AG3974" s="1"/>
      <c r="AH3974" s="1"/>
      <c r="AI3974" s="1"/>
      <c r="AJ3974" s="1"/>
      <c r="AK3974" s="1"/>
      <c r="AL3974" s="1"/>
      <c r="AM3974" s="1"/>
      <c r="AN3974" s="1"/>
      <c r="AO3974" s="1"/>
      <c r="AP3974" s="1"/>
      <c r="AQ3974" s="1"/>
      <c r="AR3974" s="1"/>
      <c r="AS3974" s="1"/>
      <c r="AT3974" s="1"/>
      <c r="AU3974" s="1"/>
      <c r="AV3974" s="1"/>
      <c r="AW3974" s="1"/>
      <c r="AX3974" s="1"/>
      <c r="AY3974" s="1"/>
      <c r="AZ3974" s="1"/>
      <c r="BA3974" s="1"/>
      <c r="BB3974" s="1"/>
    </row>
    <row r="3975" ht="204.75" customHeight="1">
      <c r="A3975" s="1">
        <v>3004.0</v>
      </c>
      <c r="B3975" s="2" t="s">
        <v>11851</v>
      </c>
      <c r="C3975" s="2">
        <f>IFERROR(__xludf.DUMMYFUNCTION("split(B3975,""_"")"),1401.0)</f>
        <v>1401</v>
      </c>
      <c r="D3975" s="2" t="str">
        <f>IFERROR(__xludf.DUMMYFUNCTION("""COMPUTED_VALUE"""),"NTV")</f>
        <v>NTV</v>
      </c>
      <c r="E3975" s="2" t="str">
        <f>IFERROR(__xludf.DUMMYFUNCTION("""COMPUTED_VALUE"""),"土21")</f>
        <v>土21</v>
      </c>
      <c r="F3975" s="2" t="s">
        <v>11852</v>
      </c>
      <c r="G3975" s="2" t="s">
        <v>11859</v>
      </c>
      <c r="H3975" s="1">
        <v>4.0</v>
      </c>
      <c r="I3975" s="1" t="s">
        <v>2880</v>
      </c>
      <c r="J3975" s="1" t="s">
        <v>11</v>
      </c>
      <c r="K3975" s="2" t="s">
        <v>11860</v>
      </c>
      <c r="L3975" s="2"/>
      <c r="M3975" s="2" t="str">
        <f>IFERROR(__xludf.DUMMYFUNCTION("split(split(K3975,""【演出"",false),""ほか"",false)"),"武井咲、TAKAHIRO・八嶋智人、徳重聡、濱田マリ、野間口徹、木下隆行、手塚とおる、渋谷謙人、水沢エレナ・伊吹吾郎、北川弘美、小籔千豊、YOU・佐野史郎、関根勤、柄本明　")</f>
        <v>武井咲、TAKAHIRO・八嶋智人、徳重聡、濱田マリ、野間口徹、木下隆行、手塚とおる、渋谷謙人、水沢エレナ・伊吹吾郎、北川弘美、小籔千豊、YOU・佐野史郎、関根勤、柄本明　</v>
      </c>
      <c r="N3975" s="2" t="str">
        <f>IFERROR(__xludf.DUMMYFUNCTION("""COMPUTED_VALUE"""),"ある商店街の商店会事務所にあった金庫から、950万円のうち300万円だけが盗まれるという奇妙な事件が起こる。  18係では戦力外扱いで捜査に参加させてもらえなかった千波(武井咲)と設楽(TAKAHIRO)だったが、一転して捜査現場に参加するよう指令を受ける。  待ちに待った現場の仕事に、瞳を輝かせて張り切る千波だが、千波を快く思わない井上管理官(小籔千豊)には別の思惑があった…。")</f>
        <v>ある商店街の商店会事務所にあった金庫から、950万円のうち300万円だけが盗まれるという奇妙な事件が起こる。  18係では戦力外扱いで捜査に参加させてもらえなかった千波(武井咲)と設楽(TAKAHIRO)だったが、一転して捜査現場に参加するよう指令を受ける。  待ちに待った現場の仕事に、瞳を輝かせて張り切る千波だが、千波を快く思わない井上管理官(小籔千豊)には別の思惑があった…。</v>
      </c>
      <c r="O3975" s="2"/>
      <c r="P3975" s="1"/>
      <c r="Q3975" s="1"/>
      <c r="R3975" s="1"/>
      <c r="S3975" s="1"/>
      <c r="T3975" s="1"/>
      <c r="U3975" s="1"/>
      <c r="V3975" s="1"/>
      <c r="W3975" s="1"/>
      <c r="X3975" s="1"/>
      <c r="Y3975" s="1"/>
      <c r="Z3975" s="1"/>
      <c r="AA3975" s="1"/>
      <c r="AB3975" s="1"/>
      <c r="AC3975" s="1"/>
      <c r="AD3975" s="1"/>
      <c r="AE3975" s="1"/>
      <c r="AF3975" s="1"/>
      <c r="AG3975" s="1"/>
      <c r="AH3975" s="1"/>
      <c r="AI3975" s="1"/>
      <c r="AJ3975" s="1"/>
      <c r="AK3975" s="1"/>
      <c r="AL3975" s="1"/>
      <c r="AM3975" s="1"/>
      <c r="AN3975" s="1"/>
      <c r="AO3975" s="1"/>
      <c r="AP3975" s="1"/>
      <c r="AQ3975" s="1"/>
      <c r="AR3975" s="1"/>
      <c r="AS3975" s="1"/>
      <c r="AT3975" s="1"/>
      <c r="AU3975" s="1"/>
      <c r="AV3975" s="1"/>
      <c r="AW3975" s="1"/>
      <c r="AX3975" s="1"/>
      <c r="AY3975" s="1"/>
      <c r="AZ3975" s="1"/>
      <c r="BA3975" s="1"/>
      <c r="BB3975" s="1"/>
    </row>
    <row r="3976" ht="204.75" customHeight="1">
      <c r="A3976" s="1">
        <v>3005.0</v>
      </c>
      <c r="B3976" s="2" t="s">
        <v>11851</v>
      </c>
      <c r="C3976" s="2">
        <f>IFERROR(__xludf.DUMMYFUNCTION("split(B3976,""_"")"),1401.0)</f>
        <v>1401</v>
      </c>
      <c r="D3976" s="2" t="str">
        <f>IFERROR(__xludf.DUMMYFUNCTION("""COMPUTED_VALUE"""),"NTV")</f>
        <v>NTV</v>
      </c>
      <c r="E3976" s="2" t="str">
        <f>IFERROR(__xludf.DUMMYFUNCTION("""COMPUTED_VALUE"""),"土21")</f>
        <v>土21</v>
      </c>
      <c r="F3976" s="2" t="s">
        <v>11852</v>
      </c>
      <c r="G3976" s="2" t="s">
        <v>11861</v>
      </c>
      <c r="H3976" s="1">
        <v>5.0</v>
      </c>
      <c r="I3976" s="1" t="s">
        <v>2884</v>
      </c>
      <c r="J3976" s="1" t="s">
        <v>11</v>
      </c>
      <c r="K3976" s="2" t="s">
        <v>11862</v>
      </c>
      <c r="L3976" s="2"/>
      <c r="M3976" s="2" t="str">
        <f>IFERROR(__xludf.DUMMYFUNCTION("split(split(K3976,""【演出"",false),""ほか"",false)"),"武井咲、TAKAHIRO・八嶋智人、徳重聡、濱田マリ、野間口徹、木下隆行、手塚とおる、渋谷謙人、水沢エレナ・伊吹吾郎、北川弘美、小籔千豊、YOU・佐野史郎、関根勤、柄本明　")</f>
        <v>武井咲、TAKAHIRO・八嶋智人、徳重聡、濱田マリ、野間口徹、木下隆行、手塚とおる、渋谷謙人、水沢エレナ・伊吹吾郎、北川弘美、小籔千豊、YOU・佐野史郎、関根勤、柄本明　</v>
      </c>
      <c r="N3976" s="2" t="str">
        <f>IFERROR(__xludf.DUMMYFUNCTION("""COMPUTED_VALUE"""),"千波(武井咲)&amp;設楽(TAKAHIRO)コンビに新たな試練が!  独自の捜査で事件を解決してきた千波&amp;設楽だが、その警察官らしからぬ手法が原因でついに二人に謹慎処分が下る!　  謹慎中、ひょんなことから千波と設楽は空手道場の子供たちを連れて、TVで人気の戦隊番組「デカシューター」のヒーローショーを観に遊園地に行くことになるのだが、ショーに出演予定のスーツアクターが殺されるという事件に出くわすことに。")</f>
        <v>千波(武井咲)&amp;設楽(TAKAHIRO)コンビに新たな試練が!  独自の捜査で事件を解決してきた千波&amp;設楽だが、その警察官らしからぬ手法が原因でついに二人に謹慎処分が下る!　  謹慎中、ひょんなことから千波と設楽は空手道場の子供たちを連れて、TVで人気の戦隊番組「デカシューター」のヒーローショーを観に遊園地に行くことになるのだが、ショーに出演予定のスーツアクターが殺されるという事件に出くわすことに。</v>
      </c>
      <c r="O3976" s="2"/>
      <c r="P3976" s="1"/>
      <c r="Q3976" s="1"/>
      <c r="R3976" s="1"/>
      <c r="S3976" s="1"/>
      <c r="T3976" s="1"/>
      <c r="U3976" s="1"/>
      <c r="V3976" s="1"/>
      <c r="W3976" s="1"/>
      <c r="X3976" s="1"/>
      <c r="Y3976" s="1"/>
      <c r="Z3976" s="1"/>
      <c r="AA3976" s="1"/>
      <c r="AB3976" s="1"/>
      <c r="AC3976" s="1"/>
      <c r="AD3976" s="1"/>
      <c r="AE3976" s="1"/>
      <c r="AF3976" s="1"/>
      <c r="AG3976" s="1"/>
      <c r="AH3976" s="1"/>
      <c r="AI3976" s="1"/>
      <c r="AJ3976" s="1"/>
      <c r="AK3976" s="1"/>
      <c r="AL3976" s="1"/>
      <c r="AM3976" s="1"/>
      <c r="AN3976" s="1"/>
      <c r="AO3976" s="1"/>
      <c r="AP3976" s="1"/>
      <c r="AQ3976" s="1"/>
      <c r="AR3976" s="1"/>
      <c r="AS3976" s="1"/>
      <c r="AT3976" s="1"/>
      <c r="AU3976" s="1"/>
      <c r="AV3976" s="1"/>
      <c r="AW3976" s="1"/>
      <c r="AX3976" s="1"/>
      <c r="AY3976" s="1"/>
      <c r="AZ3976" s="1"/>
      <c r="BA3976" s="1"/>
      <c r="BB3976" s="1"/>
    </row>
    <row r="3977" ht="204.75" customHeight="1">
      <c r="A3977" s="1">
        <v>3006.0</v>
      </c>
      <c r="B3977" s="2" t="s">
        <v>11851</v>
      </c>
      <c r="C3977" s="2">
        <f>IFERROR(__xludf.DUMMYFUNCTION("split(B3977,""_"")"),1401.0)</f>
        <v>1401</v>
      </c>
      <c r="D3977" s="2" t="str">
        <f>IFERROR(__xludf.DUMMYFUNCTION("""COMPUTED_VALUE"""),"NTV")</f>
        <v>NTV</v>
      </c>
      <c r="E3977" s="2" t="str">
        <f>IFERROR(__xludf.DUMMYFUNCTION("""COMPUTED_VALUE"""),"土21")</f>
        <v>土21</v>
      </c>
      <c r="F3977" s="2" t="s">
        <v>11852</v>
      </c>
      <c r="G3977" s="2" t="s">
        <v>11863</v>
      </c>
      <c r="H3977" s="1">
        <v>6.0</v>
      </c>
      <c r="I3977" s="1" t="s">
        <v>2888</v>
      </c>
      <c r="J3977" s="1" t="s">
        <v>11</v>
      </c>
      <c r="K3977" s="2" t="s">
        <v>11864</v>
      </c>
      <c r="L3977" s="2"/>
      <c r="M3977" s="2" t="str">
        <f>IFERROR(__xludf.DUMMYFUNCTION("split(split(K3977,""【演出"",false),""ほか"",false)"),"武井咲、TAKAHIRO・八嶋智人、徳重聡、濱田マリ、野間口徹、木下隆行、手塚とおる、渋谷謙人、水沢エレナ・伊吹吾郎、北川弘美、小籔千豊、YOU・佐野史郎、関根勤、柄本明　")</f>
        <v>武井咲、TAKAHIRO・八嶋智人、徳重聡、濱田マリ、野間口徹、木下隆行、手塚とおる、渋谷謙人、水沢エレナ・伊吹吾郎、北川弘美、小籔千豊、YOU・佐野史郎、関根勤、柄本明　</v>
      </c>
      <c r="N3977" s="2" t="str">
        <f>IFERROR(__xludf.DUMMYFUNCTION("""COMPUTED_VALUE"""),"推理オタク千波(武井咲)に強力なライバル登場!?  人気恋愛小説家が変死体で発見され、18係が捜査を開始する。千波達は第一発見者である家政婦の三田山に話を聞く。  初めは大人しく見えた三田山だが、実はその本性は千波顔負けの推理オタクだった!!三田山の独自の推理に18係は思わずタジタジ…。  そんな中、小説家のマネージャーが突如会見を行い、「自分はゴーストライターをしていた」と告白する。")</f>
        <v>推理オタク千波(武井咲)に強力なライバル登場!?  人気恋愛小説家が変死体で発見され、18係が捜査を開始する。千波達は第一発見者である家政婦の三田山に話を聞く。  初めは大人しく見えた三田山だが、実はその本性は千波顔負けの推理オタクだった!!三田山の独自の推理に18係は思わずタジタジ…。  そんな中、小説家のマネージャーが突如会見を行い、「自分はゴーストライターをしていた」と告白する。</v>
      </c>
      <c r="O3977" s="2"/>
      <c r="P3977" s="1"/>
      <c r="Q3977" s="1"/>
      <c r="R3977" s="1"/>
      <c r="S3977" s="1"/>
      <c r="T3977" s="1"/>
      <c r="U3977" s="1"/>
      <c r="V3977" s="1"/>
      <c r="W3977" s="1"/>
      <c r="X3977" s="1"/>
      <c r="Y3977" s="1"/>
      <c r="Z3977" s="1"/>
      <c r="AA3977" s="1"/>
      <c r="AB3977" s="1"/>
      <c r="AC3977" s="1"/>
      <c r="AD3977" s="1"/>
      <c r="AE3977" s="1"/>
      <c r="AF3977" s="1"/>
      <c r="AG3977" s="1"/>
      <c r="AH3977" s="1"/>
      <c r="AI3977" s="1"/>
      <c r="AJ3977" s="1"/>
      <c r="AK3977" s="1"/>
      <c r="AL3977" s="1"/>
      <c r="AM3977" s="1"/>
      <c r="AN3977" s="1"/>
      <c r="AO3977" s="1"/>
      <c r="AP3977" s="1"/>
      <c r="AQ3977" s="1"/>
      <c r="AR3977" s="1"/>
      <c r="AS3977" s="1"/>
      <c r="AT3977" s="1"/>
      <c r="AU3977" s="1"/>
      <c r="AV3977" s="1"/>
      <c r="AW3977" s="1"/>
      <c r="AX3977" s="1"/>
      <c r="AY3977" s="1"/>
      <c r="AZ3977" s="1"/>
      <c r="BA3977" s="1"/>
      <c r="BB3977" s="1"/>
    </row>
    <row r="3978" ht="204.75" customHeight="1">
      <c r="A3978" s="1">
        <v>3007.0</v>
      </c>
      <c r="B3978" s="2" t="s">
        <v>11851</v>
      </c>
      <c r="C3978" s="2">
        <f>IFERROR(__xludf.DUMMYFUNCTION("split(B3978,""_"")"),1401.0)</f>
        <v>1401</v>
      </c>
      <c r="D3978" s="2" t="str">
        <f>IFERROR(__xludf.DUMMYFUNCTION("""COMPUTED_VALUE"""),"NTV")</f>
        <v>NTV</v>
      </c>
      <c r="E3978" s="2" t="str">
        <f>IFERROR(__xludf.DUMMYFUNCTION("""COMPUTED_VALUE"""),"土21")</f>
        <v>土21</v>
      </c>
      <c r="F3978" s="2" t="s">
        <v>11852</v>
      </c>
      <c r="G3978" s="2" t="s">
        <v>11865</v>
      </c>
      <c r="H3978" s="1">
        <v>7.0</v>
      </c>
      <c r="I3978" s="1" t="s">
        <v>2892</v>
      </c>
      <c r="J3978" s="1" t="s">
        <v>11</v>
      </c>
      <c r="K3978" s="2" t="s">
        <v>11866</v>
      </c>
      <c r="L3978" s="2"/>
      <c r="M3978" s="2" t="str">
        <f>IFERROR(__xludf.DUMMYFUNCTION("split(split(K3978,""【演出"",false),""ほか"",false)"),"武井咲、TAKAHIRO・八嶋智人、徳重聡、濱田マリ、野間口徹、木下隆行、手塚とおる、渋谷謙人、水沢エレナ・伊吹吾郎、北川弘美、小籔千豊、YOU・佐野史郎、関根勤、柄本明　")</f>
        <v>武井咲、TAKAHIRO・八嶋智人、徳重聡、濱田マリ、野間口徹、木下隆行、手塚とおる、渋谷謙人、水沢エレナ・伊吹吾郎、北川弘美、小籔千豊、YOU・佐野史郎、関根勤、柄本明　</v>
      </c>
      <c r="N3978" s="2" t="str">
        <f>IFERROR(__xludf.DUMMYFUNCTION("""COMPUTED_VALUE"""),"千波(武井咲)の父親・健夫(伊吹吾郎)が千波を装った振り込め詐欺の被害に。父親失格だ、と落ち込む健夫。それを見て設楽(TAKAHIRO)は憤り、犯人をこの手で捕まえようと意気込む。そこには、設楽の語らざる過去と「家族」というものに対する特別な思いがあった。だが、健夫の気持ちを知らない千波は、健夫に冷たく当たってしまい…  親子が互いに思う気持ちを利用した悪質な「振り込め詐欺」に千波と設楽が挑む!")</f>
        <v>千波(武井咲)の父親・健夫(伊吹吾郎)が千波を装った振り込め詐欺の被害に。父親失格だ、と落ち込む健夫。それを見て設楽(TAKAHIRO)は憤り、犯人をこの手で捕まえようと意気込む。そこには、設楽の語らざる過去と「家族」というものに対する特別な思いがあった。だが、健夫の気持ちを知らない千波は、健夫に冷たく当たってしまい…  親子が互いに思う気持ちを利用した悪質な「振り込め詐欺」に千波と設楽が挑む!</v>
      </c>
      <c r="O3978" s="2"/>
      <c r="P3978" s="1"/>
      <c r="Q3978" s="1"/>
      <c r="R3978" s="1"/>
      <c r="S3978" s="1"/>
      <c r="T3978" s="1"/>
      <c r="U3978" s="1"/>
      <c r="V3978" s="1"/>
      <c r="W3978" s="1"/>
      <c r="X3978" s="1"/>
      <c r="Y3978" s="1"/>
      <c r="Z3978" s="1"/>
      <c r="AA3978" s="1"/>
      <c r="AB3978" s="1"/>
      <c r="AC3978" s="1"/>
      <c r="AD3978" s="1"/>
      <c r="AE3978" s="1"/>
      <c r="AF3978" s="1"/>
      <c r="AG3978" s="1"/>
      <c r="AH3978" s="1"/>
      <c r="AI3978" s="1"/>
      <c r="AJ3978" s="1"/>
      <c r="AK3978" s="1"/>
      <c r="AL3978" s="1"/>
      <c r="AM3978" s="1"/>
      <c r="AN3978" s="1"/>
      <c r="AO3978" s="1"/>
      <c r="AP3978" s="1"/>
      <c r="AQ3978" s="1"/>
      <c r="AR3978" s="1"/>
      <c r="AS3978" s="1"/>
      <c r="AT3978" s="1"/>
      <c r="AU3978" s="1"/>
      <c r="AV3978" s="1"/>
      <c r="AW3978" s="1"/>
      <c r="AX3978" s="1"/>
      <c r="AY3978" s="1"/>
      <c r="AZ3978" s="1"/>
      <c r="BA3978" s="1"/>
      <c r="BB3978" s="1"/>
    </row>
    <row r="3979" ht="204.75" customHeight="1">
      <c r="A3979" s="1">
        <v>3008.0</v>
      </c>
      <c r="B3979" s="2" t="s">
        <v>11851</v>
      </c>
      <c r="C3979" s="2">
        <f>IFERROR(__xludf.DUMMYFUNCTION("split(B3979,""_"")"),1401.0)</f>
        <v>1401</v>
      </c>
      <c r="D3979" s="2" t="str">
        <f>IFERROR(__xludf.DUMMYFUNCTION("""COMPUTED_VALUE"""),"NTV")</f>
        <v>NTV</v>
      </c>
      <c r="E3979" s="2" t="str">
        <f>IFERROR(__xludf.DUMMYFUNCTION("""COMPUTED_VALUE"""),"土21")</f>
        <v>土21</v>
      </c>
      <c r="F3979" s="2" t="s">
        <v>11852</v>
      </c>
      <c r="G3979" s="2" t="s">
        <v>11867</v>
      </c>
      <c r="H3979" s="1">
        <v>8.0</v>
      </c>
      <c r="I3979" s="1" t="s">
        <v>2896</v>
      </c>
      <c r="J3979" s="1" t="s">
        <v>11</v>
      </c>
      <c r="K3979" s="2" t="s">
        <v>11868</v>
      </c>
      <c r="L3979" s="2"/>
      <c r="M3979" s="2" t="str">
        <f>IFERROR(__xludf.DUMMYFUNCTION("split(split(K3979,""【演出"",false),""ほか"",false)"),"武井咲、TAKAHIRO・八嶋智人、徳重聡、濱田マリ、野間口徹、木下隆行、手塚とおる、渋谷謙人、水沢エレナ・伊吹吾郎、北川弘美、小籔千豊、YOU・佐野史郎、関根勤、柄本明　")</f>
        <v>武井咲、TAKAHIRO・八嶋智人、徳重聡、濱田マリ、野間口徹、木下隆行、手塚とおる、渋谷謙人、水沢エレナ・伊吹吾郎、北川弘美、小籔千豊、YOU・佐野史郎、関根勤、柄本明　</v>
      </c>
      <c r="N3979" s="2" t="str">
        <f>IFERROR(__xludf.DUMMYFUNCTION("""COMPUTED_VALUE"""),"謎の男が18係の部屋に侵入、川萩係長(八嶋智人)を人質に立てこもる。  千波(武井咲)達は川萩係長の身の安全と18係の面子をかけて、この事件を誰にもバレないよう自分達で解決すると決意!…するがこんな緊急事態でもノンキな18係に犯人も川萩係長も怒りでワナワナ。  怨恨?復讐?それともただの愉快犯?わざわざ18係で立てこもる犯人の要求は?  いびつな交渉の果てに見えた犯人の目的は予想だにしないものだった…")</f>
        <v>謎の男が18係の部屋に侵入、川萩係長(八嶋智人)を人質に立てこもる。  千波(武井咲)達は川萩係長の身の安全と18係の面子をかけて、この事件を誰にもバレないよう自分達で解決すると決意!…するがこんな緊急事態でもノンキな18係に犯人も川萩係長も怒りでワナワナ。  怨恨?復讐?それともただの愉快犯?わざわざ18係で立てこもる犯人の要求は?  いびつな交渉の果てに見えた犯人の目的は予想だにしないものだった…</v>
      </c>
      <c r="O3979" s="2"/>
      <c r="P3979" s="1"/>
      <c r="Q3979" s="1"/>
      <c r="R3979" s="1"/>
      <c r="S3979" s="1"/>
      <c r="T3979" s="1"/>
      <c r="U3979" s="1"/>
      <c r="V3979" s="1"/>
      <c r="W3979" s="1"/>
      <c r="X3979" s="1"/>
      <c r="Y3979" s="1"/>
      <c r="Z3979" s="1"/>
      <c r="AA3979" s="1"/>
      <c r="AB3979" s="1"/>
      <c r="AC3979" s="1"/>
      <c r="AD3979" s="1"/>
      <c r="AE3979" s="1"/>
      <c r="AF3979" s="1"/>
      <c r="AG3979" s="1"/>
      <c r="AH3979" s="1"/>
      <c r="AI3979" s="1"/>
      <c r="AJ3979" s="1"/>
      <c r="AK3979" s="1"/>
      <c r="AL3979" s="1"/>
      <c r="AM3979" s="1"/>
      <c r="AN3979" s="1"/>
      <c r="AO3979" s="1"/>
      <c r="AP3979" s="1"/>
      <c r="AQ3979" s="1"/>
      <c r="AR3979" s="1"/>
      <c r="AS3979" s="1"/>
      <c r="AT3979" s="1"/>
      <c r="AU3979" s="1"/>
      <c r="AV3979" s="1"/>
      <c r="AW3979" s="1"/>
      <c r="AX3979" s="1"/>
      <c r="AY3979" s="1"/>
      <c r="AZ3979" s="1"/>
      <c r="BA3979" s="1"/>
      <c r="BB3979" s="1"/>
    </row>
    <row r="3980" ht="204.75" customHeight="1">
      <c r="A3980" s="1">
        <v>3009.0</v>
      </c>
      <c r="B3980" s="2" t="s">
        <v>11851</v>
      </c>
      <c r="C3980" s="2">
        <f>IFERROR(__xludf.DUMMYFUNCTION("split(B3980,""_"")"),1401.0)</f>
        <v>1401</v>
      </c>
      <c r="D3980" s="2" t="str">
        <f>IFERROR(__xludf.DUMMYFUNCTION("""COMPUTED_VALUE"""),"NTV")</f>
        <v>NTV</v>
      </c>
      <c r="E3980" s="2" t="str">
        <f>IFERROR(__xludf.DUMMYFUNCTION("""COMPUTED_VALUE"""),"土21")</f>
        <v>土21</v>
      </c>
      <c r="F3980" s="2" t="s">
        <v>11852</v>
      </c>
      <c r="G3980" s="2" t="s">
        <v>11869</v>
      </c>
      <c r="H3980" s="1">
        <v>9.0</v>
      </c>
      <c r="I3980" s="1" t="s">
        <v>2900</v>
      </c>
      <c r="J3980" s="1" t="s">
        <v>11</v>
      </c>
      <c r="K3980" s="2" t="s">
        <v>11870</v>
      </c>
      <c r="L3980" s="2"/>
      <c r="M3980" s="2" t="str">
        <f>IFERROR(__xludf.DUMMYFUNCTION("split(split(K3980,""【演出"",false),""ほか"",false)"),"武井咲、TAKAHIRO・八嶋智人、徳重聡、濱田マリ、野間口徹、木下隆行、手塚とおる、渋谷謙人、水沢エレナ・伊吹吾郎、北川弘美、小籔千豊、YOU・佐野史郎、関根勤、柄本明　")</f>
        <v>武井咲、TAKAHIRO・八嶋智人、徳重聡、濱田マリ、野間口徹、木下隆行、手塚とおる、渋谷謙人、水沢エレナ・伊吹吾郎、北川弘美、小籔千豊、YOU・佐野史郎、関根勤、柄本明　</v>
      </c>
      <c r="N3980" s="2" t="str">
        <f>IFERROR(__xludf.DUMMYFUNCTION("""COMPUTED_VALUE"""),"テレビ局のスタジオで殺人事件と通報を受けた18係。  だが現場には事件の形跡は一切ない。と、突如、クイズ番組に出演しろ、と伝えられる。  「出演は広報活動の一環」と説明され、半信半疑ながらも参加し、結局はしゃぎだすノンキな18係。この番組が警視庁をも巻き込む壮大な罠とも知らず…。  一体、誰が、何の為に、こんなことを!?  推理オタク千波(武井咲)の本領発揮!?予測不可能なクイズバトルが今始まる!")</f>
        <v>テレビ局のスタジオで殺人事件と通報を受けた18係。  だが現場には事件の形跡は一切ない。と、突如、クイズ番組に出演しろ、と伝えられる。  「出演は広報活動の一環」と説明され、半信半疑ながらも参加し、結局はしゃぎだすノンキな18係。この番組が警視庁をも巻き込む壮大な罠とも知らず…。  一体、誰が、何の為に、こんなことを!?  推理オタク千波(武井咲)の本領発揮!?予測不可能なクイズバトルが今始まる!</v>
      </c>
      <c r="O3980" s="2"/>
      <c r="P3980" s="1"/>
      <c r="Q3980" s="1"/>
      <c r="R3980" s="1"/>
      <c r="S3980" s="1"/>
      <c r="T3980" s="1"/>
      <c r="U3980" s="1"/>
      <c r="V3980" s="1"/>
      <c r="W3980" s="1"/>
      <c r="X3980" s="1"/>
      <c r="Y3980" s="1"/>
      <c r="Z3980" s="1"/>
      <c r="AA3980" s="1"/>
      <c r="AB3980" s="1"/>
      <c r="AC3980" s="1"/>
      <c r="AD3980" s="1"/>
      <c r="AE3980" s="1"/>
      <c r="AF3980" s="1"/>
      <c r="AG3980" s="1"/>
      <c r="AH3980" s="1"/>
      <c r="AI3980" s="1"/>
      <c r="AJ3980" s="1"/>
      <c r="AK3980" s="1"/>
      <c r="AL3980" s="1"/>
      <c r="AM3980" s="1"/>
      <c r="AN3980" s="1"/>
      <c r="AO3980" s="1"/>
      <c r="AP3980" s="1"/>
      <c r="AQ3980" s="1"/>
      <c r="AR3980" s="1"/>
      <c r="AS3980" s="1"/>
      <c r="AT3980" s="1"/>
      <c r="AU3980" s="1"/>
      <c r="AV3980" s="1"/>
      <c r="AW3980" s="1"/>
      <c r="AX3980" s="1"/>
      <c r="AY3980" s="1"/>
      <c r="AZ3980" s="1"/>
      <c r="BA3980" s="1"/>
      <c r="BB3980" s="1"/>
    </row>
    <row r="3981" ht="204.75" customHeight="1">
      <c r="A3981" s="1">
        <v>3010.0</v>
      </c>
      <c r="B3981" s="2" t="s">
        <v>11851</v>
      </c>
      <c r="C3981" s="2">
        <f>IFERROR(__xludf.DUMMYFUNCTION("split(B3981,""_"")"),1401.0)</f>
        <v>1401</v>
      </c>
      <c r="D3981" s="2" t="str">
        <f>IFERROR(__xludf.DUMMYFUNCTION("""COMPUTED_VALUE"""),"NTV")</f>
        <v>NTV</v>
      </c>
      <c r="E3981" s="2" t="str">
        <f>IFERROR(__xludf.DUMMYFUNCTION("""COMPUTED_VALUE"""),"土21")</f>
        <v>土21</v>
      </c>
      <c r="F3981" s="2" t="s">
        <v>11852</v>
      </c>
      <c r="G3981" s="2" t="s">
        <v>11871</v>
      </c>
      <c r="H3981" s="1">
        <v>10.0</v>
      </c>
      <c r="I3981" s="1" t="s">
        <v>37</v>
      </c>
      <c r="J3981" s="1" t="s">
        <v>4</v>
      </c>
      <c r="K3981" s="2" t="s">
        <v>11872</v>
      </c>
      <c r="L3981" s="2"/>
      <c r="M3981" s="2" t="str">
        <f>IFERROR(__xludf.DUMMYFUNCTION("split(split(K3981,""【演出"",false),""ほか"",false)"),"武井咲、TAKAHIRO・八嶋智人、徳重聡、濱田マリ、野間口徹、木下隆行、手塚とおる、渋谷謙人、水沢エレナ・伊吹吾郎、北川弘美、小籔千豊、YOU・佐野史郎、関根勤、柄本明　")</f>
        <v>武井咲、TAKAHIRO・八嶋智人、徳重聡、濱田マリ、野間口徹、木下隆行、手塚とおる、渋谷謙人、水沢エレナ・伊吹吾郎、北川弘美、小籔千豊、YOU・佐野史郎、関根勤、柄本明　</v>
      </c>
      <c r="N3981" s="2" t="str">
        <f>IFERROR(__xludf.DUMMYFUNCTION("""COMPUTED_VALUE"""),"人気アイドルが「一日警視総監」として警視庁のパレードに参加!だが警視庁に「パレードの日に警視総監を殺す」と殺害予告が。そして予告を出した犯人は遺体で発見された…。  事件を追う千波(武井咲)に、越前総監(柄本明)はある人物を紹介する。複雑に絡んだ事件を紐解くカギは越前の過去にあった…。  笑いあり、涙あり、恋あり、銃撃戦までありの盛り沢山な最終回!戦力外捜査官・千波が最後に手錠をかける相手は一体!?")</f>
        <v>人気アイドルが「一日警視総監」として警視庁のパレードに参加!だが警視庁に「パレードの日に警視総監を殺す」と殺害予告が。そして予告を出した犯人は遺体で発見された…。  事件を追う千波(武井咲)に、越前総監(柄本明)はある人物を紹介する。複雑に絡んだ事件を紐解くカギは越前の過去にあった…。  笑いあり、涙あり、恋あり、銃撃戦までありの盛り沢山な最終回!戦力外捜査官・千波が最後に手錠をかける相手は一体!?</v>
      </c>
      <c r="O3981" s="2"/>
      <c r="P3981" s="1"/>
      <c r="Q3981" s="1"/>
      <c r="R3981" s="1"/>
      <c r="S3981" s="1"/>
      <c r="T3981" s="1"/>
      <c r="U3981" s="1"/>
      <c r="V3981" s="1"/>
      <c r="W3981" s="1"/>
      <c r="X3981" s="1"/>
      <c r="Y3981" s="1"/>
      <c r="Z3981" s="1"/>
      <c r="AA3981" s="1"/>
      <c r="AB3981" s="1"/>
      <c r="AC3981" s="1"/>
      <c r="AD3981" s="1"/>
      <c r="AE3981" s="1"/>
      <c r="AF3981" s="1"/>
      <c r="AG3981" s="1"/>
      <c r="AH3981" s="1"/>
      <c r="AI3981" s="1"/>
      <c r="AJ3981" s="1"/>
      <c r="AK3981" s="1"/>
      <c r="AL3981" s="1"/>
      <c r="AM3981" s="1"/>
      <c r="AN3981" s="1"/>
      <c r="AO3981" s="1"/>
      <c r="AP3981" s="1"/>
      <c r="AQ3981" s="1"/>
      <c r="AR3981" s="1"/>
      <c r="AS3981" s="1"/>
      <c r="AT3981" s="1"/>
      <c r="AU3981" s="1"/>
      <c r="AV3981" s="1"/>
      <c r="AW3981" s="1"/>
      <c r="AX3981" s="1"/>
      <c r="AY3981" s="1"/>
      <c r="AZ3981" s="1"/>
      <c r="BA3981" s="1"/>
      <c r="BB3981" s="1"/>
    </row>
    <row r="3982" ht="204.75" customHeight="1">
      <c r="A3982" s="1">
        <v>3065.0</v>
      </c>
      <c r="B3982" s="2" t="s">
        <v>11873</v>
      </c>
      <c r="C3982" s="2">
        <f>IFERROR(__xludf.DUMMYFUNCTION("split(B3982,""_"")"),1310.0)</f>
        <v>1310</v>
      </c>
      <c r="D3982" s="2" t="str">
        <f>IFERROR(__xludf.DUMMYFUNCTION("""COMPUTED_VALUE"""),"NTV")</f>
        <v>NTV</v>
      </c>
      <c r="E3982" s="2" t="str">
        <f>IFERROR(__xludf.DUMMYFUNCTION("""COMPUTED_VALUE"""),"水22")</f>
        <v>水22</v>
      </c>
      <c r="F3982" s="2" t="s">
        <v>11874</v>
      </c>
      <c r="G3982" s="2" t="s">
        <v>11875</v>
      </c>
      <c r="H3982" s="1">
        <v>1.0</v>
      </c>
      <c r="I3982" s="1" t="s">
        <v>2868</v>
      </c>
      <c r="J3982" s="1" t="s">
        <v>82</v>
      </c>
      <c r="K3982" s="2" t="s">
        <v>11876</v>
      </c>
      <c r="L3982" s="2"/>
      <c r="M3982" s="2" t="str">
        <f>IFERROR(__xludf.DUMMYFUNCTION("split(split(K3982,""【演出"",false),""ほか"",false)"),"竹内結子、松坂桃李、風間俊介、水橋研二、トリンドル玲奈、大島蓉子、渡辺いっけい、でんでん、西田尚美、石野真子、大倉孝二、佐野史郎、北村一輝「はたらく人を守るために、はたらく人がいます」  働く人を守るルールを遵守するためには曲がらない、融通の利かない女、労働基準監督官の段田凛(=竹内結子)が、西東京労働基準監督署に配属された。  署内のお役所的ルールもなんのその、まっすぐで止まらない凛に若い監督官(=松坂桃李)や監督課長(=北村一輝)らは振り回されていく。  「お仕事エンタテインメント」ドラマ。1話は「サ"&amp;"ービス残業」が問題に…。")</f>
        <v>竹内結子、松坂桃李、風間俊介、水橋研二、トリンドル玲奈、大島蓉子、渡辺いっけい、でんでん、西田尚美、石野真子、大倉孝二、佐野史郎、北村一輝「はたらく人を守るために、はたらく人がいます」  働く人を守るルールを遵守するためには曲がらない、融通の利かない女、労働基準監督官の段田凛(=竹内結子)が、西東京労働基準監督署に配属された。  署内のお役所的ルールもなんのその、まっすぐで止まらない凛に若い監督官(=松坂桃李)や監督課長(=北村一輝)らは振り回されていく。  「お仕事エンタテインメント」ドラマ。1話は「サービス残業」が問題に…。</v>
      </c>
      <c r="N3982" s="2"/>
      <c r="O3982" s="2"/>
      <c r="P3982" s="1"/>
      <c r="Q3982" s="1"/>
      <c r="R3982" s="1"/>
      <c r="S3982" s="1"/>
      <c r="T3982" s="1"/>
      <c r="U3982" s="1"/>
      <c r="V3982" s="1"/>
      <c r="W3982" s="1"/>
      <c r="X3982" s="1"/>
      <c r="Y3982" s="1"/>
      <c r="Z3982" s="1"/>
      <c r="AA3982" s="1"/>
      <c r="AB3982" s="1"/>
      <c r="AC3982" s="1"/>
      <c r="AD3982" s="1"/>
      <c r="AE3982" s="1"/>
      <c r="AF3982" s="1"/>
      <c r="AG3982" s="1"/>
      <c r="AH3982" s="1"/>
      <c r="AI3982" s="1"/>
      <c r="AJ3982" s="1"/>
      <c r="AK3982" s="1"/>
      <c r="AL3982" s="1"/>
      <c r="AM3982" s="1"/>
      <c r="AN3982" s="1"/>
      <c r="AO3982" s="1"/>
      <c r="AP3982" s="1"/>
      <c r="AQ3982" s="1"/>
      <c r="AR3982" s="1"/>
      <c r="AS3982" s="1"/>
      <c r="AT3982" s="1"/>
      <c r="AU3982" s="1"/>
      <c r="AV3982" s="1"/>
      <c r="AW3982" s="1"/>
      <c r="AX3982" s="1"/>
      <c r="AY3982" s="1"/>
      <c r="AZ3982" s="1"/>
      <c r="BA3982" s="1"/>
      <c r="BB3982" s="1"/>
    </row>
    <row r="3983" ht="204.75" customHeight="1">
      <c r="A3983" s="1">
        <v>3066.0</v>
      </c>
      <c r="B3983" s="2" t="s">
        <v>11873</v>
      </c>
      <c r="C3983" s="2">
        <f>IFERROR(__xludf.DUMMYFUNCTION("split(B3983,""_"")"),1310.0)</f>
        <v>1310</v>
      </c>
      <c r="D3983" s="2" t="str">
        <f>IFERROR(__xludf.DUMMYFUNCTION("""COMPUTED_VALUE"""),"NTV")</f>
        <v>NTV</v>
      </c>
      <c r="E3983" s="2" t="str">
        <f>IFERROR(__xludf.DUMMYFUNCTION("""COMPUTED_VALUE"""),"水22")</f>
        <v>水22</v>
      </c>
      <c r="F3983" s="2" t="s">
        <v>11874</v>
      </c>
      <c r="G3983" s="2" t="s">
        <v>11877</v>
      </c>
      <c r="H3983" s="1">
        <v>2.0</v>
      </c>
      <c r="I3983" s="1" t="s">
        <v>2872</v>
      </c>
      <c r="J3983" s="1" t="s">
        <v>82</v>
      </c>
      <c r="K3983" s="2" t="s">
        <v>11878</v>
      </c>
      <c r="L3983" s="2"/>
      <c r="M3983" s="2" t="str">
        <f>IFERROR(__xludf.DUMMYFUNCTION("split(split(K3983,""【演出"",false),""ほか"",false)"),"竹内結子、松坂桃李、風間俊介、水橋研二、トリンドル玲奈、大島蓉子、賀来千香子、平山あや、篠井英介、石野真子、大倉孝二、佐野史郎、北村一輝働く人を守るルールを遵守するためには曲がらない、融通の利かない女、労働基準監督官のダンダリン(竹内結子)の元に、ある飲食店の店長・花枝がセクハラを訴えてきた。しかしセクハラは労働局の管轄。彼女を救いたいと、凛は南三条(松坂桃李)と共に内偵調査を開始。  すると、花枝が無報酬で超過勤務を課せられる“名ばかり管理職”である可能性が浮上した。果たして凛は…!?")</f>
        <v>竹内結子、松坂桃李、風間俊介、水橋研二、トリンドル玲奈、大島蓉子、賀来千香子、平山あや、篠井英介、石野真子、大倉孝二、佐野史郎、北村一輝働く人を守るルールを遵守するためには曲がらない、融通の利かない女、労働基準監督官のダンダリン(竹内結子)の元に、ある飲食店の店長・花枝がセクハラを訴えてきた。しかしセクハラは労働局の管轄。彼女を救いたいと、凛は南三条(松坂桃李)と共に内偵調査を開始。  すると、花枝が無報酬で超過勤務を課せられる“名ばかり管理職”である可能性が浮上した。果たして凛は…!?</v>
      </c>
      <c r="N3983" s="2"/>
      <c r="O3983" s="2"/>
      <c r="P3983" s="1"/>
      <c r="Q3983" s="1"/>
      <c r="R3983" s="1"/>
      <c r="S3983" s="1"/>
      <c r="T3983" s="1"/>
      <c r="U3983" s="1"/>
      <c r="V3983" s="1"/>
      <c r="W3983" s="1"/>
      <c r="X3983" s="1"/>
      <c r="Y3983" s="1"/>
      <c r="Z3983" s="1"/>
      <c r="AA3983" s="1"/>
      <c r="AB3983" s="1"/>
      <c r="AC3983" s="1"/>
      <c r="AD3983" s="1"/>
      <c r="AE3983" s="1"/>
      <c r="AF3983" s="1"/>
      <c r="AG3983" s="1"/>
      <c r="AH3983" s="1"/>
      <c r="AI3983" s="1"/>
      <c r="AJ3983" s="1"/>
      <c r="AK3983" s="1"/>
      <c r="AL3983" s="1"/>
      <c r="AM3983" s="1"/>
      <c r="AN3983" s="1"/>
      <c r="AO3983" s="1"/>
      <c r="AP3983" s="1"/>
      <c r="AQ3983" s="1"/>
      <c r="AR3983" s="1"/>
      <c r="AS3983" s="1"/>
      <c r="AT3983" s="1"/>
      <c r="AU3983" s="1"/>
      <c r="AV3983" s="1"/>
      <c r="AW3983" s="1"/>
      <c r="AX3983" s="1"/>
      <c r="AY3983" s="1"/>
      <c r="AZ3983" s="1"/>
      <c r="BA3983" s="1"/>
      <c r="BB3983" s="1"/>
    </row>
    <row r="3984" ht="204.75" customHeight="1">
      <c r="A3984" s="1">
        <v>3067.0</v>
      </c>
      <c r="B3984" s="2" t="s">
        <v>11873</v>
      </c>
      <c r="C3984" s="2">
        <f>IFERROR(__xludf.DUMMYFUNCTION("split(B3984,""_"")"),1310.0)</f>
        <v>1310</v>
      </c>
      <c r="D3984" s="2" t="str">
        <f>IFERROR(__xludf.DUMMYFUNCTION("""COMPUTED_VALUE"""),"NTV")</f>
        <v>NTV</v>
      </c>
      <c r="E3984" s="2" t="str">
        <f>IFERROR(__xludf.DUMMYFUNCTION("""COMPUTED_VALUE"""),"水22")</f>
        <v>水22</v>
      </c>
      <c r="F3984" s="2" t="s">
        <v>11874</v>
      </c>
      <c r="G3984" s="2" t="s">
        <v>11879</v>
      </c>
      <c r="H3984" s="1">
        <v>3.0</v>
      </c>
      <c r="I3984" s="1" t="s">
        <v>2876</v>
      </c>
      <c r="J3984" s="1" t="s">
        <v>82</v>
      </c>
      <c r="K3984" s="2" t="s">
        <v>11880</v>
      </c>
      <c r="L3984" s="2"/>
      <c r="M3984" s="2" t="str">
        <f>IFERROR(__xludf.DUMMYFUNCTION("split(split(K3984,""【演出"",false),""ほか"",false)"),"竹内結子、松坂桃李、風間俊介、水橋研二、トリンドル玲奈、大島蓉子、マギー、おかやまはじめ、賀来千香子、西田尚美、大倉孝二、佐野史郎、北村一輝労働基準監督官のダンダリン(竹内結子)は、工事現場の墜落事故現場で法律違反の疑い  を持つ。しかし、その現場の作業を請け負う工務店の社長は、上司である土手山(北村  一輝)の学生時代からの親友・相島(マギー)だった。単なる不運な事故として土手山は処理しようとするが、凛は納得せず土手山と険悪なムードに。  法律と親友、そして命。守るべきものの間で揺れる土手山と凛が出す結"&amp;"論は?")</f>
        <v>竹内結子、松坂桃李、風間俊介、水橋研二、トリンドル玲奈、大島蓉子、マギー、おかやまはじめ、賀来千香子、西田尚美、大倉孝二、佐野史郎、北村一輝労働基準監督官のダンダリン(竹内結子)は、工事現場の墜落事故現場で法律違反の疑い  を持つ。しかし、その現場の作業を請け負う工務店の社長は、上司である土手山(北村  一輝)の学生時代からの親友・相島(マギー)だった。単なる不運な事故として土手山は処理しようとするが、凛は納得せず土手山と険悪なムードに。  法律と親友、そして命。守るべきものの間で揺れる土手山と凛が出す結論は?</v>
      </c>
      <c r="N3984" s="2"/>
      <c r="O3984" s="2"/>
      <c r="P3984" s="1"/>
      <c r="Q3984" s="1"/>
      <c r="R3984" s="1"/>
      <c r="S3984" s="1"/>
      <c r="T3984" s="1"/>
      <c r="U3984" s="1"/>
      <c r="V3984" s="1"/>
      <c r="W3984" s="1"/>
      <c r="X3984" s="1"/>
      <c r="Y3984" s="1"/>
      <c r="Z3984" s="1"/>
      <c r="AA3984" s="1"/>
      <c r="AB3984" s="1"/>
      <c r="AC3984" s="1"/>
      <c r="AD3984" s="1"/>
      <c r="AE3984" s="1"/>
      <c r="AF3984" s="1"/>
      <c r="AG3984" s="1"/>
      <c r="AH3984" s="1"/>
      <c r="AI3984" s="1"/>
      <c r="AJ3984" s="1"/>
      <c r="AK3984" s="1"/>
      <c r="AL3984" s="1"/>
      <c r="AM3984" s="1"/>
      <c r="AN3984" s="1"/>
      <c r="AO3984" s="1"/>
      <c r="AP3984" s="1"/>
      <c r="AQ3984" s="1"/>
      <c r="AR3984" s="1"/>
      <c r="AS3984" s="1"/>
      <c r="AT3984" s="1"/>
      <c r="AU3984" s="1"/>
      <c r="AV3984" s="1"/>
      <c r="AW3984" s="1"/>
      <c r="AX3984" s="1"/>
      <c r="AY3984" s="1"/>
      <c r="AZ3984" s="1"/>
      <c r="BA3984" s="1"/>
      <c r="BB3984" s="1"/>
    </row>
    <row r="3985" ht="204.75" customHeight="1">
      <c r="A3985" s="1">
        <v>3068.0</v>
      </c>
      <c r="B3985" s="2" t="s">
        <v>11873</v>
      </c>
      <c r="C3985" s="2">
        <f>IFERROR(__xludf.DUMMYFUNCTION("split(B3985,""_"")"),1310.0)</f>
        <v>1310</v>
      </c>
      <c r="D3985" s="2" t="str">
        <f>IFERROR(__xludf.DUMMYFUNCTION("""COMPUTED_VALUE"""),"NTV")</f>
        <v>NTV</v>
      </c>
      <c r="E3985" s="2" t="str">
        <f>IFERROR(__xludf.DUMMYFUNCTION("""COMPUTED_VALUE"""),"水22")</f>
        <v>水22</v>
      </c>
      <c r="F3985" s="2" t="s">
        <v>11874</v>
      </c>
      <c r="G3985" s="2" t="s">
        <v>11881</v>
      </c>
      <c r="H3985" s="1">
        <v>4.0</v>
      </c>
      <c r="I3985" s="1" t="s">
        <v>2880</v>
      </c>
      <c r="J3985" s="1" t="s">
        <v>82</v>
      </c>
      <c r="K3985" s="2" t="s">
        <v>11882</v>
      </c>
      <c r="L3985" s="2"/>
      <c r="M3985" s="2" t="str">
        <f>IFERROR(__xludf.DUMMYFUNCTION("split(split(K3985,""【演出"",false),""ほか"",false)"),"竹内結子、松坂桃李、風間俊介、水橋研二、トリンドル玲奈、大島蓉子、賀来千香子、西田尚美、石野真子、大倉孝二、佐野史郎、北村一輝、志田未来、金田明夫、阿南健治  竹内結子が「変カワイイ」ニューヒロインを演じる「お仕事エンタテインメント」ドラマ。  ある企業で業績不振のために“内定切り”が行われていることを察知した労働基準監督官の凛(竹内結子)は、内定を受けた佑美(志田未来)の協力を得て調査に乗り出した。一方、その企業を担当する社会保険労務士の胡桃沢(風間俊介)も反撃を開始。正義感に満ちた凛の行動は、佑美と企"&amp;"業そのものを追いつめる結果に!?")</f>
        <v>竹内結子、松坂桃李、風間俊介、水橋研二、トリンドル玲奈、大島蓉子、賀来千香子、西田尚美、石野真子、大倉孝二、佐野史郎、北村一輝、志田未来、金田明夫、阿南健治  竹内結子が「変カワイイ」ニューヒロインを演じる「お仕事エンタテインメント」ドラマ。  ある企業で業績不振のために“内定切り”が行われていることを察知した労働基準監督官の凛(竹内結子)は、内定を受けた佑美(志田未来)の協力を得て調査に乗り出した。一方、その企業を担当する社会保険労務士の胡桃沢(風間俊介)も反撃を開始。正義感に満ちた凛の行動は、佑美と企業そのものを追いつめる結果に!?</v>
      </c>
      <c r="N3985" s="2"/>
      <c r="O3985" s="2"/>
      <c r="P3985" s="1"/>
      <c r="Q3985" s="1"/>
      <c r="R3985" s="1"/>
      <c r="S3985" s="1"/>
      <c r="T3985" s="1"/>
      <c r="U3985" s="1"/>
      <c r="V3985" s="1"/>
      <c r="W3985" s="1"/>
      <c r="X3985" s="1"/>
      <c r="Y3985" s="1"/>
      <c r="Z3985" s="1"/>
      <c r="AA3985" s="1"/>
      <c r="AB3985" s="1"/>
      <c r="AC3985" s="1"/>
      <c r="AD3985" s="1"/>
      <c r="AE3985" s="1"/>
      <c r="AF3985" s="1"/>
      <c r="AG3985" s="1"/>
      <c r="AH3985" s="1"/>
      <c r="AI3985" s="1"/>
      <c r="AJ3985" s="1"/>
      <c r="AK3985" s="1"/>
      <c r="AL3985" s="1"/>
      <c r="AM3985" s="1"/>
      <c r="AN3985" s="1"/>
      <c r="AO3985" s="1"/>
      <c r="AP3985" s="1"/>
      <c r="AQ3985" s="1"/>
      <c r="AR3985" s="1"/>
      <c r="AS3985" s="1"/>
      <c r="AT3985" s="1"/>
      <c r="AU3985" s="1"/>
      <c r="AV3985" s="1"/>
      <c r="AW3985" s="1"/>
      <c r="AX3985" s="1"/>
      <c r="AY3985" s="1"/>
      <c r="AZ3985" s="1"/>
      <c r="BA3985" s="1"/>
      <c r="BB3985" s="1"/>
    </row>
    <row r="3986" ht="204.75" customHeight="1">
      <c r="A3986" s="1">
        <v>3069.0</v>
      </c>
      <c r="B3986" s="2" t="s">
        <v>11873</v>
      </c>
      <c r="C3986" s="2">
        <f>IFERROR(__xludf.DUMMYFUNCTION("split(B3986,""_"")"),1310.0)</f>
        <v>1310</v>
      </c>
      <c r="D3986" s="2" t="str">
        <f>IFERROR(__xludf.DUMMYFUNCTION("""COMPUTED_VALUE"""),"NTV")</f>
        <v>NTV</v>
      </c>
      <c r="E3986" s="2" t="str">
        <f>IFERROR(__xludf.DUMMYFUNCTION("""COMPUTED_VALUE"""),"水22")</f>
        <v>水22</v>
      </c>
      <c r="F3986" s="2" t="s">
        <v>11874</v>
      </c>
      <c r="G3986" s="2" t="s">
        <v>11883</v>
      </c>
      <c r="H3986" s="1">
        <v>5.0</v>
      </c>
      <c r="I3986" s="1" t="s">
        <v>2884</v>
      </c>
      <c r="J3986" s="1" t="s">
        <v>82</v>
      </c>
      <c r="K3986" s="2" t="s">
        <v>11884</v>
      </c>
      <c r="L3986" s="2"/>
      <c r="M3986" s="2" t="str">
        <f>IFERROR(__xludf.DUMMYFUNCTION("split(split(K3986,""【演出"",false),""ほか"",false)"),"竹内結子、松坂桃李、風間俊介、水橋研二、トリンドル玲奈、大島蓉子、賀来千香子、西田尚美、石野真子、大倉孝二、佐野史郎、北村一輝、賀来賢人、東根作寿英　")</f>
        <v>竹内結子、松坂桃李、風間俊介、水橋研二、トリンドル玲奈、大島蓉子、賀来千香子、西田尚美、石野真子、大倉孝二、佐野史郎、北村一輝、賀来賢人、東根作寿英　</v>
      </c>
      <c r="N3986" s="2" t="str">
        <f>IFERROR(__xludf.DUMMYFUNCTION("""COMPUTED_VALUE"""),"「働く人を守るために働く」ニューヒロイン・労働基準監督官ダンダリンの第五ラウンド!  「辞めたい」のに「辞めさせてもらえない」!  人気パティシエが、自分の味を守るために利益優先の店を辞めようと決意。しかし「誰が一人前にしてやったんだ!」と怒る社長から、逆に損害賠償で訴えられるハメに。相談を受けた労働基準監督官の凛(竹内結子)は「働く人の環境」を守るためにどう動く!?")</f>
        <v>「働く人を守るために働く」ニューヒロイン・労働基準監督官ダンダリンの第五ラウンド!  「辞めたい」のに「辞めさせてもらえない」!  人気パティシエが、自分の味を守るために利益優先の店を辞めようと決意。しかし「誰が一人前にしてやったんだ!」と怒る社長から、逆に損害賠償で訴えられるハメに。相談を受けた労働基準監督官の凛(竹内結子)は「働く人の環境」を守るためにどう動く!?</v>
      </c>
      <c r="O3986" s="2"/>
      <c r="P3986" s="1"/>
      <c r="Q3986" s="1"/>
      <c r="R3986" s="1"/>
      <c r="S3986" s="1"/>
      <c r="T3986" s="1"/>
      <c r="U3986" s="1"/>
      <c r="V3986" s="1"/>
      <c r="W3986" s="1"/>
      <c r="X3986" s="1"/>
      <c r="Y3986" s="1"/>
      <c r="Z3986" s="1"/>
      <c r="AA3986" s="1"/>
      <c r="AB3986" s="1"/>
      <c r="AC3986" s="1"/>
      <c r="AD3986" s="1"/>
      <c r="AE3986" s="1"/>
      <c r="AF3986" s="1"/>
      <c r="AG3986" s="1"/>
      <c r="AH3986" s="1"/>
      <c r="AI3986" s="1"/>
      <c r="AJ3986" s="1"/>
      <c r="AK3986" s="1"/>
      <c r="AL3986" s="1"/>
      <c r="AM3986" s="1"/>
      <c r="AN3986" s="1"/>
      <c r="AO3986" s="1"/>
      <c r="AP3986" s="1"/>
      <c r="AQ3986" s="1"/>
      <c r="AR3986" s="1"/>
      <c r="AS3986" s="1"/>
      <c r="AT3986" s="1"/>
      <c r="AU3986" s="1"/>
      <c r="AV3986" s="1"/>
      <c r="AW3986" s="1"/>
      <c r="AX3986" s="1"/>
      <c r="AY3986" s="1"/>
      <c r="AZ3986" s="1"/>
      <c r="BA3986" s="1"/>
      <c r="BB3986" s="1"/>
    </row>
    <row r="3987" ht="204.75" customHeight="1">
      <c r="A3987" s="1">
        <v>3070.0</v>
      </c>
      <c r="B3987" s="2" t="s">
        <v>11873</v>
      </c>
      <c r="C3987" s="2">
        <f>IFERROR(__xludf.DUMMYFUNCTION("split(B3987,""_"")"),1310.0)</f>
        <v>1310</v>
      </c>
      <c r="D3987" s="2" t="str">
        <f>IFERROR(__xludf.DUMMYFUNCTION("""COMPUTED_VALUE"""),"NTV")</f>
        <v>NTV</v>
      </c>
      <c r="E3987" s="2" t="str">
        <f>IFERROR(__xludf.DUMMYFUNCTION("""COMPUTED_VALUE"""),"水22")</f>
        <v>水22</v>
      </c>
      <c r="F3987" s="2" t="s">
        <v>11874</v>
      </c>
      <c r="G3987" s="2" t="s">
        <v>11885</v>
      </c>
      <c r="H3987" s="1">
        <v>6.0</v>
      </c>
      <c r="I3987" s="1" t="s">
        <v>2888</v>
      </c>
      <c r="J3987" s="1" t="s">
        <v>82</v>
      </c>
      <c r="K3987" s="2" t="s">
        <v>11886</v>
      </c>
      <c r="L3987" s="2"/>
      <c r="M3987" s="2" t="str">
        <f>IFERROR(__xludf.DUMMYFUNCTION("split(split(K3987,""【演出"",false),""ほか"",false)"),"竹内結子、松坂桃李、風間俊介、水橋研二、トリンドル玲奈、大島蓉子、賀来千香子、西田尚美、石野真子、大倉孝二、佐野史郎、北村一輝、嶋田久作、濱田マリ、前田健、脇知弘　")</f>
        <v>竹内結子、松坂桃李、風間俊介、水橋研二、トリンドル玲奈、大島蓉子、賀来千香子、西田尚美、石野真子、大倉孝二、佐野史郎、北村一輝、嶋田久作、濱田マリ、前田健、脇知弘　</v>
      </c>
      <c r="N3987" s="2" t="str">
        <f>IFERROR(__xludf.DUMMYFUNCTION("""COMPUTED_VALUE"""),"働く人を守るために働く、労働基準監督官のダンダリン(竹内結子)。不当な労働条件を強いられている外国人労働者を救う!  「日本で働く外国人も助けるべき労働者」であると、調査に乗り出す凛たち西東京労働基準監督署の面々。しかし、外国人たちは凛たちを「自分たちの仕事を奪う悪のお役所」と、必死で抵抗し、ブラック企業を守る側に回っていた。凛は仲間たちと、監督官らしからぬ「奇策」で切り込む!!")</f>
        <v>働く人を守るために働く、労働基準監督官のダンダリン(竹内結子)。不当な労働条件を強いられている外国人労働者を救う!  「日本で働く外国人も助けるべき労働者」であると、調査に乗り出す凛たち西東京労働基準監督署の面々。しかし、外国人たちは凛たちを「自分たちの仕事を奪う悪のお役所」と、必死で抵抗し、ブラック企業を守る側に回っていた。凛は仲間たちと、監督官らしからぬ「奇策」で切り込む!!</v>
      </c>
      <c r="O3987" s="2"/>
      <c r="P3987" s="1"/>
      <c r="Q3987" s="1"/>
      <c r="R3987" s="1"/>
      <c r="S3987" s="1"/>
      <c r="T3987" s="1"/>
      <c r="U3987" s="1"/>
      <c r="V3987" s="1"/>
      <c r="W3987" s="1"/>
      <c r="X3987" s="1"/>
      <c r="Y3987" s="1"/>
      <c r="Z3987" s="1"/>
      <c r="AA3987" s="1"/>
      <c r="AB3987" s="1"/>
      <c r="AC3987" s="1"/>
      <c r="AD3987" s="1"/>
      <c r="AE3987" s="1"/>
      <c r="AF3987" s="1"/>
      <c r="AG3987" s="1"/>
      <c r="AH3987" s="1"/>
      <c r="AI3987" s="1"/>
      <c r="AJ3987" s="1"/>
      <c r="AK3987" s="1"/>
      <c r="AL3987" s="1"/>
      <c r="AM3987" s="1"/>
      <c r="AN3987" s="1"/>
      <c r="AO3987" s="1"/>
      <c r="AP3987" s="1"/>
      <c r="AQ3987" s="1"/>
      <c r="AR3987" s="1"/>
      <c r="AS3987" s="1"/>
      <c r="AT3987" s="1"/>
      <c r="AU3987" s="1"/>
      <c r="AV3987" s="1"/>
      <c r="AW3987" s="1"/>
      <c r="AX3987" s="1"/>
      <c r="AY3987" s="1"/>
      <c r="AZ3987" s="1"/>
      <c r="BA3987" s="1"/>
      <c r="BB3987" s="1"/>
    </row>
    <row r="3988" ht="204.75" customHeight="1">
      <c r="A3988" s="1">
        <v>3071.0</v>
      </c>
      <c r="B3988" s="2" t="s">
        <v>11873</v>
      </c>
      <c r="C3988" s="2">
        <f>IFERROR(__xludf.DUMMYFUNCTION("split(B3988,""_"")"),1310.0)</f>
        <v>1310</v>
      </c>
      <c r="D3988" s="2" t="str">
        <f>IFERROR(__xludf.DUMMYFUNCTION("""COMPUTED_VALUE"""),"NTV")</f>
        <v>NTV</v>
      </c>
      <c r="E3988" s="2" t="str">
        <f>IFERROR(__xludf.DUMMYFUNCTION("""COMPUTED_VALUE"""),"水22")</f>
        <v>水22</v>
      </c>
      <c r="F3988" s="2" t="s">
        <v>11874</v>
      </c>
      <c r="G3988" s="2" t="s">
        <v>11887</v>
      </c>
      <c r="H3988" s="1">
        <v>7.0</v>
      </c>
      <c r="I3988" s="1" t="s">
        <v>2892</v>
      </c>
      <c r="J3988" s="1" t="s">
        <v>82</v>
      </c>
      <c r="K3988" s="2" t="s">
        <v>11888</v>
      </c>
      <c r="L3988" s="2"/>
      <c r="M3988" s="2" t="str">
        <f>IFERROR(__xludf.DUMMYFUNCTION("split(split(K3988,""【演出"",false),""ほか"",false)"),"竹内結子、松坂桃李、風間俊介、水橋研二、トリンドル玲奈、大島蓉子、賀来千香子、西田尚美、石野真子、大倉孝二、佐野史郎、北村一輝　")</f>
        <v>竹内結子、松坂桃李、風間俊介、水橋研二、トリンドル玲奈、大島蓉子、賀来千香子、西田尚美、石野真子、大倉孝二、佐野史郎、北村一輝　</v>
      </c>
      <c r="N3988" s="2" t="str">
        <f>IFERROR(__xludf.DUMMYFUNCTION("""COMPUTED_VALUE"""),"働く人を守るために働く、労働基準監督官のダンダリン(竹内結子)の指導係・南三条(松坂桃李)が「ダンダ化」してきた!?  亡くなった父親の労災保険申請をしたいという男性の相談に南三条は張り切り「労災はおりる」と断言するが、結果、労災保険は認められなかった。しかし、その父親が勤務していた「竹光製作所」の劣悪な労働状況に気付いた凛は「労働災害」の可能性があると指摘する。南三条はいつになく奔走するのだが…")</f>
        <v>働く人を守るために働く、労働基準監督官のダンダリン(竹内結子)の指導係・南三条(松坂桃李)が「ダンダ化」してきた!?  亡くなった父親の労災保険申請をしたいという男性の相談に南三条は張り切り「労災はおりる」と断言するが、結果、労災保険は認められなかった。しかし、その父親が勤務していた「竹光製作所」の劣悪な労働状況に気付いた凛は「労働災害」の可能性があると指摘する。南三条はいつになく奔走するのだが…</v>
      </c>
      <c r="O3988" s="2"/>
      <c r="P3988" s="1"/>
      <c r="Q3988" s="1"/>
      <c r="R3988" s="1"/>
      <c r="S3988" s="1"/>
      <c r="T3988" s="1"/>
      <c r="U3988" s="1"/>
      <c r="V3988" s="1"/>
      <c r="W3988" s="1"/>
      <c r="X3988" s="1"/>
      <c r="Y3988" s="1"/>
      <c r="Z3988" s="1"/>
      <c r="AA3988" s="1"/>
      <c r="AB3988" s="1"/>
      <c r="AC3988" s="1"/>
      <c r="AD3988" s="1"/>
      <c r="AE3988" s="1"/>
      <c r="AF3988" s="1"/>
      <c r="AG3988" s="1"/>
      <c r="AH3988" s="1"/>
      <c r="AI3988" s="1"/>
      <c r="AJ3988" s="1"/>
      <c r="AK3988" s="1"/>
      <c r="AL3988" s="1"/>
      <c r="AM3988" s="1"/>
      <c r="AN3988" s="1"/>
      <c r="AO3988" s="1"/>
      <c r="AP3988" s="1"/>
      <c r="AQ3988" s="1"/>
      <c r="AR3988" s="1"/>
      <c r="AS3988" s="1"/>
      <c r="AT3988" s="1"/>
      <c r="AU3988" s="1"/>
      <c r="AV3988" s="1"/>
      <c r="AW3988" s="1"/>
      <c r="AX3988" s="1"/>
      <c r="AY3988" s="1"/>
      <c r="AZ3988" s="1"/>
      <c r="BA3988" s="1"/>
      <c r="BB3988" s="1"/>
    </row>
    <row r="3989" ht="204.75" customHeight="1">
      <c r="A3989" s="1">
        <v>3072.0</v>
      </c>
      <c r="B3989" s="2" t="s">
        <v>11873</v>
      </c>
      <c r="C3989" s="2">
        <f>IFERROR(__xludf.DUMMYFUNCTION("split(B3989,""_"")"),1310.0)</f>
        <v>1310</v>
      </c>
      <c r="D3989" s="2" t="str">
        <f>IFERROR(__xludf.DUMMYFUNCTION("""COMPUTED_VALUE"""),"NTV")</f>
        <v>NTV</v>
      </c>
      <c r="E3989" s="2" t="str">
        <f>IFERROR(__xludf.DUMMYFUNCTION("""COMPUTED_VALUE"""),"水22")</f>
        <v>水22</v>
      </c>
      <c r="F3989" s="2" t="s">
        <v>11874</v>
      </c>
      <c r="G3989" s="2" t="s">
        <v>11889</v>
      </c>
      <c r="H3989" s="1">
        <v>8.0</v>
      </c>
      <c r="I3989" s="1" t="s">
        <v>2896</v>
      </c>
      <c r="J3989" s="1" t="s">
        <v>82</v>
      </c>
      <c r="K3989" s="2" t="s">
        <v>11890</v>
      </c>
      <c r="L3989" s="2"/>
      <c r="M3989" s="2" t="str">
        <f>IFERROR(__xludf.DUMMYFUNCTION("split(split(K3989,""【演出"",false),""ほか"",false)"),"竹内結子、松坂桃李、風間俊介、水橋研二、トリンドル玲奈、大島蓉子、賀来千香子、西田尚美、石野真子、大倉孝二、佐野史郎、北村一輝、石田卓也、かとうかず子、升毅　")</f>
        <v>竹内結子、松坂桃李、風間俊介、水橋研二、トリンドル玲奈、大島蓉子、賀来千香子、西田尚美、石野真子、大倉孝二、佐野史郎、北村一輝、石田卓也、かとうかず子、升毅　</v>
      </c>
      <c r="N3989" s="2" t="str">
        <f>IFERROR(__xludf.DUMMYFUNCTION("""COMPUTED_VALUE"""),"働く人を守るために働く、労働基準監督官・凛(竹内結子)に「失望した」と言われた南三条(松坂桃李)は監督官としての自信を失い出勤しなくなってしまった。そんな中、署に南三条の同級生の母親(かとうかず子)が相談に訪れる。息子の航(石田卓也)がブラック企業に洗脳されているというのだ。凛は社長の七富(升毅)の元へ向かう一方、過労で倒れた航に南三条は「そんな会社辞めればいい」と言い放つ。")</f>
        <v>働く人を守るために働く、労働基準監督官・凛(竹内結子)に「失望した」と言われた南三条(松坂桃李)は監督官としての自信を失い出勤しなくなってしまった。そんな中、署に南三条の同級生の母親(かとうかず子)が相談に訪れる。息子の航(石田卓也)がブラック企業に洗脳されているというのだ。凛は社長の七富(升毅)の元へ向かう一方、過労で倒れた航に南三条は「そんな会社辞めればいい」と言い放つ。</v>
      </c>
      <c r="O3989" s="2"/>
      <c r="P3989" s="1"/>
      <c r="Q3989" s="1"/>
      <c r="R3989" s="1"/>
      <c r="S3989" s="1"/>
      <c r="T3989" s="1"/>
      <c r="U3989" s="1"/>
      <c r="V3989" s="1"/>
      <c r="W3989" s="1"/>
      <c r="X3989" s="1"/>
      <c r="Y3989" s="1"/>
      <c r="Z3989" s="1"/>
      <c r="AA3989" s="1"/>
      <c r="AB3989" s="1"/>
      <c r="AC3989" s="1"/>
      <c r="AD3989" s="1"/>
      <c r="AE3989" s="1"/>
      <c r="AF3989" s="1"/>
      <c r="AG3989" s="1"/>
      <c r="AH3989" s="1"/>
      <c r="AI3989" s="1"/>
      <c r="AJ3989" s="1"/>
      <c r="AK3989" s="1"/>
      <c r="AL3989" s="1"/>
      <c r="AM3989" s="1"/>
      <c r="AN3989" s="1"/>
      <c r="AO3989" s="1"/>
      <c r="AP3989" s="1"/>
      <c r="AQ3989" s="1"/>
      <c r="AR3989" s="1"/>
      <c r="AS3989" s="1"/>
      <c r="AT3989" s="1"/>
      <c r="AU3989" s="1"/>
      <c r="AV3989" s="1"/>
      <c r="AW3989" s="1"/>
      <c r="AX3989" s="1"/>
      <c r="AY3989" s="1"/>
      <c r="AZ3989" s="1"/>
      <c r="BA3989" s="1"/>
      <c r="BB3989" s="1"/>
    </row>
    <row r="3990" ht="204.75" customHeight="1">
      <c r="A3990" s="1">
        <v>3073.0</v>
      </c>
      <c r="B3990" s="2" t="s">
        <v>11873</v>
      </c>
      <c r="C3990" s="2">
        <f>IFERROR(__xludf.DUMMYFUNCTION("split(B3990,""_"")"),1310.0)</f>
        <v>1310</v>
      </c>
      <c r="D3990" s="2" t="str">
        <f>IFERROR(__xludf.DUMMYFUNCTION("""COMPUTED_VALUE"""),"NTV")</f>
        <v>NTV</v>
      </c>
      <c r="E3990" s="2" t="str">
        <f>IFERROR(__xludf.DUMMYFUNCTION("""COMPUTED_VALUE"""),"水22")</f>
        <v>水22</v>
      </c>
      <c r="F3990" s="2" t="s">
        <v>11874</v>
      </c>
      <c r="G3990" s="2" t="s">
        <v>11891</v>
      </c>
      <c r="H3990" s="1">
        <v>9.0</v>
      </c>
      <c r="I3990" s="1" t="s">
        <v>2900</v>
      </c>
      <c r="J3990" s="1" t="s">
        <v>82</v>
      </c>
      <c r="K3990" s="2" t="s">
        <v>11892</v>
      </c>
      <c r="L3990" s="2"/>
      <c r="M3990" s="2" t="str">
        <f>IFERROR(__xludf.DUMMYFUNCTION("split(split(K3990,""【演出"",false),""ほか"",false)"),"竹内結子、松坂桃李、風間俊介、水橋研二、トリンドル玲奈、大島蓉子、賀来千香子、西田尚美、石野真子、大倉孝二、佐野史郎、北村一輝、松田悟志、渡辺哲史")</f>
        <v>竹内結子、松坂桃李、風間俊介、水橋研二、トリンドル玲奈、大島蓉子、賀来千香子、西田尚美、石野真子、大倉孝二、佐野史郎、北村一輝、松田悟志、渡辺哲史</v>
      </c>
      <c r="N3990" s="2" t="str">
        <f>IFERROR(__xludf.DUMMYFUNCTION("""COMPUTED_VALUE"""),"働く人を守るために働く、労働基準監督官のダンダリンの今回のターゲットは「偽装請負」!?  土手山(北村一輝)の息子が労基署にやってきた。母のみどり(西田尚美)が、勤務先の社長に騙されて給与を大幅に減らされてしまったのだ。みどりが勤めるホテルに向かった凛(竹内結子)は、彼女の契約が派遣社員ではなく個人事業主に変わったことに着目。法の裏をかこうとするやり口に、またまた奇策をもって挑むことに!!")</f>
        <v>働く人を守るために働く、労働基準監督官のダンダリンの今回のターゲットは「偽装請負」!?  土手山(北村一輝)の息子が労基署にやってきた。母のみどり(西田尚美)が、勤務先の社長に騙されて給与を大幅に減らされてしまったのだ。みどりが勤めるホテルに向かった凛(竹内結子)は、彼女の契約が派遣社員ではなく個人事業主に変わったことに着目。法の裏をかこうとするやり口に、またまた奇策をもって挑むことに!!</v>
      </c>
      <c r="O3990" s="2"/>
      <c r="P3990" s="1"/>
      <c r="Q3990" s="1"/>
      <c r="R3990" s="1"/>
      <c r="S3990" s="1"/>
      <c r="T3990" s="1"/>
      <c r="U3990" s="1"/>
      <c r="V3990" s="1"/>
      <c r="W3990" s="1"/>
      <c r="X3990" s="1"/>
      <c r="Y3990" s="1"/>
      <c r="Z3990" s="1"/>
      <c r="AA3990" s="1"/>
      <c r="AB3990" s="1"/>
      <c r="AC3990" s="1"/>
      <c r="AD3990" s="1"/>
      <c r="AE3990" s="1"/>
      <c r="AF3990" s="1"/>
      <c r="AG3990" s="1"/>
      <c r="AH3990" s="1"/>
      <c r="AI3990" s="1"/>
      <c r="AJ3990" s="1"/>
      <c r="AK3990" s="1"/>
      <c r="AL3990" s="1"/>
      <c r="AM3990" s="1"/>
      <c r="AN3990" s="1"/>
      <c r="AO3990" s="1"/>
      <c r="AP3990" s="1"/>
      <c r="AQ3990" s="1"/>
      <c r="AR3990" s="1"/>
      <c r="AS3990" s="1"/>
      <c r="AT3990" s="1"/>
      <c r="AU3990" s="1"/>
      <c r="AV3990" s="1"/>
      <c r="AW3990" s="1"/>
      <c r="AX3990" s="1"/>
      <c r="AY3990" s="1"/>
      <c r="AZ3990" s="1"/>
      <c r="BA3990" s="1"/>
      <c r="BB3990" s="1"/>
    </row>
    <row r="3991" ht="204.75" customHeight="1">
      <c r="A3991" s="1">
        <v>3074.0</v>
      </c>
      <c r="B3991" s="2" t="s">
        <v>11873</v>
      </c>
      <c r="C3991" s="2">
        <f>IFERROR(__xludf.DUMMYFUNCTION("split(B3991,""_"")"),1310.0)</f>
        <v>1310</v>
      </c>
      <c r="D3991" s="2" t="str">
        <f>IFERROR(__xludf.DUMMYFUNCTION("""COMPUTED_VALUE"""),"NTV")</f>
        <v>NTV</v>
      </c>
      <c r="E3991" s="2" t="str">
        <f>IFERROR(__xludf.DUMMYFUNCTION("""COMPUTED_VALUE"""),"水22")</f>
        <v>水22</v>
      </c>
      <c r="F3991" s="2" t="s">
        <v>11874</v>
      </c>
      <c r="G3991" s="2" t="s">
        <v>11893</v>
      </c>
      <c r="H3991" s="1">
        <v>10.0</v>
      </c>
      <c r="I3991" s="1" t="s">
        <v>37</v>
      </c>
      <c r="J3991" s="1" t="s">
        <v>82</v>
      </c>
      <c r="K3991" s="2" t="s">
        <v>11894</v>
      </c>
      <c r="L3991" s="2"/>
      <c r="M3991" s="2" t="str">
        <f>IFERROR(__xludf.DUMMYFUNCTION("split(split(K3991,""【演出"",false),""ほか"",false)"),"竹内結子、松坂桃李、風間俊介、水橋研二、トリンドル玲奈、大島蓉子、賀来千香子、西田尚美、石野真子、大倉孝二、佐野史郎、北村一輝")</f>
        <v>竹内結子、松坂桃李、風間俊介、水橋研二、トリンドル玲奈、大島蓉子、賀来千香子、西田尚美、石野真子、大倉孝二、佐野史郎、北村一輝</v>
      </c>
      <c r="N3991" s="2" t="str">
        <f>IFERROR(__xludf.DUMMYFUNCTION("""COMPUTED_VALUE"""),"「働く人を守るため」と労働基準監督官・ダンダリンがなぜルールにこだわり働き続けるのか…。  凛の過去、そして凛を狙う者の正体が明らかになっていく最終章に突入。  凛(竹内結子)の元に送られてくる不穏な手紙に南三条(松坂桃李)を狙うかのような内容が。  そんなある日、労働相談を受けていた美月(石橋杏奈)のために内偵をしていた南三条が、彼女への暴行未遂容疑で逮捕されてしまった。")</f>
        <v>「働く人を守るため」と労働基準監督官・ダンダリンがなぜルールにこだわり働き続けるのか…。  凛の過去、そして凛を狙う者の正体が明らかになっていく最終章に突入。  凛(竹内結子)の元に送られてくる不穏な手紙に南三条(松坂桃李)を狙うかのような内容が。  そんなある日、労働相談を受けていた美月(石橋杏奈)のために内偵をしていた南三条が、彼女への暴行未遂容疑で逮捕されてしまった。</v>
      </c>
      <c r="O3991" s="2"/>
      <c r="P3991" s="1"/>
      <c r="Q3991" s="1"/>
      <c r="R3991" s="1"/>
      <c r="S3991" s="1"/>
      <c r="T3991" s="1"/>
      <c r="U3991" s="1"/>
      <c r="V3991" s="1"/>
      <c r="W3991" s="1"/>
      <c r="X3991" s="1"/>
      <c r="Y3991" s="1"/>
      <c r="Z3991" s="1"/>
      <c r="AA3991" s="1"/>
      <c r="AB3991" s="1"/>
      <c r="AC3991" s="1"/>
      <c r="AD3991" s="1"/>
      <c r="AE3991" s="1"/>
      <c r="AF3991" s="1"/>
      <c r="AG3991" s="1"/>
      <c r="AH3991" s="1"/>
      <c r="AI3991" s="1"/>
      <c r="AJ3991" s="1"/>
      <c r="AK3991" s="1"/>
      <c r="AL3991" s="1"/>
      <c r="AM3991" s="1"/>
      <c r="AN3991" s="1"/>
      <c r="AO3991" s="1"/>
      <c r="AP3991" s="1"/>
      <c r="AQ3991" s="1"/>
      <c r="AR3991" s="1"/>
      <c r="AS3991" s="1"/>
      <c r="AT3991" s="1"/>
      <c r="AU3991" s="1"/>
      <c r="AV3991" s="1"/>
      <c r="AW3991" s="1"/>
      <c r="AX3991" s="1"/>
      <c r="AY3991" s="1"/>
      <c r="AZ3991" s="1"/>
      <c r="BA3991" s="1"/>
      <c r="BB3991" s="1"/>
    </row>
    <row r="3992" ht="204.75" customHeight="1">
      <c r="A3992" s="1">
        <v>3075.0</v>
      </c>
      <c r="B3992" s="2" t="s">
        <v>11873</v>
      </c>
      <c r="C3992" s="2">
        <f>IFERROR(__xludf.DUMMYFUNCTION("split(B3992,""_"")"),1310.0)</f>
        <v>1310</v>
      </c>
      <c r="D3992" s="2" t="str">
        <f>IFERROR(__xludf.DUMMYFUNCTION("""COMPUTED_VALUE"""),"NTV")</f>
        <v>NTV</v>
      </c>
      <c r="E3992" s="2" t="str">
        <f>IFERROR(__xludf.DUMMYFUNCTION("""COMPUTED_VALUE"""),"水22")</f>
        <v>水22</v>
      </c>
      <c r="F3992" s="2" t="s">
        <v>11874</v>
      </c>
      <c r="G3992" s="2" t="s">
        <v>11895</v>
      </c>
      <c r="H3992" s="1">
        <v>11.0</v>
      </c>
      <c r="I3992" s="1" t="s">
        <v>41</v>
      </c>
      <c r="J3992" s="1" t="s">
        <v>82</v>
      </c>
      <c r="K3992" s="2" t="s">
        <v>11896</v>
      </c>
      <c r="L3992" s="2"/>
      <c r="M3992" s="2" t="str">
        <f>IFERROR(__xludf.DUMMYFUNCTION("split(split(K3992,""【演出"",false),""ほか"",false)"),"竹内結子、松坂桃李、風間俊介、水橋研二、トリンドル玲奈、大島蓉子、賀来千香子、西田尚美、石野真子、大倉孝二、佐野史郎、北村一輝、柄本明、布施博、石橋杏奈、金井勇太、岡本光太郎、工藤里紗、")</f>
        <v>竹内結子、松坂桃李、風間俊介、水橋研二、トリンドル玲奈、大島蓉子、賀来千香子、西田尚美、石野真子、大倉孝二、佐野史郎、北村一輝、柄本明、布施博、石橋杏奈、金井勇太、岡本光太郎、工藤里紗、</v>
      </c>
      <c r="N3992" s="2" t="str">
        <f>IFERROR(__xludf.DUMMYFUNCTION("""COMPUTED_VALUE"""),"「監督官としての段田凛を殺してやりたい」と宣言した飯野社長(柄本明)の策略で逮捕された南三条(松坂桃李)。凛の退職が、南三条を救うことだと条件を出された凛(竹内結子)は監督官を辞めようと決意する。  一方、西東京労働基準監督署のメンバーは、土手山を中心に、南三条の無実を晴らすために被害届を出した小西美月(石橋杏奈)を探そうと奔走。「働くこととは」「幸せとは」ダンダリンからのメッセージ満載の最終回!!")</f>
        <v>「監督官としての段田凛を殺してやりたい」と宣言した飯野社長(柄本明)の策略で逮捕された南三条(松坂桃李)。凛の退職が、南三条を救うことだと条件を出された凛(竹内結子)は監督官を辞めようと決意する。  一方、西東京労働基準監督署のメンバーは、土手山を中心に、南三条の無実を晴らすために被害届を出した小西美月(石橋杏奈)を探そうと奔走。「働くこととは」「幸せとは」ダンダリンからのメッセージ満載の最終回!!</v>
      </c>
      <c r="O3992" s="2"/>
      <c r="P3992" s="1"/>
      <c r="Q3992" s="1"/>
      <c r="R3992" s="1"/>
      <c r="S3992" s="1"/>
      <c r="T3992" s="1"/>
      <c r="U3992" s="1"/>
      <c r="V3992" s="1"/>
      <c r="W3992" s="1"/>
      <c r="X3992" s="1"/>
      <c r="Y3992" s="1"/>
      <c r="Z3992" s="1"/>
      <c r="AA3992" s="1"/>
      <c r="AB3992" s="1"/>
      <c r="AC3992" s="1"/>
      <c r="AD3992" s="1"/>
      <c r="AE3992" s="1"/>
      <c r="AF3992" s="1"/>
      <c r="AG3992" s="1"/>
      <c r="AH3992" s="1"/>
      <c r="AI3992" s="1"/>
      <c r="AJ3992" s="1"/>
      <c r="AK3992" s="1"/>
      <c r="AL3992" s="1"/>
      <c r="AM3992" s="1"/>
      <c r="AN3992" s="1"/>
      <c r="AO3992" s="1"/>
      <c r="AP3992" s="1"/>
      <c r="AQ3992" s="1"/>
      <c r="AR3992" s="1"/>
      <c r="AS3992" s="1"/>
      <c r="AT3992" s="1"/>
      <c r="AU3992" s="1"/>
      <c r="AV3992" s="1"/>
      <c r="AW3992" s="1"/>
      <c r="AX3992" s="1"/>
      <c r="AY3992" s="1"/>
      <c r="AZ3992" s="1"/>
      <c r="BA3992" s="1"/>
      <c r="BB3992" s="1"/>
    </row>
    <row r="3993" ht="204.75" customHeight="1">
      <c r="A3993" s="1">
        <v>3115.0</v>
      </c>
      <c r="B3993" s="2" t="s">
        <v>11897</v>
      </c>
      <c r="C3993" s="2">
        <f>IFERROR(__xludf.DUMMYFUNCTION("split(B3993,""_"")"),1310.0)</f>
        <v>1310</v>
      </c>
      <c r="D3993" s="2" t="str">
        <f>IFERROR(__xludf.DUMMYFUNCTION("""COMPUTED_VALUE"""),"NTV")</f>
        <v>NTV</v>
      </c>
      <c r="E3993" s="2" t="str">
        <f>IFERROR(__xludf.DUMMYFUNCTION("""COMPUTED_VALUE"""),"木23")</f>
        <v>木23</v>
      </c>
      <c r="F3993" s="2" t="s">
        <v>11898</v>
      </c>
      <c r="G3993" s="2" t="s">
        <v>11899</v>
      </c>
      <c r="H3993" s="1">
        <v>2.0</v>
      </c>
      <c r="J3993" s="1" t="s">
        <v>1435</v>
      </c>
      <c r="K3993" s="2" t="s">
        <v>11900</v>
      </c>
      <c r="L3993" s="2"/>
      <c r="M3993" s="2" t="str">
        <f>IFERROR(__xludf.DUMMYFUNCTION("split(split(K3993,""【演出"",false),""ほか"",false)"),"原多香子(32):優香  小津晃太郎(25):三浦貴大  黒沢明夫(42):中村俊介  ・  有馬ユウコ(32):市川実和子  森秀美(34):山田真歩  今村高志(25):柳下大  高峰邦広(34):山本浩司  東山カオリ(24):河北麻友子  市川琴美(16):優希美青  佐野英二郎(52):きたろう  ・  江川伸生(30):新井浩文【第2話】  7歳年下の新任教師・小津晃太郎に惹かれ始めた、32歳の高校教師、原多香子。しかし彼には婚約者がいた。多香子はショックから、元不倫相手の黒沢明夫を家に招き入"&amp;"れてしまう。  「どうして愛されたいと思ってしまうんだろう」  思い悩む多香子と、先輩同士の不倫を知って動揺する晃太郎。晃太郎は不倫は許せないと思いつつ、多香子の危うさが気になって仕方がない。そんなある日、3人で食事をする機会が訪れて…【主題歌】  『恋の矢』かりゆし58【原作】  『ハクバノ王子サマ』朔ユキ蔵(小学館刊)10月10日(木)よる9時から放送される『ダウンタウンDXDX　放送開始20年!秋の2時間スペシャル』に中村俊介さんが出演!http://www.ytv.co.jp/hakuba/")</f>
        <v>原多香子(32):優香  小津晃太郎(25):三浦貴大  黒沢明夫(42):中村俊介  ・  有馬ユウコ(32):市川実和子  森秀美(34):山田真歩  今村高志(25):柳下大  高峰邦広(34):山本浩司  東山カオリ(24):河北麻友子  市川琴美(16):優希美青  佐野英二郎(52):きたろう  ・  江川伸生(30):新井浩文【第2話】  7歳年下の新任教師・小津晃太郎に惹かれ始めた、32歳の高校教師、原多香子。しかし彼には婚約者がいた。多香子はショックから、元不倫相手の黒沢明夫を家に招き入れてしまう。  「どうして愛されたいと思ってしまうんだろう」  思い悩む多香子と、先輩同士の不倫を知って動揺する晃太郎。晃太郎は不倫は許せないと思いつつ、多香子の危うさが気になって仕方がない。そんなある日、3人で食事をする機会が訪れて…【主題歌】  『恋の矢』かりゆし58【原作】  『ハクバノ王子サマ』朔ユキ蔵(小学館刊)10月10日(木)よる9時から放送される『ダウンタウンDXDX　放送開始20年!秋の2時間スペシャル』に中村俊介さんが出演!http://www.ytv.co.jp/hakuba/</v>
      </c>
      <c r="N3993" s="2"/>
      <c r="O3993" s="2"/>
      <c r="P3993" s="1"/>
      <c r="Q3993" s="1"/>
      <c r="R3993" s="1"/>
      <c r="S3993" s="1"/>
      <c r="T3993" s="1"/>
      <c r="U3993" s="1"/>
      <c r="V3993" s="1"/>
      <c r="W3993" s="1"/>
      <c r="X3993" s="1"/>
      <c r="Y3993" s="1"/>
      <c r="Z3993" s="1"/>
      <c r="AA3993" s="1"/>
      <c r="AB3993" s="1"/>
      <c r="AC3993" s="1"/>
      <c r="AD3993" s="1"/>
      <c r="AE3993" s="1"/>
      <c r="AF3993" s="1"/>
      <c r="AG3993" s="1"/>
      <c r="AH3993" s="1"/>
      <c r="AI3993" s="1"/>
      <c r="AJ3993" s="1"/>
      <c r="AK3993" s="1"/>
      <c r="AL3993" s="1"/>
      <c r="AM3993" s="1"/>
      <c r="AN3993" s="1"/>
      <c r="AO3993" s="1"/>
      <c r="AP3993" s="1"/>
      <c r="AQ3993" s="1"/>
      <c r="AR3993" s="1"/>
      <c r="AS3993" s="1"/>
      <c r="AT3993" s="1"/>
      <c r="AU3993" s="1"/>
      <c r="AV3993" s="1"/>
      <c r="AW3993" s="1"/>
      <c r="AX3993" s="1"/>
      <c r="AY3993" s="1"/>
      <c r="AZ3993" s="1"/>
      <c r="BA3993" s="1"/>
      <c r="BB3993" s="1"/>
    </row>
    <row r="3994" ht="204.75" customHeight="1">
      <c r="A3994" s="1">
        <v>3116.0</v>
      </c>
      <c r="B3994" s="2" t="s">
        <v>11897</v>
      </c>
      <c r="C3994" s="2">
        <f>IFERROR(__xludf.DUMMYFUNCTION("split(B3994,""_"")"),1310.0)</f>
        <v>1310</v>
      </c>
      <c r="D3994" s="2" t="str">
        <f>IFERROR(__xludf.DUMMYFUNCTION("""COMPUTED_VALUE"""),"NTV")</f>
        <v>NTV</v>
      </c>
      <c r="E3994" s="2" t="str">
        <f>IFERROR(__xludf.DUMMYFUNCTION("""COMPUTED_VALUE"""),"木23")</f>
        <v>木23</v>
      </c>
      <c r="F3994" s="2" t="s">
        <v>11898</v>
      </c>
      <c r="G3994" s="2" t="s">
        <v>11901</v>
      </c>
      <c r="H3994" s="1">
        <v>3.0</v>
      </c>
      <c r="J3994" s="1" t="s">
        <v>1435</v>
      </c>
      <c r="K3994" s="2" t="s">
        <v>11902</v>
      </c>
      <c r="L3994" s="2"/>
      <c r="M3994" s="2" t="str">
        <f>IFERROR(__xludf.DUMMYFUNCTION("split(split(K3994,""【演出"",false),""ほか"",false)"),"原多香子(32):優香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江川伸生(30):新井浩文【第3話】  「放っておけなかった」  そう言って多香子を元不倫相手の黒沢から引き離した晃太郎。多香子にとって晃太郎は7歳年下。しかも婚約者がいる…わかっていても胸が高鳴る"&amp;"多香子。  しかし一転、晃太郎から「余計なことをしてすみません」と謝られ「しばらく仕事以外で話すのは止めましょう」と拒絶される多香子。さらに、晃太郎が生物準備室に婚約者の写真を飾っているという噂が。男心がわからず混乱する多香子は…【原作】  『ハクバノ王子サマ』朔ユキ蔵(小学館刊)【主題歌】  『恋の矢』かりゆし58http://www.ytv.co.jp/hakuba/")</f>
        <v>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江川伸生(30):新井浩文【第3話】  「放っておけなかった」  そう言って多香子を元不倫相手の黒沢から引き離した晃太郎。多香子にとって晃太郎は7歳年下。しかも婚約者がいる…わかっていても胸が高鳴る多香子。  しかし一転、晃太郎から「余計なことをしてすみません」と謝られ「しばらく仕事以外で話すのは止めましょう」と拒絶される多香子。さらに、晃太郎が生物準備室に婚約者の写真を飾っているという噂が。男心がわからず混乱する多香子は…【原作】  『ハクバノ王子サマ』朔ユキ蔵(小学館刊)【主題歌】  『恋の矢』かりゆし58http://www.ytv.co.jp/hakuba/</v>
      </c>
      <c r="N3994" s="2"/>
      <c r="O3994" s="2"/>
      <c r="P3994" s="1"/>
      <c r="Q3994" s="1"/>
      <c r="R3994" s="1"/>
      <c r="S3994" s="1"/>
      <c r="T3994" s="1"/>
      <c r="U3994" s="1"/>
      <c r="V3994" s="1"/>
      <c r="W3994" s="1"/>
      <c r="X3994" s="1"/>
      <c r="Y3994" s="1"/>
      <c r="Z3994" s="1"/>
      <c r="AA3994" s="1"/>
      <c r="AB3994" s="1"/>
      <c r="AC3994" s="1"/>
      <c r="AD3994" s="1"/>
      <c r="AE3994" s="1"/>
      <c r="AF3994" s="1"/>
      <c r="AG3994" s="1"/>
      <c r="AH3994" s="1"/>
      <c r="AI3994" s="1"/>
      <c r="AJ3994" s="1"/>
      <c r="AK3994" s="1"/>
      <c r="AL3994" s="1"/>
      <c r="AM3994" s="1"/>
      <c r="AN3994" s="1"/>
      <c r="AO3994" s="1"/>
      <c r="AP3994" s="1"/>
      <c r="AQ3994" s="1"/>
      <c r="AR3994" s="1"/>
      <c r="AS3994" s="1"/>
      <c r="AT3994" s="1"/>
      <c r="AU3994" s="1"/>
      <c r="AV3994" s="1"/>
      <c r="AW3994" s="1"/>
      <c r="AX3994" s="1"/>
      <c r="AY3994" s="1"/>
      <c r="AZ3994" s="1"/>
      <c r="BA3994" s="1"/>
      <c r="BB3994" s="1"/>
    </row>
    <row r="3995" ht="204.75" customHeight="1">
      <c r="A3995" s="1">
        <v>3117.0</v>
      </c>
      <c r="B3995" s="2" t="s">
        <v>11897</v>
      </c>
      <c r="C3995" s="2">
        <f>IFERROR(__xludf.DUMMYFUNCTION("split(B3995,""_"")"),1310.0)</f>
        <v>1310</v>
      </c>
      <c r="D3995" s="2" t="str">
        <f>IFERROR(__xludf.DUMMYFUNCTION("""COMPUTED_VALUE"""),"NTV")</f>
        <v>NTV</v>
      </c>
      <c r="E3995" s="2" t="str">
        <f>IFERROR(__xludf.DUMMYFUNCTION("""COMPUTED_VALUE"""),"木23")</f>
        <v>木23</v>
      </c>
      <c r="F3995" s="2" t="s">
        <v>11898</v>
      </c>
      <c r="G3995" s="2" t="s">
        <v>11903</v>
      </c>
      <c r="H3995" s="1">
        <v>4.0</v>
      </c>
      <c r="I3995" s="1" t="s">
        <v>2880</v>
      </c>
      <c r="J3995" s="1" t="s">
        <v>1435</v>
      </c>
      <c r="K3995" s="2" t="s">
        <v>11904</v>
      </c>
      <c r="L3995" s="2"/>
      <c r="M3995" s="2" t="str">
        <f>IFERROR(__xludf.DUMMYFUNCTION("split(split(K3995,""【演出"",false),""ほか"",false)"),"原多香子(32):優香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江川伸生(30):新井浩文【第4話】  「意識してしまっています」  7歳年下の晃太郎に、ついに気持ちを伝えた32歳の多香子。しかし彼には婚約者が…。「惨めになるからもう優しくしないでほしい」多香子"&amp;"はそう告げて晃太郎への思いを封じるのだった。  そんな折、晃太郎の妹・琴美に7歳年上の恋人がいることが発覚。諌める晃太郎に、琴美は「タカコサマだって」と反論。30歳を越えているのに年下に恋するなんて気持ち悪い、そう非難された多香子は…【原作】  『ハクバノ王子サマ』朔ユキ蔵(小学館刊)【主題歌】  『恋の矢』かりゆし581～3話までのストーリーを編集した超プレミアム動画『3分でわかる!ハクバノ王子サマ　純愛適齢期』を、読売テレビYouTubeチャンネルで絶賛配信中!    【#ハクバノ王子サマ】で、つぶや"&amp;"こう!http://www.ytv.co.jp/hakuba/")</f>
        <v>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江川伸生(30):新井浩文【第4話】  「意識してしまっています」  7歳年下の晃太郎に、ついに気持ちを伝えた32歳の多香子。しかし彼には婚約者が…。「惨めになるからもう優しくしないでほしい」多香子はそう告げて晃太郎への思いを封じるのだった。  そんな折、晃太郎の妹・琴美に7歳年上の恋人がいることが発覚。諌める晃太郎に、琴美は「タカコサマだって」と反論。30歳を越えているのに年下に恋するなんて気持ち悪い、そう非難された多香子は…【原作】  『ハクバノ王子サマ』朔ユキ蔵(小学館刊)【主題歌】  『恋の矢』かりゆし581～3話までのストーリーを編集した超プレミアム動画『3分でわかる!ハクバノ王子サマ　純愛適齢期』を、読売テレビYouTubeチャンネルで絶賛配信中!    【#ハクバノ王子サマ】で、つぶやこう!http://www.ytv.co.jp/hakuba/</v>
      </c>
      <c r="N3995" s="2"/>
      <c r="O3995" s="2"/>
      <c r="P3995" s="1"/>
      <c r="Q3995" s="1"/>
      <c r="R3995" s="1"/>
      <c r="S3995" s="1"/>
      <c r="T3995" s="1"/>
      <c r="U3995" s="1"/>
      <c r="V3995" s="1"/>
      <c r="W3995" s="1"/>
      <c r="X3995" s="1"/>
      <c r="Y3995" s="1"/>
      <c r="Z3995" s="1"/>
      <c r="AA3995" s="1"/>
      <c r="AB3995" s="1"/>
      <c r="AC3995" s="1"/>
      <c r="AD3995" s="1"/>
      <c r="AE3995" s="1"/>
      <c r="AF3995" s="1"/>
      <c r="AG3995" s="1"/>
      <c r="AH3995" s="1"/>
      <c r="AI3995" s="1"/>
      <c r="AJ3995" s="1"/>
      <c r="AK3995" s="1"/>
      <c r="AL3995" s="1"/>
      <c r="AM3995" s="1"/>
      <c r="AN3995" s="1"/>
      <c r="AO3995" s="1"/>
      <c r="AP3995" s="1"/>
      <c r="AQ3995" s="1"/>
      <c r="AR3995" s="1"/>
      <c r="AS3995" s="1"/>
      <c r="AT3995" s="1"/>
      <c r="AU3995" s="1"/>
      <c r="AV3995" s="1"/>
      <c r="AW3995" s="1"/>
      <c r="AX3995" s="1"/>
      <c r="AY3995" s="1"/>
      <c r="AZ3995" s="1"/>
      <c r="BA3995" s="1"/>
      <c r="BB3995" s="1"/>
    </row>
    <row r="3996" ht="204.75" customHeight="1">
      <c r="A3996" s="1">
        <v>3118.0</v>
      </c>
      <c r="B3996" s="2" t="s">
        <v>11897</v>
      </c>
      <c r="C3996" s="2">
        <f>IFERROR(__xludf.DUMMYFUNCTION("split(B3996,""_"")"),1310.0)</f>
        <v>1310</v>
      </c>
      <c r="D3996" s="2" t="str">
        <f>IFERROR(__xludf.DUMMYFUNCTION("""COMPUTED_VALUE"""),"NTV")</f>
        <v>NTV</v>
      </c>
      <c r="E3996" s="2" t="str">
        <f>IFERROR(__xludf.DUMMYFUNCTION("""COMPUTED_VALUE"""),"木23")</f>
        <v>木23</v>
      </c>
      <c r="F3996" s="2" t="s">
        <v>11898</v>
      </c>
      <c r="G3996" s="2" t="s">
        <v>11905</v>
      </c>
      <c r="H3996" s="1">
        <v>5.0</v>
      </c>
      <c r="I3996" s="1" t="s">
        <v>2884</v>
      </c>
      <c r="J3996" s="1" t="s">
        <v>1435</v>
      </c>
      <c r="K3996" s="2" t="s">
        <v>11906</v>
      </c>
      <c r="L3996" s="2"/>
      <c r="M3996" s="2" t="str">
        <f>IFERROR(__xludf.DUMMYFUNCTION("split(split(K3996,""【演出"",false),""ほか"",false)"),"原多香子(32):優香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江川伸生(30):新井浩文【第5話】  酔い潰れた勢いで多香子を抱きしめながら、婚約者の名前を呼んでしまった7歳年下の晃太郎。それでも、  「一緒にいて楽しかった時間だけが、私のもの」  と自分に言"&amp;"い聞かせる多香子に、見合い話が持ち上がる。それは32歳で未婚の娘を心配した母が仕組んだ見合い。そして、その噂はたちまち学校職員の間に広まることになる。多香子に複雑な感情を抱く晃太郎と、元不倫相手で今だ未練を残す黒沢は心中穏やかでなく…【原作】  『ハクバノ王子サマ』朔ユキ蔵(小学館刊)【主題歌】  『恋の矢』かりゆし58【#ハクバノ王子サマ】で、つぶやこう!http://www.ytv.co.jp/hakuba/")</f>
        <v>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江川伸生(30):新井浩文【第5話】  酔い潰れた勢いで多香子を抱きしめながら、婚約者の名前を呼んでしまった7歳年下の晃太郎。それでも、  「一緒にいて楽しかった時間だけが、私のもの」  と自分に言い聞かせる多香子に、見合い話が持ち上がる。それは32歳で未婚の娘を心配した母が仕組んだ見合い。そして、その噂はたちまち学校職員の間に広まることになる。多香子に複雑な感情を抱く晃太郎と、元不倫相手で今だ未練を残す黒沢は心中穏やかでなく…【原作】  『ハクバノ王子サマ』朔ユキ蔵(小学館刊)【主題歌】  『恋の矢』かりゆし58【#ハクバノ王子サマ】で、つぶやこう!http://www.ytv.co.jp/hakuba/</v>
      </c>
      <c r="N3996" s="2"/>
      <c r="O3996" s="2"/>
      <c r="P3996" s="1"/>
      <c r="Q3996" s="1"/>
      <c r="R3996" s="1"/>
      <c r="S3996" s="1"/>
      <c r="T3996" s="1"/>
      <c r="U3996" s="1"/>
      <c r="V3996" s="1"/>
      <c r="W3996" s="1"/>
      <c r="X3996" s="1"/>
      <c r="Y3996" s="1"/>
      <c r="Z3996" s="1"/>
      <c r="AA3996" s="1"/>
      <c r="AB3996" s="1"/>
      <c r="AC3996" s="1"/>
      <c r="AD3996" s="1"/>
      <c r="AE3996" s="1"/>
      <c r="AF3996" s="1"/>
      <c r="AG3996" s="1"/>
      <c r="AH3996" s="1"/>
      <c r="AI3996" s="1"/>
      <c r="AJ3996" s="1"/>
      <c r="AK3996" s="1"/>
      <c r="AL3996" s="1"/>
      <c r="AM3996" s="1"/>
      <c r="AN3996" s="1"/>
      <c r="AO3996" s="1"/>
      <c r="AP3996" s="1"/>
      <c r="AQ3996" s="1"/>
      <c r="AR3996" s="1"/>
      <c r="AS3996" s="1"/>
      <c r="AT3996" s="1"/>
      <c r="AU3996" s="1"/>
      <c r="AV3996" s="1"/>
      <c r="AW3996" s="1"/>
      <c r="AX3996" s="1"/>
      <c r="AY3996" s="1"/>
      <c r="AZ3996" s="1"/>
      <c r="BA3996" s="1"/>
      <c r="BB3996" s="1"/>
    </row>
    <row r="3997" ht="204.75" customHeight="1">
      <c r="A3997" s="1">
        <v>3119.0</v>
      </c>
      <c r="B3997" s="2" t="s">
        <v>11897</v>
      </c>
      <c r="C3997" s="2">
        <f>IFERROR(__xludf.DUMMYFUNCTION("split(B3997,""_"")"),1310.0)</f>
        <v>1310</v>
      </c>
      <c r="D3997" s="2" t="str">
        <f>IFERROR(__xludf.DUMMYFUNCTION("""COMPUTED_VALUE"""),"NTV")</f>
        <v>NTV</v>
      </c>
      <c r="E3997" s="2" t="str">
        <f>IFERROR(__xludf.DUMMYFUNCTION("""COMPUTED_VALUE"""),"木23")</f>
        <v>木23</v>
      </c>
      <c r="F3997" s="2" t="s">
        <v>11898</v>
      </c>
      <c r="G3997" s="2" t="s">
        <v>11907</v>
      </c>
      <c r="H3997" s="1">
        <v>6.0</v>
      </c>
      <c r="J3997" s="1" t="s">
        <v>1435</v>
      </c>
      <c r="K3997" s="2" t="s">
        <v>11908</v>
      </c>
      <c r="L3997" s="2"/>
      <c r="M3997" s="2" t="str">
        <f>IFERROR(__xludf.DUMMYFUNCTION("split(split(K3997,""【演出"",false),""ほか"",false)"),"原多香子(32):優香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江川伸生(30):新井浩文【第6話】  「家族を捨てるって言ったら、またあの頃に戻れる?」  見合い話を断った帰り道、元不倫相手の黒沢からプロポーズされた多香子。しかし、どうしても一歩踏み込むことが"&amp;"できない。一方、晃太郎は多香子の見合いがどうなったのか、気になって仕方がない。そんな折、独身教師から合コンのセッティングを迫られ、多香子もその合コンに参加することになる。  そして、ついに、あの男と運命的な出来事が…!?【原作】  『ハクバノ王子サマ』朔ユキ蔵(小学館刊)【主題歌】  『恋の矢』かりゆし58【#ハクバノ王子サマ】で、つぶやこう!http://www.ytv.co.jp/hakuba/")</f>
        <v>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江川伸生(30):新井浩文【第6話】  「家族を捨てるって言ったら、またあの頃に戻れる?」  見合い話を断った帰り道、元不倫相手の黒沢からプロポーズされた多香子。しかし、どうしても一歩踏み込むことができない。一方、晃太郎は多香子の見合いがどうなったのか、気になって仕方がない。そんな折、独身教師から合コンのセッティングを迫られ、多香子もその合コンに参加することになる。  そして、ついに、あの男と運命的な出来事が…!?【原作】  『ハクバノ王子サマ』朔ユキ蔵(小学館刊)【主題歌】  『恋の矢』かりゆし58【#ハクバノ王子サマ】で、つぶやこう!http://www.ytv.co.jp/hakuba/</v>
      </c>
      <c r="N3997" s="2"/>
      <c r="O3997" s="2"/>
      <c r="P3997" s="1"/>
      <c r="Q3997" s="1"/>
      <c r="R3997" s="1"/>
      <c r="S3997" s="1"/>
      <c r="T3997" s="1"/>
      <c r="U3997" s="1"/>
      <c r="V3997" s="1"/>
      <c r="W3997" s="1"/>
      <c r="X3997" s="1"/>
      <c r="Y3997" s="1"/>
      <c r="Z3997" s="1"/>
      <c r="AA3997" s="1"/>
      <c r="AB3997" s="1"/>
      <c r="AC3997" s="1"/>
      <c r="AD3997" s="1"/>
      <c r="AE3997" s="1"/>
      <c r="AF3997" s="1"/>
      <c r="AG3997" s="1"/>
      <c r="AH3997" s="1"/>
      <c r="AI3997" s="1"/>
      <c r="AJ3997" s="1"/>
      <c r="AK3997" s="1"/>
      <c r="AL3997" s="1"/>
      <c r="AM3997" s="1"/>
      <c r="AN3997" s="1"/>
      <c r="AO3997" s="1"/>
      <c r="AP3997" s="1"/>
      <c r="AQ3997" s="1"/>
      <c r="AR3997" s="1"/>
      <c r="AS3997" s="1"/>
      <c r="AT3997" s="1"/>
      <c r="AU3997" s="1"/>
      <c r="AV3997" s="1"/>
      <c r="AW3997" s="1"/>
      <c r="AX3997" s="1"/>
      <c r="AY3997" s="1"/>
      <c r="AZ3997" s="1"/>
      <c r="BA3997" s="1"/>
      <c r="BB3997" s="1"/>
    </row>
    <row r="3998" ht="204.75" customHeight="1">
      <c r="A3998" s="1">
        <v>3120.0</v>
      </c>
      <c r="B3998" s="2" t="s">
        <v>11897</v>
      </c>
      <c r="C3998" s="2">
        <f>IFERROR(__xludf.DUMMYFUNCTION("split(B3998,""_"")"),1310.0)</f>
        <v>1310</v>
      </c>
      <c r="D3998" s="2" t="str">
        <f>IFERROR(__xludf.DUMMYFUNCTION("""COMPUTED_VALUE"""),"NTV")</f>
        <v>NTV</v>
      </c>
      <c r="E3998" s="2" t="str">
        <f>IFERROR(__xludf.DUMMYFUNCTION("""COMPUTED_VALUE"""),"木23")</f>
        <v>木23</v>
      </c>
      <c r="F3998" s="2" t="s">
        <v>11898</v>
      </c>
      <c r="G3998" s="2" t="s">
        <v>11909</v>
      </c>
      <c r="H3998" s="1">
        <v>7.0</v>
      </c>
      <c r="I3998" s="1" t="s">
        <v>2892</v>
      </c>
      <c r="J3998" s="1" t="s">
        <v>1435</v>
      </c>
      <c r="K3998" s="2" t="s">
        <v>11910</v>
      </c>
      <c r="L3998" s="2"/>
      <c r="M3998" s="2" t="str">
        <f>IFERROR(__xludf.DUMMYFUNCTION("split(split(K3998,""【演出"",false),""ほか"",false)"),"原多香子(32):優香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江川伸生(30):新井浩文【第7話】  職場を巻き込んだ合コンの帰り道、衝動的に晃太郎の鼻に思わず触れてしまう32歳の多香子。元不倫相手の黒沢には衝動で動くことなどできなかったのに、晃太郎にはそれが"&amp;"できる自分に驚く。一方、合コンを婚約者のカオリに咎められた晃太郎は、多香子と江川をくっつける作戦に協力することになる。胸中複雑な晃太郎。そんな折、2人きりで行った校外学習の下見先の洞窟で、突然多香子は晃太郎に抱きしめられて…!?【原作】  『ハクバノ王子サマ』朔ユキ蔵(小学館刊)【主題歌】  『恋の矢』かりゆし5811月14日(木)よる7時から放送される『ぐるぐるナインティナイン』に中村俊介さんが出演。是非、ご覧ください!    【#ハクバノ王子サマ】で、つぶやこう!    11月9日(土)10日(日)の"&amp;"2日間、ニコニコ生放送で1話から6話を一挙配信。    11月14日から5週にわたって、データ放送でマイレージプレゼント企画を実施!詳しくは、番組ホームページをご覧ください。http://www.ytv.co.jp/hakuba/")</f>
        <v>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江川伸生(30):新井浩文【第7話】  職場を巻き込んだ合コンの帰り道、衝動的に晃太郎の鼻に思わず触れてしまう32歳の多香子。元不倫相手の黒沢には衝動で動くことなどできなかったのに、晃太郎にはそれができる自分に驚く。一方、合コンを婚約者のカオリに咎められた晃太郎は、多香子と江川をくっつける作戦に協力することになる。胸中複雑な晃太郎。そんな折、2人きりで行った校外学習の下見先の洞窟で、突然多香子は晃太郎に抱きしめられて…!?【原作】  『ハクバノ王子サマ』朔ユキ蔵(小学館刊)【主題歌】  『恋の矢』かりゆし5811月14日(木)よる7時から放送される『ぐるぐるナインティナイン』に中村俊介さんが出演。是非、ご覧ください!    【#ハクバノ王子サマ】で、つぶやこう!    11月9日(土)10日(日)の2日間、ニコニコ生放送で1話から6話を一挙配信。    11月14日から5週にわたって、データ放送でマイレージプレゼント企画を実施!詳しくは、番組ホームページをご覧ください。http://www.ytv.co.jp/hakuba/</v>
      </c>
      <c r="N3998" s="2"/>
      <c r="O3998" s="2"/>
      <c r="P3998" s="1"/>
      <c r="Q3998" s="1"/>
      <c r="R3998" s="1"/>
      <c r="S3998" s="1"/>
      <c r="T3998" s="1"/>
      <c r="U3998" s="1"/>
      <c r="V3998" s="1"/>
      <c r="W3998" s="1"/>
      <c r="X3998" s="1"/>
      <c r="Y3998" s="1"/>
      <c r="Z3998" s="1"/>
      <c r="AA3998" s="1"/>
      <c r="AB3998" s="1"/>
      <c r="AC3998" s="1"/>
      <c r="AD3998" s="1"/>
      <c r="AE3998" s="1"/>
      <c r="AF3998" s="1"/>
      <c r="AG3998" s="1"/>
      <c r="AH3998" s="1"/>
      <c r="AI3998" s="1"/>
      <c r="AJ3998" s="1"/>
      <c r="AK3998" s="1"/>
      <c r="AL3998" s="1"/>
      <c r="AM3998" s="1"/>
      <c r="AN3998" s="1"/>
      <c r="AO3998" s="1"/>
      <c r="AP3998" s="1"/>
      <c r="AQ3998" s="1"/>
      <c r="AR3998" s="1"/>
      <c r="AS3998" s="1"/>
      <c r="AT3998" s="1"/>
      <c r="AU3998" s="1"/>
      <c r="AV3998" s="1"/>
      <c r="AW3998" s="1"/>
      <c r="AX3998" s="1"/>
      <c r="AY3998" s="1"/>
      <c r="AZ3998" s="1"/>
      <c r="BA3998" s="1"/>
      <c r="BB3998" s="1"/>
    </row>
    <row r="3999" ht="204.75" customHeight="1">
      <c r="A3999" s="1">
        <v>3121.0</v>
      </c>
      <c r="B3999" s="2" t="s">
        <v>11897</v>
      </c>
      <c r="C3999" s="2">
        <f>IFERROR(__xludf.DUMMYFUNCTION("split(B3999,""_"")"),1310.0)</f>
        <v>1310</v>
      </c>
      <c r="D3999" s="2" t="str">
        <f>IFERROR(__xludf.DUMMYFUNCTION("""COMPUTED_VALUE"""),"NTV")</f>
        <v>NTV</v>
      </c>
      <c r="E3999" s="2" t="str">
        <f>IFERROR(__xludf.DUMMYFUNCTION("""COMPUTED_VALUE"""),"木23")</f>
        <v>木23</v>
      </c>
      <c r="F3999" s="2" t="s">
        <v>11898</v>
      </c>
      <c r="G3999" s="2" t="s">
        <v>11911</v>
      </c>
      <c r="H3999" s="1">
        <v>8.0</v>
      </c>
      <c r="J3999" s="1" t="s">
        <v>1435</v>
      </c>
      <c r="K3999" s="2" t="s">
        <v>11912</v>
      </c>
      <c r="L3999" s="2"/>
      <c r="M3999" s="2" t="str">
        <f>IFERROR(__xludf.DUMMYFUNCTION("split(split(K3999,""【演出"",false),""ほか"",false)"),"原多香子(32):優香  小津晃太郎(25):三浦貴大  黒沢明夫(42):中村俊介    有馬ユウコ(32):市川実和子  森秀美(34):山田真歩  今村高志(25):柳下大  高峰邦広(34):山本浩司  東山カオリ(24):河北麻友子  市川琴美(16):優希美青  佐野英二郎(52):きたろう    洋食店のシェフ:林裕人    江川伸生(30):新井浩文【第8話】  ついに心を通わせキスをした、32歳の多香子と7歳年下の晃太郎。幸せな気分もつかの間、一緒にいる間に担任の生徒が大怪我をし大問題に"&amp;"なる。担任と副担任でありながら音信不通だったことを生徒の母親に責められ、特に新任の晃太郎の立場は危うくなる。晃太郎のために関係を終わらせようとする多香子と、諦められない晃太郎。江川と多香子が急接近したことを知った晃太郎は、いてもたってもいられなくなり…!?【原作】  『ハクバノ王子サマ』朔ユキ蔵(小学館刊)【主題歌】  『恋の矢』かりゆし58http://www.ytv.co.jp/hakuba/11月20日(水)放送『情報ライブ　ミヤネ屋』の人気コーナー「愛のスパルタ料理塾」に山田真歩さんが出演。そして"&amp;"21日(木)にもお楽しみ企画が!  是非ご覧ください!  【#ハクバノ王子サマ】でつぶやこう!データ放送でマイレージプレゼント企画を実施中!詳しくは、番組ホームページをご覧ください。")</f>
        <v>原多香子(32):優香  小津晃太郎(25):三浦貴大  黒沢明夫(42):中村俊介    有馬ユウコ(32):市川実和子  森秀美(34):山田真歩  今村高志(25):柳下大  高峰邦広(34):山本浩司  東山カオリ(24):河北麻友子  市川琴美(16):優希美青  佐野英二郎(52):きたろう    洋食店のシェフ:林裕人    江川伸生(30):新井浩文【第8話】  ついに心を通わせキスをした、32歳の多香子と7歳年下の晃太郎。幸せな気分もつかの間、一緒にいる間に担任の生徒が大怪我をし大問題になる。担任と副担任でありながら音信不通だったことを生徒の母親に責められ、特に新任の晃太郎の立場は危うくなる。晃太郎のために関係を終わらせようとする多香子と、諦められない晃太郎。江川と多香子が急接近したことを知った晃太郎は、いてもたってもいられなくなり…!?【原作】  『ハクバノ王子サマ』朔ユキ蔵(小学館刊)【主題歌】  『恋の矢』かりゆし58http://www.ytv.co.jp/hakuba/11月20日(水)放送『情報ライブ　ミヤネ屋』の人気コーナー「愛のスパルタ料理塾」に山田真歩さんが出演。そして21日(木)にもお楽しみ企画が!  是非ご覧ください!  【#ハクバノ王子サマ】でつぶやこう!データ放送でマイレージプレゼント企画を実施中!詳しくは、番組ホームページをご覧ください。</v>
      </c>
      <c r="N3999" s="2"/>
      <c r="O3999" s="2"/>
      <c r="P3999" s="1"/>
      <c r="Q3999" s="1"/>
      <c r="R3999" s="1"/>
      <c r="S3999" s="1"/>
      <c r="T3999" s="1"/>
      <c r="U3999" s="1"/>
      <c r="V3999" s="1"/>
      <c r="W3999" s="1"/>
      <c r="X3999" s="1"/>
      <c r="Y3999" s="1"/>
      <c r="Z3999" s="1"/>
      <c r="AA3999" s="1"/>
      <c r="AB3999" s="1"/>
      <c r="AC3999" s="1"/>
      <c r="AD3999" s="1"/>
      <c r="AE3999" s="1"/>
      <c r="AF3999" s="1"/>
      <c r="AG3999" s="1"/>
      <c r="AH3999" s="1"/>
      <c r="AI3999" s="1"/>
      <c r="AJ3999" s="1"/>
      <c r="AK3999" s="1"/>
      <c r="AL3999" s="1"/>
      <c r="AM3999" s="1"/>
      <c r="AN3999" s="1"/>
      <c r="AO3999" s="1"/>
      <c r="AP3999" s="1"/>
      <c r="AQ3999" s="1"/>
      <c r="AR3999" s="1"/>
      <c r="AS3999" s="1"/>
      <c r="AT3999" s="1"/>
      <c r="AU3999" s="1"/>
      <c r="AV3999" s="1"/>
      <c r="AW3999" s="1"/>
      <c r="AX3999" s="1"/>
      <c r="AY3999" s="1"/>
      <c r="AZ3999" s="1"/>
      <c r="BA3999" s="1"/>
      <c r="BB3999" s="1"/>
    </row>
    <row r="4000" ht="204.75" customHeight="1">
      <c r="A4000" s="1">
        <v>3122.0</v>
      </c>
      <c r="B4000" s="2" t="s">
        <v>11897</v>
      </c>
      <c r="C4000" s="2">
        <f>IFERROR(__xludf.DUMMYFUNCTION("split(B4000,""_"")"),1310.0)</f>
        <v>1310</v>
      </c>
      <c r="D4000" s="2" t="str">
        <f>IFERROR(__xludf.DUMMYFUNCTION("""COMPUTED_VALUE"""),"NTV")</f>
        <v>NTV</v>
      </c>
      <c r="E4000" s="2" t="str">
        <f>IFERROR(__xludf.DUMMYFUNCTION("""COMPUTED_VALUE"""),"木23")</f>
        <v>木23</v>
      </c>
      <c r="F4000" s="2" t="s">
        <v>11898</v>
      </c>
      <c r="G4000" s="2" t="s">
        <v>11913</v>
      </c>
      <c r="H4000" s="1">
        <v>9.0</v>
      </c>
      <c r="I4000" s="1" t="s">
        <v>2900</v>
      </c>
      <c r="J4000" s="1" t="s">
        <v>1435</v>
      </c>
      <c r="K4000" s="2" t="s">
        <v>11914</v>
      </c>
      <c r="L4000" s="2"/>
      <c r="M4000" s="2" t="str">
        <f>IFERROR(__xludf.DUMMYFUNCTION("split(split(K4000,""【演出"",false),""ほか"",false)"),"原多香子(32):優香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江川伸生(30):新井浩文【第9話】  晃太郎の婚約者・カオリが突然帰国した。多香子と晃太郎が気持ちを確かめ合った直後の出来事。手作り弁当を持って堂々と職場にやってくるカオリに動揺する多香子は別れを"&amp;"覚悟するが、晃太郎は意外にも  「カオリとの婚約を解消しようと思います」  と告げる。  しかしカオリの帰国には、晃太郎の決心を揺さぶる大きな理由があった。さらに一方では、元不倫相手・黒沢の妻が多香子の実家に乗り込んできて…!?【原作】  『ハクバノ王子サマ』朔ユキ蔵(小学館刊)【主題歌】  『恋の矢』かりゆし58【#ハクバノ王子サマ】で、つぶやこう!    データ放送でマイレージプレゼント企画を実施!詳しくは、番組ホームページをご覧ください。http://www.ytv.co.jp/hakuba/")</f>
        <v>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江川伸生(30):新井浩文【第9話】  晃太郎の婚約者・カオリが突然帰国した。多香子と晃太郎が気持ちを確かめ合った直後の出来事。手作り弁当を持って堂々と職場にやってくるカオリに動揺する多香子は別れを覚悟するが、晃太郎は意外にも  「カオリとの婚約を解消しようと思います」  と告げる。  しかしカオリの帰国には、晃太郎の決心を揺さぶる大きな理由があった。さらに一方では、元不倫相手・黒沢の妻が多香子の実家に乗り込んできて…!?【原作】  『ハクバノ王子サマ』朔ユキ蔵(小学館刊)【主題歌】  『恋の矢』かりゆし58【#ハクバノ王子サマ】で、つぶやこう!    データ放送でマイレージプレゼント企画を実施!詳しくは、番組ホームページをご覧ください。http://www.ytv.co.jp/hakuba/</v>
      </c>
      <c r="N4000" s="2"/>
      <c r="O4000" s="2"/>
      <c r="P4000" s="1"/>
      <c r="Q4000" s="1"/>
      <c r="R4000" s="1"/>
      <c r="S4000" s="1"/>
      <c r="T4000" s="1"/>
      <c r="U4000" s="1"/>
      <c r="V4000" s="1"/>
      <c r="W4000" s="1"/>
      <c r="X4000" s="1"/>
      <c r="Y4000" s="1"/>
      <c r="Z4000" s="1"/>
      <c r="AA4000" s="1"/>
      <c r="AB4000" s="1"/>
      <c r="AC4000" s="1"/>
      <c r="AD4000" s="1"/>
      <c r="AE4000" s="1"/>
      <c r="AF4000" s="1"/>
      <c r="AG4000" s="1"/>
      <c r="AH4000" s="1"/>
      <c r="AI4000" s="1"/>
      <c r="AJ4000" s="1"/>
      <c r="AK4000" s="1"/>
      <c r="AL4000" s="1"/>
      <c r="AM4000" s="1"/>
      <c r="AN4000" s="1"/>
      <c r="AO4000" s="1"/>
      <c r="AP4000" s="1"/>
      <c r="AQ4000" s="1"/>
      <c r="AR4000" s="1"/>
      <c r="AS4000" s="1"/>
      <c r="AT4000" s="1"/>
      <c r="AU4000" s="1"/>
      <c r="AV4000" s="1"/>
      <c r="AW4000" s="1"/>
      <c r="AX4000" s="1"/>
      <c r="AY4000" s="1"/>
      <c r="AZ4000" s="1"/>
      <c r="BA4000" s="1"/>
      <c r="BB4000" s="1"/>
    </row>
    <row r="4001" ht="204.75" customHeight="1">
      <c r="A4001" s="1">
        <v>3123.0</v>
      </c>
      <c r="B4001" s="2" t="s">
        <v>11897</v>
      </c>
      <c r="C4001" s="2">
        <f>IFERROR(__xludf.DUMMYFUNCTION("split(B4001,""_"")"),1310.0)</f>
        <v>1310</v>
      </c>
      <c r="D4001" s="2" t="str">
        <f>IFERROR(__xludf.DUMMYFUNCTION("""COMPUTED_VALUE"""),"NTV")</f>
        <v>NTV</v>
      </c>
      <c r="E4001" s="2" t="str">
        <f>IFERROR(__xludf.DUMMYFUNCTION("""COMPUTED_VALUE"""),"木23")</f>
        <v>木23</v>
      </c>
      <c r="F4001" s="2" t="s">
        <v>11898</v>
      </c>
      <c r="G4001" s="2" t="s">
        <v>11915</v>
      </c>
      <c r="H4001" s="1">
        <v>10.0</v>
      </c>
      <c r="I4001" s="1" t="s">
        <v>37</v>
      </c>
      <c r="J4001" s="1" t="s">
        <v>1435</v>
      </c>
      <c r="K4001" s="2" t="s">
        <v>11916</v>
      </c>
      <c r="L4001" s="2"/>
      <c r="M4001" s="2" t="str">
        <f>IFERROR(__xludf.DUMMYFUNCTION("split(split(K4001,""【演出"",false),""ほか"",false)"),"原多香子(32):優香  小津晃太郎(25):三浦貴大  黒沢明夫(42):中村俊介    有馬ユウコ(32):市川実和子  森秀美(35):山田真歩  今村高志(25):柳下大  高峰邦広(34):山本浩司  東山カオリ(24):河北麻友子  市川琴美(16):優希美青  佐野英二郎(52):きたろう    江川伸生(30):新井浩文【第10話】  晃太郎の婚約者・カオリの突然の帰国。  「コウくんに手を出すの、やめてもらえますか?」  真っ向からカオリにそう告げられた多香子は、改めて7歳の年の差を痛感"&amp;"。カオリと別れると言った晃太郎の言葉を信じられず、晃太郎と距離を置くことを決意する。  すれ違ったまま迎えた終業式。クリスマスーー居心地の悪い実家で過ごす多香子に、「会って下さい」と晃太郎から誘いのメールが届くが…!?【原作】  『ハクバノ王子サマ』朔ユキ蔵(小学館刊)【主題歌】  『恋の矢』かりゆし58【#ハクバノ王子サマ】で、つぶやこう!    データ放送でマイレージプレゼント企画を実施!詳しくは、番組ホームページをご覧ください。http://www.ytv.co.jp/hakuba/")</f>
        <v>原多香子(32):優香  小津晃太郎(25):三浦貴大  黒沢明夫(42):中村俊介    有馬ユウコ(32):市川実和子  森秀美(35):山田真歩  今村高志(25):柳下大  高峰邦広(34):山本浩司  東山カオリ(24):河北麻友子  市川琴美(16):優希美青  佐野英二郎(52):きたろう    江川伸生(30):新井浩文【第10話】  晃太郎の婚約者・カオリの突然の帰国。  「コウくんに手を出すの、やめてもらえますか?」  真っ向からカオリにそう告げられた多香子は、改めて7歳の年の差を痛感。カオリと別れると言った晃太郎の言葉を信じられず、晃太郎と距離を置くことを決意する。  すれ違ったまま迎えた終業式。クリスマスーー居心地の悪い実家で過ごす多香子に、「会って下さい」と晃太郎から誘いのメールが届くが…!?【原作】  『ハクバノ王子サマ』朔ユキ蔵(小学館刊)【主題歌】  『恋の矢』かりゆし58【#ハクバノ王子サマ】で、つぶやこう!    データ放送でマイレージプレゼント企画を実施!詳しくは、番組ホームページをご覧ください。http://www.ytv.co.jp/hakuba/</v>
      </c>
      <c r="N4001" s="2"/>
      <c r="O4001" s="2"/>
      <c r="P4001" s="1"/>
      <c r="Q4001" s="1"/>
      <c r="R4001" s="1"/>
      <c r="S4001" s="1"/>
      <c r="T4001" s="1"/>
      <c r="U4001" s="1"/>
      <c r="V4001" s="1"/>
      <c r="W4001" s="1"/>
      <c r="X4001" s="1"/>
      <c r="Y4001" s="1"/>
      <c r="Z4001" s="1"/>
      <c r="AA4001" s="1"/>
      <c r="AB4001" s="1"/>
      <c r="AC4001" s="1"/>
      <c r="AD4001" s="1"/>
      <c r="AE4001" s="1"/>
      <c r="AF4001" s="1"/>
      <c r="AG4001" s="1"/>
      <c r="AH4001" s="1"/>
      <c r="AI4001" s="1"/>
      <c r="AJ4001" s="1"/>
      <c r="AK4001" s="1"/>
      <c r="AL4001" s="1"/>
      <c r="AM4001" s="1"/>
      <c r="AN4001" s="1"/>
      <c r="AO4001" s="1"/>
      <c r="AP4001" s="1"/>
      <c r="AQ4001" s="1"/>
      <c r="AR4001" s="1"/>
      <c r="AS4001" s="1"/>
      <c r="AT4001" s="1"/>
      <c r="AU4001" s="1"/>
      <c r="AV4001" s="1"/>
      <c r="AW4001" s="1"/>
      <c r="AX4001" s="1"/>
      <c r="AY4001" s="1"/>
      <c r="AZ4001" s="1"/>
      <c r="BA4001" s="1"/>
      <c r="BB4001" s="1"/>
    </row>
    <row r="4002" ht="204.75" customHeight="1">
      <c r="A4002" s="1">
        <v>3149.0</v>
      </c>
      <c r="B4002" s="2" t="s">
        <v>11917</v>
      </c>
      <c r="C4002" s="2">
        <f>IFERROR(__xludf.DUMMYFUNCTION("split(B4002,""_"")"),1310.0)</f>
        <v>1310</v>
      </c>
      <c r="D4002" s="2" t="str">
        <f>IFERROR(__xludf.DUMMYFUNCTION("""COMPUTED_VALUE"""),"NTV")</f>
        <v>NTV</v>
      </c>
      <c r="E4002" s="2" t="str">
        <f>IFERROR(__xludf.DUMMYFUNCTION("""COMPUTED_VALUE"""),"土21")</f>
        <v>土21</v>
      </c>
      <c r="F4002" s="2" t="s">
        <v>11918</v>
      </c>
      <c r="G4002" s="2" t="s">
        <v>11919</v>
      </c>
      <c r="H4002" s="1">
        <v>1.0</v>
      </c>
      <c r="I4002" s="1" t="s">
        <v>2868</v>
      </c>
      <c r="J4002" s="1" t="s">
        <v>4</v>
      </c>
      <c r="K4002" s="2" t="s">
        <v>11920</v>
      </c>
      <c r="L4002" s="2"/>
      <c r="M4002" s="2" t="str">
        <f>IFERROR(__xludf.DUMMYFUNCTION("split(split(K4002,""【演出"",false),""ほか"",false)"),"亀梨和也、多部未華子、ミムラ、金子ノブアキ、平愛梨、尾澤ルナ(子役)、君野夢真(子役)、ジョナサン・シェア、井ノ原快彦(友情出演)、片桐はいり、ベンガル、光石研、平泉成、玉置浩二　")</f>
        <v>亀梨和也、多部未華子、ミムラ、金子ノブアキ、平愛梨、尾澤ルナ(子役)、君野夢真(子役)、ジョナサン・シェア、井ノ原快彦(友情出演)、片桐はいり、ベンガル、光石研、平泉成、玉置浩二　</v>
      </c>
      <c r="N4002" s="2" t="str">
        <f>IFERROR(__xludf.DUMMYFUNCTION("""COMPUTED_VALUE"""),"  【語り】加賀まりこ映像化したい小説第1位、遂にドラマ化!(ダ・ヴィンチ2009年12号)  古書店「東京バンドワゴン」を営む4世代8人家族の堀田家は、いつも賑やか。  次男の青(亀梨和也)は、伝説のロッカーの父・我南人(玉置浩二)と喧嘩ばかり。  ある日、悪酔いした青は女子大生のすずみ(多部未華子)と最悪な出会いを果たす。  一方「東京バンドワゴン」の店の本棚で、百科事典が消えたり現れたりする!青たちは、その謎を探り始め…狩山俊輔【原作】「東京バンドワゴン」シリーズ　小路幸也(集英社刊)  【脚本】大"&amp;"森美香金子隆博【チーフプロデューサー】伊藤響  【プロデューサー】池田健司、原藤一輝(ジェイ・ストーム)、秋元孝之  【制作会社】オフィスクレッシェンド")</f>
        <v>  【語り】加賀まりこ映像化したい小説第1位、遂にドラマ化!(ダ・ヴィンチ2009年12号)  古書店「東京バンドワゴン」を営む4世代8人家族の堀田家は、いつも賑やか。  次男の青(亀梨和也)は、伝説のロッカーの父・我南人(玉置浩二)と喧嘩ばかり。  ある日、悪酔いした青は女子大生のすずみ(多部未華子)と最悪な出会いを果たす。  一方「東京バンドワゴン」の店の本棚で、百科事典が消えたり現れたりする!青たちは、その謎を探り始め…狩山俊輔【原作】「東京バンドワゴン」シリーズ　小路幸也(集英社刊)  【脚本】大森美香金子隆博【チーフプロデューサー】伊藤響  【プロデューサー】池田健司、原藤一輝(ジェイ・ストーム)、秋元孝之  【制作会社】オフィスクレッシェンド</v>
      </c>
      <c r="O4002" s="2"/>
      <c r="P4002" s="1"/>
      <c r="Q4002" s="1"/>
      <c r="R4002" s="1"/>
      <c r="S4002" s="1"/>
      <c r="T4002" s="1"/>
      <c r="U4002" s="1"/>
      <c r="V4002" s="1"/>
      <c r="W4002" s="1"/>
      <c r="X4002" s="1"/>
      <c r="Y4002" s="1"/>
      <c r="Z4002" s="1"/>
      <c r="AA4002" s="1"/>
      <c r="AB4002" s="1"/>
      <c r="AC4002" s="1"/>
      <c r="AD4002" s="1"/>
      <c r="AE4002" s="1"/>
      <c r="AF4002" s="1"/>
      <c r="AG4002" s="1"/>
      <c r="AH4002" s="1"/>
      <c r="AI4002" s="1"/>
      <c r="AJ4002" s="1"/>
      <c r="AK4002" s="1"/>
      <c r="AL4002" s="1"/>
      <c r="AM4002" s="1"/>
      <c r="AN4002" s="1"/>
      <c r="AO4002" s="1"/>
      <c r="AP4002" s="1"/>
      <c r="AQ4002" s="1"/>
      <c r="AR4002" s="1"/>
      <c r="AS4002" s="1"/>
      <c r="AT4002" s="1"/>
      <c r="AU4002" s="1"/>
      <c r="AV4002" s="1"/>
      <c r="AW4002" s="1"/>
      <c r="AX4002" s="1"/>
      <c r="AY4002" s="1"/>
      <c r="AZ4002" s="1"/>
      <c r="BA4002" s="1"/>
      <c r="BB4002" s="1"/>
    </row>
    <row r="4003" ht="204.75" customHeight="1">
      <c r="A4003" s="1">
        <v>3150.0</v>
      </c>
      <c r="B4003" s="2" t="s">
        <v>11917</v>
      </c>
      <c r="C4003" s="2">
        <f>IFERROR(__xludf.DUMMYFUNCTION("split(B4003,""_"")"),1310.0)</f>
        <v>1310</v>
      </c>
      <c r="D4003" s="2" t="str">
        <f>IFERROR(__xludf.DUMMYFUNCTION("""COMPUTED_VALUE"""),"NTV")</f>
        <v>NTV</v>
      </c>
      <c r="E4003" s="2" t="str">
        <f>IFERROR(__xludf.DUMMYFUNCTION("""COMPUTED_VALUE"""),"土21")</f>
        <v>土21</v>
      </c>
      <c r="F4003" s="2" t="s">
        <v>11918</v>
      </c>
      <c r="G4003" s="2" t="s">
        <v>11921</v>
      </c>
      <c r="H4003" s="1">
        <v>2.0</v>
      </c>
      <c r="I4003" s="1" t="s">
        <v>2872</v>
      </c>
      <c r="J4003" s="1" t="s">
        <v>11</v>
      </c>
      <c r="K4003" s="2" t="s">
        <v>11922</v>
      </c>
      <c r="L4003" s="2"/>
      <c r="M4003" s="2" t="str">
        <f>IFERROR(__xludf.DUMMYFUNCTION("split(split(K4003,""【演出"",false),""ほか"",false)"),"亀梨和也、多部未華子、ミムラ、金子ノブアキ、平愛梨、尾澤ルナ(子役)、君野夢真(子役)、ジョナサン・シェア、中島裕翔、井ノ原快彦(友情出演)、片桐はいり、ベンガル、光石研、平泉成、玉置浩二　")</f>
        <v>亀梨和也、多部未華子、ミムラ、金子ノブアキ、平愛梨、尾澤ルナ(子役)、君野夢真(子役)、ジョナサン・シェア、中島裕翔、井ノ原快彦(友情出演)、片桐はいり、ベンガル、光石研、平泉成、玉置浩二　</v>
      </c>
      <c r="N4003" s="2" t="str">
        <f>IFERROR(__xludf.DUMMYFUNCTION("""COMPUTED_VALUE"""),"  【語り】加賀まりこ東京バンドワゴンですずみ(多部未華子)と再会し喜ぶ青(亀梨和也)だったが、ちょっとした誤解からすずみは怒り、帰ってしまう。近所に住む裕太(中島裕翔)が祖父の遺品である古書を売りに来る。裕太の母親が詐欺の被害に遭い、お金の工面をしなければならないと言う。その古書には長方形にくり抜かれた謎の穴が!一方、カフェには大金と一緒に赤ちゃんが置き去りに!我南人(玉置浩二)は母親を知っていると言い出し…。狩山俊輔【原作】「東京バンドワゴン」シリーズ　小路幸也(集英社刊)  【脚本】大森美香金子隆博"&amp;"【チーフプロデューサー】伊藤響  【プロデューサー】池田健司、原藤一輝(ジェイ・ストーム)、秋元孝之  【制作会社】オフィスクレッシェンド")</f>
        <v>  【語り】加賀まりこ東京バンドワゴンですずみ(多部未華子)と再会し喜ぶ青(亀梨和也)だったが、ちょっとした誤解からすずみは怒り、帰ってしまう。近所に住む裕太(中島裕翔)が祖父の遺品である古書を売りに来る。裕太の母親が詐欺の被害に遭い、お金の工面をしなければならないと言う。その古書には長方形にくり抜かれた謎の穴が!一方、カフェには大金と一緒に赤ちゃんが置き去りに!我南人(玉置浩二)は母親を知っていると言い出し…。狩山俊輔【原作】「東京バンドワゴン」シリーズ　小路幸也(集英社刊)  【脚本】大森美香金子隆博【チーフプロデューサー】伊藤響  【プロデューサー】池田健司、原藤一輝(ジェイ・ストーム)、秋元孝之  【制作会社】オフィスクレッシェンド</v>
      </c>
      <c r="O4003" s="2"/>
      <c r="P4003" s="1"/>
      <c r="Q4003" s="1"/>
      <c r="R4003" s="1"/>
      <c r="S4003" s="1"/>
      <c r="T4003" s="1"/>
      <c r="U4003" s="1"/>
      <c r="V4003" s="1"/>
      <c r="W4003" s="1"/>
      <c r="X4003" s="1"/>
      <c r="Y4003" s="1"/>
      <c r="Z4003" s="1"/>
      <c r="AA4003" s="1"/>
      <c r="AB4003" s="1"/>
      <c r="AC4003" s="1"/>
      <c r="AD4003" s="1"/>
      <c r="AE4003" s="1"/>
      <c r="AF4003" s="1"/>
      <c r="AG4003" s="1"/>
      <c r="AH4003" s="1"/>
      <c r="AI4003" s="1"/>
      <c r="AJ4003" s="1"/>
      <c r="AK4003" s="1"/>
      <c r="AL4003" s="1"/>
      <c r="AM4003" s="1"/>
      <c r="AN4003" s="1"/>
      <c r="AO4003" s="1"/>
      <c r="AP4003" s="1"/>
      <c r="AQ4003" s="1"/>
      <c r="AR4003" s="1"/>
      <c r="AS4003" s="1"/>
      <c r="AT4003" s="1"/>
      <c r="AU4003" s="1"/>
      <c r="AV4003" s="1"/>
      <c r="AW4003" s="1"/>
      <c r="AX4003" s="1"/>
      <c r="AY4003" s="1"/>
      <c r="AZ4003" s="1"/>
      <c r="BA4003" s="1"/>
      <c r="BB4003" s="1"/>
    </row>
    <row r="4004" ht="204.75" customHeight="1">
      <c r="A4004" s="1">
        <v>3151.0</v>
      </c>
      <c r="B4004" s="2" t="s">
        <v>11917</v>
      </c>
      <c r="C4004" s="2">
        <f>IFERROR(__xludf.DUMMYFUNCTION("split(B4004,""_"")"),1310.0)</f>
        <v>1310</v>
      </c>
      <c r="D4004" s="2" t="str">
        <f>IFERROR(__xludf.DUMMYFUNCTION("""COMPUTED_VALUE"""),"NTV")</f>
        <v>NTV</v>
      </c>
      <c r="E4004" s="2" t="str">
        <f>IFERROR(__xludf.DUMMYFUNCTION("""COMPUTED_VALUE"""),"土21")</f>
        <v>土21</v>
      </c>
      <c r="F4004" s="2" t="s">
        <v>11918</v>
      </c>
      <c r="G4004" s="2" t="s">
        <v>11923</v>
      </c>
      <c r="H4004" s="1">
        <v>3.0</v>
      </c>
      <c r="I4004" s="1" t="s">
        <v>2876</v>
      </c>
      <c r="J4004" s="1" t="s">
        <v>11</v>
      </c>
      <c r="K4004" s="2" t="s">
        <v>11924</v>
      </c>
      <c r="L4004" s="2"/>
      <c r="M4004" s="2" t="str">
        <f>IFERROR(__xludf.DUMMYFUNCTION("split(split(K4004,""【演出"",false),""ほか"",false)"),"亀梨和也、多部未華子、ミムラ、金子ノブアキ、平愛梨、尾澤ルナ(子役)、君野夢真(子役)、ジョナサン・シェア、井ノ原快彦(友情出演)、片桐はいり、ベンガル、光石研、平泉成、玉置浩二　")</f>
        <v>亀梨和也、多部未華子、ミムラ、金子ノブアキ、平愛梨、尾澤ルナ(子役)、君野夢真(子役)、ジョナサン・シェア、井ノ原快彦(友情出演)、片桐はいり、ベンガル、光石研、平泉成、玉置浩二　</v>
      </c>
      <c r="N4004" s="2" t="str">
        <f>IFERROR(__xludf.DUMMYFUNCTION("""COMPUTED_VALUE"""),"  【語り】加賀まりこ　【ゲスト】佐戸井けん太、上遠野太洸すずみ(多部未華子)に約束をすっぽかされた青(亀梨和也)。名前すら知らない青は連絡もできず落ち込む。堀田家ではいつも元気な亜美(平愛梨)の様子がおかしい。実は、亜美の母が入院したが、親の反対を押し切って結婚したため、実家に帰れない。そして家の近くには怪しいストーカーの影が…。ある日、すずみが店にやってきて青の押しかけ女房になると宣言!戸惑う青にすずみは「お嫁さんにしてください」とプロポーズする!")</f>
        <v>  【語り】加賀まりこ　【ゲスト】佐戸井けん太、上遠野太洸すずみ(多部未華子)に約束をすっぽかされた青(亀梨和也)。名前すら知らない青は連絡もできず落ち込む。堀田家ではいつも元気な亜美(平愛梨)の様子がおかしい。実は、亜美の母が入院したが、親の反対を押し切って結婚したため、実家に帰れない。そして家の近くには怪しいストーカーの影が…。ある日、すずみが店にやってきて青の押しかけ女房になると宣言!戸惑う青にすずみは「お嫁さんにしてください」とプロポーズする!</v>
      </c>
      <c r="O4004" s="2"/>
      <c r="P4004" s="1"/>
      <c r="Q4004" s="1"/>
      <c r="R4004" s="1"/>
      <c r="S4004" s="1"/>
      <c r="T4004" s="1"/>
      <c r="U4004" s="1"/>
      <c r="V4004" s="1"/>
      <c r="W4004" s="1"/>
      <c r="X4004" s="1"/>
      <c r="Y4004" s="1"/>
      <c r="Z4004" s="1"/>
      <c r="AA4004" s="1"/>
      <c r="AB4004" s="1"/>
      <c r="AC4004" s="1"/>
      <c r="AD4004" s="1"/>
      <c r="AE4004" s="1"/>
      <c r="AF4004" s="1"/>
      <c r="AG4004" s="1"/>
      <c r="AH4004" s="1"/>
      <c r="AI4004" s="1"/>
      <c r="AJ4004" s="1"/>
      <c r="AK4004" s="1"/>
      <c r="AL4004" s="1"/>
      <c r="AM4004" s="1"/>
      <c r="AN4004" s="1"/>
      <c r="AO4004" s="1"/>
      <c r="AP4004" s="1"/>
      <c r="AQ4004" s="1"/>
      <c r="AR4004" s="1"/>
      <c r="AS4004" s="1"/>
      <c r="AT4004" s="1"/>
      <c r="AU4004" s="1"/>
      <c r="AV4004" s="1"/>
      <c r="AW4004" s="1"/>
      <c r="AX4004" s="1"/>
      <c r="AY4004" s="1"/>
      <c r="AZ4004" s="1"/>
      <c r="BA4004" s="1"/>
      <c r="BB4004" s="1"/>
    </row>
    <row r="4005" ht="204.75" customHeight="1">
      <c r="A4005" s="1">
        <v>3152.0</v>
      </c>
      <c r="B4005" s="2" t="s">
        <v>11917</v>
      </c>
      <c r="C4005" s="2">
        <f>IFERROR(__xludf.DUMMYFUNCTION("split(B4005,""_"")"),1310.0)</f>
        <v>1310</v>
      </c>
      <c r="D4005" s="2" t="str">
        <f>IFERROR(__xludf.DUMMYFUNCTION("""COMPUTED_VALUE"""),"NTV")</f>
        <v>NTV</v>
      </c>
      <c r="E4005" s="2" t="str">
        <f>IFERROR(__xludf.DUMMYFUNCTION("""COMPUTED_VALUE"""),"土21")</f>
        <v>土21</v>
      </c>
      <c r="F4005" s="2" t="s">
        <v>11918</v>
      </c>
      <c r="G4005" s="2" t="s">
        <v>11925</v>
      </c>
      <c r="H4005" s="1">
        <v>4.0</v>
      </c>
      <c r="I4005" s="1" t="s">
        <v>2880</v>
      </c>
      <c r="J4005" s="1" t="s">
        <v>11</v>
      </c>
      <c r="K4005" s="2" t="s">
        <v>11926</v>
      </c>
      <c r="L4005" s="2"/>
      <c r="M4005" s="2" t="str">
        <f>IFERROR(__xludf.DUMMYFUNCTION("split(split(K4005,""【演出"",false),""ほか"",false)"),"亀梨和也、多部未華子、ミムラ、金子ノブアキ、平愛梨、尾澤ルナ(子役)、君野夢真(子役)、ジョナサン・シェア、井ノ原快彦(友情出演)、片桐はいり、ベンガル、光石研、平泉成、玉置浩二　")</f>
        <v>亀梨和也、多部未華子、ミムラ、金子ノブアキ、平愛梨、尾澤ルナ(子役)、君野夢真(子役)、ジョナサン・シェア、井ノ原快彦(友情出演)、片桐はいり、ベンガル、光石研、平泉成、玉置浩二　</v>
      </c>
      <c r="N4005" s="2" t="str">
        <f>IFERROR(__xludf.DUMMYFUNCTION("""COMPUTED_VALUE"""),"  【語り】加賀まりこ  【ゲスト】入山法子みすずと名乗り、青(亀梨和也)の押しかけ女房として堀田家で暮らし始めたすずみ(多部未華子)。偽名と知る青は、すずみに理由を尋ねるが話そうとしない。花陽(尾澤ルナ)は皆に「青は騙されている」と話す。母親の藍子(ミムラ)はすずみに謝り、花陽は父親を知らず育ったと打ち明ける。  そんな中、書庫荒らし事件が起きる!紺(金子ノブアキ)もすずみを疑い、青とケンカしてしまう。ある日、藍子の絵が誰かに切り裂かれ…")</f>
        <v>  【語り】加賀まりこ  【ゲスト】入山法子みすずと名乗り、青(亀梨和也)の押しかけ女房として堀田家で暮らし始めたすずみ(多部未華子)。偽名と知る青は、すずみに理由を尋ねるが話そうとしない。花陽(尾澤ルナ)は皆に「青は騙されている」と話す。母親の藍子(ミムラ)はすずみに謝り、花陽は父親を知らず育ったと打ち明ける。  そんな中、書庫荒らし事件が起きる!紺(金子ノブアキ)もすずみを疑い、青とケンカしてしまう。ある日、藍子の絵が誰かに切り裂かれ…</v>
      </c>
      <c r="O4005" s="2"/>
      <c r="P4005" s="1"/>
      <c r="Q4005" s="1"/>
      <c r="R4005" s="1"/>
      <c r="S4005" s="1"/>
      <c r="T4005" s="1"/>
      <c r="U4005" s="1"/>
      <c r="V4005" s="1"/>
      <c r="W4005" s="1"/>
      <c r="X4005" s="1"/>
      <c r="Y4005" s="1"/>
      <c r="Z4005" s="1"/>
      <c r="AA4005" s="1"/>
      <c r="AB4005" s="1"/>
      <c r="AC4005" s="1"/>
      <c r="AD4005" s="1"/>
      <c r="AE4005" s="1"/>
      <c r="AF4005" s="1"/>
      <c r="AG4005" s="1"/>
      <c r="AH4005" s="1"/>
      <c r="AI4005" s="1"/>
      <c r="AJ4005" s="1"/>
      <c r="AK4005" s="1"/>
      <c r="AL4005" s="1"/>
      <c r="AM4005" s="1"/>
      <c r="AN4005" s="1"/>
      <c r="AO4005" s="1"/>
      <c r="AP4005" s="1"/>
      <c r="AQ4005" s="1"/>
      <c r="AR4005" s="1"/>
      <c r="AS4005" s="1"/>
      <c r="AT4005" s="1"/>
      <c r="AU4005" s="1"/>
      <c r="AV4005" s="1"/>
      <c r="AW4005" s="1"/>
      <c r="AX4005" s="1"/>
      <c r="AY4005" s="1"/>
      <c r="AZ4005" s="1"/>
      <c r="BA4005" s="1"/>
      <c r="BB4005" s="1"/>
    </row>
    <row r="4006" ht="204.75" customHeight="1">
      <c r="A4006" s="1">
        <v>3153.0</v>
      </c>
      <c r="B4006" s="2" t="s">
        <v>11917</v>
      </c>
      <c r="C4006" s="2">
        <f>IFERROR(__xludf.DUMMYFUNCTION("split(B4006,""_"")"),1310.0)</f>
        <v>1310</v>
      </c>
      <c r="D4006" s="2" t="str">
        <f>IFERROR(__xludf.DUMMYFUNCTION("""COMPUTED_VALUE"""),"NTV")</f>
        <v>NTV</v>
      </c>
      <c r="E4006" s="2" t="str">
        <f>IFERROR(__xludf.DUMMYFUNCTION("""COMPUTED_VALUE"""),"土21")</f>
        <v>土21</v>
      </c>
      <c r="F4006" s="2" t="s">
        <v>11918</v>
      </c>
      <c r="G4006" s="2" t="s">
        <v>11927</v>
      </c>
      <c r="H4006" s="1">
        <v>5.0</v>
      </c>
      <c r="I4006" s="1" t="s">
        <v>2884</v>
      </c>
      <c r="J4006" s="1" t="s">
        <v>11</v>
      </c>
      <c r="K4006" s="2" t="s">
        <v>11928</v>
      </c>
      <c r="L4006" s="2"/>
      <c r="M4006" s="2" t="str">
        <f>IFERROR(__xludf.DUMMYFUNCTION("split(split(K4006,""【演出"",false),""ほか"",false)"),"亀梨和也、多部未華子、ミムラ、金子ノブアキ、平愛梨、尾澤ルナ(子役)、君野夢真(子役)、ジョナサン・シェア、井ノ原快彦(友情出演)、片桐はいり、ベンガル、光石研、平泉成、玉置浩二　")</f>
        <v>亀梨和也、多部未華子、ミムラ、金子ノブアキ、平愛梨、尾澤ルナ(子役)、君野夢真(子役)、ジョナサン・シェア、井ノ原快彦(友情出演)、片桐はいり、ベンガル、光石研、平泉成、玉置浩二　</v>
      </c>
      <c r="N4006" s="2" t="str">
        <f>IFERROR(__xludf.DUMMYFUNCTION("""COMPUTED_VALUE"""),"  【語り】加賀まりこ  【ゲスト】入山法子すずみ(多部未華子)が引っ越してきて、一層賑やかになった堀田家。そんな中、真奈美(片桐はいり)が、青(亀梨和也)と見知らぬ美女が一緒にいたと話す。それを聞いて動揺するすずみ。花陽(尾澤ルナ)は、藤島(井ノ原快彦)に家庭教師をしてほしいと家族に話す。藤島の名前を聞き、複雑な思いの青。青が会っていたのは、藤島の秘書・永坂(入山法子)。青は、「藤島が人を殺そうとしている」という相談を受けていたのだった。")</f>
        <v>  【語り】加賀まりこ  【ゲスト】入山法子すずみ(多部未華子)が引っ越してきて、一層賑やかになった堀田家。そんな中、真奈美(片桐はいり)が、青(亀梨和也)と見知らぬ美女が一緒にいたと話す。それを聞いて動揺するすずみ。花陽(尾澤ルナ)は、藤島(井ノ原快彦)に家庭教師をしてほしいと家族に話す。藤島の名前を聞き、複雑な思いの青。青が会っていたのは、藤島の秘書・永坂(入山法子)。青は、「藤島が人を殺そうとしている」という相談を受けていたのだった。</v>
      </c>
      <c r="O4006" s="2"/>
      <c r="P4006" s="1"/>
      <c r="Q4006" s="1"/>
      <c r="R4006" s="1"/>
      <c r="S4006" s="1"/>
      <c r="T4006" s="1"/>
      <c r="U4006" s="1"/>
      <c r="V4006" s="1"/>
      <c r="W4006" s="1"/>
      <c r="X4006" s="1"/>
      <c r="Y4006" s="1"/>
      <c r="Z4006" s="1"/>
      <c r="AA4006" s="1"/>
      <c r="AB4006" s="1"/>
      <c r="AC4006" s="1"/>
      <c r="AD4006" s="1"/>
      <c r="AE4006" s="1"/>
      <c r="AF4006" s="1"/>
      <c r="AG4006" s="1"/>
      <c r="AH4006" s="1"/>
      <c r="AI4006" s="1"/>
      <c r="AJ4006" s="1"/>
      <c r="AK4006" s="1"/>
      <c r="AL4006" s="1"/>
      <c r="AM4006" s="1"/>
      <c r="AN4006" s="1"/>
      <c r="AO4006" s="1"/>
      <c r="AP4006" s="1"/>
      <c r="AQ4006" s="1"/>
      <c r="AR4006" s="1"/>
      <c r="AS4006" s="1"/>
      <c r="AT4006" s="1"/>
      <c r="AU4006" s="1"/>
      <c r="AV4006" s="1"/>
      <c r="AW4006" s="1"/>
      <c r="AX4006" s="1"/>
      <c r="AY4006" s="1"/>
      <c r="AZ4006" s="1"/>
      <c r="BA4006" s="1"/>
      <c r="BB4006" s="1"/>
    </row>
    <row r="4007" ht="204.75" customHeight="1">
      <c r="A4007" s="1">
        <v>3154.0</v>
      </c>
      <c r="B4007" s="2" t="s">
        <v>11917</v>
      </c>
      <c r="C4007" s="2">
        <f>IFERROR(__xludf.DUMMYFUNCTION("split(B4007,""_"")"),1310.0)</f>
        <v>1310</v>
      </c>
      <c r="D4007" s="2" t="str">
        <f>IFERROR(__xludf.DUMMYFUNCTION("""COMPUTED_VALUE"""),"NTV")</f>
        <v>NTV</v>
      </c>
      <c r="E4007" s="2" t="str">
        <f>IFERROR(__xludf.DUMMYFUNCTION("""COMPUTED_VALUE"""),"土21")</f>
        <v>土21</v>
      </c>
      <c r="F4007" s="2" t="s">
        <v>11918</v>
      </c>
      <c r="G4007" s="2" t="s">
        <v>11929</v>
      </c>
      <c r="H4007" s="1">
        <v>6.0</v>
      </c>
      <c r="I4007" s="1" t="s">
        <v>2888</v>
      </c>
      <c r="J4007" s="1" t="s">
        <v>11</v>
      </c>
      <c r="K4007" s="2" t="s">
        <v>11930</v>
      </c>
      <c r="L4007" s="2"/>
      <c r="M4007" s="2" t="str">
        <f>IFERROR(__xludf.DUMMYFUNCTION("split(split(K4007,""【演出"",false),""ほか"",false)"),"亀梨和也、多部未華子、ミムラ、金子ノブアキ、平愛梨、尾澤ルナ(子役)、君野夢真(子役)、ジョナサン・シェア、井ノ原快彦(友情出演)、片桐はいり、ベンガル、光石研、平泉成、玉置浩二　")</f>
        <v>亀梨和也、多部未華子、ミムラ、金子ノブアキ、平愛梨、尾澤ルナ(子役)、君野夢真(子役)、ジョナサン・シェア、井ノ原快彦(友情出演)、片桐はいり、ベンガル、光石研、平泉成、玉置浩二　</v>
      </c>
      <c r="N4007" s="2" t="str">
        <f>IFERROR(__xludf.DUMMYFUNCTION("""COMPUTED_VALUE"""),"  【語り】加賀まりこ  【ゲスト】篠井英介、田中要次、田中幸太朗、ちすん青(亀梨和也)とすずみ(多部未華子)は勘一に頼まれ京都の古書店懇親会に行くことに。実は結婚へ向け進展させようとする家族の作戦だった。  京都に着いた青とすずみは、懇親会の相談役・重松(篠井英介)から、江戸時代の貴重な図鑑にどちらが正しい値をつけるか、阿曾(田中幸太朗)と勝負をするよう言われる。すずみは重松の挑発に乗り、その申し出を受けることに。東京バンドワゴンの誇りをかけた対決に、すずみが挑む!")</f>
        <v>  【語り】加賀まりこ  【ゲスト】篠井英介、田中要次、田中幸太朗、ちすん青(亀梨和也)とすずみ(多部未華子)は勘一に頼まれ京都の古書店懇親会に行くことに。実は結婚へ向け進展させようとする家族の作戦だった。  京都に着いた青とすずみは、懇親会の相談役・重松(篠井英介)から、江戸時代の貴重な図鑑にどちらが正しい値をつけるか、阿曾(田中幸太朗)と勝負をするよう言われる。すずみは重松の挑発に乗り、その申し出を受けることに。東京バンドワゴンの誇りをかけた対決に、すずみが挑む!</v>
      </c>
      <c r="O4007" s="2"/>
      <c r="P4007" s="1"/>
      <c r="Q4007" s="1"/>
      <c r="R4007" s="1"/>
      <c r="S4007" s="1"/>
      <c r="T4007" s="1"/>
      <c r="U4007" s="1"/>
      <c r="V4007" s="1"/>
      <c r="W4007" s="1"/>
      <c r="X4007" s="1"/>
      <c r="Y4007" s="1"/>
      <c r="Z4007" s="1"/>
      <c r="AA4007" s="1"/>
      <c r="AB4007" s="1"/>
      <c r="AC4007" s="1"/>
      <c r="AD4007" s="1"/>
      <c r="AE4007" s="1"/>
      <c r="AF4007" s="1"/>
      <c r="AG4007" s="1"/>
      <c r="AH4007" s="1"/>
      <c r="AI4007" s="1"/>
      <c r="AJ4007" s="1"/>
      <c r="AK4007" s="1"/>
      <c r="AL4007" s="1"/>
      <c r="AM4007" s="1"/>
      <c r="AN4007" s="1"/>
      <c r="AO4007" s="1"/>
      <c r="AP4007" s="1"/>
      <c r="AQ4007" s="1"/>
      <c r="AR4007" s="1"/>
      <c r="AS4007" s="1"/>
      <c r="AT4007" s="1"/>
      <c r="AU4007" s="1"/>
      <c r="AV4007" s="1"/>
      <c r="AW4007" s="1"/>
      <c r="AX4007" s="1"/>
      <c r="AY4007" s="1"/>
      <c r="AZ4007" s="1"/>
      <c r="BA4007" s="1"/>
      <c r="BB4007" s="1"/>
    </row>
    <row r="4008" ht="204.75" customHeight="1">
      <c r="A4008" s="1">
        <v>3155.0</v>
      </c>
      <c r="B4008" s="2" t="s">
        <v>11917</v>
      </c>
      <c r="C4008" s="2">
        <f>IFERROR(__xludf.DUMMYFUNCTION("split(B4008,""_"")"),1310.0)</f>
        <v>1310</v>
      </c>
      <c r="D4008" s="2" t="str">
        <f>IFERROR(__xludf.DUMMYFUNCTION("""COMPUTED_VALUE"""),"NTV")</f>
        <v>NTV</v>
      </c>
      <c r="E4008" s="2" t="str">
        <f>IFERROR(__xludf.DUMMYFUNCTION("""COMPUTED_VALUE"""),"土21")</f>
        <v>土21</v>
      </c>
      <c r="F4008" s="2" t="s">
        <v>11918</v>
      </c>
      <c r="G4008" s="2" t="s">
        <v>11931</v>
      </c>
      <c r="H4008" s="1">
        <v>7.0</v>
      </c>
      <c r="I4008" s="1" t="s">
        <v>2892</v>
      </c>
      <c r="J4008" s="1" t="s">
        <v>11</v>
      </c>
      <c r="K4008" s="2" t="s">
        <v>11932</v>
      </c>
      <c r="L4008" s="2"/>
      <c r="M4008" s="2" t="str">
        <f>IFERROR(__xludf.DUMMYFUNCTION("split(split(K4008,""【演出"",false),""ほか"",false)"),"亀梨和也、多部未華子、ミムラ、金子ノブアキ、平愛梨、尾澤ルナ(子役)、君野夢真(子役)、ジョナサン・シェア、井ノ原快彦(友情出演)、片桐はいり、ベンガル、光石研、平泉成、玉置浩二　")</f>
        <v>亀梨和也、多部未華子、ミムラ、金子ノブアキ、平愛梨、尾澤ルナ(子役)、君野夢真(子役)、ジョナサン・シェア、井ノ原快彦(友情出演)、片桐はいり、ベンガル、光石研、平泉成、玉置浩二　</v>
      </c>
      <c r="N4008" s="2" t="str">
        <f>IFERROR(__xludf.DUMMYFUNCTION("""COMPUTED_VALUE"""),"  【語り】加賀まりこ  【ゲスト】大地真央、山下容莉枝、堀部圭亮、筒井真理子、坂本真、田中要次、升毅、落合モトキついに結婚を決意した青(亀梨和也)とすずみ(多部未華子)に、堀田家は大喜び。藍子(ミムラ)は、結婚式に青の実母も呼ぼうと提案するが、会いたくないと言う青を、我南人(玉置浩二)が殴る。我南人は藍子に大女優の池沢百合枝(大地真央)が青の実母だと打ち明ける。  そんな中、堀田家にすずみの叔母・聡子(山下容莉枝)がやってきて、結婚に大反対!  その上、「冬に結婚するべからず」という家訓まで見つかり…。"&amp;"菅原伸太郎【原作】「東京バンドワゴン」シリーズ　小路幸也(集英社文庫刊)  【脚本】大森美香金子隆博【チーフプロデューサー】伊藤響  【プロデューサー】池田健司、原藤一輝(ジェイ・ストーム)、秋元孝之  【制作会社】オフィスクレッシェンド")</f>
        <v>  【語り】加賀まりこ  【ゲスト】大地真央、山下容莉枝、堀部圭亮、筒井真理子、坂本真、田中要次、升毅、落合モトキついに結婚を決意した青(亀梨和也)とすずみ(多部未華子)に、堀田家は大喜び。藍子(ミムラ)は、結婚式に青の実母も呼ぼうと提案するが、会いたくないと言う青を、我南人(玉置浩二)が殴る。我南人は藍子に大女優の池沢百合枝(大地真央)が青の実母だと打ち明ける。  そんな中、堀田家にすずみの叔母・聡子(山下容莉枝)がやってきて、結婚に大反対!  その上、「冬に結婚するべからず」という家訓まで見つかり…。菅原伸太郎【原作】「東京バンドワゴン」シリーズ　小路幸也(集英社文庫刊)  【脚本】大森美香金子隆博【チーフプロデューサー】伊藤響  【プロデューサー】池田健司、原藤一輝(ジェイ・ストーム)、秋元孝之  【制作会社】オフィスクレッシェンド</v>
      </c>
      <c r="O4008" s="2"/>
      <c r="P4008" s="1"/>
      <c r="Q4008" s="1"/>
      <c r="R4008" s="1"/>
      <c r="S4008" s="1"/>
      <c r="T4008" s="1"/>
      <c r="U4008" s="1"/>
      <c r="V4008" s="1"/>
      <c r="W4008" s="1"/>
      <c r="X4008" s="1"/>
      <c r="Y4008" s="1"/>
      <c r="Z4008" s="1"/>
      <c r="AA4008" s="1"/>
      <c r="AB4008" s="1"/>
      <c r="AC4008" s="1"/>
      <c r="AD4008" s="1"/>
      <c r="AE4008" s="1"/>
      <c r="AF4008" s="1"/>
      <c r="AG4008" s="1"/>
      <c r="AH4008" s="1"/>
      <c r="AI4008" s="1"/>
      <c r="AJ4008" s="1"/>
      <c r="AK4008" s="1"/>
      <c r="AL4008" s="1"/>
      <c r="AM4008" s="1"/>
      <c r="AN4008" s="1"/>
      <c r="AO4008" s="1"/>
      <c r="AP4008" s="1"/>
      <c r="AQ4008" s="1"/>
      <c r="AR4008" s="1"/>
      <c r="AS4008" s="1"/>
      <c r="AT4008" s="1"/>
      <c r="AU4008" s="1"/>
      <c r="AV4008" s="1"/>
      <c r="AW4008" s="1"/>
      <c r="AX4008" s="1"/>
      <c r="AY4008" s="1"/>
      <c r="AZ4008" s="1"/>
      <c r="BA4008" s="1"/>
      <c r="BB4008" s="1"/>
    </row>
    <row r="4009" ht="204.75" customHeight="1">
      <c r="A4009" s="1">
        <v>3156.0</v>
      </c>
      <c r="B4009" s="2" t="s">
        <v>11917</v>
      </c>
      <c r="C4009" s="2">
        <f>IFERROR(__xludf.DUMMYFUNCTION("split(B4009,""_"")"),1310.0)</f>
        <v>1310</v>
      </c>
      <c r="D4009" s="2" t="str">
        <f>IFERROR(__xludf.DUMMYFUNCTION("""COMPUTED_VALUE"""),"NTV")</f>
        <v>NTV</v>
      </c>
      <c r="E4009" s="2" t="str">
        <f>IFERROR(__xludf.DUMMYFUNCTION("""COMPUTED_VALUE"""),"土21")</f>
        <v>土21</v>
      </c>
      <c r="F4009" s="2" t="s">
        <v>11918</v>
      </c>
      <c r="G4009" s="2" t="s">
        <v>11933</v>
      </c>
      <c r="H4009" s="1">
        <v>8.0</v>
      </c>
      <c r="I4009" s="1" t="s">
        <v>2896</v>
      </c>
      <c r="J4009" s="1" t="s">
        <v>11</v>
      </c>
      <c r="K4009" s="2" t="s">
        <v>11934</v>
      </c>
      <c r="L4009" s="2"/>
      <c r="M4009" s="2" t="str">
        <f>IFERROR(__xludf.DUMMYFUNCTION("split(split(K4009,""【演出"",false),""ほか"",false)"),"亀梨和也、多部未華子、ミムラ、金子ノブアキ、平愛梨、尾澤ルナ(子役)、君野夢真(子役)、ジョナサン・シェア、井ノ原快彦(友情出演)、片桐はいり、ベンガル、光石研、平泉成、玉置浩二　")</f>
        <v>亀梨和也、多部未華子、ミムラ、金子ノブアキ、平愛梨、尾澤ルナ(子役)、君野夢真(子役)、ジョナサン・シェア、井ノ原快彦(友情出演)、片桐はいり、ベンガル、光石研、平泉成、玉置浩二　</v>
      </c>
      <c r="N4009" s="2" t="str">
        <f>IFERROR(__xludf.DUMMYFUNCTION("""COMPUTED_VALUE"""),"  【語り】加賀まりこ  【ゲスト】大地真央、山下容莉枝、堀部圭亮、筒井真理子、坂本真、西山繭子、平沼紀久、中島裕翔(Hey!Say!JUMP)、小島藤子、落合モトキ、佐戸井けん太、上遠野太洸、入山法子我南人(玉置浩二)は、青(亀梨和也)の実母である女優・池沢百合枝(大地真央)と11年ぶりに再会し青の結婚式に誘うが、百合枝は26年放っておいて今さら出席できないと断る。  雑誌記者の木島(堀部圭亮)は、青が百合枝の隠し子だと分かりスキャンダルを狙う。木島が青にこの秘密を伝えると、青は動揺して木島を殴ってしま"&amp;"う。木島は訴えない代わりに独占取材を要求するが…。堀田家を守るため、青のとった行動とは!?狩山俊輔【原作】「東京バンドワゴン」シリーズ　小路幸也(集英社刊)  【脚本】大森美香金子隆博【チーフプロデューサー】伊藤響  【プロデューサー】池田健司、原藤一輝(ジェイ・ストーム)、秋元孝之  【制作会社】オフィスクレッシェンド")</f>
        <v>  【語り】加賀まりこ  【ゲスト】大地真央、山下容莉枝、堀部圭亮、筒井真理子、坂本真、西山繭子、平沼紀久、中島裕翔(Hey!Say!JUMP)、小島藤子、落合モトキ、佐戸井けん太、上遠野太洸、入山法子我南人(玉置浩二)は、青(亀梨和也)の実母である女優・池沢百合枝(大地真央)と11年ぶりに再会し青の結婚式に誘うが、百合枝は26年放っておいて今さら出席できないと断る。  雑誌記者の木島(堀部圭亮)は、青が百合枝の隠し子だと分かりスキャンダルを狙う。木島が青にこの秘密を伝えると、青は動揺して木島を殴ってしまう。木島は訴えない代わりに独占取材を要求するが…。堀田家を守るため、青のとった行動とは!?狩山俊輔【原作】「東京バンドワゴン」シリーズ　小路幸也(集英社刊)  【脚本】大森美香金子隆博【チーフプロデューサー】伊藤響  【プロデューサー】池田健司、原藤一輝(ジェイ・ストーム)、秋元孝之  【制作会社】オフィスクレッシェンド</v>
      </c>
      <c r="O4009" s="2"/>
      <c r="P4009" s="1"/>
      <c r="Q4009" s="1"/>
      <c r="R4009" s="1"/>
      <c r="S4009" s="1"/>
      <c r="T4009" s="1"/>
      <c r="U4009" s="1"/>
      <c r="V4009" s="1"/>
      <c r="W4009" s="1"/>
      <c r="X4009" s="1"/>
      <c r="Y4009" s="1"/>
      <c r="Z4009" s="1"/>
      <c r="AA4009" s="1"/>
      <c r="AB4009" s="1"/>
      <c r="AC4009" s="1"/>
      <c r="AD4009" s="1"/>
      <c r="AE4009" s="1"/>
      <c r="AF4009" s="1"/>
      <c r="AG4009" s="1"/>
      <c r="AH4009" s="1"/>
      <c r="AI4009" s="1"/>
      <c r="AJ4009" s="1"/>
      <c r="AK4009" s="1"/>
      <c r="AL4009" s="1"/>
      <c r="AM4009" s="1"/>
      <c r="AN4009" s="1"/>
      <c r="AO4009" s="1"/>
      <c r="AP4009" s="1"/>
      <c r="AQ4009" s="1"/>
      <c r="AR4009" s="1"/>
      <c r="AS4009" s="1"/>
      <c r="AT4009" s="1"/>
      <c r="AU4009" s="1"/>
      <c r="AV4009" s="1"/>
      <c r="AW4009" s="1"/>
      <c r="AX4009" s="1"/>
      <c r="AY4009" s="1"/>
      <c r="AZ4009" s="1"/>
      <c r="BA4009" s="1"/>
      <c r="BB4009" s="1"/>
    </row>
    <row r="4010" ht="204.75" customHeight="1">
      <c r="A4010" s="1">
        <v>3157.0</v>
      </c>
      <c r="B4010" s="2" t="s">
        <v>11917</v>
      </c>
      <c r="C4010" s="2">
        <f>IFERROR(__xludf.DUMMYFUNCTION("split(B4010,""_"")"),1310.0)</f>
        <v>1310</v>
      </c>
      <c r="D4010" s="2" t="str">
        <f>IFERROR(__xludf.DUMMYFUNCTION("""COMPUTED_VALUE"""),"NTV")</f>
        <v>NTV</v>
      </c>
      <c r="E4010" s="2" t="str">
        <f>IFERROR(__xludf.DUMMYFUNCTION("""COMPUTED_VALUE"""),"土21")</f>
        <v>土21</v>
      </c>
      <c r="F4010" s="2" t="s">
        <v>11918</v>
      </c>
      <c r="G4010" s="2" t="s">
        <v>11935</v>
      </c>
      <c r="H4010" s="1">
        <v>9.0</v>
      </c>
      <c r="I4010" s="1" t="s">
        <v>2900</v>
      </c>
      <c r="J4010" s="1" t="s">
        <v>4</v>
      </c>
      <c r="K4010" s="2" t="s">
        <v>11936</v>
      </c>
      <c r="L4010" s="2"/>
      <c r="M4010" s="2" t="str">
        <f>IFERROR(__xludf.DUMMYFUNCTION("split(split(K4010,""【演出"",false),""ほか"",false)"),"亀梨和也、多部未華子、ミムラ、金子ノブアキ、平愛梨、尾澤ルナ(子役)、君野夢真(子役)、ジョナサン・シェア、井ノ原快彦(友情出演)、片桐はいり、ベンガル、光石研、平泉成、玉置浩二　")</f>
        <v>亀梨和也、多部未華子、ミムラ、金子ノブアキ、平愛梨、尾澤ルナ(子役)、君野夢真(子役)、ジョナサン・シェア、井ノ原快彦(友情出演)、片桐はいり、ベンガル、光石研、平泉成、玉置浩二　</v>
      </c>
      <c r="N4010" s="2" t="str">
        <f>IFERROR(__xludf.DUMMYFUNCTION("""COMPUTED_VALUE"""),"  【語り】加賀まりこ  【ゲスト】山崎一、杉野真実、西山繭子、平沼紀久クリスマスムードに包まれる東京バンドワゴンに真奈美(片桐はいり)が訪れ、板前のコウ(田中要次)に恋をしたと言う。辛い過去を背負うコウは、好意に応えられない。青(亀梨和也)は二人を結びつける方法はないかと考える。  一方、研人(君野夢真)の友達が「羊に後をつけられている」と奇妙なことを言い出し、母親を困惑させていた。研人と花陽(尾澤ルナ)が証拠に写真を撮ると、二本足で歩く大きな羊が写っていた…。西岡健太郎【原作】「東京バンドワゴン」シリ"&amp;"ーズ　小路幸也(集英社刊)  【脚本】大森美香金子隆博【チーフプロデューサー】伊藤響  【プロデューサー】池田健司、原藤一輝(ジェイ・ストーム)、秋元孝之  【制作会社】オフィスクレッシェンド")</f>
        <v>  【語り】加賀まりこ  【ゲスト】山崎一、杉野真実、西山繭子、平沼紀久クリスマスムードに包まれる東京バンドワゴンに真奈美(片桐はいり)が訪れ、板前のコウ(田中要次)に恋をしたと言う。辛い過去を背負うコウは、好意に応えられない。青(亀梨和也)は二人を結びつける方法はないかと考える。  一方、研人(君野夢真)の友達が「羊に後をつけられている」と奇妙なことを言い出し、母親を困惑させていた。研人と花陽(尾澤ルナ)が証拠に写真を撮ると、二本足で歩く大きな羊が写っていた…。西岡健太郎【原作】「東京バンドワゴン」シリーズ　小路幸也(集英社刊)  【脚本】大森美香金子隆博【チーフプロデューサー】伊藤響  【プロデューサー】池田健司、原藤一輝(ジェイ・ストーム)、秋元孝之  【制作会社】オフィスクレッシェンド</v>
      </c>
      <c r="O4010" s="2"/>
      <c r="P4010" s="1"/>
      <c r="Q4010" s="1"/>
      <c r="R4010" s="1"/>
      <c r="S4010" s="1"/>
      <c r="T4010" s="1"/>
      <c r="U4010" s="1"/>
      <c r="V4010" s="1"/>
      <c r="W4010" s="1"/>
      <c r="X4010" s="1"/>
      <c r="Y4010" s="1"/>
      <c r="Z4010" s="1"/>
      <c r="AA4010" s="1"/>
      <c r="AB4010" s="1"/>
      <c r="AC4010" s="1"/>
      <c r="AD4010" s="1"/>
      <c r="AE4010" s="1"/>
      <c r="AF4010" s="1"/>
      <c r="AG4010" s="1"/>
      <c r="AH4010" s="1"/>
      <c r="AI4010" s="1"/>
      <c r="AJ4010" s="1"/>
      <c r="AK4010" s="1"/>
      <c r="AL4010" s="1"/>
      <c r="AM4010" s="1"/>
      <c r="AN4010" s="1"/>
      <c r="AO4010" s="1"/>
      <c r="AP4010" s="1"/>
      <c r="AQ4010" s="1"/>
      <c r="AR4010" s="1"/>
      <c r="AS4010" s="1"/>
      <c r="AT4010" s="1"/>
      <c r="AU4010" s="1"/>
      <c r="AV4010" s="1"/>
      <c r="AW4010" s="1"/>
      <c r="AX4010" s="1"/>
      <c r="AY4010" s="1"/>
      <c r="AZ4010" s="1"/>
      <c r="BA4010" s="1"/>
      <c r="BB4010" s="1"/>
    </row>
    <row r="4011" ht="204.75" customHeight="1">
      <c r="A4011" s="1">
        <v>3158.0</v>
      </c>
      <c r="B4011" s="2" t="s">
        <v>11917</v>
      </c>
      <c r="C4011" s="2">
        <f>IFERROR(__xludf.DUMMYFUNCTION("split(B4011,""_"")"),1310.0)</f>
        <v>1310</v>
      </c>
      <c r="D4011" s="2" t="str">
        <f>IFERROR(__xludf.DUMMYFUNCTION("""COMPUTED_VALUE"""),"NTV")</f>
        <v>NTV</v>
      </c>
      <c r="E4011" s="2" t="str">
        <f>IFERROR(__xludf.DUMMYFUNCTION("""COMPUTED_VALUE"""),"土21")</f>
        <v>土21</v>
      </c>
      <c r="F4011" s="2" t="s">
        <v>11918</v>
      </c>
      <c r="G4011" s="2" t="s">
        <v>11937</v>
      </c>
      <c r="H4011" s="1">
        <v>10.0</v>
      </c>
      <c r="I4011" s="1" t="s">
        <v>37</v>
      </c>
      <c r="J4011" s="1" t="s">
        <v>11</v>
      </c>
      <c r="K4011" s="2" t="s">
        <v>11938</v>
      </c>
      <c r="L4011" s="2"/>
      <c r="M4011" s="2" t="str">
        <f>IFERROR(__xludf.DUMMYFUNCTION("split(split(K4011,""【演出"",false),""ほか"",false)"),"亀梨和也、多部未華子、ミムラ、金子ノブアキ、平愛梨、尾澤ルナ(子役)、君野夢真(子役)、ジョナサン・シェア、井ノ原快彦(友情出演)、片桐はいり、ベンガル、光石研、平泉成、玉置浩二　")</f>
        <v>亀梨和也、多部未華子、ミムラ、金子ノブアキ、平愛梨、尾澤ルナ(子役)、君野夢真(子役)、ジョナサン・シェア、井ノ原快彦(友情出演)、片桐はいり、ベンガル、光石研、平泉成、玉置浩二　</v>
      </c>
      <c r="N4011" s="2" t="str">
        <f>IFERROR(__xludf.DUMMYFUNCTION("""COMPUTED_VALUE"""),"  【語り】加賀まりこ  【ゲスト】篠井英介喉頭がんが発覚した我南人(玉置浩二)は、手術で声を失うより、命が短くなっても歌っていたいと話す。青(亀梨和也)たち家族は、手術を受けて生きてほしいと願うものの、歌への情熱を知っているだけに何も言えない。我南人の病状は次第に悪化し、声が出なくなり始める。死を覚悟した我南人に何かしてあげられないかと悩む青。堀田家は、また家族を失ってしまうかもしれない。そんな中、青は、我南人にある頼みごとをする・・狩山俊輔【原作】「東京バンドワゴン」シリーズ　小路幸也(集英社文庫刊)"&amp;"  【脚本】大森美香金子隆博【チーフプロデューサー】伊藤響  【プロデューサー】池田健司、原藤一輝(ジェイ・ストーム)、秋元孝之  【制作会社】オフィスクレッシェンド")</f>
        <v>  【語り】加賀まりこ  【ゲスト】篠井英介喉頭がんが発覚した我南人(玉置浩二)は、手術で声を失うより、命が短くなっても歌っていたいと話す。青(亀梨和也)たち家族は、手術を受けて生きてほしいと願うものの、歌への情熱を知っているだけに何も言えない。我南人の病状は次第に悪化し、声が出なくなり始める。死を覚悟した我南人に何かしてあげられないかと悩む青。堀田家は、また家族を失ってしまうかもしれない。そんな中、青は、我南人にある頼みごとをする・・狩山俊輔【原作】「東京バンドワゴン」シリーズ　小路幸也(集英社文庫刊)  【脚本】大森美香金子隆博【チーフプロデューサー】伊藤響  【プロデューサー】池田健司、原藤一輝(ジェイ・ストーム)、秋元孝之  【制作会社】オフィスクレッシェンド</v>
      </c>
      <c r="O4011" s="2"/>
      <c r="P4011" s="1"/>
      <c r="Q4011" s="1"/>
      <c r="R4011" s="1"/>
      <c r="S4011" s="1"/>
      <c r="T4011" s="1"/>
      <c r="U4011" s="1"/>
      <c r="V4011" s="1"/>
      <c r="W4011" s="1"/>
      <c r="X4011" s="1"/>
      <c r="Y4011" s="1"/>
      <c r="Z4011" s="1"/>
      <c r="AA4011" s="1"/>
      <c r="AB4011" s="1"/>
      <c r="AC4011" s="1"/>
      <c r="AD4011" s="1"/>
      <c r="AE4011" s="1"/>
      <c r="AF4011" s="1"/>
      <c r="AG4011" s="1"/>
      <c r="AH4011" s="1"/>
      <c r="AI4011" s="1"/>
      <c r="AJ4011" s="1"/>
      <c r="AK4011" s="1"/>
      <c r="AL4011" s="1"/>
      <c r="AM4011" s="1"/>
      <c r="AN4011" s="1"/>
      <c r="AO4011" s="1"/>
      <c r="AP4011" s="1"/>
      <c r="AQ4011" s="1"/>
      <c r="AR4011" s="1"/>
      <c r="AS4011" s="1"/>
      <c r="AT4011" s="1"/>
      <c r="AU4011" s="1"/>
      <c r="AV4011" s="1"/>
      <c r="AW4011" s="1"/>
      <c r="AX4011" s="1"/>
      <c r="AY4011" s="1"/>
      <c r="AZ4011" s="1"/>
      <c r="BA4011" s="1"/>
      <c r="BB4011" s="1"/>
    </row>
    <row r="4012" ht="204.75" customHeight="1">
      <c r="A4012" s="1">
        <v>3210.0</v>
      </c>
      <c r="B4012" s="2" t="s">
        <v>11939</v>
      </c>
      <c r="C4012" s="2">
        <f>IFERROR(__xludf.DUMMYFUNCTION("split(B4012,""_"")"),1307.0)</f>
        <v>1307</v>
      </c>
      <c r="D4012" s="2" t="str">
        <f>IFERROR(__xludf.DUMMYFUNCTION("""COMPUTED_VALUE"""),"NTV")</f>
        <v>NTV</v>
      </c>
      <c r="E4012" s="2" t="str">
        <f>IFERROR(__xludf.DUMMYFUNCTION("""COMPUTED_VALUE"""),"水22")</f>
        <v>水22</v>
      </c>
      <c r="F4012" s="2" t="s">
        <v>11940</v>
      </c>
      <c r="G4012" s="2" t="s">
        <v>11941</v>
      </c>
      <c r="H4012" s="1">
        <v>1.0</v>
      </c>
      <c r="I4012" s="1" t="s">
        <v>2868</v>
      </c>
      <c r="J4012" s="1" t="s">
        <v>82</v>
      </c>
      <c r="K4012" s="2" t="s">
        <v>11942</v>
      </c>
      <c r="L4012" s="2"/>
      <c r="M4012" s="2" t="str">
        <f>IFERROR(__xludf.DUMMYFUNCTION("split(split(K4012,""【演出"",false),""ほか"",false)"),"満島ひかり、田中裕子、小栗旬、谷村美月、二階堂ふみ、鈴木梨央、小林薫　(他)小春(満島)は、夫の信(小栗)を事故で亡くし、二人の子供を抱えるシングルマザー。必死に働くも家計は苦しく、生活は困窮する。福祉事務所には親族からの援助について聞かれるが、父は亡くなり、母の紗千(田中)とは絶縁状態だった。しかし、福祉事務所が紗千に問い合わせると、紗千は小春への援助の意志を示したという。母がそんなことをいうとは信じられない小春。そして、小春は20年ぶりに紗千と会う決心をする…。")</f>
        <v>満島ひかり、田中裕子、小栗旬、谷村美月、二階堂ふみ、鈴木梨央、小林薫　(他)小春(満島)は、夫の信(小栗)を事故で亡くし、二人の子供を抱えるシングルマザー。必死に働くも家計は苦しく、生活は困窮する。福祉事務所には親族からの援助について聞かれるが、父は亡くなり、母の紗千(田中)とは絶縁状態だった。しかし、福祉事務所が紗千に問い合わせると、紗千は小春への援助の意志を示したという。母がそんなことをいうとは信じられない小春。そして、小春は20年ぶりに紗千と会う決心をする…。</v>
      </c>
      <c r="N4012" s="2"/>
      <c r="O4012" s="2"/>
      <c r="P4012" s="1"/>
      <c r="Q4012" s="1"/>
      <c r="R4012" s="1"/>
      <c r="S4012" s="1"/>
      <c r="T4012" s="1"/>
      <c r="U4012" s="1"/>
      <c r="V4012" s="1"/>
      <c r="W4012" s="1"/>
      <c r="X4012" s="1"/>
      <c r="Y4012" s="1"/>
      <c r="Z4012" s="1"/>
      <c r="AA4012" s="1"/>
      <c r="AB4012" s="1"/>
      <c r="AC4012" s="1"/>
      <c r="AD4012" s="1"/>
      <c r="AE4012" s="1"/>
      <c r="AF4012" s="1"/>
      <c r="AG4012" s="1"/>
      <c r="AH4012" s="1"/>
      <c r="AI4012" s="1"/>
      <c r="AJ4012" s="1"/>
      <c r="AK4012" s="1"/>
      <c r="AL4012" s="1"/>
      <c r="AM4012" s="1"/>
      <c r="AN4012" s="1"/>
      <c r="AO4012" s="1"/>
      <c r="AP4012" s="1"/>
      <c r="AQ4012" s="1"/>
      <c r="AR4012" s="1"/>
      <c r="AS4012" s="1"/>
      <c r="AT4012" s="1"/>
      <c r="AU4012" s="1"/>
      <c r="AV4012" s="1"/>
      <c r="AW4012" s="1"/>
      <c r="AX4012" s="1"/>
      <c r="AY4012" s="1"/>
      <c r="AZ4012" s="1"/>
      <c r="BA4012" s="1"/>
      <c r="BB4012" s="1"/>
    </row>
    <row r="4013" ht="204.75" customHeight="1">
      <c r="A4013" s="1">
        <v>3211.0</v>
      </c>
      <c r="B4013" s="2" t="s">
        <v>11939</v>
      </c>
      <c r="C4013" s="2">
        <f>IFERROR(__xludf.DUMMYFUNCTION("split(B4013,""_"")"),1307.0)</f>
        <v>1307</v>
      </c>
      <c r="D4013" s="2" t="str">
        <f>IFERROR(__xludf.DUMMYFUNCTION("""COMPUTED_VALUE"""),"NTV")</f>
        <v>NTV</v>
      </c>
      <c r="E4013" s="2" t="str">
        <f>IFERROR(__xludf.DUMMYFUNCTION("""COMPUTED_VALUE"""),"水22")</f>
        <v>水22</v>
      </c>
      <c r="F4013" s="2" t="s">
        <v>11940</v>
      </c>
      <c r="G4013" s="2" t="s">
        <v>11943</v>
      </c>
      <c r="H4013" s="1">
        <v>2.0</v>
      </c>
      <c r="I4013" s="1" t="s">
        <v>2872</v>
      </c>
      <c r="J4013" s="1" t="s">
        <v>82</v>
      </c>
      <c r="K4013" s="2" t="s">
        <v>11944</v>
      </c>
      <c r="L4013" s="2"/>
      <c r="M4013" s="2" t="str">
        <f>IFERROR(__xludf.DUMMYFUNCTION("split(split(K4013,""【演出"",false),""ほか"",false)"),"満島ひかり、田中裕子、小栗旬、谷村美月、二階堂ふみ、三浦貴大、臼田あさ美、高橋一生、鈴木梨央(子役)、小林薫　(他)ある日、仕事を終えた小春(満島ひかり)が帰宅すると、アパートに児童相談所の職員が来ていた。近所の女性が、毎晩子供たちだけで過ごしている望海(鈴木梨央)と陸(高橋来)を見つけ、児童相談所に通報したのだった。児童相談所の職員は虐待を疑い、小春に子供たちを誰かに預けることを勧める。小春は、再婚し地方のログハウスで暮らす由季(臼田あさ美)のもとへ、しばらく望海と陸を預けることにするのだが…。")</f>
        <v>満島ひかり、田中裕子、小栗旬、谷村美月、二階堂ふみ、三浦貴大、臼田あさ美、高橋一生、鈴木梨央(子役)、小林薫　(他)ある日、仕事を終えた小春(満島ひかり)が帰宅すると、アパートに児童相談所の職員が来ていた。近所の女性が、毎晩子供たちだけで過ごしている望海(鈴木梨央)と陸(高橋来)を見つけ、児童相談所に通報したのだった。児童相談所の職員は虐待を疑い、小春に子供たちを誰かに預けることを勧める。小春は、再婚し地方のログハウスで暮らす由季(臼田あさ美)のもとへ、しばらく望海と陸を預けることにするのだが…。</v>
      </c>
      <c r="N4013" s="2"/>
      <c r="O4013" s="2"/>
      <c r="P4013" s="1"/>
      <c r="Q4013" s="1"/>
      <c r="R4013" s="1"/>
      <c r="S4013" s="1"/>
      <c r="T4013" s="1"/>
      <c r="U4013" s="1"/>
      <c r="V4013" s="1"/>
      <c r="W4013" s="1"/>
      <c r="X4013" s="1"/>
      <c r="Y4013" s="1"/>
      <c r="Z4013" s="1"/>
      <c r="AA4013" s="1"/>
      <c r="AB4013" s="1"/>
      <c r="AC4013" s="1"/>
      <c r="AD4013" s="1"/>
      <c r="AE4013" s="1"/>
      <c r="AF4013" s="1"/>
      <c r="AG4013" s="1"/>
      <c r="AH4013" s="1"/>
      <c r="AI4013" s="1"/>
      <c r="AJ4013" s="1"/>
      <c r="AK4013" s="1"/>
      <c r="AL4013" s="1"/>
      <c r="AM4013" s="1"/>
      <c r="AN4013" s="1"/>
      <c r="AO4013" s="1"/>
      <c r="AP4013" s="1"/>
      <c r="AQ4013" s="1"/>
      <c r="AR4013" s="1"/>
      <c r="AS4013" s="1"/>
      <c r="AT4013" s="1"/>
      <c r="AU4013" s="1"/>
      <c r="AV4013" s="1"/>
      <c r="AW4013" s="1"/>
      <c r="AX4013" s="1"/>
      <c r="AY4013" s="1"/>
      <c r="AZ4013" s="1"/>
      <c r="BA4013" s="1"/>
      <c r="BB4013" s="1"/>
    </row>
    <row r="4014" ht="204.75" customHeight="1">
      <c r="A4014" s="1">
        <v>3212.0</v>
      </c>
      <c r="B4014" s="2" t="s">
        <v>11939</v>
      </c>
      <c r="C4014" s="2">
        <f>IFERROR(__xludf.DUMMYFUNCTION("split(B4014,""_"")"),1307.0)</f>
        <v>1307</v>
      </c>
      <c r="D4014" s="2" t="str">
        <f>IFERROR(__xludf.DUMMYFUNCTION("""COMPUTED_VALUE"""),"NTV")</f>
        <v>NTV</v>
      </c>
      <c r="E4014" s="2" t="str">
        <f>IFERROR(__xludf.DUMMYFUNCTION("""COMPUTED_VALUE"""),"水22")</f>
        <v>水22</v>
      </c>
      <c r="F4014" s="2" t="s">
        <v>11940</v>
      </c>
      <c r="G4014" s="2" t="s">
        <v>11945</v>
      </c>
      <c r="H4014" s="1">
        <v>3.0</v>
      </c>
      <c r="I4014" s="1" t="s">
        <v>2876</v>
      </c>
      <c r="J4014" s="1" t="s">
        <v>86</v>
      </c>
      <c r="K4014" s="2" t="s">
        <v>11946</v>
      </c>
      <c r="L4014" s="2"/>
      <c r="M4014" s="2" t="str">
        <f>IFERROR(__xludf.DUMMYFUNCTION("split(split(K4014,""【演出"",false),""ほか"",false)"),"満島ひかり、田中裕子、小栗旬、谷村美月、二階堂ふみ、三浦貴大、臼田あさ美、高橋一生、鈴木梨央、小林薫　他なんとか小春(満島ひかり)と紗千(田中裕子)の間を取り持とうと、小春のアパートを訪れる健太郎(小林薫)。とりあえず小春が働く昼間、夏休み中の望海(鈴木梨央)と陸(高橋來)を植杉家で預かりたいと言い出す。困惑する小春だったが健太郎の申し出を受け入れることに。後日、健太郎が望海と陸を預かって家で遊んでいるところに、紗千が仕事先から突然帰ってきた。")</f>
        <v>満島ひかり、田中裕子、小栗旬、谷村美月、二階堂ふみ、三浦貴大、臼田あさ美、高橋一生、鈴木梨央、小林薫　他なんとか小春(満島ひかり)と紗千(田中裕子)の間を取り持とうと、小春のアパートを訪れる健太郎(小林薫)。とりあえず小春が働く昼間、夏休み中の望海(鈴木梨央)と陸(高橋來)を植杉家で預かりたいと言い出す。困惑する小春だったが健太郎の申し出を受け入れることに。後日、健太郎が望海と陸を預かって家で遊んでいるところに、紗千が仕事先から突然帰ってきた。</v>
      </c>
      <c r="N4014" s="2"/>
      <c r="O4014" s="2"/>
      <c r="P4014" s="1"/>
      <c r="Q4014" s="1"/>
      <c r="R4014" s="1"/>
      <c r="S4014" s="1"/>
      <c r="T4014" s="1"/>
      <c r="U4014" s="1"/>
      <c r="V4014" s="1"/>
      <c r="W4014" s="1"/>
      <c r="X4014" s="1"/>
      <c r="Y4014" s="1"/>
      <c r="Z4014" s="1"/>
      <c r="AA4014" s="1"/>
      <c r="AB4014" s="1"/>
      <c r="AC4014" s="1"/>
      <c r="AD4014" s="1"/>
      <c r="AE4014" s="1"/>
      <c r="AF4014" s="1"/>
      <c r="AG4014" s="1"/>
      <c r="AH4014" s="1"/>
      <c r="AI4014" s="1"/>
      <c r="AJ4014" s="1"/>
      <c r="AK4014" s="1"/>
      <c r="AL4014" s="1"/>
      <c r="AM4014" s="1"/>
      <c r="AN4014" s="1"/>
      <c r="AO4014" s="1"/>
      <c r="AP4014" s="1"/>
      <c r="AQ4014" s="1"/>
      <c r="AR4014" s="1"/>
      <c r="AS4014" s="1"/>
      <c r="AT4014" s="1"/>
      <c r="AU4014" s="1"/>
      <c r="AV4014" s="1"/>
      <c r="AW4014" s="1"/>
      <c r="AX4014" s="1"/>
      <c r="AY4014" s="1"/>
      <c r="AZ4014" s="1"/>
      <c r="BA4014" s="1"/>
      <c r="BB4014" s="1"/>
    </row>
    <row r="4015" ht="204.75" customHeight="1">
      <c r="A4015" s="1">
        <v>3213.0</v>
      </c>
      <c r="B4015" s="2" t="s">
        <v>11939</v>
      </c>
      <c r="C4015" s="2">
        <f>IFERROR(__xludf.DUMMYFUNCTION("split(B4015,""_"")"),1307.0)</f>
        <v>1307</v>
      </c>
      <c r="D4015" s="2" t="str">
        <f>IFERROR(__xludf.DUMMYFUNCTION("""COMPUTED_VALUE"""),"NTV")</f>
        <v>NTV</v>
      </c>
      <c r="E4015" s="2" t="str">
        <f>IFERROR(__xludf.DUMMYFUNCTION("""COMPUTED_VALUE"""),"水22")</f>
        <v>水22</v>
      </c>
      <c r="F4015" s="2" t="s">
        <v>11940</v>
      </c>
      <c r="G4015" s="2" t="s">
        <v>11947</v>
      </c>
      <c r="H4015" s="1">
        <v>4.0</v>
      </c>
      <c r="I4015" s="1" t="s">
        <v>2880</v>
      </c>
      <c r="J4015" s="1" t="s">
        <v>86</v>
      </c>
      <c r="K4015" s="2" t="s">
        <v>11948</v>
      </c>
      <c r="L4015" s="2"/>
      <c r="M4015" s="2" t="str">
        <f>IFERROR(__xludf.DUMMYFUNCTION("split(split(K4015,""【演出"",false),""ほか"",false)"),"満島ひかり、田中裕子、小栗旬、谷村美月、二階堂ふみ、三浦貴大、高橋一生、鈴木梨央(子役)、高橋來(子役)、小林薫　")</f>
        <v>満島ひかり、田中裕子、小栗旬、谷村美月、二階堂ふみ、三浦貴大、高橋一生、鈴木梨央(子役)、高橋來(子役)、小林薫　</v>
      </c>
      <c r="N4015" s="2" t="str">
        <f>IFERROR(__xludf.DUMMYFUNCTION("""COMPUTED_VALUE"""),"陸(高橋来)に言葉の遅れがあるのではないかと、託児所の職員に指摘される小春(満島ひかり)。あまり気に留めていなかったが、ある晩、布団の中で泣いている陸に気づく。  一方、栞(二階堂ふみ)は紗千(田中裕子)が小春たち家族のことを気にかけていることを察し複雑な感情を募らせる。栞は小春に対する嫌悪感を紗千にぶつけ、さらに信(小栗旬)の死に関わる重大な秘密を語りはじめる。")</f>
        <v>陸(高橋来)に言葉の遅れがあるのではないかと、託児所の職員に指摘される小春(満島ひかり)。あまり気に留めていなかったが、ある晩、布団の中で泣いている陸に気づく。  一方、栞(二階堂ふみ)は紗千(田中裕子)が小春たち家族のことを気にかけていることを察し複雑な感情を募らせる。栞は小春に対する嫌悪感を紗千にぶつけ、さらに信(小栗旬)の死に関わる重大な秘密を語りはじめる。</v>
      </c>
      <c r="O4015" s="2"/>
      <c r="P4015" s="1"/>
      <c r="Q4015" s="1"/>
      <c r="R4015" s="1"/>
      <c r="S4015" s="1"/>
      <c r="T4015" s="1"/>
      <c r="U4015" s="1"/>
      <c r="V4015" s="1"/>
      <c r="W4015" s="1"/>
      <c r="X4015" s="1"/>
      <c r="Y4015" s="1"/>
      <c r="Z4015" s="1"/>
      <c r="AA4015" s="1"/>
      <c r="AB4015" s="1"/>
      <c r="AC4015" s="1"/>
      <c r="AD4015" s="1"/>
      <c r="AE4015" s="1"/>
      <c r="AF4015" s="1"/>
      <c r="AG4015" s="1"/>
      <c r="AH4015" s="1"/>
      <c r="AI4015" s="1"/>
      <c r="AJ4015" s="1"/>
      <c r="AK4015" s="1"/>
      <c r="AL4015" s="1"/>
      <c r="AM4015" s="1"/>
      <c r="AN4015" s="1"/>
      <c r="AO4015" s="1"/>
      <c r="AP4015" s="1"/>
      <c r="AQ4015" s="1"/>
      <c r="AR4015" s="1"/>
      <c r="AS4015" s="1"/>
      <c r="AT4015" s="1"/>
      <c r="AU4015" s="1"/>
      <c r="AV4015" s="1"/>
      <c r="AW4015" s="1"/>
      <c r="AX4015" s="1"/>
      <c r="AY4015" s="1"/>
      <c r="AZ4015" s="1"/>
      <c r="BA4015" s="1"/>
      <c r="BB4015" s="1"/>
    </row>
    <row r="4016" ht="204.75" customHeight="1">
      <c r="A4016" s="1">
        <v>3214.0</v>
      </c>
      <c r="B4016" s="2" t="s">
        <v>11939</v>
      </c>
      <c r="C4016" s="2">
        <f>IFERROR(__xludf.DUMMYFUNCTION("split(B4016,""_"")"),1307.0)</f>
        <v>1307</v>
      </c>
      <c r="D4016" s="2" t="str">
        <f>IFERROR(__xludf.DUMMYFUNCTION("""COMPUTED_VALUE"""),"NTV")</f>
        <v>NTV</v>
      </c>
      <c r="E4016" s="2" t="str">
        <f>IFERROR(__xludf.DUMMYFUNCTION("""COMPUTED_VALUE"""),"水22")</f>
        <v>水22</v>
      </c>
      <c r="F4016" s="2" t="s">
        <v>11940</v>
      </c>
      <c r="G4016" s="2" t="s">
        <v>11949</v>
      </c>
      <c r="H4016" s="1">
        <v>5.0</v>
      </c>
      <c r="I4016" s="1" t="s">
        <v>2884</v>
      </c>
      <c r="J4016" s="1" t="s">
        <v>86</v>
      </c>
      <c r="K4016" s="2" t="s">
        <v>11950</v>
      </c>
      <c r="L4016" s="2"/>
      <c r="M4016" s="2" t="str">
        <f>IFERROR(__xludf.DUMMYFUNCTION("split(split(K4016,""【演出"",false),""ほか"",false)"),"満島ひかり、田中裕子、小栗旬、谷村美月、二階堂ふみ、三浦貴大、臼田あさ美、高橋一生、鈴木梨央(子役)、高橋來(子役)、小林薫　")</f>
        <v>満島ひかり、田中裕子、小栗旬、谷村美月、二階堂ふみ、三浦貴大、臼田あさ美、高橋一生、鈴木梨央(子役)、高橋來(子役)、小林薫　</v>
      </c>
      <c r="N4016" s="2" t="str">
        <f>IFERROR(__xludf.DUMMYFUNCTION("""COMPUTED_VALUE"""),"精密検査の結果、再生不良性貧血と診断された小春(満島ひかり)。命にかかわる病気だけに治療について真剣に考えるよう勧められる。しかし小春は仕事を休むわけにもいかず、誰にも病気のことを打ち明けられないでいた。せめて子供たちには悟られまいと努めて明るく振舞う小春だったが、そのうち自覚症状が出始める。ある決意をした小春は、望海(鈴木梨央)と陸(高橋來)を連れて植杉家へ向かうのだが…。")</f>
        <v>精密検査の結果、再生不良性貧血と診断された小春(満島ひかり)。命にかかわる病気だけに治療について真剣に考えるよう勧められる。しかし小春は仕事を休むわけにもいかず、誰にも病気のことを打ち明けられないでいた。せめて子供たちには悟られまいと努めて明るく振舞う小春だったが、そのうち自覚症状が出始める。ある決意をした小春は、望海(鈴木梨央)と陸(高橋來)を連れて植杉家へ向かうのだが…。</v>
      </c>
      <c r="O4016" s="2"/>
      <c r="P4016" s="1"/>
      <c r="Q4016" s="1"/>
      <c r="R4016" s="1"/>
      <c r="S4016" s="1"/>
      <c r="T4016" s="1"/>
      <c r="U4016" s="1"/>
      <c r="V4016" s="1"/>
      <c r="W4016" s="1"/>
      <c r="X4016" s="1"/>
      <c r="Y4016" s="1"/>
      <c r="Z4016" s="1"/>
      <c r="AA4016" s="1"/>
      <c r="AB4016" s="1"/>
      <c r="AC4016" s="1"/>
      <c r="AD4016" s="1"/>
      <c r="AE4016" s="1"/>
      <c r="AF4016" s="1"/>
      <c r="AG4016" s="1"/>
      <c r="AH4016" s="1"/>
      <c r="AI4016" s="1"/>
      <c r="AJ4016" s="1"/>
      <c r="AK4016" s="1"/>
      <c r="AL4016" s="1"/>
      <c r="AM4016" s="1"/>
      <c r="AN4016" s="1"/>
      <c r="AO4016" s="1"/>
      <c r="AP4016" s="1"/>
      <c r="AQ4016" s="1"/>
      <c r="AR4016" s="1"/>
      <c r="AS4016" s="1"/>
      <c r="AT4016" s="1"/>
      <c r="AU4016" s="1"/>
      <c r="AV4016" s="1"/>
      <c r="AW4016" s="1"/>
      <c r="AX4016" s="1"/>
      <c r="AY4016" s="1"/>
      <c r="AZ4016" s="1"/>
      <c r="BA4016" s="1"/>
      <c r="BB4016" s="1"/>
    </row>
    <row r="4017" ht="204.75" customHeight="1">
      <c r="A4017" s="1">
        <v>3215.0</v>
      </c>
      <c r="B4017" s="2" t="s">
        <v>11939</v>
      </c>
      <c r="C4017" s="2">
        <f>IFERROR(__xludf.DUMMYFUNCTION("split(B4017,""_"")"),1307.0)</f>
        <v>1307</v>
      </c>
      <c r="D4017" s="2" t="str">
        <f>IFERROR(__xludf.DUMMYFUNCTION("""COMPUTED_VALUE"""),"NTV")</f>
        <v>NTV</v>
      </c>
      <c r="E4017" s="2" t="str">
        <f>IFERROR(__xludf.DUMMYFUNCTION("""COMPUTED_VALUE"""),"水22")</f>
        <v>水22</v>
      </c>
      <c r="F4017" s="2" t="s">
        <v>11940</v>
      </c>
      <c r="G4017" s="2" t="s">
        <v>11951</v>
      </c>
      <c r="H4017" s="1">
        <v>6.0</v>
      </c>
      <c r="I4017" s="1" t="s">
        <v>2888</v>
      </c>
      <c r="J4017" s="1" t="s">
        <v>86</v>
      </c>
      <c r="K4017" s="2" t="s">
        <v>11952</v>
      </c>
      <c r="L4017" s="2"/>
      <c r="M4017" s="2" t="str">
        <f>IFERROR(__xludf.DUMMYFUNCTION("split(split(K4017,""【演出"",false),""ほか"",false)"),"満島ひかり、田中裕子、小栗旬、谷村美月、二階堂ふみ、三浦貴大、臼田あさ美、高橋一生、鈴木梨央(子役)、高橋來(子役)、小林薫　")</f>
        <v>満島ひかり、田中裕子、小栗旬、谷村美月、二階堂ふみ、三浦貴大、臼田あさ美、高橋一生、鈴木梨央(子役)、高橋來(子役)、小林薫　</v>
      </c>
      <c r="N4017" s="2" t="str">
        <f>IFERROR(__xludf.DUMMYFUNCTION("""COMPUTED_VALUE"""),"自身の病状の悪化を自覚した小春(満島ひかり)は、望海(鈴木梨央)と陸(高橋來)を連れて植杉家を訪れ、紗千(田中裕子)に一緒に住まわせて欲しいと頼み込む。そんな折、健太郎(小林薫)から紙袋に入ったオレンジ色のマフラーを渡される。4年前の夏、信(小栗旬)がひとり植杉家を訪ねて来た際に忘れていったものだと言う。しかし小春にはまったく見覚えのないものだった…。")</f>
        <v>自身の病状の悪化を自覚した小春(満島ひかり)は、望海(鈴木梨央)と陸(高橋來)を連れて植杉家を訪れ、紗千(田中裕子)に一緒に住まわせて欲しいと頼み込む。そんな折、健太郎(小林薫)から紙袋に入ったオレンジ色のマフラーを渡される。4年前の夏、信(小栗旬)がひとり植杉家を訪ねて来た際に忘れていったものだと言う。しかし小春にはまったく見覚えのないものだった…。</v>
      </c>
      <c r="O4017" s="2"/>
      <c r="P4017" s="1"/>
      <c r="Q4017" s="1"/>
      <c r="R4017" s="1"/>
      <c r="S4017" s="1"/>
      <c r="T4017" s="1"/>
      <c r="U4017" s="1"/>
      <c r="V4017" s="1"/>
      <c r="W4017" s="1"/>
      <c r="X4017" s="1"/>
      <c r="Y4017" s="1"/>
      <c r="Z4017" s="1"/>
      <c r="AA4017" s="1"/>
      <c r="AB4017" s="1"/>
      <c r="AC4017" s="1"/>
      <c r="AD4017" s="1"/>
      <c r="AE4017" s="1"/>
      <c r="AF4017" s="1"/>
      <c r="AG4017" s="1"/>
      <c r="AH4017" s="1"/>
      <c r="AI4017" s="1"/>
      <c r="AJ4017" s="1"/>
      <c r="AK4017" s="1"/>
      <c r="AL4017" s="1"/>
      <c r="AM4017" s="1"/>
      <c r="AN4017" s="1"/>
      <c r="AO4017" s="1"/>
      <c r="AP4017" s="1"/>
      <c r="AQ4017" s="1"/>
      <c r="AR4017" s="1"/>
      <c r="AS4017" s="1"/>
      <c r="AT4017" s="1"/>
      <c r="AU4017" s="1"/>
      <c r="AV4017" s="1"/>
      <c r="AW4017" s="1"/>
      <c r="AX4017" s="1"/>
      <c r="AY4017" s="1"/>
      <c r="AZ4017" s="1"/>
      <c r="BA4017" s="1"/>
      <c r="BB4017" s="1"/>
    </row>
    <row r="4018" ht="204.75" customHeight="1">
      <c r="A4018" s="1">
        <v>3216.0</v>
      </c>
      <c r="B4018" s="2" t="s">
        <v>11939</v>
      </c>
      <c r="C4018" s="2">
        <f>IFERROR(__xludf.DUMMYFUNCTION("split(B4018,""_"")"),1307.0)</f>
        <v>1307</v>
      </c>
      <c r="D4018" s="2" t="str">
        <f>IFERROR(__xludf.DUMMYFUNCTION("""COMPUTED_VALUE"""),"NTV")</f>
        <v>NTV</v>
      </c>
      <c r="E4018" s="2" t="str">
        <f>IFERROR(__xludf.DUMMYFUNCTION("""COMPUTED_VALUE"""),"水22")</f>
        <v>水22</v>
      </c>
      <c r="F4018" s="2" t="s">
        <v>11940</v>
      </c>
      <c r="G4018" s="2" t="s">
        <v>11953</v>
      </c>
      <c r="H4018" s="1">
        <v>7.0</v>
      </c>
      <c r="I4018" s="1" t="s">
        <v>2892</v>
      </c>
      <c r="J4018" s="1" t="s">
        <v>86</v>
      </c>
      <c r="K4018" s="2" t="s">
        <v>11954</v>
      </c>
      <c r="L4018" s="2"/>
      <c r="M4018" s="2" t="str">
        <f>IFERROR(__xludf.DUMMYFUNCTION("split(split(K4018,""【演出"",false),""ほか"",false)"),"満島ひかり、田中裕子、小栗旬、二階堂ふみ、鈴木梨央(子役)、高橋來(子役)、小林薫　")</f>
        <v>満島ひかり、田中裕子、小栗旬、二階堂ふみ、鈴木梨央(子役)、高橋來(子役)、小林薫　</v>
      </c>
      <c r="N4018" s="2" t="str">
        <f>IFERROR(__xludf.DUMMYFUNCTION("""COMPUTED_VALUE"""),"小春(満島ひかり)は、望海(鈴木梨央)と陸(高橋來)を連れて、信(小栗旬)の生まれ故郷へ向かった。そこは山に囲まれた小さな村だった。小春は土産物屋の店主を訪ね、4年前の夏に信が置いていったという手紙を受け取る。信は事故に遭ったその日、この村を訪れていた。手紙は小春の知ることのなかった彼の幼少期のことや母親との思い出に触れられていた。そして4年前の夏、信が植杉家を訪れた本当の理由が綴られていた…。")</f>
        <v>小春(満島ひかり)は、望海(鈴木梨央)と陸(高橋來)を連れて、信(小栗旬)の生まれ故郷へ向かった。そこは山に囲まれた小さな村だった。小春は土産物屋の店主を訪ね、4年前の夏に信が置いていったという手紙を受け取る。信は事故に遭ったその日、この村を訪れていた。手紙は小春の知ることのなかった彼の幼少期のことや母親との思い出に触れられていた。そして4年前の夏、信が植杉家を訪れた本当の理由が綴られていた…。</v>
      </c>
      <c r="O4018" s="2"/>
      <c r="P4018" s="1"/>
      <c r="Q4018" s="1"/>
      <c r="R4018" s="1"/>
      <c r="S4018" s="1"/>
      <c r="T4018" s="1"/>
      <c r="U4018" s="1"/>
      <c r="V4018" s="1"/>
      <c r="W4018" s="1"/>
      <c r="X4018" s="1"/>
      <c r="Y4018" s="1"/>
      <c r="Z4018" s="1"/>
      <c r="AA4018" s="1"/>
      <c r="AB4018" s="1"/>
      <c r="AC4018" s="1"/>
      <c r="AD4018" s="1"/>
      <c r="AE4018" s="1"/>
      <c r="AF4018" s="1"/>
      <c r="AG4018" s="1"/>
      <c r="AH4018" s="1"/>
      <c r="AI4018" s="1"/>
      <c r="AJ4018" s="1"/>
      <c r="AK4018" s="1"/>
      <c r="AL4018" s="1"/>
      <c r="AM4018" s="1"/>
      <c r="AN4018" s="1"/>
      <c r="AO4018" s="1"/>
      <c r="AP4018" s="1"/>
      <c r="AQ4018" s="1"/>
      <c r="AR4018" s="1"/>
      <c r="AS4018" s="1"/>
      <c r="AT4018" s="1"/>
      <c r="AU4018" s="1"/>
      <c r="AV4018" s="1"/>
      <c r="AW4018" s="1"/>
      <c r="AX4018" s="1"/>
      <c r="AY4018" s="1"/>
      <c r="AZ4018" s="1"/>
      <c r="BA4018" s="1"/>
      <c r="BB4018" s="1"/>
    </row>
    <row r="4019" ht="204.75" customHeight="1">
      <c r="A4019" s="1">
        <v>3217.0</v>
      </c>
      <c r="B4019" s="2" t="s">
        <v>11939</v>
      </c>
      <c r="C4019" s="2">
        <f>IFERROR(__xludf.DUMMYFUNCTION("split(B4019,""_"")"),1307.0)</f>
        <v>1307</v>
      </c>
      <c r="D4019" s="2" t="str">
        <f>IFERROR(__xludf.DUMMYFUNCTION("""COMPUTED_VALUE"""),"NTV")</f>
        <v>NTV</v>
      </c>
      <c r="E4019" s="2" t="str">
        <f>IFERROR(__xludf.DUMMYFUNCTION("""COMPUTED_VALUE"""),"水22")</f>
        <v>水22</v>
      </c>
      <c r="F4019" s="2" t="s">
        <v>11940</v>
      </c>
      <c r="G4019" s="2" t="s">
        <v>11955</v>
      </c>
      <c r="H4019" s="1">
        <v>8.0</v>
      </c>
      <c r="I4019" s="1" t="s">
        <v>2896</v>
      </c>
      <c r="J4019" s="1" t="s">
        <v>86</v>
      </c>
      <c r="K4019" s="2" t="s">
        <v>11956</v>
      </c>
      <c r="L4019" s="2"/>
      <c r="M4019" s="2" t="str">
        <f>IFERROR(__xludf.DUMMYFUNCTION("split(split(K4019,""【演出"",false),""ほか"",false)"),"満島ひかり、田中裕子、小栗旬、谷村美月、二階堂ふみ、三浦貴大、臼田あさ美、高橋一生、鈴木梨央(子役)、高橋來(子役)、小林薫　")</f>
        <v>満島ひかり、田中裕子、小栗旬、谷村美月、二階堂ふみ、三浦貴大、臼田あさ美、高橋一生、鈴木梨央(子役)、高橋來(子役)、小林薫　</v>
      </c>
      <c r="N4019" s="2" t="str">
        <f>IFERROR(__xludf.DUMMYFUNCTION("""COMPUTED_VALUE"""),"信(小栗旬)に痴漢の罪を着せようとした張本人が栞(二階堂ふみ)であることを知った小春(満島ひかり)は、それら全てのことを知っていたのではないかと紗千(田中裕子)を問い詰める。栞をかばいながらも、二人の娘の間で苦悩する紗千。一方植杉家での生活に慣れてきていた望海(鈴木梨央)と陸(高橋來)は、まもなく催される町内会の夏祭りを心待ちにしていた。もう植杉家には居られないと決意していた小春だったが…。")</f>
        <v>信(小栗旬)に痴漢の罪を着せようとした張本人が栞(二階堂ふみ)であることを知った小春(満島ひかり)は、それら全てのことを知っていたのではないかと紗千(田中裕子)を問い詰める。栞をかばいながらも、二人の娘の間で苦悩する紗千。一方植杉家での生活に慣れてきていた望海(鈴木梨央)と陸(高橋來)は、まもなく催される町内会の夏祭りを心待ちにしていた。もう植杉家には居られないと決意していた小春だったが…。</v>
      </c>
      <c r="O4019" s="2"/>
      <c r="P4019" s="1"/>
      <c r="Q4019" s="1"/>
      <c r="R4019" s="1"/>
      <c r="S4019" s="1"/>
      <c r="T4019" s="1"/>
      <c r="U4019" s="1"/>
      <c r="V4019" s="1"/>
      <c r="W4019" s="1"/>
      <c r="X4019" s="1"/>
      <c r="Y4019" s="1"/>
      <c r="Z4019" s="1"/>
      <c r="AA4019" s="1"/>
      <c r="AB4019" s="1"/>
      <c r="AC4019" s="1"/>
      <c r="AD4019" s="1"/>
      <c r="AE4019" s="1"/>
      <c r="AF4019" s="1"/>
      <c r="AG4019" s="1"/>
      <c r="AH4019" s="1"/>
      <c r="AI4019" s="1"/>
      <c r="AJ4019" s="1"/>
      <c r="AK4019" s="1"/>
      <c r="AL4019" s="1"/>
      <c r="AM4019" s="1"/>
      <c r="AN4019" s="1"/>
      <c r="AO4019" s="1"/>
      <c r="AP4019" s="1"/>
      <c r="AQ4019" s="1"/>
      <c r="AR4019" s="1"/>
      <c r="AS4019" s="1"/>
      <c r="AT4019" s="1"/>
      <c r="AU4019" s="1"/>
      <c r="AV4019" s="1"/>
      <c r="AW4019" s="1"/>
      <c r="AX4019" s="1"/>
      <c r="AY4019" s="1"/>
      <c r="AZ4019" s="1"/>
      <c r="BA4019" s="1"/>
      <c r="BB4019" s="1"/>
    </row>
    <row r="4020" ht="204.75" customHeight="1">
      <c r="A4020" s="1">
        <v>3218.0</v>
      </c>
      <c r="B4020" s="2" t="s">
        <v>11939</v>
      </c>
      <c r="C4020" s="2">
        <f>IFERROR(__xludf.DUMMYFUNCTION("split(B4020,""_"")"),1307.0)</f>
        <v>1307</v>
      </c>
      <c r="D4020" s="2" t="str">
        <f>IFERROR(__xludf.DUMMYFUNCTION("""COMPUTED_VALUE"""),"NTV")</f>
        <v>NTV</v>
      </c>
      <c r="E4020" s="2" t="str">
        <f>IFERROR(__xludf.DUMMYFUNCTION("""COMPUTED_VALUE"""),"水22")</f>
        <v>水22</v>
      </c>
      <c r="F4020" s="2" t="s">
        <v>11940</v>
      </c>
      <c r="G4020" s="2" t="s">
        <v>11957</v>
      </c>
      <c r="H4020" s="1">
        <v>9.0</v>
      </c>
      <c r="I4020" s="1" t="s">
        <v>2900</v>
      </c>
      <c r="J4020" s="1" t="s">
        <v>86</v>
      </c>
      <c r="K4020" s="2" t="s">
        <v>11958</v>
      </c>
      <c r="L4020" s="2"/>
      <c r="M4020" s="2" t="str">
        <f>IFERROR(__xludf.DUMMYFUNCTION("split(split(K4020,""【演出"",false),""ほか"",false)"),"満島ひかり、田中裕子、谷村美月、二階堂ふみ、三浦貴大、臼田あさ美、高橋一生、鈴木梨央(子役)、高橋來(子役)、小林薫　")</f>
        <v>満島ひかり、田中裕子、谷村美月、二階堂ふみ、三浦貴大、臼田あさ美、高橋一生、鈴木梨央(子役)、高橋來(子役)、小林薫　</v>
      </c>
      <c r="N4020" s="2" t="str">
        <f>IFERROR(__xludf.DUMMYFUNCTION("""COMPUTED_VALUE"""),"小春(満島ひかり)は数日間入院することに。紗千(田中裕子)はその間、望海(鈴木梨央)と陸(高橋來)の世話をすることに。紗千は、子供たちと過ごすうち、望海の姿に子供の頃の小春を重ね見るのだった。彼女は小春の骨髄との適合検査を受けるため病院へ行く決心をする。一方、栞(二階堂ふみ)が信(小栗旬)の死と深く関わっていることを聞かされた健太郎(小林薫)は、家を出て行った栞のもとを訪ね…。")</f>
        <v>小春(満島ひかり)は数日間入院することに。紗千(田中裕子)はその間、望海(鈴木梨央)と陸(高橋來)の世話をすることに。紗千は、子供たちと過ごすうち、望海の姿に子供の頃の小春を重ね見るのだった。彼女は小春の骨髄との適合検査を受けるため病院へ行く決心をする。一方、栞(二階堂ふみ)が信(小栗旬)の死と深く関わっていることを聞かされた健太郎(小林薫)は、家を出て行った栞のもとを訪ね…。</v>
      </c>
      <c r="O4020" s="2"/>
      <c r="P4020" s="1"/>
      <c r="Q4020" s="1"/>
      <c r="R4020" s="1"/>
      <c r="S4020" s="1"/>
      <c r="T4020" s="1"/>
      <c r="U4020" s="1"/>
      <c r="V4020" s="1"/>
      <c r="W4020" s="1"/>
      <c r="X4020" s="1"/>
      <c r="Y4020" s="1"/>
      <c r="Z4020" s="1"/>
      <c r="AA4020" s="1"/>
      <c r="AB4020" s="1"/>
      <c r="AC4020" s="1"/>
      <c r="AD4020" s="1"/>
      <c r="AE4020" s="1"/>
      <c r="AF4020" s="1"/>
      <c r="AG4020" s="1"/>
      <c r="AH4020" s="1"/>
      <c r="AI4020" s="1"/>
      <c r="AJ4020" s="1"/>
      <c r="AK4020" s="1"/>
      <c r="AL4020" s="1"/>
      <c r="AM4020" s="1"/>
      <c r="AN4020" s="1"/>
      <c r="AO4020" s="1"/>
      <c r="AP4020" s="1"/>
      <c r="AQ4020" s="1"/>
      <c r="AR4020" s="1"/>
      <c r="AS4020" s="1"/>
      <c r="AT4020" s="1"/>
      <c r="AU4020" s="1"/>
      <c r="AV4020" s="1"/>
      <c r="AW4020" s="1"/>
      <c r="AX4020" s="1"/>
      <c r="AY4020" s="1"/>
      <c r="AZ4020" s="1"/>
      <c r="BA4020" s="1"/>
      <c r="BB4020" s="1"/>
    </row>
    <row r="4021" ht="204.75" customHeight="1">
      <c r="A4021" s="1">
        <v>3219.0</v>
      </c>
      <c r="B4021" s="2" t="s">
        <v>11939</v>
      </c>
      <c r="C4021" s="2">
        <f>IFERROR(__xludf.DUMMYFUNCTION("split(B4021,""_"")"),1307.0)</f>
        <v>1307</v>
      </c>
      <c r="D4021" s="2" t="str">
        <f>IFERROR(__xludf.DUMMYFUNCTION("""COMPUTED_VALUE"""),"NTV")</f>
        <v>NTV</v>
      </c>
      <c r="E4021" s="2" t="str">
        <f>IFERROR(__xludf.DUMMYFUNCTION("""COMPUTED_VALUE"""),"水22")</f>
        <v>水22</v>
      </c>
      <c r="F4021" s="2" t="s">
        <v>11940</v>
      </c>
      <c r="G4021" s="2" t="s">
        <v>11959</v>
      </c>
      <c r="H4021" s="1">
        <v>10.0</v>
      </c>
      <c r="I4021" s="1" t="s">
        <v>37</v>
      </c>
      <c r="J4021" s="1" t="s">
        <v>86</v>
      </c>
      <c r="K4021" s="2" t="s">
        <v>11960</v>
      </c>
      <c r="L4021" s="2"/>
      <c r="M4021" s="2" t="str">
        <f>IFERROR(__xludf.DUMMYFUNCTION("split(split(K4021,""【演出"",false),""ほか"",false)"),"満島ひかり、田中裕子、谷村美月、二階堂ふみ、三浦貴大、臼田あさ美、高橋一生、鈴木梨央(子役)、高橋來(子役)、小林薫　")</f>
        <v>満島ひかり、田中裕子、谷村美月、二階堂ふみ、三浦貴大、臼田あさ美、高橋一生、鈴木梨央(子役)、高橋來(子役)、小林薫　</v>
      </c>
      <c r="N4021" s="2" t="str">
        <f>IFERROR(__xludf.DUMMYFUNCTION("""COMPUTED_VALUE"""),"望海(鈴木梨央)は、小春(満島ひかり)の身体に異変が起こっていることを敏感に察する。小春は、今は自分の病気のことを子供たちに知られるわけには絶対いかなかった。しかし望海は、小春を探し病院まで来てしまうのだった。一方、紗千(田中裕子)は、行方が分からなくなった栞(二階堂ふみ)を捜し歩いていた。そのころ栞は、転落死した信(小栗旬)の背中を押した男を街で見かけ…。")</f>
        <v>望海(鈴木梨央)は、小春(満島ひかり)の身体に異変が起こっていることを敏感に察する。小春は、今は自分の病気のことを子供たちに知られるわけには絶対いかなかった。しかし望海は、小春を探し病院まで来てしまうのだった。一方、紗千(田中裕子)は、行方が分からなくなった栞(二階堂ふみ)を捜し歩いていた。そのころ栞は、転落死した信(小栗旬)の背中を押した男を街で見かけ…。</v>
      </c>
      <c r="O4021" s="2"/>
      <c r="P4021" s="1"/>
      <c r="Q4021" s="1"/>
      <c r="R4021" s="1"/>
      <c r="S4021" s="1"/>
      <c r="T4021" s="1"/>
      <c r="U4021" s="1"/>
      <c r="V4021" s="1"/>
      <c r="W4021" s="1"/>
      <c r="X4021" s="1"/>
      <c r="Y4021" s="1"/>
      <c r="Z4021" s="1"/>
      <c r="AA4021" s="1"/>
      <c r="AB4021" s="1"/>
      <c r="AC4021" s="1"/>
      <c r="AD4021" s="1"/>
      <c r="AE4021" s="1"/>
      <c r="AF4021" s="1"/>
      <c r="AG4021" s="1"/>
      <c r="AH4021" s="1"/>
      <c r="AI4021" s="1"/>
      <c r="AJ4021" s="1"/>
      <c r="AK4021" s="1"/>
      <c r="AL4021" s="1"/>
      <c r="AM4021" s="1"/>
      <c r="AN4021" s="1"/>
      <c r="AO4021" s="1"/>
      <c r="AP4021" s="1"/>
      <c r="AQ4021" s="1"/>
      <c r="AR4021" s="1"/>
      <c r="AS4021" s="1"/>
      <c r="AT4021" s="1"/>
      <c r="AU4021" s="1"/>
      <c r="AV4021" s="1"/>
      <c r="AW4021" s="1"/>
      <c r="AX4021" s="1"/>
      <c r="AY4021" s="1"/>
      <c r="AZ4021" s="1"/>
      <c r="BA4021" s="1"/>
      <c r="BB4021" s="1"/>
    </row>
    <row r="4022" ht="204.75" customHeight="1">
      <c r="A4022" s="1">
        <v>3220.0</v>
      </c>
      <c r="B4022" s="2" t="s">
        <v>11939</v>
      </c>
      <c r="C4022" s="2">
        <f>IFERROR(__xludf.DUMMYFUNCTION("split(B4022,""_"")"),1307.0)</f>
        <v>1307</v>
      </c>
      <c r="D4022" s="2" t="str">
        <f>IFERROR(__xludf.DUMMYFUNCTION("""COMPUTED_VALUE"""),"NTV")</f>
        <v>NTV</v>
      </c>
      <c r="E4022" s="2" t="str">
        <f>IFERROR(__xludf.DUMMYFUNCTION("""COMPUTED_VALUE"""),"水22")</f>
        <v>水22</v>
      </c>
      <c r="F4022" s="2" t="s">
        <v>11940</v>
      </c>
      <c r="G4022" s="2" t="s">
        <v>11961</v>
      </c>
      <c r="H4022" s="1">
        <v>11.0</v>
      </c>
      <c r="I4022" s="1" t="s">
        <v>41</v>
      </c>
      <c r="J4022" s="1" t="s">
        <v>82</v>
      </c>
      <c r="K4022" s="2" t="s">
        <v>11962</v>
      </c>
      <c r="L4022" s="2"/>
      <c r="M4022" s="2" t="str">
        <f>IFERROR(__xludf.DUMMYFUNCTION("split(split(K4022,""【演出"",false),""ほか"",false)"),"満島ひかり、田中裕子、小栗旬、谷村美月、二階堂ふみ、三浦貴大、臼田あさ美、高橋一生、鈴木梨央(子役)、高橋來(子役)、小林薫　")</f>
        <v>満島ひかり、田中裕子、小栗旬、谷村美月、二階堂ふみ、三浦貴大、臼田あさ美、高橋一生、鈴木梨央(子役)、高橋來(子役)、小林薫　</v>
      </c>
      <c r="N4022" s="2" t="str">
        <f>IFERROR(__xludf.DUMMYFUNCTION("""COMPUTED_VALUE"""),"その日、小春(満島ひかり)、望海(鈴木梨央)、陸(高橋來)、そして紗千(田中裕子)、健太郎(小林薫)は、いつものように明るく穏やかな朝食の時間を過ごす。しかし紗千と健太郎は内心、気が気ではなかった。栞(二階堂ふみ)が受けた骨髄適合検査の結果が出る日だったからだ。祈るような思いの紗千と健太郎。しかし小春は、もし栞の骨髄が適合したとしても提供を受けることはできない、と紗千にきっぱり告げるのだった。")</f>
        <v>その日、小春(満島ひかり)、望海(鈴木梨央)、陸(高橋來)、そして紗千(田中裕子)、健太郎(小林薫)は、いつものように明るく穏やかな朝食の時間を過ごす。しかし紗千と健太郎は内心、気が気ではなかった。栞(二階堂ふみ)が受けた骨髄適合検査の結果が出る日だったからだ。祈るような思いの紗千と健太郎。しかし小春は、もし栞の骨髄が適合したとしても提供を受けることはできない、と紗千にきっぱり告げるのだった。</v>
      </c>
      <c r="O4022" s="2"/>
      <c r="P4022" s="1"/>
      <c r="Q4022" s="1"/>
      <c r="R4022" s="1"/>
      <c r="S4022" s="1"/>
      <c r="T4022" s="1"/>
      <c r="U4022" s="1"/>
      <c r="V4022" s="1"/>
      <c r="W4022" s="1"/>
      <c r="X4022" s="1"/>
      <c r="Y4022" s="1"/>
      <c r="Z4022" s="1"/>
      <c r="AA4022" s="1"/>
      <c r="AB4022" s="1"/>
      <c r="AC4022" s="1"/>
      <c r="AD4022" s="1"/>
      <c r="AE4022" s="1"/>
      <c r="AF4022" s="1"/>
      <c r="AG4022" s="1"/>
      <c r="AH4022" s="1"/>
      <c r="AI4022" s="1"/>
      <c r="AJ4022" s="1"/>
      <c r="AK4022" s="1"/>
      <c r="AL4022" s="1"/>
      <c r="AM4022" s="1"/>
      <c r="AN4022" s="1"/>
      <c r="AO4022" s="1"/>
      <c r="AP4022" s="1"/>
      <c r="AQ4022" s="1"/>
      <c r="AR4022" s="1"/>
      <c r="AS4022" s="1"/>
      <c r="AT4022" s="1"/>
      <c r="AU4022" s="1"/>
      <c r="AV4022" s="1"/>
      <c r="AW4022" s="1"/>
      <c r="AX4022" s="1"/>
      <c r="AY4022" s="1"/>
      <c r="AZ4022" s="1"/>
      <c r="BA4022" s="1"/>
      <c r="BB4022" s="1"/>
    </row>
    <row r="4023" ht="204.75" customHeight="1">
      <c r="A4023" s="1">
        <v>3261.0</v>
      </c>
      <c r="B4023" s="2" t="s">
        <v>11963</v>
      </c>
      <c r="C4023" s="2">
        <f>IFERROR(__xludf.DUMMYFUNCTION("split(B4023,""_"")"),1307.0)</f>
        <v>1307</v>
      </c>
      <c r="D4023" s="2" t="str">
        <f>IFERROR(__xludf.DUMMYFUNCTION("""COMPUTED_VALUE"""),"NTV")</f>
        <v>NTV</v>
      </c>
      <c r="E4023" s="2" t="str">
        <f>IFERROR(__xludf.DUMMYFUNCTION("""COMPUTED_VALUE"""),"土21")</f>
        <v>土21</v>
      </c>
      <c r="F4023" s="2" t="s">
        <v>11964</v>
      </c>
      <c r="G4023" s="2" t="s">
        <v>11965</v>
      </c>
      <c r="H4023" s="1">
        <v>1.0</v>
      </c>
      <c r="I4023" s="1" t="s">
        <v>2868</v>
      </c>
      <c r="J4023" s="1" t="s">
        <v>4</v>
      </c>
      <c r="K4023" s="2" t="s">
        <v>11966</v>
      </c>
      <c r="L4023" s="2"/>
      <c r="M4023" s="2" t="str">
        <f>IFERROR(__xludf.DUMMYFUNCTION("split(split(K4023,""【演出"",false),""ほか"",false)"),"観月ありさ、桐谷美玲、田辺誠一、瀬戸康史、猫背椿、音尾琢真、橋本涼(ジャニーズJr.)、玉元風海人(ジャニーズJr.)、谷端奏人、きたろう、酒井若菜、松岡茉優、岡山智樹、早見あかり、勝村政信、南果歩　")</f>
        <v>観月ありさ、桐谷美玲、田辺誠一、瀬戸康史、猫背椿、音尾琢真、橋本涼(ジャニーズJr.)、玉元風海人(ジャニーズJr.)、谷端奏人、きたろう、酒井若菜、松岡茉優、岡山智樹、早見あかり、勝村政信、南果歩　</v>
      </c>
      <c r="N4023" s="2" t="str">
        <f>IFERROR(__xludf.DUMMYFUNCTION("""COMPUTED_VALUE"""),"大鷹市に越してきた斉藤さん(観月ありさ)と息子の潤一(谷端奏人)。しかし一足先に潤一が転校するクラスの母親たちの間で、斉藤は相当な変わり者だと噂になっていた。新学期早々、あだ名が原因で不登校の児童がいるということで、潤一のクラスでは緊急保護者会が開かれ、あだ名を禁止しようという話が持ち上がる。全員が賛成する中、斉藤さんは一人納得できず、反対の声を上げる。斉藤さんの新たな戦いの幕が開いた!")</f>
        <v>大鷹市に越してきた斉藤さん(観月ありさ)と息子の潤一(谷端奏人)。しかし一足先に潤一が転校するクラスの母親たちの間で、斉藤は相当な変わり者だと噂になっていた。新学期早々、あだ名が原因で不登校の児童がいるということで、潤一のクラスでは緊急保護者会が開かれ、あだ名を禁止しようという話が持ち上がる。全員が賛成する中、斉藤さんは一人納得できず、反対の声を上げる。斉藤さんの新たな戦いの幕が開いた!</v>
      </c>
      <c r="O4023" s="2"/>
      <c r="P4023" s="1"/>
      <c r="Q4023" s="1"/>
      <c r="R4023" s="1"/>
      <c r="S4023" s="1"/>
      <c r="T4023" s="1"/>
      <c r="U4023" s="1"/>
      <c r="V4023" s="1"/>
      <c r="W4023" s="1"/>
      <c r="X4023" s="1"/>
      <c r="Y4023" s="1"/>
      <c r="Z4023" s="1"/>
      <c r="AA4023" s="1"/>
      <c r="AB4023" s="1"/>
      <c r="AC4023" s="1"/>
      <c r="AD4023" s="1"/>
      <c r="AE4023" s="1"/>
      <c r="AF4023" s="1"/>
      <c r="AG4023" s="1"/>
      <c r="AH4023" s="1"/>
      <c r="AI4023" s="1"/>
      <c r="AJ4023" s="1"/>
      <c r="AK4023" s="1"/>
      <c r="AL4023" s="1"/>
      <c r="AM4023" s="1"/>
      <c r="AN4023" s="1"/>
      <c r="AO4023" s="1"/>
      <c r="AP4023" s="1"/>
      <c r="AQ4023" s="1"/>
      <c r="AR4023" s="1"/>
      <c r="AS4023" s="1"/>
      <c r="AT4023" s="1"/>
      <c r="AU4023" s="1"/>
      <c r="AV4023" s="1"/>
      <c r="AW4023" s="1"/>
      <c r="AX4023" s="1"/>
      <c r="AY4023" s="1"/>
      <c r="AZ4023" s="1"/>
      <c r="BA4023" s="1"/>
      <c r="BB4023" s="1"/>
    </row>
    <row r="4024" ht="204.75" customHeight="1">
      <c r="A4024" s="1">
        <v>3262.0</v>
      </c>
      <c r="B4024" s="2" t="s">
        <v>11963</v>
      </c>
      <c r="C4024" s="2">
        <f>IFERROR(__xludf.DUMMYFUNCTION("split(B4024,""_"")"),1307.0)</f>
        <v>1307</v>
      </c>
      <c r="D4024" s="2" t="str">
        <f>IFERROR(__xludf.DUMMYFUNCTION("""COMPUTED_VALUE"""),"NTV")</f>
        <v>NTV</v>
      </c>
      <c r="E4024" s="2" t="str">
        <f>IFERROR(__xludf.DUMMYFUNCTION("""COMPUTED_VALUE"""),"土21")</f>
        <v>土21</v>
      </c>
      <c r="F4024" s="2" t="s">
        <v>11964</v>
      </c>
      <c r="G4024" s="2" t="s">
        <v>11967</v>
      </c>
      <c r="H4024" s="1">
        <v>2.0</v>
      </c>
      <c r="I4024" s="1" t="s">
        <v>2872</v>
      </c>
      <c r="J4024" s="1" t="s">
        <v>11</v>
      </c>
      <c r="K4024" s="2" t="s">
        <v>11968</v>
      </c>
      <c r="L4024" s="2"/>
      <c r="M4024" s="2" t="str">
        <f>IFERROR(__xludf.DUMMYFUNCTION("split(split(K4024,""【演出"",false),""ほか"",false)"),"観月ありさ、桐谷美玲、田辺誠一、瀬戸康史、猫背椿、音尾琢真、橋本涼(ジャニーズJr.)、玉元風海人(ジャニーズJr.)、谷端奏人、きたろう、酒井若菜、松岡茉優、岡山智樹、早見あかり、勝村政信、南果歩　")</f>
        <v>観月ありさ、桐谷美玲、田辺誠一、瀬戸康史、猫背椿、音尾琢真、橋本涼(ジャニーズJr.)、玉元風海人(ジャニーズJr.)、谷端奏人、きたろう、酒井若菜、松岡茉優、岡山智樹、早見あかり、勝村政信、南果歩　</v>
      </c>
      <c r="N4024" s="2" t="str">
        <f>IFERROR(__xludf.DUMMYFUNCTION("""COMPUTED_VALUE"""),"拓海(橋本涼)と潤一(谷端奏人)は、上級生にからまれているところを磨沙夜(前田航基)という6年生に助けられる。すっかり磨沙夜になつく二人だが、磨沙夜は親子揃って他の保護者たちの評判が悪く、摩耶(桐谷美玲)も拓海を磨沙夜から遠ざけようとする。しかし、斉藤さん(観月ありさ)だけは、磨沙夜の悪いところはしっかり注意し、家に遊びに来ることも歓迎する。そんな斉藤さんに、摩耶はあれこれ忠告するのだが…。")</f>
        <v>拓海(橋本涼)と潤一(谷端奏人)は、上級生にからまれているところを磨沙夜(前田航基)という6年生に助けられる。すっかり磨沙夜になつく二人だが、磨沙夜は親子揃って他の保護者たちの評判が悪く、摩耶(桐谷美玲)も拓海を磨沙夜から遠ざけようとする。しかし、斉藤さん(観月ありさ)だけは、磨沙夜の悪いところはしっかり注意し、家に遊びに来ることも歓迎する。そんな斉藤さんに、摩耶はあれこれ忠告するのだが…。</v>
      </c>
      <c r="O4024" s="2"/>
      <c r="P4024" s="1"/>
      <c r="Q4024" s="1"/>
      <c r="R4024" s="1"/>
      <c r="S4024" s="1"/>
      <c r="T4024" s="1"/>
      <c r="U4024" s="1"/>
      <c r="V4024" s="1"/>
      <c r="W4024" s="1"/>
      <c r="X4024" s="1"/>
      <c r="Y4024" s="1"/>
      <c r="Z4024" s="1"/>
      <c r="AA4024" s="1"/>
      <c r="AB4024" s="1"/>
      <c r="AC4024" s="1"/>
      <c r="AD4024" s="1"/>
      <c r="AE4024" s="1"/>
      <c r="AF4024" s="1"/>
      <c r="AG4024" s="1"/>
      <c r="AH4024" s="1"/>
      <c r="AI4024" s="1"/>
      <c r="AJ4024" s="1"/>
      <c r="AK4024" s="1"/>
      <c r="AL4024" s="1"/>
      <c r="AM4024" s="1"/>
      <c r="AN4024" s="1"/>
      <c r="AO4024" s="1"/>
      <c r="AP4024" s="1"/>
      <c r="AQ4024" s="1"/>
      <c r="AR4024" s="1"/>
      <c r="AS4024" s="1"/>
      <c r="AT4024" s="1"/>
      <c r="AU4024" s="1"/>
      <c r="AV4024" s="1"/>
      <c r="AW4024" s="1"/>
      <c r="AX4024" s="1"/>
      <c r="AY4024" s="1"/>
      <c r="AZ4024" s="1"/>
      <c r="BA4024" s="1"/>
      <c r="BB4024" s="1"/>
    </row>
    <row r="4025" ht="204.75" customHeight="1">
      <c r="A4025" s="1">
        <v>3263.0</v>
      </c>
      <c r="B4025" s="2" t="s">
        <v>11963</v>
      </c>
      <c r="C4025" s="2">
        <f>IFERROR(__xludf.DUMMYFUNCTION("split(B4025,""_"")"),1307.0)</f>
        <v>1307</v>
      </c>
      <c r="D4025" s="2" t="str">
        <f>IFERROR(__xludf.DUMMYFUNCTION("""COMPUTED_VALUE"""),"NTV")</f>
        <v>NTV</v>
      </c>
      <c r="E4025" s="2" t="str">
        <f>IFERROR(__xludf.DUMMYFUNCTION("""COMPUTED_VALUE"""),"土21")</f>
        <v>土21</v>
      </c>
      <c r="F4025" s="2" t="s">
        <v>11964</v>
      </c>
      <c r="G4025" s="2" t="s">
        <v>11969</v>
      </c>
      <c r="H4025" s="1">
        <v>3.0</v>
      </c>
      <c r="I4025" s="1" t="s">
        <v>2876</v>
      </c>
      <c r="J4025" s="1" t="s">
        <v>11</v>
      </c>
      <c r="K4025" s="2" t="s">
        <v>11970</v>
      </c>
      <c r="L4025" s="2"/>
      <c r="M4025" s="2" t="str">
        <f>IFERROR(__xludf.DUMMYFUNCTION("split(split(K4025,""【演出"",false),""ほか"",false)"),"観月ありさ、桐谷美玲、田辺誠一、瀬戸康史、猫背椿、音尾琢真、橋本涼(ジャニーズJr.)、玉元風海人(ジャニーズJr.)、谷端奏人、きたろう、酒井若菜、松岡茉優、岡山智樹、早見あかり、勝村政信、南果歩　")</f>
        <v>観月ありさ、桐谷美玲、田辺誠一、瀬戸康史、猫背椿、音尾琢真、橋本涼(ジャニーズJr.)、玉元風海人(ジャニーズJr.)、谷端奏人、きたろう、酒井若菜、松岡茉優、岡山智樹、早見あかり、勝村政信、南果歩　</v>
      </c>
      <c r="N4025" s="2" t="str">
        <f>IFERROR(__xludf.DUMMYFUNCTION("""COMPUTED_VALUE"""),"何者かが放ったロケット花火で子供たちが怪我をしそうになり、玉井(南果歩)たちは大騒ぎ。不良高校生の仕業に違いないと、匿名で高校に抗議を入れる。椎原(岡山智樹)たちは、抗議したのが斉藤(観月ありさ)だと誤解し、仕返しを考える。斉藤は自分のせいで子供たちが危険な目に遭うとみんなに責められる。摩耶(桐谷美玲)はそんな斉藤を助けるために、自分も斉藤のように強くなろうと行動を開始するのだが…。")</f>
        <v>何者かが放ったロケット花火で子供たちが怪我をしそうになり、玉井(南果歩)たちは大騒ぎ。不良高校生の仕業に違いないと、匿名で高校に抗議を入れる。椎原(岡山智樹)たちは、抗議したのが斉藤(観月ありさ)だと誤解し、仕返しを考える。斉藤は自分のせいで子供たちが危険な目に遭うとみんなに責められる。摩耶(桐谷美玲)はそんな斉藤を助けるために、自分も斉藤のように強くなろうと行動を開始するのだが…。</v>
      </c>
      <c r="O4025" s="2"/>
      <c r="P4025" s="1"/>
      <c r="Q4025" s="1"/>
      <c r="R4025" s="1"/>
      <c r="S4025" s="1"/>
      <c r="T4025" s="1"/>
      <c r="U4025" s="1"/>
      <c r="V4025" s="1"/>
      <c r="W4025" s="1"/>
      <c r="X4025" s="1"/>
      <c r="Y4025" s="1"/>
      <c r="Z4025" s="1"/>
      <c r="AA4025" s="1"/>
      <c r="AB4025" s="1"/>
      <c r="AC4025" s="1"/>
      <c r="AD4025" s="1"/>
      <c r="AE4025" s="1"/>
      <c r="AF4025" s="1"/>
      <c r="AG4025" s="1"/>
      <c r="AH4025" s="1"/>
      <c r="AI4025" s="1"/>
      <c r="AJ4025" s="1"/>
      <c r="AK4025" s="1"/>
      <c r="AL4025" s="1"/>
      <c r="AM4025" s="1"/>
      <c r="AN4025" s="1"/>
      <c r="AO4025" s="1"/>
      <c r="AP4025" s="1"/>
      <c r="AQ4025" s="1"/>
      <c r="AR4025" s="1"/>
      <c r="AS4025" s="1"/>
      <c r="AT4025" s="1"/>
      <c r="AU4025" s="1"/>
      <c r="AV4025" s="1"/>
      <c r="AW4025" s="1"/>
      <c r="AX4025" s="1"/>
      <c r="AY4025" s="1"/>
      <c r="AZ4025" s="1"/>
      <c r="BA4025" s="1"/>
      <c r="BB4025" s="1"/>
    </row>
    <row r="4026" ht="204.75" customHeight="1">
      <c r="A4026" s="1">
        <v>3264.0</v>
      </c>
      <c r="B4026" s="2" t="s">
        <v>11963</v>
      </c>
      <c r="C4026" s="2">
        <f>IFERROR(__xludf.DUMMYFUNCTION("split(B4026,""_"")"),1307.0)</f>
        <v>1307</v>
      </c>
      <c r="D4026" s="2" t="str">
        <f>IFERROR(__xludf.DUMMYFUNCTION("""COMPUTED_VALUE"""),"NTV")</f>
        <v>NTV</v>
      </c>
      <c r="E4026" s="2" t="str">
        <f>IFERROR(__xludf.DUMMYFUNCTION("""COMPUTED_VALUE"""),"土21")</f>
        <v>土21</v>
      </c>
      <c r="F4026" s="2" t="s">
        <v>11964</v>
      </c>
      <c r="G4026" s="2" t="s">
        <v>11971</v>
      </c>
      <c r="H4026" s="1">
        <v>4.0</v>
      </c>
      <c r="I4026" s="1" t="s">
        <v>2880</v>
      </c>
      <c r="J4026" s="1" t="s">
        <v>11</v>
      </c>
      <c r="K4026" s="2" t="s">
        <v>11972</v>
      </c>
      <c r="L4026" s="2"/>
      <c r="M4026" s="2" t="str">
        <f>IFERROR(__xludf.DUMMYFUNCTION("split(split(K4026,""【演出"",false),""ほか"",false)"),"観月ありさ、桐谷美玲、田辺誠一、瀬戸康史、猫背椿、音尾琢真、橋本涼(ジャニーズJr.)、玉元風海人(ジャニーズJr.)、谷端奏人、きたろう、酒井若菜、松岡茉優、岡山智樹、早見あかり、勝村政信、南果歩　")</f>
        <v>観月ありさ、桐谷美玲、田辺誠一、瀬戸康史、猫背椿、音尾琢真、橋本涼(ジャニーズJr.)、玉元風海人(ジャニーズJr.)、谷端奏人、きたろう、酒井若菜、松岡茉優、岡山智樹、早見あかり、勝村政信、南果歩　</v>
      </c>
      <c r="N4026" s="2" t="str">
        <f>IFERROR(__xludf.DUMMYFUNCTION("""COMPUTED_VALUE"""),"斉藤(観月ありさ)は、立花(酒井若菜)の娘・知花(大野百花)がピアノの稽古と聞いた途端お腹を壊すのを見て、知花が無理をしているのではと心配する。そんな中、公園のプール掃除のイベントが突然中止に。子供たちは、掃除の前にヤゴを捕って育てるのを毎年楽しみにしていた。中でも一番落胆したのは、意外にも知花だった。そんな子供たちのために、斉藤と摩耶(桐谷美玲)はプール掃除のボランティアを募集するのだが…。")</f>
        <v>斉藤(観月ありさ)は、立花(酒井若菜)の娘・知花(大野百花)がピアノの稽古と聞いた途端お腹を壊すのを見て、知花が無理をしているのではと心配する。そんな中、公園のプール掃除のイベントが突然中止に。子供たちは、掃除の前にヤゴを捕って育てるのを毎年楽しみにしていた。中でも一番落胆したのは、意外にも知花だった。そんな子供たちのために、斉藤と摩耶(桐谷美玲)はプール掃除のボランティアを募集するのだが…。</v>
      </c>
      <c r="O4026" s="2"/>
      <c r="P4026" s="1"/>
      <c r="Q4026" s="1"/>
      <c r="R4026" s="1"/>
      <c r="S4026" s="1"/>
      <c r="T4026" s="1"/>
      <c r="U4026" s="1"/>
      <c r="V4026" s="1"/>
      <c r="W4026" s="1"/>
      <c r="X4026" s="1"/>
      <c r="Y4026" s="1"/>
      <c r="Z4026" s="1"/>
      <c r="AA4026" s="1"/>
      <c r="AB4026" s="1"/>
      <c r="AC4026" s="1"/>
      <c r="AD4026" s="1"/>
      <c r="AE4026" s="1"/>
      <c r="AF4026" s="1"/>
      <c r="AG4026" s="1"/>
      <c r="AH4026" s="1"/>
      <c r="AI4026" s="1"/>
      <c r="AJ4026" s="1"/>
      <c r="AK4026" s="1"/>
      <c r="AL4026" s="1"/>
      <c r="AM4026" s="1"/>
      <c r="AN4026" s="1"/>
      <c r="AO4026" s="1"/>
      <c r="AP4026" s="1"/>
      <c r="AQ4026" s="1"/>
      <c r="AR4026" s="1"/>
      <c r="AS4026" s="1"/>
      <c r="AT4026" s="1"/>
      <c r="AU4026" s="1"/>
      <c r="AV4026" s="1"/>
      <c r="AW4026" s="1"/>
      <c r="AX4026" s="1"/>
      <c r="AY4026" s="1"/>
      <c r="AZ4026" s="1"/>
      <c r="BA4026" s="1"/>
      <c r="BB4026" s="1"/>
    </row>
    <row r="4027" ht="204.75" customHeight="1">
      <c r="A4027" s="1">
        <v>3265.0</v>
      </c>
      <c r="B4027" s="2" t="s">
        <v>11963</v>
      </c>
      <c r="C4027" s="2">
        <f>IFERROR(__xludf.DUMMYFUNCTION("split(B4027,""_"")"),1307.0)</f>
        <v>1307</v>
      </c>
      <c r="D4027" s="2" t="str">
        <f>IFERROR(__xludf.DUMMYFUNCTION("""COMPUTED_VALUE"""),"NTV")</f>
        <v>NTV</v>
      </c>
      <c r="E4027" s="2" t="str">
        <f>IFERROR(__xludf.DUMMYFUNCTION("""COMPUTED_VALUE"""),"土21")</f>
        <v>土21</v>
      </c>
      <c r="F4027" s="2" t="s">
        <v>11964</v>
      </c>
      <c r="G4027" s="2" t="s">
        <v>11973</v>
      </c>
      <c r="H4027" s="1">
        <v>5.0</v>
      </c>
      <c r="I4027" s="1" t="s">
        <v>2884</v>
      </c>
      <c r="J4027" s="1" t="s">
        <v>11</v>
      </c>
      <c r="K4027" s="2" t="s">
        <v>11974</v>
      </c>
      <c r="L4027" s="2"/>
      <c r="M4027" s="2" t="str">
        <f>IFERROR(__xludf.DUMMYFUNCTION("split(split(K4027,""【演出"",false),""ほか"",false)"),"観月ありさ、桐谷美玲、田辺誠一、瀬戸康史、猫背椿、音尾琢真、橋本涼(ジャニーズJr.)、玉元風海人(ジャニーズJr.)、谷端奏人、きたろう、酒井若菜、松岡茉優、岡山智樹、早見あかり、勝村政信、南果歩　")</f>
        <v>観月ありさ、桐谷美玲、田辺誠一、瀬戸康史、猫背椿、音尾琢真、橋本涼(ジャニーズJr.)、玉元風海人(ジャニーズJr.)、谷端奏人、きたろう、酒井若菜、松岡茉優、岡山智樹、早見あかり、勝村政信、南果歩　</v>
      </c>
      <c r="N4027" s="2" t="str">
        <f>IFERROR(__xludf.DUMMYFUNCTION("""COMPUTED_VALUE"""),"玉井(南果歩)の息子・大和(玉元風海人)が知花(大野百花)に怪我をさせる。誰もが黙っている中、潤一(谷端奏人)は大和が原因だと小杉(瀬戸康史)に告げる。それをきっかけに潤一はクラスで孤立し、大和たちからイジメを受けるようになる。仲の良かった拓海(橋本涼)までもが、大和の味方に付く。しかし潤一は斉藤(観月ありさ)に何も言おうとしない。偶然イジメを目撃した磨沙夜(前田航基)が斉藤に事実を告げるが…。")</f>
        <v>玉井(南果歩)の息子・大和(玉元風海人)が知花(大野百花)に怪我をさせる。誰もが黙っている中、潤一(谷端奏人)は大和が原因だと小杉(瀬戸康史)に告げる。それをきっかけに潤一はクラスで孤立し、大和たちからイジメを受けるようになる。仲の良かった拓海(橋本涼)までもが、大和の味方に付く。しかし潤一は斉藤(観月ありさ)に何も言おうとしない。偶然イジメを目撃した磨沙夜(前田航基)が斉藤に事実を告げるが…。</v>
      </c>
      <c r="O4027" s="2"/>
      <c r="P4027" s="1"/>
      <c r="Q4027" s="1"/>
      <c r="R4027" s="1"/>
      <c r="S4027" s="1"/>
      <c r="T4027" s="1"/>
      <c r="U4027" s="1"/>
      <c r="V4027" s="1"/>
      <c r="W4027" s="1"/>
      <c r="X4027" s="1"/>
      <c r="Y4027" s="1"/>
      <c r="Z4027" s="1"/>
      <c r="AA4027" s="1"/>
      <c r="AB4027" s="1"/>
      <c r="AC4027" s="1"/>
      <c r="AD4027" s="1"/>
      <c r="AE4027" s="1"/>
      <c r="AF4027" s="1"/>
      <c r="AG4027" s="1"/>
      <c r="AH4027" s="1"/>
      <c r="AI4027" s="1"/>
      <c r="AJ4027" s="1"/>
      <c r="AK4027" s="1"/>
      <c r="AL4027" s="1"/>
      <c r="AM4027" s="1"/>
      <c r="AN4027" s="1"/>
      <c r="AO4027" s="1"/>
      <c r="AP4027" s="1"/>
      <c r="AQ4027" s="1"/>
      <c r="AR4027" s="1"/>
      <c r="AS4027" s="1"/>
      <c r="AT4027" s="1"/>
      <c r="AU4027" s="1"/>
      <c r="AV4027" s="1"/>
      <c r="AW4027" s="1"/>
      <c r="AX4027" s="1"/>
      <c r="AY4027" s="1"/>
      <c r="AZ4027" s="1"/>
      <c r="BA4027" s="1"/>
      <c r="BB4027" s="1"/>
    </row>
    <row r="4028" ht="204.75" customHeight="1">
      <c r="A4028" s="1">
        <v>3266.0</v>
      </c>
      <c r="B4028" s="2" t="s">
        <v>11963</v>
      </c>
      <c r="C4028" s="2">
        <f>IFERROR(__xludf.DUMMYFUNCTION("split(B4028,""_"")"),1307.0)</f>
        <v>1307</v>
      </c>
      <c r="D4028" s="2" t="str">
        <f>IFERROR(__xludf.DUMMYFUNCTION("""COMPUTED_VALUE"""),"NTV")</f>
        <v>NTV</v>
      </c>
      <c r="E4028" s="2" t="str">
        <f>IFERROR(__xludf.DUMMYFUNCTION("""COMPUTED_VALUE"""),"土21")</f>
        <v>土21</v>
      </c>
      <c r="F4028" s="2" t="s">
        <v>11964</v>
      </c>
      <c r="G4028" s="2" t="s">
        <v>11975</v>
      </c>
      <c r="H4028" s="1">
        <v>6.0</v>
      </c>
      <c r="I4028" s="1" t="s">
        <v>2888</v>
      </c>
      <c r="J4028" s="1" t="s">
        <v>11</v>
      </c>
      <c r="K4028" s="2" t="s">
        <v>11976</v>
      </c>
      <c r="L4028" s="2"/>
      <c r="M4028" s="2" t="str">
        <f>IFERROR(__xludf.DUMMYFUNCTION("split(split(K4028,""【演出"",false),""ほか"",false)"),"観月ありさ、桐谷美玲、田辺誠一、瀬戸康史、猫背椿、音尾琢真、橋本涼(ジャニーズJr.)、玉元風海人(ジャニーズJr.)、谷端奏人、きたろう、酒井若菜、松岡茉優、岡山智樹、早見あかり、勝村政信、南果歩　")</f>
        <v>観月ありさ、桐谷美玲、田辺誠一、瀬戸康史、猫背椿、音尾琢真、橋本涼(ジャニーズJr.)、玉元風海人(ジャニーズJr.)、谷端奏人、きたろう、酒井若菜、松岡茉優、岡山智樹、早見あかり、勝村政信、南果歩　</v>
      </c>
      <c r="N4028" s="2" t="str">
        <f>IFERROR(__xludf.DUMMYFUNCTION("""COMPUTED_VALUE"""),"潤一(谷端奏人)がクラスでいじめに遭っていることに悩む斉藤(観月ありさ)。だが、誰にも相談できない彼女は摩耶(桐谷美玲)にも誤解され、彼女自身も孤立してしまう。潤一は大和(玉元風海人)と話し合おうとするが、取っ組み合いの喧嘩になってしまう。そして大和が自分で転んでケガをしたのに、それを潤一のせいだと思った玉井(南果歩)は斉藤を呼び出す。ついに直接対決する二人だが…。")</f>
        <v>潤一(谷端奏人)がクラスでいじめに遭っていることに悩む斉藤(観月ありさ)。だが、誰にも相談できない彼女は摩耶(桐谷美玲)にも誤解され、彼女自身も孤立してしまう。潤一は大和(玉元風海人)と話し合おうとするが、取っ組み合いの喧嘩になってしまう。そして大和が自分で転んでケガをしたのに、それを潤一のせいだと思った玉井(南果歩)は斉藤を呼び出す。ついに直接対決する二人だが…。</v>
      </c>
      <c r="O4028" s="2"/>
      <c r="P4028" s="1"/>
      <c r="Q4028" s="1"/>
      <c r="R4028" s="1"/>
      <c r="S4028" s="1"/>
      <c r="T4028" s="1"/>
      <c r="U4028" s="1"/>
      <c r="V4028" s="1"/>
      <c r="W4028" s="1"/>
      <c r="X4028" s="1"/>
      <c r="Y4028" s="1"/>
      <c r="Z4028" s="1"/>
      <c r="AA4028" s="1"/>
      <c r="AB4028" s="1"/>
      <c r="AC4028" s="1"/>
      <c r="AD4028" s="1"/>
      <c r="AE4028" s="1"/>
      <c r="AF4028" s="1"/>
      <c r="AG4028" s="1"/>
      <c r="AH4028" s="1"/>
      <c r="AI4028" s="1"/>
      <c r="AJ4028" s="1"/>
      <c r="AK4028" s="1"/>
      <c r="AL4028" s="1"/>
      <c r="AM4028" s="1"/>
      <c r="AN4028" s="1"/>
      <c r="AO4028" s="1"/>
      <c r="AP4028" s="1"/>
      <c r="AQ4028" s="1"/>
      <c r="AR4028" s="1"/>
      <c r="AS4028" s="1"/>
      <c r="AT4028" s="1"/>
      <c r="AU4028" s="1"/>
      <c r="AV4028" s="1"/>
      <c r="AW4028" s="1"/>
      <c r="AX4028" s="1"/>
      <c r="AY4028" s="1"/>
      <c r="AZ4028" s="1"/>
      <c r="BA4028" s="1"/>
      <c r="BB4028" s="1"/>
    </row>
    <row r="4029" ht="204.75" customHeight="1">
      <c r="A4029" s="1">
        <v>3267.0</v>
      </c>
      <c r="B4029" s="2" t="s">
        <v>11963</v>
      </c>
      <c r="C4029" s="2">
        <f>IFERROR(__xludf.DUMMYFUNCTION("split(B4029,""_"")"),1307.0)</f>
        <v>1307</v>
      </c>
      <c r="D4029" s="2" t="str">
        <f>IFERROR(__xludf.DUMMYFUNCTION("""COMPUTED_VALUE"""),"NTV")</f>
        <v>NTV</v>
      </c>
      <c r="E4029" s="2" t="str">
        <f>IFERROR(__xludf.DUMMYFUNCTION("""COMPUTED_VALUE"""),"土21")</f>
        <v>土21</v>
      </c>
      <c r="F4029" s="2" t="s">
        <v>11964</v>
      </c>
      <c r="G4029" s="2" t="s">
        <v>11977</v>
      </c>
      <c r="H4029" s="1">
        <v>7.0</v>
      </c>
      <c r="I4029" s="1" t="s">
        <v>2892</v>
      </c>
      <c r="J4029" s="1" t="s">
        <v>11</v>
      </c>
      <c r="K4029" s="2" t="s">
        <v>11978</v>
      </c>
      <c r="L4029" s="2"/>
      <c r="M4029" s="2" t="str">
        <f>IFERROR(__xludf.DUMMYFUNCTION("split(split(K4029,""【演出"",false),""ほか"",false)"),"観月ありさ、桐谷美玲、田辺誠一、瀬戸康史、猫背椿、音尾琢真、橋本涼(ジャニーズJr.)、玉元風海人(ジャニーズJr.)、谷端奏人、きたろう、酒井若菜、松岡茉優、岡山智樹、早見あかり、勝村政信、南果歩　")</f>
        <v>観月ありさ、桐谷美玲、田辺誠一、瀬戸康史、猫背椿、音尾琢真、橋本涼(ジャニーズJr.)、玉元風海人(ジャニーズJr.)、谷端奏人、きたろう、酒井若菜、松岡茉優、岡山智樹、早見あかり、勝村政信、南果歩　</v>
      </c>
      <c r="N4029" s="2" t="str">
        <f>IFERROR(__xludf.DUMMYFUNCTION("""COMPUTED_VALUE"""),"玉井(南果歩)は、取り巻きだった主婦たちから避けられるようになる。大庭(猫背椿)たちは斉藤(観月ありさ)を自分たちのリーダーにしようと企む。一方、男児を出産した冴(松岡茉優)は、一人で育児に追われ、思い通りにならない息子をどう扱っていいか分からず伯母の玉井を頼るが、玉井は取り合わない。子育てに疲れ、孤独を感じる冴は次第に追い詰められていく。冴が悩んでいると知った斉藤は、彼女を救おうとするが…。")</f>
        <v>玉井(南果歩)は、取り巻きだった主婦たちから避けられるようになる。大庭(猫背椿)たちは斉藤(観月ありさ)を自分たちのリーダーにしようと企む。一方、男児を出産した冴(松岡茉優)は、一人で育児に追われ、思い通りにならない息子をどう扱っていいか分からず伯母の玉井を頼るが、玉井は取り合わない。子育てに疲れ、孤独を感じる冴は次第に追い詰められていく。冴が悩んでいると知った斉藤は、彼女を救おうとするが…。</v>
      </c>
      <c r="O4029" s="2"/>
      <c r="P4029" s="1"/>
      <c r="Q4029" s="1"/>
      <c r="R4029" s="1"/>
      <c r="S4029" s="1"/>
      <c r="T4029" s="1"/>
      <c r="U4029" s="1"/>
      <c r="V4029" s="1"/>
      <c r="W4029" s="1"/>
      <c r="X4029" s="1"/>
      <c r="Y4029" s="1"/>
      <c r="Z4029" s="1"/>
      <c r="AA4029" s="1"/>
      <c r="AB4029" s="1"/>
      <c r="AC4029" s="1"/>
      <c r="AD4029" s="1"/>
      <c r="AE4029" s="1"/>
      <c r="AF4029" s="1"/>
      <c r="AG4029" s="1"/>
      <c r="AH4029" s="1"/>
      <c r="AI4029" s="1"/>
      <c r="AJ4029" s="1"/>
      <c r="AK4029" s="1"/>
      <c r="AL4029" s="1"/>
      <c r="AM4029" s="1"/>
      <c r="AN4029" s="1"/>
      <c r="AO4029" s="1"/>
      <c r="AP4029" s="1"/>
      <c r="AQ4029" s="1"/>
      <c r="AR4029" s="1"/>
      <c r="AS4029" s="1"/>
      <c r="AT4029" s="1"/>
      <c r="AU4029" s="1"/>
      <c r="AV4029" s="1"/>
      <c r="AW4029" s="1"/>
      <c r="AX4029" s="1"/>
      <c r="AY4029" s="1"/>
      <c r="AZ4029" s="1"/>
      <c r="BA4029" s="1"/>
      <c r="BB4029" s="1"/>
    </row>
    <row r="4030" ht="204.75" customHeight="1">
      <c r="A4030" s="1">
        <v>3268.0</v>
      </c>
      <c r="B4030" s="2" t="s">
        <v>11963</v>
      </c>
      <c r="C4030" s="2">
        <f>IFERROR(__xludf.DUMMYFUNCTION("split(B4030,""_"")"),1307.0)</f>
        <v>1307</v>
      </c>
      <c r="D4030" s="2" t="str">
        <f>IFERROR(__xludf.DUMMYFUNCTION("""COMPUTED_VALUE"""),"NTV")</f>
        <v>NTV</v>
      </c>
      <c r="E4030" s="2" t="str">
        <f>IFERROR(__xludf.DUMMYFUNCTION("""COMPUTED_VALUE"""),"土21")</f>
        <v>土21</v>
      </c>
      <c r="F4030" s="2" t="s">
        <v>11964</v>
      </c>
      <c r="G4030" s="2" t="s">
        <v>11979</v>
      </c>
      <c r="H4030" s="1">
        <v>8.0</v>
      </c>
      <c r="I4030" s="1" t="s">
        <v>2896</v>
      </c>
      <c r="J4030" s="1" t="s">
        <v>11</v>
      </c>
      <c r="K4030" s="2" t="s">
        <v>11980</v>
      </c>
      <c r="L4030" s="2"/>
      <c r="M4030" s="2" t="str">
        <f>IFERROR(__xludf.DUMMYFUNCTION("split(split(K4030,""【演出"",false),""ほか"",false)"),"観月ありさ、桐谷美玲、田辺誠一、瀬戸康史、猫背椿、音尾琢真、橋本涼(ジャニーズJr.)、玉元風海人(ジャニーズJr.)、谷端奏人、きたろう、酒井若菜、松岡茉優、岡山智樹、早見あかり、勝村政信、南果歩　")</f>
        <v>観月ありさ、桐谷美玲、田辺誠一、瀬戸康史、猫背椿、音尾琢真、橋本涼(ジャニーズJr.)、玉元風海人(ジャニーズJr.)、谷端奏人、きたろう、酒井若菜、松岡茉優、岡山智樹、早見あかり、勝村政信、南果歩　</v>
      </c>
      <c r="N4030" s="2" t="str">
        <f>IFERROR(__xludf.DUMMYFUNCTION("""COMPUTED_VALUE"""),"斉藤(観月ありさ)は、玉井(南果歩)の取り巻きだった主婦たちからちやほやされて、戸惑う。一方、潤一(谷端奏人)ら4年3組の児童たちは、1組の雄司(佐藤詩音)が地方の有名中学への進学を強要されて悩んでいることを知る。そして、大和(玉元風海人)を中心に4年3組の児童と雄司は、親への反抗からある計画を立てる。そんな中街には、何者かによって斉藤を中傷するビラがあちこちに貼られるように…。")</f>
        <v>斉藤(観月ありさ)は、玉井(南果歩)の取り巻きだった主婦たちからちやほやされて、戸惑う。一方、潤一(谷端奏人)ら4年3組の児童たちは、1組の雄司(佐藤詩音)が地方の有名中学への進学を強要されて悩んでいることを知る。そして、大和(玉元風海人)を中心に4年3組の児童と雄司は、親への反抗からある計画を立てる。そんな中街には、何者かによって斉藤を中傷するビラがあちこちに貼られるように…。</v>
      </c>
      <c r="O4030" s="2"/>
      <c r="P4030" s="1"/>
      <c r="Q4030" s="1"/>
      <c r="R4030" s="1"/>
      <c r="S4030" s="1"/>
      <c r="T4030" s="1"/>
      <c r="U4030" s="1"/>
      <c r="V4030" s="1"/>
      <c r="W4030" s="1"/>
      <c r="X4030" s="1"/>
      <c r="Y4030" s="1"/>
      <c r="Z4030" s="1"/>
      <c r="AA4030" s="1"/>
      <c r="AB4030" s="1"/>
      <c r="AC4030" s="1"/>
      <c r="AD4030" s="1"/>
      <c r="AE4030" s="1"/>
      <c r="AF4030" s="1"/>
      <c r="AG4030" s="1"/>
      <c r="AH4030" s="1"/>
      <c r="AI4030" s="1"/>
      <c r="AJ4030" s="1"/>
      <c r="AK4030" s="1"/>
      <c r="AL4030" s="1"/>
      <c r="AM4030" s="1"/>
      <c r="AN4030" s="1"/>
      <c r="AO4030" s="1"/>
      <c r="AP4030" s="1"/>
      <c r="AQ4030" s="1"/>
      <c r="AR4030" s="1"/>
      <c r="AS4030" s="1"/>
      <c r="AT4030" s="1"/>
      <c r="AU4030" s="1"/>
      <c r="AV4030" s="1"/>
      <c r="AW4030" s="1"/>
      <c r="AX4030" s="1"/>
      <c r="AY4030" s="1"/>
      <c r="AZ4030" s="1"/>
      <c r="BA4030" s="1"/>
      <c r="BB4030" s="1"/>
    </row>
    <row r="4031" ht="204.75" customHeight="1">
      <c r="A4031" s="1">
        <v>3269.0</v>
      </c>
      <c r="B4031" s="2" t="s">
        <v>11963</v>
      </c>
      <c r="C4031" s="2">
        <f>IFERROR(__xludf.DUMMYFUNCTION("split(B4031,""_"")"),1307.0)</f>
        <v>1307</v>
      </c>
      <c r="D4031" s="2" t="str">
        <f>IFERROR(__xludf.DUMMYFUNCTION("""COMPUTED_VALUE"""),"NTV")</f>
        <v>NTV</v>
      </c>
      <c r="E4031" s="2" t="str">
        <f>IFERROR(__xludf.DUMMYFUNCTION("""COMPUTED_VALUE"""),"土21")</f>
        <v>土21</v>
      </c>
      <c r="F4031" s="2" t="s">
        <v>11964</v>
      </c>
      <c r="G4031" s="2" t="s">
        <v>11981</v>
      </c>
      <c r="H4031" s="1">
        <v>9.0</v>
      </c>
      <c r="I4031" s="1" t="s">
        <v>2900</v>
      </c>
      <c r="J4031" s="1" t="s">
        <v>11</v>
      </c>
      <c r="K4031" s="2" t="s">
        <v>11982</v>
      </c>
      <c r="L4031" s="2"/>
      <c r="M4031" s="2" t="str">
        <f>IFERROR(__xludf.DUMMYFUNCTION("split(split(K4031,""【演出"",false),""ほか"",false)"),"観月ありさ、桐谷美玲、田辺誠一、瀬戸康史、猫背椿、音尾琢真、橋本涼(ジャニーズJr.)、玉元風海人(ジャニーズJr.)、谷端奏人、きたろう、酒井若菜、松岡茉優、岡山智樹、早見あかり、勝村政信、南果歩　")</f>
        <v>観月ありさ、桐谷美玲、田辺誠一、瀬戸康史、猫背椿、音尾琢真、橋本涼(ジャニーズJr.)、玉元風海人(ジャニーズJr.)、谷端奏人、きたろう、酒井若菜、松岡茉優、岡山智樹、早見あかり、勝村政信、南果歩　</v>
      </c>
      <c r="N4031" s="2" t="str">
        <f>IFERROR(__xludf.DUMMYFUNCTION("""COMPUTED_VALUE"""),"斉藤(観月ありさ)を中傷するビラをまいたのは玉井(南果歩)ではなかったと分かり、摩耶(桐谷美玲)は玉井にきちんと謝りたいと考える。一方、玉井は安西(池田成志)から、弟が作った借金の肩代わりに家の権利書を渡せと脅されていた。大和(玉元風海人)にも危険が及ぶのを恐れた玉井は、家の権利書を渡す覚悟をする。摩耶から玉井が引っ越すことを聞かされ、心配になる斉藤は玉井のもとへ向かうのだが…。")</f>
        <v>斉藤(観月ありさ)を中傷するビラをまいたのは玉井(南果歩)ではなかったと分かり、摩耶(桐谷美玲)は玉井にきちんと謝りたいと考える。一方、玉井は安西(池田成志)から、弟が作った借金の肩代わりに家の権利書を渡せと脅されていた。大和(玉元風海人)にも危険が及ぶのを恐れた玉井は、家の権利書を渡す覚悟をする。摩耶から玉井が引っ越すことを聞かされ、心配になる斉藤は玉井のもとへ向かうのだが…。</v>
      </c>
      <c r="O4031" s="2"/>
      <c r="P4031" s="1"/>
      <c r="Q4031" s="1"/>
      <c r="R4031" s="1"/>
      <c r="S4031" s="1"/>
      <c r="T4031" s="1"/>
      <c r="U4031" s="1"/>
      <c r="V4031" s="1"/>
      <c r="W4031" s="1"/>
      <c r="X4031" s="1"/>
      <c r="Y4031" s="1"/>
      <c r="Z4031" s="1"/>
      <c r="AA4031" s="1"/>
      <c r="AB4031" s="1"/>
      <c r="AC4031" s="1"/>
      <c r="AD4031" s="1"/>
      <c r="AE4031" s="1"/>
      <c r="AF4031" s="1"/>
      <c r="AG4031" s="1"/>
      <c r="AH4031" s="1"/>
      <c r="AI4031" s="1"/>
      <c r="AJ4031" s="1"/>
      <c r="AK4031" s="1"/>
      <c r="AL4031" s="1"/>
      <c r="AM4031" s="1"/>
      <c r="AN4031" s="1"/>
      <c r="AO4031" s="1"/>
      <c r="AP4031" s="1"/>
      <c r="AQ4031" s="1"/>
      <c r="AR4031" s="1"/>
      <c r="AS4031" s="1"/>
      <c r="AT4031" s="1"/>
      <c r="AU4031" s="1"/>
      <c r="AV4031" s="1"/>
      <c r="AW4031" s="1"/>
      <c r="AX4031" s="1"/>
      <c r="AY4031" s="1"/>
      <c r="AZ4031" s="1"/>
      <c r="BA4031" s="1"/>
      <c r="BB4031" s="1"/>
    </row>
    <row r="4032" ht="204.75" customHeight="1">
      <c r="A4032" s="1">
        <v>3270.0</v>
      </c>
      <c r="B4032" s="2" t="s">
        <v>11963</v>
      </c>
      <c r="C4032" s="2">
        <f>IFERROR(__xludf.DUMMYFUNCTION("split(B4032,""_"")"),1307.0)</f>
        <v>1307</v>
      </c>
      <c r="D4032" s="2" t="str">
        <f>IFERROR(__xludf.DUMMYFUNCTION("""COMPUTED_VALUE"""),"NTV")</f>
        <v>NTV</v>
      </c>
      <c r="E4032" s="2" t="str">
        <f>IFERROR(__xludf.DUMMYFUNCTION("""COMPUTED_VALUE"""),"土21")</f>
        <v>土21</v>
      </c>
      <c r="F4032" s="2" t="s">
        <v>11964</v>
      </c>
      <c r="G4032" s="2" t="s">
        <v>11983</v>
      </c>
      <c r="H4032" s="1">
        <v>10.0</v>
      </c>
      <c r="I4032" s="1" t="s">
        <v>37</v>
      </c>
      <c r="J4032" s="1" t="s">
        <v>11</v>
      </c>
      <c r="K4032" s="2" t="s">
        <v>11984</v>
      </c>
      <c r="L4032" s="2"/>
      <c r="M4032" s="2" t="str">
        <f>IFERROR(__xludf.DUMMYFUNCTION("split(split(K4032,""【演出"",false),""ほか"",false)"),"観月ありさ、桐谷美玲、田辺誠一、瀬戸康史、猫背椿、音尾琢真、橋本涼(ジャニーズJr.)、玉元風海人(ジャニーズJr.)、谷端奏人、きたろう、酒井若菜、松岡茉優、岡山智樹、早見あかり、勝村政信、南果歩　")</f>
        <v>観月ありさ、桐谷美玲、田辺誠一、瀬戸康史、猫背椿、音尾琢真、橋本涼(ジャニーズJr.)、玉元風海人(ジャニーズJr.)、谷端奏人、きたろう、酒井若菜、松岡茉優、岡山智樹、早見あかり、勝村政信、南果歩　</v>
      </c>
      <c r="N4032" s="2" t="str">
        <f>IFERROR(__xludf.DUMMYFUNCTION("""COMPUTED_VALUE"""),"大鷹小学校で10歳になる4年生を祝う式典“二分の一成人式”が行われることに。そこで児童が読むはずだった親への感謝の手紙が担任教師によって添削され、書き直すように命じられる。それに対して「自分の正直な気持ちを伝えたい」と反発する4年3組の児童たちは、当日、式をボイコットすると宣言し教室に立てこもる。斉藤(観月ありさ)は児童たちを叱るために、ハシゴを使って教室の窓までよじ登ろうとするが…。")</f>
        <v>大鷹小学校で10歳になる4年生を祝う式典“二分の一成人式”が行われることに。そこで児童が読むはずだった親への感謝の手紙が担任教師によって添削され、書き直すように命じられる。それに対して「自分の正直な気持ちを伝えたい」と反発する4年3組の児童たちは、当日、式をボイコットすると宣言し教室に立てこもる。斉藤(観月ありさ)は児童たちを叱るために、ハシゴを使って教室の窓までよじ登ろうとするが…。</v>
      </c>
      <c r="O4032" s="2"/>
      <c r="P4032" s="1"/>
      <c r="Q4032" s="1"/>
      <c r="R4032" s="1"/>
      <c r="S4032" s="1"/>
      <c r="T4032" s="1"/>
      <c r="U4032" s="1"/>
      <c r="V4032" s="1"/>
      <c r="W4032" s="1"/>
      <c r="X4032" s="1"/>
      <c r="Y4032" s="1"/>
      <c r="Z4032" s="1"/>
      <c r="AA4032" s="1"/>
      <c r="AB4032" s="1"/>
      <c r="AC4032" s="1"/>
      <c r="AD4032" s="1"/>
      <c r="AE4032" s="1"/>
      <c r="AF4032" s="1"/>
      <c r="AG4032" s="1"/>
      <c r="AH4032" s="1"/>
      <c r="AI4032" s="1"/>
      <c r="AJ4032" s="1"/>
      <c r="AK4032" s="1"/>
      <c r="AL4032" s="1"/>
      <c r="AM4032" s="1"/>
      <c r="AN4032" s="1"/>
      <c r="AO4032" s="1"/>
      <c r="AP4032" s="1"/>
      <c r="AQ4032" s="1"/>
      <c r="AR4032" s="1"/>
      <c r="AS4032" s="1"/>
      <c r="AT4032" s="1"/>
      <c r="AU4032" s="1"/>
      <c r="AV4032" s="1"/>
      <c r="AW4032" s="1"/>
      <c r="AX4032" s="1"/>
      <c r="AY4032" s="1"/>
      <c r="AZ4032" s="1"/>
      <c r="BA4032" s="1"/>
      <c r="BB4032" s="1"/>
    </row>
    <row r="4033" ht="204.75" customHeight="1">
      <c r="A4033" s="1">
        <v>3332.0</v>
      </c>
      <c r="B4033" s="2" t="s">
        <v>11985</v>
      </c>
      <c r="C4033" s="2">
        <f>IFERROR(__xludf.DUMMYFUNCTION("split(B4033,""_"")"),1304.0)</f>
        <v>1304</v>
      </c>
      <c r="D4033" s="2" t="str">
        <f>IFERROR(__xludf.DUMMYFUNCTION("""COMPUTED_VALUE"""),"NTV")</f>
        <v>NTV</v>
      </c>
      <c r="E4033" s="2" t="str">
        <f>IFERROR(__xludf.DUMMYFUNCTION("""COMPUTED_VALUE"""),"水22")</f>
        <v>水22</v>
      </c>
      <c r="F4033" s="2" t="s">
        <v>11986</v>
      </c>
      <c r="G4033" s="2" t="s">
        <v>11987</v>
      </c>
      <c r="H4033" s="1">
        <v>1.0</v>
      </c>
      <c r="I4033" s="1" t="s">
        <v>2868</v>
      </c>
      <c r="J4033" s="1" t="s">
        <v>82</v>
      </c>
      <c r="K4033" s="2" t="s">
        <v>11988</v>
      </c>
      <c r="L4033" s="2"/>
      <c r="M4033" s="2" t="str">
        <f>IFERROR(__xludf.DUMMYFUNCTION("split(split(K4033,""【演出"",false),""ほか"",false)"),"長谷川博己、稲森いずみ、木村文乃、萩原聖人、青柳翔、優希美青・  キムラ緑子、半海一晃・  大友康平、内藤剛志　(他)医師不足に悩む島の診療所の事務員・三郎(長谷川博己)は、所長(大友康平)の命令で手術の助手をする。  医師免許のない三郎の医療行為に診療所員は反発するが、看護師の明子(稲森いずみ)だけは温かく見守る。  暴風雨の夜、東京の女子大生・亜希子(木村文乃)が運び込まれる。しかし、所長は留守で、強風のためドクターヘリも島に来られない。  このままでは亜希子の命はないという状況で、三郎が手術をするこ"&amp;"とになるが…。")</f>
        <v>長谷川博己、稲森いずみ、木村文乃、萩原聖人、青柳翔、優希美青・  キムラ緑子、半海一晃・  大友康平、内藤剛志　(他)医師不足に悩む島の診療所の事務員・三郎(長谷川博己)は、所長(大友康平)の命令で手術の助手をする。  医師免許のない三郎の医療行為に診療所員は反発するが、看護師の明子(稲森いずみ)だけは温かく見守る。  暴風雨の夜、東京の女子大生・亜希子(木村文乃)が運び込まれる。しかし、所長は留守で、強風のためドクターヘリも島に来られない。  このままでは亜希子の命はないという状況で、三郎が手術をすることになるが…。</v>
      </c>
      <c r="N4033" s="2"/>
      <c r="O4033" s="2"/>
      <c r="P4033" s="1"/>
      <c r="Q4033" s="1"/>
      <c r="R4033" s="1"/>
      <c r="S4033" s="1"/>
      <c r="T4033" s="1"/>
      <c r="U4033" s="1"/>
      <c r="V4033" s="1"/>
      <c r="W4033" s="1"/>
      <c r="X4033" s="1"/>
      <c r="Y4033" s="1"/>
      <c r="Z4033" s="1"/>
      <c r="AA4033" s="1"/>
      <c r="AB4033" s="1"/>
      <c r="AC4033" s="1"/>
      <c r="AD4033" s="1"/>
      <c r="AE4033" s="1"/>
      <c r="AF4033" s="1"/>
      <c r="AG4033" s="1"/>
      <c r="AH4033" s="1"/>
      <c r="AI4033" s="1"/>
      <c r="AJ4033" s="1"/>
      <c r="AK4033" s="1"/>
      <c r="AL4033" s="1"/>
      <c r="AM4033" s="1"/>
      <c r="AN4033" s="1"/>
      <c r="AO4033" s="1"/>
      <c r="AP4033" s="1"/>
      <c r="AQ4033" s="1"/>
      <c r="AR4033" s="1"/>
      <c r="AS4033" s="1"/>
      <c r="AT4033" s="1"/>
      <c r="AU4033" s="1"/>
      <c r="AV4033" s="1"/>
      <c r="AW4033" s="1"/>
      <c r="AX4033" s="1"/>
      <c r="AY4033" s="1"/>
      <c r="AZ4033" s="1"/>
      <c r="BA4033" s="1"/>
      <c r="BB4033" s="1"/>
    </row>
    <row r="4034" ht="204.75" customHeight="1">
      <c r="A4034" s="1">
        <v>3333.0</v>
      </c>
      <c r="B4034" s="2" t="s">
        <v>11985</v>
      </c>
      <c r="C4034" s="2">
        <f>IFERROR(__xludf.DUMMYFUNCTION("split(B4034,""_"")"),1304.0)</f>
        <v>1304</v>
      </c>
      <c r="D4034" s="2" t="str">
        <f>IFERROR(__xludf.DUMMYFUNCTION("""COMPUTED_VALUE"""),"NTV")</f>
        <v>NTV</v>
      </c>
      <c r="E4034" s="2" t="str">
        <f>IFERROR(__xludf.DUMMYFUNCTION("""COMPUTED_VALUE"""),"水22")</f>
        <v>水22</v>
      </c>
      <c r="F4034" s="2" t="s">
        <v>11986</v>
      </c>
      <c r="G4034" s="2" t="s">
        <v>11989</v>
      </c>
      <c r="H4034" s="1">
        <v>2.0</v>
      </c>
      <c r="I4034" s="1" t="s">
        <v>2872</v>
      </c>
      <c r="J4034" s="1" t="s">
        <v>86</v>
      </c>
      <c r="K4034" s="2" t="s">
        <v>11990</v>
      </c>
      <c r="L4034" s="2"/>
      <c r="M4034" s="2" t="str">
        <f>IFERROR(__xludf.DUMMYFUNCTION("split(split(K4034,""【演出"",false),""ほか"",false)"),"長谷川博己、稲森いずみ、木村文乃、  萩原聖人、青柳翔、優希美青  キムラ緑子、半海一晃・ラサール石井、河西健司、  加賀まりこ、多岐川裕美、大友康平、内藤剛志　(他)原作は、「失楽園」などで知られる渡辺淳一のミリオンセラー。一人の“無資格医”と、彼を愛し抜く二人のアキコの運命とは!?  三郎(長谷川博己)が執刀した亜希子(木村文乃)の手術は成功。翌日、亜希子の父・田坂(内藤剛志)らが美琴島を訪れる。田坂は東京の有名な大病院の院長。本物の医者を前に三郎は気が気ではない。一方、明子(稲森いずみ)は三郎と島で"&amp;"生きる将来を思い描くが、亜希子が積極的に三郎に言い寄り…。")</f>
        <v>長谷川博己、稲森いずみ、木村文乃、  萩原聖人、青柳翔、優希美青  キムラ緑子、半海一晃・ラサール石井、河西健司、  加賀まりこ、多岐川裕美、大友康平、内藤剛志　(他)原作は、「失楽園」などで知られる渡辺淳一のミリオンセラー。一人の“無資格医”と、彼を愛し抜く二人のアキコの運命とは!?  三郎(長谷川博己)が執刀した亜希子(木村文乃)の手術は成功。翌日、亜希子の父・田坂(内藤剛志)らが美琴島を訪れる。田坂は東京の有名な大病院の院長。本物の医者を前に三郎は気が気ではない。一方、明子(稲森いずみ)は三郎と島で生きる将来を思い描くが、亜希子が積極的に三郎に言い寄り…。</v>
      </c>
      <c r="N4034" s="2"/>
      <c r="O4034" s="2"/>
      <c r="P4034" s="1"/>
      <c r="Q4034" s="1"/>
      <c r="R4034" s="1"/>
      <c r="S4034" s="1"/>
      <c r="T4034" s="1"/>
      <c r="U4034" s="1"/>
      <c r="V4034" s="1"/>
      <c r="W4034" s="1"/>
      <c r="X4034" s="1"/>
      <c r="Y4034" s="1"/>
      <c r="Z4034" s="1"/>
      <c r="AA4034" s="1"/>
      <c r="AB4034" s="1"/>
      <c r="AC4034" s="1"/>
      <c r="AD4034" s="1"/>
      <c r="AE4034" s="1"/>
      <c r="AF4034" s="1"/>
      <c r="AG4034" s="1"/>
      <c r="AH4034" s="1"/>
      <c r="AI4034" s="1"/>
      <c r="AJ4034" s="1"/>
      <c r="AK4034" s="1"/>
      <c r="AL4034" s="1"/>
      <c r="AM4034" s="1"/>
      <c r="AN4034" s="1"/>
      <c r="AO4034" s="1"/>
      <c r="AP4034" s="1"/>
      <c r="AQ4034" s="1"/>
      <c r="AR4034" s="1"/>
      <c r="AS4034" s="1"/>
      <c r="AT4034" s="1"/>
      <c r="AU4034" s="1"/>
      <c r="AV4034" s="1"/>
      <c r="AW4034" s="1"/>
      <c r="AX4034" s="1"/>
      <c r="AY4034" s="1"/>
      <c r="AZ4034" s="1"/>
      <c r="BA4034" s="1"/>
      <c r="BB4034" s="1"/>
    </row>
    <row r="4035" ht="204.75" customHeight="1">
      <c r="A4035" s="1">
        <v>3334.0</v>
      </c>
      <c r="B4035" s="2" t="s">
        <v>11985</v>
      </c>
      <c r="C4035" s="2">
        <f>IFERROR(__xludf.DUMMYFUNCTION("split(B4035,""_"")"),1304.0)</f>
        <v>1304</v>
      </c>
      <c r="D4035" s="2" t="str">
        <f>IFERROR(__xludf.DUMMYFUNCTION("""COMPUTED_VALUE"""),"NTV")</f>
        <v>NTV</v>
      </c>
      <c r="E4035" s="2" t="str">
        <f>IFERROR(__xludf.DUMMYFUNCTION("""COMPUTED_VALUE"""),"水22")</f>
        <v>水22</v>
      </c>
      <c r="F4035" s="2" t="s">
        <v>11986</v>
      </c>
      <c r="G4035" s="2" t="s">
        <v>11991</v>
      </c>
      <c r="H4035" s="1">
        <v>3.0</v>
      </c>
      <c r="I4035" s="1" t="s">
        <v>2876</v>
      </c>
      <c r="J4035" s="1" t="s">
        <v>82</v>
      </c>
      <c r="K4035" s="2" t="s">
        <v>11992</v>
      </c>
      <c r="L4035" s="2"/>
      <c r="M4035" s="2" t="str">
        <f>IFERROR(__xludf.DUMMYFUNCTION("split(split(K4035,""【演出"",false),""ほか"",false)"),"長谷川博己、稲森いずみ、木村文乃、  萩原聖人、青柳翔、優希美青  キムラ緑子、半海一晃・田中哲司、市川実和子、ラサール石井  加賀まりこ、多岐川裕美、大友康平、内藤剛志　(他)原作は、「失楽園」などで知られる渡辺淳一のミリオンセラー。一人の“無資格医”と、彼を愛し抜く二人のアキコの運命は!?  診療所に村長らの手配で本物の医師・山中(田中哲司)が着任。医師免許のない三郎は元の事務職に戻され、明子(稲森いずみ)は懸命に支えるが…。そこへ、帰京したはずの亜希子(木村文乃)が三郎に手術痕を縫合し直して欲しいと"&amp;"現れる。三郎と2人のアキコの運命は急展開、それぞれが変貌を遂げ始める!")</f>
        <v>長谷川博己、稲森いずみ、木村文乃、  萩原聖人、青柳翔、優希美青  キムラ緑子、半海一晃・田中哲司、市川実和子、ラサール石井  加賀まりこ、多岐川裕美、大友康平、内藤剛志　(他)原作は、「失楽園」などで知られる渡辺淳一のミリオンセラー。一人の“無資格医”と、彼を愛し抜く二人のアキコの運命は!?  診療所に村長らの手配で本物の医師・山中(田中哲司)が着任。医師免許のない三郎は元の事務職に戻され、明子(稲森いずみ)は懸命に支えるが…。そこへ、帰京したはずの亜希子(木村文乃)が三郎に手術痕を縫合し直して欲しいと現れる。三郎と2人のアキコの運命は急展開、それぞれが変貌を遂げ始める!</v>
      </c>
      <c r="N4035" s="2"/>
      <c r="O4035" s="2"/>
      <c r="P4035" s="1"/>
      <c r="Q4035" s="1"/>
      <c r="R4035" s="1"/>
      <c r="S4035" s="1"/>
      <c r="T4035" s="1"/>
      <c r="U4035" s="1"/>
      <c r="V4035" s="1"/>
      <c r="W4035" s="1"/>
      <c r="X4035" s="1"/>
      <c r="Y4035" s="1"/>
      <c r="Z4035" s="1"/>
      <c r="AA4035" s="1"/>
      <c r="AB4035" s="1"/>
      <c r="AC4035" s="1"/>
      <c r="AD4035" s="1"/>
      <c r="AE4035" s="1"/>
      <c r="AF4035" s="1"/>
      <c r="AG4035" s="1"/>
      <c r="AH4035" s="1"/>
      <c r="AI4035" s="1"/>
      <c r="AJ4035" s="1"/>
      <c r="AK4035" s="1"/>
      <c r="AL4035" s="1"/>
      <c r="AM4035" s="1"/>
      <c r="AN4035" s="1"/>
      <c r="AO4035" s="1"/>
      <c r="AP4035" s="1"/>
      <c r="AQ4035" s="1"/>
      <c r="AR4035" s="1"/>
      <c r="AS4035" s="1"/>
      <c r="AT4035" s="1"/>
      <c r="AU4035" s="1"/>
      <c r="AV4035" s="1"/>
      <c r="AW4035" s="1"/>
      <c r="AX4035" s="1"/>
      <c r="AY4035" s="1"/>
      <c r="AZ4035" s="1"/>
      <c r="BA4035" s="1"/>
      <c r="BB4035" s="1"/>
    </row>
    <row r="4036" ht="204.75" customHeight="1">
      <c r="A4036" s="1">
        <v>3335.0</v>
      </c>
      <c r="B4036" s="2" t="s">
        <v>11985</v>
      </c>
      <c r="C4036" s="2">
        <f>IFERROR(__xludf.DUMMYFUNCTION("split(B4036,""_"")"),1304.0)</f>
        <v>1304</v>
      </c>
      <c r="D4036" s="2" t="str">
        <f>IFERROR(__xludf.DUMMYFUNCTION("""COMPUTED_VALUE"""),"NTV")</f>
        <v>NTV</v>
      </c>
      <c r="E4036" s="2" t="str">
        <f>IFERROR(__xludf.DUMMYFUNCTION("""COMPUTED_VALUE"""),"水22")</f>
        <v>水22</v>
      </c>
      <c r="F4036" s="2" t="s">
        <v>11986</v>
      </c>
      <c r="G4036" s="2" t="s">
        <v>11993</v>
      </c>
      <c r="H4036" s="1">
        <v>4.0</v>
      </c>
      <c r="I4036" s="1" t="s">
        <v>2880</v>
      </c>
      <c r="J4036" s="1" t="s">
        <v>86</v>
      </c>
      <c r="K4036" s="2" t="s">
        <v>11994</v>
      </c>
      <c r="L4036" s="2"/>
      <c r="M4036" s="2" t="str">
        <f>IFERROR(__xludf.DUMMYFUNCTION("split(split(K4036,""【演出"",false),""ほか"",false)"),"長谷川博己、稲森いずみ、木村文乃  萩原聖人、青柳翔、優希美青  キムラ緑子、半海一晃・田中哲司、市川実和子、秋山菜津子、デビット伊東、佐野圭亮  加賀まりこ、金田明夫、多岐川裕美、大友康平、内藤剛志　(他)原作は、「失楽園」などで知られる渡辺淳一のミリオンセラー。  一人の“無資格医”と、彼を愛し抜く二人のアキコの運命は!?  美琴島を離れ、東京に出て来た三郎(長谷川博己)。亜希子(木村文乃)は、大喜びで迎える。田坂(内藤剛志)は三郎に、病院で働く破格の好条件と共に、娘・亜希子との結婚、病院の跡継ぎ、を"&amp;"提示。一方、妊娠した明子(稲森いずみ)の身体に異変が……三郎と二人のアキコ、運命の第二章が今始まる!")</f>
        <v>長谷川博己、稲森いずみ、木村文乃  萩原聖人、青柳翔、優希美青  キムラ緑子、半海一晃・田中哲司、市川実和子、秋山菜津子、デビット伊東、佐野圭亮  加賀まりこ、金田明夫、多岐川裕美、大友康平、内藤剛志　(他)原作は、「失楽園」などで知られる渡辺淳一のミリオンセラー。  一人の“無資格医”と、彼を愛し抜く二人のアキコの運命は!?  美琴島を離れ、東京に出て来た三郎(長谷川博己)。亜希子(木村文乃)は、大喜びで迎える。田坂(内藤剛志)は三郎に、病院で働く破格の好条件と共に、娘・亜希子との結婚、病院の跡継ぎ、を提示。一方、妊娠した明子(稲森いずみ)の身体に異変が……三郎と二人のアキコ、運命の第二章が今始まる!</v>
      </c>
      <c r="N4036" s="2"/>
      <c r="O4036" s="2"/>
      <c r="P4036" s="1"/>
      <c r="Q4036" s="1"/>
      <c r="R4036" s="1"/>
      <c r="S4036" s="1"/>
      <c r="T4036" s="1"/>
      <c r="U4036" s="1"/>
      <c r="V4036" s="1"/>
      <c r="W4036" s="1"/>
      <c r="X4036" s="1"/>
      <c r="Y4036" s="1"/>
      <c r="Z4036" s="1"/>
      <c r="AA4036" s="1"/>
      <c r="AB4036" s="1"/>
      <c r="AC4036" s="1"/>
      <c r="AD4036" s="1"/>
      <c r="AE4036" s="1"/>
      <c r="AF4036" s="1"/>
      <c r="AG4036" s="1"/>
      <c r="AH4036" s="1"/>
      <c r="AI4036" s="1"/>
      <c r="AJ4036" s="1"/>
      <c r="AK4036" s="1"/>
      <c r="AL4036" s="1"/>
      <c r="AM4036" s="1"/>
      <c r="AN4036" s="1"/>
      <c r="AO4036" s="1"/>
      <c r="AP4036" s="1"/>
      <c r="AQ4036" s="1"/>
      <c r="AR4036" s="1"/>
      <c r="AS4036" s="1"/>
      <c r="AT4036" s="1"/>
      <c r="AU4036" s="1"/>
      <c r="AV4036" s="1"/>
      <c r="AW4036" s="1"/>
      <c r="AX4036" s="1"/>
      <c r="AY4036" s="1"/>
      <c r="AZ4036" s="1"/>
      <c r="BA4036" s="1"/>
      <c r="BB4036" s="1"/>
    </row>
    <row r="4037" ht="204.75" customHeight="1">
      <c r="A4037" s="1">
        <v>3336.0</v>
      </c>
      <c r="B4037" s="2" t="s">
        <v>11985</v>
      </c>
      <c r="C4037" s="2">
        <f>IFERROR(__xludf.DUMMYFUNCTION("split(B4037,""_"")"),1304.0)</f>
        <v>1304</v>
      </c>
      <c r="D4037" s="2" t="str">
        <f>IFERROR(__xludf.DUMMYFUNCTION("""COMPUTED_VALUE"""),"NTV")</f>
        <v>NTV</v>
      </c>
      <c r="E4037" s="2" t="str">
        <f>IFERROR(__xludf.DUMMYFUNCTION("""COMPUTED_VALUE"""),"水22")</f>
        <v>水22</v>
      </c>
      <c r="F4037" s="2" t="s">
        <v>11986</v>
      </c>
      <c r="G4037" s="2" t="s">
        <v>11995</v>
      </c>
      <c r="H4037" s="1">
        <v>5.0</v>
      </c>
      <c r="I4037" s="1" t="s">
        <v>2884</v>
      </c>
      <c r="J4037" s="1" t="s">
        <v>86</v>
      </c>
      <c r="K4037" s="2" t="s">
        <v>11996</v>
      </c>
      <c r="L4037" s="2"/>
      <c r="M4037" s="2" t="str">
        <f>IFERROR(__xludf.DUMMYFUNCTION("split(split(K4037,""【演出"",false),""ほか"",false)"),"長谷川博己、稲森いずみ、木村文乃  萩原聖人、青柳翔、優希美青  市川実和子、秋山菜津子、デビット伊東、佐野圭亮  根岸季衣、深水三章、武田航平  加賀まりこ、金田明夫、多岐川裕美、内藤剛志　(他)原作は、「失楽園」などで知られる渡辺淳一のミリオンセラー。  一人の“無資格医”と、彼を愛した二人のアキコの運命の第2章とは!?  三郎(長谷川博己)は、明子(稲森いずみ)が流産し、消息もわからないと高岡(萩原聖人)から聞くが、亜希子(木村文乃)との結婚を申し出て、田坂(内藤剛志)から許される。  儚いと知りつ"&amp;"つ、新しい人生の階段を昇り始めた三郎の前に、背筋も凍る意外な出来事が待ち受けていた……!!  ")</f>
        <v>長谷川博己、稲森いずみ、木村文乃  萩原聖人、青柳翔、優希美青  市川実和子、秋山菜津子、デビット伊東、佐野圭亮  根岸季衣、深水三章、武田航平  加賀まりこ、金田明夫、多岐川裕美、内藤剛志　(他)原作は、「失楽園」などで知られる渡辺淳一のミリオンセラー。  一人の“無資格医”と、彼を愛した二人のアキコの運命の第2章とは!?  三郎(長谷川博己)は、明子(稲森いずみ)が流産し、消息もわからないと高岡(萩原聖人)から聞くが、亜希子(木村文乃)との結婚を申し出て、田坂(内藤剛志)から許される。  儚いと知りつつ、新しい人生の階段を昇り始めた三郎の前に、背筋も凍る意外な出来事が待ち受けていた……!!  </v>
      </c>
      <c r="N4037" s="2"/>
      <c r="O4037" s="2"/>
      <c r="P4037" s="1"/>
      <c r="Q4037" s="1"/>
      <c r="R4037" s="1"/>
      <c r="S4037" s="1"/>
      <c r="T4037" s="1"/>
      <c r="U4037" s="1"/>
      <c r="V4037" s="1"/>
      <c r="W4037" s="1"/>
      <c r="X4037" s="1"/>
      <c r="Y4037" s="1"/>
      <c r="Z4037" s="1"/>
      <c r="AA4037" s="1"/>
      <c r="AB4037" s="1"/>
      <c r="AC4037" s="1"/>
      <c r="AD4037" s="1"/>
      <c r="AE4037" s="1"/>
      <c r="AF4037" s="1"/>
      <c r="AG4037" s="1"/>
      <c r="AH4037" s="1"/>
      <c r="AI4037" s="1"/>
      <c r="AJ4037" s="1"/>
      <c r="AK4037" s="1"/>
      <c r="AL4037" s="1"/>
      <c r="AM4037" s="1"/>
      <c r="AN4037" s="1"/>
      <c r="AO4037" s="1"/>
      <c r="AP4037" s="1"/>
      <c r="AQ4037" s="1"/>
      <c r="AR4037" s="1"/>
      <c r="AS4037" s="1"/>
      <c r="AT4037" s="1"/>
      <c r="AU4037" s="1"/>
      <c r="AV4037" s="1"/>
      <c r="AW4037" s="1"/>
      <c r="AX4037" s="1"/>
      <c r="AY4037" s="1"/>
      <c r="AZ4037" s="1"/>
      <c r="BA4037" s="1"/>
      <c r="BB4037" s="1"/>
    </row>
    <row r="4038" ht="204.75" customHeight="1">
      <c r="A4038" s="1">
        <v>3337.0</v>
      </c>
      <c r="B4038" s="2" t="s">
        <v>11985</v>
      </c>
      <c r="C4038" s="2">
        <f>IFERROR(__xludf.DUMMYFUNCTION("split(B4038,""_"")"),1304.0)</f>
        <v>1304</v>
      </c>
      <c r="D4038" s="2" t="str">
        <f>IFERROR(__xludf.DUMMYFUNCTION("""COMPUTED_VALUE"""),"NTV")</f>
        <v>NTV</v>
      </c>
      <c r="E4038" s="2" t="str">
        <f>IFERROR(__xludf.DUMMYFUNCTION("""COMPUTED_VALUE"""),"水22")</f>
        <v>水22</v>
      </c>
      <c r="F4038" s="2" t="s">
        <v>11986</v>
      </c>
      <c r="G4038" s="2" t="s">
        <v>11997</v>
      </c>
      <c r="H4038" s="1">
        <v>6.0</v>
      </c>
      <c r="I4038" s="1" t="s">
        <v>2888</v>
      </c>
      <c r="J4038" s="1" t="s">
        <v>86</v>
      </c>
      <c r="K4038" s="2" t="s">
        <v>11998</v>
      </c>
      <c r="L4038" s="2"/>
      <c r="M4038" s="2" t="str">
        <f>IFERROR(__xludf.DUMMYFUNCTION("split(split(K4038,""【演出"",false),""ほか"",false)"),"長谷川博己、稲森いずみ、木村文乃  萩原聖人、青柳翔、優希美青  市川実和子、秋山菜津子、デビット伊東、佐野圭亮、やべきょうすけ  金田明夫、多岐川裕美、内藤剛志原作は「失楽園」などで知られる渡辺淳一のミリオンセラー。  一人の“無資格医”と、彼を愛した二人のアキコ。運命の第2章が幕を開ける!  亜希子(木村文乃)と結婚した三郎(長谷川博己)の前に、明子(稲森いずみ)が現れた。副院長の座を与えられ着実に“階段”を昇る三郎。しかし明子の存在に戦々恐々となる三郎は、確実に追い詰められてゆき……二人のアキコの予"&amp;"見できぬ行動、さらに各々の思惑が交錯するその先には!")</f>
        <v>長谷川博己、稲森いずみ、木村文乃  萩原聖人、青柳翔、優希美青  市川実和子、秋山菜津子、デビット伊東、佐野圭亮、やべきょうすけ  金田明夫、多岐川裕美、内藤剛志原作は「失楽園」などで知られる渡辺淳一のミリオンセラー。  一人の“無資格医”と、彼を愛した二人のアキコ。運命の第2章が幕を開ける!  亜希子(木村文乃)と結婚した三郎(長谷川博己)の前に、明子(稲森いずみ)が現れた。副院長の座を与えられ着実に“階段”を昇る三郎。しかし明子の存在に戦々恐々となる三郎は、確実に追い詰められてゆき……二人のアキコの予見できぬ行動、さらに各々の思惑が交錯するその先には!</v>
      </c>
      <c r="N4038" s="2"/>
      <c r="O4038" s="2"/>
      <c r="P4038" s="1"/>
      <c r="Q4038" s="1"/>
      <c r="R4038" s="1"/>
      <c r="S4038" s="1"/>
      <c r="T4038" s="1"/>
      <c r="U4038" s="1"/>
      <c r="V4038" s="1"/>
      <c r="W4038" s="1"/>
      <c r="X4038" s="1"/>
      <c r="Y4038" s="1"/>
      <c r="Z4038" s="1"/>
      <c r="AA4038" s="1"/>
      <c r="AB4038" s="1"/>
      <c r="AC4038" s="1"/>
      <c r="AD4038" s="1"/>
      <c r="AE4038" s="1"/>
      <c r="AF4038" s="1"/>
      <c r="AG4038" s="1"/>
      <c r="AH4038" s="1"/>
      <c r="AI4038" s="1"/>
      <c r="AJ4038" s="1"/>
      <c r="AK4038" s="1"/>
      <c r="AL4038" s="1"/>
      <c r="AM4038" s="1"/>
      <c r="AN4038" s="1"/>
      <c r="AO4038" s="1"/>
      <c r="AP4038" s="1"/>
      <c r="AQ4038" s="1"/>
      <c r="AR4038" s="1"/>
      <c r="AS4038" s="1"/>
      <c r="AT4038" s="1"/>
      <c r="AU4038" s="1"/>
      <c r="AV4038" s="1"/>
      <c r="AW4038" s="1"/>
      <c r="AX4038" s="1"/>
      <c r="AY4038" s="1"/>
      <c r="AZ4038" s="1"/>
      <c r="BA4038" s="1"/>
      <c r="BB4038" s="1"/>
    </row>
    <row r="4039" ht="204.75" customHeight="1">
      <c r="A4039" s="1">
        <v>3338.0</v>
      </c>
      <c r="B4039" s="2" t="s">
        <v>11985</v>
      </c>
      <c r="C4039" s="2">
        <f>IFERROR(__xludf.DUMMYFUNCTION("split(B4039,""_"")"),1304.0)</f>
        <v>1304</v>
      </c>
      <c r="D4039" s="2" t="str">
        <f>IFERROR(__xludf.DUMMYFUNCTION("""COMPUTED_VALUE"""),"NTV")</f>
        <v>NTV</v>
      </c>
      <c r="E4039" s="2" t="str">
        <f>IFERROR(__xludf.DUMMYFUNCTION("""COMPUTED_VALUE"""),"水22")</f>
        <v>水22</v>
      </c>
      <c r="F4039" s="2" t="s">
        <v>11986</v>
      </c>
      <c r="G4039" s="2" t="s">
        <v>11999</v>
      </c>
      <c r="H4039" s="1">
        <v>7.0</v>
      </c>
      <c r="I4039" s="1" t="s">
        <v>2892</v>
      </c>
      <c r="J4039" s="1" t="s">
        <v>86</v>
      </c>
      <c r="K4039" s="2" t="s">
        <v>12000</v>
      </c>
      <c r="L4039" s="2"/>
      <c r="M4039" s="2" t="str">
        <f>IFERROR(__xludf.DUMMYFUNCTION("split(split(K4039,""【演出"",false),""ほか"",false)"),"長谷川博己、稲森いずみ、木村文乃  萩原聖人、青柳翔、優希美青  市川実和子、秋山菜津子、デビット伊東、やべきょうすけ  金田明夫、多岐川裕美、内藤剛志　(他)原作は、「失楽園」などで知られる渡辺淳一のミリオンセラー。  一人の“無資格医”と、彼を愛した二人のアキコ。運命の第2章!  三郎(長谷川博己)は田坂(内藤剛志)にニセ医者だとバレていた!  明子(稲森いずみ)を疑った三郎は家を訪ね詰問する。  一方、亜希子(木村文乃)は妊娠が判明。  更に高岡(萩原聖人)の策略で三郎の過去を知る男が出現し、金を要"&amp;"求する……。  三郎は医者として“階段”を昇り続けられるか?!")</f>
        <v>長谷川博己、稲森いずみ、木村文乃  萩原聖人、青柳翔、優希美青  市川実和子、秋山菜津子、デビット伊東、やべきょうすけ  金田明夫、多岐川裕美、内藤剛志　(他)原作は、「失楽園」などで知られる渡辺淳一のミリオンセラー。  一人の“無資格医”と、彼を愛した二人のアキコ。運命の第2章!  三郎(長谷川博己)は田坂(内藤剛志)にニセ医者だとバレていた!  明子(稲森いずみ)を疑った三郎は家を訪ね詰問する。  一方、亜希子(木村文乃)は妊娠が判明。  更に高岡(萩原聖人)の策略で三郎の過去を知る男が出現し、金を要求する……。  三郎は医者として“階段”を昇り続けられるか?!</v>
      </c>
      <c r="N4039" s="2"/>
      <c r="O4039" s="2"/>
      <c r="P4039" s="1"/>
      <c r="Q4039" s="1"/>
      <c r="R4039" s="1"/>
      <c r="S4039" s="1"/>
      <c r="T4039" s="1"/>
      <c r="U4039" s="1"/>
      <c r="V4039" s="1"/>
      <c r="W4039" s="1"/>
      <c r="X4039" s="1"/>
      <c r="Y4039" s="1"/>
      <c r="Z4039" s="1"/>
      <c r="AA4039" s="1"/>
      <c r="AB4039" s="1"/>
      <c r="AC4039" s="1"/>
      <c r="AD4039" s="1"/>
      <c r="AE4039" s="1"/>
      <c r="AF4039" s="1"/>
      <c r="AG4039" s="1"/>
      <c r="AH4039" s="1"/>
      <c r="AI4039" s="1"/>
      <c r="AJ4039" s="1"/>
      <c r="AK4039" s="1"/>
      <c r="AL4039" s="1"/>
      <c r="AM4039" s="1"/>
      <c r="AN4039" s="1"/>
      <c r="AO4039" s="1"/>
      <c r="AP4039" s="1"/>
      <c r="AQ4039" s="1"/>
      <c r="AR4039" s="1"/>
      <c r="AS4039" s="1"/>
      <c r="AT4039" s="1"/>
      <c r="AU4039" s="1"/>
      <c r="AV4039" s="1"/>
      <c r="AW4039" s="1"/>
      <c r="AX4039" s="1"/>
      <c r="AY4039" s="1"/>
      <c r="AZ4039" s="1"/>
      <c r="BA4039" s="1"/>
      <c r="BB4039" s="1"/>
    </row>
    <row r="4040" ht="204.75" customHeight="1">
      <c r="A4040" s="1">
        <v>3339.0</v>
      </c>
      <c r="B4040" s="2" t="s">
        <v>11985</v>
      </c>
      <c r="C4040" s="2">
        <f>IFERROR(__xludf.DUMMYFUNCTION("split(B4040,""_"")"),1304.0)</f>
        <v>1304</v>
      </c>
      <c r="D4040" s="2" t="str">
        <f>IFERROR(__xludf.DUMMYFUNCTION("""COMPUTED_VALUE"""),"NTV")</f>
        <v>NTV</v>
      </c>
      <c r="E4040" s="2" t="str">
        <f>IFERROR(__xludf.DUMMYFUNCTION("""COMPUTED_VALUE"""),"水22")</f>
        <v>水22</v>
      </c>
      <c r="F4040" s="2" t="s">
        <v>11986</v>
      </c>
      <c r="G4040" s="2" t="s">
        <v>12001</v>
      </c>
      <c r="H4040" s="1">
        <v>8.0</v>
      </c>
      <c r="I4040" s="1" t="s">
        <v>2896</v>
      </c>
      <c r="J4040" s="1" t="s">
        <v>86</v>
      </c>
      <c r="K4040" s="2" t="s">
        <v>12002</v>
      </c>
      <c r="L4040" s="2"/>
      <c r="M4040" s="2" t="str">
        <f>IFERROR(__xludf.DUMMYFUNCTION("split(split(K4040,""【演出"",false),""ほか"",false)"),"長谷川博己、稲森いずみ、木村文乃、  萩原聖人、青柳翔、優希美青・キムラ緑子、半海一晃  市川実和子、秋山菜津子  金田明夫、大友康平、内藤剛志　(他)原作は「失楽園」などで知られる渡辺淳一のミリオンセラー。  一人の“無資格医”と彼を愛した二人のアキコ。運命の第2章、終焉!  無謀な手術で失態を演じた三郎(長谷川博己)は田坂(内藤剛志)から一切の医療行為を禁じられる。音信不通となる三郎。不安を募らせた亜希子(木村文乃)は明子(稲森いずみ)の元を訪ねる。一方、三郎は独り美琴島を訪れていた。  生きる意味を"&amp;"見出せなくなった三郎は、死の扉に手をかけた……!")</f>
        <v>長谷川博己、稲森いずみ、木村文乃、  萩原聖人、青柳翔、優希美青・キムラ緑子、半海一晃  市川実和子、秋山菜津子  金田明夫、大友康平、内藤剛志　(他)原作は「失楽園」などで知られる渡辺淳一のミリオンセラー。  一人の“無資格医”と彼を愛した二人のアキコ。運命の第2章、終焉!  無謀な手術で失態を演じた三郎(長谷川博己)は田坂(内藤剛志)から一切の医療行為を禁じられる。音信不通となる三郎。不安を募らせた亜希子(木村文乃)は明子(稲森いずみ)の元を訪ねる。一方、三郎は独り美琴島を訪れていた。  生きる意味を見出せなくなった三郎は、死の扉に手をかけた……!</v>
      </c>
      <c r="N4040" s="2"/>
      <c r="O4040" s="2"/>
      <c r="P4040" s="1"/>
      <c r="Q4040" s="1"/>
      <c r="R4040" s="1"/>
      <c r="S4040" s="1"/>
      <c r="T4040" s="1"/>
      <c r="U4040" s="1"/>
      <c r="V4040" s="1"/>
      <c r="W4040" s="1"/>
      <c r="X4040" s="1"/>
      <c r="Y4040" s="1"/>
      <c r="Z4040" s="1"/>
      <c r="AA4040" s="1"/>
      <c r="AB4040" s="1"/>
      <c r="AC4040" s="1"/>
      <c r="AD4040" s="1"/>
      <c r="AE4040" s="1"/>
      <c r="AF4040" s="1"/>
      <c r="AG4040" s="1"/>
      <c r="AH4040" s="1"/>
      <c r="AI4040" s="1"/>
      <c r="AJ4040" s="1"/>
      <c r="AK4040" s="1"/>
      <c r="AL4040" s="1"/>
      <c r="AM4040" s="1"/>
      <c r="AN4040" s="1"/>
      <c r="AO4040" s="1"/>
      <c r="AP4040" s="1"/>
      <c r="AQ4040" s="1"/>
      <c r="AR4040" s="1"/>
      <c r="AS4040" s="1"/>
      <c r="AT4040" s="1"/>
      <c r="AU4040" s="1"/>
      <c r="AV4040" s="1"/>
      <c r="AW4040" s="1"/>
      <c r="AX4040" s="1"/>
      <c r="AY4040" s="1"/>
      <c r="AZ4040" s="1"/>
      <c r="BA4040" s="1"/>
      <c r="BB4040" s="1"/>
    </row>
    <row r="4041" ht="204.75" customHeight="1">
      <c r="A4041" s="1">
        <v>3340.0</v>
      </c>
      <c r="B4041" s="2" t="s">
        <v>11985</v>
      </c>
      <c r="C4041" s="2">
        <f>IFERROR(__xludf.DUMMYFUNCTION("split(B4041,""_"")"),1304.0)</f>
        <v>1304</v>
      </c>
      <c r="D4041" s="2" t="str">
        <f>IFERROR(__xludf.DUMMYFUNCTION("""COMPUTED_VALUE"""),"NTV")</f>
        <v>NTV</v>
      </c>
      <c r="E4041" s="2" t="str">
        <f>IFERROR(__xludf.DUMMYFUNCTION("""COMPUTED_VALUE"""),"水22")</f>
        <v>水22</v>
      </c>
      <c r="F4041" s="2" t="s">
        <v>11986</v>
      </c>
      <c r="G4041" s="2" t="s">
        <v>12003</v>
      </c>
      <c r="H4041" s="1">
        <v>9.0</v>
      </c>
      <c r="I4041" s="1" t="s">
        <v>2900</v>
      </c>
      <c r="J4041" s="1" t="s">
        <v>86</v>
      </c>
      <c r="K4041" s="2" t="s">
        <v>12004</v>
      </c>
      <c r="L4041" s="2"/>
      <c r="M4041" s="2" t="str">
        <f>IFERROR(__xludf.DUMMYFUNCTION("split(split(K4041,""【演出"",false),""ほか"",false)"),"長谷川博己、稲森いずみ、木村文乃  萩原聖人、青柳翔、優希美青  市川実和子、秋山菜津子、デビット伊東  金田明夫、多岐川裕美、内藤剛志　(他)原作は、「失楽園」などで知られる渡辺淳一のミリオンセラー。  一人の“無資格医”と、彼を愛した二人のアキコ。ついに運命の最終章!!  副院長・三郎(長谷川博己)は、医師として残された短い時間の中で、救命救急センターの設立を目指す。  一方、三郎を無資格医と知った亜希子(木村文乃)と、側で見守る明子(稲森いずみ)は……!  夢が軌道に乗りかけたその時、三郎の正体が世"&amp;"間に知れ渡ってしまう……。")</f>
        <v>長谷川博己、稲森いずみ、木村文乃  萩原聖人、青柳翔、優希美青  市川実和子、秋山菜津子、デビット伊東  金田明夫、多岐川裕美、内藤剛志　(他)原作は、「失楽園」などで知られる渡辺淳一のミリオンセラー。  一人の“無資格医”と、彼を愛した二人のアキコ。ついに運命の最終章!!  副院長・三郎(長谷川博己)は、医師として残された短い時間の中で、救命救急センターの設立を目指す。  一方、三郎を無資格医と知った亜希子(木村文乃)と、側で見守る明子(稲森いずみ)は……!  夢が軌道に乗りかけたその時、三郎の正体が世間に知れ渡ってしまう……。</v>
      </c>
      <c r="N4041" s="2"/>
      <c r="O4041" s="2"/>
      <c r="P4041" s="1"/>
      <c r="Q4041" s="1"/>
      <c r="R4041" s="1"/>
      <c r="S4041" s="1"/>
      <c r="T4041" s="1"/>
      <c r="U4041" s="1"/>
      <c r="V4041" s="1"/>
      <c r="W4041" s="1"/>
      <c r="X4041" s="1"/>
      <c r="Y4041" s="1"/>
      <c r="Z4041" s="1"/>
      <c r="AA4041" s="1"/>
      <c r="AB4041" s="1"/>
      <c r="AC4041" s="1"/>
      <c r="AD4041" s="1"/>
      <c r="AE4041" s="1"/>
      <c r="AF4041" s="1"/>
      <c r="AG4041" s="1"/>
      <c r="AH4041" s="1"/>
      <c r="AI4041" s="1"/>
      <c r="AJ4041" s="1"/>
      <c r="AK4041" s="1"/>
      <c r="AL4041" s="1"/>
      <c r="AM4041" s="1"/>
      <c r="AN4041" s="1"/>
      <c r="AO4041" s="1"/>
      <c r="AP4041" s="1"/>
      <c r="AQ4041" s="1"/>
      <c r="AR4041" s="1"/>
      <c r="AS4041" s="1"/>
      <c r="AT4041" s="1"/>
      <c r="AU4041" s="1"/>
      <c r="AV4041" s="1"/>
      <c r="AW4041" s="1"/>
      <c r="AX4041" s="1"/>
      <c r="AY4041" s="1"/>
      <c r="AZ4041" s="1"/>
      <c r="BA4041" s="1"/>
      <c r="BB4041" s="1"/>
    </row>
    <row r="4042" ht="204.75" customHeight="1">
      <c r="A4042" s="1">
        <v>3341.0</v>
      </c>
      <c r="B4042" s="2" t="s">
        <v>11985</v>
      </c>
      <c r="C4042" s="2">
        <f>IFERROR(__xludf.DUMMYFUNCTION("split(B4042,""_"")"),1304.0)</f>
        <v>1304</v>
      </c>
      <c r="D4042" s="2" t="str">
        <f>IFERROR(__xludf.DUMMYFUNCTION("""COMPUTED_VALUE"""),"NTV")</f>
        <v>NTV</v>
      </c>
      <c r="E4042" s="2" t="str">
        <f>IFERROR(__xludf.DUMMYFUNCTION("""COMPUTED_VALUE"""),"水22")</f>
        <v>水22</v>
      </c>
      <c r="F4042" s="2" t="s">
        <v>11986</v>
      </c>
      <c r="G4042" s="2" t="s">
        <v>12005</v>
      </c>
      <c r="H4042" s="1">
        <v>10.0</v>
      </c>
      <c r="I4042" s="1" t="s">
        <v>37</v>
      </c>
      <c r="J4042" s="1" t="s">
        <v>86</v>
      </c>
      <c r="K4042" s="2" t="s">
        <v>12006</v>
      </c>
      <c r="L4042" s="2"/>
      <c r="M4042" s="2" t="str">
        <f>IFERROR(__xludf.DUMMYFUNCTION("split(split(K4042,""【演出"",false),""ほか"",false)"),"長谷川博己、稲森いずみ、木村文乃  萩原聖人、青柳翔、優希美青  加賀まりこ、多岐川裕美、大友康平、内藤剛志　(他)原作は、「失楽園」などで知られる渡辺淳一のミリオンセラー。  一人の“無資格医”と彼を愛した二人のアキコ。ついに運命の最終回!!    亜希子(木村文乃)の手術を終えた無資格医の三郎(長谷川博己)が、ついに逮捕される。  母・喜美枝(加賀まりこ)や明子(稲森いずみ)たちが見つめる裁判で、自分はどういう人間なのか、訥々と語る三郎。    二人のアキコの間で揺れ動いた三郎が、最後に選んだ帰るべき"&amp;"場所とは……!?")</f>
        <v>長谷川博己、稲森いずみ、木村文乃  萩原聖人、青柳翔、優希美青  加賀まりこ、多岐川裕美、大友康平、内藤剛志　(他)原作は、「失楽園」などで知られる渡辺淳一のミリオンセラー。  一人の“無資格医”と彼を愛した二人のアキコ。ついに運命の最終回!!    亜希子(木村文乃)の手術を終えた無資格医の三郎(長谷川博己)が、ついに逮捕される。  母・喜美枝(加賀まりこ)や明子(稲森いずみ)たちが見つめる裁判で、自分はどういう人間なのか、訥々と語る三郎。    二人のアキコの間で揺れ動いた三郎が、最後に選んだ帰るべき場所とは……!?</v>
      </c>
      <c r="N4042" s="2"/>
      <c r="O4042" s="2"/>
      <c r="P4042" s="1"/>
      <c r="Q4042" s="1"/>
      <c r="R4042" s="1"/>
      <c r="S4042" s="1"/>
      <c r="T4042" s="1"/>
      <c r="U4042" s="1"/>
      <c r="V4042" s="1"/>
      <c r="W4042" s="1"/>
      <c r="X4042" s="1"/>
      <c r="Y4042" s="1"/>
      <c r="Z4042" s="1"/>
      <c r="AA4042" s="1"/>
      <c r="AB4042" s="1"/>
      <c r="AC4042" s="1"/>
      <c r="AD4042" s="1"/>
      <c r="AE4042" s="1"/>
      <c r="AF4042" s="1"/>
      <c r="AG4042" s="1"/>
      <c r="AH4042" s="1"/>
      <c r="AI4042" s="1"/>
      <c r="AJ4042" s="1"/>
      <c r="AK4042" s="1"/>
      <c r="AL4042" s="1"/>
      <c r="AM4042" s="1"/>
      <c r="AN4042" s="1"/>
      <c r="AO4042" s="1"/>
      <c r="AP4042" s="1"/>
      <c r="AQ4042" s="1"/>
      <c r="AR4042" s="1"/>
      <c r="AS4042" s="1"/>
      <c r="AT4042" s="1"/>
      <c r="AU4042" s="1"/>
      <c r="AV4042" s="1"/>
      <c r="AW4042" s="1"/>
      <c r="AX4042" s="1"/>
      <c r="AY4042" s="1"/>
      <c r="AZ4042" s="1"/>
      <c r="BA4042" s="1"/>
      <c r="BB4042" s="1"/>
    </row>
    <row r="4043" ht="204.75" customHeight="1">
      <c r="A4043" s="1">
        <v>3370.0</v>
      </c>
      <c r="B4043" s="2" t="s">
        <v>12007</v>
      </c>
      <c r="C4043" s="2">
        <f>IFERROR(__xludf.DUMMYFUNCTION("split(B4043,""_"")"),1304.0)</f>
        <v>1304</v>
      </c>
      <c r="D4043" s="2" t="str">
        <f>IFERROR(__xludf.DUMMYFUNCTION("""COMPUTED_VALUE"""),"NTV")</f>
        <v>NTV</v>
      </c>
      <c r="E4043" s="2" t="str">
        <f>IFERROR(__xludf.DUMMYFUNCTION("""COMPUTED_VALUE"""),"木23")</f>
        <v>木23</v>
      </c>
      <c r="F4043" s="2" t="s">
        <v>12008</v>
      </c>
      <c r="G4043" s="2" t="s">
        <v>12009</v>
      </c>
      <c r="H4043" s="1">
        <v>1.0</v>
      </c>
      <c r="J4043" s="1" t="s">
        <v>1435</v>
      </c>
      <c r="K4043" s="2" t="s">
        <v>12010</v>
      </c>
      <c r="L4043" s="2"/>
      <c r="M4043" s="2" t="str">
        <f>IFERROR(__xludf.DUMMYFUNCTION("split(split(K4043,""【演出"",false),""ほか"",false)"),"久住健太:佐藤隆太  丹波修司:塚本高史  倉田夏輝:本仮屋ユイカ  久住大地:秋元黎(子役)  白井麻里:原幹恵  黒木慶:小日向文世仕事なし、彼女なし、借金ありの久住健太(佐藤隆太)は、正義感の強いコンビニ店員・夏輝(本仮屋ユイカ)と口論したり、合コン好きな幼馴染の警官・修司(塚本高史)にも金をせびるクズ男。そんな健太の元に、姉の息子を名乗る久住大地(秋元黎)が現れる。ある日、借金が原因でヤクザに殺されそうになった時、大地から奪ったドロップを口にすると、突然超人的なパワーを発揮する!クズ男の健太は、「"&amp;"ヒーロー」になれるのか?【主題歌】  「HEROES」GReeeeN(UNIVERSAL　MUSIC)4月4日(木)「スッキリ!!」に佐藤隆太さん・塚本高史さん、「PON!」佐藤隆太さん、「ヒルナンデス!」塚本高史さん・本仮屋ユイカさん、「情報ライブミヤネ屋」に佐藤隆太さんが生出演します!4月4日(木)夜9時からの「芸能界!1万人のイメージVS身内の真実」に佐藤隆太さん・塚本高史さんが出演します!  (一部地域を除きます)http://www.ytv.co.jp/hero/")</f>
        <v>久住健太:佐藤隆太  丹波修司:塚本高史  倉田夏輝:本仮屋ユイカ  久住大地:秋元黎(子役)  白井麻里:原幹恵  黒木慶:小日向文世仕事なし、彼女なし、借金ありの久住健太(佐藤隆太)は、正義感の強いコンビニ店員・夏輝(本仮屋ユイカ)と口論したり、合コン好きな幼馴染の警官・修司(塚本高史)にも金をせびるクズ男。そんな健太の元に、姉の息子を名乗る久住大地(秋元黎)が現れる。ある日、借金が原因でヤクザに殺されそうになった時、大地から奪ったドロップを口にすると、突然超人的なパワーを発揮する!クズ男の健太は、「ヒーロー」になれるのか?【主題歌】  「HEROES」GReeeeN(UNIVERSAL　MUSIC)4月4日(木)「スッキリ!!」に佐藤隆太さん・塚本高史さん、「PON!」佐藤隆太さん、「ヒルナンデス!」塚本高史さん・本仮屋ユイカさん、「情報ライブミヤネ屋」に佐藤隆太さんが生出演します!4月4日(木)夜9時からの「芸能界!1万人のイメージVS身内の真実」に佐藤隆太さん・塚本高史さんが出演します!  (一部地域を除きます)http://www.ytv.co.jp/hero/</v>
      </c>
      <c r="N4043" s="2"/>
      <c r="O4043" s="2"/>
      <c r="P4043" s="1"/>
      <c r="Q4043" s="1"/>
      <c r="R4043" s="1"/>
      <c r="S4043" s="1"/>
      <c r="T4043" s="1"/>
      <c r="U4043" s="1"/>
      <c r="V4043" s="1"/>
      <c r="W4043" s="1"/>
      <c r="X4043" s="1"/>
      <c r="Y4043" s="1"/>
      <c r="Z4043" s="1"/>
      <c r="AA4043" s="1"/>
      <c r="AB4043" s="1"/>
      <c r="AC4043" s="1"/>
      <c r="AD4043" s="1"/>
      <c r="AE4043" s="1"/>
      <c r="AF4043" s="1"/>
      <c r="AG4043" s="1"/>
      <c r="AH4043" s="1"/>
      <c r="AI4043" s="1"/>
      <c r="AJ4043" s="1"/>
      <c r="AK4043" s="1"/>
      <c r="AL4043" s="1"/>
      <c r="AM4043" s="1"/>
      <c r="AN4043" s="1"/>
      <c r="AO4043" s="1"/>
      <c r="AP4043" s="1"/>
      <c r="AQ4043" s="1"/>
      <c r="AR4043" s="1"/>
      <c r="AS4043" s="1"/>
      <c r="AT4043" s="1"/>
      <c r="AU4043" s="1"/>
      <c r="AV4043" s="1"/>
      <c r="AW4043" s="1"/>
      <c r="AX4043" s="1"/>
      <c r="AY4043" s="1"/>
      <c r="AZ4043" s="1"/>
      <c r="BA4043" s="1"/>
      <c r="BB4043" s="1"/>
    </row>
    <row r="4044" ht="204.75" customHeight="1">
      <c r="A4044" s="1">
        <v>3371.0</v>
      </c>
      <c r="B4044" s="2" t="s">
        <v>12007</v>
      </c>
      <c r="C4044" s="2">
        <f>IFERROR(__xludf.DUMMYFUNCTION("split(B4044,""_"")"),1304.0)</f>
        <v>1304</v>
      </c>
      <c r="D4044" s="2" t="str">
        <f>IFERROR(__xludf.DUMMYFUNCTION("""COMPUTED_VALUE"""),"NTV")</f>
        <v>NTV</v>
      </c>
      <c r="E4044" s="2" t="str">
        <f>IFERROR(__xludf.DUMMYFUNCTION("""COMPUTED_VALUE"""),"木23")</f>
        <v>木23</v>
      </c>
      <c r="F4044" s="2" t="s">
        <v>12008</v>
      </c>
      <c r="G4044" s="2" t="s">
        <v>12011</v>
      </c>
      <c r="H4044" s="1">
        <v>3.0</v>
      </c>
      <c r="I4044" s="1" t="s">
        <v>2876</v>
      </c>
      <c r="J4044" s="1" t="s">
        <v>1435</v>
      </c>
      <c r="K4044" s="2" t="s">
        <v>12012</v>
      </c>
      <c r="L4044" s="2"/>
      <c r="M4044" s="2" t="str">
        <f>IFERROR(__xludf.DUMMYFUNCTION("split(split(K4044,""【演出"",false),""ほか"",false)"),"久住健太:佐藤隆太  丹波修司:塚本高史  倉田夏輝:本仮屋ユイカ  久住大地:秋元黎(子役)  白井麻里:原幹恵  丹波早苗:小野真弓  　　彩子:上野なつひ  黒木慶:小日向文世主人公の久住健太は、正真正銘のクズ男。  「仕事嫌だ。彼女欲しい。気付けば賭博で借金苦…。おまけに姉さんの甥っ子まで面倒みる事になっちまった。人生ってめんどくせぇ!」  そんなクズ男が、謎のドロップを舐めると、10分間だけ超人パワーを発揮!その力を知った、親友の警察官・丹波修司から言葉巧みに事件解決を強要されることに…  果た"&amp;"して、クズ男・健太はヒーローになる事ができるのか?  クズ男の活躍、乞うご期待!【主題歌】  「HEROES」GReeeeN(UNIVERSAL　MUSIC)オフショット満載の『facebook』はこちら  http://ja-jp.facebook.com/ytv.hero  ★いいね!おして下さい!★    『LINE』はこちら  友だち検索→でたらめヒーローhttp://www.ytv.co.jp/hero/")</f>
        <v>久住健太:佐藤隆太  丹波修司:塚本高史  倉田夏輝:本仮屋ユイカ  久住大地:秋元黎(子役)  白井麻里:原幹恵  丹波早苗:小野真弓  　　彩子:上野なつひ  黒木慶:小日向文世主人公の久住健太は、正真正銘のクズ男。  「仕事嫌だ。彼女欲しい。気付けば賭博で借金苦…。おまけに姉さんの甥っ子まで面倒みる事になっちまった。人生ってめんどくせぇ!」  そんなクズ男が、謎のドロップを舐めると、10分間だけ超人パワーを発揮!その力を知った、親友の警察官・丹波修司から言葉巧みに事件解決を強要されることに…  果たして、クズ男・健太はヒーローになる事ができるのか?  クズ男の活躍、乞うご期待!【主題歌】  「HEROES」GReeeeN(UNIVERSAL　MUSIC)オフショット満載の『facebook』はこちら  http://ja-jp.facebook.com/ytv.hero  ★いいね!おして下さい!★    『LINE』はこちら  友だち検索→でたらめヒーローhttp://www.ytv.co.jp/hero/</v>
      </c>
      <c r="N4044" s="2"/>
      <c r="O4044" s="2"/>
      <c r="P4044" s="1"/>
      <c r="Q4044" s="1"/>
      <c r="R4044" s="1"/>
      <c r="S4044" s="1"/>
      <c r="T4044" s="1"/>
      <c r="U4044" s="1"/>
      <c r="V4044" s="1"/>
      <c r="W4044" s="1"/>
      <c r="X4044" s="1"/>
      <c r="Y4044" s="1"/>
      <c r="Z4044" s="1"/>
      <c r="AA4044" s="1"/>
      <c r="AB4044" s="1"/>
      <c r="AC4044" s="1"/>
      <c r="AD4044" s="1"/>
      <c r="AE4044" s="1"/>
      <c r="AF4044" s="1"/>
      <c r="AG4044" s="1"/>
      <c r="AH4044" s="1"/>
      <c r="AI4044" s="1"/>
      <c r="AJ4044" s="1"/>
      <c r="AK4044" s="1"/>
      <c r="AL4044" s="1"/>
      <c r="AM4044" s="1"/>
      <c r="AN4044" s="1"/>
      <c r="AO4044" s="1"/>
      <c r="AP4044" s="1"/>
      <c r="AQ4044" s="1"/>
      <c r="AR4044" s="1"/>
      <c r="AS4044" s="1"/>
      <c r="AT4044" s="1"/>
      <c r="AU4044" s="1"/>
      <c r="AV4044" s="1"/>
      <c r="AW4044" s="1"/>
      <c r="AX4044" s="1"/>
      <c r="AY4044" s="1"/>
      <c r="AZ4044" s="1"/>
      <c r="BA4044" s="1"/>
      <c r="BB4044" s="1"/>
    </row>
    <row r="4045" ht="204.75" customHeight="1">
      <c r="A4045" s="1">
        <v>3372.0</v>
      </c>
      <c r="B4045" s="2" t="s">
        <v>12007</v>
      </c>
      <c r="C4045" s="2">
        <f>IFERROR(__xludf.DUMMYFUNCTION("split(B4045,""_"")"),1304.0)</f>
        <v>1304</v>
      </c>
      <c r="D4045" s="2" t="str">
        <f>IFERROR(__xludf.DUMMYFUNCTION("""COMPUTED_VALUE"""),"NTV")</f>
        <v>NTV</v>
      </c>
      <c r="E4045" s="2" t="str">
        <f>IFERROR(__xludf.DUMMYFUNCTION("""COMPUTED_VALUE"""),"木23")</f>
        <v>木23</v>
      </c>
      <c r="F4045" s="2" t="s">
        <v>12008</v>
      </c>
      <c r="G4045" s="2" t="s">
        <v>12013</v>
      </c>
      <c r="H4045" s="1">
        <v>5.0</v>
      </c>
      <c r="I4045" s="1" t="s">
        <v>2884</v>
      </c>
      <c r="J4045" s="1" t="s">
        <v>1435</v>
      </c>
      <c r="K4045" s="2" t="s">
        <v>12014</v>
      </c>
      <c r="L4045" s="2"/>
      <c r="M4045" s="2" t="str">
        <f>IFERROR(__xludf.DUMMYFUNCTION("split(split(K4045,""【演出"",false),""ほか"",false)"),"久住健太:佐藤隆太  丹波修司:塚本高史  倉田夏輝:本仮屋ユイカ  久住大地:秋元黎(子役)  白井麻里:原幹恵  丹波早苗:小野真弓  吉岡孝則:近江谷太朗  黒木慶:小日向文世返済を迫られた健太は、再会した以前の上司・吉岡(近江谷太朗)の「金に困ったら連絡しろ」という言葉を思い出し、吉岡と接触する。ところが、その吉岡と健太に危機が襲いかかる…。    吉岡との再会を機に、健太の過去も徐々に明らかに…!健太がクズになった理由とは…?そして、健太の事が気になりかけている夏輝(本仮屋ユイカ)。大ゲンカの末"&amp;"家出してしまう大地(秋元黎)。健太を中心とした人間関係が動きはじめる…!【主題歌】  「HEROES」GReeeeN(UNIVERSAL　MUSIC)オフショット満載の『facebook』はこちら  http://ja-jp.facebook.com/ytv.hero  ★いいね!おして下さい!★  『LINE』はこちら  友だち検索→でたらめヒーローhttp://www.ytv.co.jp/hero/主人公の久住健太は、正真正銘のクズ男。そんなクズ男が、謎のドロップを舐めると、10分間だけ超人パワーを発"&amp;"揮!果たして、クズ男・健太はヒーローになる事ができるのか?")</f>
        <v>久住健太:佐藤隆太  丹波修司:塚本高史  倉田夏輝:本仮屋ユイカ  久住大地:秋元黎(子役)  白井麻里:原幹恵  丹波早苗:小野真弓  吉岡孝則:近江谷太朗  黒木慶:小日向文世返済を迫られた健太は、再会した以前の上司・吉岡(近江谷太朗)の「金に困ったら連絡しろ」という言葉を思い出し、吉岡と接触する。ところが、その吉岡と健太に危機が襲いかかる…。    吉岡との再会を機に、健太の過去も徐々に明らかに…!健太がクズになった理由とは…?そして、健太の事が気になりかけている夏輝(本仮屋ユイカ)。大ゲンカの末家出してしまう大地(秋元黎)。健太を中心とした人間関係が動きはじめる…!【主題歌】  「HEROES」GReeeeN(UNIVERSAL　MUSIC)オフショット満載の『facebook』はこちら  http://ja-jp.facebook.com/ytv.hero  ★いいね!おして下さい!★  『LINE』はこちら  友だち検索→でたらめヒーローhttp://www.ytv.co.jp/hero/主人公の久住健太は、正真正銘のクズ男。そんなクズ男が、謎のドロップを舐めると、10分間だけ超人パワーを発揮!果たして、クズ男・健太はヒーローになる事ができるのか?</v>
      </c>
      <c r="N4045" s="2"/>
      <c r="O4045" s="2"/>
      <c r="P4045" s="1"/>
      <c r="Q4045" s="1"/>
      <c r="R4045" s="1"/>
      <c r="S4045" s="1"/>
      <c r="T4045" s="1"/>
      <c r="U4045" s="1"/>
      <c r="V4045" s="1"/>
      <c r="W4045" s="1"/>
      <c r="X4045" s="1"/>
      <c r="Y4045" s="1"/>
      <c r="Z4045" s="1"/>
      <c r="AA4045" s="1"/>
      <c r="AB4045" s="1"/>
      <c r="AC4045" s="1"/>
      <c r="AD4045" s="1"/>
      <c r="AE4045" s="1"/>
      <c r="AF4045" s="1"/>
      <c r="AG4045" s="1"/>
      <c r="AH4045" s="1"/>
      <c r="AI4045" s="1"/>
      <c r="AJ4045" s="1"/>
      <c r="AK4045" s="1"/>
      <c r="AL4045" s="1"/>
      <c r="AM4045" s="1"/>
      <c r="AN4045" s="1"/>
      <c r="AO4045" s="1"/>
      <c r="AP4045" s="1"/>
      <c r="AQ4045" s="1"/>
      <c r="AR4045" s="1"/>
      <c r="AS4045" s="1"/>
      <c r="AT4045" s="1"/>
      <c r="AU4045" s="1"/>
      <c r="AV4045" s="1"/>
      <c r="AW4045" s="1"/>
      <c r="AX4045" s="1"/>
      <c r="AY4045" s="1"/>
      <c r="AZ4045" s="1"/>
      <c r="BA4045" s="1"/>
      <c r="BB4045" s="1"/>
    </row>
    <row r="4046" ht="204.75" customHeight="1">
      <c r="A4046" s="1">
        <v>3373.0</v>
      </c>
      <c r="B4046" s="2" t="s">
        <v>12007</v>
      </c>
      <c r="C4046" s="2">
        <f>IFERROR(__xludf.DUMMYFUNCTION("split(B4046,""_"")"),1304.0)</f>
        <v>1304</v>
      </c>
      <c r="D4046" s="2" t="str">
        <f>IFERROR(__xludf.DUMMYFUNCTION("""COMPUTED_VALUE"""),"NTV")</f>
        <v>NTV</v>
      </c>
      <c r="E4046" s="2" t="str">
        <f>IFERROR(__xludf.DUMMYFUNCTION("""COMPUTED_VALUE"""),"木23")</f>
        <v>木23</v>
      </c>
      <c r="F4046" s="2" t="s">
        <v>12008</v>
      </c>
      <c r="G4046" s="2" t="s">
        <v>12015</v>
      </c>
      <c r="H4046" s="1">
        <v>6.0</v>
      </c>
      <c r="I4046" s="1" t="s">
        <v>2888</v>
      </c>
      <c r="J4046" s="1" t="s">
        <v>1435</v>
      </c>
      <c r="K4046" s="2" t="s">
        <v>12016</v>
      </c>
      <c r="L4046" s="2"/>
      <c r="M4046" s="2" t="str">
        <f>IFERROR(__xludf.DUMMYFUNCTION("split(split(K4046,""【演出"",false),""ほか"",false)"),"久住健太:佐藤隆太  丹波修司:塚本高史  倉田夏輝:本仮屋ユイカ  久住大地:秋元黎(子役)  白井麻里:原幹恵  丹波早苗:小野真弓  星野萌絵:宮澤佐江(SNH48/AKB48)  黒木慶:小日向文世ボディーガードになった健太だったが、萌絵のワガママに嫌気がさし、ついに辞めてしまう。  一方、公園で似顔絵を描く夏輝(本仮屋ユイカ)に接近する黒木(小日向文世)。  そして黒木は健太に、「いくらでも払う」とドロップの取引を持ちかける。  迷う健太に、修司から萌絵が何者かに拉致されたという連絡が。    "&amp;"「ドロップの力で助けてくれ!」    金をとるかヒーローをとるか…迷った末に健太が出した答えとは…?【主題歌】  「HEROES」GReeeeN(UNIVERSAL　MUSIC)オフショット満載の『facebook』はこちら  http://ja-jp.facebook.com/ytv.hero  ★いいね!おして下さい!★  『LINE』はこちら  友だち検索→でたらめヒーローhttp://www.ytv.co.jp/hero/主人公の久住健太は、正真正銘のクズ男。そんなクズ男が、謎のドロップを舐めると"&amp;"、10分間だけ超人パワーを発揮!果たして、クズ男・健太はヒーローになる事ができるのか?")</f>
        <v>久住健太:佐藤隆太  丹波修司:塚本高史  倉田夏輝:本仮屋ユイカ  久住大地:秋元黎(子役)  白井麻里:原幹恵  丹波早苗:小野真弓  星野萌絵:宮澤佐江(SNH48/AKB48)  黒木慶:小日向文世ボディーガードになった健太だったが、萌絵のワガママに嫌気がさし、ついに辞めてしまう。  一方、公園で似顔絵を描く夏輝(本仮屋ユイカ)に接近する黒木(小日向文世)。  そして黒木は健太に、「いくらでも払う」とドロップの取引を持ちかける。  迷う健太に、修司から萌絵が何者かに拉致されたという連絡が。    「ドロップの力で助けてくれ!」    金をとるかヒーローをとるか…迷った末に健太が出した答えとは…?【主題歌】  「HEROES」GReeeeN(UNIVERSAL　MUSIC)オフショット満載の『facebook』はこちら  http://ja-jp.facebook.com/ytv.hero  ★いいね!おして下さい!★  『LINE』はこちら  友だち検索→でたらめヒーローhttp://www.ytv.co.jp/hero/主人公の久住健太は、正真正銘のクズ男。そんなクズ男が、謎のドロップを舐めると、10分間だけ超人パワーを発揮!果たして、クズ男・健太はヒーローになる事ができるのか?</v>
      </c>
      <c r="N4046" s="2"/>
      <c r="O4046" s="2"/>
      <c r="P4046" s="1"/>
      <c r="Q4046" s="1"/>
      <c r="R4046" s="1"/>
      <c r="S4046" s="1"/>
      <c r="T4046" s="1"/>
      <c r="U4046" s="1"/>
      <c r="V4046" s="1"/>
      <c r="W4046" s="1"/>
      <c r="X4046" s="1"/>
      <c r="Y4046" s="1"/>
      <c r="Z4046" s="1"/>
      <c r="AA4046" s="1"/>
      <c r="AB4046" s="1"/>
      <c r="AC4046" s="1"/>
      <c r="AD4046" s="1"/>
      <c r="AE4046" s="1"/>
      <c r="AF4046" s="1"/>
      <c r="AG4046" s="1"/>
      <c r="AH4046" s="1"/>
      <c r="AI4046" s="1"/>
      <c r="AJ4046" s="1"/>
      <c r="AK4046" s="1"/>
      <c r="AL4046" s="1"/>
      <c r="AM4046" s="1"/>
      <c r="AN4046" s="1"/>
      <c r="AO4046" s="1"/>
      <c r="AP4046" s="1"/>
      <c r="AQ4046" s="1"/>
      <c r="AR4046" s="1"/>
      <c r="AS4046" s="1"/>
      <c r="AT4046" s="1"/>
      <c r="AU4046" s="1"/>
      <c r="AV4046" s="1"/>
      <c r="AW4046" s="1"/>
      <c r="AX4046" s="1"/>
      <c r="AY4046" s="1"/>
      <c r="AZ4046" s="1"/>
      <c r="BA4046" s="1"/>
      <c r="BB4046" s="1"/>
    </row>
    <row r="4047" ht="204.75" customHeight="1">
      <c r="A4047" s="1">
        <v>3374.0</v>
      </c>
      <c r="B4047" s="2" t="s">
        <v>12007</v>
      </c>
      <c r="C4047" s="2">
        <f>IFERROR(__xludf.DUMMYFUNCTION("split(B4047,""_"")"),1304.0)</f>
        <v>1304</v>
      </c>
      <c r="D4047" s="2" t="str">
        <f>IFERROR(__xludf.DUMMYFUNCTION("""COMPUTED_VALUE"""),"NTV")</f>
        <v>NTV</v>
      </c>
      <c r="E4047" s="2" t="str">
        <f>IFERROR(__xludf.DUMMYFUNCTION("""COMPUTED_VALUE"""),"木23")</f>
        <v>木23</v>
      </c>
      <c r="F4047" s="2" t="s">
        <v>12008</v>
      </c>
      <c r="G4047" s="2" t="s">
        <v>12017</v>
      </c>
      <c r="H4047" s="1">
        <v>7.0</v>
      </c>
      <c r="I4047" s="1" t="s">
        <v>2892</v>
      </c>
      <c r="J4047" s="1" t="s">
        <v>1435</v>
      </c>
      <c r="K4047" s="2" t="s">
        <v>12018</v>
      </c>
      <c r="L4047" s="2"/>
      <c r="M4047" s="2" t="str">
        <f>IFERROR(__xludf.DUMMYFUNCTION("split(split(K4047,""【演出"",false),""ほか"",false)"),"久住健太:佐藤隆太  丹波修司:塚本高史  倉田夏輝:本仮屋ユイカ  久住大地:秋元黎  白井麻里:原幹恵  黒木慶:小日向文世    ☆今回のゲスト☆  小林光男:尾上寛之  ☆初登場☆  芹沢春樹:西村和彦健太の前に現れた襲撃犯。それは…ゴーグルZ!?なんと闇討ち犯の正体は、健太と同じゴーグルZの衣装を着た偽者、偽ゴーグルZ2号だったのだ!本物vs偽者の対決!その戦いに夏輝(本仮屋ユイカ)も巻き込まれ、身に危険が迫る…。    果たして健太は、本物vs偽者の対決に勝つことができるのか!?偽ゴーグルZ2"&amp;"号との戦いの中で健太が思い出したのは、大地(秋元黎)に言われた「真のヒーロー」になるための極意だった…!【主題歌】  「HEROES」GReeeeN(UNIVERSAL　MUSIC)オフショット満載の『facebook』はこちら  http://ja-jp.facebook.com/ytv.hero  ★いいね!おして下さい!★  『LINE』はこちら  友だち検索→でたらめヒーローhttp://www.ytv.co.jp/hero/主人公の健太は最低最悪なクズ男。その正義の味方とは真逆の男が、謎のドロッ"&amp;"プを舐めると10分間だけ超人パワーを発揮してヒーローに…。そんな、映画やアニメにおける&lt;ヒーローもの&gt;の常識を覆す新感覚ドラマ")</f>
        <v>久住健太:佐藤隆太  丹波修司:塚本高史  倉田夏輝:本仮屋ユイカ  久住大地:秋元黎  白井麻里:原幹恵  黒木慶:小日向文世    ☆今回のゲスト☆  小林光男:尾上寛之  ☆初登場☆  芹沢春樹:西村和彦健太の前に現れた襲撃犯。それは…ゴーグルZ!?なんと闇討ち犯の正体は、健太と同じゴーグルZの衣装を着た偽者、偽ゴーグルZ2号だったのだ!本物vs偽者の対決!その戦いに夏輝(本仮屋ユイカ)も巻き込まれ、身に危険が迫る…。    果たして健太は、本物vs偽者の対決に勝つことができるのか!?偽ゴーグルZ2号との戦いの中で健太が思い出したのは、大地(秋元黎)に言われた「真のヒーロー」になるための極意だった…!【主題歌】  「HEROES」GReeeeN(UNIVERSAL　MUSIC)オフショット満載の『facebook』はこちら  http://ja-jp.facebook.com/ytv.hero  ★いいね!おして下さい!★  『LINE』はこちら  友だち検索→でたらめヒーローhttp://www.ytv.co.jp/hero/主人公の健太は最低最悪なクズ男。その正義の味方とは真逆の男が、謎のドロップを舐めると10分間だけ超人パワーを発揮してヒーローに…。そんな、映画やアニメにおける&lt;ヒーローもの&gt;の常識を覆す新感覚ドラマ</v>
      </c>
      <c r="N4047" s="2"/>
      <c r="O4047" s="2"/>
      <c r="P4047" s="1"/>
      <c r="Q4047" s="1"/>
      <c r="R4047" s="1"/>
      <c r="S4047" s="1"/>
      <c r="T4047" s="1"/>
      <c r="U4047" s="1"/>
      <c r="V4047" s="1"/>
      <c r="W4047" s="1"/>
      <c r="X4047" s="1"/>
      <c r="Y4047" s="1"/>
      <c r="Z4047" s="1"/>
      <c r="AA4047" s="1"/>
      <c r="AB4047" s="1"/>
      <c r="AC4047" s="1"/>
      <c r="AD4047" s="1"/>
      <c r="AE4047" s="1"/>
      <c r="AF4047" s="1"/>
      <c r="AG4047" s="1"/>
      <c r="AH4047" s="1"/>
      <c r="AI4047" s="1"/>
      <c r="AJ4047" s="1"/>
      <c r="AK4047" s="1"/>
      <c r="AL4047" s="1"/>
      <c r="AM4047" s="1"/>
      <c r="AN4047" s="1"/>
      <c r="AO4047" s="1"/>
      <c r="AP4047" s="1"/>
      <c r="AQ4047" s="1"/>
      <c r="AR4047" s="1"/>
      <c r="AS4047" s="1"/>
      <c r="AT4047" s="1"/>
      <c r="AU4047" s="1"/>
      <c r="AV4047" s="1"/>
      <c r="AW4047" s="1"/>
      <c r="AX4047" s="1"/>
      <c r="AY4047" s="1"/>
      <c r="AZ4047" s="1"/>
      <c r="BA4047" s="1"/>
      <c r="BB4047" s="1"/>
    </row>
    <row r="4048" ht="204.75" customHeight="1">
      <c r="A4048" s="1">
        <v>3375.0</v>
      </c>
      <c r="B4048" s="2" t="s">
        <v>12007</v>
      </c>
      <c r="C4048" s="2">
        <f>IFERROR(__xludf.DUMMYFUNCTION("split(B4048,""_"")"),1304.0)</f>
        <v>1304</v>
      </c>
      <c r="D4048" s="2" t="str">
        <f>IFERROR(__xludf.DUMMYFUNCTION("""COMPUTED_VALUE"""),"NTV")</f>
        <v>NTV</v>
      </c>
      <c r="E4048" s="2" t="str">
        <f>IFERROR(__xludf.DUMMYFUNCTION("""COMPUTED_VALUE"""),"木23")</f>
        <v>木23</v>
      </c>
      <c r="F4048" s="2" t="s">
        <v>12008</v>
      </c>
      <c r="G4048" s="2" t="s">
        <v>12019</v>
      </c>
      <c r="H4048" s="1">
        <v>8.0</v>
      </c>
      <c r="I4048" s="1" t="s">
        <v>2896</v>
      </c>
      <c r="J4048" s="1" t="s">
        <v>1435</v>
      </c>
      <c r="K4048" s="2" t="s">
        <v>12020</v>
      </c>
      <c r="L4048" s="2"/>
      <c r="M4048" s="2" t="str">
        <f>IFERROR(__xludf.DUMMYFUNCTION("split(split(K4048,""【演出"",false),""ほか"",false)"),"久住健太:佐藤隆太  丹波修司:塚本高史  倉田夏輝:本仮屋ユイカ  久住大地:秋元黎  白井麻里:原幹恵  芹沢春樹:西村和彦  黒木慶:小日向文世    ☆今回のゲスト☆  青木昇:川村陽介青木との再会で、ふと、高校時代の喫煙騒ぎを思い出す。健太は煙草など吸っていなかった。でも、唯一の味方だと思っていた姉・恭子さえも信じてくれなかった…。それから俺の転落人生が始まったんだ…。しかし、そこに意外な人物が現れ恭子の真実を告げる。それを知った健太は、立て籠もり事件を起こす青木のもとに向かうが…!?    共"&amp;"にやさぐれてしまったかつてのライバルとの対決。そして、二人が対決の先に見えたものとは…?【主題歌】  「HEROES」GReeeeN(UNIVERSAL　MUSIC)オフショット満載の『facebook』はこちら  http://ja-jp.facebook.com/ytv.hero  ★いいね!おして下さい!★    『LINE』はこちら  友だち検索→でたらめヒーローhttp://www.ytv.co.jp/hero/主人公の健太は最低最悪なクズ男。その正義の味方とは真逆の男が、謎のドロップを舐めると"&amp;"10分間だけ超人パワーを発揮してヒーローに…。そんな、映画やアニメにおける&lt;ヒーローもの&gt;の常識を覆す新感覚ドラマ!")</f>
        <v>久住健太:佐藤隆太  丹波修司:塚本高史  倉田夏輝:本仮屋ユイカ  久住大地:秋元黎  白井麻里:原幹恵  芹沢春樹:西村和彦  黒木慶:小日向文世    ☆今回のゲスト☆  青木昇:川村陽介青木との再会で、ふと、高校時代の喫煙騒ぎを思い出す。健太は煙草など吸っていなかった。でも、唯一の味方だと思っていた姉・恭子さえも信じてくれなかった…。それから俺の転落人生が始まったんだ…。しかし、そこに意外な人物が現れ恭子の真実を告げる。それを知った健太は、立て籠もり事件を起こす青木のもとに向かうが…!?    共にやさぐれてしまったかつてのライバルとの対決。そして、二人が対決の先に見えたものとは…?【主題歌】  「HEROES」GReeeeN(UNIVERSAL　MUSIC)オフショット満載の『facebook』はこちら  http://ja-jp.facebook.com/ytv.hero  ★いいね!おして下さい!★    『LINE』はこちら  友だち検索→でたらめヒーローhttp://www.ytv.co.jp/hero/主人公の健太は最低最悪なクズ男。その正義の味方とは真逆の男が、謎のドロップを舐めると10分間だけ超人パワーを発揮してヒーローに…。そんな、映画やアニメにおける&lt;ヒーローもの&gt;の常識を覆す新感覚ドラマ!</v>
      </c>
      <c r="N4048" s="2"/>
      <c r="O4048" s="2"/>
      <c r="P4048" s="1"/>
      <c r="Q4048" s="1"/>
      <c r="R4048" s="1"/>
      <c r="S4048" s="1"/>
      <c r="T4048" s="1"/>
      <c r="U4048" s="1"/>
      <c r="V4048" s="1"/>
      <c r="W4048" s="1"/>
      <c r="X4048" s="1"/>
      <c r="Y4048" s="1"/>
      <c r="Z4048" s="1"/>
      <c r="AA4048" s="1"/>
      <c r="AB4048" s="1"/>
      <c r="AC4048" s="1"/>
      <c r="AD4048" s="1"/>
      <c r="AE4048" s="1"/>
      <c r="AF4048" s="1"/>
      <c r="AG4048" s="1"/>
      <c r="AH4048" s="1"/>
      <c r="AI4048" s="1"/>
      <c r="AJ4048" s="1"/>
      <c r="AK4048" s="1"/>
      <c r="AL4048" s="1"/>
      <c r="AM4048" s="1"/>
      <c r="AN4048" s="1"/>
      <c r="AO4048" s="1"/>
      <c r="AP4048" s="1"/>
      <c r="AQ4048" s="1"/>
      <c r="AR4048" s="1"/>
      <c r="AS4048" s="1"/>
      <c r="AT4048" s="1"/>
      <c r="AU4048" s="1"/>
      <c r="AV4048" s="1"/>
      <c r="AW4048" s="1"/>
      <c r="AX4048" s="1"/>
      <c r="AY4048" s="1"/>
      <c r="AZ4048" s="1"/>
      <c r="BA4048" s="1"/>
      <c r="BB4048" s="1"/>
    </row>
    <row r="4049" ht="204.75" customHeight="1">
      <c r="A4049" s="1">
        <v>3376.0</v>
      </c>
      <c r="B4049" s="2" t="s">
        <v>12007</v>
      </c>
      <c r="C4049" s="2">
        <f>IFERROR(__xludf.DUMMYFUNCTION("split(B4049,""_"")"),1304.0)</f>
        <v>1304</v>
      </c>
      <c r="D4049" s="2" t="str">
        <f>IFERROR(__xludf.DUMMYFUNCTION("""COMPUTED_VALUE"""),"NTV")</f>
        <v>NTV</v>
      </c>
      <c r="E4049" s="2" t="str">
        <f>IFERROR(__xludf.DUMMYFUNCTION("""COMPUTED_VALUE"""),"木23")</f>
        <v>木23</v>
      </c>
      <c r="F4049" s="2" t="s">
        <v>12008</v>
      </c>
      <c r="G4049" s="2" t="s">
        <v>12021</v>
      </c>
      <c r="H4049" s="1">
        <v>11.0</v>
      </c>
      <c r="I4049" s="1" t="s">
        <v>41</v>
      </c>
      <c r="J4049" s="1" t="s">
        <v>1435</v>
      </c>
      <c r="K4049" s="2" t="s">
        <v>12022</v>
      </c>
      <c r="L4049" s="2"/>
      <c r="M4049" s="2" t="str">
        <f>IFERROR(__xludf.DUMMYFUNCTION("split(split(K4049,""【演出"",false),""ほか"",false)"),"久住健太:佐藤隆太  丹波修司:塚本高史  倉田夏輝:本仮屋ユイカ  久住大地:秋元黎  白井麻里:原幹恵  丹波早苗:小野真弓  芹沢春樹:西村和彦  黒木慶:小日向文世麻里と夏輝との間で心揺れる健太。一方、かつて健太に捕まったコンビニ強盗犯・桜木が、ゴーグルZ2号に復讐するため、拘置所から逃亡。会社員を脅迫し、2号にやられたという偽の被害届を出させる。2号の存在を危険視した警察上層部の思惑も重なり、指名手配されてしまう健太。大地が残していったドロップを使って難を逃れるが、その時、健太の逮捕を命じられた"&amp;"修司(塚本高史)が現れ、健太に銃口を向ける…!【主題歌】  「HEROES」GReeeeN(UNIVERSAL　MUSIC)http://www.ytv.co.jp/hero/オフショット満載の『facebook』はこちら  http://ja-jp.facebook.com/ytv.hero  ★いいね!おして下さい!★  『LINE』はこちら  友だち検索→でたらめヒーロー【視聴者クイズ】  でたらめヒーローを見て商品券10万円をGETしよう!「今回の放送で健太が食べたドロップの色は何色?」番組放送中"&amp;"に応募が可能です。詳しくは番組HPまで!!")</f>
        <v>久住健太:佐藤隆太  丹波修司:塚本高史  倉田夏輝:本仮屋ユイカ  久住大地:秋元黎  白井麻里:原幹恵  丹波早苗:小野真弓  芹沢春樹:西村和彦  黒木慶:小日向文世麻里と夏輝との間で心揺れる健太。一方、かつて健太に捕まったコンビニ強盗犯・桜木が、ゴーグルZ2号に復讐するため、拘置所から逃亡。会社員を脅迫し、2号にやられたという偽の被害届を出させる。2号の存在を危険視した警察上層部の思惑も重なり、指名手配されてしまう健太。大地が残していったドロップを使って難を逃れるが、その時、健太の逮捕を命じられた修司(塚本高史)が現れ、健太に銃口を向ける…!【主題歌】  「HEROES」GReeeeN(UNIVERSAL　MUSIC)http://www.ytv.co.jp/hero/オフショット満載の『facebook』はこちら  http://ja-jp.facebook.com/ytv.hero  ★いいね!おして下さい!★  『LINE』はこちら  友だち検索→でたらめヒーロー【視聴者クイズ】  でたらめヒーローを見て商品券10万円をGETしよう!「今回の放送で健太が食べたドロップの色は何色?」番組放送中に応募が可能です。詳しくは番組HPまで!!</v>
      </c>
      <c r="N4049" s="2"/>
      <c r="O4049" s="2"/>
      <c r="P4049" s="1"/>
      <c r="Q4049" s="1"/>
      <c r="R4049" s="1"/>
      <c r="S4049" s="1"/>
      <c r="T4049" s="1"/>
      <c r="U4049" s="1"/>
      <c r="V4049" s="1"/>
      <c r="W4049" s="1"/>
      <c r="X4049" s="1"/>
      <c r="Y4049" s="1"/>
      <c r="Z4049" s="1"/>
      <c r="AA4049" s="1"/>
      <c r="AB4049" s="1"/>
      <c r="AC4049" s="1"/>
      <c r="AD4049" s="1"/>
      <c r="AE4049" s="1"/>
      <c r="AF4049" s="1"/>
      <c r="AG4049" s="1"/>
      <c r="AH4049" s="1"/>
      <c r="AI4049" s="1"/>
      <c r="AJ4049" s="1"/>
      <c r="AK4049" s="1"/>
      <c r="AL4049" s="1"/>
      <c r="AM4049" s="1"/>
      <c r="AN4049" s="1"/>
      <c r="AO4049" s="1"/>
      <c r="AP4049" s="1"/>
      <c r="AQ4049" s="1"/>
      <c r="AR4049" s="1"/>
      <c r="AS4049" s="1"/>
      <c r="AT4049" s="1"/>
      <c r="AU4049" s="1"/>
      <c r="AV4049" s="1"/>
      <c r="AW4049" s="1"/>
      <c r="AX4049" s="1"/>
      <c r="AY4049" s="1"/>
      <c r="AZ4049" s="1"/>
      <c r="BA4049" s="1"/>
      <c r="BB4049" s="1"/>
    </row>
    <row r="4050" ht="204.75" customHeight="1">
      <c r="A4050" s="1">
        <v>3386.0</v>
      </c>
      <c r="B4050" s="2" t="s">
        <v>12023</v>
      </c>
      <c r="C4050" s="2">
        <f>IFERROR(__xludf.DUMMYFUNCTION("split(B4050,""_"")"),1304.0)</f>
        <v>1304</v>
      </c>
      <c r="D4050" s="2" t="str">
        <f>IFERROR(__xludf.DUMMYFUNCTION("""COMPUTED_VALUE"""),"NTV")</f>
        <v>NTV</v>
      </c>
      <c r="E4050" s="2" t="str">
        <f>IFERROR(__xludf.DUMMYFUNCTION("""COMPUTED_VALUE"""),"土21")</f>
        <v>土21</v>
      </c>
      <c r="F4050" s="2" t="s">
        <v>12024</v>
      </c>
      <c r="G4050" s="2" t="s">
        <v>12025</v>
      </c>
      <c r="H4050" s="1">
        <v>1.0</v>
      </c>
      <c r="I4050" s="1" t="s">
        <v>2868</v>
      </c>
      <c r="J4050" s="1" t="s">
        <v>4</v>
      </c>
      <c r="K4050" s="2" t="s">
        <v>12026</v>
      </c>
      <c r="L4050" s="2"/>
      <c r="M4050" s="2" t="str">
        <f>IFERROR(__xludf.DUMMYFUNCTION("split(split(K4050,""【演出"",false),""ほか"",false)"),"米倉涼子、溝端淳平、片瀬那奈、升毅、横山めぐみ、榎木孝明、渡哲也　")</f>
        <v>米倉涼子、溝端淳平、片瀬那奈、升毅、横山めぐみ、榎木孝明、渡哲也　</v>
      </c>
      <c r="N4050" s="2" t="str">
        <f>IFERROR(__xludf.DUMMYFUNCTION("""COMPUTED_VALUE"""),"新学期。高校3年生になった少年少女たちのもとに1人の編入生がやってきた。彼女の名前は、馬場亜矢子(米倉涼子)35歳の高校生だ!彼女の素性は名前と年齢以外すべて謎。教師も生徒も亜矢子を好奇のまなざしで見つめ、クラスメートたちは「ババア」と呼んでからかうが、亜矢子は「友達100人作りたいと思ってるんで、よろしくお願いします」と言い放つ。")</f>
        <v>新学期。高校3年生になった少年少女たちのもとに1人の編入生がやってきた。彼女の名前は、馬場亜矢子(米倉涼子)35歳の高校生だ!彼女の素性は名前と年齢以外すべて謎。教師も生徒も亜矢子を好奇のまなざしで見つめ、クラスメートたちは「ババア」と呼んでからかうが、亜矢子は「友達100人作りたいと思ってるんで、よろしくお願いします」と言い放つ。</v>
      </c>
      <c r="O4050" s="2"/>
      <c r="P4050" s="1"/>
      <c r="Q4050" s="1"/>
      <c r="R4050" s="1"/>
      <c r="S4050" s="1"/>
      <c r="T4050" s="1"/>
      <c r="U4050" s="1"/>
      <c r="V4050" s="1"/>
      <c r="W4050" s="1"/>
      <c r="X4050" s="1"/>
      <c r="Y4050" s="1"/>
      <c r="Z4050" s="1"/>
      <c r="AA4050" s="1"/>
      <c r="AB4050" s="1"/>
      <c r="AC4050" s="1"/>
      <c r="AD4050" s="1"/>
      <c r="AE4050" s="1"/>
      <c r="AF4050" s="1"/>
      <c r="AG4050" s="1"/>
      <c r="AH4050" s="1"/>
      <c r="AI4050" s="1"/>
      <c r="AJ4050" s="1"/>
      <c r="AK4050" s="1"/>
      <c r="AL4050" s="1"/>
      <c r="AM4050" s="1"/>
      <c r="AN4050" s="1"/>
      <c r="AO4050" s="1"/>
      <c r="AP4050" s="1"/>
      <c r="AQ4050" s="1"/>
      <c r="AR4050" s="1"/>
      <c r="AS4050" s="1"/>
      <c r="AT4050" s="1"/>
      <c r="AU4050" s="1"/>
      <c r="AV4050" s="1"/>
      <c r="AW4050" s="1"/>
      <c r="AX4050" s="1"/>
      <c r="AY4050" s="1"/>
      <c r="AZ4050" s="1"/>
      <c r="BA4050" s="1"/>
      <c r="BB4050" s="1"/>
    </row>
    <row r="4051" ht="204.75" customHeight="1">
      <c r="A4051" s="1">
        <v>3387.0</v>
      </c>
      <c r="B4051" s="2" t="s">
        <v>12023</v>
      </c>
      <c r="C4051" s="2">
        <f>IFERROR(__xludf.DUMMYFUNCTION("split(B4051,""_"")"),1304.0)</f>
        <v>1304</v>
      </c>
      <c r="D4051" s="2" t="str">
        <f>IFERROR(__xludf.DUMMYFUNCTION("""COMPUTED_VALUE"""),"NTV")</f>
        <v>NTV</v>
      </c>
      <c r="E4051" s="2" t="str">
        <f>IFERROR(__xludf.DUMMYFUNCTION("""COMPUTED_VALUE"""),"土21")</f>
        <v>土21</v>
      </c>
      <c r="F4051" s="2" t="s">
        <v>12024</v>
      </c>
      <c r="G4051" s="2" t="s">
        <v>12027</v>
      </c>
      <c r="H4051" s="1">
        <v>2.0</v>
      </c>
      <c r="I4051" s="1" t="s">
        <v>2872</v>
      </c>
      <c r="J4051" s="1" t="s">
        <v>11</v>
      </c>
      <c r="K4051" s="2" t="s">
        <v>12028</v>
      </c>
      <c r="L4051" s="2"/>
      <c r="M4051" s="2" t="str">
        <f>IFERROR(__xludf.DUMMYFUNCTION("split(split(K4051,""【演出"",false),""ほか"",false)"),"米倉涼子、溝端淳平、片瀬那奈、升毅、横山めぐみ、榎木孝明、渡哲也　")</f>
        <v>米倉涼子、溝端淳平、片瀬那奈、升毅、横山めぐみ、榎木孝明、渡哲也　</v>
      </c>
      <c r="N4051" s="2" t="str">
        <f>IFERROR(__xludf.DUMMYFUNCTION("""COMPUTED_VALUE"""),"ある日、生徒たちから悩みを訴えてもらうために目安箱が設置される。その中に無記名で“たすけて”と書かれた投書が見つかる。馬場亜矢子(米倉涼子)は、クラスメイトの山下愛(水野絵梨奈)が、仲間に買い物を押し付けられているところを見かけ、愛に「いじめられてるの」と尋ねるが、愛は“いじめられている”のではなく“いじられてあげている”だけだと笑い飛ばす。そんな矢先、愛が階段の上から転げ落ち大けがを負ってしまう")</f>
        <v>ある日、生徒たちから悩みを訴えてもらうために目安箱が設置される。その中に無記名で“たすけて”と書かれた投書が見つかる。馬場亜矢子(米倉涼子)は、クラスメイトの山下愛(水野絵梨奈)が、仲間に買い物を押し付けられているところを見かけ、愛に「いじめられてるの」と尋ねるが、愛は“いじめられている”のではなく“いじられてあげている”だけだと笑い飛ばす。そんな矢先、愛が階段の上から転げ落ち大けがを負ってしまう</v>
      </c>
      <c r="O4051" s="2"/>
      <c r="P4051" s="1"/>
      <c r="Q4051" s="1"/>
      <c r="R4051" s="1"/>
      <c r="S4051" s="1"/>
      <c r="T4051" s="1"/>
      <c r="U4051" s="1"/>
      <c r="V4051" s="1"/>
      <c r="W4051" s="1"/>
      <c r="X4051" s="1"/>
      <c r="Y4051" s="1"/>
      <c r="Z4051" s="1"/>
      <c r="AA4051" s="1"/>
      <c r="AB4051" s="1"/>
      <c r="AC4051" s="1"/>
      <c r="AD4051" s="1"/>
      <c r="AE4051" s="1"/>
      <c r="AF4051" s="1"/>
      <c r="AG4051" s="1"/>
      <c r="AH4051" s="1"/>
      <c r="AI4051" s="1"/>
      <c r="AJ4051" s="1"/>
      <c r="AK4051" s="1"/>
      <c r="AL4051" s="1"/>
      <c r="AM4051" s="1"/>
      <c r="AN4051" s="1"/>
      <c r="AO4051" s="1"/>
      <c r="AP4051" s="1"/>
      <c r="AQ4051" s="1"/>
      <c r="AR4051" s="1"/>
      <c r="AS4051" s="1"/>
      <c r="AT4051" s="1"/>
      <c r="AU4051" s="1"/>
      <c r="AV4051" s="1"/>
      <c r="AW4051" s="1"/>
      <c r="AX4051" s="1"/>
      <c r="AY4051" s="1"/>
      <c r="AZ4051" s="1"/>
      <c r="BA4051" s="1"/>
      <c r="BB4051" s="1"/>
    </row>
    <row r="4052" ht="204.75" customHeight="1">
      <c r="A4052" s="1">
        <v>3388.0</v>
      </c>
      <c r="B4052" s="2" t="s">
        <v>12023</v>
      </c>
      <c r="C4052" s="2">
        <f>IFERROR(__xludf.DUMMYFUNCTION("split(B4052,""_"")"),1304.0)</f>
        <v>1304</v>
      </c>
      <c r="D4052" s="2" t="str">
        <f>IFERROR(__xludf.DUMMYFUNCTION("""COMPUTED_VALUE"""),"NTV")</f>
        <v>NTV</v>
      </c>
      <c r="E4052" s="2" t="str">
        <f>IFERROR(__xludf.DUMMYFUNCTION("""COMPUTED_VALUE"""),"土21")</f>
        <v>土21</v>
      </c>
      <c r="F4052" s="2" t="s">
        <v>12024</v>
      </c>
      <c r="G4052" s="2" t="s">
        <v>12029</v>
      </c>
      <c r="H4052" s="1">
        <v>3.0</v>
      </c>
      <c r="I4052" s="1" t="s">
        <v>2876</v>
      </c>
      <c r="J4052" s="1" t="s">
        <v>4</v>
      </c>
      <c r="K4052" s="2" t="s">
        <v>12030</v>
      </c>
      <c r="L4052" s="2"/>
      <c r="M4052" s="2" t="str">
        <f>IFERROR(__xludf.DUMMYFUNCTION("split(split(K4052,""【演出"",false),""ほか"",false)"),"米倉涼子、溝端淳平、片瀬那奈、升毅、横山めぐみ、榎木孝明、渡哲也　")</f>
        <v>米倉涼子、溝端淳平、片瀬那奈、升毅、横山めぐみ、榎木孝明、渡哲也　</v>
      </c>
      <c r="N4052" s="2" t="str">
        <f>IFERROR(__xludf.DUMMYFUNCTION("""COMPUTED_VALUE"""),"亜矢子(米倉涼子)は、学校全体がスクールカーストと言う階級制度に支配されている事を知る。生徒たちは、1軍、2軍、3軍にランク付けされ、ランキングは生徒たちの間に流れる微妙な空気で入れ替わる為、生徒たちお互いの順位を常に気にしていた。ある日、親友だった2軍の三枝と大竹は1軍の正光の「その髪型なんとかしたら?」の一言で大竹は空気を読み、クラス全員の前で三枝の髪を切ってしまう。")</f>
        <v>亜矢子(米倉涼子)は、学校全体がスクールカーストと言う階級制度に支配されている事を知る。生徒たちは、1軍、2軍、3軍にランク付けされ、ランキングは生徒たちの間に流れる微妙な空気で入れ替わる為、生徒たちお互いの順位を常に気にしていた。ある日、親友だった2軍の三枝と大竹は1軍の正光の「その髪型なんとかしたら?」の一言で大竹は空気を読み、クラス全員の前で三枝の髪を切ってしまう。</v>
      </c>
      <c r="O4052" s="2"/>
      <c r="P4052" s="1"/>
      <c r="Q4052" s="1"/>
      <c r="R4052" s="1"/>
      <c r="S4052" s="1"/>
      <c r="T4052" s="1"/>
      <c r="U4052" s="1"/>
      <c r="V4052" s="1"/>
      <c r="W4052" s="1"/>
      <c r="X4052" s="1"/>
      <c r="Y4052" s="1"/>
      <c r="Z4052" s="1"/>
      <c r="AA4052" s="1"/>
      <c r="AB4052" s="1"/>
      <c r="AC4052" s="1"/>
      <c r="AD4052" s="1"/>
      <c r="AE4052" s="1"/>
      <c r="AF4052" s="1"/>
      <c r="AG4052" s="1"/>
      <c r="AH4052" s="1"/>
      <c r="AI4052" s="1"/>
      <c r="AJ4052" s="1"/>
      <c r="AK4052" s="1"/>
      <c r="AL4052" s="1"/>
      <c r="AM4052" s="1"/>
      <c r="AN4052" s="1"/>
      <c r="AO4052" s="1"/>
      <c r="AP4052" s="1"/>
      <c r="AQ4052" s="1"/>
      <c r="AR4052" s="1"/>
      <c r="AS4052" s="1"/>
      <c r="AT4052" s="1"/>
      <c r="AU4052" s="1"/>
      <c r="AV4052" s="1"/>
      <c r="AW4052" s="1"/>
      <c r="AX4052" s="1"/>
      <c r="AY4052" s="1"/>
      <c r="AZ4052" s="1"/>
      <c r="BA4052" s="1"/>
      <c r="BB4052" s="1"/>
    </row>
    <row r="4053" ht="204.75" customHeight="1">
      <c r="A4053" s="1">
        <v>3389.0</v>
      </c>
      <c r="B4053" s="2" t="s">
        <v>12023</v>
      </c>
      <c r="C4053" s="2">
        <f>IFERROR(__xludf.DUMMYFUNCTION("split(B4053,""_"")"),1304.0)</f>
        <v>1304</v>
      </c>
      <c r="D4053" s="2" t="str">
        <f>IFERROR(__xludf.DUMMYFUNCTION("""COMPUTED_VALUE"""),"NTV")</f>
        <v>NTV</v>
      </c>
      <c r="E4053" s="2" t="str">
        <f>IFERROR(__xludf.DUMMYFUNCTION("""COMPUTED_VALUE"""),"土21")</f>
        <v>土21</v>
      </c>
      <c r="F4053" s="2" t="s">
        <v>12024</v>
      </c>
      <c r="G4053" s="2" t="s">
        <v>12031</v>
      </c>
      <c r="H4053" s="1">
        <v>4.0</v>
      </c>
      <c r="I4053" s="1" t="s">
        <v>2880</v>
      </c>
      <c r="J4053" s="1" t="s">
        <v>11</v>
      </c>
      <c r="K4053" s="2" t="s">
        <v>12032</v>
      </c>
      <c r="L4053" s="2"/>
      <c r="M4053" s="2" t="str">
        <f>IFERROR(__xludf.DUMMYFUNCTION("split(split(K4053,""【演出"",false),""ほか"",false)"),"米倉涼子、溝端淳平、片瀬那奈、升毅、横山めぐみ、榎木孝明、渡哲也　")</f>
        <v>米倉涼子、溝端淳平、片瀬那奈、升毅、横山めぐみ、榎木孝明、渡哲也　</v>
      </c>
      <c r="N4053" s="2" t="str">
        <f>IFERROR(__xludf.DUMMYFUNCTION("""COMPUTED_VALUE"""),"亜矢子(米倉涼子)が編入して1ヶ月。亜矢子には4人の友達が出来た。クラスの空気も1軍の事なども気にせず教室で楽しそうに過ごす亜矢子が気に入らない1軍の正光(菅田将暉)たちは、亜矢子を敵視する。そんな中、社会科教師の猿渡(東根作寿英)が通勤中のバスの中で痴漢の容疑をかけられるという事件が起こる。猿渡は否定するが誰にも聞き入れてもらえず、追い詰められた猿渡は突然、教室の窓から飛び降りてしまった!")</f>
        <v>亜矢子(米倉涼子)が編入して1ヶ月。亜矢子には4人の友達が出来た。クラスの空気も1軍の事なども気にせず教室で楽しそうに過ごす亜矢子が気に入らない1軍の正光(菅田将暉)たちは、亜矢子を敵視する。そんな中、社会科教師の猿渡(東根作寿英)が通勤中のバスの中で痴漢の容疑をかけられるという事件が起こる。猿渡は否定するが誰にも聞き入れてもらえず、追い詰められた猿渡は突然、教室の窓から飛び降りてしまった!</v>
      </c>
      <c r="O4053" s="2"/>
      <c r="P4053" s="1"/>
      <c r="Q4053" s="1"/>
      <c r="R4053" s="1"/>
      <c r="S4053" s="1"/>
      <c r="T4053" s="1"/>
      <c r="U4053" s="1"/>
      <c r="V4053" s="1"/>
      <c r="W4053" s="1"/>
      <c r="X4053" s="1"/>
      <c r="Y4053" s="1"/>
      <c r="Z4053" s="1"/>
      <c r="AA4053" s="1"/>
      <c r="AB4053" s="1"/>
      <c r="AC4053" s="1"/>
      <c r="AD4053" s="1"/>
      <c r="AE4053" s="1"/>
      <c r="AF4053" s="1"/>
      <c r="AG4053" s="1"/>
      <c r="AH4053" s="1"/>
      <c r="AI4053" s="1"/>
      <c r="AJ4053" s="1"/>
      <c r="AK4053" s="1"/>
      <c r="AL4053" s="1"/>
      <c r="AM4053" s="1"/>
      <c r="AN4053" s="1"/>
      <c r="AO4053" s="1"/>
      <c r="AP4053" s="1"/>
      <c r="AQ4053" s="1"/>
      <c r="AR4053" s="1"/>
      <c r="AS4053" s="1"/>
      <c r="AT4053" s="1"/>
      <c r="AU4053" s="1"/>
      <c r="AV4053" s="1"/>
      <c r="AW4053" s="1"/>
      <c r="AX4053" s="1"/>
      <c r="AY4053" s="1"/>
      <c r="AZ4053" s="1"/>
      <c r="BA4053" s="1"/>
      <c r="BB4053" s="1"/>
    </row>
    <row r="4054" ht="204.75" customHeight="1">
      <c r="A4054" s="1">
        <v>3390.0</v>
      </c>
      <c r="B4054" s="2" t="s">
        <v>12023</v>
      </c>
      <c r="C4054" s="2">
        <f>IFERROR(__xludf.DUMMYFUNCTION("split(B4054,""_"")"),1304.0)</f>
        <v>1304</v>
      </c>
      <c r="D4054" s="2" t="str">
        <f>IFERROR(__xludf.DUMMYFUNCTION("""COMPUTED_VALUE"""),"NTV")</f>
        <v>NTV</v>
      </c>
      <c r="E4054" s="2" t="str">
        <f>IFERROR(__xludf.DUMMYFUNCTION("""COMPUTED_VALUE"""),"土21")</f>
        <v>土21</v>
      </c>
      <c r="F4054" s="2" t="s">
        <v>12024</v>
      </c>
      <c r="G4054" s="2" t="s">
        <v>12033</v>
      </c>
      <c r="H4054" s="1">
        <v>5.0</v>
      </c>
      <c r="I4054" s="1" t="s">
        <v>2884</v>
      </c>
      <c r="J4054" s="1" t="s">
        <v>11</v>
      </c>
      <c r="K4054" s="2" t="s">
        <v>12034</v>
      </c>
      <c r="L4054" s="2"/>
      <c r="M4054" s="2" t="str">
        <f>IFERROR(__xludf.DUMMYFUNCTION("split(split(K4054,""【演出"",false),""ほか"",false)"),"米倉涼子、溝端淳平、片瀬那奈、升毅、横山めぐみ、榎木孝明、渡哲也　")</f>
        <v>米倉涼子、溝端淳平、片瀬那奈、升毅、横山めぐみ、榎木孝明、渡哲也　</v>
      </c>
      <c r="N4054" s="2" t="str">
        <f>IFERROR(__xludf.DUMMYFUNCTION("""COMPUTED_VALUE"""),"文化祭が近づき3Aの出し物はおばけ屋敷になった。しかし、作業をまったくしない梨花子(宮崎香蓮)や1軍生徒に対して2軍3軍の不満は高まる。そしてついに亜矢子(米倉涼子)が、不満をぶつけると、梨花子は激怒し机の上にあったカッターを握り自分の制服を切り刻んだ!そして「もうどうでもいい」と教室を出て行ってしまう。その翌日、小泉(溝端淳平)に驚くべき情報が入る。梨花子がキャバクラで働いているというのだ!")</f>
        <v>文化祭が近づき3Aの出し物はおばけ屋敷になった。しかし、作業をまったくしない梨花子(宮崎香蓮)や1軍生徒に対して2軍3軍の不満は高まる。そしてついに亜矢子(米倉涼子)が、不満をぶつけると、梨花子は激怒し机の上にあったカッターを握り自分の制服を切り刻んだ!そして「もうどうでもいい」と教室を出て行ってしまう。その翌日、小泉(溝端淳平)に驚くべき情報が入る。梨花子がキャバクラで働いているというのだ!</v>
      </c>
      <c r="O4054" s="2"/>
      <c r="P4054" s="1"/>
      <c r="Q4054" s="1"/>
      <c r="R4054" s="1"/>
      <c r="S4054" s="1"/>
      <c r="T4054" s="1"/>
      <c r="U4054" s="1"/>
      <c r="V4054" s="1"/>
      <c r="W4054" s="1"/>
      <c r="X4054" s="1"/>
      <c r="Y4054" s="1"/>
      <c r="Z4054" s="1"/>
      <c r="AA4054" s="1"/>
      <c r="AB4054" s="1"/>
      <c r="AC4054" s="1"/>
      <c r="AD4054" s="1"/>
      <c r="AE4054" s="1"/>
      <c r="AF4054" s="1"/>
      <c r="AG4054" s="1"/>
      <c r="AH4054" s="1"/>
      <c r="AI4054" s="1"/>
      <c r="AJ4054" s="1"/>
      <c r="AK4054" s="1"/>
      <c r="AL4054" s="1"/>
      <c r="AM4054" s="1"/>
      <c r="AN4054" s="1"/>
      <c r="AO4054" s="1"/>
      <c r="AP4054" s="1"/>
      <c r="AQ4054" s="1"/>
      <c r="AR4054" s="1"/>
      <c r="AS4054" s="1"/>
      <c r="AT4054" s="1"/>
      <c r="AU4054" s="1"/>
      <c r="AV4054" s="1"/>
      <c r="AW4054" s="1"/>
      <c r="AX4054" s="1"/>
      <c r="AY4054" s="1"/>
      <c r="AZ4054" s="1"/>
      <c r="BA4054" s="1"/>
      <c r="BB4054" s="1"/>
    </row>
    <row r="4055" ht="204.75" customHeight="1">
      <c r="A4055" s="1">
        <v>3391.0</v>
      </c>
      <c r="B4055" s="2" t="s">
        <v>12023</v>
      </c>
      <c r="C4055" s="2">
        <f>IFERROR(__xludf.DUMMYFUNCTION("split(B4055,""_"")"),1304.0)</f>
        <v>1304</v>
      </c>
      <c r="D4055" s="2" t="str">
        <f>IFERROR(__xludf.DUMMYFUNCTION("""COMPUTED_VALUE"""),"NTV")</f>
        <v>NTV</v>
      </c>
      <c r="E4055" s="2" t="str">
        <f>IFERROR(__xludf.DUMMYFUNCTION("""COMPUTED_VALUE"""),"土21")</f>
        <v>土21</v>
      </c>
      <c r="F4055" s="2" t="s">
        <v>12024</v>
      </c>
      <c r="G4055" s="2" t="s">
        <v>12035</v>
      </c>
      <c r="H4055" s="1">
        <v>6.0</v>
      </c>
      <c r="I4055" s="1" t="s">
        <v>2888</v>
      </c>
      <c r="J4055" s="1" t="s">
        <v>11</v>
      </c>
      <c r="K4055" s="2" t="s">
        <v>12036</v>
      </c>
      <c r="L4055" s="2"/>
      <c r="M4055" s="2" t="str">
        <f>IFERROR(__xludf.DUMMYFUNCTION("split(split(K4055,""【演出"",false),""ほか"",false)"),"米倉涼子、溝端淳平、片瀬那奈、升毅、横山めぐみ、榎木孝明、渡哲也　")</f>
        <v>米倉涼子、溝端淳平、片瀬那奈、升毅、横山めぐみ、榎木孝明、渡哲也　</v>
      </c>
      <c r="N4055" s="2" t="str">
        <f>IFERROR(__xludf.DUMMYFUNCTION("""COMPUTED_VALUE"""),"　美月(新川優愛)と、萌(小島藤子)は駅伝部のエースとして、全国大会出場が期待されていた。しかし、予選当日、萌がケガをしてしまい、代わりに出場した2軍の衛藤(森川葵)は途中でリタイアしてしまう。その夜、駅伝部の部室で事件は起こった!悲鳴を聞いた萌が部室へ行くと、ロッカーの下敷きになった衛藤を発見する。しかし、亜矢子(米倉涼子)と北島(相葉裕樹)が駆け付けた時、萌の姿はなかったーーー")</f>
        <v>　美月(新川優愛)と、萌(小島藤子)は駅伝部のエースとして、全国大会出場が期待されていた。しかし、予選当日、萌がケガをしてしまい、代わりに出場した2軍の衛藤(森川葵)は途中でリタイアしてしまう。その夜、駅伝部の部室で事件は起こった!悲鳴を聞いた萌が部室へ行くと、ロッカーの下敷きになった衛藤を発見する。しかし、亜矢子(米倉涼子)と北島(相葉裕樹)が駆け付けた時、萌の姿はなかったーーー</v>
      </c>
      <c r="O4055" s="2"/>
      <c r="P4055" s="1"/>
      <c r="Q4055" s="1"/>
      <c r="R4055" s="1"/>
      <c r="S4055" s="1"/>
      <c r="T4055" s="1"/>
      <c r="U4055" s="1"/>
      <c r="V4055" s="1"/>
      <c r="W4055" s="1"/>
      <c r="X4055" s="1"/>
      <c r="Y4055" s="1"/>
      <c r="Z4055" s="1"/>
      <c r="AA4055" s="1"/>
      <c r="AB4055" s="1"/>
      <c r="AC4055" s="1"/>
      <c r="AD4055" s="1"/>
      <c r="AE4055" s="1"/>
      <c r="AF4055" s="1"/>
      <c r="AG4055" s="1"/>
      <c r="AH4055" s="1"/>
      <c r="AI4055" s="1"/>
      <c r="AJ4055" s="1"/>
      <c r="AK4055" s="1"/>
      <c r="AL4055" s="1"/>
      <c r="AM4055" s="1"/>
      <c r="AN4055" s="1"/>
      <c r="AO4055" s="1"/>
      <c r="AP4055" s="1"/>
      <c r="AQ4055" s="1"/>
      <c r="AR4055" s="1"/>
      <c r="AS4055" s="1"/>
      <c r="AT4055" s="1"/>
      <c r="AU4055" s="1"/>
      <c r="AV4055" s="1"/>
      <c r="AW4055" s="1"/>
      <c r="AX4055" s="1"/>
      <c r="AY4055" s="1"/>
      <c r="AZ4055" s="1"/>
      <c r="BA4055" s="1"/>
      <c r="BB4055" s="1"/>
    </row>
    <row r="4056" ht="204.75" customHeight="1">
      <c r="A4056" s="1">
        <v>3392.0</v>
      </c>
      <c r="B4056" s="2" t="s">
        <v>12023</v>
      </c>
      <c r="C4056" s="2">
        <f>IFERROR(__xludf.DUMMYFUNCTION("split(B4056,""_"")"),1304.0)</f>
        <v>1304</v>
      </c>
      <c r="D4056" s="2" t="str">
        <f>IFERROR(__xludf.DUMMYFUNCTION("""COMPUTED_VALUE"""),"NTV")</f>
        <v>NTV</v>
      </c>
      <c r="E4056" s="2" t="str">
        <f>IFERROR(__xludf.DUMMYFUNCTION("""COMPUTED_VALUE"""),"土21")</f>
        <v>土21</v>
      </c>
      <c r="F4056" s="2" t="s">
        <v>12024</v>
      </c>
      <c r="G4056" s="2" t="s">
        <v>12037</v>
      </c>
      <c r="H4056" s="1">
        <v>7.0</v>
      </c>
      <c r="I4056" s="1" t="s">
        <v>2892</v>
      </c>
      <c r="J4056" s="1" t="s">
        <v>11</v>
      </c>
      <c r="K4056" s="2" t="s">
        <v>12038</v>
      </c>
      <c r="L4056" s="2"/>
      <c r="M4056" s="2" t="str">
        <f>IFERROR(__xludf.DUMMYFUNCTION("split(split(K4056,""【演出"",false),""ほか"",false)"),"米倉涼子、溝端淳平、片瀬那奈、升毅、横山めぐみ、榎木孝明、渡哲也　")</f>
        <v>米倉涼子、溝端淳平、片瀬那奈、升毅、横山めぐみ、榎木孝明、渡哲也　</v>
      </c>
      <c r="N4056" s="2" t="str">
        <f>IFERROR(__xludf.DUMMYFUNCTION("""COMPUTED_VALUE"""),"ある朝、亜矢子(米倉涼子)は、美月(新川優愛)の様子がいつもと違うのに気付く。すると、美月が突然クラス全員の前で「私…盗撮されてるんです」と言い出した。翌日、3Aでティーンコートが開かれる事に。亜矢子は盗撮問題を議題にすべきだと提案。すると美月は「犯人はわかってる。優奈(北山詩織)だ」と告発。それに対して、優奈は完全否定するが、美月を盗撮したカメラの映像から、優奈が飼っている猫の映像が出てきてーー")</f>
        <v>ある朝、亜矢子(米倉涼子)は、美月(新川優愛)の様子がいつもと違うのに気付く。すると、美月が突然クラス全員の前で「私…盗撮されてるんです」と言い出した。翌日、3Aでティーンコートが開かれる事に。亜矢子は盗撮問題を議題にすべきだと提案。すると美月は「犯人はわかってる。優奈(北山詩織)だ」と告発。それに対して、優奈は完全否定するが、美月を盗撮したカメラの映像から、優奈が飼っている猫の映像が出てきてーー</v>
      </c>
      <c r="O4056" s="2"/>
      <c r="P4056" s="1"/>
      <c r="Q4056" s="1"/>
      <c r="R4056" s="1"/>
      <c r="S4056" s="1"/>
      <c r="T4056" s="1"/>
      <c r="U4056" s="1"/>
      <c r="V4056" s="1"/>
      <c r="W4056" s="1"/>
      <c r="X4056" s="1"/>
      <c r="Y4056" s="1"/>
      <c r="Z4056" s="1"/>
      <c r="AA4056" s="1"/>
      <c r="AB4056" s="1"/>
      <c r="AC4056" s="1"/>
      <c r="AD4056" s="1"/>
      <c r="AE4056" s="1"/>
      <c r="AF4056" s="1"/>
      <c r="AG4056" s="1"/>
      <c r="AH4056" s="1"/>
      <c r="AI4056" s="1"/>
      <c r="AJ4056" s="1"/>
      <c r="AK4056" s="1"/>
      <c r="AL4056" s="1"/>
      <c r="AM4056" s="1"/>
      <c r="AN4056" s="1"/>
      <c r="AO4056" s="1"/>
      <c r="AP4056" s="1"/>
      <c r="AQ4056" s="1"/>
      <c r="AR4056" s="1"/>
      <c r="AS4056" s="1"/>
      <c r="AT4056" s="1"/>
      <c r="AU4056" s="1"/>
      <c r="AV4056" s="1"/>
      <c r="AW4056" s="1"/>
      <c r="AX4056" s="1"/>
      <c r="AY4056" s="1"/>
      <c r="AZ4056" s="1"/>
      <c r="BA4056" s="1"/>
      <c r="BB4056" s="1"/>
    </row>
    <row r="4057" ht="204.75" customHeight="1">
      <c r="A4057" s="1">
        <v>3393.0</v>
      </c>
      <c r="B4057" s="2" t="s">
        <v>12023</v>
      </c>
      <c r="C4057" s="2">
        <f>IFERROR(__xludf.DUMMYFUNCTION("split(B4057,""_"")"),1304.0)</f>
        <v>1304</v>
      </c>
      <c r="D4057" s="2" t="str">
        <f>IFERROR(__xludf.DUMMYFUNCTION("""COMPUTED_VALUE"""),"NTV")</f>
        <v>NTV</v>
      </c>
      <c r="E4057" s="2" t="str">
        <f>IFERROR(__xludf.DUMMYFUNCTION("""COMPUTED_VALUE"""),"土21")</f>
        <v>土21</v>
      </c>
      <c r="F4057" s="2" t="s">
        <v>12024</v>
      </c>
      <c r="G4057" s="2" t="s">
        <v>12039</v>
      </c>
      <c r="H4057" s="1">
        <v>8.0</v>
      </c>
      <c r="I4057" s="1" t="s">
        <v>2896</v>
      </c>
      <c r="J4057" s="1" t="s">
        <v>11</v>
      </c>
      <c r="K4057" s="2" t="s">
        <v>12040</v>
      </c>
      <c r="L4057" s="2"/>
      <c r="M4057" s="2" t="str">
        <f>IFERROR(__xludf.DUMMYFUNCTION("split(split(K4057,""【演出"",false),""ほか"",false)"),"米倉涼子、溝端淳平、片瀬那奈、升毅、横山めぐみ、榎木孝明、渡哲也　")</f>
        <v>米倉涼子、溝端淳平、片瀬那奈、升毅、横山めぐみ、榎木孝明、渡哲也　</v>
      </c>
      <c r="N4057" s="2" t="str">
        <f>IFERROR(__xludf.DUMMYFUNCTION("""COMPUTED_VALUE"""),"小泉(溝端淳平)は、衛藤(森川葵)から、ストーカーに付きまとわれて困っているので恋人のふりをしてほしい「好きです」と告白される。学校帰り、仕方なく小泉が衛藤を送って行くと、そんな2人を物陰から盗撮する人影が…。数日後、小泉と衛藤が抱き合っている動画が、“禁断の恋”として裏サイトに公開され、学校中に知れ渡ってしまう。さらに、小泉が前任校の女子生徒と抱き合う様子を映した動画も一緒に公開されてーーー。")</f>
        <v>小泉(溝端淳平)は、衛藤(森川葵)から、ストーカーに付きまとわれて困っているので恋人のふりをしてほしい「好きです」と告白される。学校帰り、仕方なく小泉が衛藤を送って行くと、そんな2人を物陰から盗撮する人影が…。数日後、小泉と衛藤が抱き合っている動画が、“禁断の恋”として裏サイトに公開され、学校中に知れ渡ってしまう。さらに、小泉が前任校の女子生徒と抱き合う様子を映した動画も一緒に公開されてーーー。</v>
      </c>
      <c r="O4057" s="2"/>
      <c r="P4057" s="1"/>
      <c r="Q4057" s="1"/>
      <c r="R4057" s="1"/>
      <c r="S4057" s="1"/>
      <c r="T4057" s="1"/>
      <c r="U4057" s="1"/>
      <c r="V4057" s="1"/>
      <c r="W4057" s="1"/>
      <c r="X4057" s="1"/>
      <c r="Y4057" s="1"/>
      <c r="Z4057" s="1"/>
      <c r="AA4057" s="1"/>
      <c r="AB4057" s="1"/>
      <c r="AC4057" s="1"/>
      <c r="AD4057" s="1"/>
      <c r="AE4057" s="1"/>
      <c r="AF4057" s="1"/>
      <c r="AG4057" s="1"/>
      <c r="AH4057" s="1"/>
      <c r="AI4057" s="1"/>
      <c r="AJ4057" s="1"/>
      <c r="AK4057" s="1"/>
      <c r="AL4057" s="1"/>
      <c r="AM4057" s="1"/>
      <c r="AN4057" s="1"/>
      <c r="AO4057" s="1"/>
      <c r="AP4057" s="1"/>
      <c r="AQ4057" s="1"/>
      <c r="AR4057" s="1"/>
      <c r="AS4057" s="1"/>
      <c r="AT4057" s="1"/>
      <c r="AU4057" s="1"/>
      <c r="AV4057" s="1"/>
      <c r="AW4057" s="1"/>
      <c r="AX4057" s="1"/>
      <c r="AY4057" s="1"/>
      <c r="AZ4057" s="1"/>
      <c r="BA4057" s="1"/>
      <c r="BB4057" s="1"/>
    </row>
    <row r="4058" ht="204.75" customHeight="1">
      <c r="A4058" s="1">
        <v>3394.0</v>
      </c>
      <c r="B4058" s="2" t="s">
        <v>12023</v>
      </c>
      <c r="C4058" s="2">
        <f>IFERROR(__xludf.DUMMYFUNCTION("split(B4058,""_"")"),1304.0)</f>
        <v>1304</v>
      </c>
      <c r="D4058" s="2" t="str">
        <f>IFERROR(__xludf.DUMMYFUNCTION("""COMPUTED_VALUE"""),"NTV")</f>
        <v>NTV</v>
      </c>
      <c r="E4058" s="2" t="str">
        <f>IFERROR(__xludf.DUMMYFUNCTION("""COMPUTED_VALUE"""),"土21")</f>
        <v>土21</v>
      </c>
      <c r="F4058" s="2" t="s">
        <v>12024</v>
      </c>
      <c r="G4058" s="2" t="s">
        <v>12041</v>
      </c>
      <c r="H4058" s="1">
        <v>9.0</v>
      </c>
      <c r="I4058" s="1" t="s">
        <v>2900</v>
      </c>
      <c r="J4058" s="1" t="s">
        <v>11</v>
      </c>
      <c r="K4058" s="2" t="s">
        <v>12042</v>
      </c>
      <c r="L4058" s="2"/>
      <c r="M4058" s="2" t="str">
        <f>IFERROR(__xludf.DUMMYFUNCTION("split(split(K4058,""【演出"",false),""ほか"",false)"),"米倉涼子、溝端淳平、片瀬那奈、升毅、横山めぐみ、榎木孝明、渡哲也　")</f>
        <v>米倉涼子、溝端淳平、片瀬那奈、升毅、横山めぐみ、榎木孝明、渡哲也　</v>
      </c>
      <c r="N4058" s="2" t="str">
        <f>IFERROR(__xludf.DUMMYFUNCTION("""COMPUTED_VALUE"""),"亜矢子(米倉涼子)たち3Aはキャンプを行うことになった。しかし、食事はすべて自給自足の上、生徒同士の投票で不要な人間を追放していくと言う“サバイバルキャンプ”1回目の投票で追放となったのは亜矢子。亜矢子の事が気に入らない正光が、2軍3軍の生徒を脅して亜矢子を追放させたのだ!亜矢子がいなくなったキャンプは、すっかり元の空気に戻り正光たち1軍が支配。そんな中、次に追放が決まったのは、なんと正光だった!")</f>
        <v>亜矢子(米倉涼子)たち3Aはキャンプを行うことになった。しかし、食事はすべて自給自足の上、生徒同士の投票で不要な人間を追放していくと言う“サバイバルキャンプ”1回目の投票で追放となったのは亜矢子。亜矢子の事が気に入らない正光が、2軍3軍の生徒を脅して亜矢子を追放させたのだ!亜矢子がいなくなったキャンプは、すっかり元の空気に戻り正光たち1軍が支配。そんな中、次に追放が決まったのは、なんと正光だった!</v>
      </c>
      <c r="O4058" s="2"/>
      <c r="P4058" s="1"/>
      <c r="Q4058" s="1"/>
      <c r="R4058" s="1"/>
      <c r="S4058" s="1"/>
      <c r="T4058" s="1"/>
      <c r="U4058" s="1"/>
      <c r="V4058" s="1"/>
      <c r="W4058" s="1"/>
      <c r="X4058" s="1"/>
      <c r="Y4058" s="1"/>
      <c r="Z4058" s="1"/>
      <c r="AA4058" s="1"/>
      <c r="AB4058" s="1"/>
      <c r="AC4058" s="1"/>
      <c r="AD4058" s="1"/>
      <c r="AE4058" s="1"/>
      <c r="AF4058" s="1"/>
      <c r="AG4058" s="1"/>
      <c r="AH4058" s="1"/>
      <c r="AI4058" s="1"/>
      <c r="AJ4058" s="1"/>
      <c r="AK4058" s="1"/>
      <c r="AL4058" s="1"/>
      <c r="AM4058" s="1"/>
      <c r="AN4058" s="1"/>
      <c r="AO4058" s="1"/>
      <c r="AP4058" s="1"/>
      <c r="AQ4058" s="1"/>
      <c r="AR4058" s="1"/>
      <c r="AS4058" s="1"/>
      <c r="AT4058" s="1"/>
      <c r="AU4058" s="1"/>
      <c r="AV4058" s="1"/>
      <c r="AW4058" s="1"/>
      <c r="AX4058" s="1"/>
      <c r="AY4058" s="1"/>
      <c r="AZ4058" s="1"/>
      <c r="BA4058" s="1"/>
      <c r="BB4058" s="1"/>
    </row>
    <row r="4059" ht="204.75" customHeight="1">
      <c r="A4059" s="1">
        <v>3395.0</v>
      </c>
      <c r="B4059" s="2" t="s">
        <v>12023</v>
      </c>
      <c r="C4059" s="2">
        <f>IFERROR(__xludf.DUMMYFUNCTION("split(B4059,""_"")"),1304.0)</f>
        <v>1304</v>
      </c>
      <c r="D4059" s="2" t="str">
        <f>IFERROR(__xludf.DUMMYFUNCTION("""COMPUTED_VALUE"""),"NTV")</f>
        <v>NTV</v>
      </c>
      <c r="E4059" s="2" t="str">
        <f>IFERROR(__xludf.DUMMYFUNCTION("""COMPUTED_VALUE"""),"土21")</f>
        <v>土21</v>
      </c>
      <c r="F4059" s="2" t="s">
        <v>12024</v>
      </c>
      <c r="G4059" s="2" t="s">
        <v>12043</v>
      </c>
      <c r="H4059" s="1">
        <v>10.0</v>
      </c>
      <c r="I4059" s="1" t="s">
        <v>37</v>
      </c>
      <c r="J4059" s="1" t="s">
        <v>11</v>
      </c>
      <c r="K4059" s="2" t="s">
        <v>12044</v>
      </c>
      <c r="L4059" s="2"/>
      <c r="M4059" s="2" t="str">
        <f>IFERROR(__xludf.DUMMYFUNCTION("split(split(K4059,""【演出"",false),""ほか"",false)"),"米倉涼子、溝端淳平、片瀬那奈、升毅、横山めぐみ、榎木孝明、渡哲也　")</f>
        <v>米倉涼子、溝端淳平、片瀬那奈、升毅、横山めぐみ、榎木孝明、渡哲也　</v>
      </c>
      <c r="N4059" s="2" t="str">
        <f>IFERROR(__xludf.DUMMYFUNCTION("""COMPUTED_VALUE"""),"裏サイトで行われていた3Aのランキングが全員同じ点数になり、スクールカーストはなくなったかのように思われた。生徒たちは亜矢子(米倉涼子)のお蔭だと感謝する。そんな中、亜矢子が阿佐田(渡哲也)の指令を受けてスパイとして編入し、高校生を使った人体実験を行っていると告発する文書が生徒の間に広まる。動揺する生徒たち。正光は本当のことをはっきりさせるために、“魔女裁判”をやろうと亜矢子を挑発する。")</f>
        <v>裏サイトで行われていた3Aのランキングが全員同じ点数になり、スクールカーストはなくなったかのように思われた。生徒たちは亜矢子(米倉涼子)のお蔭だと感謝する。そんな中、亜矢子が阿佐田(渡哲也)の指令を受けてスパイとして編入し、高校生を使った人体実験を行っていると告発する文書が生徒の間に広まる。動揺する生徒たち。正光は本当のことをはっきりさせるために、“魔女裁判”をやろうと亜矢子を挑発する。</v>
      </c>
      <c r="O4059" s="2"/>
      <c r="P4059" s="1"/>
      <c r="Q4059" s="1"/>
      <c r="R4059" s="1"/>
      <c r="S4059" s="1"/>
      <c r="T4059" s="1"/>
      <c r="U4059" s="1"/>
      <c r="V4059" s="1"/>
      <c r="W4059" s="1"/>
      <c r="X4059" s="1"/>
      <c r="Y4059" s="1"/>
      <c r="Z4059" s="1"/>
      <c r="AA4059" s="1"/>
      <c r="AB4059" s="1"/>
      <c r="AC4059" s="1"/>
      <c r="AD4059" s="1"/>
      <c r="AE4059" s="1"/>
      <c r="AF4059" s="1"/>
      <c r="AG4059" s="1"/>
      <c r="AH4059" s="1"/>
      <c r="AI4059" s="1"/>
      <c r="AJ4059" s="1"/>
      <c r="AK4059" s="1"/>
      <c r="AL4059" s="1"/>
      <c r="AM4059" s="1"/>
      <c r="AN4059" s="1"/>
      <c r="AO4059" s="1"/>
      <c r="AP4059" s="1"/>
      <c r="AQ4059" s="1"/>
      <c r="AR4059" s="1"/>
      <c r="AS4059" s="1"/>
      <c r="AT4059" s="1"/>
      <c r="AU4059" s="1"/>
      <c r="AV4059" s="1"/>
      <c r="AW4059" s="1"/>
      <c r="AX4059" s="1"/>
      <c r="AY4059" s="1"/>
      <c r="AZ4059" s="1"/>
      <c r="BA4059" s="1"/>
      <c r="BB4059" s="1"/>
    </row>
    <row r="4060" ht="204.75" customHeight="1">
      <c r="A4060" s="1">
        <v>3396.0</v>
      </c>
      <c r="B4060" s="2" t="s">
        <v>12023</v>
      </c>
      <c r="C4060" s="2">
        <f>IFERROR(__xludf.DUMMYFUNCTION("split(B4060,""_"")"),1304.0)</f>
        <v>1304</v>
      </c>
      <c r="D4060" s="2" t="str">
        <f>IFERROR(__xludf.DUMMYFUNCTION("""COMPUTED_VALUE"""),"NTV")</f>
        <v>NTV</v>
      </c>
      <c r="E4060" s="2" t="str">
        <f>IFERROR(__xludf.DUMMYFUNCTION("""COMPUTED_VALUE"""),"土21")</f>
        <v>土21</v>
      </c>
      <c r="F4060" s="2" t="s">
        <v>12024</v>
      </c>
      <c r="G4060" s="2" t="s">
        <v>12045</v>
      </c>
      <c r="H4060" s="1">
        <v>11.0</v>
      </c>
      <c r="I4060" s="1" t="s">
        <v>41</v>
      </c>
      <c r="J4060" s="1" t="s">
        <v>4</v>
      </c>
      <c r="K4060" s="2" t="s">
        <v>12046</v>
      </c>
      <c r="L4060" s="2"/>
      <c r="M4060" s="2" t="str">
        <f>IFERROR(__xludf.DUMMYFUNCTION("split(split(K4060,""【演出"",false),""ほか"",false)"),"米倉涼子、溝端淳平、片瀬那奈、升毅、横山めぐみ、榎木孝明、渡哲也　")</f>
        <v>米倉涼子、溝端淳平、片瀬那奈、升毅、横山めぐみ、榎木孝明、渡哲也　</v>
      </c>
      <c r="N4060" s="2" t="str">
        <f>IFERROR(__xludf.DUMMYFUNCTION("""COMPUTED_VALUE"""),"亜矢子(米倉涼子)に対する3Aでの“魔女裁判”が続いていた。裁判の途中、正光は、亜矢子を屋上へ呼び出した。そこへ突然、阿久津(山崎賢人)が現れ「全部、僕のしたことだ、君は調子に乗り過ぎたよ」と、正光にナイフを突き付けて教室へ向う。そして、胸の内をすべて語った阿久津は手に持ったナイフに力を入れ正光を追い詰める。しかし、阿久津のナイフは、正光を庇うように立ちはだかった亜矢子に突き刺さったーーー")</f>
        <v>亜矢子(米倉涼子)に対する3Aでの“魔女裁判”が続いていた。裁判の途中、正光は、亜矢子を屋上へ呼び出した。そこへ突然、阿久津(山崎賢人)が現れ「全部、僕のしたことだ、君は調子に乗り過ぎたよ」と、正光にナイフを突き付けて教室へ向う。そして、胸の内をすべて語った阿久津は手に持ったナイフに力を入れ正光を追い詰める。しかし、阿久津のナイフは、正光を庇うように立ちはだかった亜矢子に突き刺さったーーー</v>
      </c>
      <c r="O4060" s="2"/>
      <c r="P4060" s="1"/>
      <c r="Q4060" s="1"/>
      <c r="R4060" s="1"/>
      <c r="S4060" s="1"/>
      <c r="T4060" s="1"/>
      <c r="U4060" s="1"/>
      <c r="V4060" s="1"/>
      <c r="W4060" s="1"/>
      <c r="X4060" s="1"/>
      <c r="Y4060" s="1"/>
      <c r="Z4060" s="1"/>
      <c r="AA4060" s="1"/>
      <c r="AB4060" s="1"/>
      <c r="AC4060" s="1"/>
      <c r="AD4060" s="1"/>
      <c r="AE4060" s="1"/>
      <c r="AF4060" s="1"/>
      <c r="AG4060" s="1"/>
      <c r="AH4060" s="1"/>
      <c r="AI4060" s="1"/>
      <c r="AJ4060" s="1"/>
      <c r="AK4060" s="1"/>
      <c r="AL4060" s="1"/>
      <c r="AM4060" s="1"/>
      <c r="AN4060" s="1"/>
      <c r="AO4060" s="1"/>
      <c r="AP4060" s="1"/>
      <c r="AQ4060" s="1"/>
      <c r="AR4060" s="1"/>
      <c r="AS4060" s="1"/>
      <c r="AT4060" s="1"/>
      <c r="AU4060" s="1"/>
      <c r="AV4060" s="1"/>
      <c r="AW4060" s="1"/>
      <c r="AX4060" s="1"/>
      <c r="AY4060" s="1"/>
      <c r="AZ4060" s="1"/>
      <c r="BA4060" s="1"/>
      <c r="BB4060" s="1"/>
    </row>
    <row r="4061" ht="204.75" customHeight="1">
      <c r="A4061" s="1">
        <v>3432.0</v>
      </c>
      <c r="B4061" s="2" t="s">
        <v>12047</v>
      </c>
      <c r="C4061" s="2">
        <f>IFERROR(__xludf.DUMMYFUNCTION("split(B4061,""_"")"),1301.0)</f>
        <v>1301</v>
      </c>
      <c r="D4061" s="2" t="str">
        <f>IFERROR(__xludf.DUMMYFUNCTION("""COMPUTED_VALUE"""),"NTV")</f>
        <v>NTV</v>
      </c>
      <c r="E4061" s="2" t="str">
        <f>IFERROR(__xludf.DUMMYFUNCTION("""COMPUTED_VALUE"""),"水22")</f>
        <v>水22</v>
      </c>
      <c r="F4061" s="2" t="s">
        <v>12048</v>
      </c>
      <c r="G4061" s="2" t="s">
        <v>12049</v>
      </c>
      <c r="H4061" s="1">
        <v>1.0</v>
      </c>
      <c r="I4061" s="1" t="s">
        <v>2868</v>
      </c>
      <c r="J4061" s="1" t="s">
        <v>82</v>
      </c>
      <c r="K4061" s="2" t="s">
        <v>12050</v>
      </c>
      <c r="L4061" s="2"/>
      <c r="M4061" s="2" t="str">
        <f>IFERROR(__xludf.DUMMYFUNCTION("split(split(K4061,""【演出"",false),""ほか"",false)"),"水川あさみ、大泉洋、中島裕翔(Hey!Say!JUMP)、川口春奈、君野夢真、  木南晴夏、半海一晃、須藤理彩、もたいまさこ、谷原章介恋人なし、友人なし、友は深夜のコンビニというOL・汐(水川あさみ)は孤独に押しつぶされそうになったある夜、コンビニで新人店員らしい男・雪哉(谷原章介)と出会い、小さなトキメキを覚える。そんな中、自分を変えられたらとシェアハウスに引越し、きさくな辰平(大泉洋)と出会う。「宇宙から来た」という告白に汐は冗談と相手にしない。一方「こんな所に住んだらますます結婚が遠のく」と弟の凪("&amp;"中島裕翔)は心配する。")</f>
        <v>水川あさみ、大泉洋、中島裕翔(Hey!Say!JUMP)、川口春奈、君野夢真、  木南晴夏、半海一晃、須藤理彩、もたいまさこ、谷原章介恋人なし、友人なし、友は深夜のコンビニというOL・汐(水川あさみ)は孤独に押しつぶされそうになったある夜、コンビニで新人店員らしい男・雪哉(谷原章介)と出会い、小さなトキメキを覚える。そんな中、自分を変えられたらとシェアハウスに引越し、きさくな辰平(大泉洋)と出会う。「宇宙から来た」という告白に汐は冗談と相手にしない。一方「こんな所に住んだらますます結婚が遠のく」と弟の凪(中島裕翔)は心配する。</v>
      </c>
      <c r="N4061" s="2"/>
      <c r="O4061" s="2"/>
      <c r="P4061" s="1"/>
      <c r="Q4061" s="1"/>
      <c r="R4061" s="1"/>
      <c r="S4061" s="1"/>
      <c r="T4061" s="1"/>
      <c r="U4061" s="1"/>
      <c r="V4061" s="1"/>
      <c r="W4061" s="1"/>
      <c r="X4061" s="1"/>
      <c r="Y4061" s="1"/>
      <c r="Z4061" s="1"/>
      <c r="AA4061" s="1"/>
      <c r="AB4061" s="1"/>
      <c r="AC4061" s="1"/>
      <c r="AD4061" s="1"/>
      <c r="AE4061" s="1"/>
      <c r="AF4061" s="1"/>
      <c r="AG4061" s="1"/>
      <c r="AH4061" s="1"/>
      <c r="AI4061" s="1"/>
      <c r="AJ4061" s="1"/>
      <c r="AK4061" s="1"/>
      <c r="AL4061" s="1"/>
      <c r="AM4061" s="1"/>
      <c r="AN4061" s="1"/>
      <c r="AO4061" s="1"/>
      <c r="AP4061" s="1"/>
      <c r="AQ4061" s="1"/>
      <c r="AR4061" s="1"/>
      <c r="AS4061" s="1"/>
      <c r="AT4061" s="1"/>
      <c r="AU4061" s="1"/>
      <c r="AV4061" s="1"/>
      <c r="AW4061" s="1"/>
      <c r="AX4061" s="1"/>
      <c r="AY4061" s="1"/>
      <c r="AZ4061" s="1"/>
      <c r="BA4061" s="1"/>
      <c r="BB4061" s="1"/>
    </row>
    <row r="4062" ht="204.75" customHeight="1">
      <c r="A4062" s="1">
        <v>3433.0</v>
      </c>
      <c r="B4062" s="2" t="s">
        <v>12047</v>
      </c>
      <c r="C4062" s="2">
        <f>IFERROR(__xludf.DUMMYFUNCTION("split(B4062,""_"")"),1301.0)</f>
        <v>1301</v>
      </c>
      <c r="D4062" s="2" t="str">
        <f>IFERROR(__xludf.DUMMYFUNCTION("""COMPUTED_VALUE"""),"NTV")</f>
        <v>NTV</v>
      </c>
      <c r="E4062" s="2" t="str">
        <f>IFERROR(__xludf.DUMMYFUNCTION("""COMPUTED_VALUE"""),"水22")</f>
        <v>水22</v>
      </c>
      <c r="F4062" s="2" t="s">
        <v>12048</v>
      </c>
      <c r="G4062" s="2" t="s">
        <v>12051</v>
      </c>
      <c r="H4062" s="1">
        <v>2.0</v>
      </c>
      <c r="I4062" s="1" t="s">
        <v>2872</v>
      </c>
      <c r="J4062" s="1" t="s">
        <v>86</v>
      </c>
      <c r="K4062" s="2" t="s">
        <v>12052</v>
      </c>
      <c r="L4062" s="2"/>
      <c r="M4062" s="2" t="str">
        <f>IFERROR(__xludf.DUMMYFUNCTION("split(split(K4062,""【演出"",false),""ほか"",false)"),"水川あさみ、大泉洋、中島裕翔(Hey!Say!JUMP)、川口春奈、君野夢真、  木南晴夏、半海一晃、須藤理彩、もたいまさこ、谷原章介OLの汐(水川あさみ)と宇宙人という辰平(大泉洋)、過去に傷を持つ雪哉(谷原章介)のシェアハウスでの生活が始まった。雪哉は汐や辰平に心を開くどころか、シェアハウスのルールを守る気すらなく、汐と辰平は振り回されるばかりだった。そんな中、汐のもとに雪哉の妻(須藤理彩)が書いた離婚届が届く。一方、汐を心配した弟の凪(中島裕翔)と恋人のカオル(川口春奈)は雪哉を追い出そうと様々な罠"&amp;"を仕掛けるのだが・・・")</f>
        <v>水川あさみ、大泉洋、中島裕翔(Hey!Say!JUMP)、川口春奈、君野夢真、  木南晴夏、半海一晃、須藤理彩、もたいまさこ、谷原章介OLの汐(水川あさみ)と宇宙人という辰平(大泉洋)、過去に傷を持つ雪哉(谷原章介)のシェアハウスでの生活が始まった。雪哉は汐や辰平に心を開くどころか、シェアハウスのルールを守る気すらなく、汐と辰平は振り回されるばかりだった。そんな中、汐のもとに雪哉の妻(須藤理彩)が書いた離婚届が届く。一方、汐を心配した弟の凪(中島裕翔)と恋人のカオル(川口春奈)は雪哉を追い出そうと様々な罠を仕掛けるのだが・・・</v>
      </c>
      <c r="N4062" s="2"/>
      <c r="O4062" s="2"/>
      <c r="P4062" s="1"/>
      <c r="Q4062" s="1"/>
      <c r="R4062" s="1"/>
      <c r="S4062" s="1"/>
      <c r="T4062" s="1"/>
      <c r="U4062" s="1"/>
      <c r="V4062" s="1"/>
      <c r="W4062" s="1"/>
      <c r="X4062" s="1"/>
      <c r="Y4062" s="1"/>
      <c r="Z4062" s="1"/>
      <c r="AA4062" s="1"/>
      <c r="AB4062" s="1"/>
      <c r="AC4062" s="1"/>
      <c r="AD4062" s="1"/>
      <c r="AE4062" s="1"/>
      <c r="AF4062" s="1"/>
      <c r="AG4062" s="1"/>
      <c r="AH4062" s="1"/>
      <c r="AI4062" s="1"/>
      <c r="AJ4062" s="1"/>
      <c r="AK4062" s="1"/>
      <c r="AL4062" s="1"/>
      <c r="AM4062" s="1"/>
      <c r="AN4062" s="1"/>
      <c r="AO4062" s="1"/>
      <c r="AP4062" s="1"/>
      <c r="AQ4062" s="1"/>
      <c r="AR4062" s="1"/>
      <c r="AS4062" s="1"/>
      <c r="AT4062" s="1"/>
      <c r="AU4062" s="1"/>
      <c r="AV4062" s="1"/>
      <c r="AW4062" s="1"/>
      <c r="AX4062" s="1"/>
      <c r="AY4062" s="1"/>
      <c r="AZ4062" s="1"/>
      <c r="BA4062" s="1"/>
      <c r="BB4062" s="1"/>
    </row>
    <row r="4063" ht="204.75" customHeight="1">
      <c r="A4063" s="1">
        <v>3434.0</v>
      </c>
      <c r="B4063" s="2" t="s">
        <v>12047</v>
      </c>
      <c r="C4063" s="2">
        <f>IFERROR(__xludf.DUMMYFUNCTION("split(B4063,""_"")"),1301.0)</f>
        <v>1301</v>
      </c>
      <c r="D4063" s="2" t="str">
        <f>IFERROR(__xludf.DUMMYFUNCTION("""COMPUTED_VALUE"""),"NTV")</f>
        <v>NTV</v>
      </c>
      <c r="E4063" s="2" t="str">
        <f>IFERROR(__xludf.DUMMYFUNCTION("""COMPUTED_VALUE"""),"水22")</f>
        <v>水22</v>
      </c>
      <c r="F4063" s="2" t="s">
        <v>12048</v>
      </c>
      <c r="G4063" s="2" t="s">
        <v>12053</v>
      </c>
      <c r="H4063" s="1">
        <v>3.0</v>
      </c>
      <c r="I4063" s="1" t="s">
        <v>2876</v>
      </c>
      <c r="J4063" s="1" t="s">
        <v>86</v>
      </c>
      <c r="K4063" s="2" t="s">
        <v>12054</v>
      </c>
      <c r="L4063" s="2"/>
      <c r="M4063" s="2" t="str">
        <f>IFERROR(__xludf.DUMMYFUNCTION("split(split(K4063,""【演出"",false),""ほか"",false)"),"水川あさみ、大泉洋、中島裕翔(Hey!Say!JUMP)、川口春奈、君野夢真、  木南晴夏、半海一晃、須藤理彩、もたいまさこ、谷原章介雪哉(谷原章介)が辰平(大泉洋)に愛を告白。ショックを受ける汐(水川あさみ)と戸惑う辰平だったが、まずは雪哉に就職してもらおうと、2人は雪哉の履歴書を作ったり、スーツを買ったりと大忙し。汐の同僚のメグ(木南晴夏)が父親のコネで就職先を紹介してくれることになり、何とか面接まで漕ぎつけるが・・・とんでもない結果になる。そして、雪哉はなぜ仕事と家庭を捨てたのか、その理由を語り始め"&amp;"る。")</f>
        <v>水川あさみ、大泉洋、中島裕翔(Hey!Say!JUMP)、川口春奈、君野夢真、  木南晴夏、半海一晃、須藤理彩、もたいまさこ、谷原章介雪哉(谷原章介)が辰平(大泉洋)に愛を告白。ショックを受ける汐(水川あさみ)と戸惑う辰平だったが、まずは雪哉に就職してもらおうと、2人は雪哉の履歴書を作ったり、スーツを買ったりと大忙し。汐の同僚のメグ(木南晴夏)が父親のコネで就職先を紹介してくれることになり、何とか面接まで漕ぎつけるが・・・とんでもない結果になる。そして、雪哉はなぜ仕事と家庭を捨てたのか、その理由を語り始める。</v>
      </c>
      <c r="N4063" s="2"/>
      <c r="O4063" s="2"/>
      <c r="P4063" s="1"/>
      <c r="Q4063" s="1"/>
      <c r="R4063" s="1"/>
      <c r="S4063" s="1"/>
      <c r="T4063" s="1"/>
      <c r="U4063" s="1"/>
      <c r="V4063" s="1"/>
      <c r="W4063" s="1"/>
      <c r="X4063" s="1"/>
      <c r="Y4063" s="1"/>
      <c r="Z4063" s="1"/>
      <c r="AA4063" s="1"/>
      <c r="AB4063" s="1"/>
      <c r="AC4063" s="1"/>
      <c r="AD4063" s="1"/>
      <c r="AE4063" s="1"/>
      <c r="AF4063" s="1"/>
      <c r="AG4063" s="1"/>
      <c r="AH4063" s="1"/>
      <c r="AI4063" s="1"/>
      <c r="AJ4063" s="1"/>
      <c r="AK4063" s="1"/>
      <c r="AL4063" s="1"/>
      <c r="AM4063" s="1"/>
      <c r="AN4063" s="1"/>
      <c r="AO4063" s="1"/>
      <c r="AP4063" s="1"/>
      <c r="AQ4063" s="1"/>
      <c r="AR4063" s="1"/>
      <c r="AS4063" s="1"/>
      <c r="AT4063" s="1"/>
      <c r="AU4063" s="1"/>
      <c r="AV4063" s="1"/>
      <c r="AW4063" s="1"/>
      <c r="AX4063" s="1"/>
      <c r="AY4063" s="1"/>
      <c r="AZ4063" s="1"/>
      <c r="BA4063" s="1"/>
      <c r="BB4063" s="1"/>
    </row>
    <row r="4064" ht="204.75" customHeight="1">
      <c r="A4064" s="1">
        <v>3435.0</v>
      </c>
      <c r="B4064" s="2" t="s">
        <v>12047</v>
      </c>
      <c r="C4064" s="2">
        <f>IFERROR(__xludf.DUMMYFUNCTION("split(B4064,""_"")"),1301.0)</f>
        <v>1301</v>
      </c>
      <c r="D4064" s="2" t="str">
        <f>IFERROR(__xludf.DUMMYFUNCTION("""COMPUTED_VALUE"""),"NTV")</f>
        <v>NTV</v>
      </c>
      <c r="E4064" s="2" t="str">
        <f>IFERROR(__xludf.DUMMYFUNCTION("""COMPUTED_VALUE"""),"水22")</f>
        <v>水22</v>
      </c>
      <c r="F4064" s="2" t="s">
        <v>12048</v>
      </c>
      <c r="G4064" s="2" t="s">
        <v>12055</v>
      </c>
      <c r="H4064" s="1">
        <v>4.0</v>
      </c>
      <c r="I4064" s="1" t="s">
        <v>2880</v>
      </c>
      <c r="J4064" s="1" t="s">
        <v>86</v>
      </c>
      <c r="K4064" s="2" t="s">
        <v>12056</v>
      </c>
      <c r="L4064" s="2"/>
      <c r="M4064" s="2" t="str">
        <f>IFERROR(__xludf.DUMMYFUNCTION("split(split(K4064,""【演出"",false),""ほか"",false)"),"水川あさみ、大泉洋、中島裕翔(Hey!Say!JUMP)、川口春奈、君野夢真、木南晴夏、半海一晃、須藤理彩、もたいまさこ、谷原章介【ゲスト】鈴木福 雪哉(谷原章介)からハンカチを渡されるという思いがけない優しさにときめく汐(水川あさみ)を見て複雑な思いの辰平(大泉洋)。そんな中、辰平は同僚の香苗(もたいまさこ)の孫・大(鈴木福)を預かることに。大は日曜日の学芸会で主人公の桃太郎を演じるという。練習に励む大の姿に、雪哉は父としての心を刺激される。しかし、学芸会当日、応援に行こうとする汐たちに大は「来なくてい"&amp;"い」と言って学校へ行ってしまう・・・ ")</f>
        <v>水川あさみ、大泉洋、中島裕翔(Hey!Say!JUMP)、川口春奈、君野夢真、木南晴夏、半海一晃、須藤理彩、もたいまさこ、谷原章介【ゲスト】鈴木福 雪哉(谷原章介)からハンカチを渡されるという思いがけない優しさにときめく汐(水川あさみ)を見て複雑な思いの辰平(大泉洋)。そんな中、辰平は同僚の香苗(もたいまさこ)の孫・大(鈴木福)を預かることに。大は日曜日の学芸会で主人公の桃太郎を演じるという。練習に励む大の姿に、雪哉は父としての心を刺激される。しかし、学芸会当日、応援に行こうとする汐たちに大は「来なくていい」と言って学校へ行ってしまう・・・ </v>
      </c>
      <c r="N4064" s="2"/>
      <c r="O4064" s="2"/>
      <c r="P4064" s="1"/>
      <c r="Q4064" s="1"/>
      <c r="R4064" s="1"/>
      <c r="S4064" s="1"/>
      <c r="T4064" s="1"/>
      <c r="U4064" s="1"/>
      <c r="V4064" s="1"/>
      <c r="W4064" s="1"/>
      <c r="X4064" s="1"/>
      <c r="Y4064" s="1"/>
      <c r="Z4064" s="1"/>
      <c r="AA4064" s="1"/>
      <c r="AB4064" s="1"/>
      <c r="AC4064" s="1"/>
      <c r="AD4064" s="1"/>
      <c r="AE4064" s="1"/>
      <c r="AF4064" s="1"/>
      <c r="AG4064" s="1"/>
      <c r="AH4064" s="1"/>
      <c r="AI4064" s="1"/>
      <c r="AJ4064" s="1"/>
      <c r="AK4064" s="1"/>
      <c r="AL4064" s="1"/>
      <c r="AM4064" s="1"/>
      <c r="AN4064" s="1"/>
      <c r="AO4064" s="1"/>
      <c r="AP4064" s="1"/>
      <c r="AQ4064" s="1"/>
      <c r="AR4064" s="1"/>
      <c r="AS4064" s="1"/>
      <c r="AT4064" s="1"/>
      <c r="AU4064" s="1"/>
      <c r="AV4064" s="1"/>
      <c r="AW4064" s="1"/>
      <c r="AX4064" s="1"/>
      <c r="AY4064" s="1"/>
      <c r="AZ4064" s="1"/>
      <c r="BA4064" s="1"/>
      <c r="BB4064" s="1"/>
    </row>
    <row r="4065" ht="204.75" customHeight="1">
      <c r="A4065" s="1">
        <v>3436.0</v>
      </c>
      <c r="B4065" s="2" t="s">
        <v>12047</v>
      </c>
      <c r="C4065" s="2">
        <f>IFERROR(__xludf.DUMMYFUNCTION("split(B4065,""_"")"),1301.0)</f>
        <v>1301</v>
      </c>
      <c r="D4065" s="2" t="str">
        <f>IFERROR(__xludf.DUMMYFUNCTION("""COMPUTED_VALUE"""),"NTV")</f>
        <v>NTV</v>
      </c>
      <c r="E4065" s="2" t="str">
        <f>IFERROR(__xludf.DUMMYFUNCTION("""COMPUTED_VALUE"""),"水22")</f>
        <v>水22</v>
      </c>
      <c r="F4065" s="2" t="s">
        <v>12048</v>
      </c>
      <c r="G4065" s="2" t="s">
        <v>12057</v>
      </c>
      <c r="H4065" s="1">
        <v>5.0</v>
      </c>
      <c r="I4065" s="1" t="s">
        <v>2884</v>
      </c>
      <c r="J4065" s="1" t="s">
        <v>86</v>
      </c>
      <c r="K4065" s="2" t="s">
        <v>12058</v>
      </c>
      <c r="L4065" s="2"/>
      <c r="M4065" s="2" t="str">
        <f>IFERROR(__xludf.DUMMYFUNCTION("split(split(K4065,""【演出"",false),""ほか"",false)"),"水川あさみ、大泉洋、中島裕翔(Hey!Say!JUMP)、川口春奈、木南晴夏、半海一晃、須藤理彩、もたいまさこ、谷原章介 雪哉(谷原章介)の妻・真希(須藤理彩)に背中を押され、雪哉に告白することを決意した汐(水川あさみ)。辰平(大泉洋)の協力を得て告白しようと試みるが、うまく話ができず失敗に終わる。そこで汐はバレンタインにラブレターを渡すことに。辰平が雪哉の気持ちを探ると、バレンタインを毛嫌いしていること、「もし汐に告白されたらシェアハウスを出て行く」と知り、大慌て。辰平は、汐の告白を阻止しようと奔走する"&amp;"ことに・・・ ")</f>
        <v>水川あさみ、大泉洋、中島裕翔(Hey!Say!JUMP)、川口春奈、木南晴夏、半海一晃、須藤理彩、もたいまさこ、谷原章介 雪哉(谷原章介)の妻・真希(須藤理彩)に背中を押され、雪哉に告白することを決意した汐(水川あさみ)。辰平(大泉洋)の協力を得て告白しようと試みるが、うまく話ができず失敗に終わる。そこで汐はバレンタインにラブレターを渡すことに。辰平が雪哉の気持ちを探ると、バレンタインを毛嫌いしていること、「もし汐に告白されたらシェアハウスを出て行く」と知り、大慌て。辰平は、汐の告白を阻止しようと奔走することに・・・ </v>
      </c>
      <c r="N4065" s="2"/>
      <c r="O4065" s="2"/>
      <c r="P4065" s="1"/>
      <c r="Q4065" s="1"/>
      <c r="R4065" s="1"/>
      <c r="S4065" s="1"/>
      <c r="T4065" s="1"/>
      <c r="U4065" s="1"/>
      <c r="V4065" s="1"/>
      <c r="W4065" s="1"/>
      <c r="X4065" s="1"/>
      <c r="Y4065" s="1"/>
      <c r="Z4065" s="1"/>
      <c r="AA4065" s="1"/>
      <c r="AB4065" s="1"/>
      <c r="AC4065" s="1"/>
      <c r="AD4065" s="1"/>
      <c r="AE4065" s="1"/>
      <c r="AF4065" s="1"/>
      <c r="AG4065" s="1"/>
      <c r="AH4065" s="1"/>
      <c r="AI4065" s="1"/>
      <c r="AJ4065" s="1"/>
      <c r="AK4065" s="1"/>
      <c r="AL4065" s="1"/>
      <c r="AM4065" s="1"/>
      <c r="AN4065" s="1"/>
      <c r="AO4065" s="1"/>
      <c r="AP4065" s="1"/>
      <c r="AQ4065" s="1"/>
      <c r="AR4065" s="1"/>
      <c r="AS4065" s="1"/>
      <c r="AT4065" s="1"/>
      <c r="AU4065" s="1"/>
      <c r="AV4065" s="1"/>
      <c r="AW4065" s="1"/>
      <c r="AX4065" s="1"/>
      <c r="AY4065" s="1"/>
      <c r="AZ4065" s="1"/>
      <c r="BA4065" s="1"/>
      <c r="BB4065" s="1"/>
    </row>
    <row r="4066" ht="204.75" customHeight="1">
      <c r="A4066" s="1">
        <v>3437.0</v>
      </c>
      <c r="B4066" s="2" t="s">
        <v>12047</v>
      </c>
      <c r="C4066" s="2">
        <f>IFERROR(__xludf.DUMMYFUNCTION("split(B4066,""_"")"),1301.0)</f>
        <v>1301</v>
      </c>
      <c r="D4066" s="2" t="str">
        <f>IFERROR(__xludf.DUMMYFUNCTION("""COMPUTED_VALUE"""),"NTV")</f>
        <v>NTV</v>
      </c>
      <c r="E4066" s="2" t="str">
        <f>IFERROR(__xludf.DUMMYFUNCTION("""COMPUTED_VALUE"""),"水22")</f>
        <v>水22</v>
      </c>
      <c r="F4066" s="2" t="s">
        <v>12048</v>
      </c>
      <c r="G4066" s="2" t="s">
        <v>12059</v>
      </c>
      <c r="H4066" s="1">
        <v>6.0</v>
      </c>
      <c r="I4066" s="1" t="s">
        <v>2888</v>
      </c>
      <c r="J4066" s="1" t="s">
        <v>86</v>
      </c>
      <c r="K4066" s="2" t="s">
        <v>12060</v>
      </c>
      <c r="L4066" s="2"/>
      <c r="M4066" s="2" t="str">
        <f>IFERROR(__xludf.DUMMYFUNCTION("split(split(K4066,""【演出"",false),""ほか"",false)"),"水川あさみ、大泉洋、中島裕翔(Hey!Say!JUMP)、木南晴夏、半海一晃、林泰文、工藤里紗、もたいまさこ、谷原章介 辰平(大泉洋)から告白を受けたショックで汐(水川あさみ)は声が出なくなる。心配した辰平と雪哉(谷原章介)、弟の凪(中島裕翔)らは、大きな声を出す状況を作れば元に戻るかもと汐をスキー場に連れて行く。作戦は失敗するが、偶然汐はある男性と再会し、思わず声を出す。そして声を出した理由を知った雪哉は意外な行動に出る。その夜、汐は高熱で倒れ、辰平は看病に右往左往する。そんな中、汐は辰平の深い愛情を知"&amp;"り・・・ ")</f>
        <v>水川あさみ、大泉洋、中島裕翔(Hey!Say!JUMP)、木南晴夏、半海一晃、林泰文、工藤里紗、もたいまさこ、谷原章介 辰平(大泉洋)から告白を受けたショックで汐(水川あさみ)は声が出なくなる。心配した辰平と雪哉(谷原章介)、弟の凪(中島裕翔)らは、大きな声を出す状況を作れば元に戻るかもと汐をスキー場に連れて行く。作戦は失敗するが、偶然汐はある男性と再会し、思わず声を出す。そして声を出した理由を知った雪哉は意外な行動に出る。その夜、汐は高熱で倒れ、辰平は看病に右往左往する。そんな中、汐は辰平の深い愛情を知り・・・ </v>
      </c>
      <c r="N4066" s="2"/>
      <c r="O4066" s="2"/>
      <c r="P4066" s="1"/>
      <c r="Q4066" s="1"/>
      <c r="R4066" s="1"/>
      <c r="S4066" s="1"/>
      <c r="T4066" s="1"/>
      <c r="U4066" s="1"/>
      <c r="V4066" s="1"/>
      <c r="W4066" s="1"/>
      <c r="X4066" s="1"/>
      <c r="Y4066" s="1"/>
      <c r="Z4066" s="1"/>
      <c r="AA4066" s="1"/>
      <c r="AB4066" s="1"/>
      <c r="AC4066" s="1"/>
      <c r="AD4066" s="1"/>
      <c r="AE4066" s="1"/>
      <c r="AF4066" s="1"/>
      <c r="AG4066" s="1"/>
      <c r="AH4066" s="1"/>
      <c r="AI4066" s="1"/>
      <c r="AJ4066" s="1"/>
      <c r="AK4066" s="1"/>
      <c r="AL4066" s="1"/>
      <c r="AM4066" s="1"/>
      <c r="AN4066" s="1"/>
      <c r="AO4066" s="1"/>
      <c r="AP4066" s="1"/>
      <c r="AQ4066" s="1"/>
      <c r="AR4066" s="1"/>
      <c r="AS4066" s="1"/>
      <c r="AT4066" s="1"/>
      <c r="AU4066" s="1"/>
      <c r="AV4066" s="1"/>
      <c r="AW4066" s="1"/>
      <c r="AX4066" s="1"/>
      <c r="AY4066" s="1"/>
      <c r="AZ4066" s="1"/>
      <c r="BA4066" s="1"/>
      <c r="BB4066" s="1"/>
    </row>
    <row r="4067" ht="204.75" customHeight="1">
      <c r="A4067" s="1">
        <v>3438.0</v>
      </c>
      <c r="B4067" s="2" t="s">
        <v>12047</v>
      </c>
      <c r="C4067" s="2">
        <f>IFERROR(__xludf.DUMMYFUNCTION("split(B4067,""_"")"),1301.0)</f>
        <v>1301</v>
      </c>
      <c r="D4067" s="2" t="str">
        <f>IFERROR(__xludf.DUMMYFUNCTION("""COMPUTED_VALUE"""),"NTV")</f>
        <v>NTV</v>
      </c>
      <c r="E4067" s="2" t="str">
        <f>IFERROR(__xludf.DUMMYFUNCTION("""COMPUTED_VALUE"""),"水22")</f>
        <v>水22</v>
      </c>
      <c r="F4067" s="2" t="s">
        <v>12048</v>
      </c>
      <c r="G4067" s="2" t="s">
        <v>12061</v>
      </c>
      <c r="H4067" s="1">
        <v>7.0</v>
      </c>
      <c r="I4067" s="1" t="s">
        <v>2892</v>
      </c>
      <c r="J4067" s="1" t="s">
        <v>86</v>
      </c>
      <c r="K4067" s="2" t="s">
        <v>12062</v>
      </c>
      <c r="L4067" s="2"/>
      <c r="M4067" s="2" t="str">
        <f>IFERROR(__xludf.DUMMYFUNCTION("split(split(K4067,""【演出"",false),""ほか"",false)"),"水川あさみ、大泉洋、中島裕翔(Hey!Say!JUMP)、川口春奈、君野夢真、もたいまさこ、谷原章介【ゲスト】黒沢かずこ(森三中) 「汐ちゃんに幸せになって欲しくて、俺はこの星に来たんだよ」という辰平(大泉洋)の告白を聞いて以来、汐(水川あさみ)は辰平が気になり始める。そんな中、汐は元同僚の結婚式で明海(黒沢かずこ)と出会う。明海は雪哉(谷原章介)のアルバイト先の同僚で、雪哉に告白をしようと突然シェアハウスにやってくる。明海の想いに心を大きく動かされた汐は、悩んだ末ある決断をする。そして、それを知った辰平"&amp;"の体に異変が起きる!? ")</f>
        <v>水川あさみ、大泉洋、中島裕翔(Hey!Say!JUMP)、川口春奈、君野夢真、もたいまさこ、谷原章介【ゲスト】黒沢かずこ(森三中) 「汐ちゃんに幸せになって欲しくて、俺はこの星に来たんだよ」という辰平(大泉洋)の告白を聞いて以来、汐(水川あさみ)は辰平が気になり始める。そんな中、汐は元同僚の結婚式で明海(黒沢かずこ)と出会う。明海は雪哉(谷原章介)のアルバイト先の同僚で、雪哉に告白をしようと突然シェアハウスにやってくる。明海の想いに心を大きく動かされた汐は、悩んだ末ある決断をする。そして、それを知った辰平の体に異変が起きる!? </v>
      </c>
      <c r="N4067" s="2"/>
      <c r="O4067" s="2"/>
      <c r="P4067" s="1"/>
      <c r="Q4067" s="1"/>
      <c r="R4067" s="1"/>
      <c r="S4067" s="1"/>
      <c r="T4067" s="1"/>
      <c r="U4067" s="1"/>
      <c r="V4067" s="1"/>
      <c r="W4067" s="1"/>
      <c r="X4067" s="1"/>
      <c r="Y4067" s="1"/>
      <c r="Z4067" s="1"/>
      <c r="AA4067" s="1"/>
      <c r="AB4067" s="1"/>
      <c r="AC4067" s="1"/>
      <c r="AD4067" s="1"/>
      <c r="AE4067" s="1"/>
      <c r="AF4067" s="1"/>
      <c r="AG4067" s="1"/>
      <c r="AH4067" s="1"/>
      <c r="AI4067" s="1"/>
      <c r="AJ4067" s="1"/>
      <c r="AK4067" s="1"/>
      <c r="AL4067" s="1"/>
      <c r="AM4067" s="1"/>
      <c r="AN4067" s="1"/>
      <c r="AO4067" s="1"/>
      <c r="AP4067" s="1"/>
      <c r="AQ4067" s="1"/>
      <c r="AR4067" s="1"/>
      <c r="AS4067" s="1"/>
      <c r="AT4067" s="1"/>
      <c r="AU4067" s="1"/>
      <c r="AV4067" s="1"/>
      <c r="AW4067" s="1"/>
      <c r="AX4067" s="1"/>
      <c r="AY4067" s="1"/>
      <c r="AZ4067" s="1"/>
      <c r="BA4067" s="1"/>
      <c r="BB4067" s="1"/>
    </row>
    <row r="4068" ht="204.75" customHeight="1">
      <c r="A4068" s="1">
        <v>3439.0</v>
      </c>
      <c r="B4068" s="2" t="s">
        <v>12047</v>
      </c>
      <c r="C4068" s="2">
        <f>IFERROR(__xludf.DUMMYFUNCTION("split(B4068,""_"")"),1301.0)</f>
        <v>1301</v>
      </c>
      <c r="D4068" s="2" t="str">
        <f>IFERROR(__xludf.DUMMYFUNCTION("""COMPUTED_VALUE"""),"NTV")</f>
        <v>NTV</v>
      </c>
      <c r="E4068" s="2" t="str">
        <f>IFERROR(__xludf.DUMMYFUNCTION("""COMPUTED_VALUE"""),"水22")</f>
        <v>水22</v>
      </c>
      <c r="F4068" s="2" t="s">
        <v>12048</v>
      </c>
      <c r="G4068" s="2" t="s">
        <v>12063</v>
      </c>
      <c r="H4068" s="1">
        <v>8.0</v>
      </c>
      <c r="I4068" s="1" t="s">
        <v>2896</v>
      </c>
      <c r="J4068" s="1" t="s">
        <v>86</v>
      </c>
      <c r="K4068" s="2" t="s">
        <v>12064</v>
      </c>
      <c r="L4068" s="2"/>
      <c r="M4068" s="2" t="str">
        <f>IFERROR(__xludf.DUMMYFUNCTION("split(split(K4068,""【演出"",false),""ほか"",false)"),"水川あさみ、大泉洋、中島裕翔(Hey!Say!JUMP)、川口春奈、木南晴夏、半海一晃、もたいまさこ、谷原章介 辰平(大泉洋)の体が突然光り、雪哉(谷原章介)は汐(水川あさみ)に知らせるが、汐は素直になれず2人に暴言を吐いてしまう。そして、再び辰平の体が光る。光は星の仲間からの交信によるもので、地球に迎えに来るという。そんな中、凪(中島裕翔)とカオル(川口春奈)は辰平が口ずさんだ故郷の星の歌の歌詞を解読。その意味を聞いた汐は、自分の本当の気持ちに気付き、辰平に告白をする。そして、2人は両想いになるが・・・"&amp;" ")</f>
        <v>水川あさみ、大泉洋、中島裕翔(Hey!Say!JUMP)、川口春奈、木南晴夏、半海一晃、もたいまさこ、谷原章介 辰平(大泉洋)の体が突然光り、雪哉(谷原章介)は汐(水川あさみ)に知らせるが、汐は素直になれず2人に暴言を吐いてしまう。そして、再び辰平の体が光る。光は星の仲間からの交信によるもので、地球に迎えに来るという。そんな中、凪(中島裕翔)とカオル(川口春奈)は辰平が口ずさんだ故郷の星の歌の歌詞を解読。その意味を聞いた汐は、自分の本当の気持ちに気付き、辰平に告白をする。そして、2人は両想いになるが・・・ </v>
      </c>
      <c r="N4068" s="2"/>
      <c r="O4068" s="2"/>
      <c r="P4068" s="1"/>
      <c r="Q4068" s="1"/>
      <c r="R4068" s="1"/>
      <c r="S4068" s="1"/>
      <c r="T4068" s="1"/>
      <c r="U4068" s="1"/>
      <c r="V4068" s="1"/>
      <c r="W4068" s="1"/>
      <c r="X4068" s="1"/>
      <c r="Y4068" s="1"/>
      <c r="Z4068" s="1"/>
      <c r="AA4068" s="1"/>
      <c r="AB4068" s="1"/>
      <c r="AC4068" s="1"/>
      <c r="AD4068" s="1"/>
      <c r="AE4068" s="1"/>
      <c r="AF4068" s="1"/>
      <c r="AG4068" s="1"/>
      <c r="AH4068" s="1"/>
      <c r="AI4068" s="1"/>
      <c r="AJ4068" s="1"/>
      <c r="AK4068" s="1"/>
      <c r="AL4068" s="1"/>
      <c r="AM4068" s="1"/>
      <c r="AN4068" s="1"/>
      <c r="AO4068" s="1"/>
      <c r="AP4068" s="1"/>
      <c r="AQ4068" s="1"/>
      <c r="AR4068" s="1"/>
      <c r="AS4068" s="1"/>
      <c r="AT4068" s="1"/>
      <c r="AU4068" s="1"/>
      <c r="AV4068" s="1"/>
      <c r="AW4068" s="1"/>
      <c r="AX4068" s="1"/>
      <c r="AY4068" s="1"/>
      <c r="AZ4068" s="1"/>
      <c r="BA4068" s="1"/>
      <c r="BB4068" s="1"/>
    </row>
    <row r="4069" ht="204.75" customHeight="1">
      <c r="A4069" s="1">
        <v>3440.0</v>
      </c>
      <c r="B4069" s="2" t="s">
        <v>12047</v>
      </c>
      <c r="C4069" s="2">
        <f>IFERROR(__xludf.DUMMYFUNCTION("split(B4069,""_"")"),1301.0)</f>
        <v>1301</v>
      </c>
      <c r="D4069" s="2" t="str">
        <f>IFERROR(__xludf.DUMMYFUNCTION("""COMPUTED_VALUE"""),"NTV")</f>
        <v>NTV</v>
      </c>
      <c r="E4069" s="2" t="str">
        <f>IFERROR(__xludf.DUMMYFUNCTION("""COMPUTED_VALUE"""),"水22")</f>
        <v>水22</v>
      </c>
      <c r="F4069" s="2" t="s">
        <v>12048</v>
      </c>
      <c r="G4069" s="2" t="s">
        <v>12065</v>
      </c>
      <c r="H4069" s="1">
        <v>9.0</v>
      </c>
      <c r="I4069" s="1" t="s">
        <v>2900</v>
      </c>
      <c r="J4069" s="1" t="s">
        <v>86</v>
      </c>
      <c r="K4069" s="2" t="s">
        <v>12066</v>
      </c>
      <c r="L4069" s="2"/>
      <c r="M4069" s="2" t="str">
        <f>IFERROR(__xludf.DUMMYFUNCTION("split(split(K4069,""【演出"",false),""ほか"",false)"),"水川あさみ、大泉洋、中島裕翔(Hey!Say!JUMP)、川口春奈、木南晴夏、  君野夢真、半海一晃、須藤理彩、もたいまさこ、谷原章介ついに両想いになった汐(水川あさみ)と辰平(大泉洋)だが久々の恋に戸惑うばかり。  そんな中、雪哉(谷原章介)の妻・真希(須藤理彩)が上京し、2人は汐と辰平のデートに付き合うことに。そして真希は雪哉に本音をぶちまけ、雪哉は空知(君野夢真)のためにある決断をする。一方、辰平は悩んだ末、星の仲間が迎えに来る日が2日後に迫っていることを汐に告白する。そして、辰平が旅立つ満月の夜が"&amp;"・・・この恋の結末は?")</f>
        <v>水川あさみ、大泉洋、中島裕翔(Hey!Say!JUMP)、川口春奈、木南晴夏、  君野夢真、半海一晃、須藤理彩、もたいまさこ、谷原章介ついに両想いになった汐(水川あさみ)と辰平(大泉洋)だが久々の恋に戸惑うばかり。  そんな中、雪哉(谷原章介)の妻・真希(須藤理彩)が上京し、2人は汐と辰平のデートに付き合うことに。そして真希は雪哉に本音をぶちまけ、雪哉は空知(君野夢真)のためにある決断をする。一方、辰平は悩んだ末、星の仲間が迎えに来る日が2日後に迫っていることを汐に告白する。そして、辰平が旅立つ満月の夜が・・・この恋の結末は?</v>
      </c>
      <c r="N4069" s="2"/>
      <c r="O4069" s="2"/>
      <c r="P4069" s="1"/>
      <c r="Q4069" s="1"/>
      <c r="R4069" s="1"/>
      <c r="S4069" s="1"/>
      <c r="T4069" s="1"/>
      <c r="U4069" s="1"/>
      <c r="V4069" s="1"/>
      <c r="W4069" s="1"/>
      <c r="X4069" s="1"/>
      <c r="Y4069" s="1"/>
      <c r="Z4069" s="1"/>
      <c r="AA4069" s="1"/>
      <c r="AB4069" s="1"/>
      <c r="AC4069" s="1"/>
      <c r="AD4069" s="1"/>
      <c r="AE4069" s="1"/>
      <c r="AF4069" s="1"/>
      <c r="AG4069" s="1"/>
      <c r="AH4069" s="1"/>
      <c r="AI4069" s="1"/>
      <c r="AJ4069" s="1"/>
      <c r="AK4069" s="1"/>
      <c r="AL4069" s="1"/>
      <c r="AM4069" s="1"/>
      <c r="AN4069" s="1"/>
      <c r="AO4069" s="1"/>
      <c r="AP4069" s="1"/>
      <c r="AQ4069" s="1"/>
      <c r="AR4069" s="1"/>
      <c r="AS4069" s="1"/>
      <c r="AT4069" s="1"/>
      <c r="AU4069" s="1"/>
      <c r="AV4069" s="1"/>
      <c r="AW4069" s="1"/>
      <c r="AX4069" s="1"/>
      <c r="AY4069" s="1"/>
      <c r="AZ4069" s="1"/>
      <c r="BA4069" s="1"/>
      <c r="BB4069" s="1"/>
    </row>
    <row r="4070" ht="204.75" customHeight="1">
      <c r="A4070" s="1">
        <v>3490.0</v>
      </c>
      <c r="B4070" s="2" t="s">
        <v>12067</v>
      </c>
      <c r="C4070" s="2">
        <f>IFERROR(__xludf.DUMMYFUNCTION("split(B4070,""_"")"),1301.0)</f>
        <v>1301</v>
      </c>
      <c r="D4070" s="2" t="str">
        <f>IFERROR(__xludf.DUMMYFUNCTION("""COMPUTED_VALUE"""),"NTV")</f>
        <v>NTV</v>
      </c>
      <c r="E4070" s="2" t="str">
        <f>IFERROR(__xludf.DUMMYFUNCTION("""COMPUTED_VALUE"""),"土21")</f>
        <v>土21</v>
      </c>
      <c r="F4070" s="2" t="s">
        <v>12068</v>
      </c>
      <c r="G4070" s="2" t="s">
        <v>12069</v>
      </c>
      <c r="H4070" s="1">
        <v>1.0</v>
      </c>
      <c r="I4070" s="1" t="s">
        <v>2868</v>
      </c>
      <c r="J4070" s="1" t="s">
        <v>4</v>
      </c>
      <c r="K4070" s="2" t="s">
        <v>12070</v>
      </c>
      <c r="L4070" s="2"/>
      <c r="M4070" s="2" t="str">
        <f>IFERROR(__xludf.DUMMYFUNCTION("split(split(K4070,""【演出"",false),""ほか"",false)"),"長瀬智也、麻生久美子、丸山隆平、忽那汐里、賀来賢人、菅田将暉、清水優、稲川実代子、小松和重、甲本雅裕、光石研、奥貫薫、白石加代子、薬師丸ひろ子　")</f>
        <v>長瀬智也、麻生久美子、丸山隆平、忽那汐里、賀来賢人、菅田将暉、清水優、稲川実代子、小松和重、甲本雅裕、光石研、奥貫薫、白石加代子、薬師丸ひろ子　</v>
      </c>
      <c r="N4070" s="2" t="str">
        <f>IFERROR(__xludf.DUMMYFUNCTION("""COMPUTED_VALUE"""),"漫画の世界から飛び出した“はらちゃん”が、人間の女性に恋をした。    はらちゃん(長瀬智也)が住んでいるのは紙の中。彼は、漫画の主人公なのである。  そんなある日奇跡が起き、はらちゃんは現実の世界に飛び出した。    初めて見る現実の世界に一つ一つ感動しながら、はらちゃんは1人の女性に恋をする。  それはなんと、自分たちを描いている“神様”とも呼ぶべき人物・越前さん(麻生久美子)だった!!")</f>
        <v>漫画の世界から飛び出した“はらちゃん”が、人間の女性に恋をした。    はらちゃん(長瀬智也)が住んでいるのは紙の中。彼は、漫画の主人公なのである。  そんなある日奇跡が起き、はらちゃんは現実の世界に飛び出した。    初めて見る現実の世界に一つ一つ感動しながら、はらちゃんは1人の女性に恋をする。  それはなんと、自分たちを描いている“神様”とも呼ぶべき人物・越前さん(麻生久美子)だった!!</v>
      </c>
      <c r="O4070" s="2"/>
      <c r="P4070" s="1"/>
      <c r="Q4070" s="1"/>
      <c r="R4070" s="1"/>
      <c r="S4070" s="1"/>
      <c r="T4070" s="1"/>
      <c r="U4070" s="1"/>
      <c r="V4070" s="1"/>
      <c r="W4070" s="1"/>
      <c r="X4070" s="1"/>
      <c r="Y4070" s="1"/>
      <c r="Z4070" s="1"/>
      <c r="AA4070" s="1"/>
      <c r="AB4070" s="1"/>
      <c r="AC4070" s="1"/>
      <c r="AD4070" s="1"/>
      <c r="AE4070" s="1"/>
      <c r="AF4070" s="1"/>
      <c r="AG4070" s="1"/>
      <c r="AH4070" s="1"/>
      <c r="AI4070" s="1"/>
      <c r="AJ4070" s="1"/>
      <c r="AK4070" s="1"/>
      <c r="AL4070" s="1"/>
      <c r="AM4070" s="1"/>
      <c r="AN4070" s="1"/>
      <c r="AO4070" s="1"/>
      <c r="AP4070" s="1"/>
      <c r="AQ4070" s="1"/>
      <c r="AR4070" s="1"/>
      <c r="AS4070" s="1"/>
      <c r="AT4070" s="1"/>
      <c r="AU4070" s="1"/>
      <c r="AV4070" s="1"/>
      <c r="AW4070" s="1"/>
      <c r="AX4070" s="1"/>
      <c r="AY4070" s="1"/>
      <c r="AZ4070" s="1"/>
      <c r="BA4070" s="1"/>
      <c r="BB4070" s="1"/>
    </row>
    <row r="4071" ht="204.75" customHeight="1">
      <c r="A4071" s="1">
        <v>3491.0</v>
      </c>
      <c r="B4071" s="2" t="s">
        <v>12067</v>
      </c>
      <c r="C4071" s="2">
        <f>IFERROR(__xludf.DUMMYFUNCTION("split(B4071,""_"")"),1301.0)</f>
        <v>1301</v>
      </c>
      <c r="D4071" s="2" t="str">
        <f>IFERROR(__xludf.DUMMYFUNCTION("""COMPUTED_VALUE"""),"NTV")</f>
        <v>NTV</v>
      </c>
      <c r="E4071" s="2" t="str">
        <f>IFERROR(__xludf.DUMMYFUNCTION("""COMPUTED_VALUE"""),"土21")</f>
        <v>土21</v>
      </c>
      <c r="F4071" s="2" t="s">
        <v>12068</v>
      </c>
      <c r="G4071" s="2" t="s">
        <v>12071</v>
      </c>
      <c r="H4071" s="1">
        <v>2.0</v>
      </c>
      <c r="I4071" s="1" t="s">
        <v>2872</v>
      </c>
      <c r="J4071" s="1" t="s">
        <v>11</v>
      </c>
      <c r="K4071" s="2" t="s">
        <v>12072</v>
      </c>
      <c r="L4071" s="2"/>
      <c r="M4071" s="2" t="str">
        <f>IFERROR(__xludf.DUMMYFUNCTION("split(split(K4071,""【演出"",false),""ほか"",false)"),"長瀬智也、麻生久美子、丸山隆平、忽那汐里、賀来賢人、菅田将暉、清水優、稲川実代子、小松和重、甲本雅裕、光石研、奥貫薫、白石加代子、薬師丸ひろ子　")</f>
        <v>長瀬智也、麻生久美子、丸山隆平、忽那汐里、賀来賢人、菅田将暉、清水優、稲川実代子、小松和重、甲本雅裕、光石研、奥貫薫、白石加代子、薬師丸ひろ子　</v>
      </c>
      <c r="N4071" s="2" t="str">
        <f>IFERROR(__xludf.DUMMYFUNCTION("""COMPUTED_VALUE"""),"漫画の世界に戻ったはらちゃん(長瀬智也)は、越前さんの事ばかり考えていた。一方、越前さん(麻生久美子)は、工場で命じられた新作かまぼこ募集のポスターを渋々描いていたが、「やるならちゃんとやれ!!」と清美(忽那汐里)に罵倒されてしまう。そこへ現れたはらちゃんは、「あなたの事が気になって気になって仕方がないんです」と、まるで愛の告白のような言葉を口にする。その気持ちが「恋」だと知ったはらちゃんは・・・")</f>
        <v>漫画の世界に戻ったはらちゃん(長瀬智也)は、越前さんの事ばかり考えていた。一方、越前さん(麻生久美子)は、工場で命じられた新作かまぼこ募集のポスターを渋々描いていたが、「やるならちゃんとやれ!!」と清美(忽那汐里)に罵倒されてしまう。そこへ現れたはらちゃんは、「あなたの事が気になって気になって仕方がないんです」と、まるで愛の告白のような言葉を口にする。その気持ちが「恋」だと知ったはらちゃんは・・・</v>
      </c>
      <c r="O4071" s="2"/>
      <c r="P4071" s="1"/>
      <c r="Q4071" s="1"/>
      <c r="R4071" s="1"/>
      <c r="S4071" s="1"/>
      <c r="T4071" s="1"/>
      <c r="U4071" s="1"/>
      <c r="V4071" s="1"/>
      <c r="W4071" s="1"/>
      <c r="X4071" s="1"/>
      <c r="Y4071" s="1"/>
      <c r="Z4071" s="1"/>
      <c r="AA4071" s="1"/>
      <c r="AB4071" s="1"/>
      <c r="AC4071" s="1"/>
      <c r="AD4071" s="1"/>
      <c r="AE4071" s="1"/>
      <c r="AF4071" s="1"/>
      <c r="AG4071" s="1"/>
      <c r="AH4071" s="1"/>
      <c r="AI4071" s="1"/>
      <c r="AJ4071" s="1"/>
      <c r="AK4071" s="1"/>
      <c r="AL4071" s="1"/>
      <c r="AM4071" s="1"/>
      <c r="AN4071" s="1"/>
      <c r="AO4071" s="1"/>
      <c r="AP4071" s="1"/>
      <c r="AQ4071" s="1"/>
      <c r="AR4071" s="1"/>
      <c r="AS4071" s="1"/>
      <c r="AT4071" s="1"/>
      <c r="AU4071" s="1"/>
      <c r="AV4071" s="1"/>
      <c r="AW4071" s="1"/>
      <c r="AX4071" s="1"/>
      <c r="AY4071" s="1"/>
      <c r="AZ4071" s="1"/>
      <c r="BA4071" s="1"/>
      <c r="BB4071" s="1"/>
    </row>
    <row r="4072" ht="204.75" customHeight="1">
      <c r="A4072" s="1">
        <v>3492.0</v>
      </c>
      <c r="B4072" s="2" t="s">
        <v>12067</v>
      </c>
      <c r="C4072" s="2">
        <f>IFERROR(__xludf.DUMMYFUNCTION("split(B4072,""_"")"),1301.0)</f>
        <v>1301</v>
      </c>
      <c r="D4072" s="2" t="str">
        <f>IFERROR(__xludf.DUMMYFUNCTION("""COMPUTED_VALUE"""),"NTV")</f>
        <v>NTV</v>
      </c>
      <c r="E4072" s="2" t="str">
        <f>IFERROR(__xludf.DUMMYFUNCTION("""COMPUTED_VALUE"""),"土21")</f>
        <v>土21</v>
      </c>
      <c r="F4072" s="2" t="s">
        <v>12068</v>
      </c>
      <c r="G4072" s="2" t="s">
        <v>12073</v>
      </c>
      <c r="H4072" s="1">
        <v>3.0</v>
      </c>
      <c r="I4072" s="1" t="s">
        <v>2876</v>
      </c>
      <c r="J4072" s="1" t="s">
        <v>11</v>
      </c>
      <c r="K4072" s="2" t="s">
        <v>12074</v>
      </c>
      <c r="L4072" s="2"/>
      <c r="M4072" s="2" t="str">
        <f>IFERROR(__xludf.DUMMYFUNCTION("split(split(K4072,""【演出"",false),""ほか"",false)"),"長瀬智也、麻生久美子、丸山隆平、忽那汐里、賀来賢人、菅田将暉、清水優、稲川実代子、小松和重、甲本雅裕、光石研、奥貫薫、白石加代子、薬師丸ひろ子　")</f>
        <v>長瀬智也、麻生久美子、丸山隆平、忽那汐里、賀来賢人、菅田将暉、清水優、稲川実代子、小松和重、甲本雅裕、光石研、奥貫薫、白石加代子、薬師丸ひろ子　</v>
      </c>
      <c r="N4072" s="2" t="str">
        <f>IFERROR(__xludf.DUMMYFUNCTION("""COMPUTED_VALUE""")," 「越前さんと両思いになります!!」そう宣言するはらちゃん(長瀬智也)だが、越前さん(麻生久美子)は「恋はしない」とノートに書き綴る。それでも諦めないはらちゃんは、越前さんと両思いになるべく奔走する。「自分をもう少し好きになれないと越前さんは恋に進めない。すぐに諦めちゃうし・・・」と、百合子から聞いたはらちゃんは・・・。 ")</f>
        <v> 「越前さんと両思いになります!!」そう宣言するはらちゃん(長瀬智也)だが、越前さん(麻生久美子)は「恋はしない」とノートに書き綴る。それでも諦めないはらちゃんは、越前さんと両思いになるべく奔走する。「自分をもう少し好きになれないと越前さんは恋に進めない。すぐに諦めちゃうし・・・」と、百合子から聞いたはらちゃんは・・・。 </v>
      </c>
      <c r="O4072" s="2"/>
      <c r="P4072" s="1"/>
      <c r="Q4072" s="1"/>
      <c r="R4072" s="1"/>
      <c r="S4072" s="1"/>
      <c r="T4072" s="1"/>
      <c r="U4072" s="1"/>
      <c r="V4072" s="1"/>
      <c r="W4072" s="1"/>
      <c r="X4072" s="1"/>
      <c r="Y4072" s="1"/>
      <c r="Z4072" s="1"/>
      <c r="AA4072" s="1"/>
      <c r="AB4072" s="1"/>
      <c r="AC4072" s="1"/>
      <c r="AD4072" s="1"/>
      <c r="AE4072" s="1"/>
      <c r="AF4072" s="1"/>
      <c r="AG4072" s="1"/>
      <c r="AH4072" s="1"/>
      <c r="AI4072" s="1"/>
      <c r="AJ4072" s="1"/>
      <c r="AK4072" s="1"/>
      <c r="AL4072" s="1"/>
      <c r="AM4072" s="1"/>
      <c r="AN4072" s="1"/>
      <c r="AO4072" s="1"/>
      <c r="AP4072" s="1"/>
      <c r="AQ4072" s="1"/>
      <c r="AR4072" s="1"/>
      <c r="AS4072" s="1"/>
      <c r="AT4072" s="1"/>
      <c r="AU4072" s="1"/>
      <c r="AV4072" s="1"/>
      <c r="AW4072" s="1"/>
      <c r="AX4072" s="1"/>
      <c r="AY4072" s="1"/>
      <c r="AZ4072" s="1"/>
      <c r="BA4072" s="1"/>
      <c r="BB4072" s="1"/>
    </row>
    <row r="4073" ht="204.75" customHeight="1">
      <c r="A4073" s="1">
        <v>3493.0</v>
      </c>
      <c r="B4073" s="2" t="s">
        <v>12067</v>
      </c>
      <c r="C4073" s="2">
        <f>IFERROR(__xludf.DUMMYFUNCTION("split(B4073,""_"")"),1301.0)</f>
        <v>1301</v>
      </c>
      <c r="D4073" s="2" t="str">
        <f>IFERROR(__xludf.DUMMYFUNCTION("""COMPUTED_VALUE"""),"NTV")</f>
        <v>NTV</v>
      </c>
      <c r="E4073" s="2" t="str">
        <f>IFERROR(__xludf.DUMMYFUNCTION("""COMPUTED_VALUE"""),"土21")</f>
        <v>土21</v>
      </c>
      <c r="F4073" s="2" t="s">
        <v>12068</v>
      </c>
      <c r="G4073" s="2" t="s">
        <v>12075</v>
      </c>
      <c r="H4073" s="1">
        <v>4.0</v>
      </c>
      <c r="I4073" s="1" t="s">
        <v>2880</v>
      </c>
      <c r="J4073" s="1" t="s">
        <v>11</v>
      </c>
      <c r="K4073" s="2" t="s">
        <v>12076</v>
      </c>
      <c r="L4073" s="2"/>
      <c r="M4073" s="2" t="str">
        <f>IFERROR(__xludf.DUMMYFUNCTION("split(split(K4073,""【演出"",false),""ほか"",false)"),"長瀬智也、麻生久美子、丸山隆平、忽那汐里、賀来賢人、菅田将暉、清水優、稲川実代子、小松和重、甲本雅裕、光石研、奥貫薫、白石加代子、薬師丸ひろ子　")</f>
        <v>長瀬智也、麻生久美子、丸山隆平、忽那汐里、賀来賢人、菅田将暉、清水優、稲川実代子、小松和重、甲本雅裕、光石研、奥貫薫、白石加代子、薬師丸ひろ子　</v>
      </c>
      <c r="N4073" s="2" t="str">
        <f>IFERROR(__xludf.DUMMYFUNCTION("""COMPUTED_VALUE""")," 自分の住む世界が漫画の中だと考えたはらちゃん(長瀬智也)は、越前さん(麻生久美子)に確認してみようと決意する。一方、現実の世界はもうすぐバレンタイン。そわそわしている田中くん(丸山隆平)や清美(忽那汐里)の中、越前さんも、はらちゃんの事が気になっていた。しかし、なかなか素直になれず、再び現れたはらちゃんをついつい突き放してしまう。そんな中、越前さんが風邪で仕事を早退したと聞いたはらちゃんは・・・ ")</f>
        <v> 自分の住む世界が漫画の中だと考えたはらちゃん(長瀬智也)は、越前さん(麻生久美子)に確認してみようと決意する。一方、現実の世界はもうすぐバレンタイン。そわそわしている田中くん(丸山隆平)や清美(忽那汐里)の中、越前さんも、はらちゃんの事が気になっていた。しかし、なかなか素直になれず、再び現れたはらちゃんをついつい突き放してしまう。そんな中、越前さんが風邪で仕事を早退したと聞いたはらちゃんは・・・ </v>
      </c>
      <c r="O4073" s="2"/>
      <c r="P4073" s="1"/>
      <c r="Q4073" s="1"/>
      <c r="R4073" s="1"/>
      <c r="S4073" s="1"/>
      <c r="T4073" s="1"/>
      <c r="U4073" s="1"/>
      <c r="V4073" s="1"/>
      <c r="W4073" s="1"/>
      <c r="X4073" s="1"/>
      <c r="Y4073" s="1"/>
      <c r="Z4073" s="1"/>
      <c r="AA4073" s="1"/>
      <c r="AB4073" s="1"/>
      <c r="AC4073" s="1"/>
      <c r="AD4073" s="1"/>
      <c r="AE4073" s="1"/>
      <c r="AF4073" s="1"/>
      <c r="AG4073" s="1"/>
      <c r="AH4073" s="1"/>
      <c r="AI4073" s="1"/>
      <c r="AJ4073" s="1"/>
      <c r="AK4073" s="1"/>
      <c r="AL4073" s="1"/>
      <c r="AM4073" s="1"/>
      <c r="AN4073" s="1"/>
      <c r="AO4073" s="1"/>
      <c r="AP4073" s="1"/>
      <c r="AQ4073" s="1"/>
      <c r="AR4073" s="1"/>
      <c r="AS4073" s="1"/>
      <c r="AT4073" s="1"/>
      <c r="AU4073" s="1"/>
      <c r="AV4073" s="1"/>
      <c r="AW4073" s="1"/>
      <c r="AX4073" s="1"/>
      <c r="AY4073" s="1"/>
      <c r="AZ4073" s="1"/>
      <c r="BA4073" s="1"/>
      <c r="BB4073" s="1"/>
    </row>
    <row r="4074" ht="204.75" customHeight="1">
      <c r="A4074" s="1">
        <v>3494.0</v>
      </c>
      <c r="B4074" s="2" t="s">
        <v>12067</v>
      </c>
      <c r="C4074" s="2">
        <f>IFERROR(__xludf.DUMMYFUNCTION("split(B4074,""_"")"),1301.0)</f>
        <v>1301</v>
      </c>
      <c r="D4074" s="2" t="str">
        <f>IFERROR(__xludf.DUMMYFUNCTION("""COMPUTED_VALUE"""),"NTV")</f>
        <v>NTV</v>
      </c>
      <c r="E4074" s="2" t="str">
        <f>IFERROR(__xludf.DUMMYFUNCTION("""COMPUTED_VALUE"""),"土21")</f>
        <v>土21</v>
      </c>
      <c r="F4074" s="2" t="s">
        <v>12068</v>
      </c>
      <c r="G4074" s="2" t="s">
        <v>12077</v>
      </c>
      <c r="H4074" s="1">
        <v>5.0</v>
      </c>
      <c r="I4074" s="1" t="s">
        <v>2884</v>
      </c>
      <c r="J4074" s="1" t="s">
        <v>11</v>
      </c>
      <c r="K4074" s="2" t="s">
        <v>12078</v>
      </c>
      <c r="L4074" s="2"/>
      <c r="M4074" s="2" t="str">
        <f>IFERROR(__xludf.DUMMYFUNCTION("split(split(K4074,""【演出"",false),""ほか"",false)"),"長瀬智也、麻生久美子、丸山隆平、忽那汐里、賀来賢人、菅田将暉、清水優、稲川実代子、小松和重、甲本雅裕、光石研、奥貫薫、白石加代子、薬師丸ひろ子　")</f>
        <v>長瀬智也、麻生久美子、丸山隆平、忽那汐里、賀来賢人、菅田将暉、清水優、稲川実代子、小松和重、甲本雅裕、光石研、奥貫薫、白石加代子、薬師丸ひろ子　</v>
      </c>
      <c r="N4074" s="2" t="str">
        <f>IFERROR(__xludf.DUMMYFUNCTION("""COMPUTED_VALUE""")," ついに、はらちゃん(長瀬智也)が漫画の中の人物だという事を知る越前さん(麻生久美子)。目の前でノートから飛び出したり消えたりするはらちゃんの姿に、戸惑いを隠せない。そんな中、はらちゃんと共に現実世界に飛び出していたマキヒロ(賀来賢人)は、偶然出会った清美(忽那汐里)に一目惚れしてしまう。一方、玉田(光石研)から「キス」というものを教えられたはらちゃんは・・・。 ")</f>
        <v> ついに、はらちゃん(長瀬智也)が漫画の中の人物だという事を知る越前さん(麻生久美子)。目の前でノートから飛び出したり消えたりするはらちゃんの姿に、戸惑いを隠せない。そんな中、はらちゃんと共に現実世界に飛び出していたマキヒロ(賀来賢人)は、偶然出会った清美(忽那汐里)に一目惚れしてしまう。一方、玉田(光石研)から「キス」というものを教えられたはらちゃんは・・・。 </v>
      </c>
      <c r="O4074" s="2"/>
      <c r="P4074" s="1"/>
      <c r="Q4074" s="1"/>
      <c r="R4074" s="1"/>
      <c r="S4074" s="1"/>
      <c r="T4074" s="1"/>
      <c r="U4074" s="1"/>
      <c r="V4074" s="1"/>
      <c r="W4074" s="1"/>
      <c r="X4074" s="1"/>
      <c r="Y4074" s="1"/>
      <c r="Z4074" s="1"/>
      <c r="AA4074" s="1"/>
      <c r="AB4074" s="1"/>
      <c r="AC4074" s="1"/>
      <c r="AD4074" s="1"/>
      <c r="AE4074" s="1"/>
      <c r="AF4074" s="1"/>
      <c r="AG4074" s="1"/>
      <c r="AH4074" s="1"/>
      <c r="AI4074" s="1"/>
      <c r="AJ4074" s="1"/>
      <c r="AK4074" s="1"/>
      <c r="AL4074" s="1"/>
      <c r="AM4074" s="1"/>
      <c r="AN4074" s="1"/>
      <c r="AO4074" s="1"/>
      <c r="AP4074" s="1"/>
      <c r="AQ4074" s="1"/>
      <c r="AR4074" s="1"/>
      <c r="AS4074" s="1"/>
      <c r="AT4074" s="1"/>
      <c r="AU4074" s="1"/>
      <c r="AV4074" s="1"/>
      <c r="AW4074" s="1"/>
      <c r="AX4074" s="1"/>
      <c r="AY4074" s="1"/>
      <c r="AZ4074" s="1"/>
      <c r="BA4074" s="1"/>
      <c r="BB4074" s="1"/>
    </row>
    <row r="4075" ht="204.75" customHeight="1">
      <c r="A4075" s="1">
        <v>3495.0</v>
      </c>
      <c r="B4075" s="2" t="s">
        <v>12067</v>
      </c>
      <c r="C4075" s="2">
        <f>IFERROR(__xludf.DUMMYFUNCTION("split(B4075,""_"")"),1301.0)</f>
        <v>1301</v>
      </c>
      <c r="D4075" s="2" t="str">
        <f>IFERROR(__xludf.DUMMYFUNCTION("""COMPUTED_VALUE"""),"NTV")</f>
        <v>NTV</v>
      </c>
      <c r="E4075" s="2" t="str">
        <f>IFERROR(__xludf.DUMMYFUNCTION("""COMPUTED_VALUE"""),"土21")</f>
        <v>土21</v>
      </c>
      <c r="F4075" s="2" t="s">
        <v>12068</v>
      </c>
      <c r="G4075" s="2" t="s">
        <v>12079</v>
      </c>
      <c r="H4075" s="1">
        <v>6.0</v>
      </c>
      <c r="I4075" s="1" t="s">
        <v>2888</v>
      </c>
      <c r="J4075" s="1" t="s">
        <v>11</v>
      </c>
      <c r="K4075" s="2" t="s">
        <v>12080</v>
      </c>
      <c r="L4075" s="2"/>
      <c r="M4075" s="2" t="str">
        <f>IFERROR(__xludf.DUMMYFUNCTION("split(split(K4075,""【演出"",false),""ほか"",false)"),"長瀬智也、麻生久美子、丸山隆平、忽那汐里、賀来賢人、菅田将暉、清水優、稲川実代子、小松和重、甲本雅裕、光石研、奥貫薫、白石加代子、薬師丸ひろ子　")</f>
        <v>長瀬智也、麻生久美子、丸山隆平、忽那汐里、賀来賢人、菅田将暉、清水優、稲川実代子、小松和重、甲本雅裕、光石研、奥貫薫、白石加代子、薬師丸ひろ子　</v>
      </c>
      <c r="N4075" s="2" t="str">
        <f>IFERROR(__xludf.DUMMYFUNCTION("""COMPUTED_VALUE""")," ついに、はらちゃん(長瀬智也)の事が好きだと告白した越前さん(麻生久美子)。そんな中、清美(忽那汐里)が越前さんのもとへ、「マキヒロ(賀来賢人)に会わせて」と頼みにくる。夜のかまぼこ工場ではらちゃんとマキヒロを呼び出すと、清美はマキヒロと、越前さんははらちゃんと、それぞれにデートへ向かう。そしてそのデート中、はらちゃんは突然、「結婚しましょう、越前さん」と切り出すが・・・。 ")</f>
        <v> ついに、はらちゃん(長瀬智也)の事が好きだと告白した越前さん(麻生久美子)。そんな中、清美(忽那汐里)が越前さんのもとへ、「マキヒロ(賀来賢人)に会わせて」と頼みにくる。夜のかまぼこ工場ではらちゃんとマキヒロを呼び出すと、清美はマキヒロと、越前さんははらちゃんと、それぞれにデートへ向かう。そしてそのデート中、はらちゃんは突然、「結婚しましょう、越前さん」と切り出すが・・・。 </v>
      </c>
      <c r="O4075" s="2"/>
      <c r="P4075" s="1"/>
      <c r="Q4075" s="1"/>
      <c r="R4075" s="1"/>
      <c r="S4075" s="1"/>
      <c r="T4075" s="1"/>
      <c r="U4075" s="1"/>
      <c r="V4075" s="1"/>
      <c r="W4075" s="1"/>
      <c r="X4075" s="1"/>
      <c r="Y4075" s="1"/>
      <c r="Z4075" s="1"/>
      <c r="AA4075" s="1"/>
      <c r="AB4075" s="1"/>
      <c r="AC4075" s="1"/>
      <c r="AD4075" s="1"/>
      <c r="AE4075" s="1"/>
      <c r="AF4075" s="1"/>
      <c r="AG4075" s="1"/>
      <c r="AH4075" s="1"/>
      <c r="AI4075" s="1"/>
      <c r="AJ4075" s="1"/>
      <c r="AK4075" s="1"/>
      <c r="AL4075" s="1"/>
      <c r="AM4075" s="1"/>
      <c r="AN4075" s="1"/>
      <c r="AO4075" s="1"/>
      <c r="AP4075" s="1"/>
      <c r="AQ4075" s="1"/>
      <c r="AR4075" s="1"/>
      <c r="AS4075" s="1"/>
      <c r="AT4075" s="1"/>
      <c r="AU4075" s="1"/>
      <c r="AV4075" s="1"/>
      <c r="AW4075" s="1"/>
      <c r="AX4075" s="1"/>
      <c r="AY4075" s="1"/>
      <c r="AZ4075" s="1"/>
      <c r="BA4075" s="1"/>
      <c r="BB4075" s="1"/>
    </row>
    <row r="4076" ht="204.75" customHeight="1">
      <c r="A4076" s="1">
        <v>3496.0</v>
      </c>
      <c r="B4076" s="2" t="s">
        <v>12067</v>
      </c>
      <c r="C4076" s="2">
        <f>IFERROR(__xludf.DUMMYFUNCTION("split(B4076,""_"")"),1301.0)</f>
        <v>1301</v>
      </c>
      <c r="D4076" s="2" t="str">
        <f>IFERROR(__xludf.DUMMYFUNCTION("""COMPUTED_VALUE"""),"NTV")</f>
        <v>NTV</v>
      </c>
      <c r="E4076" s="2" t="str">
        <f>IFERROR(__xludf.DUMMYFUNCTION("""COMPUTED_VALUE"""),"土21")</f>
        <v>土21</v>
      </c>
      <c r="F4076" s="2" t="s">
        <v>12068</v>
      </c>
      <c r="G4076" s="2" t="s">
        <v>12081</v>
      </c>
      <c r="H4076" s="1">
        <v>7.0</v>
      </c>
      <c r="I4076" s="1" t="s">
        <v>2892</v>
      </c>
      <c r="J4076" s="1" t="s">
        <v>11</v>
      </c>
      <c r="K4076" s="2" t="s">
        <v>12082</v>
      </c>
      <c r="L4076" s="2"/>
      <c r="M4076" s="2" t="str">
        <f>IFERROR(__xludf.DUMMYFUNCTION("split(split(K4076,""【演出"",false),""ほか"",false)"),"長瀬智也、麻生久美子、丸山隆平、忽那汐里、賀来賢人、菅田将暉、清水優、稲川実代子、小松和重、甲本雅裕、光石研、奥貫薫、白石加代子、薬師丸ひろ子　")</f>
        <v>長瀬智也、麻生久美子、丸山隆平、忽那汐里、賀来賢人、菅田将暉、清水優、稲川実代子、小松和重、甲本雅裕、光石研、奥貫薫、白石加代子、薬師丸ひろ子　</v>
      </c>
      <c r="N4076" s="2" t="str">
        <f>IFERROR(__xludf.DUMMYFUNCTION("""COMPUTED_VALUE""")," 「私は、越前さんを苦しめたくありません」そう言い残し、自らノートを開いて消えて行ったはらちゃん(長瀬智也)。そんな中、越前さん(麻生久美子)が机にしまった漫画ノートは、間違えて古紙回収のトラックに積み込まれ、遥か遠くの古紙回収工場へ・・・。遠く知らない場所で、現実の世界に飛び出した、はらちゃんと漫画世界の仲間たち。越前さんのもとへ帰る道中、一人のお父さん(安田顕)と出会ったはらちゃん達は・・・ ")</f>
        <v> 「私は、越前さんを苦しめたくありません」そう言い残し、自らノートを開いて消えて行ったはらちゃん(長瀬智也)。そんな中、越前さん(麻生久美子)が机にしまった漫画ノートは、間違えて古紙回収のトラックに積み込まれ、遥か遠くの古紙回収工場へ・・・。遠く知らない場所で、現実の世界に飛び出した、はらちゃんと漫画世界の仲間たち。越前さんのもとへ帰る道中、一人のお父さん(安田顕)と出会ったはらちゃん達は・・・ </v>
      </c>
      <c r="O4076" s="2"/>
      <c r="P4076" s="1"/>
      <c r="Q4076" s="1"/>
      <c r="R4076" s="1"/>
      <c r="S4076" s="1"/>
      <c r="T4076" s="1"/>
      <c r="U4076" s="1"/>
      <c r="V4076" s="1"/>
      <c r="W4076" s="1"/>
      <c r="X4076" s="1"/>
      <c r="Y4076" s="1"/>
      <c r="Z4076" s="1"/>
      <c r="AA4076" s="1"/>
      <c r="AB4076" s="1"/>
      <c r="AC4076" s="1"/>
      <c r="AD4076" s="1"/>
      <c r="AE4076" s="1"/>
      <c r="AF4076" s="1"/>
      <c r="AG4076" s="1"/>
      <c r="AH4076" s="1"/>
      <c r="AI4076" s="1"/>
      <c r="AJ4076" s="1"/>
      <c r="AK4076" s="1"/>
      <c r="AL4076" s="1"/>
      <c r="AM4076" s="1"/>
      <c r="AN4076" s="1"/>
      <c r="AO4076" s="1"/>
      <c r="AP4076" s="1"/>
      <c r="AQ4076" s="1"/>
      <c r="AR4076" s="1"/>
      <c r="AS4076" s="1"/>
      <c r="AT4076" s="1"/>
      <c r="AU4076" s="1"/>
      <c r="AV4076" s="1"/>
      <c r="AW4076" s="1"/>
      <c r="AX4076" s="1"/>
      <c r="AY4076" s="1"/>
      <c r="AZ4076" s="1"/>
      <c r="BA4076" s="1"/>
      <c r="BB4076" s="1"/>
    </row>
    <row r="4077" ht="204.75" customHeight="1">
      <c r="A4077" s="1">
        <v>3497.0</v>
      </c>
      <c r="B4077" s="2" t="s">
        <v>12067</v>
      </c>
      <c r="C4077" s="2">
        <f>IFERROR(__xludf.DUMMYFUNCTION("split(B4077,""_"")"),1301.0)</f>
        <v>1301</v>
      </c>
      <c r="D4077" s="2" t="str">
        <f>IFERROR(__xludf.DUMMYFUNCTION("""COMPUTED_VALUE"""),"NTV")</f>
        <v>NTV</v>
      </c>
      <c r="E4077" s="2" t="str">
        <f>IFERROR(__xludf.DUMMYFUNCTION("""COMPUTED_VALUE"""),"土21")</f>
        <v>土21</v>
      </c>
      <c r="F4077" s="2" t="s">
        <v>12068</v>
      </c>
      <c r="G4077" s="2" t="s">
        <v>12083</v>
      </c>
      <c r="H4077" s="1">
        <v>8.0</v>
      </c>
      <c r="I4077" s="1" t="s">
        <v>2896</v>
      </c>
      <c r="J4077" s="1" t="s">
        <v>11</v>
      </c>
      <c r="K4077" s="2" t="s">
        <v>12084</v>
      </c>
      <c r="L4077" s="2"/>
      <c r="M4077" s="2" t="str">
        <f>IFERROR(__xludf.DUMMYFUNCTION("split(split(K4077,""【演出"",false),""ほか"",false)"),"長瀬智也、麻生久美子、丸山隆平、忽那汐里、賀来賢人、菅田将暉、清水優、稲川実代子、小松和重、甲本雅裕、光石研、奥貫薫、白石加代子、薬師丸ひろ子　")</f>
        <v>長瀬智也、麻生久美子、丸山隆平、忽那汐里、賀来賢人、菅田将暉、清水優、稲川実代子、小松和重、甲本雅裕、光石研、奥貫薫、白石加代子、薬師丸ひろ子　</v>
      </c>
      <c r="N4077" s="2" t="str">
        <f>IFERROR(__xludf.DUMMYFUNCTION("""COMPUTED_VALUE"""),"「神様を助けにいきますよ!!」現実の世界に留まったはらちゃん(長瀬智也)たちが、突然パートさん達に休まれて困っている越前さん(麻生久美子)を救うため、かまぼこ工場でお手伝い。そしてその帰り、越前さんの家の前には百合子(薬師丸ひろ子)の姿が。  百合子を見たユキ姉(奥貫薫)が呟く。「私は、私たちは、あいつに殺されたんだ・・・」百合子とユキ姉の過去を知ったはらちゃんと越前さんは・・・。")</f>
        <v>「神様を助けにいきますよ!!」現実の世界に留まったはらちゃん(長瀬智也)たちが、突然パートさん達に休まれて困っている越前さん(麻生久美子)を救うため、かまぼこ工場でお手伝い。そしてその帰り、越前さんの家の前には百合子(薬師丸ひろ子)の姿が。  百合子を見たユキ姉(奥貫薫)が呟く。「私は、私たちは、あいつに殺されたんだ・・・」百合子とユキ姉の過去を知ったはらちゃんと越前さんは・・・。</v>
      </c>
      <c r="O4077" s="2"/>
      <c r="P4077" s="1"/>
      <c r="Q4077" s="1"/>
      <c r="R4077" s="1"/>
      <c r="S4077" s="1"/>
      <c r="T4077" s="1"/>
      <c r="U4077" s="1"/>
      <c r="V4077" s="1"/>
      <c r="W4077" s="1"/>
      <c r="X4077" s="1"/>
      <c r="Y4077" s="1"/>
      <c r="Z4077" s="1"/>
      <c r="AA4077" s="1"/>
      <c r="AB4077" s="1"/>
      <c r="AC4077" s="1"/>
      <c r="AD4077" s="1"/>
      <c r="AE4077" s="1"/>
      <c r="AF4077" s="1"/>
      <c r="AG4077" s="1"/>
      <c r="AH4077" s="1"/>
      <c r="AI4077" s="1"/>
      <c r="AJ4077" s="1"/>
      <c r="AK4077" s="1"/>
      <c r="AL4077" s="1"/>
      <c r="AM4077" s="1"/>
      <c r="AN4077" s="1"/>
      <c r="AO4077" s="1"/>
      <c r="AP4077" s="1"/>
      <c r="AQ4077" s="1"/>
      <c r="AR4077" s="1"/>
      <c r="AS4077" s="1"/>
      <c r="AT4077" s="1"/>
      <c r="AU4077" s="1"/>
      <c r="AV4077" s="1"/>
      <c r="AW4077" s="1"/>
      <c r="AX4077" s="1"/>
      <c r="AY4077" s="1"/>
      <c r="AZ4077" s="1"/>
      <c r="BA4077" s="1"/>
      <c r="BB4077" s="1"/>
    </row>
    <row r="4078" ht="204.75" customHeight="1">
      <c r="A4078" s="1">
        <v>3498.0</v>
      </c>
      <c r="B4078" s="2" t="s">
        <v>12067</v>
      </c>
      <c r="C4078" s="2">
        <f>IFERROR(__xludf.DUMMYFUNCTION("split(B4078,""_"")"),1301.0)</f>
        <v>1301</v>
      </c>
      <c r="D4078" s="2" t="str">
        <f>IFERROR(__xludf.DUMMYFUNCTION("""COMPUTED_VALUE"""),"NTV")</f>
        <v>NTV</v>
      </c>
      <c r="E4078" s="2" t="str">
        <f>IFERROR(__xludf.DUMMYFUNCTION("""COMPUTED_VALUE"""),"土21")</f>
        <v>土21</v>
      </c>
      <c r="F4078" s="2" t="s">
        <v>12068</v>
      </c>
      <c r="G4078" s="2" t="s">
        <v>12085</v>
      </c>
      <c r="H4078" s="1">
        <v>9.0</v>
      </c>
      <c r="I4078" s="1" t="s">
        <v>2900</v>
      </c>
      <c r="J4078" s="1" t="s">
        <v>11</v>
      </c>
      <c r="K4078" s="2" t="s">
        <v>12086</v>
      </c>
      <c r="L4078" s="2"/>
      <c r="M4078" s="2" t="str">
        <f>IFERROR(__xludf.DUMMYFUNCTION("split(split(K4078,""【演出"",false),""ほか"",false)"),"長瀬智也、麻生久美子、丸山隆平、忽那汐里、賀来賢人、菅田将暉、清水優、稲川実代子、小松和重、甲本雅裕、光石研、奥貫薫、白石加代子、薬師丸ひろ子　")</f>
        <v>長瀬智也、麻生久美子、丸山隆平、忽那汐里、賀来賢人、菅田将暉、清水優、稲川実代子、小松和重、甲本雅裕、光石研、奥貫薫、白石加代子、薬師丸ひろ子　</v>
      </c>
      <c r="N4078" s="2" t="str">
        <f>IFERROR(__xludf.DUMMYFUNCTION("""COMPUTED_VALUE"""),"現実の世界には、暗く、恐ろしく、悲しい一面もあると知ってしまったはらちゃん(長瀬智也)たち。それでもはらちゃんは、「私はこの世界の人間になりたいです」と主張する。一方、百合子(薬師丸ひろ子)が町を出ようとしていると知った越前さん(麻生久美子)は、百合子を止めようと走り出す。そしてある日、サッカーボールで遊んでいたはらちゃん達は、ボールを悪い人にぶつけてしまい・・・。")</f>
        <v>現実の世界には、暗く、恐ろしく、悲しい一面もあると知ってしまったはらちゃん(長瀬智也)たち。それでもはらちゃんは、「私はこの世界の人間になりたいです」と主張する。一方、百合子(薬師丸ひろ子)が町を出ようとしていると知った越前さん(麻生久美子)は、百合子を止めようと走り出す。そしてある日、サッカーボールで遊んでいたはらちゃん達は、ボールを悪い人にぶつけてしまい・・・。</v>
      </c>
      <c r="O4078" s="2"/>
      <c r="P4078" s="1"/>
      <c r="Q4078" s="1"/>
      <c r="R4078" s="1"/>
      <c r="S4078" s="1"/>
      <c r="T4078" s="1"/>
      <c r="U4078" s="1"/>
      <c r="V4078" s="1"/>
      <c r="W4078" s="1"/>
      <c r="X4078" s="1"/>
      <c r="Y4078" s="1"/>
      <c r="Z4078" s="1"/>
      <c r="AA4078" s="1"/>
      <c r="AB4078" s="1"/>
      <c r="AC4078" s="1"/>
      <c r="AD4078" s="1"/>
      <c r="AE4078" s="1"/>
      <c r="AF4078" s="1"/>
      <c r="AG4078" s="1"/>
      <c r="AH4078" s="1"/>
      <c r="AI4078" s="1"/>
      <c r="AJ4078" s="1"/>
      <c r="AK4078" s="1"/>
      <c r="AL4078" s="1"/>
      <c r="AM4078" s="1"/>
      <c r="AN4078" s="1"/>
      <c r="AO4078" s="1"/>
      <c r="AP4078" s="1"/>
      <c r="AQ4078" s="1"/>
      <c r="AR4078" s="1"/>
      <c r="AS4078" s="1"/>
      <c r="AT4078" s="1"/>
      <c r="AU4078" s="1"/>
      <c r="AV4078" s="1"/>
      <c r="AW4078" s="1"/>
      <c r="AX4078" s="1"/>
      <c r="AY4078" s="1"/>
      <c r="AZ4078" s="1"/>
      <c r="BA4078" s="1"/>
      <c r="BB4078" s="1"/>
    </row>
    <row r="4079" ht="204.75" customHeight="1">
      <c r="A4079" s="1">
        <v>3499.0</v>
      </c>
      <c r="B4079" s="2" t="s">
        <v>12067</v>
      </c>
      <c r="C4079" s="2">
        <f>IFERROR(__xludf.DUMMYFUNCTION("split(B4079,""_"")"),1301.0)</f>
        <v>1301</v>
      </c>
      <c r="D4079" s="2" t="str">
        <f>IFERROR(__xludf.DUMMYFUNCTION("""COMPUTED_VALUE"""),"NTV")</f>
        <v>NTV</v>
      </c>
      <c r="E4079" s="2" t="str">
        <f>IFERROR(__xludf.DUMMYFUNCTION("""COMPUTED_VALUE"""),"土21")</f>
        <v>土21</v>
      </c>
      <c r="F4079" s="2" t="s">
        <v>12068</v>
      </c>
      <c r="G4079" s="2" t="s">
        <v>12087</v>
      </c>
      <c r="H4079" s="1">
        <v>10.0</v>
      </c>
      <c r="I4079" s="1" t="s">
        <v>37</v>
      </c>
      <c r="J4079" s="1" t="s">
        <v>11</v>
      </c>
      <c r="K4079" s="2" t="s">
        <v>12088</v>
      </c>
      <c r="L4079" s="2"/>
      <c r="M4079" s="2" t="str">
        <f>IFERROR(__xludf.DUMMYFUNCTION("split(split(K4079,""【演出"",false),""ほか"",false)"),"長瀬智也、麻生久美子、丸山隆平、忽那汐里、賀来賢人、菅田将暉、清水優、稲川実代子、小松和重、甲本雅裕、光石研、奥貫薫、白石加代子、薬師丸ひろ子　")</f>
        <v>長瀬智也、麻生久美子、丸山隆平、忽那汐里、賀来賢人、菅田将暉、清水優、稲川実代子、小松和重、甲本雅裕、光石研、奥貫薫、白石加代子、薬師丸ひろ子　</v>
      </c>
      <c r="N4079" s="2" t="str">
        <f>IFERROR(__xludf.DUMMYFUNCTION("""COMPUTED_VALUE"""),"はらちゃん(長瀬智也)たちを漫画の世界へ帰し、自分自身も漫画の世界へ行ってしまった越前さん(麻生久美子)。心配する漫画世界の面々に、越前さんは「私なんかいなくても、あの世界は何も変わらないんです」と、悲しげに微笑む。はらちゃんは、「そんな越前さんは好きではありません」と、自分の世界と自分自身を好きになろうとしない越前さんを現実の世界に連れ帰そうとする。果たして、二人の恋の行方は・・・?")</f>
        <v>はらちゃん(長瀬智也)たちを漫画の世界へ帰し、自分自身も漫画の世界へ行ってしまった越前さん(麻生久美子)。心配する漫画世界の面々に、越前さんは「私なんかいなくても、あの世界は何も変わらないんです」と、悲しげに微笑む。はらちゃんは、「そんな越前さんは好きではありません」と、自分の世界と自分自身を好きになろうとしない越前さんを現実の世界に連れ帰そうとする。果たして、二人の恋の行方は・・・?</v>
      </c>
      <c r="O4079" s="2"/>
      <c r="P4079" s="1"/>
      <c r="Q4079" s="1"/>
      <c r="R4079" s="1"/>
      <c r="S4079" s="1"/>
      <c r="T4079" s="1"/>
      <c r="U4079" s="1"/>
      <c r="V4079" s="1"/>
      <c r="W4079" s="1"/>
      <c r="X4079" s="1"/>
      <c r="Y4079" s="1"/>
      <c r="Z4079" s="1"/>
      <c r="AA4079" s="1"/>
      <c r="AB4079" s="1"/>
      <c r="AC4079" s="1"/>
      <c r="AD4079" s="1"/>
      <c r="AE4079" s="1"/>
      <c r="AF4079" s="1"/>
      <c r="AG4079" s="1"/>
      <c r="AH4079" s="1"/>
      <c r="AI4079" s="1"/>
      <c r="AJ4079" s="1"/>
      <c r="AK4079" s="1"/>
      <c r="AL4079" s="1"/>
      <c r="AM4079" s="1"/>
      <c r="AN4079" s="1"/>
      <c r="AO4079" s="1"/>
      <c r="AP4079" s="1"/>
      <c r="AQ4079" s="1"/>
      <c r="AR4079" s="1"/>
      <c r="AS4079" s="1"/>
      <c r="AT4079" s="1"/>
      <c r="AU4079" s="1"/>
      <c r="AV4079" s="1"/>
      <c r="AW4079" s="1"/>
      <c r="AX4079" s="1"/>
      <c r="AY4079" s="1"/>
      <c r="AZ4079" s="1"/>
      <c r="BA4079" s="1"/>
      <c r="BB4079" s="1"/>
    </row>
    <row r="4080" ht="204.75" customHeight="1">
      <c r="A4080" s="1">
        <v>3563.0</v>
      </c>
      <c r="B4080" s="2" t="s">
        <v>12089</v>
      </c>
      <c r="C4080" s="2">
        <f>IFERROR(__xludf.DUMMYFUNCTION("split(B4080,""_"")"),1210.0)</f>
        <v>1210</v>
      </c>
      <c r="D4080" s="2" t="str">
        <f>IFERROR(__xludf.DUMMYFUNCTION("""COMPUTED_VALUE"""),"NTV")</f>
        <v>NTV</v>
      </c>
      <c r="E4080" s="2" t="str">
        <f>IFERROR(__xludf.DUMMYFUNCTION("""COMPUTED_VALUE"""),"水22")</f>
        <v>水22</v>
      </c>
      <c r="F4080" s="2" t="s">
        <v>12090</v>
      </c>
      <c r="G4080" s="2" t="s">
        <v>12091</v>
      </c>
      <c r="H4080" s="1">
        <v>1.0</v>
      </c>
      <c r="I4080" s="1" t="s">
        <v>2868</v>
      </c>
      <c r="J4080" s="1" t="s">
        <v>82</v>
      </c>
      <c r="K4080" s="2" t="s">
        <v>12092</v>
      </c>
      <c r="L4080" s="2"/>
      <c r="M4080" s="2" t="str">
        <f>IFERROR(__xludf.DUMMYFUNCTION("split(split(K4080,""【演出"",false),""ほか"",false)"),"武井咲、三浦翔平、比嘉愛未、市川由衣、森カンナ、青木隆治、渋谷飛鳥、渡辺邦斗、内藤理沙、ローランス由美、志村玲那、ジョン・ムウェルテ・ムルアカ、酒井彩音、堀内敬子、温水洋一、塚本高史、渡部篤郎香川県の琴平から父親を探して単身、上京してきたポジティブ&amp;KY娘の佐伯麗(うらら)(武井咲)。上京して早々、バックに入れていた全財産を盗まれてしまう。上京する深夜バスで出会った玉川大輔(三浦翔平)を疑うも、彼の目的は単なるナンパで疑いの余地はなかった。途方にくれる麗は下北沢で知り合った綺麗な女性(比嘉愛未)にあやしい"&amp;"男(渡部篤郎)を紹介される。その男こそが15年振りに再会した麗の父親であった。")</f>
        <v>武井咲、三浦翔平、比嘉愛未、市川由衣、森カンナ、青木隆治、渋谷飛鳥、渡辺邦斗、内藤理沙、ローランス由美、志村玲那、ジョン・ムウェルテ・ムルアカ、酒井彩音、堀内敬子、温水洋一、塚本高史、渡部篤郎香川県の琴平から父親を探して単身、上京してきたポジティブ&amp;KY娘の佐伯麗(うらら)(武井咲)。上京して早々、バックに入れていた全財産を盗まれてしまう。上京する深夜バスで出会った玉川大輔(三浦翔平)を疑うも、彼の目的は単なるナンパで疑いの余地はなかった。途方にくれる麗は下北沢で知り合った綺麗な女性(比嘉愛未)にあやしい男(渡部篤郎)を紹介される。その男こそが15年振りに再会した麗の父親であった。</v>
      </c>
      <c r="N4080" s="2"/>
      <c r="O4080" s="2"/>
      <c r="P4080" s="1"/>
      <c r="Q4080" s="1"/>
      <c r="R4080" s="1"/>
      <c r="S4080" s="1"/>
      <c r="T4080" s="1"/>
      <c r="U4080" s="1"/>
      <c r="V4080" s="1"/>
      <c r="W4080" s="1"/>
      <c r="X4080" s="1"/>
      <c r="Y4080" s="1"/>
      <c r="Z4080" s="1"/>
      <c r="AA4080" s="1"/>
      <c r="AB4080" s="1"/>
      <c r="AC4080" s="1"/>
      <c r="AD4080" s="1"/>
      <c r="AE4080" s="1"/>
      <c r="AF4080" s="1"/>
      <c r="AG4080" s="1"/>
      <c r="AH4080" s="1"/>
      <c r="AI4080" s="1"/>
      <c r="AJ4080" s="1"/>
      <c r="AK4080" s="1"/>
      <c r="AL4080" s="1"/>
      <c r="AM4080" s="1"/>
      <c r="AN4080" s="1"/>
      <c r="AO4080" s="1"/>
      <c r="AP4080" s="1"/>
      <c r="AQ4080" s="1"/>
      <c r="AR4080" s="1"/>
      <c r="AS4080" s="1"/>
      <c r="AT4080" s="1"/>
      <c r="AU4080" s="1"/>
      <c r="AV4080" s="1"/>
      <c r="AW4080" s="1"/>
      <c r="AX4080" s="1"/>
      <c r="AY4080" s="1"/>
      <c r="AZ4080" s="1"/>
      <c r="BA4080" s="1"/>
      <c r="BB4080" s="1"/>
    </row>
    <row r="4081" ht="204.75" customHeight="1">
      <c r="A4081" s="1">
        <v>3564.0</v>
      </c>
      <c r="B4081" s="2" t="s">
        <v>12089</v>
      </c>
      <c r="C4081" s="2">
        <f>IFERROR(__xludf.DUMMYFUNCTION("split(B4081,""_"")"),1210.0)</f>
        <v>1210</v>
      </c>
      <c r="D4081" s="2" t="str">
        <f>IFERROR(__xludf.DUMMYFUNCTION("""COMPUTED_VALUE"""),"NTV")</f>
        <v>NTV</v>
      </c>
      <c r="E4081" s="2" t="str">
        <f>IFERROR(__xludf.DUMMYFUNCTION("""COMPUTED_VALUE"""),"水22")</f>
        <v>水22</v>
      </c>
      <c r="F4081" s="2" t="s">
        <v>12090</v>
      </c>
      <c r="G4081" s="2" t="s">
        <v>12093</v>
      </c>
      <c r="H4081" s="1">
        <v>2.0</v>
      </c>
      <c r="I4081" s="1" t="s">
        <v>2872</v>
      </c>
      <c r="J4081" s="1" t="s">
        <v>86</v>
      </c>
      <c r="K4081" s="2" t="s">
        <v>12094</v>
      </c>
      <c r="L4081" s="2"/>
      <c r="M4081" s="2" t="str">
        <f>IFERROR(__xludf.DUMMYFUNCTION("split(split(K4081,""【演出"",false),""ほか"",false)"),"武井咲、三浦翔平、比嘉愛未、市川由衣、森カンナ、青木隆治、渋谷飛鳥、渡辺邦斗、内藤理沙、ローランス由美、志村玲那、酒井彩音、堀内敬子、温水洋一、塚本高史、渡部篤郎四国から上京してきたポジティブ&amp;KY娘の麗(うらら、武井咲)だが、15年振りに再会した父・卓也(渡部篤郎)には複数の女の影があった。それにどの女もまともな交際相手とは思えない間柄。苛立つばかりの麗。そんな折、卓也のマンションに気安く出入りするファッションモデルの華子(比嘉愛未)が、仕事で箱根一泊旅行をすることを聞きつける。麗はなんとしても華子の素"&amp;"性と本性を暴いてやろうと尾行を始めるのだがーー。")</f>
        <v>武井咲、三浦翔平、比嘉愛未、市川由衣、森カンナ、青木隆治、渋谷飛鳥、渡辺邦斗、内藤理沙、ローランス由美、志村玲那、酒井彩音、堀内敬子、温水洋一、塚本高史、渡部篤郎四国から上京してきたポジティブ&amp;KY娘の麗(うらら、武井咲)だが、15年振りに再会した父・卓也(渡部篤郎)には複数の女の影があった。それにどの女もまともな交際相手とは思えない間柄。苛立つばかりの麗。そんな折、卓也のマンションに気安く出入りするファッションモデルの華子(比嘉愛未)が、仕事で箱根一泊旅行をすることを聞きつける。麗はなんとしても華子の素性と本性を暴いてやろうと尾行を始めるのだがーー。</v>
      </c>
      <c r="N4081" s="2"/>
      <c r="O4081" s="2"/>
      <c r="P4081" s="1"/>
      <c r="Q4081" s="1"/>
      <c r="R4081" s="1"/>
      <c r="S4081" s="1"/>
      <c r="T4081" s="1"/>
      <c r="U4081" s="1"/>
      <c r="V4081" s="1"/>
      <c r="W4081" s="1"/>
      <c r="X4081" s="1"/>
      <c r="Y4081" s="1"/>
      <c r="Z4081" s="1"/>
      <c r="AA4081" s="1"/>
      <c r="AB4081" s="1"/>
      <c r="AC4081" s="1"/>
      <c r="AD4081" s="1"/>
      <c r="AE4081" s="1"/>
      <c r="AF4081" s="1"/>
      <c r="AG4081" s="1"/>
      <c r="AH4081" s="1"/>
      <c r="AI4081" s="1"/>
      <c r="AJ4081" s="1"/>
      <c r="AK4081" s="1"/>
      <c r="AL4081" s="1"/>
      <c r="AM4081" s="1"/>
      <c r="AN4081" s="1"/>
      <c r="AO4081" s="1"/>
      <c r="AP4081" s="1"/>
      <c r="AQ4081" s="1"/>
      <c r="AR4081" s="1"/>
      <c r="AS4081" s="1"/>
      <c r="AT4081" s="1"/>
      <c r="AU4081" s="1"/>
      <c r="AV4081" s="1"/>
      <c r="AW4081" s="1"/>
      <c r="AX4081" s="1"/>
      <c r="AY4081" s="1"/>
      <c r="AZ4081" s="1"/>
      <c r="BA4081" s="1"/>
      <c r="BB4081" s="1"/>
    </row>
    <row r="4082" ht="204.75" customHeight="1">
      <c r="A4082" s="1">
        <v>3565.0</v>
      </c>
      <c r="B4082" s="2" t="s">
        <v>12089</v>
      </c>
      <c r="C4082" s="2">
        <f>IFERROR(__xludf.DUMMYFUNCTION("split(B4082,""_"")"),1210.0)</f>
        <v>1210</v>
      </c>
      <c r="D4082" s="2" t="str">
        <f>IFERROR(__xludf.DUMMYFUNCTION("""COMPUTED_VALUE"""),"NTV")</f>
        <v>NTV</v>
      </c>
      <c r="E4082" s="2" t="str">
        <f>IFERROR(__xludf.DUMMYFUNCTION("""COMPUTED_VALUE"""),"水22")</f>
        <v>水22</v>
      </c>
      <c r="F4082" s="2" t="s">
        <v>12090</v>
      </c>
      <c r="G4082" s="2" t="s">
        <v>12095</v>
      </c>
      <c r="H4082" s="1">
        <v>3.0</v>
      </c>
      <c r="I4082" s="1" t="s">
        <v>2876</v>
      </c>
      <c r="J4082" s="1" t="s">
        <v>86</v>
      </c>
      <c r="K4082" s="2" t="s">
        <v>12096</v>
      </c>
      <c r="L4082" s="2"/>
      <c r="M4082" s="2" t="str">
        <f>IFERROR(__xludf.DUMMYFUNCTION("split(split(K4082,""【演出"",false),""ほか"",false)"),"武井咲、三浦翔平、比嘉愛未、市川由衣、森カンナ、青木隆治、渋谷飛鳥、渡辺邦斗、内藤理沙、ローランス由美、志村玲那、酒井彩音、堀内敬子、温水洋一、塚本高史、渡部篤郎麗(うらら、武井咲)は父・卓也(渡部篤郎)の第二の恋人・冬(市川由衣)を調べ、冬の息子・涼太が卓也の子ではないかとの推理に行き着く。さらに麗は卓也が公園でブランコに乗った涼太の背中を押してやる場面を目撃する。それは幼い自分が父・卓也にしてもらった記憶と同じ光景だった。マンションに戻った麗は卓也に「涼太くんと冬さんと、親子三人で仲良く暮らしてくださ"&amp;"い」と言い残して出て行く。麗の空回り?それともーー?")</f>
        <v>武井咲、三浦翔平、比嘉愛未、市川由衣、森カンナ、青木隆治、渋谷飛鳥、渡辺邦斗、内藤理沙、ローランス由美、志村玲那、酒井彩音、堀内敬子、温水洋一、塚本高史、渡部篤郎麗(うらら、武井咲)は父・卓也(渡部篤郎)の第二の恋人・冬(市川由衣)を調べ、冬の息子・涼太が卓也の子ではないかとの推理に行き着く。さらに麗は卓也が公園でブランコに乗った涼太の背中を押してやる場面を目撃する。それは幼い自分が父・卓也にしてもらった記憶と同じ光景だった。マンションに戻った麗は卓也に「涼太くんと冬さんと、親子三人で仲良く暮らしてください」と言い残して出て行く。麗の空回り?それともーー?</v>
      </c>
      <c r="N4082" s="2"/>
      <c r="O4082" s="2"/>
      <c r="P4082" s="1"/>
      <c r="Q4082" s="1"/>
      <c r="R4082" s="1"/>
      <c r="S4082" s="1"/>
      <c r="T4082" s="1"/>
      <c r="U4082" s="1"/>
      <c r="V4082" s="1"/>
      <c r="W4082" s="1"/>
      <c r="X4082" s="1"/>
      <c r="Y4082" s="1"/>
      <c r="Z4082" s="1"/>
      <c r="AA4082" s="1"/>
      <c r="AB4082" s="1"/>
      <c r="AC4082" s="1"/>
      <c r="AD4082" s="1"/>
      <c r="AE4082" s="1"/>
      <c r="AF4082" s="1"/>
      <c r="AG4082" s="1"/>
      <c r="AH4082" s="1"/>
      <c r="AI4082" s="1"/>
      <c r="AJ4082" s="1"/>
      <c r="AK4082" s="1"/>
      <c r="AL4082" s="1"/>
      <c r="AM4082" s="1"/>
      <c r="AN4082" s="1"/>
      <c r="AO4082" s="1"/>
      <c r="AP4082" s="1"/>
      <c r="AQ4082" s="1"/>
      <c r="AR4082" s="1"/>
      <c r="AS4082" s="1"/>
      <c r="AT4082" s="1"/>
      <c r="AU4082" s="1"/>
      <c r="AV4082" s="1"/>
      <c r="AW4082" s="1"/>
      <c r="AX4082" s="1"/>
      <c r="AY4082" s="1"/>
      <c r="AZ4082" s="1"/>
      <c r="BA4082" s="1"/>
      <c r="BB4082" s="1"/>
    </row>
    <row r="4083" ht="204.75" customHeight="1">
      <c r="A4083" s="1">
        <v>3566.0</v>
      </c>
      <c r="B4083" s="2" t="s">
        <v>12089</v>
      </c>
      <c r="C4083" s="2">
        <f>IFERROR(__xludf.DUMMYFUNCTION("split(B4083,""_"")"),1210.0)</f>
        <v>1210</v>
      </c>
      <c r="D4083" s="2" t="str">
        <f>IFERROR(__xludf.DUMMYFUNCTION("""COMPUTED_VALUE"""),"NTV")</f>
        <v>NTV</v>
      </c>
      <c r="E4083" s="2" t="str">
        <f>IFERROR(__xludf.DUMMYFUNCTION("""COMPUTED_VALUE"""),"水22")</f>
        <v>水22</v>
      </c>
      <c r="F4083" s="2" t="s">
        <v>12090</v>
      </c>
      <c r="G4083" s="2" t="s">
        <v>12097</v>
      </c>
      <c r="H4083" s="1">
        <v>4.0</v>
      </c>
      <c r="I4083" s="1" t="s">
        <v>2880</v>
      </c>
      <c r="J4083" s="1" t="s">
        <v>86</v>
      </c>
      <c r="K4083" s="2" t="s">
        <v>12098</v>
      </c>
      <c r="L4083" s="2"/>
      <c r="M4083" s="2" t="str">
        <f>IFERROR(__xludf.DUMMYFUNCTION("split(split(K4083,""【演出"",false),""ほか"",false)"),"武井咲、三浦翔平、比嘉愛未、市川由衣、森カンナ、青木隆治、渋谷飛鳥、渡辺邦斗、内藤理沙、ローランス由美、志村玲那、酒井彩音、堀内敬子、温水洋一、塚本高史、渡部篤郎卓也(渡部篤郎)との父娘生活を決め込んだ麗(うらら、武井咲)は、卓也の浪費生活を矯正しようと企み、さっそく家政婦をクビにし、節約生活を開始する。さらに卓也が超高級クラブシャコンヌに通うのは、ママ・はるか(森カンナ)に騙され貢がされているに違いないと踏んだ麗は、再びシャコンヌにバイトとして潜り込む。そこで麗が目撃したのは、300万円の入った封筒をは"&amp;"るかに手渡す卓也の姿だった……。")</f>
        <v>武井咲、三浦翔平、比嘉愛未、市川由衣、森カンナ、青木隆治、渋谷飛鳥、渡辺邦斗、内藤理沙、ローランス由美、志村玲那、酒井彩音、堀内敬子、温水洋一、塚本高史、渡部篤郎卓也(渡部篤郎)との父娘生活を決め込んだ麗(うらら、武井咲)は、卓也の浪費生活を矯正しようと企み、さっそく家政婦をクビにし、節約生活を開始する。さらに卓也が超高級クラブシャコンヌに通うのは、ママ・はるか(森カンナ)に騙され貢がされているに違いないと踏んだ麗は、再びシャコンヌにバイトとして潜り込む。そこで麗が目撃したのは、300万円の入った封筒をはるかに手渡す卓也の姿だった……。</v>
      </c>
      <c r="N4083" s="2"/>
      <c r="O4083" s="2"/>
      <c r="P4083" s="1"/>
      <c r="Q4083" s="1"/>
      <c r="R4083" s="1"/>
      <c r="S4083" s="1"/>
      <c r="T4083" s="1"/>
      <c r="U4083" s="1"/>
      <c r="V4083" s="1"/>
      <c r="W4083" s="1"/>
      <c r="X4083" s="1"/>
      <c r="Y4083" s="1"/>
      <c r="Z4083" s="1"/>
      <c r="AA4083" s="1"/>
      <c r="AB4083" s="1"/>
      <c r="AC4083" s="1"/>
      <c r="AD4083" s="1"/>
      <c r="AE4083" s="1"/>
      <c r="AF4083" s="1"/>
      <c r="AG4083" s="1"/>
      <c r="AH4083" s="1"/>
      <c r="AI4083" s="1"/>
      <c r="AJ4083" s="1"/>
      <c r="AK4083" s="1"/>
      <c r="AL4083" s="1"/>
      <c r="AM4083" s="1"/>
      <c r="AN4083" s="1"/>
      <c r="AO4083" s="1"/>
      <c r="AP4083" s="1"/>
      <c r="AQ4083" s="1"/>
      <c r="AR4083" s="1"/>
      <c r="AS4083" s="1"/>
      <c r="AT4083" s="1"/>
      <c r="AU4083" s="1"/>
      <c r="AV4083" s="1"/>
      <c r="AW4083" s="1"/>
      <c r="AX4083" s="1"/>
      <c r="AY4083" s="1"/>
      <c r="AZ4083" s="1"/>
      <c r="BA4083" s="1"/>
      <c r="BB4083" s="1"/>
    </row>
    <row r="4084" ht="204.75" customHeight="1">
      <c r="A4084" s="1">
        <v>3567.0</v>
      </c>
      <c r="B4084" s="2" t="s">
        <v>12089</v>
      </c>
      <c r="C4084" s="2">
        <f>IFERROR(__xludf.DUMMYFUNCTION("split(B4084,""_"")"),1210.0)</f>
        <v>1210</v>
      </c>
      <c r="D4084" s="2" t="str">
        <f>IFERROR(__xludf.DUMMYFUNCTION("""COMPUTED_VALUE"""),"NTV")</f>
        <v>NTV</v>
      </c>
      <c r="E4084" s="2" t="str">
        <f>IFERROR(__xludf.DUMMYFUNCTION("""COMPUTED_VALUE"""),"水22")</f>
        <v>水22</v>
      </c>
      <c r="F4084" s="2" t="s">
        <v>12090</v>
      </c>
      <c r="G4084" s="2" t="s">
        <v>12099</v>
      </c>
      <c r="H4084" s="1">
        <v>5.0</v>
      </c>
      <c r="I4084" s="1" t="s">
        <v>2884</v>
      </c>
      <c r="J4084" s="1" t="s">
        <v>86</v>
      </c>
      <c r="K4084" s="2" t="s">
        <v>12100</v>
      </c>
      <c r="L4084" s="2"/>
      <c r="M4084" s="2" t="str">
        <f>IFERROR(__xludf.DUMMYFUNCTION("split(split(K4084,""【演出"",false),""ほか"",false)"),"武井咲、三浦翔平、比嘉愛未、市川由衣、森カンナ、青木隆治、渋谷飛鳥、渡辺邦斗、内藤理沙、ローランス由美、志村玲那、酒井彩音、堀内敬子、温水洋一、塚本高史、渡部篤郎麗(武井咲)の卓也(渡部篤郎)の改造計画は仕上げの段階に。卓也の恋人である3人・華子(比嘉愛未)冬(市川由衣)はるか(森カンナ)をマンションに呼び出した上で、卓也には「本命を決めろ」と迫る。今の生活を続けたい卓也は大慌て。なんとか追い返す事に成功するが、華子からは「しばらく会わない」と宣言されてしまう。「これ以上余計なことをするな」と卓也は激怒。"&amp;"麗も自分の気持ちを理解しない父が許せない。そこでー")</f>
        <v>武井咲、三浦翔平、比嘉愛未、市川由衣、森カンナ、青木隆治、渋谷飛鳥、渡辺邦斗、内藤理沙、ローランス由美、志村玲那、酒井彩音、堀内敬子、温水洋一、塚本高史、渡部篤郎麗(武井咲)の卓也(渡部篤郎)の改造計画は仕上げの段階に。卓也の恋人である3人・華子(比嘉愛未)冬(市川由衣)はるか(森カンナ)をマンションに呼び出した上で、卓也には「本命を決めろ」と迫る。今の生活を続けたい卓也は大慌て。なんとか追い返す事に成功するが、華子からは「しばらく会わない」と宣言されてしまう。「これ以上余計なことをするな」と卓也は激怒。麗も自分の気持ちを理解しない父が許せない。そこでー</v>
      </c>
      <c r="N4084" s="2"/>
      <c r="O4084" s="2"/>
      <c r="P4084" s="1"/>
      <c r="Q4084" s="1"/>
      <c r="R4084" s="1"/>
      <c r="S4084" s="1"/>
      <c r="T4084" s="1"/>
      <c r="U4084" s="1"/>
      <c r="V4084" s="1"/>
      <c r="W4084" s="1"/>
      <c r="X4084" s="1"/>
      <c r="Y4084" s="1"/>
      <c r="Z4084" s="1"/>
      <c r="AA4084" s="1"/>
      <c r="AB4084" s="1"/>
      <c r="AC4084" s="1"/>
      <c r="AD4084" s="1"/>
      <c r="AE4084" s="1"/>
      <c r="AF4084" s="1"/>
      <c r="AG4084" s="1"/>
      <c r="AH4084" s="1"/>
      <c r="AI4084" s="1"/>
      <c r="AJ4084" s="1"/>
      <c r="AK4084" s="1"/>
      <c r="AL4084" s="1"/>
      <c r="AM4084" s="1"/>
      <c r="AN4084" s="1"/>
      <c r="AO4084" s="1"/>
      <c r="AP4084" s="1"/>
      <c r="AQ4084" s="1"/>
      <c r="AR4084" s="1"/>
      <c r="AS4084" s="1"/>
      <c r="AT4084" s="1"/>
      <c r="AU4084" s="1"/>
      <c r="AV4084" s="1"/>
      <c r="AW4084" s="1"/>
      <c r="AX4084" s="1"/>
      <c r="AY4084" s="1"/>
      <c r="AZ4084" s="1"/>
      <c r="BA4084" s="1"/>
      <c r="BB4084" s="1"/>
    </row>
    <row r="4085" ht="204.75" customHeight="1">
      <c r="A4085" s="1">
        <v>3568.0</v>
      </c>
      <c r="B4085" s="2" t="s">
        <v>12089</v>
      </c>
      <c r="C4085" s="2">
        <f>IFERROR(__xludf.DUMMYFUNCTION("split(B4085,""_"")"),1210.0)</f>
        <v>1210</v>
      </c>
      <c r="D4085" s="2" t="str">
        <f>IFERROR(__xludf.DUMMYFUNCTION("""COMPUTED_VALUE"""),"NTV")</f>
        <v>NTV</v>
      </c>
      <c r="E4085" s="2" t="str">
        <f>IFERROR(__xludf.DUMMYFUNCTION("""COMPUTED_VALUE"""),"水22")</f>
        <v>水22</v>
      </c>
      <c r="F4085" s="2" t="s">
        <v>12090</v>
      </c>
      <c r="G4085" s="2" t="s">
        <v>12101</v>
      </c>
      <c r="H4085" s="1">
        <v>6.0</v>
      </c>
      <c r="I4085" s="1" t="s">
        <v>2888</v>
      </c>
      <c r="J4085" s="1" t="s">
        <v>86</v>
      </c>
      <c r="K4085" s="2" t="s">
        <v>12102</v>
      </c>
      <c r="L4085" s="2"/>
      <c r="M4085" s="2" t="str">
        <f>IFERROR(__xludf.DUMMYFUNCTION("split(split(K4085,""【演出"",false),""ほか"",false)"),"武井咲、三浦翔平、比嘉愛未、市川由衣、森カンナ、青木隆治、渋谷飛鳥、渡辺邦斗、内藤理沙、ローランス由美、志村玲那、酒井彩音、平愛梨、堀内敬子、温水洋一、塚本高史、渡部篤郎、")</f>
        <v>武井咲、三浦翔平、比嘉愛未、市川由衣、森カンナ、青木隆治、渋谷飛鳥、渡辺邦斗、内藤理沙、ローランス由美、志村玲那、酒井彩音、平愛梨、堀内敬子、温水洋一、塚本高史、渡部篤郎、</v>
      </c>
      <c r="N4085" s="2" t="str">
        <f>IFERROR(__xludf.DUMMYFUNCTION("""COMPUTED_VALUE"""),"恋愛にフラフラしていた大輔(三浦翔平)が、一人の女性に決めた。その姿を見た麗(うらら、武井咲)は「やっぱりお父さんも一人に決めるべき!」と卓也(渡部篤郎)に決心を迫る。だが卓也は相変わらず煮え切らない。麗は唯一、合い鍵を持っている華子(比嘉愛未)に卓也が特別な感情を持っているのではないか?と考える。「よし、華子さんとの仲を取り持つぞ!」と、突っ走り出す麗だったが華子は田舎に帰る決心をしていてーー。")</f>
        <v>恋愛にフラフラしていた大輔(三浦翔平)が、一人の女性に決めた。その姿を見た麗(うらら、武井咲)は「やっぱりお父さんも一人に決めるべき!」と卓也(渡部篤郎)に決心を迫る。だが卓也は相変わらず煮え切らない。麗は唯一、合い鍵を持っている華子(比嘉愛未)に卓也が特別な感情を持っているのではないか?と考える。「よし、華子さんとの仲を取り持つぞ!」と、突っ走り出す麗だったが華子は田舎に帰る決心をしていてーー。</v>
      </c>
      <c r="O4085" s="2"/>
      <c r="P4085" s="1"/>
      <c r="Q4085" s="1"/>
      <c r="R4085" s="1"/>
      <c r="S4085" s="1"/>
      <c r="T4085" s="1"/>
      <c r="U4085" s="1"/>
      <c r="V4085" s="1"/>
      <c r="W4085" s="1"/>
      <c r="X4085" s="1"/>
      <c r="Y4085" s="1"/>
      <c r="Z4085" s="1"/>
      <c r="AA4085" s="1"/>
      <c r="AB4085" s="1"/>
      <c r="AC4085" s="1"/>
      <c r="AD4085" s="1"/>
      <c r="AE4085" s="1"/>
      <c r="AF4085" s="1"/>
      <c r="AG4085" s="1"/>
      <c r="AH4085" s="1"/>
      <c r="AI4085" s="1"/>
      <c r="AJ4085" s="1"/>
      <c r="AK4085" s="1"/>
      <c r="AL4085" s="1"/>
      <c r="AM4085" s="1"/>
      <c r="AN4085" s="1"/>
      <c r="AO4085" s="1"/>
      <c r="AP4085" s="1"/>
      <c r="AQ4085" s="1"/>
      <c r="AR4085" s="1"/>
      <c r="AS4085" s="1"/>
      <c r="AT4085" s="1"/>
      <c r="AU4085" s="1"/>
      <c r="AV4085" s="1"/>
      <c r="AW4085" s="1"/>
      <c r="AX4085" s="1"/>
      <c r="AY4085" s="1"/>
      <c r="AZ4085" s="1"/>
      <c r="BA4085" s="1"/>
      <c r="BB4085" s="1"/>
    </row>
    <row r="4086" ht="204.75" customHeight="1">
      <c r="A4086" s="1">
        <v>3569.0</v>
      </c>
      <c r="B4086" s="2" t="s">
        <v>12089</v>
      </c>
      <c r="C4086" s="2">
        <f>IFERROR(__xludf.DUMMYFUNCTION("split(B4086,""_"")"),1210.0)</f>
        <v>1210</v>
      </c>
      <c r="D4086" s="2" t="str">
        <f>IFERROR(__xludf.DUMMYFUNCTION("""COMPUTED_VALUE"""),"NTV")</f>
        <v>NTV</v>
      </c>
      <c r="E4086" s="2" t="str">
        <f>IFERROR(__xludf.DUMMYFUNCTION("""COMPUTED_VALUE"""),"水22")</f>
        <v>水22</v>
      </c>
      <c r="F4086" s="2" t="s">
        <v>12090</v>
      </c>
      <c r="G4086" s="2" t="s">
        <v>12103</v>
      </c>
      <c r="H4086" s="1">
        <v>7.0</v>
      </c>
      <c r="I4086" s="1" t="s">
        <v>2892</v>
      </c>
      <c r="J4086" s="1" t="s">
        <v>86</v>
      </c>
      <c r="K4086" s="2" t="s">
        <v>12104</v>
      </c>
      <c r="L4086" s="2"/>
      <c r="M4086" s="2" t="str">
        <f>IFERROR(__xludf.DUMMYFUNCTION("split(split(K4086,""【演出"",false),""ほか"",false)"),"武井咲、三浦翔平、比嘉愛未、市川由衣、森カンナ、青木隆治、渋谷飛鳥、渡辺邦斗、内藤理沙、ローランス由美、志村玲那、酒井彩音、堀内敬子、平愛梨、温水洋一、塚本高史、渡部篤郎麗(武井咲)の母・さゆり(堀内敬子)がいきなり上京し、卓也(渡部篤郎)のマンションにやってきた!二人が同居している事など知らないさゆりを前に父娘は大慌て。誤魔化さねば!とクローゼットに隠れる卓也だが、さゆりは、靴下の匂いを嗅いで、卓也を見つけてしまう。15年ぶりに対面した元夫婦。だが、さゆりは卓也を完全無視。麗を琴平に連れ帰ろうとする。そ"&amp;"のころ大輔(三浦翔平)は亜紀に衝撃の告白を受けていたーー。")</f>
        <v>武井咲、三浦翔平、比嘉愛未、市川由衣、森カンナ、青木隆治、渋谷飛鳥、渡辺邦斗、内藤理沙、ローランス由美、志村玲那、酒井彩音、堀内敬子、平愛梨、温水洋一、塚本高史、渡部篤郎麗(武井咲)の母・さゆり(堀内敬子)がいきなり上京し、卓也(渡部篤郎)のマンションにやってきた!二人が同居している事など知らないさゆりを前に父娘は大慌て。誤魔化さねば!とクローゼットに隠れる卓也だが、さゆりは、靴下の匂いを嗅いで、卓也を見つけてしまう。15年ぶりに対面した元夫婦。だが、さゆりは卓也を完全無視。麗を琴平に連れ帰ろうとする。そのころ大輔(三浦翔平)は亜紀に衝撃の告白を受けていたーー。</v>
      </c>
      <c r="N4086" s="2"/>
      <c r="O4086" s="2"/>
      <c r="P4086" s="1"/>
      <c r="Q4086" s="1"/>
      <c r="R4086" s="1"/>
      <c r="S4086" s="1"/>
      <c r="T4086" s="1"/>
      <c r="U4086" s="1"/>
      <c r="V4086" s="1"/>
      <c r="W4086" s="1"/>
      <c r="X4086" s="1"/>
      <c r="Y4086" s="1"/>
      <c r="Z4086" s="1"/>
      <c r="AA4086" s="1"/>
      <c r="AB4086" s="1"/>
      <c r="AC4086" s="1"/>
      <c r="AD4086" s="1"/>
      <c r="AE4086" s="1"/>
      <c r="AF4086" s="1"/>
      <c r="AG4086" s="1"/>
      <c r="AH4086" s="1"/>
      <c r="AI4086" s="1"/>
      <c r="AJ4086" s="1"/>
      <c r="AK4086" s="1"/>
      <c r="AL4086" s="1"/>
      <c r="AM4086" s="1"/>
      <c r="AN4086" s="1"/>
      <c r="AO4086" s="1"/>
      <c r="AP4086" s="1"/>
      <c r="AQ4086" s="1"/>
      <c r="AR4086" s="1"/>
      <c r="AS4086" s="1"/>
      <c r="AT4086" s="1"/>
      <c r="AU4086" s="1"/>
      <c r="AV4086" s="1"/>
      <c r="AW4086" s="1"/>
      <c r="AX4086" s="1"/>
      <c r="AY4086" s="1"/>
      <c r="AZ4086" s="1"/>
      <c r="BA4086" s="1"/>
      <c r="BB4086" s="1"/>
    </row>
    <row r="4087" ht="204.75" customHeight="1">
      <c r="A4087" s="1">
        <v>3570.0</v>
      </c>
      <c r="B4087" s="2" t="s">
        <v>12089</v>
      </c>
      <c r="C4087" s="2">
        <f>IFERROR(__xludf.DUMMYFUNCTION("split(B4087,""_"")"),1210.0)</f>
        <v>1210</v>
      </c>
      <c r="D4087" s="2" t="str">
        <f>IFERROR(__xludf.DUMMYFUNCTION("""COMPUTED_VALUE"""),"NTV")</f>
        <v>NTV</v>
      </c>
      <c r="E4087" s="2" t="str">
        <f>IFERROR(__xludf.DUMMYFUNCTION("""COMPUTED_VALUE"""),"水22")</f>
        <v>水22</v>
      </c>
      <c r="F4087" s="2" t="s">
        <v>12090</v>
      </c>
      <c r="G4087" s="2" t="s">
        <v>12105</v>
      </c>
      <c r="H4087" s="1">
        <v>8.0</v>
      </c>
      <c r="I4087" s="1" t="s">
        <v>2896</v>
      </c>
      <c r="J4087" s="1" t="s">
        <v>82</v>
      </c>
      <c r="K4087" s="2" t="s">
        <v>12106</v>
      </c>
      <c r="L4087" s="2"/>
      <c r="M4087" s="2" t="str">
        <f>IFERROR(__xludf.DUMMYFUNCTION("split(split(K4087,""【演出"",false),""ほか"",false)"),"武井咲、三浦翔平、比嘉愛未、市川由衣、森カンナ、青木隆治、渋谷飛鳥、渡辺邦斗、内藤理沙、ローランス由美、志村玲那、酒井彩音、堀内敬子、温水洋一、塚本高史、渡部篤郎麗(武井咲)は父・卓也(渡部篤郎)に弘一(塚本高史)の娘・ひとみを2人が出張の間面倒を見るように依頼され、大ハリキリ。大輔(三浦翔平)を誘って3人で動物園に出かける。一方、卓也は出張先で弘一に突然、激怒。直ぐに帰宅するように命じる。さらに翌日、卓也は弘一にクビを言い渡す。話を聞いた麗は、家に帰って卓也に食って掛かるが、卓也は必要だからこそクビにし"&amp;"たという。麗はある決意を秘めて、弘一の元へ向かいー。")</f>
        <v>武井咲、三浦翔平、比嘉愛未、市川由衣、森カンナ、青木隆治、渋谷飛鳥、渡辺邦斗、内藤理沙、ローランス由美、志村玲那、酒井彩音、堀内敬子、温水洋一、塚本高史、渡部篤郎麗(武井咲)は父・卓也(渡部篤郎)に弘一(塚本高史)の娘・ひとみを2人が出張の間面倒を見るように依頼され、大ハリキリ。大輔(三浦翔平)を誘って3人で動物園に出かける。一方、卓也は出張先で弘一に突然、激怒。直ぐに帰宅するように命じる。さらに翌日、卓也は弘一にクビを言い渡す。話を聞いた麗は、家に帰って卓也に食って掛かるが、卓也は必要だからこそクビにしたという。麗はある決意を秘めて、弘一の元へ向かいー。</v>
      </c>
      <c r="N4087" s="2"/>
      <c r="O4087" s="2"/>
      <c r="P4087" s="1"/>
      <c r="Q4087" s="1"/>
      <c r="R4087" s="1"/>
      <c r="S4087" s="1"/>
      <c r="T4087" s="1"/>
      <c r="U4087" s="1"/>
      <c r="V4087" s="1"/>
      <c r="W4087" s="1"/>
      <c r="X4087" s="1"/>
      <c r="Y4087" s="1"/>
      <c r="Z4087" s="1"/>
      <c r="AA4087" s="1"/>
      <c r="AB4087" s="1"/>
      <c r="AC4087" s="1"/>
      <c r="AD4087" s="1"/>
      <c r="AE4087" s="1"/>
      <c r="AF4087" s="1"/>
      <c r="AG4087" s="1"/>
      <c r="AH4087" s="1"/>
      <c r="AI4087" s="1"/>
      <c r="AJ4087" s="1"/>
      <c r="AK4087" s="1"/>
      <c r="AL4087" s="1"/>
      <c r="AM4087" s="1"/>
      <c r="AN4087" s="1"/>
      <c r="AO4087" s="1"/>
      <c r="AP4087" s="1"/>
      <c r="AQ4087" s="1"/>
      <c r="AR4087" s="1"/>
      <c r="AS4087" s="1"/>
      <c r="AT4087" s="1"/>
      <c r="AU4087" s="1"/>
      <c r="AV4087" s="1"/>
      <c r="AW4087" s="1"/>
      <c r="AX4087" s="1"/>
      <c r="AY4087" s="1"/>
      <c r="AZ4087" s="1"/>
      <c r="BA4087" s="1"/>
      <c r="BB4087" s="1"/>
    </row>
    <row r="4088" ht="204.75" customHeight="1">
      <c r="A4088" s="1">
        <v>3571.0</v>
      </c>
      <c r="B4088" s="2" t="s">
        <v>12089</v>
      </c>
      <c r="C4088" s="2">
        <f>IFERROR(__xludf.DUMMYFUNCTION("split(B4088,""_"")"),1210.0)</f>
        <v>1210</v>
      </c>
      <c r="D4088" s="2" t="str">
        <f>IFERROR(__xludf.DUMMYFUNCTION("""COMPUTED_VALUE"""),"NTV")</f>
        <v>NTV</v>
      </c>
      <c r="E4088" s="2" t="str">
        <f>IFERROR(__xludf.DUMMYFUNCTION("""COMPUTED_VALUE"""),"水22")</f>
        <v>水22</v>
      </c>
      <c r="F4088" s="2" t="s">
        <v>12090</v>
      </c>
      <c r="G4088" s="2" t="s">
        <v>12107</v>
      </c>
      <c r="H4088" s="1">
        <v>9.0</v>
      </c>
      <c r="I4088" s="1" t="s">
        <v>2900</v>
      </c>
      <c r="J4088" s="1" t="s">
        <v>82</v>
      </c>
      <c r="K4088" s="2" t="s">
        <v>12108</v>
      </c>
      <c r="L4088" s="2"/>
      <c r="M4088" s="2" t="str">
        <f>IFERROR(__xludf.DUMMYFUNCTION("split(split(K4088,""【演出"",false),""ほか"",false)"),"武井咲、三浦翔平、比嘉愛未、市川由衣、森カンナ、青木隆治、渋谷飛鳥、渡辺邦斗、内藤理沙、ローランス由美、志村玲那、酒井彩音、堀内敬子、温水洋一、塚本高史、渡部篤郎自分は父親に必要とされていないと思い、琴平に帰った麗(武井咲)だが、ご飯を食べていても幼馴染と遊びに行っても、気になるのは父・卓也(渡部篤郎)の事。一方卓也は、麗の突然の家出の理由がわからない。心配するものの居場所も見当つかない。そんなとき、卓也は、弘一(塚本高史)から「父を支えるのはあなたしかいない」と、麗に頭を下げられたと聞かされる。更に大輔"&amp;"(三浦翔平)に呼び出された卓也は、ある物を渡されてー")</f>
        <v>武井咲、三浦翔平、比嘉愛未、市川由衣、森カンナ、青木隆治、渋谷飛鳥、渡辺邦斗、内藤理沙、ローランス由美、志村玲那、酒井彩音、堀内敬子、温水洋一、塚本高史、渡部篤郎自分は父親に必要とされていないと思い、琴平に帰った麗(武井咲)だが、ご飯を食べていても幼馴染と遊びに行っても、気になるのは父・卓也(渡部篤郎)の事。一方卓也は、麗の突然の家出の理由がわからない。心配するものの居場所も見当つかない。そんなとき、卓也は、弘一(塚本高史)から「父を支えるのはあなたしかいない」と、麗に頭を下げられたと聞かされる。更に大輔(三浦翔平)に呼び出された卓也は、ある物を渡されてー</v>
      </c>
      <c r="N4088" s="2"/>
      <c r="O4088" s="2"/>
      <c r="P4088" s="1"/>
      <c r="Q4088" s="1"/>
      <c r="R4088" s="1"/>
      <c r="S4088" s="1"/>
      <c r="T4088" s="1"/>
      <c r="U4088" s="1"/>
      <c r="V4088" s="1"/>
      <c r="W4088" s="1"/>
      <c r="X4088" s="1"/>
      <c r="Y4088" s="1"/>
      <c r="Z4088" s="1"/>
      <c r="AA4088" s="1"/>
      <c r="AB4088" s="1"/>
      <c r="AC4088" s="1"/>
      <c r="AD4088" s="1"/>
      <c r="AE4088" s="1"/>
      <c r="AF4088" s="1"/>
      <c r="AG4088" s="1"/>
      <c r="AH4088" s="1"/>
      <c r="AI4088" s="1"/>
      <c r="AJ4088" s="1"/>
      <c r="AK4088" s="1"/>
      <c r="AL4088" s="1"/>
      <c r="AM4088" s="1"/>
      <c r="AN4088" s="1"/>
      <c r="AO4088" s="1"/>
      <c r="AP4088" s="1"/>
      <c r="AQ4088" s="1"/>
      <c r="AR4088" s="1"/>
      <c r="AS4088" s="1"/>
      <c r="AT4088" s="1"/>
      <c r="AU4088" s="1"/>
      <c r="AV4088" s="1"/>
      <c r="AW4088" s="1"/>
      <c r="AX4088" s="1"/>
      <c r="AY4088" s="1"/>
      <c r="AZ4088" s="1"/>
      <c r="BA4088" s="1"/>
      <c r="BB4088" s="1"/>
    </row>
    <row r="4089" ht="204.75" customHeight="1">
      <c r="A4089" s="1">
        <v>3572.0</v>
      </c>
      <c r="B4089" s="2" t="s">
        <v>12089</v>
      </c>
      <c r="C4089" s="2">
        <f>IFERROR(__xludf.DUMMYFUNCTION("split(B4089,""_"")"),1210.0)</f>
        <v>1210</v>
      </c>
      <c r="D4089" s="2" t="str">
        <f>IFERROR(__xludf.DUMMYFUNCTION("""COMPUTED_VALUE"""),"NTV")</f>
        <v>NTV</v>
      </c>
      <c r="E4089" s="2" t="str">
        <f>IFERROR(__xludf.DUMMYFUNCTION("""COMPUTED_VALUE"""),"水22")</f>
        <v>水22</v>
      </c>
      <c r="F4089" s="2" t="s">
        <v>12090</v>
      </c>
      <c r="G4089" s="2" t="s">
        <v>12109</v>
      </c>
      <c r="H4089" s="1">
        <v>10.0</v>
      </c>
      <c r="I4089" s="1" t="s">
        <v>37</v>
      </c>
      <c r="J4089" s="1" t="s">
        <v>82</v>
      </c>
      <c r="K4089" s="2" t="s">
        <v>12110</v>
      </c>
      <c r="L4089" s="2"/>
      <c r="M4089" s="2" t="str">
        <f>IFERROR(__xludf.DUMMYFUNCTION("split(split(K4089,""【演出"",false),""ほか"",false)"),"武井咲、三浦翔平、比嘉愛未、市川由衣、森カンナ、青木隆治、渋谷飛鳥、渡辺邦斗、内藤理沙、ローランス由美、志村玲那、酒井彩音、堀内敬子、温水洋一、塚本高史、渡部篤郎麗(武井咲)と卓也(渡部篤郎)の同居生活再開も束の間、卓也が麗に内緒で怪しげな行動を始める。麗が行き先を聞いても、卓也は何も語らない。そんな折、麗は大輔(三浦翔平)から母さゆり(堀内敬子)を近所で見かけたと聞かされる。大輔に聞いた喫茶店に慌ててかけつけた麗が見たのは、卓也とさゆりの姿!更に、さゆりは驚くべき事を告げる。二人は再婚するというのだ!な"&amp;"んだか釈然としない麗は、翌日から思わぬ行動に出てー。")</f>
        <v>武井咲、三浦翔平、比嘉愛未、市川由衣、森カンナ、青木隆治、渋谷飛鳥、渡辺邦斗、内藤理沙、ローランス由美、志村玲那、酒井彩音、堀内敬子、温水洋一、塚本高史、渡部篤郎麗(武井咲)と卓也(渡部篤郎)の同居生活再開も束の間、卓也が麗に内緒で怪しげな行動を始める。麗が行き先を聞いても、卓也は何も語らない。そんな折、麗は大輔(三浦翔平)から母さゆり(堀内敬子)を近所で見かけたと聞かされる。大輔に聞いた喫茶店に慌ててかけつけた麗が見たのは、卓也とさゆりの姿!更に、さゆりは驚くべき事を告げる。二人は再婚するというのだ!なんだか釈然としない麗は、翌日から思わぬ行動に出てー。</v>
      </c>
      <c r="N4089" s="2"/>
      <c r="O4089" s="2"/>
      <c r="P4089" s="1"/>
      <c r="Q4089" s="1"/>
      <c r="R4089" s="1"/>
      <c r="S4089" s="1"/>
      <c r="T4089" s="1"/>
      <c r="U4089" s="1"/>
      <c r="V4089" s="1"/>
      <c r="W4089" s="1"/>
      <c r="X4089" s="1"/>
      <c r="Y4089" s="1"/>
      <c r="Z4089" s="1"/>
      <c r="AA4089" s="1"/>
      <c r="AB4089" s="1"/>
      <c r="AC4089" s="1"/>
      <c r="AD4089" s="1"/>
      <c r="AE4089" s="1"/>
      <c r="AF4089" s="1"/>
      <c r="AG4089" s="1"/>
      <c r="AH4089" s="1"/>
      <c r="AI4089" s="1"/>
      <c r="AJ4089" s="1"/>
      <c r="AK4089" s="1"/>
      <c r="AL4089" s="1"/>
      <c r="AM4089" s="1"/>
      <c r="AN4089" s="1"/>
      <c r="AO4089" s="1"/>
      <c r="AP4089" s="1"/>
      <c r="AQ4089" s="1"/>
      <c r="AR4089" s="1"/>
      <c r="AS4089" s="1"/>
      <c r="AT4089" s="1"/>
      <c r="AU4089" s="1"/>
      <c r="AV4089" s="1"/>
      <c r="AW4089" s="1"/>
      <c r="AX4089" s="1"/>
      <c r="AY4089" s="1"/>
      <c r="AZ4089" s="1"/>
      <c r="BA4089" s="1"/>
      <c r="BB4089" s="1"/>
    </row>
    <row r="4090" ht="204.75" customHeight="1">
      <c r="A4090" s="1">
        <v>3573.0</v>
      </c>
      <c r="B4090" s="2" t="s">
        <v>12089</v>
      </c>
      <c r="C4090" s="2">
        <f>IFERROR(__xludf.DUMMYFUNCTION("split(B4090,""_"")"),1210.0)</f>
        <v>1210</v>
      </c>
      <c r="D4090" s="2" t="str">
        <f>IFERROR(__xludf.DUMMYFUNCTION("""COMPUTED_VALUE"""),"NTV")</f>
        <v>NTV</v>
      </c>
      <c r="E4090" s="2" t="str">
        <f>IFERROR(__xludf.DUMMYFUNCTION("""COMPUTED_VALUE"""),"水22")</f>
        <v>水22</v>
      </c>
      <c r="F4090" s="2" t="s">
        <v>12090</v>
      </c>
      <c r="G4090" s="2" t="s">
        <v>12111</v>
      </c>
      <c r="H4090" s="1">
        <v>11.0</v>
      </c>
      <c r="I4090" s="1" t="s">
        <v>41</v>
      </c>
      <c r="J4090" s="1" t="s">
        <v>82</v>
      </c>
      <c r="K4090" s="2" t="s">
        <v>12112</v>
      </c>
      <c r="L4090" s="2"/>
      <c r="M4090" s="2" t="str">
        <f>IFERROR(__xludf.DUMMYFUNCTION("split(split(K4090,""【演出"",false),""ほか"",false)"),"武井咲、三浦翔平、比嘉愛未、市川由衣、森カンナ、青木隆治、渋谷飛鳥、渡辺邦斗、内藤理沙、ローランス由美、志村玲那、酒井彩音、堀内敬子、温水洋一、塚本高史、渡部篤郎、他麗(武井咲)は弁護士になる為の勉強を始め、卓也(渡部篤郎)は女性関係を整理した。麗、卓也、さゆり(堀内敬子)親子三人の新生活に向けて、着々と準備が始まっていた…はずだった。しかし、問題勃発!どこに住むかは決めていなかったのだ。東京だ!琴平だ!とお互い譲らないまま、さゆりは仕事があるからと琴平へ帰ってしまう。父と母に幸せになってもらいたい麗は自"&amp;"分の夢を諦め、琴平に戻って母の美容院を継ぐと宣言するがー")</f>
        <v>武井咲、三浦翔平、比嘉愛未、市川由衣、森カンナ、青木隆治、渋谷飛鳥、渡辺邦斗、内藤理沙、ローランス由美、志村玲那、酒井彩音、堀内敬子、温水洋一、塚本高史、渡部篤郎、他麗(武井咲)は弁護士になる為の勉強を始め、卓也(渡部篤郎)は女性関係を整理した。麗、卓也、さゆり(堀内敬子)親子三人の新生活に向けて、着々と準備が始まっていた…はずだった。しかし、問題勃発!どこに住むかは決めていなかったのだ。東京だ!琴平だ!とお互い譲らないまま、さゆりは仕事があるからと琴平へ帰ってしまう。父と母に幸せになってもらいたい麗は自分の夢を諦め、琴平に戻って母の美容院を継ぐと宣言するがー</v>
      </c>
      <c r="N4090" s="2"/>
      <c r="O4090" s="2"/>
      <c r="P4090" s="1"/>
      <c r="Q4090" s="1"/>
      <c r="R4090" s="1"/>
      <c r="S4090" s="1"/>
      <c r="T4090" s="1"/>
      <c r="U4090" s="1"/>
      <c r="V4090" s="1"/>
      <c r="W4090" s="1"/>
      <c r="X4090" s="1"/>
      <c r="Y4090" s="1"/>
      <c r="Z4090" s="1"/>
      <c r="AA4090" s="1"/>
      <c r="AB4090" s="1"/>
      <c r="AC4090" s="1"/>
      <c r="AD4090" s="1"/>
      <c r="AE4090" s="1"/>
      <c r="AF4090" s="1"/>
      <c r="AG4090" s="1"/>
      <c r="AH4090" s="1"/>
      <c r="AI4090" s="1"/>
      <c r="AJ4090" s="1"/>
      <c r="AK4090" s="1"/>
      <c r="AL4090" s="1"/>
      <c r="AM4090" s="1"/>
      <c r="AN4090" s="1"/>
      <c r="AO4090" s="1"/>
      <c r="AP4090" s="1"/>
      <c r="AQ4090" s="1"/>
      <c r="AR4090" s="1"/>
      <c r="AS4090" s="1"/>
      <c r="AT4090" s="1"/>
      <c r="AU4090" s="1"/>
      <c r="AV4090" s="1"/>
      <c r="AW4090" s="1"/>
      <c r="AX4090" s="1"/>
      <c r="AY4090" s="1"/>
      <c r="AZ4090" s="1"/>
      <c r="BA4090" s="1"/>
      <c r="BB4090" s="1"/>
    </row>
    <row r="4091" ht="204.75" customHeight="1">
      <c r="A4091" s="1">
        <v>3612.0</v>
      </c>
      <c r="B4091" s="2" t="s">
        <v>12113</v>
      </c>
      <c r="C4091" s="2">
        <f>IFERROR(__xludf.DUMMYFUNCTION("split(B4091,""_"")"),1210.0)</f>
        <v>1210</v>
      </c>
      <c r="D4091" s="2" t="str">
        <f>IFERROR(__xludf.DUMMYFUNCTION("""COMPUTED_VALUE"""),"NTV")</f>
        <v>NTV</v>
      </c>
      <c r="E4091" s="2" t="str">
        <f>IFERROR(__xludf.DUMMYFUNCTION("""COMPUTED_VALUE"""),"土21")</f>
        <v>土21</v>
      </c>
      <c r="F4091" s="2" t="s">
        <v>12114</v>
      </c>
      <c r="G4091" s="2" t="s">
        <v>12115</v>
      </c>
      <c r="H4091" s="1">
        <v>1.0</v>
      </c>
      <c r="I4091" s="1" t="s">
        <v>2868</v>
      </c>
      <c r="J4091" s="1" t="s">
        <v>4</v>
      </c>
      <c r="K4091" s="2" t="s">
        <v>12116</v>
      </c>
      <c r="L4091" s="2"/>
      <c r="M4091" s="2" t="str">
        <f>IFERROR(__xludf.DUMMYFUNCTION("split(split(K4091,""【演出"",false),""ほか"",false)"),"北川景子、GACKT、優香、木村真那月、濱田マリ、岡田圭右、川村陽介、和田正人、相田翔子、阿南健治、キムラ緑子、小日向文世　")</f>
        <v>北川景子、GACKT、優香、木村真那月、濱田マリ、岡田圭右、川村陽介、和田正人、相田翔子、阿南健治、キムラ緑子、小日向文世　</v>
      </c>
      <c r="N4091" s="2" t="str">
        <f>IFERROR(__xludf.DUMMYFUNCTION("""COMPUTED_VALUE"""),"腹黒女教師・武戸井彩未(北川景子)のクラスに、予知夢を見る能力を持つ少女・古藤結衣子(木村真那月)が転入してくる。その結衣子の家には、彩未が自分の夢の中で創り上げた理想の「夢王子」にソックリな志岐貴(GACKT)がいた。結衣子の祖父・古藤万之介(小日向文世)から結衣子の見る悪夢が現実にならないよう止めてくれと頼まれ、とまどう彩未だったが…。")</f>
        <v>腹黒女教師・武戸井彩未(北川景子)のクラスに、予知夢を見る能力を持つ少女・古藤結衣子(木村真那月)が転入してくる。その結衣子の家には、彩未が自分の夢の中で創り上げた理想の「夢王子」にソックリな志岐貴(GACKT)がいた。結衣子の祖父・古藤万之介(小日向文世)から結衣子の見る悪夢が現実にならないよう止めてくれと頼まれ、とまどう彩未だったが…。</v>
      </c>
      <c r="O4091" s="2"/>
      <c r="P4091" s="1"/>
      <c r="Q4091" s="1"/>
      <c r="R4091" s="1"/>
      <c r="S4091" s="1"/>
      <c r="T4091" s="1"/>
      <c r="U4091" s="1"/>
      <c r="V4091" s="1"/>
      <c r="W4091" s="1"/>
      <c r="X4091" s="1"/>
      <c r="Y4091" s="1"/>
      <c r="Z4091" s="1"/>
      <c r="AA4091" s="1"/>
      <c r="AB4091" s="1"/>
      <c r="AC4091" s="1"/>
      <c r="AD4091" s="1"/>
      <c r="AE4091" s="1"/>
      <c r="AF4091" s="1"/>
      <c r="AG4091" s="1"/>
      <c r="AH4091" s="1"/>
      <c r="AI4091" s="1"/>
      <c r="AJ4091" s="1"/>
      <c r="AK4091" s="1"/>
      <c r="AL4091" s="1"/>
      <c r="AM4091" s="1"/>
      <c r="AN4091" s="1"/>
      <c r="AO4091" s="1"/>
      <c r="AP4091" s="1"/>
      <c r="AQ4091" s="1"/>
      <c r="AR4091" s="1"/>
      <c r="AS4091" s="1"/>
      <c r="AT4091" s="1"/>
      <c r="AU4091" s="1"/>
      <c r="AV4091" s="1"/>
      <c r="AW4091" s="1"/>
      <c r="AX4091" s="1"/>
      <c r="AY4091" s="1"/>
      <c r="AZ4091" s="1"/>
      <c r="BA4091" s="1"/>
      <c r="BB4091" s="1"/>
    </row>
    <row r="4092" ht="204.75" customHeight="1">
      <c r="A4092" s="1">
        <v>3613.0</v>
      </c>
      <c r="B4092" s="2" t="s">
        <v>12113</v>
      </c>
      <c r="C4092" s="2">
        <f>IFERROR(__xludf.DUMMYFUNCTION("split(B4092,""_"")"),1210.0)</f>
        <v>1210</v>
      </c>
      <c r="D4092" s="2" t="str">
        <f>IFERROR(__xludf.DUMMYFUNCTION("""COMPUTED_VALUE"""),"NTV")</f>
        <v>NTV</v>
      </c>
      <c r="E4092" s="2" t="str">
        <f>IFERROR(__xludf.DUMMYFUNCTION("""COMPUTED_VALUE"""),"土21")</f>
        <v>土21</v>
      </c>
      <c r="F4092" s="2" t="s">
        <v>12114</v>
      </c>
      <c r="G4092" s="2" t="s">
        <v>12117</v>
      </c>
      <c r="H4092" s="1">
        <v>2.0</v>
      </c>
      <c r="I4092" s="1" t="s">
        <v>2872</v>
      </c>
      <c r="J4092" s="1" t="s">
        <v>11</v>
      </c>
      <c r="K4092" s="2" t="s">
        <v>12118</v>
      </c>
      <c r="L4092" s="2"/>
      <c r="M4092" s="2" t="str">
        <f>IFERROR(__xludf.DUMMYFUNCTION("split(split(K4092,""【演出"",false),""ほか"",false)"),"北川景子、GACKT、優香、木村真那月、濱田マリ、岡田圭右、川村陽介、和田正人、阿南健治、キムラ緑子、小日向文世　")</f>
        <v>北川景子、GACKT、優香、木村真那月、濱田マリ、岡田圭右、川村陽介、和田正人、阿南健治、キムラ緑子、小日向文世　</v>
      </c>
      <c r="N4092" s="2" t="str">
        <f>IFERROR(__xludf.DUMMYFUNCTION("""COMPUTED_VALUE"""),"腹黒教師・武戸井彩未(北川景子)の下に古藤万之介(小日向文世)から、孫の結衣子(木村真那月)がまた悪夢を見たとの連絡が。“同級生の冬馬(原田一輝)が巨大ヘビと格闘する”という恐ろしい夢から、“父子不和”の謎を感じ取った彩未は、琴葉(優香)を巧みに操り、中学生の義姉・輝美(日向ななみ)の存在を知る。そんな時、彩未の前に志岐貴(GACKT)が現れ「あなたの事が…好きになったようだ…」と告白され…。")</f>
        <v>腹黒教師・武戸井彩未(北川景子)の下に古藤万之介(小日向文世)から、孫の結衣子(木村真那月)がまた悪夢を見たとの連絡が。“同級生の冬馬(原田一輝)が巨大ヘビと格闘する”という恐ろしい夢から、“父子不和”の謎を感じ取った彩未は、琴葉(優香)を巧みに操り、中学生の義姉・輝美(日向ななみ)の存在を知る。そんな時、彩未の前に志岐貴(GACKT)が現れ「あなたの事が…好きになったようだ…」と告白され…。</v>
      </c>
      <c r="O4092" s="2"/>
      <c r="P4092" s="1"/>
      <c r="Q4092" s="1"/>
      <c r="R4092" s="1"/>
      <c r="S4092" s="1"/>
      <c r="T4092" s="1"/>
      <c r="U4092" s="1"/>
      <c r="V4092" s="1"/>
      <c r="W4092" s="1"/>
      <c r="X4092" s="1"/>
      <c r="Y4092" s="1"/>
      <c r="Z4092" s="1"/>
      <c r="AA4092" s="1"/>
      <c r="AB4092" s="1"/>
      <c r="AC4092" s="1"/>
      <c r="AD4092" s="1"/>
      <c r="AE4092" s="1"/>
      <c r="AF4092" s="1"/>
      <c r="AG4092" s="1"/>
      <c r="AH4092" s="1"/>
      <c r="AI4092" s="1"/>
      <c r="AJ4092" s="1"/>
      <c r="AK4092" s="1"/>
      <c r="AL4092" s="1"/>
      <c r="AM4092" s="1"/>
      <c r="AN4092" s="1"/>
      <c r="AO4092" s="1"/>
      <c r="AP4092" s="1"/>
      <c r="AQ4092" s="1"/>
      <c r="AR4092" s="1"/>
      <c r="AS4092" s="1"/>
      <c r="AT4092" s="1"/>
      <c r="AU4092" s="1"/>
      <c r="AV4092" s="1"/>
      <c r="AW4092" s="1"/>
      <c r="AX4092" s="1"/>
      <c r="AY4092" s="1"/>
      <c r="AZ4092" s="1"/>
      <c r="BA4092" s="1"/>
      <c r="BB4092" s="1"/>
    </row>
    <row r="4093" ht="204.75" customHeight="1">
      <c r="A4093" s="1">
        <v>3614.0</v>
      </c>
      <c r="B4093" s="2" t="s">
        <v>12113</v>
      </c>
      <c r="C4093" s="2">
        <f>IFERROR(__xludf.DUMMYFUNCTION("split(B4093,""_"")"),1210.0)</f>
        <v>1210</v>
      </c>
      <c r="D4093" s="2" t="str">
        <f>IFERROR(__xludf.DUMMYFUNCTION("""COMPUTED_VALUE"""),"NTV")</f>
        <v>NTV</v>
      </c>
      <c r="E4093" s="2" t="str">
        <f>IFERROR(__xludf.DUMMYFUNCTION("""COMPUTED_VALUE"""),"土21")</f>
        <v>土21</v>
      </c>
      <c r="F4093" s="2" t="s">
        <v>12114</v>
      </c>
      <c r="G4093" s="2" t="s">
        <v>12119</v>
      </c>
      <c r="H4093" s="1">
        <v>3.0</v>
      </c>
      <c r="I4093" s="1" t="s">
        <v>2876</v>
      </c>
      <c r="J4093" s="1" t="s">
        <v>11</v>
      </c>
      <c r="K4093" s="2" t="s">
        <v>12120</v>
      </c>
      <c r="L4093" s="2"/>
      <c r="M4093" s="2" t="str">
        <f>IFERROR(__xludf.DUMMYFUNCTION("split(split(K4093,""【演出"",false),""ほか"",false)"),"北川景子、GACKT、優香、木村真那月、濱田マリ、岡田圭右、川村陽介、和田正人、阿南健治、キムラ緑子、小日向文世　")</f>
        <v>北川景子、GACKT、優香、木村真那月、濱田マリ、岡田圭右、川村陽介、和田正人、阿南健治、キムラ緑子、小日向文世　</v>
      </c>
      <c r="N4093" s="2" t="str">
        <f>IFERROR(__xludf.DUMMYFUNCTION("""COMPUTED_VALUE"""),"武戸井彩未(北川景子)のクラスに一冊のノートが置いてあった。ノートには“透明人間”がイジメっ子を懲らしめる内容の漫画が書かれていた。翌日、漫画通りの出来事が起き、「あれは予言書だ!」とクラスは大騒ぎに。怪奇現象は次々に起こり、見えない“透明人間”に振り回され、混乱する5年2組の生徒達。得体の知れない不安を感じた彩未は、生徒達を激しく恫喝、衝撃の告白を始める。")</f>
        <v>武戸井彩未(北川景子)のクラスに一冊のノートが置いてあった。ノートには“透明人間”がイジメっ子を懲らしめる内容の漫画が書かれていた。翌日、漫画通りの出来事が起き、「あれは予言書だ!」とクラスは大騒ぎに。怪奇現象は次々に起こり、見えない“透明人間”に振り回され、混乱する5年2組の生徒達。得体の知れない不安を感じた彩未は、生徒達を激しく恫喝、衝撃の告白を始める。</v>
      </c>
      <c r="O4093" s="2"/>
      <c r="P4093" s="1"/>
      <c r="Q4093" s="1"/>
      <c r="R4093" s="1"/>
      <c r="S4093" s="1"/>
      <c r="T4093" s="1"/>
      <c r="U4093" s="1"/>
      <c r="V4093" s="1"/>
      <c r="W4093" s="1"/>
      <c r="X4093" s="1"/>
      <c r="Y4093" s="1"/>
      <c r="Z4093" s="1"/>
      <c r="AA4093" s="1"/>
      <c r="AB4093" s="1"/>
      <c r="AC4093" s="1"/>
      <c r="AD4093" s="1"/>
      <c r="AE4093" s="1"/>
      <c r="AF4093" s="1"/>
      <c r="AG4093" s="1"/>
      <c r="AH4093" s="1"/>
      <c r="AI4093" s="1"/>
      <c r="AJ4093" s="1"/>
      <c r="AK4093" s="1"/>
      <c r="AL4093" s="1"/>
      <c r="AM4093" s="1"/>
      <c r="AN4093" s="1"/>
      <c r="AO4093" s="1"/>
      <c r="AP4093" s="1"/>
      <c r="AQ4093" s="1"/>
      <c r="AR4093" s="1"/>
      <c r="AS4093" s="1"/>
      <c r="AT4093" s="1"/>
      <c r="AU4093" s="1"/>
      <c r="AV4093" s="1"/>
      <c r="AW4093" s="1"/>
      <c r="AX4093" s="1"/>
      <c r="AY4093" s="1"/>
      <c r="AZ4093" s="1"/>
      <c r="BA4093" s="1"/>
      <c r="BB4093" s="1"/>
    </row>
    <row r="4094" ht="204.75" customHeight="1">
      <c r="A4094" s="1">
        <v>3615.0</v>
      </c>
      <c r="B4094" s="2" t="s">
        <v>12113</v>
      </c>
      <c r="C4094" s="2">
        <f>IFERROR(__xludf.DUMMYFUNCTION("split(B4094,""_"")"),1210.0)</f>
        <v>1210</v>
      </c>
      <c r="D4094" s="2" t="str">
        <f>IFERROR(__xludf.DUMMYFUNCTION("""COMPUTED_VALUE"""),"NTV")</f>
        <v>NTV</v>
      </c>
      <c r="E4094" s="2" t="str">
        <f>IFERROR(__xludf.DUMMYFUNCTION("""COMPUTED_VALUE"""),"土21")</f>
        <v>土21</v>
      </c>
      <c r="F4094" s="2" t="s">
        <v>12114</v>
      </c>
      <c r="G4094" s="2" t="s">
        <v>12121</v>
      </c>
      <c r="H4094" s="1">
        <v>4.0</v>
      </c>
      <c r="I4094" s="1" t="s">
        <v>2880</v>
      </c>
      <c r="J4094" s="1" t="s">
        <v>11</v>
      </c>
      <c r="K4094" s="2" t="s">
        <v>12122</v>
      </c>
      <c r="L4094" s="2"/>
      <c r="M4094" s="2" t="str">
        <f>IFERROR(__xludf.DUMMYFUNCTION("split(split(K4094,""【演出"",false),""ほか"",false)"),"北川景子、GACKT、優香、木村真那月、濱田マリ、岡田圭右、川村陽介、和田正人、阿南健治、キムラ緑子、小日向文世　")</f>
        <v>北川景子、GACKT、優香、木村真那月、濱田マリ、岡田圭右、川村陽介、和田正人、阿南健治、キムラ緑子、小日向文世　</v>
      </c>
      <c r="N4094" s="2" t="str">
        <f>IFERROR(__xludf.DUMMYFUNCTION("""COMPUTED_VALUE"""),"彩未(北川景子)から笑顔が消えた。突然の変貌に戸惑う児童や教師たち。彩未の素性を探る為、女子児童数名は、結衣子(木村真那月)と共に彩未のマンションに向かう。しかし、そこにいたのは志岐貴(GACKT)。なぜか彩未を憎んでいる綾乃(白本彩奈)は、2人の関係を引き裂こうと企てる。また、彩未を怖れた5年2組の児童は、授業ボイコットを決行。そんな折り、遂に彩未を誹謗中傷するブログの犯人までが明らかになり…。")</f>
        <v>彩未(北川景子)から笑顔が消えた。突然の変貌に戸惑う児童や教師たち。彩未の素性を探る為、女子児童数名は、結衣子(木村真那月)と共に彩未のマンションに向かう。しかし、そこにいたのは志岐貴(GACKT)。なぜか彩未を憎んでいる綾乃(白本彩奈)は、2人の関係を引き裂こうと企てる。また、彩未を怖れた5年2組の児童は、授業ボイコットを決行。そんな折り、遂に彩未を誹謗中傷するブログの犯人までが明らかになり…。</v>
      </c>
      <c r="O4094" s="2"/>
      <c r="P4094" s="1"/>
      <c r="Q4094" s="1"/>
      <c r="R4094" s="1"/>
      <c r="S4094" s="1"/>
      <c r="T4094" s="1"/>
      <c r="U4094" s="1"/>
      <c r="V4094" s="1"/>
      <c r="W4094" s="1"/>
      <c r="X4094" s="1"/>
      <c r="Y4094" s="1"/>
      <c r="Z4094" s="1"/>
      <c r="AA4094" s="1"/>
      <c r="AB4094" s="1"/>
      <c r="AC4094" s="1"/>
      <c r="AD4094" s="1"/>
      <c r="AE4094" s="1"/>
      <c r="AF4094" s="1"/>
      <c r="AG4094" s="1"/>
      <c r="AH4094" s="1"/>
      <c r="AI4094" s="1"/>
      <c r="AJ4094" s="1"/>
      <c r="AK4094" s="1"/>
      <c r="AL4094" s="1"/>
      <c r="AM4094" s="1"/>
      <c r="AN4094" s="1"/>
      <c r="AO4094" s="1"/>
      <c r="AP4094" s="1"/>
      <c r="AQ4094" s="1"/>
      <c r="AR4094" s="1"/>
      <c r="AS4094" s="1"/>
      <c r="AT4094" s="1"/>
      <c r="AU4094" s="1"/>
      <c r="AV4094" s="1"/>
      <c r="AW4094" s="1"/>
      <c r="AX4094" s="1"/>
      <c r="AY4094" s="1"/>
      <c r="AZ4094" s="1"/>
      <c r="BA4094" s="1"/>
      <c r="BB4094" s="1"/>
    </row>
    <row r="4095" ht="204.75" customHeight="1">
      <c r="A4095" s="1">
        <v>3616.0</v>
      </c>
      <c r="B4095" s="2" t="s">
        <v>12113</v>
      </c>
      <c r="C4095" s="2">
        <f>IFERROR(__xludf.DUMMYFUNCTION("split(B4095,""_"")"),1210.0)</f>
        <v>1210</v>
      </c>
      <c r="D4095" s="2" t="str">
        <f>IFERROR(__xludf.DUMMYFUNCTION("""COMPUTED_VALUE"""),"NTV")</f>
        <v>NTV</v>
      </c>
      <c r="E4095" s="2" t="str">
        <f>IFERROR(__xludf.DUMMYFUNCTION("""COMPUTED_VALUE"""),"土21")</f>
        <v>土21</v>
      </c>
      <c r="F4095" s="2" t="s">
        <v>12114</v>
      </c>
      <c r="G4095" s="2" t="s">
        <v>12123</v>
      </c>
      <c r="H4095" s="1">
        <v>5.0</v>
      </c>
      <c r="I4095" s="1" t="s">
        <v>2884</v>
      </c>
      <c r="J4095" s="1" t="s">
        <v>11</v>
      </c>
      <c r="K4095" s="2" t="s">
        <v>12124</v>
      </c>
      <c r="L4095" s="2"/>
      <c r="M4095" s="2" t="str">
        <f>IFERROR(__xludf.DUMMYFUNCTION("split(split(K4095,""【演出"",false),""ほか"",false)"),"北川景子、GACKT、優香、木村真那月、濱田マリ、岡田圭右、川村陽介、和田正人、鈴木福、阿南健治、キムラ緑子、小日向文世　")</f>
        <v>北川景子、GACKT、優香、木村真那月、濱田マリ、岡田圭右、川村陽介、和田正人、鈴木福、阿南健治、キムラ緑子、小日向文世　</v>
      </c>
      <c r="N4095" s="2" t="str">
        <f>IFERROR(__xludf.DUMMYFUNCTION("""COMPUTED_VALUE"""),"彩未(北川景子)は、中傷するブログを書いていたのが夢遊病状態の自分だった事を知りショックを受ける。そんな時でも容赦なく結衣子(木村真那月)は予知夢を見る。内容はクラスメイトの上原翔の弟・隆(鈴木福)がゾンビとなり、翔を深く大きな穴に突き落とすという悪夢。隆は将来、目が見えなくなる難病に冒されていた。弟の為に、翔は隆を冒険に誘い出し、秘密の場所に向かう。だが、そこには大きな穴が…。")</f>
        <v>彩未(北川景子)は、中傷するブログを書いていたのが夢遊病状態の自分だった事を知りショックを受ける。そんな時でも容赦なく結衣子(木村真那月)は予知夢を見る。内容はクラスメイトの上原翔の弟・隆(鈴木福)がゾンビとなり、翔を深く大きな穴に突き落とすという悪夢。隆は将来、目が見えなくなる難病に冒されていた。弟の為に、翔は隆を冒険に誘い出し、秘密の場所に向かう。だが、そこには大きな穴が…。</v>
      </c>
      <c r="O4095" s="2"/>
      <c r="P4095" s="1"/>
      <c r="Q4095" s="1"/>
      <c r="R4095" s="1"/>
      <c r="S4095" s="1"/>
      <c r="T4095" s="1"/>
      <c r="U4095" s="1"/>
      <c r="V4095" s="1"/>
      <c r="W4095" s="1"/>
      <c r="X4095" s="1"/>
      <c r="Y4095" s="1"/>
      <c r="Z4095" s="1"/>
      <c r="AA4095" s="1"/>
      <c r="AB4095" s="1"/>
      <c r="AC4095" s="1"/>
      <c r="AD4095" s="1"/>
      <c r="AE4095" s="1"/>
      <c r="AF4095" s="1"/>
      <c r="AG4095" s="1"/>
      <c r="AH4095" s="1"/>
      <c r="AI4095" s="1"/>
      <c r="AJ4095" s="1"/>
      <c r="AK4095" s="1"/>
      <c r="AL4095" s="1"/>
      <c r="AM4095" s="1"/>
      <c r="AN4095" s="1"/>
      <c r="AO4095" s="1"/>
      <c r="AP4095" s="1"/>
      <c r="AQ4095" s="1"/>
      <c r="AR4095" s="1"/>
      <c r="AS4095" s="1"/>
      <c r="AT4095" s="1"/>
      <c r="AU4095" s="1"/>
      <c r="AV4095" s="1"/>
      <c r="AW4095" s="1"/>
      <c r="AX4095" s="1"/>
      <c r="AY4095" s="1"/>
      <c r="AZ4095" s="1"/>
      <c r="BA4095" s="1"/>
      <c r="BB4095" s="1"/>
    </row>
    <row r="4096" ht="204.75" customHeight="1">
      <c r="A4096" s="1">
        <v>3617.0</v>
      </c>
      <c r="B4096" s="2" t="s">
        <v>12113</v>
      </c>
      <c r="C4096" s="2">
        <f>IFERROR(__xludf.DUMMYFUNCTION("split(B4096,""_"")"),1210.0)</f>
        <v>1210</v>
      </c>
      <c r="D4096" s="2" t="str">
        <f>IFERROR(__xludf.DUMMYFUNCTION("""COMPUTED_VALUE"""),"NTV")</f>
        <v>NTV</v>
      </c>
      <c r="E4096" s="2" t="str">
        <f>IFERROR(__xludf.DUMMYFUNCTION("""COMPUTED_VALUE"""),"土21")</f>
        <v>土21</v>
      </c>
      <c r="F4096" s="2" t="s">
        <v>12114</v>
      </c>
      <c r="G4096" s="2" t="s">
        <v>12125</v>
      </c>
      <c r="H4096" s="1">
        <v>6.0</v>
      </c>
      <c r="I4096" s="1" t="s">
        <v>2888</v>
      </c>
      <c r="J4096" s="1" t="s">
        <v>11</v>
      </c>
      <c r="K4096" s="2" t="s">
        <v>12126</v>
      </c>
      <c r="L4096" s="2"/>
      <c r="M4096" s="2" t="str">
        <f>IFERROR(__xludf.DUMMYFUNCTION("split(split(K4096,""【演出"",false),""ほか"",false)"),"北川景子、GACKT、優香、木村真那月、濱田マリ、岡田圭右、川村陽介、和田正人、阿南健治、キムラ緑子、小日向文世　")</f>
        <v>北川景子、GACKT、優香、木村真那月、濱田マリ、岡田圭右、川村陽介、和田正人、阿南健治、キムラ緑子、小日向文世　</v>
      </c>
      <c r="N4096" s="2" t="str">
        <f>IFERROR(__xludf.DUMMYFUNCTION("""COMPUTED_VALUE"""),"彩未(北川景子)の生徒、莉音と未来は同じバレエ教室に通うライバル。結衣子(木村真那月)は、「悪魔となった莉音の母が、鎌で未来を切りつけ、カッパが襲う」という悪夢を見る。嫉妬に燃えブラックスワン化していく莉音。一方、万之介(小日向文世)の元を去った志岐貴(GACKT)は、新型“獏”の開発を急ぐ。そこに現れた琴葉(優香)の手にはある人物の夢札が。そして、彩未の衝撃の過去が甦る。「私は・・・人殺しだ!」")</f>
        <v>彩未(北川景子)の生徒、莉音と未来は同じバレエ教室に通うライバル。結衣子(木村真那月)は、「悪魔となった莉音の母が、鎌で未来を切りつけ、カッパが襲う」という悪夢を見る。嫉妬に燃えブラックスワン化していく莉音。一方、万之介(小日向文世)の元を去った志岐貴(GACKT)は、新型“獏”の開発を急ぐ。そこに現れた琴葉(優香)の手にはある人物の夢札が。そして、彩未の衝撃の過去が甦る。「私は・・・人殺しだ!」</v>
      </c>
      <c r="O4096" s="2"/>
      <c r="P4096" s="1"/>
      <c r="Q4096" s="1"/>
      <c r="R4096" s="1"/>
      <c r="S4096" s="1"/>
      <c r="T4096" s="1"/>
      <c r="U4096" s="1"/>
      <c r="V4096" s="1"/>
      <c r="W4096" s="1"/>
      <c r="X4096" s="1"/>
      <c r="Y4096" s="1"/>
      <c r="Z4096" s="1"/>
      <c r="AA4096" s="1"/>
      <c r="AB4096" s="1"/>
      <c r="AC4096" s="1"/>
      <c r="AD4096" s="1"/>
      <c r="AE4096" s="1"/>
      <c r="AF4096" s="1"/>
      <c r="AG4096" s="1"/>
      <c r="AH4096" s="1"/>
      <c r="AI4096" s="1"/>
      <c r="AJ4096" s="1"/>
      <c r="AK4096" s="1"/>
      <c r="AL4096" s="1"/>
      <c r="AM4096" s="1"/>
      <c r="AN4096" s="1"/>
      <c r="AO4096" s="1"/>
      <c r="AP4096" s="1"/>
      <c r="AQ4096" s="1"/>
      <c r="AR4096" s="1"/>
      <c r="AS4096" s="1"/>
      <c r="AT4096" s="1"/>
      <c r="AU4096" s="1"/>
      <c r="AV4096" s="1"/>
      <c r="AW4096" s="1"/>
      <c r="AX4096" s="1"/>
      <c r="AY4096" s="1"/>
      <c r="AZ4096" s="1"/>
      <c r="BA4096" s="1"/>
      <c r="BB4096" s="1"/>
    </row>
    <row r="4097" ht="204.75" customHeight="1">
      <c r="A4097" s="1">
        <v>3618.0</v>
      </c>
      <c r="B4097" s="2" t="s">
        <v>12113</v>
      </c>
      <c r="C4097" s="2">
        <f>IFERROR(__xludf.DUMMYFUNCTION("split(B4097,""_"")"),1210.0)</f>
        <v>1210</v>
      </c>
      <c r="D4097" s="2" t="str">
        <f>IFERROR(__xludf.DUMMYFUNCTION("""COMPUTED_VALUE"""),"NTV")</f>
        <v>NTV</v>
      </c>
      <c r="E4097" s="2" t="str">
        <f>IFERROR(__xludf.DUMMYFUNCTION("""COMPUTED_VALUE"""),"土21")</f>
        <v>土21</v>
      </c>
      <c r="F4097" s="2" t="s">
        <v>12114</v>
      </c>
      <c r="G4097" s="2" t="s">
        <v>12127</v>
      </c>
      <c r="H4097" s="1">
        <v>7.0</v>
      </c>
      <c r="I4097" s="1" t="s">
        <v>2892</v>
      </c>
      <c r="J4097" s="1" t="s">
        <v>11</v>
      </c>
      <c r="K4097" s="2" t="s">
        <v>12128</v>
      </c>
      <c r="L4097" s="2"/>
      <c r="M4097" s="2" t="str">
        <f>IFERROR(__xludf.DUMMYFUNCTION("split(split(K4097,""【演出"",false),""ほか"",false)"),"北川景子、GACKT、優香、木村真那月、濱田マリ、岡田圭右、川村陽介、和田正人、阿南健治、キムラ緑子、小日向文世　")</f>
        <v>北川景子、GACKT、優香、木村真那月、濱田マリ、岡田圭右、川村陽介、和田正人、阿南健治、キムラ緑子、小日向文世　</v>
      </c>
      <c r="N4097" s="2" t="str">
        <f>IFERROR(__xludf.DUMMYFUNCTION("""COMPUTED_VALUE"""),"予知夢を見る事の出来る人間が存在する事をマスコミに公表した志岐貴(GACKT)は結衣子を世間にバラされたくなければ結衣子を自分の研究所に連れて来るように彩未(北川景子)を脅した。要求に応じない彩未に痺れを切らした志岐は、助手の山里(和田正人)を使って下校中の結衣子をさらった。志岐は結衣子を巧みに説得。結衣子は自分の存在が彩未を苦しめていると思い込む。そして彩未は自らの忌まわしい過去に苦しみ…")</f>
        <v>予知夢を見る事の出来る人間が存在する事をマスコミに公表した志岐貴(GACKT)は結衣子を世間にバラされたくなければ結衣子を自分の研究所に連れて来るように彩未(北川景子)を脅した。要求に応じない彩未に痺れを切らした志岐は、助手の山里(和田正人)を使って下校中の結衣子をさらった。志岐は結衣子を巧みに説得。結衣子は自分の存在が彩未を苦しめていると思い込む。そして彩未は自らの忌まわしい過去に苦しみ…</v>
      </c>
      <c r="O4097" s="2"/>
      <c r="P4097" s="1"/>
      <c r="Q4097" s="1"/>
      <c r="R4097" s="1"/>
      <c r="S4097" s="1"/>
      <c r="T4097" s="1"/>
      <c r="U4097" s="1"/>
      <c r="V4097" s="1"/>
      <c r="W4097" s="1"/>
      <c r="X4097" s="1"/>
      <c r="Y4097" s="1"/>
      <c r="Z4097" s="1"/>
      <c r="AA4097" s="1"/>
      <c r="AB4097" s="1"/>
      <c r="AC4097" s="1"/>
      <c r="AD4097" s="1"/>
      <c r="AE4097" s="1"/>
      <c r="AF4097" s="1"/>
      <c r="AG4097" s="1"/>
      <c r="AH4097" s="1"/>
      <c r="AI4097" s="1"/>
      <c r="AJ4097" s="1"/>
      <c r="AK4097" s="1"/>
      <c r="AL4097" s="1"/>
      <c r="AM4097" s="1"/>
      <c r="AN4097" s="1"/>
      <c r="AO4097" s="1"/>
      <c r="AP4097" s="1"/>
      <c r="AQ4097" s="1"/>
      <c r="AR4097" s="1"/>
      <c r="AS4097" s="1"/>
      <c r="AT4097" s="1"/>
      <c r="AU4097" s="1"/>
      <c r="AV4097" s="1"/>
      <c r="AW4097" s="1"/>
      <c r="AX4097" s="1"/>
      <c r="AY4097" s="1"/>
      <c r="AZ4097" s="1"/>
      <c r="BA4097" s="1"/>
      <c r="BB4097" s="1"/>
    </row>
    <row r="4098" ht="204.75" customHeight="1">
      <c r="A4098" s="1">
        <v>3619.0</v>
      </c>
      <c r="B4098" s="2" t="s">
        <v>12113</v>
      </c>
      <c r="C4098" s="2">
        <f>IFERROR(__xludf.DUMMYFUNCTION("split(B4098,""_"")"),1210.0)</f>
        <v>1210</v>
      </c>
      <c r="D4098" s="2" t="str">
        <f>IFERROR(__xludf.DUMMYFUNCTION("""COMPUTED_VALUE"""),"NTV")</f>
        <v>NTV</v>
      </c>
      <c r="E4098" s="2" t="str">
        <f>IFERROR(__xludf.DUMMYFUNCTION("""COMPUTED_VALUE"""),"土21")</f>
        <v>土21</v>
      </c>
      <c r="F4098" s="2" t="s">
        <v>12114</v>
      </c>
      <c r="G4098" s="2" t="s">
        <v>12129</v>
      </c>
      <c r="H4098" s="1">
        <v>8.0</v>
      </c>
      <c r="I4098" s="1" t="s">
        <v>2896</v>
      </c>
      <c r="J4098" s="1" t="s">
        <v>11</v>
      </c>
      <c r="K4098" s="2" t="s">
        <v>12130</v>
      </c>
      <c r="L4098" s="2"/>
      <c r="M4098" s="2" t="str">
        <f>IFERROR(__xludf.DUMMYFUNCTION("split(split(K4098,""【演出"",false),""ほか"",false)"),"北川景子、GACKT、優香、木村真那月、濱田マリ、岡田圭右、川村陽介、和田正人、阿南健治、キムラ緑子、小日向文世　")</f>
        <v>北川景子、GACKT、優香、木村真那月、濱田マリ、岡田圭右、川村陽介、和田正人、阿南健治、キムラ緑子、小日向文世　</v>
      </c>
      <c r="N4098" s="2" t="str">
        <f>IFERROR(__xludf.DUMMYFUNCTION("""COMPUTED_VALUE"""),"樋口杏奈(春名風花)の異変に気付いた琴葉(優香)は、彼女を志岐(GACKT)の研究所へ連れて行く。一方、5年2組の教室では、ネットに流出した「予知夢」を見ている人間の写真が話題に。そこにはモザイクで顔を隠された結子(木村真那月)が写っていた。そして、教師を辞める決意の彩未(北川景子)に対して、万之介(小日向文世)は、本人も知らない彩未の過去を語り始める。それは、信じられないような内容だった…")</f>
        <v>樋口杏奈(春名風花)の異変に気付いた琴葉(優香)は、彼女を志岐(GACKT)の研究所へ連れて行く。一方、5年2組の教室では、ネットに流出した「予知夢」を見ている人間の写真が話題に。そこにはモザイクで顔を隠された結子(木村真那月)が写っていた。そして、教師を辞める決意の彩未(北川景子)に対して、万之介(小日向文世)は、本人も知らない彩未の過去を語り始める。それは、信じられないような内容だった…</v>
      </c>
      <c r="O4098" s="2"/>
      <c r="P4098" s="1"/>
      <c r="Q4098" s="1"/>
      <c r="R4098" s="1"/>
      <c r="S4098" s="1"/>
      <c r="T4098" s="1"/>
      <c r="U4098" s="1"/>
      <c r="V4098" s="1"/>
      <c r="W4098" s="1"/>
      <c r="X4098" s="1"/>
      <c r="Y4098" s="1"/>
      <c r="Z4098" s="1"/>
      <c r="AA4098" s="1"/>
      <c r="AB4098" s="1"/>
      <c r="AC4098" s="1"/>
      <c r="AD4098" s="1"/>
      <c r="AE4098" s="1"/>
      <c r="AF4098" s="1"/>
      <c r="AG4098" s="1"/>
      <c r="AH4098" s="1"/>
      <c r="AI4098" s="1"/>
      <c r="AJ4098" s="1"/>
      <c r="AK4098" s="1"/>
      <c r="AL4098" s="1"/>
      <c r="AM4098" s="1"/>
      <c r="AN4098" s="1"/>
      <c r="AO4098" s="1"/>
      <c r="AP4098" s="1"/>
      <c r="AQ4098" s="1"/>
      <c r="AR4098" s="1"/>
      <c r="AS4098" s="1"/>
      <c r="AT4098" s="1"/>
      <c r="AU4098" s="1"/>
      <c r="AV4098" s="1"/>
      <c r="AW4098" s="1"/>
      <c r="AX4098" s="1"/>
      <c r="AY4098" s="1"/>
      <c r="AZ4098" s="1"/>
      <c r="BA4098" s="1"/>
      <c r="BB4098" s="1"/>
    </row>
    <row r="4099" ht="204.75" customHeight="1">
      <c r="A4099" s="1">
        <v>3620.0</v>
      </c>
      <c r="B4099" s="2" t="s">
        <v>12113</v>
      </c>
      <c r="C4099" s="2">
        <f>IFERROR(__xludf.DUMMYFUNCTION("split(B4099,""_"")"),1210.0)</f>
        <v>1210</v>
      </c>
      <c r="D4099" s="2" t="str">
        <f>IFERROR(__xludf.DUMMYFUNCTION("""COMPUTED_VALUE"""),"NTV")</f>
        <v>NTV</v>
      </c>
      <c r="E4099" s="2" t="str">
        <f>IFERROR(__xludf.DUMMYFUNCTION("""COMPUTED_VALUE"""),"土21")</f>
        <v>土21</v>
      </c>
      <c r="F4099" s="2" t="s">
        <v>12114</v>
      </c>
      <c r="G4099" s="2" t="s">
        <v>12131</v>
      </c>
      <c r="H4099" s="1">
        <v>9.0</v>
      </c>
      <c r="I4099" s="1" t="s">
        <v>2900</v>
      </c>
      <c r="J4099" s="1" t="s">
        <v>11</v>
      </c>
      <c r="K4099" s="2" t="s">
        <v>12132</v>
      </c>
      <c r="L4099" s="2"/>
      <c r="M4099" s="2" t="str">
        <f>IFERROR(__xludf.DUMMYFUNCTION("split(split(K4099,""【演出"",false),""ほか"",false)"),"北川景子、GACKT、優香、木村真那月、濱田マリ、岡田圭右、川村陽介、和田正人、阿南健治、キムラ緑子、小日向文世　")</f>
        <v>北川景子、GACKT、優香、木村真那月、濱田マリ、岡田圭右、川村陽介、和田正人、阿南健治、キムラ緑子、小日向文世　</v>
      </c>
      <c r="N4099" s="2" t="str">
        <f>IFERROR(__xludf.DUMMYFUNCTION("""COMPUTED_VALUE"""),"彩未(北川景子)は、自分の過去の真実と向き合い、前向きな性格を取り戻す。そんな折、結衣子(木村真那月)が授業中に描いた「白いブランコ」が、なぜか自分が育った養護施設と関係していることに気付く。そして、子供たちが次々と姿を消す謎の現象が起こるが、その鍵が施設にあることも。実験道具である結衣子を失った志岐(GACKT)は、またも不穏な行動に走る。謎の集団神隠しの黒幕は志岐なのか?")</f>
        <v>彩未(北川景子)は、自分の過去の真実と向き合い、前向きな性格を取り戻す。そんな折、結衣子(木村真那月)が授業中に描いた「白いブランコ」が、なぜか自分が育った養護施設と関係していることに気付く。そして、子供たちが次々と姿を消す謎の現象が起こるが、その鍵が施設にあることも。実験道具である結衣子を失った志岐(GACKT)は、またも不穏な行動に走る。謎の集団神隠しの黒幕は志岐なのか?</v>
      </c>
      <c r="O4099" s="2"/>
      <c r="P4099" s="1"/>
      <c r="Q4099" s="1"/>
      <c r="R4099" s="1"/>
      <c r="S4099" s="1"/>
      <c r="T4099" s="1"/>
      <c r="U4099" s="1"/>
      <c r="V4099" s="1"/>
      <c r="W4099" s="1"/>
      <c r="X4099" s="1"/>
      <c r="Y4099" s="1"/>
      <c r="Z4099" s="1"/>
      <c r="AA4099" s="1"/>
      <c r="AB4099" s="1"/>
      <c r="AC4099" s="1"/>
      <c r="AD4099" s="1"/>
      <c r="AE4099" s="1"/>
      <c r="AF4099" s="1"/>
      <c r="AG4099" s="1"/>
      <c r="AH4099" s="1"/>
      <c r="AI4099" s="1"/>
      <c r="AJ4099" s="1"/>
      <c r="AK4099" s="1"/>
      <c r="AL4099" s="1"/>
      <c r="AM4099" s="1"/>
      <c r="AN4099" s="1"/>
      <c r="AO4099" s="1"/>
      <c r="AP4099" s="1"/>
      <c r="AQ4099" s="1"/>
      <c r="AR4099" s="1"/>
      <c r="AS4099" s="1"/>
      <c r="AT4099" s="1"/>
      <c r="AU4099" s="1"/>
      <c r="AV4099" s="1"/>
      <c r="AW4099" s="1"/>
      <c r="AX4099" s="1"/>
      <c r="AY4099" s="1"/>
      <c r="AZ4099" s="1"/>
      <c r="BA4099" s="1"/>
      <c r="BB4099" s="1"/>
    </row>
    <row r="4100" ht="204.75" customHeight="1">
      <c r="A4100" s="1">
        <v>3621.0</v>
      </c>
      <c r="B4100" s="2" t="s">
        <v>12113</v>
      </c>
      <c r="C4100" s="2">
        <f>IFERROR(__xludf.DUMMYFUNCTION("split(B4100,""_"")"),1210.0)</f>
        <v>1210</v>
      </c>
      <c r="D4100" s="2" t="str">
        <f>IFERROR(__xludf.DUMMYFUNCTION("""COMPUTED_VALUE"""),"NTV")</f>
        <v>NTV</v>
      </c>
      <c r="E4100" s="2" t="str">
        <f>IFERROR(__xludf.DUMMYFUNCTION("""COMPUTED_VALUE"""),"土21")</f>
        <v>土21</v>
      </c>
      <c r="F4100" s="2" t="s">
        <v>12114</v>
      </c>
      <c r="G4100" s="2" t="s">
        <v>12133</v>
      </c>
      <c r="H4100" s="1">
        <v>10.0</v>
      </c>
      <c r="I4100" s="1" t="s">
        <v>37</v>
      </c>
      <c r="J4100" s="1" t="s">
        <v>11</v>
      </c>
      <c r="K4100" s="2" t="s">
        <v>12134</v>
      </c>
      <c r="L4100" s="2"/>
      <c r="M4100" s="2" t="str">
        <f>IFERROR(__xludf.DUMMYFUNCTION("split(split(K4100,""【演出"",false),""ほか"",false)"),"北川景子、GACKT、優香、木村真那月、濱田マリ、岡田圭右、川村陽介、和田正人、阿南健治、キムラ緑子、小日向文世　")</f>
        <v>北川景子、GACKT、優香、木村真那月、濱田マリ、岡田圭右、川村陽介、和田正人、阿南健治、キムラ緑子、小日向文世　</v>
      </c>
      <c r="N4100" s="2" t="str">
        <f>IFERROR(__xludf.DUMMYFUNCTION("""COMPUTED_VALUE"""),"児童達が次々に失踪し、明恵小学校にマスコミが押し寄せてきた。彩未は消えた子供たちの行方を探る為、保健室で眠る。夢の中で夢獣の力を借りて、消えた5年2組の生徒、近藤七海(大友花恋)の無意識と繋がった彩未。そこで彩未は七海がアザラシに連れていかれるという悪夢を見る。同時刻、古藤結衣子(木村真那月)も予知夢を見る、その内容は、彩未と志岐貴(GACKT)に関する、結衣子にとって絶望的な内容だった…。")</f>
        <v>児童達が次々に失踪し、明恵小学校にマスコミが押し寄せてきた。彩未は消えた子供たちの行方を探る為、保健室で眠る。夢の中で夢獣の力を借りて、消えた5年2組の生徒、近藤七海(大友花恋)の無意識と繋がった彩未。そこで彩未は七海がアザラシに連れていかれるという悪夢を見る。同時刻、古藤結衣子(木村真那月)も予知夢を見る、その内容は、彩未と志岐貴(GACKT)に関する、結衣子にとって絶望的な内容だった…。</v>
      </c>
      <c r="O4100" s="2"/>
      <c r="P4100" s="1"/>
      <c r="Q4100" s="1"/>
      <c r="R4100" s="1"/>
      <c r="S4100" s="1"/>
      <c r="T4100" s="1"/>
      <c r="U4100" s="1"/>
      <c r="V4100" s="1"/>
      <c r="W4100" s="1"/>
      <c r="X4100" s="1"/>
      <c r="Y4100" s="1"/>
      <c r="Z4100" s="1"/>
      <c r="AA4100" s="1"/>
      <c r="AB4100" s="1"/>
      <c r="AC4100" s="1"/>
      <c r="AD4100" s="1"/>
      <c r="AE4100" s="1"/>
      <c r="AF4100" s="1"/>
      <c r="AG4100" s="1"/>
      <c r="AH4100" s="1"/>
      <c r="AI4100" s="1"/>
      <c r="AJ4100" s="1"/>
      <c r="AK4100" s="1"/>
      <c r="AL4100" s="1"/>
      <c r="AM4100" s="1"/>
      <c r="AN4100" s="1"/>
      <c r="AO4100" s="1"/>
      <c r="AP4100" s="1"/>
      <c r="AQ4100" s="1"/>
      <c r="AR4100" s="1"/>
      <c r="AS4100" s="1"/>
      <c r="AT4100" s="1"/>
      <c r="AU4100" s="1"/>
      <c r="AV4100" s="1"/>
      <c r="AW4100" s="1"/>
      <c r="AX4100" s="1"/>
      <c r="AY4100" s="1"/>
      <c r="AZ4100" s="1"/>
      <c r="BA4100" s="1"/>
      <c r="BB4100" s="1"/>
    </row>
    <row r="4101" ht="204.75" customHeight="1">
      <c r="A4101" s="1">
        <v>3622.0</v>
      </c>
      <c r="B4101" s="2" t="s">
        <v>12113</v>
      </c>
      <c r="C4101" s="2">
        <f>IFERROR(__xludf.DUMMYFUNCTION("split(B4101,""_"")"),1210.0)</f>
        <v>1210</v>
      </c>
      <c r="D4101" s="2" t="str">
        <f>IFERROR(__xludf.DUMMYFUNCTION("""COMPUTED_VALUE"""),"NTV")</f>
        <v>NTV</v>
      </c>
      <c r="E4101" s="2" t="str">
        <f>IFERROR(__xludf.DUMMYFUNCTION("""COMPUTED_VALUE"""),"土21")</f>
        <v>土21</v>
      </c>
      <c r="F4101" s="2" t="s">
        <v>12114</v>
      </c>
      <c r="G4101" s="2" t="s">
        <v>12135</v>
      </c>
      <c r="H4101" s="1">
        <v>11.0</v>
      </c>
      <c r="I4101" s="1" t="s">
        <v>41</v>
      </c>
      <c r="J4101" s="1" t="s">
        <v>11</v>
      </c>
      <c r="K4101" s="2" t="s">
        <v>12136</v>
      </c>
      <c r="L4101" s="2"/>
      <c r="M4101" s="2" t="str">
        <f>IFERROR(__xludf.DUMMYFUNCTION("split(split(K4101,""【演出"",false),""ほか"",false)"),"北川景子、GACKT、優香、木村真那月、濱田マリ、岡田圭右、川村陽介、和田正人、阿南健治、キムラ緑子、小日向文世　")</f>
        <v>北川景子、GACKT、優香、木村真那月、濱田マリ、岡田圭右、川村陽介、和田正人、阿南健治、キムラ緑子、小日向文世　</v>
      </c>
      <c r="N4101" s="2" t="str">
        <f>IFERROR(__xludf.DUMMYFUNCTION("""COMPUTED_VALUE"""),"彩未(北川景子)が志岐貴(GACKT)を殺してしまったと思い込んだ結衣子(木村真那月)は意識を失い、昏睡状態に陥ってしまった。万之介(小日向文世)が言うには「無意識の世界に行ってしまった」という。このままでは結衣子の身体は滅びてしまう。彩未は結衣子の無意識にアクセスすることを試みる。果たして彩未は結衣子を救うことが出来るのか!?彩未の過去・夢獣の正体・結衣子の父親…全ての謎が今、明らかになる!")</f>
        <v>彩未(北川景子)が志岐貴(GACKT)を殺してしまったと思い込んだ結衣子(木村真那月)は意識を失い、昏睡状態に陥ってしまった。万之介(小日向文世)が言うには「無意識の世界に行ってしまった」という。このままでは結衣子の身体は滅びてしまう。彩未は結衣子の無意識にアクセスすることを試みる。果たして彩未は結衣子を救うことが出来るのか!?彩未の過去・夢獣の正体・結衣子の父親…全ての謎が今、明らかになる!</v>
      </c>
      <c r="O4101" s="2"/>
      <c r="P4101" s="1"/>
      <c r="Q4101" s="1"/>
      <c r="R4101" s="1"/>
      <c r="S4101" s="1"/>
      <c r="T4101" s="1"/>
      <c r="U4101" s="1"/>
      <c r="V4101" s="1"/>
      <c r="W4101" s="1"/>
      <c r="X4101" s="1"/>
      <c r="Y4101" s="1"/>
      <c r="Z4101" s="1"/>
      <c r="AA4101" s="1"/>
      <c r="AB4101" s="1"/>
      <c r="AC4101" s="1"/>
      <c r="AD4101" s="1"/>
      <c r="AE4101" s="1"/>
      <c r="AF4101" s="1"/>
      <c r="AG4101" s="1"/>
      <c r="AH4101" s="1"/>
      <c r="AI4101" s="1"/>
      <c r="AJ4101" s="1"/>
      <c r="AK4101" s="1"/>
      <c r="AL4101" s="1"/>
      <c r="AM4101" s="1"/>
      <c r="AN4101" s="1"/>
      <c r="AO4101" s="1"/>
      <c r="AP4101" s="1"/>
      <c r="AQ4101" s="1"/>
      <c r="AR4101" s="1"/>
      <c r="AS4101" s="1"/>
      <c r="AT4101" s="1"/>
      <c r="AU4101" s="1"/>
      <c r="AV4101" s="1"/>
      <c r="AW4101" s="1"/>
      <c r="AX4101" s="1"/>
      <c r="AY4101" s="1"/>
      <c r="AZ4101" s="1"/>
      <c r="BA4101" s="1"/>
      <c r="BB4101" s="1"/>
    </row>
    <row r="4102" ht="204.75" customHeight="1">
      <c r="A4102" s="1">
        <v>3699.0</v>
      </c>
      <c r="B4102" s="2" t="s">
        <v>12137</v>
      </c>
      <c r="C4102" s="2">
        <f>IFERROR(__xludf.DUMMYFUNCTION("split(B4102,""_"")"),1207.0)</f>
        <v>1207</v>
      </c>
      <c r="D4102" s="2" t="str">
        <f>IFERROR(__xludf.DUMMYFUNCTION("""COMPUTED_VALUE"""),"NTV")</f>
        <v>NTV</v>
      </c>
      <c r="E4102" s="2" t="str">
        <f>IFERROR(__xludf.DUMMYFUNCTION("""COMPUTED_VALUE"""),"水22")</f>
        <v>水22</v>
      </c>
      <c r="F4102" s="2" t="s">
        <v>12138</v>
      </c>
      <c r="G4102" s="2" t="s">
        <v>12139</v>
      </c>
      <c r="H4102" s="1">
        <v>1.0</v>
      </c>
      <c r="I4102" s="1" t="s">
        <v>2868</v>
      </c>
      <c r="J4102" s="1" t="s">
        <v>82</v>
      </c>
      <c r="K4102" s="2" t="s">
        <v>12140</v>
      </c>
      <c r="L4102" s="2"/>
      <c r="M4102" s="2" t="str">
        <f>IFERROR(__xludf.DUMMYFUNCTION("split(split(K4102,""【演出"",false),""ほか"",false)"),"井上真央、北村有起哉  鈴木砂羽、木南晴夏、美波  池田鉄洋、おかやまはじめ、笠原秀幸  佐藤仁美、池田政典、りりィ、泉谷しげる  塩見三省、岩松了、若村麻由美主演の井上真央が演じるのは税務署の新米徴収官・鈴宮深樹(25)  税金の滞納者から滞納税を徴収するのが仕事。  滞納者から「人でなし!税金泥棒!」と罵詈雑言を浴びることもしばしば。  特に悪質な案件を扱う特別国税徴収官(トッカン)の補佐となり、払えるのに払えない、払いたくても払えない、様々な事情で滞納する人々と向き合っていく。")</f>
        <v>井上真央、北村有起哉  鈴木砂羽、木南晴夏、美波  池田鉄洋、おかやまはじめ、笠原秀幸  佐藤仁美、池田政典、りりィ、泉谷しげる  塩見三省、岩松了、若村麻由美主演の井上真央が演じるのは税務署の新米徴収官・鈴宮深樹(25)  税金の滞納者から滞納税を徴収するのが仕事。  滞納者から「人でなし!税金泥棒!」と罵詈雑言を浴びることもしばしば。  特に悪質な案件を扱う特別国税徴収官(トッカン)の補佐となり、払えるのに払えない、払いたくても払えない、様々な事情で滞納する人々と向き合っていく。</v>
      </c>
      <c r="N4102" s="2"/>
      <c r="O4102" s="2"/>
      <c r="P4102" s="1"/>
      <c r="Q4102" s="1"/>
      <c r="R4102" s="1"/>
      <c r="S4102" s="1"/>
      <c r="T4102" s="1"/>
      <c r="U4102" s="1"/>
      <c r="V4102" s="1"/>
      <c r="W4102" s="1"/>
      <c r="X4102" s="1"/>
      <c r="Y4102" s="1"/>
      <c r="Z4102" s="1"/>
      <c r="AA4102" s="1"/>
      <c r="AB4102" s="1"/>
      <c r="AC4102" s="1"/>
      <c r="AD4102" s="1"/>
      <c r="AE4102" s="1"/>
      <c r="AF4102" s="1"/>
      <c r="AG4102" s="1"/>
      <c r="AH4102" s="1"/>
      <c r="AI4102" s="1"/>
      <c r="AJ4102" s="1"/>
      <c r="AK4102" s="1"/>
      <c r="AL4102" s="1"/>
      <c r="AM4102" s="1"/>
      <c r="AN4102" s="1"/>
      <c r="AO4102" s="1"/>
      <c r="AP4102" s="1"/>
      <c r="AQ4102" s="1"/>
      <c r="AR4102" s="1"/>
      <c r="AS4102" s="1"/>
      <c r="AT4102" s="1"/>
      <c r="AU4102" s="1"/>
      <c r="AV4102" s="1"/>
      <c r="AW4102" s="1"/>
      <c r="AX4102" s="1"/>
      <c r="AY4102" s="1"/>
      <c r="AZ4102" s="1"/>
      <c r="BA4102" s="1"/>
      <c r="BB4102" s="1"/>
    </row>
    <row r="4103" ht="204.75" customHeight="1">
      <c r="A4103" s="1">
        <v>3700.0</v>
      </c>
      <c r="B4103" s="2" t="s">
        <v>12137</v>
      </c>
      <c r="C4103" s="2">
        <f>IFERROR(__xludf.DUMMYFUNCTION("split(B4103,""_"")"),1207.0)</f>
        <v>1207</v>
      </c>
      <c r="D4103" s="2" t="str">
        <f>IFERROR(__xludf.DUMMYFUNCTION("""COMPUTED_VALUE"""),"NTV")</f>
        <v>NTV</v>
      </c>
      <c r="E4103" s="2" t="str">
        <f>IFERROR(__xludf.DUMMYFUNCTION("""COMPUTED_VALUE"""),"水22")</f>
        <v>水22</v>
      </c>
      <c r="F4103" s="2" t="s">
        <v>12138</v>
      </c>
      <c r="G4103" s="2" t="s">
        <v>12141</v>
      </c>
      <c r="H4103" s="1">
        <v>2.0</v>
      </c>
      <c r="I4103" s="1" t="s">
        <v>2872</v>
      </c>
      <c r="J4103" s="1" t="s">
        <v>86</v>
      </c>
      <c r="K4103" s="2" t="s">
        <v>12142</v>
      </c>
      <c r="L4103" s="2"/>
      <c r="M4103" s="2" t="str">
        <f>IFERROR(__xludf.DUMMYFUNCTION("split(split(K4103,""【演出"",false),""ほか"",false)"),"井上真央、北村有起哉  鈴木砂羽、木南晴夏、美波  池田鉄洋、おかやまはじめ、笠原秀幸  塩見三省、岩松了、若村麻由美  【ゲスト】西岡徳馬鈴宮(井上真央)は健康食品会社社長で税金滞納者の堂柿(西岡徳馬)の自宅へS(差押え)に向かう。しかし会社は休業状態で金目のものは何もない。そんな堂柿が4年前に死んだ妻のために新しく墓を建て、足繁く墓参りをしていることを知った鈴宮は同情する。鏡(北村有起哉)は「ぬるい!もっとよく調べろ」と鈴宮を一喝する。しかし、鈴宮はあと一歩の所で真相をつかめない。すると鏡は堂柿と鈴宮"&amp;"を伴ってある場所へ向かう…")</f>
        <v>井上真央、北村有起哉  鈴木砂羽、木南晴夏、美波  池田鉄洋、おかやまはじめ、笠原秀幸  塩見三省、岩松了、若村麻由美  【ゲスト】西岡徳馬鈴宮(井上真央)は健康食品会社社長で税金滞納者の堂柿(西岡徳馬)の自宅へS(差押え)に向かう。しかし会社は休業状態で金目のものは何もない。そんな堂柿が4年前に死んだ妻のために新しく墓を建て、足繁く墓参りをしていることを知った鈴宮は同情する。鏡(北村有起哉)は「ぬるい!もっとよく調べろ」と鈴宮を一喝する。しかし、鈴宮はあと一歩の所で真相をつかめない。すると鏡は堂柿と鈴宮を伴ってある場所へ向かう…</v>
      </c>
      <c r="N4103" s="2"/>
      <c r="O4103" s="2"/>
      <c r="P4103" s="1"/>
      <c r="Q4103" s="1"/>
      <c r="R4103" s="1"/>
      <c r="S4103" s="1"/>
      <c r="T4103" s="1"/>
      <c r="U4103" s="1"/>
      <c r="V4103" s="1"/>
      <c r="W4103" s="1"/>
      <c r="X4103" s="1"/>
      <c r="Y4103" s="1"/>
      <c r="Z4103" s="1"/>
      <c r="AA4103" s="1"/>
      <c r="AB4103" s="1"/>
      <c r="AC4103" s="1"/>
      <c r="AD4103" s="1"/>
      <c r="AE4103" s="1"/>
      <c r="AF4103" s="1"/>
      <c r="AG4103" s="1"/>
      <c r="AH4103" s="1"/>
      <c r="AI4103" s="1"/>
      <c r="AJ4103" s="1"/>
      <c r="AK4103" s="1"/>
      <c r="AL4103" s="1"/>
      <c r="AM4103" s="1"/>
      <c r="AN4103" s="1"/>
      <c r="AO4103" s="1"/>
      <c r="AP4103" s="1"/>
      <c r="AQ4103" s="1"/>
      <c r="AR4103" s="1"/>
      <c r="AS4103" s="1"/>
      <c r="AT4103" s="1"/>
      <c r="AU4103" s="1"/>
      <c r="AV4103" s="1"/>
      <c r="AW4103" s="1"/>
      <c r="AX4103" s="1"/>
      <c r="AY4103" s="1"/>
      <c r="AZ4103" s="1"/>
      <c r="BA4103" s="1"/>
      <c r="BB4103" s="1"/>
    </row>
    <row r="4104" ht="204.75" customHeight="1">
      <c r="A4104" s="1">
        <v>3701.0</v>
      </c>
      <c r="B4104" s="2" t="s">
        <v>12137</v>
      </c>
      <c r="C4104" s="2">
        <f>IFERROR(__xludf.DUMMYFUNCTION("split(B4104,""_"")"),1207.0)</f>
        <v>1207</v>
      </c>
      <c r="D4104" s="2" t="str">
        <f>IFERROR(__xludf.DUMMYFUNCTION("""COMPUTED_VALUE"""),"NTV")</f>
        <v>NTV</v>
      </c>
      <c r="E4104" s="2" t="str">
        <f>IFERROR(__xludf.DUMMYFUNCTION("""COMPUTED_VALUE"""),"水22")</f>
        <v>水22</v>
      </c>
      <c r="F4104" s="2" t="s">
        <v>12138</v>
      </c>
      <c r="G4104" s="2" t="s">
        <v>12143</v>
      </c>
      <c r="H4104" s="1">
        <v>3.0</v>
      </c>
      <c r="I4104" s="1" t="s">
        <v>2876</v>
      </c>
      <c r="J4104" s="1" t="s">
        <v>86</v>
      </c>
      <c r="K4104" s="2" t="s">
        <v>12144</v>
      </c>
      <c r="L4104" s="2"/>
      <c r="M4104" s="2" t="str">
        <f>IFERROR(__xludf.DUMMYFUNCTION("split(split(K4104,""【演出"",false),""ほか"",false)"),"井上真央、北村有起哉  鈴木砂羽、池田鉄洋  木南晴夏、美波  岩松了、若村麻由美  【ゲスト】城島茂(TOKIO)鈴宮(井上真央)は脱税の疑いがあるカフェについて、本来は徴収の仕事ではない潜入調査を自ら志願する。店に張り込んだ鈴宮は、経営者の三井(城島茂)に愛人がいることを突き止める。一方、クラブ澪の白川(若村麻由美)が「滞納していた税金分のお金が用意できた」と連絡をしてきた。そして、脱税の証拠を掴もうと必死でカフェの店内を見回した鈴宮は、あることに気づくーー。")</f>
        <v>井上真央、北村有起哉  鈴木砂羽、池田鉄洋  木南晴夏、美波  岩松了、若村麻由美  【ゲスト】城島茂(TOKIO)鈴宮(井上真央)は脱税の疑いがあるカフェについて、本来は徴収の仕事ではない潜入調査を自ら志願する。店に張り込んだ鈴宮は、経営者の三井(城島茂)に愛人がいることを突き止める。一方、クラブ澪の白川(若村麻由美)が「滞納していた税金分のお金が用意できた」と連絡をしてきた。そして、脱税の証拠を掴もうと必死でカフェの店内を見回した鈴宮は、あることに気づくーー。</v>
      </c>
      <c r="N4104" s="2"/>
      <c r="O4104" s="2"/>
      <c r="P4104" s="1"/>
      <c r="Q4104" s="1"/>
      <c r="R4104" s="1"/>
      <c r="S4104" s="1"/>
      <c r="T4104" s="1"/>
      <c r="U4104" s="1"/>
      <c r="V4104" s="1"/>
      <c r="W4104" s="1"/>
      <c r="X4104" s="1"/>
      <c r="Y4104" s="1"/>
      <c r="Z4104" s="1"/>
      <c r="AA4104" s="1"/>
      <c r="AB4104" s="1"/>
      <c r="AC4104" s="1"/>
      <c r="AD4104" s="1"/>
      <c r="AE4104" s="1"/>
      <c r="AF4104" s="1"/>
      <c r="AG4104" s="1"/>
      <c r="AH4104" s="1"/>
      <c r="AI4104" s="1"/>
      <c r="AJ4104" s="1"/>
      <c r="AK4104" s="1"/>
      <c r="AL4104" s="1"/>
      <c r="AM4104" s="1"/>
      <c r="AN4104" s="1"/>
      <c r="AO4104" s="1"/>
      <c r="AP4104" s="1"/>
      <c r="AQ4104" s="1"/>
      <c r="AR4104" s="1"/>
      <c r="AS4104" s="1"/>
      <c r="AT4104" s="1"/>
      <c r="AU4104" s="1"/>
      <c r="AV4104" s="1"/>
      <c r="AW4104" s="1"/>
      <c r="AX4104" s="1"/>
      <c r="AY4104" s="1"/>
      <c r="AZ4104" s="1"/>
      <c r="BA4104" s="1"/>
      <c r="BB4104" s="1"/>
    </row>
    <row r="4105" ht="204.75" customHeight="1">
      <c r="A4105" s="1">
        <v>3702.0</v>
      </c>
      <c r="B4105" s="2" t="s">
        <v>12137</v>
      </c>
      <c r="C4105" s="2">
        <f>IFERROR(__xludf.DUMMYFUNCTION("split(B4105,""_"")"),1207.0)</f>
        <v>1207</v>
      </c>
      <c r="D4105" s="2" t="str">
        <f>IFERROR(__xludf.DUMMYFUNCTION("""COMPUTED_VALUE"""),"NTV")</f>
        <v>NTV</v>
      </c>
      <c r="E4105" s="2" t="str">
        <f>IFERROR(__xludf.DUMMYFUNCTION("""COMPUTED_VALUE"""),"水22")</f>
        <v>水22</v>
      </c>
      <c r="F4105" s="2" t="s">
        <v>12138</v>
      </c>
      <c r="G4105" s="2" t="s">
        <v>12145</v>
      </c>
      <c r="H4105" s="1">
        <v>4.0</v>
      </c>
      <c r="I4105" s="1" t="s">
        <v>2880</v>
      </c>
      <c r="J4105" s="1" t="s">
        <v>86</v>
      </c>
      <c r="K4105" s="2" t="s">
        <v>12146</v>
      </c>
      <c r="L4105" s="2"/>
      <c r="M4105" s="2" t="str">
        <f>IFERROR(__xludf.DUMMYFUNCTION("split(split(K4105,""【演出"",false),""ほか"",false)"),"井上真央、北村有起哉  鈴木砂羽、池田鉄洋  木南晴夏、美波  笠原秀幸、おかやまはじめ  塩見三省、岩松了、若村麻由美　他鈴宮(井上真央)は故郷の大阪に戻ったものの父(塩見三省)との間には溝があり、実家にも居場所がない。そんなとき鏡(北村有起哉)から電話がかかってくる。鏡は白川(若村麻由美)がインサイダー取引で3億の大金を手にしたことを伝える。鍵となるのは鈴宮が探っていた「澪」という人物だった。そして鈴宮は東京に戻る決心をする。「私には、まだやることがある」……鈴宮は白川の秘密に迫ることができるのかーー"&amp;"?")</f>
        <v>井上真央、北村有起哉  鈴木砂羽、池田鉄洋  木南晴夏、美波  笠原秀幸、おかやまはじめ  塩見三省、岩松了、若村麻由美　他鈴宮(井上真央)は故郷の大阪に戻ったものの父(塩見三省)との間には溝があり、実家にも居場所がない。そんなとき鏡(北村有起哉)から電話がかかってくる。鏡は白川(若村麻由美)がインサイダー取引で3億の大金を手にしたことを伝える。鍵となるのは鈴宮が探っていた「澪」という人物だった。そして鈴宮は東京に戻る決心をする。「私には、まだやることがある」……鈴宮は白川の秘密に迫ることができるのかーー?</v>
      </c>
      <c r="N4105" s="2"/>
      <c r="O4105" s="2"/>
      <c r="P4105" s="1"/>
      <c r="Q4105" s="1"/>
      <c r="R4105" s="1"/>
      <c r="S4105" s="1"/>
      <c r="T4105" s="1"/>
      <c r="U4105" s="1"/>
      <c r="V4105" s="1"/>
      <c r="W4105" s="1"/>
      <c r="X4105" s="1"/>
      <c r="Y4105" s="1"/>
      <c r="Z4105" s="1"/>
      <c r="AA4105" s="1"/>
      <c r="AB4105" s="1"/>
      <c r="AC4105" s="1"/>
      <c r="AD4105" s="1"/>
      <c r="AE4105" s="1"/>
      <c r="AF4105" s="1"/>
      <c r="AG4105" s="1"/>
      <c r="AH4105" s="1"/>
      <c r="AI4105" s="1"/>
      <c r="AJ4105" s="1"/>
      <c r="AK4105" s="1"/>
      <c r="AL4105" s="1"/>
      <c r="AM4105" s="1"/>
      <c r="AN4105" s="1"/>
      <c r="AO4105" s="1"/>
      <c r="AP4105" s="1"/>
      <c r="AQ4105" s="1"/>
      <c r="AR4105" s="1"/>
      <c r="AS4105" s="1"/>
      <c r="AT4105" s="1"/>
      <c r="AU4105" s="1"/>
      <c r="AV4105" s="1"/>
      <c r="AW4105" s="1"/>
      <c r="AX4105" s="1"/>
      <c r="AY4105" s="1"/>
      <c r="AZ4105" s="1"/>
      <c r="BA4105" s="1"/>
      <c r="BB4105" s="1"/>
    </row>
    <row r="4106" ht="204.75" customHeight="1">
      <c r="A4106" s="1">
        <v>3703.0</v>
      </c>
      <c r="B4106" s="2" t="s">
        <v>12137</v>
      </c>
      <c r="C4106" s="2">
        <f>IFERROR(__xludf.DUMMYFUNCTION("split(B4106,""_"")"),1207.0)</f>
        <v>1207</v>
      </c>
      <c r="D4106" s="2" t="str">
        <f>IFERROR(__xludf.DUMMYFUNCTION("""COMPUTED_VALUE"""),"NTV")</f>
        <v>NTV</v>
      </c>
      <c r="E4106" s="2" t="str">
        <f>IFERROR(__xludf.DUMMYFUNCTION("""COMPUTED_VALUE"""),"水22")</f>
        <v>水22</v>
      </c>
      <c r="F4106" s="2" t="s">
        <v>12138</v>
      </c>
      <c r="G4106" s="2" t="s">
        <v>12147</v>
      </c>
      <c r="H4106" s="1">
        <v>5.0</v>
      </c>
      <c r="I4106" s="1" t="s">
        <v>2884</v>
      </c>
      <c r="J4106" s="1" t="s">
        <v>86</v>
      </c>
      <c r="K4106" s="2" t="s">
        <v>12148</v>
      </c>
      <c r="L4106" s="2"/>
      <c r="M4106" s="2" t="str">
        <f>IFERROR(__xludf.DUMMYFUNCTION("split(split(K4106,""【演出"",false),""ほか"",false)"),"井上真央、北村有起哉、鈴木砂羽、池田鉄洋  木南晴夏、美波、笠原秀幸、おかやまはじめ、岩松了  星野真里、鈴木一真、小島聖夏の人事異動で宝町税務署に新しい徴収官・錨(星野真里)が赴任してきた。32歳の彼女は商社マンの夫を持ち、仕事もできる柔和な女性。彼女より4歳年上で、いまだ婚活中の木綿子(鈴木砂羽)は面白くない。そんな中、鈴宮(井上真央)は女子高の音楽教師・桑原(小島聖)の徴収に向かうことに。父親から相続したマンションを売却した際の税金を滞納している彼女は、木綿子の高校時代の同級生だった・・・")</f>
        <v>井上真央、北村有起哉、鈴木砂羽、池田鉄洋  木南晴夏、美波、笠原秀幸、おかやまはじめ、岩松了  星野真里、鈴木一真、小島聖夏の人事異動で宝町税務署に新しい徴収官・錨(星野真里)が赴任してきた。32歳の彼女は商社マンの夫を持ち、仕事もできる柔和な女性。彼女より4歳年上で、いまだ婚活中の木綿子(鈴木砂羽)は面白くない。そんな中、鈴宮(井上真央)は女子高の音楽教師・桑原(小島聖)の徴収に向かうことに。父親から相続したマンションを売却した際の税金を滞納している彼女は、木綿子の高校時代の同級生だった・・・</v>
      </c>
      <c r="N4106" s="2"/>
      <c r="O4106" s="2"/>
      <c r="P4106" s="1"/>
      <c r="Q4106" s="1"/>
      <c r="R4106" s="1"/>
      <c r="S4106" s="1"/>
      <c r="T4106" s="1"/>
      <c r="U4106" s="1"/>
      <c r="V4106" s="1"/>
      <c r="W4106" s="1"/>
      <c r="X4106" s="1"/>
      <c r="Y4106" s="1"/>
      <c r="Z4106" s="1"/>
      <c r="AA4106" s="1"/>
      <c r="AB4106" s="1"/>
      <c r="AC4106" s="1"/>
      <c r="AD4106" s="1"/>
      <c r="AE4106" s="1"/>
      <c r="AF4106" s="1"/>
      <c r="AG4106" s="1"/>
      <c r="AH4106" s="1"/>
      <c r="AI4106" s="1"/>
      <c r="AJ4106" s="1"/>
      <c r="AK4106" s="1"/>
      <c r="AL4106" s="1"/>
      <c r="AM4106" s="1"/>
      <c r="AN4106" s="1"/>
      <c r="AO4106" s="1"/>
      <c r="AP4106" s="1"/>
      <c r="AQ4106" s="1"/>
      <c r="AR4106" s="1"/>
      <c r="AS4106" s="1"/>
      <c r="AT4106" s="1"/>
      <c r="AU4106" s="1"/>
      <c r="AV4106" s="1"/>
      <c r="AW4106" s="1"/>
      <c r="AX4106" s="1"/>
      <c r="AY4106" s="1"/>
      <c r="AZ4106" s="1"/>
      <c r="BA4106" s="1"/>
      <c r="BB4106" s="1"/>
    </row>
    <row r="4107" ht="204.75" customHeight="1">
      <c r="A4107" s="1">
        <v>3704.0</v>
      </c>
      <c r="B4107" s="2" t="s">
        <v>12137</v>
      </c>
      <c r="C4107" s="2">
        <f>IFERROR(__xludf.DUMMYFUNCTION("split(B4107,""_"")"),1207.0)</f>
        <v>1207</v>
      </c>
      <c r="D4107" s="2" t="str">
        <f>IFERROR(__xludf.DUMMYFUNCTION("""COMPUTED_VALUE"""),"NTV")</f>
        <v>NTV</v>
      </c>
      <c r="E4107" s="2" t="str">
        <f>IFERROR(__xludf.DUMMYFUNCTION("""COMPUTED_VALUE"""),"水22")</f>
        <v>水22</v>
      </c>
      <c r="F4107" s="2" t="s">
        <v>12138</v>
      </c>
      <c r="G4107" s="2" t="s">
        <v>12149</v>
      </c>
      <c r="H4107" s="1">
        <v>6.0</v>
      </c>
      <c r="I4107" s="1" t="s">
        <v>2888</v>
      </c>
      <c r="J4107" s="1" t="s">
        <v>86</v>
      </c>
      <c r="K4107" s="2" t="s">
        <v>12150</v>
      </c>
      <c r="L4107" s="2"/>
      <c r="M4107" s="2" t="str">
        <f>IFERROR(__xludf.DUMMYFUNCTION("split(split(K4107,""【演出"",false),""ほか"",false)"),"井上真央、北村有起哉、鈴木砂羽、池田鉄洋  木南晴夏、美波、笠原秀幸、おかやまはじめ、岩松了  堀部圭亮、嶋田久作、手塚理美宝町税務署に計画倒産のタレコミが届く。約400万円を滞納している株式会社ホツミがネットショップを開くための初期費用60万円を契約者から集め、それを踏み倒したまま巧妙な手口で倒産しようとしているという。裁判所が倒産を認めてしまうと税務署は手出しができなくなってしまう。鈴宮(井上真央)は裁判所にホツミについての情報提供を求めるが、「個人情報は教えられない」と門前払いされてしまう・・・")</f>
        <v>井上真央、北村有起哉、鈴木砂羽、池田鉄洋  木南晴夏、美波、笠原秀幸、おかやまはじめ、岩松了  堀部圭亮、嶋田久作、手塚理美宝町税務署に計画倒産のタレコミが届く。約400万円を滞納している株式会社ホツミがネットショップを開くための初期費用60万円を契約者から集め、それを踏み倒したまま巧妙な手口で倒産しようとしているという。裁判所が倒産を認めてしまうと税務署は手出しができなくなってしまう。鈴宮(井上真央)は裁判所にホツミについての情報提供を求めるが、「個人情報は教えられない」と門前払いされてしまう・・・</v>
      </c>
      <c r="N4107" s="2"/>
      <c r="O4107" s="2"/>
      <c r="P4107" s="1"/>
      <c r="Q4107" s="1"/>
      <c r="R4107" s="1"/>
      <c r="S4107" s="1"/>
      <c r="T4107" s="1"/>
      <c r="U4107" s="1"/>
      <c r="V4107" s="1"/>
      <c r="W4107" s="1"/>
      <c r="X4107" s="1"/>
      <c r="Y4107" s="1"/>
      <c r="Z4107" s="1"/>
      <c r="AA4107" s="1"/>
      <c r="AB4107" s="1"/>
      <c r="AC4107" s="1"/>
      <c r="AD4107" s="1"/>
      <c r="AE4107" s="1"/>
      <c r="AF4107" s="1"/>
      <c r="AG4107" s="1"/>
      <c r="AH4107" s="1"/>
      <c r="AI4107" s="1"/>
      <c r="AJ4107" s="1"/>
      <c r="AK4107" s="1"/>
      <c r="AL4107" s="1"/>
      <c r="AM4107" s="1"/>
      <c r="AN4107" s="1"/>
      <c r="AO4107" s="1"/>
      <c r="AP4107" s="1"/>
      <c r="AQ4107" s="1"/>
      <c r="AR4107" s="1"/>
      <c r="AS4107" s="1"/>
      <c r="AT4107" s="1"/>
      <c r="AU4107" s="1"/>
      <c r="AV4107" s="1"/>
      <c r="AW4107" s="1"/>
      <c r="AX4107" s="1"/>
      <c r="AY4107" s="1"/>
      <c r="AZ4107" s="1"/>
      <c r="BA4107" s="1"/>
      <c r="BB4107" s="1"/>
    </row>
    <row r="4108" ht="204.75" customHeight="1">
      <c r="A4108" s="1">
        <v>3705.0</v>
      </c>
      <c r="B4108" s="2" t="s">
        <v>12137</v>
      </c>
      <c r="C4108" s="2">
        <f>IFERROR(__xludf.DUMMYFUNCTION("split(B4108,""_"")"),1207.0)</f>
        <v>1207</v>
      </c>
      <c r="D4108" s="2" t="str">
        <f>IFERROR(__xludf.DUMMYFUNCTION("""COMPUTED_VALUE"""),"NTV")</f>
        <v>NTV</v>
      </c>
      <c r="E4108" s="2" t="str">
        <f>IFERROR(__xludf.DUMMYFUNCTION("""COMPUTED_VALUE"""),"水22")</f>
        <v>水22</v>
      </c>
      <c r="F4108" s="2" t="s">
        <v>12138</v>
      </c>
      <c r="G4108" s="2" t="s">
        <v>12151</v>
      </c>
      <c r="H4108" s="1">
        <v>7.0</v>
      </c>
      <c r="I4108" s="1" t="s">
        <v>2892</v>
      </c>
      <c r="J4108" s="1" t="s">
        <v>86</v>
      </c>
      <c r="K4108" s="2" t="s">
        <v>12152</v>
      </c>
      <c r="L4108" s="2"/>
      <c r="M4108" s="2" t="str">
        <f>IFERROR(__xludf.DUMMYFUNCTION("split(split(K4108,""【演出"",false),""ほか"",false)"),"井上真央、北村有起哉、鈴木砂羽、池田鉄洋  木南晴夏、笠原秀幸、おかやまはじめ、岩松了  関戸将志、松田沙紀、星野真里鈴宮(井上真央)は2千万円の税金を滞納しているガールズバーオーナー・豊成の身辺を洗うことに。一方、木綿子(鈴木砂羽)は、国立税務署から赴任してきた錨(星野真里)の言動に違和感を持ち、探りを入れ始める。鈴宮は豊成の金の隠し場所を探るため、南部(木南晴夏)を巻き込み、精一杯のセクシー衣裳?でガールズバーの面接に挑む。その頃、木綿子は錨のある事実を探り当てていたーーー")</f>
        <v>井上真央、北村有起哉、鈴木砂羽、池田鉄洋  木南晴夏、笠原秀幸、おかやまはじめ、岩松了  関戸将志、松田沙紀、星野真里鈴宮(井上真央)は2千万円の税金を滞納しているガールズバーオーナー・豊成の身辺を洗うことに。一方、木綿子(鈴木砂羽)は、国立税務署から赴任してきた錨(星野真里)の言動に違和感を持ち、探りを入れ始める。鈴宮は豊成の金の隠し場所を探るため、南部(木南晴夏)を巻き込み、精一杯のセクシー衣裳?でガールズバーの面接に挑む。その頃、木綿子は錨のある事実を探り当てていたーーー</v>
      </c>
      <c r="N4108" s="2"/>
      <c r="O4108" s="2"/>
      <c r="P4108" s="1"/>
      <c r="Q4108" s="1"/>
      <c r="R4108" s="1"/>
      <c r="S4108" s="1"/>
      <c r="T4108" s="1"/>
      <c r="U4108" s="1"/>
      <c r="V4108" s="1"/>
      <c r="W4108" s="1"/>
      <c r="X4108" s="1"/>
      <c r="Y4108" s="1"/>
      <c r="Z4108" s="1"/>
      <c r="AA4108" s="1"/>
      <c r="AB4108" s="1"/>
      <c r="AC4108" s="1"/>
      <c r="AD4108" s="1"/>
      <c r="AE4108" s="1"/>
      <c r="AF4108" s="1"/>
      <c r="AG4108" s="1"/>
      <c r="AH4108" s="1"/>
      <c r="AI4108" s="1"/>
      <c r="AJ4108" s="1"/>
      <c r="AK4108" s="1"/>
      <c r="AL4108" s="1"/>
      <c r="AM4108" s="1"/>
      <c r="AN4108" s="1"/>
      <c r="AO4108" s="1"/>
      <c r="AP4108" s="1"/>
      <c r="AQ4108" s="1"/>
      <c r="AR4108" s="1"/>
      <c r="AS4108" s="1"/>
      <c r="AT4108" s="1"/>
      <c r="AU4108" s="1"/>
      <c r="AV4108" s="1"/>
      <c r="AW4108" s="1"/>
      <c r="AX4108" s="1"/>
      <c r="AY4108" s="1"/>
      <c r="AZ4108" s="1"/>
      <c r="BA4108" s="1"/>
      <c r="BB4108" s="1"/>
    </row>
    <row r="4109" ht="204.75" customHeight="1">
      <c r="A4109" s="1">
        <v>3706.0</v>
      </c>
      <c r="B4109" s="2" t="s">
        <v>12137</v>
      </c>
      <c r="C4109" s="2">
        <f>IFERROR(__xludf.DUMMYFUNCTION("split(B4109,""_"")"),1207.0)</f>
        <v>1207</v>
      </c>
      <c r="D4109" s="2" t="str">
        <f>IFERROR(__xludf.DUMMYFUNCTION("""COMPUTED_VALUE"""),"NTV")</f>
        <v>NTV</v>
      </c>
      <c r="E4109" s="2" t="str">
        <f>IFERROR(__xludf.DUMMYFUNCTION("""COMPUTED_VALUE"""),"水22")</f>
        <v>水22</v>
      </c>
      <c r="F4109" s="2" t="s">
        <v>12138</v>
      </c>
      <c r="G4109" s="2" t="s">
        <v>12153</v>
      </c>
      <c r="H4109" s="1">
        <v>8.0</v>
      </c>
      <c r="I4109" s="1" t="s">
        <v>2896</v>
      </c>
      <c r="J4109" s="1" t="s">
        <v>86</v>
      </c>
      <c r="K4109" s="2" t="s">
        <v>12154</v>
      </c>
      <c r="L4109" s="2"/>
      <c r="M4109" s="2" t="str">
        <f>IFERROR(__xludf.DUMMYFUNCTION("split(split(K4109,""【演出"",false),""ほか"",false)"),"井上真央、北村有起哉、鈴木砂羽、池田鉄洋  美波、笠原秀幸、おかやまはじめ、岩松了  高林由紀子、濱田マリ、高橋かおり、入山法子  及川光博錨の夫に刺された鏡(北村有起哉)は入院し、鈴宮(井上真央)はひとりで案件に取り組むことに。3姉妹の長女・百合子(濱田マリ)と二女・桃花(高橋かおり)は父からの相続税を滞納しており、このままでは「連帯納付義務」により、三女(入山法子)から徴収しなければならなくなってしまう。法律の矛盾を感じる鈴宮の前に「お手伝いしましょうか?」と吹雪(及川光博)と名乗る弁護士が現れる。吹"&amp;"雪は味方なのか?それとも・・・")</f>
        <v>井上真央、北村有起哉、鈴木砂羽、池田鉄洋  美波、笠原秀幸、おかやまはじめ、岩松了  高林由紀子、濱田マリ、高橋かおり、入山法子  及川光博錨の夫に刺された鏡(北村有起哉)は入院し、鈴宮(井上真央)はひとりで案件に取り組むことに。3姉妹の長女・百合子(濱田マリ)と二女・桃花(高橋かおり)は父からの相続税を滞納しており、このままでは「連帯納付義務」により、三女(入山法子)から徴収しなければならなくなってしまう。法律の矛盾を感じる鈴宮の前に「お手伝いしましょうか?」と吹雪(及川光博)と名乗る弁護士が現れる。吹雪は味方なのか?それとも・・・</v>
      </c>
      <c r="N4109" s="2"/>
      <c r="O4109" s="2"/>
      <c r="P4109" s="1"/>
      <c r="Q4109" s="1"/>
      <c r="R4109" s="1"/>
      <c r="S4109" s="1"/>
      <c r="T4109" s="1"/>
      <c r="U4109" s="1"/>
      <c r="V4109" s="1"/>
      <c r="W4109" s="1"/>
      <c r="X4109" s="1"/>
      <c r="Y4109" s="1"/>
      <c r="Z4109" s="1"/>
      <c r="AA4109" s="1"/>
      <c r="AB4109" s="1"/>
      <c r="AC4109" s="1"/>
      <c r="AD4109" s="1"/>
      <c r="AE4109" s="1"/>
      <c r="AF4109" s="1"/>
      <c r="AG4109" s="1"/>
      <c r="AH4109" s="1"/>
      <c r="AI4109" s="1"/>
      <c r="AJ4109" s="1"/>
      <c r="AK4109" s="1"/>
      <c r="AL4109" s="1"/>
      <c r="AM4109" s="1"/>
      <c r="AN4109" s="1"/>
      <c r="AO4109" s="1"/>
      <c r="AP4109" s="1"/>
      <c r="AQ4109" s="1"/>
      <c r="AR4109" s="1"/>
      <c r="AS4109" s="1"/>
      <c r="AT4109" s="1"/>
      <c r="AU4109" s="1"/>
      <c r="AV4109" s="1"/>
      <c r="AW4109" s="1"/>
      <c r="AX4109" s="1"/>
      <c r="AY4109" s="1"/>
      <c r="AZ4109" s="1"/>
      <c r="BA4109" s="1"/>
      <c r="BB4109" s="1"/>
    </row>
    <row r="4110" ht="204.75" customHeight="1">
      <c r="A4110" s="1">
        <v>3707.0</v>
      </c>
      <c r="B4110" s="2" t="s">
        <v>12137</v>
      </c>
      <c r="C4110" s="2">
        <f>IFERROR(__xludf.DUMMYFUNCTION("split(B4110,""_"")"),1207.0)</f>
        <v>1207</v>
      </c>
      <c r="D4110" s="2" t="str">
        <f>IFERROR(__xludf.DUMMYFUNCTION("""COMPUTED_VALUE"""),"NTV")</f>
        <v>NTV</v>
      </c>
      <c r="E4110" s="2" t="str">
        <f>IFERROR(__xludf.DUMMYFUNCTION("""COMPUTED_VALUE"""),"水22")</f>
        <v>水22</v>
      </c>
      <c r="F4110" s="2" t="s">
        <v>12138</v>
      </c>
      <c r="G4110" s="2" t="s">
        <v>12155</v>
      </c>
      <c r="H4110" s="1">
        <v>9.0</v>
      </c>
      <c r="I4110" s="1" t="s">
        <v>2900</v>
      </c>
      <c r="J4110" s="1" t="s">
        <v>86</v>
      </c>
      <c r="K4110" s="2" t="s">
        <v>12156</v>
      </c>
      <c r="L4110" s="2"/>
      <c r="M4110" s="2" t="str">
        <f>IFERROR(__xludf.DUMMYFUNCTION("split(split(K4110,""【演出"",false),""ほか"",false)"),"井上真央、北村有起哉、鈴木砂羽、池田鉄洋  美波、木南晴夏、笠原秀幸、おかやまはじめ、岩松了  野間口徹、堀内敬子、及川光博弁護士の吹雪(及川光博)に食事に誘われ、どこか浮き立つ鈴宮(井上真央)。鏡(北村有起哉)は大衆食堂「唐川」の案件を持ち込む。鏡は店の土地を売るべきだと主人の唐川(野間口徹)と妻・詠子(堀内敬子)に主張するが、詠子は「店は主人の生きがい」と断る。鈴宮(井上真央)は何とか二人を助ける策を練るが上手くいかない。そんな中、詠子が妊娠していることを知る。しかし、夫の唐川はどこか思いつめた表情だ"&amp;"った・・・")</f>
        <v>井上真央、北村有起哉、鈴木砂羽、池田鉄洋  美波、木南晴夏、笠原秀幸、おかやまはじめ、岩松了  野間口徹、堀内敬子、及川光博弁護士の吹雪(及川光博)に食事に誘われ、どこか浮き立つ鈴宮(井上真央)。鏡(北村有起哉)は大衆食堂「唐川」の案件を持ち込む。鏡は店の土地を売るべきだと主人の唐川(野間口徹)と妻・詠子(堀内敬子)に主張するが、詠子は「店は主人の生きがい」と断る。鈴宮(井上真央)は何とか二人を助ける策を練るが上手くいかない。そんな中、詠子が妊娠していることを知る。しかし、夫の唐川はどこか思いつめた表情だった・・・</v>
      </c>
      <c r="N4110" s="2"/>
      <c r="O4110" s="2"/>
      <c r="P4110" s="1"/>
      <c r="Q4110" s="1"/>
      <c r="R4110" s="1"/>
      <c r="S4110" s="1"/>
      <c r="T4110" s="1"/>
      <c r="U4110" s="1"/>
      <c r="V4110" s="1"/>
      <c r="W4110" s="1"/>
      <c r="X4110" s="1"/>
      <c r="Y4110" s="1"/>
      <c r="Z4110" s="1"/>
      <c r="AA4110" s="1"/>
      <c r="AB4110" s="1"/>
      <c r="AC4110" s="1"/>
      <c r="AD4110" s="1"/>
      <c r="AE4110" s="1"/>
      <c r="AF4110" s="1"/>
      <c r="AG4110" s="1"/>
      <c r="AH4110" s="1"/>
      <c r="AI4110" s="1"/>
      <c r="AJ4110" s="1"/>
      <c r="AK4110" s="1"/>
      <c r="AL4110" s="1"/>
      <c r="AM4110" s="1"/>
      <c r="AN4110" s="1"/>
      <c r="AO4110" s="1"/>
      <c r="AP4110" s="1"/>
      <c r="AQ4110" s="1"/>
      <c r="AR4110" s="1"/>
      <c r="AS4110" s="1"/>
      <c r="AT4110" s="1"/>
      <c r="AU4110" s="1"/>
      <c r="AV4110" s="1"/>
      <c r="AW4110" s="1"/>
      <c r="AX4110" s="1"/>
      <c r="AY4110" s="1"/>
      <c r="AZ4110" s="1"/>
      <c r="BA4110" s="1"/>
      <c r="BB4110" s="1"/>
    </row>
    <row r="4111" ht="204.75" customHeight="1">
      <c r="A4111" s="1">
        <v>3708.0</v>
      </c>
      <c r="B4111" s="2" t="s">
        <v>12137</v>
      </c>
      <c r="C4111" s="2">
        <f>IFERROR(__xludf.DUMMYFUNCTION("split(B4111,""_"")"),1207.0)</f>
        <v>1207</v>
      </c>
      <c r="D4111" s="2" t="str">
        <f>IFERROR(__xludf.DUMMYFUNCTION("""COMPUTED_VALUE"""),"NTV")</f>
        <v>NTV</v>
      </c>
      <c r="E4111" s="2" t="str">
        <f>IFERROR(__xludf.DUMMYFUNCTION("""COMPUTED_VALUE"""),"水22")</f>
        <v>水22</v>
      </c>
      <c r="F4111" s="2" t="s">
        <v>12138</v>
      </c>
      <c r="G4111" s="2" t="s">
        <v>12157</v>
      </c>
      <c r="H4111" s="1">
        <v>10.0</v>
      </c>
      <c r="I4111" s="1" t="s">
        <v>37</v>
      </c>
      <c r="J4111" s="1" t="s">
        <v>86</v>
      </c>
      <c r="K4111" s="2" t="s">
        <v>12158</v>
      </c>
      <c r="L4111" s="2"/>
      <c r="M4111" s="2" t="str">
        <f>IFERROR(__xludf.DUMMYFUNCTION("split(split(K4111,""【演出"",false),""ほか"",false)"),"井上真央、北村有起哉、鈴木砂羽、池田鉄洋  木南晴夏、美波、笠原秀幸、おかやまはじめ、岩松了  野間口徹、堀内敬子、若村麻由美、及川光博大衆食堂の店主・唐川(野間口徹)が妻(堀内敬子)を残し自殺を図ったのは鏡(北村有起哉)が「店を差し押さえるぞ」と恫喝したためだとして、弁護士の吹雪(及川光博)は損害賠償を求める裁判を起こした。一方、鈴宮(井上真央)は南部(木南晴夏)や木綿子(鈴木砂羽)の協力で、唐川夫妻の家庭の事情を明らかにしていく。鏡は責任を取り、宝町税務署を追われてしまうのか?鏡とぐ～子のトッカンコン"&amp;"ビは解散してしまうのか?")</f>
        <v>井上真央、北村有起哉、鈴木砂羽、池田鉄洋  木南晴夏、美波、笠原秀幸、おかやまはじめ、岩松了  野間口徹、堀内敬子、若村麻由美、及川光博大衆食堂の店主・唐川(野間口徹)が妻(堀内敬子)を残し自殺を図ったのは鏡(北村有起哉)が「店を差し押さえるぞ」と恫喝したためだとして、弁護士の吹雪(及川光博)は損害賠償を求める裁判を起こした。一方、鈴宮(井上真央)は南部(木南晴夏)や木綿子(鈴木砂羽)の協力で、唐川夫妻の家庭の事情を明らかにしていく。鏡は責任を取り、宝町税務署を追われてしまうのか?鏡とぐ～子のトッカンコンビは解散してしまうのか?</v>
      </c>
      <c r="N4111" s="2"/>
      <c r="O4111" s="2"/>
      <c r="P4111" s="1"/>
      <c r="Q4111" s="1"/>
      <c r="R4111" s="1"/>
      <c r="S4111" s="1"/>
      <c r="T4111" s="1"/>
      <c r="U4111" s="1"/>
      <c r="V4111" s="1"/>
      <c r="W4111" s="1"/>
      <c r="X4111" s="1"/>
      <c r="Y4111" s="1"/>
      <c r="Z4111" s="1"/>
      <c r="AA4111" s="1"/>
      <c r="AB4111" s="1"/>
      <c r="AC4111" s="1"/>
      <c r="AD4111" s="1"/>
      <c r="AE4111" s="1"/>
      <c r="AF4111" s="1"/>
      <c r="AG4111" s="1"/>
      <c r="AH4111" s="1"/>
      <c r="AI4111" s="1"/>
      <c r="AJ4111" s="1"/>
      <c r="AK4111" s="1"/>
      <c r="AL4111" s="1"/>
      <c r="AM4111" s="1"/>
      <c r="AN4111" s="1"/>
      <c r="AO4111" s="1"/>
      <c r="AP4111" s="1"/>
      <c r="AQ4111" s="1"/>
      <c r="AR4111" s="1"/>
      <c r="AS4111" s="1"/>
      <c r="AT4111" s="1"/>
      <c r="AU4111" s="1"/>
      <c r="AV4111" s="1"/>
      <c r="AW4111" s="1"/>
      <c r="AX4111" s="1"/>
      <c r="AY4111" s="1"/>
      <c r="AZ4111" s="1"/>
      <c r="BA4111" s="1"/>
      <c r="BB4111" s="1"/>
    </row>
    <row r="4112" ht="204.75" customHeight="1">
      <c r="A4112" s="1">
        <v>3738.0</v>
      </c>
      <c r="B4112" s="2" t="s">
        <v>12159</v>
      </c>
      <c r="C4112" s="2">
        <f>IFERROR(__xludf.DUMMYFUNCTION("split(B4112,""_"")"),1207.0)</f>
        <v>1207</v>
      </c>
      <c r="D4112" s="2" t="str">
        <f>IFERROR(__xludf.DUMMYFUNCTION("""COMPUTED_VALUE"""),"NTV")</f>
        <v>NTV</v>
      </c>
      <c r="E4112" s="2" t="str">
        <f>IFERROR(__xludf.DUMMYFUNCTION("""COMPUTED_VALUE"""),"木23")</f>
        <v>木23</v>
      </c>
      <c r="F4112" s="2" t="s">
        <v>12160</v>
      </c>
      <c r="G4112" s="2" t="s">
        <v>12161</v>
      </c>
      <c r="H4112" s="1">
        <v>1.0</v>
      </c>
      <c r="J4112" s="1" t="s">
        <v>1435</v>
      </c>
      <c r="K4112" s="2" t="s">
        <v>12162</v>
      </c>
      <c r="L4112" s="2"/>
      <c r="M4112" s="2" t="str">
        <f>IFERROR(__xludf.DUMMYFUNCTION("split(split(K4112,""【演出"",false),""ほか"",false)"),"山田優、金子ノブアキ、矢柴俊博、鈴木浩介、勝村政信(他)休職中の刑事、和馬(金子ノブアキ)は詐欺グループの北川(鈴木浩介)と取引をしていた。その時、清末(勝村政信)と同じ店にいたモデルの玲奈(山田優)は北川に聞き覚えのない「クリスティーナ」と声をかけられ、抱きつかれる。北川は引き離そうとした和馬を殴って逃走。玲奈は北川を全く知らなかった。しかし翌日、玲奈のVISIONに北川が現れた。何故か彼の額には銃弾の跡があり、自分の遺体を探して欲しいと玲奈に訴える原作・脚本は、「NIGHT　HEAD」  「沙粧妙子　"&amp;"最後の事件」「ギフト」など、ミステリーの第一人者・飯田譲治が担当。  最後まで展開の読めない本格サスペンスをお楽しみ下さい。")</f>
        <v>山田優、金子ノブアキ、矢柴俊博、鈴木浩介、勝村政信(他)休職中の刑事、和馬(金子ノブアキ)は詐欺グループの北川(鈴木浩介)と取引をしていた。その時、清末(勝村政信)と同じ店にいたモデルの玲奈(山田優)は北川に聞き覚えのない「クリスティーナ」と声をかけられ、抱きつかれる。北川は引き離そうとした和馬を殴って逃走。玲奈は北川を全く知らなかった。しかし翌日、玲奈のVISIONに北川が現れた。何故か彼の額には銃弾の跡があり、自分の遺体を探して欲しいと玲奈に訴える原作・脚本は、「NIGHT　HEAD」  「沙粧妙子　最後の事件」「ギフト」など、ミステリーの第一人者・飯田譲治が担当。  最後まで展開の読めない本格サスペンスをお楽しみ下さい。</v>
      </c>
      <c r="N4112" s="2"/>
      <c r="O4112" s="2"/>
      <c r="P4112" s="1"/>
      <c r="Q4112" s="1"/>
      <c r="R4112" s="1"/>
      <c r="S4112" s="1"/>
      <c r="T4112" s="1"/>
      <c r="U4112" s="1"/>
      <c r="V4112" s="1"/>
      <c r="W4112" s="1"/>
      <c r="X4112" s="1"/>
      <c r="Y4112" s="1"/>
      <c r="Z4112" s="1"/>
      <c r="AA4112" s="1"/>
      <c r="AB4112" s="1"/>
      <c r="AC4112" s="1"/>
      <c r="AD4112" s="1"/>
      <c r="AE4112" s="1"/>
      <c r="AF4112" s="1"/>
      <c r="AG4112" s="1"/>
      <c r="AH4112" s="1"/>
      <c r="AI4112" s="1"/>
      <c r="AJ4112" s="1"/>
      <c r="AK4112" s="1"/>
      <c r="AL4112" s="1"/>
      <c r="AM4112" s="1"/>
      <c r="AN4112" s="1"/>
      <c r="AO4112" s="1"/>
      <c r="AP4112" s="1"/>
      <c r="AQ4112" s="1"/>
      <c r="AR4112" s="1"/>
      <c r="AS4112" s="1"/>
      <c r="AT4112" s="1"/>
      <c r="AU4112" s="1"/>
      <c r="AV4112" s="1"/>
      <c r="AW4112" s="1"/>
      <c r="AX4112" s="1"/>
      <c r="AY4112" s="1"/>
      <c r="AZ4112" s="1"/>
      <c r="BA4112" s="1"/>
      <c r="BB4112" s="1"/>
    </row>
    <row r="4113" ht="204.75" customHeight="1">
      <c r="A4113" s="1">
        <v>3739.0</v>
      </c>
      <c r="B4113" s="2" t="s">
        <v>12159</v>
      </c>
      <c r="C4113" s="2">
        <f>IFERROR(__xludf.DUMMYFUNCTION("split(B4113,""_"")"),1207.0)</f>
        <v>1207</v>
      </c>
      <c r="D4113" s="2" t="str">
        <f>IFERROR(__xludf.DUMMYFUNCTION("""COMPUTED_VALUE"""),"NTV")</f>
        <v>NTV</v>
      </c>
      <c r="E4113" s="2" t="str">
        <f>IFERROR(__xludf.DUMMYFUNCTION("""COMPUTED_VALUE"""),"木23")</f>
        <v>木23</v>
      </c>
      <c r="F4113" s="2" t="s">
        <v>12160</v>
      </c>
      <c r="G4113" s="2" t="s">
        <v>12163</v>
      </c>
      <c r="H4113" s="1">
        <v>2.0</v>
      </c>
      <c r="J4113" s="1" t="s">
        <v>1435</v>
      </c>
      <c r="K4113" s="2" t="s">
        <v>12164</v>
      </c>
      <c r="L4113" s="2"/>
      <c r="M4113" s="2" t="str">
        <f>IFERROR(__xludf.DUMMYFUNCTION("split(split(K4113,""【演出"",false),""ほか"",false)"),"山田優、金子ノブアキ、矢柴俊博、中村倫也、勝村政信(他)会社員の吉村が刺殺される事件が発生。容疑者の立原(中村倫也)は吉村の後輩でいじめを受けていた。立原は「クリスティーナへ」というメッセージを現場に残していて、和馬(金子ノブアキ)は玲奈(山田優)に話を聞きに行く。自宅にいた玲奈のVISIONに現われた立原は「クリスティーナ」と呼びかけ、君の願い通り、殺すのは3人だと告げる。そして立原は額から血を流しており、その血は立っているのに何故か横に流れていた…原作・脚本は、「NIGHT　HEAD」  「沙粧妙子　"&amp;"最後の事件」「ギフト」など、  ミステリーの第一人者・飯田譲治が担当。  最後まで展開の読めない本格サスペンスをお楽しみ下さい。")</f>
        <v>山田優、金子ノブアキ、矢柴俊博、中村倫也、勝村政信(他)会社員の吉村が刺殺される事件が発生。容疑者の立原(中村倫也)は吉村の後輩でいじめを受けていた。立原は「クリスティーナへ」というメッセージを現場に残していて、和馬(金子ノブアキ)は玲奈(山田優)に話を聞きに行く。自宅にいた玲奈のVISIONに現われた立原は「クリスティーナ」と呼びかけ、君の願い通り、殺すのは3人だと告げる。そして立原は額から血を流しており、その血は立っているのに何故か横に流れていた…原作・脚本は、「NIGHT　HEAD」  「沙粧妙子　最後の事件」「ギフト」など、  ミステリーの第一人者・飯田譲治が担当。  最後まで展開の読めない本格サスペンスをお楽しみ下さい。</v>
      </c>
      <c r="N4113" s="2"/>
      <c r="O4113" s="2"/>
      <c r="P4113" s="1"/>
      <c r="Q4113" s="1"/>
      <c r="R4113" s="1"/>
      <c r="S4113" s="1"/>
      <c r="T4113" s="1"/>
      <c r="U4113" s="1"/>
      <c r="V4113" s="1"/>
      <c r="W4113" s="1"/>
      <c r="X4113" s="1"/>
      <c r="Y4113" s="1"/>
      <c r="Z4113" s="1"/>
      <c r="AA4113" s="1"/>
      <c r="AB4113" s="1"/>
      <c r="AC4113" s="1"/>
      <c r="AD4113" s="1"/>
      <c r="AE4113" s="1"/>
      <c r="AF4113" s="1"/>
      <c r="AG4113" s="1"/>
      <c r="AH4113" s="1"/>
      <c r="AI4113" s="1"/>
      <c r="AJ4113" s="1"/>
      <c r="AK4113" s="1"/>
      <c r="AL4113" s="1"/>
      <c r="AM4113" s="1"/>
      <c r="AN4113" s="1"/>
      <c r="AO4113" s="1"/>
      <c r="AP4113" s="1"/>
      <c r="AQ4113" s="1"/>
      <c r="AR4113" s="1"/>
      <c r="AS4113" s="1"/>
      <c r="AT4113" s="1"/>
      <c r="AU4113" s="1"/>
      <c r="AV4113" s="1"/>
      <c r="AW4113" s="1"/>
      <c r="AX4113" s="1"/>
      <c r="AY4113" s="1"/>
      <c r="AZ4113" s="1"/>
      <c r="BA4113" s="1"/>
      <c r="BB4113" s="1"/>
    </row>
    <row r="4114" ht="204.75" customHeight="1">
      <c r="A4114" s="1">
        <v>3740.0</v>
      </c>
      <c r="B4114" s="2" t="s">
        <v>12159</v>
      </c>
      <c r="C4114" s="2">
        <f>IFERROR(__xludf.DUMMYFUNCTION("split(B4114,""_"")"),1207.0)</f>
        <v>1207</v>
      </c>
      <c r="D4114" s="2" t="str">
        <f>IFERROR(__xludf.DUMMYFUNCTION("""COMPUTED_VALUE"""),"NTV")</f>
        <v>NTV</v>
      </c>
      <c r="E4114" s="2" t="str">
        <f>IFERROR(__xludf.DUMMYFUNCTION("""COMPUTED_VALUE"""),"木23")</f>
        <v>木23</v>
      </c>
      <c r="F4114" s="2" t="s">
        <v>12160</v>
      </c>
      <c r="G4114" s="2" t="s">
        <v>12165</v>
      </c>
      <c r="H4114" s="1">
        <v>3.0</v>
      </c>
      <c r="I4114" s="1" t="s">
        <v>2876</v>
      </c>
      <c r="J4114" s="1" t="s">
        <v>1435</v>
      </c>
      <c r="K4114" s="2" t="s">
        <v>12166</v>
      </c>
      <c r="L4114" s="2"/>
      <c r="M4114" s="2" t="str">
        <f>IFERROR(__xludf.DUMMYFUNCTION("split(split(K4114,""【演出"",false),""ほか"",false)"),"山田優、金子ノブアキ、矢柴俊博、佐藤寛子、野間口徹、勝村政信(他)第3の殺人者は悪意に満ちた女。  玲奈(山田優)のVISIONにボンデージ姿の貞子(佐藤寛子)が現れ、その直後に和馬(金子ノブアキ)は殺人事件が起きたという連絡を受ける。現場には「クリスティーナに愛の手を」というメッセージが残されていた。この後、和馬は第2の犠牲者が出たという連絡を受け現場へ向かうと、玲奈の前に貞子が現れる。貞子は玲奈に対し「クリスティーナはあなたのダークサイド」と言い放つ。原作・脚本は、「NIGHT　HEAD」  「沙粧妙"&amp;"子　最後の事件」「ギフト」など、  ミステリーの第一人者・飯田譲治が担当。  最後まで展開の読めない本格サスペンスをお楽しみ下さい。主題歌はCREAMが歌う「RUNAWAY」")</f>
        <v>山田優、金子ノブアキ、矢柴俊博、佐藤寛子、野間口徹、勝村政信(他)第3の殺人者は悪意に満ちた女。  玲奈(山田優)のVISIONにボンデージ姿の貞子(佐藤寛子)が現れ、その直後に和馬(金子ノブアキ)は殺人事件が起きたという連絡を受ける。現場には「クリスティーナに愛の手を」というメッセージが残されていた。この後、和馬は第2の犠牲者が出たという連絡を受け現場へ向かうと、玲奈の前に貞子が現れる。貞子は玲奈に対し「クリスティーナはあなたのダークサイド」と言い放つ。原作・脚本は、「NIGHT　HEAD」  「沙粧妙子　最後の事件」「ギフト」など、  ミステリーの第一人者・飯田譲治が担当。  最後まで展開の読めない本格サスペンスをお楽しみ下さい。主題歌はCREAMが歌う「RUNAWAY」</v>
      </c>
      <c r="N4114" s="2"/>
      <c r="O4114" s="2"/>
      <c r="P4114" s="1"/>
      <c r="Q4114" s="1"/>
      <c r="R4114" s="1"/>
      <c r="S4114" s="1"/>
      <c r="T4114" s="1"/>
      <c r="U4114" s="1"/>
      <c r="V4114" s="1"/>
      <c r="W4114" s="1"/>
      <c r="X4114" s="1"/>
      <c r="Y4114" s="1"/>
      <c r="Z4114" s="1"/>
      <c r="AA4114" s="1"/>
      <c r="AB4114" s="1"/>
      <c r="AC4114" s="1"/>
      <c r="AD4114" s="1"/>
      <c r="AE4114" s="1"/>
      <c r="AF4114" s="1"/>
      <c r="AG4114" s="1"/>
      <c r="AH4114" s="1"/>
      <c r="AI4114" s="1"/>
      <c r="AJ4114" s="1"/>
      <c r="AK4114" s="1"/>
      <c r="AL4114" s="1"/>
      <c r="AM4114" s="1"/>
      <c r="AN4114" s="1"/>
      <c r="AO4114" s="1"/>
      <c r="AP4114" s="1"/>
      <c r="AQ4114" s="1"/>
      <c r="AR4114" s="1"/>
      <c r="AS4114" s="1"/>
      <c r="AT4114" s="1"/>
      <c r="AU4114" s="1"/>
      <c r="AV4114" s="1"/>
      <c r="AW4114" s="1"/>
      <c r="AX4114" s="1"/>
      <c r="AY4114" s="1"/>
      <c r="AZ4114" s="1"/>
      <c r="BA4114" s="1"/>
      <c r="BB4114" s="1"/>
    </row>
    <row r="4115" ht="204.75" customHeight="1">
      <c r="A4115" s="1">
        <v>3741.0</v>
      </c>
      <c r="B4115" s="2" t="s">
        <v>12159</v>
      </c>
      <c r="C4115" s="2">
        <f>IFERROR(__xludf.DUMMYFUNCTION("split(B4115,""_"")"),1207.0)</f>
        <v>1207</v>
      </c>
      <c r="D4115" s="2" t="str">
        <f>IFERROR(__xludf.DUMMYFUNCTION("""COMPUTED_VALUE"""),"NTV")</f>
        <v>NTV</v>
      </c>
      <c r="E4115" s="2" t="str">
        <f>IFERROR(__xludf.DUMMYFUNCTION("""COMPUTED_VALUE"""),"木23")</f>
        <v>木23</v>
      </c>
      <c r="F4115" s="2" t="s">
        <v>12160</v>
      </c>
      <c r="G4115" s="2" t="s">
        <v>12167</v>
      </c>
      <c r="H4115" s="1">
        <v>4.0</v>
      </c>
      <c r="I4115" s="1" t="s">
        <v>2880</v>
      </c>
      <c r="J4115" s="1" t="s">
        <v>1435</v>
      </c>
      <c r="K4115" s="2" t="s">
        <v>12168</v>
      </c>
      <c r="L4115" s="2"/>
      <c r="M4115" s="2" t="str">
        <f>IFERROR(__xludf.DUMMYFUNCTION("split(split(K4115,""【演出"",false),""ほか"",false)"),"山田優、金子ノブアキ、矢柴俊博、朝加真由美、勝村政信(他)株の不正取引を暴こうとした記者を殺した容疑者、池田が殺害される。そんな中、玲奈(山田優)のVISIONにマスクで顔を隠した男が現れる。男はミスターXと名乗り、池田以外にあと2人を葬ると玲奈に伝える。そして、ミスターXは池田の手下、猿谷を刺殺。その頃、和馬(金子ノブアキ)は玲奈と絶縁状態の母親、玲子(朝加真由美)を訪ねていた。玲奈の履歴を調べた和馬は彼女の高校時代、空白の1年があったことを知るが…原作・脚本は、「NIGHT　HEAD」「沙粧妙子　最後"&amp;"の事件」「ギフト」など、ミステリーの第一人者・飯田譲治が担当。  最後まで展開の読めない本格サスペンスをお楽しみ下さい。主題歌はCREAMが歌う「RUNAWAY」")</f>
        <v>山田優、金子ノブアキ、矢柴俊博、朝加真由美、勝村政信(他)株の不正取引を暴こうとした記者を殺した容疑者、池田が殺害される。そんな中、玲奈(山田優)のVISIONにマスクで顔を隠した男が現れる。男はミスターXと名乗り、池田以外にあと2人を葬ると玲奈に伝える。そして、ミスターXは池田の手下、猿谷を刺殺。その頃、和馬(金子ノブアキ)は玲奈と絶縁状態の母親、玲子(朝加真由美)を訪ねていた。玲奈の履歴を調べた和馬は彼女の高校時代、空白の1年があったことを知るが…原作・脚本は、「NIGHT　HEAD」「沙粧妙子　最後の事件」「ギフト」など、ミステリーの第一人者・飯田譲治が担当。  最後まで展開の読めない本格サスペンスをお楽しみ下さい。主題歌はCREAMが歌う「RUNAWAY」</v>
      </c>
      <c r="N4115" s="2"/>
      <c r="O4115" s="2"/>
      <c r="P4115" s="1"/>
      <c r="Q4115" s="1"/>
      <c r="R4115" s="1"/>
      <c r="S4115" s="1"/>
      <c r="T4115" s="1"/>
      <c r="U4115" s="1"/>
      <c r="V4115" s="1"/>
      <c r="W4115" s="1"/>
      <c r="X4115" s="1"/>
      <c r="Y4115" s="1"/>
      <c r="Z4115" s="1"/>
      <c r="AA4115" s="1"/>
      <c r="AB4115" s="1"/>
      <c r="AC4115" s="1"/>
      <c r="AD4115" s="1"/>
      <c r="AE4115" s="1"/>
      <c r="AF4115" s="1"/>
      <c r="AG4115" s="1"/>
      <c r="AH4115" s="1"/>
      <c r="AI4115" s="1"/>
      <c r="AJ4115" s="1"/>
      <c r="AK4115" s="1"/>
      <c r="AL4115" s="1"/>
      <c r="AM4115" s="1"/>
      <c r="AN4115" s="1"/>
      <c r="AO4115" s="1"/>
      <c r="AP4115" s="1"/>
      <c r="AQ4115" s="1"/>
      <c r="AR4115" s="1"/>
      <c r="AS4115" s="1"/>
      <c r="AT4115" s="1"/>
      <c r="AU4115" s="1"/>
      <c r="AV4115" s="1"/>
      <c r="AW4115" s="1"/>
      <c r="AX4115" s="1"/>
      <c r="AY4115" s="1"/>
      <c r="AZ4115" s="1"/>
      <c r="BA4115" s="1"/>
      <c r="BB4115" s="1"/>
    </row>
    <row r="4116" ht="204.75" customHeight="1">
      <c r="A4116" s="1">
        <v>3742.0</v>
      </c>
      <c r="B4116" s="2" t="s">
        <v>12159</v>
      </c>
      <c r="C4116" s="2">
        <f>IFERROR(__xludf.DUMMYFUNCTION("split(B4116,""_"")"),1207.0)</f>
        <v>1207</v>
      </c>
      <c r="D4116" s="2" t="str">
        <f>IFERROR(__xludf.DUMMYFUNCTION("""COMPUTED_VALUE"""),"NTV")</f>
        <v>NTV</v>
      </c>
      <c r="E4116" s="2" t="str">
        <f>IFERROR(__xludf.DUMMYFUNCTION("""COMPUTED_VALUE"""),"木23")</f>
        <v>木23</v>
      </c>
      <c r="F4116" s="2" t="s">
        <v>12160</v>
      </c>
      <c r="G4116" s="2" t="s">
        <v>12169</v>
      </c>
      <c r="H4116" s="1">
        <v>5.0</v>
      </c>
      <c r="I4116" s="1" t="s">
        <v>2884</v>
      </c>
      <c r="J4116" s="1" t="s">
        <v>1435</v>
      </c>
      <c r="K4116" s="2" t="s">
        <v>12170</v>
      </c>
      <c r="L4116" s="2"/>
      <c r="M4116" s="2" t="str">
        <f>IFERROR(__xludf.DUMMYFUNCTION("split(split(K4116,""【演出"",false),""ほか"",false)"),"山田優、金子ノブアキ、矢柴俊博、桐山漣、勝村政信(他)アイドルの追っかけだった男が殺害され、玲奈(山田優)の画像が入った携帯が落ちていたという。崎阪(矢柴俊博)の命令で和馬(金子ノブアキ)はCM撮影中の玲奈に会いに行く。その頃、撮影現場ではカメラマンの到着が遅れるという問題が発生。カメラマンを待つ玲奈は現場にいた田中(桐山漣)に写真を撮りたいと声をかけられる。が、そこに遅れてカメラマン近藤(松尾敏伸)が現れ、玲奈は2人カメラマンがいることを疑問に思う原作・脚本は、「NIGHT　HEAD」「沙粧妙子　最後の"&amp;"事件」「ギフト」など、ミステリーの第一人者・飯田譲治が担当。  最後まで展開の読めない本格サスペンスをお楽しみ下さい。主題歌はCREAMが歌う「RUNAWAY」")</f>
        <v>山田優、金子ノブアキ、矢柴俊博、桐山漣、勝村政信(他)アイドルの追っかけだった男が殺害され、玲奈(山田優)の画像が入った携帯が落ちていたという。崎阪(矢柴俊博)の命令で和馬(金子ノブアキ)はCM撮影中の玲奈に会いに行く。その頃、撮影現場ではカメラマンの到着が遅れるという問題が発生。カメラマンを待つ玲奈は現場にいた田中(桐山漣)に写真を撮りたいと声をかけられる。が、そこに遅れてカメラマン近藤(松尾敏伸)が現れ、玲奈は2人カメラマンがいることを疑問に思う原作・脚本は、「NIGHT　HEAD」「沙粧妙子　最後の事件」「ギフト」など、ミステリーの第一人者・飯田譲治が担当。  最後まで展開の読めない本格サスペンスをお楽しみ下さい。主題歌はCREAMが歌う「RUNAWAY」</v>
      </c>
      <c r="N4116" s="2"/>
      <c r="O4116" s="2"/>
      <c r="P4116" s="1"/>
      <c r="Q4116" s="1"/>
      <c r="R4116" s="1"/>
      <c r="S4116" s="1"/>
      <c r="T4116" s="1"/>
      <c r="U4116" s="1"/>
      <c r="V4116" s="1"/>
      <c r="W4116" s="1"/>
      <c r="X4116" s="1"/>
      <c r="Y4116" s="1"/>
      <c r="Z4116" s="1"/>
      <c r="AA4116" s="1"/>
      <c r="AB4116" s="1"/>
      <c r="AC4116" s="1"/>
      <c r="AD4116" s="1"/>
      <c r="AE4116" s="1"/>
      <c r="AF4116" s="1"/>
      <c r="AG4116" s="1"/>
      <c r="AH4116" s="1"/>
      <c r="AI4116" s="1"/>
      <c r="AJ4116" s="1"/>
      <c r="AK4116" s="1"/>
      <c r="AL4116" s="1"/>
      <c r="AM4116" s="1"/>
      <c r="AN4116" s="1"/>
      <c r="AO4116" s="1"/>
      <c r="AP4116" s="1"/>
      <c r="AQ4116" s="1"/>
      <c r="AR4116" s="1"/>
      <c r="AS4116" s="1"/>
      <c r="AT4116" s="1"/>
      <c r="AU4116" s="1"/>
      <c r="AV4116" s="1"/>
      <c r="AW4116" s="1"/>
      <c r="AX4116" s="1"/>
      <c r="AY4116" s="1"/>
      <c r="AZ4116" s="1"/>
      <c r="BA4116" s="1"/>
      <c r="BB4116" s="1"/>
    </row>
    <row r="4117" ht="204.75" customHeight="1">
      <c r="A4117" s="1">
        <v>3743.0</v>
      </c>
      <c r="B4117" s="2" t="s">
        <v>12159</v>
      </c>
      <c r="C4117" s="2">
        <f>IFERROR(__xludf.DUMMYFUNCTION("split(B4117,""_"")"),1207.0)</f>
        <v>1207</v>
      </c>
      <c r="D4117" s="2" t="str">
        <f>IFERROR(__xludf.DUMMYFUNCTION("""COMPUTED_VALUE"""),"NTV")</f>
        <v>NTV</v>
      </c>
      <c r="E4117" s="2" t="str">
        <f>IFERROR(__xludf.DUMMYFUNCTION("""COMPUTED_VALUE"""),"木23")</f>
        <v>木23</v>
      </c>
      <c r="F4117" s="2" t="s">
        <v>12160</v>
      </c>
      <c r="G4117" s="2" t="s">
        <v>12171</v>
      </c>
      <c r="H4117" s="1">
        <v>6.0</v>
      </c>
      <c r="I4117" s="1" t="s">
        <v>2888</v>
      </c>
      <c r="J4117" s="1" t="s">
        <v>1435</v>
      </c>
      <c r="K4117" s="2" t="s">
        <v>12172</v>
      </c>
      <c r="L4117" s="2"/>
      <c r="M4117" s="2" t="str">
        <f>IFERROR(__xludf.DUMMYFUNCTION("split(split(K4117,""【演出"",false),""ほか"",false)"),"山田優、金子ノブアキ、矢柴俊博、酒井敏也、野間口徹、勝村政信(他)心理学の権威、田口(酒井敏也)が殺害される。田口の胸にはChristinaと書かれたメモが残されていた。和馬(金子ノブアキ)は玲奈(山田優)に田口が殺された事を伝える。その頃、准教授の長岡(野間口徹)は清末(勝村政信)を訪ね、クリスティーナから届いたゲームの状況を確認。長岡が帰った後もゲームをプレイし続ける清末。すると突然、ディスプレイから強い光が放たれ、清末は遂にクリスティーナの姿を見てしまう。原作・脚本は、「NIGHT　HEAD」「沙粧"&amp;"妙子　最後の事件」「ギフト」など、ミステリーの第一人者・飯田譲治が担当。  最後まで展開の読めない本格サスペンスをお楽しみ下さい。主題歌はCREAMが歌う「RUNAWAY」")</f>
        <v>山田優、金子ノブアキ、矢柴俊博、酒井敏也、野間口徹、勝村政信(他)心理学の権威、田口(酒井敏也)が殺害される。田口の胸にはChristinaと書かれたメモが残されていた。和馬(金子ノブアキ)は玲奈(山田優)に田口が殺された事を伝える。その頃、准教授の長岡(野間口徹)は清末(勝村政信)を訪ね、クリスティーナから届いたゲームの状況を確認。長岡が帰った後もゲームをプレイし続ける清末。すると突然、ディスプレイから強い光が放たれ、清末は遂にクリスティーナの姿を見てしまう。原作・脚本は、「NIGHT　HEAD」「沙粧妙子　最後の事件」「ギフト」など、ミステリーの第一人者・飯田譲治が担当。  最後まで展開の読めない本格サスペンスをお楽しみ下さい。主題歌はCREAMが歌う「RUNAWAY」</v>
      </c>
      <c r="N4117" s="2"/>
      <c r="O4117" s="2"/>
      <c r="P4117" s="1"/>
      <c r="Q4117" s="1"/>
      <c r="R4117" s="1"/>
      <c r="S4117" s="1"/>
      <c r="T4117" s="1"/>
      <c r="U4117" s="1"/>
      <c r="V4117" s="1"/>
      <c r="W4117" s="1"/>
      <c r="X4117" s="1"/>
      <c r="Y4117" s="1"/>
      <c r="Z4117" s="1"/>
      <c r="AA4117" s="1"/>
      <c r="AB4117" s="1"/>
      <c r="AC4117" s="1"/>
      <c r="AD4117" s="1"/>
      <c r="AE4117" s="1"/>
      <c r="AF4117" s="1"/>
      <c r="AG4117" s="1"/>
      <c r="AH4117" s="1"/>
      <c r="AI4117" s="1"/>
      <c r="AJ4117" s="1"/>
      <c r="AK4117" s="1"/>
      <c r="AL4117" s="1"/>
      <c r="AM4117" s="1"/>
      <c r="AN4117" s="1"/>
      <c r="AO4117" s="1"/>
      <c r="AP4117" s="1"/>
      <c r="AQ4117" s="1"/>
      <c r="AR4117" s="1"/>
      <c r="AS4117" s="1"/>
      <c r="AT4117" s="1"/>
      <c r="AU4117" s="1"/>
      <c r="AV4117" s="1"/>
      <c r="AW4117" s="1"/>
      <c r="AX4117" s="1"/>
      <c r="AY4117" s="1"/>
      <c r="AZ4117" s="1"/>
      <c r="BA4117" s="1"/>
      <c r="BB4117" s="1"/>
    </row>
    <row r="4118" ht="204.75" customHeight="1">
      <c r="A4118" s="1">
        <v>3744.0</v>
      </c>
      <c r="B4118" s="2" t="s">
        <v>12159</v>
      </c>
      <c r="C4118" s="2">
        <f>IFERROR(__xludf.DUMMYFUNCTION("split(B4118,""_"")"),1207.0)</f>
        <v>1207</v>
      </c>
      <c r="D4118" s="2" t="str">
        <f>IFERROR(__xludf.DUMMYFUNCTION("""COMPUTED_VALUE"""),"NTV")</f>
        <v>NTV</v>
      </c>
      <c r="E4118" s="2" t="str">
        <f>IFERROR(__xludf.DUMMYFUNCTION("""COMPUTED_VALUE"""),"木23")</f>
        <v>木23</v>
      </c>
      <c r="F4118" s="2" t="s">
        <v>12160</v>
      </c>
      <c r="G4118" s="2" t="s">
        <v>12173</v>
      </c>
      <c r="H4118" s="1">
        <v>7.0</v>
      </c>
      <c r="I4118" s="1" t="s">
        <v>2892</v>
      </c>
      <c r="J4118" s="1" t="s">
        <v>1435</v>
      </c>
      <c r="K4118" s="2" t="s">
        <v>12174</v>
      </c>
      <c r="L4118" s="2"/>
      <c r="M4118" s="2" t="str">
        <f>IFERROR(__xludf.DUMMYFUNCTION("split(split(K4118,""【演出"",false),""ほか"",false)"),"山田優、金子ノブアキ、矢柴俊博、押切もえ、西山茉希、升毅(他)玲奈(山田優)をカウンセリングしていた藤堂(村岡希美)が絞殺される。別室に控えていた秋山(吉家章人)は玲奈を現行犯逮捕する。一方、和馬(金子信昭)は玲奈の中学時代の同級生に話を聞きに行くが玲奈の評判は最悪で、萌子(押切もえ)、マキ(西山茉希)からも酷評される。そして、留置室に入れられた玲奈のVISIONにインテリ風の男(升毅)が現れ、玲奈を救うために自分が藤堂を殺害したと打ち明けるが…原作・脚本は、「NIGHT　HEAD」「沙粧妙子　最後の事件"&amp;"」「ギフト」など、ミステリーの第一人者・飯田譲治が担当。  最後まで展開の読めない本格サスペンスをお楽しみ下さい。主題歌はCREAMが歌う「RUNAWAY」")</f>
        <v>山田優、金子ノブアキ、矢柴俊博、押切もえ、西山茉希、升毅(他)玲奈(山田優)をカウンセリングしていた藤堂(村岡希美)が絞殺される。別室に控えていた秋山(吉家章人)は玲奈を現行犯逮捕する。一方、和馬(金子信昭)は玲奈の中学時代の同級生に話を聞きに行くが玲奈の評判は最悪で、萌子(押切もえ)、マキ(西山茉希)からも酷評される。そして、留置室に入れられた玲奈のVISIONにインテリ風の男(升毅)が現れ、玲奈を救うために自分が藤堂を殺害したと打ち明けるが…原作・脚本は、「NIGHT　HEAD」「沙粧妙子　最後の事件」「ギフト」など、ミステリーの第一人者・飯田譲治が担当。  最後まで展開の読めない本格サスペンスをお楽しみ下さい。主題歌はCREAMが歌う「RUNAWAY」</v>
      </c>
      <c r="N4118" s="2"/>
      <c r="O4118" s="2"/>
      <c r="P4118" s="1"/>
      <c r="Q4118" s="1"/>
      <c r="R4118" s="1"/>
      <c r="S4118" s="1"/>
      <c r="T4118" s="1"/>
      <c r="U4118" s="1"/>
      <c r="V4118" s="1"/>
      <c r="W4118" s="1"/>
      <c r="X4118" s="1"/>
      <c r="Y4118" s="1"/>
      <c r="Z4118" s="1"/>
      <c r="AA4118" s="1"/>
      <c r="AB4118" s="1"/>
      <c r="AC4118" s="1"/>
      <c r="AD4118" s="1"/>
      <c r="AE4118" s="1"/>
      <c r="AF4118" s="1"/>
      <c r="AG4118" s="1"/>
      <c r="AH4118" s="1"/>
      <c r="AI4118" s="1"/>
      <c r="AJ4118" s="1"/>
      <c r="AK4118" s="1"/>
      <c r="AL4118" s="1"/>
      <c r="AM4118" s="1"/>
      <c r="AN4118" s="1"/>
      <c r="AO4118" s="1"/>
      <c r="AP4118" s="1"/>
      <c r="AQ4118" s="1"/>
      <c r="AR4118" s="1"/>
      <c r="AS4118" s="1"/>
      <c r="AT4118" s="1"/>
      <c r="AU4118" s="1"/>
      <c r="AV4118" s="1"/>
      <c r="AW4118" s="1"/>
      <c r="AX4118" s="1"/>
      <c r="AY4118" s="1"/>
      <c r="AZ4118" s="1"/>
      <c r="BA4118" s="1"/>
      <c r="BB4118" s="1"/>
    </row>
    <row r="4119" ht="204.75" customHeight="1">
      <c r="A4119" s="1">
        <v>3745.0</v>
      </c>
      <c r="B4119" s="2" t="s">
        <v>12159</v>
      </c>
      <c r="C4119" s="2">
        <f>IFERROR(__xludf.DUMMYFUNCTION("split(B4119,""_"")"),1207.0)</f>
        <v>1207</v>
      </c>
      <c r="D4119" s="2" t="str">
        <f>IFERROR(__xludf.DUMMYFUNCTION("""COMPUTED_VALUE"""),"NTV")</f>
        <v>NTV</v>
      </c>
      <c r="E4119" s="2" t="str">
        <f>IFERROR(__xludf.DUMMYFUNCTION("""COMPUTED_VALUE"""),"木23")</f>
        <v>木23</v>
      </c>
      <c r="F4119" s="2" t="s">
        <v>12160</v>
      </c>
      <c r="G4119" s="2" t="s">
        <v>12175</v>
      </c>
      <c r="H4119" s="1">
        <v>8.0</v>
      </c>
      <c r="I4119" s="1" t="s">
        <v>2896</v>
      </c>
      <c r="J4119" s="1" t="s">
        <v>1435</v>
      </c>
      <c r="K4119" s="2" t="s">
        <v>12176</v>
      </c>
      <c r="L4119" s="2"/>
      <c r="M4119" s="2" t="str">
        <f>IFERROR(__xludf.DUMMYFUNCTION("split(split(K4119,""【演出"",false),""ほか"",false)"),"山田優、金子ノブアキ、矢柴俊博、升毅(他)玲奈(山田優)をカウンセリングしていた藤堂(村岡希美)が絞殺され、玲奈が現行犯逮捕される。調査を続ける崎阪(矢柴俊博)は防犯カメラに映っていた、番組ADの岡田に監視を付けるも、逃走されてしまう。一方、岡田の行方を追う和馬(金子ノブアキ)は何者かに車を細工され事故を起こす。藤堂殺しの疑いが晴れた玲奈だったが、彼女のVISIONに現れた弁護士の川辺(升毅)によって、研究施設へ連れ去られてしまう。原作・脚本は、「NIGHT　HEAD」「沙粧妙子　最後の事件」「ギフト」な"&amp;"ど、ミステリーの第一人者・飯田譲治が担当。  最後まで展開の読めない本格サスペンスをお楽しみ下さい。主題歌はCREAMが歌う「RUNAWAY」")</f>
        <v>山田優、金子ノブアキ、矢柴俊博、升毅(他)玲奈(山田優)をカウンセリングしていた藤堂(村岡希美)が絞殺され、玲奈が現行犯逮捕される。調査を続ける崎阪(矢柴俊博)は防犯カメラに映っていた、番組ADの岡田に監視を付けるも、逃走されてしまう。一方、岡田の行方を追う和馬(金子ノブアキ)は何者かに車を細工され事故を起こす。藤堂殺しの疑いが晴れた玲奈だったが、彼女のVISIONに現れた弁護士の川辺(升毅)によって、研究施設へ連れ去られてしまう。原作・脚本は、「NIGHT　HEAD」「沙粧妙子　最後の事件」「ギフト」など、ミステリーの第一人者・飯田譲治が担当。  最後まで展開の読めない本格サスペンスをお楽しみ下さい。主題歌はCREAMが歌う「RUNAWAY」</v>
      </c>
      <c r="N4119" s="2"/>
      <c r="O4119" s="2"/>
      <c r="P4119" s="1"/>
      <c r="Q4119" s="1"/>
      <c r="R4119" s="1"/>
      <c r="S4119" s="1"/>
      <c r="T4119" s="1"/>
      <c r="U4119" s="1"/>
      <c r="V4119" s="1"/>
      <c r="W4119" s="1"/>
      <c r="X4119" s="1"/>
      <c r="Y4119" s="1"/>
      <c r="Z4119" s="1"/>
      <c r="AA4119" s="1"/>
      <c r="AB4119" s="1"/>
      <c r="AC4119" s="1"/>
      <c r="AD4119" s="1"/>
      <c r="AE4119" s="1"/>
      <c r="AF4119" s="1"/>
      <c r="AG4119" s="1"/>
      <c r="AH4119" s="1"/>
      <c r="AI4119" s="1"/>
      <c r="AJ4119" s="1"/>
      <c r="AK4119" s="1"/>
      <c r="AL4119" s="1"/>
      <c r="AM4119" s="1"/>
      <c r="AN4119" s="1"/>
      <c r="AO4119" s="1"/>
      <c r="AP4119" s="1"/>
      <c r="AQ4119" s="1"/>
      <c r="AR4119" s="1"/>
      <c r="AS4119" s="1"/>
      <c r="AT4119" s="1"/>
      <c r="AU4119" s="1"/>
      <c r="AV4119" s="1"/>
      <c r="AW4119" s="1"/>
      <c r="AX4119" s="1"/>
      <c r="AY4119" s="1"/>
      <c r="AZ4119" s="1"/>
      <c r="BA4119" s="1"/>
      <c r="BB4119" s="1"/>
    </row>
    <row r="4120" ht="204.75" customHeight="1">
      <c r="A4120" s="1">
        <v>3746.0</v>
      </c>
      <c r="B4120" s="2" t="s">
        <v>12159</v>
      </c>
      <c r="C4120" s="2">
        <f>IFERROR(__xludf.DUMMYFUNCTION("split(B4120,""_"")"),1207.0)</f>
        <v>1207</v>
      </c>
      <c r="D4120" s="2" t="str">
        <f>IFERROR(__xludf.DUMMYFUNCTION("""COMPUTED_VALUE"""),"NTV")</f>
        <v>NTV</v>
      </c>
      <c r="E4120" s="2" t="str">
        <f>IFERROR(__xludf.DUMMYFUNCTION("""COMPUTED_VALUE"""),"木23")</f>
        <v>木23</v>
      </c>
      <c r="F4120" s="2" t="s">
        <v>12160</v>
      </c>
      <c r="G4120" s="2"/>
      <c r="H4120" s="1"/>
      <c r="I4120" s="1"/>
      <c r="J4120" s="1"/>
      <c r="K4120" s="2"/>
      <c r="L4120" s="2"/>
      <c r="M4120" s="2" t="str">
        <f>IFERROR(__xludf.DUMMYFUNCTION("split(split(K4120,""【演出"",false),""ほか"",false)"),"#VALUE!")</f>
        <v>#VALUE!</v>
      </c>
      <c r="N4120" s="2"/>
      <c r="O4120" s="2"/>
      <c r="P4120" s="1"/>
      <c r="Q4120" s="1"/>
      <c r="R4120" s="1"/>
      <c r="S4120" s="1"/>
      <c r="T4120" s="1"/>
      <c r="U4120" s="1"/>
      <c r="V4120" s="1"/>
      <c r="W4120" s="1"/>
      <c r="X4120" s="1"/>
      <c r="Y4120" s="1"/>
      <c r="Z4120" s="1"/>
      <c r="AA4120" s="1"/>
      <c r="AB4120" s="1"/>
      <c r="AC4120" s="1"/>
      <c r="AD4120" s="1"/>
      <c r="AE4120" s="1"/>
      <c r="AF4120" s="1"/>
      <c r="AG4120" s="1"/>
      <c r="AH4120" s="1"/>
      <c r="AI4120" s="1"/>
      <c r="AJ4120" s="1"/>
      <c r="AK4120" s="1"/>
      <c r="AL4120" s="1"/>
      <c r="AM4120" s="1"/>
      <c r="AN4120" s="1"/>
      <c r="AO4120" s="1"/>
      <c r="AP4120" s="1"/>
      <c r="AQ4120" s="1"/>
      <c r="AR4120" s="1"/>
      <c r="AS4120" s="1"/>
      <c r="AT4120" s="1"/>
      <c r="AU4120" s="1"/>
      <c r="AV4120" s="1"/>
      <c r="AW4120" s="1"/>
      <c r="AX4120" s="1"/>
      <c r="AY4120" s="1"/>
      <c r="AZ4120" s="1"/>
      <c r="BA4120" s="1"/>
      <c r="BB4120" s="1"/>
    </row>
    <row r="4121" ht="204.75" customHeight="1">
      <c r="A4121" s="1">
        <v>3747.0</v>
      </c>
      <c r="B4121" s="2" t="s">
        <v>12159</v>
      </c>
      <c r="C4121" s="2">
        <f>IFERROR(__xludf.DUMMYFUNCTION("split(B4121,""_"")"),1207.0)</f>
        <v>1207</v>
      </c>
      <c r="D4121" s="2" t="str">
        <f>IFERROR(__xludf.DUMMYFUNCTION("""COMPUTED_VALUE"""),"NTV")</f>
        <v>NTV</v>
      </c>
      <c r="E4121" s="2" t="str">
        <f>IFERROR(__xludf.DUMMYFUNCTION("""COMPUTED_VALUE"""),"木23")</f>
        <v>木23</v>
      </c>
      <c r="F4121" s="2" t="s">
        <v>12160</v>
      </c>
      <c r="G4121" s="2" t="s">
        <v>12177</v>
      </c>
      <c r="H4121" s="1">
        <v>10.0</v>
      </c>
      <c r="I4121" s="1" t="s">
        <v>37</v>
      </c>
      <c r="J4121" s="1" t="s">
        <v>1435</v>
      </c>
      <c r="K4121" s="2" t="s">
        <v>12178</v>
      </c>
      <c r="L4121" s="2"/>
      <c r="M4121" s="2" t="str">
        <f>IFERROR(__xludf.DUMMYFUNCTION("split(split(K4121,""【演出"",false),""ほか"",false)"),"山田優、金子ノブアキ、矢柴俊博、細田よしひこ、丸山智己、升毅(他)和馬(金子ノブアキ)は田所医師(神尾佑)から玲奈(山田優)の頭の中にあった物質は、ある波動を読み取る送受信のチップなのかもしれないという見解を聞く。玲奈のVISIONに男を刺殺した馬淵(細田よしひこ)が現れる。玲奈は以前よりも犯人と通信できる力が強くなっていた。警察は誰が犯人か掴めずに2人目の被害者が出る。そんな中、玲奈はVISIONから馬淵の居場所を特定、連絡を受けた和馬が馬淵を捕まえるが…原作・脚本は、「NIGHT　HEAD」「沙粧妙子"&amp;"　最後の事件」「ギフト」など、ミステリーの第一人者・飯田譲治が担当。  最後まで展開の読めない本格サスペンスをお楽しみ下さい。主題歌はCREAMが歌う「RUNAWAY」")</f>
        <v>山田優、金子ノブアキ、矢柴俊博、細田よしひこ、丸山智己、升毅(他)和馬(金子ノブアキ)は田所医師(神尾佑)から玲奈(山田優)の頭の中にあった物質は、ある波動を読み取る送受信のチップなのかもしれないという見解を聞く。玲奈のVISIONに男を刺殺した馬淵(細田よしひこ)が現れる。玲奈は以前よりも犯人と通信できる力が強くなっていた。警察は誰が犯人か掴めずに2人目の被害者が出る。そんな中、玲奈はVISIONから馬淵の居場所を特定、連絡を受けた和馬が馬淵を捕まえるが…原作・脚本は、「NIGHT　HEAD」「沙粧妙子　最後の事件」「ギフト」など、ミステリーの第一人者・飯田譲治が担当。  最後まで展開の読めない本格サスペンスをお楽しみ下さい。主題歌はCREAMが歌う「RUNAWAY」</v>
      </c>
      <c r="N4121" s="2"/>
      <c r="O4121" s="2"/>
      <c r="P4121" s="1"/>
      <c r="Q4121" s="1"/>
      <c r="R4121" s="1"/>
      <c r="S4121" s="1"/>
      <c r="T4121" s="1"/>
      <c r="U4121" s="1"/>
      <c r="V4121" s="1"/>
      <c r="W4121" s="1"/>
      <c r="X4121" s="1"/>
      <c r="Y4121" s="1"/>
      <c r="Z4121" s="1"/>
      <c r="AA4121" s="1"/>
      <c r="AB4121" s="1"/>
      <c r="AC4121" s="1"/>
      <c r="AD4121" s="1"/>
      <c r="AE4121" s="1"/>
      <c r="AF4121" s="1"/>
      <c r="AG4121" s="1"/>
      <c r="AH4121" s="1"/>
      <c r="AI4121" s="1"/>
      <c r="AJ4121" s="1"/>
      <c r="AK4121" s="1"/>
      <c r="AL4121" s="1"/>
      <c r="AM4121" s="1"/>
      <c r="AN4121" s="1"/>
      <c r="AO4121" s="1"/>
      <c r="AP4121" s="1"/>
      <c r="AQ4121" s="1"/>
      <c r="AR4121" s="1"/>
      <c r="AS4121" s="1"/>
      <c r="AT4121" s="1"/>
      <c r="AU4121" s="1"/>
      <c r="AV4121" s="1"/>
      <c r="AW4121" s="1"/>
      <c r="AX4121" s="1"/>
      <c r="AY4121" s="1"/>
      <c r="AZ4121" s="1"/>
      <c r="BA4121" s="1"/>
      <c r="BB4121" s="1"/>
    </row>
    <row r="4122" ht="204.75" customHeight="1">
      <c r="A4122" s="1">
        <v>3767.0</v>
      </c>
      <c r="B4122" s="2" t="s">
        <v>12179</v>
      </c>
      <c r="C4122" s="2">
        <f>IFERROR(__xludf.DUMMYFUNCTION("split(B4122,""_"")"),1207.0)</f>
        <v>1207</v>
      </c>
      <c r="D4122" s="2" t="str">
        <f>IFERROR(__xludf.DUMMYFUNCTION("""COMPUTED_VALUE"""),"NTV")</f>
        <v>NTV</v>
      </c>
      <c r="E4122" s="2" t="str">
        <f>IFERROR(__xludf.DUMMYFUNCTION("""COMPUTED_VALUE"""),"土21")</f>
        <v>土21</v>
      </c>
      <c r="F4122" s="2" t="s">
        <v>12180</v>
      </c>
      <c r="G4122" s="2" t="s">
        <v>12181</v>
      </c>
      <c r="H4122" s="1">
        <v>1.0</v>
      </c>
      <c r="I4122" s="1" t="s">
        <v>2868</v>
      </c>
      <c r="J4122" s="1" t="s">
        <v>4</v>
      </c>
      <c r="K4122" s="2" t="s">
        <v>12182</v>
      </c>
      <c r="L4122" s="2"/>
      <c r="M4122" s="2" t="str">
        <f>IFERROR(__xludf.DUMMYFUNCTION("split(split(K4122,""【演出"",false),""ほか"",false)"),"仲間由紀恵、沢村一樹、志田未来、君野夢真(子役)  芹那、真田佑馬(ジャニーズJr.)、賀来賢人  塚地武雅(ドランクドラゴン)、生瀬勝久警察官の上原蝶子(仲間由紀恵)は、夫の航平(沢村一樹)、娘の葵(志田未来)、息子のとんぼ(君野夢真)と幸せに暮らしていたが、ある日、職務中に命を落としてしまう。  それから3か月……。とんぼが蝶子の形見のメガネをかけると、目の前に蝶子が現れる!とんぼの事が心配だった蝶子は、天国には行かず、ユウレイになってしまったのだった。  ユウレイの母・蝶子と弱虫な息子・とんぼの不思"&amp;"議な生活が始まった!")</f>
        <v>仲間由紀恵、沢村一樹、志田未来、君野夢真(子役)  芹那、真田佑馬(ジャニーズJr.)、賀来賢人  塚地武雅(ドランクドラゴン)、生瀬勝久警察官の上原蝶子(仲間由紀恵)は、夫の航平(沢村一樹)、娘の葵(志田未来)、息子のとんぼ(君野夢真)と幸せに暮らしていたが、ある日、職務中に命を落としてしまう。  それから3か月……。とんぼが蝶子の形見のメガネをかけると、目の前に蝶子が現れる!とんぼの事が心配だった蝶子は、天国には行かず、ユウレイになってしまったのだった。  ユウレイの母・蝶子と弱虫な息子・とんぼの不思議な生活が始まった!</v>
      </c>
      <c r="N4122" s="2"/>
      <c r="O4122" s="2"/>
      <c r="P4122" s="1"/>
      <c r="Q4122" s="1"/>
      <c r="R4122" s="1"/>
      <c r="S4122" s="1"/>
      <c r="T4122" s="1"/>
      <c r="U4122" s="1"/>
      <c r="V4122" s="1"/>
      <c r="W4122" s="1"/>
      <c r="X4122" s="1"/>
      <c r="Y4122" s="1"/>
      <c r="Z4122" s="1"/>
      <c r="AA4122" s="1"/>
      <c r="AB4122" s="1"/>
      <c r="AC4122" s="1"/>
      <c r="AD4122" s="1"/>
      <c r="AE4122" s="1"/>
      <c r="AF4122" s="1"/>
      <c r="AG4122" s="1"/>
      <c r="AH4122" s="1"/>
      <c r="AI4122" s="1"/>
      <c r="AJ4122" s="1"/>
      <c r="AK4122" s="1"/>
      <c r="AL4122" s="1"/>
      <c r="AM4122" s="1"/>
      <c r="AN4122" s="1"/>
      <c r="AO4122" s="1"/>
      <c r="AP4122" s="1"/>
      <c r="AQ4122" s="1"/>
      <c r="AR4122" s="1"/>
      <c r="AS4122" s="1"/>
      <c r="AT4122" s="1"/>
      <c r="AU4122" s="1"/>
      <c r="AV4122" s="1"/>
      <c r="AW4122" s="1"/>
      <c r="AX4122" s="1"/>
      <c r="AY4122" s="1"/>
      <c r="AZ4122" s="1"/>
      <c r="BA4122" s="1"/>
      <c r="BB4122" s="1"/>
    </row>
    <row r="4123" ht="204.75" customHeight="1">
      <c r="A4123" s="1">
        <v>3768.0</v>
      </c>
      <c r="B4123" s="2" t="s">
        <v>12179</v>
      </c>
      <c r="C4123" s="2">
        <f>IFERROR(__xludf.DUMMYFUNCTION("split(B4123,""_"")"),1207.0)</f>
        <v>1207</v>
      </c>
      <c r="D4123" s="2" t="str">
        <f>IFERROR(__xludf.DUMMYFUNCTION("""COMPUTED_VALUE"""),"NTV")</f>
        <v>NTV</v>
      </c>
      <c r="E4123" s="2" t="str">
        <f>IFERROR(__xludf.DUMMYFUNCTION("""COMPUTED_VALUE"""),"土21")</f>
        <v>土21</v>
      </c>
      <c r="F4123" s="2" t="s">
        <v>12180</v>
      </c>
      <c r="G4123" s="2" t="s">
        <v>12183</v>
      </c>
      <c r="H4123" s="1">
        <v>2.0</v>
      </c>
      <c r="I4123" s="1" t="s">
        <v>2872</v>
      </c>
      <c r="J4123" s="1" t="s">
        <v>11</v>
      </c>
      <c r="K4123" s="2" t="s">
        <v>12184</v>
      </c>
      <c r="L4123" s="2"/>
      <c r="M4123" s="2" t="str">
        <f>IFERROR(__xludf.DUMMYFUNCTION("split(split(K4123,""【演出"",false),""ほか"",false)"),"仲間由紀恵、沢村一樹、志田未来、君野夢真(子役)  芹那、真田佑馬(ジャニーズJr.)、賀来賢人  塚地武雅(ドランクドラゴン)、生瀬勝久蝶子(仲間由紀恵)は、以前出会った“ユウレイの先輩”タケル(賀来賢人)と再会する。タケルは、半年前に花帆(山下リオ)という女性と初デートの待ち合わせの場所に行く直前、事故で命を落としたのだった。彼女に約束を守れなかったことを謝りたいというタケル。「もう一度、彼女に会わせてあげたい!」困った人を放っておけない蝶子は、とんぼ(君野夢真)とともに花帆の行方を探す捜査を開始する"&amp;"。佐藤東弥、大谷太郎、西野真貴梅田みか、横田理恵【音楽】菅野祐悟  【主題歌】「つぼみ」Aqua　Timez(EPICレコード)【制作協力】AXON  【製作著作】日本テレビ")</f>
        <v>仲間由紀恵、沢村一樹、志田未来、君野夢真(子役)  芹那、真田佑馬(ジャニーズJr.)、賀来賢人  塚地武雅(ドランクドラゴン)、生瀬勝久蝶子(仲間由紀恵)は、以前出会った“ユウレイの先輩”タケル(賀来賢人)と再会する。タケルは、半年前に花帆(山下リオ)という女性と初デートの待ち合わせの場所に行く直前、事故で命を落としたのだった。彼女に約束を守れなかったことを謝りたいというタケル。「もう一度、彼女に会わせてあげたい!」困った人を放っておけない蝶子は、とんぼ(君野夢真)とともに花帆の行方を探す捜査を開始する。佐藤東弥、大谷太郎、西野真貴梅田みか、横田理恵【音楽】菅野祐悟  【主題歌】「つぼみ」Aqua　Timez(EPICレコード)【制作協力】AXON  【製作著作】日本テレビ</v>
      </c>
      <c r="N4123" s="2"/>
      <c r="O4123" s="2"/>
      <c r="P4123" s="1"/>
      <c r="Q4123" s="1"/>
      <c r="R4123" s="1"/>
      <c r="S4123" s="1"/>
      <c r="T4123" s="1"/>
      <c r="U4123" s="1"/>
      <c r="V4123" s="1"/>
      <c r="W4123" s="1"/>
      <c r="X4123" s="1"/>
      <c r="Y4123" s="1"/>
      <c r="Z4123" s="1"/>
      <c r="AA4123" s="1"/>
      <c r="AB4123" s="1"/>
      <c r="AC4123" s="1"/>
      <c r="AD4123" s="1"/>
      <c r="AE4123" s="1"/>
      <c r="AF4123" s="1"/>
      <c r="AG4123" s="1"/>
      <c r="AH4123" s="1"/>
      <c r="AI4123" s="1"/>
      <c r="AJ4123" s="1"/>
      <c r="AK4123" s="1"/>
      <c r="AL4123" s="1"/>
      <c r="AM4123" s="1"/>
      <c r="AN4123" s="1"/>
      <c r="AO4123" s="1"/>
      <c r="AP4123" s="1"/>
      <c r="AQ4123" s="1"/>
      <c r="AR4123" s="1"/>
      <c r="AS4123" s="1"/>
      <c r="AT4123" s="1"/>
      <c r="AU4123" s="1"/>
      <c r="AV4123" s="1"/>
      <c r="AW4123" s="1"/>
      <c r="AX4123" s="1"/>
      <c r="AY4123" s="1"/>
      <c r="AZ4123" s="1"/>
      <c r="BA4123" s="1"/>
      <c r="BB4123" s="1"/>
    </row>
    <row r="4124" ht="204.75" customHeight="1">
      <c r="A4124" s="1">
        <v>3769.0</v>
      </c>
      <c r="B4124" s="2" t="s">
        <v>12179</v>
      </c>
      <c r="C4124" s="2">
        <f>IFERROR(__xludf.DUMMYFUNCTION("split(B4124,""_"")"),1207.0)</f>
        <v>1207</v>
      </c>
      <c r="D4124" s="2" t="str">
        <f>IFERROR(__xludf.DUMMYFUNCTION("""COMPUTED_VALUE"""),"NTV")</f>
        <v>NTV</v>
      </c>
      <c r="E4124" s="2" t="str">
        <f>IFERROR(__xludf.DUMMYFUNCTION("""COMPUTED_VALUE"""),"土21")</f>
        <v>土21</v>
      </c>
      <c r="F4124" s="2" t="s">
        <v>12180</v>
      </c>
      <c r="G4124" s="2" t="s">
        <v>12185</v>
      </c>
      <c r="H4124" s="1">
        <v>3.0</v>
      </c>
      <c r="I4124" s="1" t="s">
        <v>2876</v>
      </c>
      <c r="J4124" s="1" t="s">
        <v>11</v>
      </c>
      <c r="K4124" s="2" t="s">
        <v>12186</v>
      </c>
      <c r="L4124" s="2"/>
      <c r="M4124" s="2" t="str">
        <f>IFERROR(__xludf.DUMMYFUNCTION("split(split(K4124,""【演出"",false),""ほか"",false)"),"仲間由紀恵、沢村一樹、志田未来、君野夢真(子役)  芹那、真田佑馬(ジャニーズJr.)  塚地武雅(ドランクドラゴン)、生瀬勝久ある日、ひったくり事件に遭遇した蝶子(仲間由紀恵)だが、ユウレイなので捕まえることができず、犯人に逃げられ、その時偶然通りかかった葵(志田未来)の同級生・淳也(真田佑馬)に容疑がかかってしまう。淳也を犯人だと決め付けてしまった三船は、ある朝、早朝ランニング中に心筋梗塞を起こして急死し、ユウレイになってしまう!こうして、ユウレイの蝶子と三船はひったくりの真犯人を捕まえるべく、捜査を"&amp;"開始する!")</f>
        <v>仲間由紀恵、沢村一樹、志田未来、君野夢真(子役)  芹那、真田佑馬(ジャニーズJr.)  塚地武雅(ドランクドラゴン)、生瀬勝久ある日、ひったくり事件に遭遇した蝶子(仲間由紀恵)だが、ユウレイなので捕まえることができず、犯人に逃げられ、その時偶然通りかかった葵(志田未来)の同級生・淳也(真田佑馬)に容疑がかかってしまう。淳也を犯人だと決め付けてしまった三船は、ある朝、早朝ランニング中に心筋梗塞を起こして急死し、ユウレイになってしまう!こうして、ユウレイの蝶子と三船はひったくりの真犯人を捕まえるべく、捜査を開始する!</v>
      </c>
      <c r="N4124" s="2"/>
      <c r="O4124" s="2"/>
      <c r="P4124" s="1"/>
      <c r="Q4124" s="1"/>
      <c r="R4124" s="1"/>
      <c r="S4124" s="1"/>
      <c r="T4124" s="1"/>
      <c r="U4124" s="1"/>
      <c r="V4124" s="1"/>
      <c r="W4124" s="1"/>
      <c r="X4124" s="1"/>
      <c r="Y4124" s="1"/>
      <c r="Z4124" s="1"/>
      <c r="AA4124" s="1"/>
      <c r="AB4124" s="1"/>
      <c r="AC4124" s="1"/>
      <c r="AD4124" s="1"/>
      <c r="AE4124" s="1"/>
      <c r="AF4124" s="1"/>
      <c r="AG4124" s="1"/>
      <c r="AH4124" s="1"/>
      <c r="AI4124" s="1"/>
      <c r="AJ4124" s="1"/>
      <c r="AK4124" s="1"/>
      <c r="AL4124" s="1"/>
      <c r="AM4124" s="1"/>
      <c r="AN4124" s="1"/>
      <c r="AO4124" s="1"/>
      <c r="AP4124" s="1"/>
      <c r="AQ4124" s="1"/>
      <c r="AR4124" s="1"/>
      <c r="AS4124" s="1"/>
      <c r="AT4124" s="1"/>
      <c r="AU4124" s="1"/>
      <c r="AV4124" s="1"/>
      <c r="AW4124" s="1"/>
      <c r="AX4124" s="1"/>
      <c r="AY4124" s="1"/>
      <c r="AZ4124" s="1"/>
      <c r="BA4124" s="1"/>
      <c r="BB4124" s="1"/>
    </row>
    <row r="4125" ht="204.75" customHeight="1">
      <c r="A4125" s="1">
        <v>3770.0</v>
      </c>
      <c r="B4125" s="2" t="s">
        <v>12179</v>
      </c>
      <c r="C4125" s="2">
        <f>IFERROR(__xludf.DUMMYFUNCTION("split(B4125,""_"")"),1207.0)</f>
        <v>1207</v>
      </c>
      <c r="D4125" s="2" t="str">
        <f>IFERROR(__xludf.DUMMYFUNCTION("""COMPUTED_VALUE"""),"NTV")</f>
        <v>NTV</v>
      </c>
      <c r="E4125" s="2" t="str">
        <f>IFERROR(__xludf.DUMMYFUNCTION("""COMPUTED_VALUE"""),"土21")</f>
        <v>土21</v>
      </c>
      <c r="F4125" s="2" t="s">
        <v>12180</v>
      </c>
      <c r="G4125" s="2" t="s">
        <v>12187</v>
      </c>
      <c r="H4125" s="1">
        <v>4.0</v>
      </c>
      <c r="I4125" s="1" t="s">
        <v>2880</v>
      </c>
      <c r="J4125" s="1" t="s">
        <v>11</v>
      </c>
      <c r="K4125" s="2" t="s">
        <v>12188</v>
      </c>
      <c r="L4125" s="2"/>
      <c r="M4125" s="2" t="str">
        <f>IFERROR(__xludf.DUMMYFUNCTION("split(split(K4125,""【演出"",false),""ほか"",false)"),"仲間由紀恵、沢村一樹、志田未来、君野夢真(子役)  芹那、真田佑馬(ジャニーズJr.)、戸塚祥太  塚地武雅(ドランクドラゴン)、生瀬勝久ある日、蝶子(仲間由紀恵)の娘・葵(志田未来)は、密かに思い続けてきたファミレス店員の良太(戸塚祥太)を友人にけしかけられて映画に誘い、快くOKをもらう。家に帰ってきた葵は、いつもとは違って家事を手伝ったりとんぼ(君野夢真)に優しくしたり、ニコニコと上機嫌。そんな葵を見て蝶子は「怪しい…これは恋だ!」と気付く。そして、どんな相手なのか心配でたまらない蝶子は、葵の初デート"&amp;"に潜入捜査を開始する!")</f>
        <v>仲間由紀恵、沢村一樹、志田未来、君野夢真(子役)  芹那、真田佑馬(ジャニーズJr.)、戸塚祥太  塚地武雅(ドランクドラゴン)、生瀬勝久ある日、蝶子(仲間由紀恵)の娘・葵(志田未来)は、密かに思い続けてきたファミレス店員の良太(戸塚祥太)を友人にけしかけられて映画に誘い、快くOKをもらう。家に帰ってきた葵は、いつもとは違って家事を手伝ったりとんぼ(君野夢真)に優しくしたり、ニコニコと上機嫌。そんな葵を見て蝶子は「怪しい…これは恋だ!」と気付く。そして、どんな相手なのか心配でたまらない蝶子は、葵の初デートに潜入捜査を開始する!</v>
      </c>
      <c r="N4125" s="2"/>
      <c r="O4125" s="2"/>
      <c r="P4125" s="1"/>
      <c r="Q4125" s="1"/>
      <c r="R4125" s="1"/>
      <c r="S4125" s="1"/>
      <c r="T4125" s="1"/>
      <c r="U4125" s="1"/>
      <c r="V4125" s="1"/>
      <c r="W4125" s="1"/>
      <c r="X4125" s="1"/>
      <c r="Y4125" s="1"/>
      <c r="Z4125" s="1"/>
      <c r="AA4125" s="1"/>
      <c r="AB4125" s="1"/>
      <c r="AC4125" s="1"/>
      <c r="AD4125" s="1"/>
      <c r="AE4125" s="1"/>
      <c r="AF4125" s="1"/>
      <c r="AG4125" s="1"/>
      <c r="AH4125" s="1"/>
      <c r="AI4125" s="1"/>
      <c r="AJ4125" s="1"/>
      <c r="AK4125" s="1"/>
      <c r="AL4125" s="1"/>
      <c r="AM4125" s="1"/>
      <c r="AN4125" s="1"/>
      <c r="AO4125" s="1"/>
      <c r="AP4125" s="1"/>
      <c r="AQ4125" s="1"/>
      <c r="AR4125" s="1"/>
      <c r="AS4125" s="1"/>
      <c r="AT4125" s="1"/>
      <c r="AU4125" s="1"/>
      <c r="AV4125" s="1"/>
      <c r="AW4125" s="1"/>
      <c r="AX4125" s="1"/>
      <c r="AY4125" s="1"/>
      <c r="AZ4125" s="1"/>
      <c r="BA4125" s="1"/>
      <c r="BB4125" s="1"/>
    </row>
    <row r="4126" ht="204.75" customHeight="1">
      <c r="A4126" s="1">
        <v>3771.0</v>
      </c>
      <c r="B4126" s="2" t="s">
        <v>12179</v>
      </c>
      <c r="C4126" s="2">
        <f>IFERROR(__xludf.DUMMYFUNCTION("split(B4126,""_"")"),1207.0)</f>
        <v>1207</v>
      </c>
      <c r="D4126" s="2" t="str">
        <f>IFERROR(__xludf.DUMMYFUNCTION("""COMPUTED_VALUE"""),"NTV")</f>
        <v>NTV</v>
      </c>
      <c r="E4126" s="2" t="str">
        <f>IFERROR(__xludf.DUMMYFUNCTION("""COMPUTED_VALUE"""),"土21")</f>
        <v>土21</v>
      </c>
      <c r="F4126" s="2" t="s">
        <v>12180</v>
      </c>
      <c r="G4126" s="2" t="s">
        <v>12189</v>
      </c>
      <c r="H4126" s="1">
        <v>5.0</v>
      </c>
      <c r="I4126" s="1" t="s">
        <v>2884</v>
      </c>
      <c r="J4126" s="1" t="s">
        <v>11</v>
      </c>
      <c r="K4126" s="2" t="s">
        <v>12190</v>
      </c>
      <c r="L4126" s="2"/>
      <c r="M4126" s="2" t="str">
        <f>IFERROR(__xludf.DUMMYFUNCTION("split(split(K4126,""【演出"",false),""ほか"",false)"),"仲間由紀恵、沢村一樹、志田未来、君野夢真(子役)  芹那、真田佑馬(ジャニーズJr.)  内藤剛志、朝加真由美  塚地武雅(ドランクドラゴン)、生瀬勝久ユウレイの蝶子(仲間由紀恵)は航平(沢村一樹)と、とんぼ(君野夢真)とともに、栃木の実家へ里帰り。蝶子と父親の省三(内藤剛志)は、顔を合わせればケンカばかりの父娘だった。とんぼから「お母さんはどうしておじいちゃんのことが嫌いなの?」と聞かれた蝶子は思わず、「とんぼにはお母さんの気持ちは分からないよ!」と、言い放ってしまう。そして、その日の夕方、ふと気づくと"&amp;"とんぼがいなくなっていて・・・")</f>
        <v>仲間由紀恵、沢村一樹、志田未来、君野夢真(子役)  芹那、真田佑馬(ジャニーズJr.)  内藤剛志、朝加真由美  塚地武雅(ドランクドラゴン)、生瀬勝久ユウレイの蝶子(仲間由紀恵)は航平(沢村一樹)と、とんぼ(君野夢真)とともに、栃木の実家へ里帰り。蝶子と父親の省三(内藤剛志)は、顔を合わせればケンカばかりの父娘だった。とんぼから「お母さんはどうしておじいちゃんのことが嫌いなの?」と聞かれた蝶子は思わず、「とんぼにはお母さんの気持ちは分からないよ!」と、言い放ってしまう。そして、その日の夕方、ふと気づくととんぼがいなくなっていて・・・</v>
      </c>
      <c r="N4126" s="2"/>
      <c r="O4126" s="2"/>
      <c r="P4126" s="1"/>
      <c r="Q4126" s="1"/>
      <c r="R4126" s="1"/>
      <c r="S4126" s="1"/>
      <c r="T4126" s="1"/>
      <c r="U4126" s="1"/>
      <c r="V4126" s="1"/>
      <c r="W4126" s="1"/>
      <c r="X4126" s="1"/>
      <c r="Y4126" s="1"/>
      <c r="Z4126" s="1"/>
      <c r="AA4126" s="1"/>
      <c r="AB4126" s="1"/>
      <c r="AC4126" s="1"/>
      <c r="AD4126" s="1"/>
      <c r="AE4126" s="1"/>
      <c r="AF4126" s="1"/>
      <c r="AG4126" s="1"/>
      <c r="AH4126" s="1"/>
      <c r="AI4126" s="1"/>
      <c r="AJ4126" s="1"/>
      <c r="AK4126" s="1"/>
      <c r="AL4126" s="1"/>
      <c r="AM4126" s="1"/>
      <c r="AN4126" s="1"/>
      <c r="AO4126" s="1"/>
      <c r="AP4126" s="1"/>
      <c r="AQ4126" s="1"/>
      <c r="AR4126" s="1"/>
      <c r="AS4126" s="1"/>
      <c r="AT4126" s="1"/>
      <c r="AU4126" s="1"/>
      <c r="AV4126" s="1"/>
      <c r="AW4126" s="1"/>
      <c r="AX4126" s="1"/>
      <c r="AY4126" s="1"/>
      <c r="AZ4126" s="1"/>
      <c r="BA4126" s="1"/>
      <c r="BB4126" s="1"/>
    </row>
    <row r="4127" ht="204.75" customHeight="1">
      <c r="A4127" s="1">
        <v>3772.0</v>
      </c>
      <c r="B4127" s="2" t="s">
        <v>12179</v>
      </c>
      <c r="C4127" s="2">
        <f>IFERROR(__xludf.DUMMYFUNCTION("split(B4127,""_"")"),1207.0)</f>
        <v>1207</v>
      </c>
      <c r="D4127" s="2" t="str">
        <f>IFERROR(__xludf.DUMMYFUNCTION("""COMPUTED_VALUE"""),"NTV")</f>
        <v>NTV</v>
      </c>
      <c r="E4127" s="2" t="str">
        <f>IFERROR(__xludf.DUMMYFUNCTION("""COMPUTED_VALUE"""),"土21")</f>
        <v>土21</v>
      </c>
      <c r="F4127" s="2" t="s">
        <v>12180</v>
      </c>
      <c r="G4127" s="2" t="s">
        <v>12191</v>
      </c>
      <c r="H4127" s="1">
        <v>6.0</v>
      </c>
      <c r="I4127" s="1" t="s">
        <v>2888</v>
      </c>
      <c r="J4127" s="1" t="s">
        <v>11</v>
      </c>
      <c r="K4127" s="2" t="s">
        <v>12192</v>
      </c>
      <c r="L4127" s="2"/>
      <c r="M4127" s="2" t="str">
        <f>IFERROR(__xludf.DUMMYFUNCTION("split(split(K4127,""【演出"",false),""ほか"",false)"),"仲間由紀恵、沢村一樹、志田未来、君野夢真(子役)  芹那、真田佑馬(ジャニーズJr.)  塚地武雅(ドランクドラゴン)、生瀬勝久蝶子(仲間由紀恵)の息子・とんぼ(君野夢真)は、ある日航平(沢村一樹)から“はじめてのおつかい”を頼まれる。そのおつかいの帰り道、一匹の捨て猫・ミーコと、その名付け親の少女・マイと出会う。その翌日、とんぼの様子がおかしいと気づいた蝶子は、とんぼを尾行し、マイと会っている姿を目撃する。どうやらとんぼはマイに恋をしているらしいのだが、なんとマイはユウレイだった!とんぼの初恋は、いった"&amp;"いどうなる!?")</f>
        <v>仲間由紀恵、沢村一樹、志田未来、君野夢真(子役)  芹那、真田佑馬(ジャニーズJr.)  塚地武雅(ドランクドラゴン)、生瀬勝久蝶子(仲間由紀恵)の息子・とんぼ(君野夢真)は、ある日航平(沢村一樹)から“はじめてのおつかい”を頼まれる。そのおつかいの帰り道、一匹の捨て猫・ミーコと、その名付け親の少女・マイと出会う。その翌日、とんぼの様子がおかしいと気づいた蝶子は、とんぼを尾行し、マイと会っている姿を目撃する。どうやらとんぼはマイに恋をしているらしいのだが、なんとマイはユウレイだった!とんぼの初恋は、いったいどうなる!?</v>
      </c>
      <c r="N4127" s="2"/>
      <c r="O4127" s="2"/>
      <c r="P4127" s="1"/>
      <c r="Q4127" s="1"/>
      <c r="R4127" s="1"/>
      <c r="S4127" s="1"/>
      <c r="T4127" s="1"/>
      <c r="U4127" s="1"/>
      <c r="V4127" s="1"/>
      <c r="W4127" s="1"/>
      <c r="X4127" s="1"/>
      <c r="Y4127" s="1"/>
      <c r="Z4127" s="1"/>
      <c r="AA4127" s="1"/>
      <c r="AB4127" s="1"/>
      <c r="AC4127" s="1"/>
      <c r="AD4127" s="1"/>
      <c r="AE4127" s="1"/>
      <c r="AF4127" s="1"/>
      <c r="AG4127" s="1"/>
      <c r="AH4127" s="1"/>
      <c r="AI4127" s="1"/>
      <c r="AJ4127" s="1"/>
      <c r="AK4127" s="1"/>
      <c r="AL4127" s="1"/>
      <c r="AM4127" s="1"/>
      <c r="AN4127" s="1"/>
      <c r="AO4127" s="1"/>
      <c r="AP4127" s="1"/>
      <c r="AQ4127" s="1"/>
      <c r="AR4127" s="1"/>
      <c r="AS4127" s="1"/>
      <c r="AT4127" s="1"/>
      <c r="AU4127" s="1"/>
      <c r="AV4127" s="1"/>
      <c r="AW4127" s="1"/>
      <c r="AX4127" s="1"/>
      <c r="AY4127" s="1"/>
      <c r="AZ4127" s="1"/>
      <c r="BA4127" s="1"/>
      <c r="BB4127" s="1"/>
    </row>
    <row r="4128" ht="204.75" customHeight="1">
      <c r="A4128" s="1">
        <v>3773.0</v>
      </c>
      <c r="B4128" s="2" t="s">
        <v>12179</v>
      </c>
      <c r="C4128" s="2">
        <f>IFERROR(__xludf.DUMMYFUNCTION("split(B4128,""_"")"),1207.0)</f>
        <v>1207</v>
      </c>
      <c r="D4128" s="2" t="str">
        <f>IFERROR(__xludf.DUMMYFUNCTION("""COMPUTED_VALUE"""),"NTV")</f>
        <v>NTV</v>
      </c>
      <c r="E4128" s="2" t="str">
        <f>IFERROR(__xludf.DUMMYFUNCTION("""COMPUTED_VALUE"""),"土21")</f>
        <v>土21</v>
      </c>
      <c r="F4128" s="2" t="s">
        <v>12180</v>
      </c>
      <c r="G4128" s="2" t="s">
        <v>12193</v>
      </c>
      <c r="H4128" s="1">
        <v>7.0</v>
      </c>
      <c r="I4128" s="1" t="s">
        <v>2892</v>
      </c>
      <c r="J4128" s="1" t="s">
        <v>11</v>
      </c>
      <c r="K4128" s="2" t="s">
        <v>12194</v>
      </c>
      <c r="L4128" s="2"/>
      <c r="M4128" s="2" t="str">
        <f>IFERROR(__xludf.DUMMYFUNCTION("split(split(K4128,""【演出"",false),""ほか"",false)"),"仲間由紀恵、沢村一樹、志田未来、君野夢真(子役)  芹那、真田佑馬(ジャニーズJr.)  塚地武雅(ドランクドラゴン)、生瀬勝久とんぼ(君野夢真)が通う桜田小学校でユウレイ騒動が勃発!!蝶子(仲間由紀恵)は「ユウレイ騒動と聞いて放ってはおけませんよ!」と三船(生瀬勝久)と共に現場の張り込みを開始する。そこで二人が出会ったのは、航平(沢村一樹)が6年生の時の担任で、航平達と埋めたタイムカプセルが心残りでこの世に残ったユウレイ・由佳(高梨臨)だった。彼女の想いに応えたい蝶子たちだが、埋めた場所が分からなくなっ"&amp;"ていて・・・。")</f>
        <v>仲間由紀恵、沢村一樹、志田未来、君野夢真(子役)  芹那、真田佑馬(ジャニーズJr.)  塚地武雅(ドランクドラゴン)、生瀬勝久とんぼ(君野夢真)が通う桜田小学校でユウレイ騒動が勃発!!蝶子(仲間由紀恵)は「ユウレイ騒動と聞いて放ってはおけませんよ!」と三船(生瀬勝久)と共に現場の張り込みを開始する。そこで二人が出会ったのは、航平(沢村一樹)が6年生の時の担任で、航平達と埋めたタイムカプセルが心残りでこの世に残ったユウレイ・由佳(高梨臨)だった。彼女の想いに応えたい蝶子たちだが、埋めた場所が分からなくなっていて・・・。</v>
      </c>
      <c r="N4128" s="2"/>
      <c r="O4128" s="2"/>
      <c r="P4128" s="1"/>
      <c r="Q4128" s="1"/>
      <c r="R4128" s="1"/>
      <c r="S4128" s="1"/>
      <c r="T4128" s="1"/>
      <c r="U4128" s="1"/>
      <c r="V4128" s="1"/>
      <c r="W4128" s="1"/>
      <c r="X4128" s="1"/>
      <c r="Y4128" s="1"/>
      <c r="Z4128" s="1"/>
      <c r="AA4128" s="1"/>
      <c r="AB4128" s="1"/>
      <c r="AC4128" s="1"/>
      <c r="AD4128" s="1"/>
      <c r="AE4128" s="1"/>
      <c r="AF4128" s="1"/>
      <c r="AG4128" s="1"/>
      <c r="AH4128" s="1"/>
      <c r="AI4128" s="1"/>
      <c r="AJ4128" s="1"/>
      <c r="AK4128" s="1"/>
      <c r="AL4128" s="1"/>
      <c r="AM4128" s="1"/>
      <c r="AN4128" s="1"/>
      <c r="AO4128" s="1"/>
      <c r="AP4128" s="1"/>
      <c r="AQ4128" s="1"/>
      <c r="AR4128" s="1"/>
      <c r="AS4128" s="1"/>
      <c r="AT4128" s="1"/>
      <c r="AU4128" s="1"/>
      <c r="AV4128" s="1"/>
      <c r="AW4128" s="1"/>
      <c r="AX4128" s="1"/>
      <c r="AY4128" s="1"/>
      <c r="AZ4128" s="1"/>
      <c r="BA4128" s="1"/>
      <c r="BB4128" s="1"/>
    </row>
    <row r="4129" ht="204.75" customHeight="1">
      <c r="A4129" s="1">
        <v>3774.0</v>
      </c>
      <c r="B4129" s="2" t="s">
        <v>12179</v>
      </c>
      <c r="C4129" s="2">
        <f>IFERROR(__xludf.DUMMYFUNCTION("split(B4129,""_"")"),1207.0)</f>
        <v>1207</v>
      </c>
      <c r="D4129" s="2" t="str">
        <f>IFERROR(__xludf.DUMMYFUNCTION("""COMPUTED_VALUE"""),"NTV")</f>
        <v>NTV</v>
      </c>
      <c r="E4129" s="2" t="str">
        <f>IFERROR(__xludf.DUMMYFUNCTION("""COMPUTED_VALUE"""),"土21")</f>
        <v>土21</v>
      </c>
      <c r="F4129" s="2" t="s">
        <v>12180</v>
      </c>
      <c r="G4129" s="2" t="s">
        <v>12195</v>
      </c>
      <c r="H4129" s="1">
        <v>8.0</v>
      </c>
      <c r="I4129" s="1" t="s">
        <v>2896</v>
      </c>
      <c r="J4129" s="1" t="s">
        <v>11</v>
      </c>
      <c r="K4129" s="2" t="s">
        <v>12196</v>
      </c>
      <c r="L4129" s="2"/>
      <c r="M4129" s="2" t="str">
        <f>IFERROR(__xludf.DUMMYFUNCTION("split(split(K4129,""【演出"",false),""ほか"",false)"),"仲間由紀恵、沢村一樹、志田未来、君野夢真(子役)  芹那、真田佑馬(ジャニーズJr.)  塚地武雅(ドランクドラゴン)、生瀬勝久ある日、蝶子(仲間由紀恵)の住む上原写真館に空き巣が侵入する。蝶子と三船(生瀬勝久)がそっと写真館の中を覗くと、若い男が「わーっ」と大声をあげる。なんとその男・亮(森崎ウィン)には蝶子と三船の姿が見えていた。翌日、車道に飛び出してしまったとんぼ(君野夢真)は、なんと亮に助けられる。亮が根っからの悪人だとは思えない蝶子は、亮のことをもっと知るために、とんぼと一緒に彼が生まれた町へ向"&amp;"かうーーー。")</f>
        <v>仲間由紀恵、沢村一樹、志田未来、君野夢真(子役)  芹那、真田佑馬(ジャニーズJr.)  塚地武雅(ドランクドラゴン)、生瀬勝久ある日、蝶子(仲間由紀恵)の住む上原写真館に空き巣が侵入する。蝶子と三船(生瀬勝久)がそっと写真館の中を覗くと、若い男が「わーっ」と大声をあげる。なんとその男・亮(森崎ウィン)には蝶子と三船の姿が見えていた。翌日、車道に飛び出してしまったとんぼ(君野夢真)は、なんと亮に助けられる。亮が根っからの悪人だとは思えない蝶子は、亮のことをもっと知るために、とんぼと一緒に彼が生まれた町へ向かうーーー。</v>
      </c>
      <c r="N4129" s="2"/>
      <c r="O4129" s="2"/>
      <c r="P4129" s="1"/>
      <c r="Q4129" s="1"/>
      <c r="R4129" s="1"/>
      <c r="S4129" s="1"/>
      <c r="T4129" s="1"/>
      <c r="U4129" s="1"/>
      <c r="V4129" s="1"/>
      <c r="W4129" s="1"/>
      <c r="X4129" s="1"/>
      <c r="Y4129" s="1"/>
      <c r="Z4129" s="1"/>
      <c r="AA4129" s="1"/>
      <c r="AB4129" s="1"/>
      <c r="AC4129" s="1"/>
      <c r="AD4129" s="1"/>
      <c r="AE4129" s="1"/>
      <c r="AF4129" s="1"/>
      <c r="AG4129" s="1"/>
      <c r="AH4129" s="1"/>
      <c r="AI4129" s="1"/>
      <c r="AJ4129" s="1"/>
      <c r="AK4129" s="1"/>
      <c r="AL4129" s="1"/>
      <c r="AM4129" s="1"/>
      <c r="AN4129" s="1"/>
      <c r="AO4129" s="1"/>
      <c r="AP4129" s="1"/>
      <c r="AQ4129" s="1"/>
      <c r="AR4129" s="1"/>
      <c r="AS4129" s="1"/>
      <c r="AT4129" s="1"/>
      <c r="AU4129" s="1"/>
      <c r="AV4129" s="1"/>
      <c r="AW4129" s="1"/>
      <c r="AX4129" s="1"/>
      <c r="AY4129" s="1"/>
      <c r="AZ4129" s="1"/>
      <c r="BA4129" s="1"/>
      <c r="BB4129" s="1"/>
    </row>
    <row r="4130" ht="204.75" customHeight="1">
      <c r="A4130" s="1">
        <v>3775.0</v>
      </c>
      <c r="B4130" s="2" t="s">
        <v>12179</v>
      </c>
      <c r="C4130" s="2">
        <f>IFERROR(__xludf.DUMMYFUNCTION("split(B4130,""_"")"),1207.0)</f>
        <v>1207</v>
      </c>
      <c r="D4130" s="2" t="str">
        <f>IFERROR(__xludf.DUMMYFUNCTION("""COMPUTED_VALUE"""),"NTV")</f>
        <v>NTV</v>
      </c>
      <c r="E4130" s="2" t="str">
        <f>IFERROR(__xludf.DUMMYFUNCTION("""COMPUTED_VALUE"""),"土21")</f>
        <v>土21</v>
      </c>
      <c r="F4130" s="2" t="s">
        <v>12180</v>
      </c>
      <c r="G4130" s="2" t="s">
        <v>12197</v>
      </c>
      <c r="H4130" s="1">
        <v>9.0</v>
      </c>
      <c r="J4130" s="1" t="s">
        <v>4</v>
      </c>
      <c r="K4130" s="2" t="s">
        <v>12198</v>
      </c>
      <c r="L4130" s="2"/>
      <c r="M4130" s="2" t="str">
        <f>IFERROR(__xludf.DUMMYFUNCTION("split(split(K4130,""【演出"",false),""ほか"",false)"),"仲間由紀恵、沢村一樹、志田未来、君野夢真(子役)  芹那、真田佑馬(ジャニーズJr.)  塚地武雅(ドランクドラゴン)、生瀬勝久蝶子(仲間由紀恵)がユウレイになって3ヵ月。蝶子は、とんぼ(君野夢真)の成長がうれしい反面、別れが近づいている予感を感じていた。一方、三船(生瀬勝久)は、3年前に家を出ていって以来、音信不通の息子・浩志(塚本高史)のことが気にかかっていた。  なんとかしてあげたい蝶子だったが・・・。果たして蝶子は、三船と浩志を再会させることができるのか!?そして、家族との別れが近づく蝶子が最後に"&amp;"起こす奇跡とは!?")</f>
        <v>仲間由紀恵、沢村一樹、志田未来、君野夢真(子役)  芹那、真田佑馬(ジャニーズJr.)  塚地武雅(ドランクドラゴン)、生瀬勝久蝶子(仲間由紀恵)がユウレイになって3ヵ月。蝶子は、とんぼ(君野夢真)の成長がうれしい反面、別れが近づいている予感を感じていた。一方、三船(生瀬勝久)は、3年前に家を出ていって以来、音信不通の息子・浩志(塚本高史)のことが気にかかっていた。  なんとかしてあげたい蝶子だったが・・・。果たして蝶子は、三船と浩志を再会させることができるのか!?そして、家族との別れが近づく蝶子が最後に起こす奇跡とは!?</v>
      </c>
      <c r="N4130" s="2"/>
      <c r="O4130" s="2"/>
      <c r="P4130" s="1"/>
      <c r="Q4130" s="1"/>
      <c r="R4130" s="1"/>
      <c r="S4130" s="1"/>
      <c r="T4130" s="1"/>
      <c r="U4130" s="1"/>
      <c r="V4130" s="1"/>
      <c r="W4130" s="1"/>
      <c r="X4130" s="1"/>
      <c r="Y4130" s="1"/>
      <c r="Z4130" s="1"/>
      <c r="AA4130" s="1"/>
      <c r="AB4130" s="1"/>
      <c r="AC4130" s="1"/>
      <c r="AD4130" s="1"/>
      <c r="AE4130" s="1"/>
      <c r="AF4130" s="1"/>
      <c r="AG4130" s="1"/>
      <c r="AH4130" s="1"/>
      <c r="AI4130" s="1"/>
      <c r="AJ4130" s="1"/>
      <c r="AK4130" s="1"/>
      <c r="AL4130" s="1"/>
      <c r="AM4130" s="1"/>
      <c r="AN4130" s="1"/>
      <c r="AO4130" s="1"/>
      <c r="AP4130" s="1"/>
      <c r="AQ4130" s="1"/>
      <c r="AR4130" s="1"/>
      <c r="AS4130" s="1"/>
      <c r="AT4130" s="1"/>
      <c r="AU4130" s="1"/>
      <c r="AV4130" s="1"/>
      <c r="AW4130" s="1"/>
      <c r="AX4130" s="1"/>
      <c r="AY4130" s="1"/>
      <c r="AZ4130" s="1"/>
      <c r="BA4130" s="1"/>
      <c r="BB4130" s="1"/>
    </row>
    <row r="4131" ht="204.75" customHeight="1">
      <c r="A4131" s="1">
        <v>3839.0</v>
      </c>
      <c r="B4131" s="2" t="s">
        <v>12199</v>
      </c>
      <c r="C4131" s="2">
        <f>IFERROR(__xludf.DUMMYFUNCTION("split(B4131,""_"")"),1204.0)</f>
        <v>1204</v>
      </c>
      <c r="D4131" s="2" t="str">
        <f>IFERROR(__xludf.DUMMYFUNCTION("""COMPUTED_VALUE"""),"NTV")</f>
        <v>NTV</v>
      </c>
      <c r="E4131" s="2" t="str">
        <f>IFERROR(__xludf.DUMMYFUNCTION("""COMPUTED_VALUE"""),"水22")</f>
        <v>水22</v>
      </c>
      <c r="F4131" s="2" t="s">
        <v>12200</v>
      </c>
      <c r="G4131" s="2" t="s">
        <v>12201</v>
      </c>
      <c r="H4131" s="1">
        <v>1.0</v>
      </c>
      <c r="I4131" s="1" t="s">
        <v>2868</v>
      </c>
      <c r="J4131" s="1" t="s">
        <v>82</v>
      </c>
      <c r="K4131" s="2" t="s">
        <v>12202</v>
      </c>
      <c r="L4131" s="2"/>
      <c r="M4131" s="2" t="str">
        <f>IFERROR(__xludf.DUMMYFUNCTION("split(split(K4131,""【演出"",false),""ほか"",false)"),"佐藤隆太、稲森いずみ、北乃きい、綾野剛、三浦翔平、芦名星、宮地雅子、いせゆみこ、奥田恵梨華、杉本有美、小篠恵奈/山崎一、宇納佑、神尾佑、佐藤瑠生亮/岩本多代、  余貴美子「女は美を追いもとめ、男は美に翻弄されるーー」美容外科クリニックを舞台に男一人飛び込んだ女嫌いのエリート医師を目線を通して描く、すべてのコンプレックスを抱える人々に捧げるヒューマンコメディ。")</f>
        <v>佐藤隆太、稲森いずみ、北乃きい、綾野剛、三浦翔平、芦名星、宮地雅子、いせゆみこ、奥田恵梨華、杉本有美、小篠恵奈/山崎一、宇納佑、神尾佑、佐藤瑠生亮/岩本多代、  余貴美子「女は美を追いもとめ、男は美に翻弄されるーー」美容外科クリニックを舞台に男一人飛び込んだ女嫌いのエリート医師を目線を通して描く、すべてのコンプレックスを抱える人々に捧げるヒューマンコメディ。</v>
      </c>
      <c r="N4131" s="2"/>
      <c r="O4131" s="2"/>
      <c r="P4131" s="1"/>
      <c r="Q4131" s="1"/>
      <c r="R4131" s="1"/>
      <c r="S4131" s="1"/>
      <c r="T4131" s="1"/>
      <c r="U4131" s="1"/>
      <c r="V4131" s="1"/>
      <c r="W4131" s="1"/>
      <c r="X4131" s="1"/>
      <c r="Y4131" s="1"/>
      <c r="Z4131" s="1"/>
      <c r="AA4131" s="1"/>
      <c r="AB4131" s="1"/>
      <c r="AC4131" s="1"/>
      <c r="AD4131" s="1"/>
      <c r="AE4131" s="1"/>
      <c r="AF4131" s="1"/>
      <c r="AG4131" s="1"/>
      <c r="AH4131" s="1"/>
      <c r="AI4131" s="1"/>
      <c r="AJ4131" s="1"/>
      <c r="AK4131" s="1"/>
      <c r="AL4131" s="1"/>
      <c r="AM4131" s="1"/>
      <c r="AN4131" s="1"/>
      <c r="AO4131" s="1"/>
      <c r="AP4131" s="1"/>
      <c r="AQ4131" s="1"/>
      <c r="AR4131" s="1"/>
      <c r="AS4131" s="1"/>
      <c r="AT4131" s="1"/>
      <c r="AU4131" s="1"/>
      <c r="AV4131" s="1"/>
      <c r="AW4131" s="1"/>
      <c r="AX4131" s="1"/>
      <c r="AY4131" s="1"/>
      <c r="AZ4131" s="1"/>
      <c r="BA4131" s="1"/>
      <c r="BB4131" s="1"/>
    </row>
    <row r="4132" ht="204.75" customHeight="1">
      <c r="A4132" s="1">
        <v>3840.0</v>
      </c>
      <c r="B4132" s="2" t="s">
        <v>12199</v>
      </c>
      <c r="C4132" s="2">
        <f>IFERROR(__xludf.DUMMYFUNCTION("split(B4132,""_"")"),1204.0)</f>
        <v>1204</v>
      </c>
      <c r="D4132" s="2" t="str">
        <f>IFERROR(__xludf.DUMMYFUNCTION("""COMPUTED_VALUE"""),"NTV")</f>
        <v>NTV</v>
      </c>
      <c r="E4132" s="2" t="str">
        <f>IFERROR(__xludf.DUMMYFUNCTION("""COMPUTED_VALUE"""),"水22")</f>
        <v>水22</v>
      </c>
      <c r="F4132" s="2" t="s">
        <v>12200</v>
      </c>
      <c r="G4132" s="2" t="s">
        <v>12203</v>
      </c>
      <c r="H4132" s="1">
        <v>2.0</v>
      </c>
      <c r="I4132" s="1" t="s">
        <v>2872</v>
      </c>
      <c r="J4132" s="1" t="s">
        <v>86</v>
      </c>
      <c r="K4132" s="2" t="s">
        <v>12204</v>
      </c>
      <c r="L4132" s="2"/>
      <c r="M4132" s="2" t="str">
        <f>IFERROR(__xludf.DUMMYFUNCTION("split(split(K4132,""【演出"",false),""ほか"",false)"),"佐藤隆太、稲森いずみ、北乃きい、綾野剛、三浦翔平、芦名星、宮地雅子、いせゆみこ、奥田恵梨華、杉本有美、小篠恵奈/銀粉蝶/神尾佑、佐藤瑠生亮/岩本多代、余貴美子接着剤で瞼をくっつけてしまった8歳の少女を抱えた母親と遭遇した峯太郎(佐藤隆太)は、クリニックへ親子を案内しすばやく処置。幼い少女が二重手術を願っている現実に驚く。そんな中、マリの乳房再建手術に立会い技術に感銘を受ける峯太郎。裕にいい仕事をしたとメールで報告。しかし、手術を受けた景子(銀粉蝶)の話し相手をしているうち、峯太郎は哀しい過去を思い起し、そ"&amp;"れが原因で看護師の葵と激しく衝突してしまう。")</f>
        <v>佐藤隆太、稲森いずみ、北乃きい、綾野剛、三浦翔平、芦名星、宮地雅子、いせゆみこ、奥田恵梨華、杉本有美、小篠恵奈/銀粉蝶/神尾佑、佐藤瑠生亮/岩本多代、余貴美子接着剤で瞼をくっつけてしまった8歳の少女を抱えた母親と遭遇した峯太郎(佐藤隆太)は、クリニックへ親子を案内しすばやく処置。幼い少女が二重手術を願っている現実に驚く。そんな中、マリの乳房再建手術に立会い技術に感銘を受ける峯太郎。裕にいい仕事をしたとメールで報告。しかし、手術を受けた景子(銀粉蝶)の話し相手をしているうち、峯太郎は哀しい過去を思い起し、それが原因で看護師の葵と激しく衝突してしまう。</v>
      </c>
      <c r="N4132" s="2"/>
      <c r="O4132" s="2"/>
      <c r="P4132" s="1"/>
      <c r="Q4132" s="1"/>
      <c r="R4132" s="1"/>
      <c r="S4132" s="1"/>
      <c r="T4132" s="1"/>
      <c r="U4132" s="1"/>
      <c r="V4132" s="1"/>
      <c r="W4132" s="1"/>
      <c r="X4132" s="1"/>
      <c r="Y4132" s="1"/>
      <c r="Z4132" s="1"/>
      <c r="AA4132" s="1"/>
      <c r="AB4132" s="1"/>
      <c r="AC4132" s="1"/>
      <c r="AD4132" s="1"/>
      <c r="AE4132" s="1"/>
      <c r="AF4132" s="1"/>
      <c r="AG4132" s="1"/>
      <c r="AH4132" s="1"/>
      <c r="AI4132" s="1"/>
      <c r="AJ4132" s="1"/>
      <c r="AK4132" s="1"/>
      <c r="AL4132" s="1"/>
      <c r="AM4132" s="1"/>
      <c r="AN4132" s="1"/>
      <c r="AO4132" s="1"/>
      <c r="AP4132" s="1"/>
      <c r="AQ4132" s="1"/>
      <c r="AR4132" s="1"/>
      <c r="AS4132" s="1"/>
      <c r="AT4132" s="1"/>
      <c r="AU4132" s="1"/>
      <c r="AV4132" s="1"/>
      <c r="AW4132" s="1"/>
      <c r="AX4132" s="1"/>
      <c r="AY4132" s="1"/>
      <c r="AZ4132" s="1"/>
      <c r="BA4132" s="1"/>
      <c r="BB4132" s="1"/>
    </row>
    <row r="4133" ht="204.75" customHeight="1">
      <c r="A4133" s="1">
        <v>3841.0</v>
      </c>
      <c r="B4133" s="2" t="s">
        <v>12199</v>
      </c>
      <c r="C4133" s="2">
        <f>IFERROR(__xludf.DUMMYFUNCTION("split(B4133,""_"")"),1204.0)</f>
        <v>1204</v>
      </c>
      <c r="D4133" s="2" t="str">
        <f>IFERROR(__xludf.DUMMYFUNCTION("""COMPUTED_VALUE"""),"NTV")</f>
        <v>NTV</v>
      </c>
      <c r="E4133" s="2" t="str">
        <f>IFERROR(__xludf.DUMMYFUNCTION("""COMPUTED_VALUE"""),"水22")</f>
        <v>水22</v>
      </c>
      <c r="F4133" s="2" t="s">
        <v>12200</v>
      </c>
      <c r="G4133" s="2" t="s">
        <v>12205</v>
      </c>
      <c r="H4133" s="1">
        <v>3.0</v>
      </c>
      <c r="I4133" s="1" t="s">
        <v>2876</v>
      </c>
      <c r="J4133" s="1" t="s">
        <v>86</v>
      </c>
      <c r="K4133" s="2" t="s">
        <v>12206</v>
      </c>
      <c r="L4133" s="2"/>
      <c r="M4133" s="2" t="str">
        <f>IFERROR(__xludf.DUMMYFUNCTION("split(split(K4133,""【演出"",false),""ほか"",false)"),"佐藤隆太、稲森いずみ、北乃きい、綾野剛、三浦翔平、芦名星、宮地雅子、宇納佑、いせゆみこ、奥田恵梨華、杉本有美、小篠恵奈、久松信美、梅舟惟永、西田健、余貴美子初めて峯太郎(佐藤隆太)を指名する患者がやってきた。峯太郎がよく行くコーヒーショップの女性店員・寺崎ふゆ(梅舟惟永)だった。彼女は同じ店で働く双子の姉と別人の顔に、さらには峯太郎好みの顔にして欲しいという。無茶な要望なため睦にフォローしてもらいながらも何とか対応していくが・・・。同じ頃、峯太郎が頼る睦にも難題が押し寄せる。クールな睦の異変に驚くスタッフ"&amp;"たち。")</f>
        <v>佐藤隆太、稲森いずみ、北乃きい、綾野剛、三浦翔平、芦名星、宮地雅子、宇納佑、いせゆみこ、奥田恵梨華、杉本有美、小篠恵奈、久松信美、梅舟惟永、西田健、余貴美子初めて峯太郎(佐藤隆太)を指名する患者がやってきた。峯太郎がよく行くコーヒーショップの女性店員・寺崎ふゆ(梅舟惟永)だった。彼女は同じ店で働く双子の姉と別人の顔に、さらには峯太郎好みの顔にして欲しいという。無茶な要望なため睦にフォローしてもらいながらも何とか対応していくが・・・。同じ頃、峯太郎が頼る睦にも難題が押し寄せる。クールな睦の異変に驚くスタッフたち。</v>
      </c>
      <c r="N4133" s="2"/>
      <c r="O4133" s="2"/>
      <c r="P4133" s="1"/>
      <c r="Q4133" s="1"/>
      <c r="R4133" s="1"/>
      <c r="S4133" s="1"/>
      <c r="T4133" s="1"/>
      <c r="U4133" s="1"/>
      <c r="V4133" s="1"/>
      <c r="W4133" s="1"/>
      <c r="X4133" s="1"/>
      <c r="Y4133" s="1"/>
      <c r="Z4133" s="1"/>
      <c r="AA4133" s="1"/>
      <c r="AB4133" s="1"/>
      <c r="AC4133" s="1"/>
      <c r="AD4133" s="1"/>
      <c r="AE4133" s="1"/>
      <c r="AF4133" s="1"/>
      <c r="AG4133" s="1"/>
      <c r="AH4133" s="1"/>
      <c r="AI4133" s="1"/>
      <c r="AJ4133" s="1"/>
      <c r="AK4133" s="1"/>
      <c r="AL4133" s="1"/>
      <c r="AM4133" s="1"/>
      <c r="AN4133" s="1"/>
      <c r="AO4133" s="1"/>
      <c r="AP4133" s="1"/>
      <c r="AQ4133" s="1"/>
      <c r="AR4133" s="1"/>
      <c r="AS4133" s="1"/>
      <c r="AT4133" s="1"/>
      <c r="AU4133" s="1"/>
      <c r="AV4133" s="1"/>
      <c r="AW4133" s="1"/>
      <c r="AX4133" s="1"/>
      <c r="AY4133" s="1"/>
      <c r="AZ4133" s="1"/>
      <c r="BA4133" s="1"/>
      <c r="BB4133" s="1"/>
    </row>
    <row r="4134" ht="204.75" customHeight="1">
      <c r="A4134" s="1">
        <v>3842.0</v>
      </c>
      <c r="B4134" s="2" t="s">
        <v>12199</v>
      </c>
      <c r="C4134" s="2">
        <f>IFERROR(__xludf.DUMMYFUNCTION("split(B4134,""_"")"),1204.0)</f>
        <v>1204</v>
      </c>
      <c r="D4134" s="2" t="str">
        <f>IFERROR(__xludf.DUMMYFUNCTION("""COMPUTED_VALUE"""),"NTV")</f>
        <v>NTV</v>
      </c>
      <c r="E4134" s="2" t="str">
        <f>IFERROR(__xludf.DUMMYFUNCTION("""COMPUTED_VALUE"""),"水22")</f>
        <v>水22</v>
      </c>
      <c r="F4134" s="2" t="s">
        <v>12200</v>
      </c>
      <c r="G4134" s="2" t="s">
        <v>12207</v>
      </c>
      <c r="H4134" s="1">
        <v>4.0</v>
      </c>
      <c r="I4134" s="1" t="s">
        <v>2880</v>
      </c>
      <c r="J4134" s="1" t="s">
        <v>86</v>
      </c>
      <c r="K4134" s="2" t="s">
        <v>12208</v>
      </c>
      <c r="L4134" s="2"/>
      <c r="M4134" s="2" t="str">
        <f>IFERROR(__xludf.DUMMYFUNCTION("split(split(K4134,""【演出"",false),""ほか"",false)"),"佐藤隆太、稲森いずみ、北乃きい、綾野剛、三浦翔平、芦名星、宮地雅子、宇納佑、いせゆみこ、奥田恵梨華、杉本有美、小篠恵奈、西田健、岩本多代、余貴美子　他今回のメイン手術は植毛手術。患者は睦(稲森いずみ)の夫(宇納佑)の上司。  順調に段取りを進めていた睦。しかし植毛手術の当日、行けないと言っていたはずの夫が手術室に現れると同時に混乱し始め、一時手術は中断してしまう。")</f>
        <v>佐藤隆太、稲森いずみ、北乃きい、綾野剛、三浦翔平、芦名星、宮地雅子、宇納佑、いせゆみこ、奥田恵梨華、杉本有美、小篠恵奈、西田健、岩本多代、余貴美子　他今回のメイン手術は植毛手術。患者は睦(稲森いずみ)の夫(宇納佑)の上司。  順調に段取りを進めていた睦。しかし植毛手術の当日、行けないと言っていたはずの夫が手術室に現れると同時に混乱し始め、一時手術は中断してしまう。</v>
      </c>
      <c r="N4134" s="2"/>
      <c r="O4134" s="2"/>
      <c r="P4134" s="1"/>
      <c r="Q4134" s="1"/>
      <c r="R4134" s="1"/>
      <c r="S4134" s="1"/>
      <c r="T4134" s="1"/>
      <c r="U4134" s="1"/>
      <c r="V4134" s="1"/>
      <c r="W4134" s="1"/>
      <c r="X4134" s="1"/>
      <c r="Y4134" s="1"/>
      <c r="Z4134" s="1"/>
      <c r="AA4134" s="1"/>
      <c r="AB4134" s="1"/>
      <c r="AC4134" s="1"/>
      <c r="AD4134" s="1"/>
      <c r="AE4134" s="1"/>
      <c r="AF4134" s="1"/>
      <c r="AG4134" s="1"/>
      <c r="AH4134" s="1"/>
      <c r="AI4134" s="1"/>
      <c r="AJ4134" s="1"/>
      <c r="AK4134" s="1"/>
      <c r="AL4134" s="1"/>
      <c r="AM4134" s="1"/>
      <c r="AN4134" s="1"/>
      <c r="AO4134" s="1"/>
      <c r="AP4134" s="1"/>
      <c r="AQ4134" s="1"/>
      <c r="AR4134" s="1"/>
      <c r="AS4134" s="1"/>
      <c r="AT4134" s="1"/>
      <c r="AU4134" s="1"/>
      <c r="AV4134" s="1"/>
      <c r="AW4134" s="1"/>
      <c r="AX4134" s="1"/>
      <c r="AY4134" s="1"/>
      <c r="AZ4134" s="1"/>
      <c r="BA4134" s="1"/>
      <c r="BB4134" s="1"/>
    </row>
    <row r="4135" ht="204.75" customHeight="1">
      <c r="A4135" s="1">
        <v>3843.0</v>
      </c>
      <c r="B4135" s="2" t="s">
        <v>12199</v>
      </c>
      <c r="C4135" s="2">
        <f>IFERROR(__xludf.DUMMYFUNCTION("split(B4135,""_"")"),1204.0)</f>
        <v>1204</v>
      </c>
      <c r="D4135" s="2" t="str">
        <f>IFERROR(__xludf.DUMMYFUNCTION("""COMPUTED_VALUE"""),"NTV")</f>
        <v>NTV</v>
      </c>
      <c r="E4135" s="2" t="str">
        <f>IFERROR(__xludf.DUMMYFUNCTION("""COMPUTED_VALUE"""),"水22")</f>
        <v>水22</v>
      </c>
      <c r="F4135" s="2" t="s">
        <v>12200</v>
      </c>
      <c r="G4135" s="2" t="s">
        <v>12209</v>
      </c>
      <c r="H4135" s="1">
        <v>5.0</v>
      </c>
      <c r="I4135" s="1" t="s">
        <v>2884</v>
      </c>
      <c r="J4135" s="1" t="s">
        <v>86</v>
      </c>
      <c r="K4135" s="2" t="s">
        <v>12210</v>
      </c>
      <c r="L4135" s="2"/>
      <c r="M4135" s="2" t="str">
        <f>IFERROR(__xludf.DUMMYFUNCTION("split(split(K4135,""【演出"",false),""ほか"",false)"),"佐藤隆太、稲森いずみ、北乃きい、綾野剛、三浦翔平、芦名星、宮地雅子、宇納佑、いせゆみこ、奥田恵梨華、杉本有美、小篠恵奈、西田健、岩本多代、余貴美子　他昨夜の出来事は無かったかのようにキリッとしている睦。しかし峯太郎の脳裏から弱く儚い睦の姿が離れない。そして、女嫌いだが誠実で確かな技術を持つ峯太郎にクリニックのスタッフは自然と信頼をおいていく。そんな中、モデル並の美しさでプライドも高い星田が、峯太郎を攻撃し始め、終には峯太郎に求婚を迫る?")</f>
        <v>佐藤隆太、稲森いずみ、北乃きい、綾野剛、三浦翔平、芦名星、宮地雅子、宇納佑、いせゆみこ、奥田恵梨華、杉本有美、小篠恵奈、西田健、岩本多代、余貴美子　他昨夜の出来事は無かったかのようにキリッとしている睦。しかし峯太郎の脳裏から弱く儚い睦の姿が離れない。そして、女嫌いだが誠実で確かな技術を持つ峯太郎にクリニックのスタッフは自然と信頼をおいていく。そんな中、モデル並の美しさでプライドも高い星田が、峯太郎を攻撃し始め、終には峯太郎に求婚を迫る?</v>
      </c>
      <c r="N4135" s="2"/>
      <c r="O4135" s="2"/>
      <c r="P4135" s="1"/>
      <c r="Q4135" s="1"/>
      <c r="R4135" s="1"/>
      <c r="S4135" s="1"/>
      <c r="T4135" s="1"/>
      <c r="U4135" s="1"/>
      <c r="V4135" s="1"/>
      <c r="W4135" s="1"/>
      <c r="X4135" s="1"/>
      <c r="Y4135" s="1"/>
      <c r="Z4135" s="1"/>
      <c r="AA4135" s="1"/>
      <c r="AB4135" s="1"/>
      <c r="AC4135" s="1"/>
      <c r="AD4135" s="1"/>
      <c r="AE4135" s="1"/>
      <c r="AF4135" s="1"/>
      <c r="AG4135" s="1"/>
      <c r="AH4135" s="1"/>
      <c r="AI4135" s="1"/>
      <c r="AJ4135" s="1"/>
      <c r="AK4135" s="1"/>
      <c r="AL4135" s="1"/>
      <c r="AM4135" s="1"/>
      <c r="AN4135" s="1"/>
      <c r="AO4135" s="1"/>
      <c r="AP4135" s="1"/>
      <c r="AQ4135" s="1"/>
      <c r="AR4135" s="1"/>
      <c r="AS4135" s="1"/>
      <c r="AT4135" s="1"/>
      <c r="AU4135" s="1"/>
      <c r="AV4135" s="1"/>
      <c r="AW4135" s="1"/>
      <c r="AX4135" s="1"/>
      <c r="AY4135" s="1"/>
      <c r="AZ4135" s="1"/>
      <c r="BA4135" s="1"/>
      <c r="BB4135" s="1"/>
    </row>
    <row r="4136" ht="204.75" customHeight="1">
      <c r="A4136" s="1">
        <v>3844.0</v>
      </c>
      <c r="B4136" s="2" t="s">
        <v>12199</v>
      </c>
      <c r="C4136" s="2">
        <f>IFERROR(__xludf.DUMMYFUNCTION("split(B4136,""_"")"),1204.0)</f>
        <v>1204</v>
      </c>
      <c r="D4136" s="2" t="str">
        <f>IFERROR(__xludf.DUMMYFUNCTION("""COMPUTED_VALUE"""),"NTV")</f>
        <v>NTV</v>
      </c>
      <c r="E4136" s="2" t="str">
        <f>IFERROR(__xludf.DUMMYFUNCTION("""COMPUTED_VALUE"""),"水22")</f>
        <v>水22</v>
      </c>
      <c r="F4136" s="2" t="s">
        <v>12200</v>
      </c>
      <c r="G4136" s="2" t="s">
        <v>12211</v>
      </c>
      <c r="H4136" s="1">
        <v>6.0</v>
      </c>
      <c r="I4136" s="1" t="s">
        <v>2888</v>
      </c>
      <c r="J4136" s="1" t="s">
        <v>86</v>
      </c>
      <c r="K4136" s="2" t="s">
        <v>12212</v>
      </c>
      <c r="L4136" s="2"/>
      <c r="M4136" s="2" t="str">
        <f>IFERROR(__xludf.DUMMYFUNCTION("split(split(K4136,""【演出"",false),""ほか"",false)"),"佐藤隆太、稲森いずみ、北乃きい、綾野剛、三浦翔平、芦名星、宮地雅子、宇納佑、いせゆみこ、奥田恵梨華、杉本有美、小篠恵奈、岩本多代、余貴美子　他結婚間近で幸せオーラを振りまく葵(北乃きい)。対して家庭の中で孤立感を深めていく睦(稲森いずみ)は、葵の結婚話で盛り上がる周囲の雰囲気から取り残されてしまう。峯太郎(佐藤隆太)はそんな睦を目で追ってしまう。睦に心を奪われていく峯太郎が気がかりでならない裕(綾野剛)。ある日、葵が始業時間になっても出勤してこない。心配するマリに促され峯太郎が葵のマンションを訪ねると、手"&amp;"首を切って倒れていた・・・。")</f>
        <v>佐藤隆太、稲森いずみ、北乃きい、綾野剛、三浦翔平、芦名星、宮地雅子、宇納佑、いせゆみこ、奥田恵梨華、杉本有美、小篠恵奈、岩本多代、余貴美子　他結婚間近で幸せオーラを振りまく葵(北乃きい)。対して家庭の中で孤立感を深めていく睦(稲森いずみ)は、葵の結婚話で盛り上がる周囲の雰囲気から取り残されてしまう。峯太郎(佐藤隆太)はそんな睦を目で追ってしまう。睦に心を奪われていく峯太郎が気がかりでならない裕(綾野剛)。ある日、葵が始業時間になっても出勤してこない。心配するマリに促され峯太郎が葵のマンションを訪ねると、手首を切って倒れていた・・・。</v>
      </c>
      <c r="N4136" s="2"/>
      <c r="O4136" s="2"/>
      <c r="P4136" s="1"/>
      <c r="Q4136" s="1"/>
      <c r="R4136" s="1"/>
      <c r="S4136" s="1"/>
      <c r="T4136" s="1"/>
      <c r="U4136" s="1"/>
      <c r="V4136" s="1"/>
      <c r="W4136" s="1"/>
      <c r="X4136" s="1"/>
      <c r="Y4136" s="1"/>
      <c r="Z4136" s="1"/>
      <c r="AA4136" s="1"/>
      <c r="AB4136" s="1"/>
      <c r="AC4136" s="1"/>
      <c r="AD4136" s="1"/>
      <c r="AE4136" s="1"/>
      <c r="AF4136" s="1"/>
      <c r="AG4136" s="1"/>
      <c r="AH4136" s="1"/>
      <c r="AI4136" s="1"/>
      <c r="AJ4136" s="1"/>
      <c r="AK4136" s="1"/>
      <c r="AL4136" s="1"/>
      <c r="AM4136" s="1"/>
      <c r="AN4136" s="1"/>
      <c r="AO4136" s="1"/>
      <c r="AP4136" s="1"/>
      <c r="AQ4136" s="1"/>
      <c r="AR4136" s="1"/>
      <c r="AS4136" s="1"/>
      <c r="AT4136" s="1"/>
      <c r="AU4136" s="1"/>
      <c r="AV4136" s="1"/>
      <c r="AW4136" s="1"/>
      <c r="AX4136" s="1"/>
      <c r="AY4136" s="1"/>
      <c r="AZ4136" s="1"/>
      <c r="BA4136" s="1"/>
      <c r="BB4136" s="1"/>
    </row>
    <row r="4137" ht="204.75" customHeight="1">
      <c r="A4137" s="1">
        <v>3845.0</v>
      </c>
      <c r="B4137" s="2" t="s">
        <v>12199</v>
      </c>
      <c r="C4137" s="2">
        <f>IFERROR(__xludf.DUMMYFUNCTION("split(B4137,""_"")"),1204.0)</f>
        <v>1204</v>
      </c>
      <c r="D4137" s="2" t="str">
        <f>IFERROR(__xludf.DUMMYFUNCTION("""COMPUTED_VALUE"""),"NTV")</f>
        <v>NTV</v>
      </c>
      <c r="E4137" s="2" t="str">
        <f>IFERROR(__xludf.DUMMYFUNCTION("""COMPUTED_VALUE"""),"水22")</f>
        <v>水22</v>
      </c>
      <c r="F4137" s="2" t="s">
        <v>12200</v>
      </c>
      <c r="G4137" s="2" t="s">
        <v>12213</v>
      </c>
      <c r="H4137" s="1">
        <v>7.0</v>
      </c>
      <c r="I4137" s="1" t="s">
        <v>2892</v>
      </c>
      <c r="J4137" s="1" t="s">
        <v>86</v>
      </c>
      <c r="K4137" s="2" t="s">
        <v>12214</v>
      </c>
      <c r="L4137" s="2"/>
      <c r="M4137" s="2" t="str">
        <f>IFERROR(__xludf.DUMMYFUNCTION("split(split(K4137,""【演出"",false),""ほか"",false)"),"佐藤隆太、稲森いずみ、北乃きい、綾野剛、三浦翔平、芦名星、宮地雅子、宇納佑、神尾佑、山崎一、明星真由美、いせゆみこ、奥田恵梨華、杉本有美、小篠恵奈、岩本多代、余貴美子院長マリ(余貴美子)が乳がん手術のためにしばらく休養を取ることに。マリ不在のクリニックに突然、峯太郎の父・慎太郎(山崎一)と恋人のさなみ(明星真由美)がやってくる。小顔の手術を希望するさなみは費用が高いと騒ぎ、さらに峯太郎は睦に惚れている!と言い出す始末。イラつく峯太郎に対し慎太郎は、父として男として思いを伝える。一方、峯太郎と睦が徐々に惹か"&amp;"れあうのを察知した裕が不安を募らせていく。")</f>
        <v>佐藤隆太、稲森いずみ、北乃きい、綾野剛、三浦翔平、芦名星、宮地雅子、宇納佑、神尾佑、山崎一、明星真由美、いせゆみこ、奥田恵梨華、杉本有美、小篠恵奈、岩本多代、余貴美子院長マリ(余貴美子)が乳がん手術のためにしばらく休養を取ることに。マリ不在のクリニックに突然、峯太郎の父・慎太郎(山崎一)と恋人のさなみ(明星真由美)がやってくる。小顔の手術を希望するさなみは費用が高いと騒ぎ、さらに峯太郎は睦に惚れている!と言い出す始末。イラつく峯太郎に対し慎太郎は、父として男として思いを伝える。一方、峯太郎と睦が徐々に惹かれあうのを察知した裕が不安を募らせていく。</v>
      </c>
      <c r="N4137" s="2"/>
      <c r="O4137" s="2"/>
      <c r="P4137" s="1"/>
      <c r="Q4137" s="1"/>
      <c r="R4137" s="1"/>
      <c r="S4137" s="1"/>
      <c r="T4137" s="1"/>
      <c r="U4137" s="1"/>
      <c r="V4137" s="1"/>
      <c r="W4137" s="1"/>
      <c r="X4137" s="1"/>
      <c r="Y4137" s="1"/>
      <c r="Z4137" s="1"/>
      <c r="AA4137" s="1"/>
      <c r="AB4137" s="1"/>
      <c r="AC4137" s="1"/>
      <c r="AD4137" s="1"/>
      <c r="AE4137" s="1"/>
      <c r="AF4137" s="1"/>
      <c r="AG4137" s="1"/>
      <c r="AH4137" s="1"/>
      <c r="AI4137" s="1"/>
      <c r="AJ4137" s="1"/>
      <c r="AK4137" s="1"/>
      <c r="AL4137" s="1"/>
      <c r="AM4137" s="1"/>
      <c r="AN4137" s="1"/>
      <c r="AO4137" s="1"/>
      <c r="AP4137" s="1"/>
      <c r="AQ4137" s="1"/>
      <c r="AR4137" s="1"/>
      <c r="AS4137" s="1"/>
      <c r="AT4137" s="1"/>
      <c r="AU4137" s="1"/>
      <c r="AV4137" s="1"/>
      <c r="AW4137" s="1"/>
      <c r="AX4137" s="1"/>
      <c r="AY4137" s="1"/>
      <c r="AZ4137" s="1"/>
      <c r="BA4137" s="1"/>
      <c r="BB4137" s="1"/>
    </row>
    <row r="4138" ht="204.75" customHeight="1">
      <c r="A4138" s="1">
        <v>3846.0</v>
      </c>
      <c r="B4138" s="2" t="s">
        <v>12199</v>
      </c>
      <c r="C4138" s="2">
        <f>IFERROR(__xludf.DUMMYFUNCTION("split(B4138,""_"")"),1204.0)</f>
        <v>1204</v>
      </c>
      <c r="D4138" s="2" t="str">
        <f>IFERROR(__xludf.DUMMYFUNCTION("""COMPUTED_VALUE"""),"NTV")</f>
        <v>NTV</v>
      </c>
      <c r="E4138" s="2" t="str">
        <f>IFERROR(__xludf.DUMMYFUNCTION("""COMPUTED_VALUE"""),"水22")</f>
        <v>水22</v>
      </c>
      <c r="F4138" s="2" t="s">
        <v>12200</v>
      </c>
      <c r="G4138" s="2" t="s">
        <v>12215</v>
      </c>
      <c r="H4138" s="1">
        <v>8.0</v>
      </c>
      <c r="I4138" s="1" t="s">
        <v>2896</v>
      </c>
      <c r="J4138" s="1" t="s">
        <v>86</v>
      </c>
      <c r="K4138" s="2" t="s">
        <v>12216</v>
      </c>
      <c r="L4138" s="2"/>
      <c r="M4138" s="2" t="str">
        <f>IFERROR(__xludf.DUMMYFUNCTION("split(split(K4138,""【演出"",false),""ほか"",false)"),"佐藤隆太、稲森いずみ、北乃きい、綾野剛、三浦翔平、芦名星、宮地雅子、宇納佑、神尾佑、山崎一、明星真由美、いせゆみこ、奥田恵梨華、杉本有美、小篠恵奈、佐藤瑠生亮、岩本多代、余貴美子女嫌いな峯太郎(佐藤隆太)がついに、睦(稲森いずみ)に好きだという気持ちを伝えた。その日二人は一夜を共にする。帰宅しない峯太郎を思い眠れない裕・・・。二人の様子を敏感に察知したBSCスタッフたちは不倫は不謹慎だと二人に対し冷たい態度を取りはじめる。そんな中、睦は離婚し息子の達也(佐藤瑠生亮)を連れて家を出たいと家族に申し出る。しか"&amp;"し市井家の反応は・・・。")</f>
        <v>佐藤隆太、稲森いずみ、北乃きい、綾野剛、三浦翔平、芦名星、宮地雅子、宇納佑、神尾佑、山崎一、明星真由美、いせゆみこ、奥田恵梨華、杉本有美、小篠恵奈、佐藤瑠生亮、岩本多代、余貴美子女嫌いな峯太郎(佐藤隆太)がついに、睦(稲森いずみ)に好きだという気持ちを伝えた。その日二人は一夜を共にする。帰宅しない峯太郎を思い眠れない裕・・・。二人の様子を敏感に察知したBSCスタッフたちは不倫は不謹慎だと二人に対し冷たい態度を取りはじめる。そんな中、睦は離婚し息子の達也(佐藤瑠生亮)を連れて家を出たいと家族に申し出る。しかし市井家の反応は・・・。</v>
      </c>
      <c r="N4138" s="2"/>
      <c r="O4138" s="2"/>
      <c r="P4138" s="1"/>
      <c r="Q4138" s="1"/>
      <c r="R4138" s="1"/>
      <c r="S4138" s="1"/>
      <c r="T4138" s="1"/>
      <c r="U4138" s="1"/>
      <c r="V4138" s="1"/>
      <c r="W4138" s="1"/>
      <c r="X4138" s="1"/>
      <c r="Y4138" s="1"/>
      <c r="Z4138" s="1"/>
      <c r="AA4138" s="1"/>
      <c r="AB4138" s="1"/>
      <c r="AC4138" s="1"/>
      <c r="AD4138" s="1"/>
      <c r="AE4138" s="1"/>
      <c r="AF4138" s="1"/>
      <c r="AG4138" s="1"/>
      <c r="AH4138" s="1"/>
      <c r="AI4138" s="1"/>
      <c r="AJ4138" s="1"/>
      <c r="AK4138" s="1"/>
      <c r="AL4138" s="1"/>
      <c r="AM4138" s="1"/>
      <c r="AN4138" s="1"/>
      <c r="AO4138" s="1"/>
      <c r="AP4138" s="1"/>
      <c r="AQ4138" s="1"/>
      <c r="AR4138" s="1"/>
      <c r="AS4138" s="1"/>
      <c r="AT4138" s="1"/>
      <c r="AU4138" s="1"/>
      <c r="AV4138" s="1"/>
      <c r="AW4138" s="1"/>
      <c r="AX4138" s="1"/>
      <c r="AY4138" s="1"/>
      <c r="AZ4138" s="1"/>
      <c r="BA4138" s="1"/>
      <c r="BB4138" s="1"/>
    </row>
    <row r="4139" ht="204.75" customHeight="1">
      <c r="A4139" s="1">
        <v>3876.0</v>
      </c>
      <c r="B4139" s="2" t="s">
        <v>12217</v>
      </c>
      <c r="C4139" s="2">
        <f>IFERROR(__xludf.DUMMYFUNCTION("split(B4139,""_"")"),1204.0)</f>
        <v>1204</v>
      </c>
      <c r="D4139" s="2" t="str">
        <f>IFERROR(__xludf.DUMMYFUNCTION("""COMPUTED_VALUE"""),"NTV")</f>
        <v>NTV</v>
      </c>
      <c r="E4139" s="2" t="str">
        <f>IFERROR(__xludf.DUMMYFUNCTION("""COMPUTED_VALUE"""),"木23")</f>
        <v>木23</v>
      </c>
      <c r="F4139" s="2" t="s">
        <v>12218</v>
      </c>
      <c r="G4139" s="2" t="s">
        <v>12219</v>
      </c>
      <c r="H4139" s="1">
        <v>1.0</v>
      </c>
      <c r="I4139" s="1" t="s">
        <v>2868</v>
      </c>
      <c r="J4139" s="1" t="s">
        <v>1435</v>
      </c>
      <c r="K4139" s="2" t="s">
        <v>12220</v>
      </c>
      <c r="L4139" s="2"/>
      <c r="M4139" s="2" t="str">
        <f>IFERROR(__xludf.DUMMYFUNCTION("split(split(K4139,""【演出"",false),""ほか"",false)"),"谷村美月、山本耕史、宮崎美子、忍成修吾、内田慈、白羽ゆり、段田安則所属劇団が解散し、借金を背負った冬堂マキ(谷村美月)は女優オーディションの記事を読み、ORコーポレーションを訪ねる。社長の松平トキタダ(段田安則)に認められ、すぐに働く事に。ORコーポレーションの仕事とは“代行女優業”だった。  マキが演じるのは、自殺した女流画家、白鳥ゆりえの代役=葬儀の死体役だった。継母の白鳥桜子(宮崎美子)が殺したと信じるゆりえの夫、白鳥博人(忍成修吾)からの依頼だったが・・・http://www.ytv.co.jp/"&amp;"taburakashi/")</f>
        <v>谷村美月、山本耕史、宮崎美子、忍成修吾、内田慈、白羽ゆり、段田安則所属劇団が解散し、借金を背負った冬堂マキ(谷村美月)は女優オーディションの記事を読み、ORコーポレーションを訪ねる。社長の松平トキタダ(段田安則)に認められ、すぐに働く事に。ORコーポレーションの仕事とは“代行女優業”だった。  マキが演じるのは、自殺した女流画家、白鳥ゆりえの代役=葬儀の死体役だった。継母の白鳥桜子(宮崎美子)が殺したと信じるゆりえの夫、白鳥博人(忍成修吾)からの依頼だったが・・・http://www.ytv.co.jp/taburakashi/</v>
      </c>
      <c r="N4139" s="2"/>
      <c r="O4139" s="2"/>
      <c r="P4139" s="1"/>
      <c r="Q4139" s="1"/>
      <c r="R4139" s="1"/>
      <c r="S4139" s="1"/>
      <c r="T4139" s="1"/>
      <c r="U4139" s="1"/>
      <c r="V4139" s="1"/>
      <c r="W4139" s="1"/>
      <c r="X4139" s="1"/>
      <c r="Y4139" s="1"/>
      <c r="Z4139" s="1"/>
      <c r="AA4139" s="1"/>
      <c r="AB4139" s="1"/>
      <c r="AC4139" s="1"/>
      <c r="AD4139" s="1"/>
      <c r="AE4139" s="1"/>
      <c r="AF4139" s="1"/>
      <c r="AG4139" s="1"/>
      <c r="AH4139" s="1"/>
      <c r="AI4139" s="1"/>
      <c r="AJ4139" s="1"/>
      <c r="AK4139" s="1"/>
      <c r="AL4139" s="1"/>
      <c r="AM4139" s="1"/>
      <c r="AN4139" s="1"/>
      <c r="AO4139" s="1"/>
      <c r="AP4139" s="1"/>
      <c r="AQ4139" s="1"/>
      <c r="AR4139" s="1"/>
      <c r="AS4139" s="1"/>
      <c r="AT4139" s="1"/>
      <c r="AU4139" s="1"/>
      <c r="AV4139" s="1"/>
      <c r="AW4139" s="1"/>
      <c r="AX4139" s="1"/>
      <c r="AY4139" s="1"/>
      <c r="AZ4139" s="1"/>
      <c r="BA4139" s="1"/>
      <c r="BB4139" s="1"/>
    </row>
    <row r="4140" ht="204.75" customHeight="1">
      <c r="A4140" s="1">
        <v>3877.0</v>
      </c>
      <c r="B4140" s="2" t="s">
        <v>12217</v>
      </c>
      <c r="C4140" s="2">
        <f>IFERROR(__xludf.DUMMYFUNCTION("split(B4140,""_"")"),1204.0)</f>
        <v>1204</v>
      </c>
      <c r="D4140" s="2" t="str">
        <f>IFERROR(__xludf.DUMMYFUNCTION("""COMPUTED_VALUE"""),"NTV")</f>
        <v>NTV</v>
      </c>
      <c r="E4140" s="2" t="str">
        <f>IFERROR(__xludf.DUMMYFUNCTION("""COMPUTED_VALUE"""),"木23")</f>
        <v>木23</v>
      </c>
      <c r="F4140" s="2" t="s">
        <v>12218</v>
      </c>
      <c r="G4140" s="2" t="s">
        <v>12221</v>
      </c>
      <c r="H4140" s="1">
        <v>2.0</v>
      </c>
      <c r="I4140" s="1" t="s">
        <v>2872</v>
      </c>
      <c r="J4140" s="1" t="s">
        <v>1435</v>
      </c>
      <c r="K4140" s="2" t="s">
        <v>12222</v>
      </c>
      <c r="L4140" s="2"/>
      <c r="M4140" s="2" t="str">
        <f>IFERROR(__xludf.DUMMYFUNCTION("split(split(K4140,""【演出"",false),""ほか"",false)"),"谷村美月、山本耕史、三浦理恵子、内田朝陽、白羽ゆり、段田安則マキ(谷村美月)は、女社長・竹内奈々(三浦理恵子)から自分の代わりに社長を演じて欲しいと依頼される。代役としてデートに行く事も依頼される。  デートの相手は、奈々がブログで知り合い好意を寄せるIT系会社経営者平野(内田朝陽)だった。デートの翌日、突然平野が会社に現れ、営業部門をサポートしたいと言い出す。タイミングが良すぎると心配するマキを余所に、平野は約束通り目覚しい業績を上げていくのだが・・・・http://www.ytv.co.jp/tabu"&amp;"rakashi/")</f>
        <v>谷村美月、山本耕史、三浦理恵子、内田朝陽、白羽ゆり、段田安則マキ(谷村美月)は、女社長・竹内奈々(三浦理恵子)から自分の代わりに社長を演じて欲しいと依頼される。代役としてデートに行く事も依頼される。  デートの相手は、奈々がブログで知り合い好意を寄せるIT系会社経営者平野(内田朝陽)だった。デートの翌日、突然平野が会社に現れ、営業部門をサポートしたいと言い出す。タイミングが良すぎると心配するマキを余所に、平野は約束通り目覚しい業績を上げていくのだが・・・・http://www.ytv.co.jp/taburakashi/</v>
      </c>
      <c r="N4140" s="2"/>
      <c r="O4140" s="2"/>
      <c r="P4140" s="1"/>
      <c r="Q4140" s="1"/>
      <c r="R4140" s="1"/>
      <c r="S4140" s="1"/>
      <c r="T4140" s="1"/>
      <c r="U4140" s="1"/>
      <c r="V4140" s="1"/>
      <c r="W4140" s="1"/>
      <c r="X4140" s="1"/>
      <c r="Y4140" s="1"/>
      <c r="Z4140" s="1"/>
      <c r="AA4140" s="1"/>
      <c r="AB4140" s="1"/>
      <c r="AC4140" s="1"/>
      <c r="AD4140" s="1"/>
      <c r="AE4140" s="1"/>
      <c r="AF4140" s="1"/>
      <c r="AG4140" s="1"/>
      <c r="AH4140" s="1"/>
      <c r="AI4140" s="1"/>
      <c r="AJ4140" s="1"/>
      <c r="AK4140" s="1"/>
      <c r="AL4140" s="1"/>
      <c r="AM4140" s="1"/>
      <c r="AN4140" s="1"/>
      <c r="AO4140" s="1"/>
      <c r="AP4140" s="1"/>
      <c r="AQ4140" s="1"/>
      <c r="AR4140" s="1"/>
      <c r="AS4140" s="1"/>
      <c r="AT4140" s="1"/>
      <c r="AU4140" s="1"/>
      <c r="AV4140" s="1"/>
      <c r="AW4140" s="1"/>
      <c r="AX4140" s="1"/>
      <c r="AY4140" s="1"/>
      <c r="AZ4140" s="1"/>
      <c r="BA4140" s="1"/>
      <c r="BB4140" s="1"/>
    </row>
    <row r="4141" ht="204.75" customHeight="1">
      <c r="A4141" s="1">
        <v>3878.0</v>
      </c>
      <c r="B4141" s="2" t="s">
        <v>12217</v>
      </c>
      <c r="C4141" s="2">
        <f>IFERROR(__xludf.DUMMYFUNCTION("split(B4141,""_"")"),1204.0)</f>
        <v>1204</v>
      </c>
      <c r="D4141" s="2" t="str">
        <f>IFERROR(__xludf.DUMMYFUNCTION("""COMPUTED_VALUE"""),"NTV")</f>
        <v>NTV</v>
      </c>
      <c r="E4141" s="2" t="str">
        <f>IFERROR(__xludf.DUMMYFUNCTION("""COMPUTED_VALUE"""),"木23")</f>
        <v>木23</v>
      </c>
      <c r="F4141" s="2" t="s">
        <v>12218</v>
      </c>
      <c r="G4141" s="2" t="s">
        <v>12223</v>
      </c>
      <c r="H4141" s="1">
        <v>3.0</v>
      </c>
      <c r="I4141" s="1" t="s">
        <v>2876</v>
      </c>
      <c r="J4141" s="1" t="s">
        <v>1435</v>
      </c>
      <c r="K4141" s="2" t="s">
        <v>12224</v>
      </c>
      <c r="L4141" s="2"/>
      <c r="M4141" s="2" t="str">
        <f>IFERROR(__xludf.DUMMYFUNCTION("split(split(K4141,""【演出"",false),""ほか"",false)"),"谷村美月、山本耕史、高岡早紀、朝倉えりか、米村亮太朗、白羽ゆり、段田安則マキ(谷村美月)は依頼人の斉藤あやめ(高岡早紀)から指名され、新しく出来た稲荷社の御言葉のお告げ役を演じる事に。だが、あやめは詐欺まがいの商売をしていた。マキは詐欺の片棒を担ぐ事は出来ないと訴えるが、あやめは飽くまでもヒーリングビジネスだと主張する。その後、あやめがある不条理な理由から500万円の借金を抱えており、借金取りから追われていることを知る。マキはあやめを助けるために芝居を始めるが…http://www.ytv.co.jp/t"&amp;"aburakashi/")</f>
        <v>谷村美月、山本耕史、高岡早紀、朝倉えりか、米村亮太朗、白羽ゆり、段田安則マキ(谷村美月)は依頼人の斉藤あやめ(高岡早紀)から指名され、新しく出来た稲荷社の御言葉のお告げ役を演じる事に。だが、あやめは詐欺まがいの商売をしていた。マキは詐欺の片棒を担ぐ事は出来ないと訴えるが、あやめは飽くまでもヒーリングビジネスだと主張する。その後、あやめがある不条理な理由から500万円の借金を抱えており、借金取りから追われていることを知る。マキはあやめを助けるために芝居を始めるが…http://www.ytv.co.jp/taburakashi/</v>
      </c>
      <c r="N4141" s="2"/>
      <c r="O4141" s="2"/>
      <c r="P4141" s="1"/>
      <c r="Q4141" s="1"/>
      <c r="R4141" s="1"/>
      <c r="S4141" s="1"/>
      <c r="T4141" s="1"/>
      <c r="U4141" s="1"/>
      <c r="V4141" s="1"/>
      <c r="W4141" s="1"/>
      <c r="X4141" s="1"/>
      <c r="Y4141" s="1"/>
      <c r="Z4141" s="1"/>
      <c r="AA4141" s="1"/>
      <c r="AB4141" s="1"/>
      <c r="AC4141" s="1"/>
      <c r="AD4141" s="1"/>
      <c r="AE4141" s="1"/>
      <c r="AF4141" s="1"/>
      <c r="AG4141" s="1"/>
      <c r="AH4141" s="1"/>
      <c r="AI4141" s="1"/>
      <c r="AJ4141" s="1"/>
      <c r="AK4141" s="1"/>
      <c r="AL4141" s="1"/>
      <c r="AM4141" s="1"/>
      <c r="AN4141" s="1"/>
      <c r="AO4141" s="1"/>
      <c r="AP4141" s="1"/>
      <c r="AQ4141" s="1"/>
      <c r="AR4141" s="1"/>
      <c r="AS4141" s="1"/>
      <c r="AT4141" s="1"/>
      <c r="AU4141" s="1"/>
      <c r="AV4141" s="1"/>
      <c r="AW4141" s="1"/>
      <c r="AX4141" s="1"/>
      <c r="AY4141" s="1"/>
      <c r="AZ4141" s="1"/>
      <c r="BA4141" s="1"/>
      <c r="BB4141" s="1"/>
    </row>
    <row r="4142" ht="204.75" customHeight="1">
      <c r="A4142" s="1">
        <v>3879.0</v>
      </c>
      <c r="B4142" s="2" t="s">
        <v>12217</v>
      </c>
      <c r="C4142" s="2">
        <f>IFERROR(__xludf.DUMMYFUNCTION("split(B4142,""_"")"),1204.0)</f>
        <v>1204</v>
      </c>
      <c r="D4142" s="2" t="str">
        <f>IFERROR(__xludf.DUMMYFUNCTION("""COMPUTED_VALUE"""),"NTV")</f>
        <v>NTV</v>
      </c>
      <c r="E4142" s="2" t="str">
        <f>IFERROR(__xludf.DUMMYFUNCTION("""COMPUTED_VALUE"""),"木23")</f>
        <v>木23</v>
      </c>
      <c r="F4142" s="2" t="s">
        <v>12218</v>
      </c>
      <c r="G4142" s="2" t="s">
        <v>12225</v>
      </c>
      <c r="H4142" s="1">
        <v>4.0</v>
      </c>
      <c r="I4142" s="1" t="s">
        <v>2880</v>
      </c>
      <c r="J4142" s="1" t="s">
        <v>1435</v>
      </c>
      <c r="K4142" s="2" t="s">
        <v>12226</v>
      </c>
      <c r="L4142" s="2"/>
      <c r="M4142" s="2" t="str">
        <f>IFERROR(__xludf.DUMMYFUNCTION("split(split(K4142,""【演出"",false),""ほか"",false)"),"谷村美月、山本耕史、酒井美紀、野間口徹、近江谷太朗、向井理、白羽ゆり、段田安則マキ(谷村美月)は石川吾朗(野間口徹)から、妻の石川エリ(酒井美紀)とエリの勤める会社の上司、菅原部長(近江谷太朗)との不倫関係を終わらせて欲しいと依頼される。マキはエリの勤める会社で働き始め、菅原を誘惑するが中々思い通りにいかない。同じ代行俳優の白田(向井理)の協力で菅原の誘惑に成功した直後、菅原が立場を利用して、エリにセクハラを強要している事実を知る。マキはエリを救うため芝居を始める…http://www.ytv.co.jp"&amp;"/taburakashi/")</f>
        <v>谷村美月、山本耕史、酒井美紀、野間口徹、近江谷太朗、向井理、白羽ゆり、段田安則マキ(谷村美月)は石川吾朗(野間口徹)から、妻の石川エリ(酒井美紀)とエリの勤める会社の上司、菅原部長(近江谷太朗)との不倫関係を終わらせて欲しいと依頼される。マキはエリの勤める会社で働き始め、菅原を誘惑するが中々思い通りにいかない。同じ代行俳優の白田(向井理)の協力で菅原の誘惑に成功した直後、菅原が立場を利用して、エリにセクハラを強要している事実を知る。マキはエリを救うため芝居を始める…http://www.ytv.co.jp/taburakashi/</v>
      </c>
      <c r="N4142" s="2"/>
      <c r="O4142" s="2"/>
      <c r="P4142" s="1"/>
      <c r="Q4142" s="1"/>
      <c r="R4142" s="1"/>
      <c r="S4142" s="1"/>
      <c r="T4142" s="1"/>
      <c r="U4142" s="1"/>
      <c r="V4142" s="1"/>
      <c r="W4142" s="1"/>
      <c r="X4142" s="1"/>
      <c r="Y4142" s="1"/>
      <c r="Z4142" s="1"/>
      <c r="AA4142" s="1"/>
      <c r="AB4142" s="1"/>
      <c r="AC4142" s="1"/>
      <c r="AD4142" s="1"/>
      <c r="AE4142" s="1"/>
      <c r="AF4142" s="1"/>
      <c r="AG4142" s="1"/>
      <c r="AH4142" s="1"/>
      <c r="AI4142" s="1"/>
      <c r="AJ4142" s="1"/>
      <c r="AK4142" s="1"/>
      <c r="AL4142" s="1"/>
      <c r="AM4142" s="1"/>
      <c r="AN4142" s="1"/>
      <c r="AO4142" s="1"/>
      <c r="AP4142" s="1"/>
      <c r="AQ4142" s="1"/>
      <c r="AR4142" s="1"/>
      <c r="AS4142" s="1"/>
      <c r="AT4142" s="1"/>
      <c r="AU4142" s="1"/>
      <c r="AV4142" s="1"/>
      <c r="AW4142" s="1"/>
      <c r="AX4142" s="1"/>
      <c r="AY4142" s="1"/>
      <c r="AZ4142" s="1"/>
      <c r="BA4142" s="1"/>
      <c r="BB4142" s="1"/>
    </row>
    <row r="4143" ht="204.75" customHeight="1">
      <c r="A4143" s="1">
        <v>3880.0</v>
      </c>
      <c r="B4143" s="2" t="s">
        <v>12217</v>
      </c>
      <c r="C4143" s="2">
        <f>IFERROR(__xludf.DUMMYFUNCTION("split(B4143,""_"")"),1204.0)</f>
        <v>1204</v>
      </c>
      <c r="D4143" s="2" t="str">
        <f>IFERROR(__xludf.DUMMYFUNCTION("""COMPUTED_VALUE"""),"NTV")</f>
        <v>NTV</v>
      </c>
      <c r="E4143" s="2" t="str">
        <f>IFERROR(__xludf.DUMMYFUNCTION("""COMPUTED_VALUE"""),"木23")</f>
        <v>木23</v>
      </c>
      <c r="F4143" s="2" t="s">
        <v>12218</v>
      </c>
      <c r="G4143" s="2" t="s">
        <v>12227</v>
      </c>
      <c r="H4143" s="1">
        <v>5.0</v>
      </c>
      <c r="I4143" s="1" t="s">
        <v>2884</v>
      </c>
      <c r="J4143" s="1" t="s">
        <v>1435</v>
      </c>
      <c r="K4143" s="2" t="s">
        <v>12228</v>
      </c>
      <c r="L4143" s="2"/>
      <c r="M4143" s="2" t="str">
        <f>IFERROR(__xludf.DUMMYFUNCTION("split(split(K4143,""【演出"",false),""ほか"",false)"),"谷村美月、山本耕史、白羽ゆり、安藤聖、少路勇介、並樹史朗、根岸季衣、段田安則マキ(谷村美月)は久保まり子(安藤聖)から恋人の浅井康平(少路勇介)の両親、富子(根岸季衣)と昭夫(並樹史朗)の前で婚約者を演じて欲しいと依頼される。姑の富子を毛嫌いし、富子に会いたくないという理由からだった。そんな折、突然訪ねてきた昭夫に、まり子は恐怖を感じて逃げ出してしまう。マキは、まり子が以前キャバ嬢として働いていた時、昭夫がその店の客だったことを知る…http://www.ytv.co.jp/taburakashi/")</f>
        <v>谷村美月、山本耕史、白羽ゆり、安藤聖、少路勇介、並樹史朗、根岸季衣、段田安則マキ(谷村美月)は久保まり子(安藤聖)から恋人の浅井康平(少路勇介)の両親、富子(根岸季衣)と昭夫(並樹史朗)の前で婚約者を演じて欲しいと依頼される。姑の富子を毛嫌いし、富子に会いたくないという理由からだった。そんな折、突然訪ねてきた昭夫に、まり子は恐怖を感じて逃げ出してしまう。マキは、まり子が以前キャバ嬢として働いていた時、昭夫がその店の客だったことを知る…http://www.ytv.co.jp/taburakashi/</v>
      </c>
      <c r="N4143" s="2"/>
      <c r="O4143" s="2"/>
      <c r="P4143" s="1"/>
      <c r="Q4143" s="1"/>
      <c r="R4143" s="1"/>
      <c r="S4143" s="1"/>
      <c r="T4143" s="1"/>
      <c r="U4143" s="1"/>
      <c r="V4143" s="1"/>
      <c r="W4143" s="1"/>
      <c r="X4143" s="1"/>
      <c r="Y4143" s="1"/>
      <c r="Z4143" s="1"/>
      <c r="AA4143" s="1"/>
      <c r="AB4143" s="1"/>
      <c r="AC4143" s="1"/>
      <c r="AD4143" s="1"/>
      <c r="AE4143" s="1"/>
      <c r="AF4143" s="1"/>
      <c r="AG4143" s="1"/>
      <c r="AH4143" s="1"/>
      <c r="AI4143" s="1"/>
      <c r="AJ4143" s="1"/>
      <c r="AK4143" s="1"/>
      <c r="AL4143" s="1"/>
      <c r="AM4143" s="1"/>
      <c r="AN4143" s="1"/>
      <c r="AO4143" s="1"/>
      <c r="AP4143" s="1"/>
      <c r="AQ4143" s="1"/>
      <c r="AR4143" s="1"/>
      <c r="AS4143" s="1"/>
      <c r="AT4143" s="1"/>
      <c r="AU4143" s="1"/>
      <c r="AV4143" s="1"/>
      <c r="AW4143" s="1"/>
      <c r="AX4143" s="1"/>
      <c r="AY4143" s="1"/>
      <c r="AZ4143" s="1"/>
      <c r="BA4143" s="1"/>
      <c r="BB4143" s="1"/>
    </row>
    <row r="4144" ht="204.75" customHeight="1">
      <c r="A4144" s="1">
        <v>3881.0</v>
      </c>
      <c r="B4144" s="2" t="s">
        <v>12217</v>
      </c>
      <c r="C4144" s="2">
        <f>IFERROR(__xludf.DUMMYFUNCTION("split(B4144,""_"")"),1204.0)</f>
        <v>1204</v>
      </c>
      <c r="D4144" s="2" t="str">
        <f>IFERROR(__xludf.DUMMYFUNCTION("""COMPUTED_VALUE"""),"NTV")</f>
        <v>NTV</v>
      </c>
      <c r="E4144" s="2" t="str">
        <f>IFERROR(__xludf.DUMMYFUNCTION("""COMPUTED_VALUE"""),"木23")</f>
        <v>木23</v>
      </c>
      <c r="F4144" s="2" t="s">
        <v>12218</v>
      </c>
      <c r="G4144" s="2" t="s">
        <v>12229</v>
      </c>
      <c r="H4144" s="1">
        <v>6.0</v>
      </c>
      <c r="I4144" s="1" t="s">
        <v>2888</v>
      </c>
      <c r="J4144" s="1" t="s">
        <v>1435</v>
      </c>
      <c r="K4144" s="2" t="s">
        <v>12230</v>
      </c>
      <c r="L4144" s="2"/>
      <c r="M4144" s="2" t="str">
        <f>IFERROR(__xludf.DUMMYFUNCTION("split(split(K4144,""【演出"",false),""ほか"",false)"),"谷村美月、山本耕史、白羽ゆり、松山愛里、緒川たまき、浅野和之、段田安則マキはピアニストの桐嶋美響(松山愛里)から、離婚した父親・神崎隆一(浅野和之)に娘として会って欲しいと依頼される。神崎は視力を失っており、マキが娘として会ってもバレないと言う。マキが訪れると、神崎は家政婦・佐藤伸子(緒川たまき)と暮らしていた。美響がピアノを弾けない事を知ったマキは、その原因を探る為、美響を友人として神崎に紹介する。美響は、神崎の過去の不倫が原因でピアノが弾けなくなったと告白するがhttp://www.ytv.co.jp"&amp;"/taburakashi/")</f>
        <v>谷村美月、山本耕史、白羽ゆり、松山愛里、緒川たまき、浅野和之、段田安則マキはピアニストの桐嶋美響(松山愛里)から、離婚した父親・神崎隆一(浅野和之)に娘として会って欲しいと依頼される。神崎は視力を失っており、マキが娘として会ってもバレないと言う。マキが訪れると、神崎は家政婦・佐藤伸子(緒川たまき)と暮らしていた。美響がピアノを弾けない事を知ったマキは、その原因を探る為、美響を友人として神崎に紹介する。美響は、神崎の過去の不倫が原因でピアノが弾けなくなったと告白するがhttp://www.ytv.co.jp/taburakashi/</v>
      </c>
      <c r="N4144" s="2"/>
      <c r="O4144" s="2"/>
      <c r="P4144" s="1"/>
      <c r="Q4144" s="1"/>
      <c r="R4144" s="1"/>
      <c r="S4144" s="1"/>
      <c r="T4144" s="1"/>
      <c r="U4144" s="1"/>
      <c r="V4144" s="1"/>
      <c r="W4144" s="1"/>
      <c r="X4144" s="1"/>
      <c r="Y4144" s="1"/>
      <c r="Z4144" s="1"/>
      <c r="AA4144" s="1"/>
      <c r="AB4144" s="1"/>
      <c r="AC4144" s="1"/>
      <c r="AD4144" s="1"/>
      <c r="AE4144" s="1"/>
      <c r="AF4144" s="1"/>
      <c r="AG4144" s="1"/>
      <c r="AH4144" s="1"/>
      <c r="AI4144" s="1"/>
      <c r="AJ4144" s="1"/>
      <c r="AK4144" s="1"/>
      <c r="AL4144" s="1"/>
      <c r="AM4144" s="1"/>
      <c r="AN4144" s="1"/>
      <c r="AO4144" s="1"/>
      <c r="AP4144" s="1"/>
      <c r="AQ4144" s="1"/>
      <c r="AR4144" s="1"/>
      <c r="AS4144" s="1"/>
      <c r="AT4144" s="1"/>
      <c r="AU4144" s="1"/>
      <c r="AV4144" s="1"/>
      <c r="AW4144" s="1"/>
      <c r="AX4144" s="1"/>
      <c r="AY4144" s="1"/>
      <c r="AZ4144" s="1"/>
      <c r="BA4144" s="1"/>
      <c r="BB4144" s="1"/>
    </row>
    <row r="4145" ht="204.75" customHeight="1">
      <c r="A4145" s="1">
        <v>3901.0</v>
      </c>
      <c r="B4145" s="2" t="s">
        <v>12231</v>
      </c>
      <c r="C4145" s="2">
        <f>IFERROR(__xludf.DUMMYFUNCTION("split(B4145,""_"")"),1204.0)</f>
        <v>1204</v>
      </c>
      <c r="D4145" s="2" t="str">
        <f>IFERROR(__xludf.DUMMYFUNCTION("""COMPUTED_VALUE"""),"NTV")</f>
        <v>NTV</v>
      </c>
      <c r="E4145" s="2" t="str">
        <f>IFERROR(__xludf.DUMMYFUNCTION("""COMPUTED_VALUE"""),"土21")</f>
        <v>土21</v>
      </c>
      <c r="F4145" s="2" t="s">
        <v>12232</v>
      </c>
      <c r="G4145" s="2" t="s">
        <v>12233</v>
      </c>
      <c r="H4145" s="1">
        <v>1.0</v>
      </c>
      <c r="I4145" s="1" t="s">
        <v>2868</v>
      </c>
      <c r="J4145" s="1" t="s">
        <v>4</v>
      </c>
      <c r="K4145" s="2" t="s">
        <v>12234</v>
      </c>
      <c r="L4145" s="2"/>
      <c r="M4145" s="2" t="str">
        <f>IFERROR(__xludf.DUMMYFUNCTION("split(split(K4145,""【演出"",false),""ほか"",false)"),"相葉雅紀、藤木直人、大倉忠義、大政絢、ベッキー、大浦龍宇一、大鶴義丹、小須田康人、島津健太郎、斉藤暁、マツコ・デラックス、尾美としのり、石坂浩二　")</f>
        <v>相葉雅紀、藤木直人、大倉忠義、大政絢、ベッキー、大浦龍宇一、大鶴義丹、小須田康人、島津健太郎、斉藤暁、マツコ・デラックス、尾美としのり、石坂浩二　</v>
      </c>
      <c r="N4145" s="2" t="str">
        <f>IFERROR(__xludf.DUMMYFUNCTION("""COMPUTED_VALUE"""),"警視庁捜査一課の片山義太郎(相葉雅紀)は、女性恐怖症に高所恐怖症、血も苦手なダメ刑事。兄ヒロシ(藤木直人)と妹晴美(大政絢)の兄妹に叱咤激励されながらも、何度も辞表を出すような日々を過ごしていた。そんなある日、栗原一課長(石坂浩二)の頼みで後輩の石津刑事(大倉忠義)と女子大学へ詐欺事件の捜査に向かうことに。そこで義太郎は校内に居ついていた一匹の不思議な三毛猫と出会うーーー中島悟　【原作】赤川次郎『三毛猫ホームズ』シリーズ(光文社刊/角川文庫刊)  【脚本】大宮エリー金子隆博")</f>
        <v>警視庁捜査一課の片山義太郎(相葉雅紀)は、女性恐怖症に高所恐怖症、血も苦手なダメ刑事。兄ヒロシ(藤木直人)と妹晴美(大政絢)の兄妹に叱咤激励されながらも、何度も辞表を出すような日々を過ごしていた。そんなある日、栗原一課長(石坂浩二)の頼みで後輩の石津刑事(大倉忠義)と女子大学へ詐欺事件の捜査に向かうことに。そこで義太郎は校内に居ついていた一匹の不思議な三毛猫と出会うーーー中島悟　【原作】赤川次郎『三毛猫ホームズ』シリーズ(光文社刊/角川文庫刊)  【脚本】大宮エリー金子隆博</v>
      </c>
      <c r="O4145" s="2"/>
      <c r="P4145" s="1"/>
      <c r="Q4145" s="1"/>
      <c r="R4145" s="1"/>
      <c r="S4145" s="1"/>
      <c r="T4145" s="1"/>
      <c r="U4145" s="1"/>
      <c r="V4145" s="1"/>
      <c r="W4145" s="1"/>
      <c r="X4145" s="1"/>
      <c r="Y4145" s="1"/>
      <c r="Z4145" s="1"/>
      <c r="AA4145" s="1"/>
      <c r="AB4145" s="1"/>
      <c r="AC4145" s="1"/>
      <c r="AD4145" s="1"/>
      <c r="AE4145" s="1"/>
      <c r="AF4145" s="1"/>
      <c r="AG4145" s="1"/>
      <c r="AH4145" s="1"/>
      <c r="AI4145" s="1"/>
      <c r="AJ4145" s="1"/>
      <c r="AK4145" s="1"/>
      <c r="AL4145" s="1"/>
      <c r="AM4145" s="1"/>
      <c r="AN4145" s="1"/>
      <c r="AO4145" s="1"/>
      <c r="AP4145" s="1"/>
      <c r="AQ4145" s="1"/>
      <c r="AR4145" s="1"/>
      <c r="AS4145" s="1"/>
      <c r="AT4145" s="1"/>
      <c r="AU4145" s="1"/>
      <c r="AV4145" s="1"/>
      <c r="AW4145" s="1"/>
      <c r="AX4145" s="1"/>
      <c r="AY4145" s="1"/>
      <c r="AZ4145" s="1"/>
      <c r="BA4145" s="1"/>
      <c r="BB4145" s="1"/>
    </row>
    <row r="4146" ht="204.75" customHeight="1">
      <c r="A4146" s="1">
        <v>3902.0</v>
      </c>
      <c r="B4146" s="2" t="s">
        <v>12231</v>
      </c>
      <c r="C4146" s="2">
        <f>IFERROR(__xludf.DUMMYFUNCTION("split(B4146,""_"")"),1204.0)</f>
        <v>1204</v>
      </c>
      <c r="D4146" s="2" t="str">
        <f>IFERROR(__xludf.DUMMYFUNCTION("""COMPUTED_VALUE"""),"NTV")</f>
        <v>NTV</v>
      </c>
      <c r="E4146" s="2" t="str">
        <f>IFERROR(__xludf.DUMMYFUNCTION("""COMPUTED_VALUE"""),"土21")</f>
        <v>土21</v>
      </c>
      <c r="F4146" s="2" t="s">
        <v>12232</v>
      </c>
      <c r="G4146" s="2" t="s">
        <v>12235</v>
      </c>
      <c r="H4146" s="1">
        <v>2.0</v>
      </c>
      <c r="I4146" s="1" t="s">
        <v>2872</v>
      </c>
      <c r="J4146" s="1" t="s">
        <v>11</v>
      </c>
      <c r="K4146" s="2" t="s">
        <v>12236</v>
      </c>
      <c r="L4146" s="2"/>
      <c r="M4146" s="2" t="str">
        <f>IFERROR(__xludf.DUMMYFUNCTION("split(split(K4146,""【演出"",false),""ほか"",false)"),"相葉雅紀、藤木直人、大倉忠義、大政絢、瀧本美織、半海一晃、平沼紀久、龍坐、阪田マサノブ、うえむらちか、星浩貴、花野りさ、小日向雪、石井香帆、マツコ・デラックス、尾美としのり、石坂浩二　")</f>
        <v>相葉雅紀、藤木直人、大倉忠義、大政絢、瀧本美織、半海一晃、平沼紀久、龍坐、阪田マサノブ、うえむらちか、星浩貴、花野りさ、小日向雪、石井香帆、マツコ・デラックス、尾美としのり、石坂浩二　</v>
      </c>
      <c r="N4146" s="2" t="str">
        <f>IFERROR(__xludf.DUMMYFUNCTION("""COMPUTED_VALUE"""),"女性恐怖症克服のためなぜか恋愛セミナーを受講することになった義太郎(相葉雅紀)は、セミナー中に突然悲鳴を聞き、駆けつけると刺殺体があった。石津刑事(大倉忠義)と共に受講者名簿と教室に居た人間を照合するが、ただ一人“金崎沢子”という名前の受講者が見つからない。調べると金崎沢子という名の女性は、2年前に自殺をしていたことが判明する。幽霊恐怖症の義太郎は死んだはずの沢子の亡霊が現れたと震え・・・・中島悟大宮エリー金子隆博")</f>
        <v>女性恐怖症克服のためなぜか恋愛セミナーを受講することになった義太郎(相葉雅紀)は、セミナー中に突然悲鳴を聞き、駆けつけると刺殺体があった。石津刑事(大倉忠義)と共に受講者名簿と教室に居た人間を照合するが、ただ一人“金崎沢子”という名前の受講者が見つからない。調べると金崎沢子という名の女性は、2年前に自殺をしていたことが判明する。幽霊恐怖症の義太郎は死んだはずの沢子の亡霊が現れたと震え・・・・中島悟大宮エリー金子隆博</v>
      </c>
      <c r="O4146" s="2"/>
      <c r="P4146" s="1"/>
      <c r="Q4146" s="1"/>
      <c r="R4146" s="1"/>
      <c r="S4146" s="1"/>
      <c r="T4146" s="1"/>
      <c r="U4146" s="1"/>
      <c r="V4146" s="1"/>
      <c r="W4146" s="1"/>
      <c r="X4146" s="1"/>
      <c r="Y4146" s="1"/>
      <c r="Z4146" s="1"/>
      <c r="AA4146" s="1"/>
      <c r="AB4146" s="1"/>
      <c r="AC4146" s="1"/>
      <c r="AD4146" s="1"/>
      <c r="AE4146" s="1"/>
      <c r="AF4146" s="1"/>
      <c r="AG4146" s="1"/>
      <c r="AH4146" s="1"/>
      <c r="AI4146" s="1"/>
      <c r="AJ4146" s="1"/>
      <c r="AK4146" s="1"/>
      <c r="AL4146" s="1"/>
      <c r="AM4146" s="1"/>
      <c r="AN4146" s="1"/>
      <c r="AO4146" s="1"/>
      <c r="AP4146" s="1"/>
      <c r="AQ4146" s="1"/>
      <c r="AR4146" s="1"/>
      <c r="AS4146" s="1"/>
      <c r="AT4146" s="1"/>
      <c r="AU4146" s="1"/>
      <c r="AV4146" s="1"/>
      <c r="AW4146" s="1"/>
      <c r="AX4146" s="1"/>
      <c r="AY4146" s="1"/>
      <c r="AZ4146" s="1"/>
      <c r="BA4146" s="1"/>
      <c r="BB4146" s="1"/>
    </row>
    <row r="4147" ht="204.75" customHeight="1">
      <c r="A4147" s="1">
        <v>3903.0</v>
      </c>
      <c r="B4147" s="2" t="s">
        <v>12231</v>
      </c>
      <c r="C4147" s="2">
        <f>IFERROR(__xludf.DUMMYFUNCTION("split(B4147,""_"")"),1204.0)</f>
        <v>1204</v>
      </c>
      <c r="D4147" s="2" t="str">
        <f>IFERROR(__xludf.DUMMYFUNCTION("""COMPUTED_VALUE"""),"NTV")</f>
        <v>NTV</v>
      </c>
      <c r="E4147" s="2" t="str">
        <f>IFERROR(__xludf.DUMMYFUNCTION("""COMPUTED_VALUE"""),"土21")</f>
        <v>土21</v>
      </c>
      <c r="F4147" s="2" t="s">
        <v>12232</v>
      </c>
      <c r="G4147" s="2" t="s">
        <v>12237</v>
      </c>
      <c r="H4147" s="1">
        <v>3.0</v>
      </c>
      <c r="I4147" s="1" t="s">
        <v>2876</v>
      </c>
      <c r="J4147" s="1" t="s">
        <v>11</v>
      </c>
      <c r="K4147" s="2" t="s">
        <v>12238</v>
      </c>
      <c r="L4147" s="2"/>
      <c r="M4147" s="2" t="str">
        <f>IFERROR(__xludf.DUMMYFUNCTION("split(split(K4147,""【演出"",false),""ほか"",false)"),"相葉雅紀、藤木直人、大倉忠義、大政絢、植木夏十、君沢ユウキ、シュシュ、加藤あい、榎木孝明、山口馬木也、北川弘美、細田よしひこ、春日井静奈、小松和重、長江英和、高橋真夏、小林遥香、マツコ・デラックス、尾美としのり、石坂浩二　")</f>
        <v>相葉雅紀、藤木直人、大倉忠義、大政絢、植木夏十、君沢ユウキ、シュシュ、加藤あい、榎木孝明、山口馬木也、北川弘美、細田よしひこ、春日井静奈、小松和重、長江英和、高橋真夏、小林遥香、マツコ・デラックス、尾美としのり、石坂浩二　</v>
      </c>
      <c r="N4147" s="2" t="str">
        <f>IFERROR(__xludf.DUMMYFUNCTION("""COMPUTED_VALUE"""),"ホームズの力で指名手配犯を逮捕し警察から表彰された義太郎(相葉雅紀)は、栗原(石坂浩二)からのご褒美と称して中世ヨーロッパ風の古城へ招待される。ウキウキと旅の支度をしていると、ヒロシ(藤木直人)と晴美(大政絢)からその古城への招待は栗原の知人であり財閥の社長・永江和哉(山口馬木也)とその一家の警護をすることが目的だと告げられる。驚く義太郎。しかも二人の兄妹と石津刑事(大倉忠義)も同行することに…南雲聖一高橋悠也金子隆博")</f>
        <v>ホームズの力で指名手配犯を逮捕し警察から表彰された義太郎(相葉雅紀)は、栗原(石坂浩二)からのご褒美と称して中世ヨーロッパ風の古城へ招待される。ウキウキと旅の支度をしていると、ヒロシ(藤木直人)と晴美(大政絢)からその古城への招待は栗原の知人であり財閥の社長・永江和哉(山口馬木也)とその一家の警護をすることが目的だと告げられる。驚く義太郎。しかも二人の兄妹と石津刑事(大倉忠義)も同行することに…南雲聖一高橋悠也金子隆博</v>
      </c>
      <c r="O4147" s="2"/>
      <c r="P4147" s="1"/>
      <c r="Q4147" s="1"/>
      <c r="R4147" s="1"/>
      <c r="S4147" s="1"/>
      <c r="T4147" s="1"/>
      <c r="U4147" s="1"/>
      <c r="V4147" s="1"/>
      <c r="W4147" s="1"/>
      <c r="X4147" s="1"/>
      <c r="Y4147" s="1"/>
      <c r="Z4147" s="1"/>
      <c r="AA4147" s="1"/>
      <c r="AB4147" s="1"/>
      <c r="AC4147" s="1"/>
      <c r="AD4147" s="1"/>
      <c r="AE4147" s="1"/>
      <c r="AF4147" s="1"/>
      <c r="AG4147" s="1"/>
      <c r="AH4147" s="1"/>
      <c r="AI4147" s="1"/>
      <c r="AJ4147" s="1"/>
      <c r="AK4147" s="1"/>
      <c r="AL4147" s="1"/>
      <c r="AM4147" s="1"/>
      <c r="AN4147" s="1"/>
      <c r="AO4147" s="1"/>
      <c r="AP4147" s="1"/>
      <c r="AQ4147" s="1"/>
      <c r="AR4147" s="1"/>
      <c r="AS4147" s="1"/>
      <c r="AT4147" s="1"/>
      <c r="AU4147" s="1"/>
      <c r="AV4147" s="1"/>
      <c r="AW4147" s="1"/>
      <c r="AX4147" s="1"/>
      <c r="AY4147" s="1"/>
      <c r="AZ4147" s="1"/>
      <c r="BA4147" s="1"/>
      <c r="BB4147" s="1"/>
    </row>
    <row r="4148" ht="204.75" customHeight="1">
      <c r="A4148" s="1">
        <v>3904.0</v>
      </c>
      <c r="B4148" s="2" t="s">
        <v>12231</v>
      </c>
      <c r="C4148" s="2">
        <f>IFERROR(__xludf.DUMMYFUNCTION("split(B4148,""_"")"),1204.0)</f>
        <v>1204</v>
      </c>
      <c r="D4148" s="2" t="str">
        <f>IFERROR(__xludf.DUMMYFUNCTION("""COMPUTED_VALUE"""),"NTV")</f>
        <v>NTV</v>
      </c>
      <c r="E4148" s="2" t="str">
        <f>IFERROR(__xludf.DUMMYFUNCTION("""COMPUTED_VALUE"""),"土21")</f>
        <v>土21</v>
      </c>
      <c r="F4148" s="2" t="s">
        <v>12232</v>
      </c>
      <c r="G4148" s="2" t="s">
        <v>12239</v>
      </c>
      <c r="H4148" s="1">
        <v>4.0</v>
      </c>
      <c r="I4148" s="1" t="s">
        <v>2880</v>
      </c>
      <c r="J4148" s="1" t="s">
        <v>11</v>
      </c>
      <c r="K4148" s="2" t="s">
        <v>12240</v>
      </c>
      <c r="L4148" s="2"/>
      <c r="M4148" s="2" t="str">
        <f>IFERROR(__xludf.DUMMYFUNCTION("split(split(K4148,""【演出"",false),""ほか"",false)"),"相葉雅紀、藤木直人、大倉忠義、大政絢、植木夏十、君沢ユウキ、シュシュ、加藤あい、榎木孝明、山口馬木也、北川弘美、細田よしひこ、春日井静奈、小松和重、長江英和、マツコ・デラックス、尾美としのり、石坂浩二　")</f>
        <v>相葉雅紀、藤木直人、大倉忠義、大政絢、植木夏十、君沢ユウキ、シュシュ、加藤あい、榎木孝明、山口馬木也、北川弘美、細田よしひこ、春日井静奈、小松和重、長江英和、マツコ・デラックス、尾美としのり、石坂浩二　</v>
      </c>
      <c r="N4148" s="2" t="str">
        <f>IFERROR(__xludf.DUMMYFUNCTION("""COMPUTED_VALUE"""),"古城に閉じ込められ、連続殺人事件に巻き込まれた義太郎(相葉雅紀)たち。「これ以上、犠牲者は出さない」と決意するものの、ホームズには愛想を尽かされ、ヒロシ(藤木直人)・晴海(大政絢)の兄妹には不甲斐なさを呆れられ、石津刑事(大倉忠義)も病に倒れ、完全に孤立してしまう。なんとか犯人を捕まえようと推理をしていく中で、容疑をかけたのは・・・南雲聖一【脚本】高橋悠也  【脚本協力】大宮エリー【音楽】金子隆博  【主題歌】「Your　Eyes」嵐(ジェイ・ストーム)")</f>
        <v>古城に閉じ込められ、連続殺人事件に巻き込まれた義太郎(相葉雅紀)たち。「これ以上、犠牲者は出さない」と決意するものの、ホームズには愛想を尽かされ、ヒロシ(藤木直人)・晴海(大政絢)の兄妹には不甲斐なさを呆れられ、石津刑事(大倉忠義)も病に倒れ、完全に孤立してしまう。なんとか犯人を捕まえようと推理をしていく中で、容疑をかけたのは・・・南雲聖一【脚本】高橋悠也  【脚本協力】大宮エリー【音楽】金子隆博  【主題歌】「Your　Eyes」嵐(ジェイ・ストーム)</v>
      </c>
      <c r="O4148" s="2"/>
      <c r="P4148" s="1"/>
      <c r="Q4148" s="1"/>
      <c r="R4148" s="1"/>
      <c r="S4148" s="1"/>
      <c r="T4148" s="1"/>
      <c r="U4148" s="1"/>
      <c r="V4148" s="1"/>
      <c r="W4148" s="1"/>
      <c r="X4148" s="1"/>
      <c r="Y4148" s="1"/>
      <c r="Z4148" s="1"/>
      <c r="AA4148" s="1"/>
      <c r="AB4148" s="1"/>
      <c r="AC4148" s="1"/>
      <c r="AD4148" s="1"/>
      <c r="AE4148" s="1"/>
      <c r="AF4148" s="1"/>
      <c r="AG4148" s="1"/>
      <c r="AH4148" s="1"/>
      <c r="AI4148" s="1"/>
      <c r="AJ4148" s="1"/>
      <c r="AK4148" s="1"/>
      <c r="AL4148" s="1"/>
      <c r="AM4148" s="1"/>
      <c r="AN4148" s="1"/>
      <c r="AO4148" s="1"/>
      <c r="AP4148" s="1"/>
      <c r="AQ4148" s="1"/>
      <c r="AR4148" s="1"/>
      <c r="AS4148" s="1"/>
      <c r="AT4148" s="1"/>
      <c r="AU4148" s="1"/>
      <c r="AV4148" s="1"/>
      <c r="AW4148" s="1"/>
      <c r="AX4148" s="1"/>
      <c r="AY4148" s="1"/>
      <c r="AZ4148" s="1"/>
      <c r="BA4148" s="1"/>
      <c r="BB4148" s="1"/>
    </row>
    <row r="4149" ht="204.75" customHeight="1">
      <c r="A4149" s="1">
        <v>3905.0</v>
      </c>
      <c r="B4149" s="2" t="s">
        <v>12231</v>
      </c>
      <c r="C4149" s="2">
        <f>IFERROR(__xludf.DUMMYFUNCTION("split(B4149,""_"")"),1204.0)</f>
        <v>1204</v>
      </c>
      <c r="D4149" s="2" t="str">
        <f>IFERROR(__xludf.DUMMYFUNCTION("""COMPUTED_VALUE"""),"NTV")</f>
        <v>NTV</v>
      </c>
      <c r="E4149" s="2" t="str">
        <f>IFERROR(__xludf.DUMMYFUNCTION("""COMPUTED_VALUE"""),"土21")</f>
        <v>土21</v>
      </c>
      <c r="F4149" s="2" t="s">
        <v>12232</v>
      </c>
      <c r="G4149" s="2" t="s">
        <v>12241</v>
      </c>
      <c r="H4149" s="1">
        <v>5.0</v>
      </c>
      <c r="I4149" s="1" t="s">
        <v>2884</v>
      </c>
      <c r="J4149" s="1" t="s">
        <v>11</v>
      </c>
      <c r="K4149" s="2" t="s">
        <v>12242</v>
      </c>
      <c r="L4149" s="2"/>
      <c r="M4149" s="2" t="str">
        <f>IFERROR(__xludf.DUMMYFUNCTION("split(split(K4149,""【演出"",false),""ほか"",false)"),"相葉雅紀、藤木直人、大倉忠義、大政絢、植木夏十、君沢ユウキ、シュシュ、吉瀬美智子、長谷川朝晴、赤木伸輔、肘井美佳、マツコ・デラックス、尾美としのり、石坂浩二　")</f>
        <v>相葉雅紀、藤木直人、大倉忠義、大政絢、植木夏十、君沢ユウキ、シュシュ、吉瀬美智子、長谷川朝晴、赤木伸輔、肘井美佳、マツコ・デラックス、尾美としのり、石坂浩二　</v>
      </c>
      <c r="N4149" s="2" t="str">
        <f>IFERROR(__xludf.DUMMYFUNCTION("""COMPUTED_VALUE"""),"栗原一課長(石坂浩二)と共に食事をしていた義太郎(相葉雅紀)・ヒロシ(藤木直人)・晴美(大政絢)。そこで栗原から衝撃の一言が告げられる。なんと、以前提出していた辞表が受理され、義太郎は刑事を辞めることに。驚く片山一家。と、そこに一発の弾丸が飛び込んでくる。ガラスが割れ、大騒ぎの店内で神田勇一(隈部洋平)が倒れる。巻き起こる片山義太郎最後の事件。捜査を進めると、神田の死には不可解なことがあった。中島悟【原作】赤川次郎『三毛猫ホームズの推理』シリーズ(光文社刊/角川文庫刊)  【脚本】大宮エリー  【脚本協力"&amp;"】高橋悠也【音楽】金子隆博  【主題歌】「Your　Eyes」嵐(ジェイ・ストーム)")</f>
        <v>栗原一課長(石坂浩二)と共に食事をしていた義太郎(相葉雅紀)・ヒロシ(藤木直人)・晴美(大政絢)。そこで栗原から衝撃の一言が告げられる。なんと、以前提出していた辞表が受理され、義太郎は刑事を辞めることに。驚く片山一家。と、そこに一発の弾丸が飛び込んでくる。ガラスが割れ、大騒ぎの店内で神田勇一(隈部洋平)が倒れる。巻き起こる片山義太郎最後の事件。捜査を進めると、神田の死には不可解なことがあった。中島悟【原作】赤川次郎『三毛猫ホームズの推理』シリーズ(光文社刊/角川文庫刊)  【脚本】大宮エリー  【脚本協力】高橋悠也【音楽】金子隆博  【主題歌】「Your　Eyes」嵐(ジェイ・ストーム)</v>
      </c>
      <c r="O4149" s="2"/>
      <c r="P4149" s="1"/>
      <c r="Q4149" s="1"/>
      <c r="R4149" s="1"/>
      <c r="S4149" s="1"/>
      <c r="T4149" s="1"/>
      <c r="U4149" s="1"/>
      <c r="V4149" s="1"/>
      <c r="W4149" s="1"/>
      <c r="X4149" s="1"/>
      <c r="Y4149" s="1"/>
      <c r="Z4149" s="1"/>
      <c r="AA4149" s="1"/>
      <c r="AB4149" s="1"/>
      <c r="AC4149" s="1"/>
      <c r="AD4149" s="1"/>
      <c r="AE4149" s="1"/>
      <c r="AF4149" s="1"/>
      <c r="AG4149" s="1"/>
      <c r="AH4149" s="1"/>
      <c r="AI4149" s="1"/>
      <c r="AJ4149" s="1"/>
      <c r="AK4149" s="1"/>
      <c r="AL4149" s="1"/>
      <c r="AM4149" s="1"/>
      <c r="AN4149" s="1"/>
      <c r="AO4149" s="1"/>
      <c r="AP4149" s="1"/>
      <c r="AQ4149" s="1"/>
      <c r="AR4149" s="1"/>
      <c r="AS4149" s="1"/>
      <c r="AT4149" s="1"/>
      <c r="AU4149" s="1"/>
      <c r="AV4149" s="1"/>
      <c r="AW4149" s="1"/>
      <c r="AX4149" s="1"/>
      <c r="AY4149" s="1"/>
      <c r="AZ4149" s="1"/>
      <c r="BA4149" s="1"/>
      <c r="BB4149" s="1"/>
    </row>
    <row r="4150" ht="204.75" customHeight="1">
      <c r="A4150" s="1">
        <v>3906.0</v>
      </c>
      <c r="B4150" s="2" t="s">
        <v>12231</v>
      </c>
      <c r="C4150" s="2">
        <f>IFERROR(__xludf.DUMMYFUNCTION("split(B4150,""_"")"),1204.0)</f>
        <v>1204</v>
      </c>
      <c r="D4150" s="2" t="str">
        <f>IFERROR(__xludf.DUMMYFUNCTION("""COMPUTED_VALUE"""),"NTV")</f>
        <v>NTV</v>
      </c>
      <c r="E4150" s="2" t="str">
        <f>IFERROR(__xludf.DUMMYFUNCTION("""COMPUTED_VALUE"""),"土21")</f>
        <v>土21</v>
      </c>
      <c r="F4150" s="2" t="s">
        <v>12232</v>
      </c>
      <c r="G4150" s="2" t="s">
        <v>12243</v>
      </c>
      <c r="H4150" s="1">
        <v>6.0</v>
      </c>
      <c r="I4150" s="1" t="s">
        <v>2888</v>
      </c>
      <c r="J4150" s="1" t="s">
        <v>11</v>
      </c>
      <c r="K4150" s="2" t="s">
        <v>12244</v>
      </c>
      <c r="L4150" s="2"/>
      <c r="M4150" s="2" t="str">
        <f>IFERROR(__xludf.DUMMYFUNCTION("split(split(K4150,""【演出"",false),""ほか"",false)"),"相葉雅紀、藤木直人、大倉忠義、大政絢、植木夏十、君沢ユウキ、シュシュ、吉瀬美智子、長谷川朝晴、赤木伸輔、肘井美佳、円城寺あや、マツコ・デラックス、尾美としのり、石坂浩二　")</f>
        <v>相葉雅紀、藤木直人、大倉忠義、大政絢、植木夏十、君沢ユウキ、シュシュ、吉瀬美智子、長谷川朝晴、赤木伸輔、肘井美佳、円城寺あや、マツコ・デラックス、尾美としのり、石坂浩二　</v>
      </c>
      <c r="N4150" s="2" t="str">
        <f>IFERROR(__xludf.DUMMYFUNCTION("""COMPUTED_VALUE"""),"ある日、義太郎(相葉雅紀)が食事をしていたレストランに突然、弾丸が飛び込んできたことで始まった今回の事件。被害者の出身地や犯行の凶器と、奇妙に連鎖する殺人事件を刑事生活最後の事件として追っていた義太郎であったが、辞職の日が迫り、ついに捜査から外されることに…。そして、共に捜査をしていた津川旬子(吉瀬美智子)に対しては、結婚を決意したその瞬間に姿を消されてしまい、絶望の淵に立たされてしまう義太郎。中島悟【原作】赤川次郎『三毛猫ホームズの推理』シリーズ(光文社刊/角川文庫刊)  【脚本】大宮エリー  【脚本協"&amp;"力】高橋悠也【音楽】金子隆博  【主題歌】「Your　Eyes」嵐(ジェイ・ストーム)")</f>
        <v>ある日、義太郎(相葉雅紀)が食事をしていたレストランに突然、弾丸が飛び込んできたことで始まった今回の事件。被害者の出身地や犯行の凶器と、奇妙に連鎖する殺人事件を刑事生活最後の事件として追っていた義太郎であったが、辞職の日が迫り、ついに捜査から外されることに…。そして、共に捜査をしていた津川旬子(吉瀬美智子)に対しては、結婚を決意したその瞬間に姿を消されてしまい、絶望の淵に立たされてしまう義太郎。中島悟【原作】赤川次郎『三毛猫ホームズの推理』シリーズ(光文社刊/角川文庫刊)  【脚本】大宮エリー  【脚本協力】高橋悠也【音楽】金子隆博  【主題歌】「Your　Eyes」嵐(ジェイ・ストーム)</v>
      </c>
      <c r="O4150" s="2"/>
      <c r="P4150" s="1"/>
      <c r="Q4150" s="1"/>
      <c r="R4150" s="1"/>
      <c r="S4150" s="1"/>
      <c r="T4150" s="1"/>
      <c r="U4150" s="1"/>
      <c r="V4150" s="1"/>
      <c r="W4150" s="1"/>
      <c r="X4150" s="1"/>
      <c r="Y4150" s="1"/>
      <c r="Z4150" s="1"/>
      <c r="AA4150" s="1"/>
      <c r="AB4150" s="1"/>
      <c r="AC4150" s="1"/>
      <c r="AD4150" s="1"/>
      <c r="AE4150" s="1"/>
      <c r="AF4150" s="1"/>
      <c r="AG4150" s="1"/>
      <c r="AH4150" s="1"/>
      <c r="AI4150" s="1"/>
      <c r="AJ4150" s="1"/>
      <c r="AK4150" s="1"/>
      <c r="AL4150" s="1"/>
      <c r="AM4150" s="1"/>
      <c r="AN4150" s="1"/>
      <c r="AO4150" s="1"/>
      <c r="AP4150" s="1"/>
      <c r="AQ4150" s="1"/>
      <c r="AR4150" s="1"/>
      <c r="AS4150" s="1"/>
      <c r="AT4150" s="1"/>
      <c r="AU4150" s="1"/>
      <c r="AV4150" s="1"/>
      <c r="AW4150" s="1"/>
      <c r="AX4150" s="1"/>
      <c r="AY4150" s="1"/>
      <c r="AZ4150" s="1"/>
      <c r="BA4150" s="1"/>
      <c r="BB4150" s="1"/>
    </row>
    <row r="4151" ht="204.75" customHeight="1">
      <c r="A4151" s="1">
        <v>3907.0</v>
      </c>
      <c r="B4151" s="2" t="s">
        <v>12231</v>
      </c>
      <c r="C4151" s="2">
        <f>IFERROR(__xludf.DUMMYFUNCTION("split(B4151,""_"")"),1204.0)</f>
        <v>1204</v>
      </c>
      <c r="D4151" s="2" t="str">
        <f>IFERROR(__xludf.DUMMYFUNCTION("""COMPUTED_VALUE"""),"NTV")</f>
        <v>NTV</v>
      </c>
      <c r="E4151" s="2" t="str">
        <f>IFERROR(__xludf.DUMMYFUNCTION("""COMPUTED_VALUE"""),"土21")</f>
        <v>土21</v>
      </c>
      <c r="F4151" s="2" t="s">
        <v>12232</v>
      </c>
      <c r="G4151" s="2" t="s">
        <v>12245</v>
      </c>
      <c r="H4151" s="1">
        <v>7.0</v>
      </c>
      <c r="I4151" s="1" t="s">
        <v>2892</v>
      </c>
      <c r="J4151" s="1" t="s">
        <v>11</v>
      </c>
      <c r="K4151" s="2" t="s">
        <v>12246</v>
      </c>
      <c r="L4151" s="2"/>
      <c r="M4151" s="2" t="str">
        <f>IFERROR(__xludf.DUMMYFUNCTION("split(split(K4151,""【演出"",false),""ほか"",false)"),"相葉雅紀、藤木直人、大倉忠義、大政絢、植木夏十、君沢ユウキ、シュシュ、紺野まひる、織本順吉、森康子、飯田基祐、平賀雅臣、八代真吾、神農直隆、佐々木俊彦、竹林真美、マツコ・デラックス、尾美としのり、石坂浩二　")</f>
        <v>相葉雅紀、藤木直人、大倉忠義、大政絢、植木夏十、君沢ユウキ、シュシュ、紺野まひる、織本順吉、森康子、飯田基祐、平賀雅臣、八代真吾、神農直隆、佐々木俊彦、竹林真美、マツコ・デラックス、尾美としのり、石坂浩二　</v>
      </c>
      <c r="N4151" s="2" t="str">
        <f>IFERROR(__xludf.DUMMYFUNCTION("""COMPUTED_VALUE"""),"「おまえはどんな刑事になりたいんだ!」兄・ヒロシ(藤木直人)に酔っ払いながらも突きつけられた疑問に答えを見出せない義太郎(相葉雅紀)であったが、アパート火災に遭遇し、石津刑事(大倉忠義)と共に現場へ駆けつける。そこで老夫婦と1羽のインコを救い出した二人であったがこの火災は老朽化した住宅を狙った連続放火事件と関連しているとみられ、栗原一課長(石坂浩二)率いる捜査一課が出動することに。菅原伸太郎【原作】赤川次郎『三毛猫ホームズの推理』シリーズ(光文社刊/角川文庫刊)  【脚本】高橋悠也【音楽】金子隆博  【主"&amp;"題歌】「Your　Eyes」嵐(ジェイ・ストーム)")</f>
        <v>「おまえはどんな刑事になりたいんだ!」兄・ヒロシ(藤木直人)に酔っ払いながらも突きつけられた疑問に答えを見出せない義太郎(相葉雅紀)であったが、アパート火災に遭遇し、石津刑事(大倉忠義)と共に現場へ駆けつける。そこで老夫婦と1羽のインコを救い出した二人であったがこの火災は老朽化した住宅を狙った連続放火事件と関連しているとみられ、栗原一課長(石坂浩二)率いる捜査一課が出動することに。菅原伸太郎【原作】赤川次郎『三毛猫ホームズの推理』シリーズ(光文社刊/角川文庫刊)  【脚本】高橋悠也【音楽】金子隆博  【主題歌】「Your　Eyes」嵐(ジェイ・ストーム)</v>
      </c>
      <c r="O4151" s="2"/>
      <c r="P4151" s="1"/>
      <c r="Q4151" s="1"/>
      <c r="R4151" s="1"/>
      <c r="S4151" s="1"/>
      <c r="T4151" s="1"/>
      <c r="U4151" s="1"/>
      <c r="V4151" s="1"/>
      <c r="W4151" s="1"/>
      <c r="X4151" s="1"/>
      <c r="Y4151" s="1"/>
      <c r="Z4151" s="1"/>
      <c r="AA4151" s="1"/>
      <c r="AB4151" s="1"/>
      <c r="AC4151" s="1"/>
      <c r="AD4151" s="1"/>
      <c r="AE4151" s="1"/>
      <c r="AF4151" s="1"/>
      <c r="AG4151" s="1"/>
      <c r="AH4151" s="1"/>
      <c r="AI4151" s="1"/>
      <c r="AJ4151" s="1"/>
      <c r="AK4151" s="1"/>
      <c r="AL4151" s="1"/>
      <c r="AM4151" s="1"/>
      <c r="AN4151" s="1"/>
      <c r="AO4151" s="1"/>
      <c r="AP4151" s="1"/>
      <c r="AQ4151" s="1"/>
      <c r="AR4151" s="1"/>
      <c r="AS4151" s="1"/>
      <c r="AT4151" s="1"/>
      <c r="AU4151" s="1"/>
      <c r="AV4151" s="1"/>
      <c r="AW4151" s="1"/>
      <c r="AX4151" s="1"/>
      <c r="AY4151" s="1"/>
      <c r="AZ4151" s="1"/>
      <c r="BA4151" s="1"/>
      <c r="BB4151" s="1"/>
    </row>
    <row r="4152" ht="204.75" customHeight="1">
      <c r="A4152" s="1">
        <v>3908.0</v>
      </c>
      <c r="B4152" s="2" t="s">
        <v>12231</v>
      </c>
      <c r="C4152" s="2">
        <f>IFERROR(__xludf.DUMMYFUNCTION("split(B4152,""_"")"),1204.0)</f>
        <v>1204</v>
      </c>
      <c r="D4152" s="2" t="str">
        <f>IFERROR(__xludf.DUMMYFUNCTION("""COMPUTED_VALUE"""),"NTV")</f>
        <v>NTV</v>
      </c>
      <c r="E4152" s="2" t="str">
        <f>IFERROR(__xludf.DUMMYFUNCTION("""COMPUTED_VALUE"""),"土21")</f>
        <v>土21</v>
      </c>
      <c r="F4152" s="2" t="s">
        <v>12232</v>
      </c>
      <c r="G4152" s="2" t="s">
        <v>12247</v>
      </c>
      <c r="H4152" s="1">
        <v>8.0</v>
      </c>
      <c r="I4152" s="1" t="s">
        <v>2896</v>
      </c>
      <c r="J4152" s="1" t="s">
        <v>11</v>
      </c>
      <c r="K4152" s="2" t="s">
        <v>12248</v>
      </c>
      <c r="L4152" s="2"/>
      <c r="M4152" s="2" t="str">
        <f>IFERROR(__xludf.DUMMYFUNCTION("split(split(K4152,""【演出"",false),""ほか"",false)"),"相葉雅紀、藤木直人、大倉忠義、大政絢、植木夏十、君沢ユウキ、シュシュ、岡本玲、有村架純、松澤一之、東根作寿英、西山繭子、児玉貴志、梶原ひかり、須永慶、恒吉梨絵、本田緑、谷一歩、清水芹夏、西條澪、マツコ・デラックス、尾美としのり、石坂浩二　")</f>
        <v>相葉雅紀、藤木直人、大倉忠義、大政絢、植木夏十、君沢ユウキ、シュシュ、岡本玲、有村架純、松澤一之、東根作寿英、西山繭子、児玉貴志、梶原ひかり、須永慶、恒吉梨絵、本田緑、谷一歩、清水芹夏、西條澪、マツコ・デラックス、尾美としのり、石坂浩二　</v>
      </c>
      <c r="N4152" s="2" t="str">
        <f>IFERROR(__xludf.DUMMYFUNCTION("""COMPUTED_VALUE"""),"栗原一課長(石坂浩二)に言われ、女性恐怖症にもかかわらず、女子大で講義をすることになった義太郎(相葉雅紀)。しかし、それは大学に蔓延る薬物売買の特命捜査でもあった。薬物売買の第一容疑者:宮越友美(岡本玲)やその友人の村瀬明日香(有村架純)を始め、見渡す限り女子ばかりの光景に戸惑いながらも授業を始める義太郎。と、頭上から鎖に吊るされた女子大生の遺体が降りてきて、その光景に義太郎は失神してしまう。南雲聖一【原作】赤川次郎『三毛猫ホームズの推理』シリーズ(光文社刊/角川文庫刊)  【脚本】大宮エリー  【脚本協"&amp;"力】宮本武史【音楽】金子隆博  【主題歌】「Your　Eyes」嵐(ジェイ・ストーム)")</f>
        <v>栗原一課長(石坂浩二)に言われ、女性恐怖症にもかかわらず、女子大で講義をすることになった義太郎(相葉雅紀)。しかし、それは大学に蔓延る薬物売買の特命捜査でもあった。薬物売買の第一容疑者:宮越友美(岡本玲)やその友人の村瀬明日香(有村架純)を始め、見渡す限り女子ばかりの光景に戸惑いながらも授業を始める義太郎。と、頭上から鎖に吊るされた女子大生の遺体が降りてきて、その光景に義太郎は失神してしまう。南雲聖一【原作】赤川次郎『三毛猫ホームズの推理』シリーズ(光文社刊/角川文庫刊)  【脚本】大宮エリー  【脚本協力】宮本武史【音楽】金子隆博  【主題歌】「Your　Eyes」嵐(ジェイ・ストーム)</v>
      </c>
      <c r="O4152" s="2"/>
      <c r="P4152" s="1"/>
      <c r="Q4152" s="1"/>
      <c r="R4152" s="1"/>
      <c r="S4152" s="1"/>
      <c r="T4152" s="1"/>
      <c r="U4152" s="1"/>
      <c r="V4152" s="1"/>
      <c r="W4152" s="1"/>
      <c r="X4152" s="1"/>
      <c r="Y4152" s="1"/>
      <c r="Z4152" s="1"/>
      <c r="AA4152" s="1"/>
      <c r="AB4152" s="1"/>
      <c r="AC4152" s="1"/>
      <c r="AD4152" s="1"/>
      <c r="AE4152" s="1"/>
      <c r="AF4152" s="1"/>
      <c r="AG4152" s="1"/>
      <c r="AH4152" s="1"/>
      <c r="AI4152" s="1"/>
      <c r="AJ4152" s="1"/>
      <c r="AK4152" s="1"/>
      <c r="AL4152" s="1"/>
      <c r="AM4152" s="1"/>
      <c r="AN4152" s="1"/>
      <c r="AO4152" s="1"/>
      <c r="AP4152" s="1"/>
      <c r="AQ4152" s="1"/>
      <c r="AR4152" s="1"/>
      <c r="AS4152" s="1"/>
      <c r="AT4152" s="1"/>
      <c r="AU4152" s="1"/>
      <c r="AV4152" s="1"/>
      <c r="AW4152" s="1"/>
      <c r="AX4152" s="1"/>
      <c r="AY4152" s="1"/>
      <c r="AZ4152" s="1"/>
      <c r="BA4152" s="1"/>
      <c r="BB4152" s="1"/>
    </row>
    <row r="4153" ht="204.75" customHeight="1">
      <c r="A4153" s="1">
        <v>3909.0</v>
      </c>
      <c r="B4153" s="2" t="s">
        <v>12231</v>
      </c>
      <c r="C4153" s="2">
        <f>IFERROR(__xludf.DUMMYFUNCTION("split(B4153,""_"")"),1204.0)</f>
        <v>1204</v>
      </c>
      <c r="D4153" s="2" t="str">
        <f>IFERROR(__xludf.DUMMYFUNCTION("""COMPUTED_VALUE"""),"NTV")</f>
        <v>NTV</v>
      </c>
      <c r="E4153" s="2" t="str">
        <f>IFERROR(__xludf.DUMMYFUNCTION("""COMPUTED_VALUE"""),"土21")</f>
        <v>土21</v>
      </c>
      <c r="F4153" s="2" t="s">
        <v>12232</v>
      </c>
      <c r="G4153" s="2" t="s">
        <v>12249</v>
      </c>
      <c r="H4153" s="1">
        <v>9.0</v>
      </c>
      <c r="I4153" s="1" t="s">
        <v>2900</v>
      </c>
      <c r="J4153" s="1" t="s">
        <v>11</v>
      </c>
      <c r="K4153" s="2" t="s">
        <v>12250</v>
      </c>
      <c r="L4153" s="2"/>
      <c r="M4153" s="2" t="str">
        <f>IFERROR(__xludf.DUMMYFUNCTION("split(split(K4153,""【演出"",false),""ほか"",false)"),"相葉雅紀、藤木直人、大倉忠義、大政絢、植木夏十、君沢ユウキ、シュシュ、岡本玲、有村架純、松澤一之、東根作寿英、西山繭子、児玉貴志、梶原ひかり、須永慶、神崎孝一郎、恒吉梨絵、本田緑、谷一歩、清水芹夏、マツコ・デラックス、尾美としのり、石坂浩二　")</f>
        <v>相葉雅紀、藤木直人、大倉忠義、大政絢、植木夏十、君沢ユウキ、シュシュ、岡本玲、有村架純、松澤一之、東根作寿英、西山繭子、児玉貴志、梶原ひかり、須永慶、神崎孝一郎、恒吉梨絵、本田緑、谷一歩、清水芹夏、マツコ・デラックス、尾美としのり、石坂浩二　</v>
      </c>
      <c r="N4153" s="2" t="str">
        <f>IFERROR(__xludf.DUMMYFUNCTION("""COMPUTED_VALUE"""),"ホームズに別れを告げて自分の力で事件を解決すると決意した義太郎(相葉雅紀)は、麻薬が横行しているという女子大で発生した連続殺人を追う。しかしドラッグパーティと疑われた会場付近の一室で奈良教授(松澤一之)が遺体で発見され、その傍で凶器を手にして立っていたのは、義太郎が「信じる」と約束をした相手、宮越友美(岡本玲)であった。取調べを受ける友美は容疑を否認し、義太郎は何とか友美の無実を証明しようと…南雲聖一【原作】赤川次郎『三毛猫ホームズの推理』シリーズ(光文社刊/角川文庫刊)  【脚本】大宮エリー  【脚本協"&amp;"力】宮本武史【音楽】金子隆博  【主題歌】「Your　Eyes」嵐(ジェイ・ストーム)")</f>
        <v>ホームズに別れを告げて自分の力で事件を解決すると決意した義太郎(相葉雅紀)は、麻薬が横行しているという女子大で発生した連続殺人を追う。しかしドラッグパーティと疑われた会場付近の一室で奈良教授(松澤一之)が遺体で発見され、その傍で凶器を手にして立っていたのは、義太郎が「信じる」と約束をした相手、宮越友美(岡本玲)であった。取調べを受ける友美は容疑を否認し、義太郎は何とか友美の無実を証明しようと…南雲聖一【原作】赤川次郎『三毛猫ホームズの推理』シリーズ(光文社刊/角川文庫刊)  【脚本】大宮エリー  【脚本協力】宮本武史【音楽】金子隆博  【主題歌】「Your　Eyes」嵐(ジェイ・ストーム)</v>
      </c>
      <c r="O4153" s="2"/>
      <c r="P4153" s="1"/>
      <c r="Q4153" s="1"/>
      <c r="R4153" s="1"/>
      <c r="S4153" s="1"/>
      <c r="T4153" s="1"/>
      <c r="U4153" s="1"/>
      <c r="V4153" s="1"/>
      <c r="W4153" s="1"/>
      <c r="X4153" s="1"/>
      <c r="Y4153" s="1"/>
      <c r="Z4153" s="1"/>
      <c r="AA4153" s="1"/>
      <c r="AB4153" s="1"/>
      <c r="AC4153" s="1"/>
      <c r="AD4153" s="1"/>
      <c r="AE4153" s="1"/>
      <c r="AF4153" s="1"/>
      <c r="AG4153" s="1"/>
      <c r="AH4153" s="1"/>
      <c r="AI4153" s="1"/>
      <c r="AJ4153" s="1"/>
      <c r="AK4153" s="1"/>
      <c r="AL4153" s="1"/>
      <c r="AM4153" s="1"/>
      <c r="AN4153" s="1"/>
      <c r="AO4153" s="1"/>
      <c r="AP4153" s="1"/>
      <c r="AQ4153" s="1"/>
      <c r="AR4153" s="1"/>
      <c r="AS4153" s="1"/>
      <c r="AT4153" s="1"/>
      <c r="AU4153" s="1"/>
      <c r="AV4153" s="1"/>
      <c r="AW4153" s="1"/>
      <c r="AX4153" s="1"/>
      <c r="AY4153" s="1"/>
      <c r="AZ4153" s="1"/>
      <c r="BA4153" s="1"/>
      <c r="BB4153" s="1"/>
    </row>
    <row r="4154" ht="204.75" customHeight="1">
      <c r="A4154" s="1">
        <v>3910.0</v>
      </c>
      <c r="B4154" s="2" t="s">
        <v>12231</v>
      </c>
      <c r="C4154" s="2">
        <f>IFERROR(__xludf.DUMMYFUNCTION("split(B4154,""_"")"),1204.0)</f>
        <v>1204</v>
      </c>
      <c r="D4154" s="2" t="str">
        <f>IFERROR(__xludf.DUMMYFUNCTION("""COMPUTED_VALUE"""),"NTV")</f>
        <v>NTV</v>
      </c>
      <c r="E4154" s="2" t="str">
        <f>IFERROR(__xludf.DUMMYFUNCTION("""COMPUTED_VALUE"""),"土21")</f>
        <v>土21</v>
      </c>
      <c r="F4154" s="2" t="s">
        <v>12232</v>
      </c>
      <c r="G4154" s="2" t="s">
        <v>12251</v>
      </c>
      <c r="H4154" s="1">
        <v>10.0</v>
      </c>
      <c r="I4154" s="1" t="s">
        <v>37</v>
      </c>
      <c r="J4154" s="1" t="s">
        <v>11</v>
      </c>
      <c r="K4154" s="2" t="s">
        <v>12252</v>
      </c>
      <c r="L4154" s="2"/>
      <c r="M4154" s="2" t="str">
        <f>IFERROR(__xludf.DUMMYFUNCTION("split(split(K4154,""【演出"",false),""ほか"",false)"),"相葉雅紀、藤木直人、大倉忠義、大政絢、植木夏十、君沢ユウキ、シュシュ、陣内孝則、神尾佑、赤屋板明、光宣、黒澤宏貴、マイク・ハン、升毅、マツコ・デラックス、尾美としのり、石坂浩二　")</f>
        <v>相葉雅紀、藤木直人、大倉忠義、大政絢、植木夏十、君沢ユウキ、シュシュ、陣内孝則、神尾佑、赤屋板明、光宣、黒澤宏貴、マイク・ハン、升毅、マツコ・デラックス、尾美としのり、石坂浩二　</v>
      </c>
      <c r="N4154" s="2" t="str">
        <f>IFERROR(__xludf.DUMMYFUNCTION("""COMPUTED_VALUE"""),"ホームズと決定的な別れをし、落ち込む義太郎(相葉雅紀)。その時、23年前に銀行強盗を起こし警察官を射殺し服役していた一人の男、金田広造(陣内孝則)が脱獄した。金田が寝ぐらにしていた廃工場を突き止め、踏み込む捜査一課。と、拳銃を所持していた金田を栗原一課長(石坂浩二)が発見し銃撃戦となる。鳴り響く4発の銃声。それを聞きつけた義太郎らが駆けつけると、そこには栗原と村田刑事(君沢ユウキ)が倒れていて…松永洋一【原作】赤川次郎『三毛猫ホームズの推理』シリーズ(光文社刊/角川文庫刊)  【脚本】山浦雅大【音楽】金子"&amp;"隆博  【主題歌】「Your　Eyes」嵐(ジェイ・ストーム)")</f>
        <v>ホームズと決定的な別れをし、落ち込む義太郎(相葉雅紀)。その時、23年前に銀行強盗を起こし警察官を射殺し服役していた一人の男、金田広造(陣内孝則)が脱獄した。金田が寝ぐらにしていた廃工場を突き止め、踏み込む捜査一課。と、拳銃を所持していた金田を栗原一課長(石坂浩二)が発見し銃撃戦となる。鳴り響く4発の銃声。それを聞きつけた義太郎らが駆けつけると、そこには栗原と村田刑事(君沢ユウキ)が倒れていて…松永洋一【原作】赤川次郎『三毛猫ホームズの推理』シリーズ(光文社刊/角川文庫刊)  【脚本】山浦雅大【音楽】金子隆博  【主題歌】「Your　Eyes」嵐(ジェイ・ストーム)</v>
      </c>
      <c r="O4154" s="2"/>
      <c r="P4154" s="1"/>
      <c r="Q4154" s="1"/>
      <c r="R4154" s="1"/>
      <c r="S4154" s="1"/>
      <c r="T4154" s="1"/>
      <c r="U4154" s="1"/>
      <c r="V4154" s="1"/>
      <c r="W4154" s="1"/>
      <c r="X4154" s="1"/>
      <c r="Y4154" s="1"/>
      <c r="Z4154" s="1"/>
      <c r="AA4154" s="1"/>
      <c r="AB4154" s="1"/>
      <c r="AC4154" s="1"/>
      <c r="AD4154" s="1"/>
      <c r="AE4154" s="1"/>
      <c r="AF4154" s="1"/>
      <c r="AG4154" s="1"/>
      <c r="AH4154" s="1"/>
      <c r="AI4154" s="1"/>
      <c r="AJ4154" s="1"/>
      <c r="AK4154" s="1"/>
      <c r="AL4154" s="1"/>
      <c r="AM4154" s="1"/>
      <c r="AN4154" s="1"/>
      <c r="AO4154" s="1"/>
      <c r="AP4154" s="1"/>
      <c r="AQ4154" s="1"/>
      <c r="AR4154" s="1"/>
      <c r="AS4154" s="1"/>
      <c r="AT4154" s="1"/>
      <c r="AU4154" s="1"/>
      <c r="AV4154" s="1"/>
      <c r="AW4154" s="1"/>
      <c r="AX4154" s="1"/>
      <c r="AY4154" s="1"/>
      <c r="AZ4154" s="1"/>
      <c r="BA4154" s="1"/>
      <c r="BB4154" s="1"/>
    </row>
    <row r="4155" ht="204.75" customHeight="1">
      <c r="A4155" s="1">
        <v>3911.0</v>
      </c>
      <c r="B4155" s="2" t="s">
        <v>12231</v>
      </c>
      <c r="C4155" s="2">
        <f>IFERROR(__xludf.DUMMYFUNCTION("split(B4155,""_"")"),1204.0)</f>
        <v>1204</v>
      </c>
      <c r="D4155" s="2" t="str">
        <f>IFERROR(__xludf.DUMMYFUNCTION("""COMPUTED_VALUE"""),"NTV")</f>
        <v>NTV</v>
      </c>
      <c r="E4155" s="2" t="str">
        <f>IFERROR(__xludf.DUMMYFUNCTION("""COMPUTED_VALUE"""),"土21")</f>
        <v>土21</v>
      </c>
      <c r="F4155" s="2" t="s">
        <v>12232</v>
      </c>
      <c r="G4155" s="2" t="s">
        <v>12253</v>
      </c>
      <c r="H4155" s="1">
        <v>11.0</v>
      </c>
      <c r="I4155" s="1" t="s">
        <v>41</v>
      </c>
      <c r="J4155" s="1" t="s">
        <v>4</v>
      </c>
      <c r="K4155" s="2" t="s">
        <v>12254</v>
      </c>
      <c r="L4155" s="2"/>
      <c r="M4155" s="2" t="str">
        <f>IFERROR(__xludf.DUMMYFUNCTION("split(split(K4155,""【演出"",false),""ほか"",false)"),"相葉雅紀、藤木直人、大倉忠義、大政絢、植木夏十、君沢ユウキ、シュシュ、陣内孝則、神尾佑、麿赤兒、升毅、平岳大、マツコ・デラックス、尾美としのり、石坂浩二　")</f>
        <v>相葉雅紀、藤木直人、大倉忠義、大政絢、植木夏十、君沢ユウキ、シュシュ、陣内孝則、神尾佑、麿赤兒、升毅、平岳大、マツコ・デラックス、尾美としのり、石坂浩二　</v>
      </c>
      <c r="N4155" s="2" t="str">
        <f>IFERROR(__xludf.DUMMYFUNCTION("""COMPUTED_VALUE"""),"ヒロシ(藤木直人)と晴美(大政絢)の兄妹から、父・正太郎(平岳大)を殺した犯人が金田広造(陣内孝則)であると聞かされた義太郎(相葉雅紀)。困惑する片山一家の元に、チャイムが鳴り響く。すると渦中の指名手配犯である金田がいて・・・?!正太郎の死の真相ーーー。過去と現代が絡まり、謎が連鎖する事件。全ての黒幕は一体誰なのか?義太郎は真実を突き止められるのか?いよいよ全ての謎を解く最終回が始まるーーー中島悟【原作】赤川次郎『三毛猫ホームズの推理』シリーズ(光文社刊/角川文庫刊)  【脚本】大宮エリー、高橋悠也【音楽"&amp;"】金子隆博  【主題歌】「Your　Eyes」嵐(ジェイ・ストーム)")</f>
        <v>ヒロシ(藤木直人)と晴美(大政絢)の兄妹から、父・正太郎(平岳大)を殺した犯人が金田広造(陣内孝則)であると聞かされた義太郎(相葉雅紀)。困惑する片山一家の元に、チャイムが鳴り響く。すると渦中の指名手配犯である金田がいて・・・?!正太郎の死の真相ーーー。過去と現代が絡まり、謎が連鎖する事件。全ての黒幕は一体誰なのか?義太郎は真実を突き止められるのか?いよいよ全ての謎を解く最終回が始まるーーー中島悟【原作】赤川次郎『三毛猫ホームズの推理』シリーズ(光文社刊/角川文庫刊)  【脚本】大宮エリー、高橋悠也【音楽】金子隆博  【主題歌】「Your　Eyes」嵐(ジェイ・ストーム)</v>
      </c>
      <c r="O4155" s="2"/>
      <c r="P4155" s="1"/>
      <c r="Q4155" s="1"/>
      <c r="R4155" s="1"/>
      <c r="S4155" s="1"/>
      <c r="T4155" s="1"/>
      <c r="U4155" s="1"/>
      <c r="V4155" s="1"/>
      <c r="W4155" s="1"/>
      <c r="X4155" s="1"/>
      <c r="Y4155" s="1"/>
      <c r="Z4155" s="1"/>
      <c r="AA4155" s="1"/>
      <c r="AB4155" s="1"/>
      <c r="AC4155" s="1"/>
      <c r="AD4155" s="1"/>
      <c r="AE4155" s="1"/>
      <c r="AF4155" s="1"/>
      <c r="AG4155" s="1"/>
      <c r="AH4155" s="1"/>
      <c r="AI4155" s="1"/>
      <c r="AJ4155" s="1"/>
      <c r="AK4155" s="1"/>
      <c r="AL4155" s="1"/>
      <c r="AM4155" s="1"/>
      <c r="AN4155" s="1"/>
      <c r="AO4155" s="1"/>
      <c r="AP4155" s="1"/>
      <c r="AQ4155" s="1"/>
      <c r="AR4155" s="1"/>
      <c r="AS4155" s="1"/>
      <c r="AT4155" s="1"/>
      <c r="AU4155" s="1"/>
      <c r="AV4155" s="1"/>
      <c r="AW4155" s="1"/>
      <c r="AX4155" s="1"/>
      <c r="AY4155" s="1"/>
      <c r="AZ4155" s="1"/>
      <c r="BA4155" s="1"/>
      <c r="BB4155" s="1"/>
    </row>
    <row r="4156" ht="204.75" customHeight="1">
      <c r="A4156" s="1">
        <v>3985.0</v>
      </c>
      <c r="B4156" s="2" t="s">
        <v>12255</v>
      </c>
      <c r="C4156" s="2">
        <f>IFERROR(__xludf.DUMMYFUNCTION("split(B4156,""_"")"),1201.0)</f>
        <v>1201</v>
      </c>
      <c r="D4156" s="2" t="str">
        <f>IFERROR(__xludf.DUMMYFUNCTION("""COMPUTED_VALUE"""),"NTV")</f>
        <v>NTV</v>
      </c>
      <c r="E4156" s="2" t="str">
        <f>IFERROR(__xludf.DUMMYFUNCTION("""COMPUTED_VALUE"""),"水22")</f>
        <v>水22</v>
      </c>
      <c r="F4156" s="2" t="s">
        <v>12256</v>
      </c>
      <c r="G4156" s="2" t="s">
        <v>12257</v>
      </c>
      <c r="H4156" s="1">
        <v>1.0</v>
      </c>
      <c r="I4156" s="1" t="s">
        <v>2868</v>
      </c>
      <c r="J4156" s="1" t="s">
        <v>82</v>
      </c>
      <c r="K4156" s="2" t="s">
        <v>12258</v>
      </c>
      <c r="L4156" s="2"/>
      <c r="M4156" s="2" t="str">
        <f>IFERROR(__xludf.DUMMYFUNCTION("split(split(K4156,""【演出"",false),""ほか"",false)"),"永作博美、香里奈、上地雄輔、佐藤二朗、野間口徹、林泰文、加藤虎ノ介、安田顕、八嶋智人1歳の息子を連れ、颯爽と現場に現れる敏腕シングルマザー刑事・丸岡高子(永作博美)。突然刑事課に仮採用となった長嶋葵(香里奈)は、そんなルールも常識もお構いなしの高子とバディを組み、壮絶な日々を送ることに…。高子から無理難題を押し付けられ、無茶な捜査の片棒を担がされ、高子の息子・橋蔵の世話に悪戦苦闘。恋人の卓也(上地雄輔)との関係にも暗雲が。それでも必死に喰らいつく葵だったが、ついに我慢の限界が…。")</f>
        <v>永作博美、香里奈、上地雄輔、佐藤二朗、野間口徹、林泰文、加藤虎ノ介、安田顕、八嶋智人1歳の息子を連れ、颯爽と現場に現れる敏腕シングルマザー刑事・丸岡高子(永作博美)。突然刑事課に仮採用となった長嶋葵(香里奈)は、そんなルールも常識もお構いなしの高子とバディを組み、壮絶な日々を送ることに…。高子から無理難題を押し付けられ、無茶な捜査の片棒を担がされ、高子の息子・橋蔵の世話に悪戦苦闘。恋人の卓也(上地雄輔)との関係にも暗雲が。それでも必死に喰らいつく葵だったが、ついに我慢の限界が…。</v>
      </c>
      <c r="N4156" s="2"/>
      <c r="O4156" s="2"/>
      <c r="P4156" s="1"/>
      <c r="Q4156" s="1"/>
      <c r="R4156" s="1"/>
      <c r="S4156" s="1"/>
      <c r="T4156" s="1"/>
      <c r="U4156" s="1"/>
      <c r="V4156" s="1"/>
      <c r="W4156" s="1"/>
      <c r="X4156" s="1"/>
      <c r="Y4156" s="1"/>
      <c r="Z4156" s="1"/>
      <c r="AA4156" s="1"/>
      <c r="AB4156" s="1"/>
      <c r="AC4156" s="1"/>
      <c r="AD4156" s="1"/>
      <c r="AE4156" s="1"/>
      <c r="AF4156" s="1"/>
      <c r="AG4156" s="1"/>
      <c r="AH4156" s="1"/>
      <c r="AI4156" s="1"/>
      <c r="AJ4156" s="1"/>
      <c r="AK4156" s="1"/>
      <c r="AL4156" s="1"/>
      <c r="AM4156" s="1"/>
      <c r="AN4156" s="1"/>
      <c r="AO4156" s="1"/>
      <c r="AP4156" s="1"/>
      <c r="AQ4156" s="1"/>
      <c r="AR4156" s="1"/>
      <c r="AS4156" s="1"/>
      <c r="AT4156" s="1"/>
      <c r="AU4156" s="1"/>
      <c r="AV4156" s="1"/>
      <c r="AW4156" s="1"/>
      <c r="AX4156" s="1"/>
      <c r="AY4156" s="1"/>
      <c r="AZ4156" s="1"/>
      <c r="BA4156" s="1"/>
      <c r="BB4156" s="1"/>
    </row>
    <row r="4157" ht="204.75" customHeight="1">
      <c r="A4157" s="1">
        <v>3986.0</v>
      </c>
      <c r="B4157" s="2" t="s">
        <v>12255</v>
      </c>
      <c r="C4157" s="2">
        <f>IFERROR(__xludf.DUMMYFUNCTION("split(B4157,""_"")"),1201.0)</f>
        <v>1201</v>
      </c>
      <c r="D4157" s="2" t="str">
        <f>IFERROR(__xludf.DUMMYFUNCTION("""COMPUTED_VALUE"""),"NTV")</f>
        <v>NTV</v>
      </c>
      <c r="E4157" s="2" t="str">
        <f>IFERROR(__xludf.DUMMYFUNCTION("""COMPUTED_VALUE"""),"水22")</f>
        <v>水22</v>
      </c>
      <c r="F4157" s="2" t="s">
        <v>12256</v>
      </c>
      <c r="G4157" s="2" t="s">
        <v>12259</v>
      </c>
      <c r="H4157" s="1">
        <v>2.0</v>
      </c>
      <c r="I4157" s="1" t="s">
        <v>2872</v>
      </c>
      <c r="J4157" s="1" t="s">
        <v>86</v>
      </c>
      <c r="K4157" s="2" t="s">
        <v>12260</v>
      </c>
      <c r="L4157" s="2"/>
      <c r="M4157" s="2" t="str">
        <f>IFERROR(__xludf.DUMMYFUNCTION("split(split(K4157,""【演出"",false),""ほか"",false)"),"永作博美、香里奈、上地雄輔、佐藤二朗、野間口徹、林泰文、加藤虎ノ介、安田顕、八嶋智人　")</f>
        <v>永作博美、香里奈、上地雄輔、佐藤二朗、野間口徹、林泰文、加藤虎ノ介、安田顕、八嶋智人　</v>
      </c>
      <c r="N4157" s="2" t="str">
        <f>IFERROR(__xludf.DUMMYFUNCTION("""COMPUTED_VALUE"""),"ワールドマネージャパン社長の三宅の転落を目の当たりにした高子(永作博美)と葵(香里奈)。関係者の幸代を保護しようと考えた高子だが、地域課の卓也(上地雄輔)と警備をしているところを謎の二人組みに襲われる。刑事の仕事の危険さを思い知った卓也は、葵との結婚を真剣に考えることに。そんな中、事件は思わぬ展開を見せ、高子の破天荒な捜査がまた始まった・・・!")</f>
        <v>ワールドマネージャパン社長の三宅の転落を目の当たりにした高子(永作博美)と葵(香里奈)。関係者の幸代を保護しようと考えた高子だが、地域課の卓也(上地雄輔)と警備をしているところを謎の二人組みに襲われる。刑事の仕事の危険さを思い知った卓也は、葵との結婚を真剣に考えることに。そんな中、事件は思わぬ展開を見せ、高子の破天荒な捜査がまた始まった・・・!</v>
      </c>
      <c r="O4157" s="2"/>
      <c r="P4157" s="1"/>
      <c r="Q4157" s="1"/>
      <c r="R4157" s="1"/>
      <c r="S4157" s="1"/>
      <c r="T4157" s="1"/>
      <c r="U4157" s="1"/>
      <c r="V4157" s="1"/>
      <c r="W4157" s="1"/>
      <c r="X4157" s="1"/>
      <c r="Y4157" s="1"/>
      <c r="Z4157" s="1"/>
      <c r="AA4157" s="1"/>
      <c r="AB4157" s="1"/>
      <c r="AC4157" s="1"/>
      <c r="AD4157" s="1"/>
      <c r="AE4157" s="1"/>
      <c r="AF4157" s="1"/>
      <c r="AG4157" s="1"/>
      <c r="AH4157" s="1"/>
      <c r="AI4157" s="1"/>
      <c r="AJ4157" s="1"/>
      <c r="AK4157" s="1"/>
      <c r="AL4157" s="1"/>
      <c r="AM4157" s="1"/>
      <c r="AN4157" s="1"/>
      <c r="AO4157" s="1"/>
      <c r="AP4157" s="1"/>
      <c r="AQ4157" s="1"/>
      <c r="AR4157" s="1"/>
      <c r="AS4157" s="1"/>
      <c r="AT4157" s="1"/>
      <c r="AU4157" s="1"/>
      <c r="AV4157" s="1"/>
      <c r="AW4157" s="1"/>
      <c r="AX4157" s="1"/>
      <c r="AY4157" s="1"/>
      <c r="AZ4157" s="1"/>
      <c r="BA4157" s="1"/>
      <c r="BB4157" s="1"/>
    </row>
    <row r="4158" ht="204.75" customHeight="1">
      <c r="A4158" s="1">
        <v>3987.0</v>
      </c>
      <c r="B4158" s="2" t="s">
        <v>12255</v>
      </c>
      <c r="C4158" s="2">
        <f>IFERROR(__xludf.DUMMYFUNCTION("split(B4158,""_"")"),1201.0)</f>
        <v>1201</v>
      </c>
      <c r="D4158" s="2" t="str">
        <f>IFERROR(__xludf.DUMMYFUNCTION("""COMPUTED_VALUE"""),"NTV")</f>
        <v>NTV</v>
      </c>
      <c r="E4158" s="2" t="str">
        <f>IFERROR(__xludf.DUMMYFUNCTION("""COMPUTED_VALUE"""),"水22")</f>
        <v>水22</v>
      </c>
      <c r="F4158" s="2" t="s">
        <v>12256</v>
      </c>
      <c r="G4158" s="2" t="s">
        <v>12261</v>
      </c>
      <c r="H4158" s="1">
        <v>3.0</v>
      </c>
      <c r="I4158" s="1" t="s">
        <v>2876</v>
      </c>
      <c r="J4158" s="1" t="s">
        <v>86</v>
      </c>
      <c r="K4158" s="2" t="s">
        <v>12262</v>
      </c>
      <c r="L4158" s="2"/>
      <c r="M4158" s="2" t="str">
        <f>IFERROR(__xludf.DUMMYFUNCTION("split(split(K4158,""【演出"",false),""ほか"",false)"),"永作博美、香里奈、上地雄輔、佐藤二朗、野間口徹、林泰文、加藤虎ノ介、安田顕、八嶋智人　")</f>
        <v>永作博美、香里奈、上地雄輔、佐藤二朗、野間口徹、林泰文、加藤虎ノ介、安田顕、八嶋智人　</v>
      </c>
      <c r="N4158" s="2" t="str">
        <f>IFERROR(__xludf.DUMMYFUNCTION("""COMPUTED_VALUE"""),"高子(永作博美)のベビーシッターである葵(香里奈)の後任として、なんと卓也(上地雄輔)が刑事課にやってくる。葵に辞めてもらおうとする深沢(八嶋智人)だが、高子の提案により葵と卓也は刑事課残留をかけて対決することになってしまう。  そんな中、卓也の幼馴染が「上司に襲われた」と刑事課にやってくる。こうして、敏腕シングルマザー刑事とベビーシッター刑事二人の、破天荒捜査がまた始まった・・・!")</f>
        <v>高子(永作博美)のベビーシッターである葵(香里奈)の後任として、なんと卓也(上地雄輔)が刑事課にやってくる。葵に辞めてもらおうとする深沢(八嶋智人)だが、高子の提案により葵と卓也は刑事課残留をかけて対決することになってしまう。  そんな中、卓也の幼馴染が「上司に襲われた」と刑事課にやってくる。こうして、敏腕シングルマザー刑事とベビーシッター刑事二人の、破天荒捜査がまた始まった・・・!</v>
      </c>
      <c r="O4158" s="2"/>
      <c r="P4158" s="1"/>
      <c r="Q4158" s="1"/>
      <c r="R4158" s="1"/>
      <c r="S4158" s="1"/>
      <c r="T4158" s="1"/>
      <c r="U4158" s="1"/>
      <c r="V4158" s="1"/>
      <c r="W4158" s="1"/>
      <c r="X4158" s="1"/>
      <c r="Y4158" s="1"/>
      <c r="Z4158" s="1"/>
      <c r="AA4158" s="1"/>
      <c r="AB4158" s="1"/>
      <c r="AC4158" s="1"/>
      <c r="AD4158" s="1"/>
      <c r="AE4158" s="1"/>
      <c r="AF4158" s="1"/>
      <c r="AG4158" s="1"/>
      <c r="AH4158" s="1"/>
      <c r="AI4158" s="1"/>
      <c r="AJ4158" s="1"/>
      <c r="AK4158" s="1"/>
      <c r="AL4158" s="1"/>
      <c r="AM4158" s="1"/>
      <c r="AN4158" s="1"/>
      <c r="AO4158" s="1"/>
      <c r="AP4158" s="1"/>
      <c r="AQ4158" s="1"/>
      <c r="AR4158" s="1"/>
      <c r="AS4158" s="1"/>
      <c r="AT4158" s="1"/>
      <c r="AU4158" s="1"/>
      <c r="AV4158" s="1"/>
      <c r="AW4158" s="1"/>
      <c r="AX4158" s="1"/>
      <c r="AY4158" s="1"/>
      <c r="AZ4158" s="1"/>
      <c r="BA4158" s="1"/>
      <c r="BB4158" s="1"/>
    </row>
    <row r="4159" ht="204.75" customHeight="1">
      <c r="A4159" s="1">
        <v>3988.0</v>
      </c>
      <c r="B4159" s="2" t="s">
        <v>12255</v>
      </c>
      <c r="C4159" s="2">
        <f>IFERROR(__xludf.DUMMYFUNCTION("split(B4159,""_"")"),1201.0)</f>
        <v>1201</v>
      </c>
      <c r="D4159" s="2" t="str">
        <f>IFERROR(__xludf.DUMMYFUNCTION("""COMPUTED_VALUE"""),"NTV")</f>
        <v>NTV</v>
      </c>
      <c r="E4159" s="2" t="str">
        <f>IFERROR(__xludf.DUMMYFUNCTION("""COMPUTED_VALUE"""),"水22")</f>
        <v>水22</v>
      </c>
      <c r="F4159" s="2" t="s">
        <v>12256</v>
      </c>
      <c r="G4159" s="2" t="s">
        <v>12263</v>
      </c>
      <c r="H4159" s="1">
        <v>4.0</v>
      </c>
      <c r="I4159" s="1" t="s">
        <v>2880</v>
      </c>
      <c r="J4159" s="1" t="s">
        <v>86</v>
      </c>
      <c r="K4159" s="2" t="s">
        <v>12264</v>
      </c>
      <c r="L4159" s="2"/>
      <c r="M4159" s="2" t="str">
        <f>IFERROR(__xludf.DUMMYFUNCTION("split(split(K4159,""【演出"",false),""ほか"",false)"),"永作博美、香里奈、上地雄輔、佐藤二朗、野間口徹、林泰文、かたせ梨乃、加藤虎ノ介、安田顕、八嶋智人　")</f>
        <v>永作博美、香里奈、上地雄輔、佐藤二朗、野間口徹、林泰文、かたせ梨乃、加藤虎ノ介、安田顕、八嶋智人　</v>
      </c>
      <c r="N4159" s="2" t="str">
        <f>IFERROR(__xludf.DUMMYFUNCTION("""COMPUTED_VALUE"""),"公園で女性の絞殺体が発見され、現場に急行する高子(永作博美)たち。仕事に燃えて現場にやってきた葵(香里奈)であったが、一方で「妊娠したかもしれない」という思いに悩まされていた……!事件の被疑者となったのは被害者の元恋人と、その妻である小谷一途・夕実夫妻。徐々に二人の犯行を裏付けるような情報が上がって来る中、高子だけは、まったく違うところに目をつけ、またムチャクチャな捜査を始めるのだった……!!")</f>
        <v>公園で女性の絞殺体が発見され、現場に急行する高子(永作博美)たち。仕事に燃えて現場にやってきた葵(香里奈)であったが、一方で「妊娠したかもしれない」という思いに悩まされていた……!事件の被疑者となったのは被害者の元恋人と、その妻である小谷一途・夕実夫妻。徐々に二人の犯行を裏付けるような情報が上がって来る中、高子だけは、まったく違うところに目をつけ、またムチャクチャな捜査を始めるのだった……!!</v>
      </c>
      <c r="O4159" s="2"/>
      <c r="P4159" s="1"/>
      <c r="Q4159" s="1"/>
      <c r="R4159" s="1"/>
      <c r="S4159" s="1"/>
      <c r="T4159" s="1"/>
      <c r="U4159" s="1"/>
      <c r="V4159" s="1"/>
      <c r="W4159" s="1"/>
      <c r="X4159" s="1"/>
      <c r="Y4159" s="1"/>
      <c r="Z4159" s="1"/>
      <c r="AA4159" s="1"/>
      <c r="AB4159" s="1"/>
      <c r="AC4159" s="1"/>
      <c r="AD4159" s="1"/>
      <c r="AE4159" s="1"/>
      <c r="AF4159" s="1"/>
      <c r="AG4159" s="1"/>
      <c r="AH4159" s="1"/>
      <c r="AI4159" s="1"/>
      <c r="AJ4159" s="1"/>
      <c r="AK4159" s="1"/>
      <c r="AL4159" s="1"/>
      <c r="AM4159" s="1"/>
      <c r="AN4159" s="1"/>
      <c r="AO4159" s="1"/>
      <c r="AP4159" s="1"/>
      <c r="AQ4159" s="1"/>
      <c r="AR4159" s="1"/>
      <c r="AS4159" s="1"/>
      <c r="AT4159" s="1"/>
      <c r="AU4159" s="1"/>
      <c r="AV4159" s="1"/>
      <c r="AW4159" s="1"/>
      <c r="AX4159" s="1"/>
      <c r="AY4159" s="1"/>
      <c r="AZ4159" s="1"/>
      <c r="BA4159" s="1"/>
      <c r="BB4159" s="1"/>
    </row>
    <row r="4160" ht="204.75" customHeight="1">
      <c r="A4160" s="1">
        <v>3989.0</v>
      </c>
      <c r="B4160" s="2" t="s">
        <v>12255</v>
      </c>
      <c r="C4160" s="2">
        <f>IFERROR(__xludf.DUMMYFUNCTION("split(B4160,""_"")"),1201.0)</f>
        <v>1201</v>
      </c>
      <c r="D4160" s="2" t="str">
        <f>IFERROR(__xludf.DUMMYFUNCTION("""COMPUTED_VALUE"""),"NTV")</f>
        <v>NTV</v>
      </c>
      <c r="E4160" s="2" t="str">
        <f>IFERROR(__xludf.DUMMYFUNCTION("""COMPUTED_VALUE"""),"水22")</f>
        <v>水22</v>
      </c>
      <c r="F4160" s="2" t="s">
        <v>12256</v>
      </c>
      <c r="G4160" s="2" t="s">
        <v>12265</v>
      </c>
      <c r="H4160" s="1">
        <v>5.0</v>
      </c>
      <c r="I4160" s="1" t="s">
        <v>2884</v>
      </c>
      <c r="J4160" s="1" t="s">
        <v>86</v>
      </c>
      <c r="K4160" s="2" t="s">
        <v>12266</v>
      </c>
      <c r="L4160" s="2"/>
      <c r="M4160" s="2" t="str">
        <f>IFERROR(__xludf.DUMMYFUNCTION("split(split(K4160,""【演出"",false),""ほか"",false)"),"永作博美、香里奈、上地雄輔、佐藤二朗、野間口徹、林泰文、かたせ梨乃、加藤虎ノ介、安田顕、八嶋智人　")</f>
        <v>永作博美、香里奈、上地雄輔、佐藤二朗、野間口徹、林泰文、かたせ梨乃、加藤虎ノ介、安田顕、八嶋智人　</v>
      </c>
      <c r="N4160" s="2" t="str">
        <f>IFERROR(__xludf.DUMMYFUNCTION("""COMPUTED_VALUE"""),"強盗未遂犯による立てこもり事件発生!!午後から橋蔵の認知調停を控えている高子(永作博美)は、「3時間で解決する」と深沢(八嶋智人)に言い放ち、葵(香里奈)が人質となっているレディースクリニックへと向かった!  「要求は無い」と言う不可解な立てこもり犯に、おなじみの強引な手法で高子が挑む!")</f>
        <v>強盗未遂犯による立てこもり事件発生!!午後から橋蔵の認知調停を控えている高子(永作博美)は、「3時間で解決する」と深沢(八嶋智人)に言い放ち、葵(香里奈)が人質となっているレディースクリニックへと向かった!  「要求は無い」と言う不可解な立てこもり犯に、おなじみの強引な手法で高子が挑む!</v>
      </c>
      <c r="O4160" s="2"/>
      <c r="P4160" s="1"/>
      <c r="Q4160" s="1"/>
      <c r="R4160" s="1"/>
      <c r="S4160" s="1"/>
      <c r="T4160" s="1"/>
      <c r="U4160" s="1"/>
      <c r="V4160" s="1"/>
      <c r="W4160" s="1"/>
      <c r="X4160" s="1"/>
      <c r="Y4160" s="1"/>
      <c r="Z4160" s="1"/>
      <c r="AA4160" s="1"/>
      <c r="AB4160" s="1"/>
      <c r="AC4160" s="1"/>
      <c r="AD4160" s="1"/>
      <c r="AE4160" s="1"/>
      <c r="AF4160" s="1"/>
      <c r="AG4160" s="1"/>
      <c r="AH4160" s="1"/>
      <c r="AI4160" s="1"/>
      <c r="AJ4160" s="1"/>
      <c r="AK4160" s="1"/>
      <c r="AL4160" s="1"/>
      <c r="AM4160" s="1"/>
      <c r="AN4160" s="1"/>
      <c r="AO4160" s="1"/>
      <c r="AP4160" s="1"/>
      <c r="AQ4160" s="1"/>
      <c r="AR4160" s="1"/>
      <c r="AS4160" s="1"/>
      <c r="AT4160" s="1"/>
      <c r="AU4160" s="1"/>
      <c r="AV4160" s="1"/>
      <c r="AW4160" s="1"/>
      <c r="AX4160" s="1"/>
      <c r="AY4160" s="1"/>
      <c r="AZ4160" s="1"/>
      <c r="BA4160" s="1"/>
      <c r="BB4160" s="1"/>
    </row>
    <row r="4161" ht="204.75" customHeight="1">
      <c r="A4161" s="1">
        <v>3990.0</v>
      </c>
      <c r="B4161" s="2" t="s">
        <v>12255</v>
      </c>
      <c r="C4161" s="2">
        <f>IFERROR(__xludf.DUMMYFUNCTION("split(B4161,""_"")"),1201.0)</f>
        <v>1201</v>
      </c>
      <c r="D4161" s="2" t="str">
        <f>IFERROR(__xludf.DUMMYFUNCTION("""COMPUTED_VALUE"""),"NTV")</f>
        <v>NTV</v>
      </c>
      <c r="E4161" s="2" t="str">
        <f>IFERROR(__xludf.DUMMYFUNCTION("""COMPUTED_VALUE"""),"水22")</f>
        <v>水22</v>
      </c>
      <c r="F4161" s="2" t="s">
        <v>12256</v>
      </c>
      <c r="G4161" s="2" t="s">
        <v>12267</v>
      </c>
      <c r="H4161" s="1">
        <v>6.0</v>
      </c>
      <c r="I4161" s="1" t="s">
        <v>2888</v>
      </c>
      <c r="J4161" s="1" t="s">
        <v>86</v>
      </c>
      <c r="K4161" s="2" t="s">
        <v>12268</v>
      </c>
      <c r="L4161" s="2"/>
      <c r="M4161" s="2" t="str">
        <f>IFERROR(__xludf.DUMMYFUNCTION("split(split(K4161,""【演出"",false),""ほか"",false)"),"永作博美、香里奈、上地雄輔、板谷由夏、佐藤二朗、野間口徹、林泰文、加藤虎ノ介、安田顕、八嶋智人　")</f>
        <v>永作博美、香里奈、上地雄輔、板谷由夏、佐藤二朗、野間口徹、林泰文、加藤虎ノ介、安田顕、八嶋智人　</v>
      </c>
      <c r="N4161" s="2" t="str">
        <f>IFERROR(__xludf.DUMMYFUNCTION("""COMPUTED_VALUE"""),"高子(永作博美)のベビーシッター就任期間最長記録を更新中の葵(香里奈)だが、なかなか高子からは認めてもらえない。  そんな中、出張コスプレ耳かき店『ハリウッド』の女性が殺害される事件が発生し、なんと高子と葵は『ハリウッド』に潜入捜査をすることに!!  耳かきガールになりきって奮闘する葵だが、事件が新たな展開を見せ・・・!?")</f>
        <v>高子(永作博美)のベビーシッター就任期間最長記録を更新中の葵(香里奈)だが、なかなか高子からは認めてもらえない。  そんな中、出張コスプレ耳かき店『ハリウッド』の女性が殺害される事件が発生し、なんと高子と葵は『ハリウッド』に潜入捜査をすることに!!  耳かきガールになりきって奮闘する葵だが、事件が新たな展開を見せ・・・!?</v>
      </c>
      <c r="O4161" s="2"/>
      <c r="P4161" s="1"/>
      <c r="Q4161" s="1"/>
      <c r="R4161" s="1"/>
      <c r="S4161" s="1"/>
      <c r="T4161" s="1"/>
      <c r="U4161" s="1"/>
      <c r="V4161" s="1"/>
      <c r="W4161" s="1"/>
      <c r="X4161" s="1"/>
      <c r="Y4161" s="1"/>
      <c r="Z4161" s="1"/>
      <c r="AA4161" s="1"/>
      <c r="AB4161" s="1"/>
      <c r="AC4161" s="1"/>
      <c r="AD4161" s="1"/>
      <c r="AE4161" s="1"/>
      <c r="AF4161" s="1"/>
      <c r="AG4161" s="1"/>
      <c r="AH4161" s="1"/>
      <c r="AI4161" s="1"/>
      <c r="AJ4161" s="1"/>
      <c r="AK4161" s="1"/>
      <c r="AL4161" s="1"/>
      <c r="AM4161" s="1"/>
      <c r="AN4161" s="1"/>
      <c r="AO4161" s="1"/>
      <c r="AP4161" s="1"/>
      <c r="AQ4161" s="1"/>
      <c r="AR4161" s="1"/>
      <c r="AS4161" s="1"/>
      <c r="AT4161" s="1"/>
      <c r="AU4161" s="1"/>
      <c r="AV4161" s="1"/>
      <c r="AW4161" s="1"/>
      <c r="AX4161" s="1"/>
      <c r="AY4161" s="1"/>
      <c r="AZ4161" s="1"/>
      <c r="BA4161" s="1"/>
      <c r="BB4161" s="1"/>
    </row>
    <row r="4162" ht="204.75" customHeight="1">
      <c r="A4162" s="1">
        <v>3991.0</v>
      </c>
      <c r="B4162" s="2" t="s">
        <v>12255</v>
      </c>
      <c r="C4162" s="2">
        <f>IFERROR(__xludf.DUMMYFUNCTION("split(B4162,""_"")"),1201.0)</f>
        <v>1201</v>
      </c>
      <c r="D4162" s="2" t="str">
        <f>IFERROR(__xludf.DUMMYFUNCTION("""COMPUTED_VALUE"""),"NTV")</f>
        <v>NTV</v>
      </c>
      <c r="E4162" s="2" t="str">
        <f>IFERROR(__xludf.DUMMYFUNCTION("""COMPUTED_VALUE"""),"水22")</f>
        <v>水22</v>
      </c>
      <c r="F4162" s="2" t="s">
        <v>12256</v>
      </c>
      <c r="G4162" s="2" t="s">
        <v>12269</v>
      </c>
      <c r="H4162" s="1">
        <v>7.0</v>
      </c>
      <c r="I4162" s="1" t="s">
        <v>2892</v>
      </c>
      <c r="J4162" s="1" t="s">
        <v>86</v>
      </c>
      <c r="K4162" s="2" t="s">
        <v>12270</v>
      </c>
      <c r="L4162" s="2"/>
      <c r="M4162" s="2" t="str">
        <f>IFERROR(__xludf.DUMMYFUNCTION("split(split(K4162,""【演出"",false),""ほか"",false)"),"永作博美、香里奈、上地雄輔、板谷由夏、佐藤二朗、野間口徹、林泰文、かたせ梨乃、加藤虎ノ介、安田顕、八嶋智人　")</f>
        <v>永作博美、香里奈、上地雄輔、板谷由夏、佐藤二朗、野間口徹、林泰文、かたせ梨乃、加藤虎ノ介、安田顕、八嶋智人　</v>
      </c>
      <c r="N4162" s="2" t="str">
        <f>IFERROR(__xludf.DUMMYFUNCTION("""COMPUTED_VALUE"""),"病院に救急搬送された葵(香里奈)の元に駆け付ける高子(永作博美)と卓也(上地雄輔)だが、葵は依然として意識不明。  深夜の捜査会議では、『ハリウッド』連続殺人事件にもう一人の犯人がいることが発覚する。人を掻きわけ、ゴミを掻きわけ、走り回る高子の捜査によって、全ての事件の裏に隠された、悲しい真相が明らかになる……!!")</f>
        <v>病院に救急搬送された葵(香里奈)の元に駆け付ける高子(永作博美)と卓也(上地雄輔)だが、葵は依然として意識不明。  深夜の捜査会議では、『ハリウッド』連続殺人事件にもう一人の犯人がいることが発覚する。人を掻きわけ、ゴミを掻きわけ、走り回る高子の捜査によって、全ての事件の裏に隠された、悲しい真相が明らかになる……!!</v>
      </c>
      <c r="O4162" s="2"/>
      <c r="P4162" s="1"/>
      <c r="Q4162" s="1"/>
      <c r="R4162" s="1"/>
      <c r="S4162" s="1"/>
      <c r="T4162" s="1"/>
      <c r="U4162" s="1"/>
      <c r="V4162" s="1"/>
      <c r="W4162" s="1"/>
      <c r="X4162" s="1"/>
      <c r="Y4162" s="1"/>
      <c r="Z4162" s="1"/>
      <c r="AA4162" s="1"/>
      <c r="AB4162" s="1"/>
      <c r="AC4162" s="1"/>
      <c r="AD4162" s="1"/>
      <c r="AE4162" s="1"/>
      <c r="AF4162" s="1"/>
      <c r="AG4162" s="1"/>
      <c r="AH4162" s="1"/>
      <c r="AI4162" s="1"/>
      <c r="AJ4162" s="1"/>
      <c r="AK4162" s="1"/>
      <c r="AL4162" s="1"/>
      <c r="AM4162" s="1"/>
      <c r="AN4162" s="1"/>
      <c r="AO4162" s="1"/>
      <c r="AP4162" s="1"/>
      <c r="AQ4162" s="1"/>
      <c r="AR4162" s="1"/>
      <c r="AS4162" s="1"/>
      <c r="AT4162" s="1"/>
      <c r="AU4162" s="1"/>
      <c r="AV4162" s="1"/>
      <c r="AW4162" s="1"/>
      <c r="AX4162" s="1"/>
      <c r="AY4162" s="1"/>
      <c r="AZ4162" s="1"/>
      <c r="BA4162" s="1"/>
      <c r="BB4162" s="1"/>
    </row>
    <row r="4163" ht="204.75" customHeight="1">
      <c r="A4163" s="1">
        <v>3992.0</v>
      </c>
      <c r="B4163" s="2" t="s">
        <v>12255</v>
      </c>
      <c r="C4163" s="2">
        <f>IFERROR(__xludf.DUMMYFUNCTION("split(B4163,""_"")"),1201.0)</f>
        <v>1201</v>
      </c>
      <c r="D4163" s="2" t="str">
        <f>IFERROR(__xludf.DUMMYFUNCTION("""COMPUTED_VALUE"""),"NTV")</f>
        <v>NTV</v>
      </c>
      <c r="E4163" s="2" t="str">
        <f>IFERROR(__xludf.DUMMYFUNCTION("""COMPUTED_VALUE"""),"水22")</f>
        <v>水22</v>
      </c>
      <c r="F4163" s="2" t="s">
        <v>12256</v>
      </c>
      <c r="G4163" s="2" t="s">
        <v>12271</v>
      </c>
      <c r="H4163" s="1">
        <v>8.0</v>
      </c>
      <c r="I4163" s="1" t="s">
        <v>2896</v>
      </c>
      <c r="J4163" s="1" t="s">
        <v>86</v>
      </c>
      <c r="K4163" s="2" t="s">
        <v>12272</v>
      </c>
      <c r="L4163" s="2"/>
      <c r="M4163" s="2" t="str">
        <f>IFERROR(__xludf.DUMMYFUNCTION("split(split(K4163,""【演出"",false),""ほか"",false)"),"永作博美、香里奈、上地雄輔、板谷由夏、佐藤二朗、野間口徹、林泰文、かたせ梨乃、加藤虎ノ介、安田顕、八嶋智人　")</f>
        <v>永作博美、香里奈、上地雄輔、板谷由夏、佐藤二朗、野間口徹、林泰文、かたせ梨乃、加藤虎ノ介、安田顕、八嶋智人　</v>
      </c>
      <c r="N4163" s="2" t="str">
        <f>IFERROR(__xludf.DUMMYFUNCTION("""COMPUTED_VALUE"""),"高子(永作博美)と葵(香里奈)の所属する麻布南署をはじめ、警視庁管轄の警察署では、合成麻薬の流通と、それに関連した未成年による事件の取り締まりが強化されていた。そんな中、深沢(八嶋智人)のひとり息子・太郎(須賀健太)が補導されたと、隣の署から連絡が入る・・・!!未成年をも闇に突き落とす麻薬密売組織と、未成年をも利用する高子の戦いが、今始まる。")</f>
        <v>高子(永作博美)と葵(香里奈)の所属する麻布南署をはじめ、警視庁管轄の警察署では、合成麻薬の流通と、それに関連した未成年による事件の取り締まりが強化されていた。そんな中、深沢(八嶋智人)のひとり息子・太郎(須賀健太)が補導されたと、隣の署から連絡が入る・・・!!未成年をも闇に突き落とす麻薬密売組織と、未成年をも利用する高子の戦いが、今始まる。</v>
      </c>
      <c r="O4163" s="2"/>
      <c r="P4163" s="1"/>
      <c r="Q4163" s="1"/>
      <c r="R4163" s="1"/>
      <c r="S4163" s="1"/>
      <c r="T4163" s="1"/>
      <c r="U4163" s="1"/>
      <c r="V4163" s="1"/>
      <c r="W4163" s="1"/>
      <c r="X4163" s="1"/>
      <c r="Y4163" s="1"/>
      <c r="Z4163" s="1"/>
      <c r="AA4163" s="1"/>
      <c r="AB4163" s="1"/>
      <c r="AC4163" s="1"/>
      <c r="AD4163" s="1"/>
      <c r="AE4163" s="1"/>
      <c r="AF4163" s="1"/>
      <c r="AG4163" s="1"/>
      <c r="AH4163" s="1"/>
      <c r="AI4163" s="1"/>
      <c r="AJ4163" s="1"/>
      <c r="AK4163" s="1"/>
      <c r="AL4163" s="1"/>
      <c r="AM4163" s="1"/>
      <c r="AN4163" s="1"/>
      <c r="AO4163" s="1"/>
      <c r="AP4163" s="1"/>
      <c r="AQ4163" s="1"/>
      <c r="AR4163" s="1"/>
      <c r="AS4163" s="1"/>
      <c r="AT4163" s="1"/>
      <c r="AU4163" s="1"/>
      <c r="AV4163" s="1"/>
      <c r="AW4163" s="1"/>
      <c r="AX4163" s="1"/>
      <c r="AY4163" s="1"/>
      <c r="AZ4163" s="1"/>
      <c r="BA4163" s="1"/>
      <c r="BB4163" s="1"/>
    </row>
    <row r="4164" ht="204.75" customHeight="1">
      <c r="A4164" s="1">
        <v>3993.0</v>
      </c>
      <c r="B4164" s="2" t="s">
        <v>12255</v>
      </c>
      <c r="C4164" s="2">
        <f>IFERROR(__xludf.DUMMYFUNCTION("split(B4164,""_"")"),1201.0)</f>
        <v>1201</v>
      </c>
      <c r="D4164" s="2" t="str">
        <f>IFERROR(__xludf.DUMMYFUNCTION("""COMPUTED_VALUE"""),"NTV")</f>
        <v>NTV</v>
      </c>
      <c r="E4164" s="2" t="str">
        <f>IFERROR(__xludf.DUMMYFUNCTION("""COMPUTED_VALUE"""),"水22")</f>
        <v>水22</v>
      </c>
      <c r="F4164" s="2" t="s">
        <v>12256</v>
      </c>
      <c r="G4164" s="2" t="s">
        <v>12273</v>
      </c>
      <c r="H4164" s="1">
        <v>9.0</v>
      </c>
      <c r="I4164" s="1" t="s">
        <v>2900</v>
      </c>
      <c r="J4164" s="1" t="s">
        <v>86</v>
      </c>
      <c r="K4164" s="2" t="s">
        <v>12274</v>
      </c>
      <c r="L4164" s="2"/>
      <c r="M4164" s="2" t="str">
        <f>IFERROR(__xludf.DUMMYFUNCTION("split(split(K4164,""【演出"",false),""ほか"",false)"),"永作博美、香里奈、上地雄輔、板谷由夏、佐藤二朗、野間口徹、林泰文、かたせ梨乃、加藤虎ノ介、安田顕、八嶋智人　")</f>
        <v>永作博美、香里奈、上地雄輔、板谷由夏、佐藤二朗、野間口徹、林泰文、かたせ梨乃、加藤虎ノ介、安田顕、八嶋智人　</v>
      </c>
      <c r="N4164" s="2" t="str">
        <f>IFERROR(__xludf.DUMMYFUNCTION("""COMPUTED_VALUE"""),"高子(永作博美)の違法捜査が週刊誌にスクープされた!次に記事が出たら免職だと告げられる高子に対し、葵(香里奈)や深沢(八嶋智人)たち刑事課の一同は「プランB」を発動して高子を縛り上げる。一方、記事を書いた玲子(板谷由夏)は高子の過去の違法捜査を追い、事件に巻き込まれていた・・・!!  プロの刑事VSプロの記者!女の戦いが、今、始まる!!")</f>
        <v>高子(永作博美)の違法捜査が週刊誌にスクープされた!次に記事が出たら免職だと告げられる高子に対し、葵(香里奈)や深沢(八嶋智人)たち刑事課の一同は「プランB」を発動して高子を縛り上げる。一方、記事を書いた玲子(板谷由夏)は高子の過去の違法捜査を追い、事件に巻き込まれていた・・・!!  プロの刑事VSプロの記者!女の戦いが、今、始まる!!</v>
      </c>
      <c r="O4164" s="2"/>
      <c r="P4164" s="1"/>
      <c r="Q4164" s="1"/>
      <c r="R4164" s="1"/>
      <c r="S4164" s="1"/>
      <c r="T4164" s="1"/>
      <c r="U4164" s="1"/>
      <c r="V4164" s="1"/>
      <c r="W4164" s="1"/>
      <c r="X4164" s="1"/>
      <c r="Y4164" s="1"/>
      <c r="Z4164" s="1"/>
      <c r="AA4164" s="1"/>
      <c r="AB4164" s="1"/>
      <c r="AC4164" s="1"/>
      <c r="AD4164" s="1"/>
      <c r="AE4164" s="1"/>
      <c r="AF4164" s="1"/>
      <c r="AG4164" s="1"/>
      <c r="AH4164" s="1"/>
      <c r="AI4164" s="1"/>
      <c r="AJ4164" s="1"/>
      <c r="AK4164" s="1"/>
      <c r="AL4164" s="1"/>
      <c r="AM4164" s="1"/>
      <c r="AN4164" s="1"/>
      <c r="AO4164" s="1"/>
      <c r="AP4164" s="1"/>
      <c r="AQ4164" s="1"/>
      <c r="AR4164" s="1"/>
      <c r="AS4164" s="1"/>
      <c r="AT4164" s="1"/>
      <c r="AU4164" s="1"/>
      <c r="AV4164" s="1"/>
      <c r="AW4164" s="1"/>
      <c r="AX4164" s="1"/>
      <c r="AY4164" s="1"/>
      <c r="AZ4164" s="1"/>
      <c r="BA4164" s="1"/>
      <c r="BB4164" s="1"/>
    </row>
    <row r="4165" ht="204.75" customHeight="1">
      <c r="A4165" s="1">
        <v>3994.0</v>
      </c>
      <c r="B4165" s="2" t="s">
        <v>12255</v>
      </c>
      <c r="C4165" s="2">
        <f>IFERROR(__xludf.DUMMYFUNCTION("split(B4165,""_"")"),1201.0)</f>
        <v>1201</v>
      </c>
      <c r="D4165" s="2" t="str">
        <f>IFERROR(__xludf.DUMMYFUNCTION("""COMPUTED_VALUE"""),"NTV")</f>
        <v>NTV</v>
      </c>
      <c r="E4165" s="2" t="str">
        <f>IFERROR(__xludf.DUMMYFUNCTION("""COMPUTED_VALUE"""),"水22")</f>
        <v>水22</v>
      </c>
      <c r="F4165" s="2" t="s">
        <v>12256</v>
      </c>
      <c r="G4165" s="2" t="s">
        <v>12275</v>
      </c>
      <c r="H4165" s="1">
        <v>10.0</v>
      </c>
      <c r="I4165" s="1" t="s">
        <v>37</v>
      </c>
      <c r="J4165" s="1" t="s">
        <v>86</v>
      </c>
      <c r="K4165" s="2" t="s">
        <v>12276</v>
      </c>
      <c r="L4165" s="2"/>
      <c r="M4165" s="2" t="str">
        <f>IFERROR(__xludf.DUMMYFUNCTION("split(split(K4165,""【演出"",false),""ほか"",false)"),"永作博美、香里奈、上地雄輔、佐藤二朗、野間口徹、林泰文、かたせ梨乃、加藤虎ノ介、安田顕、八嶋智人　")</f>
        <v>永作博美、香里奈、上地雄輔、佐藤二朗、野間口徹、林泰文、かたせ梨乃、加藤虎ノ介、安田顕、八嶋智人　</v>
      </c>
      <c r="N4165" s="2" t="str">
        <f>IFERROR(__xludf.DUMMYFUNCTION("""COMPUTED_VALUE"""),"橋蔵が誘拐された!!!　裁判所の仮処分決定によって引き離された橋蔵の奪還を企てる高子(永作博美)の元に、「橋蔵が連れ去られた」と靖子(かたせ梨乃)が殴りこんでくる。高子が誘拐したに違いないと言い張る靖子に激怒する葵(香里奈)だが、依然として真犯人は不明。いったい橋蔵はどこへ行ったのか・・・?全ての真相が明らかになったとき、高子は、刑事として、母として、究極の選択を迫られることになる・・・!!")</f>
        <v>橋蔵が誘拐された!!!　裁判所の仮処分決定によって引き離された橋蔵の奪還を企てる高子(永作博美)の元に、「橋蔵が連れ去られた」と靖子(かたせ梨乃)が殴りこんでくる。高子が誘拐したに違いないと言い張る靖子に激怒する葵(香里奈)だが、依然として真犯人は不明。いったい橋蔵はどこへ行ったのか・・・?全ての真相が明らかになったとき、高子は、刑事として、母として、究極の選択を迫られることになる・・・!!</v>
      </c>
      <c r="O4165" s="2"/>
      <c r="P4165" s="1"/>
      <c r="Q4165" s="1"/>
      <c r="R4165" s="1"/>
      <c r="S4165" s="1"/>
      <c r="T4165" s="1"/>
      <c r="U4165" s="1"/>
      <c r="V4165" s="1"/>
      <c r="W4165" s="1"/>
      <c r="X4165" s="1"/>
      <c r="Y4165" s="1"/>
      <c r="Z4165" s="1"/>
      <c r="AA4165" s="1"/>
      <c r="AB4165" s="1"/>
      <c r="AC4165" s="1"/>
      <c r="AD4165" s="1"/>
      <c r="AE4165" s="1"/>
      <c r="AF4165" s="1"/>
      <c r="AG4165" s="1"/>
      <c r="AH4165" s="1"/>
      <c r="AI4165" s="1"/>
      <c r="AJ4165" s="1"/>
      <c r="AK4165" s="1"/>
      <c r="AL4165" s="1"/>
      <c r="AM4165" s="1"/>
      <c r="AN4165" s="1"/>
      <c r="AO4165" s="1"/>
      <c r="AP4165" s="1"/>
      <c r="AQ4165" s="1"/>
      <c r="AR4165" s="1"/>
      <c r="AS4165" s="1"/>
      <c r="AT4165" s="1"/>
      <c r="AU4165" s="1"/>
      <c r="AV4165" s="1"/>
      <c r="AW4165" s="1"/>
      <c r="AX4165" s="1"/>
      <c r="AY4165" s="1"/>
      <c r="AZ4165" s="1"/>
      <c r="BA4165" s="1"/>
      <c r="BB4165" s="1"/>
    </row>
    <row r="4166" ht="204.75" customHeight="1">
      <c r="A4166" s="1">
        <v>4043.0</v>
      </c>
      <c r="B4166" s="2" t="s">
        <v>12277</v>
      </c>
      <c r="C4166" s="2">
        <f>IFERROR(__xludf.DUMMYFUNCTION("split(B4166,""_"")"),1201.0)</f>
        <v>1201</v>
      </c>
      <c r="D4166" s="2" t="str">
        <f>IFERROR(__xludf.DUMMYFUNCTION("""COMPUTED_VALUE"""),"NTV")</f>
        <v>NTV</v>
      </c>
      <c r="E4166" s="2" t="str">
        <f>IFERROR(__xludf.DUMMYFUNCTION("""COMPUTED_VALUE"""),"土21")</f>
        <v>土21</v>
      </c>
      <c r="F4166" s="2" t="s">
        <v>12278</v>
      </c>
      <c r="G4166" s="2" t="s">
        <v>12279</v>
      </c>
      <c r="H4166" s="1">
        <v>1.0</v>
      </c>
      <c r="I4166" s="1" t="s">
        <v>2868</v>
      </c>
      <c r="J4166" s="1" t="s">
        <v>4</v>
      </c>
      <c r="K4166" s="2" t="s">
        <v>12280</v>
      </c>
      <c r="L4166" s="2"/>
      <c r="M4166" s="2" t="str">
        <f>IFERROR(__xludf.DUMMYFUNCTION("split(split(K4166,""【演出"",false),""ほか"",false)"),"山田涼介、沢村一樹、藤ヶ谷太輔、中島裕翔、武田航平、梅沢昌代、宮地雅子、萩原利映、松金よね子、伊藤正之、久保酎吉、弘中麻紀、村上剛基、吉田祐健、穴原辰宣、竹内晶子、高橋陽子、折山みゆ、後藤郁、竹内太郎、ケンドーコバヤシ、須藤理彩、金子ノブアキ、鈴木杏樹、鈴木京香安アパートで仲睦まじく暮らす母子、鈴木大地と鈴木海。息子の大地は世界で一番母ちゃんが好きというNEOマザコン高校生で、母・海はその息子を思うままに操り、自分に家を買わせることを目標に必死に理想の息子を育ててきた。そんなある日、工業高校(極悪)の学食"&amp;"で働くこととなった海。大地は「母ちゃんは俺が守る!」と勝手に転校。そこで一人怯える小林浩司(中島裕翔)や高校のカリスマ三船憲吾(藤ヶ谷太輔)と出会う…佐久間紀佳、中島悟、森雅弘野島伸司【音楽】横山克  【主題歌】「SUPER　DELICATE」Hey!Say!JUMP(ジェイ・ストーム)")</f>
        <v>山田涼介、沢村一樹、藤ヶ谷太輔、中島裕翔、武田航平、梅沢昌代、宮地雅子、萩原利映、松金よね子、伊藤正之、久保酎吉、弘中麻紀、村上剛基、吉田祐健、穴原辰宣、竹内晶子、高橋陽子、折山みゆ、後藤郁、竹内太郎、ケンドーコバヤシ、須藤理彩、金子ノブアキ、鈴木杏樹、鈴木京香安アパートで仲睦まじく暮らす母子、鈴木大地と鈴木海。息子の大地は世界で一番母ちゃんが好きというNEOマザコン高校生で、母・海はその息子を思うままに操り、自分に家を買わせることを目標に必死に理想の息子を育ててきた。そんなある日、工業高校(極悪)の学食で働くこととなった海。大地は「母ちゃんは俺が守る!」と勝手に転校。そこで一人怯える小林浩司(中島裕翔)や高校のカリスマ三船憲吾(藤ヶ谷太輔)と出会う…佐久間紀佳、中島悟、森雅弘野島伸司【音楽】横山克  【主題歌】「SUPER　DELICATE」Hey!Say!JUMP(ジェイ・ストーム)</v>
      </c>
      <c r="N4166" s="2"/>
      <c r="O4166" s="2"/>
      <c r="P4166" s="1"/>
      <c r="Q4166" s="1"/>
      <c r="R4166" s="1"/>
      <c r="S4166" s="1"/>
      <c r="T4166" s="1"/>
      <c r="U4166" s="1"/>
      <c r="V4166" s="1"/>
      <c r="W4166" s="1"/>
      <c r="X4166" s="1"/>
      <c r="Y4166" s="1"/>
      <c r="Z4166" s="1"/>
      <c r="AA4166" s="1"/>
      <c r="AB4166" s="1"/>
      <c r="AC4166" s="1"/>
      <c r="AD4166" s="1"/>
      <c r="AE4166" s="1"/>
      <c r="AF4166" s="1"/>
      <c r="AG4166" s="1"/>
      <c r="AH4166" s="1"/>
      <c r="AI4166" s="1"/>
      <c r="AJ4166" s="1"/>
      <c r="AK4166" s="1"/>
      <c r="AL4166" s="1"/>
      <c r="AM4166" s="1"/>
      <c r="AN4166" s="1"/>
      <c r="AO4166" s="1"/>
      <c r="AP4166" s="1"/>
      <c r="AQ4166" s="1"/>
      <c r="AR4166" s="1"/>
      <c r="AS4166" s="1"/>
      <c r="AT4166" s="1"/>
      <c r="AU4166" s="1"/>
      <c r="AV4166" s="1"/>
      <c r="AW4166" s="1"/>
      <c r="AX4166" s="1"/>
      <c r="AY4166" s="1"/>
      <c r="AZ4166" s="1"/>
      <c r="BA4166" s="1"/>
      <c r="BB4166" s="1"/>
    </row>
    <row r="4167" ht="204.75" customHeight="1">
      <c r="A4167" s="1">
        <v>4044.0</v>
      </c>
      <c r="B4167" s="2" t="s">
        <v>12277</v>
      </c>
      <c r="C4167" s="2">
        <f>IFERROR(__xludf.DUMMYFUNCTION("split(B4167,""_"")"),1201.0)</f>
        <v>1201</v>
      </c>
      <c r="D4167" s="2" t="str">
        <f>IFERROR(__xludf.DUMMYFUNCTION("""COMPUTED_VALUE"""),"NTV")</f>
        <v>NTV</v>
      </c>
      <c r="E4167" s="2" t="str">
        <f>IFERROR(__xludf.DUMMYFUNCTION("""COMPUTED_VALUE"""),"土21")</f>
        <v>土21</v>
      </c>
      <c r="F4167" s="2" t="s">
        <v>12278</v>
      </c>
      <c r="G4167" s="2" t="s">
        <v>12281</v>
      </c>
      <c r="H4167" s="1">
        <v>2.0</v>
      </c>
      <c r="I4167" s="1" t="s">
        <v>2872</v>
      </c>
      <c r="J4167" s="1" t="s">
        <v>11</v>
      </c>
      <c r="K4167" s="2" t="s">
        <v>12282</v>
      </c>
      <c r="L4167" s="2"/>
      <c r="M4167" s="2" t="str">
        <f>IFERROR(__xludf.DUMMYFUNCTION("split(split(K4167,""【演出"",false),""ほか"",false)"),"山田涼介、沢村一樹、藤ヶ谷太輔、中島裕翔、入江甚儀、武田航平、脇知弘、梅沢昌代、宮地雅子、萩原利映、渡辺大貴、央川奈知、飯田のえる、樽見貞幸、辺土名龍介、岸田タツヤ、ケンドーコバヤシ、須藤理彩、金子ノブアキ、鈴木杏樹、鈴木京香　")</f>
        <v>山田涼介、沢村一樹、藤ヶ谷太輔、中島裕翔、入江甚儀、武田航平、脇知弘、梅沢昌代、宮地雅子、萩原利映、渡辺大貴、央川奈知、飯田のえる、樽見貞幸、辺土名龍介、岸田タツヤ、ケンドーコバヤシ、須藤理彩、金子ノブアキ、鈴木杏樹、鈴木京香　</v>
      </c>
      <c r="N4167" s="2" t="str">
        <f>IFERROR(__xludf.DUMMYFUNCTION("""COMPUTED_VALUE"""),"　悪名名高い海王工業への転校間もなく、悪の巣窟と呼ばれるボクシング部にマザコンコアラパンチを放った大地(山田涼介)。その後学校へ行くと、なぜか大地は「つきあってくれ」と校内の男子たちに次々と迫られ始める。学食で働く海(鈴木京香)はそんな大地を目撃して、まさか自分の息子がゲイなのでは!?と思いこみ、一人苦悩する。佐久間紀佳野島伸司【音楽】横山克  【主題歌】「SUPER　DELICATE」Hey!Say!JUMP(ジェイ・ストーム)")</f>
        <v>　悪名名高い海王工業への転校間もなく、悪の巣窟と呼ばれるボクシング部にマザコンコアラパンチを放った大地(山田涼介)。その後学校へ行くと、なぜか大地は「つきあってくれ」と校内の男子たちに次々と迫られ始める。学食で働く海(鈴木京香)はそんな大地を目撃して、まさか自分の息子がゲイなのでは!?と思いこみ、一人苦悩する。佐久間紀佳野島伸司【音楽】横山克  【主題歌】「SUPER　DELICATE」Hey!Say!JUMP(ジェイ・ストーム)</v>
      </c>
      <c r="O4167" s="2"/>
      <c r="P4167" s="1"/>
      <c r="Q4167" s="1"/>
      <c r="R4167" s="1"/>
      <c r="S4167" s="1"/>
      <c r="T4167" s="1"/>
      <c r="U4167" s="1"/>
      <c r="V4167" s="1"/>
      <c r="W4167" s="1"/>
      <c r="X4167" s="1"/>
      <c r="Y4167" s="1"/>
      <c r="Z4167" s="1"/>
      <c r="AA4167" s="1"/>
      <c r="AB4167" s="1"/>
      <c r="AC4167" s="1"/>
      <c r="AD4167" s="1"/>
      <c r="AE4167" s="1"/>
      <c r="AF4167" s="1"/>
      <c r="AG4167" s="1"/>
      <c r="AH4167" s="1"/>
      <c r="AI4167" s="1"/>
      <c r="AJ4167" s="1"/>
      <c r="AK4167" s="1"/>
      <c r="AL4167" s="1"/>
      <c r="AM4167" s="1"/>
      <c r="AN4167" s="1"/>
      <c r="AO4167" s="1"/>
      <c r="AP4167" s="1"/>
      <c r="AQ4167" s="1"/>
      <c r="AR4167" s="1"/>
      <c r="AS4167" s="1"/>
      <c r="AT4167" s="1"/>
      <c r="AU4167" s="1"/>
      <c r="AV4167" s="1"/>
      <c r="AW4167" s="1"/>
      <c r="AX4167" s="1"/>
      <c r="AY4167" s="1"/>
      <c r="AZ4167" s="1"/>
      <c r="BA4167" s="1"/>
      <c r="BB4167" s="1"/>
    </row>
    <row r="4168" ht="204.75" customHeight="1">
      <c r="A4168" s="1">
        <v>4045.0</v>
      </c>
      <c r="B4168" s="2" t="s">
        <v>12277</v>
      </c>
      <c r="C4168" s="2">
        <f>IFERROR(__xludf.DUMMYFUNCTION("split(B4168,""_"")"),1201.0)</f>
        <v>1201</v>
      </c>
      <c r="D4168" s="2" t="str">
        <f>IFERROR(__xludf.DUMMYFUNCTION("""COMPUTED_VALUE"""),"NTV")</f>
        <v>NTV</v>
      </c>
      <c r="E4168" s="2" t="str">
        <f>IFERROR(__xludf.DUMMYFUNCTION("""COMPUTED_VALUE"""),"土21")</f>
        <v>土21</v>
      </c>
      <c r="F4168" s="2" t="s">
        <v>12278</v>
      </c>
      <c r="G4168" s="2" t="s">
        <v>12283</v>
      </c>
      <c r="H4168" s="1">
        <v>3.0</v>
      </c>
      <c r="I4168" s="1" t="s">
        <v>2876</v>
      </c>
      <c r="J4168" s="1" t="s">
        <v>11</v>
      </c>
      <c r="K4168" s="2" t="s">
        <v>12284</v>
      </c>
      <c r="L4168" s="2"/>
      <c r="M4168" s="2" t="str">
        <f>IFERROR(__xludf.DUMMYFUNCTION("split(split(K4168,""【演出"",false),""ほか"",false)"),"山田涼介、沢村一樹、藤ヶ谷太輔、中島裕翔、入江甚儀、柄本時生、武田航平、脇知弘、三吉彩花、梅沢昌代、宮地雅子、萩原利映、ケンドーコバヤシ、須藤理彩、金子ノブアキ、鈴木杏樹、鈴木京香　")</f>
        <v>山田涼介、沢村一樹、藤ヶ谷太輔、中島裕翔、入江甚儀、柄本時生、武田航平、脇知弘、三吉彩花、梅沢昌代、宮地雅子、萩原利映、ケンドーコバヤシ、須藤理彩、金子ノブアキ、鈴木杏樹、鈴木京香　</v>
      </c>
      <c r="N4168" s="2" t="str">
        <f>IFERROR(__xludf.DUMMYFUNCTION("""COMPUTED_VALUE"""),"「私、息子に殺されるかもしれない…」。これまで全く自分に反抗せず、純粋無垢に反抗期らしい反抗期を迎えず育ってきた大地(山田涼介)が、ストレスを溜め込み、やがて激しい家庭内暴力に走るのではないか!と想像を膨らます海(鈴木京香)。家に帰るやいなや、隣人の実(沢村一樹)の手を借りて、家中のナイフやフォークなど、あらゆる危険物を隠し、息子の爆発に備え始める。そして、海のとった作戦とは……森雅弘野島伸司【音楽】横山克  【主題歌】「SUPER　DELICATE」Hey!Say!JUMP(ジェイ・ストーム)")</f>
        <v>「私、息子に殺されるかもしれない…」。これまで全く自分に反抗せず、純粋無垢に反抗期らしい反抗期を迎えず育ってきた大地(山田涼介)が、ストレスを溜め込み、やがて激しい家庭内暴力に走るのではないか!と想像を膨らます海(鈴木京香)。家に帰るやいなや、隣人の実(沢村一樹)の手を借りて、家中のナイフやフォークなど、あらゆる危険物を隠し、息子の爆発に備え始める。そして、海のとった作戦とは……森雅弘野島伸司【音楽】横山克  【主題歌】「SUPER　DELICATE」Hey!Say!JUMP(ジェイ・ストーム)</v>
      </c>
      <c r="O4168" s="2"/>
      <c r="P4168" s="1"/>
      <c r="Q4168" s="1"/>
      <c r="R4168" s="1"/>
      <c r="S4168" s="1"/>
      <c r="T4168" s="1"/>
      <c r="U4168" s="1"/>
      <c r="V4168" s="1"/>
      <c r="W4168" s="1"/>
      <c r="X4168" s="1"/>
      <c r="Y4168" s="1"/>
      <c r="Z4168" s="1"/>
      <c r="AA4168" s="1"/>
      <c r="AB4168" s="1"/>
      <c r="AC4168" s="1"/>
      <c r="AD4168" s="1"/>
      <c r="AE4168" s="1"/>
      <c r="AF4168" s="1"/>
      <c r="AG4168" s="1"/>
      <c r="AH4168" s="1"/>
      <c r="AI4168" s="1"/>
      <c r="AJ4168" s="1"/>
      <c r="AK4168" s="1"/>
      <c r="AL4168" s="1"/>
      <c r="AM4168" s="1"/>
      <c r="AN4168" s="1"/>
      <c r="AO4168" s="1"/>
      <c r="AP4168" s="1"/>
      <c r="AQ4168" s="1"/>
      <c r="AR4168" s="1"/>
      <c r="AS4168" s="1"/>
      <c r="AT4168" s="1"/>
      <c r="AU4168" s="1"/>
      <c r="AV4168" s="1"/>
      <c r="AW4168" s="1"/>
      <c r="AX4168" s="1"/>
      <c r="AY4168" s="1"/>
      <c r="AZ4168" s="1"/>
      <c r="BA4168" s="1"/>
      <c r="BB4168" s="1"/>
    </row>
    <row r="4169" ht="204.75" customHeight="1">
      <c r="A4169" s="1">
        <v>4046.0</v>
      </c>
      <c r="B4169" s="2" t="s">
        <v>12277</v>
      </c>
      <c r="C4169" s="2">
        <f>IFERROR(__xludf.DUMMYFUNCTION("split(B4169,""_"")"),1201.0)</f>
        <v>1201</v>
      </c>
      <c r="D4169" s="2" t="str">
        <f>IFERROR(__xludf.DUMMYFUNCTION("""COMPUTED_VALUE"""),"NTV")</f>
        <v>NTV</v>
      </c>
      <c r="E4169" s="2" t="str">
        <f>IFERROR(__xludf.DUMMYFUNCTION("""COMPUTED_VALUE"""),"土21")</f>
        <v>土21</v>
      </c>
      <c r="F4169" s="2" t="s">
        <v>12278</v>
      </c>
      <c r="G4169" s="2" t="s">
        <v>12285</v>
      </c>
      <c r="H4169" s="1">
        <v>4.0</v>
      </c>
      <c r="I4169" s="1" t="s">
        <v>2880</v>
      </c>
      <c r="J4169" s="1" t="s">
        <v>11</v>
      </c>
      <c r="K4169" s="2" t="s">
        <v>12286</v>
      </c>
      <c r="L4169" s="2"/>
      <c r="M4169" s="2" t="str">
        <f>IFERROR(__xludf.DUMMYFUNCTION("split(split(K4169,""【演出"",false),""ほか"",false)"),"山田涼介、沢村一樹、藤ヶ谷太輔、中島裕翔、入江甚儀、柄本時生、武田航平、脇知弘、三吉彩花、諸見里大介、梅沢昌代、宮地雅子、萩原利映、ケンドーコバヤシ、須藤理彩、金子ノブアキ、鈴木杏樹、鈴木京香　")</f>
        <v>山田涼介、沢村一樹、藤ヶ谷太輔、中島裕翔、入江甚儀、柄本時生、武田航平、脇知弘、三吉彩花、諸見里大介、梅沢昌代、宮地雅子、萩原利映、ケンドーコバヤシ、須藤理彩、金子ノブアキ、鈴木杏樹、鈴木京香　</v>
      </c>
      <c r="N4169" s="2" t="str">
        <f>IFERROR(__xludf.DUMMYFUNCTION("""COMPUTED_VALUE"""),"ある日海王工業高校に現れた、象のように大きな謎の男。ある理由で怒った謎の男は、浩司(中島裕翔)やその他海王工業の生徒たち相手に暴れまくり、学内は騒然!その男を止めるべく大地(山田涼介)が一人向かうと、その道中で海王工業最強の男・三船憲吾(藤ヶ谷太輔)と合流することに。共に歩き始める二人、まさかのタッグ結成か!?一方海はパート仲間との会話からあることに怯えることに…佐久間紀佳野島伸司【音楽】横山克  【主題歌】「SUPER　DELICATE」Hey!Say!JUMP(ジェイ・ストーム)")</f>
        <v>ある日海王工業高校に現れた、象のように大きな謎の男。ある理由で怒った謎の男は、浩司(中島裕翔)やその他海王工業の生徒たち相手に暴れまくり、学内は騒然!その男を止めるべく大地(山田涼介)が一人向かうと、その道中で海王工業最強の男・三船憲吾(藤ヶ谷太輔)と合流することに。共に歩き始める二人、まさかのタッグ結成か!?一方海はパート仲間との会話からあることに怯えることに…佐久間紀佳野島伸司【音楽】横山克  【主題歌】「SUPER　DELICATE」Hey!Say!JUMP(ジェイ・ストーム)</v>
      </c>
      <c r="O4169" s="2"/>
      <c r="P4169" s="1"/>
      <c r="Q4169" s="1"/>
      <c r="R4169" s="1"/>
      <c r="S4169" s="1"/>
      <c r="T4169" s="1"/>
      <c r="U4169" s="1"/>
      <c r="V4169" s="1"/>
      <c r="W4169" s="1"/>
      <c r="X4169" s="1"/>
      <c r="Y4169" s="1"/>
      <c r="Z4169" s="1"/>
      <c r="AA4169" s="1"/>
      <c r="AB4169" s="1"/>
      <c r="AC4169" s="1"/>
      <c r="AD4169" s="1"/>
      <c r="AE4169" s="1"/>
      <c r="AF4169" s="1"/>
      <c r="AG4169" s="1"/>
      <c r="AH4169" s="1"/>
      <c r="AI4169" s="1"/>
      <c r="AJ4169" s="1"/>
      <c r="AK4169" s="1"/>
      <c r="AL4169" s="1"/>
      <c r="AM4169" s="1"/>
      <c r="AN4169" s="1"/>
      <c r="AO4169" s="1"/>
      <c r="AP4169" s="1"/>
      <c r="AQ4169" s="1"/>
      <c r="AR4169" s="1"/>
      <c r="AS4169" s="1"/>
      <c r="AT4169" s="1"/>
      <c r="AU4169" s="1"/>
      <c r="AV4169" s="1"/>
      <c r="AW4169" s="1"/>
      <c r="AX4169" s="1"/>
      <c r="AY4169" s="1"/>
      <c r="AZ4169" s="1"/>
      <c r="BA4169" s="1"/>
      <c r="BB4169" s="1"/>
    </row>
    <row r="4170" ht="204.75" customHeight="1">
      <c r="A4170" s="1">
        <v>4047.0</v>
      </c>
      <c r="B4170" s="2" t="s">
        <v>12277</v>
      </c>
      <c r="C4170" s="2">
        <f>IFERROR(__xludf.DUMMYFUNCTION("split(B4170,""_"")"),1201.0)</f>
        <v>1201</v>
      </c>
      <c r="D4170" s="2" t="str">
        <f>IFERROR(__xludf.DUMMYFUNCTION("""COMPUTED_VALUE"""),"NTV")</f>
        <v>NTV</v>
      </c>
      <c r="E4170" s="2" t="str">
        <f>IFERROR(__xludf.DUMMYFUNCTION("""COMPUTED_VALUE"""),"土21")</f>
        <v>土21</v>
      </c>
      <c r="F4170" s="2" t="s">
        <v>12278</v>
      </c>
      <c r="G4170" s="2" t="s">
        <v>12287</v>
      </c>
      <c r="H4170" s="1">
        <v>5.0</v>
      </c>
      <c r="I4170" s="1" t="s">
        <v>2884</v>
      </c>
      <c r="J4170" s="1" t="s">
        <v>11</v>
      </c>
      <c r="K4170" s="2" t="s">
        <v>12288</v>
      </c>
      <c r="L4170" s="2"/>
      <c r="M4170" s="2" t="str">
        <f>IFERROR(__xludf.DUMMYFUNCTION("split(split(K4170,""【演出"",false),""ほか"",false)"),"山田涼介、沢村一樹、藤ヶ谷太輔、中島裕翔、入江甚儀、柄本時生、武田航平、脇知弘、三吉彩花、諸見里大介、吉永淳、梅沢昌代、宮地雅子、萩原利映、ケンドーコバヤシ、須藤理彩、金子ノブアキ、鈴木杏樹、鈴木京香　")</f>
        <v>山田涼介、沢村一樹、藤ヶ谷太輔、中島裕翔、入江甚儀、柄本時生、武田航平、脇知弘、三吉彩花、諸見里大介、吉永淳、梅沢昌代、宮地雅子、萩原利映、ケンドーコバヤシ、須藤理彩、金子ノブアキ、鈴木杏樹、鈴木京香　</v>
      </c>
      <c r="N4170" s="2" t="str">
        <f>IFERROR(__xludf.DUMMYFUNCTION("""COMPUTED_VALUE"""),"親父狩りにあっていた実(沢村一樹)を、救った謎の少年・豹塚(吉永淳)が大地(山田涼介)のクラスに転校してきた。豹塚の家は太極拳道場をやっており、腕には自信があるという。自分の強さを示そうと、海王最強の憲吾(藤ヶ谷太輔)、そして猛者どもに戦いを挑むが、それにはある理由と秘密があった。一方、海(鈴木京香)は海王に通う大地が悪に染まっていくのではと心配し、「友達にふさわしいか面談」を決行する。中島悟野島伸司【音楽】横山克  【主題歌】「SUPER　DELICATE」Hey!Say!JUMP(ジェイ・ストーム)")</f>
        <v>親父狩りにあっていた実(沢村一樹)を、救った謎の少年・豹塚(吉永淳)が大地(山田涼介)のクラスに転校してきた。豹塚の家は太極拳道場をやっており、腕には自信があるという。自分の強さを示そうと、海王最強の憲吾(藤ヶ谷太輔)、そして猛者どもに戦いを挑むが、それにはある理由と秘密があった。一方、海(鈴木京香)は海王に通う大地が悪に染まっていくのではと心配し、「友達にふさわしいか面談」を決行する。中島悟野島伸司【音楽】横山克  【主題歌】「SUPER　DELICATE」Hey!Say!JUMP(ジェイ・ストーム)</v>
      </c>
      <c r="O4170" s="2"/>
      <c r="P4170" s="1"/>
      <c r="Q4170" s="1"/>
      <c r="R4170" s="1"/>
      <c r="S4170" s="1"/>
      <c r="T4170" s="1"/>
      <c r="U4170" s="1"/>
      <c r="V4170" s="1"/>
      <c r="W4170" s="1"/>
      <c r="X4170" s="1"/>
      <c r="Y4170" s="1"/>
      <c r="Z4170" s="1"/>
      <c r="AA4170" s="1"/>
      <c r="AB4170" s="1"/>
      <c r="AC4170" s="1"/>
      <c r="AD4170" s="1"/>
      <c r="AE4170" s="1"/>
      <c r="AF4170" s="1"/>
      <c r="AG4170" s="1"/>
      <c r="AH4170" s="1"/>
      <c r="AI4170" s="1"/>
      <c r="AJ4170" s="1"/>
      <c r="AK4170" s="1"/>
      <c r="AL4170" s="1"/>
      <c r="AM4170" s="1"/>
      <c r="AN4170" s="1"/>
      <c r="AO4170" s="1"/>
      <c r="AP4170" s="1"/>
      <c r="AQ4170" s="1"/>
      <c r="AR4170" s="1"/>
      <c r="AS4170" s="1"/>
      <c r="AT4170" s="1"/>
      <c r="AU4170" s="1"/>
      <c r="AV4170" s="1"/>
      <c r="AW4170" s="1"/>
      <c r="AX4170" s="1"/>
      <c r="AY4170" s="1"/>
      <c r="AZ4170" s="1"/>
      <c r="BA4170" s="1"/>
      <c r="BB4170" s="1"/>
    </row>
    <row r="4171" ht="204.75" customHeight="1">
      <c r="A4171" s="1">
        <v>4048.0</v>
      </c>
      <c r="B4171" s="2" t="s">
        <v>12277</v>
      </c>
      <c r="C4171" s="2">
        <f>IFERROR(__xludf.DUMMYFUNCTION("split(B4171,""_"")"),1201.0)</f>
        <v>1201</v>
      </c>
      <c r="D4171" s="2" t="str">
        <f>IFERROR(__xludf.DUMMYFUNCTION("""COMPUTED_VALUE"""),"NTV")</f>
        <v>NTV</v>
      </c>
      <c r="E4171" s="2" t="str">
        <f>IFERROR(__xludf.DUMMYFUNCTION("""COMPUTED_VALUE"""),"土21")</f>
        <v>土21</v>
      </c>
      <c r="F4171" s="2" t="s">
        <v>12278</v>
      </c>
      <c r="G4171" s="2" t="s">
        <v>12289</v>
      </c>
      <c r="H4171" s="1">
        <v>6.0</v>
      </c>
      <c r="I4171" s="1" t="s">
        <v>2888</v>
      </c>
      <c r="J4171" s="1" t="s">
        <v>11</v>
      </c>
      <c r="K4171" s="2" t="s">
        <v>12290</v>
      </c>
      <c r="L4171" s="2"/>
      <c r="M4171" s="2" t="str">
        <f>IFERROR(__xludf.DUMMYFUNCTION("split(split(K4171,""【演出"",false),""ほか"",false)"),"山田涼介、沢村一樹、藤ヶ谷太輔、中島裕翔、入江甚儀、柄本時生、武田航平、脇知弘、三吉彩花、諸見里大介、吉永淳、林遣都、梅沢昌代、宮地雅子、萩原利映、千代将太、安藤龍、吉田大、吉田拓、ケンドーコバヤシ、須藤理彩、金子ノブアキ、鈴木杏樹、鈴木京香　")</f>
        <v>山田涼介、沢村一樹、藤ヶ谷太輔、中島裕翔、入江甚儀、柄本時生、武田航平、脇知弘、三吉彩花、諸見里大介、吉永淳、林遣都、梅沢昌代、宮地雅子、萩原利映、千代将太、安藤龍、吉田大、吉田拓、ケンドーコバヤシ、須藤理彩、金子ノブアキ、鈴木杏樹、鈴木京香　</v>
      </c>
      <c r="N4171" s="2" t="str">
        <f>IFERROR(__xludf.DUMMYFUNCTION("""COMPUTED_VALUE"""),"海が突然ドレスアップ!動揺する大地に「モデルを頼まれた」と海。美術教師の池田(金子ノブアキ)にモデルを頼まれ、ドレスをプレゼントされたと言う。さらに海は池田が大地の父親にソックリで、ときめいてしまったのだと大地に告げる。大地がショックを受ける一方で、海王工業に、金狼(林遣都)率いる最凶の不良軍団・城国商業の魔の手が忍び寄っていた。金狼の狙いは…?佐久間紀佳野島伸司【音楽】横山克  【主題歌】「SUPER　DELICATE」Hey!Say!JUMP(ジェイ・ストーム)")</f>
        <v>海が突然ドレスアップ!動揺する大地に「モデルを頼まれた」と海。美術教師の池田(金子ノブアキ)にモデルを頼まれ、ドレスをプレゼントされたと言う。さらに海は池田が大地の父親にソックリで、ときめいてしまったのだと大地に告げる。大地がショックを受ける一方で、海王工業に、金狼(林遣都)率いる最凶の不良軍団・城国商業の魔の手が忍び寄っていた。金狼の狙いは…?佐久間紀佳野島伸司【音楽】横山克  【主題歌】「SUPER　DELICATE」Hey!Say!JUMP(ジェイ・ストーム)</v>
      </c>
      <c r="O4171" s="2"/>
      <c r="P4171" s="1"/>
      <c r="Q4171" s="1"/>
      <c r="R4171" s="1"/>
      <c r="S4171" s="1"/>
      <c r="T4171" s="1"/>
      <c r="U4171" s="1"/>
      <c r="V4171" s="1"/>
      <c r="W4171" s="1"/>
      <c r="X4171" s="1"/>
      <c r="Y4171" s="1"/>
      <c r="Z4171" s="1"/>
      <c r="AA4171" s="1"/>
      <c r="AB4171" s="1"/>
      <c r="AC4171" s="1"/>
      <c r="AD4171" s="1"/>
      <c r="AE4171" s="1"/>
      <c r="AF4171" s="1"/>
      <c r="AG4171" s="1"/>
      <c r="AH4171" s="1"/>
      <c r="AI4171" s="1"/>
      <c r="AJ4171" s="1"/>
      <c r="AK4171" s="1"/>
      <c r="AL4171" s="1"/>
      <c r="AM4171" s="1"/>
      <c r="AN4171" s="1"/>
      <c r="AO4171" s="1"/>
      <c r="AP4171" s="1"/>
      <c r="AQ4171" s="1"/>
      <c r="AR4171" s="1"/>
      <c r="AS4171" s="1"/>
      <c r="AT4171" s="1"/>
      <c r="AU4171" s="1"/>
      <c r="AV4171" s="1"/>
      <c r="AW4171" s="1"/>
      <c r="AX4171" s="1"/>
      <c r="AY4171" s="1"/>
      <c r="AZ4171" s="1"/>
      <c r="BA4171" s="1"/>
      <c r="BB4171" s="1"/>
    </row>
    <row r="4172" ht="204.75" customHeight="1">
      <c r="A4172" s="1">
        <v>4049.0</v>
      </c>
      <c r="B4172" s="2" t="s">
        <v>12277</v>
      </c>
      <c r="C4172" s="2">
        <f>IFERROR(__xludf.DUMMYFUNCTION("split(B4172,""_"")"),1201.0)</f>
        <v>1201</v>
      </c>
      <c r="D4172" s="2" t="str">
        <f>IFERROR(__xludf.DUMMYFUNCTION("""COMPUTED_VALUE"""),"NTV")</f>
        <v>NTV</v>
      </c>
      <c r="E4172" s="2" t="str">
        <f>IFERROR(__xludf.DUMMYFUNCTION("""COMPUTED_VALUE"""),"土21")</f>
        <v>土21</v>
      </c>
      <c r="F4172" s="2" t="s">
        <v>12278</v>
      </c>
      <c r="G4172" s="2" t="s">
        <v>12291</v>
      </c>
      <c r="H4172" s="1">
        <v>7.0</v>
      </c>
      <c r="I4172" s="1" t="s">
        <v>2892</v>
      </c>
      <c r="J4172" s="1" t="s">
        <v>11</v>
      </c>
      <c r="K4172" s="2" t="s">
        <v>12292</v>
      </c>
      <c r="L4172" s="2"/>
      <c r="M4172" s="2" t="str">
        <f>IFERROR(__xludf.DUMMYFUNCTION("split(split(K4172,""【演出"",false),""ほか"",false)"),"山田涼介、沢村一樹、藤ヶ谷太輔、中島裕翔、、入江甚儀、柄本時生、武田航平、脇知弘、三吉彩花、諸見里大介、吉永淳、林遣都、梅沢昌代、宮地雅子、萩原利映、REDRICE、千代将太、安藤龍、吉本大、吉本拓、相沢直美、ケンドーコバヤシ、須藤理彩、金子ノブアキ、鈴木杏樹、鈴木京香　")</f>
        <v>山田涼介、沢村一樹、藤ヶ谷太輔、中島裕翔、、入江甚儀、柄本時生、武田航平、脇知弘、三吉彩花、諸見里大介、吉永淳、林遣都、梅沢昌代、宮地雅子、萩原利映、REDRICE、千代将太、安藤龍、吉本大、吉本拓、相沢直美、ケンドーコバヤシ、須藤理彩、金子ノブアキ、鈴木杏樹、鈴木京香　</v>
      </c>
      <c r="N4172" s="2" t="str">
        <f>IFERROR(__xludf.DUMMYFUNCTION("""COMPUTED_VALUE"""),"大地(山田涼介)の目の前に突然現れたのは、海(鈴木京香)に死んだと言い聞かされていたはずの父・雄吾(金子ノブアキ)だった。「迎えにきたんだ」という雄吾の言葉に混乱する大地は「どうして死んだなんてウソをついていたんだ」と海を責める。海も、16年ぶりの元夫の登場に動揺しつつも「やはり大地に父親は必要なのかもしれない」と思い始めていた。一方、海王工業へ乗り込んできたのは・・・中島悟野島伸司【音楽】横山克  【主題歌】「SUPER　DELICATE」Hey!Say!JUMP(ジェイ・ストーム)")</f>
        <v>大地(山田涼介)の目の前に突然現れたのは、海(鈴木京香)に死んだと言い聞かされていたはずの父・雄吾(金子ノブアキ)だった。「迎えにきたんだ」という雄吾の言葉に混乱する大地は「どうして死んだなんてウソをついていたんだ」と海を責める。海も、16年ぶりの元夫の登場に動揺しつつも「やはり大地に父親は必要なのかもしれない」と思い始めていた。一方、海王工業へ乗り込んできたのは・・・中島悟野島伸司【音楽】横山克  【主題歌】「SUPER　DELICATE」Hey!Say!JUMP(ジェイ・ストーム)</v>
      </c>
      <c r="O4172" s="2"/>
      <c r="P4172" s="1"/>
      <c r="Q4172" s="1"/>
      <c r="R4172" s="1"/>
      <c r="S4172" s="1"/>
      <c r="T4172" s="1"/>
      <c r="U4172" s="1"/>
      <c r="V4172" s="1"/>
      <c r="W4172" s="1"/>
      <c r="X4172" s="1"/>
      <c r="Y4172" s="1"/>
      <c r="Z4172" s="1"/>
      <c r="AA4172" s="1"/>
      <c r="AB4172" s="1"/>
      <c r="AC4172" s="1"/>
      <c r="AD4172" s="1"/>
      <c r="AE4172" s="1"/>
      <c r="AF4172" s="1"/>
      <c r="AG4172" s="1"/>
      <c r="AH4172" s="1"/>
      <c r="AI4172" s="1"/>
      <c r="AJ4172" s="1"/>
      <c r="AK4172" s="1"/>
      <c r="AL4172" s="1"/>
      <c r="AM4172" s="1"/>
      <c r="AN4172" s="1"/>
      <c r="AO4172" s="1"/>
      <c r="AP4172" s="1"/>
      <c r="AQ4172" s="1"/>
      <c r="AR4172" s="1"/>
      <c r="AS4172" s="1"/>
      <c r="AT4172" s="1"/>
      <c r="AU4172" s="1"/>
      <c r="AV4172" s="1"/>
      <c r="AW4172" s="1"/>
      <c r="AX4172" s="1"/>
      <c r="AY4172" s="1"/>
      <c r="AZ4172" s="1"/>
      <c r="BA4172" s="1"/>
      <c r="BB4172" s="1"/>
    </row>
    <row r="4173" ht="204.75" customHeight="1">
      <c r="A4173" s="1">
        <v>4050.0</v>
      </c>
      <c r="B4173" s="2" t="s">
        <v>12277</v>
      </c>
      <c r="C4173" s="2">
        <f>IFERROR(__xludf.DUMMYFUNCTION("split(B4173,""_"")"),1201.0)</f>
        <v>1201</v>
      </c>
      <c r="D4173" s="2" t="str">
        <f>IFERROR(__xludf.DUMMYFUNCTION("""COMPUTED_VALUE"""),"NTV")</f>
        <v>NTV</v>
      </c>
      <c r="E4173" s="2" t="str">
        <f>IFERROR(__xludf.DUMMYFUNCTION("""COMPUTED_VALUE"""),"土21")</f>
        <v>土21</v>
      </c>
      <c r="F4173" s="2" t="s">
        <v>12278</v>
      </c>
      <c r="G4173" s="2" t="s">
        <v>12293</v>
      </c>
      <c r="H4173" s="1">
        <v>8.0</v>
      </c>
      <c r="I4173" s="1" t="s">
        <v>2896</v>
      </c>
      <c r="J4173" s="1" t="s">
        <v>11</v>
      </c>
      <c r="K4173" s="2" t="s">
        <v>12294</v>
      </c>
      <c r="L4173" s="2"/>
      <c r="M4173" s="2" t="str">
        <f>IFERROR(__xludf.DUMMYFUNCTION("split(split(K4173,""【演出"",false),""ほか"",false)"),"山田涼介、沢村一樹、藤ヶ谷太輔、中島裕翔、入江甚儀、柄本時生、武田航平、脇知弘、三吉彩花、諸見里大介、吉永淳、風間俊介、梅沢昌代、宮地雅子、萩原利映、ケンドーコバヤシ、須藤理彩、金子ノブアキ、鈴木杏樹、鈴木京香　")</f>
        <v>山田涼介、沢村一樹、藤ヶ谷太輔、中島裕翔、入江甚儀、柄本時生、武田航平、脇知弘、三吉彩花、諸見里大介、吉永淳、風間俊介、梅沢昌代、宮地雅子、萩原利映、ケンドーコバヤシ、須藤理彩、金子ノブアキ、鈴木杏樹、鈴木京香　</v>
      </c>
      <c r="N4173" s="2" t="str">
        <f>IFERROR(__xludf.DUMMYFUNCTION("""COMPUTED_VALUE"""),"大地(山田涼介)の実の母は光子(鈴木杏樹)で、海(鈴木京香)の実の息子は浩司(中島裕翔)?!生まれてすぐふたりが病院で取り違えられていたと衝撃の過去を告げられる大地と海。戸惑いながらも大地は光子と、海は浩司と暮らし始めることに。そんな中、国家プロジェクトに関わる事業をめぐって社長の息子7人が集められて戦い、勝者の会社が事業を請け負うという。浩司に替わってマルコバの跡継ぎとなった大地は…?!佐久間紀佳野島伸司【音楽】横山克  【主題歌】「SUPER　DELICATE」Hey!Say!JUMP(ジェイ・ストー"&amp;"ム)")</f>
        <v>大地(山田涼介)の実の母は光子(鈴木杏樹)で、海(鈴木京香)の実の息子は浩司(中島裕翔)?!生まれてすぐふたりが病院で取り違えられていたと衝撃の過去を告げられる大地と海。戸惑いながらも大地は光子と、海は浩司と暮らし始めることに。そんな中、国家プロジェクトに関わる事業をめぐって社長の息子7人が集められて戦い、勝者の会社が事業を請け負うという。浩司に替わってマルコバの跡継ぎとなった大地は…?!佐久間紀佳野島伸司【音楽】横山克  【主題歌】「SUPER　DELICATE」Hey!Say!JUMP(ジェイ・ストーム)</v>
      </c>
      <c r="O4173" s="2"/>
      <c r="P4173" s="1"/>
      <c r="Q4173" s="1"/>
      <c r="R4173" s="1"/>
      <c r="S4173" s="1"/>
      <c r="T4173" s="1"/>
      <c r="U4173" s="1"/>
      <c r="V4173" s="1"/>
      <c r="W4173" s="1"/>
      <c r="X4173" s="1"/>
      <c r="Y4173" s="1"/>
      <c r="Z4173" s="1"/>
      <c r="AA4173" s="1"/>
      <c r="AB4173" s="1"/>
      <c r="AC4173" s="1"/>
      <c r="AD4173" s="1"/>
      <c r="AE4173" s="1"/>
      <c r="AF4173" s="1"/>
      <c r="AG4173" s="1"/>
      <c r="AH4173" s="1"/>
      <c r="AI4173" s="1"/>
      <c r="AJ4173" s="1"/>
      <c r="AK4173" s="1"/>
      <c r="AL4173" s="1"/>
      <c r="AM4173" s="1"/>
      <c r="AN4173" s="1"/>
      <c r="AO4173" s="1"/>
      <c r="AP4173" s="1"/>
      <c r="AQ4173" s="1"/>
      <c r="AR4173" s="1"/>
      <c r="AS4173" s="1"/>
      <c r="AT4173" s="1"/>
      <c r="AU4173" s="1"/>
      <c r="AV4173" s="1"/>
      <c r="AW4173" s="1"/>
      <c r="AX4173" s="1"/>
      <c r="AY4173" s="1"/>
      <c r="AZ4173" s="1"/>
      <c r="BA4173" s="1"/>
      <c r="BB4173" s="1"/>
    </row>
    <row r="4174" ht="204.75" customHeight="1">
      <c r="A4174" s="1">
        <v>4051.0</v>
      </c>
      <c r="B4174" s="2" t="s">
        <v>12277</v>
      </c>
      <c r="C4174" s="2">
        <f>IFERROR(__xludf.DUMMYFUNCTION("split(B4174,""_"")"),1201.0)</f>
        <v>1201</v>
      </c>
      <c r="D4174" s="2" t="str">
        <f>IFERROR(__xludf.DUMMYFUNCTION("""COMPUTED_VALUE"""),"NTV")</f>
        <v>NTV</v>
      </c>
      <c r="E4174" s="2" t="str">
        <f>IFERROR(__xludf.DUMMYFUNCTION("""COMPUTED_VALUE"""),"土21")</f>
        <v>土21</v>
      </c>
      <c r="F4174" s="2" t="s">
        <v>12278</v>
      </c>
      <c r="G4174" s="2" t="s">
        <v>12295</v>
      </c>
      <c r="H4174" s="1">
        <v>9.0</v>
      </c>
      <c r="I4174" s="1" t="s">
        <v>2900</v>
      </c>
      <c r="J4174" s="1" t="s">
        <v>11</v>
      </c>
      <c r="K4174" s="2" t="s">
        <v>12296</v>
      </c>
      <c r="L4174" s="2"/>
      <c r="M4174" s="2" t="str">
        <f>IFERROR(__xludf.DUMMYFUNCTION("split(split(K4174,""【演出"",false),""ほか"",false)"),"山田涼介、沢村一樹、藤ヶ谷太輔、中島裕翔、入江甚儀、柄本時生、武田航平、脇知弘、三吉彩花、諸見里大介、吉永淳、梅沢昌代、宮地雅子、萩原利映、石橋杏奈、ケンドーコバヤシ、須藤理彩、金子ノブアキ、鈴木杏樹、鈴木京香　")</f>
        <v>山田涼介、沢村一樹、藤ヶ谷太輔、中島裕翔、入江甚儀、柄本時生、武田航平、脇知弘、三吉彩花、諸見里大介、吉永淳、梅沢昌代、宮地雅子、萩原利映、石橋杏奈、ケンドーコバヤシ、須藤理彩、金子ノブアキ、鈴木杏樹、鈴木京香　</v>
      </c>
      <c r="N4174" s="2" t="str">
        <f>IFERROR(__xludf.DUMMYFUNCTION("""COMPUTED_VALUE"""),"浩司(中島裕翔)の替え玉としてG7の戦いを終えた大地(山田涼介)のもとに、ソラ(石橋杏奈)という少女が訪ねてくる。ソラは篠田大臣(金子ノブアキ)の娘で、G7の勝者と結婚することになっていたという。マルコバの息子ではないと逃げる大地だったが、替え玉だとわかった上で「大地の妻になることを決めた」と引かないソラは結局大地と海の家に転がり込み、ソラに対して海(鈴木京香)は、初めて姑の気分を味わうことに。森雅弘野島伸司【音楽】横山克  【主題歌】「SUPER　DELICATE」Hey!Say!JUMP(ジェイ・スト"&amp;"ーム)")</f>
        <v>浩司(中島裕翔)の替え玉としてG7の戦いを終えた大地(山田涼介)のもとに、ソラ(石橋杏奈)という少女が訪ねてくる。ソラは篠田大臣(金子ノブアキ)の娘で、G7の勝者と結婚することになっていたという。マルコバの息子ではないと逃げる大地だったが、替え玉だとわかった上で「大地の妻になることを決めた」と引かないソラは結局大地と海の家に転がり込み、ソラに対して海(鈴木京香)は、初めて姑の気分を味わうことに。森雅弘野島伸司【音楽】横山克  【主題歌】「SUPER　DELICATE」Hey!Say!JUMP(ジェイ・ストーム)</v>
      </c>
      <c r="O4174" s="2"/>
      <c r="P4174" s="1"/>
      <c r="Q4174" s="1"/>
      <c r="R4174" s="1"/>
      <c r="S4174" s="1"/>
      <c r="T4174" s="1"/>
      <c r="U4174" s="1"/>
      <c r="V4174" s="1"/>
      <c r="W4174" s="1"/>
      <c r="X4174" s="1"/>
      <c r="Y4174" s="1"/>
      <c r="Z4174" s="1"/>
      <c r="AA4174" s="1"/>
      <c r="AB4174" s="1"/>
      <c r="AC4174" s="1"/>
      <c r="AD4174" s="1"/>
      <c r="AE4174" s="1"/>
      <c r="AF4174" s="1"/>
      <c r="AG4174" s="1"/>
      <c r="AH4174" s="1"/>
      <c r="AI4174" s="1"/>
      <c r="AJ4174" s="1"/>
      <c r="AK4174" s="1"/>
      <c r="AL4174" s="1"/>
      <c r="AM4174" s="1"/>
      <c r="AN4174" s="1"/>
      <c r="AO4174" s="1"/>
      <c r="AP4174" s="1"/>
      <c r="AQ4174" s="1"/>
      <c r="AR4174" s="1"/>
      <c r="AS4174" s="1"/>
      <c r="AT4174" s="1"/>
      <c r="AU4174" s="1"/>
      <c r="AV4174" s="1"/>
      <c r="AW4174" s="1"/>
      <c r="AX4174" s="1"/>
      <c r="AY4174" s="1"/>
      <c r="AZ4174" s="1"/>
      <c r="BA4174" s="1"/>
      <c r="BB4174" s="1"/>
    </row>
    <row r="4175" ht="204.75" customHeight="1">
      <c r="A4175" s="1">
        <v>4052.0</v>
      </c>
      <c r="B4175" s="2" t="s">
        <v>12277</v>
      </c>
      <c r="C4175" s="2">
        <f>IFERROR(__xludf.DUMMYFUNCTION("split(B4175,""_"")"),1201.0)</f>
        <v>1201</v>
      </c>
      <c r="D4175" s="2" t="str">
        <f>IFERROR(__xludf.DUMMYFUNCTION("""COMPUTED_VALUE"""),"NTV")</f>
        <v>NTV</v>
      </c>
      <c r="E4175" s="2" t="str">
        <f>IFERROR(__xludf.DUMMYFUNCTION("""COMPUTED_VALUE"""),"土21")</f>
        <v>土21</v>
      </c>
      <c r="F4175" s="2" t="s">
        <v>12278</v>
      </c>
      <c r="G4175" s="2" t="s">
        <v>12297</v>
      </c>
      <c r="H4175" s="1">
        <v>10.0</v>
      </c>
      <c r="I4175" s="1" t="s">
        <v>37</v>
      </c>
      <c r="J4175" s="1" t="s">
        <v>11</v>
      </c>
      <c r="K4175" s="2" t="s">
        <v>12298</v>
      </c>
      <c r="L4175" s="2"/>
      <c r="M4175" s="2" t="str">
        <f>IFERROR(__xludf.DUMMYFUNCTION("split(split(K4175,""【演出"",false),""ほか"",false)"),"山田涼介、沢村一樹、藤ヶ谷太輔、中島裕翔、入江甚儀、柄本時生、武田航平、脇知弘、三吉彩花、諸見里大介、吉永淳、梅沢昌代、宮地雅子、萩原利映、石橋杏奈、五十嵐空、ケンドーコバヤシ、須藤理彩、金子ノブアキ、鈴木杏樹、鈴木京香　")</f>
        <v>山田涼介、沢村一樹、藤ヶ谷太輔、中島裕翔、入江甚儀、柄本時生、武田航平、脇知弘、三吉彩花、諸見里大介、吉永淳、梅沢昌代、宮地雅子、萩原利映、石橋杏奈、五十嵐空、ケンドーコバヤシ、須藤理彩、金子ノブアキ、鈴木杏樹、鈴木京香　</v>
      </c>
      <c r="N4175" s="2" t="str">
        <f>IFERROR(__xludf.DUMMYFUNCTION("""COMPUTED_VALUE"""),"「結婚することにした」と大地(山田涼介)に爆弾発言の海(鈴木京香)。大地は冗談じゃない!と聞く耳を持たないが、実(沢村一樹)に「いい加減、親離れしないと」と諭される。一方、ニセ大地を使い、大地の評判が落ちるよう陥れていた浩司は母・光子(鈴木杏樹)との溝を埋められないまま、また憲吾(藤ヶ谷太輔)は、念願の母親との再会を果たすがその結果はあまりにも辛いものだった。佐久間紀佳野島伸司【音楽】横山克  【主題歌】「SUPER　DELICATE」Hey!Say!JUMP(ジェイ・ストーム)")</f>
        <v>「結婚することにした」と大地(山田涼介)に爆弾発言の海(鈴木京香)。大地は冗談じゃない!と聞く耳を持たないが、実(沢村一樹)に「いい加減、親離れしないと」と諭される。一方、ニセ大地を使い、大地の評判が落ちるよう陥れていた浩司は母・光子(鈴木杏樹)との溝を埋められないまま、また憲吾(藤ヶ谷太輔)は、念願の母親との再会を果たすがその結果はあまりにも辛いものだった。佐久間紀佳野島伸司【音楽】横山克  【主題歌】「SUPER　DELICATE」Hey!Say!JUMP(ジェイ・ストーム)</v>
      </c>
      <c r="O4175" s="2"/>
      <c r="P4175" s="1"/>
      <c r="Q4175" s="1"/>
      <c r="R4175" s="1"/>
      <c r="S4175" s="1"/>
      <c r="T4175" s="1"/>
      <c r="U4175" s="1"/>
      <c r="V4175" s="1"/>
      <c r="W4175" s="1"/>
      <c r="X4175" s="1"/>
      <c r="Y4175" s="1"/>
      <c r="Z4175" s="1"/>
      <c r="AA4175" s="1"/>
      <c r="AB4175" s="1"/>
      <c r="AC4175" s="1"/>
      <c r="AD4175" s="1"/>
      <c r="AE4175" s="1"/>
      <c r="AF4175" s="1"/>
      <c r="AG4175" s="1"/>
      <c r="AH4175" s="1"/>
      <c r="AI4175" s="1"/>
      <c r="AJ4175" s="1"/>
      <c r="AK4175" s="1"/>
      <c r="AL4175" s="1"/>
      <c r="AM4175" s="1"/>
      <c r="AN4175" s="1"/>
      <c r="AO4175" s="1"/>
      <c r="AP4175" s="1"/>
      <c r="AQ4175" s="1"/>
      <c r="AR4175" s="1"/>
      <c r="AS4175" s="1"/>
      <c r="AT4175" s="1"/>
      <c r="AU4175" s="1"/>
      <c r="AV4175" s="1"/>
      <c r="AW4175" s="1"/>
      <c r="AX4175" s="1"/>
      <c r="AY4175" s="1"/>
      <c r="AZ4175" s="1"/>
      <c r="BA4175" s="1"/>
      <c r="BB4175" s="1"/>
    </row>
    <row r="4176" ht="204.75" customHeight="1">
      <c r="A4176" s="1">
        <v>4111.0</v>
      </c>
      <c r="B4176" s="2" t="s">
        <v>12299</v>
      </c>
      <c r="C4176" s="2">
        <f>IFERROR(__xludf.DUMMYFUNCTION("split(B4176,""_"")"),1110.0)</f>
        <v>1110</v>
      </c>
      <c r="D4176" s="2" t="str">
        <f>IFERROR(__xludf.DUMMYFUNCTION("""COMPUTED_VALUE"""),"NTV")</f>
        <v>NTV</v>
      </c>
      <c r="E4176" s="2" t="str">
        <f>IFERROR(__xludf.DUMMYFUNCTION("""COMPUTED_VALUE"""),"水22")</f>
        <v>水22</v>
      </c>
      <c r="F4176" s="2" t="s">
        <v>12300</v>
      </c>
      <c r="G4176" s="2" t="s">
        <v>12301</v>
      </c>
      <c r="H4176" s="1">
        <v>1.0</v>
      </c>
      <c r="I4176" s="1" t="s">
        <v>2868</v>
      </c>
      <c r="J4176" s="1" t="s">
        <v>82</v>
      </c>
      <c r="K4176" s="2" t="s">
        <v>12302</v>
      </c>
      <c r="L4176" s="2"/>
      <c r="M4176" s="2" t="str">
        <f>IFERROR(__xludf.DUMMYFUNCTION("split(split(K4176,""【演出"",false),""ほか"",false)"),"松嶋菜々子、長谷川博己、相武紗季、忽那汐里、野波麻帆、佐藤仁美、中川大志、綾部守人、本田望結、平泉成、白川由美家政婦の三田灯(松嶋菜々子)は、頼まれた仕事は何でも完璧にするが、常に無表情で感情が読み取れない。三田が派遣された阿須田家の家長の恵一(長谷川博己)と子供・結(忽那汐里)、翔、海斗、希衣は、数ヶ月前に母を事故で亡くし大きなショックを受けていた。三田が来て家は見違えるようにきれいになる。しかし叔母・結城うらら(相武紗季)が希衣のパーティーを提案。希衣はプレゼントに「お母さんに会いたい」と言い出す。猪"&amp;"股隆一遊川和彦池頼広5年D組")</f>
        <v>松嶋菜々子、長谷川博己、相武紗季、忽那汐里、野波麻帆、佐藤仁美、中川大志、綾部守人、本田望結、平泉成、白川由美家政婦の三田灯(松嶋菜々子)は、頼まれた仕事は何でも完璧にするが、常に無表情で感情が読み取れない。三田が派遣された阿須田家の家長の恵一(長谷川博己)と子供・結(忽那汐里)、翔、海斗、希衣は、数ヶ月前に母を事故で亡くし大きなショックを受けていた。三田が来て家は見違えるようにきれいになる。しかし叔母・結城うらら(相武紗季)が希衣のパーティーを提案。希衣はプレゼントに「お母さんに会いたい」と言い出す。猪股隆一遊川和彦池頼広5年D組</v>
      </c>
      <c r="N4176" s="2"/>
      <c r="O4176" s="2"/>
      <c r="P4176" s="1"/>
      <c r="Q4176" s="1"/>
      <c r="R4176" s="1"/>
      <c r="S4176" s="1"/>
      <c r="T4176" s="1"/>
      <c r="U4176" s="1"/>
      <c r="V4176" s="1"/>
      <c r="W4176" s="1"/>
      <c r="X4176" s="1"/>
      <c r="Y4176" s="1"/>
      <c r="Z4176" s="1"/>
      <c r="AA4176" s="1"/>
      <c r="AB4176" s="1"/>
      <c r="AC4176" s="1"/>
      <c r="AD4176" s="1"/>
      <c r="AE4176" s="1"/>
      <c r="AF4176" s="1"/>
      <c r="AG4176" s="1"/>
      <c r="AH4176" s="1"/>
      <c r="AI4176" s="1"/>
      <c r="AJ4176" s="1"/>
      <c r="AK4176" s="1"/>
      <c r="AL4176" s="1"/>
      <c r="AM4176" s="1"/>
      <c r="AN4176" s="1"/>
      <c r="AO4176" s="1"/>
      <c r="AP4176" s="1"/>
      <c r="AQ4176" s="1"/>
      <c r="AR4176" s="1"/>
      <c r="AS4176" s="1"/>
      <c r="AT4176" s="1"/>
      <c r="AU4176" s="1"/>
      <c r="AV4176" s="1"/>
      <c r="AW4176" s="1"/>
      <c r="AX4176" s="1"/>
      <c r="AY4176" s="1"/>
      <c r="AZ4176" s="1"/>
      <c r="BA4176" s="1"/>
      <c r="BB4176" s="1"/>
    </row>
    <row r="4177" ht="204.75" customHeight="1">
      <c r="A4177" s="1">
        <v>4112.0</v>
      </c>
      <c r="B4177" s="2" t="s">
        <v>12299</v>
      </c>
      <c r="C4177" s="2">
        <f>IFERROR(__xludf.DUMMYFUNCTION("split(B4177,""_"")"),1110.0)</f>
        <v>1110</v>
      </c>
      <c r="D4177" s="2" t="str">
        <f>IFERROR(__xludf.DUMMYFUNCTION("""COMPUTED_VALUE"""),"NTV")</f>
        <v>NTV</v>
      </c>
      <c r="E4177" s="2" t="str">
        <f>IFERROR(__xludf.DUMMYFUNCTION("""COMPUTED_VALUE"""),"水22")</f>
        <v>水22</v>
      </c>
      <c r="F4177" s="2" t="s">
        <v>12300</v>
      </c>
      <c r="G4177" s="2" t="s">
        <v>12303</v>
      </c>
      <c r="H4177" s="1">
        <v>2.0</v>
      </c>
      <c r="I4177" s="1" t="s">
        <v>2872</v>
      </c>
      <c r="J4177" s="1" t="s">
        <v>86</v>
      </c>
      <c r="K4177" s="2" t="s">
        <v>12304</v>
      </c>
      <c r="L4177" s="2"/>
      <c r="M4177" s="2" t="str">
        <f>IFERROR(__xludf.DUMMYFUNCTION("split(split(K4177,""【演出"",false),""ほか"",false)"),"松嶋菜々子、長谷川博己、相武紗季、忽那汐里、  中川大志、綾部守人、本田望結、平泉成、白川由美妻が自分のせいで自殺したことを三田(松嶋菜々子)に吐露した恵一(長谷川博己)だが、子どもたちには秘密にして欲しいと頼む。そんな中、小6の二男・海斗から、カンニングや万引きを強要するいじめっ子の古田に“お灸をすえて欲しい”と頼まれた三田は、古田に殴りかかり大問題に。怒った古田から酷いいじめを受けるようになった海斗は三田に「古田を殺してくれないか」と頼む。「承知しました。」古田の元へ向かう三田は・・・")</f>
        <v>松嶋菜々子、長谷川博己、相武紗季、忽那汐里、  中川大志、綾部守人、本田望結、平泉成、白川由美妻が自分のせいで自殺したことを三田(松嶋菜々子)に吐露した恵一(長谷川博己)だが、子どもたちには秘密にして欲しいと頼む。そんな中、小6の二男・海斗から、カンニングや万引きを強要するいじめっ子の古田に“お灸をすえて欲しい”と頼まれた三田は、古田に殴りかかり大問題に。怒った古田から酷いいじめを受けるようになった海斗は三田に「古田を殺してくれないか」と頼む。「承知しました。」古田の元へ向かう三田は・・・</v>
      </c>
      <c r="N4177" s="2"/>
      <c r="O4177" s="2"/>
      <c r="P4177" s="1"/>
      <c r="Q4177" s="1"/>
      <c r="R4177" s="1"/>
      <c r="S4177" s="1"/>
      <c r="T4177" s="1"/>
      <c r="U4177" s="1"/>
      <c r="V4177" s="1"/>
      <c r="W4177" s="1"/>
      <c r="X4177" s="1"/>
      <c r="Y4177" s="1"/>
      <c r="Z4177" s="1"/>
      <c r="AA4177" s="1"/>
      <c r="AB4177" s="1"/>
      <c r="AC4177" s="1"/>
      <c r="AD4177" s="1"/>
      <c r="AE4177" s="1"/>
      <c r="AF4177" s="1"/>
      <c r="AG4177" s="1"/>
      <c r="AH4177" s="1"/>
      <c r="AI4177" s="1"/>
      <c r="AJ4177" s="1"/>
      <c r="AK4177" s="1"/>
      <c r="AL4177" s="1"/>
      <c r="AM4177" s="1"/>
      <c r="AN4177" s="1"/>
      <c r="AO4177" s="1"/>
      <c r="AP4177" s="1"/>
      <c r="AQ4177" s="1"/>
      <c r="AR4177" s="1"/>
      <c r="AS4177" s="1"/>
      <c r="AT4177" s="1"/>
      <c r="AU4177" s="1"/>
      <c r="AV4177" s="1"/>
      <c r="AW4177" s="1"/>
      <c r="AX4177" s="1"/>
      <c r="AY4177" s="1"/>
      <c r="AZ4177" s="1"/>
      <c r="BA4177" s="1"/>
      <c r="BB4177" s="1"/>
    </row>
    <row r="4178" ht="204.75" customHeight="1">
      <c r="A4178" s="1">
        <v>4113.0</v>
      </c>
      <c r="B4178" s="2" t="s">
        <v>12299</v>
      </c>
      <c r="C4178" s="2">
        <f>IFERROR(__xludf.DUMMYFUNCTION("split(B4178,""_"")"),1110.0)</f>
        <v>1110</v>
      </c>
      <c r="D4178" s="2" t="str">
        <f>IFERROR(__xludf.DUMMYFUNCTION("""COMPUTED_VALUE"""),"NTV")</f>
        <v>NTV</v>
      </c>
      <c r="E4178" s="2" t="str">
        <f>IFERROR(__xludf.DUMMYFUNCTION("""COMPUTED_VALUE"""),"水22")</f>
        <v>水22</v>
      </c>
      <c r="F4178" s="2" t="s">
        <v>12300</v>
      </c>
      <c r="G4178" s="2" t="s">
        <v>12305</v>
      </c>
      <c r="H4178" s="1">
        <v>3.0</v>
      </c>
      <c r="I4178" s="1" t="s">
        <v>2876</v>
      </c>
      <c r="J4178" s="1" t="s">
        <v>86</v>
      </c>
      <c r="K4178" s="2" t="s">
        <v>12306</v>
      </c>
      <c r="L4178" s="2"/>
      <c r="M4178" s="2" t="str">
        <f>IFERROR(__xludf.DUMMYFUNCTION("split(split(K4178,""【演出"",false),""ほか"",false)"),"松嶋菜々子、長谷川博己、相武紗季、忽那汐里、  中川大志、綾部守人、本田望結、平泉成、白川由美　母の死の真相を知った結は、父に激しく怒りをぶつける。そして、精神的に不安定になり、学校で男子にからかわれてケンカ騒ぎを起こしてしまう。一方、翔、海斗、希衣は、謎めいた三田の正体が気になり、休日の三田を尾行することに。すると、三田が向かったのは意外な場所だった。怒りがおさまらない結は、父が不倫していたことを会社にばらすように三田に頼む。すると、三田は恵一の会社に出向き、すべての真相を記したビラを配る")</f>
        <v>松嶋菜々子、長谷川博己、相武紗季、忽那汐里、  中川大志、綾部守人、本田望結、平泉成、白川由美　母の死の真相を知った結は、父に激しく怒りをぶつける。そして、精神的に不安定になり、学校で男子にからかわれてケンカ騒ぎを起こしてしまう。一方、翔、海斗、希衣は、謎めいた三田の正体が気になり、休日の三田を尾行することに。すると、三田が向かったのは意外な場所だった。怒りがおさまらない結は、父が不倫していたことを会社にばらすように三田に頼む。すると、三田は恵一の会社に出向き、すべての真相を記したビラを配る</v>
      </c>
      <c r="N4178" s="2"/>
      <c r="O4178" s="2"/>
      <c r="P4178" s="1"/>
      <c r="Q4178" s="1"/>
      <c r="R4178" s="1"/>
      <c r="S4178" s="1"/>
      <c r="T4178" s="1"/>
      <c r="U4178" s="1"/>
      <c r="V4178" s="1"/>
      <c r="W4178" s="1"/>
      <c r="X4178" s="1"/>
      <c r="Y4178" s="1"/>
      <c r="Z4178" s="1"/>
      <c r="AA4178" s="1"/>
      <c r="AB4178" s="1"/>
      <c r="AC4178" s="1"/>
      <c r="AD4178" s="1"/>
      <c r="AE4178" s="1"/>
      <c r="AF4178" s="1"/>
      <c r="AG4178" s="1"/>
      <c r="AH4178" s="1"/>
      <c r="AI4178" s="1"/>
      <c r="AJ4178" s="1"/>
      <c r="AK4178" s="1"/>
      <c r="AL4178" s="1"/>
      <c r="AM4178" s="1"/>
      <c r="AN4178" s="1"/>
      <c r="AO4178" s="1"/>
      <c r="AP4178" s="1"/>
      <c r="AQ4178" s="1"/>
      <c r="AR4178" s="1"/>
      <c r="AS4178" s="1"/>
      <c r="AT4178" s="1"/>
      <c r="AU4178" s="1"/>
      <c r="AV4178" s="1"/>
      <c r="AW4178" s="1"/>
      <c r="AX4178" s="1"/>
      <c r="AY4178" s="1"/>
      <c r="AZ4178" s="1"/>
      <c r="BA4178" s="1"/>
      <c r="BB4178" s="1"/>
    </row>
    <row r="4179" ht="204.75" customHeight="1">
      <c r="A4179" s="1">
        <v>4114.0</v>
      </c>
      <c r="B4179" s="2" t="s">
        <v>12299</v>
      </c>
      <c r="C4179" s="2">
        <f>IFERROR(__xludf.DUMMYFUNCTION("split(B4179,""_"")"),1110.0)</f>
        <v>1110</v>
      </c>
      <c r="D4179" s="2" t="str">
        <f>IFERROR(__xludf.DUMMYFUNCTION("""COMPUTED_VALUE"""),"NTV")</f>
        <v>NTV</v>
      </c>
      <c r="E4179" s="2" t="str">
        <f>IFERROR(__xludf.DUMMYFUNCTION("""COMPUTED_VALUE"""),"水22")</f>
        <v>水22</v>
      </c>
      <c r="F4179" s="2" t="s">
        <v>12300</v>
      </c>
      <c r="G4179" s="2" t="s">
        <v>12307</v>
      </c>
      <c r="H4179" s="1">
        <v>4.0</v>
      </c>
      <c r="I4179" s="1" t="s">
        <v>2880</v>
      </c>
      <c r="J4179" s="1" t="s">
        <v>86</v>
      </c>
      <c r="K4179" s="2" t="s">
        <v>12308</v>
      </c>
      <c r="L4179" s="2"/>
      <c r="M4179" s="2" t="str">
        <f>IFERROR(__xludf.DUMMYFUNCTION("split(split(K4179,""【演出"",false),""ほか"",false)"),"松嶋菜々子、長谷川博己、相武紗季、忽那汐里、  中川大志、綾部守人、本田望結、平泉成、白川由美母の死の真相を知った子供たちは家を出ていったものの、これからどう生きていけばよいか悩んでいた。一人取り残された恵一(長谷川博己)は、三田(松嶋菜々子)に苦しい胸の内を語る。しかし三田は、何の感情も見せない。恵一はそんな三田に「もう来なくていい」とクビにする。すると、三田から恵一に電話が・・・「希衣さんを誘拐しました。要求が飲めなければ命の保証はありません。」三田の狙いとは?")</f>
        <v>松嶋菜々子、長谷川博己、相武紗季、忽那汐里、  中川大志、綾部守人、本田望結、平泉成、白川由美母の死の真相を知った子供たちは家を出ていったものの、これからどう生きていけばよいか悩んでいた。一人取り残された恵一(長谷川博己)は、三田(松嶋菜々子)に苦しい胸の内を語る。しかし三田は、何の感情も見せない。恵一はそんな三田に「もう来なくていい」とクビにする。すると、三田から恵一に電話が・・・「希衣さんを誘拐しました。要求が飲めなければ命の保証はありません。」三田の狙いとは?</v>
      </c>
      <c r="N4179" s="2"/>
      <c r="O4179" s="2"/>
      <c r="P4179" s="1"/>
      <c r="Q4179" s="1"/>
      <c r="R4179" s="1"/>
      <c r="S4179" s="1"/>
      <c r="T4179" s="1"/>
      <c r="U4179" s="1"/>
      <c r="V4179" s="1"/>
      <c r="W4179" s="1"/>
      <c r="X4179" s="1"/>
      <c r="Y4179" s="1"/>
      <c r="Z4179" s="1"/>
      <c r="AA4179" s="1"/>
      <c r="AB4179" s="1"/>
      <c r="AC4179" s="1"/>
      <c r="AD4179" s="1"/>
      <c r="AE4179" s="1"/>
      <c r="AF4179" s="1"/>
      <c r="AG4179" s="1"/>
      <c r="AH4179" s="1"/>
      <c r="AI4179" s="1"/>
      <c r="AJ4179" s="1"/>
      <c r="AK4179" s="1"/>
      <c r="AL4179" s="1"/>
      <c r="AM4179" s="1"/>
      <c r="AN4179" s="1"/>
      <c r="AO4179" s="1"/>
      <c r="AP4179" s="1"/>
      <c r="AQ4179" s="1"/>
      <c r="AR4179" s="1"/>
      <c r="AS4179" s="1"/>
      <c r="AT4179" s="1"/>
      <c r="AU4179" s="1"/>
      <c r="AV4179" s="1"/>
      <c r="AW4179" s="1"/>
      <c r="AX4179" s="1"/>
      <c r="AY4179" s="1"/>
      <c r="AZ4179" s="1"/>
      <c r="BA4179" s="1"/>
      <c r="BB4179" s="1"/>
    </row>
    <row r="4180" ht="204.75" customHeight="1">
      <c r="A4180" s="1">
        <v>4115.0</v>
      </c>
      <c r="B4180" s="2" t="s">
        <v>12299</v>
      </c>
      <c r="C4180" s="2">
        <f>IFERROR(__xludf.DUMMYFUNCTION("split(B4180,""_"")"),1110.0)</f>
        <v>1110</v>
      </c>
      <c r="D4180" s="2" t="str">
        <f>IFERROR(__xludf.DUMMYFUNCTION("""COMPUTED_VALUE"""),"NTV")</f>
        <v>NTV</v>
      </c>
      <c r="E4180" s="2" t="str">
        <f>IFERROR(__xludf.DUMMYFUNCTION("""COMPUTED_VALUE"""),"水22")</f>
        <v>水22</v>
      </c>
      <c r="F4180" s="2" t="s">
        <v>12300</v>
      </c>
      <c r="G4180" s="2" t="s">
        <v>12309</v>
      </c>
      <c r="H4180" s="1">
        <v>5.0</v>
      </c>
      <c r="I4180" s="1" t="s">
        <v>2884</v>
      </c>
      <c r="J4180" s="1" t="s">
        <v>86</v>
      </c>
      <c r="K4180" s="2" t="s">
        <v>12310</v>
      </c>
      <c r="L4180" s="2"/>
      <c r="M4180" s="2" t="str">
        <f>IFERROR(__xludf.DUMMYFUNCTION("split(split(K4180,""【演出"",false),""ほか"",false)"),"松嶋菜々子、長谷川博己、相武紗季、忽那汐里、  中川大志、綾部守人、本田望結、平泉成、白川由美父・恵一(長谷川博己)が出ていき、子供4人で暮らし始めた阿須田家。長男の翔は、自分が父親代わりとして家族の中心になろうとするが、誰にも相手にされない。いら立つ翔は、学校で周囲に当たり散らし、街では暴力事件を起こす。さらには、三田(松嶋菜々子)に無茶な命令を。三田「キスをすればよろしいですか?それとも脱ぎましょうか?」そして、翔「隣の家をメチャクチャにして」三田は隣家の前に立ちはだかり・・・")</f>
        <v>松嶋菜々子、長谷川博己、相武紗季、忽那汐里、  中川大志、綾部守人、本田望結、平泉成、白川由美父・恵一(長谷川博己)が出ていき、子供4人で暮らし始めた阿須田家。長男の翔は、自分が父親代わりとして家族の中心になろうとするが、誰にも相手にされない。いら立つ翔は、学校で周囲に当たり散らし、街では暴力事件を起こす。さらには、三田(松嶋菜々子)に無茶な命令を。三田「キスをすればよろしいですか?それとも脱ぎましょうか?」そして、翔「隣の家をメチャクチャにして」三田は隣家の前に立ちはだかり・・・</v>
      </c>
      <c r="N4180" s="2"/>
      <c r="O4180" s="2"/>
      <c r="P4180" s="1"/>
      <c r="Q4180" s="1"/>
      <c r="R4180" s="1"/>
      <c r="S4180" s="1"/>
      <c r="T4180" s="1"/>
      <c r="U4180" s="1"/>
      <c r="V4180" s="1"/>
      <c r="W4180" s="1"/>
      <c r="X4180" s="1"/>
      <c r="Y4180" s="1"/>
      <c r="Z4180" s="1"/>
      <c r="AA4180" s="1"/>
      <c r="AB4180" s="1"/>
      <c r="AC4180" s="1"/>
      <c r="AD4180" s="1"/>
      <c r="AE4180" s="1"/>
      <c r="AF4180" s="1"/>
      <c r="AG4180" s="1"/>
      <c r="AH4180" s="1"/>
      <c r="AI4180" s="1"/>
      <c r="AJ4180" s="1"/>
      <c r="AK4180" s="1"/>
      <c r="AL4180" s="1"/>
      <c r="AM4180" s="1"/>
      <c r="AN4180" s="1"/>
      <c r="AO4180" s="1"/>
      <c r="AP4180" s="1"/>
      <c r="AQ4180" s="1"/>
      <c r="AR4180" s="1"/>
      <c r="AS4180" s="1"/>
      <c r="AT4180" s="1"/>
      <c r="AU4180" s="1"/>
      <c r="AV4180" s="1"/>
      <c r="AW4180" s="1"/>
      <c r="AX4180" s="1"/>
      <c r="AY4180" s="1"/>
      <c r="AZ4180" s="1"/>
      <c r="BA4180" s="1"/>
      <c r="BB4180" s="1"/>
    </row>
    <row r="4181" ht="204.75" customHeight="1">
      <c r="A4181" s="1">
        <v>4116.0</v>
      </c>
      <c r="B4181" s="2" t="s">
        <v>12299</v>
      </c>
      <c r="C4181" s="2">
        <f>IFERROR(__xludf.DUMMYFUNCTION("split(B4181,""_"")"),1110.0)</f>
        <v>1110</v>
      </c>
      <c r="D4181" s="2" t="str">
        <f>IFERROR(__xludf.DUMMYFUNCTION("""COMPUTED_VALUE"""),"NTV")</f>
        <v>NTV</v>
      </c>
      <c r="E4181" s="2" t="str">
        <f>IFERROR(__xludf.DUMMYFUNCTION("""COMPUTED_VALUE"""),"水22")</f>
        <v>水22</v>
      </c>
      <c r="F4181" s="2" t="s">
        <v>12300</v>
      </c>
      <c r="G4181" s="2" t="s">
        <v>12311</v>
      </c>
      <c r="H4181" s="1">
        <v>6.0</v>
      </c>
      <c r="I4181" s="1" t="s">
        <v>2888</v>
      </c>
      <c r="J4181" s="1" t="s">
        <v>86</v>
      </c>
      <c r="K4181" s="2" t="s">
        <v>12312</v>
      </c>
      <c r="L4181" s="2"/>
      <c r="M4181" s="2" t="str">
        <f>IFERROR(__xludf.DUMMYFUNCTION("split(split(K4181,""【演出"",false),""ほか"",false)"),"松嶋菜々子、長谷川博己、相武紗季、忽那汐里、  中川大志、綾部守人、本田望結、平泉成、白川由美　祖父・義之(平泉成)から養子になれと言われ困惑する弟たちから、これからどうするのかと迫られた結(忽那汐里)は「勝手にすればいい」と言い放つ。三田(松嶋菜々子)は「家族の問題に意見を言うつもりはない」と冷たく突き放す。重くのしかかる家族の問題から逃れたい結だったが、恋人の拓也にも裏切られる。絶望した結は三田に、「私を殺してほしい」と頼む。三田「承知しました」三田は、結に向かって刃物を振り上げ…")</f>
        <v>松嶋菜々子、長谷川博己、相武紗季、忽那汐里、  中川大志、綾部守人、本田望結、平泉成、白川由美　祖父・義之(平泉成)から養子になれと言われ困惑する弟たちから、これからどうするのかと迫られた結(忽那汐里)は「勝手にすればいい」と言い放つ。三田(松嶋菜々子)は「家族の問題に意見を言うつもりはない」と冷たく突き放す。重くのしかかる家族の問題から逃れたい結だったが、恋人の拓也にも裏切られる。絶望した結は三田に、「私を殺してほしい」と頼む。三田「承知しました」三田は、結に向かって刃物を振り上げ…</v>
      </c>
      <c r="N4181" s="2"/>
      <c r="O4181" s="2"/>
      <c r="P4181" s="1"/>
      <c r="Q4181" s="1"/>
      <c r="R4181" s="1"/>
      <c r="S4181" s="1"/>
      <c r="T4181" s="1"/>
      <c r="U4181" s="1"/>
      <c r="V4181" s="1"/>
      <c r="W4181" s="1"/>
      <c r="X4181" s="1"/>
      <c r="Y4181" s="1"/>
      <c r="Z4181" s="1"/>
      <c r="AA4181" s="1"/>
      <c r="AB4181" s="1"/>
      <c r="AC4181" s="1"/>
      <c r="AD4181" s="1"/>
      <c r="AE4181" s="1"/>
      <c r="AF4181" s="1"/>
      <c r="AG4181" s="1"/>
      <c r="AH4181" s="1"/>
      <c r="AI4181" s="1"/>
      <c r="AJ4181" s="1"/>
      <c r="AK4181" s="1"/>
      <c r="AL4181" s="1"/>
      <c r="AM4181" s="1"/>
      <c r="AN4181" s="1"/>
      <c r="AO4181" s="1"/>
      <c r="AP4181" s="1"/>
      <c r="AQ4181" s="1"/>
      <c r="AR4181" s="1"/>
      <c r="AS4181" s="1"/>
      <c r="AT4181" s="1"/>
      <c r="AU4181" s="1"/>
      <c r="AV4181" s="1"/>
      <c r="AW4181" s="1"/>
      <c r="AX4181" s="1"/>
      <c r="AY4181" s="1"/>
      <c r="AZ4181" s="1"/>
      <c r="BA4181" s="1"/>
      <c r="BB4181" s="1"/>
    </row>
    <row r="4182" ht="204.75" customHeight="1">
      <c r="A4182" s="1">
        <v>4117.0</v>
      </c>
      <c r="B4182" s="2" t="s">
        <v>12299</v>
      </c>
      <c r="C4182" s="2">
        <f>IFERROR(__xludf.DUMMYFUNCTION("split(B4182,""_"")"),1110.0)</f>
        <v>1110</v>
      </c>
      <c r="D4182" s="2" t="str">
        <f>IFERROR(__xludf.DUMMYFUNCTION("""COMPUTED_VALUE"""),"NTV")</f>
        <v>NTV</v>
      </c>
      <c r="E4182" s="2" t="str">
        <f>IFERROR(__xludf.DUMMYFUNCTION("""COMPUTED_VALUE"""),"水22")</f>
        <v>水22</v>
      </c>
      <c r="F4182" s="2" t="s">
        <v>12300</v>
      </c>
      <c r="G4182" s="2" t="s">
        <v>12313</v>
      </c>
      <c r="H4182" s="1">
        <v>7.0</v>
      </c>
      <c r="I4182" s="1" t="s">
        <v>2892</v>
      </c>
      <c r="J4182" s="1" t="s">
        <v>86</v>
      </c>
      <c r="K4182" s="2" t="s">
        <v>12314</v>
      </c>
      <c r="L4182" s="2"/>
      <c r="M4182" s="2" t="str">
        <f>IFERROR(__xludf.DUMMYFUNCTION("split(split(K4182,""【演出"",false),""ほか"",false)"),"松嶋菜々子、長谷川博己、相武紗季、忽那汐里、  中川大志、綾部守人、本田望結、平泉成、白川由美「夫と子供を殺した」と告白した三田(松嶋菜々子)は阿須田家の子供たちから事情を聞かれるが、固く口を閉ざす。希衣が幼稚園のお遊戯会で主役を演じることに。  結は「希衣のお遊戯会に来て自分たちを愛していることを証明して」と恵一(長谷川博己)に伝えるよう、三田に頼む。しかし、自信がない恵一は「お遊戯会を中止にしてほしい」と三田に頼む。お遊戯会当日。三田は手に金属バットを持って舞台に上がり…。")</f>
        <v>松嶋菜々子、長谷川博己、相武紗季、忽那汐里、  中川大志、綾部守人、本田望結、平泉成、白川由美「夫と子供を殺した」と告白した三田(松嶋菜々子)は阿須田家の子供たちから事情を聞かれるが、固く口を閉ざす。希衣が幼稚園のお遊戯会で主役を演じることに。  結は「希衣のお遊戯会に来て自分たちを愛していることを証明して」と恵一(長谷川博己)に伝えるよう、三田に頼む。しかし、自信がない恵一は「お遊戯会を中止にしてほしい」と三田に頼む。お遊戯会当日。三田は手に金属バットを持って舞台に上がり…。</v>
      </c>
      <c r="N4182" s="2"/>
      <c r="O4182" s="2"/>
      <c r="P4182" s="1"/>
      <c r="Q4182" s="1"/>
      <c r="R4182" s="1"/>
      <c r="S4182" s="1"/>
      <c r="T4182" s="1"/>
      <c r="U4182" s="1"/>
      <c r="V4182" s="1"/>
      <c r="W4182" s="1"/>
      <c r="X4182" s="1"/>
      <c r="Y4182" s="1"/>
      <c r="Z4182" s="1"/>
      <c r="AA4182" s="1"/>
      <c r="AB4182" s="1"/>
      <c r="AC4182" s="1"/>
      <c r="AD4182" s="1"/>
      <c r="AE4182" s="1"/>
      <c r="AF4182" s="1"/>
      <c r="AG4182" s="1"/>
      <c r="AH4182" s="1"/>
      <c r="AI4182" s="1"/>
      <c r="AJ4182" s="1"/>
      <c r="AK4182" s="1"/>
      <c r="AL4182" s="1"/>
      <c r="AM4182" s="1"/>
      <c r="AN4182" s="1"/>
      <c r="AO4182" s="1"/>
      <c r="AP4182" s="1"/>
      <c r="AQ4182" s="1"/>
      <c r="AR4182" s="1"/>
      <c r="AS4182" s="1"/>
      <c r="AT4182" s="1"/>
      <c r="AU4182" s="1"/>
      <c r="AV4182" s="1"/>
      <c r="AW4182" s="1"/>
      <c r="AX4182" s="1"/>
      <c r="AY4182" s="1"/>
      <c r="AZ4182" s="1"/>
      <c r="BA4182" s="1"/>
      <c r="BB4182" s="1"/>
    </row>
    <row r="4183" ht="204.75" customHeight="1">
      <c r="A4183" s="1">
        <v>4118.0</v>
      </c>
      <c r="B4183" s="2" t="s">
        <v>12299</v>
      </c>
      <c r="C4183" s="2">
        <f>IFERROR(__xludf.DUMMYFUNCTION("split(B4183,""_"")"),1110.0)</f>
        <v>1110</v>
      </c>
      <c r="D4183" s="2" t="str">
        <f>IFERROR(__xludf.DUMMYFUNCTION("""COMPUTED_VALUE"""),"NTV")</f>
        <v>NTV</v>
      </c>
      <c r="E4183" s="2" t="str">
        <f>IFERROR(__xludf.DUMMYFUNCTION("""COMPUTED_VALUE"""),"水22")</f>
        <v>水22</v>
      </c>
      <c r="F4183" s="2" t="s">
        <v>12300</v>
      </c>
      <c r="G4183" s="2" t="s">
        <v>12315</v>
      </c>
      <c r="H4183" s="1">
        <v>8.0</v>
      </c>
      <c r="I4183" s="1" t="s">
        <v>2896</v>
      </c>
      <c r="J4183" s="1" t="s">
        <v>86</v>
      </c>
      <c r="K4183" s="2" t="s">
        <v>12316</v>
      </c>
      <c r="L4183" s="2"/>
      <c r="M4183" s="2" t="str">
        <f>IFERROR(__xludf.DUMMYFUNCTION("split(split(K4183,""【演出"",false),""ほか"",false)"),"松嶋菜々子、長谷川博己、相武紗季、忽那汐里、  中川大志、綾部守人、本田望結、平泉成、白川由美子供たちは、三田(松嶋菜々子)の心を開こうと必死に訴えかける。希衣は三田にモナカを差し出す。それを三田は噛みしめるように食べた。そして、ついに自分の過去を語り始めるのだった…。三田「こうして、わたくしの人生から未来が消えました。」まるで、ダムが決壊したようにあふれる想いを吐露する三田。夫と息子はなぜ死んだのか?三田が感情を失い、笑わなくなった背景には、壮絶な過去があった・・・")</f>
        <v>松嶋菜々子、長谷川博己、相武紗季、忽那汐里、  中川大志、綾部守人、本田望結、平泉成、白川由美子供たちは、三田(松嶋菜々子)の心を開こうと必死に訴えかける。希衣は三田にモナカを差し出す。それを三田は噛みしめるように食べた。そして、ついに自分の過去を語り始めるのだった…。三田「こうして、わたくしの人生から未来が消えました。」まるで、ダムが決壊したようにあふれる想いを吐露する三田。夫と息子はなぜ死んだのか?三田が感情を失い、笑わなくなった背景には、壮絶な過去があった・・・</v>
      </c>
      <c r="N4183" s="2"/>
      <c r="O4183" s="2"/>
      <c r="P4183" s="1"/>
      <c r="Q4183" s="1"/>
      <c r="R4183" s="1"/>
      <c r="S4183" s="1"/>
      <c r="T4183" s="1"/>
      <c r="U4183" s="1"/>
      <c r="V4183" s="1"/>
      <c r="W4183" s="1"/>
      <c r="X4183" s="1"/>
      <c r="Y4183" s="1"/>
      <c r="Z4183" s="1"/>
      <c r="AA4183" s="1"/>
      <c r="AB4183" s="1"/>
      <c r="AC4183" s="1"/>
      <c r="AD4183" s="1"/>
      <c r="AE4183" s="1"/>
      <c r="AF4183" s="1"/>
      <c r="AG4183" s="1"/>
      <c r="AH4183" s="1"/>
      <c r="AI4183" s="1"/>
      <c r="AJ4183" s="1"/>
      <c r="AK4183" s="1"/>
      <c r="AL4183" s="1"/>
      <c r="AM4183" s="1"/>
      <c r="AN4183" s="1"/>
      <c r="AO4183" s="1"/>
      <c r="AP4183" s="1"/>
      <c r="AQ4183" s="1"/>
      <c r="AR4183" s="1"/>
      <c r="AS4183" s="1"/>
      <c r="AT4183" s="1"/>
      <c r="AU4183" s="1"/>
      <c r="AV4183" s="1"/>
      <c r="AW4183" s="1"/>
      <c r="AX4183" s="1"/>
      <c r="AY4183" s="1"/>
      <c r="AZ4183" s="1"/>
      <c r="BA4183" s="1"/>
      <c r="BB4183" s="1"/>
    </row>
    <row r="4184" ht="204.75" customHeight="1">
      <c r="A4184" s="1">
        <v>4119.0</v>
      </c>
      <c r="B4184" s="2" t="s">
        <v>12299</v>
      </c>
      <c r="C4184" s="2">
        <f>IFERROR(__xludf.DUMMYFUNCTION("split(B4184,""_"")"),1110.0)</f>
        <v>1110</v>
      </c>
      <c r="D4184" s="2" t="str">
        <f>IFERROR(__xludf.DUMMYFUNCTION("""COMPUTED_VALUE"""),"NTV")</f>
        <v>NTV</v>
      </c>
      <c r="E4184" s="2" t="str">
        <f>IFERROR(__xludf.DUMMYFUNCTION("""COMPUTED_VALUE"""),"水22")</f>
        <v>水22</v>
      </c>
      <c r="F4184" s="2" t="s">
        <v>12300</v>
      </c>
      <c r="G4184" s="2" t="s">
        <v>12317</v>
      </c>
      <c r="H4184" s="1">
        <v>9.0</v>
      </c>
      <c r="I4184" s="1" t="s">
        <v>2900</v>
      </c>
      <c r="J4184" s="1" t="s">
        <v>82</v>
      </c>
      <c r="K4184" s="2" t="s">
        <v>12318</v>
      </c>
      <c r="L4184" s="2"/>
      <c r="M4184" s="2" t="str">
        <f>IFERROR(__xludf.DUMMYFUNCTION("split(split(K4184,""【演出"",false),""ほか"",false)"),"松嶋菜々子、長谷川博己、相武紗季、忽那汐里、  中川大志、綾部守人、本田望結、平泉成、白川由美　壮絶な過去を告白して、阿須田家から去っていった三田(松嶋菜々子)は、なんと隣の皆川家で働き始める。真利子は三田に夫を尾行するよう指示し、不倫の事実を知る。やけになった真利子は「一家心中するから家ごと燃やして」と三田に命じる。三田はリビングに灯油をまき、火をつけようとする。パニックに陥った真利子は三田に「あなたが死ねばいい」と口走る。その言葉を聞いた三田は、自ら灯油をかぶり…。")</f>
        <v>松嶋菜々子、長谷川博己、相武紗季、忽那汐里、  中川大志、綾部守人、本田望結、平泉成、白川由美　壮絶な過去を告白して、阿須田家から去っていった三田(松嶋菜々子)は、なんと隣の皆川家で働き始める。真利子は三田に夫を尾行するよう指示し、不倫の事実を知る。やけになった真利子は「一家心中するから家ごと燃やして」と三田に命じる。三田はリビングに灯油をまき、火をつけようとする。パニックに陥った真利子は三田に「あなたが死ねばいい」と口走る。その言葉を聞いた三田は、自ら灯油をかぶり…。</v>
      </c>
      <c r="N4184" s="2"/>
      <c r="O4184" s="2"/>
      <c r="P4184" s="1"/>
      <c r="Q4184" s="1"/>
      <c r="R4184" s="1"/>
      <c r="S4184" s="1"/>
      <c r="T4184" s="1"/>
      <c r="U4184" s="1"/>
      <c r="V4184" s="1"/>
      <c r="W4184" s="1"/>
      <c r="X4184" s="1"/>
      <c r="Y4184" s="1"/>
      <c r="Z4184" s="1"/>
      <c r="AA4184" s="1"/>
      <c r="AB4184" s="1"/>
      <c r="AC4184" s="1"/>
      <c r="AD4184" s="1"/>
      <c r="AE4184" s="1"/>
      <c r="AF4184" s="1"/>
      <c r="AG4184" s="1"/>
      <c r="AH4184" s="1"/>
      <c r="AI4184" s="1"/>
      <c r="AJ4184" s="1"/>
      <c r="AK4184" s="1"/>
      <c r="AL4184" s="1"/>
      <c r="AM4184" s="1"/>
      <c r="AN4184" s="1"/>
      <c r="AO4184" s="1"/>
      <c r="AP4184" s="1"/>
      <c r="AQ4184" s="1"/>
      <c r="AR4184" s="1"/>
      <c r="AS4184" s="1"/>
      <c r="AT4184" s="1"/>
      <c r="AU4184" s="1"/>
      <c r="AV4184" s="1"/>
      <c r="AW4184" s="1"/>
      <c r="AX4184" s="1"/>
      <c r="AY4184" s="1"/>
      <c r="AZ4184" s="1"/>
      <c r="BA4184" s="1"/>
      <c r="BB4184" s="1"/>
    </row>
    <row r="4185" ht="204.75" customHeight="1">
      <c r="A4185" s="1">
        <v>4120.0</v>
      </c>
      <c r="B4185" s="2" t="s">
        <v>12299</v>
      </c>
      <c r="C4185" s="2">
        <f>IFERROR(__xludf.DUMMYFUNCTION("split(B4185,""_"")"),1110.0)</f>
        <v>1110</v>
      </c>
      <c r="D4185" s="2" t="str">
        <f>IFERROR(__xludf.DUMMYFUNCTION("""COMPUTED_VALUE"""),"NTV")</f>
        <v>NTV</v>
      </c>
      <c r="E4185" s="2" t="str">
        <f>IFERROR(__xludf.DUMMYFUNCTION("""COMPUTED_VALUE"""),"水22")</f>
        <v>水22</v>
      </c>
      <c r="F4185" s="2" t="s">
        <v>12300</v>
      </c>
      <c r="G4185" s="2" t="s">
        <v>12319</v>
      </c>
      <c r="H4185" s="1">
        <v>10.0</v>
      </c>
      <c r="I4185" s="1" t="s">
        <v>37</v>
      </c>
      <c r="J4185" s="1" t="s">
        <v>82</v>
      </c>
      <c r="K4185" s="2" t="s">
        <v>12320</v>
      </c>
      <c r="L4185" s="2"/>
      <c r="M4185" s="2" t="str">
        <f>IFERROR(__xludf.DUMMYFUNCTION("split(split(K4185,""【演出"",false),""ほか"",false)"),"松嶋菜々子、長谷川博己、相武紗季、忽那汐里、  中川大志、綾部守人、本田望結、勝地涼(友情出演)、平泉成、白川由美再び阿須田家に戻った三田(松嶋菜々子)は、亡くなった夫と息子の幻覚を見るようになる。海斗は授業参観で母への感謝状を読むことになった。悩む海斗に三田は声をかけそうになるが・・・そんな中、夕食の準備をする三田を手伝おうとした希衣が火傷を負ってしまう。「自分が周りの人間を不幸にしてしまう呪縛からは逃れられない」そう痛感した三田は遊園地へ赴く。死んだ夫と息子の幻覚と向き合うために…")</f>
        <v>松嶋菜々子、長谷川博己、相武紗季、忽那汐里、  中川大志、綾部守人、本田望結、勝地涼(友情出演)、平泉成、白川由美再び阿須田家に戻った三田(松嶋菜々子)は、亡くなった夫と息子の幻覚を見るようになる。海斗は授業参観で母への感謝状を読むことになった。悩む海斗に三田は声をかけそうになるが・・・そんな中、夕食の準備をする三田を手伝おうとした希衣が火傷を負ってしまう。「自分が周りの人間を不幸にしてしまう呪縛からは逃れられない」そう痛感した三田は遊園地へ赴く。死んだ夫と息子の幻覚と向き合うために…</v>
      </c>
      <c r="N4185" s="2"/>
      <c r="O4185" s="2"/>
      <c r="P4185" s="1"/>
      <c r="Q4185" s="1"/>
      <c r="R4185" s="1"/>
      <c r="S4185" s="1"/>
      <c r="T4185" s="1"/>
      <c r="U4185" s="1"/>
      <c r="V4185" s="1"/>
      <c r="W4185" s="1"/>
      <c r="X4185" s="1"/>
      <c r="Y4185" s="1"/>
      <c r="Z4185" s="1"/>
      <c r="AA4185" s="1"/>
      <c r="AB4185" s="1"/>
      <c r="AC4185" s="1"/>
      <c r="AD4185" s="1"/>
      <c r="AE4185" s="1"/>
      <c r="AF4185" s="1"/>
      <c r="AG4185" s="1"/>
      <c r="AH4185" s="1"/>
      <c r="AI4185" s="1"/>
      <c r="AJ4185" s="1"/>
      <c r="AK4185" s="1"/>
      <c r="AL4185" s="1"/>
      <c r="AM4185" s="1"/>
      <c r="AN4185" s="1"/>
      <c r="AO4185" s="1"/>
      <c r="AP4185" s="1"/>
      <c r="AQ4185" s="1"/>
      <c r="AR4185" s="1"/>
      <c r="AS4185" s="1"/>
      <c r="AT4185" s="1"/>
      <c r="AU4185" s="1"/>
      <c r="AV4185" s="1"/>
      <c r="AW4185" s="1"/>
      <c r="AX4185" s="1"/>
      <c r="AY4185" s="1"/>
      <c r="AZ4185" s="1"/>
      <c r="BA4185" s="1"/>
      <c r="BB4185" s="1"/>
    </row>
    <row r="4186" ht="204.75" customHeight="1">
      <c r="A4186" s="1">
        <v>4121.0</v>
      </c>
      <c r="B4186" s="2" t="s">
        <v>12299</v>
      </c>
      <c r="C4186" s="2">
        <f>IFERROR(__xludf.DUMMYFUNCTION("split(B4186,""_"")"),1110.0)</f>
        <v>1110</v>
      </c>
      <c r="D4186" s="2" t="str">
        <f>IFERROR(__xludf.DUMMYFUNCTION("""COMPUTED_VALUE"""),"NTV")</f>
        <v>NTV</v>
      </c>
      <c r="E4186" s="2" t="str">
        <f>IFERROR(__xludf.DUMMYFUNCTION("""COMPUTED_VALUE"""),"水22")</f>
        <v>水22</v>
      </c>
      <c r="F4186" s="2" t="s">
        <v>12300</v>
      </c>
      <c r="G4186" s="2" t="s">
        <v>12321</v>
      </c>
      <c r="H4186" s="1">
        <v>11.0</v>
      </c>
      <c r="I4186" s="1" t="s">
        <v>41</v>
      </c>
      <c r="J4186" s="1" t="s">
        <v>82</v>
      </c>
      <c r="K4186" s="2" t="s">
        <v>12322</v>
      </c>
      <c r="L4186" s="2"/>
      <c r="M4186" s="2" t="str">
        <f>IFERROR(__xludf.DUMMYFUNCTION("split(split(K4186,""【演出"",false),""ほか"",false)"),"松嶋菜々子、長谷川博己、相武紗季、忽那汐里、  中川大志、綾部守人、本田望結、勝地涼(友情出演)、平泉成、白川由美三田(松嶋菜々子)は阿須田家の“母親”になった。喜ぶ子供たちだったが、三田は意外な行動を取り始め、恵一(長谷川博己)が食事中に倒れて入院するなど、阿須田家に不穏な空気が漂う。子供たちは三田が家を乗っ取るつもりではないかと疑い始める。一方、うららは見合い相手との結婚を決意する。三田の真意は一体何なのか?そして、三田は笑顔を見せるのだろうか?")</f>
        <v>松嶋菜々子、長谷川博己、相武紗季、忽那汐里、  中川大志、綾部守人、本田望結、勝地涼(友情出演)、平泉成、白川由美三田(松嶋菜々子)は阿須田家の“母親”になった。喜ぶ子供たちだったが、三田は意外な行動を取り始め、恵一(長谷川博己)が食事中に倒れて入院するなど、阿須田家に不穏な空気が漂う。子供たちは三田が家を乗っ取るつもりではないかと疑い始める。一方、うららは見合い相手との結婚を決意する。三田の真意は一体何なのか?そして、三田は笑顔を見せるのだろうか?</v>
      </c>
      <c r="N4186" s="2"/>
      <c r="O4186" s="2"/>
      <c r="P4186" s="1"/>
      <c r="Q4186" s="1"/>
      <c r="R4186" s="1"/>
      <c r="S4186" s="1"/>
      <c r="T4186" s="1"/>
      <c r="U4186" s="1"/>
      <c r="V4186" s="1"/>
      <c r="W4186" s="1"/>
      <c r="X4186" s="1"/>
      <c r="Y4186" s="1"/>
      <c r="Z4186" s="1"/>
      <c r="AA4186" s="1"/>
      <c r="AB4186" s="1"/>
      <c r="AC4186" s="1"/>
      <c r="AD4186" s="1"/>
      <c r="AE4186" s="1"/>
      <c r="AF4186" s="1"/>
      <c r="AG4186" s="1"/>
      <c r="AH4186" s="1"/>
      <c r="AI4186" s="1"/>
      <c r="AJ4186" s="1"/>
      <c r="AK4186" s="1"/>
      <c r="AL4186" s="1"/>
      <c r="AM4186" s="1"/>
      <c r="AN4186" s="1"/>
      <c r="AO4186" s="1"/>
      <c r="AP4186" s="1"/>
      <c r="AQ4186" s="1"/>
      <c r="AR4186" s="1"/>
      <c r="AS4186" s="1"/>
      <c r="AT4186" s="1"/>
      <c r="AU4186" s="1"/>
      <c r="AV4186" s="1"/>
      <c r="AW4186" s="1"/>
      <c r="AX4186" s="1"/>
      <c r="AY4186" s="1"/>
      <c r="AZ4186" s="1"/>
      <c r="BA4186" s="1"/>
      <c r="BB4186" s="1"/>
    </row>
    <row r="4187" ht="204.75" customHeight="1">
      <c r="A4187" s="1">
        <v>4168.0</v>
      </c>
      <c r="B4187" s="2" t="s">
        <v>12323</v>
      </c>
      <c r="C4187" s="2">
        <f>IFERROR(__xludf.DUMMYFUNCTION("split(B4187,""_"")"),1110.0)</f>
        <v>1110</v>
      </c>
      <c r="D4187" s="2" t="str">
        <f>IFERROR(__xludf.DUMMYFUNCTION("""COMPUTED_VALUE"""),"NTV")</f>
        <v>NTV</v>
      </c>
      <c r="E4187" s="2" t="str">
        <f>IFERROR(__xludf.DUMMYFUNCTION("""COMPUTED_VALUE"""),"土21")</f>
        <v>土21</v>
      </c>
      <c r="F4187" s="2" t="s">
        <v>12324</v>
      </c>
      <c r="G4187" s="2" t="s">
        <v>12325</v>
      </c>
      <c r="H4187" s="1">
        <v>1.0</v>
      </c>
      <c r="I4187" s="1" t="s">
        <v>2868</v>
      </c>
      <c r="J4187" s="1" t="s">
        <v>4</v>
      </c>
      <c r="K4187" s="2" t="s">
        <v>12326</v>
      </c>
      <c r="L4187" s="2"/>
      <c r="M4187" s="2" t="str">
        <f>IFERROR(__xludf.DUMMYFUNCTION("split(split(K4187,""【演出"",false),""ほか"",false)"),"亀梨和也、杏、鈴木福、柄本明(特別出演)、堀ちえみ、石橋杏奈、杉咲花、永岡佑、広田レオナ、あがた森魚、北村一輝ベム(亀梨和也)、ベラ(杏)、ベロ(鈴木福)は妖怪人間。普段は人間の姿に化け、家族として生活しているが、怒りや悲しみなど気持ちが高まると醜い妖怪の姿に戻ってしまう。彼らは正義感から人間を助けては、恐れ嫌われる暮らしを長い間続け、「はやく人間になりたい」と願っていた。ある日、ベムは男を助け、刑事・夏目(北村一輝)と知り合うがーー。狩山俊輔【原作】アサツー　ディー・ケイ  【脚本】西田征史サキタハジメ")</f>
        <v>亀梨和也、杏、鈴木福、柄本明(特別出演)、堀ちえみ、石橋杏奈、杉咲花、永岡佑、広田レオナ、あがた森魚、北村一輝ベム(亀梨和也)、ベラ(杏)、ベロ(鈴木福)は妖怪人間。普段は人間の姿に化け、家族として生活しているが、怒りや悲しみなど気持ちが高まると醜い妖怪の姿に戻ってしまう。彼らは正義感から人間を助けては、恐れ嫌われる暮らしを長い間続け、「はやく人間になりたい」と願っていた。ある日、ベムは男を助け、刑事・夏目(北村一輝)と知り合うがーー。狩山俊輔【原作】アサツー　ディー・ケイ  【脚本】西田征史サキタハジメ</v>
      </c>
      <c r="N4187" s="2"/>
      <c r="O4187" s="2"/>
      <c r="P4187" s="1"/>
      <c r="Q4187" s="1"/>
      <c r="R4187" s="1"/>
      <c r="S4187" s="1"/>
      <c r="T4187" s="1"/>
      <c r="U4187" s="1"/>
      <c r="V4187" s="1"/>
      <c r="W4187" s="1"/>
      <c r="X4187" s="1"/>
      <c r="Y4187" s="1"/>
      <c r="Z4187" s="1"/>
      <c r="AA4187" s="1"/>
      <c r="AB4187" s="1"/>
      <c r="AC4187" s="1"/>
      <c r="AD4187" s="1"/>
      <c r="AE4187" s="1"/>
      <c r="AF4187" s="1"/>
      <c r="AG4187" s="1"/>
      <c r="AH4187" s="1"/>
      <c r="AI4187" s="1"/>
      <c r="AJ4187" s="1"/>
      <c r="AK4187" s="1"/>
      <c r="AL4187" s="1"/>
      <c r="AM4187" s="1"/>
      <c r="AN4187" s="1"/>
      <c r="AO4187" s="1"/>
      <c r="AP4187" s="1"/>
      <c r="AQ4187" s="1"/>
      <c r="AR4187" s="1"/>
      <c r="AS4187" s="1"/>
      <c r="AT4187" s="1"/>
      <c r="AU4187" s="1"/>
      <c r="AV4187" s="1"/>
      <c r="AW4187" s="1"/>
      <c r="AX4187" s="1"/>
      <c r="AY4187" s="1"/>
      <c r="AZ4187" s="1"/>
      <c r="BA4187" s="1"/>
      <c r="BB4187" s="1"/>
    </row>
    <row r="4188" ht="204.75" customHeight="1">
      <c r="A4188" s="1">
        <v>4169.0</v>
      </c>
      <c r="B4188" s="2" t="s">
        <v>12323</v>
      </c>
      <c r="C4188" s="2">
        <f>IFERROR(__xludf.DUMMYFUNCTION("split(B4188,""_"")"),1110.0)</f>
        <v>1110</v>
      </c>
      <c r="D4188" s="2" t="str">
        <f>IFERROR(__xludf.DUMMYFUNCTION("""COMPUTED_VALUE"""),"NTV")</f>
        <v>NTV</v>
      </c>
      <c r="E4188" s="2" t="str">
        <f>IFERROR(__xludf.DUMMYFUNCTION("""COMPUTED_VALUE"""),"土21")</f>
        <v>土21</v>
      </c>
      <c r="F4188" s="2" t="s">
        <v>12324</v>
      </c>
      <c r="G4188" s="2" t="s">
        <v>12327</v>
      </c>
      <c r="H4188" s="1">
        <v>2.0</v>
      </c>
      <c r="I4188" s="1" t="s">
        <v>2872</v>
      </c>
      <c r="J4188" s="1" t="s">
        <v>11</v>
      </c>
      <c r="K4188" s="2" t="s">
        <v>12328</v>
      </c>
      <c r="L4188" s="2"/>
      <c r="M4188" s="2" t="str">
        <f>IFERROR(__xludf.DUMMYFUNCTION("split(split(K4188,""【演出"",false),""ほか"",false)"),"亀梨和也、杏、鈴木福、柄本明(特別出演)、堀ちえみ、石橋杏奈、杉咲花、永岡佑、広田レオナ、あがた森魚、北村一輝妖怪の姿を夏目刑事(北村一輝)に見られたベム(亀梨和也)、ベラ(杏)ベロ(鈴木福)は街を出ようとする。人の涙で人間になれるというベロの言葉も気になるベム。そんな時、バケモノが人間を襲うという事件が勃発。人間がバケモノの格好をして事件を犯しているに違いないと思ったベムたちは、街を出るのを一旦やめ、犯人を突き止めようとする。狩山俊輔【原作】アサツー　ディ・ケイ  【脚本】西田征史【音楽】サキタハジメ "&amp;" 【主題歌】『BIRTH』KATーTUN")</f>
        <v>亀梨和也、杏、鈴木福、柄本明(特別出演)、堀ちえみ、石橋杏奈、杉咲花、永岡佑、広田レオナ、あがた森魚、北村一輝妖怪の姿を夏目刑事(北村一輝)に見られたベム(亀梨和也)、ベラ(杏)ベロ(鈴木福)は街を出ようとする。人の涙で人間になれるというベロの言葉も気になるベム。そんな時、バケモノが人間を襲うという事件が勃発。人間がバケモノの格好をして事件を犯しているに違いないと思ったベムたちは、街を出るのを一旦やめ、犯人を突き止めようとする。狩山俊輔【原作】アサツー　ディ・ケイ  【脚本】西田征史【音楽】サキタハジメ  【主題歌】『BIRTH』KATーTUN</v>
      </c>
      <c r="N4188" s="2"/>
      <c r="O4188" s="2"/>
      <c r="P4188" s="1"/>
      <c r="Q4188" s="1"/>
      <c r="R4188" s="1"/>
      <c r="S4188" s="1"/>
      <c r="T4188" s="1"/>
      <c r="U4188" s="1"/>
      <c r="V4188" s="1"/>
      <c r="W4188" s="1"/>
      <c r="X4188" s="1"/>
      <c r="Y4188" s="1"/>
      <c r="Z4188" s="1"/>
      <c r="AA4188" s="1"/>
      <c r="AB4188" s="1"/>
      <c r="AC4188" s="1"/>
      <c r="AD4188" s="1"/>
      <c r="AE4188" s="1"/>
      <c r="AF4188" s="1"/>
      <c r="AG4188" s="1"/>
      <c r="AH4188" s="1"/>
      <c r="AI4188" s="1"/>
      <c r="AJ4188" s="1"/>
      <c r="AK4188" s="1"/>
      <c r="AL4188" s="1"/>
      <c r="AM4188" s="1"/>
      <c r="AN4188" s="1"/>
      <c r="AO4188" s="1"/>
      <c r="AP4188" s="1"/>
      <c r="AQ4188" s="1"/>
      <c r="AR4188" s="1"/>
      <c r="AS4188" s="1"/>
      <c r="AT4188" s="1"/>
      <c r="AU4188" s="1"/>
      <c r="AV4188" s="1"/>
      <c r="AW4188" s="1"/>
      <c r="AX4188" s="1"/>
      <c r="AY4188" s="1"/>
      <c r="AZ4188" s="1"/>
      <c r="BA4188" s="1"/>
      <c r="BB4188" s="1"/>
    </row>
    <row r="4189" ht="204.75" customHeight="1">
      <c r="A4189" s="1">
        <v>4170.0</v>
      </c>
      <c r="B4189" s="2" t="s">
        <v>12323</v>
      </c>
      <c r="C4189" s="2">
        <f>IFERROR(__xludf.DUMMYFUNCTION("split(B4189,""_"")"),1110.0)</f>
        <v>1110</v>
      </c>
      <c r="D4189" s="2" t="str">
        <f>IFERROR(__xludf.DUMMYFUNCTION("""COMPUTED_VALUE"""),"NTV")</f>
        <v>NTV</v>
      </c>
      <c r="E4189" s="2" t="str">
        <f>IFERROR(__xludf.DUMMYFUNCTION("""COMPUTED_VALUE"""),"土21")</f>
        <v>土21</v>
      </c>
      <c r="F4189" s="2" t="s">
        <v>12324</v>
      </c>
      <c r="G4189" s="2" t="s">
        <v>12329</v>
      </c>
      <c r="H4189" s="1">
        <v>3.0</v>
      </c>
      <c r="I4189" s="1" t="s">
        <v>2876</v>
      </c>
      <c r="J4189" s="1" t="s">
        <v>11</v>
      </c>
      <c r="K4189" s="2" t="s">
        <v>12330</v>
      </c>
      <c r="L4189" s="2"/>
      <c r="M4189" s="2" t="str">
        <f>IFERROR(__xludf.DUMMYFUNCTION("split(split(K4189,""【演出"",false),""ほか"",false)"),"亀梨和也、杏、鈴木福、柄本明(特別出演)、堀ちえみ、石橋杏奈、杉咲花、永岡佑、広田レオナ、あがた森魚、北村一輝　")</f>
        <v>亀梨和也、杏、鈴木福、柄本明(特別出演)、堀ちえみ、石橋杏奈、杉咲花、永岡佑、広田レオナ、あがた森魚、北村一輝　</v>
      </c>
      <c r="N4189" s="2" t="str">
        <f>IFERROR(__xludf.DUMMYFUNCTION("""COMPUTED_VALUE"""),"涙で人間になれると思ったベム(亀梨和也)、ベラ(杏)、ベロ(鈴木福)は人間の涙集めに奔走する。そんな中、公園で老人・和久井忠雄(平田満)と出会う。3人は50年ほど前、首を吊ろうとした和久井を助けた過去があった。そして、3人の前で死のうとする和久井。ベムたちは再び和久井を助けるが、和久井は50年前の姿のままの彼らが同じ人物とは気付かない。そんな和久井にベムたちは・・・佐久間紀佳【原作】アサツー　ディ・ケイ  【脚本】西田征史【音楽】サキタハジメ  【主題歌】「BIRTH」KATーTUN")</f>
        <v>涙で人間になれると思ったベム(亀梨和也)、ベラ(杏)、ベロ(鈴木福)は人間の涙集めに奔走する。そんな中、公園で老人・和久井忠雄(平田満)と出会う。3人は50年ほど前、首を吊ろうとした和久井を助けた過去があった。そして、3人の前で死のうとする和久井。ベムたちは再び和久井を助けるが、和久井は50年前の姿のままの彼らが同じ人物とは気付かない。そんな和久井にベムたちは・・・佐久間紀佳【原作】アサツー　ディ・ケイ  【脚本】西田征史【音楽】サキタハジメ  【主題歌】「BIRTH」KATーTUN</v>
      </c>
      <c r="O4189" s="2"/>
      <c r="P4189" s="1"/>
      <c r="Q4189" s="1"/>
      <c r="R4189" s="1"/>
      <c r="S4189" s="1"/>
      <c r="T4189" s="1"/>
      <c r="U4189" s="1"/>
      <c r="V4189" s="1"/>
      <c r="W4189" s="1"/>
      <c r="X4189" s="1"/>
      <c r="Y4189" s="1"/>
      <c r="Z4189" s="1"/>
      <c r="AA4189" s="1"/>
      <c r="AB4189" s="1"/>
      <c r="AC4189" s="1"/>
      <c r="AD4189" s="1"/>
      <c r="AE4189" s="1"/>
      <c r="AF4189" s="1"/>
      <c r="AG4189" s="1"/>
      <c r="AH4189" s="1"/>
      <c r="AI4189" s="1"/>
      <c r="AJ4189" s="1"/>
      <c r="AK4189" s="1"/>
      <c r="AL4189" s="1"/>
      <c r="AM4189" s="1"/>
      <c r="AN4189" s="1"/>
      <c r="AO4189" s="1"/>
      <c r="AP4189" s="1"/>
      <c r="AQ4189" s="1"/>
      <c r="AR4189" s="1"/>
      <c r="AS4189" s="1"/>
      <c r="AT4189" s="1"/>
      <c r="AU4189" s="1"/>
      <c r="AV4189" s="1"/>
      <c r="AW4189" s="1"/>
      <c r="AX4189" s="1"/>
      <c r="AY4189" s="1"/>
      <c r="AZ4189" s="1"/>
      <c r="BA4189" s="1"/>
      <c r="BB4189" s="1"/>
    </row>
    <row r="4190" ht="204.75" customHeight="1">
      <c r="A4190" s="1">
        <v>4171.0</v>
      </c>
      <c r="B4190" s="2" t="s">
        <v>12323</v>
      </c>
      <c r="C4190" s="2">
        <f>IFERROR(__xludf.DUMMYFUNCTION("split(B4190,""_"")"),1110.0)</f>
        <v>1110</v>
      </c>
      <c r="D4190" s="2" t="str">
        <f>IFERROR(__xludf.DUMMYFUNCTION("""COMPUTED_VALUE"""),"NTV")</f>
        <v>NTV</v>
      </c>
      <c r="E4190" s="2" t="str">
        <f>IFERROR(__xludf.DUMMYFUNCTION("""COMPUTED_VALUE"""),"土21")</f>
        <v>土21</v>
      </c>
      <c r="F4190" s="2" t="s">
        <v>12324</v>
      </c>
      <c r="G4190" s="2" t="s">
        <v>12331</v>
      </c>
      <c r="H4190" s="1">
        <v>4.0</v>
      </c>
      <c r="I4190" s="1" t="s">
        <v>2880</v>
      </c>
      <c r="J4190" s="1" t="s">
        <v>11</v>
      </c>
      <c r="K4190" s="2" t="s">
        <v>12332</v>
      </c>
      <c r="L4190" s="2"/>
      <c r="M4190" s="2" t="str">
        <f>IFERROR(__xludf.DUMMYFUNCTION("split(split(K4190,""【演出"",false),""ほか"",false)"),"亀梨和也、杏、鈴木福、柄本明(特別出演)、堀ちえみ、石橋杏奈、杉咲花、永岡佑、広田レオナ、あがた森魚、北村一輝　")</f>
        <v>亀梨和也、杏、鈴木福、柄本明(特別出演)、堀ちえみ、石橋杏奈、杉咲花、永岡佑、広田レオナ、あがた森魚、北村一輝　</v>
      </c>
      <c r="N4190" s="2" t="str">
        <f>IFERROR(__xludf.DUMMYFUNCTION("""COMPUTED_VALUE"""),"バケモノを目撃した夏目(北村一輝)は、ベム(亀梨和也)たちに絵を描いて見せる。そこには妖怪姿のベム、ベラ(杏)、ベロ(鈴木福)が描かれていた。夏目はそれがベムたちであるとは気づいていないが、正体がバレてしまう、と思ったベラは二度と夏目家に近づかないようベロに言う。しかし反抗したベロは家を飛び出し、一人の女性・朝比奈光(紺野まひる)と出会う。佐久間紀佳【原作】アサツー　ディ・ケイ  【脚本】西田征史【音楽】サキタハジメ  【主題歌】『BIRTH』KATーTUN(ジェイ・ストーム)")</f>
        <v>バケモノを目撃した夏目(北村一輝)は、ベム(亀梨和也)たちに絵を描いて見せる。そこには妖怪姿のベム、ベラ(杏)、ベロ(鈴木福)が描かれていた。夏目はそれがベムたちであるとは気づいていないが、正体がバレてしまう、と思ったベラは二度と夏目家に近づかないようベロに言う。しかし反抗したベロは家を飛び出し、一人の女性・朝比奈光(紺野まひる)と出会う。佐久間紀佳【原作】アサツー　ディ・ケイ  【脚本】西田征史【音楽】サキタハジメ  【主題歌】『BIRTH』KATーTUN(ジェイ・ストーム)</v>
      </c>
      <c r="O4190" s="2"/>
      <c r="P4190" s="1"/>
      <c r="Q4190" s="1"/>
      <c r="R4190" s="1"/>
      <c r="S4190" s="1"/>
      <c r="T4190" s="1"/>
      <c r="U4190" s="1"/>
      <c r="V4190" s="1"/>
      <c r="W4190" s="1"/>
      <c r="X4190" s="1"/>
      <c r="Y4190" s="1"/>
      <c r="Z4190" s="1"/>
      <c r="AA4190" s="1"/>
      <c r="AB4190" s="1"/>
      <c r="AC4190" s="1"/>
      <c r="AD4190" s="1"/>
      <c r="AE4190" s="1"/>
      <c r="AF4190" s="1"/>
      <c r="AG4190" s="1"/>
      <c r="AH4190" s="1"/>
      <c r="AI4190" s="1"/>
      <c r="AJ4190" s="1"/>
      <c r="AK4190" s="1"/>
      <c r="AL4190" s="1"/>
      <c r="AM4190" s="1"/>
      <c r="AN4190" s="1"/>
      <c r="AO4190" s="1"/>
      <c r="AP4190" s="1"/>
      <c r="AQ4190" s="1"/>
      <c r="AR4190" s="1"/>
      <c r="AS4190" s="1"/>
      <c r="AT4190" s="1"/>
      <c r="AU4190" s="1"/>
      <c r="AV4190" s="1"/>
      <c r="AW4190" s="1"/>
      <c r="AX4190" s="1"/>
      <c r="AY4190" s="1"/>
      <c r="AZ4190" s="1"/>
      <c r="BA4190" s="1"/>
      <c r="BB4190" s="1"/>
    </row>
    <row r="4191" ht="204.75" customHeight="1">
      <c r="A4191" s="1">
        <v>4172.0</v>
      </c>
      <c r="B4191" s="2" t="s">
        <v>12323</v>
      </c>
      <c r="C4191" s="2">
        <f>IFERROR(__xludf.DUMMYFUNCTION("split(B4191,""_"")"),1110.0)</f>
        <v>1110</v>
      </c>
      <c r="D4191" s="2" t="str">
        <f>IFERROR(__xludf.DUMMYFUNCTION("""COMPUTED_VALUE"""),"NTV")</f>
        <v>NTV</v>
      </c>
      <c r="E4191" s="2" t="str">
        <f>IFERROR(__xludf.DUMMYFUNCTION("""COMPUTED_VALUE"""),"土21")</f>
        <v>土21</v>
      </c>
      <c r="F4191" s="2" t="s">
        <v>12324</v>
      </c>
      <c r="G4191" s="2" t="s">
        <v>12333</v>
      </c>
      <c r="H4191" s="1">
        <v>5.0</v>
      </c>
      <c r="I4191" s="1" t="s">
        <v>2884</v>
      </c>
      <c r="J4191" s="1" t="s">
        <v>11</v>
      </c>
      <c r="K4191" s="2" t="s">
        <v>12334</v>
      </c>
      <c r="L4191" s="2"/>
      <c r="M4191" s="2" t="str">
        <f>IFERROR(__xludf.DUMMYFUNCTION("split(split(K4191,""【演出"",false),""ほか"",false)"),"亀梨和也、杏、鈴木福、柄本明(特別出演)、堀ちえみ、石橋杏奈、杉咲花、永岡佑、広田レオナ、あがた森魚、北村一輝ベム(亀梨和也)・ベラ(杏)・ベロ(鈴木福)は緒方家でベムが持っている新聞記事の写真と同じ男が写った写真を緒方教授(あがた森男)にみせられる。一方、街では篠山豊(斎藤工)が警察官を次々と襲っていた。夏目刑事(北村一輝)はその連続警察官暴行事件の捜査をしながらも、一度見てしまったベムたちの妖怪姿が脳裏から焼きついて離れなかった。そんな中、ベムたちは緒方家から出てきた古びた手紙によって…狩山俊輔【原作"&amp;"】アサツー　ディ・ケイ  【脚本】西田征史【音楽】サキタハジメ  【主題歌】『BIRTH』KATーTUN(ジェイ・ストーム)")</f>
        <v>亀梨和也、杏、鈴木福、柄本明(特別出演)、堀ちえみ、石橋杏奈、杉咲花、永岡佑、広田レオナ、あがた森魚、北村一輝ベム(亀梨和也)・ベラ(杏)・ベロ(鈴木福)は緒方家でベムが持っている新聞記事の写真と同じ男が写った写真を緒方教授(あがた森男)にみせられる。一方、街では篠山豊(斎藤工)が警察官を次々と襲っていた。夏目刑事(北村一輝)はその連続警察官暴行事件の捜査をしながらも、一度見てしまったベムたちの妖怪姿が脳裏から焼きついて離れなかった。そんな中、ベムたちは緒方家から出てきた古びた手紙によって…狩山俊輔【原作】アサツー　ディ・ケイ  【脚本】西田征史【音楽】サキタハジメ  【主題歌】『BIRTH』KATーTUN(ジェイ・ストーム)</v>
      </c>
      <c r="N4191" s="2"/>
      <c r="O4191" s="2"/>
      <c r="P4191" s="1"/>
      <c r="Q4191" s="1"/>
      <c r="R4191" s="1"/>
      <c r="S4191" s="1"/>
      <c r="T4191" s="1"/>
      <c r="U4191" s="1"/>
      <c r="V4191" s="1"/>
      <c r="W4191" s="1"/>
      <c r="X4191" s="1"/>
      <c r="Y4191" s="1"/>
      <c r="Z4191" s="1"/>
      <c r="AA4191" s="1"/>
      <c r="AB4191" s="1"/>
      <c r="AC4191" s="1"/>
      <c r="AD4191" s="1"/>
      <c r="AE4191" s="1"/>
      <c r="AF4191" s="1"/>
      <c r="AG4191" s="1"/>
      <c r="AH4191" s="1"/>
      <c r="AI4191" s="1"/>
      <c r="AJ4191" s="1"/>
      <c r="AK4191" s="1"/>
      <c r="AL4191" s="1"/>
      <c r="AM4191" s="1"/>
      <c r="AN4191" s="1"/>
      <c r="AO4191" s="1"/>
      <c r="AP4191" s="1"/>
      <c r="AQ4191" s="1"/>
      <c r="AR4191" s="1"/>
      <c r="AS4191" s="1"/>
      <c r="AT4191" s="1"/>
      <c r="AU4191" s="1"/>
      <c r="AV4191" s="1"/>
      <c r="AW4191" s="1"/>
      <c r="AX4191" s="1"/>
      <c r="AY4191" s="1"/>
      <c r="AZ4191" s="1"/>
      <c r="BA4191" s="1"/>
      <c r="BB4191" s="1"/>
    </row>
    <row r="4192" ht="204.75" customHeight="1">
      <c r="A4192" s="1">
        <v>4173.0</v>
      </c>
      <c r="B4192" s="2" t="s">
        <v>12323</v>
      </c>
      <c r="C4192" s="2">
        <f>IFERROR(__xludf.DUMMYFUNCTION("split(B4192,""_"")"),1110.0)</f>
        <v>1110</v>
      </c>
      <c r="D4192" s="2" t="str">
        <f>IFERROR(__xludf.DUMMYFUNCTION("""COMPUTED_VALUE"""),"NTV")</f>
        <v>NTV</v>
      </c>
      <c r="E4192" s="2" t="str">
        <f>IFERROR(__xludf.DUMMYFUNCTION("""COMPUTED_VALUE"""),"土21")</f>
        <v>土21</v>
      </c>
      <c r="F4192" s="2" t="s">
        <v>12324</v>
      </c>
      <c r="G4192" s="2" t="s">
        <v>12335</v>
      </c>
      <c r="H4192" s="1">
        <v>6.0</v>
      </c>
      <c r="I4192" s="1" t="s">
        <v>2888</v>
      </c>
      <c r="J4192" s="1" t="s">
        <v>11</v>
      </c>
      <c r="K4192" s="2" t="s">
        <v>12336</v>
      </c>
      <c r="L4192" s="2"/>
      <c r="M4192" s="2" t="str">
        <f>IFERROR(__xludf.DUMMYFUNCTION("split(split(K4192,""【演出"",false),""ほか"",false)"),"亀梨和也、杏、鈴木福、柄本明(特別出演)、堀ちえみ、石橋杏奈、杉咲花、永岡佑、広田レオナ、あがた森魚、北村一輝")</f>
        <v>亀梨和也、杏、鈴木福、柄本明(特別出演)、堀ちえみ、石橋杏奈、杉咲花、永岡佑、広田レオナ、あがた森魚、北村一輝</v>
      </c>
      <c r="N4192" s="2" t="str">
        <f>IFERROR(__xludf.DUMMYFUNCTION("""COMPUTED_VALUE"""),"ベム(亀梨和也)、ベラ(杏)、ベロ(鈴木福)の本当の姿を知った上で夏目刑事(北村一輝)はベムたちの棲家を訪れていた。その時、夏目刑事に暴行事件が起きたと連絡が入る。夏目刑事はその暴行事件の聞き込みの際に大久保という火傷の跡が残る男(田中哲史)に会う。大久保は5年前に起きた夏目の息子が死亡した爆破事件に巻き込まれた一人だった。一方ベラは街で出会った心優しい男性のことが気になりはじめる。浅見真史【原作】アサツー　ディ・ケイ  【脚本】西田征史【音楽】サキタハジメ  【主題歌】『BIRTH』KATーTUN(ジェ"&amp;"イ・ストーム)")</f>
        <v>ベム(亀梨和也)、ベラ(杏)、ベロ(鈴木福)の本当の姿を知った上で夏目刑事(北村一輝)はベムたちの棲家を訪れていた。その時、夏目刑事に暴行事件が起きたと連絡が入る。夏目刑事はその暴行事件の聞き込みの際に大久保という火傷の跡が残る男(田中哲史)に会う。大久保は5年前に起きた夏目の息子が死亡した爆破事件に巻き込まれた一人だった。一方ベラは街で出会った心優しい男性のことが気になりはじめる。浅見真史【原作】アサツー　ディ・ケイ  【脚本】西田征史【音楽】サキタハジメ  【主題歌】『BIRTH』KATーTUN(ジェイ・ストーム)</v>
      </c>
      <c r="O4192" s="2"/>
      <c r="P4192" s="1"/>
      <c r="Q4192" s="1"/>
      <c r="R4192" s="1"/>
      <c r="S4192" s="1"/>
      <c r="T4192" s="1"/>
      <c r="U4192" s="1"/>
      <c r="V4192" s="1"/>
      <c r="W4192" s="1"/>
      <c r="X4192" s="1"/>
      <c r="Y4192" s="1"/>
      <c r="Z4192" s="1"/>
      <c r="AA4192" s="1"/>
      <c r="AB4192" s="1"/>
      <c r="AC4192" s="1"/>
      <c r="AD4192" s="1"/>
      <c r="AE4192" s="1"/>
      <c r="AF4192" s="1"/>
      <c r="AG4192" s="1"/>
      <c r="AH4192" s="1"/>
      <c r="AI4192" s="1"/>
      <c r="AJ4192" s="1"/>
      <c r="AK4192" s="1"/>
      <c r="AL4192" s="1"/>
      <c r="AM4192" s="1"/>
      <c r="AN4192" s="1"/>
      <c r="AO4192" s="1"/>
      <c r="AP4192" s="1"/>
      <c r="AQ4192" s="1"/>
      <c r="AR4192" s="1"/>
      <c r="AS4192" s="1"/>
      <c r="AT4192" s="1"/>
      <c r="AU4192" s="1"/>
      <c r="AV4192" s="1"/>
      <c r="AW4192" s="1"/>
      <c r="AX4192" s="1"/>
      <c r="AY4192" s="1"/>
      <c r="AZ4192" s="1"/>
      <c r="BA4192" s="1"/>
      <c r="BB4192" s="1"/>
    </row>
    <row r="4193" ht="204.75" customHeight="1">
      <c r="A4193" s="1">
        <v>4174.0</v>
      </c>
      <c r="B4193" s="2" t="s">
        <v>12323</v>
      </c>
      <c r="C4193" s="2">
        <f>IFERROR(__xludf.DUMMYFUNCTION("split(B4193,""_"")"),1110.0)</f>
        <v>1110</v>
      </c>
      <c r="D4193" s="2" t="str">
        <f>IFERROR(__xludf.DUMMYFUNCTION("""COMPUTED_VALUE"""),"NTV")</f>
        <v>NTV</v>
      </c>
      <c r="E4193" s="2" t="str">
        <f>IFERROR(__xludf.DUMMYFUNCTION("""COMPUTED_VALUE"""),"土21")</f>
        <v>土21</v>
      </c>
      <c r="F4193" s="2" t="s">
        <v>12324</v>
      </c>
      <c r="G4193" s="2" t="s">
        <v>12337</v>
      </c>
      <c r="H4193" s="1">
        <v>7.0</v>
      </c>
      <c r="I4193" s="1" t="s">
        <v>2892</v>
      </c>
      <c r="J4193" s="1" t="s">
        <v>11</v>
      </c>
      <c r="K4193" s="2" t="s">
        <v>12338</v>
      </c>
      <c r="L4193" s="2"/>
      <c r="M4193" s="2" t="str">
        <f>IFERROR(__xludf.DUMMYFUNCTION("split(split(K4193,""【演出"",false),""ほか"",false)"),"亀梨和也、杏、鈴木福、柄本明(特別出演)、石橋杏奈、永岡佑、杉咲花、綾野剛、佐戸井けん太、田中哲司、古舘寛治、堀ちえみ、広田レオナ、あがた森魚、北村一輝ベム(亀梨和也)、ベラ(杏)、ベロ(鈴木福)は鷹山と名乗る若者(綾野剛)と知り合う。ベムは鷹山が父親(佐戸井けん太)を殺そうとしていることがわかり、説得する。一方、5年前の息子の事故死について名前のない男(柄本明)から「誰かに仕組まれたこと」と告げられた夏目(北村一輝)。夏目はその真相を調べていると、新たな事実が発覚し・・・狩山俊輔【原作】アサツー　ディ・"&amp;"ケイ  【脚本】西田征史【音楽】サキタハジメ  【主題歌】『BIRTH』KATーTUN(ジェイ・ストーム)")</f>
        <v>亀梨和也、杏、鈴木福、柄本明(特別出演)、石橋杏奈、永岡佑、杉咲花、綾野剛、佐戸井けん太、田中哲司、古舘寛治、堀ちえみ、広田レオナ、あがた森魚、北村一輝ベム(亀梨和也)、ベラ(杏)、ベロ(鈴木福)は鷹山と名乗る若者(綾野剛)と知り合う。ベムは鷹山が父親(佐戸井けん太)を殺そうとしていることがわかり、説得する。一方、5年前の息子の事故死について名前のない男(柄本明)から「誰かに仕組まれたこと」と告げられた夏目(北村一輝)。夏目はその真相を調べていると、新たな事実が発覚し・・・狩山俊輔【原作】アサツー　ディ・ケイ  【脚本】西田征史【音楽】サキタハジメ  【主題歌】『BIRTH』KATーTUN(ジェイ・ストーム)</v>
      </c>
      <c r="N4193" s="2"/>
      <c r="O4193" s="2"/>
      <c r="P4193" s="1"/>
      <c r="Q4193" s="1"/>
      <c r="R4193" s="1"/>
      <c r="S4193" s="1"/>
      <c r="T4193" s="1"/>
      <c r="U4193" s="1"/>
      <c r="V4193" s="1"/>
      <c r="W4193" s="1"/>
      <c r="X4193" s="1"/>
      <c r="Y4193" s="1"/>
      <c r="Z4193" s="1"/>
      <c r="AA4193" s="1"/>
      <c r="AB4193" s="1"/>
      <c r="AC4193" s="1"/>
      <c r="AD4193" s="1"/>
      <c r="AE4193" s="1"/>
      <c r="AF4193" s="1"/>
      <c r="AG4193" s="1"/>
      <c r="AH4193" s="1"/>
      <c r="AI4193" s="1"/>
      <c r="AJ4193" s="1"/>
      <c r="AK4193" s="1"/>
      <c r="AL4193" s="1"/>
      <c r="AM4193" s="1"/>
      <c r="AN4193" s="1"/>
      <c r="AO4193" s="1"/>
      <c r="AP4193" s="1"/>
      <c r="AQ4193" s="1"/>
      <c r="AR4193" s="1"/>
      <c r="AS4193" s="1"/>
      <c r="AT4193" s="1"/>
      <c r="AU4193" s="1"/>
      <c r="AV4193" s="1"/>
      <c r="AW4193" s="1"/>
      <c r="AX4193" s="1"/>
      <c r="AY4193" s="1"/>
      <c r="AZ4193" s="1"/>
      <c r="BA4193" s="1"/>
      <c r="BB4193" s="1"/>
    </row>
    <row r="4194" ht="204.75" customHeight="1">
      <c r="A4194" s="1">
        <v>4175.0</v>
      </c>
      <c r="B4194" s="2" t="s">
        <v>12323</v>
      </c>
      <c r="C4194" s="2">
        <f>IFERROR(__xludf.DUMMYFUNCTION("split(B4194,""_"")"),1110.0)</f>
        <v>1110</v>
      </c>
      <c r="D4194" s="2" t="str">
        <f>IFERROR(__xludf.DUMMYFUNCTION("""COMPUTED_VALUE"""),"NTV")</f>
        <v>NTV</v>
      </c>
      <c r="E4194" s="2" t="str">
        <f>IFERROR(__xludf.DUMMYFUNCTION("""COMPUTED_VALUE"""),"土21")</f>
        <v>土21</v>
      </c>
      <c r="F4194" s="2" t="s">
        <v>12324</v>
      </c>
      <c r="G4194" s="2" t="s">
        <v>12339</v>
      </c>
      <c r="H4194" s="1">
        <v>8.0</v>
      </c>
      <c r="I4194" s="1" t="s">
        <v>2896</v>
      </c>
      <c r="J4194" s="1" t="s">
        <v>11</v>
      </c>
      <c r="K4194" s="2" t="s">
        <v>12340</v>
      </c>
      <c r="L4194" s="2"/>
      <c r="M4194" s="2" t="str">
        <f>IFERROR(__xludf.DUMMYFUNCTION("split(split(K4194,""【演出"",false),""ほか"",false)"),"亀梨和也、杏、鈴木福、柄本明(特別出演)、石橋杏奈、永岡佑、杉咲花、古舘寛治、林遼威、小西舞優、堀ちえみ、広田レオナ、あがた森魚、北村一輝名前のない男(柄本明)に「もうすぐ人間になれる」と言われたベム(亀梨和也)、ベラ(杏)、ベロ(鈴木福)。名前の無い男が自分たちを作った博士であるかもしれないと同時に、その男が今までの事件に関わっていると分かり困惑する。  一方、夏目(北村一輝)は東郷(古舘寛治)に襲われ入院していた。そんな中、夏目の妻・菜穂子(堀ちえみ)に脅迫電話がかかってきて・・・浅見真史【原作】アサ"&amp;"ツー　ディ・ケイ  【脚本】西田征史【音楽】サキタハジメ  【主題歌】『BIRTH』KATーTUN(ジェイ・ストーム)")</f>
        <v>亀梨和也、杏、鈴木福、柄本明(特別出演)、石橋杏奈、永岡佑、杉咲花、古舘寛治、林遼威、小西舞優、堀ちえみ、広田レオナ、あがた森魚、北村一輝名前のない男(柄本明)に「もうすぐ人間になれる」と言われたベム(亀梨和也)、ベラ(杏)、ベロ(鈴木福)。名前の無い男が自分たちを作った博士であるかもしれないと同時に、その男が今までの事件に関わっていると分かり困惑する。  一方、夏目(北村一輝)は東郷(古舘寛治)に襲われ入院していた。そんな中、夏目の妻・菜穂子(堀ちえみ)に脅迫電話がかかってきて・・・浅見真史【原作】アサツー　ディ・ケイ  【脚本】西田征史【音楽】サキタハジメ  【主題歌】『BIRTH』KATーTUN(ジェイ・ストーム)</v>
      </c>
      <c r="N4194" s="2"/>
      <c r="O4194" s="2"/>
      <c r="P4194" s="1"/>
      <c r="Q4194" s="1"/>
      <c r="R4194" s="1"/>
      <c r="S4194" s="1"/>
      <c r="T4194" s="1"/>
      <c r="U4194" s="1"/>
      <c r="V4194" s="1"/>
      <c r="W4194" s="1"/>
      <c r="X4194" s="1"/>
      <c r="Y4194" s="1"/>
      <c r="Z4194" s="1"/>
      <c r="AA4194" s="1"/>
      <c r="AB4194" s="1"/>
      <c r="AC4194" s="1"/>
      <c r="AD4194" s="1"/>
      <c r="AE4194" s="1"/>
      <c r="AF4194" s="1"/>
      <c r="AG4194" s="1"/>
      <c r="AH4194" s="1"/>
      <c r="AI4194" s="1"/>
      <c r="AJ4194" s="1"/>
      <c r="AK4194" s="1"/>
      <c r="AL4194" s="1"/>
      <c r="AM4194" s="1"/>
      <c r="AN4194" s="1"/>
      <c r="AO4194" s="1"/>
      <c r="AP4194" s="1"/>
      <c r="AQ4194" s="1"/>
      <c r="AR4194" s="1"/>
      <c r="AS4194" s="1"/>
      <c r="AT4194" s="1"/>
      <c r="AU4194" s="1"/>
      <c r="AV4194" s="1"/>
      <c r="AW4194" s="1"/>
      <c r="AX4194" s="1"/>
      <c r="AY4194" s="1"/>
      <c r="AZ4194" s="1"/>
      <c r="BA4194" s="1"/>
      <c r="BB4194" s="1"/>
    </row>
    <row r="4195" ht="204.75" customHeight="1">
      <c r="A4195" s="1">
        <v>4176.0</v>
      </c>
      <c r="B4195" s="2" t="s">
        <v>12323</v>
      </c>
      <c r="C4195" s="2">
        <f>IFERROR(__xludf.DUMMYFUNCTION("split(B4195,""_"")"),1110.0)</f>
        <v>1110</v>
      </c>
      <c r="D4195" s="2" t="str">
        <f>IFERROR(__xludf.DUMMYFUNCTION("""COMPUTED_VALUE"""),"NTV")</f>
        <v>NTV</v>
      </c>
      <c r="E4195" s="2" t="str">
        <f>IFERROR(__xludf.DUMMYFUNCTION("""COMPUTED_VALUE"""),"土21")</f>
        <v>土21</v>
      </c>
      <c r="F4195" s="2" t="s">
        <v>12324</v>
      </c>
      <c r="G4195" s="2" t="s">
        <v>12341</v>
      </c>
      <c r="H4195" s="1">
        <v>9.0</v>
      </c>
      <c r="I4195" s="1" t="s">
        <v>2900</v>
      </c>
      <c r="J4195" s="1" t="s">
        <v>11</v>
      </c>
      <c r="K4195" s="2" t="s">
        <v>12342</v>
      </c>
      <c r="L4195" s="2"/>
      <c r="M4195" s="2" t="str">
        <f>IFERROR(__xludf.DUMMYFUNCTION("split(split(K4195,""【演出"",false),""ほか"",false)"),"亀梨和也、杏、鈴木福、柄本明(特別出演)、石橋杏奈、杉咲花、永岡佑、林遼威、小西舞優、堀ちえみ、広田レオナ、あがた森魚、北村一輝　")</f>
        <v>亀梨和也、杏、鈴木福、柄本明(特別出演)、石橋杏奈、杉咲花、永岡佑、林遼威、小西舞優、堀ちえみ、広田レオナ、あがた森魚、北村一輝　</v>
      </c>
      <c r="N4195" s="2" t="str">
        <f>IFERROR(__xludf.DUMMYFUNCTION("""COMPUTED_VALUE"""),"名前の無い男(柄本明)に「私はあなた方と同じ兄弟です」と言われたベム(亀梨和也)、ベラ(杏)、ベロ(鈴木福)。ベムは名前の無い男に緑色のアメーバ状のものをかけられた瞬間、過去の記憶が断片的に蘇ってきた。そして、その記憶の中にはベム・ベラ・ベロに優しく話しかける緒方晋作博士(柄本明)の姿もあった。ベム・ベラ・ベロは失われていた記憶、誕生から今まで歩んできた道を辿っていくことになる。狩山俊輔【原作】アサツー　ディ・ケイ  【脚本】西田征史【音楽】サキタハジメ  【主題歌】『BIRTH』KATーTUN(ジェイ・"&amp;"ストーム)")</f>
        <v>名前の無い男(柄本明)に「私はあなた方と同じ兄弟です」と言われたベム(亀梨和也)、ベラ(杏)、ベロ(鈴木福)。ベムは名前の無い男に緑色のアメーバ状のものをかけられた瞬間、過去の記憶が断片的に蘇ってきた。そして、その記憶の中にはベム・ベラ・ベロに優しく話しかける緒方晋作博士(柄本明)の姿もあった。ベム・ベラ・ベロは失われていた記憶、誕生から今まで歩んできた道を辿っていくことになる。狩山俊輔【原作】アサツー　ディ・ケイ  【脚本】西田征史【音楽】サキタハジメ  【主題歌】『BIRTH』KATーTUN(ジェイ・ストーム)</v>
      </c>
      <c r="O4195" s="2"/>
      <c r="P4195" s="1"/>
      <c r="Q4195" s="1"/>
      <c r="R4195" s="1"/>
      <c r="S4195" s="1"/>
      <c r="T4195" s="1"/>
      <c r="U4195" s="1"/>
      <c r="V4195" s="1"/>
      <c r="W4195" s="1"/>
      <c r="X4195" s="1"/>
      <c r="Y4195" s="1"/>
      <c r="Z4195" s="1"/>
      <c r="AA4195" s="1"/>
      <c r="AB4195" s="1"/>
      <c r="AC4195" s="1"/>
      <c r="AD4195" s="1"/>
      <c r="AE4195" s="1"/>
      <c r="AF4195" s="1"/>
      <c r="AG4195" s="1"/>
      <c r="AH4195" s="1"/>
      <c r="AI4195" s="1"/>
      <c r="AJ4195" s="1"/>
      <c r="AK4195" s="1"/>
      <c r="AL4195" s="1"/>
      <c r="AM4195" s="1"/>
      <c r="AN4195" s="1"/>
      <c r="AO4195" s="1"/>
      <c r="AP4195" s="1"/>
      <c r="AQ4195" s="1"/>
      <c r="AR4195" s="1"/>
      <c r="AS4195" s="1"/>
      <c r="AT4195" s="1"/>
      <c r="AU4195" s="1"/>
      <c r="AV4195" s="1"/>
      <c r="AW4195" s="1"/>
      <c r="AX4195" s="1"/>
      <c r="AY4195" s="1"/>
      <c r="AZ4195" s="1"/>
      <c r="BA4195" s="1"/>
      <c r="BB4195" s="1"/>
    </row>
    <row r="4196" ht="204.75" customHeight="1">
      <c r="A4196" s="1">
        <v>4177.0</v>
      </c>
      <c r="B4196" s="2" t="s">
        <v>12323</v>
      </c>
      <c r="C4196" s="2">
        <f>IFERROR(__xludf.DUMMYFUNCTION("split(B4196,""_"")"),1110.0)</f>
        <v>1110</v>
      </c>
      <c r="D4196" s="2" t="str">
        <f>IFERROR(__xludf.DUMMYFUNCTION("""COMPUTED_VALUE"""),"NTV")</f>
        <v>NTV</v>
      </c>
      <c r="E4196" s="2" t="str">
        <f>IFERROR(__xludf.DUMMYFUNCTION("""COMPUTED_VALUE"""),"土21")</f>
        <v>土21</v>
      </c>
      <c r="F4196" s="2" t="s">
        <v>12324</v>
      </c>
      <c r="G4196" s="2" t="s">
        <v>12343</v>
      </c>
      <c r="H4196" s="1">
        <v>10.0</v>
      </c>
      <c r="I4196" s="1" t="s">
        <v>37</v>
      </c>
      <c r="J4196" s="1" t="s">
        <v>4</v>
      </c>
      <c r="K4196" s="2" t="s">
        <v>12344</v>
      </c>
      <c r="L4196" s="2"/>
      <c r="M4196" s="2" t="str">
        <f>IFERROR(__xludf.DUMMYFUNCTION("split(split(K4196,""【演出"",false),""ほか"",false)"),"亀梨和也、杏、鈴木福、柄本明(特別出演)、石橋杏奈、永岡佑、杉咲花、堀ちえみ、広田レオナ、あがた森魚、北村一輝　")</f>
        <v>亀梨和也、杏、鈴木福、柄本明(特別出演)、石橋杏奈、永岡佑、杉咲花、堀ちえみ、広田レオナ、あがた森魚、北村一輝　</v>
      </c>
      <c r="N4196" s="2" t="str">
        <f>IFERROR(__xludf.DUMMYFUNCTION("""COMPUTED_VALUE"""),"名前の無い男(柄本明)と合体し、「悪の心」を取り込むことが人間になる方法だと知ったベム(亀梨和也)、ベラ(杏)、ベロ(鈴木福)果たして、彼らは人間になることを選択するのか?人間を助けるための最後の戦いが今、始まる・・・。狩山俊輔【原作】アサツー　ディ・ケイ  【脚本】西田征史【音楽】サキタハジメ  【主題歌】『BIRTH』KATーTUN(ジェイ・ストーム)")</f>
        <v>名前の無い男(柄本明)と合体し、「悪の心」を取り込むことが人間になる方法だと知ったベム(亀梨和也)、ベラ(杏)、ベロ(鈴木福)果たして、彼らは人間になることを選択するのか?人間を助けるための最後の戦いが今、始まる・・・。狩山俊輔【原作】アサツー　ディ・ケイ  【脚本】西田征史【音楽】サキタハジメ  【主題歌】『BIRTH』KATーTUN(ジェイ・ストーム)</v>
      </c>
      <c r="O4196" s="2"/>
      <c r="P4196" s="1"/>
      <c r="Q4196" s="1"/>
      <c r="R4196" s="1"/>
      <c r="S4196" s="1"/>
      <c r="T4196" s="1"/>
      <c r="U4196" s="1"/>
      <c r="V4196" s="1"/>
      <c r="W4196" s="1"/>
      <c r="X4196" s="1"/>
      <c r="Y4196" s="1"/>
      <c r="Z4196" s="1"/>
      <c r="AA4196" s="1"/>
      <c r="AB4196" s="1"/>
      <c r="AC4196" s="1"/>
      <c r="AD4196" s="1"/>
      <c r="AE4196" s="1"/>
      <c r="AF4196" s="1"/>
      <c r="AG4196" s="1"/>
      <c r="AH4196" s="1"/>
      <c r="AI4196" s="1"/>
      <c r="AJ4196" s="1"/>
      <c r="AK4196" s="1"/>
      <c r="AL4196" s="1"/>
      <c r="AM4196" s="1"/>
      <c r="AN4196" s="1"/>
      <c r="AO4196" s="1"/>
      <c r="AP4196" s="1"/>
      <c r="AQ4196" s="1"/>
      <c r="AR4196" s="1"/>
      <c r="AS4196" s="1"/>
      <c r="AT4196" s="1"/>
      <c r="AU4196" s="1"/>
      <c r="AV4196" s="1"/>
      <c r="AW4196" s="1"/>
      <c r="AX4196" s="1"/>
      <c r="AY4196" s="1"/>
      <c r="AZ4196" s="1"/>
      <c r="BA4196" s="1"/>
      <c r="BB4196" s="1"/>
    </row>
    <row r="4197" ht="204.75" customHeight="1">
      <c r="A4197" s="1">
        <v>4231.0</v>
      </c>
      <c r="B4197" s="2" t="s">
        <v>12345</v>
      </c>
      <c r="C4197" s="2">
        <f>IFERROR(__xludf.DUMMYFUNCTION("split(B4197,""_"")"),1107.0)</f>
        <v>1107</v>
      </c>
      <c r="D4197" s="2" t="str">
        <f>IFERROR(__xludf.DUMMYFUNCTION("""COMPUTED_VALUE"""),"NTV")</f>
        <v>NTV</v>
      </c>
      <c r="E4197" s="2" t="str">
        <f>IFERROR(__xludf.DUMMYFUNCTION("""COMPUTED_VALUE"""),"水22")</f>
        <v>水22</v>
      </c>
      <c r="F4197" s="2" t="s">
        <v>12346</v>
      </c>
      <c r="G4197" s="2" t="s">
        <v>12347</v>
      </c>
      <c r="H4197" s="1">
        <v>1.0</v>
      </c>
      <c r="I4197" s="1" t="s">
        <v>2868</v>
      </c>
      <c r="J4197" s="1" t="s">
        <v>82</v>
      </c>
      <c r="K4197" s="2" t="s">
        <v>12348</v>
      </c>
      <c r="L4197" s="2"/>
      <c r="M4197" s="2" t="str">
        <f>IFERROR(__xludf.DUMMYFUNCTION("split(split(K4197,""【演出"",false),""ほか"",false)"),"江角マキコ、石原さとみ、稲垣吾郎、志田未来、ブラザートム、さくら、大野拓朗、青木綾平(子役)、池田成志、阿南健治、マギー、市川亀治郎、市毛良枝、小日向文世法医学者の大達珠実(江角)は、アメリカ留学から帰国し、上都大学法医学教室の准教授に着任。初出勤途中、ジョギング中の男性・赤井が突然倒れる現場に遭遇。検視にやってきた刑事・釜津田知佳(石原)、同僚となる名倉潤之助(稲垣)は事件性無しと判断するが、珠実は猛反発。そんな中、新たな男性の変死体が発見されたと通報が入る。事件性アリと睨む釜津田は遺体を司法解剖へ。し"&amp;"かしここでまた珠実と激しく衝突…")</f>
        <v>江角マキコ、石原さとみ、稲垣吾郎、志田未来、ブラザートム、さくら、大野拓朗、青木綾平(子役)、池田成志、阿南健治、マギー、市川亀治郎、市毛良枝、小日向文世法医学者の大達珠実(江角)は、アメリカ留学から帰国し、上都大学法医学教室の准教授に着任。初出勤途中、ジョギング中の男性・赤井が突然倒れる現場に遭遇。検視にやってきた刑事・釜津田知佳(石原)、同僚となる名倉潤之助(稲垣)は事件性無しと判断するが、珠実は猛反発。そんな中、新たな男性の変死体が発見されたと通報が入る。事件性アリと睨む釜津田は遺体を司法解剖へ。しかしここでまた珠実と激しく衝突…</v>
      </c>
      <c r="N4197" s="2"/>
      <c r="O4197" s="2"/>
      <c r="P4197" s="1"/>
      <c r="Q4197" s="1"/>
      <c r="R4197" s="1"/>
      <c r="S4197" s="1"/>
      <c r="T4197" s="1"/>
      <c r="U4197" s="1"/>
      <c r="V4197" s="1"/>
      <c r="W4197" s="1"/>
      <c r="X4197" s="1"/>
      <c r="Y4197" s="1"/>
      <c r="Z4197" s="1"/>
      <c r="AA4197" s="1"/>
      <c r="AB4197" s="1"/>
      <c r="AC4197" s="1"/>
      <c r="AD4197" s="1"/>
      <c r="AE4197" s="1"/>
      <c r="AF4197" s="1"/>
      <c r="AG4197" s="1"/>
      <c r="AH4197" s="1"/>
      <c r="AI4197" s="1"/>
      <c r="AJ4197" s="1"/>
      <c r="AK4197" s="1"/>
      <c r="AL4197" s="1"/>
      <c r="AM4197" s="1"/>
      <c r="AN4197" s="1"/>
      <c r="AO4197" s="1"/>
      <c r="AP4197" s="1"/>
      <c r="AQ4197" s="1"/>
      <c r="AR4197" s="1"/>
      <c r="AS4197" s="1"/>
      <c r="AT4197" s="1"/>
      <c r="AU4197" s="1"/>
      <c r="AV4197" s="1"/>
      <c r="AW4197" s="1"/>
      <c r="AX4197" s="1"/>
      <c r="AY4197" s="1"/>
      <c r="AZ4197" s="1"/>
      <c r="BA4197" s="1"/>
      <c r="BB4197" s="1"/>
    </row>
    <row r="4198" ht="204.75" customHeight="1">
      <c r="A4198" s="1">
        <v>4232.0</v>
      </c>
      <c r="B4198" s="2" t="s">
        <v>12345</v>
      </c>
      <c r="C4198" s="2">
        <f>IFERROR(__xludf.DUMMYFUNCTION("split(B4198,""_"")"),1107.0)</f>
        <v>1107</v>
      </c>
      <c r="D4198" s="2" t="str">
        <f>IFERROR(__xludf.DUMMYFUNCTION("""COMPUTED_VALUE"""),"NTV")</f>
        <v>NTV</v>
      </c>
      <c r="E4198" s="2" t="str">
        <f>IFERROR(__xludf.DUMMYFUNCTION("""COMPUTED_VALUE"""),"水22")</f>
        <v>水22</v>
      </c>
      <c r="F4198" s="2" t="s">
        <v>12346</v>
      </c>
      <c r="G4198" s="2" t="s">
        <v>12349</v>
      </c>
      <c r="H4198" s="1">
        <v>2.0</v>
      </c>
      <c r="I4198" s="1" t="s">
        <v>2872</v>
      </c>
      <c r="J4198" s="1" t="s">
        <v>86</v>
      </c>
      <c r="K4198" s="2" t="s">
        <v>12350</v>
      </c>
      <c r="L4198" s="2"/>
      <c r="M4198" s="2" t="str">
        <f>IFERROR(__xludf.DUMMYFUNCTION("split(split(K4198,""【演出"",false),""ほか"",false)"),"江角マキコ、石原さとみ、稲垣吾郎、志田未来、ブラザートム、さくら、大野拓朗、青木綾平(子役)、池田成志、阿南健治、マギー、市川亀治郎、市毛良枝、小日向文世  【ゲスト】朝加真由美、市川由衣　他マンションからの転落による女性(市川)の変死体が発見された。釜津田は女性の足取りを捜査中、彼女が死亡直前まで連絡を取ろうとしていた相手が名倉(稲垣)であったことを知る。一方、自殺という判断に納得できない女性の母・雅子(朝加)からの依頼により珠実が解剖を行うことに。そこから意外な事実が判明し、自殺から他殺へと状況が一変"&amp;"。釜津田は容疑者として名倉を連行することに。")</f>
        <v>江角マキコ、石原さとみ、稲垣吾郎、志田未来、ブラザートム、さくら、大野拓朗、青木綾平(子役)、池田成志、阿南健治、マギー、市川亀治郎、市毛良枝、小日向文世  【ゲスト】朝加真由美、市川由衣　他マンションからの転落による女性(市川)の変死体が発見された。釜津田は女性の足取りを捜査中、彼女が死亡直前まで連絡を取ろうとしていた相手が名倉(稲垣)であったことを知る。一方、自殺という判断に納得できない女性の母・雅子(朝加)からの依頼により珠実が解剖を行うことに。そこから意外な事実が判明し、自殺から他殺へと状況が一変。釜津田は容疑者として名倉を連行することに。</v>
      </c>
      <c r="N4198" s="2"/>
      <c r="O4198" s="2"/>
      <c r="P4198" s="1"/>
      <c r="Q4198" s="1"/>
      <c r="R4198" s="1"/>
      <c r="S4198" s="1"/>
      <c r="T4198" s="1"/>
      <c r="U4198" s="1"/>
      <c r="V4198" s="1"/>
      <c r="W4198" s="1"/>
      <c r="X4198" s="1"/>
      <c r="Y4198" s="1"/>
      <c r="Z4198" s="1"/>
      <c r="AA4198" s="1"/>
      <c r="AB4198" s="1"/>
      <c r="AC4198" s="1"/>
      <c r="AD4198" s="1"/>
      <c r="AE4198" s="1"/>
      <c r="AF4198" s="1"/>
      <c r="AG4198" s="1"/>
      <c r="AH4198" s="1"/>
      <c r="AI4198" s="1"/>
      <c r="AJ4198" s="1"/>
      <c r="AK4198" s="1"/>
      <c r="AL4198" s="1"/>
      <c r="AM4198" s="1"/>
      <c r="AN4198" s="1"/>
      <c r="AO4198" s="1"/>
      <c r="AP4198" s="1"/>
      <c r="AQ4198" s="1"/>
      <c r="AR4198" s="1"/>
      <c r="AS4198" s="1"/>
      <c r="AT4198" s="1"/>
      <c r="AU4198" s="1"/>
      <c r="AV4198" s="1"/>
      <c r="AW4198" s="1"/>
      <c r="AX4198" s="1"/>
      <c r="AY4198" s="1"/>
      <c r="AZ4198" s="1"/>
      <c r="BA4198" s="1"/>
      <c r="BB4198" s="1"/>
    </row>
    <row r="4199" ht="204.75" customHeight="1">
      <c r="A4199" s="1">
        <v>4233.0</v>
      </c>
      <c r="B4199" s="2" t="s">
        <v>12345</v>
      </c>
      <c r="C4199" s="2">
        <f>IFERROR(__xludf.DUMMYFUNCTION("split(B4199,""_"")"),1107.0)</f>
        <v>1107</v>
      </c>
      <c r="D4199" s="2" t="str">
        <f>IFERROR(__xludf.DUMMYFUNCTION("""COMPUTED_VALUE"""),"NTV")</f>
        <v>NTV</v>
      </c>
      <c r="E4199" s="2" t="str">
        <f>IFERROR(__xludf.DUMMYFUNCTION("""COMPUTED_VALUE"""),"水22")</f>
        <v>水22</v>
      </c>
      <c r="F4199" s="2" t="s">
        <v>12346</v>
      </c>
      <c r="G4199" s="2" t="s">
        <v>12351</v>
      </c>
      <c r="H4199" s="1">
        <v>3.0</v>
      </c>
      <c r="I4199" s="1" t="s">
        <v>2876</v>
      </c>
      <c r="J4199" s="1" t="s">
        <v>86</v>
      </c>
      <c r="K4199" s="2" t="s">
        <v>12352</v>
      </c>
      <c r="L4199" s="2"/>
      <c r="M4199" s="2" t="str">
        <f>IFERROR(__xludf.DUMMYFUNCTION("split(split(K4199,""【演出"",false),""ほか"",false)"),"江角マキコ、石原さとみ、稲垣吾郎、志田未来、ブラザートム、さくら、大野拓朗、青木綾平(子役)、池田成志、阿南健治、マギー、市川亀治郎、市毛良枝、小日向文世  【ゲスト】塩見三省、渡部豪太、山崎真実、他公園で美しい女性の死体が発見された。珠実(江角)が司法解剖した結果、その女性は全身整形をしており、しかも公園の芝に囲まれた樹の下で発見されたにも関わらず、死因は溺死だという。さらに、その女性は知佳の中学時代の親友・千秋だったことが発覚。親友・千秋の切ない思いが、皮肉にも千秋自身の死によって知佳に届くと共に、公"&amp;"園で溺死という不可思議な謎が解かれてゆく。")</f>
        <v>江角マキコ、石原さとみ、稲垣吾郎、志田未来、ブラザートム、さくら、大野拓朗、青木綾平(子役)、池田成志、阿南健治、マギー、市川亀治郎、市毛良枝、小日向文世  【ゲスト】塩見三省、渡部豪太、山崎真実、他公園で美しい女性の死体が発見された。珠実(江角)が司法解剖した結果、その女性は全身整形をしており、しかも公園の芝に囲まれた樹の下で発見されたにも関わらず、死因は溺死だという。さらに、その女性は知佳の中学時代の親友・千秋だったことが発覚。親友・千秋の切ない思いが、皮肉にも千秋自身の死によって知佳に届くと共に、公園で溺死という不可思議な謎が解かれてゆく。</v>
      </c>
      <c r="N4199" s="2"/>
      <c r="O4199" s="2"/>
      <c r="P4199" s="1"/>
      <c r="Q4199" s="1"/>
      <c r="R4199" s="1"/>
      <c r="S4199" s="1"/>
      <c r="T4199" s="1"/>
      <c r="U4199" s="1"/>
      <c r="V4199" s="1"/>
      <c r="W4199" s="1"/>
      <c r="X4199" s="1"/>
      <c r="Y4199" s="1"/>
      <c r="Z4199" s="1"/>
      <c r="AA4199" s="1"/>
      <c r="AB4199" s="1"/>
      <c r="AC4199" s="1"/>
      <c r="AD4199" s="1"/>
      <c r="AE4199" s="1"/>
      <c r="AF4199" s="1"/>
      <c r="AG4199" s="1"/>
      <c r="AH4199" s="1"/>
      <c r="AI4199" s="1"/>
      <c r="AJ4199" s="1"/>
      <c r="AK4199" s="1"/>
      <c r="AL4199" s="1"/>
      <c r="AM4199" s="1"/>
      <c r="AN4199" s="1"/>
      <c r="AO4199" s="1"/>
      <c r="AP4199" s="1"/>
      <c r="AQ4199" s="1"/>
      <c r="AR4199" s="1"/>
      <c r="AS4199" s="1"/>
      <c r="AT4199" s="1"/>
      <c r="AU4199" s="1"/>
      <c r="AV4199" s="1"/>
      <c r="AW4199" s="1"/>
      <c r="AX4199" s="1"/>
      <c r="AY4199" s="1"/>
      <c r="AZ4199" s="1"/>
      <c r="BA4199" s="1"/>
      <c r="BB4199" s="1"/>
    </row>
    <row r="4200" ht="204.75" customHeight="1">
      <c r="A4200" s="1">
        <v>4234.0</v>
      </c>
      <c r="B4200" s="2" t="s">
        <v>12345</v>
      </c>
      <c r="C4200" s="2">
        <f>IFERROR(__xludf.DUMMYFUNCTION("split(B4200,""_"")"),1107.0)</f>
        <v>1107</v>
      </c>
      <c r="D4200" s="2" t="str">
        <f>IFERROR(__xludf.DUMMYFUNCTION("""COMPUTED_VALUE"""),"NTV")</f>
        <v>NTV</v>
      </c>
      <c r="E4200" s="2" t="str">
        <f>IFERROR(__xludf.DUMMYFUNCTION("""COMPUTED_VALUE"""),"水22")</f>
        <v>水22</v>
      </c>
      <c r="F4200" s="2" t="s">
        <v>12346</v>
      </c>
      <c r="G4200" s="2" t="s">
        <v>12353</v>
      </c>
      <c r="H4200" s="1">
        <v>4.0</v>
      </c>
      <c r="I4200" s="1" t="s">
        <v>2880</v>
      </c>
      <c r="J4200" s="1" t="s">
        <v>86</v>
      </c>
      <c r="K4200" s="2" t="s">
        <v>12354</v>
      </c>
      <c r="L4200" s="2"/>
      <c r="M4200" s="2" t="str">
        <f>IFERROR(__xludf.DUMMYFUNCTION("split(split(K4200,""【演出"",false),""ほか"",false)"),"江角マキコ、石原さとみ、稲垣吾郎、志田未来、ブラザートム、さくら、大野拓朗、青木綾平(子役)、池田成志、阿南健治、マギー、市川亀治郎、市毛良枝、小日向文世20歳の女性がクモ膜下出血で緊急搬送された。その後、脳死判定を受け臓器移植をすることに。同じ頃、バイクに乗った男がすれ違う女性にラリアットを食らわせ気絶させるという危険な事件が連続発生。実は、臓器移植を予定している女性も、この事件の被害者かもしれないという。")</f>
        <v>江角マキコ、石原さとみ、稲垣吾郎、志田未来、ブラザートム、さくら、大野拓朗、青木綾平(子役)、池田成志、阿南健治、マギー、市川亀治郎、市毛良枝、小日向文世20歳の女性がクモ膜下出血で緊急搬送された。その後、脳死判定を受け臓器移植をすることに。同じ頃、バイクに乗った男がすれ違う女性にラリアットを食らわせ気絶させるという危険な事件が連続発生。実は、臓器移植を予定している女性も、この事件の被害者かもしれないという。</v>
      </c>
      <c r="N4200" s="2"/>
      <c r="O4200" s="2"/>
      <c r="P4200" s="1"/>
      <c r="Q4200" s="1"/>
      <c r="R4200" s="1"/>
      <c r="S4200" s="1"/>
      <c r="T4200" s="1"/>
      <c r="U4200" s="1"/>
      <c r="V4200" s="1"/>
      <c r="W4200" s="1"/>
      <c r="X4200" s="1"/>
      <c r="Y4200" s="1"/>
      <c r="Z4200" s="1"/>
      <c r="AA4200" s="1"/>
      <c r="AB4200" s="1"/>
      <c r="AC4200" s="1"/>
      <c r="AD4200" s="1"/>
      <c r="AE4200" s="1"/>
      <c r="AF4200" s="1"/>
      <c r="AG4200" s="1"/>
      <c r="AH4200" s="1"/>
      <c r="AI4200" s="1"/>
      <c r="AJ4200" s="1"/>
      <c r="AK4200" s="1"/>
      <c r="AL4200" s="1"/>
      <c r="AM4200" s="1"/>
      <c r="AN4200" s="1"/>
      <c r="AO4200" s="1"/>
      <c r="AP4200" s="1"/>
      <c r="AQ4200" s="1"/>
      <c r="AR4200" s="1"/>
      <c r="AS4200" s="1"/>
      <c r="AT4200" s="1"/>
      <c r="AU4200" s="1"/>
      <c r="AV4200" s="1"/>
      <c r="AW4200" s="1"/>
      <c r="AX4200" s="1"/>
      <c r="AY4200" s="1"/>
      <c r="AZ4200" s="1"/>
      <c r="BA4200" s="1"/>
      <c r="BB4200" s="1"/>
    </row>
    <row r="4201" ht="204.75" customHeight="1">
      <c r="A4201" s="1">
        <v>4235.0</v>
      </c>
      <c r="B4201" s="2" t="s">
        <v>12345</v>
      </c>
      <c r="C4201" s="2">
        <f>IFERROR(__xludf.DUMMYFUNCTION("split(B4201,""_"")"),1107.0)</f>
        <v>1107</v>
      </c>
      <c r="D4201" s="2" t="str">
        <f>IFERROR(__xludf.DUMMYFUNCTION("""COMPUTED_VALUE"""),"NTV")</f>
        <v>NTV</v>
      </c>
      <c r="E4201" s="2" t="str">
        <f>IFERROR(__xludf.DUMMYFUNCTION("""COMPUTED_VALUE"""),"水22")</f>
        <v>水22</v>
      </c>
      <c r="F4201" s="2" t="s">
        <v>12346</v>
      </c>
      <c r="G4201" s="2" t="s">
        <v>12355</v>
      </c>
      <c r="H4201" s="1">
        <v>5.0</v>
      </c>
      <c r="I4201" s="1" t="s">
        <v>2884</v>
      </c>
      <c r="J4201" s="1" t="s">
        <v>86</v>
      </c>
      <c r="K4201" s="2" t="s">
        <v>12356</v>
      </c>
      <c r="L4201" s="2"/>
      <c r="M4201" s="2" t="str">
        <f>IFERROR(__xludf.DUMMYFUNCTION("split(split(K4201,""【演出"",false),""ほか"",false)"),"江角マキコ、石原さとみ、稲垣吾郎、志田未来、ブラザートム、さくら、大野拓朗、青木綾平(子役)、池田成志、阿南健治、マギー、市川亀治郎、市毛良枝、小日向文世成海(ブラザートム)、藤村(大野拓朗)、八代(マギー)が男性の変死体を発見した。解剖は珠実が担当することに。しかし、男性が新型感染症に感染していた疑いがあると判明。珠実や知佳、法医学教室の面々は隔離されてしまう。全員、予防注射を打つ中、知佳が体調不良を訴える。その様子から知佳に感染の疑いが強くなる。ついに意識を失う知佳を前に名倉は。")</f>
        <v>江角マキコ、石原さとみ、稲垣吾郎、志田未来、ブラザートム、さくら、大野拓朗、青木綾平(子役)、池田成志、阿南健治、マギー、市川亀治郎、市毛良枝、小日向文世成海(ブラザートム)、藤村(大野拓朗)、八代(マギー)が男性の変死体を発見した。解剖は珠実が担当することに。しかし、男性が新型感染症に感染していた疑いがあると判明。珠実や知佳、法医学教室の面々は隔離されてしまう。全員、予防注射を打つ中、知佳が体調不良を訴える。その様子から知佳に感染の疑いが強くなる。ついに意識を失う知佳を前に名倉は。</v>
      </c>
      <c r="N4201" s="2"/>
      <c r="O4201" s="2"/>
      <c r="P4201" s="1"/>
      <c r="Q4201" s="1"/>
      <c r="R4201" s="1"/>
      <c r="S4201" s="1"/>
      <c r="T4201" s="1"/>
      <c r="U4201" s="1"/>
      <c r="V4201" s="1"/>
      <c r="W4201" s="1"/>
      <c r="X4201" s="1"/>
      <c r="Y4201" s="1"/>
      <c r="Z4201" s="1"/>
      <c r="AA4201" s="1"/>
      <c r="AB4201" s="1"/>
      <c r="AC4201" s="1"/>
      <c r="AD4201" s="1"/>
      <c r="AE4201" s="1"/>
      <c r="AF4201" s="1"/>
      <c r="AG4201" s="1"/>
      <c r="AH4201" s="1"/>
      <c r="AI4201" s="1"/>
      <c r="AJ4201" s="1"/>
      <c r="AK4201" s="1"/>
      <c r="AL4201" s="1"/>
      <c r="AM4201" s="1"/>
      <c r="AN4201" s="1"/>
      <c r="AO4201" s="1"/>
      <c r="AP4201" s="1"/>
      <c r="AQ4201" s="1"/>
      <c r="AR4201" s="1"/>
      <c r="AS4201" s="1"/>
      <c r="AT4201" s="1"/>
      <c r="AU4201" s="1"/>
      <c r="AV4201" s="1"/>
      <c r="AW4201" s="1"/>
      <c r="AX4201" s="1"/>
      <c r="AY4201" s="1"/>
      <c r="AZ4201" s="1"/>
      <c r="BA4201" s="1"/>
      <c r="BB4201" s="1"/>
    </row>
    <row r="4202" ht="204.75" customHeight="1">
      <c r="A4202" s="1">
        <v>4236.0</v>
      </c>
      <c r="B4202" s="2" t="s">
        <v>12345</v>
      </c>
      <c r="C4202" s="2">
        <f>IFERROR(__xludf.DUMMYFUNCTION("split(B4202,""_"")"),1107.0)</f>
        <v>1107</v>
      </c>
      <c r="D4202" s="2" t="str">
        <f>IFERROR(__xludf.DUMMYFUNCTION("""COMPUTED_VALUE"""),"NTV")</f>
        <v>NTV</v>
      </c>
      <c r="E4202" s="2" t="str">
        <f>IFERROR(__xludf.DUMMYFUNCTION("""COMPUTED_VALUE"""),"水22")</f>
        <v>水22</v>
      </c>
      <c r="F4202" s="2" t="s">
        <v>12346</v>
      </c>
      <c r="G4202" s="2" t="s">
        <v>12357</v>
      </c>
      <c r="H4202" s="1">
        <v>6.0</v>
      </c>
      <c r="I4202" s="1" t="s">
        <v>2888</v>
      </c>
      <c r="J4202" s="1" t="s">
        <v>86</v>
      </c>
      <c r="K4202" s="2" t="s">
        <v>12358</v>
      </c>
      <c r="L4202" s="2"/>
      <c r="M4202" s="2" t="str">
        <f>IFERROR(__xludf.DUMMYFUNCTION("split(split(K4202,""【演出"",false),""ほか"",false)"),"江角マキコ、石原さとみ、稲垣吾郎、志田未来、ブラザートム、さくら、大野拓朗、青木綾平(子役)、池田成志、阿南健治、マギー、市川亀治郎、市毛良枝、小日向文世  【ゲスト】入江甚儀、藤本七海　他珠実(江角マキコ)の息子・康介(青木綾平)が誘拐された。犯人は珠実が解剖した遺体の死体検案書に対し、クレームの手紙を送りつけた男・晃彦(入江甚儀)。晃彦は父親が自殺で死亡したのではなく何者かに殺されたと信じていた。が、しかし死体検案書には「自殺」と記されていたのだった。犯人を追跡する知佳(石原さとみ)は、晃彦の父の死因"&amp;"が自殺で間違いなかったのかと珠実に問う。すると珠実から意外な発言が・・・。")</f>
        <v>江角マキコ、石原さとみ、稲垣吾郎、志田未来、ブラザートム、さくら、大野拓朗、青木綾平(子役)、池田成志、阿南健治、マギー、市川亀治郎、市毛良枝、小日向文世  【ゲスト】入江甚儀、藤本七海　他珠実(江角マキコ)の息子・康介(青木綾平)が誘拐された。犯人は珠実が解剖した遺体の死体検案書に対し、クレームの手紙を送りつけた男・晃彦(入江甚儀)。晃彦は父親が自殺で死亡したのではなく何者かに殺されたと信じていた。が、しかし死体検案書には「自殺」と記されていたのだった。犯人を追跡する知佳(石原さとみ)は、晃彦の父の死因が自殺で間違いなかったのかと珠実に問う。すると珠実から意外な発言が・・・。</v>
      </c>
      <c r="N4202" s="2"/>
      <c r="O4202" s="2"/>
      <c r="P4202" s="1"/>
      <c r="Q4202" s="1"/>
      <c r="R4202" s="1"/>
      <c r="S4202" s="1"/>
      <c r="T4202" s="1"/>
      <c r="U4202" s="1"/>
      <c r="V4202" s="1"/>
      <c r="W4202" s="1"/>
      <c r="X4202" s="1"/>
      <c r="Y4202" s="1"/>
      <c r="Z4202" s="1"/>
      <c r="AA4202" s="1"/>
      <c r="AB4202" s="1"/>
      <c r="AC4202" s="1"/>
      <c r="AD4202" s="1"/>
      <c r="AE4202" s="1"/>
      <c r="AF4202" s="1"/>
      <c r="AG4202" s="1"/>
      <c r="AH4202" s="1"/>
      <c r="AI4202" s="1"/>
      <c r="AJ4202" s="1"/>
      <c r="AK4202" s="1"/>
      <c r="AL4202" s="1"/>
      <c r="AM4202" s="1"/>
      <c r="AN4202" s="1"/>
      <c r="AO4202" s="1"/>
      <c r="AP4202" s="1"/>
      <c r="AQ4202" s="1"/>
      <c r="AR4202" s="1"/>
      <c r="AS4202" s="1"/>
      <c r="AT4202" s="1"/>
      <c r="AU4202" s="1"/>
      <c r="AV4202" s="1"/>
      <c r="AW4202" s="1"/>
      <c r="AX4202" s="1"/>
      <c r="AY4202" s="1"/>
      <c r="AZ4202" s="1"/>
      <c r="BA4202" s="1"/>
      <c r="BB4202" s="1"/>
    </row>
    <row r="4203" ht="204.75" customHeight="1">
      <c r="A4203" s="1">
        <v>4237.0</v>
      </c>
      <c r="B4203" s="2" t="s">
        <v>12345</v>
      </c>
      <c r="C4203" s="2">
        <f>IFERROR(__xludf.DUMMYFUNCTION("split(B4203,""_"")"),1107.0)</f>
        <v>1107</v>
      </c>
      <c r="D4203" s="2" t="str">
        <f>IFERROR(__xludf.DUMMYFUNCTION("""COMPUTED_VALUE"""),"NTV")</f>
        <v>NTV</v>
      </c>
      <c r="E4203" s="2" t="str">
        <f>IFERROR(__xludf.DUMMYFUNCTION("""COMPUTED_VALUE"""),"水22")</f>
        <v>水22</v>
      </c>
      <c r="F4203" s="2" t="s">
        <v>12346</v>
      </c>
      <c r="G4203" s="2" t="s">
        <v>12359</v>
      </c>
      <c r="H4203" s="1">
        <v>7.0</v>
      </c>
      <c r="I4203" s="1" t="s">
        <v>2892</v>
      </c>
      <c r="J4203" s="1" t="s">
        <v>86</v>
      </c>
      <c r="K4203" s="2" t="s">
        <v>12360</v>
      </c>
      <c r="L4203" s="2"/>
      <c r="M4203" s="2" t="str">
        <f>IFERROR(__xludf.DUMMYFUNCTION("split(split(K4203,""【演出"",false),""ほか"",false)"),"江角マキコ、石原さとみ、稲垣吾郎、志田未来、ブラザートム、さくら、大野拓朗、青木綾平(子役)、池田成志、阿南健治、マギー、市川亀治郎、市毛良枝、小日向文世  【ゲスト】長野里美、吉満涼太、中島広稀脳外科医の高広(市川亀治郎)は、36時間の勤務明け直後に救急で搬送されてきた意識不明の患者・梶田弘樹(中島広稀)という少年の緊急オペを行う。手術は成功し、その後、珠実と康介がいるキャンプ地へ向かった。ところが一週間後、弘樹は突然倒れて亡くなる。病理解剖を勧めるも拒否する遺族。そこへ珠実が説得に乗り出し、司法解剖へ"&amp;"。しかし、司法解剖が認められた時点で、高広は被疑者となってしまう…。")</f>
        <v>江角マキコ、石原さとみ、稲垣吾郎、志田未来、ブラザートム、さくら、大野拓朗、青木綾平(子役)、池田成志、阿南健治、マギー、市川亀治郎、市毛良枝、小日向文世  【ゲスト】長野里美、吉満涼太、中島広稀脳外科医の高広(市川亀治郎)は、36時間の勤務明け直後に救急で搬送されてきた意識不明の患者・梶田弘樹(中島広稀)という少年の緊急オペを行う。手術は成功し、その後、珠実と康介がいるキャンプ地へ向かった。ところが一週間後、弘樹は突然倒れて亡くなる。病理解剖を勧めるも拒否する遺族。そこへ珠実が説得に乗り出し、司法解剖へ。しかし、司法解剖が認められた時点で、高広は被疑者となってしまう…。</v>
      </c>
      <c r="N4203" s="2"/>
      <c r="O4203" s="2"/>
      <c r="P4203" s="1"/>
      <c r="Q4203" s="1"/>
      <c r="R4203" s="1"/>
      <c r="S4203" s="1"/>
      <c r="T4203" s="1"/>
      <c r="U4203" s="1"/>
      <c r="V4203" s="1"/>
      <c r="W4203" s="1"/>
      <c r="X4203" s="1"/>
      <c r="Y4203" s="1"/>
      <c r="Z4203" s="1"/>
      <c r="AA4203" s="1"/>
      <c r="AB4203" s="1"/>
      <c r="AC4203" s="1"/>
      <c r="AD4203" s="1"/>
      <c r="AE4203" s="1"/>
      <c r="AF4203" s="1"/>
      <c r="AG4203" s="1"/>
      <c r="AH4203" s="1"/>
      <c r="AI4203" s="1"/>
      <c r="AJ4203" s="1"/>
      <c r="AK4203" s="1"/>
      <c r="AL4203" s="1"/>
      <c r="AM4203" s="1"/>
      <c r="AN4203" s="1"/>
      <c r="AO4203" s="1"/>
      <c r="AP4203" s="1"/>
      <c r="AQ4203" s="1"/>
      <c r="AR4203" s="1"/>
      <c r="AS4203" s="1"/>
      <c r="AT4203" s="1"/>
      <c r="AU4203" s="1"/>
      <c r="AV4203" s="1"/>
      <c r="AW4203" s="1"/>
      <c r="AX4203" s="1"/>
      <c r="AY4203" s="1"/>
      <c r="AZ4203" s="1"/>
      <c r="BA4203" s="1"/>
      <c r="BB4203" s="1"/>
    </row>
    <row r="4204" ht="204.75" customHeight="1">
      <c r="A4204" s="1">
        <v>4238.0</v>
      </c>
      <c r="B4204" s="2" t="s">
        <v>12345</v>
      </c>
      <c r="C4204" s="2">
        <f>IFERROR(__xludf.DUMMYFUNCTION("split(B4204,""_"")"),1107.0)</f>
        <v>1107</v>
      </c>
      <c r="D4204" s="2" t="str">
        <f>IFERROR(__xludf.DUMMYFUNCTION("""COMPUTED_VALUE"""),"NTV")</f>
        <v>NTV</v>
      </c>
      <c r="E4204" s="2" t="str">
        <f>IFERROR(__xludf.DUMMYFUNCTION("""COMPUTED_VALUE"""),"水22")</f>
        <v>水22</v>
      </c>
      <c r="F4204" s="2" t="s">
        <v>12346</v>
      </c>
      <c r="G4204" s="2" t="s">
        <v>12361</v>
      </c>
      <c r="H4204" s="1">
        <v>8.0</v>
      </c>
      <c r="I4204" s="1" t="s">
        <v>2896</v>
      </c>
      <c r="J4204" s="1" t="s">
        <v>86</v>
      </c>
      <c r="K4204" s="2" t="s">
        <v>12362</v>
      </c>
      <c r="L4204" s="2"/>
      <c r="M4204" s="2" t="str">
        <f>IFERROR(__xludf.DUMMYFUNCTION("split(split(K4204,""【演出"",false),""ほか"",false)"),"江角マキコ、石原さとみ、稲垣吾郎、志田未来、ブラザートム、さくら、大野拓朗、青木綾平(子役)、池田成志、阿南健治、マギー、市川亀治郎、市毛良枝、小日向文世  【ゲスト】山本龍二、窪塚俊介武田(小日向文世)は「珠実を法医学教室から外せ」という脅迫で追い詰められていた。そんな中、プロボクサーの大山修治がジムで倒れているところを発見されるも、心肺停止状態でまもなく死亡。知佳は捜査を開始するが、上司から捜査中止を命じられる。修治の兄・克治は、病死という説明に納得できず、遺体を解剖してほしいと上都大学法医学教室を訪"&amp;"れる。引き受けようとした珠実に対し、武田は頑なに解剖を許可しない。")</f>
        <v>江角マキコ、石原さとみ、稲垣吾郎、志田未来、ブラザートム、さくら、大野拓朗、青木綾平(子役)、池田成志、阿南健治、マギー、市川亀治郎、市毛良枝、小日向文世  【ゲスト】山本龍二、窪塚俊介武田(小日向文世)は「珠実を法医学教室から外せ」という脅迫で追い詰められていた。そんな中、プロボクサーの大山修治がジムで倒れているところを発見されるも、心肺停止状態でまもなく死亡。知佳は捜査を開始するが、上司から捜査中止を命じられる。修治の兄・克治は、病死という説明に納得できず、遺体を解剖してほしいと上都大学法医学教室を訪れる。引き受けようとした珠実に対し、武田は頑なに解剖を許可しない。</v>
      </c>
      <c r="N4204" s="2"/>
      <c r="O4204" s="2"/>
      <c r="P4204" s="1"/>
      <c r="Q4204" s="1"/>
      <c r="R4204" s="1"/>
      <c r="S4204" s="1"/>
      <c r="T4204" s="1"/>
      <c r="U4204" s="1"/>
      <c r="V4204" s="1"/>
      <c r="W4204" s="1"/>
      <c r="X4204" s="1"/>
      <c r="Y4204" s="1"/>
      <c r="Z4204" s="1"/>
      <c r="AA4204" s="1"/>
      <c r="AB4204" s="1"/>
      <c r="AC4204" s="1"/>
      <c r="AD4204" s="1"/>
      <c r="AE4204" s="1"/>
      <c r="AF4204" s="1"/>
      <c r="AG4204" s="1"/>
      <c r="AH4204" s="1"/>
      <c r="AI4204" s="1"/>
      <c r="AJ4204" s="1"/>
      <c r="AK4204" s="1"/>
      <c r="AL4204" s="1"/>
      <c r="AM4204" s="1"/>
      <c r="AN4204" s="1"/>
      <c r="AO4204" s="1"/>
      <c r="AP4204" s="1"/>
      <c r="AQ4204" s="1"/>
      <c r="AR4204" s="1"/>
      <c r="AS4204" s="1"/>
      <c r="AT4204" s="1"/>
      <c r="AU4204" s="1"/>
      <c r="AV4204" s="1"/>
      <c r="AW4204" s="1"/>
      <c r="AX4204" s="1"/>
      <c r="AY4204" s="1"/>
      <c r="AZ4204" s="1"/>
      <c r="BA4204" s="1"/>
      <c r="BB4204" s="1"/>
    </row>
    <row r="4205" ht="204.75" customHeight="1">
      <c r="A4205" s="1">
        <v>4239.0</v>
      </c>
      <c r="B4205" s="2" t="s">
        <v>12345</v>
      </c>
      <c r="C4205" s="2">
        <f>IFERROR(__xludf.DUMMYFUNCTION("split(B4205,""_"")"),1107.0)</f>
        <v>1107</v>
      </c>
      <c r="D4205" s="2" t="str">
        <f>IFERROR(__xludf.DUMMYFUNCTION("""COMPUTED_VALUE"""),"NTV")</f>
        <v>NTV</v>
      </c>
      <c r="E4205" s="2" t="str">
        <f>IFERROR(__xludf.DUMMYFUNCTION("""COMPUTED_VALUE"""),"水22")</f>
        <v>水22</v>
      </c>
      <c r="F4205" s="2" t="s">
        <v>12346</v>
      </c>
      <c r="G4205" s="2" t="s">
        <v>12363</v>
      </c>
      <c r="H4205" s="1">
        <v>9.0</v>
      </c>
      <c r="I4205" s="1" t="s">
        <v>2900</v>
      </c>
      <c r="J4205" s="1" t="s">
        <v>86</v>
      </c>
      <c r="K4205" s="2" t="s">
        <v>12364</v>
      </c>
      <c r="L4205" s="2"/>
      <c r="M4205" s="2" t="str">
        <f>IFERROR(__xludf.DUMMYFUNCTION("split(split(K4205,""【演出"",false),""ほか"",false)"),"江角マキコ、石原さとみ、稲垣吾郎、志田未来、ブラザートム、さくら、大野拓朗、青木綾平(子役)、池田成志、阿南健治、マギー、市川亀治郎、市毛良枝、小日向文世死体検案書に虚偽の死因を書いたのは、武田(小日向)だった。その事実にショックを受ける珠実(江角)と知佳(石原)。その頃、意識不明となった武田が関東医療センターに運ばれ、高広(市川)が緊急手術を行う。意識は戻らず危険な状態が続く中、付き添う美亜(志田)に代議士秘書の奥山(羽場裕一)が近づく。そんな中、武田に脅迫メールを送っていた人物が明らかに。法医学教室の"&amp;"メンバーに衝撃の事実が突きつけられる。")</f>
        <v>江角マキコ、石原さとみ、稲垣吾郎、志田未来、ブラザートム、さくら、大野拓朗、青木綾平(子役)、池田成志、阿南健治、マギー、市川亀治郎、市毛良枝、小日向文世死体検案書に虚偽の死因を書いたのは、武田(小日向)だった。その事実にショックを受ける珠実(江角)と知佳(石原)。その頃、意識不明となった武田が関東医療センターに運ばれ、高広(市川)が緊急手術を行う。意識は戻らず危険な状態が続く中、付き添う美亜(志田)に代議士秘書の奥山(羽場裕一)が近づく。そんな中、武田に脅迫メールを送っていた人物が明らかに。法医学教室のメンバーに衝撃の事実が突きつけられる。</v>
      </c>
      <c r="N4205" s="2"/>
      <c r="O4205" s="2"/>
      <c r="P4205" s="1"/>
      <c r="Q4205" s="1"/>
      <c r="R4205" s="1"/>
      <c r="S4205" s="1"/>
      <c r="T4205" s="1"/>
      <c r="U4205" s="1"/>
      <c r="V4205" s="1"/>
      <c r="W4205" s="1"/>
      <c r="X4205" s="1"/>
      <c r="Y4205" s="1"/>
      <c r="Z4205" s="1"/>
      <c r="AA4205" s="1"/>
      <c r="AB4205" s="1"/>
      <c r="AC4205" s="1"/>
      <c r="AD4205" s="1"/>
      <c r="AE4205" s="1"/>
      <c r="AF4205" s="1"/>
      <c r="AG4205" s="1"/>
      <c r="AH4205" s="1"/>
      <c r="AI4205" s="1"/>
      <c r="AJ4205" s="1"/>
      <c r="AK4205" s="1"/>
      <c r="AL4205" s="1"/>
      <c r="AM4205" s="1"/>
      <c r="AN4205" s="1"/>
      <c r="AO4205" s="1"/>
      <c r="AP4205" s="1"/>
      <c r="AQ4205" s="1"/>
      <c r="AR4205" s="1"/>
      <c r="AS4205" s="1"/>
      <c r="AT4205" s="1"/>
      <c r="AU4205" s="1"/>
      <c r="AV4205" s="1"/>
      <c r="AW4205" s="1"/>
      <c r="AX4205" s="1"/>
      <c r="AY4205" s="1"/>
      <c r="AZ4205" s="1"/>
      <c r="BA4205" s="1"/>
      <c r="BB4205" s="1"/>
    </row>
    <row r="4206" ht="204.75" customHeight="1">
      <c r="A4206" s="1">
        <v>4240.0</v>
      </c>
      <c r="B4206" s="2" t="s">
        <v>12345</v>
      </c>
      <c r="C4206" s="2">
        <f>IFERROR(__xludf.DUMMYFUNCTION("split(B4206,""_"")"),1107.0)</f>
        <v>1107</v>
      </c>
      <c r="D4206" s="2" t="str">
        <f>IFERROR(__xludf.DUMMYFUNCTION("""COMPUTED_VALUE"""),"NTV")</f>
        <v>NTV</v>
      </c>
      <c r="E4206" s="2" t="str">
        <f>IFERROR(__xludf.DUMMYFUNCTION("""COMPUTED_VALUE"""),"水22")</f>
        <v>水22</v>
      </c>
      <c r="F4206" s="2" t="s">
        <v>12346</v>
      </c>
      <c r="G4206" s="2" t="s">
        <v>12365</v>
      </c>
      <c r="H4206" s="1">
        <v>10.0</v>
      </c>
      <c r="I4206" s="1" t="s">
        <v>37</v>
      </c>
      <c r="J4206" s="1" t="s">
        <v>86</v>
      </c>
      <c r="K4206" s="2" t="s">
        <v>12366</v>
      </c>
      <c r="L4206" s="2"/>
      <c r="M4206" s="2" t="str">
        <f>IFERROR(__xludf.DUMMYFUNCTION("split(split(K4206,""【演出"",false),""ほか"",false)"),"江角マキコ、石原さとみ、稲垣吾郎、志田未来、ブラザートム、さくら、大野拓朗、青木綾平(子役)、池田成志、阿南健治、マギー、市川亀治郎、市毛良枝、小日向文世  【ゲスト】羽場裕一、鹿賀丈史(特別出演)武田が代議士秘書の奥山(羽場裕一)にインスリンを打たれ不整脈を引き起こし、またも命を狙われた。危険を察した珠実(江角)の連絡により高広(市川)が一命を取り留める。知佳(石原)は、武田の一件を事件として捜査を認めてほしいと上司に訴えるが、こちらもまた警察上層部の判断で却下されてしまう。一方名倉(稲垣)は、奥山が秘"&amp;"書として仕えていた代議士・縄文寺(鹿賀丈史)と密会を繰り返す。")</f>
        <v>江角マキコ、石原さとみ、稲垣吾郎、志田未来、ブラザートム、さくら、大野拓朗、青木綾平(子役)、池田成志、阿南健治、マギー、市川亀治郎、市毛良枝、小日向文世  【ゲスト】羽場裕一、鹿賀丈史(特別出演)武田が代議士秘書の奥山(羽場裕一)にインスリンを打たれ不整脈を引き起こし、またも命を狙われた。危険を察した珠実(江角)の連絡により高広(市川)が一命を取り留める。知佳(石原)は、武田の一件を事件として捜査を認めてほしいと上司に訴えるが、こちらもまた警察上層部の判断で却下されてしまう。一方名倉(稲垣)は、奥山が秘書として仕えていた代議士・縄文寺(鹿賀丈史)と密会を繰り返す。</v>
      </c>
      <c r="N4206" s="2"/>
      <c r="O4206" s="2"/>
      <c r="P4206" s="1"/>
      <c r="Q4206" s="1"/>
      <c r="R4206" s="1"/>
      <c r="S4206" s="1"/>
      <c r="T4206" s="1"/>
      <c r="U4206" s="1"/>
      <c r="V4206" s="1"/>
      <c r="W4206" s="1"/>
      <c r="X4206" s="1"/>
      <c r="Y4206" s="1"/>
      <c r="Z4206" s="1"/>
      <c r="AA4206" s="1"/>
      <c r="AB4206" s="1"/>
      <c r="AC4206" s="1"/>
      <c r="AD4206" s="1"/>
      <c r="AE4206" s="1"/>
      <c r="AF4206" s="1"/>
      <c r="AG4206" s="1"/>
      <c r="AH4206" s="1"/>
      <c r="AI4206" s="1"/>
      <c r="AJ4206" s="1"/>
      <c r="AK4206" s="1"/>
      <c r="AL4206" s="1"/>
      <c r="AM4206" s="1"/>
      <c r="AN4206" s="1"/>
      <c r="AO4206" s="1"/>
      <c r="AP4206" s="1"/>
      <c r="AQ4206" s="1"/>
      <c r="AR4206" s="1"/>
      <c r="AS4206" s="1"/>
      <c r="AT4206" s="1"/>
      <c r="AU4206" s="1"/>
      <c r="AV4206" s="1"/>
      <c r="AW4206" s="1"/>
      <c r="AX4206" s="1"/>
      <c r="AY4206" s="1"/>
      <c r="AZ4206" s="1"/>
      <c r="BA4206" s="1"/>
      <c r="BB4206" s="1"/>
    </row>
    <row r="4207" ht="204.75" customHeight="1">
      <c r="A4207" s="1">
        <v>4241.0</v>
      </c>
      <c r="B4207" s="2" t="s">
        <v>12345</v>
      </c>
      <c r="C4207" s="2">
        <f>IFERROR(__xludf.DUMMYFUNCTION("split(B4207,""_"")"),1107.0)</f>
        <v>1107</v>
      </c>
      <c r="D4207" s="2" t="str">
        <f>IFERROR(__xludf.DUMMYFUNCTION("""COMPUTED_VALUE"""),"NTV")</f>
        <v>NTV</v>
      </c>
      <c r="E4207" s="2" t="str">
        <f>IFERROR(__xludf.DUMMYFUNCTION("""COMPUTED_VALUE"""),"水22")</f>
        <v>水22</v>
      </c>
      <c r="F4207" s="2" t="s">
        <v>12346</v>
      </c>
      <c r="G4207" s="2" t="s">
        <v>12367</v>
      </c>
      <c r="H4207" s="1">
        <v>11.0</v>
      </c>
      <c r="I4207" s="1" t="s">
        <v>41</v>
      </c>
      <c r="J4207" s="1" t="s">
        <v>82</v>
      </c>
      <c r="K4207" s="2" t="s">
        <v>12368</v>
      </c>
      <c r="L4207" s="2"/>
      <c r="M4207" s="2" t="str">
        <f>IFERROR(__xludf.DUMMYFUNCTION("split(split(K4207,""【演出"",false),""ほか"",false)"),"江角マキコ、石原さとみ、稲垣吾郎、志田未来、ブラザートム、さくら、大野拓朗、青木綾平(子役)、池田成志、阿南健治、マギー、羽場裕一、鹿賀丈史(特別出演)、市川亀治郎、市毛良枝、小日向文世代議士・縄文寺(鹿賀)は記者会見で、死因の隠ぺいねつ造は秘書・奥山(羽場)と武田(小日向)が自分と関係なく行っていたと主張。直後、奥山が遺体で発見。奥山が亡くなったことで、珠実(江角)と知佳(石原)は縄文寺の罪を証明できなくなる。名倉(稲垣)は、縄文寺から奥山の死体検案を任され、死因を自殺にするよう指示される。珠実は奥山の"&amp;"妻・美里に、奥山の死には不審な点があると訴えるが…。")</f>
        <v>江角マキコ、石原さとみ、稲垣吾郎、志田未来、ブラザートム、さくら、大野拓朗、青木綾平(子役)、池田成志、阿南健治、マギー、羽場裕一、鹿賀丈史(特別出演)、市川亀治郎、市毛良枝、小日向文世代議士・縄文寺(鹿賀)は記者会見で、死因の隠ぺいねつ造は秘書・奥山(羽場)と武田(小日向)が自分と関係なく行っていたと主張。直後、奥山が遺体で発見。奥山が亡くなったことで、珠実(江角)と知佳(石原)は縄文寺の罪を証明できなくなる。名倉(稲垣)は、縄文寺から奥山の死体検案を任され、死因を自殺にするよう指示される。珠実は奥山の妻・美里に、奥山の死には不審な点があると訴えるが…。</v>
      </c>
      <c r="N4207" s="2"/>
      <c r="O4207" s="2"/>
      <c r="P4207" s="1"/>
      <c r="Q4207" s="1"/>
      <c r="R4207" s="1"/>
      <c r="S4207" s="1"/>
      <c r="T4207" s="1"/>
      <c r="U4207" s="1"/>
      <c r="V4207" s="1"/>
      <c r="W4207" s="1"/>
      <c r="X4207" s="1"/>
      <c r="Y4207" s="1"/>
      <c r="Z4207" s="1"/>
      <c r="AA4207" s="1"/>
      <c r="AB4207" s="1"/>
      <c r="AC4207" s="1"/>
      <c r="AD4207" s="1"/>
      <c r="AE4207" s="1"/>
      <c r="AF4207" s="1"/>
      <c r="AG4207" s="1"/>
      <c r="AH4207" s="1"/>
      <c r="AI4207" s="1"/>
      <c r="AJ4207" s="1"/>
      <c r="AK4207" s="1"/>
      <c r="AL4207" s="1"/>
      <c r="AM4207" s="1"/>
      <c r="AN4207" s="1"/>
      <c r="AO4207" s="1"/>
      <c r="AP4207" s="1"/>
      <c r="AQ4207" s="1"/>
      <c r="AR4207" s="1"/>
      <c r="AS4207" s="1"/>
      <c r="AT4207" s="1"/>
      <c r="AU4207" s="1"/>
      <c r="AV4207" s="1"/>
      <c r="AW4207" s="1"/>
      <c r="AX4207" s="1"/>
      <c r="AY4207" s="1"/>
      <c r="AZ4207" s="1"/>
      <c r="BA4207" s="1"/>
      <c r="BB4207" s="1"/>
    </row>
    <row r="4208" ht="204.75" customHeight="1">
      <c r="A4208" s="1">
        <v>4262.0</v>
      </c>
      <c r="B4208" s="2" t="s">
        <v>12369</v>
      </c>
      <c r="C4208" s="2">
        <f>IFERROR(__xludf.DUMMYFUNCTION("split(B4208,""_"")"),1107.0)</f>
        <v>1107</v>
      </c>
      <c r="D4208" s="2" t="str">
        <f>IFERROR(__xludf.DUMMYFUNCTION("""COMPUTED_VALUE"""),"NTV")</f>
        <v>NTV</v>
      </c>
      <c r="E4208" s="2" t="str">
        <f>IFERROR(__xludf.DUMMYFUNCTION("""COMPUTED_VALUE"""),"木23")</f>
        <v>木23</v>
      </c>
      <c r="F4208" s="2" t="s">
        <v>12370</v>
      </c>
      <c r="G4208" s="2" t="s">
        <v>12371</v>
      </c>
      <c r="H4208" s="1">
        <v>1.0</v>
      </c>
      <c r="J4208" s="1" t="s">
        <v>1435</v>
      </c>
      <c r="K4208" s="2" t="s">
        <v>12372</v>
      </c>
      <c r="L4208" s="2"/>
      <c r="M4208" s="2" t="str">
        <f>IFERROR(__xludf.DUMMYFUNCTION("split(split(K4208,""【演出"",false),""ほか"",false)"),"溝端淳平、忽那汐里、AKIRA、陣内孝則(他)工藤新一と毛利蘭はマンションで、男性の叫び声を聞く。新一たちが現場に駆け付けると、額から血を流したカメラマンの坪内と助手の岸が倒れていた。新一が部屋に入ると、この部屋に住むモデルの桃子が絶命していた。捜査が行われ、岸は部屋から飛び出してきた男に鉄の棒のような物で殴られたと証言。同じ犯人なら桃子の事もその棒で襲うはずだが、桃子は絞殺されていた。その事に引っ掛かった新一は坪内たちに疑いの眼差しを向けるEXILEのAKIRAが初めての容疑者役。AKIRAのキスシーン"&amp;"にもご注目。「名探偵コナン　工藤新一への挑戦状」  HPは、http://www.ytv.co.jp/conan-drama/")</f>
        <v>溝端淳平、忽那汐里、AKIRA、陣内孝則(他)工藤新一と毛利蘭はマンションで、男性の叫び声を聞く。新一たちが現場に駆け付けると、額から血を流したカメラマンの坪内と助手の岸が倒れていた。新一が部屋に入ると、この部屋に住むモデルの桃子が絶命していた。捜査が行われ、岸は部屋から飛び出してきた男に鉄の棒のような物で殴られたと証言。同じ犯人なら桃子の事もその棒で襲うはずだが、桃子は絞殺されていた。その事に引っ掛かった新一は坪内たちに疑いの眼差しを向けるEXILEのAKIRAが初めての容疑者役。AKIRAのキスシーンにもご注目。「名探偵コナン　工藤新一への挑戦状」  HPは、http://www.ytv.co.jp/conan-drama/</v>
      </c>
      <c r="N4208" s="2"/>
      <c r="O4208" s="2"/>
      <c r="P4208" s="1"/>
      <c r="Q4208" s="1"/>
      <c r="R4208" s="1"/>
      <c r="S4208" s="1"/>
      <c r="T4208" s="1"/>
      <c r="U4208" s="1"/>
      <c r="V4208" s="1"/>
      <c r="W4208" s="1"/>
      <c r="X4208" s="1"/>
      <c r="Y4208" s="1"/>
      <c r="Z4208" s="1"/>
      <c r="AA4208" s="1"/>
      <c r="AB4208" s="1"/>
      <c r="AC4208" s="1"/>
      <c r="AD4208" s="1"/>
      <c r="AE4208" s="1"/>
      <c r="AF4208" s="1"/>
      <c r="AG4208" s="1"/>
      <c r="AH4208" s="1"/>
      <c r="AI4208" s="1"/>
      <c r="AJ4208" s="1"/>
      <c r="AK4208" s="1"/>
      <c r="AL4208" s="1"/>
      <c r="AM4208" s="1"/>
      <c r="AN4208" s="1"/>
      <c r="AO4208" s="1"/>
      <c r="AP4208" s="1"/>
      <c r="AQ4208" s="1"/>
      <c r="AR4208" s="1"/>
      <c r="AS4208" s="1"/>
      <c r="AT4208" s="1"/>
      <c r="AU4208" s="1"/>
      <c r="AV4208" s="1"/>
      <c r="AW4208" s="1"/>
      <c r="AX4208" s="1"/>
      <c r="AY4208" s="1"/>
      <c r="AZ4208" s="1"/>
      <c r="BA4208" s="1"/>
      <c r="BB4208" s="1"/>
    </row>
    <row r="4209" ht="204.75" customHeight="1">
      <c r="A4209" s="1">
        <v>4263.0</v>
      </c>
      <c r="B4209" s="2" t="s">
        <v>12369</v>
      </c>
      <c r="C4209" s="2">
        <f>IFERROR(__xludf.DUMMYFUNCTION("split(B4209,""_"")"),1107.0)</f>
        <v>1107</v>
      </c>
      <c r="D4209" s="2" t="str">
        <f>IFERROR(__xludf.DUMMYFUNCTION("""COMPUTED_VALUE"""),"NTV")</f>
        <v>NTV</v>
      </c>
      <c r="E4209" s="2" t="str">
        <f>IFERROR(__xludf.DUMMYFUNCTION("""COMPUTED_VALUE"""),"木23")</f>
        <v>木23</v>
      </c>
      <c r="F4209" s="2" t="s">
        <v>12370</v>
      </c>
      <c r="G4209" s="2" t="s">
        <v>12373</v>
      </c>
      <c r="H4209" s="1">
        <v>2.0</v>
      </c>
      <c r="J4209" s="1" t="s">
        <v>1435</v>
      </c>
      <c r="K4209" s="2" t="s">
        <v>12374</v>
      </c>
      <c r="L4209" s="2"/>
      <c r="M4209" s="2" t="str">
        <f>IFERROR(__xludf.DUMMYFUNCTION("split(split(K4209,""【演出"",false),""ほか"",false)"),"溝端淳平、忽那汐里、塚地武雅(ドランクドラゴン)、陣内孝則(他)新一(溝端淳平)は超能力者の鷲見(塚地武雅)と対決する番組に出演。鷲見は念力でスプーンを曲げるが、新一も簡単にスプーン曲げをやってのける。すると、司会の原田はインチキだと言って鷲見を侮辱し、超能力を使って俺を殺害してみろと挑発。怒った鷲見は、原田に向かって念を送る。すると原田はもがき苦しみ、遂には絶命。鷲見は超能力で原田を殺したと発言。だが、新一は殺人事件と判断し、原田殺害のトリックを見破るが・・ドランクドラゴンの塚地が超能力者役で出演。シリ"&amp;"アスな演技にもご注目下さい。「名探偵コナン　工藤新一への挑戦状」  HPは、http://www.ytv.co.jp/conan-drama/")</f>
        <v>溝端淳平、忽那汐里、塚地武雅(ドランクドラゴン)、陣内孝則(他)新一(溝端淳平)は超能力者の鷲見(塚地武雅)と対決する番組に出演。鷲見は念力でスプーンを曲げるが、新一も簡単にスプーン曲げをやってのける。すると、司会の原田はインチキだと言って鷲見を侮辱し、超能力を使って俺を殺害してみろと挑発。怒った鷲見は、原田に向かって念を送る。すると原田はもがき苦しみ、遂には絶命。鷲見は超能力で原田を殺したと発言。だが、新一は殺人事件と判断し、原田殺害のトリックを見破るが・・ドランクドラゴンの塚地が超能力者役で出演。シリアスな演技にもご注目下さい。「名探偵コナン　工藤新一への挑戦状」  HPは、http://www.ytv.co.jp/conan-drama/</v>
      </c>
      <c r="N4209" s="2"/>
      <c r="O4209" s="2"/>
      <c r="P4209" s="1"/>
      <c r="Q4209" s="1"/>
      <c r="R4209" s="1"/>
      <c r="S4209" s="1"/>
      <c r="T4209" s="1"/>
      <c r="U4209" s="1"/>
      <c r="V4209" s="1"/>
      <c r="W4209" s="1"/>
      <c r="X4209" s="1"/>
      <c r="Y4209" s="1"/>
      <c r="Z4209" s="1"/>
      <c r="AA4209" s="1"/>
      <c r="AB4209" s="1"/>
      <c r="AC4209" s="1"/>
      <c r="AD4209" s="1"/>
      <c r="AE4209" s="1"/>
      <c r="AF4209" s="1"/>
      <c r="AG4209" s="1"/>
      <c r="AH4209" s="1"/>
      <c r="AI4209" s="1"/>
      <c r="AJ4209" s="1"/>
      <c r="AK4209" s="1"/>
      <c r="AL4209" s="1"/>
      <c r="AM4209" s="1"/>
      <c r="AN4209" s="1"/>
      <c r="AO4209" s="1"/>
      <c r="AP4209" s="1"/>
      <c r="AQ4209" s="1"/>
      <c r="AR4209" s="1"/>
      <c r="AS4209" s="1"/>
      <c r="AT4209" s="1"/>
      <c r="AU4209" s="1"/>
      <c r="AV4209" s="1"/>
      <c r="AW4209" s="1"/>
      <c r="AX4209" s="1"/>
      <c r="AY4209" s="1"/>
      <c r="AZ4209" s="1"/>
      <c r="BA4209" s="1"/>
      <c r="BB4209" s="1"/>
    </row>
    <row r="4210" ht="204.75" customHeight="1">
      <c r="A4210" s="1">
        <v>4264.0</v>
      </c>
      <c r="B4210" s="2" t="s">
        <v>12369</v>
      </c>
      <c r="C4210" s="2">
        <f>IFERROR(__xludf.DUMMYFUNCTION("split(B4210,""_"")"),1107.0)</f>
        <v>1107</v>
      </c>
      <c r="D4210" s="2" t="str">
        <f>IFERROR(__xludf.DUMMYFUNCTION("""COMPUTED_VALUE"""),"NTV")</f>
        <v>NTV</v>
      </c>
      <c r="E4210" s="2" t="str">
        <f>IFERROR(__xludf.DUMMYFUNCTION("""COMPUTED_VALUE"""),"木23")</f>
        <v>木23</v>
      </c>
      <c r="F4210" s="2" t="s">
        <v>12370</v>
      </c>
      <c r="G4210" s="2" t="s">
        <v>12375</v>
      </c>
      <c r="H4210" s="1">
        <v>3.0</v>
      </c>
      <c r="J4210" s="1" t="s">
        <v>1435</v>
      </c>
      <c r="K4210" s="2" t="s">
        <v>12376</v>
      </c>
      <c r="L4210" s="2"/>
      <c r="M4210" s="2" t="str">
        <f>IFERROR(__xludf.DUMMYFUNCTION("split(split(K4210,""【演出"",false),""ほか"",false)"),"溝端淳平、忽那汐里、大塚寧々、陣内孝則(他)新一(溝端淳平)は、小五郎(陣内孝則)、蘭(忽那汐里)と共に傍聴席から裁判を見守っている。その裁判は、ホステスの麗香が勤務先の金庫から1千万を盗んだ事件。麗香は、犯行時刻にラブホテルで蘭の母親である弁護士、妃英理(大塚寧々)を目撃したと主張し容疑を否認。証人として英理は犯行時刻にラブホテルにいた事を認め、麗香は英理が男性とホテルに入った事を強調する。しかし、その答弁中麗香は頭を撃たれ死んでしまう。原作キャラクターにもある蘭の母親・妃英理(大塚寧々)が登場。今回は"&amp;"弁護士役ではなく、証言者の役で登場。原作では見られない  妃容疑者と新一との対立もお見逃しなく!「名探偵コナン　工藤新一への挑戦状」  HPは、http://www.ytv.co.jp/conan-drama/")</f>
        <v>溝端淳平、忽那汐里、大塚寧々、陣内孝則(他)新一(溝端淳平)は、小五郎(陣内孝則)、蘭(忽那汐里)と共に傍聴席から裁判を見守っている。その裁判は、ホステスの麗香が勤務先の金庫から1千万を盗んだ事件。麗香は、犯行時刻にラブホテルで蘭の母親である弁護士、妃英理(大塚寧々)を目撃したと主張し容疑を否認。証人として英理は犯行時刻にラブホテルにいた事を認め、麗香は英理が男性とホテルに入った事を強調する。しかし、その答弁中麗香は頭を撃たれ死んでしまう。原作キャラクターにもある蘭の母親・妃英理(大塚寧々)が登場。今回は弁護士役ではなく、証言者の役で登場。原作では見られない  妃容疑者と新一との対立もお見逃しなく!「名探偵コナン　工藤新一への挑戦状」  HPは、http://www.ytv.co.jp/conan-drama/</v>
      </c>
      <c r="N4210" s="2"/>
      <c r="O4210" s="2"/>
      <c r="P4210" s="1"/>
      <c r="Q4210" s="1"/>
      <c r="R4210" s="1"/>
      <c r="S4210" s="1"/>
      <c r="T4210" s="1"/>
      <c r="U4210" s="1"/>
      <c r="V4210" s="1"/>
      <c r="W4210" s="1"/>
      <c r="X4210" s="1"/>
      <c r="Y4210" s="1"/>
      <c r="Z4210" s="1"/>
      <c r="AA4210" s="1"/>
      <c r="AB4210" s="1"/>
      <c r="AC4210" s="1"/>
      <c r="AD4210" s="1"/>
      <c r="AE4210" s="1"/>
      <c r="AF4210" s="1"/>
      <c r="AG4210" s="1"/>
      <c r="AH4210" s="1"/>
      <c r="AI4210" s="1"/>
      <c r="AJ4210" s="1"/>
      <c r="AK4210" s="1"/>
      <c r="AL4210" s="1"/>
      <c r="AM4210" s="1"/>
      <c r="AN4210" s="1"/>
      <c r="AO4210" s="1"/>
      <c r="AP4210" s="1"/>
      <c r="AQ4210" s="1"/>
      <c r="AR4210" s="1"/>
      <c r="AS4210" s="1"/>
      <c r="AT4210" s="1"/>
      <c r="AU4210" s="1"/>
      <c r="AV4210" s="1"/>
      <c r="AW4210" s="1"/>
      <c r="AX4210" s="1"/>
      <c r="AY4210" s="1"/>
      <c r="AZ4210" s="1"/>
      <c r="BA4210" s="1"/>
      <c r="BB4210" s="1"/>
    </row>
    <row r="4211" ht="204.75" customHeight="1">
      <c r="A4211" s="1">
        <v>4265.0</v>
      </c>
      <c r="B4211" s="2" t="s">
        <v>12369</v>
      </c>
      <c r="C4211" s="2">
        <f>IFERROR(__xludf.DUMMYFUNCTION("split(B4211,""_"")"),1107.0)</f>
        <v>1107</v>
      </c>
      <c r="D4211" s="2" t="str">
        <f>IFERROR(__xludf.DUMMYFUNCTION("""COMPUTED_VALUE"""),"NTV")</f>
        <v>NTV</v>
      </c>
      <c r="E4211" s="2" t="str">
        <f>IFERROR(__xludf.DUMMYFUNCTION("""COMPUTED_VALUE"""),"木23")</f>
        <v>木23</v>
      </c>
      <c r="F4211" s="2" t="s">
        <v>12370</v>
      </c>
      <c r="G4211" s="2" t="s">
        <v>12377</v>
      </c>
      <c r="H4211" s="1">
        <v>4.0</v>
      </c>
      <c r="J4211" s="1" t="s">
        <v>1435</v>
      </c>
      <c r="K4211" s="2" t="s">
        <v>12378</v>
      </c>
      <c r="L4211" s="2"/>
      <c r="M4211" s="2" t="str">
        <f>IFERROR(__xludf.DUMMYFUNCTION("split(split(K4211,""【演出"",false),""ほか"",false)"),"溝端淳平、忽那汐里、秋元才加(AKB48)、佐藤めぐみ、陣内孝則(他)新一(溝端淳平)は小五郎(陣内孝則)から、結婚パーティーがあるから来てくれと頼まれる。新郎の健介はレストランのオーナーで、新婦のかのんは店の常連客。パーティー前、かのんの親友・ナナが、健介の子供を身籠もったと健介に報告。新一は2人の会話を偶然聞いてしまう。この後、健介は出席者たちにカクテルを振る舞い、ナナは客の彩夏が飲もうとしたカクテルを奪い飲み干してしまう。その直後、ナナは呼吸困難に陥り絶命する人気キャラ、蘭の親友・園子(秋元才加・A"&amp;"KB48)が初登場です、お楽しみに。「名探偵コナン　工藤新一への挑戦状」  HPは、http://www.ytv.co.jp/conan-drama/")</f>
        <v>溝端淳平、忽那汐里、秋元才加(AKB48)、佐藤めぐみ、陣内孝則(他)新一(溝端淳平)は小五郎(陣内孝則)から、結婚パーティーがあるから来てくれと頼まれる。新郎の健介はレストランのオーナーで、新婦のかのんは店の常連客。パーティー前、かのんの親友・ナナが、健介の子供を身籠もったと健介に報告。新一は2人の会話を偶然聞いてしまう。この後、健介は出席者たちにカクテルを振る舞い、ナナは客の彩夏が飲もうとしたカクテルを奪い飲み干してしまう。その直後、ナナは呼吸困難に陥り絶命する人気キャラ、蘭の親友・園子(秋元才加・AKB48)が初登場です、お楽しみに。「名探偵コナン　工藤新一への挑戦状」  HPは、http://www.ytv.co.jp/conan-drama/</v>
      </c>
      <c r="N4211" s="2"/>
      <c r="O4211" s="2"/>
      <c r="P4211" s="1"/>
      <c r="Q4211" s="1"/>
      <c r="R4211" s="1"/>
      <c r="S4211" s="1"/>
      <c r="T4211" s="1"/>
      <c r="U4211" s="1"/>
      <c r="V4211" s="1"/>
      <c r="W4211" s="1"/>
      <c r="X4211" s="1"/>
      <c r="Y4211" s="1"/>
      <c r="Z4211" s="1"/>
      <c r="AA4211" s="1"/>
      <c r="AB4211" s="1"/>
      <c r="AC4211" s="1"/>
      <c r="AD4211" s="1"/>
      <c r="AE4211" s="1"/>
      <c r="AF4211" s="1"/>
      <c r="AG4211" s="1"/>
      <c r="AH4211" s="1"/>
      <c r="AI4211" s="1"/>
      <c r="AJ4211" s="1"/>
      <c r="AK4211" s="1"/>
      <c r="AL4211" s="1"/>
      <c r="AM4211" s="1"/>
      <c r="AN4211" s="1"/>
      <c r="AO4211" s="1"/>
      <c r="AP4211" s="1"/>
      <c r="AQ4211" s="1"/>
      <c r="AR4211" s="1"/>
      <c r="AS4211" s="1"/>
      <c r="AT4211" s="1"/>
      <c r="AU4211" s="1"/>
      <c r="AV4211" s="1"/>
      <c r="AW4211" s="1"/>
      <c r="AX4211" s="1"/>
      <c r="AY4211" s="1"/>
      <c r="AZ4211" s="1"/>
      <c r="BA4211" s="1"/>
      <c r="BB4211" s="1"/>
    </row>
    <row r="4212" ht="204.75" customHeight="1">
      <c r="A4212" s="1">
        <v>4266.0</v>
      </c>
      <c r="B4212" s="2" t="s">
        <v>12369</v>
      </c>
      <c r="C4212" s="2">
        <f>IFERROR(__xludf.DUMMYFUNCTION("split(B4212,""_"")"),1107.0)</f>
        <v>1107</v>
      </c>
      <c r="D4212" s="2" t="str">
        <f>IFERROR(__xludf.DUMMYFUNCTION("""COMPUTED_VALUE"""),"NTV")</f>
        <v>NTV</v>
      </c>
      <c r="E4212" s="2" t="str">
        <f>IFERROR(__xludf.DUMMYFUNCTION("""COMPUTED_VALUE"""),"木23")</f>
        <v>木23</v>
      </c>
      <c r="F4212" s="2" t="s">
        <v>12370</v>
      </c>
      <c r="G4212" s="2" t="s">
        <v>12379</v>
      </c>
      <c r="H4212" s="1">
        <v>5.0</v>
      </c>
      <c r="J4212" s="1" t="s">
        <v>1435</v>
      </c>
      <c r="K4212" s="2" t="s">
        <v>12380</v>
      </c>
      <c r="L4212" s="2"/>
      <c r="M4212" s="2" t="str">
        <f>IFERROR(__xludf.DUMMYFUNCTION("split(split(K4212,""【演出"",false),""ほか"",false)"),"溝端淳平、忽那汐里、秋元才加(AKB48)、田中美里、陣内孝則(他)新一は蘭、園子と共に映画監督、永田の別荘に招かれる。永田はそこで女優の沙織と濃厚なキスをする。そこに永田の妻で女優の知里が来て、沙織が夫をたぶらかし役を獲ったと激怒する。重苦しい雰囲気を察した永田は紅茶を用意し、食器棚に並ぶ紅茶カップから好きなカップを皆に選ばせ、自分も好きなカップを手に取る。すると永田は紅茶を飲んだ途端絶命、そのカップを適当に選んだにも関わらず、そこには青酸カリが塗られていた。「名探偵コナン　工藤新一への挑戦状」  HP"&amp;"は、http://www.ytv.co.jp/conan-drama/")</f>
        <v>溝端淳平、忽那汐里、秋元才加(AKB48)、田中美里、陣内孝則(他)新一は蘭、園子と共に映画監督、永田の別荘に招かれる。永田はそこで女優の沙織と濃厚なキスをする。そこに永田の妻で女優の知里が来て、沙織が夫をたぶらかし役を獲ったと激怒する。重苦しい雰囲気を察した永田は紅茶を用意し、食器棚に並ぶ紅茶カップから好きなカップを皆に選ばせ、自分も好きなカップを手に取る。すると永田は紅茶を飲んだ途端絶命、そのカップを適当に選んだにも関わらず、そこには青酸カリが塗られていた。「名探偵コナン　工藤新一への挑戦状」  HPは、http://www.ytv.co.jp/conan-drama/</v>
      </c>
      <c r="N4212" s="2"/>
      <c r="O4212" s="2"/>
      <c r="P4212" s="1"/>
      <c r="Q4212" s="1"/>
      <c r="R4212" s="1"/>
      <c r="S4212" s="1"/>
      <c r="T4212" s="1"/>
      <c r="U4212" s="1"/>
      <c r="V4212" s="1"/>
      <c r="W4212" s="1"/>
      <c r="X4212" s="1"/>
      <c r="Y4212" s="1"/>
      <c r="Z4212" s="1"/>
      <c r="AA4212" s="1"/>
      <c r="AB4212" s="1"/>
      <c r="AC4212" s="1"/>
      <c r="AD4212" s="1"/>
      <c r="AE4212" s="1"/>
      <c r="AF4212" s="1"/>
      <c r="AG4212" s="1"/>
      <c r="AH4212" s="1"/>
      <c r="AI4212" s="1"/>
      <c r="AJ4212" s="1"/>
      <c r="AK4212" s="1"/>
      <c r="AL4212" s="1"/>
      <c r="AM4212" s="1"/>
      <c r="AN4212" s="1"/>
      <c r="AO4212" s="1"/>
      <c r="AP4212" s="1"/>
      <c r="AQ4212" s="1"/>
      <c r="AR4212" s="1"/>
      <c r="AS4212" s="1"/>
      <c r="AT4212" s="1"/>
      <c r="AU4212" s="1"/>
      <c r="AV4212" s="1"/>
      <c r="AW4212" s="1"/>
      <c r="AX4212" s="1"/>
      <c r="AY4212" s="1"/>
      <c r="AZ4212" s="1"/>
      <c r="BA4212" s="1"/>
      <c r="BB4212" s="1"/>
    </row>
    <row r="4213" ht="204.75" customHeight="1">
      <c r="A4213" s="1">
        <v>4267.0</v>
      </c>
      <c r="B4213" s="2" t="s">
        <v>12369</v>
      </c>
      <c r="C4213" s="2">
        <f>IFERROR(__xludf.DUMMYFUNCTION("split(B4213,""_"")"),1107.0)</f>
        <v>1107</v>
      </c>
      <c r="D4213" s="2" t="str">
        <f>IFERROR(__xludf.DUMMYFUNCTION("""COMPUTED_VALUE"""),"NTV")</f>
        <v>NTV</v>
      </c>
      <c r="E4213" s="2" t="str">
        <f>IFERROR(__xludf.DUMMYFUNCTION("""COMPUTED_VALUE"""),"木23")</f>
        <v>木23</v>
      </c>
      <c r="F4213" s="2" t="s">
        <v>12370</v>
      </c>
      <c r="G4213" s="2" t="s">
        <v>12381</v>
      </c>
      <c r="H4213" s="1">
        <v>6.0</v>
      </c>
      <c r="J4213" s="1" t="s">
        <v>1435</v>
      </c>
      <c r="K4213" s="2" t="s">
        <v>12382</v>
      </c>
      <c r="L4213" s="2"/>
      <c r="M4213" s="2" t="str">
        <f>IFERROR(__xludf.DUMMYFUNCTION("split(split(K4213,""【演出"",false),""ほか"",false)"),"溝端淳平、忽那汐里、松山愛里、田中要次、陣内孝則(他)変装した新一と蘭は、高木刑事に付き添ってもらい、小五郎の浮気調査のため、キャバクラに潜入。そこでは、No.1ホステスの久美が数学教授の峰を接客していた。この後、久美とのキスを賭けた数学を応用したゲームの時間になり、挑戦者として峰と小五郎が選ばれる。ゲームに勝ったのは峰で、久美は峰に勝利のキスをしようとするが、その途端、苦しみだして絶命する。そして久美が飲んだワインからトリカブトの成分が検出される。今回は算数ゲームが出てきます。皆さんも一緒に考えてみて、"&amp;"話のネタに使ってください。「名探偵コナン　工藤新一への挑戦状」  HPは、http://www.ytv.co.jp/conan-drama/")</f>
        <v>溝端淳平、忽那汐里、松山愛里、田中要次、陣内孝則(他)変装した新一と蘭は、高木刑事に付き添ってもらい、小五郎の浮気調査のため、キャバクラに潜入。そこでは、No.1ホステスの久美が数学教授の峰を接客していた。この後、久美とのキスを賭けた数学を応用したゲームの時間になり、挑戦者として峰と小五郎が選ばれる。ゲームに勝ったのは峰で、久美は峰に勝利のキスをしようとするが、その途端、苦しみだして絶命する。そして久美が飲んだワインからトリカブトの成分が検出される。今回は算数ゲームが出てきます。皆さんも一緒に考えてみて、話のネタに使ってください。「名探偵コナン　工藤新一への挑戦状」  HPは、http://www.ytv.co.jp/conan-drama/</v>
      </c>
      <c r="N4213" s="2"/>
      <c r="O4213" s="2"/>
      <c r="P4213" s="1"/>
      <c r="Q4213" s="1"/>
      <c r="R4213" s="1"/>
      <c r="S4213" s="1"/>
      <c r="T4213" s="1"/>
      <c r="U4213" s="1"/>
      <c r="V4213" s="1"/>
      <c r="W4213" s="1"/>
      <c r="X4213" s="1"/>
      <c r="Y4213" s="1"/>
      <c r="Z4213" s="1"/>
      <c r="AA4213" s="1"/>
      <c r="AB4213" s="1"/>
      <c r="AC4213" s="1"/>
      <c r="AD4213" s="1"/>
      <c r="AE4213" s="1"/>
      <c r="AF4213" s="1"/>
      <c r="AG4213" s="1"/>
      <c r="AH4213" s="1"/>
      <c r="AI4213" s="1"/>
      <c r="AJ4213" s="1"/>
      <c r="AK4213" s="1"/>
      <c r="AL4213" s="1"/>
      <c r="AM4213" s="1"/>
      <c r="AN4213" s="1"/>
      <c r="AO4213" s="1"/>
      <c r="AP4213" s="1"/>
      <c r="AQ4213" s="1"/>
      <c r="AR4213" s="1"/>
      <c r="AS4213" s="1"/>
      <c r="AT4213" s="1"/>
      <c r="AU4213" s="1"/>
      <c r="AV4213" s="1"/>
      <c r="AW4213" s="1"/>
      <c r="AX4213" s="1"/>
      <c r="AY4213" s="1"/>
      <c r="AZ4213" s="1"/>
      <c r="BA4213" s="1"/>
      <c r="BB4213" s="1"/>
    </row>
    <row r="4214" ht="204.75" customHeight="1">
      <c r="A4214" s="1">
        <v>4268.0</v>
      </c>
      <c r="B4214" s="2" t="s">
        <v>12369</v>
      </c>
      <c r="C4214" s="2">
        <f>IFERROR(__xludf.DUMMYFUNCTION("split(B4214,""_"")"),1107.0)</f>
        <v>1107</v>
      </c>
      <c r="D4214" s="2" t="str">
        <f>IFERROR(__xludf.DUMMYFUNCTION("""COMPUTED_VALUE"""),"NTV")</f>
        <v>NTV</v>
      </c>
      <c r="E4214" s="2" t="str">
        <f>IFERROR(__xludf.DUMMYFUNCTION("""COMPUTED_VALUE"""),"木23")</f>
        <v>木23</v>
      </c>
      <c r="F4214" s="2" t="s">
        <v>12370</v>
      </c>
      <c r="G4214" s="2" t="s">
        <v>12383</v>
      </c>
      <c r="H4214" s="1">
        <v>7.0</v>
      </c>
      <c r="J4214" s="1" t="s">
        <v>1435</v>
      </c>
      <c r="K4214" s="2" t="s">
        <v>12384</v>
      </c>
      <c r="L4214" s="2"/>
      <c r="M4214" s="2" t="str">
        <f>IFERROR(__xludf.DUMMYFUNCTION("split(split(K4214,""【演出"",false),""ほか"",false)"),"溝端淳平、忽那汐里、秋元才加(AKB48)、宮地真緒(他)園子(秋元才加)は、巨万の富を築いたラーメン王、兵五郎の告別式に参列する。そこでは、兵五郎の娘で姉の由利(宮地真緒)と妹の美紀(林丹丹)が遺産を巡って大喧嘩を繰り広げていた。その現場をテレビ中継で偶然見ていた新一(溝端淳平)と蘭(忽那汐里)。すると蘭の携帯に、園子と由利が誘拐されたと連絡が入る。誘拐犯は身代金として10億円分のダイヤを要求してきたが、その混乱のさなか妹の美紀が何者かに殺されてしまう「名探偵コナン　工藤新一への挑戦状」  HPは、ht"&amp;"tp://www.ytv.co.jp/conan-drama/")</f>
        <v>溝端淳平、忽那汐里、秋元才加(AKB48)、宮地真緒(他)園子(秋元才加)は、巨万の富を築いたラーメン王、兵五郎の告別式に参列する。そこでは、兵五郎の娘で姉の由利(宮地真緒)と妹の美紀(林丹丹)が遺産を巡って大喧嘩を繰り広げていた。その現場をテレビ中継で偶然見ていた新一(溝端淳平)と蘭(忽那汐里)。すると蘭の携帯に、園子と由利が誘拐されたと連絡が入る。誘拐犯は身代金として10億円分のダイヤを要求してきたが、その混乱のさなか妹の美紀が何者かに殺されてしまう「名探偵コナン　工藤新一への挑戦状」  HPは、http://www.ytv.co.jp/conan-drama/</v>
      </c>
      <c r="N4214" s="2"/>
      <c r="O4214" s="2"/>
      <c r="P4214" s="1"/>
      <c r="Q4214" s="1"/>
      <c r="R4214" s="1"/>
      <c r="S4214" s="1"/>
      <c r="T4214" s="1"/>
      <c r="U4214" s="1"/>
      <c r="V4214" s="1"/>
      <c r="W4214" s="1"/>
      <c r="X4214" s="1"/>
      <c r="Y4214" s="1"/>
      <c r="Z4214" s="1"/>
      <c r="AA4214" s="1"/>
      <c r="AB4214" s="1"/>
      <c r="AC4214" s="1"/>
      <c r="AD4214" s="1"/>
      <c r="AE4214" s="1"/>
      <c r="AF4214" s="1"/>
      <c r="AG4214" s="1"/>
      <c r="AH4214" s="1"/>
      <c r="AI4214" s="1"/>
      <c r="AJ4214" s="1"/>
      <c r="AK4214" s="1"/>
      <c r="AL4214" s="1"/>
      <c r="AM4214" s="1"/>
      <c r="AN4214" s="1"/>
      <c r="AO4214" s="1"/>
      <c r="AP4214" s="1"/>
      <c r="AQ4214" s="1"/>
      <c r="AR4214" s="1"/>
      <c r="AS4214" s="1"/>
      <c r="AT4214" s="1"/>
      <c r="AU4214" s="1"/>
      <c r="AV4214" s="1"/>
      <c r="AW4214" s="1"/>
      <c r="AX4214" s="1"/>
      <c r="AY4214" s="1"/>
      <c r="AZ4214" s="1"/>
      <c r="BA4214" s="1"/>
      <c r="BB4214" s="1"/>
    </row>
    <row r="4215" ht="204.75" customHeight="1">
      <c r="A4215" s="1">
        <v>4269.0</v>
      </c>
      <c r="B4215" s="2" t="s">
        <v>12369</v>
      </c>
      <c r="C4215" s="2">
        <f>IFERROR(__xludf.DUMMYFUNCTION("split(B4215,""_"")"),1107.0)</f>
        <v>1107</v>
      </c>
      <c r="D4215" s="2" t="str">
        <f>IFERROR(__xludf.DUMMYFUNCTION("""COMPUTED_VALUE"""),"NTV")</f>
        <v>NTV</v>
      </c>
      <c r="E4215" s="2" t="str">
        <f>IFERROR(__xludf.DUMMYFUNCTION("""COMPUTED_VALUE"""),"木23")</f>
        <v>木23</v>
      </c>
      <c r="F4215" s="2" t="s">
        <v>12370</v>
      </c>
      <c r="G4215" s="2" t="s">
        <v>12385</v>
      </c>
      <c r="H4215" s="1">
        <v>8.0</v>
      </c>
      <c r="J4215" s="1" t="s">
        <v>1435</v>
      </c>
      <c r="K4215" s="2" t="s">
        <v>12386</v>
      </c>
      <c r="L4215" s="2"/>
      <c r="M4215" s="2" t="str">
        <f>IFERROR(__xludf.DUMMYFUNCTION("split(split(K4215,""【演出"",false),""ほか"",false)"),"溝端淳平、忽那汐里、佐藤仁美、浅利陽介(他)蘭(忽那汐里)はバスで沢田(少路勇介)に痴漢され新一(溝端淳平)と共に、逃げた沢田をマンションのベランダで捕まえる。丁度そこでは、救急隊員が老婆を救急車に乗せていた。佐藤刑事(上野なつひ)によれば、ヘルパー、山下(浅利陽介)の買い物中に老婆の人工呼吸器が止まり、心肺停止になったという。佐藤刑事は誠が老婆の殺害を企てたと疑うが、その事件には痴漢犯・沢田と老婆の娘・ゆかり(佐藤仁美)の思惑が潜んでいた新一検定もいよいよ最後。番組ラストで出てくるヒントもお見逃しなく!"&amp;"「名探偵コナン　工藤新一への挑戦状」  HPは、http://www.ytv.co.jp/conan-drama/")</f>
        <v>溝端淳平、忽那汐里、佐藤仁美、浅利陽介(他)蘭(忽那汐里)はバスで沢田(少路勇介)に痴漢され新一(溝端淳平)と共に、逃げた沢田をマンションのベランダで捕まえる。丁度そこでは、救急隊員が老婆を救急車に乗せていた。佐藤刑事(上野なつひ)によれば、ヘルパー、山下(浅利陽介)の買い物中に老婆の人工呼吸器が止まり、心肺停止になったという。佐藤刑事は誠が老婆の殺害を企てたと疑うが、その事件には痴漢犯・沢田と老婆の娘・ゆかり(佐藤仁美)の思惑が潜んでいた新一検定もいよいよ最後。番組ラストで出てくるヒントもお見逃しなく!「名探偵コナン　工藤新一への挑戦状」  HPは、http://www.ytv.co.jp/conan-drama/</v>
      </c>
      <c r="N4215" s="2"/>
      <c r="O4215" s="2"/>
      <c r="P4215" s="1"/>
      <c r="Q4215" s="1"/>
      <c r="R4215" s="1"/>
      <c r="S4215" s="1"/>
      <c r="T4215" s="1"/>
      <c r="U4215" s="1"/>
      <c r="V4215" s="1"/>
      <c r="W4215" s="1"/>
      <c r="X4215" s="1"/>
      <c r="Y4215" s="1"/>
      <c r="Z4215" s="1"/>
      <c r="AA4215" s="1"/>
      <c r="AB4215" s="1"/>
      <c r="AC4215" s="1"/>
      <c r="AD4215" s="1"/>
      <c r="AE4215" s="1"/>
      <c r="AF4215" s="1"/>
      <c r="AG4215" s="1"/>
      <c r="AH4215" s="1"/>
      <c r="AI4215" s="1"/>
      <c r="AJ4215" s="1"/>
      <c r="AK4215" s="1"/>
      <c r="AL4215" s="1"/>
      <c r="AM4215" s="1"/>
      <c r="AN4215" s="1"/>
      <c r="AO4215" s="1"/>
      <c r="AP4215" s="1"/>
      <c r="AQ4215" s="1"/>
      <c r="AR4215" s="1"/>
      <c r="AS4215" s="1"/>
      <c r="AT4215" s="1"/>
      <c r="AU4215" s="1"/>
      <c r="AV4215" s="1"/>
      <c r="AW4215" s="1"/>
      <c r="AX4215" s="1"/>
      <c r="AY4215" s="1"/>
      <c r="AZ4215" s="1"/>
      <c r="BA4215" s="1"/>
      <c r="BB4215" s="1"/>
    </row>
    <row r="4216" ht="204.75" customHeight="1">
      <c r="A4216" s="1">
        <v>4270.0</v>
      </c>
      <c r="B4216" s="2" t="s">
        <v>12369</v>
      </c>
      <c r="C4216" s="2">
        <f>IFERROR(__xludf.DUMMYFUNCTION("split(B4216,""_"")"),1107.0)</f>
        <v>1107</v>
      </c>
      <c r="D4216" s="2" t="str">
        <f>IFERROR(__xludf.DUMMYFUNCTION("""COMPUTED_VALUE"""),"NTV")</f>
        <v>NTV</v>
      </c>
      <c r="E4216" s="2" t="str">
        <f>IFERROR(__xludf.DUMMYFUNCTION("""COMPUTED_VALUE"""),"木23")</f>
        <v>木23</v>
      </c>
      <c r="F4216" s="2" t="s">
        <v>12370</v>
      </c>
      <c r="G4216" s="2" t="s">
        <v>12387</v>
      </c>
      <c r="H4216" s="1">
        <v>9.0</v>
      </c>
      <c r="J4216" s="1" t="s">
        <v>1435</v>
      </c>
      <c r="K4216" s="2" t="s">
        <v>12388</v>
      </c>
      <c r="L4216" s="2"/>
      <c r="M4216" s="2" t="str">
        <f>IFERROR(__xludf.DUMMYFUNCTION("split(split(K4216,""【演出"",false),""ほか"",false)"),"溝端淳平、忽那汐里、松坂桃李、岡本玲、岩崎ひろみ(他)大阪からやってきた平次(松坂桃李)と和葉(岡本玲)はひったくり犯に遭遇。下校中の新一(溝端淳平)と蘭(忽那汐里)もその騒動に気付き、新一は犯人目がけてサッカーボールを蹴り上げ直撃させる。しかし跳ね返ったボールは家の中へ飛んでいき、窓ガラスが割れる音と女性の悲鳴が聞こえてくる。二人が中に入ると、女の人にガラス片が刺さり絶命していた。新一と平次は事故に見せかけた殺人事件と推理。二人の推理対決が始まる。原作の人気キャラ、服部平次(松坂桃李)と遠山和葉(岡本玲"&amp;")が初登場!新一と平次の推理対決もお見逃しなく!「名探偵コナン　工藤新一への挑戦状」  HPは、http://www.ytv.co.jp/conan-drama/")</f>
        <v>溝端淳平、忽那汐里、松坂桃李、岡本玲、岩崎ひろみ(他)大阪からやってきた平次(松坂桃李)と和葉(岡本玲)はひったくり犯に遭遇。下校中の新一(溝端淳平)と蘭(忽那汐里)もその騒動に気付き、新一は犯人目がけてサッカーボールを蹴り上げ直撃させる。しかし跳ね返ったボールは家の中へ飛んでいき、窓ガラスが割れる音と女性の悲鳴が聞こえてくる。二人が中に入ると、女の人にガラス片が刺さり絶命していた。新一と平次は事故に見せかけた殺人事件と推理。二人の推理対決が始まる。原作の人気キャラ、服部平次(松坂桃李)と遠山和葉(岡本玲)が初登場!新一と平次の推理対決もお見逃しなく!「名探偵コナン　工藤新一への挑戦状」  HPは、http://www.ytv.co.jp/conan-drama/</v>
      </c>
      <c r="N4216" s="2"/>
      <c r="O4216" s="2"/>
      <c r="P4216" s="1"/>
      <c r="Q4216" s="1"/>
      <c r="R4216" s="1"/>
      <c r="S4216" s="1"/>
      <c r="T4216" s="1"/>
      <c r="U4216" s="1"/>
      <c r="V4216" s="1"/>
      <c r="W4216" s="1"/>
      <c r="X4216" s="1"/>
      <c r="Y4216" s="1"/>
      <c r="Z4216" s="1"/>
      <c r="AA4216" s="1"/>
      <c r="AB4216" s="1"/>
      <c r="AC4216" s="1"/>
      <c r="AD4216" s="1"/>
      <c r="AE4216" s="1"/>
      <c r="AF4216" s="1"/>
      <c r="AG4216" s="1"/>
      <c r="AH4216" s="1"/>
      <c r="AI4216" s="1"/>
      <c r="AJ4216" s="1"/>
      <c r="AK4216" s="1"/>
      <c r="AL4216" s="1"/>
      <c r="AM4216" s="1"/>
      <c r="AN4216" s="1"/>
      <c r="AO4216" s="1"/>
      <c r="AP4216" s="1"/>
      <c r="AQ4216" s="1"/>
      <c r="AR4216" s="1"/>
      <c r="AS4216" s="1"/>
      <c r="AT4216" s="1"/>
      <c r="AU4216" s="1"/>
      <c r="AV4216" s="1"/>
      <c r="AW4216" s="1"/>
      <c r="AX4216" s="1"/>
      <c r="AY4216" s="1"/>
      <c r="AZ4216" s="1"/>
      <c r="BA4216" s="1"/>
      <c r="BB4216" s="1"/>
    </row>
    <row r="4217" ht="204.75" customHeight="1">
      <c r="A4217" s="1">
        <v>4271.0</v>
      </c>
      <c r="B4217" s="2" t="s">
        <v>12369</v>
      </c>
      <c r="C4217" s="2">
        <f>IFERROR(__xludf.DUMMYFUNCTION("split(B4217,""_"")"),1107.0)</f>
        <v>1107</v>
      </c>
      <c r="D4217" s="2" t="str">
        <f>IFERROR(__xludf.DUMMYFUNCTION("""COMPUTED_VALUE"""),"NTV")</f>
        <v>NTV</v>
      </c>
      <c r="E4217" s="2" t="str">
        <f>IFERROR(__xludf.DUMMYFUNCTION("""COMPUTED_VALUE"""),"木23")</f>
        <v>木23</v>
      </c>
      <c r="F4217" s="2" t="s">
        <v>12370</v>
      </c>
      <c r="G4217" s="2" t="s">
        <v>12389</v>
      </c>
      <c r="H4217" s="1">
        <v>10.0</v>
      </c>
      <c r="J4217" s="1" t="s">
        <v>1435</v>
      </c>
      <c r="K4217" s="2" t="s">
        <v>12390</v>
      </c>
      <c r="L4217" s="2"/>
      <c r="M4217" s="2" t="str">
        <f>IFERROR(__xludf.DUMMYFUNCTION("split(split(K4217,""【演出"",false),""ほか"",false)"),"溝端淳平、忽那汐里、川村陽介、西田奈津美(他)チャットで雪乃(西田奈津美)の相談に乗る蘭(忽那汐里)。雪乃は恋人の久保(川村陽介)からDVを受けているという。突然、チャット中に何者かに襲われる雪乃。カメラの死角だったが、蘭は雪乃の助けを求める声から久保が犯人と判断。蘭は新一(溝端淳平)に助けを求め、雪乃がいるマンションへ向かう。15分後、到着した蘭はそこで血痕を発見、しかし雪乃の姿はなく、そこから120kmも離れた場所で遺体として発見される。「名探偵コナン　工藤新一への挑戦状」  HPは、http://w"&amp;"ww.ytv.co.jp/conan-drama/")</f>
        <v>溝端淳平、忽那汐里、川村陽介、西田奈津美(他)チャットで雪乃(西田奈津美)の相談に乗る蘭(忽那汐里)。雪乃は恋人の久保(川村陽介)からDVを受けているという。突然、チャット中に何者かに襲われる雪乃。カメラの死角だったが、蘭は雪乃の助けを求める声から久保が犯人と判断。蘭は新一(溝端淳平)に助けを求め、雪乃がいるマンションへ向かう。15分後、到着した蘭はそこで血痕を発見、しかし雪乃の姿はなく、そこから120kmも離れた場所で遺体として発見される。「名探偵コナン　工藤新一への挑戦状」  HPは、http://www.ytv.co.jp/conan-drama/</v>
      </c>
      <c r="N4217" s="2"/>
      <c r="O4217" s="2"/>
      <c r="P4217" s="1"/>
      <c r="Q4217" s="1"/>
      <c r="R4217" s="1"/>
      <c r="S4217" s="1"/>
      <c r="T4217" s="1"/>
      <c r="U4217" s="1"/>
      <c r="V4217" s="1"/>
      <c r="W4217" s="1"/>
      <c r="X4217" s="1"/>
      <c r="Y4217" s="1"/>
      <c r="Z4217" s="1"/>
      <c r="AA4217" s="1"/>
      <c r="AB4217" s="1"/>
      <c r="AC4217" s="1"/>
      <c r="AD4217" s="1"/>
      <c r="AE4217" s="1"/>
      <c r="AF4217" s="1"/>
      <c r="AG4217" s="1"/>
      <c r="AH4217" s="1"/>
      <c r="AI4217" s="1"/>
      <c r="AJ4217" s="1"/>
      <c r="AK4217" s="1"/>
      <c r="AL4217" s="1"/>
      <c r="AM4217" s="1"/>
      <c r="AN4217" s="1"/>
      <c r="AO4217" s="1"/>
      <c r="AP4217" s="1"/>
      <c r="AQ4217" s="1"/>
      <c r="AR4217" s="1"/>
      <c r="AS4217" s="1"/>
      <c r="AT4217" s="1"/>
      <c r="AU4217" s="1"/>
      <c r="AV4217" s="1"/>
      <c r="AW4217" s="1"/>
      <c r="AX4217" s="1"/>
      <c r="AY4217" s="1"/>
      <c r="AZ4217" s="1"/>
      <c r="BA4217" s="1"/>
      <c r="BB4217" s="1"/>
    </row>
    <row r="4218" ht="204.75" customHeight="1">
      <c r="A4218" s="1">
        <v>4272.0</v>
      </c>
      <c r="B4218" s="2" t="s">
        <v>12369</v>
      </c>
      <c r="C4218" s="2">
        <f>IFERROR(__xludf.DUMMYFUNCTION("split(B4218,""_"")"),1107.0)</f>
        <v>1107</v>
      </c>
      <c r="D4218" s="2" t="str">
        <f>IFERROR(__xludf.DUMMYFUNCTION("""COMPUTED_VALUE"""),"NTV")</f>
        <v>NTV</v>
      </c>
      <c r="E4218" s="2" t="str">
        <f>IFERROR(__xludf.DUMMYFUNCTION("""COMPUTED_VALUE"""),"木23")</f>
        <v>木23</v>
      </c>
      <c r="F4218" s="2" t="s">
        <v>12370</v>
      </c>
      <c r="G4218" s="2" t="s">
        <v>12391</v>
      </c>
      <c r="H4218" s="1">
        <v>11.0</v>
      </c>
      <c r="J4218" s="1" t="s">
        <v>1435</v>
      </c>
      <c r="K4218" s="2" t="s">
        <v>12392</v>
      </c>
      <c r="L4218" s="2"/>
      <c r="M4218" s="2" t="str">
        <f>IFERROR(__xludf.DUMMYFUNCTION("split(split(K4218,""【演出"",false),""ほか"",false)"),"溝端淳平、忽那汐里、竹財輝之助、青谷優衣(他)ビルのエレベーターで社長の辰巳(春海四方)の遺体が発見される。同じビルで蘭(忽那汐里)と食事をしていた新一(溝端淳平)は現場に駆け付ける。既に佐藤刑事(上野なつひ)が、エレベーターホールにいた娘の辰巳桜子(青谷優衣)、部長の大場(竹財輝之助)から事情を聞いていた。新一は大場の言動から大場に疑念を抱くが、二人は恋人で大場は犯行時、桜子にキスしてプレゼントを渡していたので、辰巳の殺害は不可能だと言うが今回は、原作に基づいたお話です。連続ドラマでは初めてのケース。「"&amp;"名探偵コナン」コミックスの26巻に掲載されているエピソードです、お楽しみに!「名探偵コナン　工藤新一への挑戦状」  HPは、http://www.ytv.co.jp/conan-drama/")</f>
        <v>溝端淳平、忽那汐里、竹財輝之助、青谷優衣(他)ビルのエレベーターで社長の辰巳(春海四方)の遺体が発見される。同じビルで蘭(忽那汐里)と食事をしていた新一(溝端淳平)は現場に駆け付ける。既に佐藤刑事(上野なつひ)が、エレベーターホールにいた娘の辰巳桜子(青谷優衣)、部長の大場(竹財輝之助)から事情を聞いていた。新一は大場の言動から大場に疑念を抱くが、二人は恋人で大場は犯行時、桜子にキスしてプレゼントを渡していたので、辰巳の殺害は不可能だと言うが今回は、原作に基づいたお話です。連続ドラマでは初めてのケース。「名探偵コナン」コミックスの26巻に掲載されているエピソードです、お楽しみに!「名探偵コナン　工藤新一への挑戦状」  HPは、http://www.ytv.co.jp/conan-drama/</v>
      </c>
      <c r="N4218" s="2"/>
      <c r="O4218" s="2"/>
      <c r="P4218" s="1"/>
      <c r="Q4218" s="1"/>
      <c r="R4218" s="1"/>
      <c r="S4218" s="1"/>
      <c r="T4218" s="1"/>
      <c r="U4218" s="1"/>
      <c r="V4218" s="1"/>
      <c r="W4218" s="1"/>
      <c r="X4218" s="1"/>
      <c r="Y4218" s="1"/>
      <c r="Z4218" s="1"/>
      <c r="AA4218" s="1"/>
      <c r="AB4218" s="1"/>
      <c r="AC4218" s="1"/>
      <c r="AD4218" s="1"/>
      <c r="AE4218" s="1"/>
      <c r="AF4218" s="1"/>
      <c r="AG4218" s="1"/>
      <c r="AH4218" s="1"/>
      <c r="AI4218" s="1"/>
      <c r="AJ4218" s="1"/>
      <c r="AK4218" s="1"/>
      <c r="AL4218" s="1"/>
      <c r="AM4218" s="1"/>
      <c r="AN4218" s="1"/>
      <c r="AO4218" s="1"/>
      <c r="AP4218" s="1"/>
      <c r="AQ4218" s="1"/>
      <c r="AR4218" s="1"/>
      <c r="AS4218" s="1"/>
      <c r="AT4218" s="1"/>
      <c r="AU4218" s="1"/>
      <c r="AV4218" s="1"/>
      <c r="AW4218" s="1"/>
      <c r="AX4218" s="1"/>
      <c r="AY4218" s="1"/>
      <c r="AZ4218" s="1"/>
      <c r="BA4218" s="1"/>
      <c r="BB4218" s="1"/>
    </row>
    <row r="4219" ht="204.75" customHeight="1">
      <c r="A4219" s="1">
        <v>4273.0</v>
      </c>
      <c r="B4219" s="2" t="s">
        <v>12369</v>
      </c>
      <c r="C4219" s="2">
        <f>IFERROR(__xludf.DUMMYFUNCTION("split(B4219,""_"")"),1107.0)</f>
        <v>1107</v>
      </c>
      <c r="D4219" s="2" t="str">
        <f>IFERROR(__xludf.DUMMYFUNCTION("""COMPUTED_VALUE"""),"NTV")</f>
        <v>NTV</v>
      </c>
      <c r="E4219" s="2" t="str">
        <f>IFERROR(__xludf.DUMMYFUNCTION("""COMPUTED_VALUE"""),"木23")</f>
        <v>木23</v>
      </c>
      <c r="F4219" s="2" t="s">
        <v>12370</v>
      </c>
      <c r="G4219" s="2" t="s">
        <v>12393</v>
      </c>
      <c r="H4219" s="1">
        <v>12.0</v>
      </c>
      <c r="J4219" s="1" t="s">
        <v>1435</v>
      </c>
      <c r="K4219" s="2" t="s">
        <v>12394</v>
      </c>
      <c r="L4219" s="2"/>
      <c r="M4219" s="2" t="str">
        <f>IFERROR(__xludf.DUMMYFUNCTION("split(split(K4219,""【演出"",false),""ほか"",false)"),"溝端淳平、忽那汐里、柏原収史、陣内孝則(他)銀行の貸し金庫室で、行員の真知子(原田佳奈)が倒れていた。この日、真知子から相談があると銀行に呼ばれた小五郎(陣内孝則)は「警察に通報した時点で、この銀行を爆破する」という警告文が貼られている事に気付く。小五郎は銀行内部の犯行と推理。建物には仁村(合田雅吏)、境(吉田羊)、長谷川(柏原収史)が残っていた。小五郎が3人の行員に疑念を持つと、3人ともそれぞれ自分が真知子を殺害した犯人だと打ち明ける・・「名探偵コナン　工藤新一への挑戦状」  HPは、http://ww"&amp;"w.ytv.co.jp/conan-drama/")</f>
        <v>溝端淳平、忽那汐里、柏原収史、陣内孝則(他)銀行の貸し金庫室で、行員の真知子(原田佳奈)が倒れていた。この日、真知子から相談があると銀行に呼ばれた小五郎(陣内孝則)は「警察に通報した時点で、この銀行を爆破する」という警告文が貼られている事に気付く。小五郎は銀行内部の犯行と推理。建物には仁村(合田雅吏)、境(吉田羊)、長谷川(柏原収史)が残っていた。小五郎が3人の行員に疑念を持つと、3人ともそれぞれ自分が真知子を殺害した犯人だと打ち明ける・・「名探偵コナン　工藤新一への挑戦状」  HPは、http://www.ytv.co.jp/conan-drama/</v>
      </c>
      <c r="N4219" s="2"/>
      <c r="O4219" s="2"/>
      <c r="P4219" s="1"/>
      <c r="Q4219" s="1"/>
      <c r="R4219" s="1"/>
      <c r="S4219" s="1"/>
      <c r="T4219" s="1"/>
      <c r="U4219" s="1"/>
      <c r="V4219" s="1"/>
      <c r="W4219" s="1"/>
      <c r="X4219" s="1"/>
      <c r="Y4219" s="1"/>
      <c r="Z4219" s="1"/>
      <c r="AA4219" s="1"/>
      <c r="AB4219" s="1"/>
      <c r="AC4219" s="1"/>
      <c r="AD4219" s="1"/>
      <c r="AE4219" s="1"/>
      <c r="AF4219" s="1"/>
      <c r="AG4219" s="1"/>
      <c r="AH4219" s="1"/>
      <c r="AI4219" s="1"/>
      <c r="AJ4219" s="1"/>
      <c r="AK4219" s="1"/>
      <c r="AL4219" s="1"/>
      <c r="AM4219" s="1"/>
      <c r="AN4219" s="1"/>
      <c r="AO4219" s="1"/>
      <c r="AP4219" s="1"/>
      <c r="AQ4219" s="1"/>
      <c r="AR4219" s="1"/>
      <c r="AS4219" s="1"/>
      <c r="AT4219" s="1"/>
      <c r="AU4219" s="1"/>
      <c r="AV4219" s="1"/>
      <c r="AW4219" s="1"/>
      <c r="AX4219" s="1"/>
      <c r="AY4219" s="1"/>
      <c r="AZ4219" s="1"/>
      <c r="BA4219" s="1"/>
      <c r="BB4219" s="1"/>
    </row>
    <row r="4220" ht="204.75" customHeight="1">
      <c r="A4220" s="1">
        <v>4274.0</v>
      </c>
      <c r="B4220" s="2" t="s">
        <v>12369</v>
      </c>
      <c r="C4220" s="2">
        <f>IFERROR(__xludf.DUMMYFUNCTION("split(B4220,""_"")"),1107.0)</f>
        <v>1107</v>
      </c>
      <c r="D4220" s="2" t="str">
        <f>IFERROR(__xludf.DUMMYFUNCTION("""COMPUTED_VALUE"""),"NTV")</f>
        <v>NTV</v>
      </c>
      <c r="E4220" s="2" t="str">
        <f>IFERROR(__xludf.DUMMYFUNCTION("""COMPUTED_VALUE"""),"木23")</f>
        <v>木23</v>
      </c>
      <c r="F4220" s="2" t="s">
        <v>12370</v>
      </c>
      <c r="G4220" s="2" t="s">
        <v>12395</v>
      </c>
      <c r="H4220" s="1">
        <v>13.0</v>
      </c>
      <c r="J4220" s="1" t="s">
        <v>1435</v>
      </c>
      <c r="K4220" s="2" t="s">
        <v>12396</v>
      </c>
      <c r="L4220" s="2"/>
      <c r="M4220" s="2" t="str">
        <f>IFERROR(__xludf.DUMMYFUNCTION("split(split(K4220,""【演出"",false),""ほか"",false)"),"溝端淳平、忽那汐里、秋元才加(AKB48)、野村宏伸、陣内孝則(他)白い部屋に拉致された新一(溝端淳平)は、過去の事件を思い出させる仕掛けに挑んできた。新一が蘭(忽那汐里)を犯人と推理すると、部屋に白いガスが注入され2人の意識は遠のいていく。新一が目覚めると、監察医の平田(野村宏伸)は蘭が絶命しており、解剖して死因を特定すると告げる。が、新一は蘭が急速冷凍され、仮死状態になっていると推測。果たして新一は、白い部屋に拉致した真犯人を突き止め、蘭を救う事が出来るのか!いよいよ最終回。ついに白い部屋から、新一と"&amp;"蘭は脱出し真犯人と対決!真犯人は余りにも意外な人物だった・・・その驚愕のクライマックス、是非お見逃しなく!「名探偵コナン　工藤新一への挑戦状」  HPは、http://www.ytv.co.jp/conan-drama/")</f>
        <v>溝端淳平、忽那汐里、秋元才加(AKB48)、野村宏伸、陣内孝則(他)白い部屋に拉致された新一(溝端淳平)は、過去の事件を思い出させる仕掛けに挑んできた。新一が蘭(忽那汐里)を犯人と推理すると、部屋に白いガスが注入され2人の意識は遠のいていく。新一が目覚めると、監察医の平田(野村宏伸)は蘭が絶命しており、解剖して死因を特定すると告げる。が、新一は蘭が急速冷凍され、仮死状態になっていると推測。果たして新一は、白い部屋に拉致した真犯人を突き止め、蘭を救う事が出来るのか!いよいよ最終回。ついに白い部屋から、新一と蘭は脱出し真犯人と対決!真犯人は余りにも意外な人物だった・・・その驚愕のクライマックス、是非お見逃しなく!「名探偵コナン　工藤新一への挑戦状」  HPは、http://www.ytv.co.jp/conan-drama/</v>
      </c>
      <c r="N4220" s="2"/>
      <c r="O4220" s="2"/>
      <c r="P4220" s="1"/>
      <c r="Q4220" s="1"/>
      <c r="R4220" s="1"/>
      <c r="S4220" s="1"/>
      <c r="T4220" s="1"/>
      <c r="U4220" s="1"/>
      <c r="V4220" s="1"/>
      <c r="W4220" s="1"/>
      <c r="X4220" s="1"/>
      <c r="Y4220" s="1"/>
      <c r="Z4220" s="1"/>
      <c r="AA4220" s="1"/>
      <c r="AB4220" s="1"/>
      <c r="AC4220" s="1"/>
      <c r="AD4220" s="1"/>
      <c r="AE4220" s="1"/>
      <c r="AF4220" s="1"/>
      <c r="AG4220" s="1"/>
      <c r="AH4220" s="1"/>
      <c r="AI4220" s="1"/>
      <c r="AJ4220" s="1"/>
      <c r="AK4220" s="1"/>
      <c r="AL4220" s="1"/>
      <c r="AM4220" s="1"/>
      <c r="AN4220" s="1"/>
      <c r="AO4220" s="1"/>
      <c r="AP4220" s="1"/>
      <c r="AQ4220" s="1"/>
      <c r="AR4220" s="1"/>
      <c r="AS4220" s="1"/>
      <c r="AT4220" s="1"/>
      <c r="AU4220" s="1"/>
      <c r="AV4220" s="1"/>
      <c r="AW4220" s="1"/>
      <c r="AX4220" s="1"/>
      <c r="AY4220" s="1"/>
      <c r="AZ4220" s="1"/>
      <c r="BA4220" s="1"/>
      <c r="BB4220" s="1"/>
    </row>
    <row r="4221" ht="204.75" customHeight="1">
      <c r="A4221" s="1">
        <v>4294.0</v>
      </c>
      <c r="B4221" s="2" t="s">
        <v>12397</v>
      </c>
      <c r="C4221" s="2">
        <f>IFERROR(__xludf.DUMMYFUNCTION("split(B4221,""_"")"),1107.0)</f>
        <v>1107</v>
      </c>
      <c r="D4221" s="2" t="str">
        <f>IFERROR(__xludf.DUMMYFUNCTION("""COMPUTED_VALUE"""),"NTV")</f>
        <v>NTV</v>
      </c>
      <c r="E4221" s="2" t="str">
        <f>IFERROR(__xludf.DUMMYFUNCTION("""COMPUTED_VALUE"""),"土21")</f>
        <v>土21</v>
      </c>
      <c r="F4221" s="2" t="s">
        <v>12398</v>
      </c>
      <c r="G4221" s="2" t="s">
        <v>12399</v>
      </c>
      <c r="H4221" s="1">
        <v>1.0</v>
      </c>
      <c r="I4221" s="1" t="s">
        <v>2868</v>
      </c>
      <c r="J4221" s="1" t="s">
        <v>4</v>
      </c>
      <c r="K4221" s="2" t="s">
        <v>12400</v>
      </c>
      <c r="L4221" s="2"/>
      <c r="M4221" s="2" t="str">
        <f>IFERROR(__xludf.DUMMYFUNCTION("split(split(K4221,""【演出"",false),""ほか"",false)"),"松田翔太、高橋克実、成海璃子、松重豊、小林聡美")</f>
        <v>松田翔太、高橋克実、成海璃子、松重豊、小林聡美</v>
      </c>
      <c r="N4221" s="2" t="str">
        <f>IFERROR(__xludf.DUMMYFUNCTION("""COMPUTED_VALUE"""),"児童相談所に勤める城田正孝(松田翔太)は、日々使命感に燃えて仕事をこなしていた。毎日やることは尽きず、忙しい毎日。一方、泣く子も黙る鯖島組・組長の鯖島仁(高橋克実)は、ライバルの鯵沢卓巳(小木茂光)に勝つため、日々のシノギに励む毎日。そんなある日、虐待の通報を受けた城田と、借金の取立てに向かった鯖島は偶然にも同じ団地に向かう。そのとき一筋の光が団地を包み、なぜか城田と鯖島の体が入れ替わってしまう。中島悟金子隆博番組公式サイトは、HPおよび携帯サイトで展開中です。http://www.ntv.co.jp/d"&amp;"q")</f>
        <v>児童相談所に勤める城田正孝(松田翔太)は、日々使命感に燃えて仕事をこなしていた。毎日やることは尽きず、忙しい毎日。一方、泣く子も黙る鯖島組・組長の鯖島仁(高橋克実)は、ライバルの鯵沢卓巳(小木茂光)に勝つため、日々のシノギに励む毎日。そんなある日、虐待の通報を受けた城田と、借金の取立てに向かった鯖島は偶然にも同じ団地に向かう。そのとき一筋の光が団地を包み、なぜか城田と鯖島の体が入れ替わってしまう。中島悟金子隆博番組公式サイトは、HPおよび携帯サイトで展開中です。http://www.ntv.co.jp/dq</v>
      </c>
      <c r="O4221" s="2"/>
      <c r="P4221" s="1"/>
      <c r="Q4221" s="1"/>
      <c r="R4221" s="1"/>
      <c r="S4221" s="1"/>
      <c r="T4221" s="1"/>
      <c r="U4221" s="1"/>
      <c r="V4221" s="1"/>
      <c r="W4221" s="1"/>
      <c r="X4221" s="1"/>
      <c r="Y4221" s="1"/>
      <c r="Z4221" s="1"/>
      <c r="AA4221" s="1"/>
      <c r="AB4221" s="1"/>
      <c r="AC4221" s="1"/>
      <c r="AD4221" s="1"/>
      <c r="AE4221" s="1"/>
      <c r="AF4221" s="1"/>
      <c r="AG4221" s="1"/>
      <c r="AH4221" s="1"/>
      <c r="AI4221" s="1"/>
      <c r="AJ4221" s="1"/>
      <c r="AK4221" s="1"/>
      <c r="AL4221" s="1"/>
      <c r="AM4221" s="1"/>
      <c r="AN4221" s="1"/>
      <c r="AO4221" s="1"/>
      <c r="AP4221" s="1"/>
      <c r="AQ4221" s="1"/>
      <c r="AR4221" s="1"/>
      <c r="AS4221" s="1"/>
      <c r="AT4221" s="1"/>
      <c r="AU4221" s="1"/>
      <c r="AV4221" s="1"/>
      <c r="AW4221" s="1"/>
      <c r="AX4221" s="1"/>
      <c r="AY4221" s="1"/>
      <c r="AZ4221" s="1"/>
      <c r="BA4221" s="1"/>
      <c r="BB4221" s="1"/>
    </row>
    <row r="4222" ht="204.75" customHeight="1">
      <c r="A4222" s="1">
        <v>4295.0</v>
      </c>
      <c r="B4222" s="2" t="s">
        <v>12397</v>
      </c>
      <c r="C4222" s="2">
        <f>IFERROR(__xludf.DUMMYFUNCTION("split(B4222,""_"")"),1107.0)</f>
        <v>1107</v>
      </c>
      <c r="D4222" s="2" t="str">
        <f>IFERROR(__xludf.DUMMYFUNCTION("""COMPUTED_VALUE"""),"NTV")</f>
        <v>NTV</v>
      </c>
      <c r="E4222" s="2" t="str">
        <f>IFERROR(__xludf.DUMMYFUNCTION("""COMPUTED_VALUE"""),"土21")</f>
        <v>土21</v>
      </c>
      <c r="F4222" s="2" t="s">
        <v>12398</v>
      </c>
      <c r="G4222" s="2" t="s">
        <v>12401</v>
      </c>
      <c r="H4222" s="1">
        <v>2.0</v>
      </c>
      <c r="I4222" s="1" t="s">
        <v>2872</v>
      </c>
      <c r="J4222" s="1" t="s">
        <v>11</v>
      </c>
      <c r="K4222" s="2" t="s">
        <v>12402</v>
      </c>
      <c r="L4222" s="2"/>
      <c r="M4222" s="2" t="str">
        <f>IFERROR(__xludf.DUMMYFUNCTION("split(split(K4222,""【演出"",false),""ほか"",false)"),"松田翔太、高橋克実、成海璃子、三宅弘城、市川実和子、紺野まひる、渡辺憲吉、田村愛、松重豊、小木茂光、山根和馬、青木健、河北麻友子、上田眞央、松永博史、黒澤宏貴、内田有紀、小林聡美")</f>
        <v>松田翔太、高橋克実、成海璃子、三宅弘城、市川実和子、紺野まひる、渡辺憲吉、田村愛、松重豊、小木茂光、山根和馬、青木健、河北麻友子、上田眞央、松永博史、黒澤宏貴、内田有紀、小林聡美</v>
      </c>
      <c r="N4222" s="2" t="str">
        <f>IFERROR(__xludf.DUMMYFUNCTION("""COMPUTED_VALUE"""),"中身が入れ替わったままの城田(松田翔太)と鯖島(高橋克実)は、しかたなくお互いのふりを続けることに。しぶしぶ児童相談所に出社した城田にミネコ(小林聡美)がひきこもり少年の案件を持ってくる。一方の鯖島はピンチに陥っていた。組の若い衆が鰺沢組に因縁をつけられ、成り行きで相手の組に殴りこみに行くことになってしまう。  そのころ城田の態度に我慢ならなくなった少年が、ついにキレてーーー中島悟大石哲也金子隆博")</f>
        <v>中身が入れ替わったままの城田(松田翔太)と鯖島(高橋克実)は、しかたなくお互いのふりを続けることに。しぶしぶ児童相談所に出社した城田にミネコ(小林聡美)がひきこもり少年の案件を持ってくる。一方の鯖島はピンチに陥っていた。組の若い衆が鰺沢組に因縁をつけられ、成り行きで相手の組に殴りこみに行くことになってしまう。  そのころ城田の態度に我慢ならなくなった少年が、ついにキレてーーー中島悟大石哲也金子隆博</v>
      </c>
      <c r="O4222" s="2"/>
      <c r="P4222" s="1"/>
      <c r="Q4222" s="1"/>
      <c r="R4222" s="1"/>
      <c r="S4222" s="1"/>
      <c r="T4222" s="1"/>
      <c r="U4222" s="1"/>
      <c r="V4222" s="1"/>
      <c r="W4222" s="1"/>
      <c r="X4222" s="1"/>
      <c r="Y4222" s="1"/>
      <c r="Z4222" s="1"/>
      <c r="AA4222" s="1"/>
      <c r="AB4222" s="1"/>
      <c r="AC4222" s="1"/>
      <c r="AD4222" s="1"/>
      <c r="AE4222" s="1"/>
      <c r="AF4222" s="1"/>
      <c r="AG4222" s="1"/>
      <c r="AH4222" s="1"/>
      <c r="AI4222" s="1"/>
      <c r="AJ4222" s="1"/>
      <c r="AK4222" s="1"/>
      <c r="AL4222" s="1"/>
      <c r="AM4222" s="1"/>
      <c r="AN4222" s="1"/>
      <c r="AO4222" s="1"/>
      <c r="AP4222" s="1"/>
      <c r="AQ4222" s="1"/>
      <c r="AR4222" s="1"/>
      <c r="AS4222" s="1"/>
      <c r="AT4222" s="1"/>
      <c r="AU4222" s="1"/>
      <c r="AV4222" s="1"/>
      <c r="AW4222" s="1"/>
      <c r="AX4222" s="1"/>
      <c r="AY4222" s="1"/>
      <c r="AZ4222" s="1"/>
      <c r="BA4222" s="1"/>
      <c r="BB4222" s="1"/>
    </row>
    <row r="4223" ht="204.75" customHeight="1">
      <c r="A4223" s="1">
        <v>4296.0</v>
      </c>
      <c r="B4223" s="2" t="s">
        <v>12397</v>
      </c>
      <c r="C4223" s="2">
        <f>IFERROR(__xludf.DUMMYFUNCTION("split(B4223,""_"")"),1107.0)</f>
        <v>1107</v>
      </c>
      <c r="D4223" s="2" t="str">
        <f>IFERROR(__xludf.DUMMYFUNCTION("""COMPUTED_VALUE"""),"NTV")</f>
        <v>NTV</v>
      </c>
      <c r="E4223" s="2" t="str">
        <f>IFERROR(__xludf.DUMMYFUNCTION("""COMPUTED_VALUE"""),"土21")</f>
        <v>土21</v>
      </c>
      <c r="F4223" s="2" t="s">
        <v>12398</v>
      </c>
      <c r="G4223" s="2" t="s">
        <v>12403</v>
      </c>
      <c r="H4223" s="1">
        <v>3.0</v>
      </c>
      <c r="I4223" s="1" t="s">
        <v>2876</v>
      </c>
      <c r="J4223" s="1" t="s">
        <v>11</v>
      </c>
      <c r="K4223" s="2" t="s">
        <v>12404</v>
      </c>
      <c r="L4223" s="2"/>
      <c r="M4223" s="2" t="str">
        <f>IFERROR(__xludf.DUMMYFUNCTION("split(split(K4223,""【演出"",false),""ほか"",false)"),"松田翔太、高橋克実、成海璃子、三宅弘城、市川実和子、紺野まひる、渡辺憲吉、田村愛、松重豊、小木茂光、山根和馬、青木健、河北麻友子、上田眞央、田中碧海、黒澤宏貴、内田有紀、小林聡美　")</f>
        <v>松田翔太、高橋克実、成海璃子、三宅弘城、市川実和子、紺野まひる、渡辺憲吉、田村愛、松重豊、小木茂光、山根和馬、青木健、河北麻友子、上田眞央、田中碧海、黒澤宏貴、内田有紀、小林聡美　</v>
      </c>
      <c r="N4223" s="2" t="str">
        <f>IFERROR(__xludf.DUMMYFUNCTION("""COMPUTED_VALUE"""),"児童相談所に13歳の文也が、ゲームソフトの海賊版を運んだ疑いで補導されてくる。文也を連れてきた刑事・神山はなんと城田(松田翔太)の因縁の相手だった。神山に手柄を立てさせるわけにはいかねえ!と、城田は文也を助けるために児童相談所を飛び出した。城田から連絡を受けた鯖島(高橋克実)は、組のネットワークを使って文也の裏にいるブローカーを割り出す。そこに神山が乗り込んできて・・・大谷太郎大石哲也【音楽】金子隆博  【主題歌】『BEAUTIFUL　DAYS』SPYAIR(ソニー・ミュージックアソシエイテッドレコーズ)")</f>
        <v>児童相談所に13歳の文也が、ゲームソフトの海賊版を運んだ疑いで補導されてくる。文也を連れてきた刑事・神山はなんと城田(松田翔太)の因縁の相手だった。神山に手柄を立てさせるわけにはいかねえ!と、城田は文也を助けるために児童相談所を飛び出した。城田から連絡を受けた鯖島(高橋克実)は、組のネットワークを使って文也の裏にいるブローカーを割り出す。そこに神山が乗り込んできて・・・大谷太郎大石哲也【音楽】金子隆博  【主題歌】『BEAUTIFUL　DAYS』SPYAIR(ソニー・ミュージックアソシエイテッドレコーズ)</v>
      </c>
      <c r="O4223" s="2"/>
      <c r="P4223" s="1"/>
      <c r="Q4223" s="1"/>
      <c r="R4223" s="1"/>
      <c r="S4223" s="1"/>
      <c r="T4223" s="1"/>
      <c r="U4223" s="1"/>
      <c r="V4223" s="1"/>
      <c r="W4223" s="1"/>
      <c r="X4223" s="1"/>
      <c r="Y4223" s="1"/>
      <c r="Z4223" s="1"/>
      <c r="AA4223" s="1"/>
      <c r="AB4223" s="1"/>
      <c r="AC4223" s="1"/>
      <c r="AD4223" s="1"/>
      <c r="AE4223" s="1"/>
      <c r="AF4223" s="1"/>
      <c r="AG4223" s="1"/>
      <c r="AH4223" s="1"/>
      <c r="AI4223" s="1"/>
      <c r="AJ4223" s="1"/>
      <c r="AK4223" s="1"/>
      <c r="AL4223" s="1"/>
      <c r="AM4223" s="1"/>
      <c r="AN4223" s="1"/>
      <c r="AO4223" s="1"/>
      <c r="AP4223" s="1"/>
      <c r="AQ4223" s="1"/>
      <c r="AR4223" s="1"/>
      <c r="AS4223" s="1"/>
      <c r="AT4223" s="1"/>
      <c r="AU4223" s="1"/>
      <c r="AV4223" s="1"/>
      <c r="AW4223" s="1"/>
      <c r="AX4223" s="1"/>
      <c r="AY4223" s="1"/>
      <c r="AZ4223" s="1"/>
      <c r="BA4223" s="1"/>
      <c r="BB4223" s="1"/>
    </row>
    <row r="4224" ht="204.75" customHeight="1">
      <c r="A4224" s="1">
        <v>4297.0</v>
      </c>
      <c r="B4224" s="2" t="s">
        <v>12397</v>
      </c>
      <c r="C4224" s="2">
        <f>IFERROR(__xludf.DUMMYFUNCTION("split(B4224,""_"")"),1107.0)</f>
        <v>1107</v>
      </c>
      <c r="D4224" s="2" t="str">
        <f>IFERROR(__xludf.DUMMYFUNCTION("""COMPUTED_VALUE"""),"NTV")</f>
        <v>NTV</v>
      </c>
      <c r="E4224" s="2" t="str">
        <f>IFERROR(__xludf.DUMMYFUNCTION("""COMPUTED_VALUE"""),"土21")</f>
        <v>土21</v>
      </c>
      <c r="F4224" s="2" t="s">
        <v>12398</v>
      </c>
      <c r="G4224" s="2" t="s">
        <v>12405</v>
      </c>
      <c r="H4224" s="1">
        <v>4.0</v>
      </c>
      <c r="I4224" s="1" t="s">
        <v>2880</v>
      </c>
      <c r="J4224" s="1" t="s">
        <v>11</v>
      </c>
      <c r="K4224" s="2" t="s">
        <v>12406</v>
      </c>
      <c r="L4224" s="2"/>
      <c r="M4224" s="2" t="str">
        <f>IFERROR(__xludf.DUMMYFUNCTION("split(split(K4224,""【演出"",false),""ほか"",false)"),"松田翔太、高橋克実、成海璃子、三宅弘城、市川実和子、紺野まひる、渡辺憲吉、田村愛、松重豊、小木茂光、山根和馬、青木健、河北麻友子、上田眞央、柏原収史、栗本有規、黒澤宏貴、信川清順、黒澤佐知子、青山玲子、古川真奈美、はやしだみき、安部賢一、西本竜樹、戸村美智子、真木恵未、岩澤晶範、居垣寿典、伊藤芳則、杉本有美、中村アン、内田有紀、小林聡美　")</f>
        <v>松田翔太、高橋克実、成海璃子、三宅弘城、市川実和子、紺野まひる、渡辺憲吉、田村愛、松重豊、小木茂光、山根和馬、青木健、河北麻友子、上田眞央、柏原収史、栗本有規、黒澤宏貴、信川清順、黒澤佐知子、青山玲子、古川真奈美、はやしだみき、安部賢一、西本竜樹、戸村美智子、真木恵未、岩澤晶範、居垣寿典、伊藤芳則、杉本有美、中村アン、内田有紀、小林聡美　</v>
      </c>
      <c r="N4224" s="2" t="str">
        <f>IFERROR(__xludf.DUMMYFUNCTION("""COMPUTED_VALUE"""),"4歳の唯が児童相談所に保護された。シングルファザーの真一(柏原収史)は懸命に唯を育てていたが、仕事で帰りも遅く、心配する近所の人からたびたび通報をされていた。亜希(市川実和子)は真一に「唯を一時的に児童養護施設に預けてはどうか」と提案するが、真一は猛反発する。ミネコ(小林聡美)は城田をこの件の担当にし、二人をフォローするように言い渡す。城田はいやいやながらもまとわりつく唯の面倒を見ることになる。大谷太郎根本ノンジ【音楽】金子隆博  【主題歌】『BEAUTIFUL　DAYS』SPYAIR(ソニー・ミュージッ"&amp;"クアソシエイテッドレコーズ)")</f>
        <v>4歳の唯が児童相談所に保護された。シングルファザーの真一(柏原収史)は懸命に唯を育てていたが、仕事で帰りも遅く、心配する近所の人からたびたび通報をされていた。亜希(市川実和子)は真一に「唯を一時的に児童養護施設に預けてはどうか」と提案するが、真一は猛反発する。ミネコ(小林聡美)は城田をこの件の担当にし、二人をフォローするように言い渡す。城田はいやいやながらもまとわりつく唯の面倒を見ることになる。大谷太郎根本ノンジ【音楽】金子隆博  【主題歌】『BEAUTIFUL　DAYS』SPYAIR(ソニー・ミュージックアソシエイテッドレコーズ)</v>
      </c>
      <c r="O4224" s="2"/>
      <c r="P4224" s="1"/>
      <c r="Q4224" s="1"/>
      <c r="R4224" s="1"/>
      <c r="S4224" s="1"/>
      <c r="T4224" s="1"/>
      <c r="U4224" s="1"/>
      <c r="V4224" s="1"/>
      <c r="W4224" s="1"/>
      <c r="X4224" s="1"/>
      <c r="Y4224" s="1"/>
      <c r="Z4224" s="1"/>
      <c r="AA4224" s="1"/>
      <c r="AB4224" s="1"/>
      <c r="AC4224" s="1"/>
      <c r="AD4224" s="1"/>
      <c r="AE4224" s="1"/>
      <c r="AF4224" s="1"/>
      <c r="AG4224" s="1"/>
      <c r="AH4224" s="1"/>
      <c r="AI4224" s="1"/>
      <c r="AJ4224" s="1"/>
      <c r="AK4224" s="1"/>
      <c r="AL4224" s="1"/>
      <c r="AM4224" s="1"/>
      <c r="AN4224" s="1"/>
      <c r="AO4224" s="1"/>
      <c r="AP4224" s="1"/>
      <c r="AQ4224" s="1"/>
      <c r="AR4224" s="1"/>
      <c r="AS4224" s="1"/>
      <c r="AT4224" s="1"/>
      <c r="AU4224" s="1"/>
      <c r="AV4224" s="1"/>
      <c r="AW4224" s="1"/>
      <c r="AX4224" s="1"/>
      <c r="AY4224" s="1"/>
      <c r="AZ4224" s="1"/>
      <c r="BA4224" s="1"/>
      <c r="BB4224" s="1"/>
    </row>
    <row r="4225" ht="204.75" customHeight="1">
      <c r="A4225" s="1">
        <v>4298.0</v>
      </c>
      <c r="B4225" s="2" t="s">
        <v>12397</v>
      </c>
      <c r="C4225" s="2">
        <f>IFERROR(__xludf.DUMMYFUNCTION("split(B4225,""_"")"),1107.0)</f>
        <v>1107</v>
      </c>
      <c r="D4225" s="2" t="str">
        <f>IFERROR(__xludf.DUMMYFUNCTION("""COMPUTED_VALUE"""),"NTV")</f>
        <v>NTV</v>
      </c>
      <c r="E4225" s="2" t="str">
        <f>IFERROR(__xludf.DUMMYFUNCTION("""COMPUTED_VALUE"""),"土21")</f>
        <v>土21</v>
      </c>
      <c r="F4225" s="2" t="s">
        <v>12398</v>
      </c>
      <c r="G4225" s="2" t="s">
        <v>12407</v>
      </c>
      <c r="H4225" s="1">
        <v>5.0</v>
      </c>
      <c r="I4225" s="1" t="s">
        <v>2884</v>
      </c>
      <c r="J4225" s="1" t="s">
        <v>11</v>
      </c>
      <c r="K4225" s="2" t="s">
        <v>12408</v>
      </c>
      <c r="L4225" s="2"/>
      <c r="M4225" s="2" t="str">
        <f>IFERROR(__xludf.DUMMYFUNCTION("split(split(K4225,""【演出"",false),""ほか"",false)"),"松田翔太、高橋克実、成海璃子、三宅弘城、市川実和子、紺野まひる、渡辺憲吉、田村愛、松重豊、小木茂光、山根和馬、青木健、河北麻友子、上田眞央、内田有紀、小林聡美　")</f>
        <v>松田翔太、高橋克実、成海璃子、三宅弘城、市川実和子、紺野まひる、渡辺憲吉、田村愛、松重豊、小木茂光、山根和馬、青木健、河北麻友子、上田眞央、内田有紀、小林聡美　</v>
      </c>
      <c r="N4225" s="2" t="str">
        <f>IFERROR(__xludf.DUMMYFUNCTION("""COMPUTED_VALUE"""),"鯖島(高橋克実)と妻のあゆみ(内田有紀)は、あゆみの店で働いていたシングルマザーの麻紀(末永遥)が、一歳の息子をネグレクト(育児放棄)していると突き止める。鯖島の通報で城田(松田翔太)たちは修平を保護することになるが、麻紀は息子を取り戻そうと、児童相談所にやってくる。突然修平を連れて現れたあゆみに城田はどぎまぎしてしまう。城田はあゆみの手前、なんとか修平を救おうと決意するーー。中島悟大石哲也【音楽】金子隆博  【主題歌】『BEAUTIFUL　DAYS』SPYAIR(ソニー・ミュージックアソシエイテッドレコ"&amp;"ーズ)")</f>
        <v>鯖島(高橋克実)と妻のあゆみ(内田有紀)は、あゆみの店で働いていたシングルマザーの麻紀(末永遥)が、一歳の息子をネグレクト(育児放棄)していると突き止める。鯖島の通報で城田(松田翔太)たちは修平を保護することになるが、麻紀は息子を取り戻そうと、児童相談所にやってくる。突然修平を連れて現れたあゆみに城田はどぎまぎしてしまう。城田はあゆみの手前、なんとか修平を救おうと決意するーー。中島悟大石哲也【音楽】金子隆博  【主題歌】『BEAUTIFUL　DAYS』SPYAIR(ソニー・ミュージックアソシエイテッドレコーズ)</v>
      </c>
      <c r="O4225" s="2"/>
      <c r="P4225" s="1"/>
      <c r="Q4225" s="1"/>
      <c r="R4225" s="1"/>
      <c r="S4225" s="1"/>
      <c r="T4225" s="1"/>
      <c r="U4225" s="1"/>
      <c r="V4225" s="1"/>
      <c r="W4225" s="1"/>
      <c r="X4225" s="1"/>
      <c r="Y4225" s="1"/>
      <c r="Z4225" s="1"/>
      <c r="AA4225" s="1"/>
      <c r="AB4225" s="1"/>
      <c r="AC4225" s="1"/>
      <c r="AD4225" s="1"/>
      <c r="AE4225" s="1"/>
      <c r="AF4225" s="1"/>
      <c r="AG4225" s="1"/>
      <c r="AH4225" s="1"/>
      <c r="AI4225" s="1"/>
      <c r="AJ4225" s="1"/>
      <c r="AK4225" s="1"/>
      <c r="AL4225" s="1"/>
      <c r="AM4225" s="1"/>
      <c r="AN4225" s="1"/>
      <c r="AO4225" s="1"/>
      <c r="AP4225" s="1"/>
      <c r="AQ4225" s="1"/>
      <c r="AR4225" s="1"/>
      <c r="AS4225" s="1"/>
      <c r="AT4225" s="1"/>
      <c r="AU4225" s="1"/>
      <c r="AV4225" s="1"/>
      <c r="AW4225" s="1"/>
      <c r="AX4225" s="1"/>
      <c r="AY4225" s="1"/>
      <c r="AZ4225" s="1"/>
      <c r="BA4225" s="1"/>
      <c r="BB4225" s="1"/>
    </row>
    <row r="4226" ht="204.75" customHeight="1">
      <c r="A4226" s="1">
        <v>4299.0</v>
      </c>
      <c r="B4226" s="2" t="s">
        <v>12397</v>
      </c>
      <c r="C4226" s="2">
        <f>IFERROR(__xludf.DUMMYFUNCTION("split(B4226,""_"")"),1107.0)</f>
        <v>1107</v>
      </c>
      <c r="D4226" s="2" t="str">
        <f>IFERROR(__xludf.DUMMYFUNCTION("""COMPUTED_VALUE"""),"NTV")</f>
        <v>NTV</v>
      </c>
      <c r="E4226" s="2" t="str">
        <f>IFERROR(__xludf.DUMMYFUNCTION("""COMPUTED_VALUE"""),"土21")</f>
        <v>土21</v>
      </c>
      <c r="F4226" s="2" t="s">
        <v>12398</v>
      </c>
      <c r="G4226" s="2" t="s">
        <v>12409</v>
      </c>
      <c r="H4226" s="1">
        <v>6.0</v>
      </c>
      <c r="I4226" s="1" t="s">
        <v>2888</v>
      </c>
      <c r="J4226" s="1" t="s">
        <v>11</v>
      </c>
      <c r="K4226" s="2" t="s">
        <v>12410</v>
      </c>
      <c r="L4226" s="2"/>
      <c r="M4226" s="2" t="str">
        <f>IFERROR(__xludf.DUMMYFUNCTION("split(split(K4226,""【演出"",false),""ほか"",false)"),"松田翔太、高橋克実、成海璃子、三宅弘城、市川実和子、紺野まひる、渡辺憲吉、田村愛、松重豊、小木茂光、山根和馬、青木健、河北麻友子、上田眞央、鈴々舎馬風、西尾まり、岩佐真悠子、菅田将暉、黒澤宏貴、デビッド・キンテーロ、内田有紀、小林聡美　")</f>
        <v>松田翔太、高橋克実、成海璃子、三宅弘城、市川実和子、紺野まひる、渡辺憲吉、田村愛、松重豊、小木茂光、山根和馬、青木健、河北麻友子、上田眞央、鈴々舎馬風、西尾まり、岩佐真悠子、菅田将暉、黒澤宏貴、デビッド・キンテーロ、内田有紀、小林聡美　</v>
      </c>
      <c r="N4226" s="2" t="str">
        <f>IFERROR(__xludf.DUMMYFUNCTION("""COMPUTED_VALUE"""),"鯖島(高橋克実)の妻あゆみ(内田有紀)は極道雑誌にライバルの鰺沢(小木茂光)がカラーグラビアで特集されているのを見て激怒する。それを知った城田(松田翔太)は自分も特集記事を作ると言い出し、最高級のカメラ器材を買い込む。城田は幸子(成海璃子)を撮影のアシスタントとして雇うことにし、鯖島をモデルに撮影を決行する。そんなとき幸子の母親・玲子(西尾まり)が児童相談所を訪ねてきてーー中島悟大石哲也【音楽】金子隆博  【主題歌】『BEAUTIFUL　DAYS』SPYAIR(ソニー・ミュージックアソシエイテッドレコーズ"&amp;")")</f>
        <v>鯖島(高橋克実)の妻あゆみ(内田有紀)は極道雑誌にライバルの鰺沢(小木茂光)がカラーグラビアで特集されているのを見て激怒する。それを知った城田(松田翔太)は自分も特集記事を作ると言い出し、最高級のカメラ器材を買い込む。城田は幸子(成海璃子)を撮影のアシスタントとして雇うことにし、鯖島をモデルに撮影を決行する。そんなとき幸子の母親・玲子(西尾まり)が児童相談所を訪ねてきてーー中島悟大石哲也【音楽】金子隆博  【主題歌】『BEAUTIFUL　DAYS』SPYAIR(ソニー・ミュージックアソシエイテッドレコーズ)</v>
      </c>
      <c r="O4226" s="2"/>
      <c r="P4226" s="1"/>
      <c r="Q4226" s="1"/>
      <c r="R4226" s="1"/>
      <c r="S4226" s="1"/>
      <c r="T4226" s="1"/>
      <c r="U4226" s="1"/>
      <c r="V4226" s="1"/>
      <c r="W4226" s="1"/>
      <c r="X4226" s="1"/>
      <c r="Y4226" s="1"/>
      <c r="Z4226" s="1"/>
      <c r="AA4226" s="1"/>
      <c r="AB4226" s="1"/>
      <c r="AC4226" s="1"/>
      <c r="AD4226" s="1"/>
      <c r="AE4226" s="1"/>
      <c r="AF4226" s="1"/>
      <c r="AG4226" s="1"/>
      <c r="AH4226" s="1"/>
      <c r="AI4226" s="1"/>
      <c r="AJ4226" s="1"/>
      <c r="AK4226" s="1"/>
      <c r="AL4226" s="1"/>
      <c r="AM4226" s="1"/>
      <c r="AN4226" s="1"/>
      <c r="AO4226" s="1"/>
      <c r="AP4226" s="1"/>
      <c r="AQ4226" s="1"/>
      <c r="AR4226" s="1"/>
      <c r="AS4226" s="1"/>
      <c r="AT4226" s="1"/>
      <c r="AU4226" s="1"/>
      <c r="AV4226" s="1"/>
      <c r="AW4226" s="1"/>
      <c r="AX4226" s="1"/>
      <c r="AY4226" s="1"/>
      <c r="AZ4226" s="1"/>
      <c r="BA4226" s="1"/>
      <c r="BB4226" s="1"/>
    </row>
    <row r="4227" ht="204.75" customHeight="1">
      <c r="A4227" s="1">
        <v>4300.0</v>
      </c>
      <c r="B4227" s="2" t="s">
        <v>12397</v>
      </c>
      <c r="C4227" s="2">
        <f>IFERROR(__xludf.DUMMYFUNCTION("split(B4227,""_"")"),1107.0)</f>
        <v>1107</v>
      </c>
      <c r="D4227" s="2" t="str">
        <f>IFERROR(__xludf.DUMMYFUNCTION("""COMPUTED_VALUE"""),"NTV")</f>
        <v>NTV</v>
      </c>
      <c r="E4227" s="2" t="str">
        <f>IFERROR(__xludf.DUMMYFUNCTION("""COMPUTED_VALUE"""),"土21")</f>
        <v>土21</v>
      </c>
      <c r="F4227" s="2" t="s">
        <v>12398</v>
      </c>
      <c r="G4227" s="2" t="s">
        <v>12411</v>
      </c>
      <c r="H4227" s="1">
        <v>7.0</v>
      </c>
      <c r="I4227" s="1" t="s">
        <v>2892</v>
      </c>
      <c r="J4227" s="1" t="s">
        <v>11</v>
      </c>
      <c r="K4227" s="2" t="s">
        <v>12412</v>
      </c>
      <c r="L4227" s="2"/>
      <c r="M4227" s="2" t="str">
        <f>IFERROR(__xludf.DUMMYFUNCTION("split(split(K4227,""【演出"",false),""ほか"",false)"),"松田翔太、高橋克実、成海璃子、三宅弘城、市川実和子、紺野まひる、渡辺憲吉、田村愛、松重豊、小木茂光、山根和馬、青木健、鈴々舎馬風、杉咲花、菅田将暉、谷川昭一朗、築山万有美、田中悠太、久ヶ沢徹、鈴木ちなみ、田口主将、槙岡瞭介、デビッド・キンテーロ、内田有紀、小林聡美　")</f>
        <v>松田翔太、高橋克実、成海璃子、三宅弘城、市川実和子、紺野まひる、渡辺憲吉、田村愛、松重豊、小木茂光、山根和馬、青木健、鈴々舎馬風、杉咲花、菅田将暉、谷川昭一朗、築山万有美、田中悠太、久ヶ沢徹、鈴木ちなみ、田口主将、槙岡瞭介、デビッド・キンテーロ、内田有紀、小林聡美　</v>
      </c>
      <c r="N4227" s="2" t="str">
        <f>IFERROR(__xludf.DUMMYFUNCTION("""COMPUTED_VALUE"""),"総長の鰯原(鈴々舎馬風)が病に倒れた。鯖島(高橋克実)は「もってあと3日」という医師と看護師の会話を聞いてしまう。それを聞いた城田(松田翔太)は冷静に「絶対に総長に知られるな」といい、最後まで総長を見守ろうと決意を固める。そして平静を装い、鰯原の「孫のヨーコに会いたい」という願いを叶えようと奔走する。そのころ児相に14歳の里奈(杉咲花)が補導されてきてーー。松永洋一根本ノンジ【音楽】金子隆博  【主題歌】『BEAUTIFUL　DAYS』SPYAIR(ソニー・ミュージックアソシエイテッドレコーズ)")</f>
        <v>総長の鰯原(鈴々舎馬風)が病に倒れた。鯖島(高橋克実)は「もってあと3日」という医師と看護師の会話を聞いてしまう。それを聞いた城田(松田翔太)は冷静に「絶対に総長に知られるな」といい、最後まで総長を見守ろうと決意を固める。そして平静を装い、鰯原の「孫のヨーコに会いたい」という願いを叶えようと奔走する。そのころ児相に14歳の里奈(杉咲花)が補導されてきてーー。松永洋一根本ノンジ【音楽】金子隆博  【主題歌】『BEAUTIFUL　DAYS』SPYAIR(ソニー・ミュージックアソシエイテッドレコーズ)</v>
      </c>
      <c r="O4227" s="2"/>
      <c r="P4227" s="1"/>
      <c r="Q4227" s="1"/>
      <c r="R4227" s="1"/>
      <c r="S4227" s="1"/>
      <c r="T4227" s="1"/>
      <c r="U4227" s="1"/>
      <c r="V4227" s="1"/>
      <c r="W4227" s="1"/>
      <c r="X4227" s="1"/>
      <c r="Y4227" s="1"/>
      <c r="Z4227" s="1"/>
      <c r="AA4227" s="1"/>
      <c r="AB4227" s="1"/>
      <c r="AC4227" s="1"/>
      <c r="AD4227" s="1"/>
      <c r="AE4227" s="1"/>
      <c r="AF4227" s="1"/>
      <c r="AG4227" s="1"/>
      <c r="AH4227" s="1"/>
      <c r="AI4227" s="1"/>
      <c r="AJ4227" s="1"/>
      <c r="AK4227" s="1"/>
      <c r="AL4227" s="1"/>
      <c r="AM4227" s="1"/>
      <c r="AN4227" s="1"/>
      <c r="AO4227" s="1"/>
      <c r="AP4227" s="1"/>
      <c r="AQ4227" s="1"/>
      <c r="AR4227" s="1"/>
      <c r="AS4227" s="1"/>
      <c r="AT4227" s="1"/>
      <c r="AU4227" s="1"/>
      <c r="AV4227" s="1"/>
      <c r="AW4227" s="1"/>
      <c r="AX4227" s="1"/>
      <c r="AY4227" s="1"/>
      <c r="AZ4227" s="1"/>
      <c r="BA4227" s="1"/>
      <c r="BB4227" s="1"/>
    </row>
    <row r="4228" ht="204.75" customHeight="1">
      <c r="A4228" s="1">
        <v>4301.0</v>
      </c>
      <c r="B4228" s="2" t="s">
        <v>12397</v>
      </c>
      <c r="C4228" s="2">
        <f>IFERROR(__xludf.DUMMYFUNCTION("split(B4228,""_"")"),1107.0)</f>
        <v>1107</v>
      </c>
      <c r="D4228" s="2" t="str">
        <f>IFERROR(__xludf.DUMMYFUNCTION("""COMPUTED_VALUE"""),"NTV")</f>
        <v>NTV</v>
      </c>
      <c r="E4228" s="2" t="str">
        <f>IFERROR(__xludf.DUMMYFUNCTION("""COMPUTED_VALUE"""),"土21")</f>
        <v>土21</v>
      </c>
      <c r="F4228" s="2" t="s">
        <v>12398</v>
      </c>
      <c r="G4228" s="2" t="s">
        <v>12413</v>
      </c>
      <c r="H4228" s="1">
        <v>8.0</v>
      </c>
      <c r="I4228" s="1" t="s">
        <v>2896</v>
      </c>
      <c r="J4228" s="1" t="s">
        <v>11</v>
      </c>
      <c r="K4228" s="2" t="s">
        <v>12414</v>
      </c>
      <c r="L4228" s="2"/>
      <c r="M4228" s="2" t="str">
        <f>IFERROR(__xludf.DUMMYFUNCTION("split(split(K4228,""【演出"",false),""ほか"",false)"),"松田翔太、高橋克実、成海璃子、三宅弘城、市川実和子、紺野まひる、渡辺憲吉、田村愛、松重豊、小木茂光、山根和馬、青木健、河北麻友子、上田眞央、宮田早苗、平田薫、伊藤凌、菅田将暉、安澤千草、西野実見、槙岡瞭介、夏居瑠奈、森富士夫、窪園純一、山田伊久磨、小松利昌、白倉裕二、中村桜、橋本麻理乃、内田有紀、小林聡美　")</f>
        <v>松田翔太、高橋克実、成海璃子、三宅弘城、市川実和子、紺野まひる、渡辺憲吉、田村愛、松重豊、小木茂光、山根和馬、青木健、河北麻友子、上田眞央、宮田早苗、平田薫、伊藤凌、菅田将暉、安澤千草、西野実見、槙岡瞭介、夏居瑠奈、森富士夫、窪園純一、山田伊久磨、小松利昌、白倉裕二、中村桜、橋本麻理乃、内田有紀、小林聡美　</v>
      </c>
      <c r="N4228" s="2" t="str">
        <f>IFERROR(__xludf.DUMMYFUNCTION("""COMPUTED_VALUE"""),"中学校で講演をした城田は、2年の担任・貴子から不登校をしている生徒・圭太の相談を受ける。偶然にも彼女は小学校の同級生であった。貴子に昔の借りがある城田は、圭太の不登校を自分が解決しようと奮起する。翌日、圭太が母親に伴われて児童相談所にやってきた。幸子は圭太には好きな子がいるであろうことをすぐに探り当てる。しかし、彼女はもうすぐ外国に転校してしまうらしい。それを知った城田と鯖島がとった行動とはーー。大谷太郎大石哲也【音楽】金子隆博  【主題歌】『BEAUTIFUL　DAYS』SPYAIR(ソニー・ミュージッ"&amp;"クアソシエイテッドレコーズ)")</f>
        <v>中学校で講演をした城田は、2年の担任・貴子から不登校をしている生徒・圭太の相談を受ける。偶然にも彼女は小学校の同級生であった。貴子に昔の借りがある城田は、圭太の不登校を自分が解決しようと奮起する。翌日、圭太が母親に伴われて児童相談所にやってきた。幸子は圭太には好きな子がいるであろうことをすぐに探り当てる。しかし、彼女はもうすぐ外国に転校してしまうらしい。それを知った城田と鯖島がとった行動とはーー。大谷太郎大石哲也【音楽】金子隆博  【主題歌】『BEAUTIFUL　DAYS』SPYAIR(ソニー・ミュージックアソシエイテッドレコーズ)</v>
      </c>
      <c r="O4228" s="2"/>
      <c r="P4228" s="1"/>
      <c r="Q4228" s="1"/>
      <c r="R4228" s="1"/>
      <c r="S4228" s="1"/>
      <c r="T4228" s="1"/>
      <c r="U4228" s="1"/>
      <c r="V4228" s="1"/>
      <c r="W4228" s="1"/>
      <c r="X4228" s="1"/>
      <c r="Y4228" s="1"/>
      <c r="Z4228" s="1"/>
      <c r="AA4228" s="1"/>
      <c r="AB4228" s="1"/>
      <c r="AC4228" s="1"/>
      <c r="AD4228" s="1"/>
      <c r="AE4228" s="1"/>
      <c r="AF4228" s="1"/>
      <c r="AG4228" s="1"/>
      <c r="AH4228" s="1"/>
      <c r="AI4228" s="1"/>
      <c r="AJ4228" s="1"/>
      <c r="AK4228" s="1"/>
      <c r="AL4228" s="1"/>
      <c r="AM4228" s="1"/>
      <c r="AN4228" s="1"/>
      <c r="AO4228" s="1"/>
      <c r="AP4228" s="1"/>
      <c r="AQ4228" s="1"/>
      <c r="AR4228" s="1"/>
      <c r="AS4228" s="1"/>
      <c r="AT4228" s="1"/>
      <c r="AU4228" s="1"/>
      <c r="AV4228" s="1"/>
      <c r="AW4228" s="1"/>
      <c r="AX4228" s="1"/>
      <c r="AY4228" s="1"/>
      <c r="AZ4228" s="1"/>
      <c r="BA4228" s="1"/>
      <c r="BB4228" s="1"/>
    </row>
    <row r="4229" ht="204.75" customHeight="1">
      <c r="A4229" s="1">
        <v>4302.0</v>
      </c>
      <c r="B4229" s="2" t="s">
        <v>12397</v>
      </c>
      <c r="C4229" s="2">
        <f>IFERROR(__xludf.DUMMYFUNCTION("split(B4229,""_"")"),1107.0)</f>
        <v>1107</v>
      </c>
      <c r="D4229" s="2" t="str">
        <f>IFERROR(__xludf.DUMMYFUNCTION("""COMPUTED_VALUE"""),"NTV")</f>
        <v>NTV</v>
      </c>
      <c r="E4229" s="2" t="str">
        <f>IFERROR(__xludf.DUMMYFUNCTION("""COMPUTED_VALUE"""),"土21")</f>
        <v>土21</v>
      </c>
      <c r="F4229" s="2" t="s">
        <v>12398</v>
      </c>
      <c r="G4229" s="2" t="s">
        <v>12415</v>
      </c>
      <c r="H4229" s="1">
        <v>9.0</v>
      </c>
      <c r="I4229" s="1" t="s">
        <v>2900</v>
      </c>
      <c r="J4229" s="1" t="s">
        <v>11</v>
      </c>
      <c r="K4229" s="2" t="s">
        <v>12416</v>
      </c>
      <c r="L4229" s="2"/>
      <c r="M4229" s="2" t="str">
        <f>IFERROR(__xludf.DUMMYFUNCTION("split(split(K4229,""【演出"",false),""ほか"",false)"),"松田翔太、高橋克実、成海璃子、三宅弘城、市川実和子、紺野まひる、渡辺憲吉、田村愛、松重豊、小木茂光、山根和馬、青木健、河北麻友子、上田眞央、大橋のぞみ、宮崎吐夢、松永博史、菅田将暉、内田有紀、小林聡美　")</f>
        <v>松田翔太、高橋克実、成海璃子、三宅弘城、市川実和子、紺野まひる、渡辺憲吉、田村愛、松重豊、小木茂光、山根和馬、青木健、河北麻友子、上田眞央、大橋のぞみ、宮崎吐夢、松永博史、菅田将暉、内田有紀、小林聡美　</v>
      </c>
      <c r="N4229" s="2" t="str">
        <f>IFERROR(__xludf.DUMMYFUNCTION("""COMPUTED_VALUE"""),"城田は父子家庭の父親・清志の家を訪ねる。失業した清志は家でゴロゴロし、12歳の娘・千佳が幼い弟たちの面倒を見ていた。そのころ鯖島は鰺沢組があくどい方法で、金貸しをしていることを知り、リストのなかに清志の名を発見する。いっぽうの城田は児童相談所で開催する「お楽しみ会」の演劇「ドン・キホーテ」を手伝うことに。城田は、監督・主役・脚本をやると言い出す。そこに千佳と弟たちも劇に参加することになってーーー松原浩根本ノンジ【音楽】金子隆博  【主題歌】『BEAUTIFUL　DAYS』SPYAIR(ソニー・ミュージック"&amp;"アソシエイテッドレコーズ)")</f>
        <v>城田は父子家庭の父親・清志の家を訪ねる。失業した清志は家でゴロゴロし、12歳の娘・千佳が幼い弟たちの面倒を見ていた。そのころ鯖島は鰺沢組があくどい方法で、金貸しをしていることを知り、リストのなかに清志の名を発見する。いっぽうの城田は児童相談所で開催する「お楽しみ会」の演劇「ドン・キホーテ」を手伝うことに。城田は、監督・主役・脚本をやると言い出す。そこに千佳と弟たちも劇に参加することになってーーー松原浩根本ノンジ【音楽】金子隆博  【主題歌】『BEAUTIFUL　DAYS』SPYAIR(ソニー・ミュージックアソシエイテッドレコーズ)</v>
      </c>
      <c r="O4229" s="2"/>
      <c r="P4229" s="1"/>
      <c r="Q4229" s="1"/>
      <c r="R4229" s="1"/>
      <c r="S4229" s="1"/>
      <c r="T4229" s="1"/>
      <c r="U4229" s="1"/>
      <c r="V4229" s="1"/>
      <c r="W4229" s="1"/>
      <c r="X4229" s="1"/>
      <c r="Y4229" s="1"/>
      <c r="Z4229" s="1"/>
      <c r="AA4229" s="1"/>
      <c r="AB4229" s="1"/>
      <c r="AC4229" s="1"/>
      <c r="AD4229" s="1"/>
      <c r="AE4229" s="1"/>
      <c r="AF4229" s="1"/>
      <c r="AG4229" s="1"/>
      <c r="AH4229" s="1"/>
      <c r="AI4229" s="1"/>
      <c r="AJ4229" s="1"/>
      <c r="AK4229" s="1"/>
      <c r="AL4229" s="1"/>
      <c r="AM4229" s="1"/>
      <c r="AN4229" s="1"/>
      <c r="AO4229" s="1"/>
      <c r="AP4229" s="1"/>
      <c r="AQ4229" s="1"/>
      <c r="AR4229" s="1"/>
      <c r="AS4229" s="1"/>
      <c r="AT4229" s="1"/>
      <c r="AU4229" s="1"/>
      <c r="AV4229" s="1"/>
      <c r="AW4229" s="1"/>
      <c r="AX4229" s="1"/>
      <c r="AY4229" s="1"/>
      <c r="AZ4229" s="1"/>
      <c r="BA4229" s="1"/>
      <c r="BB4229" s="1"/>
    </row>
    <row r="4230" ht="204.75" customHeight="1">
      <c r="A4230" s="1">
        <v>4303.0</v>
      </c>
      <c r="B4230" s="2" t="s">
        <v>12397</v>
      </c>
      <c r="C4230" s="2">
        <f>IFERROR(__xludf.DUMMYFUNCTION("split(B4230,""_"")"),1107.0)</f>
        <v>1107</v>
      </c>
      <c r="D4230" s="2" t="str">
        <f>IFERROR(__xludf.DUMMYFUNCTION("""COMPUTED_VALUE"""),"NTV")</f>
        <v>NTV</v>
      </c>
      <c r="E4230" s="2" t="str">
        <f>IFERROR(__xludf.DUMMYFUNCTION("""COMPUTED_VALUE"""),"土21")</f>
        <v>土21</v>
      </c>
      <c r="F4230" s="2" t="s">
        <v>12398</v>
      </c>
      <c r="G4230" s="2" t="s">
        <v>12417</v>
      </c>
      <c r="H4230" s="1">
        <v>10.0</v>
      </c>
      <c r="I4230" s="1" t="s">
        <v>37</v>
      </c>
      <c r="J4230" s="1" t="s">
        <v>11</v>
      </c>
      <c r="K4230" s="2" t="s">
        <v>12418</v>
      </c>
      <c r="L4230" s="2"/>
      <c r="M4230" s="2" t="str">
        <f>IFERROR(__xludf.DUMMYFUNCTION("split(split(K4230,""【演出"",false),""ほか"",false)"),"松田翔太、高橋克実、成海璃子、三宅弘城、市川実和子、紺野まひる、渡辺憲吉、田村愛、松重豊、小木茂光、山根和馬、青木健、河北麻友子、上田眞央、菅田将暉、松永博史、松田知己、信川清順、内田有紀、小林聡美　")</f>
        <v>松田翔太、高橋克実、成海璃子、三宅弘城、市川実和子、紺野まひる、渡辺憲吉、田村愛、松重豊、小木茂光、山根和馬、青木健、河北麻友子、上田眞央、菅田将暉、松永博史、松田知己、信川清順、内田有紀、小林聡美　</v>
      </c>
      <c r="N4230" s="2" t="str">
        <f>IFERROR(__xludf.DUMMYFUNCTION("""COMPUTED_VALUE"""),"鯖島は次期総長候補として鰺沢と討論会に挑む。だが鯖島は強面な親分衆の集まる場の空気にすっかり気後れしてしまう。次回のマニフェスト発表会で失敗したら、間違いなく総長の芽はなくなるーー。城田は「今度こそバッチリ決めろ!」と鯖島に念を押すが、なんと翌日鯖島は家出をしてしまう。怒った城田は自分も児童相談所を辞めると宣言する。驚くミネコだが、最後に西岡佑麿の里親だけは決めるようにと城田に言い渡してーー大谷太郎大石哲也【音楽】金子隆博  【主題歌】『BEAUTIFUL　DAYS』SPYAIR(ソニー・ミュージックアソ"&amp;"シエイテッドレコーズ)")</f>
        <v>鯖島は次期総長候補として鰺沢と討論会に挑む。だが鯖島は強面な親分衆の集まる場の空気にすっかり気後れしてしまう。次回のマニフェスト発表会で失敗したら、間違いなく総長の芽はなくなるーー。城田は「今度こそバッチリ決めろ!」と鯖島に念を押すが、なんと翌日鯖島は家出をしてしまう。怒った城田は自分も児童相談所を辞めると宣言する。驚くミネコだが、最後に西岡佑麿の里親だけは決めるようにと城田に言い渡してーー大谷太郎大石哲也【音楽】金子隆博  【主題歌】『BEAUTIFUL　DAYS』SPYAIR(ソニー・ミュージックアソシエイテッドレコーズ)</v>
      </c>
      <c r="O4230" s="2"/>
      <c r="P4230" s="1"/>
      <c r="Q4230" s="1"/>
      <c r="R4230" s="1"/>
      <c r="S4230" s="1"/>
      <c r="T4230" s="1"/>
      <c r="U4230" s="1"/>
      <c r="V4230" s="1"/>
      <c r="W4230" s="1"/>
      <c r="X4230" s="1"/>
      <c r="Y4230" s="1"/>
      <c r="Z4230" s="1"/>
      <c r="AA4230" s="1"/>
      <c r="AB4230" s="1"/>
      <c r="AC4230" s="1"/>
      <c r="AD4230" s="1"/>
      <c r="AE4230" s="1"/>
      <c r="AF4230" s="1"/>
      <c r="AG4230" s="1"/>
      <c r="AH4230" s="1"/>
      <c r="AI4230" s="1"/>
      <c r="AJ4230" s="1"/>
      <c r="AK4230" s="1"/>
      <c r="AL4230" s="1"/>
      <c r="AM4230" s="1"/>
      <c r="AN4230" s="1"/>
      <c r="AO4230" s="1"/>
      <c r="AP4230" s="1"/>
      <c r="AQ4230" s="1"/>
      <c r="AR4230" s="1"/>
      <c r="AS4230" s="1"/>
      <c r="AT4230" s="1"/>
      <c r="AU4230" s="1"/>
      <c r="AV4230" s="1"/>
      <c r="AW4230" s="1"/>
      <c r="AX4230" s="1"/>
      <c r="AY4230" s="1"/>
      <c r="AZ4230" s="1"/>
      <c r="BA4230" s="1"/>
      <c r="BB4230" s="1"/>
    </row>
    <row r="4231" ht="204.75" customHeight="1">
      <c r="A4231" s="1">
        <v>4304.0</v>
      </c>
      <c r="B4231" s="2" t="s">
        <v>12397</v>
      </c>
      <c r="C4231" s="2">
        <f>IFERROR(__xludf.DUMMYFUNCTION("split(B4231,""_"")"),1107.0)</f>
        <v>1107</v>
      </c>
      <c r="D4231" s="2" t="str">
        <f>IFERROR(__xludf.DUMMYFUNCTION("""COMPUTED_VALUE"""),"NTV")</f>
        <v>NTV</v>
      </c>
      <c r="E4231" s="2" t="str">
        <f>IFERROR(__xludf.DUMMYFUNCTION("""COMPUTED_VALUE"""),"土21")</f>
        <v>土21</v>
      </c>
      <c r="F4231" s="2" t="s">
        <v>12398</v>
      </c>
      <c r="G4231" s="2" t="s">
        <v>12419</v>
      </c>
      <c r="H4231" s="1">
        <v>11.0</v>
      </c>
      <c r="I4231" s="1" t="s">
        <v>41</v>
      </c>
      <c r="J4231" s="1" t="s">
        <v>11</v>
      </c>
      <c r="K4231" s="2" t="s">
        <v>12420</v>
      </c>
      <c r="L4231" s="2"/>
      <c r="M4231" s="2" t="str">
        <f>IFERROR(__xludf.DUMMYFUNCTION("split(split(K4231,""【演出"",false),""ほか"",false)"),"松田翔太、高橋克実、成海璃子、三宅弘城、市川実和子、紺野まひる、渡辺憲吉、田村愛、松重豊、小木茂光、山根和馬、青木健、河北麻友子、上田眞央、鈴々舎馬風、白竜、松永博史、宮本裕子、遠藤璃菜、俵木藤汰、テイ龍進、伊藤大輔、Hou　Wei、関口あきら、あべまみ、内田有紀、小林聡美　")</f>
        <v>松田翔太、高橋克実、成海璃子、三宅弘城、市川実和子、紺野まひる、渡辺憲吉、田村愛、松重豊、小木茂光、山根和馬、青木健、河北麻友子、上田眞央、鈴々舎馬風、白竜、松永博史、宮本裕子、遠藤璃菜、俵木藤汰、テイ龍進、伊藤大輔、Hou　Wei、関口あきら、あべまみ、内田有紀、小林聡美　</v>
      </c>
      <c r="N4231" s="2" t="str">
        <f>IFERROR(__xludf.DUMMYFUNCTION("""COMPUTED_VALUE"""),"次期総長選出まであと3日。城田は気をもみつつも、ミネコの指示で新たな児童相談所の案件に取りかかる。今回のケースは極度の潔癖症の母親が、娘を一切外に出さず、学校に通わせていないというものだった。ミネコは娘の香を一時的に強制保護しようと考える。  いっぽう鯖島は「極道かるた」で、総長戦の決着をつけることになった。鯖島はかるたの特訓をし、決戦に望む。果たして、城田と鯖島は入れ替わったまま終わるのかーー?中島悟大石哲也【音楽】金子隆博  【主題歌】『BEAUTIFUL　DAYS』SPYAIR(ソニー・ミュージック"&amp;"アソシエイテッドレコーズ)")</f>
        <v>次期総長選出まであと3日。城田は気をもみつつも、ミネコの指示で新たな児童相談所の案件に取りかかる。今回のケースは極度の潔癖症の母親が、娘を一切外に出さず、学校に通わせていないというものだった。ミネコは娘の香を一時的に強制保護しようと考える。  いっぽう鯖島は「極道かるた」で、総長戦の決着をつけることになった。鯖島はかるたの特訓をし、決戦に望む。果たして、城田と鯖島は入れ替わったまま終わるのかーー?中島悟大石哲也【音楽】金子隆博  【主題歌】『BEAUTIFUL　DAYS』SPYAIR(ソニー・ミュージックアソシエイテッドレコーズ)</v>
      </c>
      <c r="O4231" s="2"/>
      <c r="P4231" s="1"/>
      <c r="Q4231" s="1"/>
      <c r="R4231" s="1"/>
      <c r="S4231" s="1"/>
      <c r="T4231" s="1"/>
      <c r="U4231" s="1"/>
      <c r="V4231" s="1"/>
      <c r="W4231" s="1"/>
      <c r="X4231" s="1"/>
      <c r="Y4231" s="1"/>
      <c r="Z4231" s="1"/>
      <c r="AA4231" s="1"/>
      <c r="AB4231" s="1"/>
      <c r="AC4231" s="1"/>
      <c r="AD4231" s="1"/>
      <c r="AE4231" s="1"/>
      <c r="AF4231" s="1"/>
      <c r="AG4231" s="1"/>
      <c r="AH4231" s="1"/>
      <c r="AI4231" s="1"/>
      <c r="AJ4231" s="1"/>
      <c r="AK4231" s="1"/>
      <c r="AL4231" s="1"/>
      <c r="AM4231" s="1"/>
      <c r="AN4231" s="1"/>
      <c r="AO4231" s="1"/>
      <c r="AP4231" s="1"/>
      <c r="AQ4231" s="1"/>
      <c r="AR4231" s="1"/>
      <c r="AS4231" s="1"/>
      <c r="AT4231" s="1"/>
      <c r="AU4231" s="1"/>
      <c r="AV4231" s="1"/>
      <c r="AW4231" s="1"/>
      <c r="AX4231" s="1"/>
      <c r="AY4231" s="1"/>
      <c r="AZ4231" s="1"/>
      <c r="BA4231" s="1"/>
      <c r="BB4231" s="1"/>
    </row>
    <row r="4232" ht="204.75" customHeight="1">
      <c r="A4232" s="1">
        <v>4375.0</v>
      </c>
      <c r="B4232" s="2" t="s">
        <v>12421</v>
      </c>
      <c r="C4232" s="2">
        <f>IFERROR(__xludf.DUMMYFUNCTION("split(B4232,""_"")"),1104.0)</f>
        <v>1104</v>
      </c>
      <c r="D4232" s="2" t="str">
        <f>IFERROR(__xludf.DUMMYFUNCTION("""COMPUTED_VALUE"""),"NTV")</f>
        <v>NTV</v>
      </c>
      <c r="E4232" s="2" t="str">
        <f>IFERROR(__xludf.DUMMYFUNCTION("""COMPUTED_VALUE"""),"水22")</f>
        <v>水22</v>
      </c>
      <c r="F4232" s="2" t="s">
        <v>12422</v>
      </c>
      <c r="G4232" s="2" t="s">
        <v>12423</v>
      </c>
      <c r="H4232" s="1">
        <v>1.0</v>
      </c>
      <c r="I4232" s="1" t="s">
        <v>2868</v>
      </c>
      <c r="J4232" s="1" t="s">
        <v>82</v>
      </c>
      <c r="K4232" s="2" t="s">
        <v>12424</v>
      </c>
      <c r="L4232" s="2"/>
      <c r="M4232" s="2" t="str">
        <f>IFERROR(__xludf.DUMMYFUNCTION("split(split(K4232,""【演出"",false),""ほか"",false)"),"相武紗季、速水もこみち、栗山千明、勝地涼、西山茉希  半海一晃、伊藤かずえ、石塚英彦、若村麻由美デブ人生を歩み続けていた大場信子(相武紗季)は22歳で体重は78キロ!しかし恋人・風見研作(勝地涼)にフラレた事をきっかけに33キロのダイエットに成功。憧れのファッション誌に就職も果たしたのだが・・・。ある日、鬼編集長・蘭(若村麻由美)から人気ケーキ店の取材を命じられ、信子は親友・瞳(栗山千明)とケーキ屋に向かう。そこでパティシエ・今井太一(速水もこみち)に恋をしてしまう。そして信子の体は!南雲聖一遊川和彦池頼"&amp;"広5年D組")</f>
        <v>相武紗季、速水もこみち、栗山千明、勝地涼、西山茉希  半海一晃、伊藤かずえ、石塚英彦、若村麻由美デブ人生を歩み続けていた大場信子(相武紗季)は22歳で体重は78キロ!しかし恋人・風見研作(勝地涼)にフラレた事をきっかけに33キロのダイエットに成功。憧れのファッション誌に就職も果たしたのだが・・・。ある日、鬼編集長・蘭(若村麻由美)から人気ケーキ店の取材を命じられ、信子は親友・瞳(栗山千明)とケーキ屋に向かう。そこでパティシエ・今井太一(速水もこみち)に恋をしてしまう。そして信子の体は!南雲聖一遊川和彦池頼広5年D組</v>
      </c>
      <c r="N4232" s="2"/>
      <c r="O4232" s="2"/>
      <c r="P4232" s="1"/>
      <c r="Q4232" s="1"/>
      <c r="R4232" s="1"/>
      <c r="S4232" s="1"/>
      <c r="T4232" s="1"/>
      <c r="U4232" s="1"/>
      <c r="V4232" s="1"/>
      <c r="W4232" s="1"/>
      <c r="X4232" s="1"/>
      <c r="Y4232" s="1"/>
      <c r="Z4232" s="1"/>
      <c r="AA4232" s="1"/>
      <c r="AB4232" s="1"/>
      <c r="AC4232" s="1"/>
      <c r="AD4232" s="1"/>
      <c r="AE4232" s="1"/>
      <c r="AF4232" s="1"/>
      <c r="AG4232" s="1"/>
      <c r="AH4232" s="1"/>
      <c r="AI4232" s="1"/>
      <c r="AJ4232" s="1"/>
      <c r="AK4232" s="1"/>
      <c r="AL4232" s="1"/>
      <c r="AM4232" s="1"/>
      <c r="AN4232" s="1"/>
      <c r="AO4232" s="1"/>
      <c r="AP4232" s="1"/>
      <c r="AQ4232" s="1"/>
      <c r="AR4232" s="1"/>
      <c r="AS4232" s="1"/>
      <c r="AT4232" s="1"/>
      <c r="AU4232" s="1"/>
      <c r="AV4232" s="1"/>
      <c r="AW4232" s="1"/>
      <c r="AX4232" s="1"/>
      <c r="AY4232" s="1"/>
      <c r="AZ4232" s="1"/>
      <c r="BA4232" s="1"/>
      <c r="BB4232" s="1"/>
    </row>
    <row r="4233" ht="204.75" customHeight="1">
      <c r="A4233" s="1">
        <v>4376.0</v>
      </c>
      <c r="B4233" s="2" t="s">
        <v>12421</v>
      </c>
      <c r="C4233" s="2">
        <f>IFERROR(__xludf.DUMMYFUNCTION("split(B4233,""_"")"),1104.0)</f>
        <v>1104</v>
      </c>
      <c r="D4233" s="2" t="str">
        <f>IFERROR(__xludf.DUMMYFUNCTION("""COMPUTED_VALUE"""),"NTV")</f>
        <v>NTV</v>
      </c>
      <c r="E4233" s="2" t="str">
        <f>IFERROR(__xludf.DUMMYFUNCTION("""COMPUTED_VALUE"""),"水22")</f>
        <v>水22</v>
      </c>
      <c r="F4233" s="2" t="s">
        <v>12422</v>
      </c>
      <c r="G4233" s="2" t="s">
        <v>12425</v>
      </c>
      <c r="H4233" s="1">
        <v>2.0</v>
      </c>
      <c r="I4233" s="1" t="s">
        <v>2872</v>
      </c>
      <c r="J4233" s="1" t="s">
        <v>86</v>
      </c>
      <c r="K4233" s="2" t="s">
        <v>12426</v>
      </c>
      <c r="L4233" s="2"/>
      <c r="M4233" s="2" t="str">
        <f>IFERROR(__xludf.DUMMYFUNCTION("split(split(K4233,""【演出"",false),""ほか"",false)"),"相武紗季、速水もこみち、栗山千明、勝地涼、西山茉希  半海一晃、伊藤かずえ、石塚英彦、若村麻由美　")</f>
        <v>相武紗季、速水もこみち、栗山千明、勝地涼、西山茉希  半海一晃、伊藤かずえ、石塚英彦、若村麻由美　</v>
      </c>
      <c r="N4233" s="2" t="str">
        <f>IFERROR(__xludf.DUMMYFUNCTION("""COMPUTED_VALUE"""),"太一(速水もこみち)のケーキ作りを手伝い、78キロにリバウンドしてしまった信子(相武紗季)。2人で作った「愛のショートケーキ」の完成で帰京するが、「デブは絶対無理」と言われ、さらに太った信子の姿を見た太一は信子だときづかずにバイトの子と勘違いする。本当の事を言えない信子は、咄嗟に考えた偽名の佐藤チヨコとして太一の店で働く事になる。果たして信子はもう一度スリムな体を手に入れることができるのか。南雲聖一、石尾純遊川和彦池頼広")</f>
        <v>太一(速水もこみち)のケーキ作りを手伝い、78キロにリバウンドしてしまった信子(相武紗季)。2人で作った「愛のショートケーキ」の完成で帰京するが、「デブは絶対無理」と言われ、さらに太った信子の姿を見た太一は信子だときづかずにバイトの子と勘違いする。本当の事を言えない信子は、咄嗟に考えた偽名の佐藤チヨコとして太一の店で働く事になる。果たして信子はもう一度スリムな体を手に入れることができるのか。南雲聖一、石尾純遊川和彦池頼広</v>
      </c>
      <c r="O4233" s="2"/>
      <c r="P4233" s="1"/>
      <c r="Q4233" s="1"/>
      <c r="R4233" s="1"/>
      <c r="S4233" s="1"/>
      <c r="T4233" s="1"/>
      <c r="U4233" s="1"/>
      <c r="V4233" s="1"/>
      <c r="W4233" s="1"/>
      <c r="X4233" s="1"/>
      <c r="Y4233" s="1"/>
      <c r="Z4233" s="1"/>
      <c r="AA4233" s="1"/>
      <c r="AB4233" s="1"/>
      <c r="AC4233" s="1"/>
      <c r="AD4233" s="1"/>
      <c r="AE4233" s="1"/>
      <c r="AF4233" s="1"/>
      <c r="AG4233" s="1"/>
      <c r="AH4233" s="1"/>
      <c r="AI4233" s="1"/>
      <c r="AJ4233" s="1"/>
      <c r="AK4233" s="1"/>
      <c r="AL4233" s="1"/>
      <c r="AM4233" s="1"/>
      <c r="AN4233" s="1"/>
      <c r="AO4233" s="1"/>
      <c r="AP4233" s="1"/>
      <c r="AQ4233" s="1"/>
      <c r="AR4233" s="1"/>
      <c r="AS4233" s="1"/>
      <c r="AT4233" s="1"/>
      <c r="AU4233" s="1"/>
      <c r="AV4233" s="1"/>
      <c r="AW4233" s="1"/>
      <c r="AX4233" s="1"/>
      <c r="AY4233" s="1"/>
      <c r="AZ4233" s="1"/>
      <c r="BA4233" s="1"/>
      <c r="BB4233" s="1"/>
    </row>
    <row r="4234" ht="204.75" customHeight="1">
      <c r="A4234" s="1">
        <v>4377.0</v>
      </c>
      <c r="B4234" s="2" t="s">
        <v>12421</v>
      </c>
      <c r="C4234" s="2">
        <f>IFERROR(__xludf.DUMMYFUNCTION("split(B4234,""_"")"),1104.0)</f>
        <v>1104</v>
      </c>
      <c r="D4234" s="2" t="str">
        <f>IFERROR(__xludf.DUMMYFUNCTION("""COMPUTED_VALUE"""),"NTV")</f>
        <v>NTV</v>
      </c>
      <c r="E4234" s="2" t="str">
        <f>IFERROR(__xludf.DUMMYFUNCTION("""COMPUTED_VALUE"""),"水22")</f>
        <v>水22</v>
      </c>
      <c r="F4234" s="2" t="s">
        <v>12422</v>
      </c>
      <c r="G4234" s="2" t="s">
        <v>12427</v>
      </c>
      <c r="H4234" s="1">
        <v>3.0</v>
      </c>
      <c r="I4234" s="1" t="s">
        <v>2876</v>
      </c>
      <c r="J4234" s="1" t="s">
        <v>86</v>
      </c>
      <c r="K4234" s="2" t="s">
        <v>12428</v>
      </c>
      <c r="L4234" s="2"/>
      <c r="M4234" s="2" t="str">
        <f>IFERROR(__xludf.DUMMYFUNCTION("split(split(K4234,""【演出"",false),""ほか"",false)"),"相武紗季、速水もこみち、栗山千明、勝地涼、西山茉希  半海一晃、伊藤かずえ、石塚英彦、若村麻由美　")</f>
        <v>相武紗季、速水もこみち、栗山千明、勝地涼、西山茉希  半海一晃、伊藤かずえ、石塚英彦、若村麻由美　</v>
      </c>
      <c r="N4234" s="2" t="str">
        <f>IFERROR(__xludf.DUMMYFUNCTION("""COMPUTED_VALUE"""),"必死の努力と食欲を抑える薬の力でリバウンドから復活し、再びやせた信子(相武紗季)は、太一(速水もこみち)に会いに行く。2人の間に障害はない。と、思いきや、今度はケーキの食べすぎで太一が太ってしまったのだ。すっかりやる気を無くして、店を閉めると言い出す太一に、&lt;&lt;愛の重さは体重とは関係ない&gt;&gt;と、これからもケーキ作りの手伝いをすることを約束する。石尾純遊川和彦池頼広5年D組")</f>
        <v>必死の努力と食欲を抑える薬の力でリバウンドから復活し、再びやせた信子(相武紗季)は、太一(速水もこみち)に会いに行く。2人の間に障害はない。と、思いきや、今度はケーキの食べすぎで太一が太ってしまったのだ。すっかりやる気を無くして、店を閉めると言い出す太一に、&lt;&lt;愛の重さは体重とは関係ない&gt;&gt;と、これからもケーキ作りの手伝いをすることを約束する。石尾純遊川和彦池頼広5年D組</v>
      </c>
      <c r="O4234" s="2"/>
      <c r="P4234" s="1"/>
      <c r="Q4234" s="1"/>
      <c r="R4234" s="1"/>
      <c r="S4234" s="1"/>
      <c r="T4234" s="1"/>
      <c r="U4234" s="1"/>
      <c r="V4234" s="1"/>
      <c r="W4234" s="1"/>
      <c r="X4234" s="1"/>
      <c r="Y4234" s="1"/>
      <c r="Z4234" s="1"/>
      <c r="AA4234" s="1"/>
      <c r="AB4234" s="1"/>
      <c r="AC4234" s="1"/>
      <c r="AD4234" s="1"/>
      <c r="AE4234" s="1"/>
      <c r="AF4234" s="1"/>
      <c r="AG4234" s="1"/>
      <c r="AH4234" s="1"/>
      <c r="AI4234" s="1"/>
      <c r="AJ4234" s="1"/>
      <c r="AK4234" s="1"/>
      <c r="AL4234" s="1"/>
      <c r="AM4234" s="1"/>
      <c r="AN4234" s="1"/>
      <c r="AO4234" s="1"/>
      <c r="AP4234" s="1"/>
      <c r="AQ4234" s="1"/>
      <c r="AR4234" s="1"/>
      <c r="AS4234" s="1"/>
      <c r="AT4234" s="1"/>
      <c r="AU4234" s="1"/>
      <c r="AV4234" s="1"/>
      <c r="AW4234" s="1"/>
      <c r="AX4234" s="1"/>
      <c r="AY4234" s="1"/>
      <c r="AZ4234" s="1"/>
      <c r="BA4234" s="1"/>
      <c r="BB4234" s="1"/>
    </row>
    <row r="4235" ht="204.75" customHeight="1">
      <c r="A4235" s="1">
        <v>4378.0</v>
      </c>
      <c r="B4235" s="2" t="s">
        <v>12421</v>
      </c>
      <c r="C4235" s="2">
        <f>IFERROR(__xludf.DUMMYFUNCTION("split(B4235,""_"")"),1104.0)</f>
        <v>1104</v>
      </c>
      <c r="D4235" s="2" t="str">
        <f>IFERROR(__xludf.DUMMYFUNCTION("""COMPUTED_VALUE"""),"NTV")</f>
        <v>NTV</v>
      </c>
      <c r="E4235" s="2" t="str">
        <f>IFERROR(__xludf.DUMMYFUNCTION("""COMPUTED_VALUE"""),"水22")</f>
        <v>水22</v>
      </c>
      <c r="F4235" s="2" t="s">
        <v>12422</v>
      </c>
      <c r="G4235" s="2" t="s">
        <v>12429</v>
      </c>
      <c r="H4235" s="1">
        <v>4.0</v>
      </c>
      <c r="I4235" s="1" t="s">
        <v>2880</v>
      </c>
      <c r="J4235" s="1" t="s">
        <v>86</v>
      </c>
      <c r="K4235" s="2" t="s">
        <v>12430</v>
      </c>
      <c r="L4235" s="2"/>
      <c r="M4235" s="2" t="str">
        <f>IFERROR(__xludf.DUMMYFUNCTION("split(split(K4235,""【演出"",false),""ほか"",false)"),"相武紗季、速水もこみち、栗山千明、勝地涼、西山茉希  半海一晃、伊藤かずえ、石塚英彦、若村麻由美　")</f>
        <v>相武紗季、速水もこみち、栗山千明、勝地涼、西山茉希  半海一晃、伊藤かずえ、石塚英彦、若村麻由美　</v>
      </c>
      <c r="N4235" s="2" t="str">
        <f>IFERROR(__xludf.DUMMYFUNCTION("""COMPUTED_VALUE"""),"信子(相武紗季)は、元のスリムな姿に戻った太一(速水もこみち)とめでたく結ばれ、幸せモード全開。しかし蘭に「どうせ長続きしない」と警告される。実際、初デートで無理に太一に合わせようとしてグッタリ疲れ、さらに翌日、太一にいきなりプロポーズされる。結婚!?、一人突っ走る太一に信子は頭を抱える。そんな中、信子は蘭にパリコレ取材に同行するよう命じられる。しかし太一は信子に結婚したら仕事を辞めろと言い出した。石尾純遊川和彦池頼広5年D組")</f>
        <v>信子(相武紗季)は、元のスリムな姿に戻った太一(速水もこみち)とめでたく結ばれ、幸せモード全開。しかし蘭に「どうせ長続きしない」と警告される。実際、初デートで無理に太一に合わせようとしてグッタリ疲れ、さらに翌日、太一にいきなりプロポーズされる。結婚!?、一人突っ走る太一に信子は頭を抱える。そんな中、信子は蘭にパリコレ取材に同行するよう命じられる。しかし太一は信子に結婚したら仕事を辞めろと言い出した。石尾純遊川和彦池頼広5年D組</v>
      </c>
      <c r="O4235" s="2"/>
      <c r="P4235" s="1"/>
      <c r="Q4235" s="1"/>
      <c r="R4235" s="1"/>
      <c r="S4235" s="1"/>
      <c r="T4235" s="1"/>
      <c r="U4235" s="1"/>
      <c r="V4235" s="1"/>
      <c r="W4235" s="1"/>
      <c r="X4235" s="1"/>
      <c r="Y4235" s="1"/>
      <c r="Z4235" s="1"/>
      <c r="AA4235" s="1"/>
      <c r="AB4235" s="1"/>
      <c r="AC4235" s="1"/>
      <c r="AD4235" s="1"/>
      <c r="AE4235" s="1"/>
      <c r="AF4235" s="1"/>
      <c r="AG4235" s="1"/>
      <c r="AH4235" s="1"/>
      <c r="AI4235" s="1"/>
      <c r="AJ4235" s="1"/>
      <c r="AK4235" s="1"/>
      <c r="AL4235" s="1"/>
      <c r="AM4235" s="1"/>
      <c r="AN4235" s="1"/>
      <c r="AO4235" s="1"/>
      <c r="AP4235" s="1"/>
      <c r="AQ4235" s="1"/>
      <c r="AR4235" s="1"/>
      <c r="AS4235" s="1"/>
      <c r="AT4235" s="1"/>
      <c r="AU4235" s="1"/>
      <c r="AV4235" s="1"/>
      <c r="AW4235" s="1"/>
      <c r="AX4235" s="1"/>
      <c r="AY4235" s="1"/>
      <c r="AZ4235" s="1"/>
      <c r="BA4235" s="1"/>
      <c r="BB4235" s="1"/>
    </row>
    <row r="4236" ht="204.75" customHeight="1">
      <c r="A4236" s="1">
        <v>4379.0</v>
      </c>
      <c r="B4236" s="2" t="s">
        <v>12421</v>
      </c>
      <c r="C4236" s="2">
        <f>IFERROR(__xludf.DUMMYFUNCTION("split(B4236,""_"")"),1104.0)</f>
        <v>1104</v>
      </c>
      <c r="D4236" s="2" t="str">
        <f>IFERROR(__xludf.DUMMYFUNCTION("""COMPUTED_VALUE"""),"NTV")</f>
        <v>NTV</v>
      </c>
      <c r="E4236" s="2" t="str">
        <f>IFERROR(__xludf.DUMMYFUNCTION("""COMPUTED_VALUE"""),"水22")</f>
        <v>水22</v>
      </c>
      <c r="F4236" s="2" t="s">
        <v>12422</v>
      </c>
      <c r="G4236" s="2" t="s">
        <v>12431</v>
      </c>
      <c r="H4236" s="1">
        <v>5.0</v>
      </c>
      <c r="I4236" s="1" t="s">
        <v>2884</v>
      </c>
      <c r="J4236" s="1" t="s">
        <v>86</v>
      </c>
      <c r="K4236" s="2" t="s">
        <v>12432</v>
      </c>
      <c r="L4236" s="2"/>
      <c r="M4236" s="2" t="str">
        <f>IFERROR(__xludf.DUMMYFUNCTION("split(split(K4236,""【演出"",false),""ほか"",false)"),"相武紗季、速水もこみち、栗山千明、勝地涼、西山茉希  半海一晃、伊藤かずえ、石塚英彦、若村麻由美　")</f>
        <v>相武紗季、速水もこみち、栗山千明、勝地涼、西山茉希  半海一晃、伊藤かずえ、石塚英彦、若村麻由美　</v>
      </c>
      <c r="N4236" s="2" t="str">
        <f>IFERROR(__xludf.DUMMYFUNCTION("""COMPUTED_VALUE"""),"信子(相武紗季)は、太一(速水もこみち)に、仕事を辞めた事を言い出せず、パリコレに行ったフリをし、元カレ・研作(勝地涼)に誘われホテルに行く羽目に。一方、太一も有希(西山茉希)に「ヨリを戻したい」と迫られる。そんな中、エデンへの復職を頼みにいった信子は蘭を助ける為に、太一との「太ったら別れる!」という約束を忘れ、200個のケーキを食べてしまう。信子はリバウンドしてしまうのか!?南雲聖一遊川和彦池頼広5年D組")</f>
        <v>信子(相武紗季)は、太一(速水もこみち)に、仕事を辞めた事を言い出せず、パリコレに行ったフリをし、元カレ・研作(勝地涼)に誘われホテルに行く羽目に。一方、太一も有希(西山茉希)に「ヨリを戻したい」と迫られる。そんな中、エデンへの復職を頼みにいった信子は蘭を助ける為に、太一との「太ったら別れる!」という約束を忘れ、200個のケーキを食べてしまう。信子はリバウンドしてしまうのか!?南雲聖一遊川和彦池頼広5年D組</v>
      </c>
      <c r="O4236" s="2"/>
      <c r="P4236" s="1"/>
      <c r="Q4236" s="1"/>
      <c r="R4236" s="1"/>
      <c r="S4236" s="1"/>
      <c r="T4236" s="1"/>
      <c r="U4236" s="1"/>
      <c r="V4236" s="1"/>
      <c r="W4236" s="1"/>
      <c r="X4236" s="1"/>
      <c r="Y4236" s="1"/>
      <c r="Z4236" s="1"/>
      <c r="AA4236" s="1"/>
      <c r="AB4236" s="1"/>
      <c r="AC4236" s="1"/>
      <c r="AD4236" s="1"/>
      <c r="AE4236" s="1"/>
      <c r="AF4236" s="1"/>
      <c r="AG4236" s="1"/>
      <c r="AH4236" s="1"/>
      <c r="AI4236" s="1"/>
      <c r="AJ4236" s="1"/>
      <c r="AK4236" s="1"/>
      <c r="AL4236" s="1"/>
      <c r="AM4236" s="1"/>
      <c r="AN4236" s="1"/>
      <c r="AO4236" s="1"/>
      <c r="AP4236" s="1"/>
      <c r="AQ4236" s="1"/>
      <c r="AR4236" s="1"/>
      <c r="AS4236" s="1"/>
      <c r="AT4236" s="1"/>
      <c r="AU4236" s="1"/>
      <c r="AV4236" s="1"/>
      <c r="AW4236" s="1"/>
      <c r="AX4236" s="1"/>
      <c r="AY4236" s="1"/>
      <c r="AZ4236" s="1"/>
      <c r="BA4236" s="1"/>
      <c r="BB4236" s="1"/>
    </row>
    <row r="4237" ht="204.75" customHeight="1">
      <c r="A4237" s="1">
        <v>4380.0</v>
      </c>
      <c r="B4237" s="2" t="s">
        <v>12421</v>
      </c>
      <c r="C4237" s="2">
        <f>IFERROR(__xludf.DUMMYFUNCTION("split(B4237,""_"")"),1104.0)</f>
        <v>1104</v>
      </c>
      <c r="D4237" s="2" t="str">
        <f>IFERROR(__xludf.DUMMYFUNCTION("""COMPUTED_VALUE"""),"NTV")</f>
        <v>NTV</v>
      </c>
      <c r="E4237" s="2" t="str">
        <f>IFERROR(__xludf.DUMMYFUNCTION("""COMPUTED_VALUE"""),"水22")</f>
        <v>水22</v>
      </c>
      <c r="F4237" s="2" t="s">
        <v>12422</v>
      </c>
      <c r="G4237" s="2" t="s">
        <v>12433</v>
      </c>
      <c r="H4237" s="1">
        <v>6.0</v>
      </c>
      <c r="I4237" s="1" t="s">
        <v>2888</v>
      </c>
      <c r="J4237" s="1" t="s">
        <v>86</v>
      </c>
      <c r="K4237" s="2" t="s">
        <v>12434</v>
      </c>
      <c r="L4237" s="2"/>
      <c r="M4237" s="2" t="str">
        <f>IFERROR(__xludf.DUMMYFUNCTION("split(split(K4237,""【演出"",false),""ほか"",false)"),"相武紗季、速水もこみち、栗山千明、勝地涼、西山茉希  半海一晃、伊藤かずえ、石塚英彦、若村麻由美　")</f>
        <v>相武紗季、速水もこみち、栗山千明、勝地涼、西山茉希  半海一晃、伊藤かずえ、石塚英彦、若村麻由美　</v>
      </c>
      <c r="N4237" s="2" t="str">
        <f>IFERROR(__xludf.DUMMYFUNCTION("""COMPUTED_VALUE"""),"再びリバウンドしたことで、信子(相武紗季)は、太一(速水もこみち)とケンカ別れしてしまう。一方、研作(勝地涼)から「今のお前のままでいい」と言われ心揺れる。『やっぱり女は愛する人より、愛してくれる人と結ばれる方が幸せ!?』悩む信子を見て、瞳(栗山千明)は2人の仲を取り持とうとアンジュを訪れるが、反対に太一に自分の絵を褒められドキドキしてしまう。太一と信子、研作に瞳まで加えた四角関係は予想外の展開に!?日暮謙遊川和彦池頼広")</f>
        <v>再びリバウンドしたことで、信子(相武紗季)は、太一(速水もこみち)とケンカ別れしてしまう。一方、研作(勝地涼)から「今のお前のままでいい」と言われ心揺れる。『やっぱり女は愛する人より、愛してくれる人と結ばれる方が幸せ!?』悩む信子を見て、瞳(栗山千明)は2人の仲を取り持とうとアンジュを訪れるが、反対に太一に自分の絵を褒められドキドキしてしまう。太一と信子、研作に瞳まで加えた四角関係は予想外の展開に!?日暮謙遊川和彦池頼広</v>
      </c>
      <c r="O4237" s="2"/>
      <c r="P4237" s="1"/>
      <c r="Q4237" s="1"/>
      <c r="R4237" s="1"/>
      <c r="S4237" s="1"/>
      <c r="T4237" s="1"/>
      <c r="U4237" s="1"/>
      <c r="V4237" s="1"/>
      <c r="W4237" s="1"/>
      <c r="X4237" s="1"/>
      <c r="Y4237" s="1"/>
      <c r="Z4237" s="1"/>
      <c r="AA4237" s="1"/>
      <c r="AB4237" s="1"/>
      <c r="AC4237" s="1"/>
      <c r="AD4237" s="1"/>
      <c r="AE4237" s="1"/>
      <c r="AF4237" s="1"/>
      <c r="AG4237" s="1"/>
      <c r="AH4237" s="1"/>
      <c r="AI4237" s="1"/>
      <c r="AJ4237" s="1"/>
      <c r="AK4237" s="1"/>
      <c r="AL4237" s="1"/>
      <c r="AM4237" s="1"/>
      <c r="AN4237" s="1"/>
      <c r="AO4237" s="1"/>
      <c r="AP4237" s="1"/>
      <c r="AQ4237" s="1"/>
      <c r="AR4237" s="1"/>
      <c r="AS4237" s="1"/>
      <c r="AT4237" s="1"/>
      <c r="AU4237" s="1"/>
      <c r="AV4237" s="1"/>
      <c r="AW4237" s="1"/>
      <c r="AX4237" s="1"/>
      <c r="AY4237" s="1"/>
      <c r="AZ4237" s="1"/>
      <c r="BA4237" s="1"/>
      <c r="BB4237" s="1"/>
    </row>
    <row r="4238" ht="204.75" customHeight="1">
      <c r="A4238" s="1">
        <v>4381.0</v>
      </c>
      <c r="B4238" s="2" t="s">
        <v>12421</v>
      </c>
      <c r="C4238" s="2">
        <f>IFERROR(__xludf.DUMMYFUNCTION("split(B4238,""_"")"),1104.0)</f>
        <v>1104</v>
      </c>
      <c r="D4238" s="2" t="str">
        <f>IFERROR(__xludf.DUMMYFUNCTION("""COMPUTED_VALUE"""),"NTV")</f>
        <v>NTV</v>
      </c>
      <c r="E4238" s="2" t="str">
        <f>IFERROR(__xludf.DUMMYFUNCTION("""COMPUTED_VALUE"""),"水22")</f>
        <v>水22</v>
      </c>
      <c r="F4238" s="2" t="s">
        <v>12422</v>
      </c>
      <c r="G4238" s="2" t="s">
        <v>12435</v>
      </c>
      <c r="H4238" s="1">
        <v>7.0</v>
      </c>
      <c r="I4238" s="1" t="s">
        <v>2892</v>
      </c>
      <c r="J4238" s="1" t="s">
        <v>86</v>
      </c>
      <c r="K4238" s="2" t="s">
        <v>12436</v>
      </c>
      <c r="L4238" s="2"/>
      <c r="M4238" s="2" t="str">
        <f>IFERROR(__xludf.DUMMYFUNCTION("split(split(K4238,""【演出"",false),""ほか"",false)"),"相武紗季、速水もこみち、栗山千明、勝地涼、西山茉希  半海一晃、伊藤かずえ、石塚英彦、若村麻由美　")</f>
        <v>相武紗季、速水もこみち、栗山千明、勝地涼、西山茉希  半海一晃、伊藤かずえ、石塚英彦、若村麻由美　</v>
      </c>
      <c r="N4238" s="2" t="str">
        <f>IFERROR(__xludf.DUMMYFUNCTION("""COMPUTED_VALUE"""),"親友・瞳(栗山千明)が太一(速水もこみち)にすがって泣く姿を目撃してしまった信子(相武紗季)。何事もなかったように振る舞い、「太一を信じてる!!」と言うが、内心穏やかではない。そんな中、信子は再び瞳と太一が会っている事を知り、瞳の太一への想いを感じ取ってしまう。友情を取るか、恋を取るか・・・!?信子はある決意を行動に移そうとするがーー!!石尾純遊川和彦池頼広5年D組")</f>
        <v>親友・瞳(栗山千明)が太一(速水もこみち)にすがって泣く姿を目撃してしまった信子(相武紗季)。何事もなかったように振る舞い、「太一を信じてる!!」と言うが、内心穏やかではない。そんな中、信子は再び瞳と太一が会っている事を知り、瞳の太一への想いを感じ取ってしまう。友情を取るか、恋を取るか・・・!?信子はある決意を行動に移そうとするがーー!!石尾純遊川和彦池頼広5年D組</v>
      </c>
      <c r="O4238" s="2"/>
      <c r="P4238" s="1"/>
      <c r="Q4238" s="1"/>
      <c r="R4238" s="1"/>
      <c r="S4238" s="1"/>
      <c r="T4238" s="1"/>
      <c r="U4238" s="1"/>
      <c r="V4238" s="1"/>
      <c r="W4238" s="1"/>
      <c r="X4238" s="1"/>
      <c r="Y4238" s="1"/>
      <c r="Z4238" s="1"/>
      <c r="AA4238" s="1"/>
      <c r="AB4238" s="1"/>
      <c r="AC4238" s="1"/>
      <c r="AD4238" s="1"/>
      <c r="AE4238" s="1"/>
      <c r="AF4238" s="1"/>
      <c r="AG4238" s="1"/>
      <c r="AH4238" s="1"/>
      <c r="AI4238" s="1"/>
      <c r="AJ4238" s="1"/>
      <c r="AK4238" s="1"/>
      <c r="AL4238" s="1"/>
      <c r="AM4238" s="1"/>
      <c r="AN4238" s="1"/>
      <c r="AO4238" s="1"/>
      <c r="AP4238" s="1"/>
      <c r="AQ4238" s="1"/>
      <c r="AR4238" s="1"/>
      <c r="AS4238" s="1"/>
      <c r="AT4238" s="1"/>
      <c r="AU4238" s="1"/>
      <c r="AV4238" s="1"/>
      <c r="AW4238" s="1"/>
      <c r="AX4238" s="1"/>
      <c r="AY4238" s="1"/>
      <c r="AZ4238" s="1"/>
      <c r="BA4238" s="1"/>
      <c r="BB4238" s="1"/>
    </row>
    <row r="4239" ht="204.75" customHeight="1">
      <c r="A4239" s="1">
        <v>4382.0</v>
      </c>
      <c r="B4239" s="2" t="s">
        <v>12421</v>
      </c>
      <c r="C4239" s="2">
        <f>IFERROR(__xludf.DUMMYFUNCTION("split(B4239,""_"")"),1104.0)</f>
        <v>1104</v>
      </c>
      <c r="D4239" s="2" t="str">
        <f>IFERROR(__xludf.DUMMYFUNCTION("""COMPUTED_VALUE"""),"NTV")</f>
        <v>NTV</v>
      </c>
      <c r="E4239" s="2" t="str">
        <f>IFERROR(__xludf.DUMMYFUNCTION("""COMPUTED_VALUE"""),"水22")</f>
        <v>水22</v>
      </c>
      <c r="F4239" s="2" t="s">
        <v>12422</v>
      </c>
      <c r="G4239" s="2" t="s">
        <v>12437</v>
      </c>
      <c r="H4239" s="1">
        <v>8.0</v>
      </c>
      <c r="I4239" s="1" t="s">
        <v>2896</v>
      </c>
      <c r="J4239" s="1" t="s">
        <v>86</v>
      </c>
      <c r="K4239" s="2" t="s">
        <v>12438</v>
      </c>
      <c r="L4239" s="2"/>
      <c r="M4239" s="2" t="str">
        <f>IFERROR(__xludf.DUMMYFUNCTION("split(split(K4239,""【演出"",false),""ほか"",false)"),"相武紗季、速水もこみち、栗山千明、勝地涼、西山茉希  半海一晃、伊藤かずえ、石塚英彦、若村麻由美　")</f>
        <v>相武紗季、速水もこみち、栗山千明、勝地涼、西山茉希  半海一晃、伊藤かずえ、石塚英彦、若村麻由美　</v>
      </c>
      <c r="N4239" s="2" t="str">
        <f>IFERROR(__xludf.DUMMYFUNCTION("""COMPUTED_VALUE"""),"太一(速水もこみち)と瞳(栗山千明)、大切な人をいっぺんに失った信子(相武紗季)。全方位外交をやめて自分を変えようと決意する信子だったが、無理をする事で余計に自分を失っていく。その頃、エデンでは蘭(若村麻由美)が上司と衝突し辞表を出そうとしていた。蘭を止める為に太一の力を借りようとする信子だったが、一方アンジュでは瞳が太一に自分の素直な気持ちを伝えようとしていた・・・。南雲聖一、石尾純遊川和彦池頼広")</f>
        <v>太一(速水もこみち)と瞳(栗山千明)、大切な人をいっぺんに失った信子(相武紗季)。全方位外交をやめて自分を変えようと決意する信子だったが、無理をする事で余計に自分を失っていく。その頃、エデンでは蘭(若村麻由美)が上司と衝突し辞表を出そうとしていた。蘭を止める為に太一の力を借りようとする信子だったが、一方アンジュでは瞳が太一に自分の素直な気持ちを伝えようとしていた・・・。南雲聖一、石尾純遊川和彦池頼広</v>
      </c>
      <c r="O4239" s="2"/>
      <c r="P4239" s="1"/>
      <c r="Q4239" s="1"/>
      <c r="R4239" s="1"/>
      <c r="S4239" s="1"/>
      <c r="T4239" s="1"/>
      <c r="U4239" s="1"/>
      <c r="V4239" s="1"/>
      <c r="W4239" s="1"/>
      <c r="X4239" s="1"/>
      <c r="Y4239" s="1"/>
      <c r="Z4239" s="1"/>
      <c r="AA4239" s="1"/>
      <c r="AB4239" s="1"/>
      <c r="AC4239" s="1"/>
      <c r="AD4239" s="1"/>
      <c r="AE4239" s="1"/>
      <c r="AF4239" s="1"/>
      <c r="AG4239" s="1"/>
      <c r="AH4239" s="1"/>
      <c r="AI4239" s="1"/>
      <c r="AJ4239" s="1"/>
      <c r="AK4239" s="1"/>
      <c r="AL4239" s="1"/>
      <c r="AM4239" s="1"/>
      <c r="AN4239" s="1"/>
      <c r="AO4239" s="1"/>
      <c r="AP4239" s="1"/>
      <c r="AQ4239" s="1"/>
      <c r="AR4239" s="1"/>
      <c r="AS4239" s="1"/>
      <c r="AT4239" s="1"/>
      <c r="AU4239" s="1"/>
      <c r="AV4239" s="1"/>
      <c r="AW4239" s="1"/>
      <c r="AX4239" s="1"/>
      <c r="AY4239" s="1"/>
      <c r="AZ4239" s="1"/>
      <c r="BA4239" s="1"/>
      <c r="BB4239" s="1"/>
    </row>
    <row r="4240" ht="204.75" customHeight="1">
      <c r="A4240" s="1">
        <v>4383.0</v>
      </c>
      <c r="B4240" s="2" t="s">
        <v>12421</v>
      </c>
      <c r="C4240" s="2">
        <f>IFERROR(__xludf.DUMMYFUNCTION("split(B4240,""_"")"),1104.0)</f>
        <v>1104</v>
      </c>
      <c r="D4240" s="2" t="str">
        <f>IFERROR(__xludf.DUMMYFUNCTION("""COMPUTED_VALUE"""),"NTV")</f>
        <v>NTV</v>
      </c>
      <c r="E4240" s="2" t="str">
        <f>IFERROR(__xludf.DUMMYFUNCTION("""COMPUTED_VALUE"""),"水22")</f>
        <v>水22</v>
      </c>
      <c r="F4240" s="2" t="s">
        <v>12422</v>
      </c>
      <c r="G4240" s="2" t="s">
        <v>12439</v>
      </c>
      <c r="H4240" s="1">
        <v>9.0</v>
      </c>
      <c r="I4240" s="1" t="s">
        <v>2900</v>
      </c>
      <c r="J4240" s="1" t="s">
        <v>86</v>
      </c>
      <c r="K4240" s="2" t="s">
        <v>12440</v>
      </c>
      <c r="L4240" s="2"/>
      <c r="M4240" s="2" t="str">
        <f>IFERROR(__xludf.DUMMYFUNCTION("split(split(K4240,""【演出"",false),""ほか"",false)"),"相武紗季、速水もこみち、栗山千明、勝地涼、西山茉希  半海一晃、伊藤かずえ、石塚英彦、若村麻由美　")</f>
        <v>相武紗季、速水もこみち、栗山千明、勝地涼、西山茉希  半海一晃、伊藤かずえ、石塚英彦、若村麻由美　</v>
      </c>
      <c r="N4240" s="2" t="str">
        <f>IFERROR(__xludf.DUMMYFUNCTION("""COMPUTED_VALUE"""),"信子(相武紗季)の父・睦己(石塚英彦)が倒れた。父親とトントン亭の大切さを改めて感じた信子はエデンを辞めてトンカツ屋を継ごうかと真剣に考え始める。そんな中、研作は「自分がトンカツ屋を継ぐから」と信子にプロポーズ。一方、太一(速水もこみち)と瞳(栗山千明)の仲も次第に深まっていく。果たして信子は、「エデン」と「トントン亭」どちらを選ぶのか!?そして、本当に信子と太一は別れてしまうのか!?石尾純遊川和彦池頼広5年D組")</f>
        <v>信子(相武紗季)の父・睦己(石塚英彦)が倒れた。父親とトントン亭の大切さを改めて感じた信子はエデンを辞めてトンカツ屋を継ごうかと真剣に考え始める。そんな中、研作は「自分がトンカツ屋を継ぐから」と信子にプロポーズ。一方、太一(速水もこみち)と瞳(栗山千明)の仲も次第に深まっていく。果たして信子は、「エデン」と「トントン亭」どちらを選ぶのか!?そして、本当に信子と太一は別れてしまうのか!?石尾純遊川和彦池頼広5年D組</v>
      </c>
      <c r="O4240" s="2"/>
      <c r="P4240" s="1"/>
      <c r="Q4240" s="1"/>
      <c r="R4240" s="1"/>
      <c r="S4240" s="1"/>
      <c r="T4240" s="1"/>
      <c r="U4240" s="1"/>
      <c r="V4240" s="1"/>
      <c r="W4240" s="1"/>
      <c r="X4240" s="1"/>
      <c r="Y4240" s="1"/>
      <c r="Z4240" s="1"/>
      <c r="AA4240" s="1"/>
      <c r="AB4240" s="1"/>
      <c r="AC4240" s="1"/>
      <c r="AD4240" s="1"/>
      <c r="AE4240" s="1"/>
      <c r="AF4240" s="1"/>
      <c r="AG4240" s="1"/>
      <c r="AH4240" s="1"/>
      <c r="AI4240" s="1"/>
      <c r="AJ4240" s="1"/>
      <c r="AK4240" s="1"/>
      <c r="AL4240" s="1"/>
      <c r="AM4240" s="1"/>
      <c r="AN4240" s="1"/>
      <c r="AO4240" s="1"/>
      <c r="AP4240" s="1"/>
      <c r="AQ4240" s="1"/>
      <c r="AR4240" s="1"/>
      <c r="AS4240" s="1"/>
      <c r="AT4240" s="1"/>
      <c r="AU4240" s="1"/>
      <c r="AV4240" s="1"/>
      <c r="AW4240" s="1"/>
      <c r="AX4240" s="1"/>
      <c r="AY4240" s="1"/>
      <c r="AZ4240" s="1"/>
      <c r="BA4240" s="1"/>
      <c r="BB4240" s="1"/>
    </row>
    <row r="4241" ht="204.75" customHeight="1">
      <c r="A4241" s="1">
        <v>4384.0</v>
      </c>
      <c r="B4241" s="2" t="s">
        <v>12421</v>
      </c>
      <c r="C4241" s="2">
        <f>IFERROR(__xludf.DUMMYFUNCTION("split(B4241,""_"")"),1104.0)</f>
        <v>1104</v>
      </c>
      <c r="D4241" s="2" t="str">
        <f>IFERROR(__xludf.DUMMYFUNCTION("""COMPUTED_VALUE"""),"NTV")</f>
        <v>NTV</v>
      </c>
      <c r="E4241" s="2" t="str">
        <f>IFERROR(__xludf.DUMMYFUNCTION("""COMPUTED_VALUE"""),"水22")</f>
        <v>水22</v>
      </c>
      <c r="F4241" s="2" t="s">
        <v>12422</v>
      </c>
      <c r="G4241" s="2" t="s">
        <v>12441</v>
      </c>
      <c r="H4241" s="1">
        <v>10.0</v>
      </c>
      <c r="I4241" s="1" t="s">
        <v>37</v>
      </c>
      <c r="J4241" s="1" t="s">
        <v>86</v>
      </c>
      <c r="K4241" s="2" t="s">
        <v>12442</v>
      </c>
      <c r="L4241" s="2"/>
      <c r="M4241" s="2" t="str">
        <f>IFERROR(__xludf.DUMMYFUNCTION("split(split(K4241,""【演出"",false),""ほか"",false)"),"相武紗季、速水もこみち、栗山千明、勝地涼、西山茉希  半海一晃、伊藤かずえ、石塚英彦、若村麻由美　")</f>
        <v>相武紗季、速水もこみち、栗山千明、勝地涼、西山茉希  半海一晃、伊藤かずえ、石塚英彦、若村麻由美　</v>
      </c>
      <c r="N4241" s="2" t="str">
        <f>IFERROR(__xludf.DUMMYFUNCTION("""COMPUTED_VALUE"""),"「トントン亭」を継ぐ為に帰った信子(相武紗季)を追って、なんと研作(勝地涼)がやって来る。父の厳しいトンカツ修行に苦しむ信子だったが、研作が支えとなり、次第に信子は研作との結婚を考え始める。ある日、信子の新連載を望む蘭が信子を無理矢理アンジュに取材に連れて行く。太一(速水もこみち)との再会に強い想いを再確認したが、お互いの運命を変える事はできない。そして信子は研作にある想いを伝える事を決心する。南雲聖一遊川和彦池頼広5年D組")</f>
        <v>「トントン亭」を継ぐ為に帰った信子(相武紗季)を追って、なんと研作(勝地涼)がやって来る。父の厳しいトンカツ修行に苦しむ信子だったが、研作が支えとなり、次第に信子は研作との結婚を考え始める。ある日、信子の新連載を望む蘭が信子を無理矢理アンジュに取材に連れて行く。太一(速水もこみち)との再会に強い想いを再確認したが、お互いの運命を変える事はできない。そして信子は研作にある想いを伝える事を決心する。南雲聖一遊川和彦池頼広5年D組</v>
      </c>
      <c r="O4241" s="2"/>
      <c r="P4241" s="1"/>
      <c r="Q4241" s="1"/>
      <c r="R4241" s="1"/>
      <c r="S4241" s="1"/>
      <c r="T4241" s="1"/>
      <c r="U4241" s="1"/>
      <c r="V4241" s="1"/>
      <c r="W4241" s="1"/>
      <c r="X4241" s="1"/>
      <c r="Y4241" s="1"/>
      <c r="Z4241" s="1"/>
      <c r="AA4241" s="1"/>
      <c r="AB4241" s="1"/>
      <c r="AC4241" s="1"/>
      <c r="AD4241" s="1"/>
      <c r="AE4241" s="1"/>
      <c r="AF4241" s="1"/>
      <c r="AG4241" s="1"/>
      <c r="AH4241" s="1"/>
      <c r="AI4241" s="1"/>
      <c r="AJ4241" s="1"/>
      <c r="AK4241" s="1"/>
      <c r="AL4241" s="1"/>
      <c r="AM4241" s="1"/>
      <c r="AN4241" s="1"/>
      <c r="AO4241" s="1"/>
      <c r="AP4241" s="1"/>
      <c r="AQ4241" s="1"/>
      <c r="AR4241" s="1"/>
      <c r="AS4241" s="1"/>
      <c r="AT4241" s="1"/>
      <c r="AU4241" s="1"/>
      <c r="AV4241" s="1"/>
      <c r="AW4241" s="1"/>
      <c r="AX4241" s="1"/>
      <c r="AY4241" s="1"/>
      <c r="AZ4241" s="1"/>
      <c r="BA4241" s="1"/>
      <c r="BB4241" s="1"/>
    </row>
    <row r="4242" ht="204.75" customHeight="1">
      <c r="A4242" s="1">
        <v>4415.0</v>
      </c>
      <c r="B4242" s="2" t="s">
        <v>12443</v>
      </c>
      <c r="C4242" s="2">
        <f>IFERROR(__xludf.DUMMYFUNCTION("split(B4242,""_"")"),1104.0)</f>
        <v>1104</v>
      </c>
      <c r="D4242" s="2" t="str">
        <f>IFERROR(__xludf.DUMMYFUNCTION("""COMPUTED_VALUE"""),"NTV")</f>
        <v>NTV</v>
      </c>
      <c r="E4242" s="2" t="str">
        <f>IFERROR(__xludf.DUMMYFUNCTION("""COMPUTED_VALUE"""),"土21")</f>
        <v>土21</v>
      </c>
      <c r="F4242" s="2" t="s">
        <v>12444</v>
      </c>
      <c r="G4242" s="2" t="s">
        <v>12445</v>
      </c>
      <c r="H4242" s="1">
        <v>1.0</v>
      </c>
      <c r="I4242" s="1" t="s">
        <v>2868</v>
      </c>
      <c r="J4242" s="1" t="s">
        <v>4</v>
      </c>
      <c r="K4242" s="2" t="s">
        <v>12446</v>
      </c>
      <c r="L4242" s="2"/>
      <c r="M4242" s="2" t="str">
        <f>IFERROR(__xludf.DUMMYFUNCTION("split(split(K4242,""【演出"",false),""ほか"",false)"),"松岡昌宏、吹石一恵、神木隆之介、川島海荷、  平田満、金田明夫、柴本幸、河西健司、  板谷由夏、原田芳雄(特別出演)、伊藤英明　")</f>
        <v>松岡昌宏、吹石一恵、神木隆之介、川島海荷、  平田満、金田明夫、柴本幸、河西健司、  板谷由夏、原田芳雄(特別出演)、伊藤英明　</v>
      </c>
      <c r="N4242" s="2" t="str">
        <f>IFERROR(__xludf.DUMMYFUNCTION("""COMPUTED_VALUE"""),"元板前・村木新吾(松岡昌宏)は幼馴染の町役場職員・岸野宏(伊藤英明)に頼まれ母校の臨時教師として“高校生レストラン”の開店を手掛けることに。しかし文化祭ノリの部員たちを叱りつけ半分に減らしてしまう。そんな中、坂本陽介(神木隆之介)は新吾についてくことを決め、陽介の幼馴染・米本真衣(川島海荷)を含め残った部員らも徐々に新吾を信頼し始める。しかし、新吾と部員たちの間に亀裂が入る出来事が起きてしまい…吉野洋【原案】「高校生レストラン、本日も満席。」「高校生レストラン、行列の理由。」  村林新吾　著　　伊勢新聞社"&amp;"　刊  【脚本】吉本昌弘【音楽】服部隆之  【主題歌】「見上げた流星」TOKIO(ジェイ・ストーム)【シニアチーフクリエイター】櫨山裕子  【プロデューサー】荻野哲弘、内山雅博")</f>
        <v>元板前・村木新吾(松岡昌宏)は幼馴染の町役場職員・岸野宏(伊藤英明)に頼まれ母校の臨時教師として“高校生レストラン”の開店を手掛けることに。しかし文化祭ノリの部員たちを叱りつけ半分に減らしてしまう。そんな中、坂本陽介(神木隆之介)は新吾についてくことを決め、陽介の幼馴染・米本真衣(川島海荷)を含め残った部員らも徐々に新吾を信頼し始める。しかし、新吾と部員たちの間に亀裂が入る出来事が起きてしまい…吉野洋【原案】「高校生レストラン、本日も満席。」「高校生レストラン、行列の理由。」  村林新吾　著　　伊勢新聞社　刊  【脚本】吉本昌弘【音楽】服部隆之  【主題歌】「見上げた流星」TOKIO(ジェイ・ストーム)【シニアチーフクリエイター】櫨山裕子  【プロデューサー】荻野哲弘、内山雅博</v>
      </c>
      <c r="O4242" s="2"/>
      <c r="P4242" s="1"/>
      <c r="Q4242" s="1"/>
      <c r="R4242" s="1"/>
      <c r="S4242" s="1"/>
      <c r="T4242" s="1"/>
      <c r="U4242" s="1"/>
      <c r="V4242" s="1"/>
      <c r="W4242" s="1"/>
      <c r="X4242" s="1"/>
      <c r="Y4242" s="1"/>
      <c r="Z4242" s="1"/>
      <c r="AA4242" s="1"/>
      <c r="AB4242" s="1"/>
      <c r="AC4242" s="1"/>
      <c r="AD4242" s="1"/>
      <c r="AE4242" s="1"/>
      <c r="AF4242" s="1"/>
      <c r="AG4242" s="1"/>
      <c r="AH4242" s="1"/>
      <c r="AI4242" s="1"/>
      <c r="AJ4242" s="1"/>
      <c r="AK4242" s="1"/>
      <c r="AL4242" s="1"/>
      <c r="AM4242" s="1"/>
      <c r="AN4242" s="1"/>
      <c r="AO4242" s="1"/>
      <c r="AP4242" s="1"/>
      <c r="AQ4242" s="1"/>
      <c r="AR4242" s="1"/>
      <c r="AS4242" s="1"/>
      <c r="AT4242" s="1"/>
      <c r="AU4242" s="1"/>
      <c r="AV4242" s="1"/>
      <c r="AW4242" s="1"/>
      <c r="AX4242" s="1"/>
      <c r="AY4242" s="1"/>
      <c r="AZ4242" s="1"/>
      <c r="BA4242" s="1"/>
      <c r="BB4242" s="1"/>
    </row>
    <row r="4243" ht="204.75" customHeight="1">
      <c r="A4243" s="1">
        <v>4416.0</v>
      </c>
      <c r="B4243" s="2" t="s">
        <v>12443</v>
      </c>
      <c r="C4243" s="2">
        <f>IFERROR(__xludf.DUMMYFUNCTION("split(B4243,""_"")"),1104.0)</f>
        <v>1104</v>
      </c>
      <c r="D4243" s="2" t="str">
        <f>IFERROR(__xludf.DUMMYFUNCTION("""COMPUTED_VALUE"""),"NTV")</f>
        <v>NTV</v>
      </c>
      <c r="E4243" s="2" t="str">
        <f>IFERROR(__xludf.DUMMYFUNCTION("""COMPUTED_VALUE"""),"土21")</f>
        <v>土21</v>
      </c>
      <c r="F4243" s="2" t="s">
        <v>12444</v>
      </c>
      <c r="G4243" s="2" t="s">
        <v>12447</v>
      </c>
      <c r="H4243" s="1">
        <v>2.0</v>
      </c>
      <c r="I4243" s="1" t="s">
        <v>2872</v>
      </c>
      <c r="J4243" s="1" t="s">
        <v>11</v>
      </c>
      <c r="K4243" s="2" t="s">
        <v>12448</v>
      </c>
      <c r="L4243" s="2"/>
      <c r="M4243" s="2" t="str">
        <f>IFERROR(__xludf.DUMMYFUNCTION("split(split(K4243,""【演出"",false),""ほか"",false)"),"松岡昌宏、吹石一恵、神木隆之介、川島海荷  平田満、金田明夫、柴本幸、河西健司、高橋克実、  板谷由夏、原田芳雄(特別出演)、伊藤英明　")</f>
        <v>松岡昌宏、吹石一恵、神木隆之介、川島海荷  平田満、金田明夫、柴本幸、河西健司、高橋克実、  板谷由夏、原田芳雄(特別出演)、伊藤英明　</v>
      </c>
      <c r="N4243" s="2" t="str">
        <f>IFERROR(__xludf.DUMMYFUNCTION("""COMPUTED_VALUE"""),"新吾(松岡昌宏)の指導に不満を抱く生徒がまた2人部を去り、部員が16人になってしまう。さらに新吾は町役場・戸倉(金田明夫)から「高校生御膳」二百食をレストランで出すよう言われる。不可能だと怒る新吾だがレストランは税金でまかなわれ、赤字は許されない。しかも開店まで2週間…絶望的な状況の中、新吾が働いていた料亭のオーナー・風間(高橋克実)が姿を見せ、新吾に「戻ってこい」と言う。吉野洋【原案】「高校生レストラン、本日も満席。」「高校生レストラン、行列の理由。」  村林新吾　著　　伊勢新聞社　刊  【脚本】吉本昌"&amp;"弘【音楽】服部隆之  【主題歌】「見上げた流星」TOKIO(ジェイ・ストーム)【シニアチーフクリエイター】櫨山裕子  【プロデューサー】荻野哲弘、内山雅博")</f>
        <v>新吾(松岡昌宏)の指導に不満を抱く生徒がまた2人部を去り、部員が16人になってしまう。さらに新吾は町役場・戸倉(金田明夫)から「高校生御膳」二百食をレストランで出すよう言われる。不可能だと怒る新吾だがレストランは税金でまかなわれ、赤字は許されない。しかも開店まで2週間…絶望的な状況の中、新吾が働いていた料亭のオーナー・風間(高橋克実)が姿を見せ、新吾に「戻ってこい」と言う。吉野洋【原案】「高校生レストラン、本日も満席。」「高校生レストラン、行列の理由。」  村林新吾　著　　伊勢新聞社　刊  【脚本】吉本昌弘【音楽】服部隆之  【主題歌】「見上げた流星」TOKIO(ジェイ・ストーム)【シニアチーフクリエイター】櫨山裕子  【プロデューサー】荻野哲弘、内山雅博</v>
      </c>
      <c r="O4243" s="2"/>
      <c r="P4243" s="1"/>
      <c r="Q4243" s="1"/>
      <c r="R4243" s="1"/>
      <c r="S4243" s="1"/>
      <c r="T4243" s="1"/>
      <c r="U4243" s="1"/>
      <c r="V4243" s="1"/>
      <c r="W4243" s="1"/>
      <c r="X4243" s="1"/>
      <c r="Y4243" s="1"/>
      <c r="Z4243" s="1"/>
      <c r="AA4243" s="1"/>
      <c r="AB4243" s="1"/>
      <c r="AC4243" s="1"/>
      <c r="AD4243" s="1"/>
      <c r="AE4243" s="1"/>
      <c r="AF4243" s="1"/>
      <c r="AG4243" s="1"/>
      <c r="AH4243" s="1"/>
      <c r="AI4243" s="1"/>
      <c r="AJ4243" s="1"/>
      <c r="AK4243" s="1"/>
      <c r="AL4243" s="1"/>
      <c r="AM4243" s="1"/>
      <c r="AN4243" s="1"/>
      <c r="AO4243" s="1"/>
      <c r="AP4243" s="1"/>
      <c r="AQ4243" s="1"/>
      <c r="AR4243" s="1"/>
      <c r="AS4243" s="1"/>
      <c r="AT4243" s="1"/>
      <c r="AU4243" s="1"/>
      <c r="AV4243" s="1"/>
      <c r="AW4243" s="1"/>
      <c r="AX4243" s="1"/>
      <c r="AY4243" s="1"/>
      <c r="AZ4243" s="1"/>
      <c r="BA4243" s="1"/>
      <c r="BB4243" s="1"/>
    </row>
    <row r="4244" ht="204.75" customHeight="1">
      <c r="A4244" s="1">
        <v>4417.0</v>
      </c>
      <c r="B4244" s="2" t="s">
        <v>12443</v>
      </c>
      <c r="C4244" s="2">
        <f>IFERROR(__xludf.DUMMYFUNCTION("split(B4244,""_"")"),1104.0)</f>
        <v>1104</v>
      </c>
      <c r="D4244" s="2" t="str">
        <f>IFERROR(__xludf.DUMMYFUNCTION("""COMPUTED_VALUE"""),"NTV")</f>
        <v>NTV</v>
      </c>
      <c r="E4244" s="2" t="str">
        <f>IFERROR(__xludf.DUMMYFUNCTION("""COMPUTED_VALUE"""),"土21")</f>
        <v>土21</v>
      </c>
      <c r="F4244" s="2" t="s">
        <v>12444</v>
      </c>
      <c r="G4244" s="2" t="s">
        <v>12449</v>
      </c>
      <c r="H4244" s="1">
        <v>3.0</v>
      </c>
      <c r="I4244" s="1" t="s">
        <v>2876</v>
      </c>
      <c r="J4244" s="1" t="s">
        <v>11</v>
      </c>
      <c r="K4244" s="2" t="s">
        <v>12450</v>
      </c>
      <c r="L4244" s="2"/>
      <c r="M4244" s="2" t="str">
        <f>IFERROR(__xludf.DUMMYFUNCTION("split(split(K4244,""【演出"",false),""ほか"",false)"),"松岡昌宏、吹石一恵、神木隆之介、川島海荷  平田満、金田明夫、柴本幸、河西健司、  板谷由夏、原田芳雄(特別出演)、伊藤英明　")</f>
        <v>松岡昌宏、吹石一恵、神木隆之介、川島海荷  平田満、金田明夫、柴本幸、河西健司、  板谷由夏、原田芳雄(特別出演)、伊藤英明　</v>
      </c>
      <c r="N4244" s="2" t="str">
        <f>IFERROR(__xludf.DUMMYFUNCTION("""COMPUTED_VALUE"""),"レストランの開店が1週間後に迫り、新聞やテレビに取り上げられるようになった。しかし新吾(松岡昌宏)は取材に浮かれる生徒たちに檄を飛ばし、開店に間に合わせようと必死に指導を続ける。遂に開店当日、大挙して入ってくる客に緊張する部員たちは失敗を重ねていき・・・猪股隆一【原案】「高校生レストラン、本日も満席。」「高校生レストラン、行列の理由。」  村林新吾　著　　伊勢新聞社　刊  【脚本】山崎淳也【音楽】服部隆之  【主題歌】「見上げた流星」TOKIO(ジェイ・ストーム)【シニアチーフクリエイター】櫨山裕子  【"&amp;"プロデューサー】荻野哲弘、内山雅博")</f>
        <v>レストランの開店が1週間後に迫り、新聞やテレビに取り上げられるようになった。しかし新吾(松岡昌宏)は取材に浮かれる生徒たちに檄を飛ばし、開店に間に合わせようと必死に指導を続ける。遂に開店当日、大挙して入ってくる客に緊張する部員たちは失敗を重ねていき・・・猪股隆一【原案】「高校生レストラン、本日も満席。」「高校生レストラン、行列の理由。」  村林新吾　著　　伊勢新聞社　刊  【脚本】山崎淳也【音楽】服部隆之  【主題歌】「見上げた流星」TOKIO(ジェイ・ストーム)【シニアチーフクリエイター】櫨山裕子  【プロデューサー】荻野哲弘、内山雅博</v>
      </c>
      <c r="O4244" s="2"/>
      <c r="P4244" s="1"/>
      <c r="Q4244" s="1"/>
      <c r="R4244" s="1"/>
      <c r="S4244" s="1"/>
      <c r="T4244" s="1"/>
      <c r="U4244" s="1"/>
      <c r="V4244" s="1"/>
      <c r="W4244" s="1"/>
      <c r="X4244" s="1"/>
      <c r="Y4244" s="1"/>
      <c r="Z4244" s="1"/>
      <c r="AA4244" s="1"/>
      <c r="AB4244" s="1"/>
      <c r="AC4244" s="1"/>
      <c r="AD4244" s="1"/>
      <c r="AE4244" s="1"/>
      <c r="AF4244" s="1"/>
      <c r="AG4244" s="1"/>
      <c r="AH4244" s="1"/>
      <c r="AI4244" s="1"/>
      <c r="AJ4244" s="1"/>
      <c r="AK4244" s="1"/>
      <c r="AL4244" s="1"/>
      <c r="AM4244" s="1"/>
      <c r="AN4244" s="1"/>
      <c r="AO4244" s="1"/>
      <c r="AP4244" s="1"/>
      <c r="AQ4244" s="1"/>
      <c r="AR4244" s="1"/>
      <c r="AS4244" s="1"/>
      <c r="AT4244" s="1"/>
      <c r="AU4244" s="1"/>
      <c r="AV4244" s="1"/>
      <c r="AW4244" s="1"/>
      <c r="AX4244" s="1"/>
      <c r="AY4244" s="1"/>
      <c r="AZ4244" s="1"/>
      <c r="BA4244" s="1"/>
      <c r="BB4244" s="1"/>
    </row>
    <row r="4245" ht="204.75" customHeight="1">
      <c r="A4245" s="1">
        <v>4418.0</v>
      </c>
      <c r="B4245" s="2" t="s">
        <v>12443</v>
      </c>
      <c r="C4245" s="2">
        <f>IFERROR(__xludf.DUMMYFUNCTION("split(B4245,""_"")"),1104.0)</f>
        <v>1104</v>
      </c>
      <c r="D4245" s="2" t="str">
        <f>IFERROR(__xludf.DUMMYFUNCTION("""COMPUTED_VALUE"""),"NTV")</f>
        <v>NTV</v>
      </c>
      <c r="E4245" s="2" t="str">
        <f>IFERROR(__xludf.DUMMYFUNCTION("""COMPUTED_VALUE"""),"土21")</f>
        <v>土21</v>
      </c>
      <c r="F4245" s="2" t="s">
        <v>12444</v>
      </c>
      <c r="G4245" s="2" t="s">
        <v>12451</v>
      </c>
      <c r="H4245" s="1">
        <v>4.0</v>
      </c>
      <c r="I4245" s="1" t="s">
        <v>2880</v>
      </c>
      <c r="J4245" s="1" t="s">
        <v>11</v>
      </c>
      <c r="K4245" s="2" t="s">
        <v>12452</v>
      </c>
      <c r="L4245" s="2"/>
      <c r="M4245" s="2" t="str">
        <f>IFERROR(__xludf.DUMMYFUNCTION("split(split(K4245,""【演出"",false),""ほか"",false)"),"松岡昌宏、吹石一恵、神木隆之介、川島海荷、  平田満、金田明夫、柴本幸、河西健司、織本順吉、  板谷由夏、原田芳雄(特別出演)、伊藤英明　")</f>
        <v>松岡昌宏、吹石一恵、神木隆之介、川島海荷、  平田満、金田明夫、柴本幸、河西健司、織本順吉、  板谷由夏、原田芳雄(特別出演)、伊藤英明　</v>
      </c>
      <c r="N4245" s="2" t="str">
        <f>IFERROR(__xludf.DUMMYFUNCTION("""COMPUTED_VALUE"""),"  ようやく開店し、軌道に乗りかけたと思ったとき「花御膳を食べて食中毒になった」と一人の老人(織本順吉)が訴える。ーー新吾(松岡昌宏)をはじめ一同、騒然とする。あんなに衛生管理をしたのに…。そこには岸野(伊藤英明)が描く「町おこし」の理念が生んだ矛盾がひそんでいたーー。佐久間紀佳【原案】「高校生レストラン、本日も満席。」「高校生レストラン、行列の理由。」  村林新吾　著　　伊勢新聞社　刊  【脚本】吉本昌宏【音楽】服部隆之  【主題歌】「見上げた流星」TOKIO(ジェイ・ストーム)【シニアチーフクリエイタ"&amp;"ー】櫨山裕子  【プロデューサー】荻野哲弘、内山雅博")</f>
        <v>  ようやく開店し、軌道に乗りかけたと思ったとき「花御膳を食べて食中毒になった」と一人の老人(織本順吉)が訴える。ーー新吾(松岡昌宏)をはじめ一同、騒然とする。あんなに衛生管理をしたのに…。そこには岸野(伊藤英明)が描く「町おこし」の理念が生んだ矛盾がひそんでいたーー。佐久間紀佳【原案】「高校生レストラン、本日も満席。」「高校生レストラン、行列の理由。」  村林新吾　著　　伊勢新聞社　刊  【脚本】吉本昌宏【音楽】服部隆之  【主題歌】「見上げた流星」TOKIO(ジェイ・ストーム)【シニアチーフクリエイター】櫨山裕子  【プロデューサー】荻野哲弘、内山雅博</v>
      </c>
      <c r="O4245" s="2"/>
      <c r="P4245" s="1"/>
      <c r="Q4245" s="1"/>
      <c r="R4245" s="1"/>
      <c r="S4245" s="1"/>
      <c r="T4245" s="1"/>
      <c r="U4245" s="1"/>
      <c r="V4245" s="1"/>
      <c r="W4245" s="1"/>
      <c r="X4245" s="1"/>
      <c r="Y4245" s="1"/>
      <c r="Z4245" s="1"/>
      <c r="AA4245" s="1"/>
      <c r="AB4245" s="1"/>
      <c r="AC4245" s="1"/>
      <c r="AD4245" s="1"/>
      <c r="AE4245" s="1"/>
      <c r="AF4245" s="1"/>
      <c r="AG4245" s="1"/>
      <c r="AH4245" s="1"/>
      <c r="AI4245" s="1"/>
      <c r="AJ4245" s="1"/>
      <c r="AK4245" s="1"/>
      <c r="AL4245" s="1"/>
      <c r="AM4245" s="1"/>
      <c r="AN4245" s="1"/>
      <c r="AO4245" s="1"/>
      <c r="AP4245" s="1"/>
      <c r="AQ4245" s="1"/>
      <c r="AR4245" s="1"/>
      <c r="AS4245" s="1"/>
      <c r="AT4245" s="1"/>
      <c r="AU4245" s="1"/>
      <c r="AV4245" s="1"/>
      <c r="AW4245" s="1"/>
      <c r="AX4245" s="1"/>
      <c r="AY4245" s="1"/>
      <c r="AZ4245" s="1"/>
      <c r="BA4245" s="1"/>
      <c r="BB4245" s="1"/>
    </row>
    <row r="4246" ht="204.75" customHeight="1">
      <c r="A4246" s="1">
        <v>4419.0</v>
      </c>
      <c r="B4246" s="2" t="s">
        <v>12443</v>
      </c>
      <c r="C4246" s="2">
        <f>IFERROR(__xludf.DUMMYFUNCTION("split(B4246,""_"")"),1104.0)</f>
        <v>1104</v>
      </c>
      <c r="D4246" s="2" t="str">
        <f>IFERROR(__xludf.DUMMYFUNCTION("""COMPUTED_VALUE"""),"NTV")</f>
        <v>NTV</v>
      </c>
      <c r="E4246" s="2" t="str">
        <f>IFERROR(__xludf.DUMMYFUNCTION("""COMPUTED_VALUE"""),"土21")</f>
        <v>土21</v>
      </c>
      <c r="F4246" s="2" t="s">
        <v>12444</v>
      </c>
      <c r="G4246" s="2" t="s">
        <v>12453</v>
      </c>
      <c r="H4246" s="1">
        <v>5.0</v>
      </c>
      <c r="I4246" s="1" t="s">
        <v>2884</v>
      </c>
      <c r="J4246" s="1" t="s">
        <v>11</v>
      </c>
      <c r="K4246" s="2" t="s">
        <v>12454</v>
      </c>
      <c r="L4246" s="2"/>
      <c r="M4246" s="2" t="str">
        <f>IFERROR(__xludf.DUMMYFUNCTION("split(split(K4246,""【演出"",false),""ほか"",false)"),"松岡昌宏、吹石一恵、神木隆之介、川島海荷  平田満、金田明夫、柴本幸、河西健司  板谷由夏、伊藤英明　")</f>
        <v>松岡昌宏、吹石一恵、神木隆之介、川島海荷  平田満、金田明夫、柴本幸、河西健司  板谷由夏、伊藤英明　</v>
      </c>
      <c r="N4246" s="2" t="str">
        <f>IFERROR(__xludf.DUMMYFUNCTION("""COMPUTED_VALUE"""),"評判を聞き視察団がくることに。だが視察前日は学校遠足、当日はレストラン休日で、生徒はいない。そんな中、新吾(松岡昌宏)は一人で20人前の料理を作ると言い出す。しかも和食のコース料理を…。新吾の熱意に岸野(伊藤英明)と遥(吹石一恵)も手伝いを申し出る。さらに遠足に行ったはずの陽介(神木隆之介)がレストランに現れ?!吉野洋【原案】「高校生レストラン、本日も満席。」「高校生レストラン、行列の理由。」  村林新吾　著　　伊勢新聞社　刊  【脚本】吉本昌宏【音楽】服部隆之  【主題歌】「見上げた流星」TOKIO(ジ"&amp;"ェイ・ストーム)【シニアチーフクリエイター】櫨山裕子  【プロデューサー】荻野哲弘、内山雅博")</f>
        <v>評判を聞き視察団がくることに。だが視察前日は学校遠足、当日はレストラン休日で、生徒はいない。そんな中、新吾(松岡昌宏)は一人で20人前の料理を作ると言い出す。しかも和食のコース料理を…。新吾の熱意に岸野(伊藤英明)と遥(吹石一恵)も手伝いを申し出る。さらに遠足に行ったはずの陽介(神木隆之介)がレストランに現れ?!吉野洋【原案】「高校生レストラン、本日も満席。」「高校生レストラン、行列の理由。」  村林新吾　著　　伊勢新聞社　刊  【脚本】吉本昌宏【音楽】服部隆之  【主題歌】「見上げた流星」TOKIO(ジェイ・ストーム)【シニアチーフクリエイター】櫨山裕子  【プロデューサー】荻野哲弘、内山雅博</v>
      </c>
      <c r="O4246" s="2"/>
      <c r="P4246" s="1"/>
      <c r="Q4246" s="1"/>
      <c r="R4246" s="1"/>
      <c r="S4246" s="1"/>
      <c r="T4246" s="1"/>
      <c r="U4246" s="1"/>
      <c r="V4246" s="1"/>
      <c r="W4246" s="1"/>
      <c r="X4246" s="1"/>
      <c r="Y4246" s="1"/>
      <c r="Z4246" s="1"/>
      <c r="AA4246" s="1"/>
      <c r="AB4246" s="1"/>
      <c r="AC4246" s="1"/>
      <c r="AD4246" s="1"/>
      <c r="AE4246" s="1"/>
      <c r="AF4246" s="1"/>
      <c r="AG4246" s="1"/>
      <c r="AH4246" s="1"/>
      <c r="AI4246" s="1"/>
      <c r="AJ4246" s="1"/>
      <c r="AK4246" s="1"/>
      <c r="AL4246" s="1"/>
      <c r="AM4246" s="1"/>
      <c r="AN4246" s="1"/>
      <c r="AO4246" s="1"/>
      <c r="AP4246" s="1"/>
      <c r="AQ4246" s="1"/>
      <c r="AR4246" s="1"/>
      <c r="AS4246" s="1"/>
      <c r="AT4246" s="1"/>
      <c r="AU4246" s="1"/>
      <c r="AV4246" s="1"/>
      <c r="AW4246" s="1"/>
      <c r="AX4246" s="1"/>
      <c r="AY4246" s="1"/>
      <c r="AZ4246" s="1"/>
      <c r="BA4246" s="1"/>
      <c r="BB4246" s="1"/>
    </row>
    <row r="4247" ht="204.75" customHeight="1">
      <c r="A4247" s="1">
        <v>4420.0</v>
      </c>
      <c r="B4247" s="2" t="s">
        <v>12443</v>
      </c>
      <c r="C4247" s="2">
        <f>IFERROR(__xludf.DUMMYFUNCTION("split(B4247,""_"")"),1104.0)</f>
        <v>1104</v>
      </c>
      <c r="D4247" s="2" t="str">
        <f>IFERROR(__xludf.DUMMYFUNCTION("""COMPUTED_VALUE"""),"NTV")</f>
        <v>NTV</v>
      </c>
      <c r="E4247" s="2" t="str">
        <f>IFERROR(__xludf.DUMMYFUNCTION("""COMPUTED_VALUE"""),"土21")</f>
        <v>土21</v>
      </c>
      <c r="F4247" s="2" t="s">
        <v>12444</v>
      </c>
      <c r="G4247" s="2" t="s">
        <v>12455</v>
      </c>
      <c r="H4247" s="1">
        <v>6.0</v>
      </c>
      <c r="I4247" s="1" t="s">
        <v>2888</v>
      </c>
      <c r="J4247" s="1" t="s">
        <v>11</v>
      </c>
      <c r="K4247" s="2" t="s">
        <v>12456</v>
      </c>
      <c r="L4247" s="2"/>
      <c r="M4247" s="2" t="str">
        <f>IFERROR(__xludf.DUMMYFUNCTION("split(split(K4247,""【演出"",false),""ほか"",false)"),"松岡昌宏、吹石一恵、神木隆之介、川島海荷  金田明夫、柴本幸、西村雅彦  板谷由夏、伊藤英明　")</f>
        <v>松岡昌宏、吹石一恵、神木隆之介、川島海荷  金田明夫、柴本幸、西村雅彦  板谷由夏、伊藤英明　</v>
      </c>
      <c r="N4247" s="2" t="str">
        <f>IFERROR(__xludf.DUMMYFUNCTION("""COMPUTED_VALUE"""),"  新吾(松岡昌宏)は陽介(神木隆之介)、真衣(川島海荷)をホール担当に変更し、さらに他生徒にも配置換えを指示。それは生徒全員に平等のチャンスを与える為だったのだが、一同戸惑いを隠せない。そんな中、真衣がレストランを無断欠席!?そしてレストラン営業日、配置換えの試みは成功するのか?さらに生徒へ、真衣へ、新吾の想いは通じるのか…猪股隆一【原案】「高校生レストラン、本日も満席。」「高校生レストラン、行列の理由。」  村林新吾　著　　伊勢新聞社　刊  【脚本】根本ノンジ【音楽】服部隆之  【主題歌】「見上げた流"&amp;"星」TOKIO(ジェイ・ストーム)【シニアチーフクリエイター】櫨山裕子  【プロデューサー】荻野哲弘、内山雅博")</f>
        <v>  新吾(松岡昌宏)は陽介(神木隆之介)、真衣(川島海荷)をホール担当に変更し、さらに他生徒にも配置換えを指示。それは生徒全員に平等のチャンスを与える為だったのだが、一同戸惑いを隠せない。そんな中、真衣がレストランを無断欠席!?そしてレストラン営業日、配置換えの試みは成功するのか?さらに生徒へ、真衣へ、新吾の想いは通じるのか…猪股隆一【原案】「高校生レストラン、本日も満席。」「高校生レストラン、行列の理由。」  村林新吾　著　　伊勢新聞社　刊  【脚本】根本ノンジ【音楽】服部隆之  【主題歌】「見上げた流星」TOKIO(ジェイ・ストーム)【シニアチーフクリエイター】櫨山裕子  【プロデューサー】荻野哲弘、内山雅博</v>
      </c>
      <c r="O4247" s="2"/>
      <c r="P4247" s="1"/>
      <c r="Q4247" s="1"/>
      <c r="R4247" s="1"/>
      <c r="S4247" s="1"/>
      <c r="T4247" s="1"/>
      <c r="U4247" s="1"/>
      <c r="V4247" s="1"/>
      <c r="W4247" s="1"/>
      <c r="X4247" s="1"/>
      <c r="Y4247" s="1"/>
      <c r="Z4247" s="1"/>
      <c r="AA4247" s="1"/>
      <c r="AB4247" s="1"/>
      <c r="AC4247" s="1"/>
      <c r="AD4247" s="1"/>
      <c r="AE4247" s="1"/>
      <c r="AF4247" s="1"/>
      <c r="AG4247" s="1"/>
      <c r="AH4247" s="1"/>
      <c r="AI4247" s="1"/>
      <c r="AJ4247" s="1"/>
      <c r="AK4247" s="1"/>
      <c r="AL4247" s="1"/>
      <c r="AM4247" s="1"/>
      <c r="AN4247" s="1"/>
      <c r="AO4247" s="1"/>
      <c r="AP4247" s="1"/>
      <c r="AQ4247" s="1"/>
      <c r="AR4247" s="1"/>
      <c r="AS4247" s="1"/>
      <c r="AT4247" s="1"/>
      <c r="AU4247" s="1"/>
      <c r="AV4247" s="1"/>
      <c r="AW4247" s="1"/>
      <c r="AX4247" s="1"/>
      <c r="AY4247" s="1"/>
      <c r="AZ4247" s="1"/>
      <c r="BA4247" s="1"/>
      <c r="BB4247" s="1"/>
    </row>
    <row r="4248" ht="204.75" customHeight="1">
      <c r="A4248" s="1">
        <v>4421.0</v>
      </c>
      <c r="B4248" s="2" t="s">
        <v>12443</v>
      </c>
      <c r="C4248" s="2">
        <f>IFERROR(__xludf.DUMMYFUNCTION("split(B4248,""_"")"),1104.0)</f>
        <v>1104</v>
      </c>
      <c r="D4248" s="2" t="str">
        <f>IFERROR(__xludf.DUMMYFUNCTION("""COMPUTED_VALUE"""),"NTV")</f>
        <v>NTV</v>
      </c>
      <c r="E4248" s="2" t="str">
        <f>IFERROR(__xludf.DUMMYFUNCTION("""COMPUTED_VALUE"""),"土21")</f>
        <v>土21</v>
      </c>
      <c r="F4248" s="2" t="s">
        <v>12444</v>
      </c>
      <c r="G4248" s="2" t="s">
        <v>12457</v>
      </c>
      <c r="H4248" s="1">
        <v>7.0</v>
      </c>
      <c r="I4248" s="1" t="s">
        <v>2892</v>
      </c>
      <c r="J4248" s="1" t="s">
        <v>11</v>
      </c>
      <c r="K4248" s="2" t="s">
        <v>12458</v>
      </c>
      <c r="L4248" s="2"/>
      <c r="M4248" s="2" t="str">
        <f>IFERROR(__xludf.DUMMYFUNCTION("split(split(K4248,""【演出"",false),""ほか"",false)"),"松岡昌宏、吹石一恵、神木隆之介、川島海荷、  平田満、金田明夫、柴本幸、河西健司、  板谷由夏、原田芳雄(特別出演)、伊藤英明　")</f>
        <v>松岡昌宏、吹石一恵、神木隆之介、川島海荷、  平田満、金田明夫、柴本幸、河西健司、  板谷由夏、原田芳雄(特別出演)、伊藤英明　</v>
      </c>
      <c r="N4248" s="2" t="str">
        <f>IFERROR(__xludf.DUMMYFUNCTION("""COMPUTED_VALUE"""),"コンクール出場をかけて調理クラブ内で選考会が開催される!しかし、就活が迫っている3年生はそれぞれ様々な悩みを抱えているーー。そんな中、定俊(原田芳雄)が置手紙だけ残し……。さらに文香(板谷由夏)の過去がついに明かされ……。選考会当日、15名の部員がコンクール出場をかけ、真剣勝負を繰り広げる。そして、アッと驚くようなアイデア料理が次々登場!果たして、誰の料理が選ばれるのか!?吉野洋【原案】「高校生レストラン、本日も満席。」「高校生レストラン、行列の理由。」  村林新吾　著　　伊勢新聞社　刊  【脚本】吉本昌"&amp;"宏【音楽】服部隆之  【主題歌】「見上げた流星」TOKIO(ジェイ・ストーム)【シニアチーフクリエイター】櫨山裕子  【プロデューサー】荻野哲弘、内山雅博")</f>
        <v>コンクール出場をかけて調理クラブ内で選考会が開催される!しかし、就活が迫っている3年生はそれぞれ様々な悩みを抱えているーー。そんな中、定俊(原田芳雄)が置手紙だけ残し……。さらに文香(板谷由夏)の過去がついに明かされ……。選考会当日、15名の部員がコンクール出場をかけ、真剣勝負を繰り広げる。そして、アッと驚くようなアイデア料理が次々登場!果たして、誰の料理が選ばれるのか!?吉野洋【原案】「高校生レストラン、本日も満席。」「高校生レストラン、行列の理由。」  村林新吾　著　　伊勢新聞社　刊  【脚本】吉本昌宏【音楽】服部隆之  【主題歌】「見上げた流星」TOKIO(ジェイ・ストーム)【シニアチーフクリエイター】櫨山裕子  【プロデューサー】荻野哲弘、内山雅博</v>
      </c>
      <c r="O4248" s="2"/>
      <c r="P4248" s="1"/>
      <c r="Q4248" s="1"/>
      <c r="R4248" s="1"/>
      <c r="S4248" s="1"/>
      <c r="T4248" s="1"/>
      <c r="U4248" s="1"/>
      <c r="V4248" s="1"/>
      <c r="W4248" s="1"/>
      <c r="X4248" s="1"/>
      <c r="Y4248" s="1"/>
      <c r="Z4248" s="1"/>
      <c r="AA4248" s="1"/>
      <c r="AB4248" s="1"/>
      <c r="AC4248" s="1"/>
      <c r="AD4248" s="1"/>
      <c r="AE4248" s="1"/>
      <c r="AF4248" s="1"/>
      <c r="AG4248" s="1"/>
      <c r="AH4248" s="1"/>
      <c r="AI4248" s="1"/>
      <c r="AJ4248" s="1"/>
      <c r="AK4248" s="1"/>
      <c r="AL4248" s="1"/>
      <c r="AM4248" s="1"/>
      <c r="AN4248" s="1"/>
      <c r="AO4248" s="1"/>
      <c r="AP4248" s="1"/>
      <c r="AQ4248" s="1"/>
      <c r="AR4248" s="1"/>
      <c r="AS4248" s="1"/>
      <c r="AT4248" s="1"/>
      <c r="AU4248" s="1"/>
      <c r="AV4248" s="1"/>
      <c r="AW4248" s="1"/>
      <c r="AX4248" s="1"/>
      <c r="AY4248" s="1"/>
      <c r="AZ4248" s="1"/>
      <c r="BA4248" s="1"/>
      <c r="BB4248" s="1"/>
    </row>
    <row r="4249" ht="204.75" customHeight="1">
      <c r="A4249" s="1">
        <v>4422.0</v>
      </c>
      <c r="B4249" s="2" t="s">
        <v>12443</v>
      </c>
      <c r="C4249" s="2">
        <f>IFERROR(__xludf.DUMMYFUNCTION("split(B4249,""_"")"),1104.0)</f>
        <v>1104</v>
      </c>
      <c r="D4249" s="2" t="str">
        <f>IFERROR(__xludf.DUMMYFUNCTION("""COMPUTED_VALUE"""),"NTV")</f>
        <v>NTV</v>
      </c>
      <c r="E4249" s="2" t="str">
        <f>IFERROR(__xludf.DUMMYFUNCTION("""COMPUTED_VALUE"""),"土21")</f>
        <v>土21</v>
      </c>
      <c r="F4249" s="2" t="s">
        <v>12444</v>
      </c>
      <c r="G4249" s="2" t="s">
        <v>12459</v>
      </c>
      <c r="H4249" s="1">
        <v>8.0</v>
      </c>
      <c r="I4249" s="1" t="s">
        <v>2896</v>
      </c>
      <c r="J4249" s="1" t="s">
        <v>11</v>
      </c>
      <c r="K4249" s="2" t="s">
        <v>12460</v>
      </c>
      <c r="L4249" s="2"/>
      <c r="M4249" s="2" t="str">
        <f>IFERROR(__xludf.DUMMYFUNCTION("split(split(K4249,""【演出"",false),""ほか"",false)"),"松岡昌宏、吹石一恵、神木隆之介、川島海荷、  平田満、金田明夫、柴本幸、河西健司、  板谷由夏、伊藤英明　")</f>
        <v>松岡昌宏、吹石一恵、神木隆之介、川島海荷、  平田満、金田明夫、柴本幸、河西健司、  板谷由夏、伊藤英明　</v>
      </c>
      <c r="N4249" s="2" t="str">
        <f>IFERROR(__xludf.DUMMYFUNCTION("""COMPUTED_VALUE"""),"就活の季節を迎え、新吾(松岡昌宏)は生徒たちの進路希望に目を通す。すると「鉄工所」「事務職」などの調理師以外の仕事を希望する生徒が数人いた。全員が調理師希望だと思っていた新吾は、生徒たちが現実と真剣に向き合い、将来を考えていることに驚く。そんな中、新吾(松岡昌宏)は高熱を出して倒れてしまう。果たして陽介(神木隆之介)たちは新吾不在で無事にレストランを開店させられるのか!?猪股隆一【原案】「高校生レストラン、本日も満席。」「高校生レストラン、行列の理由。」  村林新吾　著　　伊勢新聞社　刊  【脚本】吉本昌"&amp;"宏【音楽】服部隆之  【主題歌】「見上げた流星」TOKIO(ジェイ・ストーム)【シニアチーフクリエイター】櫨山裕子  【プロデューサー】荻野哲弘、内山雅博")</f>
        <v>就活の季節を迎え、新吾(松岡昌宏)は生徒たちの進路希望に目を通す。すると「鉄工所」「事務職」などの調理師以外の仕事を希望する生徒が数人いた。全員が調理師希望だと思っていた新吾は、生徒たちが現実と真剣に向き合い、将来を考えていることに驚く。そんな中、新吾(松岡昌宏)は高熱を出して倒れてしまう。果たして陽介(神木隆之介)たちは新吾不在で無事にレストランを開店させられるのか!?猪股隆一【原案】「高校生レストラン、本日も満席。」「高校生レストラン、行列の理由。」  村林新吾　著　　伊勢新聞社　刊  【脚本】吉本昌宏【音楽】服部隆之  【主題歌】「見上げた流星」TOKIO(ジェイ・ストーム)【シニアチーフクリエイター】櫨山裕子  【プロデューサー】荻野哲弘、内山雅博</v>
      </c>
      <c r="O4249" s="2"/>
      <c r="P4249" s="1"/>
      <c r="Q4249" s="1"/>
      <c r="R4249" s="1"/>
      <c r="S4249" s="1"/>
      <c r="T4249" s="1"/>
      <c r="U4249" s="1"/>
      <c r="V4249" s="1"/>
      <c r="W4249" s="1"/>
      <c r="X4249" s="1"/>
      <c r="Y4249" s="1"/>
      <c r="Z4249" s="1"/>
      <c r="AA4249" s="1"/>
      <c r="AB4249" s="1"/>
      <c r="AC4249" s="1"/>
      <c r="AD4249" s="1"/>
      <c r="AE4249" s="1"/>
      <c r="AF4249" s="1"/>
      <c r="AG4249" s="1"/>
      <c r="AH4249" s="1"/>
      <c r="AI4249" s="1"/>
      <c r="AJ4249" s="1"/>
      <c r="AK4249" s="1"/>
      <c r="AL4249" s="1"/>
      <c r="AM4249" s="1"/>
      <c r="AN4249" s="1"/>
      <c r="AO4249" s="1"/>
      <c r="AP4249" s="1"/>
      <c r="AQ4249" s="1"/>
      <c r="AR4249" s="1"/>
      <c r="AS4249" s="1"/>
      <c r="AT4249" s="1"/>
      <c r="AU4249" s="1"/>
      <c r="AV4249" s="1"/>
      <c r="AW4249" s="1"/>
      <c r="AX4249" s="1"/>
      <c r="AY4249" s="1"/>
      <c r="AZ4249" s="1"/>
      <c r="BA4249" s="1"/>
      <c r="BB4249" s="1"/>
    </row>
    <row r="4250" ht="204.75" customHeight="1">
      <c r="A4250" s="1">
        <v>4490.0</v>
      </c>
      <c r="B4250" s="2" t="s">
        <v>12461</v>
      </c>
      <c r="C4250" s="2">
        <f>IFERROR(__xludf.DUMMYFUNCTION("split(B4250,""_"")"),1101.0)</f>
        <v>1101</v>
      </c>
      <c r="D4250" s="2" t="str">
        <f>IFERROR(__xludf.DUMMYFUNCTION("""COMPUTED_VALUE"""),"NTV")</f>
        <v>NTV</v>
      </c>
      <c r="E4250" s="2" t="str">
        <f>IFERROR(__xludf.DUMMYFUNCTION("""COMPUTED_VALUE"""),"木23")</f>
        <v>木23</v>
      </c>
      <c r="F4250" s="2" t="s">
        <v>12462</v>
      </c>
      <c r="G4250" s="2" t="s">
        <v>12463</v>
      </c>
      <c r="H4250" s="1">
        <v>1.0</v>
      </c>
      <c r="J4250" s="1" t="s">
        <v>1435</v>
      </c>
      <c r="K4250" s="2" t="s">
        <v>12464</v>
      </c>
      <c r="L4250" s="2"/>
      <c r="M4250" s="2" t="str">
        <f>IFERROR(__xludf.DUMMYFUNCTION("split(split(K4250,""【演出"",false),""ほか"",false)"),"西野亮廣(キングコング)、忽那汐里、ゴリ(ガレッジセール)、倉科カナ、藤森慎吾(オリエンタルラジオ)、古手川祐子ストーカーやクレーマー、セクハラなど身近に起こるトラブルを解決する示談交渉人・白井虎次郎、通称「白虎」は、相手の深層心理を読み取り事件を解決する交渉のプロフェッショナル。フリーターの桜彩乃が持ち込んだ事件は、OLの里見愛子が何者からかのクレーム電話に悩まされているというもの。さっそくクレーマーからの電話を聞くが、相手はボイスチェンジャーを使っており、素性がばれないように巧妙に細工していたー。")</f>
        <v>西野亮廣(キングコング)、忽那汐里、ゴリ(ガレッジセール)、倉科カナ、藤森慎吾(オリエンタルラジオ)、古手川祐子ストーカーやクレーマー、セクハラなど身近に起こるトラブルを解決する示談交渉人・白井虎次郎、通称「白虎」は、相手の深層心理を読み取り事件を解決する交渉のプロフェッショナル。フリーターの桜彩乃が持ち込んだ事件は、OLの里見愛子が何者からかのクレーム電話に悩まされているというもの。さっそくクレーマーからの電話を聞くが、相手はボイスチェンジャーを使っており、素性がばれないように巧妙に細工していたー。</v>
      </c>
      <c r="N4250" s="2"/>
      <c r="O4250" s="2"/>
      <c r="P4250" s="1"/>
      <c r="Q4250" s="1"/>
      <c r="R4250" s="1"/>
      <c r="S4250" s="1"/>
      <c r="T4250" s="1"/>
      <c r="U4250" s="1"/>
      <c r="V4250" s="1"/>
      <c r="W4250" s="1"/>
      <c r="X4250" s="1"/>
      <c r="Y4250" s="1"/>
      <c r="Z4250" s="1"/>
      <c r="AA4250" s="1"/>
      <c r="AB4250" s="1"/>
      <c r="AC4250" s="1"/>
      <c r="AD4250" s="1"/>
      <c r="AE4250" s="1"/>
      <c r="AF4250" s="1"/>
      <c r="AG4250" s="1"/>
      <c r="AH4250" s="1"/>
      <c r="AI4250" s="1"/>
      <c r="AJ4250" s="1"/>
      <c r="AK4250" s="1"/>
      <c r="AL4250" s="1"/>
      <c r="AM4250" s="1"/>
      <c r="AN4250" s="1"/>
      <c r="AO4250" s="1"/>
      <c r="AP4250" s="1"/>
      <c r="AQ4250" s="1"/>
      <c r="AR4250" s="1"/>
      <c r="AS4250" s="1"/>
      <c r="AT4250" s="1"/>
      <c r="AU4250" s="1"/>
      <c r="AV4250" s="1"/>
      <c r="AW4250" s="1"/>
      <c r="AX4250" s="1"/>
      <c r="AY4250" s="1"/>
      <c r="AZ4250" s="1"/>
      <c r="BA4250" s="1"/>
      <c r="BB4250" s="1"/>
    </row>
    <row r="4251" ht="204.75" customHeight="1">
      <c r="A4251" s="1">
        <v>4491.0</v>
      </c>
      <c r="B4251" s="2" t="s">
        <v>12461</v>
      </c>
      <c r="C4251" s="2">
        <f>IFERROR(__xludf.DUMMYFUNCTION("split(B4251,""_"")"),1101.0)</f>
        <v>1101</v>
      </c>
      <c r="D4251" s="2" t="str">
        <f>IFERROR(__xludf.DUMMYFUNCTION("""COMPUTED_VALUE"""),"NTV")</f>
        <v>NTV</v>
      </c>
      <c r="E4251" s="2" t="str">
        <f>IFERROR(__xludf.DUMMYFUNCTION("""COMPUTED_VALUE"""),"木23")</f>
        <v>木23</v>
      </c>
      <c r="F4251" s="2" t="s">
        <v>12462</v>
      </c>
      <c r="G4251" s="2" t="s">
        <v>12465</v>
      </c>
      <c r="H4251" s="1">
        <v>2.0</v>
      </c>
      <c r="J4251" s="1" t="s">
        <v>1435</v>
      </c>
      <c r="K4251" s="2" t="s">
        <v>12466</v>
      </c>
      <c r="L4251" s="2"/>
      <c r="M4251" s="2" t="str">
        <f>IFERROR(__xludf.DUMMYFUNCTION("split(split(K4251,""【演出"",false),""ほか"",false)"),"西野亮廣(キングコング)、忽那汐里、ゴリ(ガレッジセール)  磯山さやか、ほっしゃん。ストーカーやセクハラなど身近に起こるトラブルを解決する示談交渉人の第2話。今回の依頼人は小さな会社に勤務するOLかおり(磯山さやか)。彼女は取引先の大手企業の社員桜田(ほっしゃん。)にコストダウンを迫られ、強烈なイジメに苦しんでいる。桜田はかおりをイジメることで性的興奮を覚え、それを楽しんでさえいるほど。かおりは彩乃を通じて白虎に交渉を依頼する。そんな折かおりをつけ狙う怪しいストーカーの影が迫る。")</f>
        <v>西野亮廣(キングコング)、忽那汐里、ゴリ(ガレッジセール)  磯山さやか、ほっしゃん。ストーカーやセクハラなど身近に起こるトラブルを解決する示談交渉人の第2話。今回の依頼人は小さな会社に勤務するOLかおり(磯山さやか)。彼女は取引先の大手企業の社員桜田(ほっしゃん。)にコストダウンを迫られ、強烈なイジメに苦しんでいる。桜田はかおりをイジメることで性的興奮を覚え、それを楽しんでさえいるほど。かおりは彩乃を通じて白虎に交渉を依頼する。そんな折かおりをつけ狙う怪しいストーカーの影が迫る。</v>
      </c>
      <c r="N4251" s="2"/>
      <c r="O4251" s="2"/>
      <c r="P4251" s="1"/>
      <c r="Q4251" s="1"/>
      <c r="R4251" s="1"/>
      <c r="S4251" s="1"/>
      <c r="T4251" s="1"/>
      <c r="U4251" s="1"/>
      <c r="V4251" s="1"/>
      <c r="W4251" s="1"/>
      <c r="X4251" s="1"/>
      <c r="Y4251" s="1"/>
      <c r="Z4251" s="1"/>
      <c r="AA4251" s="1"/>
      <c r="AB4251" s="1"/>
      <c r="AC4251" s="1"/>
      <c r="AD4251" s="1"/>
      <c r="AE4251" s="1"/>
      <c r="AF4251" s="1"/>
      <c r="AG4251" s="1"/>
      <c r="AH4251" s="1"/>
      <c r="AI4251" s="1"/>
      <c r="AJ4251" s="1"/>
      <c r="AK4251" s="1"/>
      <c r="AL4251" s="1"/>
      <c r="AM4251" s="1"/>
      <c r="AN4251" s="1"/>
      <c r="AO4251" s="1"/>
      <c r="AP4251" s="1"/>
      <c r="AQ4251" s="1"/>
      <c r="AR4251" s="1"/>
      <c r="AS4251" s="1"/>
      <c r="AT4251" s="1"/>
      <c r="AU4251" s="1"/>
      <c r="AV4251" s="1"/>
      <c r="AW4251" s="1"/>
      <c r="AX4251" s="1"/>
      <c r="AY4251" s="1"/>
      <c r="AZ4251" s="1"/>
      <c r="BA4251" s="1"/>
      <c r="BB4251" s="1"/>
    </row>
    <row r="4252" ht="204.75" customHeight="1">
      <c r="A4252" s="1">
        <v>4492.0</v>
      </c>
      <c r="B4252" s="2" t="s">
        <v>12461</v>
      </c>
      <c r="C4252" s="2">
        <f>IFERROR(__xludf.DUMMYFUNCTION("split(B4252,""_"")"),1101.0)</f>
        <v>1101</v>
      </c>
      <c r="D4252" s="2" t="str">
        <f>IFERROR(__xludf.DUMMYFUNCTION("""COMPUTED_VALUE"""),"NTV")</f>
        <v>NTV</v>
      </c>
      <c r="E4252" s="2" t="str">
        <f>IFERROR(__xludf.DUMMYFUNCTION("""COMPUTED_VALUE"""),"木23")</f>
        <v>木23</v>
      </c>
      <c r="F4252" s="2" t="s">
        <v>12462</v>
      </c>
      <c r="G4252" s="2" t="s">
        <v>12467</v>
      </c>
      <c r="H4252" s="1">
        <v>3.0</v>
      </c>
      <c r="J4252" s="1" t="s">
        <v>1435</v>
      </c>
      <c r="K4252" s="2" t="s">
        <v>12468</v>
      </c>
      <c r="L4252" s="2"/>
      <c r="M4252" s="2" t="str">
        <f>IFERROR(__xludf.DUMMYFUNCTION("split(split(K4252,""【演出"",false),""ほか"",false)"),"西野亮廣(キングコング)、忽那汐里、ゴリ(ガレッジセール)  吉田羊、松田洋昌(ハイキングウォーキング)ストーカーやセクハラなど身近に起こるトラブルを解決する示談交渉人の第3話。  今回の依頼人は証券会社に勤める営業マンの鈴木浩司(松田洋昌)。彼は、部長の山崎美波(吉田羊)に理不尽な残業をさせられたり、スープカレーを頭からかけたりと、陰湿なイジメにあっている。さっそく、彩乃(忽那汐里)が会社に潜入して調べるが、美波は優しい上司でパワハラが行われているようには見えない。白虎はまずは正攻法で迫るが…。")</f>
        <v>西野亮廣(キングコング)、忽那汐里、ゴリ(ガレッジセール)  吉田羊、松田洋昌(ハイキングウォーキング)ストーカーやセクハラなど身近に起こるトラブルを解決する示談交渉人の第3話。  今回の依頼人は証券会社に勤める営業マンの鈴木浩司(松田洋昌)。彼は、部長の山崎美波(吉田羊)に理不尽な残業をさせられたり、スープカレーを頭からかけたりと、陰湿なイジメにあっている。さっそく、彩乃(忽那汐里)が会社に潜入して調べるが、美波は優しい上司でパワハラが行われているようには見えない。白虎はまずは正攻法で迫るが…。</v>
      </c>
      <c r="N4252" s="2"/>
      <c r="O4252" s="2"/>
      <c r="P4252" s="1"/>
      <c r="Q4252" s="1"/>
      <c r="R4252" s="1"/>
      <c r="S4252" s="1"/>
      <c r="T4252" s="1"/>
      <c r="U4252" s="1"/>
      <c r="V4252" s="1"/>
      <c r="W4252" s="1"/>
      <c r="X4252" s="1"/>
      <c r="Y4252" s="1"/>
      <c r="Z4252" s="1"/>
      <c r="AA4252" s="1"/>
      <c r="AB4252" s="1"/>
      <c r="AC4252" s="1"/>
      <c r="AD4252" s="1"/>
      <c r="AE4252" s="1"/>
      <c r="AF4252" s="1"/>
      <c r="AG4252" s="1"/>
      <c r="AH4252" s="1"/>
      <c r="AI4252" s="1"/>
      <c r="AJ4252" s="1"/>
      <c r="AK4252" s="1"/>
      <c r="AL4252" s="1"/>
      <c r="AM4252" s="1"/>
      <c r="AN4252" s="1"/>
      <c r="AO4252" s="1"/>
      <c r="AP4252" s="1"/>
      <c r="AQ4252" s="1"/>
      <c r="AR4252" s="1"/>
      <c r="AS4252" s="1"/>
      <c r="AT4252" s="1"/>
      <c r="AU4252" s="1"/>
      <c r="AV4252" s="1"/>
      <c r="AW4252" s="1"/>
      <c r="AX4252" s="1"/>
      <c r="AY4252" s="1"/>
      <c r="AZ4252" s="1"/>
      <c r="BA4252" s="1"/>
      <c r="BB4252" s="1"/>
    </row>
    <row r="4253" ht="204.75" customHeight="1">
      <c r="A4253" s="1">
        <v>4493.0</v>
      </c>
      <c r="B4253" s="2" t="s">
        <v>12461</v>
      </c>
      <c r="C4253" s="2">
        <f>IFERROR(__xludf.DUMMYFUNCTION("split(B4253,""_"")"),1101.0)</f>
        <v>1101</v>
      </c>
      <c r="D4253" s="2" t="str">
        <f>IFERROR(__xludf.DUMMYFUNCTION("""COMPUTED_VALUE"""),"NTV")</f>
        <v>NTV</v>
      </c>
      <c r="E4253" s="2" t="str">
        <f>IFERROR(__xludf.DUMMYFUNCTION("""COMPUTED_VALUE"""),"木23")</f>
        <v>木23</v>
      </c>
      <c r="F4253" s="2" t="s">
        <v>12462</v>
      </c>
      <c r="G4253" s="2" t="s">
        <v>12469</v>
      </c>
      <c r="H4253" s="1">
        <v>4.0</v>
      </c>
      <c r="J4253" s="1" t="s">
        <v>1435</v>
      </c>
      <c r="K4253" s="2" t="s">
        <v>12470</v>
      </c>
      <c r="L4253" s="2"/>
      <c r="M4253" s="2" t="str">
        <f>IFERROR(__xludf.DUMMYFUNCTION("split(split(K4253,""【演出"",false),""ほか"",false)"),"西野亮廣(キングコング)、忽那汐里、ゴリ(ガレッジセール)  品川祐、馬渕英俚可ストーカーやセクハラなど身近に起こるトラブルを解決する示談交渉人の第4話。  今回の依頼人は、病弱な母親と二人暮らしのOL和美(馬渕英俚可)。彼女は、当たると評判の占い師(品川祐)の元へ行き、仕事や私生活の内容を言い当てられる。そして、このままでは災いが訪れると言われ、100万円の石を購入してしまう。しかし、その石は雑貨屋で売ってる100円の石だった!和美はお金を取り戻してもらうべく白虎に依頼する。")</f>
        <v>西野亮廣(キングコング)、忽那汐里、ゴリ(ガレッジセール)  品川祐、馬渕英俚可ストーカーやセクハラなど身近に起こるトラブルを解決する示談交渉人の第4話。  今回の依頼人は、病弱な母親と二人暮らしのOL和美(馬渕英俚可)。彼女は、当たると評判の占い師(品川祐)の元へ行き、仕事や私生活の内容を言い当てられる。そして、このままでは災いが訪れると言われ、100万円の石を購入してしまう。しかし、その石は雑貨屋で売ってる100円の石だった!和美はお金を取り戻してもらうべく白虎に依頼する。</v>
      </c>
      <c r="N4253" s="2"/>
      <c r="O4253" s="2"/>
      <c r="P4253" s="1"/>
      <c r="Q4253" s="1"/>
      <c r="R4253" s="1"/>
      <c r="S4253" s="1"/>
      <c r="T4253" s="1"/>
      <c r="U4253" s="1"/>
      <c r="V4253" s="1"/>
      <c r="W4253" s="1"/>
      <c r="X4253" s="1"/>
      <c r="Y4253" s="1"/>
      <c r="Z4253" s="1"/>
      <c r="AA4253" s="1"/>
      <c r="AB4253" s="1"/>
      <c r="AC4253" s="1"/>
      <c r="AD4253" s="1"/>
      <c r="AE4253" s="1"/>
      <c r="AF4253" s="1"/>
      <c r="AG4253" s="1"/>
      <c r="AH4253" s="1"/>
      <c r="AI4253" s="1"/>
      <c r="AJ4253" s="1"/>
      <c r="AK4253" s="1"/>
      <c r="AL4253" s="1"/>
      <c r="AM4253" s="1"/>
      <c r="AN4253" s="1"/>
      <c r="AO4253" s="1"/>
      <c r="AP4253" s="1"/>
      <c r="AQ4253" s="1"/>
      <c r="AR4253" s="1"/>
      <c r="AS4253" s="1"/>
      <c r="AT4253" s="1"/>
      <c r="AU4253" s="1"/>
      <c r="AV4253" s="1"/>
      <c r="AW4253" s="1"/>
      <c r="AX4253" s="1"/>
      <c r="AY4253" s="1"/>
      <c r="AZ4253" s="1"/>
      <c r="BA4253" s="1"/>
      <c r="BB4253" s="1"/>
    </row>
    <row r="4254" ht="204.75" customHeight="1">
      <c r="A4254" s="1">
        <v>4494.0</v>
      </c>
      <c r="B4254" s="2" t="s">
        <v>12461</v>
      </c>
      <c r="C4254" s="2">
        <f>IFERROR(__xludf.DUMMYFUNCTION("split(B4254,""_"")"),1101.0)</f>
        <v>1101</v>
      </c>
      <c r="D4254" s="2" t="str">
        <f>IFERROR(__xludf.DUMMYFUNCTION("""COMPUTED_VALUE"""),"NTV")</f>
        <v>NTV</v>
      </c>
      <c r="E4254" s="2" t="str">
        <f>IFERROR(__xludf.DUMMYFUNCTION("""COMPUTED_VALUE"""),"木23")</f>
        <v>木23</v>
      </c>
      <c r="F4254" s="2" t="s">
        <v>12462</v>
      </c>
      <c r="G4254" s="2" t="s">
        <v>12471</v>
      </c>
      <c r="H4254" s="1">
        <v>5.0</v>
      </c>
      <c r="J4254" s="1" t="s">
        <v>1435</v>
      </c>
      <c r="K4254" s="2" t="s">
        <v>12472</v>
      </c>
      <c r="L4254" s="2"/>
      <c r="M4254" s="2" t="str">
        <f>IFERROR(__xludf.DUMMYFUNCTION("split(split(K4254,""【演出"",false),""ほか"",false)"),"西野亮廣(キングコング)、忽那汐里、ゴリ(ガレッジセール)  上原美佐、木村祐一身近に起こるトラブルを解決する示談交渉人=ゴタ消しの第5話。  今回の依頼は、ナンバーワンキャバクラ嬢の実花(上原美佐)が、病弱の息子のためにお店をやめようとして、店長から辞めるなら客とキスしている写真をばら撒くぞ、と脅される事件。依頼を受けた白虎は、彩乃をキャバクラ嬢としてお店に潜入させる。そして彩乃は、実花を指名する客に、怪しげな男がいることを突き止めるのだが…。")</f>
        <v>西野亮廣(キングコング)、忽那汐里、ゴリ(ガレッジセール)  上原美佐、木村祐一身近に起こるトラブルを解決する示談交渉人=ゴタ消しの第5話。  今回の依頼は、ナンバーワンキャバクラ嬢の実花(上原美佐)が、病弱の息子のためにお店をやめようとして、店長から辞めるなら客とキスしている写真をばら撒くぞ、と脅される事件。依頼を受けた白虎は、彩乃をキャバクラ嬢としてお店に潜入させる。そして彩乃は、実花を指名する客に、怪しげな男がいることを突き止めるのだが…。</v>
      </c>
      <c r="N4254" s="2"/>
      <c r="O4254" s="2"/>
      <c r="P4254" s="1"/>
      <c r="Q4254" s="1"/>
      <c r="R4254" s="1"/>
      <c r="S4254" s="1"/>
      <c r="T4254" s="1"/>
      <c r="U4254" s="1"/>
      <c r="V4254" s="1"/>
      <c r="W4254" s="1"/>
      <c r="X4254" s="1"/>
      <c r="Y4254" s="1"/>
      <c r="Z4254" s="1"/>
      <c r="AA4254" s="1"/>
      <c r="AB4254" s="1"/>
      <c r="AC4254" s="1"/>
      <c r="AD4254" s="1"/>
      <c r="AE4254" s="1"/>
      <c r="AF4254" s="1"/>
      <c r="AG4254" s="1"/>
      <c r="AH4254" s="1"/>
      <c r="AI4254" s="1"/>
      <c r="AJ4254" s="1"/>
      <c r="AK4254" s="1"/>
      <c r="AL4254" s="1"/>
      <c r="AM4254" s="1"/>
      <c r="AN4254" s="1"/>
      <c r="AO4254" s="1"/>
      <c r="AP4254" s="1"/>
      <c r="AQ4254" s="1"/>
      <c r="AR4254" s="1"/>
      <c r="AS4254" s="1"/>
      <c r="AT4254" s="1"/>
      <c r="AU4254" s="1"/>
      <c r="AV4254" s="1"/>
      <c r="AW4254" s="1"/>
      <c r="AX4254" s="1"/>
      <c r="AY4254" s="1"/>
      <c r="AZ4254" s="1"/>
      <c r="BA4254" s="1"/>
      <c r="BB4254" s="1"/>
    </row>
    <row r="4255" ht="204.75" customHeight="1">
      <c r="A4255" s="1">
        <v>4521.0</v>
      </c>
      <c r="B4255" s="2" t="s">
        <v>12473</v>
      </c>
      <c r="C4255" s="2">
        <f>IFERROR(__xludf.DUMMYFUNCTION("split(B4255,""_"")"),1101.0)</f>
        <v>1101</v>
      </c>
      <c r="D4255" s="2" t="str">
        <f>IFERROR(__xludf.DUMMYFUNCTION("""COMPUTED_VALUE"""),"NTV")</f>
        <v>NTV</v>
      </c>
      <c r="E4255" s="2" t="str">
        <f>IFERROR(__xludf.DUMMYFUNCTION("""COMPUTED_VALUE"""),"土21")</f>
        <v>土21</v>
      </c>
      <c r="F4255" s="2" t="s">
        <v>12474</v>
      </c>
      <c r="G4255" s="2" t="s">
        <v>12475</v>
      </c>
      <c r="H4255" s="1">
        <v>1.0</v>
      </c>
      <c r="I4255" s="1" t="s">
        <v>2868</v>
      </c>
      <c r="J4255" s="1" t="s">
        <v>4</v>
      </c>
      <c r="K4255" s="2" t="s">
        <v>12476</v>
      </c>
      <c r="L4255" s="2"/>
      <c r="M4255" s="2" t="str">
        <f>IFERROR(__xludf.DUMMYFUNCTION("split(split(K4255,""【演出"",false),""ほか"",false)"),"多部未華子、沢村一樹、手越祐也、升毅、大倉孝二、水上剣星、渡辺直美、石塚英彦、田口トモロヲ、吹越満、佐野史郎、伊東四朗　")</f>
        <v>多部未華子、沢村一樹、手越祐也、升毅、大倉孝二、水上剣星、渡辺直美、石塚英彦、田口トモロヲ、吹越満、佐野史郎、伊東四朗　</v>
      </c>
      <c r="N4255" s="2" t="str">
        <f>IFERROR(__xludf.DUMMYFUNCTION("""COMPUTED_VALUE"""),"都心のビルとビルの狭間に、転落死体が発見された。警視庁捜査一課13係が現場に急行。頼もしい刑事たちに混じって一人フリフリ衣裳を身にまとった女の子が!?彼女こそ、13係のお荷物・花村一子刑事(多部)だった。現場で誰にも相手にされない一子、しかし彼女には特殊な能力があった。それは犬並みの嗅覚だった!!中島悟伴一彦【音楽】小西康陽  【主題歌】『愛と星』まきちゃんぐ(VAP)")</f>
        <v>都心のビルとビルの狭間に、転落死体が発見された。警視庁捜査一課13係が現場に急行。頼もしい刑事たちに混じって一人フリフリ衣裳を身にまとった女の子が!?彼女こそ、13係のお荷物・花村一子刑事(多部)だった。現場で誰にも相手にされない一子、しかし彼女には特殊な能力があった。それは犬並みの嗅覚だった!!中島悟伴一彦【音楽】小西康陽  【主題歌】『愛と星』まきちゃんぐ(VAP)</v>
      </c>
      <c r="O4255" s="2"/>
      <c r="P4255" s="1"/>
      <c r="Q4255" s="1"/>
      <c r="R4255" s="1"/>
      <c r="S4255" s="1"/>
      <c r="T4255" s="1"/>
      <c r="U4255" s="1"/>
      <c r="V4255" s="1"/>
      <c r="W4255" s="1"/>
      <c r="X4255" s="1"/>
      <c r="Y4255" s="1"/>
      <c r="Z4255" s="1"/>
      <c r="AA4255" s="1"/>
      <c r="AB4255" s="1"/>
      <c r="AC4255" s="1"/>
      <c r="AD4255" s="1"/>
      <c r="AE4255" s="1"/>
      <c r="AF4255" s="1"/>
      <c r="AG4255" s="1"/>
      <c r="AH4255" s="1"/>
      <c r="AI4255" s="1"/>
      <c r="AJ4255" s="1"/>
      <c r="AK4255" s="1"/>
      <c r="AL4255" s="1"/>
      <c r="AM4255" s="1"/>
      <c r="AN4255" s="1"/>
      <c r="AO4255" s="1"/>
      <c r="AP4255" s="1"/>
      <c r="AQ4255" s="1"/>
      <c r="AR4255" s="1"/>
      <c r="AS4255" s="1"/>
      <c r="AT4255" s="1"/>
      <c r="AU4255" s="1"/>
      <c r="AV4255" s="1"/>
      <c r="AW4255" s="1"/>
      <c r="AX4255" s="1"/>
      <c r="AY4255" s="1"/>
      <c r="AZ4255" s="1"/>
      <c r="BA4255" s="1"/>
      <c r="BB4255" s="1"/>
    </row>
    <row r="4256" ht="204.75" customHeight="1">
      <c r="A4256" s="1">
        <v>4522.0</v>
      </c>
      <c r="B4256" s="2" t="s">
        <v>12473</v>
      </c>
      <c r="C4256" s="2">
        <f>IFERROR(__xludf.DUMMYFUNCTION("split(B4256,""_"")"),1101.0)</f>
        <v>1101</v>
      </c>
      <c r="D4256" s="2" t="str">
        <f>IFERROR(__xludf.DUMMYFUNCTION("""COMPUTED_VALUE"""),"NTV")</f>
        <v>NTV</v>
      </c>
      <c r="E4256" s="2" t="str">
        <f>IFERROR(__xludf.DUMMYFUNCTION("""COMPUTED_VALUE"""),"土21")</f>
        <v>土21</v>
      </c>
      <c r="F4256" s="2" t="s">
        <v>12474</v>
      </c>
      <c r="G4256" s="2" t="s">
        <v>12477</v>
      </c>
      <c r="H4256" s="1">
        <v>2.0</v>
      </c>
      <c r="I4256" s="1" t="s">
        <v>2872</v>
      </c>
      <c r="J4256" s="1" t="s">
        <v>11</v>
      </c>
      <c r="K4256" s="2" t="s">
        <v>12478</v>
      </c>
      <c r="L4256" s="2"/>
      <c r="M4256" s="2" t="str">
        <f>IFERROR(__xludf.DUMMYFUNCTION("split(split(K4256,""【演出"",false),""ほか"",false)"),"多部未華子、沢村一樹、手越祐也、升毅、田口トモロヲ、大倉孝二、水上剣星、今井和子、上田耕一、渡辺直美、水橋研二、フィートス・オブ・セイントフジJr.、竹重とろ、篠塚勝、原史奈、岸博之、石塚英彦、吹越満、酒元信行、青木勁都、春日香音、佐野史郎、伊東四朗　")</f>
        <v>多部未華子、沢村一樹、手越祐也、升毅、田口トモロヲ、大倉孝二、水上剣星、今井和子、上田耕一、渡辺直美、水橋研二、フィートス・オブ・セイントフジJr.、竹重とろ、篠塚勝、原史奈、岸博之、石塚英彦、吹越満、酒元信行、青木勁都、春日香音、佐野史郎、伊東四朗　</v>
      </c>
      <c r="N4256" s="2" t="str">
        <f>IFERROR(__xludf.DUMMYFUNCTION("""COMPUTED_VALUE"""),"河川敷の藪の中で刺殺体が発見された。第一発見者はなんと一子(多部未華子)だった。警察犬・ミハイル号が犯人の足取りを追う一方、一子は被害者の血の匂いを辿り、見事凶器のナイフを発見する。被害者は小学校教諭の杉田一郎。小松原(吹越満)は強引な捜査で容疑者を取り調べ、同期の重村(沢村一樹)と衝突する。そんな二人を横目に、一子は容疑者の匂いから犯人ではないと一人確信するが、誰も聞く耳を持たないが・・・中島悟【原作】森本梢子「デカワンコ」(集英社　クイーンズコミックス刊)  【脚本】伴一彦【音楽】小西康陽  【主題歌"&amp;"】『愛と星』まきちゃんぐ(VAP)")</f>
        <v>河川敷の藪の中で刺殺体が発見された。第一発見者はなんと一子(多部未華子)だった。警察犬・ミハイル号が犯人の足取りを追う一方、一子は被害者の血の匂いを辿り、見事凶器のナイフを発見する。被害者は小学校教諭の杉田一郎。小松原(吹越満)は強引な捜査で容疑者を取り調べ、同期の重村(沢村一樹)と衝突する。そんな二人を横目に、一子は容疑者の匂いから犯人ではないと一人確信するが、誰も聞く耳を持たないが・・・中島悟【原作】森本梢子「デカワンコ」(集英社　クイーンズコミックス刊)  【脚本】伴一彦【音楽】小西康陽  【主題歌】『愛と星』まきちゃんぐ(VAP)</v>
      </c>
      <c r="O4256" s="2"/>
      <c r="P4256" s="1"/>
      <c r="Q4256" s="1"/>
      <c r="R4256" s="1"/>
      <c r="S4256" s="1"/>
      <c r="T4256" s="1"/>
      <c r="U4256" s="1"/>
      <c r="V4256" s="1"/>
      <c r="W4256" s="1"/>
      <c r="X4256" s="1"/>
      <c r="Y4256" s="1"/>
      <c r="Z4256" s="1"/>
      <c r="AA4256" s="1"/>
      <c r="AB4256" s="1"/>
      <c r="AC4256" s="1"/>
      <c r="AD4256" s="1"/>
      <c r="AE4256" s="1"/>
      <c r="AF4256" s="1"/>
      <c r="AG4256" s="1"/>
      <c r="AH4256" s="1"/>
      <c r="AI4256" s="1"/>
      <c r="AJ4256" s="1"/>
      <c r="AK4256" s="1"/>
      <c r="AL4256" s="1"/>
      <c r="AM4256" s="1"/>
      <c r="AN4256" s="1"/>
      <c r="AO4256" s="1"/>
      <c r="AP4256" s="1"/>
      <c r="AQ4256" s="1"/>
      <c r="AR4256" s="1"/>
      <c r="AS4256" s="1"/>
      <c r="AT4256" s="1"/>
      <c r="AU4256" s="1"/>
      <c r="AV4256" s="1"/>
      <c r="AW4256" s="1"/>
      <c r="AX4256" s="1"/>
      <c r="AY4256" s="1"/>
      <c r="AZ4256" s="1"/>
      <c r="BA4256" s="1"/>
      <c r="BB4256" s="1"/>
    </row>
    <row r="4257" ht="204.75" customHeight="1">
      <c r="A4257" s="1">
        <v>4523.0</v>
      </c>
      <c r="B4257" s="2" t="s">
        <v>12473</v>
      </c>
      <c r="C4257" s="2">
        <f>IFERROR(__xludf.DUMMYFUNCTION("split(B4257,""_"")"),1101.0)</f>
        <v>1101</v>
      </c>
      <c r="D4257" s="2" t="str">
        <f>IFERROR(__xludf.DUMMYFUNCTION("""COMPUTED_VALUE"""),"NTV")</f>
        <v>NTV</v>
      </c>
      <c r="E4257" s="2" t="str">
        <f>IFERROR(__xludf.DUMMYFUNCTION("""COMPUTED_VALUE"""),"土21")</f>
        <v>土21</v>
      </c>
      <c r="F4257" s="2" t="s">
        <v>12474</v>
      </c>
      <c r="G4257" s="2" t="s">
        <v>12479</v>
      </c>
      <c r="H4257" s="1">
        <v>3.0</v>
      </c>
      <c r="I4257" s="1" t="s">
        <v>2876</v>
      </c>
      <c r="J4257" s="1" t="s">
        <v>11</v>
      </c>
      <c r="K4257" s="2" t="s">
        <v>12480</v>
      </c>
      <c r="L4257" s="2"/>
      <c r="M4257" s="2" t="str">
        <f>IFERROR(__xludf.DUMMYFUNCTION("split(split(K4257,""【演出"",false),""ほか"",false)"),"多部未華子、沢村一樹、手越祐也、升毅、田口トモロヲ、大倉孝二、水上剣星、今井和子、上田耕一、渡辺直美、志村玲那、フィトス・オブ・セイントフジJr、竹重とろ、佐野圭亮、大森絢音、片桐仁、石塚英彦、吹越満、森谷ふみ、堀ひろこ、藤崎卓也、佐野史郎、伊東四朗　")</f>
        <v>多部未華子、沢村一樹、手越祐也、升毅、田口トモロヲ、大倉孝二、水上剣星、今井和子、上田耕一、渡辺直美、志村玲那、フィトス・オブ・セイントフジJr、竹重とろ、佐野圭亮、大森絢音、片桐仁、石塚英彦、吹越満、森谷ふみ、堀ひろこ、藤崎卓也、佐野史郎、伊東四朗　</v>
      </c>
      <c r="N4257" s="2" t="str">
        <f>IFERROR(__xludf.DUMMYFUNCTION("""COMPUTED_VALUE"""),"飲食店に2人組の強盗が押し入り、店員を刺殺する事件が発生した。即日逮捕された犯人  の一人・岡田(片桐仁)は「店員を刺したのは共犯者の中村(佐野圭亮)だ」と自供する。一子(多部未華子)と桐島(手越祐也)は新婚夫婦を装い、向かいのアパートから、中村の別れた妻と一人娘・涼子(大森絢音)のアパートを張り込む。自分の手でホシを挙げたい桐島を横目に、一子は涼子と仲良くなってしまい・・・国本雅広【原作】森本梢子「デカワンコ」(集英社「YOU」連載中)  【脚本】伴一彦【音楽】小西康陽  【主題歌】『愛と星』まきちゃん"&amp;"ぐ(VAP)")</f>
        <v>飲食店に2人組の強盗が押し入り、店員を刺殺する事件が発生した。即日逮捕された犯人  の一人・岡田(片桐仁)は「店員を刺したのは共犯者の中村(佐野圭亮)だ」と自供する。一子(多部未華子)と桐島(手越祐也)は新婚夫婦を装い、向かいのアパートから、中村の別れた妻と一人娘・涼子(大森絢音)のアパートを張り込む。自分の手でホシを挙げたい桐島を横目に、一子は涼子と仲良くなってしまい・・・国本雅広【原作】森本梢子「デカワンコ」(集英社「YOU」連載中)  【脚本】伴一彦【音楽】小西康陽  【主題歌】『愛と星』まきちゃんぐ(VAP)</v>
      </c>
      <c r="O4257" s="2"/>
      <c r="P4257" s="1"/>
      <c r="Q4257" s="1"/>
      <c r="R4257" s="1"/>
      <c r="S4257" s="1"/>
      <c r="T4257" s="1"/>
      <c r="U4257" s="1"/>
      <c r="V4257" s="1"/>
      <c r="W4257" s="1"/>
      <c r="X4257" s="1"/>
      <c r="Y4257" s="1"/>
      <c r="Z4257" s="1"/>
      <c r="AA4257" s="1"/>
      <c r="AB4257" s="1"/>
      <c r="AC4257" s="1"/>
      <c r="AD4257" s="1"/>
      <c r="AE4257" s="1"/>
      <c r="AF4257" s="1"/>
      <c r="AG4257" s="1"/>
      <c r="AH4257" s="1"/>
      <c r="AI4257" s="1"/>
      <c r="AJ4257" s="1"/>
      <c r="AK4257" s="1"/>
      <c r="AL4257" s="1"/>
      <c r="AM4257" s="1"/>
      <c r="AN4257" s="1"/>
      <c r="AO4257" s="1"/>
      <c r="AP4257" s="1"/>
      <c r="AQ4257" s="1"/>
      <c r="AR4257" s="1"/>
      <c r="AS4257" s="1"/>
      <c r="AT4257" s="1"/>
      <c r="AU4257" s="1"/>
      <c r="AV4257" s="1"/>
      <c r="AW4257" s="1"/>
      <c r="AX4257" s="1"/>
      <c r="AY4257" s="1"/>
      <c r="AZ4257" s="1"/>
      <c r="BA4257" s="1"/>
      <c r="BB4257" s="1"/>
    </row>
    <row r="4258" ht="204.75" customHeight="1">
      <c r="A4258" s="1">
        <v>4524.0</v>
      </c>
      <c r="B4258" s="2" t="s">
        <v>12473</v>
      </c>
      <c r="C4258" s="2">
        <f>IFERROR(__xludf.DUMMYFUNCTION("split(B4258,""_"")"),1101.0)</f>
        <v>1101</v>
      </c>
      <c r="D4258" s="2" t="str">
        <f>IFERROR(__xludf.DUMMYFUNCTION("""COMPUTED_VALUE"""),"NTV")</f>
        <v>NTV</v>
      </c>
      <c r="E4258" s="2" t="str">
        <f>IFERROR(__xludf.DUMMYFUNCTION("""COMPUTED_VALUE"""),"土21")</f>
        <v>土21</v>
      </c>
      <c r="F4258" s="2" t="s">
        <v>12474</v>
      </c>
      <c r="G4258" s="2" t="s">
        <v>12481</v>
      </c>
      <c r="H4258" s="1">
        <v>4.0</v>
      </c>
      <c r="I4258" s="1" t="s">
        <v>2880</v>
      </c>
      <c r="J4258" s="1" t="s">
        <v>11</v>
      </c>
      <c r="K4258" s="2" t="s">
        <v>12482</v>
      </c>
      <c r="L4258" s="2"/>
      <c r="M4258" s="2" t="str">
        <f>IFERROR(__xludf.DUMMYFUNCTION("split(split(K4258,""【演出"",false),""ほか"",false)"),"多部未華子、沢村一樹、手越祐也、升毅、田口トモロヲ、大倉孝二、水上剣星、今井和子、上田耕一、渡辺直美、志村玲那、藍川千佳、フィトス・オブ・セイントフジJr.、竹重とろ、神谷功、田中実、石塚英彦、吹越満、小林きな子、立原麻衣、長谷川公彦、佐野史郎、伊東四朗　")</f>
        <v>多部未華子、沢村一樹、手越祐也、升毅、田口トモロヲ、大倉孝二、水上剣星、今井和子、上田耕一、渡辺直美、志村玲那、藍川千佳、フィトス・オブ・セイントフジJr.、竹重とろ、神谷功、田中実、石塚英彦、吹越満、小林きな子、立原麻衣、長谷川公彦、佐野史郎、伊東四朗　</v>
      </c>
      <c r="N4258" s="2" t="str">
        <f>IFERROR(__xludf.DUMMYFUNCTION("""COMPUTED_VALUE"""),"輸入業者の男・河辺が殺された。目撃証言などから逮捕された容疑者・鈴木(田中実)は容疑を否認。重村(沢村一樹)に取り調べを任された一子(多部未華子)は遺留品のマフラーと鈴木の匂いが一致していると確認するが鈴木は黙秘を続ける。一子に代わって重村が取り調べを始めようとしたそのとき、鈴木は唐突に「俺が殺った」と自白した。だが、重村は簡単に自白した鈴木に疑問を感じ、一子もまた異変に気づいていたのだ・・・国本雅広【原作】森本梢子「デカワンコ」(集英社「YOU」連載中)  【脚本】伴一彦【音楽】小西康陽  【主題歌】『"&amp;"愛と星』まきちゃんぐ(VAP)")</f>
        <v>輸入業者の男・河辺が殺された。目撃証言などから逮捕された容疑者・鈴木(田中実)は容疑を否認。重村(沢村一樹)に取り調べを任された一子(多部未華子)は遺留品のマフラーと鈴木の匂いが一致していると確認するが鈴木は黙秘を続ける。一子に代わって重村が取り調べを始めようとしたそのとき、鈴木は唐突に「俺が殺った」と自白した。だが、重村は簡単に自白した鈴木に疑問を感じ、一子もまた異変に気づいていたのだ・・・国本雅広【原作】森本梢子「デカワンコ」(集英社「YOU」連載中)  【脚本】伴一彦【音楽】小西康陽  【主題歌】『愛と星』まきちゃんぐ(VAP)</v>
      </c>
      <c r="O4258" s="2"/>
      <c r="P4258" s="1"/>
      <c r="Q4258" s="1"/>
      <c r="R4258" s="1"/>
      <c r="S4258" s="1"/>
      <c r="T4258" s="1"/>
      <c r="U4258" s="1"/>
      <c r="V4258" s="1"/>
      <c r="W4258" s="1"/>
      <c r="X4258" s="1"/>
      <c r="Y4258" s="1"/>
      <c r="Z4258" s="1"/>
      <c r="AA4258" s="1"/>
      <c r="AB4258" s="1"/>
      <c r="AC4258" s="1"/>
      <c r="AD4258" s="1"/>
      <c r="AE4258" s="1"/>
      <c r="AF4258" s="1"/>
      <c r="AG4258" s="1"/>
      <c r="AH4258" s="1"/>
      <c r="AI4258" s="1"/>
      <c r="AJ4258" s="1"/>
      <c r="AK4258" s="1"/>
      <c r="AL4258" s="1"/>
      <c r="AM4258" s="1"/>
      <c r="AN4258" s="1"/>
      <c r="AO4258" s="1"/>
      <c r="AP4258" s="1"/>
      <c r="AQ4258" s="1"/>
      <c r="AR4258" s="1"/>
      <c r="AS4258" s="1"/>
      <c r="AT4258" s="1"/>
      <c r="AU4258" s="1"/>
      <c r="AV4258" s="1"/>
      <c r="AW4258" s="1"/>
      <c r="AX4258" s="1"/>
      <c r="AY4258" s="1"/>
      <c r="AZ4258" s="1"/>
      <c r="BA4258" s="1"/>
      <c r="BB4258" s="1"/>
    </row>
    <row r="4259" ht="204.75" customHeight="1">
      <c r="A4259" s="1">
        <v>4525.0</v>
      </c>
      <c r="B4259" s="2" t="s">
        <v>12473</v>
      </c>
      <c r="C4259" s="2">
        <f>IFERROR(__xludf.DUMMYFUNCTION("split(B4259,""_"")"),1101.0)</f>
        <v>1101</v>
      </c>
      <c r="D4259" s="2" t="str">
        <f>IFERROR(__xludf.DUMMYFUNCTION("""COMPUTED_VALUE"""),"NTV")</f>
        <v>NTV</v>
      </c>
      <c r="E4259" s="2" t="str">
        <f>IFERROR(__xludf.DUMMYFUNCTION("""COMPUTED_VALUE"""),"土21")</f>
        <v>土21</v>
      </c>
      <c r="F4259" s="2" t="s">
        <v>12474</v>
      </c>
      <c r="G4259" s="2" t="s">
        <v>12483</v>
      </c>
      <c r="H4259" s="1">
        <v>5.0</v>
      </c>
      <c r="I4259" s="1" t="s">
        <v>2884</v>
      </c>
      <c r="J4259" s="1" t="s">
        <v>11</v>
      </c>
      <c r="K4259" s="2" t="s">
        <v>12484</v>
      </c>
      <c r="L4259" s="2"/>
      <c r="M4259" s="2" t="str">
        <f>IFERROR(__xludf.DUMMYFUNCTION("split(split(K4259,""【演出"",false),""ほか"",false)"),"多部未華子、沢村一樹、手越祐也、升毅、田口トモロヲ、大倉孝二、水上剣星、今井和子、上田耕一、渡辺直美、フィトス・オブ・セイントフジJr.、竹重とろ、阿見201、瀬川亮、柳家花緑、石塚英彦、吹越満、川嶋秀明、佐野史郎、伊東四朗　")</f>
        <v>多部未華子、沢村一樹、手越祐也、升毅、田口トモロヲ、大倉孝二、水上剣星、今井和子、上田耕一、渡辺直美、フィトス・オブ・セイントフジJr.、竹重とろ、阿見201、瀬川亮、柳家花緑、石塚英彦、吹越満、川嶋秀明、佐野史郎、伊東四朗　</v>
      </c>
      <c r="N4259" s="2" t="str">
        <f>IFERROR(__xludf.DUMMYFUNCTION("""COMPUTED_VALUE"""),"和田(石塚英彦)の行動がおかしい。捜査を欠勤して落語家・北風亭太陽(柳家花緑)の高座に通っているのだ。一子(多部未華子)は和田が五年前、横浜で起きた強盗殺人事件に偶然居合わせ、犯人に自分の車を盗まれた上に逃走につかわれるという事実を知る。いまだ手配中の犯人は北風亭太陽の弟だったのだ。責任を感じた和田は管轄外にもかかわらず犯人を追っているのか。そして、一子の鼻はもうひとつの事実を知らせていたーー久保田充【原作】森本梢子「デカワンコ」(集英社「YOU」連載中)  【脚本】伴一彦【音楽】小西康陽  【主題歌】『"&amp;"愛と星』まきちゃんぐ(VAP)")</f>
        <v>和田(石塚英彦)の行動がおかしい。捜査を欠勤して落語家・北風亭太陽(柳家花緑)の高座に通っているのだ。一子(多部未華子)は和田が五年前、横浜で起きた強盗殺人事件に偶然居合わせ、犯人に自分の車を盗まれた上に逃走につかわれるという事実を知る。いまだ手配中の犯人は北風亭太陽の弟だったのだ。責任を感じた和田は管轄外にもかかわらず犯人を追っているのか。そして、一子の鼻はもうひとつの事実を知らせていたーー久保田充【原作】森本梢子「デカワンコ」(集英社「YOU」連載中)  【脚本】伴一彦【音楽】小西康陽  【主題歌】『愛と星』まきちゃんぐ(VAP)</v>
      </c>
      <c r="O4259" s="2"/>
      <c r="P4259" s="1"/>
      <c r="Q4259" s="1"/>
      <c r="R4259" s="1"/>
      <c r="S4259" s="1"/>
      <c r="T4259" s="1"/>
      <c r="U4259" s="1"/>
      <c r="V4259" s="1"/>
      <c r="W4259" s="1"/>
      <c r="X4259" s="1"/>
      <c r="Y4259" s="1"/>
      <c r="Z4259" s="1"/>
      <c r="AA4259" s="1"/>
      <c r="AB4259" s="1"/>
      <c r="AC4259" s="1"/>
      <c r="AD4259" s="1"/>
      <c r="AE4259" s="1"/>
      <c r="AF4259" s="1"/>
      <c r="AG4259" s="1"/>
      <c r="AH4259" s="1"/>
      <c r="AI4259" s="1"/>
      <c r="AJ4259" s="1"/>
      <c r="AK4259" s="1"/>
      <c r="AL4259" s="1"/>
      <c r="AM4259" s="1"/>
      <c r="AN4259" s="1"/>
      <c r="AO4259" s="1"/>
      <c r="AP4259" s="1"/>
      <c r="AQ4259" s="1"/>
      <c r="AR4259" s="1"/>
      <c r="AS4259" s="1"/>
      <c r="AT4259" s="1"/>
      <c r="AU4259" s="1"/>
      <c r="AV4259" s="1"/>
      <c r="AW4259" s="1"/>
      <c r="AX4259" s="1"/>
      <c r="AY4259" s="1"/>
      <c r="AZ4259" s="1"/>
      <c r="BA4259" s="1"/>
      <c r="BB4259" s="1"/>
    </row>
    <row r="4260" ht="204.75" customHeight="1">
      <c r="A4260" s="1">
        <v>4526.0</v>
      </c>
      <c r="B4260" s="2" t="s">
        <v>12473</v>
      </c>
      <c r="C4260" s="2">
        <f>IFERROR(__xludf.DUMMYFUNCTION("split(B4260,""_"")"),1101.0)</f>
        <v>1101</v>
      </c>
      <c r="D4260" s="2" t="str">
        <f>IFERROR(__xludf.DUMMYFUNCTION("""COMPUTED_VALUE"""),"NTV")</f>
        <v>NTV</v>
      </c>
      <c r="E4260" s="2" t="str">
        <f>IFERROR(__xludf.DUMMYFUNCTION("""COMPUTED_VALUE"""),"土21")</f>
        <v>土21</v>
      </c>
      <c r="F4260" s="2" t="s">
        <v>12474</v>
      </c>
      <c r="G4260" s="2" t="s">
        <v>12485</v>
      </c>
      <c r="H4260" s="1">
        <v>6.0</v>
      </c>
      <c r="I4260" s="1" t="s">
        <v>2888</v>
      </c>
      <c r="J4260" s="1" t="s">
        <v>11</v>
      </c>
      <c r="K4260" s="2" t="s">
        <v>12486</v>
      </c>
      <c r="L4260" s="2"/>
      <c r="M4260" s="2" t="str">
        <f>IFERROR(__xludf.DUMMYFUNCTION("split(split(K4260,""【演出"",false),""ほか"",false)"),"多部未華子、沢村一樹、手越祐也、升毅、田口トモロヲ、大倉孝二、水上剣星、今井和子、上田耕一、渡辺直美、フィトス・オブ・セイントフジJr.、竹重とろ、能見達也、斉藤祥太、八木優希、石塚英彦、吹越満、大河内浩、犬飼淳治、青木美沙子、鹿内大嗣、佐野史郎、伊東四朗　")</f>
        <v>多部未華子、沢村一樹、手越祐也、升毅、田口トモロヲ、大倉孝二、水上剣星、今井和子、上田耕一、渡辺直美、フィトス・オブ・セイントフジJr.、竹重とろ、能見達也、斉藤祥太、八木優希、石塚英彦、吹越満、大河内浩、犬飼淳治、青木美沙子、鹿内大嗣、佐野史郎、伊東四朗　</v>
      </c>
      <c r="N4260" s="2" t="str">
        <f>IFERROR(__xludf.DUMMYFUNCTION("""COMPUTED_VALUE"""),"一子(多部未華子)は門馬(升毅)からまともな服を着るまで捜査への参加をストップさせられる。しぶしぶ行き着けの店に服を買いに行った一子は、フリフリ服が好きな門馬の娘・ちえみ(八木優希)と知り合う。そのころ、新たに発生した事件の現場からフリフリ服の女が走り去ったという目撃情報が入る。一子は現場に落ちていた携帯ストラップを見て驚く。それはちえみのものだったのだーー中島悟【原作】森本梢子「デカワンコ」(集英社「YOU」連載中)  【脚本】伴一彦【音楽】小西康陽  【主題歌】『愛と星』まきちゃんぐ(VAP)")</f>
        <v>一子(多部未華子)は門馬(升毅)からまともな服を着るまで捜査への参加をストップさせられる。しぶしぶ行き着けの店に服を買いに行った一子は、フリフリ服が好きな門馬の娘・ちえみ(八木優希)と知り合う。そのころ、新たに発生した事件の現場からフリフリ服の女が走り去ったという目撃情報が入る。一子は現場に落ちていた携帯ストラップを見て驚く。それはちえみのものだったのだーー中島悟【原作】森本梢子「デカワンコ」(集英社「YOU」連載中)  【脚本】伴一彦【音楽】小西康陽  【主題歌】『愛と星』まきちゃんぐ(VAP)</v>
      </c>
      <c r="O4260" s="2"/>
      <c r="P4260" s="1"/>
      <c r="Q4260" s="1"/>
      <c r="R4260" s="1"/>
      <c r="S4260" s="1"/>
      <c r="T4260" s="1"/>
      <c r="U4260" s="1"/>
      <c r="V4260" s="1"/>
      <c r="W4260" s="1"/>
      <c r="X4260" s="1"/>
      <c r="Y4260" s="1"/>
      <c r="Z4260" s="1"/>
      <c r="AA4260" s="1"/>
      <c r="AB4260" s="1"/>
      <c r="AC4260" s="1"/>
      <c r="AD4260" s="1"/>
      <c r="AE4260" s="1"/>
      <c r="AF4260" s="1"/>
      <c r="AG4260" s="1"/>
      <c r="AH4260" s="1"/>
      <c r="AI4260" s="1"/>
      <c r="AJ4260" s="1"/>
      <c r="AK4260" s="1"/>
      <c r="AL4260" s="1"/>
      <c r="AM4260" s="1"/>
      <c r="AN4260" s="1"/>
      <c r="AO4260" s="1"/>
      <c r="AP4260" s="1"/>
      <c r="AQ4260" s="1"/>
      <c r="AR4260" s="1"/>
      <c r="AS4260" s="1"/>
      <c r="AT4260" s="1"/>
      <c r="AU4260" s="1"/>
      <c r="AV4260" s="1"/>
      <c r="AW4260" s="1"/>
      <c r="AX4260" s="1"/>
      <c r="AY4260" s="1"/>
      <c r="AZ4260" s="1"/>
      <c r="BA4260" s="1"/>
      <c r="BB4260" s="1"/>
    </row>
    <row r="4261" ht="204.75" customHeight="1">
      <c r="A4261" s="1">
        <v>4527.0</v>
      </c>
      <c r="B4261" s="2" t="s">
        <v>12473</v>
      </c>
      <c r="C4261" s="2">
        <f>IFERROR(__xludf.DUMMYFUNCTION("split(B4261,""_"")"),1101.0)</f>
        <v>1101</v>
      </c>
      <c r="D4261" s="2" t="str">
        <f>IFERROR(__xludf.DUMMYFUNCTION("""COMPUTED_VALUE"""),"NTV")</f>
        <v>NTV</v>
      </c>
      <c r="E4261" s="2" t="str">
        <f>IFERROR(__xludf.DUMMYFUNCTION("""COMPUTED_VALUE"""),"土21")</f>
        <v>土21</v>
      </c>
      <c r="F4261" s="2" t="s">
        <v>12474</v>
      </c>
      <c r="G4261" s="2" t="s">
        <v>12487</v>
      </c>
      <c r="H4261" s="1">
        <v>7.0</v>
      </c>
      <c r="I4261" s="1" t="s">
        <v>2892</v>
      </c>
      <c r="J4261" s="1" t="s">
        <v>11</v>
      </c>
      <c r="K4261" s="2" t="s">
        <v>12488</v>
      </c>
      <c r="L4261" s="2"/>
      <c r="M4261" s="2" t="str">
        <f>IFERROR(__xludf.DUMMYFUNCTION("split(split(K4261,""【演出"",false),""ほか"",false)"),"多部未華子、沢村一樹、手越祐也、升毅、田口トモロヲ、大倉孝二、水上剣星、渡辺直美、フィトス・オブ・セイントフジJr、竹重とろ、石塚英彦、吹越満、佐野史郎、伊東四朗　")</f>
        <v>多部未華子、沢村一樹、手越祐也、升毅、田口トモロヲ、大倉孝二、水上剣星、渡辺直美、フィトス・オブ・セイントフジJr、竹重とろ、石塚英彦、吹越満、佐野史郎、伊東四朗　</v>
      </c>
      <c r="N4261" s="2" t="str">
        <f>IFERROR(__xludf.DUMMYFUNCTION("""COMPUTED_VALUE"""),"警視庁の取調室に画家殺害事件の被疑者・山村なぎさが連行されてきた。なぎさは「自分には動機がない」「アリバイがある」の一点張りで、様々な手を使う重村(沢村一樹)の取調べにもまったく動じない。そんななぎさに一子(多部未華子)たちは興味津々。そんななか、警視庁に社会科見学に来ていた柳(大倉孝二)の息子が行方不明になったとの報せが入る。一子は警察犬ミハイルとともに捜査を開始するー。国本雅広【原作】森本梢子「デカワンコ」(集英社「YOU」連載中)  【脚本】伴一彦【音楽】小西康陽  【主題歌】『愛と星』まきちゃんぐ"&amp;"(VAP)")</f>
        <v>警視庁の取調室に画家殺害事件の被疑者・山村なぎさが連行されてきた。なぎさは「自分には動機がない」「アリバイがある」の一点張りで、様々な手を使う重村(沢村一樹)の取調べにもまったく動じない。そんななぎさに一子(多部未華子)たちは興味津々。そんななか、警視庁に社会科見学に来ていた柳(大倉孝二)の息子が行方不明になったとの報せが入る。一子は警察犬ミハイルとともに捜査を開始するー。国本雅広【原作】森本梢子「デカワンコ」(集英社「YOU」連載中)  【脚本】伴一彦【音楽】小西康陽  【主題歌】『愛と星』まきちゃんぐ(VAP)</v>
      </c>
      <c r="O4261" s="2"/>
      <c r="P4261" s="1"/>
      <c r="Q4261" s="1"/>
      <c r="R4261" s="1"/>
      <c r="S4261" s="1"/>
      <c r="T4261" s="1"/>
      <c r="U4261" s="1"/>
      <c r="V4261" s="1"/>
      <c r="W4261" s="1"/>
      <c r="X4261" s="1"/>
      <c r="Y4261" s="1"/>
      <c r="Z4261" s="1"/>
      <c r="AA4261" s="1"/>
      <c r="AB4261" s="1"/>
      <c r="AC4261" s="1"/>
      <c r="AD4261" s="1"/>
      <c r="AE4261" s="1"/>
      <c r="AF4261" s="1"/>
      <c r="AG4261" s="1"/>
      <c r="AH4261" s="1"/>
      <c r="AI4261" s="1"/>
      <c r="AJ4261" s="1"/>
      <c r="AK4261" s="1"/>
      <c r="AL4261" s="1"/>
      <c r="AM4261" s="1"/>
      <c r="AN4261" s="1"/>
      <c r="AO4261" s="1"/>
      <c r="AP4261" s="1"/>
      <c r="AQ4261" s="1"/>
      <c r="AR4261" s="1"/>
      <c r="AS4261" s="1"/>
      <c r="AT4261" s="1"/>
      <c r="AU4261" s="1"/>
      <c r="AV4261" s="1"/>
      <c r="AW4261" s="1"/>
      <c r="AX4261" s="1"/>
      <c r="AY4261" s="1"/>
      <c r="AZ4261" s="1"/>
      <c r="BA4261" s="1"/>
      <c r="BB4261" s="1"/>
    </row>
    <row r="4262" ht="204.75" customHeight="1">
      <c r="A4262" s="1">
        <v>4528.0</v>
      </c>
      <c r="B4262" s="2" t="s">
        <v>12473</v>
      </c>
      <c r="C4262" s="2">
        <f>IFERROR(__xludf.DUMMYFUNCTION("split(B4262,""_"")"),1101.0)</f>
        <v>1101</v>
      </c>
      <c r="D4262" s="2" t="str">
        <f>IFERROR(__xludf.DUMMYFUNCTION("""COMPUTED_VALUE"""),"NTV")</f>
        <v>NTV</v>
      </c>
      <c r="E4262" s="2" t="str">
        <f>IFERROR(__xludf.DUMMYFUNCTION("""COMPUTED_VALUE"""),"土21")</f>
        <v>土21</v>
      </c>
      <c r="F4262" s="2" t="s">
        <v>12474</v>
      </c>
      <c r="G4262" s="2" t="s">
        <v>12489</v>
      </c>
      <c r="H4262" s="1">
        <v>8.0</v>
      </c>
      <c r="I4262" s="1" t="s">
        <v>2896</v>
      </c>
      <c r="J4262" s="1" t="s">
        <v>11</v>
      </c>
      <c r="K4262" s="2" t="s">
        <v>12490</v>
      </c>
      <c r="L4262" s="2"/>
      <c r="M4262" s="2" t="str">
        <f>IFERROR(__xludf.DUMMYFUNCTION("split(split(K4262,""【演出"",false),""ほか"",false)"),"多部未華子、沢村一樹、手越祐也、升毅、田口トモロヲ、大倉孝二、水上剣星、今井和子、上田耕一、渡辺直美、志村玲那、フィトス・オブ・セイントフジJr.、竹重とろ、石塚英彦、吹越満、佐野史郎、伊東四朗　")</f>
        <v>多部未華子、沢村一樹、手越祐也、升毅、田口トモロヲ、大倉孝二、水上剣星、今井和子、上田耕一、渡辺直美、志村玲那、フィトス・オブ・セイントフジJr.、竹重とろ、石塚英彦、吹越満、佐野史郎、伊東四朗　</v>
      </c>
      <c r="N4262" s="2" t="str">
        <f>IFERROR(__xludf.DUMMYFUNCTION("""COMPUTED_VALUE"""),"五十嵐(佐野史郎)は殺人を犯していないのではないかー。そう考え始めた一子(多部未華子)に新たな事件の一報が入る。男が銃で撃たれ死亡。被害者は暴力団構成員で、犯人は構成員のリュウと判明した。一子たちはリュウを逮捕するが、組織犯罪対策部の朝倉(小沢仁志)が覚醒剤取引を潰すためにリュウを泳がせていたのにと怒鳴り込んで来る。重村(沢村一樹)は取調べで殺しの動機と翌日の覚醒剤取引の情報を聞き出すが・・・中島悟【原作】森本梢子「デカワンコ」(集英社「YOU」連載中)  【脚本】伴一彦【音楽】小西康陽  【主題歌】『愛"&amp;"と星』まきちゃんぐ(VAP)")</f>
        <v>五十嵐(佐野史郎)は殺人を犯していないのではないかー。そう考え始めた一子(多部未華子)に新たな事件の一報が入る。男が銃で撃たれ死亡。被害者は暴力団構成員で、犯人は構成員のリュウと判明した。一子たちはリュウを逮捕するが、組織犯罪対策部の朝倉(小沢仁志)が覚醒剤取引を潰すためにリュウを泳がせていたのにと怒鳴り込んで来る。重村(沢村一樹)は取調べで殺しの動機と翌日の覚醒剤取引の情報を聞き出すが・・・中島悟【原作】森本梢子「デカワンコ」(集英社「YOU」連載中)  【脚本】伴一彦【音楽】小西康陽  【主題歌】『愛と星』まきちゃんぐ(VAP)</v>
      </c>
      <c r="O4262" s="2"/>
      <c r="P4262" s="1"/>
      <c r="Q4262" s="1"/>
      <c r="R4262" s="1"/>
      <c r="S4262" s="1"/>
      <c r="T4262" s="1"/>
      <c r="U4262" s="1"/>
      <c r="V4262" s="1"/>
      <c r="W4262" s="1"/>
      <c r="X4262" s="1"/>
      <c r="Y4262" s="1"/>
      <c r="Z4262" s="1"/>
      <c r="AA4262" s="1"/>
      <c r="AB4262" s="1"/>
      <c r="AC4262" s="1"/>
      <c r="AD4262" s="1"/>
      <c r="AE4262" s="1"/>
      <c r="AF4262" s="1"/>
      <c r="AG4262" s="1"/>
      <c r="AH4262" s="1"/>
      <c r="AI4262" s="1"/>
      <c r="AJ4262" s="1"/>
      <c r="AK4262" s="1"/>
      <c r="AL4262" s="1"/>
      <c r="AM4262" s="1"/>
      <c r="AN4262" s="1"/>
      <c r="AO4262" s="1"/>
      <c r="AP4262" s="1"/>
      <c r="AQ4262" s="1"/>
      <c r="AR4262" s="1"/>
      <c r="AS4262" s="1"/>
      <c r="AT4262" s="1"/>
      <c r="AU4262" s="1"/>
      <c r="AV4262" s="1"/>
      <c r="AW4262" s="1"/>
      <c r="AX4262" s="1"/>
      <c r="AY4262" s="1"/>
      <c r="AZ4262" s="1"/>
      <c r="BA4262" s="1"/>
      <c r="BB4262" s="1"/>
    </row>
    <row r="4263" ht="204.75" customHeight="1">
      <c r="A4263" s="1">
        <v>4529.0</v>
      </c>
      <c r="B4263" s="2" t="s">
        <v>12473</v>
      </c>
      <c r="C4263" s="2">
        <f>IFERROR(__xludf.DUMMYFUNCTION("split(B4263,""_"")"),1101.0)</f>
        <v>1101</v>
      </c>
      <c r="D4263" s="2" t="str">
        <f>IFERROR(__xludf.DUMMYFUNCTION("""COMPUTED_VALUE"""),"NTV")</f>
        <v>NTV</v>
      </c>
      <c r="E4263" s="2" t="str">
        <f>IFERROR(__xludf.DUMMYFUNCTION("""COMPUTED_VALUE"""),"土21")</f>
        <v>土21</v>
      </c>
      <c r="F4263" s="2" t="s">
        <v>12474</v>
      </c>
      <c r="G4263" s="2" t="s">
        <v>12491</v>
      </c>
      <c r="H4263" s="1">
        <v>9.0</v>
      </c>
      <c r="I4263" s="1" t="s">
        <v>2900</v>
      </c>
      <c r="J4263" s="1" t="s">
        <v>11</v>
      </c>
      <c r="K4263" s="2" t="s">
        <v>12492</v>
      </c>
      <c r="L4263" s="2"/>
      <c r="M4263" s="2" t="str">
        <f>IFERROR(__xludf.DUMMYFUNCTION("split(split(K4263,""【演出"",false),""ほか"",false)"),"多部未華子、沢村一樹、手越祐也、升毅、田口トモロヲ、大倉孝二、水上剣星、今井和子、上田耕一、渡辺直美、志村玲那、フィトス・オブ・セイントフジJr.、竹重とろ、石塚英彦、吹越満、佐野史郎、伊東四朗　")</f>
        <v>多部未華子、沢村一樹、手越祐也、升毅、田口トモロヲ、大倉孝二、水上剣星、今井和子、上田耕一、渡辺直美、志村玲那、フィトス・オブ・セイントフジJr.、竹重とろ、石塚英彦、吹越満、佐野史郎、伊東四朗　</v>
      </c>
      <c r="N4263" s="2" t="str">
        <f>IFERROR(__xludf.DUMMYFUNCTION("""COMPUTED_VALUE"""),"洋品店を営む男が刺殺された。現場に残された足跡から犯人の匂いを追った一子(多部未華子)と警察犬ミハイルはそれぞれ別の場所にたどり着く。一子の鼻を信頼する小松原(吹越満)は一子が嗅ぎ当てた男・樋口啓一を犯人だと断定し、逮捕する。ミハイルはそれ以来出動拒否をするようになり、その様子から田村(田口トモロヲ)はミハイルの引退を考え始める。だが取り調べをする重村(沢村一樹)は樋口は犯人ではないと感じ・・・松永洋一【原作】森本梢子「デカワンコ」(集英社「YOU」連載中)  【脚本】伴一彦【音楽】小西康陽  【主題歌】"&amp;"『愛と星』まきちゃんぐ(VAP)")</f>
        <v>洋品店を営む男が刺殺された。現場に残された足跡から犯人の匂いを追った一子(多部未華子)と警察犬ミハイルはそれぞれ別の場所にたどり着く。一子の鼻を信頼する小松原(吹越満)は一子が嗅ぎ当てた男・樋口啓一を犯人だと断定し、逮捕する。ミハイルはそれ以来出動拒否をするようになり、その様子から田村(田口トモロヲ)はミハイルの引退を考え始める。だが取り調べをする重村(沢村一樹)は樋口は犯人ではないと感じ・・・松永洋一【原作】森本梢子「デカワンコ」(集英社「YOU」連載中)  【脚本】伴一彦【音楽】小西康陽  【主題歌】『愛と星』まきちゃんぐ(VAP)</v>
      </c>
      <c r="O4263" s="2"/>
      <c r="P4263" s="1"/>
      <c r="Q4263" s="1"/>
      <c r="R4263" s="1"/>
      <c r="S4263" s="1"/>
      <c r="T4263" s="1"/>
      <c r="U4263" s="1"/>
      <c r="V4263" s="1"/>
      <c r="W4263" s="1"/>
      <c r="X4263" s="1"/>
      <c r="Y4263" s="1"/>
      <c r="Z4263" s="1"/>
      <c r="AA4263" s="1"/>
      <c r="AB4263" s="1"/>
      <c r="AC4263" s="1"/>
      <c r="AD4263" s="1"/>
      <c r="AE4263" s="1"/>
      <c r="AF4263" s="1"/>
      <c r="AG4263" s="1"/>
      <c r="AH4263" s="1"/>
      <c r="AI4263" s="1"/>
      <c r="AJ4263" s="1"/>
      <c r="AK4263" s="1"/>
      <c r="AL4263" s="1"/>
      <c r="AM4263" s="1"/>
      <c r="AN4263" s="1"/>
      <c r="AO4263" s="1"/>
      <c r="AP4263" s="1"/>
      <c r="AQ4263" s="1"/>
      <c r="AR4263" s="1"/>
      <c r="AS4263" s="1"/>
      <c r="AT4263" s="1"/>
      <c r="AU4263" s="1"/>
      <c r="AV4263" s="1"/>
      <c r="AW4263" s="1"/>
      <c r="AX4263" s="1"/>
      <c r="AY4263" s="1"/>
      <c r="AZ4263" s="1"/>
      <c r="BA4263" s="1"/>
      <c r="BB4263" s="1"/>
    </row>
    <row r="4264" ht="204.75" customHeight="1">
      <c r="A4264" s="1">
        <v>4530.0</v>
      </c>
      <c r="B4264" s="2" t="s">
        <v>12473</v>
      </c>
      <c r="C4264" s="2">
        <f>IFERROR(__xludf.DUMMYFUNCTION("split(B4264,""_"")"),1101.0)</f>
        <v>1101</v>
      </c>
      <c r="D4264" s="2" t="str">
        <f>IFERROR(__xludf.DUMMYFUNCTION("""COMPUTED_VALUE"""),"NTV")</f>
        <v>NTV</v>
      </c>
      <c r="E4264" s="2" t="str">
        <f>IFERROR(__xludf.DUMMYFUNCTION("""COMPUTED_VALUE"""),"土21")</f>
        <v>土21</v>
      </c>
      <c r="F4264" s="2" t="s">
        <v>12474</v>
      </c>
      <c r="G4264" s="2" t="s">
        <v>12491</v>
      </c>
      <c r="H4264" s="1">
        <v>10.0</v>
      </c>
      <c r="I4264" s="1" t="s">
        <v>2900</v>
      </c>
      <c r="J4264" s="1" t="s">
        <v>11</v>
      </c>
      <c r="K4264" s="2" t="s">
        <v>12492</v>
      </c>
      <c r="L4264" s="2"/>
      <c r="M4264" s="2" t="str">
        <f>IFERROR(__xludf.DUMMYFUNCTION("split(split(K4264,""【演出"",false),""ほか"",false)"),"多部未華子、沢村一樹、手越祐也、升毅、田口トモロヲ、大倉孝二、水上剣星、今井和子、上田耕一、渡辺直美、志村玲那、フィトス・オブ・セイントフジJr.、竹重とろ、石塚英彦、吹越満、佐野史郎、伊東四朗　")</f>
        <v>多部未華子、沢村一樹、手越祐也、升毅、田口トモロヲ、大倉孝二、水上剣星、今井和子、上田耕一、渡辺直美、志村玲那、フィトス・オブ・セイントフジJr.、竹重とろ、石塚英彦、吹越満、佐野史郎、伊東四朗　</v>
      </c>
      <c r="N4264" s="2" t="str">
        <f>IFERROR(__xludf.DUMMYFUNCTION("""COMPUTED_VALUE"""),"洋品店を営む男が刺殺された。現場に残された足跡から犯人の匂いを追った一子(多部未華子)と警察犬ミハイルはそれぞれ別の場所にたどり着く。一子の鼻を信頼する小松原(吹越満)は一子が嗅ぎ当てた男・樋口啓一を犯人だと断定し、逮捕する。ミハイルはそれ以来出動拒否をするようになり、その様子から田村(田口トモロヲ)はミハイルの引退を考え始める。だが取り調べをする重村(沢村一樹)は樋口は犯人ではないと感じ・・・松永洋一【原作】森本梢子「デカワンコ」(集英社「YOU」連載中)  【脚本】伴一彦【音楽】小西康陽  【主題歌】"&amp;"『愛と星』まきちゃんぐ(VAP)")</f>
        <v>洋品店を営む男が刺殺された。現場に残された足跡から犯人の匂いを追った一子(多部未華子)と警察犬ミハイルはそれぞれ別の場所にたどり着く。一子の鼻を信頼する小松原(吹越満)は一子が嗅ぎ当てた男・樋口啓一を犯人だと断定し、逮捕する。ミハイルはそれ以来出動拒否をするようになり、その様子から田村(田口トモロヲ)はミハイルの引退を考え始める。だが取り調べをする重村(沢村一樹)は樋口は犯人ではないと感じ・・・松永洋一【原作】森本梢子「デカワンコ」(集英社「YOU」連載中)  【脚本】伴一彦【音楽】小西康陽  【主題歌】『愛と星』まきちゃんぐ(VAP)</v>
      </c>
      <c r="O4264" s="2"/>
      <c r="P4264" s="1"/>
      <c r="Q4264" s="1"/>
      <c r="R4264" s="1"/>
      <c r="S4264" s="1"/>
      <c r="T4264" s="1"/>
      <c r="U4264" s="1"/>
      <c r="V4264" s="1"/>
      <c r="W4264" s="1"/>
      <c r="X4264" s="1"/>
      <c r="Y4264" s="1"/>
      <c r="Z4264" s="1"/>
      <c r="AA4264" s="1"/>
      <c r="AB4264" s="1"/>
      <c r="AC4264" s="1"/>
      <c r="AD4264" s="1"/>
      <c r="AE4264" s="1"/>
      <c r="AF4264" s="1"/>
      <c r="AG4264" s="1"/>
      <c r="AH4264" s="1"/>
      <c r="AI4264" s="1"/>
      <c r="AJ4264" s="1"/>
      <c r="AK4264" s="1"/>
      <c r="AL4264" s="1"/>
      <c r="AM4264" s="1"/>
      <c r="AN4264" s="1"/>
      <c r="AO4264" s="1"/>
      <c r="AP4264" s="1"/>
      <c r="AQ4264" s="1"/>
      <c r="AR4264" s="1"/>
      <c r="AS4264" s="1"/>
      <c r="AT4264" s="1"/>
      <c r="AU4264" s="1"/>
      <c r="AV4264" s="1"/>
      <c r="AW4264" s="1"/>
      <c r="AX4264" s="1"/>
      <c r="AY4264" s="1"/>
      <c r="AZ4264" s="1"/>
      <c r="BA4264" s="1"/>
      <c r="BB4264" s="1"/>
    </row>
    <row r="4265" ht="204.75" customHeight="1">
      <c r="A4265" s="1">
        <v>4531.0</v>
      </c>
      <c r="B4265" s="2" t="s">
        <v>12473</v>
      </c>
      <c r="C4265" s="2">
        <f>IFERROR(__xludf.DUMMYFUNCTION("split(B4265,""_"")"),1101.0)</f>
        <v>1101</v>
      </c>
      <c r="D4265" s="2" t="str">
        <f>IFERROR(__xludf.DUMMYFUNCTION("""COMPUTED_VALUE"""),"NTV")</f>
        <v>NTV</v>
      </c>
      <c r="E4265" s="2" t="str">
        <f>IFERROR(__xludf.DUMMYFUNCTION("""COMPUTED_VALUE"""),"土21")</f>
        <v>土21</v>
      </c>
      <c r="F4265" s="2" t="s">
        <v>12474</v>
      </c>
      <c r="G4265" s="2" t="s">
        <v>12493</v>
      </c>
      <c r="H4265" s="1">
        <v>11.0</v>
      </c>
      <c r="I4265" s="1" t="s">
        <v>37</v>
      </c>
      <c r="J4265" s="1" t="s">
        <v>4</v>
      </c>
      <c r="K4265" s="2" t="s">
        <v>12494</v>
      </c>
      <c r="L4265" s="2"/>
      <c r="M4265" s="2" t="str">
        <f>IFERROR(__xludf.DUMMYFUNCTION("split(split(K4265,""【演出"",false),""ほか"",false)"),"多部未華子、沢村一樹、手越祐也、升毅、田口トモロヲ、大倉孝二、水上剣星、今井和子、上田耕一、渡辺直美、フィトス・オブ・セイントフジJr.、竹重とろ、石塚英彦、吹越満、佐野史郎、伊東四朗　")</f>
        <v>多部未華子、沢村一樹、手越祐也、升毅、田口トモロヲ、大倉孝二、水上剣星、今井和子、上田耕一、渡辺直美、フィトス・オブ・セイントフジJr.、竹重とろ、石塚英彦、吹越満、佐野史郎、伊東四朗　</v>
      </c>
      <c r="N4265" s="2" t="str">
        <f>IFERROR(__xludf.DUMMYFUNCTION("""COMPUTED_VALUE"""),"温泉に慰安旅行にきた一子(多部未華子)と13係の面々。みんなで楽しく飲みながら、一子は仲間の大切さをしみじみ感じていた。しかし翌日。一子は偶然みんなの会話を耳にしてしまう。「やめさせたほうがいいかな、ワンコ」自分は嫌われていた?!ショックを受けた一子は宿を飛び出す。一方みんなは一子と連絡が取れず、行方を捜す。そして、道の駅の店員から一子が男と口論した挙句、その男の車に乗り込んだという証言を聞く。中島悟【原作】森本梢子「デカワンコ」(集英社「YOU」連載中)  【脚本】伴一彦【音楽】小西康陽  【主題歌】『"&amp;"愛と星』まきちゃんぐ(VAP)")</f>
        <v>温泉に慰安旅行にきた一子(多部未華子)と13係の面々。みんなで楽しく飲みながら、一子は仲間の大切さをしみじみ感じていた。しかし翌日。一子は偶然みんなの会話を耳にしてしまう。「やめさせたほうがいいかな、ワンコ」自分は嫌われていた?!ショックを受けた一子は宿を飛び出す。一方みんなは一子と連絡が取れず、行方を捜す。そして、道の駅の店員から一子が男と口論した挙句、その男の車に乗り込んだという証言を聞く。中島悟【原作】森本梢子「デカワンコ」(集英社「YOU」連載中)  【脚本】伴一彦【音楽】小西康陽  【主題歌】『愛と星』まきちゃんぐ(VAP)</v>
      </c>
      <c r="O4265" s="2"/>
      <c r="P4265" s="1"/>
      <c r="Q4265" s="1"/>
      <c r="R4265" s="1"/>
      <c r="S4265" s="1"/>
      <c r="T4265" s="1"/>
      <c r="U4265" s="1"/>
      <c r="V4265" s="1"/>
      <c r="W4265" s="1"/>
      <c r="X4265" s="1"/>
      <c r="Y4265" s="1"/>
      <c r="Z4265" s="1"/>
      <c r="AA4265" s="1"/>
      <c r="AB4265" s="1"/>
      <c r="AC4265" s="1"/>
      <c r="AD4265" s="1"/>
      <c r="AE4265" s="1"/>
      <c r="AF4265" s="1"/>
      <c r="AG4265" s="1"/>
      <c r="AH4265" s="1"/>
      <c r="AI4265" s="1"/>
      <c r="AJ4265" s="1"/>
      <c r="AK4265" s="1"/>
      <c r="AL4265" s="1"/>
      <c r="AM4265" s="1"/>
      <c r="AN4265" s="1"/>
      <c r="AO4265" s="1"/>
      <c r="AP4265" s="1"/>
      <c r="AQ4265" s="1"/>
      <c r="AR4265" s="1"/>
      <c r="AS4265" s="1"/>
      <c r="AT4265" s="1"/>
      <c r="AU4265" s="1"/>
      <c r="AV4265" s="1"/>
      <c r="AW4265" s="1"/>
      <c r="AX4265" s="1"/>
      <c r="AY4265" s="1"/>
      <c r="AZ4265" s="1"/>
      <c r="BA4265" s="1"/>
      <c r="BB4265" s="1"/>
    </row>
    <row r="4266" ht="204.75" customHeight="1">
      <c r="A4266" s="1">
        <v>4576.0</v>
      </c>
      <c r="B4266" s="2" t="s">
        <v>12495</v>
      </c>
      <c r="C4266" s="2">
        <f>IFERROR(__xludf.DUMMYFUNCTION("split(B4266,""_"")"),1010.0)</f>
        <v>1010</v>
      </c>
      <c r="D4266" s="2" t="str">
        <f>IFERROR(__xludf.DUMMYFUNCTION("""COMPUTED_VALUE"""),"NTV")</f>
        <v>NTV</v>
      </c>
      <c r="E4266" s="2" t="str">
        <f>IFERROR(__xludf.DUMMYFUNCTION("""COMPUTED_VALUE"""),"水22")</f>
        <v>水22</v>
      </c>
      <c r="F4266" s="2" t="s">
        <v>12496</v>
      </c>
      <c r="G4266" s="2" t="s">
        <v>12497</v>
      </c>
      <c r="H4266" s="1">
        <v>1.0</v>
      </c>
      <c r="I4266" s="1" t="s">
        <v>2868</v>
      </c>
      <c r="J4266" s="1" t="s">
        <v>82</v>
      </c>
      <c r="K4266" s="2" t="s">
        <v>12498</v>
      </c>
      <c r="L4266" s="2"/>
      <c r="M4266" s="2" t="str">
        <f>IFERROR(__xludf.DUMMYFUNCTION("split(split(K4266,""【演出"",false),""ほか"",false)"),"篠原涼子、岡田将生、大泉洋  桐谷健太、山口紗弥加、近藤芳正  矢沢心、能世あんな、山崎大輔  もたいまさこ/生瀬勝久/宇津井健元詐欺師で仮釈放中の芯子は、街で金持ちそうな男・久留米に出会う。いいカモだと思った瞬間、久留米はあっさり芯子の正体を見破った。久留米は国家予算の使い道を調査し追求する国の機関、会計検査庁の検査官だったのだ。彼は芯子の勘と慧眼を買い、調査官にスカウトする。  いやいやながら調査官を務めることになった芯子に久留米が与えた最初の指令、それは介護付老人ホームの不正を見抜くことだったー。")</f>
        <v>篠原涼子、岡田将生、大泉洋  桐谷健太、山口紗弥加、近藤芳正  矢沢心、能世あんな、山崎大輔  もたいまさこ/生瀬勝久/宇津井健元詐欺師で仮釈放中の芯子は、街で金持ちそうな男・久留米に出会う。いいカモだと思った瞬間、久留米はあっさり芯子の正体を見破った。久留米は国家予算の使い道を調査し追求する国の機関、会計検査庁の検査官だったのだ。彼は芯子の勘と慧眼を買い、調査官にスカウトする。  いやいやながら調査官を務めることになった芯子に久留米が与えた最初の指令、それは介護付老人ホームの不正を見抜くことだったー。</v>
      </c>
      <c r="N4266" s="2"/>
      <c r="O4266" s="2"/>
      <c r="P4266" s="1"/>
      <c r="Q4266" s="1"/>
      <c r="R4266" s="1"/>
      <c r="S4266" s="1"/>
      <c r="T4266" s="1"/>
      <c r="U4266" s="1"/>
      <c r="V4266" s="1"/>
      <c r="W4266" s="1"/>
      <c r="X4266" s="1"/>
      <c r="Y4266" s="1"/>
      <c r="Z4266" s="1"/>
      <c r="AA4266" s="1"/>
      <c r="AB4266" s="1"/>
      <c r="AC4266" s="1"/>
      <c r="AD4266" s="1"/>
      <c r="AE4266" s="1"/>
      <c r="AF4266" s="1"/>
      <c r="AG4266" s="1"/>
      <c r="AH4266" s="1"/>
      <c r="AI4266" s="1"/>
      <c r="AJ4266" s="1"/>
      <c r="AK4266" s="1"/>
      <c r="AL4266" s="1"/>
      <c r="AM4266" s="1"/>
      <c r="AN4266" s="1"/>
      <c r="AO4266" s="1"/>
      <c r="AP4266" s="1"/>
      <c r="AQ4266" s="1"/>
      <c r="AR4266" s="1"/>
      <c r="AS4266" s="1"/>
      <c r="AT4266" s="1"/>
      <c r="AU4266" s="1"/>
      <c r="AV4266" s="1"/>
      <c r="AW4266" s="1"/>
      <c r="AX4266" s="1"/>
      <c r="AY4266" s="1"/>
      <c r="AZ4266" s="1"/>
      <c r="BA4266" s="1"/>
      <c r="BB4266" s="1"/>
    </row>
    <row r="4267" ht="204.75" customHeight="1">
      <c r="A4267" s="1">
        <v>4577.0</v>
      </c>
      <c r="B4267" s="2" t="s">
        <v>12495</v>
      </c>
      <c r="C4267" s="2">
        <f>IFERROR(__xludf.DUMMYFUNCTION("split(B4267,""_"")"),1010.0)</f>
        <v>1010</v>
      </c>
      <c r="D4267" s="2" t="str">
        <f>IFERROR(__xludf.DUMMYFUNCTION("""COMPUTED_VALUE"""),"NTV")</f>
        <v>NTV</v>
      </c>
      <c r="E4267" s="2" t="str">
        <f>IFERROR(__xludf.DUMMYFUNCTION("""COMPUTED_VALUE"""),"水22")</f>
        <v>水22</v>
      </c>
      <c r="F4267" s="2" t="s">
        <v>12496</v>
      </c>
      <c r="G4267" s="2" t="s">
        <v>12499</v>
      </c>
      <c r="H4267" s="1">
        <v>2.0</v>
      </c>
      <c r="I4267" s="1" t="s">
        <v>2872</v>
      </c>
      <c r="J4267" s="1" t="s">
        <v>86</v>
      </c>
      <c r="K4267" s="2" t="s">
        <v>12500</v>
      </c>
      <c r="L4267" s="2"/>
      <c r="M4267" s="2" t="str">
        <f>IFERROR(__xludf.DUMMYFUNCTION("split(split(K4267,""【演出"",false),""ほか"",false)"),"篠原涼子、岡田将生、大泉洋  桐谷健太、山口紗弥加、近藤芳正  矢沢心、能世あんな、山崎大輔  もたいまさこ/生瀬勝久/宇津井健芯子たちは東京警察署の機密費流用疑惑を調査することに。警察幹部の威圧的な監視の中調査を進めていると、優が怪しい領収書を見つけた。調べると領収書は偽造で、4年前に機密費12万円を宴会に使った疑いが浮上する。  芯子らは他にも機密費が幹部のゴルフ代や海外旅行代に消えていると警察官から聞き出し憤慨するが、警察相手では追及するのが難しい。  そんな中、4年前のある新聞記事を目にした芯子の"&amp;"鼻が何かを嗅ぎ付けたー")</f>
        <v>篠原涼子、岡田将生、大泉洋  桐谷健太、山口紗弥加、近藤芳正  矢沢心、能世あんな、山崎大輔  もたいまさこ/生瀬勝久/宇津井健芯子たちは東京警察署の機密費流用疑惑を調査することに。警察幹部の威圧的な監視の中調査を進めていると、優が怪しい領収書を見つけた。調べると領収書は偽造で、4年前に機密費12万円を宴会に使った疑いが浮上する。  芯子らは他にも機密費が幹部のゴルフ代や海外旅行代に消えていると警察官から聞き出し憤慨するが、警察相手では追及するのが難しい。  そんな中、4年前のある新聞記事を目にした芯子の鼻が何かを嗅ぎ付けたー</v>
      </c>
      <c r="N4267" s="2"/>
      <c r="O4267" s="2"/>
      <c r="P4267" s="1"/>
      <c r="Q4267" s="1"/>
      <c r="R4267" s="1"/>
      <c r="S4267" s="1"/>
      <c r="T4267" s="1"/>
      <c r="U4267" s="1"/>
      <c r="V4267" s="1"/>
      <c r="W4267" s="1"/>
      <c r="X4267" s="1"/>
      <c r="Y4267" s="1"/>
      <c r="Z4267" s="1"/>
      <c r="AA4267" s="1"/>
      <c r="AB4267" s="1"/>
      <c r="AC4267" s="1"/>
      <c r="AD4267" s="1"/>
      <c r="AE4267" s="1"/>
      <c r="AF4267" s="1"/>
      <c r="AG4267" s="1"/>
      <c r="AH4267" s="1"/>
      <c r="AI4267" s="1"/>
      <c r="AJ4267" s="1"/>
      <c r="AK4267" s="1"/>
      <c r="AL4267" s="1"/>
      <c r="AM4267" s="1"/>
      <c r="AN4267" s="1"/>
      <c r="AO4267" s="1"/>
      <c r="AP4267" s="1"/>
      <c r="AQ4267" s="1"/>
      <c r="AR4267" s="1"/>
      <c r="AS4267" s="1"/>
      <c r="AT4267" s="1"/>
      <c r="AU4267" s="1"/>
      <c r="AV4267" s="1"/>
      <c r="AW4267" s="1"/>
      <c r="AX4267" s="1"/>
      <c r="AY4267" s="1"/>
      <c r="AZ4267" s="1"/>
      <c r="BA4267" s="1"/>
      <c r="BB4267" s="1"/>
    </row>
    <row r="4268" ht="204.75" customHeight="1">
      <c r="A4268" s="1">
        <v>4578.0</v>
      </c>
      <c r="B4268" s="2" t="s">
        <v>12495</v>
      </c>
      <c r="C4268" s="2">
        <f>IFERROR(__xludf.DUMMYFUNCTION("split(B4268,""_"")"),1010.0)</f>
        <v>1010</v>
      </c>
      <c r="D4268" s="2" t="str">
        <f>IFERROR(__xludf.DUMMYFUNCTION("""COMPUTED_VALUE"""),"NTV")</f>
        <v>NTV</v>
      </c>
      <c r="E4268" s="2" t="str">
        <f>IFERROR(__xludf.DUMMYFUNCTION("""COMPUTED_VALUE"""),"水22")</f>
        <v>水22</v>
      </c>
      <c r="F4268" s="2" t="s">
        <v>12496</v>
      </c>
      <c r="G4268" s="2" t="s">
        <v>12501</v>
      </c>
      <c r="H4268" s="1">
        <v>3.0</v>
      </c>
      <c r="I4268" s="1" t="s">
        <v>2876</v>
      </c>
      <c r="J4268" s="1" t="s">
        <v>86</v>
      </c>
      <c r="K4268" s="2" t="s">
        <v>12502</v>
      </c>
      <c r="L4268" s="2"/>
      <c r="M4268" s="2" t="str">
        <f>IFERROR(__xludf.DUMMYFUNCTION("split(split(K4268,""【演出"",false),""ほか"",false)"),"篠原涼子、岡田将生、大泉洋  桐谷健太、山口紗弥加、近藤芳正  矢沢心、能世あんな、山崎大輔  もたいまさこ/生瀬勝久/宇津井健最先端の国立病院を調査中の芯子は、事務局長の国枝が病院長よりも権力を持っている様子を目にし不信を募らせる。  病院長に事情を聞くと国枝は財政省からの天下りで、国の補助金をもらうため、何より病院で仕事を続けるためには国枝に逆らえない状況だという。  さらに病院ではレジデントが不当に安い給料で24時間フル稼働していたが、クビを恐れて誰も不正を証言しない。さすがの芯子も手を引かざるを得"&amp;"ないと判断するが…")</f>
        <v>篠原涼子、岡田将生、大泉洋  桐谷健太、山口紗弥加、近藤芳正  矢沢心、能世あんな、山崎大輔  もたいまさこ/生瀬勝久/宇津井健最先端の国立病院を調査中の芯子は、事務局長の国枝が病院長よりも権力を持っている様子を目にし不信を募らせる。  病院長に事情を聞くと国枝は財政省からの天下りで、国の補助金をもらうため、何より病院で仕事を続けるためには国枝に逆らえない状況だという。  さらに病院ではレジデントが不当に安い給料で24時間フル稼働していたが、クビを恐れて誰も不正を証言しない。さすがの芯子も手を引かざるを得ないと判断するが…</v>
      </c>
      <c r="N4268" s="2"/>
      <c r="O4268" s="2"/>
      <c r="P4268" s="1"/>
      <c r="Q4268" s="1"/>
      <c r="R4268" s="1"/>
      <c r="S4268" s="1"/>
      <c r="T4268" s="1"/>
      <c r="U4268" s="1"/>
      <c r="V4268" s="1"/>
      <c r="W4268" s="1"/>
      <c r="X4268" s="1"/>
      <c r="Y4268" s="1"/>
      <c r="Z4268" s="1"/>
      <c r="AA4268" s="1"/>
      <c r="AB4268" s="1"/>
      <c r="AC4268" s="1"/>
      <c r="AD4268" s="1"/>
      <c r="AE4268" s="1"/>
      <c r="AF4268" s="1"/>
      <c r="AG4268" s="1"/>
      <c r="AH4268" s="1"/>
      <c r="AI4268" s="1"/>
      <c r="AJ4268" s="1"/>
      <c r="AK4268" s="1"/>
      <c r="AL4268" s="1"/>
      <c r="AM4268" s="1"/>
      <c r="AN4268" s="1"/>
      <c r="AO4268" s="1"/>
      <c r="AP4268" s="1"/>
      <c r="AQ4268" s="1"/>
      <c r="AR4268" s="1"/>
      <c r="AS4268" s="1"/>
      <c r="AT4268" s="1"/>
      <c r="AU4268" s="1"/>
      <c r="AV4268" s="1"/>
      <c r="AW4268" s="1"/>
      <c r="AX4268" s="1"/>
      <c r="AY4268" s="1"/>
      <c r="AZ4268" s="1"/>
      <c r="BA4268" s="1"/>
      <c r="BB4268" s="1"/>
    </row>
    <row r="4269" ht="204.75" customHeight="1">
      <c r="A4269" s="1">
        <v>4579.0</v>
      </c>
      <c r="B4269" s="2" t="s">
        <v>12495</v>
      </c>
      <c r="C4269" s="2">
        <f>IFERROR(__xludf.DUMMYFUNCTION("split(B4269,""_"")"),1010.0)</f>
        <v>1010</v>
      </c>
      <c r="D4269" s="2" t="str">
        <f>IFERROR(__xludf.DUMMYFUNCTION("""COMPUTED_VALUE"""),"NTV")</f>
        <v>NTV</v>
      </c>
      <c r="E4269" s="2" t="str">
        <f>IFERROR(__xludf.DUMMYFUNCTION("""COMPUTED_VALUE"""),"水22")</f>
        <v>水22</v>
      </c>
      <c r="F4269" s="2" t="s">
        <v>12496</v>
      </c>
      <c r="G4269" s="2" t="s">
        <v>12503</v>
      </c>
      <c r="H4269" s="1">
        <v>4.0</v>
      </c>
      <c r="I4269" s="1" t="s">
        <v>2880</v>
      </c>
      <c r="J4269" s="1" t="s">
        <v>86</v>
      </c>
      <c r="K4269" s="2" t="s">
        <v>12504</v>
      </c>
      <c r="L4269" s="2"/>
      <c r="M4269" s="2" t="str">
        <f>IFERROR(__xludf.DUMMYFUNCTION("split(split(K4269,""【演出"",false),""ほか"",false)"),"篠原涼子、岡田将生、大泉洋  桐谷健太、山口紗弥加、近藤芳正  矢沢心、能世あんな、山崎大輔  もたいまさこ/生瀬勝久/宇津井健芯子らは、ある地方の河川の護岸工事が手抜き工事ではないかとの陳情書を受け、調査に向かう。しかし村長による熱烈な接待に時間を取られ、調査の時間はごくわずか。国の交付金に頼る地方の調査では、多少のことは目をつぶって欲しいと接待漬けにする慣習なのだ。ようやく調査がスタートするが問題は見つからない。だがその夜、芯子は村の飲み屋で村人から、手抜き工事のせいで川が氾濫し畑が荒れてしまったとの"&amp;"証言を聞きだす。")</f>
        <v>篠原涼子、岡田将生、大泉洋  桐谷健太、山口紗弥加、近藤芳正  矢沢心、能世あんな、山崎大輔  もたいまさこ/生瀬勝久/宇津井健芯子らは、ある地方の河川の護岸工事が手抜き工事ではないかとの陳情書を受け、調査に向かう。しかし村長による熱烈な接待に時間を取られ、調査の時間はごくわずか。国の交付金に頼る地方の調査では、多少のことは目をつぶって欲しいと接待漬けにする慣習なのだ。ようやく調査がスタートするが問題は見つからない。だがその夜、芯子は村の飲み屋で村人から、手抜き工事のせいで川が氾濫し畑が荒れてしまったとの証言を聞きだす。</v>
      </c>
      <c r="N4269" s="2"/>
      <c r="O4269" s="2"/>
      <c r="P4269" s="1"/>
      <c r="Q4269" s="1"/>
      <c r="R4269" s="1"/>
      <c r="S4269" s="1"/>
      <c r="T4269" s="1"/>
      <c r="U4269" s="1"/>
      <c r="V4269" s="1"/>
      <c r="W4269" s="1"/>
      <c r="X4269" s="1"/>
      <c r="Y4269" s="1"/>
      <c r="Z4269" s="1"/>
      <c r="AA4269" s="1"/>
      <c r="AB4269" s="1"/>
      <c r="AC4269" s="1"/>
      <c r="AD4269" s="1"/>
      <c r="AE4269" s="1"/>
      <c r="AF4269" s="1"/>
      <c r="AG4269" s="1"/>
      <c r="AH4269" s="1"/>
      <c r="AI4269" s="1"/>
      <c r="AJ4269" s="1"/>
      <c r="AK4269" s="1"/>
      <c r="AL4269" s="1"/>
      <c r="AM4269" s="1"/>
      <c r="AN4269" s="1"/>
      <c r="AO4269" s="1"/>
      <c r="AP4269" s="1"/>
      <c r="AQ4269" s="1"/>
      <c r="AR4269" s="1"/>
      <c r="AS4269" s="1"/>
      <c r="AT4269" s="1"/>
      <c r="AU4269" s="1"/>
      <c r="AV4269" s="1"/>
      <c r="AW4269" s="1"/>
      <c r="AX4269" s="1"/>
      <c r="AY4269" s="1"/>
      <c r="AZ4269" s="1"/>
      <c r="BA4269" s="1"/>
      <c r="BB4269" s="1"/>
    </row>
    <row r="4270" ht="204.75" customHeight="1">
      <c r="A4270" s="1">
        <v>4580.0</v>
      </c>
      <c r="B4270" s="2" t="s">
        <v>12495</v>
      </c>
      <c r="C4270" s="2">
        <f>IFERROR(__xludf.DUMMYFUNCTION("split(B4270,""_"")"),1010.0)</f>
        <v>1010</v>
      </c>
      <c r="D4270" s="2" t="str">
        <f>IFERROR(__xludf.DUMMYFUNCTION("""COMPUTED_VALUE"""),"NTV")</f>
        <v>NTV</v>
      </c>
      <c r="E4270" s="2" t="str">
        <f>IFERROR(__xludf.DUMMYFUNCTION("""COMPUTED_VALUE"""),"水22")</f>
        <v>水22</v>
      </c>
      <c r="F4270" s="2" t="s">
        <v>12496</v>
      </c>
      <c r="G4270" s="2" t="s">
        <v>12505</v>
      </c>
      <c r="H4270" s="1">
        <v>5.0</v>
      </c>
      <c r="I4270" s="1" t="s">
        <v>2884</v>
      </c>
      <c r="J4270" s="1" t="s">
        <v>86</v>
      </c>
      <c r="K4270" s="2" t="s">
        <v>12506</v>
      </c>
      <c r="L4270" s="2"/>
      <c r="M4270" s="2" t="str">
        <f>IFERROR(__xludf.DUMMYFUNCTION("split(split(K4270,""【演出"",false),""ほか"",false)"),"篠原涼子、岡田将生、大泉洋  桐谷健太、山口紗弥加、近藤芳正  矢沢心、能世あんな、山崎大輔  もたいまさこ/生瀬勝久/宇津井健特別調査課の面々が国会への報告書作成でドタバタの日々を送る中、資料確認をしていた芯子と優は、ある小学校の耐震工事費に目をとめる。子どもが60人しかいない小学校が6億円もかけて800人分の教室を改修していたのだ。校長は改修は教育管理委員会の会長・錦が決定したことだと話す。二人は錦に面会するが「工事は子どもの安全のため」と言われ納得せざるを得ない。が、芯子の鼻は別のものをかぎ当ててい"&amp;"た…")</f>
        <v>篠原涼子、岡田将生、大泉洋  桐谷健太、山口紗弥加、近藤芳正  矢沢心、能世あんな、山崎大輔  もたいまさこ/生瀬勝久/宇津井健特別調査課の面々が国会への報告書作成でドタバタの日々を送る中、資料確認をしていた芯子と優は、ある小学校の耐震工事費に目をとめる。子どもが60人しかいない小学校が6億円もかけて800人分の教室を改修していたのだ。校長は改修は教育管理委員会の会長・錦が決定したことだと話す。二人は錦に面会するが「工事は子どもの安全のため」と言われ納得せざるを得ない。が、芯子の鼻は別のものをかぎ当てていた…</v>
      </c>
      <c r="N4270" s="2"/>
      <c r="O4270" s="2"/>
      <c r="P4270" s="1"/>
      <c r="Q4270" s="1"/>
      <c r="R4270" s="1"/>
      <c r="S4270" s="1"/>
      <c r="T4270" s="1"/>
      <c r="U4270" s="1"/>
      <c r="V4270" s="1"/>
      <c r="W4270" s="1"/>
      <c r="X4270" s="1"/>
      <c r="Y4270" s="1"/>
      <c r="Z4270" s="1"/>
      <c r="AA4270" s="1"/>
      <c r="AB4270" s="1"/>
      <c r="AC4270" s="1"/>
      <c r="AD4270" s="1"/>
      <c r="AE4270" s="1"/>
      <c r="AF4270" s="1"/>
      <c r="AG4270" s="1"/>
      <c r="AH4270" s="1"/>
      <c r="AI4270" s="1"/>
      <c r="AJ4270" s="1"/>
      <c r="AK4270" s="1"/>
      <c r="AL4270" s="1"/>
      <c r="AM4270" s="1"/>
      <c r="AN4270" s="1"/>
      <c r="AO4270" s="1"/>
      <c r="AP4270" s="1"/>
      <c r="AQ4270" s="1"/>
      <c r="AR4270" s="1"/>
      <c r="AS4270" s="1"/>
      <c r="AT4270" s="1"/>
      <c r="AU4270" s="1"/>
      <c r="AV4270" s="1"/>
      <c r="AW4270" s="1"/>
      <c r="AX4270" s="1"/>
      <c r="AY4270" s="1"/>
      <c r="AZ4270" s="1"/>
      <c r="BA4270" s="1"/>
      <c r="BB4270" s="1"/>
    </row>
    <row r="4271" ht="204.75" customHeight="1">
      <c r="A4271" s="1">
        <v>4581.0</v>
      </c>
      <c r="B4271" s="2" t="s">
        <v>12495</v>
      </c>
      <c r="C4271" s="2">
        <f>IFERROR(__xludf.DUMMYFUNCTION("split(B4271,""_"")"),1010.0)</f>
        <v>1010</v>
      </c>
      <c r="D4271" s="2" t="str">
        <f>IFERROR(__xludf.DUMMYFUNCTION("""COMPUTED_VALUE"""),"NTV")</f>
        <v>NTV</v>
      </c>
      <c r="E4271" s="2" t="str">
        <f>IFERROR(__xludf.DUMMYFUNCTION("""COMPUTED_VALUE"""),"水22")</f>
        <v>水22</v>
      </c>
      <c r="F4271" s="2" t="s">
        <v>12496</v>
      </c>
      <c r="G4271" s="2" t="s">
        <v>12507</v>
      </c>
      <c r="H4271" s="1">
        <v>6.0</v>
      </c>
      <c r="I4271" s="1" t="s">
        <v>2888</v>
      </c>
      <c r="J4271" s="1" t="s">
        <v>86</v>
      </c>
      <c r="K4271" s="2" t="s">
        <v>12508</v>
      </c>
      <c r="L4271" s="2"/>
      <c r="M4271" s="2" t="str">
        <f>IFERROR(__xludf.DUMMYFUNCTION("split(split(K4271,""【演出"",false),""ほか"",false)"),"篠原涼子、岡田将生、大泉洋  桐谷健太、山口紗弥加、近藤芳正  矢沢心、能世あんな、山崎大輔  もたいまさこ/生瀬勝久/宇津井健東京国立大学の遺伝子工学のスター教授・響ゆかりの科学研究費を調査する事になった芯子たち。当の響は人当たりのいい女性だが、研究室で出会った彼女の親衛隊のような学生軍団「響ファイブ」は、相当響に心酔しており、芯子たちに不遜な態度をとる。怪しいとされた領収書は研究のために響ファイブにバイト代として支払ったもので、この世界ではよくあることだという。しかし響の同僚の教授が芯子たちの前に現れ"&amp;"ある密告をする…")</f>
        <v>篠原涼子、岡田将生、大泉洋  桐谷健太、山口紗弥加、近藤芳正  矢沢心、能世あんな、山崎大輔  もたいまさこ/生瀬勝久/宇津井健東京国立大学の遺伝子工学のスター教授・響ゆかりの科学研究費を調査する事になった芯子たち。当の響は人当たりのいい女性だが、研究室で出会った彼女の親衛隊のような学生軍団「響ファイブ」は、相当響に心酔しており、芯子たちに不遜な態度をとる。怪しいとされた領収書は研究のために響ファイブにバイト代として支払ったもので、この世界ではよくあることだという。しかし響の同僚の教授が芯子たちの前に現れある密告をする…</v>
      </c>
      <c r="N4271" s="2"/>
      <c r="O4271" s="2"/>
      <c r="P4271" s="1"/>
      <c r="Q4271" s="1"/>
      <c r="R4271" s="1"/>
      <c r="S4271" s="1"/>
      <c r="T4271" s="1"/>
      <c r="U4271" s="1"/>
      <c r="V4271" s="1"/>
      <c r="W4271" s="1"/>
      <c r="X4271" s="1"/>
      <c r="Y4271" s="1"/>
      <c r="Z4271" s="1"/>
      <c r="AA4271" s="1"/>
      <c r="AB4271" s="1"/>
      <c r="AC4271" s="1"/>
      <c r="AD4271" s="1"/>
      <c r="AE4271" s="1"/>
      <c r="AF4271" s="1"/>
      <c r="AG4271" s="1"/>
      <c r="AH4271" s="1"/>
      <c r="AI4271" s="1"/>
      <c r="AJ4271" s="1"/>
      <c r="AK4271" s="1"/>
      <c r="AL4271" s="1"/>
      <c r="AM4271" s="1"/>
      <c r="AN4271" s="1"/>
      <c r="AO4271" s="1"/>
      <c r="AP4271" s="1"/>
      <c r="AQ4271" s="1"/>
      <c r="AR4271" s="1"/>
      <c r="AS4271" s="1"/>
      <c r="AT4271" s="1"/>
      <c r="AU4271" s="1"/>
      <c r="AV4271" s="1"/>
      <c r="AW4271" s="1"/>
      <c r="AX4271" s="1"/>
      <c r="AY4271" s="1"/>
      <c r="AZ4271" s="1"/>
      <c r="BA4271" s="1"/>
      <c r="BB4271" s="1"/>
    </row>
    <row r="4272" ht="204.75" customHeight="1">
      <c r="A4272" s="1">
        <v>4582.0</v>
      </c>
      <c r="B4272" s="2" t="s">
        <v>12495</v>
      </c>
      <c r="C4272" s="2">
        <f>IFERROR(__xludf.DUMMYFUNCTION("split(B4272,""_"")"),1010.0)</f>
        <v>1010</v>
      </c>
      <c r="D4272" s="2" t="str">
        <f>IFERROR(__xludf.DUMMYFUNCTION("""COMPUTED_VALUE"""),"NTV")</f>
        <v>NTV</v>
      </c>
      <c r="E4272" s="2" t="str">
        <f>IFERROR(__xludf.DUMMYFUNCTION("""COMPUTED_VALUE"""),"水22")</f>
        <v>水22</v>
      </c>
      <c r="F4272" s="2" t="s">
        <v>12496</v>
      </c>
      <c r="G4272" s="2" t="s">
        <v>12509</v>
      </c>
      <c r="H4272" s="1">
        <v>7.0</v>
      </c>
      <c r="I4272" s="1" t="s">
        <v>2892</v>
      </c>
      <c r="J4272" s="1" t="s">
        <v>86</v>
      </c>
      <c r="K4272" s="2" t="s">
        <v>12510</v>
      </c>
      <c r="L4272" s="2"/>
      <c r="M4272" s="2" t="str">
        <f>IFERROR(__xludf.DUMMYFUNCTION("split(split(K4272,""【演出"",false),""ほか"",false)"),"篠原涼子、岡田将生、大泉洋  桐谷健太、山口紗弥加、近藤芳正  矢沢心、能世あんな、山崎大輔  もたいまさこ/生瀬勝久/宇津井健今回の調査は前アブラビ大使の絵画横領疑惑。大使館で所蔵されているはずの日本画が銀座の高級クラブに飾られており、他の絵画も行方不明になっていた。さっそく調査を始めた芯子たちは大使に絵画の行方を聞くが「現地で盗まれた」とかわされてしまう。  しかし怪しんだ角松らが調査を進めると大使の在任中の無駄遣いと贅沢三昧の記録がぞろぞろと出てきた。さらに調査のため現地アブラビに飛んだ優から驚くべ"&amp;"き事実が告げられる…")</f>
        <v>篠原涼子、岡田将生、大泉洋  桐谷健太、山口紗弥加、近藤芳正  矢沢心、能世あんな、山崎大輔  もたいまさこ/生瀬勝久/宇津井健今回の調査は前アブラビ大使の絵画横領疑惑。大使館で所蔵されているはずの日本画が銀座の高級クラブに飾られており、他の絵画も行方不明になっていた。さっそく調査を始めた芯子たちは大使に絵画の行方を聞くが「現地で盗まれた」とかわされてしまう。  しかし怪しんだ角松らが調査を進めると大使の在任中の無駄遣いと贅沢三昧の記録がぞろぞろと出てきた。さらに調査のため現地アブラビに飛んだ優から驚くべき事実が告げられる…</v>
      </c>
      <c r="N4272" s="2"/>
      <c r="O4272" s="2"/>
      <c r="P4272" s="1"/>
      <c r="Q4272" s="1"/>
      <c r="R4272" s="1"/>
      <c r="S4272" s="1"/>
      <c r="T4272" s="1"/>
      <c r="U4272" s="1"/>
      <c r="V4272" s="1"/>
      <c r="W4272" s="1"/>
      <c r="X4272" s="1"/>
      <c r="Y4272" s="1"/>
      <c r="Z4272" s="1"/>
      <c r="AA4272" s="1"/>
      <c r="AB4272" s="1"/>
      <c r="AC4272" s="1"/>
      <c r="AD4272" s="1"/>
      <c r="AE4272" s="1"/>
      <c r="AF4272" s="1"/>
      <c r="AG4272" s="1"/>
      <c r="AH4272" s="1"/>
      <c r="AI4272" s="1"/>
      <c r="AJ4272" s="1"/>
      <c r="AK4272" s="1"/>
      <c r="AL4272" s="1"/>
      <c r="AM4272" s="1"/>
      <c r="AN4272" s="1"/>
      <c r="AO4272" s="1"/>
      <c r="AP4272" s="1"/>
      <c r="AQ4272" s="1"/>
      <c r="AR4272" s="1"/>
      <c r="AS4272" s="1"/>
      <c r="AT4272" s="1"/>
      <c r="AU4272" s="1"/>
      <c r="AV4272" s="1"/>
      <c r="AW4272" s="1"/>
      <c r="AX4272" s="1"/>
      <c r="AY4272" s="1"/>
      <c r="AZ4272" s="1"/>
      <c r="BA4272" s="1"/>
      <c r="BB4272" s="1"/>
    </row>
    <row r="4273" ht="204.75" customHeight="1">
      <c r="A4273" s="1">
        <v>4583.0</v>
      </c>
      <c r="B4273" s="2" t="s">
        <v>12495</v>
      </c>
      <c r="C4273" s="2">
        <f>IFERROR(__xludf.DUMMYFUNCTION("split(B4273,""_"")"),1010.0)</f>
        <v>1010</v>
      </c>
      <c r="D4273" s="2" t="str">
        <f>IFERROR(__xludf.DUMMYFUNCTION("""COMPUTED_VALUE"""),"NTV")</f>
        <v>NTV</v>
      </c>
      <c r="E4273" s="2" t="str">
        <f>IFERROR(__xludf.DUMMYFUNCTION("""COMPUTED_VALUE"""),"水22")</f>
        <v>水22</v>
      </c>
      <c r="F4273" s="2" t="s">
        <v>12496</v>
      </c>
      <c r="G4273" s="2" t="s">
        <v>12511</v>
      </c>
      <c r="H4273" s="1">
        <v>8.0</v>
      </c>
      <c r="I4273" s="1" t="s">
        <v>2896</v>
      </c>
      <c r="J4273" s="1" t="s">
        <v>86</v>
      </c>
      <c r="K4273" s="2" t="s">
        <v>12512</v>
      </c>
      <c r="L4273" s="2"/>
      <c r="M4273" s="2" t="str">
        <f>IFERROR(__xludf.DUMMYFUNCTION("split(split(K4273,""【演出"",false),""ほか"",false)"),"篠原涼子、岡田将生、大泉洋  桐谷健太、山口紗弥加、近藤芳正  矢沢心、能世あんな、山崎大輔  もたいまさこ/生瀬勝久/宇津井健久留米の推薦で優が総理・樫永の秘書官に抜擢され、ともに戦ってきた会計検査庁のメンバーは複雑な思いで見守る。そんな中芯子たちが今回調査するのは総理が力を入れて取り組んでいるタマリアへのODA。貧しいタマリアへ20年間にわたり毎年3億ドルの援助がなされていた。調査に向かった芯子達に応対するのは今やすっかり総理からの信頼も厚い優だった。数々の疑問点を見事にかわしてくる優を見て、角松や金"&amp;"田は感心するが…")</f>
        <v>篠原涼子、岡田将生、大泉洋  桐谷健太、山口紗弥加、近藤芳正  矢沢心、能世あんな、山崎大輔  もたいまさこ/生瀬勝久/宇津井健久留米の推薦で優が総理・樫永の秘書官に抜擢され、ともに戦ってきた会計検査庁のメンバーは複雑な思いで見守る。そんな中芯子たちが今回調査するのは総理が力を入れて取り組んでいるタマリアへのODA。貧しいタマリアへ20年間にわたり毎年3億ドルの援助がなされていた。調査に向かった芯子達に応対するのは今やすっかり総理からの信頼も厚い優だった。数々の疑問点を見事にかわしてくる優を見て、角松や金田は感心するが…</v>
      </c>
      <c r="N4273" s="2"/>
      <c r="O4273" s="2"/>
      <c r="P4273" s="1"/>
      <c r="Q4273" s="1"/>
      <c r="R4273" s="1"/>
      <c r="S4273" s="1"/>
      <c r="T4273" s="1"/>
      <c r="U4273" s="1"/>
      <c r="V4273" s="1"/>
      <c r="W4273" s="1"/>
      <c r="X4273" s="1"/>
      <c r="Y4273" s="1"/>
      <c r="Z4273" s="1"/>
      <c r="AA4273" s="1"/>
      <c r="AB4273" s="1"/>
      <c r="AC4273" s="1"/>
      <c r="AD4273" s="1"/>
      <c r="AE4273" s="1"/>
      <c r="AF4273" s="1"/>
      <c r="AG4273" s="1"/>
      <c r="AH4273" s="1"/>
      <c r="AI4273" s="1"/>
      <c r="AJ4273" s="1"/>
      <c r="AK4273" s="1"/>
      <c r="AL4273" s="1"/>
      <c r="AM4273" s="1"/>
      <c r="AN4273" s="1"/>
      <c r="AO4273" s="1"/>
      <c r="AP4273" s="1"/>
      <c r="AQ4273" s="1"/>
      <c r="AR4273" s="1"/>
      <c r="AS4273" s="1"/>
      <c r="AT4273" s="1"/>
      <c r="AU4273" s="1"/>
      <c r="AV4273" s="1"/>
      <c r="AW4273" s="1"/>
      <c r="AX4273" s="1"/>
      <c r="AY4273" s="1"/>
      <c r="AZ4273" s="1"/>
      <c r="BA4273" s="1"/>
      <c r="BB4273" s="1"/>
    </row>
    <row r="4274" ht="204.75" customHeight="1">
      <c r="A4274" s="1">
        <v>4584.0</v>
      </c>
      <c r="B4274" s="2" t="s">
        <v>12495</v>
      </c>
      <c r="C4274" s="2">
        <f>IFERROR(__xludf.DUMMYFUNCTION("split(B4274,""_"")"),1010.0)</f>
        <v>1010</v>
      </c>
      <c r="D4274" s="2" t="str">
        <f>IFERROR(__xludf.DUMMYFUNCTION("""COMPUTED_VALUE"""),"NTV")</f>
        <v>NTV</v>
      </c>
      <c r="E4274" s="2" t="str">
        <f>IFERROR(__xludf.DUMMYFUNCTION("""COMPUTED_VALUE"""),"水22")</f>
        <v>水22</v>
      </c>
      <c r="F4274" s="2" t="s">
        <v>12496</v>
      </c>
      <c r="G4274" s="2" t="s">
        <v>12513</v>
      </c>
      <c r="H4274" s="1">
        <v>9.0</v>
      </c>
      <c r="I4274" s="1" t="s">
        <v>2900</v>
      </c>
      <c r="J4274" s="1" t="s">
        <v>82</v>
      </c>
      <c r="K4274" s="2" t="s">
        <v>12514</v>
      </c>
      <c r="L4274" s="2"/>
      <c r="M4274" s="2" t="str">
        <f>IFERROR(__xludf.DUMMYFUNCTION("split(split(K4274,""【演出"",false),""ほか"",false)"),"篠原涼子、岡田将生、大泉洋  桐谷健太、山口紗弥加、近藤芳正  矢沢心、能世あんな、山崎大輔  もたいまさこ/生瀬勝久/宇津井健樫永総理の疑惑に肉薄した芯子、角松、金田は謹慎を言い渡される。「ホントにこれでいいの?」とイラつく芯子だが、いまはカイケンを去るしかなかった。樫永総理から責任を取るよう言われた優は、遺書をしたため街をさまよう。そして、樫永総理の元に久留米検査官が現れーー。  優は、芯子は、権力に負けて正義をあきらめてしまうのか?そして、この国の行方はー?")</f>
        <v>篠原涼子、岡田将生、大泉洋  桐谷健太、山口紗弥加、近藤芳正  矢沢心、能世あんな、山崎大輔  もたいまさこ/生瀬勝久/宇津井健樫永総理の疑惑に肉薄した芯子、角松、金田は謹慎を言い渡される。「ホントにこれでいいの?」とイラつく芯子だが、いまはカイケンを去るしかなかった。樫永総理から責任を取るよう言われた優は、遺書をしたため街をさまよう。そして、樫永総理の元に久留米検査官が現れーー。  優は、芯子は、権力に負けて正義をあきらめてしまうのか?そして、この国の行方はー?</v>
      </c>
      <c r="N4274" s="2"/>
      <c r="O4274" s="2"/>
      <c r="P4274" s="1"/>
      <c r="Q4274" s="1"/>
      <c r="R4274" s="1"/>
      <c r="S4274" s="1"/>
      <c r="T4274" s="1"/>
      <c r="U4274" s="1"/>
      <c r="V4274" s="1"/>
      <c r="W4274" s="1"/>
      <c r="X4274" s="1"/>
      <c r="Y4274" s="1"/>
      <c r="Z4274" s="1"/>
      <c r="AA4274" s="1"/>
      <c r="AB4274" s="1"/>
      <c r="AC4274" s="1"/>
      <c r="AD4274" s="1"/>
      <c r="AE4274" s="1"/>
      <c r="AF4274" s="1"/>
      <c r="AG4274" s="1"/>
      <c r="AH4274" s="1"/>
      <c r="AI4274" s="1"/>
      <c r="AJ4274" s="1"/>
      <c r="AK4274" s="1"/>
      <c r="AL4274" s="1"/>
      <c r="AM4274" s="1"/>
      <c r="AN4274" s="1"/>
      <c r="AO4274" s="1"/>
      <c r="AP4274" s="1"/>
      <c r="AQ4274" s="1"/>
      <c r="AR4274" s="1"/>
      <c r="AS4274" s="1"/>
      <c r="AT4274" s="1"/>
      <c r="AU4274" s="1"/>
      <c r="AV4274" s="1"/>
      <c r="AW4274" s="1"/>
      <c r="AX4274" s="1"/>
      <c r="AY4274" s="1"/>
      <c r="AZ4274" s="1"/>
      <c r="BA4274" s="1"/>
      <c r="BB4274" s="1"/>
    </row>
    <row r="4275" ht="204.75" customHeight="1">
      <c r="A4275" s="1">
        <v>4629.0</v>
      </c>
      <c r="B4275" s="2" t="s">
        <v>12515</v>
      </c>
      <c r="C4275" s="2">
        <f>IFERROR(__xludf.DUMMYFUNCTION("split(B4275,""_"")"),1010.0)</f>
        <v>1010</v>
      </c>
      <c r="D4275" s="2" t="str">
        <f>IFERROR(__xludf.DUMMYFUNCTION("""COMPUTED_VALUE"""),"NTV")</f>
        <v>NTV</v>
      </c>
      <c r="E4275" s="2" t="str">
        <f>IFERROR(__xludf.DUMMYFUNCTION("""COMPUTED_VALUE"""),"土21")</f>
        <v>土21</v>
      </c>
      <c r="F4275" s="2" t="s">
        <v>12516</v>
      </c>
      <c r="G4275" s="2" t="s">
        <v>12517</v>
      </c>
      <c r="H4275" s="1">
        <v>1.0</v>
      </c>
      <c r="I4275" s="1" t="s">
        <v>2868</v>
      </c>
      <c r="J4275" s="1" t="s">
        <v>4</v>
      </c>
      <c r="K4275" s="2" t="s">
        <v>12518</v>
      </c>
      <c r="L4275" s="2"/>
      <c r="M4275" s="2" t="str">
        <f>IFERROR(__xludf.DUMMYFUNCTION("split(split(K4275,""【演出"",false),""ほか"",false)"),"佐藤健、前田敦子、連佛美沙子、賀来賢人、柄本時生、高畑充希、細田よしひこ、  光石研、西田尚美、松岡璃奈子、池松壮亮、白石加代子、  田中裕二(爆笑問題)、小野武彦、薬師丸ひろ子僕が恋した転校生はロボットだったーー。その名前はQ10(キュート)。しかし、どこからどうみてもその姿は人間そのもの?こんな人間そっくりのロボットがあったなんて!いつ、だれが、何のためにつくったのだろう?そんな謎を抱えながらも、ひょんなことから、転校生のQ10のお世話係になってしまう平太。Q10との関わりの中、平太の中で何かが変わっ"&amp;"ていく。ばかばかしくて、でも切なくて・・。涙と笑いの学園ドラマです。狩山俊輔木皿泉金子隆博  小山絵里奈トータルメディアコミュニケーション")</f>
        <v>佐藤健、前田敦子、連佛美沙子、賀来賢人、柄本時生、高畑充希、細田よしひこ、  光石研、西田尚美、松岡璃奈子、池松壮亮、白石加代子、  田中裕二(爆笑問題)、小野武彦、薬師丸ひろ子僕が恋した転校生はロボットだったーー。その名前はQ10(キュート)。しかし、どこからどうみてもその姿は人間そのもの?こんな人間そっくりのロボットがあったなんて!いつ、だれが、何のためにつくったのだろう?そんな謎を抱えながらも、ひょんなことから、転校生のQ10のお世話係になってしまう平太。Q10との関わりの中、平太の中で何かが変わっていく。ばかばかしくて、でも切なくて・・。涙と笑いの学園ドラマです。狩山俊輔木皿泉金子隆博  小山絵里奈トータルメディアコミュニケーション</v>
      </c>
      <c r="N4275" s="2"/>
      <c r="O4275" s="2"/>
      <c r="P4275" s="1"/>
      <c r="Q4275" s="1"/>
      <c r="R4275" s="1"/>
      <c r="S4275" s="1"/>
      <c r="T4275" s="1"/>
      <c r="U4275" s="1"/>
      <c r="V4275" s="1"/>
      <c r="W4275" s="1"/>
      <c r="X4275" s="1"/>
      <c r="Y4275" s="1"/>
      <c r="Z4275" s="1"/>
      <c r="AA4275" s="1"/>
      <c r="AB4275" s="1"/>
      <c r="AC4275" s="1"/>
      <c r="AD4275" s="1"/>
      <c r="AE4275" s="1"/>
      <c r="AF4275" s="1"/>
      <c r="AG4275" s="1"/>
      <c r="AH4275" s="1"/>
      <c r="AI4275" s="1"/>
      <c r="AJ4275" s="1"/>
      <c r="AK4275" s="1"/>
      <c r="AL4275" s="1"/>
      <c r="AM4275" s="1"/>
      <c r="AN4275" s="1"/>
      <c r="AO4275" s="1"/>
      <c r="AP4275" s="1"/>
      <c r="AQ4275" s="1"/>
      <c r="AR4275" s="1"/>
      <c r="AS4275" s="1"/>
      <c r="AT4275" s="1"/>
      <c r="AU4275" s="1"/>
      <c r="AV4275" s="1"/>
      <c r="AW4275" s="1"/>
      <c r="AX4275" s="1"/>
      <c r="AY4275" s="1"/>
      <c r="AZ4275" s="1"/>
      <c r="BA4275" s="1"/>
      <c r="BB4275" s="1"/>
    </row>
    <row r="4276" ht="204.75" customHeight="1">
      <c r="A4276" s="1">
        <v>4630.0</v>
      </c>
      <c r="B4276" s="2" t="s">
        <v>12515</v>
      </c>
      <c r="C4276" s="2">
        <f>IFERROR(__xludf.DUMMYFUNCTION("split(B4276,""_"")"),1010.0)</f>
        <v>1010</v>
      </c>
      <c r="D4276" s="2" t="str">
        <f>IFERROR(__xludf.DUMMYFUNCTION("""COMPUTED_VALUE"""),"NTV")</f>
        <v>NTV</v>
      </c>
      <c r="E4276" s="2" t="str">
        <f>IFERROR(__xludf.DUMMYFUNCTION("""COMPUTED_VALUE"""),"土21")</f>
        <v>土21</v>
      </c>
      <c r="F4276" s="2" t="s">
        <v>12516</v>
      </c>
      <c r="G4276" s="2" t="s">
        <v>12519</v>
      </c>
      <c r="H4276" s="1">
        <v>2.0</v>
      </c>
      <c r="I4276" s="1" t="s">
        <v>2872</v>
      </c>
      <c r="J4276" s="1" t="s">
        <v>11</v>
      </c>
      <c r="K4276" s="2" t="s">
        <v>12520</v>
      </c>
      <c r="L4276" s="2"/>
      <c r="M4276" s="2" t="str">
        <f>IFERROR(__xludf.DUMMYFUNCTION("split(split(K4276,""【演出"",false),""ほか"",false)"),"佐藤健、前田敦子、蓮佛美沙子、賀来賢人、柄本時生、高畑充希、細田よしひこ、  福田麻由子、光石研、西田尚美、松岡璃奈子、池松壮亮、白石加代子、  田中裕二(爆笑問題)、小野武彦、薬師丸ひろ子「恋は革命ですよ。自分の中の常識が全部ひっくり返ってしまうようなものなの」  Q10が教室にやってきて数日。担任の小川は平太のクラスメイト中尾がQ10をつけ回していることに気づく。中尾はQ10に恋心を抱いていたのだった。Q10がロボットであることがばれてしまうのを恐れた小川は、平太に「中尾にあきらめさせろ」と告げる。仕"&amp;"方なく平太は中尾の恋を終わらせようとするのだが…。狩山俊輔木皿泉【音楽】金子隆博、小山絵里奈  【主題歌】高橋優「ほんとのきもち」(ワーナーミュージック・ジャパン)【制作協力】トータルメディアコミュニケーション")</f>
        <v>佐藤健、前田敦子、蓮佛美沙子、賀来賢人、柄本時生、高畑充希、細田よしひこ、  福田麻由子、光石研、西田尚美、松岡璃奈子、池松壮亮、白石加代子、  田中裕二(爆笑問題)、小野武彦、薬師丸ひろ子「恋は革命ですよ。自分の中の常識が全部ひっくり返ってしまうようなものなの」  Q10が教室にやってきて数日。担任の小川は平太のクラスメイト中尾がQ10をつけ回していることに気づく。中尾はQ10に恋心を抱いていたのだった。Q10がロボットであることがばれてしまうのを恐れた小川は、平太に「中尾にあきらめさせろ」と告げる。仕方なく平太は中尾の恋を終わらせようとするのだが…。狩山俊輔木皿泉【音楽】金子隆博、小山絵里奈  【主題歌】高橋優「ほんとのきもち」(ワーナーミュージック・ジャパン)【制作協力】トータルメディアコミュニケーション</v>
      </c>
      <c r="N4276" s="2"/>
      <c r="O4276" s="2"/>
      <c r="P4276" s="1"/>
      <c r="Q4276" s="1"/>
      <c r="R4276" s="1"/>
      <c r="S4276" s="1"/>
      <c r="T4276" s="1"/>
      <c r="U4276" s="1"/>
      <c r="V4276" s="1"/>
      <c r="W4276" s="1"/>
      <c r="X4276" s="1"/>
      <c r="Y4276" s="1"/>
      <c r="Z4276" s="1"/>
      <c r="AA4276" s="1"/>
      <c r="AB4276" s="1"/>
      <c r="AC4276" s="1"/>
      <c r="AD4276" s="1"/>
      <c r="AE4276" s="1"/>
      <c r="AF4276" s="1"/>
      <c r="AG4276" s="1"/>
      <c r="AH4276" s="1"/>
      <c r="AI4276" s="1"/>
      <c r="AJ4276" s="1"/>
      <c r="AK4276" s="1"/>
      <c r="AL4276" s="1"/>
      <c r="AM4276" s="1"/>
      <c r="AN4276" s="1"/>
      <c r="AO4276" s="1"/>
      <c r="AP4276" s="1"/>
      <c r="AQ4276" s="1"/>
      <c r="AR4276" s="1"/>
      <c r="AS4276" s="1"/>
      <c r="AT4276" s="1"/>
      <c r="AU4276" s="1"/>
      <c r="AV4276" s="1"/>
      <c r="AW4276" s="1"/>
      <c r="AX4276" s="1"/>
      <c r="AY4276" s="1"/>
      <c r="AZ4276" s="1"/>
      <c r="BA4276" s="1"/>
      <c r="BB4276" s="1"/>
    </row>
    <row r="4277" ht="204.75" customHeight="1">
      <c r="A4277" s="1">
        <v>4631.0</v>
      </c>
      <c r="B4277" s="2" t="s">
        <v>12515</v>
      </c>
      <c r="C4277" s="2">
        <f>IFERROR(__xludf.DUMMYFUNCTION("split(B4277,""_"")"),1010.0)</f>
        <v>1010</v>
      </c>
      <c r="D4277" s="2" t="str">
        <f>IFERROR(__xludf.DUMMYFUNCTION("""COMPUTED_VALUE"""),"NTV")</f>
        <v>NTV</v>
      </c>
      <c r="E4277" s="2" t="str">
        <f>IFERROR(__xludf.DUMMYFUNCTION("""COMPUTED_VALUE"""),"土21")</f>
        <v>土21</v>
      </c>
      <c r="F4277" s="2" t="s">
        <v>12516</v>
      </c>
      <c r="G4277" s="2" t="s">
        <v>12521</v>
      </c>
      <c r="H4277" s="1">
        <v>3.0</v>
      </c>
      <c r="I4277" s="1" t="s">
        <v>2876</v>
      </c>
      <c r="J4277" s="1" t="s">
        <v>11</v>
      </c>
      <c r="K4277" s="2" t="s">
        <v>12522</v>
      </c>
      <c r="L4277" s="2"/>
      <c r="M4277" s="2" t="str">
        <f>IFERROR(__xludf.DUMMYFUNCTION("split(split(K4277,""【演出"",false),""ほか"",false)"),"佐藤健、前田敦子、蓮佛美沙子、賀来賢人、柄本時生、高畑充希、細田よしひこ、  福田麻由子、光石研、西田尚美、松岡璃奈子、池松壮亮、白石加代子、  田中裕二(爆笑問題)、小野武彦、薬師丸ひろ子文化祭を前に平太は憂うつな気分だった。受験祈願の踊りも憂うつだし、一年のとき互いに意識しあっていた女の子との苦い思い出がよみがえるのだ。  そんな中クラスの河合がミスコン代表に選ばれた。河合に想いをよせる影山は河合を応援しようとするがーー。  その頃Q10は藤丘が先輩から「ヤバイ仕事」に誘われるのを目撃し、Q10は藤丘"&amp;"のために動き始める。  一方、文化祭から逃げようとする平太の前には月子が現れーー。佐久間紀佳木皿泉【音楽】金子隆博、小山絵里奈  【主題歌】高橋優「ほんとのきもち」(ワーナーミュージック・ジャパン)【制作協力】トータルメディアコミュニケーション")</f>
        <v>佐藤健、前田敦子、蓮佛美沙子、賀来賢人、柄本時生、高畑充希、細田よしひこ、  福田麻由子、光石研、西田尚美、松岡璃奈子、池松壮亮、白石加代子、  田中裕二(爆笑問題)、小野武彦、薬師丸ひろ子文化祭を前に平太は憂うつな気分だった。受験祈願の踊りも憂うつだし、一年のとき互いに意識しあっていた女の子との苦い思い出がよみがえるのだ。  そんな中クラスの河合がミスコン代表に選ばれた。河合に想いをよせる影山は河合を応援しようとするがーー。  その頃Q10は藤丘が先輩から「ヤバイ仕事」に誘われるのを目撃し、Q10は藤丘のために動き始める。  一方、文化祭から逃げようとする平太の前には月子が現れーー。佐久間紀佳木皿泉【音楽】金子隆博、小山絵里奈  【主題歌】高橋優「ほんとのきもち」(ワーナーミュージック・ジャパン)【制作協力】トータルメディアコミュニケーション</v>
      </c>
      <c r="N4277" s="2"/>
      <c r="O4277" s="2"/>
      <c r="P4277" s="1"/>
      <c r="Q4277" s="1"/>
      <c r="R4277" s="1"/>
      <c r="S4277" s="1"/>
      <c r="T4277" s="1"/>
      <c r="U4277" s="1"/>
      <c r="V4277" s="1"/>
      <c r="W4277" s="1"/>
      <c r="X4277" s="1"/>
      <c r="Y4277" s="1"/>
      <c r="Z4277" s="1"/>
      <c r="AA4277" s="1"/>
      <c r="AB4277" s="1"/>
      <c r="AC4277" s="1"/>
      <c r="AD4277" s="1"/>
      <c r="AE4277" s="1"/>
      <c r="AF4277" s="1"/>
      <c r="AG4277" s="1"/>
      <c r="AH4277" s="1"/>
      <c r="AI4277" s="1"/>
      <c r="AJ4277" s="1"/>
      <c r="AK4277" s="1"/>
      <c r="AL4277" s="1"/>
      <c r="AM4277" s="1"/>
      <c r="AN4277" s="1"/>
      <c r="AO4277" s="1"/>
      <c r="AP4277" s="1"/>
      <c r="AQ4277" s="1"/>
      <c r="AR4277" s="1"/>
      <c r="AS4277" s="1"/>
      <c r="AT4277" s="1"/>
      <c r="AU4277" s="1"/>
      <c r="AV4277" s="1"/>
      <c r="AW4277" s="1"/>
      <c r="AX4277" s="1"/>
      <c r="AY4277" s="1"/>
      <c r="AZ4277" s="1"/>
      <c r="BA4277" s="1"/>
      <c r="BB4277" s="1"/>
    </row>
    <row r="4278" ht="204.75" customHeight="1">
      <c r="A4278" s="1">
        <v>4632.0</v>
      </c>
      <c r="B4278" s="2" t="s">
        <v>12515</v>
      </c>
      <c r="C4278" s="2">
        <f>IFERROR(__xludf.DUMMYFUNCTION("split(B4278,""_"")"),1010.0)</f>
        <v>1010</v>
      </c>
      <c r="D4278" s="2" t="str">
        <f>IFERROR(__xludf.DUMMYFUNCTION("""COMPUTED_VALUE"""),"NTV")</f>
        <v>NTV</v>
      </c>
      <c r="E4278" s="2" t="str">
        <f>IFERROR(__xludf.DUMMYFUNCTION("""COMPUTED_VALUE"""),"土21")</f>
        <v>土21</v>
      </c>
      <c r="F4278" s="2" t="s">
        <v>12516</v>
      </c>
      <c r="G4278" s="2" t="s">
        <v>12523</v>
      </c>
      <c r="H4278" s="1">
        <v>4.0</v>
      </c>
      <c r="I4278" s="1" t="s">
        <v>2880</v>
      </c>
      <c r="J4278" s="1" t="s">
        <v>11</v>
      </c>
      <c r="K4278" s="2" t="s">
        <v>12524</v>
      </c>
      <c r="L4278" s="2"/>
      <c r="M4278" s="2" t="str">
        <f>IFERROR(__xludf.DUMMYFUNCTION("split(split(K4278,""【演出"",false),""ほか"",false)"),"佐藤健、前田敦子、蓮佛美沙子、賀来賢人、柄本時生、高畑充希、細田よしひこ、  福田麻由子、光石研、西田尚美、松岡璃奈子、池松壮亮、白石加代子、  田中裕二(爆笑問題)、小野武彦、薬師丸ひろ子高校3年の平太に進路の提出期限が迫っていた。自分の未来が見えずに悩む平太。  そんな中クラスメイトの中尾に、Q10は人間じゃないか?としつこく追求され平太は困惑する。  平太のクラスメイトたちも進路が決まらず悩んでいた。  一方、進路など必要ないQ10はQ10なりに「努力」を始める。そんなQ10を見てますます焦り始める"&amp;"平太。Q10のこと、家族のこと、そして自分のこと。悩みを抱える平太の前に月子が現れーー狩山俊輔    木皿泉【音楽】金子隆博、小山絵里奈  【主題歌】高橋優「ほんとのきもち」(ワーナーミュージック・ジャパン)【制作協力】トータルメディアコミュニケーション")</f>
        <v>佐藤健、前田敦子、蓮佛美沙子、賀来賢人、柄本時生、高畑充希、細田よしひこ、  福田麻由子、光石研、西田尚美、松岡璃奈子、池松壮亮、白石加代子、  田中裕二(爆笑問題)、小野武彦、薬師丸ひろ子高校3年の平太に進路の提出期限が迫っていた。自分の未来が見えずに悩む平太。  そんな中クラスメイトの中尾に、Q10は人間じゃないか?としつこく追求され平太は困惑する。  平太のクラスメイトたちも進路が決まらず悩んでいた。  一方、進路など必要ないQ10はQ10なりに「努力」を始める。そんなQ10を見てますます焦り始める平太。Q10のこと、家族のこと、そして自分のこと。悩みを抱える平太の前に月子が現れーー狩山俊輔    木皿泉【音楽】金子隆博、小山絵里奈  【主題歌】高橋優「ほんとのきもち」(ワーナーミュージック・ジャパン)【制作協力】トータルメディアコミュニケーション</v>
      </c>
      <c r="N4278" s="2"/>
      <c r="O4278" s="2"/>
      <c r="P4278" s="1"/>
      <c r="Q4278" s="1"/>
      <c r="R4278" s="1"/>
      <c r="S4278" s="1"/>
      <c r="T4278" s="1"/>
      <c r="U4278" s="1"/>
      <c r="V4278" s="1"/>
      <c r="W4278" s="1"/>
      <c r="X4278" s="1"/>
      <c r="Y4278" s="1"/>
      <c r="Z4278" s="1"/>
      <c r="AA4278" s="1"/>
      <c r="AB4278" s="1"/>
      <c r="AC4278" s="1"/>
      <c r="AD4278" s="1"/>
      <c r="AE4278" s="1"/>
      <c r="AF4278" s="1"/>
      <c r="AG4278" s="1"/>
      <c r="AH4278" s="1"/>
      <c r="AI4278" s="1"/>
      <c r="AJ4278" s="1"/>
      <c r="AK4278" s="1"/>
      <c r="AL4278" s="1"/>
      <c r="AM4278" s="1"/>
      <c r="AN4278" s="1"/>
      <c r="AO4278" s="1"/>
      <c r="AP4278" s="1"/>
      <c r="AQ4278" s="1"/>
      <c r="AR4278" s="1"/>
      <c r="AS4278" s="1"/>
      <c r="AT4278" s="1"/>
      <c r="AU4278" s="1"/>
      <c r="AV4278" s="1"/>
      <c r="AW4278" s="1"/>
      <c r="AX4278" s="1"/>
      <c r="AY4278" s="1"/>
      <c r="AZ4278" s="1"/>
      <c r="BA4278" s="1"/>
      <c r="BB4278" s="1"/>
    </row>
    <row r="4279" ht="204.75" customHeight="1">
      <c r="A4279" s="1">
        <v>4633.0</v>
      </c>
      <c r="B4279" s="2" t="s">
        <v>12515</v>
      </c>
      <c r="C4279" s="2">
        <f>IFERROR(__xludf.DUMMYFUNCTION("split(B4279,""_"")"),1010.0)</f>
        <v>1010</v>
      </c>
      <c r="D4279" s="2" t="str">
        <f>IFERROR(__xludf.DUMMYFUNCTION("""COMPUTED_VALUE"""),"NTV")</f>
        <v>NTV</v>
      </c>
      <c r="E4279" s="2" t="str">
        <f>IFERROR(__xludf.DUMMYFUNCTION("""COMPUTED_VALUE"""),"土21")</f>
        <v>土21</v>
      </c>
      <c r="F4279" s="2" t="s">
        <v>12516</v>
      </c>
      <c r="G4279" s="2" t="s">
        <v>12525</v>
      </c>
      <c r="H4279" s="1">
        <v>5.0</v>
      </c>
      <c r="I4279" s="1" t="s">
        <v>2884</v>
      </c>
      <c r="J4279" s="1" t="s">
        <v>11</v>
      </c>
      <c r="K4279" s="2" t="s">
        <v>12526</v>
      </c>
      <c r="L4279" s="2"/>
      <c r="M4279" s="2" t="str">
        <f>IFERROR(__xludf.DUMMYFUNCTION("split(split(K4279,""【演出"",false),""ほか"",false)"),"佐藤健、前田敦子、蓮佛美沙子、賀来賢人、柄本時生、高畑充希、細田よしひこ、  福田麻由子、光石研、西田尚美、松岡璃奈子、池松壮亮、白石加代子、  田中裕二(爆笑問題)、小野武彦、薬師丸ひろ子ついに中尾にQ10の正体がロボットだとバレてしまった。中尾は、秘密を守る代わりにQ10をくれない?と言い出す。  平太は柳たちに相談すると「全てが丸く収まるならQ10をリセットして中尾に渡すか」と言い出す。  そんなことをしたら今まで平太がQ10と二人で過ごした時間も全て消えてしまう。何より平太にとってQ10はかけがえ"&amp;"のないものになっていた。  しかしどうしようもない平太はQ10を中尾に渡してしまうー。")</f>
        <v>佐藤健、前田敦子、蓮佛美沙子、賀来賢人、柄本時生、高畑充希、細田よしひこ、  福田麻由子、光石研、西田尚美、松岡璃奈子、池松壮亮、白石加代子、  田中裕二(爆笑問題)、小野武彦、薬師丸ひろ子ついに中尾にQ10の正体がロボットだとバレてしまった。中尾は、秘密を守る代わりにQ10をくれない?と言い出す。  平太は柳たちに相談すると「全てが丸く収まるならQ10をリセットして中尾に渡すか」と言い出す。  そんなことをしたら今まで平太がQ10と二人で過ごした時間も全て消えてしまう。何より平太にとってQ10はかけがえのないものになっていた。  しかしどうしようもない平太はQ10を中尾に渡してしまうー。</v>
      </c>
      <c r="N4279" s="2"/>
      <c r="O4279" s="2"/>
      <c r="P4279" s="1"/>
      <c r="Q4279" s="1"/>
      <c r="R4279" s="1"/>
      <c r="S4279" s="1"/>
      <c r="T4279" s="1"/>
      <c r="U4279" s="1"/>
      <c r="V4279" s="1"/>
      <c r="W4279" s="1"/>
      <c r="X4279" s="1"/>
      <c r="Y4279" s="1"/>
      <c r="Z4279" s="1"/>
      <c r="AA4279" s="1"/>
      <c r="AB4279" s="1"/>
      <c r="AC4279" s="1"/>
      <c r="AD4279" s="1"/>
      <c r="AE4279" s="1"/>
      <c r="AF4279" s="1"/>
      <c r="AG4279" s="1"/>
      <c r="AH4279" s="1"/>
      <c r="AI4279" s="1"/>
      <c r="AJ4279" s="1"/>
      <c r="AK4279" s="1"/>
      <c r="AL4279" s="1"/>
      <c r="AM4279" s="1"/>
      <c r="AN4279" s="1"/>
      <c r="AO4279" s="1"/>
      <c r="AP4279" s="1"/>
      <c r="AQ4279" s="1"/>
      <c r="AR4279" s="1"/>
      <c r="AS4279" s="1"/>
      <c r="AT4279" s="1"/>
      <c r="AU4279" s="1"/>
      <c r="AV4279" s="1"/>
      <c r="AW4279" s="1"/>
      <c r="AX4279" s="1"/>
      <c r="AY4279" s="1"/>
      <c r="AZ4279" s="1"/>
      <c r="BA4279" s="1"/>
      <c r="BB4279" s="1"/>
    </row>
    <row r="4280" ht="204.75" customHeight="1">
      <c r="A4280" s="1">
        <v>4634.0</v>
      </c>
      <c r="B4280" s="2" t="s">
        <v>12515</v>
      </c>
      <c r="C4280" s="2">
        <f>IFERROR(__xludf.DUMMYFUNCTION("split(B4280,""_"")"),1010.0)</f>
        <v>1010</v>
      </c>
      <c r="D4280" s="2" t="str">
        <f>IFERROR(__xludf.DUMMYFUNCTION("""COMPUTED_VALUE"""),"NTV")</f>
        <v>NTV</v>
      </c>
      <c r="E4280" s="2" t="str">
        <f>IFERROR(__xludf.DUMMYFUNCTION("""COMPUTED_VALUE"""),"土21")</f>
        <v>土21</v>
      </c>
      <c r="F4280" s="2" t="s">
        <v>12516</v>
      </c>
      <c r="G4280" s="2" t="s">
        <v>12527</v>
      </c>
      <c r="H4280" s="1">
        <v>6.0</v>
      </c>
      <c r="I4280" s="1" t="s">
        <v>2888</v>
      </c>
      <c r="J4280" s="1" t="s">
        <v>11</v>
      </c>
      <c r="K4280" s="2" t="s">
        <v>12528</v>
      </c>
      <c r="L4280" s="2"/>
      <c r="M4280" s="2" t="str">
        <f>IFERROR(__xludf.DUMMYFUNCTION("split(split(K4280,""【演出"",false),""ほか"",false)"),"佐藤健、前田敦子、蓮佛美沙子、賀来賢人、柄本時生、高畑充希、細田よしひこ、  福田麻由子、光石研、西田尚美、松岡璃奈子、池松壮亮、白石加代子、  田中裕二(爆笑問題)、小野武彦、薬師丸ひろ子「人間の命よりQ10が大事だ」  Q10への想いをはっきりと自覚した平太。  いっぽう入院中の久保は、病院に顔を出すようになった民子を意識し始める。  久保は平太に初めて「死ぬのが怖い」と言い出す。  もし大切な人が急にいなくなってしまったら。  久保と同様に大切な人が出来たからこその痛みを理解する平太は久保のためにあ"&amp;"る行動にでる。  その頃藤丘が家庭の事情で学校をやめようとしていた。  それを知ったQ10はー")</f>
        <v>佐藤健、前田敦子、蓮佛美沙子、賀来賢人、柄本時生、高畑充希、細田よしひこ、  福田麻由子、光石研、西田尚美、松岡璃奈子、池松壮亮、白石加代子、  田中裕二(爆笑問題)、小野武彦、薬師丸ひろ子「人間の命よりQ10が大事だ」  Q10への想いをはっきりと自覚した平太。  いっぽう入院中の久保は、病院に顔を出すようになった民子を意識し始める。  久保は平太に初めて「死ぬのが怖い」と言い出す。  もし大切な人が急にいなくなってしまったら。  久保と同様に大切な人が出来たからこその痛みを理解する平太は久保のためにある行動にでる。  その頃藤丘が家庭の事情で学校をやめようとしていた。  それを知ったQ10はー</v>
      </c>
      <c r="N4280" s="2"/>
      <c r="O4280" s="2"/>
      <c r="P4280" s="1"/>
      <c r="Q4280" s="1"/>
      <c r="R4280" s="1"/>
      <c r="S4280" s="1"/>
      <c r="T4280" s="1"/>
      <c r="U4280" s="1"/>
      <c r="V4280" s="1"/>
      <c r="W4280" s="1"/>
      <c r="X4280" s="1"/>
      <c r="Y4280" s="1"/>
      <c r="Z4280" s="1"/>
      <c r="AA4280" s="1"/>
      <c r="AB4280" s="1"/>
      <c r="AC4280" s="1"/>
      <c r="AD4280" s="1"/>
      <c r="AE4280" s="1"/>
      <c r="AF4280" s="1"/>
      <c r="AG4280" s="1"/>
      <c r="AH4280" s="1"/>
      <c r="AI4280" s="1"/>
      <c r="AJ4280" s="1"/>
      <c r="AK4280" s="1"/>
      <c r="AL4280" s="1"/>
      <c r="AM4280" s="1"/>
      <c r="AN4280" s="1"/>
      <c r="AO4280" s="1"/>
      <c r="AP4280" s="1"/>
      <c r="AQ4280" s="1"/>
      <c r="AR4280" s="1"/>
      <c r="AS4280" s="1"/>
      <c r="AT4280" s="1"/>
      <c r="AU4280" s="1"/>
      <c r="AV4280" s="1"/>
      <c r="AW4280" s="1"/>
      <c r="AX4280" s="1"/>
      <c r="AY4280" s="1"/>
      <c r="AZ4280" s="1"/>
      <c r="BA4280" s="1"/>
      <c r="BB4280" s="1"/>
    </row>
    <row r="4281" ht="204.75" customHeight="1">
      <c r="A4281" s="1">
        <v>4635.0</v>
      </c>
      <c r="B4281" s="2" t="s">
        <v>12515</v>
      </c>
      <c r="C4281" s="2">
        <f>IFERROR(__xludf.DUMMYFUNCTION("split(B4281,""_"")"),1010.0)</f>
        <v>1010</v>
      </c>
      <c r="D4281" s="2" t="str">
        <f>IFERROR(__xludf.DUMMYFUNCTION("""COMPUTED_VALUE"""),"NTV")</f>
        <v>NTV</v>
      </c>
      <c r="E4281" s="2" t="str">
        <f>IFERROR(__xludf.DUMMYFUNCTION("""COMPUTED_VALUE"""),"土21")</f>
        <v>土21</v>
      </c>
      <c r="F4281" s="2" t="s">
        <v>12516</v>
      </c>
      <c r="G4281" s="2" t="s">
        <v>12529</v>
      </c>
      <c r="H4281" s="1">
        <v>7.0</v>
      </c>
      <c r="I4281" s="1" t="s">
        <v>2892</v>
      </c>
      <c r="J4281" s="1" t="s">
        <v>11</v>
      </c>
      <c r="K4281" s="2" t="s">
        <v>12530</v>
      </c>
      <c r="L4281" s="2"/>
      <c r="M4281" s="2" t="str">
        <f>IFERROR(__xludf.DUMMYFUNCTION("split(split(K4281,""【演出"",false),""ほか"",false)"),"佐藤健、前田敦子、蓮佛美沙子、賀来賢人、柄本時生、高畑充希、細田よしひこ、  福田麻由子、光石研、西田尚美、松岡璃奈子、池松壮亮、白石加代子、  田中裕二(爆笑問題)、小野武彦、薬師丸ひろ子平太のクラスに月子が登校してくるようになった。  「Q10は私たちのもの」とQ10の秘密を握っている月子。  Q10を撤収されることを恐れた平太は、Q10を連れて逃げることを決意する。  東京を離れ、知らない街にたどり着いた平太とQ10。  平太はQ10をどこかに隠そうとする。  そんなふたりを月子が追ってきてーー。")</f>
        <v>佐藤健、前田敦子、蓮佛美沙子、賀来賢人、柄本時生、高畑充希、細田よしひこ、  福田麻由子、光石研、西田尚美、松岡璃奈子、池松壮亮、白石加代子、  田中裕二(爆笑問題)、小野武彦、薬師丸ひろ子平太のクラスに月子が登校してくるようになった。  「Q10は私たちのもの」とQ10の秘密を握っている月子。  Q10を撤収されることを恐れた平太は、Q10を連れて逃げることを決意する。  東京を離れ、知らない街にたどり着いた平太とQ10。  平太はQ10をどこかに隠そうとする。  そんなふたりを月子が追ってきてーー。</v>
      </c>
      <c r="N4281" s="2"/>
      <c r="O4281" s="2"/>
      <c r="P4281" s="1"/>
      <c r="Q4281" s="1"/>
      <c r="R4281" s="1"/>
      <c r="S4281" s="1"/>
      <c r="T4281" s="1"/>
      <c r="U4281" s="1"/>
      <c r="V4281" s="1"/>
      <c r="W4281" s="1"/>
      <c r="X4281" s="1"/>
      <c r="Y4281" s="1"/>
      <c r="Z4281" s="1"/>
      <c r="AA4281" s="1"/>
      <c r="AB4281" s="1"/>
      <c r="AC4281" s="1"/>
      <c r="AD4281" s="1"/>
      <c r="AE4281" s="1"/>
      <c r="AF4281" s="1"/>
      <c r="AG4281" s="1"/>
      <c r="AH4281" s="1"/>
      <c r="AI4281" s="1"/>
      <c r="AJ4281" s="1"/>
      <c r="AK4281" s="1"/>
      <c r="AL4281" s="1"/>
      <c r="AM4281" s="1"/>
      <c r="AN4281" s="1"/>
      <c r="AO4281" s="1"/>
      <c r="AP4281" s="1"/>
      <c r="AQ4281" s="1"/>
      <c r="AR4281" s="1"/>
      <c r="AS4281" s="1"/>
      <c r="AT4281" s="1"/>
      <c r="AU4281" s="1"/>
      <c r="AV4281" s="1"/>
      <c r="AW4281" s="1"/>
      <c r="AX4281" s="1"/>
      <c r="AY4281" s="1"/>
      <c r="AZ4281" s="1"/>
      <c r="BA4281" s="1"/>
      <c r="BB4281" s="1"/>
    </row>
    <row r="4282" ht="204.75" customHeight="1">
      <c r="A4282" s="1">
        <v>4636.0</v>
      </c>
      <c r="B4282" s="2" t="s">
        <v>12515</v>
      </c>
      <c r="C4282" s="2">
        <f>IFERROR(__xludf.DUMMYFUNCTION("split(B4282,""_"")"),1010.0)</f>
        <v>1010</v>
      </c>
      <c r="D4282" s="2" t="str">
        <f>IFERROR(__xludf.DUMMYFUNCTION("""COMPUTED_VALUE"""),"NTV")</f>
        <v>NTV</v>
      </c>
      <c r="E4282" s="2" t="str">
        <f>IFERROR(__xludf.DUMMYFUNCTION("""COMPUTED_VALUE"""),"土21")</f>
        <v>土21</v>
      </c>
      <c r="F4282" s="2" t="s">
        <v>12516</v>
      </c>
      <c r="G4282" s="2" t="s">
        <v>12531</v>
      </c>
      <c r="H4282" s="1">
        <v>8.0</v>
      </c>
      <c r="I4282" s="1" t="s">
        <v>2896</v>
      </c>
      <c r="J4282" s="1" t="s">
        <v>11</v>
      </c>
      <c r="K4282" s="2" t="s">
        <v>12532</v>
      </c>
      <c r="L4282" s="2"/>
      <c r="M4282" s="2" t="str">
        <f>IFERROR(__xludf.DUMMYFUNCTION("split(split(K4282,""【演出"",false),""ほか"",false)"),"佐藤健、前田敦子、蓮佛美沙子、賀来賢人、柄本時生、高畑充希、細田よしひこ、  福田麻由子、光石研、西田尚美、松岡璃奈子、池松壮亮、白石加代子、  田中裕二(爆笑問題)、小野武彦、薬師丸ひろ子「Q10、回収することに決まったから」  そう告げる月子に平太は動揺する。Q10は何の為にここに来たのか、月子に聞く平太。  「全部話したら私のお願い聞いてくれる?」  Q10の秘密を知る為に平太はQ10を連れて月子に会いに行くがー。  そのころ中尾は月子からもらったカプセルの中身をあけてしまう。そこには見たこともない"&amp;"機械が入っていた。中尾は柳に相談しに理科準備室へと向かう。謎のカプセルは一体何なのかー?")</f>
        <v>佐藤健、前田敦子、蓮佛美沙子、賀来賢人、柄本時生、高畑充希、細田よしひこ、  福田麻由子、光石研、西田尚美、松岡璃奈子、池松壮亮、白石加代子、  田中裕二(爆笑問題)、小野武彦、薬師丸ひろ子「Q10、回収することに決まったから」  そう告げる月子に平太は動揺する。Q10は何の為にここに来たのか、月子に聞く平太。  「全部話したら私のお願い聞いてくれる?」  Q10の秘密を知る為に平太はQ10を連れて月子に会いに行くがー。  そのころ中尾は月子からもらったカプセルの中身をあけてしまう。そこには見たこともない機械が入っていた。中尾は柳に相談しに理科準備室へと向かう。謎のカプセルは一体何なのかー?</v>
      </c>
      <c r="N4282" s="2"/>
      <c r="O4282" s="2"/>
      <c r="P4282" s="1"/>
      <c r="Q4282" s="1"/>
      <c r="R4282" s="1"/>
      <c r="S4282" s="1"/>
      <c r="T4282" s="1"/>
      <c r="U4282" s="1"/>
      <c r="V4282" s="1"/>
      <c r="W4282" s="1"/>
      <c r="X4282" s="1"/>
      <c r="Y4282" s="1"/>
      <c r="Z4282" s="1"/>
      <c r="AA4282" s="1"/>
      <c r="AB4282" s="1"/>
      <c r="AC4282" s="1"/>
      <c r="AD4282" s="1"/>
      <c r="AE4282" s="1"/>
      <c r="AF4282" s="1"/>
      <c r="AG4282" s="1"/>
      <c r="AH4282" s="1"/>
      <c r="AI4282" s="1"/>
      <c r="AJ4282" s="1"/>
      <c r="AK4282" s="1"/>
      <c r="AL4282" s="1"/>
      <c r="AM4282" s="1"/>
      <c r="AN4282" s="1"/>
      <c r="AO4282" s="1"/>
      <c r="AP4282" s="1"/>
      <c r="AQ4282" s="1"/>
      <c r="AR4282" s="1"/>
      <c r="AS4282" s="1"/>
      <c r="AT4282" s="1"/>
      <c r="AU4282" s="1"/>
      <c r="AV4282" s="1"/>
      <c r="AW4282" s="1"/>
      <c r="AX4282" s="1"/>
      <c r="AY4282" s="1"/>
      <c r="AZ4282" s="1"/>
      <c r="BA4282" s="1"/>
      <c r="BB4282" s="1"/>
    </row>
    <row r="4283" ht="204.75" customHeight="1">
      <c r="A4283" s="1">
        <v>4637.0</v>
      </c>
      <c r="B4283" s="2" t="s">
        <v>12515</v>
      </c>
      <c r="C4283" s="2">
        <f>IFERROR(__xludf.DUMMYFUNCTION("split(B4283,""_"")"),1010.0)</f>
        <v>1010</v>
      </c>
      <c r="D4283" s="2" t="str">
        <f>IFERROR(__xludf.DUMMYFUNCTION("""COMPUTED_VALUE"""),"NTV")</f>
        <v>NTV</v>
      </c>
      <c r="E4283" s="2" t="str">
        <f>IFERROR(__xludf.DUMMYFUNCTION("""COMPUTED_VALUE"""),"土21")</f>
        <v>土21</v>
      </c>
      <c r="F4283" s="2" t="s">
        <v>12516</v>
      </c>
      <c r="G4283" s="2" t="s">
        <v>12533</v>
      </c>
      <c r="H4283" s="1">
        <v>9.0</v>
      </c>
      <c r="I4283" s="1" t="s">
        <v>2900</v>
      </c>
      <c r="J4283" s="1" t="s">
        <v>11</v>
      </c>
      <c r="K4283" s="2" t="s">
        <v>12534</v>
      </c>
      <c r="L4283" s="2"/>
      <c r="M4283" s="2" t="str">
        <f>IFERROR(__xludf.DUMMYFUNCTION("split(split(K4283,""【演出"",false),""ほか"",false)"),"佐藤健、前田敦子、蓮佛美沙子、賀来賢人、柄本時生、高畑充希、細田よしひこ、  福田麻由子、光石研、西田尚美、松岡璃奈子、池松壮亮、白石加代子、  田中裕二(爆笑問題)、小野武彦、薬師丸ひろ子Q10のリセットボタンを押してしまったあの日以来、平太は何かが止まってしまったようにぼんやりと過ごしていた。Q10は70年後の未来から来たロボットだったこと。平太は未だに全てを受け入れられないでいた。  月子は2080年に戻るため理科準備室である探し物をしていた。そこで偶然柳と出くわした月子はQ10に関するある意外な事"&amp;"実を告げる。  「もう一度、Q10に会いたいーー」  平太の願いは届くのかーー?")</f>
        <v>佐藤健、前田敦子、蓮佛美沙子、賀来賢人、柄本時生、高畑充希、細田よしひこ、  福田麻由子、光石研、西田尚美、松岡璃奈子、池松壮亮、白石加代子、  田中裕二(爆笑問題)、小野武彦、薬師丸ひろ子Q10のリセットボタンを押してしまったあの日以来、平太は何かが止まってしまったようにぼんやりと過ごしていた。Q10は70年後の未来から来たロボットだったこと。平太は未だに全てを受け入れられないでいた。  月子は2080年に戻るため理科準備室である探し物をしていた。そこで偶然柳と出くわした月子はQ10に関するある意外な事実を告げる。  「もう一度、Q10に会いたいーー」  平太の願いは届くのかーー?</v>
      </c>
      <c r="N4283" s="2"/>
      <c r="O4283" s="2"/>
      <c r="P4283" s="1"/>
      <c r="Q4283" s="1"/>
      <c r="R4283" s="1"/>
      <c r="S4283" s="1"/>
      <c r="T4283" s="1"/>
      <c r="U4283" s="1"/>
      <c r="V4283" s="1"/>
      <c r="W4283" s="1"/>
      <c r="X4283" s="1"/>
      <c r="Y4283" s="1"/>
      <c r="Z4283" s="1"/>
      <c r="AA4283" s="1"/>
      <c r="AB4283" s="1"/>
      <c r="AC4283" s="1"/>
      <c r="AD4283" s="1"/>
      <c r="AE4283" s="1"/>
      <c r="AF4283" s="1"/>
      <c r="AG4283" s="1"/>
      <c r="AH4283" s="1"/>
      <c r="AI4283" s="1"/>
      <c r="AJ4283" s="1"/>
      <c r="AK4283" s="1"/>
      <c r="AL4283" s="1"/>
      <c r="AM4283" s="1"/>
      <c r="AN4283" s="1"/>
      <c r="AO4283" s="1"/>
      <c r="AP4283" s="1"/>
      <c r="AQ4283" s="1"/>
      <c r="AR4283" s="1"/>
      <c r="AS4283" s="1"/>
      <c r="AT4283" s="1"/>
      <c r="AU4283" s="1"/>
      <c r="AV4283" s="1"/>
      <c r="AW4283" s="1"/>
      <c r="AX4283" s="1"/>
      <c r="AY4283" s="1"/>
      <c r="AZ4283" s="1"/>
      <c r="BA4283" s="1"/>
      <c r="BB4283" s="1"/>
    </row>
    <row r="4284" ht="204.75" customHeight="1">
      <c r="A4284" s="1">
        <v>4678.0</v>
      </c>
      <c r="B4284" s="2" t="s">
        <v>12535</v>
      </c>
      <c r="C4284" s="2">
        <f>IFERROR(__xludf.DUMMYFUNCTION("split(B4284,""_"")"),1007.0)</f>
        <v>1007</v>
      </c>
      <c r="D4284" s="2" t="str">
        <f>IFERROR(__xludf.DUMMYFUNCTION("""COMPUTED_VALUE"""),"NTV")</f>
        <v>NTV</v>
      </c>
      <c r="E4284" s="2" t="str">
        <f>IFERROR(__xludf.DUMMYFUNCTION("""COMPUTED_VALUE"""),"水22")</f>
        <v>水22</v>
      </c>
      <c r="F4284" s="2" t="s">
        <v>12536</v>
      </c>
      <c r="G4284" s="2" t="s">
        <v>12537</v>
      </c>
      <c r="H4284" s="1">
        <v>1.0</v>
      </c>
      <c r="I4284" s="1" t="s">
        <v>2868</v>
      </c>
      <c r="J4284" s="1" t="s">
        <v>82</v>
      </c>
      <c r="K4284" s="2" t="s">
        <v>12538</v>
      </c>
      <c r="L4284" s="2"/>
      <c r="M4284" s="2" t="str">
        <f>IFERROR(__xludf.DUMMYFUNCTION("split(split(K4284,""【演出"",false),""ほか"",false)"),"綾瀬はるか、向井理、板谷由夏、臼田あさ美、安田顕、木村多江、藤木直人　(他)「干物女」ことOLのホタル(綾瀬はるか)が3年ぶりに日本に帰って来た。部長(藤木直人)のいる第一企画部に配属になるが、契約社員の瀬乃(向井理)、美香(臼田あさ美)などメンバーは様変わりしている。淡々と働くホタルと部長を見て、成り行きを知る二ツ木(安田顕)と山田姐さん(板谷由夏)は「男女が3年も離れていれば以前のようにはいかない」と囁きあう。部長は小夏という女性(木村多江)と毎晩のように会っていた…")</f>
        <v>綾瀬はるか、向井理、板谷由夏、臼田あさ美、安田顕、木村多江、藤木直人　(他)「干物女」ことOLのホタル(綾瀬はるか)が3年ぶりに日本に帰って来た。部長(藤木直人)のいる第一企画部に配属になるが、契約社員の瀬乃(向井理)、美香(臼田あさ美)などメンバーは様変わりしている。淡々と働くホタルと部長を見て、成り行きを知る二ツ木(安田顕)と山田姐さん(板谷由夏)は「男女が3年も離れていれば以前のようにはいかない」と囁きあう。部長は小夏という女性(木村多江)と毎晩のように会っていた…</v>
      </c>
      <c r="N4284" s="2"/>
      <c r="O4284" s="2"/>
      <c r="P4284" s="1"/>
      <c r="Q4284" s="1"/>
      <c r="R4284" s="1"/>
      <c r="S4284" s="1"/>
      <c r="T4284" s="1"/>
      <c r="U4284" s="1"/>
      <c r="V4284" s="1"/>
      <c r="W4284" s="1"/>
      <c r="X4284" s="1"/>
      <c r="Y4284" s="1"/>
      <c r="Z4284" s="1"/>
      <c r="AA4284" s="1"/>
      <c r="AB4284" s="1"/>
      <c r="AC4284" s="1"/>
      <c r="AD4284" s="1"/>
      <c r="AE4284" s="1"/>
      <c r="AF4284" s="1"/>
      <c r="AG4284" s="1"/>
      <c r="AH4284" s="1"/>
      <c r="AI4284" s="1"/>
      <c r="AJ4284" s="1"/>
      <c r="AK4284" s="1"/>
      <c r="AL4284" s="1"/>
      <c r="AM4284" s="1"/>
      <c r="AN4284" s="1"/>
      <c r="AO4284" s="1"/>
      <c r="AP4284" s="1"/>
      <c r="AQ4284" s="1"/>
      <c r="AR4284" s="1"/>
      <c r="AS4284" s="1"/>
      <c r="AT4284" s="1"/>
      <c r="AU4284" s="1"/>
      <c r="AV4284" s="1"/>
      <c r="AW4284" s="1"/>
      <c r="AX4284" s="1"/>
      <c r="AY4284" s="1"/>
      <c r="AZ4284" s="1"/>
      <c r="BA4284" s="1"/>
      <c r="BB4284" s="1"/>
    </row>
    <row r="4285" ht="204.75" customHeight="1">
      <c r="A4285" s="1">
        <v>4679.0</v>
      </c>
      <c r="B4285" s="2" t="s">
        <v>12535</v>
      </c>
      <c r="C4285" s="2">
        <f>IFERROR(__xludf.DUMMYFUNCTION("split(B4285,""_"")"),1007.0)</f>
        <v>1007</v>
      </c>
      <c r="D4285" s="2" t="str">
        <f>IFERROR(__xludf.DUMMYFUNCTION("""COMPUTED_VALUE"""),"NTV")</f>
        <v>NTV</v>
      </c>
      <c r="E4285" s="2" t="str">
        <f>IFERROR(__xludf.DUMMYFUNCTION("""COMPUTED_VALUE"""),"水22")</f>
        <v>水22</v>
      </c>
      <c r="F4285" s="2" t="s">
        <v>12536</v>
      </c>
      <c r="G4285" s="2" t="s">
        <v>12539</v>
      </c>
      <c r="H4285" s="1">
        <v>2.0</v>
      </c>
      <c r="I4285" s="1" t="s">
        <v>2872</v>
      </c>
      <c r="J4285" s="1" t="s">
        <v>86</v>
      </c>
      <c r="K4285" s="2" t="s">
        <v>12540</v>
      </c>
      <c r="L4285" s="2"/>
      <c r="M4285" s="2" t="str">
        <f>IFERROR(__xludf.DUMMYFUNCTION("split(split(K4285,""【演出"",false),""ほか"",false)"),"綾瀬はるか、向井理、板谷由夏、臼田あさ美、安田顕、木村多江、藤木直人　(他)高野部長(藤木直人)に「結婚しよう」と言われてウキウキ気分のホタル(綾瀬はるか)。しかし、余計なものを買いまくるなど部長に頼まれたお使いもできないホタルに部長は「節約できない女とは結婚できない」と言い渡す。  ホタルは「結婚」のためにも「節約美女になる」と宣言!  しかし仕事でプライベートの「節約」どころではなくなってしまい・・・")</f>
        <v>綾瀬はるか、向井理、板谷由夏、臼田あさ美、安田顕、木村多江、藤木直人　(他)高野部長(藤木直人)に「結婚しよう」と言われてウキウキ気分のホタル(綾瀬はるか)。しかし、余計なものを買いまくるなど部長に頼まれたお使いもできないホタルに部長は「節約できない女とは結婚できない」と言い渡す。  ホタルは「結婚」のためにも「節約美女になる」と宣言!  しかし仕事でプライベートの「節約」どころではなくなってしまい・・・</v>
      </c>
      <c r="N4285" s="2"/>
      <c r="O4285" s="2"/>
      <c r="P4285" s="1"/>
      <c r="Q4285" s="1"/>
      <c r="R4285" s="1"/>
      <c r="S4285" s="1"/>
      <c r="T4285" s="1"/>
      <c r="U4285" s="1"/>
      <c r="V4285" s="1"/>
      <c r="W4285" s="1"/>
      <c r="X4285" s="1"/>
      <c r="Y4285" s="1"/>
      <c r="Z4285" s="1"/>
      <c r="AA4285" s="1"/>
      <c r="AB4285" s="1"/>
      <c r="AC4285" s="1"/>
      <c r="AD4285" s="1"/>
      <c r="AE4285" s="1"/>
      <c r="AF4285" s="1"/>
      <c r="AG4285" s="1"/>
      <c r="AH4285" s="1"/>
      <c r="AI4285" s="1"/>
      <c r="AJ4285" s="1"/>
      <c r="AK4285" s="1"/>
      <c r="AL4285" s="1"/>
      <c r="AM4285" s="1"/>
      <c r="AN4285" s="1"/>
      <c r="AO4285" s="1"/>
      <c r="AP4285" s="1"/>
      <c r="AQ4285" s="1"/>
      <c r="AR4285" s="1"/>
      <c r="AS4285" s="1"/>
      <c r="AT4285" s="1"/>
      <c r="AU4285" s="1"/>
      <c r="AV4285" s="1"/>
      <c r="AW4285" s="1"/>
      <c r="AX4285" s="1"/>
      <c r="AY4285" s="1"/>
      <c r="AZ4285" s="1"/>
      <c r="BA4285" s="1"/>
      <c r="BB4285" s="1"/>
    </row>
    <row r="4286" ht="204.75" customHeight="1">
      <c r="A4286" s="1">
        <v>4680.0</v>
      </c>
      <c r="B4286" s="2" t="s">
        <v>12535</v>
      </c>
      <c r="C4286" s="2">
        <f>IFERROR(__xludf.DUMMYFUNCTION("split(B4286,""_"")"),1007.0)</f>
        <v>1007</v>
      </c>
      <c r="D4286" s="2" t="str">
        <f>IFERROR(__xludf.DUMMYFUNCTION("""COMPUTED_VALUE"""),"NTV")</f>
        <v>NTV</v>
      </c>
      <c r="E4286" s="2" t="str">
        <f>IFERROR(__xludf.DUMMYFUNCTION("""COMPUTED_VALUE"""),"水22")</f>
        <v>水22</v>
      </c>
      <c r="F4286" s="2" t="s">
        <v>12536</v>
      </c>
      <c r="G4286" s="2" t="s">
        <v>12541</v>
      </c>
      <c r="H4286" s="1">
        <v>3.0</v>
      </c>
      <c r="I4286" s="1" t="s">
        <v>2876</v>
      </c>
      <c r="J4286" s="1" t="s">
        <v>86</v>
      </c>
      <c r="K4286" s="2" t="s">
        <v>12542</v>
      </c>
      <c r="L4286" s="2"/>
      <c r="M4286" s="2" t="str">
        <f>IFERROR(__xludf.DUMMYFUNCTION("split(split(K4286,""【演出"",false),""ほか"",false)"),"綾瀬はるか、向井理、板谷由夏、臼田あさ美、安田顕、木村多江、藤木直人　(他)ホタルは、テレビで落語家の話を聞き「結婚するためには、我慢が必要」と新たな目標を掲げる。  そんな折、ホタルの顔に大量のじんましんができてしまった。病院では「心因性じんましん」かもと診断される。二ツ木と山田姐さんは「ホタルのストレスはチューもしてないことに違いない!」と部長をたきつける。悩みながらもホタルのためにチューを決意し、家路につく部長。  ところが当のホタルは…")</f>
        <v>綾瀬はるか、向井理、板谷由夏、臼田あさ美、安田顕、木村多江、藤木直人　(他)ホタルは、テレビで落語家の話を聞き「結婚するためには、我慢が必要」と新たな目標を掲げる。  そんな折、ホタルの顔に大量のじんましんができてしまった。病院では「心因性じんましん」かもと診断される。二ツ木と山田姐さんは「ホタルのストレスはチューもしてないことに違いない!」と部長をたきつける。悩みながらもホタルのためにチューを決意し、家路につく部長。  ところが当のホタルは…</v>
      </c>
      <c r="N4286" s="2"/>
      <c r="O4286" s="2"/>
      <c r="P4286" s="1"/>
      <c r="Q4286" s="1"/>
      <c r="R4286" s="1"/>
      <c r="S4286" s="1"/>
      <c r="T4286" s="1"/>
      <c r="U4286" s="1"/>
      <c r="V4286" s="1"/>
      <c r="W4286" s="1"/>
      <c r="X4286" s="1"/>
      <c r="Y4286" s="1"/>
      <c r="Z4286" s="1"/>
      <c r="AA4286" s="1"/>
      <c r="AB4286" s="1"/>
      <c r="AC4286" s="1"/>
      <c r="AD4286" s="1"/>
      <c r="AE4286" s="1"/>
      <c r="AF4286" s="1"/>
      <c r="AG4286" s="1"/>
      <c r="AH4286" s="1"/>
      <c r="AI4286" s="1"/>
      <c r="AJ4286" s="1"/>
      <c r="AK4286" s="1"/>
      <c r="AL4286" s="1"/>
      <c r="AM4286" s="1"/>
      <c r="AN4286" s="1"/>
      <c r="AO4286" s="1"/>
      <c r="AP4286" s="1"/>
      <c r="AQ4286" s="1"/>
      <c r="AR4286" s="1"/>
      <c r="AS4286" s="1"/>
      <c r="AT4286" s="1"/>
      <c r="AU4286" s="1"/>
      <c r="AV4286" s="1"/>
      <c r="AW4286" s="1"/>
      <c r="AX4286" s="1"/>
      <c r="AY4286" s="1"/>
      <c r="AZ4286" s="1"/>
      <c r="BA4286" s="1"/>
      <c r="BB4286" s="1"/>
    </row>
    <row r="4287" ht="204.75" customHeight="1">
      <c r="A4287" s="1">
        <v>4681.0</v>
      </c>
      <c r="B4287" s="2" t="s">
        <v>12535</v>
      </c>
      <c r="C4287" s="2">
        <f>IFERROR(__xludf.DUMMYFUNCTION("split(B4287,""_"")"),1007.0)</f>
        <v>1007</v>
      </c>
      <c r="D4287" s="2" t="str">
        <f>IFERROR(__xludf.DUMMYFUNCTION("""COMPUTED_VALUE"""),"NTV")</f>
        <v>NTV</v>
      </c>
      <c r="E4287" s="2" t="str">
        <f>IFERROR(__xludf.DUMMYFUNCTION("""COMPUTED_VALUE"""),"水22")</f>
        <v>水22</v>
      </c>
      <c r="F4287" s="2" t="s">
        <v>12536</v>
      </c>
      <c r="G4287" s="2" t="s">
        <v>12543</v>
      </c>
      <c r="H4287" s="1">
        <v>4.0</v>
      </c>
      <c r="I4287" s="1" t="s">
        <v>2880</v>
      </c>
      <c r="J4287" s="1" t="s">
        <v>86</v>
      </c>
      <c r="K4287" s="2" t="s">
        <v>12544</v>
      </c>
      <c r="L4287" s="2"/>
      <c r="M4287" s="2" t="str">
        <f>IFERROR(__xludf.DUMMYFUNCTION("split(split(K4287,""【演出"",false),""ほか"",false)"),"綾瀬はるか、向井理、板谷由夏、臼田あさ美、安田顕、木村多江、藤木直人　(他)高野部長とホタルの家に瀬乃と美香が訪ねてきた。大慌ての2人はとりあえず「結婚を前提に同居をしている」と説明する。驚く2人だったが、「ぜんぜんラブラブな感じがないけど本当に好きなのか?」とホタルにつっこむ。  ホタルは“ラブラブ”を目指して頑張ることに決め、メールでラブラブしているつもりになっていたが、部長が小夏と一緒に旅行に行っていることがわかり…")</f>
        <v>綾瀬はるか、向井理、板谷由夏、臼田あさ美、安田顕、木村多江、藤木直人　(他)高野部長とホタルの家に瀬乃と美香が訪ねてきた。大慌ての2人はとりあえず「結婚を前提に同居をしている」と説明する。驚く2人だったが、「ぜんぜんラブラブな感じがないけど本当に好きなのか?」とホタルにつっこむ。  ホタルは“ラブラブ”を目指して頑張ることに決め、メールでラブラブしているつもりになっていたが、部長が小夏と一緒に旅行に行っていることがわかり…</v>
      </c>
      <c r="N4287" s="2"/>
      <c r="O4287" s="2"/>
      <c r="P4287" s="1"/>
      <c r="Q4287" s="1"/>
      <c r="R4287" s="1"/>
      <c r="S4287" s="1"/>
      <c r="T4287" s="1"/>
      <c r="U4287" s="1"/>
      <c r="V4287" s="1"/>
      <c r="W4287" s="1"/>
      <c r="X4287" s="1"/>
      <c r="Y4287" s="1"/>
      <c r="Z4287" s="1"/>
      <c r="AA4287" s="1"/>
      <c r="AB4287" s="1"/>
      <c r="AC4287" s="1"/>
      <c r="AD4287" s="1"/>
      <c r="AE4287" s="1"/>
      <c r="AF4287" s="1"/>
      <c r="AG4287" s="1"/>
      <c r="AH4287" s="1"/>
      <c r="AI4287" s="1"/>
      <c r="AJ4287" s="1"/>
      <c r="AK4287" s="1"/>
      <c r="AL4287" s="1"/>
      <c r="AM4287" s="1"/>
      <c r="AN4287" s="1"/>
      <c r="AO4287" s="1"/>
      <c r="AP4287" s="1"/>
      <c r="AQ4287" s="1"/>
      <c r="AR4287" s="1"/>
      <c r="AS4287" s="1"/>
      <c r="AT4287" s="1"/>
      <c r="AU4287" s="1"/>
      <c r="AV4287" s="1"/>
      <c r="AW4287" s="1"/>
      <c r="AX4287" s="1"/>
      <c r="AY4287" s="1"/>
      <c r="AZ4287" s="1"/>
      <c r="BA4287" s="1"/>
      <c r="BB4287" s="1"/>
    </row>
    <row r="4288" ht="204.75" customHeight="1">
      <c r="A4288" s="1">
        <v>4682.0</v>
      </c>
      <c r="B4288" s="2" t="s">
        <v>12535</v>
      </c>
      <c r="C4288" s="2">
        <f>IFERROR(__xludf.DUMMYFUNCTION("split(B4288,""_"")"),1007.0)</f>
        <v>1007</v>
      </c>
      <c r="D4288" s="2" t="str">
        <f>IFERROR(__xludf.DUMMYFUNCTION("""COMPUTED_VALUE"""),"NTV")</f>
        <v>NTV</v>
      </c>
      <c r="E4288" s="2" t="str">
        <f>IFERROR(__xludf.DUMMYFUNCTION("""COMPUTED_VALUE"""),"水22")</f>
        <v>水22</v>
      </c>
      <c r="F4288" s="2" t="s">
        <v>12536</v>
      </c>
      <c r="G4288" s="2" t="s">
        <v>12545</v>
      </c>
      <c r="H4288" s="1">
        <v>5.0</v>
      </c>
      <c r="I4288" s="1" t="s">
        <v>2884</v>
      </c>
      <c r="J4288" s="1" t="s">
        <v>86</v>
      </c>
      <c r="K4288" s="2" t="s">
        <v>12546</v>
      </c>
      <c r="L4288" s="2"/>
      <c r="M4288" s="2" t="str">
        <f>IFERROR(__xludf.DUMMYFUNCTION("split(split(K4288,""【演出"",false),""ほか"",false)"),"綾瀬はるか、向井理、板谷由夏、臼田あさ美、安田顕、木村多江、藤木直人　(他)瀬乃からホタルへの想いを打ち明けられた部長は、相変わらず家でゴロゴロするホタルを前に「こんな女に惚れる男がいるなんて…」と複雑な気分。一方「雨宮も部長と結婚して専業主婦になれば、働かなくてもビールが飲める」と瀬乃に言われたホタルは「私は専業主婦に向いていると思う!」と部長に告げる。専業主婦を目指すことに決めたホタルに部長は朝食作りを命じるが、朝早い部長の朝食作りはホタルにとって高いハードルとなり…")</f>
        <v>綾瀬はるか、向井理、板谷由夏、臼田あさ美、安田顕、木村多江、藤木直人　(他)瀬乃からホタルへの想いを打ち明けられた部長は、相変わらず家でゴロゴロするホタルを前に「こんな女に惚れる男がいるなんて…」と複雑な気分。一方「雨宮も部長と結婚して専業主婦になれば、働かなくてもビールが飲める」と瀬乃に言われたホタルは「私は専業主婦に向いていると思う!」と部長に告げる。専業主婦を目指すことに決めたホタルに部長は朝食作りを命じるが、朝早い部長の朝食作りはホタルにとって高いハードルとなり…</v>
      </c>
      <c r="N4288" s="2"/>
      <c r="O4288" s="2"/>
      <c r="P4288" s="1"/>
      <c r="Q4288" s="1"/>
      <c r="R4288" s="1"/>
      <c r="S4288" s="1"/>
      <c r="T4288" s="1"/>
      <c r="U4288" s="1"/>
      <c r="V4288" s="1"/>
      <c r="W4288" s="1"/>
      <c r="X4288" s="1"/>
      <c r="Y4288" s="1"/>
      <c r="Z4288" s="1"/>
      <c r="AA4288" s="1"/>
      <c r="AB4288" s="1"/>
      <c r="AC4288" s="1"/>
      <c r="AD4288" s="1"/>
      <c r="AE4288" s="1"/>
      <c r="AF4288" s="1"/>
      <c r="AG4288" s="1"/>
      <c r="AH4288" s="1"/>
      <c r="AI4288" s="1"/>
      <c r="AJ4288" s="1"/>
      <c r="AK4288" s="1"/>
      <c r="AL4288" s="1"/>
      <c r="AM4288" s="1"/>
      <c r="AN4288" s="1"/>
      <c r="AO4288" s="1"/>
      <c r="AP4288" s="1"/>
      <c r="AQ4288" s="1"/>
      <c r="AR4288" s="1"/>
      <c r="AS4288" s="1"/>
      <c r="AT4288" s="1"/>
      <c r="AU4288" s="1"/>
      <c r="AV4288" s="1"/>
      <c r="AW4288" s="1"/>
      <c r="AX4288" s="1"/>
      <c r="AY4288" s="1"/>
      <c r="AZ4288" s="1"/>
      <c r="BA4288" s="1"/>
      <c r="BB4288" s="1"/>
    </row>
    <row r="4289" ht="204.75" customHeight="1">
      <c r="A4289" s="1">
        <v>4683.0</v>
      </c>
      <c r="B4289" s="2" t="s">
        <v>12535</v>
      </c>
      <c r="C4289" s="2">
        <f>IFERROR(__xludf.DUMMYFUNCTION("split(B4289,""_"")"),1007.0)</f>
        <v>1007</v>
      </c>
      <c r="D4289" s="2" t="str">
        <f>IFERROR(__xludf.DUMMYFUNCTION("""COMPUTED_VALUE"""),"NTV")</f>
        <v>NTV</v>
      </c>
      <c r="E4289" s="2" t="str">
        <f>IFERROR(__xludf.DUMMYFUNCTION("""COMPUTED_VALUE"""),"水22")</f>
        <v>水22</v>
      </c>
      <c r="F4289" s="2" t="s">
        <v>12536</v>
      </c>
      <c r="G4289" s="2" t="s">
        <v>12547</v>
      </c>
      <c r="H4289" s="1">
        <v>6.0</v>
      </c>
      <c r="I4289" s="1" t="s">
        <v>2888</v>
      </c>
      <c r="J4289" s="1" t="s">
        <v>86</v>
      </c>
      <c r="K4289" s="2" t="s">
        <v>12548</v>
      </c>
      <c r="L4289" s="2"/>
      <c r="M4289" s="2" t="str">
        <f>IFERROR(__xludf.DUMMYFUNCTION("split(split(K4289,""【演出"",false),""ほか"",false)"),"綾瀬はるか、向井理、板谷由夏、臼田あさ美、安田顕、木村多江、藤木直人　(他)「結婚はやめよう」と部長に言われてしまったホタル。同居は変わらず…の関係に「ま、いっか」なホタルだったが、山田姐さんに「結婚をやめるってことは他の男のモノになってもかまわないってことなんだから」と言われてしまう。「部長をハラハラさせて、もう一回プロポーズさせろ」と高度な恋愛技術を吹き込む山田姐さんに、ホタルは「ぶちょおをほっておく」と決意。一方瀬乃は、そんなホタルの変化を感じ取っていたーー。")</f>
        <v>綾瀬はるか、向井理、板谷由夏、臼田あさ美、安田顕、木村多江、藤木直人　(他)「結婚はやめよう」と部長に言われてしまったホタル。同居は変わらず…の関係に「ま、いっか」なホタルだったが、山田姐さんに「結婚をやめるってことは他の男のモノになってもかまわないってことなんだから」と言われてしまう。「部長をハラハラさせて、もう一回プロポーズさせろ」と高度な恋愛技術を吹き込む山田姐さんに、ホタルは「ぶちょおをほっておく」と決意。一方瀬乃は、そんなホタルの変化を感じ取っていたーー。</v>
      </c>
      <c r="N4289" s="2"/>
      <c r="O4289" s="2"/>
      <c r="P4289" s="1"/>
      <c r="Q4289" s="1"/>
      <c r="R4289" s="1"/>
      <c r="S4289" s="1"/>
      <c r="T4289" s="1"/>
      <c r="U4289" s="1"/>
      <c r="V4289" s="1"/>
      <c r="W4289" s="1"/>
      <c r="X4289" s="1"/>
      <c r="Y4289" s="1"/>
      <c r="Z4289" s="1"/>
      <c r="AA4289" s="1"/>
      <c r="AB4289" s="1"/>
      <c r="AC4289" s="1"/>
      <c r="AD4289" s="1"/>
      <c r="AE4289" s="1"/>
      <c r="AF4289" s="1"/>
      <c r="AG4289" s="1"/>
      <c r="AH4289" s="1"/>
      <c r="AI4289" s="1"/>
      <c r="AJ4289" s="1"/>
      <c r="AK4289" s="1"/>
      <c r="AL4289" s="1"/>
      <c r="AM4289" s="1"/>
      <c r="AN4289" s="1"/>
      <c r="AO4289" s="1"/>
      <c r="AP4289" s="1"/>
      <c r="AQ4289" s="1"/>
      <c r="AR4289" s="1"/>
      <c r="AS4289" s="1"/>
      <c r="AT4289" s="1"/>
      <c r="AU4289" s="1"/>
      <c r="AV4289" s="1"/>
      <c r="AW4289" s="1"/>
      <c r="AX4289" s="1"/>
      <c r="AY4289" s="1"/>
      <c r="AZ4289" s="1"/>
      <c r="BA4289" s="1"/>
      <c r="BB4289" s="1"/>
    </row>
    <row r="4290" ht="204.75" customHeight="1">
      <c r="A4290" s="1">
        <v>4684.0</v>
      </c>
      <c r="B4290" s="2" t="s">
        <v>12535</v>
      </c>
      <c r="C4290" s="2">
        <f>IFERROR(__xludf.DUMMYFUNCTION("split(B4290,""_"")"),1007.0)</f>
        <v>1007</v>
      </c>
      <c r="D4290" s="2" t="str">
        <f>IFERROR(__xludf.DUMMYFUNCTION("""COMPUTED_VALUE"""),"NTV")</f>
        <v>NTV</v>
      </c>
      <c r="E4290" s="2" t="str">
        <f>IFERROR(__xludf.DUMMYFUNCTION("""COMPUTED_VALUE"""),"水22")</f>
        <v>水22</v>
      </c>
      <c r="F4290" s="2" t="s">
        <v>12536</v>
      </c>
      <c r="G4290" s="2" t="s">
        <v>12549</v>
      </c>
      <c r="H4290" s="1">
        <v>7.0</v>
      </c>
      <c r="I4290" s="1" t="s">
        <v>2892</v>
      </c>
      <c r="J4290" s="1" t="s">
        <v>86</v>
      </c>
      <c r="K4290" s="2" t="s">
        <v>12550</v>
      </c>
      <c r="L4290" s="2"/>
      <c r="M4290" s="2" t="str">
        <f>IFERROR(__xludf.DUMMYFUNCTION("split(split(K4290,""【演出"",false),""ほか"",false)"),"綾瀬はるか、向井理、板谷由夏、臼田あさ美、安田顕、木村多江、藤木直人　(他)高野部長(藤木直人)に自分からプロポーズしたホタル(綾瀬はるか)だったが、瀬乃(向井理)に告白され、話しかけられるだけでドキドキしてしまう。  ある日、美香(臼田あさ美)たちがパワースポットに行くという話で盛り上がっていた。ホタルは「ぶちょおとの結婚に向けて、頑張り続けるパワーをつけるため」と一緒に行くことにしたのだが…。")</f>
        <v>綾瀬はるか、向井理、板谷由夏、臼田あさ美、安田顕、木村多江、藤木直人　(他)高野部長(藤木直人)に自分からプロポーズしたホタル(綾瀬はるか)だったが、瀬乃(向井理)に告白され、話しかけられるだけでドキドキしてしまう。  ある日、美香(臼田あさ美)たちがパワースポットに行くという話で盛り上がっていた。ホタルは「ぶちょおとの結婚に向けて、頑張り続けるパワーをつけるため」と一緒に行くことにしたのだが…。</v>
      </c>
      <c r="N4290" s="2"/>
      <c r="O4290" s="2"/>
      <c r="P4290" s="1"/>
      <c r="Q4290" s="1"/>
      <c r="R4290" s="1"/>
      <c r="S4290" s="1"/>
      <c r="T4290" s="1"/>
      <c r="U4290" s="1"/>
      <c r="V4290" s="1"/>
      <c r="W4290" s="1"/>
      <c r="X4290" s="1"/>
      <c r="Y4290" s="1"/>
      <c r="Z4290" s="1"/>
      <c r="AA4290" s="1"/>
      <c r="AB4290" s="1"/>
      <c r="AC4290" s="1"/>
      <c r="AD4290" s="1"/>
      <c r="AE4290" s="1"/>
      <c r="AF4290" s="1"/>
      <c r="AG4290" s="1"/>
      <c r="AH4290" s="1"/>
      <c r="AI4290" s="1"/>
      <c r="AJ4290" s="1"/>
      <c r="AK4290" s="1"/>
      <c r="AL4290" s="1"/>
      <c r="AM4290" s="1"/>
      <c r="AN4290" s="1"/>
      <c r="AO4290" s="1"/>
      <c r="AP4290" s="1"/>
      <c r="AQ4290" s="1"/>
      <c r="AR4290" s="1"/>
      <c r="AS4290" s="1"/>
      <c r="AT4290" s="1"/>
      <c r="AU4290" s="1"/>
      <c r="AV4290" s="1"/>
      <c r="AW4290" s="1"/>
      <c r="AX4290" s="1"/>
      <c r="AY4290" s="1"/>
      <c r="AZ4290" s="1"/>
      <c r="BA4290" s="1"/>
      <c r="BB4290" s="1"/>
    </row>
    <row r="4291" ht="204.75" customHeight="1">
      <c r="A4291" s="1">
        <v>4685.0</v>
      </c>
      <c r="B4291" s="2" t="s">
        <v>12535</v>
      </c>
      <c r="C4291" s="2">
        <f>IFERROR(__xludf.DUMMYFUNCTION("split(B4291,""_"")"),1007.0)</f>
        <v>1007</v>
      </c>
      <c r="D4291" s="2" t="str">
        <f>IFERROR(__xludf.DUMMYFUNCTION("""COMPUTED_VALUE"""),"NTV")</f>
        <v>NTV</v>
      </c>
      <c r="E4291" s="2" t="str">
        <f>IFERROR(__xludf.DUMMYFUNCTION("""COMPUTED_VALUE"""),"水22")</f>
        <v>水22</v>
      </c>
      <c r="F4291" s="2" t="s">
        <v>12536</v>
      </c>
      <c r="G4291" s="2" t="s">
        <v>12551</v>
      </c>
      <c r="H4291" s="1">
        <v>8.0</v>
      </c>
      <c r="I4291" s="1" t="s">
        <v>2896</v>
      </c>
      <c r="J4291" s="1" t="s">
        <v>86</v>
      </c>
      <c r="K4291" s="2" t="s">
        <v>12552</v>
      </c>
      <c r="L4291" s="2"/>
      <c r="M4291" s="2" t="str">
        <f>IFERROR(__xludf.DUMMYFUNCTION("split(split(K4291,""【演出"",false),""ほか"",false)"),"綾瀬はるか、向井理、板谷由夏、臼田あさ美、安田顕、木村多江、藤木直人　(他)部長(藤木直人)から「君のご両親に結婚の挨拶をしたい」と言われたホタル(綾瀬はるか)は、まず姉のアゲハ(堀内敬子)に結婚することを報告。具体的に「結婚」が進むことで、小夏(木村多江)からは「面倒なことが増える」、山田姐さん(板谷由夏)には「部長のために最低限のことはやったほうがいいんじゃない?」と言われてしまう。「部長のために!」とまるで仕事をしている時のようにテキパキと進めていたホタルだったが…")</f>
        <v>綾瀬はるか、向井理、板谷由夏、臼田あさ美、安田顕、木村多江、藤木直人　(他)部長(藤木直人)から「君のご両親に結婚の挨拶をしたい」と言われたホタル(綾瀬はるか)は、まず姉のアゲハ(堀内敬子)に結婚することを報告。具体的に「結婚」が進むことで、小夏(木村多江)からは「面倒なことが増える」、山田姐さん(板谷由夏)には「部長のために最低限のことはやったほうがいいんじゃない?」と言われてしまう。「部長のために!」とまるで仕事をしている時のようにテキパキと進めていたホタルだったが…</v>
      </c>
      <c r="N4291" s="2"/>
      <c r="O4291" s="2"/>
      <c r="P4291" s="1"/>
      <c r="Q4291" s="1"/>
      <c r="R4291" s="1"/>
      <c r="S4291" s="1"/>
      <c r="T4291" s="1"/>
      <c r="U4291" s="1"/>
      <c r="V4291" s="1"/>
      <c r="W4291" s="1"/>
      <c r="X4291" s="1"/>
      <c r="Y4291" s="1"/>
      <c r="Z4291" s="1"/>
      <c r="AA4291" s="1"/>
      <c r="AB4291" s="1"/>
      <c r="AC4291" s="1"/>
      <c r="AD4291" s="1"/>
      <c r="AE4291" s="1"/>
      <c r="AF4291" s="1"/>
      <c r="AG4291" s="1"/>
      <c r="AH4291" s="1"/>
      <c r="AI4291" s="1"/>
      <c r="AJ4291" s="1"/>
      <c r="AK4291" s="1"/>
      <c r="AL4291" s="1"/>
      <c r="AM4291" s="1"/>
      <c r="AN4291" s="1"/>
      <c r="AO4291" s="1"/>
      <c r="AP4291" s="1"/>
      <c r="AQ4291" s="1"/>
      <c r="AR4291" s="1"/>
      <c r="AS4291" s="1"/>
      <c r="AT4291" s="1"/>
      <c r="AU4291" s="1"/>
      <c r="AV4291" s="1"/>
      <c r="AW4291" s="1"/>
      <c r="AX4291" s="1"/>
      <c r="AY4291" s="1"/>
      <c r="AZ4291" s="1"/>
      <c r="BA4291" s="1"/>
      <c r="BB4291" s="1"/>
    </row>
    <row r="4292" ht="204.75" customHeight="1">
      <c r="A4292" s="1">
        <v>4686.0</v>
      </c>
      <c r="B4292" s="2" t="s">
        <v>12535</v>
      </c>
      <c r="C4292" s="2">
        <f>IFERROR(__xludf.DUMMYFUNCTION("split(B4292,""_"")"),1007.0)</f>
        <v>1007</v>
      </c>
      <c r="D4292" s="2" t="str">
        <f>IFERROR(__xludf.DUMMYFUNCTION("""COMPUTED_VALUE"""),"NTV")</f>
        <v>NTV</v>
      </c>
      <c r="E4292" s="2" t="str">
        <f>IFERROR(__xludf.DUMMYFUNCTION("""COMPUTED_VALUE"""),"水22")</f>
        <v>水22</v>
      </c>
      <c r="F4292" s="2" t="s">
        <v>12536</v>
      </c>
      <c r="G4292" s="2" t="s">
        <v>12553</v>
      </c>
      <c r="H4292" s="1">
        <v>9.0</v>
      </c>
      <c r="I4292" s="1" t="s">
        <v>2900</v>
      </c>
      <c r="J4292" s="1" t="s">
        <v>86</v>
      </c>
      <c r="K4292" s="2" t="s">
        <v>12554</v>
      </c>
      <c r="L4292" s="2"/>
      <c r="M4292" s="2" t="str">
        <f>IFERROR(__xludf.DUMMYFUNCTION("split(split(K4292,""【演出"",false),""ほか"",false)"),"綾瀬はるか、向井理、板谷由夏、臼田あさ美、安田顕、木村多江、藤木直人　(他)「少し距離をおきたい」と高野が縁側のある家を出て行ってしまい、しょんぼりしている蛍。そんなある日、美香が小夏の店の試食会を開くと言い出す。山田姐さんに「後輩の仕事を見守るのも仕事」とアドバイスされた蛍は、黙って見守ることにしたが、いっぱいいっぱいの美香を気分転換させてあげようと川釣りに誘う。釣りの最中、瀬乃と二人きりになった蛍は、瀬乃から「部長のいない隙にキスしたらどうする?」と急接近されーー!?")</f>
        <v>綾瀬はるか、向井理、板谷由夏、臼田あさ美、安田顕、木村多江、藤木直人　(他)「少し距離をおきたい」と高野が縁側のある家を出て行ってしまい、しょんぼりしている蛍。そんなある日、美香が小夏の店の試食会を開くと言い出す。山田姐さんに「後輩の仕事を見守るのも仕事」とアドバイスされた蛍は、黙って見守ることにしたが、いっぱいいっぱいの美香を気分転換させてあげようと川釣りに誘う。釣りの最中、瀬乃と二人きりになった蛍は、瀬乃から「部長のいない隙にキスしたらどうする?」と急接近されーー!?</v>
      </c>
      <c r="N4292" s="2"/>
      <c r="O4292" s="2"/>
      <c r="P4292" s="1"/>
      <c r="Q4292" s="1"/>
      <c r="R4292" s="1"/>
      <c r="S4292" s="1"/>
      <c r="T4292" s="1"/>
      <c r="U4292" s="1"/>
      <c r="V4292" s="1"/>
      <c r="W4292" s="1"/>
      <c r="X4292" s="1"/>
      <c r="Y4292" s="1"/>
      <c r="Z4292" s="1"/>
      <c r="AA4292" s="1"/>
      <c r="AB4292" s="1"/>
      <c r="AC4292" s="1"/>
      <c r="AD4292" s="1"/>
      <c r="AE4292" s="1"/>
      <c r="AF4292" s="1"/>
      <c r="AG4292" s="1"/>
      <c r="AH4292" s="1"/>
      <c r="AI4292" s="1"/>
      <c r="AJ4292" s="1"/>
      <c r="AK4292" s="1"/>
      <c r="AL4292" s="1"/>
      <c r="AM4292" s="1"/>
      <c r="AN4292" s="1"/>
      <c r="AO4292" s="1"/>
      <c r="AP4292" s="1"/>
      <c r="AQ4292" s="1"/>
      <c r="AR4292" s="1"/>
      <c r="AS4292" s="1"/>
      <c r="AT4292" s="1"/>
      <c r="AU4292" s="1"/>
      <c r="AV4292" s="1"/>
      <c r="AW4292" s="1"/>
      <c r="AX4292" s="1"/>
      <c r="AY4292" s="1"/>
      <c r="AZ4292" s="1"/>
      <c r="BA4292" s="1"/>
      <c r="BB4292" s="1"/>
    </row>
    <row r="4293" ht="204.75" customHeight="1">
      <c r="A4293" s="1">
        <v>4687.0</v>
      </c>
      <c r="B4293" s="2" t="s">
        <v>12535</v>
      </c>
      <c r="C4293" s="2">
        <f>IFERROR(__xludf.DUMMYFUNCTION("split(B4293,""_"")"),1007.0)</f>
        <v>1007</v>
      </c>
      <c r="D4293" s="2" t="str">
        <f>IFERROR(__xludf.DUMMYFUNCTION("""COMPUTED_VALUE"""),"NTV")</f>
        <v>NTV</v>
      </c>
      <c r="E4293" s="2" t="str">
        <f>IFERROR(__xludf.DUMMYFUNCTION("""COMPUTED_VALUE"""),"水22")</f>
        <v>水22</v>
      </c>
      <c r="F4293" s="2" t="s">
        <v>12536</v>
      </c>
      <c r="G4293" s="2" t="s">
        <v>12555</v>
      </c>
      <c r="H4293" s="1">
        <v>10.0</v>
      </c>
      <c r="I4293" s="1" t="s">
        <v>37</v>
      </c>
      <c r="J4293" s="1" t="s">
        <v>86</v>
      </c>
      <c r="K4293" s="2" t="s">
        <v>12556</v>
      </c>
      <c r="L4293" s="2"/>
      <c r="M4293" s="2" t="str">
        <f>IFERROR(__xludf.DUMMYFUNCTION("split(split(K4293,""【演出"",false),""ほか"",false)"),"綾瀬はるか、向井理、板谷由夏、臼田あさ美、安田顕、木村多江、藤木直人　(他)部長の父・盆太郎が突然高野家に帰って来た。部長がホタルと結婚するにあたり「両家の顔合わせに出席してほしい」と連絡をしたので帰って来たのだという。しかし部長は母親が亡くなる時もフラフラと旅に出ていた盆太郎を「父親だと思ったことはない」と語り、ホタルは複雑な心境。  そんな中、高野に子会社への異動話が持ち上がる。  一方、美香の瀬乃への思いを知ったホタルは、瀬乃を避けるようになり…。")</f>
        <v>綾瀬はるか、向井理、板谷由夏、臼田あさ美、安田顕、木村多江、藤木直人　(他)部長の父・盆太郎が突然高野家に帰って来た。部長がホタルと結婚するにあたり「両家の顔合わせに出席してほしい」と連絡をしたので帰って来たのだという。しかし部長は母親が亡くなる時もフラフラと旅に出ていた盆太郎を「父親だと思ったことはない」と語り、ホタルは複雑な心境。  そんな中、高野に子会社への異動話が持ち上がる。  一方、美香の瀬乃への思いを知ったホタルは、瀬乃を避けるようになり…。</v>
      </c>
      <c r="N4293" s="2"/>
      <c r="O4293" s="2"/>
      <c r="P4293" s="1"/>
      <c r="Q4293" s="1"/>
      <c r="R4293" s="1"/>
      <c r="S4293" s="1"/>
      <c r="T4293" s="1"/>
      <c r="U4293" s="1"/>
      <c r="V4293" s="1"/>
      <c r="W4293" s="1"/>
      <c r="X4293" s="1"/>
      <c r="Y4293" s="1"/>
      <c r="Z4293" s="1"/>
      <c r="AA4293" s="1"/>
      <c r="AB4293" s="1"/>
      <c r="AC4293" s="1"/>
      <c r="AD4293" s="1"/>
      <c r="AE4293" s="1"/>
      <c r="AF4293" s="1"/>
      <c r="AG4293" s="1"/>
      <c r="AH4293" s="1"/>
      <c r="AI4293" s="1"/>
      <c r="AJ4293" s="1"/>
      <c r="AK4293" s="1"/>
      <c r="AL4293" s="1"/>
      <c r="AM4293" s="1"/>
      <c r="AN4293" s="1"/>
      <c r="AO4293" s="1"/>
      <c r="AP4293" s="1"/>
      <c r="AQ4293" s="1"/>
      <c r="AR4293" s="1"/>
      <c r="AS4293" s="1"/>
      <c r="AT4293" s="1"/>
      <c r="AU4293" s="1"/>
      <c r="AV4293" s="1"/>
      <c r="AW4293" s="1"/>
      <c r="AX4293" s="1"/>
      <c r="AY4293" s="1"/>
      <c r="AZ4293" s="1"/>
      <c r="BA4293" s="1"/>
      <c r="BB4293" s="1"/>
    </row>
    <row r="4294" ht="204.75" customHeight="1">
      <c r="A4294" s="1">
        <v>4688.0</v>
      </c>
      <c r="B4294" s="2" t="s">
        <v>12535</v>
      </c>
      <c r="C4294" s="2">
        <f>IFERROR(__xludf.DUMMYFUNCTION("split(B4294,""_"")"),1007.0)</f>
        <v>1007</v>
      </c>
      <c r="D4294" s="2" t="str">
        <f>IFERROR(__xludf.DUMMYFUNCTION("""COMPUTED_VALUE"""),"NTV")</f>
        <v>NTV</v>
      </c>
      <c r="E4294" s="2" t="str">
        <f>IFERROR(__xludf.DUMMYFUNCTION("""COMPUTED_VALUE"""),"水22")</f>
        <v>水22</v>
      </c>
      <c r="F4294" s="2" t="s">
        <v>12536</v>
      </c>
      <c r="G4294" s="2" t="s">
        <v>12557</v>
      </c>
      <c r="H4294" s="1">
        <v>11.0</v>
      </c>
      <c r="I4294" s="1" t="s">
        <v>41</v>
      </c>
      <c r="J4294" s="1" t="s">
        <v>82</v>
      </c>
      <c r="K4294" s="2" t="s">
        <v>12558</v>
      </c>
      <c r="L4294" s="2"/>
      <c r="M4294" s="2" t="str">
        <f>IFERROR(__xludf.DUMMYFUNCTION("split(split(K4294,""【演出"",false),""ほか"",false)"),"綾瀬はるか、向井理、板谷由夏、臼田あさ美、安田顕、木村多江、藤木直人　(他)部長が会社を辞め、転職すると宣言。長いこと考えた末の決断だということを知ったホタルは自分のふがいなさにショックを受ける。  山田姐さんにも「これから先の二人の幸せをどう思い描いているのか」と訊かれ、考え込むホタル。  一方、瀬乃も小夏の店のオープン前にはSWを辞めニューヨークに行くと会社に報告。瀬乃は「一緒に来てほしい」とホタルに告げるのだが…。")</f>
        <v>綾瀬はるか、向井理、板谷由夏、臼田あさ美、安田顕、木村多江、藤木直人　(他)部長が会社を辞め、転職すると宣言。長いこと考えた末の決断だということを知ったホタルは自分のふがいなさにショックを受ける。  山田姐さんにも「これから先の二人の幸せをどう思い描いているのか」と訊かれ、考え込むホタル。  一方、瀬乃も小夏の店のオープン前にはSWを辞めニューヨークに行くと会社に報告。瀬乃は「一緒に来てほしい」とホタルに告げるのだが…。</v>
      </c>
      <c r="N4294" s="2"/>
      <c r="O4294" s="2"/>
      <c r="P4294" s="1"/>
      <c r="Q4294" s="1"/>
      <c r="R4294" s="1"/>
      <c r="S4294" s="1"/>
      <c r="T4294" s="1"/>
      <c r="U4294" s="1"/>
      <c r="V4294" s="1"/>
      <c r="W4294" s="1"/>
      <c r="X4294" s="1"/>
      <c r="Y4294" s="1"/>
      <c r="Z4294" s="1"/>
      <c r="AA4294" s="1"/>
      <c r="AB4294" s="1"/>
      <c r="AC4294" s="1"/>
      <c r="AD4294" s="1"/>
      <c r="AE4294" s="1"/>
      <c r="AF4294" s="1"/>
      <c r="AG4294" s="1"/>
      <c r="AH4294" s="1"/>
      <c r="AI4294" s="1"/>
      <c r="AJ4294" s="1"/>
      <c r="AK4294" s="1"/>
      <c r="AL4294" s="1"/>
      <c r="AM4294" s="1"/>
      <c r="AN4294" s="1"/>
      <c r="AO4294" s="1"/>
      <c r="AP4294" s="1"/>
      <c r="AQ4294" s="1"/>
      <c r="AR4294" s="1"/>
      <c r="AS4294" s="1"/>
      <c r="AT4294" s="1"/>
      <c r="AU4294" s="1"/>
      <c r="AV4294" s="1"/>
      <c r="AW4294" s="1"/>
      <c r="AX4294" s="1"/>
      <c r="AY4294" s="1"/>
      <c r="AZ4294" s="1"/>
      <c r="BA4294" s="1"/>
      <c r="BB4294" s="1"/>
    </row>
    <row r="4295" ht="204.75" customHeight="1">
      <c r="A4295" s="1">
        <v>4708.0</v>
      </c>
      <c r="B4295" s="2" t="s">
        <v>12559</v>
      </c>
      <c r="C4295" s="2">
        <f>IFERROR(__xludf.DUMMYFUNCTION("split(B4295,""_"")"),1007.0)</f>
        <v>1007</v>
      </c>
      <c r="D4295" s="2" t="str">
        <f>IFERROR(__xludf.DUMMYFUNCTION("""COMPUTED_VALUE"""),"NTV")</f>
        <v>NTV</v>
      </c>
      <c r="E4295" s="2" t="str">
        <f>IFERROR(__xludf.DUMMYFUNCTION("""COMPUTED_VALUE"""),"木23")</f>
        <v>木23</v>
      </c>
      <c r="F4295" s="2" t="s">
        <v>12560</v>
      </c>
      <c r="G4295" s="2" t="s">
        <v>12561</v>
      </c>
      <c r="H4295" s="1">
        <v>1.0</v>
      </c>
      <c r="I4295" s="1" t="s">
        <v>2868</v>
      </c>
      <c r="J4295" s="1" t="s">
        <v>1435</v>
      </c>
      <c r="K4295" s="2" t="s">
        <v>12562</v>
      </c>
      <c r="L4295" s="2"/>
      <c r="M4295" s="2" t="str">
        <f>IFERROR(__xludf.DUMMYFUNCTION("split(split(K4295,""【演出"",false),""ほか"",false)"),"仲里依紗、青木崇高、原田夏希、池田成志(他)「超ウケるんですけど～」昨日まで渋谷でカリスマ店員をしていた嘉納ハルコ(23)の目の前には、外国人たちが座っていた。高校教師になることが夢だったのに、まさか日本語教師とは。  しかし、引き下がれない理由がハルコにはあった。今日教えるページを開く。「小学生レベルじゃない。日本語教えるなんて簡単よ」と教壇に立つハルコ。  しかし…外国人生徒たちの素朴な質問は超難問ばかり。予測不能なバトルの幕開けだった!http://www.ytv.co.jp/nihongo/")</f>
        <v>仲里依紗、青木崇高、原田夏希、池田成志(他)「超ウケるんですけど～」昨日まで渋谷でカリスマ店員をしていた嘉納ハルコ(23)の目の前には、外国人たちが座っていた。高校教師になることが夢だったのに、まさか日本語教師とは。  しかし、引き下がれない理由がハルコにはあった。今日教えるページを開く。「小学生レベルじゃない。日本語教えるなんて簡単よ」と教壇に立つハルコ。  しかし…外国人生徒たちの素朴な質問は超難問ばかり。予測不能なバトルの幕開けだった!http://www.ytv.co.jp/nihongo/</v>
      </c>
      <c r="N4295" s="2"/>
      <c r="O4295" s="2"/>
      <c r="P4295" s="1"/>
      <c r="Q4295" s="1"/>
      <c r="R4295" s="1"/>
      <c r="S4295" s="1"/>
      <c r="T4295" s="1"/>
      <c r="U4295" s="1"/>
      <c r="V4295" s="1"/>
      <c r="W4295" s="1"/>
      <c r="X4295" s="1"/>
      <c r="Y4295" s="1"/>
      <c r="Z4295" s="1"/>
      <c r="AA4295" s="1"/>
      <c r="AB4295" s="1"/>
      <c r="AC4295" s="1"/>
      <c r="AD4295" s="1"/>
      <c r="AE4295" s="1"/>
      <c r="AF4295" s="1"/>
      <c r="AG4295" s="1"/>
      <c r="AH4295" s="1"/>
      <c r="AI4295" s="1"/>
      <c r="AJ4295" s="1"/>
      <c r="AK4295" s="1"/>
      <c r="AL4295" s="1"/>
      <c r="AM4295" s="1"/>
      <c r="AN4295" s="1"/>
      <c r="AO4295" s="1"/>
      <c r="AP4295" s="1"/>
      <c r="AQ4295" s="1"/>
      <c r="AR4295" s="1"/>
      <c r="AS4295" s="1"/>
      <c r="AT4295" s="1"/>
      <c r="AU4295" s="1"/>
      <c r="AV4295" s="1"/>
      <c r="AW4295" s="1"/>
      <c r="AX4295" s="1"/>
      <c r="AY4295" s="1"/>
      <c r="AZ4295" s="1"/>
      <c r="BA4295" s="1"/>
      <c r="BB4295" s="1"/>
    </row>
    <row r="4296" ht="204.75" customHeight="1">
      <c r="A4296" s="1">
        <v>4709.0</v>
      </c>
      <c r="B4296" s="2" t="s">
        <v>12559</v>
      </c>
      <c r="C4296" s="2">
        <f>IFERROR(__xludf.DUMMYFUNCTION("split(B4296,""_"")"),1007.0)</f>
        <v>1007</v>
      </c>
      <c r="D4296" s="2" t="str">
        <f>IFERROR(__xludf.DUMMYFUNCTION("""COMPUTED_VALUE"""),"NTV")</f>
        <v>NTV</v>
      </c>
      <c r="E4296" s="2" t="str">
        <f>IFERROR(__xludf.DUMMYFUNCTION("""COMPUTED_VALUE"""),"木23")</f>
        <v>木23</v>
      </c>
      <c r="F4296" s="2" t="s">
        <v>12560</v>
      </c>
      <c r="G4296" s="2" t="s">
        <v>12563</v>
      </c>
      <c r="H4296" s="1">
        <v>2.0</v>
      </c>
      <c r="I4296" s="1" t="s">
        <v>2872</v>
      </c>
      <c r="J4296" s="1" t="s">
        <v>1435</v>
      </c>
      <c r="K4296" s="2" t="s">
        <v>12564</v>
      </c>
      <c r="L4296" s="2"/>
      <c r="M4296" s="2" t="str">
        <f>IFERROR(__xludf.DUMMYFUNCTION("split(split(K4296,""【演出"",false),""ほか"",false)"),"仲里依紗、青木崇高、原田夏希、池田成志(他)ファミレスなどで良く聞く次の言葉、どこか変ではありませんか?「こちらが麻婆豆腐になります」「お飲み物は大丈夫ですか」「ご注文のほうは以上でよろしかったでしょうか」元カリスマ店員の新人教師VSいつもフリーダムな外国人生徒たちの『なるほど』×『爆笑』日本語バトル!今回はファミレスでバイト敬語に素朴な疑問を突っ込みながら、ギャル先生ハルコが満載トラブルをワールドワイドな起死回生アイデアで解決!http://www.ytv.co.jp/nihongo/")</f>
        <v>仲里依紗、青木崇高、原田夏希、池田成志(他)ファミレスなどで良く聞く次の言葉、どこか変ではありませんか?「こちらが麻婆豆腐になります」「お飲み物は大丈夫ですか」「ご注文のほうは以上でよろしかったでしょうか」元カリスマ店員の新人教師VSいつもフリーダムな外国人生徒たちの『なるほど』×『爆笑』日本語バトル!今回はファミレスでバイト敬語に素朴な疑問を突っ込みながら、ギャル先生ハルコが満載トラブルをワールドワイドな起死回生アイデアで解決!http://www.ytv.co.jp/nihongo/</v>
      </c>
      <c r="N4296" s="2"/>
      <c r="O4296" s="2"/>
      <c r="P4296" s="1"/>
      <c r="Q4296" s="1"/>
      <c r="R4296" s="1"/>
      <c r="S4296" s="1"/>
      <c r="T4296" s="1"/>
      <c r="U4296" s="1"/>
      <c r="V4296" s="1"/>
      <c r="W4296" s="1"/>
      <c r="X4296" s="1"/>
      <c r="Y4296" s="1"/>
      <c r="Z4296" s="1"/>
      <c r="AA4296" s="1"/>
      <c r="AB4296" s="1"/>
      <c r="AC4296" s="1"/>
      <c r="AD4296" s="1"/>
      <c r="AE4296" s="1"/>
      <c r="AF4296" s="1"/>
      <c r="AG4296" s="1"/>
      <c r="AH4296" s="1"/>
      <c r="AI4296" s="1"/>
      <c r="AJ4296" s="1"/>
      <c r="AK4296" s="1"/>
      <c r="AL4296" s="1"/>
      <c r="AM4296" s="1"/>
      <c r="AN4296" s="1"/>
      <c r="AO4296" s="1"/>
      <c r="AP4296" s="1"/>
      <c r="AQ4296" s="1"/>
      <c r="AR4296" s="1"/>
      <c r="AS4296" s="1"/>
      <c r="AT4296" s="1"/>
      <c r="AU4296" s="1"/>
      <c r="AV4296" s="1"/>
      <c r="AW4296" s="1"/>
      <c r="AX4296" s="1"/>
      <c r="AY4296" s="1"/>
      <c r="AZ4296" s="1"/>
      <c r="BA4296" s="1"/>
      <c r="BB4296" s="1"/>
    </row>
    <row r="4297" ht="204.75" customHeight="1">
      <c r="A4297" s="1">
        <v>4710.0</v>
      </c>
      <c r="B4297" s="2" t="s">
        <v>12559</v>
      </c>
      <c r="C4297" s="2">
        <f>IFERROR(__xludf.DUMMYFUNCTION("split(B4297,""_"")"),1007.0)</f>
        <v>1007</v>
      </c>
      <c r="D4297" s="2" t="str">
        <f>IFERROR(__xludf.DUMMYFUNCTION("""COMPUTED_VALUE"""),"NTV")</f>
        <v>NTV</v>
      </c>
      <c r="E4297" s="2" t="str">
        <f>IFERROR(__xludf.DUMMYFUNCTION("""COMPUTED_VALUE"""),"木23")</f>
        <v>木23</v>
      </c>
      <c r="F4297" s="2" t="s">
        <v>12560</v>
      </c>
      <c r="G4297" s="2" t="s">
        <v>12565</v>
      </c>
      <c r="H4297" s="1">
        <v>3.0</v>
      </c>
      <c r="I4297" s="1" t="s">
        <v>2876</v>
      </c>
      <c r="J4297" s="1" t="s">
        <v>1435</v>
      </c>
      <c r="K4297" s="2" t="s">
        <v>12566</v>
      </c>
      <c r="L4297" s="2"/>
      <c r="M4297" s="2" t="str">
        <f>IFERROR(__xludf.DUMMYFUNCTION("split(split(K4297,""【演出"",false),""ほか"",false)"),"仲里依紗、青木崇高、原田夏希、池田成志(他)任侠大好きフランスマダム・マリーが、憧れのヤクザと出会ったばかりに花札勝負に巻き込まれるハルコ!しかもマリーが持ち出したのは小遣い感覚の1000万円。賭博は強制送還にもなりかねない危機的状況に、ハルコは教師として大切なことを思い出す…  その他、インターナショナル爆笑自己紹介も飛び出す「ニホシラ」第3話!初めての方も今夜から楽々合流できますよ～http://www.ytv.co.jp/nihongo/")</f>
        <v>仲里依紗、青木崇高、原田夏希、池田成志(他)任侠大好きフランスマダム・マリーが、憧れのヤクザと出会ったばかりに花札勝負に巻き込まれるハルコ!しかもマリーが持ち出したのは小遣い感覚の1000万円。賭博は強制送還にもなりかねない危機的状況に、ハルコは教師として大切なことを思い出す…  その他、インターナショナル爆笑自己紹介も飛び出す「ニホシラ」第3話!初めての方も今夜から楽々合流できますよ～http://www.ytv.co.jp/nihongo/</v>
      </c>
      <c r="N4297" s="2"/>
      <c r="O4297" s="2"/>
      <c r="P4297" s="1"/>
      <c r="Q4297" s="1"/>
      <c r="R4297" s="1"/>
      <c r="S4297" s="1"/>
      <c r="T4297" s="1"/>
      <c r="U4297" s="1"/>
      <c r="V4297" s="1"/>
      <c r="W4297" s="1"/>
      <c r="X4297" s="1"/>
      <c r="Y4297" s="1"/>
      <c r="Z4297" s="1"/>
      <c r="AA4297" s="1"/>
      <c r="AB4297" s="1"/>
      <c r="AC4297" s="1"/>
      <c r="AD4297" s="1"/>
      <c r="AE4297" s="1"/>
      <c r="AF4297" s="1"/>
      <c r="AG4297" s="1"/>
      <c r="AH4297" s="1"/>
      <c r="AI4297" s="1"/>
      <c r="AJ4297" s="1"/>
      <c r="AK4297" s="1"/>
      <c r="AL4297" s="1"/>
      <c r="AM4297" s="1"/>
      <c r="AN4297" s="1"/>
      <c r="AO4297" s="1"/>
      <c r="AP4297" s="1"/>
      <c r="AQ4297" s="1"/>
      <c r="AR4297" s="1"/>
      <c r="AS4297" s="1"/>
      <c r="AT4297" s="1"/>
      <c r="AU4297" s="1"/>
      <c r="AV4297" s="1"/>
      <c r="AW4297" s="1"/>
      <c r="AX4297" s="1"/>
      <c r="AY4297" s="1"/>
      <c r="AZ4297" s="1"/>
      <c r="BA4297" s="1"/>
      <c r="BB4297" s="1"/>
    </row>
    <row r="4298" ht="204.75" customHeight="1">
      <c r="A4298" s="1">
        <v>4711.0</v>
      </c>
      <c r="B4298" s="2" t="s">
        <v>12559</v>
      </c>
      <c r="C4298" s="2">
        <f>IFERROR(__xludf.DUMMYFUNCTION("split(B4298,""_"")"),1007.0)</f>
        <v>1007</v>
      </c>
      <c r="D4298" s="2" t="str">
        <f>IFERROR(__xludf.DUMMYFUNCTION("""COMPUTED_VALUE"""),"NTV")</f>
        <v>NTV</v>
      </c>
      <c r="E4298" s="2" t="str">
        <f>IFERROR(__xludf.DUMMYFUNCTION("""COMPUTED_VALUE"""),"木23")</f>
        <v>木23</v>
      </c>
      <c r="F4298" s="2" t="s">
        <v>12560</v>
      </c>
      <c r="G4298" s="2" t="s">
        <v>12567</v>
      </c>
      <c r="H4298" s="1">
        <v>4.0</v>
      </c>
      <c r="I4298" s="1" t="s">
        <v>2880</v>
      </c>
      <c r="J4298" s="1" t="s">
        <v>1435</v>
      </c>
      <c r="K4298" s="2" t="s">
        <v>12568</v>
      </c>
      <c r="L4298" s="2"/>
      <c r="M4298" s="2" t="str">
        <f>IFERROR(__xludf.DUMMYFUNCTION("split(split(K4298,""【演出"",false),""ほか"",false)"),"仲里依紗、青木崇高、原田夏希、池田成志(他)http://www.ytv.co.jp/nihongo/")</f>
        <v>仲里依紗、青木崇高、原田夏希、池田成志(他)http://www.ytv.co.jp/nihongo/</v>
      </c>
      <c r="N4298" s="2"/>
      <c r="O4298" s="2"/>
      <c r="P4298" s="1"/>
      <c r="Q4298" s="1"/>
      <c r="R4298" s="1"/>
      <c r="S4298" s="1"/>
      <c r="T4298" s="1"/>
      <c r="U4298" s="1"/>
      <c r="V4298" s="1"/>
      <c r="W4298" s="1"/>
      <c r="X4298" s="1"/>
      <c r="Y4298" s="1"/>
      <c r="Z4298" s="1"/>
      <c r="AA4298" s="1"/>
      <c r="AB4298" s="1"/>
      <c r="AC4298" s="1"/>
      <c r="AD4298" s="1"/>
      <c r="AE4298" s="1"/>
      <c r="AF4298" s="1"/>
      <c r="AG4298" s="1"/>
      <c r="AH4298" s="1"/>
      <c r="AI4298" s="1"/>
      <c r="AJ4298" s="1"/>
      <c r="AK4298" s="1"/>
      <c r="AL4298" s="1"/>
      <c r="AM4298" s="1"/>
      <c r="AN4298" s="1"/>
      <c r="AO4298" s="1"/>
      <c r="AP4298" s="1"/>
      <c r="AQ4298" s="1"/>
      <c r="AR4298" s="1"/>
      <c r="AS4298" s="1"/>
      <c r="AT4298" s="1"/>
      <c r="AU4298" s="1"/>
      <c r="AV4298" s="1"/>
      <c r="AW4298" s="1"/>
      <c r="AX4298" s="1"/>
      <c r="AY4298" s="1"/>
      <c r="AZ4298" s="1"/>
      <c r="BA4298" s="1"/>
      <c r="BB4298" s="1"/>
    </row>
    <row r="4299" ht="204.75" customHeight="1">
      <c r="A4299" s="1">
        <v>4712.0</v>
      </c>
      <c r="B4299" s="2" t="s">
        <v>12559</v>
      </c>
      <c r="C4299" s="2">
        <f>IFERROR(__xludf.DUMMYFUNCTION("split(B4299,""_"")"),1007.0)</f>
        <v>1007</v>
      </c>
      <c r="D4299" s="2" t="str">
        <f>IFERROR(__xludf.DUMMYFUNCTION("""COMPUTED_VALUE"""),"NTV")</f>
        <v>NTV</v>
      </c>
      <c r="E4299" s="2" t="str">
        <f>IFERROR(__xludf.DUMMYFUNCTION("""COMPUTED_VALUE"""),"木23")</f>
        <v>木23</v>
      </c>
      <c r="F4299" s="2" t="s">
        <v>12560</v>
      </c>
      <c r="G4299" s="2" t="s">
        <v>12569</v>
      </c>
      <c r="H4299" s="1">
        <v>5.0</v>
      </c>
      <c r="I4299" s="1" t="s">
        <v>2884</v>
      </c>
      <c r="J4299" s="1" t="s">
        <v>1435</v>
      </c>
      <c r="K4299" s="2" t="s">
        <v>12570</v>
      </c>
      <c r="L4299" s="2"/>
      <c r="M4299" s="2" t="str">
        <f>IFERROR(__xludf.DUMMYFUNCTION("split(split(K4299,""【演出"",false),""ほか"",false)"),"仲里依紗、青木崇高、原田夏希、池田成志(他)今夜はインターナショナル爆笑怪談!  フリーダムな外国人生徒たちのコワイ話に学校に怪奇現象が…信じられない展開に隠された“死人の愛”とは?  実際は恐ろしい「漢字」の話も披露するニホシラ第5話!  暑い夜に是非涼んでいってください……http://www.ytv.co.jp/nihongo/")</f>
        <v>仲里依紗、青木崇高、原田夏希、池田成志(他)今夜はインターナショナル爆笑怪談!  フリーダムな外国人生徒たちのコワイ話に学校に怪奇現象が…信じられない展開に隠された“死人の愛”とは?  実際は恐ろしい「漢字」の話も披露するニホシラ第5話!  暑い夜に是非涼んでいってください……http://www.ytv.co.jp/nihongo/</v>
      </c>
      <c r="N4299" s="2"/>
      <c r="O4299" s="2"/>
      <c r="P4299" s="1"/>
      <c r="Q4299" s="1"/>
      <c r="R4299" s="1"/>
      <c r="S4299" s="1"/>
      <c r="T4299" s="1"/>
      <c r="U4299" s="1"/>
      <c r="V4299" s="1"/>
      <c r="W4299" s="1"/>
      <c r="X4299" s="1"/>
      <c r="Y4299" s="1"/>
      <c r="Z4299" s="1"/>
      <c r="AA4299" s="1"/>
      <c r="AB4299" s="1"/>
      <c r="AC4299" s="1"/>
      <c r="AD4299" s="1"/>
      <c r="AE4299" s="1"/>
      <c r="AF4299" s="1"/>
      <c r="AG4299" s="1"/>
      <c r="AH4299" s="1"/>
      <c r="AI4299" s="1"/>
      <c r="AJ4299" s="1"/>
      <c r="AK4299" s="1"/>
      <c r="AL4299" s="1"/>
      <c r="AM4299" s="1"/>
      <c r="AN4299" s="1"/>
      <c r="AO4299" s="1"/>
      <c r="AP4299" s="1"/>
      <c r="AQ4299" s="1"/>
      <c r="AR4299" s="1"/>
      <c r="AS4299" s="1"/>
      <c r="AT4299" s="1"/>
      <c r="AU4299" s="1"/>
      <c r="AV4299" s="1"/>
      <c r="AW4299" s="1"/>
      <c r="AX4299" s="1"/>
      <c r="AY4299" s="1"/>
      <c r="AZ4299" s="1"/>
      <c r="BA4299" s="1"/>
      <c r="BB4299" s="1"/>
    </row>
    <row r="4300" ht="204.75" customHeight="1">
      <c r="A4300" s="1">
        <v>4713.0</v>
      </c>
      <c r="B4300" s="2" t="s">
        <v>12559</v>
      </c>
      <c r="C4300" s="2">
        <f>IFERROR(__xludf.DUMMYFUNCTION("split(B4300,""_"")"),1007.0)</f>
        <v>1007</v>
      </c>
      <c r="D4300" s="2" t="str">
        <f>IFERROR(__xludf.DUMMYFUNCTION("""COMPUTED_VALUE"""),"NTV")</f>
        <v>NTV</v>
      </c>
      <c r="E4300" s="2" t="str">
        <f>IFERROR(__xludf.DUMMYFUNCTION("""COMPUTED_VALUE"""),"木23")</f>
        <v>木23</v>
      </c>
      <c r="F4300" s="2" t="s">
        <v>12560</v>
      </c>
      <c r="G4300" s="2" t="s">
        <v>12571</v>
      </c>
      <c r="H4300" s="1">
        <v>6.0</v>
      </c>
      <c r="I4300" s="1" t="s">
        <v>2888</v>
      </c>
      <c r="J4300" s="1" t="s">
        <v>1435</v>
      </c>
      <c r="K4300" s="2" t="s">
        <v>12572</v>
      </c>
      <c r="L4300" s="2"/>
      <c r="M4300" s="2" t="str">
        <f>IFERROR(__xludf.DUMMYFUNCTION("split(split(K4300,""【演出"",false),""ほか"",false)"),"仲里依紗、青木崇高、原田夏希、石黒英雄、池田成志(他)日本語教師の嘉納ハルコ(仲里依紗)は、大学時代につき合っていた元カレ・向井文也(石黒英雄)と再会。彼が勤める高校の採用面接を受けてみないかと誘われる。  一方、忍者大好きスウェーデン人生徒・エレーン(カミラ)が雑木林の茂みで全身黒ずくめの男を発見。忍者と思い込んだエレーンがその男と接触すると…  怪しいワナで暴かれる生徒の秘密と裏切り。夢か現実か、人生の選択をハルコは迫られる。http://www.ytv.co.jp/nihongo/")</f>
        <v>仲里依紗、青木崇高、原田夏希、石黒英雄、池田成志(他)日本語教師の嘉納ハルコ(仲里依紗)は、大学時代につき合っていた元カレ・向井文也(石黒英雄)と再会。彼が勤める高校の採用面接を受けてみないかと誘われる。  一方、忍者大好きスウェーデン人生徒・エレーン(カミラ)が雑木林の茂みで全身黒ずくめの男を発見。忍者と思い込んだエレーンがその男と接触すると…  怪しいワナで暴かれる生徒の秘密と裏切り。夢か現実か、人生の選択をハルコは迫られる。http://www.ytv.co.jp/nihongo/</v>
      </c>
      <c r="N4300" s="2"/>
      <c r="O4300" s="2"/>
      <c r="P4300" s="1"/>
      <c r="Q4300" s="1"/>
      <c r="R4300" s="1"/>
      <c r="S4300" s="1"/>
      <c r="T4300" s="1"/>
      <c r="U4300" s="1"/>
      <c r="V4300" s="1"/>
      <c r="W4300" s="1"/>
      <c r="X4300" s="1"/>
      <c r="Y4300" s="1"/>
      <c r="Z4300" s="1"/>
      <c r="AA4300" s="1"/>
      <c r="AB4300" s="1"/>
      <c r="AC4300" s="1"/>
      <c r="AD4300" s="1"/>
      <c r="AE4300" s="1"/>
      <c r="AF4300" s="1"/>
      <c r="AG4300" s="1"/>
      <c r="AH4300" s="1"/>
      <c r="AI4300" s="1"/>
      <c r="AJ4300" s="1"/>
      <c r="AK4300" s="1"/>
      <c r="AL4300" s="1"/>
      <c r="AM4300" s="1"/>
      <c r="AN4300" s="1"/>
      <c r="AO4300" s="1"/>
      <c r="AP4300" s="1"/>
      <c r="AQ4300" s="1"/>
      <c r="AR4300" s="1"/>
      <c r="AS4300" s="1"/>
      <c r="AT4300" s="1"/>
      <c r="AU4300" s="1"/>
      <c r="AV4300" s="1"/>
      <c r="AW4300" s="1"/>
      <c r="AX4300" s="1"/>
      <c r="AY4300" s="1"/>
      <c r="AZ4300" s="1"/>
      <c r="BA4300" s="1"/>
      <c r="BB4300" s="1"/>
    </row>
    <row r="4301" ht="204.75" customHeight="1">
      <c r="A4301" s="1">
        <v>4714.0</v>
      </c>
      <c r="B4301" s="2" t="s">
        <v>12559</v>
      </c>
      <c r="C4301" s="2">
        <f>IFERROR(__xludf.DUMMYFUNCTION("split(B4301,""_"")"),1007.0)</f>
        <v>1007</v>
      </c>
      <c r="D4301" s="2" t="str">
        <f>IFERROR(__xludf.DUMMYFUNCTION("""COMPUTED_VALUE"""),"NTV")</f>
        <v>NTV</v>
      </c>
      <c r="E4301" s="2" t="str">
        <f>IFERROR(__xludf.DUMMYFUNCTION("""COMPUTED_VALUE"""),"木23")</f>
        <v>木23</v>
      </c>
      <c r="F4301" s="2" t="s">
        <v>12560</v>
      </c>
      <c r="G4301" s="2" t="s">
        <v>12573</v>
      </c>
      <c r="H4301" s="1">
        <v>7.0</v>
      </c>
      <c r="I4301" s="1" t="s">
        <v>2892</v>
      </c>
      <c r="J4301" s="1" t="s">
        <v>1435</v>
      </c>
      <c r="K4301" s="2" t="s">
        <v>12574</v>
      </c>
      <c r="L4301" s="2"/>
      <c r="M4301" s="2" t="str">
        <f>IFERROR(__xludf.DUMMYFUNCTION("split(split(K4301,""【演出"",false),""ほか"",false)"),"仲里依紗、青木崇高、原田夏希、池田成志(他)日本語教師の嘉納ハルコ(仲里依紗)は、クラスのお調子者イギリス人生徒・ポールが、最近学校をサボりがちになっていることを心配する。日本人の恋人ができ、どうやら恋に舞い上がっているらしい。そんなある日、ハルコはポールの恋人が別の外国人とキスをしているところを目撃。ポールが二股をかけられていると知ったハルコは、ポールの目を覚ますべく“世界ラブアタック作戦”を決行!  ポールの前で恋人の本性を暴く!http://www.ytv.co.jp/nihongo/")</f>
        <v>仲里依紗、青木崇高、原田夏希、池田成志(他)日本語教師の嘉納ハルコ(仲里依紗)は、クラスのお調子者イギリス人生徒・ポールが、最近学校をサボりがちになっていることを心配する。日本人の恋人ができ、どうやら恋に舞い上がっているらしい。そんなある日、ハルコはポールの恋人が別の外国人とキスをしているところを目撃。ポールが二股をかけられていると知ったハルコは、ポールの目を覚ますべく“世界ラブアタック作戦”を決行!  ポールの前で恋人の本性を暴く!http://www.ytv.co.jp/nihongo/</v>
      </c>
      <c r="N4301" s="2"/>
      <c r="O4301" s="2"/>
      <c r="P4301" s="1"/>
      <c r="Q4301" s="1"/>
      <c r="R4301" s="1"/>
      <c r="S4301" s="1"/>
      <c r="T4301" s="1"/>
      <c r="U4301" s="1"/>
      <c r="V4301" s="1"/>
      <c r="W4301" s="1"/>
      <c r="X4301" s="1"/>
      <c r="Y4301" s="1"/>
      <c r="Z4301" s="1"/>
      <c r="AA4301" s="1"/>
      <c r="AB4301" s="1"/>
      <c r="AC4301" s="1"/>
      <c r="AD4301" s="1"/>
      <c r="AE4301" s="1"/>
      <c r="AF4301" s="1"/>
      <c r="AG4301" s="1"/>
      <c r="AH4301" s="1"/>
      <c r="AI4301" s="1"/>
      <c r="AJ4301" s="1"/>
      <c r="AK4301" s="1"/>
      <c r="AL4301" s="1"/>
      <c r="AM4301" s="1"/>
      <c r="AN4301" s="1"/>
      <c r="AO4301" s="1"/>
      <c r="AP4301" s="1"/>
      <c r="AQ4301" s="1"/>
      <c r="AR4301" s="1"/>
      <c r="AS4301" s="1"/>
      <c r="AT4301" s="1"/>
      <c r="AU4301" s="1"/>
      <c r="AV4301" s="1"/>
      <c r="AW4301" s="1"/>
      <c r="AX4301" s="1"/>
      <c r="AY4301" s="1"/>
      <c r="AZ4301" s="1"/>
      <c r="BA4301" s="1"/>
      <c r="BB4301" s="1"/>
    </row>
    <row r="4302" ht="204.75" customHeight="1">
      <c r="A4302" s="1">
        <v>4715.0</v>
      </c>
      <c r="B4302" s="2" t="s">
        <v>12559</v>
      </c>
      <c r="C4302" s="2">
        <f>IFERROR(__xludf.DUMMYFUNCTION("split(B4302,""_"")"),1007.0)</f>
        <v>1007</v>
      </c>
      <c r="D4302" s="2" t="str">
        <f>IFERROR(__xludf.DUMMYFUNCTION("""COMPUTED_VALUE"""),"NTV")</f>
        <v>NTV</v>
      </c>
      <c r="E4302" s="2" t="str">
        <f>IFERROR(__xludf.DUMMYFUNCTION("""COMPUTED_VALUE"""),"木23")</f>
        <v>木23</v>
      </c>
      <c r="F4302" s="2" t="s">
        <v>12560</v>
      </c>
      <c r="G4302" s="2" t="s">
        <v>12575</v>
      </c>
      <c r="H4302" s="1">
        <v>8.0</v>
      </c>
      <c r="I4302" s="1" t="s">
        <v>2896</v>
      </c>
      <c r="J4302" s="1" t="s">
        <v>1435</v>
      </c>
      <c r="K4302" s="2" t="s">
        <v>12576</v>
      </c>
      <c r="L4302" s="2"/>
      <c r="M4302" s="2" t="str">
        <f>IFERROR(__xludf.DUMMYFUNCTION("split(split(K4302,""【演出"",false),""ほか"",false)"),"仲里依紗、青木崇高、原田夏希、池田成志(他)元カリスマ店員の熱血ギャル教師VS超フリーダムな外国人生徒たちの、天然日本語バトル!笑いと涙の3ヶ月で、全員卒業させることができるのか!?http://www.ytv.co.jp/nihongo/")</f>
        <v>仲里依紗、青木崇高、原田夏希、池田成志(他)元カリスマ店員の熱血ギャル教師VS超フリーダムな外国人生徒たちの、天然日本語バトル!笑いと涙の3ヶ月で、全員卒業させることができるのか!?http://www.ytv.co.jp/nihongo/</v>
      </c>
      <c r="N4302" s="2"/>
      <c r="O4302" s="2"/>
      <c r="P4302" s="1"/>
      <c r="Q4302" s="1"/>
      <c r="R4302" s="1"/>
      <c r="S4302" s="1"/>
      <c r="T4302" s="1"/>
      <c r="U4302" s="1"/>
      <c r="V4302" s="1"/>
      <c r="W4302" s="1"/>
      <c r="X4302" s="1"/>
      <c r="Y4302" s="1"/>
      <c r="Z4302" s="1"/>
      <c r="AA4302" s="1"/>
      <c r="AB4302" s="1"/>
      <c r="AC4302" s="1"/>
      <c r="AD4302" s="1"/>
      <c r="AE4302" s="1"/>
      <c r="AF4302" s="1"/>
      <c r="AG4302" s="1"/>
      <c r="AH4302" s="1"/>
      <c r="AI4302" s="1"/>
      <c r="AJ4302" s="1"/>
      <c r="AK4302" s="1"/>
      <c r="AL4302" s="1"/>
      <c r="AM4302" s="1"/>
      <c r="AN4302" s="1"/>
      <c r="AO4302" s="1"/>
      <c r="AP4302" s="1"/>
      <c r="AQ4302" s="1"/>
      <c r="AR4302" s="1"/>
      <c r="AS4302" s="1"/>
      <c r="AT4302" s="1"/>
      <c r="AU4302" s="1"/>
      <c r="AV4302" s="1"/>
      <c r="AW4302" s="1"/>
      <c r="AX4302" s="1"/>
      <c r="AY4302" s="1"/>
      <c r="AZ4302" s="1"/>
      <c r="BA4302" s="1"/>
      <c r="BB4302" s="1"/>
    </row>
    <row r="4303" ht="204.75" customHeight="1">
      <c r="A4303" s="1">
        <v>4716.0</v>
      </c>
      <c r="B4303" s="2" t="s">
        <v>12559</v>
      </c>
      <c r="C4303" s="2">
        <f>IFERROR(__xludf.DUMMYFUNCTION("split(B4303,""_"")"),1007.0)</f>
        <v>1007</v>
      </c>
      <c r="D4303" s="2" t="str">
        <f>IFERROR(__xludf.DUMMYFUNCTION("""COMPUTED_VALUE"""),"NTV")</f>
        <v>NTV</v>
      </c>
      <c r="E4303" s="2" t="str">
        <f>IFERROR(__xludf.DUMMYFUNCTION("""COMPUTED_VALUE"""),"木23")</f>
        <v>木23</v>
      </c>
      <c r="F4303" s="2" t="s">
        <v>12560</v>
      </c>
      <c r="G4303" s="2" t="s">
        <v>12577</v>
      </c>
      <c r="H4303" s="1">
        <v>9.0</v>
      </c>
      <c r="I4303" s="1" t="s">
        <v>2900</v>
      </c>
      <c r="J4303" s="1" t="s">
        <v>1435</v>
      </c>
      <c r="K4303" s="2" t="s">
        <v>12578</v>
      </c>
      <c r="L4303" s="2"/>
      <c r="M4303" s="2" t="str">
        <f>IFERROR(__xludf.DUMMYFUNCTION("split(split(K4303,""【演出"",false),""ほか"",false)"),"仲里依紗、青木崇高、原田夏希、小島藤子、つみきみほ、池田成志(他)元カリスマ店員の熱血ギャル教師VS超フリーダムな外国人生徒たちの、天然日本語バトル!  笑いと涙の3ヶ月で、全員卒業させることができるのか!?http://www.ytv.co.jp/nihongo/")</f>
        <v>仲里依紗、青木崇高、原田夏希、小島藤子、つみきみほ、池田成志(他)元カリスマ店員の熱血ギャル教師VS超フリーダムな外国人生徒たちの、天然日本語バトル!  笑いと涙の3ヶ月で、全員卒業させることができるのか!?http://www.ytv.co.jp/nihongo/</v>
      </c>
      <c r="N4303" s="2"/>
      <c r="O4303" s="2"/>
      <c r="P4303" s="1"/>
      <c r="Q4303" s="1"/>
      <c r="R4303" s="1"/>
      <c r="S4303" s="1"/>
      <c r="T4303" s="1"/>
      <c r="U4303" s="1"/>
      <c r="V4303" s="1"/>
      <c r="W4303" s="1"/>
      <c r="X4303" s="1"/>
      <c r="Y4303" s="1"/>
      <c r="Z4303" s="1"/>
      <c r="AA4303" s="1"/>
      <c r="AB4303" s="1"/>
      <c r="AC4303" s="1"/>
      <c r="AD4303" s="1"/>
      <c r="AE4303" s="1"/>
      <c r="AF4303" s="1"/>
      <c r="AG4303" s="1"/>
      <c r="AH4303" s="1"/>
      <c r="AI4303" s="1"/>
      <c r="AJ4303" s="1"/>
      <c r="AK4303" s="1"/>
      <c r="AL4303" s="1"/>
      <c r="AM4303" s="1"/>
      <c r="AN4303" s="1"/>
      <c r="AO4303" s="1"/>
      <c r="AP4303" s="1"/>
      <c r="AQ4303" s="1"/>
      <c r="AR4303" s="1"/>
      <c r="AS4303" s="1"/>
      <c r="AT4303" s="1"/>
      <c r="AU4303" s="1"/>
      <c r="AV4303" s="1"/>
      <c r="AW4303" s="1"/>
      <c r="AX4303" s="1"/>
      <c r="AY4303" s="1"/>
      <c r="AZ4303" s="1"/>
      <c r="BA4303" s="1"/>
      <c r="BB4303" s="1"/>
    </row>
    <row r="4304" ht="204.75" customHeight="1">
      <c r="A4304" s="1">
        <v>4717.0</v>
      </c>
      <c r="B4304" s="2" t="s">
        <v>12559</v>
      </c>
      <c r="C4304" s="2">
        <f>IFERROR(__xludf.DUMMYFUNCTION("split(B4304,""_"")"),1007.0)</f>
        <v>1007</v>
      </c>
      <c r="D4304" s="2" t="str">
        <f>IFERROR(__xludf.DUMMYFUNCTION("""COMPUTED_VALUE"""),"NTV")</f>
        <v>NTV</v>
      </c>
      <c r="E4304" s="2" t="str">
        <f>IFERROR(__xludf.DUMMYFUNCTION("""COMPUTED_VALUE"""),"木23")</f>
        <v>木23</v>
      </c>
      <c r="F4304" s="2" t="s">
        <v>12560</v>
      </c>
      <c r="G4304" s="2" t="s">
        <v>12579</v>
      </c>
      <c r="H4304" s="1">
        <v>10.0</v>
      </c>
      <c r="I4304" s="1" t="s">
        <v>37</v>
      </c>
      <c r="J4304" s="1" t="s">
        <v>1435</v>
      </c>
      <c r="K4304" s="2" t="s">
        <v>12580</v>
      </c>
      <c r="L4304" s="2"/>
      <c r="M4304" s="2" t="str">
        <f>IFERROR(__xludf.DUMMYFUNCTION("split(split(K4304,""【演出"",false),""ほか"",false)"),"仲里依紗、青木崇高、原田夏希、池田成志(他)元カリスマ店員の熱血ギャル教師VS超フリーダムな外国人生徒たちの、天然日本語バトル!  笑いと涙の3ヶ月で、全員卒業させることができるのか!?http://www.ytv.co.jp/nihongo/")</f>
        <v>仲里依紗、青木崇高、原田夏希、池田成志(他)元カリスマ店員の熱血ギャル教師VS超フリーダムな外国人生徒たちの、天然日本語バトル!  笑いと涙の3ヶ月で、全員卒業させることができるのか!?http://www.ytv.co.jp/nihongo/</v>
      </c>
      <c r="N4304" s="2"/>
      <c r="O4304" s="2"/>
      <c r="P4304" s="1"/>
      <c r="Q4304" s="1"/>
      <c r="R4304" s="1"/>
      <c r="S4304" s="1"/>
      <c r="T4304" s="1"/>
      <c r="U4304" s="1"/>
      <c r="V4304" s="1"/>
      <c r="W4304" s="1"/>
      <c r="X4304" s="1"/>
      <c r="Y4304" s="1"/>
      <c r="Z4304" s="1"/>
      <c r="AA4304" s="1"/>
      <c r="AB4304" s="1"/>
      <c r="AC4304" s="1"/>
      <c r="AD4304" s="1"/>
      <c r="AE4304" s="1"/>
      <c r="AF4304" s="1"/>
      <c r="AG4304" s="1"/>
      <c r="AH4304" s="1"/>
      <c r="AI4304" s="1"/>
      <c r="AJ4304" s="1"/>
      <c r="AK4304" s="1"/>
      <c r="AL4304" s="1"/>
      <c r="AM4304" s="1"/>
      <c r="AN4304" s="1"/>
      <c r="AO4304" s="1"/>
      <c r="AP4304" s="1"/>
      <c r="AQ4304" s="1"/>
      <c r="AR4304" s="1"/>
      <c r="AS4304" s="1"/>
      <c r="AT4304" s="1"/>
      <c r="AU4304" s="1"/>
      <c r="AV4304" s="1"/>
      <c r="AW4304" s="1"/>
      <c r="AX4304" s="1"/>
      <c r="AY4304" s="1"/>
      <c r="AZ4304" s="1"/>
      <c r="BA4304" s="1"/>
      <c r="BB4304" s="1"/>
    </row>
    <row r="4305" ht="204.75" customHeight="1">
      <c r="A4305" s="1">
        <v>4718.0</v>
      </c>
      <c r="B4305" s="2" t="s">
        <v>12559</v>
      </c>
      <c r="C4305" s="2">
        <f>IFERROR(__xludf.DUMMYFUNCTION("split(B4305,""_"")"),1007.0)</f>
        <v>1007</v>
      </c>
      <c r="D4305" s="2" t="str">
        <f>IFERROR(__xludf.DUMMYFUNCTION("""COMPUTED_VALUE"""),"NTV")</f>
        <v>NTV</v>
      </c>
      <c r="E4305" s="2" t="str">
        <f>IFERROR(__xludf.DUMMYFUNCTION("""COMPUTED_VALUE"""),"木23")</f>
        <v>木23</v>
      </c>
      <c r="F4305" s="2" t="s">
        <v>12560</v>
      </c>
      <c r="G4305" s="2" t="s">
        <v>12581</v>
      </c>
      <c r="H4305" s="1">
        <v>11.0</v>
      </c>
      <c r="I4305" s="1" t="s">
        <v>41</v>
      </c>
      <c r="J4305" s="1" t="s">
        <v>1435</v>
      </c>
      <c r="K4305" s="2" t="s">
        <v>12582</v>
      </c>
      <c r="L4305" s="2"/>
      <c r="M4305" s="2" t="str">
        <f>IFERROR(__xludf.DUMMYFUNCTION("split(split(K4305,""【演出"",false),""ほか"",false)"),"仲里依紗、青木崇高、原田夏希、池田成志(他)卒業試験まであと1週間!  元カリスマ店員の熱血ギャル教師VS超フリーダムな外国人生徒たちの、笑いと涙の3ヶ月!  超天然バトルも、いよいよ大詰め!  ハルコは全員卒業させることができるのか!?http://www.ytv.co.jp/nihongo/")</f>
        <v>仲里依紗、青木崇高、原田夏希、池田成志(他)卒業試験まであと1週間!  元カリスマ店員の熱血ギャル教師VS超フリーダムな外国人生徒たちの、笑いと涙の3ヶ月!  超天然バトルも、いよいよ大詰め!  ハルコは全員卒業させることができるのか!?http://www.ytv.co.jp/nihongo/</v>
      </c>
      <c r="N4305" s="2"/>
      <c r="O4305" s="2"/>
      <c r="P4305" s="1"/>
      <c r="Q4305" s="1"/>
      <c r="R4305" s="1"/>
      <c r="S4305" s="1"/>
      <c r="T4305" s="1"/>
      <c r="U4305" s="1"/>
      <c r="V4305" s="1"/>
      <c r="W4305" s="1"/>
      <c r="X4305" s="1"/>
      <c r="Y4305" s="1"/>
      <c r="Z4305" s="1"/>
      <c r="AA4305" s="1"/>
      <c r="AB4305" s="1"/>
      <c r="AC4305" s="1"/>
      <c r="AD4305" s="1"/>
      <c r="AE4305" s="1"/>
      <c r="AF4305" s="1"/>
      <c r="AG4305" s="1"/>
      <c r="AH4305" s="1"/>
      <c r="AI4305" s="1"/>
      <c r="AJ4305" s="1"/>
      <c r="AK4305" s="1"/>
      <c r="AL4305" s="1"/>
      <c r="AM4305" s="1"/>
      <c r="AN4305" s="1"/>
      <c r="AO4305" s="1"/>
      <c r="AP4305" s="1"/>
      <c r="AQ4305" s="1"/>
      <c r="AR4305" s="1"/>
      <c r="AS4305" s="1"/>
      <c r="AT4305" s="1"/>
      <c r="AU4305" s="1"/>
      <c r="AV4305" s="1"/>
      <c r="AW4305" s="1"/>
      <c r="AX4305" s="1"/>
      <c r="AY4305" s="1"/>
      <c r="AZ4305" s="1"/>
      <c r="BA4305" s="1"/>
      <c r="BB4305" s="1"/>
    </row>
    <row r="4306" ht="204.75" customHeight="1">
      <c r="A4306" s="1">
        <v>4719.0</v>
      </c>
      <c r="B4306" s="2" t="s">
        <v>12559</v>
      </c>
      <c r="C4306" s="2">
        <f>IFERROR(__xludf.DUMMYFUNCTION("split(B4306,""_"")"),1007.0)</f>
        <v>1007</v>
      </c>
      <c r="D4306" s="2" t="str">
        <f>IFERROR(__xludf.DUMMYFUNCTION("""COMPUTED_VALUE"""),"NTV")</f>
        <v>NTV</v>
      </c>
      <c r="E4306" s="2" t="str">
        <f>IFERROR(__xludf.DUMMYFUNCTION("""COMPUTED_VALUE"""),"木23")</f>
        <v>木23</v>
      </c>
      <c r="F4306" s="2" t="s">
        <v>12560</v>
      </c>
      <c r="G4306" s="2" t="s">
        <v>12583</v>
      </c>
      <c r="H4306" s="1">
        <v>12.0</v>
      </c>
      <c r="I4306" s="1" t="s">
        <v>3666</v>
      </c>
      <c r="J4306" s="1" t="s">
        <v>1435</v>
      </c>
      <c r="K4306" s="2" t="s">
        <v>12584</v>
      </c>
      <c r="L4306" s="2"/>
      <c r="M4306" s="2" t="str">
        <f>IFERROR(__xludf.DUMMYFUNCTION("split(split(K4306,""【演出"",false),""ほか"",false)"),"仲里依紗、青木崇高、原田夏希、朝加真由美、池田成志(他)ついに最終回。  元カリスマ店員の熱血ギャル教師VS超フリーダムな外国人生徒たちの、笑いと涙の3ヶ月。  最後にハルコを待っていたのは…http://www.ytv.co.jp/nihongo/")</f>
        <v>仲里依紗、青木崇高、原田夏希、朝加真由美、池田成志(他)ついに最終回。  元カリスマ店員の熱血ギャル教師VS超フリーダムな外国人生徒たちの、笑いと涙の3ヶ月。  最後にハルコを待っていたのは…http://www.ytv.co.jp/nihongo/</v>
      </c>
      <c r="N4306" s="2"/>
      <c r="O4306" s="2"/>
      <c r="P4306" s="1"/>
      <c r="Q4306" s="1"/>
      <c r="R4306" s="1"/>
      <c r="S4306" s="1"/>
      <c r="T4306" s="1"/>
      <c r="U4306" s="1"/>
      <c r="V4306" s="1"/>
      <c r="W4306" s="1"/>
      <c r="X4306" s="1"/>
      <c r="Y4306" s="1"/>
      <c r="Z4306" s="1"/>
      <c r="AA4306" s="1"/>
      <c r="AB4306" s="1"/>
      <c r="AC4306" s="1"/>
      <c r="AD4306" s="1"/>
      <c r="AE4306" s="1"/>
      <c r="AF4306" s="1"/>
      <c r="AG4306" s="1"/>
      <c r="AH4306" s="1"/>
      <c r="AI4306" s="1"/>
      <c r="AJ4306" s="1"/>
      <c r="AK4306" s="1"/>
      <c r="AL4306" s="1"/>
      <c r="AM4306" s="1"/>
      <c r="AN4306" s="1"/>
      <c r="AO4306" s="1"/>
      <c r="AP4306" s="1"/>
      <c r="AQ4306" s="1"/>
      <c r="AR4306" s="1"/>
      <c r="AS4306" s="1"/>
      <c r="AT4306" s="1"/>
      <c r="AU4306" s="1"/>
      <c r="AV4306" s="1"/>
      <c r="AW4306" s="1"/>
      <c r="AX4306" s="1"/>
      <c r="AY4306" s="1"/>
      <c r="AZ4306" s="1"/>
      <c r="BA4306" s="1"/>
      <c r="BB4306" s="1"/>
    </row>
    <row r="4307" ht="204.75" customHeight="1">
      <c r="A4307" s="1">
        <v>4759.0</v>
      </c>
      <c r="B4307" s="2" t="s">
        <v>12585</v>
      </c>
      <c r="C4307" s="2">
        <f>IFERROR(__xludf.DUMMYFUNCTION("split(B4307,""_"")"),1007.0)</f>
        <v>1007</v>
      </c>
      <c r="D4307" s="2" t="str">
        <f>IFERROR(__xludf.DUMMYFUNCTION("""COMPUTED_VALUE"""),"NTV")</f>
        <v>NTV</v>
      </c>
      <c r="E4307" s="2" t="str">
        <f>IFERROR(__xludf.DUMMYFUNCTION("""COMPUTED_VALUE"""),"土21")</f>
        <v>土21</v>
      </c>
      <c r="F4307" s="2" t="s">
        <v>12586</v>
      </c>
      <c r="G4307" s="2" t="s">
        <v>12587</v>
      </c>
      <c r="H4307" s="1">
        <v>1.0</v>
      </c>
      <c r="I4307" s="1" t="s">
        <v>2868</v>
      </c>
      <c r="J4307" s="1" t="s">
        <v>4</v>
      </c>
      <c r="K4307" s="2" t="s">
        <v>12588</v>
      </c>
      <c r="L4307" s="2"/>
      <c r="M4307" s="2" t="str">
        <f>IFERROR(__xludf.DUMMYFUNCTION("split(split(K4307,""【演出"",false),""ほか"",false)"),"吉高由里子、林遣都、勝地涼、水沢エレナ、夕輝壽太、中村静香  金田明夫、美保純、寺脇康文、谷原章介、真矢みき　")</f>
        <v>吉高由里子、林遣都、勝地涼、水沢エレナ、夕輝壽太、中村静香  金田明夫、美保純、寺脇康文、谷原章介、真矢みき　</v>
      </c>
      <c r="N4307" s="2" t="str">
        <f>IFERROR(__xludf.DUMMYFUNCTION("""COMPUTED_VALUE"""),"平凡な大学生だった太一は、ある日、嵐のような女の子・美丘(みおか)に出会う。自由奔放に自分の思うままに生きる美丘に振り回されながらも、次第に惹かれていく太一。しかし、美丘には秘密があった。不治の病を脳に抱えていたのだ。残された時間を、力いっぱい生きる美丘と彼女を全力で愛する太一。二人を支える家族、医師、友人たち。その姿を通して「人を愛するということは」「生きるとは」「命とは」を問う物語。猪股隆一【原作】石田衣良「美丘」(角川文庫刊)  【脚本】梅田みか【音楽】菅野祐悟  【主題歌】福山雅治「蛍」(ユニバー"&amp;"サル　J)【チーフプロデューサー】田中芳樹  【プロデューサー】加藤正俊、小泉守  【制作協力】トータルメディアコミュニケーション  【製作著作】日本テレビ")</f>
        <v>平凡な大学生だった太一は、ある日、嵐のような女の子・美丘(みおか)に出会う。自由奔放に自分の思うままに生きる美丘に振り回されながらも、次第に惹かれていく太一。しかし、美丘には秘密があった。不治の病を脳に抱えていたのだ。残された時間を、力いっぱい生きる美丘と彼女を全力で愛する太一。二人を支える家族、医師、友人たち。その姿を通して「人を愛するということは」「生きるとは」「命とは」を問う物語。猪股隆一【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v>
      </c>
      <c r="O4307" s="2"/>
      <c r="P4307" s="1"/>
      <c r="Q4307" s="1"/>
      <c r="R4307" s="1"/>
      <c r="S4307" s="1"/>
      <c r="T4307" s="1"/>
      <c r="U4307" s="1"/>
      <c r="V4307" s="1"/>
      <c r="W4307" s="1"/>
      <c r="X4307" s="1"/>
      <c r="Y4307" s="1"/>
      <c r="Z4307" s="1"/>
      <c r="AA4307" s="1"/>
      <c r="AB4307" s="1"/>
      <c r="AC4307" s="1"/>
      <c r="AD4307" s="1"/>
      <c r="AE4307" s="1"/>
      <c r="AF4307" s="1"/>
      <c r="AG4307" s="1"/>
      <c r="AH4307" s="1"/>
      <c r="AI4307" s="1"/>
      <c r="AJ4307" s="1"/>
      <c r="AK4307" s="1"/>
      <c r="AL4307" s="1"/>
      <c r="AM4307" s="1"/>
      <c r="AN4307" s="1"/>
      <c r="AO4307" s="1"/>
      <c r="AP4307" s="1"/>
      <c r="AQ4307" s="1"/>
      <c r="AR4307" s="1"/>
      <c r="AS4307" s="1"/>
      <c r="AT4307" s="1"/>
      <c r="AU4307" s="1"/>
      <c r="AV4307" s="1"/>
      <c r="AW4307" s="1"/>
      <c r="AX4307" s="1"/>
      <c r="AY4307" s="1"/>
      <c r="AZ4307" s="1"/>
      <c r="BA4307" s="1"/>
      <c r="BB4307" s="1"/>
    </row>
    <row r="4308" ht="204.75" customHeight="1">
      <c r="A4308" s="1">
        <v>4760.0</v>
      </c>
      <c r="B4308" s="2" t="s">
        <v>12585</v>
      </c>
      <c r="C4308" s="2">
        <f>IFERROR(__xludf.DUMMYFUNCTION("split(B4308,""_"")"),1007.0)</f>
        <v>1007</v>
      </c>
      <c r="D4308" s="2" t="str">
        <f>IFERROR(__xludf.DUMMYFUNCTION("""COMPUTED_VALUE"""),"NTV")</f>
        <v>NTV</v>
      </c>
      <c r="E4308" s="2" t="str">
        <f>IFERROR(__xludf.DUMMYFUNCTION("""COMPUTED_VALUE"""),"土21")</f>
        <v>土21</v>
      </c>
      <c r="F4308" s="2" t="s">
        <v>12586</v>
      </c>
      <c r="G4308" s="2" t="s">
        <v>12589</v>
      </c>
      <c r="H4308" s="1">
        <v>2.0</v>
      </c>
      <c r="I4308" s="1" t="s">
        <v>2872</v>
      </c>
      <c r="J4308" s="1" t="s">
        <v>11</v>
      </c>
      <c r="K4308" s="2" t="s">
        <v>12590</v>
      </c>
      <c r="L4308" s="2"/>
      <c r="M4308" s="2" t="str">
        <f>IFERROR(__xludf.DUMMYFUNCTION("split(split(K4308,""【演出"",false),""ほか"",false)"),"吉高由里子、林遣都、勝地涼、水沢エレナ、  夕輝壽太、中村静香、寺脇康文、谷原章介、真矢みき「もう本気の恋はしない」そう決めていた美丘(吉高由里子)の心は、太一(林遣都)との出会いで静かに動き始めていた。そして、太一もまた気がつくといつも楽しそうに笑う美丘の姿を目で追っていた。しかし、そんな二人を見ていた麻理(水沢エレナ)は、美丘に「私、太一くんが好きなの」と突然告白する。一瞬戸惑う美丘だったが、太一への想いを隠し、二人を応援すると約束するのだった。猪股隆一【原作】石田衣良「美丘」(角川文庫刊)  【脚本"&amp;"】梅田みか【音楽】菅野祐悟  【主題歌】福山雅治「蛍」(ユニバーサル　J)【チーフプロデューサー】田中芳樹  【プロデューサー】加藤正俊、小泉守  【制作協力】トータルメディアコミュニケーション  【製作著作】日本テレビ")</f>
        <v>吉高由里子、林遣都、勝地涼、水沢エレナ、  夕輝壽太、中村静香、寺脇康文、谷原章介、真矢みき「もう本気の恋はしない」そう決めていた美丘(吉高由里子)の心は、太一(林遣都)との出会いで静かに動き始めていた。そして、太一もまた気がつくといつも楽しそうに笑う美丘の姿を目で追っていた。しかし、そんな二人を見ていた麻理(水沢エレナ)は、美丘に「私、太一くんが好きなの」と突然告白する。一瞬戸惑う美丘だったが、太一への想いを隠し、二人を応援すると約束するのだった。猪股隆一【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v>
      </c>
      <c r="N4308" s="2"/>
      <c r="O4308" s="2"/>
      <c r="P4308" s="1"/>
      <c r="Q4308" s="1"/>
      <c r="R4308" s="1"/>
      <c r="S4308" s="1"/>
      <c r="T4308" s="1"/>
      <c r="U4308" s="1"/>
      <c r="V4308" s="1"/>
      <c r="W4308" s="1"/>
      <c r="X4308" s="1"/>
      <c r="Y4308" s="1"/>
      <c r="Z4308" s="1"/>
      <c r="AA4308" s="1"/>
      <c r="AB4308" s="1"/>
      <c r="AC4308" s="1"/>
      <c r="AD4308" s="1"/>
      <c r="AE4308" s="1"/>
      <c r="AF4308" s="1"/>
      <c r="AG4308" s="1"/>
      <c r="AH4308" s="1"/>
      <c r="AI4308" s="1"/>
      <c r="AJ4308" s="1"/>
      <c r="AK4308" s="1"/>
      <c r="AL4308" s="1"/>
      <c r="AM4308" s="1"/>
      <c r="AN4308" s="1"/>
      <c r="AO4308" s="1"/>
      <c r="AP4308" s="1"/>
      <c r="AQ4308" s="1"/>
      <c r="AR4308" s="1"/>
      <c r="AS4308" s="1"/>
      <c r="AT4308" s="1"/>
      <c r="AU4308" s="1"/>
      <c r="AV4308" s="1"/>
      <c r="AW4308" s="1"/>
      <c r="AX4308" s="1"/>
      <c r="AY4308" s="1"/>
      <c r="AZ4308" s="1"/>
      <c r="BA4308" s="1"/>
      <c r="BB4308" s="1"/>
    </row>
    <row r="4309" ht="204.75" customHeight="1">
      <c r="A4309" s="1">
        <v>4761.0</v>
      </c>
      <c r="B4309" s="2" t="s">
        <v>12585</v>
      </c>
      <c r="C4309" s="2">
        <f>IFERROR(__xludf.DUMMYFUNCTION("split(B4309,""_"")"),1007.0)</f>
        <v>1007</v>
      </c>
      <c r="D4309" s="2" t="str">
        <f>IFERROR(__xludf.DUMMYFUNCTION("""COMPUTED_VALUE"""),"NTV")</f>
        <v>NTV</v>
      </c>
      <c r="E4309" s="2" t="str">
        <f>IFERROR(__xludf.DUMMYFUNCTION("""COMPUTED_VALUE"""),"土21")</f>
        <v>土21</v>
      </c>
      <c r="F4309" s="2" t="s">
        <v>12586</v>
      </c>
      <c r="G4309" s="2" t="s">
        <v>12591</v>
      </c>
      <c r="H4309" s="1">
        <v>3.0</v>
      </c>
      <c r="I4309" s="1" t="s">
        <v>2876</v>
      </c>
      <c r="J4309" s="1" t="s">
        <v>11</v>
      </c>
      <c r="K4309" s="2" t="s">
        <v>12592</v>
      </c>
      <c r="L4309" s="2"/>
      <c r="M4309" s="2" t="str">
        <f>IFERROR(__xludf.DUMMYFUNCTION("split(split(K4309,""【演出"",false),""ほか"",false)"),"吉高由里子、林遣都、勝地涼、水沢エレナ、  夕輝壽太、中村静香、寺脇康文、谷原章介、真矢みき「あたし、死んじゃうんだ。もう長く生きられないの」美丘(吉高由里子)の突然の告白に太一(林遣都)は戸惑い、美丘とどう接していいかわからずにいた。ある日、何も知らない邦彦(勝地涼)は美丘を映画に誘う。だがそれは主人公が病気で死んでしまう映画だった。美丘は差し出されたチケットを乱暴に振り払い、飛び出していってしまう。美丘の態度に邦彦、麻理(水沢エレナ)、洋次(夕輝壽太)、直美(中村静香)は唖然とする山下学美【原作】石田"&amp;"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f>
        <v>吉高由里子、林遣都、勝地涼、水沢エレナ、  夕輝壽太、中村静香、寺脇康文、谷原章介、真矢みき「あたし、死んじゃうんだ。もう長く生きられないの」美丘(吉高由里子)の突然の告白に太一(林遣都)は戸惑い、美丘とどう接していいかわからずにいた。ある日、何も知らない邦彦(勝地涼)は美丘を映画に誘う。だがそれは主人公が病気で死んでしまう映画だった。美丘は差し出されたチケットを乱暴に振り払い、飛び出していってしまう。美丘の態度に邦彦、麻理(水沢エレナ)、洋次(夕輝壽太)、直美(中村静香)は唖然とする山下学美【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v>
      </c>
      <c r="N4309" s="2"/>
      <c r="O4309" s="2"/>
      <c r="P4309" s="1"/>
      <c r="Q4309" s="1"/>
      <c r="R4309" s="1"/>
      <c r="S4309" s="1"/>
      <c r="T4309" s="1"/>
      <c r="U4309" s="1"/>
      <c r="V4309" s="1"/>
      <c r="W4309" s="1"/>
      <c r="X4309" s="1"/>
      <c r="Y4309" s="1"/>
      <c r="Z4309" s="1"/>
      <c r="AA4309" s="1"/>
      <c r="AB4309" s="1"/>
      <c r="AC4309" s="1"/>
      <c r="AD4309" s="1"/>
      <c r="AE4309" s="1"/>
      <c r="AF4309" s="1"/>
      <c r="AG4309" s="1"/>
      <c r="AH4309" s="1"/>
      <c r="AI4309" s="1"/>
      <c r="AJ4309" s="1"/>
      <c r="AK4309" s="1"/>
      <c r="AL4309" s="1"/>
      <c r="AM4309" s="1"/>
      <c r="AN4309" s="1"/>
      <c r="AO4309" s="1"/>
      <c r="AP4309" s="1"/>
      <c r="AQ4309" s="1"/>
      <c r="AR4309" s="1"/>
      <c r="AS4309" s="1"/>
      <c r="AT4309" s="1"/>
      <c r="AU4309" s="1"/>
      <c r="AV4309" s="1"/>
      <c r="AW4309" s="1"/>
      <c r="AX4309" s="1"/>
      <c r="AY4309" s="1"/>
      <c r="AZ4309" s="1"/>
      <c r="BA4309" s="1"/>
      <c r="BB4309" s="1"/>
    </row>
    <row r="4310" ht="204.75" customHeight="1">
      <c r="A4310" s="1">
        <v>4762.0</v>
      </c>
      <c r="B4310" s="2" t="s">
        <v>12585</v>
      </c>
      <c r="C4310" s="2">
        <f>IFERROR(__xludf.DUMMYFUNCTION("split(B4310,""_"")"),1007.0)</f>
        <v>1007</v>
      </c>
      <c r="D4310" s="2" t="str">
        <f>IFERROR(__xludf.DUMMYFUNCTION("""COMPUTED_VALUE"""),"NTV")</f>
        <v>NTV</v>
      </c>
      <c r="E4310" s="2" t="str">
        <f>IFERROR(__xludf.DUMMYFUNCTION("""COMPUTED_VALUE"""),"土21")</f>
        <v>土21</v>
      </c>
      <c r="F4310" s="2" t="s">
        <v>12586</v>
      </c>
      <c r="G4310" s="2" t="s">
        <v>12593</v>
      </c>
      <c r="H4310" s="1">
        <v>4.0</v>
      </c>
      <c r="I4310" s="1" t="s">
        <v>2880</v>
      </c>
      <c r="J4310" s="1" t="s">
        <v>11</v>
      </c>
      <c r="K4310" s="2" t="s">
        <v>12594</v>
      </c>
      <c r="L4310" s="2"/>
      <c r="M4310" s="2" t="str">
        <f>IFERROR(__xludf.DUMMYFUNCTION("split(split(K4310,""【演出"",false),""ほか"",false)"),"吉高由里子、林遣都、勝地涼、水沢エレナ、夕輝壽太、中村静香  金田明夫、美保純、寺脇康文、谷原章介、真矢みき美丘と太一が一緒にいると決めた日からひと月が過ぎ、二人は美丘の病気を忘れたかのように、いつも笑って過ごしていた。ある日、太一を校門に待たせて忘れ物を取りに行った美丘は、不意にめまいを感じる。やり過ごして歩き出そうとしたそのとき、異変は起こった。「…あれ?学校どっちだっけ?…」通いなれた道がわからなくなる美丘。ついに恐れていたことが起こり始めたのだーー。佐久間紀佳【原作】石田衣良「美丘」(角川文庫刊)"&amp;"  【脚本】梅田みか【音楽】菅野祐悟  【主題歌】福山雅治「蛍」(ユニバーサル　J)【チーフプロデューサー】田中芳樹  【プロデューサー】加藤正俊、小泉守  【制作協力】トータルメディアコミュニケーション  【製作著作】日本テレビ")</f>
        <v>吉高由里子、林遣都、勝地涼、水沢エレナ、夕輝壽太、中村静香  金田明夫、美保純、寺脇康文、谷原章介、真矢みき美丘と太一が一緒にいると決めた日からひと月が過ぎ、二人は美丘の病気を忘れたかのように、いつも笑って過ごしていた。ある日、太一を校門に待たせて忘れ物を取りに行った美丘は、不意にめまいを感じる。やり過ごして歩き出そうとしたそのとき、異変は起こった。「…あれ?学校どっちだっけ?…」通いなれた道がわからなくなる美丘。ついに恐れていたことが起こり始めたのだーー。佐久間紀佳【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v>
      </c>
      <c r="N4310" s="2"/>
      <c r="O4310" s="2"/>
      <c r="P4310" s="1"/>
      <c r="Q4310" s="1"/>
      <c r="R4310" s="1"/>
      <c r="S4310" s="1"/>
      <c r="T4310" s="1"/>
      <c r="U4310" s="1"/>
      <c r="V4310" s="1"/>
      <c r="W4310" s="1"/>
      <c r="X4310" s="1"/>
      <c r="Y4310" s="1"/>
      <c r="Z4310" s="1"/>
      <c r="AA4310" s="1"/>
      <c r="AB4310" s="1"/>
      <c r="AC4310" s="1"/>
      <c r="AD4310" s="1"/>
      <c r="AE4310" s="1"/>
      <c r="AF4310" s="1"/>
      <c r="AG4310" s="1"/>
      <c r="AH4310" s="1"/>
      <c r="AI4310" s="1"/>
      <c r="AJ4310" s="1"/>
      <c r="AK4310" s="1"/>
      <c r="AL4310" s="1"/>
      <c r="AM4310" s="1"/>
      <c r="AN4310" s="1"/>
      <c r="AO4310" s="1"/>
      <c r="AP4310" s="1"/>
      <c r="AQ4310" s="1"/>
      <c r="AR4310" s="1"/>
      <c r="AS4310" s="1"/>
      <c r="AT4310" s="1"/>
      <c r="AU4310" s="1"/>
      <c r="AV4310" s="1"/>
      <c r="AW4310" s="1"/>
      <c r="AX4310" s="1"/>
      <c r="AY4310" s="1"/>
      <c r="AZ4310" s="1"/>
      <c r="BA4310" s="1"/>
      <c r="BB4310" s="1"/>
    </row>
    <row r="4311" ht="204.75" customHeight="1">
      <c r="A4311" s="1">
        <v>4763.0</v>
      </c>
      <c r="B4311" s="2" t="s">
        <v>12585</v>
      </c>
      <c r="C4311" s="2">
        <f>IFERROR(__xludf.DUMMYFUNCTION("split(B4311,""_"")"),1007.0)</f>
        <v>1007</v>
      </c>
      <c r="D4311" s="2" t="str">
        <f>IFERROR(__xludf.DUMMYFUNCTION("""COMPUTED_VALUE"""),"NTV")</f>
        <v>NTV</v>
      </c>
      <c r="E4311" s="2" t="str">
        <f>IFERROR(__xludf.DUMMYFUNCTION("""COMPUTED_VALUE"""),"土21")</f>
        <v>土21</v>
      </c>
      <c r="F4311" s="2" t="s">
        <v>12586</v>
      </c>
      <c r="G4311" s="2" t="s">
        <v>12595</v>
      </c>
      <c r="H4311" s="1">
        <v>5.0</v>
      </c>
      <c r="I4311" s="1" t="s">
        <v>2884</v>
      </c>
      <c r="J4311" s="1" t="s">
        <v>11</v>
      </c>
      <c r="K4311" s="2" t="s">
        <v>12596</v>
      </c>
      <c r="L4311" s="2"/>
      <c r="M4311" s="2" t="str">
        <f>IFERROR(__xludf.DUMMYFUNCTION("split(split(K4311,""【演出"",false),""ほか"",false)"),"吉高由里子、林遣都、勝地涼、水沢エレナ、夕輝壽太、中村静香  金田明夫、美保純、寺脇康文、谷原章介、真矢みき美丘(吉高由里子)は、太一(林遣都)との同棲資金のために、アルバイトを探し始めた。あらためて美丘の想いの強さを感じた太一もまた、美丘の想いを受け入れる。ある日、美丘は邦彦(勝地涼)や、麻理(水沢エレナ)の前で気を失って倒れてしまう。仲間たちは美丘の体を心配するが、太一も美丘も病気の事は打ち明けられないでいた。猪股隆一【原作】石田衣良「美丘」(角川文庫刊)  【脚本】梅田みか【音楽】菅野祐悟  【主題"&amp;"歌】福山雅治「蛍」(ユニバーサル　J)【チーフプロデューサー】田中芳樹  【プロデューサー】加藤正俊、小泉守  【制作協力】トータルメディアコミュニケーション  【製作著作】日本テレビ")</f>
        <v>吉高由里子、林遣都、勝地涼、水沢エレナ、夕輝壽太、中村静香  金田明夫、美保純、寺脇康文、谷原章介、真矢みき美丘(吉高由里子)は、太一(林遣都)との同棲資金のために、アルバイトを探し始めた。あらためて美丘の想いの強さを感じた太一もまた、美丘の想いを受け入れる。ある日、美丘は邦彦(勝地涼)や、麻理(水沢エレナ)の前で気を失って倒れてしまう。仲間たちは美丘の体を心配するが、太一も美丘も病気の事は打ち明けられないでいた。猪股隆一【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v>
      </c>
      <c r="N4311" s="2"/>
      <c r="O4311" s="2"/>
      <c r="P4311" s="1"/>
      <c r="Q4311" s="1"/>
      <c r="R4311" s="1"/>
      <c r="S4311" s="1"/>
      <c r="T4311" s="1"/>
      <c r="U4311" s="1"/>
      <c r="V4311" s="1"/>
      <c r="W4311" s="1"/>
      <c r="X4311" s="1"/>
      <c r="Y4311" s="1"/>
      <c r="Z4311" s="1"/>
      <c r="AA4311" s="1"/>
      <c r="AB4311" s="1"/>
      <c r="AC4311" s="1"/>
      <c r="AD4311" s="1"/>
      <c r="AE4311" s="1"/>
      <c r="AF4311" s="1"/>
      <c r="AG4311" s="1"/>
      <c r="AH4311" s="1"/>
      <c r="AI4311" s="1"/>
      <c r="AJ4311" s="1"/>
      <c r="AK4311" s="1"/>
      <c r="AL4311" s="1"/>
      <c r="AM4311" s="1"/>
      <c r="AN4311" s="1"/>
      <c r="AO4311" s="1"/>
      <c r="AP4311" s="1"/>
      <c r="AQ4311" s="1"/>
      <c r="AR4311" s="1"/>
      <c r="AS4311" s="1"/>
      <c r="AT4311" s="1"/>
      <c r="AU4311" s="1"/>
      <c r="AV4311" s="1"/>
      <c r="AW4311" s="1"/>
      <c r="AX4311" s="1"/>
      <c r="AY4311" s="1"/>
      <c r="AZ4311" s="1"/>
      <c r="BA4311" s="1"/>
      <c r="BB4311" s="1"/>
    </row>
    <row r="4312" ht="204.75" customHeight="1">
      <c r="A4312" s="1">
        <v>4764.0</v>
      </c>
      <c r="B4312" s="2" t="s">
        <v>12585</v>
      </c>
      <c r="C4312" s="2">
        <f>IFERROR(__xludf.DUMMYFUNCTION("split(B4312,""_"")"),1007.0)</f>
        <v>1007</v>
      </c>
      <c r="D4312" s="2" t="str">
        <f>IFERROR(__xludf.DUMMYFUNCTION("""COMPUTED_VALUE"""),"NTV")</f>
        <v>NTV</v>
      </c>
      <c r="E4312" s="2" t="str">
        <f>IFERROR(__xludf.DUMMYFUNCTION("""COMPUTED_VALUE"""),"土21")</f>
        <v>土21</v>
      </c>
      <c r="F4312" s="2" t="s">
        <v>12586</v>
      </c>
      <c r="G4312" s="2" t="s">
        <v>12597</v>
      </c>
      <c r="H4312" s="1">
        <v>6.0</v>
      </c>
      <c r="I4312" s="1" t="s">
        <v>2892</v>
      </c>
      <c r="J4312" s="1" t="s">
        <v>11</v>
      </c>
      <c r="K4312" s="2" t="s">
        <v>12598</v>
      </c>
      <c r="L4312" s="2"/>
      <c r="M4312" s="2" t="str">
        <f>IFERROR(__xludf.DUMMYFUNCTION("split(split(K4312,""【演出"",false),""ほか"",false)"),"吉高由里子、林遣都、勝地涼、水沢エレナ、夕輝壽太、中村静香  寺脇康文、升毅、谷原章介、真矢みき美丘(吉高由里子)が太一(林遣都)と暮らしはじめて一ヶ月が経った。美丘と太一は夏の思い出にロックフェスティバルに行く。出発当日、美丘は今までとは違う大きな異変を体に感じる。左手が突然痙攣し始め、足を前に出そうとするが出ず、そのままガクガクと崩れ落ちるように倒れてしまう。美丘の異変に気づき、慌てて駆け寄り抱きしめる太一。そんな太一に、美丘は悲しい目をして告げる。「太一くん…はじまっちゃったよ…」ーー佐久間紀佳【原"&amp;"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f>
        <v>吉高由里子、林遣都、勝地涼、水沢エレナ、夕輝壽太、中村静香  寺脇康文、升毅、谷原章介、真矢みき美丘(吉高由里子)が太一(林遣都)と暮らしはじめて一ヶ月が経った。美丘と太一は夏の思い出にロックフェスティバルに行く。出発当日、美丘は今までとは違う大きな異変を体に感じる。左手が突然痙攣し始め、足を前に出そうとするが出ず、そのままガクガクと崩れ落ちるように倒れてしまう。美丘の異変に気づき、慌てて駆け寄り抱きしめる太一。そんな太一に、美丘は悲しい目をして告げる。「太一くん…はじまっちゃったよ…」ーー佐久間紀佳【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v>
      </c>
      <c r="N4312" s="2"/>
      <c r="O4312" s="2"/>
      <c r="P4312" s="1"/>
      <c r="Q4312" s="1"/>
      <c r="R4312" s="1"/>
      <c r="S4312" s="1"/>
      <c r="T4312" s="1"/>
      <c r="U4312" s="1"/>
      <c r="V4312" s="1"/>
      <c r="W4312" s="1"/>
      <c r="X4312" s="1"/>
      <c r="Y4312" s="1"/>
      <c r="Z4312" s="1"/>
      <c r="AA4312" s="1"/>
      <c r="AB4312" s="1"/>
      <c r="AC4312" s="1"/>
      <c r="AD4312" s="1"/>
      <c r="AE4312" s="1"/>
      <c r="AF4312" s="1"/>
      <c r="AG4312" s="1"/>
      <c r="AH4312" s="1"/>
      <c r="AI4312" s="1"/>
      <c r="AJ4312" s="1"/>
      <c r="AK4312" s="1"/>
      <c r="AL4312" s="1"/>
      <c r="AM4312" s="1"/>
      <c r="AN4312" s="1"/>
      <c r="AO4312" s="1"/>
      <c r="AP4312" s="1"/>
      <c r="AQ4312" s="1"/>
      <c r="AR4312" s="1"/>
      <c r="AS4312" s="1"/>
      <c r="AT4312" s="1"/>
      <c r="AU4312" s="1"/>
      <c r="AV4312" s="1"/>
      <c r="AW4312" s="1"/>
      <c r="AX4312" s="1"/>
      <c r="AY4312" s="1"/>
      <c r="AZ4312" s="1"/>
      <c r="BA4312" s="1"/>
      <c r="BB4312" s="1"/>
    </row>
    <row r="4313" ht="204.75" customHeight="1">
      <c r="A4313" s="1">
        <v>4765.0</v>
      </c>
      <c r="B4313" s="2" t="s">
        <v>12585</v>
      </c>
      <c r="C4313" s="2">
        <f>IFERROR(__xludf.DUMMYFUNCTION("split(B4313,""_"")"),1007.0)</f>
        <v>1007</v>
      </c>
      <c r="D4313" s="2" t="str">
        <f>IFERROR(__xludf.DUMMYFUNCTION("""COMPUTED_VALUE"""),"NTV")</f>
        <v>NTV</v>
      </c>
      <c r="E4313" s="2" t="str">
        <f>IFERROR(__xludf.DUMMYFUNCTION("""COMPUTED_VALUE"""),"土21")</f>
        <v>土21</v>
      </c>
      <c r="F4313" s="2" t="s">
        <v>12586</v>
      </c>
      <c r="G4313" s="2" t="s">
        <v>12599</v>
      </c>
      <c r="H4313" s="1">
        <v>7.0</v>
      </c>
      <c r="I4313" s="1" t="s">
        <v>2896</v>
      </c>
      <c r="J4313" s="1" t="s">
        <v>4</v>
      </c>
      <c r="K4313" s="2" t="s">
        <v>12600</v>
      </c>
      <c r="L4313" s="2"/>
      <c r="M4313" s="2" t="str">
        <f>IFERROR(__xludf.DUMMYFUNCTION("split(split(K4313,""【演出"",false),""ほか"",false)"),"吉高由里子、林遣都、勝地涼、水沢エレナ、夕輝壽太、中村静香  金田明夫、美保純、寺脇康文、谷原章介、真矢みき美丘(吉高由里子)の病状は徐々に進行していた。だが美丘は明るく振舞い続け、自分の体が動くうちにと、佳織(真矢みき)に「家族で旅行に行こう」と提案する。だが旅行中、美丘が今まで動いていた右手を動かしにくそうにしていることに、太一(林遣都)だけが気づいた。そして太一の頭に高梨の言葉が蘇る。「覚悟しておいてほしい。もうすぐ彼女は自分の足で歩くことも、自分の手で食事をすることもできなくなる」ーー。猪股隆一【"&amp;"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f>
        <v>吉高由里子、林遣都、勝地涼、水沢エレナ、夕輝壽太、中村静香  金田明夫、美保純、寺脇康文、谷原章介、真矢みき美丘(吉高由里子)の病状は徐々に進行していた。だが美丘は明るく振舞い続け、自分の体が動くうちにと、佳織(真矢みき)に「家族で旅行に行こう」と提案する。だが旅行中、美丘が今まで動いていた右手を動かしにくそうにしていることに、太一(林遣都)だけが気づいた。そして太一の頭に高梨の言葉が蘇る。「覚悟しておいてほしい。もうすぐ彼女は自分の足で歩くことも、自分の手で食事をすることもできなくなる」ーー。猪股隆一【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v>
      </c>
      <c r="N4313" s="2"/>
      <c r="O4313" s="2"/>
      <c r="P4313" s="1"/>
      <c r="Q4313" s="1"/>
      <c r="R4313" s="1"/>
      <c r="S4313" s="1"/>
      <c r="T4313" s="1"/>
      <c r="U4313" s="1"/>
      <c r="V4313" s="1"/>
      <c r="W4313" s="1"/>
      <c r="X4313" s="1"/>
      <c r="Y4313" s="1"/>
      <c r="Z4313" s="1"/>
      <c r="AA4313" s="1"/>
      <c r="AB4313" s="1"/>
      <c r="AC4313" s="1"/>
      <c r="AD4313" s="1"/>
      <c r="AE4313" s="1"/>
      <c r="AF4313" s="1"/>
      <c r="AG4313" s="1"/>
      <c r="AH4313" s="1"/>
      <c r="AI4313" s="1"/>
      <c r="AJ4313" s="1"/>
      <c r="AK4313" s="1"/>
      <c r="AL4313" s="1"/>
      <c r="AM4313" s="1"/>
      <c r="AN4313" s="1"/>
      <c r="AO4313" s="1"/>
      <c r="AP4313" s="1"/>
      <c r="AQ4313" s="1"/>
      <c r="AR4313" s="1"/>
      <c r="AS4313" s="1"/>
      <c r="AT4313" s="1"/>
      <c r="AU4313" s="1"/>
      <c r="AV4313" s="1"/>
      <c r="AW4313" s="1"/>
      <c r="AX4313" s="1"/>
      <c r="AY4313" s="1"/>
      <c r="AZ4313" s="1"/>
      <c r="BA4313" s="1"/>
      <c r="BB4313" s="1"/>
    </row>
    <row r="4314" ht="204.75" customHeight="1">
      <c r="A4314" s="1">
        <v>4766.0</v>
      </c>
      <c r="B4314" s="2" t="s">
        <v>12585</v>
      </c>
      <c r="C4314" s="2">
        <f>IFERROR(__xludf.DUMMYFUNCTION("split(B4314,""_"")"),1007.0)</f>
        <v>1007</v>
      </c>
      <c r="D4314" s="2" t="str">
        <f>IFERROR(__xludf.DUMMYFUNCTION("""COMPUTED_VALUE"""),"NTV")</f>
        <v>NTV</v>
      </c>
      <c r="E4314" s="2" t="str">
        <f>IFERROR(__xludf.DUMMYFUNCTION("""COMPUTED_VALUE"""),"土21")</f>
        <v>土21</v>
      </c>
      <c r="F4314" s="2" t="s">
        <v>12586</v>
      </c>
      <c r="G4314" s="2" t="s">
        <v>12601</v>
      </c>
      <c r="H4314" s="1">
        <v>8.0</v>
      </c>
      <c r="I4314" s="1" t="s">
        <v>2900</v>
      </c>
      <c r="J4314" s="1" t="s">
        <v>11</v>
      </c>
      <c r="K4314" s="2" t="s">
        <v>12602</v>
      </c>
      <c r="L4314" s="2"/>
      <c r="M4314" s="2" t="str">
        <f>IFERROR(__xludf.DUMMYFUNCTION("split(split(K4314,""【演出"",false),""ほか"",false)"),"吉高由里子、林遣都、勝地涼、水沢エレナ、夕輝壽太、中村静香  金田明夫、美保純、寺脇康文、谷原章介、真矢みきついに美丘(吉高由里子)は入院することになった。ある日、太一(林遣都)が病室に入ると、美丘は突然怯えた顔で「……誰?……」と太一に問いかけた。自分のことがわからなくなってしまった美丘の言葉にショックを受け、病室を飛び出してしまう太一。ようやく記憶を取り戻した美丘は、慌てて太一を追いかけようとして、ベッドから落ちてしまう。病室の異様な音に太一がドアを開けると、美丘は錯乱した様子で泣きじゃくっていた。佐"&amp;"久間紀佳【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f>
        <v>吉高由里子、林遣都、勝地涼、水沢エレナ、夕輝壽太、中村静香  金田明夫、美保純、寺脇康文、谷原章介、真矢みきついに美丘(吉高由里子)は入院することになった。ある日、太一(林遣都)が病室に入ると、美丘は突然怯えた顔で「……誰?……」と太一に問いかけた。自分のことがわからなくなってしまった美丘の言葉にショックを受け、病室を飛び出してしまう太一。ようやく記憶を取り戻した美丘は、慌てて太一を追いかけようとして、ベッドから落ちてしまう。病室の異様な音に太一がドアを開けると、美丘は錯乱した様子で泣きじゃくっていた。佐久間紀佳【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v>
      </c>
      <c r="N4314" s="2"/>
      <c r="O4314" s="2"/>
      <c r="P4314" s="1"/>
      <c r="Q4314" s="1"/>
      <c r="R4314" s="1"/>
      <c r="S4314" s="1"/>
      <c r="T4314" s="1"/>
      <c r="U4314" s="1"/>
      <c r="V4314" s="1"/>
      <c r="W4314" s="1"/>
      <c r="X4314" s="1"/>
      <c r="Y4314" s="1"/>
      <c r="Z4314" s="1"/>
      <c r="AA4314" s="1"/>
      <c r="AB4314" s="1"/>
      <c r="AC4314" s="1"/>
      <c r="AD4314" s="1"/>
      <c r="AE4314" s="1"/>
      <c r="AF4314" s="1"/>
      <c r="AG4314" s="1"/>
      <c r="AH4314" s="1"/>
      <c r="AI4314" s="1"/>
      <c r="AJ4314" s="1"/>
      <c r="AK4314" s="1"/>
      <c r="AL4314" s="1"/>
      <c r="AM4314" s="1"/>
      <c r="AN4314" s="1"/>
      <c r="AO4314" s="1"/>
      <c r="AP4314" s="1"/>
      <c r="AQ4314" s="1"/>
      <c r="AR4314" s="1"/>
      <c r="AS4314" s="1"/>
      <c r="AT4314" s="1"/>
      <c r="AU4314" s="1"/>
      <c r="AV4314" s="1"/>
      <c r="AW4314" s="1"/>
      <c r="AX4314" s="1"/>
      <c r="AY4314" s="1"/>
      <c r="AZ4314" s="1"/>
      <c r="BA4314" s="1"/>
      <c r="BB4314" s="1"/>
    </row>
    <row r="4315" ht="204.75" customHeight="1">
      <c r="A4315" s="1">
        <v>4767.0</v>
      </c>
      <c r="B4315" s="2" t="s">
        <v>12585</v>
      </c>
      <c r="C4315" s="2">
        <f>IFERROR(__xludf.DUMMYFUNCTION("split(B4315,""_"")"),1007.0)</f>
        <v>1007</v>
      </c>
      <c r="D4315" s="2" t="str">
        <f>IFERROR(__xludf.DUMMYFUNCTION("""COMPUTED_VALUE"""),"NTV")</f>
        <v>NTV</v>
      </c>
      <c r="E4315" s="2" t="str">
        <f>IFERROR(__xludf.DUMMYFUNCTION("""COMPUTED_VALUE"""),"土21")</f>
        <v>土21</v>
      </c>
      <c r="F4315" s="2" t="s">
        <v>12586</v>
      </c>
      <c r="G4315" s="2" t="s">
        <v>12603</v>
      </c>
      <c r="H4315" s="1">
        <v>9.0</v>
      </c>
      <c r="I4315" s="1" t="s">
        <v>37</v>
      </c>
      <c r="J4315" s="1" t="s">
        <v>11</v>
      </c>
      <c r="K4315" s="2" t="s">
        <v>12604</v>
      </c>
      <c r="L4315" s="2"/>
      <c r="M4315" s="2" t="str">
        <f>IFERROR(__xludf.DUMMYFUNCTION("split(split(K4315,""【演出"",false),""ほか"",false)"),"吉高由里子、林遣都、勝地涼、水沢エレナ、夕輝壽太、中村静香  金田明夫、美保純、寺脇康文、谷原章介、真矢みき急変した美丘(吉高由里子)は予断を許さない日々が続いた。太一(林遣都)は、病院に泊まり込み、美丘に付き添っていた。ある日、太一は美丘からiPodを渡される。帰り道に再生すると、そこには美丘から太一への最後のメッセージが入っていた。「太一くんに伝えたい事がいっぱいあるのに、あたしには時間がないみたい……だから、ここに吹き込むね」。愕然とする太一は、涙を流しながら美丘の最後の言葉に耳をすませたーー。猪股"&amp;"隆一【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f>
        <v>吉高由里子、林遣都、勝地涼、水沢エレナ、夕輝壽太、中村静香  金田明夫、美保純、寺脇康文、谷原章介、真矢みき急変した美丘(吉高由里子)は予断を許さない日々が続いた。太一(林遣都)は、病院に泊まり込み、美丘に付き添っていた。ある日、太一は美丘からiPodを渡される。帰り道に再生すると、そこには美丘から太一への最後のメッセージが入っていた。「太一くんに伝えたい事がいっぱいあるのに、あたしには時間がないみたい……だから、ここに吹き込むね」。愕然とする太一は、涙を流しながら美丘の最後の言葉に耳をすませたーー。猪股隆一【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v>
      </c>
      <c r="N4315" s="2"/>
      <c r="O4315" s="2"/>
      <c r="P4315" s="1"/>
      <c r="Q4315" s="1"/>
      <c r="R4315" s="1"/>
      <c r="S4315" s="1"/>
      <c r="T4315" s="1"/>
      <c r="U4315" s="1"/>
      <c r="V4315" s="1"/>
      <c r="W4315" s="1"/>
      <c r="X4315" s="1"/>
      <c r="Y4315" s="1"/>
      <c r="Z4315" s="1"/>
      <c r="AA4315" s="1"/>
      <c r="AB4315" s="1"/>
      <c r="AC4315" s="1"/>
      <c r="AD4315" s="1"/>
      <c r="AE4315" s="1"/>
      <c r="AF4315" s="1"/>
      <c r="AG4315" s="1"/>
      <c r="AH4315" s="1"/>
      <c r="AI4315" s="1"/>
      <c r="AJ4315" s="1"/>
      <c r="AK4315" s="1"/>
      <c r="AL4315" s="1"/>
      <c r="AM4315" s="1"/>
      <c r="AN4315" s="1"/>
      <c r="AO4315" s="1"/>
      <c r="AP4315" s="1"/>
      <c r="AQ4315" s="1"/>
      <c r="AR4315" s="1"/>
      <c r="AS4315" s="1"/>
      <c r="AT4315" s="1"/>
      <c r="AU4315" s="1"/>
      <c r="AV4315" s="1"/>
      <c r="AW4315" s="1"/>
      <c r="AX4315" s="1"/>
      <c r="AY4315" s="1"/>
      <c r="AZ4315" s="1"/>
      <c r="BA4315" s="1"/>
      <c r="BB4315" s="1"/>
    </row>
    <row r="4316" ht="204.75" customHeight="1">
      <c r="A4316" s="1">
        <v>4809.0</v>
      </c>
      <c r="B4316" s="2" t="s">
        <v>12605</v>
      </c>
      <c r="C4316" s="2">
        <f>IFERROR(__xludf.DUMMYFUNCTION("split(B4316,""_"")"),1004.0)</f>
        <v>1004</v>
      </c>
      <c r="D4316" s="2" t="str">
        <f>IFERROR(__xludf.DUMMYFUNCTION("""COMPUTED_VALUE"""),"NTV")</f>
        <v>NTV</v>
      </c>
      <c r="E4316" s="2" t="str">
        <f>IFERROR(__xludf.DUMMYFUNCTION("""COMPUTED_VALUE"""),"水22")</f>
        <v>水22</v>
      </c>
      <c r="F4316" s="2" t="s">
        <v>12606</v>
      </c>
      <c r="G4316" s="2" t="s">
        <v>12607</v>
      </c>
      <c r="H4316" s="1">
        <v>1.0</v>
      </c>
      <c r="J4316" s="1" t="s">
        <v>82</v>
      </c>
      <c r="K4316" s="2" t="s">
        <v>12608</v>
      </c>
      <c r="L4316" s="2"/>
      <c r="M4316" s="2" t="str">
        <f>IFERROR(__xludf.DUMMYFUNCTION("split(split(K4316,""【演出"",false),""ほか"",false)"),"松雪泰子/山本耕史、酒井若菜、倉科カナ、芦田愛菜(子役)/尾野真千子、川村陽介、市川実和子、音尾琢真、田中実、綾野剛/高畑淳子/田中裕子奈緒は大学で渡り鳥の研究に励んでいたが、研究室が閉鎖され仕方なく小学校で教師をしていた。そこで出会った生徒の怜南は無愛想な奈緒の事をなぜか慕っていた。怜南と接するうちに、奈緒は気づく。彼女の身体にいくつか痣があることを。それが何を意味するかは直感でわかった。周囲の大人は見て見ぬフリをしていた。初めは傍観していた奈緒だったが、ある事件をきっかけに重大な決意をする。怜南を誘拐"&amp;"し彼女の母親になることを…")</f>
        <v>松雪泰子/山本耕史、酒井若菜、倉科カナ、芦田愛菜(子役)/尾野真千子、川村陽介、市川実和子、音尾琢真、田中実、綾野剛/高畑淳子/田中裕子奈緒は大学で渡り鳥の研究に励んでいたが、研究室が閉鎖され仕方なく小学校で教師をしていた。そこで出会った生徒の怜南は無愛想な奈緒の事をなぜか慕っていた。怜南と接するうちに、奈緒は気づく。彼女の身体にいくつか痣があることを。それが何を意味するかは直感でわかった。周囲の大人は見て見ぬフリをしていた。初めは傍観していた奈緒だったが、ある事件をきっかけに重大な決意をする。怜南を誘拐し彼女の母親になることを…</v>
      </c>
      <c r="N4316" s="2"/>
      <c r="O4316" s="2"/>
      <c r="P4316" s="1"/>
      <c r="Q4316" s="1"/>
      <c r="R4316" s="1"/>
      <c r="S4316" s="1"/>
      <c r="T4316" s="1"/>
      <c r="U4316" s="1"/>
      <c r="V4316" s="1"/>
      <c r="W4316" s="1"/>
      <c r="X4316" s="1"/>
      <c r="Y4316" s="1"/>
      <c r="Z4316" s="1"/>
      <c r="AA4316" s="1"/>
      <c r="AB4316" s="1"/>
      <c r="AC4316" s="1"/>
      <c r="AD4316" s="1"/>
      <c r="AE4316" s="1"/>
      <c r="AF4316" s="1"/>
      <c r="AG4316" s="1"/>
      <c r="AH4316" s="1"/>
      <c r="AI4316" s="1"/>
      <c r="AJ4316" s="1"/>
      <c r="AK4316" s="1"/>
      <c r="AL4316" s="1"/>
      <c r="AM4316" s="1"/>
      <c r="AN4316" s="1"/>
      <c r="AO4316" s="1"/>
      <c r="AP4316" s="1"/>
      <c r="AQ4316" s="1"/>
      <c r="AR4316" s="1"/>
      <c r="AS4316" s="1"/>
      <c r="AT4316" s="1"/>
      <c r="AU4316" s="1"/>
      <c r="AV4316" s="1"/>
      <c r="AW4316" s="1"/>
      <c r="AX4316" s="1"/>
      <c r="AY4316" s="1"/>
      <c r="AZ4316" s="1"/>
      <c r="BA4316" s="1"/>
      <c r="BB4316" s="1"/>
    </row>
    <row r="4317" ht="204.75" customHeight="1">
      <c r="A4317" s="1">
        <v>4810.0</v>
      </c>
      <c r="B4317" s="2" t="s">
        <v>12605</v>
      </c>
      <c r="C4317" s="2">
        <f>IFERROR(__xludf.DUMMYFUNCTION("split(B4317,""_"")"),1004.0)</f>
        <v>1004</v>
      </c>
      <c r="D4317" s="2" t="str">
        <f>IFERROR(__xludf.DUMMYFUNCTION("""COMPUTED_VALUE"""),"NTV")</f>
        <v>NTV</v>
      </c>
      <c r="E4317" s="2" t="str">
        <f>IFERROR(__xludf.DUMMYFUNCTION("""COMPUTED_VALUE"""),"水22")</f>
        <v>水22</v>
      </c>
      <c r="F4317" s="2" t="s">
        <v>12606</v>
      </c>
      <c r="G4317" s="2" t="s">
        <v>12607</v>
      </c>
      <c r="H4317" s="1">
        <v>2.0</v>
      </c>
      <c r="J4317" s="1" t="s">
        <v>86</v>
      </c>
      <c r="K4317" s="2" t="s">
        <v>12609</v>
      </c>
      <c r="L4317" s="2"/>
      <c r="M4317" s="2" t="str">
        <f>IFERROR(__xludf.DUMMYFUNCTION("split(split(K4317,""【演出"",false),""ほか"",false)"),"松雪泰子/山本耕史、酒井若菜、倉科カナ、芦田愛菜(子役)/尾野真千子、川村陽介、市川実和子、綾野剛/高畑淳子/田中裕子奈緒は怜南に継美という名前を付け、夜行列車で東京に向かっていた。しかし人目を避けて途中下車した駅で財布を盗られてしまう。途方に暮れる奈緒は捨てられた自分が一時的に預けられていた児童養護施設を訪ねることに。一方奈緒を探しに室蘭を訪ねた果歩と耕平は、怜南の海難事故を取材中の雑誌記者の駿輔と出会い、行動を共にする。  計らずも忘れたい過去と向き合うことになった奈緒は…  そして奈緒の行動に疑念を"&amp;"抱く駿輔は…")</f>
        <v>松雪泰子/山本耕史、酒井若菜、倉科カナ、芦田愛菜(子役)/尾野真千子、川村陽介、市川実和子、綾野剛/高畑淳子/田中裕子奈緒は怜南に継美という名前を付け、夜行列車で東京に向かっていた。しかし人目を避けて途中下車した駅で財布を盗られてしまう。途方に暮れる奈緒は捨てられた自分が一時的に預けられていた児童養護施設を訪ねることに。一方奈緒を探しに室蘭を訪ねた果歩と耕平は、怜南の海難事故を取材中の雑誌記者の駿輔と出会い、行動を共にする。  計らずも忘れたい過去と向き合うことになった奈緒は…  そして奈緒の行動に疑念を抱く駿輔は…</v>
      </c>
      <c r="N4317" s="2"/>
      <c r="O4317" s="2"/>
      <c r="P4317" s="1"/>
      <c r="Q4317" s="1"/>
      <c r="R4317" s="1"/>
      <c r="S4317" s="1"/>
      <c r="T4317" s="1"/>
      <c r="U4317" s="1"/>
      <c r="V4317" s="1"/>
      <c r="W4317" s="1"/>
      <c r="X4317" s="1"/>
      <c r="Y4317" s="1"/>
      <c r="Z4317" s="1"/>
      <c r="AA4317" s="1"/>
      <c r="AB4317" s="1"/>
      <c r="AC4317" s="1"/>
      <c r="AD4317" s="1"/>
      <c r="AE4317" s="1"/>
      <c r="AF4317" s="1"/>
      <c r="AG4317" s="1"/>
      <c r="AH4317" s="1"/>
      <c r="AI4317" s="1"/>
      <c r="AJ4317" s="1"/>
      <c r="AK4317" s="1"/>
      <c r="AL4317" s="1"/>
      <c r="AM4317" s="1"/>
      <c r="AN4317" s="1"/>
      <c r="AO4317" s="1"/>
      <c r="AP4317" s="1"/>
      <c r="AQ4317" s="1"/>
      <c r="AR4317" s="1"/>
      <c r="AS4317" s="1"/>
      <c r="AT4317" s="1"/>
      <c r="AU4317" s="1"/>
      <c r="AV4317" s="1"/>
      <c r="AW4317" s="1"/>
      <c r="AX4317" s="1"/>
      <c r="AY4317" s="1"/>
      <c r="AZ4317" s="1"/>
      <c r="BA4317" s="1"/>
      <c r="BB4317" s="1"/>
    </row>
    <row r="4318" ht="204.75" customHeight="1">
      <c r="A4318" s="1">
        <v>4811.0</v>
      </c>
      <c r="B4318" s="2" t="s">
        <v>12605</v>
      </c>
      <c r="C4318" s="2">
        <f>IFERROR(__xludf.DUMMYFUNCTION("split(B4318,""_"")"),1004.0)</f>
        <v>1004</v>
      </c>
      <c r="D4318" s="2" t="str">
        <f>IFERROR(__xludf.DUMMYFUNCTION("""COMPUTED_VALUE"""),"NTV")</f>
        <v>NTV</v>
      </c>
      <c r="E4318" s="2" t="str">
        <f>IFERROR(__xludf.DUMMYFUNCTION("""COMPUTED_VALUE"""),"水22")</f>
        <v>水22</v>
      </c>
      <c r="F4318" s="2" t="s">
        <v>12606</v>
      </c>
      <c r="G4318" s="2" t="s">
        <v>12607</v>
      </c>
      <c r="H4318" s="1">
        <v>3.0</v>
      </c>
      <c r="J4318" s="1" t="s">
        <v>86</v>
      </c>
      <c r="K4318" s="2" t="s">
        <v>12610</v>
      </c>
      <c r="L4318" s="2"/>
      <c r="M4318" s="2" t="str">
        <f>IFERROR(__xludf.DUMMYFUNCTION("split(split(K4318,""【演出"",false),""ほか"",false)"),"松雪泰子/山本耕史、酒井若菜、倉科カナ、芦田愛菜(子役)/尾野真千子、川村陽介、市川実和子、綾野剛/高畑淳子/田中裕子無一文になってしまった奈緒は母からお金を借り、仕事探しに奔走する。継美は葉菜という女性と出会い、奈緒の留守中に彼女と度々一緒に過ごし親しくなっていた。  一方室蘭で怜南の取材を続ける駿輔は、怜南と同時に姿を消した奈緒が事件の鍵を握っていると考える。  そんな中、奈緒はようやく清掃員として働き始めるが、一人で帰りを待つ継美が熱をだしてしまう。不自由な生活で継美に無理をさせている事を不甲斐なく"&amp;"思う奈緒は…")</f>
        <v>松雪泰子/山本耕史、酒井若菜、倉科カナ、芦田愛菜(子役)/尾野真千子、川村陽介、市川実和子、綾野剛/高畑淳子/田中裕子無一文になってしまった奈緒は母からお金を借り、仕事探しに奔走する。継美は葉菜という女性と出会い、奈緒の留守中に彼女と度々一緒に過ごし親しくなっていた。  一方室蘭で怜南の取材を続ける駿輔は、怜南と同時に姿を消した奈緒が事件の鍵を握っていると考える。  そんな中、奈緒はようやく清掃員として働き始めるが、一人で帰りを待つ継美が熱をだしてしまう。不自由な生活で継美に無理をさせている事を不甲斐なく思う奈緒は…</v>
      </c>
      <c r="N4318" s="2"/>
      <c r="O4318" s="2"/>
      <c r="P4318" s="1"/>
      <c r="Q4318" s="1"/>
      <c r="R4318" s="1"/>
      <c r="S4318" s="1"/>
      <c r="T4318" s="1"/>
      <c r="U4318" s="1"/>
      <c r="V4318" s="1"/>
      <c r="W4318" s="1"/>
      <c r="X4318" s="1"/>
      <c r="Y4318" s="1"/>
      <c r="Z4318" s="1"/>
      <c r="AA4318" s="1"/>
      <c r="AB4318" s="1"/>
      <c r="AC4318" s="1"/>
      <c r="AD4318" s="1"/>
      <c r="AE4318" s="1"/>
      <c r="AF4318" s="1"/>
      <c r="AG4318" s="1"/>
      <c r="AH4318" s="1"/>
      <c r="AI4318" s="1"/>
      <c r="AJ4318" s="1"/>
      <c r="AK4318" s="1"/>
      <c r="AL4318" s="1"/>
      <c r="AM4318" s="1"/>
      <c r="AN4318" s="1"/>
      <c r="AO4318" s="1"/>
      <c r="AP4318" s="1"/>
      <c r="AQ4318" s="1"/>
      <c r="AR4318" s="1"/>
      <c r="AS4318" s="1"/>
      <c r="AT4318" s="1"/>
      <c r="AU4318" s="1"/>
      <c r="AV4318" s="1"/>
      <c r="AW4318" s="1"/>
      <c r="AX4318" s="1"/>
      <c r="AY4318" s="1"/>
      <c r="AZ4318" s="1"/>
      <c r="BA4318" s="1"/>
      <c r="BB4318" s="1"/>
    </row>
    <row r="4319" ht="204.75" customHeight="1">
      <c r="A4319" s="1">
        <v>4812.0</v>
      </c>
      <c r="B4319" s="2" t="s">
        <v>12605</v>
      </c>
      <c r="C4319" s="2">
        <f>IFERROR(__xludf.DUMMYFUNCTION("split(B4319,""_"")"),1004.0)</f>
        <v>1004</v>
      </c>
      <c r="D4319" s="2" t="str">
        <f>IFERROR(__xludf.DUMMYFUNCTION("""COMPUTED_VALUE"""),"NTV")</f>
        <v>NTV</v>
      </c>
      <c r="E4319" s="2" t="str">
        <f>IFERROR(__xludf.DUMMYFUNCTION("""COMPUTED_VALUE"""),"水22")</f>
        <v>水22</v>
      </c>
      <c r="F4319" s="2" t="s">
        <v>12606</v>
      </c>
      <c r="G4319" s="2" t="s">
        <v>12607</v>
      </c>
      <c r="H4319" s="1">
        <v>4.0</v>
      </c>
      <c r="J4319" s="1" t="s">
        <v>86</v>
      </c>
      <c r="K4319" s="2" t="s">
        <v>12611</v>
      </c>
      <c r="L4319" s="2"/>
      <c r="M4319" s="2" t="str">
        <f>IFERROR(__xludf.DUMMYFUNCTION("split(split(K4319,""【演出"",false),""ほか"",false)"),"松雪泰子/山本耕史、酒井若菜、倉科カナ、芦田愛菜(子役)/尾野真千子、川村陽介、音尾琢真/高畑淳子/田中裕子奈緒は継美を娘だと紹介し、実家に身を寄せる。困惑しつつも籐子は孫として継美を歓迎する。束の間の安らぎの中、奈緒は継美を学校に通わせようとするが、転入手続きは困難だと知り思い悩む。  一方雑誌記者の駿輔は、ついに怜南が継美として鈴原家で暮らしている事をつかむ。  そして何かと親切にしてくれた葉菜が2人の事情に気づいた事を知った奈緒は、再び継美と逃げようと考えるが、葉菜は全てを知った上で2人の味方となり"&amp;"…")</f>
        <v>松雪泰子/山本耕史、酒井若菜、倉科カナ、芦田愛菜(子役)/尾野真千子、川村陽介、音尾琢真/高畑淳子/田中裕子奈緒は継美を娘だと紹介し、実家に身を寄せる。困惑しつつも籐子は孫として継美を歓迎する。束の間の安らぎの中、奈緒は継美を学校に通わせようとするが、転入手続きは困難だと知り思い悩む。  一方雑誌記者の駿輔は、ついに怜南が継美として鈴原家で暮らしている事をつかむ。  そして何かと親切にしてくれた葉菜が2人の事情に気づいた事を知った奈緒は、再び継美と逃げようと考えるが、葉菜は全てを知った上で2人の味方となり…</v>
      </c>
      <c r="N4319" s="2"/>
      <c r="O4319" s="2"/>
      <c r="P4319" s="1"/>
      <c r="Q4319" s="1"/>
      <c r="R4319" s="1"/>
      <c r="S4319" s="1"/>
      <c r="T4319" s="1"/>
      <c r="U4319" s="1"/>
      <c r="V4319" s="1"/>
      <c r="W4319" s="1"/>
      <c r="X4319" s="1"/>
      <c r="Y4319" s="1"/>
      <c r="Z4319" s="1"/>
      <c r="AA4319" s="1"/>
      <c r="AB4319" s="1"/>
      <c r="AC4319" s="1"/>
      <c r="AD4319" s="1"/>
      <c r="AE4319" s="1"/>
      <c r="AF4319" s="1"/>
      <c r="AG4319" s="1"/>
      <c r="AH4319" s="1"/>
      <c r="AI4319" s="1"/>
      <c r="AJ4319" s="1"/>
      <c r="AK4319" s="1"/>
      <c r="AL4319" s="1"/>
      <c r="AM4319" s="1"/>
      <c r="AN4319" s="1"/>
      <c r="AO4319" s="1"/>
      <c r="AP4319" s="1"/>
      <c r="AQ4319" s="1"/>
      <c r="AR4319" s="1"/>
      <c r="AS4319" s="1"/>
      <c r="AT4319" s="1"/>
      <c r="AU4319" s="1"/>
      <c r="AV4319" s="1"/>
      <c r="AW4319" s="1"/>
      <c r="AX4319" s="1"/>
      <c r="AY4319" s="1"/>
      <c r="AZ4319" s="1"/>
      <c r="BA4319" s="1"/>
      <c r="BB4319" s="1"/>
    </row>
    <row r="4320" ht="204.75" customHeight="1">
      <c r="A4320" s="1">
        <v>4813.0</v>
      </c>
      <c r="B4320" s="2" t="s">
        <v>12605</v>
      </c>
      <c r="C4320" s="2">
        <f>IFERROR(__xludf.DUMMYFUNCTION("split(B4320,""_"")"),1004.0)</f>
        <v>1004</v>
      </c>
      <c r="D4320" s="2" t="str">
        <f>IFERROR(__xludf.DUMMYFUNCTION("""COMPUTED_VALUE"""),"NTV")</f>
        <v>NTV</v>
      </c>
      <c r="E4320" s="2" t="str">
        <f>IFERROR(__xludf.DUMMYFUNCTION("""COMPUTED_VALUE"""),"水22")</f>
        <v>水22</v>
      </c>
      <c r="F4320" s="2" t="s">
        <v>12606</v>
      </c>
      <c r="G4320" s="2" t="s">
        <v>12607</v>
      </c>
      <c r="H4320" s="1">
        <v>5.0</v>
      </c>
      <c r="J4320" s="1" t="s">
        <v>86</v>
      </c>
      <c r="K4320" s="2" t="s">
        <v>12612</v>
      </c>
      <c r="L4320" s="2"/>
      <c r="M4320" s="2" t="str">
        <f>IFERROR(__xludf.DUMMYFUNCTION("split(split(K4320,""【演出"",false),""ほか"",false)"),"松雪泰子/山本耕史、酒井若菜、倉科カナ、芦田愛菜(子役)/尾野真千子、川村陽介、音尾琢真/高畑淳子/田中裕子奈緒は葉菜が自分を捨てた実の母だと気づき、彼女を拒絶する。奈緒と継美の真相に気づ  いた駿輔はその事を黙っている代わりにと金を要求し、2人に付きまとい嫌がらせを始める。奈緒がお金に困っていると継美に聞いた葉菜は、奈緒に印鑑と通帳を渡しに来るが、これ以上自分とは関わるなと拒否され、通帳をその場に捨てて立ち去ってしまう。  一方北海道では怜南の葬儀を終えた母の仁美が虐待がばれる事を恐れて行動を起こし始め"&amp;"…")</f>
        <v>松雪泰子/山本耕史、酒井若菜、倉科カナ、芦田愛菜(子役)/尾野真千子、川村陽介、音尾琢真/高畑淳子/田中裕子奈緒は葉菜が自分を捨てた実の母だと気づき、彼女を拒絶する。奈緒と継美の真相に気づ  いた駿輔はその事を黙っている代わりにと金を要求し、2人に付きまとい嫌がらせを始める。奈緒がお金に困っていると継美に聞いた葉菜は、奈緒に印鑑と通帳を渡しに来るが、これ以上自分とは関わるなと拒否され、通帳をその場に捨てて立ち去ってしまう。  一方北海道では怜南の葬儀を終えた母の仁美が虐待がばれる事を恐れて行動を起こし始め…</v>
      </c>
      <c r="N4320" s="2"/>
      <c r="O4320" s="2"/>
      <c r="P4320" s="1"/>
      <c r="Q4320" s="1"/>
      <c r="R4320" s="1"/>
      <c r="S4320" s="1"/>
      <c r="T4320" s="1"/>
      <c r="U4320" s="1"/>
      <c r="V4320" s="1"/>
      <c r="W4320" s="1"/>
      <c r="X4320" s="1"/>
      <c r="Y4320" s="1"/>
      <c r="Z4320" s="1"/>
      <c r="AA4320" s="1"/>
      <c r="AB4320" s="1"/>
      <c r="AC4320" s="1"/>
      <c r="AD4320" s="1"/>
      <c r="AE4320" s="1"/>
      <c r="AF4320" s="1"/>
      <c r="AG4320" s="1"/>
      <c r="AH4320" s="1"/>
      <c r="AI4320" s="1"/>
      <c r="AJ4320" s="1"/>
      <c r="AK4320" s="1"/>
      <c r="AL4320" s="1"/>
      <c r="AM4320" s="1"/>
      <c r="AN4320" s="1"/>
      <c r="AO4320" s="1"/>
      <c r="AP4320" s="1"/>
      <c r="AQ4320" s="1"/>
      <c r="AR4320" s="1"/>
      <c r="AS4320" s="1"/>
      <c r="AT4320" s="1"/>
      <c r="AU4320" s="1"/>
      <c r="AV4320" s="1"/>
      <c r="AW4320" s="1"/>
      <c r="AX4320" s="1"/>
      <c r="AY4320" s="1"/>
      <c r="AZ4320" s="1"/>
      <c r="BA4320" s="1"/>
      <c r="BB4320" s="1"/>
    </row>
    <row r="4321" ht="204.75" customHeight="1">
      <c r="A4321" s="1">
        <v>4814.0</v>
      </c>
      <c r="B4321" s="2" t="s">
        <v>12605</v>
      </c>
      <c r="C4321" s="2">
        <f>IFERROR(__xludf.DUMMYFUNCTION("split(B4321,""_"")"),1004.0)</f>
        <v>1004</v>
      </c>
      <c r="D4321" s="2" t="str">
        <f>IFERROR(__xludf.DUMMYFUNCTION("""COMPUTED_VALUE"""),"NTV")</f>
        <v>NTV</v>
      </c>
      <c r="E4321" s="2" t="str">
        <f>IFERROR(__xludf.DUMMYFUNCTION("""COMPUTED_VALUE"""),"水22")</f>
        <v>水22</v>
      </c>
      <c r="F4321" s="2" t="s">
        <v>12606</v>
      </c>
      <c r="G4321" s="2" t="s">
        <v>12607</v>
      </c>
      <c r="H4321" s="1">
        <v>6.0</v>
      </c>
      <c r="J4321" s="1" t="s">
        <v>86</v>
      </c>
      <c r="K4321" s="2" t="s">
        <v>12613</v>
      </c>
      <c r="L4321" s="2"/>
      <c r="M4321" s="2" t="str">
        <f>IFERROR(__xludf.DUMMYFUNCTION("split(split(K4321,""【演出"",false),""ほか"",false)"),"松雪泰子/山本耕史、酒井若菜、倉科カナ、芦田愛菜(子役)/尾野真千子、市川実和子、音尾琢真/高畑淳子/田中裕子実の母からの電話に思わず「ママ…」と言ってしまった継美。それを見た籐子に問いただされ、奈緒はついに打ち明けた。「継美は私が誘拐してきた教え子です」と。籐子は継美を元の家に帰すように諭すが、「自分を戸籍から外し、継美を連れて鈴原家を出る」と言う奈緒。そんな中、継美が置手紙を残して家を出て行ってしまう。  一方、刑事から虐待を疑われた仁美は独り不安をつのらせていた。そして主治医の説得で入院した葉菜は…")</f>
        <v>松雪泰子/山本耕史、酒井若菜、倉科カナ、芦田愛菜(子役)/尾野真千子、市川実和子、音尾琢真/高畑淳子/田中裕子実の母からの電話に思わず「ママ…」と言ってしまった継美。それを見た籐子に問いただされ、奈緒はついに打ち明けた。「継美は私が誘拐してきた教え子です」と。籐子は継美を元の家に帰すように諭すが、「自分を戸籍から外し、継美を連れて鈴原家を出る」と言う奈緒。そんな中、継美が置手紙を残して家を出て行ってしまう。  一方、刑事から虐待を疑われた仁美は独り不安をつのらせていた。そして主治医の説得で入院した葉菜は…</v>
      </c>
      <c r="N4321" s="2"/>
      <c r="O4321" s="2"/>
      <c r="P4321" s="1"/>
      <c r="Q4321" s="1"/>
      <c r="R4321" s="1"/>
      <c r="S4321" s="1"/>
      <c r="T4321" s="1"/>
      <c r="U4321" s="1"/>
      <c r="V4321" s="1"/>
      <c r="W4321" s="1"/>
      <c r="X4321" s="1"/>
      <c r="Y4321" s="1"/>
      <c r="Z4321" s="1"/>
      <c r="AA4321" s="1"/>
      <c r="AB4321" s="1"/>
      <c r="AC4321" s="1"/>
      <c r="AD4321" s="1"/>
      <c r="AE4321" s="1"/>
      <c r="AF4321" s="1"/>
      <c r="AG4321" s="1"/>
      <c r="AH4321" s="1"/>
      <c r="AI4321" s="1"/>
      <c r="AJ4321" s="1"/>
      <c r="AK4321" s="1"/>
      <c r="AL4321" s="1"/>
      <c r="AM4321" s="1"/>
      <c r="AN4321" s="1"/>
      <c r="AO4321" s="1"/>
      <c r="AP4321" s="1"/>
      <c r="AQ4321" s="1"/>
      <c r="AR4321" s="1"/>
      <c r="AS4321" s="1"/>
      <c r="AT4321" s="1"/>
      <c r="AU4321" s="1"/>
      <c r="AV4321" s="1"/>
      <c r="AW4321" s="1"/>
      <c r="AX4321" s="1"/>
      <c r="AY4321" s="1"/>
      <c r="AZ4321" s="1"/>
      <c r="BA4321" s="1"/>
      <c r="BB4321" s="1"/>
    </row>
    <row r="4322" ht="204.75" customHeight="1">
      <c r="A4322" s="1">
        <v>4815.0</v>
      </c>
      <c r="B4322" s="2" t="s">
        <v>12605</v>
      </c>
      <c r="C4322" s="2">
        <f>IFERROR(__xludf.DUMMYFUNCTION("split(B4322,""_"")"),1004.0)</f>
        <v>1004</v>
      </c>
      <c r="D4322" s="2" t="str">
        <f>IFERROR(__xludf.DUMMYFUNCTION("""COMPUTED_VALUE"""),"NTV")</f>
        <v>NTV</v>
      </c>
      <c r="E4322" s="2" t="str">
        <f>IFERROR(__xludf.DUMMYFUNCTION("""COMPUTED_VALUE"""),"水22")</f>
        <v>水22</v>
      </c>
      <c r="F4322" s="2" t="s">
        <v>12606</v>
      </c>
      <c r="G4322" s="2" t="s">
        <v>12607</v>
      </c>
      <c r="H4322" s="1">
        <v>7.0</v>
      </c>
      <c r="J4322" s="1" t="s">
        <v>86</v>
      </c>
      <c r="K4322" s="2" t="s">
        <v>12614</v>
      </c>
      <c r="L4322" s="2"/>
      <c r="M4322" s="2" t="str">
        <f>IFERROR(__xludf.DUMMYFUNCTION("split(split(K4322,""【演出"",false),""ほか"",false)"),"松雪泰子/山本耕史、酒井若菜、倉科カナ、芦田愛菜(子役)/尾野真千子、川村陽介、市川実和子/高畑淳子/田中裕子室蘭から東京にやってきた仁美から奈緒と継美を守るため葉菜は2人を自宅でかくまうことに。2人を探そうとする仁美に駿輔は「今更会ってもあなたが困るのでは」と話す。  一方、葉菜との暮らしから子どもを守ることの本当の意味に気づいた奈緒は、葉菜に歩み寄りたいと気持ちを伝える。「ただ自分を捨てた理由だけは聞かせて欲しい」と。すると葉菜は衝撃的な告白をするー。  そんな中、仁美がついに怜南の居場所をつきとめー"&amp;"ー。")</f>
        <v>松雪泰子/山本耕史、酒井若菜、倉科カナ、芦田愛菜(子役)/尾野真千子、川村陽介、市川実和子/高畑淳子/田中裕子室蘭から東京にやってきた仁美から奈緒と継美を守るため葉菜は2人を自宅でかくまうことに。2人を探そうとする仁美に駿輔は「今更会ってもあなたが困るのでは」と話す。  一方、葉菜との暮らしから子どもを守ることの本当の意味に気づいた奈緒は、葉菜に歩み寄りたいと気持ちを伝える。「ただ自分を捨てた理由だけは聞かせて欲しい」と。すると葉菜は衝撃的な告白をするー。  そんな中、仁美がついに怜南の居場所をつきとめーー。</v>
      </c>
      <c r="N4322" s="2"/>
      <c r="O4322" s="2"/>
      <c r="P4322" s="1"/>
      <c r="Q4322" s="1"/>
      <c r="R4322" s="1"/>
      <c r="S4322" s="1"/>
      <c r="T4322" s="1"/>
      <c r="U4322" s="1"/>
      <c r="V4322" s="1"/>
      <c r="W4322" s="1"/>
      <c r="X4322" s="1"/>
      <c r="Y4322" s="1"/>
      <c r="Z4322" s="1"/>
      <c r="AA4322" s="1"/>
      <c r="AB4322" s="1"/>
      <c r="AC4322" s="1"/>
      <c r="AD4322" s="1"/>
      <c r="AE4322" s="1"/>
      <c r="AF4322" s="1"/>
      <c r="AG4322" s="1"/>
      <c r="AH4322" s="1"/>
      <c r="AI4322" s="1"/>
      <c r="AJ4322" s="1"/>
      <c r="AK4322" s="1"/>
      <c r="AL4322" s="1"/>
      <c r="AM4322" s="1"/>
      <c r="AN4322" s="1"/>
      <c r="AO4322" s="1"/>
      <c r="AP4322" s="1"/>
      <c r="AQ4322" s="1"/>
      <c r="AR4322" s="1"/>
      <c r="AS4322" s="1"/>
      <c r="AT4322" s="1"/>
      <c r="AU4322" s="1"/>
      <c r="AV4322" s="1"/>
      <c r="AW4322" s="1"/>
      <c r="AX4322" s="1"/>
      <c r="AY4322" s="1"/>
      <c r="AZ4322" s="1"/>
      <c r="BA4322" s="1"/>
      <c r="BB4322" s="1"/>
    </row>
    <row r="4323" ht="204.75" customHeight="1">
      <c r="A4323" s="1">
        <v>4816.0</v>
      </c>
      <c r="B4323" s="2" t="s">
        <v>12605</v>
      </c>
      <c r="C4323" s="2">
        <f>IFERROR(__xludf.DUMMYFUNCTION("split(B4323,""_"")"),1004.0)</f>
        <v>1004</v>
      </c>
      <c r="D4323" s="2" t="str">
        <f>IFERROR(__xludf.DUMMYFUNCTION("""COMPUTED_VALUE"""),"NTV")</f>
        <v>NTV</v>
      </c>
      <c r="E4323" s="2" t="str">
        <f>IFERROR(__xludf.DUMMYFUNCTION("""COMPUTED_VALUE"""),"水22")</f>
        <v>水22</v>
      </c>
      <c r="F4323" s="2" t="s">
        <v>12606</v>
      </c>
      <c r="G4323" s="2" t="s">
        <v>12607</v>
      </c>
      <c r="H4323" s="1">
        <v>8.0</v>
      </c>
      <c r="J4323" s="1" t="s">
        <v>86</v>
      </c>
      <c r="K4323" s="2" t="s">
        <v>12615</v>
      </c>
      <c r="L4323" s="2"/>
      <c r="M4323" s="2" t="str">
        <f>IFERROR(__xludf.DUMMYFUNCTION("split(split(K4323,""【演出"",false),""ほか"",false)"),"松雪泰子/山本耕史、酒井若菜、倉科カナ、芦田愛菜(子役)/尾野真千子、川村陽介、綾野剛、市川実和子/高畑淳子/田中裕子怜南(継美)に会いに葉菜の家に来た仁美。襖の向こうにいる怜南に優しく声をかける仁美は虐待していた彼女とは別人のようだった。そのころ駿輔は昔の仁美と怜南を知る克子から「あんないい母親はなかなかいない」と聞かされ驚く。仁美と怜南に何があったのか…?仁美の優しい言葉に襖を開けて姿を現した怜南は仁美に抱きしめられると「ママ」と言って仁美の体に腕を回した。その様子をただ悲しく成す術もなく見守る葉菜と"&amp;"奈緒は…")</f>
        <v>松雪泰子/山本耕史、酒井若菜、倉科カナ、芦田愛菜(子役)/尾野真千子、川村陽介、綾野剛、市川実和子/高畑淳子/田中裕子怜南(継美)に会いに葉菜の家に来た仁美。襖の向こうにいる怜南に優しく声をかける仁美は虐待していた彼女とは別人のようだった。そのころ駿輔は昔の仁美と怜南を知る克子から「あんないい母親はなかなかいない」と聞かされ驚く。仁美と怜南に何があったのか…?仁美の優しい言葉に襖を開けて姿を現した怜南は仁美に抱きしめられると「ママ」と言って仁美の体に腕を回した。その様子をただ悲しく成す術もなく見守る葉菜と奈緒は…</v>
      </c>
      <c r="N4323" s="2"/>
      <c r="O4323" s="2"/>
      <c r="P4323" s="1"/>
      <c r="Q4323" s="1"/>
      <c r="R4323" s="1"/>
      <c r="S4323" s="1"/>
      <c r="T4323" s="1"/>
      <c r="U4323" s="1"/>
      <c r="V4323" s="1"/>
      <c r="W4323" s="1"/>
      <c r="X4323" s="1"/>
      <c r="Y4323" s="1"/>
      <c r="Z4323" s="1"/>
      <c r="AA4323" s="1"/>
      <c r="AB4323" s="1"/>
      <c r="AC4323" s="1"/>
      <c r="AD4323" s="1"/>
      <c r="AE4323" s="1"/>
      <c r="AF4323" s="1"/>
      <c r="AG4323" s="1"/>
      <c r="AH4323" s="1"/>
      <c r="AI4323" s="1"/>
      <c r="AJ4323" s="1"/>
      <c r="AK4323" s="1"/>
      <c r="AL4323" s="1"/>
      <c r="AM4323" s="1"/>
      <c r="AN4323" s="1"/>
      <c r="AO4323" s="1"/>
      <c r="AP4323" s="1"/>
      <c r="AQ4323" s="1"/>
      <c r="AR4323" s="1"/>
      <c r="AS4323" s="1"/>
      <c r="AT4323" s="1"/>
      <c r="AU4323" s="1"/>
      <c r="AV4323" s="1"/>
      <c r="AW4323" s="1"/>
      <c r="AX4323" s="1"/>
      <c r="AY4323" s="1"/>
      <c r="AZ4323" s="1"/>
      <c r="BA4323" s="1"/>
      <c r="BB4323" s="1"/>
    </row>
    <row r="4324" ht="204.75" customHeight="1">
      <c r="A4324" s="1">
        <v>4817.0</v>
      </c>
      <c r="B4324" s="2" t="s">
        <v>12605</v>
      </c>
      <c r="C4324" s="2">
        <f>IFERROR(__xludf.DUMMYFUNCTION("split(B4324,""_"")"),1004.0)</f>
        <v>1004</v>
      </c>
      <c r="D4324" s="2" t="str">
        <f>IFERROR(__xludf.DUMMYFUNCTION("""COMPUTED_VALUE"""),"NTV")</f>
        <v>NTV</v>
      </c>
      <c r="E4324" s="2" t="str">
        <f>IFERROR(__xludf.DUMMYFUNCTION("""COMPUTED_VALUE"""),"水22")</f>
        <v>水22</v>
      </c>
      <c r="F4324" s="2" t="s">
        <v>12606</v>
      </c>
      <c r="G4324" s="2" t="s">
        <v>12607</v>
      </c>
      <c r="H4324" s="1">
        <v>9.0</v>
      </c>
      <c r="J4324" s="1" t="s">
        <v>86</v>
      </c>
      <c r="K4324" s="2" t="s">
        <v>12616</v>
      </c>
      <c r="L4324" s="2"/>
      <c r="M4324" s="2" t="str">
        <f>IFERROR(__xludf.DUMMYFUNCTION("split(split(K4324,""【演出"",false),""ほか"",false)"),"松雪泰子/山本耕史、酒井若菜、倉科カナ、芦田愛菜(子役)/尾野真千子、川村陽介、音尾琢真、市川実和子/高畑淳子/田中裕子奈緒達は戸籍を手に入れるため伊豆に行く準備をしていた。ある日、葉菜の主治医が奈緒を訪ね葉菜の病状を告げるが、葉菜は病状を隠し続ける。一方室蘭では仁美から誘拐の話を聞いた警察が動き出していた。鈴原家にも刑事が来て、相談を受けた駿輔は仁美に告訴状を出さないよう説得するため室蘭へ発つ。葉菜、継美と共に伊豆で束の間の安らかな時を過ごしていた奈緒も警察の動きを知り、戸籍を手に入れてから逃げようと考"&amp;"えるが…")</f>
        <v>松雪泰子/山本耕史、酒井若菜、倉科カナ、芦田愛菜(子役)/尾野真千子、川村陽介、音尾琢真、市川実和子/高畑淳子/田中裕子奈緒達は戸籍を手に入れるため伊豆に行く準備をしていた。ある日、葉菜の主治医が奈緒を訪ね葉菜の病状を告げるが、葉菜は病状を隠し続ける。一方室蘭では仁美から誘拐の話を聞いた警察が動き出していた。鈴原家にも刑事が来て、相談を受けた駿輔は仁美に告訴状を出さないよう説得するため室蘭へ発つ。葉菜、継美と共に伊豆で束の間の安らかな時を過ごしていた奈緒も警察の動きを知り、戸籍を手に入れてから逃げようと考えるが…</v>
      </c>
      <c r="N4324" s="2"/>
      <c r="O4324" s="2"/>
      <c r="P4324" s="1"/>
      <c r="Q4324" s="1"/>
      <c r="R4324" s="1"/>
      <c r="S4324" s="1"/>
      <c r="T4324" s="1"/>
      <c r="U4324" s="1"/>
      <c r="V4324" s="1"/>
      <c r="W4324" s="1"/>
      <c r="X4324" s="1"/>
      <c r="Y4324" s="1"/>
      <c r="Z4324" s="1"/>
      <c r="AA4324" s="1"/>
      <c r="AB4324" s="1"/>
      <c r="AC4324" s="1"/>
      <c r="AD4324" s="1"/>
      <c r="AE4324" s="1"/>
      <c r="AF4324" s="1"/>
      <c r="AG4324" s="1"/>
      <c r="AH4324" s="1"/>
      <c r="AI4324" s="1"/>
      <c r="AJ4324" s="1"/>
      <c r="AK4324" s="1"/>
      <c r="AL4324" s="1"/>
      <c r="AM4324" s="1"/>
      <c r="AN4324" s="1"/>
      <c r="AO4324" s="1"/>
      <c r="AP4324" s="1"/>
      <c r="AQ4324" s="1"/>
      <c r="AR4324" s="1"/>
      <c r="AS4324" s="1"/>
      <c r="AT4324" s="1"/>
      <c r="AU4324" s="1"/>
      <c r="AV4324" s="1"/>
      <c r="AW4324" s="1"/>
      <c r="AX4324" s="1"/>
      <c r="AY4324" s="1"/>
      <c r="AZ4324" s="1"/>
      <c r="BA4324" s="1"/>
      <c r="BB4324" s="1"/>
    </row>
    <row r="4325" ht="204.75" customHeight="1">
      <c r="A4325" s="1">
        <v>4818.0</v>
      </c>
      <c r="B4325" s="2" t="s">
        <v>12605</v>
      </c>
      <c r="C4325" s="2">
        <f>IFERROR(__xludf.DUMMYFUNCTION("split(B4325,""_"")"),1004.0)</f>
        <v>1004</v>
      </c>
      <c r="D4325" s="2" t="str">
        <f>IFERROR(__xludf.DUMMYFUNCTION("""COMPUTED_VALUE"""),"NTV")</f>
        <v>NTV</v>
      </c>
      <c r="E4325" s="2" t="str">
        <f>IFERROR(__xludf.DUMMYFUNCTION("""COMPUTED_VALUE"""),"水22")</f>
        <v>水22</v>
      </c>
      <c r="F4325" s="2" t="s">
        <v>12606</v>
      </c>
      <c r="G4325" s="2" t="s">
        <v>12607</v>
      </c>
      <c r="H4325" s="1">
        <v>10.0</v>
      </c>
      <c r="J4325" s="1" t="s">
        <v>86</v>
      </c>
      <c r="K4325" s="2" t="s">
        <v>12617</v>
      </c>
      <c r="L4325" s="2"/>
      <c r="M4325" s="2" t="str">
        <f>IFERROR(__xludf.DUMMYFUNCTION("split(split(K4325,""【演出"",false),""ほか"",false)"),"松雪泰子/山本耕史、酒井若菜、倉科カナ、芦田愛菜(子役)/尾野真千子、川村陽介、市川実和子/高畑淳子/田中裕子継美(怜南)を誘拐した事を認め、逮捕された奈緒。葉菜は全て自分が指示した事だと警察に訴えるが助ける事は出来ず、奈緒は起訴され裁判が始まる。いっぽう継美は室蘭の児童養護施設に送られた。鈴原家にはマスコミが押しかけ、籐子は社長を辞任、果歩は就職内定が取り消されるが、それでも家族として奈緒を支えていく決意をする。そんな中、怜南を虐待していた事で仁美が逮捕された。そしていよいよ奈緒に裁判の判決が下される…")</f>
        <v>松雪泰子/山本耕史、酒井若菜、倉科カナ、芦田愛菜(子役)/尾野真千子、川村陽介、市川実和子/高畑淳子/田中裕子継美(怜南)を誘拐した事を認め、逮捕された奈緒。葉菜は全て自分が指示した事だと警察に訴えるが助ける事は出来ず、奈緒は起訴され裁判が始まる。いっぽう継美は室蘭の児童養護施設に送られた。鈴原家にはマスコミが押しかけ、籐子は社長を辞任、果歩は就職内定が取り消されるが、それでも家族として奈緒を支えていく決意をする。そんな中、怜南を虐待していた事で仁美が逮捕された。そしていよいよ奈緒に裁判の判決が下される…</v>
      </c>
      <c r="N4325" s="2"/>
      <c r="O4325" s="2"/>
      <c r="P4325" s="1"/>
      <c r="Q4325" s="1"/>
      <c r="R4325" s="1"/>
      <c r="S4325" s="1"/>
      <c r="T4325" s="1"/>
      <c r="U4325" s="1"/>
      <c r="V4325" s="1"/>
      <c r="W4325" s="1"/>
      <c r="X4325" s="1"/>
      <c r="Y4325" s="1"/>
      <c r="Z4325" s="1"/>
      <c r="AA4325" s="1"/>
      <c r="AB4325" s="1"/>
      <c r="AC4325" s="1"/>
      <c r="AD4325" s="1"/>
      <c r="AE4325" s="1"/>
      <c r="AF4325" s="1"/>
      <c r="AG4325" s="1"/>
      <c r="AH4325" s="1"/>
      <c r="AI4325" s="1"/>
      <c r="AJ4325" s="1"/>
      <c r="AK4325" s="1"/>
      <c r="AL4325" s="1"/>
      <c r="AM4325" s="1"/>
      <c r="AN4325" s="1"/>
      <c r="AO4325" s="1"/>
      <c r="AP4325" s="1"/>
      <c r="AQ4325" s="1"/>
      <c r="AR4325" s="1"/>
      <c r="AS4325" s="1"/>
      <c r="AT4325" s="1"/>
      <c r="AU4325" s="1"/>
      <c r="AV4325" s="1"/>
      <c r="AW4325" s="1"/>
      <c r="AX4325" s="1"/>
      <c r="AY4325" s="1"/>
      <c r="AZ4325" s="1"/>
      <c r="BA4325" s="1"/>
      <c r="BB4325" s="1"/>
    </row>
    <row r="4326" ht="204.75" customHeight="1">
      <c r="A4326" s="1">
        <v>4819.0</v>
      </c>
      <c r="B4326" s="2" t="s">
        <v>12605</v>
      </c>
      <c r="C4326" s="2">
        <f>IFERROR(__xludf.DUMMYFUNCTION("split(B4326,""_"")"),1004.0)</f>
        <v>1004</v>
      </c>
      <c r="D4326" s="2" t="str">
        <f>IFERROR(__xludf.DUMMYFUNCTION("""COMPUTED_VALUE"""),"NTV")</f>
        <v>NTV</v>
      </c>
      <c r="E4326" s="2" t="str">
        <f>IFERROR(__xludf.DUMMYFUNCTION("""COMPUTED_VALUE"""),"水22")</f>
        <v>水22</v>
      </c>
      <c r="F4326" s="2" t="s">
        <v>12606</v>
      </c>
      <c r="G4326" s="2" t="s">
        <v>12607</v>
      </c>
      <c r="H4326" s="1">
        <v>11.0</v>
      </c>
      <c r="J4326" s="1" t="s">
        <v>82</v>
      </c>
      <c r="K4326" s="2" t="s">
        <v>12618</v>
      </c>
      <c r="L4326" s="2"/>
      <c r="M4326" s="2" t="str">
        <f>IFERROR(__xludf.DUMMYFUNCTION("split(split(K4326,""【演出"",false),""ほか"",false)"),"松雪泰子/山本耕史、酒井若菜、倉科カナ、芦田愛菜(子役)/音尾琢真、川村陽介、市川実和子/高畑淳子/田中裕子奈緒のもとに室蘭の児童養護施設にいる継美(怜南)から電話がかかってきた。そして継美は奈緒に言った。「お母さん、もう1回誘拐して」と。奈緒は継美に会いたい気持ちと葛藤するが、電話はすぐに切れてしまった。  その後、葉菜の命が残りわずかだと知った奈緒は、葉菜を理髪店に連れて帰ることを決意する。そして葉菜と暮らす奈緒の元に室蘭の児童養護施設にいるはずの継美がーー")</f>
        <v>松雪泰子/山本耕史、酒井若菜、倉科カナ、芦田愛菜(子役)/音尾琢真、川村陽介、市川実和子/高畑淳子/田中裕子奈緒のもとに室蘭の児童養護施設にいる継美(怜南)から電話がかかってきた。そして継美は奈緒に言った。「お母さん、もう1回誘拐して」と。奈緒は継美に会いたい気持ちと葛藤するが、電話はすぐに切れてしまった。  その後、葉菜の命が残りわずかだと知った奈緒は、葉菜を理髪店に連れて帰ることを決意する。そして葉菜と暮らす奈緒の元に室蘭の児童養護施設にいるはずの継美がーー</v>
      </c>
      <c r="N4326" s="2"/>
      <c r="O4326" s="2"/>
      <c r="P4326" s="1"/>
      <c r="Q4326" s="1"/>
      <c r="R4326" s="1"/>
      <c r="S4326" s="1"/>
      <c r="T4326" s="1"/>
      <c r="U4326" s="1"/>
      <c r="V4326" s="1"/>
      <c r="W4326" s="1"/>
      <c r="X4326" s="1"/>
      <c r="Y4326" s="1"/>
      <c r="Z4326" s="1"/>
      <c r="AA4326" s="1"/>
      <c r="AB4326" s="1"/>
      <c r="AC4326" s="1"/>
      <c r="AD4326" s="1"/>
      <c r="AE4326" s="1"/>
      <c r="AF4326" s="1"/>
      <c r="AG4326" s="1"/>
      <c r="AH4326" s="1"/>
      <c r="AI4326" s="1"/>
      <c r="AJ4326" s="1"/>
      <c r="AK4326" s="1"/>
      <c r="AL4326" s="1"/>
      <c r="AM4326" s="1"/>
      <c r="AN4326" s="1"/>
      <c r="AO4326" s="1"/>
      <c r="AP4326" s="1"/>
      <c r="AQ4326" s="1"/>
      <c r="AR4326" s="1"/>
      <c r="AS4326" s="1"/>
      <c r="AT4326" s="1"/>
      <c r="AU4326" s="1"/>
      <c r="AV4326" s="1"/>
      <c r="AW4326" s="1"/>
      <c r="AX4326" s="1"/>
      <c r="AY4326" s="1"/>
      <c r="AZ4326" s="1"/>
      <c r="BA4326" s="1"/>
      <c r="BB4326" s="1"/>
    </row>
    <row r="4327" ht="204.75" customHeight="1">
      <c r="A4327" s="1">
        <v>4840.0</v>
      </c>
      <c r="B4327" s="2" t="s">
        <v>12619</v>
      </c>
      <c r="C4327" s="2">
        <f>IFERROR(__xludf.DUMMYFUNCTION("split(B4327,""_"")"),1004.0)</f>
        <v>1004</v>
      </c>
      <c r="D4327" s="2" t="str">
        <f>IFERROR(__xludf.DUMMYFUNCTION("""COMPUTED_VALUE"""),"NTV")</f>
        <v>NTV</v>
      </c>
      <c r="E4327" s="2" t="str">
        <f>IFERROR(__xludf.DUMMYFUNCTION("""COMPUTED_VALUE"""),"木23")</f>
        <v>木23</v>
      </c>
      <c r="F4327" s="2" t="s">
        <v>12620</v>
      </c>
      <c r="G4327" s="2" t="s">
        <v>12621</v>
      </c>
      <c r="H4327" s="1">
        <v>1.0</v>
      </c>
      <c r="I4327" s="1" t="s">
        <v>2868</v>
      </c>
      <c r="J4327" s="1" t="s">
        <v>1435</v>
      </c>
      <c r="K4327" s="2" t="s">
        <v>12622</v>
      </c>
      <c r="L4327" s="2"/>
      <c r="M4327" s="2" t="str">
        <f>IFERROR(__xludf.DUMMYFUNCTION("split(split(K4327,""【演出"",false),""ほか"",false)"),"加藤ローサ、片瀬那奈、井上正大、石黒賢(他)派遣社員の野宮花は上司の命令で、取引先との接待ゴルフにイヤイヤ参加するが、接待にもかかわらずスーパーショットを披露、ラッキーなカップインも出して優勝してしまう。結果、取引先は商談を白紙にし、激怒した社長は花にクビを言い渡す。1億円もの借金を抱える野宮家にとって花の給料は頼みの綱。そんな花の前に謎のゴルフコーチ・醍醐が現れる。醍醐は花の才能を見抜き、プロゴルファーを目指すよう説得するのだが・・・")</f>
        <v>加藤ローサ、片瀬那奈、井上正大、石黒賢(他)派遣社員の野宮花は上司の命令で、取引先との接待ゴルフにイヤイヤ参加するが、接待にもかかわらずスーパーショットを披露、ラッキーなカップインも出して優勝してしまう。結果、取引先は商談を白紙にし、激怒した社長は花にクビを言い渡す。1億円もの借金を抱える野宮家にとって花の給料は頼みの綱。そんな花の前に謎のゴルフコーチ・醍醐が現れる。醍醐は花の才能を見抜き、プロゴルファーを目指すよう説得するのだが・・・</v>
      </c>
      <c r="N4327" s="2"/>
      <c r="O4327" s="2"/>
      <c r="P4327" s="1"/>
      <c r="Q4327" s="1"/>
      <c r="R4327" s="1"/>
      <c r="S4327" s="1"/>
      <c r="T4327" s="1"/>
      <c r="U4327" s="1"/>
      <c r="V4327" s="1"/>
      <c r="W4327" s="1"/>
      <c r="X4327" s="1"/>
      <c r="Y4327" s="1"/>
      <c r="Z4327" s="1"/>
      <c r="AA4327" s="1"/>
      <c r="AB4327" s="1"/>
      <c r="AC4327" s="1"/>
      <c r="AD4327" s="1"/>
      <c r="AE4327" s="1"/>
      <c r="AF4327" s="1"/>
      <c r="AG4327" s="1"/>
      <c r="AH4327" s="1"/>
      <c r="AI4327" s="1"/>
      <c r="AJ4327" s="1"/>
      <c r="AK4327" s="1"/>
      <c r="AL4327" s="1"/>
      <c r="AM4327" s="1"/>
      <c r="AN4327" s="1"/>
      <c r="AO4327" s="1"/>
      <c r="AP4327" s="1"/>
      <c r="AQ4327" s="1"/>
      <c r="AR4327" s="1"/>
      <c r="AS4327" s="1"/>
      <c r="AT4327" s="1"/>
      <c r="AU4327" s="1"/>
      <c r="AV4327" s="1"/>
      <c r="AW4327" s="1"/>
      <c r="AX4327" s="1"/>
      <c r="AY4327" s="1"/>
      <c r="AZ4327" s="1"/>
      <c r="BA4327" s="1"/>
      <c r="BB4327" s="1"/>
    </row>
    <row r="4328" ht="204.75" customHeight="1">
      <c r="A4328" s="1">
        <v>4841.0</v>
      </c>
      <c r="B4328" s="2" t="s">
        <v>12619</v>
      </c>
      <c r="C4328" s="2">
        <f>IFERROR(__xludf.DUMMYFUNCTION("split(B4328,""_"")"),1004.0)</f>
        <v>1004</v>
      </c>
      <c r="D4328" s="2" t="str">
        <f>IFERROR(__xludf.DUMMYFUNCTION("""COMPUTED_VALUE"""),"NTV")</f>
        <v>NTV</v>
      </c>
      <c r="E4328" s="2" t="str">
        <f>IFERROR(__xludf.DUMMYFUNCTION("""COMPUTED_VALUE"""),"木23")</f>
        <v>木23</v>
      </c>
      <c r="F4328" s="2" t="s">
        <v>12620</v>
      </c>
      <c r="G4328" s="2" t="s">
        <v>12623</v>
      </c>
      <c r="H4328" s="1">
        <v>2.0</v>
      </c>
      <c r="I4328" s="1" t="s">
        <v>2872</v>
      </c>
      <c r="J4328" s="1" t="s">
        <v>1435</v>
      </c>
      <c r="K4328" s="2" t="s">
        <v>12624</v>
      </c>
      <c r="L4328" s="2"/>
      <c r="M4328" s="2" t="str">
        <f>IFERROR(__xludf.DUMMYFUNCTION("split(split(K4328,""【演出"",false),""ほか"",false)"),"加藤ローサ、片瀬那奈、井上正大、石黒賢(他)謎のゴルフコーチ・醍醐一馬のもとを訪れた花は、プロトーナメントのアマチュア出場枠ひとつをゴルフ研修生の中から選出すると伝え聞く。花と同じ研修生でお嬢様の高瀬リコは、表向きは花を応援するが、裏では貧乏人の花が同じ研修生であることに怒りを露にし、花を潰すことを誓う。翌日、花はロッカーからクラブがなくなっている事に気付く。残っているのは7番アイアンのみ。果たして花は、この状況でライバル達と戦えるのか!")</f>
        <v>加藤ローサ、片瀬那奈、井上正大、石黒賢(他)謎のゴルフコーチ・醍醐一馬のもとを訪れた花は、プロトーナメントのアマチュア出場枠ひとつをゴルフ研修生の中から選出すると伝え聞く。花と同じ研修生でお嬢様の高瀬リコは、表向きは花を応援するが、裏では貧乏人の花が同じ研修生であることに怒りを露にし、花を潰すことを誓う。翌日、花はロッカーからクラブがなくなっている事に気付く。残っているのは7番アイアンのみ。果たして花は、この状況でライバル達と戦えるのか!</v>
      </c>
      <c r="N4328" s="2"/>
      <c r="O4328" s="2"/>
      <c r="P4328" s="1"/>
      <c r="Q4328" s="1"/>
      <c r="R4328" s="1"/>
      <c r="S4328" s="1"/>
      <c r="T4328" s="1"/>
      <c r="U4328" s="1"/>
      <c r="V4328" s="1"/>
      <c r="W4328" s="1"/>
      <c r="X4328" s="1"/>
      <c r="Y4328" s="1"/>
      <c r="Z4328" s="1"/>
      <c r="AA4328" s="1"/>
      <c r="AB4328" s="1"/>
      <c r="AC4328" s="1"/>
      <c r="AD4328" s="1"/>
      <c r="AE4328" s="1"/>
      <c r="AF4328" s="1"/>
      <c r="AG4328" s="1"/>
      <c r="AH4328" s="1"/>
      <c r="AI4328" s="1"/>
      <c r="AJ4328" s="1"/>
      <c r="AK4328" s="1"/>
      <c r="AL4328" s="1"/>
      <c r="AM4328" s="1"/>
      <c r="AN4328" s="1"/>
      <c r="AO4328" s="1"/>
      <c r="AP4328" s="1"/>
      <c r="AQ4328" s="1"/>
      <c r="AR4328" s="1"/>
      <c r="AS4328" s="1"/>
      <c r="AT4328" s="1"/>
      <c r="AU4328" s="1"/>
      <c r="AV4328" s="1"/>
      <c r="AW4328" s="1"/>
      <c r="AX4328" s="1"/>
      <c r="AY4328" s="1"/>
      <c r="AZ4328" s="1"/>
      <c r="BA4328" s="1"/>
      <c r="BB4328" s="1"/>
    </row>
    <row r="4329" ht="204.75" customHeight="1">
      <c r="A4329" s="1">
        <v>4842.0</v>
      </c>
      <c r="B4329" s="2" t="s">
        <v>12619</v>
      </c>
      <c r="C4329" s="2">
        <f>IFERROR(__xludf.DUMMYFUNCTION("split(B4329,""_"")"),1004.0)</f>
        <v>1004</v>
      </c>
      <c r="D4329" s="2" t="str">
        <f>IFERROR(__xludf.DUMMYFUNCTION("""COMPUTED_VALUE"""),"NTV")</f>
        <v>NTV</v>
      </c>
      <c r="E4329" s="2" t="str">
        <f>IFERROR(__xludf.DUMMYFUNCTION("""COMPUTED_VALUE"""),"木23")</f>
        <v>木23</v>
      </c>
      <c r="F4329" s="2" t="s">
        <v>12620</v>
      </c>
      <c r="G4329" s="2" t="s">
        <v>12625</v>
      </c>
      <c r="H4329" s="1">
        <v>3.0</v>
      </c>
      <c r="I4329" s="1" t="s">
        <v>2876</v>
      </c>
      <c r="J4329" s="1" t="s">
        <v>1435</v>
      </c>
      <c r="K4329" s="2" t="s">
        <v>12626</v>
      </c>
      <c r="L4329" s="2"/>
      <c r="M4329" s="2" t="str">
        <f>IFERROR(__xludf.DUMMYFUNCTION("split(split(K4329,""【演出"",false),""ほか"",false)"),"加藤ローサ、片瀬那奈、井上正大、石黒賢(他)7番アイアン1本でテストラウンドに臨む事になった野宮花。そしてリコたちの執拗ないやがらせが始まる。花がティーショットを打つ瞬間に百合子はクシャミをして手元を狂わせ、リコは林の中に消えた花の球を踏みつけ、地面にめり込ませる。ペースを崩した花は、結局ハーフを終えて50。そして後半追い討ちをかけるように、醍醐が合計スコア90以上だったらその場で失格というルールを突然加える。花は絶体絶命のピンチを迎える。")</f>
        <v>加藤ローサ、片瀬那奈、井上正大、石黒賢(他)7番アイアン1本でテストラウンドに臨む事になった野宮花。そしてリコたちの執拗ないやがらせが始まる。花がティーショットを打つ瞬間に百合子はクシャミをして手元を狂わせ、リコは林の中に消えた花の球を踏みつけ、地面にめり込ませる。ペースを崩した花は、結局ハーフを終えて50。そして後半追い討ちをかけるように、醍醐が合計スコア90以上だったらその場で失格というルールを突然加える。花は絶体絶命のピンチを迎える。</v>
      </c>
      <c r="N4329" s="2"/>
      <c r="O4329" s="2"/>
      <c r="P4329" s="1"/>
      <c r="Q4329" s="1"/>
      <c r="R4329" s="1"/>
      <c r="S4329" s="1"/>
      <c r="T4329" s="1"/>
      <c r="U4329" s="1"/>
      <c r="V4329" s="1"/>
      <c r="W4329" s="1"/>
      <c r="X4329" s="1"/>
      <c r="Y4329" s="1"/>
      <c r="Z4329" s="1"/>
      <c r="AA4329" s="1"/>
      <c r="AB4329" s="1"/>
      <c r="AC4329" s="1"/>
      <c r="AD4329" s="1"/>
      <c r="AE4329" s="1"/>
      <c r="AF4329" s="1"/>
      <c r="AG4329" s="1"/>
      <c r="AH4329" s="1"/>
      <c r="AI4329" s="1"/>
      <c r="AJ4329" s="1"/>
      <c r="AK4329" s="1"/>
      <c r="AL4329" s="1"/>
      <c r="AM4329" s="1"/>
      <c r="AN4329" s="1"/>
      <c r="AO4329" s="1"/>
      <c r="AP4329" s="1"/>
      <c r="AQ4329" s="1"/>
      <c r="AR4329" s="1"/>
      <c r="AS4329" s="1"/>
      <c r="AT4329" s="1"/>
      <c r="AU4329" s="1"/>
      <c r="AV4329" s="1"/>
      <c r="AW4329" s="1"/>
      <c r="AX4329" s="1"/>
      <c r="AY4329" s="1"/>
      <c r="AZ4329" s="1"/>
      <c r="BA4329" s="1"/>
      <c r="BB4329" s="1"/>
    </row>
    <row r="4330" ht="204.75" customHeight="1">
      <c r="A4330" s="1">
        <v>4843.0</v>
      </c>
      <c r="B4330" s="2" t="s">
        <v>12619</v>
      </c>
      <c r="C4330" s="2">
        <f>IFERROR(__xludf.DUMMYFUNCTION("split(B4330,""_"")"),1004.0)</f>
        <v>1004</v>
      </c>
      <c r="D4330" s="2" t="str">
        <f>IFERROR(__xludf.DUMMYFUNCTION("""COMPUTED_VALUE"""),"NTV")</f>
        <v>NTV</v>
      </c>
      <c r="E4330" s="2" t="str">
        <f>IFERROR(__xludf.DUMMYFUNCTION("""COMPUTED_VALUE"""),"木23")</f>
        <v>木23</v>
      </c>
      <c r="F4330" s="2" t="s">
        <v>12620</v>
      </c>
      <c r="G4330" s="2" t="s">
        <v>12627</v>
      </c>
      <c r="H4330" s="1">
        <v>4.0</v>
      </c>
      <c r="I4330" s="1" t="s">
        <v>2880</v>
      </c>
      <c r="J4330" s="1" t="s">
        <v>1435</v>
      </c>
      <c r="K4330" s="2" t="s">
        <v>12628</v>
      </c>
      <c r="L4330" s="2"/>
      <c r="M4330" s="2" t="str">
        <f>IFERROR(__xludf.DUMMYFUNCTION("split(split(K4330,""【演出"",false),""ほか"",false)"),"加藤ローサ、片瀬那奈、井上正大、石黒賢(他)今出川からゴルフウエアをプレゼントされた野宮花。リコはこの事実を知り、激しく嫉妬する。テストラウンドでは、百合子とあゆみが妨害するが、花は驚異の集中力とイメージ力で、スコアを1アンダーでまとめリコとの差を縮める。しかしテスト後、花はボールを捜している最中に、スイングに重要な左足首をくじいてしまう。今出川は花のケガを心配し介抱、花はそんな今出川に心を奪われる。そんな2人に胸中穏やかでないリコは…。")</f>
        <v>加藤ローサ、片瀬那奈、井上正大、石黒賢(他)今出川からゴルフウエアをプレゼントされた野宮花。リコはこの事実を知り、激しく嫉妬する。テストラウンドでは、百合子とあゆみが妨害するが、花は驚異の集中力とイメージ力で、スコアを1アンダーでまとめリコとの差を縮める。しかしテスト後、花はボールを捜している最中に、スイングに重要な左足首をくじいてしまう。今出川は花のケガを心配し介抱、花はそんな今出川に心を奪われる。そんな2人に胸中穏やかでないリコは…。</v>
      </c>
      <c r="N4330" s="2"/>
      <c r="O4330" s="2"/>
      <c r="P4330" s="1"/>
      <c r="Q4330" s="1"/>
      <c r="R4330" s="1"/>
      <c r="S4330" s="1"/>
      <c r="T4330" s="1"/>
      <c r="U4330" s="1"/>
      <c r="V4330" s="1"/>
      <c r="W4330" s="1"/>
      <c r="X4330" s="1"/>
      <c r="Y4330" s="1"/>
      <c r="Z4330" s="1"/>
      <c r="AA4330" s="1"/>
      <c r="AB4330" s="1"/>
      <c r="AC4330" s="1"/>
      <c r="AD4330" s="1"/>
      <c r="AE4330" s="1"/>
      <c r="AF4330" s="1"/>
      <c r="AG4330" s="1"/>
      <c r="AH4330" s="1"/>
      <c r="AI4330" s="1"/>
      <c r="AJ4330" s="1"/>
      <c r="AK4330" s="1"/>
      <c r="AL4330" s="1"/>
      <c r="AM4330" s="1"/>
      <c r="AN4330" s="1"/>
      <c r="AO4330" s="1"/>
      <c r="AP4330" s="1"/>
      <c r="AQ4330" s="1"/>
      <c r="AR4330" s="1"/>
      <c r="AS4330" s="1"/>
      <c r="AT4330" s="1"/>
      <c r="AU4330" s="1"/>
      <c r="AV4330" s="1"/>
      <c r="AW4330" s="1"/>
      <c r="AX4330" s="1"/>
      <c r="AY4330" s="1"/>
      <c r="AZ4330" s="1"/>
      <c r="BA4330" s="1"/>
      <c r="BB4330" s="1"/>
    </row>
    <row r="4331" ht="204.75" customHeight="1">
      <c r="A4331" s="1">
        <v>4844.0</v>
      </c>
      <c r="B4331" s="2" t="s">
        <v>12619</v>
      </c>
      <c r="C4331" s="2">
        <f>IFERROR(__xludf.DUMMYFUNCTION("split(B4331,""_"")"),1004.0)</f>
        <v>1004</v>
      </c>
      <c r="D4331" s="2" t="str">
        <f>IFERROR(__xludf.DUMMYFUNCTION("""COMPUTED_VALUE"""),"NTV")</f>
        <v>NTV</v>
      </c>
      <c r="E4331" s="2" t="str">
        <f>IFERROR(__xludf.DUMMYFUNCTION("""COMPUTED_VALUE"""),"木23")</f>
        <v>木23</v>
      </c>
      <c r="F4331" s="2" t="s">
        <v>12620</v>
      </c>
      <c r="G4331" s="2" t="s">
        <v>12629</v>
      </c>
      <c r="H4331" s="1">
        <v>5.0</v>
      </c>
      <c r="I4331" s="1" t="s">
        <v>2884</v>
      </c>
      <c r="J4331" s="1" t="s">
        <v>1435</v>
      </c>
      <c r="K4331" s="2" t="s">
        <v>12630</v>
      </c>
      <c r="L4331" s="2"/>
      <c r="M4331" s="2" t="str">
        <f>IFERROR(__xludf.DUMMYFUNCTION("split(split(K4331,""【演出"",false),""ほか"",false)"),"加藤ローサ、片瀬那奈、井上正大、石黒賢(他)足首を捻挫した上、リコと今出川のキスを目撃した野宮花は、大きくスコアを崩してしまう。2週間経っても、足の痛みが消えない花。しかし、醍醐はケガは完治していると言い放つ。そんな花に今出川は、リコとのキスは誤解だと必死に弁解し、花のゴルフに対するひたむきな姿が好きだと告白する。今出川の告白を聞いた途端、足の痛みが消えていることに気づく花。そして花は、完全復活を遂げ、リコへの追撃を開始するのだが・・・")</f>
        <v>加藤ローサ、片瀬那奈、井上正大、石黒賢(他)足首を捻挫した上、リコと今出川のキスを目撃した野宮花は、大きくスコアを崩してしまう。2週間経っても、足の痛みが消えない花。しかし、醍醐はケガは完治していると言い放つ。そんな花に今出川は、リコとのキスは誤解だと必死に弁解し、花のゴルフに対するひたむきな姿が好きだと告白する。今出川の告白を聞いた途端、足の痛みが消えていることに気づく花。そして花は、完全復活を遂げ、リコへの追撃を開始するのだが・・・</v>
      </c>
      <c r="N4331" s="2"/>
      <c r="O4331" s="2"/>
      <c r="P4331" s="1"/>
      <c r="Q4331" s="1"/>
      <c r="R4331" s="1"/>
      <c r="S4331" s="1"/>
      <c r="T4331" s="1"/>
      <c r="U4331" s="1"/>
      <c r="V4331" s="1"/>
      <c r="W4331" s="1"/>
      <c r="X4331" s="1"/>
      <c r="Y4331" s="1"/>
      <c r="Z4331" s="1"/>
      <c r="AA4331" s="1"/>
      <c r="AB4331" s="1"/>
      <c r="AC4331" s="1"/>
      <c r="AD4331" s="1"/>
      <c r="AE4331" s="1"/>
      <c r="AF4331" s="1"/>
      <c r="AG4331" s="1"/>
      <c r="AH4331" s="1"/>
      <c r="AI4331" s="1"/>
      <c r="AJ4331" s="1"/>
      <c r="AK4331" s="1"/>
      <c r="AL4331" s="1"/>
      <c r="AM4331" s="1"/>
      <c r="AN4331" s="1"/>
      <c r="AO4331" s="1"/>
      <c r="AP4331" s="1"/>
      <c r="AQ4331" s="1"/>
      <c r="AR4331" s="1"/>
      <c r="AS4331" s="1"/>
      <c r="AT4331" s="1"/>
      <c r="AU4331" s="1"/>
      <c r="AV4331" s="1"/>
      <c r="AW4331" s="1"/>
      <c r="AX4331" s="1"/>
      <c r="AY4331" s="1"/>
      <c r="AZ4331" s="1"/>
      <c r="BA4331" s="1"/>
      <c r="BB4331" s="1"/>
    </row>
    <row r="4332" ht="204.75" customHeight="1">
      <c r="A4332" s="1">
        <v>4845.0</v>
      </c>
      <c r="B4332" s="2" t="s">
        <v>12619</v>
      </c>
      <c r="C4332" s="2">
        <f>IFERROR(__xludf.DUMMYFUNCTION("split(B4332,""_"")"),1004.0)</f>
        <v>1004</v>
      </c>
      <c r="D4332" s="2" t="str">
        <f>IFERROR(__xludf.DUMMYFUNCTION("""COMPUTED_VALUE"""),"NTV")</f>
        <v>NTV</v>
      </c>
      <c r="E4332" s="2" t="str">
        <f>IFERROR(__xludf.DUMMYFUNCTION("""COMPUTED_VALUE"""),"木23")</f>
        <v>木23</v>
      </c>
      <c r="F4332" s="2" t="s">
        <v>12620</v>
      </c>
      <c r="G4332" s="2" t="s">
        <v>12631</v>
      </c>
      <c r="H4332" s="1">
        <v>6.0</v>
      </c>
      <c r="I4332" s="1" t="s">
        <v>2888</v>
      </c>
      <c r="J4332" s="1" t="s">
        <v>1435</v>
      </c>
      <c r="K4332" s="2" t="s">
        <v>12632</v>
      </c>
      <c r="L4332" s="2"/>
      <c r="M4332" s="2" t="str">
        <f>IFERROR(__xludf.DUMMYFUNCTION("split(split(K4332,""【演出"",false),""ほか"",false)"),"加藤ローサ、片瀬那奈、井上正大、石黒賢(他)今出川とリコのデートにショックを受けた花に、醍醐は恋愛にうつつを抜かしているヒマはないと言い放つ。花は家族のために頑張ると気持ちを切り替え、気迫溢れるプレイを披露する。さらに、花は海が貧乏を理由に学校でイジめられている事を知り、プロゴルファーになる決意を強くする。そして花はラストラウンドを残し、ついに合計スコアがリコと並ぶ。果たして花はリコに逆転勝ちし、プロトーナメントに出場する事が出来るのか?")</f>
        <v>加藤ローサ、片瀬那奈、井上正大、石黒賢(他)今出川とリコのデートにショックを受けた花に、醍醐は恋愛にうつつを抜かしているヒマはないと言い放つ。花は家族のために頑張ると気持ちを切り替え、気迫溢れるプレイを披露する。さらに、花は海が貧乏を理由に学校でイジめられている事を知り、プロゴルファーになる決意を強くする。そして花はラストラウンドを残し、ついに合計スコアがリコと並ぶ。果たして花はリコに逆転勝ちし、プロトーナメントに出場する事が出来るのか?</v>
      </c>
      <c r="N4332" s="2"/>
      <c r="O4332" s="2"/>
      <c r="P4332" s="1"/>
      <c r="Q4332" s="1"/>
      <c r="R4332" s="1"/>
      <c r="S4332" s="1"/>
      <c r="T4332" s="1"/>
      <c r="U4332" s="1"/>
      <c r="V4332" s="1"/>
      <c r="W4332" s="1"/>
      <c r="X4332" s="1"/>
      <c r="Y4332" s="1"/>
      <c r="Z4332" s="1"/>
      <c r="AA4332" s="1"/>
      <c r="AB4332" s="1"/>
      <c r="AC4332" s="1"/>
      <c r="AD4332" s="1"/>
      <c r="AE4332" s="1"/>
      <c r="AF4332" s="1"/>
      <c r="AG4332" s="1"/>
      <c r="AH4332" s="1"/>
      <c r="AI4332" s="1"/>
      <c r="AJ4332" s="1"/>
      <c r="AK4332" s="1"/>
      <c r="AL4332" s="1"/>
      <c r="AM4332" s="1"/>
      <c r="AN4332" s="1"/>
      <c r="AO4332" s="1"/>
      <c r="AP4332" s="1"/>
      <c r="AQ4332" s="1"/>
      <c r="AR4332" s="1"/>
      <c r="AS4332" s="1"/>
      <c r="AT4332" s="1"/>
      <c r="AU4332" s="1"/>
      <c r="AV4332" s="1"/>
      <c r="AW4332" s="1"/>
      <c r="AX4332" s="1"/>
      <c r="AY4332" s="1"/>
      <c r="AZ4332" s="1"/>
      <c r="BA4332" s="1"/>
      <c r="BB4332" s="1"/>
    </row>
    <row r="4333" ht="204.75" customHeight="1">
      <c r="A4333" s="1">
        <v>4846.0</v>
      </c>
      <c r="B4333" s="2" t="s">
        <v>12619</v>
      </c>
      <c r="C4333" s="2">
        <f>IFERROR(__xludf.DUMMYFUNCTION("split(B4333,""_"")"),1004.0)</f>
        <v>1004</v>
      </c>
      <c r="D4333" s="2" t="str">
        <f>IFERROR(__xludf.DUMMYFUNCTION("""COMPUTED_VALUE"""),"NTV")</f>
        <v>NTV</v>
      </c>
      <c r="E4333" s="2" t="str">
        <f>IFERROR(__xludf.DUMMYFUNCTION("""COMPUTED_VALUE"""),"木23")</f>
        <v>木23</v>
      </c>
      <c r="F4333" s="2" t="s">
        <v>12620</v>
      </c>
      <c r="G4333" s="2" t="s">
        <v>12633</v>
      </c>
      <c r="H4333" s="1">
        <v>7.0</v>
      </c>
      <c r="I4333" s="1" t="s">
        <v>2892</v>
      </c>
      <c r="J4333" s="1" t="s">
        <v>1435</v>
      </c>
      <c r="K4333" s="2" t="s">
        <v>12634</v>
      </c>
      <c r="L4333" s="2"/>
      <c r="M4333" s="2" t="str">
        <f>IFERROR(__xludf.DUMMYFUNCTION("split(split(K4333,""【演出"",false),""ほか"",false)"),"加藤ローサ、片瀬那奈、井上正大、石黒賢(他)テストラウンド最終日、花とリコは同スコアで最終ホールを迎える。だが、花のパットはカップに届かず、リコに敗れてしまう。醍醐は敗戦を引きずる花に対し、あの場面でカップにショートさせるのはアマチュアだと厳しく言い放つ。そんな折、花はライバルの芝山に敗れた今出川がパットを打ち込む姿を目撃。今出川と話して元気になった花はプロテストの想定ラウンドで、前にも増して力強いショットを放ち完全復活したかに見えたが・・")</f>
        <v>加藤ローサ、片瀬那奈、井上正大、石黒賢(他)テストラウンド最終日、花とリコは同スコアで最終ホールを迎える。だが、花のパットはカップに届かず、リコに敗れてしまう。醍醐は敗戦を引きずる花に対し、あの場面でカップにショートさせるのはアマチュアだと厳しく言い放つ。そんな折、花はライバルの芝山に敗れた今出川がパットを打ち込む姿を目撃。今出川と話して元気になった花はプロテストの想定ラウンドで、前にも増して力強いショットを放ち完全復活したかに見えたが・・</v>
      </c>
      <c r="N4333" s="2"/>
      <c r="O4333" s="2"/>
      <c r="P4333" s="1"/>
      <c r="Q4333" s="1"/>
      <c r="R4333" s="1"/>
      <c r="S4333" s="1"/>
      <c r="T4333" s="1"/>
      <c r="U4333" s="1"/>
      <c r="V4333" s="1"/>
      <c r="W4333" s="1"/>
      <c r="X4333" s="1"/>
      <c r="Y4333" s="1"/>
      <c r="Z4333" s="1"/>
      <c r="AA4333" s="1"/>
      <c r="AB4333" s="1"/>
      <c r="AC4333" s="1"/>
      <c r="AD4333" s="1"/>
      <c r="AE4333" s="1"/>
      <c r="AF4333" s="1"/>
      <c r="AG4333" s="1"/>
      <c r="AH4333" s="1"/>
      <c r="AI4333" s="1"/>
      <c r="AJ4333" s="1"/>
      <c r="AK4333" s="1"/>
      <c r="AL4333" s="1"/>
      <c r="AM4333" s="1"/>
      <c r="AN4333" s="1"/>
      <c r="AO4333" s="1"/>
      <c r="AP4333" s="1"/>
      <c r="AQ4333" s="1"/>
      <c r="AR4333" s="1"/>
      <c r="AS4333" s="1"/>
      <c r="AT4333" s="1"/>
      <c r="AU4333" s="1"/>
      <c r="AV4333" s="1"/>
      <c r="AW4333" s="1"/>
      <c r="AX4333" s="1"/>
      <c r="AY4333" s="1"/>
      <c r="AZ4333" s="1"/>
      <c r="BA4333" s="1"/>
      <c r="BB4333" s="1"/>
    </row>
    <row r="4334" ht="204.75" customHeight="1">
      <c r="A4334" s="1">
        <v>4847.0</v>
      </c>
      <c r="B4334" s="2" t="s">
        <v>12619</v>
      </c>
      <c r="C4334" s="2">
        <f>IFERROR(__xludf.DUMMYFUNCTION("split(B4334,""_"")"),1004.0)</f>
        <v>1004</v>
      </c>
      <c r="D4334" s="2" t="str">
        <f>IFERROR(__xludf.DUMMYFUNCTION("""COMPUTED_VALUE"""),"NTV")</f>
        <v>NTV</v>
      </c>
      <c r="E4334" s="2" t="str">
        <f>IFERROR(__xludf.DUMMYFUNCTION("""COMPUTED_VALUE"""),"木23")</f>
        <v>木23</v>
      </c>
      <c r="F4334" s="2" t="s">
        <v>12620</v>
      </c>
      <c r="G4334" s="2" t="s">
        <v>12635</v>
      </c>
      <c r="H4334" s="1">
        <v>8.0</v>
      </c>
      <c r="I4334" s="1" t="s">
        <v>2896</v>
      </c>
      <c r="J4334" s="1" t="s">
        <v>1435</v>
      </c>
      <c r="K4334" s="2" t="s">
        <v>12636</v>
      </c>
      <c r="L4334" s="2"/>
      <c r="M4334" s="2" t="str">
        <f>IFERROR(__xludf.DUMMYFUNCTION("split(split(K4334,""【演出"",false),""ほか"",false)"),"加藤ローサ、片瀬那奈、井上正大、石黒賢(他)突然、カップが見えなくなる病・イップスになった花。花は今出川に相談しようとするが、時間が合わず話ができない。そんな折、野木は今すぐ借金を返せと花を恫喝。期限を延ばしたいなら今出川と接触するなと不可解な交換条件を花に突きつける。そして、醍醐は何の説明もないまま、謎の男2人と一緒にラウンドしろと花に命じる。しかも、そのラウンドは100万もの大金がかかった賭けゴルフだった・・・。")</f>
        <v>加藤ローサ、片瀬那奈、井上正大、石黒賢(他)突然、カップが見えなくなる病・イップスになった花。花は今出川に相談しようとするが、時間が合わず話ができない。そんな折、野木は今すぐ借金を返せと花を恫喝。期限を延ばしたいなら今出川と接触するなと不可解な交換条件を花に突きつける。そして、醍醐は何の説明もないまま、謎の男2人と一緒にラウンドしろと花に命じる。しかも、そのラウンドは100万もの大金がかかった賭けゴルフだった・・・。</v>
      </c>
      <c r="N4334" s="2"/>
      <c r="O4334" s="2"/>
      <c r="P4334" s="1"/>
      <c r="Q4334" s="1"/>
      <c r="R4334" s="1"/>
      <c r="S4334" s="1"/>
      <c r="T4334" s="1"/>
      <c r="U4334" s="1"/>
      <c r="V4334" s="1"/>
      <c r="W4334" s="1"/>
      <c r="X4334" s="1"/>
      <c r="Y4334" s="1"/>
      <c r="Z4334" s="1"/>
      <c r="AA4334" s="1"/>
      <c r="AB4334" s="1"/>
      <c r="AC4334" s="1"/>
      <c r="AD4334" s="1"/>
      <c r="AE4334" s="1"/>
      <c r="AF4334" s="1"/>
      <c r="AG4334" s="1"/>
      <c r="AH4334" s="1"/>
      <c r="AI4334" s="1"/>
      <c r="AJ4334" s="1"/>
      <c r="AK4334" s="1"/>
      <c r="AL4334" s="1"/>
      <c r="AM4334" s="1"/>
      <c r="AN4334" s="1"/>
      <c r="AO4334" s="1"/>
      <c r="AP4334" s="1"/>
      <c r="AQ4334" s="1"/>
      <c r="AR4334" s="1"/>
      <c r="AS4334" s="1"/>
      <c r="AT4334" s="1"/>
      <c r="AU4334" s="1"/>
      <c r="AV4334" s="1"/>
      <c r="AW4334" s="1"/>
      <c r="AX4334" s="1"/>
      <c r="AY4334" s="1"/>
      <c r="AZ4334" s="1"/>
      <c r="BA4334" s="1"/>
      <c r="BB4334" s="1"/>
    </row>
    <row r="4335" ht="204.75" customHeight="1">
      <c r="A4335" s="1">
        <v>4848.0</v>
      </c>
      <c r="B4335" s="2" t="s">
        <v>12619</v>
      </c>
      <c r="C4335" s="2">
        <f>IFERROR(__xludf.DUMMYFUNCTION("split(B4335,""_"")"),1004.0)</f>
        <v>1004</v>
      </c>
      <c r="D4335" s="2" t="str">
        <f>IFERROR(__xludf.DUMMYFUNCTION("""COMPUTED_VALUE"""),"NTV")</f>
        <v>NTV</v>
      </c>
      <c r="E4335" s="2" t="str">
        <f>IFERROR(__xludf.DUMMYFUNCTION("""COMPUTED_VALUE"""),"木23")</f>
        <v>木23</v>
      </c>
      <c r="F4335" s="2" t="s">
        <v>12620</v>
      </c>
      <c r="G4335" s="2" t="s">
        <v>12637</v>
      </c>
      <c r="H4335" s="1">
        <v>9.0</v>
      </c>
      <c r="I4335" s="1" t="s">
        <v>37</v>
      </c>
      <c r="J4335" s="1" t="s">
        <v>1435</v>
      </c>
      <c r="K4335" s="2" t="s">
        <v>12638</v>
      </c>
      <c r="L4335" s="2"/>
      <c r="M4335" s="2" t="str">
        <f>IFERROR(__xludf.DUMMYFUNCTION("split(split(K4335,""【演出"",false),""ほか"",false)"),"加藤ローサ、片瀬那奈、井上正大、石黒賢(他)プロテストに合格しプロとして歩み始めた花。賞金を稼ぐと意気込む花だったが、トーナメントの本選に出場するための予選すら通過できず、試合に必要な資金を稼ぐため夜遅くまでバイトに明け暮れる。そんな折、醍醐はトーナメントの主催者推薦をもらってきたと花に伝える。本選から出場できると知って喜ぶ花だったが、九州の熊本で開催される大会に、参加するお金もなく断念しようとするが…。")</f>
        <v>加藤ローサ、片瀬那奈、井上正大、石黒賢(他)プロテストに合格しプロとして歩み始めた花。賞金を稼ぐと意気込む花だったが、トーナメントの本選に出場するための予選すら通過できず、試合に必要な資金を稼ぐため夜遅くまでバイトに明け暮れる。そんな折、醍醐はトーナメントの主催者推薦をもらってきたと花に伝える。本選から出場できると知って喜ぶ花だったが、九州の熊本で開催される大会に、参加するお金もなく断念しようとするが…。</v>
      </c>
      <c r="N4335" s="2"/>
      <c r="O4335" s="2"/>
      <c r="P4335" s="1"/>
      <c r="Q4335" s="1"/>
      <c r="R4335" s="1"/>
      <c r="S4335" s="1"/>
      <c r="T4335" s="1"/>
      <c r="U4335" s="1"/>
      <c r="V4335" s="1"/>
      <c r="W4335" s="1"/>
      <c r="X4335" s="1"/>
      <c r="Y4335" s="1"/>
      <c r="Z4335" s="1"/>
      <c r="AA4335" s="1"/>
      <c r="AB4335" s="1"/>
      <c r="AC4335" s="1"/>
      <c r="AD4335" s="1"/>
      <c r="AE4335" s="1"/>
      <c r="AF4335" s="1"/>
      <c r="AG4335" s="1"/>
      <c r="AH4335" s="1"/>
      <c r="AI4335" s="1"/>
      <c r="AJ4335" s="1"/>
      <c r="AK4335" s="1"/>
      <c r="AL4335" s="1"/>
      <c r="AM4335" s="1"/>
      <c r="AN4335" s="1"/>
      <c r="AO4335" s="1"/>
      <c r="AP4335" s="1"/>
      <c r="AQ4335" s="1"/>
      <c r="AR4335" s="1"/>
      <c r="AS4335" s="1"/>
      <c r="AT4335" s="1"/>
      <c r="AU4335" s="1"/>
      <c r="AV4335" s="1"/>
      <c r="AW4335" s="1"/>
      <c r="AX4335" s="1"/>
      <c r="AY4335" s="1"/>
      <c r="AZ4335" s="1"/>
      <c r="BA4335" s="1"/>
      <c r="BB4335" s="1"/>
    </row>
    <row r="4336" ht="204.75" customHeight="1">
      <c r="A4336" s="1">
        <v>4849.0</v>
      </c>
      <c r="B4336" s="2" t="s">
        <v>12619</v>
      </c>
      <c r="C4336" s="2">
        <f>IFERROR(__xludf.DUMMYFUNCTION("split(B4336,""_"")"),1004.0)</f>
        <v>1004</v>
      </c>
      <c r="D4336" s="2" t="str">
        <f>IFERROR(__xludf.DUMMYFUNCTION("""COMPUTED_VALUE"""),"NTV")</f>
        <v>NTV</v>
      </c>
      <c r="E4336" s="2" t="str">
        <f>IFERROR(__xludf.DUMMYFUNCTION("""COMPUTED_VALUE"""),"木23")</f>
        <v>木23</v>
      </c>
      <c r="F4336" s="2" t="s">
        <v>12620</v>
      </c>
      <c r="G4336" s="2" t="s">
        <v>12639</v>
      </c>
      <c r="H4336" s="1">
        <v>10.0</v>
      </c>
      <c r="I4336" s="1" t="s">
        <v>41</v>
      </c>
      <c r="J4336" s="1" t="s">
        <v>1435</v>
      </c>
      <c r="K4336" s="2" t="s">
        <v>12640</v>
      </c>
      <c r="L4336" s="2"/>
      <c r="M4336" s="2" t="str">
        <f>IFERROR(__xludf.DUMMYFUNCTION("split(split(K4336,""【演出"",false),""ほか"",false)"),"加藤ローサ、片瀬那奈、井上正大、石黒賢(他)キャディを買って出たミチルと共にトーナメントに出場する花。だが、花は同じ組の大原道子による新人潰しの策略にハマって予選落ちしてしまう。プロの壁にぶち当たった花に醍醐は、ある人物のもとでの修行を命じる。その人物とは、ゴルフ仙人と自称する怪しさ満載の人物だった。仙人からゴルフに勝つには自然を知らなければいけないと諭された花だったが、ふと気になって日付を確認すると、なんと全日本女子オープン当日だった・・")</f>
        <v>加藤ローサ、片瀬那奈、井上正大、石黒賢(他)キャディを買って出たミチルと共にトーナメントに出場する花。だが、花は同じ組の大原道子による新人潰しの策略にハマって予選落ちしてしまう。プロの壁にぶち当たった花に醍醐は、ある人物のもとでの修行を命じる。その人物とは、ゴルフ仙人と自称する怪しさ満載の人物だった。仙人からゴルフに勝つには自然を知らなければいけないと諭された花だったが、ふと気になって日付を確認すると、なんと全日本女子オープン当日だった・・</v>
      </c>
      <c r="N4336" s="2"/>
      <c r="O4336" s="2"/>
      <c r="P4336" s="1"/>
      <c r="Q4336" s="1"/>
      <c r="R4336" s="1"/>
      <c r="S4336" s="1"/>
      <c r="T4336" s="1"/>
      <c r="U4336" s="1"/>
      <c r="V4336" s="1"/>
      <c r="W4336" s="1"/>
      <c r="X4336" s="1"/>
      <c r="Y4336" s="1"/>
      <c r="Z4336" s="1"/>
      <c r="AA4336" s="1"/>
      <c r="AB4336" s="1"/>
      <c r="AC4336" s="1"/>
      <c r="AD4336" s="1"/>
      <c r="AE4336" s="1"/>
      <c r="AF4336" s="1"/>
      <c r="AG4336" s="1"/>
      <c r="AH4336" s="1"/>
      <c r="AI4336" s="1"/>
      <c r="AJ4336" s="1"/>
      <c r="AK4336" s="1"/>
      <c r="AL4336" s="1"/>
      <c r="AM4336" s="1"/>
      <c r="AN4336" s="1"/>
      <c r="AO4336" s="1"/>
      <c r="AP4336" s="1"/>
      <c r="AQ4336" s="1"/>
      <c r="AR4336" s="1"/>
      <c r="AS4336" s="1"/>
      <c r="AT4336" s="1"/>
      <c r="AU4336" s="1"/>
      <c r="AV4336" s="1"/>
      <c r="AW4336" s="1"/>
      <c r="AX4336" s="1"/>
      <c r="AY4336" s="1"/>
      <c r="AZ4336" s="1"/>
      <c r="BA4336" s="1"/>
      <c r="BB4336" s="1"/>
    </row>
    <row r="4337" ht="204.75" customHeight="1">
      <c r="A4337" s="1">
        <v>4850.0</v>
      </c>
      <c r="B4337" s="2" t="s">
        <v>12619</v>
      </c>
      <c r="C4337" s="2">
        <f>IFERROR(__xludf.DUMMYFUNCTION("split(B4337,""_"")"),1004.0)</f>
        <v>1004</v>
      </c>
      <c r="D4337" s="2" t="str">
        <f>IFERROR(__xludf.DUMMYFUNCTION("""COMPUTED_VALUE"""),"NTV")</f>
        <v>NTV</v>
      </c>
      <c r="E4337" s="2" t="str">
        <f>IFERROR(__xludf.DUMMYFUNCTION("""COMPUTED_VALUE"""),"木23")</f>
        <v>木23</v>
      </c>
      <c r="F4337" s="2" t="s">
        <v>12620</v>
      </c>
      <c r="G4337" s="2" t="s">
        <v>12641</v>
      </c>
      <c r="H4337" s="1">
        <v>11.0</v>
      </c>
      <c r="I4337" s="1" t="s">
        <v>3666</v>
      </c>
      <c r="J4337" s="1" t="s">
        <v>1435</v>
      </c>
      <c r="K4337" s="2" t="s">
        <v>12642</v>
      </c>
      <c r="L4337" s="2"/>
      <c r="M4337" s="2" t="str">
        <f>IFERROR(__xludf.DUMMYFUNCTION("split(split(K4337,""【演出"",false),""ほか"",false)"),"加藤ローサ、片瀬那奈、井上正大、石黒賢(他)全日本女子オープンで、リコ、大原と同じ組でまわる事になった花。ゴルフ仙人の修行で成長した花は大原の策略にも動じず初日トップに立ち、動揺した大原は大きく出遅れる。予選2日目の朝、花は大原から何十億円も借金がある事を打ち明けられ、しかも取立て屋に怪我をさせられた大原を見た花は同情して大きくスコアを崩してしまう。そして花は残り4ホール、全てバーディーを取らないと予選落ちという絶体絶命のピンチを迎える…。")</f>
        <v>加藤ローサ、片瀬那奈、井上正大、石黒賢(他)全日本女子オープンで、リコ、大原と同じ組でまわる事になった花。ゴルフ仙人の修行で成長した花は大原の策略にも動じず初日トップに立ち、動揺した大原は大きく出遅れる。予選2日目の朝、花は大原から何十億円も借金がある事を打ち明けられ、しかも取立て屋に怪我をさせられた大原を見た花は同情して大きくスコアを崩してしまう。そして花は残り4ホール、全てバーディーを取らないと予選落ちという絶体絶命のピンチを迎える…。</v>
      </c>
      <c r="N4337" s="2"/>
      <c r="O4337" s="2"/>
      <c r="P4337" s="1"/>
      <c r="Q4337" s="1"/>
      <c r="R4337" s="1"/>
      <c r="S4337" s="1"/>
      <c r="T4337" s="1"/>
      <c r="U4337" s="1"/>
      <c r="V4337" s="1"/>
      <c r="W4337" s="1"/>
      <c r="X4337" s="1"/>
      <c r="Y4337" s="1"/>
      <c r="Z4337" s="1"/>
      <c r="AA4337" s="1"/>
      <c r="AB4337" s="1"/>
      <c r="AC4337" s="1"/>
      <c r="AD4337" s="1"/>
      <c r="AE4337" s="1"/>
      <c r="AF4337" s="1"/>
      <c r="AG4337" s="1"/>
      <c r="AH4337" s="1"/>
      <c r="AI4337" s="1"/>
      <c r="AJ4337" s="1"/>
      <c r="AK4337" s="1"/>
      <c r="AL4337" s="1"/>
      <c r="AM4337" s="1"/>
      <c r="AN4337" s="1"/>
      <c r="AO4337" s="1"/>
      <c r="AP4337" s="1"/>
      <c r="AQ4337" s="1"/>
      <c r="AR4337" s="1"/>
      <c r="AS4337" s="1"/>
      <c r="AT4337" s="1"/>
      <c r="AU4337" s="1"/>
      <c r="AV4337" s="1"/>
      <c r="AW4337" s="1"/>
      <c r="AX4337" s="1"/>
      <c r="AY4337" s="1"/>
      <c r="AZ4337" s="1"/>
      <c r="BA4337" s="1"/>
      <c r="BB4337" s="1"/>
    </row>
    <row r="4338" ht="204.75" customHeight="1">
      <c r="A4338" s="1">
        <v>4872.0</v>
      </c>
      <c r="B4338" s="2" t="s">
        <v>12643</v>
      </c>
      <c r="C4338" s="2">
        <f>IFERROR(__xludf.DUMMYFUNCTION("split(B4338,""_"")"),1004.0)</f>
        <v>1004</v>
      </c>
      <c r="D4338" s="2" t="str">
        <f>IFERROR(__xludf.DUMMYFUNCTION("""COMPUTED_VALUE"""),"NTV")</f>
        <v>NTV</v>
      </c>
      <c r="E4338" s="2" t="str">
        <f>IFERROR(__xludf.DUMMYFUNCTION("""COMPUTED_VALUE"""),"土21")</f>
        <v>土21</v>
      </c>
      <c r="F4338" s="2" t="s">
        <v>12644</v>
      </c>
      <c r="G4338" s="2" t="s">
        <v>12645</v>
      </c>
      <c r="H4338" s="1">
        <v>1.0</v>
      </c>
      <c r="J4338" s="1" t="s">
        <v>4</v>
      </c>
      <c r="K4338" s="2" t="s">
        <v>12646</v>
      </c>
      <c r="L4338" s="2"/>
      <c r="M4338" s="2" t="str">
        <f>IFERROR(__xludf.DUMMYFUNCTION("split(split(K4338,""【演出"",false),""ほか"",false)"),"大野智、松岡昌宏、八嶋智人、川島海荷、上島竜兵、チェ・ホンマン、濱田龍臣、三宅弘城、津田寛治、半海一晃、稲森いずみ、鹿賀丈史　")</f>
        <v>大野智、松岡昌宏、八嶋智人、川島海荷、上島竜兵、チェ・ホンマン、濱田龍臣、三宅弘城、津田寛治、半海一晃、稲森いずみ、鹿賀丈史　</v>
      </c>
      <c r="N4338" s="2" t="str">
        <f>IFERROR(__xludf.DUMMYFUNCTION("""COMPUTED_VALUE"""),"怪物大王(鹿賀丈史)によって「怪物ランド」から人間界へと、お供のドラキュラ(八嶋智人)、オオカミ男(上島竜兵)、フランケン(チェ・ホンマン)と一緒に真っ逆さまに突き落とされる怪物くん(大野智)。そこに、ボールを探しにやってきた少年、市川ヒロシ(濱田龍臣)が現れた。人間の役に立てば、怪物界に戻れると思った怪物くんはヒロシに「何でも願い事を叶えてやるぞ」と言う。その言葉に、いじめられっ子のヒロシは…中島悟【原作】「怪物くん」藤子不二雄A  【脚本】西田征史井筒昭雄")</f>
        <v>怪物大王(鹿賀丈史)によって「怪物ランド」から人間界へと、お供のドラキュラ(八嶋智人)、オオカミ男(上島竜兵)、フランケン(チェ・ホンマン)と一緒に真っ逆さまに突き落とされる怪物くん(大野智)。そこに、ボールを探しにやってきた少年、市川ヒロシ(濱田龍臣)が現れた。人間の役に立てば、怪物界に戻れると思った怪物くんはヒロシに「何でも願い事を叶えてやるぞ」と言う。その言葉に、いじめられっ子のヒロシは…中島悟【原作】「怪物くん」藤子不二雄A  【脚本】西田征史井筒昭雄</v>
      </c>
      <c r="O4338" s="2"/>
      <c r="P4338" s="1"/>
      <c r="Q4338" s="1"/>
      <c r="R4338" s="1"/>
      <c r="S4338" s="1"/>
      <c r="T4338" s="1"/>
      <c r="U4338" s="1"/>
      <c r="V4338" s="1"/>
      <c r="W4338" s="1"/>
      <c r="X4338" s="1"/>
      <c r="Y4338" s="1"/>
      <c r="Z4338" s="1"/>
      <c r="AA4338" s="1"/>
      <c r="AB4338" s="1"/>
      <c r="AC4338" s="1"/>
      <c r="AD4338" s="1"/>
      <c r="AE4338" s="1"/>
      <c r="AF4338" s="1"/>
      <c r="AG4338" s="1"/>
      <c r="AH4338" s="1"/>
      <c r="AI4338" s="1"/>
      <c r="AJ4338" s="1"/>
      <c r="AK4338" s="1"/>
      <c r="AL4338" s="1"/>
      <c r="AM4338" s="1"/>
      <c r="AN4338" s="1"/>
      <c r="AO4338" s="1"/>
      <c r="AP4338" s="1"/>
      <c r="AQ4338" s="1"/>
      <c r="AR4338" s="1"/>
      <c r="AS4338" s="1"/>
      <c r="AT4338" s="1"/>
      <c r="AU4338" s="1"/>
      <c r="AV4338" s="1"/>
      <c r="AW4338" s="1"/>
      <c r="AX4338" s="1"/>
      <c r="AY4338" s="1"/>
      <c r="AZ4338" s="1"/>
      <c r="BA4338" s="1"/>
      <c r="BB4338" s="1"/>
    </row>
    <row r="4339" ht="204.75" customHeight="1">
      <c r="A4339" s="1">
        <v>4873.0</v>
      </c>
      <c r="B4339" s="2" t="s">
        <v>12643</v>
      </c>
      <c r="C4339" s="2">
        <f>IFERROR(__xludf.DUMMYFUNCTION("split(B4339,""_"")"),1004.0)</f>
        <v>1004</v>
      </c>
      <c r="D4339" s="2" t="str">
        <f>IFERROR(__xludf.DUMMYFUNCTION("""COMPUTED_VALUE"""),"NTV")</f>
        <v>NTV</v>
      </c>
      <c r="E4339" s="2" t="str">
        <f>IFERROR(__xludf.DUMMYFUNCTION("""COMPUTED_VALUE"""),"土21")</f>
        <v>土21</v>
      </c>
      <c r="F4339" s="2" t="s">
        <v>12644</v>
      </c>
      <c r="G4339" s="2" t="s">
        <v>12647</v>
      </c>
      <c r="H4339" s="1">
        <v>2.0</v>
      </c>
      <c r="J4339" s="1" t="s">
        <v>11</v>
      </c>
      <c r="K4339" s="2" t="s">
        <v>12648</v>
      </c>
      <c r="L4339" s="2"/>
      <c r="M4339" s="2" t="str">
        <f>IFERROR(__xludf.DUMMYFUNCTION("split(split(K4339,""【演出"",false),""ほか"",false)"),"大野智、松岡昌宏、八嶋智人、川島海荷、上島竜兵、チェ・ホンマン、濱田龍臣、三宅弘城、津田寛治、半海一晃、稲森いずみ、鹿賀丈史　")</f>
        <v>大野智、松岡昌宏、八嶋智人、川島海荷、上島竜兵、チェ・ホンマン、濱田龍臣、三宅弘城、津田寛治、半海一晃、稲森いずみ、鹿賀丈史　</v>
      </c>
      <c r="N4339" s="2" t="str">
        <f>IFERROR(__xludf.DUMMYFUNCTION("""COMPUTED_VALUE"""),"“お金”を知らない怪物くんは、ウタコの生活費を勝手に使い大激怒させてしまう。責任を感じてお金を稼ごうとするが失敗の連続。お金が無いので何も買えず、大好物のカレーも作ってもらえず、怪物くんは空腹地獄に!生活費に困ったウタコは、タダでお金が貰えるという怪しい建物に吸い込まれていく。お金を手にしたウタコは何故か徐々に年老いていった…一方、怪物くんは空腹に対抗する為、何もしない作戦を実行するのだが!?中島悟【原作】「怪物くん」藤子不二雄A  【脚本】西田征史【音楽】井筒昭雄")</f>
        <v>“お金”を知らない怪物くんは、ウタコの生活費を勝手に使い大激怒させてしまう。責任を感じてお金を稼ごうとするが失敗の連続。お金が無いので何も買えず、大好物のカレーも作ってもらえず、怪物くんは空腹地獄に!生活費に困ったウタコは、タダでお金が貰えるという怪しい建物に吸い込まれていく。お金を手にしたウタコは何故か徐々に年老いていった…一方、怪物くんは空腹に対抗する為、何もしない作戦を実行するのだが!?中島悟【原作】「怪物くん」藤子不二雄A  【脚本】西田征史【音楽】井筒昭雄</v>
      </c>
      <c r="O4339" s="2"/>
      <c r="P4339" s="1"/>
      <c r="Q4339" s="1"/>
      <c r="R4339" s="1"/>
      <c r="S4339" s="1"/>
      <c r="T4339" s="1"/>
      <c r="U4339" s="1"/>
      <c r="V4339" s="1"/>
      <c r="W4339" s="1"/>
      <c r="X4339" s="1"/>
      <c r="Y4339" s="1"/>
      <c r="Z4339" s="1"/>
      <c r="AA4339" s="1"/>
      <c r="AB4339" s="1"/>
      <c r="AC4339" s="1"/>
      <c r="AD4339" s="1"/>
      <c r="AE4339" s="1"/>
      <c r="AF4339" s="1"/>
      <c r="AG4339" s="1"/>
      <c r="AH4339" s="1"/>
      <c r="AI4339" s="1"/>
      <c r="AJ4339" s="1"/>
      <c r="AK4339" s="1"/>
      <c r="AL4339" s="1"/>
      <c r="AM4339" s="1"/>
      <c r="AN4339" s="1"/>
      <c r="AO4339" s="1"/>
      <c r="AP4339" s="1"/>
      <c r="AQ4339" s="1"/>
      <c r="AR4339" s="1"/>
      <c r="AS4339" s="1"/>
      <c r="AT4339" s="1"/>
      <c r="AU4339" s="1"/>
      <c r="AV4339" s="1"/>
      <c r="AW4339" s="1"/>
      <c r="AX4339" s="1"/>
      <c r="AY4339" s="1"/>
      <c r="AZ4339" s="1"/>
      <c r="BA4339" s="1"/>
      <c r="BB4339" s="1"/>
    </row>
    <row r="4340" ht="204.75" customHeight="1">
      <c r="A4340" s="1">
        <v>4874.0</v>
      </c>
      <c r="B4340" s="2" t="s">
        <v>12643</v>
      </c>
      <c r="C4340" s="2">
        <f>IFERROR(__xludf.DUMMYFUNCTION("split(B4340,""_"")"),1004.0)</f>
        <v>1004</v>
      </c>
      <c r="D4340" s="2" t="str">
        <f>IFERROR(__xludf.DUMMYFUNCTION("""COMPUTED_VALUE"""),"NTV")</f>
        <v>NTV</v>
      </c>
      <c r="E4340" s="2" t="str">
        <f>IFERROR(__xludf.DUMMYFUNCTION("""COMPUTED_VALUE"""),"土21")</f>
        <v>土21</v>
      </c>
      <c r="F4340" s="2" t="s">
        <v>12644</v>
      </c>
      <c r="G4340" s="2" t="s">
        <v>12649</v>
      </c>
      <c r="H4340" s="1">
        <v>3.0</v>
      </c>
      <c r="J4340" s="1" t="s">
        <v>11</v>
      </c>
      <c r="K4340" s="2" t="s">
        <v>12650</v>
      </c>
      <c r="L4340" s="2"/>
      <c r="M4340" s="2" t="str">
        <f>IFERROR(__xludf.DUMMYFUNCTION("split(split(K4340,""【演出"",false),""ほか"",false)"),"大野智、松岡昌宏、八嶋智人、川島海荷、上島竜兵、チェ・ホンマン、濱田龍臣、三宅弘城、津田寛治、半海一晃、稲森いずみ、鹿賀丈史　")</f>
        <v>大野智、松岡昌宏、八嶋智人、川島海荷、上島竜兵、チェ・ホンマン、濱田龍臣、三宅弘城、津田寛治、半海一晃、稲森いずみ、鹿賀丈史　</v>
      </c>
      <c r="N4340" s="2" t="str">
        <f>IFERROR(__xludf.DUMMYFUNCTION("""COMPUTED_VALUE"""),"町内運動会で大活躍する怪物くん。ヒロシといると、封印されている念力が使える!ヒロシは友達だ!と勘違いするが、そんなヒロシに忍び寄る悪魔族の黒い影!一方、魔王石を爺やが怪物くんに渡していた事が大王にばれてしまい、魔王石の返却を迫られるお供3人組だったが、肝心の魔王石が見つからない。石を持っているはずのヒロシも失踪していた。やがて怪物屋敷に届く脅迫文!そして、さらに怪物くんがもう1人現われる!?狩山俊輔【原作】「怪物くん」藤子不二雄A  【脚本】西田征史【音楽】井筒昭雄  【主題歌】「Monster」(ジェイ"&amp;"・ストーム)  【挿入歌】「ユカイツーカイ怪物くん」")</f>
        <v>町内運動会で大活躍する怪物くん。ヒロシといると、封印されている念力が使える!ヒロシは友達だ!と勘違いするが、そんなヒロシに忍び寄る悪魔族の黒い影!一方、魔王石を爺やが怪物くんに渡していた事が大王にばれてしまい、魔王石の返却を迫られるお供3人組だったが、肝心の魔王石が見つからない。石を持っているはずのヒロシも失踪していた。やがて怪物屋敷に届く脅迫文!そして、さらに怪物くんがもう1人現われる!?狩山俊輔【原作】「怪物くん」藤子不二雄A  【脚本】西田征史【音楽】井筒昭雄  【主題歌】「Monster」(ジェイ・ストーム)  【挿入歌】「ユカイツーカイ怪物くん」</v>
      </c>
      <c r="O4340" s="2"/>
      <c r="P4340" s="1"/>
      <c r="Q4340" s="1"/>
      <c r="R4340" s="1"/>
      <c r="S4340" s="1"/>
      <c r="T4340" s="1"/>
      <c r="U4340" s="1"/>
      <c r="V4340" s="1"/>
      <c r="W4340" s="1"/>
      <c r="X4340" s="1"/>
      <c r="Y4340" s="1"/>
      <c r="Z4340" s="1"/>
      <c r="AA4340" s="1"/>
      <c r="AB4340" s="1"/>
      <c r="AC4340" s="1"/>
      <c r="AD4340" s="1"/>
      <c r="AE4340" s="1"/>
      <c r="AF4340" s="1"/>
      <c r="AG4340" s="1"/>
      <c r="AH4340" s="1"/>
      <c r="AI4340" s="1"/>
      <c r="AJ4340" s="1"/>
      <c r="AK4340" s="1"/>
      <c r="AL4340" s="1"/>
      <c r="AM4340" s="1"/>
      <c r="AN4340" s="1"/>
      <c r="AO4340" s="1"/>
      <c r="AP4340" s="1"/>
      <c r="AQ4340" s="1"/>
      <c r="AR4340" s="1"/>
      <c r="AS4340" s="1"/>
      <c r="AT4340" s="1"/>
      <c r="AU4340" s="1"/>
      <c r="AV4340" s="1"/>
      <c r="AW4340" s="1"/>
      <c r="AX4340" s="1"/>
      <c r="AY4340" s="1"/>
      <c r="AZ4340" s="1"/>
      <c r="BA4340" s="1"/>
      <c r="BB4340" s="1"/>
    </row>
    <row r="4341" ht="204.75" customHeight="1">
      <c r="A4341" s="1">
        <v>4875.0</v>
      </c>
      <c r="B4341" s="2" t="s">
        <v>12643</v>
      </c>
      <c r="C4341" s="2">
        <f>IFERROR(__xludf.DUMMYFUNCTION("split(B4341,""_"")"),1004.0)</f>
        <v>1004</v>
      </c>
      <c r="D4341" s="2" t="str">
        <f>IFERROR(__xludf.DUMMYFUNCTION("""COMPUTED_VALUE"""),"NTV")</f>
        <v>NTV</v>
      </c>
      <c r="E4341" s="2" t="str">
        <f>IFERROR(__xludf.DUMMYFUNCTION("""COMPUTED_VALUE"""),"土21")</f>
        <v>土21</v>
      </c>
      <c r="F4341" s="2" t="s">
        <v>12644</v>
      </c>
      <c r="G4341" s="2" t="s">
        <v>12649</v>
      </c>
      <c r="H4341" s="1">
        <v>4.0</v>
      </c>
      <c r="J4341" s="1" t="s">
        <v>11</v>
      </c>
      <c r="K4341" s="2" t="s">
        <v>12651</v>
      </c>
      <c r="L4341" s="2"/>
      <c r="M4341" s="2" t="str">
        <f>IFERROR(__xludf.DUMMYFUNCTION("split(split(K4341,""【演出"",false),""ほか"",false)"),"大野智、松岡昌宏、八嶋智人、川島海荷、上島竜兵、チェ・ホンマン、濱田龍臣、三宅弘城、飯田基祐、福井裕子、佐々木すみ江、半海一晃、稲森いずみ、鹿賀丈史　")</f>
        <v>大野智、松岡昌宏、八嶋智人、川島海荷、上島竜兵、チェ・ホンマン、濱田龍臣、三宅弘城、飯田基祐、福井裕子、佐々木すみ江、半海一晃、稲森いずみ、鹿賀丈史　</v>
      </c>
      <c r="N4341" s="2" t="str">
        <f>IFERROR(__xludf.DUMMYFUNCTION("""COMPUTED_VALUE"""),"お墓参りに行く怪物くん。しかし、退屈すぎる怪物くんは念力を使って手を伸ばし、お供え物を食べてしまう!それを、お年寄りのフミに見られてしまい、今見た事を黙っている代わりに、私の孫になれ!と脅迫される怪物くん。怪物であることがバレると怪物ランドに戻れない怪物くんは、しかたなくフミの孫になることに…　遂に悪魔族デモリーナと直接対決!オトシヨリのお節介に大苦戦する怪物くんが、初めて流す涙とは!?中島悟【原作】「怪物くん」藤子不二雄A  【脚本】西田征史【音楽】井筒昭雄  【主題歌】「Monster」(ジェイ・スト"&amp;"ーム)  【挿入歌】「ユカイツーカイ怪物くん」")</f>
        <v>お墓参りに行く怪物くん。しかし、退屈すぎる怪物くんは念力を使って手を伸ばし、お供え物を食べてしまう!それを、お年寄りのフミに見られてしまい、今見た事を黙っている代わりに、私の孫になれ!と脅迫される怪物くん。怪物であることがバレると怪物ランドに戻れない怪物くんは、しかたなくフミの孫になることに…　遂に悪魔族デモリーナと直接対決!オトシヨリのお節介に大苦戦する怪物くんが、初めて流す涙とは!?中島悟【原作】「怪物くん」藤子不二雄A  【脚本】西田征史【音楽】井筒昭雄  【主題歌】「Monster」(ジェイ・ストーム)  【挿入歌】「ユカイツーカイ怪物くん」</v>
      </c>
      <c r="O4341" s="2"/>
      <c r="P4341" s="1"/>
      <c r="Q4341" s="1"/>
      <c r="R4341" s="1"/>
      <c r="S4341" s="1"/>
      <c r="T4341" s="1"/>
      <c r="U4341" s="1"/>
      <c r="V4341" s="1"/>
      <c r="W4341" s="1"/>
      <c r="X4341" s="1"/>
      <c r="Y4341" s="1"/>
      <c r="Z4341" s="1"/>
      <c r="AA4341" s="1"/>
      <c r="AB4341" s="1"/>
      <c r="AC4341" s="1"/>
      <c r="AD4341" s="1"/>
      <c r="AE4341" s="1"/>
      <c r="AF4341" s="1"/>
      <c r="AG4341" s="1"/>
      <c r="AH4341" s="1"/>
      <c r="AI4341" s="1"/>
      <c r="AJ4341" s="1"/>
      <c r="AK4341" s="1"/>
      <c r="AL4341" s="1"/>
      <c r="AM4341" s="1"/>
      <c r="AN4341" s="1"/>
      <c r="AO4341" s="1"/>
      <c r="AP4341" s="1"/>
      <c r="AQ4341" s="1"/>
      <c r="AR4341" s="1"/>
      <c r="AS4341" s="1"/>
      <c r="AT4341" s="1"/>
      <c r="AU4341" s="1"/>
      <c r="AV4341" s="1"/>
      <c r="AW4341" s="1"/>
      <c r="AX4341" s="1"/>
      <c r="AY4341" s="1"/>
      <c r="AZ4341" s="1"/>
      <c r="BA4341" s="1"/>
      <c r="BB4341" s="1"/>
    </row>
    <row r="4342" ht="204.75" customHeight="1">
      <c r="A4342" s="1">
        <v>4876.0</v>
      </c>
      <c r="B4342" s="2" t="s">
        <v>12643</v>
      </c>
      <c r="C4342" s="2">
        <f>IFERROR(__xludf.DUMMYFUNCTION("split(B4342,""_"")"),1004.0)</f>
        <v>1004</v>
      </c>
      <c r="D4342" s="2" t="str">
        <f>IFERROR(__xludf.DUMMYFUNCTION("""COMPUTED_VALUE"""),"NTV")</f>
        <v>NTV</v>
      </c>
      <c r="E4342" s="2" t="str">
        <f>IFERROR(__xludf.DUMMYFUNCTION("""COMPUTED_VALUE"""),"土21")</f>
        <v>土21</v>
      </c>
      <c r="F4342" s="2" t="s">
        <v>12644</v>
      </c>
      <c r="G4342" s="2" t="s">
        <v>12649</v>
      </c>
      <c r="H4342" s="1">
        <v>5.0</v>
      </c>
      <c r="J4342" s="1" t="s">
        <v>11</v>
      </c>
      <c r="K4342" s="2" t="s">
        <v>12652</v>
      </c>
      <c r="L4342" s="2"/>
      <c r="M4342" s="2" t="str">
        <f>IFERROR(__xludf.DUMMYFUNCTION("split(split(K4342,""【演出"",false),""ほか"",false)"),"大野智、松岡昌宏、八嶋智人、川島海荷、上島竜兵、チェ・ホンマン、濱田龍臣、三宅弘城、飯田基祐、入山法子、半海一晃、稲森いずみ、鹿賀丈史　")</f>
        <v>大野智、松岡昌宏、八嶋智人、川島海荷、上島竜兵、チェ・ホンマン、濱田龍臣、三宅弘城、飯田基祐、入山法子、半海一晃、稲森いずみ、鹿賀丈史　</v>
      </c>
      <c r="N4342" s="2" t="str">
        <f>IFERROR(__xludf.DUMMYFUNCTION("""COMPUTED_VALUE"""),"怪物ランドに戻るには大人になれ!と爺やに言われた怪物くん。恋をすれば大人になれると聞き「教えてくれ!俺に恋を!」と恋のレッスンを申し込む。一方、ドラキュラは病気で視力を失った人間の女性に恋をし、彼女の手術代の為、アルバイトに明け暮れる日々。そんなドラキュラに忍び寄る悪魔族!人間に恋してしまったドラキュラの運命は?遂にデモリーナの過去が明らかに!そして、怪物くんが初めて経験する恋とは!?石尾純【原作】「怪物くん」藤子不二雄A  【脚本】西田征史【音楽】井筒昭雄  【主題歌】「Monster」(ジェイ・ストー"&amp;"ム)  【挿入歌】「ユカイツーカイ怪物くん」")</f>
        <v>怪物ランドに戻るには大人になれ!と爺やに言われた怪物くん。恋をすれば大人になれると聞き「教えてくれ!俺に恋を!」と恋のレッスンを申し込む。一方、ドラキュラは病気で視力を失った人間の女性に恋をし、彼女の手術代の為、アルバイトに明け暮れる日々。そんなドラキュラに忍び寄る悪魔族!人間に恋してしまったドラキュラの運命は?遂にデモリーナの過去が明らかに!そして、怪物くんが初めて経験する恋とは!?石尾純【原作】「怪物くん」藤子不二雄A  【脚本】西田征史【音楽】井筒昭雄  【主題歌】「Monster」(ジェイ・ストーム)  【挿入歌】「ユカイツーカイ怪物くん」</v>
      </c>
      <c r="O4342" s="2"/>
      <c r="P4342" s="1"/>
      <c r="Q4342" s="1"/>
      <c r="R4342" s="1"/>
      <c r="S4342" s="1"/>
      <c r="T4342" s="1"/>
      <c r="U4342" s="1"/>
      <c r="V4342" s="1"/>
      <c r="W4342" s="1"/>
      <c r="X4342" s="1"/>
      <c r="Y4342" s="1"/>
      <c r="Z4342" s="1"/>
      <c r="AA4342" s="1"/>
      <c r="AB4342" s="1"/>
      <c r="AC4342" s="1"/>
      <c r="AD4342" s="1"/>
      <c r="AE4342" s="1"/>
      <c r="AF4342" s="1"/>
      <c r="AG4342" s="1"/>
      <c r="AH4342" s="1"/>
      <c r="AI4342" s="1"/>
      <c r="AJ4342" s="1"/>
      <c r="AK4342" s="1"/>
      <c r="AL4342" s="1"/>
      <c r="AM4342" s="1"/>
      <c r="AN4342" s="1"/>
      <c r="AO4342" s="1"/>
      <c r="AP4342" s="1"/>
      <c r="AQ4342" s="1"/>
      <c r="AR4342" s="1"/>
      <c r="AS4342" s="1"/>
      <c r="AT4342" s="1"/>
      <c r="AU4342" s="1"/>
      <c r="AV4342" s="1"/>
      <c r="AW4342" s="1"/>
      <c r="AX4342" s="1"/>
      <c r="AY4342" s="1"/>
      <c r="AZ4342" s="1"/>
      <c r="BA4342" s="1"/>
      <c r="BB4342" s="1"/>
    </row>
    <row r="4343" ht="204.75" customHeight="1">
      <c r="A4343" s="1">
        <v>4877.0</v>
      </c>
      <c r="B4343" s="2" t="s">
        <v>12643</v>
      </c>
      <c r="C4343" s="2">
        <f>IFERROR(__xludf.DUMMYFUNCTION("split(B4343,""_"")"),1004.0)</f>
        <v>1004</v>
      </c>
      <c r="D4343" s="2" t="str">
        <f>IFERROR(__xludf.DUMMYFUNCTION("""COMPUTED_VALUE"""),"NTV")</f>
        <v>NTV</v>
      </c>
      <c r="E4343" s="2" t="str">
        <f>IFERROR(__xludf.DUMMYFUNCTION("""COMPUTED_VALUE"""),"土21")</f>
        <v>土21</v>
      </c>
      <c r="F4343" s="2" t="s">
        <v>12644</v>
      </c>
      <c r="G4343" s="2" t="s">
        <v>12649</v>
      </c>
      <c r="H4343" s="1">
        <v>6.0</v>
      </c>
      <c r="J4343" s="1" t="s">
        <v>11</v>
      </c>
      <c r="K4343" s="2" t="s">
        <v>12653</v>
      </c>
      <c r="L4343" s="2"/>
      <c r="M4343" s="2" t="str">
        <f>IFERROR(__xludf.DUMMYFUNCTION("split(split(K4343,""【演出"",false),""ほか"",false)"),"大野智、松岡昌宏、八嶋智人、川島海荷、上島竜兵、チェ・ホンマン、濱田龍臣、三宅弘城、飯田基祐、田川涼、上田瑠星、阿部圭吾、吉田真澄、岡田達也、津乃村真子、半海一晃、稲森いずみ、鹿賀丈史　")</f>
        <v>大野智、松岡昌宏、八嶋智人、川島海荷、上島竜兵、チェ・ホンマン、濱田龍臣、三宅弘城、飯田基祐、田川涼、上田瑠星、阿部圭吾、吉田真澄、岡田達也、津乃村真子、半海一晃、稲森いずみ、鹿賀丈史　</v>
      </c>
      <c r="N4343" s="2" t="str">
        <f>IFERROR(__xludf.DUMMYFUNCTION("""COMPUTED_VALUE"""),"「情けない!」人間界でちっとも成長しない怪物くんに苛立つ怪物大王。そんなある日、ウタコが自分の代わりにヒロシの授業参観に出て欲しいと頼んできた。「ヤダよ面倒くさい!」断る怪物くんだったが、坊ちゃんの成長に最適!と考えたお供に説得され「やってやるよ…ヒロシの親!」。怪物くんがヒロシのパパになって大奮闘!心配性の大王が人間界へ?そして、デモリーナがヒロシに迫る!壮絶な親子喧嘩の結末は!?中島悟【原作】「怪物くん」藤子不二雄A  【脚本】西田征史【音楽】井筒昭雄  【主題歌】「Monster」(ジェイ・ストーム"&amp;")  【挿入歌】「ユカイツーカイ怪物くん」")</f>
        <v>「情けない!」人間界でちっとも成長しない怪物くんに苛立つ怪物大王。そんなある日、ウタコが自分の代わりにヒロシの授業参観に出て欲しいと頼んできた。「ヤダよ面倒くさい!」断る怪物くんだったが、坊ちゃんの成長に最適!と考えたお供に説得され「やってやるよ…ヒロシの親!」。怪物くんがヒロシのパパになって大奮闘!心配性の大王が人間界へ?そして、デモリーナがヒロシに迫る!壮絶な親子喧嘩の結末は!?中島悟【原作】「怪物くん」藤子不二雄A  【脚本】西田征史【音楽】井筒昭雄  【主題歌】「Monster」(ジェイ・ストーム)  【挿入歌】「ユカイツーカイ怪物くん」</v>
      </c>
      <c r="O4343" s="2"/>
      <c r="P4343" s="1"/>
      <c r="Q4343" s="1"/>
      <c r="R4343" s="1"/>
      <c r="S4343" s="1"/>
      <c r="T4343" s="1"/>
      <c r="U4343" s="1"/>
      <c r="V4343" s="1"/>
      <c r="W4343" s="1"/>
      <c r="X4343" s="1"/>
      <c r="Y4343" s="1"/>
      <c r="Z4343" s="1"/>
      <c r="AA4343" s="1"/>
      <c r="AB4343" s="1"/>
      <c r="AC4343" s="1"/>
      <c r="AD4343" s="1"/>
      <c r="AE4343" s="1"/>
      <c r="AF4343" s="1"/>
      <c r="AG4343" s="1"/>
      <c r="AH4343" s="1"/>
      <c r="AI4343" s="1"/>
      <c r="AJ4343" s="1"/>
      <c r="AK4343" s="1"/>
      <c r="AL4343" s="1"/>
      <c r="AM4343" s="1"/>
      <c r="AN4343" s="1"/>
      <c r="AO4343" s="1"/>
      <c r="AP4343" s="1"/>
      <c r="AQ4343" s="1"/>
      <c r="AR4343" s="1"/>
      <c r="AS4343" s="1"/>
      <c r="AT4343" s="1"/>
      <c r="AU4343" s="1"/>
      <c r="AV4343" s="1"/>
      <c r="AW4343" s="1"/>
      <c r="AX4343" s="1"/>
      <c r="AY4343" s="1"/>
      <c r="AZ4343" s="1"/>
      <c r="BA4343" s="1"/>
      <c r="BB4343" s="1"/>
    </row>
    <row r="4344" ht="204.75" customHeight="1">
      <c r="A4344" s="1">
        <v>4878.0</v>
      </c>
      <c r="B4344" s="2" t="s">
        <v>12643</v>
      </c>
      <c r="C4344" s="2">
        <f>IFERROR(__xludf.DUMMYFUNCTION("split(B4344,""_"")"),1004.0)</f>
        <v>1004</v>
      </c>
      <c r="D4344" s="2" t="str">
        <f>IFERROR(__xludf.DUMMYFUNCTION("""COMPUTED_VALUE"""),"NTV")</f>
        <v>NTV</v>
      </c>
      <c r="E4344" s="2" t="str">
        <f>IFERROR(__xludf.DUMMYFUNCTION("""COMPUTED_VALUE"""),"土21")</f>
        <v>土21</v>
      </c>
      <c r="F4344" s="2" t="s">
        <v>12644</v>
      </c>
      <c r="G4344" s="2" t="s">
        <v>12649</v>
      </c>
      <c r="H4344" s="1">
        <v>7.0</v>
      </c>
      <c r="J4344" s="1" t="s">
        <v>11</v>
      </c>
      <c r="K4344" s="2" t="s">
        <v>12654</v>
      </c>
      <c r="L4344" s="2"/>
      <c r="M4344" s="2" t="str">
        <f>IFERROR(__xludf.DUMMYFUNCTION("split(split(K4344,""【演出"",false),""ほか"",false)"),"大野智、松岡昌宏、八嶋智人、川島海荷、上島竜兵、チェ・ホンマン、濱田龍臣、三宅弘城、津田寛治、半海一晃、稲森いずみ、鹿賀丈史　")</f>
        <v>大野智、松岡昌宏、八嶋智人、川島海荷、上島竜兵、チェ・ホンマン、濱田龍臣、三宅弘城、津田寛治、半海一晃、稲森いずみ、鹿賀丈史　</v>
      </c>
      <c r="N4344" s="2" t="str">
        <f>IFERROR(__xludf.DUMMYFUNCTION("""COMPUTED_VALUE"""),"お姉ちゃんはケンさんの事が好き!ヒロシの言葉を信じてウタコに告白するフランケンだったが、あっさり振られてしまう。フランケンを傷つけたウタコとヒロシに絶交宣言する怪物くん。自暴自棄になり街で乱闘騒ぎを起こすフランケンを助けたのは、復活したものの記憶を失った悪魔王子デモキンだった!恩を感じた怪物くんはデモキンとの間に友情を育んでいく!?そして遂に、怪物大王から厳しい最終試練が言い渡される!狩山俊輔【原作】「怪物くん」藤子不二雄A  【脚本】西田征史【音楽】井筒昭雄  【主題歌】「Monster」(ジェイ・スト"&amp;"ーム)  【挿入歌】「ユカイツーカイ怪物くん」")</f>
        <v>お姉ちゃんはケンさんの事が好き!ヒロシの言葉を信じてウタコに告白するフランケンだったが、あっさり振られてしまう。フランケンを傷つけたウタコとヒロシに絶交宣言する怪物くん。自暴自棄になり街で乱闘騒ぎを起こすフランケンを助けたのは、復活したものの記憶を失った悪魔王子デモキンだった!恩を感じた怪物くんはデモキンとの間に友情を育んでいく!?そして遂に、怪物大王から厳しい最終試練が言い渡される!狩山俊輔【原作】「怪物くん」藤子不二雄A  【脚本】西田征史【音楽】井筒昭雄  【主題歌】「Monster」(ジェイ・ストーム)  【挿入歌】「ユカイツーカイ怪物くん」</v>
      </c>
      <c r="O4344" s="2"/>
      <c r="P4344" s="1"/>
      <c r="Q4344" s="1"/>
      <c r="R4344" s="1"/>
      <c r="S4344" s="1"/>
      <c r="T4344" s="1"/>
      <c r="U4344" s="1"/>
      <c r="V4344" s="1"/>
      <c r="W4344" s="1"/>
      <c r="X4344" s="1"/>
      <c r="Y4344" s="1"/>
      <c r="Z4344" s="1"/>
      <c r="AA4344" s="1"/>
      <c r="AB4344" s="1"/>
      <c r="AC4344" s="1"/>
      <c r="AD4344" s="1"/>
      <c r="AE4344" s="1"/>
      <c r="AF4344" s="1"/>
      <c r="AG4344" s="1"/>
      <c r="AH4344" s="1"/>
      <c r="AI4344" s="1"/>
      <c r="AJ4344" s="1"/>
      <c r="AK4344" s="1"/>
      <c r="AL4344" s="1"/>
      <c r="AM4344" s="1"/>
      <c r="AN4344" s="1"/>
      <c r="AO4344" s="1"/>
      <c r="AP4344" s="1"/>
      <c r="AQ4344" s="1"/>
      <c r="AR4344" s="1"/>
      <c r="AS4344" s="1"/>
      <c r="AT4344" s="1"/>
      <c r="AU4344" s="1"/>
      <c r="AV4344" s="1"/>
      <c r="AW4344" s="1"/>
      <c r="AX4344" s="1"/>
      <c r="AY4344" s="1"/>
      <c r="AZ4344" s="1"/>
      <c r="BA4344" s="1"/>
      <c r="BB4344" s="1"/>
    </row>
    <row r="4345" ht="204.75" customHeight="1">
      <c r="A4345" s="1">
        <v>4879.0</v>
      </c>
      <c r="B4345" s="2" t="s">
        <v>12643</v>
      </c>
      <c r="C4345" s="2">
        <f>IFERROR(__xludf.DUMMYFUNCTION("split(B4345,""_"")"),1004.0)</f>
        <v>1004</v>
      </c>
      <c r="D4345" s="2" t="str">
        <f>IFERROR(__xludf.DUMMYFUNCTION("""COMPUTED_VALUE"""),"NTV")</f>
        <v>NTV</v>
      </c>
      <c r="E4345" s="2" t="str">
        <f>IFERROR(__xludf.DUMMYFUNCTION("""COMPUTED_VALUE"""),"土21")</f>
        <v>土21</v>
      </c>
      <c r="F4345" s="2" t="s">
        <v>12644</v>
      </c>
      <c r="G4345" s="2" t="s">
        <v>12649</v>
      </c>
      <c r="H4345" s="1">
        <v>8.0</v>
      </c>
      <c r="J4345" s="1" t="s">
        <v>11</v>
      </c>
      <c r="K4345" s="2" t="s">
        <v>12655</v>
      </c>
      <c r="L4345" s="2"/>
      <c r="M4345" s="2" t="str">
        <f>IFERROR(__xludf.DUMMYFUNCTION("split(split(K4345,""【演出"",false),""ほか"",false)"),"大野智、松岡昌宏、八嶋智人、川島海荷、上島竜兵、チェ・ホンマン、濱田龍臣、飯田基祐、吉田真澄、半海一晃、稲森いずみ、鹿賀丈史　")</f>
        <v>大野智、松岡昌宏、八嶋智人、川島海荷、上島竜兵、チェ・ホンマン、濱田龍臣、飯田基祐、吉田真澄、半海一晃、稲森いずみ、鹿賀丈史　</v>
      </c>
      <c r="N4345" s="2" t="str">
        <f>IFERROR(__xludf.DUMMYFUNCTION("""COMPUTED_VALUE"""),"記憶を取り戻したデモキンは百年前に自分を封印した怪物大王へ復讐を果すため、魔王石の奪還を決意する。魔王石がある怪物界への入口を聞こうと、怪物くんをキャンプに誘い出す!策略とは知らずキャンプを楽しむ怪物くんだったが、悪魔族が現れ誘拐されてしまう!計算外の事態に驚くデモキンだったが、この期に乗じて怪物くんとの距離を更に縮めようと、自らも悪魔族の手に!デモキンの復讐劇は成功するのか?怪物くんの運命は?!石尾純【原作】「怪物くん」藤子不二雄A  【脚本】西田征史【音楽】井筒昭雄  【主題歌】「Monster」(ジ"&amp;"ェイ・ストーム)  【挿入歌】「ユカイツーカイ怪物くん」")</f>
        <v>記憶を取り戻したデモキンは百年前に自分を封印した怪物大王へ復讐を果すため、魔王石の奪還を決意する。魔王石がある怪物界への入口を聞こうと、怪物くんをキャンプに誘い出す!策略とは知らずキャンプを楽しむ怪物くんだったが、悪魔族が現れ誘拐されてしまう!計算外の事態に驚くデモキンだったが、この期に乗じて怪物くんとの距離を更に縮めようと、自らも悪魔族の手に!デモキンの復讐劇は成功するのか?怪物くんの運命は?!石尾純【原作】「怪物くん」藤子不二雄A  【脚本】西田征史【音楽】井筒昭雄  【主題歌】「Monster」(ジェイ・ストーム)  【挿入歌】「ユカイツーカイ怪物くん」</v>
      </c>
      <c r="O4345" s="2"/>
      <c r="P4345" s="1"/>
      <c r="Q4345" s="1"/>
      <c r="R4345" s="1"/>
      <c r="S4345" s="1"/>
      <c r="T4345" s="1"/>
      <c r="U4345" s="1"/>
      <c r="V4345" s="1"/>
      <c r="W4345" s="1"/>
      <c r="X4345" s="1"/>
      <c r="Y4345" s="1"/>
      <c r="Z4345" s="1"/>
      <c r="AA4345" s="1"/>
      <c r="AB4345" s="1"/>
      <c r="AC4345" s="1"/>
      <c r="AD4345" s="1"/>
      <c r="AE4345" s="1"/>
      <c r="AF4345" s="1"/>
      <c r="AG4345" s="1"/>
      <c r="AH4345" s="1"/>
      <c r="AI4345" s="1"/>
      <c r="AJ4345" s="1"/>
      <c r="AK4345" s="1"/>
      <c r="AL4345" s="1"/>
      <c r="AM4345" s="1"/>
      <c r="AN4345" s="1"/>
      <c r="AO4345" s="1"/>
      <c r="AP4345" s="1"/>
      <c r="AQ4345" s="1"/>
      <c r="AR4345" s="1"/>
      <c r="AS4345" s="1"/>
      <c r="AT4345" s="1"/>
      <c r="AU4345" s="1"/>
      <c r="AV4345" s="1"/>
      <c r="AW4345" s="1"/>
      <c r="AX4345" s="1"/>
      <c r="AY4345" s="1"/>
      <c r="AZ4345" s="1"/>
      <c r="BA4345" s="1"/>
      <c r="BB4345" s="1"/>
    </row>
    <row r="4346" ht="204.75" customHeight="1">
      <c r="A4346" s="1">
        <v>4880.0</v>
      </c>
      <c r="B4346" s="2" t="s">
        <v>12643</v>
      </c>
      <c r="C4346" s="2">
        <f>IFERROR(__xludf.DUMMYFUNCTION("split(B4346,""_"")"),1004.0)</f>
        <v>1004</v>
      </c>
      <c r="D4346" s="2" t="str">
        <f>IFERROR(__xludf.DUMMYFUNCTION("""COMPUTED_VALUE"""),"NTV")</f>
        <v>NTV</v>
      </c>
      <c r="E4346" s="2" t="str">
        <f>IFERROR(__xludf.DUMMYFUNCTION("""COMPUTED_VALUE"""),"土21")</f>
        <v>土21</v>
      </c>
      <c r="F4346" s="2" t="s">
        <v>12644</v>
      </c>
      <c r="G4346" s="2" t="s">
        <v>12656</v>
      </c>
      <c r="H4346" s="1">
        <v>9.0</v>
      </c>
      <c r="J4346" s="1" t="s">
        <v>4</v>
      </c>
      <c r="K4346" s="2" t="s">
        <v>12657</v>
      </c>
      <c r="L4346" s="2"/>
      <c r="M4346" s="2" t="str">
        <f>IFERROR(__xludf.DUMMYFUNCTION("split(split(K4346,""【演出"",false),""ほか"",false)"),"大野智、松岡昌宏、八嶋智人、川島海荷、上島竜兵、チェ・ホンマン、濱田龍臣、三宅弘城、田川涼、上田瑠星、阿部圭吾、吉田真澄、ヨシダ朝、累央、半海一晃、稲森いずみ、鹿賀丈史　")</f>
        <v>大野智、松岡昌宏、八嶋智人、川島海荷、上島竜兵、チェ・ホンマン、濱田龍臣、三宅弘城、田川涼、上田瑠星、阿部圭吾、吉田真澄、ヨシダ朝、累央、半海一晃、稲森いずみ、鹿賀丈史　</v>
      </c>
      <c r="N4346" s="2" t="str">
        <f>IFERROR(__xludf.DUMMYFUNCTION("""COMPUTED_VALUE"""),"怪物大王から魔王石を奪還したデモキンは、世界征服という壮大な野望を達成しようとしていた!「降参する!」デモキンと争う事に恐怖を感じた怪物くんは、仲良くしよう!と懇願する。しかし、そんな怪物くんにデモキンは「人間界と怪物界、救いたい方を選べ!」と究極の選択を迫る!果たして怪物くんはどちらの世界を選ぶのか?怒涛の最終回!世界の運命は怪物くんにゆだねられた!そして、最後に永遠の別れがまっている!?中島悟【原作】「怪物くん」藤子不二雄A  【脚本】西田征史【音楽】井筒昭雄  【主題歌】「Monster」(ジェイ・"&amp;"ストーム)  【挿入歌】「ユカイツーカイ怪物くん」")</f>
        <v>怪物大王から魔王石を奪還したデモキンは、世界征服という壮大な野望を達成しようとしていた!「降参する!」デモキンと争う事に恐怖を感じた怪物くんは、仲良くしよう!と懇願する。しかし、そんな怪物くんにデモキンは「人間界と怪物界、救いたい方を選べ!」と究極の選択を迫る!果たして怪物くんはどちらの世界を選ぶのか?怒涛の最終回!世界の運命は怪物くんにゆだねられた!そして、最後に永遠の別れがまっている!?中島悟【原作】「怪物くん」藤子不二雄A  【脚本】西田征史【音楽】井筒昭雄  【主題歌】「Monster」(ジェイ・ストーム)  【挿入歌】「ユカイツーカイ怪物くん」</v>
      </c>
      <c r="O4346" s="2"/>
      <c r="P4346" s="1"/>
      <c r="Q4346" s="1"/>
      <c r="R4346" s="1"/>
      <c r="S4346" s="1"/>
      <c r="T4346" s="1"/>
      <c r="U4346" s="1"/>
      <c r="V4346" s="1"/>
      <c r="W4346" s="1"/>
      <c r="X4346" s="1"/>
      <c r="Y4346" s="1"/>
      <c r="Z4346" s="1"/>
      <c r="AA4346" s="1"/>
      <c r="AB4346" s="1"/>
      <c r="AC4346" s="1"/>
      <c r="AD4346" s="1"/>
      <c r="AE4346" s="1"/>
      <c r="AF4346" s="1"/>
      <c r="AG4346" s="1"/>
      <c r="AH4346" s="1"/>
      <c r="AI4346" s="1"/>
      <c r="AJ4346" s="1"/>
      <c r="AK4346" s="1"/>
      <c r="AL4346" s="1"/>
      <c r="AM4346" s="1"/>
      <c r="AN4346" s="1"/>
      <c r="AO4346" s="1"/>
      <c r="AP4346" s="1"/>
      <c r="AQ4346" s="1"/>
      <c r="AR4346" s="1"/>
      <c r="AS4346" s="1"/>
      <c r="AT4346" s="1"/>
      <c r="AU4346" s="1"/>
      <c r="AV4346" s="1"/>
      <c r="AW4346" s="1"/>
      <c r="AX4346" s="1"/>
      <c r="AY4346" s="1"/>
      <c r="AZ4346" s="1"/>
      <c r="BA4346" s="1"/>
      <c r="BB4346" s="1"/>
    </row>
    <row r="4347" ht="204.75" customHeight="1">
      <c r="A4347" s="1">
        <v>4881.0</v>
      </c>
      <c r="B4347" s="2" t="s">
        <v>12643</v>
      </c>
      <c r="C4347" s="2">
        <f>IFERROR(__xludf.DUMMYFUNCTION("split(B4347,""_"")"),1004.0)</f>
        <v>1004</v>
      </c>
      <c r="D4347" s="2" t="str">
        <f>IFERROR(__xludf.DUMMYFUNCTION("""COMPUTED_VALUE"""),"NTV")</f>
        <v>NTV</v>
      </c>
      <c r="E4347" s="2" t="str">
        <f>IFERROR(__xludf.DUMMYFUNCTION("""COMPUTED_VALUE"""),"土21")</f>
        <v>土21</v>
      </c>
      <c r="F4347" s="2" t="s">
        <v>12644</v>
      </c>
      <c r="G4347" s="2" t="s">
        <v>12658</v>
      </c>
      <c r="H4347" s="1">
        <v>10.0</v>
      </c>
      <c r="J4347" s="1" t="s">
        <v>4</v>
      </c>
      <c r="K4347" s="2" t="s">
        <v>12659</v>
      </c>
      <c r="L4347" s="2"/>
      <c r="M4347" s="2" t="str">
        <f>IFERROR(__xludf.DUMMYFUNCTION("split(split(K4347,""【演出"",false),""ほか"",false)"),"大野智、八嶋智人、川島海荷、上島竜兵、チェ・ホンマン、濱田龍臣、三宅弘城、半海一晃、石井萌々果、藤子不二雄A、ベッキーヒロシやウタコと別れ、怪物ランドに戻ってしまった怪物くん。しかし!みんなのヒーロー怪物くんが、もう帰ってきました!しかも!よくある総集編ではなく、全てが新作!  オリジナルショートドラマが3本!待ちに待ったあのゲストが登場!「カイカイ体操」をみんなでダンス!怪物くんの魅力がぎっしり詰まった90分!ご家族皆さんで、是非ご覧下さい!!見のがしたら・・・これはマズイね!!石尾純、狩山俊輔、松岡昌"&amp;"宏西田征史【音楽】井筒昭雄  【主題歌】嵐【制作協力】オフィスクレッシェンド、AXON  【制作著作】日本テレビ")</f>
        <v>大野智、八嶋智人、川島海荷、上島竜兵、チェ・ホンマン、濱田龍臣、三宅弘城、半海一晃、石井萌々果、藤子不二雄A、ベッキーヒロシやウタコと別れ、怪物ランドに戻ってしまった怪物くん。しかし!みんなのヒーロー怪物くんが、もう帰ってきました!しかも!よくある総集編ではなく、全てが新作!  オリジナルショートドラマが3本!待ちに待ったあのゲストが登場!「カイカイ体操」をみんなでダンス!怪物くんの魅力がぎっしり詰まった90分!ご家族皆さんで、是非ご覧下さい!!見のがしたら・・・これはマズイね!!石尾純、狩山俊輔、松岡昌宏西田征史【音楽】井筒昭雄  【主題歌】嵐【制作協力】オフィスクレッシェンド、AXON  【制作著作】日本テレビ</v>
      </c>
      <c r="N4347" s="2"/>
      <c r="O4347" s="2"/>
      <c r="P4347" s="1"/>
      <c r="Q4347" s="1"/>
      <c r="R4347" s="1"/>
      <c r="S4347" s="1"/>
      <c r="T4347" s="1"/>
      <c r="U4347" s="1"/>
      <c r="V4347" s="1"/>
      <c r="W4347" s="1"/>
      <c r="X4347" s="1"/>
      <c r="Y4347" s="1"/>
      <c r="Z4347" s="1"/>
      <c r="AA4347" s="1"/>
      <c r="AB4347" s="1"/>
      <c r="AC4347" s="1"/>
      <c r="AD4347" s="1"/>
      <c r="AE4347" s="1"/>
      <c r="AF4347" s="1"/>
      <c r="AG4347" s="1"/>
      <c r="AH4347" s="1"/>
      <c r="AI4347" s="1"/>
      <c r="AJ4347" s="1"/>
      <c r="AK4347" s="1"/>
      <c r="AL4347" s="1"/>
      <c r="AM4347" s="1"/>
      <c r="AN4347" s="1"/>
      <c r="AO4347" s="1"/>
      <c r="AP4347" s="1"/>
      <c r="AQ4347" s="1"/>
      <c r="AR4347" s="1"/>
      <c r="AS4347" s="1"/>
      <c r="AT4347" s="1"/>
      <c r="AU4347" s="1"/>
      <c r="AV4347" s="1"/>
      <c r="AW4347" s="1"/>
      <c r="AX4347" s="1"/>
      <c r="AY4347" s="1"/>
      <c r="AZ4347" s="1"/>
      <c r="BA4347" s="1"/>
      <c r="BB4347" s="1"/>
    </row>
    <row r="4348" ht="204.75" customHeight="1">
      <c r="A4348" s="1">
        <v>4910.0</v>
      </c>
      <c r="B4348" s="2" t="s">
        <v>12660</v>
      </c>
      <c r="C4348" s="2">
        <f>IFERROR(__xludf.DUMMYFUNCTION("split(B4348,""_"")"),1001.0)</f>
        <v>1001</v>
      </c>
      <c r="D4348" s="2" t="str">
        <f>IFERROR(__xludf.DUMMYFUNCTION("""COMPUTED_VALUE"""),"NTV")</f>
        <v>NTV</v>
      </c>
      <c r="E4348" s="2" t="str">
        <f>IFERROR(__xludf.DUMMYFUNCTION("""COMPUTED_VALUE"""),"水22")</f>
        <v>水22</v>
      </c>
      <c r="F4348" s="2" t="s">
        <v>12661</v>
      </c>
      <c r="G4348" s="2" t="s">
        <v>12662</v>
      </c>
      <c r="H4348" s="1">
        <v>1.0</v>
      </c>
      <c r="J4348" s="1" t="s">
        <v>82</v>
      </c>
      <c r="K4348" s="2" t="s">
        <v>12663</v>
      </c>
      <c r="L4348" s="2"/>
      <c r="M4348" s="2" t="str">
        <f>IFERROR(__xludf.DUMMYFUNCTION("split(split(K4348,""【演出"",false),""ほか"",false)"),"菅野美穂、谷原章介、塚本高史、朝加真由美、西岡徳馬、永作博美　(他)荻原早紀、32歳、独身。法律事務所でバイトをしながら司法試験を目指しているが9年も惨敗中。周りは「あきらめて結婚しろ」と勧めるが、彼女は信念を持ち、物事すべてをきちんとしないと気が済まない“曲げられない女”だった。  そんな早紀だが、高校の同級生でセレブな主婦の璃子との再会、恋人の弁護士・正登からのプロポーズ、「結婚に夢を持つな」という光輝との出会いで、曲げられなかった自分の道に迷いを持ち始め…")</f>
        <v>菅野美穂、谷原章介、塚本高史、朝加真由美、西岡徳馬、永作博美　(他)荻原早紀、32歳、独身。法律事務所でバイトをしながら司法試験を目指しているが9年も惨敗中。周りは「あきらめて結婚しろ」と勧めるが、彼女は信念を持ち、物事すべてをきちんとしないと気が済まない“曲げられない女”だった。  そんな早紀だが、高校の同級生でセレブな主婦の璃子との再会、恋人の弁護士・正登からのプロポーズ、「結婚に夢を持つな」という光輝との出会いで、曲げられなかった自分の道に迷いを持ち始め…</v>
      </c>
      <c r="N4348" s="2"/>
      <c r="O4348" s="2"/>
      <c r="P4348" s="1"/>
      <c r="Q4348" s="1"/>
      <c r="R4348" s="1"/>
      <c r="S4348" s="1"/>
      <c r="T4348" s="1"/>
      <c r="U4348" s="1"/>
      <c r="V4348" s="1"/>
      <c r="W4348" s="1"/>
      <c r="X4348" s="1"/>
      <c r="Y4348" s="1"/>
      <c r="Z4348" s="1"/>
      <c r="AA4348" s="1"/>
      <c r="AB4348" s="1"/>
      <c r="AC4348" s="1"/>
      <c r="AD4348" s="1"/>
      <c r="AE4348" s="1"/>
      <c r="AF4348" s="1"/>
      <c r="AG4348" s="1"/>
      <c r="AH4348" s="1"/>
      <c r="AI4348" s="1"/>
      <c r="AJ4348" s="1"/>
      <c r="AK4348" s="1"/>
      <c r="AL4348" s="1"/>
      <c r="AM4348" s="1"/>
      <c r="AN4348" s="1"/>
      <c r="AO4348" s="1"/>
      <c r="AP4348" s="1"/>
      <c r="AQ4348" s="1"/>
      <c r="AR4348" s="1"/>
      <c r="AS4348" s="1"/>
      <c r="AT4348" s="1"/>
      <c r="AU4348" s="1"/>
      <c r="AV4348" s="1"/>
      <c r="AW4348" s="1"/>
      <c r="AX4348" s="1"/>
      <c r="AY4348" s="1"/>
      <c r="AZ4348" s="1"/>
      <c r="BA4348" s="1"/>
      <c r="BB4348" s="1"/>
    </row>
    <row r="4349" ht="204.75" customHeight="1">
      <c r="A4349" s="1">
        <v>4911.0</v>
      </c>
      <c r="B4349" s="2" t="s">
        <v>12660</v>
      </c>
      <c r="C4349" s="2">
        <f>IFERROR(__xludf.DUMMYFUNCTION("split(B4349,""_"")"),1001.0)</f>
        <v>1001</v>
      </c>
      <c r="D4349" s="2" t="str">
        <f>IFERROR(__xludf.DUMMYFUNCTION("""COMPUTED_VALUE"""),"NTV")</f>
        <v>NTV</v>
      </c>
      <c r="E4349" s="2" t="str">
        <f>IFERROR(__xludf.DUMMYFUNCTION("""COMPUTED_VALUE"""),"水22")</f>
        <v>水22</v>
      </c>
      <c r="F4349" s="2" t="s">
        <v>12661</v>
      </c>
      <c r="G4349" s="2" t="s">
        <v>12662</v>
      </c>
      <c r="H4349" s="1">
        <v>2.0</v>
      </c>
      <c r="J4349" s="1" t="s">
        <v>86</v>
      </c>
      <c r="K4349" s="2" t="s">
        <v>12664</v>
      </c>
      <c r="L4349" s="2"/>
      <c r="M4349" s="2" t="str">
        <f>IFERROR(__xludf.DUMMYFUNCTION("split(split(K4349,""【演出"",false),""ほか"",false)"),"菅野美穂、谷原章介、塚本高史、朝加真由美、西岡徳馬、永作博美　(他)プロポーズを断っても仕事仲間としての関係は変わらないという正登にほっとする早紀。一緒に出勤すると、正登の元同級生が相談に来て、会社を不当解雇されたと話す。そんなとき、早紀は財布をなくしてしまい、貯金残高もなく、ギリギリの生活を送る羽目になる。空腹を抑えつつ、正登とともに彼の同級生を救おうとする早紀だが、上司からなぜかこの客は断るように言われる。逆らって会社をクビになれば、更に生活は苦しくなるが…")</f>
        <v>菅野美穂、谷原章介、塚本高史、朝加真由美、西岡徳馬、永作博美　(他)プロポーズを断っても仕事仲間としての関係は変わらないという正登にほっとする早紀。一緒に出勤すると、正登の元同級生が相談に来て、会社を不当解雇されたと話す。そんなとき、早紀は財布をなくしてしまい、貯金残高もなく、ギリギリの生活を送る羽目になる。空腹を抑えつつ、正登とともに彼の同級生を救おうとする早紀だが、上司からなぜかこの客は断るように言われる。逆らって会社をクビになれば、更に生活は苦しくなるが…</v>
      </c>
      <c r="N4349" s="2"/>
      <c r="O4349" s="2"/>
      <c r="P4349" s="1"/>
      <c r="Q4349" s="1"/>
      <c r="R4349" s="1"/>
      <c r="S4349" s="1"/>
      <c r="T4349" s="1"/>
      <c r="U4349" s="1"/>
      <c r="V4349" s="1"/>
      <c r="W4349" s="1"/>
      <c r="X4349" s="1"/>
      <c r="Y4349" s="1"/>
      <c r="Z4349" s="1"/>
      <c r="AA4349" s="1"/>
      <c r="AB4349" s="1"/>
      <c r="AC4349" s="1"/>
      <c r="AD4349" s="1"/>
      <c r="AE4349" s="1"/>
      <c r="AF4349" s="1"/>
      <c r="AG4349" s="1"/>
      <c r="AH4349" s="1"/>
      <c r="AI4349" s="1"/>
      <c r="AJ4349" s="1"/>
      <c r="AK4349" s="1"/>
      <c r="AL4349" s="1"/>
      <c r="AM4349" s="1"/>
      <c r="AN4349" s="1"/>
      <c r="AO4349" s="1"/>
      <c r="AP4349" s="1"/>
      <c r="AQ4349" s="1"/>
      <c r="AR4349" s="1"/>
      <c r="AS4349" s="1"/>
      <c r="AT4349" s="1"/>
      <c r="AU4349" s="1"/>
      <c r="AV4349" s="1"/>
      <c r="AW4349" s="1"/>
      <c r="AX4349" s="1"/>
      <c r="AY4349" s="1"/>
      <c r="AZ4349" s="1"/>
      <c r="BA4349" s="1"/>
      <c r="BB4349" s="1"/>
    </row>
    <row r="4350" ht="204.75" customHeight="1">
      <c r="A4350" s="1">
        <v>4912.0</v>
      </c>
      <c r="B4350" s="2" t="s">
        <v>12660</v>
      </c>
      <c r="C4350" s="2">
        <f>IFERROR(__xludf.DUMMYFUNCTION("split(B4350,""_"")"),1001.0)</f>
        <v>1001</v>
      </c>
      <c r="D4350" s="2" t="str">
        <f>IFERROR(__xludf.DUMMYFUNCTION("""COMPUTED_VALUE"""),"NTV")</f>
        <v>NTV</v>
      </c>
      <c r="E4350" s="2" t="str">
        <f>IFERROR(__xludf.DUMMYFUNCTION("""COMPUTED_VALUE"""),"水22")</f>
        <v>水22</v>
      </c>
      <c r="F4350" s="2" t="s">
        <v>12661</v>
      </c>
      <c r="G4350" s="2" t="s">
        <v>12662</v>
      </c>
      <c r="H4350" s="1">
        <v>3.0</v>
      </c>
      <c r="J4350" s="1" t="s">
        <v>86</v>
      </c>
      <c r="K4350" s="2" t="s">
        <v>12665</v>
      </c>
      <c r="L4350" s="2"/>
      <c r="M4350" s="2" t="str">
        <f>IFERROR(__xludf.DUMMYFUNCTION("split(split(K4350,""【演出"",false),""ほか"",false)"),"菅野美穂、谷原章介、塚本高史、朝加真由美、永作博美　(他)母が再び倒れ、帰郷した早紀。教師をする母は、生徒たちに会いたいと学校に行こうとする。絶対安静と医師から言われた早紀は母を止めようとするが、母は考えを曲げない。死を覚悟した母は「我死すとも、いいとも」という辞世の句を詠むが、早紀はその意味を理解できず、母の覚悟も受け入れられず悩む。そんな折、早紀のもとに璃子と光輝が訪れ、娘として母にどうしてやりたいのかと問う。自分の本心は何かと考えた早紀は…")</f>
        <v>菅野美穂、谷原章介、塚本高史、朝加真由美、永作博美　(他)母が再び倒れ、帰郷した早紀。教師をする母は、生徒たちに会いたいと学校に行こうとする。絶対安静と医師から言われた早紀は母を止めようとするが、母は考えを曲げない。死を覚悟した母は「我死すとも、いいとも」という辞世の句を詠むが、早紀はその意味を理解できず、母の覚悟も受け入れられず悩む。そんな折、早紀のもとに璃子と光輝が訪れ、娘として母にどうしてやりたいのかと問う。自分の本心は何かと考えた早紀は…</v>
      </c>
      <c r="N4350" s="2"/>
      <c r="O4350" s="2"/>
      <c r="P4350" s="1"/>
      <c r="Q4350" s="1"/>
      <c r="R4350" s="1"/>
      <c r="S4350" s="1"/>
      <c r="T4350" s="1"/>
      <c r="U4350" s="1"/>
      <c r="V4350" s="1"/>
      <c r="W4350" s="1"/>
      <c r="X4350" s="1"/>
      <c r="Y4350" s="1"/>
      <c r="Z4350" s="1"/>
      <c r="AA4350" s="1"/>
      <c r="AB4350" s="1"/>
      <c r="AC4350" s="1"/>
      <c r="AD4350" s="1"/>
      <c r="AE4350" s="1"/>
      <c r="AF4350" s="1"/>
      <c r="AG4350" s="1"/>
      <c r="AH4350" s="1"/>
      <c r="AI4350" s="1"/>
      <c r="AJ4350" s="1"/>
      <c r="AK4350" s="1"/>
      <c r="AL4350" s="1"/>
      <c r="AM4350" s="1"/>
      <c r="AN4350" s="1"/>
      <c r="AO4350" s="1"/>
      <c r="AP4350" s="1"/>
      <c r="AQ4350" s="1"/>
      <c r="AR4350" s="1"/>
      <c r="AS4350" s="1"/>
      <c r="AT4350" s="1"/>
      <c r="AU4350" s="1"/>
      <c r="AV4350" s="1"/>
      <c r="AW4350" s="1"/>
      <c r="AX4350" s="1"/>
      <c r="AY4350" s="1"/>
      <c r="AZ4350" s="1"/>
      <c r="BA4350" s="1"/>
      <c r="BB4350" s="1"/>
    </row>
    <row r="4351" ht="204.75" customHeight="1">
      <c r="A4351" s="1">
        <v>4913.0</v>
      </c>
      <c r="B4351" s="2" t="s">
        <v>12660</v>
      </c>
      <c r="C4351" s="2">
        <f>IFERROR(__xludf.DUMMYFUNCTION("split(B4351,""_"")"),1001.0)</f>
        <v>1001</v>
      </c>
      <c r="D4351" s="2" t="str">
        <f>IFERROR(__xludf.DUMMYFUNCTION("""COMPUTED_VALUE"""),"NTV")</f>
        <v>NTV</v>
      </c>
      <c r="E4351" s="2" t="str">
        <f>IFERROR(__xludf.DUMMYFUNCTION("""COMPUTED_VALUE"""),"水22")</f>
        <v>水22</v>
      </c>
      <c r="F4351" s="2" t="s">
        <v>12661</v>
      </c>
      <c r="G4351" s="2" t="s">
        <v>12662</v>
      </c>
      <c r="H4351" s="1">
        <v>4.0</v>
      </c>
      <c r="J4351" s="1" t="s">
        <v>86</v>
      </c>
      <c r="K4351" s="2" t="s">
        <v>12666</v>
      </c>
      <c r="L4351" s="2"/>
      <c r="M4351" s="2" t="str">
        <f>IFERROR(__xludf.DUMMYFUNCTION("split(split(K4351,""【演出"",false),""ほか"",false)"),"菅野美穂、谷原章介、塚本高史、永作博美　(他)母を亡くし、司法試験に合格しても喜んでくれる人がいなくなったことから、早紀は生きる気力を失って家にこもり、塞ぎこむ。それを見つけた璃子は光輝とともにあの手この手で早紀を元気付けようとするが、早紀はなかなか元に戻らない。璃子は正登にも早紀の窮状を伝えてしまい、早紀の家を訪れた正登は光輝と喧嘩になってしまう。さらに正登は早紀を、二人の卒業した大学の思い出の場所に誘い出す。そこで早紀の見たものは…")</f>
        <v>菅野美穂、谷原章介、塚本高史、永作博美　(他)母を亡くし、司法試験に合格しても喜んでくれる人がいなくなったことから、早紀は生きる気力を失って家にこもり、塞ぎこむ。それを見つけた璃子は光輝とともにあの手この手で早紀を元気付けようとするが、早紀はなかなか元に戻らない。璃子は正登にも早紀の窮状を伝えてしまい、早紀の家を訪れた正登は光輝と喧嘩になってしまう。さらに正登は早紀を、二人の卒業した大学の思い出の場所に誘い出す。そこで早紀の見たものは…</v>
      </c>
      <c r="N4351" s="2"/>
      <c r="O4351" s="2"/>
      <c r="P4351" s="1"/>
      <c r="Q4351" s="1"/>
      <c r="R4351" s="1"/>
      <c r="S4351" s="1"/>
      <c r="T4351" s="1"/>
      <c r="U4351" s="1"/>
      <c r="V4351" s="1"/>
      <c r="W4351" s="1"/>
      <c r="X4351" s="1"/>
      <c r="Y4351" s="1"/>
      <c r="Z4351" s="1"/>
      <c r="AA4351" s="1"/>
      <c r="AB4351" s="1"/>
      <c r="AC4351" s="1"/>
      <c r="AD4351" s="1"/>
      <c r="AE4351" s="1"/>
      <c r="AF4351" s="1"/>
      <c r="AG4351" s="1"/>
      <c r="AH4351" s="1"/>
      <c r="AI4351" s="1"/>
      <c r="AJ4351" s="1"/>
      <c r="AK4351" s="1"/>
      <c r="AL4351" s="1"/>
      <c r="AM4351" s="1"/>
      <c r="AN4351" s="1"/>
      <c r="AO4351" s="1"/>
      <c r="AP4351" s="1"/>
      <c r="AQ4351" s="1"/>
      <c r="AR4351" s="1"/>
      <c r="AS4351" s="1"/>
      <c r="AT4351" s="1"/>
      <c r="AU4351" s="1"/>
      <c r="AV4351" s="1"/>
      <c r="AW4351" s="1"/>
      <c r="AX4351" s="1"/>
      <c r="AY4351" s="1"/>
      <c r="AZ4351" s="1"/>
      <c r="BA4351" s="1"/>
      <c r="BB4351" s="1"/>
    </row>
    <row r="4352" ht="204.75" customHeight="1">
      <c r="A4352" s="1">
        <v>4914.0</v>
      </c>
      <c r="B4352" s="2" t="s">
        <v>12660</v>
      </c>
      <c r="C4352" s="2">
        <f>IFERROR(__xludf.DUMMYFUNCTION("split(B4352,""_"")"),1001.0)</f>
        <v>1001</v>
      </c>
      <c r="D4352" s="2" t="str">
        <f>IFERROR(__xludf.DUMMYFUNCTION("""COMPUTED_VALUE"""),"NTV")</f>
        <v>NTV</v>
      </c>
      <c r="E4352" s="2" t="str">
        <f>IFERROR(__xludf.DUMMYFUNCTION("""COMPUTED_VALUE"""),"水22")</f>
        <v>水22</v>
      </c>
      <c r="F4352" s="2" t="s">
        <v>12661</v>
      </c>
      <c r="G4352" s="2" t="s">
        <v>12662</v>
      </c>
      <c r="H4352" s="1">
        <v>5.0</v>
      </c>
      <c r="J4352" s="1" t="s">
        <v>86</v>
      </c>
      <c r="K4352" s="2" t="s">
        <v>12667</v>
      </c>
      <c r="L4352" s="2"/>
      <c r="M4352" s="2" t="str">
        <f>IFERROR(__xludf.DUMMYFUNCTION("split(split(K4352,""【演出"",false),""ほか"",false)"),"菅野美穂、谷原章介、塚本高史、平泉成、永作博美　(他)早紀の家に璃子が転がり込んでくる。その理由を言わない璃子に、何かあると気づいた早紀は璃子の家を訪れる。璃子の姑と子供に会った早紀は彼女の本当の姿を知る。帰宅した早紀は璃子にどうするのかと詰め寄り、怒らせてしまう。一方、光輝からは頻繁にアプローチを受け、どうすることもできない早紀。ある日、璃子はうそをついて子供たちを早紀の家に連れてきてしまう。何も知らない子供たちと子供の相手をできない璃子に早紀は…")</f>
        <v>菅野美穂、谷原章介、塚本高史、平泉成、永作博美　(他)早紀の家に璃子が転がり込んでくる。その理由を言わない璃子に、何かあると気づいた早紀は璃子の家を訪れる。璃子の姑と子供に会った早紀は彼女の本当の姿を知る。帰宅した早紀は璃子にどうするのかと詰め寄り、怒らせてしまう。一方、光輝からは頻繁にアプローチを受け、どうすることもできない早紀。ある日、璃子はうそをついて子供たちを早紀の家に連れてきてしまう。何も知らない子供たちと子供の相手をできない璃子に早紀は…</v>
      </c>
      <c r="N4352" s="2"/>
      <c r="O4352" s="2"/>
      <c r="P4352" s="1"/>
      <c r="Q4352" s="1"/>
      <c r="R4352" s="1"/>
      <c r="S4352" s="1"/>
      <c r="T4352" s="1"/>
      <c r="U4352" s="1"/>
      <c r="V4352" s="1"/>
      <c r="W4352" s="1"/>
      <c r="X4352" s="1"/>
      <c r="Y4352" s="1"/>
      <c r="Z4352" s="1"/>
      <c r="AA4352" s="1"/>
      <c r="AB4352" s="1"/>
      <c r="AC4352" s="1"/>
      <c r="AD4352" s="1"/>
      <c r="AE4352" s="1"/>
      <c r="AF4352" s="1"/>
      <c r="AG4352" s="1"/>
      <c r="AH4352" s="1"/>
      <c r="AI4352" s="1"/>
      <c r="AJ4352" s="1"/>
      <c r="AK4352" s="1"/>
      <c r="AL4352" s="1"/>
      <c r="AM4352" s="1"/>
      <c r="AN4352" s="1"/>
      <c r="AO4352" s="1"/>
      <c r="AP4352" s="1"/>
      <c r="AQ4352" s="1"/>
      <c r="AR4352" s="1"/>
      <c r="AS4352" s="1"/>
      <c r="AT4352" s="1"/>
      <c r="AU4352" s="1"/>
      <c r="AV4352" s="1"/>
      <c r="AW4352" s="1"/>
      <c r="AX4352" s="1"/>
      <c r="AY4352" s="1"/>
      <c r="AZ4352" s="1"/>
      <c r="BA4352" s="1"/>
      <c r="BB4352" s="1"/>
    </row>
    <row r="4353" ht="204.75" customHeight="1">
      <c r="A4353" s="1">
        <v>4915.0</v>
      </c>
      <c r="B4353" s="2" t="s">
        <v>12660</v>
      </c>
      <c r="C4353" s="2">
        <f>IFERROR(__xludf.DUMMYFUNCTION("split(B4353,""_"")"),1001.0)</f>
        <v>1001</v>
      </c>
      <c r="D4353" s="2" t="str">
        <f>IFERROR(__xludf.DUMMYFUNCTION("""COMPUTED_VALUE"""),"NTV")</f>
        <v>NTV</v>
      </c>
      <c r="E4353" s="2" t="str">
        <f>IFERROR(__xludf.DUMMYFUNCTION("""COMPUTED_VALUE"""),"水22")</f>
        <v>水22</v>
      </c>
      <c r="F4353" s="2" t="s">
        <v>12661</v>
      </c>
      <c r="G4353" s="2" t="s">
        <v>12662</v>
      </c>
      <c r="H4353" s="1">
        <v>6.0</v>
      </c>
      <c r="J4353" s="1" t="s">
        <v>86</v>
      </c>
      <c r="K4353" s="2" t="s">
        <v>12668</v>
      </c>
      <c r="L4353" s="2"/>
      <c r="M4353" s="2" t="str">
        <f>IFERROR(__xludf.DUMMYFUNCTION("split(split(K4353,""【演出"",false),""ほか"",false)"),"菅野美穂、谷原章介、塚本高史、平泉成、永作博美　(他)病院に運ばれた早紀だが、大の医者嫌いのため検査を断り帰宅してしまう。一方、早紀の家の近所で女性が襲われる事件が多発。事件があっても蚊帳の外だという光輝に早紀は警察官になった理由を聞くが、はぐらかす光輝。上の階の大学生、今田に苦情を言ったときも、光輝が警察と聞いてひるむ学生たちになぜか光輝は浮かない顔。正登と鉢合わせても元気なく立ち去ってしまい、気になった早紀は二人で食事し、光輝の意外な過去を知る…")</f>
        <v>菅野美穂、谷原章介、塚本高史、平泉成、永作博美　(他)病院に運ばれた早紀だが、大の医者嫌いのため検査を断り帰宅してしまう。一方、早紀の家の近所で女性が襲われる事件が多発。事件があっても蚊帳の外だという光輝に早紀は警察官になった理由を聞くが、はぐらかす光輝。上の階の大学生、今田に苦情を言ったときも、光輝が警察と聞いてひるむ学生たちになぜか光輝は浮かない顔。正登と鉢合わせても元気なく立ち去ってしまい、気になった早紀は二人で食事し、光輝の意外な過去を知る…</v>
      </c>
      <c r="N4353" s="2"/>
      <c r="O4353" s="2"/>
      <c r="P4353" s="1"/>
      <c r="Q4353" s="1"/>
      <c r="R4353" s="1"/>
      <c r="S4353" s="1"/>
      <c r="T4353" s="1"/>
      <c r="U4353" s="1"/>
      <c r="V4353" s="1"/>
      <c r="W4353" s="1"/>
      <c r="X4353" s="1"/>
      <c r="Y4353" s="1"/>
      <c r="Z4353" s="1"/>
      <c r="AA4353" s="1"/>
      <c r="AB4353" s="1"/>
      <c r="AC4353" s="1"/>
      <c r="AD4353" s="1"/>
      <c r="AE4353" s="1"/>
      <c r="AF4353" s="1"/>
      <c r="AG4353" s="1"/>
      <c r="AH4353" s="1"/>
      <c r="AI4353" s="1"/>
      <c r="AJ4353" s="1"/>
      <c r="AK4353" s="1"/>
      <c r="AL4353" s="1"/>
      <c r="AM4353" s="1"/>
      <c r="AN4353" s="1"/>
      <c r="AO4353" s="1"/>
      <c r="AP4353" s="1"/>
      <c r="AQ4353" s="1"/>
      <c r="AR4353" s="1"/>
      <c r="AS4353" s="1"/>
      <c r="AT4353" s="1"/>
      <c r="AU4353" s="1"/>
      <c r="AV4353" s="1"/>
      <c r="AW4353" s="1"/>
      <c r="AX4353" s="1"/>
      <c r="AY4353" s="1"/>
      <c r="AZ4353" s="1"/>
      <c r="BA4353" s="1"/>
      <c r="BB4353" s="1"/>
    </row>
    <row r="4354" ht="204.75" customHeight="1">
      <c r="A4354" s="1">
        <v>4916.0</v>
      </c>
      <c r="B4354" s="2" t="s">
        <v>12660</v>
      </c>
      <c r="C4354" s="2">
        <f>IFERROR(__xludf.DUMMYFUNCTION("split(B4354,""_"")"),1001.0)</f>
        <v>1001</v>
      </c>
      <c r="D4354" s="2" t="str">
        <f>IFERROR(__xludf.DUMMYFUNCTION("""COMPUTED_VALUE"""),"NTV")</f>
        <v>NTV</v>
      </c>
      <c r="E4354" s="2" t="str">
        <f>IFERROR(__xludf.DUMMYFUNCTION("""COMPUTED_VALUE"""),"水22")</f>
        <v>水22</v>
      </c>
      <c r="F4354" s="2" t="s">
        <v>12661</v>
      </c>
      <c r="G4354" s="2" t="s">
        <v>12662</v>
      </c>
      <c r="H4354" s="1">
        <v>7.0</v>
      </c>
      <c r="J4354" s="1" t="s">
        <v>86</v>
      </c>
      <c r="K4354" s="2" t="s">
        <v>12669</v>
      </c>
      <c r="L4354" s="2"/>
      <c r="M4354" s="2" t="str">
        <f>IFERROR(__xludf.DUMMYFUNCTION("split(split(K4354,""【演出"",false),""ほか"",false)"),"菅野美穂、谷原章介、塚本高史、平泉成、永作博美　(他)妊娠が発覚し、産むか産まないか悩む早紀。お腹の子の父である正登には、産んでくれと言われるのが分かっているので話せない。一方、璃子も妊娠が発覚し、一人での子育ては無理だと家に戻るつもりの璃子。早紀にも正登に話すよう言うが、光輝は司法試験のために子どもをあきらめてもいいと言い意見が対立。考え抜いて一人、結論に達した早紀は光輝にある相談をするが、それを璃子が聞きつけ、三人の関係にひびが入ってしまう…")</f>
        <v>菅野美穂、谷原章介、塚本高史、平泉成、永作博美　(他)妊娠が発覚し、産むか産まないか悩む早紀。お腹の子の父である正登には、産んでくれと言われるのが分かっているので話せない。一方、璃子も妊娠が発覚し、一人での子育ては無理だと家に戻るつもりの璃子。早紀にも正登に話すよう言うが、光輝は司法試験のために子どもをあきらめてもいいと言い意見が対立。考え抜いて一人、結論に達した早紀は光輝にある相談をするが、それを璃子が聞きつけ、三人の関係にひびが入ってしまう…</v>
      </c>
      <c r="N4354" s="2"/>
      <c r="O4354" s="2"/>
      <c r="P4354" s="1"/>
      <c r="Q4354" s="1"/>
      <c r="R4354" s="1"/>
      <c r="S4354" s="1"/>
      <c r="T4354" s="1"/>
      <c r="U4354" s="1"/>
      <c r="V4354" s="1"/>
      <c r="W4354" s="1"/>
      <c r="X4354" s="1"/>
      <c r="Y4354" s="1"/>
      <c r="Z4354" s="1"/>
      <c r="AA4354" s="1"/>
      <c r="AB4354" s="1"/>
      <c r="AC4354" s="1"/>
      <c r="AD4354" s="1"/>
      <c r="AE4354" s="1"/>
      <c r="AF4354" s="1"/>
      <c r="AG4354" s="1"/>
      <c r="AH4354" s="1"/>
      <c r="AI4354" s="1"/>
      <c r="AJ4354" s="1"/>
      <c r="AK4354" s="1"/>
      <c r="AL4354" s="1"/>
      <c r="AM4354" s="1"/>
      <c r="AN4354" s="1"/>
      <c r="AO4354" s="1"/>
      <c r="AP4354" s="1"/>
      <c r="AQ4354" s="1"/>
      <c r="AR4354" s="1"/>
      <c r="AS4354" s="1"/>
      <c r="AT4354" s="1"/>
      <c r="AU4354" s="1"/>
      <c r="AV4354" s="1"/>
      <c r="AW4354" s="1"/>
      <c r="AX4354" s="1"/>
      <c r="AY4354" s="1"/>
      <c r="AZ4354" s="1"/>
      <c r="BA4354" s="1"/>
      <c r="BB4354" s="1"/>
    </row>
    <row r="4355" ht="204.75" customHeight="1">
      <c r="A4355" s="1">
        <v>4917.0</v>
      </c>
      <c r="B4355" s="2" t="s">
        <v>12660</v>
      </c>
      <c r="C4355" s="2">
        <f>IFERROR(__xludf.DUMMYFUNCTION("split(B4355,""_"")"),1001.0)</f>
        <v>1001</v>
      </c>
      <c r="D4355" s="2" t="str">
        <f>IFERROR(__xludf.DUMMYFUNCTION("""COMPUTED_VALUE"""),"NTV")</f>
        <v>NTV</v>
      </c>
      <c r="E4355" s="2" t="str">
        <f>IFERROR(__xludf.DUMMYFUNCTION("""COMPUTED_VALUE"""),"水22")</f>
        <v>水22</v>
      </c>
      <c r="F4355" s="2" t="s">
        <v>12661</v>
      </c>
      <c r="G4355" s="2" t="s">
        <v>12662</v>
      </c>
      <c r="H4355" s="1">
        <v>8.0</v>
      </c>
      <c r="J4355" s="1" t="s">
        <v>86</v>
      </c>
      <c r="K4355" s="2" t="s">
        <v>12670</v>
      </c>
      <c r="L4355" s="2"/>
      <c r="M4355" s="2" t="str">
        <f>IFERROR(__xludf.DUMMYFUNCTION("split(split(K4355,""【演出"",false),""ほか"",false)"),"菅野美穂、谷原章介、塚本高史、平泉成、永作博美　(他)璃子と光輝に会いたい気持ちを隠し、独り勉強に金策に無理をする早紀は、生活費もないまま体調を崩し初めて真の孤独に苦しむ。お金に困り、早紀は手持ちのものを売り始め、悩んだ末に母のネックレスを売ってしまう。そんなとき、上の階に住む学生が暴れているのに出くわし、母親に助けてと頼まれる。そして朦朧とする早紀の前に誕生日を祝おうと正登が現れる。一方璃子と光輝は各々の環境になじめずに苦しみ、早紀のことを思うが…")</f>
        <v>菅野美穂、谷原章介、塚本高史、平泉成、永作博美　(他)璃子と光輝に会いたい気持ちを隠し、独り勉強に金策に無理をする早紀は、生活費もないまま体調を崩し初めて真の孤独に苦しむ。お金に困り、早紀は手持ちのものを売り始め、悩んだ末に母のネックレスを売ってしまう。そんなとき、上の階に住む学生が暴れているのに出くわし、母親に助けてと頼まれる。そして朦朧とする早紀の前に誕生日を祝おうと正登が現れる。一方璃子と光輝は各々の環境になじめずに苦しみ、早紀のことを思うが…</v>
      </c>
      <c r="N4355" s="2"/>
      <c r="O4355" s="2"/>
      <c r="P4355" s="1"/>
      <c r="Q4355" s="1"/>
      <c r="R4355" s="1"/>
      <c r="S4355" s="1"/>
      <c r="T4355" s="1"/>
      <c r="U4355" s="1"/>
      <c r="V4355" s="1"/>
      <c r="W4355" s="1"/>
      <c r="X4355" s="1"/>
      <c r="Y4355" s="1"/>
      <c r="Z4355" s="1"/>
      <c r="AA4355" s="1"/>
      <c r="AB4355" s="1"/>
      <c r="AC4355" s="1"/>
      <c r="AD4355" s="1"/>
      <c r="AE4355" s="1"/>
      <c r="AF4355" s="1"/>
      <c r="AG4355" s="1"/>
      <c r="AH4355" s="1"/>
      <c r="AI4355" s="1"/>
      <c r="AJ4355" s="1"/>
      <c r="AK4355" s="1"/>
      <c r="AL4355" s="1"/>
      <c r="AM4355" s="1"/>
      <c r="AN4355" s="1"/>
      <c r="AO4355" s="1"/>
      <c r="AP4355" s="1"/>
      <c r="AQ4355" s="1"/>
      <c r="AR4355" s="1"/>
      <c r="AS4355" s="1"/>
      <c r="AT4355" s="1"/>
      <c r="AU4355" s="1"/>
      <c r="AV4355" s="1"/>
      <c r="AW4355" s="1"/>
      <c r="AX4355" s="1"/>
      <c r="AY4355" s="1"/>
      <c r="AZ4355" s="1"/>
      <c r="BA4355" s="1"/>
      <c r="BB4355" s="1"/>
    </row>
    <row r="4356" ht="204.75" customHeight="1">
      <c r="A4356" s="1">
        <v>4918.0</v>
      </c>
      <c r="B4356" s="2" t="s">
        <v>12660</v>
      </c>
      <c r="C4356" s="2">
        <f>IFERROR(__xludf.DUMMYFUNCTION("split(B4356,""_"")"),1001.0)</f>
        <v>1001</v>
      </c>
      <c r="D4356" s="2" t="str">
        <f>IFERROR(__xludf.DUMMYFUNCTION("""COMPUTED_VALUE"""),"NTV")</f>
        <v>NTV</v>
      </c>
      <c r="E4356" s="2" t="str">
        <f>IFERROR(__xludf.DUMMYFUNCTION("""COMPUTED_VALUE"""),"水22")</f>
        <v>水22</v>
      </c>
      <c r="F4356" s="2" t="s">
        <v>12661</v>
      </c>
      <c r="G4356" s="2" t="s">
        <v>12662</v>
      </c>
      <c r="H4356" s="1">
        <v>9.0</v>
      </c>
      <c r="J4356" s="1" t="s">
        <v>86</v>
      </c>
      <c r="K4356" s="2" t="s">
        <v>12671</v>
      </c>
      <c r="L4356" s="2"/>
      <c r="M4356" s="2" t="str">
        <f>IFERROR(__xludf.DUMMYFUNCTION("split(split(K4356,""【演出"",false),""ほか"",false)"),"菅野美穂、谷原章介、塚本高史、平泉成、永作博美　(他)出産と司法試験を目前に控えた早紀の前に、結婚式から逃げてきた正登が現れる。言い訳ばかりの正登につきそって式場に行くと、お腹に激痛が走り、早紀は入院。璃子と光輝は心配する。言い訳ばかりの正登についに早紀は怒ってしまう。そんな折、病気を苦にして璃子の義母が家出する。懸命に探す三人だが、義母は正登のもとに助けを求めてやってくる。璃子の義母をなだめる正登に早紀は自分が怒った理由を明かそうとする。")</f>
        <v>菅野美穂、谷原章介、塚本高史、平泉成、永作博美　(他)出産と司法試験を目前に控えた早紀の前に、結婚式から逃げてきた正登が現れる。言い訳ばかりの正登につきそって式場に行くと、お腹に激痛が走り、早紀は入院。璃子と光輝は心配する。言い訳ばかりの正登についに早紀は怒ってしまう。そんな折、病気を苦にして璃子の義母が家出する。懸命に探す三人だが、義母は正登のもとに助けを求めてやってくる。璃子の義母をなだめる正登に早紀は自分が怒った理由を明かそうとする。</v>
      </c>
      <c r="N4356" s="2"/>
      <c r="O4356" s="2"/>
      <c r="P4356" s="1"/>
      <c r="Q4356" s="1"/>
      <c r="R4356" s="1"/>
      <c r="S4356" s="1"/>
      <c r="T4356" s="1"/>
      <c r="U4356" s="1"/>
      <c r="V4356" s="1"/>
      <c r="W4356" s="1"/>
      <c r="X4356" s="1"/>
      <c r="Y4356" s="1"/>
      <c r="Z4356" s="1"/>
      <c r="AA4356" s="1"/>
      <c r="AB4356" s="1"/>
      <c r="AC4356" s="1"/>
      <c r="AD4356" s="1"/>
      <c r="AE4356" s="1"/>
      <c r="AF4356" s="1"/>
      <c r="AG4356" s="1"/>
      <c r="AH4356" s="1"/>
      <c r="AI4356" s="1"/>
      <c r="AJ4356" s="1"/>
      <c r="AK4356" s="1"/>
      <c r="AL4356" s="1"/>
      <c r="AM4356" s="1"/>
      <c r="AN4356" s="1"/>
      <c r="AO4356" s="1"/>
      <c r="AP4356" s="1"/>
      <c r="AQ4356" s="1"/>
      <c r="AR4356" s="1"/>
      <c r="AS4356" s="1"/>
      <c r="AT4356" s="1"/>
      <c r="AU4356" s="1"/>
      <c r="AV4356" s="1"/>
      <c r="AW4356" s="1"/>
      <c r="AX4356" s="1"/>
      <c r="AY4356" s="1"/>
      <c r="AZ4356" s="1"/>
      <c r="BA4356" s="1"/>
      <c r="BB4356" s="1"/>
    </row>
    <row r="4357" ht="204.75" customHeight="1">
      <c r="A4357" s="1">
        <v>4919.0</v>
      </c>
      <c r="B4357" s="2" t="s">
        <v>12660</v>
      </c>
      <c r="C4357" s="2">
        <f>IFERROR(__xludf.DUMMYFUNCTION("split(B4357,""_"")"),1001.0)</f>
        <v>1001</v>
      </c>
      <c r="D4357" s="2" t="str">
        <f>IFERROR(__xludf.DUMMYFUNCTION("""COMPUTED_VALUE"""),"NTV")</f>
        <v>NTV</v>
      </c>
      <c r="E4357" s="2" t="str">
        <f>IFERROR(__xludf.DUMMYFUNCTION("""COMPUTED_VALUE"""),"水22")</f>
        <v>水22</v>
      </c>
      <c r="F4357" s="2" t="s">
        <v>12661</v>
      </c>
      <c r="G4357" s="2" t="s">
        <v>12662</v>
      </c>
      <c r="H4357" s="1">
        <v>10.0</v>
      </c>
      <c r="J4357" s="1" t="s">
        <v>82</v>
      </c>
      <c r="K4357" s="2" t="s">
        <v>12672</v>
      </c>
      <c r="L4357" s="2"/>
      <c r="M4357" s="2" t="str">
        <f>IFERROR(__xludf.DUMMYFUNCTION("split(split(K4357,""【演出"",false),""ほか"",false)"),"菅野美穂、谷原章介、塚本高史、平泉成、永作博美　(他)司法試験の最終日、突然の陣痛に襲われた早紀は、試験を受けさせない子なんていらないと子どもへの怒りを爆発させる。だが、そのことで自分の間違いに気付き、子どものかけがえなさに気づく。なんとか受験し、無事女の子を出産。璃子、光輝、正登、中島らは心配しつつも合格祝いの準備をして待つなか、10年かけた夢であった合格発表の日を迎え…。予定日過ぎても子どもが生まれない璃子、早紀への思いを言えない光輝は…")</f>
        <v>菅野美穂、谷原章介、塚本高史、平泉成、永作博美　(他)司法試験の最終日、突然の陣痛に襲われた早紀は、試験を受けさせない子なんていらないと子どもへの怒りを爆発させる。だが、そのことで自分の間違いに気付き、子どものかけがえなさに気づく。なんとか受験し、無事女の子を出産。璃子、光輝、正登、中島らは心配しつつも合格祝いの準備をして待つなか、10年かけた夢であった合格発表の日を迎え…。予定日過ぎても子どもが生まれない璃子、早紀への思いを言えない光輝は…</v>
      </c>
      <c r="N4357" s="2"/>
      <c r="O4357" s="2"/>
      <c r="P4357" s="1"/>
      <c r="Q4357" s="1"/>
      <c r="R4357" s="1"/>
      <c r="S4357" s="1"/>
      <c r="T4357" s="1"/>
      <c r="U4357" s="1"/>
      <c r="V4357" s="1"/>
      <c r="W4357" s="1"/>
      <c r="X4357" s="1"/>
      <c r="Y4357" s="1"/>
      <c r="Z4357" s="1"/>
      <c r="AA4357" s="1"/>
      <c r="AB4357" s="1"/>
      <c r="AC4357" s="1"/>
      <c r="AD4357" s="1"/>
      <c r="AE4357" s="1"/>
      <c r="AF4357" s="1"/>
      <c r="AG4357" s="1"/>
      <c r="AH4357" s="1"/>
      <c r="AI4357" s="1"/>
      <c r="AJ4357" s="1"/>
      <c r="AK4357" s="1"/>
      <c r="AL4357" s="1"/>
      <c r="AM4357" s="1"/>
      <c r="AN4357" s="1"/>
      <c r="AO4357" s="1"/>
      <c r="AP4357" s="1"/>
      <c r="AQ4357" s="1"/>
      <c r="AR4357" s="1"/>
      <c r="AS4357" s="1"/>
      <c r="AT4357" s="1"/>
      <c r="AU4357" s="1"/>
      <c r="AV4357" s="1"/>
      <c r="AW4357" s="1"/>
      <c r="AX4357" s="1"/>
      <c r="AY4357" s="1"/>
      <c r="AZ4357" s="1"/>
      <c r="BA4357" s="1"/>
      <c r="BB4357" s="1"/>
    </row>
    <row r="4358" ht="204.75" customHeight="1">
      <c r="A4358" s="1">
        <v>4937.0</v>
      </c>
      <c r="B4358" s="2" t="s">
        <v>12673</v>
      </c>
      <c r="C4358" s="2">
        <f>IFERROR(__xludf.DUMMYFUNCTION("split(B4358,""_"")"),1001.0)</f>
        <v>1001</v>
      </c>
      <c r="D4358" s="2" t="str">
        <f>IFERROR(__xludf.DUMMYFUNCTION("""COMPUTED_VALUE"""),"NTV")</f>
        <v>NTV</v>
      </c>
      <c r="E4358" s="2" t="str">
        <f>IFERROR(__xludf.DUMMYFUNCTION("""COMPUTED_VALUE"""),"木23")</f>
        <v>木23</v>
      </c>
      <c r="F4358" s="2" t="s">
        <v>12674</v>
      </c>
      <c r="G4358" s="2" t="s">
        <v>12675</v>
      </c>
      <c r="H4358" s="1">
        <v>2.0</v>
      </c>
      <c r="I4358" s="1" t="s">
        <v>2872</v>
      </c>
      <c r="J4358" s="1" t="s">
        <v>1435</v>
      </c>
      <c r="K4358" s="2" t="s">
        <v>12676</v>
      </c>
      <c r="L4358" s="2"/>
      <c r="M4358" s="2" t="str">
        <f>IFERROR(__xludf.DUMMYFUNCTION("split(split(K4358,""【演出"",false),""ほか"",false)"),"板尾創路、津田寛治、田中直樹(ココリコ)、池田一真(しずる)、遠山景織子、山田麻衣子、笑福亭仁鶴(特別出演)、高知東生、大澄賢也、村上純(しずる)、高橋ひとみ、宅麻伸  【第二話ゲスト】松本人志(友情出演)http://www.ytv.co.jp/kinoboku/")</f>
        <v>板尾創路、津田寛治、田中直樹(ココリコ)、池田一真(しずる)、遠山景織子、山田麻衣子、笑福亭仁鶴(特別出演)、高知東生、大澄賢也、村上純(しずる)、高橋ひとみ、宅麻伸  【第二話ゲスト】松本人志(友情出演)http://www.ytv.co.jp/kinoboku/</v>
      </c>
      <c r="N4358" s="2"/>
      <c r="O4358" s="2"/>
      <c r="P4358" s="1"/>
      <c r="Q4358" s="1"/>
      <c r="R4358" s="1"/>
      <c r="S4358" s="1"/>
      <c r="T4358" s="1"/>
      <c r="U4358" s="1"/>
      <c r="V4358" s="1"/>
      <c r="W4358" s="1"/>
      <c r="X4358" s="1"/>
      <c r="Y4358" s="1"/>
      <c r="Z4358" s="1"/>
      <c r="AA4358" s="1"/>
      <c r="AB4358" s="1"/>
      <c r="AC4358" s="1"/>
      <c r="AD4358" s="1"/>
      <c r="AE4358" s="1"/>
      <c r="AF4358" s="1"/>
      <c r="AG4358" s="1"/>
      <c r="AH4358" s="1"/>
      <c r="AI4358" s="1"/>
      <c r="AJ4358" s="1"/>
      <c r="AK4358" s="1"/>
      <c r="AL4358" s="1"/>
      <c r="AM4358" s="1"/>
      <c r="AN4358" s="1"/>
      <c r="AO4358" s="1"/>
      <c r="AP4358" s="1"/>
      <c r="AQ4358" s="1"/>
      <c r="AR4358" s="1"/>
      <c r="AS4358" s="1"/>
      <c r="AT4358" s="1"/>
      <c r="AU4358" s="1"/>
      <c r="AV4358" s="1"/>
      <c r="AW4358" s="1"/>
      <c r="AX4358" s="1"/>
      <c r="AY4358" s="1"/>
      <c r="AZ4358" s="1"/>
      <c r="BA4358" s="1"/>
      <c r="BB4358" s="1"/>
    </row>
    <row r="4359" ht="204.75" customHeight="1">
      <c r="A4359" s="1">
        <v>4938.0</v>
      </c>
      <c r="B4359" s="2" t="s">
        <v>12673</v>
      </c>
      <c r="C4359" s="2">
        <f>IFERROR(__xludf.DUMMYFUNCTION("split(B4359,""_"")"),1001.0)</f>
        <v>1001</v>
      </c>
      <c r="D4359" s="2" t="str">
        <f>IFERROR(__xludf.DUMMYFUNCTION("""COMPUTED_VALUE"""),"NTV")</f>
        <v>NTV</v>
      </c>
      <c r="E4359" s="2" t="str">
        <f>IFERROR(__xludf.DUMMYFUNCTION("""COMPUTED_VALUE"""),"木23")</f>
        <v>木23</v>
      </c>
      <c r="F4359" s="2" t="s">
        <v>12674</v>
      </c>
      <c r="G4359" s="2" t="s">
        <v>12677</v>
      </c>
      <c r="H4359" s="1">
        <v>3.0</v>
      </c>
      <c r="I4359" s="1" t="s">
        <v>2876</v>
      </c>
      <c r="J4359" s="1" t="s">
        <v>1435</v>
      </c>
      <c r="K4359" s="2" t="s">
        <v>12678</v>
      </c>
      <c r="L4359" s="2"/>
      <c r="M4359" s="2" t="str">
        <f>IFERROR(__xludf.DUMMYFUNCTION("split(split(K4359,""【演出"",false),""ほか"",false)"),"板尾創路、津田寛治、田中直樹(ココリコ)、池田一真(しずる)、遠山景織子、山田麻衣子、笑福亭仁鶴(特別出演)、高知東生、大澄賢也、村上純(しずる)、高橋ひとみ、宅麻伸  【第三話ゲスト】桂文珍木下部長の強烈なディープキス姿が頭から離れない僕元は、屋上オフィスでプレゼン対策会議に参加するが、騒音で声が聞こえない。叫びながらの打合せも限界。空いている部屋を縫うように会議を行う中、その時木下部長は…会議に参加せず、ひとり屋上に、門番のように座っていた。皆のカバンや貴重品を守るのだ、という。  プレゼン当日、集合"&amp;"時間ギリギリで現れた木下部長は、「スナック愛」と書かれた大量のおしぼりを持っていた…http://www.ytv.co.jp/kinoboku/")</f>
        <v>板尾創路、津田寛治、田中直樹(ココリコ)、池田一真(しずる)、遠山景織子、山田麻衣子、笑福亭仁鶴(特別出演)、高知東生、大澄賢也、村上純(しずる)、高橋ひとみ、宅麻伸  【第三話ゲスト】桂文珍木下部長の強烈なディープキス姿が頭から離れない僕元は、屋上オフィスでプレゼン対策会議に参加するが、騒音で声が聞こえない。叫びながらの打合せも限界。空いている部屋を縫うように会議を行う中、その時木下部長は…会議に参加せず、ひとり屋上に、門番のように座っていた。皆のカバンや貴重品を守るのだ、という。  プレゼン当日、集合時間ギリギリで現れた木下部長は、「スナック愛」と書かれた大量のおしぼりを持っていた…http://www.ytv.co.jp/kinoboku/</v>
      </c>
      <c r="N4359" s="2"/>
      <c r="O4359" s="2"/>
      <c r="P4359" s="1"/>
      <c r="Q4359" s="1"/>
      <c r="R4359" s="1"/>
      <c r="S4359" s="1"/>
      <c r="T4359" s="1"/>
      <c r="U4359" s="1"/>
      <c r="V4359" s="1"/>
      <c r="W4359" s="1"/>
      <c r="X4359" s="1"/>
      <c r="Y4359" s="1"/>
      <c r="Z4359" s="1"/>
      <c r="AA4359" s="1"/>
      <c r="AB4359" s="1"/>
      <c r="AC4359" s="1"/>
      <c r="AD4359" s="1"/>
      <c r="AE4359" s="1"/>
      <c r="AF4359" s="1"/>
      <c r="AG4359" s="1"/>
      <c r="AH4359" s="1"/>
      <c r="AI4359" s="1"/>
      <c r="AJ4359" s="1"/>
      <c r="AK4359" s="1"/>
      <c r="AL4359" s="1"/>
      <c r="AM4359" s="1"/>
      <c r="AN4359" s="1"/>
      <c r="AO4359" s="1"/>
      <c r="AP4359" s="1"/>
      <c r="AQ4359" s="1"/>
      <c r="AR4359" s="1"/>
      <c r="AS4359" s="1"/>
      <c r="AT4359" s="1"/>
      <c r="AU4359" s="1"/>
      <c r="AV4359" s="1"/>
      <c r="AW4359" s="1"/>
      <c r="AX4359" s="1"/>
      <c r="AY4359" s="1"/>
      <c r="AZ4359" s="1"/>
      <c r="BA4359" s="1"/>
      <c r="BB4359" s="1"/>
    </row>
    <row r="4360" ht="204.75" customHeight="1">
      <c r="A4360" s="1">
        <v>4939.0</v>
      </c>
      <c r="B4360" s="2" t="s">
        <v>12673</v>
      </c>
      <c r="C4360" s="2">
        <f>IFERROR(__xludf.DUMMYFUNCTION("split(B4360,""_"")"),1001.0)</f>
        <v>1001</v>
      </c>
      <c r="D4360" s="2" t="str">
        <f>IFERROR(__xludf.DUMMYFUNCTION("""COMPUTED_VALUE"""),"NTV")</f>
        <v>NTV</v>
      </c>
      <c r="E4360" s="2" t="str">
        <f>IFERROR(__xludf.DUMMYFUNCTION("""COMPUTED_VALUE"""),"木23")</f>
        <v>木23</v>
      </c>
      <c r="F4360" s="2" t="s">
        <v>12674</v>
      </c>
      <c r="G4360" s="2" t="s">
        <v>12679</v>
      </c>
      <c r="H4360" s="1">
        <v>5.0</v>
      </c>
      <c r="I4360" s="1" t="s">
        <v>2884</v>
      </c>
      <c r="J4360" s="1" t="s">
        <v>1435</v>
      </c>
      <c r="K4360" s="2" t="s">
        <v>12680</v>
      </c>
      <c r="L4360" s="2"/>
      <c r="M4360" s="2" t="str">
        <f>IFERROR(__xludf.DUMMYFUNCTION("split(split(K4360,""【演出"",false),""ほか"",false)"),"板尾創路、津田寛治、田中直樹(ココリコ)、池田一真(しずる)、遠山景織子、山田麻衣子、笑福亭仁鶴(特別出演)、高知東生、大澄賢也、村上純(しずる)、高橋ひとみ、宅麻伸  【第五話ゲスト】木村祐一突然面談をすると木下部長が言い出した。何のためか明かさない上、ファミレス、釣り堀、銭湯と、自分の行きたい場所で面談を行う木下部長。実はリストラ候補を決めるための面談ということが発覚、仲間割れ状態になる木下部。僕元はまとまりつつあった木下部が、再びギクシャクしてきた事を心配する。誰をリストラしていいかわからない木下部"&amp;"長は本部長に「面談したい」と電話。この“気分”の面談希望が大騒動の引き金をひいた…!http://www.ytv.co.jp/kinoboku/")</f>
        <v>板尾創路、津田寛治、田中直樹(ココリコ)、池田一真(しずる)、遠山景織子、山田麻衣子、笑福亭仁鶴(特別出演)、高知東生、大澄賢也、村上純(しずる)、高橋ひとみ、宅麻伸  【第五話ゲスト】木村祐一突然面談をすると木下部長が言い出した。何のためか明かさない上、ファミレス、釣り堀、銭湯と、自分の行きたい場所で面談を行う木下部長。実はリストラ候補を決めるための面談ということが発覚、仲間割れ状態になる木下部。僕元はまとまりつつあった木下部が、再びギクシャクしてきた事を心配する。誰をリストラしていいかわからない木下部長は本部長に「面談したい」と電話。この“気分”の面談希望が大騒動の引き金をひいた…!http://www.ytv.co.jp/kinoboku/</v>
      </c>
      <c r="N4360" s="2"/>
      <c r="O4360" s="2"/>
      <c r="P4360" s="1"/>
      <c r="Q4360" s="1"/>
      <c r="R4360" s="1"/>
      <c r="S4360" s="1"/>
      <c r="T4360" s="1"/>
      <c r="U4360" s="1"/>
      <c r="V4360" s="1"/>
      <c r="W4360" s="1"/>
      <c r="X4360" s="1"/>
      <c r="Y4360" s="1"/>
      <c r="Z4360" s="1"/>
      <c r="AA4360" s="1"/>
      <c r="AB4360" s="1"/>
      <c r="AC4360" s="1"/>
      <c r="AD4360" s="1"/>
      <c r="AE4360" s="1"/>
      <c r="AF4360" s="1"/>
      <c r="AG4360" s="1"/>
      <c r="AH4360" s="1"/>
      <c r="AI4360" s="1"/>
      <c r="AJ4360" s="1"/>
      <c r="AK4360" s="1"/>
      <c r="AL4360" s="1"/>
      <c r="AM4360" s="1"/>
      <c r="AN4360" s="1"/>
      <c r="AO4360" s="1"/>
      <c r="AP4360" s="1"/>
      <c r="AQ4360" s="1"/>
      <c r="AR4360" s="1"/>
      <c r="AS4360" s="1"/>
      <c r="AT4360" s="1"/>
      <c r="AU4360" s="1"/>
      <c r="AV4360" s="1"/>
      <c r="AW4360" s="1"/>
      <c r="AX4360" s="1"/>
      <c r="AY4360" s="1"/>
      <c r="AZ4360" s="1"/>
      <c r="BA4360" s="1"/>
      <c r="BB4360" s="1"/>
    </row>
    <row r="4361" ht="204.75" customHeight="1">
      <c r="A4361" s="1">
        <v>4940.0</v>
      </c>
      <c r="B4361" s="2" t="s">
        <v>12673</v>
      </c>
      <c r="C4361" s="2">
        <f>IFERROR(__xludf.DUMMYFUNCTION("split(B4361,""_"")"),1001.0)</f>
        <v>1001</v>
      </c>
      <c r="D4361" s="2" t="str">
        <f>IFERROR(__xludf.DUMMYFUNCTION("""COMPUTED_VALUE"""),"NTV")</f>
        <v>NTV</v>
      </c>
      <c r="E4361" s="2" t="str">
        <f>IFERROR(__xludf.DUMMYFUNCTION("""COMPUTED_VALUE"""),"木23")</f>
        <v>木23</v>
      </c>
      <c r="F4361" s="2" t="s">
        <v>12674</v>
      </c>
      <c r="G4361" s="2" t="s">
        <v>12681</v>
      </c>
      <c r="H4361" s="1">
        <v>8.0</v>
      </c>
      <c r="I4361" s="1" t="s">
        <v>2896</v>
      </c>
      <c r="J4361" s="1" t="s">
        <v>1435</v>
      </c>
      <c r="K4361" s="2" t="s">
        <v>12682</v>
      </c>
      <c r="L4361" s="2"/>
      <c r="M4361" s="2" t="str">
        <f>IFERROR(__xludf.DUMMYFUNCTION("split(split(K4361,""【演出"",false),""ほか"",false)"),"板尾創路、津田寛治、田中直樹(ココリコ)、池田一真(しずる)、遠山景織子、山田麻衣子、笑福亭仁鶴(特別出演)、高知東生、大澄賢也、村上純(しずる)、高橋ひとみ、宅麻伸「好きっていうか…気になる人は、います」お清の爆弾発言に、なぜか胸の鼓動が高鳴る僕元。木下部長が良く行く銭湯をお清に尋ねられると、咄嗟に嘘をついてしまった。果たしてお清が好きなのは木下部長なのか?でも、なぜ?どこが?  その頃木下部長は割烹かれんで、めずらしくママと二人きり。意識しすぎのギクシャク恋愛モードに突入。すると神奈川、めるたん、石川"&amp;"までもが…片想いスパイラルに!どうなる木下部の複雑恋愛!?http://www.ytv.co.jp/kinoboku/")</f>
        <v>板尾創路、津田寛治、田中直樹(ココリコ)、池田一真(しずる)、遠山景織子、山田麻衣子、笑福亭仁鶴(特別出演)、高知東生、大澄賢也、村上純(しずる)、高橋ひとみ、宅麻伸「好きっていうか…気になる人は、います」お清の爆弾発言に、なぜか胸の鼓動が高鳴る僕元。木下部長が良く行く銭湯をお清に尋ねられると、咄嗟に嘘をついてしまった。果たしてお清が好きなのは木下部長なのか?でも、なぜ?どこが?  その頃木下部長は割烹かれんで、めずらしくママと二人きり。意識しすぎのギクシャク恋愛モードに突入。すると神奈川、めるたん、石川までもが…片想いスパイラルに!どうなる木下部の複雑恋愛!?http://www.ytv.co.jp/kinoboku/</v>
      </c>
      <c r="N4361" s="2"/>
      <c r="O4361" s="2"/>
      <c r="P4361" s="1"/>
      <c r="Q4361" s="1"/>
      <c r="R4361" s="1"/>
      <c r="S4361" s="1"/>
      <c r="T4361" s="1"/>
      <c r="U4361" s="1"/>
      <c r="V4361" s="1"/>
      <c r="W4361" s="1"/>
      <c r="X4361" s="1"/>
      <c r="Y4361" s="1"/>
      <c r="Z4361" s="1"/>
      <c r="AA4361" s="1"/>
      <c r="AB4361" s="1"/>
      <c r="AC4361" s="1"/>
      <c r="AD4361" s="1"/>
      <c r="AE4361" s="1"/>
      <c r="AF4361" s="1"/>
      <c r="AG4361" s="1"/>
      <c r="AH4361" s="1"/>
      <c r="AI4361" s="1"/>
      <c r="AJ4361" s="1"/>
      <c r="AK4361" s="1"/>
      <c r="AL4361" s="1"/>
      <c r="AM4361" s="1"/>
      <c r="AN4361" s="1"/>
      <c r="AO4361" s="1"/>
      <c r="AP4361" s="1"/>
      <c r="AQ4361" s="1"/>
      <c r="AR4361" s="1"/>
      <c r="AS4361" s="1"/>
      <c r="AT4361" s="1"/>
      <c r="AU4361" s="1"/>
      <c r="AV4361" s="1"/>
      <c r="AW4361" s="1"/>
      <c r="AX4361" s="1"/>
      <c r="AY4361" s="1"/>
      <c r="AZ4361" s="1"/>
      <c r="BA4361" s="1"/>
      <c r="BB4361" s="1"/>
    </row>
    <row r="4362" ht="204.75" customHeight="1">
      <c r="A4362" s="1">
        <v>4941.0</v>
      </c>
      <c r="B4362" s="2" t="s">
        <v>12673</v>
      </c>
      <c r="C4362" s="2">
        <f>IFERROR(__xludf.DUMMYFUNCTION("split(B4362,""_"")"),1001.0)</f>
        <v>1001</v>
      </c>
      <c r="D4362" s="2" t="str">
        <f>IFERROR(__xludf.DUMMYFUNCTION("""COMPUTED_VALUE"""),"NTV")</f>
        <v>NTV</v>
      </c>
      <c r="E4362" s="2" t="str">
        <f>IFERROR(__xludf.DUMMYFUNCTION("""COMPUTED_VALUE"""),"木23")</f>
        <v>木23</v>
      </c>
      <c r="F4362" s="2" t="s">
        <v>12674</v>
      </c>
      <c r="G4362" s="2" t="s">
        <v>12683</v>
      </c>
      <c r="H4362" s="1">
        <v>9.0</v>
      </c>
      <c r="I4362" s="1" t="s">
        <v>2900</v>
      </c>
      <c r="J4362" s="1" t="s">
        <v>1435</v>
      </c>
      <c r="K4362" s="2" t="s">
        <v>12684</v>
      </c>
      <c r="L4362" s="2"/>
      <c r="M4362" s="2" t="str">
        <f>IFERROR(__xludf.DUMMYFUNCTION("split(split(K4362,""【演出"",false),""ほか"",false)"),"板尾創路、津田寛治、田中直樹(ココリコ)、池田一真(しずる)、遠山景織子、山田麻衣子、笑福亭仁鶴(特別出演)、高知東生、大澄賢也、村上純(しずる)、高橋ひとみ、宅麻伸  【第九話ゲスト】ほんこん由美子と一夜を共にしてしまった木下部長。目覚めて朦朧としていると玄関のチャイムがなる。別れた旦那が来たらしい。  「怖いひとやったらどうしよ」  と、木下部長が服を着ているところへ石川が到着。その時、木下部長は…  「うわ!石川!なんや、お前もか」  元の旦那を目の前にして、全く状況を理解せぬ天然っぷり。  どうな"&amp;"る!部下の元妻とお泊り疑惑!?  しかしこの事件は、木下部長のさらなる混乱の序章でしかなかった…http://www.ytv.co.jp/kinoboku/")</f>
        <v>板尾創路、津田寛治、田中直樹(ココリコ)、池田一真(しずる)、遠山景織子、山田麻衣子、笑福亭仁鶴(特別出演)、高知東生、大澄賢也、村上純(しずる)、高橋ひとみ、宅麻伸  【第九話ゲスト】ほんこん由美子と一夜を共にしてしまった木下部長。目覚めて朦朧としていると玄関のチャイムがなる。別れた旦那が来たらしい。  「怖いひとやったらどうしよ」  と、木下部長が服を着ているところへ石川が到着。その時、木下部長は…  「うわ!石川!なんや、お前もか」  元の旦那を目の前にして、全く状況を理解せぬ天然っぷり。  どうなる!部下の元妻とお泊り疑惑!?  しかしこの事件は、木下部長のさらなる混乱の序章でしかなかった…http://www.ytv.co.jp/kinoboku/</v>
      </c>
      <c r="N4362" s="2"/>
      <c r="O4362" s="2"/>
      <c r="P4362" s="1"/>
      <c r="Q4362" s="1"/>
      <c r="R4362" s="1"/>
      <c r="S4362" s="1"/>
      <c r="T4362" s="1"/>
      <c r="U4362" s="1"/>
      <c r="V4362" s="1"/>
      <c r="W4362" s="1"/>
      <c r="X4362" s="1"/>
      <c r="Y4362" s="1"/>
      <c r="Z4362" s="1"/>
      <c r="AA4362" s="1"/>
      <c r="AB4362" s="1"/>
      <c r="AC4362" s="1"/>
      <c r="AD4362" s="1"/>
      <c r="AE4362" s="1"/>
      <c r="AF4362" s="1"/>
      <c r="AG4362" s="1"/>
      <c r="AH4362" s="1"/>
      <c r="AI4362" s="1"/>
      <c r="AJ4362" s="1"/>
      <c r="AK4362" s="1"/>
      <c r="AL4362" s="1"/>
      <c r="AM4362" s="1"/>
      <c r="AN4362" s="1"/>
      <c r="AO4362" s="1"/>
      <c r="AP4362" s="1"/>
      <c r="AQ4362" s="1"/>
      <c r="AR4362" s="1"/>
      <c r="AS4362" s="1"/>
      <c r="AT4362" s="1"/>
      <c r="AU4362" s="1"/>
      <c r="AV4362" s="1"/>
      <c r="AW4362" s="1"/>
      <c r="AX4362" s="1"/>
      <c r="AY4362" s="1"/>
      <c r="AZ4362" s="1"/>
      <c r="BA4362" s="1"/>
      <c r="BB4362" s="1"/>
    </row>
    <row r="4363" ht="204.75" customHeight="1">
      <c r="A4363" s="1">
        <v>4942.0</v>
      </c>
      <c r="B4363" s="2" t="s">
        <v>12673</v>
      </c>
      <c r="C4363" s="2">
        <f>IFERROR(__xludf.DUMMYFUNCTION("split(B4363,""_"")"),1001.0)</f>
        <v>1001</v>
      </c>
      <c r="D4363" s="2" t="str">
        <f>IFERROR(__xludf.DUMMYFUNCTION("""COMPUTED_VALUE"""),"NTV")</f>
        <v>NTV</v>
      </c>
      <c r="E4363" s="2" t="str">
        <f>IFERROR(__xludf.DUMMYFUNCTION("""COMPUTED_VALUE"""),"木23")</f>
        <v>木23</v>
      </c>
      <c r="F4363" s="2" t="s">
        <v>12674</v>
      </c>
      <c r="G4363" s="2" t="s">
        <v>12685</v>
      </c>
      <c r="H4363" s="1">
        <v>10.0</v>
      </c>
      <c r="I4363" s="1" t="s">
        <v>37</v>
      </c>
      <c r="J4363" s="1" t="s">
        <v>1435</v>
      </c>
      <c r="K4363" s="2" t="s">
        <v>12686</v>
      </c>
      <c r="L4363" s="2"/>
      <c r="M4363" s="2" t="str">
        <f>IFERROR(__xludf.DUMMYFUNCTION("split(split(K4363,""【演出"",false),""ほか"",false)"),"板尾創路、津田寛治、田中直樹(ココリコ)、池田一真(しずる)、遠山景織子、山田麻衣子、笑福亭仁鶴(特別出演)、高知東生、大澄賢也、村上純(しずる)、高橋ひとみ、宅麻伸  【第十話ゲスト】月亭八方、桂きん枝、中田ボタン仁義なき暴力部長、誕生。  仁義なきディープキスも帰ってくる!  バイオレンスとキスに隠された  “木下部長の意外な素顔”とは!?  それは、木下部がプレゼン10連敗を喫し泥沼状態の時だった。明らかに自信喪失する木下部。専務・本部長・人事部長の三人は木下部全員を辞めさせようと企んでいた。  木"&amp;"下部の負けられない次のプレゼンは、苦労して何ヶ月も準備を重ねてきた仕事だった。しかしプレゼンを前に非情な裁定が…http://www.ytv.co.jp/kinoboku/")</f>
        <v>板尾創路、津田寛治、田中直樹(ココリコ)、池田一真(しずる)、遠山景織子、山田麻衣子、笑福亭仁鶴(特別出演)、高知東生、大澄賢也、村上純(しずる)、高橋ひとみ、宅麻伸  【第十話ゲスト】月亭八方、桂きん枝、中田ボタン仁義なき暴力部長、誕生。  仁義なきディープキスも帰ってくる!  バイオレンスとキスに隠された  “木下部長の意外な素顔”とは!?  それは、木下部がプレゼン10連敗を喫し泥沼状態の時だった。明らかに自信喪失する木下部。専務・本部長・人事部長の三人は木下部全員を辞めさせようと企んでいた。  木下部の負けられない次のプレゼンは、苦労して何ヶ月も準備を重ねてきた仕事だった。しかしプレゼンを前に非情な裁定が…http://www.ytv.co.jp/kinoboku/</v>
      </c>
      <c r="N4363" s="2"/>
      <c r="O4363" s="2"/>
      <c r="P4363" s="1"/>
      <c r="Q4363" s="1"/>
      <c r="R4363" s="1"/>
      <c r="S4363" s="1"/>
      <c r="T4363" s="1"/>
      <c r="U4363" s="1"/>
      <c r="V4363" s="1"/>
      <c r="W4363" s="1"/>
      <c r="X4363" s="1"/>
      <c r="Y4363" s="1"/>
      <c r="Z4363" s="1"/>
      <c r="AA4363" s="1"/>
      <c r="AB4363" s="1"/>
      <c r="AC4363" s="1"/>
      <c r="AD4363" s="1"/>
      <c r="AE4363" s="1"/>
      <c r="AF4363" s="1"/>
      <c r="AG4363" s="1"/>
      <c r="AH4363" s="1"/>
      <c r="AI4363" s="1"/>
      <c r="AJ4363" s="1"/>
      <c r="AK4363" s="1"/>
      <c r="AL4363" s="1"/>
      <c r="AM4363" s="1"/>
      <c r="AN4363" s="1"/>
      <c r="AO4363" s="1"/>
      <c r="AP4363" s="1"/>
      <c r="AQ4363" s="1"/>
      <c r="AR4363" s="1"/>
      <c r="AS4363" s="1"/>
      <c r="AT4363" s="1"/>
      <c r="AU4363" s="1"/>
      <c r="AV4363" s="1"/>
      <c r="AW4363" s="1"/>
      <c r="AX4363" s="1"/>
      <c r="AY4363" s="1"/>
      <c r="AZ4363" s="1"/>
      <c r="BA4363" s="1"/>
      <c r="BB4363" s="1"/>
    </row>
    <row r="4364" ht="204.75" customHeight="1">
      <c r="A4364" s="1">
        <v>4943.0</v>
      </c>
      <c r="B4364" s="2" t="s">
        <v>12673</v>
      </c>
      <c r="C4364" s="2">
        <f>IFERROR(__xludf.DUMMYFUNCTION("split(B4364,""_"")"),1001.0)</f>
        <v>1001</v>
      </c>
      <c r="D4364" s="2" t="str">
        <f>IFERROR(__xludf.DUMMYFUNCTION("""COMPUTED_VALUE"""),"NTV")</f>
        <v>NTV</v>
      </c>
      <c r="E4364" s="2" t="str">
        <f>IFERROR(__xludf.DUMMYFUNCTION("""COMPUTED_VALUE"""),"木23")</f>
        <v>木23</v>
      </c>
      <c r="F4364" s="2" t="s">
        <v>12674</v>
      </c>
      <c r="G4364" s="2" t="s">
        <v>12687</v>
      </c>
      <c r="H4364" s="1">
        <v>12.0</v>
      </c>
      <c r="I4364" s="1" t="s">
        <v>3666</v>
      </c>
      <c r="J4364" s="1" t="s">
        <v>1435</v>
      </c>
      <c r="K4364" s="2" t="s">
        <v>12688</v>
      </c>
      <c r="L4364" s="2"/>
      <c r="M4364" s="2" t="str">
        <f>IFERROR(__xludf.DUMMYFUNCTION("split(split(K4364,""【演出"",false),""ほか"",false)"),"板尾創路、津田寛治、田中直樹(ココリコ)、池田一真(しずる)、遠山景織子、山田麻衣子、笑福亭仁鶴(特別出演)、高知東生、大澄賢也、村上純(しずる)、高橋ひとみ、宅麻伸  【第十二話ゲスト】藤井隆、千原ジュニア、なだぎ武「もう、帰ってもええかな?」ではなく  「もう、辞めてもええかな?」  スケールアップしてしまった奇跡を起こす無責任男。  その理由とは  「店長になりたい」  …もはや理解不能な“最後の木下伝説”が丸々通信をビッグバンに導く!  残された木下部は?  かれんのママとの関係は?  その時、君"&amp;"島部長は…?  最後の最後までありえない展開!  皆さまを決して裏切りません!  そして、消えてしまった木下部長は何処へ…?http://www.ytv.co.jp/kinoboku/")</f>
        <v>板尾創路、津田寛治、田中直樹(ココリコ)、池田一真(しずる)、遠山景織子、山田麻衣子、笑福亭仁鶴(特別出演)、高知東生、大澄賢也、村上純(しずる)、高橋ひとみ、宅麻伸  【第十二話ゲスト】藤井隆、千原ジュニア、なだぎ武「もう、帰ってもええかな?」ではなく  「もう、辞めてもええかな?」  スケールアップしてしまった奇跡を起こす無責任男。  その理由とは  「店長になりたい」  …もはや理解不能な“最後の木下伝説”が丸々通信をビッグバンに導く!  残された木下部は?  かれんのママとの関係は?  その時、君島部長は…?  最後の最後までありえない展開!  皆さまを決して裏切りません!  そして、消えてしまった木下部長は何処へ…?http://www.ytv.co.jp/kinoboku/</v>
      </c>
      <c r="N4364" s="2"/>
      <c r="O4364" s="2"/>
      <c r="P4364" s="1"/>
      <c r="Q4364" s="1"/>
      <c r="R4364" s="1"/>
      <c r="S4364" s="1"/>
      <c r="T4364" s="1"/>
      <c r="U4364" s="1"/>
      <c r="V4364" s="1"/>
      <c r="W4364" s="1"/>
      <c r="X4364" s="1"/>
      <c r="Y4364" s="1"/>
      <c r="Z4364" s="1"/>
      <c r="AA4364" s="1"/>
      <c r="AB4364" s="1"/>
      <c r="AC4364" s="1"/>
      <c r="AD4364" s="1"/>
      <c r="AE4364" s="1"/>
      <c r="AF4364" s="1"/>
      <c r="AG4364" s="1"/>
      <c r="AH4364" s="1"/>
      <c r="AI4364" s="1"/>
      <c r="AJ4364" s="1"/>
      <c r="AK4364" s="1"/>
      <c r="AL4364" s="1"/>
      <c r="AM4364" s="1"/>
      <c r="AN4364" s="1"/>
      <c r="AO4364" s="1"/>
      <c r="AP4364" s="1"/>
      <c r="AQ4364" s="1"/>
      <c r="AR4364" s="1"/>
      <c r="AS4364" s="1"/>
      <c r="AT4364" s="1"/>
      <c r="AU4364" s="1"/>
      <c r="AV4364" s="1"/>
      <c r="AW4364" s="1"/>
      <c r="AX4364" s="1"/>
      <c r="AY4364" s="1"/>
      <c r="AZ4364" s="1"/>
      <c r="BA4364" s="1"/>
      <c r="BB4364" s="1"/>
    </row>
    <row r="4365" ht="204.75" customHeight="1">
      <c r="A4365" s="1">
        <v>4964.0</v>
      </c>
      <c r="B4365" s="2" t="s">
        <v>12689</v>
      </c>
      <c r="C4365" s="2">
        <f>IFERROR(__xludf.DUMMYFUNCTION("split(B4365,""_"")"),1001.0)</f>
        <v>1001</v>
      </c>
      <c r="D4365" s="2" t="str">
        <f>IFERROR(__xludf.DUMMYFUNCTION("""COMPUTED_VALUE"""),"NTV")</f>
        <v>NTV</v>
      </c>
      <c r="E4365" s="2" t="str">
        <f>IFERROR(__xludf.DUMMYFUNCTION("""COMPUTED_VALUE"""),"土21")</f>
        <v>土21</v>
      </c>
      <c r="F4365" s="2" t="s">
        <v>12690</v>
      </c>
      <c r="G4365" s="2" t="s">
        <v>12691</v>
      </c>
      <c r="H4365" s="1">
        <v>1.0</v>
      </c>
      <c r="J4365" s="1" t="s">
        <v>4</v>
      </c>
      <c r="K4365" s="2" t="s">
        <v>12692</v>
      </c>
      <c r="L4365" s="2"/>
      <c r="M4365" s="2" t="str">
        <f>IFERROR(__xludf.DUMMYFUNCTION("split(split(K4365,""【演出"",false),""ほか"",false)"),"山田涼介(Hey!Say!JUMP)、横山裕、石原さとみ、  岡田義徳、はるな愛、クリスタル　ケイ、古田新太、  渡辺いっけい、佐野史郎、片平なぎさ　他左目に特殊能力を持つ愛之助(山田涼介)は、天才犯罪プランナーである兄・夢人(横山裕)の犯罪計画が再び動き出したことを知る。それは、驚くべき誘拐事件だった。愛之助は、養護教諭・瞳(石原さとみ)と共に捜査を始めるが、偶然出会った少女・舞に魔の手が迫る。果たして愛之助は、左目を駆使し、舞を守ることができるのか?夢人が仕掛ける誘拐事件の真の目的とは?衝撃のラスト!"&amp;"愛之助の目前に、夢人は驚くべき姿で現れる…大塚恭司秦建日子【音楽】林ゆうき  【主題歌】『瞳のスクリーン』(Hey!Say!JUMP)")</f>
        <v>山田涼介(Hey!Say!JUMP)、横山裕、石原さとみ、  岡田義徳、はるな愛、クリスタル　ケイ、古田新太、  渡辺いっけい、佐野史郎、片平なぎさ　他左目に特殊能力を持つ愛之助(山田涼介)は、天才犯罪プランナーである兄・夢人(横山裕)の犯罪計画が再び動き出したことを知る。それは、驚くべき誘拐事件だった。愛之助は、養護教諭・瞳(石原さとみ)と共に捜査を始めるが、偶然出会った少女・舞に魔の手が迫る。果たして愛之助は、左目を駆使し、舞を守ることができるのか?夢人が仕掛ける誘拐事件の真の目的とは?衝撃のラスト!愛之助の目前に、夢人は驚くべき姿で現れる…大塚恭司秦建日子【音楽】林ゆうき  【主題歌】『瞳のスクリーン』(Hey!Say!JUMP)</v>
      </c>
      <c r="N4365" s="2"/>
      <c r="O4365" s="2"/>
      <c r="P4365" s="1"/>
      <c r="Q4365" s="1"/>
      <c r="R4365" s="1"/>
      <c r="S4365" s="1"/>
      <c r="T4365" s="1"/>
      <c r="U4365" s="1"/>
      <c r="V4365" s="1"/>
      <c r="W4365" s="1"/>
      <c r="X4365" s="1"/>
      <c r="Y4365" s="1"/>
      <c r="Z4365" s="1"/>
      <c r="AA4365" s="1"/>
      <c r="AB4365" s="1"/>
      <c r="AC4365" s="1"/>
      <c r="AD4365" s="1"/>
      <c r="AE4365" s="1"/>
      <c r="AF4365" s="1"/>
      <c r="AG4365" s="1"/>
      <c r="AH4365" s="1"/>
      <c r="AI4365" s="1"/>
      <c r="AJ4365" s="1"/>
      <c r="AK4365" s="1"/>
      <c r="AL4365" s="1"/>
      <c r="AM4365" s="1"/>
      <c r="AN4365" s="1"/>
      <c r="AO4365" s="1"/>
      <c r="AP4365" s="1"/>
      <c r="AQ4365" s="1"/>
      <c r="AR4365" s="1"/>
      <c r="AS4365" s="1"/>
      <c r="AT4365" s="1"/>
      <c r="AU4365" s="1"/>
      <c r="AV4365" s="1"/>
      <c r="AW4365" s="1"/>
      <c r="AX4365" s="1"/>
      <c r="AY4365" s="1"/>
      <c r="AZ4365" s="1"/>
      <c r="BA4365" s="1"/>
      <c r="BB4365" s="1"/>
    </row>
    <row r="4366" ht="204.75" customHeight="1">
      <c r="A4366" s="1">
        <v>4965.0</v>
      </c>
      <c r="B4366" s="2" t="s">
        <v>12689</v>
      </c>
      <c r="C4366" s="2">
        <f>IFERROR(__xludf.DUMMYFUNCTION("split(B4366,""_"")"),1001.0)</f>
        <v>1001</v>
      </c>
      <c r="D4366" s="2" t="str">
        <f>IFERROR(__xludf.DUMMYFUNCTION("""COMPUTED_VALUE"""),"NTV")</f>
        <v>NTV</v>
      </c>
      <c r="E4366" s="2" t="str">
        <f>IFERROR(__xludf.DUMMYFUNCTION("""COMPUTED_VALUE"""),"土21")</f>
        <v>土21</v>
      </c>
      <c r="F4366" s="2" t="s">
        <v>12690</v>
      </c>
      <c r="G4366" s="2" t="s">
        <v>12691</v>
      </c>
      <c r="H4366" s="1">
        <v>2.0</v>
      </c>
      <c r="J4366" s="1" t="s">
        <v>11</v>
      </c>
      <c r="K4366" s="2" t="s">
        <v>12693</v>
      </c>
      <c r="L4366" s="2"/>
      <c r="M4366" s="2" t="str">
        <f>IFERROR(__xludf.DUMMYFUNCTION("split(split(K4366,""【演出"",false),""ほか"",false)"),"山田涼介(Hey!Say!JUMP)、横山裕、石原さとみ、  岡田義徳、クリスタル　ケイ、はるな愛、古田新太、  渡辺いっけい、佐野史郎、片平なぎさ  【第2話ゲスト】中山優馬、渡辺典子下校中の愛之助の目の前で、同級生の正樹が拉致される。犯人の要求する身代金額は900万円。正樹の母・早苗(渡辺典子)の勤務先の社長・神谷に福地(佐野史郎)が交渉し、身代金の肩代わりを承諾させる。そこに、犯人から運搬役に愛之助が指名される。正樹の命を救うため、必死に走る愛之助。心配し、後をつける瞳(石原さとみ)を撒き、最後の指"&amp;"定場所に辿り着いた愛之助の前に現れたのは…。夢人(横山裕)本当の狙いとは?大塚恭司秦建日子【音楽】林ゆうき  【主題歌】「瞳のスクリーン」Hey!Say!JUMP(ジェイ・ストーム)")</f>
        <v>山田涼介(Hey!Say!JUMP)、横山裕、石原さとみ、  岡田義徳、クリスタル　ケイ、はるな愛、古田新太、  渡辺いっけい、佐野史郎、片平なぎさ  【第2話ゲスト】中山優馬、渡辺典子下校中の愛之助の目の前で、同級生の正樹が拉致される。犯人の要求する身代金額は900万円。正樹の母・早苗(渡辺典子)の勤務先の社長・神谷に福地(佐野史郎)が交渉し、身代金の肩代わりを承諾させる。そこに、犯人から運搬役に愛之助が指名される。正樹の命を救うため、必死に走る愛之助。心配し、後をつける瞳(石原さとみ)を撒き、最後の指定場所に辿り着いた愛之助の前に現れたのは…。夢人(横山裕)本当の狙いとは?大塚恭司秦建日子【音楽】林ゆうき  【主題歌】「瞳のスクリーン」Hey!Say!JUMP(ジェイ・ストーム)</v>
      </c>
      <c r="N4366" s="2"/>
      <c r="O4366" s="2"/>
      <c r="P4366" s="1"/>
      <c r="Q4366" s="1"/>
      <c r="R4366" s="1"/>
      <c r="S4366" s="1"/>
      <c r="T4366" s="1"/>
      <c r="U4366" s="1"/>
      <c r="V4366" s="1"/>
      <c r="W4366" s="1"/>
      <c r="X4366" s="1"/>
      <c r="Y4366" s="1"/>
      <c r="Z4366" s="1"/>
      <c r="AA4366" s="1"/>
      <c r="AB4366" s="1"/>
      <c r="AC4366" s="1"/>
      <c r="AD4366" s="1"/>
      <c r="AE4366" s="1"/>
      <c r="AF4366" s="1"/>
      <c r="AG4366" s="1"/>
      <c r="AH4366" s="1"/>
      <c r="AI4366" s="1"/>
      <c r="AJ4366" s="1"/>
      <c r="AK4366" s="1"/>
      <c r="AL4366" s="1"/>
      <c r="AM4366" s="1"/>
      <c r="AN4366" s="1"/>
      <c r="AO4366" s="1"/>
      <c r="AP4366" s="1"/>
      <c r="AQ4366" s="1"/>
      <c r="AR4366" s="1"/>
      <c r="AS4366" s="1"/>
      <c r="AT4366" s="1"/>
      <c r="AU4366" s="1"/>
      <c r="AV4366" s="1"/>
      <c r="AW4366" s="1"/>
      <c r="AX4366" s="1"/>
      <c r="AY4366" s="1"/>
      <c r="AZ4366" s="1"/>
      <c r="BA4366" s="1"/>
      <c r="BB4366" s="1"/>
    </row>
    <row r="4367" ht="204.75" customHeight="1">
      <c r="A4367" s="1">
        <v>4966.0</v>
      </c>
      <c r="B4367" s="2" t="s">
        <v>12689</v>
      </c>
      <c r="C4367" s="2">
        <f>IFERROR(__xludf.DUMMYFUNCTION("split(B4367,""_"")"),1001.0)</f>
        <v>1001</v>
      </c>
      <c r="D4367" s="2" t="str">
        <f>IFERROR(__xludf.DUMMYFUNCTION("""COMPUTED_VALUE"""),"NTV")</f>
        <v>NTV</v>
      </c>
      <c r="E4367" s="2" t="str">
        <f>IFERROR(__xludf.DUMMYFUNCTION("""COMPUTED_VALUE"""),"土21")</f>
        <v>土21</v>
      </c>
      <c r="F4367" s="2" t="s">
        <v>12690</v>
      </c>
      <c r="G4367" s="2" t="s">
        <v>12691</v>
      </c>
      <c r="H4367" s="1">
        <v>3.0</v>
      </c>
      <c r="J4367" s="1" t="s">
        <v>11</v>
      </c>
      <c r="K4367" s="2" t="s">
        <v>12694</v>
      </c>
      <c r="L4367" s="2"/>
      <c r="M4367" s="2" t="str">
        <f>IFERROR(__xludf.DUMMYFUNCTION("split(split(K4367,""【演出"",false),""ほか"",false)"),"山田涼介(Hey!Say!JUMP)、横山裕、石原さとみ、  岡田義徳、クリスタル　ケイ、はるな愛、古田新太、  渡辺いっけい、佐野史郎、片平なぎさ　  【第3話ゲスト】魔裟斗、深水三章、升毅　")</f>
        <v>山田涼介(Hey!Say!JUMP)、横山裕、石原さとみ、  岡田義徳、クリスタル　ケイ、はるな愛、古田新太、  渡辺いっけい、佐野史郎、片平なぎさ　  【第3話ゲスト】魔裟斗、深水三章、升毅　</v>
      </c>
      <c r="N4367" s="2" t="str">
        <f>IFERROR(__xludf.DUMMYFUNCTION("""COMPUTED_VALUE"""),"瞳が出席する結婚式で事件が起こることを左目で見た愛之助は、犯罪を食い止めるため会場に向かう。現職の大臣・鷲尾(升毅)も式に出席するため、加藤(岡田義徳)ら刑事が厳重に警備しており、その中に夢人(横山裕)の姿を発見。瞳に危険が迫っていることを感じた愛之助は、荒井の運転するトラックに隠れて潜入する。パーティーの最中、新郎が刺されるが、凶器が見つからない。容疑者が特定できないまま、第二の事件が発生する。佐久間紀佳秦建日子【音楽】林ゆうき  【主題歌】『瞳のスクリーン』Hey!Say!JUMP(ジェイ・ストーム)")</f>
        <v>瞳が出席する結婚式で事件が起こることを左目で見た愛之助は、犯罪を食い止めるため会場に向かう。現職の大臣・鷲尾(升毅)も式に出席するため、加藤(岡田義徳)ら刑事が厳重に警備しており、その中に夢人(横山裕)の姿を発見。瞳に危険が迫っていることを感じた愛之助は、荒井の運転するトラックに隠れて潜入する。パーティーの最中、新郎が刺されるが、凶器が見つからない。容疑者が特定できないまま、第二の事件が発生する。佐久間紀佳秦建日子【音楽】林ゆうき  【主題歌】『瞳のスクリーン』Hey!Say!JUMP(ジェイ・ストーム)</v>
      </c>
      <c r="O4367" s="2"/>
      <c r="P4367" s="1"/>
      <c r="Q4367" s="1"/>
      <c r="R4367" s="1"/>
      <c r="S4367" s="1"/>
      <c r="T4367" s="1"/>
      <c r="U4367" s="1"/>
      <c r="V4367" s="1"/>
      <c r="W4367" s="1"/>
      <c r="X4367" s="1"/>
      <c r="Y4367" s="1"/>
      <c r="Z4367" s="1"/>
      <c r="AA4367" s="1"/>
      <c r="AB4367" s="1"/>
      <c r="AC4367" s="1"/>
      <c r="AD4367" s="1"/>
      <c r="AE4367" s="1"/>
      <c r="AF4367" s="1"/>
      <c r="AG4367" s="1"/>
      <c r="AH4367" s="1"/>
      <c r="AI4367" s="1"/>
      <c r="AJ4367" s="1"/>
      <c r="AK4367" s="1"/>
      <c r="AL4367" s="1"/>
      <c r="AM4367" s="1"/>
      <c r="AN4367" s="1"/>
      <c r="AO4367" s="1"/>
      <c r="AP4367" s="1"/>
      <c r="AQ4367" s="1"/>
      <c r="AR4367" s="1"/>
      <c r="AS4367" s="1"/>
      <c r="AT4367" s="1"/>
      <c r="AU4367" s="1"/>
      <c r="AV4367" s="1"/>
      <c r="AW4367" s="1"/>
      <c r="AX4367" s="1"/>
      <c r="AY4367" s="1"/>
      <c r="AZ4367" s="1"/>
      <c r="BA4367" s="1"/>
      <c r="BB4367" s="1"/>
    </row>
    <row r="4368" ht="204.75" customHeight="1">
      <c r="A4368" s="1">
        <v>4967.0</v>
      </c>
      <c r="B4368" s="2" t="s">
        <v>12689</v>
      </c>
      <c r="C4368" s="2">
        <f>IFERROR(__xludf.DUMMYFUNCTION("split(B4368,""_"")"),1001.0)</f>
        <v>1001</v>
      </c>
      <c r="D4368" s="2" t="str">
        <f>IFERROR(__xludf.DUMMYFUNCTION("""COMPUTED_VALUE"""),"NTV")</f>
        <v>NTV</v>
      </c>
      <c r="E4368" s="2" t="str">
        <f>IFERROR(__xludf.DUMMYFUNCTION("""COMPUTED_VALUE"""),"土21")</f>
        <v>土21</v>
      </c>
      <c r="F4368" s="2" t="s">
        <v>12690</v>
      </c>
      <c r="G4368" s="2" t="s">
        <v>12691</v>
      </c>
      <c r="H4368" s="1">
        <v>4.0</v>
      </c>
      <c r="J4368" s="1" t="s">
        <v>11</v>
      </c>
      <c r="K4368" s="2" t="s">
        <v>12695</v>
      </c>
      <c r="L4368" s="2"/>
      <c r="M4368" s="2" t="str">
        <f>IFERROR(__xludf.DUMMYFUNCTION("split(split(K4368,""【演出"",false),""ほか"",false)"),"山田涼介(Hey!Say!JUMP)、横山裕、石原さとみ、  岡田義徳、クリスタル　ケイ、はるな愛、古田新太、  渡辺いっけい、佐野史郎、片平なぎさ、  【第四話ゲスト】森本慎太郎、逢沢りな、LIGHT　BRINGER、デーモン閣下愛之助の左目に『ロックバンド』『皆殺しの文字』が映る。後輩・島田は事件を予言した歌で人気上昇中の「ブルーヘブン」だという。新たな事件を察知した愛之助はライブに潜入する。同じ頃、福地(佐野史郎)は夢人(横山裕)と加藤(岡田義徳)に愛之助を監視するよう命じる。ライブ当日、瞳(石原さ"&amp;"とみ)は、愛之助たちと合流。ボーカルのタク(デーモン閣下)に扇動された観客は暴徒と化し、愛之助たちは窮地に・・・岩本仁志秦建日子【音楽】林ゆうき  【主題歌】『瞳のスクリーン』(Hey!Say!JUMP)(ジェイ・ストーム)")</f>
        <v>山田涼介(Hey!Say!JUMP)、横山裕、石原さとみ、  岡田義徳、クリスタル　ケイ、はるな愛、古田新太、  渡辺いっけい、佐野史郎、片平なぎさ、  【第四話ゲスト】森本慎太郎、逢沢りな、LIGHT　BRINGER、デーモン閣下愛之助の左目に『ロックバンド』『皆殺しの文字』が映る。後輩・島田は事件を予言した歌で人気上昇中の「ブルーヘブン」だという。新たな事件を察知した愛之助はライブに潜入する。同じ頃、福地(佐野史郎)は夢人(横山裕)と加藤(岡田義徳)に愛之助を監視するよう命じる。ライブ当日、瞳(石原さとみ)は、愛之助たちと合流。ボーカルのタク(デーモン閣下)に扇動された観客は暴徒と化し、愛之助たちは窮地に・・・岩本仁志秦建日子【音楽】林ゆうき  【主題歌】『瞳のスクリーン』(Hey!Say!JUMP)(ジェイ・ストーム)</v>
      </c>
      <c r="N4368" s="2"/>
      <c r="O4368" s="2"/>
      <c r="P4368" s="1"/>
      <c r="Q4368" s="1"/>
      <c r="R4368" s="1"/>
      <c r="S4368" s="1"/>
      <c r="T4368" s="1"/>
      <c r="U4368" s="1"/>
      <c r="V4368" s="1"/>
      <c r="W4368" s="1"/>
      <c r="X4368" s="1"/>
      <c r="Y4368" s="1"/>
      <c r="Z4368" s="1"/>
      <c r="AA4368" s="1"/>
      <c r="AB4368" s="1"/>
      <c r="AC4368" s="1"/>
      <c r="AD4368" s="1"/>
      <c r="AE4368" s="1"/>
      <c r="AF4368" s="1"/>
      <c r="AG4368" s="1"/>
      <c r="AH4368" s="1"/>
      <c r="AI4368" s="1"/>
      <c r="AJ4368" s="1"/>
      <c r="AK4368" s="1"/>
      <c r="AL4368" s="1"/>
      <c r="AM4368" s="1"/>
      <c r="AN4368" s="1"/>
      <c r="AO4368" s="1"/>
      <c r="AP4368" s="1"/>
      <c r="AQ4368" s="1"/>
      <c r="AR4368" s="1"/>
      <c r="AS4368" s="1"/>
      <c r="AT4368" s="1"/>
      <c r="AU4368" s="1"/>
      <c r="AV4368" s="1"/>
      <c r="AW4368" s="1"/>
      <c r="AX4368" s="1"/>
      <c r="AY4368" s="1"/>
      <c r="AZ4368" s="1"/>
      <c r="BA4368" s="1"/>
      <c r="BB4368" s="1"/>
    </row>
    <row r="4369" ht="204.75" customHeight="1">
      <c r="A4369" s="1">
        <v>4968.0</v>
      </c>
      <c r="B4369" s="2" t="s">
        <v>12689</v>
      </c>
      <c r="C4369" s="2">
        <f>IFERROR(__xludf.DUMMYFUNCTION("split(B4369,""_"")"),1001.0)</f>
        <v>1001</v>
      </c>
      <c r="D4369" s="2" t="str">
        <f>IFERROR(__xludf.DUMMYFUNCTION("""COMPUTED_VALUE"""),"NTV")</f>
        <v>NTV</v>
      </c>
      <c r="E4369" s="2" t="str">
        <f>IFERROR(__xludf.DUMMYFUNCTION("""COMPUTED_VALUE"""),"土21")</f>
        <v>土21</v>
      </c>
      <c r="F4369" s="2" t="s">
        <v>12690</v>
      </c>
      <c r="G4369" s="2" t="s">
        <v>12691</v>
      </c>
      <c r="H4369" s="1">
        <v>5.0</v>
      </c>
      <c r="J4369" s="1" t="s">
        <v>11</v>
      </c>
      <c r="K4369" s="2" t="s">
        <v>12696</v>
      </c>
      <c r="L4369" s="2"/>
      <c r="M4369" s="2" t="str">
        <f>IFERROR(__xludf.DUMMYFUNCTION("split(split(K4369,""【演出"",false),""ほか"",false)"),"山田涼介(Hey!Say!JUMP)、横山裕、石原さとみ、  岡田義徳、クリスタル・ケイ、はるな愛、古田新太、  渡辺いっけい、佐野史郎、片平なぎさ  【第5話ゲスト】インリン・オブ・ジョイトイ、Mr.マリック取立て屋の谷田部殺害の容疑者として瞳が警察に連行された。その直後、谷田部の死体が消え、大騒ぎに…。瞳の無実を信じる愛之助は、左目に見えた『谷田部の生命保険証書』を手掛りに、加藤(岡田義徳)と共に捜査を始める。だが、妻・佳子には鉄壁のアリバイがあった。愛之助たちは、足取りを追ってレディX(インリン・オ"&amp;"ブ・ジョイトイ)のマジックショーへ潜入する。その頃、瞳は黒晶の特別房に入れられ、ある事を依頼される…大塚恭司秦建日子【音楽】林ゆうき  【主題歌】『瞳のスクリーン』(Hey!Say!JUMP)")</f>
        <v>山田涼介(Hey!Say!JUMP)、横山裕、石原さとみ、  岡田義徳、クリスタル・ケイ、はるな愛、古田新太、  渡辺いっけい、佐野史郎、片平なぎさ  【第5話ゲスト】インリン・オブ・ジョイトイ、Mr.マリック取立て屋の谷田部殺害の容疑者として瞳が警察に連行された。その直後、谷田部の死体が消え、大騒ぎに…。瞳の無実を信じる愛之助は、左目に見えた『谷田部の生命保険証書』を手掛りに、加藤(岡田義徳)と共に捜査を始める。だが、妻・佳子には鉄壁のアリバイがあった。愛之助たちは、足取りを追ってレディX(インリン・オブ・ジョイトイ)のマジックショーへ潜入する。その頃、瞳は黒晶の特別房に入れられ、ある事を依頼される…大塚恭司秦建日子【音楽】林ゆうき  【主題歌】『瞳のスクリーン』(Hey!Say!JUMP)</v>
      </c>
      <c r="N4369" s="2"/>
      <c r="O4369" s="2"/>
      <c r="P4369" s="1"/>
      <c r="Q4369" s="1"/>
      <c r="R4369" s="1"/>
      <c r="S4369" s="1"/>
      <c r="T4369" s="1"/>
      <c r="U4369" s="1"/>
      <c r="V4369" s="1"/>
      <c r="W4369" s="1"/>
      <c r="X4369" s="1"/>
      <c r="Y4369" s="1"/>
      <c r="Z4369" s="1"/>
      <c r="AA4369" s="1"/>
      <c r="AB4369" s="1"/>
      <c r="AC4369" s="1"/>
      <c r="AD4369" s="1"/>
      <c r="AE4369" s="1"/>
      <c r="AF4369" s="1"/>
      <c r="AG4369" s="1"/>
      <c r="AH4369" s="1"/>
      <c r="AI4369" s="1"/>
      <c r="AJ4369" s="1"/>
      <c r="AK4369" s="1"/>
      <c r="AL4369" s="1"/>
      <c r="AM4369" s="1"/>
      <c r="AN4369" s="1"/>
      <c r="AO4369" s="1"/>
      <c r="AP4369" s="1"/>
      <c r="AQ4369" s="1"/>
      <c r="AR4369" s="1"/>
      <c r="AS4369" s="1"/>
      <c r="AT4369" s="1"/>
      <c r="AU4369" s="1"/>
      <c r="AV4369" s="1"/>
      <c r="AW4369" s="1"/>
      <c r="AX4369" s="1"/>
      <c r="AY4369" s="1"/>
      <c r="AZ4369" s="1"/>
      <c r="BA4369" s="1"/>
      <c r="BB4369" s="1"/>
    </row>
    <row r="4370" ht="204.75" customHeight="1">
      <c r="A4370" s="1">
        <v>4969.0</v>
      </c>
      <c r="B4370" s="2" t="s">
        <v>12689</v>
      </c>
      <c r="C4370" s="2">
        <f>IFERROR(__xludf.DUMMYFUNCTION("split(B4370,""_"")"),1001.0)</f>
        <v>1001</v>
      </c>
      <c r="D4370" s="2" t="str">
        <f>IFERROR(__xludf.DUMMYFUNCTION("""COMPUTED_VALUE"""),"NTV")</f>
        <v>NTV</v>
      </c>
      <c r="E4370" s="2" t="str">
        <f>IFERROR(__xludf.DUMMYFUNCTION("""COMPUTED_VALUE"""),"土21")</f>
        <v>土21</v>
      </c>
      <c r="F4370" s="2" t="s">
        <v>12690</v>
      </c>
      <c r="G4370" s="2" t="s">
        <v>12691</v>
      </c>
      <c r="H4370" s="1">
        <v>6.0</v>
      </c>
      <c r="J4370" s="1" t="s">
        <v>11</v>
      </c>
      <c r="K4370" s="2" t="s">
        <v>12697</v>
      </c>
      <c r="L4370" s="2"/>
      <c r="M4370" s="2" t="str">
        <f>IFERROR(__xludf.DUMMYFUNCTION("split(split(K4370,""【演出"",false),""ほか"",false)"),"山田涼介(Hey!Say!JUMP)、横山裕、石原さとみ、  岡田義徳、クリスタル・ケイ、はるな愛、小木茂光、  渡辺いっけい、佐野史郎、片平なぎさ福地に、夢人の秘密を告白した愛之助。福地は典子(片平なぎさ)に呼び出され、連続爆破事件に巻き込まれる。責任を感じ、動揺する愛之助は犯罪を止める意志を失う。瞳(石原さとみ)に励まされ、再起する愛之助。左目映像をヒントに爆弾が仕掛けられた場所は特定するが、爆発物が見つからない。爆破予告時間まであと5分。ついに、爆弾を発見する愛之助と瞳。五千人の命を救う為、愛之助は"&amp;"爆弾を抱え、階段を駆け上がる!佐久間紀佳秦建日子【音楽】林ゆうき  【主題歌】『瞳のスクリーン』(Hey!Say!JUMP)")</f>
        <v>山田涼介(Hey!Say!JUMP)、横山裕、石原さとみ、  岡田義徳、クリスタル・ケイ、はるな愛、小木茂光、  渡辺いっけい、佐野史郎、片平なぎさ福地に、夢人の秘密を告白した愛之助。福地は典子(片平なぎさ)に呼び出され、連続爆破事件に巻き込まれる。責任を感じ、動揺する愛之助は犯罪を止める意志を失う。瞳(石原さとみ)に励まされ、再起する愛之助。左目映像をヒントに爆弾が仕掛けられた場所は特定するが、爆発物が見つからない。爆破予告時間まであと5分。ついに、爆弾を発見する愛之助と瞳。五千人の命を救う為、愛之助は爆弾を抱え、階段を駆け上がる!佐久間紀佳秦建日子【音楽】林ゆうき  【主題歌】『瞳のスクリーン』(Hey!Say!JUMP)</v>
      </c>
      <c r="N4370" s="2"/>
      <c r="O4370" s="2"/>
      <c r="P4370" s="1"/>
      <c r="Q4370" s="1"/>
      <c r="R4370" s="1"/>
      <c r="S4370" s="1"/>
      <c r="T4370" s="1"/>
      <c r="U4370" s="1"/>
      <c r="V4370" s="1"/>
      <c r="W4370" s="1"/>
      <c r="X4370" s="1"/>
      <c r="Y4370" s="1"/>
      <c r="Z4370" s="1"/>
      <c r="AA4370" s="1"/>
      <c r="AB4370" s="1"/>
      <c r="AC4370" s="1"/>
      <c r="AD4370" s="1"/>
      <c r="AE4370" s="1"/>
      <c r="AF4370" s="1"/>
      <c r="AG4370" s="1"/>
      <c r="AH4370" s="1"/>
      <c r="AI4370" s="1"/>
      <c r="AJ4370" s="1"/>
      <c r="AK4370" s="1"/>
      <c r="AL4370" s="1"/>
      <c r="AM4370" s="1"/>
      <c r="AN4370" s="1"/>
      <c r="AO4370" s="1"/>
      <c r="AP4370" s="1"/>
      <c r="AQ4370" s="1"/>
      <c r="AR4370" s="1"/>
      <c r="AS4370" s="1"/>
      <c r="AT4370" s="1"/>
      <c r="AU4370" s="1"/>
      <c r="AV4370" s="1"/>
      <c r="AW4370" s="1"/>
      <c r="AX4370" s="1"/>
      <c r="AY4370" s="1"/>
      <c r="AZ4370" s="1"/>
      <c r="BA4370" s="1"/>
      <c r="BB4370" s="1"/>
    </row>
    <row r="4371" ht="204.75" customHeight="1">
      <c r="A4371" s="1">
        <v>4970.0</v>
      </c>
      <c r="B4371" s="2" t="s">
        <v>12689</v>
      </c>
      <c r="C4371" s="2">
        <f>IFERROR(__xludf.DUMMYFUNCTION("split(B4371,""_"")"),1001.0)</f>
        <v>1001</v>
      </c>
      <c r="D4371" s="2" t="str">
        <f>IFERROR(__xludf.DUMMYFUNCTION("""COMPUTED_VALUE"""),"NTV")</f>
        <v>NTV</v>
      </c>
      <c r="E4371" s="2" t="str">
        <f>IFERROR(__xludf.DUMMYFUNCTION("""COMPUTED_VALUE"""),"土21")</f>
        <v>土21</v>
      </c>
      <c r="F4371" s="2" t="s">
        <v>12690</v>
      </c>
      <c r="G4371" s="2" t="s">
        <v>12691</v>
      </c>
      <c r="H4371" s="1">
        <v>7.0</v>
      </c>
      <c r="J4371" s="1" t="s">
        <v>11</v>
      </c>
      <c r="K4371" s="2" t="s">
        <v>12698</v>
      </c>
      <c r="L4371" s="2"/>
      <c r="M4371" s="2" t="str">
        <f>IFERROR(__xludf.DUMMYFUNCTION("split(split(K4371,""【演出"",false),""ほか"",false)"),"山田涼介(Hey!Say!JUMP)、横山裕、石原さとみ、  岡田義徳、クリスタル　ケイ、はるな愛、  小木茂光、渡辺いっけい、片平なぎさ　他みるくが何者かに襲われた。愛之助は連続爆破事件から兄・夢人との思い出に解決のヒントがあると推理し、瞳と共に向かう。一方、夢人は刑事としての身分を捨て、最後の犯罪計画を進めようとしていた。思い出の場所に辿り着いた二人は愛之助の過去に深い関わりがあるものを発見する。愛之助の脳裏に幼い頃の映像が断片的に蘇る。そこへ夢人から連絡が入り、今回の犯人は自分たち兄弟に復讐するため"&amp;"に現れたことを告げる。佐久間紀佳秦建日子【音楽】林ゆうき  【主題歌】『瞳のスクリーン』Hey!Say!JUMP(ジェイ・ストーム)")</f>
        <v>山田涼介(Hey!Say!JUMP)、横山裕、石原さとみ、  岡田義徳、クリスタル　ケイ、はるな愛、  小木茂光、渡辺いっけい、片平なぎさ　他みるくが何者かに襲われた。愛之助は連続爆破事件から兄・夢人との思い出に解決のヒントがあると推理し、瞳と共に向かう。一方、夢人は刑事としての身分を捨て、最後の犯罪計画を進めようとしていた。思い出の場所に辿り着いた二人は愛之助の過去に深い関わりがあるものを発見する。愛之助の脳裏に幼い頃の映像が断片的に蘇る。そこへ夢人から連絡が入り、今回の犯人は自分たち兄弟に復讐するために現れたことを告げる。佐久間紀佳秦建日子【音楽】林ゆうき  【主題歌】『瞳のスクリーン』Hey!Say!JUMP(ジェイ・ストーム)</v>
      </c>
      <c r="N4371" s="2"/>
      <c r="O4371" s="2"/>
      <c r="P4371" s="1"/>
      <c r="Q4371" s="1"/>
      <c r="R4371" s="1"/>
      <c r="S4371" s="1"/>
      <c r="T4371" s="1"/>
      <c r="U4371" s="1"/>
      <c r="V4371" s="1"/>
      <c r="W4371" s="1"/>
      <c r="X4371" s="1"/>
      <c r="Y4371" s="1"/>
      <c r="Z4371" s="1"/>
      <c r="AA4371" s="1"/>
      <c r="AB4371" s="1"/>
      <c r="AC4371" s="1"/>
      <c r="AD4371" s="1"/>
      <c r="AE4371" s="1"/>
      <c r="AF4371" s="1"/>
      <c r="AG4371" s="1"/>
      <c r="AH4371" s="1"/>
      <c r="AI4371" s="1"/>
      <c r="AJ4371" s="1"/>
      <c r="AK4371" s="1"/>
      <c r="AL4371" s="1"/>
      <c r="AM4371" s="1"/>
      <c r="AN4371" s="1"/>
      <c r="AO4371" s="1"/>
      <c r="AP4371" s="1"/>
      <c r="AQ4371" s="1"/>
      <c r="AR4371" s="1"/>
      <c r="AS4371" s="1"/>
      <c r="AT4371" s="1"/>
      <c r="AU4371" s="1"/>
      <c r="AV4371" s="1"/>
      <c r="AW4371" s="1"/>
      <c r="AX4371" s="1"/>
      <c r="AY4371" s="1"/>
      <c r="AZ4371" s="1"/>
      <c r="BA4371" s="1"/>
      <c r="BB4371" s="1"/>
    </row>
    <row r="4372" ht="204.75" customHeight="1">
      <c r="A4372" s="1">
        <v>4971.0</v>
      </c>
      <c r="B4372" s="2" t="s">
        <v>12689</v>
      </c>
      <c r="C4372" s="2">
        <f>IFERROR(__xludf.DUMMYFUNCTION("split(B4372,""_"")"),1001.0)</f>
        <v>1001</v>
      </c>
      <c r="D4372" s="2" t="str">
        <f>IFERROR(__xludf.DUMMYFUNCTION("""COMPUTED_VALUE"""),"NTV")</f>
        <v>NTV</v>
      </c>
      <c r="E4372" s="2" t="str">
        <f>IFERROR(__xludf.DUMMYFUNCTION("""COMPUTED_VALUE"""),"土21")</f>
        <v>土21</v>
      </c>
      <c r="F4372" s="2" t="s">
        <v>12690</v>
      </c>
      <c r="G4372" s="2" t="s">
        <v>12691</v>
      </c>
      <c r="H4372" s="1">
        <v>8.0</v>
      </c>
      <c r="J4372" s="1" t="s">
        <v>11</v>
      </c>
      <c r="K4372" s="2" t="s">
        <v>12699</v>
      </c>
      <c r="L4372" s="2"/>
      <c r="M4372" s="2" t="str">
        <f>IFERROR(__xludf.DUMMYFUNCTION("split(split(K4372,""【演出"",false),""ほか"",false)"),"山田涼介(Hey!Say!JUMP)、横山裕、石原さとみ、  岡田義徳、クリスタル　ケイ、はるな愛、  小木茂光、渡辺いっけい、片平なぎさ　他バスジャックと対峙して、完全に記憶を取り戻した愛之助。宮元(小木茂光)の策略で特別房に収監されてしまう。自分の犯した過ちに苦悩する愛之助の前に夢人が現れ、『犯罪計画は最終段階に入った』と告げて、姿を消す。瞳(石原さとみ)と加藤(岡田義徳)の協力により脱出を果たした愛之助は、左目の映像を頼りに夢人の居場所を探し、向かう。左目探偵VS天才犯罪プランナー。最後の兄弟対決の"&amp;"幕が開く!そして、衝撃の結末が…大塚恭司秦建日子【音楽】林ゆうき  【主題歌】『瞳のスクリーン』(Hey!Say!JUMP)")</f>
        <v>山田涼介(Hey!Say!JUMP)、横山裕、石原さとみ、  岡田義徳、クリスタル　ケイ、はるな愛、  小木茂光、渡辺いっけい、片平なぎさ　他バスジャックと対峙して、完全に記憶を取り戻した愛之助。宮元(小木茂光)の策略で特別房に収監されてしまう。自分の犯した過ちに苦悩する愛之助の前に夢人が現れ、『犯罪計画は最終段階に入った』と告げて、姿を消す。瞳(石原さとみ)と加藤(岡田義徳)の協力により脱出を果たした愛之助は、左目の映像を頼りに夢人の居場所を探し、向かう。左目探偵VS天才犯罪プランナー。最後の兄弟対決の幕が開く!そして、衝撃の結末が…大塚恭司秦建日子【音楽】林ゆうき  【主題歌】『瞳のスクリーン』(Hey!Say!JUMP)</v>
      </c>
      <c r="N4372" s="2"/>
      <c r="O4372" s="2"/>
      <c r="P4372" s="1"/>
      <c r="Q4372" s="1"/>
      <c r="R4372" s="1"/>
      <c r="S4372" s="1"/>
      <c r="T4372" s="1"/>
      <c r="U4372" s="1"/>
      <c r="V4372" s="1"/>
      <c r="W4372" s="1"/>
      <c r="X4372" s="1"/>
      <c r="Y4372" s="1"/>
      <c r="Z4372" s="1"/>
      <c r="AA4372" s="1"/>
      <c r="AB4372" s="1"/>
      <c r="AC4372" s="1"/>
      <c r="AD4372" s="1"/>
      <c r="AE4372" s="1"/>
      <c r="AF4372" s="1"/>
      <c r="AG4372" s="1"/>
      <c r="AH4372" s="1"/>
      <c r="AI4372" s="1"/>
      <c r="AJ4372" s="1"/>
      <c r="AK4372" s="1"/>
      <c r="AL4372" s="1"/>
      <c r="AM4372" s="1"/>
      <c r="AN4372" s="1"/>
      <c r="AO4372" s="1"/>
      <c r="AP4372" s="1"/>
      <c r="AQ4372" s="1"/>
      <c r="AR4372" s="1"/>
      <c r="AS4372" s="1"/>
      <c r="AT4372" s="1"/>
      <c r="AU4372" s="1"/>
      <c r="AV4372" s="1"/>
      <c r="AW4372" s="1"/>
      <c r="AX4372" s="1"/>
      <c r="AY4372" s="1"/>
      <c r="AZ4372" s="1"/>
      <c r="BA4372" s="1"/>
      <c r="BB4372" s="1"/>
    </row>
    <row r="4373" ht="204.75" customHeight="1">
      <c r="A4373" s="1">
        <v>5003.0</v>
      </c>
      <c r="B4373" s="2" t="s">
        <v>12700</v>
      </c>
      <c r="C4373" s="2">
        <f>IFERROR(__xludf.DUMMYFUNCTION("split(B4373,""_"")"),910.0)</f>
        <v>910</v>
      </c>
      <c r="D4373" s="2" t="str">
        <f>IFERROR(__xludf.DUMMYFUNCTION("""COMPUTED_VALUE"""),"NTV")</f>
        <v>NTV</v>
      </c>
      <c r="E4373" s="2" t="str">
        <f>IFERROR(__xludf.DUMMYFUNCTION("""COMPUTED_VALUE"""),"水22")</f>
        <v>水22</v>
      </c>
      <c r="F4373" s="2" t="s">
        <v>12701</v>
      </c>
      <c r="G4373" s="2" t="s">
        <v>12702</v>
      </c>
      <c r="H4373" s="1">
        <v>1.0</v>
      </c>
      <c r="J4373" s="1" t="s">
        <v>82</v>
      </c>
      <c r="K4373" s="2" t="s">
        <v>12703</v>
      </c>
      <c r="L4373" s="2"/>
      <c r="M4373" s="2" t="str">
        <f>IFERROR(__xludf.DUMMYFUNCTION("split(split(K4373,""【演出"",false),""ほか"",false)"),"藤原紀香　　上地雄輔　板谷由夏　/　内田有紀　/　西田尚美　八嶋智人　松下由樹  中村橋之助(特別出演)/本仮屋ユイカ　近藤芳正　吉田里琴　/國村隼(スペシャルゲスト)聖修大学医学部附属病院。帝王切開の手術を執刀する産科医・柊奈智(藤原紀香)と産科医長の君島紀子(松下由樹)。そこに事故で負傷し、陣痛が始まった妊婦の搬送要請が来る。他のオペやハイリスク分娩の進行から君島は受け入れ不可能と判断。しかし、奈智は独断で引き受けてしまう。そのせいで産科は大混乱。在宅の産科医達が、緊急に召集され、産科医達は不眠不休で"&amp;"赤ちゃんを取り上げる事に・・・岩本仁志、久保田充")</f>
        <v>藤原紀香　　上地雄輔　板谷由夏　/　内田有紀　/　西田尚美　八嶋智人　松下由樹  中村橋之助(特別出演)/本仮屋ユイカ　近藤芳正　吉田里琴　/國村隼(スペシャルゲスト)聖修大学医学部附属病院。帝王切開の手術を執刀する産科医・柊奈智(藤原紀香)と産科医長の君島紀子(松下由樹)。そこに事故で負傷し、陣痛が始まった妊婦の搬送要請が来る。他のオペやハイリスク分娩の進行から君島は受け入れ不可能と判断。しかし、奈智は独断で引き受けてしまう。そのせいで産科は大混乱。在宅の産科医達が、緊急に召集され、産科医達は不眠不休で赤ちゃんを取り上げる事に・・・岩本仁志、久保田充</v>
      </c>
      <c r="N4373" s="2" t="str">
        <f>IFERROR(__xludf.DUMMYFUNCTION("""COMPUTED_VALUE"""),"【脚本】大石静  【原作】「ノーフォールト」岡井崇(早川書房刊)池頼広")</f>
        <v>【脚本】大石静  【原作】「ノーフォールト」岡井崇(早川書房刊)池頼広</v>
      </c>
      <c r="O4373" s="2"/>
      <c r="P4373" s="1"/>
      <c r="Q4373" s="1"/>
      <c r="R4373" s="1"/>
      <c r="S4373" s="1"/>
      <c r="T4373" s="1"/>
      <c r="U4373" s="1"/>
      <c r="V4373" s="1"/>
      <c r="W4373" s="1"/>
      <c r="X4373" s="1"/>
      <c r="Y4373" s="1"/>
      <c r="Z4373" s="1"/>
      <c r="AA4373" s="1"/>
      <c r="AB4373" s="1"/>
      <c r="AC4373" s="1"/>
      <c r="AD4373" s="1"/>
      <c r="AE4373" s="1"/>
      <c r="AF4373" s="1"/>
      <c r="AG4373" s="1"/>
      <c r="AH4373" s="1"/>
      <c r="AI4373" s="1"/>
      <c r="AJ4373" s="1"/>
      <c r="AK4373" s="1"/>
      <c r="AL4373" s="1"/>
      <c r="AM4373" s="1"/>
      <c r="AN4373" s="1"/>
      <c r="AO4373" s="1"/>
      <c r="AP4373" s="1"/>
      <c r="AQ4373" s="1"/>
      <c r="AR4373" s="1"/>
      <c r="AS4373" s="1"/>
      <c r="AT4373" s="1"/>
      <c r="AU4373" s="1"/>
      <c r="AV4373" s="1"/>
      <c r="AW4373" s="1"/>
      <c r="AX4373" s="1"/>
      <c r="AY4373" s="1"/>
      <c r="AZ4373" s="1"/>
      <c r="BA4373" s="1"/>
      <c r="BB4373" s="1"/>
    </row>
    <row r="4374" ht="204.75" customHeight="1">
      <c r="A4374" s="1">
        <v>5004.0</v>
      </c>
      <c r="B4374" s="2" t="s">
        <v>12700</v>
      </c>
      <c r="C4374" s="2">
        <f>IFERROR(__xludf.DUMMYFUNCTION("split(B4374,""_"")"),910.0)</f>
        <v>910</v>
      </c>
      <c r="D4374" s="2" t="str">
        <f>IFERROR(__xludf.DUMMYFUNCTION("""COMPUTED_VALUE"""),"NTV")</f>
        <v>NTV</v>
      </c>
      <c r="E4374" s="2" t="str">
        <f>IFERROR(__xludf.DUMMYFUNCTION("""COMPUTED_VALUE"""),"水22")</f>
        <v>水22</v>
      </c>
      <c r="F4374" s="2" t="s">
        <v>12701</v>
      </c>
      <c r="G4374" s="2" t="s">
        <v>12702</v>
      </c>
      <c r="H4374" s="1">
        <v>2.0</v>
      </c>
      <c r="J4374" s="1" t="s">
        <v>86</v>
      </c>
      <c r="K4374" s="2" t="s">
        <v>12704</v>
      </c>
      <c r="L4374" s="2"/>
      <c r="M4374" s="2" t="str">
        <f>IFERROR(__xludf.DUMMYFUNCTION("split(split(K4374,""【演出"",false),""ほか"",false)"),"藤原紀香　上地雄輔　板谷由夏　/内田有紀/　西田尚美　八嶋智人　松下由樹  中村橋之助(特別出演)　/本仮屋ユイカ　近藤芳正　吉田里琴　/國村隼(スペシャルゲスト)")</f>
        <v>藤原紀香　上地雄輔　板谷由夏　/内田有紀/　西田尚美　八嶋智人　松下由樹  中村橋之助(特別出演)　/本仮屋ユイカ　近藤芳正　吉田里琴　/國村隼(スペシャルゲスト)</v>
      </c>
      <c r="N4374" s="2" t="str">
        <f>IFERROR(__xludf.DUMMYFUNCTION("""COMPUTED_VALUE"""),"双子の妊婦の陣痛が始まる中、前期破水の妊婦・徳本美和子(西田尚美)が入院してくる。間もなく、患者の筒池かおり(西牟田恵)の胎児が口唇口蓋裂と判明。奈智(藤原紀香)のストレートな説明にショックを受けた筒池は中絶を口にし病院を出て行ってしまう。  そんな折、急患の妊婦が搬送されてくる。奈智は手術室が満杯にも関わらず、受け入れを決める。その事が、別の患者の手術に影響を与えてしまい・・・。久保田充脚本　大石静  原作　「ノーフォールト」岡井崇(早川書房　刊)池頼広")</f>
        <v>双子の妊婦の陣痛が始まる中、前期破水の妊婦・徳本美和子(西田尚美)が入院してくる。間もなく、患者の筒池かおり(西牟田恵)の胎児が口唇口蓋裂と判明。奈智(藤原紀香)のストレートな説明にショックを受けた筒池は中絶を口にし病院を出て行ってしまう。  そんな折、急患の妊婦が搬送されてくる。奈智は手術室が満杯にも関わらず、受け入れを決める。その事が、別の患者の手術に影響を与えてしまい・・・。久保田充脚本　大石静  原作　「ノーフォールト」岡井崇(早川書房　刊)池頼広</v>
      </c>
      <c r="O4374" s="2"/>
      <c r="P4374" s="1"/>
      <c r="Q4374" s="1"/>
      <c r="R4374" s="1"/>
      <c r="S4374" s="1"/>
      <c r="T4374" s="1"/>
      <c r="U4374" s="1"/>
      <c r="V4374" s="1"/>
      <c r="W4374" s="1"/>
      <c r="X4374" s="1"/>
      <c r="Y4374" s="1"/>
      <c r="Z4374" s="1"/>
      <c r="AA4374" s="1"/>
      <c r="AB4374" s="1"/>
      <c r="AC4374" s="1"/>
      <c r="AD4374" s="1"/>
      <c r="AE4374" s="1"/>
      <c r="AF4374" s="1"/>
      <c r="AG4374" s="1"/>
      <c r="AH4374" s="1"/>
      <c r="AI4374" s="1"/>
      <c r="AJ4374" s="1"/>
      <c r="AK4374" s="1"/>
      <c r="AL4374" s="1"/>
      <c r="AM4374" s="1"/>
      <c r="AN4374" s="1"/>
      <c r="AO4374" s="1"/>
      <c r="AP4374" s="1"/>
      <c r="AQ4374" s="1"/>
      <c r="AR4374" s="1"/>
      <c r="AS4374" s="1"/>
      <c r="AT4374" s="1"/>
      <c r="AU4374" s="1"/>
      <c r="AV4374" s="1"/>
      <c r="AW4374" s="1"/>
      <c r="AX4374" s="1"/>
      <c r="AY4374" s="1"/>
      <c r="AZ4374" s="1"/>
      <c r="BA4374" s="1"/>
      <c r="BB4374" s="1"/>
    </row>
    <row r="4375" ht="204.75" customHeight="1">
      <c r="A4375" s="1">
        <v>5005.0</v>
      </c>
      <c r="B4375" s="2" t="s">
        <v>12700</v>
      </c>
      <c r="C4375" s="2">
        <f>IFERROR(__xludf.DUMMYFUNCTION("split(B4375,""_"")"),910.0)</f>
        <v>910</v>
      </c>
      <c r="D4375" s="2" t="str">
        <f>IFERROR(__xludf.DUMMYFUNCTION("""COMPUTED_VALUE"""),"NTV")</f>
        <v>NTV</v>
      </c>
      <c r="E4375" s="2" t="str">
        <f>IFERROR(__xludf.DUMMYFUNCTION("""COMPUTED_VALUE"""),"水22")</f>
        <v>水22</v>
      </c>
      <c r="F4375" s="2" t="s">
        <v>12701</v>
      </c>
      <c r="G4375" s="2" t="s">
        <v>12702</v>
      </c>
      <c r="H4375" s="1">
        <v>3.0</v>
      </c>
      <c r="J4375" s="1" t="s">
        <v>86</v>
      </c>
      <c r="K4375" s="2" t="s">
        <v>12705</v>
      </c>
      <c r="L4375" s="2"/>
      <c r="M4375" s="2" t="str">
        <f>IFERROR(__xludf.DUMMYFUNCTION("split(split(K4375,""【演出"",false),""ほか"",false)"),"藤原紀香　上地雄輔　板谷由夏　/　内田有紀　/西田尚美　八嶋智人　松下由樹  本仮屋ユイカ　近藤芳正　吉田里琴　/國村隼(スペシャルゲスト)須佐見教授(國村隼)の誕生日が翌日と気付いた君島(松下由樹)と藤木(近藤芳正)は大慌てで誕生パーティーを企画し、玉木(上地雄輔)に会費の徴収を頼む。しかし、翌日の夜、近所の産院の火事、そしてマタニティースイミングスクールの事故で、たくさんの妊婦が搬送されてくる。休みをとっていた奈智(藤原紀香)も呼び出され、寝ずのお産が繰り広げられる中、美和子(西田尚美)が腹の激痛を訴"&amp;"え、緊急手術が行われることに…岩本仁志原作:「ノーフォールト」岡井崇　(早川書房刊)  脚本:大石　静池　頼広")</f>
        <v>藤原紀香　上地雄輔　板谷由夏　/　内田有紀　/西田尚美　八嶋智人　松下由樹  本仮屋ユイカ　近藤芳正　吉田里琴　/國村隼(スペシャルゲスト)須佐見教授(國村隼)の誕生日が翌日と気付いた君島(松下由樹)と藤木(近藤芳正)は大慌てで誕生パーティーを企画し、玉木(上地雄輔)に会費の徴収を頼む。しかし、翌日の夜、近所の産院の火事、そしてマタニティースイミングスクールの事故で、たくさんの妊婦が搬送されてくる。休みをとっていた奈智(藤原紀香)も呼び出され、寝ずのお産が繰り広げられる中、美和子(西田尚美)が腹の激痛を訴え、緊急手術が行われることに…岩本仁志原作:「ノーフォールト」岡井崇　(早川書房刊)  脚本:大石　静池　頼広</v>
      </c>
      <c r="N4375" s="2"/>
      <c r="O4375" s="2"/>
      <c r="P4375" s="1"/>
      <c r="Q4375" s="1"/>
      <c r="R4375" s="1"/>
      <c r="S4375" s="1"/>
      <c r="T4375" s="1"/>
      <c r="U4375" s="1"/>
      <c r="V4375" s="1"/>
      <c r="W4375" s="1"/>
      <c r="X4375" s="1"/>
      <c r="Y4375" s="1"/>
      <c r="Z4375" s="1"/>
      <c r="AA4375" s="1"/>
      <c r="AB4375" s="1"/>
      <c r="AC4375" s="1"/>
      <c r="AD4375" s="1"/>
      <c r="AE4375" s="1"/>
      <c r="AF4375" s="1"/>
      <c r="AG4375" s="1"/>
      <c r="AH4375" s="1"/>
      <c r="AI4375" s="1"/>
      <c r="AJ4375" s="1"/>
      <c r="AK4375" s="1"/>
      <c r="AL4375" s="1"/>
      <c r="AM4375" s="1"/>
      <c r="AN4375" s="1"/>
      <c r="AO4375" s="1"/>
      <c r="AP4375" s="1"/>
      <c r="AQ4375" s="1"/>
      <c r="AR4375" s="1"/>
      <c r="AS4375" s="1"/>
      <c r="AT4375" s="1"/>
      <c r="AU4375" s="1"/>
      <c r="AV4375" s="1"/>
      <c r="AW4375" s="1"/>
      <c r="AX4375" s="1"/>
      <c r="AY4375" s="1"/>
      <c r="AZ4375" s="1"/>
      <c r="BA4375" s="1"/>
      <c r="BB4375" s="1"/>
    </row>
    <row r="4376" ht="204.75" customHeight="1">
      <c r="A4376" s="1">
        <v>5006.0</v>
      </c>
      <c r="B4376" s="2" t="s">
        <v>12700</v>
      </c>
      <c r="C4376" s="2">
        <f>IFERROR(__xludf.DUMMYFUNCTION("split(B4376,""_"")"),910.0)</f>
        <v>910</v>
      </c>
      <c r="D4376" s="2" t="str">
        <f>IFERROR(__xludf.DUMMYFUNCTION("""COMPUTED_VALUE"""),"NTV")</f>
        <v>NTV</v>
      </c>
      <c r="E4376" s="2" t="str">
        <f>IFERROR(__xludf.DUMMYFUNCTION("""COMPUTED_VALUE"""),"水22")</f>
        <v>水22</v>
      </c>
      <c r="F4376" s="2" t="s">
        <v>12701</v>
      </c>
      <c r="G4376" s="2" t="s">
        <v>12702</v>
      </c>
      <c r="H4376" s="1">
        <v>4.0</v>
      </c>
      <c r="J4376" s="1" t="s">
        <v>86</v>
      </c>
      <c r="K4376" s="2" t="s">
        <v>12706</v>
      </c>
      <c r="L4376" s="2"/>
      <c r="M4376" s="2" t="str">
        <f>IFERROR(__xludf.DUMMYFUNCTION("split(split(K4376,""【演出"",false),""ほか"",false)"),"藤原紀香　上地雄輔　板谷由夏　/内田有紀/　西田尚美　八嶋智人　松下由樹  中村橋之助(特別出演)　/本仮屋ユイカ　近藤芳正　吉田里琴　/國村隼(スペシャルゲスト)美和子(西田尚美)の死で精神的に不安定になった奈智(藤原紀香)は、産科から離れる事を抵抗するが、榎原(中村橋之助)が医長を務める婦人科に勤務する事になる。一方、  玉木(上地雄輔)は君島(松下由樹)の下で勉強する事に…。美和子の葬儀の2日後、慎一(八嶋智人)の元を弁護士の岸本(半海一晃)が訪れ、美和子の死に病院に落ち度があるような発言をし、日本"&amp;"の医療裁判の現状を説いて、帰っていく。岩本仁志原作:「ノーフォールト」岡井崇(早川書房　刊)  脚本:大石静池頼広")</f>
        <v>藤原紀香　上地雄輔　板谷由夏　/内田有紀/　西田尚美　八嶋智人　松下由樹  中村橋之助(特別出演)　/本仮屋ユイカ　近藤芳正　吉田里琴　/國村隼(スペシャルゲスト)美和子(西田尚美)の死で精神的に不安定になった奈智(藤原紀香)は、産科から離れる事を抵抗するが、榎原(中村橋之助)が医長を務める婦人科に勤務する事になる。一方、  玉木(上地雄輔)は君島(松下由樹)の下で勉強する事に…。美和子の葬儀の2日後、慎一(八嶋智人)の元を弁護士の岸本(半海一晃)が訪れ、美和子の死に病院に落ち度があるような発言をし、日本の医療裁判の現状を説いて、帰っていく。岩本仁志原作:「ノーフォールト」岡井崇(早川書房　刊)  脚本:大石静池頼広</v>
      </c>
      <c r="N4376" s="2"/>
      <c r="O4376" s="2"/>
      <c r="P4376" s="1"/>
      <c r="Q4376" s="1"/>
      <c r="R4376" s="1"/>
      <c r="S4376" s="1"/>
      <c r="T4376" s="1"/>
      <c r="U4376" s="1"/>
      <c r="V4376" s="1"/>
      <c r="W4376" s="1"/>
      <c r="X4376" s="1"/>
      <c r="Y4376" s="1"/>
      <c r="Z4376" s="1"/>
      <c r="AA4376" s="1"/>
      <c r="AB4376" s="1"/>
      <c r="AC4376" s="1"/>
      <c r="AD4376" s="1"/>
      <c r="AE4376" s="1"/>
      <c r="AF4376" s="1"/>
      <c r="AG4376" s="1"/>
      <c r="AH4376" s="1"/>
      <c r="AI4376" s="1"/>
      <c r="AJ4376" s="1"/>
      <c r="AK4376" s="1"/>
      <c r="AL4376" s="1"/>
      <c r="AM4376" s="1"/>
      <c r="AN4376" s="1"/>
      <c r="AO4376" s="1"/>
      <c r="AP4376" s="1"/>
      <c r="AQ4376" s="1"/>
      <c r="AR4376" s="1"/>
      <c r="AS4376" s="1"/>
      <c r="AT4376" s="1"/>
      <c r="AU4376" s="1"/>
      <c r="AV4376" s="1"/>
      <c r="AW4376" s="1"/>
      <c r="AX4376" s="1"/>
      <c r="AY4376" s="1"/>
      <c r="AZ4376" s="1"/>
      <c r="BA4376" s="1"/>
      <c r="BB4376" s="1"/>
    </row>
    <row r="4377" ht="204.75" customHeight="1">
      <c r="A4377" s="1">
        <v>5007.0</v>
      </c>
      <c r="B4377" s="2" t="s">
        <v>12700</v>
      </c>
      <c r="C4377" s="2">
        <f>IFERROR(__xludf.DUMMYFUNCTION("split(B4377,""_"")"),910.0)</f>
        <v>910</v>
      </c>
      <c r="D4377" s="2" t="str">
        <f>IFERROR(__xludf.DUMMYFUNCTION("""COMPUTED_VALUE"""),"NTV")</f>
        <v>NTV</v>
      </c>
      <c r="E4377" s="2" t="str">
        <f>IFERROR(__xludf.DUMMYFUNCTION("""COMPUTED_VALUE"""),"水22")</f>
        <v>水22</v>
      </c>
      <c r="F4377" s="2" t="s">
        <v>12701</v>
      </c>
      <c r="G4377" s="2" t="s">
        <v>12702</v>
      </c>
      <c r="H4377" s="1">
        <v>5.0</v>
      </c>
      <c r="J4377" s="1" t="s">
        <v>86</v>
      </c>
      <c r="K4377" s="2" t="s">
        <v>12707</v>
      </c>
      <c r="L4377" s="2"/>
      <c r="M4377" s="2" t="str">
        <f>IFERROR(__xludf.DUMMYFUNCTION("split(split(K4377,""【演出"",false),""ほか"",false)"),"藤原紀香　上地雄輔　板谷由夏　/　内田有紀　/西田尚美　八嶋智人　松下由樹  中村橋之助(特別出演)　/本仮屋ユイカ　近藤芳正　吉田里琴　/國村隼(スペシャルゲスト)榎原(中村橋之助)が、末期の卵巣癌で入院中の三井さやか(永井杏)にがん告知を行い、奈智(藤原紀香)がさやかの経過を見守る中、病院をゆるがす事件が起こる。  慎一(八嶋智人)が美和子(西田尚美)の死に病院側の責任があったとして病院や医師らを訴えたのだ。自分が訴えられたことを知った奈智は大きなショックを受ける。久保田充原作:『ノーフォールト』岡井"&amp;"崇　(早川書房　刊)  脚本:大石静池頼広")</f>
        <v>藤原紀香　上地雄輔　板谷由夏　/　内田有紀　/西田尚美　八嶋智人　松下由樹  中村橋之助(特別出演)　/本仮屋ユイカ　近藤芳正　吉田里琴　/國村隼(スペシャルゲスト)榎原(中村橋之助)が、末期の卵巣癌で入院中の三井さやか(永井杏)にがん告知を行い、奈智(藤原紀香)がさやかの経過を見守る中、病院をゆるがす事件が起こる。  慎一(八嶋智人)が美和子(西田尚美)の死に病院側の責任があったとして病院や医師らを訴えたのだ。自分が訴えられたことを知った奈智は大きなショックを受ける。久保田充原作:『ノーフォールト』岡井崇　(早川書房　刊)  脚本:大石静池頼広</v>
      </c>
      <c r="N4377" s="2"/>
      <c r="O4377" s="2"/>
      <c r="P4377" s="1"/>
      <c r="Q4377" s="1"/>
      <c r="R4377" s="1"/>
      <c r="S4377" s="1"/>
      <c r="T4377" s="1"/>
      <c r="U4377" s="1"/>
      <c r="V4377" s="1"/>
      <c r="W4377" s="1"/>
      <c r="X4377" s="1"/>
      <c r="Y4377" s="1"/>
      <c r="Z4377" s="1"/>
      <c r="AA4377" s="1"/>
      <c r="AB4377" s="1"/>
      <c r="AC4377" s="1"/>
      <c r="AD4377" s="1"/>
      <c r="AE4377" s="1"/>
      <c r="AF4377" s="1"/>
      <c r="AG4377" s="1"/>
      <c r="AH4377" s="1"/>
      <c r="AI4377" s="1"/>
      <c r="AJ4377" s="1"/>
      <c r="AK4377" s="1"/>
      <c r="AL4377" s="1"/>
      <c r="AM4377" s="1"/>
      <c r="AN4377" s="1"/>
      <c r="AO4377" s="1"/>
      <c r="AP4377" s="1"/>
      <c r="AQ4377" s="1"/>
      <c r="AR4377" s="1"/>
      <c r="AS4377" s="1"/>
      <c r="AT4377" s="1"/>
      <c r="AU4377" s="1"/>
      <c r="AV4377" s="1"/>
      <c r="AW4377" s="1"/>
      <c r="AX4377" s="1"/>
      <c r="AY4377" s="1"/>
      <c r="AZ4377" s="1"/>
      <c r="BA4377" s="1"/>
      <c r="BB4377" s="1"/>
    </row>
    <row r="4378" ht="204.75" customHeight="1">
      <c r="A4378" s="1">
        <v>5008.0</v>
      </c>
      <c r="B4378" s="2" t="s">
        <v>12700</v>
      </c>
      <c r="C4378" s="2">
        <f>IFERROR(__xludf.DUMMYFUNCTION("split(B4378,""_"")"),910.0)</f>
        <v>910</v>
      </c>
      <c r="D4378" s="2" t="str">
        <f>IFERROR(__xludf.DUMMYFUNCTION("""COMPUTED_VALUE"""),"NTV")</f>
        <v>NTV</v>
      </c>
      <c r="E4378" s="2" t="str">
        <f>IFERROR(__xludf.DUMMYFUNCTION("""COMPUTED_VALUE"""),"水22")</f>
        <v>水22</v>
      </c>
      <c r="F4378" s="2" t="s">
        <v>12701</v>
      </c>
      <c r="G4378" s="2" t="s">
        <v>12702</v>
      </c>
      <c r="H4378" s="1">
        <v>6.0</v>
      </c>
      <c r="J4378" s="1" t="s">
        <v>86</v>
      </c>
      <c r="K4378" s="2" t="s">
        <v>12708</v>
      </c>
      <c r="L4378" s="2"/>
      <c r="M4378" s="2" t="str">
        <f>IFERROR(__xludf.DUMMYFUNCTION("split(split(K4378,""【演出"",false),""ほか"",false)"),"藤原紀香　上地雄輔　板谷由夏　/　内田有紀　/　西田尚美　八嶋智人　松下由樹  中村橋之助(特別出演)　/本仮屋ユイカ　近藤芳正　吉田里琴　/國村隼(スペシャルゲスト)母体死亡事故の医療訴訟裁判が始まり、君島(松下由樹)は慎一(八嶋智人)の弁護士・岸本(半海一晃)から病院の体制不備を指摘される。その頃、学校で怪我をした優美(吉田里琴)は、病院で処置を受けるが傷口を縫合しても出血が止まらない。血液内科の隆弘(長谷川博己)は優美が死亡した美和子(西田尚美)の娘と知り、ある可能性を考え、美和子の血液検査を開始す"&amp;"る。そして、ついに奈智が法廷に立つ日がやってきた。本間美由紀原作:「ノーフォールト」岡井崇(早川書房)  脚本:大石静池頼広")</f>
        <v>藤原紀香　上地雄輔　板谷由夏　/　内田有紀　/　西田尚美　八嶋智人　松下由樹  中村橋之助(特別出演)　/本仮屋ユイカ　近藤芳正　吉田里琴　/國村隼(スペシャルゲスト)母体死亡事故の医療訴訟裁判が始まり、君島(松下由樹)は慎一(八嶋智人)の弁護士・岸本(半海一晃)から病院の体制不備を指摘される。その頃、学校で怪我をした優美(吉田里琴)は、病院で処置を受けるが傷口を縫合しても出血が止まらない。血液内科の隆弘(長谷川博己)は優美が死亡した美和子(西田尚美)の娘と知り、ある可能性を考え、美和子の血液検査を開始する。そして、ついに奈智が法廷に立つ日がやってきた。本間美由紀原作:「ノーフォールト」岡井崇(早川書房)  脚本:大石静池頼広</v>
      </c>
      <c r="N4378" s="2"/>
      <c r="O4378" s="2"/>
      <c r="P4378" s="1"/>
      <c r="Q4378" s="1"/>
      <c r="R4378" s="1"/>
      <c r="S4378" s="1"/>
      <c r="T4378" s="1"/>
      <c r="U4378" s="1"/>
      <c r="V4378" s="1"/>
      <c r="W4378" s="1"/>
      <c r="X4378" s="1"/>
      <c r="Y4378" s="1"/>
      <c r="Z4378" s="1"/>
      <c r="AA4378" s="1"/>
      <c r="AB4378" s="1"/>
      <c r="AC4378" s="1"/>
      <c r="AD4378" s="1"/>
      <c r="AE4378" s="1"/>
      <c r="AF4378" s="1"/>
      <c r="AG4378" s="1"/>
      <c r="AH4378" s="1"/>
      <c r="AI4378" s="1"/>
      <c r="AJ4378" s="1"/>
      <c r="AK4378" s="1"/>
      <c r="AL4378" s="1"/>
      <c r="AM4378" s="1"/>
      <c r="AN4378" s="1"/>
      <c r="AO4378" s="1"/>
      <c r="AP4378" s="1"/>
      <c r="AQ4378" s="1"/>
      <c r="AR4378" s="1"/>
      <c r="AS4378" s="1"/>
      <c r="AT4378" s="1"/>
      <c r="AU4378" s="1"/>
      <c r="AV4378" s="1"/>
      <c r="AW4378" s="1"/>
      <c r="AX4378" s="1"/>
      <c r="AY4378" s="1"/>
      <c r="AZ4378" s="1"/>
      <c r="BA4378" s="1"/>
      <c r="BB4378" s="1"/>
    </row>
    <row r="4379" ht="204.75" customHeight="1">
      <c r="A4379" s="1">
        <v>5009.0</v>
      </c>
      <c r="B4379" s="2" t="s">
        <v>12700</v>
      </c>
      <c r="C4379" s="2">
        <f>IFERROR(__xludf.DUMMYFUNCTION("split(B4379,""_"")"),910.0)</f>
        <v>910</v>
      </c>
      <c r="D4379" s="2" t="str">
        <f>IFERROR(__xludf.DUMMYFUNCTION("""COMPUTED_VALUE"""),"NTV")</f>
        <v>NTV</v>
      </c>
      <c r="E4379" s="2" t="str">
        <f>IFERROR(__xludf.DUMMYFUNCTION("""COMPUTED_VALUE"""),"水22")</f>
        <v>水22</v>
      </c>
      <c r="F4379" s="2" t="s">
        <v>12701</v>
      </c>
      <c r="G4379" s="2" t="s">
        <v>12702</v>
      </c>
      <c r="H4379" s="1">
        <v>7.0</v>
      </c>
      <c r="J4379" s="1" t="s">
        <v>86</v>
      </c>
      <c r="K4379" s="2" t="s">
        <v>12709</v>
      </c>
      <c r="L4379" s="2"/>
      <c r="M4379" s="2" t="str">
        <f>IFERROR(__xludf.DUMMYFUNCTION("split(split(K4379,""【演出"",false),""ほか"",false)"),"藤原紀香　上地雄輔　板谷由夏　/　内田有紀　/西田尚美　八嶋智人　松下由樹  中村橋之助(特別出演)　/本仮屋ユイカ　近藤芳正　吉田里琴　/國村隼(スペシャルゲスト)妊娠20週に入った一代(内田有紀)が入院し、検査の結果、進行した卵巣癌を患っている事がわかる。須佐見(國村隼)は一代の命を優先する為、赤ちゃんを諦め、癌治療を始めるよう促す。一方、君島(松下由樹)は嶋病院長(津嘉山正種)に呼ばれ、須佐見の後任の教授になる事を提案されるが、「総合周産期母子医療センター」を返上し、人員整理の手始めに奈智を辞めさせ"&amp;"る事という厳しい条件を突きつけられ、君島は悩む。岩本仁志脚本:大石静  原作:「ノーフォールト」岡井崇　(早川書房)")</f>
        <v>藤原紀香　上地雄輔　板谷由夏　/　内田有紀　/西田尚美　八嶋智人　松下由樹  中村橋之助(特別出演)　/本仮屋ユイカ　近藤芳正　吉田里琴　/國村隼(スペシャルゲスト)妊娠20週に入った一代(内田有紀)が入院し、検査の結果、進行した卵巣癌を患っている事がわかる。須佐見(國村隼)は一代の命を優先する為、赤ちゃんを諦め、癌治療を始めるよう促す。一方、君島(松下由樹)は嶋病院長(津嘉山正種)に呼ばれ、須佐見の後任の教授になる事を提案されるが、「総合周産期母子医療センター」を返上し、人員整理の手始めに奈智を辞めさせる事という厳しい条件を突きつけられ、君島は悩む。岩本仁志脚本:大石静  原作:「ノーフォールト」岡井崇　(早川書房)</v>
      </c>
      <c r="N4379" s="2"/>
      <c r="O4379" s="2"/>
      <c r="P4379" s="1"/>
      <c r="Q4379" s="1"/>
      <c r="R4379" s="1"/>
      <c r="S4379" s="1"/>
      <c r="T4379" s="1"/>
      <c r="U4379" s="1"/>
      <c r="V4379" s="1"/>
      <c r="W4379" s="1"/>
      <c r="X4379" s="1"/>
      <c r="Y4379" s="1"/>
      <c r="Z4379" s="1"/>
      <c r="AA4379" s="1"/>
      <c r="AB4379" s="1"/>
      <c r="AC4379" s="1"/>
      <c r="AD4379" s="1"/>
      <c r="AE4379" s="1"/>
      <c r="AF4379" s="1"/>
      <c r="AG4379" s="1"/>
      <c r="AH4379" s="1"/>
      <c r="AI4379" s="1"/>
      <c r="AJ4379" s="1"/>
      <c r="AK4379" s="1"/>
      <c r="AL4379" s="1"/>
      <c r="AM4379" s="1"/>
      <c r="AN4379" s="1"/>
      <c r="AO4379" s="1"/>
      <c r="AP4379" s="1"/>
      <c r="AQ4379" s="1"/>
      <c r="AR4379" s="1"/>
      <c r="AS4379" s="1"/>
      <c r="AT4379" s="1"/>
      <c r="AU4379" s="1"/>
      <c r="AV4379" s="1"/>
      <c r="AW4379" s="1"/>
      <c r="AX4379" s="1"/>
      <c r="AY4379" s="1"/>
      <c r="AZ4379" s="1"/>
      <c r="BA4379" s="1"/>
      <c r="BB4379" s="1"/>
    </row>
    <row r="4380" ht="204.75" customHeight="1">
      <c r="A4380" s="1">
        <v>5010.0</v>
      </c>
      <c r="B4380" s="2" t="s">
        <v>12700</v>
      </c>
      <c r="C4380" s="2">
        <f>IFERROR(__xludf.DUMMYFUNCTION("split(B4380,""_"")"),910.0)</f>
        <v>910</v>
      </c>
      <c r="D4380" s="2" t="str">
        <f>IFERROR(__xludf.DUMMYFUNCTION("""COMPUTED_VALUE"""),"NTV")</f>
        <v>NTV</v>
      </c>
      <c r="E4380" s="2" t="str">
        <f>IFERROR(__xludf.DUMMYFUNCTION("""COMPUTED_VALUE"""),"水22")</f>
        <v>水22</v>
      </c>
      <c r="F4380" s="2" t="s">
        <v>12701</v>
      </c>
      <c r="G4380" s="2" t="s">
        <v>12702</v>
      </c>
      <c r="H4380" s="1">
        <v>8.0</v>
      </c>
      <c r="J4380" s="1" t="s">
        <v>86</v>
      </c>
      <c r="K4380" s="2" t="s">
        <v>12710</v>
      </c>
      <c r="L4380" s="2"/>
      <c r="M4380" s="2" t="str">
        <f>IFERROR(__xludf.DUMMYFUNCTION("split(split(K4380,""【演出"",false),""ほか"",false)"),"藤原紀香　上地雄輔　板谷由夏　/内田有紀　/西田尚美　八嶋智人　松下由樹  中村橋之助(特別出演)　/本仮屋ユイカ　近藤芳正　吉田里琴　/國村隼(スペシャルゲスト)君島が教授になるための条件を聞いた奈智は病院を辞めると宣言。驚いた君島や藤木に「行きたいところがある」と伝える。間もなく、一代の手術の時がやってくるが、急患の連絡が入る。奈智は一代より先に急患を受け入れたいと須佐見に頼む。須佐見は急患の手術を決断。一方、鳥海が診ていた妊婦の胎児心拍数が落ち、帝王切開を要請。しかし、手術室に空きがなく皆に緊張が走"&amp;"る。そんな中、一代の容態が急変。大出血を起こして・・・岩本仁志脚本:大石静  原作:「ノーフォールト」岡井崇(早川書房)")</f>
        <v>藤原紀香　上地雄輔　板谷由夏　/内田有紀　/西田尚美　八嶋智人　松下由樹  中村橋之助(特別出演)　/本仮屋ユイカ　近藤芳正　吉田里琴　/國村隼(スペシャルゲスト)君島が教授になるための条件を聞いた奈智は病院を辞めると宣言。驚いた君島や藤木に「行きたいところがある」と伝える。間もなく、一代の手術の時がやってくるが、急患の連絡が入る。奈智は一代より先に急患を受け入れたいと須佐見に頼む。須佐見は急患の手術を決断。一方、鳥海が診ていた妊婦の胎児心拍数が落ち、帝王切開を要請。しかし、手術室に空きがなく皆に緊張が走る。そんな中、一代の容態が急変。大出血を起こして・・・岩本仁志脚本:大石静  原作:「ノーフォールト」岡井崇(早川書房)</v>
      </c>
      <c r="N4380" s="2"/>
      <c r="O4380" s="2"/>
      <c r="P4380" s="1"/>
      <c r="Q4380" s="1"/>
      <c r="R4380" s="1"/>
      <c r="S4380" s="1"/>
      <c r="T4380" s="1"/>
      <c r="U4380" s="1"/>
      <c r="V4380" s="1"/>
      <c r="W4380" s="1"/>
      <c r="X4380" s="1"/>
      <c r="Y4380" s="1"/>
      <c r="Z4380" s="1"/>
      <c r="AA4380" s="1"/>
      <c r="AB4380" s="1"/>
      <c r="AC4380" s="1"/>
      <c r="AD4380" s="1"/>
      <c r="AE4380" s="1"/>
      <c r="AF4380" s="1"/>
      <c r="AG4380" s="1"/>
      <c r="AH4380" s="1"/>
      <c r="AI4380" s="1"/>
      <c r="AJ4380" s="1"/>
      <c r="AK4380" s="1"/>
      <c r="AL4380" s="1"/>
      <c r="AM4380" s="1"/>
      <c r="AN4380" s="1"/>
      <c r="AO4380" s="1"/>
      <c r="AP4380" s="1"/>
      <c r="AQ4380" s="1"/>
      <c r="AR4380" s="1"/>
      <c r="AS4380" s="1"/>
      <c r="AT4380" s="1"/>
      <c r="AU4380" s="1"/>
      <c r="AV4380" s="1"/>
      <c r="AW4380" s="1"/>
      <c r="AX4380" s="1"/>
      <c r="AY4380" s="1"/>
      <c r="AZ4380" s="1"/>
      <c r="BA4380" s="1"/>
      <c r="BB4380" s="1"/>
    </row>
    <row r="4381" ht="204.75" customHeight="1">
      <c r="A4381" s="1">
        <v>5030.0</v>
      </c>
      <c r="B4381" s="2" t="s">
        <v>12711</v>
      </c>
      <c r="C4381" s="2">
        <f>IFERROR(__xludf.DUMMYFUNCTION("split(B4381,""_"")"),910.0)</f>
        <v>910</v>
      </c>
      <c r="D4381" s="2" t="str">
        <f>IFERROR(__xludf.DUMMYFUNCTION("""COMPUTED_VALUE"""),"NTV")</f>
        <v>NTV</v>
      </c>
      <c r="E4381" s="2" t="str">
        <f>IFERROR(__xludf.DUMMYFUNCTION("""COMPUTED_VALUE"""),"木23")</f>
        <v>木23</v>
      </c>
      <c r="F4381" s="2" t="s">
        <v>12712</v>
      </c>
      <c r="G4381" s="2" t="s">
        <v>12713</v>
      </c>
      <c r="H4381" s="1">
        <v>1.0</v>
      </c>
      <c r="I4381" s="1" t="s">
        <v>2872</v>
      </c>
      <c r="J4381" s="1" t="s">
        <v>1435</v>
      </c>
      <c r="K4381" s="2" t="s">
        <v>12714</v>
      </c>
      <c r="L4381" s="2"/>
      <c r="M4381" s="2" t="str">
        <f>IFERROR(__xludf.DUMMYFUNCTION("split(split(K4381,""【演出"",false),""ほか"",false)"),"向井理、南明奈、六角精児、森下千里、小林隆、穂花、左右田一平傍聴にハマった北は、山さんと一緒に「女被告祭」と称して女性被告の裁判を集中的に傍聴する。その中で、男子高校生を誘惑した女教師の裁判に遭遇、その内容に大興奮する二人。  そして美和と合流して、不倫OLがかつての不倫相手を恐喝した事件を傍聴する。最初、OLの犯罪に北は同情の余地なしと思うが、やがて…。http://www.ytv.co.jp/bouchou/")</f>
        <v>向井理、南明奈、六角精児、森下千里、小林隆、穂花、左右田一平傍聴にハマった北は、山さんと一緒に「女被告祭」と称して女性被告の裁判を集中的に傍聴する。その中で、男子高校生を誘惑した女教師の裁判に遭遇、その内容に大興奮する二人。  そして美和と合流して、不倫OLがかつての不倫相手を恐喝した事件を傍聴する。最初、OLの犯罪に北は同情の余地なしと思うが、やがて…。http://www.ytv.co.jp/bouchou/</v>
      </c>
      <c r="N4381" s="2"/>
      <c r="O4381" s="2"/>
      <c r="P4381" s="1"/>
      <c r="Q4381" s="1"/>
      <c r="R4381" s="1"/>
      <c r="S4381" s="1"/>
      <c r="T4381" s="1"/>
      <c r="U4381" s="1"/>
      <c r="V4381" s="1"/>
      <c r="W4381" s="1"/>
      <c r="X4381" s="1"/>
      <c r="Y4381" s="1"/>
      <c r="Z4381" s="1"/>
      <c r="AA4381" s="1"/>
      <c r="AB4381" s="1"/>
      <c r="AC4381" s="1"/>
      <c r="AD4381" s="1"/>
      <c r="AE4381" s="1"/>
      <c r="AF4381" s="1"/>
      <c r="AG4381" s="1"/>
      <c r="AH4381" s="1"/>
      <c r="AI4381" s="1"/>
      <c r="AJ4381" s="1"/>
      <c r="AK4381" s="1"/>
      <c r="AL4381" s="1"/>
      <c r="AM4381" s="1"/>
      <c r="AN4381" s="1"/>
      <c r="AO4381" s="1"/>
      <c r="AP4381" s="1"/>
      <c r="AQ4381" s="1"/>
      <c r="AR4381" s="1"/>
      <c r="AS4381" s="1"/>
      <c r="AT4381" s="1"/>
      <c r="AU4381" s="1"/>
      <c r="AV4381" s="1"/>
      <c r="AW4381" s="1"/>
      <c r="AX4381" s="1"/>
      <c r="AY4381" s="1"/>
      <c r="AZ4381" s="1"/>
      <c r="BA4381" s="1"/>
      <c r="BB4381" s="1"/>
    </row>
    <row r="4382" ht="204.75" customHeight="1">
      <c r="A4382" s="1">
        <v>5031.0</v>
      </c>
      <c r="B4382" s="2" t="s">
        <v>12711</v>
      </c>
      <c r="C4382" s="2">
        <f>IFERROR(__xludf.DUMMYFUNCTION("split(B4382,""_"")"),910.0)</f>
        <v>910</v>
      </c>
      <c r="D4382" s="2" t="str">
        <f>IFERROR(__xludf.DUMMYFUNCTION("""COMPUTED_VALUE"""),"NTV")</f>
        <v>NTV</v>
      </c>
      <c r="E4382" s="2" t="str">
        <f>IFERROR(__xludf.DUMMYFUNCTION("""COMPUTED_VALUE"""),"木23")</f>
        <v>木23</v>
      </c>
      <c r="F4382" s="2" t="s">
        <v>12712</v>
      </c>
      <c r="G4382" s="2" t="s">
        <v>12715</v>
      </c>
      <c r="H4382" s="1">
        <v>2.0</v>
      </c>
      <c r="I4382" s="1" t="s">
        <v>2880</v>
      </c>
      <c r="J4382" s="1" t="s">
        <v>1435</v>
      </c>
      <c r="K4382" s="2" t="s">
        <v>12716</v>
      </c>
      <c r="L4382" s="2"/>
      <c r="M4382" s="2" t="str">
        <f>IFERROR(__xludf.DUMMYFUNCTION("split(split(K4382,""【演出"",false),""ほか"",false)"),"向井理、南明奈、六角精児、吉田羊、滝藤賢一、伊嵜充則北は山野にすすめられ、覚せい剤の裁判を傍聴。それはやくざの組長が被告人の裁判で、傍聴席は全員やくざの若い衆だったため、北は傍聴席でビビリまくる。  その後、同じく覚せい剤の裁判を傍聴するが、それはかつて北がファンだったロックバンドのボーカルが起こした事件だった。有名人の裁判に興奮する北だったが、被告と親友だと思っていたバンド仲間のギタリストが被告をバカにする証言をしたことで、ショックを受ける。http://www.ytv.co.jp/bouchou/")</f>
        <v>向井理、南明奈、六角精児、吉田羊、滝藤賢一、伊嵜充則北は山野にすすめられ、覚せい剤の裁判を傍聴。それはやくざの組長が被告人の裁判で、傍聴席は全員やくざの若い衆だったため、北は傍聴席でビビリまくる。  その後、同じく覚せい剤の裁判を傍聴するが、それはかつて北がファンだったロックバンドのボーカルが起こした事件だった。有名人の裁判に興奮する北だったが、被告と親友だと思っていたバンド仲間のギタリストが被告をバカにする証言をしたことで、ショックを受ける。http://www.ytv.co.jp/bouchou/</v>
      </c>
      <c r="N4382" s="2"/>
      <c r="O4382" s="2"/>
      <c r="P4382" s="1"/>
      <c r="Q4382" s="1"/>
      <c r="R4382" s="1"/>
      <c r="S4382" s="1"/>
      <c r="T4382" s="1"/>
      <c r="U4382" s="1"/>
      <c r="V4382" s="1"/>
      <c r="W4382" s="1"/>
      <c r="X4382" s="1"/>
      <c r="Y4382" s="1"/>
      <c r="Z4382" s="1"/>
      <c r="AA4382" s="1"/>
      <c r="AB4382" s="1"/>
      <c r="AC4382" s="1"/>
      <c r="AD4382" s="1"/>
      <c r="AE4382" s="1"/>
      <c r="AF4382" s="1"/>
      <c r="AG4382" s="1"/>
      <c r="AH4382" s="1"/>
      <c r="AI4382" s="1"/>
      <c r="AJ4382" s="1"/>
      <c r="AK4382" s="1"/>
      <c r="AL4382" s="1"/>
      <c r="AM4382" s="1"/>
      <c r="AN4382" s="1"/>
      <c r="AO4382" s="1"/>
      <c r="AP4382" s="1"/>
      <c r="AQ4382" s="1"/>
      <c r="AR4382" s="1"/>
      <c r="AS4382" s="1"/>
      <c r="AT4382" s="1"/>
      <c r="AU4382" s="1"/>
      <c r="AV4382" s="1"/>
      <c r="AW4382" s="1"/>
      <c r="AX4382" s="1"/>
      <c r="AY4382" s="1"/>
      <c r="AZ4382" s="1"/>
      <c r="BA4382" s="1"/>
      <c r="BB4382" s="1"/>
    </row>
    <row r="4383" ht="204.75" customHeight="1">
      <c r="A4383" s="1">
        <v>5032.0</v>
      </c>
      <c r="B4383" s="2" t="s">
        <v>12711</v>
      </c>
      <c r="C4383" s="2">
        <f>IFERROR(__xludf.DUMMYFUNCTION("split(B4383,""_"")"),910.0)</f>
        <v>910</v>
      </c>
      <c r="D4383" s="2" t="str">
        <f>IFERROR(__xludf.DUMMYFUNCTION("""COMPUTED_VALUE"""),"NTV")</f>
        <v>NTV</v>
      </c>
      <c r="E4383" s="2" t="str">
        <f>IFERROR(__xludf.DUMMYFUNCTION("""COMPUTED_VALUE"""),"木23")</f>
        <v>木23</v>
      </c>
      <c r="F4383" s="2" t="s">
        <v>12712</v>
      </c>
      <c r="G4383" s="2" t="s">
        <v>12717</v>
      </c>
      <c r="H4383" s="1">
        <v>3.0</v>
      </c>
      <c r="I4383" s="1" t="s">
        <v>2884</v>
      </c>
      <c r="J4383" s="1" t="s">
        <v>1435</v>
      </c>
      <c r="K4383" s="2" t="s">
        <v>12718</v>
      </c>
      <c r="L4383" s="2"/>
      <c r="M4383" s="2" t="str">
        <f>IFERROR(__xludf.DUMMYFUNCTION("split(split(K4383,""【演出"",false),""ほか"",false)"),"向井理、南明奈、六角精児、吉田羊、前田亜季、浅野和之北は、美人エリート医大生が交際相手の新恋人をハンマーで殴るという衝撃的な事件の裁判を傍聴。被告人の「私は間違っていません」という言葉に北は不気味さを感じるが、一緒に傍聴した山野は、ふらふらしている北よりも被告人の気持ちの方が理解できると言い、北と大喧嘩になる。北は、被告人に同情的な山野が、実はかつて犯罪をおかした前科者ではないかと疑う。http://www.ytv.co.jp/bouchou/")</f>
        <v>向井理、南明奈、六角精児、吉田羊、前田亜季、浅野和之北は、美人エリート医大生が交際相手の新恋人をハンマーで殴るという衝撃的な事件の裁判を傍聴。被告人の「私は間違っていません」という言葉に北は不気味さを感じるが、一緒に傍聴した山野は、ふらふらしている北よりも被告人の気持ちの方が理解できると言い、北と大喧嘩になる。北は、被告人に同情的な山野が、実はかつて犯罪をおかした前科者ではないかと疑う。http://www.ytv.co.jp/bouchou/</v>
      </c>
      <c r="N4383" s="2"/>
      <c r="O4383" s="2"/>
      <c r="P4383" s="1"/>
      <c r="Q4383" s="1"/>
      <c r="R4383" s="1"/>
      <c r="S4383" s="1"/>
      <c r="T4383" s="1"/>
      <c r="U4383" s="1"/>
      <c r="V4383" s="1"/>
      <c r="W4383" s="1"/>
      <c r="X4383" s="1"/>
      <c r="Y4383" s="1"/>
      <c r="Z4383" s="1"/>
      <c r="AA4383" s="1"/>
      <c r="AB4383" s="1"/>
      <c r="AC4383" s="1"/>
      <c r="AD4383" s="1"/>
      <c r="AE4383" s="1"/>
      <c r="AF4383" s="1"/>
      <c r="AG4383" s="1"/>
      <c r="AH4383" s="1"/>
      <c r="AI4383" s="1"/>
      <c r="AJ4383" s="1"/>
      <c r="AK4383" s="1"/>
      <c r="AL4383" s="1"/>
      <c r="AM4383" s="1"/>
      <c r="AN4383" s="1"/>
      <c r="AO4383" s="1"/>
      <c r="AP4383" s="1"/>
      <c r="AQ4383" s="1"/>
      <c r="AR4383" s="1"/>
      <c r="AS4383" s="1"/>
      <c r="AT4383" s="1"/>
      <c r="AU4383" s="1"/>
      <c r="AV4383" s="1"/>
      <c r="AW4383" s="1"/>
      <c r="AX4383" s="1"/>
      <c r="AY4383" s="1"/>
      <c r="AZ4383" s="1"/>
      <c r="BA4383" s="1"/>
      <c r="BB4383" s="1"/>
    </row>
    <row r="4384" ht="204.75" customHeight="1">
      <c r="A4384" s="1">
        <v>5033.0</v>
      </c>
      <c r="B4384" s="2" t="s">
        <v>12711</v>
      </c>
      <c r="C4384" s="2">
        <f>IFERROR(__xludf.DUMMYFUNCTION("split(B4384,""_"")"),910.0)</f>
        <v>910</v>
      </c>
      <c r="D4384" s="2" t="str">
        <f>IFERROR(__xludf.DUMMYFUNCTION("""COMPUTED_VALUE"""),"NTV")</f>
        <v>NTV</v>
      </c>
      <c r="E4384" s="2" t="str">
        <f>IFERROR(__xludf.DUMMYFUNCTION("""COMPUTED_VALUE"""),"木23")</f>
        <v>木23</v>
      </c>
      <c r="F4384" s="2" t="s">
        <v>12712</v>
      </c>
      <c r="G4384" s="2" t="s">
        <v>12719</v>
      </c>
      <c r="H4384" s="1">
        <v>4.0</v>
      </c>
      <c r="I4384" s="1" t="s">
        <v>2888</v>
      </c>
      <c r="J4384" s="1" t="s">
        <v>1435</v>
      </c>
      <c r="K4384" s="2" t="s">
        <v>12720</v>
      </c>
      <c r="L4384" s="2"/>
      <c r="M4384" s="2" t="str">
        <f>IFERROR(__xludf.DUMMYFUNCTION("split(split(K4384,""【演出"",false),""ほか"",false)"),"向井理、南明奈、六角精児、宮地真緒、永岡佑、岡まゆみ北は、ある殺人未遂事件を傍聴しようと法廷に入り、被告人を見て驚く。そこには高校時代の同級生で女友達の玲がいた。玲は行為は認めるが、動機については黙秘を貫いていた。女優を目指し上京してきた彼女に一体なにがあったのか?接見室へと足を運んだ北は玲から「こうなったのも、森夫のせいなんだから」と意味深なことを言われ動揺する。北は、彼女の身辺を探るべく動きだす!http://www.ytv.co.jp/bouchou/")</f>
        <v>向井理、南明奈、六角精児、宮地真緒、永岡佑、岡まゆみ北は、ある殺人未遂事件を傍聴しようと法廷に入り、被告人を見て驚く。そこには高校時代の同級生で女友達の玲がいた。玲は行為は認めるが、動機については黙秘を貫いていた。女優を目指し上京してきた彼女に一体なにがあったのか?接見室へと足を運んだ北は玲から「こうなったのも、森夫のせいなんだから」と意味深なことを言われ動揺する。北は、彼女の身辺を探るべく動きだす!http://www.ytv.co.jp/bouchou/</v>
      </c>
      <c r="N4384" s="2"/>
      <c r="O4384" s="2"/>
      <c r="P4384" s="1"/>
      <c r="Q4384" s="1"/>
      <c r="R4384" s="1"/>
      <c r="S4384" s="1"/>
      <c r="T4384" s="1"/>
      <c r="U4384" s="1"/>
      <c r="V4384" s="1"/>
      <c r="W4384" s="1"/>
      <c r="X4384" s="1"/>
      <c r="Y4384" s="1"/>
      <c r="Z4384" s="1"/>
      <c r="AA4384" s="1"/>
      <c r="AB4384" s="1"/>
      <c r="AC4384" s="1"/>
      <c r="AD4384" s="1"/>
      <c r="AE4384" s="1"/>
      <c r="AF4384" s="1"/>
      <c r="AG4384" s="1"/>
      <c r="AH4384" s="1"/>
      <c r="AI4384" s="1"/>
      <c r="AJ4384" s="1"/>
      <c r="AK4384" s="1"/>
      <c r="AL4384" s="1"/>
      <c r="AM4384" s="1"/>
      <c r="AN4384" s="1"/>
      <c r="AO4384" s="1"/>
      <c r="AP4384" s="1"/>
      <c r="AQ4384" s="1"/>
      <c r="AR4384" s="1"/>
      <c r="AS4384" s="1"/>
      <c r="AT4384" s="1"/>
      <c r="AU4384" s="1"/>
      <c r="AV4384" s="1"/>
      <c r="AW4384" s="1"/>
      <c r="AX4384" s="1"/>
      <c r="AY4384" s="1"/>
      <c r="AZ4384" s="1"/>
      <c r="BA4384" s="1"/>
      <c r="BB4384" s="1"/>
    </row>
    <row r="4385" ht="204.75" customHeight="1">
      <c r="A4385" s="1">
        <v>5034.0</v>
      </c>
      <c r="B4385" s="2" t="s">
        <v>12711</v>
      </c>
      <c r="C4385" s="2">
        <f>IFERROR(__xludf.DUMMYFUNCTION("split(B4385,""_"")"),910.0)</f>
        <v>910</v>
      </c>
      <c r="D4385" s="2" t="str">
        <f>IFERROR(__xludf.DUMMYFUNCTION("""COMPUTED_VALUE"""),"NTV")</f>
        <v>NTV</v>
      </c>
      <c r="E4385" s="2" t="str">
        <f>IFERROR(__xludf.DUMMYFUNCTION("""COMPUTED_VALUE"""),"木23")</f>
        <v>木23</v>
      </c>
      <c r="F4385" s="2" t="s">
        <v>12712</v>
      </c>
      <c r="G4385" s="2" t="s">
        <v>12721</v>
      </c>
      <c r="H4385" s="1">
        <v>5.0</v>
      </c>
      <c r="I4385" s="1" t="s">
        <v>2892</v>
      </c>
      <c r="J4385" s="1" t="s">
        <v>1435</v>
      </c>
      <c r="K4385" s="2" t="s">
        <v>12722</v>
      </c>
      <c r="L4385" s="2"/>
      <c r="M4385" s="2" t="str">
        <f>IFERROR(__xludf.DUMMYFUNCTION("split(split(K4385,""【演出"",false),""ほか"",false)"),"向井理、南明奈、六角精児、吉田羊、きたろう北は「殺人未遂」裁判を傍聴する。恋人を包丁で刺し重傷を負わせた被告人は殺意を否定。しかし検察官のビューティー星川は被害者の携帯電話に残された動かぬ証拠を被告人に突きつける。その鮮やかな責めに、北も山野も惚れ惚れする。裁判の後、北は美和に「金曜日、ちょっとつきあって」と誘われウキウキ。北は美和に恋をしている自分に気がつく。そして初めて二人で出かけた際、美和の隠された過去の事件を知り、愕然とするーー。http://www.ytv.co.jp/bouchou/")</f>
        <v>向井理、南明奈、六角精児、吉田羊、きたろう北は「殺人未遂」裁判を傍聴する。恋人を包丁で刺し重傷を負わせた被告人は殺意を否定。しかし検察官のビューティー星川は被害者の携帯電話に残された動かぬ証拠を被告人に突きつける。その鮮やかな責めに、北も山野も惚れ惚れする。裁判の後、北は美和に「金曜日、ちょっとつきあって」と誘われウキウキ。北は美和に恋をしている自分に気がつく。そして初めて二人で出かけた際、美和の隠された過去の事件を知り、愕然とするーー。http://www.ytv.co.jp/bouchou/</v>
      </c>
      <c r="N4385" s="2"/>
      <c r="O4385" s="2"/>
      <c r="P4385" s="1"/>
      <c r="Q4385" s="1"/>
      <c r="R4385" s="1"/>
      <c r="S4385" s="1"/>
      <c r="T4385" s="1"/>
      <c r="U4385" s="1"/>
      <c r="V4385" s="1"/>
      <c r="W4385" s="1"/>
      <c r="X4385" s="1"/>
      <c r="Y4385" s="1"/>
      <c r="Z4385" s="1"/>
      <c r="AA4385" s="1"/>
      <c r="AB4385" s="1"/>
      <c r="AC4385" s="1"/>
      <c r="AD4385" s="1"/>
      <c r="AE4385" s="1"/>
      <c r="AF4385" s="1"/>
      <c r="AG4385" s="1"/>
      <c r="AH4385" s="1"/>
      <c r="AI4385" s="1"/>
      <c r="AJ4385" s="1"/>
      <c r="AK4385" s="1"/>
      <c r="AL4385" s="1"/>
      <c r="AM4385" s="1"/>
      <c r="AN4385" s="1"/>
      <c r="AO4385" s="1"/>
      <c r="AP4385" s="1"/>
      <c r="AQ4385" s="1"/>
      <c r="AR4385" s="1"/>
      <c r="AS4385" s="1"/>
      <c r="AT4385" s="1"/>
      <c r="AU4385" s="1"/>
      <c r="AV4385" s="1"/>
      <c r="AW4385" s="1"/>
      <c r="AX4385" s="1"/>
      <c r="AY4385" s="1"/>
      <c r="AZ4385" s="1"/>
      <c r="BA4385" s="1"/>
      <c r="BB4385" s="1"/>
    </row>
    <row r="4386" ht="204.75" customHeight="1">
      <c r="A4386" s="1">
        <v>5074.0</v>
      </c>
      <c r="B4386" s="2" t="s">
        <v>12723</v>
      </c>
      <c r="C4386" s="2">
        <f>IFERROR(__xludf.DUMMYFUNCTION("split(B4386,""_"")"),910.0)</f>
        <v>910</v>
      </c>
      <c r="D4386" s="2" t="str">
        <f>IFERROR(__xludf.DUMMYFUNCTION("""COMPUTED_VALUE"""),"NTV")</f>
        <v>NTV</v>
      </c>
      <c r="E4386" s="2" t="str">
        <f>IFERROR(__xludf.DUMMYFUNCTION("""COMPUTED_VALUE"""),"土21")</f>
        <v>土21</v>
      </c>
      <c r="F4386" s="2" t="s">
        <v>12724</v>
      </c>
      <c r="G4386" s="2" t="s">
        <v>12725</v>
      </c>
      <c r="H4386" s="1">
        <v>1.0</v>
      </c>
      <c r="J4386" s="1" t="s">
        <v>4</v>
      </c>
      <c r="K4386" s="2" t="s">
        <v>12726</v>
      </c>
      <c r="L4386" s="2"/>
      <c r="M4386" s="2" t="str">
        <f>IFERROR(__xludf.DUMMYFUNCTION("split(split(K4386,""【演出"",false),""ほか"",false)"),"三浦春馬、城田優、杏、大後寿々花、小林涼子、桜田通、柳下大、市川実日子、金子ノブアキ、金田明夫、キムラ緑子、小林正寛、ムロツヨシ、松田沙紀、ミムラ、室井滋、岸谷五朗私立高校に通う小太郎(三浦春馬)はヘタレな“草食系男子”高3の秋になっても志望校すら決まらず幼なじみはあきれ顔。ある日、偶然訪ねた図書館で司書に差し出された古文書を読む。それは今から400年前・真田幸村の家臣として戦ったある勇敢な武将について書かれた本だった。小太郎はその武将が自分と同姓同名で、同じ17歳であると気づく。と同時に小太郎の脳裏に太"&amp;"刀を手に敵陣へと走る自分の姿がフラッシュバックし…佐藤東弥井上由美子【音楽】菅野祐悟  【主題歌】monobright(DefSTER　RECORDS)")</f>
        <v>三浦春馬、城田優、杏、大後寿々花、小林涼子、桜田通、柳下大、市川実日子、金子ノブアキ、金田明夫、キムラ緑子、小林正寛、ムロツヨシ、松田沙紀、ミムラ、室井滋、岸谷五朗私立高校に通う小太郎(三浦春馬)はヘタレな“草食系男子”高3の秋になっても志望校すら決まらず幼なじみはあきれ顔。ある日、偶然訪ねた図書館で司書に差し出された古文書を読む。それは今から400年前・真田幸村の家臣として戦ったある勇敢な武将について書かれた本だった。小太郎はその武将が自分と同姓同名で、同じ17歳であると気づく。と同時に小太郎の脳裏に太刀を手に敵陣へと走る自分の姿がフラッシュバックし…佐藤東弥井上由美子【音楽】菅野祐悟  【主題歌】monobright(DefSTER　RECORDS)</v>
      </c>
      <c r="N4386" s="2"/>
      <c r="O4386" s="2"/>
      <c r="P4386" s="1"/>
      <c r="Q4386" s="1"/>
      <c r="R4386" s="1"/>
      <c r="S4386" s="1"/>
      <c r="T4386" s="1"/>
      <c r="U4386" s="1"/>
      <c r="V4386" s="1"/>
      <c r="W4386" s="1"/>
      <c r="X4386" s="1"/>
      <c r="Y4386" s="1"/>
      <c r="Z4386" s="1"/>
      <c r="AA4386" s="1"/>
      <c r="AB4386" s="1"/>
      <c r="AC4386" s="1"/>
      <c r="AD4386" s="1"/>
      <c r="AE4386" s="1"/>
      <c r="AF4386" s="1"/>
      <c r="AG4386" s="1"/>
      <c r="AH4386" s="1"/>
      <c r="AI4386" s="1"/>
      <c r="AJ4386" s="1"/>
      <c r="AK4386" s="1"/>
      <c r="AL4386" s="1"/>
      <c r="AM4386" s="1"/>
      <c r="AN4386" s="1"/>
      <c r="AO4386" s="1"/>
      <c r="AP4386" s="1"/>
      <c r="AQ4386" s="1"/>
      <c r="AR4386" s="1"/>
      <c r="AS4386" s="1"/>
      <c r="AT4386" s="1"/>
      <c r="AU4386" s="1"/>
      <c r="AV4386" s="1"/>
      <c r="AW4386" s="1"/>
      <c r="AX4386" s="1"/>
      <c r="AY4386" s="1"/>
      <c r="AZ4386" s="1"/>
      <c r="BA4386" s="1"/>
      <c r="BB4386" s="1"/>
    </row>
    <row r="4387" ht="204.75" customHeight="1">
      <c r="A4387" s="1">
        <v>5075.0</v>
      </c>
      <c r="B4387" s="2" t="s">
        <v>12723</v>
      </c>
      <c r="C4387" s="2">
        <f>IFERROR(__xludf.DUMMYFUNCTION("split(B4387,""_"")"),910.0)</f>
        <v>910</v>
      </c>
      <c r="D4387" s="2" t="str">
        <f>IFERROR(__xludf.DUMMYFUNCTION("""COMPUTED_VALUE"""),"NTV")</f>
        <v>NTV</v>
      </c>
      <c r="E4387" s="2" t="str">
        <f>IFERROR(__xludf.DUMMYFUNCTION("""COMPUTED_VALUE"""),"土21")</f>
        <v>土21</v>
      </c>
      <c r="F4387" s="2" t="s">
        <v>12724</v>
      </c>
      <c r="G4387" s="2" t="s">
        <v>12725</v>
      </c>
      <c r="H4387" s="1">
        <v>2.0</v>
      </c>
      <c r="J4387" s="1" t="s">
        <v>11</v>
      </c>
      <c r="K4387" s="2" t="s">
        <v>12727</v>
      </c>
      <c r="L4387" s="2"/>
      <c r="M4387" s="2" t="str">
        <f>IFERROR(__xludf.DUMMYFUNCTION("split(split(K4387,""【演出"",false),""ほか"",false)"),"三浦春馬、城田優、杏、大後寿々花、小林涼子、桜田通、柳下大、市川実日子、金子ノブアキ、金田明夫、キムラ緑子、小林正寛、ムロツヨシ、松田沙紀、ミムラ、室井滋、岸谷五朗“サムライ小太郎”が小太郎(三浦)に乗り移るようになって数日。小太郎は路上ライブをしているあい(杏)を目撃する。あいの夢はミュージシャンになることだったのだ。あいの歌う姿が動画サイトにアップされ応援メッセージが書き込まれる。悪口の書き込みもあり、コメントに小太郎の怒りが沸騰した瞬間、小太郎はまたもや“サムライ小太郎”に変身する。サムライ小太郎は"&amp;"あいを中傷した相手をさがそうとするが・・・佐藤東弥　井上由美子【音楽】菅野祐悟  【主題歌】「孤独の太陽」monobright(DefSTER　RECORDS)【制作著作】日本テレビ  【制作協力】オフィスクレッシェンド")</f>
        <v>三浦春馬、城田優、杏、大後寿々花、小林涼子、桜田通、柳下大、市川実日子、金子ノブアキ、金田明夫、キムラ緑子、小林正寛、ムロツヨシ、松田沙紀、ミムラ、室井滋、岸谷五朗“サムライ小太郎”が小太郎(三浦)に乗り移るようになって数日。小太郎は路上ライブをしているあい(杏)を目撃する。あいの夢はミュージシャンになることだったのだ。あいの歌う姿が動画サイトにアップされ応援メッセージが書き込まれる。悪口の書き込みもあり、コメントに小太郎の怒りが沸騰した瞬間、小太郎はまたもや“サムライ小太郎”に変身する。サムライ小太郎はあいを中傷した相手をさがそうとするが・・・佐藤東弥　井上由美子【音楽】菅野祐悟  【主題歌】「孤独の太陽」monobright(DefSTER　RECORDS)【制作著作】日本テレビ  【制作協力】オフィスクレッシェンド</v>
      </c>
      <c r="N4387" s="2"/>
      <c r="O4387" s="2"/>
      <c r="P4387" s="1"/>
      <c r="Q4387" s="1"/>
      <c r="R4387" s="1"/>
      <c r="S4387" s="1"/>
      <c r="T4387" s="1"/>
      <c r="U4387" s="1"/>
      <c r="V4387" s="1"/>
      <c r="W4387" s="1"/>
      <c r="X4387" s="1"/>
      <c r="Y4387" s="1"/>
      <c r="Z4387" s="1"/>
      <c r="AA4387" s="1"/>
      <c r="AB4387" s="1"/>
      <c r="AC4387" s="1"/>
      <c r="AD4387" s="1"/>
      <c r="AE4387" s="1"/>
      <c r="AF4387" s="1"/>
      <c r="AG4387" s="1"/>
      <c r="AH4387" s="1"/>
      <c r="AI4387" s="1"/>
      <c r="AJ4387" s="1"/>
      <c r="AK4387" s="1"/>
      <c r="AL4387" s="1"/>
      <c r="AM4387" s="1"/>
      <c r="AN4387" s="1"/>
      <c r="AO4387" s="1"/>
      <c r="AP4387" s="1"/>
      <c r="AQ4387" s="1"/>
      <c r="AR4387" s="1"/>
      <c r="AS4387" s="1"/>
      <c r="AT4387" s="1"/>
      <c r="AU4387" s="1"/>
      <c r="AV4387" s="1"/>
      <c r="AW4387" s="1"/>
      <c r="AX4387" s="1"/>
      <c r="AY4387" s="1"/>
      <c r="AZ4387" s="1"/>
      <c r="BA4387" s="1"/>
      <c r="BB4387" s="1"/>
    </row>
    <row r="4388" ht="204.75" customHeight="1">
      <c r="A4388" s="1">
        <v>5076.0</v>
      </c>
      <c r="B4388" s="2" t="s">
        <v>12723</v>
      </c>
      <c r="C4388" s="2">
        <f>IFERROR(__xludf.DUMMYFUNCTION("split(B4388,""_"")"),910.0)</f>
        <v>910</v>
      </c>
      <c r="D4388" s="2" t="str">
        <f>IFERROR(__xludf.DUMMYFUNCTION("""COMPUTED_VALUE"""),"NTV")</f>
        <v>NTV</v>
      </c>
      <c r="E4388" s="2" t="str">
        <f>IFERROR(__xludf.DUMMYFUNCTION("""COMPUTED_VALUE"""),"土21")</f>
        <v>土21</v>
      </c>
      <c r="F4388" s="2" t="s">
        <v>12724</v>
      </c>
      <c r="G4388" s="2" t="s">
        <v>12725</v>
      </c>
      <c r="H4388" s="1">
        <v>3.0</v>
      </c>
      <c r="J4388" s="1" t="s">
        <v>11</v>
      </c>
      <c r="K4388" s="2" t="s">
        <v>12728</v>
      </c>
      <c r="L4388" s="2"/>
      <c r="M4388" s="2" t="str">
        <f>IFERROR(__xludf.DUMMYFUNCTION("split(split(K4388,""【演出"",false),""ほか"",false)"),"三浦春馬、城田優、杏、大後寿々花、小林涼子、桜田通、柳下大、市川実日子、金子ノブアキ、金田明夫、キムラ緑子、小林正寛、ムロツヨシ、松田沙紀、濱田岳、日野陽仁、宮地雅子、ミムラ、室井滋、岸谷五朗“サムライ小太郎”が体に乗り移るようになってしまった小太郎。突然、乗り移ってはいなくなる“サムライ小太郎”に翻弄されほとほと困り果てているが、ひみこ(ミムラ)は強いサムライが“ヘタレ小太郎”を乗っ取るのではと縁起でもないことを告げる。そんな中、エリートのクラスから落ちて小太郎のクラスに編入した和也(濱田)がショックか"&amp;"ら不登校になり卒業が危ういことから登校するよう説得する役を買ってでるが・・・猪股隆一井上由美子【音楽】菅野祐悟  【主題歌】「孤独の太陽」monobright(DefSTER　RECORDS)【制作著作】日本テレビ  【制作協力】オフィスクレッシェンド")</f>
        <v>三浦春馬、城田優、杏、大後寿々花、小林涼子、桜田通、柳下大、市川実日子、金子ノブアキ、金田明夫、キムラ緑子、小林正寛、ムロツヨシ、松田沙紀、濱田岳、日野陽仁、宮地雅子、ミムラ、室井滋、岸谷五朗“サムライ小太郎”が体に乗り移るようになってしまった小太郎。突然、乗り移ってはいなくなる“サムライ小太郎”に翻弄されほとほと困り果てているが、ひみこ(ミムラ)は強いサムライが“ヘタレ小太郎”を乗っ取るのではと縁起でもないことを告げる。そんな中、エリートのクラスから落ちて小太郎のクラスに編入した和也(濱田)がショックから不登校になり卒業が危ういことから登校するよう説得する役を買ってでるが・・・猪股隆一井上由美子【音楽】菅野祐悟  【主題歌】「孤独の太陽」monobright(DefSTER　RECORDS)【制作著作】日本テレビ  【制作協力】オフィスクレッシェンド</v>
      </c>
      <c r="N4388" s="2"/>
      <c r="O4388" s="2"/>
      <c r="P4388" s="1"/>
      <c r="Q4388" s="1"/>
      <c r="R4388" s="1"/>
      <c r="S4388" s="1"/>
      <c r="T4388" s="1"/>
      <c r="U4388" s="1"/>
      <c r="V4388" s="1"/>
      <c r="W4388" s="1"/>
      <c r="X4388" s="1"/>
      <c r="Y4388" s="1"/>
      <c r="Z4388" s="1"/>
      <c r="AA4388" s="1"/>
      <c r="AB4388" s="1"/>
      <c r="AC4388" s="1"/>
      <c r="AD4388" s="1"/>
      <c r="AE4388" s="1"/>
      <c r="AF4388" s="1"/>
      <c r="AG4388" s="1"/>
      <c r="AH4388" s="1"/>
      <c r="AI4388" s="1"/>
      <c r="AJ4388" s="1"/>
      <c r="AK4388" s="1"/>
      <c r="AL4388" s="1"/>
      <c r="AM4388" s="1"/>
      <c r="AN4388" s="1"/>
      <c r="AO4388" s="1"/>
      <c r="AP4388" s="1"/>
      <c r="AQ4388" s="1"/>
      <c r="AR4388" s="1"/>
      <c r="AS4388" s="1"/>
      <c r="AT4388" s="1"/>
      <c r="AU4388" s="1"/>
      <c r="AV4388" s="1"/>
      <c r="AW4388" s="1"/>
      <c r="AX4388" s="1"/>
      <c r="AY4388" s="1"/>
      <c r="AZ4388" s="1"/>
      <c r="BA4388" s="1"/>
      <c r="BB4388" s="1"/>
    </row>
    <row r="4389" ht="204.75" customHeight="1">
      <c r="A4389" s="1">
        <v>5077.0</v>
      </c>
      <c r="B4389" s="2" t="s">
        <v>12723</v>
      </c>
      <c r="C4389" s="2">
        <f>IFERROR(__xludf.DUMMYFUNCTION("split(B4389,""_"")"),910.0)</f>
        <v>910</v>
      </c>
      <c r="D4389" s="2" t="str">
        <f>IFERROR(__xludf.DUMMYFUNCTION("""COMPUTED_VALUE"""),"NTV")</f>
        <v>NTV</v>
      </c>
      <c r="E4389" s="2" t="str">
        <f>IFERROR(__xludf.DUMMYFUNCTION("""COMPUTED_VALUE"""),"土21")</f>
        <v>土21</v>
      </c>
      <c r="F4389" s="2" t="s">
        <v>12724</v>
      </c>
      <c r="G4389" s="2" t="s">
        <v>12725</v>
      </c>
      <c r="H4389" s="1">
        <v>4.0</v>
      </c>
      <c r="J4389" s="1" t="s">
        <v>11</v>
      </c>
      <c r="K4389" s="2" t="s">
        <v>12729</v>
      </c>
      <c r="L4389" s="2"/>
      <c r="M4389" s="2" t="str">
        <f>IFERROR(__xludf.DUMMYFUNCTION("split(split(K4389,""【演出"",false),""ほか"",false)"),"三浦春馬、城田優、杏、大後寿々花、小林涼子、桜田通、柳下大、市川実日子、金子ノブアキ、金田明夫、キムラ緑子、小林正寛、ムロツヨシ、松田沙紀、賀来賢人、鈴之助、小柳心、山下容莉枝、モロ師岡、市川勇、野仲イサオ、奥田達士、ミムラ、室井滋、岸谷五朗小太郎の体に“サムライ小太郎”が乗り移るようになって一ヶ月。近所でホームレスが襲われ、目撃者の証言から小太郎と剛に容疑がかけられてしまった。疑いは晴れないまま、刑事に深く傷つけられた剛は一人悩んでいた。そんな剛を見た小太郎は真犯人を見つけ出そうと、被害者・山本に事情を"&amp;"聞く。真犯人を見つける鍵を得た小太郎はサッカー部に乗り込んで行くが、今日に限って“サムライ小太郎”が現れない!さてどうする小太郎?!狩山俊輔井上由美子【音楽】菅野祐悟  【主題歌】「孤独の太陽」monobright(DefSTER　RECORDS)【制作著作】日本テレビ  【制作協力】オフィスクレッシェンド")</f>
        <v>三浦春馬、城田優、杏、大後寿々花、小林涼子、桜田通、柳下大、市川実日子、金子ノブアキ、金田明夫、キムラ緑子、小林正寛、ムロツヨシ、松田沙紀、賀来賢人、鈴之助、小柳心、山下容莉枝、モロ師岡、市川勇、野仲イサオ、奥田達士、ミムラ、室井滋、岸谷五朗小太郎の体に“サムライ小太郎”が乗り移るようになって一ヶ月。近所でホームレスが襲われ、目撃者の証言から小太郎と剛に容疑がかけられてしまった。疑いは晴れないまま、刑事に深く傷つけられた剛は一人悩んでいた。そんな剛を見た小太郎は真犯人を見つけ出そうと、被害者・山本に事情を聞く。真犯人を見つける鍵を得た小太郎はサッカー部に乗り込んで行くが、今日に限って“サムライ小太郎”が現れない!さてどうする小太郎?!狩山俊輔井上由美子【音楽】菅野祐悟  【主題歌】「孤独の太陽」monobright(DefSTER　RECORDS)【制作著作】日本テレビ  【制作協力】オフィスクレッシェンド</v>
      </c>
      <c r="N4389" s="2"/>
      <c r="O4389" s="2"/>
      <c r="P4389" s="1"/>
      <c r="Q4389" s="1"/>
      <c r="R4389" s="1"/>
      <c r="S4389" s="1"/>
      <c r="T4389" s="1"/>
      <c r="U4389" s="1"/>
      <c r="V4389" s="1"/>
      <c r="W4389" s="1"/>
      <c r="X4389" s="1"/>
      <c r="Y4389" s="1"/>
      <c r="Z4389" s="1"/>
      <c r="AA4389" s="1"/>
      <c r="AB4389" s="1"/>
      <c r="AC4389" s="1"/>
      <c r="AD4389" s="1"/>
      <c r="AE4389" s="1"/>
      <c r="AF4389" s="1"/>
      <c r="AG4389" s="1"/>
      <c r="AH4389" s="1"/>
      <c r="AI4389" s="1"/>
      <c r="AJ4389" s="1"/>
      <c r="AK4389" s="1"/>
      <c r="AL4389" s="1"/>
      <c r="AM4389" s="1"/>
      <c r="AN4389" s="1"/>
      <c r="AO4389" s="1"/>
      <c r="AP4389" s="1"/>
      <c r="AQ4389" s="1"/>
      <c r="AR4389" s="1"/>
      <c r="AS4389" s="1"/>
      <c r="AT4389" s="1"/>
      <c r="AU4389" s="1"/>
      <c r="AV4389" s="1"/>
      <c r="AW4389" s="1"/>
      <c r="AX4389" s="1"/>
      <c r="AY4389" s="1"/>
      <c r="AZ4389" s="1"/>
      <c r="BA4389" s="1"/>
      <c r="BB4389" s="1"/>
    </row>
    <row r="4390" ht="204.75" customHeight="1">
      <c r="A4390" s="1">
        <v>5078.0</v>
      </c>
      <c r="B4390" s="2" t="s">
        <v>12723</v>
      </c>
      <c r="C4390" s="2">
        <f>IFERROR(__xludf.DUMMYFUNCTION("split(B4390,""_"")"),910.0)</f>
        <v>910</v>
      </c>
      <c r="D4390" s="2" t="str">
        <f>IFERROR(__xludf.DUMMYFUNCTION("""COMPUTED_VALUE"""),"NTV")</f>
        <v>NTV</v>
      </c>
      <c r="E4390" s="2" t="str">
        <f>IFERROR(__xludf.DUMMYFUNCTION("""COMPUTED_VALUE"""),"土21")</f>
        <v>土21</v>
      </c>
      <c r="F4390" s="2" t="s">
        <v>12724</v>
      </c>
      <c r="G4390" s="2" t="s">
        <v>12725</v>
      </c>
      <c r="H4390" s="1">
        <v>5.0</v>
      </c>
      <c r="J4390" s="1" t="s">
        <v>11</v>
      </c>
      <c r="K4390" s="2" t="s">
        <v>12730</v>
      </c>
      <c r="L4390" s="2"/>
      <c r="M4390" s="2" t="str">
        <f>IFERROR(__xludf.DUMMYFUNCTION("split(split(K4390,""【演出"",false),""ほか"",false)"),"三浦春馬、城田優、杏、大後寿々花、小林涼子、桜田通、柳下大、市川実日子、金子ノブアキ、金田明夫、キムラ緑子、小林正寛、ムロツヨシ、松田沙紀、近江谷太朗、松澤仁晶、大前喬一、中島まりな、室井滋、岸谷五朗小太郎に“サムライ小太郎”が乗り移るようになって1ヶ月。小太郎の父が会社からリストラされる一大事件が起きる。小太郎は大学進学をあきらめ、就職することを決意し、剛にバイト先を紹介してもらう。が、バイト中にゴミのポイ捨てをするヤンキー高校生に遭遇したとたん、小太郎は“サムライ小太郎”に変身してしまい、バイトをクビ"&amp;"になってしまう。そして、父のリストラの原因を知ったサムライ小太郎は・・・?!佐藤東弥　井上由美子【音楽】菅野祐悟  【主題歌】「孤独の太陽」monobright(DefSTER　RECORDS)【制作著作】日本テレビ  【制作協力】オフィスクレッシェンド")</f>
        <v>三浦春馬、城田優、杏、大後寿々花、小林涼子、桜田通、柳下大、市川実日子、金子ノブアキ、金田明夫、キムラ緑子、小林正寛、ムロツヨシ、松田沙紀、近江谷太朗、松澤仁晶、大前喬一、中島まりな、室井滋、岸谷五朗小太郎に“サムライ小太郎”が乗り移るようになって1ヶ月。小太郎の父が会社からリストラされる一大事件が起きる。小太郎は大学進学をあきらめ、就職することを決意し、剛にバイト先を紹介してもらう。が、バイト中にゴミのポイ捨てをするヤンキー高校生に遭遇したとたん、小太郎は“サムライ小太郎”に変身してしまい、バイトをクビになってしまう。そして、父のリストラの原因を知ったサムライ小太郎は・・・?!佐藤東弥　井上由美子【音楽】菅野祐悟  【主題歌】「孤独の太陽」monobright(DefSTER　RECORDS)【制作著作】日本テレビ  【制作協力】オフィスクレッシェンド</v>
      </c>
      <c r="N4390" s="2"/>
      <c r="O4390" s="2"/>
      <c r="P4390" s="1"/>
      <c r="Q4390" s="1"/>
      <c r="R4390" s="1"/>
      <c r="S4390" s="1"/>
      <c r="T4390" s="1"/>
      <c r="U4390" s="1"/>
      <c r="V4390" s="1"/>
      <c r="W4390" s="1"/>
      <c r="X4390" s="1"/>
      <c r="Y4390" s="1"/>
      <c r="Z4390" s="1"/>
      <c r="AA4390" s="1"/>
      <c r="AB4390" s="1"/>
      <c r="AC4390" s="1"/>
      <c r="AD4390" s="1"/>
      <c r="AE4390" s="1"/>
      <c r="AF4390" s="1"/>
      <c r="AG4390" s="1"/>
      <c r="AH4390" s="1"/>
      <c r="AI4390" s="1"/>
      <c r="AJ4390" s="1"/>
      <c r="AK4390" s="1"/>
      <c r="AL4390" s="1"/>
      <c r="AM4390" s="1"/>
      <c r="AN4390" s="1"/>
      <c r="AO4390" s="1"/>
      <c r="AP4390" s="1"/>
      <c r="AQ4390" s="1"/>
      <c r="AR4390" s="1"/>
      <c r="AS4390" s="1"/>
      <c r="AT4390" s="1"/>
      <c r="AU4390" s="1"/>
      <c r="AV4390" s="1"/>
      <c r="AW4390" s="1"/>
      <c r="AX4390" s="1"/>
      <c r="AY4390" s="1"/>
      <c r="AZ4390" s="1"/>
      <c r="BA4390" s="1"/>
      <c r="BB4390" s="1"/>
    </row>
    <row r="4391" ht="204.75" customHeight="1">
      <c r="A4391" s="1">
        <v>5079.0</v>
      </c>
      <c r="B4391" s="2" t="s">
        <v>12723</v>
      </c>
      <c r="C4391" s="2">
        <f>IFERROR(__xludf.DUMMYFUNCTION("split(B4391,""_"")"),910.0)</f>
        <v>910</v>
      </c>
      <c r="D4391" s="2" t="str">
        <f>IFERROR(__xludf.DUMMYFUNCTION("""COMPUTED_VALUE"""),"NTV")</f>
        <v>NTV</v>
      </c>
      <c r="E4391" s="2" t="str">
        <f>IFERROR(__xludf.DUMMYFUNCTION("""COMPUTED_VALUE"""),"土21")</f>
        <v>土21</v>
      </c>
      <c r="F4391" s="2" t="s">
        <v>12724</v>
      </c>
      <c r="G4391" s="2" t="s">
        <v>12725</v>
      </c>
      <c r="H4391" s="1">
        <v>6.0</v>
      </c>
      <c r="J4391" s="1" t="s">
        <v>11</v>
      </c>
      <c r="K4391" s="2" t="s">
        <v>12731</v>
      </c>
      <c r="L4391" s="2"/>
      <c r="M4391" s="2" t="str">
        <f>IFERROR(__xludf.DUMMYFUNCTION("split(split(K4391,""【演出"",false),""ほか"",false)"),"三浦春馬、城田優、杏、大後寿々花、小林涼子、桜田通、柳下大、市川実日子、金子ノブアキ、金田明夫、キムラ緑子、小林正寛、ムロツヨシ、松田沙紀、ミムラ、室井滋、岸谷五朗週刊誌に小太郎の高校の校長の恭子が寄付金の横領をしていると記事が載る。校長は記事はでたらめだと言うが、学校には問い合わせが殺到する。そんな中、小太郎は学校を退学になった岩永と偶然出会う。何か怪しいと感じた小太郎は彼の家を訪ねるがそれは罠だった!小太郎は岩永に監禁され、剛と愛までつかまってしまう。愛は小太郎に「サムライになって!」と助けを求めるが"&amp;"サムライは現れない。小太郎はピンチをどう切り抜ける?!猪股隆一井上由美子【音楽】菅野祐悟  【主題歌】「孤独の太陽」monobright(DefSTER　RECORDS)【制作著作】日本テレビ  【制作協力】オフィスクレッシェンド")</f>
        <v>三浦春馬、城田優、杏、大後寿々花、小林涼子、桜田通、柳下大、市川実日子、金子ノブアキ、金田明夫、キムラ緑子、小林正寛、ムロツヨシ、松田沙紀、ミムラ、室井滋、岸谷五朗週刊誌に小太郎の高校の校長の恭子が寄付金の横領をしていると記事が載る。校長は記事はでたらめだと言うが、学校には問い合わせが殺到する。そんな中、小太郎は学校を退学になった岩永と偶然出会う。何か怪しいと感じた小太郎は彼の家を訪ねるがそれは罠だった!小太郎は岩永に監禁され、剛と愛までつかまってしまう。愛は小太郎に「サムライになって!」と助けを求めるがサムライは現れない。小太郎はピンチをどう切り抜ける?!猪股隆一井上由美子【音楽】菅野祐悟  【主題歌】「孤独の太陽」monobright(DefSTER　RECORDS)【制作著作】日本テレビ  【制作協力】オフィスクレッシェンド</v>
      </c>
      <c r="N4391" s="2"/>
      <c r="O4391" s="2"/>
      <c r="P4391" s="1"/>
      <c r="Q4391" s="1"/>
      <c r="R4391" s="1"/>
      <c r="S4391" s="1"/>
      <c r="T4391" s="1"/>
      <c r="U4391" s="1"/>
      <c r="V4391" s="1"/>
      <c r="W4391" s="1"/>
      <c r="X4391" s="1"/>
      <c r="Y4391" s="1"/>
      <c r="Z4391" s="1"/>
      <c r="AA4391" s="1"/>
      <c r="AB4391" s="1"/>
      <c r="AC4391" s="1"/>
      <c r="AD4391" s="1"/>
      <c r="AE4391" s="1"/>
      <c r="AF4391" s="1"/>
      <c r="AG4391" s="1"/>
      <c r="AH4391" s="1"/>
      <c r="AI4391" s="1"/>
      <c r="AJ4391" s="1"/>
      <c r="AK4391" s="1"/>
      <c r="AL4391" s="1"/>
      <c r="AM4391" s="1"/>
      <c r="AN4391" s="1"/>
      <c r="AO4391" s="1"/>
      <c r="AP4391" s="1"/>
      <c r="AQ4391" s="1"/>
      <c r="AR4391" s="1"/>
      <c r="AS4391" s="1"/>
      <c r="AT4391" s="1"/>
      <c r="AU4391" s="1"/>
      <c r="AV4391" s="1"/>
      <c r="AW4391" s="1"/>
      <c r="AX4391" s="1"/>
      <c r="AY4391" s="1"/>
      <c r="AZ4391" s="1"/>
      <c r="BA4391" s="1"/>
      <c r="BB4391" s="1"/>
    </row>
    <row r="4392" ht="204.75" customHeight="1">
      <c r="A4392" s="1">
        <v>5080.0</v>
      </c>
      <c r="B4392" s="2" t="s">
        <v>12723</v>
      </c>
      <c r="C4392" s="2">
        <f>IFERROR(__xludf.DUMMYFUNCTION("split(B4392,""_"")"),910.0)</f>
        <v>910</v>
      </c>
      <c r="D4392" s="2" t="str">
        <f>IFERROR(__xludf.DUMMYFUNCTION("""COMPUTED_VALUE"""),"NTV")</f>
        <v>NTV</v>
      </c>
      <c r="E4392" s="2" t="str">
        <f>IFERROR(__xludf.DUMMYFUNCTION("""COMPUTED_VALUE"""),"土21")</f>
        <v>土21</v>
      </c>
      <c r="F4392" s="2" t="s">
        <v>12724</v>
      </c>
      <c r="G4392" s="2" t="s">
        <v>12725</v>
      </c>
      <c r="H4392" s="1">
        <v>7.0</v>
      </c>
      <c r="J4392" s="1" t="s">
        <v>11</v>
      </c>
      <c r="K4392" s="2" t="s">
        <v>12732</v>
      </c>
      <c r="L4392" s="2"/>
      <c r="M4392" s="2" t="str">
        <f>IFERROR(__xludf.DUMMYFUNCTION("split(split(K4392,""【演出"",false),""ほか"",false)"),"三浦春馬、城田優、杏、大後寿々花、小林涼子、桜田通、柳下大、市川実日子、金子ノブアキ、金田明夫、キムラ緑子、小林正寛、ムロツヨシ、松田沙紀、石黒賢、賀来賢人、市川勇、加藤雅也、ミムラ、室井滋、岸谷五朗小太郎に“サムライ小太郎”が乗り移るようになって2ヶ月。小太郎のせいで退学になったと恨みを持つ岩永に、家の前に日本刀を置かれてしまう。刀を盗んだと疑いをかけようとしたのだ。それを知った岩永の父は千石学院に出向き、校長に小太郎が家宝の刀を盗んだと訴える。校長もサヤカも小太郎の無実を信じるが、小太郎が刀を返そうと"&amp;"した矢先に銃刀法違反で逮捕されそうになる。と、サムライ小太郎が乗り移り刀を持ち逃げし・・狩山俊輔井上由美子【音楽】菅野祐悟  【主題歌】「孤独の太陽」monobright(DefSTER　RECORDS)【制作著作】日本テレビ  【制作協力】オフィスクレッシェンド")</f>
        <v>三浦春馬、城田優、杏、大後寿々花、小林涼子、桜田通、柳下大、市川実日子、金子ノブアキ、金田明夫、キムラ緑子、小林正寛、ムロツヨシ、松田沙紀、石黒賢、賀来賢人、市川勇、加藤雅也、ミムラ、室井滋、岸谷五朗小太郎に“サムライ小太郎”が乗り移るようになって2ヶ月。小太郎のせいで退学になったと恨みを持つ岩永に、家の前に日本刀を置かれてしまう。刀を盗んだと疑いをかけようとしたのだ。それを知った岩永の父は千石学院に出向き、校長に小太郎が家宝の刀を盗んだと訴える。校長もサヤカも小太郎の無実を信じるが、小太郎が刀を返そうとした矢先に銃刀法違反で逮捕されそうになる。と、サムライ小太郎が乗り移り刀を持ち逃げし・・狩山俊輔井上由美子【音楽】菅野祐悟  【主題歌】「孤独の太陽」monobright(DefSTER　RECORDS)【制作著作】日本テレビ  【制作協力】オフィスクレッシェンド</v>
      </c>
      <c r="N4392" s="2"/>
      <c r="O4392" s="2"/>
      <c r="P4392" s="1"/>
      <c r="Q4392" s="1"/>
      <c r="R4392" s="1"/>
      <c r="S4392" s="1"/>
      <c r="T4392" s="1"/>
      <c r="U4392" s="1"/>
      <c r="V4392" s="1"/>
      <c r="W4392" s="1"/>
      <c r="X4392" s="1"/>
      <c r="Y4392" s="1"/>
      <c r="Z4392" s="1"/>
      <c r="AA4392" s="1"/>
      <c r="AB4392" s="1"/>
      <c r="AC4392" s="1"/>
      <c r="AD4392" s="1"/>
      <c r="AE4392" s="1"/>
      <c r="AF4392" s="1"/>
      <c r="AG4392" s="1"/>
      <c r="AH4392" s="1"/>
      <c r="AI4392" s="1"/>
      <c r="AJ4392" s="1"/>
      <c r="AK4392" s="1"/>
      <c r="AL4392" s="1"/>
      <c r="AM4392" s="1"/>
      <c r="AN4392" s="1"/>
      <c r="AO4392" s="1"/>
      <c r="AP4392" s="1"/>
      <c r="AQ4392" s="1"/>
      <c r="AR4392" s="1"/>
      <c r="AS4392" s="1"/>
      <c r="AT4392" s="1"/>
      <c r="AU4392" s="1"/>
      <c r="AV4392" s="1"/>
      <c r="AW4392" s="1"/>
      <c r="AX4392" s="1"/>
      <c r="AY4392" s="1"/>
      <c r="AZ4392" s="1"/>
      <c r="BA4392" s="1"/>
      <c r="BB4392" s="1"/>
    </row>
    <row r="4393" ht="204.75" customHeight="1">
      <c r="A4393" s="1">
        <v>5081.0</v>
      </c>
      <c r="B4393" s="2" t="s">
        <v>12723</v>
      </c>
      <c r="C4393" s="2">
        <f>IFERROR(__xludf.DUMMYFUNCTION("split(B4393,""_"")"),910.0)</f>
        <v>910</v>
      </c>
      <c r="D4393" s="2" t="str">
        <f>IFERROR(__xludf.DUMMYFUNCTION("""COMPUTED_VALUE"""),"NTV")</f>
        <v>NTV</v>
      </c>
      <c r="E4393" s="2" t="str">
        <f>IFERROR(__xludf.DUMMYFUNCTION("""COMPUTED_VALUE"""),"土21")</f>
        <v>土21</v>
      </c>
      <c r="F4393" s="2" t="s">
        <v>12724</v>
      </c>
      <c r="G4393" s="2" t="s">
        <v>12725</v>
      </c>
      <c r="H4393" s="1">
        <v>8.0</v>
      </c>
      <c r="J4393" s="1" t="s">
        <v>11</v>
      </c>
      <c r="K4393" s="2" t="s">
        <v>12733</v>
      </c>
      <c r="L4393" s="2"/>
      <c r="M4393" s="2" t="str">
        <f>IFERROR(__xludf.DUMMYFUNCTION("split(split(K4393,""【演出"",false),""ほか"",false)"),"三浦春馬、城田優、杏、大後寿々花、小林涼子、桜田通、柳下大、市川実日子、金子ノブアキ、金田明夫、キムラ緑子、小林正寛、ムロツヨシ、松田沙紀、石黒賢、賀来賢人、市川勇、阪田サマノブ、岡本光太郎、谷村美月、加藤雅也、ミムラ、室井滋、岸谷五朗小太郎にサムライ小太郎が乗り移るようになって3ヶ月。小太郎を恨む岩永親子の企みで名刀の盗難容疑をかけられた小太郎は、サムライ小太郎に乗り移られ刀を持ったまま逃走されてしまう。小太郎と話をするために逃げたサムライ小太郎だがついに2人が話しをする時が訪れ、サムライ小太郎は過去の"&amp;"事情から失った誇りを取り戻すために小太郎に乗り移ったと語る。「義を通せば誇りは取り戻せる」とサムライは学校に立てこもるが・・・佐藤東弥　井上由美子【音楽】菅野祐悟  【主題歌】「孤独の太陽」monobright(DefSTER　RECORDS)【制作著作】日本テレビ  【制作協力】オフィスクレッシェンド")</f>
        <v>三浦春馬、城田優、杏、大後寿々花、小林涼子、桜田通、柳下大、市川実日子、金子ノブアキ、金田明夫、キムラ緑子、小林正寛、ムロツヨシ、松田沙紀、石黒賢、賀来賢人、市川勇、阪田サマノブ、岡本光太郎、谷村美月、加藤雅也、ミムラ、室井滋、岸谷五朗小太郎にサムライ小太郎が乗り移るようになって3ヶ月。小太郎を恨む岩永親子の企みで名刀の盗難容疑をかけられた小太郎は、サムライ小太郎に乗り移られ刀を持ったまま逃走されてしまう。小太郎と話をするために逃げたサムライ小太郎だがついに2人が話しをする時が訪れ、サムライ小太郎は過去の事情から失った誇りを取り戻すために小太郎に乗り移ったと語る。「義を通せば誇りは取り戻せる」とサムライは学校に立てこもるが・・・佐藤東弥　井上由美子【音楽】菅野祐悟  【主題歌】「孤独の太陽」monobright(DefSTER　RECORDS)【制作著作】日本テレビ  【制作協力】オフィスクレッシェンド</v>
      </c>
      <c r="N4393" s="2"/>
      <c r="O4393" s="2"/>
      <c r="P4393" s="1"/>
      <c r="Q4393" s="1"/>
      <c r="R4393" s="1"/>
      <c r="S4393" s="1"/>
      <c r="T4393" s="1"/>
      <c r="U4393" s="1"/>
      <c r="V4393" s="1"/>
      <c r="W4393" s="1"/>
      <c r="X4393" s="1"/>
      <c r="Y4393" s="1"/>
      <c r="Z4393" s="1"/>
      <c r="AA4393" s="1"/>
      <c r="AB4393" s="1"/>
      <c r="AC4393" s="1"/>
      <c r="AD4393" s="1"/>
      <c r="AE4393" s="1"/>
      <c r="AF4393" s="1"/>
      <c r="AG4393" s="1"/>
      <c r="AH4393" s="1"/>
      <c r="AI4393" s="1"/>
      <c r="AJ4393" s="1"/>
      <c r="AK4393" s="1"/>
      <c r="AL4393" s="1"/>
      <c r="AM4393" s="1"/>
      <c r="AN4393" s="1"/>
      <c r="AO4393" s="1"/>
      <c r="AP4393" s="1"/>
      <c r="AQ4393" s="1"/>
      <c r="AR4393" s="1"/>
      <c r="AS4393" s="1"/>
      <c r="AT4393" s="1"/>
      <c r="AU4393" s="1"/>
      <c r="AV4393" s="1"/>
      <c r="AW4393" s="1"/>
      <c r="AX4393" s="1"/>
      <c r="AY4393" s="1"/>
      <c r="AZ4393" s="1"/>
      <c r="BA4393" s="1"/>
      <c r="BB4393" s="1"/>
    </row>
    <row r="4394" ht="204.75" customHeight="1">
      <c r="A4394" s="1">
        <v>5122.0</v>
      </c>
      <c r="B4394" s="2" t="s">
        <v>12734</v>
      </c>
      <c r="C4394" s="2">
        <f>IFERROR(__xludf.DUMMYFUNCTION("split(B4394,""_"")"),907.0)</f>
        <v>907</v>
      </c>
      <c r="D4394" s="2" t="str">
        <f>IFERROR(__xludf.DUMMYFUNCTION("""COMPUTED_VALUE"""),"NTV")</f>
        <v>NTV</v>
      </c>
      <c r="E4394" s="2" t="str">
        <f>IFERROR(__xludf.DUMMYFUNCTION("""COMPUTED_VALUE"""),"水22")</f>
        <v>水22</v>
      </c>
      <c r="F4394" s="2" t="s">
        <v>12735</v>
      </c>
      <c r="G4394" s="2" t="s">
        <v>12736</v>
      </c>
      <c r="H4394" s="1">
        <v>1.0</v>
      </c>
      <c r="J4394" s="1" t="s">
        <v>82</v>
      </c>
      <c r="K4394" s="2" t="s">
        <v>12737</v>
      </c>
      <c r="L4394" s="2"/>
      <c r="M4394" s="2" t="str">
        <f>IFERROR(__xludf.DUMMYFUNCTION("split(split(K4394,""【演出"",false),""ほか"",false)"),"大泉洋　香椎由宇　神木隆之介　須賀健太　尾美としのり　光石研　まえだまえだ　/　上川隆也　小林聡美　(他)赤い鼻姿で口達者に笑いをとっていた家電販売員の石原参太朗はある日突然クビになってしまい、かつての恩師の紹介で桜山総合病院を訪れる。長期入院により学校に通えない子供達の為の院内学級で中学生の担任をしてほしいと言われた石原は、戸惑いながらも「力を貸してください」という院長の桜山真の言葉でとたんにヤル気に。そんな石原に院内学級責任者の太川絹は不信感を抱き、小児科医の七瀬遥華も調子のいい石原をたしなめる。")</f>
        <v>大泉洋　香椎由宇　神木隆之介　須賀健太　尾美としのり　光石研　まえだまえだ　/　上川隆也　小林聡美　(他)赤い鼻姿で口達者に笑いをとっていた家電販売員の石原参太朗はある日突然クビになってしまい、かつての恩師の紹介で桜山総合病院を訪れる。長期入院により学校に通えない子供達の為の院内学級で中学生の担任をしてほしいと言われた石原は、戸惑いながらも「力を貸してください」という院長の桜山真の言葉でとたんにヤル気に。そんな石原に院内学級責任者の太川絹は不信感を抱き、小児科医の七瀬遥華も調子のいい石原をたしなめる。</v>
      </c>
      <c r="N4394" s="2"/>
      <c r="O4394" s="2"/>
      <c r="P4394" s="1"/>
      <c r="Q4394" s="1"/>
      <c r="R4394" s="1"/>
      <c r="S4394" s="1"/>
      <c r="T4394" s="1"/>
      <c r="U4394" s="1"/>
      <c r="V4394" s="1"/>
      <c r="W4394" s="1"/>
      <c r="X4394" s="1"/>
      <c r="Y4394" s="1"/>
      <c r="Z4394" s="1"/>
      <c r="AA4394" s="1"/>
      <c r="AB4394" s="1"/>
      <c r="AC4394" s="1"/>
      <c r="AD4394" s="1"/>
      <c r="AE4394" s="1"/>
      <c r="AF4394" s="1"/>
      <c r="AG4394" s="1"/>
      <c r="AH4394" s="1"/>
      <c r="AI4394" s="1"/>
      <c r="AJ4394" s="1"/>
      <c r="AK4394" s="1"/>
      <c r="AL4394" s="1"/>
      <c r="AM4394" s="1"/>
      <c r="AN4394" s="1"/>
      <c r="AO4394" s="1"/>
      <c r="AP4394" s="1"/>
      <c r="AQ4394" s="1"/>
      <c r="AR4394" s="1"/>
      <c r="AS4394" s="1"/>
      <c r="AT4394" s="1"/>
      <c r="AU4394" s="1"/>
      <c r="AV4394" s="1"/>
      <c r="AW4394" s="1"/>
      <c r="AX4394" s="1"/>
      <c r="AY4394" s="1"/>
      <c r="AZ4394" s="1"/>
      <c r="BA4394" s="1"/>
      <c r="BB4394" s="1"/>
    </row>
    <row r="4395" ht="204.75" customHeight="1">
      <c r="A4395" s="1">
        <v>5123.0</v>
      </c>
      <c r="B4395" s="2" t="s">
        <v>12734</v>
      </c>
      <c r="C4395" s="2">
        <f>IFERROR(__xludf.DUMMYFUNCTION("split(B4395,""_"")"),907.0)</f>
        <v>907</v>
      </c>
      <c r="D4395" s="2" t="str">
        <f>IFERROR(__xludf.DUMMYFUNCTION("""COMPUTED_VALUE"""),"NTV")</f>
        <v>NTV</v>
      </c>
      <c r="E4395" s="2" t="str">
        <f>IFERROR(__xludf.DUMMYFUNCTION("""COMPUTED_VALUE"""),"水22")</f>
        <v>水22</v>
      </c>
      <c r="F4395" s="2" t="s">
        <v>12735</v>
      </c>
      <c r="G4395" s="2" t="s">
        <v>12736</v>
      </c>
      <c r="H4395" s="1">
        <v>2.0</v>
      </c>
      <c r="J4395" s="1" t="s">
        <v>86</v>
      </c>
      <c r="K4395" s="2" t="s">
        <v>12738</v>
      </c>
      <c r="L4395" s="2"/>
      <c r="M4395" s="2" t="str">
        <f>IFERROR(__xludf.DUMMYFUNCTION("split(split(K4395,""【演出"",false),""ほか"",false)"),"大泉洋　香椎由宇　神木隆之介　須賀健太　尾美としのり　光石研　まえだまえだ　/　上川隆也　小林聡美　(他)ある日、院内学級の和田雅樹が、週一回の大事な検診をすっぽかしてしまう。和田は外科に入院中の少女に恋心を抱き、外科病棟まで彼女を見に行っていたのだった。その事を知った石原は和田の恋を成就させようと大はりきりで、少女を強引に院内学級へ通わせる。そんな石原の行動を心配して太川は忠告するが、石原はやけに強気。実は太川が浅草の劇場の娘だと桜山から聞いた石原はその劇場を訪れ、彼女のある弱みをにぎっていた…。")</f>
        <v>大泉洋　香椎由宇　神木隆之介　須賀健太　尾美としのり　光石研　まえだまえだ　/　上川隆也　小林聡美　(他)ある日、院内学級の和田雅樹が、週一回の大事な検診をすっぽかしてしまう。和田は外科に入院中の少女に恋心を抱き、外科病棟まで彼女を見に行っていたのだった。その事を知った石原は和田の恋を成就させようと大はりきりで、少女を強引に院内学級へ通わせる。そんな石原の行動を心配して太川は忠告するが、石原はやけに強気。実は太川が浅草の劇場の娘だと桜山から聞いた石原はその劇場を訪れ、彼女のある弱みをにぎっていた…。</v>
      </c>
      <c r="N4395" s="2"/>
      <c r="O4395" s="2"/>
      <c r="P4395" s="1"/>
      <c r="Q4395" s="1"/>
      <c r="R4395" s="1"/>
      <c r="S4395" s="1"/>
      <c r="T4395" s="1"/>
      <c r="U4395" s="1"/>
      <c r="V4395" s="1"/>
      <c r="W4395" s="1"/>
      <c r="X4395" s="1"/>
      <c r="Y4395" s="1"/>
      <c r="Z4395" s="1"/>
      <c r="AA4395" s="1"/>
      <c r="AB4395" s="1"/>
      <c r="AC4395" s="1"/>
      <c r="AD4395" s="1"/>
      <c r="AE4395" s="1"/>
      <c r="AF4395" s="1"/>
      <c r="AG4395" s="1"/>
      <c r="AH4395" s="1"/>
      <c r="AI4395" s="1"/>
      <c r="AJ4395" s="1"/>
      <c r="AK4395" s="1"/>
      <c r="AL4395" s="1"/>
      <c r="AM4395" s="1"/>
      <c r="AN4395" s="1"/>
      <c r="AO4395" s="1"/>
      <c r="AP4395" s="1"/>
      <c r="AQ4395" s="1"/>
      <c r="AR4395" s="1"/>
      <c r="AS4395" s="1"/>
      <c r="AT4395" s="1"/>
      <c r="AU4395" s="1"/>
      <c r="AV4395" s="1"/>
      <c r="AW4395" s="1"/>
      <c r="AX4395" s="1"/>
      <c r="AY4395" s="1"/>
      <c r="AZ4395" s="1"/>
      <c r="BA4395" s="1"/>
      <c r="BB4395" s="1"/>
    </row>
    <row r="4396" ht="204.75" customHeight="1">
      <c r="A4396" s="1">
        <v>5124.0</v>
      </c>
      <c r="B4396" s="2" t="s">
        <v>12734</v>
      </c>
      <c r="C4396" s="2">
        <f>IFERROR(__xludf.DUMMYFUNCTION("split(B4396,""_"")"),907.0)</f>
        <v>907</v>
      </c>
      <c r="D4396" s="2" t="str">
        <f>IFERROR(__xludf.DUMMYFUNCTION("""COMPUTED_VALUE"""),"NTV")</f>
        <v>NTV</v>
      </c>
      <c r="E4396" s="2" t="str">
        <f>IFERROR(__xludf.DUMMYFUNCTION("""COMPUTED_VALUE"""),"水22")</f>
        <v>水22</v>
      </c>
      <c r="F4396" s="2" t="s">
        <v>12735</v>
      </c>
      <c r="G4396" s="2" t="s">
        <v>12736</v>
      </c>
      <c r="H4396" s="1">
        <v>3.0</v>
      </c>
      <c r="J4396" s="1" t="s">
        <v>86</v>
      </c>
      <c r="K4396" s="2" t="s">
        <v>12739</v>
      </c>
      <c r="L4396" s="2"/>
      <c r="M4396" s="2" t="str">
        <f>IFERROR(__xludf.DUMMYFUNCTION("split(split(K4396,""【演出"",false),""ほか"",false)"),"大泉洋　香椎由宇　神木隆之介　須賀健太　尾美としのり　光石研　まえだまえだ　/　上川隆也　小林聡美　(他)　太川のクラスに入った小児糖尿病を患う森村千佳は、小学生ながら自分で食事の管理や注射もでき、家の手伝いまでするしっかり者。仕事が忙しい母親の佳美は、一緒に過ごす時間がないのに文句も言わない千佳にいつも助けられていると話す。  ある日石原はお母さんにあげる物だと思い込み、千佳にお菓子を買い与えて、七瀬にきつく叱られる。さらに桜山から千佳と同じ針で注射を打たれ、彼女の食事量の少なさを知った石原は…。")</f>
        <v>大泉洋　香椎由宇　神木隆之介　須賀健太　尾美としのり　光石研　まえだまえだ　/　上川隆也　小林聡美　(他)　太川のクラスに入った小児糖尿病を患う森村千佳は、小学生ながら自分で食事の管理や注射もでき、家の手伝いまでするしっかり者。仕事が忙しい母親の佳美は、一緒に過ごす時間がないのに文句も言わない千佳にいつも助けられていると話す。  ある日石原はお母さんにあげる物だと思い込み、千佳にお菓子を買い与えて、七瀬にきつく叱られる。さらに桜山から千佳と同じ針で注射を打たれ、彼女の食事量の少なさを知った石原は…。</v>
      </c>
      <c r="N4396" s="2"/>
      <c r="O4396" s="2"/>
      <c r="P4396" s="1"/>
      <c r="Q4396" s="1"/>
      <c r="R4396" s="1"/>
      <c r="S4396" s="1"/>
      <c r="T4396" s="1"/>
      <c r="U4396" s="1"/>
      <c r="V4396" s="1"/>
      <c r="W4396" s="1"/>
      <c r="X4396" s="1"/>
      <c r="Y4396" s="1"/>
      <c r="Z4396" s="1"/>
      <c r="AA4396" s="1"/>
      <c r="AB4396" s="1"/>
      <c r="AC4396" s="1"/>
      <c r="AD4396" s="1"/>
      <c r="AE4396" s="1"/>
      <c r="AF4396" s="1"/>
      <c r="AG4396" s="1"/>
      <c r="AH4396" s="1"/>
      <c r="AI4396" s="1"/>
      <c r="AJ4396" s="1"/>
      <c r="AK4396" s="1"/>
      <c r="AL4396" s="1"/>
      <c r="AM4396" s="1"/>
      <c r="AN4396" s="1"/>
      <c r="AO4396" s="1"/>
      <c r="AP4396" s="1"/>
      <c r="AQ4396" s="1"/>
      <c r="AR4396" s="1"/>
      <c r="AS4396" s="1"/>
      <c r="AT4396" s="1"/>
      <c r="AU4396" s="1"/>
      <c r="AV4396" s="1"/>
      <c r="AW4396" s="1"/>
      <c r="AX4396" s="1"/>
      <c r="AY4396" s="1"/>
      <c r="AZ4396" s="1"/>
      <c r="BA4396" s="1"/>
      <c r="BB4396" s="1"/>
    </row>
    <row r="4397" ht="204.75" customHeight="1">
      <c r="A4397" s="1">
        <v>5125.0</v>
      </c>
      <c r="B4397" s="2" t="s">
        <v>12734</v>
      </c>
      <c r="C4397" s="2">
        <f>IFERROR(__xludf.DUMMYFUNCTION("split(B4397,""_"")"),907.0)</f>
        <v>907</v>
      </c>
      <c r="D4397" s="2" t="str">
        <f>IFERROR(__xludf.DUMMYFUNCTION("""COMPUTED_VALUE"""),"NTV")</f>
        <v>NTV</v>
      </c>
      <c r="E4397" s="2" t="str">
        <f>IFERROR(__xludf.DUMMYFUNCTION("""COMPUTED_VALUE"""),"水22")</f>
        <v>水22</v>
      </c>
      <c r="F4397" s="2" t="s">
        <v>12735</v>
      </c>
      <c r="G4397" s="2" t="s">
        <v>12736</v>
      </c>
      <c r="H4397" s="1">
        <v>4.0</v>
      </c>
      <c r="J4397" s="1" t="s">
        <v>86</v>
      </c>
      <c r="K4397" s="2" t="s">
        <v>12740</v>
      </c>
      <c r="L4397" s="2"/>
      <c r="M4397" s="2" t="str">
        <f>IFERROR(__xludf.DUMMYFUNCTION("split(split(K4397,""【演出"",false),""ほか"",false)"),"大泉洋　香椎由宇　神木隆之介　須賀健太　尾美としのり　光石研　まえだまえだ　/　上川隆也　小林聡美　(他)小学校教室でゴキブリ退治をしようとした石原は誤ってクーラーを壊してしまい、修理の間、中学校教室で小学生との合同授業が行なわれることに。太川の授業は笑いがたえず、中学生の八重樫と和田も太川の授業に引き込まれる。悔しい石原は、一人に漫画を読む田中を見方に引き込もうと執拗に話しかけるが、田中は突然漫画を窓から放り投げてしまう。田中の行動が理解出来ない石原は、彼女の複雑な気持ちを知ろうと張り切りだし…。")</f>
        <v>大泉洋　香椎由宇　神木隆之介　須賀健太　尾美としのり　光石研　まえだまえだ　/　上川隆也　小林聡美　(他)小学校教室でゴキブリ退治をしようとした石原は誤ってクーラーを壊してしまい、修理の間、中学校教室で小学生との合同授業が行なわれることに。太川の授業は笑いがたえず、中学生の八重樫と和田も太川の授業に引き込まれる。悔しい石原は、一人に漫画を読む田中を見方に引き込もうと執拗に話しかけるが、田中は突然漫画を窓から放り投げてしまう。田中の行動が理解出来ない石原は、彼女の複雑な気持ちを知ろうと張り切りだし…。</v>
      </c>
      <c r="N4397" s="2"/>
      <c r="O4397" s="2"/>
      <c r="P4397" s="1"/>
      <c r="Q4397" s="1"/>
      <c r="R4397" s="1"/>
      <c r="S4397" s="1"/>
      <c r="T4397" s="1"/>
      <c r="U4397" s="1"/>
      <c r="V4397" s="1"/>
      <c r="W4397" s="1"/>
      <c r="X4397" s="1"/>
      <c r="Y4397" s="1"/>
      <c r="Z4397" s="1"/>
      <c r="AA4397" s="1"/>
      <c r="AB4397" s="1"/>
      <c r="AC4397" s="1"/>
      <c r="AD4397" s="1"/>
      <c r="AE4397" s="1"/>
      <c r="AF4397" s="1"/>
      <c r="AG4397" s="1"/>
      <c r="AH4397" s="1"/>
      <c r="AI4397" s="1"/>
      <c r="AJ4397" s="1"/>
      <c r="AK4397" s="1"/>
      <c r="AL4397" s="1"/>
      <c r="AM4397" s="1"/>
      <c r="AN4397" s="1"/>
      <c r="AO4397" s="1"/>
      <c r="AP4397" s="1"/>
      <c r="AQ4397" s="1"/>
      <c r="AR4397" s="1"/>
      <c r="AS4397" s="1"/>
      <c r="AT4397" s="1"/>
      <c r="AU4397" s="1"/>
      <c r="AV4397" s="1"/>
      <c r="AW4397" s="1"/>
      <c r="AX4397" s="1"/>
      <c r="AY4397" s="1"/>
      <c r="AZ4397" s="1"/>
      <c r="BA4397" s="1"/>
      <c r="BB4397" s="1"/>
    </row>
    <row r="4398" ht="204.75" customHeight="1">
      <c r="A4398" s="1">
        <v>5126.0</v>
      </c>
      <c r="B4398" s="2" t="s">
        <v>12734</v>
      </c>
      <c r="C4398" s="2">
        <f>IFERROR(__xludf.DUMMYFUNCTION("split(B4398,""_"")"),907.0)</f>
        <v>907</v>
      </c>
      <c r="D4398" s="2" t="str">
        <f>IFERROR(__xludf.DUMMYFUNCTION("""COMPUTED_VALUE"""),"NTV")</f>
        <v>NTV</v>
      </c>
      <c r="E4398" s="2" t="str">
        <f>IFERROR(__xludf.DUMMYFUNCTION("""COMPUTED_VALUE"""),"水22")</f>
        <v>水22</v>
      </c>
      <c r="F4398" s="2" t="s">
        <v>12735</v>
      </c>
      <c r="G4398" s="2" t="s">
        <v>12736</v>
      </c>
      <c r="H4398" s="1">
        <v>5.0</v>
      </c>
      <c r="J4398" s="1" t="s">
        <v>86</v>
      </c>
      <c r="K4398" s="2" t="s">
        <v>12741</v>
      </c>
      <c r="L4398" s="2"/>
      <c r="M4398" s="2" t="str">
        <f>IFERROR(__xludf.DUMMYFUNCTION("split(split(K4398,""【演出"",false),""ほか"",false)"),"大泉洋　香椎由宇　神木隆之介　須賀健太　尾美としのり　光石研　まえだまえだ　/　上川隆也　小林聡美　(他)夏休み、症状の軽い生徒は一時帰宅するが、帰宅しない八重樫と和田は些細な事で喧嘩を始める。石原は窮屈な病院でストレスが溜まっているのだと心配し、夏恒例の課外授業で2人のわだかまりをとろうと張り切る。その頃七瀬は和田の父を病院に呼び、病状が芳しくない事を話していた。それを知った石原は和田を元気づけたいと、課外授業の行き先を和田が昔遊んでいた思い出のひまわり畑に決めるが、一方で和田の容態に変化が現れ…。")</f>
        <v>大泉洋　香椎由宇　神木隆之介　須賀健太　尾美としのり　光石研　まえだまえだ　/　上川隆也　小林聡美　(他)夏休み、症状の軽い生徒は一時帰宅するが、帰宅しない八重樫と和田は些細な事で喧嘩を始める。石原は窮屈な病院でストレスが溜まっているのだと心配し、夏恒例の課外授業で2人のわだかまりをとろうと張り切る。その頃七瀬は和田の父を病院に呼び、病状が芳しくない事を話していた。それを知った石原は和田を元気づけたいと、課外授業の行き先を和田が昔遊んでいた思い出のひまわり畑に決めるが、一方で和田の容態に変化が現れ…。</v>
      </c>
      <c r="N4398" s="2"/>
      <c r="O4398" s="2"/>
      <c r="P4398" s="1"/>
      <c r="Q4398" s="1"/>
      <c r="R4398" s="1"/>
      <c r="S4398" s="1"/>
      <c r="T4398" s="1"/>
      <c r="U4398" s="1"/>
      <c r="V4398" s="1"/>
      <c r="W4398" s="1"/>
      <c r="X4398" s="1"/>
      <c r="Y4398" s="1"/>
      <c r="Z4398" s="1"/>
      <c r="AA4398" s="1"/>
      <c r="AB4398" s="1"/>
      <c r="AC4398" s="1"/>
      <c r="AD4398" s="1"/>
      <c r="AE4398" s="1"/>
      <c r="AF4398" s="1"/>
      <c r="AG4398" s="1"/>
      <c r="AH4398" s="1"/>
      <c r="AI4398" s="1"/>
      <c r="AJ4398" s="1"/>
      <c r="AK4398" s="1"/>
      <c r="AL4398" s="1"/>
      <c r="AM4398" s="1"/>
      <c r="AN4398" s="1"/>
      <c r="AO4398" s="1"/>
      <c r="AP4398" s="1"/>
      <c r="AQ4398" s="1"/>
      <c r="AR4398" s="1"/>
      <c r="AS4398" s="1"/>
      <c r="AT4398" s="1"/>
      <c r="AU4398" s="1"/>
      <c r="AV4398" s="1"/>
      <c r="AW4398" s="1"/>
      <c r="AX4398" s="1"/>
      <c r="AY4398" s="1"/>
      <c r="AZ4398" s="1"/>
      <c r="BA4398" s="1"/>
      <c r="BB4398" s="1"/>
    </row>
    <row r="4399" ht="204.75" customHeight="1">
      <c r="A4399" s="1">
        <v>5127.0</v>
      </c>
      <c r="B4399" s="2" t="s">
        <v>12734</v>
      </c>
      <c r="C4399" s="2">
        <f>IFERROR(__xludf.DUMMYFUNCTION("split(B4399,""_"")"),907.0)</f>
        <v>907</v>
      </c>
      <c r="D4399" s="2" t="str">
        <f>IFERROR(__xludf.DUMMYFUNCTION("""COMPUTED_VALUE"""),"NTV")</f>
        <v>NTV</v>
      </c>
      <c r="E4399" s="2" t="str">
        <f>IFERROR(__xludf.DUMMYFUNCTION("""COMPUTED_VALUE"""),"水22")</f>
        <v>水22</v>
      </c>
      <c r="F4399" s="2" t="s">
        <v>12735</v>
      </c>
      <c r="G4399" s="2" t="s">
        <v>12736</v>
      </c>
      <c r="H4399" s="1">
        <v>6.0</v>
      </c>
      <c r="J4399" s="1" t="s">
        <v>86</v>
      </c>
      <c r="K4399" s="2" t="s">
        <v>12742</v>
      </c>
      <c r="L4399" s="2"/>
      <c r="M4399" s="2" t="str">
        <f>IFERROR(__xludf.DUMMYFUNCTION("split(split(K4399,""【演出"",false),""ほか"",false)"),"大泉洋　香椎由宇　神木隆之介　須賀健太　尾美としのり　光石研　まえだまえだ　/　上川隆也　小林聡美　(他)院内学級を休んでいた和田は授業に出席できる事を心待ちにしていた。しかし七瀬は和田の気持ちを冷たく制し、千佳が母親から貰った大切なヌイグルミもとりあげる。中身がソバガラでソバアレルギーの子供を心配しての事だったが、千佳は傷つき、子供達は千佳に同情して七瀬の悪口で盛り上がる。そんな中、七瀬に最新設備のマンモス病院から引き抜きの話がきているとの噂が。最近の七瀬の冷たい態度はそういう訳か、と石原は憤り…。")</f>
        <v>大泉洋　香椎由宇　神木隆之介　須賀健太　尾美としのり　光石研　まえだまえだ　/　上川隆也　小林聡美　(他)院内学級を休んでいた和田は授業に出席できる事を心待ちにしていた。しかし七瀬は和田の気持ちを冷たく制し、千佳が母親から貰った大切なヌイグルミもとりあげる。中身がソバガラでソバアレルギーの子供を心配しての事だったが、千佳は傷つき、子供達は千佳に同情して七瀬の悪口で盛り上がる。そんな中、七瀬に最新設備のマンモス病院から引き抜きの話がきているとの噂が。最近の七瀬の冷たい態度はそういう訳か、と石原は憤り…。</v>
      </c>
      <c r="N4399" s="2"/>
      <c r="O4399" s="2"/>
      <c r="P4399" s="1"/>
      <c r="Q4399" s="1"/>
      <c r="R4399" s="1"/>
      <c r="S4399" s="1"/>
      <c r="T4399" s="1"/>
      <c r="U4399" s="1"/>
      <c r="V4399" s="1"/>
      <c r="W4399" s="1"/>
      <c r="X4399" s="1"/>
      <c r="Y4399" s="1"/>
      <c r="Z4399" s="1"/>
      <c r="AA4399" s="1"/>
      <c r="AB4399" s="1"/>
      <c r="AC4399" s="1"/>
      <c r="AD4399" s="1"/>
      <c r="AE4399" s="1"/>
      <c r="AF4399" s="1"/>
      <c r="AG4399" s="1"/>
      <c r="AH4399" s="1"/>
      <c r="AI4399" s="1"/>
      <c r="AJ4399" s="1"/>
      <c r="AK4399" s="1"/>
      <c r="AL4399" s="1"/>
      <c r="AM4399" s="1"/>
      <c r="AN4399" s="1"/>
      <c r="AO4399" s="1"/>
      <c r="AP4399" s="1"/>
      <c r="AQ4399" s="1"/>
      <c r="AR4399" s="1"/>
      <c r="AS4399" s="1"/>
      <c r="AT4399" s="1"/>
      <c r="AU4399" s="1"/>
      <c r="AV4399" s="1"/>
      <c r="AW4399" s="1"/>
      <c r="AX4399" s="1"/>
      <c r="AY4399" s="1"/>
      <c r="AZ4399" s="1"/>
      <c r="BA4399" s="1"/>
      <c r="BB4399" s="1"/>
    </row>
    <row r="4400" ht="204.75" customHeight="1">
      <c r="A4400" s="1">
        <v>5128.0</v>
      </c>
      <c r="B4400" s="2" t="s">
        <v>12734</v>
      </c>
      <c r="C4400" s="2">
        <f>IFERROR(__xludf.DUMMYFUNCTION("split(B4400,""_"")"),907.0)</f>
        <v>907</v>
      </c>
      <c r="D4400" s="2" t="str">
        <f>IFERROR(__xludf.DUMMYFUNCTION("""COMPUTED_VALUE"""),"NTV")</f>
        <v>NTV</v>
      </c>
      <c r="E4400" s="2" t="str">
        <f>IFERROR(__xludf.DUMMYFUNCTION("""COMPUTED_VALUE"""),"水22")</f>
        <v>水22</v>
      </c>
      <c r="F4400" s="2" t="s">
        <v>12735</v>
      </c>
      <c r="G4400" s="2" t="s">
        <v>12736</v>
      </c>
      <c r="H4400" s="1">
        <v>7.0</v>
      </c>
      <c r="J4400" s="1" t="s">
        <v>86</v>
      </c>
      <c r="K4400" s="2" t="s">
        <v>12743</v>
      </c>
      <c r="L4400" s="2"/>
      <c r="M4400" s="2" t="str">
        <f>IFERROR(__xludf.DUMMYFUNCTION("split(split(K4400,""【演出"",false),""ほか"",false)"),"大泉洋　香椎由宇　神木隆之介　須賀健太　尾美としのり　光石研　まえだまえだ　/　上川隆也　小林聡美　(他)石原が授業中に倒れ、急性虫垂炎で緊急手術を受けることに。  八重樫と田中はどんどん悪くなっていく和田の病状を心配し、七瀬も太川に和田の厳しい現状を話し、自分の思いを伝えるのだった。  その頃入院中の石原の部屋に怖面の男・漆原が引っ越してくる。桜山から石原のことを相当面白いと聞いたという漆原は「面白い事言ってよ」と石原を困らせる。そして入院生活に退屈してきた石原は、授業に出るために病室を抜け出すが…。")</f>
        <v>大泉洋　香椎由宇　神木隆之介　須賀健太　尾美としのり　光石研　まえだまえだ　/　上川隆也　小林聡美　(他)石原が授業中に倒れ、急性虫垂炎で緊急手術を受けることに。  八重樫と田中はどんどん悪くなっていく和田の病状を心配し、七瀬も太川に和田の厳しい現状を話し、自分の思いを伝えるのだった。  その頃入院中の石原の部屋に怖面の男・漆原が引っ越してくる。桜山から石原のことを相当面白いと聞いたという漆原は「面白い事言ってよ」と石原を困らせる。そして入院生活に退屈してきた石原は、授業に出るために病室を抜け出すが…。</v>
      </c>
      <c r="N4400" s="2"/>
      <c r="O4400" s="2"/>
      <c r="P4400" s="1"/>
      <c r="Q4400" s="1"/>
      <c r="R4400" s="1"/>
      <c r="S4400" s="1"/>
      <c r="T4400" s="1"/>
      <c r="U4400" s="1"/>
      <c r="V4400" s="1"/>
      <c r="W4400" s="1"/>
      <c r="X4400" s="1"/>
      <c r="Y4400" s="1"/>
      <c r="Z4400" s="1"/>
      <c r="AA4400" s="1"/>
      <c r="AB4400" s="1"/>
      <c r="AC4400" s="1"/>
      <c r="AD4400" s="1"/>
      <c r="AE4400" s="1"/>
      <c r="AF4400" s="1"/>
      <c r="AG4400" s="1"/>
      <c r="AH4400" s="1"/>
      <c r="AI4400" s="1"/>
      <c r="AJ4400" s="1"/>
      <c r="AK4400" s="1"/>
      <c r="AL4400" s="1"/>
      <c r="AM4400" s="1"/>
      <c r="AN4400" s="1"/>
      <c r="AO4400" s="1"/>
      <c r="AP4400" s="1"/>
      <c r="AQ4400" s="1"/>
      <c r="AR4400" s="1"/>
      <c r="AS4400" s="1"/>
      <c r="AT4400" s="1"/>
      <c r="AU4400" s="1"/>
      <c r="AV4400" s="1"/>
      <c r="AW4400" s="1"/>
      <c r="AX4400" s="1"/>
      <c r="AY4400" s="1"/>
      <c r="AZ4400" s="1"/>
      <c r="BA4400" s="1"/>
      <c r="BB4400" s="1"/>
    </row>
    <row r="4401" ht="204.75" customHeight="1">
      <c r="A4401" s="1">
        <v>5129.0</v>
      </c>
      <c r="B4401" s="2" t="s">
        <v>12734</v>
      </c>
      <c r="C4401" s="2">
        <f>IFERROR(__xludf.DUMMYFUNCTION("split(B4401,""_"")"),907.0)</f>
        <v>907</v>
      </c>
      <c r="D4401" s="2" t="str">
        <f>IFERROR(__xludf.DUMMYFUNCTION("""COMPUTED_VALUE"""),"NTV")</f>
        <v>NTV</v>
      </c>
      <c r="E4401" s="2" t="str">
        <f>IFERROR(__xludf.DUMMYFUNCTION("""COMPUTED_VALUE"""),"水22")</f>
        <v>水22</v>
      </c>
      <c r="F4401" s="2" t="s">
        <v>12735</v>
      </c>
      <c r="G4401" s="2" t="s">
        <v>12736</v>
      </c>
      <c r="H4401" s="1">
        <v>8.0</v>
      </c>
      <c r="J4401" s="1" t="s">
        <v>86</v>
      </c>
      <c r="K4401" s="2" t="s">
        <v>12744</v>
      </c>
      <c r="L4401" s="2"/>
      <c r="M4401" s="2" t="str">
        <f>IFERROR(__xludf.DUMMYFUNCTION("split(split(K4401,""【演出"",false),""ほか"",false)"),"大泉洋　香椎由宇　神木隆之介　須賀健太　尾美としのり　光石研　まえだまえだ　/　上川隆也　小林聡美　(他)石原が授業をしていると、教室に知らない男が入ってきた。石原は男を外へと連れ出すが、男はアメリカから帰国した院長の兄、幸一だった。幸一は近々この病院に戻り、院内改革を行なうと断言。まずは最新の医療設備を設置するために、院内学級を閉鎖するという。桜山はその事を教師たちに言えずにいたが、幸一から院内学級の閉鎖が告げられる。怒りをぶつける石原だが、幸一から「君は明日から来なくていい」とクビにされてしまい…")</f>
        <v>大泉洋　香椎由宇　神木隆之介　須賀健太　尾美としのり　光石研　まえだまえだ　/　上川隆也　小林聡美　(他)石原が授業をしていると、教室に知らない男が入ってきた。石原は男を外へと連れ出すが、男はアメリカから帰国した院長の兄、幸一だった。幸一は近々この病院に戻り、院内改革を行なうと断言。まずは最新の医療設備を設置するために、院内学級を閉鎖するという。桜山はその事を教師たちに言えずにいたが、幸一から院内学級の閉鎖が告げられる。怒りをぶつける石原だが、幸一から「君は明日から来なくていい」とクビにされてしまい…</v>
      </c>
      <c r="N4401" s="2"/>
      <c r="O4401" s="2"/>
      <c r="P4401" s="1"/>
      <c r="Q4401" s="1"/>
      <c r="R4401" s="1"/>
      <c r="S4401" s="1"/>
      <c r="T4401" s="1"/>
      <c r="U4401" s="1"/>
      <c r="V4401" s="1"/>
      <c r="W4401" s="1"/>
      <c r="X4401" s="1"/>
      <c r="Y4401" s="1"/>
      <c r="Z4401" s="1"/>
      <c r="AA4401" s="1"/>
      <c r="AB4401" s="1"/>
      <c r="AC4401" s="1"/>
      <c r="AD4401" s="1"/>
      <c r="AE4401" s="1"/>
      <c r="AF4401" s="1"/>
      <c r="AG4401" s="1"/>
      <c r="AH4401" s="1"/>
      <c r="AI4401" s="1"/>
      <c r="AJ4401" s="1"/>
      <c r="AK4401" s="1"/>
      <c r="AL4401" s="1"/>
      <c r="AM4401" s="1"/>
      <c r="AN4401" s="1"/>
      <c r="AO4401" s="1"/>
      <c r="AP4401" s="1"/>
      <c r="AQ4401" s="1"/>
      <c r="AR4401" s="1"/>
      <c r="AS4401" s="1"/>
      <c r="AT4401" s="1"/>
      <c r="AU4401" s="1"/>
      <c r="AV4401" s="1"/>
      <c r="AW4401" s="1"/>
      <c r="AX4401" s="1"/>
      <c r="AY4401" s="1"/>
      <c r="AZ4401" s="1"/>
      <c r="BA4401" s="1"/>
      <c r="BB4401" s="1"/>
    </row>
    <row r="4402" ht="204.75" customHeight="1">
      <c r="A4402" s="1">
        <v>5130.0</v>
      </c>
      <c r="B4402" s="2" t="s">
        <v>12734</v>
      </c>
      <c r="C4402" s="2">
        <f>IFERROR(__xludf.DUMMYFUNCTION("split(B4402,""_"")"),907.0)</f>
        <v>907</v>
      </c>
      <c r="D4402" s="2" t="str">
        <f>IFERROR(__xludf.DUMMYFUNCTION("""COMPUTED_VALUE"""),"NTV")</f>
        <v>NTV</v>
      </c>
      <c r="E4402" s="2" t="str">
        <f>IFERROR(__xludf.DUMMYFUNCTION("""COMPUTED_VALUE"""),"水22")</f>
        <v>水22</v>
      </c>
      <c r="F4402" s="2" t="s">
        <v>12735</v>
      </c>
      <c r="G4402" s="2" t="s">
        <v>12736</v>
      </c>
      <c r="H4402" s="1">
        <v>9.0</v>
      </c>
      <c r="J4402" s="1" t="s">
        <v>86</v>
      </c>
      <c r="K4402" s="2" t="s">
        <v>12745</v>
      </c>
      <c r="L4402" s="2"/>
      <c r="M4402" s="2" t="str">
        <f>IFERROR(__xludf.DUMMYFUNCTION("split(split(K4402,""【演出"",false),""ほか"",false)"),"大泉洋　香椎由宇　神木隆之介　須賀健太　尾美としのり　光石研　まえだまえだ　/　上川隆也　小林聡美　(他)和田の病状は依然深刻なままだった。それを聞いた幸一は緩和治療も視野に入れるようにと七瀬に忠告するが、七瀬は「私はあきらめません」と強く言い返す。そんな中、和田の病室に石原と八重樫がやって来て話していると突然和田の気分が悪くなる。「明日また来るから」と言う石原に「明日なんて言わないでよ」と怒る和田。「だって明日もう授業受けられないかもしれないんだから」  その言葉にショックを受けた石原と八重樫は…")</f>
        <v>大泉洋　香椎由宇　神木隆之介　須賀健太　尾美としのり　光石研　まえだまえだ　/　上川隆也　小林聡美　(他)和田の病状は依然深刻なままだった。それを聞いた幸一は緩和治療も視野に入れるようにと七瀬に忠告するが、七瀬は「私はあきらめません」と強く言い返す。そんな中、和田の病室に石原と八重樫がやって来て話していると突然和田の気分が悪くなる。「明日また来るから」と言う石原に「明日なんて言わないでよ」と怒る和田。「だって明日もう授業受けられないかもしれないんだから」  その言葉にショックを受けた石原と八重樫は…</v>
      </c>
      <c r="N4402" s="2"/>
      <c r="O4402" s="2"/>
      <c r="P4402" s="1"/>
      <c r="Q4402" s="1"/>
      <c r="R4402" s="1"/>
      <c r="S4402" s="1"/>
      <c r="T4402" s="1"/>
      <c r="U4402" s="1"/>
      <c r="V4402" s="1"/>
      <c r="W4402" s="1"/>
      <c r="X4402" s="1"/>
      <c r="Y4402" s="1"/>
      <c r="Z4402" s="1"/>
      <c r="AA4402" s="1"/>
      <c r="AB4402" s="1"/>
      <c r="AC4402" s="1"/>
      <c r="AD4402" s="1"/>
      <c r="AE4402" s="1"/>
      <c r="AF4402" s="1"/>
      <c r="AG4402" s="1"/>
      <c r="AH4402" s="1"/>
      <c r="AI4402" s="1"/>
      <c r="AJ4402" s="1"/>
      <c r="AK4402" s="1"/>
      <c r="AL4402" s="1"/>
      <c r="AM4402" s="1"/>
      <c r="AN4402" s="1"/>
      <c r="AO4402" s="1"/>
      <c r="AP4402" s="1"/>
      <c r="AQ4402" s="1"/>
      <c r="AR4402" s="1"/>
      <c r="AS4402" s="1"/>
      <c r="AT4402" s="1"/>
      <c r="AU4402" s="1"/>
      <c r="AV4402" s="1"/>
      <c r="AW4402" s="1"/>
      <c r="AX4402" s="1"/>
      <c r="AY4402" s="1"/>
      <c r="AZ4402" s="1"/>
      <c r="BA4402" s="1"/>
      <c r="BB4402" s="1"/>
    </row>
    <row r="4403" ht="204.75" customHeight="1">
      <c r="A4403" s="1">
        <v>5131.0</v>
      </c>
      <c r="B4403" s="2" t="s">
        <v>12734</v>
      </c>
      <c r="C4403" s="2">
        <f>IFERROR(__xludf.DUMMYFUNCTION("split(B4403,""_"")"),907.0)</f>
        <v>907</v>
      </c>
      <c r="D4403" s="2" t="str">
        <f>IFERROR(__xludf.DUMMYFUNCTION("""COMPUTED_VALUE"""),"NTV")</f>
        <v>NTV</v>
      </c>
      <c r="E4403" s="2" t="str">
        <f>IFERROR(__xludf.DUMMYFUNCTION("""COMPUTED_VALUE"""),"水22")</f>
        <v>水22</v>
      </c>
      <c r="F4403" s="2" t="s">
        <v>12735</v>
      </c>
      <c r="G4403" s="2" t="s">
        <v>12736</v>
      </c>
      <c r="H4403" s="1">
        <v>10.0</v>
      </c>
      <c r="J4403" s="1" t="s">
        <v>86</v>
      </c>
      <c r="K4403" s="2" t="s">
        <v>12746</v>
      </c>
      <c r="L4403" s="2"/>
      <c r="M4403" s="2" t="str">
        <f>IFERROR(__xludf.DUMMYFUNCTION("split(split(K4403,""【演出"",false),""ほか"",false)"),"大泉洋　香椎由宇　神木隆之介　須賀健太　尾美としのり　光石研　まえだまえだ　/　上川隆也　小林聡美　(他)クリーンルームで意識の回復しない和田に、必死で授業を続ける石原。  一方、八重樫は退院が決まった。太川によれば、退院する生徒には、いつも院内学級の卒業証書をおくっているのだという。教師達が、八重樫に渡す卒業証書を作っているのを見た石原は、院内学級閉鎖を目前にした生徒全員のために何かできないかと考える…。")</f>
        <v>大泉洋　香椎由宇　神木隆之介　須賀健太　尾美としのり　光石研　まえだまえだ　/　上川隆也　小林聡美　(他)クリーンルームで意識の回復しない和田に、必死で授業を続ける石原。  一方、八重樫は退院が決まった。太川によれば、退院する生徒には、いつも院内学級の卒業証書をおくっているのだという。教師達が、八重樫に渡す卒業証書を作っているのを見た石原は、院内学級閉鎖を目前にした生徒全員のために何かできないかと考える…。</v>
      </c>
      <c r="N4403" s="2"/>
      <c r="O4403" s="2"/>
      <c r="P4403" s="1"/>
      <c r="Q4403" s="1"/>
      <c r="R4403" s="1"/>
      <c r="S4403" s="1"/>
      <c r="T4403" s="1"/>
      <c r="U4403" s="1"/>
      <c r="V4403" s="1"/>
      <c r="W4403" s="1"/>
      <c r="X4403" s="1"/>
      <c r="Y4403" s="1"/>
      <c r="Z4403" s="1"/>
      <c r="AA4403" s="1"/>
      <c r="AB4403" s="1"/>
      <c r="AC4403" s="1"/>
      <c r="AD4403" s="1"/>
      <c r="AE4403" s="1"/>
      <c r="AF4403" s="1"/>
      <c r="AG4403" s="1"/>
      <c r="AH4403" s="1"/>
      <c r="AI4403" s="1"/>
      <c r="AJ4403" s="1"/>
      <c r="AK4403" s="1"/>
      <c r="AL4403" s="1"/>
      <c r="AM4403" s="1"/>
      <c r="AN4403" s="1"/>
      <c r="AO4403" s="1"/>
      <c r="AP4403" s="1"/>
      <c r="AQ4403" s="1"/>
      <c r="AR4403" s="1"/>
      <c r="AS4403" s="1"/>
      <c r="AT4403" s="1"/>
      <c r="AU4403" s="1"/>
      <c r="AV4403" s="1"/>
      <c r="AW4403" s="1"/>
      <c r="AX4403" s="1"/>
      <c r="AY4403" s="1"/>
      <c r="AZ4403" s="1"/>
      <c r="BA4403" s="1"/>
      <c r="BB4403" s="1"/>
    </row>
    <row r="4404" ht="204.75" customHeight="1">
      <c r="A4404" s="1">
        <v>5151.0</v>
      </c>
      <c r="B4404" s="2" t="s">
        <v>12747</v>
      </c>
      <c r="C4404" s="2">
        <f>IFERROR(__xludf.DUMMYFUNCTION("split(B4404,""_"")"),907.0)</f>
        <v>907</v>
      </c>
      <c r="D4404" s="2" t="str">
        <f>IFERROR(__xludf.DUMMYFUNCTION("""COMPUTED_VALUE"""),"NTV")</f>
        <v>NTV</v>
      </c>
      <c r="E4404" s="2" t="str">
        <f>IFERROR(__xludf.DUMMYFUNCTION("""COMPUTED_VALUE"""),"木23")</f>
        <v>木23</v>
      </c>
      <c r="F4404" s="2" t="s">
        <v>12748</v>
      </c>
      <c r="G4404" s="2" t="s">
        <v>12749</v>
      </c>
      <c r="H4404" s="1">
        <v>1.0</v>
      </c>
      <c r="I4404" s="1" t="s">
        <v>2868</v>
      </c>
      <c r="J4404" s="1" t="s">
        <v>1435</v>
      </c>
      <c r="K4404" s="2" t="s">
        <v>12750</v>
      </c>
      <c r="L4404" s="2"/>
      <c r="M4404" s="2" t="str">
        <f>IFERROR(__xludf.DUMMYFUNCTION("split(split(K4404,""【演出"",false),""ほか"",false)"),"市原隼人　高岡蒼甫　芦名星　渡部豪太　中村ゆり　(他)天才鍵師サル(市原)と警官の山田(高岡)、リツコ(芦名)、悪友の山本(渡部)は下町の幼馴染み。そんなサルたちの商店街にデートクラブが出来るという。そのデートクラブにはリツコの親友・エリ(中村)が働いており、エリから辞めたいと相談を受けたリツコは、サルにエリの写真データを悪徳デートクラブから奪還して欲しいと頼む。サルは鍵屋が盗みのために鍵を開けられないと断るが、エリのルックスを見て即、前言撤回する。")</f>
        <v>市原隼人　高岡蒼甫　芦名星　渡部豪太　中村ゆり　(他)天才鍵師サル(市原)と警官の山田(高岡)、リツコ(芦名)、悪友の山本(渡部)は下町の幼馴染み。そんなサルたちの商店街にデートクラブが出来るという。そのデートクラブにはリツコの親友・エリ(中村)が働いており、エリから辞めたいと相談を受けたリツコは、サルにエリの写真データを悪徳デートクラブから奪還して欲しいと頼む。サルは鍵屋が盗みのために鍵を開けられないと断るが、エリのルックスを見て即、前言撤回する。</v>
      </c>
      <c r="N4404" s="2"/>
      <c r="O4404" s="2"/>
      <c r="P4404" s="1"/>
      <c r="Q4404" s="1"/>
      <c r="R4404" s="1"/>
      <c r="S4404" s="1"/>
      <c r="T4404" s="1"/>
      <c r="U4404" s="1"/>
      <c r="V4404" s="1"/>
      <c r="W4404" s="1"/>
      <c r="X4404" s="1"/>
      <c r="Y4404" s="1"/>
      <c r="Z4404" s="1"/>
      <c r="AA4404" s="1"/>
      <c r="AB4404" s="1"/>
      <c r="AC4404" s="1"/>
      <c r="AD4404" s="1"/>
      <c r="AE4404" s="1"/>
      <c r="AF4404" s="1"/>
      <c r="AG4404" s="1"/>
      <c r="AH4404" s="1"/>
      <c r="AI4404" s="1"/>
      <c r="AJ4404" s="1"/>
      <c r="AK4404" s="1"/>
      <c r="AL4404" s="1"/>
      <c r="AM4404" s="1"/>
      <c r="AN4404" s="1"/>
      <c r="AO4404" s="1"/>
      <c r="AP4404" s="1"/>
      <c r="AQ4404" s="1"/>
      <c r="AR4404" s="1"/>
      <c r="AS4404" s="1"/>
      <c r="AT4404" s="1"/>
      <c r="AU4404" s="1"/>
      <c r="AV4404" s="1"/>
      <c r="AW4404" s="1"/>
      <c r="AX4404" s="1"/>
      <c r="AY4404" s="1"/>
      <c r="AZ4404" s="1"/>
      <c r="BA4404" s="1"/>
      <c r="BB4404" s="1"/>
    </row>
    <row r="4405" ht="204.75" customHeight="1">
      <c r="A4405" s="1">
        <v>5152.0</v>
      </c>
      <c r="B4405" s="2" t="s">
        <v>12747</v>
      </c>
      <c r="C4405" s="2">
        <f>IFERROR(__xludf.DUMMYFUNCTION("split(B4405,""_"")"),907.0)</f>
        <v>907</v>
      </c>
      <c r="D4405" s="2" t="str">
        <f>IFERROR(__xludf.DUMMYFUNCTION("""COMPUTED_VALUE"""),"NTV")</f>
        <v>NTV</v>
      </c>
      <c r="E4405" s="2" t="str">
        <f>IFERROR(__xludf.DUMMYFUNCTION("""COMPUTED_VALUE"""),"木23")</f>
        <v>木23</v>
      </c>
      <c r="F4405" s="2" t="s">
        <v>12748</v>
      </c>
      <c r="G4405" s="2" t="s">
        <v>12751</v>
      </c>
      <c r="H4405" s="1">
        <v>2.0</v>
      </c>
      <c r="I4405" s="1" t="s">
        <v>2872</v>
      </c>
      <c r="J4405" s="1" t="s">
        <v>1435</v>
      </c>
      <c r="K4405" s="2" t="s">
        <v>12752</v>
      </c>
      <c r="L4405" s="2"/>
      <c r="M4405" s="2" t="str">
        <f>IFERROR(__xludf.DUMMYFUNCTION("split(split(K4405,""【演出"",false),""ほか"",false)"),"市原隼人　  高岡蒼甫　  芦名星　  渡部豪太　  中村ゆり(他)　天才鍵師サル(市原)は、リツコ(芦名)の親友エリ(中村)がデートクラブに単身潜入し拉致されたことを知り、再度デートクラブへ向かう。悪友の山本(渡部)、リツコと共に秘策を練り、金庫に隠されたエリのデータ写真を奪い返すべくサルが取った行動とは・・・何とサルは女装しデートクラブに潜入しようとしたのだった。しかも、その女装は見破られることなく金庫を何とか開けたのだが、金庫の中にはまだ難関が待っていた")</f>
        <v>市原隼人　  高岡蒼甫　  芦名星　  渡部豪太　  中村ゆり(他)　天才鍵師サル(市原)は、リツコ(芦名)の親友エリ(中村)がデートクラブに単身潜入し拉致されたことを知り、再度デートクラブへ向かう。悪友の山本(渡部)、リツコと共に秘策を練り、金庫に隠されたエリのデータ写真を奪い返すべくサルが取った行動とは・・・何とサルは女装しデートクラブに潜入しようとしたのだった。しかも、その女装は見破られることなく金庫を何とか開けたのだが、金庫の中にはまだ難関が待っていた</v>
      </c>
      <c r="N4405" s="2"/>
      <c r="O4405" s="2"/>
      <c r="P4405" s="1"/>
      <c r="Q4405" s="1"/>
      <c r="R4405" s="1"/>
      <c r="S4405" s="1"/>
      <c r="T4405" s="1"/>
      <c r="U4405" s="1"/>
      <c r="V4405" s="1"/>
      <c r="W4405" s="1"/>
      <c r="X4405" s="1"/>
      <c r="Y4405" s="1"/>
      <c r="Z4405" s="1"/>
      <c r="AA4405" s="1"/>
      <c r="AB4405" s="1"/>
      <c r="AC4405" s="1"/>
      <c r="AD4405" s="1"/>
      <c r="AE4405" s="1"/>
      <c r="AF4405" s="1"/>
      <c r="AG4405" s="1"/>
      <c r="AH4405" s="1"/>
      <c r="AI4405" s="1"/>
      <c r="AJ4405" s="1"/>
      <c r="AK4405" s="1"/>
      <c r="AL4405" s="1"/>
      <c r="AM4405" s="1"/>
      <c r="AN4405" s="1"/>
      <c r="AO4405" s="1"/>
      <c r="AP4405" s="1"/>
      <c r="AQ4405" s="1"/>
      <c r="AR4405" s="1"/>
      <c r="AS4405" s="1"/>
      <c r="AT4405" s="1"/>
      <c r="AU4405" s="1"/>
      <c r="AV4405" s="1"/>
      <c r="AW4405" s="1"/>
      <c r="AX4405" s="1"/>
      <c r="AY4405" s="1"/>
      <c r="AZ4405" s="1"/>
      <c r="BA4405" s="1"/>
      <c r="BB4405" s="1"/>
    </row>
    <row r="4406" ht="204.75" customHeight="1">
      <c r="A4406" s="1">
        <v>5153.0</v>
      </c>
      <c r="B4406" s="2" t="s">
        <v>12747</v>
      </c>
      <c r="C4406" s="2">
        <f>IFERROR(__xludf.DUMMYFUNCTION("split(B4406,""_"")"),907.0)</f>
        <v>907</v>
      </c>
      <c r="D4406" s="2" t="str">
        <f>IFERROR(__xludf.DUMMYFUNCTION("""COMPUTED_VALUE"""),"NTV")</f>
        <v>NTV</v>
      </c>
      <c r="E4406" s="2" t="str">
        <f>IFERROR(__xludf.DUMMYFUNCTION("""COMPUTED_VALUE"""),"木23")</f>
        <v>木23</v>
      </c>
      <c r="F4406" s="2" t="s">
        <v>12748</v>
      </c>
      <c r="G4406" s="2" t="s">
        <v>12753</v>
      </c>
      <c r="H4406" s="1">
        <v>3.0</v>
      </c>
      <c r="I4406" s="1" t="s">
        <v>2876</v>
      </c>
      <c r="J4406" s="1" t="s">
        <v>1435</v>
      </c>
      <c r="K4406" s="2" t="s">
        <v>12754</v>
      </c>
      <c r="L4406" s="2"/>
      <c r="M4406" s="2" t="str">
        <f>IFERROR(__xludf.DUMMYFUNCTION("split(split(K4406,""【演出"",false),""ほか"",false)"),"市原隼人　  高岡蒼甫　  芦名星　  渡部豪太　  黒川智花　(他)　ひと夏のアバンチュールを楽しもうと海にやってきたサル、山本、山田。サルは2組のかわいいギャル3人組に逆ナンされ、人生初のモテ期を味わう。サルらは同じ宿に泊まる片方のギャルたちと仲良くなり、一緒に花火の約束を交わす。リツコはサルらを追って海に来るがサルに冷たくされて帰る事に。そんなリツコはナンパしてきた2人の男と一緒に飲みに行く。その頃、サルは一緒に花火を楽しむミキ(黒川)とイイ雰囲気になるが…。")</f>
        <v>市原隼人　  高岡蒼甫　  芦名星　  渡部豪太　  黒川智花　(他)　ひと夏のアバンチュールを楽しもうと海にやってきたサル、山本、山田。サルは2組のかわいいギャル3人組に逆ナンされ、人生初のモテ期を味わう。サルらは同じ宿に泊まる片方のギャルたちと仲良くなり、一緒に花火の約束を交わす。リツコはサルらを追って海に来るがサルに冷たくされて帰る事に。そんなリツコはナンパしてきた2人の男と一緒に飲みに行く。その頃、サルは一緒に花火を楽しむミキ(黒川)とイイ雰囲気になるが…。</v>
      </c>
      <c r="N4406" s="2"/>
      <c r="O4406" s="2"/>
      <c r="P4406" s="1"/>
      <c r="Q4406" s="1"/>
      <c r="R4406" s="1"/>
      <c r="S4406" s="1"/>
      <c r="T4406" s="1"/>
      <c r="U4406" s="1"/>
      <c r="V4406" s="1"/>
      <c r="W4406" s="1"/>
      <c r="X4406" s="1"/>
      <c r="Y4406" s="1"/>
      <c r="Z4406" s="1"/>
      <c r="AA4406" s="1"/>
      <c r="AB4406" s="1"/>
      <c r="AC4406" s="1"/>
      <c r="AD4406" s="1"/>
      <c r="AE4406" s="1"/>
      <c r="AF4406" s="1"/>
      <c r="AG4406" s="1"/>
      <c r="AH4406" s="1"/>
      <c r="AI4406" s="1"/>
      <c r="AJ4406" s="1"/>
      <c r="AK4406" s="1"/>
      <c r="AL4406" s="1"/>
      <c r="AM4406" s="1"/>
      <c r="AN4406" s="1"/>
      <c r="AO4406" s="1"/>
      <c r="AP4406" s="1"/>
      <c r="AQ4406" s="1"/>
      <c r="AR4406" s="1"/>
      <c r="AS4406" s="1"/>
      <c r="AT4406" s="1"/>
      <c r="AU4406" s="1"/>
      <c r="AV4406" s="1"/>
      <c r="AW4406" s="1"/>
      <c r="AX4406" s="1"/>
      <c r="AY4406" s="1"/>
      <c r="AZ4406" s="1"/>
      <c r="BA4406" s="1"/>
      <c r="BB4406" s="1"/>
    </row>
    <row r="4407" ht="204.75" customHeight="1">
      <c r="A4407" s="1">
        <v>5154.0</v>
      </c>
      <c r="B4407" s="2" t="s">
        <v>12747</v>
      </c>
      <c r="C4407" s="2">
        <f>IFERROR(__xludf.DUMMYFUNCTION("split(B4407,""_"")"),907.0)</f>
        <v>907</v>
      </c>
      <c r="D4407" s="2" t="str">
        <f>IFERROR(__xludf.DUMMYFUNCTION("""COMPUTED_VALUE"""),"NTV")</f>
        <v>NTV</v>
      </c>
      <c r="E4407" s="2" t="str">
        <f>IFERROR(__xludf.DUMMYFUNCTION("""COMPUTED_VALUE"""),"木23")</f>
        <v>木23</v>
      </c>
      <c r="F4407" s="2" t="s">
        <v>12748</v>
      </c>
      <c r="G4407" s="2" t="s">
        <v>12755</v>
      </c>
      <c r="H4407" s="1">
        <v>4.0</v>
      </c>
      <c r="I4407" s="1" t="s">
        <v>2880</v>
      </c>
      <c r="J4407" s="1" t="s">
        <v>1435</v>
      </c>
      <c r="K4407" s="2" t="s">
        <v>12756</v>
      </c>
      <c r="L4407" s="2"/>
      <c r="M4407" s="2" t="str">
        <f>IFERROR(__xludf.DUMMYFUNCTION("split(split(K4407,""【演出"",false),""ほか"",false)"),"市原隼人　  高岡蒼甫　  芦名星　  渡部豪太　  黒川智花　(他)リツコは三田が睡眠薬を入れたシャンパンを飲んでしまう。そしてリツコは三田に強引に誘われ、三田の自宅に泊まる事に。民宿ではサルが眠れないというミキと共に布団部屋に行き、2人はいい雰囲気になる。薬の影響で力が入らないリツコは三田にベッドまで運ばれ、SOSメールをサルに送信。念願の童貞喪失が目前のサルの携帯にリツコから「助けて!やられる」というメールが届く。絶好のチャンスを前に悩むサルは迷った末に…。")</f>
        <v>市原隼人　  高岡蒼甫　  芦名星　  渡部豪太　  黒川智花　(他)リツコは三田が睡眠薬を入れたシャンパンを飲んでしまう。そしてリツコは三田に強引に誘われ、三田の自宅に泊まる事に。民宿ではサルが眠れないというミキと共に布団部屋に行き、2人はいい雰囲気になる。薬の影響で力が入らないリツコは三田にベッドまで運ばれ、SOSメールをサルに送信。念願の童貞喪失が目前のサルの携帯にリツコから「助けて!やられる」というメールが届く。絶好のチャンスを前に悩むサルは迷った末に…。</v>
      </c>
      <c r="N4407" s="2"/>
      <c r="O4407" s="2"/>
      <c r="P4407" s="1"/>
      <c r="Q4407" s="1"/>
      <c r="R4407" s="1"/>
      <c r="S4407" s="1"/>
      <c r="T4407" s="1"/>
      <c r="U4407" s="1"/>
      <c r="V4407" s="1"/>
      <c r="W4407" s="1"/>
      <c r="X4407" s="1"/>
      <c r="Y4407" s="1"/>
      <c r="Z4407" s="1"/>
      <c r="AA4407" s="1"/>
      <c r="AB4407" s="1"/>
      <c r="AC4407" s="1"/>
      <c r="AD4407" s="1"/>
      <c r="AE4407" s="1"/>
      <c r="AF4407" s="1"/>
      <c r="AG4407" s="1"/>
      <c r="AH4407" s="1"/>
      <c r="AI4407" s="1"/>
      <c r="AJ4407" s="1"/>
      <c r="AK4407" s="1"/>
      <c r="AL4407" s="1"/>
      <c r="AM4407" s="1"/>
      <c r="AN4407" s="1"/>
      <c r="AO4407" s="1"/>
      <c r="AP4407" s="1"/>
      <c r="AQ4407" s="1"/>
      <c r="AR4407" s="1"/>
      <c r="AS4407" s="1"/>
      <c r="AT4407" s="1"/>
      <c r="AU4407" s="1"/>
      <c r="AV4407" s="1"/>
      <c r="AW4407" s="1"/>
      <c r="AX4407" s="1"/>
      <c r="AY4407" s="1"/>
      <c r="AZ4407" s="1"/>
      <c r="BA4407" s="1"/>
      <c r="BB4407" s="1"/>
    </row>
    <row r="4408" ht="204.75" customHeight="1">
      <c r="A4408" s="1">
        <v>5155.0</v>
      </c>
      <c r="B4408" s="2" t="s">
        <v>12747</v>
      </c>
      <c r="C4408" s="2">
        <f>IFERROR(__xludf.DUMMYFUNCTION("split(B4408,""_"")"),907.0)</f>
        <v>907</v>
      </c>
      <c r="D4408" s="2" t="str">
        <f>IFERROR(__xludf.DUMMYFUNCTION("""COMPUTED_VALUE"""),"NTV")</f>
        <v>NTV</v>
      </c>
      <c r="E4408" s="2" t="str">
        <f>IFERROR(__xludf.DUMMYFUNCTION("""COMPUTED_VALUE"""),"木23")</f>
        <v>木23</v>
      </c>
      <c r="F4408" s="2" t="s">
        <v>12748</v>
      </c>
      <c r="G4408" s="2" t="s">
        <v>12757</v>
      </c>
      <c r="H4408" s="1">
        <v>5.0</v>
      </c>
      <c r="I4408" s="1" t="s">
        <v>2884</v>
      </c>
      <c r="J4408" s="1" t="s">
        <v>1435</v>
      </c>
      <c r="K4408" s="2" t="s">
        <v>12758</v>
      </c>
      <c r="L4408" s="2"/>
      <c r="M4408" s="2" t="str">
        <f>IFERROR(__xludf.DUMMYFUNCTION("split(split(K4408,""【演出"",false),""ほか"",false)"),"市原隼人　  高岡蒼甫　  芦名星　  渡部豪太　  黒川智花　(他)リツコは車の中で熱射病になった子供を発見。サルがヘアピンで鍵を開けて子供を救出する。リツコは驚くミキにサルが鍵屋だという事を教える。この後、リツコは物陰でミキとカオリが高瀬、上原と話す姿を見かける。ミキはサルたちを騙そうとしていたのだ。リツコは真実を伝えるが、ミキにぞっこんのサルは話を信じようとしない。そして夜中にミキが何者かに車で連れ去られるトラブルが発生。サルたちはミキの救出に向かうが…")</f>
        <v>市原隼人　  高岡蒼甫　  芦名星　  渡部豪太　  黒川智花　(他)リツコは車の中で熱射病になった子供を発見。サルがヘアピンで鍵を開けて子供を救出する。リツコは驚くミキにサルが鍵屋だという事を教える。この後、リツコは物陰でミキとカオリが高瀬、上原と話す姿を見かける。ミキはサルたちを騙そうとしていたのだ。リツコは真実を伝えるが、ミキにぞっこんのサルは話を信じようとしない。そして夜中にミキが何者かに車で連れ去られるトラブルが発生。サルたちはミキの救出に向かうが…</v>
      </c>
      <c r="N4408" s="2"/>
      <c r="O4408" s="2"/>
      <c r="P4408" s="1"/>
      <c r="Q4408" s="1"/>
      <c r="R4408" s="1"/>
      <c r="S4408" s="1"/>
      <c r="T4408" s="1"/>
      <c r="U4408" s="1"/>
      <c r="V4408" s="1"/>
      <c r="W4408" s="1"/>
      <c r="X4408" s="1"/>
      <c r="Y4408" s="1"/>
      <c r="Z4408" s="1"/>
      <c r="AA4408" s="1"/>
      <c r="AB4408" s="1"/>
      <c r="AC4408" s="1"/>
      <c r="AD4408" s="1"/>
      <c r="AE4408" s="1"/>
      <c r="AF4408" s="1"/>
      <c r="AG4408" s="1"/>
      <c r="AH4408" s="1"/>
      <c r="AI4408" s="1"/>
      <c r="AJ4408" s="1"/>
      <c r="AK4408" s="1"/>
      <c r="AL4408" s="1"/>
      <c r="AM4408" s="1"/>
      <c r="AN4408" s="1"/>
      <c r="AO4408" s="1"/>
      <c r="AP4408" s="1"/>
      <c r="AQ4408" s="1"/>
      <c r="AR4408" s="1"/>
      <c r="AS4408" s="1"/>
      <c r="AT4408" s="1"/>
      <c r="AU4408" s="1"/>
      <c r="AV4408" s="1"/>
      <c r="AW4408" s="1"/>
      <c r="AX4408" s="1"/>
      <c r="AY4408" s="1"/>
      <c r="AZ4408" s="1"/>
      <c r="BA4408" s="1"/>
      <c r="BB4408" s="1"/>
    </row>
    <row r="4409" ht="204.75" customHeight="1">
      <c r="A4409" s="1">
        <v>5156.0</v>
      </c>
      <c r="B4409" s="2" t="s">
        <v>12747</v>
      </c>
      <c r="C4409" s="2">
        <f>IFERROR(__xludf.DUMMYFUNCTION("split(B4409,""_"")"),907.0)</f>
        <v>907</v>
      </c>
      <c r="D4409" s="2" t="str">
        <f>IFERROR(__xludf.DUMMYFUNCTION("""COMPUTED_VALUE"""),"NTV")</f>
        <v>NTV</v>
      </c>
      <c r="E4409" s="2" t="str">
        <f>IFERROR(__xludf.DUMMYFUNCTION("""COMPUTED_VALUE"""),"木23")</f>
        <v>木23</v>
      </c>
      <c r="F4409" s="2" t="s">
        <v>12748</v>
      </c>
      <c r="G4409" s="2" t="s">
        <v>12759</v>
      </c>
      <c r="H4409" s="1">
        <v>6.0</v>
      </c>
      <c r="I4409" s="1" t="s">
        <v>2888</v>
      </c>
      <c r="J4409" s="1" t="s">
        <v>1435</v>
      </c>
      <c r="K4409" s="2" t="s">
        <v>12760</v>
      </c>
      <c r="L4409" s="2"/>
      <c r="M4409" s="2" t="str">
        <f>IFERROR(__xludf.DUMMYFUNCTION("split(split(K4409,""【演出"",false),""ほか"",false)"),"市原隼人　  高岡蒼甫　  芦名星　  渡部豪太　  石橋杏奈　(他)女教師・松永と女子高生・あやに錠前交換を依頼され、興奮が抑えられないサル。悪友の山本と共に、女子高を訪ねたサルはあやが所属する部室の鍵を確認。鍵を何度交換してもあやばかり盗難に遭うという。サルは鍵穴を見てピッキングではなく、合鍵で開けられている事に気付く。だが、鍵を所有するあやと松永は誰にも鍵を貸していないと困惑。後日、サルはバスケ部の部室の錠前を交換するが、またしてもあやの下着が盗まれてしまう。")</f>
        <v>市原隼人　  高岡蒼甫　  芦名星　  渡部豪太　  石橋杏奈　(他)女教師・松永と女子高生・あやに錠前交換を依頼され、興奮が抑えられないサル。悪友の山本と共に、女子高を訪ねたサルはあやが所属する部室の鍵を確認。鍵を何度交換してもあやばかり盗難に遭うという。サルは鍵穴を見てピッキングではなく、合鍵で開けられている事に気付く。だが、鍵を所有するあやと松永は誰にも鍵を貸していないと困惑。後日、サルはバスケ部の部室の錠前を交換するが、またしてもあやの下着が盗まれてしまう。</v>
      </c>
      <c r="N4409" s="2"/>
      <c r="O4409" s="2"/>
      <c r="P4409" s="1"/>
      <c r="Q4409" s="1"/>
      <c r="R4409" s="1"/>
      <c r="S4409" s="1"/>
      <c r="T4409" s="1"/>
      <c r="U4409" s="1"/>
      <c r="V4409" s="1"/>
      <c r="W4409" s="1"/>
      <c r="X4409" s="1"/>
      <c r="Y4409" s="1"/>
      <c r="Z4409" s="1"/>
      <c r="AA4409" s="1"/>
      <c r="AB4409" s="1"/>
      <c r="AC4409" s="1"/>
      <c r="AD4409" s="1"/>
      <c r="AE4409" s="1"/>
      <c r="AF4409" s="1"/>
      <c r="AG4409" s="1"/>
      <c r="AH4409" s="1"/>
      <c r="AI4409" s="1"/>
      <c r="AJ4409" s="1"/>
      <c r="AK4409" s="1"/>
      <c r="AL4409" s="1"/>
      <c r="AM4409" s="1"/>
      <c r="AN4409" s="1"/>
      <c r="AO4409" s="1"/>
      <c r="AP4409" s="1"/>
      <c r="AQ4409" s="1"/>
      <c r="AR4409" s="1"/>
      <c r="AS4409" s="1"/>
      <c r="AT4409" s="1"/>
      <c r="AU4409" s="1"/>
      <c r="AV4409" s="1"/>
      <c r="AW4409" s="1"/>
      <c r="AX4409" s="1"/>
      <c r="AY4409" s="1"/>
      <c r="AZ4409" s="1"/>
      <c r="BA4409" s="1"/>
      <c r="BB4409" s="1"/>
    </row>
    <row r="4410" ht="204.75" customHeight="1">
      <c r="A4410" s="1">
        <v>5157.0</v>
      </c>
      <c r="B4410" s="2" t="s">
        <v>12747</v>
      </c>
      <c r="C4410" s="2">
        <f>IFERROR(__xludf.DUMMYFUNCTION("split(B4410,""_"")"),907.0)</f>
        <v>907</v>
      </c>
      <c r="D4410" s="2" t="str">
        <f>IFERROR(__xludf.DUMMYFUNCTION("""COMPUTED_VALUE"""),"NTV")</f>
        <v>NTV</v>
      </c>
      <c r="E4410" s="2" t="str">
        <f>IFERROR(__xludf.DUMMYFUNCTION("""COMPUTED_VALUE"""),"木23")</f>
        <v>木23</v>
      </c>
      <c r="F4410" s="2" t="s">
        <v>12748</v>
      </c>
      <c r="G4410" s="2" t="s">
        <v>12761</v>
      </c>
      <c r="H4410" s="1">
        <v>7.0</v>
      </c>
      <c r="I4410" s="1" t="s">
        <v>2892</v>
      </c>
      <c r="J4410" s="1" t="s">
        <v>1435</v>
      </c>
      <c r="K4410" s="2" t="s">
        <v>12762</v>
      </c>
      <c r="L4410" s="2"/>
      <c r="M4410" s="2" t="str">
        <f>IFERROR(__xludf.DUMMYFUNCTION("split(split(K4410,""【演出"",false),""ほか"",false)"),"市原隼人　  高岡蒼甫　  芦名星　  渡部豪太　  石橋杏奈(他)　あやが女子寮に侵入した何者かに襲われる。サルはあやを助けるが犯人は逃走した後。その頃、合鍵を保管する松永先生の机を探る男が職員室に出現。山田が捕まえた男は美術教師の木村だった。木村は好意を抱く松永の私物を触って喜んでいたらしく、あやの私物を盗んだ犯人ではなかった。それから3日後、あやの私物が再び盗まれてしまう。不審に思ったサルは松永から、かつて学校で起きた忌まわしき事件を聞き、解明に乗り出すが…")</f>
        <v>市原隼人　  高岡蒼甫　  芦名星　  渡部豪太　  石橋杏奈(他)　あやが女子寮に侵入した何者かに襲われる。サルはあやを助けるが犯人は逃走した後。その頃、合鍵を保管する松永先生の机を探る男が職員室に出現。山田が捕まえた男は美術教師の木村だった。木村は好意を抱く松永の私物を触って喜んでいたらしく、あやの私物を盗んだ犯人ではなかった。それから3日後、あやの私物が再び盗まれてしまう。不審に思ったサルは松永から、かつて学校で起きた忌まわしき事件を聞き、解明に乗り出すが…</v>
      </c>
      <c r="N4410" s="2"/>
      <c r="O4410" s="2"/>
      <c r="P4410" s="1"/>
      <c r="Q4410" s="1"/>
      <c r="R4410" s="1"/>
      <c r="S4410" s="1"/>
      <c r="T4410" s="1"/>
      <c r="U4410" s="1"/>
      <c r="V4410" s="1"/>
      <c r="W4410" s="1"/>
      <c r="X4410" s="1"/>
      <c r="Y4410" s="1"/>
      <c r="Z4410" s="1"/>
      <c r="AA4410" s="1"/>
      <c r="AB4410" s="1"/>
      <c r="AC4410" s="1"/>
      <c r="AD4410" s="1"/>
      <c r="AE4410" s="1"/>
      <c r="AF4410" s="1"/>
      <c r="AG4410" s="1"/>
      <c r="AH4410" s="1"/>
      <c r="AI4410" s="1"/>
      <c r="AJ4410" s="1"/>
      <c r="AK4410" s="1"/>
      <c r="AL4410" s="1"/>
      <c r="AM4410" s="1"/>
      <c r="AN4410" s="1"/>
      <c r="AO4410" s="1"/>
      <c r="AP4410" s="1"/>
      <c r="AQ4410" s="1"/>
      <c r="AR4410" s="1"/>
      <c r="AS4410" s="1"/>
      <c r="AT4410" s="1"/>
      <c r="AU4410" s="1"/>
      <c r="AV4410" s="1"/>
      <c r="AW4410" s="1"/>
      <c r="AX4410" s="1"/>
      <c r="AY4410" s="1"/>
      <c r="AZ4410" s="1"/>
      <c r="BA4410" s="1"/>
      <c r="BB4410" s="1"/>
    </row>
    <row r="4411" ht="204.75" customHeight="1">
      <c r="A4411" s="1">
        <v>5158.0</v>
      </c>
      <c r="B4411" s="2" t="s">
        <v>12747</v>
      </c>
      <c r="C4411" s="2">
        <f>IFERROR(__xludf.DUMMYFUNCTION("split(B4411,""_"")"),907.0)</f>
        <v>907</v>
      </c>
      <c r="D4411" s="2" t="str">
        <f>IFERROR(__xludf.DUMMYFUNCTION("""COMPUTED_VALUE"""),"NTV")</f>
        <v>NTV</v>
      </c>
      <c r="E4411" s="2" t="str">
        <f>IFERROR(__xludf.DUMMYFUNCTION("""COMPUTED_VALUE"""),"木23")</f>
        <v>木23</v>
      </c>
      <c r="F4411" s="2" t="s">
        <v>12748</v>
      </c>
      <c r="G4411" s="2" t="s">
        <v>12763</v>
      </c>
      <c r="H4411" s="1">
        <v>8.0</v>
      </c>
      <c r="I4411" s="1" t="s">
        <v>2896</v>
      </c>
      <c r="J4411" s="1" t="s">
        <v>1435</v>
      </c>
      <c r="K4411" s="2" t="s">
        <v>12764</v>
      </c>
      <c r="L4411" s="2"/>
      <c r="M4411" s="2" t="str">
        <f>IFERROR(__xludf.DUMMYFUNCTION("split(split(K4411,""【演出"",false),""ほか"",false)"),"市原隼人　  高岡蒼甫　  芦名星　  渡部豪太　  石橋杏奈(他)　煉炭を焚いた体育館の地下倉庫に閉じ込められたサルとあや。サルは片隅に落ちていた針金を使って手錠を解錠した後、南京錠をかけた10本の鎖で閉められた扉も開け、あやを連れて脱出する。サルはこれまでの状況から学校の事を熟知した内部の人間の犯行と推理。この後、犯人が合鍵を作った手口に気付いたサルは犯人を現行犯逮捕するため、もう一度バスケ部部室の錠前を替えるが、真犯人は意外な人物だった・・・")</f>
        <v>市原隼人　  高岡蒼甫　  芦名星　  渡部豪太　  石橋杏奈(他)　煉炭を焚いた体育館の地下倉庫に閉じ込められたサルとあや。サルは片隅に落ちていた針金を使って手錠を解錠した後、南京錠をかけた10本の鎖で閉められた扉も開け、あやを連れて脱出する。サルはこれまでの状況から学校の事を熟知した内部の人間の犯行と推理。この後、犯人が合鍵を作った手口に気付いたサルは犯人を現行犯逮捕するため、もう一度バスケ部部室の錠前を替えるが、真犯人は意外な人物だった・・・</v>
      </c>
      <c r="N4411" s="2"/>
      <c r="O4411" s="2"/>
      <c r="P4411" s="1"/>
      <c r="Q4411" s="1"/>
      <c r="R4411" s="1"/>
      <c r="S4411" s="1"/>
      <c r="T4411" s="1"/>
      <c r="U4411" s="1"/>
      <c r="V4411" s="1"/>
      <c r="W4411" s="1"/>
      <c r="X4411" s="1"/>
      <c r="Y4411" s="1"/>
      <c r="Z4411" s="1"/>
      <c r="AA4411" s="1"/>
      <c r="AB4411" s="1"/>
      <c r="AC4411" s="1"/>
      <c r="AD4411" s="1"/>
      <c r="AE4411" s="1"/>
      <c r="AF4411" s="1"/>
      <c r="AG4411" s="1"/>
      <c r="AH4411" s="1"/>
      <c r="AI4411" s="1"/>
      <c r="AJ4411" s="1"/>
      <c r="AK4411" s="1"/>
      <c r="AL4411" s="1"/>
      <c r="AM4411" s="1"/>
      <c r="AN4411" s="1"/>
      <c r="AO4411" s="1"/>
      <c r="AP4411" s="1"/>
      <c r="AQ4411" s="1"/>
      <c r="AR4411" s="1"/>
      <c r="AS4411" s="1"/>
      <c r="AT4411" s="1"/>
      <c r="AU4411" s="1"/>
      <c r="AV4411" s="1"/>
      <c r="AW4411" s="1"/>
      <c r="AX4411" s="1"/>
      <c r="AY4411" s="1"/>
      <c r="AZ4411" s="1"/>
      <c r="BA4411" s="1"/>
      <c r="BB4411" s="1"/>
    </row>
    <row r="4412" ht="204.75" customHeight="1">
      <c r="A4412" s="1">
        <v>5159.0</v>
      </c>
      <c r="B4412" s="2" t="s">
        <v>12747</v>
      </c>
      <c r="C4412" s="2">
        <f>IFERROR(__xludf.DUMMYFUNCTION("split(B4412,""_"")"),907.0)</f>
        <v>907</v>
      </c>
      <c r="D4412" s="2" t="str">
        <f>IFERROR(__xludf.DUMMYFUNCTION("""COMPUTED_VALUE"""),"NTV")</f>
        <v>NTV</v>
      </c>
      <c r="E4412" s="2" t="str">
        <f>IFERROR(__xludf.DUMMYFUNCTION("""COMPUTED_VALUE"""),"木23")</f>
        <v>木23</v>
      </c>
      <c r="F4412" s="2" t="s">
        <v>12748</v>
      </c>
      <c r="G4412" s="2" t="s">
        <v>12765</v>
      </c>
      <c r="H4412" s="1">
        <v>9.0</v>
      </c>
      <c r="I4412" s="1" t="s">
        <v>2900</v>
      </c>
      <c r="J4412" s="1" t="s">
        <v>1435</v>
      </c>
      <c r="K4412" s="2" t="s">
        <v>12766</v>
      </c>
      <c r="L4412" s="2"/>
      <c r="M4412" s="2" t="str">
        <f>IFERROR(__xludf.DUMMYFUNCTION("split(split(K4412,""【演出"",false),""ほか"",false)"),"市原隼人　  高岡蒼甫　  芦名星　  渡部豪太　  みさきゆう(他)サルは豪邸に住む合田に頼まれ、鍵が見当たらないという蔵の南京錠を解錠。蔵からは絵画や陶器、アンティーク品などが盗まれていた。この後、商店街に連続して泥棒が入り、サルはプロの鍵師の犯行と睨む。そんな中、サルと山本、山田はフルーツ屋でバイトを始めたアラサーのみなみらと合コンを計画。だが、その真っ直中に再び商店街に泥棒が入る。後日、刑事が現れ、商店街の連続窃盗の容疑者として逮捕するとサルに告げる…。")</f>
        <v>市原隼人　  高岡蒼甫　  芦名星　  渡部豪太　  みさきゆう(他)サルは豪邸に住む合田に頼まれ、鍵が見当たらないという蔵の南京錠を解錠。蔵からは絵画や陶器、アンティーク品などが盗まれていた。この後、商店街に連続して泥棒が入り、サルはプロの鍵師の犯行と睨む。そんな中、サルと山本、山田はフルーツ屋でバイトを始めたアラサーのみなみらと合コンを計画。だが、その真っ直中に再び商店街に泥棒が入る。後日、刑事が現れ、商店街の連続窃盗の容疑者として逮捕するとサルに告げる…。</v>
      </c>
      <c r="N4412" s="2"/>
      <c r="O4412" s="2"/>
      <c r="P4412" s="1"/>
      <c r="Q4412" s="1"/>
      <c r="R4412" s="1"/>
      <c r="S4412" s="1"/>
      <c r="T4412" s="1"/>
      <c r="U4412" s="1"/>
      <c r="V4412" s="1"/>
      <c r="W4412" s="1"/>
      <c r="X4412" s="1"/>
      <c r="Y4412" s="1"/>
      <c r="Z4412" s="1"/>
      <c r="AA4412" s="1"/>
      <c r="AB4412" s="1"/>
      <c r="AC4412" s="1"/>
      <c r="AD4412" s="1"/>
      <c r="AE4412" s="1"/>
      <c r="AF4412" s="1"/>
      <c r="AG4412" s="1"/>
      <c r="AH4412" s="1"/>
      <c r="AI4412" s="1"/>
      <c r="AJ4412" s="1"/>
      <c r="AK4412" s="1"/>
      <c r="AL4412" s="1"/>
      <c r="AM4412" s="1"/>
      <c r="AN4412" s="1"/>
      <c r="AO4412" s="1"/>
      <c r="AP4412" s="1"/>
      <c r="AQ4412" s="1"/>
      <c r="AR4412" s="1"/>
      <c r="AS4412" s="1"/>
      <c r="AT4412" s="1"/>
      <c r="AU4412" s="1"/>
      <c r="AV4412" s="1"/>
      <c r="AW4412" s="1"/>
      <c r="AX4412" s="1"/>
      <c r="AY4412" s="1"/>
      <c r="AZ4412" s="1"/>
      <c r="BA4412" s="1"/>
      <c r="BB4412" s="1"/>
    </row>
    <row r="4413" ht="204.75" customHeight="1">
      <c r="A4413" s="1">
        <v>5160.0</v>
      </c>
      <c r="B4413" s="2" t="s">
        <v>12747</v>
      </c>
      <c r="C4413" s="2">
        <f>IFERROR(__xludf.DUMMYFUNCTION("split(B4413,""_"")"),907.0)</f>
        <v>907</v>
      </c>
      <c r="D4413" s="2" t="str">
        <f>IFERROR(__xludf.DUMMYFUNCTION("""COMPUTED_VALUE"""),"NTV")</f>
        <v>NTV</v>
      </c>
      <c r="E4413" s="2" t="str">
        <f>IFERROR(__xludf.DUMMYFUNCTION("""COMPUTED_VALUE"""),"木23")</f>
        <v>木23</v>
      </c>
      <c r="F4413" s="2" t="s">
        <v>12748</v>
      </c>
      <c r="G4413" s="2" t="s">
        <v>12767</v>
      </c>
      <c r="H4413" s="1">
        <v>10.0</v>
      </c>
      <c r="I4413" s="1" t="s">
        <v>37</v>
      </c>
      <c r="J4413" s="1" t="s">
        <v>1435</v>
      </c>
      <c r="K4413" s="2" t="s">
        <v>12768</v>
      </c>
      <c r="L4413" s="2"/>
      <c r="M4413" s="2" t="str">
        <f>IFERROR(__xludf.DUMMYFUNCTION("split(split(K4413,""【演出"",false),""ほか"",false)"),"市原隼人、高岡蒼甫、芦名星、渡部豪太、みさきゆう(他)　刑事から商店街の連続窃盗の容疑で逮捕すると告げられたサル。サルは共犯と思われているみなみと隙を突いて逃走し、自分たちを犯人に仕立て上げた真犯人を捕まえる事を誓う。そして夜、サルはトラップを仕掛けて商店街に誘い出した犯人を捕まえようとするが逃げられてしまう。この後、サルは闇ルートに詳しい三島に美術品を派手に売りさばいた人物を捜してもらい、事件の真相へと近づいていくが、みなみの事を疑いだして・・・")</f>
        <v>市原隼人、高岡蒼甫、芦名星、渡部豪太、みさきゆう(他)　刑事から商店街の連続窃盗の容疑で逮捕すると告げられたサル。サルは共犯と思われているみなみと隙を突いて逃走し、自分たちを犯人に仕立て上げた真犯人を捕まえる事を誓う。そして夜、サルはトラップを仕掛けて商店街に誘い出した犯人を捕まえようとするが逃げられてしまう。この後、サルは闇ルートに詳しい三島に美術品を派手に売りさばいた人物を捜してもらい、事件の真相へと近づいていくが、みなみの事を疑いだして・・・</v>
      </c>
      <c r="N4413" s="2"/>
      <c r="O4413" s="2"/>
      <c r="P4413" s="1"/>
      <c r="Q4413" s="1"/>
      <c r="R4413" s="1"/>
      <c r="S4413" s="1"/>
      <c r="T4413" s="1"/>
      <c r="U4413" s="1"/>
      <c r="V4413" s="1"/>
      <c r="W4413" s="1"/>
      <c r="X4413" s="1"/>
      <c r="Y4413" s="1"/>
      <c r="Z4413" s="1"/>
      <c r="AA4413" s="1"/>
      <c r="AB4413" s="1"/>
      <c r="AC4413" s="1"/>
      <c r="AD4413" s="1"/>
      <c r="AE4413" s="1"/>
      <c r="AF4413" s="1"/>
      <c r="AG4413" s="1"/>
      <c r="AH4413" s="1"/>
      <c r="AI4413" s="1"/>
      <c r="AJ4413" s="1"/>
      <c r="AK4413" s="1"/>
      <c r="AL4413" s="1"/>
      <c r="AM4413" s="1"/>
      <c r="AN4413" s="1"/>
      <c r="AO4413" s="1"/>
      <c r="AP4413" s="1"/>
      <c r="AQ4413" s="1"/>
      <c r="AR4413" s="1"/>
      <c r="AS4413" s="1"/>
      <c r="AT4413" s="1"/>
      <c r="AU4413" s="1"/>
      <c r="AV4413" s="1"/>
      <c r="AW4413" s="1"/>
      <c r="AX4413" s="1"/>
      <c r="AY4413" s="1"/>
      <c r="AZ4413" s="1"/>
      <c r="BA4413" s="1"/>
      <c r="BB4413" s="1"/>
    </row>
    <row r="4414" ht="204.75" customHeight="1">
      <c r="A4414" s="1">
        <v>5199.0</v>
      </c>
      <c r="B4414" s="2" t="s">
        <v>12769</v>
      </c>
      <c r="C4414" s="2">
        <f>IFERROR(__xludf.DUMMYFUNCTION("split(B4414,""_"")"),907.0)</f>
        <v>907</v>
      </c>
      <c r="D4414" s="2" t="str">
        <f>IFERROR(__xludf.DUMMYFUNCTION("""COMPUTED_VALUE"""),"NTV")</f>
        <v>NTV</v>
      </c>
      <c r="E4414" s="2" t="str">
        <f>IFERROR(__xludf.DUMMYFUNCTION("""COMPUTED_VALUE"""),"土21")</f>
        <v>土21</v>
      </c>
      <c r="F4414" s="2" t="s">
        <v>12770</v>
      </c>
      <c r="G4414" s="2" t="s">
        <v>12771</v>
      </c>
      <c r="H4414" s="1">
        <v>1.0</v>
      </c>
      <c r="J4414" s="1" t="s">
        <v>4</v>
      </c>
      <c r="K4414" s="2" t="s">
        <v>12772</v>
      </c>
      <c r="L4414" s="2"/>
      <c r="M4414" s="2" t="str">
        <f>IFERROR(__xludf.DUMMYFUNCTION("split(split(K4414,""【演出"",false),""ほか"",false)"),"長瀬智也　深田恭子　杏　渡辺あつむ(ジャリズム)　藤原一裕(ライセンス)　KIKI　平手舞　友近　金児憲次　明樂哲典　杉崎真宏　手塚とおる　島田忍　山田明郷　峯村リエ　浜近高徳　高田純次　伊藤かずえ　井上真央　柄本明　寺島進　渡哲也日本初のスパイコメディ!?天才詐欺師が秘密諜報部員に!平和ボケした日本狙われていた!総理大臣の毒をもって毒を制すという考えのもと、自由と引き換えにスパイになった元詐欺師の京介。どんな人物にもなりきるカメレオンのような男がその能力でテロから人を救う。初ミッションは爆弾テロのターゲ"&amp;"ットとなった総理の孫娘を、とんでもない仲間ととんでもない方法で守ること!テロ以外にも問題を抱える彼女を京介は守れるのか?大谷太郎君塚良一ザ・サーフコースターズ【プロデューサー】佐藤敦　下山潤　【協力プロデューサー】小泉守")</f>
        <v>長瀬智也　深田恭子　杏　渡辺あつむ(ジャリズム)　藤原一裕(ライセンス)　KIKI　平手舞　友近　金児憲次　明樂哲典　杉崎真宏　手塚とおる　島田忍　山田明郷　峯村リエ　浜近高徳　高田純次　伊藤かずえ　井上真央　柄本明　寺島進　渡哲也日本初のスパイコメディ!?天才詐欺師が秘密諜報部員に!平和ボケした日本狙われていた!総理大臣の毒をもって毒を制すという考えのもと、自由と引き換えにスパイになった元詐欺師の京介。どんな人物にもなりきるカメレオンのような男がその能力でテロから人を救う。初ミッションは爆弾テロのターゲットとなった総理の孫娘を、とんでもない仲間ととんでもない方法で守ること!テロ以外にも問題を抱える彼女を京介は守れるのか?大谷太郎君塚良一ザ・サーフコースターズ【プロデューサー】佐藤敦　下山潤　【協力プロデューサー】小泉守</v>
      </c>
      <c r="N4414" s="2"/>
      <c r="O4414" s="2"/>
      <c r="P4414" s="1"/>
      <c r="Q4414" s="1"/>
      <c r="R4414" s="1"/>
      <c r="S4414" s="1"/>
      <c r="T4414" s="1"/>
      <c r="U4414" s="1"/>
      <c r="V4414" s="1"/>
      <c r="W4414" s="1"/>
      <c r="X4414" s="1"/>
      <c r="Y4414" s="1"/>
      <c r="Z4414" s="1"/>
      <c r="AA4414" s="1"/>
      <c r="AB4414" s="1"/>
      <c r="AC4414" s="1"/>
      <c r="AD4414" s="1"/>
      <c r="AE4414" s="1"/>
      <c r="AF4414" s="1"/>
      <c r="AG4414" s="1"/>
      <c r="AH4414" s="1"/>
      <c r="AI4414" s="1"/>
      <c r="AJ4414" s="1"/>
      <c r="AK4414" s="1"/>
      <c r="AL4414" s="1"/>
      <c r="AM4414" s="1"/>
      <c r="AN4414" s="1"/>
      <c r="AO4414" s="1"/>
      <c r="AP4414" s="1"/>
      <c r="AQ4414" s="1"/>
      <c r="AR4414" s="1"/>
      <c r="AS4414" s="1"/>
      <c r="AT4414" s="1"/>
      <c r="AU4414" s="1"/>
      <c r="AV4414" s="1"/>
      <c r="AW4414" s="1"/>
      <c r="AX4414" s="1"/>
      <c r="AY4414" s="1"/>
      <c r="AZ4414" s="1"/>
      <c r="BA4414" s="1"/>
      <c r="BB4414" s="1"/>
    </row>
    <row r="4415" ht="204.75" customHeight="1">
      <c r="A4415" s="1">
        <v>5200.0</v>
      </c>
      <c r="B4415" s="2" t="s">
        <v>12769</v>
      </c>
      <c r="C4415" s="2">
        <f>IFERROR(__xludf.DUMMYFUNCTION("split(B4415,""_"")"),907.0)</f>
        <v>907</v>
      </c>
      <c r="D4415" s="2" t="str">
        <f>IFERROR(__xludf.DUMMYFUNCTION("""COMPUTED_VALUE"""),"NTV")</f>
        <v>NTV</v>
      </c>
      <c r="E4415" s="2" t="str">
        <f>IFERROR(__xludf.DUMMYFUNCTION("""COMPUTED_VALUE"""),"土21")</f>
        <v>土21</v>
      </c>
      <c r="F4415" s="2" t="s">
        <v>12770</v>
      </c>
      <c r="G4415" s="2" t="s">
        <v>12771</v>
      </c>
      <c r="H4415" s="1">
        <v>2.0</v>
      </c>
      <c r="J4415" s="1" t="s">
        <v>11</v>
      </c>
      <c r="K4415" s="2" t="s">
        <v>12773</v>
      </c>
      <c r="L4415" s="2"/>
      <c r="M4415" s="2" t="str">
        <f>IFERROR(__xludf.DUMMYFUNCTION("split(split(K4415,""【演出"",false),""ほか"",false)"),"長瀬智也　深田恭子　杏　渡辺あつむ(ジャリズム)　藤原一裕(ライセンス)　KIKI　平手舞　友近　金児憲史　明樂哲典　杉浦真宏　峯村リエ　小林海人　土師野隆之介　高田純次　伊藤かずえ　柄本明　寺島進　渡哲也証券会社のコンピューターがハッキングされる事件があり、経済テロを疑った吉澤総理と秘密諜報部の霧山は調査に乗り出した。犯人とみられる紅井令子という元トレーダーの周辺を探っていたところ、もっと大規模な経済テロの計画が暴かれた。ダラーという偽札作りのプロがその中心で、京介とドロシーはダラーMに接触すべく、セレ"&amp;"ブなパーティー会場に潜入調査に行く。実はゲイのダラーMは京介を一目見た瞬間、気に入ってしまい…大谷太郎君塚良一")</f>
        <v>長瀬智也　深田恭子　杏　渡辺あつむ(ジャリズム)　藤原一裕(ライセンス)　KIKI　平手舞　友近　金児憲史　明樂哲典　杉浦真宏　峯村リエ　小林海人　土師野隆之介　高田純次　伊藤かずえ　柄本明　寺島進　渡哲也証券会社のコンピューターがハッキングされる事件があり、経済テロを疑った吉澤総理と秘密諜報部の霧山は調査に乗り出した。犯人とみられる紅井令子という元トレーダーの周辺を探っていたところ、もっと大規模な経済テロの計画が暴かれた。ダラーという偽札作りのプロがその中心で、京介とドロシーはダラーMに接触すべく、セレブなパーティー会場に潜入調査に行く。実はゲイのダラーMは京介を一目見た瞬間、気に入ってしまい…大谷太郎君塚良一</v>
      </c>
      <c r="N4415" s="2"/>
      <c r="O4415" s="2"/>
      <c r="P4415" s="1"/>
      <c r="Q4415" s="1"/>
      <c r="R4415" s="1"/>
      <c r="S4415" s="1"/>
      <c r="T4415" s="1"/>
      <c r="U4415" s="1"/>
      <c r="V4415" s="1"/>
      <c r="W4415" s="1"/>
      <c r="X4415" s="1"/>
      <c r="Y4415" s="1"/>
      <c r="Z4415" s="1"/>
      <c r="AA4415" s="1"/>
      <c r="AB4415" s="1"/>
      <c r="AC4415" s="1"/>
      <c r="AD4415" s="1"/>
      <c r="AE4415" s="1"/>
      <c r="AF4415" s="1"/>
      <c r="AG4415" s="1"/>
      <c r="AH4415" s="1"/>
      <c r="AI4415" s="1"/>
      <c r="AJ4415" s="1"/>
      <c r="AK4415" s="1"/>
      <c r="AL4415" s="1"/>
      <c r="AM4415" s="1"/>
      <c r="AN4415" s="1"/>
      <c r="AO4415" s="1"/>
      <c r="AP4415" s="1"/>
      <c r="AQ4415" s="1"/>
      <c r="AR4415" s="1"/>
      <c r="AS4415" s="1"/>
      <c r="AT4415" s="1"/>
      <c r="AU4415" s="1"/>
      <c r="AV4415" s="1"/>
      <c r="AW4415" s="1"/>
      <c r="AX4415" s="1"/>
      <c r="AY4415" s="1"/>
      <c r="AZ4415" s="1"/>
      <c r="BA4415" s="1"/>
      <c r="BB4415" s="1"/>
    </row>
    <row r="4416" ht="204.75" customHeight="1">
      <c r="A4416" s="1">
        <v>5201.0</v>
      </c>
      <c r="B4416" s="2" t="s">
        <v>12769</v>
      </c>
      <c r="C4416" s="2">
        <f>IFERROR(__xludf.DUMMYFUNCTION("split(B4416,""_"")"),907.0)</f>
        <v>907</v>
      </c>
      <c r="D4416" s="2" t="str">
        <f>IFERROR(__xludf.DUMMYFUNCTION("""COMPUTED_VALUE"""),"NTV")</f>
        <v>NTV</v>
      </c>
      <c r="E4416" s="2" t="str">
        <f>IFERROR(__xludf.DUMMYFUNCTION("""COMPUTED_VALUE"""),"土21")</f>
        <v>土21</v>
      </c>
      <c r="F4416" s="2" t="s">
        <v>12770</v>
      </c>
      <c r="G4416" s="2" t="s">
        <v>12771</v>
      </c>
      <c r="H4416" s="1">
        <v>3.0</v>
      </c>
      <c r="J4416" s="1" t="s">
        <v>11</v>
      </c>
      <c r="K4416" s="2" t="s">
        <v>12774</v>
      </c>
      <c r="L4416" s="2"/>
      <c r="M4416" s="2" t="str">
        <f>IFERROR(__xludf.DUMMYFUNCTION("split(split(K4416,""【演出"",false),""ほか"",false)"),"長瀬智也　深田恭子　杏　渡辺あつむ(ジャリズム)　藤原一裕(ライセンス)　KIKI　平手舞　友近　金児憲史　明樂哲典　杉浦真宏　峯村リエ　小林海人　土師野隆之介　高田純次　伊藤かずえ　柄本明　寺島進　渡哲也　高林由起子ミスター匠のスパイが日韓合作ドラマの脚本を盗んだと秘密諜報部に情報が入った。テロリストの狙いはドラマの撮影現場に訪問予定の吉澤総理の夫人らしい。京介たちは現場に潜入すべく出演者のオーディションに挑み、詐欺師の演技力で見事役を勝ち取る。ミスター匠の暗号を解読したオサムは韓国から入国した女優・付"&amp;"き人・ボディガードのうち誰かがテロリストであることをつきとめる。マネージャーに扮した来栖と撮影に参加するが…岩本仁志君塚良一")</f>
        <v>長瀬智也　深田恭子　杏　渡辺あつむ(ジャリズム)　藤原一裕(ライセンス)　KIKI　平手舞　友近　金児憲史　明樂哲典　杉浦真宏　峯村リエ　小林海人　土師野隆之介　高田純次　伊藤かずえ　柄本明　寺島進　渡哲也　高林由起子ミスター匠のスパイが日韓合作ドラマの脚本を盗んだと秘密諜報部に情報が入った。テロリストの狙いはドラマの撮影現場に訪問予定の吉澤総理の夫人らしい。京介たちは現場に潜入すべく出演者のオーディションに挑み、詐欺師の演技力で見事役を勝ち取る。ミスター匠の暗号を解読したオサムは韓国から入国した女優・付き人・ボディガードのうち誰かがテロリストであることをつきとめる。マネージャーに扮した来栖と撮影に参加するが…岩本仁志君塚良一</v>
      </c>
      <c r="N4416" s="2"/>
      <c r="O4416" s="2"/>
      <c r="P4416" s="1"/>
      <c r="Q4416" s="1"/>
      <c r="R4416" s="1"/>
      <c r="S4416" s="1"/>
      <c r="T4416" s="1"/>
      <c r="U4416" s="1"/>
      <c r="V4416" s="1"/>
      <c r="W4416" s="1"/>
      <c r="X4416" s="1"/>
      <c r="Y4416" s="1"/>
      <c r="Z4416" s="1"/>
      <c r="AA4416" s="1"/>
      <c r="AB4416" s="1"/>
      <c r="AC4416" s="1"/>
      <c r="AD4416" s="1"/>
      <c r="AE4416" s="1"/>
      <c r="AF4416" s="1"/>
      <c r="AG4416" s="1"/>
      <c r="AH4416" s="1"/>
      <c r="AI4416" s="1"/>
      <c r="AJ4416" s="1"/>
      <c r="AK4416" s="1"/>
      <c r="AL4416" s="1"/>
      <c r="AM4416" s="1"/>
      <c r="AN4416" s="1"/>
      <c r="AO4416" s="1"/>
      <c r="AP4416" s="1"/>
      <c r="AQ4416" s="1"/>
      <c r="AR4416" s="1"/>
      <c r="AS4416" s="1"/>
      <c r="AT4416" s="1"/>
      <c r="AU4416" s="1"/>
      <c r="AV4416" s="1"/>
      <c r="AW4416" s="1"/>
      <c r="AX4416" s="1"/>
      <c r="AY4416" s="1"/>
      <c r="AZ4416" s="1"/>
      <c r="BA4416" s="1"/>
      <c r="BB4416" s="1"/>
    </row>
    <row r="4417" ht="204.75" customHeight="1">
      <c r="A4417" s="1">
        <v>5202.0</v>
      </c>
      <c r="B4417" s="2" t="s">
        <v>12769</v>
      </c>
      <c r="C4417" s="2">
        <f>IFERROR(__xludf.DUMMYFUNCTION("split(B4417,""_"")"),907.0)</f>
        <v>907</v>
      </c>
      <c r="D4417" s="2" t="str">
        <f>IFERROR(__xludf.DUMMYFUNCTION("""COMPUTED_VALUE"""),"NTV")</f>
        <v>NTV</v>
      </c>
      <c r="E4417" s="2" t="str">
        <f>IFERROR(__xludf.DUMMYFUNCTION("""COMPUTED_VALUE"""),"土21")</f>
        <v>土21</v>
      </c>
      <c r="F4417" s="2" t="s">
        <v>12770</v>
      </c>
      <c r="G4417" s="2" t="s">
        <v>12771</v>
      </c>
      <c r="H4417" s="1">
        <v>4.0</v>
      </c>
      <c r="J4417" s="1" t="s">
        <v>11</v>
      </c>
      <c r="K4417" s="2" t="s">
        <v>12775</v>
      </c>
      <c r="L4417" s="2"/>
      <c r="M4417" s="2" t="str">
        <f>IFERROR(__xludf.DUMMYFUNCTION("split(split(K4417,""【演出"",false),""ほか"",false)"),"長瀬智也　深田恭子　杏　渡辺あつむ(ジャリズム)　藤原一裕(ライセンス)　KIKI　平手舞　友近　金児憲次　明樂哲典　杉崎真宏　峯村リエ　TERU　高田純次　伊藤かずえ　柄本明　寺島進　渡哲也名門男子高の教師が女子高生に襲われ、重傷を負う事件が起きた。吉澤総理は直々に秘密諜報部へこの事件を調べるよう指令を出した。次のねらいは水泳部の生徒らしい。京介とドロシーはイケメンだらけの水泳部へ熱血コーチに扮して潜入する。すると、徹という他の生徒になじまない部のエースがいることに気づく。京介は彼のことを調べようとする"&amp;"が霧山の反対にあう。そんなとき、三九から総理の隠し子がその学校にいると聞き…岩本仁志　君塚良一【音楽】ザ・サーフコースターズ　【主題歌】『太陽と砂漠のバラ』TOKIO(ジェイ・ストーム)【プロデューサー】佐藤敦　下山潤　【協力プロデューサー】小泉守　【制作協力】トータルメディアコミュニケーション")</f>
        <v>長瀬智也　深田恭子　杏　渡辺あつむ(ジャリズム)　藤原一裕(ライセンス)　KIKI　平手舞　友近　金児憲次　明樂哲典　杉崎真宏　峯村リエ　TERU　高田純次　伊藤かずえ　柄本明　寺島進　渡哲也名門男子高の教師が女子高生に襲われ、重傷を負う事件が起きた。吉澤総理は直々に秘密諜報部へこの事件を調べるよう指令を出した。次のねらいは水泳部の生徒らしい。京介とドロシーはイケメンだらけの水泳部へ熱血コーチに扮して潜入する。すると、徹という他の生徒になじまない部のエースがいることに気づく。京介は彼のことを調べようとするが霧山の反対にあう。そんなとき、三九から総理の隠し子がその学校にいると聞き…岩本仁志　君塚良一【音楽】ザ・サーフコースターズ　【主題歌】『太陽と砂漠のバラ』TOKIO(ジェイ・ストーム)【プロデューサー】佐藤敦　下山潤　【協力プロデューサー】小泉守　【制作協力】トータルメディアコミュニケーション</v>
      </c>
      <c r="N4417" s="2"/>
      <c r="O4417" s="2"/>
      <c r="P4417" s="1"/>
      <c r="Q4417" s="1"/>
      <c r="R4417" s="1"/>
      <c r="S4417" s="1"/>
      <c r="T4417" s="1"/>
      <c r="U4417" s="1"/>
      <c r="V4417" s="1"/>
      <c r="W4417" s="1"/>
      <c r="X4417" s="1"/>
      <c r="Y4417" s="1"/>
      <c r="Z4417" s="1"/>
      <c r="AA4417" s="1"/>
      <c r="AB4417" s="1"/>
      <c r="AC4417" s="1"/>
      <c r="AD4417" s="1"/>
      <c r="AE4417" s="1"/>
      <c r="AF4417" s="1"/>
      <c r="AG4417" s="1"/>
      <c r="AH4417" s="1"/>
      <c r="AI4417" s="1"/>
      <c r="AJ4417" s="1"/>
      <c r="AK4417" s="1"/>
      <c r="AL4417" s="1"/>
      <c r="AM4417" s="1"/>
      <c r="AN4417" s="1"/>
      <c r="AO4417" s="1"/>
      <c r="AP4417" s="1"/>
      <c r="AQ4417" s="1"/>
      <c r="AR4417" s="1"/>
      <c r="AS4417" s="1"/>
      <c r="AT4417" s="1"/>
      <c r="AU4417" s="1"/>
      <c r="AV4417" s="1"/>
      <c r="AW4417" s="1"/>
      <c r="AX4417" s="1"/>
      <c r="AY4417" s="1"/>
      <c r="AZ4417" s="1"/>
      <c r="BA4417" s="1"/>
      <c r="BB4417" s="1"/>
    </row>
    <row r="4418" ht="204.75" customHeight="1">
      <c r="A4418" s="1">
        <v>5203.0</v>
      </c>
      <c r="B4418" s="2" t="s">
        <v>12769</v>
      </c>
      <c r="C4418" s="2">
        <f>IFERROR(__xludf.DUMMYFUNCTION("split(B4418,""_"")"),907.0)</f>
        <v>907</v>
      </c>
      <c r="D4418" s="2" t="str">
        <f>IFERROR(__xludf.DUMMYFUNCTION("""COMPUTED_VALUE"""),"NTV")</f>
        <v>NTV</v>
      </c>
      <c r="E4418" s="2" t="str">
        <f>IFERROR(__xludf.DUMMYFUNCTION("""COMPUTED_VALUE"""),"土21")</f>
        <v>土21</v>
      </c>
      <c r="F4418" s="2" t="s">
        <v>12770</v>
      </c>
      <c r="G4418" s="2" t="s">
        <v>12771</v>
      </c>
      <c r="H4418" s="1">
        <v>5.0</v>
      </c>
      <c r="J4418" s="1" t="s">
        <v>11</v>
      </c>
      <c r="K4418" s="2" t="s">
        <v>12776</v>
      </c>
      <c r="L4418" s="2"/>
      <c r="M4418" s="2" t="str">
        <f>IFERROR(__xludf.DUMMYFUNCTION("split(split(K4418,""【演出"",false),""ほか"",false)"),"長瀬智也　深田恭子　杏　渡辺あつむ(ジャリズム)　藤原一裕(ライセンス)　KIKI　平手舞　友近　金児憲次　明樂哲典　杉崎真宏　峯村リエ　TERU　高田純次　伊藤かずえ　柄本明　寺島進　渡哲也ニューヨークで駐米イタリア大使が料理に混入された爆弾で暗殺される事件が起きた。ミスター匠の仕業らしい。吉澤総理もレストランでのイタリア大使との会食を控えており、テロが危ぶまれる。秘密諜報部のメンバーはレストランに潜入することになり、京介は料理人として、ドロシーはホール係に扮して潜入に成功。ドロシーから武器を預かり調査"&amp;"を開始するが・・・石尾純　君塚良一【音楽】ザ・サーフコースターズ　【主題歌】『太陽と砂漠のバラ』TOKIO(ジェイ・ストーム)【プロデューサー】佐藤敦　下山潤　【協力プロデューサー】小泉守　【制作協力】トータルメディアコミュニケーション")</f>
        <v>長瀬智也　深田恭子　杏　渡辺あつむ(ジャリズム)　藤原一裕(ライセンス)　KIKI　平手舞　友近　金児憲次　明樂哲典　杉崎真宏　峯村リエ　TERU　高田純次　伊藤かずえ　柄本明　寺島進　渡哲也ニューヨークで駐米イタリア大使が料理に混入された爆弾で暗殺される事件が起きた。ミスター匠の仕業らしい。吉澤総理もレストランでのイタリア大使との会食を控えており、テロが危ぶまれる。秘密諜報部のメンバーはレストランに潜入することになり、京介は料理人として、ドロシーはホール係に扮して潜入に成功。ドロシーから武器を預かり調査を開始するが・・・石尾純　君塚良一【音楽】ザ・サーフコースターズ　【主題歌】『太陽と砂漠のバラ』TOKIO(ジェイ・ストーム)【プロデューサー】佐藤敦　下山潤　【協力プロデューサー】小泉守　【制作協力】トータルメディアコミュニケーション</v>
      </c>
      <c r="N4418" s="2"/>
      <c r="O4418" s="2"/>
      <c r="P4418" s="1"/>
      <c r="Q4418" s="1"/>
      <c r="R4418" s="1"/>
      <c r="S4418" s="1"/>
      <c r="T4418" s="1"/>
      <c r="U4418" s="1"/>
      <c r="V4418" s="1"/>
      <c r="W4418" s="1"/>
      <c r="X4418" s="1"/>
      <c r="Y4418" s="1"/>
      <c r="Z4418" s="1"/>
      <c r="AA4418" s="1"/>
      <c r="AB4418" s="1"/>
      <c r="AC4418" s="1"/>
      <c r="AD4418" s="1"/>
      <c r="AE4418" s="1"/>
      <c r="AF4418" s="1"/>
      <c r="AG4418" s="1"/>
      <c r="AH4418" s="1"/>
      <c r="AI4418" s="1"/>
      <c r="AJ4418" s="1"/>
      <c r="AK4418" s="1"/>
      <c r="AL4418" s="1"/>
      <c r="AM4418" s="1"/>
      <c r="AN4418" s="1"/>
      <c r="AO4418" s="1"/>
      <c r="AP4418" s="1"/>
      <c r="AQ4418" s="1"/>
      <c r="AR4418" s="1"/>
      <c r="AS4418" s="1"/>
      <c r="AT4418" s="1"/>
      <c r="AU4418" s="1"/>
      <c r="AV4418" s="1"/>
      <c r="AW4418" s="1"/>
      <c r="AX4418" s="1"/>
      <c r="AY4418" s="1"/>
      <c r="AZ4418" s="1"/>
      <c r="BA4418" s="1"/>
      <c r="BB4418" s="1"/>
    </row>
    <row r="4419" ht="204.75" customHeight="1">
      <c r="A4419" s="1">
        <v>5204.0</v>
      </c>
      <c r="B4419" s="2" t="s">
        <v>12769</v>
      </c>
      <c r="C4419" s="2">
        <f>IFERROR(__xludf.DUMMYFUNCTION("split(B4419,""_"")"),907.0)</f>
        <v>907</v>
      </c>
      <c r="D4419" s="2" t="str">
        <f>IFERROR(__xludf.DUMMYFUNCTION("""COMPUTED_VALUE"""),"NTV")</f>
        <v>NTV</v>
      </c>
      <c r="E4419" s="2" t="str">
        <f>IFERROR(__xludf.DUMMYFUNCTION("""COMPUTED_VALUE"""),"土21")</f>
        <v>土21</v>
      </c>
      <c r="F4419" s="2" t="s">
        <v>12770</v>
      </c>
      <c r="G4419" s="2" t="s">
        <v>12771</v>
      </c>
      <c r="H4419" s="1">
        <v>6.0</v>
      </c>
      <c r="J4419" s="1" t="s">
        <v>11</v>
      </c>
      <c r="K4419" s="2" t="s">
        <v>12777</v>
      </c>
      <c r="L4419" s="2"/>
      <c r="M4419" s="2" t="str">
        <f>IFERROR(__xludf.DUMMYFUNCTION("split(split(K4419,""【演出"",false),""ほか"",false)"),"長瀬智也　深田恭子　杏　渡辺あつむ(ジャリズム)　藤原一裕(ライセンス)　KIKI　平手舞　友近　金児憲次　明樂哲典　杉崎真宏　峯村リエ　TERU　高田純次　伊藤かずえ　柄本明　寺島進　渡哲也秘密諜報部に中国の情報局からナオミ・リーという美人女性エージェントがやってきた。中国で起きたテロの実行犯が日本に潜伏しているらしい。京介とドロシーはナオミとともに、テロリストが潜入していると言われる教会に修道女と神父に扮装して潜入するが、手がかりはつかめない。そんな中、京介は潜入した教会で、子供のころに面倒をみてくれ"&amp;"た神父に再会する。一方、犯人が見つからない諜報部はナオミの真意を探ろうとするが…大谷太郎　君塚良一　金澤達也【音楽】ザ・サーフコースターズ　【主題歌】『太陽と砂漠のバラ』TOKIO(ジェイ・ストーム)【プロデューサー】佐藤敦　下山潤　【協力プロデューサー】小泉守　【制作協力】トータルメディアコミュニケーション")</f>
        <v>長瀬智也　深田恭子　杏　渡辺あつむ(ジャリズム)　藤原一裕(ライセンス)　KIKI　平手舞　友近　金児憲次　明樂哲典　杉崎真宏　峯村リエ　TERU　高田純次　伊藤かずえ　柄本明　寺島進　渡哲也秘密諜報部に中国の情報局からナオミ・リーという美人女性エージェントがやってきた。中国で起きたテロの実行犯が日本に潜伏しているらしい。京介とドロシーはナオミとともに、テロリストが潜入していると言われる教会に修道女と神父に扮装して潜入するが、手がかりはつかめない。そんな中、京介は潜入した教会で、子供のころに面倒をみてくれた神父に再会する。一方、犯人が見つからない諜報部はナオミの真意を探ろうとするが…大谷太郎　君塚良一　金澤達也【音楽】ザ・サーフコースターズ　【主題歌】『太陽と砂漠のバラ』TOKIO(ジェイ・ストーム)【プロデューサー】佐藤敦　下山潤　【協力プロデューサー】小泉守　【制作協力】トータルメディアコミュニケーション</v>
      </c>
      <c r="N4419" s="2"/>
      <c r="O4419" s="2"/>
      <c r="P4419" s="1"/>
      <c r="Q4419" s="1"/>
      <c r="R4419" s="1"/>
      <c r="S4419" s="1"/>
      <c r="T4419" s="1"/>
      <c r="U4419" s="1"/>
      <c r="V4419" s="1"/>
      <c r="W4419" s="1"/>
      <c r="X4419" s="1"/>
      <c r="Y4419" s="1"/>
      <c r="Z4419" s="1"/>
      <c r="AA4419" s="1"/>
      <c r="AB4419" s="1"/>
      <c r="AC4419" s="1"/>
      <c r="AD4419" s="1"/>
      <c r="AE4419" s="1"/>
      <c r="AF4419" s="1"/>
      <c r="AG4419" s="1"/>
      <c r="AH4419" s="1"/>
      <c r="AI4419" s="1"/>
      <c r="AJ4419" s="1"/>
      <c r="AK4419" s="1"/>
      <c r="AL4419" s="1"/>
      <c r="AM4419" s="1"/>
      <c r="AN4419" s="1"/>
      <c r="AO4419" s="1"/>
      <c r="AP4419" s="1"/>
      <c r="AQ4419" s="1"/>
      <c r="AR4419" s="1"/>
      <c r="AS4419" s="1"/>
      <c r="AT4419" s="1"/>
      <c r="AU4419" s="1"/>
      <c r="AV4419" s="1"/>
      <c r="AW4419" s="1"/>
      <c r="AX4419" s="1"/>
      <c r="AY4419" s="1"/>
      <c r="AZ4419" s="1"/>
      <c r="BA4419" s="1"/>
      <c r="BB4419" s="1"/>
    </row>
    <row r="4420" ht="204.75" customHeight="1">
      <c r="A4420" s="1">
        <v>5205.0</v>
      </c>
      <c r="B4420" s="2" t="s">
        <v>12769</v>
      </c>
      <c r="C4420" s="2">
        <f>IFERROR(__xludf.DUMMYFUNCTION("split(B4420,""_"")"),907.0)</f>
        <v>907</v>
      </c>
      <c r="D4420" s="2" t="str">
        <f>IFERROR(__xludf.DUMMYFUNCTION("""COMPUTED_VALUE"""),"NTV")</f>
        <v>NTV</v>
      </c>
      <c r="E4420" s="2" t="str">
        <f>IFERROR(__xludf.DUMMYFUNCTION("""COMPUTED_VALUE"""),"土21")</f>
        <v>土21</v>
      </c>
      <c r="F4420" s="2" t="s">
        <v>12770</v>
      </c>
      <c r="G4420" s="2" t="s">
        <v>12771</v>
      </c>
      <c r="H4420" s="1">
        <v>7.0</v>
      </c>
      <c r="J4420" s="1" t="s">
        <v>11</v>
      </c>
      <c r="K4420" s="2" t="s">
        <v>12778</v>
      </c>
      <c r="L4420" s="2"/>
      <c r="M4420" s="2" t="str">
        <f>IFERROR(__xludf.DUMMYFUNCTION("split(split(K4420,""【演出"",false),""ほか"",false)"),"長瀬智也　深田恭子　杏　渡辺あつむ(ジャリズム)　藤原一裕(ライセンス)　KIKI　友近　金児憲次　明樂哲典　TERU　候偉　黄実　宮下裕治　高田純次　伊藤かずえ　柄本明　寺島進　渡哲也三九が帰ってこないことと、京介が出て行ったことを不審に思った源一と泉は秘密諜報部を訪れ、霧山からミスター匠に連れ去られたかも知れないと聞く。霧山は三九を救い出すことを二人に約束し、ミスター匠のアジトを探し始める。霧山は京介を呼び出すためのミッションを開始し、そのかいあって再び秘密諜報部にやってくる。一方、ミスター匠のアジト"&amp;"では三九の前にミスター匠が現れ、三九は京介を誘き出すことが狙いだと気づくが…岩本仁志　君塚良一【音楽】ザ・サーフコースターズ　【主題歌】『太陽と砂漠のバラ』TOKIO(ジェイ・ストーム)【プロデューサー】佐藤敦　下山潤　【協力プロデューサー】小泉守　【制作協力】トータルメディアコミュニケーション")</f>
        <v>長瀬智也　深田恭子　杏　渡辺あつむ(ジャリズム)　藤原一裕(ライセンス)　KIKI　友近　金児憲次　明樂哲典　TERU　候偉　黄実　宮下裕治　高田純次　伊藤かずえ　柄本明　寺島進　渡哲也三九が帰ってこないことと、京介が出て行ったことを不審に思った源一と泉は秘密諜報部を訪れ、霧山からミスター匠に連れ去られたかも知れないと聞く。霧山は三九を救い出すことを二人に約束し、ミスター匠のアジトを探し始める。霧山は京介を呼び出すためのミッションを開始し、そのかいあって再び秘密諜報部にやってくる。一方、ミスター匠のアジトでは三九の前にミスター匠が現れ、三九は京介を誘き出すことが狙いだと気づくが…岩本仁志　君塚良一【音楽】ザ・サーフコースターズ　【主題歌】『太陽と砂漠のバラ』TOKIO(ジェイ・ストーム)【プロデューサー】佐藤敦　下山潤　【協力プロデューサー】小泉守　【制作協力】トータルメディアコミュニケーション</v>
      </c>
      <c r="N4420" s="2"/>
      <c r="O4420" s="2"/>
      <c r="P4420" s="1"/>
      <c r="Q4420" s="1"/>
      <c r="R4420" s="1"/>
      <c r="S4420" s="1"/>
      <c r="T4420" s="1"/>
      <c r="U4420" s="1"/>
      <c r="V4420" s="1"/>
      <c r="W4420" s="1"/>
      <c r="X4420" s="1"/>
      <c r="Y4420" s="1"/>
      <c r="Z4420" s="1"/>
      <c r="AA4420" s="1"/>
      <c r="AB4420" s="1"/>
      <c r="AC4420" s="1"/>
      <c r="AD4420" s="1"/>
      <c r="AE4420" s="1"/>
      <c r="AF4420" s="1"/>
      <c r="AG4420" s="1"/>
      <c r="AH4420" s="1"/>
      <c r="AI4420" s="1"/>
      <c r="AJ4420" s="1"/>
      <c r="AK4420" s="1"/>
      <c r="AL4420" s="1"/>
      <c r="AM4420" s="1"/>
      <c r="AN4420" s="1"/>
      <c r="AO4420" s="1"/>
      <c r="AP4420" s="1"/>
      <c r="AQ4420" s="1"/>
      <c r="AR4420" s="1"/>
      <c r="AS4420" s="1"/>
      <c r="AT4420" s="1"/>
      <c r="AU4420" s="1"/>
      <c r="AV4420" s="1"/>
      <c r="AW4420" s="1"/>
      <c r="AX4420" s="1"/>
      <c r="AY4420" s="1"/>
      <c r="AZ4420" s="1"/>
      <c r="BA4420" s="1"/>
      <c r="BB4420" s="1"/>
    </row>
    <row r="4421" ht="204.75" customHeight="1">
      <c r="A4421" s="1">
        <v>5206.0</v>
      </c>
      <c r="B4421" s="2" t="s">
        <v>12769</v>
      </c>
      <c r="C4421" s="2">
        <f>IFERROR(__xludf.DUMMYFUNCTION("split(B4421,""_"")"),907.0)</f>
        <v>907</v>
      </c>
      <c r="D4421" s="2" t="str">
        <f>IFERROR(__xludf.DUMMYFUNCTION("""COMPUTED_VALUE"""),"NTV")</f>
        <v>NTV</v>
      </c>
      <c r="E4421" s="2" t="str">
        <f>IFERROR(__xludf.DUMMYFUNCTION("""COMPUTED_VALUE"""),"土21")</f>
        <v>土21</v>
      </c>
      <c r="F4421" s="2" t="s">
        <v>12770</v>
      </c>
      <c r="G4421" s="2" t="s">
        <v>12771</v>
      </c>
      <c r="H4421" s="1">
        <v>8.0</v>
      </c>
      <c r="J4421" s="1" t="s">
        <v>11</v>
      </c>
      <c r="K4421" s="2" t="s">
        <v>12779</v>
      </c>
      <c r="L4421" s="2"/>
      <c r="M4421" s="2" t="str">
        <f>IFERROR(__xludf.DUMMYFUNCTION("split(split(K4421,""【演出"",false),""ほか"",false)"),"長瀬智也　深田恭子　杏　渡辺あつむ(ジャリズム)　藤原一裕(ライセンス)　KIKI　友近　金児憲次　明樂哲典　TERU　土師野隆之介　栗原みいか　宮下祐治　山田明郷　高田純次　伊藤かずえ　柄本明　寺島進　渡哲也捕らえられた京介とドロシーと霧山以外が待つ秘密諜報部に最近テロが計画されているとの情報が入る。一方首相官邸では吉澤総理が幹事長から秘密諜報部の存在が野党に漏れたと聞かされる。牢獄でミスター匠の前に突き出された京介は、匠に自分に協力し、吉澤総理を暗殺するよう再度言われる。従うそぶりを見せない京介にロシ"&amp;"アンルーレットをしようと銃を出す。匠の味方になるよりましだとゲームを受けた京介は・・・狩山俊輔　君塚良一　金澤達也【音楽】ザ・サーフコースターズ　【主題歌】『太陽と砂漠のバラ』TOKIO(ジェイ・ストーム)【プロデューサー】佐藤敦　下山潤　【協力プロデューサー】小泉守　【制作協力】トータルメディアコミュニケーション")</f>
        <v>長瀬智也　深田恭子　杏　渡辺あつむ(ジャリズム)　藤原一裕(ライセンス)　KIKI　友近　金児憲次　明樂哲典　TERU　土師野隆之介　栗原みいか　宮下祐治　山田明郷　高田純次　伊藤かずえ　柄本明　寺島進　渡哲也捕らえられた京介とドロシーと霧山以外が待つ秘密諜報部に最近テロが計画されているとの情報が入る。一方首相官邸では吉澤総理が幹事長から秘密諜報部の存在が野党に漏れたと聞かされる。牢獄でミスター匠の前に突き出された京介は、匠に自分に協力し、吉澤総理を暗殺するよう再度言われる。従うそぶりを見せない京介にロシアンルーレットをしようと銃を出す。匠の味方になるよりましだとゲームを受けた京介は・・・狩山俊輔　君塚良一　金澤達也【音楽】ザ・サーフコースターズ　【主題歌】『太陽と砂漠のバラ』TOKIO(ジェイ・ストーム)【プロデューサー】佐藤敦　下山潤　【協力プロデューサー】小泉守　【制作協力】トータルメディアコミュニケーション</v>
      </c>
      <c r="N4421" s="2"/>
      <c r="O4421" s="2"/>
      <c r="P4421" s="1"/>
      <c r="Q4421" s="1"/>
      <c r="R4421" s="1"/>
      <c r="S4421" s="1"/>
      <c r="T4421" s="1"/>
      <c r="U4421" s="1"/>
      <c r="V4421" s="1"/>
      <c r="W4421" s="1"/>
      <c r="X4421" s="1"/>
      <c r="Y4421" s="1"/>
      <c r="Z4421" s="1"/>
      <c r="AA4421" s="1"/>
      <c r="AB4421" s="1"/>
      <c r="AC4421" s="1"/>
      <c r="AD4421" s="1"/>
      <c r="AE4421" s="1"/>
      <c r="AF4421" s="1"/>
      <c r="AG4421" s="1"/>
      <c r="AH4421" s="1"/>
      <c r="AI4421" s="1"/>
      <c r="AJ4421" s="1"/>
      <c r="AK4421" s="1"/>
      <c r="AL4421" s="1"/>
      <c r="AM4421" s="1"/>
      <c r="AN4421" s="1"/>
      <c r="AO4421" s="1"/>
      <c r="AP4421" s="1"/>
      <c r="AQ4421" s="1"/>
      <c r="AR4421" s="1"/>
      <c r="AS4421" s="1"/>
      <c r="AT4421" s="1"/>
      <c r="AU4421" s="1"/>
      <c r="AV4421" s="1"/>
      <c r="AW4421" s="1"/>
      <c r="AX4421" s="1"/>
      <c r="AY4421" s="1"/>
      <c r="AZ4421" s="1"/>
      <c r="BA4421" s="1"/>
      <c r="BB4421" s="1"/>
    </row>
    <row r="4422" ht="204.75" customHeight="1">
      <c r="A4422" s="1">
        <v>5207.0</v>
      </c>
      <c r="B4422" s="2" t="s">
        <v>12769</v>
      </c>
      <c r="C4422" s="2">
        <f>IFERROR(__xludf.DUMMYFUNCTION("split(B4422,""_"")"),907.0)</f>
        <v>907</v>
      </c>
      <c r="D4422" s="2" t="str">
        <f>IFERROR(__xludf.DUMMYFUNCTION("""COMPUTED_VALUE"""),"NTV")</f>
        <v>NTV</v>
      </c>
      <c r="E4422" s="2" t="str">
        <f>IFERROR(__xludf.DUMMYFUNCTION("""COMPUTED_VALUE"""),"土21")</f>
        <v>土21</v>
      </c>
      <c r="F4422" s="2" t="s">
        <v>12770</v>
      </c>
      <c r="G4422" s="2" t="s">
        <v>12771</v>
      </c>
      <c r="H4422" s="1">
        <v>9.0</v>
      </c>
      <c r="J4422" s="1" t="s">
        <v>11</v>
      </c>
      <c r="K4422" s="2" t="s">
        <v>12780</v>
      </c>
      <c r="L4422" s="2"/>
      <c r="M4422" s="2" t="str">
        <f>IFERROR(__xludf.DUMMYFUNCTION("split(split(K4422,""【演出"",false),""ほか"",false)"),"長瀬智也　深田恭子　杏　渡辺あつむ(ジャリズム)　藤原一裕(ライセンス)　KIKI　友近　金児憲次　明樂哲典　杉崎真宏　峯村リエ　ガンビーノ小林　武重勉　川口節子　高田純次　伊藤かずえ　柄本明　寺島進　渡哲也ミスター匠からの電話をオサムが受けた翌日、霧島と吉澤総理が会談する予定だった場所に爆弾が仕掛けられる事件が起きた。SPと秘密諜報部員しか知らない会談の時間と場所が漏れていたことから、テロリストと繋がっているものが諜報部内にいるのではと互いに探りあうことになってしまう。一方、吉澤総理は秘密諜報部の存在が"&amp;"明るみになった事で、その進退が問題となっていた。そんな時、吉澤総理は執務室である人物に出会い・・石尾純　君塚良一【音楽】ザ・サーフコースターズ　【主題歌】『太陽と砂漠のバラ』TOKIO(ジェイ・ストーム)【プロデューサー】佐藤敦　下山潤　【協力プロデューサー】小泉守　【制作協力】トータルメディアコミュニケーション")</f>
        <v>長瀬智也　深田恭子　杏　渡辺あつむ(ジャリズム)　藤原一裕(ライセンス)　KIKI　友近　金児憲次　明樂哲典　杉崎真宏　峯村リエ　ガンビーノ小林　武重勉　川口節子　高田純次　伊藤かずえ　柄本明　寺島進　渡哲也ミスター匠からの電話をオサムが受けた翌日、霧島と吉澤総理が会談する予定だった場所に爆弾が仕掛けられる事件が起きた。SPと秘密諜報部員しか知らない会談の時間と場所が漏れていたことから、テロリストと繋がっているものが諜報部内にいるのではと互いに探りあうことになってしまう。一方、吉澤総理は秘密諜報部の存在が明るみになった事で、その進退が問題となっていた。そんな時、吉澤総理は執務室である人物に出会い・・石尾純　君塚良一【音楽】ザ・サーフコースターズ　【主題歌】『太陽と砂漠のバラ』TOKIO(ジェイ・ストーム)【プロデューサー】佐藤敦　下山潤　【協力プロデューサー】小泉守　【制作協力】トータルメディアコミュニケーション</v>
      </c>
      <c r="N4422" s="2"/>
      <c r="O4422" s="2"/>
      <c r="P4422" s="1"/>
      <c r="Q4422" s="1"/>
      <c r="R4422" s="1"/>
      <c r="S4422" s="1"/>
      <c r="T4422" s="1"/>
      <c r="U4422" s="1"/>
      <c r="V4422" s="1"/>
      <c r="W4422" s="1"/>
      <c r="X4422" s="1"/>
      <c r="Y4422" s="1"/>
      <c r="Z4422" s="1"/>
      <c r="AA4422" s="1"/>
      <c r="AB4422" s="1"/>
      <c r="AC4422" s="1"/>
      <c r="AD4422" s="1"/>
      <c r="AE4422" s="1"/>
      <c r="AF4422" s="1"/>
      <c r="AG4422" s="1"/>
      <c r="AH4422" s="1"/>
      <c r="AI4422" s="1"/>
      <c r="AJ4422" s="1"/>
      <c r="AK4422" s="1"/>
      <c r="AL4422" s="1"/>
      <c r="AM4422" s="1"/>
      <c r="AN4422" s="1"/>
      <c r="AO4422" s="1"/>
      <c r="AP4422" s="1"/>
      <c r="AQ4422" s="1"/>
      <c r="AR4422" s="1"/>
      <c r="AS4422" s="1"/>
      <c r="AT4422" s="1"/>
      <c r="AU4422" s="1"/>
      <c r="AV4422" s="1"/>
      <c r="AW4422" s="1"/>
      <c r="AX4422" s="1"/>
      <c r="AY4422" s="1"/>
      <c r="AZ4422" s="1"/>
      <c r="BA4422" s="1"/>
      <c r="BB4422" s="1"/>
    </row>
    <row r="4423" ht="204.75" customHeight="1">
      <c r="A4423" s="1">
        <v>5208.0</v>
      </c>
      <c r="B4423" s="2" t="s">
        <v>12769</v>
      </c>
      <c r="C4423" s="2">
        <f>IFERROR(__xludf.DUMMYFUNCTION("split(B4423,""_"")"),907.0)</f>
        <v>907</v>
      </c>
      <c r="D4423" s="2" t="str">
        <f>IFERROR(__xludf.DUMMYFUNCTION("""COMPUTED_VALUE"""),"NTV")</f>
        <v>NTV</v>
      </c>
      <c r="E4423" s="2" t="str">
        <f>IFERROR(__xludf.DUMMYFUNCTION("""COMPUTED_VALUE"""),"土21")</f>
        <v>土21</v>
      </c>
      <c r="F4423" s="2" t="s">
        <v>12770</v>
      </c>
      <c r="G4423" s="2" t="s">
        <v>12771</v>
      </c>
      <c r="H4423" s="1">
        <v>10.0</v>
      </c>
      <c r="J4423" s="1" t="s">
        <v>11</v>
      </c>
      <c r="K4423" s="2" t="s">
        <v>12781</v>
      </c>
      <c r="L4423" s="2"/>
      <c r="M4423" s="2" t="str">
        <f>IFERROR(__xludf.DUMMYFUNCTION("split(split(K4423,""【演出"",false),""ほか"",false)"),"長瀬智也　深田恭子　杏　渡辺あつむ(ジャリズム)　藤原一裕(ライセンス)　KIKI　平手舞　友近　金児憲次　明樂哲典　杉崎真宏　峯村リエ　TERU　高田純次　伊藤かずえ　柄本明　寺島進　渡哲也銃で撃たれた吉澤総理が、危険な状態に陥った。さらに、ミスター匠は世界規模のテロ計画を実行すると宣戦布告する。そのころ、異常な気温上昇が都心の人々を襲う。これはミスター匠による世界規模のテロの前触れで、屈しなければ世界を灼熱の地獄と化すミサイルをG8各国の首都上空に発射するというのだが・・・大谷太郎　君塚良一　金澤達也"&amp;"【音楽】ザ・サーフコースターズ　【主題歌】『太陽と砂漠のバラ』TOKIO(ジェイ・ストーム)【プロデューサー】佐藤敦　下山潤　【協力プロデューサー】小泉守　【制作協力】トータルメディアコミュニケーション")</f>
        <v>長瀬智也　深田恭子　杏　渡辺あつむ(ジャリズム)　藤原一裕(ライセンス)　KIKI　平手舞　友近　金児憲次　明樂哲典　杉崎真宏　峯村リエ　TERU　高田純次　伊藤かずえ　柄本明　寺島進　渡哲也銃で撃たれた吉澤総理が、危険な状態に陥った。さらに、ミスター匠は世界規模のテロ計画を実行すると宣戦布告する。そのころ、異常な気温上昇が都心の人々を襲う。これはミスター匠による世界規模のテロの前触れで、屈しなければ世界を灼熱の地獄と化すミサイルをG8各国の首都上空に発射するというのだが・・・大谷太郎　君塚良一　金澤達也【音楽】ザ・サーフコースターズ　【主題歌】『太陽と砂漠のバラ』TOKIO(ジェイ・ストーム)【プロデューサー】佐藤敦　下山潤　【協力プロデューサー】小泉守　【制作協力】トータルメディアコミュニケーション</v>
      </c>
      <c r="N4423" s="2"/>
      <c r="O4423" s="2"/>
      <c r="P4423" s="1"/>
      <c r="Q4423" s="1"/>
      <c r="R4423" s="1"/>
      <c r="S4423" s="1"/>
      <c r="T4423" s="1"/>
      <c r="U4423" s="1"/>
      <c r="V4423" s="1"/>
      <c r="W4423" s="1"/>
      <c r="X4423" s="1"/>
      <c r="Y4423" s="1"/>
      <c r="Z4423" s="1"/>
      <c r="AA4423" s="1"/>
      <c r="AB4423" s="1"/>
      <c r="AC4423" s="1"/>
      <c r="AD4423" s="1"/>
      <c r="AE4423" s="1"/>
      <c r="AF4423" s="1"/>
      <c r="AG4423" s="1"/>
      <c r="AH4423" s="1"/>
      <c r="AI4423" s="1"/>
      <c r="AJ4423" s="1"/>
      <c r="AK4423" s="1"/>
      <c r="AL4423" s="1"/>
      <c r="AM4423" s="1"/>
      <c r="AN4423" s="1"/>
      <c r="AO4423" s="1"/>
      <c r="AP4423" s="1"/>
      <c r="AQ4423" s="1"/>
      <c r="AR4423" s="1"/>
      <c r="AS4423" s="1"/>
      <c r="AT4423" s="1"/>
      <c r="AU4423" s="1"/>
      <c r="AV4423" s="1"/>
      <c r="AW4423" s="1"/>
      <c r="AX4423" s="1"/>
      <c r="AY4423" s="1"/>
      <c r="AZ4423" s="1"/>
      <c r="BA4423" s="1"/>
      <c r="BB4423" s="1"/>
    </row>
    <row r="4424" ht="204.75" customHeight="1">
      <c r="A4424" s="1">
        <v>5293.0</v>
      </c>
      <c r="B4424" s="2" t="s">
        <v>12782</v>
      </c>
      <c r="C4424" s="2">
        <f>IFERROR(__xludf.DUMMYFUNCTION("split(B4424,""_"")"),904.0)</f>
        <v>904</v>
      </c>
      <c r="D4424" s="2" t="str">
        <f>IFERROR(__xludf.DUMMYFUNCTION("""COMPUTED_VALUE"""),"NTV")</f>
        <v>NTV</v>
      </c>
      <c r="E4424" s="2" t="str">
        <f>IFERROR(__xludf.DUMMYFUNCTION("""COMPUTED_VALUE"""),"水22")</f>
        <v>水22</v>
      </c>
      <c r="F4424" s="2" t="s">
        <v>12783</v>
      </c>
      <c r="G4424" s="2" t="s">
        <v>12784</v>
      </c>
      <c r="H4424" s="1">
        <v>1.0</v>
      </c>
      <c r="J4424" s="1" t="s">
        <v>82</v>
      </c>
      <c r="K4424" s="2" t="s">
        <v>12785</v>
      </c>
      <c r="L4424" s="2"/>
      <c r="M4424" s="2" t="str">
        <f>IFERROR(__xludf.DUMMYFUNCTION("split(split(K4424,""【演出"",false),""ほか"",false)"),"【キャスト】稲森いずみ　板谷由夏　山本太郎　川島海荷　嘉数一星(子役)　佐藤詩音(子役)　田畑智子　佐野史郎　田中美佐子　(他)　野口さつきは小学5年生の息子・智也と夫・和彦のごく普通の3人家族。智也は最近ロクに口もきかないが、反抗期だろうと諦め気味だ。一方の小沢聖子もまた普通の主婦。ある日、聖子が家を空けたすきに帰宅した小学2年生の息子・清貴がいなくなってしまい、遺体となって発見される。自分さえ家にいれば…と、後悔の念にさいなまれる聖子。そんな中、清貴ちゃん殺しの容疑者として保護されたのは智也だった。耳"&amp;"を疑うさつきだが…。")</f>
        <v>【キャスト】稲森いずみ　板谷由夏　山本太郎　川島海荷　嘉数一星(子役)　佐藤詩音(子役)　田畑智子　佐野史郎　田中美佐子　(他)　野口さつきは小学5年生の息子・智也と夫・和彦のごく普通の3人家族。智也は最近ロクに口もきかないが、反抗期だろうと諦め気味だ。一方の小沢聖子もまた普通の主婦。ある日、聖子が家を空けたすきに帰宅した小学2年生の息子・清貴がいなくなってしまい、遺体となって発見される。自分さえ家にいれば…と、後悔の念にさいなまれる聖子。そんな中、清貴ちゃん殺しの容疑者として保護されたのは智也だった。耳を疑うさつきだが…。</v>
      </c>
      <c r="N4424" s="2"/>
      <c r="O4424" s="2"/>
      <c r="P4424" s="1"/>
      <c r="Q4424" s="1"/>
      <c r="R4424" s="1"/>
      <c r="S4424" s="1"/>
      <c r="T4424" s="1"/>
      <c r="U4424" s="1"/>
      <c r="V4424" s="1"/>
      <c r="W4424" s="1"/>
      <c r="X4424" s="1"/>
      <c r="Y4424" s="1"/>
      <c r="Z4424" s="1"/>
      <c r="AA4424" s="1"/>
      <c r="AB4424" s="1"/>
      <c r="AC4424" s="1"/>
      <c r="AD4424" s="1"/>
      <c r="AE4424" s="1"/>
      <c r="AF4424" s="1"/>
      <c r="AG4424" s="1"/>
      <c r="AH4424" s="1"/>
      <c r="AI4424" s="1"/>
      <c r="AJ4424" s="1"/>
      <c r="AK4424" s="1"/>
      <c r="AL4424" s="1"/>
      <c r="AM4424" s="1"/>
      <c r="AN4424" s="1"/>
      <c r="AO4424" s="1"/>
      <c r="AP4424" s="1"/>
      <c r="AQ4424" s="1"/>
      <c r="AR4424" s="1"/>
      <c r="AS4424" s="1"/>
      <c r="AT4424" s="1"/>
      <c r="AU4424" s="1"/>
      <c r="AV4424" s="1"/>
      <c r="AW4424" s="1"/>
      <c r="AX4424" s="1"/>
      <c r="AY4424" s="1"/>
      <c r="AZ4424" s="1"/>
      <c r="BA4424" s="1"/>
      <c r="BB4424" s="1"/>
    </row>
    <row r="4425" ht="204.75" customHeight="1">
      <c r="A4425" s="1">
        <v>5294.0</v>
      </c>
      <c r="B4425" s="2" t="s">
        <v>12782</v>
      </c>
      <c r="C4425" s="2">
        <f>IFERROR(__xludf.DUMMYFUNCTION("split(B4425,""_"")"),904.0)</f>
        <v>904</v>
      </c>
      <c r="D4425" s="2" t="str">
        <f>IFERROR(__xludf.DUMMYFUNCTION("""COMPUTED_VALUE"""),"NTV")</f>
        <v>NTV</v>
      </c>
      <c r="E4425" s="2" t="str">
        <f>IFERROR(__xludf.DUMMYFUNCTION("""COMPUTED_VALUE"""),"水22")</f>
        <v>水22</v>
      </c>
      <c r="F4425" s="2" t="s">
        <v>12783</v>
      </c>
      <c r="G4425" s="2" t="s">
        <v>12786</v>
      </c>
      <c r="H4425" s="1">
        <v>2.0</v>
      </c>
      <c r="J4425" s="1" t="s">
        <v>86</v>
      </c>
      <c r="K4425" s="2" t="s">
        <v>12787</v>
      </c>
      <c r="L4425" s="2"/>
      <c r="M4425" s="2" t="str">
        <f>IFERROR(__xludf.DUMMYFUNCTION("split(split(K4425,""【演出"",false),""ほか"",false)"),"稲森いずみ　板谷由夏　山本太郎  川島海荷　嘉数一星(子役)　佐藤詩音(子役)  田畑智子　佐野史郎　田中美佐子　(他)　さつきは淡々と殺人を認める智也に「なぜうちの子がこんな事を…」と悩み苦しむ。  そして聖子もまた「私が家を空けなければキヨタンは居なくならなかった」という母親と  しての責任と後悔の念に苦しみ、見えないキヨタンに謝り、話しかけ続けていた。  そんな中、清貴の告別式が行なわれる事を知ったさつきは告別式へ向かうが、最愛の息子を奪われた小沢家の悲しみに触れ、いたたまれなさにその場を立ち去って"&amp;"しまう。")</f>
        <v>稲森いずみ　板谷由夏　山本太郎  川島海荷　嘉数一星(子役)　佐藤詩音(子役)  田畑智子　佐野史郎　田中美佐子　(他)　さつきは淡々と殺人を認める智也に「なぜうちの子がこんな事を…」と悩み苦しむ。  そして聖子もまた「私が家を空けなければキヨタンは居なくならなかった」という母親と  しての責任と後悔の念に苦しみ、見えないキヨタンに謝り、話しかけ続けていた。  そんな中、清貴の告別式が行なわれる事を知ったさつきは告別式へ向かうが、最愛の息子を奪われた小沢家の悲しみに触れ、いたたまれなさにその場を立ち去ってしまう。</v>
      </c>
      <c r="N4425" s="2"/>
      <c r="O4425" s="2"/>
      <c r="P4425" s="1"/>
      <c r="Q4425" s="1"/>
      <c r="R4425" s="1"/>
      <c r="S4425" s="1"/>
      <c r="T4425" s="1"/>
      <c r="U4425" s="1"/>
      <c r="V4425" s="1"/>
      <c r="W4425" s="1"/>
      <c r="X4425" s="1"/>
      <c r="Y4425" s="1"/>
      <c r="Z4425" s="1"/>
      <c r="AA4425" s="1"/>
      <c r="AB4425" s="1"/>
      <c r="AC4425" s="1"/>
      <c r="AD4425" s="1"/>
      <c r="AE4425" s="1"/>
      <c r="AF4425" s="1"/>
      <c r="AG4425" s="1"/>
      <c r="AH4425" s="1"/>
      <c r="AI4425" s="1"/>
      <c r="AJ4425" s="1"/>
      <c r="AK4425" s="1"/>
      <c r="AL4425" s="1"/>
      <c r="AM4425" s="1"/>
      <c r="AN4425" s="1"/>
      <c r="AO4425" s="1"/>
      <c r="AP4425" s="1"/>
      <c r="AQ4425" s="1"/>
      <c r="AR4425" s="1"/>
      <c r="AS4425" s="1"/>
      <c r="AT4425" s="1"/>
      <c r="AU4425" s="1"/>
      <c r="AV4425" s="1"/>
      <c r="AW4425" s="1"/>
      <c r="AX4425" s="1"/>
      <c r="AY4425" s="1"/>
      <c r="AZ4425" s="1"/>
      <c r="BA4425" s="1"/>
      <c r="BB4425" s="1"/>
    </row>
    <row r="4426" ht="204.75" customHeight="1">
      <c r="A4426" s="1">
        <v>5295.0</v>
      </c>
      <c r="B4426" s="2" t="s">
        <v>12782</v>
      </c>
      <c r="C4426" s="2">
        <f>IFERROR(__xludf.DUMMYFUNCTION("split(B4426,""_"")"),904.0)</f>
        <v>904</v>
      </c>
      <c r="D4426" s="2" t="str">
        <f>IFERROR(__xludf.DUMMYFUNCTION("""COMPUTED_VALUE"""),"NTV")</f>
        <v>NTV</v>
      </c>
      <c r="E4426" s="2" t="str">
        <f>IFERROR(__xludf.DUMMYFUNCTION("""COMPUTED_VALUE"""),"水22")</f>
        <v>水22</v>
      </c>
      <c r="F4426" s="2" t="s">
        <v>12783</v>
      </c>
      <c r="G4426" s="2" t="s">
        <v>12786</v>
      </c>
      <c r="H4426" s="1">
        <v>3.0</v>
      </c>
      <c r="J4426" s="1" t="s">
        <v>86</v>
      </c>
      <c r="K4426" s="2" t="s">
        <v>12788</v>
      </c>
      <c r="L4426" s="2"/>
      <c r="M4426" s="2" t="str">
        <f>IFERROR(__xludf.DUMMYFUNCTION("split(split(K4426,""【演出"",false),""ほか"",false)"),"稲森いずみ　板谷由夏　山本太郎  川島海荷　嘉数一星(子役)　佐藤詩音(子役)  田畑智子　佐野史郎　田中美佐子　(他)　さつきは智也と面会に行くが、何も話せないまま智也はその場を立ち去ってしまう。いっぽう小沢家では、自分を責め続ける聖子を娘の美帆子と夫の秀明が必死に支えながら少しずつ事件前の生活を取り戻そうとしていた。ある日、さつきは智也の同級生から自分の知らない智也の話を聞き、気付かなかった息子の想いを知る。同じ頃、調査官の富田に次第に心を開き始めた智也は、富田に事件の日のことを語り始めていた…。")</f>
        <v>稲森いずみ　板谷由夏　山本太郎  川島海荷　嘉数一星(子役)　佐藤詩音(子役)  田畑智子　佐野史郎　田中美佐子　(他)　さつきは智也と面会に行くが、何も話せないまま智也はその場を立ち去ってしまう。いっぽう小沢家では、自分を責め続ける聖子を娘の美帆子と夫の秀明が必死に支えながら少しずつ事件前の生活を取り戻そうとしていた。ある日、さつきは智也の同級生から自分の知らない智也の話を聞き、気付かなかった息子の想いを知る。同じ頃、調査官の富田に次第に心を開き始めた智也は、富田に事件の日のことを語り始めていた…。</v>
      </c>
      <c r="N4426" s="2"/>
      <c r="O4426" s="2"/>
      <c r="P4426" s="1"/>
      <c r="Q4426" s="1"/>
      <c r="R4426" s="1"/>
      <c r="S4426" s="1"/>
      <c r="T4426" s="1"/>
      <c r="U4426" s="1"/>
      <c r="V4426" s="1"/>
      <c r="W4426" s="1"/>
      <c r="X4426" s="1"/>
      <c r="Y4426" s="1"/>
      <c r="Z4426" s="1"/>
      <c r="AA4426" s="1"/>
      <c r="AB4426" s="1"/>
      <c r="AC4426" s="1"/>
      <c r="AD4426" s="1"/>
      <c r="AE4426" s="1"/>
      <c r="AF4426" s="1"/>
      <c r="AG4426" s="1"/>
      <c r="AH4426" s="1"/>
      <c r="AI4426" s="1"/>
      <c r="AJ4426" s="1"/>
      <c r="AK4426" s="1"/>
      <c r="AL4426" s="1"/>
      <c r="AM4426" s="1"/>
      <c r="AN4426" s="1"/>
      <c r="AO4426" s="1"/>
      <c r="AP4426" s="1"/>
      <c r="AQ4426" s="1"/>
      <c r="AR4426" s="1"/>
      <c r="AS4426" s="1"/>
      <c r="AT4426" s="1"/>
      <c r="AU4426" s="1"/>
      <c r="AV4426" s="1"/>
      <c r="AW4426" s="1"/>
      <c r="AX4426" s="1"/>
      <c r="AY4426" s="1"/>
      <c r="AZ4426" s="1"/>
      <c r="BA4426" s="1"/>
      <c r="BB4426" s="1"/>
    </row>
    <row r="4427" ht="204.75" customHeight="1">
      <c r="A4427" s="1">
        <v>5296.0</v>
      </c>
      <c r="B4427" s="2" t="s">
        <v>12782</v>
      </c>
      <c r="C4427" s="2">
        <f>IFERROR(__xludf.DUMMYFUNCTION("split(B4427,""_"")"),904.0)</f>
        <v>904</v>
      </c>
      <c r="D4427" s="2" t="str">
        <f>IFERROR(__xludf.DUMMYFUNCTION("""COMPUTED_VALUE"""),"NTV")</f>
        <v>NTV</v>
      </c>
      <c r="E4427" s="2" t="str">
        <f>IFERROR(__xludf.DUMMYFUNCTION("""COMPUTED_VALUE"""),"水22")</f>
        <v>水22</v>
      </c>
      <c r="F4427" s="2" t="s">
        <v>12783</v>
      </c>
      <c r="G4427" s="2" t="s">
        <v>12786</v>
      </c>
      <c r="H4427" s="1">
        <v>4.0</v>
      </c>
      <c r="J4427" s="1" t="s">
        <v>86</v>
      </c>
      <c r="K4427" s="2" t="s">
        <v>12789</v>
      </c>
      <c r="L4427" s="2"/>
      <c r="M4427" s="2" t="str">
        <f>IFERROR(__xludf.DUMMYFUNCTION("split(split(K4427,""【演出"",false),""ほか"",false)"),"稲森いずみ　板谷由夏　山本太郎  川島海荷　嘉数一星(子役)　佐藤詩音(子役)  田畑智子　佐野史郎　田中美佐子　(他)　智也は事件の日、清貴に「お兄ちゃんの家、ヘン」といわれてムカついたと話すが、調査官の富田は智也が何か重要なことを隠していると感じていた。  清貴の姉の美帆子は清貴の事で頭がいっぱいの両親に不満を持ち、自分はこの家に必要ないのでは…と傷ついていた。  そんな中、小沢家にさつきから手紙が届く。「なぜ自分の子どもが人の命を奪ったかわからない」という内容に父の秀昭は激昂するが…。")</f>
        <v>稲森いずみ　板谷由夏　山本太郎  川島海荷　嘉数一星(子役)　佐藤詩音(子役)  田畑智子　佐野史郎　田中美佐子　(他)　智也は事件の日、清貴に「お兄ちゃんの家、ヘン」といわれてムカついたと話すが、調査官の富田は智也が何か重要なことを隠していると感じていた。  清貴の姉の美帆子は清貴の事で頭がいっぱいの両親に不満を持ち、自分はこの家に必要ないのでは…と傷ついていた。  そんな中、小沢家にさつきから手紙が届く。「なぜ自分の子どもが人の命を奪ったかわからない」という内容に父の秀昭は激昂するが…。</v>
      </c>
      <c r="N4427" s="2"/>
      <c r="O4427" s="2"/>
      <c r="P4427" s="1"/>
      <c r="Q4427" s="1"/>
      <c r="R4427" s="1"/>
      <c r="S4427" s="1"/>
      <c r="T4427" s="1"/>
      <c r="U4427" s="1"/>
      <c r="V4427" s="1"/>
      <c r="W4427" s="1"/>
      <c r="X4427" s="1"/>
      <c r="Y4427" s="1"/>
      <c r="Z4427" s="1"/>
      <c r="AA4427" s="1"/>
      <c r="AB4427" s="1"/>
      <c r="AC4427" s="1"/>
      <c r="AD4427" s="1"/>
      <c r="AE4427" s="1"/>
      <c r="AF4427" s="1"/>
      <c r="AG4427" s="1"/>
      <c r="AH4427" s="1"/>
      <c r="AI4427" s="1"/>
      <c r="AJ4427" s="1"/>
      <c r="AK4427" s="1"/>
      <c r="AL4427" s="1"/>
      <c r="AM4427" s="1"/>
      <c r="AN4427" s="1"/>
      <c r="AO4427" s="1"/>
      <c r="AP4427" s="1"/>
      <c r="AQ4427" s="1"/>
      <c r="AR4427" s="1"/>
      <c r="AS4427" s="1"/>
      <c r="AT4427" s="1"/>
      <c r="AU4427" s="1"/>
      <c r="AV4427" s="1"/>
      <c r="AW4427" s="1"/>
      <c r="AX4427" s="1"/>
      <c r="AY4427" s="1"/>
      <c r="AZ4427" s="1"/>
      <c r="BA4427" s="1"/>
      <c r="BB4427" s="1"/>
    </row>
    <row r="4428" ht="204.75" customHeight="1">
      <c r="A4428" s="1">
        <v>5297.0</v>
      </c>
      <c r="B4428" s="2" t="s">
        <v>12782</v>
      </c>
      <c r="C4428" s="2">
        <f>IFERROR(__xludf.DUMMYFUNCTION("split(B4428,""_"")"),904.0)</f>
        <v>904</v>
      </c>
      <c r="D4428" s="2" t="str">
        <f>IFERROR(__xludf.DUMMYFUNCTION("""COMPUTED_VALUE"""),"NTV")</f>
        <v>NTV</v>
      </c>
      <c r="E4428" s="2" t="str">
        <f>IFERROR(__xludf.DUMMYFUNCTION("""COMPUTED_VALUE"""),"水22")</f>
        <v>水22</v>
      </c>
      <c r="F4428" s="2" t="s">
        <v>12783</v>
      </c>
      <c r="G4428" s="2" t="s">
        <v>12786</v>
      </c>
      <c r="H4428" s="1">
        <v>5.0</v>
      </c>
      <c r="J4428" s="1" t="s">
        <v>86</v>
      </c>
      <c r="K4428" s="2" t="s">
        <v>12790</v>
      </c>
      <c r="L4428" s="2"/>
      <c r="M4428" s="2" t="str">
        <f>IFERROR(__xludf.DUMMYFUNCTION("split(split(K4428,""【演出"",false),""ほか"",false)"),"稲森いずみ　板谷由夏　山本太郎  川島海荷　嘉数一星(子役)　佐藤詩音(子役)  田畑智子　佐野史郎　田中美佐子　(他)　事件現場に花を供えるさつきの姿を見てしまった美帆子は、毎日のようにそこを訪れるさつきが許せず、事件現場を元に戻して欲しいと秀昭に話す。  一方さつきは、ある晴れた日に智也がびしょぬ濡れで帰って来た事を思い出す。その時から智也は様子が変わり「ただいま」も言わなくなっていた。  そしてその頃に智也が奇妙な行動をとっていた事を知った富田は、半年前に起こったある事件と智也に意外な結びつきがある"&amp;"事に気づく…。")</f>
        <v>稲森いずみ　板谷由夏　山本太郎  川島海荷　嘉数一星(子役)　佐藤詩音(子役)  田畑智子　佐野史郎　田中美佐子　(他)　事件現場に花を供えるさつきの姿を見てしまった美帆子は、毎日のようにそこを訪れるさつきが許せず、事件現場を元に戻して欲しいと秀昭に話す。  一方さつきは、ある晴れた日に智也がびしょぬ濡れで帰って来た事を思い出す。その時から智也は様子が変わり「ただいま」も言わなくなっていた。  そしてその頃に智也が奇妙な行動をとっていた事を知った富田は、半年前に起こったある事件と智也に意外な結びつきがある事に気づく…。</v>
      </c>
      <c r="N4428" s="2"/>
      <c r="O4428" s="2"/>
      <c r="P4428" s="1"/>
      <c r="Q4428" s="1"/>
      <c r="R4428" s="1"/>
      <c r="S4428" s="1"/>
      <c r="T4428" s="1"/>
      <c r="U4428" s="1"/>
      <c r="V4428" s="1"/>
      <c r="W4428" s="1"/>
      <c r="X4428" s="1"/>
      <c r="Y4428" s="1"/>
      <c r="Z4428" s="1"/>
      <c r="AA4428" s="1"/>
      <c r="AB4428" s="1"/>
      <c r="AC4428" s="1"/>
      <c r="AD4428" s="1"/>
      <c r="AE4428" s="1"/>
      <c r="AF4428" s="1"/>
      <c r="AG4428" s="1"/>
      <c r="AH4428" s="1"/>
      <c r="AI4428" s="1"/>
      <c r="AJ4428" s="1"/>
      <c r="AK4428" s="1"/>
      <c r="AL4428" s="1"/>
      <c r="AM4428" s="1"/>
      <c r="AN4428" s="1"/>
      <c r="AO4428" s="1"/>
      <c r="AP4428" s="1"/>
      <c r="AQ4428" s="1"/>
      <c r="AR4428" s="1"/>
      <c r="AS4428" s="1"/>
      <c r="AT4428" s="1"/>
      <c r="AU4428" s="1"/>
      <c r="AV4428" s="1"/>
      <c r="AW4428" s="1"/>
      <c r="AX4428" s="1"/>
      <c r="AY4428" s="1"/>
      <c r="AZ4428" s="1"/>
      <c r="BA4428" s="1"/>
      <c r="BB4428" s="1"/>
    </row>
    <row r="4429" ht="204.75" customHeight="1">
      <c r="A4429" s="1">
        <v>5298.0</v>
      </c>
      <c r="B4429" s="2" t="s">
        <v>12782</v>
      </c>
      <c r="C4429" s="2">
        <f>IFERROR(__xludf.DUMMYFUNCTION("split(B4429,""_"")"),904.0)</f>
        <v>904</v>
      </c>
      <c r="D4429" s="2" t="str">
        <f>IFERROR(__xludf.DUMMYFUNCTION("""COMPUTED_VALUE"""),"NTV")</f>
        <v>NTV</v>
      </c>
      <c r="E4429" s="2" t="str">
        <f>IFERROR(__xludf.DUMMYFUNCTION("""COMPUTED_VALUE"""),"水22")</f>
        <v>水22</v>
      </c>
      <c r="F4429" s="2" t="s">
        <v>12783</v>
      </c>
      <c r="G4429" s="2" t="s">
        <v>12786</v>
      </c>
      <c r="H4429" s="1">
        <v>6.0</v>
      </c>
      <c r="J4429" s="1" t="s">
        <v>86</v>
      </c>
      <c r="K4429" s="2" t="s">
        <v>12791</v>
      </c>
      <c r="L4429" s="2"/>
      <c r="M4429" s="2" t="str">
        <f>IFERROR(__xludf.DUMMYFUNCTION("split(split(K4429,""【演出"",false),""ほか"",false)"),"稲森いずみ　板谷由夏　山本太郎　  川島海荷　嘉数一星(子役)　佐藤詩音(子役)　  田畑智子　佐野史郎　田中美佐子　(他)　さつきに「死んで償え」と言ってしまった美帆子は、やりきれない思いと後悔の念で押し潰されそうになっていた。  一方、事件の真相を話し始めた智也だったが、急に富田との面談を拒絶し始める。  その頃、智也の事件が原因で婚約が破談になってしまった彩乃はショックと悔しさのあまりさつきのことを責め立ててしまう。さらに和彦が暴れて騒ぎを起こしたと警察からの連絡を受けたさつきは、憔悴しきって雨の中"&amp;"を一人さまよい…。")</f>
        <v>稲森いずみ　板谷由夏　山本太郎　  川島海荷　嘉数一星(子役)　佐藤詩音(子役)　  田畑智子　佐野史郎　田中美佐子　(他)　さつきに「死んで償え」と言ってしまった美帆子は、やりきれない思いと後悔の念で押し潰されそうになっていた。  一方、事件の真相を話し始めた智也だったが、急に富田との面談を拒絶し始める。  その頃、智也の事件が原因で婚約が破談になってしまった彩乃はショックと悔しさのあまりさつきのことを責め立ててしまう。さらに和彦が暴れて騒ぎを起こしたと警察からの連絡を受けたさつきは、憔悴しきって雨の中を一人さまよい…。</v>
      </c>
      <c r="N4429" s="2"/>
      <c r="O4429" s="2"/>
      <c r="P4429" s="1"/>
      <c r="Q4429" s="1"/>
      <c r="R4429" s="1"/>
      <c r="S4429" s="1"/>
      <c r="T4429" s="1"/>
      <c r="U4429" s="1"/>
      <c r="V4429" s="1"/>
      <c r="W4429" s="1"/>
      <c r="X4429" s="1"/>
      <c r="Y4429" s="1"/>
      <c r="Z4429" s="1"/>
      <c r="AA4429" s="1"/>
      <c r="AB4429" s="1"/>
      <c r="AC4429" s="1"/>
      <c r="AD4429" s="1"/>
      <c r="AE4429" s="1"/>
      <c r="AF4429" s="1"/>
      <c r="AG4429" s="1"/>
      <c r="AH4429" s="1"/>
      <c r="AI4429" s="1"/>
      <c r="AJ4429" s="1"/>
      <c r="AK4429" s="1"/>
      <c r="AL4429" s="1"/>
      <c r="AM4429" s="1"/>
      <c r="AN4429" s="1"/>
      <c r="AO4429" s="1"/>
      <c r="AP4429" s="1"/>
      <c r="AQ4429" s="1"/>
      <c r="AR4429" s="1"/>
      <c r="AS4429" s="1"/>
      <c r="AT4429" s="1"/>
      <c r="AU4429" s="1"/>
      <c r="AV4429" s="1"/>
      <c r="AW4429" s="1"/>
      <c r="AX4429" s="1"/>
      <c r="AY4429" s="1"/>
      <c r="AZ4429" s="1"/>
      <c r="BA4429" s="1"/>
      <c r="BB4429" s="1"/>
    </row>
    <row r="4430" ht="204.75" customHeight="1">
      <c r="A4430" s="1">
        <v>5299.0</v>
      </c>
      <c r="B4430" s="2" t="s">
        <v>12782</v>
      </c>
      <c r="C4430" s="2">
        <f>IFERROR(__xludf.DUMMYFUNCTION("split(B4430,""_"")"),904.0)</f>
        <v>904</v>
      </c>
      <c r="D4430" s="2" t="str">
        <f>IFERROR(__xludf.DUMMYFUNCTION("""COMPUTED_VALUE"""),"NTV")</f>
        <v>NTV</v>
      </c>
      <c r="E4430" s="2" t="str">
        <f>IFERROR(__xludf.DUMMYFUNCTION("""COMPUTED_VALUE"""),"水22")</f>
        <v>水22</v>
      </c>
      <c r="F4430" s="2" t="s">
        <v>12783</v>
      </c>
      <c r="G4430" s="2" t="s">
        <v>12786</v>
      </c>
      <c r="H4430" s="1">
        <v>7.0</v>
      </c>
      <c r="J4430" s="1" t="s">
        <v>86</v>
      </c>
      <c r="K4430" s="2" t="s">
        <v>12792</v>
      </c>
      <c r="L4430" s="2"/>
      <c r="M4430" s="2" t="str">
        <f>IFERROR(__xludf.DUMMYFUNCTION("split(split(K4430,""【演出"",false),""ほか"",false)"),"稲森いずみ　板谷由夏　山本太郎　  川島海荷　嘉数一星(子役)　佐藤詩音(子役)　  田畑智子　佐野史郎　田中美佐子　(他)　さつきは、遺族の苦しみを思い続けることだけが唯一の償いであるという想いを込めた小  沢家への二度目の手紙を富田に託す。  一方、聖子は犯人の母親の気持ちを知りたいという想いを持ちつつも、事件を思い出す辛さから「手紙はこれで最後にしてほしい」と富田に伝える。その事を知った秀昭は「手紙を受け取る事は、犯人を許す事になる」と手紙を取り上げ、翌朝、犯人の親に直接手紙を返してくると言って家を"&amp;"出て行くのだが…。")</f>
        <v>稲森いずみ　板谷由夏　山本太郎　  川島海荷　嘉数一星(子役)　佐藤詩音(子役)　  田畑智子　佐野史郎　田中美佐子　(他)　さつきは、遺族の苦しみを思い続けることだけが唯一の償いであるという想いを込めた小  沢家への二度目の手紙を富田に託す。  一方、聖子は犯人の母親の気持ちを知りたいという想いを持ちつつも、事件を思い出す辛さから「手紙はこれで最後にしてほしい」と富田に伝える。その事を知った秀昭は「手紙を受け取る事は、犯人を許す事になる」と手紙を取り上げ、翌朝、犯人の親に直接手紙を返してくると言って家を出て行くのだが…。</v>
      </c>
      <c r="N4430" s="2"/>
      <c r="O4430" s="2"/>
      <c r="P4430" s="1"/>
      <c r="Q4430" s="1"/>
      <c r="R4430" s="1"/>
      <c r="S4430" s="1"/>
      <c r="T4430" s="1"/>
      <c r="U4430" s="1"/>
      <c r="V4430" s="1"/>
      <c r="W4430" s="1"/>
      <c r="X4430" s="1"/>
      <c r="Y4430" s="1"/>
      <c r="Z4430" s="1"/>
      <c r="AA4430" s="1"/>
      <c r="AB4430" s="1"/>
      <c r="AC4430" s="1"/>
      <c r="AD4430" s="1"/>
      <c r="AE4430" s="1"/>
      <c r="AF4430" s="1"/>
      <c r="AG4430" s="1"/>
      <c r="AH4430" s="1"/>
      <c r="AI4430" s="1"/>
      <c r="AJ4430" s="1"/>
      <c r="AK4430" s="1"/>
      <c r="AL4430" s="1"/>
      <c r="AM4430" s="1"/>
      <c r="AN4430" s="1"/>
      <c r="AO4430" s="1"/>
      <c r="AP4430" s="1"/>
      <c r="AQ4430" s="1"/>
      <c r="AR4430" s="1"/>
      <c r="AS4430" s="1"/>
      <c r="AT4430" s="1"/>
      <c r="AU4430" s="1"/>
      <c r="AV4430" s="1"/>
      <c r="AW4430" s="1"/>
      <c r="AX4430" s="1"/>
      <c r="AY4430" s="1"/>
      <c r="AZ4430" s="1"/>
      <c r="BA4430" s="1"/>
      <c r="BB4430" s="1"/>
    </row>
    <row r="4431" ht="204.75" customHeight="1">
      <c r="A4431" s="1">
        <v>5300.0</v>
      </c>
      <c r="B4431" s="2" t="s">
        <v>12782</v>
      </c>
      <c r="C4431" s="2">
        <f>IFERROR(__xludf.DUMMYFUNCTION("split(B4431,""_"")"),904.0)</f>
        <v>904</v>
      </c>
      <c r="D4431" s="2" t="str">
        <f>IFERROR(__xludf.DUMMYFUNCTION("""COMPUTED_VALUE"""),"NTV")</f>
        <v>NTV</v>
      </c>
      <c r="E4431" s="2" t="str">
        <f>IFERROR(__xludf.DUMMYFUNCTION("""COMPUTED_VALUE"""),"水22")</f>
        <v>水22</v>
      </c>
      <c r="F4431" s="2" t="s">
        <v>12783</v>
      </c>
      <c r="G4431" s="2" t="s">
        <v>12786</v>
      </c>
      <c r="H4431" s="1">
        <v>8.0</v>
      </c>
      <c r="J4431" s="1" t="s">
        <v>86</v>
      </c>
      <c r="K4431" s="2" t="s">
        <v>12793</v>
      </c>
      <c r="L4431" s="2"/>
      <c r="M4431" s="2" t="str">
        <f>IFERROR(__xludf.DUMMYFUNCTION("split(split(K4431,""【演出"",false),""ほか"",false)"),"稲森いずみ　板谷由夏　山本太郎　  川島海荷　嘉数一星(子役)　佐藤詩音(子役)　  田畑智子　佐野史郎　田中美佐子　(他)　智也が犯した罪をともに背負い生きる為、懸命に智也と向き合おうとするさつきの思いは少しずつ智也にも届き、智也はついに富田に事件当日の全てを話し始める。しかし肝心のところで体が震えて話せなくなってしまった智也は、その後の事は日誌に書きたいと富田に話し、富田も智也を信じてそれを認める。  その頃、さつきから2度目の手紙を受け取った小沢家ではそれぞれが複雑な想いを抱え、バラバラになりかけて"&amp;"いた。")</f>
        <v>稲森いずみ　板谷由夏　山本太郎　  川島海荷　嘉数一星(子役)　佐藤詩音(子役)　  田畑智子　佐野史郎　田中美佐子　(他)　智也が犯した罪をともに背負い生きる為、懸命に智也と向き合おうとするさつきの思いは少しずつ智也にも届き、智也はついに富田に事件当日の全てを話し始める。しかし肝心のところで体が震えて話せなくなってしまった智也は、その後の事は日誌に書きたいと富田に話し、富田も智也を信じてそれを認める。  その頃、さつきから2度目の手紙を受け取った小沢家ではそれぞれが複雑な想いを抱え、バラバラになりかけていた。</v>
      </c>
      <c r="N4431" s="2"/>
      <c r="O4431" s="2"/>
      <c r="P4431" s="1"/>
      <c r="Q4431" s="1"/>
      <c r="R4431" s="1"/>
      <c r="S4431" s="1"/>
      <c r="T4431" s="1"/>
      <c r="U4431" s="1"/>
      <c r="V4431" s="1"/>
      <c r="W4431" s="1"/>
      <c r="X4431" s="1"/>
      <c r="Y4431" s="1"/>
      <c r="Z4431" s="1"/>
      <c r="AA4431" s="1"/>
      <c r="AB4431" s="1"/>
      <c r="AC4431" s="1"/>
      <c r="AD4431" s="1"/>
      <c r="AE4431" s="1"/>
      <c r="AF4431" s="1"/>
      <c r="AG4431" s="1"/>
      <c r="AH4431" s="1"/>
      <c r="AI4431" s="1"/>
      <c r="AJ4431" s="1"/>
      <c r="AK4431" s="1"/>
      <c r="AL4431" s="1"/>
      <c r="AM4431" s="1"/>
      <c r="AN4431" s="1"/>
      <c r="AO4431" s="1"/>
      <c r="AP4431" s="1"/>
      <c r="AQ4431" s="1"/>
      <c r="AR4431" s="1"/>
      <c r="AS4431" s="1"/>
      <c r="AT4431" s="1"/>
      <c r="AU4431" s="1"/>
      <c r="AV4431" s="1"/>
      <c r="AW4431" s="1"/>
      <c r="AX4431" s="1"/>
      <c r="AY4431" s="1"/>
      <c r="AZ4431" s="1"/>
      <c r="BA4431" s="1"/>
      <c r="BB4431" s="1"/>
    </row>
    <row r="4432" ht="204.75" customHeight="1">
      <c r="A4432" s="1">
        <v>5301.0</v>
      </c>
      <c r="B4432" s="2" t="s">
        <v>12782</v>
      </c>
      <c r="C4432" s="2">
        <f>IFERROR(__xludf.DUMMYFUNCTION("split(B4432,""_"")"),904.0)</f>
        <v>904</v>
      </c>
      <c r="D4432" s="2" t="str">
        <f>IFERROR(__xludf.DUMMYFUNCTION("""COMPUTED_VALUE"""),"NTV")</f>
        <v>NTV</v>
      </c>
      <c r="E4432" s="2" t="str">
        <f>IFERROR(__xludf.DUMMYFUNCTION("""COMPUTED_VALUE"""),"水22")</f>
        <v>水22</v>
      </c>
      <c r="F4432" s="2" t="s">
        <v>12783</v>
      </c>
      <c r="G4432" s="2" t="s">
        <v>12786</v>
      </c>
      <c r="H4432" s="1">
        <v>9.0</v>
      </c>
      <c r="J4432" s="1" t="s">
        <v>86</v>
      </c>
      <c r="K4432" s="2" t="s">
        <v>12794</v>
      </c>
      <c r="L4432" s="2"/>
      <c r="M4432" s="2" t="str">
        <f>IFERROR(__xludf.DUMMYFUNCTION("split(split(K4432,""【演出"",false),""ほか"",false)"),"稲森いずみ　板谷由夏　山本太郎　  川島海荷　嘉数一星(子役)　佐藤詩音(子役)　  田畑智子　佐野史郎　田中美佐子　(他)　審判で読み上げられた聖子から智也への手紙に胸を打たれたさつきは、親として一生をか  けて智也を更正させる決意をし、智也は自立支援センターへ送られることが決まる。  一方小沢家では、聖子が加害者少年に手紙を書いたことを秀昭と美帆子に打ちあけ、秀昭はその行動に憤りを感じていた。そんな秀昭と会った富田は、聖子は聖子なりにこの悲しい事件を乗り越えようとこの手紙を書いたのではないか…と秀昭に"&amp;"話すのだった。    ")</f>
        <v>稲森いずみ　板谷由夏　山本太郎　  川島海荷　嘉数一星(子役)　佐藤詩音(子役)　  田畑智子　佐野史郎　田中美佐子　(他)　審判で読み上げられた聖子から智也への手紙に胸を打たれたさつきは、親として一生をか  けて智也を更正させる決意をし、智也は自立支援センターへ送られることが決まる。  一方小沢家では、聖子が加害者少年に手紙を書いたことを秀昭と美帆子に打ちあけ、秀昭はその行動に憤りを感じていた。そんな秀昭と会った富田は、聖子は聖子なりにこの悲しい事件を乗り越えようとこの手紙を書いたのではないか…と秀昭に話すのだった。    </v>
      </c>
      <c r="N4432" s="2"/>
      <c r="O4432" s="2"/>
      <c r="P4432" s="1"/>
      <c r="Q4432" s="1"/>
      <c r="R4432" s="1"/>
      <c r="S4432" s="1"/>
      <c r="T4432" s="1"/>
      <c r="U4432" s="1"/>
      <c r="V4432" s="1"/>
      <c r="W4432" s="1"/>
      <c r="X4432" s="1"/>
      <c r="Y4432" s="1"/>
      <c r="Z4432" s="1"/>
      <c r="AA4432" s="1"/>
      <c r="AB4432" s="1"/>
      <c r="AC4432" s="1"/>
      <c r="AD4432" s="1"/>
      <c r="AE4432" s="1"/>
      <c r="AF4432" s="1"/>
      <c r="AG4432" s="1"/>
      <c r="AH4432" s="1"/>
      <c r="AI4432" s="1"/>
      <c r="AJ4432" s="1"/>
      <c r="AK4432" s="1"/>
      <c r="AL4432" s="1"/>
      <c r="AM4432" s="1"/>
      <c r="AN4432" s="1"/>
      <c r="AO4432" s="1"/>
      <c r="AP4432" s="1"/>
      <c r="AQ4432" s="1"/>
      <c r="AR4432" s="1"/>
      <c r="AS4432" s="1"/>
      <c r="AT4432" s="1"/>
      <c r="AU4432" s="1"/>
      <c r="AV4432" s="1"/>
      <c r="AW4432" s="1"/>
      <c r="AX4432" s="1"/>
      <c r="AY4432" s="1"/>
      <c r="AZ4432" s="1"/>
      <c r="BA4432" s="1"/>
      <c r="BB4432" s="1"/>
    </row>
    <row r="4433" ht="204.75" customHeight="1">
      <c r="A4433" s="1">
        <v>5302.0</v>
      </c>
      <c r="B4433" s="2" t="s">
        <v>12782</v>
      </c>
      <c r="C4433" s="2">
        <f>IFERROR(__xludf.DUMMYFUNCTION("split(B4433,""_"")"),904.0)</f>
        <v>904</v>
      </c>
      <c r="D4433" s="2" t="str">
        <f>IFERROR(__xludf.DUMMYFUNCTION("""COMPUTED_VALUE"""),"NTV")</f>
        <v>NTV</v>
      </c>
      <c r="E4433" s="2" t="str">
        <f>IFERROR(__xludf.DUMMYFUNCTION("""COMPUTED_VALUE"""),"水22")</f>
        <v>水22</v>
      </c>
      <c r="F4433" s="2" t="s">
        <v>12783</v>
      </c>
      <c r="G4433" s="2" t="s">
        <v>12786</v>
      </c>
      <c r="H4433" s="1">
        <v>10.0</v>
      </c>
      <c r="J4433" s="1" t="s">
        <v>82</v>
      </c>
      <c r="K4433" s="2" t="s">
        <v>12795</v>
      </c>
      <c r="L4433" s="2"/>
      <c r="M4433" s="2" t="str">
        <f>IFERROR(__xludf.DUMMYFUNCTION("split(split(K4433,""【演出"",false),""ほか"",false)"),"稲森いずみ　板谷由夏　山本太郎　  川島海荷　嘉数一星(子役)　佐藤詩音(子役)　  田畑智子　佐野史郎　田中美佐子　(他)　")</f>
        <v>稲森いずみ　板谷由夏　山本太郎　  川島海荷　嘉数一星(子役)　佐藤詩音(子役)　  田畑智子　佐野史郎　田中美佐子　(他)　</v>
      </c>
      <c r="N4433" s="2"/>
      <c r="O4433" s="2"/>
      <c r="P4433" s="1"/>
      <c r="Q4433" s="1"/>
      <c r="R4433" s="1"/>
      <c r="S4433" s="1"/>
      <c r="T4433" s="1"/>
      <c r="U4433" s="1"/>
      <c r="V4433" s="1"/>
      <c r="W4433" s="1"/>
      <c r="X4433" s="1"/>
      <c r="Y4433" s="1"/>
      <c r="Z4433" s="1"/>
      <c r="AA4433" s="1"/>
      <c r="AB4433" s="1"/>
      <c r="AC4433" s="1"/>
      <c r="AD4433" s="1"/>
      <c r="AE4433" s="1"/>
      <c r="AF4433" s="1"/>
      <c r="AG4433" s="1"/>
      <c r="AH4433" s="1"/>
      <c r="AI4433" s="1"/>
      <c r="AJ4433" s="1"/>
      <c r="AK4433" s="1"/>
      <c r="AL4433" s="1"/>
      <c r="AM4433" s="1"/>
      <c r="AN4433" s="1"/>
      <c r="AO4433" s="1"/>
      <c r="AP4433" s="1"/>
      <c r="AQ4433" s="1"/>
      <c r="AR4433" s="1"/>
      <c r="AS4433" s="1"/>
      <c r="AT4433" s="1"/>
      <c r="AU4433" s="1"/>
      <c r="AV4433" s="1"/>
      <c r="AW4433" s="1"/>
      <c r="AX4433" s="1"/>
      <c r="AY4433" s="1"/>
      <c r="AZ4433" s="1"/>
      <c r="BA4433" s="1"/>
      <c r="BB4433" s="1"/>
    </row>
    <row r="4434" ht="204.75" customHeight="1">
      <c r="A4434" s="1">
        <v>5362.0</v>
      </c>
      <c r="B4434" s="2" t="s">
        <v>12796</v>
      </c>
      <c r="C4434" s="2">
        <f>IFERROR(__xludf.DUMMYFUNCTION("split(B4434,""_"")"),904.0)</f>
        <v>904</v>
      </c>
      <c r="D4434" s="2" t="str">
        <f>IFERROR(__xludf.DUMMYFUNCTION("""COMPUTED_VALUE"""),"NTV")</f>
        <v>NTV</v>
      </c>
      <c r="E4434" s="2" t="str">
        <f>IFERROR(__xludf.DUMMYFUNCTION("""COMPUTED_VALUE"""),"土21")</f>
        <v>土21</v>
      </c>
      <c r="F4434" s="2" t="s">
        <v>12797</v>
      </c>
      <c r="G4434" s="2" t="s">
        <v>12798</v>
      </c>
      <c r="H4434" s="1">
        <v>1.0</v>
      </c>
      <c r="J4434" s="1" t="s">
        <v>4</v>
      </c>
      <c r="K4434" s="2" t="s">
        <v>12799</v>
      </c>
      <c r="L4434" s="2"/>
      <c r="M4434" s="2" t="str">
        <f>IFERROR(__xludf.DUMMYFUNCTION("split(split(K4434,""【演出"",false),""ほか"",false)"),"櫻井翔　横山裕　松浦亜弥　篠井英介　田中哲司　和田正人　森脇英理子　今井隆文　白石みき　松尾英太郎　和田成正　飯田隆裕　水沢エレナ　泉谷しげる　榎木孝明　真矢みき　生放送番組「ザ・クイズショウ」。クイズを全てクリアすれば、文字通りどんな夢でも叶えてくれるという。MCの神山(櫻井翔)が今回迎えた解答者はミュージシャンの安藤康介(哀川翔)。彼の夢は自身の「世界ツアー」。しかし番組ディレクターの本間俊雄(横山裕)は自信ありげに微笑む。「安藤はクイズをクリアできません」。神山が出すクイズ。それは安藤が絶対知られて"&amp;"はならないある「過去」に関する出題だったのだ。南雲聖一　【原案】「THE　QUIZ　SHOW」森谷雄(アットムービー)/D.N.ドリームパートナーズ・VAP　【音楽】NARASAKI　  【主題歌】「明日の記憶」嵐(ジェイ・ストーム)　【プロデューサー】池田健司(日本テレビ)　森谷雄(アットムービー)　  【制作協力】アットムービー　  【協力】オフィスクレッシェンド")</f>
        <v>櫻井翔　横山裕　松浦亜弥　篠井英介　田中哲司　和田正人　森脇英理子　今井隆文　白石みき　松尾英太郎　和田成正　飯田隆裕　水沢エレナ　泉谷しげる　榎木孝明　真矢みき　生放送番組「ザ・クイズショウ」。クイズを全てクリアすれば、文字通りどんな夢でも叶えてくれるという。MCの神山(櫻井翔)が今回迎えた解答者はミュージシャンの安藤康介(哀川翔)。彼の夢は自身の「世界ツアー」。しかし番組ディレクターの本間俊雄(横山裕)は自信ありげに微笑む。「安藤はクイズをクリアできません」。神山が出すクイズ。それは安藤が絶対知られてはならないある「過去」に関する出題だったのだ。南雲聖一　【原案】「THE　QUIZ　SHOW」森谷雄(アットムービー)/D.N.ドリームパートナーズ・VAP　【音楽】NARASAKI　  【主題歌】「明日の記憶」嵐(ジェイ・ストーム)　【プロデューサー】池田健司(日本テレビ)　森谷雄(アットムービー)　  【制作協力】アットムービー　  【協力】オフィスクレッシェンド</v>
      </c>
      <c r="N4434" s="2"/>
      <c r="O4434" s="2"/>
      <c r="P4434" s="1"/>
      <c r="Q4434" s="1"/>
      <c r="R4434" s="1"/>
      <c r="S4434" s="1"/>
      <c r="T4434" s="1"/>
      <c r="U4434" s="1"/>
      <c r="V4434" s="1"/>
      <c r="W4434" s="1"/>
      <c r="X4434" s="1"/>
      <c r="Y4434" s="1"/>
      <c r="Z4434" s="1"/>
      <c r="AA4434" s="1"/>
      <c r="AB4434" s="1"/>
      <c r="AC4434" s="1"/>
      <c r="AD4434" s="1"/>
      <c r="AE4434" s="1"/>
      <c r="AF4434" s="1"/>
      <c r="AG4434" s="1"/>
      <c r="AH4434" s="1"/>
      <c r="AI4434" s="1"/>
      <c r="AJ4434" s="1"/>
      <c r="AK4434" s="1"/>
      <c r="AL4434" s="1"/>
      <c r="AM4434" s="1"/>
      <c r="AN4434" s="1"/>
      <c r="AO4434" s="1"/>
      <c r="AP4434" s="1"/>
      <c r="AQ4434" s="1"/>
      <c r="AR4434" s="1"/>
      <c r="AS4434" s="1"/>
      <c r="AT4434" s="1"/>
      <c r="AU4434" s="1"/>
      <c r="AV4434" s="1"/>
      <c r="AW4434" s="1"/>
      <c r="AX4434" s="1"/>
      <c r="AY4434" s="1"/>
      <c r="AZ4434" s="1"/>
      <c r="BA4434" s="1"/>
      <c r="BB4434" s="1"/>
    </row>
    <row r="4435" ht="204.75" customHeight="1">
      <c r="A4435" s="1">
        <v>5363.0</v>
      </c>
      <c r="B4435" s="2" t="s">
        <v>12796</v>
      </c>
      <c r="C4435" s="2">
        <f>IFERROR(__xludf.DUMMYFUNCTION("split(B4435,""_"")"),904.0)</f>
        <v>904</v>
      </c>
      <c r="D4435" s="2" t="str">
        <f>IFERROR(__xludf.DUMMYFUNCTION("""COMPUTED_VALUE"""),"NTV")</f>
        <v>NTV</v>
      </c>
      <c r="E4435" s="2" t="str">
        <f>IFERROR(__xludf.DUMMYFUNCTION("""COMPUTED_VALUE"""),"土21")</f>
        <v>土21</v>
      </c>
      <c r="F4435" s="2" t="s">
        <v>12797</v>
      </c>
      <c r="G4435" s="2" t="s">
        <v>12798</v>
      </c>
      <c r="H4435" s="1">
        <v>2.0</v>
      </c>
      <c r="J4435" s="1" t="s">
        <v>11</v>
      </c>
      <c r="K4435" s="2" t="s">
        <v>12800</v>
      </c>
      <c r="L4435" s="2"/>
      <c r="M4435" s="2" t="str">
        <f>IFERROR(__xludf.DUMMYFUNCTION("split(split(K4435,""【演出"",false),""ほか"",false)"),"櫻井翔　横山裕　松浦亜弥　篠井英介　田中哲司　和田正人　森脇英理子　今井隆文　白石みき　松尾英太郎　和田成正　飯田隆裕　大橋のぞみ　水沢エレナ　泉谷しげる　榎木孝明　真矢みき　【ゲスト】美波　神保悟志　白い壁に囲まれた部屋でフラッシュバックする記憶の断片に激しい頭痛を覚えるMCの神山(櫻井翔)に、本間(横山裕)は次のゲスト解答者をケータイ小説家・ミカ(美波)と決めた。ミカが提示した夢は「新作小説をドラマ化、1年放送」。しかし、本間は「ドラマ部に確認はいらない」とプロデューサーの冴島(真矢みき)に言う。本間"&amp;"が獲得している高視聴率の数字に冴島は反論出来ない。神山の出題にはミカの母親に関する問題が…。南雲聖一【原案】「THE　QUIZ　SHOW」森谷雄(アットムービー)/D.N.ドリームパートナーズ・VAP　  【脚本】及川拓郎　【音楽】NARASAKI　  【主題歌】「明日の記憶」嵐(ジェイ・ストーム)【プロデューサー】池田健司(日本テレビ)　森谷雄(アットムービー)　  【制作協力】アットムービー　  【協力】オフィスクレッシェンド")</f>
        <v>櫻井翔　横山裕　松浦亜弥　篠井英介　田中哲司　和田正人　森脇英理子　今井隆文　白石みき　松尾英太郎　和田成正　飯田隆裕　大橋のぞみ　水沢エレナ　泉谷しげる　榎木孝明　真矢みき　【ゲスト】美波　神保悟志　白い壁に囲まれた部屋でフラッシュバックする記憶の断片に激しい頭痛を覚えるMCの神山(櫻井翔)に、本間(横山裕)は次のゲスト解答者をケータイ小説家・ミカ(美波)と決めた。ミカが提示した夢は「新作小説をドラマ化、1年放送」。しかし、本間は「ドラマ部に確認はいらない」とプロデューサーの冴島(真矢みき)に言う。本間が獲得している高視聴率の数字に冴島は反論出来ない。神山の出題にはミカの母親に関する問題が…。南雲聖一【原案】「THE　QUIZ　SHOW」森谷雄(アットムービー)/D.N.ドリームパートナーズ・VAP　  【脚本】及川拓郎　【音楽】NARASAKI　  【主題歌】「明日の記憶」嵐(ジェイ・ストーム)【プロデューサー】池田健司(日本テレビ)　森谷雄(アットムービー)　  【制作協力】アットムービー　  【協力】オフィスクレッシェンド</v>
      </c>
      <c r="N4435" s="2"/>
      <c r="O4435" s="2"/>
      <c r="P4435" s="1"/>
      <c r="Q4435" s="1"/>
      <c r="R4435" s="1"/>
      <c r="S4435" s="1"/>
      <c r="T4435" s="1"/>
      <c r="U4435" s="1"/>
      <c r="V4435" s="1"/>
      <c r="W4435" s="1"/>
      <c r="X4435" s="1"/>
      <c r="Y4435" s="1"/>
      <c r="Z4435" s="1"/>
      <c r="AA4435" s="1"/>
      <c r="AB4435" s="1"/>
      <c r="AC4435" s="1"/>
      <c r="AD4435" s="1"/>
      <c r="AE4435" s="1"/>
      <c r="AF4435" s="1"/>
      <c r="AG4435" s="1"/>
      <c r="AH4435" s="1"/>
      <c r="AI4435" s="1"/>
      <c r="AJ4435" s="1"/>
      <c r="AK4435" s="1"/>
      <c r="AL4435" s="1"/>
      <c r="AM4435" s="1"/>
      <c r="AN4435" s="1"/>
      <c r="AO4435" s="1"/>
      <c r="AP4435" s="1"/>
      <c r="AQ4435" s="1"/>
      <c r="AR4435" s="1"/>
      <c r="AS4435" s="1"/>
      <c r="AT4435" s="1"/>
      <c r="AU4435" s="1"/>
      <c r="AV4435" s="1"/>
      <c r="AW4435" s="1"/>
      <c r="AX4435" s="1"/>
      <c r="AY4435" s="1"/>
      <c r="AZ4435" s="1"/>
      <c r="BA4435" s="1"/>
      <c r="BB4435" s="1"/>
    </row>
    <row r="4436" ht="204.75" customHeight="1">
      <c r="A4436" s="1">
        <v>5364.0</v>
      </c>
      <c r="B4436" s="2" t="s">
        <v>12796</v>
      </c>
      <c r="C4436" s="2">
        <f>IFERROR(__xludf.DUMMYFUNCTION("split(B4436,""_"")"),904.0)</f>
        <v>904</v>
      </c>
      <c r="D4436" s="2" t="str">
        <f>IFERROR(__xludf.DUMMYFUNCTION("""COMPUTED_VALUE"""),"NTV")</f>
        <v>NTV</v>
      </c>
      <c r="E4436" s="2" t="str">
        <f>IFERROR(__xludf.DUMMYFUNCTION("""COMPUTED_VALUE"""),"土21")</f>
        <v>土21</v>
      </c>
      <c r="F4436" s="2" t="s">
        <v>12797</v>
      </c>
      <c r="G4436" s="2" t="s">
        <v>12798</v>
      </c>
      <c r="H4436" s="1">
        <v>3.0</v>
      </c>
      <c r="J4436" s="1" t="s">
        <v>11</v>
      </c>
      <c r="K4436" s="2" t="s">
        <v>12801</v>
      </c>
      <c r="L4436" s="2"/>
      <c r="M4436" s="2" t="str">
        <f>IFERROR(__xludf.DUMMYFUNCTION("split(split(K4436,""【演出"",false),""ほか"",false)"),"櫻井翔　横山裕　松浦亜弥　篠井英介　田中哲司　和田正人　森脇英理子　今井隆文　白石みき　松尾英太郎　和田成正　飯田隆裕　水沢エレナ　泉谷しげる　榎木孝明　真矢みき　【ゲスト】成宮寛貴　金井勇太　今回は、フリースクール代表・宮本健治(成宮寛貴)がゲスト解答者として登場する。全国からの迷える若者たちを集め、自己啓発を目的で創られた宮本のスクール。宮本は今後の活動資金のためにと「1億円の賞金」をドリームチャンスに揚げた。ところが、高杉(松浦亜弥)の現場リポートで、スクールの宿舎の様子が伝えられると、宮本の表情が"&amp;"変わる。そして、クイズが進むうちに、フリースクールの実態が次第に明らかになるーー。佐久間紀佳　【原案】「THE　QUIZ　SHOW」森谷雄(アットムービー)/D.N.ドリームパートナーズ・VAP　  【脚本】及川拓郎　【音楽】NARASAKI　  【主題歌】「明日の記憶」嵐(ジェイ・ストーム)　【プロデューサー】池田健司(日本テレビ)森谷雄(アットムービー)　  【制作協力】アットムービー　  【協力】オフィスクレッシェンド")</f>
        <v>櫻井翔　横山裕　松浦亜弥　篠井英介　田中哲司　和田正人　森脇英理子　今井隆文　白石みき　松尾英太郎　和田成正　飯田隆裕　水沢エレナ　泉谷しげる　榎木孝明　真矢みき　【ゲスト】成宮寛貴　金井勇太　今回は、フリースクール代表・宮本健治(成宮寛貴)がゲスト解答者として登場する。全国からの迷える若者たちを集め、自己啓発を目的で創られた宮本のスクール。宮本は今後の活動資金のためにと「1億円の賞金」をドリームチャンスに揚げた。ところが、高杉(松浦亜弥)の現場リポートで、スクールの宿舎の様子が伝えられると、宮本の表情が変わる。そして、クイズが進むうちに、フリースクールの実態が次第に明らかになるーー。佐久間紀佳　【原案】「THE　QUIZ　SHOW」森谷雄(アットムービー)/D.N.ドリームパートナーズ・VAP　  【脚本】及川拓郎　【音楽】NARASAKI　  【主題歌】「明日の記憶」嵐(ジェイ・ストーム)　【プロデューサー】池田健司(日本テレビ)森谷雄(アットムービー)　  【制作協力】アットムービー　  【協力】オフィスクレッシェンド</v>
      </c>
      <c r="N4436" s="2"/>
      <c r="O4436" s="2"/>
      <c r="P4436" s="1"/>
      <c r="Q4436" s="1"/>
      <c r="R4436" s="1"/>
      <c r="S4436" s="1"/>
      <c r="T4436" s="1"/>
      <c r="U4436" s="1"/>
      <c r="V4436" s="1"/>
      <c r="W4436" s="1"/>
      <c r="X4436" s="1"/>
      <c r="Y4436" s="1"/>
      <c r="Z4436" s="1"/>
      <c r="AA4436" s="1"/>
      <c r="AB4436" s="1"/>
      <c r="AC4436" s="1"/>
      <c r="AD4436" s="1"/>
      <c r="AE4436" s="1"/>
      <c r="AF4436" s="1"/>
      <c r="AG4436" s="1"/>
      <c r="AH4436" s="1"/>
      <c r="AI4436" s="1"/>
      <c r="AJ4436" s="1"/>
      <c r="AK4436" s="1"/>
      <c r="AL4436" s="1"/>
      <c r="AM4436" s="1"/>
      <c r="AN4436" s="1"/>
      <c r="AO4436" s="1"/>
      <c r="AP4436" s="1"/>
      <c r="AQ4436" s="1"/>
      <c r="AR4436" s="1"/>
      <c r="AS4436" s="1"/>
      <c r="AT4436" s="1"/>
      <c r="AU4436" s="1"/>
      <c r="AV4436" s="1"/>
      <c r="AW4436" s="1"/>
      <c r="AX4436" s="1"/>
      <c r="AY4436" s="1"/>
      <c r="AZ4436" s="1"/>
      <c r="BA4436" s="1"/>
      <c r="BB4436" s="1"/>
    </row>
    <row r="4437" ht="204.75" customHeight="1">
      <c r="A4437" s="1">
        <v>5365.0</v>
      </c>
      <c r="B4437" s="2" t="s">
        <v>12796</v>
      </c>
      <c r="C4437" s="2">
        <f>IFERROR(__xludf.DUMMYFUNCTION("split(B4437,""_"")"),904.0)</f>
        <v>904</v>
      </c>
      <c r="D4437" s="2" t="str">
        <f>IFERROR(__xludf.DUMMYFUNCTION("""COMPUTED_VALUE"""),"NTV")</f>
        <v>NTV</v>
      </c>
      <c r="E4437" s="2" t="str">
        <f>IFERROR(__xludf.DUMMYFUNCTION("""COMPUTED_VALUE"""),"土21")</f>
        <v>土21</v>
      </c>
      <c r="F4437" s="2" t="s">
        <v>12797</v>
      </c>
      <c r="G4437" s="2" t="s">
        <v>12798</v>
      </c>
      <c r="H4437" s="1">
        <v>4.0</v>
      </c>
      <c r="J4437" s="1" t="s">
        <v>11</v>
      </c>
      <c r="K4437" s="2" t="s">
        <v>12802</v>
      </c>
      <c r="L4437" s="2"/>
      <c r="M4437" s="2" t="str">
        <f>IFERROR(__xludf.DUMMYFUNCTION("split(split(K4437,""【演出"",false),""ほか"",false)"),"櫻井翔　横山裕　松浦亜弥　篠井英介　田中哲司　和田正人　森脇英理子　今井隆文　白石みき　松尾英太郎　和田成正　飯田隆裕　水沢エレナ　泉谷しげる　榎木孝明　真矢みき　【ゲスト】浅野ゆう子　伊佐山ひろ子失われた記憶の糸をたどるため、激しい頭痛に襲われながらも、番組の司会者を続ける神山(櫻井翔)が今回対決するのは、“十二支のパワー”で人気のカリスマ占い師・祐天寺ノッコ(浅野ゆう子)。絶対に機嫌をそこねないように、との田所(榎木孝明)の厳命にも拘らず、神山は本間(横山裕)の指示で台本とは全く別の内容を出題。そこか"&amp;"ら次第にカリスマ占い師・祐天寺ノッコの隠された素顔が明らかになってゆくーー。南雲聖一　佐久間紀佳　狩山俊輔【原案】「THE　QUIZ　SHOW」森谷雄(アットムービー)/D.N.ドリームパートナーズ・VAP  【脚本】及川拓郎NARASAKI  【主題歌】「明日の記憶」嵐(ジェイ・ストーム)【プロデューサー】池田健司(日本テレビ)森谷雄(アットムービー)  【制作協力】アットムービー  【協力】オフィスクレッシェンド")</f>
        <v>櫻井翔　横山裕　松浦亜弥　篠井英介　田中哲司　和田正人　森脇英理子　今井隆文　白石みき　松尾英太郎　和田成正　飯田隆裕　水沢エレナ　泉谷しげる　榎木孝明　真矢みき　【ゲスト】浅野ゆう子　伊佐山ひろ子失われた記憶の糸をたどるため、激しい頭痛に襲われながらも、番組の司会者を続ける神山(櫻井翔)が今回対決するのは、“十二支のパワー”で人気のカリスマ占い師・祐天寺ノッコ(浅野ゆう子)。絶対に機嫌をそこねないように、との田所(榎木孝明)の厳命にも拘らず、神山は本間(横山裕)の指示で台本とは全く別の内容を出題。そこから次第にカリスマ占い師・祐天寺ノッコの隠された素顔が明らかになってゆくーー。南雲聖一　佐久間紀佳　狩山俊輔【原案】「THE　QUIZ　SHOW」森谷雄(アットムービー)/D.N.ドリームパートナーズ・VAP  【脚本】及川拓郎NARASAKI  【主題歌】「明日の記憶」嵐(ジェイ・ストーム)【プロデューサー】池田健司(日本テレビ)森谷雄(アットムービー)  【制作協力】アットムービー  【協力】オフィスクレッシェンド</v>
      </c>
      <c r="N4437" s="2"/>
      <c r="O4437" s="2"/>
      <c r="P4437" s="1"/>
      <c r="Q4437" s="1"/>
      <c r="R4437" s="1"/>
      <c r="S4437" s="1"/>
      <c r="T4437" s="1"/>
      <c r="U4437" s="1"/>
      <c r="V4437" s="1"/>
      <c r="W4437" s="1"/>
      <c r="X4437" s="1"/>
      <c r="Y4437" s="1"/>
      <c r="Z4437" s="1"/>
      <c r="AA4437" s="1"/>
      <c r="AB4437" s="1"/>
      <c r="AC4437" s="1"/>
      <c r="AD4437" s="1"/>
      <c r="AE4437" s="1"/>
      <c r="AF4437" s="1"/>
      <c r="AG4437" s="1"/>
      <c r="AH4437" s="1"/>
      <c r="AI4437" s="1"/>
      <c r="AJ4437" s="1"/>
      <c r="AK4437" s="1"/>
      <c r="AL4437" s="1"/>
      <c r="AM4437" s="1"/>
      <c r="AN4437" s="1"/>
      <c r="AO4437" s="1"/>
      <c r="AP4437" s="1"/>
      <c r="AQ4437" s="1"/>
      <c r="AR4437" s="1"/>
      <c r="AS4437" s="1"/>
      <c r="AT4437" s="1"/>
      <c r="AU4437" s="1"/>
      <c r="AV4437" s="1"/>
      <c r="AW4437" s="1"/>
      <c r="AX4437" s="1"/>
      <c r="AY4437" s="1"/>
      <c r="AZ4437" s="1"/>
      <c r="BA4437" s="1"/>
      <c r="BB4437" s="1"/>
    </row>
    <row r="4438" ht="204.75" customHeight="1">
      <c r="A4438" s="1">
        <v>5366.0</v>
      </c>
      <c r="B4438" s="2" t="s">
        <v>12796</v>
      </c>
      <c r="C4438" s="2">
        <f>IFERROR(__xludf.DUMMYFUNCTION("split(B4438,""_"")"),904.0)</f>
        <v>904</v>
      </c>
      <c r="D4438" s="2" t="str">
        <f>IFERROR(__xludf.DUMMYFUNCTION("""COMPUTED_VALUE"""),"NTV")</f>
        <v>NTV</v>
      </c>
      <c r="E4438" s="2" t="str">
        <f>IFERROR(__xludf.DUMMYFUNCTION("""COMPUTED_VALUE"""),"土21")</f>
        <v>土21</v>
      </c>
      <c r="F4438" s="2" t="s">
        <v>12797</v>
      </c>
      <c r="G4438" s="2" t="s">
        <v>12798</v>
      </c>
      <c r="H4438" s="1">
        <v>5.0</v>
      </c>
      <c r="J4438" s="1" t="s">
        <v>11</v>
      </c>
      <c r="K4438" s="2" t="s">
        <v>12803</v>
      </c>
      <c r="L4438" s="2"/>
      <c r="M4438" s="2" t="str">
        <f>IFERROR(__xludf.DUMMYFUNCTION("split(split(K4438,""【演出"",false),""ほか"",false)"),"櫻井翔　横山裕　松浦亜弥　篠井英介　田中哲司　和田正人　森脇英理子　今井隆文　白石みき　松尾英太郎　和田成正　飯田隆裕　水沢エレナ　泉谷しげる　榎木孝明　真矢みき　【ゲスト】石黒賢　品川徹　須永慶　阿部六郎神山(櫻井翔)の脳裏に、美咲(水沢エレナ)の記憶がフラッシュバックする。「俺が彼女を殺してしまったのか!?」おびえる神山に、記憶を取り戻すため、なおも『ザ・クイズショウ』の司会を続けるよう指示する本間。5人目のゲスト解答者には、友部公一郎(石黒賢)という大学病院の教授が登場する。2年前、遊説中に倒れた財"&amp;"務大臣の手術を成功させて名を売った友部は、卓越した技術から、“ゴッドハンド”と呼ばれていた…。南雲聖一【原案】「THE　QUIZ　SHOW」森谷雄(アットムービー)/D.N.ドリームパートナーズ・VAP  【脚本】及川拓郎NARASAKI  【主題歌】「明日の記憶」嵐(ジェイ・ストーム)【プロデューサー】池田健司(日本テレビ)森谷雄(アットムービー)  【制作協力】アットムービー  【協力】オフィスクレッシェンド")</f>
        <v>櫻井翔　横山裕　松浦亜弥　篠井英介　田中哲司　和田正人　森脇英理子　今井隆文　白石みき　松尾英太郎　和田成正　飯田隆裕　水沢エレナ　泉谷しげる　榎木孝明　真矢みき　【ゲスト】石黒賢　品川徹　須永慶　阿部六郎神山(櫻井翔)の脳裏に、美咲(水沢エレナ)の記憶がフラッシュバックする。「俺が彼女を殺してしまったのか!?」おびえる神山に、記憶を取り戻すため、なおも『ザ・クイズショウ』の司会を続けるよう指示する本間。5人目のゲスト解答者には、友部公一郎(石黒賢)という大学病院の教授が登場する。2年前、遊説中に倒れた財務大臣の手術を成功させて名を売った友部は、卓越した技術から、“ゴッドハンド”と呼ばれていた…。南雲聖一【原案】「THE　QUIZ　SHOW」森谷雄(アットムービー)/D.N.ドリームパートナーズ・VAP  【脚本】及川拓郎NARASAKI  【主題歌】「明日の記憶」嵐(ジェイ・ストーム)【プロデューサー】池田健司(日本テレビ)森谷雄(アットムービー)  【制作協力】アットムービー  【協力】オフィスクレッシェンド</v>
      </c>
      <c r="N4438" s="2"/>
      <c r="O4438" s="2"/>
      <c r="P4438" s="1"/>
      <c r="Q4438" s="1"/>
      <c r="R4438" s="1"/>
      <c r="S4438" s="1"/>
      <c r="T4438" s="1"/>
      <c r="U4438" s="1"/>
      <c r="V4438" s="1"/>
      <c r="W4438" s="1"/>
      <c r="X4438" s="1"/>
      <c r="Y4438" s="1"/>
      <c r="Z4438" s="1"/>
      <c r="AA4438" s="1"/>
      <c r="AB4438" s="1"/>
      <c r="AC4438" s="1"/>
      <c r="AD4438" s="1"/>
      <c r="AE4438" s="1"/>
      <c r="AF4438" s="1"/>
      <c r="AG4438" s="1"/>
      <c r="AH4438" s="1"/>
      <c r="AI4438" s="1"/>
      <c r="AJ4438" s="1"/>
      <c r="AK4438" s="1"/>
      <c r="AL4438" s="1"/>
      <c r="AM4438" s="1"/>
      <c r="AN4438" s="1"/>
      <c r="AO4438" s="1"/>
      <c r="AP4438" s="1"/>
      <c r="AQ4438" s="1"/>
      <c r="AR4438" s="1"/>
      <c r="AS4438" s="1"/>
      <c r="AT4438" s="1"/>
      <c r="AU4438" s="1"/>
      <c r="AV4438" s="1"/>
      <c r="AW4438" s="1"/>
      <c r="AX4438" s="1"/>
      <c r="AY4438" s="1"/>
      <c r="AZ4438" s="1"/>
      <c r="BA4438" s="1"/>
      <c r="BB4438" s="1"/>
    </row>
    <row r="4439" ht="204.75" customHeight="1">
      <c r="A4439" s="1">
        <v>5367.0</v>
      </c>
      <c r="B4439" s="2" t="s">
        <v>12796</v>
      </c>
      <c r="C4439" s="2">
        <f>IFERROR(__xludf.DUMMYFUNCTION("split(B4439,""_"")"),904.0)</f>
        <v>904</v>
      </c>
      <c r="D4439" s="2" t="str">
        <f>IFERROR(__xludf.DUMMYFUNCTION("""COMPUTED_VALUE"""),"NTV")</f>
        <v>NTV</v>
      </c>
      <c r="E4439" s="2" t="str">
        <f>IFERROR(__xludf.DUMMYFUNCTION("""COMPUTED_VALUE"""),"土21")</f>
        <v>土21</v>
      </c>
      <c r="F4439" s="2" t="s">
        <v>12797</v>
      </c>
      <c r="G4439" s="2" t="s">
        <v>12798</v>
      </c>
      <c r="H4439" s="1">
        <v>6.0</v>
      </c>
      <c r="J4439" s="1" t="s">
        <v>11</v>
      </c>
      <c r="K4439" s="2" t="s">
        <v>12804</v>
      </c>
      <c r="L4439" s="2"/>
      <c r="M4439" s="2" t="str">
        <f>IFERROR(__xludf.DUMMYFUNCTION("split(split(K4439,""【演出"",false),""ほか"",false)"),"櫻井翔　横山裕　松浦亜弥　篠井英介　田中哲司　和田正人　森脇英理子　今井隆文　白石みき　松尾英太郎　和田成正　飯田隆裕　水沢エレナ　泉谷しげる　榎木孝明　真矢みき　【ゲスト】堀内健　立石涼子今回の解答者は、母親に働かせている無職の桂木(堀内健)。だが生放送中、冴島(真矢みき)の娘・美野里(大橋のぞみ)を桂木が誘拐したことが明らかになる。番組終了までに、警察に通報せずに美野里を捜すよう要求する桂木。従わなければ美野里の命はないという桂木の言葉に、冴島は番組の続行を指示。本間(横山裕)は神山(櫻井翔)の出題後"&amp;"に桂木が逆出題するクイズに、美野里の監禁場所のヒントが隠されていると推理するがー狩山俊輔【原案】「THE　QUIZ　SHOW」森谷雄(アットムービー)/D.N.ドリームパートナーズ・VAP  【脚本】及川拓郎NARASAKI  【主題歌】「明日の記憶」嵐(ジェイ・ストーム)【プロデューサー】池田健司(日本テレビ)森谷雄(アットムービー)  【制作協力】アットムービー  【協力】オフィスクレッシェンド")</f>
        <v>櫻井翔　横山裕　松浦亜弥　篠井英介　田中哲司　和田正人　森脇英理子　今井隆文　白石みき　松尾英太郎　和田成正　飯田隆裕　水沢エレナ　泉谷しげる　榎木孝明　真矢みき　【ゲスト】堀内健　立石涼子今回の解答者は、母親に働かせている無職の桂木(堀内健)。だが生放送中、冴島(真矢みき)の娘・美野里(大橋のぞみ)を桂木が誘拐したことが明らかになる。番組終了までに、警察に通報せずに美野里を捜すよう要求する桂木。従わなければ美野里の命はないという桂木の言葉に、冴島は番組の続行を指示。本間(横山裕)は神山(櫻井翔)の出題後に桂木が逆出題するクイズに、美野里の監禁場所のヒントが隠されていると推理するがー狩山俊輔【原案】「THE　QUIZ　SHOW」森谷雄(アットムービー)/D.N.ドリームパートナーズ・VAP  【脚本】及川拓郎NARASAKI  【主題歌】「明日の記憶」嵐(ジェイ・ストーム)【プロデューサー】池田健司(日本テレビ)森谷雄(アットムービー)  【制作協力】アットムービー  【協力】オフィスクレッシェンド</v>
      </c>
      <c r="N4439" s="2"/>
      <c r="O4439" s="2"/>
      <c r="P4439" s="1"/>
      <c r="Q4439" s="1"/>
      <c r="R4439" s="1"/>
      <c r="S4439" s="1"/>
      <c r="T4439" s="1"/>
      <c r="U4439" s="1"/>
      <c r="V4439" s="1"/>
      <c r="W4439" s="1"/>
      <c r="X4439" s="1"/>
      <c r="Y4439" s="1"/>
      <c r="Z4439" s="1"/>
      <c r="AA4439" s="1"/>
      <c r="AB4439" s="1"/>
      <c r="AC4439" s="1"/>
      <c r="AD4439" s="1"/>
      <c r="AE4439" s="1"/>
      <c r="AF4439" s="1"/>
      <c r="AG4439" s="1"/>
      <c r="AH4439" s="1"/>
      <c r="AI4439" s="1"/>
      <c r="AJ4439" s="1"/>
      <c r="AK4439" s="1"/>
      <c r="AL4439" s="1"/>
      <c r="AM4439" s="1"/>
      <c r="AN4439" s="1"/>
      <c r="AO4439" s="1"/>
      <c r="AP4439" s="1"/>
      <c r="AQ4439" s="1"/>
      <c r="AR4439" s="1"/>
      <c r="AS4439" s="1"/>
      <c r="AT4439" s="1"/>
      <c r="AU4439" s="1"/>
      <c r="AV4439" s="1"/>
      <c r="AW4439" s="1"/>
      <c r="AX4439" s="1"/>
      <c r="AY4439" s="1"/>
      <c r="AZ4439" s="1"/>
      <c r="BA4439" s="1"/>
      <c r="BB4439" s="1"/>
    </row>
    <row r="4440" ht="204.75" customHeight="1">
      <c r="A4440" s="1">
        <v>5368.0</v>
      </c>
      <c r="B4440" s="2" t="s">
        <v>12796</v>
      </c>
      <c r="C4440" s="2">
        <f>IFERROR(__xludf.DUMMYFUNCTION("split(B4440,""_"")"),904.0)</f>
        <v>904</v>
      </c>
      <c r="D4440" s="2" t="str">
        <f>IFERROR(__xludf.DUMMYFUNCTION("""COMPUTED_VALUE"""),"NTV")</f>
        <v>NTV</v>
      </c>
      <c r="E4440" s="2" t="str">
        <f>IFERROR(__xludf.DUMMYFUNCTION("""COMPUTED_VALUE"""),"土21")</f>
        <v>土21</v>
      </c>
      <c r="F4440" s="2" t="s">
        <v>12797</v>
      </c>
      <c r="G4440" s="2" t="s">
        <v>12798</v>
      </c>
      <c r="H4440" s="1">
        <v>7.0</v>
      </c>
      <c r="J4440" s="1" t="s">
        <v>11</v>
      </c>
      <c r="K4440" s="2" t="s">
        <v>12805</v>
      </c>
      <c r="L4440" s="2"/>
      <c r="M4440" s="2" t="str">
        <f>IFERROR(__xludf.DUMMYFUNCTION("split(split(K4440,""【演出"",false),""ほか"",false)"),"櫻井翔　横山裕　松浦亜弥　篠井英介　田中哲司　和田正人　森脇英理子　今井隆文　白石みき　松尾英太郎　和田成正　飯田隆裕　水沢エレナ　泉谷しげる　榎木孝明　真矢みき　【ゲスト】杉本哲太　記憶がよみがえることへの恐怖に怯えながら、始まった今回の放送のゲスト解答者は、元パイロットの柴田勇樹(杉本哲太)。クイズを出題するごとに、洪水のように過去の記憶がフラッシュバックし、激しい頭痛に襲われる神山。衝撃的事実を思い出した神山は、遂に、ステージ上で倒れてしまい、番組続行が不可能になってしまうー。  これまでの『ザ・ク"&amp;"イズショウ』の解答者たちを結ぶ、一本の糸が、明らかに!?南雲聖一【原案】「THE　QUIZ　SHOW」森谷雄(アットムービー)/D.N.ドリームパートナーズ・VAP  【脚本】及川拓郎NARASAKI  【主題歌】「明日の記憶」嵐(ジェイ・ストーム)【プロデューサー】池田健司(日本テレビ)森谷雄(アットムービー)  【制作協力】アットムービー  【協力】オフィスクレッシェンド")</f>
        <v>櫻井翔　横山裕　松浦亜弥　篠井英介　田中哲司　和田正人　森脇英理子　今井隆文　白石みき　松尾英太郎　和田成正　飯田隆裕　水沢エレナ　泉谷しげる　榎木孝明　真矢みき　【ゲスト】杉本哲太　記憶がよみがえることへの恐怖に怯えながら、始まった今回の放送のゲスト解答者は、元パイロットの柴田勇樹(杉本哲太)。クイズを出題するごとに、洪水のように過去の記憶がフラッシュバックし、激しい頭痛に襲われる神山。衝撃的事実を思い出した神山は、遂に、ステージ上で倒れてしまい、番組続行が不可能になってしまうー。  これまでの『ザ・クイズショウ』の解答者たちを結ぶ、一本の糸が、明らかに!?南雲聖一【原案】「THE　QUIZ　SHOW」森谷雄(アットムービー)/D.N.ドリームパートナーズ・VAP  【脚本】及川拓郎NARASAKI  【主題歌】「明日の記憶」嵐(ジェイ・ストーム)【プロデューサー】池田健司(日本テレビ)森谷雄(アットムービー)  【制作協力】アットムービー  【協力】オフィスクレッシェンド</v>
      </c>
      <c r="N4440" s="2"/>
      <c r="O4440" s="2"/>
      <c r="P4440" s="1"/>
      <c r="Q4440" s="1"/>
      <c r="R4440" s="1"/>
      <c r="S4440" s="1"/>
      <c r="T4440" s="1"/>
      <c r="U4440" s="1"/>
      <c r="V4440" s="1"/>
      <c r="W4440" s="1"/>
      <c r="X4440" s="1"/>
      <c r="Y4440" s="1"/>
      <c r="Z4440" s="1"/>
      <c r="AA4440" s="1"/>
      <c r="AB4440" s="1"/>
      <c r="AC4440" s="1"/>
      <c r="AD4440" s="1"/>
      <c r="AE4440" s="1"/>
      <c r="AF4440" s="1"/>
      <c r="AG4440" s="1"/>
      <c r="AH4440" s="1"/>
      <c r="AI4440" s="1"/>
      <c r="AJ4440" s="1"/>
      <c r="AK4440" s="1"/>
      <c r="AL4440" s="1"/>
      <c r="AM4440" s="1"/>
      <c r="AN4440" s="1"/>
      <c r="AO4440" s="1"/>
      <c r="AP4440" s="1"/>
      <c r="AQ4440" s="1"/>
      <c r="AR4440" s="1"/>
      <c r="AS4440" s="1"/>
      <c r="AT4440" s="1"/>
      <c r="AU4440" s="1"/>
      <c r="AV4440" s="1"/>
      <c r="AW4440" s="1"/>
      <c r="AX4440" s="1"/>
      <c r="AY4440" s="1"/>
      <c r="AZ4440" s="1"/>
      <c r="BA4440" s="1"/>
      <c r="BB4440" s="1"/>
    </row>
    <row r="4441" ht="204.75" customHeight="1">
      <c r="A4441" s="1">
        <v>5369.0</v>
      </c>
      <c r="B4441" s="2" t="s">
        <v>12796</v>
      </c>
      <c r="C4441" s="2">
        <f>IFERROR(__xludf.DUMMYFUNCTION("split(B4441,""_"")"),904.0)</f>
        <v>904</v>
      </c>
      <c r="D4441" s="2" t="str">
        <f>IFERROR(__xludf.DUMMYFUNCTION("""COMPUTED_VALUE"""),"NTV")</f>
        <v>NTV</v>
      </c>
      <c r="E4441" s="2" t="str">
        <f>IFERROR(__xludf.DUMMYFUNCTION("""COMPUTED_VALUE"""),"土21")</f>
        <v>土21</v>
      </c>
      <c r="F4441" s="2" t="s">
        <v>12797</v>
      </c>
      <c r="G4441" s="2" t="s">
        <v>12798</v>
      </c>
      <c r="H4441" s="1">
        <v>8.0</v>
      </c>
      <c r="J4441" s="1" t="s">
        <v>11</v>
      </c>
      <c r="K4441" s="2" t="s">
        <v>12806</v>
      </c>
      <c r="L4441" s="2"/>
      <c r="M4441" s="2" t="str">
        <f>IFERROR(__xludf.DUMMYFUNCTION("split(split(K4441,""【演出"",false),""ほか"",false)"),"櫻井翔　横山裕　松浦亜弥　篠井英介　田中哲司　和田正人　森脇英理子　今井隆文　白石みき　松尾英太郎　和田成正　飯田隆裕　水沢エレナ　泉谷しげる　榎木孝明　真矢みき　本間(横山裕)、美咲(水沢エレナ)との高校時代の記憶が甦る神山(櫻井翔)。一方、放送事故の責任を取らされ銀河テレビをクビになった冴島(真矢みき)は、『ザ・クイズショウ』の解答席に招待される。冴島の夢は銀河テレビへの復帰。出題されるのは、8年前の“シナイ湖小型飛行機墜落事故”と冴島との関わりを明らかにするものだった。神山の記憶がさらに甦る中、冴島"&amp;"の秘密に触れる、厳しいドリームチャンスが待っていた。南雲聖一【原案】「THE　QUIZ　SHOW」森谷雄(アットムービー)/D.N.ドリームパートナーズ・VAP　  【脚本】及川拓郎　NARASAKI　  【主題歌】「明日の記憶」嵐(ジェイ・ストーム)　【プロデューサー】池田健司(日本テレビ)　森谷雄(アットムービー)　  【制作協力】アットムービー　  【協力】オフィスクレッシェンド")</f>
        <v>櫻井翔　横山裕　松浦亜弥　篠井英介　田中哲司　和田正人　森脇英理子　今井隆文　白石みき　松尾英太郎　和田成正　飯田隆裕　水沢エレナ　泉谷しげる　榎木孝明　真矢みき　本間(横山裕)、美咲(水沢エレナ)との高校時代の記憶が甦る神山(櫻井翔)。一方、放送事故の責任を取らされ銀河テレビをクビになった冴島(真矢みき)は、『ザ・クイズショウ』の解答席に招待される。冴島の夢は銀河テレビへの復帰。出題されるのは、8年前の“シナイ湖小型飛行機墜落事故”と冴島との関わりを明らかにするものだった。神山の記憶がさらに甦る中、冴島の秘密に触れる、厳しいドリームチャンスが待っていた。南雲聖一【原案】「THE　QUIZ　SHOW」森谷雄(アットムービー)/D.N.ドリームパートナーズ・VAP　  【脚本】及川拓郎　NARASAKI　  【主題歌】「明日の記憶」嵐(ジェイ・ストーム)　【プロデューサー】池田健司(日本テレビ)　森谷雄(アットムービー)　  【制作協力】アットムービー　  【協力】オフィスクレッシェンド</v>
      </c>
      <c r="N4441" s="2"/>
      <c r="O4441" s="2"/>
      <c r="P4441" s="1"/>
      <c r="Q4441" s="1"/>
      <c r="R4441" s="1"/>
      <c r="S4441" s="1"/>
      <c r="T4441" s="1"/>
      <c r="U4441" s="1"/>
      <c r="V4441" s="1"/>
      <c r="W4441" s="1"/>
      <c r="X4441" s="1"/>
      <c r="Y4441" s="1"/>
      <c r="Z4441" s="1"/>
      <c r="AA4441" s="1"/>
      <c r="AB4441" s="1"/>
      <c r="AC4441" s="1"/>
      <c r="AD4441" s="1"/>
      <c r="AE4441" s="1"/>
      <c r="AF4441" s="1"/>
      <c r="AG4441" s="1"/>
      <c r="AH4441" s="1"/>
      <c r="AI4441" s="1"/>
      <c r="AJ4441" s="1"/>
      <c r="AK4441" s="1"/>
      <c r="AL4441" s="1"/>
      <c r="AM4441" s="1"/>
      <c r="AN4441" s="1"/>
      <c r="AO4441" s="1"/>
      <c r="AP4441" s="1"/>
      <c r="AQ4441" s="1"/>
      <c r="AR4441" s="1"/>
      <c r="AS4441" s="1"/>
      <c r="AT4441" s="1"/>
      <c r="AU4441" s="1"/>
      <c r="AV4441" s="1"/>
      <c r="AW4441" s="1"/>
      <c r="AX4441" s="1"/>
      <c r="AY4441" s="1"/>
      <c r="AZ4441" s="1"/>
      <c r="BA4441" s="1"/>
      <c r="BB4441" s="1"/>
    </row>
    <row r="4442" ht="204.75" customHeight="1">
      <c r="A4442" s="1">
        <v>5370.0</v>
      </c>
      <c r="B4442" s="2" t="s">
        <v>12796</v>
      </c>
      <c r="C4442" s="2">
        <f>IFERROR(__xludf.DUMMYFUNCTION("split(B4442,""_"")"),904.0)</f>
        <v>904</v>
      </c>
      <c r="D4442" s="2" t="str">
        <f>IFERROR(__xludf.DUMMYFUNCTION("""COMPUTED_VALUE"""),"NTV")</f>
        <v>NTV</v>
      </c>
      <c r="E4442" s="2" t="str">
        <f>IFERROR(__xludf.DUMMYFUNCTION("""COMPUTED_VALUE"""),"土21")</f>
        <v>土21</v>
      </c>
      <c r="F4442" s="2" t="s">
        <v>12797</v>
      </c>
      <c r="G4442" s="2" t="s">
        <v>12798</v>
      </c>
      <c r="H4442" s="1">
        <v>9.0</v>
      </c>
      <c r="J4442" s="1" t="s">
        <v>11</v>
      </c>
      <c r="K4442" s="2" t="s">
        <v>12807</v>
      </c>
      <c r="L4442" s="2"/>
      <c r="M4442" s="2" t="str">
        <f>IFERROR(__xludf.DUMMYFUNCTION("split(split(K4442,""【演出"",false),""ほか"",false)"),"櫻井翔　横山裕　松浦亜弥　篠井英介　田中哲司　和田正人　森脇英理子　今井隆文　白石みき　松尾英太郎　和田成正　飯田隆裕　水沢エレナ　泉谷しげる　榎木孝明　真矢みき　『クイズショウ』で冴島(真矢)がプロデューサーに復帰したが、番組が始まると本間(横山)が解答者の扉から登場、今回の解答者が神山(櫻井)だと宣言。神山は全ての真実を知ることを夢とし、クイズに挑むことに。やがて、本間の出題から神山が6年間も眠り続けた原因、美咲の思わぬ死因などが明らかになってゆく。そして、「全部を思い出させてやる」と告げた本間は、最"&amp;"後、神山に衝撃の事実を突きつけることになる…。南雲聖一　【原案】「THE　QUIZ　SHOW」森谷雄(アットムービー)/D.N.ドリームパートナーズ・VAP　  【脚本】及川拓郎　NARASAKI　  【主題歌】「明日の記憶」嵐(ジェイ・ストーム)　【プロデューサー】池田健司(日本テレビ)森谷雄(アットムービー)　  【制作協力】アットムービー　  【協力】オフィスクレッシェンド")</f>
        <v>櫻井翔　横山裕　松浦亜弥　篠井英介　田中哲司　和田正人　森脇英理子　今井隆文　白石みき　松尾英太郎　和田成正　飯田隆裕　水沢エレナ　泉谷しげる　榎木孝明　真矢みき　『クイズショウ』で冴島(真矢)がプロデューサーに復帰したが、番組が始まると本間(横山)が解答者の扉から登場、今回の解答者が神山(櫻井)だと宣言。神山は全ての真実を知ることを夢とし、クイズに挑むことに。やがて、本間の出題から神山が6年間も眠り続けた原因、美咲の思わぬ死因などが明らかになってゆく。そして、「全部を思い出させてやる」と告げた本間は、最後、神山に衝撃の事実を突きつけることになる…。南雲聖一　【原案】「THE　QUIZ　SHOW」森谷雄(アットムービー)/D.N.ドリームパートナーズ・VAP　  【脚本】及川拓郎　NARASAKI　  【主題歌】「明日の記憶」嵐(ジェイ・ストーム)　【プロデューサー】池田健司(日本テレビ)森谷雄(アットムービー)　  【制作協力】アットムービー　  【協力】オフィスクレッシェンド</v>
      </c>
      <c r="N4442" s="2"/>
      <c r="O4442" s="2"/>
      <c r="P4442" s="1"/>
      <c r="Q4442" s="1"/>
      <c r="R4442" s="1"/>
      <c r="S4442" s="1"/>
      <c r="T4442" s="1"/>
      <c r="U4442" s="1"/>
      <c r="V4442" s="1"/>
      <c r="W4442" s="1"/>
      <c r="X4442" s="1"/>
      <c r="Y4442" s="1"/>
      <c r="Z4442" s="1"/>
      <c r="AA4442" s="1"/>
      <c r="AB4442" s="1"/>
      <c r="AC4442" s="1"/>
      <c r="AD4442" s="1"/>
      <c r="AE4442" s="1"/>
      <c r="AF4442" s="1"/>
      <c r="AG4442" s="1"/>
      <c r="AH4442" s="1"/>
      <c r="AI4442" s="1"/>
      <c r="AJ4442" s="1"/>
      <c r="AK4442" s="1"/>
      <c r="AL4442" s="1"/>
      <c r="AM4442" s="1"/>
      <c r="AN4442" s="1"/>
      <c r="AO4442" s="1"/>
      <c r="AP4442" s="1"/>
      <c r="AQ4442" s="1"/>
      <c r="AR4442" s="1"/>
      <c r="AS4442" s="1"/>
      <c r="AT4442" s="1"/>
      <c r="AU4442" s="1"/>
      <c r="AV4442" s="1"/>
      <c r="AW4442" s="1"/>
      <c r="AX4442" s="1"/>
      <c r="AY4442" s="1"/>
      <c r="AZ4442" s="1"/>
      <c r="BA4442" s="1"/>
      <c r="BB4442" s="1"/>
    </row>
    <row r="4443" ht="204.75" customHeight="1">
      <c r="A4443" s="1">
        <v>5371.0</v>
      </c>
      <c r="B4443" s="2" t="s">
        <v>12796</v>
      </c>
      <c r="C4443" s="2">
        <f>IFERROR(__xludf.DUMMYFUNCTION("split(B4443,""_"")"),904.0)</f>
        <v>904</v>
      </c>
      <c r="D4443" s="2" t="str">
        <f>IFERROR(__xludf.DUMMYFUNCTION("""COMPUTED_VALUE"""),"NTV")</f>
        <v>NTV</v>
      </c>
      <c r="E4443" s="2" t="str">
        <f>IFERROR(__xludf.DUMMYFUNCTION("""COMPUTED_VALUE"""),"土21")</f>
        <v>土21</v>
      </c>
      <c r="F4443" s="2" t="s">
        <v>12797</v>
      </c>
      <c r="G4443" s="2" t="s">
        <v>12798</v>
      </c>
      <c r="H4443" s="1">
        <v>10.0</v>
      </c>
      <c r="J4443" s="1" t="s">
        <v>11</v>
      </c>
      <c r="K4443" s="2" t="s">
        <v>12808</v>
      </c>
      <c r="L4443" s="2"/>
      <c r="M4443" s="2" t="str">
        <f>IFERROR(__xludf.DUMMYFUNCTION("split(split(K4443,""【演出"",false),""ほか"",false)"),"櫻井翔　横山裕　松浦亜弥　篠井英介　田中哲司　和田正人　森脇英理子　今井隆文　白石みき　松尾英太郎　和田成正　飯田隆裕　水沢エレナ　泉谷しげる　榎木孝明　真矢みき　「ザ・クイズショウ」それは謎の司会者とディレクターに支配されたクイズ番組。彼らは番組を使って社会と悪と人間の罪を暴いてゆく…このクイズ番組に挑戦するのは「ワケあり」の解答者。過去の過ち、秘密、罪…それをひた隠しにしようとする解答者に対する、司会者の存在。それは単なるクイズではない。出場者の人生模様をより劇的に演出する舞台なのだ。南雲聖一　佐久間"&amp;"紀佳　狩山俊輔【原案】「THE　QUIZ　SHOW」森谷雄(アットムービー)/D.N.ドリームパートナーズ・VAP　  【脚本】及川拓郎　NARASAKI　  【主題歌】「明日の記憶」嵐(ジェイ・ストーム)　【プロデューサー】池田健司(日本テレビ)森谷雄(アットムービー)　  【制作協力】アットムービー　  【協力】オフィスクレッシェンド")</f>
        <v>櫻井翔　横山裕　松浦亜弥　篠井英介　田中哲司　和田正人　森脇英理子　今井隆文　白石みき　松尾英太郎　和田成正　飯田隆裕　水沢エレナ　泉谷しげる　榎木孝明　真矢みき　「ザ・クイズショウ」それは謎の司会者とディレクターに支配されたクイズ番組。彼らは番組を使って社会と悪と人間の罪を暴いてゆく…このクイズ番組に挑戦するのは「ワケあり」の解答者。過去の過ち、秘密、罪…それをひた隠しにしようとする解答者に対する、司会者の存在。それは単なるクイズではない。出場者の人生模様をより劇的に演出する舞台なのだ。南雲聖一　佐久間紀佳　狩山俊輔【原案】「THE　QUIZ　SHOW」森谷雄(アットムービー)/D.N.ドリームパートナーズ・VAP　  【脚本】及川拓郎　NARASAKI　  【主題歌】「明日の記憶」嵐(ジェイ・ストーム)　【プロデューサー】池田健司(日本テレビ)森谷雄(アットムービー)　  【制作協力】アットムービー　  【協力】オフィスクレッシェンド</v>
      </c>
      <c r="N4443" s="2"/>
      <c r="O4443" s="2"/>
      <c r="P4443" s="1"/>
      <c r="Q4443" s="1"/>
      <c r="R4443" s="1"/>
      <c r="S4443" s="1"/>
      <c r="T4443" s="1"/>
      <c r="U4443" s="1"/>
      <c r="V4443" s="1"/>
      <c r="W4443" s="1"/>
      <c r="X4443" s="1"/>
      <c r="Y4443" s="1"/>
      <c r="Z4443" s="1"/>
      <c r="AA4443" s="1"/>
      <c r="AB4443" s="1"/>
      <c r="AC4443" s="1"/>
      <c r="AD4443" s="1"/>
      <c r="AE4443" s="1"/>
      <c r="AF4443" s="1"/>
      <c r="AG4443" s="1"/>
      <c r="AH4443" s="1"/>
      <c r="AI4443" s="1"/>
      <c r="AJ4443" s="1"/>
      <c r="AK4443" s="1"/>
      <c r="AL4443" s="1"/>
      <c r="AM4443" s="1"/>
      <c r="AN4443" s="1"/>
      <c r="AO4443" s="1"/>
      <c r="AP4443" s="1"/>
      <c r="AQ4443" s="1"/>
      <c r="AR4443" s="1"/>
      <c r="AS4443" s="1"/>
      <c r="AT4443" s="1"/>
      <c r="AU4443" s="1"/>
      <c r="AV4443" s="1"/>
      <c r="AW4443" s="1"/>
      <c r="AX4443" s="1"/>
      <c r="AY4443" s="1"/>
      <c r="AZ4443" s="1"/>
      <c r="BA4443" s="1"/>
      <c r="BB4443" s="1"/>
    </row>
    <row r="4444" ht="204.75" customHeight="1">
      <c r="A4444" s="1">
        <v>5418.0</v>
      </c>
      <c r="B4444" s="2" t="s">
        <v>12809</v>
      </c>
      <c r="C4444" s="2">
        <f>IFERROR(__xludf.DUMMYFUNCTION("split(B4444,""_"")"),901.0)</f>
        <v>901</v>
      </c>
      <c r="D4444" s="2" t="str">
        <f>IFERROR(__xludf.DUMMYFUNCTION("""COMPUTED_VALUE"""),"NTV")</f>
        <v>NTV</v>
      </c>
      <c r="E4444" s="2" t="str">
        <f>IFERROR(__xludf.DUMMYFUNCTION("""COMPUTED_VALUE"""),"火22")</f>
        <v>火22</v>
      </c>
      <c r="F4444" s="2" t="s">
        <v>12810</v>
      </c>
      <c r="G4444" s="2" t="s">
        <v>12811</v>
      </c>
      <c r="H4444" s="1">
        <v>1.0</v>
      </c>
      <c r="J4444" s="1" t="s">
        <v>82</v>
      </c>
      <c r="K4444" s="2" t="s">
        <v>12812</v>
      </c>
      <c r="L4444" s="2"/>
      <c r="M4444" s="2" t="str">
        <f>IFERROR(__xludf.DUMMYFUNCTION("split(split(K4444,""【演出"",false),""ほか"",false)"),"亀梨和也　田辺誠一　仲里依紗　内田有紀  戸田菜穂　升毅　田口浩正　佐々木希　辰巳琢郎　竹中直人　古谷一行　(他)神咲雫のもとに、突然、世界的ワイン評論家である父の訃報が届く。雫が父に反発し、何年も帰っていなかった家に帰ると、「幻のワイン“神の雫”を探し出した兄弟の内1人に20億円を越えるワインコレクションを譲る」という遺言と共に、死ぬ直前に養子縁組をしたという、ワイン評論家・遠峰一青が現れる。思いとは裏腹に20億円を賭けた戦いの渦に巻き込まれていく雫。男と男の華麗なる戦いが幕を開ける!")</f>
        <v>亀梨和也　田辺誠一　仲里依紗　内田有紀  戸田菜穂　升毅　田口浩正　佐々木希　辰巳琢郎　竹中直人　古谷一行　(他)神咲雫のもとに、突然、世界的ワイン評論家である父の訃報が届く。雫が父に反発し、何年も帰っていなかった家に帰ると、「幻のワイン“神の雫”を探し出した兄弟の内1人に20億円を越えるワインコレクションを譲る」という遺言と共に、死ぬ直前に養子縁組をしたという、ワイン評論家・遠峰一青が現れる。思いとは裏腹に20億円を賭けた戦いの渦に巻き込まれていく雫。男と男の華麗なる戦いが幕を開ける!</v>
      </c>
      <c r="N4444" s="2"/>
      <c r="O4444" s="2"/>
      <c r="P4444" s="1"/>
      <c r="Q4444" s="1"/>
      <c r="R4444" s="1"/>
      <c r="S4444" s="1"/>
      <c r="T4444" s="1"/>
      <c r="U4444" s="1"/>
      <c r="V4444" s="1"/>
      <c r="W4444" s="1"/>
      <c r="X4444" s="1"/>
      <c r="Y4444" s="1"/>
      <c r="Z4444" s="1"/>
      <c r="AA4444" s="1"/>
      <c r="AB4444" s="1"/>
      <c r="AC4444" s="1"/>
      <c r="AD4444" s="1"/>
      <c r="AE4444" s="1"/>
      <c r="AF4444" s="1"/>
      <c r="AG4444" s="1"/>
      <c r="AH4444" s="1"/>
      <c r="AI4444" s="1"/>
      <c r="AJ4444" s="1"/>
      <c r="AK4444" s="1"/>
      <c r="AL4444" s="1"/>
      <c r="AM4444" s="1"/>
      <c r="AN4444" s="1"/>
      <c r="AO4444" s="1"/>
      <c r="AP4444" s="1"/>
      <c r="AQ4444" s="1"/>
      <c r="AR4444" s="1"/>
      <c r="AS4444" s="1"/>
      <c r="AT4444" s="1"/>
      <c r="AU4444" s="1"/>
      <c r="AV4444" s="1"/>
      <c r="AW4444" s="1"/>
      <c r="AX4444" s="1"/>
      <c r="AY4444" s="1"/>
      <c r="AZ4444" s="1"/>
      <c r="BA4444" s="1"/>
      <c r="BB4444" s="1"/>
    </row>
    <row r="4445" ht="204.75" customHeight="1">
      <c r="A4445" s="1">
        <v>5419.0</v>
      </c>
      <c r="B4445" s="2" t="s">
        <v>12809</v>
      </c>
      <c r="C4445" s="2">
        <f>IFERROR(__xludf.DUMMYFUNCTION("split(B4445,""_"")"),901.0)</f>
        <v>901</v>
      </c>
      <c r="D4445" s="2" t="str">
        <f>IFERROR(__xludf.DUMMYFUNCTION("""COMPUTED_VALUE"""),"NTV")</f>
        <v>NTV</v>
      </c>
      <c r="E4445" s="2" t="str">
        <f>IFERROR(__xludf.DUMMYFUNCTION("""COMPUTED_VALUE"""),"火22")</f>
        <v>火22</v>
      </c>
      <c r="F4445" s="2" t="s">
        <v>12810</v>
      </c>
      <c r="G4445" s="2" t="s">
        <v>12811</v>
      </c>
      <c r="H4445" s="1">
        <v>2.0</v>
      </c>
      <c r="J4445" s="1" t="s">
        <v>82</v>
      </c>
      <c r="K4445" s="2" t="s">
        <v>12813</v>
      </c>
      <c r="L4445" s="2"/>
      <c r="M4445" s="2" t="str">
        <f>IFERROR(__xludf.DUMMYFUNCTION("split(split(K4445,""【演出"",false),""ほか"",false)"),"亀梨和也　田辺誠一　仲里依紗　内田有紀　  戸田菜穂　升毅　田口浩正　佐々木希　辰巳琢郎　竹中直人　古谷一行　(他)亡き父が残した、20億円相当するワインコレクションの遺産をめぐる遠峰一青との戦いを決意した神咲雫。ついに、本格的な対決の幕が開けられた。  ストイックなまでに人生を賭けて戦いに挑む一青と、この対決を父からの挑戦状だと思って立ち向かおうとする雫。  最後まで一時も目が離せない、最初の遺言状「第一の使徒」の対決はいかに!?【監督】中島悟【原作】モーニングKC「神の雫」　作:亜樹　直　漫画:オキモ"&amp;"ト・シュウ　  【脚本】渡辺雄介　【音楽】　福島祐子　中島靖雄　  【主題歌】KAT-TUN「ONE　DROP」(ジェイ・ワン　レコーズ)　【制作協力】アベクカンパニー　  【製作著作】日本テレビ")</f>
        <v>亀梨和也　田辺誠一　仲里依紗　内田有紀　  戸田菜穂　升毅　田口浩正　佐々木希　辰巳琢郎　竹中直人　古谷一行　(他)亡き父が残した、20億円相当するワインコレクションの遺産をめぐる遠峰一青との戦いを決意した神咲雫。ついに、本格的な対決の幕が開けられた。  ストイックなまでに人生を賭けて戦いに挑む一青と、この対決を父からの挑戦状だと思って立ち向かおうとする雫。  最後まで一時も目が離せない、最初の遺言状「第一の使徒」の対決はいかに!?【監督】中島悟【原作】モーニングKC「神の雫」　作:亜樹　直　漫画:オキモト・シュウ　  【脚本】渡辺雄介　【音楽】　福島祐子　中島靖雄　  【主題歌】KAT-TUN「ONE　DROP」(ジェイ・ワン　レコーズ)　【制作協力】アベクカンパニー　  【製作著作】日本テレビ</v>
      </c>
      <c r="N4445" s="2"/>
      <c r="O4445" s="2"/>
      <c r="P4445" s="1"/>
      <c r="Q4445" s="1"/>
      <c r="R4445" s="1"/>
      <c r="S4445" s="1"/>
      <c r="T4445" s="1"/>
      <c r="U4445" s="1"/>
      <c r="V4445" s="1"/>
      <c r="W4445" s="1"/>
      <c r="X4445" s="1"/>
      <c r="Y4445" s="1"/>
      <c r="Z4445" s="1"/>
      <c r="AA4445" s="1"/>
      <c r="AB4445" s="1"/>
      <c r="AC4445" s="1"/>
      <c r="AD4445" s="1"/>
      <c r="AE4445" s="1"/>
      <c r="AF4445" s="1"/>
      <c r="AG4445" s="1"/>
      <c r="AH4445" s="1"/>
      <c r="AI4445" s="1"/>
      <c r="AJ4445" s="1"/>
      <c r="AK4445" s="1"/>
      <c r="AL4445" s="1"/>
      <c r="AM4445" s="1"/>
      <c r="AN4445" s="1"/>
      <c r="AO4445" s="1"/>
      <c r="AP4445" s="1"/>
      <c r="AQ4445" s="1"/>
      <c r="AR4445" s="1"/>
      <c r="AS4445" s="1"/>
      <c r="AT4445" s="1"/>
      <c r="AU4445" s="1"/>
      <c r="AV4445" s="1"/>
      <c r="AW4445" s="1"/>
      <c r="AX4445" s="1"/>
      <c r="AY4445" s="1"/>
      <c r="AZ4445" s="1"/>
      <c r="BA4445" s="1"/>
      <c r="BB4445" s="1"/>
    </row>
    <row r="4446" ht="204.75" customHeight="1">
      <c r="A4446" s="1">
        <v>5420.0</v>
      </c>
      <c r="B4446" s="2" t="s">
        <v>12809</v>
      </c>
      <c r="C4446" s="2">
        <f>IFERROR(__xludf.DUMMYFUNCTION("split(B4446,""_"")"),901.0)</f>
        <v>901</v>
      </c>
      <c r="D4446" s="2" t="str">
        <f>IFERROR(__xludf.DUMMYFUNCTION("""COMPUTED_VALUE"""),"NTV")</f>
        <v>NTV</v>
      </c>
      <c r="E4446" s="2" t="str">
        <f>IFERROR(__xludf.DUMMYFUNCTION("""COMPUTED_VALUE"""),"火22")</f>
        <v>火22</v>
      </c>
      <c r="F4446" s="2" t="s">
        <v>12810</v>
      </c>
      <c r="G4446" s="2" t="s">
        <v>12811</v>
      </c>
      <c r="H4446" s="1">
        <v>3.0</v>
      </c>
      <c r="J4446" s="1" t="s">
        <v>86</v>
      </c>
      <c r="K4446" s="2" t="s">
        <v>12814</v>
      </c>
      <c r="L4446" s="2"/>
      <c r="M4446" s="2" t="str">
        <f>IFERROR(__xludf.DUMMYFUNCTION("split(split(K4446,""【演出"",false),""ほか"",false)"),"亀梨和也　田辺誠一　仲里依紗　内田有紀　  戸田菜穂　升毅　田口浩正　佐々木希　辰巳琢郎　竹中直人　古谷一行　(他)　亡き父が残した、20億円相当するワインコレクションをめぐる神咲雫と遠峰一青の戦いの一戦目は、神咲雫の勝利で幕を閉じた。そして、「第二の使徒」をめぐる対決が始まる。遺言状には“団欒”など温かみのある、昔を懐かしむような言葉でワインのイメージが書かれていた。雫は亡き父には似つかわしくない言葉に戸惑う。一方、前回の敗北により、焦りをみせる一青。最後まで一時も目が離せない、「第二の使徒」の対決はい"&amp;"かに!?")</f>
        <v>亀梨和也　田辺誠一　仲里依紗　内田有紀　  戸田菜穂　升毅　田口浩正　佐々木希　辰巳琢郎　竹中直人　古谷一行　(他)　亡き父が残した、20億円相当するワインコレクションをめぐる神咲雫と遠峰一青の戦いの一戦目は、神咲雫の勝利で幕を閉じた。そして、「第二の使徒」をめぐる対決が始まる。遺言状には“団欒”など温かみのある、昔を懐かしむような言葉でワインのイメージが書かれていた。雫は亡き父には似つかわしくない言葉に戸惑う。一方、前回の敗北により、焦りをみせる一青。最後まで一時も目が離せない、「第二の使徒」の対決はいかに!?</v>
      </c>
      <c r="N4446" s="2"/>
      <c r="O4446" s="2"/>
      <c r="P4446" s="1"/>
      <c r="Q4446" s="1"/>
      <c r="R4446" s="1"/>
      <c r="S4446" s="1"/>
      <c r="T4446" s="1"/>
      <c r="U4446" s="1"/>
      <c r="V4446" s="1"/>
      <c r="W4446" s="1"/>
      <c r="X4446" s="1"/>
      <c r="Y4446" s="1"/>
      <c r="Z4446" s="1"/>
      <c r="AA4446" s="1"/>
      <c r="AB4446" s="1"/>
      <c r="AC4446" s="1"/>
      <c r="AD4446" s="1"/>
      <c r="AE4446" s="1"/>
      <c r="AF4446" s="1"/>
      <c r="AG4446" s="1"/>
      <c r="AH4446" s="1"/>
      <c r="AI4446" s="1"/>
      <c r="AJ4446" s="1"/>
      <c r="AK4446" s="1"/>
      <c r="AL4446" s="1"/>
      <c r="AM4446" s="1"/>
      <c r="AN4446" s="1"/>
      <c r="AO4446" s="1"/>
      <c r="AP4446" s="1"/>
      <c r="AQ4446" s="1"/>
      <c r="AR4446" s="1"/>
      <c r="AS4446" s="1"/>
      <c r="AT4446" s="1"/>
      <c r="AU4446" s="1"/>
      <c r="AV4446" s="1"/>
      <c r="AW4446" s="1"/>
      <c r="AX4446" s="1"/>
      <c r="AY4446" s="1"/>
      <c r="AZ4446" s="1"/>
      <c r="BA4446" s="1"/>
      <c r="BB4446" s="1"/>
    </row>
    <row r="4447" ht="204.75" customHeight="1">
      <c r="A4447" s="1">
        <v>5421.0</v>
      </c>
      <c r="B4447" s="2" t="s">
        <v>12809</v>
      </c>
      <c r="C4447" s="2">
        <f>IFERROR(__xludf.DUMMYFUNCTION("split(B4447,""_"")"),901.0)</f>
        <v>901</v>
      </c>
      <c r="D4447" s="2" t="str">
        <f>IFERROR(__xludf.DUMMYFUNCTION("""COMPUTED_VALUE"""),"NTV")</f>
        <v>NTV</v>
      </c>
      <c r="E4447" s="2" t="str">
        <f>IFERROR(__xludf.DUMMYFUNCTION("""COMPUTED_VALUE"""),"火22")</f>
        <v>火22</v>
      </c>
      <c r="F4447" s="2" t="s">
        <v>12810</v>
      </c>
      <c r="G4447" s="2" t="s">
        <v>12811</v>
      </c>
      <c r="H4447" s="1">
        <v>4.0</v>
      </c>
      <c r="J4447" s="1" t="s">
        <v>86</v>
      </c>
      <c r="K4447" s="2" t="s">
        <v>12815</v>
      </c>
      <c r="L4447" s="2"/>
      <c r="M4447" s="2" t="str">
        <f>IFERROR(__xludf.DUMMYFUNCTION("split(split(K4447,""【演出"",false),""ほか"",false)"),"亀梨和也　田辺誠一　仲里依紗　内田有紀　  戸田菜穂　升毅　田口浩正　佐々木希　辰巳琢郎　竹中直人　古谷一行　(他)　「第三の使徒」をめぐる対決が始まる。遺言状には「このワインはモナリザである。私は『愛しき人』だとたとえた」と書かれていた。雫は、父の愛しき人とは誰なのか?母か、それとも母が倒れたときに父と一緒にいた「ほのか」という女性なのかと悩む。一方、愛しき人が分からない一青は、一心不乱にモナリザを描いたダヴィンチになりきろうとする。一勝一敗で臨む今回の対決の結末とは!?")</f>
        <v>亀梨和也　田辺誠一　仲里依紗　内田有紀　  戸田菜穂　升毅　田口浩正　佐々木希　辰巳琢郎　竹中直人　古谷一行　(他)　「第三の使徒」をめぐる対決が始まる。遺言状には「このワインはモナリザである。私は『愛しき人』だとたとえた」と書かれていた。雫は、父の愛しき人とは誰なのか?母か、それとも母が倒れたときに父と一緒にいた「ほのか」という女性なのかと悩む。一方、愛しき人が分からない一青は、一心不乱にモナリザを描いたダヴィンチになりきろうとする。一勝一敗で臨む今回の対決の結末とは!?</v>
      </c>
      <c r="N4447" s="2"/>
      <c r="O4447" s="2"/>
      <c r="P4447" s="1"/>
      <c r="Q4447" s="1"/>
      <c r="R4447" s="1"/>
      <c r="S4447" s="1"/>
      <c r="T4447" s="1"/>
      <c r="U4447" s="1"/>
      <c r="V4447" s="1"/>
      <c r="W4447" s="1"/>
      <c r="X4447" s="1"/>
      <c r="Y4447" s="1"/>
      <c r="Z4447" s="1"/>
      <c r="AA4447" s="1"/>
      <c r="AB4447" s="1"/>
      <c r="AC4447" s="1"/>
      <c r="AD4447" s="1"/>
      <c r="AE4447" s="1"/>
      <c r="AF4447" s="1"/>
      <c r="AG4447" s="1"/>
      <c r="AH4447" s="1"/>
      <c r="AI4447" s="1"/>
      <c r="AJ4447" s="1"/>
      <c r="AK4447" s="1"/>
      <c r="AL4447" s="1"/>
      <c r="AM4447" s="1"/>
      <c r="AN4447" s="1"/>
      <c r="AO4447" s="1"/>
      <c r="AP4447" s="1"/>
      <c r="AQ4447" s="1"/>
      <c r="AR4447" s="1"/>
      <c r="AS4447" s="1"/>
      <c r="AT4447" s="1"/>
      <c r="AU4447" s="1"/>
      <c r="AV4447" s="1"/>
      <c r="AW4447" s="1"/>
      <c r="AX4447" s="1"/>
      <c r="AY4447" s="1"/>
      <c r="AZ4447" s="1"/>
      <c r="BA4447" s="1"/>
      <c r="BB4447" s="1"/>
    </row>
    <row r="4448" ht="204.75" customHeight="1">
      <c r="A4448" s="1">
        <v>5422.0</v>
      </c>
      <c r="B4448" s="2" t="s">
        <v>12809</v>
      </c>
      <c r="C4448" s="2">
        <f>IFERROR(__xludf.DUMMYFUNCTION("split(B4448,""_"")"),901.0)</f>
        <v>901</v>
      </c>
      <c r="D4448" s="2" t="str">
        <f>IFERROR(__xludf.DUMMYFUNCTION("""COMPUTED_VALUE"""),"NTV")</f>
        <v>NTV</v>
      </c>
      <c r="E4448" s="2" t="str">
        <f>IFERROR(__xludf.DUMMYFUNCTION("""COMPUTED_VALUE"""),"火22")</f>
        <v>火22</v>
      </c>
      <c r="F4448" s="2" t="s">
        <v>12810</v>
      </c>
      <c r="G4448" s="2" t="s">
        <v>12811</v>
      </c>
      <c r="H4448" s="1">
        <v>5.0</v>
      </c>
      <c r="J4448" s="1" t="s">
        <v>86</v>
      </c>
      <c r="K4448" s="2" t="s">
        <v>12816</v>
      </c>
      <c r="L4448" s="2"/>
      <c r="M4448" s="2" t="str">
        <f>IFERROR(__xludf.DUMMYFUNCTION("split(split(K4448,""【演出"",false),""ほか"",false)"),"亀梨和也　田辺誠一　仲里依紗　内田有紀　  戸田菜穂　升毅　田口浩正　佐々木希　辰巳琢郎　竹中直人　古谷一行　(他)遂に雫と一青の出生の秘密が明らかに!!  前回「第三の使徒」のワインを当てる対決は両者不正解により延期されていた。  再び、最も愛に溢れたモナリザのイメージのワイン探しにとりかかる雫。  一方、一青は「愛」を知らないことで、悩み、壁にぶつかっていた。  「第三の使徒」とは?そして、今まで隠されていた雫と一青の関係とは!?")</f>
        <v>亀梨和也　田辺誠一　仲里依紗　内田有紀　  戸田菜穂　升毅　田口浩正　佐々木希　辰巳琢郎　竹中直人　古谷一行　(他)遂に雫と一青の出生の秘密が明らかに!!  前回「第三の使徒」のワインを当てる対決は両者不正解により延期されていた。  再び、最も愛に溢れたモナリザのイメージのワイン探しにとりかかる雫。  一方、一青は「愛」を知らないことで、悩み、壁にぶつかっていた。  「第三の使徒」とは?そして、今まで隠されていた雫と一青の関係とは!?</v>
      </c>
      <c r="N4448" s="2"/>
      <c r="O4448" s="2"/>
      <c r="P4448" s="1"/>
      <c r="Q4448" s="1"/>
      <c r="R4448" s="1"/>
      <c r="S4448" s="1"/>
      <c r="T4448" s="1"/>
      <c r="U4448" s="1"/>
      <c r="V4448" s="1"/>
      <c r="W4448" s="1"/>
      <c r="X4448" s="1"/>
      <c r="Y4448" s="1"/>
      <c r="Z4448" s="1"/>
      <c r="AA4448" s="1"/>
      <c r="AB4448" s="1"/>
      <c r="AC4448" s="1"/>
      <c r="AD4448" s="1"/>
      <c r="AE4448" s="1"/>
      <c r="AF4448" s="1"/>
      <c r="AG4448" s="1"/>
      <c r="AH4448" s="1"/>
      <c r="AI4448" s="1"/>
      <c r="AJ4448" s="1"/>
      <c r="AK4448" s="1"/>
      <c r="AL4448" s="1"/>
      <c r="AM4448" s="1"/>
      <c r="AN4448" s="1"/>
      <c r="AO4448" s="1"/>
      <c r="AP4448" s="1"/>
      <c r="AQ4448" s="1"/>
      <c r="AR4448" s="1"/>
      <c r="AS4448" s="1"/>
      <c r="AT4448" s="1"/>
      <c r="AU4448" s="1"/>
      <c r="AV4448" s="1"/>
      <c r="AW4448" s="1"/>
      <c r="AX4448" s="1"/>
      <c r="AY4448" s="1"/>
      <c r="AZ4448" s="1"/>
      <c r="BA4448" s="1"/>
      <c r="BB4448" s="1"/>
    </row>
    <row r="4449" ht="204.75" customHeight="1">
      <c r="A4449" s="1">
        <v>5423.0</v>
      </c>
      <c r="B4449" s="2" t="s">
        <v>12809</v>
      </c>
      <c r="C4449" s="2">
        <f>IFERROR(__xludf.DUMMYFUNCTION("split(B4449,""_"")"),901.0)</f>
        <v>901</v>
      </c>
      <c r="D4449" s="2" t="str">
        <f>IFERROR(__xludf.DUMMYFUNCTION("""COMPUTED_VALUE"""),"NTV")</f>
        <v>NTV</v>
      </c>
      <c r="E4449" s="2" t="str">
        <f>IFERROR(__xludf.DUMMYFUNCTION("""COMPUTED_VALUE"""),"火22")</f>
        <v>火22</v>
      </c>
      <c r="F4449" s="2" t="s">
        <v>12810</v>
      </c>
      <c r="G4449" s="2" t="s">
        <v>12811</v>
      </c>
      <c r="H4449" s="1">
        <v>6.0</v>
      </c>
      <c r="J4449" s="1" t="s">
        <v>86</v>
      </c>
      <c r="K4449" s="2" t="s">
        <v>12817</v>
      </c>
      <c r="L4449" s="2"/>
      <c r="M4449" s="2" t="str">
        <f>IFERROR(__xludf.DUMMYFUNCTION("split(split(K4449,""【演出"",false),""ほか"",false)"),"亀梨和也　田辺誠一　仲里依紗　内田有紀　  戸田菜穂　升毅　田口浩正　佐々木希　辰巳琢郎　竹中直人　古谷一行　(他)　雫と一青は血のつながった兄弟だった!!  衝撃の事実を知った雫は遺産争いを放棄し、一人旅立つ。  同じく何も知らなかった一青は、変わらず使徒(ワイン)探しをしていたが、ある日突然倒れる!  20億の遺産をめぐる戦いは、このまま終わってしまうのか?　  真実を知った2人の、相手への思いとは?憎しみかそれとも・・・  2人が選ぶ道をご期待下さい!!")</f>
        <v>亀梨和也　田辺誠一　仲里依紗　内田有紀　  戸田菜穂　升毅　田口浩正　佐々木希　辰巳琢郎　竹中直人　古谷一行　(他)　雫と一青は血のつながった兄弟だった!!  衝撃の事実を知った雫は遺産争いを放棄し、一人旅立つ。  同じく何も知らなかった一青は、変わらず使徒(ワイン)探しをしていたが、ある日突然倒れる!  20億の遺産をめぐる戦いは、このまま終わってしまうのか?　  真実を知った2人の、相手への思いとは?憎しみかそれとも・・・  2人が選ぶ道をご期待下さい!!</v>
      </c>
      <c r="N4449" s="2"/>
      <c r="O4449" s="2"/>
      <c r="P4449" s="1"/>
      <c r="Q4449" s="1"/>
      <c r="R4449" s="1"/>
      <c r="S4449" s="1"/>
      <c r="T4449" s="1"/>
      <c r="U4449" s="1"/>
      <c r="V4449" s="1"/>
      <c r="W4449" s="1"/>
      <c r="X4449" s="1"/>
      <c r="Y4449" s="1"/>
      <c r="Z4449" s="1"/>
      <c r="AA4449" s="1"/>
      <c r="AB4449" s="1"/>
      <c r="AC4449" s="1"/>
      <c r="AD4449" s="1"/>
      <c r="AE4449" s="1"/>
      <c r="AF4449" s="1"/>
      <c r="AG4449" s="1"/>
      <c r="AH4449" s="1"/>
      <c r="AI4449" s="1"/>
      <c r="AJ4449" s="1"/>
      <c r="AK4449" s="1"/>
      <c r="AL4449" s="1"/>
      <c r="AM4449" s="1"/>
      <c r="AN4449" s="1"/>
      <c r="AO4449" s="1"/>
      <c r="AP4449" s="1"/>
      <c r="AQ4449" s="1"/>
      <c r="AR4449" s="1"/>
      <c r="AS4449" s="1"/>
      <c r="AT4449" s="1"/>
      <c r="AU4449" s="1"/>
      <c r="AV4449" s="1"/>
      <c r="AW4449" s="1"/>
      <c r="AX4449" s="1"/>
      <c r="AY4449" s="1"/>
      <c r="AZ4449" s="1"/>
      <c r="BA4449" s="1"/>
      <c r="BB4449" s="1"/>
    </row>
    <row r="4450" ht="204.75" customHeight="1">
      <c r="A4450" s="1">
        <v>5424.0</v>
      </c>
      <c r="B4450" s="2" t="s">
        <v>12809</v>
      </c>
      <c r="C4450" s="2">
        <f>IFERROR(__xludf.DUMMYFUNCTION("split(B4450,""_"")"),901.0)</f>
        <v>901</v>
      </c>
      <c r="D4450" s="2" t="str">
        <f>IFERROR(__xludf.DUMMYFUNCTION("""COMPUTED_VALUE"""),"NTV")</f>
        <v>NTV</v>
      </c>
      <c r="E4450" s="2" t="str">
        <f>IFERROR(__xludf.DUMMYFUNCTION("""COMPUTED_VALUE"""),"火22")</f>
        <v>火22</v>
      </c>
      <c r="F4450" s="2" t="s">
        <v>12810</v>
      </c>
      <c r="G4450" s="2" t="s">
        <v>12811</v>
      </c>
      <c r="H4450" s="1">
        <v>7.0</v>
      </c>
      <c r="J4450" s="1" t="s">
        <v>86</v>
      </c>
      <c r="K4450" s="2" t="s">
        <v>12818</v>
      </c>
      <c r="L4450" s="2"/>
      <c r="M4450" s="2" t="str">
        <f>IFERROR(__xludf.DUMMYFUNCTION("split(split(K4450,""【演出"",false),""ほか"",false)"),"亀梨和也　田辺誠一　仲里依紗　内田有紀　  戸田菜穂　升毅　田口浩正　佐々木希　辰巳琢郎　竹中直人　古谷一行　(他)父親の遺言状をもとに遺産を賭けた闘いを実の兄・一青と続けている雫。  “第五の使徒”を探す中で雫は今回、亡き父親にとってかけがえのない存在であることを知る・・・。雫が気づいた父親の意外な姿とは?  そんな中、一青の身には病が襲いかかっていた・・・。失明の危険をかけてまで、闘い続けることを決意した一青。果たして、雫と一青の対決の行方は?  そして遂に、美しき女達の思惑が動きはじめる!")</f>
        <v>亀梨和也　田辺誠一　仲里依紗　内田有紀　  戸田菜穂　升毅　田口浩正　佐々木希　辰巳琢郎　竹中直人　古谷一行　(他)父親の遺言状をもとに遺産を賭けた闘いを実の兄・一青と続けている雫。  “第五の使徒”を探す中で雫は今回、亡き父親にとってかけがえのない存在であることを知る・・・。雫が気づいた父親の意外な姿とは?  そんな中、一青の身には病が襲いかかっていた・・・。失明の危険をかけてまで、闘い続けることを決意した一青。果たして、雫と一青の対決の行方は?  そして遂に、美しき女達の思惑が動きはじめる!</v>
      </c>
      <c r="N4450" s="2"/>
      <c r="O4450" s="2"/>
      <c r="P4450" s="1"/>
      <c r="Q4450" s="1"/>
      <c r="R4450" s="1"/>
      <c r="S4450" s="1"/>
      <c r="T4450" s="1"/>
      <c r="U4450" s="1"/>
      <c r="V4450" s="1"/>
      <c r="W4450" s="1"/>
      <c r="X4450" s="1"/>
      <c r="Y4450" s="1"/>
      <c r="Z4450" s="1"/>
      <c r="AA4450" s="1"/>
      <c r="AB4450" s="1"/>
      <c r="AC4450" s="1"/>
      <c r="AD4450" s="1"/>
      <c r="AE4450" s="1"/>
      <c r="AF4450" s="1"/>
      <c r="AG4450" s="1"/>
      <c r="AH4450" s="1"/>
      <c r="AI4450" s="1"/>
      <c r="AJ4450" s="1"/>
      <c r="AK4450" s="1"/>
      <c r="AL4450" s="1"/>
      <c r="AM4450" s="1"/>
      <c r="AN4450" s="1"/>
      <c r="AO4450" s="1"/>
      <c r="AP4450" s="1"/>
      <c r="AQ4450" s="1"/>
      <c r="AR4450" s="1"/>
      <c r="AS4450" s="1"/>
      <c r="AT4450" s="1"/>
      <c r="AU4450" s="1"/>
      <c r="AV4450" s="1"/>
      <c r="AW4450" s="1"/>
      <c r="AX4450" s="1"/>
      <c r="AY4450" s="1"/>
      <c r="AZ4450" s="1"/>
      <c r="BA4450" s="1"/>
      <c r="BB4450" s="1"/>
    </row>
    <row r="4451" ht="204.75" customHeight="1">
      <c r="A4451" s="1">
        <v>5425.0</v>
      </c>
      <c r="B4451" s="2" t="s">
        <v>12809</v>
      </c>
      <c r="C4451" s="2">
        <f>IFERROR(__xludf.DUMMYFUNCTION("split(B4451,""_"")"),901.0)</f>
        <v>901</v>
      </c>
      <c r="D4451" s="2" t="str">
        <f>IFERROR(__xludf.DUMMYFUNCTION("""COMPUTED_VALUE"""),"NTV")</f>
        <v>NTV</v>
      </c>
      <c r="E4451" s="2" t="str">
        <f>IFERROR(__xludf.DUMMYFUNCTION("""COMPUTED_VALUE"""),"火22")</f>
        <v>火22</v>
      </c>
      <c r="F4451" s="2" t="s">
        <v>12810</v>
      </c>
      <c r="G4451" s="2" t="s">
        <v>12811</v>
      </c>
      <c r="H4451" s="1">
        <v>8.0</v>
      </c>
      <c r="J4451" s="1" t="s">
        <v>86</v>
      </c>
      <c r="K4451" s="2" t="s">
        <v>12819</v>
      </c>
      <c r="L4451" s="2"/>
      <c r="M4451" s="2" t="str">
        <f>IFERROR(__xludf.DUMMYFUNCTION("split(split(K4451,""【演出"",false),""ほか"",false)"),"亀梨和也　田辺誠一　仲里依紗　内田有紀　  戸田菜穂　升毅　田口浩正　佐々木希　辰巳琢郎　竹中直人　古谷一行　(他)父親の遺言状をもとに、遺産(20億円のワインコレクション)を巡る戦いを続けている異母兄弟の雫と一青。残された戦いはあと2回!  4勝の一青と3勝の雫。  今回負けたら最後の雫は、絶対に勝たなければならない戦いに勝利できるのか?  そして、極度のストレスで視力を失いながらも、一人勝利への執念を燃やす一青は?  男同士の壮絶な戦いが最終局面をむかえる!")</f>
        <v>亀梨和也　田辺誠一　仲里依紗　内田有紀　  戸田菜穂　升毅　田口浩正　佐々木希　辰巳琢郎　竹中直人　古谷一行　(他)父親の遺言状をもとに、遺産(20億円のワインコレクション)を巡る戦いを続けている異母兄弟の雫と一青。残された戦いはあと2回!  4勝の一青と3勝の雫。  今回負けたら最後の雫は、絶対に勝たなければならない戦いに勝利できるのか?  そして、極度のストレスで視力を失いながらも、一人勝利への執念を燃やす一青は?  男同士の壮絶な戦いが最終局面をむかえる!</v>
      </c>
      <c r="N4451" s="2"/>
      <c r="O4451" s="2"/>
      <c r="P4451" s="1"/>
      <c r="Q4451" s="1"/>
      <c r="R4451" s="1"/>
      <c r="S4451" s="1"/>
      <c r="T4451" s="1"/>
      <c r="U4451" s="1"/>
      <c r="V4451" s="1"/>
      <c r="W4451" s="1"/>
      <c r="X4451" s="1"/>
      <c r="Y4451" s="1"/>
      <c r="Z4451" s="1"/>
      <c r="AA4451" s="1"/>
      <c r="AB4451" s="1"/>
      <c r="AC4451" s="1"/>
      <c r="AD4451" s="1"/>
      <c r="AE4451" s="1"/>
      <c r="AF4451" s="1"/>
      <c r="AG4451" s="1"/>
      <c r="AH4451" s="1"/>
      <c r="AI4451" s="1"/>
      <c r="AJ4451" s="1"/>
      <c r="AK4451" s="1"/>
      <c r="AL4451" s="1"/>
      <c r="AM4451" s="1"/>
      <c r="AN4451" s="1"/>
      <c r="AO4451" s="1"/>
      <c r="AP4451" s="1"/>
      <c r="AQ4451" s="1"/>
      <c r="AR4451" s="1"/>
      <c r="AS4451" s="1"/>
      <c r="AT4451" s="1"/>
      <c r="AU4451" s="1"/>
      <c r="AV4451" s="1"/>
      <c r="AW4451" s="1"/>
      <c r="AX4451" s="1"/>
      <c r="AY4451" s="1"/>
      <c r="AZ4451" s="1"/>
      <c r="BA4451" s="1"/>
      <c r="BB4451" s="1"/>
    </row>
    <row r="4452" ht="204.75" customHeight="1">
      <c r="A4452" s="1">
        <v>5426.0</v>
      </c>
      <c r="B4452" s="2" t="s">
        <v>12809</v>
      </c>
      <c r="C4452" s="2">
        <f>IFERROR(__xludf.DUMMYFUNCTION("split(B4452,""_"")"),901.0)</f>
        <v>901</v>
      </c>
      <c r="D4452" s="2" t="str">
        <f>IFERROR(__xludf.DUMMYFUNCTION("""COMPUTED_VALUE"""),"NTV")</f>
        <v>NTV</v>
      </c>
      <c r="E4452" s="2" t="str">
        <f>IFERROR(__xludf.DUMMYFUNCTION("""COMPUTED_VALUE"""),"火22")</f>
        <v>火22</v>
      </c>
      <c r="F4452" s="2" t="s">
        <v>12810</v>
      </c>
      <c r="G4452" s="2" t="s">
        <v>12811</v>
      </c>
      <c r="H4452" s="1">
        <v>9.0</v>
      </c>
      <c r="J4452" s="1" t="s">
        <v>86</v>
      </c>
      <c r="K4452" s="2" t="s">
        <v>12820</v>
      </c>
      <c r="L4452" s="2"/>
      <c r="M4452" s="2" t="str">
        <f>IFERROR(__xludf.DUMMYFUNCTION("split(split(K4452,""【演出"",false),""ほか"",false)"),"亀梨和也　田辺誠一　仲里依紗　内田有紀　  戸田菜穂　升毅　田口浩正　佐々木希　辰巳琢郎　竹中直人　古谷一行　(他)最終回!  ついに、すべての頂上に立つ究極のワイン「神の雫」が明らかに!?  はたして、雫はそのワインにたどり着くことが出来るのか?  そして、いまだに眠り続ける一青の容態は?  父が2人の息子に伝えたかった想いとは一体なんだったのか?  今夜決着の時を迎える!")</f>
        <v>亀梨和也　田辺誠一　仲里依紗　内田有紀　  戸田菜穂　升毅　田口浩正　佐々木希　辰巳琢郎　竹中直人　古谷一行　(他)最終回!  ついに、すべての頂上に立つ究極のワイン「神の雫」が明らかに!?  はたして、雫はそのワインにたどり着くことが出来るのか?  そして、いまだに眠り続ける一青の容態は?  父が2人の息子に伝えたかった想いとは一体なんだったのか?  今夜決着の時を迎える!</v>
      </c>
      <c r="N4452" s="2"/>
      <c r="O4452" s="2"/>
      <c r="P4452" s="1"/>
      <c r="Q4452" s="1"/>
      <c r="R4452" s="1"/>
      <c r="S4452" s="1"/>
      <c r="T4452" s="1"/>
      <c r="U4452" s="1"/>
      <c r="V4452" s="1"/>
      <c r="W4452" s="1"/>
      <c r="X4452" s="1"/>
      <c r="Y4452" s="1"/>
      <c r="Z4452" s="1"/>
      <c r="AA4452" s="1"/>
      <c r="AB4452" s="1"/>
      <c r="AC4452" s="1"/>
      <c r="AD4452" s="1"/>
      <c r="AE4452" s="1"/>
      <c r="AF4452" s="1"/>
      <c r="AG4452" s="1"/>
      <c r="AH4452" s="1"/>
      <c r="AI4452" s="1"/>
      <c r="AJ4452" s="1"/>
      <c r="AK4452" s="1"/>
      <c r="AL4452" s="1"/>
      <c r="AM4452" s="1"/>
      <c r="AN4452" s="1"/>
      <c r="AO4452" s="1"/>
      <c r="AP4452" s="1"/>
      <c r="AQ4452" s="1"/>
      <c r="AR4452" s="1"/>
      <c r="AS4452" s="1"/>
      <c r="AT4452" s="1"/>
      <c r="AU4452" s="1"/>
      <c r="AV4452" s="1"/>
      <c r="AW4452" s="1"/>
      <c r="AX4452" s="1"/>
      <c r="AY4452" s="1"/>
      <c r="AZ4452" s="1"/>
      <c r="BA4452" s="1"/>
      <c r="BB4452" s="1"/>
    </row>
    <row r="4453" ht="204.75" customHeight="1">
      <c r="A4453" s="1">
        <v>5427.0</v>
      </c>
      <c r="B4453" s="2" t="s">
        <v>12821</v>
      </c>
      <c r="C4453" s="2">
        <f>IFERROR(__xludf.DUMMYFUNCTION("split(B4453,""_"")"),901.0)</f>
        <v>901</v>
      </c>
      <c r="D4453" s="2" t="str">
        <f>IFERROR(__xludf.DUMMYFUNCTION("""COMPUTED_VALUE"""),"NTV")</f>
        <v>NTV</v>
      </c>
      <c r="E4453" s="2" t="str">
        <f>IFERROR(__xludf.DUMMYFUNCTION("""COMPUTED_VALUE"""),"水22")</f>
        <v>水22</v>
      </c>
      <c r="F4453" s="2" t="s">
        <v>12822</v>
      </c>
      <c r="G4453" s="2" t="s">
        <v>12823</v>
      </c>
      <c r="H4453" s="1">
        <v>1.0</v>
      </c>
      <c r="J4453" s="1" t="s">
        <v>82</v>
      </c>
      <c r="K4453" s="2" t="s">
        <v>12824</v>
      </c>
      <c r="L4453" s="2"/>
      <c r="M4453" s="2" t="str">
        <f>IFERROR(__xludf.DUMMYFUNCTION("split(split(K4453,""【演出"",false),""ほか"",false)"),"菅野美穂　平岡祐太　塚地武雅(ドランクドラゴン)　  小池栄子　東根作寿英　さくら　高橋良輔　薗田杏奈　  金田明夫　草刈正雄　沢村一樹　  白石美帆　勝村政信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f>
        <v>菅野美穂　平岡祐太　塚地武雅(ドランクドラゴン)　  小池栄子　東根作寿英　さくら　高橋良輔　薗田杏奈　  金田明夫　草刈正雄　沢村一樹　  白石美帆　勝村政信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v>
      </c>
      <c r="N4453" s="2"/>
      <c r="O4453" s="2"/>
      <c r="P4453" s="1"/>
      <c r="Q4453" s="1"/>
      <c r="R4453" s="1"/>
      <c r="S4453" s="1"/>
      <c r="T4453" s="1"/>
      <c r="U4453" s="1"/>
      <c r="V4453" s="1"/>
      <c r="W4453" s="1"/>
      <c r="X4453" s="1"/>
      <c r="Y4453" s="1"/>
      <c r="Z4453" s="1"/>
      <c r="AA4453" s="1"/>
      <c r="AB4453" s="1"/>
      <c r="AC4453" s="1"/>
      <c r="AD4453" s="1"/>
      <c r="AE4453" s="1"/>
      <c r="AF4453" s="1"/>
      <c r="AG4453" s="1"/>
      <c r="AH4453" s="1"/>
      <c r="AI4453" s="1"/>
      <c r="AJ4453" s="1"/>
      <c r="AK4453" s="1"/>
      <c r="AL4453" s="1"/>
      <c r="AM4453" s="1"/>
      <c r="AN4453" s="1"/>
      <c r="AO4453" s="1"/>
      <c r="AP4453" s="1"/>
      <c r="AQ4453" s="1"/>
      <c r="AR4453" s="1"/>
      <c r="AS4453" s="1"/>
      <c r="AT4453" s="1"/>
      <c r="AU4453" s="1"/>
      <c r="AV4453" s="1"/>
      <c r="AW4453" s="1"/>
      <c r="AX4453" s="1"/>
      <c r="AY4453" s="1"/>
      <c r="AZ4453" s="1"/>
      <c r="BA4453" s="1"/>
      <c r="BB4453" s="1"/>
    </row>
    <row r="4454" ht="204.75" customHeight="1">
      <c r="A4454" s="1">
        <v>5428.0</v>
      </c>
      <c r="B4454" s="2" t="s">
        <v>12821</v>
      </c>
      <c r="C4454" s="2">
        <f>IFERROR(__xludf.DUMMYFUNCTION("split(B4454,""_"")"),901.0)</f>
        <v>901</v>
      </c>
      <c r="D4454" s="2" t="str">
        <f>IFERROR(__xludf.DUMMYFUNCTION("""COMPUTED_VALUE"""),"NTV")</f>
        <v>NTV</v>
      </c>
      <c r="E4454" s="2" t="str">
        <f>IFERROR(__xludf.DUMMYFUNCTION("""COMPUTED_VALUE"""),"水22")</f>
        <v>水22</v>
      </c>
      <c r="F4454" s="2" t="s">
        <v>12822</v>
      </c>
      <c r="G4454" s="2" t="s">
        <v>12823</v>
      </c>
      <c r="H4454" s="1">
        <v>2.0</v>
      </c>
      <c r="J4454" s="1" t="s">
        <v>86</v>
      </c>
      <c r="K4454" s="2" t="s">
        <v>12825</v>
      </c>
      <c r="L4454" s="2"/>
      <c r="M4454" s="2" t="str">
        <f>IFERROR(__xludf.DUMMYFUNCTION("split(split(K4454,""【演出"",false),""ほか"",false)"),"菅野美穂　平岡祐太　塚地武雅(ドランクドラゴン)　  小池栄子　東根作寿英　さくら　高橋良輔　薗田杏奈　  金田明夫　草刈正雄　沢村一樹　  川島海荷　かとうかずこ　大高洋夫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f>
        <v>菅野美穂　平岡祐太　塚地武雅(ドランクドラゴン)　  小池栄子　東根作寿英　さくら　高橋良輔　薗田杏奈　  金田明夫　草刈正雄　沢村一樹　  川島海荷　かとうかずこ　大高洋夫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v>
      </c>
      <c r="N4454" s="2"/>
      <c r="O4454" s="2"/>
      <c r="P4454" s="1"/>
      <c r="Q4454" s="1"/>
      <c r="R4454" s="1"/>
      <c r="S4454" s="1"/>
      <c r="T4454" s="1"/>
      <c r="U4454" s="1"/>
      <c r="V4454" s="1"/>
      <c r="W4454" s="1"/>
      <c r="X4454" s="1"/>
      <c r="Y4454" s="1"/>
      <c r="Z4454" s="1"/>
      <c r="AA4454" s="1"/>
      <c r="AB4454" s="1"/>
      <c r="AC4454" s="1"/>
      <c r="AD4454" s="1"/>
      <c r="AE4454" s="1"/>
      <c r="AF4454" s="1"/>
      <c r="AG4454" s="1"/>
      <c r="AH4454" s="1"/>
      <c r="AI4454" s="1"/>
      <c r="AJ4454" s="1"/>
      <c r="AK4454" s="1"/>
      <c r="AL4454" s="1"/>
      <c r="AM4454" s="1"/>
      <c r="AN4454" s="1"/>
      <c r="AO4454" s="1"/>
      <c r="AP4454" s="1"/>
      <c r="AQ4454" s="1"/>
      <c r="AR4454" s="1"/>
      <c r="AS4454" s="1"/>
      <c r="AT4454" s="1"/>
      <c r="AU4454" s="1"/>
      <c r="AV4454" s="1"/>
      <c r="AW4454" s="1"/>
      <c r="AX4454" s="1"/>
      <c r="AY4454" s="1"/>
      <c r="AZ4454" s="1"/>
      <c r="BA4454" s="1"/>
      <c r="BB4454" s="1"/>
    </row>
    <row r="4455" ht="204.75" customHeight="1">
      <c r="A4455" s="1">
        <v>5429.0</v>
      </c>
      <c r="B4455" s="2" t="s">
        <v>12821</v>
      </c>
      <c r="C4455" s="2">
        <f>IFERROR(__xludf.DUMMYFUNCTION("split(B4455,""_"")"),901.0)</f>
        <v>901</v>
      </c>
      <c r="D4455" s="2" t="str">
        <f>IFERROR(__xludf.DUMMYFUNCTION("""COMPUTED_VALUE"""),"NTV")</f>
        <v>NTV</v>
      </c>
      <c r="E4455" s="2" t="str">
        <f>IFERROR(__xludf.DUMMYFUNCTION("""COMPUTED_VALUE"""),"水22")</f>
        <v>水22</v>
      </c>
      <c r="F4455" s="2" t="s">
        <v>12822</v>
      </c>
      <c r="G4455" s="2" t="s">
        <v>12823</v>
      </c>
      <c r="H4455" s="1">
        <v>3.0</v>
      </c>
      <c r="J4455" s="1" t="s">
        <v>86</v>
      </c>
      <c r="K4455" s="2" t="s">
        <v>12826</v>
      </c>
      <c r="L4455" s="2"/>
      <c r="M4455" s="2" t="str">
        <f>IFERROR(__xludf.DUMMYFUNCTION("split(split(K4455,""【演出"",false),""ほか"",false)"),"菅野美穂　平岡祐太　塚地武雅(ドランクドラゴン)　  小池栄子　東根作寿英　さくら　高橋良輔　薗田杏奈　  金田明夫　草刈正雄　沢村一樹　  紺野まひる　山崎樹範　松尾敏伸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f>
        <v>菅野美穂　平岡祐太　塚地武雅(ドランクドラゴン)　  小池栄子　東根作寿英　さくら　高橋良輔　薗田杏奈　  金田明夫　草刈正雄　沢村一樹　  紺野まひる　山崎樹範　松尾敏伸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v>
      </c>
      <c r="N4455" s="2"/>
      <c r="O4455" s="2"/>
      <c r="P4455" s="1"/>
      <c r="Q4455" s="1"/>
      <c r="R4455" s="1"/>
      <c r="S4455" s="1"/>
      <c r="T4455" s="1"/>
      <c r="U4455" s="1"/>
      <c r="V4455" s="1"/>
      <c r="W4455" s="1"/>
      <c r="X4455" s="1"/>
      <c r="Y4455" s="1"/>
      <c r="Z4455" s="1"/>
      <c r="AA4455" s="1"/>
      <c r="AB4455" s="1"/>
      <c r="AC4455" s="1"/>
      <c r="AD4455" s="1"/>
      <c r="AE4455" s="1"/>
      <c r="AF4455" s="1"/>
      <c r="AG4455" s="1"/>
      <c r="AH4455" s="1"/>
      <c r="AI4455" s="1"/>
      <c r="AJ4455" s="1"/>
      <c r="AK4455" s="1"/>
      <c r="AL4455" s="1"/>
      <c r="AM4455" s="1"/>
      <c r="AN4455" s="1"/>
      <c r="AO4455" s="1"/>
      <c r="AP4455" s="1"/>
      <c r="AQ4455" s="1"/>
      <c r="AR4455" s="1"/>
      <c r="AS4455" s="1"/>
      <c r="AT4455" s="1"/>
      <c r="AU4455" s="1"/>
      <c r="AV4455" s="1"/>
      <c r="AW4455" s="1"/>
      <c r="AX4455" s="1"/>
      <c r="AY4455" s="1"/>
      <c r="AZ4455" s="1"/>
      <c r="BA4455" s="1"/>
      <c r="BB4455" s="1"/>
    </row>
    <row r="4456" ht="204.75" customHeight="1">
      <c r="A4456" s="1">
        <v>5430.0</v>
      </c>
      <c r="B4456" s="2" t="s">
        <v>12821</v>
      </c>
      <c r="C4456" s="2">
        <f>IFERROR(__xludf.DUMMYFUNCTION("split(B4456,""_"")"),901.0)</f>
        <v>901</v>
      </c>
      <c r="D4456" s="2" t="str">
        <f>IFERROR(__xludf.DUMMYFUNCTION("""COMPUTED_VALUE"""),"NTV")</f>
        <v>NTV</v>
      </c>
      <c r="E4456" s="2" t="str">
        <f>IFERROR(__xludf.DUMMYFUNCTION("""COMPUTED_VALUE"""),"水22")</f>
        <v>水22</v>
      </c>
      <c r="F4456" s="2" t="s">
        <v>12822</v>
      </c>
      <c r="G4456" s="2" t="s">
        <v>12823</v>
      </c>
      <c r="H4456" s="1">
        <v>4.0</v>
      </c>
      <c r="J4456" s="1" t="s">
        <v>86</v>
      </c>
      <c r="K4456" s="2" t="s">
        <v>12827</v>
      </c>
      <c r="L4456" s="2"/>
      <c r="M4456" s="2" t="str">
        <f>IFERROR(__xludf.DUMMYFUNCTION("split(split(K4456,""【演出"",false),""ほか"",false)"),"【出演】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f>
        <v>【出演】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v>
      </c>
      <c r="N4456" s="2"/>
      <c r="O4456" s="2"/>
      <c r="P4456" s="1"/>
      <c r="Q4456" s="1"/>
      <c r="R4456" s="1"/>
      <c r="S4456" s="1"/>
      <c r="T4456" s="1"/>
      <c r="U4456" s="1"/>
      <c r="V4456" s="1"/>
      <c r="W4456" s="1"/>
      <c r="X4456" s="1"/>
      <c r="Y4456" s="1"/>
      <c r="Z4456" s="1"/>
      <c r="AA4456" s="1"/>
      <c r="AB4456" s="1"/>
      <c r="AC4456" s="1"/>
      <c r="AD4456" s="1"/>
      <c r="AE4456" s="1"/>
      <c r="AF4456" s="1"/>
      <c r="AG4456" s="1"/>
      <c r="AH4456" s="1"/>
      <c r="AI4456" s="1"/>
      <c r="AJ4456" s="1"/>
      <c r="AK4456" s="1"/>
      <c r="AL4456" s="1"/>
      <c r="AM4456" s="1"/>
      <c r="AN4456" s="1"/>
      <c r="AO4456" s="1"/>
      <c r="AP4456" s="1"/>
      <c r="AQ4456" s="1"/>
      <c r="AR4456" s="1"/>
      <c r="AS4456" s="1"/>
      <c r="AT4456" s="1"/>
      <c r="AU4456" s="1"/>
      <c r="AV4456" s="1"/>
      <c r="AW4456" s="1"/>
      <c r="AX4456" s="1"/>
      <c r="AY4456" s="1"/>
      <c r="AZ4456" s="1"/>
      <c r="BA4456" s="1"/>
      <c r="BB4456" s="1"/>
    </row>
    <row r="4457" ht="204.75" customHeight="1">
      <c r="A4457" s="1">
        <v>5431.0</v>
      </c>
      <c r="B4457" s="2" t="s">
        <v>12821</v>
      </c>
      <c r="C4457" s="2">
        <f>IFERROR(__xludf.DUMMYFUNCTION("split(B4457,""_"")"),901.0)</f>
        <v>901</v>
      </c>
      <c r="D4457" s="2" t="str">
        <f>IFERROR(__xludf.DUMMYFUNCTION("""COMPUTED_VALUE"""),"NTV")</f>
        <v>NTV</v>
      </c>
      <c r="E4457" s="2" t="str">
        <f>IFERROR(__xludf.DUMMYFUNCTION("""COMPUTED_VALUE"""),"水22")</f>
        <v>水22</v>
      </c>
      <c r="F4457" s="2" t="s">
        <v>12822</v>
      </c>
      <c r="G4457" s="2" t="s">
        <v>12823</v>
      </c>
      <c r="H4457" s="1">
        <v>5.0</v>
      </c>
      <c r="J4457" s="1" t="s">
        <v>86</v>
      </c>
      <c r="K4457" s="2" t="s">
        <v>12828</v>
      </c>
      <c r="L4457" s="2"/>
      <c r="M4457" s="2" t="str">
        <f>IFERROR(__xludf.DUMMYFUNCTION("split(split(K4457,""【演出"",false),""ほか"",false)"),"【出演】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f>
        <v>【出演】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v>
      </c>
      <c r="N4457" s="2"/>
      <c r="O4457" s="2"/>
      <c r="P4457" s="1"/>
      <c r="Q4457" s="1"/>
      <c r="R4457" s="1"/>
      <c r="S4457" s="1"/>
      <c r="T4457" s="1"/>
      <c r="U4457" s="1"/>
      <c r="V4457" s="1"/>
      <c r="W4457" s="1"/>
      <c r="X4457" s="1"/>
      <c r="Y4457" s="1"/>
      <c r="Z4457" s="1"/>
      <c r="AA4457" s="1"/>
      <c r="AB4457" s="1"/>
      <c r="AC4457" s="1"/>
      <c r="AD4457" s="1"/>
      <c r="AE4457" s="1"/>
      <c r="AF4457" s="1"/>
      <c r="AG4457" s="1"/>
      <c r="AH4457" s="1"/>
      <c r="AI4457" s="1"/>
      <c r="AJ4457" s="1"/>
      <c r="AK4457" s="1"/>
      <c r="AL4457" s="1"/>
      <c r="AM4457" s="1"/>
      <c r="AN4457" s="1"/>
      <c r="AO4457" s="1"/>
      <c r="AP4457" s="1"/>
      <c r="AQ4457" s="1"/>
      <c r="AR4457" s="1"/>
      <c r="AS4457" s="1"/>
      <c r="AT4457" s="1"/>
      <c r="AU4457" s="1"/>
      <c r="AV4457" s="1"/>
      <c r="AW4457" s="1"/>
      <c r="AX4457" s="1"/>
      <c r="AY4457" s="1"/>
      <c r="AZ4457" s="1"/>
      <c r="BA4457" s="1"/>
      <c r="BB4457" s="1"/>
    </row>
    <row r="4458" ht="204.75" customHeight="1">
      <c r="A4458" s="1">
        <v>5432.0</v>
      </c>
      <c r="B4458" s="2" t="s">
        <v>12821</v>
      </c>
      <c r="C4458" s="2">
        <f>IFERROR(__xludf.DUMMYFUNCTION("split(B4458,""_"")"),901.0)</f>
        <v>901</v>
      </c>
      <c r="D4458" s="2" t="str">
        <f>IFERROR(__xludf.DUMMYFUNCTION("""COMPUTED_VALUE"""),"NTV")</f>
        <v>NTV</v>
      </c>
      <c r="E4458" s="2" t="str">
        <f>IFERROR(__xludf.DUMMYFUNCTION("""COMPUTED_VALUE"""),"水22")</f>
        <v>水22</v>
      </c>
      <c r="F4458" s="2" t="s">
        <v>12822</v>
      </c>
      <c r="G4458" s="2" t="s">
        <v>12823</v>
      </c>
      <c r="H4458" s="1">
        <v>6.0</v>
      </c>
      <c r="J4458" s="1" t="s">
        <v>86</v>
      </c>
      <c r="K4458" s="2" t="s">
        <v>12827</v>
      </c>
      <c r="L4458" s="2"/>
      <c r="M4458" s="2" t="str">
        <f>IFERROR(__xludf.DUMMYFUNCTION("split(split(K4458,""【演出"",false),""ほか"",false)"),"【出演】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f>
        <v>【出演】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v>
      </c>
      <c r="N4458" s="2"/>
      <c r="O4458" s="2"/>
      <c r="P4458" s="1"/>
      <c r="Q4458" s="1"/>
      <c r="R4458" s="1"/>
      <c r="S4458" s="1"/>
      <c r="T4458" s="1"/>
      <c r="U4458" s="1"/>
      <c r="V4458" s="1"/>
      <c r="W4458" s="1"/>
      <c r="X4458" s="1"/>
      <c r="Y4458" s="1"/>
      <c r="Z4458" s="1"/>
      <c r="AA4458" s="1"/>
      <c r="AB4458" s="1"/>
      <c r="AC4458" s="1"/>
      <c r="AD4458" s="1"/>
      <c r="AE4458" s="1"/>
      <c r="AF4458" s="1"/>
      <c r="AG4458" s="1"/>
      <c r="AH4458" s="1"/>
      <c r="AI4458" s="1"/>
      <c r="AJ4458" s="1"/>
      <c r="AK4458" s="1"/>
      <c r="AL4458" s="1"/>
      <c r="AM4458" s="1"/>
      <c r="AN4458" s="1"/>
      <c r="AO4458" s="1"/>
      <c r="AP4458" s="1"/>
      <c r="AQ4458" s="1"/>
      <c r="AR4458" s="1"/>
      <c r="AS4458" s="1"/>
      <c r="AT4458" s="1"/>
      <c r="AU4458" s="1"/>
      <c r="AV4458" s="1"/>
      <c r="AW4458" s="1"/>
      <c r="AX4458" s="1"/>
      <c r="AY4458" s="1"/>
      <c r="AZ4458" s="1"/>
      <c r="BA4458" s="1"/>
      <c r="BB4458" s="1"/>
    </row>
    <row r="4459" ht="204.75" customHeight="1">
      <c r="A4459" s="1">
        <v>5433.0</v>
      </c>
      <c r="B4459" s="2" t="s">
        <v>12821</v>
      </c>
      <c r="C4459" s="2">
        <f>IFERROR(__xludf.DUMMYFUNCTION("split(B4459,""_"")"),901.0)</f>
        <v>901</v>
      </c>
      <c r="D4459" s="2" t="str">
        <f>IFERROR(__xludf.DUMMYFUNCTION("""COMPUTED_VALUE"""),"NTV")</f>
        <v>NTV</v>
      </c>
      <c r="E4459" s="2" t="str">
        <f>IFERROR(__xludf.DUMMYFUNCTION("""COMPUTED_VALUE"""),"水22")</f>
        <v>水22</v>
      </c>
      <c r="F4459" s="2" t="s">
        <v>12822</v>
      </c>
      <c r="G4459" s="2" t="s">
        <v>12823</v>
      </c>
      <c r="H4459" s="1">
        <v>7.0</v>
      </c>
      <c r="J4459" s="1" t="s">
        <v>86</v>
      </c>
      <c r="K4459" s="2" t="s">
        <v>12829</v>
      </c>
      <c r="L4459" s="2"/>
      <c r="M4459" s="2" t="str">
        <f>IFERROR(__xludf.DUMMYFUNCTION("split(split(K4459,""【演出"",false),""ほか"",false)"),"【出演】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f>
        <v>【出演】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v>
      </c>
      <c r="N4459" s="2"/>
      <c r="O4459" s="2"/>
      <c r="P4459" s="1"/>
      <c r="Q4459" s="1"/>
      <c r="R4459" s="1"/>
      <c r="S4459" s="1"/>
      <c r="T4459" s="1"/>
      <c r="U4459" s="1"/>
      <c r="V4459" s="1"/>
      <c r="W4459" s="1"/>
      <c r="X4459" s="1"/>
      <c r="Y4459" s="1"/>
      <c r="Z4459" s="1"/>
      <c r="AA4459" s="1"/>
      <c r="AB4459" s="1"/>
      <c r="AC4459" s="1"/>
      <c r="AD4459" s="1"/>
      <c r="AE4459" s="1"/>
      <c r="AF4459" s="1"/>
      <c r="AG4459" s="1"/>
      <c r="AH4459" s="1"/>
      <c r="AI4459" s="1"/>
      <c r="AJ4459" s="1"/>
      <c r="AK4459" s="1"/>
      <c r="AL4459" s="1"/>
      <c r="AM4459" s="1"/>
      <c r="AN4459" s="1"/>
      <c r="AO4459" s="1"/>
      <c r="AP4459" s="1"/>
      <c r="AQ4459" s="1"/>
      <c r="AR4459" s="1"/>
      <c r="AS4459" s="1"/>
      <c r="AT4459" s="1"/>
      <c r="AU4459" s="1"/>
      <c r="AV4459" s="1"/>
      <c r="AW4459" s="1"/>
      <c r="AX4459" s="1"/>
      <c r="AY4459" s="1"/>
      <c r="AZ4459" s="1"/>
      <c r="BA4459" s="1"/>
      <c r="BB4459" s="1"/>
    </row>
    <row r="4460" ht="204.75" customHeight="1">
      <c r="A4460" s="1">
        <v>5434.0</v>
      </c>
      <c r="B4460" s="2" t="s">
        <v>12821</v>
      </c>
      <c r="C4460" s="2">
        <f>IFERROR(__xludf.DUMMYFUNCTION("split(B4460,""_"")"),901.0)</f>
        <v>901</v>
      </c>
      <c r="D4460" s="2" t="str">
        <f>IFERROR(__xludf.DUMMYFUNCTION("""COMPUTED_VALUE"""),"NTV")</f>
        <v>NTV</v>
      </c>
      <c r="E4460" s="2" t="str">
        <f>IFERROR(__xludf.DUMMYFUNCTION("""COMPUTED_VALUE"""),"水22")</f>
        <v>水22</v>
      </c>
      <c r="F4460" s="2" t="s">
        <v>12822</v>
      </c>
      <c r="G4460" s="2" t="s">
        <v>12823</v>
      </c>
      <c r="H4460" s="1">
        <v>8.0</v>
      </c>
      <c r="J4460" s="1" t="s">
        <v>86</v>
      </c>
      <c r="K4460" s="2" t="s">
        <v>12830</v>
      </c>
      <c r="L4460" s="2"/>
      <c r="M4460" s="2" t="str">
        <f>IFERROR(__xludf.DUMMYFUNCTION("split(split(K4460,""【演出"",false),""ほか"",false)"),"【出演】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f>
        <v>【出演】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v>
      </c>
      <c r="N4460" s="2"/>
      <c r="O4460" s="2"/>
      <c r="P4460" s="1"/>
      <c r="Q4460" s="1"/>
      <c r="R4460" s="1"/>
      <c r="S4460" s="1"/>
      <c r="T4460" s="1"/>
      <c r="U4460" s="1"/>
      <c r="V4460" s="1"/>
      <c r="W4460" s="1"/>
      <c r="X4460" s="1"/>
      <c r="Y4460" s="1"/>
      <c r="Z4460" s="1"/>
      <c r="AA4460" s="1"/>
      <c r="AB4460" s="1"/>
      <c r="AC4460" s="1"/>
      <c r="AD4460" s="1"/>
      <c r="AE4460" s="1"/>
      <c r="AF4460" s="1"/>
      <c r="AG4460" s="1"/>
      <c r="AH4460" s="1"/>
      <c r="AI4460" s="1"/>
      <c r="AJ4460" s="1"/>
      <c r="AK4460" s="1"/>
      <c r="AL4460" s="1"/>
      <c r="AM4460" s="1"/>
      <c r="AN4460" s="1"/>
      <c r="AO4460" s="1"/>
      <c r="AP4460" s="1"/>
      <c r="AQ4460" s="1"/>
      <c r="AR4460" s="1"/>
      <c r="AS4460" s="1"/>
      <c r="AT4460" s="1"/>
      <c r="AU4460" s="1"/>
      <c r="AV4460" s="1"/>
      <c r="AW4460" s="1"/>
      <c r="AX4460" s="1"/>
      <c r="AY4460" s="1"/>
      <c r="AZ4460" s="1"/>
      <c r="BA4460" s="1"/>
      <c r="BB4460" s="1"/>
    </row>
    <row r="4461" ht="204.75" customHeight="1">
      <c r="A4461" s="1">
        <v>5435.0</v>
      </c>
      <c r="B4461" s="2" t="s">
        <v>12821</v>
      </c>
      <c r="C4461" s="2">
        <f>IFERROR(__xludf.DUMMYFUNCTION("split(B4461,""_"")"),901.0)</f>
        <v>901</v>
      </c>
      <c r="D4461" s="2" t="str">
        <f>IFERROR(__xludf.DUMMYFUNCTION("""COMPUTED_VALUE"""),"NTV")</f>
        <v>NTV</v>
      </c>
      <c r="E4461" s="2" t="str">
        <f>IFERROR(__xludf.DUMMYFUNCTION("""COMPUTED_VALUE"""),"水22")</f>
        <v>水22</v>
      </c>
      <c r="F4461" s="2" t="s">
        <v>12822</v>
      </c>
      <c r="G4461" s="2" t="s">
        <v>12831</v>
      </c>
      <c r="H4461" s="1">
        <v>9.0</v>
      </c>
      <c r="J4461" s="1" t="s">
        <v>82</v>
      </c>
      <c r="K4461" s="2" t="s">
        <v>12832</v>
      </c>
      <c r="L4461" s="2"/>
      <c r="M4461" s="2" t="str">
        <f>IFERROR(__xludf.DUMMYFUNCTION("split(split(K4461,""【演出"",false),""ほか"",false)"),"【出演】  菅野美穂　平岡祐太　塚地武雅(ドランクドラゴン)　  小池栄子　東根作寿英　さくら　高橋良輔　薗田杏奈　  金田明夫　草刈正雄　沢村一樹　  加藤雅也“このドラマは、事実から生まれた”。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f>
        <v>【出演】  菅野美穂　平岡祐太　塚地武雅(ドランクドラゴン)　  小池栄子　東根作寿英　さくら　高橋良輔　薗田杏奈　  金田明夫　草刈正雄　沢村一樹　  加藤雅也“このドラマは、事実から生まれた”。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v>
      </c>
      <c r="N4461" s="2"/>
      <c r="O4461" s="2"/>
      <c r="P4461" s="1"/>
      <c r="Q4461" s="1"/>
      <c r="R4461" s="1"/>
      <c r="S4461" s="1"/>
      <c r="T4461" s="1"/>
      <c r="U4461" s="1"/>
      <c r="V4461" s="1"/>
      <c r="W4461" s="1"/>
      <c r="X4461" s="1"/>
      <c r="Y4461" s="1"/>
      <c r="Z4461" s="1"/>
      <c r="AA4461" s="1"/>
      <c r="AB4461" s="1"/>
      <c r="AC4461" s="1"/>
      <c r="AD4461" s="1"/>
      <c r="AE4461" s="1"/>
      <c r="AF4461" s="1"/>
      <c r="AG4461" s="1"/>
      <c r="AH4461" s="1"/>
      <c r="AI4461" s="1"/>
      <c r="AJ4461" s="1"/>
      <c r="AK4461" s="1"/>
      <c r="AL4461" s="1"/>
      <c r="AM4461" s="1"/>
      <c r="AN4461" s="1"/>
      <c r="AO4461" s="1"/>
      <c r="AP4461" s="1"/>
      <c r="AQ4461" s="1"/>
      <c r="AR4461" s="1"/>
      <c r="AS4461" s="1"/>
      <c r="AT4461" s="1"/>
      <c r="AU4461" s="1"/>
      <c r="AV4461" s="1"/>
      <c r="AW4461" s="1"/>
      <c r="AX4461" s="1"/>
      <c r="AY4461" s="1"/>
      <c r="AZ4461" s="1"/>
      <c r="BA4461" s="1"/>
      <c r="BB4461" s="1"/>
    </row>
    <row r="4462" ht="204.75" customHeight="1">
      <c r="A4462" s="1">
        <v>5492.0</v>
      </c>
      <c r="B4462" s="2" t="s">
        <v>12833</v>
      </c>
      <c r="C4462" s="2">
        <f>IFERROR(__xludf.DUMMYFUNCTION("split(B4462,""_"")"),901.0)</f>
        <v>901</v>
      </c>
      <c r="D4462" s="2" t="str">
        <f>IFERROR(__xludf.DUMMYFUNCTION("""COMPUTED_VALUE"""),"NTV")</f>
        <v>NTV</v>
      </c>
      <c r="E4462" s="2" t="str">
        <f>IFERROR(__xludf.DUMMYFUNCTION("""COMPUTED_VALUE"""),"土21")</f>
        <v>土21</v>
      </c>
      <c r="F4462" s="2" t="s">
        <v>12834</v>
      </c>
      <c r="G4462" s="2" t="s">
        <v>12835</v>
      </c>
      <c r="H4462" s="1">
        <v>1.0</v>
      </c>
      <c r="J4462" s="1" t="s">
        <v>4</v>
      </c>
      <c r="K4462" s="3"/>
      <c r="L4462" s="2"/>
      <c r="M4462" s="2" t="str">
        <f>IFERROR(__xludf.DUMMYFUNCTION("split(split(K4462,""【演出"",false),""ほか"",false)"),"#VALUE!")</f>
        <v>#VALUE!</v>
      </c>
      <c r="N4462" s="3"/>
      <c r="O4462" s="3"/>
    </row>
    <row r="4463" ht="204.75" customHeight="1">
      <c r="A4463" s="1">
        <v>5493.0</v>
      </c>
      <c r="B4463" s="2" t="s">
        <v>12833</v>
      </c>
      <c r="C4463" s="2">
        <f>IFERROR(__xludf.DUMMYFUNCTION("split(B4463,""_"")"),901.0)</f>
        <v>901</v>
      </c>
      <c r="D4463" s="2" t="str">
        <f>IFERROR(__xludf.DUMMYFUNCTION("""COMPUTED_VALUE"""),"NTV")</f>
        <v>NTV</v>
      </c>
      <c r="E4463" s="2" t="str">
        <f>IFERROR(__xludf.DUMMYFUNCTION("""COMPUTED_VALUE"""),"土21")</f>
        <v>土21</v>
      </c>
      <c r="F4463" s="2" t="s">
        <v>12834</v>
      </c>
      <c r="G4463" s="2" t="s">
        <v>12835</v>
      </c>
      <c r="H4463" s="1">
        <v>2.0</v>
      </c>
      <c r="J4463" s="1" t="s">
        <v>11</v>
      </c>
      <c r="K4463" s="2" t="s">
        <v>12836</v>
      </c>
      <c r="L4463" s="2"/>
      <c r="M4463" s="2" t="str">
        <f>IFERROR(__xludf.DUMMYFUNCTION("split(split(K4463,""【演出"",false),""ほか"",false)"),"松山ケンイチ　ミムラ　宮川大輔　木南晴夏　光石研　りょう　椎名桔平　")</f>
        <v>松山ケンイチ　ミムラ　宮川大輔　木南晴夏　光石研　りょう　椎名桔平　</v>
      </c>
      <c r="N4463" s="2" t="str">
        <f>IFERROR(__xludf.DUMMYFUNCTION("""COMPUTED_VALUE"""),"緑の運転する車の前に飛び出した風太郎。病院の一室で目覚めた風太郎を心配する緑。何か出来ることはないかと申し出る。「・・・友達になれたらうれしいです」風太郎はある目的のために緑に近づく。緑の妹・茜にも近づき、ある計画をたてていくのだった。そんな折、風太郎は父親・健蔵と偶然に再会。この13年ぶりの父と子の出会いが風太郎の運命を大きく変えていくーーー。大谷太郎岡田惠和金子隆博日テレ　アックスオン")</f>
        <v>緑の運転する車の前に飛び出した風太郎。病院の一室で目覚めた風太郎を心配する緑。何か出来ることはないかと申し出る。「・・・友達になれたらうれしいです」風太郎はある目的のために緑に近づく。緑の妹・茜にも近づき、ある計画をたてていくのだった。そんな折、風太郎は父親・健蔵と偶然に再会。この13年ぶりの父と子の出会いが風太郎の運命を大きく変えていくーーー。大谷太郎岡田惠和金子隆博日テレ　アックスオン</v>
      </c>
      <c r="O4463" s="2"/>
      <c r="P4463" s="1"/>
      <c r="Q4463" s="1"/>
      <c r="R4463" s="1"/>
      <c r="S4463" s="1"/>
      <c r="T4463" s="1"/>
      <c r="U4463" s="1"/>
      <c r="V4463" s="1"/>
      <c r="W4463" s="1"/>
      <c r="X4463" s="1"/>
      <c r="Y4463" s="1"/>
      <c r="Z4463" s="1"/>
      <c r="AA4463" s="1"/>
      <c r="AB4463" s="1"/>
      <c r="AC4463" s="1"/>
      <c r="AD4463" s="1"/>
      <c r="AE4463" s="1"/>
      <c r="AF4463" s="1"/>
      <c r="AG4463" s="1"/>
      <c r="AH4463" s="1"/>
      <c r="AI4463" s="1"/>
      <c r="AJ4463" s="1"/>
      <c r="AK4463" s="1"/>
      <c r="AL4463" s="1"/>
      <c r="AM4463" s="1"/>
      <c r="AN4463" s="1"/>
      <c r="AO4463" s="1"/>
      <c r="AP4463" s="1"/>
      <c r="AQ4463" s="1"/>
      <c r="AR4463" s="1"/>
      <c r="AS4463" s="1"/>
      <c r="AT4463" s="1"/>
      <c r="AU4463" s="1"/>
      <c r="AV4463" s="1"/>
      <c r="AW4463" s="1"/>
      <c r="AX4463" s="1"/>
      <c r="AY4463" s="1"/>
      <c r="AZ4463" s="1"/>
      <c r="BA4463" s="1"/>
      <c r="BB4463" s="1"/>
    </row>
    <row r="4464" ht="204.75" customHeight="1">
      <c r="A4464" s="1">
        <v>5494.0</v>
      </c>
      <c r="B4464" s="2" t="s">
        <v>12833</v>
      </c>
      <c r="C4464" s="2">
        <f>IFERROR(__xludf.DUMMYFUNCTION("split(B4464,""_"")"),901.0)</f>
        <v>901</v>
      </c>
      <c r="D4464" s="2" t="str">
        <f>IFERROR(__xludf.DUMMYFUNCTION("""COMPUTED_VALUE"""),"NTV")</f>
        <v>NTV</v>
      </c>
      <c r="E4464" s="2" t="str">
        <f>IFERROR(__xludf.DUMMYFUNCTION("""COMPUTED_VALUE"""),"土21")</f>
        <v>土21</v>
      </c>
      <c r="F4464" s="2" t="s">
        <v>12834</v>
      </c>
      <c r="G4464" s="2" t="s">
        <v>12835</v>
      </c>
      <c r="H4464" s="1">
        <v>3.0</v>
      </c>
      <c r="J4464" s="1" t="s">
        <v>11</v>
      </c>
      <c r="K4464" s="2" t="s">
        <v>12837</v>
      </c>
      <c r="L4464" s="2"/>
      <c r="M4464" s="2" t="str">
        <f>IFERROR(__xludf.DUMMYFUNCTION("split(split(K4464,""【演出"",false),""ほか"",false)"),"松山ケンイチ　ミムラ　宮川大輔　木南晴夏　光石研　りょう　椎名桔平　")</f>
        <v>松山ケンイチ　ミムラ　宮川大輔　木南晴夏　光石研　りょう　椎名桔平　</v>
      </c>
      <c r="N4464" s="2" t="str">
        <f>IFERROR(__xludf.DUMMYFUNCTION("""COMPUTED_VALUE"""),"三國家の一室に寄宿することになった風太郎。そしてまるで、新妻のように振舞う茜。姉の緑はそんな妹を見て、複雑な想いに駆られていた。風太郎が金目当てで三國家に入り込んだに違いないと白川から断言されていたのだ。「ーーー彼は、そんなに美しい人間じゃない」と。一方、相変わらず風太郎の動向を探っていた荻野は、金の無心にきていた健蔵と風太郎との父子の会話を目撃し、風太郎の生い立ちを調べ始めるーーー。狩山俊輔岡田惠和金子隆博日テレ　アックスオン")</f>
        <v>三國家の一室に寄宿することになった風太郎。そしてまるで、新妻のように振舞う茜。姉の緑はそんな妹を見て、複雑な想いに駆られていた。風太郎が金目当てで三國家に入り込んだに違いないと白川から断言されていたのだ。「ーーー彼は、そんなに美しい人間じゃない」と。一方、相変わらず風太郎の動向を探っていた荻野は、金の無心にきていた健蔵と風太郎との父子の会話を目撃し、風太郎の生い立ちを調べ始めるーーー。狩山俊輔岡田惠和金子隆博日テレ　アックスオン</v>
      </c>
      <c r="O4464" s="2"/>
      <c r="P4464" s="1"/>
      <c r="Q4464" s="1"/>
      <c r="R4464" s="1"/>
      <c r="S4464" s="1"/>
      <c r="T4464" s="1"/>
      <c r="U4464" s="1"/>
      <c r="V4464" s="1"/>
      <c r="W4464" s="1"/>
      <c r="X4464" s="1"/>
      <c r="Y4464" s="1"/>
      <c r="Z4464" s="1"/>
      <c r="AA4464" s="1"/>
      <c r="AB4464" s="1"/>
      <c r="AC4464" s="1"/>
      <c r="AD4464" s="1"/>
      <c r="AE4464" s="1"/>
      <c r="AF4464" s="1"/>
      <c r="AG4464" s="1"/>
      <c r="AH4464" s="1"/>
      <c r="AI4464" s="1"/>
      <c r="AJ4464" s="1"/>
      <c r="AK4464" s="1"/>
      <c r="AL4464" s="1"/>
      <c r="AM4464" s="1"/>
      <c r="AN4464" s="1"/>
      <c r="AO4464" s="1"/>
      <c r="AP4464" s="1"/>
      <c r="AQ4464" s="1"/>
      <c r="AR4464" s="1"/>
      <c r="AS4464" s="1"/>
      <c r="AT4464" s="1"/>
      <c r="AU4464" s="1"/>
      <c r="AV4464" s="1"/>
      <c r="AW4464" s="1"/>
      <c r="AX4464" s="1"/>
      <c r="AY4464" s="1"/>
      <c r="AZ4464" s="1"/>
      <c r="BA4464" s="1"/>
      <c r="BB4464" s="1"/>
    </row>
    <row r="4465" ht="204.75" customHeight="1">
      <c r="A4465" s="1">
        <v>5495.0</v>
      </c>
      <c r="B4465" s="2" t="s">
        <v>12833</v>
      </c>
      <c r="C4465" s="2">
        <f>IFERROR(__xludf.DUMMYFUNCTION("split(B4465,""_"")"),901.0)</f>
        <v>901</v>
      </c>
      <c r="D4465" s="2" t="str">
        <f>IFERROR(__xludf.DUMMYFUNCTION("""COMPUTED_VALUE"""),"NTV")</f>
        <v>NTV</v>
      </c>
      <c r="E4465" s="2" t="str">
        <f>IFERROR(__xludf.DUMMYFUNCTION("""COMPUTED_VALUE"""),"土21")</f>
        <v>土21</v>
      </c>
      <c r="F4465" s="2" t="s">
        <v>12834</v>
      </c>
      <c r="G4465" s="2" t="s">
        <v>12835</v>
      </c>
      <c r="H4465" s="1">
        <v>4.0</v>
      </c>
      <c r="J4465" s="1" t="s">
        <v>11</v>
      </c>
      <c r="K4465" s="2" t="s">
        <v>12838</v>
      </c>
      <c r="L4465" s="2"/>
      <c r="M4465" s="2" t="str">
        <f>IFERROR(__xludf.DUMMYFUNCTION("split(split(K4465,""【演出"",false),""ほか"",false)"),"松山ケンイチ　ミムラ　宮川大輔　木南晴夏　光石研　りょう　椎名桔平　")</f>
        <v>松山ケンイチ　ミムラ　宮川大輔　木南晴夏　光石研　りょう　椎名桔平　</v>
      </c>
      <c r="N4465" s="2" t="str">
        <f>IFERROR(__xludf.DUMMYFUNCTION("""COMPUTED_VALUE"""),"結婚をせがむ茜に「それは無理だ」と風太郎は自から三國家を去る。そこにはある思惑があったーー。そんな中、風太郎は伊豆屋で自分と瓜二つという由香の兄・真一が騒ぎを起こしているのを知る。バカな真一を優しく見守る伊豆屋の面々に対し、複雑な心境が湧き上がる風太郎は、彼らに罠を仕掛けようとするがーー。一方、風太郎を追って三國家に乗り込んでくる健蔵。同じ頃、一本の通報を受けた荻野らも三國家に姿を見せるーー。大谷太郎岡田惠和金子隆博日テレ　アックスオン")</f>
        <v>結婚をせがむ茜に「それは無理だ」と風太郎は自から三國家を去る。そこにはある思惑があったーー。そんな中、風太郎は伊豆屋で自分と瓜二つという由香の兄・真一が騒ぎを起こしているのを知る。バカな真一を優しく見守る伊豆屋の面々に対し、複雑な心境が湧き上がる風太郎は、彼らに罠を仕掛けようとするがーー。一方、風太郎を追って三國家に乗り込んでくる健蔵。同じ頃、一本の通報を受けた荻野らも三國家に姿を見せるーー。大谷太郎岡田惠和金子隆博日テレ　アックスオン</v>
      </c>
      <c r="O4465" s="2"/>
      <c r="P4465" s="1"/>
      <c r="Q4465" s="1"/>
      <c r="R4465" s="1"/>
      <c r="S4465" s="1"/>
      <c r="T4465" s="1"/>
      <c r="U4465" s="1"/>
      <c r="V4465" s="1"/>
      <c r="W4465" s="1"/>
      <c r="X4465" s="1"/>
      <c r="Y4465" s="1"/>
      <c r="Z4465" s="1"/>
      <c r="AA4465" s="1"/>
      <c r="AB4465" s="1"/>
      <c r="AC4465" s="1"/>
      <c r="AD4465" s="1"/>
      <c r="AE4465" s="1"/>
      <c r="AF4465" s="1"/>
      <c r="AG4465" s="1"/>
      <c r="AH4465" s="1"/>
      <c r="AI4465" s="1"/>
      <c r="AJ4465" s="1"/>
      <c r="AK4465" s="1"/>
      <c r="AL4465" s="1"/>
      <c r="AM4465" s="1"/>
      <c r="AN4465" s="1"/>
      <c r="AO4465" s="1"/>
      <c r="AP4465" s="1"/>
      <c r="AQ4465" s="1"/>
      <c r="AR4465" s="1"/>
      <c r="AS4465" s="1"/>
      <c r="AT4465" s="1"/>
      <c r="AU4465" s="1"/>
      <c r="AV4465" s="1"/>
      <c r="AW4465" s="1"/>
      <c r="AX4465" s="1"/>
      <c r="AY4465" s="1"/>
      <c r="AZ4465" s="1"/>
      <c r="BA4465" s="1"/>
      <c r="BB4465" s="1"/>
    </row>
    <row r="4466" ht="204.75" customHeight="1">
      <c r="A4466" s="1">
        <v>5496.0</v>
      </c>
      <c r="B4466" s="2" t="s">
        <v>12833</v>
      </c>
      <c r="C4466" s="2">
        <f>IFERROR(__xludf.DUMMYFUNCTION("split(B4466,""_"")"),901.0)</f>
        <v>901</v>
      </c>
      <c r="D4466" s="2" t="str">
        <f>IFERROR(__xludf.DUMMYFUNCTION("""COMPUTED_VALUE"""),"NTV")</f>
        <v>NTV</v>
      </c>
      <c r="E4466" s="2" t="str">
        <f>IFERROR(__xludf.DUMMYFUNCTION("""COMPUTED_VALUE"""),"土21")</f>
        <v>土21</v>
      </c>
      <c r="F4466" s="2" t="s">
        <v>12834</v>
      </c>
      <c r="G4466" s="2" t="s">
        <v>12835</v>
      </c>
      <c r="H4466" s="1">
        <v>5.0</v>
      </c>
      <c r="J4466" s="1" t="s">
        <v>11</v>
      </c>
      <c r="K4466" s="2" t="s">
        <v>12839</v>
      </c>
      <c r="L4466" s="2"/>
      <c r="M4466" s="2" t="str">
        <f>IFERROR(__xludf.DUMMYFUNCTION("split(split(K4466,""【演出"",false),""ほか"",false)"),"松山ケンイチ　ミムラ　宮川大輔　木南晴夏　光石研　りょう　椎名桔平　")</f>
        <v>松山ケンイチ　ミムラ　宮川大輔　木南晴夏　光石研　りょう　椎名桔平　</v>
      </c>
      <c r="N4466" s="2" t="str">
        <f>IFERROR(__xludf.DUMMYFUNCTION("""COMPUTED_VALUE"""),"何者かの通報から警察によって行われた三國邸の庭の発掘作業。だが出てきたのはいたずら描きの絵。その時の風太郎の追い詰められた表情を見た緑は風太郎への疑念に駆られ、風太郎の動向を探り始める。一方の風太郎は懸命に勉強し、着々と譲次らの信頼を得ていた。丁度その頃風太郎はかつての派遣仲間・枝野と再会。枝野と自分の境遇を重ね、友情にも似た感情を覚えるが、風太郎は枝野にある恐ろしい計画の実行を提案してーー。狩山俊輔原作/ジョージ秋山　　脚本/岡田惠和金子隆博日テレ　アックスオン")</f>
        <v>何者かの通報から警察によって行われた三國邸の庭の発掘作業。だが出てきたのはいたずら描きの絵。その時の風太郎の追い詰められた表情を見た緑は風太郎への疑念に駆られ、風太郎の動向を探り始める。一方の風太郎は懸命に勉強し、着々と譲次らの信頼を得ていた。丁度その頃風太郎はかつての派遣仲間・枝野と再会。枝野と自分の境遇を重ね、友情にも似た感情を覚えるが、風太郎は枝野にある恐ろしい計画の実行を提案してーー。狩山俊輔原作/ジョージ秋山　　脚本/岡田惠和金子隆博日テレ　アックスオン</v>
      </c>
      <c r="O4466" s="2"/>
      <c r="P4466" s="1"/>
      <c r="Q4466" s="1"/>
      <c r="R4466" s="1"/>
      <c r="S4466" s="1"/>
      <c r="T4466" s="1"/>
      <c r="U4466" s="1"/>
      <c r="V4466" s="1"/>
      <c r="W4466" s="1"/>
      <c r="X4466" s="1"/>
      <c r="Y4466" s="1"/>
      <c r="Z4466" s="1"/>
      <c r="AA4466" s="1"/>
      <c r="AB4466" s="1"/>
      <c r="AC4466" s="1"/>
      <c r="AD4466" s="1"/>
      <c r="AE4466" s="1"/>
      <c r="AF4466" s="1"/>
      <c r="AG4466" s="1"/>
      <c r="AH4466" s="1"/>
      <c r="AI4466" s="1"/>
      <c r="AJ4466" s="1"/>
      <c r="AK4466" s="1"/>
      <c r="AL4466" s="1"/>
      <c r="AM4466" s="1"/>
      <c r="AN4466" s="1"/>
      <c r="AO4466" s="1"/>
      <c r="AP4466" s="1"/>
      <c r="AQ4466" s="1"/>
      <c r="AR4466" s="1"/>
      <c r="AS4466" s="1"/>
      <c r="AT4466" s="1"/>
      <c r="AU4466" s="1"/>
      <c r="AV4466" s="1"/>
      <c r="AW4466" s="1"/>
      <c r="AX4466" s="1"/>
      <c r="AY4466" s="1"/>
      <c r="AZ4466" s="1"/>
      <c r="BA4466" s="1"/>
      <c r="BB4466" s="1"/>
    </row>
    <row r="4467" ht="204.75" customHeight="1">
      <c r="A4467" s="1">
        <v>5497.0</v>
      </c>
      <c r="B4467" s="2" t="s">
        <v>12833</v>
      </c>
      <c r="C4467" s="2">
        <f>IFERROR(__xludf.DUMMYFUNCTION("split(B4467,""_"")"),901.0)</f>
        <v>901</v>
      </c>
      <c r="D4467" s="2" t="str">
        <f>IFERROR(__xludf.DUMMYFUNCTION("""COMPUTED_VALUE"""),"NTV")</f>
        <v>NTV</v>
      </c>
      <c r="E4467" s="2" t="str">
        <f>IFERROR(__xludf.DUMMYFUNCTION("""COMPUTED_VALUE"""),"土21")</f>
        <v>土21</v>
      </c>
      <c r="F4467" s="2" t="s">
        <v>12834</v>
      </c>
      <c r="G4467" s="2" t="s">
        <v>12835</v>
      </c>
      <c r="H4467" s="1">
        <v>6.0</v>
      </c>
      <c r="J4467" s="1" t="s">
        <v>11</v>
      </c>
      <c r="K4467" s="2" t="s">
        <v>12840</v>
      </c>
      <c r="L4467" s="2"/>
      <c r="M4467" s="2" t="str">
        <f>IFERROR(__xludf.DUMMYFUNCTION("split(split(K4467,""【演出"",false),""ほか"",false)"),"松山ケンイチ　ミムラ　宮川大輔　木南晴夏　光石研　りょう　椎名桔平　(他)三國造船の社長の座についた風太郎。そんな折、桃子と瓜二つのホームレス・寛子と出会う。風太郎は母親孝行が出来なかった埋め合わせをするように大金を渡すがーー。一方、風太郎に揺さぶりをかける荻野。風太郎は荻野の追及をかわそうとある作戦をたてる。そして、もう一人の敵・健蔵を呼び出しーー。三國家にも変化が訪れていた・・。譲次の急死で精神状態がおかしくなった緑。風太郎は三國家をも乗っ取ったつもりだったがーー。大谷太郎【原作】ジョージ秋山　  【"&amp;"脚本】岡田惠和　金子隆博日テレ　アックスオン")</f>
        <v>松山ケンイチ　ミムラ　宮川大輔　木南晴夏　光石研　りょう　椎名桔平　(他)三國造船の社長の座についた風太郎。そんな折、桃子と瓜二つのホームレス・寛子と出会う。風太郎は母親孝行が出来なかった埋め合わせをするように大金を渡すがーー。一方、風太郎に揺さぶりをかける荻野。風太郎は荻野の追及をかわそうとある作戦をたてる。そして、もう一人の敵・健蔵を呼び出しーー。三國家にも変化が訪れていた・・。譲次の急死で精神状態がおかしくなった緑。風太郎は三國家をも乗っ取ったつもりだったがーー。大谷太郎【原作】ジョージ秋山　  【脚本】岡田惠和　金子隆博日テレ　アックスオン</v>
      </c>
      <c r="N4467" s="2"/>
      <c r="O4467" s="2"/>
      <c r="P4467" s="1"/>
      <c r="Q4467" s="1"/>
      <c r="R4467" s="1"/>
      <c r="S4467" s="1"/>
      <c r="T4467" s="1"/>
      <c r="U4467" s="1"/>
      <c r="V4467" s="1"/>
      <c r="W4467" s="1"/>
      <c r="X4467" s="1"/>
      <c r="Y4467" s="1"/>
      <c r="Z4467" s="1"/>
      <c r="AA4467" s="1"/>
      <c r="AB4467" s="1"/>
      <c r="AC4467" s="1"/>
      <c r="AD4467" s="1"/>
      <c r="AE4467" s="1"/>
      <c r="AF4467" s="1"/>
      <c r="AG4467" s="1"/>
      <c r="AH4467" s="1"/>
      <c r="AI4467" s="1"/>
      <c r="AJ4467" s="1"/>
      <c r="AK4467" s="1"/>
      <c r="AL4467" s="1"/>
      <c r="AM4467" s="1"/>
      <c r="AN4467" s="1"/>
      <c r="AO4467" s="1"/>
      <c r="AP4467" s="1"/>
      <c r="AQ4467" s="1"/>
      <c r="AR4467" s="1"/>
      <c r="AS4467" s="1"/>
      <c r="AT4467" s="1"/>
      <c r="AU4467" s="1"/>
      <c r="AV4467" s="1"/>
      <c r="AW4467" s="1"/>
      <c r="AX4467" s="1"/>
      <c r="AY4467" s="1"/>
      <c r="AZ4467" s="1"/>
      <c r="BA4467" s="1"/>
      <c r="BB4467" s="1"/>
    </row>
    <row r="4468" ht="204.75" customHeight="1">
      <c r="A4468" s="1">
        <v>5498.0</v>
      </c>
      <c r="B4468" s="2" t="s">
        <v>12833</v>
      </c>
      <c r="C4468" s="2">
        <f>IFERROR(__xludf.DUMMYFUNCTION("split(B4468,""_"")"),901.0)</f>
        <v>901</v>
      </c>
      <c r="D4468" s="2" t="str">
        <f>IFERROR(__xludf.DUMMYFUNCTION("""COMPUTED_VALUE"""),"NTV")</f>
        <v>NTV</v>
      </c>
      <c r="E4468" s="2" t="str">
        <f>IFERROR(__xludf.DUMMYFUNCTION("""COMPUTED_VALUE"""),"土21")</f>
        <v>土21</v>
      </c>
      <c r="F4468" s="2" t="s">
        <v>12834</v>
      </c>
      <c r="G4468" s="2" t="s">
        <v>12835</v>
      </c>
      <c r="H4468" s="1">
        <v>7.0</v>
      </c>
      <c r="J4468" s="1" t="s">
        <v>11</v>
      </c>
      <c r="K4468" s="2" t="s">
        <v>12841</v>
      </c>
      <c r="L4468" s="2"/>
      <c r="M4468" s="2" t="str">
        <f>IFERROR(__xludf.DUMMYFUNCTION("split(split(K4468,""【演出"",false),""ほか"",false)"),"松山ケンイチ　ミムラ　宮川大輔　木南晴夏　光石研　りょう　椎名桔平　")</f>
        <v>松山ケンイチ　ミムラ　宮川大輔　木南晴夏　光石研　りょう　椎名桔平　</v>
      </c>
      <c r="N4468" s="2" t="str">
        <f>IFERROR(__xludf.DUMMYFUNCTION("""COMPUTED_VALUE"""),"加奈江に対する傷害容疑で逮捕された風太郎。荻野は風太郎を厳しく追及する。取調室では一言も発せず、茫然自失の風太郎は牢獄に倒れこむ。その時、ある記憶が甦る。それは初めて殺人を犯した幼いころの記憶。一人の老人との出会いであったーー。一方、緑は風太郎の生まれ故郷を訪ねていた。そこで緑は健蔵と偶然出会いーー。その頃、三國家で一人、風太郎を待つ茜…。茜は茜なりに風太郎を救おうと、ある覚悟を固めるーーー。狩山俊輔　【原作】ジョージ秋山　  【脚本】岡田惠和　金子隆博　日テレ　アックスオン")</f>
        <v>加奈江に対する傷害容疑で逮捕された風太郎。荻野は風太郎を厳しく追及する。取調室では一言も発せず、茫然自失の風太郎は牢獄に倒れこむ。その時、ある記憶が甦る。それは初めて殺人を犯した幼いころの記憶。一人の老人との出会いであったーー。一方、緑は風太郎の生まれ故郷を訪ねていた。そこで緑は健蔵と偶然出会いーー。その頃、三國家で一人、風太郎を待つ茜…。茜は茜なりに風太郎を救おうと、ある覚悟を固めるーーー。狩山俊輔　【原作】ジョージ秋山　  【脚本】岡田惠和　金子隆博　日テレ　アックスオン</v>
      </c>
      <c r="O4468" s="2"/>
      <c r="P4468" s="1"/>
      <c r="Q4468" s="1"/>
      <c r="R4468" s="1"/>
      <c r="S4468" s="1"/>
      <c r="T4468" s="1"/>
      <c r="U4468" s="1"/>
      <c r="V4468" s="1"/>
      <c r="W4468" s="1"/>
      <c r="X4468" s="1"/>
      <c r="Y4468" s="1"/>
      <c r="Z4468" s="1"/>
      <c r="AA4468" s="1"/>
      <c r="AB4468" s="1"/>
      <c r="AC4468" s="1"/>
      <c r="AD4468" s="1"/>
      <c r="AE4468" s="1"/>
      <c r="AF4468" s="1"/>
      <c r="AG4468" s="1"/>
      <c r="AH4468" s="1"/>
      <c r="AI4468" s="1"/>
      <c r="AJ4468" s="1"/>
      <c r="AK4468" s="1"/>
      <c r="AL4468" s="1"/>
      <c r="AM4468" s="1"/>
      <c r="AN4468" s="1"/>
      <c r="AO4468" s="1"/>
      <c r="AP4468" s="1"/>
      <c r="AQ4468" s="1"/>
      <c r="AR4468" s="1"/>
      <c r="AS4468" s="1"/>
      <c r="AT4468" s="1"/>
      <c r="AU4468" s="1"/>
      <c r="AV4468" s="1"/>
      <c r="AW4468" s="1"/>
      <c r="AX4468" s="1"/>
      <c r="AY4468" s="1"/>
      <c r="AZ4468" s="1"/>
      <c r="BA4468" s="1"/>
      <c r="BB4468" s="1"/>
    </row>
    <row r="4469" ht="204.75" customHeight="1">
      <c r="A4469" s="1">
        <v>5499.0</v>
      </c>
      <c r="B4469" s="2" t="s">
        <v>12833</v>
      </c>
      <c r="C4469" s="2">
        <f>IFERROR(__xludf.DUMMYFUNCTION("split(B4469,""_"")"),901.0)</f>
        <v>901</v>
      </c>
      <c r="D4469" s="2" t="str">
        <f>IFERROR(__xludf.DUMMYFUNCTION("""COMPUTED_VALUE"""),"NTV")</f>
        <v>NTV</v>
      </c>
      <c r="E4469" s="2" t="str">
        <f>IFERROR(__xludf.DUMMYFUNCTION("""COMPUTED_VALUE"""),"土21")</f>
        <v>土21</v>
      </c>
      <c r="F4469" s="2" t="s">
        <v>12834</v>
      </c>
      <c r="G4469" s="2" t="s">
        <v>12835</v>
      </c>
      <c r="H4469" s="1">
        <v>8.0</v>
      </c>
      <c r="J4469" s="1" t="s">
        <v>11</v>
      </c>
      <c r="K4469" s="2" t="s">
        <v>12842</v>
      </c>
      <c r="L4469" s="2"/>
      <c r="M4469" s="2" t="str">
        <f>IFERROR(__xludf.DUMMYFUNCTION("split(split(K4469,""【演出"",false),""ほか"",false)"),"松山ケンイチ　ミムラ　宮川大輔　木南晴夏　光石研　りょう　椎名桔平　")</f>
        <v>松山ケンイチ　ミムラ　宮川大輔　木南晴夏　光石研　りょう　椎名桔平　</v>
      </c>
      <c r="N4469" s="2" t="str">
        <f>IFERROR(__xludf.DUMMYFUNCTION("""COMPUTED_VALUE"""),"風太郎を愛しぬいた末に自殺した茜。哀れな茜の胸のうちを告げて風太郎を責める緑。風太郎にある想いが去来するーー。「ドライブしませんか?」と誘う風太郎に緑は困惑する。むかった先は風太郎が子供の頃の桃子との想い出の場所であった。その頃、伊豆屋の面々は驚愕の事実を突きつけられ、複雑な想いに駆られていた。追い詰められた保彦たちは、ある行動にでる・・・。一方、健蔵はある決意を胸に、三國家に向かっていたーー。大谷太郎【原作】ジョージ秋山  【脚本】岡田惠和金子隆博日テレ　アックスオン")</f>
        <v>風太郎を愛しぬいた末に自殺した茜。哀れな茜の胸のうちを告げて風太郎を責める緑。風太郎にある想いが去来するーー。「ドライブしませんか?」と誘う風太郎に緑は困惑する。むかった先は風太郎が子供の頃の桃子との想い出の場所であった。その頃、伊豆屋の面々は驚愕の事実を突きつけられ、複雑な想いに駆られていた。追い詰められた保彦たちは、ある行動にでる・・・。一方、健蔵はある決意を胸に、三國家に向かっていたーー。大谷太郎【原作】ジョージ秋山  【脚本】岡田惠和金子隆博日テレ　アックスオン</v>
      </c>
      <c r="O4469" s="2"/>
      <c r="P4469" s="1"/>
      <c r="Q4469" s="1"/>
      <c r="R4469" s="1"/>
      <c r="S4469" s="1"/>
      <c r="T4469" s="1"/>
      <c r="U4469" s="1"/>
      <c r="V4469" s="1"/>
      <c r="W4469" s="1"/>
      <c r="X4469" s="1"/>
      <c r="Y4469" s="1"/>
      <c r="Z4469" s="1"/>
      <c r="AA4469" s="1"/>
      <c r="AB4469" s="1"/>
      <c r="AC4469" s="1"/>
      <c r="AD4469" s="1"/>
      <c r="AE4469" s="1"/>
      <c r="AF4469" s="1"/>
      <c r="AG4469" s="1"/>
      <c r="AH4469" s="1"/>
      <c r="AI4469" s="1"/>
      <c r="AJ4469" s="1"/>
      <c r="AK4469" s="1"/>
      <c r="AL4469" s="1"/>
      <c r="AM4469" s="1"/>
      <c r="AN4469" s="1"/>
      <c r="AO4469" s="1"/>
      <c r="AP4469" s="1"/>
      <c r="AQ4469" s="1"/>
      <c r="AR4469" s="1"/>
      <c r="AS4469" s="1"/>
      <c r="AT4469" s="1"/>
      <c r="AU4469" s="1"/>
      <c r="AV4469" s="1"/>
      <c r="AW4469" s="1"/>
      <c r="AX4469" s="1"/>
      <c r="AY4469" s="1"/>
      <c r="AZ4469" s="1"/>
      <c r="BA4469" s="1"/>
      <c r="BB4469" s="1"/>
    </row>
    <row r="4470" ht="204.75" customHeight="1">
      <c r="A4470" s="1">
        <v>5500.0</v>
      </c>
      <c r="B4470" s="2" t="s">
        <v>12833</v>
      </c>
      <c r="C4470" s="2">
        <f>IFERROR(__xludf.DUMMYFUNCTION("split(B4470,""_"")"),901.0)</f>
        <v>901</v>
      </c>
      <c r="D4470" s="2" t="str">
        <f>IFERROR(__xludf.DUMMYFUNCTION("""COMPUTED_VALUE"""),"NTV")</f>
        <v>NTV</v>
      </c>
      <c r="E4470" s="2" t="str">
        <f>IFERROR(__xludf.DUMMYFUNCTION("""COMPUTED_VALUE"""),"土21")</f>
        <v>土21</v>
      </c>
      <c r="F4470" s="2" t="s">
        <v>12834</v>
      </c>
      <c r="G4470" s="2" t="s">
        <v>12835</v>
      </c>
      <c r="H4470" s="1">
        <v>9.0</v>
      </c>
      <c r="J4470" s="1" t="s">
        <v>11</v>
      </c>
      <c r="K4470" s="2" t="s">
        <v>12843</v>
      </c>
      <c r="L4470" s="2"/>
      <c r="M4470" s="2" t="str">
        <f>IFERROR(__xludf.DUMMYFUNCTION("split(split(K4470,""【演出"",false),""ほか"",false)"),"松山ケンイチ　ミムラ　宮川大輔　木南晴夏　光石研　りょう　椎名桔平　")</f>
        <v>松山ケンイチ　ミムラ　宮川大輔　木南晴夏　光石研　りょう　椎名桔平　</v>
      </c>
      <c r="N4470" s="2" t="str">
        <f>IFERROR(__xludf.DUMMYFUNCTION("""COMPUTED_VALUE"""),"死を決意し、ダイナマイトの導火線に火をつけた風太郎。なぜ彼は、自らの命を消そうとしているのか?チリチリと燃えていく導火線の炎を見ながら、風太郎はある夢を描き始めるーーー。大谷太郎【原作】ジョージ秋山　  【脚本】岡田惠和金子隆博　日テレ　アックスオン")</f>
        <v>死を決意し、ダイナマイトの導火線に火をつけた風太郎。なぜ彼は、自らの命を消そうとしているのか?チリチリと燃えていく導火線の炎を見ながら、風太郎はある夢を描き始めるーーー。大谷太郎【原作】ジョージ秋山　  【脚本】岡田惠和金子隆博　日テレ　アックスオン</v>
      </c>
      <c r="O4470" s="2"/>
      <c r="P4470" s="1"/>
      <c r="Q4470" s="1"/>
      <c r="R4470" s="1"/>
      <c r="S4470" s="1"/>
      <c r="T4470" s="1"/>
      <c r="U4470" s="1"/>
      <c r="V4470" s="1"/>
      <c r="W4470" s="1"/>
      <c r="X4470" s="1"/>
      <c r="Y4470" s="1"/>
      <c r="Z4470" s="1"/>
      <c r="AA4470" s="1"/>
      <c r="AB4470" s="1"/>
      <c r="AC4470" s="1"/>
      <c r="AD4470" s="1"/>
      <c r="AE4470" s="1"/>
      <c r="AF4470" s="1"/>
      <c r="AG4470" s="1"/>
      <c r="AH4470" s="1"/>
      <c r="AI4470" s="1"/>
      <c r="AJ4470" s="1"/>
      <c r="AK4470" s="1"/>
      <c r="AL4470" s="1"/>
      <c r="AM4470" s="1"/>
      <c r="AN4470" s="1"/>
      <c r="AO4470" s="1"/>
      <c r="AP4470" s="1"/>
      <c r="AQ4470" s="1"/>
      <c r="AR4470" s="1"/>
      <c r="AS4470" s="1"/>
      <c r="AT4470" s="1"/>
      <c r="AU4470" s="1"/>
      <c r="AV4470" s="1"/>
      <c r="AW4470" s="1"/>
      <c r="AX4470" s="1"/>
      <c r="AY4470" s="1"/>
      <c r="AZ4470" s="1"/>
      <c r="BA4470" s="1"/>
      <c r="BB4470" s="1"/>
    </row>
    <row r="4471" ht="204.75" customHeight="1">
      <c r="A4471" s="1">
        <v>5548.0</v>
      </c>
      <c r="B4471" s="2" t="s">
        <v>12844</v>
      </c>
      <c r="C4471" s="2">
        <f>IFERROR(__xludf.DUMMYFUNCTION("split(B4471,""_"")"),810.0)</f>
        <v>810</v>
      </c>
      <c r="D4471" s="2" t="str">
        <f>IFERROR(__xludf.DUMMYFUNCTION("""COMPUTED_VALUE"""),"NTV")</f>
        <v>NTV</v>
      </c>
      <c r="E4471" s="2" t="str">
        <f>IFERROR(__xludf.DUMMYFUNCTION("""COMPUTED_VALUE"""),"水22")</f>
        <v>水22</v>
      </c>
      <c r="F4471" s="2" t="s">
        <v>12845</v>
      </c>
      <c r="G4471" s="2" t="s">
        <v>12846</v>
      </c>
      <c r="H4471" s="1">
        <v>1.0</v>
      </c>
      <c r="J4471" s="1" t="s">
        <v>82</v>
      </c>
      <c r="K4471" s="2" t="s">
        <v>12847</v>
      </c>
      <c r="L4471" s="2"/>
      <c r="M4471" s="2" t="str">
        <f>IFERROR(__xludf.DUMMYFUNCTION("split(split(K4471,""【演出"",false),""ほか"",false)"),"観月ありさ　阿部サダヲ　美波　井上芳雄　タン・ジャースー　ローラ・チャン　前田知恵　宮地真緒　稲葉さゆり　秋田真琴　小堀慎平　福井仁美　佐々木麻美　奥田崇　藤原寿之　猪岐英人　フービン　皆川猿時　モロ師岡　東幹久　浅野ゆう子神崎島子(観月ありさ)は、東慶商事の総務課に勤務する平穏無事な生活を送る普通のОL。しかし、「総務の仕事」を海外にアウトソーシングするという会社の急な経営方針の変更により、正社員の立場を脅かす危機に直面。中国からは仕事を学ぶ為に研修生が送りこまれるが、総務課員は研修生たちに冷たい対応。"&amp;"やがて、ある言葉がきっかけで、島子と琳(タン・ジャースー)がタイピングの勝負をすることになる。")</f>
        <v>観月ありさ　阿部サダヲ　美波　井上芳雄　タン・ジャースー　ローラ・チャン　前田知恵　宮地真緒　稲葉さゆり　秋田真琴　小堀慎平　福井仁美　佐々木麻美　奥田崇　藤原寿之　猪岐英人　フービン　皆川猿時　モロ師岡　東幹久　浅野ゆう子神崎島子(観月ありさ)は、東慶商事の総務課に勤務する平穏無事な生活を送る普通のОL。しかし、「総務の仕事」を海外にアウトソーシングするという会社の急な経営方針の変更により、正社員の立場を脅かす危機に直面。中国からは仕事を学ぶ為に研修生が送りこまれるが、総務課員は研修生たちに冷たい対応。やがて、ある言葉がきっかけで、島子と琳(タン・ジャースー)がタイピングの勝負をすることになる。</v>
      </c>
      <c r="N4471" s="2"/>
      <c r="O4471" s="2"/>
      <c r="P4471" s="1"/>
      <c r="Q4471" s="1"/>
      <c r="R4471" s="1"/>
      <c r="S4471" s="1"/>
      <c r="T4471" s="1"/>
      <c r="U4471" s="1"/>
      <c r="V4471" s="1"/>
      <c r="W4471" s="1"/>
      <c r="X4471" s="1"/>
      <c r="Y4471" s="1"/>
      <c r="Z4471" s="1"/>
      <c r="AA4471" s="1"/>
      <c r="AB4471" s="1"/>
      <c r="AC4471" s="1"/>
      <c r="AD4471" s="1"/>
      <c r="AE4471" s="1"/>
      <c r="AF4471" s="1"/>
      <c r="AG4471" s="1"/>
      <c r="AH4471" s="1"/>
      <c r="AI4471" s="1"/>
      <c r="AJ4471" s="1"/>
      <c r="AK4471" s="1"/>
      <c r="AL4471" s="1"/>
      <c r="AM4471" s="1"/>
      <c r="AN4471" s="1"/>
      <c r="AO4471" s="1"/>
      <c r="AP4471" s="1"/>
      <c r="AQ4471" s="1"/>
      <c r="AR4471" s="1"/>
      <c r="AS4471" s="1"/>
      <c r="AT4471" s="1"/>
      <c r="AU4471" s="1"/>
      <c r="AV4471" s="1"/>
      <c r="AW4471" s="1"/>
      <c r="AX4471" s="1"/>
      <c r="AY4471" s="1"/>
      <c r="AZ4471" s="1"/>
      <c r="BA4471" s="1"/>
      <c r="BB4471" s="1"/>
    </row>
    <row r="4472" ht="204.75" customHeight="1">
      <c r="A4472" s="1">
        <v>5549.0</v>
      </c>
      <c r="B4472" s="2" t="s">
        <v>12844</v>
      </c>
      <c r="C4472" s="2">
        <f>IFERROR(__xludf.DUMMYFUNCTION("split(B4472,""_"")"),810.0)</f>
        <v>810</v>
      </c>
      <c r="D4472" s="2" t="str">
        <f>IFERROR(__xludf.DUMMYFUNCTION("""COMPUTED_VALUE"""),"NTV")</f>
        <v>NTV</v>
      </c>
      <c r="E4472" s="2" t="str">
        <f>IFERROR(__xludf.DUMMYFUNCTION("""COMPUTED_VALUE"""),"水22")</f>
        <v>水22</v>
      </c>
      <c r="F4472" s="2" t="s">
        <v>12845</v>
      </c>
      <c r="G4472" s="2" t="s">
        <v>12846</v>
      </c>
      <c r="H4472" s="1">
        <v>2.0</v>
      </c>
      <c r="J4472" s="1" t="s">
        <v>86</v>
      </c>
      <c r="K4472" s="2" t="s">
        <v>12848</v>
      </c>
      <c r="L4472" s="2"/>
      <c r="M4472" s="2" t="str">
        <f>IFERROR(__xludf.DUMMYFUNCTION("split(split(K4472,""【演出"",false),""ほか"",false)"),"観月ありさ　阿部サダヲ　美波　井上芳雄　タン・ジャースー　ローラ・チャン　  フービン(友情出演)前田知恵　皆川猿時　モロ師岡　　　東幹久　　浅野ゆう子他マニュアル作りが一向に進まない状況を見兼ねた弥生は、島子を琳と洋の教育係に任命し、業務の1つを1週間以内にマニュアル化できない場合、2人を中国に帰すと告げる。業務内容は総務課で最も面倒な「営業車の登録」。日本車の知識が全くない2人は、たった1日で車種や性能を暗記。そのスキルの高さとハングリー精神に周囲は驚いた。しかし、ある日、琳のバイトが会社にばれて、琳"&amp;"は弥生に首を言い渡される。")</f>
        <v>観月ありさ　阿部サダヲ　美波　井上芳雄　タン・ジャースー　ローラ・チャン　  フービン(友情出演)前田知恵　皆川猿時　モロ師岡　　　東幹久　　浅野ゆう子他マニュアル作りが一向に進まない状況を見兼ねた弥生は、島子を琳と洋の教育係に任命し、業務の1つを1週間以内にマニュアル化できない場合、2人を中国に帰すと告げる。業務内容は総務課で最も面倒な「営業車の登録」。日本車の知識が全くない2人は、たった1日で車種や性能を暗記。そのスキルの高さとハングリー精神に周囲は驚いた。しかし、ある日、琳のバイトが会社にばれて、琳は弥生に首を言い渡される。</v>
      </c>
      <c r="N4472" s="2"/>
      <c r="O4472" s="2"/>
      <c r="P4472" s="1"/>
      <c r="Q4472" s="1"/>
      <c r="R4472" s="1"/>
      <c r="S4472" s="1"/>
      <c r="T4472" s="1"/>
      <c r="U4472" s="1"/>
      <c r="V4472" s="1"/>
      <c r="W4472" s="1"/>
      <c r="X4472" s="1"/>
      <c r="Y4472" s="1"/>
      <c r="Z4472" s="1"/>
      <c r="AA4472" s="1"/>
      <c r="AB4472" s="1"/>
      <c r="AC4472" s="1"/>
      <c r="AD4472" s="1"/>
      <c r="AE4472" s="1"/>
      <c r="AF4472" s="1"/>
      <c r="AG4472" s="1"/>
      <c r="AH4472" s="1"/>
      <c r="AI4472" s="1"/>
      <c r="AJ4472" s="1"/>
      <c r="AK4472" s="1"/>
      <c r="AL4472" s="1"/>
      <c r="AM4472" s="1"/>
      <c r="AN4472" s="1"/>
      <c r="AO4472" s="1"/>
      <c r="AP4472" s="1"/>
      <c r="AQ4472" s="1"/>
      <c r="AR4472" s="1"/>
      <c r="AS4472" s="1"/>
      <c r="AT4472" s="1"/>
      <c r="AU4472" s="1"/>
      <c r="AV4472" s="1"/>
      <c r="AW4472" s="1"/>
      <c r="AX4472" s="1"/>
      <c r="AY4472" s="1"/>
      <c r="AZ4472" s="1"/>
      <c r="BA4472" s="1"/>
      <c r="BB4472" s="1"/>
    </row>
    <row r="4473" ht="204.75" customHeight="1">
      <c r="A4473" s="1">
        <v>5550.0</v>
      </c>
      <c r="B4473" s="2" t="s">
        <v>12844</v>
      </c>
      <c r="C4473" s="2">
        <f>IFERROR(__xludf.DUMMYFUNCTION("split(B4473,""_"")"),810.0)</f>
        <v>810</v>
      </c>
      <c r="D4473" s="2" t="str">
        <f>IFERROR(__xludf.DUMMYFUNCTION("""COMPUTED_VALUE"""),"NTV")</f>
        <v>NTV</v>
      </c>
      <c r="E4473" s="2" t="str">
        <f>IFERROR(__xludf.DUMMYFUNCTION("""COMPUTED_VALUE"""),"水22")</f>
        <v>水22</v>
      </c>
      <c r="F4473" s="2" t="s">
        <v>12845</v>
      </c>
      <c r="G4473" s="2" t="s">
        <v>12846</v>
      </c>
      <c r="H4473" s="1">
        <v>3.0</v>
      </c>
      <c r="J4473" s="1" t="s">
        <v>86</v>
      </c>
      <c r="K4473" s="2" t="s">
        <v>12849</v>
      </c>
      <c r="L4473" s="2"/>
      <c r="M4473" s="2" t="str">
        <f>IFERROR(__xludf.DUMMYFUNCTION("split(split(K4473,""【演出"",false),""ほか"",false)"),"観月ありさ　阿部サダヲ　美波　井上芳雄　タン・ジャースー　ローラ・チャン　  フービン(友情出演)前田知恵　皆川猿時　モロ師岡　　　東幹久　　浅野ゆう子他")</f>
        <v>観月ありさ　阿部サダヲ　美波　井上芳雄　タン・ジャースー　ローラ・チャン　  フービン(友情出演)前田知恵　皆川猿時　モロ師岡　　　東幹久　　浅野ゆう子他</v>
      </c>
      <c r="N4473" s="2"/>
      <c r="O4473" s="2"/>
      <c r="P4473" s="1"/>
      <c r="Q4473" s="1"/>
      <c r="R4473" s="1"/>
      <c r="S4473" s="1"/>
      <c r="T4473" s="1"/>
      <c r="U4473" s="1"/>
      <c r="V4473" s="1"/>
      <c r="W4473" s="1"/>
      <c r="X4473" s="1"/>
      <c r="Y4473" s="1"/>
      <c r="Z4473" s="1"/>
      <c r="AA4473" s="1"/>
      <c r="AB4473" s="1"/>
      <c r="AC4473" s="1"/>
      <c r="AD4473" s="1"/>
      <c r="AE4473" s="1"/>
      <c r="AF4473" s="1"/>
      <c r="AG4473" s="1"/>
      <c r="AH4473" s="1"/>
      <c r="AI4473" s="1"/>
      <c r="AJ4473" s="1"/>
      <c r="AK4473" s="1"/>
      <c r="AL4473" s="1"/>
      <c r="AM4473" s="1"/>
      <c r="AN4473" s="1"/>
      <c r="AO4473" s="1"/>
      <c r="AP4473" s="1"/>
      <c r="AQ4473" s="1"/>
      <c r="AR4473" s="1"/>
      <c r="AS4473" s="1"/>
      <c r="AT4473" s="1"/>
      <c r="AU4473" s="1"/>
      <c r="AV4473" s="1"/>
      <c r="AW4473" s="1"/>
      <c r="AX4473" s="1"/>
      <c r="AY4473" s="1"/>
      <c r="AZ4473" s="1"/>
      <c r="BA4473" s="1"/>
      <c r="BB4473" s="1"/>
    </row>
    <row r="4474" ht="204.75" customHeight="1">
      <c r="A4474" s="1">
        <v>5551.0</v>
      </c>
      <c r="B4474" s="2" t="s">
        <v>12844</v>
      </c>
      <c r="C4474" s="2">
        <f>IFERROR(__xludf.DUMMYFUNCTION("split(B4474,""_"")"),810.0)</f>
        <v>810</v>
      </c>
      <c r="D4474" s="2" t="str">
        <f>IFERROR(__xludf.DUMMYFUNCTION("""COMPUTED_VALUE"""),"NTV")</f>
        <v>NTV</v>
      </c>
      <c r="E4474" s="2" t="str">
        <f>IFERROR(__xludf.DUMMYFUNCTION("""COMPUTED_VALUE"""),"水22")</f>
        <v>水22</v>
      </c>
      <c r="F4474" s="2" t="s">
        <v>12845</v>
      </c>
      <c r="G4474" s="2" t="s">
        <v>12850</v>
      </c>
      <c r="H4474" s="1">
        <v>4.0</v>
      </c>
      <c r="I4474" s="1" t="s">
        <v>2880</v>
      </c>
      <c r="J4474" s="1" t="s">
        <v>86</v>
      </c>
      <c r="K4474" s="2" t="s">
        <v>12851</v>
      </c>
      <c r="L4474" s="2"/>
      <c r="M4474" s="2" t="str">
        <f>IFERROR(__xludf.DUMMYFUNCTION("split(split(K4474,""【演出"",false),""ほか"",false)"),"観月ありさ　阿部サダヲ　美波　井上芳雄　タン・ジャースー　ローラ・チャン　  フービン(友情出演)　前田知恵　皆川猿時　モロ師岡　東幹久　浅野ゆう子他総務課が島子(観月ありさ)と朝比奈(東幹久)の婚約話で盛り上がる中、琳と洋が作ったマニュアルにミスが見つかったと緊急連絡が入る。弥生(浅野ゆう子)は、中国アウトソーシングの阻止を狙う者がマニュアルを改竄したと考え、島子に犯人探しをするよう指示。しかし、島子はそれを拒否。代わりに小旗(阿部サダヲ)が犯人捜しをすることになるが、総務課の意外な人間が怪しいとマーク"&amp;"されることになる。")</f>
        <v>観月ありさ　阿部サダヲ　美波　井上芳雄　タン・ジャースー　ローラ・チャン　  フービン(友情出演)　前田知恵　皆川猿時　モロ師岡　東幹久　浅野ゆう子他総務課が島子(観月ありさ)と朝比奈(東幹久)の婚約話で盛り上がる中、琳と洋が作ったマニュアルにミスが見つかったと緊急連絡が入る。弥生(浅野ゆう子)は、中国アウトソーシングの阻止を狙う者がマニュアルを改竄したと考え、島子に犯人探しをするよう指示。しかし、島子はそれを拒否。代わりに小旗(阿部サダヲ)が犯人捜しをすることになるが、総務課の意外な人間が怪しいとマークされることになる。</v>
      </c>
      <c r="N4474" s="2"/>
      <c r="O4474" s="2"/>
      <c r="P4474" s="1"/>
      <c r="Q4474" s="1"/>
      <c r="R4474" s="1"/>
      <c r="S4474" s="1"/>
      <c r="T4474" s="1"/>
      <c r="U4474" s="1"/>
      <c r="V4474" s="1"/>
      <c r="W4474" s="1"/>
      <c r="X4474" s="1"/>
      <c r="Y4474" s="1"/>
      <c r="Z4474" s="1"/>
      <c r="AA4474" s="1"/>
      <c r="AB4474" s="1"/>
      <c r="AC4474" s="1"/>
      <c r="AD4474" s="1"/>
      <c r="AE4474" s="1"/>
      <c r="AF4474" s="1"/>
      <c r="AG4474" s="1"/>
      <c r="AH4474" s="1"/>
      <c r="AI4474" s="1"/>
      <c r="AJ4474" s="1"/>
      <c r="AK4474" s="1"/>
      <c r="AL4474" s="1"/>
      <c r="AM4474" s="1"/>
      <c r="AN4474" s="1"/>
      <c r="AO4474" s="1"/>
      <c r="AP4474" s="1"/>
      <c r="AQ4474" s="1"/>
      <c r="AR4474" s="1"/>
      <c r="AS4474" s="1"/>
      <c r="AT4474" s="1"/>
      <c r="AU4474" s="1"/>
      <c r="AV4474" s="1"/>
      <c r="AW4474" s="1"/>
      <c r="AX4474" s="1"/>
      <c r="AY4474" s="1"/>
      <c r="AZ4474" s="1"/>
      <c r="BA4474" s="1"/>
      <c r="BB4474" s="1"/>
    </row>
    <row r="4475" ht="204.75" customHeight="1">
      <c r="A4475" s="1">
        <v>5552.0</v>
      </c>
      <c r="B4475" s="2" t="s">
        <v>12844</v>
      </c>
      <c r="C4475" s="2">
        <f>IFERROR(__xludf.DUMMYFUNCTION("split(B4475,""_"")"),810.0)</f>
        <v>810</v>
      </c>
      <c r="D4475" s="2" t="str">
        <f>IFERROR(__xludf.DUMMYFUNCTION("""COMPUTED_VALUE"""),"NTV")</f>
        <v>NTV</v>
      </c>
      <c r="E4475" s="2" t="str">
        <f>IFERROR(__xludf.DUMMYFUNCTION("""COMPUTED_VALUE"""),"水22")</f>
        <v>水22</v>
      </c>
      <c r="F4475" s="2" t="s">
        <v>12845</v>
      </c>
      <c r="G4475" s="2" t="s">
        <v>12852</v>
      </c>
      <c r="H4475" s="1">
        <v>5.0</v>
      </c>
      <c r="I4475" s="1" t="s">
        <v>2884</v>
      </c>
      <c r="J4475" s="1" t="s">
        <v>86</v>
      </c>
      <c r="K4475" s="2" t="s">
        <v>12853</v>
      </c>
      <c r="L4475" s="2"/>
      <c r="M4475" s="2" t="str">
        <f>IFERROR(__xludf.DUMMYFUNCTION("split(split(K4475,""【演出"",false),""ほか"",false)"),"観月ありさ　阿部サダヲ　美波　井上芳雄　タン・ジャースー　ローラ・チャン　  フービン(友情出演)　前田知恵　皆川猿時　モロ師岡　東幹久　浅野ゆう子他島子(観月ありさ)は、弥生(浅野ゆう子)に社員の山村(鈴木浩介)を呼ぶよう指示される。山村は繁華街のクラブで泥酔し中国人ホステスに暴力を振るったとして店のオーナーが東慶商事に300万円の慰謝料を求めてきたのだ。弥生は問題が解決するまで山村を別室に隔離する事を決め、総務課員が順番で見張りをする事に・・・。山村は島子の同期でアウトソーシングの煽りをもろに受けた被"&amp;"害者だった。事態は意外な方向に・・・。")</f>
        <v>観月ありさ　阿部サダヲ　美波　井上芳雄　タン・ジャースー　ローラ・チャン　  フービン(友情出演)　前田知恵　皆川猿時　モロ師岡　東幹久　浅野ゆう子他島子(観月ありさ)は、弥生(浅野ゆう子)に社員の山村(鈴木浩介)を呼ぶよう指示される。山村は繁華街のクラブで泥酔し中国人ホステスに暴力を振るったとして店のオーナーが東慶商事に300万円の慰謝料を求めてきたのだ。弥生は問題が解決するまで山村を別室に隔離する事を決め、総務課員が順番で見張りをする事に・・・。山村は島子の同期でアウトソーシングの煽りをもろに受けた被害者だった。事態は意外な方向に・・・。</v>
      </c>
      <c r="N4475" s="2"/>
      <c r="O4475" s="2"/>
      <c r="P4475" s="1"/>
      <c r="Q4475" s="1"/>
      <c r="R4475" s="1"/>
      <c r="S4475" s="1"/>
      <c r="T4475" s="1"/>
      <c r="U4475" s="1"/>
      <c r="V4475" s="1"/>
      <c r="W4475" s="1"/>
      <c r="X4475" s="1"/>
      <c r="Y4475" s="1"/>
      <c r="Z4475" s="1"/>
      <c r="AA4475" s="1"/>
      <c r="AB4475" s="1"/>
      <c r="AC4475" s="1"/>
      <c r="AD4475" s="1"/>
      <c r="AE4475" s="1"/>
      <c r="AF4475" s="1"/>
      <c r="AG4475" s="1"/>
      <c r="AH4475" s="1"/>
      <c r="AI4475" s="1"/>
      <c r="AJ4475" s="1"/>
      <c r="AK4475" s="1"/>
      <c r="AL4475" s="1"/>
      <c r="AM4475" s="1"/>
      <c r="AN4475" s="1"/>
      <c r="AO4475" s="1"/>
      <c r="AP4475" s="1"/>
      <c r="AQ4475" s="1"/>
      <c r="AR4475" s="1"/>
      <c r="AS4475" s="1"/>
      <c r="AT4475" s="1"/>
      <c r="AU4475" s="1"/>
      <c r="AV4475" s="1"/>
      <c r="AW4475" s="1"/>
      <c r="AX4475" s="1"/>
      <c r="AY4475" s="1"/>
      <c r="AZ4475" s="1"/>
      <c r="BA4475" s="1"/>
      <c r="BB4475" s="1"/>
    </row>
    <row r="4476" ht="204.75" customHeight="1">
      <c r="A4476" s="1">
        <v>5553.0</v>
      </c>
      <c r="B4476" s="2" t="s">
        <v>12844</v>
      </c>
      <c r="C4476" s="2">
        <f>IFERROR(__xludf.DUMMYFUNCTION("split(B4476,""_"")"),810.0)</f>
        <v>810</v>
      </c>
      <c r="D4476" s="2" t="str">
        <f>IFERROR(__xludf.DUMMYFUNCTION("""COMPUTED_VALUE"""),"NTV")</f>
        <v>NTV</v>
      </c>
      <c r="E4476" s="2" t="str">
        <f>IFERROR(__xludf.DUMMYFUNCTION("""COMPUTED_VALUE"""),"水22")</f>
        <v>水22</v>
      </c>
      <c r="F4476" s="2" t="s">
        <v>12845</v>
      </c>
      <c r="G4476" s="2" t="s">
        <v>12846</v>
      </c>
      <c r="H4476" s="1">
        <v>6.0</v>
      </c>
      <c r="J4476" s="1" t="s">
        <v>86</v>
      </c>
      <c r="K4476" s="2" t="s">
        <v>12854</v>
      </c>
      <c r="L4476" s="2"/>
      <c r="M4476" s="2" t="str">
        <f>IFERROR(__xludf.DUMMYFUNCTION("split(split(K4476,""【演出"",false),""ほか"",false)"),"観月ありさ　阿部サダヲ　美波　井上芳雄　タン・ジャースー　ローラ・チャン　  フービン(友情出演)前田知恵　皆川猿時　モロ師岡　　　東幹久　　浅野ゆう子他無茶ばかり押し付ける事で有名な食品二部の石松部長から総務部に、「肉の試食会」をやってくれという依頼が舞い込む。取引先のご機嫌取りという名目らしい…。島子(観月ありさ)はその依頼を断るが、朝比奈(東幹久)が石松部長に押され、総務部が引き受ける事に…。そんな朝比奈の情けない姿に部下は不平不満の声をぶつける。島子の計らいで試食会にこぎつけるのだが…。そこにはあ"&amp;"る事件が待っていた。")</f>
        <v>観月ありさ　阿部サダヲ　美波　井上芳雄　タン・ジャースー　ローラ・チャン　  フービン(友情出演)前田知恵　皆川猿時　モロ師岡　　　東幹久　　浅野ゆう子他無茶ばかり押し付ける事で有名な食品二部の石松部長から総務部に、「肉の試食会」をやってくれという依頼が舞い込む。取引先のご機嫌取りという名目らしい…。島子(観月ありさ)はその依頼を断るが、朝比奈(東幹久)が石松部長に押され、総務部が引き受ける事に…。そんな朝比奈の情けない姿に部下は不平不満の声をぶつける。島子の計らいで試食会にこぎつけるのだが…。そこにはある事件が待っていた。</v>
      </c>
      <c r="N4476" s="2"/>
      <c r="O4476" s="2"/>
      <c r="P4476" s="1"/>
      <c r="Q4476" s="1"/>
      <c r="R4476" s="1"/>
      <c r="S4476" s="1"/>
      <c r="T4476" s="1"/>
      <c r="U4476" s="1"/>
      <c r="V4476" s="1"/>
      <c r="W4476" s="1"/>
      <c r="X4476" s="1"/>
      <c r="Y4476" s="1"/>
      <c r="Z4476" s="1"/>
      <c r="AA4476" s="1"/>
      <c r="AB4476" s="1"/>
      <c r="AC4476" s="1"/>
      <c r="AD4476" s="1"/>
      <c r="AE4476" s="1"/>
      <c r="AF4476" s="1"/>
      <c r="AG4476" s="1"/>
      <c r="AH4476" s="1"/>
      <c r="AI4476" s="1"/>
      <c r="AJ4476" s="1"/>
      <c r="AK4476" s="1"/>
      <c r="AL4476" s="1"/>
      <c r="AM4476" s="1"/>
      <c r="AN4476" s="1"/>
      <c r="AO4476" s="1"/>
      <c r="AP4476" s="1"/>
      <c r="AQ4476" s="1"/>
      <c r="AR4476" s="1"/>
      <c r="AS4476" s="1"/>
      <c r="AT4476" s="1"/>
      <c r="AU4476" s="1"/>
      <c r="AV4476" s="1"/>
      <c r="AW4476" s="1"/>
      <c r="AX4476" s="1"/>
      <c r="AY4476" s="1"/>
      <c r="AZ4476" s="1"/>
      <c r="BA4476" s="1"/>
      <c r="BB4476" s="1"/>
    </row>
    <row r="4477" ht="204.75" customHeight="1">
      <c r="A4477" s="1">
        <v>5554.0</v>
      </c>
      <c r="B4477" s="2" t="s">
        <v>12844</v>
      </c>
      <c r="C4477" s="2">
        <f>IFERROR(__xludf.DUMMYFUNCTION("split(B4477,""_"")"),810.0)</f>
        <v>810</v>
      </c>
      <c r="D4477" s="2" t="str">
        <f>IFERROR(__xludf.DUMMYFUNCTION("""COMPUTED_VALUE"""),"NTV")</f>
        <v>NTV</v>
      </c>
      <c r="E4477" s="2" t="str">
        <f>IFERROR(__xludf.DUMMYFUNCTION("""COMPUTED_VALUE"""),"水22")</f>
        <v>水22</v>
      </c>
      <c r="F4477" s="2" t="s">
        <v>12845</v>
      </c>
      <c r="G4477" s="2" t="s">
        <v>12855</v>
      </c>
      <c r="H4477" s="1">
        <v>7.0</v>
      </c>
      <c r="J4477" s="1" t="s">
        <v>86</v>
      </c>
      <c r="K4477" s="2" t="s">
        <v>12856</v>
      </c>
      <c r="L4477" s="2"/>
      <c r="M4477" s="2" t="str">
        <f>IFERROR(__xludf.DUMMYFUNCTION("split(split(K4477,""【演出"",false),""ほか"",false)"),"観月ありさ　阿部サダヲ　美波　井上芳雄　タン・ジャースー　ローラ・チャン　  フービン(友情出演)前田知恵　皆川猿時　モロ師岡　　　東幹久　　浅野ゆう子他島子(観月ありさ)と朝比奈(東幹久)の婚約解消が皆に知れわたる中、弥生が総務課5名に各地方支社への異動の内示が出たと言い渡す。抗議する朝比奈を弥生は冷たく突き放す。翌日、朝比奈以外の4人が仕事をボイコット。島子は目の前の仕事をこなすべく、ひたすら働き続けた。まもなく、島子は弥生の指示で取り壊し間近の旧社屋に行く事に…。そこには島子の心の師であり、かつての"&amp;"上司・生田(小野武彦)がいて。")</f>
        <v>観月ありさ　阿部サダヲ　美波　井上芳雄　タン・ジャースー　ローラ・チャン　  フービン(友情出演)前田知恵　皆川猿時　モロ師岡　　　東幹久　　浅野ゆう子他島子(観月ありさ)と朝比奈(東幹久)の婚約解消が皆に知れわたる中、弥生が総務課5名に各地方支社への異動の内示が出たと言い渡す。抗議する朝比奈を弥生は冷たく突き放す。翌日、朝比奈以外の4人が仕事をボイコット。島子は目の前の仕事をこなすべく、ひたすら働き続けた。まもなく、島子は弥生の指示で取り壊し間近の旧社屋に行く事に…。そこには島子の心の師であり、かつての上司・生田(小野武彦)がいて。</v>
      </c>
      <c r="N4477" s="2"/>
      <c r="O4477" s="2"/>
      <c r="P4477" s="1"/>
      <c r="Q4477" s="1"/>
      <c r="R4477" s="1"/>
      <c r="S4477" s="1"/>
      <c r="T4477" s="1"/>
      <c r="U4477" s="1"/>
      <c r="V4477" s="1"/>
      <c r="W4477" s="1"/>
      <c r="X4477" s="1"/>
      <c r="Y4477" s="1"/>
      <c r="Z4477" s="1"/>
      <c r="AA4477" s="1"/>
      <c r="AB4477" s="1"/>
      <c r="AC4477" s="1"/>
      <c r="AD4477" s="1"/>
      <c r="AE4477" s="1"/>
      <c r="AF4477" s="1"/>
      <c r="AG4477" s="1"/>
      <c r="AH4477" s="1"/>
      <c r="AI4477" s="1"/>
      <c r="AJ4477" s="1"/>
      <c r="AK4477" s="1"/>
      <c r="AL4477" s="1"/>
      <c r="AM4477" s="1"/>
      <c r="AN4477" s="1"/>
      <c r="AO4477" s="1"/>
      <c r="AP4477" s="1"/>
      <c r="AQ4477" s="1"/>
      <c r="AR4477" s="1"/>
      <c r="AS4477" s="1"/>
      <c r="AT4477" s="1"/>
      <c r="AU4477" s="1"/>
      <c r="AV4477" s="1"/>
      <c r="AW4477" s="1"/>
      <c r="AX4477" s="1"/>
      <c r="AY4477" s="1"/>
      <c r="AZ4477" s="1"/>
      <c r="BA4477" s="1"/>
      <c r="BB4477" s="1"/>
    </row>
    <row r="4478" ht="204.75" customHeight="1">
      <c r="A4478" s="1">
        <v>5555.0</v>
      </c>
      <c r="B4478" s="2" t="s">
        <v>12844</v>
      </c>
      <c r="C4478" s="2">
        <f>IFERROR(__xludf.DUMMYFUNCTION("split(B4478,""_"")"),810.0)</f>
        <v>810</v>
      </c>
      <c r="D4478" s="2" t="str">
        <f>IFERROR(__xludf.DUMMYFUNCTION("""COMPUTED_VALUE"""),"NTV")</f>
        <v>NTV</v>
      </c>
      <c r="E4478" s="2" t="str">
        <f>IFERROR(__xludf.DUMMYFUNCTION("""COMPUTED_VALUE"""),"水22")</f>
        <v>水22</v>
      </c>
      <c r="F4478" s="2" t="s">
        <v>12845</v>
      </c>
      <c r="G4478" s="2" t="s">
        <v>12857</v>
      </c>
      <c r="H4478" s="1">
        <v>8.0</v>
      </c>
      <c r="J4478" s="1" t="s">
        <v>86</v>
      </c>
      <c r="K4478" s="2" t="s">
        <v>12858</v>
      </c>
      <c r="L4478" s="2"/>
      <c r="M4478" s="2" t="str">
        <f>IFERROR(__xludf.DUMMYFUNCTION("split(split(K4478,""【演出"",false),""ほか"",false)"),"観月ありさ　阿部サダヲ　美波　井上芳雄　タン・ジャースー　ローラ・チャン　  フービン(友情出演)　前田知恵　皆川猿時　モロ師岡　東幹久　浅野ゆう子　")</f>
        <v>観月ありさ　阿部サダヲ　美波　井上芳雄　タン・ジャースー　ローラ・チャン　  フービン(友情出演)　前田知恵　皆川猿時　モロ師岡　東幹久　浅野ゆう子　</v>
      </c>
      <c r="N4478" s="2" t="str">
        <f>IFERROR(__xludf.DUMMYFUNCTION("""COMPUTED_VALUE"""),"地方支社への異動が迫る中、島子ら総務課員達はいきいきと仕事をしている。そんな中、エネルギー部が使用する予定のグラウンドがキャンセルになる。営業部と経理部の仲の悪さを目の当たりにした島子はキャンセルになったグラウンドを有効活用し社内運動会を提案する。小旗は島子に運動会など無駄でバカバカしいと一言。しかし、総務課員達は島子に賛同する。一方、弥生は突然、吐血し、入院することに…。")</f>
        <v>地方支社への異動が迫る中、島子ら総務課員達はいきいきと仕事をしている。そんな中、エネルギー部が使用する予定のグラウンドがキャンセルになる。営業部と経理部の仲の悪さを目の当たりにした島子はキャンセルになったグラウンドを有効活用し社内運動会を提案する。小旗は島子に運動会など無駄でバカバカしいと一言。しかし、総務課員達は島子に賛同する。一方、弥生は突然、吐血し、入院することに…。</v>
      </c>
      <c r="O4478" s="2"/>
      <c r="P4478" s="1"/>
      <c r="Q4478" s="1"/>
      <c r="R4478" s="1"/>
      <c r="S4478" s="1"/>
      <c r="T4478" s="1"/>
      <c r="U4478" s="1"/>
      <c r="V4478" s="1"/>
      <c r="W4478" s="1"/>
      <c r="X4478" s="1"/>
      <c r="Y4478" s="1"/>
      <c r="Z4478" s="1"/>
      <c r="AA4478" s="1"/>
      <c r="AB4478" s="1"/>
      <c r="AC4478" s="1"/>
      <c r="AD4478" s="1"/>
      <c r="AE4478" s="1"/>
      <c r="AF4478" s="1"/>
      <c r="AG4478" s="1"/>
      <c r="AH4478" s="1"/>
      <c r="AI4478" s="1"/>
      <c r="AJ4478" s="1"/>
      <c r="AK4478" s="1"/>
      <c r="AL4478" s="1"/>
      <c r="AM4478" s="1"/>
      <c r="AN4478" s="1"/>
      <c r="AO4478" s="1"/>
      <c r="AP4478" s="1"/>
      <c r="AQ4478" s="1"/>
      <c r="AR4478" s="1"/>
      <c r="AS4478" s="1"/>
      <c r="AT4478" s="1"/>
      <c r="AU4478" s="1"/>
      <c r="AV4478" s="1"/>
      <c r="AW4478" s="1"/>
      <c r="AX4478" s="1"/>
      <c r="AY4478" s="1"/>
      <c r="AZ4478" s="1"/>
      <c r="BA4478" s="1"/>
      <c r="BB4478" s="1"/>
    </row>
    <row r="4479" ht="204.75" customHeight="1">
      <c r="A4479" s="1">
        <v>5556.0</v>
      </c>
      <c r="B4479" s="2" t="s">
        <v>12844</v>
      </c>
      <c r="C4479" s="2">
        <f>IFERROR(__xludf.DUMMYFUNCTION("split(B4479,""_"")"),810.0)</f>
        <v>810</v>
      </c>
      <c r="D4479" s="2" t="str">
        <f>IFERROR(__xludf.DUMMYFUNCTION("""COMPUTED_VALUE"""),"NTV")</f>
        <v>NTV</v>
      </c>
      <c r="E4479" s="2" t="str">
        <f>IFERROR(__xludf.DUMMYFUNCTION("""COMPUTED_VALUE"""),"水22")</f>
        <v>水22</v>
      </c>
      <c r="F4479" s="2" t="s">
        <v>12845</v>
      </c>
      <c r="G4479" s="2" t="s">
        <v>12846</v>
      </c>
      <c r="H4479" s="1">
        <v>9.0</v>
      </c>
      <c r="J4479" s="1" t="s">
        <v>86</v>
      </c>
      <c r="K4479" s="2" t="s">
        <v>12859</v>
      </c>
      <c r="L4479" s="2"/>
      <c r="M4479" s="2" t="str">
        <f>IFERROR(__xludf.DUMMYFUNCTION("split(split(K4479,""【演出"",false),""ほか"",false)"),"観月ありさ　阿部サダヲ　美波　井上芳雄　タン・ジャースー　ローラ・チャン　  フービン(友情出演)前田知恵　皆川猿時　モロ師岡　　　東幹久　　浅野ゆう子他小旗は会社の金を横領して中国に逃亡した犯罪者だという怪文書が送りつけられ、騒然となる総務部。しかし、島子は皆の前でそれを否定する。一方、朝比奈の頑張りも報われず、総務課員達の地方支社異動が進む中、島子は野呂主任が書き溜めた野呂ノートを見て、  ある有料セミナーを開催する事を提案。結果は見事、成功。利益を生む「新総務課」を立ち上げる等と冗談で盛り上がる。そ"&amp;"の事が原因で、島子は更に窮地に追い込まれる。")</f>
        <v>観月ありさ　阿部サダヲ　美波　井上芳雄　タン・ジャースー　ローラ・チャン　  フービン(友情出演)前田知恵　皆川猿時　モロ師岡　　　東幹久　　浅野ゆう子他小旗は会社の金を横領して中国に逃亡した犯罪者だという怪文書が送りつけられ、騒然となる総務部。しかし、島子は皆の前でそれを否定する。一方、朝比奈の頑張りも報われず、総務課員達の地方支社異動が進む中、島子は野呂主任が書き溜めた野呂ノートを見て、  ある有料セミナーを開催する事を提案。結果は見事、成功。利益を生む「新総務課」を立ち上げる等と冗談で盛り上がる。その事が原因で、島子は更に窮地に追い込まれる。</v>
      </c>
      <c r="N4479" s="2"/>
      <c r="O4479" s="2"/>
      <c r="P4479" s="1"/>
      <c r="Q4479" s="1"/>
      <c r="R4479" s="1"/>
      <c r="S4479" s="1"/>
      <c r="T4479" s="1"/>
      <c r="U4479" s="1"/>
      <c r="V4479" s="1"/>
      <c r="W4479" s="1"/>
      <c r="X4479" s="1"/>
      <c r="Y4479" s="1"/>
      <c r="Z4479" s="1"/>
      <c r="AA4479" s="1"/>
      <c r="AB4479" s="1"/>
      <c r="AC4479" s="1"/>
      <c r="AD4479" s="1"/>
      <c r="AE4479" s="1"/>
      <c r="AF4479" s="1"/>
      <c r="AG4479" s="1"/>
      <c r="AH4479" s="1"/>
      <c r="AI4479" s="1"/>
      <c r="AJ4479" s="1"/>
      <c r="AK4479" s="1"/>
      <c r="AL4479" s="1"/>
      <c r="AM4479" s="1"/>
      <c r="AN4479" s="1"/>
      <c r="AO4479" s="1"/>
      <c r="AP4479" s="1"/>
      <c r="AQ4479" s="1"/>
      <c r="AR4479" s="1"/>
      <c r="AS4479" s="1"/>
      <c r="AT4479" s="1"/>
      <c r="AU4479" s="1"/>
      <c r="AV4479" s="1"/>
      <c r="AW4479" s="1"/>
      <c r="AX4479" s="1"/>
      <c r="AY4479" s="1"/>
      <c r="AZ4479" s="1"/>
      <c r="BA4479" s="1"/>
      <c r="BB4479" s="1"/>
    </row>
    <row r="4480" ht="204.75" customHeight="1">
      <c r="A4480" s="1">
        <v>5557.0</v>
      </c>
      <c r="B4480" s="2" t="s">
        <v>12844</v>
      </c>
      <c r="C4480" s="2">
        <f>IFERROR(__xludf.DUMMYFUNCTION("split(B4480,""_"")"),810.0)</f>
        <v>810</v>
      </c>
      <c r="D4480" s="2" t="str">
        <f>IFERROR(__xludf.DUMMYFUNCTION("""COMPUTED_VALUE"""),"NTV")</f>
        <v>NTV</v>
      </c>
      <c r="E4480" s="2" t="str">
        <f>IFERROR(__xludf.DUMMYFUNCTION("""COMPUTED_VALUE"""),"水22")</f>
        <v>水22</v>
      </c>
      <c r="F4480" s="2" t="s">
        <v>12845</v>
      </c>
      <c r="G4480" s="2" t="s">
        <v>12860</v>
      </c>
      <c r="H4480" s="1">
        <v>10.0</v>
      </c>
      <c r="J4480" s="1" t="s">
        <v>86</v>
      </c>
      <c r="K4480" s="2" t="s">
        <v>12861</v>
      </c>
      <c r="L4480" s="2"/>
      <c r="M4480" s="2" t="str">
        <f>IFERROR(__xludf.DUMMYFUNCTION("split(split(K4480,""【演出"",false),""ほか"",false)"),"観月ありさ　阿部サダヲ　美波　井上芳雄　タン・ジャースー　ローラ・チャン　  フービン(友情出演)前田知恵　皆川猿時　モロ師岡　　　東幹久　　浅野ゆう子他島子は小旗がクビになった理由を本人に確かめる。しかし、小旗は本当の理由を告げずにごまかす。後日、島子と都留は弥生に退職願を提出。他の総務課員は、それぞれの地方支社行きを受け入れるのだった。そして、ついにマニュアル完成、中国人研修生達も帰国が決まると、総務課の解散式を行うことになるが、小旗が突然、皆の前から姿を消すのだった。")</f>
        <v>観月ありさ　阿部サダヲ　美波　井上芳雄　タン・ジャースー　ローラ・チャン　  フービン(友情出演)前田知恵　皆川猿時　モロ師岡　　　東幹久　　浅野ゆう子他島子は小旗がクビになった理由を本人に確かめる。しかし、小旗は本当の理由を告げずにごまかす。後日、島子と都留は弥生に退職願を提出。他の総務課員は、それぞれの地方支社行きを受け入れるのだった。そして、ついにマニュアル完成、中国人研修生達も帰国が決まると、総務課の解散式を行うことになるが、小旗が突然、皆の前から姿を消すのだった。</v>
      </c>
      <c r="N4480" s="2"/>
      <c r="O4480" s="2"/>
      <c r="P4480" s="1"/>
      <c r="Q4480" s="1"/>
      <c r="R4480" s="1"/>
      <c r="S4480" s="1"/>
      <c r="T4480" s="1"/>
      <c r="U4480" s="1"/>
      <c r="V4480" s="1"/>
      <c r="W4480" s="1"/>
      <c r="X4480" s="1"/>
      <c r="Y4480" s="1"/>
      <c r="Z4480" s="1"/>
      <c r="AA4480" s="1"/>
      <c r="AB4480" s="1"/>
      <c r="AC4480" s="1"/>
      <c r="AD4480" s="1"/>
      <c r="AE4480" s="1"/>
      <c r="AF4480" s="1"/>
      <c r="AG4480" s="1"/>
      <c r="AH4480" s="1"/>
      <c r="AI4480" s="1"/>
      <c r="AJ4480" s="1"/>
      <c r="AK4480" s="1"/>
      <c r="AL4480" s="1"/>
      <c r="AM4480" s="1"/>
      <c r="AN4480" s="1"/>
      <c r="AO4480" s="1"/>
      <c r="AP4480" s="1"/>
      <c r="AQ4480" s="1"/>
      <c r="AR4480" s="1"/>
      <c r="AS4480" s="1"/>
      <c r="AT4480" s="1"/>
      <c r="AU4480" s="1"/>
      <c r="AV4480" s="1"/>
      <c r="AW4480" s="1"/>
      <c r="AX4480" s="1"/>
      <c r="AY4480" s="1"/>
      <c r="AZ4480" s="1"/>
      <c r="BA4480" s="1"/>
      <c r="BB4480" s="1"/>
    </row>
    <row r="4481" ht="204.75" customHeight="1">
      <c r="A4481" s="1">
        <v>5576.0</v>
      </c>
      <c r="B4481" s="2" t="s">
        <v>12862</v>
      </c>
      <c r="C4481" s="2">
        <f>IFERROR(__xludf.DUMMYFUNCTION("split(B4481,""_"")"),810.0)</f>
        <v>810</v>
      </c>
      <c r="D4481" s="2" t="str">
        <f>IFERROR(__xludf.DUMMYFUNCTION("""COMPUTED_VALUE"""),"NTV")</f>
        <v>NTV</v>
      </c>
      <c r="E4481" s="2" t="str">
        <f>IFERROR(__xludf.DUMMYFUNCTION("""COMPUTED_VALUE"""),"木23")</f>
        <v>木23</v>
      </c>
      <c r="F4481" s="2" t="s">
        <v>12863</v>
      </c>
      <c r="G4481" s="2" t="s">
        <v>12864</v>
      </c>
      <c r="H4481" s="1">
        <v>1.0</v>
      </c>
      <c r="J4481" s="1" t="s">
        <v>12865</v>
      </c>
      <c r="K4481" s="2" t="s">
        <v>12866</v>
      </c>
      <c r="L4481" s="2"/>
      <c r="M4481" s="2" t="str">
        <f>IFERROR(__xludf.DUMMYFUNCTION("split(split(K4481,""【演出"",false),""ほか"",false)"),"小栗旬  古田新太  瀬戸朝香  阿部力  金田明夫  長谷川初範  田中要次  宇梶剛士  水川あさみ成功を夢見て自分を変えるため何かを始めても、三日坊主で終ってしまうダメサラリーマン野上耕平(小栗旬)の前に、ある朝突然現れた関西弁の奇妙な神様・ガネーシャ(古田新太)。  「世界中の偉人を育てたん、基本的にはワシやで」。言われるがままに契約を交わしたものの、この神様は耕平のアパートでたらふく食べて寝るだけ。史上最悪の師匠の雰囲気の中ようやく聞いた成功の課題は「靴を磨く」という意味不明な教えだった…。ht"&amp;"tp://www.ytv.co.jp/yumezou/")</f>
        <v>小栗旬  古田新太  瀬戸朝香  阿部力  金田明夫  長谷川初範  田中要次  宇梶剛士  水川あさみ成功を夢見て自分を変えるため何かを始めても、三日坊主で終ってしまうダメサラリーマン野上耕平(小栗旬)の前に、ある朝突然現れた関西弁の奇妙な神様・ガネーシャ(古田新太)。  「世界中の偉人を育てたん、基本的にはワシやで」。言われるがままに契約を交わしたものの、この神様は耕平のアパートでたらふく食べて寝るだけ。史上最悪の師匠の雰囲気の中ようやく聞いた成功の課題は「靴を磨く」という意味不明な教えだった…。http://www.ytv.co.jp/yumezou/</v>
      </c>
      <c r="N4481" s="2"/>
      <c r="O4481" s="2"/>
      <c r="P4481" s="1"/>
      <c r="Q4481" s="1"/>
      <c r="R4481" s="1"/>
      <c r="S4481" s="1"/>
      <c r="T4481" s="1"/>
      <c r="U4481" s="1"/>
      <c r="V4481" s="1"/>
      <c r="W4481" s="1"/>
      <c r="X4481" s="1"/>
      <c r="Y4481" s="1"/>
      <c r="Z4481" s="1"/>
      <c r="AA4481" s="1"/>
      <c r="AB4481" s="1"/>
      <c r="AC4481" s="1"/>
      <c r="AD4481" s="1"/>
      <c r="AE4481" s="1"/>
      <c r="AF4481" s="1"/>
      <c r="AG4481" s="1"/>
      <c r="AH4481" s="1"/>
      <c r="AI4481" s="1"/>
      <c r="AJ4481" s="1"/>
      <c r="AK4481" s="1"/>
      <c r="AL4481" s="1"/>
      <c r="AM4481" s="1"/>
      <c r="AN4481" s="1"/>
      <c r="AO4481" s="1"/>
      <c r="AP4481" s="1"/>
      <c r="AQ4481" s="1"/>
      <c r="AR4481" s="1"/>
      <c r="AS4481" s="1"/>
      <c r="AT4481" s="1"/>
      <c r="AU4481" s="1"/>
      <c r="AV4481" s="1"/>
      <c r="AW4481" s="1"/>
      <c r="AX4481" s="1"/>
      <c r="AY4481" s="1"/>
      <c r="AZ4481" s="1"/>
      <c r="BA4481" s="1"/>
      <c r="BB4481" s="1"/>
    </row>
    <row r="4482" ht="204.75" customHeight="1">
      <c r="A4482" s="1">
        <v>5577.0</v>
      </c>
      <c r="B4482" s="2" t="s">
        <v>12862</v>
      </c>
      <c r="C4482" s="2">
        <f>IFERROR(__xludf.DUMMYFUNCTION("split(B4482,""_"")"),810.0)</f>
        <v>810</v>
      </c>
      <c r="D4482" s="2" t="str">
        <f>IFERROR(__xludf.DUMMYFUNCTION("""COMPUTED_VALUE"""),"NTV")</f>
        <v>NTV</v>
      </c>
      <c r="E4482" s="2" t="str">
        <f>IFERROR(__xludf.DUMMYFUNCTION("""COMPUTED_VALUE"""),"木23")</f>
        <v>木23</v>
      </c>
      <c r="F4482" s="2" t="s">
        <v>12863</v>
      </c>
      <c r="G4482" s="2" t="s">
        <v>12867</v>
      </c>
      <c r="H4482" s="1">
        <v>2.0</v>
      </c>
      <c r="J4482" s="1" t="s">
        <v>6113</v>
      </c>
      <c r="K4482" s="2" t="s">
        <v>12868</v>
      </c>
      <c r="L4482" s="2"/>
      <c r="M4482" s="2" t="str">
        <f>IFERROR(__xludf.DUMMYFUNCTION("split(split(K4482,""【演出"",false),""ほか"",false)"),"水川あさみ  古田新太  小栗旬  佐戸井けん太  長谷川朝晴  大久保麻理子広告代理店の派遣社員・星野あすか(水川さみ)の前に、突然現れた関西弁の奇妙な神様・ガネーシャ(古田新太)。あすかは昨日25歳の誕生日だったにもかかわらず、勤め先社員の彼にフラれ、自宅のマンションが火災にあい、とりあえず入居したボロアパートで涙ながらに自らの幸せを願っていたのだ。世界の有名玉の輿婚をまとめたと言うガネーシャが最初に出した幸せの課題とは…?  スペシャル版とリンクして連ドラ版がスタート!http://www.ytv."&amp;"co.jp/yumezou/")</f>
        <v>水川あさみ  古田新太  小栗旬  佐戸井けん太  長谷川朝晴  大久保麻理子広告代理店の派遣社員・星野あすか(水川さみ)の前に、突然現れた関西弁の奇妙な神様・ガネーシャ(古田新太)。あすかは昨日25歳の誕生日だったにもかかわらず、勤め先社員の彼にフラれ、自宅のマンションが火災にあい、とりあえず入居したボロアパートで涙ながらに自らの幸せを願っていたのだ。世界の有名玉の輿婚をまとめたと言うガネーシャが最初に出した幸せの課題とは…?  スペシャル版とリンクして連ドラ版がスタート!http://www.ytv.co.jp/yumezou/</v>
      </c>
      <c r="N4482" s="2"/>
      <c r="O4482" s="2"/>
      <c r="P4482" s="1"/>
      <c r="Q4482" s="1"/>
      <c r="R4482" s="1"/>
      <c r="S4482" s="1"/>
      <c r="T4482" s="1"/>
      <c r="U4482" s="1"/>
      <c r="V4482" s="1"/>
      <c r="W4482" s="1"/>
      <c r="X4482" s="1"/>
      <c r="Y4482" s="1"/>
      <c r="Z4482" s="1"/>
      <c r="AA4482" s="1"/>
      <c r="AB4482" s="1"/>
      <c r="AC4482" s="1"/>
      <c r="AD4482" s="1"/>
      <c r="AE4482" s="1"/>
      <c r="AF4482" s="1"/>
      <c r="AG4482" s="1"/>
      <c r="AH4482" s="1"/>
      <c r="AI4482" s="1"/>
      <c r="AJ4482" s="1"/>
      <c r="AK4482" s="1"/>
      <c r="AL4482" s="1"/>
      <c r="AM4482" s="1"/>
      <c r="AN4482" s="1"/>
      <c r="AO4482" s="1"/>
      <c r="AP4482" s="1"/>
      <c r="AQ4482" s="1"/>
      <c r="AR4482" s="1"/>
      <c r="AS4482" s="1"/>
      <c r="AT4482" s="1"/>
      <c r="AU4482" s="1"/>
      <c r="AV4482" s="1"/>
      <c r="AW4482" s="1"/>
      <c r="AX4482" s="1"/>
      <c r="AY4482" s="1"/>
      <c r="AZ4482" s="1"/>
      <c r="BA4482" s="1"/>
      <c r="BB4482" s="1"/>
    </row>
    <row r="4483" ht="204.75" customHeight="1">
      <c r="A4483" s="1">
        <v>5578.0</v>
      </c>
      <c r="B4483" s="2" t="s">
        <v>12862</v>
      </c>
      <c r="C4483" s="2">
        <f>IFERROR(__xludf.DUMMYFUNCTION("split(B4483,""_"")"),810.0)</f>
        <v>810</v>
      </c>
      <c r="D4483" s="2" t="str">
        <f>IFERROR(__xludf.DUMMYFUNCTION("""COMPUTED_VALUE"""),"NTV")</f>
        <v>NTV</v>
      </c>
      <c r="E4483" s="2" t="str">
        <f>IFERROR(__xludf.DUMMYFUNCTION("""COMPUTED_VALUE"""),"木23")</f>
        <v>木23</v>
      </c>
      <c r="F4483" s="2" t="s">
        <v>12863</v>
      </c>
      <c r="G4483" s="2" t="s">
        <v>12867</v>
      </c>
      <c r="H4483" s="1">
        <v>3.0</v>
      </c>
      <c r="J4483" s="1" t="s">
        <v>6113</v>
      </c>
      <c r="K4483" s="2" t="s">
        <v>12869</v>
      </c>
      <c r="L4483" s="2"/>
      <c r="M4483" s="2" t="str">
        <f>IFERROR(__xludf.DUMMYFUNCTION("split(split(K4483,""【演出"",false),""ほか"",false)"),"水川あさみ  古田新太  橋本さとし  堀内敬子  柏原収史  佐戸井けん太「合コンで黙る」との意味不明課題をガネーシャ(古田新太)から課せられたあすか(水川あさみ)。あすかが席上で見事に不審人物と化している間、狙いを定めていた城嶋(弓削智久)にライバルのマヤ(矢吹春奈)が猛攻勢をかける。壊滅的な合コン状況の中、ようやく次の課題「合コンで全員を好きになる」を出すガネーシャ。よほど即効性のあるものとは思えない2つの課題だったが、その後の合コン展開に思いもよらぬ影響を及ぼし…http://www.ytv.co"&amp;".jp/yumezou/")</f>
        <v>水川あさみ  古田新太  橋本さとし  堀内敬子  柏原収史  佐戸井けん太「合コンで黙る」との意味不明課題をガネーシャ(古田新太)から課せられたあすか(水川あさみ)。あすかが席上で見事に不審人物と化している間、狙いを定めていた城嶋(弓削智久)にライバルのマヤ(矢吹春奈)が猛攻勢をかける。壊滅的な合コン状況の中、ようやく次の課題「合コンで全員を好きになる」を出すガネーシャ。よほど即効性のあるものとは思えない2つの課題だったが、その後の合コン展開に思いもよらぬ影響を及ぼし…http://www.ytv.co.jp/yumezou/</v>
      </c>
      <c r="N4483" s="2"/>
      <c r="O4483" s="2"/>
      <c r="P4483" s="1"/>
      <c r="Q4483" s="1"/>
      <c r="R4483" s="1"/>
      <c r="S4483" s="1"/>
      <c r="T4483" s="1"/>
      <c r="U4483" s="1"/>
      <c r="V4483" s="1"/>
      <c r="W4483" s="1"/>
      <c r="X4483" s="1"/>
      <c r="Y4483" s="1"/>
      <c r="Z4483" s="1"/>
      <c r="AA4483" s="1"/>
      <c r="AB4483" s="1"/>
      <c r="AC4483" s="1"/>
      <c r="AD4483" s="1"/>
      <c r="AE4483" s="1"/>
      <c r="AF4483" s="1"/>
      <c r="AG4483" s="1"/>
      <c r="AH4483" s="1"/>
      <c r="AI4483" s="1"/>
      <c r="AJ4483" s="1"/>
      <c r="AK4483" s="1"/>
      <c r="AL4483" s="1"/>
      <c r="AM4483" s="1"/>
      <c r="AN4483" s="1"/>
      <c r="AO4483" s="1"/>
      <c r="AP4483" s="1"/>
      <c r="AQ4483" s="1"/>
      <c r="AR4483" s="1"/>
      <c r="AS4483" s="1"/>
      <c r="AT4483" s="1"/>
      <c r="AU4483" s="1"/>
      <c r="AV4483" s="1"/>
      <c r="AW4483" s="1"/>
      <c r="AX4483" s="1"/>
      <c r="AY4483" s="1"/>
      <c r="AZ4483" s="1"/>
      <c r="BA4483" s="1"/>
      <c r="BB4483" s="1"/>
    </row>
    <row r="4484" ht="204.75" customHeight="1">
      <c r="A4484" s="1">
        <v>5579.0</v>
      </c>
      <c r="B4484" s="2" t="s">
        <v>12862</v>
      </c>
      <c r="C4484" s="2">
        <f>IFERROR(__xludf.DUMMYFUNCTION("split(B4484,""_"")"),810.0)</f>
        <v>810</v>
      </c>
      <c r="D4484" s="2" t="str">
        <f>IFERROR(__xludf.DUMMYFUNCTION("""COMPUTED_VALUE"""),"NTV")</f>
        <v>NTV</v>
      </c>
      <c r="E4484" s="2" t="str">
        <f>IFERROR(__xludf.DUMMYFUNCTION("""COMPUTED_VALUE"""),"木23")</f>
        <v>木23</v>
      </c>
      <c r="F4484" s="2" t="s">
        <v>12863</v>
      </c>
      <c r="G4484" s="2" t="s">
        <v>12867</v>
      </c>
      <c r="H4484" s="1">
        <v>4.0</v>
      </c>
      <c r="J4484" s="1" t="s">
        <v>6113</v>
      </c>
      <c r="K4484" s="2" t="s">
        <v>12870</v>
      </c>
      <c r="L4484" s="2"/>
      <c r="M4484" s="2" t="str">
        <f>IFERROR(__xludf.DUMMYFUNCTION("split(split(K4484,""【演出"",false),""ほか"",false)"),"水川あさみ　  古田新太　  柏原収史　  佐戸井けん太　  弓削智久　  阿南健治　http://www.ytv.co.jp/yumezou/")</f>
        <v>水川あさみ　  古田新太　  柏原収史　  佐戸井けん太　  弓削智久　  阿南健治　http://www.ytv.co.jp/yumezou/</v>
      </c>
      <c r="N4484" s="2"/>
      <c r="O4484" s="2"/>
      <c r="P4484" s="1"/>
      <c r="Q4484" s="1"/>
      <c r="R4484" s="1"/>
      <c r="S4484" s="1"/>
      <c r="T4484" s="1"/>
      <c r="U4484" s="1"/>
      <c r="V4484" s="1"/>
      <c r="W4484" s="1"/>
      <c r="X4484" s="1"/>
      <c r="Y4484" s="1"/>
      <c r="Z4484" s="1"/>
      <c r="AA4484" s="1"/>
      <c r="AB4484" s="1"/>
      <c r="AC4484" s="1"/>
      <c r="AD4484" s="1"/>
      <c r="AE4484" s="1"/>
      <c r="AF4484" s="1"/>
      <c r="AG4484" s="1"/>
      <c r="AH4484" s="1"/>
      <c r="AI4484" s="1"/>
      <c r="AJ4484" s="1"/>
      <c r="AK4484" s="1"/>
      <c r="AL4484" s="1"/>
      <c r="AM4484" s="1"/>
      <c r="AN4484" s="1"/>
      <c r="AO4484" s="1"/>
      <c r="AP4484" s="1"/>
      <c r="AQ4484" s="1"/>
      <c r="AR4484" s="1"/>
      <c r="AS4484" s="1"/>
      <c r="AT4484" s="1"/>
      <c r="AU4484" s="1"/>
      <c r="AV4484" s="1"/>
      <c r="AW4484" s="1"/>
      <c r="AX4484" s="1"/>
      <c r="AY4484" s="1"/>
      <c r="AZ4484" s="1"/>
      <c r="BA4484" s="1"/>
      <c r="BB4484" s="1"/>
    </row>
    <row r="4485" ht="204.75" customHeight="1">
      <c r="A4485" s="1">
        <v>5580.0</v>
      </c>
      <c r="B4485" s="2" t="s">
        <v>12862</v>
      </c>
      <c r="C4485" s="2">
        <f>IFERROR(__xludf.DUMMYFUNCTION("split(B4485,""_"")"),810.0)</f>
        <v>810</v>
      </c>
      <c r="D4485" s="2" t="str">
        <f>IFERROR(__xludf.DUMMYFUNCTION("""COMPUTED_VALUE"""),"NTV")</f>
        <v>NTV</v>
      </c>
      <c r="E4485" s="2" t="str">
        <f>IFERROR(__xludf.DUMMYFUNCTION("""COMPUTED_VALUE"""),"木23")</f>
        <v>木23</v>
      </c>
      <c r="F4485" s="2" t="s">
        <v>12863</v>
      </c>
      <c r="G4485" s="2" t="s">
        <v>12867</v>
      </c>
      <c r="H4485" s="1">
        <v>5.0</v>
      </c>
      <c r="J4485" s="1" t="s">
        <v>6113</v>
      </c>
      <c r="K4485" s="2" t="s">
        <v>12871</v>
      </c>
      <c r="L4485" s="2"/>
      <c r="M4485" s="2" t="str">
        <f>IFERROR(__xludf.DUMMYFUNCTION("split(split(K4485,""【演出"",false),""ほか"",false)"),"水川あさみ  古田新太  柏原収史  佐戸井けん太  丸山智己  大久保麻理子今週の課題は、いい女になるための究極の教え「悪女になる」!  アタマでわかっていてもそうそうできない“悪い女”になるコツ教えます!  奔放であれば魅力的に見える、というわけではない“悪女”の真髄が明らかに!?  明日から使えるモテる極意が満載です!http://www.ytv.co.jp/yumezou/")</f>
        <v>水川あさみ  古田新太  柏原収史  佐戸井けん太  丸山智己  大久保麻理子今週の課題は、いい女になるための究極の教え「悪女になる」!  アタマでわかっていてもそうそうできない“悪い女”になるコツ教えます!  奔放であれば魅力的に見える、というわけではない“悪女”の真髄が明らかに!?  明日から使えるモテる極意が満載です!http://www.ytv.co.jp/yumezou/</v>
      </c>
      <c r="N4485" s="2"/>
      <c r="O4485" s="2"/>
      <c r="P4485" s="1"/>
      <c r="Q4485" s="1"/>
      <c r="R4485" s="1"/>
      <c r="S4485" s="1"/>
      <c r="T4485" s="1"/>
      <c r="U4485" s="1"/>
      <c r="V4485" s="1"/>
      <c r="W4485" s="1"/>
      <c r="X4485" s="1"/>
      <c r="Y4485" s="1"/>
      <c r="Z4485" s="1"/>
      <c r="AA4485" s="1"/>
      <c r="AB4485" s="1"/>
      <c r="AC4485" s="1"/>
      <c r="AD4485" s="1"/>
      <c r="AE4485" s="1"/>
      <c r="AF4485" s="1"/>
      <c r="AG4485" s="1"/>
      <c r="AH4485" s="1"/>
      <c r="AI4485" s="1"/>
      <c r="AJ4485" s="1"/>
      <c r="AK4485" s="1"/>
      <c r="AL4485" s="1"/>
      <c r="AM4485" s="1"/>
      <c r="AN4485" s="1"/>
      <c r="AO4485" s="1"/>
      <c r="AP4485" s="1"/>
      <c r="AQ4485" s="1"/>
      <c r="AR4485" s="1"/>
      <c r="AS4485" s="1"/>
      <c r="AT4485" s="1"/>
      <c r="AU4485" s="1"/>
      <c r="AV4485" s="1"/>
      <c r="AW4485" s="1"/>
      <c r="AX4485" s="1"/>
      <c r="AY4485" s="1"/>
      <c r="AZ4485" s="1"/>
      <c r="BA4485" s="1"/>
      <c r="BB4485" s="1"/>
    </row>
    <row r="4486" ht="204.75" customHeight="1">
      <c r="A4486" s="1">
        <v>5581.0</v>
      </c>
      <c r="B4486" s="2" t="s">
        <v>12862</v>
      </c>
      <c r="C4486" s="2">
        <f>IFERROR(__xludf.DUMMYFUNCTION("split(B4486,""_"")"),810.0)</f>
        <v>810</v>
      </c>
      <c r="D4486" s="2" t="str">
        <f>IFERROR(__xludf.DUMMYFUNCTION("""COMPUTED_VALUE"""),"NTV")</f>
        <v>NTV</v>
      </c>
      <c r="E4486" s="2" t="str">
        <f>IFERROR(__xludf.DUMMYFUNCTION("""COMPUTED_VALUE"""),"木23")</f>
        <v>木23</v>
      </c>
      <c r="F4486" s="2" t="s">
        <v>12863</v>
      </c>
      <c r="G4486" s="2" t="s">
        <v>12867</v>
      </c>
      <c r="H4486" s="1">
        <v>6.0</v>
      </c>
      <c r="J4486" s="1" t="s">
        <v>6113</v>
      </c>
      <c r="K4486" s="2" t="s">
        <v>12872</v>
      </c>
      <c r="L4486" s="2"/>
      <c r="M4486" s="2" t="str">
        <f>IFERROR(__xludf.DUMMYFUNCTION("split(split(K4486,""【演出"",false),""ほか"",false)"),"水川あさみ  古田新太  柏原収史  佐戸井けん太  丸山智己  阿南健治会社を事実上“クビ”になる危機に直面したあすか(水川あさみ)にガネーシャが出した課題は「人を笑わせる」。  深刻な時にナント能天気な…。しかし!この課題、恋に悩むアナタや最悪な人間関係に悩むアナタにとっても、スゴく重要な教えが詰まった課題なんです。とはいえ、「人を笑わせる」なんてそう簡単にはできない…とお考えの皆さんは、今回是非!自称“笑いの神さん”ガネーシャから、笑いの極意を盗んでいって下さい!http://www.ytv.co."&amp;"jp/yumezou/")</f>
        <v>水川あさみ  古田新太  柏原収史  佐戸井けん太  丸山智己  阿南健治会社を事実上“クビ”になる危機に直面したあすか(水川あさみ)にガネーシャが出した課題は「人を笑わせる」。  深刻な時にナント能天気な…。しかし!この課題、恋に悩むアナタや最悪な人間関係に悩むアナタにとっても、スゴく重要な教えが詰まった課題なんです。とはいえ、「人を笑わせる」なんてそう簡単にはできない…とお考えの皆さんは、今回是非!自称“笑いの神さん”ガネーシャから、笑いの極意を盗んでいって下さい!http://www.ytv.co.jp/yumezou/</v>
      </c>
      <c r="N4486" s="2"/>
      <c r="O4486" s="2"/>
      <c r="P4486" s="1"/>
      <c r="Q4486" s="1"/>
      <c r="R4486" s="1"/>
      <c r="S4486" s="1"/>
      <c r="T4486" s="1"/>
      <c r="U4486" s="1"/>
      <c r="V4486" s="1"/>
      <c r="W4486" s="1"/>
      <c r="X4486" s="1"/>
      <c r="Y4486" s="1"/>
      <c r="Z4486" s="1"/>
      <c r="AA4486" s="1"/>
      <c r="AB4486" s="1"/>
      <c r="AC4486" s="1"/>
      <c r="AD4486" s="1"/>
      <c r="AE4486" s="1"/>
      <c r="AF4486" s="1"/>
      <c r="AG4486" s="1"/>
      <c r="AH4486" s="1"/>
      <c r="AI4486" s="1"/>
      <c r="AJ4486" s="1"/>
      <c r="AK4486" s="1"/>
      <c r="AL4486" s="1"/>
      <c r="AM4486" s="1"/>
      <c r="AN4486" s="1"/>
      <c r="AO4486" s="1"/>
      <c r="AP4486" s="1"/>
      <c r="AQ4486" s="1"/>
      <c r="AR4486" s="1"/>
      <c r="AS4486" s="1"/>
      <c r="AT4486" s="1"/>
      <c r="AU4486" s="1"/>
      <c r="AV4486" s="1"/>
      <c r="AW4486" s="1"/>
      <c r="AX4486" s="1"/>
      <c r="AY4486" s="1"/>
      <c r="AZ4486" s="1"/>
      <c r="BA4486" s="1"/>
      <c r="BB4486" s="1"/>
    </row>
    <row r="4487" ht="204.75" customHeight="1">
      <c r="A4487" s="1">
        <v>5582.0</v>
      </c>
      <c r="B4487" s="2" t="s">
        <v>12862</v>
      </c>
      <c r="C4487" s="2">
        <f>IFERROR(__xludf.DUMMYFUNCTION("split(B4487,""_"")"),810.0)</f>
        <v>810</v>
      </c>
      <c r="D4487" s="2" t="str">
        <f>IFERROR(__xludf.DUMMYFUNCTION("""COMPUTED_VALUE"""),"NTV")</f>
        <v>NTV</v>
      </c>
      <c r="E4487" s="2" t="str">
        <f>IFERROR(__xludf.DUMMYFUNCTION("""COMPUTED_VALUE"""),"木23")</f>
        <v>木23</v>
      </c>
      <c r="F4487" s="2" t="s">
        <v>12863</v>
      </c>
      <c r="G4487" s="2" t="s">
        <v>12867</v>
      </c>
      <c r="H4487" s="1">
        <v>7.0</v>
      </c>
      <c r="J4487" s="1" t="s">
        <v>6113</v>
      </c>
      <c r="K4487" s="2" t="s">
        <v>12873</v>
      </c>
      <c r="L4487" s="2"/>
      <c r="M4487" s="2" t="str">
        <f>IFERROR(__xludf.DUMMYFUNCTION("split(split(K4487,""【演出"",false),""ほか"",false)"),"水川あさみ  古田新太  生瀬勝久  柏原収史  佐戸井けん太  丸山智己今週のモテ課題は「持っている服を全部捨てる」。  今までの中で最強にムリめな課題…アナタもきっとそう思われたことでしょう。  そこで!今回ガネーシャ(古田新太)はスペシャル偉人を過去から召喚します。切り捨て名人・織田信長(生瀬勝久)。彼はあすか(水川あさみ)にこう言います。  「何かを選ぶためには、何かを捨てねばならんのじゃ」  恋愛で“選択する”難しさをどう乗り越えれば良いのか?が、今回のテーマです。http://www.ytv."&amp;"co.jp/yumezou/")</f>
        <v>水川あさみ  古田新太  生瀬勝久  柏原収史  佐戸井けん太  丸山智己今週のモテ課題は「持っている服を全部捨てる」。  今までの中で最強にムリめな課題…アナタもきっとそう思われたことでしょう。  そこで!今回ガネーシャ(古田新太)はスペシャル偉人を過去から召喚します。切り捨て名人・織田信長(生瀬勝久)。彼はあすか(水川あさみ)にこう言います。  「何かを選ぶためには、何かを捨てねばならんのじゃ」  恋愛で“選択する”難しさをどう乗り越えれば良いのか?が、今回のテーマです。http://www.ytv.co.jp/yumezou/</v>
      </c>
      <c r="N4487" s="2"/>
      <c r="O4487" s="2"/>
      <c r="P4487" s="1"/>
      <c r="Q4487" s="1"/>
      <c r="R4487" s="1"/>
      <c r="S4487" s="1"/>
      <c r="T4487" s="1"/>
      <c r="U4487" s="1"/>
      <c r="V4487" s="1"/>
      <c r="W4487" s="1"/>
      <c r="X4487" s="1"/>
      <c r="Y4487" s="1"/>
      <c r="Z4487" s="1"/>
      <c r="AA4487" s="1"/>
      <c r="AB4487" s="1"/>
      <c r="AC4487" s="1"/>
      <c r="AD4487" s="1"/>
      <c r="AE4487" s="1"/>
      <c r="AF4487" s="1"/>
      <c r="AG4487" s="1"/>
      <c r="AH4487" s="1"/>
      <c r="AI4487" s="1"/>
      <c r="AJ4487" s="1"/>
      <c r="AK4487" s="1"/>
      <c r="AL4487" s="1"/>
      <c r="AM4487" s="1"/>
      <c r="AN4487" s="1"/>
      <c r="AO4487" s="1"/>
      <c r="AP4487" s="1"/>
      <c r="AQ4487" s="1"/>
      <c r="AR4487" s="1"/>
      <c r="AS4487" s="1"/>
      <c r="AT4487" s="1"/>
      <c r="AU4487" s="1"/>
      <c r="AV4487" s="1"/>
      <c r="AW4487" s="1"/>
      <c r="AX4487" s="1"/>
      <c r="AY4487" s="1"/>
      <c r="AZ4487" s="1"/>
      <c r="BA4487" s="1"/>
      <c r="BB4487" s="1"/>
    </row>
    <row r="4488" ht="204.75" customHeight="1">
      <c r="A4488" s="1">
        <v>5583.0</v>
      </c>
      <c r="B4488" s="2" t="s">
        <v>12862</v>
      </c>
      <c r="C4488" s="2">
        <f>IFERROR(__xludf.DUMMYFUNCTION("split(B4488,""_"")"),810.0)</f>
        <v>810</v>
      </c>
      <c r="D4488" s="2" t="str">
        <f>IFERROR(__xludf.DUMMYFUNCTION("""COMPUTED_VALUE"""),"NTV")</f>
        <v>NTV</v>
      </c>
      <c r="E4488" s="2" t="str">
        <f>IFERROR(__xludf.DUMMYFUNCTION("""COMPUTED_VALUE"""),"木23")</f>
        <v>木23</v>
      </c>
      <c r="F4488" s="2" t="s">
        <v>12863</v>
      </c>
      <c r="G4488" s="2" t="s">
        <v>12867</v>
      </c>
      <c r="H4488" s="1">
        <v>8.0</v>
      </c>
      <c r="J4488" s="1" t="s">
        <v>6113</v>
      </c>
      <c r="K4488" s="2" t="s">
        <v>12874</v>
      </c>
      <c r="L4488" s="2"/>
      <c r="M4488" s="2" t="str">
        <f>IFERROR(__xludf.DUMMYFUNCTION("split(split(K4488,""【演出"",false),""ほか"",false)"),"水川あさみ  古田新太  生瀬勝久  佐戸井けん太  丸山智己  大久保麻理子先週あすか(水川あさみ)が決断したひとつの選択…高級物件・近藤(柏原収史)のプロポーズを断り猛烈に後悔の波が押し寄せる中、最後にガネーシャ(古田新太)が言い残した言葉「ボディガードせえや」。  本当にボディガードするわけでなく、コレは信長くん(生瀬勝久)に不意打ちにあったガネーシャの切羽詰った言い回し。どうやら次の課題に深く関係しているようですが…?  今週は、“人を好きになる”秘密に通じる課題です!http://www.ytv"&amp;".co.jp/yumezou/")</f>
        <v>水川あさみ  古田新太  生瀬勝久  佐戸井けん太  丸山智己  大久保麻理子先週あすか(水川あさみ)が決断したひとつの選択…高級物件・近藤(柏原収史)のプロポーズを断り猛烈に後悔の波が押し寄せる中、最後にガネーシャ(古田新太)が言い残した言葉「ボディガードせえや」。  本当にボディガードするわけでなく、コレは信長くん(生瀬勝久)に不意打ちにあったガネーシャの切羽詰った言い回し。どうやら次の課題に深く関係しているようですが…?  今週は、“人を好きになる”秘密に通じる課題です!http://www.ytv.co.jp/yumezou/</v>
      </c>
      <c r="N4488" s="2"/>
      <c r="O4488" s="2"/>
      <c r="P4488" s="1"/>
      <c r="Q4488" s="1"/>
      <c r="R4488" s="1"/>
      <c r="S4488" s="1"/>
      <c r="T4488" s="1"/>
      <c r="U4488" s="1"/>
      <c r="V4488" s="1"/>
      <c r="W4488" s="1"/>
      <c r="X4488" s="1"/>
      <c r="Y4488" s="1"/>
      <c r="Z4488" s="1"/>
      <c r="AA4488" s="1"/>
      <c r="AB4488" s="1"/>
      <c r="AC4488" s="1"/>
      <c r="AD4488" s="1"/>
      <c r="AE4488" s="1"/>
      <c r="AF4488" s="1"/>
      <c r="AG4488" s="1"/>
      <c r="AH4488" s="1"/>
      <c r="AI4488" s="1"/>
      <c r="AJ4488" s="1"/>
      <c r="AK4488" s="1"/>
      <c r="AL4488" s="1"/>
      <c r="AM4488" s="1"/>
      <c r="AN4488" s="1"/>
      <c r="AO4488" s="1"/>
      <c r="AP4488" s="1"/>
      <c r="AQ4488" s="1"/>
      <c r="AR4488" s="1"/>
      <c r="AS4488" s="1"/>
      <c r="AT4488" s="1"/>
      <c r="AU4488" s="1"/>
      <c r="AV4488" s="1"/>
      <c r="AW4488" s="1"/>
      <c r="AX4488" s="1"/>
      <c r="AY4488" s="1"/>
      <c r="AZ4488" s="1"/>
      <c r="BA4488" s="1"/>
      <c r="BB4488" s="1"/>
    </row>
    <row r="4489" ht="204.75" customHeight="1">
      <c r="A4489" s="1">
        <v>5584.0</v>
      </c>
      <c r="B4489" s="2" t="s">
        <v>12862</v>
      </c>
      <c r="C4489" s="2">
        <f>IFERROR(__xludf.DUMMYFUNCTION("split(B4489,""_"")"),810.0)</f>
        <v>810</v>
      </c>
      <c r="D4489" s="2" t="str">
        <f>IFERROR(__xludf.DUMMYFUNCTION("""COMPUTED_VALUE"""),"NTV")</f>
        <v>NTV</v>
      </c>
      <c r="E4489" s="2" t="str">
        <f>IFERROR(__xludf.DUMMYFUNCTION("""COMPUTED_VALUE"""),"木23")</f>
        <v>木23</v>
      </c>
      <c r="F4489" s="2" t="s">
        <v>12863</v>
      </c>
      <c r="G4489" s="2" t="s">
        <v>12867</v>
      </c>
      <c r="H4489" s="1">
        <v>9.0</v>
      </c>
      <c r="J4489" s="1" t="s">
        <v>1435</v>
      </c>
      <c r="K4489" s="2" t="s">
        <v>12875</v>
      </c>
      <c r="L4489" s="2"/>
      <c r="M4489" s="2" t="str">
        <f>IFERROR(__xludf.DUMMYFUNCTION("split(split(K4489,""【演出"",false),""ほか"",false)"),"水川あさみ  古田新太  佐戸井けん太  丸山智己  大久保麻理子25日クリスマスの夜に、ついにガネーシャ最後の課題が出される!    あすか(水川あさみ)の前から消えていなくなる時が近づいてきたガネーシャ(古田新太)に、掟破りの“課題返し”に出たあすか。それは、ガネーシャが課題をこなすまでは消えていなくならないようにとの理由からだった。  そんなあすかに、人に頼ってばかりいては幸せになれないと伝えるガネーシャ。残された時間でちゃんと成長したいと覚悟を決めたあすかは…http://www.ytv.co.j"&amp;"p/yumezou/")</f>
        <v>水川あさみ  古田新太  佐戸井けん太  丸山智己  大久保麻理子25日クリスマスの夜に、ついにガネーシャ最後の課題が出される!    あすか(水川あさみ)の前から消えていなくなる時が近づいてきたガネーシャ(古田新太)に、掟破りの“課題返し”に出たあすか。それは、ガネーシャが課題をこなすまでは消えていなくならないようにとの理由からだった。  そんなあすかに、人に頼ってばかりいては幸せになれないと伝えるガネーシャ。残された時間でちゃんと成長したいと覚悟を決めたあすかは…http://www.ytv.co.jp/yumezou/</v>
      </c>
      <c r="N4489" s="2"/>
      <c r="O4489" s="2"/>
      <c r="P4489" s="1"/>
      <c r="Q4489" s="1"/>
      <c r="R4489" s="1"/>
      <c r="S4489" s="1"/>
      <c r="T4489" s="1"/>
      <c r="U4489" s="1"/>
      <c r="V4489" s="1"/>
      <c r="W4489" s="1"/>
      <c r="X4489" s="1"/>
      <c r="Y4489" s="1"/>
      <c r="Z4489" s="1"/>
      <c r="AA4489" s="1"/>
      <c r="AB4489" s="1"/>
      <c r="AC4489" s="1"/>
      <c r="AD4489" s="1"/>
      <c r="AE4489" s="1"/>
      <c r="AF4489" s="1"/>
      <c r="AG4489" s="1"/>
      <c r="AH4489" s="1"/>
      <c r="AI4489" s="1"/>
      <c r="AJ4489" s="1"/>
      <c r="AK4489" s="1"/>
      <c r="AL4489" s="1"/>
      <c r="AM4489" s="1"/>
      <c r="AN4489" s="1"/>
      <c r="AO4489" s="1"/>
      <c r="AP4489" s="1"/>
      <c r="AQ4489" s="1"/>
      <c r="AR4489" s="1"/>
      <c r="AS4489" s="1"/>
      <c r="AT4489" s="1"/>
      <c r="AU4489" s="1"/>
      <c r="AV4489" s="1"/>
      <c r="AW4489" s="1"/>
      <c r="AX4489" s="1"/>
      <c r="AY4489" s="1"/>
      <c r="AZ4489" s="1"/>
      <c r="BA4489" s="1"/>
      <c r="BB4489" s="1"/>
    </row>
    <row r="4490" ht="204.75" customHeight="1">
      <c r="A4490" s="1">
        <v>5624.0</v>
      </c>
      <c r="B4490" s="2" t="s">
        <v>12876</v>
      </c>
      <c r="C4490" s="2">
        <f>IFERROR(__xludf.DUMMYFUNCTION("split(B4490,""_"")"),810.0)</f>
        <v>810</v>
      </c>
      <c r="D4490" s="2" t="str">
        <f>IFERROR(__xludf.DUMMYFUNCTION("""COMPUTED_VALUE"""),"NTV")</f>
        <v>NTV</v>
      </c>
      <c r="E4490" s="2" t="str">
        <f>IFERROR(__xludf.DUMMYFUNCTION("""COMPUTED_VALUE"""),"土21")</f>
        <v>土21</v>
      </c>
      <c r="F4490" s="2" t="s">
        <v>12877</v>
      </c>
      <c r="G4490" s="2" t="s">
        <v>12878</v>
      </c>
      <c r="H4490" s="1">
        <v>1.0</v>
      </c>
      <c r="J4490" s="1" t="s">
        <v>4</v>
      </c>
      <c r="K4490" s="2" t="s">
        <v>12879</v>
      </c>
      <c r="L4490" s="2"/>
      <c r="M4490" s="2" t="str">
        <f>IFERROR(__xludf.DUMMYFUNCTION("split(split(K4490,""【演出"",false),""ほか"",false)"),"中島裕翔　山田涼介　知念侑李　有岡大貴　(Hey!Say!JUMP)  加藤あい　上地雄輔　向井理  六角精児　升毅　内田紳一郎　藤本静　かねちくけんじ　  増田修一朗　ハンサム判治　平方元基　住谷念美  高畑岬　菊池風磨　中島健人　(ジャニーズJr.)  南野陽子　仲本工事　八嶋智人2年B組担任の杉虎之助は、赴任当初は情熱あふれる新人教師だった。しかし現状に飲み込まれ、今ではすっかりダメ教師の仲間入り。ただ一人学校に期待を持つ生徒・久坂は杉を信じ、希望を失わなかった。そんな時、突然謎の転校生、高杉・吉田"&amp;"・入江の3人が現れた!3人は「この学校のダメ教師をぶった切りにきた」と教師達に宣言する。果たして3人の転校生と久坂はダメ教師を変身させる事が出来るのか!?演出:南雲聖一水橋文美江　及川拓郎音楽:吉川慶  主題歌:「真夜中のシャドーボーイ」Hey!Say!JUMP  　　　　　(ジェイ・ストーム)製作著作:日本テレビ  制作協力:オフィスクレッシェンド")</f>
        <v>中島裕翔　山田涼介　知念侑李　有岡大貴　(Hey!Say!JUMP)  加藤あい　上地雄輔　向井理  六角精児　升毅　内田紳一郎　藤本静　かねちくけんじ　  増田修一朗　ハンサム判治　平方元基　住谷念美  高畑岬　菊池風磨　中島健人　(ジャニーズJr.)  南野陽子　仲本工事　八嶋智人2年B組担任の杉虎之助は、赴任当初は情熱あふれる新人教師だった。しかし現状に飲み込まれ、今ではすっかりダメ教師の仲間入り。ただ一人学校に期待を持つ生徒・久坂は杉を信じ、希望を失わなかった。そんな時、突然謎の転校生、高杉・吉田・入江の3人が現れた!3人は「この学校のダメ教師をぶった切りにきた」と教師達に宣言する。果たして3人の転校生と久坂はダメ教師を変身させる事が出来るのか!?演出:南雲聖一水橋文美江　及川拓郎音楽:吉川慶  主題歌:「真夜中のシャドーボーイ」Hey!Say!JUMP  　　　　　(ジェイ・ストーム)製作著作:日本テレビ  制作協力:オフィスクレッシェンド</v>
      </c>
      <c r="N4490" s="2"/>
      <c r="O4490" s="2"/>
      <c r="P4490" s="1"/>
      <c r="Q4490" s="1"/>
      <c r="R4490" s="1"/>
      <c r="S4490" s="1"/>
      <c r="T4490" s="1"/>
      <c r="U4490" s="1"/>
      <c r="V4490" s="1"/>
      <c r="W4490" s="1"/>
      <c r="X4490" s="1"/>
      <c r="Y4490" s="1"/>
      <c r="Z4490" s="1"/>
      <c r="AA4490" s="1"/>
      <c r="AB4490" s="1"/>
      <c r="AC4490" s="1"/>
      <c r="AD4490" s="1"/>
      <c r="AE4490" s="1"/>
      <c r="AF4490" s="1"/>
      <c r="AG4490" s="1"/>
      <c r="AH4490" s="1"/>
      <c r="AI4490" s="1"/>
      <c r="AJ4490" s="1"/>
      <c r="AK4490" s="1"/>
      <c r="AL4490" s="1"/>
      <c r="AM4490" s="1"/>
      <c r="AN4490" s="1"/>
      <c r="AO4490" s="1"/>
      <c r="AP4490" s="1"/>
      <c r="AQ4490" s="1"/>
      <c r="AR4490" s="1"/>
      <c r="AS4490" s="1"/>
      <c r="AT4490" s="1"/>
      <c r="AU4490" s="1"/>
      <c r="AV4490" s="1"/>
      <c r="AW4490" s="1"/>
      <c r="AX4490" s="1"/>
      <c r="AY4490" s="1"/>
      <c r="AZ4490" s="1"/>
      <c r="BA4490" s="1"/>
      <c r="BB4490" s="1"/>
    </row>
    <row r="4491" ht="204.75" customHeight="1">
      <c r="A4491" s="1">
        <v>5625.0</v>
      </c>
      <c r="B4491" s="2" t="s">
        <v>12876</v>
      </c>
      <c r="C4491" s="2">
        <f>IFERROR(__xludf.DUMMYFUNCTION("split(B4491,""_"")"),810.0)</f>
        <v>810</v>
      </c>
      <c r="D4491" s="2" t="str">
        <f>IFERROR(__xludf.DUMMYFUNCTION("""COMPUTED_VALUE"""),"NTV")</f>
        <v>NTV</v>
      </c>
      <c r="E4491" s="2" t="str">
        <f>IFERROR(__xludf.DUMMYFUNCTION("""COMPUTED_VALUE"""),"土21")</f>
        <v>土21</v>
      </c>
      <c r="F4491" s="2" t="s">
        <v>12877</v>
      </c>
      <c r="G4491" s="2" t="s">
        <v>12878</v>
      </c>
      <c r="H4491" s="1">
        <v>2.0</v>
      </c>
      <c r="J4491" s="1" t="s">
        <v>11</v>
      </c>
      <c r="K4491" s="2" t="s">
        <v>12880</v>
      </c>
      <c r="L4491" s="2"/>
      <c r="M4491" s="2" t="str">
        <f>IFERROR(__xludf.DUMMYFUNCTION("split(split(K4491,""【演出"",false),""ほか"",false)"),"中島裕翔　山田涼介　知念侑李　有岡大貴　(Hey!Say!JUMP)  加藤あい　上地雄輔　向井理  六角精児　升毅　内田紳一郎　藤本静　かねちくけんじ　  増田修一朗　ハンサム判治　平方元基　住谷念美  高畑岬　菊池風磨　中島健人　(ジャニーズJr.)  南野陽子　仲本工事　八嶋智人杉のクラスの大崎が万引きしたとの連絡が職員室に入る。職員会議で処分は高杉に一任され、「処分なし」との結果に杉は納得がいかない。以前にも万引きした事を聞き、杉は大崎を心配する。そして授業中に「万引きしよう」と書かれたメモが回さ"&amp;"れている事に気付いた杉。大崎の処分に生徒から疑問の声があがると、大崎は教室を飛び出してしまう。久坂と杉が後を追うが・・・。")</f>
        <v>中島裕翔　山田涼介　知念侑李　有岡大貴　(Hey!Say!JUMP)  加藤あい　上地雄輔　向井理  六角精児　升毅　内田紳一郎　藤本静　かねちくけんじ　  増田修一朗　ハンサム判治　平方元基　住谷念美  高畑岬　菊池風磨　中島健人　(ジャニーズJr.)  南野陽子　仲本工事　八嶋智人杉のクラスの大崎が万引きしたとの連絡が職員室に入る。職員会議で処分は高杉に一任され、「処分なし」との結果に杉は納得がいかない。以前にも万引きした事を聞き、杉は大崎を心配する。そして授業中に「万引きしよう」と書かれたメモが回されている事に気付いた杉。大崎の処分に生徒から疑問の声があがると、大崎は教室を飛び出してしまう。久坂と杉が後を追うが・・・。</v>
      </c>
      <c r="N4491" s="2"/>
      <c r="O4491" s="2"/>
      <c r="P4491" s="1"/>
      <c r="Q4491" s="1"/>
      <c r="R4491" s="1"/>
      <c r="S4491" s="1"/>
      <c r="T4491" s="1"/>
      <c r="U4491" s="1"/>
      <c r="V4491" s="1"/>
      <c r="W4491" s="1"/>
      <c r="X4491" s="1"/>
      <c r="Y4491" s="1"/>
      <c r="Z4491" s="1"/>
      <c r="AA4491" s="1"/>
      <c r="AB4491" s="1"/>
      <c r="AC4491" s="1"/>
      <c r="AD4491" s="1"/>
      <c r="AE4491" s="1"/>
      <c r="AF4491" s="1"/>
      <c r="AG4491" s="1"/>
      <c r="AH4491" s="1"/>
      <c r="AI4491" s="1"/>
      <c r="AJ4491" s="1"/>
      <c r="AK4491" s="1"/>
      <c r="AL4491" s="1"/>
      <c r="AM4491" s="1"/>
      <c r="AN4491" s="1"/>
      <c r="AO4491" s="1"/>
      <c r="AP4491" s="1"/>
      <c r="AQ4491" s="1"/>
      <c r="AR4491" s="1"/>
      <c r="AS4491" s="1"/>
      <c r="AT4491" s="1"/>
      <c r="AU4491" s="1"/>
      <c r="AV4491" s="1"/>
      <c r="AW4491" s="1"/>
      <c r="AX4491" s="1"/>
      <c r="AY4491" s="1"/>
      <c r="AZ4491" s="1"/>
      <c r="BA4491" s="1"/>
      <c r="BB4491" s="1"/>
    </row>
    <row r="4492" ht="204.75" customHeight="1">
      <c r="A4492" s="1">
        <v>5626.0</v>
      </c>
      <c r="B4492" s="2" t="s">
        <v>12876</v>
      </c>
      <c r="C4492" s="2">
        <f>IFERROR(__xludf.DUMMYFUNCTION("split(B4492,""_"")"),810.0)</f>
        <v>810</v>
      </c>
      <c r="D4492" s="2" t="str">
        <f>IFERROR(__xludf.DUMMYFUNCTION("""COMPUTED_VALUE"""),"NTV")</f>
        <v>NTV</v>
      </c>
      <c r="E4492" s="2" t="str">
        <f>IFERROR(__xludf.DUMMYFUNCTION("""COMPUTED_VALUE"""),"土21")</f>
        <v>土21</v>
      </c>
      <c r="F4492" s="2" t="s">
        <v>12877</v>
      </c>
      <c r="G4492" s="2" t="s">
        <v>12878</v>
      </c>
      <c r="H4492" s="1">
        <v>3.0</v>
      </c>
      <c r="J4492" s="1" t="s">
        <v>11</v>
      </c>
      <c r="K4492" s="2" t="s">
        <v>12881</v>
      </c>
      <c r="L4492" s="2"/>
      <c r="M4492" s="2" t="str">
        <f>IFERROR(__xludf.DUMMYFUNCTION("split(split(K4492,""【演出"",false),""ほか"",false)"),"中島裕翔　山田涼介　知念侑李　有岡大貴　(Hey!Say!JUMP)  加藤あい　上地雄輔　向井理  六角精児　升毅　内田紳一郎　藤本静　かねちくけんじ　  増田修一朗　ハンサム判治　平方元基　住谷念美  高畑岬　菊池風磨　中島健人　(ジャニーズJr.)  南野陽子　仲本工事　八嶋智人学校の裏サイトに『A組の大魔王』というハンドルネームで生徒や教師を中傷する内容の書き込みが続出。生徒たちは裏サイトに振り回され、みな疑心暗鬼に。久坂に相談を受けた杉は犯人を捜し出そうと調査を始める。そんな中、高杉は犯人は教師"&amp;"の中にいると指摘。書き込みが職員室にいた人物しか知り得ない内容だった事から、滝も教師の中に犯人がいると確信し、高杉・吉田・入江に協力を依頼し、本格的に調べはじめる。演出:茂山佳則脚本:佐藤久美子音楽:吉川慶  主題歌:「真夜中のシャドーボーイ」Hey!Say!JUMP  　　　　　(ジェイ・ストーム)製作著作:日本テレビ  制作協力:オフィスクレッシェンド")</f>
        <v>中島裕翔　山田涼介　知念侑李　有岡大貴　(Hey!Say!JUMP)  加藤あい　上地雄輔　向井理  六角精児　升毅　内田紳一郎　藤本静　かねちくけんじ　  増田修一朗　ハンサム判治　平方元基　住谷念美  高畑岬　菊池風磨　中島健人　(ジャニーズJr.)  南野陽子　仲本工事　八嶋智人学校の裏サイトに『A組の大魔王』というハンドルネームで生徒や教師を中傷する内容の書き込みが続出。生徒たちは裏サイトに振り回され、みな疑心暗鬼に。久坂に相談を受けた杉は犯人を捜し出そうと調査を始める。そんな中、高杉は犯人は教師の中にいると指摘。書き込みが職員室にいた人物しか知り得ない内容だった事から、滝も教師の中に犯人がいると確信し、高杉・吉田・入江に協力を依頼し、本格的に調べはじめる。演出:茂山佳則脚本:佐藤久美子音楽:吉川慶  主題歌:「真夜中のシャドーボーイ」Hey!Say!JUMP  　　　　　(ジェイ・ストーム)製作著作:日本テレビ  制作協力:オフィスクレッシェンド</v>
      </c>
      <c r="N4492" s="2"/>
      <c r="O4492" s="2"/>
      <c r="P4492" s="1"/>
      <c r="Q4492" s="1"/>
      <c r="R4492" s="1"/>
      <c r="S4492" s="1"/>
      <c r="T4492" s="1"/>
      <c r="U4492" s="1"/>
      <c r="V4492" s="1"/>
      <c r="W4492" s="1"/>
      <c r="X4492" s="1"/>
      <c r="Y4492" s="1"/>
      <c r="Z4492" s="1"/>
      <c r="AA4492" s="1"/>
      <c r="AB4492" s="1"/>
      <c r="AC4492" s="1"/>
      <c r="AD4492" s="1"/>
      <c r="AE4492" s="1"/>
      <c r="AF4492" s="1"/>
      <c r="AG4492" s="1"/>
      <c r="AH4492" s="1"/>
      <c r="AI4492" s="1"/>
      <c r="AJ4492" s="1"/>
      <c r="AK4492" s="1"/>
      <c r="AL4492" s="1"/>
      <c r="AM4492" s="1"/>
      <c r="AN4492" s="1"/>
      <c r="AO4492" s="1"/>
      <c r="AP4492" s="1"/>
      <c r="AQ4492" s="1"/>
      <c r="AR4492" s="1"/>
      <c r="AS4492" s="1"/>
      <c r="AT4492" s="1"/>
      <c r="AU4492" s="1"/>
      <c r="AV4492" s="1"/>
      <c r="AW4492" s="1"/>
      <c r="AX4492" s="1"/>
      <c r="AY4492" s="1"/>
      <c r="AZ4492" s="1"/>
      <c r="BA4492" s="1"/>
      <c r="BB4492" s="1"/>
    </row>
    <row r="4493" ht="204.75" customHeight="1">
      <c r="A4493" s="1">
        <v>5627.0</v>
      </c>
      <c r="B4493" s="2" t="s">
        <v>12876</v>
      </c>
      <c r="C4493" s="2">
        <f>IFERROR(__xludf.DUMMYFUNCTION("split(B4493,""_"")"),810.0)</f>
        <v>810</v>
      </c>
      <c r="D4493" s="2" t="str">
        <f>IFERROR(__xludf.DUMMYFUNCTION("""COMPUTED_VALUE"""),"NTV")</f>
        <v>NTV</v>
      </c>
      <c r="E4493" s="2" t="str">
        <f>IFERROR(__xludf.DUMMYFUNCTION("""COMPUTED_VALUE"""),"土21")</f>
        <v>土21</v>
      </c>
      <c r="F4493" s="2" t="s">
        <v>12877</v>
      </c>
      <c r="G4493" s="2" t="s">
        <v>12878</v>
      </c>
      <c r="H4493" s="1">
        <v>4.0</v>
      </c>
      <c r="J4493" s="1" t="s">
        <v>11</v>
      </c>
      <c r="K4493" s="2" t="s">
        <v>12882</v>
      </c>
      <c r="L4493" s="2"/>
      <c r="M4493" s="2" t="str">
        <f>IFERROR(__xludf.DUMMYFUNCTION("split(split(K4493,""【演出"",false),""ほか"",false)"),"中島裕翔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毎年恒例の区立中学対抗マラソン大会が近づいた。生徒の選出に消極的な教師達とは対照的に杉は自分のクラスから選手を出す事を約束する。しかし生徒からはブーイングが起こる。そんな中、木丿内が自ら大会に出ると言い出し、早速練習を開"&amp;"始。久坂は走る事が苦手な木丿内を心配する。翌日、木丿内の母親から苦情の電話が入った為、練習をやめさせるようにと教頭からの指示が。生徒の気持ちを大切にしたいと杉は反論するが・・・。監督:佐久間紀佳脚本:江頭美智留　水橋文美江音楽:吉川慶　  主題歌:「真夜中のシャドーボーイ」Hey!Say!JUMP(ジェイ・ストーム)製作著作:日本テレビ　  制作協力:オフィスクレッシェンド")</f>
        <v>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毎年恒例の区立中学対抗マラソン大会が近づいた。生徒の選出に消極的な教師達とは対照的に杉は自分のクラスから選手を出す事を約束する。しかし生徒からはブーイングが起こる。そんな中、木丿内が自ら大会に出ると言い出し、早速練習を開始。久坂は走る事が苦手な木丿内を心配する。翌日、木丿内の母親から苦情の電話が入った為、練習をやめさせるようにと教頭からの指示が。生徒の気持ちを大切にしたいと杉は反論するが・・・。監督:佐久間紀佳脚本:江頭美智留　水橋文美江音楽:吉川慶　  主題歌:「真夜中のシャドーボーイ」Hey!Say!JUMP(ジェイ・ストーム)製作著作:日本テレビ　  制作協力:オフィスクレッシェンド</v>
      </c>
      <c r="N4493" s="2"/>
      <c r="O4493" s="2"/>
      <c r="P4493" s="1"/>
      <c r="Q4493" s="1"/>
      <c r="R4493" s="1"/>
      <c r="S4493" s="1"/>
      <c r="T4493" s="1"/>
      <c r="U4493" s="1"/>
      <c r="V4493" s="1"/>
      <c r="W4493" s="1"/>
      <c r="X4493" s="1"/>
      <c r="Y4493" s="1"/>
      <c r="Z4493" s="1"/>
      <c r="AA4493" s="1"/>
      <c r="AB4493" s="1"/>
      <c r="AC4493" s="1"/>
      <c r="AD4493" s="1"/>
      <c r="AE4493" s="1"/>
      <c r="AF4493" s="1"/>
      <c r="AG4493" s="1"/>
      <c r="AH4493" s="1"/>
      <c r="AI4493" s="1"/>
      <c r="AJ4493" s="1"/>
      <c r="AK4493" s="1"/>
      <c r="AL4493" s="1"/>
      <c r="AM4493" s="1"/>
      <c r="AN4493" s="1"/>
      <c r="AO4493" s="1"/>
      <c r="AP4493" s="1"/>
      <c r="AQ4493" s="1"/>
      <c r="AR4493" s="1"/>
      <c r="AS4493" s="1"/>
      <c r="AT4493" s="1"/>
      <c r="AU4493" s="1"/>
      <c r="AV4493" s="1"/>
      <c r="AW4493" s="1"/>
      <c r="AX4493" s="1"/>
      <c r="AY4493" s="1"/>
      <c r="AZ4493" s="1"/>
      <c r="BA4493" s="1"/>
      <c r="BB4493" s="1"/>
    </row>
    <row r="4494" ht="204.75" customHeight="1">
      <c r="A4494" s="1">
        <v>5628.0</v>
      </c>
      <c r="B4494" s="2" t="s">
        <v>12876</v>
      </c>
      <c r="C4494" s="2">
        <f>IFERROR(__xludf.DUMMYFUNCTION("split(B4494,""_"")"),810.0)</f>
        <v>810</v>
      </c>
      <c r="D4494" s="2" t="str">
        <f>IFERROR(__xludf.DUMMYFUNCTION("""COMPUTED_VALUE"""),"NTV")</f>
        <v>NTV</v>
      </c>
      <c r="E4494" s="2" t="str">
        <f>IFERROR(__xludf.DUMMYFUNCTION("""COMPUTED_VALUE"""),"土21")</f>
        <v>土21</v>
      </c>
      <c r="F4494" s="2" t="s">
        <v>12877</v>
      </c>
      <c r="G4494" s="2" t="s">
        <v>12878</v>
      </c>
      <c r="H4494" s="1">
        <v>5.0</v>
      </c>
      <c r="J4494" s="1" t="s">
        <v>11</v>
      </c>
      <c r="K4494" s="2" t="s">
        <v>12883</v>
      </c>
      <c r="L4494" s="2"/>
      <c r="M4494" s="2" t="str">
        <f>IFERROR(__xludf.DUMMYFUNCTION("split(split(K4494,""【演出"",false),""ほか"",false)"),"中島裕翔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部員が2人だけのマンガ研究会が週末に開かれるマンガフェスタに参加したいと、顧問の豪徳寺に願い出る。2人では無理だと言われ、急きょ吉田が加わることになる。しかし豪徳寺は部活動には全く無関心。それどころかスポーツクラブやエス"&amp;"テに時間を費やし非協力的。品川たちの熱意を知った高杉・入江・久坂そして杉や滝も手伝い始める。そんな中、豪徳寺に預けたはずのマンガの原稿が紛失してしまい・・・。演出:南雲聖一脚本:江頭美智留　水橋文美江音楽:吉川慶　  主題歌:「真夜中のシャドーボーイ」Hey!Say!JUMP  　(ジェイ・ストーム)製作著作:日本テレビ　  制作協力:オフィスクレッシェンド")</f>
        <v>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部員が2人だけのマンガ研究会が週末に開かれるマンガフェスタに参加したいと、顧問の豪徳寺に願い出る。2人では無理だと言われ、急きょ吉田が加わることになる。しかし豪徳寺は部活動には全く無関心。それどころかスポーツクラブやエステに時間を費やし非協力的。品川たちの熱意を知った高杉・入江・久坂そして杉や滝も手伝い始める。そんな中、豪徳寺に預けたはずのマンガの原稿が紛失してしまい・・・。演出:南雲聖一脚本:江頭美智留　水橋文美江音楽:吉川慶　  主題歌:「真夜中のシャドーボーイ」Hey!Say!JUMP  　(ジェイ・ストーム)製作著作:日本テレビ　  制作協力:オフィスクレッシェンド</v>
      </c>
      <c r="N4494" s="2"/>
      <c r="O4494" s="2"/>
      <c r="P4494" s="1"/>
      <c r="Q4494" s="1"/>
      <c r="R4494" s="1"/>
      <c r="S4494" s="1"/>
      <c r="T4494" s="1"/>
      <c r="U4494" s="1"/>
      <c r="V4494" s="1"/>
      <c r="W4494" s="1"/>
      <c r="X4494" s="1"/>
      <c r="Y4494" s="1"/>
      <c r="Z4494" s="1"/>
      <c r="AA4494" s="1"/>
      <c r="AB4494" s="1"/>
      <c r="AC4494" s="1"/>
      <c r="AD4494" s="1"/>
      <c r="AE4494" s="1"/>
      <c r="AF4494" s="1"/>
      <c r="AG4494" s="1"/>
      <c r="AH4494" s="1"/>
      <c r="AI4494" s="1"/>
      <c r="AJ4494" s="1"/>
      <c r="AK4494" s="1"/>
      <c r="AL4494" s="1"/>
      <c r="AM4494" s="1"/>
      <c r="AN4494" s="1"/>
      <c r="AO4494" s="1"/>
      <c r="AP4494" s="1"/>
      <c r="AQ4494" s="1"/>
      <c r="AR4494" s="1"/>
      <c r="AS4494" s="1"/>
      <c r="AT4494" s="1"/>
      <c r="AU4494" s="1"/>
      <c r="AV4494" s="1"/>
      <c r="AW4494" s="1"/>
      <c r="AX4494" s="1"/>
      <c r="AY4494" s="1"/>
      <c r="AZ4494" s="1"/>
      <c r="BA4494" s="1"/>
      <c r="BB4494" s="1"/>
    </row>
    <row r="4495" ht="204.75" customHeight="1">
      <c r="A4495" s="1">
        <v>5629.0</v>
      </c>
      <c r="B4495" s="2" t="s">
        <v>12876</v>
      </c>
      <c r="C4495" s="2">
        <f>IFERROR(__xludf.DUMMYFUNCTION("split(B4495,""_"")"),810.0)</f>
        <v>810</v>
      </c>
      <c r="D4495" s="2" t="str">
        <f>IFERROR(__xludf.DUMMYFUNCTION("""COMPUTED_VALUE"""),"NTV")</f>
        <v>NTV</v>
      </c>
      <c r="E4495" s="2" t="str">
        <f>IFERROR(__xludf.DUMMYFUNCTION("""COMPUTED_VALUE"""),"土21")</f>
        <v>土21</v>
      </c>
      <c r="F4495" s="2" t="s">
        <v>12877</v>
      </c>
      <c r="G4495" s="2" t="s">
        <v>12878</v>
      </c>
      <c r="H4495" s="1">
        <v>6.0</v>
      </c>
      <c r="J4495" s="1" t="s">
        <v>11</v>
      </c>
      <c r="K4495" s="2" t="s">
        <v>12884</v>
      </c>
      <c r="L4495" s="2"/>
      <c r="M4495" s="2" t="str">
        <f>IFERROR(__xludf.DUMMYFUNCTION("split(split(K4495,""【演出"",false),""ほか"",false)"),"中島裕翔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毎年立候補者が出ない生徒会長選挙に、学校を良くしたいと久坂が立候補。また生徒会長をやるとは思えない金沢瑞貴も立候補し、選挙戦が始まった。杉は2人の立候補者を温かく見守る。しかし元気の無い金沢の様子に気付いた高杉は何かウラ"&amp;"にあると推理。さらに、いつもはやる気の無い生徒会顧問のジョン崎田が意気揚々と選挙の準備をしている姿を不審に思う。そんな中、選挙準備の手伝いに来た杉が見たものとは!?演出:佐久間紀佳脚本:佐藤久美子  　　　水橋文美江音楽:吉川慶　  主題歌:「真夜中のシャドーボーイ」Hey!Say!JUMP  　(ジェイ・ストーム)製作著作:日本テレビ　  制作協力:オフィスクレッシェンド")</f>
        <v>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毎年立候補者が出ない生徒会長選挙に、学校を良くしたいと久坂が立候補。また生徒会長をやるとは思えない金沢瑞貴も立候補し、選挙戦が始まった。杉は2人の立候補者を温かく見守る。しかし元気の無い金沢の様子に気付いた高杉は何かウラにあると推理。さらに、いつもはやる気の無い生徒会顧問のジョン崎田が意気揚々と選挙の準備をしている姿を不審に思う。そんな中、選挙準備の手伝いに来た杉が見たものとは!?演出:佐久間紀佳脚本:佐藤久美子  　　　水橋文美江音楽:吉川慶　  主題歌:「真夜中のシャドーボーイ」Hey!Say!JUMP  　(ジェイ・ストーム)製作著作:日本テレビ　  制作協力:オフィスクレッシェンド</v>
      </c>
      <c r="N4495" s="2"/>
      <c r="O4495" s="2"/>
      <c r="P4495" s="1"/>
      <c r="Q4495" s="1"/>
      <c r="R4495" s="1"/>
      <c r="S4495" s="1"/>
      <c r="T4495" s="1"/>
      <c r="U4495" s="1"/>
      <c r="V4495" s="1"/>
      <c r="W4495" s="1"/>
      <c r="X4495" s="1"/>
      <c r="Y4495" s="1"/>
      <c r="Z4495" s="1"/>
      <c r="AA4495" s="1"/>
      <c r="AB4495" s="1"/>
      <c r="AC4495" s="1"/>
      <c r="AD4495" s="1"/>
      <c r="AE4495" s="1"/>
      <c r="AF4495" s="1"/>
      <c r="AG4495" s="1"/>
      <c r="AH4495" s="1"/>
      <c r="AI4495" s="1"/>
      <c r="AJ4495" s="1"/>
      <c r="AK4495" s="1"/>
      <c r="AL4495" s="1"/>
      <c r="AM4495" s="1"/>
      <c r="AN4495" s="1"/>
      <c r="AO4495" s="1"/>
      <c r="AP4495" s="1"/>
      <c r="AQ4495" s="1"/>
      <c r="AR4495" s="1"/>
      <c r="AS4495" s="1"/>
      <c r="AT4495" s="1"/>
      <c r="AU4495" s="1"/>
      <c r="AV4495" s="1"/>
      <c r="AW4495" s="1"/>
      <c r="AX4495" s="1"/>
      <c r="AY4495" s="1"/>
      <c r="AZ4495" s="1"/>
      <c r="BA4495" s="1"/>
      <c r="BB4495" s="1"/>
    </row>
    <row r="4496" ht="204.75" customHeight="1">
      <c r="A4496" s="1">
        <v>5630.0</v>
      </c>
      <c r="B4496" s="2" t="s">
        <v>12876</v>
      </c>
      <c r="C4496" s="2">
        <f>IFERROR(__xludf.DUMMYFUNCTION("split(B4496,""_"")"),810.0)</f>
        <v>810</v>
      </c>
      <c r="D4496" s="2" t="str">
        <f>IFERROR(__xludf.DUMMYFUNCTION("""COMPUTED_VALUE"""),"NTV")</f>
        <v>NTV</v>
      </c>
      <c r="E4496" s="2" t="str">
        <f>IFERROR(__xludf.DUMMYFUNCTION("""COMPUTED_VALUE"""),"土21")</f>
        <v>土21</v>
      </c>
      <c r="F4496" s="2" t="s">
        <v>12877</v>
      </c>
      <c r="G4496" s="2" t="s">
        <v>12878</v>
      </c>
      <c r="H4496" s="1">
        <v>7.0</v>
      </c>
      <c r="J4496" s="1" t="s">
        <v>11</v>
      </c>
      <c r="K4496" s="2" t="s">
        <v>12885</v>
      </c>
      <c r="L4496" s="2"/>
      <c r="M4496" s="2" t="str">
        <f>IFERROR(__xludf.DUMMYFUNCTION("split(split(K4496,""【演出"",false),""ほか"",false)"),"中島裕翔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久坂、高杉、吉田、入江そして滝は下校途中に偶然、沢渡と上野に会い、二人が付き合っている事を知る。そんな中、2-Bでは総合学習で一泊キャンプに行く事に決定。皆が準備をする中、沢渡が顔にアザを付け登校。理由を聞こうとした杉の"&amp;"手を払った勢いで、沢渡の拳が杉の顔にあたってしまい、暴力事件と誤解されてしまう。進路指導室で気さくに話す滝に沢渡は次第に心を開き、滝は2人の交際を応援すると約束するが・・・演出:南雲聖一脚本:江頭美智留音楽:吉川慶　  主題歌:「真夜中のシャドーボーイ」Hey!Say!JUMP  　(ジェイ・ストーム)製作著作:日本テレビ　  制作協力:オフィスクレッシェンド")</f>
        <v>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久坂、高杉、吉田、入江そして滝は下校途中に偶然、沢渡と上野に会い、二人が付き合っている事を知る。そんな中、2-Bでは総合学習で一泊キャンプに行く事に決定。皆が準備をする中、沢渡が顔にアザを付け登校。理由を聞こうとした杉の手を払った勢いで、沢渡の拳が杉の顔にあたってしまい、暴力事件と誤解されてしまう。進路指導室で気さくに話す滝に沢渡は次第に心を開き、滝は2人の交際を応援すると約束するが・・・演出:南雲聖一脚本:江頭美智留音楽:吉川慶　  主題歌:「真夜中のシャドーボーイ」Hey!Say!JUMP  　(ジェイ・ストーム)製作著作:日本テレビ　  制作協力:オフィスクレッシェンド</v>
      </c>
      <c r="N4496" s="2"/>
      <c r="O4496" s="2"/>
      <c r="P4496" s="1"/>
      <c r="Q4496" s="1"/>
      <c r="R4496" s="1"/>
      <c r="S4496" s="1"/>
      <c r="T4496" s="1"/>
      <c r="U4496" s="1"/>
      <c r="V4496" s="1"/>
      <c r="W4496" s="1"/>
      <c r="X4496" s="1"/>
      <c r="Y4496" s="1"/>
      <c r="Z4496" s="1"/>
      <c r="AA4496" s="1"/>
      <c r="AB4496" s="1"/>
      <c r="AC4496" s="1"/>
      <c r="AD4496" s="1"/>
      <c r="AE4496" s="1"/>
      <c r="AF4496" s="1"/>
      <c r="AG4496" s="1"/>
      <c r="AH4496" s="1"/>
      <c r="AI4496" s="1"/>
      <c r="AJ4496" s="1"/>
      <c r="AK4496" s="1"/>
      <c r="AL4496" s="1"/>
      <c r="AM4496" s="1"/>
      <c r="AN4496" s="1"/>
      <c r="AO4496" s="1"/>
      <c r="AP4496" s="1"/>
      <c r="AQ4496" s="1"/>
      <c r="AR4496" s="1"/>
      <c r="AS4496" s="1"/>
      <c r="AT4496" s="1"/>
      <c r="AU4496" s="1"/>
      <c r="AV4496" s="1"/>
      <c r="AW4496" s="1"/>
      <c r="AX4496" s="1"/>
      <c r="AY4496" s="1"/>
      <c r="AZ4496" s="1"/>
      <c r="BA4496" s="1"/>
      <c r="BB4496" s="1"/>
    </row>
    <row r="4497" ht="204.75" customHeight="1">
      <c r="A4497" s="1">
        <v>5631.0</v>
      </c>
      <c r="B4497" s="2" t="s">
        <v>12876</v>
      </c>
      <c r="C4497" s="2">
        <f>IFERROR(__xludf.DUMMYFUNCTION("split(B4497,""_"")"),810.0)</f>
        <v>810</v>
      </c>
      <c r="D4497" s="2" t="str">
        <f>IFERROR(__xludf.DUMMYFUNCTION("""COMPUTED_VALUE"""),"NTV")</f>
        <v>NTV</v>
      </c>
      <c r="E4497" s="2" t="str">
        <f>IFERROR(__xludf.DUMMYFUNCTION("""COMPUTED_VALUE"""),"土21")</f>
        <v>土21</v>
      </c>
      <c r="F4497" s="2" t="s">
        <v>12877</v>
      </c>
      <c r="G4497" s="2" t="s">
        <v>12878</v>
      </c>
      <c r="H4497" s="1">
        <v>8.0</v>
      </c>
      <c r="J4497" s="1" t="s">
        <v>11</v>
      </c>
      <c r="K4497" s="2" t="s">
        <v>12886</v>
      </c>
      <c r="L4497" s="2"/>
      <c r="M4497" s="2" t="str">
        <f>IFERROR(__xludf.DUMMYFUNCTION("split(split(K4497,""【演出"",false),""ほか"",false)"),"中島裕翔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八中の統廃合が区議会で話題となり、期末テストの成績が平均60点以上となれば、再検討される可能性があると榎戸校長が発言。2-Bでは諦めムードだったが、久坂達の呼びかけにより、皆で努力してみようという事に。早速、補習授業を受"&amp;"けられるように校長に訴え、更には自分たちで勉強会を開き、クラス一丸となって成績アップの為に努力し、期末テストに臨む。そして、テストの結果が発表されるが・・・。演出:佐久間紀佳脚本:佐藤久美子音楽:吉川慶　  主題歌:「真夜中のシャドーボーイ」Hey!Say!JUMP  　(ジェイ・ストーム)製作著作:日本テレビ　  制作協力:オフィスクレッシェンド")</f>
        <v>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八中の統廃合が区議会で話題となり、期末テストの成績が平均60点以上となれば、再検討される可能性があると榎戸校長が発言。2-Bでは諦めムードだったが、久坂達の呼びかけにより、皆で努力してみようという事に。早速、補習授業を受けられるように校長に訴え、更には自分たちで勉強会を開き、クラス一丸となって成績アップの為に努力し、期末テストに臨む。そして、テストの結果が発表されるが・・・。演出:佐久間紀佳脚本:佐藤久美子音楽:吉川慶　  主題歌:「真夜中のシャドーボーイ」Hey!Say!JUMP  　(ジェイ・ストーム)製作著作:日本テレビ　  制作協力:オフィスクレッシェンド</v>
      </c>
      <c r="N4497" s="2"/>
      <c r="O4497" s="2"/>
      <c r="P4497" s="1"/>
      <c r="Q4497" s="1"/>
      <c r="R4497" s="1"/>
      <c r="S4497" s="1"/>
      <c r="T4497" s="1"/>
      <c r="U4497" s="1"/>
      <c r="V4497" s="1"/>
      <c r="W4497" s="1"/>
      <c r="X4497" s="1"/>
      <c r="Y4497" s="1"/>
      <c r="Z4497" s="1"/>
      <c r="AA4497" s="1"/>
      <c r="AB4497" s="1"/>
      <c r="AC4497" s="1"/>
      <c r="AD4497" s="1"/>
      <c r="AE4497" s="1"/>
      <c r="AF4497" s="1"/>
      <c r="AG4497" s="1"/>
      <c r="AH4497" s="1"/>
      <c r="AI4497" s="1"/>
      <c r="AJ4497" s="1"/>
      <c r="AK4497" s="1"/>
      <c r="AL4497" s="1"/>
      <c r="AM4497" s="1"/>
      <c r="AN4497" s="1"/>
      <c r="AO4497" s="1"/>
      <c r="AP4497" s="1"/>
      <c r="AQ4497" s="1"/>
      <c r="AR4497" s="1"/>
      <c r="AS4497" s="1"/>
      <c r="AT4497" s="1"/>
      <c r="AU4497" s="1"/>
      <c r="AV4497" s="1"/>
      <c r="AW4497" s="1"/>
      <c r="AX4497" s="1"/>
      <c r="AY4497" s="1"/>
      <c r="AZ4497" s="1"/>
      <c r="BA4497" s="1"/>
      <c r="BB4497" s="1"/>
    </row>
    <row r="4498" ht="204.75" customHeight="1">
      <c r="A4498" s="1">
        <v>5632.0</v>
      </c>
      <c r="B4498" s="2" t="s">
        <v>12876</v>
      </c>
      <c r="C4498" s="2">
        <f>IFERROR(__xludf.DUMMYFUNCTION("split(B4498,""_"")"),810.0)</f>
        <v>810</v>
      </c>
      <c r="D4498" s="2" t="str">
        <f>IFERROR(__xludf.DUMMYFUNCTION("""COMPUTED_VALUE"""),"NTV")</f>
        <v>NTV</v>
      </c>
      <c r="E4498" s="2" t="str">
        <f>IFERROR(__xludf.DUMMYFUNCTION("""COMPUTED_VALUE"""),"土21")</f>
        <v>土21</v>
      </c>
      <c r="F4498" s="2" t="s">
        <v>12877</v>
      </c>
      <c r="G4498" s="2" t="s">
        <v>12878</v>
      </c>
      <c r="H4498" s="1">
        <v>9.0</v>
      </c>
      <c r="J4498" s="1" t="s">
        <v>11</v>
      </c>
      <c r="K4498" s="2" t="s">
        <v>12887</v>
      </c>
      <c r="L4498" s="2"/>
      <c r="M4498" s="2" t="str">
        <f>IFERROR(__xludf.DUMMYFUNCTION("split(split(K4498,""【演出"",false),""ほか"",false)"),"中島裕翔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八嶋智人榎戸校長を殴ってしまった杉の処分の行方は・・・?  そして、統廃合を中止させるために、自分たちに何が出来るのかと考える久坂やクラスメイトの思いは教師たちに届くのか・・・?  そして、高杉、吉田、入江、吉田の3人は杉と、八"&amp;"中を救う事ができるのか?  演出:南雲聖一脚本:江頭美智留音楽:吉川慶　  主題歌:「真夜中のシャドーボーイ」Hey!Say!JUMP  　(ジェイ・ストーム)製作著作:日本テレビ　  制作協力:オフィスクレッシェンド")</f>
        <v>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八嶋智人榎戸校長を殴ってしまった杉の処分の行方は・・・?  そして、統廃合を中止させるために、自分たちに何が出来るのかと考える久坂やクラスメイトの思いは教師たちに届くのか・・・?  そして、高杉、吉田、入江、吉田の3人は杉と、八中を救う事ができるのか?  演出:南雲聖一脚本:江頭美智留音楽:吉川慶　  主題歌:「真夜中のシャドーボーイ」Hey!Say!JUMP  　(ジェイ・ストーム)製作著作:日本テレビ　  制作協力:オフィスクレッシェンド</v>
      </c>
      <c r="N4498" s="2"/>
      <c r="O4498" s="2"/>
      <c r="P4498" s="1"/>
      <c r="Q4498" s="1"/>
      <c r="R4498" s="1"/>
      <c r="S4498" s="1"/>
      <c r="T4498" s="1"/>
      <c r="U4498" s="1"/>
      <c r="V4498" s="1"/>
      <c r="W4498" s="1"/>
      <c r="X4498" s="1"/>
      <c r="Y4498" s="1"/>
      <c r="Z4498" s="1"/>
      <c r="AA4498" s="1"/>
      <c r="AB4498" s="1"/>
      <c r="AC4498" s="1"/>
      <c r="AD4498" s="1"/>
      <c r="AE4498" s="1"/>
      <c r="AF4498" s="1"/>
      <c r="AG4498" s="1"/>
      <c r="AH4498" s="1"/>
      <c r="AI4498" s="1"/>
      <c r="AJ4498" s="1"/>
      <c r="AK4498" s="1"/>
      <c r="AL4498" s="1"/>
      <c r="AM4498" s="1"/>
      <c r="AN4498" s="1"/>
      <c r="AO4498" s="1"/>
      <c r="AP4498" s="1"/>
      <c r="AQ4498" s="1"/>
      <c r="AR4498" s="1"/>
      <c r="AS4498" s="1"/>
      <c r="AT4498" s="1"/>
      <c r="AU4498" s="1"/>
      <c r="AV4498" s="1"/>
      <c r="AW4498" s="1"/>
      <c r="AX4498" s="1"/>
      <c r="AY4498" s="1"/>
      <c r="AZ4498" s="1"/>
      <c r="BA4498" s="1"/>
      <c r="BB4498" s="1"/>
    </row>
    <row r="4499" ht="204.75" customHeight="1">
      <c r="A4499" s="1">
        <v>5664.0</v>
      </c>
      <c r="B4499" s="2" t="s">
        <v>12888</v>
      </c>
      <c r="C4499" s="2">
        <f>IFERROR(__xludf.DUMMYFUNCTION("split(B4499,""_"")"),807.0)</f>
        <v>807</v>
      </c>
      <c r="D4499" s="2" t="str">
        <f>IFERROR(__xludf.DUMMYFUNCTION("""COMPUTED_VALUE"""),"NTV")</f>
        <v>NTV</v>
      </c>
      <c r="E4499" s="2" t="str">
        <f>IFERROR(__xludf.DUMMYFUNCTION("""COMPUTED_VALUE"""),"火22")</f>
        <v>火22</v>
      </c>
      <c r="F4499" s="2" t="s">
        <v>12889</v>
      </c>
      <c r="G4499" s="2" t="s">
        <v>12890</v>
      </c>
      <c r="H4499" s="1">
        <v>1.0</v>
      </c>
      <c r="J4499" s="1" t="s">
        <v>82</v>
      </c>
      <c r="K4499" s="2" t="s">
        <v>12891</v>
      </c>
      <c r="L4499" s="2"/>
      <c r="M4499" s="2" t="str">
        <f>IFERROR(__xludf.DUMMYFUNCTION("split(split(K4499,""【演出"",false),""ほか"",false)"),"深田恭子　谷原章介  仲里依紗　中村蒼　前田公輝　朝倉あき　法月康平　加藤みづき　柳沢太介  夏目鈴　森崎ウィン　柳生みゆ  伊藤蘭50年の伝統がある私立名門女子高に、5人の男子生徒が入学してきた!教師・舞の甘～い誘いに乗って社交ダンス部に入部すると、そこには学校で居場所をなくした5人の女子が。ダメダメ男子5人とハミダシ女子5人は無理やりながらも、舞の勢いに押されて、社交ダンスを始める。順調に見えた社交ダンス部だったが、ある出来事をきっかけに男子5人が、学校中を敵に回してしまう・・・")</f>
        <v>深田恭子　谷原章介  仲里依紗　中村蒼　前田公輝　朝倉あき　法月康平　加藤みづき　柳沢太介  夏目鈴　森崎ウィン　柳生みゆ  伊藤蘭50年の伝統がある私立名門女子高に、5人の男子生徒が入学してきた!教師・舞の甘～い誘いに乗って社交ダンス部に入部すると、そこには学校で居場所をなくした5人の女子が。ダメダメ男子5人とハミダシ女子5人は無理やりながらも、舞の勢いに押されて、社交ダンスを始める。順調に見えた社交ダンス部だったが、ある出来事をきっかけに男子5人が、学校中を敵に回してしまう・・・</v>
      </c>
      <c r="N4499" s="2"/>
      <c r="O4499" s="2"/>
      <c r="P4499" s="1"/>
      <c r="Q4499" s="1"/>
      <c r="R4499" s="1"/>
      <c r="S4499" s="1"/>
      <c r="T4499" s="1"/>
      <c r="U4499" s="1"/>
      <c r="V4499" s="1"/>
      <c r="W4499" s="1"/>
      <c r="X4499" s="1"/>
      <c r="Y4499" s="1"/>
      <c r="Z4499" s="1"/>
      <c r="AA4499" s="1"/>
      <c r="AB4499" s="1"/>
      <c r="AC4499" s="1"/>
      <c r="AD4499" s="1"/>
      <c r="AE4499" s="1"/>
      <c r="AF4499" s="1"/>
      <c r="AG4499" s="1"/>
      <c r="AH4499" s="1"/>
      <c r="AI4499" s="1"/>
      <c r="AJ4499" s="1"/>
      <c r="AK4499" s="1"/>
      <c r="AL4499" s="1"/>
      <c r="AM4499" s="1"/>
      <c r="AN4499" s="1"/>
      <c r="AO4499" s="1"/>
      <c r="AP4499" s="1"/>
      <c r="AQ4499" s="1"/>
      <c r="AR4499" s="1"/>
      <c r="AS4499" s="1"/>
      <c r="AT4499" s="1"/>
      <c r="AU4499" s="1"/>
      <c r="AV4499" s="1"/>
      <c r="AW4499" s="1"/>
      <c r="AX4499" s="1"/>
      <c r="AY4499" s="1"/>
      <c r="AZ4499" s="1"/>
      <c r="BA4499" s="1"/>
      <c r="BB4499" s="1"/>
    </row>
    <row r="4500" ht="204.75" customHeight="1">
      <c r="A4500" s="1">
        <v>5665.0</v>
      </c>
      <c r="B4500" s="2" t="s">
        <v>12888</v>
      </c>
      <c r="C4500" s="2">
        <f>IFERROR(__xludf.DUMMYFUNCTION("split(B4500,""_"")"),807.0)</f>
        <v>807</v>
      </c>
      <c r="D4500" s="2" t="str">
        <f>IFERROR(__xludf.DUMMYFUNCTION("""COMPUTED_VALUE"""),"NTV")</f>
        <v>NTV</v>
      </c>
      <c r="E4500" s="2" t="str">
        <f>IFERROR(__xludf.DUMMYFUNCTION("""COMPUTED_VALUE"""),"火22")</f>
        <v>火22</v>
      </c>
      <c r="F4500" s="2" t="s">
        <v>12889</v>
      </c>
      <c r="G4500" s="2" t="s">
        <v>12890</v>
      </c>
      <c r="H4500" s="1">
        <v>2.0</v>
      </c>
      <c r="J4500" s="1" t="s">
        <v>86</v>
      </c>
      <c r="K4500" s="2" t="s">
        <v>12892</v>
      </c>
      <c r="L4500" s="2"/>
      <c r="M4500" s="2" t="str">
        <f>IFERROR(__xludf.DUMMYFUNCTION("split(split(K4500,""【演出"",false),""ほか"",false)"),"深田恭子　谷原章介  仲里依紗　中村蒼　前田公輝　朝倉あき　法月康平　加藤みづき　柳沢太介  夏目鈴　森崎ウィン　柳生みゆ  伊藤蘭カップルになった女子からケチつけられ、文句たらたらの男子達。相手の永璃が恋人のマー君に首ったけで困っていた叶夢はカップルを変えようと提案する。そんな折、永璃はマー君が女のコにキスをしアパートに連れ込もうとするのを見てしまい、さらに「仕方なく付き合ってやった」と言われ大泣き。男子5人は永璃のリベンジのため、ある行動に出るが、そのイタズラがバレた5人はシャワー中に服を隠され裸で校"&amp;"内を走り回ることに・・")</f>
        <v>深田恭子　谷原章介  仲里依紗　中村蒼　前田公輝　朝倉あき　法月康平　加藤みづき　柳沢太介  夏目鈴　森崎ウィン　柳生みゆ  伊藤蘭カップルになった女子からケチつけられ、文句たらたらの男子達。相手の永璃が恋人のマー君に首ったけで困っていた叶夢はカップルを変えようと提案する。そんな折、永璃はマー君が女のコにキスをしアパートに連れ込もうとするのを見てしまい、さらに「仕方なく付き合ってやった」と言われ大泣き。男子5人は永璃のリベンジのため、ある行動に出るが、そのイタズラがバレた5人はシャワー中に服を隠され裸で校内を走り回ることに・・</v>
      </c>
      <c r="N4500" s="2"/>
      <c r="O4500" s="2"/>
      <c r="P4500" s="1"/>
      <c r="Q4500" s="1"/>
      <c r="R4500" s="1"/>
      <c r="S4500" s="1"/>
      <c r="T4500" s="1"/>
      <c r="U4500" s="1"/>
      <c r="V4500" s="1"/>
      <c r="W4500" s="1"/>
      <c r="X4500" s="1"/>
      <c r="Y4500" s="1"/>
      <c r="Z4500" s="1"/>
      <c r="AA4500" s="1"/>
      <c r="AB4500" s="1"/>
      <c r="AC4500" s="1"/>
      <c r="AD4500" s="1"/>
      <c r="AE4500" s="1"/>
      <c r="AF4500" s="1"/>
      <c r="AG4500" s="1"/>
      <c r="AH4500" s="1"/>
      <c r="AI4500" s="1"/>
      <c r="AJ4500" s="1"/>
      <c r="AK4500" s="1"/>
      <c r="AL4500" s="1"/>
      <c r="AM4500" s="1"/>
      <c r="AN4500" s="1"/>
      <c r="AO4500" s="1"/>
      <c r="AP4500" s="1"/>
      <c r="AQ4500" s="1"/>
      <c r="AR4500" s="1"/>
      <c r="AS4500" s="1"/>
      <c r="AT4500" s="1"/>
      <c r="AU4500" s="1"/>
      <c r="AV4500" s="1"/>
      <c r="AW4500" s="1"/>
      <c r="AX4500" s="1"/>
      <c r="AY4500" s="1"/>
      <c r="AZ4500" s="1"/>
      <c r="BA4500" s="1"/>
      <c r="BB4500" s="1"/>
    </row>
    <row r="4501" ht="204.75" customHeight="1">
      <c r="A4501" s="1">
        <v>5666.0</v>
      </c>
      <c r="B4501" s="2" t="s">
        <v>12888</v>
      </c>
      <c r="C4501" s="2">
        <f>IFERROR(__xludf.DUMMYFUNCTION("split(B4501,""_"")"),807.0)</f>
        <v>807</v>
      </c>
      <c r="D4501" s="2" t="str">
        <f>IFERROR(__xludf.DUMMYFUNCTION("""COMPUTED_VALUE"""),"NTV")</f>
        <v>NTV</v>
      </c>
      <c r="E4501" s="2" t="str">
        <f>IFERROR(__xludf.DUMMYFUNCTION("""COMPUTED_VALUE"""),"火22")</f>
        <v>火22</v>
      </c>
      <c r="F4501" s="2" t="s">
        <v>12889</v>
      </c>
      <c r="G4501" s="2" t="s">
        <v>12890</v>
      </c>
      <c r="H4501" s="1">
        <v>3.0</v>
      </c>
      <c r="J4501" s="1" t="s">
        <v>86</v>
      </c>
      <c r="K4501" s="2" t="s">
        <v>12893</v>
      </c>
      <c r="L4501" s="2"/>
      <c r="M4501" s="2" t="str">
        <f>IFERROR(__xludf.DUMMYFUNCTION("split(split(K4501,""【演出"",false),""ほか"",false)"),"深田恭子　谷原章介  仲里依紗　中村蒼　前田公輝　朝倉あき　法月康平　加藤みづき　柳沢太介  夏目鈴　森崎ウィン　柳生みゆ  伊藤蘭レイ(加藤みづき)の妊娠を知り、秘密を共有することになった静也(前田公輝)は、レイに堅く口止めされたこともあり、困り果てる。誰にも相談できずに苦悩するレイと、困惑する静也のギクシャクした雰囲気に、他の部員たちは、ワケが分からないまま心配を募らせる。まもなく、2人の話を立ち聞きした叶夢(森崎ウィン)と永璃(仲里依紗)が、レイの妊娠を知り、他の部員たちにも伝わってしまい・・・。")</f>
        <v>深田恭子　谷原章介  仲里依紗　中村蒼　前田公輝　朝倉あき　法月康平　加藤みづき　柳沢太介  夏目鈴　森崎ウィン　柳生みゆ  伊藤蘭レイ(加藤みづき)の妊娠を知り、秘密を共有することになった静也(前田公輝)は、レイに堅く口止めされたこともあり、困り果てる。誰にも相談できずに苦悩するレイと、困惑する静也のギクシャクした雰囲気に、他の部員たちは、ワケが分からないまま心配を募らせる。まもなく、2人の話を立ち聞きした叶夢(森崎ウィン)と永璃(仲里依紗)が、レイの妊娠を知り、他の部員たちにも伝わってしまい・・・。</v>
      </c>
      <c r="N4501" s="2"/>
      <c r="O4501" s="2"/>
      <c r="P4501" s="1"/>
      <c r="Q4501" s="1"/>
      <c r="R4501" s="1"/>
      <c r="S4501" s="1"/>
      <c r="T4501" s="1"/>
      <c r="U4501" s="1"/>
      <c r="V4501" s="1"/>
      <c r="W4501" s="1"/>
      <c r="X4501" s="1"/>
      <c r="Y4501" s="1"/>
      <c r="Z4501" s="1"/>
      <c r="AA4501" s="1"/>
      <c r="AB4501" s="1"/>
      <c r="AC4501" s="1"/>
      <c r="AD4501" s="1"/>
      <c r="AE4501" s="1"/>
      <c r="AF4501" s="1"/>
      <c r="AG4501" s="1"/>
      <c r="AH4501" s="1"/>
      <c r="AI4501" s="1"/>
      <c r="AJ4501" s="1"/>
      <c r="AK4501" s="1"/>
      <c r="AL4501" s="1"/>
      <c r="AM4501" s="1"/>
      <c r="AN4501" s="1"/>
      <c r="AO4501" s="1"/>
      <c r="AP4501" s="1"/>
      <c r="AQ4501" s="1"/>
      <c r="AR4501" s="1"/>
      <c r="AS4501" s="1"/>
      <c r="AT4501" s="1"/>
      <c r="AU4501" s="1"/>
      <c r="AV4501" s="1"/>
      <c r="AW4501" s="1"/>
      <c r="AX4501" s="1"/>
      <c r="AY4501" s="1"/>
      <c r="AZ4501" s="1"/>
      <c r="BA4501" s="1"/>
      <c r="BB4501" s="1"/>
    </row>
    <row r="4502" ht="204.75" customHeight="1">
      <c r="A4502" s="1">
        <v>5667.0</v>
      </c>
      <c r="B4502" s="2" t="s">
        <v>12888</v>
      </c>
      <c r="C4502" s="2">
        <f>IFERROR(__xludf.DUMMYFUNCTION("split(B4502,""_"")"),807.0)</f>
        <v>807</v>
      </c>
      <c r="D4502" s="2" t="str">
        <f>IFERROR(__xludf.DUMMYFUNCTION("""COMPUTED_VALUE"""),"NTV")</f>
        <v>NTV</v>
      </c>
      <c r="E4502" s="2" t="str">
        <f>IFERROR(__xludf.DUMMYFUNCTION("""COMPUTED_VALUE"""),"火22")</f>
        <v>火22</v>
      </c>
      <c r="F4502" s="2" t="s">
        <v>12889</v>
      </c>
      <c r="G4502" s="2" t="s">
        <v>12890</v>
      </c>
      <c r="H4502" s="1">
        <v>4.0</v>
      </c>
      <c r="J4502" s="1" t="s">
        <v>86</v>
      </c>
      <c r="K4502" s="2" t="s">
        <v>12894</v>
      </c>
      <c r="L4502" s="2"/>
      <c r="M4502" s="2" t="str">
        <f>IFERROR(__xludf.DUMMYFUNCTION("split(split(K4502,""【演出"",false),""ほか"",false)"),"深田恭子　谷原章介  仲里依紗　中村蒼　前田公輝　朝倉あき　法月康平　加藤みづき　柳沢太介  夏目鈴　森崎ウィン　柳生みゆ  伊藤蘭家庭内暴力を繰り返す姉・聖子(高瀬友規奈)に信太郎(法月康平)は殺意を抱き始めていた。そんな折、校舎の屋上で『死にたい、誰か殺して』との落書きを見つけ、つい『殺してあげる』と書いてしまう。そのことが頭から離れなくなった信太郎は、他の部員からパートナーチェンジを申し込まれ簡単にOKを出す。この様子を見ていた真帆(夏目鈴)は突如退部を宣言し、信太郎もつられるように辞めると言ってし"&amp;"まう・・・。")</f>
        <v>深田恭子　谷原章介  仲里依紗　中村蒼　前田公輝　朝倉あき　法月康平　加藤みづき　柳沢太介  夏目鈴　森崎ウィン　柳生みゆ  伊藤蘭家庭内暴力を繰り返す姉・聖子(高瀬友規奈)に信太郎(法月康平)は殺意を抱き始めていた。そんな折、校舎の屋上で『死にたい、誰か殺して』との落書きを見つけ、つい『殺してあげる』と書いてしまう。そのことが頭から離れなくなった信太郎は、他の部員からパートナーチェンジを申し込まれ簡単にOKを出す。この様子を見ていた真帆(夏目鈴)は突如退部を宣言し、信太郎もつられるように辞めると言ってしまう・・・。</v>
      </c>
      <c r="N4502" s="2"/>
      <c r="O4502" s="2"/>
      <c r="P4502" s="1"/>
      <c r="Q4502" s="1"/>
      <c r="R4502" s="1"/>
      <c r="S4502" s="1"/>
      <c r="T4502" s="1"/>
      <c r="U4502" s="1"/>
      <c r="V4502" s="1"/>
      <c r="W4502" s="1"/>
      <c r="X4502" s="1"/>
      <c r="Y4502" s="1"/>
      <c r="Z4502" s="1"/>
      <c r="AA4502" s="1"/>
      <c r="AB4502" s="1"/>
      <c r="AC4502" s="1"/>
      <c r="AD4502" s="1"/>
      <c r="AE4502" s="1"/>
      <c r="AF4502" s="1"/>
      <c r="AG4502" s="1"/>
      <c r="AH4502" s="1"/>
      <c r="AI4502" s="1"/>
      <c r="AJ4502" s="1"/>
      <c r="AK4502" s="1"/>
      <c r="AL4502" s="1"/>
      <c r="AM4502" s="1"/>
      <c r="AN4502" s="1"/>
      <c r="AO4502" s="1"/>
      <c r="AP4502" s="1"/>
      <c r="AQ4502" s="1"/>
      <c r="AR4502" s="1"/>
      <c r="AS4502" s="1"/>
      <c r="AT4502" s="1"/>
      <c r="AU4502" s="1"/>
      <c r="AV4502" s="1"/>
      <c r="AW4502" s="1"/>
      <c r="AX4502" s="1"/>
      <c r="AY4502" s="1"/>
      <c r="AZ4502" s="1"/>
      <c r="BA4502" s="1"/>
      <c r="BB4502" s="1"/>
    </row>
    <row r="4503" ht="204.75" customHeight="1">
      <c r="A4503" s="1">
        <v>5668.0</v>
      </c>
      <c r="B4503" s="2" t="s">
        <v>12888</v>
      </c>
      <c r="C4503" s="2">
        <f>IFERROR(__xludf.DUMMYFUNCTION("split(B4503,""_"")"),807.0)</f>
        <v>807</v>
      </c>
      <c r="D4503" s="2" t="str">
        <f>IFERROR(__xludf.DUMMYFUNCTION("""COMPUTED_VALUE"""),"NTV")</f>
        <v>NTV</v>
      </c>
      <c r="E4503" s="2" t="str">
        <f>IFERROR(__xludf.DUMMYFUNCTION("""COMPUTED_VALUE"""),"火22")</f>
        <v>火22</v>
      </c>
      <c r="F4503" s="2" t="s">
        <v>12889</v>
      </c>
      <c r="G4503" s="2" t="s">
        <v>12890</v>
      </c>
      <c r="H4503" s="1">
        <v>5.0</v>
      </c>
      <c r="J4503" s="1" t="s">
        <v>86</v>
      </c>
      <c r="K4503" s="2" t="s">
        <v>12895</v>
      </c>
      <c r="L4503" s="2"/>
      <c r="M4503" s="2" t="str">
        <f>IFERROR(__xludf.DUMMYFUNCTION("split(split(K4503,""【演出"",false),""ほか"",false)"),"深田恭子　谷原章介  仲里依紗　中村蒼　前田公輝　朝倉あき　法月康平　加藤みづき　柳沢太介  夏目鈴　森崎ウィン　柳生みゆ  伊藤蘭影山(伊藤蘭)が男女交際を禁止する新しい校則が出来たと発表。  舞(深田恭子)は氷室(谷原章介)と交渉し、今回のダンス大会で一組でも入賞者が出れば社交ダンス部を正式な部と認め、新しい校則も廃止するとの約束を取り付ける。そんな中、真面目に練習しない部員たちを見た瞳(朝倉あき)がイライラを募らせる。クビをひねった一樹(中村蒼)は放課後に瞳を尾行し、瞳の秘密を知ってしまう・・・。")</f>
        <v>深田恭子　谷原章介  仲里依紗　中村蒼　前田公輝　朝倉あき　法月康平　加藤みづき　柳沢太介  夏目鈴　森崎ウィン　柳生みゆ  伊藤蘭影山(伊藤蘭)が男女交際を禁止する新しい校則が出来たと発表。  舞(深田恭子)は氷室(谷原章介)と交渉し、今回のダンス大会で一組でも入賞者が出れば社交ダンス部を正式な部と認め、新しい校則も廃止するとの約束を取り付ける。そんな中、真面目に練習しない部員たちを見た瞳(朝倉あき)がイライラを募らせる。クビをひねった一樹(中村蒼)は放課後に瞳を尾行し、瞳の秘密を知ってしまう・・・。</v>
      </c>
      <c r="N4503" s="2"/>
      <c r="O4503" s="2"/>
      <c r="P4503" s="1"/>
      <c r="Q4503" s="1"/>
      <c r="R4503" s="1"/>
      <c r="S4503" s="1"/>
      <c r="T4503" s="1"/>
      <c r="U4503" s="1"/>
      <c r="V4503" s="1"/>
      <c r="W4503" s="1"/>
      <c r="X4503" s="1"/>
      <c r="Y4503" s="1"/>
      <c r="Z4503" s="1"/>
      <c r="AA4503" s="1"/>
      <c r="AB4503" s="1"/>
      <c r="AC4503" s="1"/>
      <c r="AD4503" s="1"/>
      <c r="AE4503" s="1"/>
      <c r="AF4503" s="1"/>
      <c r="AG4503" s="1"/>
      <c r="AH4503" s="1"/>
      <c r="AI4503" s="1"/>
      <c r="AJ4503" s="1"/>
      <c r="AK4503" s="1"/>
      <c r="AL4503" s="1"/>
      <c r="AM4503" s="1"/>
      <c r="AN4503" s="1"/>
      <c r="AO4503" s="1"/>
      <c r="AP4503" s="1"/>
      <c r="AQ4503" s="1"/>
      <c r="AR4503" s="1"/>
      <c r="AS4503" s="1"/>
      <c r="AT4503" s="1"/>
      <c r="AU4503" s="1"/>
      <c r="AV4503" s="1"/>
      <c r="AW4503" s="1"/>
      <c r="AX4503" s="1"/>
      <c r="AY4503" s="1"/>
      <c r="AZ4503" s="1"/>
      <c r="BA4503" s="1"/>
      <c r="BB4503" s="1"/>
    </row>
    <row r="4504" ht="204.75" customHeight="1">
      <c r="A4504" s="1">
        <v>5669.0</v>
      </c>
      <c r="B4504" s="2" t="s">
        <v>12888</v>
      </c>
      <c r="C4504" s="2">
        <f>IFERROR(__xludf.DUMMYFUNCTION("split(B4504,""_"")"),807.0)</f>
        <v>807</v>
      </c>
      <c r="D4504" s="2" t="str">
        <f>IFERROR(__xludf.DUMMYFUNCTION("""COMPUTED_VALUE"""),"NTV")</f>
        <v>NTV</v>
      </c>
      <c r="E4504" s="2" t="str">
        <f>IFERROR(__xludf.DUMMYFUNCTION("""COMPUTED_VALUE"""),"火22")</f>
        <v>火22</v>
      </c>
      <c r="F4504" s="2" t="s">
        <v>12889</v>
      </c>
      <c r="G4504" s="2" t="s">
        <v>12890</v>
      </c>
      <c r="H4504" s="1">
        <v>6.0</v>
      </c>
      <c r="J4504" s="1" t="s">
        <v>86</v>
      </c>
      <c r="K4504" s="2" t="s">
        <v>12896</v>
      </c>
      <c r="L4504" s="2"/>
      <c r="M4504" s="2" t="str">
        <f>IFERROR(__xludf.DUMMYFUNCTION("split(split(K4504,""【演出"",false),""ほか"",false)"),"深田恭子　谷原章介  仲里依紗　中村蒼　前田公輝　朝倉あき　法月康平　加藤みづき　柳沢太介  夏目鈴　森崎ウィン　柳生みゆ  伊藤蘭舞(深田恭子)が正式に部として認可された社交ダンス部初の発表会を9月の文化祭でやると宣言。それが創作ダンスだと聞いた部員達は文句を言いながらも練習を始める。そんな中、一樹(中村蒼)と瞳(朝倉あき)は、よそよそしい雰囲気の叶夢(森崎ウィン)と永璃(仲里依紗)に気付いた。叶夢は永璃とラブホテルに入ったものの「好きなのか、やりたいだけなのか」と聞かれてフリーズし、キスさえせずに出て"&amp;"しまったのだった。")</f>
        <v>深田恭子　谷原章介  仲里依紗　中村蒼　前田公輝　朝倉あき　法月康平　加藤みづき　柳沢太介  夏目鈴　森崎ウィン　柳生みゆ  伊藤蘭舞(深田恭子)が正式に部として認可された社交ダンス部初の発表会を9月の文化祭でやると宣言。それが創作ダンスだと聞いた部員達は文句を言いながらも練習を始める。そんな中、一樹(中村蒼)と瞳(朝倉あき)は、よそよそしい雰囲気の叶夢(森崎ウィン)と永璃(仲里依紗)に気付いた。叶夢は永璃とラブホテルに入ったものの「好きなのか、やりたいだけなのか」と聞かれてフリーズし、キスさえせずに出てしまったのだった。</v>
      </c>
      <c r="N4504" s="2"/>
      <c r="O4504" s="2"/>
      <c r="P4504" s="1"/>
      <c r="Q4504" s="1"/>
      <c r="R4504" s="1"/>
      <c r="S4504" s="1"/>
      <c r="T4504" s="1"/>
      <c r="U4504" s="1"/>
      <c r="V4504" s="1"/>
      <c r="W4504" s="1"/>
      <c r="X4504" s="1"/>
      <c r="Y4504" s="1"/>
      <c r="Z4504" s="1"/>
      <c r="AA4504" s="1"/>
      <c r="AB4504" s="1"/>
      <c r="AC4504" s="1"/>
      <c r="AD4504" s="1"/>
      <c r="AE4504" s="1"/>
      <c r="AF4504" s="1"/>
      <c r="AG4504" s="1"/>
      <c r="AH4504" s="1"/>
      <c r="AI4504" s="1"/>
      <c r="AJ4504" s="1"/>
      <c r="AK4504" s="1"/>
      <c r="AL4504" s="1"/>
      <c r="AM4504" s="1"/>
      <c r="AN4504" s="1"/>
      <c r="AO4504" s="1"/>
      <c r="AP4504" s="1"/>
      <c r="AQ4504" s="1"/>
      <c r="AR4504" s="1"/>
      <c r="AS4504" s="1"/>
      <c r="AT4504" s="1"/>
      <c r="AU4504" s="1"/>
      <c r="AV4504" s="1"/>
      <c r="AW4504" s="1"/>
      <c r="AX4504" s="1"/>
      <c r="AY4504" s="1"/>
      <c r="AZ4504" s="1"/>
      <c r="BA4504" s="1"/>
      <c r="BB4504" s="1"/>
    </row>
    <row r="4505" ht="204.75" customHeight="1">
      <c r="A4505" s="1">
        <v>5670.0</v>
      </c>
      <c r="B4505" s="2" t="s">
        <v>12888</v>
      </c>
      <c r="C4505" s="2">
        <f>IFERROR(__xludf.DUMMYFUNCTION("split(B4505,""_"")"),807.0)</f>
        <v>807</v>
      </c>
      <c r="D4505" s="2" t="str">
        <f>IFERROR(__xludf.DUMMYFUNCTION("""COMPUTED_VALUE"""),"NTV")</f>
        <v>NTV</v>
      </c>
      <c r="E4505" s="2" t="str">
        <f>IFERROR(__xludf.DUMMYFUNCTION("""COMPUTED_VALUE"""),"火22")</f>
        <v>火22</v>
      </c>
      <c r="F4505" s="2" t="s">
        <v>12889</v>
      </c>
      <c r="G4505" s="2" t="s">
        <v>12890</v>
      </c>
      <c r="H4505" s="1">
        <v>7.0</v>
      </c>
      <c r="J4505" s="1" t="s">
        <v>86</v>
      </c>
      <c r="K4505" s="2" t="s">
        <v>12897</v>
      </c>
      <c r="L4505" s="2"/>
      <c r="M4505" s="2" t="str">
        <f>IFERROR(__xludf.DUMMYFUNCTION("split(split(K4505,""【演出"",false),""ほか"",false)"),"深田恭子　谷原章介  仲里依紗　中村蒼　前田公輝　朝倉あき　法月康平　加藤みづき　柳沢太介  夏目鈴　森崎ウィン　柳生みゆ  伊藤蘭叶夢(森崎ウィン)に未練を残したまま、一樹(中村蒼)は瞳(朝倉あき)に交際を申し込んだ。叶夢を諦めるという言葉を信じた瞳はOKの返事をするが、一樹は永璃(仲里依紗)とラブラブな叶夢の事が気になって仕方がない。瞳はそんな一樹を複雑な表情で眺めていた。一方、舞(深田恭子)の提案で社交ダンス部は夏合宿をする事に。だが、一樹は練習そっちのけで恋の相談を持ちかけてくるメンバーにイライラ"&amp;"を募らせ、ついに!?")</f>
        <v>深田恭子　谷原章介  仲里依紗　中村蒼　前田公輝　朝倉あき　法月康平　加藤みづき　柳沢太介  夏目鈴　森崎ウィン　柳生みゆ  伊藤蘭叶夢(森崎ウィン)に未練を残したまま、一樹(中村蒼)は瞳(朝倉あき)に交際を申し込んだ。叶夢を諦めるという言葉を信じた瞳はOKの返事をするが、一樹は永璃(仲里依紗)とラブラブな叶夢の事が気になって仕方がない。瞳はそんな一樹を複雑な表情で眺めていた。一方、舞(深田恭子)の提案で社交ダンス部は夏合宿をする事に。だが、一樹は練習そっちのけで恋の相談を持ちかけてくるメンバーにイライラを募らせ、ついに!?</v>
      </c>
      <c r="N4505" s="2"/>
      <c r="O4505" s="2"/>
      <c r="P4505" s="1"/>
      <c r="Q4505" s="1"/>
      <c r="R4505" s="1"/>
      <c r="S4505" s="1"/>
      <c r="T4505" s="1"/>
      <c r="U4505" s="1"/>
      <c r="V4505" s="1"/>
      <c r="W4505" s="1"/>
      <c r="X4505" s="1"/>
      <c r="Y4505" s="1"/>
      <c r="Z4505" s="1"/>
      <c r="AA4505" s="1"/>
      <c r="AB4505" s="1"/>
      <c r="AC4505" s="1"/>
      <c r="AD4505" s="1"/>
      <c r="AE4505" s="1"/>
      <c r="AF4505" s="1"/>
      <c r="AG4505" s="1"/>
      <c r="AH4505" s="1"/>
      <c r="AI4505" s="1"/>
      <c r="AJ4505" s="1"/>
      <c r="AK4505" s="1"/>
      <c r="AL4505" s="1"/>
      <c r="AM4505" s="1"/>
      <c r="AN4505" s="1"/>
      <c r="AO4505" s="1"/>
      <c r="AP4505" s="1"/>
      <c r="AQ4505" s="1"/>
      <c r="AR4505" s="1"/>
      <c r="AS4505" s="1"/>
      <c r="AT4505" s="1"/>
      <c r="AU4505" s="1"/>
      <c r="AV4505" s="1"/>
      <c r="AW4505" s="1"/>
      <c r="AX4505" s="1"/>
      <c r="AY4505" s="1"/>
      <c r="AZ4505" s="1"/>
      <c r="BA4505" s="1"/>
      <c r="BB4505" s="1"/>
    </row>
    <row r="4506" ht="204.75" customHeight="1">
      <c r="A4506" s="1">
        <v>5671.0</v>
      </c>
      <c r="B4506" s="2" t="s">
        <v>12888</v>
      </c>
      <c r="C4506" s="2">
        <f>IFERROR(__xludf.DUMMYFUNCTION("split(B4506,""_"")"),807.0)</f>
        <v>807</v>
      </c>
      <c r="D4506" s="2" t="str">
        <f>IFERROR(__xludf.DUMMYFUNCTION("""COMPUTED_VALUE"""),"NTV")</f>
        <v>NTV</v>
      </c>
      <c r="E4506" s="2" t="str">
        <f>IFERROR(__xludf.DUMMYFUNCTION("""COMPUTED_VALUE"""),"火22")</f>
        <v>火22</v>
      </c>
      <c r="F4506" s="2" t="s">
        <v>12889</v>
      </c>
      <c r="G4506" s="2" t="s">
        <v>12890</v>
      </c>
      <c r="H4506" s="1">
        <v>8.0</v>
      </c>
      <c r="J4506" s="1" t="s">
        <v>86</v>
      </c>
      <c r="K4506" s="2" t="s">
        <v>12898</v>
      </c>
      <c r="L4506" s="2"/>
      <c r="M4506" s="2" t="str">
        <f>IFERROR(__xludf.DUMMYFUNCTION("split(split(K4506,""【演出"",false),""ほか"",false)"),"深田恭子　谷原章介  仲里依紗　中村蒼　前田公輝　朝倉あき　法月康平　加藤みづき　柳沢太介  夏目鈴　森崎ウィン　柳生みゆ  伊藤蘭叶夢(森崎ウィン)の持っていたTバックが見つかったことから、舞(深田恭子)と社交ダンス部が窮地に。さらにヤケ酒をあおって、氷室(谷原章介)にお姫さまダッコされている写真が校内に掲示されたため、舞は保護者や卒業生からの突き上げで懲戒解雇の瀬戸際に立たされる。舞のピンチを知った一樹(中村蒼)と瞳(朝倉あき)は、影山(伊藤蘭)に直接謝ろうと決意し、チャンスをうかがうが・・・。")</f>
        <v>深田恭子　谷原章介  仲里依紗　中村蒼　前田公輝　朝倉あき　法月康平　加藤みづき　柳沢太介  夏目鈴　森崎ウィン　柳生みゆ  伊藤蘭叶夢(森崎ウィン)の持っていたTバックが見つかったことから、舞(深田恭子)と社交ダンス部が窮地に。さらにヤケ酒をあおって、氷室(谷原章介)にお姫さまダッコされている写真が校内に掲示されたため、舞は保護者や卒業生からの突き上げで懲戒解雇の瀬戸際に立たされる。舞のピンチを知った一樹(中村蒼)と瞳(朝倉あき)は、影山(伊藤蘭)に直接謝ろうと決意し、チャンスをうかがうが・・・。</v>
      </c>
      <c r="N4506" s="2"/>
      <c r="O4506" s="2"/>
      <c r="P4506" s="1"/>
      <c r="Q4506" s="1"/>
      <c r="R4506" s="1"/>
      <c r="S4506" s="1"/>
      <c r="T4506" s="1"/>
      <c r="U4506" s="1"/>
      <c r="V4506" s="1"/>
      <c r="W4506" s="1"/>
      <c r="X4506" s="1"/>
      <c r="Y4506" s="1"/>
      <c r="Z4506" s="1"/>
      <c r="AA4506" s="1"/>
      <c r="AB4506" s="1"/>
      <c r="AC4506" s="1"/>
      <c r="AD4506" s="1"/>
      <c r="AE4506" s="1"/>
      <c r="AF4506" s="1"/>
      <c r="AG4506" s="1"/>
      <c r="AH4506" s="1"/>
      <c r="AI4506" s="1"/>
      <c r="AJ4506" s="1"/>
      <c r="AK4506" s="1"/>
      <c r="AL4506" s="1"/>
      <c r="AM4506" s="1"/>
      <c r="AN4506" s="1"/>
      <c r="AO4506" s="1"/>
      <c r="AP4506" s="1"/>
      <c r="AQ4506" s="1"/>
      <c r="AR4506" s="1"/>
      <c r="AS4506" s="1"/>
      <c r="AT4506" s="1"/>
      <c r="AU4506" s="1"/>
      <c r="AV4506" s="1"/>
      <c r="AW4506" s="1"/>
      <c r="AX4506" s="1"/>
      <c r="AY4506" s="1"/>
      <c r="AZ4506" s="1"/>
      <c r="BA4506" s="1"/>
      <c r="BB4506" s="1"/>
    </row>
    <row r="4507" ht="204.75" customHeight="1">
      <c r="A4507" s="1">
        <v>5672.0</v>
      </c>
      <c r="B4507" s="2" t="s">
        <v>12888</v>
      </c>
      <c r="C4507" s="2">
        <f>IFERROR(__xludf.DUMMYFUNCTION("split(B4507,""_"")"),807.0)</f>
        <v>807</v>
      </c>
      <c r="D4507" s="2" t="str">
        <f>IFERROR(__xludf.DUMMYFUNCTION("""COMPUTED_VALUE"""),"NTV")</f>
        <v>NTV</v>
      </c>
      <c r="E4507" s="2" t="str">
        <f>IFERROR(__xludf.DUMMYFUNCTION("""COMPUTED_VALUE"""),"火22")</f>
        <v>火22</v>
      </c>
      <c r="F4507" s="2" t="s">
        <v>12889</v>
      </c>
      <c r="G4507" s="2" t="s">
        <v>12890</v>
      </c>
      <c r="H4507" s="1">
        <v>9.0</v>
      </c>
      <c r="J4507" s="1" t="s">
        <v>86</v>
      </c>
      <c r="K4507" s="2" t="s">
        <v>12899</v>
      </c>
      <c r="L4507" s="2"/>
      <c r="M4507" s="2" t="str">
        <f>IFERROR(__xludf.DUMMYFUNCTION("split(split(K4507,""【演出"",false),""ほか"",false)"),"深田恭子　谷原章介  仲里依紗　中村蒼　前田公輝　朝倉あき　法月康平　加藤みづき　柳沢太介  夏目鈴　森崎ウィン　柳生みゆ  伊藤蘭文化祭が間近に迫ったある日、社交ダンス部の衣装などが何者かにメチャクチャにされていた。犯人は生徒会の夏芽(三浦葵)達らしいのだが、これを見た瞳(朝倉あき)は、かつて夏芽にキスを迫られて断わった事が原因ではないかと明かす。舞(深田恭子)や部員は発表会が出来るよう活動するが、影山(伊藤蘭)や生徒達の反応は冷たい。瞳は社交ダンス部を救うためには自分が犠牲になるしかないと決意し、生徒"&amp;"会室に向かうが・・・。")</f>
        <v>深田恭子　谷原章介  仲里依紗　中村蒼　前田公輝　朝倉あき　法月康平　加藤みづき　柳沢太介  夏目鈴　森崎ウィン　柳生みゆ  伊藤蘭文化祭が間近に迫ったある日、社交ダンス部の衣装などが何者かにメチャクチャにされていた。犯人は生徒会の夏芽(三浦葵)達らしいのだが、これを見た瞳(朝倉あき)は、かつて夏芽にキスを迫られて断わった事が原因ではないかと明かす。舞(深田恭子)や部員は発表会が出来るよう活動するが、影山(伊藤蘭)や生徒達の反応は冷たい。瞳は社交ダンス部を救うためには自分が犠牲になるしかないと決意し、生徒会室に向かうが・・・。</v>
      </c>
      <c r="N4507" s="2"/>
      <c r="O4507" s="2"/>
      <c r="P4507" s="1"/>
      <c r="Q4507" s="1"/>
      <c r="R4507" s="1"/>
      <c r="S4507" s="1"/>
      <c r="T4507" s="1"/>
      <c r="U4507" s="1"/>
      <c r="V4507" s="1"/>
      <c r="W4507" s="1"/>
      <c r="X4507" s="1"/>
      <c r="Y4507" s="1"/>
      <c r="Z4507" s="1"/>
      <c r="AA4507" s="1"/>
      <c r="AB4507" s="1"/>
      <c r="AC4507" s="1"/>
      <c r="AD4507" s="1"/>
      <c r="AE4507" s="1"/>
      <c r="AF4507" s="1"/>
      <c r="AG4507" s="1"/>
      <c r="AH4507" s="1"/>
      <c r="AI4507" s="1"/>
      <c r="AJ4507" s="1"/>
      <c r="AK4507" s="1"/>
      <c r="AL4507" s="1"/>
      <c r="AM4507" s="1"/>
      <c r="AN4507" s="1"/>
      <c r="AO4507" s="1"/>
      <c r="AP4507" s="1"/>
      <c r="AQ4507" s="1"/>
      <c r="AR4507" s="1"/>
      <c r="AS4507" s="1"/>
      <c r="AT4507" s="1"/>
      <c r="AU4507" s="1"/>
      <c r="AV4507" s="1"/>
      <c r="AW4507" s="1"/>
      <c r="AX4507" s="1"/>
      <c r="AY4507" s="1"/>
      <c r="AZ4507" s="1"/>
      <c r="BA4507" s="1"/>
      <c r="BB4507" s="1"/>
    </row>
    <row r="4508" ht="204.75" customHeight="1">
      <c r="A4508" s="1">
        <v>5673.0</v>
      </c>
      <c r="B4508" s="2" t="s">
        <v>12888</v>
      </c>
      <c r="C4508" s="2">
        <f>IFERROR(__xludf.DUMMYFUNCTION("split(B4508,""_"")"),807.0)</f>
        <v>807</v>
      </c>
      <c r="D4508" s="2" t="str">
        <f>IFERROR(__xludf.DUMMYFUNCTION("""COMPUTED_VALUE"""),"NTV")</f>
        <v>NTV</v>
      </c>
      <c r="E4508" s="2" t="str">
        <f>IFERROR(__xludf.DUMMYFUNCTION("""COMPUTED_VALUE"""),"火22")</f>
        <v>火22</v>
      </c>
      <c r="F4508" s="2" t="s">
        <v>12889</v>
      </c>
      <c r="G4508" s="2" t="s">
        <v>12890</v>
      </c>
      <c r="H4508" s="1">
        <v>10.0</v>
      </c>
      <c r="J4508" s="1" t="s">
        <v>86</v>
      </c>
      <c r="K4508" s="2" t="s">
        <v>12900</v>
      </c>
      <c r="L4508" s="2"/>
      <c r="M4508" s="2" t="str">
        <f>IFERROR(__xludf.DUMMYFUNCTION("split(split(K4508,""【演出"",false),""ほか"",false)"),"深田恭子　谷原章介  仲里依紗　中村蒼　前田公輝　朝倉あき　法月康平　加藤みづき　柳沢太介  夏目鈴　森崎ウィン　柳生みゆ  伊藤蘭一樹(中村蒼)の「学校を辞めたい」という言葉に、社交ダンス部の部員たちはア然となる。一樹は、「来年、第一志望の高校にチャレンジしたい」と本気。翌日、舞(深田恭子)に退学届を提出した一樹は「周りの人を幸せにしたいから、まず自分が幸せになる」と言い切る。だが、報告を受けた影山(伊藤蘭)は、何としても一樹を説得して引き止めるよう、舞に指示するが・・・。")</f>
        <v>深田恭子　谷原章介  仲里依紗　中村蒼　前田公輝　朝倉あき　法月康平　加藤みづき　柳沢太介  夏目鈴　森崎ウィン　柳生みゆ  伊藤蘭一樹(中村蒼)の「学校を辞めたい」という言葉に、社交ダンス部の部員たちはア然となる。一樹は、「来年、第一志望の高校にチャレンジしたい」と本気。翌日、舞(深田恭子)に退学届を提出した一樹は「周りの人を幸せにしたいから、まず自分が幸せになる」と言い切る。だが、報告を受けた影山(伊藤蘭)は、何としても一樹を説得して引き止めるよう、舞に指示するが・・・。</v>
      </c>
      <c r="N4508" s="2"/>
      <c r="O4508" s="2"/>
      <c r="P4508" s="1"/>
      <c r="Q4508" s="1"/>
      <c r="R4508" s="1"/>
      <c r="S4508" s="1"/>
      <c r="T4508" s="1"/>
      <c r="U4508" s="1"/>
      <c r="V4508" s="1"/>
      <c r="W4508" s="1"/>
      <c r="X4508" s="1"/>
      <c r="Y4508" s="1"/>
      <c r="Z4508" s="1"/>
      <c r="AA4508" s="1"/>
      <c r="AB4508" s="1"/>
      <c r="AC4508" s="1"/>
      <c r="AD4508" s="1"/>
      <c r="AE4508" s="1"/>
      <c r="AF4508" s="1"/>
      <c r="AG4508" s="1"/>
      <c r="AH4508" s="1"/>
      <c r="AI4508" s="1"/>
      <c r="AJ4508" s="1"/>
      <c r="AK4508" s="1"/>
      <c r="AL4508" s="1"/>
      <c r="AM4508" s="1"/>
      <c r="AN4508" s="1"/>
      <c r="AO4508" s="1"/>
      <c r="AP4508" s="1"/>
      <c r="AQ4508" s="1"/>
      <c r="AR4508" s="1"/>
      <c r="AS4508" s="1"/>
      <c r="AT4508" s="1"/>
      <c r="AU4508" s="1"/>
      <c r="AV4508" s="1"/>
      <c r="AW4508" s="1"/>
      <c r="AX4508" s="1"/>
      <c r="AY4508" s="1"/>
      <c r="AZ4508" s="1"/>
      <c r="BA4508" s="1"/>
      <c r="BB4508" s="1"/>
    </row>
    <row r="4509" ht="204.75" customHeight="1">
      <c r="A4509" s="1">
        <v>5684.0</v>
      </c>
      <c r="B4509" s="2" t="s">
        <v>12901</v>
      </c>
      <c r="C4509" s="2">
        <f>IFERROR(__xludf.DUMMYFUNCTION("split(B4509,""_"")"),807.0)</f>
        <v>807</v>
      </c>
      <c r="D4509" s="2" t="str">
        <f>IFERROR(__xludf.DUMMYFUNCTION("""COMPUTED_VALUE"""),"NTV")</f>
        <v>NTV</v>
      </c>
      <c r="E4509" s="2" t="str">
        <f>IFERROR(__xludf.DUMMYFUNCTION("""COMPUTED_VALUE"""),"水22")</f>
        <v>水22</v>
      </c>
      <c r="F4509" s="2" t="s">
        <v>12902</v>
      </c>
      <c r="G4509" s="2" t="s">
        <v>12903</v>
      </c>
      <c r="H4509" s="1">
        <v>1.0</v>
      </c>
      <c r="J4509" s="1" t="s">
        <v>82</v>
      </c>
      <c r="K4509" s="2" t="s">
        <v>12904</v>
      </c>
      <c r="L4509" s="2"/>
      <c r="M4509" s="2" t="str">
        <f>IFERROR(__xludf.DUMMYFUNCTION("split(split(K4509,""【演出"",false),""ほか"",false)"),"志田未来　山田優　向井理　本郷奏多　滝沢沙織　徳井優　石井美絵子　西内まりや　入江甚儀　佐野史郎　田中好子「姉は悪魔だ!」中田容子は一見幸せそうに青春を謳歌する高校1年生。しかし容子には「やられたらやり返す、やられなくてもやり返す」をモットーとする恐ろしい姉・槇子がいた。槇子は政務省に勤め、そのオーラを放つ美貌から職場では高嶺の花であり、容子の同級生からは憧れの的なのだ。幼い頃からパシリや鬱憤晴らしの道具として扱われてきた容子は、今日も姉の指令に振り回され、危険な目に・・・。")</f>
        <v>志田未来　山田優　向井理　本郷奏多　滝沢沙織　徳井優　石井美絵子　西内まりや　入江甚儀　佐野史郎　田中好子「姉は悪魔だ!」中田容子は一見幸せそうに青春を謳歌する高校1年生。しかし容子には「やられたらやり返す、やられなくてもやり返す」をモットーとする恐ろしい姉・槇子がいた。槇子は政務省に勤め、そのオーラを放つ美貌から職場では高嶺の花であり、容子の同級生からは憧れの的なのだ。幼い頃からパシリや鬱憤晴らしの道具として扱われてきた容子は、今日も姉の指令に振り回され、危険な目に・・・。</v>
      </c>
      <c r="N4509" s="2"/>
      <c r="O4509" s="2"/>
      <c r="P4509" s="1"/>
      <c r="Q4509" s="1"/>
      <c r="R4509" s="1"/>
      <c r="S4509" s="1"/>
      <c r="T4509" s="1"/>
      <c r="U4509" s="1"/>
      <c r="V4509" s="1"/>
      <c r="W4509" s="1"/>
      <c r="X4509" s="1"/>
      <c r="Y4509" s="1"/>
      <c r="Z4509" s="1"/>
      <c r="AA4509" s="1"/>
      <c r="AB4509" s="1"/>
      <c r="AC4509" s="1"/>
      <c r="AD4509" s="1"/>
      <c r="AE4509" s="1"/>
      <c r="AF4509" s="1"/>
      <c r="AG4509" s="1"/>
      <c r="AH4509" s="1"/>
      <c r="AI4509" s="1"/>
      <c r="AJ4509" s="1"/>
      <c r="AK4509" s="1"/>
      <c r="AL4509" s="1"/>
      <c r="AM4509" s="1"/>
      <c r="AN4509" s="1"/>
      <c r="AO4509" s="1"/>
      <c r="AP4509" s="1"/>
      <c r="AQ4509" s="1"/>
      <c r="AR4509" s="1"/>
      <c r="AS4509" s="1"/>
      <c r="AT4509" s="1"/>
      <c r="AU4509" s="1"/>
      <c r="AV4509" s="1"/>
      <c r="AW4509" s="1"/>
      <c r="AX4509" s="1"/>
      <c r="AY4509" s="1"/>
      <c r="AZ4509" s="1"/>
      <c r="BA4509" s="1"/>
      <c r="BB4509" s="1"/>
    </row>
    <row r="4510" ht="204.75" customHeight="1">
      <c r="A4510" s="1">
        <v>5685.0</v>
      </c>
      <c r="B4510" s="2" t="s">
        <v>12901</v>
      </c>
      <c r="C4510" s="2">
        <f>IFERROR(__xludf.DUMMYFUNCTION("split(B4510,""_"")"),807.0)</f>
        <v>807</v>
      </c>
      <c r="D4510" s="2" t="str">
        <f>IFERROR(__xludf.DUMMYFUNCTION("""COMPUTED_VALUE"""),"NTV")</f>
        <v>NTV</v>
      </c>
      <c r="E4510" s="2" t="str">
        <f>IFERROR(__xludf.DUMMYFUNCTION("""COMPUTED_VALUE"""),"水22")</f>
        <v>水22</v>
      </c>
      <c r="F4510" s="2" t="s">
        <v>12902</v>
      </c>
      <c r="G4510" s="2" t="s">
        <v>12903</v>
      </c>
      <c r="H4510" s="1">
        <v>2.0</v>
      </c>
      <c r="J4510" s="1" t="s">
        <v>86</v>
      </c>
      <c r="K4510" s="2" t="s">
        <v>12905</v>
      </c>
      <c r="L4510" s="2"/>
      <c r="M4510" s="2" t="str">
        <f>IFERROR(__xludf.DUMMYFUNCTION("split(split(K4510,""【演出"",false),""ほか"",false)"),"志田未来　山田優　向井理　本郷奏多　滝沢沙織　徳井優　石井美絵子　西内まりや　入江甚儀　佐野史郎　田中好子「世界を回しているのは、自分の姉に違いない」妹・容子はそう思っていた。相手はエリート官僚の良川直紀。そして容子に新たな指令が!良川を徹底調査しろというのだ。良川を尾行し始めた容子は、周囲に怪しまれながらも、調査開始!同じ職場なんだから自分でしらべれば?と反論するも「あたしを誰だと思ってんの?中田槇子よ!」と一蹴。しかし、そんな容子もある事に気が付いてしまったのだ!!")</f>
        <v>志田未来　山田優　向井理　本郷奏多　滝沢沙織　徳井優　石井美絵子　西内まりや　入江甚儀　佐野史郎　田中好子「世界を回しているのは、自分の姉に違いない」妹・容子はそう思っていた。相手はエリート官僚の良川直紀。そして容子に新たな指令が!良川を徹底調査しろというのだ。良川を尾行し始めた容子は、周囲に怪しまれながらも、調査開始!同じ職場なんだから自分でしらべれば?と反論するも「あたしを誰だと思ってんの?中田槇子よ!」と一蹴。しかし、そんな容子もある事に気が付いてしまったのだ!!</v>
      </c>
      <c r="N4510" s="2"/>
      <c r="O4510" s="2"/>
      <c r="P4510" s="1"/>
      <c r="Q4510" s="1"/>
      <c r="R4510" s="1"/>
      <c r="S4510" s="1"/>
      <c r="T4510" s="1"/>
      <c r="U4510" s="1"/>
      <c r="V4510" s="1"/>
      <c r="W4510" s="1"/>
      <c r="X4510" s="1"/>
      <c r="Y4510" s="1"/>
      <c r="Z4510" s="1"/>
      <c r="AA4510" s="1"/>
      <c r="AB4510" s="1"/>
      <c r="AC4510" s="1"/>
      <c r="AD4510" s="1"/>
      <c r="AE4510" s="1"/>
      <c r="AF4510" s="1"/>
      <c r="AG4510" s="1"/>
      <c r="AH4510" s="1"/>
      <c r="AI4510" s="1"/>
      <c r="AJ4510" s="1"/>
      <c r="AK4510" s="1"/>
      <c r="AL4510" s="1"/>
      <c r="AM4510" s="1"/>
      <c r="AN4510" s="1"/>
      <c r="AO4510" s="1"/>
      <c r="AP4510" s="1"/>
      <c r="AQ4510" s="1"/>
      <c r="AR4510" s="1"/>
      <c r="AS4510" s="1"/>
      <c r="AT4510" s="1"/>
      <c r="AU4510" s="1"/>
      <c r="AV4510" s="1"/>
      <c r="AW4510" s="1"/>
      <c r="AX4510" s="1"/>
      <c r="AY4510" s="1"/>
      <c r="AZ4510" s="1"/>
      <c r="BA4510" s="1"/>
      <c r="BB4510" s="1"/>
    </row>
    <row r="4511" ht="204.75" customHeight="1">
      <c r="A4511" s="1">
        <v>5686.0</v>
      </c>
      <c r="B4511" s="2" t="s">
        <v>12901</v>
      </c>
      <c r="C4511" s="2">
        <f>IFERROR(__xludf.DUMMYFUNCTION("split(B4511,""_"")"),807.0)</f>
        <v>807</v>
      </c>
      <c r="D4511" s="2" t="str">
        <f>IFERROR(__xludf.DUMMYFUNCTION("""COMPUTED_VALUE"""),"NTV")</f>
        <v>NTV</v>
      </c>
      <c r="E4511" s="2" t="str">
        <f>IFERROR(__xludf.DUMMYFUNCTION("""COMPUTED_VALUE"""),"水22")</f>
        <v>水22</v>
      </c>
      <c r="F4511" s="2" t="s">
        <v>12902</v>
      </c>
      <c r="G4511" s="2" t="s">
        <v>12903</v>
      </c>
      <c r="H4511" s="1">
        <v>3.0</v>
      </c>
      <c r="J4511" s="1" t="s">
        <v>86</v>
      </c>
      <c r="K4511" s="2" t="s">
        <v>12906</v>
      </c>
      <c r="L4511" s="2"/>
      <c r="M4511" s="2" t="str">
        <f>IFERROR(__xludf.DUMMYFUNCTION("split(split(K4511,""【演出"",false),""ほか"",false)"),"志田未来　山田優　向井理　本郷奏多　滝沢沙織　徳井優　石井美絵子　西内まりや　入江甚儀　佐野史郎　田中好子容子の努力の甲斐あって、槇子と直紀の交際が順調に進む中、ちょっと変った趣味のある槇子は長州小力の大ファンに。ファンクラブ会員限定のDVDをゲットするように厳令された容子は500枚もの葉書を書くが外れてしまう。だが陸の父親がTV局に勤めており、マネージャーを紹介してもらう事に。やっと手配してもらったDVDを槇子の勤務先に送ってしまったとわかり、職場でバレないように郵便を食い止める様にとの指令が・・・")</f>
        <v>志田未来　山田優　向井理　本郷奏多　滝沢沙織　徳井優　石井美絵子　西内まりや　入江甚儀　佐野史郎　田中好子容子の努力の甲斐あって、槇子と直紀の交際が順調に進む中、ちょっと変った趣味のある槇子は長州小力の大ファンに。ファンクラブ会員限定のDVDをゲットするように厳令された容子は500枚もの葉書を書くが外れてしまう。だが陸の父親がTV局に勤めており、マネージャーを紹介してもらう事に。やっと手配してもらったDVDを槇子の勤務先に送ってしまったとわかり、職場でバレないように郵便を食い止める様にとの指令が・・・</v>
      </c>
      <c r="N4511" s="2"/>
      <c r="O4511" s="2"/>
      <c r="P4511" s="1"/>
      <c r="Q4511" s="1"/>
      <c r="R4511" s="1"/>
      <c r="S4511" s="1"/>
      <c r="T4511" s="1"/>
      <c r="U4511" s="1"/>
      <c r="V4511" s="1"/>
      <c r="W4511" s="1"/>
      <c r="X4511" s="1"/>
      <c r="Y4511" s="1"/>
      <c r="Z4511" s="1"/>
      <c r="AA4511" s="1"/>
      <c r="AB4511" s="1"/>
      <c r="AC4511" s="1"/>
      <c r="AD4511" s="1"/>
      <c r="AE4511" s="1"/>
      <c r="AF4511" s="1"/>
      <c r="AG4511" s="1"/>
      <c r="AH4511" s="1"/>
      <c r="AI4511" s="1"/>
      <c r="AJ4511" s="1"/>
      <c r="AK4511" s="1"/>
      <c r="AL4511" s="1"/>
      <c r="AM4511" s="1"/>
      <c r="AN4511" s="1"/>
      <c r="AO4511" s="1"/>
      <c r="AP4511" s="1"/>
      <c r="AQ4511" s="1"/>
      <c r="AR4511" s="1"/>
      <c r="AS4511" s="1"/>
      <c r="AT4511" s="1"/>
      <c r="AU4511" s="1"/>
      <c r="AV4511" s="1"/>
      <c r="AW4511" s="1"/>
      <c r="AX4511" s="1"/>
      <c r="AY4511" s="1"/>
      <c r="AZ4511" s="1"/>
      <c r="BA4511" s="1"/>
      <c r="BB4511" s="1"/>
    </row>
    <row r="4512" ht="204.75" customHeight="1">
      <c r="A4512" s="1">
        <v>5687.0</v>
      </c>
      <c r="B4512" s="2" t="s">
        <v>12901</v>
      </c>
      <c r="C4512" s="2">
        <f>IFERROR(__xludf.DUMMYFUNCTION("split(B4512,""_"")"),807.0)</f>
        <v>807</v>
      </c>
      <c r="D4512" s="2" t="str">
        <f>IFERROR(__xludf.DUMMYFUNCTION("""COMPUTED_VALUE"""),"NTV")</f>
        <v>NTV</v>
      </c>
      <c r="E4512" s="2" t="str">
        <f>IFERROR(__xludf.DUMMYFUNCTION("""COMPUTED_VALUE"""),"水22")</f>
        <v>水22</v>
      </c>
      <c r="F4512" s="2" t="s">
        <v>12902</v>
      </c>
      <c r="G4512" s="2" t="s">
        <v>12903</v>
      </c>
      <c r="H4512" s="1">
        <v>4.0</v>
      </c>
      <c r="J4512" s="1" t="s">
        <v>86</v>
      </c>
      <c r="K4512" s="2" t="s">
        <v>12907</v>
      </c>
      <c r="L4512" s="2"/>
      <c r="M4512" s="2" t="str">
        <f>IFERROR(__xludf.DUMMYFUNCTION("split(split(K4512,""【演出"",false),""ほか"",false)"),"志田未来　山田優　向井理　本郷奏多　滝沢沙織　徳井優　石井美絵子　西内まりや　入江甚儀　佐野史郎　田中好子五郎が若い女性と会っている所を目撃してしまった容子。一方、槇子の職場では良川が海外転勤と噂が流れる。海外赴任をきっかけに結婚する男が多いと知った槇子はプロポーズされる為のレストラン探しを容子に命じる。家庭崩壊を心配する容子は槇子に相談するが、逆にプロポーズしたくなる弁当作りまで命じられる。さらに容子は五郎の会社を訪ねると一週間の有給を取っていた事を知る。")</f>
        <v>志田未来　山田優　向井理　本郷奏多　滝沢沙織　徳井優　石井美絵子　西内まりや　入江甚儀　佐野史郎　田中好子五郎が若い女性と会っている所を目撃してしまった容子。一方、槇子の職場では良川が海外転勤と噂が流れる。海外赴任をきっかけに結婚する男が多いと知った槇子はプロポーズされる為のレストラン探しを容子に命じる。家庭崩壊を心配する容子は槇子に相談するが、逆にプロポーズしたくなる弁当作りまで命じられる。さらに容子は五郎の会社を訪ねると一週間の有給を取っていた事を知る。</v>
      </c>
      <c r="N4512" s="2"/>
      <c r="O4512" s="2"/>
      <c r="P4512" s="1"/>
      <c r="Q4512" s="1"/>
      <c r="R4512" s="1"/>
      <c r="S4512" s="1"/>
      <c r="T4512" s="1"/>
      <c r="U4512" s="1"/>
      <c r="V4512" s="1"/>
      <c r="W4512" s="1"/>
      <c r="X4512" s="1"/>
      <c r="Y4512" s="1"/>
      <c r="Z4512" s="1"/>
      <c r="AA4512" s="1"/>
      <c r="AB4512" s="1"/>
      <c r="AC4512" s="1"/>
      <c r="AD4512" s="1"/>
      <c r="AE4512" s="1"/>
      <c r="AF4512" s="1"/>
      <c r="AG4512" s="1"/>
      <c r="AH4512" s="1"/>
      <c r="AI4512" s="1"/>
      <c r="AJ4512" s="1"/>
      <c r="AK4512" s="1"/>
      <c r="AL4512" s="1"/>
      <c r="AM4512" s="1"/>
      <c r="AN4512" s="1"/>
      <c r="AO4512" s="1"/>
      <c r="AP4512" s="1"/>
      <c r="AQ4512" s="1"/>
      <c r="AR4512" s="1"/>
      <c r="AS4512" s="1"/>
      <c r="AT4512" s="1"/>
      <c r="AU4512" s="1"/>
      <c r="AV4512" s="1"/>
      <c r="AW4512" s="1"/>
      <c r="AX4512" s="1"/>
      <c r="AY4512" s="1"/>
      <c r="AZ4512" s="1"/>
      <c r="BA4512" s="1"/>
      <c r="BB4512" s="1"/>
    </row>
    <row r="4513" ht="204.75" customHeight="1">
      <c r="A4513" s="1">
        <v>5688.0</v>
      </c>
      <c r="B4513" s="2" t="s">
        <v>12901</v>
      </c>
      <c r="C4513" s="2">
        <f>IFERROR(__xludf.DUMMYFUNCTION("split(B4513,""_"")"),807.0)</f>
        <v>807</v>
      </c>
      <c r="D4513" s="2" t="str">
        <f>IFERROR(__xludf.DUMMYFUNCTION("""COMPUTED_VALUE"""),"NTV")</f>
        <v>NTV</v>
      </c>
      <c r="E4513" s="2" t="str">
        <f>IFERROR(__xludf.DUMMYFUNCTION("""COMPUTED_VALUE"""),"水22")</f>
        <v>水22</v>
      </c>
      <c r="F4513" s="2" t="s">
        <v>12902</v>
      </c>
      <c r="G4513" s="2" t="s">
        <v>12903</v>
      </c>
      <c r="H4513" s="1">
        <v>5.0</v>
      </c>
      <c r="J4513" s="1" t="s">
        <v>86</v>
      </c>
      <c r="K4513" s="2" t="s">
        <v>12908</v>
      </c>
      <c r="L4513" s="2"/>
      <c r="M4513" s="2" t="str">
        <f>IFERROR(__xludf.DUMMYFUNCTION("split(split(K4513,""【演出"",false),""ほか"",false)"),"志田未来　山田優　向井理　本郷奏多　滝沢沙織　徳井優　石井美絵子　西内まりや　入江甚儀　佐野史郎　田中好子槇子と直紀の結婚が決まり、直紀の両親が中田家を訪れるなど、順調に結婚準備が進んでいると思われたが、デートから帰ってきた槇子は突然結婚をやめると言い出した。容子は槇子の本性がバレたのではないかと心配していると、偶然直紀と図書館で出会う。直紀は破談の原因は自分にあり槇子は悪くないと言う。容子は理解出来ず、槇子に原因が無いなら、自分に原因があるのではーと悩む事に・・・。")</f>
        <v>志田未来　山田優　向井理　本郷奏多　滝沢沙織　徳井優　石井美絵子　西内まりや　入江甚儀　佐野史郎　田中好子槇子と直紀の結婚が決まり、直紀の両親が中田家を訪れるなど、順調に結婚準備が進んでいると思われたが、デートから帰ってきた槇子は突然結婚をやめると言い出した。容子は槇子の本性がバレたのではないかと心配していると、偶然直紀と図書館で出会う。直紀は破談の原因は自分にあり槇子は悪くないと言う。容子は理解出来ず、槇子に原因が無いなら、自分に原因があるのではーと悩む事に・・・。</v>
      </c>
      <c r="N4513" s="2"/>
      <c r="O4513" s="2"/>
      <c r="P4513" s="1"/>
      <c r="Q4513" s="1"/>
      <c r="R4513" s="1"/>
      <c r="S4513" s="1"/>
      <c r="T4513" s="1"/>
      <c r="U4513" s="1"/>
      <c r="V4513" s="1"/>
      <c r="W4513" s="1"/>
      <c r="X4513" s="1"/>
      <c r="Y4513" s="1"/>
      <c r="Z4513" s="1"/>
      <c r="AA4513" s="1"/>
      <c r="AB4513" s="1"/>
      <c r="AC4513" s="1"/>
      <c r="AD4513" s="1"/>
      <c r="AE4513" s="1"/>
      <c r="AF4513" s="1"/>
      <c r="AG4513" s="1"/>
      <c r="AH4513" s="1"/>
      <c r="AI4513" s="1"/>
      <c r="AJ4513" s="1"/>
      <c r="AK4513" s="1"/>
      <c r="AL4513" s="1"/>
      <c r="AM4513" s="1"/>
      <c r="AN4513" s="1"/>
      <c r="AO4513" s="1"/>
      <c r="AP4513" s="1"/>
      <c r="AQ4513" s="1"/>
      <c r="AR4513" s="1"/>
      <c r="AS4513" s="1"/>
      <c r="AT4513" s="1"/>
      <c r="AU4513" s="1"/>
      <c r="AV4513" s="1"/>
      <c r="AW4513" s="1"/>
      <c r="AX4513" s="1"/>
      <c r="AY4513" s="1"/>
      <c r="AZ4513" s="1"/>
      <c r="BA4513" s="1"/>
      <c r="BB4513" s="1"/>
    </row>
    <row r="4514" ht="204.75" customHeight="1">
      <c r="A4514" s="1">
        <v>5689.0</v>
      </c>
      <c r="B4514" s="2" t="s">
        <v>12901</v>
      </c>
      <c r="C4514" s="2">
        <f>IFERROR(__xludf.DUMMYFUNCTION("split(B4514,""_"")"),807.0)</f>
        <v>807</v>
      </c>
      <c r="D4514" s="2" t="str">
        <f>IFERROR(__xludf.DUMMYFUNCTION("""COMPUTED_VALUE"""),"NTV")</f>
        <v>NTV</v>
      </c>
      <c r="E4514" s="2" t="str">
        <f>IFERROR(__xludf.DUMMYFUNCTION("""COMPUTED_VALUE"""),"水22")</f>
        <v>水22</v>
      </c>
      <c r="F4514" s="2" t="s">
        <v>12902</v>
      </c>
      <c r="G4514" s="2" t="s">
        <v>12903</v>
      </c>
      <c r="H4514" s="1">
        <v>6.0</v>
      </c>
      <c r="J4514" s="1" t="s">
        <v>86</v>
      </c>
      <c r="K4514" s="2" t="s">
        <v>12909</v>
      </c>
      <c r="L4514" s="2"/>
      <c r="M4514" s="2" t="str">
        <f>IFERROR(__xludf.DUMMYFUNCTION("split(split(K4514,""【演出"",false),""ほか"",false)"),"志田未来　山田優　向井理　本郷奏多　滝沢沙織　徳井優　石井美絵子　西内まりや　入江甚儀　佐野史郎　田中好子直紀と一緒にドンボへ行かず、実家に残った槇子は良川家から昼食に呼ばれた。槇子の命令で容子も一緒に行く羽目になるが、嫁と姑の応酬の気が気でない。まもなく、直紀が国際会議に出席する為、急遽一時帰国する事に。容子はやっと自由になれると思ったところに、槇子から電話で直紀の好きなチキンカレーを作っておくようにとの指令から、大変なことに・・・。")</f>
        <v>志田未来　山田優　向井理　本郷奏多　滝沢沙織　徳井優　石井美絵子　西内まりや　入江甚儀　佐野史郎　田中好子直紀と一緒にドンボへ行かず、実家に残った槇子は良川家から昼食に呼ばれた。槇子の命令で容子も一緒に行く羽目になるが、嫁と姑の応酬の気が気でない。まもなく、直紀が国際会議に出席する為、急遽一時帰国する事に。容子はやっと自由になれると思ったところに、槇子から電話で直紀の好きなチキンカレーを作っておくようにとの指令から、大変なことに・・・。</v>
      </c>
      <c r="N4514" s="2"/>
      <c r="O4514" s="2"/>
      <c r="P4514" s="1"/>
      <c r="Q4514" s="1"/>
      <c r="R4514" s="1"/>
      <c r="S4514" s="1"/>
      <c r="T4514" s="1"/>
      <c r="U4514" s="1"/>
      <c r="V4514" s="1"/>
      <c r="W4514" s="1"/>
      <c r="X4514" s="1"/>
      <c r="Y4514" s="1"/>
      <c r="Z4514" s="1"/>
      <c r="AA4514" s="1"/>
      <c r="AB4514" s="1"/>
      <c r="AC4514" s="1"/>
      <c r="AD4514" s="1"/>
      <c r="AE4514" s="1"/>
      <c r="AF4514" s="1"/>
      <c r="AG4514" s="1"/>
      <c r="AH4514" s="1"/>
      <c r="AI4514" s="1"/>
      <c r="AJ4514" s="1"/>
      <c r="AK4514" s="1"/>
      <c r="AL4514" s="1"/>
      <c r="AM4514" s="1"/>
      <c r="AN4514" s="1"/>
      <c r="AO4514" s="1"/>
      <c r="AP4514" s="1"/>
      <c r="AQ4514" s="1"/>
      <c r="AR4514" s="1"/>
      <c r="AS4514" s="1"/>
      <c r="AT4514" s="1"/>
      <c r="AU4514" s="1"/>
      <c r="AV4514" s="1"/>
      <c r="AW4514" s="1"/>
      <c r="AX4514" s="1"/>
      <c r="AY4514" s="1"/>
      <c r="AZ4514" s="1"/>
      <c r="BA4514" s="1"/>
      <c r="BB4514" s="1"/>
    </row>
    <row r="4515" ht="204.75" customHeight="1">
      <c r="A4515" s="1">
        <v>5690.0</v>
      </c>
      <c r="B4515" s="2" t="s">
        <v>12901</v>
      </c>
      <c r="C4515" s="2">
        <f>IFERROR(__xludf.DUMMYFUNCTION("split(B4515,""_"")"),807.0)</f>
        <v>807</v>
      </c>
      <c r="D4515" s="2" t="str">
        <f>IFERROR(__xludf.DUMMYFUNCTION("""COMPUTED_VALUE"""),"NTV")</f>
        <v>NTV</v>
      </c>
      <c r="E4515" s="2" t="str">
        <f>IFERROR(__xludf.DUMMYFUNCTION("""COMPUTED_VALUE"""),"水22")</f>
        <v>水22</v>
      </c>
      <c r="F4515" s="2" t="s">
        <v>12902</v>
      </c>
      <c r="G4515" s="2" t="s">
        <v>12903</v>
      </c>
      <c r="H4515" s="1">
        <v>7.0</v>
      </c>
      <c r="J4515" s="1" t="s">
        <v>86</v>
      </c>
      <c r="K4515" s="2" t="s">
        <v>12910</v>
      </c>
      <c r="L4515" s="2"/>
      <c r="M4515" s="2" t="str">
        <f>IFERROR(__xludf.DUMMYFUNCTION("split(split(K4515,""【演出"",false),""ほか"",false)"),"志田未来　山田優　向井理　本郷奏多　滝沢沙織　徳井優　石井美絵子　西内まりや　入江甚儀　佐野史郎　田中好子槇子が結婚し、容子は自由になれたのも束の間、食料品の買い出しなどを命じられる、姑の里美は留守中のマンションに合鍵を使って入ると、溜まったゴミ、中身が入っていない冷蔵庫や店屋物の食器などに愕然とする。里美が居ない間にやって来た容子が食料品を仕舞い、部屋を片付けたお陰で、帰宅した槇子は待っていた里美と克夫の前で命拾いする。槇子は里美に良川家の嫁として仕込むと宣言されて、イライラを募らせる・・・。")</f>
        <v>志田未来　山田優　向井理　本郷奏多　滝沢沙織　徳井優　石井美絵子　西内まりや　入江甚儀　佐野史郎　田中好子槇子が結婚し、容子は自由になれたのも束の間、食料品の買い出しなどを命じられる、姑の里美は留守中のマンションに合鍵を使って入ると、溜まったゴミ、中身が入っていない冷蔵庫や店屋物の食器などに愕然とする。里美が居ない間にやって来た容子が食料品を仕舞い、部屋を片付けたお陰で、帰宅した槇子は待っていた里美と克夫の前で命拾いする。槇子は里美に良川家の嫁として仕込むと宣言されて、イライラを募らせる・・・。</v>
      </c>
      <c r="N4515" s="2"/>
      <c r="O4515" s="2"/>
      <c r="P4515" s="1"/>
      <c r="Q4515" s="1"/>
      <c r="R4515" s="1"/>
      <c r="S4515" s="1"/>
      <c r="T4515" s="1"/>
      <c r="U4515" s="1"/>
      <c r="V4515" s="1"/>
      <c r="W4515" s="1"/>
      <c r="X4515" s="1"/>
      <c r="Y4515" s="1"/>
      <c r="Z4515" s="1"/>
      <c r="AA4515" s="1"/>
      <c r="AB4515" s="1"/>
      <c r="AC4515" s="1"/>
      <c r="AD4515" s="1"/>
      <c r="AE4515" s="1"/>
      <c r="AF4515" s="1"/>
      <c r="AG4515" s="1"/>
      <c r="AH4515" s="1"/>
      <c r="AI4515" s="1"/>
      <c r="AJ4515" s="1"/>
      <c r="AK4515" s="1"/>
      <c r="AL4515" s="1"/>
      <c r="AM4515" s="1"/>
      <c r="AN4515" s="1"/>
      <c r="AO4515" s="1"/>
      <c r="AP4515" s="1"/>
      <c r="AQ4515" s="1"/>
      <c r="AR4515" s="1"/>
      <c r="AS4515" s="1"/>
      <c r="AT4515" s="1"/>
      <c r="AU4515" s="1"/>
      <c r="AV4515" s="1"/>
      <c r="AW4515" s="1"/>
      <c r="AX4515" s="1"/>
      <c r="AY4515" s="1"/>
      <c r="AZ4515" s="1"/>
      <c r="BA4515" s="1"/>
      <c r="BB4515" s="1"/>
    </row>
    <row r="4516" ht="204.75" customHeight="1">
      <c r="A4516" s="1">
        <v>5691.0</v>
      </c>
      <c r="B4516" s="2" t="s">
        <v>12901</v>
      </c>
      <c r="C4516" s="2">
        <f>IFERROR(__xludf.DUMMYFUNCTION("split(B4516,""_"")"),807.0)</f>
        <v>807</v>
      </c>
      <c r="D4516" s="2" t="str">
        <f>IFERROR(__xludf.DUMMYFUNCTION("""COMPUTED_VALUE"""),"NTV")</f>
        <v>NTV</v>
      </c>
      <c r="E4516" s="2" t="str">
        <f>IFERROR(__xludf.DUMMYFUNCTION("""COMPUTED_VALUE"""),"水22")</f>
        <v>水22</v>
      </c>
      <c r="F4516" s="2" t="s">
        <v>12902</v>
      </c>
      <c r="G4516" s="2" t="s">
        <v>12903</v>
      </c>
      <c r="H4516" s="1">
        <v>8.0</v>
      </c>
      <c r="J4516" s="1" t="s">
        <v>86</v>
      </c>
      <c r="K4516" s="2" t="s">
        <v>12911</v>
      </c>
      <c r="L4516" s="2"/>
      <c r="M4516" s="2" t="str">
        <f>IFERROR(__xludf.DUMMYFUNCTION("split(split(K4516,""【演出"",false),""ほか"",false)"),"志田未来　山田優　向井理　本郷奏多　滝沢沙織　徳井優　石井美絵子　西内まりや　入江甚儀　佐野史郎　田中好子槇子は里美に呼び出され、良川家の法事の準備を言い付けられる。槇子はいつもの様に容子に全てをやっておくように命令。更に親戚のリサーチまで命じる。また良川家・中田家の両親と二世帯住宅の話も両家の思い違いであることが発覚!容子はここでも両家の間に挟まれてしまう。そしていよいよ法事当日、気難しい叔母の美恵子も現れるなか、槇子は容子のアシストもあり滞りなく嫁としての務めを果たそうとするのだが・・・。")</f>
        <v>志田未来　山田優　向井理　本郷奏多　滝沢沙織　徳井優　石井美絵子　西内まりや　入江甚儀　佐野史郎　田中好子槇子は里美に呼び出され、良川家の法事の準備を言い付けられる。槇子はいつもの様に容子に全てをやっておくように命令。更に親戚のリサーチまで命じる。また良川家・中田家の両親と二世帯住宅の話も両家の思い違いであることが発覚!容子はここでも両家の間に挟まれてしまう。そしていよいよ法事当日、気難しい叔母の美恵子も現れるなか、槇子は容子のアシストもあり滞りなく嫁としての務めを果たそうとするのだが・・・。</v>
      </c>
      <c r="N4516" s="2"/>
      <c r="O4516" s="2"/>
      <c r="P4516" s="1"/>
      <c r="Q4516" s="1"/>
      <c r="R4516" s="1"/>
      <c r="S4516" s="1"/>
      <c r="T4516" s="1"/>
      <c r="U4516" s="1"/>
      <c r="V4516" s="1"/>
      <c r="W4516" s="1"/>
      <c r="X4516" s="1"/>
      <c r="Y4516" s="1"/>
      <c r="Z4516" s="1"/>
      <c r="AA4516" s="1"/>
      <c r="AB4516" s="1"/>
      <c r="AC4516" s="1"/>
      <c r="AD4516" s="1"/>
      <c r="AE4516" s="1"/>
      <c r="AF4516" s="1"/>
      <c r="AG4516" s="1"/>
      <c r="AH4516" s="1"/>
      <c r="AI4516" s="1"/>
      <c r="AJ4516" s="1"/>
      <c r="AK4516" s="1"/>
      <c r="AL4516" s="1"/>
      <c r="AM4516" s="1"/>
      <c r="AN4516" s="1"/>
      <c r="AO4516" s="1"/>
      <c r="AP4516" s="1"/>
      <c r="AQ4516" s="1"/>
      <c r="AR4516" s="1"/>
      <c r="AS4516" s="1"/>
      <c r="AT4516" s="1"/>
      <c r="AU4516" s="1"/>
      <c r="AV4516" s="1"/>
      <c r="AW4516" s="1"/>
      <c r="AX4516" s="1"/>
      <c r="AY4516" s="1"/>
      <c r="AZ4516" s="1"/>
      <c r="BA4516" s="1"/>
      <c r="BB4516" s="1"/>
    </row>
    <row r="4517" ht="204.75" customHeight="1">
      <c r="A4517" s="1">
        <v>5692.0</v>
      </c>
      <c r="B4517" s="2" t="s">
        <v>12901</v>
      </c>
      <c r="C4517" s="2">
        <f>IFERROR(__xludf.DUMMYFUNCTION("split(B4517,""_"")"),807.0)</f>
        <v>807</v>
      </c>
      <c r="D4517" s="2" t="str">
        <f>IFERROR(__xludf.DUMMYFUNCTION("""COMPUTED_VALUE"""),"NTV")</f>
        <v>NTV</v>
      </c>
      <c r="E4517" s="2" t="str">
        <f>IFERROR(__xludf.DUMMYFUNCTION("""COMPUTED_VALUE"""),"水22")</f>
        <v>水22</v>
      </c>
      <c r="F4517" s="2" t="s">
        <v>12902</v>
      </c>
      <c r="G4517" s="2" t="s">
        <v>12903</v>
      </c>
      <c r="H4517" s="1">
        <v>9.0</v>
      </c>
      <c r="J4517" s="1" t="s">
        <v>86</v>
      </c>
      <c r="K4517" s="2" t="s">
        <v>12912</v>
      </c>
      <c r="L4517" s="2"/>
      <c r="M4517" s="2" t="str">
        <f>IFERROR(__xludf.DUMMYFUNCTION("split(split(K4517,""【演出"",false),""ほか"",false)"),"志田未来　山田優　向井理　本郷奏多　滝沢沙織　徳井優　石井美絵子　西内まりや　入江甚儀　佐野史郎　田中好子結婚25周年記念に五郎が春子に温泉旅行をプレゼント。容子も一緒に3人で行く事に。パリへ新婚旅行に行く予定だった槇子は、直紀の仕事の都合でキャンセルになり、槇子も五郎達と一緒に温泉に行く事にする。直紀も当日都合をつけて合流。容子はここでも二人がゴルフに行く時にはキャディーをさせられる。夜は楽しみにしていたスッポン料理だったが、直紀の上司に遭遇し食事をする事に。槇子はスッポンを食べそこね大激怒し・・・")</f>
        <v>志田未来　山田優　向井理　本郷奏多　滝沢沙織　徳井優　石井美絵子　西内まりや　入江甚儀　佐野史郎　田中好子結婚25周年記念に五郎が春子に温泉旅行をプレゼント。容子も一緒に3人で行く事に。パリへ新婚旅行に行く予定だった槇子は、直紀の仕事の都合でキャンセルになり、槇子も五郎達と一緒に温泉に行く事にする。直紀も当日都合をつけて合流。容子はここでも二人がゴルフに行く時にはキャディーをさせられる。夜は楽しみにしていたスッポン料理だったが、直紀の上司に遭遇し食事をする事に。槇子はスッポンを食べそこね大激怒し・・・</v>
      </c>
      <c r="N4517" s="2"/>
      <c r="O4517" s="2"/>
      <c r="P4517" s="1"/>
      <c r="Q4517" s="1"/>
      <c r="R4517" s="1"/>
      <c r="S4517" s="1"/>
      <c r="T4517" s="1"/>
      <c r="U4517" s="1"/>
      <c r="V4517" s="1"/>
      <c r="W4517" s="1"/>
      <c r="X4517" s="1"/>
      <c r="Y4517" s="1"/>
      <c r="Z4517" s="1"/>
      <c r="AA4517" s="1"/>
      <c r="AB4517" s="1"/>
      <c r="AC4517" s="1"/>
      <c r="AD4517" s="1"/>
      <c r="AE4517" s="1"/>
      <c r="AF4517" s="1"/>
      <c r="AG4517" s="1"/>
      <c r="AH4517" s="1"/>
      <c r="AI4517" s="1"/>
      <c r="AJ4517" s="1"/>
      <c r="AK4517" s="1"/>
      <c r="AL4517" s="1"/>
      <c r="AM4517" s="1"/>
      <c r="AN4517" s="1"/>
      <c r="AO4517" s="1"/>
      <c r="AP4517" s="1"/>
      <c r="AQ4517" s="1"/>
      <c r="AR4517" s="1"/>
      <c r="AS4517" s="1"/>
      <c r="AT4517" s="1"/>
      <c r="AU4517" s="1"/>
      <c r="AV4517" s="1"/>
      <c r="AW4517" s="1"/>
      <c r="AX4517" s="1"/>
      <c r="AY4517" s="1"/>
      <c r="AZ4517" s="1"/>
      <c r="BA4517" s="1"/>
      <c r="BB4517" s="1"/>
    </row>
    <row r="4518" ht="204.75" customHeight="1">
      <c r="A4518" s="1">
        <v>5693.0</v>
      </c>
      <c r="B4518" s="2" t="s">
        <v>12901</v>
      </c>
      <c r="C4518" s="2">
        <f>IFERROR(__xludf.DUMMYFUNCTION("split(B4518,""_"")"),807.0)</f>
        <v>807</v>
      </c>
      <c r="D4518" s="2" t="str">
        <f>IFERROR(__xludf.DUMMYFUNCTION("""COMPUTED_VALUE"""),"NTV")</f>
        <v>NTV</v>
      </c>
      <c r="E4518" s="2" t="str">
        <f>IFERROR(__xludf.DUMMYFUNCTION("""COMPUTED_VALUE"""),"水22")</f>
        <v>水22</v>
      </c>
      <c r="F4518" s="2" t="s">
        <v>12902</v>
      </c>
      <c r="G4518" s="2" t="s">
        <v>12903</v>
      </c>
      <c r="H4518" s="1">
        <v>10.0</v>
      </c>
      <c r="J4518" s="1" t="s">
        <v>86</v>
      </c>
      <c r="K4518" s="2" t="s">
        <v>12913</v>
      </c>
      <c r="L4518" s="2"/>
      <c r="M4518" s="2" t="str">
        <f>IFERROR(__xludf.DUMMYFUNCTION("split(split(K4518,""【演出"",false),""ほか"",false)"),"志田未来　山田優　向井理　本郷奏多　滝沢沙織　徳井優　石井美絵子　西内まりや　入江甚儀　佐野史郎　田中好子槇子が実家に戻ってきてしまい、直紀は冷却期間が必要だと、二人の溝は深まるばかり。そして容子は引っ越してしまう陸になかなか思いを伝えられないままでいた。仕事を休んでいる槇子に着替えを取って来るように命じられた容子はマンションで直紀に会ってしまう。直紀は体調が悪い為、仕事を休んでいると思い槇子を心配している様子。しかし中田家と良川家が別居をめぐり更に険悪に。容子は2人の仲を修復しようと作戦を練る。")</f>
        <v>志田未来　山田優　向井理　本郷奏多　滝沢沙織　徳井優　石井美絵子　西内まりや　入江甚儀　佐野史郎　田中好子槇子が実家に戻ってきてしまい、直紀は冷却期間が必要だと、二人の溝は深まるばかり。そして容子は引っ越してしまう陸になかなか思いを伝えられないままでいた。仕事を休んでいる槇子に着替えを取って来るように命じられた容子はマンションで直紀に会ってしまう。直紀は体調が悪い為、仕事を休んでいると思い槇子を心配している様子。しかし中田家と良川家が別居をめぐり更に険悪に。容子は2人の仲を修復しようと作戦を練る。</v>
      </c>
      <c r="N4518" s="2"/>
      <c r="O4518" s="2"/>
      <c r="P4518" s="1"/>
      <c r="Q4518" s="1"/>
      <c r="R4518" s="1"/>
      <c r="S4518" s="1"/>
      <c r="T4518" s="1"/>
      <c r="U4518" s="1"/>
      <c r="V4518" s="1"/>
      <c r="W4518" s="1"/>
      <c r="X4518" s="1"/>
      <c r="Y4518" s="1"/>
      <c r="Z4518" s="1"/>
      <c r="AA4518" s="1"/>
      <c r="AB4518" s="1"/>
      <c r="AC4518" s="1"/>
      <c r="AD4518" s="1"/>
      <c r="AE4518" s="1"/>
      <c r="AF4518" s="1"/>
      <c r="AG4518" s="1"/>
      <c r="AH4518" s="1"/>
      <c r="AI4518" s="1"/>
      <c r="AJ4518" s="1"/>
      <c r="AK4518" s="1"/>
      <c r="AL4518" s="1"/>
      <c r="AM4518" s="1"/>
      <c r="AN4518" s="1"/>
      <c r="AO4518" s="1"/>
      <c r="AP4518" s="1"/>
      <c r="AQ4518" s="1"/>
      <c r="AR4518" s="1"/>
      <c r="AS4518" s="1"/>
      <c r="AT4518" s="1"/>
      <c r="AU4518" s="1"/>
      <c r="AV4518" s="1"/>
      <c r="AW4518" s="1"/>
      <c r="AX4518" s="1"/>
      <c r="AY4518" s="1"/>
      <c r="AZ4518" s="1"/>
      <c r="BA4518" s="1"/>
      <c r="BB4518" s="1"/>
    </row>
    <row r="4519" ht="204.75" customHeight="1">
      <c r="A4519" s="1">
        <v>5727.0</v>
      </c>
      <c r="B4519" s="2" t="s">
        <v>12914</v>
      </c>
      <c r="C4519" s="2">
        <f>IFERROR(__xludf.DUMMYFUNCTION("split(B4519,""_"")"),807.0)</f>
        <v>807</v>
      </c>
      <c r="D4519" s="2" t="str">
        <f>IFERROR(__xludf.DUMMYFUNCTION("""COMPUTED_VALUE"""),"NTV")</f>
        <v>NTV</v>
      </c>
      <c r="E4519" s="2" t="str">
        <f>IFERROR(__xludf.DUMMYFUNCTION("""COMPUTED_VALUE"""),"土21")</f>
        <v>土21</v>
      </c>
      <c r="F4519" s="2" t="s">
        <v>12915</v>
      </c>
      <c r="G4519" s="2" t="s">
        <v>12916</v>
      </c>
      <c r="H4519" s="1">
        <v>1.0</v>
      </c>
      <c r="J4519" s="1" t="s">
        <v>4</v>
      </c>
      <c r="K4519" s="2" t="s">
        <v>12917</v>
      </c>
      <c r="L4519" s="2"/>
      <c r="M4519" s="2" t="str">
        <f>IFERROR(__xludf.DUMMYFUNCTION("split(split(K4519,""【演出"",false),""ほか"",false)"),"松岡昌宏、広末涼子、多部未華子、大倉忠義(関ジャニ∞)  山口紗弥加、内山信二、渡部豪太、東亜優、小嶋陽菜、RIKIYA、HIRO(安田大サーカス)、嶋大輔、櫻井淳子　")</f>
        <v>松岡昌宏、広末涼子、多部未華子、大倉忠義(関ジャニ∞)  山口紗弥加、内山信二、渡部豪太、東亜優、小嶋陽菜、RIKIYA、HIRO(安田大サーカス)、嶋大輔、櫻井淳子　</v>
      </c>
      <c r="N4519" s="2" t="str">
        <f>IFERROR(__xludf.DUMMYFUNCTION("""COMPUTED_VALUE"""),"高校に通う沖ヤスコ(多部未華子)の最大の悩みは12歳年上の兄・ケンジ(松岡昌宏)の事。10年前に両親は他界しケンジとヤスコは、兄妹二人暮らし。親代わりのケンジはヤスコに関する事すべてに口やかましく干渉する。ある日ヤスコは登校中に偶然ぶつかった超イケメンの椿純(大倉忠義)に一目ぼれ。純の姉のエリカ(広末涼子)にお茶とケーキをご馳走になり、純からひまわりの花をプレゼントされたヤスコは、舞い上がるが・・大谷太郎原作:「ヤスコとケンジ」アルコ(集英社「別冊マーガレット」)  脚本:山浦雅大大島ミチル")</f>
        <v>高校に通う沖ヤスコ(多部未華子)の最大の悩みは12歳年上の兄・ケンジ(松岡昌宏)の事。10年前に両親は他界しケンジとヤスコは、兄妹二人暮らし。親代わりのケンジはヤスコに関する事すべてに口やかましく干渉する。ある日ヤスコは登校中に偶然ぶつかった超イケメンの椿純(大倉忠義)に一目ぼれ。純の姉のエリカ(広末涼子)にお茶とケーキをご馳走になり、純からひまわりの花をプレゼントされたヤスコは、舞い上がるが・・大谷太郎原作:「ヤスコとケンジ」アルコ(集英社「別冊マーガレット」)  脚本:山浦雅大大島ミチル</v>
      </c>
      <c r="O4519" s="2"/>
      <c r="P4519" s="1"/>
      <c r="Q4519" s="1"/>
      <c r="R4519" s="1"/>
      <c r="S4519" s="1"/>
      <c r="T4519" s="1"/>
      <c r="U4519" s="1"/>
      <c r="V4519" s="1"/>
      <c r="W4519" s="1"/>
      <c r="X4519" s="1"/>
      <c r="Y4519" s="1"/>
      <c r="Z4519" s="1"/>
      <c r="AA4519" s="1"/>
      <c r="AB4519" s="1"/>
      <c r="AC4519" s="1"/>
      <c r="AD4519" s="1"/>
      <c r="AE4519" s="1"/>
      <c r="AF4519" s="1"/>
      <c r="AG4519" s="1"/>
      <c r="AH4519" s="1"/>
      <c r="AI4519" s="1"/>
      <c r="AJ4519" s="1"/>
      <c r="AK4519" s="1"/>
      <c r="AL4519" s="1"/>
      <c r="AM4519" s="1"/>
      <c r="AN4519" s="1"/>
      <c r="AO4519" s="1"/>
      <c r="AP4519" s="1"/>
      <c r="AQ4519" s="1"/>
      <c r="AR4519" s="1"/>
      <c r="AS4519" s="1"/>
      <c r="AT4519" s="1"/>
      <c r="AU4519" s="1"/>
      <c r="AV4519" s="1"/>
      <c r="AW4519" s="1"/>
      <c r="AX4519" s="1"/>
      <c r="AY4519" s="1"/>
      <c r="AZ4519" s="1"/>
      <c r="BA4519" s="1"/>
      <c r="BB4519" s="1"/>
    </row>
    <row r="4520" ht="204.75" customHeight="1">
      <c r="A4520" s="1">
        <v>5728.0</v>
      </c>
      <c r="B4520" s="2" t="s">
        <v>12914</v>
      </c>
      <c r="C4520" s="2">
        <f>IFERROR(__xludf.DUMMYFUNCTION("split(B4520,""_"")"),807.0)</f>
        <v>807</v>
      </c>
      <c r="D4520" s="2" t="str">
        <f>IFERROR(__xludf.DUMMYFUNCTION("""COMPUTED_VALUE"""),"NTV")</f>
        <v>NTV</v>
      </c>
      <c r="E4520" s="2" t="str">
        <f>IFERROR(__xludf.DUMMYFUNCTION("""COMPUTED_VALUE"""),"土21")</f>
        <v>土21</v>
      </c>
      <c r="F4520" s="2" t="s">
        <v>12915</v>
      </c>
      <c r="G4520" s="2" t="s">
        <v>12916</v>
      </c>
      <c r="H4520" s="1">
        <v>2.0</v>
      </c>
      <c r="J4520" s="1" t="s">
        <v>11</v>
      </c>
      <c r="K4520" s="2" t="s">
        <v>12918</v>
      </c>
      <c r="L4520" s="2"/>
      <c r="M4520" s="2" t="str">
        <f>IFERROR(__xludf.DUMMYFUNCTION("split(split(K4520,""【演出"",false),""ほか"",false)"),"松岡昌宏、広末涼子、多部未華子、大倉忠義(関ジャニ∞)  山口紗弥加、内山信二、渡部豪太、東亜優、小嶋陽菜、RIKIYA、HIRO(安田大サーカス)、嶋大輔、櫻井淳子　")</f>
        <v>松岡昌宏、広末涼子、多部未華子、大倉忠義(関ジャニ∞)  山口紗弥加、内山信二、渡部豪太、東亜優、小嶋陽菜、RIKIYA、HIRO(安田大サーカス)、嶋大輔、櫻井淳子　</v>
      </c>
      <c r="N4520" s="2" t="str">
        <f>IFERROR(__xludf.DUMMYFUNCTION("""COMPUTED_VALUE"""),"エリカ(広末涼子)がケンジ(松岡昌宏)を思い続けてきたと知ったヤスコ(多部未華子)は、ある作戦を立てる。それはケンジとエリカを相思相愛にする事。そうすれば、ヤスコも晴れて純(大倉忠義)と付き合える、と考えたのだ。ヤスコは、エリカにケンジと付き合って欲しい、と頼み込むが、ケンジと電話で話したとたん、エリカは豹変してしまい、失敗。そこでヤスコはエリカを家政婦に変装させケンジに接近させる方法を思いつく―演出:大谷太郎原作:「ヤスコとケンジ」アルコ(集英社「別冊マーガレット」)  脚本:渡辺雄介大島ミチル")</f>
        <v>エリカ(広末涼子)がケンジ(松岡昌宏)を思い続けてきたと知ったヤスコ(多部未華子)は、ある作戦を立てる。それはケンジとエリカを相思相愛にする事。そうすれば、ヤスコも晴れて純(大倉忠義)と付き合える、と考えたのだ。ヤスコは、エリカにケンジと付き合って欲しい、と頼み込むが、ケンジと電話で話したとたん、エリカは豹変してしまい、失敗。そこでヤスコはエリカを家政婦に変装させケンジに接近させる方法を思いつく―演出:大谷太郎原作:「ヤスコとケンジ」アルコ(集英社「別冊マーガレット」)  脚本:渡辺雄介大島ミチル</v>
      </c>
      <c r="O4520" s="2"/>
      <c r="P4520" s="1"/>
      <c r="Q4520" s="1"/>
      <c r="R4520" s="1"/>
      <c r="S4520" s="1"/>
      <c r="T4520" s="1"/>
      <c r="U4520" s="1"/>
      <c r="V4520" s="1"/>
      <c r="W4520" s="1"/>
      <c r="X4520" s="1"/>
      <c r="Y4520" s="1"/>
      <c r="Z4520" s="1"/>
      <c r="AA4520" s="1"/>
      <c r="AB4520" s="1"/>
      <c r="AC4520" s="1"/>
      <c r="AD4520" s="1"/>
      <c r="AE4520" s="1"/>
      <c r="AF4520" s="1"/>
      <c r="AG4520" s="1"/>
      <c r="AH4520" s="1"/>
      <c r="AI4520" s="1"/>
      <c r="AJ4520" s="1"/>
      <c r="AK4520" s="1"/>
      <c r="AL4520" s="1"/>
      <c r="AM4520" s="1"/>
      <c r="AN4520" s="1"/>
      <c r="AO4520" s="1"/>
      <c r="AP4520" s="1"/>
      <c r="AQ4520" s="1"/>
      <c r="AR4520" s="1"/>
      <c r="AS4520" s="1"/>
      <c r="AT4520" s="1"/>
      <c r="AU4520" s="1"/>
      <c r="AV4520" s="1"/>
      <c r="AW4520" s="1"/>
      <c r="AX4520" s="1"/>
      <c r="AY4520" s="1"/>
      <c r="AZ4520" s="1"/>
      <c r="BA4520" s="1"/>
      <c r="BB4520" s="1"/>
    </row>
    <row r="4521" ht="204.75" customHeight="1">
      <c r="A4521" s="1">
        <v>5729.0</v>
      </c>
      <c r="B4521" s="2" t="s">
        <v>12914</v>
      </c>
      <c r="C4521" s="2">
        <f>IFERROR(__xludf.DUMMYFUNCTION("split(B4521,""_"")"),807.0)</f>
        <v>807</v>
      </c>
      <c r="D4521" s="2" t="str">
        <f>IFERROR(__xludf.DUMMYFUNCTION("""COMPUTED_VALUE"""),"NTV")</f>
        <v>NTV</v>
      </c>
      <c r="E4521" s="2" t="str">
        <f>IFERROR(__xludf.DUMMYFUNCTION("""COMPUTED_VALUE"""),"土21")</f>
        <v>土21</v>
      </c>
      <c r="F4521" s="2" t="s">
        <v>12915</v>
      </c>
      <c r="G4521" s="2" t="s">
        <v>12916</v>
      </c>
      <c r="H4521" s="1">
        <v>3.0</v>
      </c>
      <c r="J4521" s="1" t="s">
        <v>11</v>
      </c>
      <c r="K4521" s="2" t="s">
        <v>12919</v>
      </c>
      <c r="L4521" s="2"/>
      <c r="M4521" s="2" t="str">
        <f>IFERROR(__xludf.DUMMYFUNCTION("split(split(K4521,""【演出"",false),""ほか"",false)"),"松岡昌宏、広末涼子、多部未華子、大倉忠義(関ジャニ∞)  山口紗弥加、内山信二、渡部豪太、東亜優、小嶋陽菜、大浦龍宇一、佐藤江梨子、高橋惠子、嶋大輔、櫻井淳子　")</f>
        <v>松岡昌宏、広末涼子、多部未華子、大倉忠義(関ジャニ∞)  山口紗弥加、内山信二、渡部豪太、東亜優、小嶋陽菜、大浦龍宇一、佐藤江梨子、高橋惠子、嶋大輔、櫻井淳子　</v>
      </c>
      <c r="N4521" s="2" t="str">
        <f>IFERROR(__xludf.DUMMYFUNCTION("""COMPUTED_VALUE"""),"　ケンジが叔母の文江の紹介で、なんとお見合いをすることに。お見合い相手の愛は、ケンジのことを気に入り、家に出入りするようになる。美人でスタイル抜群、おまけに料理上手の愛の出現に、エリカはもちろん、ヤスコも心穏やかではない。まもなく、エリカは、ケンジを賭けて愛と料理対決をするが、あっさり敗北。エリカがケンジから身を引くと宣言する中、ヤスコもケンジの幸せを考え、ある計画を実行する――演出:長沼誠原作:「ヤスコとケンジ」アルコ(集英社「別冊マーガレット」)  脚本:大石哲也大島ミチル")</f>
        <v>　ケンジが叔母の文江の紹介で、なんとお見合いをすることに。お見合い相手の愛は、ケンジのことを気に入り、家に出入りするようになる。美人でスタイル抜群、おまけに料理上手の愛の出現に、エリカはもちろん、ヤスコも心穏やかではない。まもなく、エリカは、ケンジを賭けて愛と料理対決をするが、あっさり敗北。エリカがケンジから身を引くと宣言する中、ヤスコもケンジの幸せを考え、ある計画を実行する――演出:長沼誠原作:「ヤスコとケンジ」アルコ(集英社「別冊マーガレット」)  脚本:大石哲也大島ミチル</v>
      </c>
      <c r="O4521" s="2"/>
      <c r="P4521" s="1"/>
      <c r="Q4521" s="1"/>
      <c r="R4521" s="1"/>
      <c r="S4521" s="1"/>
      <c r="T4521" s="1"/>
      <c r="U4521" s="1"/>
      <c r="V4521" s="1"/>
      <c r="W4521" s="1"/>
      <c r="X4521" s="1"/>
      <c r="Y4521" s="1"/>
      <c r="Z4521" s="1"/>
      <c r="AA4521" s="1"/>
      <c r="AB4521" s="1"/>
      <c r="AC4521" s="1"/>
      <c r="AD4521" s="1"/>
      <c r="AE4521" s="1"/>
      <c r="AF4521" s="1"/>
      <c r="AG4521" s="1"/>
      <c r="AH4521" s="1"/>
      <c r="AI4521" s="1"/>
      <c r="AJ4521" s="1"/>
      <c r="AK4521" s="1"/>
      <c r="AL4521" s="1"/>
      <c r="AM4521" s="1"/>
      <c r="AN4521" s="1"/>
      <c r="AO4521" s="1"/>
      <c r="AP4521" s="1"/>
      <c r="AQ4521" s="1"/>
      <c r="AR4521" s="1"/>
      <c r="AS4521" s="1"/>
      <c r="AT4521" s="1"/>
      <c r="AU4521" s="1"/>
      <c r="AV4521" s="1"/>
      <c r="AW4521" s="1"/>
      <c r="AX4521" s="1"/>
      <c r="AY4521" s="1"/>
      <c r="AZ4521" s="1"/>
      <c r="BA4521" s="1"/>
      <c r="BB4521" s="1"/>
    </row>
    <row r="4522" ht="204.75" customHeight="1">
      <c r="A4522" s="1">
        <v>5730.0</v>
      </c>
      <c r="B4522" s="2" t="s">
        <v>12914</v>
      </c>
      <c r="C4522" s="2">
        <f>IFERROR(__xludf.DUMMYFUNCTION("split(B4522,""_"")"),807.0)</f>
        <v>807</v>
      </c>
      <c r="D4522" s="2" t="str">
        <f>IFERROR(__xludf.DUMMYFUNCTION("""COMPUTED_VALUE"""),"NTV")</f>
        <v>NTV</v>
      </c>
      <c r="E4522" s="2" t="str">
        <f>IFERROR(__xludf.DUMMYFUNCTION("""COMPUTED_VALUE"""),"土21")</f>
        <v>土21</v>
      </c>
      <c r="F4522" s="2" t="s">
        <v>12915</v>
      </c>
      <c r="G4522" s="2" t="s">
        <v>12916</v>
      </c>
      <c r="H4522" s="1">
        <v>4.0</v>
      </c>
      <c r="J4522" s="1" t="s">
        <v>11</v>
      </c>
      <c r="K4522" s="2" t="s">
        <v>12920</v>
      </c>
      <c r="L4522" s="2"/>
      <c r="M4522" s="2" t="str">
        <f>IFERROR(__xludf.DUMMYFUNCTION("split(split(K4522,""【演出"",false),""ほか"",false)"),"松岡昌宏、広末涼子、多部未華子、大倉忠義(関ジャニ∞)  山口紗弥加、内山信二、渡部豪太、東亜優、小嶋陽菜、RIKIYA、HIRO(安田大サーカス)、嶋大輔、櫻井淳子　")</f>
        <v>松岡昌宏、広末涼子、多部未華子、大倉忠義(関ジャニ∞)  山口紗弥加、内山信二、渡部豪太、東亜優、小嶋陽菜、RIKIYA、HIRO(安田大サーカス)、嶋大輔、櫻井淳子　</v>
      </c>
      <c r="N4522" s="2" t="str">
        <f>IFERROR(__xludf.DUMMYFUNCTION("""COMPUTED_VALUE"""),"ヤスコは、純の誕生日が自分の両親の命日と同じ日だと知る。その日はケンジと墓参りに行く予定で、せめてプレゼントだけでもと思ったヤスコは、内緒でエリカの店でバイトを始める。そんな中、バイトのことを知って怒鳴り込んできたケンジの話から、ヤスコの誕生日も純と同じだったということが明らかに。自分の誕生日のことを何も言わなかったヤスコが気にかかり、エリカは渋谷を訪ねて事情を聞くが・・・演出:長沼誠原作:「ヤスコとケンジ」アルコ(集英社「別冊マーガレット」)  脚本:山浦雅大大島ミチル")</f>
        <v>ヤスコは、純の誕生日が自分の両親の命日と同じ日だと知る。その日はケンジと墓参りに行く予定で、せめてプレゼントだけでもと思ったヤスコは、内緒でエリカの店でバイトを始める。そんな中、バイトのことを知って怒鳴り込んできたケンジの話から、ヤスコの誕生日も純と同じだったということが明らかに。自分の誕生日のことを何も言わなかったヤスコが気にかかり、エリカは渋谷を訪ねて事情を聞くが・・・演出:長沼誠原作:「ヤスコとケンジ」アルコ(集英社「別冊マーガレット」)  脚本:山浦雅大大島ミチル</v>
      </c>
      <c r="O4522" s="2"/>
      <c r="P4522" s="1"/>
      <c r="Q4522" s="1"/>
      <c r="R4522" s="1"/>
      <c r="S4522" s="1"/>
      <c r="T4522" s="1"/>
      <c r="U4522" s="1"/>
      <c r="V4522" s="1"/>
      <c r="W4522" s="1"/>
      <c r="X4522" s="1"/>
      <c r="Y4522" s="1"/>
      <c r="Z4522" s="1"/>
      <c r="AA4522" s="1"/>
      <c r="AB4522" s="1"/>
      <c r="AC4522" s="1"/>
      <c r="AD4522" s="1"/>
      <c r="AE4522" s="1"/>
      <c r="AF4522" s="1"/>
      <c r="AG4522" s="1"/>
      <c r="AH4522" s="1"/>
      <c r="AI4522" s="1"/>
      <c r="AJ4522" s="1"/>
      <c r="AK4522" s="1"/>
      <c r="AL4522" s="1"/>
      <c r="AM4522" s="1"/>
      <c r="AN4522" s="1"/>
      <c r="AO4522" s="1"/>
      <c r="AP4522" s="1"/>
      <c r="AQ4522" s="1"/>
      <c r="AR4522" s="1"/>
      <c r="AS4522" s="1"/>
      <c r="AT4522" s="1"/>
      <c r="AU4522" s="1"/>
      <c r="AV4522" s="1"/>
      <c r="AW4522" s="1"/>
      <c r="AX4522" s="1"/>
      <c r="AY4522" s="1"/>
      <c r="AZ4522" s="1"/>
      <c r="BA4522" s="1"/>
      <c r="BB4522" s="1"/>
    </row>
    <row r="4523" ht="204.75" customHeight="1">
      <c r="A4523" s="1">
        <v>5731.0</v>
      </c>
      <c r="B4523" s="2" t="s">
        <v>12914</v>
      </c>
      <c r="C4523" s="2">
        <f>IFERROR(__xludf.DUMMYFUNCTION("split(B4523,""_"")"),807.0)</f>
        <v>807</v>
      </c>
      <c r="D4523" s="2" t="str">
        <f>IFERROR(__xludf.DUMMYFUNCTION("""COMPUTED_VALUE"""),"NTV")</f>
        <v>NTV</v>
      </c>
      <c r="E4523" s="2" t="str">
        <f>IFERROR(__xludf.DUMMYFUNCTION("""COMPUTED_VALUE"""),"土21")</f>
        <v>土21</v>
      </c>
      <c r="F4523" s="2" t="s">
        <v>12915</v>
      </c>
      <c r="G4523" s="2" t="s">
        <v>12916</v>
      </c>
      <c r="H4523" s="1">
        <v>5.0</v>
      </c>
      <c r="J4523" s="1" t="s">
        <v>11</v>
      </c>
      <c r="K4523" s="2" t="s">
        <v>12921</v>
      </c>
      <c r="L4523" s="2"/>
      <c r="M4523" s="2" t="str">
        <f>IFERROR(__xludf.DUMMYFUNCTION("split(split(K4523,""【演出"",false),""ほか"",false)"),"松岡昌宏、広末涼子、多部未華子、大倉忠義(関ジャニ∞)  山口紗弥加、内山信二、渡部豪太、東亜優、小嶋陽菜、  安田章大(関ジャニ∞)嶋大輔、櫻井淳子　")</f>
        <v>松岡昌宏、広末涼子、多部未華子、大倉忠義(関ジャニ∞)  山口紗弥加、内山信二、渡部豪太、東亜優、小嶋陽菜、  安田章大(関ジャニ∞)嶋大輔、櫻井淳子　</v>
      </c>
      <c r="N4523" s="2" t="str">
        <f>IFERROR(__xludf.DUMMYFUNCTION("""COMPUTED_VALUE"""),"大学の推薦試験が近付いた純は、勉強の日々。純が予備校の夏期講習に行っていると知ったヤスコは、告白するチャンスとばかり同じ予備校に通い始める。ケンジはヤスコがようやく勉強をする気になった、と大喜び。そんな中、ヤスコは純から、同級生の山田幹夫を紹介される。幹夫は、何をやらせても自分より上にいく純がねたましくてたまらない。ヤスコと純が一緒にいるのを見かけた幹夫は、ヤスコを自分のものにしようと動き始め――演出:大谷太郎原作:「ヤスコとケンジ」アルコ(集英社「別冊マーガレット」)  脚本:渡辺雄介大島ミチル")</f>
        <v>大学の推薦試験が近付いた純は、勉強の日々。純が予備校の夏期講習に行っていると知ったヤスコは、告白するチャンスとばかり同じ予備校に通い始める。ケンジはヤスコがようやく勉強をする気になった、と大喜び。そんな中、ヤスコは純から、同級生の山田幹夫を紹介される。幹夫は、何をやらせても自分より上にいく純がねたましくてたまらない。ヤスコと純が一緒にいるのを見かけた幹夫は、ヤスコを自分のものにしようと動き始め――演出:大谷太郎原作:「ヤスコとケンジ」アルコ(集英社「別冊マーガレット」)  脚本:渡辺雄介大島ミチル</v>
      </c>
      <c r="O4523" s="2"/>
      <c r="P4523" s="1"/>
      <c r="Q4523" s="1"/>
      <c r="R4523" s="1"/>
      <c r="S4523" s="1"/>
      <c r="T4523" s="1"/>
      <c r="U4523" s="1"/>
      <c r="V4523" s="1"/>
      <c r="W4523" s="1"/>
      <c r="X4523" s="1"/>
      <c r="Y4523" s="1"/>
      <c r="Z4523" s="1"/>
      <c r="AA4523" s="1"/>
      <c r="AB4523" s="1"/>
      <c r="AC4523" s="1"/>
      <c r="AD4523" s="1"/>
      <c r="AE4523" s="1"/>
      <c r="AF4523" s="1"/>
      <c r="AG4523" s="1"/>
      <c r="AH4523" s="1"/>
      <c r="AI4523" s="1"/>
      <c r="AJ4523" s="1"/>
      <c r="AK4523" s="1"/>
      <c r="AL4523" s="1"/>
      <c r="AM4523" s="1"/>
      <c r="AN4523" s="1"/>
      <c r="AO4523" s="1"/>
      <c r="AP4523" s="1"/>
      <c r="AQ4523" s="1"/>
      <c r="AR4523" s="1"/>
      <c r="AS4523" s="1"/>
      <c r="AT4523" s="1"/>
      <c r="AU4523" s="1"/>
      <c r="AV4523" s="1"/>
      <c r="AW4523" s="1"/>
      <c r="AX4523" s="1"/>
      <c r="AY4523" s="1"/>
      <c r="AZ4523" s="1"/>
      <c r="BA4523" s="1"/>
      <c r="BB4523" s="1"/>
    </row>
    <row r="4524" ht="204.75" customHeight="1">
      <c r="A4524" s="1">
        <v>5732.0</v>
      </c>
      <c r="B4524" s="2" t="s">
        <v>12914</v>
      </c>
      <c r="C4524" s="2">
        <f>IFERROR(__xludf.DUMMYFUNCTION("split(B4524,""_"")"),807.0)</f>
        <v>807</v>
      </c>
      <c r="D4524" s="2" t="str">
        <f>IFERROR(__xludf.DUMMYFUNCTION("""COMPUTED_VALUE"""),"NTV")</f>
        <v>NTV</v>
      </c>
      <c r="E4524" s="2" t="str">
        <f>IFERROR(__xludf.DUMMYFUNCTION("""COMPUTED_VALUE"""),"土21")</f>
        <v>土21</v>
      </c>
      <c r="F4524" s="2" t="s">
        <v>12915</v>
      </c>
      <c r="G4524" s="2" t="s">
        <v>12916</v>
      </c>
      <c r="H4524" s="1">
        <v>6.0</v>
      </c>
      <c r="J4524" s="1" t="s">
        <v>11</v>
      </c>
      <c r="K4524" s="2" t="s">
        <v>12922</v>
      </c>
      <c r="L4524" s="2"/>
      <c r="M4524" s="2" t="str">
        <f>IFERROR(__xludf.DUMMYFUNCTION("split(split(K4524,""【演出"",false),""ほか"",false)"),"松岡昌宏、広末涼子、多部未華子、大倉忠義(関ジャニ∞)  山口紗弥加、内山信二、渡部豪太、東亜優、小嶋陽菜、RIKIYA、HIRO(安田大サーカス)、嶋大輔、櫻井淳子　")</f>
        <v>松岡昌宏、広末涼子、多部未華子、大倉忠義(関ジャニ∞)  山口紗弥加、内山信二、渡部豪太、東亜優、小嶋陽菜、RIKIYA、HIRO(安田大サーカス)、嶋大輔、櫻井淳子　</v>
      </c>
      <c r="N4524" s="2" t="str">
        <f>IFERROR(__xludf.DUMMYFUNCTION("""COMPUTED_VALUE"""),"ケンジの生き方を学びたいと、純が見習い志願でやってくる。大喜びのヤスコだが、その一方でアジダスは、純に仕事を取られるのではないかと気が気ではない。まもなく、かおりが、男とデートを重ねていることが分かる。かおりとは幼なじみで、密かに恋していたアジダスは、自棄になり暴力沙汰を起こす。ケンジは、アジダスが大事な利き腕を怪我したことを叱責する。そんな中、かおりの相手の男の悪辣な正体を知ったアジダスは――。演出:本間美由紀原作:「ヤスコとケンジ」アルコ(集英社「別冊マーガレット」)  脚本:山浦雅大大島ミチル")</f>
        <v>ケンジの生き方を学びたいと、純が見習い志願でやってくる。大喜びのヤスコだが、その一方でアジダスは、純に仕事を取られるのではないかと気が気ではない。まもなく、かおりが、男とデートを重ねていることが分かる。かおりとは幼なじみで、密かに恋していたアジダスは、自棄になり暴力沙汰を起こす。ケンジは、アジダスが大事な利き腕を怪我したことを叱責する。そんな中、かおりの相手の男の悪辣な正体を知ったアジダスは――。演出:本間美由紀原作:「ヤスコとケンジ」アルコ(集英社「別冊マーガレット」)  脚本:山浦雅大大島ミチル</v>
      </c>
      <c r="O4524" s="2"/>
      <c r="P4524" s="1"/>
      <c r="Q4524" s="1"/>
      <c r="R4524" s="1"/>
      <c r="S4524" s="1"/>
      <c r="T4524" s="1"/>
      <c r="U4524" s="1"/>
      <c r="V4524" s="1"/>
      <c r="W4524" s="1"/>
      <c r="X4524" s="1"/>
      <c r="Y4524" s="1"/>
      <c r="Z4524" s="1"/>
      <c r="AA4524" s="1"/>
      <c r="AB4524" s="1"/>
      <c r="AC4524" s="1"/>
      <c r="AD4524" s="1"/>
      <c r="AE4524" s="1"/>
      <c r="AF4524" s="1"/>
      <c r="AG4524" s="1"/>
      <c r="AH4524" s="1"/>
      <c r="AI4524" s="1"/>
      <c r="AJ4524" s="1"/>
      <c r="AK4524" s="1"/>
      <c r="AL4524" s="1"/>
      <c r="AM4524" s="1"/>
      <c r="AN4524" s="1"/>
      <c r="AO4524" s="1"/>
      <c r="AP4524" s="1"/>
      <c r="AQ4524" s="1"/>
      <c r="AR4524" s="1"/>
      <c r="AS4524" s="1"/>
      <c r="AT4524" s="1"/>
      <c r="AU4524" s="1"/>
      <c r="AV4524" s="1"/>
      <c r="AW4524" s="1"/>
      <c r="AX4524" s="1"/>
      <c r="AY4524" s="1"/>
      <c r="AZ4524" s="1"/>
      <c r="BA4524" s="1"/>
      <c r="BB4524" s="1"/>
    </row>
    <row r="4525" ht="204.75" customHeight="1">
      <c r="A4525" s="1">
        <v>5733.0</v>
      </c>
      <c r="B4525" s="2" t="s">
        <v>12914</v>
      </c>
      <c r="C4525" s="2">
        <f>IFERROR(__xludf.DUMMYFUNCTION("split(B4525,""_"")"),807.0)</f>
        <v>807</v>
      </c>
      <c r="D4525" s="2" t="str">
        <f>IFERROR(__xludf.DUMMYFUNCTION("""COMPUTED_VALUE"""),"NTV")</f>
        <v>NTV</v>
      </c>
      <c r="E4525" s="2" t="str">
        <f>IFERROR(__xludf.DUMMYFUNCTION("""COMPUTED_VALUE"""),"土21")</f>
        <v>土21</v>
      </c>
      <c r="F4525" s="2" t="s">
        <v>12915</v>
      </c>
      <c r="G4525" s="2" t="s">
        <v>12916</v>
      </c>
      <c r="H4525" s="1">
        <v>7.0</v>
      </c>
      <c r="J4525" s="1" t="s">
        <v>11</v>
      </c>
      <c r="K4525" s="2" t="s">
        <v>12923</v>
      </c>
      <c r="L4525" s="2"/>
      <c r="M4525" s="2" t="str">
        <f>IFERROR(__xludf.DUMMYFUNCTION("split(split(K4525,""【演出"",false),""ほか"",false)"),"松岡昌宏、広末涼子、多部未華子、大倉忠義(関ジャニ∞)  山口紗弥加、内山信二、渡部豪太、東亜優、小嶋陽菜、RIKIYA、ザ・たっち  小木茂光、嶋大輔、櫻井淳子　")</f>
        <v>松岡昌宏、広末涼子、多部未華子、大倉忠義(関ジャニ∞)  山口紗弥加、内山信二、渡部豪太、東亜優、小嶋陽菜、RIKIYA、ザ・たっち  小木茂光、嶋大輔、櫻井淳子　</v>
      </c>
      <c r="N4525" s="2" t="str">
        <f>IFERROR(__xludf.DUMMYFUNCTION("""COMPUTED_VALUE"""),"『桜葉れいかの正体は、元暴走族総長だ』との情報がネット上に流れる。優紀子は、ゴシップ紙の記者にその証拠写真を突き付けられ、真相を明かすよう迫られる。ヤスコは、純から、エリカを“桜葉れいか”に仕立てて危機を乗り切ろうというアイデアをもらい、ケンジを説得。エリカは記者の目前で、見事に“桜葉れいか”を演じきる。ところが、突然、青田に呼び出されたエリカは、ケンジを盗撮したビデオを見せられ――。演出:長沼誠原作:「ヤスコとケンジ」アルコ(集英社「別冊マーガレット」)  脚本:渡辺雄介大島ミチル")</f>
        <v>『桜葉れいかの正体は、元暴走族総長だ』との情報がネット上に流れる。優紀子は、ゴシップ紙の記者にその証拠写真を突き付けられ、真相を明かすよう迫られる。ヤスコは、純から、エリカを“桜葉れいか”に仕立てて危機を乗り切ろうというアイデアをもらい、ケンジを説得。エリカは記者の目前で、見事に“桜葉れいか”を演じきる。ところが、突然、青田に呼び出されたエリカは、ケンジを盗撮したビデオを見せられ――。演出:長沼誠原作:「ヤスコとケンジ」アルコ(集英社「別冊マーガレット」)  脚本:渡辺雄介大島ミチル</v>
      </c>
      <c r="O4525" s="2"/>
      <c r="P4525" s="1"/>
      <c r="Q4525" s="1"/>
      <c r="R4525" s="1"/>
      <c r="S4525" s="1"/>
      <c r="T4525" s="1"/>
      <c r="U4525" s="1"/>
      <c r="V4525" s="1"/>
      <c r="W4525" s="1"/>
      <c r="X4525" s="1"/>
      <c r="Y4525" s="1"/>
      <c r="Z4525" s="1"/>
      <c r="AA4525" s="1"/>
      <c r="AB4525" s="1"/>
      <c r="AC4525" s="1"/>
      <c r="AD4525" s="1"/>
      <c r="AE4525" s="1"/>
      <c r="AF4525" s="1"/>
      <c r="AG4525" s="1"/>
      <c r="AH4525" s="1"/>
      <c r="AI4525" s="1"/>
      <c r="AJ4525" s="1"/>
      <c r="AK4525" s="1"/>
      <c r="AL4525" s="1"/>
      <c r="AM4525" s="1"/>
      <c r="AN4525" s="1"/>
      <c r="AO4525" s="1"/>
      <c r="AP4525" s="1"/>
      <c r="AQ4525" s="1"/>
      <c r="AR4525" s="1"/>
      <c r="AS4525" s="1"/>
      <c r="AT4525" s="1"/>
      <c r="AU4525" s="1"/>
      <c r="AV4525" s="1"/>
      <c r="AW4525" s="1"/>
      <c r="AX4525" s="1"/>
      <c r="AY4525" s="1"/>
      <c r="AZ4525" s="1"/>
      <c r="BA4525" s="1"/>
      <c r="BB4525" s="1"/>
    </row>
    <row r="4526" ht="204.75" customHeight="1">
      <c r="A4526" s="1">
        <v>5734.0</v>
      </c>
      <c r="B4526" s="2" t="s">
        <v>12914</v>
      </c>
      <c r="C4526" s="2">
        <f>IFERROR(__xludf.DUMMYFUNCTION("split(B4526,""_"")"),807.0)</f>
        <v>807</v>
      </c>
      <c r="D4526" s="2" t="str">
        <f>IFERROR(__xludf.DUMMYFUNCTION("""COMPUTED_VALUE"""),"NTV")</f>
        <v>NTV</v>
      </c>
      <c r="E4526" s="2" t="str">
        <f>IFERROR(__xludf.DUMMYFUNCTION("""COMPUTED_VALUE"""),"土21")</f>
        <v>土21</v>
      </c>
      <c r="F4526" s="2" t="s">
        <v>12915</v>
      </c>
      <c r="G4526" s="2" t="s">
        <v>12916</v>
      </c>
      <c r="H4526" s="1">
        <v>8.0</v>
      </c>
      <c r="J4526" s="1" t="s">
        <v>11</v>
      </c>
      <c r="K4526" s="2" t="s">
        <v>12924</v>
      </c>
      <c r="L4526" s="2"/>
      <c r="M4526" s="2" t="str">
        <f>IFERROR(__xludf.DUMMYFUNCTION("split(split(K4526,""【演出"",false),""ほか"",false)"),"松岡昌宏、広末涼子、多部未華子、大倉忠義(関ジャニ∞)  山口紗弥加、内山信二、渡部豪太、東亜優、小嶋陽菜、嶋大輔、櫻井淳子、夏八木勲　他漫画家を辞めた後、ケンジはアルバイトをしてみるものの、失敗続きで上手くいかない。そんな中、渋谷の計らいで、屋台のラーメン屋を始めることに。エリカやかおりのフォローもあって順調にまわり始める。そんな矢先、ケンジは、モスとアジダスが遊びで書いたマンガ原稿を発見。二人の未練を断ち切る為に、あえて仕事道具を全て燃やしてしまう。だが、元気のないケンジを気遣い、ヤスコは桜葉れいか復"&amp;"活に向けて動き始める。演出:大谷太郎原作:「ヤスコとケンジ」アルコ(集英社「別冊マーガレット」)  脚本:山浦雅大大島ミチル")</f>
        <v>松岡昌宏、広末涼子、多部未華子、大倉忠義(関ジャニ∞)  山口紗弥加、内山信二、渡部豪太、東亜優、小嶋陽菜、嶋大輔、櫻井淳子、夏八木勲　他漫画家を辞めた後、ケンジはアルバイトをしてみるものの、失敗続きで上手くいかない。そんな中、渋谷の計らいで、屋台のラーメン屋を始めることに。エリカやかおりのフォローもあって順調にまわり始める。そんな矢先、ケンジは、モスとアジダスが遊びで書いたマンガ原稿を発見。二人の未練を断ち切る為に、あえて仕事道具を全て燃やしてしまう。だが、元気のないケンジを気遣い、ヤスコは桜葉れいか復活に向けて動き始める。演出:大谷太郎原作:「ヤスコとケンジ」アルコ(集英社「別冊マーガレット」)  脚本:山浦雅大大島ミチル</v>
      </c>
      <c r="N4526" s="2"/>
      <c r="O4526" s="2"/>
      <c r="P4526" s="1"/>
      <c r="Q4526" s="1"/>
      <c r="R4526" s="1"/>
      <c r="S4526" s="1"/>
      <c r="T4526" s="1"/>
      <c r="U4526" s="1"/>
      <c r="V4526" s="1"/>
      <c r="W4526" s="1"/>
      <c r="X4526" s="1"/>
      <c r="Y4526" s="1"/>
      <c r="Z4526" s="1"/>
      <c r="AA4526" s="1"/>
      <c r="AB4526" s="1"/>
      <c r="AC4526" s="1"/>
      <c r="AD4526" s="1"/>
      <c r="AE4526" s="1"/>
      <c r="AF4526" s="1"/>
      <c r="AG4526" s="1"/>
      <c r="AH4526" s="1"/>
      <c r="AI4526" s="1"/>
      <c r="AJ4526" s="1"/>
      <c r="AK4526" s="1"/>
      <c r="AL4526" s="1"/>
      <c r="AM4526" s="1"/>
      <c r="AN4526" s="1"/>
      <c r="AO4526" s="1"/>
      <c r="AP4526" s="1"/>
      <c r="AQ4526" s="1"/>
      <c r="AR4526" s="1"/>
      <c r="AS4526" s="1"/>
      <c r="AT4526" s="1"/>
      <c r="AU4526" s="1"/>
      <c r="AV4526" s="1"/>
      <c r="AW4526" s="1"/>
      <c r="AX4526" s="1"/>
      <c r="AY4526" s="1"/>
      <c r="AZ4526" s="1"/>
      <c r="BA4526" s="1"/>
      <c r="BB4526" s="1"/>
    </row>
    <row r="4527" ht="204.75" customHeight="1">
      <c r="A4527" s="1">
        <v>5735.0</v>
      </c>
      <c r="B4527" s="2" t="s">
        <v>12914</v>
      </c>
      <c r="C4527" s="2">
        <f>IFERROR(__xludf.DUMMYFUNCTION("split(B4527,""_"")"),807.0)</f>
        <v>807</v>
      </c>
      <c r="D4527" s="2" t="str">
        <f>IFERROR(__xludf.DUMMYFUNCTION("""COMPUTED_VALUE"""),"NTV")</f>
        <v>NTV</v>
      </c>
      <c r="E4527" s="2" t="str">
        <f>IFERROR(__xludf.DUMMYFUNCTION("""COMPUTED_VALUE"""),"土21")</f>
        <v>土21</v>
      </c>
      <c r="F4527" s="2" t="s">
        <v>12915</v>
      </c>
      <c r="G4527" s="2" t="s">
        <v>12916</v>
      </c>
      <c r="H4527" s="1">
        <v>9.0</v>
      </c>
      <c r="J4527" s="1" t="s">
        <v>11</v>
      </c>
      <c r="K4527" s="2" t="s">
        <v>12925</v>
      </c>
      <c r="L4527" s="2"/>
      <c r="M4527" s="2" t="str">
        <f>IFERROR(__xludf.DUMMYFUNCTION("split(split(K4527,""【演出"",false),""ほか"",false)"),"松岡昌宏、広末涼子、多部未華子、大倉忠義(関ジャニ∞)  山口紗弥加、内山信二、渡部豪太、東亜優、小嶋陽菜、嶋大輔、櫻井淳子  長野博　夏八木勲　")</f>
        <v>松岡昌宏、広末涼子、多部未華子、大倉忠義(関ジャニ∞)  山口紗弥加、内山信二、渡部豪太、東亜優、小嶋陽菜、嶋大輔、櫻井淳子  長野博　夏八木勲　</v>
      </c>
      <c r="N4527" s="2" t="str">
        <f>IFERROR(__xludf.DUMMYFUNCTION("""COMPUTED_VALUE"""),"エリカと純の父親・享が現れる。享は、エリカに縁談を薦め、純には海外で留学するよう指示する。だが、ケンジたちと過ごす時間の楽しさを知った純は、なかなか留学に踏み切れない。これに気付いた享は、ヤスコに、純とヤスコとは住む世界が違うと告げ、さらに、ケンジの力になるとの交換条件を付けて、純の背中を押して欲しい、と頼み込む。純の将来を思って下したヤスコの決断はーーー演出:本間美由紀原作:「ヤスコとケンジ」アルコ(集英社「別冊マーガレット」)  脚本:大石哲也大島ミチル")</f>
        <v>エリカと純の父親・享が現れる。享は、エリカに縁談を薦め、純には海外で留学するよう指示する。だが、ケンジたちと過ごす時間の楽しさを知った純は、なかなか留学に踏み切れない。これに気付いた享は、ヤスコに、純とヤスコとは住む世界が違うと告げ、さらに、ケンジの力になるとの交換条件を付けて、純の背中を押して欲しい、と頼み込む。純の将来を思って下したヤスコの決断はーーー演出:本間美由紀原作:「ヤスコとケンジ」アルコ(集英社「別冊マーガレット」)  脚本:大石哲也大島ミチル</v>
      </c>
      <c r="O4527" s="2"/>
      <c r="P4527" s="1"/>
      <c r="Q4527" s="1"/>
      <c r="R4527" s="1"/>
      <c r="S4527" s="1"/>
      <c r="T4527" s="1"/>
      <c r="U4527" s="1"/>
      <c r="V4527" s="1"/>
      <c r="W4527" s="1"/>
      <c r="X4527" s="1"/>
      <c r="Y4527" s="1"/>
      <c r="Z4527" s="1"/>
      <c r="AA4527" s="1"/>
      <c r="AB4527" s="1"/>
      <c r="AC4527" s="1"/>
      <c r="AD4527" s="1"/>
      <c r="AE4527" s="1"/>
      <c r="AF4527" s="1"/>
      <c r="AG4527" s="1"/>
      <c r="AH4527" s="1"/>
      <c r="AI4527" s="1"/>
      <c r="AJ4527" s="1"/>
      <c r="AK4527" s="1"/>
      <c r="AL4527" s="1"/>
      <c r="AM4527" s="1"/>
      <c r="AN4527" s="1"/>
      <c r="AO4527" s="1"/>
      <c r="AP4527" s="1"/>
      <c r="AQ4527" s="1"/>
      <c r="AR4527" s="1"/>
      <c r="AS4527" s="1"/>
      <c r="AT4527" s="1"/>
      <c r="AU4527" s="1"/>
      <c r="AV4527" s="1"/>
      <c r="AW4527" s="1"/>
      <c r="AX4527" s="1"/>
      <c r="AY4527" s="1"/>
      <c r="AZ4527" s="1"/>
      <c r="BA4527" s="1"/>
      <c r="BB4527" s="1"/>
    </row>
    <row r="4528" ht="204.75" customHeight="1">
      <c r="A4528" s="1">
        <v>5736.0</v>
      </c>
      <c r="B4528" s="2" t="s">
        <v>12914</v>
      </c>
      <c r="C4528" s="2">
        <f>IFERROR(__xludf.DUMMYFUNCTION("split(B4528,""_"")"),807.0)</f>
        <v>807</v>
      </c>
      <c r="D4528" s="2" t="str">
        <f>IFERROR(__xludf.DUMMYFUNCTION("""COMPUTED_VALUE"""),"NTV")</f>
        <v>NTV</v>
      </c>
      <c r="E4528" s="2" t="str">
        <f>IFERROR(__xludf.DUMMYFUNCTION("""COMPUTED_VALUE"""),"土21")</f>
        <v>土21</v>
      </c>
      <c r="F4528" s="2" t="s">
        <v>12915</v>
      </c>
      <c r="G4528" s="2" t="s">
        <v>12916</v>
      </c>
      <c r="H4528" s="1">
        <v>10.0</v>
      </c>
      <c r="J4528" s="1" t="s">
        <v>4</v>
      </c>
      <c r="K4528" s="2" t="s">
        <v>12926</v>
      </c>
      <c r="L4528" s="2"/>
      <c r="M4528" s="2" t="str">
        <f>IFERROR(__xludf.DUMMYFUNCTION("split(split(K4528,""【演出"",false),""ほか"",false)"),"松岡昌宏、広末涼子、多部未華子、大倉忠義(関ジャニ∞)  山口紗弥加、内山信二、渡部豪太、東亜優、小嶋陽菜、RIKIYA、嶋大輔、櫻井淳子長野博、夏八木勲　")</f>
        <v>松岡昌宏、広末涼子、多部未華子、大倉忠義(関ジャニ∞)  山口紗弥加、内山信二、渡部豪太、東亜優、小嶋陽菜、RIKIYA、嶋大輔、櫻井淳子長野博、夏八木勲　</v>
      </c>
      <c r="N4528" s="2" t="str">
        <f>IFERROR(__xludf.DUMMYFUNCTION("""COMPUTED_VALUE"""),"エリカの告白を聞いたケンジだが、答えを言う前に、急病で卒倒してしまう。返事は先延ばしになるが、周囲の人間は楽観的。エリカもデートの妄想など始めるが、渋谷はどこかいぶかしげな様子。一方、カップルになったヤスコと純は、ケンジに恋愛十カ条を押し付けられる。それは、同じ夕日を見るな!、目を合わすのは3秒までなど、非常に厳しいもので、ヤスコは猛反発。兄弟喧嘩が勃発する。そんななか告白の返答日がやってきて・・演出:大谷太郎原作:「ヤスコとケンジ」アルコ(集英社「別冊マーガレット」)  脚本:山浦雅大大島ミチル")</f>
        <v>エリカの告白を聞いたケンジだが、答えを言う前に、急病で卒倒してしまう。返事は先延ばしになるが、周囲の人間は楽観的。エリカもデートの妄想など始めるが、渋谷はどこかいぶかしげな様子。一方、カップルになったヤスコと純は、ケンジに恋愛十カ条を押し付けられる。それは、同じ夕日を見るな!、目を合わすのは3秒までなど、非常に厳しいもので、ヤスコは猛反発。兄弟喧嘩が勃発する。そんななか告白の返答日がやってきて・・演出:大谷太郎原作:「ヤスコとケンジ」アルコ(集英社「別冊マーガレット」)  脚本:山浦雅大大島ミチル</v>
      </c>
      <c r="O4528" s="2"/>
      <c r="P4528" s="1"/>
      <c r="Q4528" s="1"/>
      <c r="R4528" s="1"/>
      <c r="S4528" s="1"/>
      <c r="T4528" s="1"/>
      <c r="U4528" s="1"/>
      <c r="V4528" s="1"/>
      <c r="W4528" s="1"/>
      <c r="X4528" s="1"/>
      <c r="Y4528" s="1"/>
      <c r="Z4528" s="1"/>
      <c r="AA4528" s="1"/>
      <c r="AB4528" s="1"/>
      <c r="AC4528" s="1"/>
      <c r="AD4528" s="1"/>
      <c r="AE4528" s="1"/>
      <c r="AF4528" s="1"/>
      <c r="AG4528" s="1"/>
      <c r="AH4528" s="1"/>
      <c r="AI4528" s="1"/>
      <c r="AJ4528" s="1"/>
      <c r="AK4528" s="1"/>
      <c r="AL4528" s="1"/>
      <c r="AM4528" s="1"/>
      <c r="AN4528" s="1"/>
      <c r="AO4528" s="1"/>
      <c r="AP4528" s="1"/>
      <c r="AQ4528" s="1"/>
      <c r="AR4528" s="1"/>
      <c r="AS4528" s="1"/>
      <c r="AT4528" s="1"/>
      <c r="AU4528" s="1"/>
      <c r="AV4528" s="1"/>
      <c r="AW4528" s="1"/>
      <c r="AX4528" s="1"/>
      <c r="AY4528" s="1"/>
      <c r="AZ4528" s="1"/>
      <c r="BA4528" s="1"/>
      <c r="BB4528" s="1"/>
    </row>
    <row r="4529" ht="204.75" customHeight="1">
      <c r="A4529" s="1">
        <v>5786.0</v>
      </c>
      <c r="B4529" s="2" t="s">
        <v>12927</v>
      </c>
      <c r="C4529" s="2">
        <f>IFERROR(__xludf.DUMMYFUNCTION("split(B4529,""_"")"),804.0)</f>
        <v>804</v>
      </c>
      <c r="D4529" s="2" t="str">
        <f>IFERROR(__xludf.DUMMYFUNCTION("""COMPUTED_VALUE"""),"NTV")</f>
        <v>NTV</v>
      </c>
      <c r="E4529" s="2" t="str">
        <f>IFERROR(__xludf.DUMMYFUNCTION("""COMPUTED_VALUE"""),"火22")</f>
        <v>火22</v>
      </c>
      <c r="F4529" s="2" t="s">
        <v>12928</v>
      </c>
      <c r="G4529" s="2" t="s">
        <v>12929</v>
      </c>
      <c r="H4529" s="1">
        <v>1.0</v>
      </c>
      <c r="J4529" s="1" t="s">
        <v>82</v>
      </c>
      <c r="K4529" s="2" t="s">
        <v>12930</v>
      </c>
      <c r="L4529" s="2"/>
      <c r="M4529" s="2" t="str">
        <f>IFERROR(__xludf.DUMMYFUNCTION("split(split(K4529,""【演出"",false),""ほか"",false)"),"蒼井優  内博貴  杉本哲太・向井理・鈴木蘭々・工藤里紗  森田彩華・奥村知史・宅間孝行・渡辺いっけい  余貴美子・由紀さおり  松方弘樹東京・下町にある老舗料亭「一升庵」。一流の味ともてなしと名高い料亭で、時代に流されない料理を学ぶのだ!と意気込む若き料理人・江崎ヨシ夫(内博貴)だったが、そこの女将・おせん(蒼井優)は大酒飲みの天然ボケ。しかも一升庵の板場のセオリーは、手間のかかる非効率なことばかり。ある日、常連客からカリスマ料理研究家との料理対決を持ちかけられたおせん。「まかない料理」を作ってくれれば"&amp;"いいと言われるが・・・。")</f>
        <v>蒼井優  内博貴  杉本哲太・向井理・鈴木蘭々・工藤里紗  森田彩華・奥村知史・宅間孝行・渡辺いっけい  余貴美子・由紀さおり  松方弘樹東京・下町にある老舗料亭「一升庵」。一流の味ともてなしと名高い料亭で、時代に流されない料理を学ぶのだ!と意気込む若き料理人・江崎ヨシ夫(内博貴)だったが、そこの女将・おせん(蒼井優)は大酒飲みの天然ボケ。しかも一升庵の板場のセオリーは、手間のかかる非効率なことばかり。ある日、常連客からカリスマ料理研究家との料理対決を持ちかけられたおせん。「まかない料理」を作ってくれればいいと言われるが・・・。</v>
      </c>
      <c r="N4529" s="2"/>
      <c r="O4529" s="2"/>
      <c r="P4529" s="1"/>
      <c r="Q4529" s="1"/>
      <c r="R4529" s="1"/>
      <c r="S4529" s="1"/>
      <c r="T4529" s="1"/>
      <c r="U4529" s="1"/>
      <c r="V4529" s="1"/>
      <c r="W4529" s="1"/>
      <c r="X4529" s="1"/>
      <c r="Y4529" s="1"/>
      <c r="Z4529" s="1"/>
      <c r="AA4529" s="1"/>
      <c r="AB4529" s="1"/>
      <c r="AC4529" s="1"/>
      <c r="AD4529" s="1"/>
      <c r="AE4529" s="1"/>
      <c r="AF4529" s="1"/>
      <c r="AG4529" s="1"/>
      <c r="AH4529" s="1"/>
      <c r="AI4529" s="1"/>
      <c r="AJ4529" s="1"/>
      <c r="AK4529" s="1"/>
      <c r="AL4529" s="1"/>
      <c r="AM4529" s="1"/>
      <c r="AN4529" s="1"/>
      <c r="AO4529" s="1"/>
      <c r="AP4529" s="1"/>
      <c r="AQ4529" s="1"/>
      <c r="AR4529" s="1"/>
      <c r="AS4529" s="1"/>
      <c r="AT4529" s="1"/>
      <c r="AU4529" s="1"/>
      <c r="AV4529" s="1"/>
      <c r="AW4529" s="1"/>
      <c r="AX4529" s="1"/>
      <c r="AY4529" s="1"/>
      <c r="AZ4529" s="1"/>
      <c r="BA4529" s="1"/>
      <c r="BB4529" s="1"/>
    </row>
    <row r="4530" ht="204.75" customHeight="1">
      <c r="A4530" s="1">
        <v>5787.0</v>
      </c>
      <c r="B4530" s="2" t="s">
        <v>12927</v>
      </c>
      <c r="C4530" s="2">
        <f>IFERROR(__xludf.DUMMYFUNCTION("split(B4530,""_"")"),804.0)</f>
        <v>804</v>
      </c>
      <c r="D4530" s="2" t="str">
        <f>IFERROR(__xludf.DUMMYFUNCTION("""COMPUTED_VALUE"""),"NTV")</f>
        <v>NTV</v>
      </c>
      <c r="E4530" s="2" t="str">
        <f>IFERROR(__xludf.DUMMYFUNCTION("""COMPUTED_VALUE"""),"火22")</f>
        <v>火22</v>
      </c>
      <c r="F4530" s="2" t="s">
        <v>12928</v>
      </c>
      <c r="G4530" s="2" t="s">
        <v>12929</v>
      </c>
      <c r="H4530" s="1">
        <v>2.0</v>
      </c>
      <c r="J4530" s="1" t="s">
        <v>86</v>
      </c>
      <c r="K4530" s="2" t="s">
        <v>12931</v>
      </c>
      <c r="L4530" s="2"/>
      <c r="M4530" s="2" t="str">
        <f>IFERROR(__xludf.DUMMYFUNCTION("split(split(K4530,""【演出"",false),""ほか"",false)"),"蒼井優  内博貴・杉本哲太  向井理・鈴木蘭々・工藤里紗・森田彩華・奥村知史  宅間孝行・渡辺いっけい・余貴美子  由紀さおり一升庵に戻ってきた江崎は、給料5万でこきつかわれる日々。そんな中おせんの母・千代が一升庵に帰ってきた。毎年恒例の味噌作りをやろうというのだ。一年分の味噌仕込みという大量の大豆の選別係に、おせんは江崎を任命する。大変な作業にうんざり気味の江崎は、高校の先輩・岡本にその話をする。岡本は実家の祖父母が毎年仲良く作る手作り味噌を送ってもらっていたものの、妻と食事を一緒にすることもない生活を"&amp;"送っていた・・・演出:南雲聖一原作:「おせん」きくち正太(講談社・イブニングKC)  脚本:神ひとえ音楽:菅野祐悟  主題歌:「踊れ」Micro(ユニバーサルミュージック株式会社)  エンディングテーマ:「恋詩ーコイウター」タッキー&amp;翼(avex　trax製作著作:日本テレビ  制作協力:オフィスクレッシェンド")</f>
        <v>蒼井優  内博貴・杉本哲太  向井理・鈴木蘭々・工藤里紗・森田彩華・奥村知史  宅間孝行・渡辺いっけい・余貴美子  由紀さおり一升庵に戻ってきた江崎は、給料5万でこきつかわれる日々。そんな中おせんの母・千代が一升庵に帰ってきた。毎年恒例の味噌作りをやろうというのだ。一年分の味噌仕込みという大量の大豆の選別係に、おせんは江崎を任命する。大変な作業にうんざり気味の江崎は、高校の先輩・岡本にその話をする。岡本は実家の祖父母が毎年仲良く作る手作り味噌を送ってもらっていたものの、妻と食事を一緒にすることもない生活を送っていた・・・演出:南雲聖一原作:「おせん」きくち正太(講談社・イブニングKC)  脚本:神ひとえ音楽:菅野祐悟  主題歌:「踊れ」Micro(ユニバーサルミュージック株式会社)  エンディングテーマ:「恋詩ーコイウター」タッキー&amp;翼(avex　trax製作著作:日本テレビ  制作協力:オフィスクレッシェンド</v>
      </c>
      <c r="N4530" s="2"/>
      <c r="O4530" s="2"/>
      <c r="P4530" s="1"/>
      <c r="Q4530" s="1"/>
      <c r="R4530" s="1"/>
      <c r="S4530" s="1"/>
      <c r="T4530" s="1"/>
      <c r="U4530" s="1"/>
      <c r="V4530" s="1"/>
      <c r="W4530" s="1"/>
      <c r="X4530" s="1"/>
      <c r="Y4530" s="1"/>
      <c r="Z4530" s="1"/>
      <c r="AA4530" s="1"/>
      <c r="AB4530" s="1"/>
      <c r="AC4530" s="1"/>
      <c r="AD4530" s="1"/>
      <c r="AE4530" s="1"/>
      <c r="AF4530" s="1"/>
      <c r="AG4530" s="1"/>
      <c r="AH4530" s="1"/>
      <c r="AI4530" s="1"/>
      <c r="AJ4530" s="1"/>
      <c r="AK4530" s="1"/>
      <c r="AL4530" s="1"/>
      <c r="AM4530" s="1"/>
      <c r="AN4530" s="1"/>
      <c r="AO4530" s="1"/>
      <c r="AP4530" s="1"/>
      <c r="AQ4530" s="1"/>
      <c r="AR4530" s="1"/>
      <c r="AS4530" s="1"/>
      <c r="AT4530" s="1"/>
      <c r="AU4530" s="1"/>
      <c r="AV4530" s="1"/>
      <c r="AW4530" s="1"/>
      <c r="AX4530" s="1"/>
      <c r="AY4530" s="1"/>
      <c r="AZ4530" s="1"/>
      <c r="BA4530" s="1"/>
      <c r="BB4530" s="1"/>
    </row>
    <row r="4531" ht="204.75" customHeight="1">
      <c r="A4531" s="1">
        <v>5788.0</v>
      </c>
      <c r="B4531" s="2" t="s">
        <v>12927</v>
      </c>
      <c r="C4531" s="2">
        <f>IFERROR(__xludf.DUMMYFUNCTION("split(B4531,""_"")"),804.0)</f>
        <v>804</v>
      </c>
      <c r="D4531" s="2" t="str">
        <f>IFERROR(__xludf.DUMMYFUNCTION("""COMPUTED_VALUE"""),"NTV")</f>
        <v>NTV</v>
      </c>
      <c r="E4531" s="2" t="str">
        <f>IFERROR(__xludf.DUMMYFUNCTION("""COMPUTED_VALUE"""),"火22")</f>
        <v>火22</v>
      </c>
      <c r="F4531" s="2" t="s">
        <v>12928</v>
      </c>
      <c r="G4531" s="2" t="s">
        <v>12929</v>
      </c>
      <c r="H4531" s="1">
        <v>3.0</v>
      </c>
      <c r="J4531" s="1" t="s">
        <v>86</v>
      </c>
      <c r="K4531" s="2" t="s">
        <v>12932</v>
      </c>
      <c r="L4531" s="2"/>
      <c r="M4531" s="2" t="str">
        <f>IFERROR(__xludf.DUMMYFUNCTION("split(split(K4531,""【演出"",false),""ほか"",false)"),"蒼井優  内博貴　  杉本哲太　向井理　鈴木蘭々  工藤里紗　森田彩華　奥村知史  渡辺いっけい　余貴美子　  由紀さおり一升庵にかかる「とろろ飯」ののぼり。おせんをはじめ誰もそののぼりを立てる理由を知らない。ある日、江崎は飲み屋で「タコ引きの竜」と名乗る男に出会う。その男はもともと一升庵に勤めていたが、おせんの母・千代のせいで一升庵を追い出されたのだという。おせんは、一枚の古い写真に千代と竜が写っていることから、自分の父親かも知れないと思い、江崎に相談して竜を探しに行くが・・・。")</f>
        <v>蒼井優  内博貴　  杉本哲太　向井理　鈴木蘭々  工藤里紗　森田彩華　奥村知史  渡辺いっけい　余貴美子　  由紀さおり一升庵にかかる「とろろ飯」ののぼり。おせんをはじめ誰もそののぼりを立てる理由を知らない。ある日、江崎は飲み屋で「タコ引きの竜」と名乗る男に出会う。その男はもともと一升庵に勤めていたが、おせんの母・千代のせいで一升庵を追い出されたのだという。おせんは、一枚の古い写真に千代と竜が写っていることから、自分の父親かも知れないと思い、江崎に相談して竜を探しに行くが・・・。</v>
      </c>
      <c r="N4531" s="2"/>
      <c r="O4531" s="2"/>
      <c r="P4531" s="1"/>
      <c r="Q4531" s="1"/>
      <c r="R4531" s="1"/>
      <c r="S4531" s="1"/>
      <c r="T4531" s="1"/>
      <c r="U4531" s="1"/>
      <c r="V4531" s="1"/>
      <c r="W4531" s="1"/>
      <c r="X4531" s="1"/>
      <c r="Y4531" s="1"/>
      <c r="Z4531" s="1"/>
      <c r="AA4531" s="1"/>
      <c r="AB4531" s="1"/>
      <c r="AC4531" s="1"/>
      <c r="AD4531" s="1"/>
      <c r="AE4531" s="1"/>
      <c r="AF4531" s="1"/>
      <c r="AG4531" s="1"/>
      <c r="AH4531" s="1"/>
      <c r="AI4531" s="1"/>
      <c r="AJ4531" s="1"/>
      <c r="AK4531" s="1"/>
      <c r="AL4531" s="1"/>
      <c r="AM4531" s="1"/>
      <c r="AN4531" s="1"/>
      <c r="AO4531" s="1"/>
      <c r="AP4531" s="1"/>
      <c r="AQ4531" s="1"/>
      <c r="AR4531" s="1"/>
      <c r="AS4531" s="1"/>
      <c r="AT4531" s="1"/>
      <c r="AU4531" s="1"/>
      <c r="AV4531" s="1"/>
      <c r="AW4531" s="1"/>
      <c r="AX4531" s="1"/>
      <c r="AY4531" s="1"/>
      <c r="AZ4531" s="1"/>
      <c r="BA4531" s="1"/>
      <c r="BB4531" s="1"/>
    </row>
    <row r="4532" ht="204.75" customHeight="1">
      <c r="A4532" s="1">
        <v>5789.0</v>
      </c>
      <c r="B4532" s="2" t="s">
        <v>12927</v>
      </c>
      <c r="C4532" s="2">
        <f>IFERROR(__xludf.DUMMYFUNCTION("split(B4532,""_"")"),804.0)</f>
        <v>804</v>
      </c>
      <c r="D4532" s="2" t="str">
        <f>IFERROR(__xludf.DUMMYFUNCTION("""COMPUTED_VALUE"""),"NTV")</f>
        <v>NTV</v>
      </c>
      <c r="E4532" s="2" t="str">
        <f>IFERROR(__xludf.DUMMYFUNCTION("""COMPUTED_VALUE"""),"火22")</f>
        <v>火22</v>
      </c>
      <c r="F4532" s="2" t="s">
        <v>12928</v>
      </c>
      <c r="G4532" s="2" t="s">
        <v>12929</v>
      </c>
      <c r="H4532" s="1">
        <v>4.0</v>
      </c>
      <c r="J4532" s="1" t="s">
        <v>86</v>
      </c>
      <c r="K4532" s="2" t="s">
        <v>12933</v>
      </c>
      <c r="L4532" s="2"/>
      <c r="M4532" s="2" t="str">
        <f>IFERROR(__xludf.DUMMYFUNCTION("split(split(K4532,""【演出"",false),""ほか"",false)"),"蒼井優　  内博貴　  杉本哲太　向井理　鈴木蘭々  森田彩華　奥村知史　宅間孝行  渡辺いっけい　余貴美子すき焼きを楽しむ一升庵のメンバーの前に現れ「すき焼きは不細工な料理」と言い切る男・台場建二。彼は商業ビルのプランナーで、一升庵に2号店を出さないかとおせんに提案する。その話を聞き2号店が出来ればオレも包丁くらい握れるようなるかも・・・と淡い期待を抱く江崎だったが、おせんと共に話を聞いた清二はピシャリとその話を断るのだった。諦め切れない台場は江崎を使っておせんに2号店の話を受け入れるよう企む・・・。")</f>
        <v>蒼井優　  内博貴　  杉本哲太　向井理　鈴木蘭々  森田彩華　奥村知史　宅間孝行  渡辺いっけい　余貴美子すき焼きを楽しむ一升庵のメンバーの前に現れ「すき焼きは不細工な料理」と言い切る男・台場建二。彼は商業ビルのプランナーで、一升庵に2号店を出さないかとおせんに提案する。その話を聞き2号店が出来ればオレも包丁くらい握れるようなるかも・・・と淡い期待を抱く江崎だったが、おせんと共に話を聞いた清二はピシャリとその話を断るのだった。諦め切れない台場は江崎を使っておせんに2号店の話を受け入れるよう企む・・・。</v>
      </c>
      <c r="N4532" s="2"/>
      <c r="O4532" s="2"/>
      <c r="P4532" s="1"/>
      <c r="Q4532" s="1"/>
      <c r="R4532" s="1"/>
      <c r="S4532" s="1"/>
      <c r="T4532" s="1"/>
      <c r="U4532" s="1"/>
      <c r="V4532" s="1"/>
      <c r="W4532" s="1"/>
      <c r="X4532" s="1"/>
      <c r="Y4532" s="1"/>
      <c r="Z4532" s="1"/>
      <c r="AA4532" s="1"/>
      <c r="AB4532" s="1"/>
      <c r="AC4532" s="1"/>
      <c r="AD4532" s="1"/>
      <c r="AE4532" s="1"/>
      <c r="AF4532" s="1"/>
      <c r="AG4532" s="1"/>
      <c r="AH4532" s="1"/>
      <c r="AI4532" s="1"/>
      <c r="AJ4532" s="1"/>
      <c r="AK4532" s="1"/>
      <c r="AL4532" s="1"/>
      <c r="AM4532" s="1"/>
      <c r="AN4532" s="1"/>
      <c r="AO4532" s="1"/>
      <c r="AP4532" s="1"/>
      <c r="AQ4532" s="1"/>
      <c r="AR4532" s="1"/>
      <c r="AS4532" s="1"/>
      <c r="AT4532" s="1"/>
      <c r="AU4532" s="1"/>
      <c r="AV4532" s="1"/>
      <c r="AW4532" s="1"/>
      <c r="AX4532" s="1"/>
      <c r="AY4532" s="1"/>
      <c r="AZ4532" s="1"/>
      <c r="BA4532" s="1"/>
      <c r="BB4532" s="1"/>
    </row>
    <row r="4533" ht="204.75" customHeight="1">
      <c r="A4533" s="1">
        <v>5790.0</v>
      </c>
      <c r="B4533" s="2" t="s">
        <v>12927</v>
      </c>
      <c r="C4533" s="2">
        <f>IFERROR(__xludf.DUMMYFUNCTION("split(B4533,""_"")"),804.0)</f>
        <v>804</v>
      </c>
      <c r="D4533" s="2" t="str">
        <f>IFERROR(__xludf.DUMMYFUNCTION("""COMPUTED_VALUE"""),"NTV")</f>
        <v>NTV</v>
      </c>
      <c r="E4533" s="2" t="str">
        <f>IFERROR(__xludf.DUMMYFUNCTION("""COMPUTED_VALUE"""),"火22")</f>
        <v>火22</v>
      </c>
      <c r="F4533" s="2" t="s">
        <v>12928</v>
      </c>
      <c r="G4533" s="2" t="s">
        <v>12929</v>
      </c>
      <c r="H4533" s="1">
        <v>5.0</v>
      </c>
      <c r="J4533" s="1" t="s">
        <v>86</v>
      </c>
      <c r="K4533" s="2" t="s">
        <v>12934</v>
      </c>
      <c r="L4533" s="2"/>
      <c r="M4533" s="2" t="str">
        <f>IFERROR(__xludf.DUMMYFUNCTION("split(split(K4533,""【演出"",false),""ほか"",false)"),"蒼井優　内博貴　  杉本哲太　向井理　鈴木蘭々　  工藤里紗　森田彩華　奥村知史  宅間孝行　渡辺いっけい　余貴美子  松方弘樹木下が娘一家と一緒に暮らす事になったのだが、古い日本家屋を取り壊し新築の家を建てると娘が主張しているという。女大工の丁子は、ひいじいさんが建てた木下の家を「仕立て直し」する事を夢見ていたので、その話に激怒。さらに、娘・カンナに新築を持ちかけた住宅メーカーは悪徳業者というウワサもあり、一升庵のメンバーは木下を案じおせんに訴える。住宅メーカーに時代後れだとののしられる丁子をみておせん"&amp;"は立ち上がる・・・")</f>
        <v>蒼井優　内博貴　  杉本哲太　向井理　鈴木蘭々　  工藤里紗　森田彩華　奥村知史  宅間孝行　渡辺いっけい　余貴美子  松方弘樹木下が娘一家と一緒に暮らす事になったのだが、古い日本家屋を取り壊し新築の家を建てると娘が主張しているという。女大工の丁子は、ひいじいさんが建てた木下の家を「仕立て直し」する事を夢見ていたので、その話に激怒。さらに、娘・カンナに新築を持ちかけた住宅メーカーは悪徳業者というウワサもあり、一升庵のメンバーは木下を案じおせんに訴える。住宅メーカーに時代後れだとののしられる丁子をみておせんは立ち上がる・・・</v>
      </c>
      <c r="N4533" s="2"/>
      <c r="O4533" s="2"/>
      <c r="P4533" s="1"/>
      <c r="Q4533" s="1"/>
      <c r="R4533" s="1"/>
      <c r="S4533" s="1"/>
      <c r="T4533" s="1"/>
      <c r="U4533" s="1"/>
      <c r="V4533" s="1"/>
      <c r="W4533" s="1"/>
      <c r="X4533" s="1"/>
      <c r="Y4533" s="1"/>
      <c r="Z4533" s="1"/>
      <c r="AA4533" s="1"/>
      <c r="AB4533" s="1"/>
      <c r="AC4533" s="1"/>
      <c r="AD4533" s="1"/>
      <c r="AE4533" s="1"/>
      <c r="AF4533" s="1"/>
      <c r="AG4533" s="1"/>
      <c r="AH4533" s="1"/>
      <c r="AI4533" s="1"/>
      <c r="AJ4533" s="1"/>
      <c r="AK4533" s="1"/>
      <c r="AL4533" s="1"/>
      <c r="AM4533" s="1"/>
      <c r="AN4533" s="1"/>
      <c r="AO4533" s="1"/>
      <c r="AP4533" s="1"/>
      <c r="AQ4533" s="1"/>
      <c r="AR4533" s="1"/>
      <c r="AS4533" s="1"/>
      <c r="AT4533" s="1"/>
      <c r="AU4533" s="1"/>
      <c r="AV4533" s="1"/>
      <c r="AW4533" s="1"/>
      <c r="AX4533" s="1"/>
      <c r="AY4533" s="1"/>
      <c r="AZ4533" s="1"/>
      <c r="BA4533" s="1"/>
      <c r="BB4533" s="1"/>
    </row>
    <row r="4534" ht="204.75" customHeight="1">
      <c r="A4534" s="1">
        <v>5791.0</v>
      </c>
      <c r="B4534" s="2" t="s">
        <v>12927</v>
      </c>
      <c r="C4534" s="2">
        <f>IFERROR(__xludf.DUMMYFUNCTION("split(B4534,""_"")"),804.0)</f>
        <v>804</v>
      </c>
      <c r="D4534" s="2" t="str">
        <f>IFERROR(__xludf.DUMMYFUNCTION("""COMPUTED_VALUE"""),"NTV")</f>
        <v>NTV</v>
      </c>
      <c r="E4534" s="2" t="str">
        <f>IFERROR(__xludf.DUMMYFUNCTION("""COMPUTED_VALUE"""),"火22")</f>
        <v>火22</v>
      </c>
      <c r="F4534" s="2" t="s">
        <v>12928</v>
      </c>
      <c r="G4534" s="2" t="s">
        <v>12929</v>
      </c>
      <c r="H4534" s="1">
        <v>6.0</v>
      </c>
      <c r="J4534" s="1" t="s">
        <v>86</v>
      </c>
      <c r="K4534" s="2" t="s">
        <v>12935</v>
      </c>
      <c r="L4534" s="2"/>
      <c r="M4534" s="2" t="str">
        <f>IFERROR(__xludf.DUMMYFUNCTION("split(split(K4534,""【演出"",false),""ほか"",false)"),"蒼井優  内博貴　  杉本哲太　向井理　鈴木蘭々  工藤里紗　森田彩華　奥村知史  渡辺いっけい  余貴美子おせんにお見合いの話が!相手は、大学の准教授・千堂保。文武両道、容姿端麗の好青年だ。「自分は一升庵の女将だから」と躊躇するおせんだったが、普通の女の子として楽しんだらいいとシズに背中を押され、結局千堂と会うことに。留吉は、おせんの結婚なんて絶対ダメ!と江崎を連れて千堂のアラ探しを試みる。そんな周りの心配をよそにデートを重ねる2人。そんな中、千堂がおせんの女将姿を見たいと一升庵にやってくる・・・。")</f>
        <v>蒼井優  内博貴　  杉本哲太　向井理　鈴木蘭々  工藤里紗　森田彩華　奥村知史  渡辺いっけい  余貴美子おせんにお見合いの話が!相手は、大学の准教授・千堂保。文武両道、容姿端麗の好青年だ。「自分は一升庵の女将だから」と躊躇するおせんだったが、普通の女の子として楽しんだらいいとシズに背中を押され、結局千堂と会うことに。留吉は、おせんの結婚なんて絶対ダメ!と江崎を連れて千堂のアラ探しを試みる。そんな周りの心配をよそにデートを重ねる2人。そんな中、千堂がおせんの女将姿を見たいと一升庵にやってくる・・・。</v>
      </c>
      <c r="N4534" s="2"/>
      <c r="O4534" s="2"/>
      <c r="P4534" s="1"/>
      <c r="Q4534" s="1"/>
      <c r="R4534" s="1"/>
      <c r="S4534" s="1"/>
      <c r="T4534" s="1"/>
      <c r="U4534" s="1"/>
      <c r="V4534" s="1"/>
      <c r="W4534" s="1"/>
      <c r="X4534" s="1"/>
      <c r="Y4534" s="1"/>
      <c r="Z4534" s="1"/>
      <c r="AA4534" s="1"/>
      <c r="AB4534" s="1"/>
      <c r="AC4534" s="1"/>
      <c r="AD4534" s="1"/>
      <c r="AE4534" s="1"/>
      <c r="AF4534" s="1"/>
      <c r="AG4534" s="1"/>
      <c r="AH4534" s="1"/>
      <c r="AI4534" s="1"/>
      <c r="AJ4534" s="1"/>
      <c r="AK4534" s="1"/>
      <c r="AL4534" s="1"/>
      <c r="AM4534" s="1"/>
      <c r="AN4534" s="1"/>
      <c r="AO4534" s="1"/>
      <c r="AP4534" s="1"/>
      <c r="AQ4534" s="1"/>
      <c r="AR4534" s="1"/>
      <c r="AS4534" s="1"/>
      <c r="AT4534" s="1"/>
      <c r="AU4534" s="1"/>
      <c r="AV4534" s="1"/>
      <c r="AW4534" s="1"/>
      <c r="AX4534" s="1"/>
      <c r="AY4534" s="1"/>
      <c r="AZ4534" s="1"/>
      <c r="BA4534" s="1"/>
      <c r="BB4534" s="1"/>
    </row>
    <row r="4535" ht="204.75" customHeight="1">
      <c r="A4535" s="1">
        <v>5792.0</v>
      </c>
      <c r="B4535" s="2" t="s">
        <v>12927</v>
      </c>
      <c r="C4535" s="2">
        <f>IFERROR(__xludf.DUMMYFUNCTION("split(B4535,""_"")"),804.0)</f>
        <v>804</v>
      </c>
      <c r="D4535" s="2" t="str">
        <f>IFERROR(__xludf.DUMMYFUNCTION("""COMPUTED_VALUE"""),"NTV")</f>
        <v>NTV</v>
      </c>
      <c r="E4535" s="2" t="str">
        <f>IFERROR(__xludf.DUMMYFUNCTION("""COMPUTED_VALUE"""),"火22")</f>
        <v>火22</v>
      </c>
      <c r="F4535" s="2" t="s">
        <v>12928</v>
      </c>
      <c r="G4535" s="2" t="s">
        <v>12929</v>
      </c>
      <c r="H4535" s="1">
        <v>7.0</v>
      </c>
      <c r="J4535" s="1" t="s">
        <v>86</v>
      </c>
      <c r="K4535" s="2" t="s">
        <v>12936</v>
      </c>
      <c r="L4535" s="2"/>
      <c r="M4535" s="2" t="str">
        <f>IFERROR(__xludf.DUMMYFUNCTION("split(split(K4535,""【演出"",false),""ほか"",false)"),"蒼井優  内博貴  杉本哲太　向井理　鈴木蘭々  工藤里紗　森田彩華　奥村知史  渡辺いっけい　余貴美子ある日、江崎が味噌蔵で謎の甕を発見。それは「塩麹」。江崎はおせんにこれを使って一升庵の看板料理を開発しようと提案。日々料理人として無邪気に成長するかのように見える江崎に、留吉はあせっていた。留吉は一人酒を呑みに出かけた店で一升庵の板前ともてはやされ、仕舞いには客に料理を振舞ってしまう。それを知った清二は激怒し、留吉はけじめをつけると一升庵を辞めてしまう。おせんは止めもせず塩麹に夢中になるが・・・。")</f>
        <v>蒼井優  内博貴  杉本哲太　向井理　鈴木蘭々  工藤里紗　森田彩華　奥村知史  渡辺いっけい　余貴美子ある日、江崎が味噌蔵で謎の甕を発見。それは「塩麹」。江崎はおせんにこれを使って一升庵の看板料理を開発しようと提案。日々料理人として無邪気に成長するかのように見える江崎に、留吉はあせっていた。留吉は一人酒を呑みに出かけた店で一升庵の板前ともてはやされ、仕舞いには客に料理を振舞ってしまう。それを知った清二は激怒し、留吉はけじめをつけると一升庵を辞めてしまう。おせんは止めもせず塩麹に夢中になるが・・・。</v>
      </c>
      <c r="N4535" s="2"/>
      <c r="O4535" s="2"/>
      <c r="P4535" s="1"/>
      <c r="Q4535" s="1"/>
      <c r="R4535" s="1"/>
      <c r="S4535" s="1"/>
      <c r="T4535" s="1"/>
      <c r="U4535" s="1"/>
      <c r="V4535" s="1"/>
      <c r="W4535" s="1"/>
      <c r="X4535" s="1"/>
      <c r="Y4535" s="1"/>
      <c r="Z4535" s="1"/>
      <c r="AA4535" s="1"/>
      <c r="AB4535" s="1"/>
      <c r="AC4535" s="1"/>
      <c r="AD4535" s="1"/>
      <c r="AE4535" s="1"/>
      <c r="AF4535" s="1"/>
      <c r="AG4535" s="1"/>
      <c r="AH4535" s="1"/>
      <c r="AI4535" s="1"/>
      <c r="AJ4535" s="1"/>
      <c r="AK4535" s="1"/>
      <c r="AL4535" s="1"/>
      <c r="AM4535" s="1"/>
      <c r="AN4535" s="1"/>
      <c r="AO4535" s="1"/>
      <c r="AP4535" s="1"/>
      <c r="AQ4535" s="1"/>
      <c r="AR4535" s="1"/>
      <c r="AS4535" s="1"/>
      <c r="AT4535" s="1"/>
      <c r="AU4535" s="1"/>
      <c r="AV4535" s="1"/>
      <c r="AW4535" s="1"/>
      <c r="AX4535" s="1"/>
      <c r="AY4535" s="1"/>
      <c r="AZ4535" s="1"/>
      <c r="BA4535" s="1"/>
      <c r="BB4535" s="1"/>
    </row>
    <row r="4536" ht="204.75" customHeight="1">
      <c r="A4536" s="1">
        <v>5793.0</v>
      </c>
      <c r="B4536" s="2" t="s">
        <v>12927</v>
      </c>
      <c r="C4536" s="2">
        <f>IFERROR(__xludf.DUMMYFUNCTION("split(B4536,""_"")"),804.0)</f>
        <v>804</v>
      </c>
      <c r="D4536" s="2" t="str">
        <f>IFERROR(__xludf.DUMMYFUNCTION("""COMPUTED_VALUE"""),"NTV")</f>
        <v>NTV</v>
      </c>
      <c r="E4536" s="2" t="str">
        <f>IFERROR(__xludf.DUMMYFUNCTION("""COMPUTED_VALUE"""),"火22")</f>
        <v>火22</v>
      </c>
      <c r="F4536" s="2" t="s">
        <v>12928</v>
      </c>
      <c r="G4536" s="2" t="s">
        <v>12929</v>
      </c>
      <c r="H4536" s="1">
        <v>8.0</v>
      </c>
      <c r="J4536" s="1" t="s">
        <v>86</v>
      </c>
      <c r="K4536" s="2" t="s">
        <v>12937</v>
      </c>
      <c r="L4536" s="2"/>
      <c r="M4536" s="2" t="str">
        <f>IFERROR(__xludf.DUMMYFUNCTION("split(split(K4536,""【演出"",false),""ほか"",false)"),"蒼井優  内博貴　  杉本哲太　向井理　鈴木蘭々　  工藤里紗　森田彩華　奥村知史  渡辺いっけい　余貴美子祭りで200人分の料理を振舞う一升庵の大イベント。メインはテル子のワラ炊き「お結び」。ある日、テル子の同級生でグルメ雑誌記者の藤木が訪れる。ワラ炊きご飯を食べたいというのだ。雑誌には載せないと約束したが、その日以来ご飯だけを求める客が殺到。ワラが足りなくなり、一升庵は営業できなくなるばかりかお祭りの仕出しも難しくなった。おせんはテル子にまでワラにこだわるのは「時代遅れ」だと言われ姿を消す・・・。")</f>
        <v>蒼井優  内博貴　  杉本哲太　向井理　鈴木蘭々　  工藤里紗　森田彩華　奥村知史  渡辺いっけい　余貴美子祭りで200人分の料理を振舞う一升庵の大イベント。メインはテル子のワラ炊き「お結び」。ある日、テル子の同級生でグルメ雑誌記者の藤木が訪れる。ワラ炊きご飯を食べたいというのだ。雑誌には載せないと約束したが、その日以来ご飯だけを求める客が殺到。ワラが足りなくなり、一升庵は営業できなくなるばかりかお祭りの仕出しも難しくなった。おせんはテル子にまでワラにこだわるのは「時代遅れ」だと言われ姿を消す・・・。</v>
      </c>
      <c r="N4536" s="2"/>
      <c r="O4536" s="2"/>
      <c r="P4536" s="1"/>
      <c r="Q4536" s="1"/>
      <c r="R4536" s="1"/>
      <c r="S4536" s="1"/>
      <c r="T4536" s="1"/>
      <c r="U4536" s="1"/>
      <c r="V4536" s="1"/>
      <c r="W4536" s="1"/>
      <c r="X4536" s="1"/>
      <c r="Y4536" s="1"/>
      <c r="Z4536" s="1"/>
      <c r="AA4536" s="1"/>
      <c r="AB4536" s="1"/>
      <c r="AC4536" s="1"/>
      <c r="AD4536" s="1"/>
      <c r="AE4536" s="1"/>
      <c r="AF4536" s="1"/>
      <c r="AG4536" s="1"/>
      <c r="AH4536" s="1"/>
      <c r="AI4536" s="1"/>
      <c r="AJ4536" s="1"/>
      <c r="AK4536" s="1"/>
      <c r="AL4536" s="1"/>
      <c r="AM4536" s="1"/>
      <c r="AN4536" s="1"/>
      <c r="AO4536" s="1"/>
      <c r="AP4536" s="1"/>
      <c r="AQ4536" s="1"/>
      <c r="AR4536" s="1"/>
      <c r="AS4536" s="1"/>
      <c r="AT4536" s="1"/>
      <c r="AU4536" s="1"/>
      <c r="AV4536" s="1"/>
      <c r="AW4536" s="1"/>
      <c r="AX4536" s="1"/>
      <c r="AY4536" s="1"/>
      <c r="AZ4536" s="1"/>
      <c r="BA4536" s="1"/>
      <c r="BB4536" s="1"/>
    </row>
    <row r="4537" ht="204.75" customHeight="1">
      <c r="A4537" s="1">
        <v>5794.0</v>
      </c>
      <c r="B4537" s="2" t="s">
        <v>12927</v>
      </c>
      <c r="C4537" s="2">
        <f>IFERROR(__xludf.DUMMYFUNCTION("split(B4537,""_"")"),804.0)</f>
        <v>804</v>
      </c>
      <c r="D4537" s="2" t="str">
        <f>IFERROR(__xludf.DUMMYFUNCTION("""COMPUTED_VALUE"""),"NTV")</f>
        <v>NTV</v>
      </c>
      <c r="E4537" s="2" t="str">
        <f>IFERROR(__xludf.DUMMYFUNCTION("""COMPUTED_VALUE"""),"火22")</f>
        <v>火22</v>
      </c>
      <c r="F4537" s="2" t="s">
        <v>12928</v>
      </c>
      <c r="G4537" s="2" t="s">
        <v>12929</v>
      </c>
      <c r="H4537" s="1">
        <v>9.0</v>
      </c>
      <c r="J4537" s="1" t="s">
        <v>86</v>
      </c>
      <c r="K4537" s="2" t="s">
        <v>12938</v>
      </c>
      <c r="L4537" s="2"/>
      <c r="M4537" s="2" t="str">
        <f>IFERROR(__xludf.DUMMYFUNCTION("split(split(K4537,""【演出"",false),""ほか"",false)"),"蒼井優  内博貴  杉本哲太　向井理　鈴木蘭々  工藤里紗　森田彩華　奥村知史  宅間孝行　渡辺いっけい　余貴美子  由紀さおりおせんが殴打事件を起こした!馴じみの乾物屋の息子が作る手間が全く違う「本枯節」と「荒節」の区別は客には分からないと言い切り、思わず手が出てしまったのだ。その店の仕入れ先「ヤマジョウ」が本枯節の製造中止を決めたと聞かされ、おせんは江崎と共に焼津に向かう。時代の流れで本枯節が売れない今、従業員たちの生活を守る為に削りパックの下請け工場に転換するしかないという。おせんはなんとか本枯節を"&amp;"守りたいが・・・。")</f>
        <v>蒼井優  内博貴  杉本哲太　向井理　鈴木蘭々  工藤里紗　森田彩華　奥村知史  宅間孝行　渡辺いっけい　余貴美子  由紀さおりおせんが殴打事件を起こした!馴じみの乾物屋の息子が作る手間が全く違う「本枯節」と「荒節」の区別は客には分からないと言い切り、思わず手が出てしまったのだ。その店の仕入れ先「ヤマジョウ」が本枯節の製造中止を決めたと聞かされ、おせんは江崎と共に焼津に向かう。時代の流れで本枯節が売れない今、従業員たちの生活を守る為に削りパックの下請け工場に転換するしかないという。おせんはなんとか本枯節を守りたいが・・・。</v>
      </c>
      <c r="N4537" s="2"/>
      <c r="O4537" s="2"/>
      <c r="P4537" s="1"/>
      <c r="Q4537" s="1"/>
      <c r="R4537" s="1"/>
      <c r="S4537" s="1"/>
      <c r="T4537" s="1"/>
      <c r="U4537" s="1"/>
      <c r="V4537" s="1"/>
      <c r="W4537" s="1"/>
      <c r="X4537" s="1"/>
      <c r="Y4537" s="1"/>
      <c r="Z4537" s="1"/>
      <c r="AA4537" s="1"/>
      <c r="AB4537" s="1"/>
      <c r="AC4537" s="1"/>
      <c r="AD4537" s="1"/>
      <c r="AE4537" s="1"/>
      <c r="AF4537" s="1"/>
      <c r="AG4537" s="1"/>
      <c r="AH4537" s="1"/>
      <c r="AI4537" s="1"/>
      <c r="AJ4537" s="1"/>
      <c r="AK4537" s="1"/>
      <c r="AL4537" s="1"/>
      <c r="AM4537" s="1"/>
      <c r="AN4537" s="1"/>
      <c r="AO4537" s="1"/>
      <c r="AP4537" s="1"/>
      <c r="AQ4537" s="1"/>
      <c r="AR4537" s="1"/>
      <c r="AS4537" s="1"/>
      <c r="AT4537" s="1"/>
      <c r="AU4537" s="1"/>
      <c r="AV4537" s="1"/>
      <c r="AW4537" s="1"/>
      <c r="AX4537" s="1"/>
      <c r="AY4537" s="1"/>
      <c r="AZ4537" s="1"/>
      <c r="BA4537" s="1"/>
      <c r="BB4537" s="1"/>
    </row>
    <row r="4538" ht="204.75" customHeight="1">
      <c r="A4538" s="1">
        <v>5795.0</v>
      </c>
      <c r="B4538" s="2" t="s">
        <v>12927</v>
      </c>
      <c r="C4538" s="2">
        <f>IFERROR(__xludf.DUMMYFUNCTION("split(B4538,""_"")"),804.0)</f>
        <v>804</v>
      </c>
      <c r="D4538" s="2" t="str">
        <f>IFERROR(__xludf.DUMMYFUNCTION("""COMPUTED_VALUE"""),"NTV")</f>
        <v>NTV</v>
      </c>
      <c r="E4538" s="2" t="str">
        <f>IFERROR(__xludf.DUMMYFUNCTION("""COMPUTED_VALUE"""),"火22")</f>
        <v>火22</v>
      </c>
      <c r="F4538" s="2" t="s">
        <v>12928</v>
      </c>
      <c r="G4538" s="2" t="s">
        <v>12929</v>
      </c>
      <c r="H4538" s="1">
        <v>10.0</v>
      </c>
      <c r="J4538" s="1" t="s">
        <v>86</v>
      </c>
      <c r="K4538" s="2" t="s">
        <v>12939</v>
      </c>
      <c r="L4538" s="2"/>
      <c r="M4538" s="2" t="str">
        <f>IFERROR(__xludf.DUMMYFUNCTION("split(split(K4538,""【演出"",false),""ほか"",false)"),"蒼井優  内博貴  杉本哲太　向井理　鈴木蘭々  工藤里紗　森田彩華　奥村知史  宅間孝行　半海一晃　渡辺いっけい　余貴美子  由紀さおりおせんは子供の頃から舌に味を刻んできた「山上の本枯節」を守る為、山上を買収しようとするエンプールの担当者・矢田を一升庵に呼んだ。彼が天才鰹節職人と言われた男の息子だと知るおせんは「彼の舌の記憶に訴えたい」のだ。社長の金池と共に一升庵にやってきた矢田はある鰹料理を振舞われるが・・・そして今度は銀行が一升庵の借金8000万の一括返済を求めてきた。一升庵の危機の中、江崎が突然"&amp;"店を辞めたいと申し出て・・・")</f>
        <v>蒼井優  内博貴  杉本哲太　向井理　鈴木蘭々  工藤里紗　森田彩華　奥村知史  宅間孝行　半海一晃　渡辺いっけい　余貴美子  由紀さおりおせんは子供の頃から舌に味を刻んできた「山上の本枯節」を守る為、山上を買収しようとするエンプールの担当者・矢田を一升庵に呼んだ。彼が天才鰹節職人と言われた男の息子だと知るおせんは「彼の舌の記憶に訴えたい」のだ。社長の金池と共に一升庵にやってきた矢田はある鰹料理を振舞われるが・・・そして今度は銀行が一升庵の借金8000万の一括返済を求めてきた。一升庵の危機の中、江崎が突然店を辞めたいと申し出て・・・</v>
      </c>
      <c r="N4538" s="2"/>
      <c r="O4538" s="2"/>
      <c r="P4538" s="1"/>
      <c r="Q4538" s="1"/>
      <c r="R4538" s="1"/>
      <c r="S4538" s="1"/>
      <c r="T4538" s="1"/>
      <c r="U4538" s="1"/>
      <c r="V4538" s="1"/>
      <c r="W4538" s="1"/>
      <c r="X4538" s="1"/>
      <c r="Y4538" s="1"/>
      <c r="Z4538" s="1"/>
      <c r="AA4538" s="1"/>
      <c r="AB4538" s="1"/>
      <c r="AC4538" s="1"/>
      <c r="AD4538" s="1"/>
      <c r="AE4538" s="1"/>
      <c r="AF4538" s="1"/>
      <c r="AG4538" s="1"/>
      <c r="AH4538" s="1"/>
      <c r="AI4538" s="1"/>
      <c r="AJ4538" s="1"/>
      <c r="AK4538" s="1"/>
      <c r="AL4538" s="1"/>
      <c r="AM4538" s="1"/>
      <c r="AN4538" s="1"/>
      <c r="AO4538" s="1"/>
      <c r="AP4538" s="1"/>
      <c r="AQ4538" s="1"/>
      <c r="AR4538" s="1"/>
      <c r="AS4538" s="1"/>
      <c r="AT4538" s="1"/>
      <c r="AU4538" s="1"/>
      <c r="AV4538" s="1"/>
      <c r="AW4538" s="1"/>
      <c r="AX4538" s="1"/>
      <c r="AY4538" s="1"/>
      <c r="AZ4538" s="1"/>
      <c r="BA4538" s="1"/>
      <c r="BB4538" s="1"/>
    </row>
    <row r="4539" ht="204.75" customHeight="1">
      <c r="A4539" s="1">
        <v>5796.0</v>
      </c>
      <c r="B4539" s="2" t="s">
        <v>12940</v>
      </c>
      <c r="C4539" s="2">
        <f>IFERROR(__xludf.DUMMYFUNCTION("split(B4539,""_"")"),804.0)</f>
        <v>804</v>
      </c>
      <c r="D4539" s="2" t="str">
        <f>IFERROR(__xludf.DUMMYFUNCTION("""COMPUTED_VALUE"""),"NTV")</f>
        <v>NTV</v>
      </c>
      <c r="E4539" s="2" t="str">
        <f>IFERROR(__xludf.DUMMYFUNCTION("""COMPUTED_VALUE"""),"水22")</f>
        <v>水22</v>
      </c>
      <c r="F4539" s="2" t="s">
        <v>12941</v>
      </c>
      <c r="G4539" s="2" t="s">
        <v>12942</v>
      </c>
      <c r="H4539" s="1">
        <v>1.0</v>
      </c>
      <c r="J4539" s="1" t="s">
        <v>82</v>
      </c>
      <c r="K4539" s="2" t="s">
        <v>12943</v>
      </c>
      <c r="L4539" s="2"/>
      <c r="M4539" s="2" t="str">
        <f>IFERROR(__xludf.DUMMYFUNCTION("split(split(K4539,""【演出"",false),""ほか"",false)"),"上戸彩　北村一輝　加藤成亮　戸田菜穂　篠井英介　中山恵　りょう　かとうかず子　大杉漣")</f>
        <v>上戸彩　北村一輝　加藤成亮　戸田菜穂　篠井英介　中山恵　りょう　かとうかず子　大杉漣</v>
      </c>
      <c r="N4539" s="2"/>
      <c r="O4539" s="2"/>
      <c r="P4539" s="1"/>
      <c r="Q4539" s="1"/>
      <c r="R4539" s="1"/>
      <c r="S4539" s="1"/>
      <c r="T4539" s="1"/>
      <c r="U4539" s="1"/>
      <c r="V4539" s="1"/>
      <c r="W4539" s="1"/>
      <c r="X4539" s="1"/>
      <c r="Y4539" s="1"/>
      <c r="Z4539" s="1"/>
      <c r="AA4539" s="1"/>
      <c r="AB4539" s="1"/>
      <c r="AC4539" s="1"/>
      <c r="AD4539" s="1"/>
      <c r="AE4539" s="1"/>
      <c r="AF4539" s="1"/>
      <c r="AG4539" s="1"/>
      <c r="AH4539" s="1"/>
      <c r="AI4539" s="1"/>
      <c r="AJ4539" s="1"/>
      <c r="AK4539" s="1"/>
      <c r="AL4539" s="1"/>
      <c r="AM4539" s="1"/>
      <c r="AN4539" s="1"/>
      <c r="AO4539" s="1"/>
      <c r="AP4539" s="1"/>
      <c r="AQ4539" s="1"/>
      <c r="AR4539" s="1"/>
      <c r="AS4539" s="1"/>
      <c r="AT4539" s="1"/>
      <c r="AU4539" s="1"/>
      <c r="AV4539" s="1"/>
      <c r="AW4539" s="1"/>
      <c r="AX4539" s="1"/>
      <c r="AY4539" s="1"/>
      <c r="AZ4539" s="1"/>
      <c r="BA4539" s="1"/>
      <c r="BB4539" s="1"/>
    </row>
    <row r="4540" ht="204.75" customHeight="1">
      <c r="A4540" s="1">
        <v>5797.0</v>
      </c>
      <c r="B4540" s="2" t="s">
        <v>12940</v>
      </c>
      <c r="C4540" s="2">
        <f>IFERROR(__xludf.DUMMYFUNCTION("split(B4540,""_"")"),804.0)</f>
        <v>804</v>
      </c>
      <c r="D4540" s="2" t="str">
        <f>IFERROR(__xludf.DUMMYFUNCTION("""COMPUTED_VALUE"""),"NTV")</f>
        <v>NTV</v>
      </c>
      <c r="E4540" s="2" t="str">
        <f>IFERROR(__xludf.DUMMYFUNCTION("""COMPUTED_VALUE"""),"水22")</f>
        <v>水22</v>
      </c>
      <c r="F4540" s="2" t="s">
        <v>12941</v>
      </c>
      <c r="G4540" s="2" t="s">
        <v>12942</v>
      </c>
      <c r="H4540" s="1">
        <v>2.0</v>
      </c>
      <c r="J4540" s="1" t="s">
        <v>86</v>
      </c>
      <c r="K4540" s="2" t="s">
        <v>12944</v>
      </c>
      <c r="L4540" s="2"/>
      <c r="M4540" s="2" t="str">
        <f>IFERROR(__xludf.DUMMYFUNCTION("split(split(K4540,""【演出"",false),""ほか"",false)"),"上戸彩　北村一輝　加藤成亮　戸田菜穂　篠井英介　中山恵　りょう　かとうかず子　大杉漣初めての離婚訴訟に張り切っていた灯だが、妻・享子に刺された夫・和彦が全治2ヶ月の重傷と判明。和彦側の弁護士・浜田から、示談と1000万円の損害補償を提示された灯は、どのように対処していいのか分からない。そんな折、灯は、一時的に預かった娘・真希の行為から、和彦が真希に性的虐待をしていたことに気づく。")</f>
        <v>上戸彩　北村一輝　加藤成亮　戸田菜穂　篠井英介　中山恵　りょう　かとうかず子　大杉漣初めての離婚訴訟に張り切っていた灯だが、妻・享子に刺された夫・和彦が全治2ヶ月の重傷と判明。和彦側の弁護士・浜田から、示談と1000万円の損害補償を提示された灯は、どのように対処していいのか分からない。そんな折、灯は、一時的に預かった娘・真希の行為から、和彦が真希に性的虐待をしていたことに気づく。</v>
      </c>
      <c r="N4540" s="2"/>
      <c r="O4540" s="2"/>
      <c r="P4540" s="1"/>
      <c r="Q4540" s="1"/>
      <c r="R4540" s="1"/>
      <c r="S4540" s="1"/>
      <c r="T4540" s="1"/>
      <c r="U4540" s="1"/>
      <c r="V4540" s="1"/>
      <c r="W4540" s="1"/>
      <c r="X4540" s="1"/>
      <c r="Y4540" s="1"/>
      <c r="Z4540" s="1"/>
      <c r="AA4540" s="1"/>
      <c r="AB4540" s="1"/>
      <c r="AC4540" s="1"/>
      <c r="AD4540" s="1"/>
      <c r="AE4540" s="1"/>
      <c r="AF4540" s="1"/>
      <c r="AG4540" s="1"/>
      <c r="AH4540" s="1"/>
      <c r="AI4540" s="1"/>
      <c r="AJ4540" s="1"/>
      <c r="AK4540" s="1"/>
      <c r="AL4540" s="1"/>
      <c r="AM4540" s="1"/>
      <c r="AN4540" s="1"/>
      <c r="AO4540" s="1"/>
      <c r="AP4540" s="1"/>
      <c r="AQ4540" s="1"/>
      <c r="AR4540" s="1"/>
      <c r="AS4540" s="1"/>
      <c r="AT4540" s="1"/>
      <c r="AU4540" s="1"/>
      <c r="AV4540" s="1"/>
      <c r="AW4540" s="1"/>
      <c r="AX4540" s="1"/>
      <c r="AY4540" s="1"/>
      <c r="AZ4540" s="1"/>
      <c r="BA4540" s="1"/>
      <c r="BB4540" s="1"/>
    </row>
    <row r="4541" ht="204.75" customHeight="1">
      <c r="A4541" s="1">
        <v>5798.0</v>
      </c>
      <c r="B4541" s="2" t="s">
        <v>12940</v>
      </c>
      <c r="C4541" s="2">
        <f>IFERROR(__xludf.DUMMYFUNCTION("split(B4541,""_"")"),804.0)</f>
        <v>804</v>
      </c>
      <c r="D4541" s="2" t="str">
        <f>IFERROR(__xludf.DUMMYFUNCTION("""COMPUTED_VALUE"""),"NTV")</f>
        <v>NTV</v>
      </c>
      <c r="E4541" s="2" t="str">
        <f>IFERROR(__xludf.DUMMYFUNCTION("""COMPUTED_VALUE"""),"水22")</f>
        <v>水22</v>
      </c>
      <c r="F4541" s="2" t="s">
        <v>12941</v>
      </c>
      <c r="G4541" s="2" t="s">
        <v>12942</v>
      </c>
      <c r="H4541" s="1">
        <v>3.0</v>
      </c>
      <c r="J4541" s="1" t="s">
        <v>86</v>
      </c>
      <c r="K4541" s="2" t="s">
        <v>12943</v>
      </c>
      <c r="L4541" s="2"/>
      <c r="M4541" s="2" t="str">
        <f>IFERROR(__xludf.DUMMYFUNCTION("split(split(K4541,""【演出"",false),""ほか"",false)"),"上戸彩　北村一輝　加藤成亮　戸田菜穂　篠井英介　中山恵　りょう　かとうかず子　大杉漣")</f>
        <v>上戸彩　北村一輝　加藤成亮　戸田菜穂　篠井英介　中山恵　りょう　かとうかず子　大杉漣</v>
      </c>
      <c r="N4541" s="2"/>
      <c r="O4541" s="2"/>
      <c r="P4541" s="1"/>
      <c r="Q4541" s="1"/>
      <c r="R4541" s="1"/>
      <c r="S4541" s="1"/>
      <c r="T4541" s="1"/>
      <c r="U4541" s="1"/>
      <c r="V4541" s="1"/>
      <c r="W4541" s="1"/>
      <c r="X4541" s="1"/>
      <c r="Y4541" s="1"/>
      <c r="Z4541" s="1"/>
      <c r="AA4541" s="1"/>
      <c r="AB4541" s="1"/>
      <c r="AC4541" s="1"/>
      <c r="AD4541" s="1"/>
      <c r="AE4541" s="1"/>
      <c r="AF4541" s="1"/>
      <c r="AG4541" s="1"/>
      <c r="AH4541" s="1"/>
      <c r="AI4541" s="1"/>
      <c r="AJ4541" s="1"/>
      <c r="AK4541" s="1"/>
      <c r="AL4541" s="1"/>
      <c r="AM4541" s="1"/>
      <c r="AN4541" s="1"/>
      <c r="AO4541" s="1"/>
      <c r="AP4541" s="1"/>
      <c r="AQ4541" s="1"/>
      <c r="AR4541" s="1"/>
      <c r="AS4541" s="1"/>
      <c r="AT4541" s="1"/>
      <c r="AU4541" s="1"/>
      <c r="AV4541" s="1"/>
      <c r="AW4541" s="1"/>
      <c r="AX4541" s="1"/>
      <c r="AY4541" s="1"/>
      <c r="AZ4541" s="1"/>
      <c r="BA4541" s="1"/>
      <c r="BB4541" s="1"/>
    </row>
    <row r="4542" ht="204.75" customHeight="1">
      <c r="A4542" s="1">
        <v>5799.0</v>
      </c>
      <c r="B4542" s="2" t="s">
        <v>12940</v>
      </c>
      <c r="C4542" s="2">
        <f>IFERROR(__xludf.DUMMYFUNCTION("split(B4542,""_"")"),804.0)</f>
        <v>804</v>
      </c>
      <c r="D4542" s="2" t="str">
        <f>IFERROR(__xludf.DUMMYFUNCTION("""COMPUTED_VALUE"""),"NTV")</f>
        <v>NTV</v>
      </c>
      <c r="E4542" s="2" t="str">
        <f>IFERROR(__xludf.DUMMYFUNCTION("""COMPUTED_VALUE"""),"水22")</f>
        <v>水22</v>
      </c>
      <c r="F4542" s="2" t="s">
        <v>12941</v>
      </c>
      <c r="G4542" s="2" t="s">
        <v>12942</v>
      </c>
      <c r="H4542" s="1">
        <v>4.0</v>
      </c>
      <c r="J4542" s="1" t="s">
        <v>86</v>
      </c>
      <c r="K4542" s="2" t="s">
        <v>12943</v>
      </c>
      <c r="L4542" s="2"/>
      <c r="M4542" s="2" t="str">
        <f>IFERROR(__xludf.DUMMYFUNCTION("split(split(K4542,""【演出"",false),""ほか"",false)"),"上戸彩　北村一輝　加藤成亮　戸田菜穂　篠井英介　中山恵　りょう　かとうかず子　大杉漣")</f>
        <v>上戸彩　北村一輝　加藤成亮　戸田菜穂　篠井英介　中山恵　りょう　かとうかず子　大杉漣</v>
      </c>
      <c r="N4542" s="2"/>
      <c r="O4542" s="2"/>
      <c r="P4542" s="1"/>
      <c r="Q4542" s="1"/>
      <c r="R4542" s="1"/>
      <c r="S4542" s="1"/>
      <c r="T4542" s="1"/>
      <c r="U4542" s="1"/>
      <c r="V4542" s="1"/>
      <c r="W4542" s="1"/>
      <c r="X4542" s="1"/>
      <c r="Y4542" s="1"/>
      <c r="Z4542" s="1"/>
      <c r="AA4542" s="1"/>
      <c r="AB4542" s="1"/>
      <c r="AC4542" s="1"/>
      <c r="AD4542" s="1"/>
      <c r="AE4542" s="1"/>
      <c r="AF4542" s="1"/>
      <c r="AG4542" s="1"/>
      <c r="AH4542" s="1"/>
      <c r="AI4542" s="1"/>
      <c r="AJ4542" s="1"/>
      <c r="AK4542" s="1"/>
      <c r="AL4542" s="1"/>
      <c r="AM4542" s="1"/>
      <c r="AN4542" s="1"/>
      <c r="AO4542" s="1"/>
      <c r="AP4542" s="1"/>
      <c r="AQ4542" s="1"/>
      <c r="AR4542" s="1"/>
      <c r="AS4542" s="1"/>
      <c r="AT4542" s="1"/>
      <c r="AU4542" s="1"/>
      <c r="AV4542" s="1"/>
      <c r="AW4542" s="1"/>
      <c r="AX4542" s="1"/>
      <c r="AY4542" s="1"/>
      <c r="AZ4542" s="1"/>
      <c r="BA4542" s="1"/>
      <c r="BB4542" s="1"/>
    </row>
    <row r="4543" ht="204.75" customHeight="1">
      <c r="A4543" s="1">
        <v>5800.0</v>
      </c>
      <c r="B4543" s="2" t="s">
        <v>12940</v>
      </c>
      <c r="C4543" s="2">
        <f>IFERROR(__xludf.DUMMYFUNCTION("split(B4543,""_"")"),804.0)</f>
        <v>804</v>
      </c>
      <c r="D4543" s="2" t="str">
        <f>IFERROR(__xludf.DUMMYFUNCTION("""COMPUTED_VALUE"""),"NTV")</f>
        <v>NTV</v>
      </c>
      <c r="E4543" s="2" t="str">
        <f>IFERROR(__xludf.DUMMYFUNCTION("""COMPUTED_VALUE"""),"水22")</f>
        <v>水22</v>
      </c>
      <c r="F4543" s="2" t="s">
        <v>12941</v>
      </c>
      <c r="G4543" s="2" t="s">
        <v>12942</v>
      </c>
      <c r="H4543" s="1">
        <v>5.0</v>
      </c>
      <c r="J4543" s="1" t="s">
        <v>86</v>
      </c>
      <c r="K4543" s="2" t="s">
        <v>12943</v>
      </c>
      <c r="L4543" s="2"/>
      <c r="M4543" s="2" t="str">
        <f>IFERROR(__xludf.DUMMYFUNCTION("split(split(K4543,""【演出"",false),""ほか"",false)"),"上戸彩　北村一輝　加藤成亮　戸田菜穂　篠井英介　中山恵　りょう　かとうかず子　大杉漣")</f>
        <v>上戸彩　北村一輝　加藤成亮　戸田菜穂　篠井英介　中山恵　りょう　かとうかず子　大杉漣</v>
      </c>
      <c r="N4543" s="2"/>
      <c r="O4543" s="2"/>
      <c r="P4543" s="1"/>
      <c r="Q4543" s="1"/>
      <c r="R4543" s="1"/>
      <c r="S4543" s="1"/>
      <c r="T4543" s="1"/>
      <c r="U4543" s="1"/>
      <c r="V4543" s="1"/>
      <c r="W4543" s="1"/>
      <c r="X4543" s="1"/>
      <c r="Y4543" s="1"/>
      <c r="Z4543" s="1"/>
      <c r="AA4543" s="1"/>
      <c r="AB4543" s="1"/>
      <c r="AC4543" s="1"/>
      <c r="AD4543" s="1"/>
      <c r="AE4543" s="1"/>
      <c r="AF4543" s="1"/>
      <c r="AG4543" s="1"/>
      <c r="AH4543" s="1"/>
      <c r="AI4543" s="1"/>
      <c r="AJ4543" s="1"/>
      <c r="AK4543" s="1"/>
      <c r="AL4543" s="1"/>
      <c r="AM4543" s="1"/>
      <c r="AN4543" s="1"/>
      <c r="AO4543" s="1"/>
      <c r="AP4543" s="1"/>
      <c r="AQ4543" s="1"/>
      <c r="AR4543" s="1"/>
      <c r="AS4543" s="1"/>
      <c r="AT4543" s="1"/>
      <c r="AU4543" s="1"/>
      <c r="AV4543" s="1"/>
      <c r="AW4543" s="1"/>
      <c r="AX4543" s="1"/>
      <c r="AY4543" s="1"/>
      <c r="AZ4543" s="1"/>
      <c r="BA4543" s="1"/>
      <c r="BB4543" s="1"/>
    </row>
    <row r="4544" ht="204.75" customHeight="1">
      <c r="A4544" s="1">
        <v>5801.0</v>
      </c>
      <c r="B4544" s="2" t="s">
        <v>12940</v>
      </c>
      <c r="C4544" s="2">
        <f>IFERROR(__xludf.DUMMYFUNCTION("split(B4544,""_"")"),804.0)</f>
        <v>804</v>
      </c>
      <c r="D4544" s="2" t="str">
        <f>IFERROR(__xludf.DUMMYFUNCTION("""COMPUTED_VALUE"""),"NTV")</f>
        <v>NTV</v>
      </c>
      <c r="E4544" s="2" t="str">
        <f>IFERROR(__xludf.DUMMYFUNCTION("""COMPUTED_VALUE"""),"水22")</f>
        <v>水22</v>
      </c>
      <c r="F4544" s="2" t="s">
        <v>12941</v>
      </c>
      <c r="G4544" s="2" t="s">
        <v>12942</v>
      </c>
      <c r="H4544" s="1">
        <v>6.0</v>
      </c>
      <c r="J4544" s="1" t="s">
        <v>86</v>
      </c>
      <c r="K4544" s="2" t="s">
        <v>12943</v>
      </c>
      <c r="L4544" s="2"/>
      <c r="M4544" s="2" t="str">
        <f>IFERROR(__xludf.DUMMYFUNCTION("split(split(K4544,""【演出"",false),""ほか"",false)"),"上戸彩　北村一輝　加藤成亮　戸田菜穂　篠井英介　中山恵　りょう　かとうかず子　大杉漣")</f>
        <v>上戸彩　北村一輝　加藤成亮　戸田菜穂　篠井英介　中山恵　りょう　かとうかず子　大杉漣</v>
      </c>
      <c r="N4544" s="2"/>
      <c r="O4544" s="2"/>
      <c r="P4544" s="1"/>
      <c r="Q4544" s="1"/>
      <c r="R4544" s="1"/>
      <c r="S4544" s="1"/>
      <c r="T4544" s="1"/>
      <c r="U4544" s="1"/>
      <c r="V4544" s="1"/>
      <c r="W4544" s="1"/>
      <c r="X4544" s="1"/>
      <c r="Y4544" s="1"/>
      <c r="Z4544" s="1"/>
      <c r="AA4544" s="1"/>
      <c r="AB4544" s="1"/>
      <c r="AC4544" s="1"/>
      <c r="AD4544" s="1"/>
      <c r="AE4544" s="1"/>
      <c r="AF4544" s="1"/>
      <c r="AG4544" s="1"/>
      <c r="AH4544" s="1"/>
      <c r="AI4544" s="1"/>
      <c r="AJ4544" s="1"/>
      <c r="AK4544" s="1"/>
      <c r="AL4544" s="1"/>
      <c r="AM4544" s="1"/>
      <c r="AN4544" s="1"/>
      <c r="AO4544" s="1"/>
      <c r="AP4544" s="1"/>
      <c r="AQ4544" s="1"/>
      <c r="AR4544" s="1"/>
      <c r="AS4544" s="1"/>
      <c r="AT4544" s="1"/>
      <c r="AU4544" s="1"/>
      <c r="AV4544" s="1"/>
      <c r="AW4544" s="1"/>
      <c r="AX4544" s="1"/>
      <c r="AY4544" s="1"/>
      <c r="AZ4544" s="1"/>
      <c r="BA4544" s="1"/>
      <c r="BB4544" s="1"/>
    </row>
    <row r="4545" ht="204.75" customHeight="1">
      <c r="A4545" s="1">
        <v>5802.0</v>
      </c>
      <c r="B4545" s="2" t="s">
        <v>12940</v>
      </c>
      <c r="C4545" s="2">
        <f>IFERROR(__xludf.DUMMYFUNCTION("split(B4545,""_"")"),804.0)</f>
        <v>804</v>
      </c>
      <c r="D4545" s="2" t="str">
        <f>IFERROR(__xludf.DUMMYFUNCTION("""COMPUTED_VALUE"""),"NTV")</f>
        <v>NTV</v>
      </c>
      <c r="E4545" s="2" t="str">
        <f>IFERROR(__xludf.DUMMYFUNCTION("""COMPUTED_VALUE"""),"水22")</f>
        <v>水22</v>
      </c>
      <c r="F4545" s="2" t="s">
        <v>12941</v>
      </c>
      <c r="G4545" s="2" t="s">
        <v>12942</v>
      </c>
      <c r="H4545" s="1">
        <v>7.0</v>
      </c>
      <c r="J4545" s="1" t="s">
        <v>86</v>
      </c>
      <c r="K4545" s="2" t="s">
        <v>12943</v>
      </c>
      <c r="L4545" s="2"/>
      <c r="M4545" s="2" t="str">
        <f>IFERROR(__xludf.DUMMYFUNCTION("split(split(K4545,""【演出"",false),""ほか"",false)"),"上戸彩　北村一輝　加藤成亮　戸田菜穂　篠井英介　中山恵　りょう　かとうかず子　大杉漣")</f>
        <v>上戸彩　北村一輝　加藤成亮　戸田菜穂　篠井英介　中山恵　りょう　かとうかず子　大杉漣</v>
      </c>
      <c r="N4545" s="2"/>
      <c r="O4545" s="2"/>
      <c r="P4545" s="1"/>
      <c r="Q4545" s="1"/>
      <c r="R4545" s="1"/>
      <c r="S4545" s="1"/>
      <c r="T4545" s="1"/>
      <c r="U4545" s="1"/>
      <c r="V4545" s="1"/>
      <c r="W4545" s="1"/>
      <c r="X4545" s="1"/>
      <c r="Y4545" s="1"/>
      <c r="Z4545" s="1"/>
      <c r="AA4545" s="1"/>
      <c r="AB4545" s="1"/>
      <c r="AC4545" s="1"/>
      <c r="AD4545" s="1"/>
      <c r="AE4545" s="1"/>
      <c r="AF4545" s="1"/>
      <c r="AG4545" s="1"/>
      <c r="AH4545" s="1"/>
      <c r="AI4545" s="1"/>
      <c r="AJ4545" s="1"/>
      <c r="AK4545" s="1"/>
      <c r="AL4545" s="1"/>
      <c r="AM4545" s="1"/>
      <c r="AN4545" s="1"/>
      <c r="AO4545" s="1"/>
      <c r="AP4545" s="1"/>
      <c r="AQ4545" s="1"/>
      <c r="AR4545" s="1"/>
      <c r="AS4545" s="1"/>
      <c r="AT4545" s="1"/>
      <c r="AU4545" s="1"/>
      <c r="AV4545" s="1"/>
      <c r="AW4545" s="1"/>
      <c r="AX4545" s="1"/>
      <c r="AY4545" s="1"/>
      <c r="AZ4545" s="1"/>
      <c r="BA4545" s="1"/>
      <c r="BB4545" s="1"/>
    </row>
    <row r="4546" ht="204.75" customHeight="1">
      <c r="A4546" s="1">
        <v>5803.0</v>
      </c>
      <c r="B4546" s="2" t="s">
        <v>12940</v>
      </c>
      <c r="C4546" s="2">
        <f>IFERROR(__xludf.DUMMYFUNCTION("split(B4546,""_"")"),804.0)</f>
        <v>804</v>
      </c>
      <c r="D4546" s="2" t="str">
        <f>IFERROR(__xludf.DUMMYFUNCTION("""COMPUTED_VALUE"""),"NTV")</f>
        <v>NTV</v>
      </c>
      <c r="E4546" s="2" t="str">
        <f>IFERROR(__xludf.DUMMYFUNCTION("""COMPUTED_VALUE"""),"水22")</f>
        <v>水22</v>
      </c>
      <c r="F4546" s="2" t="s">
        <v>12941</v>
      </c>
      <c r="G4546" s="2" t="s">
        <v>12942</v>
      </c>
      <c r="H4546" s="1">
        <v>8.0</v>
      </c>
      <c r="J4546" s="1" t="s">
        <v>86</v>
      </c>
      <c r="K4546" s="2" t="s">
        <v>12943</v>
      </c>
      <c r="L4546" s="2"/>
      <c r="M4546" s="2" t="str">
        <f>IFERROR(__xludf.DUMMYFUNCTION("split(split(K4546,""【演出"",false),""ほか"",false)"),"上戸彩　北村一輝　加藤成亮　戸田菜穂　篠井英介　中山恵　りょう　かとうかず子　大杉漣")</f>
        <v>上戸彩　北村一輝　加藤成亮　戸田菜穂　篠井英介　中山恵　りょう　かとうかず子　大杉漣</v>
      </c>
      <c r="N4546" s="2"/>
      <c r="O4546" s="2"/>
      <c r="P4546" s="1"/>
      <c r="Q4546" s="1"/>
      <c r="R4546" s="1"/>
      <c r="S4546" s="1"/>
      <c r="T4546" s="1"/>
      <c r="U4546" s="1"/>
      <c r="V4546" s="1"/>
      <c r="W4546" s="1"/>
      <c r="X4546" s="1"/>
      <c r="Y4546" s="1"/>
      <c r="Z4546" s="1"/>
      <c r="AA4546" s="1"/>
      <c r="AB4546" s="1"/>
      <c r="AC4546" s="1"/>
      <c r="AD4546" s="1"/>
      <c r="AE4546" s="1"/>
      <c r="AF4546" s="1"/>
      <c r="AG4546" s="1"/>
      <c r="AH4546" s="1"/>
      <c r="AI4546" s="1"/>
      <c r="AJ4546" s="1"/>
      <c r="AK4546" s="1"/>
      <c r="AL4546" s="1"/>
      <c r="AM4546" s="1"/>
      <c r="AN4546" s="1"/>
      <c r="AO4546" s="1"/>
      <c r="AP4546" s="1"/>
      <c r="AQ4546" s="1"/>
      <c r="AR4546" s="1"/>
      <c r="AS4546" s="1"/>
      <c r="AT4546" s="1"/>
      <c r="AU4546" s="1"/>
      <c r="AV4546" s="1"/>
      <c r="AW4546" s="1"/>
      <c r="AX4546" s="1"/>
      <c r="AY4546" s="1"/>
      <c r="AZ4546" s="1"/>
      <c r="BA4546" s="1"/>
      <c r="BB4546" s="1"/>
    </row>
    <row r="4547" ht="204.75" customHeight="1">
      <c r="A4547" s="1">
        <v>5804.0</v>
      </c>
      <c r="B4547" s="2" t="s">
        <v>12940</v>
      </c>
      <c r="C4547" s="2">
        <f>IFERROR(__xludf.DUMMYFUNCTION("split(B4547,""_"")"),804.0)</f>
        <v>804</v>
      </c>
      <c r="D4547" s="2" t="str">
        <f>IFERROR(__xludf.DUMMYFUNCTION("""COMPUTED_VALUE"""),"NTV")</f>
        <v>NTV</v>
      </c>
      <c r="E4547" s="2" t="str">
        <f>IFERROR(__xludf.DUMMYFUNCTION("""COMPUTED_VALUE"""),"水22")</f>
        <v>水22</v>
      </c>
      <c r="F4547" s="2" t="s">
        <v>12941</v>
      </c>
      <c r="G4547" s="2" t="s">
        <v>12942</v>
      </c>
      <c r="H4547" s="1">
        <v>9.0</v>
      </c>
      <c r="J4547" s="1" t="s">
        <v>82</v>
      </c>
      <c r="K4547" s="2" t="s">
        <v>12943</v>
      </c>
      <c r="L4547" s="2"/>
      <c r="M4547" s="2" t="str">
        <f>IFERROR(__xludf.DUMMYFUNCTION("split(split(K4547,""【演出"",false),""ほか"",false)"),"上戸彩　北村一輝　加藤成亮　戸田菜穂　篠井英介　中山恵　りょう　かとうかず子　大杉漣")</f>
        <v>上戸彩　北村一輝　加藤成亮　戸田菜穂　篠井英介　中山恵　りょう　かとうかず子　大杉漣</v>
      </c>
      <c r="N4547" s="2"/>
      <c r="O4547" s="2"/>
      <c r="P4547" s="1"/>
      <c r="Q4547" s="1"/>
      <c r="R4547" s="1"/>
      <c r="S4547" s="1"/>
      <c r="T4547" s="1"/>
      <c r="U4547" s="1"/>
      <c r="V4547" s="1"/>
      <c r="W4547" s="1"/>
      <c r="X4547" s="1"/>
      <c r="Y4547" s="1"/>
      <c r="Z4547" s="1"/>
      <c r="AA4547" s="1"/>
      <c r="AB4547" s="1"/>
      <c r="AC4547" s="1"/>
      <c r="AD4547" s="1"/>
      <c r="AE4547" s="1"/>
      <c r="AF4547" s="1"/>
      <c r="AG4547" s="1"/>
      <c r="AH4547" s="1"/>
      <c r="AI4547" s="1"/>
      <c r="AJ4547" s="1"/>
      <c r="AK4547" s="1"/>
      <c r="AL4547" s="1"/>
      <c r="AM4547" s="1"/>
      <c r="AN4547" s="1"/>
      <c r="AO4547" s="1"/>
      <c r="AP4547" s="1"/>
      <c r="AQ4547" s="1"/>
      <c r="AR4547" s="1"/>
      <c r="AS4547" s="1"/>
      <c r="AT4547" s="1"/>
      <c r="AU4547" s="1"/>
      <c r="AV4547" s="1"/>
      <c r="AW4547" s="1"/>
      <c r="AX4547" s="1"/>
      <c r="AY4547" s="1"/>
      <c r="AZ4547" s="1"/>
      <c r="BA4547" s="1"/>
      <c r="BB4547" s="1"/>
    </row>
    <row r="4548" ht="204.75" customHeight="1">
      <c r="A4548" s="1">
        <v>5805.0</v>
      </c>
      <c r="B4548" s="2" t="s">
        <v>12940</v>
      </c>
      <c r="C4548" s="2">
        <f>IFERROR(__xludf.DUMMYFUNCTION("split(B4548,""_"")"),804.0)</f>
        <v>804</v>
      </c>
      <c r="D4548" s="2" t="str">
        <f>IFERROR(__xludf.DUMMYFUNCTION("""COMPUTED_VALUE"""),"NTV")</f>
        <v>NTV</v>
      </c>
      <c r="E4548" s="2" t="str">
        <f>IFERROR(__xludf.DUMMYFUNCTION("""COMPUTED_VALUE"""),"水22")</f>
        <v>水22</v>
      </c>
      <c r="F4548" s="2" t="s">
        <v>12941</v>
      </c>
      <c r="G4548" s="2" t="s">
        <v>12942</v>
      </c>
      <c r="H4548" s="1">
        <v>10.0</v>
      </c>
      <c r="J4548" s="1" t="s">
        <v>86</v>
      </c>
      <c r="K4548" s="2" t="s">
        <v>12943</v>
      </c>
      <c r="L4548" s="2"/>
      <c r="M4548" s="2" t="str">
        <f>IFERROR(__xludf.DUMMYFUNCTION("split(split(K4548,""【演出"",false),""ほか"",false)"),"上戸彩　北村一輝　加藤成亮　戸田菜穂　篠井英介　中山恵　りょう　かとうかず子　大杉漣")</f>
        <v>上戸彩　北村一輝　加藤成亮　戸田菜穂　篠井英介　中山恵　りょう　かとうかず子　大杉漣</v>
      </c>
      <c r="N4548" s="2"/>
      <c r="O4548" s="2"/>
      <c r="P4548" s="1"/>
      <c r="Q4548" s="1"/>
      <c r="R4548" s="1"/>
      <c r="S4548" s="1"/>
      <c r="T4548" s="1"/>
      <c r="U4548" s="1"/>
      <c r="V4548" s="1"/>
      <c r="W4548" s="1"/>
      <c r="X4548" s="1"/>
      <c r="Y4548" s="1"/>
      <c r="Z4548" s="1"/>
      <c r="AA4548" s="1"/>
      <c r="AB4548" s="1"/>
      <c r="AC4548" s="1"/>
      <c r="AD4548" s="1"/>
      <c r="AE4548" s="1"/>
      <c r="AF4548" s="1"/>
      <c r="AG4548" s="1"/>
      <c r="AH4548" s="1"/>
      <c r="AI4548" s="1"/>
      <c r="AJ4548" s="1"/>
      <c r="AK4548" s="1"/>
      <c r="AL4548" s="1"/>
      <c r="AM4548" s="1"/>
      <c r="AN4548" s="1"/>
      <c r="AO4548" s="1"/>
      <c r="AP4548" s="1"/>
      <c r="AQ4548" s="1"/>
      <c r="AR4548" s="1"/>
      <c r="AS4548" s="1"/>
      <c r="AT4548" s="1"/>
      <c r="AU4548" s="1"/>
      <c r="AV4548" s="1"/>
      <c r="AW4548" s="1"/>
      <c r="AX4548" s="1"/>
      <c r="AY4548" s="1"/>
      <c r="AZ4548" s="1"/>
      <c r="BA4548" s="1"/>
      <c r="BB4548" s="1"/>
    </row>
    <row r="4549" ht="204.75" customHeight="1">
      <c r="A4549" s="1">
        <v>5867.0</v>
      </c>
      <c r="B4549" s="2" t="s">
        <v>12945</v>
      </c>
      <c r="C4549" s="2">
        <f>IFERROR(__xludf.DUMMYFUNCTION("split(B4549,""_"")"),804.0)</f>
        <v>804</v>
      </c>
      <c r="D4549" s="2" t="str">
        <f>IFERROR(__xludf.DUMMYFUNCTION("""COMPUTED_VALUE"""),"NTV")</f>
        <v>NTV</v>
      </c>
      <c r="E4549" s="2" t="str">
        <f>IFERROR(__xludf.DUMMYFUNCTION("""COMPUTED_VALUE"""),"土21")</f>
        <v>土21</v>
      </c>
      <c r="F4549" s="2" t="s">
        <v>12946</v>
      </c>
      <c r="G4549" s="2" t="s">
        <v>12947</v>
      </c>
      <c r="H4549" s="1">
        <v>1.0</v>
      </c>
      <c r="J4549" s="1" t="s">
        <v>4</v>
      </c>
      <c r="K4549" s="2" t="s">
        <v>12948</v>
      </c>
      <c r="L4549" s="2"/>
      <c r="M4549" s="2" t="str">
        <f>IFERROR(__xludf.DUMMYFUNCTION("split(split(K4549,""【演出"",false),""ほか"",false)"),"【出演】仲間由紀恵　生瀬勝久　高木雄也　三浦春馬　石黒英雄　中間淳太  　　　　桐山照史　三浦翔平　小泉孝太郎　平山あや　星野亜希　金子賢  　　　　佐藤二朗　魁三太郎　石井康太　脇知弘　阿南健治　内山信二　  　　　　東幹久　江波杏子　宇津井健私立赤銅学院高校では、手のつけられないワルばかりを集めた3年D組に手を焼いていた。教頭を勤める猿渡五郎は、理事長の赤城遼子から3Dをうまくまとめるよう命ぜられるが、まったく歯が立たない。そこで自分の立場が危ういと感じた猿渡は「不良たちを黙らすことのできる教師を連れ"&amp;"てくる」と宣言し、南の島へ向かった。かつて同じ高校で教師をしていた熱血教師、ヤンクミこと山口久美子を探すために・・・。")</f>
        <v>【出演】仲間由紀恵　生瀬勝久　高木雄也　三浦春馬　石黒英雄　中間淳太  　　　　桐山照史　三浦翔平　小泉孝太郎　平山あや　星野亜希　金子賢  　　　　佐藤二朗　魁三太郎　石井康太　脇知弘　阿南健治　内山信二　  　　　　東幹久　江波杏子　宇津井健私立赤銅学院高校では、手のつけられないワルばかりを集めた3年D組に手を焼いていた。教頭を勤める猿渡五郎は、理事長の赤城遼子から3Dをうまくまとめるよう命ぜられるが、まったく歯が立たない。そこで自分の立場が危ういと感じた猿渡は「不良たちを黙らすことのできる教師を連れてくる」と宣言し、南の島へ向かった。かつて同じ高校で教師をしていた熱血教師、ヤンクミこと山口久美子を探すために・・・。</v>
      </c>
      <c r="N4549" s="2"/>
      <c r="O4549" s="2"/>
      <c r="P4549" s="1"/>
      <c r="Q4549" s="1"/>
      <c r="R4549" s="1"/>
      <c r="S4549" s="1"/>
      <c r="T4549" s="1"/>
      <c r="U4549" s="1"/>
      <c r="V4549" s="1"/>
      <c r="W4549" s="1"/>
      <c r="X4549" s="1"/>
      <c r="Y4549" s="1"/>
      <c r="Z4549" s="1"/>
      <c r="AA4549" s="1"/>
      <c r="AB4549" s="1"/>
      <c r="AC4549" s="1"/>
      <c r="AD4549" s="1"/>
      <c r="AE4549" s="1"/>
      <c r="AF4549" s="1"/>
      <c r="AG4549" s="1"/>
      <c r="AH4549" s="1"/>
      <c r="AI4549" s="1"/>
      <c r="AJ4549" s="1"/>
      <c r="AK4549" s="1"/>
      <c r="AL4549" s="1"/>
      <c r="AM4549" s="1"/>
      <c r="AN4549" s="1"/>
      <c r="AO4549" s="1"/>
      <c r="AP4549" s="1"/>
      <c r="AQ4549" s="1"/>
      <c r="AR4549" s="1"/>
      <c r="AS4549" s="1"/>
      <c r="AT4549" s="1"/>
      <c r="AU4549" s="1"/>
      <c r="AV4549" s="1"/>
      <c r="AW4549" s="1"/>
      <c r="AX4549" s="1"/>
      <c r="AY4549" s="1"/>
      <c r="AZ4549" s="1"/>
      <c r="BA4549" s="1"/>
      <c r="BB4549" s="1"/>
    </row>
    <row r="4550" ht="204.75" customHeight="1">
      <c r="A4550" s="1">
        <v>5868.0</v>
      </c>
      <c r="B4550" s="2" t="s">
        <v>12945</v>
      </c>
      <c r="C4550" s="2">
        <f>IFERROR(__xludf.DUMMYFUNCTION("split(B4550,""_"")"),804.0)</f>
        <v>804</v>
      </c>
      <c r="D4550" s="2" t="str">
        <f>IFERROR(__xludf.DUMMYFUNCTION("""COMPUTED_VALUE"""),"NTV")</f>
        <v>NTV</v>
      </c>
      <c r="E4550" s="2" t="str">
        <f>IFERROR(__xludf.DUMMYFUNCTION("""COMPUTED_VALUE"""),"土21")</f>
        <v>土21</v>
      </c>
      <c r="F4550" s="2" t="s">
        <v>12946</v>
      </c>
      <c r="G4550" s="2" t="s">
        <v>12949</v>
      </c>
      <c r="H4550" s="1">
        <v>2.0</v>
      </c>
      <c r="J4550" s="1" t="s">
        <v>11</v>
      </c>
      <c r="K4550" s="2" t="s">
        <v>12950</v>
      </c>
      <c r="L4550" s="2"/>
      <c r="M4550" s="2" t="str">
        <f>IFERROR(__xludf.DUMMYFUNCTION("split(split(K4550,""【演出"",false),""ほか"",false)"),"【出演】仲間由紀恵　生瀬勝久　高木雄也　三浦春馬　石黒英雄　中間淳太  　　　　桐山照史　三浦翔平　小泉孝太郎　平山あや　星野亜希　金子賢  　　　　佐藤二朗　魁三太郎　石井康太　脇知弘　阿南健治　内山信二　  　　　　東幹久　江波杏子　宇津井健相変わらず3Dは、ケンカや衝突が絶えず、バラバラだった。久美子は「このクラスに必要なのは親睦と連帯感だ」と、生徒たちに“缶蹴り”をしようと持ちかけるが、もちろん、誰一人参加するものはいなかった。そんなある日、ついに、3D全員が見守る中、大和と廉がタイマンを張ること"&amp;"になった。その場に駆けつけた久美子はタイマンを止めるどころか、「素手の喧嘩なら、止める必要ない」と、声援を送り・・・。")</f>
        <v>【出演】仲間由紀恵　生瀬勝久　高木雄也　三浦春馬　石黒英雄　中間淳太  　　　　桐山照史　三浦翔平　小泉孝太郎　平山あや　星野亜希　金子賢  　　　　佐藤二朗　魁三太郎　石井康太　脇知弘　阿南健治　内山信二　  　　　　東幹久　江波杏子　宇津井健相変わらず3Dは、ケンカや衝突が絶えず、バラバラだった。久美子は「このクラスに必要なのは親睦と連帯感だ」と、生徒たちに“缶蹴り”をしようと持ちかけるが、もちろん、誰一人参加するものはいなかった。そんなある日、ついに、3D全員が見守る中、大和と廉がタイマンを張ることになった。その場に駆けつけた久美子はタイマンを止めるどころか、「素手の喧嘩なら、止める必要ない」と、声援を送り・・・。</v>
      </c>
      <c r="N4550" s="2"/>
      <c r="O4550" s="2"/>
      <c r="P4550" s="1"/>
      <c r="Q4550" s="1"/>
      <c r="R4550" s="1"/>
      <c r="S4550" s="1"/>
      <c r="T4550" s="1"/>
      <c r="U4550" s="1"/>
      <c r="V4550" s="1"/>
      <c r="W4550" s="1"/>
      <c r="X4550" s="1"/>
      <c r="Y4550" s="1"/>
      <c r="Z4550" s="1"/>
      <c r="AA4550" s="1"/>
      <c r="AB4550" s="1"/>
      <c r="AC4550" s="1"/>
      <c r="AD4550" s="1"/>
      <c r="AE4550" s="1"/>
      <c r="AF4550" s="1"/>
      <c r="AG4550" s="1"/>
      <c r="AH4550" s="1"/>
      <c r="AI4550" s="1"/>
      <c r="AJ4550" s="1"/>
      <c r="AK4550" s="1"/>
      <c r="AL4550" s="1"/>
      <c r="AM4550" s="1"/>
      <c r="AN4550" s="1"/>
      <c r="AO4550" s="1"/>
      <c r="AP4550" s="1"/>
      <c r="AQ4550" s="1"/>
      <c r="AR4550" s="1"/>
      <c r="AS4550" s="1"/>
      <c r="AT4550" s="1"/>
      <c r="AU4550" s="1"/>
      <c r="AV4550" s="1"/>
      <c r="AW4550" s="1"/>
      <c r="AX4550" s="1"/>
      <c r="AY4550" s="1"/>
      <c r="AZ4550" s="1"/>
      <c r="BA4550" s="1"/>
      <c r="BB4550" s="1"/>
    </row>
    <row r="4551" ht="204.75" customHeight="1">
      <c r="A4551" s="1">
        <v>5869.0</v>
      </c>
      <c r="B4551" s="2" t="s">
        <v>12945</v>
      </c>
      <c r="C4551" s="2">
        <f>IFERROR(__xludf.DUMMYFUNCTION("split(B4551,""_"")"),804.0)</f>
        <v>804</v>
      </c>
      <c r="D4551" s="2" t="str">
        <f>IFERROR(__xludf.DUMMYFUNCTION("""COMPUTED_VALUE"""),"NTV")</f>
        <v>NTV</v>
      </c>
      <c r="E4551" s="2" t="str">
        <f>IFERROR(__xludf.DUMMYFUNCTION("""COMPUTED_VALUE"""),"土21")</f>
        <v>土21</v>
      </c>
      <c r="F4551" s="2" t="s">
        <v>12946</v>
      </c>
      <c r="G4551" s="2" t="s">
        <v>12947</v>
      </c>
      <c r="H4551" s="1">
        <v>3.0</v>
      </c>
      <c r="J4551" s="1" t="s">
        <v>11</v>
      </c>
      <c r="K4551" s="2" t="s">
        <v>12951</v>
      </c>
      <c r="L4551" s="2"/>
      <c r="M4551" s="2" t="str">
        <f>IFERROR(__xludf.DUMMYFUNCTION("split(split(K4551,""【演出"",false),""ほか"",false)"),"【出演】仲間由紀恵　生瀬勝久　高木雄也　三浦春馬　石黒英雄　中間淳太  　　　　桐山照史　三浦翔平　小泉孝太郎　平山あや　星野亜希　金子賢  　　　　佐藤二朗　魁三太郎　石井康太　脇知弘　阿南健治　内山信二　  　　　　東幹久　江波杏子　宇津井健赤銅学院周辺で集団暴行事件が多発する中、ある放課後、倉木と一緒にいた市村が、進学校・青芝高校の生徒を殴るという騒ぎを起こす。実は市村も中学は青芝中学に通っていたが、途中で落ちこぼれてしまい高校には上がれなかったのだ。久美子は市村に理由を聞くが何も語らない。そんな中"&amp;"、3Dの吉田たち4人がバンダナで顔を隠した7人組に突然襲われて・・・。")</f>
        <v>【出演】仲間由紀恵　生瀬勝久　高木雄也　三浦春馬　石黒英雄　中間淳太  　　　　桐山照史　三浦翔平　小泉孝太郎　平山あや　星野亜希　金子賢  　　　　佐藤二朗　魁三太郎　石井康太　脇知弘　阿南健治　内山信二　  　　　　東幹久　江波杏子　宇津井健赤銅学院周辺で集団暴行事件が多発する中、ある放課後、倉木と一緒にいた市村が、進学校・青芝高校の生徒を殴るという騒ぎを起こす。実は市村も中学は青芝中学に通っていたが、途中で落ちこぼれてしまい高校には上がれなかったのだ。久美子は市村に理由を聞くが何も語らない。そんな中、3Dの吉田たち4人がバンダナで顔を隠した7人組に突然襲われて・・・。</v>
      </c>
      <c r="N4551" s="2"/>
      <c r="O4551" s="2"/>
      <c r="P4551" s="1"/>
      <c r="Q4551" s="1"/>
      <c r="R4551" s="1"/>
      <c r="S4551" s="1"/>
      <c r="T4551" s="1"/>
      <c r="U4551" s="1"/>
      <c r="V4551" s="1"/>
      <c r="W4551" s="1"/>
      <c r="X4551" s="1"/>
      <c r="Y4551" s="1"/>
      <c r="Z4551" s="1"/>
      <c r="AA4551" s="1"/>
      <c r="AB4551" s="1"/>
      <c r="AC4551" s="1"/>
      <c r="AD4551" s="1"/>
      <c r="AE4551" s="1"/>
      <c r="AF4551" s="1"/>
      <c r="AG4551" s="1"/>
      <c r="AH4551" s="1"/>
      <c r="AI4551" s="1"/>
      <c r="AJ4551" s="1"/>
      <c r="AK4551" s="1"/>
      <c r="AL4551" s="1"/>
      <c r="AM4551" s="1"/>
      <c r="AN4551" s="1"/>
      <c r="AO4551" s="1"/>
      <c r="AP4551" s="1"/>
      <c r="AQ4551" s="1"/>
      <c r="AR4551" s="1"/>
      <c r="AS4551" s="1"/>
      <c r="AT4551" s="1"/>
      <c r="AU4551" s="1"/>
      <c r="AV4551" s="1"/>
      <c r="AW4551" s="1"/>
      <c r="AX4551" s="1"/>
      <c r="AY4551" s="1"/>
      <c r="AZ4551" s="1"/>
      <c r="BA4551" s="1"/>
      <c r="BB4551" s="1"/>
    </row>
    <row r="4552" ht="204.75" customHeight="1">
      <c r="A4552" s="1">
        <v>5870.0</v>
      </c>
      <c r="B4552" s="2" t="s">
        <v>12945</v>
      </c>
      <c r="C4552" s="2">
        <f>IFERROR(__xludf.DUMMYFUNCTION("split(B4552,""_"")"),804.0)</f>
        <v>804</v>
      </c>
      <c r="D4552" s="2" t="str">
        <f>IFERROR(__xludf.DUMMYFUNCTION("""COMPUTED_VALUE"""),"NTV")</f>
        <v>NTV</v>
      </c>
      <c r="E4552" s="2" t="str">
        <f>IFERROR(__xludf.DUMMYFUNCTION("""COMPUTED_VALUE"""),"土21")</f>
        <v>土21</v>
      </c>
      <c r="F4552" s="2" t="s">
        <v>12946</v>
      </c>
      <c r="G4552" s="2" t="s">
        <v>12947</v>
      </c>
      <c r="H4552" s="1">
        <v>4.0</v>
      </c>
      <c r="J4552" s="1" t="s">
        <v>11</v>
      </c>
      <c r="K4552" s="2" t="s">
        <v>12952</v>
      </c>
      <c r="L4552" s="2"/>
      <c r="M4552" s="2" t="str">
        <f>IFERROR(__xludf.DUMMYFUNCTION("split(split(K4552,""【演出"",false),""ほか"",false)"),"【出演】仲間由紀恵　生瀬勝久　高木雄也　三浦春馬　石黒英雄　中間淳太  　　　　桐山照史　三浦翔平　小泉孝太郎　平山あや　星野亜希　金子賢  　　　　佐藤二朗　魁三太郎　石井康太　脇知弘　阿南健治　内山信二　  　　　　東幹久　江波杏子　宇津井健ある日、突然、廉の姉・薫子が学校にやって来る。薫子の話から、廉が学校で禁止されているアルバイトをしていることが発覚する。すぐに止めさせるという薫子に対し、廉は「家を出てひとり暮らしをする。もうアネキの世話にはならない」と言い放つ。ちゃんと話をしようとする薫子だった"&amp;"が、廉にその想いは届かなかった。その夜、てつから、廉がホストクラブに入っていくのを見たと聞いた久美子は・・・。")</f>
        <v>【出演】仲間由紀恵　生瀬勝久　高木雄也　三浦春馬　石黒英雄　中間淳太  　　　　桐山照史　三浦翔平　小泉孝太郎　平山あや　星野亜希　金子賢  　　　　佐藤二朗　魁三太郎　石井康太　脇知弘　阿南健治　内山信二　  　　　　東幹久　江波杏子　宇津井健ある日、突然、廉の姉・薫子が学校にやって来る。薫子の話から、廉が学校で禁止されているアルバイトをしていることが発覚する。すぐに止めさせるという薫子に対し、廉は「家を出てひとり暮らしをする。もうアネキの世話にはならない」と言い放つ。ちゃんと話をしようとする薫子だったが、廉にその想いは届かなかった。その夜、てつから、廉がホストクラブに入っていくのを見たと聞いた久美子は・・・。</v>
      </c>
      <c r="N4552" s="2"/>
      <c r="O4552" s="2"/>
      <c r="P4552" s="1"/>
      <c r="Q4552" s="1"/>
      <c r="R4552" s="1"/>
      <c r="S4552" s="1"/>
      <c r="T4552" s="1"/>
      <c r="U4552" s="1"/>
      <c r="V4552" s="1"/>
      <c r="W4552" s="1"/>
      <c r="X4552" s="1"/>
      <c r="Y4552" s="1"/>
      <c r="Z4552" s="1"/>
      <c r="AA4552" s="1"/>
      <c r="AB4552" s="1"/>
      <c r="AC4552" s="1"/>
      <c r="AD4552" s="1"/>
      <c r="AE4552" s="1"/>
      <c r="AF4552" s="1"/>
      <c r="AG4552" s="1"/>
      <c r="AH4552" s="1"/>
      <c r="AI4552" s="1"/>
      <c r="AJ4552" s="1"/>
      <c r="AK4552" s="1"/>
      <c r="AL4552" s="1"/>
      <c r="AM4552" s="1"/>
      <c r="AN4552" s="1"/>
      <c r="AO4552" s="1"/>
      <c r="AP4552" s="1"/>
      <c r="AQ4552" s="1"/>
      <c r="AR4552" s="1"/>
      <c r="AS4552" s="1"/>
      <c r="AT4552" s="1"/>
      <c r="AU4552" s="1"/>
      <c r="AV4552" s="1"/>
      <c r="AW4552" s="1"/>
      <c r="AX4552" s="1"/>
      <c r="AY4552" s="1"/>
      <c r="AZ4552" s="1"/>
      <c r="BA4552" s="1"/>
      <c r="BB4552" s="1"/>
    </row>
    <row r="4553" ht="204.75" customHeight="1">
      <c r="A4553" s="1">
        <v>5871.0</v>
      </c>
      <c r="B4553" s="2" t="s">
        <v>12945</v>
      </c>
      <c r="C4553" s="2">
        <f>IFERROR(__xludf.DUMMYFUNCTION("split(B4553,""_"")"),804.0)</f>
        <v>804</v>
      </c>
      <c r="D4553" s="2" t="str">
        <f>IFERROR(__xludf.DUMMYFUNCTION("""COMPUTED_VALUE"""),"NTV")</f>
        <v>NTV</v>
      </c>
      <c r="E4553" s="2" t="str">
        <f>IFERROR(__xludf.DUMMYFUNCTION("""COMPUTED_VALUE"""),"土21")</f>
        <v>土21</v>
      </c>
      <c r="F4553" s="2" t="s">
        <v>12946</v>
      </c>
      <c r="G4553" s="2" t="s">
        <v>12947</v>
      </c>
      <c r="H4553" s="1">
        <v>5.0</v>
      </c>
      <c r="J4553" s="1" t="s">
        <v>11</v>
      </c>
      <c r="K4553" s="2" t="s">
        <v>12953</v>
      </c>
      <c r="L4553" s="2"/>
      <c r="M4553" s="2" t="str">
        <f>IFERROR(__xludf.DUMMYFUNCTION("split(split(K4553,""【演出"",false),""ほか"",false)"),"【出演】仲間由紀恵　生瀬勝久　高木雄也　三浦春馬　石黒英雄　中間淳太  　　　　桐山照史　三浦翔平　小泉孝太郎　平山あや　星野亜希　金子賢  　　　　佐藤二朗　魁三太郎　石井康太　脇知弘　阿南健治　内山信二　  　　　　東幹久　江波杏子　宇津井健本城の父・保が倒れて病院に運び込まれ、久美子と本城は慌てて駆けつけた。保は入院することになり、本城は家の戸棚にある金を銀行に入金するよう頼まれるが、実は、その中の一部をこっそり使い込んでしまっていて金が足りない。困った本城は、バイトを探し始めるが、安い時給では働く"&amp;"気にならず、見つけられずにいた。その時、中学時代の先輩・成田と偶然会い、金を貸してもいいと言う成田から、軽い気持ちで金を借りるが・・・。")</f>
        <v>【出演】仲間由紀恵　生瀬勝久　高木雄也　三浦春馬　石黒英雄　中間淳太  　　　　桐山照史　三浦翔平　小泉孝太郎　平山あや　星野亜希　金子賢  　　　　佐藤二朗　魁三太郎　石井康太　脇知弘　阿南健治　内山信二　  　　　　東幹久　江波杏子　宇津井健本城の父・保が倒れて病院に運び込まれ、久美子と本城は慌てて駆けつけた。保は入院することになり、本城は家の戸棚にある金を銀行に入金するよう頼まれるが、実は、その中の一部をこっそり使い込んでしまっていて金が足りない。困った本城は、バイトを探し始めるが、安い時給では働く気にならず、見つけられずにいた。その時、中学時代の先輩・成田と偶然会い、金を貸してもいいと言う成田から、軽い気持ちで金を借りるが・・・。</v>
      </c>
      <c r="N4553" s="2"/>
      <c r="O4553" s="2"/>
      <c r="P4553" s="1"/>
      <c r="Q4553" s="1"/>
      <c r="R4553" s="1"/>
      <c r="S4553" s="1"/>
      <c r="T4553" s="1"/>
      <c r="U4553" s="1"/>
      <c r="V4553" s="1"/>
      <c r="W4553" s="1"/>
      <c r="X4553" s="1"/>
      <c r="Y4553" s="1"/>
      <c r="Z4553" s="1"/>
      <c r="AA4553" s="1"/>
      <c r="AB4553" s="1"/>
      <c r="AC4553" s="1"/>
      <c r="AD4553" s="1"/>
      <c r="AE4553" s="1"/>
      <c r="AF4553" s="1"/>
      <c r="AG4553" s="1"/>
      <c r="AH4553" s="1"/>
      <c r="AI4553" s="1"/>
      <c r="AJ4553" s="1"/>
      <c r="AK4553" s="1"/>
      <c r="AL4553" s="1"/>
      <c r="AM4553" s="1"/>
      <c r="AN4553" s="1"/>
      <c r="AO4553" s="1"/>
      <c r="AP4553" s="1"/>
      <c r="AQ4553" s="1"/>
      <c r="AR4553" s="1"/>
      <c r="AS4553" s="1"/>
      <c r="AT4553" s="1"/>
      <c r="AU4553" s="1"/>
      <c r="AV4553" s="1"/>
      <c r="AW4553" s="1"/>
      <c r="AX4553" s="1"/>
      <c r="AY4553" s="1"/>
      <c r="AZ4553" s="1"/>
      <c r="BA4553" s="1"/>
      <c r="BB4553" s="1"/>
    </row>
    <row r="4554" ht="204.75" customHeight="1">
      <c r="A4554" s="1">
        <v>5872.0</v>
      </c>
      <c r="B4554" s="2" t="s">
        <v>12945</v>
      </c>
      <c r="C4554" s="2">
        <f>IFERROR(__xludf.DUMMYFUNCTION("split(B4554,""_"")"),804.0)</f>
        <v>804</v>
      </c>
      <c r="D4554" s="2" t="str">
        <f>IFERROR(__xludf.DUMMYFUNCTION("""COMPUTED_VALUE"""),"NTV")</f>
        <v>NTV</v>
      </c>
      <c r="E4554" s="2" t="str">
        <f>IFERROR(__xludf.DUMMYFUNCTION("""COMPUTED_VALUE"""),"土21")</f>
        <v>土21</v>
      </c>
      <c r="F4554" s="2" t="s">
        <v>12946</v>
      </c>
      <c r="G4554" s="2" t="s">
        <v>12947</v>
      </c>
      <c r="H4554" s="1">
        <v>6.0</v>
      </c>
      <c r="J4554" s="1" t="s">
        <v>11</v>
      </c>
      <c r="K4554" s="2" t="s">
        <v>12954</v>
      </c>
      <c r="L4554" s="2"/>
      <c r="M4554" s="2" t="str">
        <f>IFERROR(__xludf.DUMMYFUNCTION("split(split(K4554,""【演出"",false),""ほか"",false)"),"【出演】仲間由紀恵　生瀬勝久　高木雄也　三浦春馬　石黒英雄　中間淳太  　　　　桐山照史　三浦翔平　小泉孝太郎　平山あや　星野亜希　金子賢  　　　　佐藤二朗　魁三太郎　石井康太　脇知弘　阿南健治　内山信二　  　　　　東幹久　江波杏子　宇津井健3年D組は神谷がセッティングした合コン話で大盛り上がり。しかし、倉木はうわの空で全くのってこない。放課後、気になって尾行した大和や廉らは、夏目総合病院で女の子と笑顔で話しているのを見つける。「誰か好きになると、何があっても相手のこと守ったる、いう気持ちになる」とい"&amp;"う倉木に、久美子は「いい恋してるじゃないか。お互いがんばろう!」と励ます。")</f>
        <v>【出演】仲間由紀恵　生瀬勝久　高木雄也　三浦春馬　石黒英雄　中間淳太  　　　　桐山照史　三浦翔平　小泉孝太郎　平山あや　星野亜希　金子賢  　　　　佐藤二朗　魁三太郎　石井康太　脇知弘　阿南健治　内山信二　  　　　　東幹久　江波杏子　宇津井健3年D組は神谷がセッティングした合コン話で大盛り上がり。しかし、倉木はうわの空で全くのってこない。放課後、気になって尾行した大和や廉らは、夏目総合病院で女の子と笑顔で話しているのを見つける。「誰か好きになると、何があっても相手のこと守ったる、いう気持ちになる」という倉木に、久美子は「いい恋してるじゃないか。お互いがんばろう!」と励ます。</v>
      </c>
      <c r="N4554" s="2"/>
      <c r="O4554" s="2"/>
      <c r="P4554" s="1"/>
      <c r="Q4554" s="1"/>
      <c r="R4554" s="1"/>
      <c r="S4554" s="1"/>
      <c r="T4554" s="1"/>
      <c r="U4554" s="1"/>
      <c r="V4554" s="1"/>
      <c r="W4554" s="1"/>
      <c r="X4554" s="1"/>
      <c r="Y4554" s="1"/>
      <c r="Z4554" s="1"/>
      <c r="AA4554" s="1"/>
      <c r="AB4554" s="1"/>
      <c r="AC4554" s="1"/>
      <c r="AD4554" s="1"/>
      <c r="AE4554" s="1"/>
      <c r="AF4554" s="1"/>
      <c r="AG4554" s="1"/>
      <c r="AH4554" s="1"/>
      <c r="AI4554" s="1"/>
      <c r="AJ4554" s="1"/>
      <c r="AK4554" s="1"/>
      <c r="AL4554" s="1"/>
      <c r="AM4554" s="1"/>
      <c r="AN4554" s="1"/>
      <c r="AO4554" s="1"/>
      <c r="AP4554" s="1"/>
      <c r="AQ4554" s="1"/>
      <c r="AR4554" s="1"/>
      <c r="AS4554" s="1"/>
      <c r="AT4554" s="1"/>
      <c r="AU4554" s="1"/>
      <c r="AV4554" s="1"/>
      <c r="AW4554" s="1"/>
      <c r="AX4554" s="1"/>
      <c r="AY4554" s="1"/>
      <c r="AZ4554" s="1"/>
      <c r="BA4554" s="1"/>
      <c r="BB4554" s="1"/>
    </row>
    <row r="4555" ht="204.75" customHeight="1">
      <c r="A4555" s="1">
        <v>5873.0</v>
      </c>
      <c r="B4555" s="2" t="s">
        <v>12945</v>
      </c>
      <c r="C4555" s="2">
        <f>IFERROR(__xludf.DUMMYFUNCTION("split(B4555,""_"")"),804.0)</f>
        <v>804</v>
      </c>
      <c r="D4555" s="2" t="str">
        <f>IFERROR(__xludf.DUMMYFUNCTION("""COMPUTED_VALUE"""),"NTV")</f>
        <v>NTV</v>
      </c>
      <c r="E4555" s="2" t="str">
        <f>IFERROR(__xludf.DUMMYFUNCTION("""COMPUTED_VALUE"""),"土21")</f>
        <v>土21</v>
      </c>
      <c r="F4555" s="2" t="s">
        <v>12946</v>
      </c>
      <c r="G4555" s="2" t="s">
        <v>12947</v>
      </c>
      <c r="H4555" s="1">
        <v>7.0</v>
      </c>
      <c r="J4555" s="1" t="s">
        <v>11</v>
      </c>
      <c r="K4555" s="2" t="s">
        <v>12955</v>
      </c>
      <c r="L4555" s="2"/>
      <c r="M4555" s="2" t="str">
        <f>IFERROR(__xludf.DUMMYFUNCTION("split(split(K4555,""【演出"",false),""ほか"",false)"),"【出演】仲間由紀恵　生瀬勝久　高木雄也　三浦春馬　石黒英雄　中間淳太  　　　　桐山照史　三浦翔平　小泉孝太郎　平山あや　星野亜希　金子賢  　　　　佐藤二朗　魁三太郎　石井康太　脇知弘　阿南健治　内山信二　  　　　　東幹久　江波杏子　宇津井健大和らは、男たちがカツアゲしているところを目撃する。大和たちの制服を見た、その中の一人、郷田は赤銅学院をけなし、それに反論した6人を取り囲んだ。大和らは隙を突いて逃げ出したが、次の日郷田が実は赤銅学院を卒業した『伝説の番長』と呼ばれている男だと知り、大和たちは不安"&amp;"を隠せずにいた。そして、その不安は的中し、3Dの松方たちが郷田にボコボコにされ・・・。")</f>
        <v>【出演】仲間由紀恵　生瀬勝久　高木雄也　三浦春馬　石黒英雄　中間淳太  　　　　桐山照史　三浦翔平　小泉孝太郎　平山あや　星野亜希　金子賢  　　　　佐藤二朗　魁三太郎　石井康太　脇知弘　阿南健治　内山信二　  　　　　東幹久　江波杏子　宇津井健大和らは、男たちがカツアゲしているところを目撃する。大和たちの制服を見た、その中の一人、郷田は赤銅学院をけなし、それに反論した6人を取り囲んだ。大和らは隙を突いて逃げ出したが、次の日郷田が実は赤銅学院を卒業した『伝説の番長』と呼ばれている男だと知り、大和たちは不安を隠せずにいた。そして、その不安は的中し、3Dの松方たちが郷田にボコボコにされ・・・。</v>
      </c>
      <c r="N4555" s="2"/>
      <c r="O4555" s="2"/>
      <c r="P4555" s="1"/>
      <c r="Q4555" s="1"/>
      <c r="R4555" s="1"/>
      <c r="S4555" s="1"/>
      <c r="T4555" s="1"/>
      <c r="U4555" s="1"/>
      <c r="V4555" s="1"/>
      <c r="W4555" s="1"/>
      <c r="X4555" s="1"/>
      <c r="Y4555" s="1"/>
      <c r="Z4555" s="1"/>
      <c r="AA4555" s="1"/>
      <c r="AB4555" s="1"/>
      <c r="AC4555" s="1"/>
      <c r="AD4555" s="1"/>
      <c r="AE4555" s="1"/>
      <c r="AF4555" s="1"/>
      <c r="AG4555" s="1"/>
      <c r="AH4555" s="1"/>
      <c r="AI4555" s="1"/>
      <c r="AJ4555" s="1"/>
      <c r="AK4555" s="1"/>
      <c r="AL4555" s="1"/>
      <c r="AM4555" s="1"/>
      <c r="AN4555" s="1"/>
      <c r="AO4555" s="1"/>
      <c r="AP4555" s="1"/>
      <c r="AQ4555" s="1"/>
      <c r="AR4555" s="1"/>
      <c r="AS4555" s="1"/>
      <c r="AT4555" s="1"/>
      <c r="AU4555" s="1"/>
      <c r="AV4555" s="1"/>
      <c r="AW4555" s="1"/>
      <c r="AX4555" s="1"/>
      <c r="AY4555" s="1"/>
      <c r="AZ4555" s="1"/>
      <c r="BA4555" s="1"/>
      <c r="BB4555" s="1"/>
    </row>
    <row r="4556" ht="204.75" customHeight="1">
      <c r="A4556" s="1">
        <v>5874.0</v>
      </c>
      <c r="B4556" s="2" t="s">
        <v>12945</v>
      </c>
      <c r="C4556" s="2">
        <f>IFERROR(__xludf.DUMMYFUNCTION("split(B4556,""_"")"),804.0)</f>
        <v>804</v>
      </c>
      <c r="D4556" s="2" t="str">
        <f>IFERROR(__xludf.DUMMYFUNCTION("""COMPUTED_VALUE"""),"NTV")</f>
        <v>NTV</v>
      </c>
      <c r="E4556" s="2" t="str">
        <f>IFERROR(__xludf.DUMMYFUNCTION("""COMPUTED_VALUE"""),"土21")</f>
        <v>土21</v>
      </c>
      <c r="F4556" s="2" t="s">
        <v>12946</v>
      </c>
      <c r="G4556" s="2" t="s">
        <v>12947</v>
      </c>
      <c r="H4556" s="1">
        <v>8.0</v>
      </c>
      <c r="J4556" s="1" t="s">
        <v>11</v>
      </c>
      <c r="K4556" s="2" t="s">
        <v>12956</v>
      </c>
      <c r="L4556" s="2"/>
      <c r="M4556" s="2" t="str">
        <f>IFERROR(__xludf.DUMMYFUNCTION("split(split(K4556,""【演出"",false),""ほか"",false)"),"【出演】仲間由紀恵　生瀬勝久　高木雄也　三浦春馬　石黒英雄　中間淳太  　　　　桐山照史　三浦翔平　小泉孝太郎　平山あや　星野亜希　金子賢  　　　　佐藤二朗　魁三太郎　石井康太　脇知弘　阿南健治　内山信二　  　　　　東幹久　江波杏子　宇津井健神谷がデートの最中に、荒高の生徒たちに絡まれる。仲間がいないと何もできないとからかわれた神谷は、殴りかかっていくが、逆に一方的に殴られてしまった。警察から学校に連絡が入り、母親の美沙子も駆けつけた。美沙子は必死で頭を下げるが、神谷は「頭なんか下げてんじゃねぇ」と辛"&amp;"く当たり、心配してやってきた大和らにも「余計なお世話だ!どうせ俺は、情けない男だよ!」とはき捨て、飛び出していき・・・。")</f>
        <v>【出演】仲間由紀恵　生瀬勝久　高木雄也　三浦春馬　石黒英雄　中間淳太  　　　　桐山照史　三浦翔平　小泉孝太郎　平山あや　星野亜希　金子賢  　　　　佐藤二朗　魁三太郎　石井康太　脇知弘　阿南健治　内山信二　  　　　　東幹久　江波杏子　宇津井健神谷がデートの最中に、荒高の生徒たちに絡まれる。仲間がいないと何もできないとからかわれた神谷は、殴りかかっていくが、逆に一方的に殴られてしまった。警察から学校に連絡が入り、母親の美沙子も駆けつけた。美沙子は必死で頭を下げるが、神谷は「頭なんか下げてんじゃねぇ」と辛く当たり、心配してやってきた大和らにも「余計なお世話だ!どうせ俺は、情けない男だよ!」とはき捨て、飛び出していき・・・。</v>
      </c>
      <c r="N4556" s="2"/>
      <c r="O4556" s="2"/>
      <c r="P4556" s="1"/>
      <c r="Q4556" s="1"/>
      <c r="R4556" s="1"/>
      <c r="S4556" s="1"/>
      <c r="T4556" s="1"/>
      <c r="U4556" s="1"/>
      <c r="V4556" s="1"/>
      <c r="W4556" s="1"/>
      <c r="X4556" s="1"/>
      <c r="Y4556" s="1"/>
      <c r="Z4556" s="1"/>
      <c r="AA4556" s="1"/>
      <c r="AB4556" s="1"/>
      <c r="AC4556" s="1"/>
      <c r="AD4556" s="1"/>
      <c r="AE4556" s="1"/>
      <c r="AF4556" s="1"/>
      <c r="AG4556" s="1"/>
      <c r="AH4556" s="1"/>
      <c r="AI4556" s="1"/>
      <c r="AJ4556" s="1"/>
      <c r="AK4556" s="1"/>
      <c r="AL4556" s="1"/>
      <c r="AM4556" s="1"/>
      <c r="AN4556" s="1"/>
      <c r="AO4556" s="1"/>
      <c r="AP4556" s="1"/>
      <c r="AQ4556" s="1"/>
      <c r="AR4556" s="1"/>
      <c r="AS4556" s="1"/>
      <c r="AT4556" s="1"/>
      <c r="AU4556" s="1"/>
      <c r="AV4556" s="1"/>
      <c r="AW4556" s="1"/>
      <c r="AX4556" s="1"/>
      <c r="AY4556" s="1"/>
      <c r="AZ4556" s="1"/>
      <c r="BA4556" s="1"/>
      <c r="BB4556" s="1"/>
    </row>
    <row r="4557" ht="204.75" customHeight="1">
      <c r="A4557" s="1">
        <v>5875.0</v>
      </c>
      <c r="B4557" s="2" t="s">
        <v>12945</v>
      </c>
      <c r="C4557" s="2">
        <f>IFERROR(__xludf.DUMMYFUNCTION("split(B4557,""_"")"),804.0)</f>
        <v>804</v>
      </c>
      <c r="D4557" s="2" t="str">
        <f>IFERROR(__xludf.DUMMYFUNCTION("""COMPUTED_VALUE"""),"NTV")</f>
        <v>NTV</v>
      </c>
      <c r="E4557" s="2" t="str">
        <f>IFERROR(__xludf.DUMMYFUNCTION("""COMPUTED_VALUE"""),"土21")</f>
        <v>土21</v>
      </c>
      <c r="F4557" s="2" t="s">
        <v>12946</v>
      </c>
      <c r="G4557" s="2" t="s">
        <v>12947</v>
      </c>
      <c r="H4557" s="1">
        <v>9.0</v>
      </c>
      <c r="J4557" s="1" t="s">
        <v>4</v>
      </c>
      <c r="K4557" s="2" t="s">
        <v>12957</v>
      </c>
      <c r="L4557" s="2"/>
      <c r="M4557" s="2" t="str">
        <f>IFERROR(__xludf.DUMMYFUNCTION("split(split(K4557,""【演出"",false),""ほか"",false)"),"【出演】仲間由紀恵　生瀬勝久　高木雄也　三浦春馬　石黒英雄　中間淳太  　　　　桐山照史　三浦翔平　小泉孝太郎　平山あや　星野亜希　金子賢  　　　　佐藤二朗　魁三太郎　石井康太　脇知弘　阿南健治　内山信二　  　　　　東幹久　江波杏子　宇津井健『赤銅学院の怪伝説』を確かめに夜の学校へ忍びこんだ3D生徒は、名うての『学校荒し』を捕まえた。警察から表彰され、大喜びする久美子と3D生徒たち。そこへ最近、学校をサボっていた村山たちが入ってきて「そんなのどうだっていい。ガキじゃねえんだから」と、険悪なムードに。そ"&amp;"して、たちまち乱闘が始まった。必死に止める久美子に「どうせ卒業までのつきあいじゃねえか」仲間は")</f>
        <v>【出演】仲間由紀恵　生瀬勝久　高木雄也　三浦春馬　石黒英雄　中間淳太  　　　　桐山照史　三浦翔平　小泉孝太郎　平山あや　星野亜希　金子賢  　　　　佐藤二朗　魁三太郎　石井康太　脇知弘　阿南健治　内山信二　  　　　　東幹久　江波杏子　宇津井健『赤銅学院の怪伝説』を確かめに夜の学校へ忍びこんだ3D生徒は、名うての『学校荒し』を捕まえた。警察から表彰され、大喜びする久美子と3D生徒たち。そこへ最近、学校をサボっていた村山たちが入ってきて「そんなのどうだっていい。ガキじゃねえんだから」と、険悪なムードに。そして、たちまち乱闘が始まった。必死に止める久美子に「どうせ卒業までのつきあいじゃねえか」仲間は</v>
      </c>
      <c r="N4557" s="2" t="str">
        <f>IFERROR(__xludf.DUMMYFUNCTION("""COMPUTED_VALUE"""),"にもいると出て行ってしまい・・。")</f>
        <v>にもいると出て行ってしまい・・。</v>
      </c>
      <c r="O4557" s="2"/>
      <c r="P4557" s="1"/>
      <c r="Q4557" s="1"/>
      <c r="R4557" s="1"/>
      <c r="S4557" s="1"/>
      <c r="T4557" s="1"/>
      <c r="U4557" s="1"/>
      <c r="V4557" s="1"/>
      <c r="W4557" s="1"/>
      <c r="X4557" s="1"/>
      <c r="Y4557" s="1"/>
      <c r="Z4557" s="1"/>
      <c r="AA4557" s="1"/>
      <c r="AB4557" s="1"/>
      <c r="AC4557" s="1"/>
      <c r="AD4557" s="1"/>
      <c r="AE4557" s="1"/>
      <c r="AF4557" s="1"/>
      <c r="AG4557" s="1"/>
      <c r="AH4557" s="1"/>
      <c r="AI4557" s="1"/>
      <c r="AJ4557" s="1"/>
      <c r="AK4557" s="1"/>
      <c r="AL4557" s="1"/>
      <c r="AM4557" s="1"/>
      <c r="AN4557" s="1"/>
      <c r="AO4557" s="1"/>
      <c r="AP4557" s="1"/>
      <c r="AQ4557" s="1"/>
      <c r="AR4557" s="1"/>
      <c r="AS4557" s="1"/>
      <c r="AT4557" s="1"/>
      <c r="AU4557" s="1"/>
      <c r="AV4557" s="1"/>
      <c r="AW4557" s="1"/>
      <c r="AX4557" s="1"/>
      <c r="AY4557" s="1"/>
      <c r="AZ4557" s="1"/>
      <c r="BA4557" s="1"/>
      <c r="BB4557" s="1"/>
    </row>
    <row r="4558" ht="204.75" customHeight="1">
      <c r="A4558" s="1">
        <v>5876.0</v>
      </c>
      <c r="B4558" s="2" t="s">
        <v>12945</v>
      </c>
      <c r="C4558" s="2">
        <f>IFERROR(__xludf.DUMMYFUNCTION("split(B4558,""_"")"),804.0)</f>
        <v>804</v>
      </c>
      <c r="D4558" s="2" t="str">
        <f>IFERROR(__xludf.DUMMYFUNCTION("""COMPUTED_VALUE"""),"NTV")</f>
        <v>NTV</v>
      </c>
      <c r="E4558" s="2" t="str">
        <f>IFERROR(__xludf.DUMMYFUNCTION("""COMPUTED_VALUE"""),"土21")</f>
        <v>土21</v>
      </c>
      <c r="F4558" s="2" t="s">
        <v>12946</v>
      </c>
      <c r="G4558" s="2" t="s">
        <v>12947</v>
      </c>
      <c r="H4558" s="1">
        <v>10.0</v>
      </c>
      <c r="J4558" s="1" t="s">
        <v>11</v>
      </c>
      <c r="K4558" s="2" t="s">
        <v>12958</v>
      </c>
      <c r="L4558" s="2"/>
      <c r="M4558" s="2" t="str">
        <f>IFERROR(__xludf.DUMMYFUNCTION("split(split(K4558,""【演出"",false),""ほか"",false)"),"【出演】仲間由紀恵　生瀬勝久　高木雄也　三浦春馬　石黒英雄　中間淳太  　　　　桐山照史　三浦翔平　小泉孝太郎　平山あや　星野亜希　金子賢  　　　　佐藤二朗　魁三太郎　石井康太　脇知弘　阿南健治　内山信二　  　　　　東幹久　江波杏子　宇津井健大和は父・達彦と仲が悪く、優秀な兄貴と比べられ続け劣等感を抱いていた。大和と廉が達彦と街ででくわした際、達彦が大和どころか、廉のことまでバカにしたため、怒った大和は思わず達彦を殴ってしまう。苛立つ大和が足早に歩いていると、不良たちが中学生をカツアゲしようとしていた"&amp;"。見かねた大和は止めに入り乱闘になってしまう。そして、そのひとりが振り下ろした棒が仲間の頭を直撃し、大和は駆けつけた警察官に連行され・・")</f>
        <v>【出演】仲間由紀恵　生瀬勝久　高木雄也　三浦春馬　石黒英雄　中間淳太  　　　　桐山照史　三浦翔平　小泉孝太郎　平山あや　星野亜希　金子賢  　　　　佐藤二朗　魁三太郎　石井康太　脇知弘　阿南健治　内山信二　  　　　　東幹久　江波杏子　宇津井健大和は父・達彦と仲が悪く、優秀な兄貴と比べられ続け劣等感を抱いていた。大和と廉が達彦と街ででくわした際、達彦が大和どころか、廉のことまでバカにしたため、怒った大和は思わず達彦を殴ってしまう。苛立つ大和が足早に歩いていると、不良たちが中学生をカツアゲしようとしていた。見かねた大和は止めに入り乱闘になってしまう。そして、そのひとりが振り下ろした棒が仲間の頭を直撃し、大和は駆けつけた警察官に連行され・・</v>
      </c>
      <c r="N4558" s="2"/>
      <c r="O4558" s="2"/>
      <c r="P4558" s="1"/>
      <c r="Q4558" s="1"/>
      <c r="R4558" s="1"/>
      <c r="S4558" s="1"/>
      <c r="T4558" s="1"/>
      <c r="U4558" s="1"/>
      <c r="V4558" s="1"/>
      <c r="W4558" s="1"/>
      <c r="X4558" s="1"/>
      <c r="Y4558" s="1"/>
      <c r="Z4558" s="1"/>
      <c r="AA4558" s="1"/>
      <c r="AB4558" s="1"/>
      <c r="AC4558" s="1"/>
      <c r="AD4558" s="1"/>
      <c r="AE4558" s="1"/>
      <c r="AF4558" s="1"/>
      <c r="AG4558" s="1"/>
      <c r="AH4558" s="1"/>
      <c r="AI4558" s="1"/>
      <c r="AJ4558" s="1"/>
      <c r="AK4558" s="1"/>
      <c r="AL4558" s="1"/>
      <c r="AM4558" s="1"/>
      <c r="AN4558" s="1"/>
      <c r="AO4558" s="1"/>
      <c r="AP4558" s="1"/>
      <c r="AQ4558" s="1"/>
      <c r="AR4558" s="1"/>
      <c r="AS4558" s="1"/>
      <c r="AT4558" s="1"/>
      <c r="AU4558" s="1"/>
      <c r="AV4558" s="1"/>
      <c r="AW4558" s="1"/>
      <c r="AX4558" s="1"/>
      <c r="AY4558" s="1"/>
      <c r="AZ4558" s="1"/>
      <c r="BA4558" s="1"/>
      <c r="BB4558" s="1"/>
    </row>
    <row r="4559" ht="204.75" customHeight="1">
      <c r="A4559" s="1">
        <v>5877.0</v>
      </c>
      <c r="B4559" s="2" t="s">
        <v>12945</v>
      </c>
      <c r="C4559" s="2">
        <f>IFERROR(__xludf.DUMMYFUNCTION("split(B4559,""_"")"),804.0)</f>
        <v>804</v>
      </c>
      <c r="D4559" s="2" t="str">
        <f>IFERROR(__xludf.DUMMYFUNCTION("""COMPUTED_VALUE"""),"NTV")</f>
        <v>NTV</v>
      </c>
      <c r="E4559" s="2" t="str">
        <f>IFERROR(__xludf.DUMMYFUNCTION("""COMPUTED_VALUE"""),"土21")</f>
        <v>土21</v>
      </c>
      <c r="F4559" s="2" t="s">
        <v>12946</v>
      </c>
      <c r="G4559" s="2" t="s">
        <v>12947</v>
      </c>
      <c r="H4559" s="1">
        <v>11.0</v>
      </c>
      <c r="J4559" s="1" t="s">
        <v>4</v>
      </c>
      <c r="K4559" s="2" t="s">
        <v>12959</v>
      </c>
      <c r="L4559" s="2"/>
      <c r="M4559" s="2" t="str">
        <f>IFERROR(__xludf.DUMMYFUNCTION("split(split(K4559,""【演出"",false),""ほか"",false)"),"【出演】仲間由紀恵　生瀬勝久　高木雄也　三浦春馬　石黒英雄　中間淳太  　　　　桐山照史　三浦翔平　小泉孝太郎　平山あや　星野亜希　金子賢  　　　　佐藤二朗　魁三太郎　石井康太　脇知弘　阿南健治　内山信二　  　　　　山田優　東幹久　江波杏子　宇津井健最終回90分スペシャル")</f>
        <v>【出演】仲間由紀恵　生瀬勝久　高木雄也　三浦春馬　石黒英雄　中間淳太  　　　　桐山照史　三浦翔平　小泉孝太郎　平山あや　星野亜希　金子賢  　　　　佐藤二朗　魁三太郎　石井康太　脇知弘　阿南健治　内山信二　  　　　　山田優　東幹久　江波杏子　宇津井健最終回90分スペシャル</v>
      </c>
      <c r="N4559" s="2"/>
      <c r="O4559" s="2"/>
      <c r="P4559" s="1"/>
      <c r="Q4559" s="1"/>
      <c r="R4559" s="1"/>
      <c r="S4559" s="1"/>
      <c r="T4559" s="1"/>
      <c r="U4559" s="1"/>
      <c r="V4559" s="1"/>
      <c r="W4559" s="1"/>
      <c r="X4559" s="1"/>
      <c r="Y4559" s="1"/>
      <c r="Z4559" s="1"/>
      <c r="AA4559" s="1"/>
      <c r="AB4559" s="1"/>
      <c r="AC4559" s="1"/>
      <c r="AD4559" s="1"/>
      <c r="AE4559" s="1"/>
      <c r="AF4559" s="1"/>
      <c r="AG4559" s="1"/>
      <c r="AH4559" s="1"/>
      <c r="AI4559" s="1"/>
      <c r="AJ4559" s="1"/>
      <c r="AK4559" s="1"/>
      <c r="AL4559" s="1"/>
      <c r="AM4559" s="1"/>
      <c r="AN4559" s="1"/>
      <c r="AO4559" s="1"/>
      <c r="AP4559" s="1"/>
      <c r="AQ4559" s="1"/>
      <c r="AR4559" s="1"/>
      <c r="AS4559" s="1"/>
      <c r="AT4559" s="1"/>
      <c r="AU4559" s="1"/>
      <c r="AV4559" s="1"/>
      <c r="AW4559" s="1"/>
      <c r="AX4559" s="1"/>
      <c r="AY4559" s="1"/>
      <c r="AZ4559" s="1"/>
      <c r="BA4559" s="1"/>
      <c r="BB4559" s="1"/>
    </row>
    <row r="4560" ht="204.75" customHeight="1">
      <c r="A4560" s="1">
        <v>5927.0</v>
      </c>
      <c r="B4560" s="2" t="s">
        <v>12960</v>
      </c>
      <c r="C4560" s="2">
        <f>IFERROR(__xludf.DUMMYFUNCTION("split(B4560,""_"")"),801.0)</f>
        <v>801</v>
      </c>
      <c r="D4560" s="2" t="str">
        <f>IFERROR(__xludf.DUMMYFUNCTION("""COMPUTED_VALUE"""),"NTV")</f>
        <v>NTV</v>
      </c>
      <c r="E4560" s="2" t="str">
        <f>IFERROR(__xludf.DUMMYFUNCTION("""COMPUTED_VALUE"""),"火22")</f>
        <v>火22</v>
      </c>
      <c r="F4560" s="2" t="s">
        <v>12961</v>
      </c>
      <c r="G4560" s="2" t="s">
        <v>12962</v>
      </c>
      <c r="H4560" s="1">
        <v>1.0</v>
      </c>
      <c r="J4560" s="1" t="s">
        <v>82</v>
      </c>
      <c r="K4560" s="2" t="s">
        <v>12963</v>
      </c>
      <c r="L4560" s="2"/>
      <c r="M4560" s="2" t="str">
        <f>IFERROR(__xludf.DUMMYFUNCTION("split(split(K4560,""【演出"",false),""ほか"",false)"),"多額の借金を抱えながらも前向きに生きる大学生と、周囲の人々との交流を描く。脚本・山岡真介、演出・猪股隆一")</f>
        <v>多額の借金を抱えながらも前向きに生きる大学生と、周囲の人々との交流を描く。脚本・山岡真介、演出・猪股隆一</v>
      </c>
      <c r="N4560" s="2" t="str">
        <f>IFERROR(__xludf.DUMMYFUNCTION("""COMPUTED_VALUE"""),"。　仲間とのつながりを第一に考える一美(小栗旬)は、頼まれれば断れない性格が災いし、消費者金融で借金を重ねていた。ある日、詐欺に引っ掛かった一美は、弁護士を名乗る二人組に二十万円を渡してしまう。間もなく、一美はそれぞれの理由で借金を抱える警察官の引田(八嶋智人)、消費者金融のＯＬ・未海(山田優)と出会う。彼らの話によると二人組の正体は、ホストクラブを経営するオムオム(ユースケサンタマリア)という大金持ちの手下らしい。一美は二十万円を取り返すため、引田と未海とともに問題のホストクラブに向かう。")</f>
        <v>。　仲間とのつながりを第一に考える一美(小栗旬)は、頼まれれば断れない性格が災いし、消費者金融で借金を重ねていた。ある日、詐欺に引っ掛かった一美は、弁護士を名乗る二人組に二十万円を渡してしまう。間もなく、一美はそれぞれの理由で借金を抱える警察官の引田(八嶋智人)、消費者金融のＯＬ・未海(山田優)と出会う。彼らの話によると二人組の正体は、ホストクラブを経営するオムオム(ユースケサンタマリア)という大金持ちの手下らしい。一美は二十万円を取り返すため、引田と未海とともに問題のホストクラブに向かう。</v>
      </c>
      <c r="O4560" s="2"/>
      <c r="P4560" s="1"/>
      <c r="Q4560" s="1"/>
      <c r="R4560" s="1"/>
      <c r="S4560" s="1"/>
      <c r="T4560" s="1"/>
      <c r="U4560" s="1"/>
      <c r="V4560" s="1"/>
      <c r="W4560" s="1"/>
      <c r="X4560" s="1"/>
      <c r="Y4560" s="1"/>
      <c r="Z4560" s="1"/>
      <c r="AA4560" s="1"/>
      <c r="AB4560" s="1"/>
      <c r="AC4560" s="1"/>
      <c r="AD4560" s="1"/>
      <c r="AE4560" s="1"/>
      <c r="AF4560" s="1"/>
      <c r="AG4560" s="1"/>
      <c r="AH4560" s="1"/>
      <c r="AI4560" s="1"/>
      <c r="AJ4560" s="1"/>
      <c r="AK4560" s="1"/>
      <c r="AL4560" s="1"/>
      <c r="AM4560" s="1"/>
      <c r="AN4560" s="1"/>
      <c r="AO4560" s="1"/>
      <c r="AP4560" s="1"/>
      <c r="AQ4560" s="1"/>
      <c r="AR4560" s="1"/>
      <c r="AS4560" s="1"/>
      <c r="AT4560" s="1"/>
      <c r="AU4560" s="1"/>
      <c r="AV4560" s="1"/>
      <c r="AW4560" s="1"/>
      <c r="AX4560" s="1"/>
      <c r="AY4560" s="1"/>
      <c r="AZ4560" s="1"/>
      <c r="BA4560" s="1"/>
      <c r="BB4560" s="1"/>
    </row>
    <row r="4561" ht="204.75" customHeight="1">
      <c r="A4561" s="1">
        <v>5928.0</v>
      </c>
      <c r="B4561" s="2" t="s">
        <v>12960</v>
      </c>
      <c r="C4561" s="2">
        <f>IFERROR(__xludf.DUMMYFUNCTION("split(B4561,""_"")"),801.0)</f>
        <v>801</v>
      </c>
      <c r="D4561" s="2" t="str">
        <f>IFERROR(__xludf.DUMMYFUNCTION("""COMPUTED_VALUE"""),"NTV")</f>
        <v>NTV</v>
      </c>
      <c r="E4561" s="2" t="str">
        <f>IFERROR(__xludf.DUMMYFUNCTION("""COMPUTED_VALUE"""),"火22")</f>
        <v>火22</v>
      </c>
      <c r="F4561" s="2" t="s">
        <v>12961</v>
      </c>
      <c r="G4561" s="2" t="s">
        <v>12964</v>
      </c>
      <c r="H4561" s="1">
        <v>2.0</v>
      </c>
      <c r="J4561" s="1" t="s">
        <v>86</v>
      </c>
      <c r="K4561" s="2" t="s">
        <v>12965</v>
      </c>
      <c r="L4561" s="2"/>
      <c r="M4561" s="2" t="str">
        <f>IFERROR(__xludf.DUMMYFUNCTION("split(split(K4561,""【演出"",false),""ほか"",false)"),"悪夢にうなされた一美(小栗旬)は、早期の借金返済を考える。引田(八嶋智人)と未海(山田優)に利息について聞くが、二人は自分の利息をよく理解していないらしい。一美は二人に借金の恐ろしさを説明し、もう二度と借金はしないと誓い合う。だが、未海が買い物依存症だと判明。放っておけない一美は、未海の借金を止めると宣言する。そんな中、一美はオムオム(ユースケサンタマリア)から妙な賭けに誘われる。")</f>
        <v>悪夢にうなされた一美(小栗旬)は、早期の借金返済を考える。引田(八嶋智人)と未海(山田優)に利息について聞くが、二人は自分の利息をよく理解していないらしい。一美は二人に借金の恐ろしさを説明し、もう二度と借金はしないと誓い合う。だが、未海が買い物依存症だと判明。放っておけない一美は、未海の借金を止めると宣言する。そんな中、一美はオムオム(ユースケサンタマリア)から妙な賭けに誘われる。</v>
      </c>
      <c r="N4561" s="2"/>
      <c r="O4561" s="2"/>
      <c r="P4561" s="1"/>
      <c r="Q4561" s="1"/>
      <c r="R4561" s="1"/>
      <c r="S4561" s="1"/>
      <c r="T4561" s="1"/>
      <c r="U4561" s="1"/>
      <c r="V4561" s="1"/>
      <c r="W4561" s="1"/>
      <c r="X4561" s="1"/>
      <c r="Y4561" s="1"/>
      <c r="Z4561" s="1"/>
      <c r="AA4561" s="1"/>
      <c r="AB4561" s="1"/>
      <c r="AC4561" s="1"/>
      <c r="AD4561" s="1"/>
      <c r="AE4561" s="1"/>
      <c r="AF4561" s="1"/>
      <c r="AG4561" s="1"/>
      <c r="AH4561" s="1"/>
      <c r="AI4561" s="1"/>
      <c r="AJ4561" s="1"/>
      <c r="AK4561" s="1"/>
      <c r="AL4561" s="1"/>
      <c r="AM4561" s="1"/>
      <c r="AN4561" s="1"/>
      <c r="AO4561" s="1"/>
      <c r="AP4561" s="1"/>
      <c r="AQ4561" s="1"/>
      <c r="AR4561" s="1"/>
      <c r="AS4561" s="1"/>
      <c r="AT4561" s="1"/>
      <c r="AU4561" s="1"/>
      <c r="AV4561" s="1"/>
      <c r="AW4561" s="1"/>
      <c r="AX4561" s="1"/>
      <c r="AY4561" s="1"/>
      <c r="AZ4561" s="1"/>
      <c r="BA4561" s="1"/>
      <c r="BB4561" s="1"/>
    </row>
    <row r="4562" ht="204.75" customHeight="1">
      <c r="A4562" s="1">
        <v>5929.0</v>
      </c>
      <c r="B4562" s="2" t="s">
        <v>12960</v>
      </c>
      <c r="C4562" s="2">
        <f>IFERROR(__xludf.DUMMYFUNCTION("split(B4562,""_"")"),801.0)</f>
        <v>801</v>
      </c>
      <c r="D4562" s="2" t="str">
        <f>IFERROR(__xludf.DUMMYFUNCTION("""COMPUTED_VALUE"""),"NTV")</f>
        <v>NTV</v>
      </c>
      <c r="E4562" s="2" t="str">
        <f>IFERROR(__xludf.DUMMYFUNCTION("""COMPUTED_VALUE"""),"火22")</f>
        <v>火22</v>
      </c>
      <c r="F4562" s="2" t="s">
        <v>12961</v>
      </c>
      <c r="G4562" s="2" t="s">
        <v>12966</v>
      </c>
      <c r="H4562" s="1">
        <v>3.0</v>
      </c>
      <c r="J4562" s="1" t="s">
        <v>86</v>
      </c>
      <c r="K4562" s="2" t="s">
        <v>12967</v>
      </c>
      <c r="L4562" s="2"/>
      <c r="M4562" s="2" t="str">
        <f>IFERROR(__xludf.DUMMYFUNCTION("split(split(K4562,""【演出"",false),""ほか"",false)"),"オムオム(ユースケサンタマリア)の命令で、一美(小栗旬)の借金は十日で一割の超高金利に。昼間のファミリーレストランのアルバイトに加え、工事現場でも働くことになる。そんな中、一美と未海(山田優)は美しい女性(入山法子)と歩く引田(八嶋智人)の姿を目撃。女性は引田の見合い相手で、近々結婚するという。引田が抱えている借金の原因が、過去に結婚詐欺に遭ったためだと知った一美は、彼の幸せを心から願う。")</f>
        <v>オムオム(ユースケサンタマリア)の命令で、一美(小栗旬)の借金は十日で一割の超高金利に。昼間のファミリーレストランのアルバイトに加え、工事現場でも働くことになる。そんな中、一美と未海(山田優)は美しい女性(入山法子)と歩く引田(八嶋智人)の姿を目撃。女性は引田の見合い相手で、近々結婚するという。引田が抱えている借金の原因が、過去に結婚詐欺に遭ったためだと知った一美は、彼の幸せを心から願う。</v>
      </c>
      <c r="N4562" s="2"/>
      <c r="O4562" s="2"/>
      <c r="P4562" s="1"/>
      <c r="Q4562" s="1"/>
      <c r="R4562" s="1"/>
      <c r="S4562" s="1"/>
      <c r="T4562" s="1"/>
      <c r="U4562" s="1"/>
      <c r="V4562" s="1"/>
      <c r="W4562" s="1"/>
      <c r="X4562" s="1"/>
      <c r="Y4562" s="1"/>
      <c r="Z4562" s="1"/>
      <c r="AA4562" s="1"/>
      <c r="AB4562" s="1"/>
      <c r="AC4562" s="1"/>
      <c r="AD4562" s="1"/>
      <c r="AE4562" s="1"/>
      <c r="AF4562" s="1"/>
      <c r="AG4562" s="1"/>
      <c r="AH4562" s="1"/>
      <c r="AI4562" s="1"/>
      <c r="AJ4562" s="1"/>
      <c r="AK4562" s="1"/>
      <c r="AL4562" s="1"/>
      <c r="AM4562" s="1"/>
      <c r="AN4562" s="1"/>
      <c r="AO4562" s="1"/>
      <c r="AP4562" s="1"/>
      <c r="AQ4562" s="1"/>
      <c r="AR4562" s="1"/>
      <c r="AS4562" s="1"/>
      <c r="AT4562" s="1"/>
      <c r="AU4562" s="1"/>
      <c r="AV4562" s="1"/>
      <c r="AW4562" s="1"/>
      <c r="AX4562" s="1"/>
      <c r="AY4562" s="1"/>
      <c r="AZ4562" s="1"/>
      <c r="BA4562" s="1"/>
      <c r="BB4562" s="1"/>
    </row>
    <row r="4563" ht="204.75" customHeight="1">
      <c r="A4563" s="1">
        <v>5930.0</v>
      </c>
      <c r="B4563" s="2" t="s">
        <v>12960</v>
      </c>
      <c r="C4563" s="2">
        <f>IFERROR(__xludf.DUMMYFUNCTION("split(B4563,""_"")"),801.0)</f>
        <v>801</v>
      </c>
      <c r="D4563" s="2" t="str">
        <f>IFERROR(__xludf.DUMMYFUNCTION("""COMPUTED_VALUE"""),"NTV")</f>
        <v>NTV</v>
      </c>
      <c r="E4563" s="2" t="str">
        <f>IFERROR(__xludf.DUMMYFUNCTION("""COMPUTED_VALUE"""),"火22")</f>
        <v>火22</v>
      </c>
      <c r="F4563" s="2" t="s">
        <v>12961</v>
      </c>
      <c r="G4563" s="2" t="s">
        <v>12968</v>
      </c>
      <c r="H4563" s="1">
        <v>4.0</v>
      </c>
      <c r="J4563" s="1" t="s">
        <v>86</v>
      </c>
      <c r="K4563" s="2" t="s">
        <v>12969</v>
      </c>
      <c r="L4563" s="2"/>
      <c r="M4563" s="2" t="str">
        <f>IFERROR(__xludf.DUMMYFUNCTION("split(split(K4563,""【演出"",false),""ほか"",false)"),"一美(小栗旬)はオムオム(ユースケサンタマリア)から、一週間後に借金百六万円を返済するよう迫られる。困り果てた一美は、引田(八嶋智人)に勧められるまま競馬に挑戦。ビギナーズラックで連戦連勝し、瞬く間に百五十万円を手に入れる。その金を持ってオムオムの元へ向かうが、オムオムは受け取らず、投資で増やすよう命令。一美は早速、株を買ってみるが、失敗してしまい、引田の勧めで再び競馬に賭ける決意をする。")</f>
        <v>一美(小栗旬)はオムオム(ユースケサンタマリア)から、一週間後に借金百六万円を返済するよう迫られる。困り果てた一美は、引田(八嶋智人)に勧められるまま競馬に挑戦。ビギナーズラックで連戦連勝し、瞬く間に百五十万円を手に入れる。その金を持ってオムオムの元へ向かうが、オムオムは受け取らず、投資で増やすよう命令。一美は早速、株を買ってみるが、失敗してしまい、引田の勧めで再び競馬に賭ける決意をする。</v>
      </c>
      <c r="N4563" s="2"/>
      <c r="O4563" s="2"/>
      <c r="P4563" s="1"/>
      <c r="Q4563" s="1"/>
      <c r="R4563" s="1"/>
      <c r="S4563" s="1"/>
      <c r="T4563" s="1"/>
      <c r="U4563" s="1"/>
      <c r="V4563" s="1"/>
      <c r="W4563" s="1"/>
      <c r="X4563" s="1"/>
      <c r="Y4563" s="1"/>
      <c r="Z4563" s="1"/>
      <c r="AA4563" s="1"/>
      <c r="AB4563" s="1"/>
      <c r="AC4563" s="1"/>
      <c r="AD4563" s="1"/>
      <c r="AE4563" s="1"/>
      <c r="AF4563" s="1"/>
      <c r="AG4563" s="1"/>
      <c r="AH4563" s="1"/>
      <c r="AI4563" s="1"/>
      <c r="AJ4563" s="1"/>
      <c r="AK4563" s="1"/>
      <c r="AL4563" s="1"/>
      <c r="AM4563" s="1"/>
      <c r="AN4563" s="1"/>
      <c r="AO4563" s="1"/>
      <c r="AP4563" s="1"/>
      <c r="AQ4563" s="1"/>
      <c r="AR4563" s="1"/>
      <c r="AS4563" s="1"/>
      <c r="AT4563" s="1"/>
      <c r="AU4563" s="1"/>
      <c r="AV4563" s="1"/>
      <c r="AW4563" s="1"/>
      <c r="AX4563" s="1"/>
      <c r="AY4563" s="1"/>
      <c r="AZ4563" s="1"/>
      <c r="BA4563" s="1"/>
      <c r="BB4563" s="1"/>
    </row>
    <row r="4564" ht="204.75" customHeight="1">
      <c r="A4564" s="1">
        <v>5931.0</v>
      </c>
      <c r="B4564" s="2" t="s">
        <v>12960</v>
      </c>
      <c r="C4564" s="2">
        <f>IFERROR(__xludf.DUMMYFUNCTION("split(B4564,""_"")"),801.0)</f>
        <v>801</v>
      </c>
      <c r="D4564" s="2" t="str">
        <f>IFERROR(__xludf.DUMMYFUNCTION("""COMPUTED_VALUE"""),"NTV")</f>
        <v>NTV</v>
      </c>
      <c r="E4564" s="2" t="str">
        <f>IFERROR(__xludf.DUMMYFUNCTION("""COMPUTED_VALUE"""),"火22")</f>
        <v>火22</v>
      </c>
      <c r="F4564" s="2" t="s">
        <v>12961</v>
      </c>
      <c r="G4564" s="2" t="s">
        <v>12970</v>
      </c>
      <c r="H4564" s="1">
        <v>5.0</v>
      </c>
      <c r="J4564" s="1" t="s">
        <v>86</v>
      </c>
      <c r="K4564" s="2" t="s">
        <v>12971</v>
      </c>
      <c r="L4564" s="2"/>
      <c r="M4564" s="2" t="str">
        <f>IFERROR(__xludf.DUMMYFUNCTION("split(split(K4564,""【演出"",false),""ほか"",false)"),"オムオム(ユースケサンタマリア)から、どん底にいる自覚がないと批判された一美(小栗旬)は、アパートを出て家賃分も借金返済に充てると宣言。だが、引っ越しの準備をする一美の元に、母・静枝(市毛良枝)が突然上京してくる。借金のことを明かせない一美は、大慌てで白石(三浦春馬)らに協力を求め、静枝が泊まる用意をする。そんな折、静枝と出会ったオムオムは、自分には理解できない一美の行動について疑問をぶつける。")</f>
        <v>オムオム(ユースケサンタマリア)から、どん底にいる自覚がないと批判された一美(小栗旬)は、アパートを出て家賃分も借金返済に充てると宣言。だが、引っ越しの準備をする一美の元に、母・静枝(市毛良枝)が突然上京してくる。借金のことを明かせない一美は、大慌てで白石(三浦春馬)らに協力を求め、静枝が泊まる用意をする。そんな折、静枝と出会ったオムオムは、自分には理解できない一美の行動について疑問をぶつける。</v>
      </c>
      <c r="N4564" s="2"/>
      <c r="O4564" s="2"/>
      <c r="P4564" s="1"/>
      <c r="Q4564" s="1"/>
      <c r="R4564" s="1"/>
      <c r="S4564" s="1"/>
      <c r="T4564" s="1"/>
      <c r="U4564" s="1"/>
      <c r="V4564" s="1"/>
      <c r="W4564" s="1"/>
      <c r="X4564" s="1"/>
      <c r="Y4564" s="1"/>
      <c r="Z4564" s="1"/>
      <c r="AA4564" s="1"/>
      <c r="AB4564" s="1"/>
      <c r="AC4564" s="1"/>
      <c r="AD4564" s="1"/>
      <c r="AE4564" s="1"/>
      <c r="AF4564" s="1"/>
      <c r="AG4564" s="1"/>
      <c r="AH4564" s="1"/>
      <c r="AI4564" s="1"/>
      <c r="AJ4564" s="1"/>
      <c r="AK4564" s="1"/>
      <c r="AL4564" s="1"/>
      <c r="AM4564" s="1"/>
      <c r="AN4564" s="1"/>
      <c r="AO4564" s="1"/>
      <c r="AP4564" s="1"/>
      <c r="AQ4564" s="1"/>
      <c r="AR4564" s="1"/>
      <c r="AS4564" s="1"/>
      <c r="AT4564" s="1"/>
      <c r="AU4564" s="1"/>
      <c r="AV4564" s="1"/>
      <c r="AW4564" s="1"/>
      <c r="AX4564" s="1"/>
      <c r="AY4564" s="1"/>
      <c r="AZ4564" s="1"/>
      <c r="BA4564" s="1"/>
      <c r="BB4564" s="1"/>
    </row>
    <row r="4565" ht="204.75" customHeight="1">
      <c r="A4565" s="1">
        <v>5932.0</v>
      </c>
      <c r="B4565" s="2" t="s">
        <v>12960</v>
      </c>
      <c r="C4565" s="2">
        <f>IFERROR(__xludf.DUMMYFUNCTION("split(B4565,""_"")"),801.0)</f>
        <v>801</v>
      </c>
      <c r="D4565" s="2" t="str">
        <f>IFERROR(__xludf.DUMMYFUNCTION("""COMPUTED_VALUE"""),"NTV")</f>
        <v>NTV</v>
      </c>
      <c r="E4565" s="2" t="str">
        <f>IFERROR(__xludf.DUMMYFUNCTION("""COMPUTED_VALUE"""),"火22")</f>
        <v>火22</v>
      </c>
      <c r="F4565" s="2" t="s">
        <v>12961</v>
      </c>
      <c r="G4565" s="2" t="s">
        <v>12972</v>
      </c>
      <c r="H4565" s="1">
        <v>6.0</v>
      </c>
      <c r="J4565" s="1" t="s">
        <v>86</v>
      </c>
      <c r="K4565" s="2" t="s">
        <v>12973</v>
      </c>
      <c r="L4565" s="2"/>
      <c r="M4565" s="2" t="str">
        <f>IFERROR(__xludf.DUMMYFUNCTION("split(split(K4565,""【演出"",false),""ほか"",false)"),"貧乏男子◇オムオム（ユースケサンタマリア）の指示でアパートを出た一美（小栗旬）は、野宿する場所を探して粗大ごみ置き場などを回るうち、物々交換の仲介をして金を稼ごうと思い付く。早速、引田（八嶋智人）と未海（山田優）の協力を得て、インターネットに物々交換の掲示板を立ち上げる。そんな中、一美はしばらく部屋に泊まってほしいという白石（三浦春馬）の申し出を素直に受け、物々交換の収益で順調に借金を返済。また白石の父、祐（山崎一）を見つけた一美は、息子と会うよう説得する。一方、オムオムは全くへこたれない一美を窮地に追い"&amp;"込もうと、借金の肩代わりを一美にさせたらどうかと白石にささやく。")</f>
        <v>貧乏男子◇オムオム（ユースケサンタマリア）の指示でアパートを出た一美（小栗旬）は、野宿する場所を探して粗大ごみ置き場などを回るうち、物々交換の仲介をして金を稼ごうと思い付く。早速、引田（八嶋智人）と未海（山田優）の協力を得て、インターネットに物々交換の掲示板を立ち上げる。そんな中、一美はしばらく部屋に泊まってほしいという白石（三浦春馬）の申し出を素直に受け、物々交換の収益で順調に借金を返済。また白石の父、祐（山崎一）を見つけた一美は、息子と会うよう説得する。一方、オムオムは全くへこたれない一美を窮地に追い込もうと、借金の肩代わりを一美にさせたらどうかと白石にささやく。</v>
      </c>
      <c r="N4565" s="2"/>
      <c r="O4565" s="2"/>
      <c r="P4565" s="1"/>
      <c r="Q4565" s="1"/>
      <c r="R4565" s="1"/>
      <c r="S4565" s="1"/>
      <c r="T4565" s="1"/>
      <c r="U4565" s="1"/>
      <c r="V4565" s="1"/>
      <c r="W4565" s="1"/>
      <c r="X4565" s="1"/>
      <c r="Y4565" s="1"/>
      <c r="Z4565" s="1"/>
      <c r="AA4565" s="1"/>
      <c r="AB4565" s="1"/>
      <c r="AC4565" s="1"/>
      <c r="AD4565" s="1"/>
      <c r="AE4565" s="1"/>
      <c r="AF4565" s="1"/>
      <c r="AG4565" s="1"/>
      <c r="AH4565" s="1"/>
      <c r="AI4565" s="1"/>
      <c r="AJ4565" s="1"/>
      <c r="AK4565" s="1"/>
      <c r="AL4565" s="1"/>
      <c r="AM4565" s="1"/>
      <c r="AN4565" s="1"/>
      <c r="AO4565" s="1"/>
      <c r="AP4565" s="1"/>
      <c r="AQ4565" s="1"/>
      <c r="AR4565" s="1"/>
      <c r="AS4565" s="1"/>
      <c r="AT4565" s="1"/>
      <c r="AU4565" s="1"/>
      <c r="AV4565" s="1"/>
      <c r="AW4565" s="1"/>
      <c r="AX4565" s="1"/>
      <c r="AY4565" s="1"/>
      <c r="AZ4565" s="1"/>
      <c r="BA4565" s="1"/>
      <c r="BB4565" s="1"/>
    </row>
    <row r="4566" ht="204.75" customHeight="1">
      <c r="A4566" s="1">
        <v>5933.0</v>
      </c>
      <c r="B4566" s="2" t="s">
        <v>12960</v>
      </c>
      <c r="C4566" s="2">
        <f>IFERROR(__xludf.DUMMYFUNCTION("split(B4566,""_"")"),801.0)</f>
        <v>801</v>
      </c>
      <c r="D4566" s="2" t="str">
        <f>IFERROR(__xludf.DUMMYFUNCTION("""COMPUTED_VALUE"""),"NTV")</f>
        <v>NTV</v>
      </c>
      <c r="E4566" s="2" t="str">
        <f>IFERROR(__xludf.DUMMYFUNCTION("""COMPUTED_VALUE"""),"火22")</f>
        <v>火22</v>
      </c>
      <c r="F4566" s="2" t="s">
        <v>12961</v>
      </c>
      <c r="G4566" s="2" t="s">
        <v>12972</v>
      </c>
      <c r="H4566" s="1">
        <v>7.0</v>
      </c>
      <c r="J4566" s="1" t="s">
        <v>86</v>
      </c>
      <c r="K4566" s="2" t="s">
        <v>12974</v>
      </c>
      <c r="L4566" s="2"/>
      <c r="M4566" s="2" t="str">
        <f>IFERROR(__xludf.DUMMYFUNCTION("split(split(K4566,""【演出"",false),""ほか"",false)"),"貧乏男子◇一美（小栗旬）に就職が内定した会社から懇親会の知らせが届く。未海（山田優）に説得されて出席した一美は、そこで特別ゲストのオムオム（ユースケサンタマリア）と遭遇。オムオムが会社の人事担当者に一美の借金のことを話したため、一美は窮地に陥る。それを知った未海はオムオムに猛抗議するが、一方的に一美に絶交を告げていた引田（八嶋智人）は冷たい反応しか示さない。やがて引田はオムオムから思わぬ頼み事をされる。それは一美の就職内定先の人事担当者に、一美の人となりを話してほしいというものだった。")</f>
        <v>貧乏男子◇一美（小栗旬）に就職が内定した会社から懇親会の知らせが届く。未海（山田優）に説得されて出席した一美は、そこで特別ゲストのオムオム（ユースケサンタマリア）と遭遇。オムオムが会社の人事担当者に一美の借金のことを話したため、一美は窮地に陥る。それを知った未海はオムオムに猛抗議するが、一方的に一美に絶交を告げていた引田（八嶋智人）は冷たい反応しか示さない。やがて引田はオムオムから思わぬ頼み事をされる。それは一美の就職内定先の人事担当者に、一美の人となりを話してほしいというものだった。</v>
      </c>
      <c r="N4566" s="2"/>
      <c r="O4566" s="2"/>
      <c r="P4566" s="1"/>
      <c r="Q4566" s="1"/>
      <c r="R4566" s="1"/>
      <c r="S4566" s="1"/>
      <c r="T4566" s="1"/>
      <c r="U4566" s="1"/>
      <c r="V4566" s="1"/>
      <c r="W4566" s="1"/>
      <c r="X4566" s="1"/>
      <c r="Y4566" s="1"/>
      <c r="Z4566" s="1"/>
      <c r="AA4566" s="1"/>
      <c r="AB4566" s="1"/>
      <c r="AC4566" s="1"/>
      <c r="AD4566" s="1"/>
      <c r="AE4566" s="1"/>
      <c r="AF4566" s="1"/>
      <c r="AG4566" s="1"/>
      <c r="AH4566" s="1"/>
      <c r="AI4566" s="1"/>
      <c r="AJ4566" s="1"/>
      <c r="AK4566" s="1"/>
      <c r="AL4566" s="1"/>
      <c r="AM4566" s="1"/>
      <c r="AN4566" s="1"/>
      <c r="AO4566" s="1"/>
      <c r="AP4566" s="1"/>
      <c r="AQ4566" s="1"/>
      <c r="AR4566" s="1"/>
      <c r="AS4566" s="1"/>
      <c r="AT4566" s="1"/>
      <c r="AU4566" s="1"/>
      <c r="AV4566" s="1"/>
      <c r="AW4566" s="1"/>
      <c r="AX4566" s="1"/>
      <c r="AY4566" s="1"/>
      <c r="AZ4566" s="1"/>
      <c r="BA4566" s="1"/>
      <c r="BB4566" s="1"/>
    </row>
    <row r="4567" ht="204.75" customHeight="1">
      <c r="A4567" s="1">
        <v>5934.0</v>
      </c>
      <c r="B4567" s="2" t="s">
        <v>12960</v>
      </c>
      <c r="C4567" s="2">
        <f>IFERROR(__xludf.DUMMYFUNCTION("split(B4567,""_"")"),801.0)</f>
        <v>801</v>
      </c>
      <c r="D4567" s="2" t="str">
        <f>IFERROR(__xludf.DUMMYFUNCTION("""COMPUTED_VALUE"""),"NTV")</f>
        <v>NTV</v>
      </c>
      <c r="E4567" s="2" t="str">
        <f>IFERROR(__xludf.DUMMYFUNCTION("""COMPUTED_VALUE"""),"火22")</f>
        <v>火22</v>
      </c>
      <c r="F4567" s="2" t="s">
        <v>12961</v>
      </c>
      <c r="G4567" s="2" t="s">
        <v>12975</v>
      </c>
      <c r="H4567" s="1">
        <v>8.0</v>
      </c>
      <c r="J4567" s="1" t="s">
        <v>86</v>
      </c>
      <c r="K4567" s="2" t="s">
        <v>12976</v>
      </c>
      <c r="L4567" s="2"/>
      <c r="M4567" s="2" t="str">
        <f>IFERROR(__xludf.DUMMYFUNCTION("split(split(K4567,""【演出"",false),""ほか"",false)"),"小栗旬  八嶋智人　山田優　  三浦春馬　仲里依紗　上地雄輔　音尾琢真  ユースケ・サンタマリアオムオムに呼び出された未美海はかつて愛した女性が重い病気になり手術代や入院の金を払えず亡くなってしまった事を聞かされる。一美と引田に報告すると引田は否定するが、一美は真剣に聞く。オムオムはホストクラブで騒ぎを起こしたテルテルとそれをかばったチャぎーを辞めさせる。考えあぐねた二人は一美の物々交換の仕事を手伝いたいとやってくるが、失敗やイタズラを仕掛けてくる。一美には真意がわからず・・・吉野洋山浦雅大【音楽】澤野弘"&amp;"之  【主題歌】BENNIE　K　「モノクローム」  　　　　　(フォーライフ　ミュージック　エンタテインメント)  【挿入歌】鈴木雅之「上を向いて歩こう」(Epic　Records)【製作著作】日本テレビ  【制作協力】オフィスクレッシェンド")</f>
        <v>小栗旬  八嶋智人　山田優　  三浦春馬　仲里依紗　上地雄輔　音尾琢真  ユースケ・サンタマリアオムオムに呼び出された未美海はかつて愛した女性が重い病気になり手術代や入院の金を払えず亡くなってしまった事を聞かされる。一美と引田に報告すると引田は否定するが、一美は真剣に聞く。オムオムはホストクラブで騒ぎを起こしたテルテルとそれをかばったチャぎーを辞めさせる。考えあぐねた二人は一美の物々交換の仕事を手伝いたいとやってくるが、失敗やイタズラを仕掛けてくる。一美には真意がわからず・・・吉野洋山浦雅大【音楽】澤野弘之  【主題歌】BENNIE　K　「モノクローム」  　　　　　(フォーライフ　ミュージック　エンタテインメント)  【挿入歌】鈴木雅之「上を向いて歩こう」(Epic　Records)【製作著作】日本テレビ  【制作協力】オフィスクレッシェンド</v>
      </c>
      <c r="N4567" s="2"/>
      <c r="O4567" s="2"/>
      <c r="P4567" s="1"/>
      <c r="Q4567" s="1"/>
      <c r="R4567" s="1"/>
      <c r="S4567" s="1"/>
      <c r="T4567" s="1"/>
      <c r="U4567" s="1"/>
      <c r="V4567" s="1"/>
      <c r="W4567" s="1"/>
      <c r="X4567" s="1"/>
      <c r="Y4567" s="1"/>
      <c r="Z4567" s="1"/>
      <c r="AA4567" s="1"/>
      <c r="AB4567" s="1"/>
      <c r="AC4567" s="1"/>
      <c r="AD4567" s="1"/>
      <c r="AE4567" s="1"/>
      <c r="AF4567" s="1"/>
      <c r="AG4567" s="1"/>
      <c r="AH4567" s="1"/>
      <c r="AI4567" s="1"/>
      <c r="AJ4567" s="1"/>
      <c r="AK4567" s="1"/>
      <c r="AL4567" s="1"/>
      <c r="AM4567" s="1"/>
      <c r="AN4567" s="1"/>
      <c r="AO4567" s="1"/>
      <c r="AP4567" s="1"/>
      <c r="AQ4567" s="1"/>
      <c r="AR4567" s="1"/>
      <c r="AS4567" s="1"/>
      <c r="AT4567" s="1"/>
      <c r="AU4567" s="1"/>
      <c r="AV4567" s="1"/>
      <c r="AW4567" s="1"/>
      <c r="AX4567" s="1"/>
      <c r="AY4567" s="1"/>
      <c r="AZ4567" s="1"/>
      <c r="BA4567" s="1"/>
      <c r="BB4567" s="1"/>
    </row>
    <row r="4568" ht="204.75" customHeight="1">
      <c r="A4568" s="1">
        <v>5935.0</v>
      </c>
      <c r="B4568" s="2" t="s">
        <v>12960</v>
      </c>
      <c r="C4568" s="2">
        <f>IFERROR(__xludf.DUMMYFUNCTION("split(B4568,""_"")"),801.0)</f>
        <v>801</v>
      </c>
      <c r="D4568" s="2" t="str">
        <f>IFERROR(__xludf.DUMMYFUNCTION("""COMPUTED_VALUE"""),"NTV")</f>
        <v>NTV</v>
      </c>
      <c r="E4568" s="2" t="str">
        <f>IFERROR(__xludf.DUMMYFUNCTION("""COMPUTED_VALUE"""),"火22")</f>
        <v>火22</v>
      </c>
      <c r="F4568" s="2" t="s">
        <v>12961</v>
      </c>
      <c r="G4568" s="2" t="s">
        <v>12975</v>
      </c>
      <c r="H4568" s="1">
        <v>9.0</v>
      </c>
      <c r="J4568" s="1" t="s">
        <v>86</v>
      </c>
      <c r="K4568" s="2" t="s">
        <v>12977</v>
      </c>
      <c r="L4568" s="2"/>
      <c r="M4568" s="2" t="str">
        <f>IFERROR(__xludf.DUMMYFUNCTION("split(split(K4568,""【演出"",false),""ほか"",false)"),"小栗旬  八嶋智人　山田優  三浦春馬　仲里依紗　上地雄輔　音尾琢真  ユースケ・サンタマリアオムオムとの最後の勝負は222万枚の封筒を明朝6時までに全て貼り終えること。かつての同じ勝負では友人たちにバイト代を払う羽目になってしまった一美に、お金抜きでどれだけの人間と繋がっているか見せてくれというオムオム。引田と未海は無茶だと言うが、一美は前の勝負のとき人との繋がりを信じていたのにお金に頼ってしまったので、今回は皆を信じたいと言う。一美は友人を集めるためにメールを送る。猪股隆一山岡真介  山浦雅大【音楽】"&amp;"澤野弘之  【主題歌】BENNIE　K「モノクローム」  　　　　　(フォーライフ　ミュージック　エンタテインメント)  【挿入歌】鈴木雅之「上を向いて歩こう」(Epic　Records)【製作著作】日本テレビ  【制作協力】オフィスクレッシェンド")</f>
        <v>小栗旬  八嶋智人　山田優  三浦春馬　仲里依紗　上地雄輔　音尾琢真  ユースケ・サンタマリアオムオムとの最後の勝負は222万枚の封筒を明朝6時までに全て貼り終えること。かつての同じ勝負では友人たちにバイト代を払う羽目になってしまった一美に、お金抜きでどれだけの人間と繋がっているか見せてくれというオムオム。引田と未海は無茶だと言うが、一美は前の勝負のとき人との繋がりを信じていたのにお金に頼ってしまったので、今回は皆を信じたいと言う。一美は友人を集めるためにメールを送る。猪股隆一山岡真介  山浦雅大【音楽】澤野弘之  【主題歌】BENNIE　K「モノクローム」  　　　　　(フォーライフ　ミュージック　エンタテインメント)  【挿入歌】鈴木雅之「上を向いて歩こう」(Epic　Records)【製作著作】日本テレビ  【制作協力】オフィスクレッシェンド</v>
      </c>
      <c r="N4568" s="2"/>
      <c r="O4568" s="2"/>
      <c r="P4568" s="1"/>
      <c r="Q4568" s="1"/>
      <c r="R4568" s="1"/>
      <c r="S4568" s="1"/>
      <c r="T4568" s="1"/>
      <c r="U4568" s="1"/>
      <c r="V4568" s="1"/>
      <c r="W4568" s="1"/>
      <c r="X4568" s="1"/>
      <c r="Y4568" s="1"/>
      <c r="Z4568" s="1"/>
      <c r="AA4568" s="1"/>
      <c r="AB4568" s="1"/>
      <c r="AC4568" s="1"/>
      <c r="AD4568" s="1"/>
      <c r="AE4568" s="1"/>
      <c r="AF4568" s="1"/>
      <c r="AG4568" s="1"/>
      <c r="AH4568" s="1"/>
      <c r="AI4568" s="1"/>
      <c r="AJ4568" s="1"/>
      <c r="AK4568" s="1"/>
      <c r="AL4568" s="1"/>
      <c r="AM4568" s="1"/>
      <c r="AN4568" s="1"/>
      <c r="AO4568" s="1"/>
      <c r="AP4568" s="1"/>
      <c r="AQ4568" s="1"/>
      <c r="AR4568" s="1"/>
      <c r="AS4568" s="1"/>
      <c r="AT4568" s="1"/>
      <c r="AU4568" s="1"/>
      <c r="AV4568" s="1"/>
      <c r="AW4568" s="1"/>
      <c r="AX4568" s="1"/>
      <c r="AY4568" s="1"/>
      <c r="AZ4568" s="1"/>
      <c r="BA4568" s="1"/>
      <c r="BB4568" s="1"/>
    </row>
    <row r="4569" ht="204.75" customHeight="1">
      <c r="A4569" s="1">
        <v>5936.0</v>
      </c>
      <c r="B4569" s="2" t="s">
        <v>12978</v>
      </c>
      <c r="C4569" s="2">
        <f>IFERROR(__xludf.DUMMYFUNCTION("split(B4569,""_"")"),801.0)</f>
        <v>801</v>
      </c>
      <c r="D4569" s="2" t="str">
        <f>IFERROR(__xludf.DUMMYFUNCTION("""COMPUTED_VALUE"""),"NTV")</f>
        <v>NTV</v>
      </c>
      <c r="E4569" s="2" t="str">
        <f>IFERROR(__xludf.DUMMYFUNCTION("""COMPUTED_VALUE"""),"水22")</f>
        <v>水22</v>
      </c>
      <c r="F4569" s="2" t="s">
        <v>12979</v>
      </c>
      <c r="G4569" s="2" t="s">
        <v>12980</v>
      </c>
      <c r="H4569" s="1">
        <v>1.0</v>
      </c>
      <c r="J4569" s="1" t="s">
        <v>82</v>
      </c>
      <c r="K4569" s="2" t="s">
        <v>12981</v>
      </c>
      <c r="L4569" s="2"/>
      <c r="M4569" s="2" t="str">
        <f>IFERROR(__xludf.DUMMYFUNCTION("split(split(K4569,""【演出"",false),""ほか"",false)"),"世の中の悪に敢然と立ち向かう女性・斉藤全子(観月ありさ)の生き方を描く。原作・小田ゆうあ、脚本・土田英生")</f>
        <v>世の中の悪に敢然と立ち向かう女性・斉藤全子(観月ありさ)の生き方を描く。原作・小田ゆうあ、脚本・土田英生</v>
      </c>
      <c r="N4569" s="2" t="str">
        <f>IFERROR(__xludf.DUMMYFUNCTION("""COMPUTED_VALUE"""),"、演出・久保田充")</f>
        <v>、演出・久保田充</v>
      </c>
      <c r="O4569" s="2" t="str">
        <f>IFERROR(__xludf.DUMMYFUNCTION("""COMPUTED_VALUE"""),"。　東京郊外の住宅地に夫・透(佐々木蔵之介)と五歳の息子・尊(平野心暖)とともに引っ越してきた真野(ミムラ)は、ごみ出しのルールに厳しい主婦・斉藤(観月)に出会う。相手が誰であろうと悪いことは悪いと注意する斉藤は、周囲から敬遠されていた。尊が通う幼稚園には、斉藤の息子・潤一(谷端奏人)も通っているらしい。三上(高島礼子)らの保護者グループに加わった真野は、斉藤の悪いうわさを聞かされる。")</f>
        <v>。　東京郊外の住宅地に夫・透(佐々木蔵之介)と五歳の息子・尊(平野心暖)とともに引っ越してきた真野(ミムラ)は、ごみ出しのルールに厳しい主婦・斉藤(観月)に出会う。相手が誰であろうと悪いことは悪いと注意する斉藤は、周囲から敬遠されていた。尊が通う幼稚園には、斉藤の息子・潤一(谷端奏人)も通っているらしい。三上(高島礼子)らの保護者グループに加わった真野は、斉藤の悪いうわさを聞かされる。</v>
      </c>
      <c r="P4569" s="1"/>
      <c r="Q4569" s="1"/>
      <c r="R4569" s="1"/>
      <c r="S4569" s="1"/>
      <c r="T4569" s="1"/>
      <c r="U4569" s="1"/>
      <c r="V4569" s="1"/>
      <c r="W4569" s="1"/>
      <c r="X4569" s="1"/>
      <c r="Y4569" s="1"/>
      <c r="Z4569" s="1"/>
      <c r="AA4569" s="1"/>
      <c r="AB4569" s="1"/>
      <c r="AC4569" s="1"/>
      <c r="AD4569" s="1"/>
      <c r="AE4569" s="1"/>
      <c r="AF4569" s="1"/>
      <c r="AG4569" s="1"/>
      <c r="AH4569" s="1"/>
      <c r="AI4569" s="1"/>
      <c r="AJ4569" s="1"/>
      <c r="AK4569" s="1"/>
      <c r="AL4569" s="1"/>
      <c r="AM4569" s="1"/>
      <c r="AN4569" s="1"/>
      <c r="AO4569" s="1"/>
      <c r="AP4569" s="1"/>
      <c r="AQ4569" s="1"/>
      <c r="AR4569" s="1"/>
      <c r="AS4569" s="1"/>
      <c r="AT4569" s="1"/>
      <c r="AU4569" s="1"/>
      <c r="AV4569" s="1"/>
      <c r="AW4569" s="1"/>
      <c r="AX4569" s="1"/>
      <c r="AY4569" s="1"/>
      <c r="AZ4569" s="1"/>
      <c r="BA4569" s="1"/>
      <c r="BB4569" s="1"/>
    </row>
    <row r="4570" ht="204.75" customHeight="1">
      <c r="A4570" s="1">
        <v>5937.0</v>
      </c>
      <c r="B4570" s="2" t="s">
        <v>12978</v>
      </c>
      <c r="C4570" s="2">
        <f>IFERROR(__xludf.DUMMYFUNCTION("split(B4570,""_"")"),801.0)</f>
        <v>801</v>
      </c>
      <c r="D4570" s="2" t="str">
        <f>IFERROR(__xludf.DUMMYFUNCTION("""COMPUTED_VALUE"""),"NTV")</f>
        <v>NTV</v>
      </c>
      <c r="E4570" s="2" t="str">
        <f>IFERROR(__xludf.DUMMYFUNCTION("""COMPUTED_VALUE"""),"水22")</f>
        <v>水22</v>
      </c>
      <c r="F4570" s="2" t="s">
        <v>12979</v>
      </c>
      <c r="G4570" s="2" t="s">
        <v>12982</v>
      </c>
      <c r="H4570" s="1">
        <v>2.0</v>
      </c>
      <c r="J4570" s="1" t="s">
        <v>86</v>
      </c>
      <c r="K4570" s="2" t="s">
        <v>12983</v>
      </c>
      <c r="L4570" s="2"/>
      <c r="M4570" s="2" t="str">
        <f>IFERROR(__xludf.DUMMYFUNCTION("split(split(K4570,""【演出"",false),""ほか"",false)"),"幼稚園のバザーが近づき、真野(ミムラ)ら保護者は大忙し。リーダーの三上(高島礼子)は、昨年のバザーが隣接する高校の生徒たちに台無しにされたことから、警備を強化するなど、万全の対策を立てていた。さらに、斉藤(観月ありさ)がいない場で、バザーの開催中に高校生によるトラブルが発生しても一切刺激しないよう保護者たちに指示。だが、この話を真野から聞いた斉藤は、自分が正しいと思ったら一人でも行動すると宣言する。")</f>
        <v>幼稚園のバザーが近づき、真野(ミムラ)ら保護者は大忙し。リーダーの三上(高島礼子)は、昨年のバザーが隣接する高校の生徒たちに台無しにされたことから、警備を強化するなど、万全の対策を立てていた。さらに、斉藤(観月ありさ)がいない場で、バザーの開催中に高校生によるトラブルが発生しても一切刺激しないよう保護者たちに指示。だが、この話を真野から聞いた斉藤は、自分が正しいと思ったら一人でも行動すると宣言する。</v>
      </c>
      <c r="N4570" s="2"/>
      <c r="O4570" s="2"/>
      <c r="P4570" s="1"/>
      <c r="Q4570" s="1"/>
      <c r="R4570" s="1"/>
      <c r="S4570" s="1"/>
      <c r="T4570" s="1"/>
      <c r="U4570" s="1"/>
      <c r="V4570" s="1"/>
      <c r="W4570" s="1"/>
      <c r="X4570" s="1"/>
      <c r="Y4570" s="1"/>
      <c r="Z4570" s="1"/>
      <c r="AA4570" s="1"/>
      <c r="AB4570" s="1"/>
      <c r="AC4570" s="1"/>
      <c r="AD4570" s="1"/>
      <c r="AE4570" s="1"/>
      <c r="AF4570" s="1"/>
      <c r="AG4570" s="1"/>
      <c r="AH4570" s="1"/>
      <c r="AI4570" s="1"/>
      <c r="AJ4570" s="1"/>
      <c r="AK4570" s="1"/>
      <c r="AL4570" s="1"/>
      <c r="AM4570" s="1"/>
      <c r="AN4570" s="1"/>
      <c r="AO4570" s="1"/>
      <c r="AP4570" s="1"/>
      <c r="AQ4570" s="1"/>
      <c r="AR4570" s="1"/>
      <c r="AS4570" s="1"/>
      <c r="AT4570" s="1"/>
      <c r="AU4570" s="1"/>
      <c r="AV4570" s="1"/>
      <c r="AW4570" s="1"/>
      <c r="AX4570" s="1"/>
      <c r="AY4570" s="1"/>
      <c r="AZ4570" s="1"/>
      <c r="BA4570" s="1"/>
      <c r="BB4570" s="1"/>
    </row>
    <row r="4571" ht="204.75" customHeight="1">
      <c r="A4571" s="1">
        <v>5938.0</v>
      </c>
      <c r="B4571" s="2" t="s">
        <v>12978</v>
      </c>
      <c r="C4571" s="2">
        <f>IFERROR(__xludf.DUMMYFUNCTION("split(B4571,""_"")"),801.0)</f>
        <v>801</v>
      </c>
      <c r="D4571" s="2" t="str">
        <f>IFERROR(__xludf.DUMMYFUNCTION("""COMPUTED_VALUE"""),"NTV")</f>
        <v>NTV</v>
      </c>
      <c r="E4571" s="2" t="str">
        <f>IFERROR(__xludf.DUMMYFUNCTION("""COMPUTED_VALUE"""),"水22")</f>
        <v>水22</v>
      </c>
      <c r="F4571" s="2" t="s">
        <v>12979</v>
      </c>
      <c r="G4571" s="2" t="s">
        <v>12984</v>
      </c>
      <c r="H4571" s="1">
        <v>3.0</v>
      </c>
      <c r="J4571" s="1" t="s">
        <v>86</v>
      </c>
      <c r="K4571" s="2" t="s">
        <v>12985</v>
      </c>
      <c r="L4571" s="2"/>
      <c r="M4571" s="2" t="str">
        <f>IFERROR(__xludf.DUMMYFUNCTION("split(split(K4571,""【演出"",false),""ほか"",false)"),"斉藤(観月ありさ)は幼稚園の庭にごみをまかれた問題で、阿久津高校に相談に行く。だが、証拠がないからと取り合ってもらえない。そんな中、園児が高校生らしい男にラッカースプレーを掛けられるという事件が発生。斉藤の単独行動が事態を悪化させると判断した三上(高島礼子)は、真野(ミムラ)に斉藤の行動を監視するよう指示する。困り果てた真野は、阿久津高校に通う女子生徒に思わず今回の件を相談してしまう。")</f>
        <v>斉藤(観月ありさ)は幼稚園の庭にごみをまかれた問題で、阿久津高校に相談に行く。だが、証拠がないからと取り合ってもらえない。そんな中、園児が高校生らしい男にラッカースプレーを掛けられるという事件が発生。斉藤の単独行動が事態を悪化させると判断した三上(高島礼子)は、真野(ミムラ)に斉藤の行動を監視するよう指示する。困り果てた真野は、阿久津高校に通う女子生徒に思わず今回の件を相談してしまう。</v>
      </c>
      <c r="N4571" s="2"/>
      <c r="O4571" s="2"/>
      <c r="P4571" s="1"/>
      <c r="Q4571" s="1"/>
      <c r="R4571" s="1"/>
      <c r="S4571" s="1"/>
      <c r="T4571" s="1"/>
      <c r="U4571" s="1"/>
      <c r="V4571" s="1"/>
      <c r="W4571" s="1"/>
      <c r="X4571" s="1"/>
      <c r="Y4571" s="1"/>
      <c r="Z4571" s="1"/>
      <c r="AA4571" s="1"/>
      <c r="AB4571" s="1"/>
      <c r="AC4571" s="1"/>
      <c r="AD4571" s="1"/>
      <c r="AE4571" s="1"/>
      <c r="AF4571" s="1"/>
      <c r="AG4571" s="1"/>
      <c r="AH4571" s="1"/>
      <c r="AI4571" s="1"/>
      <c r="AJ4571" s="1"/>
      <c r="AK4571" s="1"/>
      <c r="AL4571" s="1"/>
      <c r="AM4571" s="1"/>
      <c r="AN4571" s="1"/>
      <c r="AO4571" s="1"/>
      <c r="AP4571" s="1"/>
      <c r="AQ4571" s="1"/>
      <c r="AR4571" s="1"/>
      <c r="AS4571" s="1"/>
      <c r="AT4571" s="1"/>
      <c r="AU4571" s="1"/>
      <c r="AV4571" s="1"/>
      <c r="AW4571" s="1"/>
      <c r="AX4571" s="1"/>
      <c r="AY4571" s="1"/>
      <c r="AZ4571" s="1"/>
      <c r="BA4571" s="1"/>
      <c r="BB4571" s="1"/>
    </row>
    <row r="4572" ht="204.75" customHeight="1">
      <c r="A4572" s="1">
        <v>5939.0</v>
      </c>
      <c r="B4572" s="2" t="s">
        <v>12978</v>
      </c>
      <c r="C4572" s="2">
        <f>IFERROR(__xludf.DUMMYFUNCTION("split(B4572,""_"")"),801.0)</f>
        <v>801</v>
      </c>
      <c r="D4572" s="2" t="str">
        <f>IFERROR(__xludf.DUMMYFUNCTION("""COMPUTED_VALUE"""),"NTV")</f>
        <v>NTV</v>
      </c>
      <c r="E4572" s="2" t="str">
        <f>IFERROR(__xludf.DUMMYFUNCTION("""COMPUTED_VALUE"""),"水22")</f>
        <v>水22</v>
      </c>
      <c r="F4572" s="2" t="s">
        <v>12979</v>
      </c>
      <c r="G4572" s="2" t="s">
        <v>12986</v>
      </c>
      <c r="H4572" s="1">
        <v>4.0</v>
      </c>
      <c r="J4572" s="1" t="s">
        <v>86</v>
      </c>
      <c r="K4572" s="2" t="s">
        <v>12987</v>
      </c>
      <c r="L4572" s="2"/>
      <c r="M4572" s="2" t="str">
        <f>IFERROR(__xludf.DUMMYFUNCTION("split(split(K4572,""【演出"",false),""ほか"",false)"),"子供たちの間でポータブルゲーム機が大流行。子供を自然の中で遊ばせたい斉藤(観月ありさ)は、ゲームは買わない主義で、真野(ミムラ)もその意見に賛同する。ゲーム機が欲しい潤一(谷端奏人)と尊(平野心暖)は、クリスマスにサンタクロースに頼むと言いだす。そんな中、ある園児が園内でゲーム機を紛失するという騒ぎが発生。ゲーム機を持っていない園児の仕業ではないかとのうわさが流れる。")</f>
        <v>子供たちの間でポータブルゲーム機が大流行。子供を自然の中で遊ばせたい斉藤(観月ありさ)は、ゲームは買わない主義で、真野(ミムラ)もその意見に賛同する。ゲーム機が欲しい潤一(谷端奏人)と尊(平野心暖)は、クリスマスにサンタクロースに頼むと言いだす。そんな中、ある園児が園内でゲーム機を紛失するという騒ぎが発生。ゲーム機を持っていない園児の仕業ではないかとのうわさが流れる。</v>
      </c>
      <c r="N4572" s="2"/>
      <c r="O4572" s="2"/>
      <c r="P4572" s="1"/>
      <c r="Q4572" s="1"/>
      <c r="R4572" s="1"/>
      <c r="S4572" s="1"/>
      <c r="T4572" s="1"/>
      <c r="U4572" s="1"/>
      <c r="V4572" s="1"/>
      <c r="W4572" s="1"/>
      <c r="X4572" s="1"/>
      <c r="Y4572" s="1"/>
      <c r="Z4572" s="1"/>
      <c r="AA4572" s="1"/>
      <c r="AB4572" s="1"/>
      <c r="AC4572" s="1"/>
      <c r="AD4572" s="1"/>
      <c r="AE4572" s="1"/>
      <c r="AF4572" s="1"/>
      <c r="AG4572" s="1"/>
      <c r="AH4572" s="1"/>
      <c r="AI4572" s="1"/>
      <c r="AJ4572" s="1"/>
      <c r="AK4572" s="1"/>
      <c r="AL4572" s="1"/>
      <c r="AM4572" s="1"/>
      <c r="AN4572" s="1"/>
      <c r="AO4572" s="1"/>
      <c r="AP4572" s="1"/>
      <c r="AQ4572" s="1"/>
      <c r="AR4572" s="1"/>
      <c r="AS4572" s="1"/>
      <c r="AT4572" s="1"/>
      <c r="AU4572" s="1"/>
      <c r="AV4572" s="1"/>
      <c r="AW4572" s="1"/>
      <c r="AX4572" s="1"/>
      <c r="AY4572" s="1"/>
      <c r="AZ4572" s="1"/>
      <c r="BA4572" s="1"/>
      <c r="BB4572" s="1"/>
    </row>
    <row r="4573" ht="204.75" customHeight="1">
      <c r="A4573" s="1">
        <v>5940.0</v>
      </c>
      <c r="B4573" s="2" t="s">
        <v>12978</v>
      </c>
      <c r="C4573" s="2">
        <f>IFERROR(__xludf.DUMMYFUNCTION("split(B4573,""_"")"),801.0)</f>
        <v>801</v>
      </c>
      <c r="D4573" s="2" t="str">
        <f>IFERROR(__xludf.DUMMYFUNCTION("""COMPUTED_VALUE"""),"NTV")</f>
        <v>NTV</v>
      </c>
      <c r="E4573" s="2" t="str">
        <f>IFERROR(__xludf.DUMMYFUNCTION("""COMPUTED_VALUE"""),"水22")</f>
        <v>水22</v>
      </c>
      <c r="F4573" s="2" t="s">
        <v>12979</v>
      </c>
      <c r="G4573" s="2" t="s">
        <v>12988</v>
      </c>
      <c r="H4573" s="1">
        <v>5.0</v>
      </c>
      <c r="J4573" s="1" t="s">
        <v>86</v>
      </c>
      <c r="K4573" s="2" t="s">
        <v>12989</v>
      </c>
      <c r="L4573" s="2"/>
      <c r="M4573" s="2" t="str">
        <f>IFERROR(__xludf.DUMMYFUNCTION("split(split(K4573,""【演出"",false),""ほか"",false)"),"真野(ミムラ)は三上(高島礼子)から、幼稚園児を対象とした塾の体験授業を勧められる。塾に感化された真野は早速、尊(平野心暖)を通わせることに。間もなく、尊が礼儀正しくなったと周囲から褒められた真野は鼻が高い。一方、斉藤(観月ありさ)は小倉(北川弘美)の息子・佳也(坂井和久)の首に痛々しいあざがあることに気付く。事情を聴くと、尊との漫才ごっこが原因だという。斉藤は、真野との関係を壊したくない小倉が止めるのも聞かず、真野に抗議に行く。")</f>
        <v>真野(ミムラ)は三上(高島礼子)から、幼稚園児を対象とした塾の体験授業を勧められる。塾に感化された真野は早速、尊(平野心暖)を通わせることに。間もなく、尊が礼儀正しくなったと周囲から褒められた真野は鼻が高い。一方、斉藤(観月ありさ)は小倉(北川弘美)の息子・佳也(坂井和久)の首に痛々しいあざがあることに気付く。事情を聴くと、尊との漫才ごっこが原因だという。斉藤は、真野との関係を壊したくない小倉が止めるのも聞かず、真野に抗議に行く。</v>
      </c>
      <c r="N4573" s="2"/>
      <c r="O4573" s="2"/>
      <c r="P4573" s="1"/>
      <c r="Q4573" s="1"/>
      <c r="R4573" s="1"/>
      <c r="S4573" s="1"/>
      <c r="T4573" s="1"/>
      <c r="U4573" s="1"/>
      <c r="V4573" s="1"/>
      <c r="W4573" s="1"/>
      <c r="X4573" s="1"/>
      <c r="Y4573" s="1"/>
      <c r="Z4573" s="1"/>
      <c r="AA4573" s="1"/>
      <c r="AB4573" s="1"/>
      <c r="AC4573" s="1"/>
      <c r="AD4573" s="1"/>
      <c r="AE4573" s="1"/>
      <c r="AF4573" s="1"/>
      <c r="AG4573" s="1"/>
      <c r="AH4573" s="1"/>
      <c r="AI4573" s="1"/>
      <c r="AJ4573" s="1"/>
      <c r="AK4573" s="1"/>
      <c r="AL4573" s="1"/>
      <c r="AM4573" s="1"/>
      <c r="AN4573" s="1"/>
      <c r="AO4573" s="1"/>
      <c r="AP4573" s="1"/>
      <c r="AQ4573" s="1"/>
      <c r="AR4573" s="1"/>
      <c r="AS4573" s="1"/>
      <c r="AT4573" s="1"/>
      <c r="AU4573" s="1"/>
      <c r="AV4573" s="1"/>
      <c r="AW4573" s="1"/>
      <c r="AX4573" s="1"/>
      <c r="AY4573" s="1"/>
      <c r="AZ4573" s="1"/>
      <c r="BA4573" s="1"/>
      <c r="BB4573" s="1"/>
    </row>
    <row r="4574" ht="204.75" customHeight="1">
      <c r="A4574" s="1">
        <v>5941.0</v>
      </c>
      <c r="B4574" s="2" t="s">
        <v>12978</v>
      </c>
      <c r="C4574" s="2">
        <f>IFERROR(__xludf.DUMMYFUNCTION("split(B4574,""_"")"),801.0)</f>
        <v>801</v>
      </c>
      <c r="D4574" s="2" t="str">
        <f>IFERROR(__xludf.DUMMYFUNCTION("""COMPUTED_VALUE"""),"NTV")</f>
        <v>NTV</v>
      </c>
      <c r="E4574" s="2" t="str">
        <f>IFERROR(__xludf.DUMMYFUNCTION("""COMPUTED_VALUE"""),"水22")</f>
        <v>水22</v>
      </c>
      <c r="F4574" s="2" t="s">
        <v>12979</v>
      </c>
      <c r="G4574" s="2" t="s">
        <v>12990</v>
      </c>
      <c r="H4574" s="1">
        <v>6.0</v>
      </c>
      <c r="J4574" s="1" t="s">
        <v>86</v>
      </c>
      <c r="K4574" s="2" t="s">
        <v>12991</v>
      </c>
      <c r="L4574" s="2"/>
      <c r="M4574" s="2" t="str">
        <f>IFERROR(__xludf.DUMMYFUNCTION("split(split(K4574,""【演出"",false),""ほか"",false)"),"アルバイトを始めた真野(ミムラ)は、幼稚園で行われるキルト講習会の役員も任され大忙し。さらに、講師の柳川夫人(高橋ひとみ)から十五人以上の生徒を集めるよう指示される。そのころ幼稚園周辺では、不審者が子供を連れ回す事件が多発していた。アルバイトと役員を両立させようとする真野は、家を留守がちにしてしまう。斉藤(観月ありさ)から、尊(平野心暖)のことを第一に考えるべきだと説得された真野は、柳川夫人に役員の辞退を申し出る。")</f>
        <v>アルバイトを始めた真野(ミムラ)は、幼稚園で行われるキルト講習会の役員も任され大忙し。さらに、講師の柳川夫人(高橋ひとみ)から十五人以上の生徒を集めるよう指示される。そのころ幼稚園周辺では、不審者が子供を連れ回す事件が多発していた。アルバイトと役員を両立させようとする真野は、家を留守がちにしてしまう。斉藤(観月ありさ)から、尊(平野心暖)のことを第一に考えるべきだと説得された真野は、柳川夫人に役員の辞退を申し出る。</v>
      </c>
      <c r="N4574" s="2"/>
      <c r="O4574" s="2"/>
      <c r="P4574" s="1"/>
      <c r="Q4574" s="1"/>
      <c r="R4574" s="1"/>
      <c r="S4574" s="1"/>
      <c r="T4574" s="1"/>
      <c r="U4574" s="1"/>
      <c r="V4574" s="1"/>
      <c r="W4574" s="1"/>
      <c r="X4574" s="1"/>
      <c r="Y4574" s="1"/>
      <c r="Z4574" s="1"/>
      <c r="AA4574" s="1"/>
      <c r="AB4574" s="1"/>
      <c r="AC4574" s="1"/>
      <c r="AD4574" s="1"/>
      <c r="AE4574" s="1"/>
      <c r="AF4574" s="1"/>
      <c r="AG4574" s="1"/>
      <c r="AH4574" s="1"/>
      <c r="AI4574" s="1"/>
      <c r="AJ4574" s="1"/>
      <c r="AK4574" s="1"/>
      <c r="AL4574" s="1"/>
      <c r="AM4574" s="1"/>
      <c r="AN4574" s="1"/>
      <c r="AO4574" s="1"/>
      <c r="AP4574" s="1"/>
      <c r="AQ4574" s="1"/>
      <c r="AR4574" s="1"/>
      <c r="AS4574" s="1"/>
      <c r="AT4574" s="1"/>
      <c r="AU4574" s="1"/>
      <c r="AV4574" s="1"/>
      <c r="AW4574" s="1"/>
      <c r="AX4574" s="1"/>
      <c r="AY4574" s="1"/>
      <c r="AZ4574" s="1"/>
      <c r="BA4574" s="1"/>
      <c r="BB4574" s="1"/>
    </row>
    <row r="4575" ht="204.75" customHeight="1">
      <c r="A4575" s="1">
        <v>5942.0</v>
      </c>
      <c r="B4575" s="2" t="s">
        <v>12978</v>
      </c>
      <c r="C4575" s="2">
        <f>IFERROR(__xludf.DUMMYFUNCTION("split(B4575,""_"")"),801.0)</f>
        <v>801</v>
      </c>
      <c r="D4575" s="2" t="str">
        <f>IFERROR(__xludf.DUMMYFUNCTION("""COMPUTED_VALUE"""),"NTV")</f>
        <v>NTV</v>
      </c>
      <c r="E4575" s="2" t="str">
        <f>IFERROR(__xludf.DUMMYFUNCTION("""COMPUTED_VALUE"""),"水22")</f>
        <v>水22</v>
      </c>
      <c r="F4575" s="2" t="s">
        <v>12979</v>
      </c>
      <c r="G4575" s="2" t="s">
        <v>12992</v>
      </c>
      <c r="H4575" s="1">
        <v>7.0</v>
      </c>
      <c r="J4575" s="1" t="s">
        <v>86</v>
      </c>
      <c r="K4575" s="2" t="s">
        <v>12993</v>
      </c>
      <c r="L4575" s="2"/>
      <c r="M4575" s="2" t="str">
        <f>IFERROR(__xludf.DUMMYFUNCTION("split(split(K4575,""【演出"",false),""ほか"",false)"),"斉藤さん◇斉藤（観月ありさ）がスポーツジムで骨折して入院。その間、潤一（谷端奏人）の世話をすることになった真野（ミムラ）は、ようやく斉藤を助ける側になれたと張り切る。一方、斉藤は病室内の患者同士のトラブルに気付く。せきや歯ぎしりで迷惑を掛けていた患者が個室に移ることになったが、ある理由で中止になる。その理由とは、市議会議員の柳川（加藤雅也）が検査入院し、人目を避けた打ち合わせのために個室を使うことだった。斉藤は個室へ向かい、柳川との面会を求める。そのころ、幼稚園では市民ホールで展示されることになった野村（"&amp;"鈴木美恵）の娘、幸恵（坂本璃桜）の絵が急きょ三上（高島礼子）の娘、かおり（飯野芹菜）のものに変更され、子供の心を傷つけてしまう。")</f>
        <v>斉藤さん◇斉藤（観月ありさ）がスポーツジムで骨折して入院。その間、潤一（谷端奏人）の世話をすることになった真野（ミムラ）は、ようやく斉藤を助ける側になれたと張り切る。一方、斉藤は病室内の患者同士のトラブルに気付く。せきや歯ぎしりで迷惑を掛けていた患者が個室に移ることになったが、ある理由で中止になる。その理由とは、市議会議員の柳川（加藤雅也）が検査入院し、人目を避けた打ち合わせのために個室を使うことだった。斉藤は個室へ向かい、柳川との面会を求める。そのころ、幼稚園では市民ホールで展示されることになった野村（鈴木美恵）の娘、幸恵（坂本璃桜）の絵が急きょ三上（高島礼子）の娘、かおり（飯野芹菜）のものに変更され、子供の心を傷つけてしまう。</v>
      </c>
      <c r="N4575" s="2"/>
      <c r="O4575" s="2"/>
      <c r="P4575" s="1"/>
      <c r="Q4575" s="1"/>
      <c r="R4575" s="1"/>
      <c r="S4575" s="1"/>
      <c r="T4575" s="1"/>
      <c r="U4575" s="1"/>
      <c r="V4575" s="1"/>
      <c r="W4575" s="1"/>
      <c r="X4575" s="1"/>
      <c r="Y4575" s="1"/>
      <c r="Z4575" s="1"/>
      <c r="AA4575" s="1"/>
      <c r="AB4575" s="1"/>
      <c r="AC4575" s="1"/>
      <c r="AD4575" s="1"/>
      <c r="AE4575" s="1"/>
      <c r="AF4575" s="1"/>
      <c r="AG4575" s="1"/>
      <c r="AH4575" s="1"/>
      <c r="AI4575" s="1"/>
      <c r="AJ4575" s="1"/>
      <c r="AK4575" s="1"/>
      <c r="AL4575" s="1"/>
      <c r="AM4575" s="1"/>
      <c r="AN4575" s="1"/>
      <c r="AO4575" s="1"/>
      <c r="AP4575" s="1"/>
      <c r="AQ4575" s="1"/>
      <c r="AR4575" s="1"/>
      <c r="AS4575" s="1"/>
      <c r="AT4575" s="1"/>
      <c r="AU4575" s="1"/>
      <c r="AV4575" s="1"/>
      <c r="AW4575" s="1"/>
      <c r="AX4575" s="1"/>
      <c r="AY4575" s="1"/>
      <c r="AZ4575" s="1"/>
      <c r="BA4575" s="1"/>
      <c r="BB4575" s="1"/>
    </row>
    <row r="4576" ht="204.75" customHeight="1">
      <c r="A4576" s="1">
        <v>5943.0</v>
      </c>
      <c r="B4576" s="2" t="s">
        <v>12978</v>
      </c>
      <c r="C4576" s="2">
        <f>IFERROR(__xludf.DUMMYFUNCTION("split(B4576,""_"")"),801.0)</f>
        <v>801</v>
      </c>
      <c r="D4576" s="2" t="str">
        <f>IFERROR(__xludf.DUMMYFUNCTION("""COMPUTED_VALUE"""),"NTV")</f>
        <v>NTV</v>
      </c>
      <c r="E4576" s="2" t="str">
        <f>IFERROR(__xludf.DUMMYFUNCTION("""COMPUTED_VALUE"""),"水22")</f>
        <v>水22</v>
      </c>
      <c r="F4576" s="2" t="s">
        <v>12979</v>
      </c>
      <c r="G4576" s="2" t="s">
        <v>12992</v>
      </c>
      <c r="H4576" s="1">
        <v>8.0</v>
      </c>
      <c r="J4576" s="1" t="s">
        <v>86</v>
      </c>
      <c r="K4576" s="2" t="s">
        <v>12994</v>
      </c>
      <c r="L4576" s="2"/>
      <c r="M4576" s="2" t="str">
        <f>IFERROR(__xludf.DUMMYFUNCTION("split(split(K4576,""【演出"",false),""ほか"",false)"),"斉藤さん◇卒園が近づき、保護者たちによる卒園アルバムの制作が始まった。そんな中、園児がジャングルジムから落下。大きなけがにはならなかったが、山本（浜田マリ）らはその場に居合わせた佐原（須藤理彩）らに抗議する。後日、佐原は同僚の前で保護者の実名を挙げ、大げさで過保護で過剰に反応し過ぎると愚痴をこぼす。それを偶然耳にして怒った山本らは、保護者たちの前で佐原を責める。まるでいじめのようなやり方に、斉藤（観月ありさ）は山本らを非難して佐原をかばう。だが、ショックから立ち直れない佐原は帰宅途中、山本から預かった卒園"&amp;"アルバム制作の資料一式を紛失してしまう。")</f>
        <v>斉藤さん◇卒園が近づき、保護者たちによる卒園アルバムの制作が始まった。そんな中、園児がジャングルジムから落下。大きなけがにはならなかったが、山本（浜田マリ）らはその場に居合わせた佐原（須藤理彩）らに抗議する。後日、佐原は同僚の前で保護者の実名を挙げ、大げさで過保護で過剰に反応し過ぎると愚痴をこぼす。それを偶然耳にして怒った山本らは、保護者たちの前で佐原を責める。まるでいじめのようなやり方に、斉藤（観月ありさ）は山本らを非難して佐原をかばう。だが、ショックから立ち直れない佐原は帰宅途中、山本から預かった卒園アルバム制作の資料一式を紛失してしまう。</v>
      </c>
      <c r="N4576" s="2"/>
      <c r="O4576" s="2"/>
      <c r="P4576" s="1"/>
      <c r="Q4576" s="1"/>
      <c r="R4576" s="1"/>
      <c r="S4576" s="1"/>
      <c r="T4576" s="1"/>
      <c r="U4576" s="1"/>
      <c r="V4576" s="1"/>
      <c r="W4576" s="1"/>
      <c r="X4576" s="1"/>
      <c r="Y4576" s="1"/>
      <c r="Z4576" s="1"/>
      <c r="AA4576" s="1"/>
      <c r="AB4576" s="1"/>
      <c r="AC4576" s="1"/>
      <c r="AD4576" s="1"/>
      <c r="AE4576" s="1"/>
      <c r="AF4576" s="1"/>
      <c r="AG4576" s="1"/>
      <c r="AH4576" s="1"/>
      <c r="AI4576" s="1"/>
      <c r="AJ4576" s="1"/>
      <c r="AK4576" s="1"/>
      <c r="AL4576" s="1"/>
      <c r="AM4576" s="1"/>
      <c r="AN4576" s="1"/>
      <c r="AO4576" s="1"/>
      <c r="AP4576" s="1"/>
      <c r="AQ4576" s="1"/>
      <c r="AR4576" s="1"/>
      <c r="AS4576" s="1"/>
      <c r="AT4576" s="1"/>
      <c r="AU4576" s="1"/>
      <c r="AV4576" s="1"/>
      <c r="AW4576" s="1"/>
      <c r="AX4576" s="1"/>
      <c r="AY4576" s="1"/>
      <c r="AZ4576" s="1"/>
      <c r="BA4576" s="1"/>
      <c r="BB4576" s="1"/>
    </row>
    <row r="4577" ht="204.75" customHeight="1">
      <c r="A4577" s="1">
        <v>5944.0</v>
      </c>
      <c r="B4577" s="2" t="s">
        <v>12978</v>
      </c>
      <c r="C4577" s="2">
        <f>IFERROR(__xludf.DUMMYFUNCTION("split(B4577,""_"")"),801.0)</f>
        <v>801</v>
      </c>
      <c r="D4577" s="2" t="str">
        <f>IFERROR(__xludf.DUMMYFUNCTION("""COMPUTED_VALUE"""),"NTV")</f>
        <v>NTV</v>
      </c>
      <c r="E4577" s="2" t="str">
        <f>IFERROR(__xludf.DUMMYFUNCTION("""COMPUTED_VALUE"""),"水22")</f>
        <v>水22</v>
      </c>
      <c r="F4577" s="2" t="s">
        <v>12979</v>
      </c>
      <c r="G4577" s="2" t="s">
        <v>12992</v>
      </c>
      <c r="H4577" s="1">
        <v>9.0</v>
      </c>
      <c r="J4577" s="1" t="s">
        <v>86</v>
      </c>
      <c r="K4577" s="2" t="s">
        <v>12995</v>
      </c>
      <c r="L4577" s="2"/>
      <c r="M4577" s="2" t="str">
        <f>IFERROR(__xludf.DUMMYFUNCTION("split(split(K4577,""【演出"",false),""ほか"",false)"),"観月ありさ・ミムラ・佐々木蔵之介・北川弘美・濱田マリ・矢沢心・石橋杏奈・山田親太朗・弓削智久・山口佳奈子・須藤理彩・古田新太・高島礼子贈収賄の容疑で柳川議員(加藤雅也)と三上(高島礼子)の夫が逮捕された事から、こばと幼稚園の保護者間で思いもよらぬ動きが出る。三上グループの山本(濱田マリ)、中村(矢沢心)らが『斉藤組』に入りたいと斉藤さんを取り巻くようになったのだ。一方、小学校の統廃合を知らなかったと主張する三上は、誰にも認めて貰えない。そんな中、三上は柳川夫人(高橋ひとみ)に、息子の正義がいなくなったと助"&amp;"けを求められ…。")</f>
        <v>観月ありさ・ミムラ・佐々木蔵之介・北川弘美・濱田マリ・矢沢心・石橋杏奈・山田親太朗・弓削智久・山口佳奈子・須藤理彩・古田新太・高島礼子贈収賄の容疑で柳川議員(加藤雅也)と三上(高島礼子)の夫が逮捕された事から、こばと幼稚園の保護者間で思いもよらぬ動きが出る。三上グループの山本(濱田マリ)、中村(矢沢心)らが『斉藤組』に入りたいと斉藤さんを取り巻くようになったのだ。一方、小学校の統廃合を知らなかったと主張する三上は、誰にも認めて貰えない。そんな中、三上は柳川夫人(高橋ひとみ)に、息子の正義がいなくなったと助けを求められ…。</v>
      </c>
      <c r="N4577" s="2"/>
      <c r="O4577" s="2"/>
      <c r="P4577" s="1"/>
      <c r="Q4577" s="1"/>
      <c r="R4577" s="1"/>
      <c r="S4577" s="1"/>
      <c r="T4577" s="1"/>
      <c r="U4577" s="1"/>
      <c r="V4577" s="1"/>
      <c r="W4577" s="1"/>
      <c r="X4577" s="1"/>
      <c r="Y4577" s="1"/>
      <c r="Z4577" s="1"/>
      <c r="AA4577" s="1"/>
      <c r="AB4577" s="1"/>
      <c r="AC4577" s="1"/>
      <c r="AD4577" s="1"/>
      <c r="AE4577" s="1"/>
      <c r="AF4577" s="1"/>
      <c r="AG4577" s="1"/>
      <c r="AH4577" s="1"/>
      <c r="AI4577" s="1"/>
      <c r="AJ4577" s="1"/>
      <c r="AK4577" s="1"/>
      <c r="AL4577" s="1"/>
      <c r="AM4577" s="1"/>
      <c r="AN4577" s="1"/>
      <c r="AO4577" s="1"/>
      <c r="AP4577" s="1"/>
      <c r="AQ4577" s="1"/>
      <c r="AR4577" s="1"/>
      <c r="AS4577" s="1"/>
      <c r="AT4577" s="1"/>
      <c r="AU4577" s="1"/>
      <c r="AV4577" s="1"/>
      <c r="AW4577" s="1"/>
      <c r="AX4577" s="1"/>
      <c r="AY4577" s="1"/>
      <c r="AZ4577" s="1"/>
      <c r="BA4577" s="1"/>
      <c r="BB4577" s="1"/>
    </row>
    <row r="4578" ht="204.75" customHeight="1">
      <c r="A4578" s="1">
        <v>5945.0</v>
      </c>
      <c r="B4578" s="2" t="s">
        <v>12978</v>
      </c>
      <c r="C4578" s="2">
        <f>IFERROR(__xludf.DUMMYFUNCTION("split(B4578,""_"")"),801.0)</f>
        <v>801</v>
      </c>
      <c r="D4578" s="2" t="str">
        <f>IFERROR(__xludf.DUMMYFUNCTION("""COMPUTED_VALUE"""),"NTV")</f>
        <v>NTV</v>
      </c>
      <c r="E4578" s="2" t="str">
        <f>IFERROR(__xludf.DUMMYFUNCTION("""COMPUTED_VALUE"""),"水22")</f>
        <v>水22</v>
      </c>
      <c r="F4578" s="2" t="s">
        <v>12979</v>
      </c>
      <c r="G4578" s="2" t="s">
        <v>12992</v>
      </c>
      <c r="H4578" s="1">
        <v>10.0</v>
      </c>
      <c r="J4578" s="1" t="s">
        <v>86</v>
      </c>
      <c r="K4578" s="2" t="s">
        <v>12996</v>
      </c>
      <c r="L4578" s="2"/>
      <c r="M4578" s="2" t="str">
        <f>IFERROR(__xludf.DUMMYFUNCTION("split(split(K4578,""【演出"",false),""ほか"",false)"),"観月ありさ・ミムラ・佐々木蔵之介・北川弘美・濱田マリ・矢沢心・石橋杏奈・山田親太朗・弓削智久・山口佳奈子・須藤理彩・古田新太・高島礼子斉藤さん(観月ありさ)は、夫の赴任先・南アフリカに引っ越す事を、真野(ミムラ)に伝えられずにいた。そんな中、三上(高島礼子)から贈収賄は柳川議員より市長と一部の議員が深く関わっている事を聞かされる。一方、真野は自分を避け、三上と一緒に何かを隠している様子の斉藤さんに気が気ではない。更に、この件を調べていた記者の坂本が何者かに襲撃される。絶対に許せないと斉藤さんは、市議会に乗"&amp;"り込むと宣言して…。")</f>
        <v>観月ありさ・ミムラ・佐々木蔵之介・北川弘美・濱田マリ・矢沢心・石橋杏奈・山田親太朗・弓削智久・山口佳奈子・須藤理彩・古田新太・高島礼子斉藤さん(観月ありさ)は、夫の赴任先・南アフリカに引っ越す事を、真野(ミムラ)に伝えられずにいた。そんな中、三上(高島礼子)から贈収賄は柳川議員より市長と一部の議員が深く関わっている事を聞かされる。一方、真野は自分を避け、三上と一緒に何かを隠している様子の斉藤さんに気が気ではない。更に、この件を調べていた記者の坂本が何者かに襲撃される。絶対に許せないと斉藤さんは、市議会に乗り込むと宣言して…。</v>
      </c>
      <c r="N4578" s="2"/>
      <c r="O4578" s="2"/>
      <c r="P4578" s="1"/>
      <c r="Q4578" s="1"/>
      <c r="R4578" s="1"/>
      <c r="S4578" s="1"/>
      <c r="T4578" s="1"/>
      <c r="U4578" s="1"/>
      <c r="V4578" s="1"/>
      <c r="W4578" s="1"/>
      <c r="X4578" s="1"/>
      <c r="Y4578" s="1"/>
      <c r="Z4578" s="1"/>
      <c r="AA4578" s="1"/>
      <c r="AB4578" s="1"/>
      <c r="AC4578" s="1"/>
      <c r="AD4578" s="1"/>
      <c r="AE4578" s="1"/>
      <c r="AF4578" s="1"/>
      <c r="AG4578" s="1"/>
      <c r="AH4578" s="1"/>
      <c r="AI4578" s="1"/>
      <c r="AJ4578" s="1"/>
      <c r="AK4578" s="1"/>
      <c r="AL4578" s="1"/>
      <c r="AM4578" s="1"/>
      <c r="AN4578" s="1"/>
      <c r="AO4578" s="1"/>
      <c r="AP4578" s="1"/>
      <c r="AQ4578" s="1"/>
      <c r="AR4578" s="1"/>
      <c r="AS4578" s="1"/>
      <c r="AT4578" s="1"/>
      <c r="AU4578" s="1"/>
      <c r="AV4578" s="1"/>
      <c r="AW4578" s="1"/>
      <c r="AX4578" s="1"/>
      <c r="AY4578" s="1"/>
      <c r="AZ4578" s="1"/>
      <c r="BA4578" s="1"/>
      <c r="BB4578" s="1"/>
    </row>
    <row r="4579" ht="204.75" customHeight="1">
      <c r="A4579" s="1">
        <v>5946.0</v>
      </c>
      <c r="B4579" s="2" t="s">
        <v>12978</v>
      </c>
      <c r="C4579" s="2">
        <f>IFERROR(__xludf.DUMMYFUNCTION("split(B4579,""_"")"),801.0)</f>
        <v>801</v>
      </c>
      <c r="D4579" s="2" t="str">
        <f>IFERROR(__xludf.DUMMYFUNCTION("""COMPUTED_VALUE"""),"NTV")</f>
        <v>NTV</v>
      </c>
      <c r="E4579" s="2" t="str">
        <f>IFERROR(__xludf.DUMMYFUNCTION("""COMPUTED_VALUE"""),"水22")</f>
        <v>水22</v>
      </c>
      <c r="F4579" s="2" t="s">
        <v>12979</v>
      </c>
      <c r="G4579" s="2" t="s">
        <v>12992</v>
      </c>
      <c r="H4579" s="1">
        <v>11.0</v>
      </c>
      <c r="J4579" s="1" t="s">
        <v>82</v>
      </c>
      <c r="K4579" s="2" t="s">
        <v>12997</v>
      </c>
      <c r="L4579" s="2"/>
      <c r="M4579" s="2" t="str">
        <f>IFERROR(__xludf.DUMMYFUNCTION("split(split(K4579,""【演出"",false),""ほか"",false)"),"観月ありさ・ミムラ・佐々木蔵之介・北川弘美・濱田マリ・矢沢心・石橋杏奈・山田親太朗・弓削智久・山口佳奈子・須藤理彩・古田新太・高島礼子斉藤さん(観月ありさ)との仲直りが出来ない真野(ミムラ)は、卒園式終了後に行われる謝恩会で、保護者代表として挨拶をすることになる。しかし、真野は事情を知った桜井(石橋杏奈)と新見(高橋みなみ)から斉藤さんの優しさが分かっていないと鈍感ぶりを指摘される。更に透からも仲直りを勧められる真野だったが、自分から仲直りを言い出せず、焦りは募るばかり。そして、卒園式当日、斉藤さんの出発"&amp;"の日がやってきて…。")</f>
        <v>観月ありさ・ミムラ・佐々木蔵之介・北川弘美・濱田マリ・矢沢心・石橋杏奈・山田親太朗・弓削智久・山口佳奈子・須藤理彩・古田新太・高島礼子斉藤さん(観月ありさ)との仲直りが出来ない真野(ミムラ)は、卒園式終了後に行われる謝恩会で、保護者代表として挨拶をすることになる。しかし、真野は事情を知った桜井(石橋杏奈)と新見(高橋みなみ)から斉藤さんの優しさが分かっていないと鈍感ぶりを指摘される。更に透からも仲直りを勧められる真野だったが、自分から仲直りを言い出せず、焦りは募るばかり。そして、卒園式当日、斉藤さんの出発の日がやってきて…。</v>
      </c>
      <c r="N4579" s="2"/>
      <c r="O4579" s="2"/>
      <c r="P4579" s="1"/>
      <c r="Q4579" s="1"/>
      <c r="R4579" s="1"/>
      <c r="S4579" s="1"/>
      <c r="T4579" s="1"/>
      <c r="U4579" s="1"/>
      <c r="V4579" s="1"/>
      <c r="W4579" s="1"/>
      <c r="X4579" s="1"/>
      <c r="Y4579" s="1"/>
      <c r="Z4579" s="1"/>
      <c r="AA4579" s="1"/>
      <c r="AB4579" s="1"/>
      <c r="AC4579" s="1"/>
      <c r="AD4579" s="1"/>
      <c r="AE4579" s="1"/>
      <c r="AF4579" s="1"/>
      <c r="AG4579" s="1"/>
      <c r="AH4579" s="1"/>
      <c r="AI4579" s="1"/>
      <c r="AJ4579" s="1"/>
      <c r="AK4579" s="1"/>
      <c r="AL4579" s="1"/>
      <c r="AM4579" s="1"/>
      <c r="AN4579" s="1"/>
      <c r="AO4579" s="1"/>
      <c r="AP4579" s="1"/>
      <c r="AQ4579" s="1"/>
      <c r="AR4579" s="1"/>
      <c r="AS4579" s="1"/>
      <c r="AT4579" s="1"/>
      <c r="AU4579" s="1"/>
      <c r="AV4579" s="1"/>
      <c r="AW4579" s="1"/>
      <c r="AX4579" s="1"/>
      <c r="AY4579" s="1"/>
      <c r="AZ4579" s="1"/>
      <c r="BA4579" s="1"/>
      <c r="BB4579" s="1"/>
    </row>
    <row r="4580" ht="204.75" customHeight="1">
      <c r="A4580" s="1">
        <v>5998.0</v>
      </c>
      <c r="B4580" s="2" t="s">
        <v>12998</v>
      </c>
      <c r="C4580" s="2">
        <f>IFERROR(__xludf.DUMMYFUNCTION("split(B4580,""_"")"),801.0)</f>
        <v>801</v>
      </c>
      <c r="D4580" s="2" t="str">
        <f>IFERROR(__xludf.DUMMYFUNCTION("""COMPUTED_VALUE"""),"NTV")</f>
        <v>NTV</v>
      </c>
      <c r="E4580" s="2" t="str">
        <f>IFERROR(__xludf.DUMMYFUNCTION("""COMPUTED_VALUE"""),"土21")</f>
        <v>土21</v>
      </c>
      <c r="F4580" s="2" t="s">
        <v>12999</v>
      </c>
      <c r="G4580" s="2" t="s">
        <v>13000</v>
      </c>
      <c r="H4580" s="1">
        <v>1.0</v>
      </c>
      <c r="J4580" s="1" t="s">
        <v>4</v>
      </c>
      <c r="K4580" s="2" t="s">
        <v>13001</v>
      </c>
      <c r="L4580" s="2"/>
      <c r="M4580" s="2" t="str">
        <f>IFERROR(__xludf.DUMMYFUNCTION("split(split(K4580,""【演出"",false),""ほか"",false)"),"根性なしのプロボクサーが、一目ぼれをした修道院のシスターを振り向かせるために奮闘する姿を描く。高橋留美子のコミックをドラマ化。脚本・福田雄一、演出・佐藤東弥")</f>
        <v>根性なしのプロボクサーが、一目ぼれをした修道院のシスターを振り向かせるために奮闘する姿を描く。高橋留美子のコミックをドラマ化。脚本・福田雄一、演出・佐藤東弥</v>
      </c>
      <c r="N4580" s="2" t="str">
        <f>IFERROR(__xludf.DUMMYFUNCTION("""COMPUTED_VALUE"""),"。　耕作(亀梨和也)は「向田ジム」に所属するプロボクサー。才能がありながらも食欲に負けて減量に失敗し、連敗が続いていた。そんな中、耕作はジムの会長・聖子(小林聡美)から次の試合相手を告げられる。今度減量に失敗したらボクシングをやめるよう宣告された耕作は早速、減量を開始。だが、ロードワーク中に空腹で倒れてしまい、修道院の見習シスター、アンジェラ(黒木メイサ)に助けられる。彼女に一目ぼれをした耕作は、彼女との恋を実らせるため、過酷なトレーニングに励む。")</f>
        <v>。　耕作(亀梨和也)は「向田ジム」に所属するプロボクサー。才能がありながらも食欲に負けて減量に失敗し、連敗が続いていた。そんな中、耕作はジムの会長・聖子(小林聡美)から次の試合相手を告げられる。今度減量に失敗したらボクシングをやめるよう宣告された耕作は早速、減量を開始。だが、ロードワーク中に空腹で倒れてしまい、修道院の見習シスター、アンジェラ(黒木メイサ)に助けられる。彼女に一目ぼれをした耕作は、彼女との恋を実らせるため、過酷なトレーニングに励む。</v>
      </c>
      <c r="O4580" s="2"/>
      <c r="P4580" s="1"/>
      <c r="Q4580" s="1"/>
      <c r="R4580" s="1"/>
      <c r="S4580" s="1"/>
      <c r="T4580" s="1"/>
      <c r="U4580" s="1"/>
      <c r="V4580" s="1"/>
      <c r="W4580" s="1"/>
      <c r="X4580" s="1"/>
      <c r="Y4580" s="1"/>
      <c r="Z4580" s="1"/>
      <c r="AA4580" s="1"/>
      <c r="AB4580" s="1"/>
      <c r="AC4580" s="1"/>
      <c r="AD4580" s="1"/>
      <c r="AE4580" s="1"/>
      <c r="AF4580" s="1"/>
      <c r="AG4580" s="1"/>
      <c r="AH4580" s="1"/>
      <c r="AI4580" s="1"/>
      <c r="AJ4580" s="1"/>
      <c r="AK4580" s="1"/>
      <c r="AL4580" s="1"/>
      <c r="AM4580" s="1"/>
      <c r="AN4580" s="1"/>
      <c r="AO4580" s="1"/>
      <c r="AP4580" s="1"/>
      <c r="AQ4580" s="1"/>
      <c r="AR4580" s="1"/>
      <c r="AS4580" s="1"/>
      <c r="AT4580" s="1"/>
      <c r="AU4580" s="1"/>
      <c r="AV4580" s="1"/>
      <c r="AW4580" s="1"/>
      <c r="AX4580" s="1"/>
      <c r="AY4580" s="1"/>
      <c r="AZ4580" s="1"/>
      <c r="BA4580" s="1"/>
      <c r="BB4580" s="1"/>
    </row>
    <row r="4581" ht="204.75" customHeight="1">
      <c r="A4581" s="1">
        <v>5999.0</v>
      </c>
      <c r="B4581" s="2" t="s">
        <v>12998</v>
      </c>
      <c r="C4581" s="2">
        <f>IFERROR(__xludf.DUMMYFUNCTION("split(B4581,""_"")"),801.0)</f>
        <v>801</v>
      </c>
      <c r="D4581" s="2" t="str">
        <f>IFERROR(__xludf.DUMMYFUNCTION("""COMPUTED_VALUE"""),"NTV")</f>
        <v>NTV</v>
      </c>
      <c r="E4581" s="2" t="str">
        <f>IFERROR(__xludf.DUMMYFUNCTION("""COMPUTED_VALUE"""),"土21")</f>
        <v>土21</v>
      </c>
      <c r="F4581" s="2" t="s">
        <v>12999</v>
      </c>
      <c r="G4581" s="2" t="s">
        <v>13002</v>
      </c>
      <c r="H4581" s="1">
        <v>2.0</v>
      </c>
      <c r="J4581" s="1" t="s">
        <v>11</v>
      </c>
      <c r="K4581" s="2" t="s">
        <v>13003</v>
      </c>
      <c r="L4581" s="2"/>
      <c r="M4581" s="2" t="str">
        <f>IFERROR(__xludf.DUMMYFUNCTION("split(split(K4581,""【演出"",false),""ほか"",false)"),"耕作(亀梨和也)は、試合に勝ったらアンジェラ(黒木メイサ)が交際してくれるとの交換条件を勝手に考え、彼女に一方的に条件を伝える。アンジェラが承諾してくれたと思い込んだ耕作は、猛烈なトレーニングを開始。だが、優勝者に「クルージング夜景ディナー」がプレゼントされるという商店街の大食い大会があることを知り、減量中にもかかわらず出場してしまう。")</f>
        <v>耕作(亀梨和也)は、試合に勝ったらアンジェラ(黒木メイサ)が交際してくれるとの交換条件を勝手に考え、彼女に一方的に条件を伝える。アンジェラが承諾してくれたと思い込んだ耕作は、猛烈なトレーニングを開始。だが、優勝者に「クルージング夜景ディナー」がプレゼントされるという商店街の大食い大会があることを知り、減量中にもかかわらず出場してしまう。</v>
      </c>
      <c r="N4581" s="2"/>
      <c r="O4581" s="2"/>
      <c r="P4581" s="1"/>
      <c r="Q4581" s="1"/>
      <c r="R4581" s="1"/>
      <c r="S4581" s="1"/>
      <c r="T4581" s="1"/>
      <c r="U4581" s="1"/>
      <c r="V4581" s="1"/>
      <c r="W4581" s="1"/>
      <c r="X4581" s="1"/>
      <c r="Y4581" s="1"/>
      <c r="Z4581" s="1"/>
      <c r="AA4581" s="1"/>
      <c r="AB4581" s="1"/>
      <c r="AC4581" s="1"/>
      <c r="AD4581" s="1"/>
      <c r="AE4581" s="1"/>
      <c r="AF4581" s="1"/>
      <c r="AG4581" s="1"/>
      <c r="AH4581" s="1"/>
      <c r="AI4581" s="1"/>
      <c r="AJ4581" s="1"/>
      <c r="AK4581" s="1"/>
      <c r="AL4581" s="1"/>
      <c r="AM4581" s="1"/>
      <c r="AN4581" s="1"/>
      <c r="AO4581" s="1"/>
      <c r="AP4581" s="1"/>
      <c r="AQ4581" s="1"/>
      <c r="AR4581" s="1"/>
      <c r="AS4581" s="1"/>
      <c r="AT4581" s="1"/>
      <c r="AU4581" s="1"/>
      <c r="AV4581" s="1"/>
      <c r="AW4581" s="1"/>
      <c r="AX4581" s="1"/>
      <c r="AY4581" s="1"/>
      <c r="AZ4581" s="1"/>
      <c r="BA4581" s="1"/>
      <c r="BB4581" s="1"/>
    </row>
    <row r="4582" ht="204.75" customHeight="1">
      <c r="A4582" s="1">
        <v>6000.0</v>
      </c>
      <c r="B4582" s="2" t="s">
        <v>12998</v>
      </c>
      <c r="C4582" s="2">
        <f>IFERROR(__xludf.DUMMYFUNCTION("split(B4582,""_"")"),801.0)</f>
        <v>801</v>
      </c>
      <c r="D4582" s="2" t="str">
        <f>IFERROR(__xludf.DUMMYFUNCTION("""COMPUTED_VALUE"""),"NTV")</f>
        <v>NTV</v>
      </c>
      <c r="E4582" s="2" t="str">
        <f>IFERROR(__xludf.DUMMYFUNCTION("""COMPUTED_VALUE"""),"土21")</f>
        <v>土21</v>
      </c>
      <c r="F4582" s="2" t="s">
        <v>12999</v>
      </c>
      <c r="G4582" s="2" t="s">
        <v>13004</v>
      </c>
      <c r="H4582" s="1">
        <v>3.0</v>
      </c>
      <c r="J4582" s="1" t="s">
        <v>11</v>
      </c>
      <c r="K4582" s="2" t="s">
        <v>13005</v>
      </c>
      <c r="L4582" s="2"/>
      <c r="M4582" s="2" t="str">
        <f>IFERROR(__xludf.DUMMYFUNCTION("split(split(K4582,""【演出"",false),""ほか"",false)"),"二週間後に試合を控えた耕作(亀梨和也)が減量に励む中、けんか自慢の中学生・善彦(知念侑李)がジムにやって来る。聖子(小林聡美)の許可を得た善彦は練習を始めるが、なぜか耕作を狙ってパンチを繰り出す。教会から出入り禁止を通告されていた耕作は、アンジェラ(黒木メイサ)のことが頭をよぎり、善彦が自分を狙う理由など知ろうともしない。そんな中、腰を痛めて入院することになった聖子に代わり、アンジェラが耕作の減量を監視する。")</f>
        <v>二週間後に試合を控えた耕作(亀梨和也)が減量に励む中、けんか自慢の中学生・善彦(知念侑李)がジムにやって来る。聖子(小林聡美)の許可を得た善彦は練習を始めるが、なぜか耕作を狙ってパンチを繰り出す。教会から出入り禁止を通告されていた耕作は、アンジェラ(黒木メイサ)のことが頭をよぎり、善彦が自分を狙う理由など知ろうともしない。そんな中、腰を痛めて入院することになった聖子に代わり、アンジェラが耕作の減量を監視する。</v>
      </c>
      <c r="N4582" s="2"/>
      <c r="O4582" s="2"/>
      <c r="P4582" s="1"/>
      <c r="Q4582" s="1"/>
      <c r="R4582" s="1"/>
      <c r="S4582" s="1"/>
      <c r="T4582" s="1"/>
      <c r="U4582" s="1"/>
      <c r="V4582" s="1"/>
      <c r="W4582" s="1"/>
      <c r="X4582" s="1"/>
      <c r="Y4582" s="1"/>
      <c r="Z4582" s="1"/>
      <c r="AA4582" s="1"/>
      <c r="AB4582" s="1"/>
      <c r="AC4582" s="1"/>
      <c r="AD4582" s="1"/>
      <c r="AE4582" s="1"/>
      <c r="AF4582" s="1"/>
      <c r="AG4582" s="1"/>
      <c r="AH4582" s="1"/>
      <c r="AI4582" s="1"/>
      <c r="AJ4582" s="1"/>
      <c r="AK4582" s="1"/>
      <c r="AL4582" s="1"/>
      <c r="AM4582" s="1"/>
      <c r="AN4582" s="1"/>
      <c r="AO4582" s="1"/>
      <c r="AP4582" s="1"/>
      <c r="AQ4582" s="1"/>
      <c r="AR4582" s="1"/>
      <c r="AS4582" s="1"/>
      <c r="AT4582" s="1"/>
      <c r="AU4582" s="1"/>
      <c r="AV4582" s="1"/>
      <c r="AW4582" s="1"/>
      <c r="AX4582" s="1"/>
      <c r="AY4582" s="1"/>
      <c r="AZ4582" s="1"/>
      <c r="BA4582" s="1"/>
      <c r="BB4582" s="1"/>
    </row>
    <row r="4583" ht="204.75" customHeight="1">
      <c r="A4583" s="1">
        <v>6001.0</v>
      </c>
      <c r="B4583" s="2" t="s">
        <v>12998</v>
      </c>
      <c r="C4583" s="2">
        <f>IFERROR(__xludf.DUMMYFUNCTION("split(B4583,""_"")"),801.0)</f>
        <v>801</v>
      </c>
      <c r="D4583" s="2" t="str">
        <f>IFERROR(__xludf.DUMMYFUNCTION("""COMPUTED_VALUE"""),"NTV")</f>
        <v>NTV</v>
      </c>
      <c r="E4583" s="2" t="str">
        <f>IFERROR(__xludf.DUMMYFUNCTION("""COMPUTED_VALUE"""),"土21")</f>
        <v>土21</v>
      </c>
      <c r="F4583" s="2" t="s">
        <v>12999</v>
      </c>
      <c r="G4583" s="2" t="s">
        <v>13006</v>
      </c>
      <c r="H4583" s="1">
        <v>4.0</v>
      </c>
      <c r="J4583" s="1" t="s">
        <v>11</v>
      </c>
      <c r="K4583" s="2" t="s">
        <v>13007</v>
      </c>
      <c r="L4583" s="2"/>
      <c r="M4583" s="2" t="str">
        <f>IFERROR(__xludf.DUMMYFUNCTION("split(split(K4583,""【演出"",false),""ほか"",false)"),"耕作(亀梨和也)は次の対戦に向けて練習を開始。一方、アンジェラ(黒木メイサ)は信徒の守下(中丸新将)から、大手レストランチェーン社長の御曹司・若王子(黄川田将也)を見合い相手として紹介される。アンジェラは拒否するが、若王子は彼女に一目ぼれ。恋のライバル出現に心中穏やかではない耕作は、練習にも身が入らない。間もなく、若王子がアンジェラと結婚して一緒に店を経営する計画を立てていると知った耕作は、彼に負けまいと、自身も調理師免許を取得して店を持とうと決意。ボクシングをやめると宣言し、調理師学校に通い始める。")</f>
        <v>耕作(亀梨和也)は次の対戦に向けて練習を開始。一方、アンジェラ(黒木メイサ)は信徒の守下(中丸新将)から、大手レストランチェーン社長の御曹司・若王子(黄川田将也)を見合い相手として紹介される。アンジェラは拒否するが、若王子は彼女に一目ぼれ。恋のライバル出現に心中穏やかではない耕作は、練習にも身が入らない。間もなく、若王子がアンジェラと結婚して一緒に店を経営する計画を立てていると知った耕作は、彼に負けまいと、自身も調理師免許を取得して店を持とうと決意。ボクシングをやめると宣言し、調理師学校に通い始める。</v>
      </c>
      <c r="N4583" s="2"/>
      <c r="O4583" s="2"/>
      <c r="P4583" s="1"/>
      <c r="Q4583" s="1"/>
      <c r="R4583" s="1"/>
      <c r="S4583" s="1"/>
      <c r="T4583" s="1"/>
      <c r="U4583" s="1"/>
      <c r="V4583" s="1"/>
      <c r="W4583" s="1"/>
      <c r="X4583" s="1"/>
      <c r="Y4583" s="1"/>
      <c r="Z4583" s="1"/>
      <c r="AA4583" s="1"/>
      <c r="AB4583" s="1"/>
      <c r="AC4583" s="1"/>
      <c r="AD4583" s="1"/>
      <c r="AE4583" s="1"/>
      <c r="AF4583" s="1"/>
      <c r="AG4583" s="1"/>
      <c r="AH4583" s="1"/>
      <c r="AI4583" s="1"/>
      <c r="AJ4583" s="1"/>
      <c r="AK4583" s="1"/>
      <c r="AL4583" s="1"/>
      <c r="AM4583" s="1"/>
      <c r="AN4583" s="1"/>
      <c r="AO4583" s="1"/>
      <c r="AP4583" s="1"/>
      <c r="AQ4583" s="1"/>
      <c r="AR4583" s="1"/>
      <c r="AS4583" s="1"/>
      <c r="AT4583" s="1"/>
      <c r="AU4583" s="1"/>
      <c r="AV4583" s="1"/>
      <c r="AW4583" s="1"/>
      <c r="AX4583" s="1"/>
      <c r="AY4583" s="1"/>
      <c r="AZ4583" s="1"/>
      <c r="BA4583" s="1"/>
      <c r="BB4583" s="1"/>
    </row>
    <row r="4584" ht="204.75" customHeight="1">
      <c r="A4584" s="1">
        <v>6002.0</v>
      </c>
      <c r="B4584" s="2" t="s">
        <v>12998</v>
      </c>
      <c r="C4584" s="2">
        <f>IFERROR(__xludf.DUMMYFUNCTION("split(B4584,""_"")"),801.0)</f>
        <v>801</v>
      </c>
      <c r="D4584" s="2" t="str">
        <f>IFERROR(__xludf.DUMMYFUNCTION("""COMPUTED_VALUE"""),"NTV")</f>
        <v>NTV</v>
      </c>
      <c r="E4584" s="2" t="str">
        <f>IFERROR(__xludf.DUMMYFUNCTION("""COMPUTED_VALUE"""),"土21")</f>
        <v>土21</v>
      </c>
      <c r="F4584" s="2" t="s">
        <v>12999</v>
      </c>
      <c r="G4584" s="2" t="s">
        <v>13008</v>
      </c>
      <c r="H4584" s="1">
        <v>5.0</v>
      </c>
      <c r="J4584" s="1" t="s">
        <v>11</v>
      </c>
      <c r="K4584" s="2" t="s">
        <v>13009</v>
      </c>
      <c r="L4584" s="2"/>
      <c r="M4584" s="2" t="str">
        <f>IFERROR(__xludf.DUMMYFUNCTION("split(split(K4584,""【演出"",false),""ほか"",false)"),"耕作(亀梨和也)からバレンタインデーのチョコレートをねだられたアンジェラ(黒木メイサ)は、彼の気持ちに負けてこっそり渡すことに。だが当日、アンジェラは、紀子(南沢奈央)が耕作にチョコレートを渡すのを目撃、嫉妬(しっと)した自分に怒ってしまう。一方、怒りの原因が自分のしつこさにあると考えた耕作は、アンジェラの誕生日にプレゼントを贈ろうとする。だが、彼女は誕生日は分からないと答え、紀子と付き合うよう告げる。")</f>
        <v>耕作(亀梨和也)からバレンタインデーのチョコレートをねだられたアンジェラ(黒木メイサ)は、彼の気持ちに負けてこっそり渡すことに。だが当日、アンジェラは、紀子(南沢奈央)が耕作にチョコレートを渡すのを目撃、嫉妬(しっと)した自分に怒ってしまう。一方、怒りの原因が自分のしつこさにあると考えた耕作は、アンジェラの誕生日にプレゼントを贈ろうとする。だが、彼女は誕生日は分からないと答え、紀子と付き合うよう告げる。</v>
      </c>
      <c r="N4584" s="2"/>
      <c r="O4584" s="2"/>
      <c r="P4584" s="1"/>
      <c r="Q4584" s="1"/>
      <c r="R4584" s="1"/>
      <c r="S4584" s="1"/>
      <c r="T4584" s="1"/>
      <c r="U4584" s="1"/>
      <c r="V4584" s="1"/>
      <c r="W4584" s="1"/>
      <c r="X4584" s="1"/>
      <c r="Y4584" s="1"/>
      <c r="Z4584" s="1"/>
      <c r="AA4584" s="1"/>
      <c r="AB4584" s="1"/>
      <c r="AC4584" s="1"/>
      <c r="AD4584" s="1"/>
      <c r="AE4584" s="1"/>
      <c r="AF4584" s="1"/>
      <c r="AG4584" s="1"/>
      <c r="AH4584" s="1"/>
      <c r="AI4584" s="1"/>
      <c r="AJ4584" s="1"/>
      <c r="AK4584" s="1"/>
      <c r="AL4584" s="1"/>
      <c r="AM4584" s="1"/>
      <c r="AN4584" s="1"/>
      <c r="AO4584" s="1"/>
      <c r="AP4584" s="1"/>
      <c r="AQ4584" s="1"/>
      <c r="AR4584" s="1"/>
      <c r="AS4584" s="1"/>
      <c r="AT4584" s="1"/>
      <c r="AU4584" s="1"/>
      <c r="AV4584" s="1"/>
      <c r="AW4584" s="1"/>
      <c r="AX4584" s="1"/>
      <c r="AY4584" s="1"/>
      <c r="AZ4584" s="1"/>
      <c r="BA4584" s="1"/>
      <c r="BB4584" s="1"/>
    </row>
    <row r="4585" ht="204.75" customHeight="1">
      <c r="A4585" s="1">
        <v>6003.0</v>
      </c>
      <c r="B4585" s="2" t="s">
        <v>12998</v>
      </c>
      <c r="C4585" s="2">
        <f>IFERROR(__xludf.DUMMYFUNCTION("split(B4585,""_"")"),801.0)</f>
        <v>801</v>
      </c>
      <c r="D4585" s="2" t="str">
        <f>IFERROR(__xludf.DUMMYFUNCTION("""COMPUTED_VALUE"""),"NTV")</f>
        <v>NTV</v>
      </c>
      <c r="E4585" s="2" t="str">
        <f>IFERROR(__xludf.DUMMYFUNCTION("""COMPUTED_VALUE"""),"土21")</f>
        <v>土21</v>
      </c>
      <c r="F4585" s="2" t="s">
        <v>12999</v>
      </c>
      <c r="G4585" s="2" t="s">
        <v>13010</v>
      </c>
      <c r="H4585" s="1">
        <v>6.0</v>
      </c>
      <c r="J4585" s="1" t="s">
        <v>11</v>
      </c>
      <c r="K4585" s="2" t="s">
        <v>13011</v>
      </c>
      <c r="L4585" s="2"/>
      <c r="M4585" s="2" t="str">
        <f>IFERROR(__xludf.DUMMYFUNCTION("split(split(K4585,""【演出"",false),""ほか"",false)"),"耕作(亀梨和也)のことが頭から離れなくなってしまったアンジェラ(黒木メイサ)は、自らを戒めるため、修道院からの外出禁止を決意する。だが間もなく、修道院内でシスターとしての未熟さを痛感したアンジェラは、精神を強くするためジムで修業することに。聖子(小林聡美)は院長(もたいまさこ)の許可を得ていないことを心配しながらも、修業を許可する。そんな中、聖子は勝己(山田涼介)が学校でいじめに遭っていることに気付く。")</f>
        <v>耕作(亀梨和也)のことが頭から離れなくなってしまったアンジェラ(黒木メイサ)は、自らを戒めるため、修道院からの外出禁止を決意する。だが間もなく、修道院内でシスターとしての未熟さを痛感したアンジェラは、精神を強くするためジムで修業することに。聖子(小林聡美)は院長(もたいまさこ)の許可を得ていないことを心配しながらも、修業を許可する。そんな中、聖子は勝己(山田涼介)が学校でいじめに遭っていることに気付く。</v>
      </c>
      <c r="N4585" s="2"/>
      <c r="O4585" s="2"/>
      <c r="P4585" s="1"/>
      <c r="Q4585" s="1"/>
      <c r="R4585" s="1"/>
      <c r="S4585" s="1"/>
      <c r="T4585" s="1"/>
      <c r="U4585" s="1"/>
      <c r="V4585" s="1"/>
      <c r="W4585" s="1"/>
      <c r="X4585" s="1"/>
      <c r="Y4585" s="1"/>
      <c r="Z4585" s="1"/>
      <c r="AA4585" s="1"/>
      <c r="AB4585" s="1"/>
      <c r="AC4585" s="1"/>
      <c r="AD4585" s="1"/>
      <c r="AE4585" s="1"/>
      <c r="AF4585" s="1"/>
      <c r="AG4585" s="1"/>
      <c r="AH4585" s="1"/>
      <c r="AI4585" s="1"/>
      <c r="AJ4585" s="1"/>
      <c r="AK4585" s="1"/>
      <c r="AL4585" s="1"/>
      <c r="AM4585" s="1"/>
      <c r="AN4585" s="1"/>
      <c r="AO4585" s="1"/>
      <c r="AP4585" s="1"/>
      <c r="AQ4585" s="1"/>
      <c r="AR4585" s="1"/>
      <c r="AS4585" s="1"/>
      <c r="AT4585" s="1"/>
      <c r="AU4585" s="1"/>
      <c r="AV4585" s="1"/>
      <c r="AW4585" s="1"/>
      <c r="AX4585" s="1"/>
      <c r="AY4585" s="1"/>
      <c r="AZ4585" s="1"/>
      <c r="BA4585" s="1"/>
      <c r="BB4585" s="1"/>
    </row>
    <row r="4586" ht="204.75" customHeight="1">
      <c r="A4586" s="1">
        <v>6004.0</v>
      </c>
      <c r="B4586" s="2" t="s">
        <v>12998</v>
      </c>
      <c r="C4586" s="2">
        <f>IFERROR(__xludf.DUMMYFUNCTION("split(B4586,""_"")"),801.0)</f>
        <v>801</v>
      </c>
      <c r="D4586" s="2" t="str">
        <f>IFERROR(__xludf.DUMMYFUNCTION("""COMPUTED_VALUE"""),"NTV")</f>
        <v>NTV</v>
      </c>
      <c r="E4586" s="2" t="str">
        <f>IFERROR(__xludf.DUMMYFUNCTION("""COMPUTED_VALUE"""),"土21")</f>
        <v>土21</v>
      </c>
      <c r="F4586" s="2" t="s">
        <v>12999</v>
      </c>
      <c r="G4586" s="2" t="s">
        <v>13012</v>
      </c>
      <c r="H4586" s="1">
        <v>7.0</v>
      </c>
      <c r="J4586" s="1" t="s">
        <v>11</v>
      </c>
      <c r="K4586" s="2" t="s">
        <v>13013</v>
      </c>
      <c r="L4586" s="2"/>
      <c r="M4586" s="2" t="str">
        <f>IFERROR(__xludf.DUMMYFUNCTION("split(split(K4586,""【演出"",false),""ほか"",false)"),"【出演者】  亀梨和也、黒木メイサ、岡田義徳、山田涼介、高橋一生、石黒英雄、波岡一喜、江口のりこ、南沢奈央、中村果生莉、光石研、もたいまさこ、小林聡美  アンジェラ(黒木メイサ)の借金をチャラにするため、紅流星(桐谷健太)に試合を申し込んだ耕作(亀梨和也)だったが負ければ倍の100万を支払う約束をしてしまう。アンジェラには言わず黙々と練習に励んでいたが、ある日耕作が闘う理由を知ってしまう。撤回するよう耕作に詰め寄るアンジェラ。そしてまた、アンジェラもある決断をすることに…。耕作はチャンピオンになれるのか?"&amp;"耕作の思いに対して出したアンジェラの答えは?")</f>
        <v>【出演者】  亀梨和也、黒木メイサ、岡田義徳、山田涼介、高橋一生、石黒英雄、波岡一喜、江口のりこ、南沢奈央、中村果生莉、光石研、もたいまさこ、小林聡美  アンジェラ(黒木メイサ)の借金をチャラにするため、紅流星(桐谷健太)に試合を申し込んだ耕作(亀梨和也)だったが負ければ倍の100万を支払う約束をしてしまう。アンジェラには言わず黙々と練習に励んでいたが、ある日耕作が闘う理由を知ってしまう。撤回するよう耕作に詰め寄るアンジェラ。そしてまた、アンジェラもある決断をすることに…。耕作はチャンピオンになれるのか?耕作の思いに対して出したアンジェラの答えは?</v>
      </c>
      <c r="N4586" s="2"/>
      <c r="O4586" s="2"/>
      <c r="P4586" s="1"/>
      <c r="Q4586" s="1"/>
      <c r="R4586" s="1"/>
      <c r="S4586" s="1"/>
      <c r="T4586" s="1"/>
      <c r="U4586" s="1"/>
      <c r="V4586" s="1"/>
      <c r="W4586" s="1"/>
      <c r="X4586" s="1"/>
      <c r="Y4586" s="1"/>
      <c r="Z4586" s="1"/>
      <c r="AA4586" s="1"/>
      <c r="AB4586" s="1"/>
      <c r="AC4586" s="1"/>
      <c r="AD4586" s="1"/>
      <c r="AE4586" s="1"/>
      <c r="AF4586" s="1"/>
      <c r="AG4586" s="1"/>
      <c r="AH4586" s="1"/>
      <c r="AI4586" s="1"/>
      <c r="AJ4586" s="1"/>
      <c r="AK4586" s="1"/>
      <c r="AL4586" s="1"/>
      <c r="AM4586" s="1"/>
      <c r="AN4586" s="1"/>
      <c r="AO4586" s="1"/>
      <c r="AP4586" s="1"/>
      <c r="AQ4586" s="1"/>
      <c r="AR4586" s="1"/>
      <c r="AS4586" s="1"/>
      <c r="AT4586" s="1"/>
      <c r="AU4586" s="1"/>
      <c r="AV4586" s="1"/>
      <c r="AW4586" s="1"/>
      <c r="AX4586" s="1"/>
      <c r="AY4586" s="1"/>
      <c r="AZ4586" s="1"/>
      <c r="BA4586" s="1"/>
      <c r="BB4586" s="1"/>
    </row>
    <row r="4587" ht="204.75" customHeight="1">
      <c r="A4587" s="1">
        <v>6005.0</v>
      </c>
      <c r="B4587" s="2" t="s">
        <v>12998</v>
      </c>
      <c r="C4587" s="2">
        <f>IFERROR(__xludf.DUMMYFUNCTION("split(B4587,""_"")"),801.0)</f>
        <v>801</v>
      </c>
      <c r="D4587" s="2" t="str">
        <f>IFERROR(__xludf.DUMMYFUNCTION("""COMPUTED_VALUE"""),"NTV")</f>
        <v>NTV</v>
      </c>
      <c r="E4587" s="2" t="str">
        <f>IFERROR(__xludf.DUMMYFUNCTION("""COMPUTED_VALUE"""),"土21")</f>
        <v>土21</v>
      </c>
      <c r="F4587" s="2" t="s">
        <v>12999</v>
      </c>
      <c r="G4587" s="2" t="s">
        <v>13012</v>
      </c>
      <c r="H4587" s="1">
        <v>8.0</v>
      </c>
      <c r="J4587" s="1" t="s">
        <v>11</v>
      </c>
      <c r="K4587" s="2" t="s">
        <v>13014</v>
      </c>
      <c r="L4587" s="2"/>
      <c r="M4587" s="2" t="str">
        <f>IFERROR(__xludf.DUMMYFUNCTION("split(split(K4587,""【演出"",false),""ほか"",false)"),"【出演者】  亀梨和也、黒木メイサ、岡田義徳、山田涼介、高橋一生、石黒英雄、波岡一喜、江口のりこ、南沢奈央、中村果生莉、光石研、もたいまさこ、小林聡美  アンジェラが別の教会に移ったことを知らされ意気消沈する耕作。そんな中、出発しようとバスを待つアンジェラとジムを辞めて田舎に帰ろうとしている上田(岡田義徳)が同じバス停で鉢合わせ。上田はアンジェラが耕作のもとを去ろうとしていることを知る。どうにかアンジェラを引き止めようと上田はある作戦にでるのだが…。すれ違う耕作とアンジェラ。二人の恋の行方は…?そして向田"&amp;"ジムのメンバーにもそれぞれの結末が訪れる…。")</f>
        <v>【出演者】  亀梨和也、黒木メイサ、岡田義徳、山田涼介、高橋一生、石黒英雄、波岡一喜、江口のりこ、南沢奈央、中村果生莉、光石研、もたいまさこ、小林聡美  アンジェラが別の教会に移ったことを知らされ意気消沈する耕作。そんな中、出発しようとバスを待つアンジェラとジムを辞めて田舎に帰ろうとしている上田(岡田義徳)が同じバス停で鉢合わせ。上田はアンジェラが耕作のもとを去ろうとしていることを知る。どうにかアンジェラを引き止めようと上田はある作戦にでるのだが…。すれ違う耕作とアンジェラ。二人の恋の行方は…?そして向田ジムのメンバーにもそれぞれの結末が訪れる…。</v>
      </c>
      <c r="N4587" s="2"/>
      <c r="O4587" s="2"/>
      <c r="P4587" s="1"/>
      <c r="Q4587" s="1"/>
      <c r="R4587" s="1"/>
      <c r="S4587" s="1"/>
      <c r="T4587" s="1"/>
      <c r="U4587" s="1"/>
      <c r="V4587" s="1"/>
      <c r="W4587" s="1"/>
      <c r="X4587" s="1"/>
      <c r="Y4587" s="1"/>
      <c r="Z4587" s="1"/>
      <c r="AA4587" s="1"/>
      <c r="AB4587" s="1"/>
      <c r="AC4587" s="1"/>
      <c r="AD4587" s="1"/>
      <c r="AE4587" s="1"/>
      <c r="AF4587" s="1"/>
      <c r="AG4587" s="1"/>
      <c r="AH4587" s="1"/>
      <c r="AI4587" s="1"/>
      <c r="AJ4587" s="1"/>
      <c r="AK4587" s="1"/>
      <c r="AL4587" s="1"/>
      <c r="AM4587" s="1"/>
      <c r="AN4587" s="1"/>
      <c r="AO4587" s="1"/>
      <c r="AP4587" s="1"/>
      <c r="AQ4587" s="1"/>
      <c r="AR4587" s="1"/>
      <c r="AS4587" s="1"/>
      <c r="AT4587" s="1"/>
      <c r="AU4587" s="1"/>
      <c r="AV4587" s="1"/>
      <c r="AW4587" s="1"/>
      <c r="AX4587" s="1"/>
      <c r="AY4587" s="1"/>
      <c r="AZ4587" s="1"/>
      <c r="BA4587" s="1"/>
      <c r="BB4587" s="1"/>
    </row>
    <row r="4588" ht="204.75" customHeight="1">
      <c r="A4588" s="1">
        <v>6050.0</v>
      </c>
      <c r="B4588" s="2" t="s">
        <v>13015</v>
      </c>
      <c r="C4588" s="2">
        <f>IFERROR(__xludf.DUMMYFUNCTION("split(B4588,""_"")"),710.0)</f>
        <v>710</v>
      </c>
      <c r="D4588" s="2" t="str">
        <f>IFERROR(__xludf.DUMMYFUNCTION("""COMPUTED_VALUE"""),"NTV")</f>
        <v>NTV</v>
      </c>
      <c r="E4588" s="2" t="str">
        <f>IFERROR(__xludf.DUMMYFUNCTION("""COMPUTED_VALUE"""),"火22")</f>
        <v>火22</v>
      </c>
      <c r="F4588" s="2" t="s">
        <v>13016</v>
      </c>
      <c r="G4588" s="2" t="s">
        <v>13017</v>
      </c>
      <c r="H4588" s="1">
        <v>1.0</v>
      </c>
      <c r="J4588" s="1" t="s">
        <v>82</v>
      </c>
      <c r="K4588" s="2" t="s">
        <v>13018</v>
      </c>
      <c r="L4588" s="2"/>
      <c r="M4588" s="2" t="str">
        <f>IFERROR(__xludf.DUMMYFUNCTION("split(split(K4588,""【演出"",false),""ほか"",false)"),"名門高校を舞台に、個性豊かな六人の高校生がそれぞれの才能を発揮して難事件を解決する。一条ゆかり原作の同名コミックをドラマ化。脚本・江頭美智留、演出・大谷太郎")</f>
        <v>名門高校を舞台に、個性豊かな六人の高校生がそれぞれの才能を発揮して難事件を解決する。一条ゆかり原作の同名コミックをドラマ化。脚本・江頭美智留、演出・大谷太郎</v>
      </c>
      <c r="N4588" s="2" t="str">
        <f>IFERROR(__xludf.DUMMYFUNCTION("""COMPUTED_VALUE"""),"。　良家の子息や令嬢が通う聖プレジデント学園の生徒会副会長・魅録(赤西仁)は、生徒会メンバーの清四郎(横山裕)、美童(田口淳之介)、野梨子(香椎由宇)、可憐(鈴木えみ)、悠理(美波)らとともに”有閑倶楽部”を結成し、暇を持て余していた。そんな中、私立高校が集まる社交ダンス全国大会の優勝候補が、次々と何者かに襲われる事件が発生。大会の運営委員長を務める建設会社社長・高清水(萩原流行)に疑いの目を向けた魅録たちは、高清水の会社のパーティーに潜入する。")</f>
        <v>。　良家の子息や令嬢が通う聖プレジデント学園の生徒会副会長・魅録(赤西仁)は、生徒会メンバーの清四郎(横山裕)、美童(田口淳之介)、野梨子(香椎由宇)、可憐(鈴木えみ)、悠理(美波)らとともに”有閑倶楽部”を結成し、暇を持て余していた。そんな中、私立高校が集まる社交ダンス全国大会の優勝候補が、次々と何者かに襲われる事件が発生。大会の運営委員長を務める建設会社社長・高清水(萩原流行)に疑いの目を向けた魅録たちは、高清水の会社のパーティーに潜入する。</v>
      </c>
      <c r="O4588" s="2"/>
      <c r="P4588" s="1"/>
      <c r="Q4588" s="1"/>
      <c r="R4588" s="1"/>
      <c r="S4588" s="1"/>
      <c r="T4588" s="1"/>
      <c r="U4588" s="1"/>
      <c r="V4588" s="1"/>
      <c r="W4588" s="1"/>
      <c r="X4588" s="1"/>
      <c r="Y4588" s="1"/>
      <c r="Z4588" s="1"/>
      <c r="AA4588" s="1"/>
      <c r="AB4588" s="1"/>
      <c r="AC4588" s="1"/>
      <c r="AD4588" s="1"/>
      <c r="AE4588" s="1"/>
      <c r="AF4588" s="1"/>
      <c r="AG4588" s="1"/>
      <c r="AH4588" s="1"/>
      <c r="AI4588" s="1"/>
      <c r="AJ4588" s="1"/>
      <c r="AK4588" s="1"/>
      <c r="AL4588" s="1"/>
      <c r="AM4588" s="1"/>
      <c r="AN4588" s="1"/>
      <c r="AO4588" s="1"/>
      <c r="AP4588" s="1"/>
      <c r="AQ4588" s="1"/>
      <c r="AR4588" s="1"/>
      <c r="AS4588" s="1"/>
      <c r="AT4588" s="1"/>
      <c r="AU4588" s="1"/>
      <c r="AV4588" s="1"/>
      <c r="AW4588" s="1"/>
      <c r="AX4588" s="1"/>
      <c r="AY4588" s="1"/>
      <c r="AZ4588" s="1"/>
      <c r="BA4588" s="1"/>
      <c r="BB4588" s="1"/>
    </row>
    <row r="4589" ht="204.75" customHeight="1">
      <c r="A4589" s="1">
        <v>6051.0</v>
      </c>
      <c r="B4589" s="2" t="s">
        <v>13015</v>
      </c>
      <c r="C4589" s="2">
        <f>IFERROR(__xludf.DUMMYFUNCTION("split(B4589,""_"")"),710.0)</f>
        <v>710</v>
      </c>
      <c r="D4589" s="2" t="str">
        <f>IFERROR(__xludf.DUMMYFUNCTION("""COMPUTED_VALUE"""),"NTV")</f>
        <v>NTV</v>
      </c>
      <c r="E4589" s="2" t="str">
        <f>IFERROR(__xludf.DUMMYFUNCTION("""COMPUTED_VALUE"""),"火22")</f>
        <v>火22</v>
      </c>
      <c r="F4589" s="2" t="s">
        <v>13016</v>
      </c>
      <c r="G4589" s="2" t="s">
        <v>13019</v>
      </c>
      <c r="H4589" s="1">
        <v>2.0</v>
      </c>
      <c r="J4589" s="1" t="s">
        <v>86</v>
      </c>
      <c r="K4589" s="2" t="s">
        <v>13020</v>
      </c>
      <c r="L4589" s="2"/>
      <c r="M4589" s="2" t="str">
        <f>IFERROR(__xludf.DUMMYFUNCTION("split(split(K4589,""【演出"",false),""ほか"",false)"),"散歩中に覆面の二人組に襲われた悠理(美波)は、逆に相手をたたきのめす。彼らの正体は太助(布施博)と亮太(知念侑李)という親子。自分を狙った営利誘拐だと知った悠理は、暇つぶしに彼らに協力することに。早速、悠理は犯人に成り済まし、自宅に脅迫電話をかける。間もなく、魅録(赤西仁)を仲間に引き込んだ悠理は、太助らが用意した隠れ家に向かう。そこで、彼らが病気の妻の手術代をだまし取られたために誘拐を計画したのだと知る。")</f>
        <v>散歩中に覆面の二人組に襲われた悠理(美波)は、逆に相手をたたきのめす。彼らの正体は太助(布施博)と亮太(知念侑李)という親子。自分を狙った営利誘拐だと知った悠理は、暇つぶしに彼らに協力することに。早速、悠理は犯人に成り済まし、自宅に脅迫電話をかける。間もなく、魅録(赤西仁)を仲間に引き込んだ悠理は、太助らが用意した隠れ家に向かう。そこで、彼らが病気の妻の手術代をだまし取られたために誘拐を計画したのだと知る。</v>
      </c>
      <c r="N4589" s="2"/>
      <c r="O4589" s="2"/>
      <c r="P4589" s="1"/>
      <c r="Q4589" s="1"/>
      <c r="R4589" s="1"/>
      <c r="S4589" s="1"/>
      <c r="T4589" s="1"/>
      <c r="U4589" s="1"/>
      <c r="V4589" s="1"/>
      <c r="W4589" s="1"/>
      <c r="X4589" s="1"/>
      <c r="Y4589" s="1"/>
      <c r="Z4589" s="1"/>
      <c r="AA4589" s="1"/>
      <c r="AB4589" s="1"/>
      <c r="AC4589" s="1"/>
      <c r="AD4589" s="1"/>
      <c r="AE4589" s="1"/>
      <c r="AF4589" s="1"/>
      <c r="AG4589" s="1"/>
      <c r="AH4589" s="1"/>
      <c r="AI4589" s="1"/>
      <c r="AJ4589" s="1"/>
      <c r="AK4589" s="1"/>
      <c r="AL4589" s="1"/>
      <c r="AM4589" s="1"/>
      <c r="AN4589" s="1"/>
      <c r="AO4589" s="1"/>
      <c r="AP4589" s="1"/>
      <c r="AQ4589" s="1"/>
      <c r="AR4589" s="1"/>
      <c r="AS4589" s="1"/>
      <c r="AT4589" s="1"/>
      <c r="AU4589" s="1"/>
      <c r="AV4589" s="1"/>
      <c r="AW4589" s="1"/>
      <c r="AX4589" s="1"/>
      <c r="AY4589" s="1"/>
      <c r="AZ4589" s="1"/>
      <c r="BA4589" s="1"/>
      <c r="BB4589" s="1"/>
    </row>
    <row r="4590" ht="204.75" customHeight="1">
      <c r="A4590" s="1">
        <v>6052.0</v>
      </c>
      <c r="B4590" s="2" t="s">
        <v>13015</v>
      </c>
      <c r="C4590" s="2">
        <f>IFERROR(__xludf.DUMMYFUNCTION("split(B4590,""_"")"),710.0)</f>
        <v>710</v>
      </c>
      <c r="D4590" s="2" t="str">
        <f>IFERROR(__xludf.DUMMYFUNCTION("""COMPUTED_VALUE"""),"NTV")</f>
        <v>NTV</v>
      </c>
      <c r="E4590" s="2" t="str">
        <f>IFERROR(__xludf.DUMMYFUNCTION("""COMPUTED_VALUE"""),"火22")</f>
        <v>火22</v>
      </c>
      <c r="F4590" s="2" t="s">
        <v>13016</v>
      </c>
      <c r="G4590" s="2" t="s">
        <v>13021</v>
      </c>
      <c r="H4590" s="1">
        <v>3.0</v>
      </c>
      <c r="J4590" s="1" t="s">
        <v>86</v>
      </c>
      <c r="K4590" s="2" t="s">
        <v>13022</v>
      </c>
      <c r="L4590" s="2"/>
      <c r="M4590" s="2" t="str">
        <f>IFERROR(__xludf.DUMMYFUNCTION("split(split(K4590,""【演出"",false),""ほか"",false)"),"学園の卒業生・あゆみ(入山法子)が会社社長の神亀(正名僕蔵)と結婚することに。有閑倶楽部のメンバーも結婚式に誘われるが、魅録(赤西仁)は、あゆみの元恋人で自分も親しいすし職人・聖二(忍成修吾)のことが気になっていた。結婚式当日、式場に到着したメンバーは、ウエディングドレス姿のあゆみが式場から逃げ出そうとするのを目撃。聖二が交通事故に遭ったことを知ったあゆみが、彼の元に行こうとしていたのだ。メンバーは、あゆみに協力する。")</f>
        <v>学園の卒業生・あゆみ(入山法子)が会社社長の神亀(正名僕蔵)と結婚することに。有閑倶楽部のメンバーも結婚式に誘われるが、魅録(赤西仁)は、あゆみの元恋人で自分も親しいすし職人・聖二(忍成修吾)のことが気になっていた。結婚式当日、式場に到着したメンバーは、ウエディングドレス姿のあゆみが式場から逃げ出そうとするのを目撃。聖二が交通事故に遭ったことを知ったあゆみが、彼の元に行こうとしていたのだ。メンバーは、あゆみに協力する。</v>
      </c>
      <c r="N4590" s="2"/>
      <c r="O4590" s="2"/>
      <c r="P4590" s="1"/>
      <c r="Q4590" s="1"/>
      <c r="R4590" s="1"/>
      <c r="S4590" s="1"/>
      <c r="T4590" s="1"/>
      <c r="U4590" s="1"/>
      <c r="V4590" s="1"/>
      <c r="W4590" s="1"/>
      <c r="X4590" s="1"/>
      <c r="Y4590" s="1"/>
      <c r="Z4590" s="1"/>
      <c r="AA4590" s="1"/>
      <c r="AB4590" s="1"/>
      <c r="AC4590" s="1"/>
      <c r="AD4590" s="1"/>
      <c r="AE4590" s="1"/>
      <c r="AF4590" s="1"/>
      <c r="AG4590" s="1"/>
      <c r="AH4590" s="1"/>
      <c r="AI4590" s="1"/>
      <c r="AJ4590" s="1"/>
      <c r="AK4590" s="1"/>
      <c r="AL4590" s="1"/>
      <c r="AM4590" s="1"/>
      <c r="AN4590" s="1"/>
      <c r="AO4590" s="1"/>
      <c r="AP4590" s="1"/>
      <c r="AQ4590" s="1"/>
      <c r="AR4590" s="1"/>
      <c r="AS4590" s="1"/>
      <c r="AT4590" s="1"/>
      <c r="AU4590" s="1"/>
      <c r="AV4590" s="1"/>
      <c r="AW4590" s="1"/>
      <c r="AX4590" s="1"/>
      <c r="AY4590" s="1"/>
      <c r="AZ4590" s="1"/>
      <c r="BA4590" s="1"/>
      <c r="BB4590" s="1"/>
    </row>
    <row r="4591" ht="204.75" customHeight="1">
      <c r="A4591" s="1">
        <v>6053.0</v>
      </c>
      <c r="B4591" s="2" t="s">
        <v>13015</v>
      </c>
      <c r="C4591" s="2">
        <f>IFERROR(__xludf.DUMMYFUNCTION("split(B4591,""_"")"),710.0)</f>
        <v>710</v>
      </c>
      <c r="D4591" s="2" t="str">
        <f>IFERROR(__xludf.DUMMYFUNCTION("""COMPUTED_VALUE"""),"NTV")</f>
        <v>NTV</v>
      </c>
      <c r="E4591" s="2" t="str">
        <f>IFERROR(__xludf.DUMMYFUNCTION("""COMPUTED_VALUE"""),"火22")</f>
        <v>火22</v>
      </c>
      <c r="F4591" s="2" t="s">
        <v>13016</v>
      </c>
      <c r="G4591" s="2" t="s">
        <v>13023</v>
      </c>
      <c r="H4591" s="1">
        <v>4.0</v>
      </c>
      <c r="J4591" s="1" t="s">
        <v>86</v>
      </c>
      <c r="K4591" s="2" t="s">
        <v>13024</v>
      </c>
      <c r="L4591" s="2"/>
      <c r="M4591" s="2" t="str">
        <f>IFERROR(__xludf.DUMMYFUNCTION("split(split(K4591,""【演出"",false),""ほか"",false)"),"有閑倶楽部のメンバーとともにあるパーティーに出席した美童(田口淳之介)は、金持ちの老婦人・きぬ(吉行和子)と出会う。間もなく美童は、彼に一目ぼれしたきぬからデートを申し込まれる。美童は困惑するが、メンバーの強い勧めで渋々デートをすることに。そんな中、きぬがベランダから転落死。全財産を美童に譲るとの遺書が見つかったことから、きぬの親類たちは怒りの表情を見せる。程なく、美童は死の恐怖を味わうような事件に遭遇する。")</f>
        <v>有閑倶楽部のメンバーとともにあるパーティーに出席した美童(田口淳之介)は、金持ちの老婦人・きぬ(吉行和子)と出会う。間もなく美童は、彼に一目ぼれしたきぬからデートを申し込まれる。美童は困惑するが、メンバーの強い勧めで渋々デートをすることに。そんな中、きぬがベランダから転落死。全財産を美童に譲るとの遺書が見つかったことから、きぬの親類たちは怒りの表情を見せる。程なく、美童は死の恐怖を味わうような事件に遭遇する。</v>
      </c>
      <c r="N4591" s="2"/>
      <c r="O4591" s="2"/>
      <c r="P4591" s="1"/>
      <c r="Q4591" s="1"/>
      <c r="R4591" s="1"/>
      <c r="S4591" s="1"/>
      <c r="T4591" s="1"/>
      <c r="U4591" s="1"/>
      <c r="V4591" s="1"/>
      <c r="W4591" s="1"/>
      <c r="X4591" s="1"/>
      <c r="Y4591" s="1"/>
      <c r="Z4591" s="1"/>
      <c r="AA4591" s="1"/>
      <c r="AB4591" s="1"/>
      <c r="AC4591" s="1"/>
      <c r="AD4591" s="1"/>
      <c r="AE4591" s="1"/>
      <c r="AF4591" s="1"/>
      <c r="AG4591" s="1"/>
      <c r="AH4591" s="1"/>
      <c r="AI4591" s="1"/>
      <c r="AJ4591" s="1"/>
      <c r="AK4591" s="1"/>
      <c r="AL4591" s="1"/>
      <c r="AM4591" s="1"/>
      <c r="AN4591" s="1"/>
      <c r="AO4591" s="1"/>
      <c r="AP4591" s="1"/>
      <c r="AQ4591" s="1"/>
      <c r="AR4591" s="1"/>
      <c r="AS4591" s="1"/>
      <c r="AT4591" s="1"/>
      <c r="AU4591" s="1"/>
      <c r="AV4591" s="1"/>
      <c r="AW4591" s="1"/>
      <c r="AX4591" s="1"/>
      <c r="AY4591" s="1"/>
      <c r="AZ4591" s="1"/>
      <c r="BA4591" s="1"/>
      <c r="BB4591" s="1"/>
    </row>
    <row r="4592" ht="204.75" customHeight="1">
      <c r="A4592" s="1">
        <v>6054.0</v>
      </c>
      <c r="B4592" s="2" t="s">
        <v>13015</v>
      </c>
      <c r="C4592" s="2">
        <f>IFERROR(__xludf.DUMMYFUNCTION("split(B4592,""_"")"),710.0)</f>
        <v>710</v>
      </c>
      <c r="D4592" s="2" t="str">
        <f>IFERROR(__xludf.DUMMYFUNCTION("""COMPUTED_VALUE"""),"NTV")</f>
        <v>NTV</v>
      </c>
      <c r="E4592" s="2" t="str">
        <f>IFERROR(__xludf.DUMMYFUNCTION("""COMPUTED_VALUE"""),"火22")</f>
        <v>火22</v>
      </c>
      <c r="F4592" s="2" t="s">
        <v>13016</v>
      </c>
      <c r="G4592" s="2" t="s">
        <v>13025</v>
      </c>
      <c r="H4592" s="1">
        <v>5.0</v>
      </c>
      <c r="J4592" s="1" t="s">
        <v>86</v>
      </c>
      <c r="K4592" s="2" t="s">
        <v>13026</v>
      </c>
      <c r="L4592" s="2"/>
      <c r="M4592" s="2" t="str">
        <f>IFERROR(__xludf.DUMMYFUNCTION("split(split(K4592,""【演出"",false),""ほか"",false)"),"悠理(美波)は孫の顔が見たい母・百合子(かとうかず子)から、結婚して子供を産むよう命じられる。必死の抵抗もむなしく、花婿探しが行われるが、悠理が提案した「自分より強いこと」という条件に合う男性は現れない。そんな中、清四郎(横山裕)が候補に浮上。最初は乗り気ではなかった清四郎だが、世界に広がる財閥を継ぐことに魅力を感じていく。一方、どうしても結婚したくない悠理は、清四郎に果たし状を突き付ける。")</f>
        <v>悠理(美波)は孫の顔が見たい母・百合子(かとうかず子)から、結婚して子供を産むよう命じられる。必死の抵抗もむなしく、花婿探しが行われるが、悠理が提案した「自分より強いこと」という条件に合う男性は現れない。そんな中、清四郎(横山裕)が候補に浮上。最初は乗り気ではなかった清四郎だが、世界に広がる財閥を継ぐことに魅力を感じていく。一方、どうしても結婚したくない悠理は、清四郎に果たし状を突き付ける。</v>
      </c>
      <c r="N4592" s="2"/>
      <c r="O4592" s="2"/>
      <c r="P4592" s="1"/>
      <c r="Q4592" s="1"/>
      <c r="R4592" s="1"/>
      <c r="S4592" s="1"/>
      <c r="T4592" s="1"/>
      <c r="U4592" s="1"/>
      <c r="V4592" s="1"/>
      <c r="W4592" s="1"/>
      <c r="X4592" s="1"/>
      <c r="Y4592" s="1"/>
      <c r="Z4592" s="1"/>
      <c r="AA4592" s="1"/>
      <c r="AB4592" s="1"/>
      <c r="AC4592" s="1"/>
      <c r="AD4592" s="1"/>
      <c r="AE4592" s="1"/>
      <c r="AF4592" s="1"/>
      <c r="AG4592" s="1"/>
      <c r="AH4592" s="1"/>
      <c r="AI4592" s="1"/>
      <c r="AJ4592" s="1"/>
      <c r="AK4592" s="1"/>
      <c r="AL4592" s="1"/>
      <c r="AM4592" s="1"/>
      <c r="AN4592" s="1"/>
      <c r="AO4592" s="1"/>
      <c r="AP4592" s="1"/>
      <c r="AQ4592" s="1"/>
      <c r="AR4592" s="1"/>
      <c r="AS4592" s="1"/>
      <c r="AT4592" s="1"/>
      <c r="AU4592" s="1"/>
      <c r="AV4592" s="1"/>
      <c r="AW4592" s="1"/>
      <c r="AX4592" s="1"/>
      <c r="AY4592" s="1"/>
      <c r="AZ4592" s="1"/>
      <c r="BA4592" s="1"/>
      <c r="BB4592" s="1"/>
    </row>
    <row r="4593" ht="204.75" customHeight="1">
      <c r="A4593" s="1">
        <v>6055.0</v>
      </c>
      <c r="B4593" s="2" t="s">
        <v>13015</v>
      </c>
      <c r="C4593" s="2">
        <f>IFERROR(__xludf.DUMMYFUNCTION("split(B4593,""_"")"),710.0)</f>
        <v>710</v>
      </c>
      <c r="D4593" s="2" t="str">
        <f>IFERROR(__xludf.DUMMYFUNCTION("""COMPUTED_VALUE"""),"NTV")</f>
        <v>NTV</v>
      </c>
      <c r="E4593" s="2" t="str">
        <f>IFERROR(__xludf.DUMMYFUNCTION("""COMPUTED_VALUE"""),"火22")</f>
        <v>火22</v>
      </c>
      <c r="F4593" s="2" t="s">
        <v>13016</v>
      </c>
      <c r="G4593" s="2" t="s">
        <v>13027</v>
      </c>
      <c r="H4593" s="1">
        <v>6.0</v>
      </c>
      <c r="J4593" s="1" t="s">
        <v>86</v>
      </c>
      <c r="K4593" s="2" t="s">
        <v>13028</v>
      </c>
      <c r="L4593" s="2"/>
      <c r="M4593" s="2" t="str">
        <f>IFERROR(__xludf.DUMMYFUNCTION("split(split(K4593,""【演出"",false),""ほか"",false)"),"不良グループに絡まれた野梨子(香椎由宇)は裕也(小山慶一郎)という青年に助けられる。裕也は魅録(赤西仁)の友人だったが、野梨子と裕也では住む世界が全く違う。反対する清四郎(横山裕)の忠告も聞かず、野梨子は裕也に恋心を抱く。そんな中、母親が倒れて金が必要になった裕也は、やくざの強盗計画に加担してしまう。しかし、奪った掛け軸が野梨子の父親の作品だと知り、がくぜんとする。")</f>
        <v>不良グループに絡まれた野梨子(香椎由宇)は裕也(小山慶一郎)という青年に助けられる。裕也は魅録(赤西仁)の友人だったが、野梨子と裕也では住む世界が全く違う。反対する清四郎(横山裕)の忠告も聞かず、野梨子は裕也に恋心を抱く。そんな中、母親が倒れて金が必要になった裕也は、やくざの強盗計画に加担してしまう。しかし、奪った掛け軸が野梨子の父親の作品だと知り、がくぜんとする。</v>
      </c>
      <c r="N4593" s="2"/>
      <c r="O4593" s="2"/>
      <c r="P4593" s="1"/>
      <c r="Q4593" s="1"/>
      <c r="R4593" s="1"/>
      <c r="S4593" s="1"/>
      <c r="T4593" s="1"/>
      <c r="U4593" s="1"/>
      <c r="V4593" s="1"/>
      <c r="W4593" s="1"/>
      <c r="X4593" s="1"/>
      <c r="Y4593" s="1"/>
      <c r="Z4593" s="1"/>
      <c r="AA4593" s="1"/>
      <c r="AB4593" s="1"/>
      <c r="AC4593" s="1"/>
      <c r="AD4593" s="1"/>
      <c r="AE4593" s="1"/>
      <c r="AF4593" s="1"/>
      <c r="AG4593" s="1"/>
      <c r="AH4593" s="1"/>
      <c r="AI4593" s="1"/>
      <c r="AJ4593" s="1"/>
      <c r="AK4593" s="1"/>
      <c r="AL4593" s="1"/>
      <c r="AM4593" s="1"/>
      <c r="AN4593" s="1"/>
      <c r="AO4593" s="1"/>
      <c r="AP4593" s="1"/>
      <c r="AQ4593" s="1"/>
      <c r="AR4593" s="1"/>
      <c r="AS4593" s="1"/>
      <c r="AT4593" s="1"/>
      <c r="AU4593" s="1"/>
      <c r="AV4593" s="1"/>
      <c r="AW4593" s="1"/>
      <c r="AX4593" s="1"/>
      <c r="AY4593" s="1"/>
      <c r="AZ4593" s="1"/>
      <c r="BA4593" s="1"/>
      <c r="BB4593" s="1"/>
    </row>
    <row r="4594" ht="204.75" customHeight="1">
      <c r="A4594" s="1">
        <v>6056.0</v>
      </c>
      <c r="B4594" s="2" t="s">
        <v>13015</v>
      </c>
      <c r="C4594" s="2">
        <f>IFERROR(__xludf.DUMMYFUNCTION("split(B4594,""_"")"),710.0)</f>
        <v>710</v>
      </c>
      <c r="D4594" s="2" t="str">
        <f>IFERROR(__xludf.DUMMYFUNCTION("""COMPUTED_VALUE"""),"NTV")</f>
        <v>NTV</v>
      </c>
      <c r="E4594" s="2" t="str">
        <f>IFERROR(__xludf.DUMMYFUNCTION("""COMPUTED_VALUE"""),"火22")</f>
        <v>火22</v>
      </c>
      <c r="F4594" s="2" t="s">
        <v>13016</v>
      </c>
      <c r="G4594" s="2" t="s">
        <v>13029</v>
      </c>
      <c r="H4594" s="1">
        <v>7.0</v>
      </c>
      <c r="J4594" s="1" t="s">
        <v>82</v>
      </c>
      <c r="K4594" s="2" t="s">
        <v>13030</v>
      </c>
      <c r="L4594" s="2"/>
      <c r="M4594" s="2" t="str">
        <f>IFERROR(__xludf.DUMMYFUNCTION("split(split(K4594,""【演出"",false),""ほか"",false)"),"クーデターの動きがある王国の王子・カサル(賀軍翔)が「聖プレジデント学園」に留学してきた。カサルに一目ぼれした可憐(鈴木えみ)は、玉のこしに乗ろうと張り切る。警察が厳重な警備体制を敷く中、カサルに普通の高校生活を送らせてあげたいと考えた魅録(赤西仁)らは、警察の目をごまかしてカサルを解放。カサルは可憐と二人だけのデートを楽しむ。そんな折、王国のクーデター計画が失敗し、反乱軍の指揮官が逮捕されたとのニュースが入る。")</f>
        <v>クーデターの動きがある王国の王子・カサル(賀軍翔)が「聖プレジデント学園」に留学してきた。カサルに一目ぼれした可憐(鈴木えみ)は、玉のこしに乗ろうと張り切る。警察が厳重な警備体制を敷く中、カサルに普通の高校生活を送らせてあげたいと考えた魅録(赤西仁)らは、警察の目をごまかしてカサルを解放。カサルは可憐と二人だけのデートを楽しむ。そんな折、王国のクーデター計画が失敗し、反乱軍の指揮官が逮捕されたとのニュースが入る。</v>
      </c>
      <c r="N4594" s="2"/>
      <c r="O4594" s="2"/>
      <c r="P4594" s="1"/>
      <c r="Q4594" s="1"/>
      <c r="R4594" s="1"/>
      <c r="S4594" s="1"/>
      <c r="T4594" s="1"/>
      <c r="U4594" s="1"/>
      <c r="V4594" s="1"/>
      <c r="W4594" s="1"/>
      <c r="X4594" s="1"/>
      <c r="Y4594" s="1"/>
      <c r="Z4594" s="1"/>
      <c r="AA4594" s="1"/>
      <c r="AB4594" s="1"/>
      <c r="AC4594" s="1"/>
      <c r="AD4594" s="1"/>
      <c r="AE4594" s="1"/>
      <c r="AF4594" s="1"/>
      <c r="AG4594" s="1"/>
      <c r="AH4594" s="1"/>
      <c r="AI4594" s="1"/>
      <c r="AJ4594" s="1"/>
      <c r="AK4594" s="1"/>
      <c r="AL4594" s="1"/>
      <c r="AM4594" s="1"/>
      <c r="AN4594" s="1"/>
      <c r="AO4594" s="1"/>
      <c r="AP4594" s="1"/>
      <c r="AQ4594" s="1"/>
      <c r="AR4594" s="1"/>
      <c r="AS4594" s="1"/>
      <c r="AT4594" s="1"/>
      <c r="AU4594" s="1"/>
      <c r="AV4594" s="1"/>
      <c r="AW4594" s="1"/>
      <c r="AX4594" s="1"/>
      <c r="AY4594" s="1"/>
      <c r="AZ4594" s="1"/>
      <c r="BA4594" s="1"/>
      <c r="BB4594" s="1"/>
    </row>
    <row r="4595" ht="204.75" customHeight="1">
      <c r="A4595" s="1">
        <v>6057.0</v>
      </c>
      <c r="B4595" s="2" t="s">
        <v>13015</v>
      </c>
      <c r="C4595" s="2">
        <f>IFERROR(__xludf.DUMMYFUNCTION("split(B4595,""_"")"),710.0)</f>
        <v>710</v>
      </c>
      <c r="D4595" s="2" t="str">
        <f>IFERROR(__xludf.DUMMYFUNCTION("""COMPUTED_VALUE"""),"NTV")</f>
        <v>NTV</v>
      </c>
      <c r="E4595" s="2" t="str">
        <f>IFERROR(__xludf.DUMMYFUNCTION("""COMPUTED_VALUE"""),"火22")</f>
        <v>火22</v>
      </c>
      <c r="F4595" s="2" t="s">
        <v>13016</v>
      </c>
      <c r="G4595" s="2" t="s">
        <v>13031</v>
      </c>
      <c r="H4595" s="1">
        <v>8.0</v>
      </c>
      <c r="J4595" s="1" t="s">
        <v>86</v>
      </c>
      <c r="K4595" s="2" t="s">
        <v>13032</v>
      </c>
      <c r="L4595" s="2"/>
      <c r="M4595" s="2" t="str">
        <f>IFERROR(__xludf.DUMMYFUNCTION("split(split(K4595,""【演出"",false),""ほか"",false)"),"魅録(赤西仁)の母・千秋(秋吉久美子)が海外視察から帰国した。その日は千秋の誕生日で、時宗(鹿賀丈史)から大きな花束を贈られるのが毎年恒例のイベントとなっている。そのころ、注文していた花束を手にした時宗は、その中に爆弾が仕込まれていることに気付く。千秋との約束の時間が近づく中、時宗は犯行予告文の中にあった「Ｋ」のイニシャルから、犯人の目星を付ける。")</f>
        <v>魅録(赤西仁)の母・千秋(秋吉久美子)が海外視察から帰国した。その日は千秋の誕生日で、時宗(鹿賀丈史)から大きな花束を贈られるのが毎年恒例のイベントとなっている。そのころ、注文していた花束を手にした時宗は、その中に爆弾が仕込まれていることに気付く。千秋との約束の時間が近づく中、時宗は犯行予告文の中にあった「Ｋ」のイニシャルから、犯人の目星を付ける。</v>
      </c>
      <c r="N4595" s="2"/>
      <c r="O4595" s="2"/>
      <c r="P4595" s="1"/>
      <c r="Q4595" s="1"/>
      <c r="R4595" s="1"/>
      <c r="S4595" s="1"/>
      <c r="T4595" s="1"/>
      <c r="U4595" s="1"/>
      <c r="V4595" s="1"/>
      <c r="W4595" s="1"/>
      <c r="X4595" s="1"/>
      <c r="Y4595" s="1"/>
      <c r="Z4595" s="1"/>
      <c r="AA4595" s="1"/>
      <c r="AB4595" s="1"/>
      <c r="AC4595" s="1"/>
      <c r="AD4595" s="1"/>
      <c r="AE4595" s="1"/>
      <c r="AF4595" s="1"/>
      <c r="AG4595" s="1"/>
      <c r="AH4595" s="1"/>
      <c r="AI4595" s="1"/>
      <c r="AJ4595" s="1"/>
      <c r="AK4595" s="1"/>
      <c r="AL4595" s="1"/>
      <c r="AM4595" s="1"/>
      <c r="AN4595" s="1"/>
      <c r="AO4595" s="1"/>
      <c r="AP4595" s="1"/>
      <c r="AQ4595" s="1"/>
      <c r="AR4595" s="1"/>
      <c r="AS4595" s="1"/>
      <c r="AT4595" s="1"/>
      <c r="AU4595" s="1"/>
      <c r="AV4595" s="1"/>
      <c r="AW4595" s="1"/>
      <c r="AX4595" s="1"/>
      <c r="AY4595" s="1"/>
      <c r="AZ4595" s="1"/>
      <c r="BA4595" s="1"/>
      <c r="BB4595" s="1"/>
    </row>
    <row r="4596" ht="204.75" customHeight="1">
      <c r="A4596" s="1">
        <v>6058.0</v>
      </c>
      <c r="B4596" s="2" t="s">
        <v>13015</v>
      </c>
      <c r="C4596" s="2">
        <f>IFERROR(__xludf.DUMMYFUNCTION("split(B4596,""_"")"),710.0)</f>
        <v>710</v>
      </c>
      <c r="D4596" s="2" t="str">
        <f>IFERROR(__xludf.DUMMYFUNCTION("""COMPUTED_VALUE"""),"NTV")</f>
        <v>NTV</v>
      </c>
      <c r="E4596" s="2" t="str">
        <f>IFERROR(__xludf.DUMMYFUNCTION("""COMPUTED_VALUE"""),"火22")</f>
        <v>火22</v>
      </c>
      <c r="F4596" s="2" t="s">
        <v>13016</v>
      </c>
      <c r="G4596" s="2" t="s">
        <v>13033</v>
      </c>
      <c r="H4596" s="1">
        <v>9.0</v>
      </c>
      <c r="J4596" s="1" t="s">
        <v>86</v>
      </c>
      <c r="K4596" s="2" t="s">
        <v>13034</v>
      </c>
      <c r="L4596" s="2"/>
      <c r="M4596" s="2" t="str">
        <f>IFERROR(__xludf.DUMMYFUNCTION("split(split(K4596,""【演出"",false),""ほか"",false)"),"冬休みに旅行計画を立てていた悠理(美波)だが、期末テストで落第点を取った場合は、休み返上の補習があると知る。その補習を考案した主任の緑川(山崎一)は、学園の陰の権力者ともいわれる人物。どうしても補習を受けたくない悠理は、試験用紙を盗むため、学校に侵入することに。そこで飛良泉(細山貴嶺)という少年の幽霊と遭遇する。間もなく、悠理に取りついた飛良泉は、緑川に復讐(ふくしゅう)してほしいと魅録(赤西仁)たちに訴える。")</f>
        <v>冬休みに旅行計画を立てていた悠理(美波)だが、期末テストで落第点を取った場合は、休み返上の補習があると知る。その補習を考案した主任の緑川(山崎一)は、学園の陰の権力者ともいわれる人物。どうしても補習を受けたくない悠理は、試験用紙を盗むため、学校に侵入することに。そこで飛良泉(細山貴嶺)という少年の幽霊と遭遇する。間もなく、悠理に取りついた飛良泉は、緑川に復讐(ふくしゅう)してほしいと魅録(赤西仁)たちに訴える。</v>
      </c>
      <c r="N4596" s="2"/>
      <c r="O4596" s="2"/>
      <c r="P4596" s="1"/>
      <c r="Q4596" s="1"/>
      <c r="R4596" s="1"/>
      <c r="S4596" s="1"/>
      <c r="T4596" s="1"/>
      <c r="U4596" s="1"/>
      <c r="V4596" s="1"/>
      <c r="W4596" s="1"/>
      <c r="X4596" s="1"/>
      <c r="Y4596" s="1"/>
      <c r="Z4596" s="1"/>
      <c r="AA4596" s="1"/>
      <c r="AB4596" s="1"/>
      <c r="AC4596" s="1"/>
      <c r="AD4596" s="1"/>
      <c r="AE4596" s="1"/>
      <c r="AF4596" s="1"/>
      <c r="AG4596" s="1"/>
      <c r="AH4596" s="1"/>
      <c r="AI4596" s="1"/>
      <c r="AJ4596" s="1"/>
      <c r="AK4596" s="1"/>
      <c r="AL4596" s="1"/>
      <c r="AM4596" s="1"/>
      <c r="AN4596" s="1"/>
      <c r="AO4596" s="1"/>
      <c r="AP4596" s="1"/>
      <c r="AQ4596" s="1"/>
      <c r="AR4596" s="1"/>
      <c r="AS4596" s="1"/>
      <c r="AT4596" s="1"/>
      <c r="AU4596" s="1"/>
      <c r="AV4596" s="1"/>
      <c r="AW4596" s="1"/>
      <c r="AX4596" s="1"/>
      <c r="AY4596" s="1"/>
      <c r="AZ4596" s="1"/>
      <c r="BA4596" s="1"/>
      <c r="BB4596" s="1"/>
    </row>
    <row r="4597" ht="204.75" customHeight="1">
      <c r="A4597" s="1">
        <v>6059.0</v>
      </c>
      <c r="B4597" s="2" t="s">
        <v>13015</v>
      </c>
      <c r="C4597" s="2">
        <f>IFERROR(__xludf.DUMMYFUNCTION("split(B4597,""_"")"),710.0)</f>
        <v>710</v>
      </c>
      <c r="D4597" s="2" t="str">
        <f>IFERROR(__xludf.DUMMYFUNCTION("""COMPUTED_VALUE"""),"NTV")</f>
        <v>NTV</v>
      </c>
      <c r="E4597" s="2" t="str">
        <f>IFERROR(__xludf.DUMMYFUNCTION("""COMPUTED_VALUE"""),"火22")</f>
        <v>火22</v>
      </c>
      <c r="F4597" s="2" t="s">
        <v>13016</v>
      </c>
      <c r="G4597" s="2" t="s">
        <v>13035</v>
      </c>
      <c r="H4597" s="1">
        <v>10.0</v>
      </c>
      <c r="J4597" s="1" t="s">
        <v>82</v>
      </c>
      <c r="K4597" s="2" t="s">
        <v>13036</v>
      </c>
      <c r="L4597" s="2"/>
      <c r="M4597" s="2" t="str">
        <f>IFERROR(__xludf.DUMMYFUNCTION("split(split(K4597,""【演出"",false),""ほか"",false)"),"有閑倶楽部の部室に、差出人不明の拳銃が届く。魅録(赤西仁)がモデルガンと間違えて発射したことから大騒ぎになる。独自の情報網を使って調査を始めた魅録は、ある組織が拳銃の密売をしているらしいと知る。さらに、部室内で隠しカメラを発見。学園に敵が潜んでいると確信した魅録だが、誰が何の目的で拳銃を送ったのかまでは分からない。一方、学園では経営不振のうわさが流れていた。")</f>
        <v>有閑倶楽部の部室に、差出人不明の拳銃が届く。魅録(赤西仁)がモデルガンと間違えて発射したことから大騒ぎになる。独自の情報網を使って調査を始めた魅録は、ある組織が拳銃の密売をしているらしいと知る。さらに、部室内で隠しカメラを発見。学園に敵が潜んでいると確信した魅録だが、誰が何の目的で拳銃を送ったのかまでは分からない。一方、学園では経営不振のうわさが流れていた。</v>
      </c>
      <c r="N4597" s="2"/>
      <c r="O4597" s="2"/>
      <c r="P4597" s="1"/>
      <c r="Q4597" s="1"/>
      <c r="R4597" s="1"/>
      <c r="S4597" s="1"/>
      <c r="T4597" s="1"/>
      <c r="U4597" s="1"/>
      <c r="V4597" s="1"/>
      <c r="W4597" s="1"/>
      <c r="X4597" s="1"/>
      <c r="Y4597" s="1"/>
      <c r="Z4597" s="1"/>
      <c r="AA4597" s="1"/>
      <c r="AB4597" s="1"/>
      <c r="AC4597" s="1"/>
      <c r="AD4597" s="1"/>
      <c r="AE4597" s="1"/>
      <c r="AF4597" s="1"/>
      <c r="AG4597" s="1"/>
      <c r="AH4597" s="1"/>
      <c r="AI4597" s="1"/>
      <c r="AJ4597" s="1"/>
      <c r="AK4597" s="1"/>
      <c r="AL4597" s="1"/>
      <c r="AM4597" s="1"/>
      <c r="AN4597" s="1"/>
      <c r="AO4597" s="1"/>
      <c r="AP4597" s="1"/>
      <c r="AQ4597" s="1"/>
      <c r="AR4597" s="1"/>
      <c r="AS4597" s="1"/>
      <c r="AT4597" s="1"/>
      <c r="AU4597" s="1"/>
      <c r="AV4597" s="1"/>
      <c r="AW4597" s="1"/>
      <c r="AX4597" s="1"/>
      <c r="AY4597" s="1"/>
      <c r="AZ4597" s="1"/>
      <c r="BA4597" s="1"/>
      <c r="BB4597" s="1"/>
    </row>
    <row r="4598" ht="204.75" customHeight="1">
      <c r="A4598" s="1">
        <v>6060.0</v>
      </c>
      <c r="B4598" s="2" t="s">
        <v>13037</v>
      </c>
      <c r="C4598" s="2">
        <f>IFERROR(__xludf.DUMMYFUNCTION("split(B4598,""_"")"),710.0)</f>
        <v>710</v>
      </c>
      <c r="D4598" s="2" t="str">
        <f>IFERROR(__xludf.DUMMYFUNCTION("""COMPUTED_VALUE"""),"NTV")</f>
        <v>NTV</v>
      </c>
      <c r="E4598" s="2" t="str">
        <f>IFERROR(__xludf.DUMMYFUNCTION("""COMPUTED_VALUE"""),"水22")</f>
        <v>水22</v>
      </c>
      <c r="F4598" s="2" t="s">
        <v>13038</v>
      </c>
      <c r="G4598" s="2" t="s">
        <v>13039</v>
      </c>
      <c r="H4598" s="1">
        <v>1.0</v>
      </c>
      <c r="J4598" s="1" t="s">
        <v>82</v>
      </c>
      <c r="K4598" s="2" t="s">
        <v>13040</v>
      </c>
      <c r="L4598" s="2"/>
      <c r="M4598" s="2" t="str">
        <f>IFERROR(__xludf.DUMMYFUNCTION("split(split(K4598,""【演出"",false),""ほか"",false)"),"仕事に情熱を注ぐ女性編集者・松方弘子(菅野美穂)の奮闘を描く。原作・安野モヨコ、脚本・吉田智子、演出・南雲聖一")</f>
        <v>仕事に情熱を注ぐ女性編集者・松方弘子(菅野美穂)の奮闘を描く。原作・安野モヨコ、脚本・吉田智子、演出・南雲聖一</v>
      </c>
      <c r="N4598" s="2" t="str">
        <f>IFERROR(__xludf.DUMMYFUNCTION("""COMPUTED_VALUE"""),"。　週刊誌の編集者として働く弘子(菅野)は、寝食を忘れて強気な姿勢で仕事をこなすため、後輩のマユ(平山あや)たちからは”働きマン”と呼ばれている。そのせいか恋人の新二(吉沢悠)とは、なかなか会えずにいた。そんな中、弘子は生意気な新人編集者・田中(速水もこみち)の教育係を任される。田中とともに外務大臣・星川(勝部演之)の取材に行くが、軽くあしらわれてしまう。後日、久しぶりに新二とデートの約束をした弘子の元に、大臣秘書の歌子(夏木マリ)から連絡が入る。")</f>
        <v>。　週刊誌の編集者として働く弘子(菅野)は、寝食を忘れて強気な姿勢で仕事をこなすため、後輩のマユ(平山あや)たちからは”働きマン”と呼ばれている。そのせいか恋人の新二(吉沢悠)とは、なかなか会えずにいた。そんな中、弘子は生意気な新人編集者・田中(速水もこみち)の教育係を任される。田中とともに外務大臣・星川(勝部演之)の取材に行くが、軽くあしらわれてしまう。後日、久しぶりに新二とデートの約束をした弘子の元に、大臣秘書の歌子(夏木マリ)から連絡が入る。</v>
      </c>
      <c r="O4598" s="2"/>
      <c r="P4598" s="1"/>
      <c r="Q4598" s="1"/>
      <c r="R4598" s="1"/>
      <c r="S4598" s="1"/>
      <c r="T4598" s="1"/>
      <c r="U4598" s="1"/>
      <c r="V4598" s="1"/>
      <c r="W4598" s="1"/>
      <c r="X4598" s="1"/>
      <c r="Y4598" s="1"/>
      <c r="Z4598" s="1"/>
      <c r="AA4598" s="1"/>
      <c r="AB4598" s="1"/>
      <c r="AC4598" s="1"/>
      <c r="AD4598" s="1"/>
      <c r="AE4598" s="1"/>
      <c r="AF4598" s="1"/>
      <c r="AG4598" s="1"/>
      <c r="AH4598" s="1"/>
      <c r="AI4598" s="1"/>
      <c r="AJ4598" s="1"/>
      <c r="AK4598" s="1"/>
      <c r="AL4598" s="1"/>
      <c r="AM4598" s="1"/>
      <c r="AN4598" s="1"/>
      <c r="AO4598" s="1"/>
      <c r="AP4598" s="1"/>
      <c r="AQ4598" s="1"/>
      <c r="AR4598" s="1"/>
      <c r="AS4598" s="1"/>
      <c r="AT4598" s="1"/>
      <c r="AU4598" s="1"/>
      <c r="AV4598" s="1"/>
      <c r="AW4598" s="1"/>
      <c r="AX4598" s="1"/>
      <c r="AY4598" s="1"/>
      <c r="AZ4598" s="1"/>
      <c r="BA4598" s="1"/>
      <c r="BB4598" s="1"/>
    </row>
    <row r="4599" ht="204.75" customHeight="1">
      <c r="A4599" s="1">
        <v>6061.0</v>
      </c>
      <c r="B4599" s="2" t="s">
        <v>13037</v>
      </c>
      <c r="C4599" s="2">
        <f>IFERROR(__xludf.DUMMYFUNCTION("split(B4599,""_"")"),710.0)</f>
        <v>710</v>
      </c>
      <c r="D4599" s="2" t="str">
        <f>IFERROR(__xludf.DUMMYFUNCTION("""COMPUTED_VALUE"""),"NTV")</f>
        <v>NTV</v>
      </c>
      <c r="E4599" s="2" t="str">
        <f>IFERROR(__xludf.DUMMYFUNCTION("""COMPUTED_VALUE"""),"水22")</f>
        <v>水22</v>
      </c>
      <c r="F4599" s="2" t="s">
        <v>13038</v>
      </c>
      <c r="G4599" s="2" t="s">
        <v>13041</v>
      </c>
      <c r="H4599" s="1">
        <v>2.0</v>
      </c>
      <c r="J4599" s="1" t="s">
        <v>86</v>
      </c>
      <c r="K4599" s="2" t="s">
        <v>13042</v>
      </c>
      <c r="L4599" s="2"/>
      <c r="M4599" s="2" t="str">
        <f>IFERROR(__xludf.DUMMYFUNCTION("split(split(K4599,""【演出"",false),""ほか"",false)"),"弘子(菅野美穂)が働く編集部に、野球雑誌の編集者・由実(釈由美子)が寿退社のあいさつにやって来る。笑顔を振りまく彼女の周りには自然と男性陣が集まっていた。そんな中、自分の企画が通った弘子は、米大リーグ球団も注目するプロ野球選手・志村(上地雄輔)への取材を考える。田中(速水もこみち)とともに交渉を開始するが、全く受けてもらえない。そんな折、由実が男性記者たちに交じり、笑顔で志村と話しているのを見た弘子は、由実に取材の仲介を頼み込む。")</f>
        <v>弘子(菅野美穂)が働く編集部に、野球雑誌の編集者・由実(釈由美子)が寿退社のあいさつにやって来る。笑顔を振りまく彼女の周りには自然と男性陣が集まっていた。そんな中、自分の企画が通った弘子は、米大リーグ球団も注目するプロ野球選手・志村(上地雄輔)への取材を考える。田中(速水もこみち)とともに交渉を開始するが、全く受けてもらえない。そんな折、由実が男性記者たちに交じり、笑顔で志村と話しているのを見た弘子は、由実に取材の仲介を頼み込む。</v>
      </c>
      <c r="N4599" s="2"/>
      <c r="O4599" s="2"/>
      <c r="P4599" s="1"/>
      <c r="Q4599" s="1"/>
      <c r="R4599" s="1"/>
      <c r="S4599" s="1"/>
      <c r="T4599" s="1"/>
      <c r="U4599" s="1"/>
      <c r="V4599" s="1"/>
      <c r="W4599" s="1"/>
      <c r="X4599" s="1"/>
      <c r="Y4599" s="1"/>
      <c r="Z4599" s="1"/>
      <c r="AA4599" s="1"/>
      <c r="AB4599" s="1"/>
      <c r="AC4599" s="1"/>
      <c r="AD4599" s="1"/>
      <c r="AE4599" s="1"/>
      <c r="AF4599" s="1"/>
      <c r="AG4599" s="1"/>
      <c r="AH4599" s="1"/>
      <c r="AI4599" s="1"/>
      <c r="AJ4599" s="1"/>
      <c r="AK4599" s="1"/>
      <c r="AL4599" s="1"/>
      <c r="AM4599" s="1"/>
      <c r="AN4599" s="1"/>
      <c r="AO4599" s="1"/>
      <c r="AP4599" s="1"/>
      <c r="AQ4599" s="1"/>
      <c r="AR4599" s="1"/>
      <c r="AS4599" s="1"/>
      <c r="AT4599" s="1"/>
      <c r="AU4599" s="1"/>
      <c r="AV4599" s="1"/>
      <c r="AW4599" s="1"/>
      <c r="AX4599" s="1"/>
      <c r="AY4599" s="1"/>
      <c r="AZ4599" s="1"/>
      <c r="BA4599" s="1"/>
      <c r="BB4599" s="1"/>
    </row>
    <row r="4600" ht="204.75" customHeight="1">
      <c r="A4600" s="1">
        <v>6062.0</v>
      </c>
      <c r="B4600" s="2" t="s">
        <v>13037</v>
      </c>
      <c r="C4600" s="2">
        <f>IFERROR(__xludf.DUMMYFUNCTION("split(B4600,""_"")"),710.0)</f>
        <v>710</v>
      </c>
      <c r="D4600" s="2" t="str">
        <f>IFERROR(__xludf.DUMMYFUNCTION("""COMPUTED_VALUE"""),"NTV")</f>
        <v>NTV</v>
      </c>
      <c r="E4600" s="2" t="str">
        <f>IFERROR(__xludf.DUMMYFUNCTION("""COMPUTED_VALUE"""),"水22")</f>
        <v>水22</v>
      </c>
      <c r="F4600" s="2" t="s">
        <v>13038</v>
      </c>
      <c r="G4600" s="2" t="s">
        <v>13043</v>
      </c>
      <c r="H4600" s="1">
        <v>3.0</v>
      </c>
      <c r="J4600" s="1" t="s">
        <v>86</v>
      </c>
      <c r="K4600" s="2" t="s">
        <v>13044</v>
      </c>
      <c r="L4600" s="2"/>
      <c r="M4600" s="2" t="str">
        <f>IFERROR(__xludf.DUMMYFUNCTION("split(split(K4600,""【演出"",false),""ほか"",false)"),"弘子(菅野美穂)は田中(速水もこみち)の指導係として仕事を教えるが、生意気な彼の態度に困惑していた。週刊誌ではなくファッション誌を希望する田中は、今の仕事で努力する気がないと言う。そんな中、弘子と田中は急病でダウンした小林(荒川良々)の代わりに、グラビアアイドル・めぐみ(小松彩夏)の取材に出掛けることに。なかなかやる気を見せない田中だが、その夜、一人で編集部にいた田中は、めぐみの出生に関する秘密を売るという内容の電話を受ける。")</f>
        <v>弘子(菅野美穂)は田中(速水もこみち)の指導係として仕事を教えるが、生意気な彼の態度に困惑していた。週刊誌ではなくファッション誌を希望する田中は、今の仕事で努力する気がないと言う。そんな中、弘子と田中は急病でダウンした小林(荒川良々)の代わりに、グラビアアイドル・めぐみ(小松彩夏)の取材に出掛けることに。なかなかやる気を見せない田中だが、その夜、一人で編集部にいた田中は、めぐみの出生に関する秘密を売るという内容の電話を受ける。</v>
      </c>
      <c r="N4600" s="2"/>
      <c r="O4600" s="2"/>
      <c r="P4600" s="1"/>
      <c r="Q4600" s="1"/>
      <c r="R4600" s="1"/>
      <c r="S4600" s="1"/>
      <c r="T4600" s="1"/>
      <c r="U4600" s="1"/>
      <c r="V4600" s="1"/>
      <c r="W4600" s="1"/>
      <c r="X4600" s="1"/>
      <c r="Y4600" s="1"/>
      <c r="Z4600" s="1"/>
      <c r="AA4600" s="1"/>
      <c r="AB4600" s="1"/>
      <c r="AC4600" s="1"/>
      <c r="AD4600" s="1"/>
      <c r="AE4600" s="1"/>
      <c r="AF4600" s="1"/>
      <c r="AG4600" s="1"/>
      <c r="AH4600" s="1"/>
      <c r="AI4600" s="1"/>
      <c r="AJ4600" s="1"/>
      <c r="AK4600" s="1"/>
      <c r="AL4600" s="1"/>
      <c r="AM4600" s="1"/>
      <c r="AN4600" s="1"/>
      <c r="AO4600" s="1"/>
      <c r="AP4600" s="1"/>
      <c r="AQ4600" s="1"/>
      <c r="AR4600" s="1"/>
      <c r="AS4600" s="1"/>
      <c r="AT4600" s="1"/>
      <c r="AU4600" s="1"/>
      <c r="AV4600" s="1"/>
      <c r="AW4600" s="1"/>
      <c r="AX4600" s="1"/>
      <c r="AY4600" s="1"/>
      <c r="AZ4600" s="1"/>
      <c r="BA4600" s="1"/>
      <c r="BB4600" s="1"/>
    </row>
    <row r="4601" ht="204.75" customHeight="1">
      <c r="A4601" s="1">
        <v>6063.0</v>
      </c>
      <c r="B4601" s="2" t="s">
        <v>13037</v>
      </c>
      <c r="C4601" s="2">
        <f>IFERROR(__xludf.DUMMYFUNCTION("split(B4601,""_"")"),710.0)</f>
        <v>710</v>
      </c>
      <c r="D4601" s="2" t="str">
        <f>IFERROR(__xludf.DUMMYFUNCTION("""COMPUTED_VALUE"""),"NTV")</f>
        <v>NTV</v>
      </c>
      <c r="E4601" s="2" t="str">
        <f>IFERROR(__xludf.DUMMYFUNCTION("""COMPUTED_VALUE"""),"水22")</f>
        <v>水22</v>
      </c>
      <c r="F4601" s="2" t="s">
        <v>13038</v>
      </c>
      <c r="G4601" s="2" t="s">
        <v>13045</v>
      </c>
      <c r="H4601" s="1">
        <v>4.0</v>
      </c>
      <c r="J4601" s="1" t="s">
        <v>86</v>
      </c>
      <c r="K4601" s="2" t="s">
        <v>13046</v>
      </c>
      <c r="L4601" s="2"/>
      <c r="M4601" s="2" t="str">
        <f>IFERROR(__xludf.DUMMYFUNCTION("split(split(K4601,""【演出"",false),""ほか"",false)"),"自分の企画が通ったマユ(平山あや)が、あこがれの先輩として慕う弘子(菅野美穂)の元に報告に来る。それは作家・夏目美芳(小西美帆)の小説を連載するというもので、彼女のファンであるマユが一年以上かけてようやく実現したという。だが、梅宮(伊武雅刀)らは経験不足を理由に、夏目の担当を弘子に命じる。マユはショックからミスを連発。一方、弘子はスランプに陥る夏目に、サラリーマンや中年男性も共感できる新しい作品を生み出すよう提案する。")</f>
        <v>自分の企画が通ったマユ(平山あや)が、あこがれの先輩として慕う弘子(菅野美穂)の元に報告に来る。それは作家・夏目美芳(小西美帆)の小説を連載するというもので、彼女のファンであるマユが一年以上かけてようやく実現したという。だが、梅宮(伊武雅刀)らは経験不足を理由に、夏目の担当を弘子に命じる。マユはショックからミスを連発。一方、弘子はスランプに陥る夏目に、サラリーマンや中年男性も共感できる新しい作品を生み出すよう提案する。</v>
      </c>
      <c r="N4601" s="2"/>
      <c r="O4601" s="2"/>
      <c r="P4601" s="1"/>
      <c r="Q4601" s="1"/>
      <c r="R4601" s="1"/>
      <c r="S4601" s="1"/>
      <c r="T4601" s="1"/>
      <c r="U4601" s="1"/>
      <c r="V4601" s="1"/>
      <c r="W4601" s="1"/>
      <c r="X4601" s="1"/>
      <c r="Y4601" s="1"/>
      <c r="Z4601" s="1"/>
      <c r="AA4601" s="1"/>
      <c r="AB4601" s="1"/>
      <c r="AC4601" s="1"/>
      <c r="AD4601" s="1"/>
      <c r="AE4601" s="1"/>
      <c r="AF4601" s="1"/>
      <c r="AG4601" s="1"/>
      <c r="AH4601" s="1"/>
      <c r="AI4601" s="1"/>
      <c r="AJ4601" s="1"/>
      <c r="AK4601" s="1"/>
      <c r="AL4601" s="1"/>
      <c r="AM4601" s="1"/>
      <c r="AN4601" s="1"/>
      <c r="AO4601" s="1"/>
      <c r="AP4601" s="1"/>
      <c r="AQ4601" s="1"/>
      <c r="AR4601" s="1"/>
      <c r="AS4601" s="1"/>
      <c r="AT4601" s="1"/>
      <c r="AU4601" s="1"/>
      <c r="AV4601" s="1"/>
      <c r="AW4601" s="1"/>
      <c r="AX4601" s="1"/>
      <c r="AY4601" s="1"/>
      <c r="AZ4601" s="1"/>
      <c r="BA4601" s="1"/>
      <c r="BB4601" s="1"/>
    </row>
    <row r="4602" ht="204.75" customHeight="1">
      <c r="A4602" s="1">
        <v>6064.0</v>
      </c>
      <c r="B4602" s="2" t="s">
        <v>13037</v>
      </c>
      <c r="C4602" s="2">
        <f>IFERROR(__xludf.DUMMYFUNCTION("split(B4602,""_"")"),710.0)</f>
        <v>710</v>
      </c>
      <c r="D4602" s="2" t="str">
        <f>IFERROR(__xludf.DUMMYFUNCTION("""COMPUTED_VALUE"""),"NTV")</f>
        <v>NTV</v>
      </c>
      <c r="E4602" s="2" t="str">
        <f>IFERROR(__xludf.DUMMYFUNCTION("""COMPUTED_VALUE"""),"水22")</f>
        <v>水22</v>
      </c>
      <c r="F4602" s="2" t="s">
        <v>13038</v>
      </c>
      <c r="G4602" s="2" t="s">
        <v>13047</v>
      </c>
      <c r="H4602" s="1">
        <v>5.0</v>
      </c>
      <c r="J4602" s="1" t="s">
        <v>86</v>
      </c>
      <c r="K4602" s="2" t="s">
        <v>13048</v>
      </c>
      <c r="L4602" s="2"/>
      <c r="M4602" s="2" t="str">
        <f>IFERROR(__xludf.DUMMYFUNCTION("split(split(K4602,""【演出"",false),""ほか"",false)"),"恋人の新二(吉沢悠)からデートをキャンセルされた弘子(菅野美穂)は、張り込み班の菅原(津田寛治)と芸能人の不倫スクープを追うことに。張り込み現場の車中で菅原と二人きりになった弘子は、いろいろ彼に話し掛けるが全く返答がない。間もなく、弘子が車中で一人になった時に目当ての芸能人が現れる。弘子は不倫カップルを激写することに成功し、編集部は喜びに沸く。だが、写真を見た菅原は、そんな写真はスクープではないと言い切る。")</f>
        <v>恋人の新二(吉沢悠)からデートをキャンセルされた弘子(菅野美穂)は、張り込み班の菅原(津田寛治)と芸能人の不倫スクープを追うことに。張り込み現場の車中で菅原と二人きりになった弘子は、いろいろ彼に話し掛けるが全く返答がない。間もなく、弘子が車中で一人になった時に目当ての芸能人が現れる。弘子は不倫カップルを激写することに成功し、編集部は喜びに沸く。だが、写真を見た菅原は、そんな写真はスクープではないと言い切る。</v>
      </c>
      <c r="N4602" s="2"/>
      <c r="O4602" s="2"/>
      <c r="P4602" s="1"/>
      <c r="Q4602" s="1"/>
      <c r="R4602" s="1"/>
      <c r="S4602" s="1"/>
      <c r="T4602" s="1"/>
      <c r="U4602" s="1"/>
      <c r="V4602" s="1"/>
      <c r="W4602" s="1"/>
      <c r="X4602" s="1"/>
      <c r="Y4602" s="1"/>
      <c r="Z4602" s="1"/>
      <c r="AA4602" s="1"/>
      <c r="AB4602" s="1"/>
      <c r="AC4602" s="1"/>
      <c r="AD4602" s="1"/>
      <c r="AE4602" s="1"/>
      <c r="AF4602" s="1"/>
      <c r="AG4602" s="1"/>
      <c r="AH4602" s="1"/>
      <c r="AI4602" s="1"/>
      <c r="AJ4602" s="1"/>
      <c r="AK4602" s="1"/>
      <c r="AL4602" s="1"/>
      <c r="AM4602" s="1"/>
      <c r="AN4602" s="1"/>
      <c r="AO4602" s="1"/>
      <c r="AP4602" s="1"/>
      <c r="AQ4602" s="1"/>
      <c r="AR4602" s="1"/>
      <c r="AS4602" s="1"/>
      <c r="AT4602" s="1"/>
      <c r="AU4602" s="1"/>
      <c r="AV4602" s="1"/>
      <c r="AW4602" s="1"/>
      <c r="AX4602" s="1"/>
      <c r="AY4602" s="1"/>
      <c r="AZ4602" s="1"/>
      <c r="BA4602" s="1"/>
      <c r="BB4602" s="1"/>
    </row>
    <row r="4603" ht="204.75" customHeight="1">
      <c r="A4603" s="1">
        <v>6065.0</v>
      </c>
      <c r="B4603" s="2" t="s">
        <v>13037</v>
      </c>
      <c r="C4603" s="2">
        <f>IFERROR(__xludf.DUMMYFUNCTION("split(B4603,""_"")"),710.0)</f>
        <v>710</v>
      </c>
      <c r="D4603" s="2" t="str">
        <f>IFERROR(__xludf.DUMMYFUNCTION("""COMPUTED_VALUE"""),"NTV")</f>
        <v>NTV</v>
      </c>
      <c r="E4603" s="2" t="str">
        <f>IFERROR(__xludf.DUMMYFUNCTION("""COMPUTED_VALUE"""),"水22")</f>
        <v>水22</v>
      </c>
      <c r="F4603" s="2" t="s">
        <v>13038</v>
      </c>
      <c r="G4603" s="2" t="s">
        <v>13049</v>
      </c>
      <c r="H4603" s="1">
        <v>6.0</v>
      </c>
      <c r="J4603" s="1" t="s">
        <v>86</v>
      </c>
      <c r="K4603" s="2" t="s">
        <v>13050</v>
      </c>
      <c r="L4603" s="2"/>
      <c r="M4603" s="2" t="str">
        <f>IFERROR(__xludf.DUMMYFUNCTION("split(split(K4603,""【演出"",false),""ほか"",false)"),"占い師から「近々人生の転機を迎える」と予言された弘子(菅野美穂)だが、思い当たる節はない。恋人の新二(吉沢悠)とも最近はあまり会えずにいた。そんな中、マンションに関する企画が通った弘子は、担当の田中(速水もこみち)とともに新二が現場監督を務めるマンションへ取材に向かう。そこで、新二から希望するプロジェクトに参加できる可能性を告げられる。喜ぶ弘子は、翌日が忙しい入稿日でありながらも、手料理でお祝いすると宣言する。")</f>
        <v>占い師から「近々人生の転機を迎える」と予言された弘子(菅野美穂)だが、思い当たる節はない。恋人の新二(吉沢悠)とも最近はあまり会えずにいた。そんな中、マンションに関する企画が通った弘子は、担当の田中(速水もこみち)とともに新二が現場監督を務めるマンションへ取材に向かう。そこで、新二から希望するプロジェクトに参加できる可能性を告げられる。喜ぶ弘子は、翌日が忙しい入稿日でありながらも、手料理でお祝いすると宣言する。</v>
      </c>
      <c r="N4603" s="2"/>
      <c r="O4603" s="2"/>
      <c r="P4603" s="1"/>
      <c r="Q4603" s="1"/>
      <c r="R4603" s="1"/>
      <c r="S4603" s="1"/>
      <c r="T4603" s="1"/>
      <c r="U4603" s="1"/>
      <c r="V4603" s="1"/>
      <c r="W4603" s="1"/>
      <c r="X4603" s="1"/>
      <c r="Y4603" s="1"/>
      <c r="Z4603" s="1"/>
      <c r="AA4603" s="1"/>
      <c r="AB4603" s="1"/>
      <c r="AC4603" s="1"/>
      <c r="AD4603" s="1"/>
      <c r="AE4603" s="1"/>
      <c r="AF4603" s="1"/>
      <c r="AG4603" s="1"/>
      <c r="AH4603" s="1"/>
      <c r="AI4603" s="1"/>
      <c r="AJ4603" s="1"/>
      <c r="AK4603" s="1"/>
      <c r="AL4603" s="1"/>
      <c r="AM4603" s="1"/>
      <c r="AN4603" s="1"/>
      <c r="AO4603" s="1"/>
      <c r="AP4603" s="1"/>
      <c r="AQ4603" s="1"/>
      <c r="AR4603" s="1"/>
      <c r="AS4603" s="1"/>
      <c r="AT4603" s="1"/>
      <c r="AU4603" s="1"/>
      <c r="AV4603" s="1"/>
      <c r="AW4603" s="1"/>
      <c r="AX4603" s="1"/>
      <c r="AY4603" s="1"/>
      <c r="AZ4603" s="1"/>
      <c r="BA4603" s="1"/>
      <c r="BB4603" s="1"/>
    </row>
    <row r="4604" ht="204.75" customHeight="1">
      <c r="A4604" s="1">
        <v>6066.0</v>
      </c>
      <c r="B4604" s="2" t="s">
        <v>13037</v>
      </c>
      <c r="C4604" s="2">
        <f>IFERROR(__xludf.DUMMYFUNCTION("split(B4604,""_"")"),710.0)</f>
        <v>710</v>
      </c>
      <c r="D4604" s="2" t="str">
        <f>IFERROR(__xludf.DUMMYFUNCTION("""COMPUTED_VALUE"""),"NTV")</f>
        <v>NTV</v>
      </c>
      <c r="E4604" s="2" t="str">
        <f>IFERROR(__xludf.DUMMYFUNCTION("""COMPUTED_VALUE"""),"水22")</f>
        <v>水22</v>
      </c>
      <c r="F4604" s="2" t="s">
        <v>13038</v>
      </c>
      <c r="G4604" s="2" t="s">
        <v>13051</v>
      </c>
      <c r="H4604" s="1">
        <v>7.0</v>
      </c>
      <c r="J4604" s="1" t="s">
        <v>86</v>
      </c>
      <c r="K4604" s="2" t="s">
        <v>13052</v>
      </c>
      <c r="L4604" s="2"/>
      <c r="M4604" s="2" t="str">
        <f>IFERROR(__xludf.DUMMYFUNCTION("split(split(K4604,""【演出"",false),""ほか"",false)"),"新企画の取材を進める弘子(菅野美穂)だが、二週間以上も話をしていない新二(吉沢悠)のことが気になっていた。一方、新二は新しく配属された営業部での仕事に一生懸命。そんな中、弘子の自宅に泥棒が入り、弘子は恐怖心から新二に助けを求める。新二は大切な接待の最中だったが、席を抜け出してマンションに駆け付ける。だが、大事なデータが入ったパソコンを盗まれた弘子は大慌て。その様子を見た新二は、仕事を優先させる弘子に不満を抱く。")</f>
        <v>新企画の取材を進める弘子(菅野美穂)だが、二週間以上も話をしていない新二(吉沢悠)のことが気になっていた。一方、新二は新しく配属された営業部での仕事に一生懸命。そんな中、弘子の自宅に泥棒が入り、弘子は恐怖心から新二に助けを求める。新二は大切な接待の最中だったが、席を抜け出してマンションに駆け付ける。だが、大事なデータが入ったパソコンを盗まれた弘子は大慌て。その様子を見た新二は、仕事を優先させる弘子に不満を抱く。</v>
      </c>
      <c r="N4604" s="2"/>
      <c r="O4604" s="2"/>
      <c r="P4604" s="1"/>
      <c r="Q4604" s="1"/>
      <c r="R4604" s="1"/>
      <c r="S4604" s="1"/>
      <c r="T4604" s="1"/>
      <c r="U4604" s="1"/>
      <c r="V4604" s="1"/>
      <c r="W4604" s="1"/>
      <c r="X4604" s="1"/>
      <c r="Y4604" s="1"/>
      <c r="Z4604" s="1"/>
      <c r="AA4604" s="1"/>
      <c r="AB4604" s="1"/>
      <c r="AC4604" s="1"/>
      <c r="AD4604" s="1"/>
      <c r="AE4604" s="1"/>
      <c r="AF4604" s="1"/>
      <c r="AG4604" s="1"/>
      <c r="AH4604" s="1"/>
      <c r="AI4604" s="1"/>
      <c r="AJ4604" s="1"/>
      <c r="AK4604" s="1"/>
      <c r="AL4604" s="1"/>
      <c r="AM4604" s="1"/>
      <c r="AN4604" s="1"/>
      <c r="AO4604" s="1"/>
      <c r="AP4604" s="1"/>
      <c r="AQ4604" s="1"/>
      <c r="AR4604" s="1"/>
      <c r="AS4604" s="1"/>
      <c r="AT4604" s="1"/>
      <c r="AU4604" s="1"/>
      <c r="AV4604" s="1"/>
      <c r="AW4604" s="1"/>
      <c r="AX4604" s="1"/>
      <c r="AY4604" s="1"/>
      <c r="AZ4604" s="1"/>
      <c r="BA4604" s="1"/>
      <c r="BB4604" s="1"/>
    </row>
    <row r="4605" ht="204.75" customHeight="1">
      <c r="A4605" s="1">
        <v>6067.0</v>
      </c>
      <c r="B4605" s="2" t="s">
        <v>13037</v>
      </c>
      <c r="C4605" s="2">
        <f>IFERROR(__xludf.DUMMYFUNCTION("split(B4605,""_"")"),710.0)</f>
        <v>710</v>
      </c>
      <c r="D4605" s="2" t="str">
        <f>IFERROR(__xludf.DUMMYFUNCTION("""COMPUTED_VALUE"""),"NTV")</f>
        <v>NTV</v>
      </c>
      <c r="E4605" s="2" t="str">
        <f>IFERROR(__xludf.DUMMYFUNCTION("""COMPUTED_VALUE"""),"水22")</f>
        <v>水22</v>
      </c>
      <c r="F4605" s="2" t="s">
        <v>13038</v>
      </c>
      <c r="G4605" s="2" t="s">
        <v>13053</v>
      </c>
      <c r="H4605" s="1">
        <v>8.0</v>
      </c>
      <c r="J4605" s="1" t="s">
        <v>86</v>
      </c>
      <c r="K4605" s="2" t="s">
        <v>13054</v>
      </c>
      <c r="L4605" s="2"/>
      <c r="M4605" s="2" t="str">
        <f>IFERROR(__xludf.DUMMYFUNCTION("split(split(K4605,""【演出"",false),""ほか"",false)"),"新二(吉沢悠)と別れた弘子(菅野美穂)は、仕事こそ失恋の一番の治療薬だと考え懸命に働く。退社後は編集部のメンバーと酒を飲んで悲しみを忘れようとするが、どん底の状態から脱出できずにいた。間もなく、提出した企画が全滅だった弘子は「東京景色・冬の樹木」という地味な企画を任される。しかし、失恋のショックを引きずるあまりミスを連発し、取材を田中(速水もこみち)に交代して休むよう命じられてしまう。")</f>
        <v>新二(吉沢悠)と別れた弘子(菅野美穂)は、仕事こそ失恋の一番の治療薬だと考え懸命に働く。退社後は編集部のメンバーと酒を飲んで悲しみを忘れようとするが、どん底の状態から脱出できずにいた。間もなく、提出した企画が全滅だった弘子は「東京景色・冬の樹木」という地味な企画を任される。しかし、失恋のショックを引きずるあまりミスを連発し、取材を田中(速水もこみち)に交代して休むよう命じられてしまう。</v>
      </c>
      <c r="N4605" s="2"/>
      <c r="O4605" s="2"/>
      <c r="P4605" s="1"/>
      <c r="Q4605" s="1"/>
      <c r="R4605" s="1"/>
      <c r="S4605" s="1"/>
      <c r="T4605" s="1"/>
      <c r="U4605" s="1"/>
      <c r="V4605" s="1"/>
      <c r="W4605" s="1"/>
      <c r="X4605" s="1"/>
      <c r="Y4605" s="1"/>
      <c r="Z4605" s="1"/>
      <c r="AA4605" s="1"/>
      <c r="AB4605" s="1"/>
      <c r="AC4605" s="1"/>
      <c r="AD4605" s="1"/>
      <c r="AE4605" s="1"/>
      <c r="AF4605" s="1"/>
      <c r="AG4605" s="1"/>
      <c r="AH4605" s="1"/>
      <c r="AI4605" s="1"/>
      <c r="AJ4605" s="1"/>
      <c r="AK4605" s="1"/>
      <c r="AL4605" s="1"/>
      <c r="AM4605" s="1"/>
      <c r="AN4605" s="1"/>
      <c r="AO4605" s="1"/>
      <c r="AP4605" s="1"/>
      <c r="AQ4605" s="1"/>
      <c r="AR4605" s="1"/>
      <c r="AS4605" s="1"/>
      <c r="AT4605" s="1"/>
      <c r="AU4605" s="1"/>
      <c r="AV4605" s="1"/>
      <c r="AW4605" s="1"/>
      <c r="AX4605" s="1"/>
      <c r="AY4605" s="1"/>
      <c r="AZ4605" s="1"/>
      <c r="BA4605" s="1"/>
      <c r="BB4605" s="1"/>
    </row>
    <row r="4606" ht="204.75" customHeight="1">
      <c r="A4606" s="1">
        <v>6068.0</v>
      </c>
      <c r="B4606" s="2" t="s">
        <v>13037</v>
      </c>
      <c r="C4606" s="2">
        <f>IFERROR(__xludf.DUMMYFUNCTION("split(B4606,""_"")"),710.0)</f>
        <v>710</v>
      </c>
      <c r="D4606" s="2" t="str">
        <f>IFERROR(__xludf.DUMMYFUNCTION("""COMPUTED_VALUE"""),"NTV")</f>
        <v>NTV</v>
      </c>
      <c r="E4606" s="2" t="str">
        <f>IFERROR(__xludf.DUMMYFUNCTION("""COMPUTED_VALUE"""),"水22")</f>
        <v>水22</v>
      </c>
      <c r="F4606" s="2" t="s">
        <v>13038</v>
      </c>
      <c r="G4606" s="2" t="s">
        <v>13055</v>
      </c>
      <c r="H4606" s="1">
        <v>9.0</v>
      </c>
      <c r="J4606" s="1" t="s">
        <v>86</v>
      </c>
      <c r="K4606" s="2" t="s">
        <v>13056</v>
      </c>
      <c r="L4606" s="2"/>
      <c r="M4606" s="2" t="str">
        <f>IFERROR(__xludf.DUMMYFUNCTION("split(split(K4606,""【演出"",false),""ほか"",false)"),"弘子(菅野美穂)が担当した連載小説「54」の単行本化が決定。喜ぶ弘子だが、書籍部から少ない初版部数を提示され落胆する。同期の営業担当・千葉(渡部建)に反論するが、あっさりかわされてしまう。そんな折、「54」の作者・夏目(小西美帆)から、最終回が書けないとの連絡を受けた弘子は、徹夜で彼女に協力。ようやく完成した作品に手応えを感じた弘子は、部数が最終決定する販売戦略会議の前に、再び千葉の説得に向かう。")</f>
        <v>弘子(菅野美穂)が担当した連載小説「54」の単行本化が決定。喜ぶ弘子だが、書籍部から少ない初版部数を提示され落胆する。同期の営業担当・千葉(渡部建)に反論するが、あっさりかわされてしまう。そんな折、「54」の作者・夏目(小西美帆)から、最終回が書けないとの連絡を受けた弘子は、徹夜で彼女に協力。ようやく完成した作品に手応えを感じた弘子は、部数が最終決定する販売戦略会議の前に、再び千葉の説得に向かう。</v>
      </c>
      <c r="N4606" s="2"/>
      <c r="O4606" s="2"/>
      <c r="P4606" s="1"/>
      <c r="Q4606" s="1"/>
      <c r="R4606" s="1"/>
      <c r="S4606" s="1"/>
      <c r="T4606" s="1"/>
      <c r="U4606" s="1"/>
      <c r="V4606" s="1"/>
      <c r="W4606" s="1"/>
      <c r="X4606" s="1"/>
      <c r="Y4606" s="1"/>
      <c r="Z4606" s="1"/>
      <c r="AA4606" s="1"/>
      <c r="AB4606" s="1"/>
      <c r="AC4606" s="1"/>
      <c r="AD4606" s="1"/>
      <c r="AE4606" s="1"/>
      <c r="AF4606" s="1"/>
      <c r="AG4606" s="1"/>
      <c r="AH4606" s="1"/>
      <c r="AI4606" s="1"/>
      <c r="AJ4606" s="1"/>
      <c r="AK4606" s="1"/>
      <c r="AL4606" s="1"/>
      <c r="AM4606" s="1"/>
      <c r="AN4606" s="1"/>
      <c r="AO4606" s="1"/>
      <c r="AP4606" s="1"/>
      <c r="AQ4606" s="1"/>
      <c r="AR4606" s="1"/>
      <c r="AS4606" s="1"/>
      <c r="AT4606" s="1"/>
      <c r="AU4606" s="1"/>
      <c r="AV4606" s="1"/>
      <c r="AW4606" s="1"/>
      <c r="AX4606" s="1"/>
      <c r="AY4606" s="1"/>
      <c r="AZ4606" s="1"/>
      <c r="BA4606" s="1"/>
      <c r="BB4606" s="1"/>
    </row>
    <row r="4607" ht="204.75" customHeight="1">
      <c r="A4607" s="1">
        <v>6069.0</v>
      </c>
      <c r="B4607" s="2" t="s">
        <v>13037</v>
      </c>
      <c r="C4607" s="2">
        <f>IFERROR(__xludf.DUMMYFUNCTION("split(B4607,""_"")"),710.0)</f>
        <v>710</v>
      </c>
      <c r="D4607" s="2" t="str">
        <f>IFERROR(__xludf.DUMMYFUNCTION("""COMPUTED_VALUE"""),"NTV")</f>
        <v>NTV</v>
      </c>
      <c r="E4607" s="2" t="str">
        <f>IFERROR(__xludf.DUMMYFUNCTION("""COMPUTED_VALUE"""),"水22")</f>
        <v>水22</v>
      </c>
      <c r="F4607" s="2" t="s">
        <v>13038</v>
      </c>
      <c r="G4607" s="2" t="s">
        <v>13057</v>
      </c>
      <c r="H4607" s="1">
        <v>10.0</v>
      </c>
      <c r="J4607" s="1" t="s">
        <v>82</v>
      </c>
      <c r="K4607" s="2" t="s">
        <v>13058</v>
      </c>
      <c r="L4607" s="2"/>
      <c r="M4607" s="2" t="str">
        <f>IFERROR(__xludf.DUMMYFUNCTION("split(split(K4607,""【演出"",false),""ほか"",false)"),"創刊二十周年記念号のチーフを任された弘子(菅野美穂)は大忙し。そんな中、父・征治(小野武彦)が突然、上京してくる。公務員の征治はきまじめな性格で、週刊誌を手掛ける弘子の仕事には全く理解を示さない。妹の結婚が決まったこともあり、弘子が説教される可能性は大いにあった。征治から結婚の予定を聞かれた弘子は、たまたま姿を見せた田中(速水もこみち)が恋人だと、うそをついてしまう。")</f>
        <v>創刊二十周年記念号のチーフを任された弘子(菅野美穂)は大忙し。そんな中、父・征治(小野武彦)が突然、上京してくる。公務員の征治はきまじめな性格で、週刊誌を手掛ける弘子の仕事には全く理解を示さない。妹の結婚が決まったこともあり、弘子が説教される可能性は大いにあった。征治から結婚の予定を聞かれた弘子は、たまたま姿を見せた田中(速水もこみち)が恋人だと、うそをついてしまう。</v>
      </c>
      <c r="N4607" s="2"/>
      <c r="O4607" s="2"/>
      <c r="P4607" s="1"/>
      <c r="Q4607" s="1"/>
      <c r="R4607" s="1"/>
      <c r="S4607" s="1"/>
      <c r="T4607" s="1"/>
      <c r="U4607" s="1"/>
      <c r="V4607" s="1"/>
      <c r="W4607" s="1"/>
      <c r="X4607" s="1"/>
      <c r="Y4607" s="1"/>
      <c r="Z4607" s="1"/>
      <c r="AA4607" s="1"/>
      <c r="AB4607" s="1"/>
      <c r="AC4607" s="1"/>
      <c r="AD4607" s="1"/>
      <c r="AE4607" s="1"/>
      <c r="AF4607" s="1"/>
      <c r="AG4607" s="1"/>
      <c r="AH4607" s="1"/>
      <c r="AI4607" s="1"/>
      <c r="AJ4607" s="1"/>
      <c r="AK4607" s="1"/>
      <c r="AL4607" s="1"/>
      <c r="AM4607" s="1"/>
      <c r="AN4607" s="1"/>
      <c r="AO4607" s="1"/>
      <c r="AP4607" s="1"/>
      <c r="AQ4607" s="1"/>
      <c r="AR4607" s="1"/>
      <c r="AS4607" s="1"/>
      <c r="AT4607" s="1"/>
      <c r="AU4607" s="1"/>
      <c r="AV4607" s="1"/>
      <c r="AW4607" s="1"/>
      <c r="AX4607" s="1"/>
      <c r="AY4607" s="1"/>
      <c r="AZ4607" s="1"/>
      <c r="BA4607" s="1"/>
      <c r="BB4607" s="1"/>
    </row>
    <row r="4608" ht="204.75" customHeight="1">
      <c r="A4608" s="1">
        <v>6070.0</v>
      </c>
      <c r="B4608" s="2" t="s">
        <v>13037</v>
      </c>
      <c r="C4608" s="2">
        <f>IFERROR(__xludf.DUMMYFUNCTION("split(B4608,""_"")"),710.0)</f>
        <v>710</v>
      </c>
      <c r="D4608" s="2" t="str">
        <f>IFERROR(__xludf.DUMMYFUNCTION("""COMPUTED_VALUE"""),"NTV")</f>
        <v>NTV</v>
      </c>
      <c r="E4608" s="2" t="str">
        <f>IFERROR(__xludf.DUMMYFUNCTION("""COMPUTED_VALUE"""),"水22")</f>
        <v>水22</v>
      </c>
      <c r="F4608" s="2" t="s">
        <v>13038</v>
      </c>
      <c r="G4608" s="2" t="s">
        <v>13059</v>
      </c>
      <c r="H4608" s="1">
        <v>11.0</v>
      </c>
      <c r="J4608" s="1" t="s">
        <v>82</v>
      </c>
      <c r="K4608" s="2" t="s">
        <v>13060</v>
      </c>
      <c r="L4608" s="2"/>
      <c r="M4608" s="2" t="str">
        <f>IFERROR(__xludf.DUMMYFUNCTION("split(split(K4608,""【演出"",false),""ほか"",false)"),"誕生日を迎えた弘子(菅野美穂)は、痴漢容疑で取り調べを受けている小学校教諭・竹田(甲本雅裕)の取材を命じられ、渋々警察署へ。そこで、大手出版社のデスク・佐川(羽場裕一)からヘッドハンティングの打診をされる。創刊される女性向け社会派雑誌のデスクとして迎えてくれるらしく、弘子は心を動かされる。そんな中、新二(吉沢悠)から突然、会いたいとの連絡が入る。復縁を期待する弘子は、緊張しながら待ち合わせ場所に向かう。")</f>
        <v>誕生日を迎えた弘子(菅野美穂)は、痴漢容疑で取り調べを受けている小学校教諭・竹田(甲本雅裕)の取材を命じられ、渋々警察署へ。そこで、大手出版社のデスク・佐川(羽場裕一)からヘッドハンティングの打診をされる。創刊される女性向け社会派雑誌のデスクとして迎えてくれるらしく、弘子は心を動かされる。そんな中、新二(吉沢悠)から突然、会いたいとの連絡が入る。復縁を期待する弘子は、緊張しながら待ち合わせ場所に向かう。</v>
      </c>
      <c r="N4608" s="2"/>
      <c r="O4608" s="2"/>
      <c r="P4608" s="1"/>
      <c r="Q4608" s="1"/>
      <c r="R4608" s="1"/>
      <c r="S4608" s="1"/>
      <c r="T4608" s="1"/>
      <c r="U4608" s="1"/>
      <c r="V4608" s="1"/>
      <c r="W4608" s="1"/>
      <c r="X4608" s="1"/>
      <c r="Y4608" s="1"/>
      <c r="Z4608" s="1"/>
      <c r="AA4608" s="1"/>
      <c r="AB4608" s="1"/>
      <c r="AC4608" s="1"/>
      <c r="AD4608" s="1"/>
      <c r="AE4608" s="1"/>
      <c r="AF4608" s="1"/>
      <c r="AG4608" s="1"/>
      <c r="AH4608" s="1"/>
      <c r="AI4608" s="1"/>
      <c r="AJ4608" s="1"/>
      <c r="AK4608" s="1"/>
      <c r="AL4608" s="1"/>
      <c r="AM4608" s="1"/>
      <c r="AN4608" s="1"/>
      <c r="AO4608" s="1"/>
      <c r="AP4608" s="1"/>
      <c r="AQ4608" s="1"/>
      <c r="AR4608" s="1"/>
      <c r="AS4608" s="1"/>
      <c r="AT4608" s="1"/>
      <c r="AU4608" s="1"/>
      <c r="AV4608" s="1"/>
      <c r="AW4608" s="1"/>
      <c r="AX4608" s="1"/>
      <c r="AY4608" s="1"/>
      <c r="AZ4608" s="1"/>
      <c r="BA4608" s="1"/>
      <c r="BB4608" s="1"/>
    </row>
    <row r="4609" ht="204.75" customHeight="1">
      <c r="A4609" s="1">
        <v>6130.0</v>
      </c>
      <c r="B4609" s="2" t="s">
        <v>13061</v>
      </c>
      <c r="C4609" s="2">
        <f>IFERROR(__xludf.DUMMYFUNCTION("split(B4609,""_"")"),710.0)</f>
        <v>710</v>
      </c>
      <c r="D4609" s="2" t="str">
        <f>IFERROR(__xludf.DUMMYFUNCTION("""COMPUTED_VALUE"""),"NTV")</f>
        <v>NTV</v>
      </c>
      <c r="E4609" s="2" t="str">
        <f>IFERROR(__xludf.DUMMYFUNCTION("""COMPUTED_VALUE"""),"土21")</f>
        <v>土21</v>
      </c>
      <c r="F4609" s="2" t="s">
        <v>13062</v>
      </c>
      <c r="G4609" s="2" t="s">
        <v>13063</v>
      </c>
      <c r="H4609" s="1">
        <v>1.0</v>
      </c>
      <c r="J4609" s="1" t="s">
        <v>4</v>
      </c>
      <c r="K4609" s="2" t="s">
        <v>13064</v>
      </c>
      <c r="L4609" s="2"/>
      <c r="M4609" s="2" t="str">
        <f>IFERROR(__xludf.DUMMYFUNCTION("split(split(K4609,""【演出"",false),""ほか"",false)"),"夢半ばで急死した元プロ野球選手が、他人の体を借りて果たせなかった夢に再び挑戦する。脚本・渡辺睦月、演出・中島悟")</f>
        <v>夢半ばで急死した元プロ野球選手が、他人の体を借りて果たせなかった夢に再び挑戦する。脚本・渡辺睦月、演出・中島悟</v>
      </c>
      <c r="N4609" s="2" t="str">
        <f>IFERROR(__xludf.DUMMYFUNCTION("""COMPUTED_VALUE"""),"。　プロ野球・巨人軍選手の小木駿介(反町隆史)は、肩のけがが原因で球団を解雇され、会社員に転身。しかし、野球への未練を断ち切れず、結婚直前の恋人・颯乙(加藤あい)との婚約も破棄し、あらためて巨人軍のプロテストを受ける決意を固める。その直後、落雷によって他界。それが”天国省”の人選ミスだったため、天国の案内人・田中(児玉清)の特別な計らいで、他人の体に魂を戻すことを許される。独身の会社社長・朝日奈の体を借りて球界復帰を目指す駿介の前に、朝日奈の娘を名乗る雛(志田未来)が現れる。")</f>
        <v>。　プロ野球・巨人軍選手の小木駿介(反町隆史)は、肩のけがが原因で球団を解雇され、会社員に転身。しかし、野球への未練を断ち切れず、結婚直前の恋人・颯乙(加藤あい)との婚約も破棄し、あらためて巨人軍のプロテストを受ける決意を固める。その直後、落雷によって他界。それが”天国省”の人選ミスだったため、天国の案内人・田中(児玉清)の特別な計らいで、他人の体に魂を戻すことを許される。独身の会社社長・朝日奈の体を借りて球界復帰を目指す駿介の前に、朝日奈の娘を名乗る雛(志田未来)が現れる。</v>
      </c>
      <c r="O4609" s="2"/>
      <c r="P4609" s="1"/>
      <c r="Q4609" s="1"/>
      <c r="R4609" s="1"/>
      <c r="S4609" s="1"/>
      <c r="T4609" s="1"/>
      <c r="U4609" s="1"/>
      <c r="V4609" s="1"/>
      <c r="W4609" s="1"/>
      <c r="X4609" s="1"/>
      <c r="Y4609" s="1"/>
      <c r="Z4609" s="1"/>
      <c r="AA4609" s="1"/>
      <c r="AB4609" s="1"/>
      <c r="AC4609" s="1"/>
      <c r="AD4609" s="1"/>
      <c r="AE4609" s="1"/>
      <c r="AF4609" s="1"/>
      <c r="AG4609" s="1"/>
      <c r="AH4609" s="1"/>
      <c r="AI4609" s="1"/>
      <c r="AJ4609" s="1"/>
      <c r="AK4609" s="1"/>
      <c r="AL4609" s="1"/>
      <c r="AM4609" s="1"/>
      <c r="AN4609" s="1"/>
      <c r="AO4609" s="1"/>
      <c r="AP4609" s="1"/>
      <c r="AQ4609" s="1"/>
      <c r="AR4609" s="1"/>
      <c r="AS4609" s="1"/>
      <c r="AT4609" s="1"/>
      <c r="AU4609" s="1"/>
      <c r="AV4609" s="1"/>
      <c r="AW4609" s="1"/>
      <c r="AX4609" s="1"/>
      <c r="AY4609" s="1"/>
      <c r="AZ4609" s="1"/>
      <c r="BA4609" s="1"/>
      <c r="BB4609" s="1"/>
    </row>
    <row r="4610" ht="204.75" customHeight="1">
      <c r="A4610" s="1">
        <v>6131.0</v>
      </c>
      <c r="B4610" s="2" t="s">
        <v>13061</v>
      </c>
      <c r="C4610" s="2">
        <f>IFERROR(__xludf.DUMMYFUNCTION("split(B4610,""_"")"),710.0)</f>
        <v>710</v>
      </c>
      <c r="D4610" s="2" t="str">
        <f>IFERROR(__xludf.DUMMYFUNCTION("""COMPUTED_VALUE"""),"NTV")</f>
        <v>NTV</v>
      </c>
      <c r="E4610" s="2" t="str">
        <f>IFERROR(__xludf.DUMMYFUNCTION("""COMPUTED_VALUE"""),"土21")</f>
        <v>土21</v>
      </c>
      <c r="F4610" s="2" t="s">
        <v>13062</v>
      </c>
      <c r="G4610" s="2" t="s">
        <v>13065</v>
      </c>
      <c r="H4610" s="1">
        <v>2.0</v>
      </c>
      <c r="J4610" s="1" t="s">
        <v>11</v>
      </c>
      <c r="K4610" s="2" t="s">
        <v>13066</v>
      </c>
      <c r="L4610" s="2"/>
      <c r="M4610" s="2" t="str">
        <f>IFERROR(__xludf.DUMMYFUNCTION("split(split(K4610,""【演出"",false),""ほか"",false)"),"駿介の魂が入った朝日奈(反町隆史)の会社に、彼を敵視する弁護士として颯乙(加藤あい)が現れる。仕事の内容が理解できない上に、颯乙の敵であることに嫌気が差した朝日奈は、田中(児玉清)に別の体に替えてほしいと頼み込む。しかし、あっさり却下される。朝日奈は、颯乙に対する自分の印象をこれ以上悪くしないために、抱えているトラブルをすべて引き受けて解決しようと決意する。")</f>
        <v>駿介の魂が入った朝日奈(反町隆史)の会社に、彼を敵視する弁護士として颯乙(加藤あい)が現れる。仕事の内容が理解できない上に、颯乙の敵であることに嫌気が差した朝日奈は、田中(児玉清)に別の体に替えてほしいと頼み込む。しかし、あっさり却下される。朝日奈は、颯乙に対する自分の印象をこれ以上悪くしないために、抱えているトラブルをすべて引き受けて解決しようと決意する。</v>
      </c>
      <c r="N4610" s="2"/>
      <c r="O4610" s="2"/>
      <c r="P4610" s="1"/>
      <c r="Q4610" s="1"/>
      <c r="R4610" s="1"/>
      <c r="S4610" s="1"/>
      <c r="T4610" s="1"/>
      <c r="U4610" s="1"/>
      <c r="V4610" s="1"/>
      <c r="W4610" s="1"/>
      <c r="X4610" s="1"/>
      <c r="Y4610" s="1"/>
      <c r="Z4610" s="1"/>
      <c r="AA4610" s="1"/>
      <c r="AB4610" s="1"/>
      <c r="AC4610" s="1"/>
      <c r="AD4610" s="1"/>
      <c r="AE4610" s="1"/>
      <c r="AF4610" s="1"/>
      <c r="AG4610" s="1"/>
      <c r="AH4610" s="1"/>
      <c r="AI4610" s="1"/>
      <c r="AJ4610" s="1"/>
      <c r="AK4610" s="1"/>
      <c r="AL4610" s="1"/>
      <c r="AM4610" s="1"/>
      <c r="AN4610" s="1"/>
      <c r="AO4610" s="1"/>
      <c r="AP4610" s="1"/>
      <c r="AQ4610" s="1"/>
      <c r="AR4610" s="1"/>
      <c r="AS4610" s="1"/>
      <c r="AT4610" s="1"/>
      <c r="AU4610" s="1"/>
      <c r="AV4610" s="1"/>
      <c r="AW4610" s="1"/>
      <c r="AX4610" s="1"/>
      <c r="AY4610" s="1"/>
      <c r="AZ4610" s="1"/>
      <c r="BA4610" s="1"/>
      <c r="BB4610" s="1"/>
    </row>
    <row r="4611" ht="204.75" customHeight="1">
      <c r="A4611" s="1">
        <v>6132.0</v>
      </c>
      <c r="B4611" s="2" t="s">
        <v>13061</v>
      </c>
      <c r="C4611" s="2">
        <f>IFERROR(__xludf.DUMMYFUNCTION("split(B4611,""_"")"),710.0)</f>
        <v>710</v>
      </c>
      <c r="D4611" s="2" t="str">
        <f>IFERROR(__xludf.DUMMYFUNCTION("""COMPUTED_VALUE"""),"NTV")</f>
        <v>NTV</v>
      </c>
      <c r="E4611" s="2" t="str">
        <f>IFERROR(__xludf.DUMMYFUNCTION("""COMPUTED_VALUE"""),"土21")</f>
        <v>土21</v>
      </c>
      <c r="F4611" s="2" t="s">
        <v>13062</v>
      </c>
      <c r="G4611" s="2" t="s">
        <v>13067</v>
      </c>
      <c r="H4611" s="1">
        <v>3.0</v>
      </c>
      <c r="J4611" s="1" t="s">
        <v>11</v>
      </c>
      <c r="K4611" s="2" t="s">
        <v>13068</v>
      </c>
      <c r="L4611" s="2"/>
      <c r="M4611" s="2" t="str">
        <f>IFERROR(__xludf.DUMMYFUNCTION("split(split(K4611,""【演出"",false),""ほか"",false)"),"雛(志田未来)からＤＮＡ鑑定の承諾書を突き付けられた朝日奈(反町隆史)は、渋々同意。さらに、授業参観への出席を求められるが、まだ父親と決まったわけではないからと拒否してしまう。一方、雛に会った颯乙(加藤あい)は、朝日奈が首から下げている指輪の裏側を調べてほしいと頼む。そんな中、朝日奈の元に健造(渡辺哲)が姿を見せる。コーチを引き受けるというが、三千万円という高額な料金を提示され、朝日奈は困惑してしまう。")</f>
        <v>雛(志田未来)からＤＮＡ鑑定の承諾書を突き付けられた朝日奈(反町隆史)は、渋々同意。さらに、授業参観への出席を求められるが、まだ父親と決まったわけではないからと拒否してしまう。一方、雛に会った颯乙(加藤あい)は、朝日奈が首から下げている指輪の裏側を調べてほしいと頼む。そんな中、朝日奈の元に健造(渡辺哲)が姿を見せる。コーチを引き受けるというが、三千万円という高額な料金を提示され、朝日奈は困惑してしまう。</v>
      </c>
      <c r="N4611" s="2"/>
      <c r="O4611" s="2"/>
      <c r="P4611" s="1"/>
      <c r="Q4611" s="1"/>
      <c r="R4611" s="1"/>
      <c r="S4611" s="1"/>
      <c r="T4611" s="1"/>
      <c r="U4611" s="1"/>
      <c r="V4611" s="1"/>
      <c r="W4611" s="1"/>
      <c r="X4611" s="1"/>
      <c r="Y4611" s="1"/>
      <c r="Z4611" s="1"/>
      <c r="AA4611" s="1"/>
      <c r="AB4611" s="1"/>
      <c r="AC4611" s="1"/>
      <c r="AD4611" s="1"/>
      <c r="AE4611" s="1"/>
      <c r="AF4611" s="1"/>
      <c r="AG4611" s="1"/>
      <c r="AH4611" s="1"/>
      <c r="AI4611" s="1"/>
      <c r="AJ4611" s="1"/>
      <c r="AK4611" s="1"/>
      <c r="AL4611" s="1"/>
      <c r="AM4611" s="1"/>
      <c r="AN4611" s="1"/>
      <c r="AO4611" s="1"/>
      <c r="AP4611" s="1"/>
      <c r="AQ4611" s="1"/>
      <c r="AR4611" s="1"/>
      <c r="AS4611" s="1"/>
      <c r="AT4611" s="1"/>
      <c r="AU4611" s="1"/>
      <c r="AV4611" s="1"/>
      <c r="AW4611" s="1"/>
      <c r="AX4611" s="1"/>
      <c r="AY4611" s="1"/>
      <c r="AZ4611" s="1"/>
      <c r="BA4611" s="1"/>
      <c r="BB4611" s="1"/>
    </row>
    <row r="4612" ht="204.75" customHeight="1">
      <c r="A4612" s="1">
        <v>6133.0</v>
      </c>
      <c r="B4612" s="2" t="s">
        <v>13061</v>
      </c>
      <c r="C4612" s="2">
        <f>IFERROR(__xludf.DUMMYFUNCTION("split(B4612,""_"")"),710.0)</f>
        <v>710</v>
      </c>
      <c r="D4612" s="2" t="str">
        <f>IFERROR(__xludf.DUMMYFUNCTION("""COMPUTED_VALUE"""),"NTV")</f>
        <v>NTV</v>
      </c>
      <c r="E4612" s="2" t="str">
        <f>IFERROR(__xludf.DUMMYFUNCTION("""COMPUTED_VALUE"""),"土21")</f>
        <v>土21</v>
      </c>
      <c r="F4612" s="2" t="s">
        <v>13062</v>
      </c>
      <c r="G4612" s="2" t="s">
        <v>13069</v>
      </c>
      <c r="H4612" s="1">
        <v>4.0</v>
      </c>
      <c r="J4612" s="1" t="s">
        <v>11</v>
      </c>
      <c r="K4612" s="2" t="s">
        <v>13070</v>
      </c>
      <c r="L4612" s="2"/>
      <c r="M4612" s="2" t="str">
        <f>IFERROR(__xludf.DUMMYFUNCTION("split(split(K4612,""【演出"",false),""ほか"",false)"),"朝日奈(反町隆史)の素振りを見た健造(渡辺哲)は、その筋のいいスイングから駿介のことを思い出す。健造から三カ月後に迫ったプロテストを受けるなら、二足のわらじは無理だと告げられた朝日奈は、野球か仕事の二者択一を迫られる。野球を選ぶつもりだったが、百子(青田典子)と熊田(三宅弘城)に社長の引退は会社の破たんにつながると言われ、困り果ててしまう。そんな中、朝日奈は颯乙(加藤あい)に駿介の指輪の返却を求められる。")</f>
        <v>朝日奈(反町隆史)の素振りを見た健造(渡辺哲)は、その筋のいいスイングから駿介のことを思い出す。健造から三カ月後に迫ったプロテストを受けるなら、二足のわらじは無理だと告げられた朝日奈は、野球か仕事の二者択一を迫られる。野球を選ぶつもりだったが、百子(青田典子)と熊田(三宅弘城)に社長の引退は会社の破たんにつながると言われ、困り果ててしまう。そんな中、朝日奈は颯乙(加藤あい)に駿介の指輪の返却を求められる。</v>
      </c>
      <c r="N4612" s="2"/>
      <c r="O4612" s="2"/>
      <c r="P4612" s="1"/>
      <c r="Q4612" s="1"/>
      <c r="R4612" s="1"/>
      <c r="S4612" s="1"/>
      <c r="T4612" s="1"/>
      <c r="U4612" s="1"/>
      <c r="V4612" s="1"/>
      <c r="W4612" s="1"/>
      <c r="X4612" s="1"/>
      <c r="Y4612" s="1"/>
      <c r="Z4612" s="1"/>
      <c r="AA4612" s="1"/>
      <c r="AB4612" s="1"/>
      <c r="AC4612" s="1"/>
      <c r="AD4612" s="1"/>
      <c r="AE4612" s="1"/>
      <c r="AF4612" s="1"/>
      <c r="AG4612" s="1"/>
      <c r="AH4612" s="1"/>
      <c r="AI4612" s="1"/>
      <c r="AJ4612" s="1"/>
      <c r="AK4612" s="1"/>
      <c r="AL4612" s="1"/>
      <c r="AM4612" s="1"/>
      <c r="AN4612" s="1"/>
      <c r="AO4612" s="1"/>
      <c r="AP4612" s="1"/>
      <c r="AQ4612" s="1"/>
      <c r="AR4612" s="1"/>
      <c r="AS4612" s="1"/>
      <c r="AT4612" s="1"/>
      <c r="AU4612" s="1"/>
      <c r="AV4612" s="1"/>
      <c r="AW4612" s="1"/>
      <c r="AX4612" s="1"/>
      <c r="AY4612" s="1"/>
      <c r="AZ4612" s="1"/>
      <c r="BA4612" s="1"/>
      <c r="BB4612" s="1"/>
    </row>
    <row r="4613" ht="204.75" customHeight="1">
      <c r="A4613" s="1">
        <v>6134.0</v>
      </c>
      <c r="B4613" s="2" t="s">
        <v>13061</v>
      </c>
      <c r="C4613" s="2">
        <f>IFERROR(__xludf.DUMMYFUNCTION("split(B4613,""_"")"),710.0)</f>
        <v>710</v>
      </c>
      <c r="D4613" s="2" t="str">
        <f>IFERROR(__xludf.DUMMYFUNCTION("""COMPUTED_VALUE"""),"NTV")</f>
        <v>NTV</v>
      </c>
      <c r="E4613" s="2" t="str">
        <f>IFERROR(__xludf.DUMMYFUNCTION("""COMPUTED_VALUE"""),"土21")</f>
        <v>土21</v>
      </c>
      <c r="F4613" s="2" t="s">
        <v>13062</v>
      </c>
      <c r="G4613" s="2" t="s">
        <v>13071</v>
      </c>
      <c r="H4613" s="1">
        <v>5.0</v>
      </c>
      <c r="J4613" s="1" t="s">
        <v>11</v>
      </c>
      <c r="K4613" s="2" t="s">
        <v>13072</v>
      </c>
      <c r="L4613" s="2"/>
      <c r="M4613" s="2" t="str">
        <f>IFERROR(__xludf.DUMMYFUNCTION("split(split(K4613,""【演出"",false),""ほか"",false)"),"朝日奈(反町隆史)は全社員を集め、これまでの金もうけ主義から脱却し、チームプレーを大事にする経営を目指すと宣言。社員たちが突然の経営方針の転換に動揺する中、熊田(三宅弘城)は出資者の藤堂(中原丈雄)と手を組み、朝日奈の失脚を画策していた。一方、朝日奈と食事をした颯乙(加藤あい)は、彼の誠実な対応に触れ、その変身ぶりに感心。駿介の夢を引き継ごうと努力する彼を、心からうらやましく思う。")</f>
        <v>朝日奈(反町隆史)は全社員を集め、これまでの金もうけ主義から脱却し、チームプレーを大事にする経営を目指すと宣言。社員たちが突然の経営方針の転換に動揺する中、熊田(三宅弘城)は出資者の藤堂(中原丈雄)と手を組み、朝日奈の失脚を画策していた。一方、朝日奈と食事をした颯乙(加藤あい)は、彼の誠実な対応に触れ、その変身ぶりに感心。駿介の夢を引き継ごうと努力する彼を、心からうらやましく思う。</v>
      </c>
      <c r="N4613" s="2"/>
      <c r="O4613" s="2"/>
      <c r="P4613" s="1"/>
      <c r="Q4613" s="1"/>
      <c r="R4613" s="1"/>
      <c r="S4613" s="1"/>
      <c r="T4613" s="1"/>
      <c r="U4613" s="1"/>
      <c r="V4613" s="1"/>
      <c r="W4613" s="1"/>
      <c r="X4613" s="1"/>
      <c r="Y4613" s="1"/>
      <c r="Z4613" s="1"/>
      <c r="AA4613" s="1"/>
      <c r="AB4613" s="1"/>
      <c r="AC4613" s="1"/>
      <c r="AD4613" s="1"/>
      <c r="AE4613" s="1"/>
      <c r="AF4613" s="1"/>
      <c r="AG4613" s="1"/>
      <c r="AH4613" s="1"/>
      <c r="AI4613" s="1"/>
      <c r="AJ4613" s="1"/>
      <c r="AK4613" s="1"/>
      <c r="AL4613" s="1"/>
      <c r="AM4613" s="1"/>
      <c r="AN4613" s="1"/>
      <c r="AO4613" s="1"/>
      <c r="AP4613" s="1"/>
      <c r="AQ4613" s="1"/>
      <c r="AR4613" s="1"/>
      <c r="AS4613" s="1"/>
      <c r="AT4613" s="1"/>
      <c r="AU4613" s="1"/>
      <c r="AV4613" s="1"/>
      <c r="AW4613" s="1"/>
      <c r="AX4613" s="1"/>
      <c r="AY4613" s="1"/>
      <c r="AZ4613" s="1"/>
      <c r="BA4613" s="1"/>
      <c r="BB4613" s="1"/>
    </row>
    <row r="4614" ht="204.75" customHeight="1">
      <c r="A4614" s="1">
        <v>6135.0</v>
      </c>
      <c r="B4614" s="2" t="s">
        <v>13061</v>
      </c>
      <c r="C4614" s="2">
        <f>IFERROR(__xludf.DUMMYFUNCTION("split(B4614,""_"")"),710.0)</f>
        <v>710</v>
      </c>
      <c r="D4614" s="2" t="str">
        <f>IFERROR(__xludf.DUMMYFUNCTION("""COMPUTED_VALUE"""),"NTV")</f>
        <v>NTV</v>
      </c>
      <c r="E4614" s="2" t="str">
        <f>IFERROR(__xludf.DUMMYFUNCTION("""COMPUTED_VALUE"""),"土21")</f>
        <v>土21</v>
      </c>
      <c r="F4614" s="2" t="s">
        <v>13062</v>
      </c>
      <c r="G4614" s="2" t="s">
        <v>13073</v>
      </c>
      <c r="H4614" s="1">
        <v>6.0</v>
      </c>
      <c r="J4614" s="1" t="s">
        <v>11</v>
      </c>
      <c r="K4614" s="2" t="s">
        <v>13074</v>
      </c>
      <c r="L4614" s="2"/>
      <c r="M4614" s="2" t="str">
        <f>IFERROR(__xludf.DUMMYFUNCTION("split(split(K4614,""【演出"",false),""ほか"",false)"),"朝日奈(反町隆史)が脱税容疑で拘置所に収容される。罪が確定すれば最長五年の実刑になると知り、年齢的にプロ野球への夢が消えることを覚悟する。間もなく、朝日奈の元に面会にやって来た颯乙(加藤あい)が弁護を申し出るが、朝日奈は迷惑が掛かるからと断る。そんな中、健造(渡辺哲)が拘置所内での練習メニューのメモを持って朝日奈邸を訪れる。「朝日奈は無罪だ」と言う健造の言葉に勇気づけられた颯乙は、あらためて力になろうと決意する。")</f>
        <v>朝日奈(反町隆史)が脱税容疑で拘置所に収容される。罪が確定すれば最長五年の実刑になると知り、年齢的にプロ野球への夢が消えることを覚悟する。間もなく、朝日奈の元に面会にやって来た颯乙(加藤あい)が弁護を申し出るが、朝日奈は迷惑が掛かるからと断る。そんな中、健造(渡辺哲)が拘置所内での練習メニューのメモを持って朝日奈邸を訪れる。「朝日奈は無罪だ」と言う健造の言葉に勇気づけられた颯乙は、あらためて力になろうと決意する。</v>
      </c>
      <c r="N4614" s="2"/>
      <c r="O4614" s="2"/>
      <c r="P4614" s="1"/>
      <c r="Q4614" s="1"/>
      <c r="R4614" s="1"/>
      <c r="S4614" s="1"/>
      <c r="T4614" s="1"/>
      <c r="U4614" s="1"/>
      <c r="V4614" s="1"/>
      <c r="W4614" s="1"/>
      <c r="X4614" s="1"/>
      <c r="Y4614" s="1"/>
      <c r="Z4614" s="1"/>
      <c r="AA4614" s="1"/>
      <c r="AB4614" s="1"/>
      <c r="AC4614" s="1"/>
      <c r="AD4614" s="1"/>
      <c r="AE4614" s="1"/>
      <c r="AF4614" s="1"/>
      <c r="AG4614" s="1"/>
      <c r="AH4614" s="1"/>
      <c r="AI4614" s="1"/>
      <c r="AJ4614" s="1"/>
      <c r="AK4614" s="1"/>
      <c r="AL4614" s="1"/>
      <c r="AM4614" s="1"/>
      <c r="AN4614" s="1"/>
      <c r="AO4614" s="1"/>
      <c r="AP4614" s="1"/>
      <c r="AQ4614" s="1"/>
      <c r="AR4614" s="1"/>
      <c r="AS4614" s="1"/>
      <c r="AT4614" s="1"/>
      <c r="AU4614" s="1"/>
      <c r="AV4614" s="1"/>
      <c r="AW4614" s="1"/>
      <c r="AX4614" s="1"/>
      <c r="AY4614" s="1"/>
      <c r="AZ4614" s="1"/>
      <c r="BA4614" s="1"/>
      <c r="BB4614" s="1"/>
    </row>
    <row r="4615" ht="204.75" customHeight="1">
      <c r="A4615" s="1">
        <v>6136.0</v>
      </c>
      <c r="B4615" s="2" t="s">
        <v>13061</v>
      </c>
      <c r="C4615" s="2">
        <f>IFERROR(__xludf.DUMMYFUNCTION("split(B4615,""_"")"),710.0)</f>
        <v>710</v>
      </c>
      <c r="D4615" s="2" t="str">
        <f>IFERROR(__xludf.DUMMYFUNCTION("""COMPUTED_VALUE"""),"NTV")</f>
        <v>NTV</v>
      </c>
      <c r="E4615" s="2" t="str">
        <f>IFERROR(__xludf.DUMMYFUNCTION("""COMPUTED_VALUE"""),"土21")</f>
        <v>土21</v>
      </c>
      <c r="F4615" s="2" t="s">
        <v>13062</v>
      </c>
      <c r="G4615" s="2" t="s">
        <v>13075</v>
      </c>
      <c r="H4615" s="1">
        <v>7.0</v>
      </c>
      <c r="J4615" s="1" t="s">
        <v>11</v>
      </c>
      <c r="K4615" s="2" t="s">
        <v>13076</v>
      </c>
      <c r="L4615" s="2"/>
      <c r="M4615" s="2" t="str">
        <f>IFERROR(__xludf.DUMMYFUNCTION("split(split(K4615,""【演出"",false),""ほか"",false)"),"朝日奈(反町隆史)は時々、自分の左手が薄くなることに気付く。田中(児玉清)によると、自分から小木駿介だと明かさなくても、誰かに正体を悟られれば体が消えていくのだという。一方、駿介を思い出させる朝日奈に会うのがつらくなった颯乙(加藤あい)は、四国の実家に帰る決意を固めていた。颯乙の胸の内を知った朝日奈は二度と会わないと決めるが、雛(志田未来)たちから颯乙を引き留めるよう頼まれ、慌てて空港に駆け付ける。")</f>
        <v>朝日奈(反町隆史)は時々、自分の左手が薄くなることに気付く。田中(児玉清)によると、自分から小木駿介だと明かさなくても、誰かに正体を悟られれば体が消えていくのだという。一方、駿介を思い出させる朝日奈に会うのがつらくなった颯乙(加藤あい)は、四国の実家に帰る決意を固めていた。颯乙の胸の内を知った朝日奈は二度と会わないと決めるが、雛(志田未来)たちから颯乙を引き留めるよう頼まれ、慌てて空港に駆け付ける。</v>
      </c>
      <c r="N4615" s="2"/>
      <c r="O4615" s="2"/>
      <c r="P4615" s="1"/>
      <c r="Q4615" s="1"/>
      <c r="R4615" s="1"/>
      <c r="S4615" s="1"/>
      <c r="T4615" s="1"/>
      <c r="U4615" s="1"/>
      <c r="V4615" s="1"/>
      <c r="W4615" s="1"/>
      <c r="X4615" s="1"/>
      <c r="Y4615" s="1"/>
      <c r="Z4615" s="1"/>
      <c r="AA4615" s="1"/>
      <c r="AB4615" s="1"/>
      <c r="AC4615" s="1"/>
      <c r="AD4615" s="1"/>
      <c r="AE4615" s="1"/>
      <c r="AF4615" s="1"/>
      <c r="AG4615" s="1"/>
      <c r="AH4615" s="1"/>
      <c r="AI4615" s="1"/>
      <c r="AJ4615" s="1"/>
      <c r="AK4615" s="1"/>
      <c r="AL4615" s="1"/>
      <c r="AM4615" s="1"/>
      <c r="AN4615" s="1"/>
      <c r="AO4615" s="1"/>
      <c r="AP4615" s="1"/>
      <c r="AQ4615" s="1"/>
      <c r="AR4615" s="1"/>
      <c r="AS4615" s="1"/>
      <c r="AT4615" s="1"/>
      <c r="AU4615" s="1"/>
      <c r="AV4615" s="1"/>
      <c r="AW4615" s="1"/>
      <c r="AX4615" s="1"/>
      <c r="AY4615" s="1"/>
      <c r="AZ4615" s="1"/>
      <c r="BA4615" s="1"/>
      <c r="BB4615" s="1"/>
    </row>
    <row r="4616" ht="204.75" customHeight="1">
      <c r="A4616" s="1">
        <v>6137.0</v>
      </c>
      <c r="B4616" s="2" t="s">
        <v>13061</v>
      </c>
      <c r="C4616" s="2">
        <f>IFERROR(__xludf.DUMMYFUNCTION("split(B4616,""_"")"),710.0)</f>
        <v>710</v>
      </c>
      <c r="D4616" s="2" t="str">
        <f>IFERROR(__xludf.DUMMYFUNCTION("""COMPUTED_VALUE"""),"NTV")</f>
        <v>NTV</v>
      </c>
      <c r="E4616" s="2" t="str">
        <f>IFERROR(__xludf.DUMMYFUNCTION("""COMPUTED_VALUE"""),"土21")</f>
        <v>土21</v>
      </c>
      <c r="F4616" s="2" t="s">
        <v>13062</v>
      </c>
      <c r="G4616" s="2" t="s">
        <v>13077</v>
      </c>
      <c r="H4616" s="1">
        <v>8.0</v>
      </c>
      <c r="J4616" s="1" t="s">
        <v>11</v>
      </c>
      <c r="K4616" s="2" t="s">
        <v>13078</v>
      </c>
      <c r="L4616" s="2"/>
      <c r="M4616" s="2" t="str">
        <f>IFERROR(__xludf.DUMMYFUNCTION("split(split(K4616,""【演出"",false),""ほか"",false)"),"雛(志田未来)の余命が一カ月だと知った朝日奈(反町隆史)は、心臓移植しか助かる道がないと聞き、仕事をすべて部下に任せて情報を集め始める。だが、一カ月という時間がネックとなり、移植ができる可能性は極めて低い。そんな中、雛に好きな男子がいることが発覚。颯乙(加藤あい)に励まされた雛だが、片思いの相手の好きなタイプが”明るくて元気な子”だと知り、ショックのあまり遺書を残して家出をしてしまう。")</f>
        <v>雛(志田未来)の余命が一カ月だと知った朝日奈(反町隆史)は、心臓移植しか助かる道がないと聞き、仕事をすべて部下に任せて情報を集め始める。だが、一カ月という時間がネックとなり、移植ができる可能性は極めて低い。そんな中、雛に好きな男子がいることが発覚。颯乙(加藤あい)に励まされた雛だが、片思いの相手の好きなタイプが”明るくて元気な子”だと知り、ショックのあまり遺書を残して家出をしてしまう。</v>
      </c>
      <c r="N4616" s="2"/>
      <c r="O4616" s="2"/>
      <c r="P4616" s="1"/>
      <c r="Q4616" s="1"/>
      <c r="R4616" s="1"/>
      <c r="S4616" s="1"/>
      <c r="T4616" s="1"/>
      <c r="U4616" s="1"/>
      <c r="V4616" s="1"/>
      <c r="W4616" s="1"/>
      <c r="X4616" s="1"/>
      <c r="Y4616" s="1"/>
      <c r="Z4616" s="1"/>
      <c r="AA4616" s="1"/>
      <c r="AB4616" s="1"/>
      <c r="AC4616" s="1"/>
      <c r="AD4616" s="1"/>
      <c r="AE4616" s="1"/>
      <c r="AF4616" s="1"/>
      <c r="AG4616" s="1"/>
      <c r="AH4616" s="1"/>
      <c r="AI4616" s="1"/>
      <c r="AJ4616" s="1"/>
      <c r="AK4616" s="1"/>
      <c r="AL4616" s="1"/>
      <c r="AM4616" s="1"/>
      <c r="AN4616" s="1"/>
      <c r="AO4616" s="1"/>
      <c r="AP4616" s="1"/>
      <c r="AQ4616" s="1"/>
      <c r="AR4616" s="1"/>
      <c r="AS4616" s="1"/>
      <c r="AT4616" s="1"/>
      <c r="AU4616" s="1"/>
      <c r="AV4616" s="1"/>
      <c r="AW4616" s="1"/>
      <c r="AX4616" s="1"/>
      <c r="AY4616" s="1"/>
      <c r="AZ4616" s="1"/>
      <c r="BA4616" s="1"/>
      <c r="BB4616" s="1"/>
    </row>
    <row r="4617" ht="204.75" customHeight="1">
      <c r="A4617" s="1">
        <v>6138.0</v>
      </c>
      <c r="B4617" s="2" t="s">
        <v>13061</v>
      </c>
      <c r="C4617" s="2">
        <f>IFERROR(__xludf.DUMMYFUNCTION("split(B4617,""_"")"),710.0)</f>
        <v>710</v>
      </c>
      <c r="D4617" s="2" t="str">
        <f>IFERROR(__xludf.DUMMYFUNCTION("""COMPUTED_VALUE"""),"NTV")</f>
        <v>NTV</v>
      </c>
      <c r="E4617" s="2" t="str">
        <f>IFERROR(__xludf.DUMMYFUNCTION("""COMPUTED_VALUE"""),"土21")</f>
        <v>土21</v>
      </c>
      <c r="F4617" s="2" t="s">
        <v>13062</v>
      </c>
      <c r="G4617" s="2" t="s">
        <v>13079</v>
      </c>
      <c r="H4617" s="1">
        <v>9.0</v>
      </c>
      <c r="J4617" s="1" t="s">
        <v>11</v>
      </c>
      <c r="K4617" s="2" t="s">
        <v>13080</v>
      </c>
      <c r="L4617" s="2"/>
      <c r="M4617" s="2" t="str">
        <f>IFERROR(__xludf.DUMMYFUNCTION("split(split(K4617,""【演出"",false),""ほか"",false)"),"治療で渡米する雛(志田未来)のことを、朝日奈(反町隆史)は本当の父親のように心配していた。そんな中、第一次プロテストが三日後に迫る。朝日奈は駿介への思いを引きずる颯乙(加藤あい)のためにも、必ず合格しようと心に誓う。間もなく、雛に田中(児玉清)の姿が見えてしまう事態が発生。死期が迫った人間には”天国への案内人”の姿が見えることがまれにあるという。田中の冷たい言い方に、朝日奈は”雛は死なせない”と反発する。")</f>
        <v>治療で渡米する雛(志田未来)のことを、朝日奈(反町隆史)は本当の父親のように心配していた。そんな中、第一次プロテストが三日後に迫る。朝日奈は駿介への思いを引きずる颯乙(加藤あい)のためにも、必ず合格しようと心に誓う。間もなく、雛に田中(児玉清)の姿が見えてしまう事態が発生。死期が迫った人間には”天国への案内人”の姿が見えることがまれにあるという。田中の冷たい言い方に、朝日奈は”雛は死なせない”と反発する。</v>
      </c>
      <c r="N4617" s="2"/>
      <c r="O4617" s="2"/>
      <c r="P4617" s="1"/>
      <c r="Q4617" s="1"/>
      <c r="R4617" s="1"/>
      <c r="S4617" s="1"/>
      <c r="T4617" s="1"/>
      <c r="U4617" s="1"/>
      <c r="V4617" s="1"/>
      <c r="W4617" s="1"/>
      <c r="X4617" s="1"/>
      <c r="Y4617" s="1"/>
      <c r="Z4617" s="1"/>
      <c r="AA4617" s="1"/>
      <c r="AB4617" s="1"/>
      <c r="AC4617" s="1"/>
      <c r="AD4617" s="1"/>
      <c r="AE4617" s="1"/>
      <c r="AF4617" s="1"/>
      <c r="AG4617" s="1"/>
      <c r="AH4617" s="1"/>
      <c r="AI4617" s="1"/>
      <c r="AJ4617" s="1"/>
      <c r="AK4617" s="1"/>
      <c r="AL4617" s="1"/>
      <c r="AM4617" s="1"/>
      <c r="AN4617" s="1"/>
      <c r="AO4617" s="1"/>
      <c r="AP4617" s="1"/>
      <c r="AQ4617" s="1"/>
      <c r="AR4617" s="1"/>
      <c r="AS4617" s="1"/>
      <c r="AT4617" s="1"/>
      <c r="AU4617" s="1"/>
      <c r="AV4617" s="1"/>
      <c r="AW4617" s="1"/>
      <c r="AX4617" s="1"/>
      <c r="AY4617" s="1"/>
      <c r="AZ4617" s="1"/>
      <c r="BA4617" s="1"/>
      <c r="BB4617" s="1"/>
    </row>
    <row r="4618" ht="204.75" customHeight="1">
      <c r="A4618" s="1">
        <v>6139.0</v>
      </c>
      <c r="B4618" s="2" t="s">
        <v>13061</v>
      </c>
      <c r="C4618" s="2">
        <f>IFERROR(__xludf.DUMMYFUNCTION("split(B4618,""_"")"),710.0)</f>
        <v>710</v>
      </c>
      <c r="D4618" s="2" t="str">
        <f>IFERROR(__xludf.DUMMYFUNCTION("""COMPUTED_VALUE"""),"NTV")</f>
        <v>NTV</v>
      </c>
      <c r="E4618" s="2" t="str">
        <f>IFERROR(__xludf.DUMMYFUNCTION("""COMPUTED_VALUE"""),"土21")</f>
        <v>土21</v>
      </c>
      <c r="F4618" s="2" t="s">
        <v>13062</v>
      </c>
      <c r="G4618" s="2" t="s">
        <v>13081</v>
      </c>
      <c r="H4618" s="1">
        <v>10.0</v>
      </c>
      <c r="J4618" s="1" t="s">
        <v>11</v>
      </c>
      <c r="K4618" s="2" t="s">
        <v>13082</v>
      </c>
      <c r="L4618" s="2"/>
      <c r="M4618" s="2" t="str">
        <f>IFERROR(__xludf.DUMMYFUNCTION("split(split(K4618,""【演出"",false),""ほか"",false)"),"朝日奈(反町隆史)の中に駿介が宿っていると気付いた颯乙(加藤あい)は、二次テストで着けてほしいと駿介の指輪を差し出す。”左手の薬指に”という指定に一瞬ためらう朝日奈だが、颯乙の強い表情を見て指輪を受け取る。だがテスト当日、朝日奈が球場に行こうとした直後に雛(志田未来)が昏倒(こんとう)。病院に運び込まれた雛に付き添う朝日奈だったが、意識を取り戻した雛から、テストを受けるよう頼まれる。")</f>
        <v>朝日奈(反町隆史)の中に駿介が宿っていると気付いた颯乙(加藤あい)は、二次テストで着けてほしいと駿介の指輪を差し出す。”左手の薬指に”という指定に一瞬ためらう朝日奈だが、颯乙の強い表情を見て指輪を受け取る。だがテスト当日、朝日奈が球場に行こうとした直後に雛(志田未来)が昏倒(こんとう)。病院に運び込まれた雛に付き添う朝日奈だったが、意識を取り戻した雛から、テストを受けるよう頼まれる。</v>
      </c>
      <c r="N4618" s="2"/>
      <c r="O4618" s="2"/>
      <c r="P4618" s="1"/>
      <c r="Q4618" s="1"/>
      <c r="R4618" s="1"/>
      <c r="S4618" s="1"/>
      <c r="T4618" s="1"/>
      <c r="U4618" s="1"/>
      <c r="V4618" s="1"/>
      <c r="W4618" s="1"/>
      <c r="X4618" s="1"/>
      <c r="Y4618" s="1"/>
      <c r="Z4618" s="1"/>
      <c r="AA4618" s="1"/>
      <c r="AB4618" s="1"/>
      <c r="AC4618" s="1"/>
      <c r="AD4618" s="1"/>
      <c r="AE4618" s="1"/>
      <c r="AF4618" s="1"/>
      <c r="AG4618" s="1"/>
      <c r="AH4618" s="1"/>
      <c r="AI4618" s="1"/>
      <c r="AJ4618" s="1"/>
      <c r="AK4618" s="1"/>
      <c r="AL4618" s="1"/>
      <c r="AM4618" s="1"/>
      <c r="AN4618" s="1"/>
      <c r="AO4618" s="1"/>
      <c r="AP4618" s="1"/>
      <c r="AQ4618" s="1"/>
      <c r="AR4618" s="1"/>
      <c r="AS4618" s="1"/>
      <c r="AT4618" s="1"/>
      <c r="AU4618" s="1"/>
      <c r="AV4618" s="1"/>
      <c r="AW4618" s="1"/>
      <c r="AX4618" s="1"/>
      <c r="AY4618" s="1"/>
      <c r="AZ4618" s="1"/>
      <c r="BA4618" s="1"/>
      <c r="BB4618" s="1"/>
    </row>
    <row r="4619" ht="204.75" customHeight="1">
      <c r="A4619" s="1">
        <v>22.0</v>
      </c>
      <c r="B4619" s="2" t="s">
        <v>13083</v>
      </c>
      <c r="C4619" s="2">
        <f>IFERROR(__xludf.DUMMYFUNCTION("split(B4619,""_"")"),1910.0)</f>
        <v>1910</v>
      </c>
      <c r="D4619" s="2" t="str">
        <f>IFERROR(__xludf.DUMMYFUNCTION("""COMPUTED_VALUE"""),"TBS")</f>
        <v>TBS</v>
      </c>
      <c r="E4619" s="2" t="str">
        <f>IFERROR(__xludf.DUMMYFUNCTION("""COMPUTED_VALUE"""),"火22")</f>
        <v>火22</v>
      </c>
      <c r="F4619" s="2" t="s">
        <v>13084</v>
      </c>
      <c r="G4619" s="2" t="s">
        <v>13085</v>
      </c>
      <c r="H4619" s="1">
        <v>1.0</v>
      </c>
      <c r="J4619" s="1" t="s">
        <v>82</v>
      </c>
      <c r="K4619" s="2" t="s">
        <v>13086</v>
      </c>
      <c r="L4619" s="2"/>
      <c r="M4619" s="2" t="str">
        <f>IFERROR(__xludf.DUMMYFUNCTION("split(split(K4619,""【"",false),""公式LINE"",false)"),"「ごめん、今になって」「好きな子がいる」と、小暮也映子(波瑠)は寿退社間近に婚約者から婚約破棄を告げられる。放心状態でフラフラと立ち寄ったショッピングモールで「G線上のアリア」の生演奏を耳にしたのをきっかけに、大人のバイオリン教室に通い始める。教室で同じクラスになったのはイマドキの大学生・加瀬理人(中川大志)と主婦の北河幸恵(松下由樹)。人間関係もバイオリンも一筋縄ではいかない3人を取り巻く人間模様と、それぞれの想いが交錯していく…。")</f>
        <v>「ごめん、今になって」「好きな子がいる」と、小暮也映子(波瑠)は寿退社間近に婚約者から婚約破棄を告げられる。放心状態でフラフラと立ち寄ったショッピングモールで「G線上のアリア」の生演奏を耳にしたのをきっかけに、大人のバイオリン教室に通い始める。教室で同じクラスになったのはイマドキの大学生・加瀬理人(中川大志)と主婦の北河幸恵(松下由樹)。人間関係もバイオリンも一筋縄ではいかない3人を取り巻く人間模様と、それぞれの想いが交錯していく…。</v>
      </c>
      <c r="N4619" s="2"/>
      <c r="O4619" s="2"/>
      <c r="P4619" s="2"/>
      <c r="Q4619" s="2"/>
      <c r="R4619" s="2"/>
      <c r="S4619" s="2"/>
      <c r="T4619" s="2"/>
      <c r="U4619" s="2"/>
      <c r="V4619" s="2"/>
      <c r="W4619" s="2"/>
      <c r="X4619" s="2"/>
      <c r="Y4619" s="2"/>
      <c r="Z4619" s="2"/>
      <c r="AA4619" s="2"/>
      <c r="AB4619" s="2"/>
      <c r="AC4619" s="2"/>
      <c r="AD4619" s="2"/>
      <c r="AE4619" s="2"/>
      <c r="AF4619" s="2"/>
      <c r="AG4619" s="2"/>
      <c r="AH4619" s="2"/>
      <c r="AI4619" s="2"/>
      <c r="AJ4619" s="2"/>
      <c r="AK4619" s="2"/>
      <c r="AL4619" s="2"/>
      <c r="AM4619" s="2"/>
      <c r="AN4619" s="2"/>
      <c r="AO4619" s="2"/>
      <c r="AP4619" s="2"/>
      <c r="AQ4619" s="2"/>
      <c r="AR4619" s="2"/>
      <c r="AS4619" s="2"/>
      <c r="AT4619" s="2"/>
      <c r="AU4619" s="2"/>
      <c r="AV4619" s="2"/>
      <c r="AW4619" s="2"/>
      <c r="AX4619" s="2"/>
      <c r="AY4619" s="2"/>
      <c r="AZ4619" s="2"/>
      <c r="BA4619" s="2"/>
      <c r="BB4619" s="2"/>
    </row>
    <row r="4620" ht="204.75" customHeight="1">
      <c r="A4620" s="1">
        <v>23.0</v>
      </c>
      <c r="B4620" s="2" t="s">
        <v>13083</v>
      </c>
      <c r="C4620" s="2">
        <f>IFERROR(__xludf.DUMMYFUNCTION("split(B4620,""_"")"),1910.0)</f>
        <v>1910</v>
      </c>
      <c r="D4620" s="2" t="str">
        <f>IFERROR(__xludf.DUMMYFUNCTION("""COMPUTED_VALUE"""),"TBS")</f>
        <v>TBS</v>
      </c>
      <c r="E4620" s="2" t="str">
        <f>IFERROR(__xludf.DUMMYFUNCTION("""COMPUTED_VALUE"""),"火22")</f>
        <v>火22</v>
      </c>
      <c r="F4620" s="2" t="s">
        <v>13084</v>
      </c>
      <c r="G4620" s="2" t="s">
        <v>13087</v>
      </c>
      <c r="H4620" s="1">
        <v>2.0</v>
      </c>
      <c r="J4620" s="1" t="s">
        <v>86</v>
      </c>
      <c r="K4620" s="2" t="s">
        <v>13088</v>
      </c>
      <c r="L4620" s="2"/>
      <c r="M4620" s="2" t="str">
        <f>IFERROR(__xludf.DUMMYFUNCTION("split(split(K4620,""【"",false),""公式LINE"",false)"),"初めての発表会を前に、練習に熱が入る也映子(波瑠)、理人(中川大志)、幸恵(松下由樹)。発表会当日、婚約者への未練を断ち切るため、結婚式の二次会で着る予定だったワンピースで現れた也映子。也映子の普段とのギャップに照れる理人と、そんな理人の反応を楽しむ幸恵だったが、いつにも増して3人の間には緊張感が漂っていた。発表会後に幸恵は、夫の弘章(小木博明)と姑の由実子(夏樹陽子)が不在の週末に、自宅で練習会を行わないかと提案。娘・多実(矢崎由紗)のピアノ伴奏に合わせ練習しているところに由実子が突然帰宅。ショックを受"&amp;"ける幸恵だが、理人が思いがけない言葉を掛ける。2人の姿を見て、何だかもやもやする也映子…")</f>
        <v>初めての発表会を前に、練習に熱が入る也映子(波瑠)、理人(中川大志)、幸恵(松下由樹)。発表会当日、婚約者への未練を断ち切るため、結婚式の二次会で着る予定だったワンピースで現れた也映子。也映子の普段とのギャップに照れる理人と、そんな理人の反応を楽しむ幸恵だったが、いつにも増して3人の間には緊張感が漂っていた。発表会後に幸恵は、夫の弘章(小木博明)と姑の由実子(夏樹陽子)が不在の週末に、自宅で練習会を行わないかと提案。娘・多実(矢崎由紗)のピアノ伴奏に合わせ練習しているところに由実子が突然帰宅。ショックを受ける幸恵だが、理人が思いがけない言葉を掛ける。2人の姿を見て、何だかもやもやする也映子…</v>
      </c>
      <c r="N4620" s="2"/>
      <c r="O4620" s="2"/>
      <c r="P4620" s="2"/>
      <c r="Q4620" s="2"/>
      <c r="R4620" s="2"/>
      <c r="S4620" s="2"/>
      <c r="T4620" s="2"/>
      <c r="U4620" s="2"/>
      <c r="V4620" s="2"/>
      <c r="W4620" s="2"/>
      <c r="X4620" s="2"/>
      <c r="Y4620" s="2"/>
      <c r="Z4620" s="2"/>
      <c r="AA4620" s="2"/>
      <c r="AB4620" s="2"/>
      <c r="AC4620" s="2"/>
      <c r="AD4620" s="2"/>
      <c r="AE4620" s="2"/>
      <c r="AF4620" s="2"/>
      <c r="AG4620" s="2"/>
      <c r="AH4620" s="2"/>
      <c r="AI4620" s="2"/>
      <c r="AJ4620" s="2"/>
      <c r="AK4620" s="2"/>
      <c r="AL4620" s="2"/>
      <c r="AM4620" s="2"/>
      <c r="AN4620" s="2"/>
      <c r="AO4620" s="2"/>
      <c r="AP4620" s="2"/>
      <c r="AQ4620" s="2"/>
      <c r="AR4620" s="2"/>
      <c r="AS4620" s="2"/>
      <c r="AT4620" s="2"/>
      <c r="AU4620" s="2"/>
      <c r="AV4620" s="2"/>
      <c r="AW4620" s="2"/>
      <c r="AX4620" s="2"/>
      <c r="AY4620" s="2"/>
      <c r="AZ4620" s="2"/>
      <c r="BA4620" s="2"/>
      <c r="BB4620" s="2"/>
    </row>
    <row r="4621" ht="204.75" customHeight="1">
      <c r="A4621" s="1">
        <v>24.0</v>
      </c>
      <c r="B4621" s="2" t="s">
        <v>13083</v>
      </c>
      <c r="C4621" s="2">
        <f>IFERROR(__xludf.DUMMYFUNCTION("split(B4621,""_"")"),1910.0)</f>
        <v>1910</v>
      </c>
      <c r="D4621" s="2" t="str">
        <f>IFERROR(__xludf.DUMMYFUNCTION("""COMPUTED_VALUE"""),"TBS")</f>
        <v>TBS</v>
      </c>
      <c r="E4621" s="2" t="str">
        <f>IFERROR(__xludf.DUMMYFUNCTION("""COMPUTED_VALUE"""),"火22")</f>
        <v>火22</v>
      </c>
      <c r="F4621" s="2" t="s">
        <v>13084</v>
      </c>
      <c r="G4621" s="2" t="s">
        <v>13089</v>
      </c>
      <c r="H4621" s="1">
        <v>3.0</v>
      </c>
      <c r="J4621" s="1" t="s">
        <v>86</v>
      </c>
      <c r="K4621" s="2" t="s">
        <v>13090</v>
      </c>
      <c r="L4621" s="2"/>
      <c r="M4621" s="2" t="str">
        <f>IFERROR(__xludf.DUMMYFUNCTION("split(split(K4621,""【"",false),""公式LINE"",false)"),"秋の発表会で「G線上のアリア」を披露することを決めた也映子(波瑠)。理人(中川大志)のスパルタ指導のかいもあって、也映子と幸恵(松下由樹)ら3人の仲も深まってきた。そんな折、眞於(桜井ユキ)の個人レッスンを受けている金髪のバンドマンが眞於をデートに誘う姿を見て嫉妬する理人…。一方、理人の眞於への真っすぐな恋心を知った也映子は、ふざけてからかってしまったことを後悔していた。発表会が近づき練習に余念のない也映子だったが、家庭や学校と3人の予定が合わない日々に淋しい気持ちになる。ついに訪れた発表会当日、緊張と期"&amp;"待に胸を膨らませる也映子の元に幸恵から一本の電話がかかってくる…")</f>
        <v>秋の発表会で「G線上のアリア」を披露することを決めた也映子(波瑠)。理人(中川大志)のスパルタ指導のかいもあって、也映子と幸恵(松下由樹)ら3人の仲も深まってきた。そんな折、眞於(桜井ユキ)の個人レッスンを受けている金髪のバンドマンが眞於をデートに誘う姿を見て嫉妬する理人…。一方、理人の眞於への真っすぐな恋心を知った也映子は、ふざけてからかってしまったことを後悔していた。発表会が近づき練習に余念のない也映子だったが、家庭や学校と3人の予定が合わない日々に淋しい気持ちになる。ついに訪れた発表会当日、緊張と期待に胸を膨らませる也映子の元に幸恵から一本の電話がかかってくる…</v>
      </c>
      <c r="N4621" s="2"/>
      <c r="O4621" s="2"/>
      <c r="P4621" s="2"/>
      <c r="Q4621" s="2"/>
      <c r="R4621" s="2"/>
      <c r="S4621" s="2"/>
      <c r="T4621" s="2"/>
      <c r="U4621" s="2"/>
      <c r="V4621" s="2"/>
      <c r="W4621" s="2"/>
      <c r="X4621" s="2"/>
      <c r="Y4621" s="2"/>
      <c r="Z4621" s="2"/>
      <c r="AA4621" s="2"/>
      <c r="AB4621" s="2"/>
      <c r="AC4621" s="2"/>
      <c r="AD4621" s="2"/>
      <c r="AE4621" s="2"/>
      <c r="AF4621" s="2"/>
      <c r="AG4621" s="2"/>
      <c r="AH4621" s="2"/>
      <c r="AI4621" s="2"/>
      <c r="AJ4621" s="2"/>
      <c r="AK4621" s="2"/>
      <c r="AL4621" s="2"/>
      <c r="AM4621" s="2"/>
      <c r="AN4621" s="2"/>
      <c r="AO4621" s="2"/>
      <c r="AP4621" s="2"/>
      <c r="AQ4621" s="2"/>
      <c r="AR4621" s="2"/>
      <c r="AS4621" s="2"/>
      <c r="AT4621" s="2"/>
      <c r="AU4621" s="2"/>
      <c r="AV4621" s="2"/>
      <c r="AW4621" s="2"/>
      <c r="AX4621" s="2"/>
      <c r="AY4621" s="2"/>
      <c r="AZ4621" s="2"/>
      <c r="BA4621" s="2"/>
      <c r="BB4621" s="2"/>
    </row>
    <row r="4622" ht="204.75" customHeight="1">
      <c r="A4622" s="1">
        <v>25.0</v>
      </c>
      <c r="B4622" s="2" t="s">
        <v>13083</v>
      </c>
      <c r="C4622" s="2">
        <f>IFERROR(__xludf.DUMMYFUNCTION("split(B4622,""_"")"),1910.0)</f>
        <v>1910</v>
      </c>
      <c r="D4622" s="2" t="str">
        <f>IFERROR(__xludf.DUMMYFUNCTION("""COMPUTED_VALUE"""),"TBS")</f>
        <v>TBS</v>
      </c>
      <c r="E4622" s="2" t="str">
        <f>IFERROR(__xludf.DUMMYFUNCTION("""COMPUTED_VALUE"""),"火22")</f>
        <v>火22</v>
      </c>
      <c r="F4622" s="2" t="s">
        <v>13084</v>
      </c>
      <c r="G4622" s="2" t="s">
        <v>13091</v>
      </c>
      <c r="H4622" s="1">
        <v>4.0</v>
      </c>
      <c r="J4622" s="1" t="s">
        <v>86</v>
      </c>
      <c r="K4622" s="2" t="s">
        <v>13092</v>
      </c>
      <c r="L4622" s="2"/>
      <c r="M4622" s="2" t="str">
        <f>IFERROR(__xludf.DUMMYFUNCTION("split(split(K4622,""【"",false),""公式LINE"",false)"),"秋の発表会を終え、心機一転、就職活動を始めた也映子(波瑠)。しかし、これまでに経験のない音楽関係を希望するがゆえに難航。さらに、打ち上げで酔っぱらった理人(中川大志)の予想外の一言に心は混乱しているが、理人は覚えていないよう…そんな中、也映子は姑・由実子(夏樹陽子)のリハビリに付き添う幸恵(松下由樹)に、3人でミニコンサートを開かないかと提案する。前向きな返事をした幸恵だったが後日、何も告げずにバイオリン教室を退会してしまう。幸恵と理人との最後のレッスンの日、也映子は二人に教室に顔を出して欲しいと連絡する"&amp;"が、二人とも来ないと連絡が入る。也映子は納得がいかず、理人のところに説得に向かい…")</f>
        <v>秋の発表会を終え、心機一転、就職活動を始めた也映子(波瑠)。しかし、これまでに経験のない音楽関係を希望するがゆえに難航。さらに、打ち上げで酔っぱらった理人(中川大志)の予想外の一言に心は混乱しているが、理人は覚えていないよう…そんな中、也映子は姑・由実子(夏樹陽子)のリハビリに付き添う幸恵(松下由樹)に、3人でミニコンサートを開かないかと提案する。前向きな返事をした幸恵だったが後日、何も告げずにバイオリン教室を退会してしまう。幸恵と理人との最後のレッスンの日、也映子は二人に教室に顔を出して欲しいと連絡するが、二人とも来ないと連絡が入る。也映子は納得がいかず、理人のところに説得に向かい…</v>
      </c>
      <c r="N4622" s="2"/>
      <c r="O4622" s="2"/>
      <c r="P4622" s="2"/>
      <c r="Q4622" s="2"/>
      <c r="R4622" s="2"/>
      <c r="S4622" s="2"/>
      <c r="T4622" s="2"/>
      <c r="U4622" s="2"/>
      <c r="V4622" s="2"/>
      <c r="W4622" s="2"/>
      <c r="X4622" s="2"/>
      <c r="Y4622" s="2"/>
      <c r="Z4622" s="2"/>
      <c r="AA4622" s="2"/>
      <c r="AB4622" s="2"/>
      <c r="AC4622" s="2"/>
      <c r="AD4622" s="2"/>
      <c r="AE4622" s="2"/>
      <c r="AF4622" s="2"/>
      <c r="AG4622" s="2"/>
      <c r="AH4622" s="2"/>
      <c r="AI4622" s="2"/>
      <c r="AJ4622" s="2"/>
      <c r="AK4622" s="2"/>
      <c r="AL4622" s="2"/>
      <c r="AM4622" s="2"/>
      <c r="AN4622" s="2"/>
      <c r="AO4622" s="2"/>
      <c r="AP4622" s="2"/>
      <c r="AQ4622" s="2"/>
      <c r="AR4622" s="2"/>
      <c r="AS4622" s="2"/>
      <c r="AT4622" s="2"/>
      <c r="AU4622" s="2"/>
      <c r="AV4622" s="2"/>
      <c r="AW4622" s="2"/>
      <c r="AX4622" s="2"/>
      <c r="AY4622" s="2"/>
      <c r="AZ4622" s="2"/>
      <c r="BA4622" s="2"/>
      <c r="BB4622" s="2"/>
    </row>
    <row r="4623" ht="204.75" customHeight="1">
      <c r="A4623" s="1">
        <v>26.0</v>
      </c>
      <c r="B4623" s="2" t="s">
        <v>13083</v>
      </c>
      <c r="C4623" s="2">
        <f>IFERROR(__xludf.DUMMYFUNCTION("split(B4623,""_"")"),1910.0)</f>
        <v>1910</v>
      </c>
      <c r="D4623" s="2" t="str">
        <f>IFERROR(__xludf.DUMMYFUNCTION("""COMPUTED_VALUE"""),"TBS")</f>
        <v>TBS</v>
      </c>
      <c r="E4623" s="2" t="str">
        <f>IFERROR(__xludf.DUMMYFUNCTION("""COMPUTED_VALUE"""),"火22")</f>
        <v>火22</v>
      </c>
      <c r="F4623" s="2" t="s">
        <v>13084</v>
      </c>
      <c r="G4623" s="2" t="s">
        <v>13093</v>
      </c>
      <c r="H4623" s="1">
        <v>5.0</v>
      </c>
      <c r="J4623" s="1" t="s">
        <v>86</v>
      </c>
      <c r="K4623" s="2" t="s">
        <v>13094</v>
      </c>
      <c r="L4623" s="2"/>
      <c r="M4623" s="2" t="str">
        <f>IFERROR(__xludf.DUMMYFUNCTION("split(split(K4623,""【"",false),""公式LINE"",false)"),"就活に加え、婚活をはじめた矢先、元婚約者の智史(森岡龍)と偶然再会した也映子(波瑠)。智史の近況を聞き、懐かしい気持ちになるが、なぜか頭には理人(中川大志)の姿がチラつく。そんな中也映子は、婚活パーティーで地味だが誠実そうな白鳥(えなりかずき)とカップル成立。白鳥の人柄に好感を持つが、どこか腑に落ちないものを感じていた…一方、バイオリン教室を退会していた幸恵(松下由樹)から練習会に誘われた也映子と理人。しかし、久しぶりに3人で集まれると大喜びの也映子の元に、突然白鳥からデートの誘いが。幸恵の後押しもありデ"&amp;"ートに向かった也映子だが、理人はそんな也映子の行動が気に入らない様子で…")</f>
        <v>就活に加え、婚活をはじめた矢先、元婚約者の智史(森岡龍)と偶然再会した也映子(波瑠)。智史の近況を聞き、懐かしい気持ちになるが、なぜか頭には理人(中川大志)の姿がチラつく。そんな中也映子は、婚活パーティーで地味だが誠実そうな白鳥(えなりかずき)とカップル成立。白鳥の人柄に好感を持つが、どこか腑に落ちないものを感じていた…一方、バイオリン教室を退会していた幸恵(松下由樹)から練習会に誘われた也映子と理人。しかし、久しぶりに3人で集まれると大喜びの也映子の元に、突然白鳥からデートの誘いが。幸恵の後押しもありデートに向かった也映子だが、理人はそんな也映子の行動が気に入らない様子で…</v>
      </c>
      <c r="N4623" s="2"/>
      <c r="O4623" s="2"/>
      <c r="P4623" s="2"/>
      <c r="Q4623" s="2"/>
      <c r="R4623" s="2"/>
      <c r="S4623" s="2"/>
      <c r="T4623" s="2"/>
      <c r="U4623" s="2"/>
      <c r="V4623" s="2"/>
      <c r="W4623" s="2"/>
      <c r="X4623" s="2"/>
      <c r="Y4623" s="2"/>
      <c r="Z4623" s="2"/>
      <c r="AA4623" s="2"/>
      <c r="AB4623" s="2"/>
      <c r="AC4623" s="2"/>
      <c r="AD4623" s="2"/>
      <c r="AE4623" s="2"/>
      <c r="AF4623" s="2"/>
      <c r="AG4623" s="2"/>
      <c r="AH4623" s="2"/>
      <c r="AI4623" s="2"/>
      <c r="AJ4623" s="2"/>
      <c r="AK4623" s="2"/>
      <c r="AL4623" s="2"/>
      <c r="AM4623" s="2"/>
      <c r="AN4623" s="2"/>
      <c r="AO4623" s="2"/>
      <c r="AP4623" s="2"/>
      <c r="AQ4623" s="2"/>
      <c r="AR4623" s="2"/>
      <c r="AS4623" s="2"/>
      <c r="AT4623" s="2"/>
      <c r="AU4623" s="2"/>
      <c r="AV4623" s="2"/>
      <c r="AW4623" s="2"/>
      <c r="AX4623" s="2"/>
      <c r="AY4623" s="2"/>
      <c r="AZ4623" s="2"/>
      <c r="BA4623" s="2"/>
      <c r="BB4623" s="2"/>
    </row>
    <row r="4624" ht="204.75" customHeight="1">
      <c r="A4624" s="1">
        <v>27.0</v>
      </c>
      <c r="B4624" s="2" t="s">
        <v>13083</v>
      </c>
      <c r="C4624" s="2">
        <f>IFERROR(__xludf.DUMMYFUNCTION("split(B4624,""_"")"),1910.0)</f>
        <v>1910</v>
      </c>
      <c r="D4624" s="2" t="str">
        <f>IFERROR(__xludf.DUMMYFUNCTION("""COMPUTED_VALUE"""),"TBS")</f>
        <v>TBS</v>
      </c>
      <c r="E4624" s="2" t="str">
        <f>IFERROR(__xludf.DUMMYFUNCTION("""COMPUTED_VALUE"""),"火22")</f>
        <v>火22</v>
      </c>
      <c r="F4624" s="2" t="s">
        <v>13084</v>
      </c>
      <c r="G4624" s="2" t="s">
        <v>13095</v>
      </c>
      <c r="H4624" s="1">
        <v>6.0</v>
      </c>
      <c r="J4624" s="1" t="s">
        <v>86</v>
      </c>
      <c r="K4624" s="2" t="s">
        <v>13096</v>
      </c>
      <c r="L4624" s="2"/>
      <c r="M4624" s="2" t="str">
        <f>IFERROR(__xludf.DUMMYFUNCTION("split(split(K4624,""【"",false),""公式LINE"",false)"),"婚活パーティーで白鳥(えなりかずき)とカップルになったものの、也映子(波瑠)は交際を断り、婚活サイトも退会する。気分を新たに、理人(中川大志)とコンサートの計画を立てていると、理人に好意を寄せる結愛(小西はる)が現れる。理人にバイオリンを教わり、嬉しそうな笑顔を見せる結愛。居心地の悪さを感じた也映子はカラオケを飛び出す。理人は、兄・侑人(鈴木伸之)が眞於(桜井ユキ)と密会していたことを知り、激怒する。そして、也映子、理人、幸恵が久しぶりに揃っての合同練習の日。久しぶりの集合に喜ぶ也映子だったが、理人のある"&amp;"一言で傷つき、気まずくなってしまう。そんななか、ある日並木楽器店で也映子と理人は偶然…!")</f>
        <v>婚活パーティーで白鳥(えなりかずき)とカップルになったものの、也映子(波瑠)は交際を断り、婚活サイトも退会する。気分を新たに、理人(中川大志)とコンサートの計画を立てていると、理人に好意を寄せる結愛(小西はる)が現れる。理人にバイオリンを教わり、嬉しそうな笑顔を見せる結愛。居心地の悪さを感じた也映子はカラオケを飛び出す。理人は、兄・侑人(鈴木伸之)が眞於(桜井ユキ)と密会していたことを知り、激怒する。そして、也映子、理人、幸恵が久しぶりに揃っての合同練習の日。久しぶりの集合に喜ぶ也映子だったが、理人のある一言で傷つき、気まずくなってしまう。そんななか、ある日並木楽器店で也映子と理人は偶然…!</v>
      </c>
      <c r="N4624" s="2"/>
      <c r="O4624" s="2"/>
      <c r="P4624" s="2"/>
      <c r="Q4624" s="2"/>
      <c r="R4624" s="2"/>
      <c r="S4624" s="2"/>
      <c r="T4624" s="2"/>
      <c r="U4624" s="2"/>
      <c r="V4624" s="2"/>
      <c r="W4624" s="2"/>
      <c r="X4624" s="2"/>
      <c r="Y4624" s="2"/>
      <c r="Z4624" s="2"/>
      <c r="AA4624" s="2"/>
      <c r="AB4624" s="2"/>
      <c r="AC4624" s="2"/>
      <c r="AD4624" s="2"/>
      <c r="AE4624" s="2"/>
      <c r="AF4624" s="2"/>
      <c r="AG4624" s="2"/>
      <c r="AH4624" s="2"/>
      <c r="AI4624" s="2"/>
      <c r="AJ4624" s="2"/>
      <c r="AK4624" s="2"/>
      <c r="AL4624" s="2"/>
      <c r="AM4624" s="2"/>
      <c r="AN4624" s="2"/>
      <c r="AO4624" s="2"/>
      <c r="AP4624" s="2"/>
      <c r="AQ4624" s="2"/>
      <c r="AR4624" s="2"/>
      <c r="AS4624" s="2"/>
      <c r="AT4624" s="2"/>
      <c r="AU4624" s="2"/>
      <c r="AV4624" s="2"/>
      <c r="AW4624" s="2"/>
      <c r="AX4624" s="2"/>
      <c r="AY4624" s="2"/>
      <c r="AZ4624" s="2"/>
      <c r="BA4624" s="2"/>
      <c r="BB4624" s="2"/>
    </row>
    <row r="4625" ht="204.75" customHeight="1">
      <c r="A4625" s="1">
        <v>28.0</v>
      </c>
      <c r="B4625" s="2" t="s">
        <v>13083</v>
      </c>
      <c r="C4625" s="2">
        <f>IFERROR(__xludf.DUMMYFUNCTION("split(B4625,""_"")"),1910.0)</f>
        <v>1910</v>
      </c>
      <c r="D4625" s="2" t="str">
        <f>IFERROR(__xludf.DUMMYFUNCTION("""COMPUTED_VALUE"""),"TBS")</f>
        <v>TBS</v>
      </c>
      <c r="E4625" s="2" t="str">
        <f>IFERROR(__xludf.DUMMYFUNCTION("""COMPUTED_VALUE"""),"火22")</f>
        <v>火22</v>
      </c>
      <c r="F4625" s="2" t="s">
        <v>13084</v>
      </c>
      <c r="G4625" s="2" t="s">
        <v>13097</v>
      </c>
      <c r="H4625" s="1">
        <v>7.0</v>
      </c>
      <c r="J4625" s="1" t="s">
        <v>86</v>
      </c>
      <c r="K4625" s="2" t="s">
        <v>13098</v>
      </c>
      <c r="L4625" s="2"/>
      <c r="M4625" s="2" t="str">
        <f>IFERROR(__xludf.DUMMYFUNCTION("split(split(K4625,""【"",false),""公式LINE"",false)"),"大学の臨床実習で忙しい理人(中川大志)や、娘の受験を控える幸恵(松下由樹)を慮る也映子(波瑠)は、3人でのコンサートの延期を提案する。明るく振る舞う也映子にほっとしつつも、理人はどこか寂しさを感じていた。そんな中、也映子の再就職が決まる。忙しさのあまりバイオリンの練習時間を捻出できず、理人や幸恵ともすれ違う。一方、治療の効果を感じた眞於(桜井ユキ)は演奏会に出ることを決意する。バイオリンと再び向き合い始めたが演奏会直後、突然音楽教室に辞めたいと伝え連絡も取れなくなる…心配する3人だったが、也映子は理人に眞"&amp;"於のところに行くように言う。しかし、行かせてから自分の気持ちに気づき…")</f>
        <v>大学の臨床実習で忙しい理人(中川大志)や、娘の受験を控える幸恵(松下由樹)を慮る也映子(波瑠)は、3人でのコンサートの延期を提案する。明るく振る舞う也映子にほっとしつつも、理人はどこか寂しさを感じていた。そんな中、也映子の再就職が決まる。忙しさのあまりバイオリンの練習時間を捻出できず、理人や幸恵ともすれ違う。一方、治療の効果を感じた眞於(桜井ユキ)は演奏会に出ることを決意する。バイオリンと再び向き合い始めたが演奏会直後、突然音楽教室に辞めたいと伝え連絡も取れなくなる…心配する3人だったが、也映子は理人に眞於のところに行くように言う。しかし、行かせてから自分の気持ちに気づき…</v>
      </c>
      <c r="N4625" s="2"/>
      <c r="O4625" s="2"/>
      <c r="P4625" s="2"/>
      <c r="Q4625" s="2"/>
      <c r="R4625" s="2"/>
      <c r="S4625" s="2"/>
      <c r="T4625" s="2"/>
      <c r="U4625" s="2"/>
      <c r="V4625" s="2"/>
      <c r="W4625" s="2"/>
      <c r="X4625" s="2"/>
      <c r="Y4625" s="2"/>
      <c r="Z4625" s="2"/>
      <c r="AA4625" s="2"/>
      <c r="AB4625" s="2"/>
      <c r="AC4625" s="2"/>
      <c r="AD4625" s="2"/>
      <c r="AE4625" s="2"/>
      <c r="AF4625" s="2"/>
      <c r="AG4625" s="2"/>
      <c r="AH4625" s="2"/>
      <c r="AI4625" s="2"/>
      <c r="AJ4625" s="2"/>
      <c r="AK4625" s="2"/>
      <c r="AL4625" s="2"/>
      <c r="AM4625" s="2"/>
      <c r="AN4625" s="2"/>
      <c r="AO4625" s="2"/>
      <c r="AP4625" s="2"/>
      <c r="AQ4625" s="2"/>
      <c r="AR4625" s="2"/>
      <c r="AS4625" s="2"/>
      <c r="AT4625" s="2"/>
      <c r="AU4625" s="2"/>
      <c r="AV4625" s="2"/>
      <c r="AW4625" s="2"/>
      <c r="AX4625" s="2"/>
      <c r="AY4625" s="2"/>
      <c r="AZ4625" s="2"/>
      <c r="BA4625" s="2"/>
      <c r="BB4625" s="2"/>
    </row>
    <row r="4626" ht="204.75" customHeight="1">
      <c r="A4626" s="1">
        <v>29.0</v>
      </c>
      <c r="B4626" s="2" t="s">
        <v>13083</v>
      </c>
      <c r="C4626" s="2">
        <f>IFERROR(__xludf.DUMMYFUNCTION("split(B4626,""_"")"),1910.0)</f>
        <v>1910</v>
      </c>
      <c r="D4626" s="2" t="str">
        <f>IFERROR(__xludf.DUMMYFUNCTION("""COMPUTED_VALUE"""),"TBS")</f>
        <v>TBS</v>
      </c>
      <c r="E4626" s="2" t="str">
        <f>IFERROR(__xludf.DUMMYFUNCTION("""COMPUTED_VALUE"""),"火22")</f>
        <v>火22</v>
      </c>
      <c r="F4626" s="2" t="s">
        <v>13084</v>
      </c>
      <c r="G4626" s="2" t="s">
        <v>13099</v>
      </c>
      <c r="H4626" s="1">
        <v>8.0</v>
      </c>
      <c r="J4626" s="1" t="s">
        <v>86</v>
      </c>
      <c r="K4626" s="2" t="s">
        <v>13100</v>
      </c>
      <c r="L4626" s="2"/>
      <c r="M4626" s="2" t="str">
        <f>IFERROR(__xludf.DUMMYFUNCTION("split(split(K4626,""【"",false),""公式LINE"",false)"),"理人(中川大志)に傷心している眞於(桜井ユキ)の元を訪ねるように自ら後押しした也映子(波瑠)。しかし、その後自分の気持ちに気づき、思わず幸恵(松下由樹)に本音を吐露し、泣き出してしまう。一方で、理人は眞於の元に行ったことで、自分の也映子へ対する恋心を自覚しはじめる。その後、“三コン""の開催が迫り、練習にも真剣さが増す3人。これまで以上に、理人のスパルタ教官ぶりに拍車がかかっていた。ミニコンサート当日、家族ら大勢が集まる中、幸恵は家族への気持ちを語り始め、也映子はバイオリン教室での思い出や眞於とのことを語"&amp;"り始める。そんな也映子のスピーチを、横で聞いていた理人は内緒で録音していて…")</f>
        <v>理人(中川大志)に傷心している眞於(桜井ユキ)の元を訪ねるように自ら後押しした也映子(波瑠)。しかし、その後自分の気持ちに気づき、思わず幸恵(松下由樹)に本音を吐露し、泣き出してしまう。一方で、理人は眞於の元に行ったことで、自分の也映子へ対する恋心を自覚しはじめる。その後、“三コン"の開催が迫り、練習にも真剣さが増す3人。これまで以上に、理人のスパルタ教官ぶりに拍車がかかっていた。ミニコンサート当日、家族ら大勢が集まる中、幸恵は家族への気持ちを語り始め、也映子はバイオリン教室での思い出や眞於とのことを語り始める。そんな也映子のスピーチを、横で聞いていた理人は内緒で録音していて…</v>
      </c>
      <c r="N4626" s="2"/>
      <c r="O4626" s="2"/>
      <c r="P4626" s="2"/>
      <c r="Q4626" s="2"/>
      <c r="R4626" s="2"/>
      <c r="S4626" s="2"/>
      <c r="T4626" s="2"/>
      <c r="U4626" s="2"/>
      <c r="V4626" s="2"/>
      <c r="W4626" s="2"/>
      <c r="X4626" s="2"/>
      <c r="Y4626" s="2"/>
      <c r="Z4626" s="2"/>
      <c r="AA4626" s="2"/>
      <c r="AB4626" s="2"/>
      <c r="AC4626" s="2"/>
      <c r="AD4626" s="2"/>
      <c r="AE4626" s="2"/>
      <c r="AF4626" s="2"/>
      <c r="AG4626" s="2"/>
      <c r="AH4626" s="2"/>
      <c r="AI4626" s="2"/>
      <c r="AJ4626" s="2"/>
      <c r="AK4626" s="2"/>
      <c r="AL4626" s="2"/>
      <c r="AM4626" s="2"/>
      <c r="AN4626" s="2"/>
      <c r="AO4626" s="2"/>
      <c r="AP4626" s="2"/>
      <c r="AQ4626" s="2"/>
      <c r="AR4626" s="2"/>
      <c r="AS4626" s="2"/>
      <c r="AT4626" s="2"/>
      <c r="AU4626" s="2"/>
      <c r="AV4626" s="2"/>
      <c r="AW4626" s="2"/>
      <c r="AX4626" s="2"/>
      <c r="AY4626" s="2"/>
      <c r="AZ4626" s="2"/>
      <c r="BA4626" s="2"/>
      <c r="BB4626" s="2"/>
    </row>
    <row r="4627" ht="204.75" customHeight="1">
      <c r="A4627" s="1">
        <v>30.0</v>
      </c>
      <c r="B4627" s="2" t="s">
        <v>13083</v>
      </c>
      <c r="C4627" s="2">
        <f>IFERROR(__xludf.DUMMYFUNCTION("split(B4627,""_"")"),1910.0)</f>
        <v>1910</v>
      </c>
      <c r="D4627" s="2" t="str">
        <f>IFERROR(__xludf.DUMMYFUNCTION("""COMPUTED_VALUE"""),"TBS")</f>
        <v>TBS</v>
      </c>
      <c r="E4627" s="2" t="str">
        <f>IFERROR(__xludf.DUMMYFUNCTION("""COMPUTED_VALUE"""),"火22")</f>
        <v>火22</v>
      </c>
      <c r="F4627" s="2" t="s">
        <v>13084</v>
      </c>
      <c r="G4627" s="2" t="s">
        <v>13101</v>
      </c>
      <c r="H4627" s="1">
        <v>9.0</v>
      </c>
      <c r="J4627" s="1" t="s">
        <v>86</v>
      </c>
      <c r="K4627" s="2" t="s">
        <v>13102</v>
      </c>
      <c r="L4627" s="2"/>
      <c r="M4627" s="2" t="str">
        <f>IFERROR(__xludf.DUMMYFUNCTION("split(split(K4627,""【"",false),""公式LINE"",false)"),"理人(中川大志)とのデート当日、緊張のあまり体調を崩してしまった也映子(波瑠)。一方、理人は会いたくないから断られたのではないかと疑心暗鬼になり、也映子の自宅を訪ね、困らせてしまう。也映子の部屋で2人になり、ようやくお互いの気持ちを確かめ、ついに付き合うことに。両想いである嬉しさを噛み締める也映子だが、8歳も年下の理人との交際に戸惑いを隠しきれず、空回り…そんな中、2人がデートをしているところに、家事に協力的ではない夫・弘章(小木博明)の態度にイライラを募らせていた幸恵(松下由樹)が家出をしたという連絡が"&amp;"入る。")</f>
        <v>理人(中川大志)とのデート当日、緊張のあまり体調を崩してしまった也映子(波瑠)。一方、理人は会いたくないから断られたのではないかと疑心暗鬼になり、也映子の自宅を訪ね、困らせてしまう。也映子の部屋で2人になり、ようやくお互いの気持ちを確かめ、ついに付き合うことに。両想いである嬉しさを噛み締める也映子だが、8歳も年下の理人との交際に戸惑いを隠しきれず、空回り…そんな中、2人がデートをしているところに、家事に協力的ではない夫・弘章(小木博明)の態度にイライラを募らせていた幸恵(松下由樹)が家出をしたという連絡が入る。</v>
      </c>
      <c r="N4627" s="2"/>
      <c r="O4627" s="2"/>
      <c r="P4627" s="2"/>
      <c r="Q4627" s="2"/>
      <c r="R4627" s="2"/>
      <c r="S4627" s="2"/>
      <c r="T4627" s="2"/>
      <c r="U4627" s="2"/>
      <c r="V4627" s="2"/>
      <c r="W4627" s="2"/>
      <c r="X4627" s="2"/>
      <c r="Y4627" s="2"/>
      <c r="Z4627" s="2"/>
      <c r="AA4627" s="2"/>
      <c r="AB4627" s="2"/>
      <c r="AC4627" s="2"/>
      <c r="AD4627" s="2"/>
      <c r="AE4627" s="2"/>
      <c r="AF4627" s="2"/>
      <c r="AG4627" s="2"/>
      <c r="AH4627" s="2"/>
      <c r="AI4627" s="2"/>
      <c r="AJ4627" s="2"/>
      <c r="AK4627" s="2"/>
      <c r="AL4627" s="2"/>
      <c r="AM4627" s="2"/>
      <c r="AN4627" s="2"/>
      <c r="AO4627" s="2"/>
      <c r="AP4627" s="2"/>
      <c r="AQ4627" s="2"/>
      <c r="AR4627" s="2"/>
      <c r="AS4627" s="2"/>
      <c r="AT4627" s="2"/>
      <c r="AU4627" s="2"/>
      <c r="AV4627" s="2"/>
      <c r="AW4627" s="2"/>
      <c r="AX4627" s="2"/>
      <c r="AY4627" s="2"/>
      <c r="AZ4627" s="2"/>
      <c r="BA4627" s="2"/>
      <c r="BB4627" s="2"/>
    </row>
    <row r="4628" ht="204.75" customHeight="1">
      <c r="A4628" s="1">
        <v>31.0</v>
      </c>
      <c r="B4628" s="2" t="s">
        <v>13083</v>
      </c>
      <c r="C4628" s="2">
        <f>IFERROR(__xludf.DUMMYFUNCTION("split(B4628,""_"")"),1910.0)</f>
        <v>1910</v>
      </c>
      <c r="D4628" s="2" t="str">
        <f>IFERROR(__xludf.DUMMYFUNCTION("""COMPUTED_VALUE"""),"TBS")</f>
        <v>TBS</v>
      </c>
      <c r="E4628" s="2" t="str">
        <f>IFERROR(__xludf.DUMMYFUNCTION("""COMPUTED_VALUE"""),"火22")</f>
        <v>火22</v>
      </c>
      <c r="F4628" s="2" t="s">
        <v>13084</v>
      </c>
      <c r="G4628" s="2" t="s">
        <v>13103</v>
      </c>
      <c r="H4628" s="1">
        <v>10.0</v>
      </c>
      <c r="J4628" s="1" t="s">
        <v>86</v>
      </c>
      <c r="K4628" s="2" t="s">
        <v>13104</v>
      </c>
      <c r="L4628" s="2"/>
      <c r="M4628" s="2" t="str">
        <f>IFERROR(__xludf.DUMMYFUNCTION("split(split(K4628,""【"",false),""公式LINE"",false)"),"家出した幸恵(松下由樹)の気持ちを察した也映子(波瑠)は、理人(中川大志)と共に北河家に向かうことに。北河家では、姑の由実子(夏樹陽子)が弘章(小木博明)に幸恵の元に向かうよう促していた。ひょんなことから也映子と理人は弘章らと共に幸恵を一緒に迎えに行くことに。予想外な弘章の行動にほだされ、幸恵は家族の元に帰る。そんな中、也映子は理人に対してすぐに「好き」の先を求めてしまう自分に不安を感じていた。理人は年の差に不安を抱いている也映子を安心させられない自分に不甲斐なさを感じていた。そんなおり、バイオリン三銃士"&amp;"の3人はとあるパーティーでバイオリンを弾くことになる。")</f>
        <v>家出した幸恵(松下由樹)の気持ちを察した也映子(波瑠)は、理人(中川大志)と共に北河家に向かうことに。北河家では、姑の由実子(夏樹陽子)が弘章(小木博明)に幸恵の元に向かうよう促していた。ひょんなことから也映子と理人は弘章らと共に幸恵を一緒に迎えに行くことに。予想外な弘章の行動にほだされ、幸恵は家族の元に帰る。そんな中、也映子は理人に対してすぐに「好き」の先を求めてしまう自分に不安を感じていた。理人は年の差に不安を抱いている也映子を安心させられない自分に不甲斐なさを感じていた。そんなおり、バイオリン三銃士の3人はとあるパーティーでバイオリンを弾くことになる。</v>
      </c>
      <c r="N4628" s="2"/>
      <c r="O4628" s="2"/>
      <c r="P4628" s="2"/>
      <c r="Q4628" s="2"/>
      <c r="R4628" s="2"/>
      <c r="S4628" s="2"/>
      <c r="T4628" s="2"/>
      <c r="U4628" s="2"/>
      <c r="V4628" s="2"/>
      <c r="W4628" s="2"/>
      <c r="X4628" s="2"/>
      <c r="Y4628" s="2"/>
      <c r="Z4628" s="2"/>
      <c r="AA4628" s="2"/>
      <c r="AB4628" s="2"/>
      <c r="AC4628" s="2"/>
      <c r="AD4628" s="2"/>
      <c r="AE4628" s="2"/>
      <c r="AF4628" s="2"/>
      <c r="AG4628" s="2"/>
      <c r="AH4628" s="2"/>
      <c r="AI4628" s="2"/>
      <c r="AJ4628" s="2"/>
      <c r="AK4628" s="2"/>
      <c r="AL4628" s="2"/>
      <c r="AM4628" s="2"/>
      <c r="AN4628" s="2"/>
      <c r="AO4628" s="2"/>
      <c r="AP4628" s="2"/>
      <c r="AQ4628" s="2"/>
      <c r="AR4628" s="2"/>
      <c r="AS4628" s="2"/>
      <c r="AT4628" s="2"/>
      <c r="AU4628" s="2"/>
      <c r="AV4628" s="2"/>
      <c r="AW4628" s="2"/>
      <c r="AX4628" s="2"/>
      <c r="AY4628" s="2"/>
      <c r="AZ4628" s="2"/>
      <c r="BA4628" s="2"/>
      <c r="BB4628" s="2"/>
    </row>
    <row r="4629" ht="204.75" customHeight="1">
      <c r="A4629" s="1">
        <v>61.0</v>
      </c>
      <c r="B4629" s="2" t="s">
        <v>13105</v>
      </c>
      <c r="C4629" s="2">
        <f>IFERROR(__xludf.DUMMYFUNCTION("split(B4629,""_"")"),1910.0)</f>
        <v>1910</v>
      </c>
      <c r="D4629" s="2" t="str">
        <f>IFERROR(__xludf.DUMMYFUNCTION("""COMPUTED_VALUE"""),"TBS")</f>
        <v>TBS</v>
      </c>
      <c r="E4629" s="2" t="str">
        <f>IFERROR(__xludf.DUMMYFUNCTION("""COMPUTED_VALUE"""),"金22")</f>
        <v>金22</v>
      </c>
      <c r="F4629" s="2" t="s">
        <v>13106</v>
      </c>
      <c r="G4629" s="2" t="s">
        <v>13107</v>
      </c>
      <c r="H4629" s="1">
        <v>1.0</v>
      </c>
      <c r="I4629" s="1" t="s">
        <v>13108</v>
      </c>
      <c r="J4629" s="1" t="s">
        <v>82</v>
      </c>
      <c r="K4629" s="2" t="s">
        <v>13109</v>
      </c>
      <c r="L4629" s="2"/>
      <c r="M4629" s="2" t="str">
        <f>IFERROR(__xludf.DUMMYFUNCTION("split(split(K4629,""【"",false),""公式LINE"",false)"),"手を重ねた人の「死の運命」が視える能力をもつ救急救命士の花巻みこと(福士蒼汰)。一度視た運命は必ず現実となり、救いたいのに救えないジレンマを抱えながら、それでも日々救急隊として全力を尽くしていた。みことにはある秘密があった。それはひとつ屋根に暮らす血の繋がらない姉・沙羅(菜々緒)を愛してしまったこと。その想いは日に日に募るばかりで…。そしてみことはある日、沙羅の悲しい運命を知ってしまい…。")</f>
        <v>手を重ねた人の「死の運命」が視える能力をもつ救急救命士の花巻みこと(福士蒼汰)。一度視た運命は必ず現実となり、救いたいのに救えないジレンマを抱えながら、それでも日々救急隊として全力を尽くしていた。みことにはある秘密があった。それはひとつ屋根に暮らす血の繋がらない姉・沙羅(菜々緒)を愛してしまったこと。その想いは日に日に募るばかりで…。そしてみことはある日、沙羅の悲しい運命を知ってしまい…。</v>
      </c>
      <c r="N4629" s="2"/>
      <c r="O4629" s="2"/>
      <c r="P4629" s="2"/>
      <c r="Q4629" s="2"/>
      <c r="R4629" s="2"/>
      <c r="S4629" s="2"/>
      <c r="T4629" s="2"/>
      <c r="U4629" s="2"/>
      <c r="V4629" s="2"/>
      <c r="W4629" s="2"/>
      <c r="X4629" s="2"/>
      <c r="Y4629" s="2"/>
      <c r="Z4629" s="2"/>
      <c r="AA4629" s="2"/>
      <c r="AB4629" s="2"/>
      <c r="AC4629" s="2"/>
      <c r="AD4629" s="2"/>
      <c r="AE4629" s="2"/>
      <c r="AF4629" s="2"/>
      <c r="AG4629" s="2"/>
      <c r="AH4629" s="2"/>
      <c r="AI4629" s="2"/>
      <c r="AJ4629" s="2"/>
      <c r="AK4629" s="2"/>
      <c r="AL4629" s="2"/>
      <c r="AM4629" s="2"/>
      <c r="AN4629" s="2"/>
      <c r="AO4629" s="2"/>
      <c r="AP4629" s="2"/>
      <c r="AQ4629" s="2"/>
      <c r="AR4629" s="2"/>
      <c r="AS4629" s="2"/>
      <c r="AT4629" s="2"/>
      <c r="AU4629" s="2"/>
      <c r="AV4629" s="2"/>
      <c r="AW4629" s="2"/>
      <c r="AX4629" s="2"/>
      <c r="AY4629" s="2"/>
      <c r="AZ4629" s="2"/>
      <c r="BA4629" s="2"/>
      <c r="BB4629" s="2"/>
    </row>
    <row r="4630" ht="204.75" customHeight="1">
      <c r="A4630" s="1">
        <v>62.0</v>
      </c>
      <c r="B4630" s="2" t="s">
        <v>13105</v>
      </c>
      <c r="C4630" s="2">
        <f>IFERROR(__xludf.DUMMYFUNCTION("split(B4630,""_"")"),1910.0)</f>
        <v>1910</v>
      </c>
      <c r="D4630" s="2" t="str">
        <f>IFERROR(__xludf.DUMMYFUNCTION("""COMPUTED_VALUE"""),"TBS")</f>
        <v>TBS</v>
      </c>
      <c r="E4630" s="2" t="str">
        <f>IFERROR(__xludf.DUMMYFUNCTION("""COMPUTED_VALUE"""),"金22")</f>
        <v>金22</v>
      </c>
      <c r="F4630" s="2" t="s">
        <v>13106</v>
      </c>
      <c r="G4630" s="2" t="s">
        <v>13110</v>
      </c>
      <c r="H4630" s="1">
        <v>2.0</v>
      </c>
      <c r="I4630" s="1" t="s">
        <v>13108</v>
      </c>
      <c r="J4630" s="1" t="s">
        <v>86</v>
      </c>
      <c r="K4630" s="2" t="s">
        <v>13111</v>
      </c>
      <c r="L4630" s="2"/>
      <c r="M4630" s="2" t="str">
        <f>IFERROR(__xludf.DUMMYFUNCTION("split(split(K4630,""【"",false),""公式LINE"",false)"),"「死の運命」が視える能力をもつ救命士みこと(福士蒼汰)は、愛する義姉・沙羅(菜々緒)が余命1年という運命を知り、絶対に沙羅を守ると心に誓う。まずは沙羅の健康に問題がないか探るみこと。その様子にいち早く気づく義弟・藍(横浜流星)だったが、実は藍にも抱えている秘密があった。そんな中、みことは救命の現場で和江(松金よね子)という高齢女性に出会う。みことは、和江が藍に料理を教えてくれた師匠という事を知り…")</f>
        <v>「死の運命」が視える能力をもつ救命士みこと(福士蒼汰)は、愛する義姉・沙羅(菜々緒)が余命1年という運命を知り、絶対に沙羅を守ると心に誓う。まずは沙羅の健康に問題がないか探るみこと。その様子にいち早く気づく義弟・藍(横浜流星)だったが、実は藍にも抱えている秘密があった。そんな中、みことは救命の現場で和江(松金よね子)という高齢女性に出会う。みことは、和江が藍に料理を教えてくれた師匠という事を知り…</v>
      </c>
      <c r="N4630" s="2"/>
      <c r="O4630" s="2"/>
      <c r="P4630" s="2"/>
      <c r="Q4630" s="2"/>
      <c r="R4630" s="2"/>
      <c r="S4630" s="2"/>
      <c r="T4630" s="2"/>
      <c r="U4630" s="2"/>
      <c r="V4630" s="2"/>
      <c r="W4630" s="2"/>
      <c r="X4630" s="2"/>
      <c r="Y4630" s="2"/>
      <c r="Z4630" s="2"/>
      <c r="AA4630" s="2"/>
      <c r="AB4630" s="2"/>
      <c r="AC4630" s="2"/>
      <c r="AD4630" s="2"/>
      <c r="AE4630" s="2"/>
      <c r="AF4630" s="2"/>
      <c r="AG4630" s="2"/>
      <c r="AH4630" s="2"/>
      <c r="AI4630" s="2"/>
      <c r="AJ4630" s="2"/>
      <c r="AK4630" s="2"/>
      <c r="AL4630" s="2"/>
      <c r="AM4630" s="2"/>
      <c r="AN4630" s="2"/>
      <c r="AO4630" s="2"/>
      <c r="AP4630" s="2"/>
      <c r="AQ4630" s="2"/>
      <c r="AR4630" s="2"/>
      <c r="AS4630" s="2"/>
      <c r="AT4630" s="2"/>
      <c r="AU4630" s="2"/>
      <c r="AV4630" s="2"/>
      <c r="AW4630" s="2"/>
      <c r="AX4630" s="2"/>
      <c r="AY4630" s="2"/>
      <c r="AZ4630" s="2"/>
      <c r="BA4630" s="2"/>
      <c r="BB4630" s="2"/>
    </row>
    <row r="4631" ht="204.75" customHeight="1">
      <c r="A4631" s="1">
        <v>63.0</v>
      </c>
      <c r="B4631" s="2" t="s">
        <v>13105</v>
      </c>
      <c r="C4631" s="2">
        <f>IFERROR(__xludf.DUMMYFUNCTION("split(B4631,""_"")"),1910.0)</f>
        <v>1910</v>
      </c>
      <c r="D4631" s="2" t="str">
        <f>IFERROR(__xludf.DUMMYFUNCTION("""COMPUTED_VALUE"""),"TBS")</f>
        <v>TBS</v>
      </c>
      <c r="E4631" s="2" t="str">
        <f>IFERROR(__xludf.DUMMYFUNCTION("""COMPUTED_VALUE"""),"金22")</f>
        <v>金22</v>
      </c>
      <c r="F4631" s="2" t="s">
        <v>13106</v>
      </c>
      <c r="G4631" s="2" t="s">
        <v>13112</v>
      </c>
      <c r="H4631" s="1">
        <v>3.0</v>
      </c>
      <c r="I4631" s="1" t="s">
        <v>13108</v>
      </c>
      <c r="J4631" s="1" t="s">
        <v>86</v>
      </c>
      <c r="K4631" s="2" t="s">
        <v>13113</v>
      </c>
      <c r="L4631" s="2"/>
      <c r="M4631" s="2" t="str">
        <f>IFERROR(__xludf.DUMMYFUNCTION("split(split(K4631,""【"",false),""公式LINE"",false)"),"みこと(福士蒼汰)は緊急出動した事故現場で、幼馴染で海外で活躍する写真家の青葉広洋(佐藤隆太)と再会し、広洋はしばらく花巻家で暮らすことに。広洋は絵を描くために世界を見たい沙羅(菜々緒)の夢を聞き、一緒に海外へ行かないか誘う。乗り気の沙羅を見て複雑なみこと。ある雨の日、沙羅を駅まで迎えに行ったみことが、海外に行ってほしくないと思い切って伝えようとすると、突然沙羅が今まで秘めていた想いを告白し…!?")</f>
        <v>みこと(福士蒼汰)は緊急出動した事故現場で、幼馴染で海外で活躍する写真家の青葉広洋(佐藤隆太)と再会し、広洋はしばらく花巻家で暮らすことに。広洋は絵を描くために世界を見たい沙羅(菜々緒)の夢を聞き、一緒に海外へ行かないか誘う。乗り気の沙羅を見て複雑なみこと。ある雨の日、沙羅を駅まで迎えに行ったみことが、海外に行ってほしくないと思い切って伝えようとすると、突然沙羅が今まで秘めていた想いを告白し…!?</v>
      </c>
      <c r="N4631" s="2"/>
      <c r="O4631" s="2"/>
      <c r="P4631" s="2"/>
      <c r="Q4631" s="2"/>
      <c r="R4631" s="2"/>
      <c r="S4631" s="2"/>
      <c r="T4631" s="2"/>
      <c r="U4631" s="2"/>
      <c r="V4631" s="2"/>
      <c r="W4631" s="2"/>
      <c r="X4631" s="2"/>
      <c r="Y4631" s="2"/>
      <c r="Z4631" s="2"/>
      <c r="AA4631" s="2"/>
      <c r="AB4631" s="2"/>
      <c r="AC4631" s="2"/>
      <c r="AD4631" s="2"/>
      <c r="AE4631" s="2"/>
      <c r="AF4631" s="2"/>
      <c r="AG4631" s="2"/>
      <c r="AH4631" s="2"/>
      <c r="AI4631" s="2"/>
      <c r="AJ4631" s="2"/>
      <c r="AK4631" s="2"/>
      <c r="AL4631" s="2"/>
      <c r="AM4631" s="2"/>
      <c r="AN4631" s="2"/>
      <c r="AO4631" s="2"/>
      <c r="AP4631" s="2"/>
      <c r="AQ4631" s="2"/>
      <c r="AR4631" s="2"/>
      <c r="AS4631" s="2"/>
      <c r="AT4631" s="2"/>
      <c r="AU4631" s="2"/>
      <c r="AV4631" s="2"/>
      <c r="AW4631" s="2"/>
      <c r="AX4631" s="2"/>
      <c r="AY4631" s="2"/>
      <c r="AZ4631" s="2"/>
      <c r="BA4631" s="2"/>
      <c r="BB4631" s="2"/>
    </row>
    <row r="4632" ht="204.75" customHeight="1">
      <c r="A4632" s="1">
        <v>64.0</v>
      </c>
      <c r="B4632" s="2" t="s">
        <v>13105</v>
      </c>
      <c r="C4632" s="2">
        <f>IFERROR(__xludf.DUMMYFUNCTION("split(B4632,""_"")"),1910.0)</f>
        <v>1910</v>
      </c>
      <c r="D4632" s="2" t="str">
        <f>IFERROR(__xludf.DUMMYFUNCTION("""COMPUTED_VALUE"""),"TBS")</f>
        <v>TBS</v>
      </c>
      <c r="E4632" s="2" t="str">
        <f>IFERROR(__xludf.DUMMYFUNCTION("""COMPUTED_VALUE"""),"金22")</f>
        <v>金22</v>
      </c>
      <c r="F4632" s="2" t="s">
        <v>13106</v>
      </c>
      <c r="G4632" s="2" t="s">
        <v>13114</v>
      </c>
      <c r="H4632" s="1">
        <v>4.0</v>
      </c>
      <c r="I4632" s="1" t="s">
        <v>13108</v>
      </c>
      <c r="J4632" s="1" t="s">
        <v>86</v>
      </c>
      <c r="K4632" s="2" t="s">
        <v>13115</v>
      </c>
      <c r="L4632" s="2"/>
      <c r="M4632" s="2" t="str">
        <f>IFERROR(__xludf.DUMMYFUNCTION("split(split(K4632,""【"",false),""公式LINE"",false)"),"「ずっと好きだった」お互いの気持ちを確かめ合ったみこと(福士蒼汰)と沙羅(菜々緒)。廉(桐谷健太)や藍(横浜流星)には気づかれないように秘密の恋を育む。ある夜、広洋(佐藤隆太)の誘いで廉を除く花巻家の面々は神社の秋祭りへ向かう。その最中、愛犬シロとはぐれてしまい、みんなで探すうちにみことと沙羅は2人きりに。2人だけの時間を楽しむ2人は、初めてのキスを交わす。それをシロを探しに来ていた廉に目撃され…")</f>
        <v>「ずっと好きだった」お互いの気持ちを確かめ合ったみこと(福士蒼汰)と沙羅(菜々緒)。廉(桐谷健太)や藍(横浜流星)には気づかれないように秘密の恋を育む。ある夜、広洋(佐藤隆太)の誘いで廉を除く花巻家の面々は神社の秋祭りへ向かう。その最中、愛犬シロとはぐれてしまい、みんなで探すうちにみことと沙羅は2人きりに。2人だけの時間を楽しむ2人は、初めてのキスを交わす。それをシロを探しに来ていた廉に目撃され…</v>
      </c>
      <c r="N4632" s="2"/>
      <c r="O4632" s="2"/>
      <c r="P4632" s="2"/>
      <c r="Q4632" s="2"/>
      <c r="R4632" s="2"/>
      <c r="S4632" s="2"/>
      <c r="T4632" s="2"/>
      <c r="U4632" s="2"/>
      <c r="V4632" s="2"/>
      <c r="W4632" s="2"/>
      <c r="X4632" s="2"/>
      <c r="Y4632" s="2"/>
      <c r="Z4632" s="2"/>
      <c r="AA4632" s="2"/>
      <c r="AB4632" s="2"/>
      <c r="AC4632" s="2"/>
      <c r="AD4632" s="2"/>
      <c r="AE4632" s="2"/>
      <c r="AF4632" s="2"/>
      <c r="AG4632" s="2"/>
      <c r="AH4632" s="2"/>
      <c r="AI4632" s="2"/>
      <c r="AJ4632" s="2"/>
      <c r="AK4632" s="2"/>
      <c r="AL4632" s="2"/>
      <c r="AM4632" s="2"/>
      <c r="AN4632" s="2"/>
      <c r="AO4632" s="2"/>
      <c r="AP4632" s="2"/>
      <c r="AQ4632" s="2"/>
      <c r="AR4632" s="2"/>
      <c r="AS4632" s="2"/>
      <c r="AT4632" s="2"/>
      <c r="AU4632" s="2"/>
      <c r="AV4632" s="2"/>
      <c r="AW4632" s="2"/>
      <c r="AX4632" s="2"/>
      <c r="AY4632" s="2"/>
      <c r="AZ4632" s="2"/>
      <c r="BA4632" s="2"/>
      <c r="BB4632" s="2"/>
    </row>
    <row r="4633" ht="204.75" customHeight="1">
      <c r="A4633" s="1">
        <v>65.0</v>
      </c>
      <c r="B4633" s="2" t="s">
        <v>13105</v>
      </c>
      <c r="C4633" s="2">
        <f>IFERROR(__xludf.DUMMYFUNCTION("split(B4633,""_"")"),1910.0)</f>
        <v>1910</v>
      </c>
      <c r="D4633" s="2" t="str">
        <f>IFERROR(__xludf.DUMMYFUNCTION("""COMPUTED_VALUE"""),"TBS")</f>
        <v>TBS</v>
      </c>
      <c r="E4633" s="2" t="str">
        <f>IFERROR(__xludf.DUMMYFUNCTION("""COMPUTED_VALUE"""),"金22")</f>
        <v>金22</v>
      </c>
      <c r="F4633" s="2" t="s">
        <v>13106</v>
      </c>
      <c r="G4633" s="2" t="s">
        <v>13116</v>
      </c>
      <c r="H4633" s="1">
        <v>5.0</v>
      </c>
      <c r="I4633" s="1" t="s">
        <v>13108</v>
      </c>
      <c r="J4633" s="1" t="s">
        <v>86</v>
      </c>
      <c r="K4633" s="2" t="s">
        <v>13117</v>
      </c>
      <c r="L4633" s="2"/>
      <c r="M4633" s="2" t="str">
        <f>IFERROR(__xludf.DUMMYFUNCTION("split(split(K4633,""【"",false),""公式LINE"",false)"),"みこと(福士蒼汰)が伝えた沙羅(菜々緒)の余命を全く信じない廉(桐谷健太)。ある日救急に出たみことは傷病者が膵臓がんで亡くなる運命を視る。それは廉の先輩・原田(橋本じゅん)の妻・理沙だった。みことは救いたい一心で廉にも理沙の死の運命を伝える。数日後、理沙が本当に亡くなり愕然とする廉。沙羅の余命が本当だと悟った廉は、沙羅の幸せのためにみこととの関係を認める。そして、みことがとった行動とは…!?")</f>
        <v>みこと(福士蒼汰)が伝えた沙羅(菜々緒)の余命を全く信じない廉(桐谷健太)。ある日救急に出たみことは傷病者が膵臓がんで亡くなる運命を視る。それは廉の先輩・原田(橋本じゅん)の妻・理沙だった。みことは救いたい一心で廉にも理沙の死の運命を伝える。数日後、理沙が本当に亡くなり愕然とする廉。沙羅の余命が本当だと悟った廉は、沙羅の幸せのためにみこととの関係を認める。そして、みことがとった行動とは…!?</v>
      </c>
      <c r="N4633" s="2"/>
      <c r="O4633" s="2"/>
      <c r="P4633" s="2"/>
      <c r="Q4633" s="2"/>
      <c r="R4633" s="2"/>
      <c r="S4633" s="2"/>
      <c r="T4633" s="2"/>
      <c r="U4633" s="2"/>
      <c r="V4633" s="2"/>
      <c r="W4633" s="2"/>
      <c r="X4633" s="2"/>
      <c r="Y4633" s="2"/>
      <c r="Z4633" s="2"/>
      <c r="AA4633" s="2"/>
      <c r="AB4633" s="2"/>
      <c r="AC4633" s="2"/>
      <c r="AD4633" s="2"/>
      <c r="AE4633" s="2"/>
      <c r="AF4633" s="2"/>
      <c r="AG4633" s="2"/>
      <c r="AH4633" s="2"/>
      <c r="AI4633" s="2"/>
      <c r="AJ4633" s="2"/>
      <c r="AK4633" s="2"/>
      <c r="AL4633" s="2"/>
      <c r="AM4633" s="2"/>
      <c r="AN4633" s="2"/>
      <c r="AO4633" s="2"/>
      <c r="AP4633" s="2"/>
      <c r="AQ4633" s="2"/>
      <c r="AR4633" s="2"/>
      <c r="AS4633" s="2"/>
      <c r="AT4633" s="2"/>
      <c r="AU4633" s="2"/>
      <c r="AV4633" s="2"/>
      <c r="AW4633" s="2"/>
      <c r="AX4633" s="2"/>
      <c r="AY4633" s="2"/>
      <c r="AZ4633" s="2"/>
      <c r="BA4633" s="2"/>
      <c r="BB4633" s="2"/>
    </row>
    <row r="4634" ht="204.75" customHeight="1">
      <c r="A4634" s="1">
        <v>66.0</v>
      </c>
      <c r="B4634" s="2" t="s">
        <v>13105</v>
      </c>
      <c r="C4634" s="2">
        <f>IFERROR(__xludf.DUMMYFUNCTION("split(B4634,""_"")"),1910.0)</f>
        <v>1910</v>
      </c>
      <c r="D4634" s="2" t="str">
        <f>IFERROR(__xludf.DUMMYFUNCTION("""COMPUTED_VALUE"""),"TBS")</f>
        <v>TBS</v>
      </c>
      <c r="E4634" s="2" t="str">
        <f>IFERROR(__xludf.DUMMYFUNCTION("""COMPUTED_VALUE"""),"金22")</f>
        <v>金22</v>
      </c>
      <c r="F4634" s="2" t="s">
        <v>13106</v>
      </c>
      <c r="G4634" s="2" t="s">
        <v>13118</v>
      </c>
      <c r="H4634" s="1">
        <v>6.0</v>
      </c>
      <c r="I4634" s="1" t="s">
        <v>13108</v>
      </c>
      <c r="J4634" s="1" t="s">
        <v>86</v>
      </c>
      <c r="K4634" s="2" t="s">
        <v>13119</v>
      </c>
      <c r="L4634" s="2"/>
      <c r="M4634" s="2" t="str">
        <f>IFERROR(__xludf.DUMMYFUNCTION("split(split(K4634,""【"",false),""公式LINE"",false)"),"年が明けて、みこと(福士蒼汰)が視た沙羅(菜々緒)の死の運命の日までついに9か月を切り、みことと同様に廉(桐谷健太)と藍(横浜流星)も沙羅の運命を変えるために試行錯誤するが、何が起きるかわからないまま時間だけが過ぎていった。ある朝、みことは沙羅と洗濯物を取り込んでいて、不意に「結婚しよう」と沙羅に言い出す。快く受け入れる沙羅。しかし、沙羅は結婚を具体的に考えれば考えるほど不安ばかり募ってしまい…")</f>
        <v>年が明けて、みこと(福士蒼汰)が視た沙羅(菜々緒)の死の運命の日までついに9か月を切り、みことと同様に廉(桐谷健太)と藍(横浜流星)も沙羅の運命を変えるために試行錯誤するが、何が起きるかわからないまま時間だけが過ぎていった。ある朝、みことは沙羅と洗濯物を取り込んでいて、不意に「結婚しよう」と沙羅に言い出す。快く受け入れる沙羅。しかし、沙羅は結婚を具体的に考えれば考えるほど不安ばかり募ってしまい…</v>
      </c>
      <c r="N4634" s="2"/>
      <c r="O4634" s="2"/>
      <c r="P4634" s="2"/>
      <c r="Q4634" s="2"/>
      <c r="R4634" s="2"/>
      <c r="S4634" s="2"/>
      <c r="T4634" s="2"/>
      <c r="U4634" s="2"/>
      <c r="V4634" s="2"/>
      <c r="W4634" s="2"/>
      <c r="X4634" s="2"/>
      <c r="Y4634" s="2"/>
      <c r="Z4634" s="2"/>
      <c r="AA4634" s="2"/>
      <c r="AB4634" s="2"/>
      <c r="AC4634" s="2"/>
      <c r="AD4634" s="2"/>
      <c r="AE4634" s="2"/>
      <c r="AF4634" s="2"/>
      <c r="AG4634" s="2"/>
      <c r="AH4634" s="2"/>
      <c r="AI4634" s="2"/>
      <c r="AJ4634" s="2"/>
      <c r="AK4634" s="2"/>
      <c r="AL4634" s="2"/>
      <c r="AM4634" s="2"/>
      <c r="AN4634" s="2"/>
      <c r="AO4634" s="2"/>
      <c r="AP4634" s="2"/>
      <c r="AQ4634" s="2"/>
      <c r="AR4634" s="2"/>
      <c r="AS4634" s="2"/>
      <c r="AT4634" s="2"/>
      <c r="AU4634" s="2"/>
      <c r="AV4634" s="2"/>
      <c r="AW4634" s="2"/>
      <c r="AX4634" s="2"/>
      <c r="AY4634" s="2"/>
      <c r="AZ4634" s="2"/>
      <c r="BA4634" s="2"/>
      <c r="BB4634" s="2"/>
    </row>
    <row r="4635" ht="204.75" customHeight="1">
      <c r="A4635" s="1">
        <v>67.0</v>
      </c>
      <c r="B4635" s="2" t="s">
        <v>13105</v>
      </c>
      <c r="C4635" s="2">
        <f>IFERROR(__xludf.DUMMYFUNCTION("split(B4635,""_"")"),1910.0)</f>
        <v>1910</v>
      </c>
      <c r="D4635" s="2" t="str">
        <f>IFERROR(__xludf.DUMMYFUNCTION("""COMPUTED_VALUE"""),"TBS")</f>
        <v>TBS</v>
      </c>
      <c r="E4635" s="2" t="str">
        <f>IFERROR(__xludf.DUMMYFUNCTION("""COMPUTED_VALUE"""),"金22")</f>
        <v>金22</v>
      </c>
      <c r="F4635" s="2" t="s">
        <v>13106</v>
      </c>
      <c r="G4635" s="2" t="s">
        <v>13120</v>
      </c>
      <c r="H4635" s="1">
        <v>7.0</v>
      </c>
      <c r="I4635" s="1" t="s">
        <v>13108</v>
      </c>
      <c r="J4635" s="1" t="s">
        <v>86</v>
      </c>
      <c r="K4635" s="2" t="s">
        <v>13121</v>
      </c>
      <c r="L4635" s="2"/>
      <c r="M4635" s="2" t="str">
        <f>IFERROR(__xludf.DUMMYFUNCTION("split(split(K4635,""【"",false),""公式LINE"",false)"),"みこと(福士蒼汰)と沙羅(菜々緒)の婚約パーティーが開かれ皆に祝福される2人。一方藍(横浜流星)は、廉(桐谷健太)の言う通りに大学進学の準備を進めていたが、本当は料理の道に進みたかった。みことと沙羅は藍の夢を応援するが、高校中退で苦労した廉は学歴が大事と考え猛反対していた。大学受験当日、会場に向かった藍は思わぬ行動に出る。それが発端で激しい兄弟げんかに…。そしてついに、沙羅の身体に異変が起き…。")</f>
        <v>みこと(福士蒼汰)と沙羅(菜々緒)の婚約パーティーが開かれ皆に祝福される2人。一方藍(横浜流星)は、廉(桐谷健太)の言う通りに大学進学の準備を進めていたが、本当は料理の道に進みたかった。みことと沙羅は藍の夢を応援するが、高校中退で苦労した廉は学歴が大事と考え猛反対していた。大学受験当日、会場に向かった藍は思わぬ行動に出る。それが発端で激しい兄弟げんかに…。そしてついに、沙羅の身体に異変が起き…。</v>
      </c>
      <c r="N4635" s="2"/>
      <c r="O4635" s="2"/>
      <c r="P4635" s="2"/>
      <c r="Q4635" s="2"/>
      <c r="R4635" s="2"/>
      <c r="S4635" s="2"/>
      <c r="T4635" s="2"/>
      <c r="U4635" s="2"/>
      <c r="V4635" s="2"/>
      <c r="W4635" s="2"/>
      <c r="X4635" s="2"/>
      <c r="Y4635" s="2"/>
      <c r="Z4635" s="2"/>
      <c r="AA4635" s="2"/>
      <c r="AB4635" s="2"/>
      <c r="AC4635" s="2"/>
      <c r="AD4635" s="2"/>
      <c r="AE4635" s="2"/>
      <c r="AF4635" s="2"/>
      <c r="AG4635" s="2"/>
      <c r="AH4635" s="2"/>
      <c r="AI4635" s="2"/>
      <c r="AJ4635" s="2"/>
      <c r="AK4635" s="2"/>
      <c r="AL4635" s="2"/>
      <c r="AM4635" s="2"/>
      <c r="AN4635" s="2"/>
      <c r="AO4635" s="2"/>
      <c r="AP4635" s="2"/>
      <c r="AQ4635" s="2"/>
      <c r="AR4635" s="2"/>
      <c r="AS4635" s="2"/>
      <c r="AT4635" s="2"/>
      <c r="AU4635" s="2"/>
      <c r="AV4635" s="2"/>
      <c r="AW4635" s="2"/>
      <c r="AX4635" s="2"/>
      <c r="AY4635" s="2"/>
      <c r="AZ4635" s="2"/>
      <c r="BA4635" s="2"/>
      <c r="BB4635" s="2"/>
    </row>
    <row r="4636" ht="204.75" customHeight="1">
      <c r="A4636" s="1">
        <v>68.0</v>
      </c>
      <c r="B4636" s="2" t="s">
        <v>13105</v>
      </c>
      <c r="C4636" s="2">
        <f>IFERROR(__xludf.DUMMYFUNCTION("split(B4636,""_"")"),1910.0)</f>
        <v>1910</v>
      </c>
      <c r="D4636" s="2" t="str">
        <f>IFERROR(__xludf.DUMMYFUNCTION("""COMPUTED_VALUE"""),"TBS")</f>
        <v>TBS</v>
      </c>
      <c r="E4636" s="2" t="str">
        <f>IFERROR(__xludf.DUMMYFUNCTION("""COMPUTED_VALUE"""),"金22")</f>
        <v>金22</v>
      </c>
      <c r="F4636" s="2" t="s">
        <v>13106</v>
      </c>
      <c r="G4636" s="2" t="s">
        <v>13122</v>
      </c>
      <c r="H4636" s="1">
        <v>8.0</v>
      </c>
      <c r="I4636" s="1" t="s">
        <v>13108</v>
      </c>
      <c r="J4636" s="1" t="s">
        <v>86</v>
      </c>
      <c r="K4636" s="2" t="s">
        <v>13123</v>
      </c>
      <c r="L4636" s="2"/>
      <c r="M4636" s="2" t="str">
        <f>IFERROR(__xludf.DUMMYFUNCTION("split(split(K4636,""【"",false),""公式LINE"",false)"),"過労と貧血で倒れた沙羅(菜々緒)。命に別状はなかったが改めて気を引き締めるみこと(福士蒼汰)、廉(桐谷健太)、藍(横浜流星)。そんな中、久々に母・理津(麻生祐未)が帰国する。みことが沙羅との結婚を理津に伝えると、理津は驚きつつ祝福してくれた。しかし沙羅の余命のことをなかなか言い出せず…。ある日みことは臨月の妊婦の救急に駆け付ける。「絶対にこの子を産む」という彼女に手を重ねると亡くなる運命が視え…。")</f>
        <v>過労と貧血で倒れた沙羅(菜々緒)。命に別状はなかったが改めて気を引き締めるみこと(福士蒼汰)、廉(桐谷健太)、藍(横浜流星)。そんな中、久々に母・理津(麻生祐未)が帰国する。みことが沙羅との結婚を理津に伝えると、理津は驚きつつ祝福してくれた。しかし沙羅の余命のことをなかなか言い出せず…。ある日みことは臨月の妊婦の救急に駆け付ける。「絶対にこの子を産む」という彼女に手を重ねると亡くなる運命が視え…。</v>
      </c>
      <c r="N4636" s="2"/>
      <c r="O4636" s="2"/>
      <c r="P4636" s="2"/>
      <c r="Q4636" s="2"/>
      <c r="R4636" s="2"/>
      <c r="S4636" s="2"/>
      <c r="T4636" s="2"/>
      <c r="U4636" s="2"/>
      <c r="V4636" s="2"/>
      <c r="W4636" s="2"/>
      <c r="X4636" s="2"/>
      <c r="Y4636" s="2"/>
      <c r="Z4636" s="2"/>
      <c r="AA4636" s="2"/>
      <c r="AB4636" s="2"/>
      <c r="AC4636" s="2"/>
      <c r="AD4636" s="2"/>
      <c r="AE4636" s="2"/>
      <c r="AF4636" s="2"/>
      <c r="AG4636" s="2"/>
      <c r="AH4636" s="2"/>
      <c r="AI4636" s="2"/>
      <c r="AJ4636" s="2"/>
      <c r="AK4636" s="2"/>
      <c r="AL4636" s="2"/>
      <c r="AM4636" s="2"/>
      <c r="AN4636" s="2"/>
      <c r="AO4636" s="2"/>
      <c r="AP4636" s="2"/>
      <c r="AQ4636" s="2"/>
      <c r="AR4636" s="2"/>
      <c r="AS4636" s="2"/>
      <c r="AT4636" s="2"/>
      <c r="AU4636" s="2"/>
      <c r="AV4636" s="2"/>
      <c r="AW4636" s="2"/>
      <c r="AX4636" s="2"/>
      <c r="AY4636" s="2"/>
      <c r="AZ4636" s="2"/>
      <c r="BA4636" s="2"/>
      <c r="BB4636" s="2"/>
    </row>
    <row r="4637" ht="204.75" customHeight="1">
      <c r="A4637" s="1">
        <v>69.0</v>
      </c>
      <c r="B4637" s="2" t="s">
        <v>13105</v>
      </c>
      <c r="C4637" s="2">
        <f>IFERROR(__xludf.DUMMYFUNCTION("split(B4637,""_"")"),1910.0)</f>
        <v>1910</v>
      </c>
      <c r="D4637" s="2" t="str">
        <f>IFERROR(__xludf.DUMMYFUNCTION("""COMPUTED_VALUE"""),"TBS")</f>
        <v>TBS</v>
      </c>
      <c r="E4637" s="2" t="str">
        <f>IFERROR(__xludf.DUMMYFUNCTION("""COMPUTED_VALUE"""),"金22")</f>
        <v>金22</v>
      </c>
      <c r="F4637" s="2" t="s">
        <v>13106</v>
      </c>
      <c r="G4637" s="2" t="s">
        <v>13124</v>
      </c>
      <c r="H4637" s="1">
        <v>9.0</v>
      </c>
      <c r="I4637" s="1" t="s">
        <v>13108</v>
      </c>
      <c r="J4637" s="1" t="s">
        <v>86</v>
      </c>
      <c r="K4637" s="2" t="s">
        <v>13125</v>
      </c>
      <c r="L4637" s="2"/>
      <c r="M4637" s="2" t="str">
        <f>IFERROR(__xludf.DUMMYFUNCTION("split(split(K4637,""【"",false),""公式LINE"",false)"),"藍(横浜流星)は無事に調理師学校の面接を終え、廉(桐谷健太)は千冬(磯山さやか)に改めて会いに行くと宣言。みこと(福士蒼汰)は、沙羅(菜々緒)に婚約指輪を渡し、花巻家がいい方へ向かっている幸せを実感し喜ぶ。そんな中、みことは沙羅の同級生で小学校教師の滝沢(市川知宏)とその生徒を搬送する。生徒をかばって頭を打ち、意識を失う滝沢。みことは思わず手を重ねるが、突然何のビジョンも視えなくなっていて…。")</f>
        <v>藍(横浜流星)は無事に調理師学校の面接を終え、廉(桐谷健太)は千冬(磯山さやか)に改めて会いに行くと宣言。みこと(福士蒼汰)は、沙羅(菜々緒)に婚約指輪を渡し、花巻家がいい方へ向かっている幸せを実感し喜ぶ。そんな中、みことは沙羅の同級生で小学校教師の滝沢(市川知宏)とその生徒を搬送する。生徒をかばって頭を打ち、意識を失う滝沢。みことは思わず手を重ねるが、突然何のビジョンも視えなくなっていて…。</v>
      </c>
      <c r="N4637" s="2"/>
      <c r="O4637" s="2"/>
      <c r="P4637" s="2"/>
      <c r="Q4637" s="2"/>
      <c r="R4637" s="2"/>
      <c r="S4637" s="2"/>
      <c r="T4637" s="2"/>
      <c r="U4637" s="2"/>
      <c r="V4637" s="2"/>
      <c r="W4637" s="2"/>
      <c r="X4637" s="2"/>
      <c r="Y4637" s="2"/>
      <c r="Z4637" s="2"/>
      <c r="AA4637" s="2"/>
      <c r="AB4637" s="2"/>
      <c r="AC4637" s="2"/>
      <c r="AD4637" s="2"/>
      <c r="AE4637" s="2"/>
      <c r="AF4637" s="2"/>
      <c r="AG4637" s="2"/>
      <c r="AH4637" s="2"/>
      <c r="AI4637" s="2"/>
      <c r="AJ4637" s="2"/>
      <c r="AK4637" s="2"/>
      <c r="AL4637" s="2"/>
      <c r="AM4637" s="2"/>
      <c r="AN4637" s="2"/>
      <c r="AO4637" s="2"/>
      <c r="AP4637" s="2"/>
      <c r="AQ4637" s="2"/>
      <c r="AR4637" s="2"/>
      <c r="AS4637" s="2"/>
      <c r="AT4637" s="2"/>
      <c r="AU4637" s="2"/>
      <c r="AV4637" s="2"/>
      <c r="AW4637" s="2"/>
      <c r="AX4637" s="2"/>
      <c r="AY4637" s="2"/>
      <c r="AZ4637" s="2"/>
      <c r="BA4637" s="2"/>
      <c r="BB4637" s="2"/>
    </row>
    <row r="4638" ht="204.75" customHeight="1">
      <c r="A4638" s="1">
        <v>70.0</v>
      </c>
      <c r="B4638" s="2" t="s">
        <v>13105</v>
      </c>
      <c r="C4638" s="2">
        <f>IFERROR(__xludf.DUMMYFUNCTION("split(B4638,""_"")"),1910.0)</f>
        <v>1910</v>
      </c>
      <c r="D4638" s="2" t="str">
        <f>IFERROR(__xludf.DUMMYFUNCTION("""COMPUTED_VALUE"""),"TBS")</f>
        <v>TBS</v>
      </c>
      <c r="E4638" s="2" t="str">
        <f>IFERROR(__xludf.DUMMYFUNCTION("""COMPUTED_VALUE"""),"金22")</f>
        <v>金22</v>
      </c>
      <c r="F4638" s="2" t="s">
        <v>13106</v>
      </c>
      <c r="G4638" s="2" t="s">
        <v>13126</v>
      </c>
      <c r="H4638" s="1">
        <v>10.0</v>
      </c>
      <c r="I4638" s="1" t="s">
        <v>13108</v>
      </c>
      <c r="J4638" s="1" t="s">
        <v>86</v>
      </c>
      <c r="K4638" s="2" t="s">
        <v>13127</v>
      </c>
      <c r="L4638" s="2"/>
      <c r="M4638" s="2" t="str">
        <f>IFERROR(__xludf.DUMMYFUNCTION("split(split(K4638,""【"",false),""公式LINE"",false)"),"衝突事故に遭い、みこと(福士蒼汰)の必死の救命措置にも関わらず昏睡状態に陥った沙羅(菜々緒)。みことは廉(桐谷健太)、藍(横浜流星)そして帰国した母・理津(麻生祐未)と沙羅が目を覚ますことを信じ待つが運命の日は刻々と近づいていく。そんな中、みことは沙羅が事故の前に広洋(佐藤隆太)にあるものを託していたことを知り…。沙羅の命はどうなるのか!?みことは奇跡を起こせるか!?ついに運命の日が訪れる!!")</f>
        <v>衝突事故に遭い、みこと(福士蒼汰)の必死の救命措置にも関わらず昏睡状態に陥った沙羅(菜々緒)。みことは廉(桐谷健太)、藍(横浜流星)そして帰国した母・理津(麻生祐未)と沙羅が目を覚ますことを信じ待つが運命の日は刻々と近づいていく。そんな中、みことは沙羅が事故の前に広洋(佐藤隆太)にあるものを託していたことを知り…。沙羅の命はどうなるのか!?みことは奇跡を起こせるか!?ついに運命の日が訪れる!!</v>
      </c>
      <c r="N4638" s="2"/>
      <c r="O4638" s="2"/>
      <c r="P4638" s="2"/>
      <c r="Q4638" s="2"/>
      <c r="R4638" s="2"/>
      <c r="S4638" s="2"/>
      <c r="T4638" s="2"/>
      <c r="U4638" s="2"/>
      <c r="V4638" s="2"/>
      <c r="W4638" s="2"/>
      <c r="X4638" s="2"/>
      <c r="Y4638" s="2"/>
      <c r="Z4638" s="2"/>
      <c r="AA4638" s="2"/>
      <c r="AB4638" s="2"/>
      <c r="AC4638" s="2"/>
      <c r="AD4638" s="2"/>
      <c r="AE4638" s="2"/>
      <c r="AF4638" s="2"/>
      <c r="AG4638" s="2"/>
      <c r="AH4638" s="2"/>
      <c r="AI4638" s="2"/>
      <c r="AJ4638" s="2"/>
      <c r="AK4638" s="2"/>
      <c r="AL4638" s="2"/>
      <c r="AM4638" s="2"/>
      <c r="AN4638" s="2"/>
      <c r="AO4638" s="2"/>
      <c r="AP4638" s="2"/>
      <c r="AQ4638" s="2"/>
      <c r="AR4638" s="2"/>
      <c r="AS4638" s="2"/>
      <c r="AT4638" s="2"/>
      <c r="AU4638" s="2"/>
      <c r="AV4638" s="2"/>
      <c r="AW4638" s="2"/>
      <c r="AX4638" s="2"/>
      <c r="AY4638" s="2"/>
      <c r="AZ4638" s="2"/>
      <c r="BA4638" s="2"/>
      <c r="BB4638" s="2"/>
    </row>
    <row r="4639" ht="204.75" customHeight="1">
      <c r="A4639" s="1">
        <v>97.0</v>
      </c>
      <c r="B4639" s="2" t="s">
        <v>13128</v>
      </c>
      <c r="C4639" s="2">
        <f>IFERROR(__xludf.DUMMYFUNCTION("split(B4639,""_"")"),1910.0)</f>
        <v>1910</v>
      </c>
      <c r="D4639" s="2" t="str">
        <f>IFERROR(__xludf.DUMMYFUNCTION("""COMPUTED_VALUE"""),"TBS")</f>
        <v>TBS</v>
      </c>
      <c r="E4639" s="2" t="str">
        <f>IFERROR(__xludf.DUMMYFUNCTION("""COMPUTED_VALUE"""),"日21")</f>
        <v>日21</v>
      </c>
      <c r="F4639" s="2" t="s">
        <v>13129</v>
      </c>
      <c r="G4639" s="2" t="s">
        <v>13130</v>
      </c>
      <c r="H4639" s="1">
        <v>1.0</v>
      </c>
      <c r="J4639" s="1" t="s">
        <v>4</v>
      </c>
      <c r="K4639" s="2" t="s">
        <v>13131</v>
      </c>
      <c r="L4639" s="2"/>
      <c r="M4639" s="2" t="str">
        <f>IFERROR(__xludf.DUMMYFUNCTION("split(split(K4639,""【"",false),""公式LINE"",false)"),"舞台はパリ。フランスの三つ星「ランブロワジー」で料理人人生をかけて、面接を受けていた早見倫子(鈴木京香)。そんな中、ある一人の男と出会う。その男は突然かけこんできて、一方的にアイディアを出してから、借金取りに追われて去っていく。  その男は、パリで二つ星を獲得し、三つ星にもっとも近いとされたフレンチ料理人。しかし、3年前のある事件がきっかけて表舞台から姿を消した尾花夏樹(木村拓哉)だった。面接に落ちた倫子は、落ち込んでいる中、再び尾花に出会う。  そこで、尾花が作った料理のあまりのおいしさと、自分の才能の"&amp;"なさに思わず涙をこぼす。  その時、尾花は倫子に突然、一緒に店を作らないかと提案する。")</f>
        <v>舞台はパリ。フランスの三つ星「ランブロワジー」で料理人人生をかけて、面接を受けていた早見倫子(鈴木京香)。そんな中、ある一人の男と出会う。その男は突然かけこんできて、一方的にアイディアを出してから、借金取りに追われて去っていく。  その男は、パリで二つ星を獲得し、三つ星にもっとも近いとされたフレンチ料理人。しかし、3年前のある事件がきっかけて表舞台から姿を消した尾花夏樹(木村拓哉)だった。面接に落ちた倫子は、落ち込んでいる中、再び尾花に出会う。  そこで、尾花が作った料理のあまりのおいしさと、自分の才能のなさに思わず涙をこぼす。  その時、尾花は倫子に突然、一緒に店を作らないかと提案する。</v>
      </c>
      <c r="N4639" s="2"/>
      <c r="O4639" s="2"/>
      <c r="P4639" s="2"/>
      <c r="Q4639" s="2"/>
      <c r="R4639" s="2"/>
      <c r="S4639" s="2"/>
      <c r="T4639" s="2"/>
      <c r="U4639" s="2"/>
      <c r="V4639" s="2"/>
      <c r="W4639" s="2"/>
      <c r="X4639" s="2"/>
      <c r="Y4639" s="2"/>
      <c r="Z4639" s="2"/>
      <c r="AA4639" s="2"/>
      <c r="AB4639" s="2"/>
      <c r="AC4639" s="2"/>
      <c r="AD4639" s="2"/>
      <c r="AE4639" s="2"/>
      <c r="AF4639" s="2"/>
      <c r="AG4639" s="2"/>
      <c r="AH4639" s="2"/>
      <c r="AI4639" s="2"/>
      <c r="AJ4639" s="2"/>
      <c r="AK4639" s="2"/>
      <c r="AL4639" s="2"/>
      <c r="AM4639" s="2"/>
      <c r="AN4639" s="2"/>
      <c r="AO4639" s="2"/>
      <c r="AP4639" s="2"/>
      <c r="AQ4639" s="2"/>
      <c r="AR4639" s="2"/>
      <c r="AS4639" s="2"/>
      <c r="AT4639" s="2"/>
      <c r="AU4639" s="2"/>
      <c r="AV4639" s="2"/>
      <c r="AW4639" s="2"/>
      <c r="AX4639" s="2"/>
      <c r="AY4639" s="2"/>
      <c r="AZ4639" s="2"/>
      <c r="BA4639" s="2"/>
      <c r="BB4639" s="2"/>
    </row>
    <row r="4640" ht="204.75" customHeight="1">
      <c r="A4640" s="1">
        <v>98.0</v>
      </c>
      <c r="B4640" s="2" t="s">
        <v>13128</v>
      </c>
      <c r="C4640" s="2">
        <f>IFERROR(__xludf.DUMMYFUNCTION("split(B4640,""_"")"),1910.0)</f>
        <v>1910</v>
      </c>
      <c r="D4640" s="2" t="str">
        <f>IFERROR(__xludf.DUMMYFUNCTION("""COMPUTED_VALUE"""),"TBS")</f>
        <v>TBS</v>
      </c>
      <c r="E4640" s="2" t="str">
        <f>IFERROR(__xludf.DUMMYFUNCTION("""COMPUTED_VALUE"""),"日21")</f>
        <v>日21</v>
      </c>
      <c r="F4640" s="2" t="s">
        <v>13129</v>
      </c>
      <c r="G4640" s="2" t="s">
        <v>13132</v>
      </c>
      <c r="H4640" s="1">
        <v>2.0</v>
      </c>
      <c r="I4640" s="1" t="s">
        <v>2872</v>
      </c>
      <c r="J4640" s="1" t="s">
        <v>4</v>
      </c>
      <c r="K4640" s="2" t="s">
        <v>13133</v>
      </c>
      <c r="L4640" s="2"/>
      <c r="M4640" s="2" t="str">
        <f>IFERROR(__xludf.DUMMYFUNCTION("split(split(K4640,""【"",false),""公式LINE"",false)"),"オープンに向けて準備する「グランメゾン東京」。しかし大きな壁にぶちあたっていた。それは開店資金5000万。倫子(鈴木京香)と京野(沢村一樹)は銀行の融資をことごとく断られる。名声のある相沢(及川光博)に手を貸してほしいと頼むが、それも断られる。  尾花(木村拓哉)はそんな状況にも意を介さずメニュー開発を続けていた。  そんな中、京野はある秘策を思いつく。「gaku」時代に懇意にしていた城西信用金庫の汐瀬(春風亭昇太)に相談することだ。  汐瀬は、事業計画を見て、原価率の改善を要求する。それは、つまり今まで"&amp;"尾花が使ってきた食材を使わないで料理を作るということ。  そんな中、尾花は汐瀬に、最高の一品を作るから食べてくれと直談判する。  はたして、汐瀬を納得させることができるのか!?")</f>
        <v>オープンに向けて準備する「グランメゾン東京」。しかし大きな壁にぶちあたっていた。それは開店資金5000万。倫子(鈴木京香)と京野(沢村一樹)は銀行の融資をことごとく断られる。名声のある相沢(及川光博)に手を貸してほしいと頼むが、それも断られる。  尾花(木村拓哉)はそんな状況にも意を介さずメニュー開発を続けていた。  そんな中、京野はある秘策を思いつく。「gaku」時代に懇意にしていた城西信用金庫の汐瀬(春風亭昇太)に相談することだ。  汐瀬は、事業計画を見て、原価率の改善を要求する。それは、つまり今まで尾花が使ってきた食材を使わないで料理を作るということ。  そんな中、尾花は汐瀬に、最高の一品を作るから食べてくれと直談判する。  はたして、汐瀬を納得させることができるのか!?</v>
      </c>
      <c r="N4640" s="2"/>
      <c r="O4640" s="2"/>
      <c r="P4640" s="2"/>
      <c r="Q4640" s="2"/>
      <c r="R4640" s="2"/>
      <c r="S4640" s="2"/>
      <c r="T4640" s="2"/>
      <c r="U4640" s="2"/>
      <c r="V4640" s="2"/>
      <c r="W4640" s="2"/>
      <c r="X4640" s="2"/>
      <c r="Y4640" s="2"/>
      <c r="Z4640" s="2"/>
      <c r="AA4640" s="2"/>
      <c r="AB4640" s="2"/>
      <c r="AC4640" s="2"/>
      <c r="AD4640" s="2"/>
      <c r="AE4640" s="2"/>
      <c r="AF4640" s="2"/>
      <c r="AG4640" s="2"/>
      <c r="AH4640" s="2"/>
      <c r="AI4640" s="2"/>
      <c r="AJ4640" s="2"/>
      <c r="AK4640" s="2"/>
      <c r="AL4640" s="2"/>
      <c r="AM4640" s="2"/>
      <c r="AN4640" s="2"/>
      <c r="AO4640" s="2"/>
      <c r="AP4640" s="2"/>
      <c r="AQ4640" s="2"/>
      <c r="AR4640" s="2"/>
      <c r="AS4640" s="2"/>
      <c r="AT4640" s="2"/>
      <c r="AU4640" s="2"/>
      <c r="AV4640" s="2"/>
      <c r="AW4640" s="2"/>
      <c r="AX4640" s="2"/>
      <c r="AY4640" s="2"/>
      <c r="AZ4640" s="2"/>
      <c r="BA4640" s="2"/>
      <c r="BB4640" s="2"/>
    </row>
    <row r="4641" ht="204.75" customHeight="1">
      <c r="A4641" s="1">
        <v>99.0</v>
      </c>
      <c r="B4641" s="2" t="s">
        <v>13128</v>
      </c>
      <c r="C4641" s="2">
        <f>IFERROR(__xludf.DUMMYFUNCTION("split(B4641,""_"")"),1910.0)</f>
        <v>1910</v>
      </c>
      <c r="D4641" s="2" t="str">
        <f>IFERROR(__xludf.DUMMYFUNCTION("""COMPUTED_VALUE"""),"TBS")</f>
        <v>TBS</v>
      </c>
      <c r="E4641" s="2" t="str">
        <f>IFERROR(__xludf.DUMMYFUNCTION("""COMPUTED_VALUE"""),"日21")</f>
        <v>日21</v>
      </c>
      <c r="F4641" s="2" t="s">
        <v>13129</v>
      </c>
      <c r="G4641" s="2" t="s">
        <v>13134</v>
      </c>
      <c r="H4641" s="1">
        <v>3.0</v>
      </c>
      <c r="I4641" s="1" t="s">
        <v>2876</v>
      </c>
      <c r="J4641" s="1" t="s">
        <v>11</v>
      </c>
      <c r="K4641" s="2" t="s">
        <v>13135</v>
      </c>
      <c r="L4641" s="2"/>
      <c r="M4641" s="2" t="str">
        <f>IFERROR(__xludf.DUMMYFUNCTION("split(split(K4641,""【"",false),""公式LINE"",false)"),"尾花(木村拓哉)と倫子(鈴木京香)はコースのメインである肉料理開発に挑んでいた。  そんな折、京野(沢村一樹)はフリーライター栞奈(中村アン)の紹介で鹿肉のジビエ料理コンクールのエントリーを提案する。そこには丹後(尾上菊之助)も出場することがわかり、尾花は俄然やる気になる。  しかし、江藤(手塚とおる)により、上質な鹿肉はすべて買い占められていた。  絶対不利な状況の中、尾花は相沢(及川光博)の情報を頼りに伝説のジビエ猟師・峰岸(石丸幹二)に会いに行く。しかし、頑固な職人の峰岸に門前払いされてしまう。  "&amp;"そんな中、時間は迫ってしまい、コンクールの日を迎える。はたして勝敗はどうなるのか!?  ")</f>
        <v>尾花(木村拓哉)と倫子(鈴木京香)はコースのメインである肉料理開発に挑んでいた。  そんな折、京野(沢村一樹)はフリーライター栞奈(中村アン)の紹介で鹿肉のジビエ料理コンクールのエントリーを提案する。そこには丹後(尾上菊之助)も出場することがわかり、尾花は俄然やる気になる。  しかし、江藤(手塚とおる)により、上質な鹿肉はすべて買い占められていた。  絶対不利な状況の中、尾花は相沢(及川光博)の情報を頼りに伝説のジビエ猟師・峰岸(石丸幹二)に会いに行く。しかし、頑固な職人の峰岸に門前払いされてしまう。  そんな中、時間は迫ってしまい、コンクールの日を迎える。はたして勝敗はどうなるのか!?  </v>
      </c>
      <c r="N4641" s="2"/>
      <c r="O4641" s="2"/>
      <c r="P4641" s="2"/>
      <c r="Q4641" s="2"/>
      <c r="R4641" s="2"/>
      <c r="S4641" s="2"/>
      <c r="T4641" s="2"/>
      <c r="U4641" s="2"/>
      <c r="V4641" s="2"/>
      <c r="W4641" s="2"/>
      <c r="X4641" s="2"/>
      <c r="Y4641" s="2"/>
      <c r="Z4641" s="2"/>
      <c r="AA4641" s="2"/>
      <c r="AB4641" s="2"/>
      <c r="AC4641" s="2"/>
      <c r="AD4641" s="2"/>
      <c r="AE4641" s="2"/>
      <c r="AF4641" s="2"/>
      <c r="AG4641" s="2"/>
      <c r="AH4641" s="2"/>
      <c r="AI4641" s="2"/>
      <c r="AJ4641" s="2"/>
      <c r="AK4641" s="2"/>
      <c r="AL4641" s="2"/>
      <c r="AM4641" s="2"/>
      <c r="AN4641" s="2"/>
      <c r="AO4641" s="2"/>
      <c r="AP4641" s="2"/>
      <c r="AQ4641" s="2"/>
      <c r="AR4641" s="2"/>
      <c r="AS4641" s="2"/>
      <c r="AT4641" s="2"/>
      <c r="AU4641" s="2"/>
      <c r="AV4641" s="2"/>
      <c r="AW4641" s="2"/>
      <c r="AX4641" s="2"/>
      <c r="AY4641" s="2"/>
      <c r="AZ4641" s="2"/>
      <c r="BA4641" s="2"/>
      <c r="BB4641" s="2"/>
    </row>
    <row r="4642" ht="204.75" customHeight="1">
      <c r="A4642" s="1">
        <v>100.0</v>
      </c>
      <c r="B4642" s="2" t="s">
        <v>13128</v>
      </c>
      <c r="C4642" s="2">
        <f>IFERROR(__xludf.DUMMYFUNCTION("split(B4642,""_"")"),1910.0)</f>
        <v>1910</v>
      </c>
      <c r="D4642" s="2" t="str">
        <f>IFERROR(__xludf.DUMMYFUNCTION("""COMPUTED_VALUE"""),"TBS")</f>
        <v>TBS</v>
      </c>
      <c r="E4642" s="2" t="str">
        <f>IFERROR(__xludf.DUMMYFUNCTION("""COMPUTED_VALUE"""),"日21")</f>
        <v>日21</v>
      </c>
      <c r="F4642" s="2" t="s">
        <v>13129</v>
      </c>
      <c r="G4642" s="2" t="s">
        <v>13136</v>
      </c>
      <c r="H4642" s="1">
        <v>4.0</v>
      </c>
      <c r="J4642" s="1" t="s">
        <v>11</v>
      </c>
      <c r="K4642" s="2" t="s">
        <v>13137</v>
      </c>
      <c r="L4642" s="2"/>
      <c r="M4642" s="2" t="str">
        <f>IFERROR(__xludf.DUMMYFUNCTION("split(split(K4642,""【"",false),""公式LINE"",false)"),"いよいよプレオープンが決まる。だが、そこにはグルメ雑誌編集長・リンダ(冨永愛)が食べに来ることになった。世界的に名声のある彼女は、「彼女の評価一つで店の今後が変わる」といわれるほど、影響力が強かった。やる気を燃やす尾花(木村拓哉)に対して、緊張と不安が高まる倫子(鈴木京香)。  そんな中、尾花は突然デザートを作り直すという。コースの最後を締めるデザートはとても重要で今のままではリンダを納得させられないと感じたのだ。  そして、尾花は萌絵(吉谷彩子)をスカウトしに行く。  しかし、萌絵が作った試作品に納得が"&amp;"いかなかった尾花は、自ら作ることに。  結局、萌絵と尾花は、それぞれ栗を使ったデザートを作りあい、勝負することになる。  刻々と近づくプレオープンの日。はたして、リンダの前に出されたデザートは?そして、リンダをうならせることはできるのか!?")</f>
        <v>いよいよプレオープンが決まる。だが、そこにはグルメ雑誌編集長・リンダ(冨永愛)が食べに来ることになった。世界的に名声のある彼女は、「彼女の評価一つで店の今後が変わる」といわれるほど、影響力が強かった。やる気を燃やす尾花(木村拓哉)に対して、緊張と不安が高まる倫子(鈴木京香)。  そんな中、尾花は突然デザートを作り直すという。コースの最後を締めるデザートはとても重要で今のままではリンダを納得させられないと感じたのだ。  そして、尾花は萌絵(吉谷彩子)をスカウトしに行く。  しかし、萌絵が作った試作品に納得がいかなかった尾花は、自ら作ることに。  結局、萌絵と尾花は、それぞれ栗を使ったデザートを作りあい、勝負することになる。  刻々と近づくプレオープンの日。はたして、リンダの前に出されたデザートは?そして、リンダをうならせることはできるのか!?</v>
      </c>
      <c r="N4642" s="2"/>
      <c r="O4642" s="2"/>
      <c r="P4642" s="2"/>
      <c r="Q4642" s="2"/>
      <c r="R4642" s="2"/>
      <c r="S4642" s="2"/>
      <c r="T4642" s="2"/>
      <c r="U4642" s="2"/>
      <c r="V4642" s="2"/>
      <c r="W4642" s="2"/>
      <c r="X4642" s="2"/>
      <c r="Y4642" s="2"/>
      <c r="Z4642" s="2"/>
      <c r="AA4642" s="2"/>
      <c r="AB4642" s="2"/>
      <c r="AC4642" s="2"/>
      <c r="AD4642" s="2"/>
      <c r="AE4642" s="2"/>
      <c r="AF4642" s="2"/>
      <c r="AG4642" s="2"/>
      <c r="AH4642" s="2"/>
      <c r="AI4642" s="2"/>
      <c r="AJ4642" s="2"/>
      <c r="AK4642" s="2"/>
      <c r="AL4642" s="2"/>
      <c r="AM4642" s="2"/>
      <c r="AN4642" s="2"/>
      <c r="AO4642" s="2"/>
      <c r="AP4642" s="2"/>
      <c r="AQ4642" s="2"/>
      <c r="AR4642" s="2"/>
      <c r="AS4642" s="2"/>
      <c r="AT4642" s="2"/>
      <c r="AU4642" s="2"/>
      <c r="AV4642" s="2"/>
      <c r="AW4642" s="2"/>
      <c r="AX4642" s="2"/>
      <c r="AY4642" s="2"/>
      <c r="AZ4642" s="2"/>
      <c r="BA4642" s="2"/>
      <c r="BB4642" s="2"/>
    </row>
    <row r="4643" ht="204.75" customHeight="1">
      <c r="A4643" s="1">
        <v>101.0</v>
      </c>
      <c r="B4643" s="2" t="s">
        <v>13128</v>
      </c>
      <c r="C4643" s="2">
        <f>IFERROR(__xludf.DUMMYFUNCTION("split(B4643,""_"")"),1910.0)</f>
        <v>1910</v>
      </c>
      <c r="D4643" s="2" t="str">
        <f>IFERROR(__xludf.DUMMYFUNCTION("""COMPUTED_VALUE"""),"TBS")</f>
        <v>TBS</v>
      </c>
      <c r="E4643" s="2" t="str">
        <f>IFERROR(__xludf.DUMMYFUNCTION("""COMPUTED_VALUE"""),"日21")</f>
        <v>日21</v>
      </c>
      <c r="F4643" s="2" t="s">
        <v>13129</v>
      </c>
      <c r="G4643" s="2" t="s">
        <v>13138</v>
      </c>
      <c r="H4643" s="1">
        <v>5.0</v>
      </c>
      <c r="J4643" s="1" t="s">
        <v>11</v>
      </c>
      <c r="K4643" s="2" t="s">
        <v>13139</v>
      </c>
      <c r="L4643" s="2"/>
      <c r="M4643" s="2" t="str">
        <f>IFERROR(__xludf.DUMMYFUNCTION("split(split(K4643,""【"",false),""公式LINE"",false)"),"3年前の事件がリンダ(冨永愛)の記事により、再燃。尾花(木村拓哉)と倫子(鈴木京香)は、記者から直撃を受けて、グランメゾン東京は、最悪のオープン初日を迎える。  予約キャンセルが相次ぐ中、尾花は店の窮地を救うべく、フードフェスへの出店を提案する。  余った食材を使った絶品料理を作ることで、店へのお客さん誘導に繋げたいと考えたのだ。  そして、そこに強力な助っ人が加わった。  祥平だ。全員で力を合わせて、挑む。  はたして、尾花は失った信用を取り戻すことはできるのか!?")</f>
        <v>3年前の事件がリンダ(冨永愛)の記事により、再燃。尾花(木村拓哉)と倫子(鈴木京香)は、記者から直撃を受けて、グランメゾン東京は、最悪のオープン初日を迎える。  予約キャンセルが相次ぐ中、尾花は店の窮地を救うべく、フードフェスへの出店を提案する。  余った食材を使った絶品料理を作ることで、店へのお客さん誘導に繋げたいと考えたのだ。  そして、そこに強力な助っ人が加わった。  祥平だ。全員で力を合わせて、挑む。  はたして、尾花は失った信用を取り戻すことはできるのか!?</v>
      </c>
      <c r="N4643" s="2"/>
      <c r="O4643" s="2"/>
      <c r="P4643" s="2"/>
      <c r="Q4643" s="2"/>
      <c r="R4643" s="2"/>
      <c r="S4643" s="2"/>
      <c r="T4643" s="2"/>
      <c r="U4643" s="2"/>
      <c r="V4643" s="2"/>
      <c r="W4643" s="2"/>
      <c r="X4643" s="2"/>
      <c r="Y4643" s="2"/>
      <c r="Z4643" s="2"/>
      <c r="AA4643" s="2"/>
      <c r="AB4643" s="2"/>
      <c r="AC4643" s="2"/>
      <c r="AD4643" s="2"/>
      <c r="AE4643" s="2"/>
      <c r="AF4643" s="2"/>
      <c r="AG4643" s="2"/>
      <c r="AH4643" s="2"/>
      <c r="AI4643" s="2"/>
      <c r="AJ4643" s="2"/>
      <c r="AK4643" s="2"/>
      <c r="AL4643" s="2"/>
      <c r="AM4643" s="2"/>
      <c r="AN4643" s="2"/>
      <c r="AO4643" s="2"/>
      <c r="AP4643" s="2"/>
      <c r="AQ4643" s="2"/>
      <c r="AR4643" s="2"/>
      <c r="AS4643" s="2"/>
      <c r="AT4643" s="2"/>
      <c r="AU4643" s="2"/>
      <c r="AV4643" s="2"/>
      <c r="AW4643" s="2"/>
      <c r="AX4643" s="2"/>
      <c r="AY4643" s="2"/>
      <c r="AZ4643" s="2"/>
      <c r="BA4643" s="2"/>
      <c r="BB4643" s="2"/>
    </row>
    <row r="4644" ht="204.75" customHeight="1">
      <c r="A4644" s="1">
        <v>102.0</v>
      </c>
      <c r="B4644" s="2" t="s">
        <v>13128</v>
      </c>
      <c r="C4644" s="2">
        <f>IFERROR(__xludf.DUMMYFUNCTION("split(B4644,""_"")"),1910.0)</f>
        <v>1910</v>
      </c>
      <c r="D4644" s="2" t="str">
        <f>IFERROR(__xludf.DUMMYFUNCTION("""COMPUTED_VALUE"""),"TBS")</f>
        <v>TBS</v>
      </c>
      <c r="E4644" s="2" t="str">
        <f>IFERROR(__xludf.DUMMYFUNCTION("""COMPUTED_VALUE"""),"日21")</f>
        <v>日21</v>
      </c>
      <c r="F4644" s="2" t="s">
        <v>13129</v>
      </c>
      <c r="G4644" s="2" t="s">
        <v>13140</v>
      </c>
      <c r="H4644" s="1">
        <v>6.0</v>
      </c>
      <c r="J4644" s="1" t="s">
        <v>11</v>
      </c>
      <c r="K4644" s="2" t="s">
        <v>13141</v>
      </c>
      <c r="L4644" s="2"/>
      <c r="M4644" s="2" t="str">
        <f>IFERROR(__xludf.DUMMYFUNCTION("split(split(K4644,""【"",false),""公式LINE"",false)"),"祥平(玉森裕太)が丹後(尾上菊之助)のいるgakuに入ったことを知り、戸惑う京野(沢村一樹)と相沢(及川光博)。しかし、尾花(木村拓哉)は、強力なライバルの出現を楽しんでいた。  そんな中、今年度のトップレストラン50の表彰式が東京で行われることが決定。尾花は、日本が誇る食材“鮮魚""を使った料理を開発しなおすことを決めた。その頃、丹後と祥平も魚料理の新メニューに取り組んでいた。一方、グランメゾン東京のスタッフに栞奈(中村アン)が志願し、加わることに。着々とチームが出来上がる中、江藤(手塚とおる)から金を"&amp;"受け取って内部情報を流していた芹田(寛 一 郎)は一人取り残されていた。そして、その怒りから、店を辞めると告げる。  暗雲漂う中、グランメゾン東京は、はたして新メニューを完成させることができるのか!?  ")</f>
        <v>祥平(玉森裕太)が丹後(尾上菊之助)のいるgakuに入ったことを知り、戸惑う京野(沢村一樹)と相沢(及川光博)。しかし、尾花(木村拓哉)は、強力なライバルの出現を楽しんでいた。  そんな中、今年度のトップレストラン50の表彰式が東京で行われることが決定。尾花は、日本が誇る食材“鮮魚"を使った料理を開発しなおすことを決めた。その頃、丹後と祥平も魚料理の新メニューに取り組んでいた。一方、グランメゾン東京のスタッフに栞奈(中村アン)が志願し、加わることに。着々とチームが出来上がる中、江藤(手塚とおる)から金を受け取って内部情報を流していた芹田(寛 一 郎)は一人取り残されていた。そして、その怒りから、店を辞めると告げる。  暗雲漂う中、グランメゾン東京は、はたして新メニューを完成させることができるのか!?  </v>
      </c>
      <c r="N4644" s="2"/>
      <c r="O4644" s="2"/>
      <c r="P4644" s="2"/>
      <c r="Q4644" s="2"/>
      <c r="R4644" s="2"/>
      <c r="S4644" s="2"/>
      <c r="T4644" s="2"/>
      <c r="U4644" s="2"/>
      <c r="V4644" s="2"/>
      <c r="W4644" s="2"/>
      <c r="X4644" s="2"/>
      <c r="Y4644" s="2"/>
      <c r="Z4644" s="2"/>
      <c r="AA4644" s="2"/>
      <c r="AB4644" s="2"/>
      <c r="AC4644" s="2"/>
      <c r="AD4644" s="2"/>
      <c r="AE4644" s="2"/>
      <c r="AF4644" s="2"/>
      <c r="AG4644" s="2"/>
      <c r="AH4644" s="2"/>
      <c r="AI4644" s="2"/>
      <c r="AJ4644" s="2"/>
      <c r="AK4644" s="2"/>
      <c r="AL4644" s="2"/>
      <c r="AM4644" s="2"/>
      <c r="AN4644" s="2"/>
      <c r="AO4644" s="2"/>
      <c r="AP4644" s="2"/>
      <c r="AQ4644" s="2"/>
      <c r="AR4644" s="2"/>
      <c r="AS4644" s="2"/>
      <c r="AT4644" s="2"/>
      <c r="AU4644" s="2"/>
      <c r="AV4644" s="2"/>
      <c r="AW4644" s="2"/>
      <c r="AX4644" s="2"/>
      <c r="AY4644" s="2"/>
      <c r="AZ4644" s="2"/>
      <c r="BA4644" s="2"/>
      <c r="BB4644" s="2"/>
    </row>
    <row r="4645" ht="204.75" customHeight="1">
      <c r="A4645" s="1">
        <v>103.0</v>
      </c>
      <c r="B4645" s="2" t="s">
        <v>13128</v>
      </c>
      <c r="C4645" s="2">
        <f>IFERROR(__xludf.DUMMYFUNCTION("split(B4645,""_"")"),1910.0)</f>
        <v>1910</v>
      </c>
      <c r="D4645" s="2" t="str">
        <f>IFERROR(__xludf.DUMMYFUNCTION("""COMPUTED_VALUE"""),"TBS")</f>
        <v>TBS</v>
      </c>
      <c r="E4645" s="2" t="str">
        <f>IFERROR(__xludf.DUMMYFUNCTION("""COMPUTED_VALUE"""),"日21")</f>
        <v>日21</v>
      </c>
      <c r="F4645" s="2" t="s">
        <v>13129</v>
      </c>
      <c r="G4645" s="2" t="s">
        <v>13142</v>
      </c>
      <c r="H4645" s="1">
        <v>7.0</v>
      </c>
      <c r="J4645" s="1" t="s">
        <v>11</v>
      </c>
      <c r="K4645" s="2" t="s">
        <v>13143</v>
      </c>
      <c r="L4645" s="2"/>
      <c r="M4645" s="2" t="str">
        <f>IFERROR(__xludf.DUMMYFUNCTION("split(split(K4645,""【"",false),""公式LINE"",false)"),"遂に幕を開けたトップレストラン50の発表セレモニー。相沢(及川光博)は並々ならぬ覚悟で迎えていた。というのも、発表の一週間前に突然現れた失踪妻エリーゼ(太田緑ロランス)が、グランメゾン東京がトップ10を超えないと娘を連れて帰るといったからだ。  尾花(木村拓哉)もエスコフィユ時代の最高順位である10位を超えるために気合いを入れていた。そんな中、尾花は相沢のためにあることを思いつく。一方、丹後(尾上菊之助)と祥平(玉森裕太)も発表に向けて、期待を膨らませていた。  そして、いよいよ発表のとき。  はたしてグ"&amp;"ランメゾン東京の順位は!?  ")</f>
        <v>遂に幕を開けたトップレストラン50の発表セレモニー。相沢(及川光博)は並々ならぬ覚悟で迎えていた。というのも、発表の一週間前に突然現れた失踪妻エリーゼ(太田緑ロランス)が、グランメゾン東京がトップ10を超えないと娘を連れて帰るといったからだ。  尾花(木村拓哉)もエスコフィユ時代の最高順位である10位を超えるために気合いを入れていた。そんな中、尾花は相沢のためにあることを思いつく。一方、丹後(尾上菊之助)と祥平(玉森裕太)も発表に向けて、期待を膨らませていた。  そして、いよいよ発表のとき。  はたしてグランメゾン東京の順位は!?  </v>
      </c>
      <c r="N4645" s="2"/>
      <c r="O4645" s="2"/>
      <c r="P4645" s="2"/>
      <c r="Q4645" s="2"/>
      <c r="R4645" s="2"/>
      <c r="S4645" s="2"/>
      <c r="T4645" s="2"/>
      <c r="U4645" s="2"/>
      <c r="V4645" s="2"/>
      <c r="W4645" s="2"/>
      <c r="X4645" s="2"/>
      <c r="Y4645" s="2"/>
      <c r="Z4645" s="2"/>
      <c r="AA4645" s="2"/>
      <c r="AB4645" s="2"/>
      <c r="AC4645" s="2"/>
      <c r="AD4645" s="2"/>
      <c r="AE4645" s="2"/>
      <c r="AF4645" s="2"/>
      <c r="AG4645" s="2"/>
      <c r="AH4645" s="2"/>
      <c r="AI4645" s="2"/>
      <c r="AJ4645" s="2"/>
      <c r="AK4645" s="2"/>
      <c r="AL4645" s="2"/>
      <c r="AM4645" s="2"/>
      <c r="AN4645" s="2"/>
      <c r="AO4645" s="2"/>
      <c r="AP4645" s="2"/>
      <c r="AQ4645" s="2"/>
      <c r="AR4645" s="2"/>
      <c r="AS4645" s="2"/>
      <c r="AT4645" s="2"/>
      <c r="AU4645" s="2"/>
      <c r="AV4645" s="2"/>
      <c r="AW4645" s="2"/>
      <c r="AX4645" s="2"/>
      <c r="AY4645" s="2"/>
      <c r="AZ4645" s="2"/>
      <c r="BA4645" s="2"/>
      <c r="BB4645" s="2"/>
    </row>
    <row r="4646" ht="204.75" customHeight="1">
      <c r="A4646" s="1">
        <v>104.0</v>
      </c>
      <c r="B4646" s="2" t="s">
        <v>13128</v>
      </c>
      <c r="C4646" s="2">
        <f>IFERROR(__xludf.DUMMYFUNCTION("split(B4646,""_"")"),1910.0)</f>
        <v>1910</v>
      </c>
      <c r="D4646" s="2" t="str">
        <f>IFERROR(__xludf.DUMMYFUNCTION("""COMPUTED_VALUE"""),"TBS")</f>
        <v>TBS</v>
      </c>
      <c r="E4646" s="2" t="str">
        <f>IFERROR(__xludf.DUMMYFUNCTION("""COMPUTED_VALUE"""),"日21")</f>
        <v>日21</v>
      </c>
      <c r="F4646" s="2" t="s">
        <v>13129</v>
      </c>
      <c r="G4646" s="2" t="s">
        <v>13144</v>
      </c>
      <c r="H4646" s="1">
        <v>8.0</v>
      </c>
      <c r="J4646" s="1" t="s">
        <v>11</v>
      </c>
      <c r="K4646" s="2" t="s">
        <v>13145</v>
      </c>
      <c r="L4646" s="2"/>
      <c r="M4646" s="2" t="str">
        <f>IFERROR(__xludf.DUMMYFUNCTION("split(split(K4646,""【"",false),""公式LINE"",false)"),"京野(沢村一樹)が、倫子(鈴木京香)に告白した翌日、尾花(木村拓哉)が音信不通になってしまう。周りの心配をよそに、夕方に戻ってきた尾花が連れてきたのは、彼の料理の師匠・潮卓(木場勝己)だった。彼の娘の凪子(伊藤歩)に頼まれて、退院する潮を迎えに行っていたのだという。  尾花は、潮に店の料理を食べてもらおうとするが、ほとんど手をつけず、途中で怒って帰ってしまう。帰り際に、一番の問題は京野にある、とだけ言い残していく。  原因を探るべく、潮の店に行った倫子たちは、そこで出された定番のビーフシチューのおいしさに"&amp;"衝撃を受ける。そんな中、尾花は、潮の様子に異変を感じて・・・")</f>
        <v>京野(沢村一樹)が、倫子(鈴木京香)に告白した翌日、尾花(木村拓哉)が音信不通になってしまう。周りの心配をよそに、夕方に戻ってきた尾花が連れてきたのは、彼の料理の師匠・潮卓(木場勝己)だった。彼の娘の凪子(伊藤歩)に頼まれて、退院する潮を迎えに行っていたのだという。  尾花は、潮に店の料理を食べてもらおうとするが、ほとんど手をつけず、途中で怒って帰ってしまう。帰り際に、一番の問題は京野にある、とだけ言い残していく。  原因を探るべく、潮の店に行った倫子たちは、そこで出された定番のビーフシチューのおいしさに衝撃を受ける。そんな中、尾花は、潮の様子に異変を感じて・・・</v>
      </c>
      <c r="N4646" s="2"/>
      <c r="O4646" s="2"/>
      <c r="P4646" s="2"/>
      <c r="Q4646" s="2"/>
      <c r="R4646" s="2"/>
      <c r="S4646" s="2"/>
      <c r="T4646" s="2"/>
      <c r="U4646" s="2"/>
      <c r="V4646" s="2"/>
      <c r="W4646" s="2"/>
      <c r="X4646" s="2"/>
      <c r="Y4646" s="2"/>
      <c r="Z4646" s="2"/>
      <c r="AA4646" s="2"/>
      <c r="AB4646" s="2"/>
      <c r="AC4646" s="2"/>
      <c r="AD4646" s="2"/>
      <c r="AE4646" s="2"/>
      <c r="AF4646" s="2"/>
      <c r="AG4646" s="2"/>
      <c r="AH4646" s="2"/>
      <c r="AI4646" s="2"/>
      <c r="AJ4646" s="2"/>
      <c r="AK4646" s="2"/>
      <c r="AL4646" s="2"/>
      <c r="AM4646" s="2"/>
      <c r="AN4646" s="2"/>
      <c r="AO4646" s="2"/>
      <c r="AP4646" s="2"/>
      <c r="AQ4646" s="2"/>
      <c r="AR4646" s="2"/>
      <c r="AS4646" s="2"/>
      <c r="AT4646" s="2"/>
      <c r="AU4646" s="2"/>
      <c r="AV4646" s="2"/>
      <c r="AW4646" s="2"/>
      <c r="AX4646" s="2"/>
      <c r="AY4646" s="2"/>
      <c r="AZ4646" s="2"/>
      <c r="BA4646" s="2"/>
      <c r="BB4646" s="2"/>
    </row>
    <row r="4647" ht="204.75" customHeight="1">
      <c r="A4647" s="1">
        <v>105.0</v>
      </c>
      <c r="B4647" s="2" t="s">
        <v>13128</v>
      </c>
      <c r="C4647" s="2">
        <f>IFERROR(__xludf.DUMMYFUNCTION("split(B4647,""_"")"),1910.0)</f>
        <v>1910</v>
      </c>
      <c r="D4647" s="2" t="str">
        <f>IFERROR(__xludf.DUMMYFUNCTION("""COMPUTED_VALUE"""),"TBS")</f>
        <v>TBS</v>
      </c>
      <c r="E4647" s="2" t="str">
        <f>IFERROR(__xludf.DUMMYFUNCTION("""COMPUTED_VALUE"""),"日21")</f>
        <v>日21</v>
      </c>
      <c r="F4647" s="2" t="s">
        <v>13129</v>
      </c>
      <c r="G4647" s="2" t="s">
        <v>13146</v>
      </c>
      <c r="H4647" s="1">
        <v>9.0</v>
      </c>
      <c r="J4647" s="1" t="s">
        <v>11</v>
      </c>
      <c r="K4647" s="2" t="s">
        <v>13147</v>
      </c>
      <c r="L4647" s="2"/>
      <c r="M4647" s="2" t="str">
        <f>IFERROR(__xludf.DUMMYFUNCTION("split(split(K4647,""【"",false),""公式LINE"",false)"),"栞奈(中村アン)は店を急きょやめることになった。再びフードライターに戻るという。  そんな中、尾花(木村拓哉)は彼女の履歴書にある違和感を抱く。  一方、ミシュランの審査開始時期まであと一か月。倫子(鈴木京香)は、コース料理をリニューアルすることを決める。同時に、尾花は前菜に合うワインも変えることを提案し、栞奈に最後の仕事として、試飲会を開くことを依頼する。一方、gakuで働く祥平(玉森裕太)のもとに、フランス大使館の文則(マイケル富岡)が訪ねてくる。3年前のアレルギー事件について、真犯人を見つけたという"&amp;"。そんな中、グランメゾン東京で開かれたワインの試飲会で、萌絵(吉谷彩子)が突然倒れて、病院に運ばれてしまう・・・。")</f>
        <v>栞奈(中村アン)は店を急きょやめることになった。再びフードライターに戻るという。  そんな中、尾花(木村拓哉)は彼女の履歴書にある違和感を抱く。  一方、ミシュランの審査開始時期まであと一か月。倫子(鈴木京香)は、コース料理をリニューアルすることを決める。同時に、尾花は前菜に合うワインも変えることを提案し、栞奈に最後の仕事として、試飲会を開くことを依頼する。一方、gakuで働く祥平(玉森裕太)のもとに、フランス大使館の文則(マイケル富岡)が訪ねてくる。3年前のアレルギー事件について、真犯人を見つけたという。そんな中、グランメゾン東京で開かれたワインの試飲会で、萌絵(吉谷彩子)が突然倒れて、病院に運ばれてしまう・・・。</v>
      </c>
      <c r="N4647" s="2"/>
      <c r="O4647" s="2"/>
      <c r="P4647" s="2"/>
      <c r="Q4647" s="2"/>
      <c r="R4647" s="2"/>
      <c r="S4647" s="2"/>
      <c r="T4647" s="2"/>
      <c r="U4647" s="2"/>
      <c r="V4647" s="2"/>
      <c r="W4647" s="2"/>
      <c r="X4647" s="2"/>
      <c r="Y4647" s="2"/>
      <c r="Z4647" s="2"/>
      <c r="AA4647" s="2"/>
      <c r="AB4647" s="2"/>
      <c r="AC4647" s="2"/>
      <c r="AD4647" s="2"/>
      <c r="AE4647" s="2"/>
      <c r="AF4647" s="2"/>
      <c r="AG4647" s="2"/>
      <c r="AH4647" s="2"/>
      <c r="AI4647" s="2"/>
      <c r="AJ4647" s="2"/>
      <c r="AK4647" s="2"/>
      <c r="AL4647" s="2"/>
      <c r="AM4647" s="2"/>
      <c r="AN4647" s="2"/>
      <c r="AO4647" s="2"/>
      <c r="AP4647" s="2"/>
      <c r="AQ4647" s="2"/>
      <c r="AR4647" s="2"/>
      <c r="AS4647" s="2"/>
      <c r="AT4647" s="2"/>
      <c r="AU4647" s="2"/>
      <c r="AV4647" s="2"/>
      <c r="AW4647" s="2"/>
      <c r="AX4647" s="2"/>
      <c r="AY4647" s="2"/>
      <c r="AZ4647" s="2"/>
      <c r="BA4647" s="2"/>
      <c r="BB4647" s="2"/>
    </row>
    <row r="4648" ht="204.75" customHeight="1">
      <c r="A4648" s="1">
        <v>106.0</v>
      </c>
      <c r="B4648" s="2" t="s">
        <v>13128</v>
      </c>
      <c r="C4648" s="2">
        <f>IFERROR(__xludf.DUMMYFUNCTION("split(B4648,""_"")"),1910.0)</f>
        <v>1910</v>
      </c>
      <c r="D4648" s="2" t="str">
        <f>IFERROR(__xludf.DUMMYFUNCTION("""COMPUTED_VALUE"""),"TBS")</f>
        <v>TBS</v>
      </c>
      <c r="E4648" s="2" t="str">
        <f>IFERROR(__xludf.DUMMYFUNCTION("""COMPUTED_VALUE"""),"日21")</f>
        <v>日21</v>
      </c>
      <c r="F4648" s="2" t="s">
        <v>13129</v>
      </c>
      <c r="G4648" s="2" t="s">
        <v>13148</v>
      </c>
      <c r="H4648" s="1">
        <v>10.0</v>
      </c>
      <c r="J4648" s="1" t="s">
        <v>4</v>
      </c>
      <c r="K4648" s="2" t="s">
        <v>13149</v>
      </c>
      <c r="L4648" s="2"/>
      <c r="M4648" s="2" t="str">
        <f>IFERROR(__xludf.DUMMYFUNCTION("split(split(K4648,""【"",false),""公式LINE"",false)"),"尾花(木村拓哉)はリンダ(冨永愛)の告発により、「gaku」を去ることになった祥平(玉森裕太)を店に誘う。しかし、断る祥平に、京野をはじめとしたメンバーは、ある方法を思いつく。一方、丹後(尾上菊之助)はミシュラン調査のプレッシャーから追い込まれていた。  そんな丹後に江藤(手塚とおる)はあることを仕掛ける。  そして、尾花はミシュランに向けて、ある大きな決断を下す")</f>
        <v>尾花(木村拓哉)はリンダ(冨永愛)の告発により、「gaku」を去ることになった祥平(玉森裕太)を店に誘う。しかし、断る祥平に、京野をはじめとしたメンバーは、ある方法を思いつく。一方、丹後(尾上菊之助)はミシュラン調査のプレッシャーから追い込まれていた。  そんな丹後に江藤(手塚とおる)はあることを仕掛ける。  そして、尾花はミシュランに向けて、ある大きな決断を下す</v>
      </c>
      <c r="N4648" s="2"/>
      <c r="O4648" s="2"/>
      <c r="P4648" s="2"/>
      <c r="Q4648" s="2"/>
      <c r="R4648" s="2"/>
      <c r="S4648" s="2"/>
      <c r="T4648" s="2"/>
      <c r="U4648" s="2"/>
      <c r="V4648" s="2"/>
      <c r="W4648" s="2"/>
      <c r="X4648" s="2"/>
      <c r="Y4648" s="2"/>
      <c r="Z4648" s="2"/>
      <c r="AA4648" s="2"/>
      <c r="AB4648" s="2"/>
      <c r="AC4648" s="2"/>
      <c r="AD4648" s="2"/>
      <c r="AE4648" s="2"/>
      <c r="AF4648" s="2"/>
      <c r="AG4648" s="2"/>
      <c r="AH4648" s="2"/>
      <c r="AI4648" s="2"/>
      <c r="AJ4648" s="2"/>
      <c r="AK4648" s="2"/>
      <c r="AL4648" s="2"/>
      <c r="AM4648" s="2"/>
      <c r="AN4648" s="2"/>
      <c r="AO4648" s="2"/>
      <c r="AP4648" s="2"/>
      <c r="AQ4648" s="2"/>
      <c r="AR4648" s="2"/>
      <c r="AS4648" s="2"/>
      <c r="AT4648" s="2"/>
      <c r="AU4648" s="2"/>
      <c r="AV4648" s="2"/>
      <c r="AW4648" s="2"/>
      <c r="AX4648" s="2"/>
      <c r="AY4648" s="2"/>
      <c r="AZ4648" s="2"/>
      <c r="BA4648" s="2"/>
      <c r="BB4648" s="2"/>
    </row>
    <row r="4649" ht="204.75" customHeight="1">
      <c r="A4649" s="1">
        <v>107.0</v>
      </c>
      <c r="B4649" s="2" t="s">
        <v>13128</v>
      </c>
      <c r="C4649" s="2">
        <f>IFERROR(__xludf.DUMMYFUNCTION("split(B4649,""_"")"),1910.0)</f>
        <v>1910</v>
      </c>
      <c r="D4649" s="2" t="str">
        <f>IFERROR(__xludf.DUMMYFUNCTION("""COMPUTED_VALUE"""),"TBS")</f>
        <v>TBS</v>
      </c>
      <c r="E4649" s="2" t="str">
        <f>IFERROR(__xludf.DUMMYFUNCTION("""COMPUTED_VALUE"""),"日21")</f>
        <v>日21</v>
      </c>
      <c r="F4649" s="2" t="s">
        <v>13129</v>
      </c>
      <c r="G4649" s="2" t="s">
        <v>13150</v>
      </c>
      <c r="H4649" s="1">
        <v>11.0</v>
      </c>
      <c r="J4649" s="1" t="s">
        <v>4</v>
      </c>
      <c r="K4649" s="2" t="s">
        <v>13151</v>
      </c>
      <c r="L4649" s="2"/>
      <c r="M4649" s="2" t="str">
        <f>IFERROR(__xludf.DUMMYFUNCTION("split(split(K4649,""【"",false),""公式LINE"",false)"),"ミシュランの審査が近づき、グランメゾン東京の新メニュー開発は大詰めを迎えていた。そんな中、フレンチにとって禁断の食材であるマグロ料理に挑んでいる尾花(木村拓哉)を見て、倫子(鈴木京香)は不安になる。そして、二人は口論の末、尾花はスーシェフを辞めると告げる。そして、倫子も魚料理を作り、おいしいほうをメニューとして採用するように提案する。　一方、丹後(尾上菊之助)がいなくなった「gaku」では、新しいシェフ・結月(馬場徹)の傍若無人な振る舞いで店はボロボロになっていた。そして、ある事件が起きる。  そんな中迎"&amp;"えた、ミシュランの審査。  はたして、グランメゾン東京は三つ星を獲得することができるのか!?  ")</f>
        <v>ミシュランの審査が近づき、グランメゾン東京の新メニュー開発は大詰めを迎えていた。そんな中、フレンチにとって禁断の食材であるマグロ料理に挑んでいる尾花(木村拓哉)を見て、倫子(鈴木京香)は不安になる。そして、二人は口論の末、尾花はスーシェフを辞めると告げる。そして、倫子も魚料理を作り、おいしいほうをメニューとして採用するように提案する。　一方、丹後(尾上菊之助)がいなくなった「gaku」では、新しいシェフ・結月(馬場徹)の傍若無人な振る舞いで店はボロボロになっていた。そして、ある事件が起きる。  そんな中迎えた、ミシュランの審査。  はたして、グランメゾン東京は三つ星を獲得することができるのか!?  </v>
      </c>
      <c r="N4649" s="2"/>
      <c r="O4649" s="2"/>
      <c r="P4649" s="2"/>
      <c r="Q4649" s="2"/>
      <c r="R4649" s="2"/>
      <c r="S4649" s="2"/>
      <c r="T4649" s="2"/>
      <c r="U4649" s="2"/>
      <c r="V4649" s="2"/>
      <c r="W4649" s="2"/>
      <c r="X4649" s="2"/>
      <c r="Y4649" s="2"/>
      <c r="Z4649" s="2"/>
      <c r="AA4649" s="2"/>
      <c r="AB4649" s="2"/>
      <c r="AC4649" s="2"/>
      <c r="AD4649" s="2"/>
      <c r="AE4649" s="2"/>
      <c r="AF4649" s="2"/>
      <c r="AG4649" s="2"/>
      <c r="AH4649" s="2"/>
      <c r="AI4649" s="2"/>
      <c r="AJ4649" s="2"/>
      <c r="AK4649" s="2"/>
      <c r="AL4649" s="2"/>
      <c r="AM4649" s="2"/>
      <c r="AN4649" s="2"/>
      <c r="AO4649" s="2"/>
      <c r="AP4649" s="2"/>
      <c r="AQ4649" s="2"/>
      <c r="AR4649" s="2"/>
      <c r="AS4649" s="2"/>
      <c r="AT4649" s="2"/>
      <c r="AU4649" s="2"/>
      <c r="AV4649" s="2"/>
      <c r="AW4649" s="2"/>
      <c r="AX4649" s="2"/>
      <c r="AY4649" s="2"/>
      <c r="AZ4649" s="2"/>
      <c r="BA4649" s="2"/>
      <c r="BB4649" s="2"/>
    </row>
    <row r="4650" ht="204.75" customHeight="1">
      <c r="A4650" s="1">
        <v>118.0</v>
      </c>
      <c r="B4650" s="2" t="s">
        <v>13152</v>
      </c>
      <c r="C4650" s="2">
        <f>IFERROR(__xludf.DUMMYFUNCTION("split(B4650,""_"")"),1907.0)</f>
        <v>1907</v>
      </c>
      <c r="D4650" s="2" t="str">
        <f>IFERROR(__xludf.DUMMYFUNCTION("""COMPUTED_VALUE"""),"TBS")</f>
        <v>TBS</v>
      </c>
      <c r="E4650" s="2" t="str">
        <f>IFERROR(__xludf.DUMMYFUNCTION("""COMPUTED_VALUE"""),"火22")</f>
        <v>火22</v>
      </c>
      <c r="F4650" s="2" t="s">
        <v>13153</v>
      </c>
      <c r="G4650" s="2" t="s">
        <v>13154</v>
      </c>
      <c r="H4650" s="1">
        <v>1.0</v>
      </c>
      <c r="J4650" s="1" t="s">
        <v>82</v>
      </c>
      <c r="K4650" s="2" t="s">
        <v>13155</v>
      </c>
      <c r="L4650" s="2"/>
      <c r="M4650" s="2" t="str">
        <f>IFERROR(__xludf.DUMMYFUNCTION("split(split(K4650,""【"",false),""公式LINE"",false)"),"フレンチレストランで働いていた伊賀観(福士蒼汰)は周りからまったく評価されていなかったが、ある時来客した謎の女・黒須仮名子(石原さとみ)にはなぜか高評価。近日オープンの彼女の店「ロワン・ディシー」で働くことを決意する。早速、ミーティングのため彼女の店に訪れた伊賀を待っていたのは川合太一(志尊淳)、堤計太郎(勝村政信)、小澤幸應(段田安則)、山縣重臣(岸部一徳)。6人による究極の喜劇が今幕を開ける!石原さとみ(黒須仮名子)…みんなを振り回す風変わりなオーナー  福士蒼汰(伊賀観)…笑顔が苦手な真面目な青年 "&amp;" 志尊淳(川合太一)…戦力にならない天然愛されキャラ  勝村政信(堤計太郎)…経営に悪戦苦闘する元牛丼屋店長  段田安則(小澤幸應)…秘密を抱える元三ツ星天才シェフ  岸部一徳(山縣重臣)…資格取得が趣味のお茶目な元銀行員佐々木倫子")</f>
        <v>フレンチレストランで働いていた伊賀観(福士蒼汰)は周りからまったく評価されていなかったが、ある時来客した謎の女・黒須仮名子(石原さとみ)にはなぜか高評価。近日オープンの彼女の店「ロワン・ディシー」で働くことを決意する。早速、ミーティングのため彼女の店に訪れた伊賀を待っていたのは川合太一(志尊淳)、堤計太郎(勝村政信)、小澤幸應(段田安則)、山縣重臣(岸部一徳)。6人による究極の喜劇が今幕を開ける!石原さとみ(黒須仮名子)…みんなを振り回す風変わりなオーナー  福士蒼汰(伊賀観)…笑顔が苦手な真面目な青年  志尊淳(川合太一)…戦力にならない天然愛されキャラ  勝村政信(堤計太郎)…経営に悪戦苦闘する元牛丼屋店長  段田安則(小澤幸應)…秘密を抱える元三ツ星天才シェフ  岸部一徳(山縣重臣)…資格取得が趣味のお茶目な元銀行員佐々木倫子</v>
      </c>
      <c r="N4650" s="2"/>
      <c r="O4650" s="2"/>
      <c r="P4650" s="2"/>
      <c r="Q4650" s="2"/>
      <c r="R4650" s="2"/>
      <c r="S4650" s="2"/>
      <c r="T4650" s="2"/>
      <c r="U4650" s="2"/>
      <c r="V4650" s="2"/>
      <c r="W4650" s="2"/>
      <c r="X4650" s="2"/>
      <c r="Y4650" s="2"/>
      <c r="Z4650" s="2"/>
      <c r="AA4650" s="2"/>
      <c r="AB4650" s="2"/>
      <c r="AC4650" s="2"/>
      <c r="AD4650" s="2"/>
      <c r="AE4650" s="2"/>
      <c r="AF4650" s="2"/>
      <c r="AG4650" s="2"/>
      <c r="AH4650" s="2"/>
      <c r="AI4650" s="2"/>
      <c r="AJ4650" s="2"/>
      <c r="AK4650" s="2"/>
      <c r="AL4650" s="2"/>
      <c r="AM4650" s="2"/>
      <c r="AN4650" s="2"/>
      <c r="AO4650" s="2"/>
      <c r="AP4650" s="2"/>
      <c r="AQ4650" s="2"/>
      <c r="AR4650" s="2"/>
      <c r="AS4650" s="2"/>
      <c r="AT4650" s="2"/>
      <c r="AU4650" s="2"/>
      <c r="AV4650" s="2"/>
      <c r="AW4650" s="2"/>
      <c r="AX4650" s="2"/>
      <c r="AY4650" s="2"/>
      <c r="AZ4650" s="2"/>
      <c r="BA4650" s="2"/>
      <c r="BB4650" s="2"/>
    </row>
    <row r="4651" ht="204.75" customHeight="1">
      <c r="A4651" s="1">
        <v>119.0</v>
      </c>
      <c r="B4651" s="2" t="s">
        <v>13152</v>
      </c>
      <c r="C4651" s="2">
        <f>IFERROR(__xludf.DUMMYFUNCTION("split(B4651,""_"")"),1907.0)</f>
        <v>1907</v>
      </c>
      <c r="D4651" s="2" t="str">
        <f>IFERROR(__xludf.DUMMYFUNCTION("""COMPUTED_VALUE"""),"TBS")</f>
        <v>TBS</v>
      </c>
      <c r="E4651" s="2" t="str">
        <f>IFERROR(__xludf.DUMMYFUNCTION("""COMPUTED_VALUE"""),"火22")</f>
        <v>火22</v>
      </c>
      <c r="F4651" s="2" t="s">
        <v>13153</v>
      </c>
      <c r="G4651" s="2" t="s">
        <v>13156</v>
      </c>
      <c r="H4651" s="1">
        <v>2.0</v>
      </c>
      <c r="J4651" s="1" t="s">
        <v>82</v>
      </c>
      <c r="K4651" s="2" t="s">
        <v>13157</v>
      </c>
      <c r="L4651" s="2"/>
      <c r="M4651" s="2" t="str">
        <f>IFERROR(__xludf.DUMMYFUNCTION("split(split(K4651,""【"",false),""公式LINE"",false)"),"仮名子(石原さとみ)は、店がはやらないのはシェフの小澤の料理に問題があると主張する。実は小澤は誰にも言えない秘密を抱えているのだった。小澤に自信をつけさせようと、仮名子は従業員を連れライバル店の偵察に行く。仮名子の秘策は果たして成功するのか!?  そんな中、謎の刺客(石橋凌)も現れ、ロワンディシーは窮地に陥る。石原さとみ(黒須仮名子)…みんなを振り回す風変わりなオーナー  福士蒼汰(伊賀観)…笑顔が苦手な真面目な青年  志尊淳(川合太一)…戦力にならない天然愛されキャラ  勝村政信(堤計太郎)…経営に悪戦"&amp;"苦闘する元牛丼屋店長  段田安則(小澤幸應)…秘密を抱える元三ツ星天才シェフ  岸部一徳(山縣重臣)…資格取得が趣味のお茶目な元銀行員佐々木倫子")</f>
        <v>仮名子(石原さとみ)は、店がはやらないのはシェフの小澤の料理に問題があると主張する。実は小澤は誰にも言えない秘密を抱えているのだった。小澤に自信をつけさせようと、仮名子は従業員を連れライバル店の偵察に行く。仮名子の秘策は果たして成功するのか!?  そんな中、謎の刺客(石橋凌)も現れ、ロワンディシーは窮地に陥る。石原さとみ(黒須仮名子)…みんなを振り回す風変わりなオーナー  福士蒼汰(伊賀観)…笑顔が苦手な真面目な青年  志尊淳(川合太一)…戦力にならない天然愛されキャラ  勝村政信(堤計太郎)…経営に悪戦苦闘する元牛丼屋店長  段田安則(小澤幸應)…秘密を抱える元三ツ星天才シェフ  岸部一徳(山縣重臣)…資格取得が趣味のお茶目な元銀行員佐々木倫子</v>
      </c>
      <c r="N4651" s="2"/>
      <c r="O4651" s="2"/>
      <c r="P4651" s="2"/>
      <c r="Q4651" s="2"/>
      <c r="R4651" s="2"/>
      <c r="S4651" s="2"/>
      <c r="T4651" s="2"/>
      <c r="U4651" s="2"/>
      <c r="V4651" s="2"/>
      <c r="W4651" s="2"/>
      <c r="X4651" s="2"/>
      <c r="Y4651" s="2"/>
      <c r="Z4651" s="2"/>
      <c r="AA4651" s="2"/>
      <c r="AB4651" s="2"/>
      <c r="AC4651" s="2"/>
      <c r="AD4651" s="2"/>
      <c r="AE4651" s="2"/>
      <c r="AF4651" s="2"/>
      <c r="AG4651" s="2"/>
      <c r="AH4651" s="2"/>
      <c r="AI4651" s="2"/>
      <c r="AJ4651" s="2"/>
      <c r="AK4651" s="2"/>
      <c r="AL4651" s="2"/>
      <c r="AM4651" s="2"/>
      <c r="AN4651" s="2"/>
      <c r="AO4651" s="2"/>
      <c r="AP4651" s="2"/>
      <c r="AQ4651" s="2"/>
      <c r="AR4651" s="2"/>
      <c r="AS4651" s="2"/>
      <c r="AT4651" s="2"/>
      <c r="AU4651" s="2"/>
      <c r="AV4651" s="2"/>
      <c r="AW4651" s="2"/>
      <c r="AX4651" s="2"/>
      <c r="AY4651" s="2"/>
      <c r="AZ4651" s="2"/>
      <c r="BA4651" s="2"/>
      <c r="BB4651" s="2"/>
    </row>
    <row r="4652" ht="204.75" customHeight="1">
      <c r="A4652" s="1">
        <v>120.0</v>
      </c>
      <c r="B4652" s="2" t="s">
        <v>13152</v>
      </c>
      <c r="C4652" s="2">
        <f>IFERROR(__xludf.DUMMYFUNCTION("split(B4652,""_"")"),1907.0)</f>
        <v>1907</v>
      </c>
      <c r="D4652" s="2" t="str">
        <f>IFERROR(__xludf.DUMMYFUNCTION("""COMPUTED_VALUE"""),"TBS")</f>
        <v>TBS</v>
      </c>
      <c r="E4652" s="2" t="str">
        <f>IFERROR(__xludf.DUMMYFUNCTION("""COMPUTED_VALUE"""),"火22")</f>
        <v>火22</v>
      </c>
      <c r="F4652" s="2" t="s">
        <v>13153</v>
      </c>
      <c r="G4652" s="2" t="s">
        <v>13158</v>
      </c>
      <c r="H4652" s="1">
        <v>3.0</v>
      </c>
      <c r="J4652" s="1" t="s">
        <v>82</v>
      </c>
      <c r="K4652" s="2" t="s">
        <v>13159</v>
      </c>
      <c r="L4652" s="2"/>
      <c r="M4652" s="2" t="str">
        <f>IFERROR(__xludf.DUMMYFUNCTION("split(split(K4652,""【"",false),""公式LINE"",false)"),"川合(志尊淳)がとんでもないミスをおかし、その夜お店は大混乱。仮名子(石原さとみ)はまさかの事態に巻き込まれ、とんでもない姿になってしまう!そんな中、伊賀(福士蒼汰)の母・勝代(財前直見)が突然店に訪れる。伊賀を実家の長崎に連れて帰りたいと主張する勝代の強烈ぶりは、仮名子にそっくり!従業員も巻き込んだ仮名子と勝代の熱いバトルが今、幕を開ける!石原さとみ(黒須仮名子)…みんなを振り回す風変わりなオーナー  福士蒼汰(伊賀観)…笑顔が苦手な真面目な青年  志尊淳(川合太一)…戦力にならない天然愛されキャラ  "&amp;"勝村政信(堤計太郎)…経営に悪戦苦闘する元牛丼屋店長  段田安則(小澤幸應)…秘密を抱える元三ツ星天才シェフ  岸部一徳(山縣重臣)…資格取得が趣味のお茶目な元銀行員    財前直見(伊賀勝代)…伊賀の母　  鶴見辰吾、六平直政　鳥居みゆき佐々木倫子")</f>
        <v>川合(志尊淳)がとんでもないミスをおかし、その夜お店は大混乱。仮名子(石原さとみ)はまさかの事態に巻き込まれ、とんでもない姿になってしまう!そんな中、伊賀(福士蒼汰)の母・勝代(財前直見)が突然店に訪れる。伊賀を実家の長崎に連れて帰りたいと主張する勝代の強烈ぶりは、仮名子にそっくり!従業員も巻き込んだ仮名子と勝代の熱いバトルが今、幕を開ける!石原さとみ(黒須仮名子)…みんなを振り回す風変わりなオーナー  福士蒼汰(伊賀観)…笑顔が苦手な真面目な青年  志尊淳(川合太一)…戦力にならない天然愛されキャラ  勝村政信(堤計太郎)…経営に悪戦苦闘する元牛丼屋店長  段田安則(小澤幸應)…秘密を抱える元三ツ星天才シェフ  岸部一徳(山縣重臣)…資格取得が趣味のお茶目な元銀行員    財前直見(伊賀勝代)…伊賀の母　  鶴見辰吾、六平直政　鳥居みゆき佐々木倫子</v>
      </c>
      <c r="N4652" s="2"/>
      <c r="O4652" s="2"/>
      <c r="P4652" s="2"/>
      <c r="Q4652" s="2"/>
      <c r="R4652" s="2"/>
      <c r="S4652" s="2"/>
      <c r="T4652" s="2"/>
      <c r="U4652" s="2"/>
      <c r="V4652" s="2"/>
      <c r="W4652" s="2"/>
      <c r="X4652" s="2"/>
      <c r="Y4652" s="2"/>
      <c r="Z4652" s="2"/>
      <c r="AA4652" s="2"/>
      <c r="AB4652" s="2"/>
      <c r="AC4652" s="2"/>
      <c r="AD4652" s="2"/>
      <c r="AE4652" s="2"/>
      <c r="AF4652" s="2"/>
      <c r="AG4652" s="2"/>
      <c r="AH4652" s="2"/>
      <c r="AI4652" s="2"/>
      <c r="AJ4652" s="2"/>
      <c r="AK4652" s="2"/>
      <c r="AL4652" s="2"/>
      <c r="AM4652" s="2"/>
      <c r="AN4652" s="2"/>
      <c r="AO4652" s="2"/>
      <c r="AP4652" s="2"/>
      <c r="AQ4652" s="2"/>
      <c r="AR4652" s="2"/>
      <c r="AS4652" s="2"/>
      <c r="AT4652" s="2"/>
      <c r="AU4652" s="2"/>
      <c r="AV4652" s="2"/>
      <c r="AW4652" s="2"/>
      <c r="AX4652" s="2"/>
      <c r="AY4652" s="2"/>
      <c r="AZ4652" s="2"/>
      <c r="BA4652" s="2"/>
      <c r="BB4652" s="2"/>
    </row>
    <row r="4653" ht="204.75" customHeight="1">
      <c r="A4653" s="1">
        <v>121.0</v>
      </c>
      <c r="B4653" s="2" t="s">
        <v>13152</v>
      </c>
      <c r="C4653" s="2">
        <f>IFERROR(__xludf.DUMMYFUNCTION("split(B4653,""_"")"),1907.0)</f>
        <v>1907</v>
      </c>
      <c r="D4653" s="2" t="str">
        <f>IFERROR(__xludf.DUMMYFUNCTION("""COMPUTED_VALUE"""),"TBS")</f>
        <v>TBS</v>
      </c>
      <c r="E4653" s="2" t="str">
        <f>IFERROR(__xludf.DUMMYFUNCTION("""COMPUTED_VALUE"""),"火22")</f>
        <v>火22</v>
      </c>
      <c r="F4653" s="2" t="s">
        <v>13153</v>
      </c>
      <c r="G4653" s="2" t="s">
        <v>13160</v>
      </c>
      <c r="H4653" s="1">
        <v>4.0</v>
      </c>
      <c r="I4653" s="1" t="s">
        <v>2880</v>
      </c>
      <c r="J4653" s="1" t="s">
        <v>86</v>
      </c>
      <c r="K4653" s="2" t="s">
        <v>13161</v>
      </c>
      <c r="L4653" s="2"/>
      <c r="M4653" s="2" t="str">
        <f>IFERROR(__xludf.DUMMYFUNCTION("split(split(K4653,""【"",false),""公式LINE"",false)"),"ある日、仮名子(石原さとみ)の元に強面の借金取りが現れる。川合(志尊淳)らが調べると、思いつめた仮名子が従業員全員をクビにしようと計画していることが判明!一同が騒然とする中、仮名子の過去を知る山縣(岸部一徳)は一人不審な行動を取るのだった…。山縣の不審な行動の真相を知った伊賀(福士蒼汰)の決断とは!?どうなるロワン・ディシー!!  石原さとみ(黒須仮名子)…みんなを振り回す風変わりなオーナー  福士蒼汰(伊賀観)…笑顔が苦手な真面目な青年  志尊淳(川合太一)…戦力にならない天然愛されキャラ  勝村政信("&amp;"堤計太郎)…経営に悪戦苦闘する元牛丼屋店長  段田安則(小澤幸應)…秘密を抱える元三ツ星天才シェフ  岸部一徳(山縣重臣)…資格取得が趣味のお茶目な元銀行員  &lt;第4話ゲスト&gt;  山内圭哉　小柳友　竹中直人佐々木倫子")</f>
        <v>ある日、仮名子(石原さとみ)の元に強面の借金取りが現れる。川合(志尊淳)らが調べると、思いつめた仮名子が従業員全員をクビにしようと計画していることが判明!一同が騒然とする中、仮名子の過去を知る山縣(岸部一徳)は一人不審な行動を取るのだった…。山縣の不審な行動の真相を知った伊賀(福士蒼汰)の決断とは!?どうなるロワン・ディシー!!  石原さとみ(黒須仮名子)…みんなを振り回す風変わりなオーナー  福士蒼汰(伊賀観)…笑顔が苦手な真面目な青年  志尊淳(川合太一)…戦力にならない天然愛されキャラ  勝村政信(堤計太郎)…経営に悪戦苦闘する元牛丼屋店長  段田安則(小澤幸應)…秘密を抱える元三ツ星天才シェフ  岸部一徳(山縣重臣)…資格取得が趣味のお茶目な元銀行員  &lt;第4話ゲスト&gt;  山内圭哉　小柳友　竹中直人佐々木倫子</v>
      </c>
      <c r="N4653" s="2"/>
      <c r="O4653" s="2"/>
      <c r="P4653" s="2"/>
      <c r="Q4653" s="2"/>
      <c r="R4653" s="2"/>
      <c r="S4653" s="2"/>
      <c r="T4653" s="2"/>
      <c r="U4653" s="2"/>
      <c r="V4653" s="2"/>
      <c r="W4653" s="2"/>
      <c r="X4653" s="2"/>
      <c r="Y4653" s="2"/>
      <c r="Z4653" s="2"/>
      <c r="AA4653" s="2"/>
      <c r="AB4653" s="2"/>
      <c r="AC4653" s="2"/>
      <c r="AD4653" s="2"/>
      <c r="AE4653" s="2"/>
      <c r="AF4653" s="2"/>
      <c r="AG4653" s="2"/>
      <c r="AH4653" s="2"/>
      <c r="AI4653" s="2"/>
      <c r="AJ4653" s="2"/>
      <c r="AK4653" s="2"/>
      <c r="AL4653" s="2"/>
      <c r="AM4653" s="2"/>
      <c r="AN4653" s="2"/>
      <c r="AO4653" s="2"/>
      <c r="AP4653" s="2"/>
      <c r="AQ4653" s="2"/>
      <c r="AR4653" s="2"/>
      <c r="AS4653" s="2"/>
      <c r="AT4653" s="2"/>
      <c r="AU4653" s="2"/>
      <c r="AV4653" s="2"/>
      <c r="AW4653" s="2"/>
      <c r="AX4653" s="2"/>
      <c r="AY4653" s="2"/>
      <c r="AZ4653" s="2"/>
      <c r="BA4653" s="2"/>
      <c r="BB4653" s="2"/>
    </row>
    <row r="4654" ht="204.75" customHeight="1">
      <c r="A4654" s="1">
        <v>122.0</v>
      </c>
      <c r="B4654" s="2" t="s">
        <v>13152</v>
      </c>
      <c r="C4654" s="2">
        <f>IFERROR(__xludf.DUMMYFUNCTION("split(B4654,""_"")"),1907.0)</f>
        <v>1907</v>
      </c>
      <c r="D4654" s="2" t="str">
        <f>IFERROR(__xludf.DUMMYFUNCTION("""COMPUTED_VALUE"""),"TBS")</f>
        <v>TBS</v>
      </c>
      <c r="E4654" s="2" t="str">
        <f>IFERROR(__xludf.DUMMYFUNCTION("""COMPUTED_VALUE"""),"火22")</f>
        <v>火22</v>
      </c>
      <c r="F4654" s="2" t="s">
        <v>13153</v>
      </c>
      <c r="G4654" s="2" t="s">
        <v>13162</v>
      </c>
      <c r="H4654" s="1">
        <v>5.0</v>
      </c>
      <c r="I4654" s="1" t="s">
        <v>2884</v>
      </c>
      <c r="J4654" s="1" t="s">
        <v>86</v>
      </c>
      <c r="K4654" s="2" t="s">
        <v>13163</v>
      </c>
      <c r="L4654" s="2"/>
      <c r="M4654" s="2" t="str">
        <f>IFERROR(__xludf.DUMMYFUNCTION("split(split(K4654,""【"",false),""公式LINE"",false)"),"有名グルメ雑誌の覆面記者と思われる男が来店するも、ミスを連発してしまったロワン・ディシーメンバー。このままではまずいと、特に、いつまでも成長しない川合(志尊淳)に伊賀(福士蒼汰)はサービスの特訓を行うが、兆しが見えない。そんなとき、アルバイト志望の少年、峰(小関裕太)が店を訪れ、試しに働くことに。川合よりも遥かに仕事ができる峰の登場で、メンバーが川合に下した決断とは…?  石原さとみ(黒須仮名子)…みんなを振り回す風変わりなオーナー  福士蒼汰(伊賀観)…笑顔が苦手な真面目な青年  志尊淳(川合太一)…戦"&amp;"力にならない天然愛されキャラ  勝村政信(堤計太郎)…経営に悪戦苦闘する元牛丼屋店長  段田安則(小澤幸應)…秘密を抱える元三ツ星天才シェフ  岸部一徳(山縣重臣)…資格取得が趣味のお茶目な元銀行員  ")</f>
        <v>有名グルメ雑誌の覆面記者と思われる男が来店するも、ミスを連発してしまったロワン・ディシーメンバー。このままではまずいと、特に、いつまでも成長しない川合(志尊淳)に伊賀(福士蒼汰)はサービスの特訓を行うが、兆しが見えない。そんなとき、アルバイト志望の少年、峰(小関裕太)が店を訪れ、試しに働くことに。川合よりも遥かに仕事ができる峰の登場で、メンバーが川合に下した決断とは…?  石原さとみ(黒須仮名子)…みんなを振り回す風変わりなオーナー  福士蒼汰(伊賀観)…笑顔が苦手な真面目な青年  志尊淳(川合太一)…戦力にならない天然愛されキャラ  勝村政信(堤計太郎)…経営に悪戦苦闘する元牛丼屋店長  段田安則(小澤幸應)…秘密を抱える元三ツ星天才シェフ  岸部一徳(山縣重臣)…資格取得が趣味のお茶目な元銀行員  </v>
      </c>
      <c r="N4654" s="2"/>
      <c r="O4654" s="2"/>
      <c r="P4654" s="2"/>
      <c r="Q4654" s="2"/>
      <c r="R4654" s="2"/>
      <c r="S4654" s="2"/>
      <c r="T4654" s="2"/>
      <c r="U4654" s="2"/>
      <c r="V4654" s="2"/>
      <c r="W4654" s="2"/>
      <c r="X4654" s="2"/>
      <c r="Y4654" s="2"/>
      <c r="Z4654" s="2"/>
      <c r="AA4654" s="2"/>
      <c r="AB4654" s="2"/>
      <c r="AC4654" s="2"/>
      <c r="AD4654" s="2"/>
      <c r="AE4654" s="2"/>
      <c r="AF4654" s="2"/>
      <c r="AG4654" s="2"/>
      <c r="AH4654" s="2"/>
      <c r="AI4654" s="2"/>
      <c r="AJ4654" s="2"/>
      <c r="AK4654" s="2"/>
      <c r="AL4654" s="2"/>
      <c r="AM4654" s="2"/>
      <c r="AN4654" s="2"/>
      <c r="AO4654" s="2"/>
      <c r="AP4654" s="2"/>
      <c r="AQ4654" s="2"/>
      <c r="AR4654" s="2"/>
      <c r="AS4654" s="2"/>
      <c r="AT4654" s="2"/>
      <c r="AU4654" s="2"/>
      <c r="AV4654" s="2"/>
      <c r="AW4654" s="2"/>
      <c r="AX4654" s="2"/>
      <c r="AY4654" s="2"/>
      <c r="AZ4654" s="2"/>
      <c r="BA4654" s="2"/>
      <c r="BB4654" s="2"/>
    </row>
    <row r="4655" ht="204.75" customHeight="1">
      <c r="A4655" s="1">
        <v>123.0</v>
      </c>
      <c r="B4655" s="2" t="s">
        <v>13152</v>
      </c>
      <c r="C4655" s="2">
        <f>IFERROR(__xludf.DUMMYFUNCTION("split(B4655,""_"")"),1907.0)</f>
        <v>1907</v>
      </c>
      <c r="D4655" s="2" t="str">
        <f>IFERROR(__xludf.DUMMYFUNCTION("""COMPUTED_VALUE"""),"TBS")</f>
        <v>TBS</v>
      </c>
      <c r="E4655" s="2" t="str">
        <f>IFERROR(__xludf.DUMMYFUNCTION("""COMPUTED_VALUE"""),"火22")</f>
        <v>火22</v>
      </c>
      <c r="F4655" s="2" t="s">
        <v>13153</v>
      </c>
      <c r="G4655" s="2" t="s">
        <v>13164</v>
      </c>
      <c r="H4655" s="1">
        <v>6.0</v>
      </c>
      <c r="J4655" s="1" t="s">
        <v>86</v>
      </c>
      <c r="K4655" s="2" t="s">
        <v>13165</v>
      </c>
      <c r="L4655" s="2"/>
      <c r="M4655" s="2" t="str">
        <f>IFERROR(__xludf.DUMMYFUNCTION("split(split(K4655,""【"",false),""公式LINE"",false)"),"以前働いていた牛丼屋の仲間が来店し「戻って来ないか」と誘われた堤(勝村政信)は、自分の気持ちをハッキリさせるためロワン・ディシーの立て直しに挑む。しかし、意見の食い違いで仮名子(石原さとみ)と対立、結果が出なければ辞めると言い出す堤に与えられた時間は1週間。堤の指示で、ホスピタリティー重視で接客に臨む伊賀(福士蒼汰)ら従業員達の前に現れたのはワケありの客(黒川智花)で…。最後に堤が下す決断とは!?石原さとみ(黒須仮名子)…みんなを振り回す風変わりなオーナー  福士蒼汰(伊賀　観)…笑顔が苦手な真面目な青年"&amp;"  志尊　淳(川合太一)…戦力にならない天然愛されキャラ  勝村政信(堤計太郎)…経営に悪戦苦闘する元牛丼屋店長  段田安則(小澤幸應)…秘密を抱える元三ツ星天才シェフ  岸部一徳(山縣重臣)…資格取得が趣味のお茶目な元銀行員 ")</f>
        <v>以前働いていた牛丼屋の仲間が来店し「戻って来ないか」と誘われた堤(勝村政信)は、自分の気持ちをハッキリさせるためロワン・ディシーの立て直しに挑む。しかし、意見の食い違いで仮名子(石原さとみ)と対立、結果が出なければ辞めると言い出す堤に与えられた時間は1週間。堤の指示で、ホスピタリティー重視で接客に臨む伊賀(福士蒼汰)ら従業員達の前に現れたのはワケありの客(黒川智花)で…。最後に堤が下す決断とは!?石原さとみ(黒須仮名子)…みんなを振り回す風変わりなオーナー  福士蒼汰(伊賀　観)…笑顔が苦手な真面目な青年  志尊　淳(川合太一)…戦力にならない天然愛されキャラ  勝村政信(堤計太郎)…経営に悪戦苦闘する元牛丼屋店長  段田安則(小澤幸應)…秘密を抱える元三ツ星天才シェフ  岸部一徳(山縣重臣)…資格取得が趣味のお茶目な元銀行員 </v>
      </c>
      <c r="N4655" s="2"/>
      <c r="O4655" s="2"/>
      <c r="P4655" s="2"/>
      <c r="Q4655" s="2"/>
      <c r="R4655" s="2"/>
      <c r="S4655" s="2"/>
      <c r="T4655" s="2"/>
      <c r="U4655" s="2"/>
      <c r="V4655" s="2"/>
      <c r="W4655" s="2"/>
      <c r="X4655" s="2"/>
      <c r="Y4655" s="2"/>
      <c r="Z4655" s="2"/>
      <c r="AA4655" s="2"/>
      <c r="AB4655" s="2"/>
      <c r="AC4655" s="2"/>
      <c r="AD4655" s="2"/>
      <c r="AE4655" s="2"/>
      <c r="AF4655" s="2"/>
      <c r="AG4655" s="2"/>
      <c r="AH4655" s="2"/>
      <c r="AI4655" s="2"/>
      <c r="AJ4655" s="2"/>
      <c r="AK4655" s="2"/>
      <c r="AL4655" s="2"/>
      <c r="AM4655" s="2"/>
      <c r="AN4655" s="2"/>
      <c r="AO4655" s="2"/>
      <c r="AP4655" s="2"/>
      <c r="AQ4655" s="2"/>
      <c r="AR4655" s="2"/>
      <c r="AS4655" s="2"/>
      <c r="AT4655" s="2"/>
      <c r="AU4655" s="2"/>
      <c r="AV4655" s="2"/>
      <c r="AW4655" s="2"/>
      <c r="AX4655" s="2"/>
      <c r="AY4655" s="2"/>
      <c r="AZ4655" s="2"/>
      <c r="BA4655" s="2"/>
      <c r="BB4655" s="2"/>
    </row>
    <row r="4656" ht="204.75" customHeight="1">
      <c r="A4656" s="1">
        <v>124.0</v>
      </c>
      <c r="B4656" s="2" t="s">
        <v>13152</v>
      </c>
      <c r="C4656" s="2">
        <f>IFERROR(__xludf.DUMMYFUNCTION("split(B4656,""_"")"),1907.0)</f>
        <v>1907</v>
      </c>
      <c r="D4656" s="2" t="str">
        <f>IFERROR(__xludf.DUMMYFUNCTION("""COMPUTED_VALUE"""),"TBS")</f>
        <v>TBS</v>
      </c>
      <c r="E4656" s="2" t="str">
        <f>IFERROR(__xludf.DUMMYFUNCTION("""COMPUTED_VALUE"""),"火22")</f>
        <v>火22</v>
      </c>
      <c r="F4656" s="2" t="s">
        <v>13153</v>
      </c>
      <c r="G4656" s="2" t="s">
        <v>13166</v>
      </c>
      <c r="H4656" s="1">
        <v>7.0</v>
      </c>
      <c r="J4656" s="1" t="s">
        <v>86</v>
      </c>
      <c r="K4656" s="2" t="s">
        <v>13167</v>
      </c>
      <c r="L4656" s="2"/>
      <c r="M4656" s="2" t="str">
        <f>IFERROR(__xludf.DUMMYFUNCTION("split(split(K4656,""【"",false),""公式LINE"",false)"),"いつもと様子が違うシェフ(段田安則)。今日は憧れの香宮(相武紗季)が来店する日だからだ。ある日、シェフを除いたロワン・ディシーメンバーは、普段からは想像できない香宮の姿を目撃してしまい…一方、お店には常連客の古瀬(加賀まりこ)が来店。かつての大女優と思いこんだ湯浅(丸山智己)は偵察をはじめ…絶妙なコンビネーションで一致団結したロワン・ディシーメンバーは、お客様を守れるか!?石原さとみ(黒須仮名子)…みんなを振り回す風変わりなオーナー 福士蒼汰(伊賀　観)…笑顔が苦手な真面目な青年 志尊　淳(川合太一)…戦"&amp;"力にならない天然愛されキャラ 勝村政信(堤計太郎)…経営に悪戦苦闘する元牛丼屋店長 段田安則(小澤幸應)…秘密を抱える元三ツ星天才シェフ 岸部一徳(山縣重臣)…資格取得が趣味のお茶目な元銀行員 ")</f>
        <v>いつもと様子が違うシェフ(段田安則)。今日は憧れの香宮(相武紗季)が来店する日だからだ。ある日、シェフを除いたロワン・ディシーメンバーは、普段からは想像できない香宮の姿を目撃してしまい…一方、お店には常連客の古瀬(加賀まりこ)が来店。かつての大女優と思いこんだ湯浅(丸山智己)は偵察をはじめ…絶妙なコンビネーションで一致団結したロワン・ディシーメンバーは、お客様を守れるか!?石原さとみ(黒須仮名子)…みんなを振り回す風変わりなオーナー 福士蒼汰(伊賀　観)…笑顔が苦手な真面目な青年 志尊　淳(川合太一)…戦力にならない天然愛されキャラ 勝村政信(堤計太郎)…経営に悪戦苦闘する元牛丼屋店長 段田安則(小澤幸應)…秘密を抱える元三ツ星天才シェフ 岸部一徳(山縣重臣)…資格取得が趣味のお茶目な元銀行員 </v>
      </c>
      <c r="N4656" s="2"/>
      <c r="O4656" s="2"/>
      <c r="P4656" s="2"/>
      <c r="Q4656" s="2"/>
      <c r="R4656" s="2"/>
      <c r="S4656" s="2"/>
      <c r="T4656" s="2"/>
      <c r="U4656" s="2"/>
      <c r="V4656" s="2"/>
      <c r="W4656" s="2"/>
      <c r="X4656" s="2"/>
      <c r="Y4656" s="2"/>
      <c r="Z4656" s="2"/>
      <c r="AA4656" s="2"/>
      <c r="AB4656" s="2"/>
      <c r="AC4656" s="2"/>
      <c r="AD4656" s="2"/>
      <c r="AE4656" s="2"/>
      <c r="AF4656" s="2"/>
      <c r="AG4656" s="2"/>
      <c r="AH4656" s="2"/>
      <c r="AI4656" s="2"/>
      <c r="AJ4656" s="2"/>
      <c r="AK4656" s="2"/>
      <c r="AL4656" s="2"/>
      <c r="AM4656" s="2"/>
      <c r="AN4656" s="2"/>
      <c r="AO4656" s="2"/>
      <c r="AP4656" s="2"/>
      <c r="AQ4656" s="2"/>
      <c r="AR4656" s="2"/>
      <c r="AS4656" s="2"/>
      <c r="AT4656" s="2"/>
      <c r="AU4656" s="2"/>
      <c r="AV4656" s="2"/>
      <c r="AW4656" s="2"/>
      <c r="AX4656" s="2"/>
      <c r="AY4656" s="2"/>
      <c r="AZ4656" s="2"/>
      <c r="BA4656" s="2"/>
      <c r="BB4656" s="2"/>
    </row>
    <row r="4657" ht="204.75" customHeight="1">
      <c r="A4657" s="1">
        <v>125.0</v>
      </c>
      <c r="B4657" s="2" t="s">
        <v>13152</v>
      </c>
      <c r="C4657" s="2">
        <f>IFERROR(__xludf.DUMMYFUNCTION("split(B4657,""_"")"),1907.0)</f>
        <v>1907</v>
      </c>
      <c r="D4657" s="2" t="str">
        <f>IFERROR(__xludf.DUMMYFUNCTION("""COMPUTED_VALUE"""),"TBS")</f>
        <v>TBS</v>
      </c>
      <c r="E4657" s="2" t="str">
        <f>IFERROR(__xludf.DUMMYFUNCTION("""COMPUTED_VALUE"""),"火22")</f>
        <v>火22</v>
      </c>
      <c r="F4657" s="2" t="s">
        <v>13153</v>
      </c>
      <c r="G4657" s="2" t="s">
        <v>13168</v>
      </c>
      <c r="H4657" s="1">
        <v>8.0</v>
      </c>
      <c r="J4657" s="1" t="s">
        <v>86</v>
      </c>
      <c r="K4657" s="2" t="s">
        <v>13169</v>
      </c>
      <c r="L4657" s="2"/>
      <c r="M4657" s="2" t="str">
        <f>IFERROR(__xludf.DUMMYFUNCTION("split(split(K4657,""【"",false),""公式LINE"",false)"),"ある夜、山縣(岸部一徳)が険しい表情で一人の客の来店を待っていた。“宿命のライバルだ""というその客を見て、ロワン・ディシーメンバーは唖然。その男は山縣にそっくりだったのだ…。その客の来店をきっかけに山縣は伊賀(福士蒼汰)も巻き込み、お互いのトラウマ克服に挑戦しようと決意。そこで出逢った彦坂(平泉成)も色々ワケありで…。そんな伊賀らにオーナー(石原さとみ)が授けた究極の秘策とは?石原さとみ(黒須仮名子)…みんなを振り回す風変わりなオーナー  福士蒼汰(伊賀　観)…笑顔が苦手な真面目な青年  志尊　淳(川合"&amp;"太一)…戦力にならない天然愛されキャラ  勝村政信(堤計太郎)…経営に悪戦苦闘する元牛丼屋店長  段田安則(小澤幸應)…秘密を抱える元三ツ星天才シェフ  岸部一徳(山縣重臣)…資格取得が趣味のお茶目な元銀行員  ")</f>
        <v>ある夜、山縣(岸部一徳)が険しい表情で一人の客の来店を待っていた。“宿命のライバルだ"というその客を見て、ロワン・ディシーメンバーは唖然。その男は山縣にそっくりだったのだ…。その客の来店をきっかけに山縣は伊賀(福士蒼汰)も巻き込み、お互いのトラウマ克服に挑戦しようと決意。そこで出逢った彦坂(平泉成)も色々ワケありで…。そんな伊賀らにオーナー(石原さとみ)が授けた究極の秘策とは?石原さとみ(黒須仮名子)…みんなを振り回す風変わりなオーナー  福士蒼汰(伊賀　観)…笑顔が苦手な真面目な青年  志尊　淳(川合太一)…戦力にならない天然愛されキャラ  勝村政信(堤計太郎)…経営に悪戦苦闘する元牛丼屋店長  段田安則(小澤幸應)…秘密を抱える元三ツ星天才シェフ  岸部一徳(山縣重臣)…資格取得が趣味のお茶目な元銀行員  </v>
      </c>
      <c r="N4657" s="2"/>
      <c r="O4657" s="2"/>
      <c r="P4657" s="2"/>
      <c r="Q4657" s="2"/>
      <c r="R4657" s="2"/>
      <c r="S4657" s="2"/>
      <c r="T4657" s="2"/>
      <c r="U4657" s="2"/>
      <c r="V4657" s="2"/>
      <c r="W4657" s="2"/>
      <c r="X4657" s="2"/>
      <c r="Y4657" s="2"/>
      <c r="Z4657" s="2"/>
      <c r="AA4657" s="2"/>
      <c r="AB4657" s="2"/>
      <c r="AC4657" s="2"/>
      <c r="AD4657" s="2"/>
      <c r="AE4657" s="2"/>
      <c r="AF4657" s="2"/>
      <c r="AG4657" s="2"/>
      <c r="AH4657" s="2"/>
      <c r="AI4657" s="2"/>
      <c r="AJ4657" s="2"/>
      <c r="AK4657" s="2"/>
      <c r="AL4657" s="2"/>
      <c r="AM4657" s="2"/>
      <c r="AN4657" s="2"/>
      <c r="AO4657" s="2"/>
      <c r="AP4657" s="2"/>
      <c r="AQ4657" s="2"/>
      <c r="AR4657" s="2"/>
      <c r="AS4657" s="2"/>
      <c r="AT4657" s="2"/>
      <c r="AU4657" s="2"/>
      <c r="AV4657" s="2"/>
      <c r="AW4657" s="2"/>
      <c r="AX4657" s="2"/>
      <c r="AY4657" s="2"/>
      <c r="AZ4657" s="2"/>
      <c r="BA4657" s="2"/>
      <c r="BB4657" s="2"/>
    </row>
    <row r="4658" ht="204.75" customHeight="1">
      <c r="A4658" s="1">
        <v>126.0</v>
      </c>
      <c r="B4658" s="2" t="s">
        <v>13152</v>
      </c>
      <c r="C4658" s="2">
        <f>IFERROR(__xludf.DUMMYFUNCTION("split(B4658,""_"")"),1907.0)</f>
        <v>1907</v>
      </c>
      <c r="D4658" s="2" t="str">
        <f>IFERROR(__xludf.DUMMYFUNCTION("""COMPUTED_VALUE"""),"TBS")</f>
        <v>TBS</v>
      </c>
      <c r="E4658" s="2" t="str">
        <f>IFERROR(__xludf.DUMMYFUNCTION("""COMPUTED_VALUE"""),"火22")</f>
        <v>火22</v>
      </c>
      <c r="F4658" s="2" t="s">
        <v>13153</v>
      </c>
      <c r="G4658" s="2" t="s">
        <v>13170</v>
      </c>
      <c r="H4658" s="1">
        <v>9.0</v>
      </c>
      <c r="J4658" s="1" t="s">
        <v>86</v>
      </c>
      <c r="K4658" s="2" t="s">
        <v>13171</v>
      </c>
      <c r="L4658" s="2"/>
      <c r="M4658" s="2" t="str">
        <f>IFERROR(__xludf.DUMMYFUNCTION("split(split(K4658,""【"",false),""公式LINE"",false)"),"オーナー(石原さとみ)不在の1日。振り回されることなく仕事に集中出来るロワン・ディシーメンバーには、立て続けにラッキーな出来事が起こり、幸せを噛みしめていた。その頃、オーナーには不運な出来事ばかりが起こり不機嫌指数がMAXに…。そんな矢先、ある謎の男(白井晃)が来店。難敵に追い詰められたオーナーは人生初のピンチに追い込まれる。さらに、伊賀にも予期せぬ事態が忍び寄り…。石原さとみ(黒須仮名子)…みんなを振り回す風変わりなオーナー 福士蒼汰(伊賀　観)…笑顔が苦手な真面目な青年 志尊　淳(川合太一)…戦力にな"&amp;"らない天然愛されキャラ 勝村政信(堤計太郎)…経営に悪戦苦闘する元牛丼屋店長 段田安則(小澤幸應)…秘密を抱える元三ツ星天才シェフ 岸部一徳(山縣重臣)…資格取得が趣味のお茶目な元銀行員  ")</f>
        <v>オーナー(石原さとみ)不在の1日。振り回されることなく仕事に集中出来るロワン・ディシーメンバーには、立て続けにラッキーな出来事が起こり、幸せを噛みしめていた。その頃、オーナーには不運な出来事ばかりが起こり不機嫌指数がMAXに…。そんな矢先、ある謎の男(白井晃)が来店。難敵に追い詰められたオーナーは人生初のピンチに追い込まれる。さらに、伊賀にも予期せぬ事態が忍び寄り…。石原さとみ(黒須仮名子)…みんなを振り回す風変わりなオーナー 福士蒼汰(伊賀　観)…笑顔が苦手な真面目な青年 志尊　淳(川合太一)…戦力にならない天然愛されキャラ 勝村政信(堤計太郎)…経営に悪戦苦闘する元牛丼屋店長 段田安則(小澤幸應)…秘密を抱える元三ツ星天才シェフ 岸部一徳(山縣重臣)…資格取得が趣味のお茶目な元銀行員  </v>
      </c>
      <c r="N4658" s="2"/>
      <c r="O4658" s="2"/>
      <c r="P4658" s="2"/>
      <c r="Q4658" s="2"/>
      <c r="R4658" s="2"/>
      <c r="S4658" s="2"/>
      <c r="T4658" s="2"/>
      <c r="U4658" s="2"/>
      <c r="V4658" s="2"/>
      <c r="W4658" s="2"/>
      <c r="X4658" s="2"/>
      <c r="Y4658" s="2"/>
      <c r="Z4658" s="2"/>
      <c r="AA4658" s="2"/>
      <c r="AB4658" s="2"/>
      <c r="AC4658" s="2"/>
      <c r="AD4658" s="2"/>
      <c r="AE4658" s="2"/>
      <c r="AF4658" s="2"/>
      <c r="AG4658" s="2"/>
      <c r="AH4658" s="2"/>
      <c r="AI4658" s="2"/>
      <c r="AJ4658" s="2"/>
      <c r="AK4658" s="2"/>
      <c r="AL4658" s="2"/>
      <c r="AM4658" s="2"/>
      <c r="AN4658" s="2"/>
      <c r="AO4658" s="2"/>
      <c r="AP4658" s="2"/>
      <c r="AQ4658" s="2"/>
      <c r="AR4658" s="2"/>
      <c r="AS4658" s="2"/>
      <c r="AT4658" s="2"/>
      <c r="AU4658" s="2"/>
      <c r="AV4658" s="2"/>
      <c r="AW4658" s="2"/>
      <c r="AX4658" s="2"/>
      <c r="AY4658" s="2"/>
      <c r="AZ4658" s="2"/>
      <c r="BA4658" s="2"/>
      <c r="BB4658" s="2"/>
    </row>
    <row r="4659" ht="204.75" customHeight="1">
      <c r="A4659" s="1">
        <v>127.0</v>
      </c>
      <c r="B4659" s="2" t="s">
        <v>13152</v>
      </c>
      <c r="C4659" s="2">
        <f>IFERROR(__xludf.DUMMYFUNCTION("split(B4659,""_"")"),1907.0)</f>
        <v>1907</v>
      </c>
      <c r="D4659" s="2" t="str">
        <f>IFERROR(__xludf.DUMMYFUNCTION("""COMPUTED_VALUE"""),"TBS")</f>
        <v>TBS</v>
      </c>
      <c r="E4659" s="2" t="str">
        <f>IFERROR(__xludf.DUMMYFUNCTION("""COMPUTED_VALUE"""),"火22")</f>
        <v>火22</v>
      </c>
      <c r="F4659" s="2" t="s">
        <v>13153</v>
      </c>
      <c r="G4659" s="2" t="s">
        <v>13172</v>
      </c>
      <c r="H4659" s="1">
        <v>10.0</v>
      </c>
      <c r="J4659" s="1" t="s">
        <v>86</v>
      </c>
      <c r="K4659" s="2" t="s">
        <v>13173</v>
      </c>
      <c r="L4659" s="2"/>
      <c r="M4659" s="2" t="str">
        <f>IFERROR(__xludf.DUMMYFUNCTION("split(split(K4659,""【"",false),""公式LINE"",false)"),"日比野(井上順)と親しくなった伊賀(福士蒼汰)はコンサートのチケットをもらい足を運ぶも、客との距離感をオーナー(石原さとみ)に注意されてしまう。伊賀はオーナーの一言で、自分が成長できていないことに気付き、家族の転勤先のジンバブエに行くことを決意。そんな最中、謎の3人組が来店。仮名子たちに持ちかけてきたとんでもない話とは!?ロワン・ディシーの運命の歯車が狂い始める…!!  石原さとみ(黒須仮名子)…みんなを振り回す風変わりなオーナー  福士蒼汰(伊賀　観)…笑顔が苦手な真面目な青年  志尊　淳(川合太一)…"&amp;"天然愛されキャラ  勝村政信(堤計太郎)…元牛丼屋店長  段田安則(小澤幸應)…元三ツ星天才シェフ  岸部一徳(山縣重臣)…資格取得が趣味のお茶目な元銀行員")</f>
        <v>日比野(井上順)と親しくなった伊賀(福士蒼汰)はコンサートのチケットをもらい足を運ぶも、客との距離感をオーナー(石原さとみ)に注意されてしまう。伊賀はオーナーの一言で、自分が成長できていないことに気付き、家族の転勤先のジンバブエに行くことを決意。そんな最中、謎の3人組が来店。仮名子たちに持ちかけてきたとんでもない話とは!?ロワン・ディシーの運命の歯車が狂い始める…!!  石原さとみ(黒須仮名子)…みんなを振り回す風変わりなオーナー  福士蒼汰(伊賀　観)…笑顔が苦手な真面目な青年  志尊　淳(川合太一)…天然愛されキャラ  勝村政信(堤計太郎)…元牛丼屋店長  段田安則(小澤幸應)…元三ツ星天才シェフ  岸部一徳(山縣重臣)…資格取得が趣味のお茶目な元銀行員</v>
      </c>
      <c r="N4659" s="2"/>
      <c r="O4659" s="2"/>
      <c r="P4659" s="2"/>
      <c r="Q4659" s="2"/>
      <c r="R4659" s="2"/>
      <c r="S4659" s="2"/>
      <c r="T4659" s="2"/>
      <c r="U4659" s="2"/>
      <c r="V4659" s="2"/>
      <c r="W4659" s="2"/>
      <c r="X4659" s="2"/>
      <c r="Y4659" s="2"/>
      <c r="Z4659" s="2"/>
      <c r="AA4659" s="2"/>
      <c r="AB4659" s="2"/>
      <c r="AC4659" s="2"/>
      <c r="AD4659" s="2"/>
      <c r="AE4659" s="2"/>
      <c r="AF4659" s="2"/>
      <c r="AG4659" s="2"/>
      <c r="AH4659" s="2"/>
      <c r="AI4659" s="2"/>
      <c r="AJ4659" s="2"/>
      <c r="AK4659" s="2"/>
      <c r="AL4659" s="2"/>
      <c r="AM4659" s="2"/>
      <c r="AN4659" s="2"/>
      <c r="AO4659" s="2"/>
      <c r="AP4659" s="2"/>
      <c r="AQ4659" s="2"/>
      <c r="AR4659" s="2"/>
      <c r="AS4659" s="2"/>
      <c r="AT4659" s="2"/>
      <c r="AU4659" s="2"/>
      <c r="AV4659" s="2"/>
      <c r="AW4659" s="2"/>
      <c r="AX4659" s="2"/>
      <c r="AY4659" s="2"/>
      <c r="AZ4659" s="2"/>
      <c r="BA4659" s="2"/>
      <c r="BB4659" s="2"/>
    </row>
    <row r="4660" ht="204.75" customHeight="1">
      <c r="A4660" s="1">
        <v>167.0</v>
      </c>
      <c r="B4660" s="2" t="s">
        <v>13174</v>
      </c>
      <c r="C4660" s="2">
        <f>IFERROR(__xludf.DUMMYFUNCTION("split(B4660,""_"")"),1907.0)</f>
        <v>1907</v>
      </c>
      <c r="D4660" s="2" t="str">
        <f>IFERROR(__xludf.DUMMYFUNCTION("""COMPUTED_VALUE"""),"TBS")</f>
        <v>TBS</v>
      </c>
      <c r="E4660" s="2" t="str">
        <f>IFERROR(__xludf.DUMMYFUNCTION("""COMPUTED_VALUE"""),"金22")</f>
        <v>金22</v>
      </c>
      <c r="F4660" s="2" t="s">
        <v>13175</v>
      </c>
      <c r="G4660" s="2" t="s">
        <v>13176</v>
      </c>
      <c r="H4660" s="1">
        <v>1.0</v>
      </c>
      <c r="J4660" s="1" t="s">
        <v>82</v>
      </c>
      <c r="K4660" s="2" t="s">
        <v>13177</v>
      </c>
      <c r="L4660" s="2"/>
      <c r="M4660" s="2" t="str">
        <f>IFERROR(__xludf.DUMMYFUNCTION("split(split(K4660,""【"",false),""公式LINE"",false)"),"家電メーカーの営業事務として働く大島凪(なぎ)はいわゆる「空気を読みすぎる」アラサー女子。上司や同僚、SNS、友達、そして、彼氏・・・ありとあらゆる空気を読みまくっていた。本人ですら「なんだかなぁ」と思ってしまう毎日だったが、あることを機に、仕事も辞めスマホも解約、彼氏と連絡を絶ち、毎朝1時間も費やしたヘアセットもやめ、ひどいくせ毛の天然パーマもそのままに「人生リセット」を図るー。「人生リセット」して引っ越した先は、6畳一間のクーラーなしのボロアパート。危険な匂いのする隣人・ゴンをはじめとする個性豊かな住"&amp;"人たちとの出会い。そこに別れたはずの彼氏、慎二がやってきて・・・。")</f>
        <v>家電メーカーの営業事務として働く大島凪(なぎ)はいわゆる「空気を読みすぎる」アラサー女子。上司や同僚、SNS、友達、そして、彼氏・・・ありとあらゆる空気を読みまくっていた。本人ですら「なんだかなぁ」と思ってしまう毎日だったが、あることを機に、仕事も辞めスマホも解約、彼氏と連絡を絶ち、毎朝1時間も費やしたヘアセットもやめ、ひどいくせ毛の天然パーマもそのままに「人生リセット」を図るー。「人生リセット」して引っ越した先は、6畳一間のクーラーなしのボロアパート。危険な匂いのする隣人・ゴンをはじめとする個性豊かな住人たちとの出会い。そこに別れたはずの彼氏、慎二がやってきて・・・。</v>
      </c>
      <c r="N4660" s="2"/>
      <c r="O4660" s="2"/>
      <c r="P4660" s="2"/>
      <c r="Q4660" s="2"/>
      <c r="R4660" s="2"/>
      <c r="S4660" s="2"/>
      <c r="T4660" s="2"/>
      <c r="U4660" s="2"/>
      <c r="V4660" s="2"/>
      <c r="W4660" s="2"/>
      <c r="X4660" s="2"/>
      <c r="Y4660" s="2"/>
      <c r="Z4660" s="2"/>
      <c r="AA4660" s="2"/>
      <c r="AB4660" s="2"/>
      <c r="AC4660" s="2"/>
      <c r="AD4660" s="2"/>
      <c r="AE4660" s="2"/>
      <c r="AF4660" s="2"/>
      <c r="AG4660" s="2"/>
      <c r="AH4660" s="2"/>
      <c r="AI4660" s="2"/>
      <c r="AJ4660" s="2"/>
      <c r="AK4660" s="2"/>
      <c r="AL4660" s="2"/>
      <c r="AM4660" s="2"/>
      <c r="AN4660" s="2"/>
      <c r="AO4660" s="2"/>
      <c r="AP4660" s="2"/>
      <c r="AQ4660" s="2"/>
      <c r="AR4660" s="2"/>
      <c r="AS4660" s="2"/>
      <c r="AT4660" s="2"/>
      <c r="AU4660" s="2"/>
      <c r="AV4660" s="2"/>
      <c r="AW4660" s="2"/>
      <c r="AX4660" s="2"/>
      <c r="AY4660" s="2"/>
      <c r="AZ4660" s="2"/>
      <c r="BA4660" s="2"/>
      <c r="BB4660" s="2"/>
    </row>
    <row r="4661" ht="204.75" customHeight="1">
      <c r="A4661" s="1">
        <v>168.0</v>
      </c>
      <c r="B4661" s="2" t="s">
        <v>13174</v>
      </c>
      <c r="C4661" s="2">
        <f>IFERROR(__xludf.DUMMYFUNCTION("split(B4661,""_"")"),1907.0)</f>
        <v>1907</v>
      </c>
      <c r="D4661" s="2" t="str">
        <f>IFERROR(__xludf.DUMMYFUNCTION("""COMPUTED_VALUE"""),"TBS")</f>
        <v>TBS</v>
      </c>
      <c r="E4661" s="2" t="str">
        <f>IFERROR(__xludf.DUMMYFUNCTION("""COMPUTED_VALUE"""),"金22")</f>
        <v>金22</v>
      </c>
      <c r="F4661" s="2" t="s">
        <v>13175</v>
      </c>
      <c r="G4661" s="2" t="s">
        <v>13178</v>
      </c>
      <c r="H4661" s="1">
        <v>2.0</v>
      </c>
      <c r="J4661" s="1" t="s">
        <v>86</v>
      </c>
      <c r="K4661" s="2" t="s">
        <v>13179</v>
      </c>
      <c r="L4661" s="2"/>
      <c r="M4661" s="2" t="str">
        <f>IFERROR(__xludf.DUMMYFUNCTION("split(split(K4661,""【"",false),""公式LINE"",false)"),"人生リセットするために全てを捨てて東京郊外のアパートに引っ越した「空気を読みすぎる」アラサー女子・大島凪(黒木華)は、隣に住むイベントオーガナイザーの安楽城ゴン(中村倫也)、ハローワークでは同世代の女性・坂本龍子(市川実日子)に、隣に住む小学生のうららとの心の交流で人生豊かな生活を取り戻していくのだが、ある日、彼氏だった慎二(高橋一生)が再び凪の元を訪れる。")</f>
        <v>人生リセットするために全てを捨てて東京郊外のアパートに引っ越した「空気を読みすぎる」アラサー女子・大島凪(黒木華)は、隣に住むイベントオーガナイザーの安楽城ゴン(中村倫也)、ハローワークでは同世代の女性・坂本龍子(市川実日子)に、隣に住む小学生のうららとの心の交流で人生豊かな生活を取り戻していくのだが、ある日、彼氏だった慎二(高橋一生)が再び凪の元を訪れる。</v>
      </c>
      <c r="N4661" s="2"/>
      <c r="O4661" s="2"/>
      <c r="P4661" s="2"/>
      <c r="Q4661" s="2"/>
      <c r="R4661" s="2"/>
      <c r="S4661" s="2"/>
      <c r="T4661" s="2"/>
      <c r="U4661" s="2"/>
      <c r="V4661" s="2"/>
      <c r="W4661" s="2"/>
      <c r="X4661" s="2"/>
      <c r="Y4661" s="2"/>
      <c r="Z4661" s="2"/>
      <c r="AA4661" s="2"/>
      <c r="AB4661" s="2"/>
      <c r="AC4661" s="2"/>
      <c r="AD4661" s="2"/>
      <c r="AE4661" s="2"/>
      <c r="AF4661" s="2"/>
      <c r="AG4661" s="2"/>
      <c r="AH4661" s="2"/>
      <c r="AI4661" s="2"/>
      <c r="AJ4661" s="2"/>
      <c r="AK4661" s="2"/>
      <c r="AL4661" s="2"/>
      <c r="AM4661" s="2"/>
      <c r="AN4661" s="2"/>
      <c r="AO4661" s="2"/>
      <c r="AP4661" s="2"/>
      <c r="AQ4661" s="2"/>
      <c r="AR4661" s="2"/>
      <c r="AS4661" s="2"/>
      <c r="AT4661" s="2"/>
      <c r="AU4661" s="2"/>
      <c r="AV4661" s="2"/>
      <c r="AW4661" s="2"/>
      <c r="AX4661" s="2"/>
      <c r="AY4661" s="2"/>
      <c r="AZ4661" s="2"/>
      <c r="BA4661" s="2"/>
      <c r="BB4661" s="2"/>
    </row>
    <row r="4662" ht="204.75" customHeight="1">
      <c r="A4662" s="1">
        <v>169.0</v>
      </c>
      <c r="B4662" s="2" t="s">
        <v>13174</v>
      </c>
      <c r="C4662" s="2">
        <f>IFERROR(__xludf.DUMMYFUNCTION("split(B4662,""_"")"),1907.0)</f>
        <v>1907</v>
      </c>
      <c r="D4662" s="2" t="str">
        <f>IFERROR(__xludf.DUMMYFUNCTION("""COMPUTED_VALUE"""),"TBS")</f>
        <v>TBS</v>
      </c>
      <c r="E4662" s="2" t="str">
        <f>IFERROR(__xludf.DUMMYFUNCTION("""COMPUTED_VALUE"""),"金22")</f>
        <v>金22</v>
      </c>
      <c r="F4662" s="2" t="s">
        <v>13175</v>
      </c>
      <c r="G4662" s="2" t="s">
        <v>13180</v>
      </c>
      <c r="H4662" s="1">
        <v>3.0</v>
      </c>
      <c r="J4662" s="1" t="s">
        <v>86</v>
      </c>
      <c r="K4662" s="2" t="s">
        <v>13181</v>
      </c>
      <c r="L4662" s="2"/>
      <c r="M4662" s="2" t="str">
        <f>IFERROR(__xludf.DUMMYFUNCTION("split(split(K4662,""【"",false),""公式LINE"",false)"),"人生リセットするために全てを捨てて東京郊外のアパートに引っ越した「空気を読みすぎる」アラサー女子・大島凪(黒木華)は、ハローワークで知り合った坂本龍子(市川実日子)に婚活パーティーに誘われる。そこで偶然にも、会社員時代の同僚だった足立(瀧内公美)と再会してしまう。")</f>
        <v>人生リセットするために全てを捨てて東京郊外のアパートに引っ越した「空気を読みすぎる」アラサー女子・大島凪(黒木華)は、ハローワークで知り合った坂本龍子(市川実日子)に婚活パーティーに誘われる。そこで偶然にも、会社員時代の同僚だった足立(瀧内公美)と再会してしまう。</v>
      </c>
      <c r="N4662" s="2"/>
      <c r="O4662" s="2"/>
      <c r="P4662" s="2"/>
      <c r="Q4662" s="2"/>
      <c r="R4662" s="2"/>
      <c r="S4662" s="2"/>
      <c r="T4662" s="2"/>
      <c r="U4662" s="2"/>
      <c r="V4662" s="2"/>
      <c r="W4662" s="2"/>
      <c r="X4662" s="2"/>
      <c r="Y4662" s="2"/>
      <c r="Z4662" s="2"/>
      <c r="AA4662" s="2"/>
      <c r="AB4662" s="2"/>
      <c r="AC4662" s="2"/>
      <c r="AD4662" s="2"/>
      <c r="AE4662" s="2"/>
      <c r="AF4662" s="2"/>
      <c r="AG4662" s="2"/>
      <c r="AH4662" s="2"/>
      <c r="AI4662" s="2"/>
      <c r="AJ4662" s="2"/>
      <c r="AK4662" s="2"/>
      <c r="AL4662" s="2"/>
      <c r="AM4662" s="2"/>
      <c r="AN4662" s="2"/>
      <c r="AO4662" s="2"/>
      <c r="AP4662" s="2"/>
      <c r="AQ4662" s="2"/>
      <c r="AR4662" s="2"/>
      <c r="AS4662" s="2"/>
      <c r="AT4662" s="2"/>
      <c r="AU4662" s="2"/>
      <c r="AV4662" s="2"/>
      <c r="AW4662" s="2"/>
      <c r="AX4662" s="2"/>
      <c r="AY4662" s="2"/>
      <c r="AZ4662" s="2"/>
      <c r="BA4662" s="2"/>
      <c r="BB4662" s="2"/>
    </row>
    <row r="4663" ht="204.75" customHeight="1">
      <c r="A4663" s="1">
        <v>170.0</v>
      </c>
      <c r="B4663" s="2" t="s">
        <v>13174</v>
      </c>
      <c r="C4663" s="2">
        <f>IFERROR(__xludf.DUMMYFUNCTION("split(B4663,""_"")"),1907.0)</f>
        <v>1907</v>
      </c>
      <c r="D4663" s="2" t="str">
        <f>IFERROR(__xludf.DUMMYFUNCTION("""COMPUTED_VALUE"""),"TBS")</f>
        <v>TBS</v>
      </c>
      <c r="E4663" s="2" t="str">
        <f>IFERROR(__xludf.DUMMYFUNCTION("""COMPUTED_VALUE"""),"金22")</f>
        <v>金22</v>
      </c>
      <c r="F4663" s="2" t="s">
        <v>13175</v>
      </c>
      <c r="G4663" s="2" t="s">
        <v>13182</v>
      </c>
      <c r="H4663" s="1">
        <v>4.0</v>
      </c>
      <c r="J4663" s="1" t="s">
        <v>86</v>
      </c>
      <c r="K4663" s="2" t="s">
        <v>13183</v>
      </c>
      <c r="L4663" s="2"/>
      <c r="M4663" s="2" t="str">
        <f>IFERROR(__xludf.DUMMYFUNCTION("split(split(K4663,""【"",false),""公式LINE"",false)"),"人生リセットするために全てを捨てて東京郊外のアパートに引っ越した「空気を読みすぎる」アラサー女子・大島凪(黒木華)は、付き合っていた慎二(高橋一生)との関係を清算し、アパートの隣の住人・ゴン(中村倫也)と一夜を過ごしてしまう。その幸せな関係がやがて崩れることを恐れてしまう凪は、「私たちって、付き合っているんですよね」と聞きたい気持ちを抑えてしまっていて…。")</f>
        <v>人生リセットするために全てを捨てて東京郊外のアパートに引っ越した「空気を読みすぎる」アラサー女子・大島凪(黒木華)は、付き合っていた慎二(高橋一生)との関係を清算し、アパートの隣の住人・ゴン(中村倫也)と一夜を過ごしてしまう。その幸せな関係がやがて崩れることを恐れてしまう凪は、「私たちって、付き合っているんですよね」と聞きたい気持ちを抑えてしまっていて…。</v>
      </c>
      <c r="N4663" s="2"/>
      <c r="O4663" s="2"/>
      <c r="P4663" s="2"/>
      <c r="Q4663" s="2"/>
      <c r="R4663" s="2"/>
      <c r="S4663" s="2"/>
      <c r="T4663" s="2"/>
      <c r="U4663" s="2"/>
      <c r="V4663" s="2"/>
      <c r="W4663" s="2"/>
      <c r="X4663" s="2"/>
      <c r="Y4663" s="2"/>
      <c r="Z4663" s="2"/>
      <c r="AA4663" s="2"/>
      <c r="AB4663" s="2"/>
      <c r="AC4663" s="2"/>
      <c r="AD4663" s="2"/>
      <c r="AE4663" s="2"/>
      <c r="AF4663" s="2"/>
      <c r="AG4663" s="2"/>
      <c r="AH4663" s="2"/>
      <c r="AI4663" s="2"/>
      <c r="AJ4663" s="2"/>
      <c r="AK4663" s="2"/>
      <c r="AL4663" s="2"/>
      <c r="AM4663" s="2"/>
      <c r="AN4663" s="2"/>
      <c r="AO4663" s="2"/>
      <c r="AP4663" s="2"/>
      <c r="AQ4663" s="2"/>
      <c r="AR4663" s="2"/>
      <c r="AS4663" s="2"/>
      <c r="AT4663" s="2"/>
      <c r="AU4663" s="2"/>
      <c r="AV4663" s="2"/>
      <c r="AW4663" s="2"/>
      <c r="AX4663" s="2"/>
      <c r="AY4663" s="2"/>
      <c r="AZ4663" s="2"/>
      <c r="BA4663" s="2"/>
      <c r="BB4663" s="2"/>
    </row>
    <row r="4664" ht="204.75" customHeight="1">
      <c r="A4664" s="1">
        <v>171.0</v>
      </c>
      <c r="B4664" s="2" t="s">
        <v>13174</v>
      </c>
      <c r="C4664" s="2">
        <f>IFERROR(__xludf.DUMMYFUNCTION("split(B4664,""_"")"),1907.0)</f>
        <v>1907</v>
      </c>
      <c r="D4664" s="2" t="str">
        <f>IFERROR(__xludf.DUMMYFUNCTION("""COMPUTED_VALUE"""),"TBS")</f>
        <v>TBS</v>
      </c>
      <c r="E4664" s="2" t="str">
        <f>IFERROR(__xludf.DUMMYFUNCTION("""COMPUTED_VALUE"""),"金22")</f>
        <v>金22</v>
      </c>
      <c r="F4664" s="2" t="s">
        <v>13175</v>
      </c>
      <c r="G4664" s="2" t="s">
        <v>13184</v>
      </c>
      <c r="H4664" s="1">
        <v>5.0</v>
      </c>
      <c r="J4664" s="1" t="s">
        <v>86</v>
      </c>
      <c r="K4664" s="2" t="s">
        <v>13185</v>
      </c>
      <c r="L4664" s="2"/>
      <c r="M4664" s="2" t="str">
        <f>IFERROR(__xludf.DUMMYFUNCTION("split(split(K4664,""【"",false),""公式LINE"",false)"),"人生リセットするために六畳一間に引っ越した「空気を読みすぎる」アラサー女子・大島凪(黒木華)は、アパートの隣人・ゴン(中村倫也)と関係を持つことで、自堕落な生活へ闇落ちしていることを元カレの慎二(高橋一生)に指摘される。一方で慎二は大阪支社から転勤してきた市川円(唐田えりか)とタクシーの中で手が触れて……")</f>
        <v>人生リセットするために六畳一間に引っ越した「空気を読みすぎる」アラサー女子・大島凪(黒木華)は、アパートの隣人・ゴン(中村倫也)と関係を持つことで、自堕落な生活へ闇落ちしていることを元カレの慎二(高橋一生)に指摘される。一方で慎二は大阪支社から転勤してきた市川円(唐田えりか)とタクシーの中で手が触れて……</v>
      </c>
      <c r="N4664" s="2"/>
      <c r="O4664" s="2"/>
      <c r="P4664" s="2"/>
      <c r="Q4664" s="2"/>
      <c r="R4664" s="2"/>
      <c r="S4664" s="2"/>
      <c r="T4664" s="2"/>
      <c r="U4664" s="2"/>
      <c r="V4664" s="2"/>
      <c r="W4664" s="2"/>
      <c r="X4664" s="2"/>
      <c r="Y4664" s="2"/>
      <c r="Z4664" s="2"/>
      <c r="AA4664" s="2"/>
      <c r="AB4664" s="2"/>
      <c r="AC4664" s="2"/>
      <c r="AD4664" s="2"/>
      <c r="AE4664" s="2"/>
      <c r="AF4664" s="2"/>
      <c r="AG4664" s="2"/>
      <c r="AH4664" s="2"/>
      <c r="AI4664" s="2"/>
      <c r="AJ4664" s="2"/>
      <c r="AK4664" s="2"/>
      <c r="AL4664" s="2"/>
      <c r="AM4664" s="2"/>
      <c r="AN4664" s="2"/>
      <c r="AO4664" s="2"/>
      <c r="AP4664" s="2"/>
      <c r="AQ4664" s="2"/>
      <c r="AR4664" s="2"/>
      <c r="AS4664" s="2"/>
      <c r="AT4664" s="2"/>
      <c r="AU4664" s="2"/>
      <c r="AV4664" s="2"/>
      <c r="AW4664" s="2"/>
      <c r="AX4664" s="2"/>
      <c r="AY4664" s="2"/>
      <c r="AZ4664" s="2"/>
      <c r="BA4664" s="2"/>
      <c r="BB4664" s="2"/>
    </row>
    <row r="4665" ht="204.75" customHeight="1">
      <c r="A4665" s="1">
        <v>172.0</v>
      </c>
      <c r="B4665" s="2" t="s">
        <v>13174</v>
      </c>
      <c r="C4665" s="2">
        <f>IFERROR(__xludf.DUMMYFUNCTION("split(B4665,""_"")"),1907.0)</f>
        <v>1907</v>
      </c>
      <c r="D4665" s="2" t="str">
        <f>IFERROR(__xludf.DUMMYFUNCTION("""COMPUTED_VALUE"""),"TBS")</f>
        <v>TBS</v>
      </c>
      <c r="E4665" s="2" t="str">
        <f>IFERROR(__xludf.DUMMYFUNCTION("""COMPUTED_VALUE"""),"金22")</f>
        <v>金22</v>
      </c>
      <c r="F4665" s="2" t="s">
        <v>13175</v>
      </c>
      <c r="G4665" s="2" t="s">
        <v>13186</v>
      </c>
      <c r="H4665" s="1">
        <v>6.0</v>
      </c>
      <c r="J4665" s="1" t="s">
        <v>86</v>
      </c>
      <c r="K4665" s="2" t="s">
        <v>13187</v>
      </c>
      <c r="L4665" s="2"/>
      <c r="M4665" s="2" t="str">
        <f>IFERROR(__xludf.DUMMYFUNCTION("split(split(K4665,""【"",false),""公式LINE"",false)"),"六畳一間に引っ越した「空気を読みすぎる」アラサー女子・大島凪(黒木華)は、アパート隣人のゴン(中村倫也)との関係をリセットしスナックで働き始め新たな日々を送る。一方、目の前に越してきた友人・龍子(市川実日子)が働き始めたのはブラック企業だった。そしてある夜、元カレの慎二(高橋一生)は会社の後輩・円(唐田えりか)を凪に何と紹介するか迷った挙句・・・")</f>
        <v>六畳一間に引っ越した「空気を読みすぎる」アラサー女子・大島凪(黒木華)は、アパート隣人のゴン(中村倫也)との関係をリセットしスナックで働き始め新たな日々を送る。一方、目の前に越してきた友人・龍子(市川実日子)が働き始めたのはブラック企業だった。そしてある夜、元カレの慎二(高橋一生)は会社の後輩・円(唐田えりか)を凪に何と紹介するか迷った挙句・・・</v>
      </c>
      <c r="N4665" s="2"/>
      <c r="O4665" s="2"/>
      <c r="P4665" s="2"/>
      <c r="Q4665" s="2"/>
      <c r="R4665" s="2"/>
      <c r="S4665" s="2"/>
      <c r="T4665" s="2"/>
      <c r="U4665" s="2"/>
      <c r="V4665" s="2"/>
      <c r="W4665" s="2"/>
      <c r="X4665" s="2"/>
      <c r="Y4665" s="2"/>
      <c r="Z4665" s="2"/>
      <c r="AA4665" s="2"/>
      <c r="AB4665" s="2"/>
      <c r="AC4665" s="2"/>
      <c r="AD4665" s="2"/>
      <c r="AE4665" s="2"/>
      <c r="AF4665" s="2"/>
      <c r="AG4665" s="2"/>
      <c r="AH4665" s="2"/>
      <c r="AI4665" s="2"/>
      <c r="AJ4665" s="2"/>
      <c r="AK4665" s="2"/>
      <c r="AL4665" s="2"/>
      <c r="AM4665" s="2"/>
      <c r="AN4665" s="2"/>
      <c r="AO4665" s="2"/>
      <c r="AP4665" s="2"/>
      <c r="AQ4665" s="2"/>
      <c r="AR4665" s="2"/>
      <c r="AS4665" s="2"/>
      <c r="AT4665" s="2"/>
      <c r="AU4665" s="2"/>
      <c r="AV4665" s="2"/>
      <c r="AW4665" s="2"/>
      <c r="AX4665" s="2"/>
      <c r="AY4665" s="2"/>
      <c r="AZ4665" s="2"/>
      <c r="BA4665" s="2"/>
      <c r="BB4665" s="2"/>
    </row>
    <row r="4666" ht="204.75" customHeight="1">
      <c r="A4666" s="1">
        <v>173.0</v>
      </c>
      <c r="B4666" s="2" t="s">
        <v>13174</v>
      </c>
      <c r="C4666" s="2">
        <f>IFERROR(__xludf.DUMMYFUNCTION("split(B4666,""_"")"),1907.0)</f>
        <v>1907</v>
      </c>
      <c r="D4666" s="2" t="str">
        <f>IFERROR(__xludf.DUMMYFUNCTION("""COMPUTED_VALUE"""),"TBS")</f>
        <v>TBS</v>
      </c>
      <c r="E4666" s="2" t="str">
        <f>IFERROR(__xludf.DUMMYFUNCTION("""COMPUTED_VALUE"""),"金22")</f>
        <v>金22</v>
      </c>
      <c r="F4666" s="2" t="s">
        <v>13175</v>
      </c>
      <c r="G4666" s="2" t="s">
        <v>13188</v>
      </c>
      <c r="H4666" s="1">
        <v>7.0</v>
      </c>
      <c r="J4666" s="1" t="s">
        <v>86</v>
      </c>
      <c r="K4666" s="2" t="s">
        <v>13189</v>
      </c>
      <c r="L4666" s="2"/>
      <c r="M4666" s="2" t="str">
        <f>IFERROR(__xludf.DUMMYFUNCTION("split(split(K4666,""【"",false),""公式LINE"",false)"),"六畳一間に引っ越した「空気を読みすぎる」アラサー女子・大島凪(黒木華)は、ブラック企業を辞め再び無職になった友人・龍子(市川実日子)とコインランドリー経営という新たな夢を描いていた。一方、アパート隣人のゴン(中村倫也)は凪に対する自分の気持ちが恋だということに気づきはじめる。そしてある夜、100年もののぬか床を探して元カレの慎二(高橋一生)の家を訪れた凪は慎二の本心を知ることに…")</f>
        <v>六畳一間に引っ越した「空気を読みすぎる」アラサー女子・大島凪(黒木華)は、ブラック企業を辞め再び無職になった友人・龍子(市川実日子)とコインランドリー経営という新たな夢を描いていた。一方、アパート隣人のゴン(中村倫也)は凪に対する自分の気持ちが恋だということに気づきはじめる。そしてある夜、100年もののぬか床を探して元カレの慎二(高橋一生)の家を訪れた凪は慎二の本心を知ることに…</v>
      </c>
      <c r="N4666" s="2"/>
      <c r="O4666" s="2"/>
      <c r="P4666" s="2"/>
      <c r="Q4666" s="2"/>
      <c r="R4666" s="2"/>
      <c r="S4666" s="2"/>
      <c r="T4666" s="2"/>
      <c r="U4666" s="2"/>
      <c r="V4666" s="2"/>
      <c r="W4666" s="2"/>
      <c r="X4666" s="2"/>
      <c r="Y4666" s="2"/>
      <c r="Z4666" s="2"/>
      <c r="AA4666" s="2"/>
      <c r="AB4666" s="2"/>
      <c r="AC4666" s="2"/>
      <c r="AD4666" s="2"/>
      <c r="AE4666" s="2"/>
      <c r="AF4666" s="2"/>
      <c r="AG4666" s="2"/>
      <c r="AH4666" s="2"/>
      <c r="AI4666" s="2"/>
      <c r="AJ4666" s="2"/>
      <c r="AK4666" s="2"/>
      <c r="AL4666" s="2"/>
      <c r="AM4666" s="2"/>
      <c r="AN4666" s="2"/>
      <c r="AO4666" s="2"/>
      <c r="AP4666" s="2"/>
      <c r="AQ4666" s="2"/>
      <c r="AR4666" s="2"/>
      <c r="AS4666" s="2"/>
      <c r="AT4666" s="2"/>
      <c r="AU4666" s="2"/>
      <c r="AV4666" s="2"/>
      <c r="AW4666" s="2"/>
      <c r="AX4666" s="2"/>
      <c r="AY4666" s="2"/>
      <c r="AZ4666" s="2"/>
      <c r="BA4666" s="2"/>
      <c r="BB4666" s="2"/>
    </row>
    <row r="4667" ht="204.75" customHeight="1">
      <c r="A4667" s="1">
        <v>174.0</v>
      </c>
      <c r="B4667" s="2" t="s">
        <v>13174</v>
      </c>
      <c r="C4667" s="2">
        <f>IFERROR(__xludf.DUMMYFUNCTION("split(B4667,""_"")"),1907.0)</f>
        <v>1907</v>
      </c>
      <c r="D4667" s="2" t="str">
        <f>IFERROR(__xludf.DUMMYFUNCTION("""COMPUTED_VALUE"""),"TBS")</f>
        <v>TBS</v>
      </c>
      <c r="E4667" s="2" t="str">
        <f>IFERROR(__xludf.DUMMYFUNCTION("""COMPUTED_VALUE"""),"金22")</f>
        <v>金22</v>
      </c>
      <c r="F4667" s="2" t="s">
        <v>13175</v>
      </c>
      <c r="G4667" s="2" t="s">
        <v>13190</v>
      </c>
      <c r="H4667" s="1">
        <v>8.0</v>
      </c>
      <c r="J4667" s="1" t="s">
        <v>86</v>
      </c>
      <c r="K4667" s="2" t="s">
        <v>13191</v>
      </c>
      <c r="L4667" s="2"/>
      <c r="M4667" s="2" t="str">
        <f>IFERROR(__xludf.DUMMYFUNCTION("split(split(K4667,""【"",false),""公式LINE"",false)"),"六畳一間に引っ越した「空気を読みすぎる」アラサー女子・大島凪(黒木華)は、コインランドリー経営の夢を友人・龍子(市川実日子)実現すべく動くが、契約目前で実家の母・夕(片平なぎさ)から北海道の実家に呼び戻されることに。一方元カレの慎二(高橋一生)はしばしのお暇をなぜかゴン(中村倫也)のいるアパートで過ごしていた。実家でピンチを迎えた凪の目の前に現れたのは、北海道にいるはずのないあの人で・・・")</f>
        <v>六畳一間に引っ越した「空気を読みすぎる」アラサー女子・大島凪(黒木華)は、コインランドリー経営の夢を友人・龍子(市川実日子)実現すべく動くが、契約目前で実家の母・夕(片平なぎさ)から北海道の実家に呼び戻されることに。一方元カレの慎二(高橋一生)はしばしのお暇をなぜかゴン(中村倫也)のいるアパートで過ごしていた。実家でピンチを迎えた凪の目の前に現れたのは、北海道にいるはずのないあの人で・・・</v>
      </c>
      <c r="N4667" s="2"/>
      <c r="O4667" s="2"/>
      <c r="P4667" s="2"/>
      <c r="Q4667" s="2"/>
      <c r="R4667" s="2"/>
      <c r="S4667" s="2"/>
      <c r="T4667" s="2"/>
      <c r="U4667" s="2"/>
      <c r="V4667" s="2"/>
      <c r="W4667" s="2"/>
      <c r="X4667" s="2"/>
      <c r="Y4667" s="2"/>
      <c r="Z4667" s="2"/>
      <c r="AA4667" s="2"/>
      <c r="AB4667" s="2"/>
      <c r="AC4667" s="2"/>
      <c r="AD4667" s="2"/>
      <c r="AE4667" s="2"/>
      <c r="AF4667" s="2"/>
      <c r="AG4667" s="2"/>
      <c r="AH4667" s="2"/>
      <c r="AI4667" s="2"/>
      <c r="AJ4667" s="2"/>
      <c r="AK4667" s="2"/>
      <c r="AL4667" s="2"/>
      <c r="AM4667" s="2"/>
      <c r="AN4667" s="2"/>
      <c r="AO4667" s="2"/>
      <c r="AP4667" s="2"/>
      <c r="AQ4667" s="2"/>
      <c r="AR4667" s="2"/>
      <c r="AS4667" s="2"/>
      <c r="AT4667" s="2"/>
      <c r="AU4667" s="2"/>
      <c r="AV4667" s="2"/>
      <c r="AW4667" s="2"/>
      <c r="AX4667" s="2"/>
      <c r="AY4667" s="2"/>
      <c r="AZ4667" s="2"/>
      <c r="BA4667" s="2"/>
      <c r="BB4667" s="2"/>
    </row>
    <row r="4668" ht="204.75" customHeight="1">
      <c r="A4668" s="1">
        <v>175.0</v>
      </c>
      <c r="B4668" s="2" t="s">
        <v>13174</v>
      </c>
      <c r="C4668" s="2">
        <f>IFERROR(__xludf.DUMMYFUNCTION("split(B4668,""_"")"),1907.0)</f>
        <v>1907</v>
      </c>
      <c r="D4668" s="2" t="str">
        <f>IFERROR(__xludf.DUMMYFUNCTION("""COMPUTED_VALUE"""),"TBS")</f>
        <v>TBS</v>
      </c>
      <c r="E4668" s="2" t="str">
        <f>IFERROR(__xludf.DUMMYFUNCTION("""COMPUTED_VALUE"""),"金22")</f>
        <v>金22</v>
      </c>
      <c r="F4668" s="2" t="s">
        <v>13175</v>
      </c>
      <c r="G4668" s="2" t="s">
        <v>13192</v>
      </c>
      <c r="H4668" s="1">
        <v>9.0</v>
      </c>
      <c r="J4668" s="1" t="s">
        <v>86</v>
      </c>
      <c r="K4668" s="2" t="s">
        <v>13193</v>
      </c>
      <c r="L4668" s="2"/>
      <c r="M4668" s="2" t="str">
        <f>IFERROR(__xludf.DUMMYFUNCTION("split(split(K4668,""【"",false),""公式LINE"",false)"),"「最終章～前編・凪、ついに結婚へ!!」六畳一間に引っ越した「空気を読みすぎる」アラサー女子・大島凪(黒木華)は、急遽アパートに姿を現した実家の母・夕(片平なぎさ)に動揺を隠せない。すると元カレの慎二(高橋一生)が凪と結婚前提に付き合っていると嘘をつきさらに動揺。それを聞いていた、ゴン(中村倫也)の心中も全く穏やかではなく…。大島家、我聞家の嘘にまみれた両家顔合わせは一体どうなる!?")</f>
        <v>「最終章～前編・凪、ついに結婚へ!!」六畳一間に引っ越した「空気を読みすぎる」アラサー女子・大島凪(黒木華)は、急遽アパートに姿を現した実家の母・夕(片平なぎさ)に動揺を隠せない。すると元カレの慎二(高橋一生)が凪と結婚前提に付き合っていると嘘をつきさらに動揺。それを聞いていた、ゴン(中村倫也)の心中も全く穏やかではなく…。大島家、我聞家の嘘にまみれた両家顔合わせは一体どうなる!?</v>
      </c>
      <c r="N4668" s="2"/>
      <c r="O4668" s="2"/>
      <c r="P4668" s="2"/>
      <c r="Q4668" s="2"/>
      <c r="R4668" s="2"/>
      <c r="S4668" s="2"/>
      <c r="T4668" s="2"/>
      <c r="U4668" s="2"/>
      <c r="V4668" s="2"/>
      <c r="W4668" s="2"/>
      <c r="X4668" s="2"/>
      <c r="Y4668" s="2"/>
      <c r="Z4668" s="2"/>
      <c r="AA4668" s="2"/>
      <c r="AB4668" s="2"/>
      <c r="AC4668" s="2"/>
      <c r="AD4668" s="2"/>
      <c r="AE4668" s="2"/>
      <c r="AF4668" s="2"/>
      <c r="AG4668" s="2"/>
      <c r="AH4668" s="2"/>
      <c r="AI4668" s="2"/>
      <c r="AJ4668" s="2"/>
      <c r="AK4668" s="2"/>
      <c r="AL4668" s="2"/>
      <c r="AM4668" s="2"/>
      <c r="AN4668" s="2"/>
      <c r="AO4668" s="2"/>
      <c r="AP4668" s="2"/>
      <c r="AQ4668" s="2"/>
      <c r="AR4668" s="2"/>
      <c r="AS4668" s="2"/>
      <c r="AT4668" s="2"/>
      <c r="AU4668" s="2"/>
      <c r="AV4668" s="2"/>
      <c r="AW4668" s="2"/>
      <c r="AX4668" s="2"/>
      <c r="AY4668" s="2"/>
      <c r="AZ4668" s="2"/>
      <c r="BA4668" s="2"/>
      <c r="BB4668" s="2"/>
    </row>
    <row r="4669" ht="204.75" customHeight="1">
      <c r="A4669" s="1">
        <v>176.0</v>
      </c>
      <c r="B4669" s="2" t="s">
        <v>13174</v>
      </c>
      <c r="C4669" s="2">
        <f>IFERROR(__xludf.DUMMYFUNCTION("split(B4669,""_"")"),1907.0)</f>
        <v>1907</v>
      </c>
      <c r="D4669" s="2" t="str">
        <f>IFERROR(__xludf.DUMMYFUNCTION("""COMPUTED_VALUE"""),"TBS")</f>
        <v>TBS</v>
      </c>
      <c r="E4669" s="2" t="str">
        <f>IFERROR(__xludf.DUMMYFUNCTION("""COMPUTED_VALUE"""),"金22")</f>
        <v>金22</v>
      </c>
      <c r="F4669" s="2" t="s">
        <v>13175</v>
      </c>
      <c r="G4669" s="2" t="s">
        <v>13194</v>
      </c>
      <c r="H4669" s="1">
        <v>10.0</v>
      </c>
      <c r="J4669" s="1" t="s">
        <v>86</v>
      </c>
      <c r="K4669" s="2" t="s">
        <v>13195</v>
      </c>
      <c r="L4669" s="2"/>
      <c r="M4669" s="2" t="str">
        <f>IFERROR(__xludf.DUMMYFUNCTION("split(split(K4669,""【"",false),""公式LINE"",false)"),"今夜…ついに最終回!六畳一間に引っ越した「空気を読みすぎる」アラサー女子・大島凪(黒木華)は、アパートの隣の住人・ゴン(中村倫也)から受けた初恋の告白と、ウソの両家顔合わせを経て絆が深まった元カレの慎二(高橋一生)に挟まれ動揺を隠せない。そんな凪はお暇の出口を見出そうとして…?恋の三角関係と凪のお暇生活はどのような結末を迎えるのか、凪の出す答えとは?  ")</f>
        <v>今夜…ついに最終回!六畳一間に引っ越した「空気を読みすぎる」アラサー女子・大島凪(黒木華)は、アパートの隣の住人・ゴン(中村倫也)から受けた初恋の告白と、ウソの両家顔合わせを経て絆が深まった元カレの慎二(高橋一生)に挟まれ動揺を隠せない。そんな凪はお暇の出口を見出そうとして…?恋の三角関係と凪のお暇生活はどのような結末を迎えるのか、凪の出す答えとは?  </v>
      </c>
      <c r="N4669" s="2"/>
      <c r="O4669" s="2"/>
      <c r="P4669" s="2"/>
      <c r="Q4669" s="2"/>
      <c r="R4669" s="2"/>
      <c r="S4669" s="2"/>
      <c r="T4669" s="2"/>
      <c r="U4669" s="2"/>
      <c r="V4669" s="2"/>
      <c r="W4669" s="2"/>
      <c r="X4669" s="2"/>
      <c r="Y4669" s="2"/>
      <c r="Z4669" s="2"/>
      <c r="AA4669" s="2"/>
      <c r="AB4669" s="2"/>
      <c r="AC4669" s="2"/>
      <c r="AD4669" s="2"/>
      <c r="AE4669" s="2"/>
      <c r="AF4669" s="2"/>
      <c r="AG4669" s="2"/>
      <c r="AH4669" s="2"/>
      <c r="AI4669" s="2"/>
      <c r="AJ4669" s="2"/>
      <c r="AK4669" s="2"/>
      <c r="AL4669" s="2"/>
      <c r="AM4669" s="2"/>
      <c r="AN4669" s="2"/>
      <c r="AO4669" s="2"/>
      <c r="AP4669" s="2"/>
      <c r="AQ4669" s="2"/>
      <c r="AR4669" s="2"/>
      <c r="AS4669" s="2"/>
      <c r="AT4669" s="2"/>
      <c r="AU4669" s="2"/>
      <c r="AV4669" s="2"/>
      <c r="AW4669" s="2"/>
      <c r="AX4669" s="2"/>
      <c r="AY4669" s="2"/>
      <c r="AZ4669" s="2"/>
      <c r="BA4669" s="2"/>
      <c r="BB4669" s="2"/>
    </row>
    <row r="4670" ht="204.75" customHeight="1">
      <c r="A4670" s="1">
        <v>203.0</v>
      </c>
      <c r="B4670" s="2" t="s">
        <v>13196</v>
      </c>
      <c r="C4670" s="2">
        <f>IFERROR(__xludf.DUMMYFUNCTION("split(B4670,""_"")"),1907.0)</f>
        <v>1907</v>
      </c>
      <c r="D4670" s="2" t="str">
        <f>IFERROR(__xludf.DUMMYFUNCTION("""COMPUTED_VALUE"""),"TBS")</f>
        <v>TBS</v>
      </c>
      <c r="E4670" s="2" t="str">
        <f>IFERROR(__xludf.DUMMYFUNCTION("""COMPUTED_VALUE"""),"日21")</f>
        <v>日21</v>
      </c>
      <c r="F4670" s="2" t="s">
        <v>13197</v>
      </c>
      <c r="G4670" s="2" t="s">
        <v>13198</v>
      </c>
      <c r="H4670" s="1">
        <v>1.0</v>
      </c>
      <c r="J4670" s="1" t="s">
        <v>4</v>
      </c>
      <c r="K4670" s="2" t="s">
        <v>13199</v>
      </c>
      <c r="L4670" s="2"/>
      <c r="M4670" s="2" t="str">
        <f>IFERROR(__xludf.DUMMYFUNCTION("split(split(K4670,""【"",false),""公式LINE"",false)"),"トキワ自動車経営戦略室次長・君嶋隼人(大泉洋)は天敵である常務・滝川桂一郎(上川隆也)と対立し、府中工場へと飛ばされてしまう。出世の道を絶たれてしまった君嶋の新たな肩書は府中工場総務部長、そして-大赤字の弱小ラグビー部のゼネラルマネージャーだった!妻・真希(松たか子)や息子達に支えられながら、君嶋は再起をかけた大一番の勝負に打って出るが、君嶋の前には大企業の陰謀渦巻く様々な敵が立ちはだかり…")</f>
        <v>トキワ自動車経営戦略室次長・君嶋隼人(大泉洋)は天敵である常務・滝川桂一郎(上川隆也)と対立し、府中工場へと飛ばされてしまう。出世の道を絶たれてしまった君嶋の新たな肩書は府中工場総務部長、そして-大赤字の弱小ラグビー部のゼネラルマネージャーだった!妻・真希(松たか子)や息子達に支えられながら、君嶋は再起をかけた大一番の勝負に打って出るが、君嶋の前には大企業の陰謀渦巻く様々な敵が立ちはだかり…</v>
      </c>
      <c r="N4670" s="2"/>
      <c r="O4670" s="2"/>
      <c r="P4670" s="2"/>
      <c r="Q4670" s="2"/>
      <c r="R4670" s="2"/>
      <c r="S4670" s="2"/>
      <c r="T4670" s="2"/>
      <c r="U4670" s="2"/>
      <c r="V4670" s="2"/>
      <c r="W4670" s="2"/>
      <c r="X4670" s="2"/>
      <c r="Y4670" s="2"/>
      <c r="Z4670" s="2"/>
      <c r="AA4670" s="2"/>
      <c r="AB4670" s="2"/>
      <c r="AC4670" s="2"/>
      <c r="AD4670" s="2"/>
      <c r="AE4670" s="2"/>
      <c r="AF4670" s="2"/>
      <c r="AG4670" s="2"/>
      <c r="AH4670" s="2"/>
      <c r="AI4670" s="2"/>
      <c r="AJ4670" s="2"/>
      <c r="AK4670" s="2"/>
      <c r="AL4670" s="2"/>
      <c r="AM4670" s="2"/>
      <c r="AN4670" s="2"/>
      <c r="AO4670" s="2"/>
      <c r="AP4670" s="2"/>
      <c r="AQ4670" s="2"/>
      <c r="AR4670" s="2"/>
      <c r="AS4670" s="2"/>
      <c r="AT4670" s="2"/>
      <c r="AU4670" s="2"/>
      <c r="AV4670" s="2"/>
      <c r="AW4670" s="2"/>
      <c r="AX4670" s="2"/>
      <c r="AY4670" s="2"/>
      <c r="AZ4670" s="2"/>
      <c r="BA4670" s="2"/>
      <c r="BB4670" s="2"/>
    </row>
    <row r="4671" ht="204.75" customHeight="1">
      <c r="A4671" s="1">
        <v>204.0</v>
      </c>
      <c r="B4671" s="2" t="s">
        <v>13196</v>
      </c>
      <c r="C4671" s="2">
        <f>IFERROR(__xludf.DUMMYFUNCTION("split(B4671,""_"")"),1907.0)</f>
        <v>1907</v>
      </c>
      <c r="D4671" s="2" t="str">
        <f>IFERROR(__xludf.DUMMYFUNCTION("""COMPUTED_VALUE"""),"TBS")</f>
        <v>TBS</v>
      </c>
      <c r="E4671" s="2" t="str">
        <f>IFERROR(__xludf.DUMMYFUNCTION("""COMPUTED_VALUE"""),"日21")</f>
        <v>日21</v>
      </c>
      <c r="F4671" s="2" t="s">
        <v>13197</v>
      </c>
      <c r="G4671" s="2" t="s">
        <v>13200</v>
      </c>
      <c r="H4671" s="1">
        <v>2.0</v>
      </c>
      <c r="I4671" s="1" t="s">
        <v>2872</v>
      </c>
      <c r="J4671" s="1" t="s">
        <v>4</v>
      </c>
      <c r="K4671" s="2" t="s">
        <v>13201</v>
      </c>
      <c r="L4671" s="2"/>
      <c r="M4671" s="2" t="str">
        <f>IFERROR(__xludf.DUMMYFUNCTION("split(split(K4671,""【"",false),""公式LINE"",false)"),"府中工場で戦うことを決意した君嶋(大泉洋)は、新監督候補を探す中で、因縁の同級生(大谷亮平)と再会を果たす。しかし、そこにまたもや天敵・滝川(上川隆也)が立ちはだかり…家でもため息ばかりで妻(松たか子)にも怒られる始末。「チームを強くしながら経費を削る」無理難題に直面する君嶋は、チーム人事を見て、ある秘策を思いつくが…君嶋の運命を左右する役員会議、君嶋を待っているのは公開処刑か、大逆転劇か?")</f>
        <v>府中工場で戦うことを決意した君嶋(大泉洋)は、新監督候補を探す中で、因縁の同級生(大谷亮平)と再会を果たす。しかし、そこにまたもや天敵・滝川(上川隆也)が立ちはだかり…家でもため息ばかりで妻(松たか子)にも怒られる始末。「チームを強くしながら経費を削る」無理難題に直面する君嶋は、チーム人事を見て、ある秘策を思いつくが…君嶋の運命を左右する役員会議、君嶋を待っているのは公開処刑か、大逆転劇か?</v>
      </c>
      <c r="N4671" s="2"/>
      <c r="O4671" s="2"/>
      <c r="P4671" s="2"/>
      <c r="Q4671" s="2"/>
      <c r="R4671" s="2"/>
      <c r="S4671" s="2"/>
      <c r="T4671" s="2"/>
      <c r="U4671" s="2"/>
      <c r="V4671" s="2"/>
      <c r="W4671" s="2"/>
      <c r="X4671" s="2"/>
      <c r="Y4671" s="2"/>
      <c r="Z4671" s="2"/>
      <c r="AA4671" s="2"/>
      <c r="AB4671" s="2"/>
      <c r="AC4671" s="2"/>
      <c r="AD4671" s="2"/>
      <c r="AE4671" s="2"/>
      <c r="AF4671" s="2"/>
      <c r="AG4671" s="2"/>
      <c r="AH4671" s="2"/>
      <c r="AI4671" s="2"/>
      <c r="AJ4671" s="2"/>
      <c r="AK4671" s="2"/>
      <c r="AL4671" s="2"/>
      <c r="AM4671" s="2"/>
      <c r="AN4671" s="2"/>
      <c r="AO4671" s="2"/>
      <c r="AP4671" s="2"/>
      <c r="AQ4671" s="2"/>
      <c r="AR4671" s="2"/>
      <c r="AS4671" s="2"/>
      <c r="AT4671" s="2"/>
      <c r="AU4671" s="2"/>
      <c r="AV4671" s="2"/>
      <c r="AW4671" s="2"/>
      <c r="AX4671" s="2"/>
      <c r="AY4671" s="2"/>
      <c r="AZ4671" s="2"/>
      <c r="BA4671" s="2"/>
      <c r="BB4671" s="2"/>
    </row>
    <row r="4672" ht="204.75" customHeight="1">
      <c r="A4672" s="1">
        <v>205.0</v>
      </c>
      <c r="B4672" s="2" t="s">
        <v>13196</v>
      </c>
      <c r="C4672" s="2">
        <f>IFERROR(__xludf.DUMMYFUNCTION("split(B4672,""_"")"),1907.0)</f>
        <v>1907</v>
      </c>
      <c r="D4672" s="2" t="str">
        <f>IFERROR(__xludf.DUMMYFUNCTION("""COMPUTED_VALUE"""),"TBS")</f>
        <v>TBS</v>
      </c>
      <c r="E4672" s="2" t="str">
        <f>IFERROR(__xludf.DUMMYFUNCTION("""COMPUTED_VALUE"""),"日21")</f>
        <v>日21</v>
      </c>
      <c r="F4672" s="2" t="s">
        <v>13197</v>
      </c>
      <c r="G4672" s="2" t="s">
        <v>13202</v>
      </c>
      <c r="H4672" s="1">
        <v>3.0</v>
      </c>
      <c r="J4672" s="1" t="s">
        <v>11</v>
      </c>
      <c r="K4672" s="2" t="s">
        <v>13203</v>
      </c>
      <c r="L4672" s="2"/>
      <c r="M4672" s="2" t="str">
        <f>IFERROR(__xludf.DUMMYFUNCTION("split(split(K4672,""【"",false),""公式LINE"",false)"),"初公式戦を控えた新生アストロズは相撲部屋での稽古など練習に余念がない。そんな中チームの赤字脱却を目指す君嶋(大泉洋)が提案したのは「チームの知名度を上げ、客席を満員にする」ためのボランティア活動だった。しかし一向に増えないファンに、選手からは批判の声が上がり、ボイコットする者まで現れる。大一番を前にバラバラになるチームにさらなる悲劇が起き…勝利とは程遠い中、迎えた試合当日、涙の大逆転なるか!?  ")</f>
        <v>初公式戦を控えた新生アストロズは相撲部屋での稽古など練習に余念がない。そんな中チームの赤字脱却を目指す君嶋(大泉洋)が提案したのは「チームの知名度を上げ、客席を満員にする」ためのボランティア活動だった。しかし一向に増えないファンに、選手からは批判の声が上がり、ボイコットする者まで現れる。大一番を前にバラバラになるチームにさらなる悲劇が起き…勝利とは程遠い中、迎えた試合当日、涙の大逆転なるか!?  </v>
      </c>
      <c r="N4672" s="2"/>
      <c r="O4672" s="2"/>
      <c r="P4672" s="2"/>
      <c r="Q4672" s="2"/>
      <c r="R4672" s="2"/>
      <c r="S4672" s="2"/>
      <c r="T4672" s="2"/>
      <c r="U4672" s="2"/>
      <c r="V4672" s="2"/>
      <c r="W4672" s="2"/>
      <c r="X4672" s="2"/>
      <c r="Y4672" s="2"/>
      <c r="Z4672" s="2"/>
      <c r="AA4672" s="2"/>
      <c r="AB4672" s="2"/>
      <c r="AC4672" s="2"/>
      <c r="AD4672" s="2"/>
      <c r="AE4672" s="2"/>
      <c r="AF4672" s="2"/>
      <c r="AG4672" s="2"/>
      <c r="AH4672" s="2"/>
      <c r="AI4672" s="2"/>
      <c r="AJ4672" s="2"/>
      <c r="AK4672" s="2"/>
      <c r="AL4672" s="2"/>
      <c r="AM4672" s="2"/>
      <c r="AN4672" s="2"/>
      <c r="AO4672" s="2"/>
      <c r="AP4672" s="2"/>
      <c r="AQ4672" s="2"/>
      <c r="AR4672" s="2"/>
      <c r="AS4672" s="2"/>
      <c r="AT4672" s="2"/>
      <c r="AU4672" s="2"/>
      <c r="AV4672" s="2"/>
      <c r="AW4672" s="2"/>
      <c r="AX4672" s="2"/>
      <c r="AY4672" s="2"/>
      <c r="AZ4672" s="2"/>
      <c r="BA4672" s="2"/>
      <c r="BB4672" s="2"/>
    </row>
    <row r="4673" ht="204.75" customHeight="1">
      <c r="A4673" s="1">
        <v>206.0</v>
      </c>
      <c r="B4673" s="2" t="s">
        <v>13196</v>
      </c>
      <c r="C4673" s="2">
        <f>IFERROR(__xludf.DUMMYFUNCTION("split(B4673,""_"")"),1907.0)</f>
        <v>1907</v>
      </c>
      <c r="D4673" s="2" t="str">
        <f>IFERROR(__xludf.DUMMYFUNCTION("""COMPUTED_VALUE"""),"TBS")</f>
        <v>TBS</v>
      </c>
      <c r="E4673" s="2" t="str">
        <f>IFERROR(__xludf.DUMMYFUNCTION("""COMPUTED_VALUE"""),"日21")</f>
        <v>日21</v>
      </c>
      <c r="F4673" s="2" t="s">
        <v>13197</v>
      </c>
      <c r="G4673" s="2" t="s">
        <v>13204</v>
      </c>
      <c r="H4673" s="1">
        <v>4.0</v>
      </c>
      <c r="J4673" s="1" t="s">
        <v>11</v>
      </c>
      <c r="K4673" s="2" t="s">
        <v>13205</v>
      </c>
      <c r="L4673" s="2"/>
      <c r="M4673" s="2" t="str">
        <f>IFERROR(__xludf.DUMMYFUNCTION("split(split(K4673,""【"",false),""公式LINE"",false)"),"君嶋(大泉洋)は戦力不足を補うため、救世主となる選手をリクルートするも中々上手くいかない。一方本社では、買収成立により滝川(上川隆也)の勢力が増し、アストロズへの風当たりが強まる。そんな中、ある選手のミスにより、大型の商談がキャンセルに…チーム内にはリストラの噂が持ち上がり、選手たちは集中力を欠いていく。チームの真価が問われるピンチの時ー果たして最後まで、仲間を信じ抜くことができるのか!?")</f>
        <v>君嶋(大泉洋)は戦力不足を補うため、救世主となる選手をリクルートするも中々上手くいかない。一方本社では、買収成立により滝川(上川隆也)の勢力が増し、アストロズへの風当たりが強まる。そんな中、ある選手のミスにより、大型の商談がキャンセルに…チーム内にはリストラの噂が持ち上がり、選手たちは集中力を欠いていく。チームの真価が問われるピンチの時ー果たして最後まで、仲間を信じ抜くことができるのか!?</v>
      </c>
      <c r="N4673" s="2"/>
      <c r="O4673" s="2"/>
      <c r="P4673" s="2"/>
      <c r="Q4673" s="2"/>
      <c r="R4673" s="2"/>
      <c r="S4673" s="2"/>
      <c r="T4673" s="2"/>
      <c r="U4673" s="2"/>
      <c r="V4673" s="2"/>
      <c r="W4673" s="2"/>
      <c r="X4673" s="2"/>
      <c r="Y4673" s="2"/>
      <c r="Z4673" s="2"/>
      <c r="AA4673" s="2"/>
      <c r="AB4673" s="2"/>
      <c r="AC4673" s="2"/>
      <c r="AD4673" s="2"/>
      <c r="AE4673" s="2"/>
      <c r="AF4673" s="2"/>
      <c r="AG4673" s="2"/>
      <c r="AH4673" s="2"/>
      <c r="AI4673" s="2"/>
      <c r="AJ4673" s="2"/>
      <c r="AK4673" s="2"/>
      <c r="AL4673" s="2"/>
      <c r="AM4673" s="2"/>
      <c r="AN4673" s="2"/>
      <c r="AO4673" s="2"/>
      <c r="AP4673" s="2"/>
      <c r="AQ4673" s="2"/>
      <c r="AR4673" s="2"/>
      <c r="AS4673" s="2"/>
      <c r="AT4673" s="2"/>
      <c r="AU4673" s="2"/>
      <c r="AV4673" s="2"/>
      <c r="AW4673" s="2"/>
      <c r="AX4673" s="2"/>
      <c r="AY4673" s="2"/>
      <c r="AZ4673" s="2"/>
      <c r="BA4673" s="2"/>
      <c r="BB4673" s="2"/>
    </row>
    <row r="4674" ht="204.75" customHeight="1">
      <c r="A4674" s="1">
        <v>207.0</v>
      </c>
      <c r="B4674" s="2" t="s">
        <v>13196</v>
      </c>
      <c r="C4674" s="2">
        <f>IFERROR(__xludf.DUMMYFUNCTION("split(B4674,""_"")"),1907.0)</f>
        <v>1907</v>
      </c>
      <c r="D4674" s="2" t="str">
        <f>IFERROR(__xludf.DUMMYFUNCTION("""COMPUTED_VALUE"""),"TBS")</f>
        <v>TBS</v>
      </c>
      <c r="E4674" s="2" t="str">
        <f>IFERROR(__xludf.DUMMYFUNCTION("""COMPUTED_VALUE"""),"日21")</f>
        <v>日21</v>
      </c>
      <c r="F4674" s="2" t="s">
        <v>13197</v>
      </c>
      <c r="G4674" s="2" t="s">
        <v>13206</v>
      </c>
      <c r="H4674" s="1">
        <v>5.0</v>
      </c>
      <c r="J4674" s="1" t="s">
        <v>11</v>
      </c>
      <c r="K4674" s="2" t="s">
        <v>13207</v>
      </c>
      <c r="L4674" s="2"/>
      <c r="M4674" s="2" t="str">
        <f>IFERROR(__xludf.DUMMYFUNCTION("split(split(K4674,""【"",false),""公式LINE"",false)"),"優勝まであと一歩のアストロズであったが、宿敵・サイクロンズとの力の差を突きつけられる。柴門(大谷亮平)はある突破口に気づき選手たちは最後の望みをかけて特訓に励む。一方、君嶋はカザマ商事社長・風間有也(中村芝翫)と滝川(上川隆也)とのある秘密に気がつき、買収の裏に隠された真実を探り始める。そしてー運命の決戦前、君嶋(大泉洋)は選手たちにあるサプライズを用意する。全てが決まる日…運命の行方は!?")</f>
        <v>優勝まであと一歩のアストロズであったが、宿敵・サイクロンズとの力の差を突きつけられる。柴門(大谷亮平)はある突破口に気づき選手たちは最後の望みをかけて特訓に励む。一方、君嶋はカザマ商事社長・風間有也(中村芝翫)と滝川(上川隆也)とのある秘密に気がつき、買収の裏に隠された真実を探り始める。そしてー運命の決戦前、君嶋(大泉洋)は選手たちにあるサプライズを用意する。全てが決まる日…運命の行方は!?</v>
      </c>
      <c r="N4674" s="2"/>
      <c r="O4674" s="2"/>
      <c r="P4674" s="2"/>
      <c r="Q4674" s="2"/>
      <c r="R4674" s="2"/>
      <c r="S4674" s="2"/>
      <c r="T4674" s="2"/>
      <c r="U4674" s="2"/>
      <c r="V4674" s="2"/>
      <c r="W4674" s="2"/>
      <c r="X4674" s="2"/>
      <c r="Y4674" s="2"/>
      <c r="Z4674" s="2"/>
      <c r="AA4674" s="2"/>
      <c r="AB4674" s="2"/>
      <c r="AC4674" s="2"/>
      <c r="AD4674" s="2"/>
      <c r="AE4674" s="2"/>
      <c r="AF4674" s="2"/>
      <c r="AG4674" s="2"/>
      <c r="AH4674" s="2"/>
      <c r="AI4674" s="2"/>
      <c r="AJ4674" s="2"/>
      <c r="AK4674" s="2"/>
      <c r="AL4674" s="2"/>
      <c r="AM4674" s="2"/>
      <c r="AN4674" s="2"/>
      <c r="AO4674" s="2"/>
      <c r="AP4674" s="2"/>
      <c r="AQ4674" s="2"/>
      <c r="AR4674" s="2"/>
      <c r="AS4674" s="2"/>
      <c r="AT4674" s="2"/>
      <c r="AU4674" s="2"/>
      <c r="AV4674" s="2"/>
      <c r="AW4674" s="2"/>
      <c r="AX4674" s="2"/>
      <c r="AY4674" s="2"/>
      <c r="AZ4674" s="2"/>
      <c r="BA4674" s="2"/>
      <c r="BB4674" s="2"/>
    </row>
    <row r="4675" ht="204.75" customHeight="1">
      <c r="A4675" s="1">
        <v>208.0</v>
      </c>
      <c r="B4675" s="2" t="s">
        <v>13196</v>
      </c>
      <c r="C4675" s="2">
        <f>IFERROR(__xludf.DUMMYFUNCTION("split(B4675,""_"")"),1907.0)</f>
        <v>1907</v>
      </c>
      <c r="D4675" s="2" t="str">
        <f>IFERROR(__xludf.DUMMYFUNCTION("""COMPUTED_VALUE"""),"TBS")</f>
        <v>TBS</v>
      </c>
      <c r="E4675" s="2" t="str">
        <f>IFERROR(__xludf.DUMMYFUNCTION("""COMPUTED_VALUE"""),"日21")</f>
        <v>日21</v>
      </c>
      <c r="F4675" s="2" t="s">
        <v>13197</v>
      </c>
      <c r="G4675" s="2" t="s">
        <v>13208</v>
      </c>
      <c r="H4675" s="1">
        <v>6.0</v>
      </c>
      <c r="J4675" s="1" t="s">
        <v>11</v>
      </c>
      <c r="K4675" s="2" t="s">
        <v>13209</v>
      </c>
      <c r="L4675" s="2"/>
      <c r="M4675" s="2" t="str">
        <f>IFERROR(__xludf.DUMMYFUNCTION("split(split(K4675,""【"",false),""公式LINE"",false)"),"宿敵サイクロンズに惜しくも負け、優勝を逃したアストロズに本社からは厳しい声が。「今年がラストチャンスだ」と悟った君嶋(大泉洋)は、赤字改善のため日本蹴球協会に改革案を提出するが、門前払いされてしまう。一方柴門(大谷亮平)も再挑戦へ向けある男と対面する。そんな中、君嶋に悲願の本社復帰のチャンスが…腹をくくった君嶋は「GMとしての最後の仕事」に乗り出す。アストロズを待っている涙の別れとは…!?")</f>
        <v>宿敵サイクロンズに惜しくも負け、優勝を逃したアストロズに本社からは厳しい声が。「今年がラストチャンスだ」と悟った君嶋(大泉洋)は、赤字改善のため日本蹴球協会に改革案を提出するが、門前払いされてしまう。一方柴門(大谷亮平)も再挑戦へ向けある男と対面する。そんな中、君嶋に悲願の本社復帰のチャンスが…腹をくくった君嶋は「GMとしての最後の仕事」に乗り出す。アストロズを待っている涙の別れとは…!?</v>
      </c>
      <c r="N4675" s="2"/>
      <c r="O4675" s="2"/>
      <c r="P4675" s="2"/>
      <c r="Q4675" s="2"/>
      <c r="R4675" s="2"/>
      <c r="S4675" s="2"/>
      <c r="T4675" s="2"/>
      <c r="U4675" s="2"/>
      <c r="V4675" s="2"/>
      <c r="W4675" s="2"/>
      <c r="X4675" s="2"/>
      <c r="Y4675" s="2"/>
      <c r="Z4675" s="2"/>
      <c r="AA4675" s="2"/>
      <c r="AB4675" s="2"/>
      <c r="AC4675" s="2"/>
      <c r="AD4675" s="2"/>
      <c r="AE4675" s="2"/>
      <c r="AF4675" s="2"/>
      <c r="AG4675" s="2"/>
      <c r="AH4675" s="2"/>
      <c r="AI4675" s="2"/>
      <c r="AJ4675" s="2"/>
      <c r="AK4675" s="2"/>
      <c r="AL4675" s="2"/>
      <c r="AM4675" s="2"/>
      <c r="AN4675" s="2"/>
      <c r="AO4675" s="2"/>
      <c r="AP4675" s="2"/>
      <c r="AQ4675" s="2"/>
      <c r="AR4675" s="2"/>
      <c r="AS4675" s="2"/>
      <c r="AT4675" s="2"/>
      <c r="AU4675" s="2"/>
      <c r="AV4675" s="2"/>
      <c r="AW4675" s="2"/>
      <c r="AX4675" s="2"/>
      <c r="AY4675" s="2"/>
      <c r="AZ4675" s="2"/>
      <c r="BA4675" s="2"/>
      <c r="BB4675" s="2"/>
    </row>
    <row r="4676" ht="204.75" customHeight="1">
      <c r="A4676" s="1">
        <v>209.0</v>
      </c>
      <c r="B4676" s="2" t="s">
        <v>13196</v>
      </c>
      <c r="C4676" s="2">
        <f>IFERROR(__xludf.DUMMYFUNCTION("split(B4676,""_"")"),1907.0)</f>
        <v>1907</v>
      </c>
      <c r="D4676" s="2" t="str">
        <f>IFERROR(__xludf.DUMMYFUNCTION("""COMPUTED_VALUE"""),"TBS")</f>
        <v>TBS</v>
      </c>
      <c r="E4676" s="2" t="str">
        <f>IFERROR(__xludf.DUMMYFUNCTION("""COMPUTED_VALUE"""),"日21")</f>
        <v>日21</v>
      </c>
      <c r="F4676" s="2" t="s">
        <v>13197</v>
      </c>
      <c r="G4676" s="2" t="s">
        <v>13210</v>
      </c>
      <c r="H4676" s="1">
        <v>7.0</v>
      </c>
      <c r="J4676" s="1" t="s">
        <v>11</v>
      </c>
      <c r="K4676" s="2" t="s">
        <v>13211</v>
      </c>
      <c r="L4676" s="2"/>
      <c r="M4676" s="2" t="str">
        <f>IFERROR(__xludf.DUMMYFUNCTION("split(split(K4676,""【"",false),""公式LINE"",false)"),"本社では天敵・滝川(上川隆也)の社長交代が現実味を帯び、君嶋(大泉洋)率いるアストロズは存続の危機に。何としても今年は優勝を果たしたいアストロズだったが、宿敵・サイクロンズから引き抜きの魔の手が…エース浜畑(廣瀬俊朗)がチームを裏切るという噂が広まり、選手たちの心はざわめき立つ。目指すのはチームとしての優勝か?ラグビー選手としての自身の夢か?仲間のため選んだ、アストロズとしての戦い方とは!?")</f>
        <v>本社では天敵・滝川(上川隆也)の社長交代が現実味を帯び、君嶋(大泉洋)率いるアストロズは存続の危機に。何としても今年は優勝を果たしたいアストロズだったが、宿敵・サイクロンズから引き抜きの魔の手が…エース浜畑(廣瀬俊朗)がチームを裏切るという噂が広まり、選手たちの心はざわめき立つ。目指すのはチームとしての優勝か?ラグビー選手としての自身の夢か?仲間のため選んだ、アストロズとしての戦い方とは!?</v>
      </c>
      <c r="N4676" s="2"/>
      <c r="O4676" s="2"/>
      <c r="P4676" s="2"/>
      <c r="Q4676" s="2"/>
      <c r="R4676" s="2"/>
      <c r="S4676" s="2"/>
      <c r="T4676" s="2"/>
      <c r="U4676" s="2"/>
      <c r="V4676" s="2"/>
      <c r="W4676" s="2"/>
      <c r="X4676" s="2"/>
      <c r="Y4676" s="2"/>
      <c r="Z4676" s="2"/>
      <c r="AA4676" s="2"/>
      <c r="AB4676" s="2"/>
      <c r="AC4676" s="2"/>
      <c r="AD4676" s="2"/>
      <c r="AE4676" s="2"/>
      <c r="AF4676" s="2"/>
      <c r="AG4676" s="2"/>
      <c r="AH4676" s="2"/>
      <c r="AI4676" s="2"/>
      <c r="AJ4676" s="2"/>
      <c r="AK4676" s="2"/>
      <c r="AL4676" s="2"/>
      <c r="AM4676" s="2"/>
      <c r="AN4676" s="2"/>
      <c r="AO4676" s="2"/>
      <c r="AP4676" s="2"/>
      <c r="AQ4676" s="2"/>
      <c r="AR4676" s="2"/>
      <c r="AS4676" s="2"/>
      <c r="AT4676" s="2"/>
      <c r="AU4676" s="2"/>
      <c r="AV4676" s="2"/>
      <c r="AW4676" s="2"/>
      <c r="AX4676" s="2"/>
      <c r="AY4676" s="2"/>
      <c r="AZ4676" s="2"/>
      <c r="BA4676" s="2"/>
      <c r="BB4676" s="2"/>
    </row>
    <row r="4677" ht="204.75" customHeight="1">
      <c r="A4677" s="1">
        <v>210.0</v>
      </c>
      <c r="B4677" s="2" t="s">
        <v>13196</v>
      </c>
      <c r="C4677" s="2">
        <f>IFERROR(__xludf.DUMMYFUNCTION("split(B4677,""_"")"),1907.0)</f>
        <v>1907</v>
      </c>
      <c r="D4677" s="2" t="str">
        <f>IFERROR(__xludf.DUMMYFUNCTION("""COMPUTED_VALUE"""),"TBS")</f>
        <v>TBS</v>
      </c>
      <c r="E4677" s="2" t="str">
        <f>IFERROR(__xludf.DUMMYFUNCTION("""COMPUTED_VALUE"""),"日21")</f>
        <v>日21</v>
      </c>
      <c r="F4677" s="2" t="s">
        <v>13197</v>
      </c>
      <c r="G4677" s="2" t="s">
        <v>13212</v>
      </c>
      <c r="H4677" s="1">
        <v>8.0</v>
      </c>
      <c r="J4677" s="1" t="s">
        <v>11</v>
      </c>
      <c r="K4677" s="2" t="s">
        <v>13213</v>
      </c>
      <c r="L4677" s="2"/>
      <c r="M4677" s="2" t="str">
        <f>IFERROR(__xludf.DUMMYFUNCTION("split(split(K4677,""【"",false),""公式LINE"",false)"),"カザマ商事買収成立を目前に、滝川(上川隆也)社長誕生へのカウントダウンが始まる。現社長・島本(西郷輝彦)という後ろ盾を失えば、アストロズの廃部は決定的。絶体絶命の中、君嶋(大泉洋)は、カザマ商事の抱えるある重大な秘密に気がつく。そんな中、アストロズは開幕戦レギュラー決定のための部内マッチの日を迎える。正々堂々と戦う選手の姿を目の当たりにした君嶋は、自身も最後の大勝負に打って出るが…")</f>
        <v>カザマ商事買収成立を目前に、滝川(上川隆也)社長誕生へのカウントダウンが始まる。現社長・島本(西郷輝彦)という後ろ盾を失えば、アストロズの廃部は決定的。絶体絶命の中、君嶋(大泉洋)は、カザマ商事の抱えるある重大な秘密に気がつく。そんな中、アストロズは開幕戦レギュラー決定のための部内マッチの日を迎える。正々堂々と戦う選手の姿を目の当たりにした君嶋は、自身も最後の大勝負に打って出るが…</v>
      </c>
      <c r="N4677" s="2"/>
      <c r="O4677" s="2"/>
      <c r="P4677" s="2"/>
      <c r="Q4677" s="2"/>
      <c r="R4677" s="2"/>
      <c r="S4677" s="2"/>
      <c r="T4677" s="2"/>
      <c r="U4677" s="2"/>
      <c r="V4677" s="2"/>
      <c r="W4677" s="2"/>
      <c r="X4677" s="2"/>
      <c r="Y4677" s="2"/>
      <c r="Z4677" s="2"/>
      <c r="AA4677" s="2"/>
      <c r="AB4677" s="2"/>
      <c r="AC4677" s="2"/>
      <c r="AD4677" s="2"/>
      <c r="AE4677" s="2"/>
      <c r="AF4677" s="2"/>
      <c r="AG4677" s="2"/>
      <c r="AH4677" s="2"/>
      <c r="AI4677" s="2"/>
      <c r="AJ4677" s="2"/>
      <c r="AK4677" s="2"/>
      <c r="AL4677" s="2"/>
      <c r="AM4677" s="2"/>
      <c r="AN4677" s="2"/>
      <c r="AO4677" s="2"/>
      <c r="AP4677" s="2"/>
      <c r="AQ4677" s="2"/>
      <c r="AR4677" s="2"/>
      <c r="AS4677" s="2"/>
      <c r="AT4677" s="2"/>
      <c r="AU4677" s="2"/>
      <c r="AV4677" s="2"/>
      <c r="AW4677" s="2"/>
      <c r="AX4677" s="2"/>
      <c r="AY4677" s="2"/>
      <c r="AZ4677" s="2"/>
      <c r="BA4677" s="2"/>
      <c r="BB4677" s="2"/>
    </row>
    <row r="4678" ht="204.75" customHeight="1">
      <c r="A4678" s="1">
        <v>211.0</v>
      </c>
      <c r="B4678" s="2" t="s">
        <v>13196</v>
      </c>
      <c r="C4678" s="2">
        <f>IFERROR(__xludf.DUMMYFUNCTION("split(B4678,""_"")"),1907.0)</f>
        <v>1907</v>
      </c>
      <c r="D4678" s="2" t="str">
        <f>IFERROR(__xludf.DUMMYFUNCTION("""COMPUTED_VALUE"""),"TBS")</f>
        <v>TBS</v>
      </c>
      <c r="E4678" s="2" t="str">
        <f>IFERROR(__xludf.DUMMYFUNCTION("""COMPUTED_VALUE"""),"日21")</f>
        <v>日21</v>
      </c>
      <c r="F4678" s="2" t="s">
        <v>13197</v>
      </c>
      <c r="G4678" s="2" t="s">
        <v>13214</v>
      </c>
      <c r="H4678" s="1">
        <v>9.0</v>
      </c>
      <c r="J4678" s="1" t="s">
        <v>11</v>
      </c>
      <c r="K4678" s="2" t="s">
        <v>13215</v>
      </c>
      <c r="L4678" s="2"/>
      <c r="M4678" s="2" t="str">
        <f>IFERROR(__xludf.DUMMYFUNCTION("split(split(K4678,""【"",false),""公式LINE"",false)"),"去年宿敵・サイクロンズに惜敗したアストロズにとって、雪辱戦となる2年目のシーズンが幕開ける。ルーキーである七尾(眞栄田郷敦)の加入で順調な滑り出しをみせるも、監督・柴門(大谷亮平)にはある懸念があり…一方で、カザマ商事買収の裏に隠された秘密を暴いた君嶋(大泉洋)に真の敵が立ちはだかる。そして天敵である滝川(上川隆也)の意外な一面を知った君嶋は…チームを守るための最後の闘いが幕を開ける!")</f>
        <v>去年宿敵・サイクロンズに惜敗したアストロズにとって、雪辱戦となる2年目のシーズンが幕開ける。ルーキーである七尾(眞栄田郷敦)の加入で順調な滑り出しをみせるも、監督・柴門(大谷亮平)にはある懸念があり…一方で、カザマ商事買収の裏に隠された秘密を暴いた君嶋(大泉洋)に真の敵が立ちはだかる。そして天敵である滝川(上川隆也)の意外な一面を知った君嶋は…チームを守るための最後の闘いが幕を開ける!</v>
      </c>
      <c r="N4678" s="2"/>
      <c r="O4678" s="2"/>
      <c r="P4678" s="2"/>
      <c r="Q4678" s="2"/>
      <c r="R4678" s="2"/>
      <c r="S4678" s="2"/>
      <c r="T4678" s="2"/>
      <c r="U4678" s="2"/>
      <c r="V4678" s="2"/>
      <c r="W4678" s="2"/>
      <c r="X4678" s="2"/>
      <c r="Y4678" s="2"/>
      <c r="Z4678" s="2"/>
      <c r="AA4678" s="2"/>
      <c r="AB4678" s="2"/>
      <c r="AC4678" s="2"/>
      <c r="AD4678" s="2"/>
      <c r="AE4678" s="2"/>
      <c r="AF4678" s="2"/>
      <c r="AG4678" s="2"/>
      <c r="AH4678" s="2"/>
      <c r="AI4678" s="2"/>
      <c r="AJ4678" s="2"/>
      <c r="AK4678" s="2"/>
      <c r="AL4678" s="2"/>
      <c r="AM4678" s="2"/>
      <c r="AN4678" s="2"/>
      <c r="AO4678" s="2"/>
      <c r="AP4678" s="2"/>
      <c r="AQ4678" s="2"/>
      <c r="AR4678" s="2"/>
      <c r="AS4678" s="2"/>
      <c r="AT4678" s="2"/>
      <c r="AU4678" s="2"/>
      <c r="AV4678" s="2"/>
      <c r="AW4678" s="2"/>
      <c r="AX4678" s="2"/>
      <c r="AY4678" s="2"/>
      <c r="AZ4678" s="2"/>
      <c r="BA4678" s="2"/>
      <c r="BB4678" s="2"/>
    </row>
    <row r="4679" ht="204.75" customHeight="1">
      <c r="A4679" s="1">
        <v>212.0</v>
      </c>
      <c r="B4679" s="2" t="s">
        <v>13196</v>
      </c>
      <c r="C4679" s="2">
        <f>IFERROR(__xludf.DUMMYFUNCTION("split(B4679,""_"")"),1907.0)</f>
        <v>1907</v>
      </c>
      <c r="D4679" s="2" t="str">
        <f>IFERROR(__xludf.DUMMYFUNCTION("""COMPUTED_VALUE"""),"TBS")</f>
        <v>TBS</v>
      </c>
      <c r="E4679" s="2" t="str">
        <f>IFERROR(__xludf.DUMMYFUNCTION("""COMPUTED_VALUE"""),"日21")</f>
        <v>日21</v>
      </c>
      <c r="F4679" s="2" t="s">
        <v>13197</v>
      </c>
      <c r="G4679" s="2" t="s">
        <v>13216</v>
      </c>
      <c r="H4679" s="1">
        <v>10.0</v>
      </c>
      <c r="J4679" s="1" t="s">
        <v>4</v>
      </c>
      <c r="K4679" s="2" t="s">
        <v>13217</v>
      </c>
      <c r="L4679" s="2"/>
      <c r="M4679" s="2" t="str">
        <f>IFERROR(__xludf.DUMMYFUNCTION("split(split(K4679,""【"",false),""公式LINE"",false)"),"自分を府中工場へと飛ばしたのは滝川(上川隆也)ではなく、最も信頼していた上司・脇坂(石川禅)だったとついに気がついた君嶋(大泉洋)。予算削減に向けて微塵の容赦もない脇坂により、廃部の危機が迫る。アストロズを守るため、運命の取締役会で最後の大勝負に出るが…一方選手たちも頂上決戦の日を迎える。一年越しの雪辱を晴らすことはできるのか?崖っぷちの男たちの最後の戦いが始まろうとしていた…!  ")</f>
        <v>自分を府中工場へと飛ばしたのは滝川(上川隆也)ではなく、最も信頼していた上司・脇坂(石川禅)だったとついに気がついた君嶋(大泉洋)。予算削減に向けて微塵の容赦もない脇坂により、廃部の危機が迫る。アストロズを守るため、運命の取締役会で最後の大勝負に出るが…一方選手たちも頂上決戦の日を迎える。一年越しの雪辱を晴らすことはできるのか?崖っぷちの男たちの最後の戦いが始まろうとしていた…!  </v>
      </c>
      <c r="N4679" s="2"/>
      <c r="O4679" s="2"/>
      <c r="P4679" s="2"/>
      <c r="Q4679" s="2"/>
      <c r="R4679" s="2"/>
      <c r="S4679" s="2"/>
      <c r="T4679" s="2"/>
      <c r="U4679" s="2"/>
      <c r="V4679" s="2"/>
      <c r="W4679" s="2"/>
      <c r="X4679" s="2"/>
      <c r="Y4679" s="2"/>
      <c r="Z4679" s="2"/>
      <c r="AA4679" s="2"/>
      <c r="AB4679" s="2"/>
      <c r="AC4679" s="2"/>
      <c r="AD4679" s="2"/>
      <c r="AE4679" s="2"/>
      <c r="AF4679" s="2"/>
      <c r="AG4679" s="2"/>
      <c r="AH4679" s="2"/>
      <c r="AI4679" s="2"/>
      <c r="AJ4679" s="2"/>
      <c r="AK4679" s="2"/>
      <c r="AL4679" s="2"/>
      <c r="AM4679" s="2"/>
      <c r="AN4679" s="2"/>
      <c r="AO4679" s="2"/>
      <c r="AP4679" s="2"/>
      <c r="AQ4679" s="2"/>
      <c r="AR4679" s="2"/>
      <c r="AS4679" s="2"/>
      <c r="AT4679" s="2"/>
      <c r="AU4679" s="2"/>
      <c r="AV4679" s="2"/>
      <c r="AW4679" s="2"/>
      <c r="AX4679" s="2"/>
      <c r="AY4679" s="2"/>
      <c r="AZ4679" s="2"/>
      <c r="BA4679" s="2"/>
      <c r="BB4679" s="2"/>
    </row>
    <row r="4680" ht="204.75" customHeight="1">
      <c r="A4680" s="1">
        <v>244.0</v>
      </c>
      <c r="B4680" s="2" t="s">
        <v>13218</v>
      </c>
      <c r="C4680" s="2">
        <f>IFERROR(__xludf.DUMMYFUNCTION("split(B4680,""_"")"),1904.0)</f>
        <v>1904</v>
      </c>
      <c r="D4680" s="2" t="str">
        <f>IFERROR(__xludf.DUMMYFUNCTION("""COMPUTED_VALUE"""),"TBS")</f>
        <v>TBS</v>
      </c>
      <c r="E4680" s="2" t="str">
        <f>IFERROR(__xludf.DUMMYFUNCTION("""COMPUTED_VALUE"""),"火22")</f>
        <v>火22</v>
      </c>
      <c r="F4680" s="2" t="s">
        <v>13219</v>
      </c>
      <c r="G4680" s="2" t="s">
        <v>13220</v>
      </c>
      <c r="H4680" s="1">
        <v>1.0</v>
      </c>
      <c r="J4680" s="1" t="s">
        <v>82</v>
      </c>
      <c r="K4680" s="2" t="s">
        <v>13221</v>
      </c>
      <c r="L4680" s="2"/>
      <c r="M4680" s="2" t="str">
        <f>IFERROR(__xludf.DUMMYFUNCTION("split(split(K4680,""【"",false),""公式LINE"",false)"),"東山結衣(吉高由里子)はWEB制作会社で働くディレクター。過去のトラウマから入社以来、残業ゼロ生活を貫いてきた。仕事より恋人・諏訪巧(中丸雄一)との時間を大切にしている。そんな彼女の前に、ワーカホリックの結衣の元婚約者・種田(向井理)、ワーキングマザー・賤ヶ岳(内田有紀)、ブラック上司・福永(ユースケ・サンタマリア)らモンスター社員が立ちはだかる。彼らが抱える様々な問題に結衣はどう立ち向かうのか?")</f>
        <v>東山結衣(吉高由里子)はWEB制作会社で働くディレクター。過去のトラウマから入社以来、残業ゼロ生活を貫いてきた。仕事より恋人・諏訪巧(中丸雄一)との時間を大切にしている。そんな彼女の前に、ワーカホリックの結衣の元婚約者・種田(向井理)、ワーキングマザー・賤ヶ岳(内田有紀)、ブラック上司・福永(ユースケ・サンタマリア)らモンスター社員が立ちはだかる。彼らが抱える様々な問題に結衣はどう立ち向かうのか?</v>
      </c>
      <c r="N4680" s="2"/>
      <c r="O4680" s="2"/>
      <c r="P4680" s="2"/>
      <c r="Q4680" s="2"/>
      <c r="R4680" s="2"/>
      <c r="S4680" s="2"/>
      <c r="T4680" s="2"/>
      <c r="U4680" s="2"/>
      <c r="V4680" s="2"/>
      <c r="W4680" s="2"/>
      <c r="X4680" s="2"/>
      <c r="Y4680" s="2"/>
      <c r="Z4680" s="2"/>
      <c r="AA4680" s="2"/>
      <c r="AB4680" s="2"/>
      <c r="AC4680" s="2"/>
      <c r="AD4680" s="2"/>
      <c r="AE4680" s="2"/>
      <c r="AF4680" s="2"/>
      <c r="AG4680" s="2"/>
      <c r="AH4680" s="2"/>
      <c r="AI4680" s="2"/>
      <c r="AJ4680" s="2"/>
      <c r="AK4680" s="2"/>
      <c r="AL4680" s="2"/>
      <c r="AM4680" s="2"/>
      <c r="AN4680" s="2"/>
      <c r="AO4680" s="2"/>
      <c r="AP4680" s="2"/>
      <c r="AQ4680" s="2"/>
      <c r="AR4680" s="2"/>
      <c r="AS4680" s="2"/>
      <c r="AT4680" s="2"/>
      <c r="AU4680" s="2"/>
      <c r="AV4680" s="2"/>
      <c r="AW4680" s="2"/>
      <c r="AX4680" s="2"/>
      <c r="AY4680" s="2"/>
      <c r="AZ4680" s="2"/>
      <c r="BA4680" s="2"/>
      <c r="BB4680" s="2"/>
    </row>
    <row r="4681" ht="204.75" customHeight="1">
      <c r="A4681" s="1">
        <v>245.0</v>
      </c>
      <c r="B4681" s="2" t="s">
        <v>13218</v>
      </c>
      <c r="C4681" s="2">
        <f>IFERROR(__xludf.DUMMYFUNCTION("split(B4681,""_"")"),1904.0)</f>
        <v>1904</v>
      </c>
      <c r="D4681" s="2" t="str">
        <f>IFERROR(__xludf.DUMMYFUNCTION("""COMPUTED_VALUE"""),"TBS")</f>
        <v>TBS</v>
      </c>
      <c r="E4681" s="2" t="str">
        <f>IFERROR(__xludf.DUMMYFUNCTION("""COMPUTED_VALUE"""),"火22")</f>
        <v>火22</v>
      </c>
      <c r="F4681" s="2" t="s">
        <v>13219</v>
      </c>
      <c r="G4681" s="2" t="s">
        <v>13222</v>
      </c>
      <c r="H4681" s="1">
        <v>2.0</v>
      </c>
      <c r="J4681" s="1" t="s">
        <v>82</v>
      </c>
      <c r="K4681" s="2" t="s">
        <v>13223</v>
      </c>
      <c r="L4681" s="2"/>
      <c r="M4681" s="2" t="str">
        <f>IFERROR(__xludf.DUMMYFUNCTION("split(split(K4681,""【"",false),""公式LINE"",false)"),"結衣(吉高由里子)の先輩、賤ヶ岳(内田有紀)は育休明けで仕事に復帰し、早速チーフディレクターを任される事になる。遅れを取り戻そうと必死な賤ヶ岳は、自分の意見を押し通し三谷(シシド・カフカ)ともぶつかってしまう。賤ヶ岳の仕事のやり方に、結衣やネットヒーローズの仲間は次第に不信感を抱いていく…。そんな中、担当している仕事で大きなトラブルが発生!子育てと仕事を両立させようと葛藤している賤ヶ岳に結衣は…。")</f>
        <v>結衣(吉高由里子)の先輩、賤ヶ岳(内田有紀)は育休明けで仕事に復帰し、早速チーフディレクターを任される事になる。遅れを取り戻そうと必死な賤ヶ岳は、自分の意見を押し通し三谷(シシド・カフカ)ともぶつかってしまう。賤ヶ岳の仕事のやり方に、結衣やネットヒーローズの仲間は次第に不信感を抱いていく…。そんな中、担当している仕事で大きなトラブルが発生!子育てと仕事を両立させようと葛藤している賤ヶ岳に結衣は…。</v>
      </c>
      <c r="N4681" s="2"/>
      <c r="O4681" s="2"/>
      <c r="P4681" s="2"/>
      <c r="Q4681" s="2"/>
      <c r="R4681" s="2"/>
      <c r="S4681" s="2"/>
      <c r="T4681" s="2"/>
      <c r="U4681" s="2"/>
      <c r="V4681" s="2"/>
      <c r="W4681" s="2"/>
      <c r="X4681" s="2"/>
      <c r="Y4681" s="2"/>
      <c r="Z4681" s="2"/>
      <c r="AA4681" s="2"/>
      <c r="AB4681" s="2"/>
      <c r="AC4681" s="2"/>
      <c r="AD4681" s="2"/>
      <c r="AE4681" s="2"/>
      <c r="AF4681" s="2"/>
      <c r="AG4681" s="2"/>
      <c r="AH4681" s="2"/>
      <c r="AI4681" s="2"/>
      <c r="AJ4681" s="2"/>
      <c r="AK4681" s="2"/>
      <c r="AL4681" s="2"/>
      <c r="AM4681" s="2"/>
      <c r="AN4681" s="2"/>
      <c r="AO4681" s="2"/>
      <c r="AP4681" s="2"/>
      <c r="AQ4681" s="2"/>
      <c r="AR4681" s="2"/>
      <c r="AS4681" s="2"/>
      <c r="AT4681" s="2"/>
      <c r="AU4681" s="2"/>
      <c r="AV4681" s="2"/>
      <c r="AW4681" s="2"/>
      <c r="AX4681" s="2"/>
      <c r="AY4681" s="2"/>
      <c r="AZ4681" s="2"/>
      <c r="BA4681" s="2"/>
      <c r="BB4681" s="2"/>
    </row>
    <row r="4682" ht="204.75" customHeight="1">
      <c r="A4682" s="1">
        <v>246.0</v>
      </c>
      <c r="B4682" s="2" t="s">
        <v>13218</v>
      </c>
      <c r="C4682" s="2">
        <f>IFERROR(__xludf.DUMMYFUNCTION("split(B4682,""_"")"),1904.0)</f>
        <v>1904</v>
      </c>
      <c r="D4682" s="2" t="str">
        <f>IFERROR(__xludf.DUMMYFUNCTION("""COMPUTED_VALUE"""),"TBS")</f>
        <v>TBS</v>
      </c>
      <c r="E4682" s="2" t="str">
        <f>IFERROR(__xludf.DUMMYFUNCTION("""COMPUTED_VALUE"""),"火22")</f>
        <v>火22</v>
      </c>
      <c r="F4682" s="2" t="s">
        <v>13219</v>
      </c>
      <c r="G4682" s="2" t="s">
        <v>13224</v>
      </c>
      <c r="H4682" s="1">
        <v>3.0</v>
      </c>
      <c r="J4682" s="1" t="s">
        <v>86</v>
      </c>
      <c r="K4682" s="2" t="s">
        <v>13225</v>
      </c>
      <c r="L4682" s="2"/>
      <c r="M4682" s="2" t="str">
        <f>IFERROR(__xludf.DUMMYFUNCTION("split(split(K4682,""【"",false),""公式LINE"",false)"),"結衣(吉高由里子)のクライアント「ファイアーストロング」のCM撮影で盗み撮りされた動画が拡散され、SNSで大炎上。結衣は巧(中丸雄一)の実家挨拶をドタキャンし謝罪に向かう。CM現場で来栖(泉澤祐希)が撮影していたことを思い出した結衣は、来栖に連絡を取るが繋がらない。翌日、晃太郎(向井理)から責任を問われた来栖は「じゃあ辞めます」と会社を出て行ってしまう。来栖の教育係の結衣は必死に説得するが・・・。")</f>
        <v>結衣(吉高由里子)のクライアント「ファイアーストロング」のCM撮影で盗み撮りされた動画が拡散され、SNSで大炎上。結衣は巧(中丸雄一)の実家挨拶をドタキャンし謝罪に向かう。CM現場で来栖(泉澤祐希)が撮影していたことを思い出した結衣は、来栖に連絡を取るが繋がらない。翌日、晃太郎(向井理)から責任を問われた来栖は「じゃあ辞めます」と会社を出て行ってしまう。来栖の教育係の結衣は必死に説得するが・・・。</v>
      </c>
      <c r="N4682" s="2"/>
      <c r="O4682" s="2"/>
      <c r="P4682" s="2"/>
      <c r="Q4682" s="2"/>
      <c r="R4682" s="2"/>
      <c r="S4682" s="2"/>
      <c r="T4682" s="2"/>
      <c r="U4682" s="2"/>
      <c r="V4682" s="2"/>
      <c r="W4682" s="2"/>
      <c r="X4682" s="2"/>
      <c r="Y4682" s="2"/>
      <c r="Z4682" s="2"/>
      <c r="AA4682" s="2"/>
      <c r="AB4682" s="2"/>
      <c r="AC4682" s="2"/>
      <c r="AD4682" s="2"/>
      <c r="AE4682" s="2"/>
      <c r="AF4682" s="2"/>
      <c r="AG4682" s="2"/>
      <c r="AH4682" s="2"/>
      <c r="AI4682" s="2"/>
      <c r="AJ4682" s="2"/>
      <c r="AK4682" s="2"/>
      <c r="AL4682" s="2"/>
      <c r="AM4682" s="2"/>
      <c r="AN4682" s="2"/>
      <c r="AO4682" s="2"/>
      <c r="AP4682" s="2"/>
      <c r="AQ4682" s="2"/>
      <c r="AR4682" s="2"/>
      <c r="AS4682" s="2"/>
      <c r="AT4682" s="2"/>
      <c r="AU4682" s="2"/>
      <c r="AV4682" s="2"/>
      <c r="AW4682" s="2"/>
      <c r="AX4682" s="2"/>
      <c r="AY4682" s="2"/>
      <c r="AZ4682" s="2"/>
      <c r="BA4682" s="2"/>
      <c r="BB4682" s="2"/>
    </row>
    <row r="4683" ht="204.75" customHeight="1">
      <c r="A4683" s="1">
        <v>247.0</v>
      </c>
      <c r="B4683" s="2" t="s">
        <v>13218</v>
      </c>
      <c r="C4683" s="2">
        <f>IFERROR(__xludf.DUMMYFUNCTION("split(B4683,""_"")"),1904.0)</f>
        <v>1904</v>
      </c>
      <c r="D4683" s="2" t="str">
        <f>IFERROR(__xludf.DUMMYFUNCTION("""COMPUTED_VALUE"""),"TBS")</f>
        <v>TBS</v>
      </c>
      <c r="E4683" s="2" t="str">
        <f>IFERROR(__xludf.DUMMYFUNCTION("""COMPUTED_VALUE"""),"火22")</f>
        <v>火22</v>
      </c>
      <c r="F4683" s="2" t="s">
        <v>13219</v>
      </c>
      <c r="G4683" s="2" t="s">
        <v>13226</v>
      </c>
      <c r="H4683" s="1">
        <v>4.0</v>
      </c>
      <c r="J4683" s="1" t="s">
        <v>86</v>
      </c>
      <c r="K4683" s="2" t="s">
        <v>13227</v>
      </c>
      <c r="L4683" s="2"/>
      <c r="M4683" s="2" t="str">
        <f>IFERROR(__xludf.DUMMYFUNCTION("split(split(K4683,""【"",false),""公式LINE"",false)"),"結衣(吉高由里子)は吾妻(柄本時生)がサービス残業をしていると晃太郎(向井理)から聞かされる。晃太郎と福永(ユースケ・サンタマリア)に呼び出された吾妻は「誰にも迷惑かけてません」と聞く耳を持たない。そんな中、派遣デザイナーの桜宮彩奈(清水くるみ)がネットヒーローズにやってくる。桜宮に好意を持った吾妻は結衣に仕事効率アップの方法を相談し改善しようとするが、そんな時にトラブルが発生するーー。")</f>
        <v>結衣(吉高由里子)は吾妻(柄本時生)がサービス残業をしていると晃太郎(向井理)から聞かされる。晃太郎と福永(ユースケ・サンタマリア)に呼び出された吾妻は「誰にも迷惑かけてません」と聞く耳を持たない。そんな中、派遣デザイナーの桜宮彩奈(清水くるみ)がネットヒーローズにやってくる。桜宮に好意を持った吾妻は結衣に仕事効率アップの方法を相談し改善しようとするが、そんな時にトラブルが発生するーー。</v>
      </c>
      <c r="N4683" s="2"/>
      <c r="O4683" s="2"/>
      <c r="P4683" s="2"/>
      <c r="Q4683" s="2"/>
      <c r="R4683" s="2"/>
      <c r="S4683" s="2"/>
      <c r="T4683" s="2"/>
      <c r="U4683" s="2"/>
      <c r="V4683" s="2"/>
      <c r="W4683" s="2"/>
      <c r="X4683" s="2"/>
      <c r="Y4683" s="2"/>
      <c r="Z4683" s="2"/>
      <c r="AA4683" s="2"/>
      <c r="AB4683" s="2"/>
      <c r="AC4683" s="2"/>
      <c r="AD4683" s="2"/>
      <c r="AE4683" s="2"/>
      <c r="AF4683" s="2"/>
      <c r="AG4683" s="2"/>
      <c r="AH4683" s="2"/>
      <c r="AI4683" s="2"/>
      <c r="AJ4683" s="2"/>
      <c r="AK4683" s="2"/>
      <c r="AL4683" s="2"/>
      <c r="AM4683" s="2"/>
      <c r="AN4683" s="2"/>
      <c r="AO4683" s="2"/>
      <c r="AP4683" s="2"/>
      <c r="AQ4683" s="2"/>
      <c r="AR4683" s="2"/>
      <c r="AS4683" s="2"/>
      <c r="AT4683" s="2"/>
      <c r="AU4683" s="2"/>
      <c r="AV4683" s="2"/>
      <c r="AW4683" s="2"/>
      <c r="AX4683" s="2"/>
      <c r="AY4683" s="2"/>
      <c r="AZ4683" s="2"/>
      <c r="BA4683" s="2"/>
      <c r="BB4683" s="2"/>
    </row>
    <row r="4684" ht="204.75" customHeight="1">
      <c r="A4684" s="1">
        <v>248.0</v>
      </c>
      <c r="B4684" s="2" t="s">
        <v>13218</v>
      </c>
      <c r="C4684" s="2">
        <f>IFERROR(__xludf.DUMMYFUNCTION("split(B4684,""_"")"),1904.0)</f>
        <v>1904</v>
      </c>
      <c r="D4684" s="2" t="str">
        <f>IFERROR(__xludf.DUMMYFUNCTION("""COMPUTED_VALUE"""),"TBS")</f>
        <v>TBS</v>
      </c>
      <c r="E4684" s="2" t="str">
        <f>IFERROR(__xludf.DUMMYFUNCTION("""COMPUTED_VALUE"""),"火22")</f>
        <v>火22</v>
      </c>
      <c r="F4684" s="2" t="s">
        <v>13219</v>
      </c>
      <c r="G4684" s="2" t="s">
        <v>13228</v>
      </c>
      <c r="H4684" s="1">
        <v>5.0</v>
      </c>
      <c r="J4684" s="1" t="s">
        <v>86</v>
      </c>
      <c r="K4684" s="2" t="s">
        <v>13229</v>
      </c>
      <c r="L4684" s="2"/>
      <c r="M4684" s="2" t="str">
        <f>IFERROR(__xludf.DUMMYFUNCTION("split(split(K4684,""【"",false),""公式LINE"",false)"),"「ランダースポーツ」の中西(大澄賢也)から、何度もデザインのやり直しを要求され苦戦する結衣(吉高由里子)。そんな中、ネットヒーローズにセクハラを訴える匿名の連絡が入る。中西たちと親密に話し込む桜宮(清水くるみ)の姿を見た結衣は、中西にセクハラを問うものの相手にされない。数日後、吾妻(柄本時生)に呼び出され、結衣はある動画を見せられる。その動画を見て憤慨する結衣は「ランダースポーツ」へ向かうがー!?")</f>
        <v>「ランダースポーツ」の中西(大澄賢也)から、何度もデザインのやり直しを要求され苦戦する結衣(吉高由里子)。そんな中、ネットヒーローズにセクハラを訴える匿名の連絡が入る。中西たちと親密に話し込む桜宮(清水くるみ)の姿を見た結衣は、中西にセクハラを問うものの相手にされない。数日後、吾妻(柄本時生)に呼び出され、結衣はある動画を見せられる。その動画を見て憤慨する結衣は「ランダースポーツ」へ向かうがー!?</v>
      </c>
      <c r="N4684" s="2"/>
      <c r="O4684" s="2"/>
      <c r="P4684" s="2"/>
      <c r="Q4684" s="2"/>
      <c r="R4684" s="2"/>
      <c r="S4684" s="2"/>
      <c r="T4684" s="2"/>
      <c r="U4684" s="2"/>
      <c r="V4684" s="2"/>
      <c r="W4684" s="2"/>
      <c r="X4684" s="2"/>
      <c r="Y4684" s="2"/>
      <c r="Z4684" s="2"/>
      <c r="AA4684" s="2"/>
      <c r="AB4684" s="2"/>
      <c r="AC4684" s="2"/>
      <c r="AD4684" s="2"/>
      <c r="AE4684" s="2"/>
      <c r="AF4684" s="2"/>
      <c r="AG4684" s="2"/>
      <c r="AH4684" s="2"/>
      <c r="AI4684" s="2"/>
      <c r="AJ4684" s="2"/>
      <c r="AK4684" s="2"/>
      <c r="AL4684" s="2"/>
      <c r="AM4684" s="2"/>
      <c r="AN4684" s="2"/>
      <c r="AO4684" s="2"/>
      <c r="AP4684" s="2"/>
      <c r="AQ4684" s="2"/>
      <c r="AR4684" s="2"/>
      <c r="AS4684" s="2"/>
      <c r="AT4684" s="2"/>
      <c r="AU4684" s="2"/>
      <c r="AV4684" s="2"/>
      <c r="AW4684" s="2"/>
      <c r="AX4684" s="2"/>
      <c r="AY4684" s="2"/>
      <c r="AZ4684" s="2"/>
      <c r="BA4684" s="2"/>
      <c r="BB4684" s="2"/>
    </row>
    <row r="4685" ht="204.75" customHeight="1">
      <c r="A4685" s="1">
        <v>249.0</v>
      </c>
      <c r="B4685" s="2" t="s">
        <v>13218</v>
      </c>
      <c r="C4685" s="2">
        <f>IFERROR(__xludf.DUMMYFUNCTION("split(B4685,""_"")"),1904.0)</f>
        <v>1904</v>
      </c>
      <c r="D4685" s="2" t="str">
        <f>IFERROR(__xludf.DUMMYFUNCTION("""COMPUTED_VALUE"""),"TBS")</f>
        <v>TBS</v>
      </c>
      <c r="E4685" s="2" t="str">
        <f>IFERROR(__xludf.DUMMYFUNCTION("""COMPUTED_VALUE"""),"火22")</f>
        <v>火22</v>
      </c>
      <c r="F4685" s="2" t="s">
        <v>13219</v>
      </c>
      <c r="G4685" s="2" t="s">
        <v>13230</v>
      </c>
      <c r="H4685" s="1">
        <v>6.0</v>
      </c>
      <c r="J4685" s="1" t="s">
        <v>86</v>
      </c>
      <c r="K4685" s="2" t="s">
        <v>13231</v>
      </c>
      <c r="L4685" s="2"/>
      <c r="M4685" s="2" t="str">
        <f>IFERROR(__xludf.DUMMYFUNCTION("split(split(K4685,""【"",false),""公式LINE"",false)"),"晃太郎(向井理)が独立するという噂が浮上し、複雑な心境の結衣(吉高由里子)。そんな中、来栖(泉澤祐希)がディレクターデビューする事になる。来栖は張り切って仕事に取り組むものの、思うように進めることができず苛立ちを募らせる。結衣は教育係として来栖をフォローするが、とあることがきっかけで晃太郎と来栖がぶつかってしまう。いつもと様子が違う晃太郎を心配する結衣。晃太郎には誰にも言っていない秘密があったーー")</f>
        <v>晃太郎(向井理)が独立するという噂が浮上し、複雑な心境の結衣(吉高由里子)。そんな中、来栖(泉澤祐希)がディレクターデビューする事になる。来栖は張り切って仕事に取り組むものの、思うように進めることができず苛立ちを募らせる。結衣は教育係として来栖をフォローするが、とあることがきっかけで晃太郎と来栖がぶつかってしまう。いつもと様子が違う晃太郎を心配する結衣。晃太郎には誰にも言っていない秘密があったーー</v>
      </c>
      <c r="N4685" s="2"/>
      <c r="O4685" s="2"/>
      <c r="P4685" s="2"/>
      <c r="Q4685" s="2"/>
      <c r="R4685" s="2"/>
      <c r="S4685" s="2"/>
      <c r="T4685" s="2"/>
      <c r="U4685" s="2"/>
      <c r="V4685" s="2"/>
      <c r="W4685" s="2"/>
      <c r="X4685" s="2"/>
      <c r="Y4685" s="2"/>
      <c r="Z4685" s="2"/>
      <c r="AA4685" s="2"/>
      <c r="AB4685" s="2"/>
      <c r="AC4685" s="2"/>
      <c r="AD4685" s="2"/>
      <c r="AE4685" s="2"/>
      <c r="AF4685" s="2"/>
      <c r="AG4685" s="2"/>
      <c r="AH4685" s="2"/>
      <c r="AI4685" s="2"/>
      <c r="AJ4685" s="2"/>
      <c r="AK4685" s="2"/>
      <c r="AL4685" s="2"/>
      <c r="AM4685" s="2"/>
      <c r="AN4685" s="2"/>
      <c r="AO4685" s="2"/>
      <c r="AP4685" s="2"/>
      <c r="AQ4685" s="2"/>
      <c r="AR4685" s="2"/>
      <c r="AS4685" s="2"/>
      <c r="AT4685" s="2"/>
      <c r="AU4685" s="2"/>
      <c r="AV4685" s="2"/>
      <c r="AW4685" s="2"/>
      <c r="AX4685" s="2"/>
      <c r="AY4685" s="2"/>
      <c r="AZ4685" s="2"/>
      <c r="BA4685" s="2"/>
      <c r="BB4685" s="2"/>
    </row>
    <row r="4686" ht="204.75" customHeight="1">
      <c r="A4686" s="1">
        <v>250.0</v>
      </c>
      <c r="B4686" s="2" t="s">
        <v>13218</v>
      </c>
      <c r="C4686" s="2">
        <f>IFERROR(__xludf.DUMMYFUNCTION("split(B4686,""_"")"),1904.0)</f>
        <v>1904</v>
      </c>
      <c r="D4686" s="2" t="str">
        <f>IFERROR(__xludf.DUMMYFUNCTION("""COMPUTED_VALUE"""),"TBS")</f>
        <v>TBS</v>
      </c>
      <c r="E4686" s="2" t="str">
        <f>IFERROR(__xludf.DUMMYFUNCTION("""COMPUTED_VALUE"""),"火22")</f>
        <v>火22</v>
      </c>
      <c r="F4686" s="2" t="s">
        <v>13219</v>
      </c>
      <c r="G4686" s="2" t="s">
        <v>13232</v>
      </c>
      <c r="H4686" s="1">
        <v>7.0</v>
      </c>
      <c r="J4686" s="1" t="s">
        <v>86</v>
      </c>
      <c r="K4686" s="2" t="s">
        <v>13233</v>
      </c>
      <c r="L4686" s="2"/>
      <c r="M4686" s="2" t="str">
        <f>IFERROR(__xludf.DUMMYFUNCTION("split(split(K4686,""【"",false),""公式LINE"",false)"),"「今でも結衣のことが好き」と言う晃太郎(向井理)の言葉に、戸惑いを隠せない結衣(吉高由里子)と巧(中丸雄一)。そんな時、父・宗典(小林隆)から「お母さんが家出した」と連絡が入る。新規サイトを任された結衣だったが、一人で何も出来ない父に振り回され、思うように仕事が進まずひどい言葉をぶつけてしまう。いつもと様子が違う結衣を心配する、賤ヶ岳(内田有紀)と三谷(シシド・カフカ)はある作戦を実行することに!")</f>
        <v>「今でも結衣のことが好き」と言う晃太郎(向井理)の言葉に、戸惑いを隠せない結衣(吉高由里子)と巧(中丸雄一)。そんな時、父・宗典(小林隆)から「お母さんが家出した」と連絡が入る。新規サイトを任された結衣だったが、一人で何も出来ない父に振り回され、思うように仕事が進まずひどい言葉をぶつけてしまう。いつもと様子が違う結衣を心配する、賤ヶ岳(内田有紀)と三谷(シシド・カフカ)はある作戦を実行することに!</v>
      </c>
      <c r="N4686" s="2"/>
      <c r="O4686" s="2"/>
      <c r="P4686" s="2"/>
      <c r="Q4686" s="2"/>
      <c r="R4686" s="2"/>
      <c r="S4686" s="2"/>
      <c r="T4686" s="2"/>
      <c r="U4686" s="2"/>
      <c r="V4686" s="2"/>
      <c r="W4686" s="2"/>
      <c r="X4686" s="2"/>
      <c r="Y4686" s="2"/>
      <c r="Z4686" s="2"/>
      <c r="AA4686" s="2"/>
      <c r="AB4686" s="2"/>
      <c r="AC4686" s="2"/>
      <c r="AD4686" s="2"/>
      <c r="AE4686" s="2"/>
      <c r="AF4686" s="2"/>
      <c r="AG4686" s="2"/>
      <c r="AH4686" s="2"/>
      <c r="AI4686" s="2"/>
      <c r="AJ4686" s="2"/>
      <c r="AK4686" s="2"/>
      <c r="AL4686" s="2"/>
      <c r="AM4686" s="2"/>
      <c r="AN4686" s="2"/>
      <c r="AO4686" s="2"/>
      <c r="AP4686" s="2"/>
      <c r="AQ4686" s="2"/>
      <c r="AR4686" s="2"/>
      <c r="AS4686" s="2"/>
      <c r="AT4686" s="2"/>
      <c r="AU4686" s="2"/>
      <c r="AV4686" s="2"/>
      <c r="AW4686" s="2"/>
      <c r="AX4686" s="2"/>
      <c r="AY4686" s="2"/>
      <c r="AZ4686" s="2"/>
      <c r="BA4686" s="2"/>
      <c r="BB4686" s="2"/>
    </row>
    <row r="4687" ht="204.75" customHeight="1">
      <c r="A4687" s="1">
        <v>251.0</v>
      </c>
      <c r="B4687" s="2" t="s">
        <v>13218</v>
      </c>
      <c r="C4687" s="2">
        <f>IFERROR(__xludf.DUMMYFUNCTION("split(B4687,""_"")"),1904.0)</f>
        <v>1904</v>
      </c>
      <c r="D4687" s="2" t="str">
        <f>IFERROR(__xludf.DUMMYFUNCTION("""COMPUTED_VALUE"""),"TBS")</f>
        <v>TBS</v>
      </c>
      <c r="E4687" s="2" t="str">
        <f>IFERROR(__xludf.DUMMYFUNCTION("""COMPUTED_VALUE"""),"火22")</f>
        <v>火22</v>
      </c>
      <c r="F4687" s="2" t="s">
        <v>13219</v>
      </c>
      <c r="G4687" s="2" t="s">
        <v>13234</v>
      </c>
      <c r="H4687" s="1">
        <v>8.0</v>
      </c>
      <c r="J4687" s="1" t="s">
        <v>86</v>
      </c>
      <c r="K4687" s="2" t="s">
        <v>13235</v>
      </c>
      <c r="L4687" s="2"/>
      <c r="M4687" s="2" t="str">
        <f>IFERROR(__xludf.DUMMYFUNCTION("split(split(K4687,""【"",false),""公式LINE"",false)"),"「星印工場」の赤字案件が社内審査に通り、そのチーフを任された賤ヶ岳(内田有紀)。そこへ夫の陽介(坪倉由幸)から「母親が倒れた」と連絡が入る。仕事に追われながら子育てに奮闘する賤ヶ岳だったが...。一方、結衣(吉高由里子)は巧(中丸雄一)と、とある事がきっかけでぶつかってしまい、家を飛び出す。行くあてのない結衣は上海飯店に向かい、酔いつぶれてしまう。そこへ晃太郎がやってきて…!?  ")</f>
        <v>「星印工場」の赤字案件が社内審査に通り、そのチーフを任された賤ヶ岳(内田有紀)。そこへ夫の陽介(坪倉由幸)から「母親が倒れた」と連絡が入る。仕事に追われながら子育てに奮闘する賤ヶ岳だったが...。一方、結衣(吉高由里子)は巧(中丸雄一)と、とある事がきっかけでぶつかってしまい、家を飛び出す。行くあてのない結衣は上海飯店に向かい、酔いつぶれてしまう。そこへ晃太郎がやってきて…!?  </v>
      </c>
      <c r="N4687" s="2"/>
      <c r="O4687" s="2"/>
      <c r="P4687" s="2"/>
      <c r="Q4687" s="2"/>
      <c r="R4687" s="2"/>
      <c r="S4687" s="2"/>
      <c r="T4687" s="2"/>
      <c r="U4687" s="2"/>
      <c r="V4687" s="2"/>
      <c r="W4687" s="2"/>
      <c r="X4687" s="2"/>
      <c r="Y4687" s="2"/>
      <c r="Z4687" s="2"/>
      <c r="AA4687" s="2"/>
      <c r="AB4687" s="2"/>
      <c r="AC4687" s="2"/>
      <c r="AD4687" s="2"/>
      <c r="AE4687" s="2"/>
      <c r="AF4687" s="2"/>
      <c r="AG4687" s="2"/>
      <c r="AH4687" s="2"/>
      <c r="AI4687" s="2"/>
      <c r="AJ4687" s="2"/>
      <c r="AK4687" s="2"/>
      <c r="AL4687" s="2"/>
      <c r="AM4687" s="2"/>
      <c r="AN4687" s="2"/>
      <c r="AO4687" s="2"/>
      <c r="AP4687" s="2"/>
      <c r="AQ4687" s="2"/>
      <c r="AR4687" s="2"/>
      <c r="AS4687" s="2"/>
      <c r="AT4687" s="2"/>
      <c r="AU4687" s="2"/>
      <c r="AV4687" s="2"/>
      <c r="AW4687" s="2"/>
      <c r="AX4687" s="2"/>
      <c r="AY4687" s="2"/>
      <c r="AZ4687" s="2"/>
      <c r="BA4687" s="2"/>
      <c r="BB4687" s="2"/>
    </row>
    <row r="4688" ht="204.75" customHeight="1">
      <c r="A4688" s="1">
        <v>252.0</v>
      </c>
      <c r="B4688" s="2" t="s">
        <v>13218</v>
      </c>
      <c r="C4688" s="2">
        <f>IFERROR(__xludf.DUMMYFUNCTION("split(B4688,""_"")"),1904.0)</f>
        <v>1904</v>
      </c>
      <c r="D4688" s="2" t="str">
        <f>IFERROR(__xludf.DUMMYFUNCTION("""COMPUTED_VALUE"""),"TBS")</f>
        <v>TBS</v>
      </c>
      <c r="E4688" s="2" t="str">
        <f>IFERROR(__xludf.DUMMYFUNCTION("""COMPUTED_VALUE"""),"火22")</f>
        <v>火22</v>
      </c>
      <c r="F4688" s="2" t="s">
        <v>13219</v>
      </c>
      <c r="G4688" s="2" t="s">
        <v>13236</v>
      </c>
      <c r="H4688" s="1">
        <v>9.0</v>
      </c>
      <c r="J4688" s="1" t="s">
        <v>86</v>
      </c>
      <c r="K4688" s="2" t="s">
        <v>13237</v>
      </c>
      <c r="L4688" s="2"/>
      <c r="M4688" s="2" t="str">
        <f>IFERROR(__xludf.DUMMYFUNCTION("split(split(K4688,""【"",false),""公式LINE"",false)"),"福永(ユースケ・サンタマリア)から突然呼び出された結衣(吉高由里子)は、晃太郎(向井理)が前の会社を辞めた本当の理由を聞かされ、思わぬ真実に戸惑いを隠せない。そんな中、福永は制作4部のメンバーにサービス残業をさせようと甘い言葉を囁く。それを知った結衣は、チームを守る為ついに「私も残業します」と宣言してしまう。そのせいで巧(中丸雄一)との時間が取れなくなる。そして巧から衝撃の一言を聞いた結衣は…?!")</f>
        <v>福永(ユースケ・サンタマリア)から突然呼び出された結衣(吉高由里子)は、晃太郎(向井理)が前の会社を辞めた本当の理由を聞かされ、思わぬ真実に戸惑いを隠せない。そんな中、福永は制作4部のメンバーにサービス残業をさせようと甘い言葉を囁く。それを知った結衣は、チームを守る為ついに「私も残業します」と宣言してしまう。そのせいで巧(中丸雄一)との時間が取れなくなる。そして巧から衝撃の一言を聞いた結衣は…?!</v>
      </c>
      <c r="N4688" s="2"/>
      <c r="O4688" s="2"/>
      <c r="P4688" s="2"/>
      <c r="Q4688" s="2"/>
      <c r="R4688" s="2"/>
      <c r="S4688" s="2"/>
      <c r="T4688" s="2"/>
      <c r="U4688" s="2"/>
      <c r="V4688" s="2"/>
      <c r="W4688" s="2"/>
      <c r="X4688" s="2"/>
      <c r="Y4688" s="2"/>
      <c r="Z4688" s="2"/>
      <c r="AA4688" s="2"/>
      <c r="AB4688" s="2"/>
      <c r="AC4688" s="2"/>
      <c r="AD4688" s="2"/>
      <c r="AE4688" s="2"/>
      <c r="AF4688" s="2"/>
      <c r="AG4688" s="2"/>
      <c r="AH4688" s="2"/>
      <c r="AI4688" s="2"/>
      <c r="AJ4688" s="2"/>
      <c r="AK4688" s="2"/>
      <c r="AL4688" s="2"/>
      <c r="AM4688" s="2"/>
      <c r="AN4688" s="2"/>
      <c r="AO4688" s="2"/>
      <c r="AP4688" s="2"/>
      <c r="AQ4688" s="2"/>
      <c r="AR4688" s="2"/>
      <c r="AS4688" s="2"/>
      <c r="AT4688" s="2"/>
      <c r="AU4688" s="2"/>
      <c r="AV4688" s="2"/>
      <c r="AW4688" s="2"/>
      <c r="AX4688" s="2"/>
      <c r="AY4688" s="2"/>
      <c r="AZ4688" s="2"/>
      <c r="BA4688" s="2"/>
      <c r="BB4688" s="2"/>
    </row>
    <row r="4689" ht="204.75" customHeight="1">
      <c r="A4689" s="1">
        <v>253.0</v>
      </c>
      <c r="B4689" s="2" t="s">
        <v>13218</v>
      </c>
      <c r="C4689" s="2">
        <f>IFERROR(__xludf.DUMMYFUNCTION("split(B4689,""_"")"),1904.0)</f>
        <v>1904</v>
      </c>
      <c r="D4689" s="2" t="str">
        <f>IFERROR(__xludf.DUMMYFUNCTION("""COMPUTED_VALUE"""),"TBS")</f>
        <v>TBS</v>
      </c>
      <c r="E4689" s="2" t="str">
        <f>IFERROR(__xludf.DUMMYFUNCTION("""COMPUTED_VALUE"""),"火22")</f>
        <v>火22</v>
      </c>
      <c r="F4689" s="2" t="s">
        <v>13219</v>
      </c>
      <c r="G4689" s="2" t="s">
        <v>13238</v>
      </c>
      <c r="H4689" s="1">
        <v>10.0</v>
      </c>
      <c r="J4689" s="1" t="s">
        <v>82</v>
      </c>
      <c r="K4689" s="2" t="s">
        <v>13239</v>
      </c>
      <c r="L4689" s="2"/>
      <c r="M4689" s="2" t="str">
        <f>IFERROR(__xludf.DUMMYFUNCTION("split(split(K4689,""【"",false),""公式LINE"",false)"),"巧(中丸雄一)に「結婚できない」と告げられ、途方に暮れる結衣(吉高由里子)。そんな中、外注先が倒産し制作4部のメンバーは窮地に陥る。さらに「星印工場」から呼び出された晃太郎(向井理)は契約を進める条件として福永(ユースケ・サンタマリア)を案件から外すことを要求される。その事を聞いた結衣は、ついに福永と対決するが…果たして結衣は仕事に命を懸ける人たちを止められるのか?そして巧、晃太郎との恋の行方は?")</f>
        <v>巧(中丸雄一)に「結婚できない」と告げられ、途方に暮れる結衣(吉高由里子)。そんな中、外注先が倒産し制作4部のメンバーは窮地に陥る。さらに「星印工場」から呼び出された晃太郎(向井理)は契約を進める条件として福永(ユースケ・サンタマリア)を案件から外すことを要求される。その事を聞いた結衣は、ついに福永と対決するが…果たして結衣は仕事に命を懸ける人たちを止められるのか?そして巧、晃太郎との恋の行方は?</v>
      </c>
      <c r="N4689" s="2"/>
      <c r="O4689" s="2"/>
      <c r="P4689" s="2"/>
      <c r="Q4689" s="2"/>
      <c r="R4689" s="2"/>
      <c r="S4689" s="2"/>
      <c r="T4689" s="2"/>
      <c r="U4689" s="2"/>
      <c r="V4689" s="2"/>
      <c r="W4689" s="2"/>
      <c r="X4689" s="2"/>
      <c r="Y4689" s="2"/>
      <c r="Z4689" s="2"/>
      <c r="AA4689" s="2"/>
      <c r="AB4689" s="2"/>
      <c r="AC4689" s="2"/>
      <c r="AD4689" s="2"/>
      <c r="AE4689" s="2"/>
      <c r="AF4689" s="2"/>
      <c r="AG4689" s="2"/>
      <c r="AH4689" s="2"/>
      <c r="AI4689" s="2"/>
      <c r="AJ4689" s="2"/>
      <c r="AK4689" s="2"/>
      <c r="AL4689" s="2"/>
      <c r="AM4689" s="2"/>
      <c r="AN4689" s="2"/>
      <c r="AO4689" s="2"/>
      <c r="AP4689" s="2"/>
      <c r="AQ4689" s="2"/>
      <c r="AR4689" s="2"/>
      <c r="AS4689" s="2"/>
      <c r="AT4689" s="2"/>
      <c r="AU4689" s="2"/>
      <c r="AV4689" s="2"/>
      <c r="AW4689" s="2"/>
      <c r="AX4689" s="2"/>
      <c r="AY4689" s="2"/>
      <c r="AZ4689" s="2"/>
      <c r="BA4689" s="2"/>
      <c r="BB4689" s="2"/>
    </row>
    <row r="4690" ht="204.75" customHeight="1">
      <c r="A4690" s="1">
        <v>254.0</v>
      </c>
      <c r="B4690" s="2" t="s">
        <v>13218</v>
      </c>
      <c r="C4690" s="2">
        <f>IFERROR(__xludf.DUMMYFUNCTION("split(B4690,""_"")"),1904.0)</f>
        <v>1904</v>
      </c>
      <c r="D4690" s="2" t="str">
        <f>IFERROR(__xludf.DUMMYFUNCTION("""COMPUTED_VALUE"""),"TBS")</f>
        <v>TBS</v>
      </c>
      <c r="E4690" s="2" t="str">
        <f>IFERROR(__xludf.DUMMYFUNCTION("""COMPUTED_VALUE"""),"火22")</f>
        <v>火22</v>
      </c>
      <c r="F4690" s="2" t="s">
        <v>13219</v>
      </c>
      <c r="G4690" s="2" t="s">
        <v>13238</v>
      </c>
      <c r="H4690" s="1">
        <v>11.0</v>
      </c>
      <c r="J4690" s="1" t="s">
        <v>82</v>
      </c>
      <c r="K4690" s="2" t="s">
        <v>13240</v>
      </c>
      <c r="L4690" s="2"/>
      <c r="M4690" s="2" t="str">
        <f>IFERROR(__xludf.DUMMYFUNCTION("split(split(K4690,""【"",false),""公式LINE"",false)"),"巧(中丸雄一)に「結婚できない」と告げられ、途方に暮れる結衣(吉高由里子)。そんな中、外注先が倒産し制作4部のメンバーは窮地に陥る。さらに「星印工場」から呼び出された晃太郎(向井理)は契約を進める条件として福永(ユースケ・サンタマリア)を案件から外すことを要求される。その事を聞いた結衣は、ついに福永と対決するが…果たして結衣は仕事に命を懸ける人たちを止められるのか?そして巧、晃太郎との恋の行方は?")</f>
        <v>巧(中丸雄一)に「結婚できない」と告げられ、途方に暮れる結衣(吉高由里子)。そんな中、外注先が倒産し制作4部のメンバーは窮地に陥る。さらに「星印工場」から呼び出された晃太郎(向井理)は契約を進める条件として福永(ユースケ・サンタマリア)を案件から外すことを要求される。その事を聞いた結衣は、ついに福永と対決するが…果たして結衣は仕事に命を懸ける人たちを止められるのか?そして巧、晃太郎との恋の行方は?</v>
      </c>
      <c r="N4690" s="2"/>
      <c r="O4690" s="2"/>
      <c r="P4690" s="2"/>
      <c r="Q4690" s="2"/>
      <c r="R4690" s="2"/>
      <c r="S4690" s="2"/>
      <c r="T4690" s="2"/>
      <c r="U4690" s="2"/>
      <c r="V4690" s="2"/>
      <c r="W4690" s="2"/>
      <c r="X4690" s="2"/>
      <c r="Y4690" s="2"/>
      <c r="Z4690" s="2"/>
      <c r="AA4690" s="2"/>
      <c r="AB4690" s="2"/>
      <c r="AC4690" s="2"/>
      <c r="AD4690" s="2"/>
      <c r="AE4690" s="2"/>
      <c r="AF4690" s="2"/>
      <c r="AG4690" s="2"/>
      <c r="AH4690" s="2"/>
      <c r="AI4690" s="2"/>
      <c r="AJ4690" s="2"/>
      <c r="AK4690" s="2"/>
      <c r="AL4690" s="2"/>
      <c r="AM4690" s="2"/>
      <c r="AN4690" s="2"/>
      <c r="AO4690" s="2"/>
      <c r="AP4690" s="2"/>
      <c r="AQ4690" s="2"/>
      <c r="AR4690" s="2"/>
      <c r="AS4690" s="2"/>
      <c r="AT4690" s="2"/>
      <c r="AU4690" s="2"/>
      <c r="AV4690" s="2"/>
      <c r="AW4690" s="2"/>
      <c r="AX4690" s="2"/>
      <c r="AY4690" s="2"/>
      <c r="AZ4690" s="2"/>
      <c r="BA4690" s="2"/>
      <c r="BB4690" s="2"/>
    </row>
    <row r="4691" ht="204.75" customHeight="1">
      <c r="A4691" s="1">
        <v>295.0</v>
      </c>
      <c r="B4691" s="2" t="s">
        <v>13241</v>
      </c>
      <c r="C4691" s="2">
        <f>IFERROR(__xludf.DUMMYFUNCTION("split(B4691,""_"")"),1904.0)</f>
        <v>1904</v>
      </c>
      <c r="D4691" s="2" t="str">
        <f>IFERROR(__xludf.DUMMYFUNCTION("""COMPUTED_VALUE"""),"TBS")</f>
        <v>TBS</v>
      </c>
      <c r="E4691" s="2" t="str">
        <f>IFERROR(__xludf.DUMMYFUNCTION("""COMPUTED_VALUE"""),"金22")</f>
        <v>金22</v>
      </c>
      <c r="F4691" s="2" t="s">
        <v>13242</v>
      </c>
      <c r="G4691" s="2" t="s">
        <v>13243</v>
      </c>
      <c r="H4691" s="1">
        <v>1.0</v>
      </c>
      <c r="J4691" s="1" t="s">
        <v>82</v>
      </c>
      <c r="K4691" s="2" t="s">
        <v>13244</v>
      </c>
      <c r="L4691" s="2"/>
      <c r="M4691" s="2" t="str">
        <f>IFERROR(__xludf.DUMMYFUNCTION("split(split(K4691,""【"",false),""公式LINE"",false)"),"寄生虫学者・紐倉 哲(山下智久)は、人嫌いで変わり者だが、天才的な頭脳を持つ。そんな紐倉のもとに、内閣官房サイエンス・メディカル対策室から牧野巴 (菜々緒)という美人官僚が訪れる。科学機関や医療機関で起きるあらゆる問題に対処する対策室に、匿名の告発状が届いた。その内容は、ある病院で心筋梗塞により亡くなった複数の患者が、日本では滅多に見られないシャーガス病という感染症にかかっている可能性があるという感染者がもし本当にいたら大変なことになる。早速、感染が疑われる患者の処置をした医師・高家春馬(濱田 岳)に会い"&amp;"に行く。高家の協力も得て調べを重ねていくと、10年前に起きたある事件が浮かび上がってきて")</f>
        <v>寄生虫学者・紐倉 哲(山下智久)は、人嫌いで変わり者だが、天才的な頭脳を持つ。そんな紐倉のもとに、内閣官房サイエンス・メディカル対策室から牧野巴 (菜々緒)という美人官僚が訪れる。科学機関や医療機関で起きるあらゆる問題に対処する対策室に、匿名の告発状が届いた。その内容は、ある病院で心筋梗塞により亡くなった複数の患者が、日本では滅多に見られないシャーガス病という感染症にかかっている可能性があるという感染者がもし本当にいたら大変なことになる。早速、感染が疑われる患者の処置をした医師・高家春馬(濱田 岳)に会いに行く。高家の協力も得て調べを重ねていくと、10年前に起きたある事件が浮かび上がってきて</v>
      </c>
      <c r="N4691" s="2"/>
      <c r="O4691" s="2"/>
      <c r="P4691" s="2"/>
      <c r="Q4691" s="2"/>
      <c r="R4691" s="2"/>
      <c r="S4691" s="2"/>
      <c r="T4691" s="2"/>
      <c r="U4691" s="2"/>
      <c r="V4691" s="2"/>
      <c r="W4691" s="2"/>
      <c r="X4691" s="2"/>
      <c r="Y4691" s="2"/>
      <c r="Z4691" s="2"/>
      <c r="AA4691" s="2"/>
      <c r="AB4691" s="2"/>
      <c r="AC4691" s="2"/>
      <c r="AD4691" s="2"/>
      <c r="AE4691" s="2"/>
      <c r="AF4691" s="2"/>
      <c r="AG4691" s="2"/>
      <c r="AH4691" s="2"/>
      <c r="AI4691" s="2"/>
      <c r="AJ4691" s="2"/>
      <c r="AK4691" s="2"/>
      <c r="AL4691" s="2"/>
      <c r="AM4691" s="2"/>
      <c r="AN4691" s="2"/>
      <c r="AO4691" s="2"/>
      <c r="AP4691" s="2"/>
      <c r="AQ4691" s="2"/>
      <c r="AR4691" s="2"/>
      <c r="AS4691" s="2"/>
      <c r="AT4691" s="2"/>
      <c r="AU4691" s="2"/>
      <c r="AV4691" s="2"/>
      <c r="AW4691" s="2"/>
      <c r="AX4691" s="2"/>
      <c r="AY4691" s="2"/>
      <c r="AZ4691" s="2"/>
      <c r="BA4691" s="2"/>
      <c r="BB4691" s="2"/>
    </row>
    <row r="4692" ht="204.75" customHeight="1">
      <c r="A4692" s="1">
        <v>296.0</v>
      </c>
      <c r="B4692" s="2" t="s">
        <v>13241</v>
      </c>
      <c r="C4692" s="2">
        <f>IFERROR(__xludf.DUMMYFUNCTION("split(B4692,""_"")"),1904.0)</f>
        <v>1904</v>
      </c>
      <c r="D4692" s="2" t="str">
        <f>IFERROR(__xludf.DUMMYFUNCTION("""COMPUTED_VALUE"""),"TBS")</f>
        <v>TBS</v>
      </c>
      <c r="E4692" s="2" t="str">
        <f>IFERROR(__xludf.DUMMYFUNCTION("""COMPUTED_VALUE"""),"金22")</f>
        <v>金22</v>
      </c>
      <c r="F4692" s="2" t="s">
        <v>13242</v>
      </c>
      <c r="G4692" s="2" t="s">
        <v>13245</v>
      </c>
      <c r="H4692" s="1">
        <v>2.0</v>
      </c>
      <c r="J4692" s="1" t="s">
        <v>86</v>
      </c>
      <c r="K4692" s="2" t="s">
        <v>13246</v>
      </c>
      <c r="L4692" s="2"/>
      <c r="M4692" s="2" t="str">
        <f>IFERROR(__xludf.DUMMYFUNCTION("split(split(K4692,""【"",false),""公式LINE"",false)"),"紐倉(山下智久)は、気のむくままに好きな寄生虫の研究をしている。一方、紐倉の助手になった高家(濱田岳)は、早速ドSな紐倉からいいように使われていた。ある日、感染症の疑いがある意識不明の女性について、調べてほしいと依頼が来る。その女性の血液を調べてみると、“ハートランドウイルス""という日本ではまだ発見例のないウイルスが検出。感染ルートを調べることに。感染女性の自宅を訪ねてみると、出てきたのは9歳の息子・渉(込江大牙)だった。母親について話を聞くが、渉には心当たりはないようで。そんな中、新たな感染者が!情報"&amp;"を聞きつけた牧野巴(菜々緒)が、紐倉たちの元へ。再び3人で力を合わせて問題解決に挑んでいく中で、予想外の事実が明らかになり。。")</f>
        <v>紐倉(山下智久)は、気のむくままに好きな寄生虫の研究をしている。一方、紐倉の助手になった高家(濱田岳)は、早速ドSな紐倉からいいように使われていた。ある日、感染症の疑いがある意識不明の女性について、調べてほしいと依頼が来る。その女性の血液を調べてみると、“ハートランドウイルス"という日本ではまだ発見例のないウイルスが検出。感染ルートを調べることに。感染女性の自宅を訪ねてみると、出てきたのは9歳の息子・渉(込江大牙)だった。母親について話を聞くが、渉には心当たりはないようで。そんな中、新たな感染者が!情報を聞きつけた牧野巴(菜々緒)が、紐倉たちの元へ。再び3人で力を合わせて問題解決に挑んでいく中で、予想外の事実が明らかになり。。</v>
      </c>
      <c r="N4692" s="2"/>
      <c r="O4692" s="2"/>
      <c r="P4692" s="2"/>
      <c r="Q4692" s="2"/>
      <c r="R4692" s="2"/>
      <c r="S4692" s="2"/>
      <c r="T4692" s="2"/>
      <c r="U4692" s="2"/>
      <c r="V4692" s="2"/>
      <c r="W4692" s="2"/>
      <c r="X4692" s="2"/>
      <c r="Y4692" s="2"/>
      <c r="Z4692" s="2"/>
      <c r="AA4692" s="2"/>
      <c r="AB4692" s="2"/>
      <c r="AC4692" s="2"/>
      <c r="AD4692" s="2"/>
      <c r="AE4692" s="2"/>
      <c r="AF4692" s="2"/>
      <c r="AG4692" s="2"/>
      <c r="AH4692" s="2"/>
      <c r="AI4692" s="2"/>
      <c r="AJ4692" s="2"/>
      <c r="AK4692" s="2"/>
      <c r="AL4692" s="2"/>
      <c r="AM4692" s="2"/>
      <c r="AN4692" s="2"/>
      <c r="AO4692" s="2"/>
      <c r="AP4692" s="2"/>
      <c r="AQ4692" s="2"/>
      <c r="AR4692" s="2"/>
      <c r="AS4692" s="2"/>
      <c r="AT4692" s="2"/>
      <c r="AU4692" s="2"/>
      <c r="AV4692" s="2"/>
      <c r="AW4692" s="2"/>
      <c r="AX4692" s="2"/>
      <c r="AY4692" s="2"/>
      <c r="AZ4692" s="2"/>
      <c r="BA4692" s="2"/>
      <c r="BB4692" s="2"/>
    </row>
    <row r="4693" ht="204.75" customHeight="1">
      <c r="A4693" s="1">
        <v>297.0</v>
      </c>
      <c r="B4693" s="2" t="s">
        <v>13241</v>
      </c>
      <c r="C4693" s="2">
        <f>IFERROR(__xludf.DUMMYFUNCTION("split(B4693,""_"")"),1904.0)</f>
        <v>1904</v>
      </c>
      <c r="D4693" s="2" t="str">
        <f>IFERROR(__xludf.DUMMYFUNCTION("""COMPUTED_VALUE"""),"TBS")</f>
        <v>TBS</v>
      </c>
      <c r="E4693" s="2" t="str">
        <f>IFERROR(__xludf.DUMMYFUNCTION("""COMPUTED_VALUE"""),"金22")</f>
        <v>金22</v>
      </c>
      <c r="F4693" s="2" t="s">
        <v>13242</v>
      </c>
      <c r="G4693" s="2" t="s">
        <v>13247</v>
      </c>
      <c r="H4693" s="1">
        <v>3.0</v>
      </c>
      <c r="J4693" s="1" t="s">
        <v>86</v>
      </c>
      <c r="K4693" s="2" t="s">
        <v>13248</v>
      </c>
      <c r="L4693" s="2"/>
      <c r="M4693" s="2" t="str">
        <f>IFERROR(__xludf.DUMMYFUNCTION("split(split(K4693,""【"",false),""公式LINE"",false)"),"寄生虫学者・紐倉哲(山下智久)は、巨大な植物園を改造した自宅兼研究室で、気のむくままに好きな寄生虫の研究をしている。ある日、助手の高家(濱田岳)を連れて、パナシアンビューティーという美容団体のCEOを務める瀬見まき子(観月ありさ)の講演を聞きに行く。パナシアンビューティーでは、会員向けに「不老不死」を謳い文句にしたアンチエイジング治療が試験的に行われていた。だがその治療を受けた会員に、認知症に似た症状が現れていることが発覚。治療による副作用なのか?疑いを持った紐倉は、高家と官僚の牧野(菜々緒)らと内情を調"&amp;"べ始める。瀬見が異常なまでに“若さ""に対して執着を持つのには、過去のある出来事が関係していた…そんな中、高家に死の危機が迫る…!")</f>
        <v>寄生虫学者・紐倉哲(山下智久)は、巨大な植物園を改造した自宅兼研究室で、気のむくままに好きな寄生虫の研究をしている。ある日、助手の高家(濱田岳)を連れて、パナシアンビューティーという美容団体のCEOを務める瀬見まき子(観月ありさ)の講演を聞きに行く。パナシアンビューティーでは、会員向けに「不老不死」を謳い文句にしたアンチエイジング治療が試験的に行われていた。だがその治療を受けた会員に、認知症に似た症状が現れていることが発覚。治療による副作用なのか?疑いを持った紐倉は、高家と官僚の牧野(菜々緒)らと内情を調べ始める。瀬見が異常なまでに“若さ"に対して執着を持つのには、過去のある出来事が関係していた…そんな中、高家に死の危機が迫る…!</v>
      </c>
      <c r="N4693" s="2"/>
      <c r="O4693" s="2"/>
      <c r="P4693" s="2"/>
      <c r="Q4693" s="2"/>
      <c r="R4693" s="2"/>
      <c r="S4693" s="2"/>
      <c r="T4693" s="2"/>
      <c r="U4693" s="2"/>
      <c r="V4693" s="2"/>
      <c r="W4693" s="2"/>
      <c r="X4693" s="2"/>
      <c r="Y4693" s="2"/>
      <c r="Z4693" s="2"/>
      <c r="AA4693" s="2"/>
      <c r="AB4693" s="2"/>
      <c r="AC4693" s="2"/>
      <c r="AD4693" s="2"/>
      <c r="AE4693" s="2"/>
      <c r="AF4693" s="2"/>
      <c r="AG4693" s="2"/>
      <c r="AH4693" s="2"/>
      <c r="AI4693" s="2"/>
      <c r="AJ4693" s="2"/>
      <c r="AK4693" s="2"/>
      <c r="AL4693" s="2"/>
      <c r="AM4693" s="2"/>
      <c r="AN4693" s="2"/>
      <c r="AO4693" s="2"/>
      <c r="AP4693" s="2"/>
      <c r="AQ4693" s="2"/>
      <c r="AR4693" s="2"/>
      <c r="AS4693" s="2"/>
      <c r="AT4693" s="2"/>
      <c r="AU4693" s="2"/>
      <c r="AV4693" s="2"/>
      <c r="AW4693" s="2"/>
      <c r="AX4693" s="2"/>
      <c r="AY4693" s="2"/>
      <c r="AZ4693" s="2"/>
      <c r="BA4693" s="2"/>
      <c r="BB4693" s="2"/>
    </row>
    <row r="4694" ht="204.75" customHeight="1">
      <c r="A4694" s="1">
        <v>298.0</v>
      </c>
      <c r="B4694" s="2" t="s">
        <v>13241</v>
      </c>
      <c r="C4694" s="2">
        <f>IFERROR(__xludf.DUMMYFUNCTION("split(B4694,""_"")"),1904.0)</f>
        <v>1904</v>
      </c>
      <c r="D4694" s="2" t="str">
        <f>IFERROR(__xludf.DUMMYFUNCTION("""COMPUTED_VALUE"""),"TBS")</f>
        <v>TBS</v>
      </c>
      <c r="E4694" s="2" t="str">
        <f>IFERROR(__xludf.DUMMYFUNCTION("""COMPUTED_VALUE"""),"金22")</f>
        <v>金22</v>
      </c>
      <c r="F4694" s="2" t="s">
        <v>13242</v>
      </c>
      <c r="G4694" s="2" t="s">
        <v>13249</v>
      </c>
      <c r="H4694" s="1">
        <v>4.0</v>
      </c>
      <c r="J4694" s="1" t="s">
        <v>86</v>
      </c>
      <c r="K4694" s="2" t="s">
        <v>13250</v>
      </c>
      <c r="L4694" s="2"/>
      <c r="M4694" s="2" t="str">
        <f>IFERROR(__xludf.DUMMYFUNCTION("split(split(K4694,""【"",false),""公式LINE"",false)"),"外務事務次官・源田(紫吹淳)宛に「“人を自殺させる病原体""をバラまく」という脅迫状が届いた。脅迫状に記載のある3人は実際に自殺や自殺未遂、行方不明になっていた。そして次のターゲットは源田の娘・恵奈(吉川愛)だという。“人を自殺させる病原体""は実在するのか、紐倉(山下智久)、高家(濱田岳)、牧野(菜々緒)は調査に出る。すると、3人は恵奈の幼馴染であることが分かる。しかも、4人は同じ治験のアルバイトをしていたことも判明。一方で、少しずつ明かされる紐倉の過去。御子柴(藤森慎吾)によると、5年前まで海外の研究"&amp;"所で働いていたが、ある事件が原因でクビになったという。紐倉に一体何が?そして、脳裏にフラッシュバックする過去の辛い記憶とは。")</f>
        <v>外務事務次官・源田(紫吹淳)宛に「“人を自殺させる病原体"をバラまく」という脅迫状が届いた。脅迫状に記載のある3人は実際に自殺や自殺未遂、行方不明になっていた。そして次のターゲットは源田の娘・恵奈(吉川愛)だという。“人を自殺させる病原体"は実在するのか、紐倉(山下智久)、高家(濱田岳)、牧野(菜々緒)は調査に出る。すると、3人は恵奈の幼馴染であることが分かる。しかも、4人は同じ治験のアルバイトをしていたことも判明。一方で、少しずつ明かされる紐倉の過去。御子柴(藤森慎吾)によると、5年前まで海外の研究所で働いていたが、ある事件が原因でクビになったという。紐倉に一体何が?そして、脳裏にフラッシュバックする過去の辛い記憶とは。</v>
      </c>
      <c r="N4694" s="2"/>
      <c r="O4694" s="2"/>
      <c r="P4694" s="2"/>
      <c r="Q4694" s="2"/>
      <c r="R4694" s="2"/>
      <c r="S4694" s="2"/>
      <c r="T4694" s="2"/>
      <c r="U4694" s="2"/>
      <c r="V4694" s="2"/>
      <c r="W4694" s="2"/>
      <c r="X4694" s="2"/>
      <c r="Y4694" s="2"/>
      <c r="Z4694" s="2"/>
      <c r="AA4694" s="2"/>
      <c r="AB4694" s="2"/>
      <c r="AC4694" s="2"/>
      <c r="AD4694" s="2"/>
      <c r="AE4694" s="2"/>
      <c r="AF4694" s="2"/>
      <c r="AG4694" s="2"/>
      <c r="AH4694" s="2"/>
      <c r="AI4694" s="2"/>
      <c r="AJ4694" s="2"/>
      <c r="AK4694" s="2"/>
      <c r="AL4694" s="2"/>
      <c r="AM4694" s="2"/>
      <c r="AN4694" s="2"/>
      <c r="AO4694" s="2"/>
      <c r="AP4694" s="2"/>
      <c r="AQ4694" s="2"/>
      <c r="AR4694" s="2"/>
      <c r="AS4694" s="2"/>
      <c r="AT4694" s="2"/>
      <c r="AU4694" s="2"/>
      <c r="AV4694" s="2"/>
      <c r="AW4694" s="2"/>
      <c r="AX4694" s="2"/>
      <c r="AY4694" s="2"/>
      <c r="AZ4694" s="2"/>
      <c r="BA4694" s="2"/>
      <c r="BB4694" s="2"/>
    </row>
    <row r="4695" ht="204.75" customHeight="1">
      <c r="A4695" s="1">
        <v>299.0</v>
      </c>
      <c r="B4695" s="2" t="s">
        <v>13241</v>
      </c>
      <c r="C4695" s="2">
        <f>IFERROR(__xludf.DUMMYFUNCTION("split(B4695,""_"")"),1904.0)</f>
        <v>1904</v>
      </c>
      <c r="D4695" s="2" t="str">
        <f>IFERROR(__xludf.DUMMYFUNCTION("""COMPUTED_VALUE"""),"TBS")</f>
        <v>TBS</v>
      </c>
      <c r="E4695" s="2" t="str">
        <f>IFERROR(__xludf.DUMMYFUNCTION("""COMPUTED_VALUE"""),"金22")</f>
        <v>金22</v>
      </c>
      <c r="F4695" s="2" t="s">
        <v>13242</v>
      </c>
      <c r="G4695" s="2" t="s">
        <v>13251</v>
      </c>
      <c r="H4695" s="1">
        <v>5.0</v>
      </c>
      <c r="J4695" s="1" t="s">
        <v>86</v>
      </c>
      <c r="K4695" s="2" t="s">
        <v>13252</v>
      </c>
      <c r="L4695" s="2"/>
      <c r="M4695" s="2" t="str">
        <f>IFERROR(__xludf.DUMMYFUNCTION("split(split(K4695,""【"",false),""公式LINE"",false)"),"紐倉(山下智久)は、元助手・入谷(松下優也)との辛い記憶がフラッシュバックするたびに、ないはずの右手が痛む幻肢痛に苦しんでいた。一方、牧野(菜々緒)は高家(濱田岳)に、紐倉について書かれた海外の記事を見せる。『危険な実験をしていた日本人科学者Hとは?』気になる記述が。紐倉の疑わしい過去について調べる必要があると思った牧野は、ある会社の情報を手に入れる。それはフューチャージーンという会社。CEOは紐倉のアメリカ疫病予防管理センター時代の元上司・福山(時任三郎)だった。福山なら紐倉の過去を知っていると考えた牧"&amp;"野。福山の口から語られた紐倉の辛い過去とは。そして、ついに紐倉の義手の秘密が明らかになる!  ")</f>
        <v>紐倉(山下智久)は、元助手・入谷(松下優也)との辛い記憶がフラッシュバックするたびに、ないはずの右手が痛む幻肢痛に苦しんでいた。一方、牧野(菜々緒)は高家(濱田岳)に、紐倉について書かれた海外の記事を見せる。『危険な実験をしていた日本人科学者Hとは?』気になる記述が。紐倉の疑わしい過去について調べる必要があると思った牧野は、ある会社の情報を手に入れる。それはフューチャージーンという会社。CEOは紐倉のアメリカ疫病予防管理センター時代の元上司・福山(時任三郎)だった。福山なら紐倉の過去を知っていると考えた牧野。福山の口から語られた紐倉の辛い過去とは。そして、ついに紐倉の義手の秘密が明らかになる!  </v>
      </c>
      <c r="N4695" s="2"/>
      <c r="O4695" s="2"/>
      <c r="P4695" s="2"/>
      <c r="Q4695" s="2"/>
      <c r="R4695" s="2"/>
      <c r="S4695" s="2"/>
      <c r="T4695" s="2"/>
      <c r="U4695" s="2"/>
      <c r="V4695" s="2"/>
      <c r="W4695" s="2"/>
      <c r="X4695" s="2"/>
      <c r="Y4695" s="2"/>
      <c r="Z4695" s="2"/>
      <c r="AA4695" s="2"/>
      <c r="AB4695" s="2"/>
      <c r="AC4695" s="2"/>
      <c r="AD4695" s="2"/>
      <c r="AE4695" s="2"/>
      <c r="AF4695" s="2"/>
      <c r="AG4695" s="2"/>
      <c r="AH4695" s="2"/>
      <c r="AI4695" s="2"/>
      <c r="AJ4695" s="2"/>
      <c r="AK4695" s="2"/>
      <c r="AL4695" s="2"/>
      <c r="AM4695" s="2"/>
      <c r="AN4695" s="2"/>
      <c r="AO4695" s="2"/>
      <c r="AP4695" s="2"/>
      <c r="AQ4695" s="2"/>
      <c r="AR4695" s="2"/>
      <c r="AS4695" s="2"/>
      <c r="AT4695" s="2"/>
      <c r="AU4695" s="2"/>
      <c r="AV4695" s="2"/>
      <c r="AW4695" s="2"/>
      <c r="AX4695" s="2"/>
      <c r="AY4695" s="2"/>
      <c r="AZ4695" s="2"/>
      <c r="BA4695" s="2"/>
      <c r="BB4695" s="2"/>
    </row>
    <row r="4696" ht="204.75" customHeight="1">
      <c r="A4696" s="1">
        <v>300.0</v>
      </c>
      <c r="B4696" s="2" t="s">
        <v>13241</v>
      </c>
      <c r="C4696" s="2">
        <f>IFERROR(__xludf.DUMMYFUNCTION("split(B4696,""_"")"),1904.0)</f>
        <v>1904</v>
      </c>
      <c r="D4696" s="2" t="str">
        <f>IFERROR(__xludf.DUMMYFUNCTION("""COMPUTED_VALUE"""),"TBS")</f>
        <v>TBS</v>
      </c>
      <c r="E4696" s="2" t="str">
        <f>IFERROR(__xludf.DUMMYFUNCTION("""COMPUTED_VALUE"""),"金22")</f>
        <v>金22</v>
      </c>
      <c r="F4696" s="2" t="s">
        <v>13242</v>
      </c>
      <c r="G4696" s="2" t="s">
        <v>13253</v>
      </c>
      <c r="H4696" s="1">
        <v>6.0</v>
      </c>
      <c r="J4696" s="1" t="s">
        <v>86</v>
      </c>
      <c r="K4696" s="2" t="s">
        <v>13254</v>
      </c>
      <c r="L4696" s="2"/>
      <c r="M4696" s="2" t="str">
        <f>IFERROR(__xludf.DUMMYFUNCTION("split(split(K4696,""【"",false),""公式LINE"",false)"),"牧野(菜々緒)は正式にSM対策室のアドバイザーとなった紐倉(山下智久)と助手の高家(濱田岳)を対策室のメンバーに紹介する。網野(光石研)は早速、紐倉に国民栄誉賞が検討されている日本陸上界のエース・野桐(清原翔)のドーピング疑惑について調べてほしいという。疑惑の真相を探るため、練習中の野桐に会いに行く。陸上界の異端児と言われるだけあって、レース前後に野獣のような雄叫びをあげたり、謎のダンスを踊るなど、謎めいた行動が多い。変人な上に傲慢な性格で、紐倉にも執拗に突っかかる。そんな中、紐倉は野桐の“ルーティン"""&amp;"に目を付ける。紐倉は、さらに詳しく調べるため、野桐の高地トレーニングを観察する。")</f>
        <v>牧野(菜々緒)は正式にSM対策室のアドバイザーとなった紐倉(山下智久)と助手の高家(濱田岳)を対策室のメンバーに紹介する。網野(光石研)は早速、紐倉に国民栄誉賞が検討されている日本陸上界のエース・野桐(清原翔)のドーピング疑惑について調べてほしいという。疑惑の真相を探るため、練習中の野桐に会いに行く。陸上界の異端児と言われるだけあって、レース前後に野獣のような雄叫びをあげたり、謎のダンスを踊るなど、謎めいた行動が多い。変人な上に傲慢な性格で、紐倉にも執拗に突っかかる。そんな中、紐倉は野桐の“ルーティン"に目を付ける。紐倉は、さらに詳しく調べるため、野桐の高地トレーニングを観察する。</v>
      </c>
      <c r="N4696" s="2"/>
      <c r="O4696" s="2"/>
      <c r="P4696" s="2"/>
      <c r="Q4696" s="2"/>
      <c r="R4696" s="2"/>
      <c r="S4696" s="2"/>
      <c r="T4696" s="2"/>
      <c r="U4696" s="2"/>
      <c r="V4696" s="2"/>
      <c r="W4696" s="2"/>
      <c r="X4696" s="2"/>
      <c r="Y4696" s="2"/>
      <c r="Z4696" s="2"/>
      <c r="AA4696" s="2"/>
      <c r="AB4696" s="2"/>
      <c r="AC4696" s="2"/>
      <c r="AD4696" s="2"/>
      <c r="AE4696" s="2"/>
      <c r="AF4696" s="2"/>
      <c r="AG4696" s="2"/>
      <c r="AH4696" s="2"/>
      <c r="AI4696" s="2"/>
      <c r="AJ4696" s="2"/>
      <c r="AK4696" s="2"/>
      <c r="AL4696" s="2"/>
      <c r="AM4696" s="2"/>
      <c r="AN4696" s="2"/>
      <c r="AO4696" s="2"/>
      <c r="AP4696" s="2"/>
      <c r="AQ4696" s="2"/>
      <c r="AR4696" s="2"/>
      <c r="AS4696" s="2"/>
      <c r="AT4696" s="2"/>
      <c r="AU4696" s="2"/>
      <c r="AV4696" s="2"/>
      <c r="AW4696" s="2"/>
      <c r="AX4696" s="2"/>
      <c r="AY4696" s="2"/>
      <c r="AZ4696" s="2"/>
      <c r="BA4696" s="2"/>
      <c r="BB4696" s="2"/>
    </row>
    <row r="4697" ht="204.75" customHeight="1">
      <c r="A4697" s="1">
        <v>301.0</v>
      </c>
      <c r="B4697" s="2" t="s">
        <v>13241</v>
      </c>
      <c r="C4697" s="2">
        <f>IFERROR(__xludf.DUMMYFUNCTION("split(B4697,""_"")"),1904.0)</f>
        <v>1904</v>
      </c>
      <c r="D4697" s="2" t="str">
        <f>IFERROR(__xludf.DUMMYFUNCTION("""COMPUTED_VALUE"""),"TBS")</f>
        <v>TBS</v>
      </c>
      <c r="E4697" s="2" t="str">
        <f>IFERROR(__xludf.DUMMYFUNCTION("""COMPUTED_VALUE"""),"金22")</f>
        <v>金22</v>
      </c>
      <c r="F4697" s="2" t="s">
        <v>13242</v>
      </c>
      <c r="G4697" s="2" t="s">
        <v>13255</v>
      </c>
      <c r="H4697" s="1">
        <v>7.0</v>
      </c>
      <c r="J4697" s="1" t="s">
        <v>86</v>
      </c>
      <c r="K4697" s="2" t="s">
        <v>13256</v>
      </c>
      <c r="L4697" s="2"/>
      <c r="M4697" s="2" t="str">
        <f>IFERROR(__xludf.DUMMYFUNCTION("split(split(K4697,""【"",false),""公式LINE"",false)"),"牧野(菜々緒)に娘がいることを知った紐倉(山下智久)と高家(濱田岳)は、入院している牧野の娘・美香(吉澤梨里花)のお見舞いに来ていた。生まれつき免疫に欠陥があるPID(原発性免疫不全症候群)で入院している美香。PIDの有効な治療法は骨髄移植しかないが、ドナー提供者も見つかっておらず、母親の牧野とも一致しなかったという。そして、美香の父親で牧野の夫・賢一(永岡卓也)はすでに他界していた…。牧野は紐倉に美香のためにPIDの治療法を見つけてほしいとお願いする。やがて紐倉は牧野がやろうとしている“あること""に気"&amp;"づく。紐倉はPIDの研究を始めるため、元上司の福山(時任三郎)に協力を仰ぐが…。")</f>
        <v>牧野(菜々緒)に娘がいることを知った紐倉(山下智久)と高家(濱田岳)は、入院している牧野の娘・美香(吉澤梨里花)のお見舞いに来ていた。生まれつき免疫に欠陥があるPID(原発性免疫不全症候群)で入院している美香。PIDの有効な治療法は骨髄移植しかないが、ドナー提供者も見つかっておらず、母親の牧野とも一致しなかったという。そして、美香の父親で牧野の夫・賢一(永岡卓也)はすでに他界していた…。牧野は紐倉に美香のためにPIDの治療法を見つけてほしいとお願いする。やがて紐倉は牧野がやろうとしている“あること"に気づく。紐倉はPIDの研究を始めるため、元上司の福山(時任三郎)に協力を仰ぐが…。</v>
      </c>
      <c r="N4697" s="2"/>
      <c r="O4697" s="2"/>
      <c r="P4697" s="2"/>
      <c r="Q4697" s="2"/>
      <c r="R4697" s="2"/>
      <c r="S4697" s="2"/>
      <c r="T4697" s="2"/>
      <c r="U4697" s="2"/>
      <c r="V4697" s="2"/>
      <c r="W4697" s="2"/>
      <c r="X4697" s="2"/>
      <c r="Y4697" s="2"/>
      <c r="Z4697" s="2"/>
      <c r="AA4697" s="2"/>
      <c r="AB4697" s="2"/>
      <c r="AC4697" s="2"/>
      <c r="AD4697" s="2"/>
      <c r="AE4697" s="2"/>
      <c r="AF4697" s="2"/>
      <c r="AG4697" s="2"/>
      <c r="AH4697" s="2"/>
      <c r="AI4697" s="2"/>
      <c r="AJ4697" s="2"/>
      <c r="AK4697" s="2"/>
      <c r="AL4697" s="2"/>
      <c r="AM4697" s="2"/>
      <c r="AN4697" s="2"/>
      <c r="AO4697" s="2"/>
      <c r="AP4697" s="2"/>
      <c r="AQ4697" s="2"/>
      <c r="AR4697" s="2"/>
      <c r="AS4697" s="2"/>
      <c r="AT4697" s="2"/>
      <c r="AU4697" s="2"/>
      <c r="AV4697" s="2"/>
      <c r="AW4697" s="2"/>
      <c r="AX4697" s="2"/>
      <c r="AY4697" s="2"/>
      <c r="AZ4697" s="2"/>
      <c r="BA4697" s="2"/>
      <c r="BB4697" s="2"/>
    </row>
    <row r="4698" ht="204.75" customHeight="1">
      <c r="A4698" s="1">
        <v>302.0</v>
      </c>
      <c r="B4698" s="2" t="s">
        <v>13241</v>
      </c>
      <c r="C4698" s="2">
        <f>IFERROR(__xludf.DUMMYFUNCTION("split(B4698,""_"")"),1904.0)</f>
        <v>1904</v>
      </c>
      <c r="D4698" s="2" t="str">
        <f>IFERROR(__xludf.DUMMYFUNCTION("""COMPUTED_VALUE"""),"TBS")</f>
        <v>TBS</v>
      </c>
      <c r="E4698" s="2" t="str">
        <f>IFERROR(__xludf.DUMMYFUNCTION("""COMPUTED_VALUE"""),"金22")</f>
        <v>金22</v>
      </c>
      <c r="F4698" s="2" t="s">
        <v>13242</v>
      </c>
      <c r="G4698" s="2" t="s">
        <v>13257</v>
      </c>
      <c r="H4698" s="1">
        <v>8.0</v>
      </c>
      <c r="J4698" s="1" t="s">
        <v>86</v>
      </c>
      <c r="K4698" s="2" t="s">
        <v>13258</v>
      </c>
      <c r="L4698" s="2"/>
      <c r="M4698" s="2" t="str">
        <f>IFERROR(__xludf.DUMMYFUNCTION("split(split(K4698,""【"",false),""公式LINE"",false)"),"紐倉(山下智久)は、最近SNSで話題の“呪いの血のポスター""に興味を持つ。それは園川務(柄本明)が会長を務める巨大企業キガシマのポスターで、息子であり後継者候補の直継(夙川アトム)が飛び降り自殺をしたことが発端だった。モデルの頭部が血のように赤く染められた“呪いの血のポスター""は、直継の自殺と関係しているのか?　紐倉は、高家(濱田岳)、牧野(菜々緒)と共に自殺の真相を調べる。そんな中、三人の前に、経産省のアドバイザー遠藤匡晃(要潤)が現れる。遠藤は紐倉の大学の同期で、偶然にも同じ事件を調べていた。紐倉"&amp;"たちは、園川家に伝わる“鬼の血""伝説に辿り着く。鬼の血の伝説とは一体?　驚きの事実が明らかに。")</f>
        <v>紐倉(山下智久)は、最近SNSで話題の“呪いの血のポスター"に興味を持つ。それは園川務(柄本明)が会長を務める巨大企業キガシマのポスターで、息子であり後継者候補の直継(夙川アトム)が飛び降り自殺をしたことが発端だった。モデルの頭部が血のように赤く染められた“呪いの血のポスター"は、直継の自殺と関係しているのか?　紐倉は、高家(濱田岳)、牧野(菜々緒)と共に自殺の真相を調べる。そんな中、三人の前に、経産省のアドバイザー遠藤匡晃(要潤)が現れる。遠藤は紐倉の大学の同期で、偶然にも同じ事件を調べていた。紐倉たちは、園川家に伝わる“鬼の血"伝説に辿り着く。鬼の血の伝説とは一体?　驚きの事実が明らかに。</v>
      </c>
      <c r="N4698" s="2"/>
      <c r="O4698" s="2"/>
      <c r="P4698" s="2"/>
      <c r="Q4698" s="2"/>
      <c r="R4698" s="2"/>
      <c r="S4698" s="2"/>
      <c r="T4698" s="2"/>
      <c r="U4698" s="2"/>
      <c r="V4698" s="2"/>
      <c r="W4698" s="2"/>
      <c r="X4698" s="2"/>
      <c r="Y4698" s="2"/>
      <c r="Z4698" s="2"/>
      <c r="AA4698" s="2"/>
      <c r="AB4698" s="2"/>
      <c r="AC4698" s="2"/>
      <c r="AD4698" s="2"/>
      <c r="AE4698" s="2"/>
      <c r="AF4698" s="2"/>
      <c r="AG4698" s="2"/>
      <c r="AH4698" s="2"/>
      <c r="AI4698" s="2"/>
      <c r="AJ4698" s="2"/>
      <c r="AK4698" s="2"/>
      <c r="AL4698" s="2"/>
      <c r="AM4698" s="2"/>
      <c r="AN4698" s="2"/>
      <c r="AO4698" s="2"/>
      <c r="AP4698" s="2"/>
      <c r="AQ4698" s="2"/>
      <c r="AR4698" s="2"/>
      <c r="AS4698" s="2"/>
      <c r="AT4698" s="2"/>
      <c r="AU4698" s="2"/>
      <c r="AV4698" s="2"/>
      <c r="AW4698" s="2"/>
      <c r="AX4698" s="2"/>
      <c r="AY4698" s="2"/>
      <c r="AZ4698" s="2"/>
      <c r="BA4698" s="2"/>
      <c r="BB4698" s="2"/>
    </row>
    <row r="4699" ht="204.75" customHeight="1">
      <c r="A4699" s="1">
        <v>303.0</v>
      </c>
      <c r="B4699" s="2" t="s">
        <v>13241</v>
      </c>
      <c r="C4699" s="2">
        <f>IFERROR(__xludf.DUMMYFUNCTION("split(B4699,""_"")"),1904.0)</f>
        <v>1904</v>
      </c>
      <c r="D4699" s="2" t="str">
        <f>IFERROR(__xludf.DUMMYFUNCTION("""COMPUTED_VALUE"""),"TBS")</f>
        <v>TBS</v>
      </c>
      <c r="E4699" s="2" t="str">
        <f>IFERROR(__xludf.DUMMYFUNCTION("""COMPUTED_VALUE"""),"金22")</f>
        <v>金22</v>
      </c>
      <c r="F4699" s="2" t="s">
        <v>13242</v>
      </c>
      <c r="G4699" s="2" t="s">
        <v>13259</v>
      </c>
      <c r="H4699" s="1">
        <v>9.0</v>
      </c>
      <c r="J4699" s="1" t="s">
        <v>86</v>
      </c>
      <c r="K4699" s="2" t="s">
        <v>13260</v>
      </c>
      <c r="L4699" s="2"/>
      <c r="M4699" s="2" t="str">
        <f>IFERROR(__xludf.DUMMYFUNCTION("split(split(K4699,""【"",false),""公式LINE"",false)"),"紐倉(山下智久)の研究所に、高家(濱田岳)の母・良子(宮崎美子)がやって来る。高家は昔から恩師として尊敬している医師・陽子(市毛良枝)が入院していることを知る。入院先は高家が懲戒解雇された台田病院だった。意識も不明瞭な状態が続いているが、きちんとした治療が施されていない。しかも担当医は高家に懲戒解雇を言い渡した黒野院長(正名僕蔵)。黒野が何か隠していると確信した高家は、紐倉と共に調査に乗り出す。一方で、牧野(菜々緒)が働くSM対策室では、福山(時任三郎)がCEOを務めるフューチャージーンが進めている“ある"&amp;"計画""の情報を掴んでいた。調べを進めると、福山は意外な人物と密会していることが判明し…。")</f>
        <v>紐倉(山下智久)の研究所に、高家(濱田岳)の母・良子(宮崎美子)がやって来る。高家は昔から恩師として尊敬している医師・陽子(市毛良枝)が入院していることを知る。入院先は高家が懲戒解雇された台田病院だった。意識も不明瞭な状態が続いているが、きちんとした治療が施されていない。しかも担当医は高家に懲戒解雇を言い渡した黒野院長(正名僕蔵)。黒野が何か隠していると確信した高家は、紐倉と共に調査に乗り出す。一方で、牧野(菜々緒)が働くSM対策室では、福山(時任三郎)がCEOを務めるフューチャージーンが進めている“ある計画"の情報を掴んでいた。調べを進めると、福山は意外な人物と密会していることが判明し…。</v>
      </c>
      <c r="N4699" s="2"/>
      <c r="O4699" s="2"/>
      <c r="P4699" s="2"/>
      <c r="Q4699" s="2"/>
      <c r="R4699" s="2"/>
      <c r="S4699" s="2"/>
      <c r="T4699" s="2"/>
      <c r="U4699" s="2"/>
      <c r="V4699" s="2"/>
      <c r="W4699" s="2"/>
      <c r="X4699" s="2"/>
      <c r="Y4699" s="2"/>
      <c r="Z4699" s="2"/>
      <c r="AA4699" s="2"/>
      <c r="AB4699" s="2"/>
      <c r="AC4699" s="2"/>
      <c r="AD4699" s="2"/>
      <c r="AE4699" s="2"/>
      <c r="AF4699" s="2"/>
      <c r="AG4699" s="2"/>
      <c r="AH4699" s="2"/>
      <c r="AI4699" s="2"/>
      <c r="AJ4699" s="2"/>
      <c r="AK4699" s="2"/>
      <c r="AL4699" s="2"/>
      <c r="AM4699" s="2"/>
      <c r="AN4699" s="2"/>
      <c r="AO4699" s="2"/>
      <c r="AP4699" s="2"/>
      <c r="AQ4699" s="2"/>
      <c r="AR4699" s="2"/>
      <c r="AS4699" s="2"/>
      <c r="AT4699" s="2"/>
      <c r="AU4699" s="2"/>
      <c r="AV4699" s="2"/>
      <c r="AW4699" s="2"/>
      <c r="AX4699" s="2"/>
      <c r="AY4699" s="2"/>
      <c r="AZ4699" s="2"/>
      <c r="BA4699" s="2"/>
      <c r="BB4699" s="2"/>
    </row>
    <row r="4700" ht="204.75" customHeight="1">
      <c r="A4700" s="1">
        <v>304.0</v>
      </c>
      <c r="B4700" s="2" t="s">
        <v>13241</v>
      </c>
      <c r="C4700" s="2">
        <f>IFERROR(__xludf.DUMMYFUNCTION("split(B4700,""_"")"),1904.0)</f>
        <v>1904</v>
      </c>
      <c r="D4700" s="2" t="str">
        <f>IFERROR(__xludf.DUMMYFUNCTION("""COMPUTED_VALUE"""),"TBS")</f>
        <v>TBS</v>
      </c>
      <c r="E4700" s="2" t="str">
        <f>IFERROR(__xludf.DUMMYFUNCTION("""COMPUTED_VALUE"""),"金22")</f>
        <v>金22</v>
      </c>
      <c r="F4700" s="2" t="s">
        <v>13242</v>
      </c>
      <c r="G4700" s="2" t="s">
        <v>13261</v>
      </c>
      <c r="H4700" s="1">
        <v>10.0</v>
      </c>
      <c r="J4700" s="1" t="s">
        <v>86</v>
      </c>
      <c r="K4700" s="2" t="s">
        <v>13262</v>
      </c>
      <c r="L4700" s="2"/>
      <c r="M4700" s="2" t="str">
        <f>IFERROR(__xludf.DUMMYFUNCTION("split(split(K4700,""【"",false),""公式LINE"",false)"),"紐倉(山下智久)は高家(濱田岳)と共に、高家の故郷・相羽村を訪れる。村では、福山(時任三郎)が計画する危険な病原体を取り扱う科学研究室・BSL4施設の誘致をめぐって反対運動が行われていた。自然豊かな相羽村を堪能する紐倉だったが、ある日、福山と話をするために施設の拠点となる予定地を訪れる。施設の建設をやたらと急ごうとする福山に、紐倉は疑念を抱く。そんな中、高家の幼馴染・美園(石橋杏奈)の父・実喜男(中本賢)が吐血をして倒れ、病院へ搬送される。その症状を聞いた紐倉は、エボラ出血熱の可能性を指摘。村は封鎖され、"&amp;"日本中を巻き込む事態へと発展する!  ")</f>
        <v>紐倉(山下智久)は高家(濱田岳)と共に、高家の故郷・相羽村を訪れる。村では、福山(時任三郎)が計画する危険な病原体を取り扱う科学研究室・BSL4施設の誘致をめぐって反対運動が行われていた。自然豊かな相羽村を堪能する紐倉だったが、ある日、福山と話をするために施設の拠点となる予定地を訪れる。施設の建設をやたらと急ごうとする福山に、紐倉は疑念を抱く。そんな中、高家の幼馴染・美園(石橋杏奈)の父・実喜男(中本賢)が吐血をして倒れ、病院へ搬送される。その症状を聞いた紐倉は、エボラ出血熱の可能性を指摘。村は封鎖され、日本中を巻き込む事態へと発展する!  </v>
      </c>
      <c r="N4700" s="2"/>
      <c r="O4700" s="2"/>
      <c r="P4700" s="2"/>
      <c r="Q4700" s="2"/>
      <c r="R4700" s="2"/>
      <c r="S4700" s="2"/>
      <c r="T4700" s="2"/>
      <c r="U4700" s="2"/>
      <c r="V4700" s="2"/>
      <c r="W4700" s="2"/>
      <c r="X4700" s="2"/>
      <c r="Y4700" s="2"/>
      <c r="Z4700" s="2"/>
      <c r="AA4700" s="2"/>
      <c r="AB4700" s="2"/>
      <c r="AC4700" s="2"/>
      <c r="AD4700" s="2"/>
      <c r="AE4700" s="2"/>
      <c r="AF4700" s="2"/>
      <c r="AG4700" s="2"/>
      <c r="AH4700" s="2"/>
      <c r="AI4700" s="2"/>
      <c r="AJ4700" s="2"/>
      <c r="AK4700" s="2"/>
      <c r="AL4700" s="2"/>
      <c r="AM4700" s="2"/>
      <c r="AN4700" s="2"/>
      <c r="AO4700" s="2"/>
      <c r="AP4700" s="2"/>
      <c r="AQ4700" s="2"/>
      <c r="AR4700" s="2"/>
      <c r="AS4700" s="2"/>
      <c r="AT4700" s="2"/>
      <c r="AU4700" s="2"/>
      <c r="AV4700" s="2"/>
      <c r="AW4700" s="2"/>
      <c r="AX4700" s="2"/>
      <c r="AY4700" s="2"/>
      <c r="AZ4700" s="2"/>
      <c r="BA4700" s="2"/>
      <c r="BB4700" s="2"/>
    </row>
    <row r="4701" ht="204.75" customHeight="1">
      <c r="A4701" s="1">
        <v>305.0</v>
      </c>
      <c r="B4701" s="2" t="s">
        <v>13241</v>
      </c>
      <c r="C4701" s="2">
        <f>IFERROR(__xludf.DUMMYFUNCTION("split(B4701,""_"")"),1904.0)</f>
        <v>1904</v>
      </c>
      <c r="D4701" s="2" t="str">
        <f>IFERROR(__xludf.DUMMYFUNCTION("""COMPUTED_VALUE"""),"TBS")</f>
        <v>TBS</v>
      </c>
      <c r="E4701" s="2" t="str">
        <f>IFERROR(__xludf.DUMMYFUNCTION("""COMPUTED_VALUE"""),"金22")</f>
        <v>金22</v>
      </c>
      <c r="F4701" s="2" t="s">
        <v>13242</v>
      </c>
      <c r="G4701" s="2" t="s">
        <v>13263</v>
      </c>
      <c r="H4701" s="1">
        <v>11.0</v>
      </c>
      <c r="J4701" s="1" t="s">
        <v>86</v>
      </c>
      <c r="K4701" s="2" t="s">
        <v>13264</v>
      </c>
      <c r="L4701" s="2"/>
      <c r="M4701" s="2" t="str">
        <f>IFERROR(__xludf.DUMMYFUNCTION("split(split(K4701,""【"",false),""公式LINE"",false)"),"高家(濱田岳)の故郷・相羽村で新型エボラウイルスが発生し、日本中を震撼させる大パニックに。高家と共に封鎖された相羽村に残った紐倉(山下智久)は、牧野(菜々緒)らと情報共有をしながら現地対策室で調査を始める。だが感染は日に日に拡大し、死者も増えていく一方だった。絶望的な状況の中、紐倉はワクチンの開発に取り掛かることに。必死に開発を進める紐倉だったが、ワクチンは完成しないままついに高家も感染してしまい…。")</f>
        <v>高家(濱田岳)の故郷・相羽村で新型エボラウイルスが発生し、日本中を震撼させる大パニックに。高家と共に封鎖された相羽村に残った紐倉(山下智久)は、牧野(菜々緒)らと情報共有をしながら現地対策室で調査を始める。だが感染は日に日に拡大し、死者も増えていく一方だった。絶望的な状況の中、紐倉はワクチンの開発に取り掛かることに。必死に開発を進める紐倉だったが、ワクチンは完成しないままついに高家も感染してしまい…。</v>
      </c>
      <c r="N4701" s="2"/>
      <c r="O4701" s="2"/>
      <c r="P4701" s="2"/>
      <c r="Q4701" s="2"/>
      <c r="R4701" s="2"/>
      <c r="S4701" s="2"/>
      <c r="T4701" s="2"/>
      <c r="U4701" s="2"/>
      <c r="V4701" s="2"/>
      <c r="W4701" s="2"/>
      <c r="X4701" s="2"/>
      <c r="Y4701" s="2"/>
      <c r="Z4701" s="2"/>
      <c r="AA4701" s="2"/>
      <c r="AB4701" s="2"/>
      <c r="AC4701" s="2"/>
      <c r="AD4701" s="2"/>
      <c r="AE4701" s="2"/>
      <c r="AF4701" s="2"/>
      <c r="AG4701" s="2"/>
      <c r="AH4701" s="2"/>
      <c r="AI4701" s="2"/>
      <c r="AJ4701" s="2"/>
      <c r="AK4701" s="2"/>
      <c r="AL4701" s="2"/>
      <c r="AM4701" s="2"/>
      <c r="AN4701" s="2"/>
      <c r="AO4701" s="2"/>
      <c r="AP4701" s="2"/>
      <c r="AQ4701" s="2"/>
      <c r="AR4701" s="2"/>
      <c r="AS4701" s="2"/>
      <c r="AT4701" s="2"/>
      <c r="AU4701" s="2"/>
      <c r="AV4701" s="2"/>
      <c r="AW4701" s="2"/>
      <c r="AX4701" s="2"/>
      <c r="AY4701" s="2"/>
      <c r="AZ4701" s="2"/>
      <c r="BA4701" s="2"/>
      <c r="BB4701" s="2"/>
    </row>
    <row r="4702" ht="204.75" customHeight="1">
      <c r="A4702" s="1">
        <v>332.0</v>
      </c>
      <c r="B4702" s="2" t="s">
        <v>13265</v>
      </c>
      <c r="C4702" s="2">
        <f>IFERROR(__xludf.DUMMYFUNCTION("split(B4702,""_"")"),1904.0)</f>
        <v>1904</v>
      </c>
      <c r="D4702" s="2" t="str">
        <f>IFERROR(__xludf.DUMMYFUNCTION("""COMPUTED_VALUE"""),"TBS")</f>
        <v>TBS</v>
      </c>
      <c r="E4702" s="2" t="str">
        <f>IFERROR(__xludf.DUMMYFUNCTION("""COMPUTED_VALUE"""),"日21")</f>
        <v>日21</v>
      </c>
      <c r="F4702" s="2" t="s">
        <v>13266</v>
      </c>
      <c r="G4702" s="2" t="s">
        <v>13267</v>
      </c>
      <c r="H4702" s="1">
        <v>1.0</v>
      </c>
      <c r="J4702" s="1" t="s">
        <v>4</v>
      </c>
      <c r="K4702" s="2" t="s">
        <v>13268</v>
      </c>
      <c r="L4702" s="2"/>
      <c r="M4702" s="2" t="str">
        <f>IFERROR(__xludf.DUMMYFUNCTION("split(split(K4702,""【"",false),""公式LINE"",false)"),"50歳目前、出向覚悟の片岡洋(福山雅治)にまさかの支店長人事が!しかし、赴任先は廃店候補の蒲田支店。横山(三上博史)から「頑張らなくて良い。無事廃店を見届けてほしい」と言われ、困惑する片岡。サラリーマンとして初めて受けた「頑張らなくて良い」という指示、何も知らない蒲田支店の行員たちを前に片岡は葛藤する・・・。敵か味方かわからない副支店長の真山(香川照之)ら行員たちと、新支店長片岡の戦いが始まる!")</f>
        <v>50歳目前、出向覚悟の片岡洋(福山雅治)にまさかの支店長人事が!しかし、赴任先は廃店候補の蒲田支店。横山(三上博史)から「頑張らなくて良い。無事廃店を見届けてほしい」と言われ、困惑する片岡。サラリーマンとして初めて受けた「頑張らなくて良い」という指示、何も知らない蒲田支店の行員たちを前に片岡は葛藤する・・・。敵か味方かわからない副支店長の真山(香川照之)ら行員たちと、新支店長片岡の戦いが始まる!</v>
      </c>
      <c r="N4702" s="2"/>
      <c r="O4702" s="2"/>
      <c r="P4702" s="2"/>
      <c r="Q4702" s="2"/>
      <c r="R4702" s="2"/>
      <c r="S4702" s="2"/>
      <c r="T4702" s="2"/>
      <c r="U4702" s="2"/>
      <c r="V4702" s="2"/>
      <c r="W4702" s="2"/>
      <c r="X4702" s="2"/>
      <c r="Y4702" s="2"/>
      <c r="Z4702" s="2"/>
      <c r="AA4702" s="2"/>
      <c r="AB4702" s="2"/>
      <c r="AC4702" s="2"/>
      <c r="AD4702" s="2"/>
      <c r="AE4702" s="2"/>
      <c r="AF4702" s="2"/>
      <c r="AG4702" s="2"/>
      <c r="AH4702" s="2"/>
      <c r="AI4702" s="2"/>
      <c r="AJ4702" s="2"/>
      <c r="AK4702" s="2"/>
      <c r="AL4702" s="2"/>
      <c r="AM4702" s="2"/>
      <c r="AN4702" s="2"/>
      <c r="AO4702" s="2"/>
      <c r="AP4702" s="2"/>
      <c r="AQ4702" s="2"/>
      <c r="AR4702" s="2"/>
      <c r="AS4702" s="2"/>
      <c r="AT4702" s="2"/>
      <c r="AU4702" s="2"/>
      <c r="AV4702" s="2"/>
      <c r="AW4702" s="2"/>
      <c r="AX4702" s="2"/>
      <c r="AY4702" s="2"/>
      <c r="AZ4702" s="2"/>
      <c r="BA4702" s="2"/>
      <c r="BB4702" s="2"/>
    </row>
    <row r="4703" ht="204.75" customHeight="1">
      <c r="A4703" s="1">
        <v>333.0</v>
      </c>
      <c r="B4703" s="2" t="s">
        <v>13265</v>
      </c>
      <c r="C4703" s="2">
        <f>IFERROR(__xludf.DUMMYFUNCTION("split(B4703,""_"")"),1904.0)</f>
        <v>1904</v>
      </c>
      <c r="D4703" s="2" t="str">
        <f>IFERROR(__xludf.DUMMYFUNCTION("""COMPUTED_VALUE"""),"TBS")</f>
        <v>TBS</v>
      </c>
      <c r="E4703" s="2" t="str">
        <f>IFERROR(__xludf.DUMMYFUNCTION("""COMPUTED_VALUE"""),"日21")</f>
        <v>日21</v>
      </c>
      <c r="F4703" s="2" t="s">
        <v>13266</v>
      </c>
      <c r="G4703" s="2" t="s">
        <v>13269</v>
      </c>
      <c r="H4703" s="1">
        <v>2.0</v>
      </c>
      <c r="I4703" s="1" t="s">
        <v>2868</v>
      </c>
      <c r="J4703" s="1" t="s">
        <v>4</v>
      </c>
      <c r="K4703" s="2" t="s">
        <v>13270</v>
      </c>
      <c r="L4703" s="2"/>
      <c r="M4703" s="2" t="str">
        <f>IFERROR(__xludf.DUMMYFUNCTION("split(split(K4703,""【"",false),""公式LINE"",false)"),"横山常務(三上博史)に頑張るなと言われた片岡(福山雅治)だったが、部下の頑張る姿を見て黙ってはいられなかった。しかし、片岡のその行動が、巨大組織の逆鱗に触れることになる。片岡に対して敵意むき出しの蒲田支店メンバーは、一向にまとまる気配を見せず・・・そして、ノルマ達成の為にやっとの想いで勝ち取った融資さえも、本部の邪魔がはいる!?早くも絶体絶命の蒲田支店は廃店を免れるのか!?")</f>
        <v>横山常務(三上博史)に頑張るなと言われた片岡(福山雅治)だったが、部下の頑張る姿を見て黙ってはいられなかった。しかし、片岡のその行動が、巨大組織の逆鱗に触れることになる。片岡に対して敵意むき出しの蒲田支店メンバーは、一向にまとまる気配を見せず・・・そして、ノルマ達成の為にやっとの想いで勝ち取った融資さえも、本部の邪魔がはいる!?早くも絶体絶命の蒲田支店は廃店を免れるのか!?</v>
      </c>
      <c r="N4703" s="2"/>
      <c r="O4703" s="2"/>
      <c r="P4703" s="2"/>
      <c r="Q4703" s="2"/>
      <c r="R4703" s="2"/>
      <c r="S4703" s="2"/>
      <c r="T4703" s="2"/>
      <c r="U4703" s="2"/>
      <c r="V4703" s="2"/>
      <c r="W4703" s="2"/>
      <c r="X4703" s="2"/>
      <c r="Y4703" s="2"/>
      <c r="Z4703" s="2"/>
      <c r="AA4703" s="2"/>
      <c r="AB4703" s="2"/>
      <c r="AC4703" s="2"/>
      <c r="AD4703" s="2"/>
      <c r="AE4703" s="2"/>
      <c r="AF4703" s="2"/>
      <c r="AG4703" s="2"/>
      <c r="AH4703" s="2"/>
      <c r="AI4703" s="2"/>
      <c r="AJ4703" s="2"/>
      <c r="AK4703" s="2"/>
      <c r="AL4703" s="2"/>
      <c r="AM4703" s="2"/>
      <c r="AN4703" s="2"/>
      <c r="AO4703" s="2"/>
      <c r="AP4703" s="2"/>
      <c r="AQ4703" s="2"/>
      <c r="AR4703" s="2"/>
      <c r="AS4703" s="2"/>
      <c r="AT4703" s="2"/>
      <c r="AU4703" s="2"/>
      <c r="AV4703" s="2"/>
      <c r="AW4703" s="2"/>
      <c r="AX4703" s="2"/>
      <c r="AY4703" s="2"/>
      <c r="AZ4703" s="2"/>
      <c r="BA4703" s="2"/>
      <c r="BB4703" s="2"/>
    </row>
    <row r="4704" ht="204.75" customHeight="1">
      <c r="A4704" s="1">
        <v>334.0</v>
      </c>
      <c r="B4704" s="2" t="s">
        <v>13265</v>
      </c>
      <c r="C4704" s="2">
        <f>IFERROR(__xludf.DUMMYFUNCTION("split(B4704,""_"")"),1904.0)</f>
        <v>1904</v>
      </c>
      <c r="D4704" s="2" t="str">
        <f>IFERROR(__xludf.DUMMYFUNCTION("""COMPUTED_VALUE"""),"TBS")</f>
        <v>TBS</v>
      </c>
      <c r="E4704" s="2" t="str">
        <f>IFERROR(__xludf.DUMMYFUNCTION("""COMPUTED_VALUE"""),"日21")</f>
        <v>日21</v>
      </c>
      <c r="F4704" s="2" t="s">
        <v>13266</v>
      </c>
      <c r="G4704" s="2" t="s">
        <v>13271</v>
      </c>
      <c r="H4704" s="1">
        <v>3.0</v>
      </c>
      <c r="I4704" s="1" t="s">
        <v>13272</v>
      </c>
      <c r="J4704" s="1" t="s">
        <v>11</v>
      </c>
      <c r="K4704" s="2" t="s">
        <v>13273</v>
      </c>
      <c r="L4704" s="2"/>
      <c r="M4704" s="2" t="str">
        <f>IFERROR(__xludf.DUMMYFUNCTION("split(split(K4704,""【"",false),""公式LINE"",false)"),"支店に現れた横山(三上博史)は、支店を見まわし片岡を見据える。突然の来訪に戸惑う片岡たちだが、帰り際に初対面のはずの真山(香川照之)が横山と親しげに話しているのを目撃する。支店の情報が洩れていると感じていた滝川(神木隆之介)は真山がスパイではないかと問い詰める。そんな中、真山の担当企業から融資の依頼が舞い込んでくる。蒲田存続に一気に近づくかに思われたが・・・")</f>
        <v>支店に現れた横山(三上博史)は、支店を見まわし片岡を見据える。突然の来訪に戸惑う片岡たちだが、帰り際に初対面のはずの真山(香川照之)が横山と親しげに話しているのを目撃する。支店の情報が洩れていると感じていた滝川(神木隆之介)は真山がスパイではないかと問い詰める。そんな中、真山の担当企業から融資の依頼が舞い込んでくる。蒲田存続に一気に近づくかに思われたが・・・</v>
      </c>
      <c r="N4704" s="2"/>
      <c r="O4704" s="2"/>
      <c r="P4704" s="2"/>
      <c r="Q4704" s="2"/>
      <c r="R4704" s="2"/>
      <c r="S4704" s="2"/>
      <c r="T4704" s="2"/>
      <c r="U4704" s="2"/>
      <c r="V4704" s="2"/>
      <c r="W4704" s="2"/>
      <c r="X4704" s="2"/>
      <c r="Y4704" s="2"/>
      <c r="Z4704" s="2"/>
      <c r="AA4704" s="2"/>
      <c r="AB4704" s="2"/>
      <c r="AC4704" s="2"/>
      <c r="AD4704" s="2"/>
      <c r="AE4704" s="2"/>
      <c r="AF4704" s="2"/>
      <c r="AG4704" s="2"/>
      <c r="AH4704" s="2"/>
      <c r="AI4704" s="2"/>
      <c r="AJ4704" s="2"/>
      <c r="AK4704" s="2"/>
      <c r="AL4704" s="2"/>
      <c r="AM4704" s="2"/>
      <c r="AN4704" s="2"/>
      <c r="AO4704" s="2"/>
      <c r="AP4704" s="2"/>
      <c r="AQ4704" s="2"/>
      <c r="AR4704" s="2"/>
      <c r="AS4704" s="2"/>
      <c r="AT4704" s="2"/>
      <c r="AU4704" s="2"/>
      <c r="AV4704" s="2"/>
      <c r="AW4704" s="2"/>
      <c r="AX4704" s="2"/>
      <c r="AY4704" s="2"/>
      <c r="AZ4704" s="2"/>
      <c r="BA4704" s="2"/>
      <c r="BB4704" s="2"/>
    </row>
    <row r="4705" ht="204.75" customHeight="1">
      <c r="A4705" s="1">
        <v>335.0</v>
      </c>
      <c r="B4705" s="2" t="s">
        <v>13265</v>
      </c>
      <c r="C4705" s="2">
        <f>IFERROR(__xludf.DUMMYFUNCTION("split(B4705,""_"")"),1904.0)</f>
        <v>1904</v>
      </c>
      <c r="D4705" s="2" t="str">
        <f>IFERROR(__xludf.DUMMYFUNCTION("""COMPUTED_VALUE"""),"TBS")</f>
        <v>TBS</v>
      </c>
      <c r="E4705" s="2" t="str">
        <f>IFERROR(__xludf.DUMMYFUNCTION("""COMPUTED_VALUE"""),"日21")</f>
        <v>日21</v>
      </c>
      <c r="F4705" s="2" t="s">
        <v>13266</v>
      </c>
      <c r="G4705" s="2" t="s">
        <v>13274</v>
      </c>
      <c r="H4705" s="1">
        <v>4.0</v>
      </c>
      <c r="J4705" s="1" t="s">
        <v>11</v>
      </c>
      <c r="K4705" s="2" t="s">
        <v>13275</v>
      </c>
      <c r="L4705" s="2"/>
      <c r="M4705" s="2" t="str">
        <f>IFERROR(__xludf.DUMMYFUNCTION("split(split(K4705,""【"",false),""公式LINE"",false)"),"度重なる銀行本部の嫌がらせにも屈することなく快進撃を続ける蒲田支店に新たな融資の相談が舞い込んでくる。慎重に進める片岡たちだが・・・そして、新たに本部の総攻撃が始まる!?崩壊寸前の蒲田支店、果たして支店長は仲間を守れるのか!?支店VS銀行本部、支店長VS横山常務、戦いは終盤戦へと進んでいく!?仲間との絆、銀行員としてのプライド、想いを胸に、ノルマ達成に向けて突き進んでいく!果たして結果は・・・")</f>
        <v>度重なる銀行本部の嫌がらせにも屈することなく快進撃を続ける蒲田支店に新たな融資の相談が舞い込んでくる。慎重に進める片岡たちだが・・・そして、新たに本部の総攻撃が始まる!?崩壊寸前の蒲田支店、果たして支店長は仲間を守れるのか!?支店VS銀行本部、支店長VS横山常務、戦いは終盤戦へと進んでいく!?仲間との絆、銀行員としてのプライド、想いを胸に、ノルマ達成に向けて突き進んでいく!果たして結果は・・・</v>
      </c>
      <c r="N4705" s="2"/>
      <c r="O4705" s="2"/>
      <c r="P4705" s="2"/>
      <c r="Q4705" s="2"/>
      <c r="R4705" s="2"/>
      <c r="S4705" s="2"/>
      <c r="T4705" s="2"/>
      <c r="U4705" s="2"/>
      <c r="V4705" s="2"/>
      <c r="W4705" s="2"/>
      <c r="X4705" s="2"/>
      <c r="Y4705" s="2"/>
      <c r="Z4705" s="2"/>
      <c r="AA4705" s="2"/>
      <c r="AB4705" s="2"/>
      <c r="AC4705" s="2"/>
      <c r="AD4705" s="2"/>
      <c r="AE4705" s="2"/>
      <c r="AF4705" s="2"/>
      <c r="AG4705" s="2"/>
      <c r="AH4705" s="2"/>
      <c r="AI4705" s="2"/>
      <c r="AJ4705" s="2"/>
      <c r="AK4705" s="2"/>
      <c r="AL4705" s="2"/>
      <c r="AM4705" s="2"/>
      <c r="AN4705" s="2"/>
      <c r="AO4705" s="2"/>
      <c r="AP4705" s="2"/>
      <c r="AQ4705" s="2"/>
      <c r="AR4705" s="2"/>
      <c r="AS4705" s="2"/>
      <c r="AT4705" s="2"/>
      <c r="AU4705" s="2"/>
      <c r="AV4705" s="2"/>
      <c r="AW4705" s="2"/>
      <c r="AX4705" s="2"/>
      <c r="AY4705" s="2"/>
      <c r="AZ4705" s="2"/>
      <c r="BA4705" s="2"/>
      <c r="BB4705" s="2"/>
    </row>
    <row r="4706" ht="204.75" customHeight="1">
      <c r="A4706" s="1">
        <v>336.0</v>
      </c>
      <c r="B4706" s="2" t="s">
        <v>13265</v>
      </c>
      <c r="C4706" s="2">
        <f>IFERROR(__xludf.DUMMYFUNCTION("split(B4706,""_"")"),1904.0)</f>
        <v>1904</v>
      </c>
      <c r="D4706" s="2" t="str">
        <f>IFERROR(__xludf.DUMMYFUNCTION("""COMPUTED_VALUE"""),"TBS")</f>
        <v>TBS</v>
      </c>
      <c r="E4706" s="2" t="str">
        <f>IFERROR(__xludf.DUMMYFUNCTION("""COMPUTED_VALUE"""),"日21")</f>
        <v>日21</v>
      </c>
      <c r="F4706" s="2" t="s">
        <v>13266</v>
      </c>
      <c r="G4706" s="2" t="s">
        <v>13276</v>
      </c>
      <c r="H4706" s="1">
        <v>5.0</v>
      </c>
      <c r="J4706" s="1" t="s">
        <v>11</v>
      </c>
      <c r="K4706" s="2" t="s">
        <v>13277</v>
      </c>
      <c r="L4706" s="2"/>
      <c r="M4706" s="2" t="str">
        <f>IFERROR(__xludf.DUMMYFUNCTION("split(split(K4706,""【"",false),""公式LINE"",false)"),"廃店決定まであと二か月。三嶋から自社ビルの相談を受けて一気にノルマ達成が見えてきた蒲田支店。しかし、本部はまたしても攻撃を仕掛けてくる。蒲田支店VS銀行本部、支店を守る為、仲間を守る為戦う片岡、銀行の大義の為リストラを続ける本部。いよいよ最終決戦に突入する!  ")</f>
        <v>廃店決定まであと二か月。三嶋から自社ビルの相談を受けて一気にノルマ達成が見えてきた蒲田支店。しかし、本部はまたしても攻撃を仕掛けてくる。蒲田支店VS銀行本部、支店を守る為、仲間を守る為戦う片岡、銀行の大義の為リストラを続ける本部。いよいよ最終決戦に突入する!  </v>
      </c>
      <c r="N4706" s="2"/>
      <c r="O4706" s="2"/>
      <c r="P4706" s="2"/>
      <c r="Q4706" s="2"/>
      <c r="R4706" s="2"/>
      <c r="S4706" s="2"/>
      <c r="T4706" s="2"/>
      <c r="U4706" s="2"/>
      <c r="V4706" s="2"/>
      <c r="W4706" s="2"/>
      <c r="X4706" s="2"/>
      <c r="Y4706" s="2"/>
      <c r="Z4706" s="2"/>
      <c r="AA4706" s="2"/>
      <c r="AB4706" s="2"/>
      <c r="AC4706" s="2"/>
      <c r="AD4706" s="2"/>
      <c r="AE4706" s="2"/>
      <c r="AF4706" s="2"/>
      <c r="AG4706" s="2"/>
      <c r="AH4706" s="2"/>
      <c r="AI4706" s="2"/>
      <c r="AJ4706" s="2"/>
      <c r="AK4706" s="2"/>
      <c r="AL4706" s="2"/>
      <c r="AM4706" s="2"/>
      <c r="AN4706" s="2"/>
      <c r="AO4706" s="2"/>
      <c r="AP4706" s="2"/>
      <c r="AQ4706" s="2"/>
      <c r="AR4706" s="2"/>
      <c r="AS4706" s="2"/>
      <c r="AT4706" s="2"/>
      <c r="AU4706" s="2"/>
      <c r="AV4706" s="2"/>
      <c r="AW4706" s="2"/>
      <c r="AX4706" s="2"/>
      <c r="AY4706" s="2"/>
      <c r="AZ4706" s="2"/>
      <c r="BA4706" s="2"/>
      <c r="BB4706" s="2"/>
    </row>
    <row r="4707" ht="204.75" customHeight="1">
      <c r="A4707" s="1">
        <v>337.0</v>
      </c>
      <c r="B4707" s="2" t="s">
        <v>13265</v>
      </c>
      <c r="C4707" s="2">
        <f>IFERROR(__xludf.DUMMYFUNCTION("split(B4707,""_"")"),1904.0)</f>
        <v>1904</v>
      </c>
      <c r="D4707" s="2" t="str">
        <f>IFERROR(__xludf.DUMMYFUNCTION("""COMPUTED_VALUE"""),"TBS")</f>
        <v>TBS</v>
      </c>
      <c r="E4707" s="2" t="str">
        <f>IFERROR(__xludf.DUMMYFUNCTION("""COMPUTED_VALUE"""),"日21")</f>
        <v>日21</v>
      </c>
      <c r="F4707" s="2" t="s">
        <v>13266</v>
      </c>
      <c r="G4707" s="2" t="s">
        <v>13278</v>
      </c>
      <c r="H4707" s="1">
        <v>6.0</v>
      </c>
      <c r="J4707" s="1" t="s">
        <v>11</v>
      </c>
      <c r="K4707" s="2" t="s">
        <v>13279</v>
      </c>
      <c r="L4707" s="2"/>
      <c r="M4707" s="2" t="str">
        <f>IFERROR(__xludf.DUMMYFUNCTION("split(split(K4707,""【"",false),""公式LINE"",false)"),"蒲田支店廃店決定まで残り一か月を切った。最後まで死力を尽くす蒲田支店の行員たち。果たして奇跡は起きるのか!?働くことの尊さ、会社員としてのプライド、仲間との絆、守らなければならない信念、それぞれの想いを胸に蒲田支店メンバーは未来を信じ続ける。そして、運命の結末を迎える・・・")</f>
        <v>蒲田支店廃店決定まで残り一か月を切った。最後まで死力を尽くす蒲田支店の行員たち。果たして奇跡は起きるのか!?働くことの尊さ、会社員としてのプライド、仲間との絆、守らなければならない信念、それぞれの想いを胸に蒲田支店メンバーは未来を信じ続ける。そして、運命の結末を迎える・・・</v>
      </c>
      <c r="N4707" s="2"/>
      <c r="O4707" s="2"/>
      <c r="P4707" s="2"/>
      <c r="Q4707" s="2"/>
      <c r="R4707" s="2"/>
      <c r="S4707" s="2"/>
      <c r="T4707" s="2"/>
      <c r="U4707" s="2"/>
      <c r="V4707" s="2"/>
      <c r="W4707" s="2"/>
      <c r="X4707" s="2"/>
      <c r="Y4707" s="2"/>
      <c r="Z4707" s="2"/>
      <c r="AA4707" s="2"/>
      <c r="AB4707" s="2"/>
      <c r="AC4707" s="2"/>
      <c r="AD4707" s="2"/>
      <c r="AE4707" s="2"/>
      <c r="AF4707" s="2"/>
      <c r="AG4707" s="2"/>
      <c r="AH4707" s="2"/>
      <c r="AI4707" s="2"/>
      <c r="AJ4707" s="2"/>
      <c r="AK4707" s="2"/>
      <c r="AL4707" s="2"/>
      <c r="AM4707" s="2"/>
      <c r="AN4707" s="2"/>
      <c r="AO4707" s="2"/>
      <c r="AP4707" s="2"/>
      <c r="AQ4707" s="2"/>
      <c r="AR4707" s="2"/>
      <c r="AS4707" s="2"/>
      <c r="AT4707" s="2"/>
      <c r="AU4707" s="2"/>
      <c r="AV4707" s="2"/>
      <c r="AW4707" s="2"/>
      <c r="AX4707" s="2"/>
      <c r="AY4707" s="2"/>
      <c r="AZ4707" s="2"/>
      <c r="BA4707" s="2"/>
      <c r="BB4707" s="2"/>
    </row>
    <row r="4708" ht="204.75" customHeight="1">
      <c r="A4708" s="1">
        <v>338.0</v>
      </c>
      <c r="B4708" s="2" t="s">
        <v>13265</v>
      </c>
      <c r="C4708" s="2">
        <f>IFERROR(__xludf.DUMMYFUNCTION("split(B4708,""_"")"),1904.0)</f>
        <v>1904</v>
      </c>
      <c r="D4708" s="2" t="str">
        <f>IFERROR(__xludf.DUMMYFUNCTION("""COMPUTED_VALUE"""),"TBS")</f>
        <v>TBS</v>
      </c>
      <c r="E4708" s="2" t="str">
        <f>IFERROR(__xludf.DUMMYFUNCTION("""COMPUTED_VALUE"""),"日21")</f>
        <v>日21</v>
      </c>
      <c r="F4708" s="2" t="s">
        <v>13266</v>
      </c>
      <c r="G4708" s="2" t="s">
        <v>13280</v>
      </c>
      <c r="H4708" s="1">
        <v>7.0</v>
      </c>
      <c r="J4708" s="1" t="s">
        <v>11</v>
      </c>
      <c r="K4708" s="2" t="s">
        <v>13281</v>
      </c>
      <c r="L4708" s="2"/>
      <c r="M4708" s="2" t="str">
        <f>IFERROR(__xludf.DUMMYFUNCTION("split(split(K4708,""【"",false),""公式LINE"",false)"),"三友銀行融資部に異動になった片岡(福山雅治)。横山のさらなるリストラ計画を目の当たりにする。そんな中、融資先のCEOが逮捕され、三友の経営が揺るがされる事態に。そこへ提案される副社長(筒井道隆)を解任し、父親である会長(本田博太郎)が返り咲くという横山のからの秘策!?しかしその秘策に懐疑的な片岡・・・銀行員としてのプライドVS巨大組織の大義!!!")</f>
        <v>三友銀行融資部に異動になった片岡(福山雅治)。横山のさらなるリストラ計画を目の当たりにする。そんな中、融資先のCEOが逮捕され、三友の経営が揺るがされる事態に。そこへ提案される副社長(筒井道隆)を解任し、父親である会長(本田博太郎)が返り咲くという横山のからの秘策!?しかしその秘策に懐疑的な片岡・・・銀行員としてのプライドVS巨大組織の大義!!!</v>
      </c>
      <c r="N4708" s="2"/>
      <c r="O4708" s="2"/>
      <c r="P4708" s="2"/>
      <c r="Q4708" s="2"/>
      <c r="R4708" s="2"/>
      <c r="S4708" s="2"/>
      <c r="T4708" s="2"/>
      <c r="U4708" s="2"/>
      <c r="V4708" s="2"/>
      <c r="W4708" s="2"/>
      <c r="X4708" s="2"/>
      <c r="Y4708" s="2"/>
      <c r="Z4708" s="2"/>
      <c r="AA4708" s="2"/>
      <c r="AB4708" s="2"/>
      <c r="AC4708" s="2"/>
      <c r="AD4708" s="2"/>
      <c r="AE4708" s="2"/>
      <c r="AF4708" s="2"/>
      <c r="AG4708" s="2"/>
      <c r="AH4708" s="2"/>
      <c r="AI4708" s="2"/>
      <c r="AJ4708" s="2"/>
      <c r="AK4708" s="2"/>
      <c r="AL4708" s="2"/>
      <c r="AM4708" s="2"/>
      <c r="AN4708" s="2"/>
      <c r="AO4708" s="2"/>
      <c r="AP4708" s="2"/>
      <c r="AQ4708" s="2"/>
      <c r="AR4708" s="2"/>
      <c r="AS4708" s="2"/>
      <c r="AT4708" s="2"/>
      <c r="AU4708" s="2"/>
      <c r="AV4708" s="2"/>
      <c r="AW4708" s="2"/>
      <c r="AX4708" s="2"/>
      <c r="AY4708" s="2"/>
      <c r="AZ4708" s="2"/>
      <c r="BA4708" s="2"/>
      <c r="BB4708" s="2"/>
    </row>
    <row r="4709" ht="204.75" customHeight="1">
      <c r="A4709" s="1">
        <v>339.0</v>
      </c>
      <c r="B4709" s="2" t="s">
        <v>13265</v>
      </c>
      <c r="C4709" s="2">
        <f>IFERROR(__xludf.DUMMYFUNCTION("split(B4709,""_"")"),1904.0)</f>
        <v>1904</v>
      </c>
      <c r="D4709" s="2" t="str">
        <f>IFERROR(__xludf.DUMMYFUNCTION("""COMPUTED_VALUE"""),"TBS")</f>
        <v>TBS</v>
      </c>
      <c r="E4709" s="2" t="str">
        <f>IFERROR(__xludf.DUMMYFUNCTION("""COMPUTED_VALUE"""),"日21")</f>
        <v>日21</v>
      </c>
      <c r="F4709" s="2" t="s">
        <v>13266</v>
      </c>
      <c r="G4709" s="2" t="s">
        <v>13282</v>
      </c>
      <c r="H4709" s="1">
        <v>8.0</v>
      </c>
      <c r="J4709" s="1" t="s">
        <v>11</v>
      </c>
      <c r="K4709" s="16" t="s">
        <v>13283</v>
      </c>
      <c r="L4709" s="16"/>
      <c r="M4709" s="2" t="str">
        <f>IFERROR(__xludf.DUMMYFUNCTION("split(split(K4709,""【"",false),""公式LINE"",false)"),"横山専務が守っているものが、日本橋支店だとにらんだ片岡と真山。その日本橋の融資案件である不動産会社の不正が発覚する。その不正に隠された上層部の裏金疑惑が持ち上がる。確たる証拠をつかむため、突き進む片岡達。しかし、その結末は予想だにしない最後となる・・・")</f>
        <v>横山専務が守っているものが、日本橋支店だとにらんだ片岡と真山。その日本橋の融資案件である不動産会社の不正が発覚する。その不正に隠された上層部の裏金疑惑が持ち上がる。確たる証拠をつかむため、突き進む片岡達。しかし、その結末は予想だにしない最後となる・・・</v>
      </c>
      <c r="N4709" s="16"/>
      <c r="O4709" s="16"/>
      <c r="P4709" s="16"/>
      <c r="Q4709" s="16"/>
      <c r="R4709" s="16"/>
      <c r="S4709" s="16"/>
      <c r="T4709" s="16"/>
      <c r="U4709" s="16"/>
      <c r="V4709" s="16"/>
      <c r="W4709" s="16"/>
      <c r="X4709" s="16"/>
      <c r="Y4709" s="16"/>
      <c r="Z4709" s="16"/>
      <c r="AA4709" s="16"/>
      <c r="AB4709" s="16"/>
      <c r="AC4709" s="16"/>
      <c r="AD4709" s="16"/>
      <c r="AE4709" s="16"/>
      <c r="AF4709" s="16"/>
      <c r="AG4709" s="16"/>
      <c r="AH4709" s="16"/>
      <c r="AI4709" s="16"/>
      <c r="AJ4709" s="16"/>
      <c r="AK4709" s="16"/>
      <c r="AL4709" s="16"/>
      <c r="AM4709" s="16"/>
      <c r="AN4709" s="16"/>
      <c r="AO4709" s="16"/>
      <c r="AP4709" s="16"/>
      <c r="AQ4709" s="16"/>
      <c r="AR4709" s="16"/>
      <c r="AS4709" s="16"/>
      <c r="AT4709" s="16"/>
      <c r="AU4709" s="16"/>
      <c r="AV4709" s="16"/>
      <c r="AW4709" s="16"/>
      <c r="AX4709" s="16"/>
      <c r="AY4709" s="16"/>
      <c r="AZ4709" s="16"/>
      <c r="BA4709" s="16"/>
      <c r="BB4709" s="16"/>
    </row>
    <row r="4710" ht="204.75" customHeight="1">
      <c r="A4710" s="1">
        <v>340.0</v>
      </c>
      <c r="B4710" s="2" t="s">
        <v>13265</v>
      </c>
      <c r="C4710" s="2">
        <f>IFERROR(__xludf.DUMMYFUNCTION("split(B4710,""_"")"),1904.0)</f>
        <v>1904</v>
      </c>
      <c r="D4710" s="2" t="str">
        <f>IFERROR(__xludf.DUMMYFUNCTION("""COMPUTED_VALUE"""),"TBS")</f>
        <v>TBS</v>
      </c>
      <c r="E4710" s="2" t="str">
        <f>IFERROR(__xludf.DUMMYFUNCTION("""COMPUTED_VALUE"""),"日21")</f>
        <v>日21</v>
      </c>
      <c r="F4710" s="2" t="s">
        <v>13266</v>
      </c>
      <c r="G4710" s="2" t="s">
        <v>13284</v>
      </c>
      <c r="H4710" s="1">
        <v>9.0</v>
      </c>
      <c r="J4710" s="1" t="s">
        <v>11</v>
      </c>
      <c r="K4710" s="2" t="s">
        <v>13285</v>
      </c>
      <c r="L4710" s="2"/>
      <c r="M4710" s="2" t="str">
        <f>IFERROR(__xludf.DUMMYFUNCTION("split(split(K4710,""【"",false),""公式LINE"",false)"),"横山専務の不正をかばったのは藤田頭取だった。目的は一体何?そして、さらに加速するリストラ計画。巨大組織の歪んだ正義に翻弄される片岡と真山は、別の証拠を探し始める。そんな中、「不正をした人間に決められる運命」に憤りを感じる滝川ら元蒲田支店のメンバーが立ち上がる。協力して不正の証拠を探す片岡たちは、横山の金の流れをつかむ。今度こそ横山を追い詰められるのか!?  ")</f>
        <v>横山専務の不正をかばったのは藤田頭取だった。目的は一体何?そして、さらに加速するリストラ計画。巨大組織の歪んだ正義に翻弄される片岡と真山は、別の証拠を探し始める。そんな中、「不正をした人間に決められる運命」に憤りを感じる滝川ら元蒲田支店のメンバーが立ち上がる。協力して不正の証拠を探す片岡たちは、横山の金の流れをつかむ。今度こそ横山を追い詰められるのか!?  </v>
      </c>
      <c r="N4710" s="2"/>
      <c r="O4710" s="2"/>
      <c r="P4710" s="2"/>
      <c r="Q4710" s="2"/>
      <c r="R4710" s="2"/>
      <c r="S4710" s="2"/>
      <c r="T4710" s="2"/>
      <c r="U4710" s="2"/>
      <c r="V4710" s="2"/>
      <c r="W4710" s="2"/>
      <c r="X4710" s="2"/>
      <c r="Y4710" s="2"/>
      <c r="Z4710" s="2"/>
      <c r="AA4710" s="2"/>
      <c r="AB4710" s="2"/>
      <c r="AC4710" s="2"/>
      <c r="AD4710" s="2"/>
      <c r="AE4710" s="2"/>
      <c r="AF4710" s="2"/>
      <c r="AG4710" s="2"/>
      <c r="AH4710" s="2"/>
      <c r="AI4710" s="2"/>
      <c r="AJ4710" s="2"/>
      <c r="AK4710" s="2"/>
      <c r="AL4710" s="2"/>
      <c r="AM4710" s="2"/>
      <c r="AN4710" s="2"/>
      <c r="AO4710" s="2"/>
      <c r="AP4710" s="2"/>
      <c r="AQ4710" s="2"/>
      <c r="AR4710" s="2"/>
      <c r="AS4710" s="2"/>
      <c r="AT4710" s="2"/>
      <c r="AU4710" s="2"/>
      <c r="AV4710" s="2"/>
      <c r="AW4710" s="2"/>
      <c r="AX4710" s="2"/>
      <c r="AY4710" s="2"/>
      <c r="AZ4710" s="2"/>
      <c r="BA4710" s="2"/>
      <c r="BB4710" s="2"/>
    </row>
    <row r="4711" ht="204.75" customHeight="1">
      <c r="A4711" s="1">
        <v>341.0</v>
      </c>
      <c r="B4711" s="2" t="s">
        <v>13265</v>
      </c>
      <c r="C4711" s="2">
        <f>IFERROR(__xludf.DUMMYFUNCTION("split(B4711,""_"")"),1904.0)</f>
        <v>1904</v>
      </c>
      <c r="D4711" s="2" t="str">
        <f>IFERROR(__xludf.DUMMYFUNCTION("""COMPUTED_VALUE"""),"TBS")</f>
        <v>TBS</v>
      </c>
      <c r="E4711" s="2" t="str">
        <f>IFERROR(__xludf.DUMMYFUNCTION("""COMPUTED_VALUE"""),"日21")</f>
        <v>日21</v>
      </c>
      <c r="F4711" s="2" t="s">
        <v>13266</v>
      </c>
      <c r="G4711" s="2" t="s">
        <v>13286</v>
      </c>
      <c r="H4711" s="1">
        <v>10.0</v>
      </c>
      <c r="J4711" s="1" t="s">
        <v>11</v>
      </c>
      <c r="K4711" s="16" t="s">
        <v>13287</v>
      </c>
      <c r="L4711" s="16"/>
      <c r="M4711" s="2" t="str">
        <f>IFERROR(__xludf.DUMMYFUNCTION("split(split(K4711,""【"",false),""公式LINE"",false)"),"遂に副頭取にまで上り詰めた横山に最後の勝負を挑む片岡。同期の梅原の想いを胸に、横山を追い詰める。しかし、仲間たちが次々と出向に・・・自分がやっていることは本当に正しいことなのか、葛藤する片岡。そして、運命の結末を迎える・・・")</f>
        <v>遂に副頭取にまで上り詰めた横山に最後の勝負を挑む片岡。同期の梅原の想いを胸に、横山を追い詰める。しかし、仲間たちが次々と出向に・・・自分がやっていることは本当に正しいことなのか、葛藤する片岡。そして、運命の結末を迎える・・・</v>
      </c>
      <c r="N4711" s="16"/>
      <c r="O4711" s="16"/>
      <c r="P4711" s="16"/>
      <c r="Q4711" s="16"/>
      <c r="R4711" s="16"/>
      <c r="S4711" s="16"/>
      <c r="T4711" s="16"/>
      <c r="U4711" s="16"/>
      <c r="V4711" s="16"/>
      <c r="W4711" s="16"/>
      <c r="X4711" s="16"/>
      <c r="Y4711" s="16"/>
      <c r="Z4711" s="16"/>
      <c r="AA4711" s="16"/>
      <c r="AB4711" s="16"/>
      <c r="AC4711" s="16"/>
      <c r="AD4711" s="16"/>
      <c r="AE4711" s="16"/>
      <c r="AF4711" s="16"/>
      <c r="AG4711" s="16"/>
      <c r="AH4711" s="16"/>
      <c r="AI4711" s="16"/>
      <c r="AJ4711" s="16"/>
      <c r="AK4711" s="16"/>
      <c r="AL4711" s="16"/>
      <c r="AM4711" s="16"/>
      <c r="AN4711" s="16"/>
      <c r="AO4711" s="16"/>
      <c r="AP4711" s="16"/>
      <c r="AQ4711" s="16"/>
      <c r="AR4711" s="16"/>
      <c r="AS4711" s="16"/>
      <c r="AT4711" s="16"/>
      <c r="AU4711" s="16"/>
      <c r="AV4711" s="16"/>
      <c r="AW4711" s="16"/>
      <c r="AX4711" s="16"/>
      <c r="AY4711" s="16"/>
      <c r="AZ4711" s="16"/>
      <c r="BA4711" s="16"/>
      <c r="BB4711" s="16"/>
    </row>
    <row r="4712" ht="204.75" customHeight="1">
      <c r="A4712" s="1">
        <v>374.0</v>
      </c>
      <c r="B4712" s="2" t="s">
        <v>13288</v>
      </c>
      <c r="C4712" s="2">
        <f>IFERROR(__xludf.DUMMYFUNCTION("split(B4712,""_"")"),1901.0)</f>
        <v>1901</v>
      </c>
      <c r="D4712" s="2" t="str">
        <f>IFERROR(__xludf.DUMMYFUNCTION("""COMPUTED_VALUE"""),"TBS")</f>
        <v>TBS</v>
      </c>
      <c r="E4712" s="2" t="str">
        <f>IFERROR(__xludf.DUMMYFUNCTION("""COMPUTED_VALUE"""),"火22")</f>
        <v>火22</v>
      </c>
      <c r="F4712" s="2" t="s">
        <v>13289</v>
      </c>
      <c r="G4712" s="2" t="s">
        <v>13290</v>
      </c>
      <c r="H4712" s="1">
        <v>1.0</v>
      </c>
      <c r="J4712" s="1" t="s">
        <v>82</v>
      </c>
      <c r="K4712" s="2" t="s">
        <v>13291</v>
      </c>
      <c r="L4712" s="2"/>
      <c r="M4712" s="2" t="str">
        <f>IFERROR(__xludf.DUMMYFUNCTION("split(split(K4712,""【"",false),""公式LINE"",false)"),"恋も受験も就職も失敗した32歳のアラサー女子・春見順子(深田恭子)は、やる気も希望も何もなく三流予備校「山王ゼミナール」の塾講師。そんな無為な日々を送っている順子の元に、ひょんなことから知り合ったピンク髪のイケメン不良高校生・由利匡平(横浜流星)が「俺を東大にいれてくんない?」と山王ゼミナールにやってきてーー?!  ")</f>
        <v>恋も受験も就職も失敗した32歳のアラサー女子・春見順子(深田恭子)は、やる気も希望も何もなく三流予備校「山王ゼミナール」の塾講師。そんな無為な日々を送っている順子の元に、ひょんなことから知り合ったピンク髪のイケメン不良高校生・由利匡平(横浜流星)が「俺を東大にいれてくんない?」と山王ゼミナールにやってきてーー?!  </v>
      </c>
      <c r="N4712" s="2"/>
      <c r="O4712" s="2"/>
      <c r="P4712" s="2"/>
      <c r="Q4712" s="2"/>
      <c r="R4712" s="2"/>
      <c r="S4712" s="2"/>
      <c r="T4712" s="2"/>
      <c r="U4712" s="2"/>
      <c r="V4712" s="2"/>
      <c r="W4712" s="2"/>
      <c r="X4712" s="2"/>
      <c r="Y4712" s="2"/>
      <c r="Z4712" s="2"/>
      <c r="AA4712" s="2"/>
      <c r="AB4712" s="2"/>
      <c r="AC4712" s="2"/>
      <c r="AD4712" s="2"/>
      <c r="AE4712" s="2"/>
      <c r="AF4712" s="2"/>
      <c r="AG4712" s="2"/>
      <c r="AH4712" s="2"/>
      <c r="AI4712" s="2"/>
      <c r="AJ4712" s="2"/>
      <c r="AK4712" s="2"/>
      <c r="AL4712" s="2"/>
      <c r="AM4712" s="2"/>
      <c r="AN4712" s="2"/>
      <c r="AO4712" s="2"/>
      <c r="AP4712" s="2"/>
      <c r="AQ4712" s="2"/>
      <c r="AR4712" s="2"/>
      <c r="AS4712" s="2"/>
      <c r="AT4712" s="2"/>
      <c r="AU4712" s="2"/>
      <c r="AV4712" s="2"/>
      <c r="AW4712" s="2"/>
      <c r="AX4712" s="2"/>
      <c r="AY4712" s="2"/>
      <c r="AZ4712" s="2"/>
      <c r="BA4712" s="2"/>
      <c r="BB4712" s="2"/>
    </row>
    <row r="4713" ht="204.75" customHeight="1">
      <c r="A4713" s="1">
        <v>375.0</v>
      </c>
      <c r="B4713" s="2" t="s">
        <v>13288</v>
      </c>
      <c r="C4713" s="2">
        <f>IFERROR(__xludf.DUMMYFUNCTION("split(B4713,""_"")"),1901.0)</f>
        <v>1901</v>
      </c>
      <c r="D4713" s="2" t="str">
        <f>IFERROR(__xludf.DUMMYFUNCTION("""COMPUTED_VALUE"""),"TBS")</f>
        <v>TBS</v>
      </c>
      <c r="E4713" s="2" t="str">
        <f>IFERROR(__xludf.DUMMYFUNCTION("""COMPUTED_VALUE"""),"火22")</f>
        <v>火22</v>
      </c>
      <c r="F4713" s="2" t="s">
        <v>13289</v>
      </c>
      <c r="G4713" s="2" t="s">
        <v>13292</v>
      </c>
      <c r="H4713" s="1">
        <v>2.0</v>
      </c>
      <c r="J4713" s="1" t="s">
        <v>82</v>
      </c>
      <c r="K4713" s="2" t="s">
        <v>13293</v>
      </c>
      <c r="L4713" s="2"/>
      <c r="M4713" s="2" t="str">
        <f>IFERROR(__xludf.DUMMYFUNCTION("split(split(K4713,""【"",false),""公式LINE"",false)"),"偶然出会ったピンク髪の不良高校生・由利匡平(横浜流星)と最底辺からの東大受験を目指すこととなった春見順子(深田恭子)は三流予備校・山王ゼミナールに勤務するダメ塾講師。ある日、順子が山王ゼミナールが生徒獲得の目的で行っている出張授業に向かった匡平の通うおバカ高校・南高校で出会った匡平の担任は、かつて順子に唯一告白をした男性・山下一真(中村倫也)だった。運命とも言える再会がさらに波乱を呼ぶ展開に…")</f>
        <v>偶然出会ったピンク髪の不良高校生・由利匡平(横浜流星)と最底辺からの東大受験を目指すこととなった春見順子(深田恭子)は三流予備校・山王ゼミナールに勤務するダメ塾講師。ある日、順子が山王ゼミナールが生徒獲得の目的で行っている出張授業に向かった匡平の通うおバカ高校・南高校で出会った匡平の担任は、かつて順子に唯一告白をした男性・山下一真(中村倫也)だった。運命とも言える再会がさらに波乱を呼ぶ展開に…</v>
      </c>
      <c r="N4713" s="2"/>
      <c r="O4713" s="2"/>
      <c r="P4713" s="2"/>
      <c r="Q4713" s="2"/>
      <c r="R4713" s="2"/>
      <c r="S4713" s="2"/>
      <c r="T4713" s="2"/>
      <c r="U4713" s="2"/>
      <c r="V4713" s="2"/>
      <c r="W4713" s="2"/>
      <c r="X4713" s="2"/>
      <c r="Y4713" s="2"/>
      <c r="Z4713" s="2"/>
      <c r="AA4713" s="2"/>
      <c r="AB4713" s="2"/>
      <c r="AC4713" s="2"/>
      <c r="AD4713" s="2"/>
      <c r="AE4713" s="2"/>
      <c r="AF4713" s="2"/>
      <c r="AG4713" s="2"/>
      <c r="AH4713" s="2"/>
      <c r="AI4713" s="2"/>
      <c r="AJ4713" s="2"/>
      <c r="AK4713" s="2"/>
      <c r="AL4713" s="2"/>
      <c r="AM4713" s="2"/>
      <c r="AN4713" s="2"/>
      <c r="AO4713" s="2"/>
      <c r="AP4713" s="2"/>
      <c r="AQ4713" s="2"/>
      <c r="AR4713" s="2"/>
      <c r="AS4713" s="2"/>
      <c r="AT4713" s="2"/>
      <c r="AU4713" s="2"/>
      <c r="AV4713" s="2"/>
      <c r="AW4713" s="2"/>
      <c r="AX4713" s="2"/>
      <c r="AY4713" s="2"/>
      <c r="AZ4713" s="2"/>
      <c r="BA4713" s="2"/>
      <c r="BB4713" s="2"/>
    </row>
    <row r="4714" ht="204.75" customHeight="1">
      <c r="A4714" s="1">
        <v>376.0</v>
      </c>
      <c r="B4714" s="2" t="s">
        <v>13288</v>
      </c>
      <c r="C4714" s="2">
        <f>IFERROR(__xludf.DUMMYFUNCTION("split(B4714,""_"")"),1901.0)</f>
        <v>1901</v>
      </c>
      <c r="D4714" s="2" t="str">
        <f>IFERROR(__xludf.DUMMYFUNCTION("""COMPUTED_VALUE"""),"TBS")</f>
        <v>TBS</v>
      </c>
      <c r="E4714" s="2" t="str">
        <f>IFERROR(__xludf.DUMMYFUNCTION("""COMPUTED_VALUE"""),"火22")</f>
        <v>火22</v>
      </c>
      <c r="F4714" s="2" t="s">
        <v>13289</v>
      </c>
      <c r="G4714" s="2" t="s">
        <v>13294</v>
      </c>
      <c r="H4714" s="1">
        <v>3.0</v>
      </c>
      <c r="J4714" s="1" t="s">
        <v>82</v>
      </c>
      <c r="K4714" s="2" t="s">
        <v>13295</v>
      </c>
      <c r="L4714" s="2"/>
      <c r="M4714" s="2" t="str">
        <f>IFERROR(__xludf.DUMMYFUNCTION("split(split(K4714,""【"",false),""公式LINE"",false)"),"ピンク髪の不良高校生・由利匡平(横浜流星)と東大受験を目指すこととなった春見順子(深田恭子)は三流予備校に勤務するダメ塾講師。東大受験への勉強も本格的に始まった。順子に対して恋心が芽生えた匡平は順子が子供相手してくることにいら立ちを隠せない。一方、長年順子に片想いをしているエリート商社マンの八雲雅志(永山絢斗)はやっとの思いで順子とデートの約束を取り付けたが、仕事上に大きなトラブルが起きてしまう…")</f>
        <v>ピンク髪の不良高校生・由利匡平(横浜流星)と東大受験を目指すこととなった春見順子(深田恭子)は三流予備校に勤務するダメ塾講師。東大受験への勉強も本格的に始まった。順子に対して恋心が芽生えた匡平は順子が子供相手してくることにいら立ちを隠せない。一方、長年順子に片想いをしているエリート商社マンの八雲雅志(永山絢斗)はやっとの思いで順子とデートの約束を取り付けたが、仕事上に大きなトラブルが起きてしまう…</v>
      </c>
      <c r="N4714" s="2"/>
      <c r="O4714" s="2"/>
      <c r="P4714" s="2"/>
      <c r="Q4714" s="2"/>
      <c r="R4714" s="2"/>
      <c r="S4714" s="2"/>
      <c r="T4714" s="2"/>
      <c r="U4714" s="2"/>
      <c r="V4714" s="2"/>
      <c r="W4714" s="2"/>
      <c r="X4714" s="2"/>
      <c r="Y4714" s="2"/>
      <c r="Z4714" s="2"/>
      <c r="AA4714" s="2"/>
      <c r="AB4714" s="2"/>
      <c r="AC4714" s="2"/>
      <c r="AD4714" s="2"/>
      <c r="AE4714" s="2"/>
      <c r="AF4714" s="2"/>
      <c r="AG4714" s="2"/>
      <c r="AH4714" s="2"/>
      <c r="AI4714" s="2"/>
      <c r="AJ4714" s="2"/>
      <c r="AK4714" s="2"/>
      <c r="AL4714" s="2"/>
      <c r="AM4714" s="2"/>
      <c r="AN4714" s="2"/>
      <c r="AO4714" s="2"/>
      <c r="AP4714" s="2"/>
      <c r="AQ4714" s="2"/>
      <c r="AR4714" s="2"/>
      <c r="AS4714" s="2"/>
      <c r="AT4714" s="2"/>
      <c r="AU4714" s="2"/>
      <c r="AV4714" s="2"/>
      <c r="AW4714" s="2"/>
      <c r="AX4714" s="2"/>
      <c r="AY4714" s="2"/>
      <c r="AZ4714" s="2"/>
      <c r="BA4714" s="2"/>
      <c r="BB4714" s="2"/>
    </row>
    <row r="4715" ht="204.75" customHeight="1">
      <c r="A4715" s="1">
        <v>377.0</v>
      </c>
      <c r="B4715" s="2" t="s">
        <v>13288</v>
      </c>
      <c r="C4715" s="2">
        <f>IFERROR(__xludf.DUMMYFUNCTION("split(B4715,""_"")"),1901.0)</f>
        <v>1901</v>
      </c>
      <c r="D4715" s="2" t="str">
        <f>IFERROR(__xludf.DUMMYFUNCTION("""COMPUTED_VALUE"""),"TBS")</f>
        <v>TBS</v>
      </c>
      <c r="E4715" s="2" t="str">
        <f>IFERROR(__xludf.DUMMYFUNCTION("""COMPUTED_VALUE"""),"火22")</f>
        <v>火22</v>
      </c>
      <c r="F4715" s="2" t="s">
        <v>13289</v>
      </c>
      <c r="G4715" s="2" t="s">
        <v>13296</v>
      </c>
      <c r="H4715" s="1">
        <v>4.0</v>
      </c>
      <c r="J4715" s="1" t="s">
        <v>82</v>
      </c>
      <c r="K4715" s="2" t="s">
        <v>13297</v>
      </c>
      <c r="L4715" s="2"/>
      <c r="M4715" s="2" t="str">
        <f>IFERROR(__xludf.DUMMYFUNCTION("split(split(K4715,""【"",false),""公式LINE"",false)"),"ピンク髪の不良高校生・由利匡平(横浜流星)と東大受験を目指すこととなった春見順子(深田恭子)は三流予備校・山王ゼミナールに勤務するダメ塾講師。GWとなり東大合格へ向けた強化合宿が始まる。合宿先の山小屋で順子と二人きりになった匡平は思い切った行動を取るのだが…。泊りがけの合宿の様子が気になって仕方がない順子のいとこの八雲雅志(永山絢斗)も合宿先に合流して…。")</f>
        <v>ピンク髪の不良高校生・由利匡平(横浜流星)と東大受験を目指すこととなった春見順子(深田恭子)は三流予備校・山王ゼミナールに勤務するダメ塾講師。GWとなり東大合格へ向けた強化合宿が始まる。合宿先の山小屋で順子と二人きりになった匡平は思い切った行動を取るのだが…。泊りがけの合宿の様子が気になって仕方がない順子のいとこの八雲雅志(永山絢斗)も合宿先に合流して…。</v>
      </c>
      <c r="N4715" s="2"/>
      <c r="O4715" s="2"/>
      <c r="P4715" s="2"/>
      <c r="Q4715" s="2"/>
      <c r="R4715" s="2"/>
      <c r="S4715" s="2"/>
      <c r="T4715" s="2"/>
      <c r="U4715" s="2"/>
      <c r="V4715" s="2"/>
      <c r="W4715" s="2"/>
      <c r="X4715" s="2"/>
      <c r="Y4715" s="2"/>
      <c r="Z4715" s="2"/>
      <c r="AA4715" s="2"/>
      <c r="AB4715" s="2"/>
      <c r="AC4715" s="2"/>
      <c r="AD4715" s="2"/>
      <c r="AE4715" s="2"/>
      <c r="AF4715" s="2"/>
      <c r="AG4715" s="2"/>
      <c r="AH4715" s="2"/>
      <c r="AI4715" s="2"/>
      <c r="AJ4715" s="2"/>
      <c r="AK4715" s="2"/>
      <c r="AL4715" s="2"/>
      <c r="AM4715" s="2"/>
      <c r="AN4715" s="2"/>
      <c r="AO4715" s="2"/>
      <c r="AP4715" s="2"/>
      <c r="AQ4715" s="2"/>
      <c r="AR4715" s="2"/>
      <c r="AS4715" s="2"/>
      <c r="AT4715" s="2"/>
      <c r="AU4715" s="2"/>
      <c r="AV4715" s="2"/>
      <c r="AW4715" s="2"/>
      <c r="AX4715" s="2"/>
      <c r="AY4715" s="2"/>
      <c r="AZ4715" s="2"/>
      <c r="BA4715" s="2"/>
      <c r="BB4715" s="2"/>
    </row>
    <row r="4716" ht="204.75" customHeight="1">
      <c r="A4716" s="1">
        <v>378.0</v>
      </c>
      <c r="B4716" s="2" t="s">
        <v>13288</v>
      </c>
      <c r="C4716" s="2">
        <f>IFERROR(__xludf.DUMMYFUNCTION("split(B4716,""_"")"),1901.0)</f>
        <v>1901</v>
      </c>
      <c r="D4716" s="2" t="str">
        <f>IFERROR(__xludf.DUMMYFUNCTION("""COMPUTED_VALUE"""),"TBS")</f>
        <v>TBS</v>
      </c>
      <c r="E4716" s="2" t="str">
        <f>IFERROR(__xludf.DUMMYFUNCTION("""COMPUTED_VALUE"""),"火22")</f>
        <v>火22</v>
      </c>
      <c r="F4716" s="2" t="s">
        <v>13289</v>
      </c>
      <c r="G4716" s="2" t="s">
        <v>13298</v>
      </c>
      <c r="H4716" s="1">
        <v>5.0</v>
      </c>
      <c r="J4716" s="1" t="s">
        <v>82</v>
      </c>
      <c r="K4716" s="2" t="s">
        <v>13299</v>
      </c>
      <c r="L4716" s="2"/>
      <c r="M4716" s="2" t="str">
        <f>IFERROR(__xludf.DUMMYFUNCTION("split(split(K4716,""【"",false),""公式LINE"",false)"),"ピンク髪の不良高校生・由利匡平(横浜流星)と東大受験を目指すこととなった春見順子(深田恭子)は三流予備校・山王ゼミナールに勤務するダメ塾講師。インフルエンザから回復し、順子と共に模擬試験に臨む匡平。順子は自らの限界を感じ、理数教科底上げにいとこの雅志(永山絢斗)の手を借りることを思いつく。一方、匡平の担任教師・山下一真(中村倫也)は妻から預かった離婚届を提出するか悩やんでいた。")</f>
        <v>ピンク髪の不良高校生・由利匡平(横浜流星)と東大受験を目指すこととなった春見順子(深田恭子)は三流予備校・山王ゼミナールに勤務するダメ塾講師。インフルエンザから回復し、順子と共に模擬試験に臨む匡平。順子は自らの限界を感じ、理数教科底上げにいとこの雅志(永山絢斗)の手を借りることを思いつく。一方、匡平の担任教師・山下一真(中村倫也)は妻から預かった離婚届を提出するか悩やんでいた。</v>
      </c>
      <c r="N4716" s="2"/>
      <c r="O4716" s="2"/>
      <c r="P4716" s="2"/>
      <c r="Q4716" s="2"/>
      <c r="R4716" s="2"/>
      <c r="S4716" s="2"/>
      <c r="T4716" s="2"/>
      <c r="U4716" s="2"/>
      <c r="V4716" s="2"/>
      <c r="W4716" s="2"/>
      <c r="X4716" s="2"/>
      <c r="Y4716" s="2"/>
      <c r="Z4716" s="2"/>
      <c r="AA4716" s="2"/>
      <c r="AB4716" s="2"/>
      <c r="AC4716" s="2"/>
      <c r="AD4716" s="2"/>
      <c r="AE4716" s="2"/>
      <c r="AF4716" s="2"/>
      <c r="AG4716" s="2"/>
      <c r="AH4716" s="2"/>
      <c r="AI4716" s="2"/>
      <c r="AJ4716" s="2"/>
      <c r="AK4716" s="2"/>
      <c r="AL4716" s="2"/>
      <c r="AM4716" s="2"/>
      <c r="AN4716" s="2"/>
      <c r="AO4716" s="2"/>
      <c r="AP4716" s="2"/>
      <c r="AQ4716" s="2"/>
      <c r="AR4716" s="2"/>
      <c r="AS4716" s="2"/>
      <c r="AT4716" s="2"/>
      <c r="AU4716" s="2"/>
      <c r="AV4716" s="2"/>
      <c r="AW4716" s="2"/>
      <c r="AX4716" s="2"/>
      <c r="AY4716" s="2"/>
      <c r="AZ4716" s="2"/>
      <c r="BA4716" s="2"/>
      <c r="BB4716" s="2"/>
    </row>
    <row r="4717" ht="204.75" customHeight="1">
      <c r="A4717" s="1">
        <v>379.0</v>
      </c>
      <c r="B4717" s="2" t="s">
        <v>13288</v>
      </c>
      <c r="C4717" s="2">
        <f>IFERROR(__xludf.DUMMYFUNCTION("split(B4717,""_"")"),1901.0)</f>
        <v>1901</v>
      </c>
      <c r="D4717" s="2" t="str">
        <f>IFERROR(__xludf.DUMMYFUNCTION("""COMPUTED_VALUE"""),"TBS")</f>
        <v>TBS</v>
      </c>
      <c r="E4717" s="2" t="str">
        <f>IFERROR(__xludf.DUMMYFUNCTION("""COMPUTED_VALUE"""),"火22")</f>
        <v>火22</v>
      </c>
      <c r="F4717" s="2" t="s">
        <v>13289</v>
      </c>
      <c r="G4717" s="2" t="s">
        <v>13300</v>
      </c>
      <c r="H4717" s="1">
        <v>6.0</v>
      </c>
      <c r="J4717" s="1" t="s">
        <v>82</v>
      </c>
      <c r="K4717" s="2" t="s">
        <v>13301</v>
      </c>
      <c r="L4717" s="2"/>
      <c r="M4717" s="2" t="str">
        <f>IFERROR(__xludf.DUMMYFUNCTION("split(split(K4717,""【"",false),""公式LINE"",false)"),"ピンク髪の不良高校生・由利匡平(横浜流星)と東大受験を目指すこととなった春見順子(深田恭子)は三流予備校・山王ゼミナールに勤務するダメ塾講師。秋になり受験勉強も大詰め。順子は匡平の学力向上に自らの限界を感じ始める。一方、順子のいとこ・八雲雅志(永山絢斗)は自分の魅力を順子にアピールするために同窓会を企画する。そこに山下一真(中村倫也)や松岡美和(安達祐実)も合流し波乱含みの展開に…。")</f>
        <v>ピンク髪の不良高校生・由利匡平(横浜流星)と東大受験を目指すこととなった春見順子(深田恭子)は三流予備校・山王ゼミナールに勤務するダメ塾講師。秋になり受験勉強も大詰め。順子は匡平の学力向上に自らの限界を感じ始める。一方、順子のいとこ・八雲雅志(永山絢斗)は自分の魅力を順子にアピールするために同窓会を企画する。そこに山下一真(中村倫也)や松岡美和(安達祐実)も合流し波乱含みの展開に…。</v>
      </c>
      <c r="N4717" s="2"/>
      <c r="O4717" s="2"/>
      <c r="P4717" s="2"/>
      <c r="Q4717" s="2"/>
      <c r="R4717" s="2"/>
      <c r="S4717" s="2"/>
      <c r="T4717" s="2"/>
      <c r="U4717" s="2"/>
      <c r="V4717" s="2"/>
      <c r="W4717" s="2"/>
      <c r="X4717" s="2"/>
      <c r="Y4717" s="2"/>
      <c r="Z4717" s="2"/>
      <c r="AA4717" s="2"/>
      <c r="AB4717" s="2"/>
      <c r="AC4717" s="2"/>
      <c r="AD4717" s="2"/>
      <c r="AE4717" s="2"/>
      <c r="AF4717" s="2"/>
      <c r="AG4717" s="2"/>
      <c r="AH4717" s="2"/>
      <c r="AI4717" s="2"/>
      <c r="AJ4717" s="2"/>
      <c r="AK4717" s="2"/>
      <c r="AL4717" s="2"/>
      <c r="AM4717" s="2"/>
      <c r="AN4717" s="2"/>
      <c r="AO4717" s="2"/>
      <c r="AP4717" s="2"/>
      <c r="AQ4717" s="2"/>
      <c r="AR4717" s="2"/>
      <c r="AS4717" s="2"/>
      <c r="AT4717" s="2"/>
      <c r="AU4717" s="2"/>
      <c r="AV4717" s="2"/>
      <c r="AW4717" s="2"/>
      <c r="AX4717" s="2"/>
      <c r="AY4717" s="2"/>
      <c r="AZ4717" s="2"/>
      <c r="BA4717" s="2"/>
      <c r="BB4717" s="2"/>
    </row>
    <row r="4718" ht="204.75" customHeight="1">
      <c r="A4718" s="1">
        <v>380.0</v>
      </c>
      <c r="B4718" s="2" t="s">
        <v>13288</v>
      </c>
      <c r="C4718" s="2">
        <f>IFERROR(__xludf.DUMMYFUNCTION("split(B4718,""_"")"),1901.0)</f>
        <v>1901</v>
      </c>
      <c r="D4718" s="2" t="str">
        <f>IFERROR(__xludf.DUMMYFUNCTION("""COMPUTED_VALUE"""),"TBS")</f>
        <v>TBS</v>
      </c>
      <c r="E4718" s="2" t="str">
        <f>IFERROR(__xludf.DUMMYFUNCTION("""COMPUTED_VALUE"""),"火22")</f>
        <v>火22</v>
      </c>
      <c r="F4718" s="2" t="s">
        <v>13289</v>
      </c>
      <c r="G4718" s="2" t="s">
        <v>13302</v>
      </c>
      <c r="H4718" s="1">
        <v>7.0</v>
      </c>
      <c r="J4718" s="1" t="s">
        <v>82</v>
      </c>
      <c r="K4718" s="2" t="s">
        <v>13303</v>
      </c>
      <c r="L4718" s="2"/>
      <c r="M4718" s="2" t="str">
        <f>IFERROR(__xludf.DUMMYFUNCTION("split(split(K4718,""【"",false),""公式LINE"",false)"),"ピンク髪の不良高校生・由利匡平(横浜流星)と東大受験を目指す春見順子(深田恭子)は三流予備校のダメ塾講師。順子は自らの講師としての限界を感じ、匡平を東大専門塾・花恵会に掛け持ち入塾させる。花恵会は設備も講師陣も素晴らしいが、担当となった美人講師・百田朋奈(高梨臨)の馴れ馴れしい振る舞いに匡平は疑問を抱く。一方、順子のいとこ・八雲雅志(永山絢斗)は百田の秘密を知り、順子に知らせようとするが…")</f>
        <v>ピンク髪の不良高校生・由利匡平(横浜流星)と東大受験を目指す春見順子(深田恭子)は三流予備校のダメ塾講師。順子は自らの講師としての限界を感じ、匡平を東大専門塾・花恵会に掛け持ち入塾させる。花恵会は設備も講師陣も素晴らしいが、担当となった美人講師・百田朋奈(高梨臨)の馴れ馴れしい振る舞いに匡平は疑問を抱く。一方、順子のいとこ・八雲雅志(永山絢斗)は百田の秘密を知り、順子に知らせようとするが…</v>
      </c>
      <c r="N4718" s="2"/>
      <c r="O4718" s="2"/>
      <c r="P4718" s="2"/>
      <c r="Q4718" s="2"/>
      <c r="R4718" s="2"/>
      <c r="S4718" s="2"/>
      <c r="T4718" s="2"/>
      <c r="U4718" s="2"/>
      <c r="V4718" s="2"/>
      <c r="W4718" s="2"/>
      <c r="X4718" s="2"/>
      <c r="Y4718" s="2"/>
      <c r="Z4718" s="2"/>
      <c r="AA4718" s="2"/>
      <c r="AB4718" s="2"/>
      <c r="AC4718" s="2"/>
      <c r="AD4718" s="2"/>
      <c r="AE4718" s="2"/>
      <c r="AF4718" s="2"/>
      <c r="AG4718" s="2"/>
      <c r="AH4718" s="2"/>
      <c r="AI4718" s="2"/>
      <c r="AJ4718" s="2"/>
      <c r="AK4718" s="2"/>
      <c r="AL4718" s="2"/>
      <c r="AM4718" s="2"/>
      <c r="AN4718" s="2"/>
      <c r="AO4718" s="2"/>
      <c r="AP4718" s="2"/>
      <c r="AQ4718" s="2"/>
      <c r="AR4718" s="2"/>
      <c r="AS4718" s="2"/>
      <c r="AT4718" s="2"/>
      <c r="AU4718" s="2"/>
      <c r="AV4718" s="2"/>
      <c r="AW4718" s="2"/>
      <c r="AX4718" s="2"/>
      <c r="AY4718" s="2"/>
      <c r="AZ4718" s="2"/>
      <c r="BA4718" s="2"/>
      <c r="BB4718" s="2"/>
    </row>
    <row r="4719" ht="204.75" customHeight="1">
      <c r="A4719" s="1">
        <v>381.0</v>
      </c>
      <c r="B4719" s="2" t="s">
        <v>13288</v>
      </c>
      <c r="C4719" s="2">
        <f>IFERROR(__xludf.DUMMYFUNCTION("split(B4719,""_"")"),1901.0)</f>
        <v>1901</v>
      </c>
      <c r="D4719" s="2" t="str">
        <f>IFERROR(__xludf.DUMMYFUNCTION("""COMPUTED_VALUE"""),"TBS")</f>
        <v>TBS</v>
      </c>
      <c r="E4719" s="2" t="str">
        <f>IFERROR(__xludf.DUMMYFUNCTION("""COMPUTED_VALUE"""),"火22")</f>
        <v>火22</v>
      </c>
      <c r="F4719" s="2" t="s">
        <v>13289</v>
      </c>
      <c r="G4719" s="2" t="s">
        <v>13304</v>
      </c>
      <c r="H4719" s="1">
        <v>8.0</v>
      </c>
      <c r="J4719" s="1" t="s">
        <v>82</v>
      </c>
      <c r="K4719" s="2" t="s">
        <v>13305</v>
      </c>
      <c r="L4719" s="2"/>
      <c r="M4719" s="2" t="str">
        <f>IFERROR(__xludf.DUMMYFUNCTION("split(split(K4719,""【"",false),""公式LINE"",false)"),"匡平(横浜流星)の模試の日に山下(中村倫也)とデートをすることになった順子(深田恭子)。匡平はデート帰りの二人を目撃し嫉妬する。さらに模試の結果も振るわず、追い討ちをかけるように父親の汚職疑惑も発覚し自暴自棄になってしまい、その姿を見た順子は落ち込んでしまう。山下は順子に笑顔を取り戻すためにある決断をする…。")</f>
        <v>匡平(横浜流星)の模試の日に山下(中村倫也)とデートをすることになった順子(深田恭子)。匡平はデート帰りの二人を目撃し嫉妬する。さらに模試の結果も振るわず、追い討ちをかけるように父親の汚職疑惑も発覚し自暴自棄になってしまい、その姿を見た順子は落ち込んでしまう。山下は順子に笑顔を取り戻すためにある決断をする…。</v>
      </c>
      <c r="N4719" s="2"/>
      <c r="O4719" s="2"/>
      <c r="P4719" s="2"/>
      <c r="Q4719" s="2"/>
      <c r="R4719" s="2"/>
      <c r="S4719" s="2"/>
      <c r="T4719" s="2"/>
      <c r="U4719" s="2"/>
      <c r="V4719" s="2"/>
      <c r="W4719" s="2"/>
      <c r="X4719" s="2"/>
      <c r="Y4719" s="2"/>
      <c r="Z4719" s="2"/>
      <c r="AA4719" s="2"/>
      <c r="AB4719" s="2"/>
      <c r="AC4719" s="2"/>
      <c r="AD4719" s="2"/>
      <c r="AE4719" s="2"/>
      <c r="AF4719" s="2"/>
      <c r="AG4719" s="2"/>
      <c r="AH4719" s="2"/>
      <c r="AI4719" s="2"/>
      <c r="AJ4719" s="2"/>
      <c r="AK4719" s="2"/>
      <c r="AL4719" s="2"/>
      <c r="AM4719" s="2"/>
      <c r="AN4719" s="2"/>
      <c r="AO4719" s="2"/>
      <c r="AP4719" s="2"/>
      <c r="AQ4719" s="2"/>
      <c r="AR4719" s="2"/>
      <c r="AS4719" s="2"/>
      <c r="AT4719" s="2"/>
      <c r="AU4719" s="2"/>
      <c r="AV4719" s="2"/>
      <c r="AW4719" s="2"/>
      <c r="AX4719" s="2"/>
      <c r="AY4719" s="2"/>
      <c r="AZ4719" s="2"/>
      <c r="BA4719" s="2"/>
      <c r="BB4719" s="2"/>
    </row>
    <row r="4720" ht="204.75" customHeight="1">
      <c r="A4720" s="1">
        <v>382.0</v>
      </c>
      <c r="B4720" s="2" t="s">
        <v>13288</v>
      </c>
      <c r="C4720" s="2">
        <f>IFERROR(__xludf.DUMMYFUNCTION("split(B4720,""_"")"),1901.0)</f>
        <v>1901</v>
      </c>
      <c r="D4720" s="2" t="str">
        <f>IFERROR(__xludf.DUMMYFUNCTION("""COMPUTED_VALUE"""),"TBS")</f>
        <v>TBS</v>
      </c>
      <c r="E4720" s="2" t="str">
        <f>IFERROR(__xludf.DUMMYFUNCTION("""COMPUTED_VALUE"""),"火22")</f>
        <v>火22</v>
      </c>
      <c r="F4720" s="2" t="s">
        <v>13289</v>
      </c>
      <c r="G4720" s="2" t="s">
        <v>13306</v>
      </c>
      <c r="H4720" s="1">
        <v>9.0</v>
      </c>
      <c r="J4720" s="1" t="s">
        <v>82</v>
      </c>
      <c r="K4720" s="2" t="s">
        <v>13307</v>
      </c>
      <c r="L4720" s="2"/>
      <c r="M4720" s="2" t="str">
        <f>IFERROR(__xludf.DUMMYFUNCTION("split(split(K4720,""【"",false),""公式LINE"",false)"),"ピンク髪の不良高校生・由利匡平(横浜流星)と東大受験を目指す春見順子(深田恭子)は三流予備校のダメ塾講師。センター試験も目前となり受験勉強は牧瀬(高梨臨)の手も借りて大詰めに。一方、ロシアへの長期赴任を指示された雅志(永山絢斗)は、ある決意を胸に順子のもとへ訪れ、思い切った行動に出る。")</f>
        <v>ピンク髪の不良高校生・由利匡平(横浜流星)と東大受験を目指す春見順子(深田恭子)は三流予備校のダメ塾講師。センター試験も目前となり受験勉強は牧瀬(高梨臨)の手も借りて大詰めに。一方、ロシアへの長期赴任を指示された雅志(永山絢斗)は、ある決意を胸に順子のもとへ訪れ、思い切った行動に出る。</v>
      </c>
      <c r="N4720" s="2"/>
      <c r="O4720" s="2"/>
      <c r="P4720" s="2"/>
      <c r="Q4720" s="2"/>
      <c r="R4720" s="2"/>
      <c r="S4720" s="2"/>
      <c r="T4720" s="2"/>
      <c r="U4720" s="2"/>
      <c r="V4720" s="2"/>
      <c r="W4720" s="2"/>
      <c r="X4720" s="2"/>
      <c r="Y4720" s="2"/>
      <c r="Z4720" s="2"/>
      <c r="AA4720" s="2"/>
      <c r="AB4720" s="2"/>
      <c r="AC4720" s="2"/>
      <c r="AD4720" s="2"/>
      <c r="AE4720" s="2"/>
      <c r="AF4720" s="2"/>
      <c r="AG4720" s="2"/>
      <c r="AH4720" s="2"/>
      <c r="AI4720" s="2"/>
      <c r="AJ4720" s="2"/>
      <c r="AK4720" s="2"/>
      <c r="AL4720" s="2"/>
      <c r="AM4720" s="2"/>
      <c r="AN4720" s="2"/>
      <c r="AO4720" s="2"/>
      <c r="AP4720" s="2"/>
      <c r="AQ4720" s="2"/>
      <c r="AR4720" s="2"/>
      <c r="AS4720" s="2"/>
      <c r="AT4720" s="2"/>
      <c r="AU4720" s="2"/>
      <c r="AV4720" s="2"/>
      <c r="AW4720" s="2"/>
      <c r="AX4720" s="2"/>
      <c r="AY4720" s="2"/>
      <c r="AZ4720" s="2"/>
      <c r="BA4720" s="2"/>
      <c r="BB4720" s="2"/>
    </row>
    <row r="4721" ht="204.75" customHeight="1">
      <c r="A4721" s="1">
        <v>383.0</v>
      </c>
      <c r="B4721" s="2" t="s">
        <v>13288</v>
      </c>
      <c r="C4721" s="2">
        <f>IFERROR(__xludf.DUMMYFUNCTION("split(B4721,""_"")"),1901.0)</f>
        <v>1901</v>
      </c>
      <c r="D4721" s="2" t="str">
        <f>IFERROR(__xludf.DUMMYFUNCTION("""COMPUTED_VALUE"""),"TBS")</f>
        <v>TBS</v>
      </c>
      <c r="E4721" s="2" t="str">
        <f>IFERROR(__xludf.DUMMYFUNCTION("""COMPUTED_VALUE"""),"火22")</f>
        <v>火22</v>
      </c>
      <c r="F4721" s="2" t="s">
        <v>13289</v>
      </c>
      <c r="G4721" s="2" t="s">
        <v>13308</v>
      </c>
      <c r="H4721" s="1">
        <v>10.0</v>
      </c>
      <c r="J4721" s="1" t="s">
        <v>82</v>
      </c>
      <c r="K4721" s="2" t="s">
        <v>13309</v>
      </c>
      <c r="L4721" s="2"/>
      <c r="M4721" s="2" t="str">
        <f>IFERROR(__xludf.DUMMYFUNCTION("split(split(K4721,""【"",false),""公式LINE"",false)"),"ピンク髪の不良高校生・由利匡平(横浜流星)と東大受験を目指す春見順子(深田恭子)は三流予備校のダメ塾講師。なんとか東大2次試験まで進んだ匡平。試験当日の朝、順子が事故に遭い救急搬送されたことを美和(安達祐実)から知らされ激しく動揺する。雅志(永山絢斗)、山下(中村倫也)らが見守る中、順子と匡平の下す決断とは?!")</f>
        <v>ピンク髪の不良高校生・由利匡平(横浜流星)と東大受験を目指す春見順子(深田恭子)は三流予備校のダメ塾講師。なんとか東大2次試験まで進んだ匡平。試験当日の朝、順子が事故に遭い救急搬送されたことを美和(安達祐実)から知らされ激しく動揺する。雅志(永山絢斗)、山下(中村倫也)らが見守る中、順子と匡平の下す決断とは?!</v>
      </c>
      <c r="N4721" s="2"/>
      <c r="O4721" s="2"/>
      <c r="P4721" s="2"/>
      <c r="Q4721" s="2"/>
      <c r="R4721" s="2"/>
      <c r="S4721" s="2"/>
      <c r="T4721" s="2"/>
      <c r="U4721" s="2"/>
      <c r="V4721" s="2"/>
      <c r="W4721" s="2"/>
      <c r="X4721" s="2"/>
      <c r="Y4721" s="2"/>
      <c r="Z4721" s="2"/>
      <c r="AA4721" s="2"/>
      <c r="AB4721" s="2"/>
      <c r="AC4721" s="2"/>
      <c r="AD4721" s="2"/>
      <c r="AE4721" s="2"/>
      <c r="AF4721" s="2"/>
      <c r="AG4721" s="2"/>
      <c r="AH4721" s="2"/>
      <c r="AI4721" s="2"/>
      <c r="AJ4721" s="2"/>
      <c r="AK4721" s="2"/>
      <c r="AL4721" s="2"/>
      <c r="AM4721" s="2"/>
      <c r="AN4721" s="2"/>
      <c r="AO4721" s="2"/>
      <c r="AP4721" s="2"/>
      <c r="AQ4721" s="2"/>
      <c r="AR4721" s="2"/>
      <c r="AS4721" s="2"/>
      <c r="AT4721" s="2"/>
      <c r="AU4721" s="2"/>
      <c r="AV4721" s="2"/>
      <c r="AW4721" s="2"/>
      <c r="AX4721" s="2"/>
      <c r="AY4721" s="2"/>
      <c r="AZ4721" s="2"/>
      <c r="BA4721" s="2"/>
      <c r="BB4721" s="2"/>
    </row>
    <row r="4722" ht="204.75" customHeight="1">
      <c r="A4722" s="1">
        <v>423.0</v>
      </c>
      <c r="B4722" s="2" t="s">
        <v>13310</v>
      </c>
      <c r="C4722" s="2">
        <f>IFERROR(__xludf.DUMMYFUNCTION("split(B4722,""_"")"),1901.0)</f>
        <v>1901</v>
      </c>
      <c r="D4722" s="2" t="str">
        <f>IFERROR(__xludf.DUMMYFUNCTION("""COMPUTED_VALUE"""),"TBS")</f>
        <v>TBS</v>
      </c>
      <c r="E4722" s="2" t="str">
        <f>IFERROR(__xludf.DUMMYFUNCTION("""COMPUTED_VALUE"""),"金22")</f>
        <v>金22</v>
      </c>
      <c r="F4722" s="2" t="s">
        <v>13311</v>
      </c>
      <c r="G4722" s="2" t="s">
        <v>13312</v>
      </c>
      <c r="H4722" s="1">
        <v>1.0</v>
      </c>
      <c r="J4722" s="1" t="s">
        <v>82</v>
      </c>
      <c r="K4722" s="2" t="s">
        <v>13313</v>
      </c>
      <c r="L4722" s="2"/>
      <c r="M4722" s="2" t="str">
        <f>IFERROR(__xludf.DUMMYFUNCTION("split(split(K4722,""【"",false),""公式LINE"",false)"),"新人刑事のひより(高畑充希)は、焼死体が発見された事件の捜査のため、元警視庁捜査一課の夏目(西島秀俊)のもとを訪れる。なんとそこは、元警察官のおじさんばかりが暮らすシェアハウス!オーナーで元警察庁キャリア・伊達(近藤正臣)、元たたき上げ刑事・迫田(角野卓造)、元科捜研・藤堂(野口五郎)、元警務課の高平(小日向文世)、そして元捜一の夏目。ひよりは、クセ者揃いの彼らと一緒に事件を追うことになって・・・")</f>
        <v>新人刑事のひより(高畑充希)は、焼死体が発見された事件の捜査のため、元警視庁捜査一課の夏目(西島秀俊)のもとを訪れる。なんとそこは、元警察官のおじさんばかりが暮らすシェアハウス!オーナーで元警察庁キャリア・伊達(近藤正臣)、元たたき上げ刑事・迫田(角野卓造)、元科捜研・藤堂(野口五郎)、元警務課の高平(小日向文世)、そして元捜一の夏目。ひよりは、クセ者揃いの彼らと一緒に事件を追うことになって・・・</v>
      </c>
      <c r="N4722" s="2"/>
      <c r="O4722" s="2"/>
      <c r="P4722" s="2"/>
      <c r="Q4722" s="2"/>
      <c r="R4722" s="2"/>
      <c r="S4722" s="2"/>
      <c r="T4722" s="2"/>
      <c r="U4722" s="2"/>
      <c r="V4722" s="2"/>
      <c r="W4722" s="2"/>
      <c r="X4722" s="2"/>
      <c r="Y4722" s="2"/>
      <c r="Z4722" s="2"/>
      <c r="AA4722" s="2"/>
      <c r="AB4722" s="2"/>
      <c r="AC4722" s="2"/>
      <c r="AD4722" s="2"/>
      <c r="AE4722" s="2"/>
      <c r="AF4722" s="2"/>
      <c r="AG4722" s="2"/>
      <c r="AH4722" s="2"/>
      <c r="AI4722" s="2"/>
      <c r="AJ4722" s="2"/>
      <c r="AK4722" s="2"/>
      <c r="AL4722" s="2"/>
      <c r="AM4722" s="2"/>
      <c r="AN4722" s="2"/>
      <c r="AO4722" s="2"/>
      <c r="AP4722" s="2"/>
      <c r="AQ4722" s="2"/>
      <c r="AR4722" s="2"/>
      <c r="AS4722" s="2"/>
      <c r="AT4722" s="2"/>
      <c r="AU4722" s="2"/>
      <c r="AV4722" s="2"/>
      <c r="AW4722" s="2"/>
      <c r="AX4722" s="2"/>
      <c r="AY4722" s="2"/>
      <c r="AZ4722" s="2"/>
      <c r="BA4722" s="2"/>
      <c r="BB4722" s="2"/>
    </row>
    <row r="4723" ht="204.75" customHeight="1">
      <c r="A4723" s="1">
        <v>424.0</v>
      </c>
      <c r="B4723" s="2" t="s">
        <v>13310</v>
      </c>
      <c r="C4723" s="2">
        <f>IFERROR(__xludf.DUMMYFUNCTION("split(B4723,""_"")"),1901.0)</f>
        <v>1901</v>
      </c>
      <c r="D4723" s="2" t="str">
        <f>IFERROR(__xludf.DUMMYFUNCTION("""COMPUTED_VALUE"""),"TBS")</f>
        <v>TBS</v>
      </c>
      <c r="E4723" s="2" t="str">
        <f>IFERROR(__xludf.DUMMYFUNCTION("""COMPUTED_VALUE"""),"金22")</f>
        <v>金22</v>
      </c>
      <c r="F4723" s="2" t="s">
        <v>13311</v>
      </c>
      <c r="G4723" s="2" t="s">
        <v>13314</v>
      </c>
      <c r="H4723" s="1">
        <v>2.0</v>
      </c>
      <c r="J4723" s="1" t="s">
        <v>86</v>
      </c>
      <c r="K4723" s="2" t="s">
        <v>13315</v>
      </c>
      <c r="L4723" s="2"/>
      <c r="M4723" s="2" t="str">
        <f>IFERROR(__xludf.DUMMYFUNCTION("split(split(K4723,""【"",false),""公式LINE"",false)"),"元警察官のおじさんばかりが暮らすシェアハウス「メゾン・ド・ポリス」の面々と共に捜査をすることになった新人刑事のひより(高畑充希)。オーナーで元警察庁キャリア・伊達(近藤正臣)、元たたき上げ刑事・迫田(角野卓造)、元科捜研・藤堂(野口五郎)、元警務課の高平(小日向文世)、そして元警視庁捜査一課の夏目(西島秀俊)など、クセ者揃いの彼らに振り回されるひよりは、警察が自殺と断定した事件に疑問を持って・・")</f>
        <v>元警察官のおじさんばかりが暮らすシェアハウス「メゾン・ド・ポリス」の面々と共に捜査をすることになった新人刑事のひより(高畑充希)。オーナーで元警察庁キャリア・伊達(近藤正臣)、元たたき上げ刑事・迫田(角野卓造)、元科捜研・藤堂(野口五郎)、元警務課の高平(小日向文世)、そして元警視庁捜査一課の夏目(西島秀俊)など、クセ者揃いの彼らに振り回されるひよりは、警察が自殺と断定した事件に疑問を持って・・</v>
      </c>
      <c r="N4723" s="2"/>
      <c r="O4723" s="2"/>
      <c r="P4723" s="2"/>
      <c r="Q4723" s="2"/>
      <c r="R4723" s="2"/>
      <c r="S4723" s="2"/>
      <c r="T4723" s="2"/>
      <c r="U4723" s="2"/>
      <c r="V4723" s="2"/>
      <c r="W4723" s="2"/>
      <c r="X4723" s="2"/>
      <c r="Y4723" s="2"/>
      <c r="Z4723" s="2"/>
      <c r="AA4723" s="2"/>
      <c r="AB4723" s="2"/>
      <c r="AC4723" s="2"/>
      <c r="AD4723" s="2"/>
      <c r="AE4723" s="2"/>
      <c r="AF4723" s="2"/>
      <c r="AG4723" s="2"/>
      <c r="AH4723" s="2"/>
      <c r="AI4723" s="2"/>
      <c r="AJ4723" s="2"/>
      <c r="AK4723" s="2"/>
      <c r="AL4723" s="2"/>
      <c r="AM4723" s="2"/>
      <c r="AN4723" s="2"/>
      <c r="AO4723" s="2"/>
      <c r="AP4723" s="2"/>
      <c r="AQ4723" s="2"/>
      <c r="AR4723" s="2"/>
      <c r="AS4723" s="2"/>
      <c r="AT4723" s="2"/>
      <c r="AU4723" s="2"/>
      <c r="AV4723" s="2"/>
      <c r="AW4723" s="2"/>
      <c r="AX4723" s="2"/>
      <c r="AY4723" s="2"/>
      <c r="AZ4723" s="2"/>
      <c r="BA4723" s="2"/>
      <c r="BB4723" s="2"/>
    </row>
    <row r="4724" ht="204.75" customHeight="1">
      <c r="A4724" s="1">
        <v>425.0</v>
      </c>
      <c r="B4724" s="2" t="s">
        <v>13310</v>
      </c>
      <c r="C4724" s="2">
        <f>IFERROR(__xludf.DUMMYFUNCTION("split(B4724,""_"")"),1901.0)</f>
        <v>1901</v>
      </c>
      <c r="D4724" s="2" t="str">
        <f>IFERROR(__xludf.DUMMYFUNCTION("""COMPUTED_VALUE"""),"TBS")</f>
        <v>TBS</v>
      </c>
      <c r="E4724" s="2" t="str">
        <f>IFERROR(__xludf.DUMMYFUNCTION("""COMPUTED_VALUE"""),"金22")</f>
        <v>金22</v>
      </c>
      <c r="F4724" s="2" t="s">
        <v>13311</v>
      </c>
      <c r="G4724" s="2" t="s">
        <v>13316</v>
      </c>
      <c r="H4724" s="1">
        <v>3.0</v>
      </c>
      <c r="J4724" s="1" t="s">
        <v>86</v>
      </c>
      <c r="K4724" s="2" t="s">
        <v>13317</v>
      </c>
      <c r="L4724" s="2"/>
      <c r="M4724" s="2" t="str">
        <f>IFERROR(__xludf.DUMMYFUNCTION("split(split(K4724,""【"",false),""公式LINE"",false)"),"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謎の美女(橋本マナミ)に依頼された事件の捜査中に、ひよりは死体を発見して…")</f>
        <v>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謎の美女(橋本マナミ)に依頼された事件の捜査中に、ひよりは死体を発見して…</v>
      </c>
      <c r="N4724" s="2"/>
      <c r="O4724" s="2"/>
      <c r="P4724" s="2"/>
      <c r="Q4724" s="2"/>
      <c r="R4724" s="2"/>
      <c r="S4724" s="2"/>
      <c r="T4724" s="2"/>
      <c r="U4724" s="2"/>
      <c r="V4724" s="2"/>
      <c r="W4724" s="2"/>
      <c r="X4724" s="2"/>
      <c r="Y4724" s="2"/>
      <c r="Z4724" s="2"/>
      <c r="AA4724" s="2"/>
      <c r="AB4724" s="2"/>
      <c r="AC4724" s="2"/>
      <c r="AD4724" s="2"/>
      <c r="AE4724" s="2"/>
      <c r="AF4724" s="2"/>
      <c r="AG4724" s="2"/>
      <c r="AH4724" s="2"/>
      <c r="AI4724" s="2"/>
      <c r="AJ4724" s="2"/>
      <c r="AK4724" s="2"/>
      <c r="AL4724" s="2"/>
      <c r="AM4724" s="2"/>
      <c r="AN4724" s="2"/>
      <c r="AO4724" s="2"/>
      <c r="AP4724" s="2"/>
      <c r="AQ4724" s="2"/>
      <c r="AR4724" s="2"/>
      <c r="AS4724" s="2"/>
      <c r="AT4724" s="2"/>
      <c r="AU4724" s="2"/>
      <c r="AV4724" s="2"/>
      <c r="AW4724" s="2"/>
      <c r="AX4724" s="2"/>
      <c r="AY4724" s="2"/>
      <c r="AZ4724" s="2"/>
      <c r="BA4724" s="2"/>
      <c r="BB4724" s="2"/>
    </row>
    <row r="4725" ht="204.75" customHeight="1">
      <c r="A4725" s="1">
        <v>426.0</v>
      </c>
      <c r="B4725" s="2" t="s">
        <v>13310</v>
      </c>
      <c r="C4725" s="2">
        <f>IFERROR(__xludf.DUMMYFUNCTION("split(B4725,""_"")"),1901.0)</f>
        <v>1901</v>
      </c>
      <c r="D4725" s="2" t="str">
        <f>IFERROR(__xludf.DUMMYFUNCTION("""COMPUTED_VALUE"""),"TBS")</f>
        <v>TBS</v>
      </c>
      <c r="E4725" s="2" t="str">
        <f>IFERROR(__xludf.DUMMYFUNCTION("""COMPUTED_VALUE"""),"金22")</f>
        <v>金22</v>
      </c>
      <c r="F4725" s="2" t="s">
        <v>13311</v>
      </c>
      <c r="G4725" s="2" t="s">
        <v>13318</v>
      </c>
      <c r="H4725" s="1">
        <v>4.0</v>
      </c>
      <c r="J4725" s="1" t="s">
        <v>86</v>
      </c>
      <c r="K4725" s="2" t="s">
        <v>13319</v>
      </c>
      <c r="L4725" s="2"/>
      <c r="M4725" s="2" t="str">
        <f>IFERROR(__xludf.DUMMYFUNCTION("split(split(K4725,""【"",false),""公式LINE"",false)"),"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ある暴行事件の捜査に妙に積極的な迫田。ゲームの掲示板にヒントを見つけるが…")</f>
        <v>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ある暴行事件の捜査に妙に積極的な迫田。ゲームの掲示板にヒントを見つけるが…</v>
      </c>
      <c r="N4725" s="2"/>
      <c r="O4725" s="2"/>
      <c r="P4725" s="2"/>
      <c r="Q4725" s="2"/>
      <c r="R4725" s="2"/>
      <c r="S4725" s="2"/>
      <c r="T4725" s="2"/>
      <c r="U4725" s="2"/>
      <c r="V4725" s="2"/>
      <c r="W4725" s="2"/>
      <c r="X4725" s="2"/>
      <c r="Y4725" s="2"/>
      <c r="Z4725" s="2"/>
      <c r="AA4725" s="2"/>
      <c r="AB4725" s="2"/>
      <c r="AC4725" s="2"/>
      <c r="AD4725" s="2"/>
      <c r="AE4725" s="2"/>
      <c r="AF4725" s="2"/>
      <c r="AG4725" s="2"/>
      <c r="AH4725" s="2"/>
      <c r="AI4725" s="2"/>
      <c r="AJ4725" s="2"/>
      <c r="AK4725" s="2"/>
      <c r="AL4725" s="2"/>
      <c r="AM4725" s="2"/>
      <c r="AN4725" s="2"/>
      <c r="AO4725" s="2"/>
      <c r="AP4725" s="2"/>
      <c r="AQ4725" s="2"/>
      <c r="AR4725" s="2"/>
      <c r="AS4725" s="2"/>
      <c r="AT4725" s="2"/>
      <c r="AU4725" s="2"/>
      <c r="AV4725" s="2"/>
      <c r="AW4725" s="2"/>
      <c r="AX4725" s="2"/>
      <c r="AY4725" s="2"/>
      <c r="AZ4725" s="2"/>
      <c r="BA4725" s="2"/>
      <c r="BB4725" s="2"/>
    </row>
    <row r="4726" ht="204.75" customHeight="1">
      <c r="A4726" s="1">
        <v>427.0</v>
      </c>
      <c r="B4726" s="2" t="s">
        <v>13310</v>
      </c>
      <c r="C4726" s="2">
        <f>IFERROR(__xludf.DUMMYFUNCTION("split(B4726,""_"")"),1901.0)</f>
        <v>1901</v>
      </c>
      <c r="D4726" s="2" t="str">
        <f>IFERROR(__xludf.DUMMYFUNCTION("""COMPUTED_VALUE"""),"TBS")</f>
        <v>TBS</v>
      </c>
      <c r="E4726" s="2" t="str">
        <f>IFERROR(__xludf.DUMMYFUNCTION("""COMPUTED_VALUE"""),"金22")</f>
        <v>金22</v>
      </c>
      <c r="F4726" s="2" t="s">
        <v>13311</v>
      </c>
      <c r="G4726" s="2" t="s">
        <v>13320</v>
      </c>
      <c r="H4726" s="1">
        <v>5.0</v>
      </c>
      <c r="J4726" s="1" t="s">
        <v>86</v>
      </c>
      <c r="K4726" s="2" t="s">
        <v>13321</v>
      </c>
      <c r="L4726" s="2"/>
      <c r="M4726" s="2" t="str">
        <f>IFERROR(__xludf.DUMMYFUNCTION("split(split(K4726,""【"",false),""公式LINE"",false)"),"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ひよりと伊達はバロンの散歩中に「人を殺した」と告白する老女と出会う…")</f>
        <v>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ひよりと伊達はバロンの散歩中に「人を殺した」と告白する老女と出会う…</v>
      </c>
      <c r="N4726" s="2"/>
      <c r="O4726" s="2"/>
      <c r="P4726" s="2"/>
      <c r="Q4726" s="2"/>
      <c r="R4726" s="2"/>
      <c r="S4726" s="2"/>
      <c r="T4726" s="2"/>
      <c r="U4726" s="2"/>
      <c r="V4726" s="2"/>
      <c r="W4726" s="2"/>
      <c r="X4726" s="2"/>
      <c r="Y4726" s="2"/>
      <c r="Z4726" s="2"/>
      <c r="AA4726" s="2"/>
      <c r="AB4726" s="2"/>
      <c r="AC4726" s="2"/>
      <c r="AD4726" s="2"/>
      <c r="AE4726" s="2"/>
      <c r="AF4726" s="2"/>
      <c r="AG4726" s="2"/>
      <c r="AH4726" s="2"/>
      <c r="AI4726" s="2"/>
      <c r="AJ4726" s="2"/>
      <c r="AK4726" s="2"/>
      <c r="AL4726" s="2"/>
      <c r="AM4726" s="2"/>
      <c r="AN4726" s="2"/>
      <c r="AO4726" s="2"/>
      <c r="AP4726" s="2"/>
      <c r="AQ4726" s="2"/>
      <c r="AR4726" s="2"/>
      <c r="AS4726" s="2"/>
      <c r="AT4726" s="2"/>
      <c r="AU4726" s="2"/>
      <c r="AV4726" s="2"/>
      <c r="AW4726" s="2"/>
      <c r="AX4726" s="2"/>
      <c r="AY4726" s="2"/>
      <c r="AZ4726" s="2"/>
      <c r="BA4726" s="2"/>
      <c r="BB4726" s="2"/>
    </row>
    <row r="4727" ht="204.75" customHeight="1">
      <c r="A4727" s="1">
        <v>428.0</v>
      </c>
      <c r="B4727" s="2" t="s">
        <v>13310</v>
      </c>
      <c r="C4727" s="2">
        <f>IFERROR(__xludf.DUMMYFUNCTION("split(B4727,""_"")"),1901.0)</f>
        <v>1901</v>
      </c>
      <c r="D4727" s="2" t="str">
        <f>IFERROR(__xludf.DUMMYFUNCTION("""COMPUTED_VALUE"""),"TBS")</f>
        <v>TBS</v>
      </c>
      <c r="E4727" s="2" t="str">
        <f>IFERROR(__xludf.DUMMYFUNCTION("""COMPUTED_VALUE"""),"金22")</f>
        <v>金22</v>
      </c>
      <c r="F4727" s="2" t="s">
        <v>13311</v>
      </c>
      <c r="G4727" s="2" t="s">
        <v>13322</v>
      </c>
      <c r="H4727" s="1">
        <v>6.0</v>
      </c>
      <c r="J4727" s="1" t="s">
        <v>86</v>
      </c>
      <c r="K4727" s="2" t="s">
        <v>13323</v>
      </c>
      <c r="L4727" s="2"/>
      <c r="M4727" s="2" t="str">
        <f>IFERROR(__xludf.DUMMYFUNCTION("split(split(K4727,""【"",false),""公式LINE"",false)"),"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捜査の依頼にやってきた高平の娘(水谷果穂)は父を伝説の刑事だと信じていて…")</f>
        <v>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捜査の依頼にやってきた高平の娘(水谷果穂)は父を伝説の刑事だと信じていて…</v>
      </c>
      <c r="N4727" s="2"/>
      <c r="O4727" s="2"/>
      <c r="P4727" s="2"/>
      <c r="Q4727" s="2"/>
      <c r="R4727" s="2"/>
      <c r="S4727" s="2"/>
      <c r="T4727" s="2"/>
      <c r="U4727" s="2"/>
      <c r="V4727" s="2"/>
      <c r="W4727" s="2"/>
      <c r="X4727" s="2"/>
      <c r="Y4727" s="2"/>
      <c r="Z4727" s="2"/>
      <c r="AA4727" s="2"/>
      <c r="AB4727" s="2"/>
      <c r="AC4727" s="2"/>
      <c r="AD4727" s="2"/>
      <c r="AE4727" s="2"/>
      <c r="AF4727" s="2"/>
      <c r="AG4727" s="2"/>
      <c r="AH4727" s="2"/>
      <c r="AI4727" s="2"/>
      <c r="AJ4727" s="2"/>
      <c r="AK4727" s="2"/>
      <c r="AL4727" s="2"/>
      <c r="AM4727" s="2"/>
      <c r="AN4727" s="2"/>
      <c r="AO4727" s="2"/>
      <c r="AP4727" s="2"/>
      <c r="AQ4727" s="2"/>
      <c r="AR4727" s="2"/>
      <c r="AS4727" s="2"/>
      <c r="AT4727" s="2"/>
      <c r="AU4727" s="2"/>
      <c r="AV4727" s="2"/>
      <c r="AW4727" s="2"/>
      <c r="AX4727" s="2"/>
      <c r="AY4727" s="2"/>
      <c r="AZ4727" s="2"/>
      <c r="BA4727" s="2"/>
      <c r="BB4727" s="2"/>
    </row>
    <row r="4728" ht="204.75" customHeight="1">
      <c r="A4728" s="1">
        <v>429.0</v>
      </c>
      <c r="B4728" s="2" t="s">
        <v>13310</v>
      </c>
      <c r="C4728" s="2">
        <f>IFERROR(__xludf.DUMMYFUNCTION("split(B4728,""_"")"),1901.0)</f>
        <v>1901</v>
      </c>
      <c r="D4728" s="2" t="str">
        <f>IFERROR(__xludf.DUMMYFUNCTION("""COMPUTED_VALUE"""),"TBS")</f>
        <v>TBS</v>
      </c>
      <c r="E4728" s="2" t="str">
        <f>IFERROR(__xludf.DUMMYFUNCTION("""COMPUTED_VALUE"""),"金22")</f>
        <v>金22</v>
      </c>
      <c r="F4728" s="2" t="s">
        <v>13311</v>
      </c>
      <c r="G4728" s="2" t="s">
        <v>13324</v>
      </c>
      <c r="H4728" s="1">
        <v>7.0</v>
      </c>
      <c r="J4728" s="1" t="s">
        <v>86</v>
      </c>
      <c r="K4728" s="2" t="s">
        <v>13325</v>
      </c>
      <c r="L4728" s="2"/>
      <c r="M4728" s="2" t="str">
        <f>IFERROR(__xludf.DUMMYFUNCTION("split(split(K4728,""【"",false),""公式LINE"",false)"),"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伊達の幼馴染・本郷(井上順)が金庫破りに遭い、その捜査をすることになって…")</f>
        <v>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伊達の幼馴染・本郷(井上順)が金庫破りに遭い、その捜査をすることになって…</v>
      </c>
      <c r="N4728" s="2"/>
      <c r="O4728" s="2"/>
      <c r="P4728" s="2"/>
      <c r="Q4728" s="2"/>
      <c r="R4728" s="2"/>
      <c r="S4728" s="2"/>
      <c r="T4728" s="2"/>
      <c r="U4728" s="2"/>
      <c r="V4728" s="2"/>
      <c r="W4728" s="2"/>
      <c r="X4728" s="2"/>
      <c r="Y4728" s="2"/>
      <c r="Z4728" s="2"/>
      <c r="AA4728" s="2"/>
      <c r="AB4728" s="2"/>
      <c r="AC4728" s="2"/>
      <c r="AD4728" s="2"/>
      <c r="AE4728" s="2"/>
      <c r="AF4728" s="2"/>
      <c r="AG4728" s="2"/>
      <c r="AH4728" s="2"/>
      <c r="AI4728" s="2"/>
      <c r="AJ4728" s="2"/>
      <c r="AK4728" s="2"/>
      <c r="AL4728" s="2"/>
      <c r="AM4728" s="2"/>
      <c r="AN4728" s="2"/>
      <c r="AO4728" s="2"/>
      <c r="AP4728" s="2"/>
      <c r="AQ4728" s="2"/>
      <c r="AR4728" s="2"/>
      <c r="AS4728" s="2"/>
      <c r="AT4728" s="2"/>
      <c r="AU4728" s="2"/>
      <c r="AV4728" s="2"/>
      <c r="AW4728" s="2"/>
      <c r="AX4728" s="2"/>
      <c r="AY4728" s="2"/>
      <c r="AZ4728" s="2"/>
      <c r="BA4728" s="2"/>
      <c r="BB4728" s="2"/>
    </row>
    <row r="4729" ht="204.75" customHeight="1">
      <c r="A4729" s="1">
        <v>430.0</v>
      </c>
      <c r="B4729" s="2" t="s">
        <v>13310</v>
      </c>
      <c r="C4729" s="2">
        <f>IFERROR(__xludf.DUMMYFUNCTION("split(B4729,""_"")"),1901.0)</f>
        <v>1901</v>
      </c>
      <c r="D4729" s="2" t="str">
        <f>IFERROR(__xludf.DUMMYFUNCTION("""COMPUTED_VALUE"""),"TBS")</f>
        <v>TBS</v>
      </c>
      <c r="E4729" s="2" t="str">
        <f>IFERROR(__xludf.DUMMYFUNCTION("""COMPUTED_VALUE"""),"金22")</f>
        <v>金22</v>
      </c>
      <c r="F4729" s="2" t="s">
        <v>13311</v>
      </c>
      <c r="G4729" s="2" t="s">
        <v>13326</v>
      </c>
      <c r="H4729" s="1">
        <v>8.0</v>
      </c>
      <c r="J4729" s="1" t="s">
        <v>86</v>
      </c>
      <c r="K4729" s="2" t="s">
        <v>13327</v>
      </c>
      <c r="L4729" s="2"/>
      <c r="M4729" s="2" t="str">
        <f>IFERROR(__xludf.DUMMYFUNCTION("split(split(K4729,""【"",false),""公式LINE"",false)"),"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ある日、シェアハウスに藤堂が誘拐されたという報せが入る。誘拐犯の要求とは!?")</f>
        <v>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ある日、シェアハウスに藤堂が誘拐されたという報せが入る。誘拐犯の要求とは!?</v>
      </c>
      <c r="N4729" s="2"/>
      <c r="O4729" s="2"/>
      <c r="P4729" s="2"/>
      <c r="Q4729" s="2"/>
      <c r="R4729" s="2"/>
      <c r="S4729" s="2"/>
      <c r="T4729" s="2"/>
      <c r="U4729" s="2"/>
      <c r="V4729" s="2"/>
      <c r="W4729" s="2"/>
      <c r="X4729" s="2"/>
      <c r="Y4729" s="2"/>
      <c r="Z4729" s="2"/>
      <c r="AA4729" s="2"/>
      <c r="AB4729" s="2"/>
      <c r="AC4729" s="2"/>
      <c r="AD4729" s="2"/>
      <c r="AE4729" s="2"/>
      <c r="AF4729" s="2"/>
      <c r="AG4729" s="2"/>
      <c r="AH4729" s="2"/>
      <c r="AI4729" s="2"/>
      <c r="AJ4729" s="2"/>
      <c r="AK4729" s="2"/>
      <c r="AL4729" s="2"/>
      <c r="AM4729" s="2"/>
      <c r="AN4729" s="2"/>
      <c r="AO4729" s="2"/>
      <c r="AP4729" s="2"/>
      <c r="AQ4729" s="2"/>
      <c r="AR4729" s="2"/>
      <c r="AS4729" s="2"/>
      <c r="AT4729" s="2"/>
      <c r="AU4729" s="2"/>
      <c r="AV4729" s="2"/>
      <c r="AW4729" s="2"/>
      <c r="AX4729" s="2"/>
      <c r="AY4729" s="2"/>
      <c r="AZ4729" s="2"/>
      <c r="BA4729" s="2"/>
      <c r="BB4729" s="2"/>
    </row>
    <row r="4730" ht="204.75" customHeight="1">
      <c r="A4730" s="1">
        <v>431.0</v>
      </c>
      <c r="B4730" s="2" t="s">
        <v>13310</v>
      </c>
      <c r="C4730" s="2">
        <f>IFERROR(__xludf.DUMMYFUNCTION("split(B4730,""_"")"),1901.0)</f>
        <v>1901</v>
      </c>
      <c r="D4730" s="2" t="str">
        <f>IFERROR(__xludf.DUMMYFUNCTION("""COMPUTED_VALUE"""),"TBS")</f>
        <v>TBS</v>
      </c>
      <c r="E4730" s="2" t="str">
        <f>IFERROR(__xludf.DUMMYFUNCTION("""COMPUTED_VALUE"""),"金22")</f>
        <v>金22</v>
      </c>
      <c r="F4730" s="2" t="s">
        <v>13311</v>
      </c>
      <c r="G4730" s="2" t="s">
        <v>13328</v>
      </c>
      <c r="H4730" s="1">
        <v>9.0</v>
      </c>
      <c r="J4730" s="1" t="s">
        <v>86</v>
      </c>
      <c r="K4730" s="2" t="s">
        <v>13329</v>
      </c>
      <c r="L4730" s="2"/>
      <c r="M4730" s="2" t="str">
        <f>IFERROR(__xludf.DUMMYFUNCTION("split(split(K4730,""【"",false),""公式LINE"",false)"),"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は、全ての事件の黒幕(佐野史郎)に辿り着く。ところが各々の身に危険が迫って…")</f>
        <v>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は、全ての事件の黒幕(佐野史郎)に辿り着く。ところが各々の身に危険が迫って…</v>
      </c>
      <c r="N4730" s="2"/>
      <c r="O4730" s="2"/>
      <c r="P4730" s="2"/>
      <c r="Q4730" s="2"/>
      <c r="R4730" s="2"/>
      <c r="S4730" s="2"/>
      <c r="T4730" s="2"/>
      <c r="U4730" s="2"/>
      <c r="V4730" s="2"/>
      <c r="W4730" s="2"/>
      <c r="X4730" s="2"/>
      <c r="Y4730" s="2"/>
      <c r="Z4730" s="2"/>
      <c r="AA4730" s="2"/>
      <c r="AB4730" s="2"/>
      <c r="AC4730" s="2"/>
      <c r="AD4730" s="2"/>
      <c r="AE4730" s="2"/>
      <c r="AF4730" s="2"/>
      <c r="AG4730" s="2"/>
      <c r="AH4730" s="2"/>
      <c r="AI4730" s="2"/>
      <c r="AJ4730" s="2"/>
      <c r="AK4730" s="2"/>
      <c r="AL4730" s="2"/>
      <c r="AM4730" s="2"/>
      <c r="AN4730" s="2"/>
      <c r="AO4730" s="2"/>
      <c r="AP4730" s="2"/>
      <c r="AQ4730" s="2"/>
      <c r="AR4730" s="2"/>
      <c r="AS4730" s="2"/>
      <c r="AT4730" s="2"/>
      <c r="AU4730" s="2"/>
      <c r="AV4730" s="2"/>
      <c r="AW4730" s="2"/>
      <c r="AX4730" s="2"/>
      <c r="AY4730" s="2"/>
      <c r="AZ4730" s="2"/>
      <c r="BA4730" s="2"/>
      <c r="BB4730" s="2"/>
    </row>
    <row r="4731" ht="204.75" customHeight="1">
      <c r="A4731" s="1">
        <v>432.0</v>
      </c>
      <c r="B4731" s="2" t="s">
        <v>13310</v>
      </c>
      <c r="C4731" s="2">
        <f>IFERROR(__xludf.DUMMYFUNCTION("split(B4731,""_"")"),1901.0)</f>
        <v>1901</v>
      </c>
      <c r="D4731" s="2" t="str">
        <f>IFERROR(__xludf.DUMMYFUNCTION("""COMPUTED_VALUE"""),"TBS")</f>
        <v>TBS</v>
      </c>
      <c r="E4731" s="2" t="str">
        <f>IFERROR(__xludf.DUMMYFUNCTION("""COMPUTED_VALUE"""),"金22")</f>
        <v>金22</v>
      </c>
      <c r="F4731" s="2" t="s">
        <v>13311</v>
      </c>
      <c r="G4731" s="2" t="s">
        <v>13330</v>
      </c>
      <c r="H4731" s="1">
        <v>10.0</v>
      </c>
      <c r="J4731" s="1" t="s">
        <v>82</v>
      </c>
      <c r="K4731" s="2" t="s">
        <v>13331</v>
      </c>
      <c r="L4731" s="2"/>
      <c r="M4731" s="2" t="str">
        <f>IFERROR(__xludf.DUMMYFUNCTION("split(split(K4731,""【"",false),""公式LINE"",false)"),"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は、野間(佐野史郎)によって窮地に陥る。ひよりは最後の希望を求めて奔走するが…")</f>
        <v>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は、野間(佐野史郎)によって窮地に陥る。ひよりは最後の希望を求めて奔走するが…</v>
      </c>
      <c r="N4731" s="2"/>
      <c r="O4731" s="2"/>
      <c r="P4731" s="2"/>
      <c r="Q4731" s="2"/>
      <c r="R4731" s="2"/>
      <c r="S4731" s="2"/>
      <c r="T4731" s="2"/>
      <c r="U4731" s="2"/>
      <c r="V4731" s="2"/>
      <c r="W4731" s="2"/>
      <c r="X4731" s="2"/>
      <c r="Y4731" s="2"/>
      <c r="Z4731" s="2"/>
      <c r="AA4731" s="2"/>
      <c r="AB4731" s="2"/>
      <c r="AC4731" s="2"/>
      <c r="AD4731" s="2"/>
      <c r="AE4731" s="2"/>
      <c r="AF4731" s="2"/>
      <c r="AG4731" s="2"/>
      <c r="AH4731" s="2"/>
      <c r="AI4731" s="2"/>
      <c r="AJ4731" s="2"/>
      <c r="AK4731" s="2"/>
      <c r="AL4731" s="2"/>
      <c r="AM4731" s="2"/>
      <c r="AN4731" s="2"/>
      <c r="AO4731" s="2"/>
      <c r="AP4731" s="2"/>
      <c r="AQ4731" s="2"/>
      <c r="AR4731" s="2"/>
      <c r="AS4731" s="2"/>
      <c r="AT4731" s="2"/>
      <c r="AU4731" s="2"/>
      <c r="AV4731" s="2"/>
      <c r="AW4731" s="2"/>
      <c r="AX4731" s="2"/>
      <c r="AY4731" s="2"/>
      <c r="AZ4731" s="2"/>
      <c r="BA4731" s="2"/>
      <c r="BB4731" s="2"/>
    </row>
    <row r="4732" ht="204.75" customHeight="1">
      <c r="A4732" s="1">
        <v>458.0</v>
      </c>
      <c r="B4732" s="2" t="s">
        <v>13332</v>
      </c>
      <c r="C4732" s="2">
        <f>IFERROR(__xludf.DUMMYFUNCTION("split(B4732,""_"")"),1901.0)</f>
        <v>1901</v>
      </c>
      <c r="D4732" s="2" t="str">
        <f>IFERROR(__xludf.DUMMYFUNCTION("""COMPUTED_VALUE"""),"TBS")</f>
        <v>TBS</v>
      </c>
      <c r="E4732" s="2" t="str">
        <f>IFERROR(__xludf.DUMMYFUNCTION("""COMPUTED_VALUE"""),"日21")</f>
        <v>日21</v>
      </c>
      <c r="F4732" s="2" t="s">
        <v>13333</v>
      </c>
      <c r="G4732" s="2" t="s">
        <v>13334</v>
      </c>
      <c r="H4732" s="1">
        <v>1.0</v>
      </c>
      <c r="I4732" s="1" t="s">
        <v>2868</v>
      </c>
      <c r="J4732" s="1" t="s">
        <v>4</v>
      </c>
      <c r="K4732" s="2" t="s">
        <v>13335</v>
      </c>
      <c r="L4732" s="2"/>
      <c r="M4732" s="2" t="str">
        <f>IFERROR(__xludf.DUMMYFUNCTION("split(split(K4732,""【"",false),""公式LINE"",false)"),"蓮見杏子(常盤貴子)は優秀な若手弁護士だったが、出産を機に引退。専業主婦として、二人の子供と夫である東京地検・特捜部長の壮一郎(唐沢寿明)と共に、幸せな日々を送っていた。  しかし、その生活は一瞬にして崩れる。壮一郎の汚職疑惑、さらに女性スキャンダルまで発覚。汚職は否定したものの、女性との関係は認めた。ほどなくして壮一郎は逮捕。  杏子は、家族のために16年ぶりの弁護士復帰を決意する。杏子に手を差し伸べたのは神山多田法律事務所の代表・多田征大(小泉孝太郎)だった。二人は司法修習生時代の同期で、かつて多田は"&amp;"杏子に好意を持っていた。ただ、それとは別に杏子の弁護士としての力も高く評価し、反対する共同代表・神山佳恵(賀来千香子)を説き伏せて決めた。  しかし、あくまで仮採用で半年後の本採用をかけて若手弁護士の朝飛光太郎(北村匠海)と競うことになる。最初の相手は人気キャスター日下部(武田鉄矢)。表現の自由を巡り、争っていくことになる。")</f>
        <v>蓮見杏子(常盤貴子)は優秀な若手弁護士だったが、出産を機に引退。専業主婦として、二人の子供と夫である東京地検・特捜部長の壮一郎(唐沢寿明)と共に、幸せな日々を送っていた。  しかし、その生活は一瞬にして崩れる。壮一郎の汚職疑惑、さらに女性スキャンダルまで発覚。汚職は否定したものの、女性との関係は認めた。ほどなくして壮一郎は逮捕。  杏子は、家族のために16年ぶりの弁護士復帰を決意する。杏子に手を差し伸べたのは神山多田法律事務所の代表・多田征大(小泉孝太郎)だった。二人は司法修習生時代の同期で、かつて多田は杏子に好意を持っていた。ただ、それとは別に杏子の弁護士としての力も高く評価し、反対する共同代表・神山佳恵(賀来千香子)を説き伏せて決めた。  しかし、あくまで仮採用で半年後の本採用をかけて若手弁護士の朝飛光太郎(北村匠海)と競うことになる。最初の相手は人気キャスター日下部(武田鉄矢)。表現の自由を巡り、争っていくことになる。</v>
      </c>
      <c r="N4732" s="2"/>
      <c r="O4732" s="2"/>
      <c r="P4732" s="2"/>
      <c r="Q4732" s="2"/>
      <c r="R4732" s="2"/>
      <c r="S4732" s="2"/>
      <c r="T4732" s="2"/>
      <c r="U4732" s="2"/>
      <c r="V4732" s="2"/>
      <c r="W4732" s="2"/>
      <c r="X4732" s="2"/>
      <c r="Y4732" s="2"/>
      <c r="Z4732" s="2"/>
      <c r="AA4732" s="2"/>
      <c r="AB4732" s="2"/>
      <c r="AC4732" s="2"/>
      <c r="AD4732" s="2"/>
      <c r="AE4732" s="2"/>
      <c r="AF4732" s="2"/>
      <c r="AG4732" s="2"/>
      <c r="AH4732" s="2"/>
      <c r="AI4732" s="2"/>
      <c r="AJ4732" s="2"/>
      <c r="AK4732" s="2"/>
      <c r="AL4732" s="2"/>
      <c r="AM4732" s="2"/>
      <c r="AN4732" s="2"/>
      <c r="AO4732" s="2"/>
      <c r="AP4732" s="2"/>
      <c r="AQ4732" s="2"/>
      <c r="AR4732" s="2"/>
      <c r="AS4732" s="2"/>
      <c r="AT4732" s="2"/>
      <c r="AU4732" s="2"/>
      <c r="AV4732" s="2"/>
      <c r="AW4732" s="2"/>
      <c r="AX4732" s="2"/>
      <c r="AY4732" s="2"/>
      <c r="AZ4732" s="2"/>
      <c r="BA4732" s="2"/>
      <c r="BB4732" s="2"/>
    </row>
    <row r="4733" ht="204.75" customHeight="1">
      <c r="A4733" s="1">
        <v>459.0</v>
      </c>
      <c r="B4733" s="2" t="s">
        <v>13332</v>
      </c>
      <c r="C4733" s="2">
        <f>IFERROR(__xludf.DUMMYFUNCTION("split(B4733,""_"")"),1901.0)</f>
        <v>1901</v>
      </c>
      <c r="D4733" s="2" t="str">
        <f>IFERROR(__xludf.DUMMYFUNCTION("""COMPUTED_VALUE"""),"TBS")</f>
        <v>TBS</v>
      </c>
      <c r="E4733" s="2" t="str">
        <f>IFERROR(__xludf.DUMMYFUNCTION("""COMPUTED_VALUE"""),"日21")</f>
        <v>日21</v>
      </c>
      <c r="F4733" s="2" t="s">
        <v>13333</v>
      </c>
      <c r="G4733" s="2" t="s">
        <v>13336</v>
      </c>
      <c r="H4733" s="1">
        <v>2.0</v>
      </c>
      <c r="I4733" s="1" t="s">
        <v>2872</v>
      </c>
      <c r="J4733" s="1" t="s">
        <v>4</v>
      </c>
      <c r="K4733" s="2" t="s">
        <v>13337</v>
      </c>
      <c r="L4733" s="2"/>
      <c r="M4733" s="2" t="str">
        <f>IFERROR(__xludf.DUMMYFUNCTION("split(split(K4733,""【"",false),""公式LINE"",false)"),"事務所の名誉顧問であり神山佳恵(賀来千香子)の父、神山大輔(橋爪功)が事務所を尋ねてくる。大輔は、酒酔い運転を起こし、さらに警官に抵抗し公務執行妨害を起こした罪で起訴されたのだ。  大輔は無罪を主張するが、状況証拠からは、どうみてもクロ(有罪)。  その弁護を杏子(常盤貴子)は大輔から依頼される。多田(小泉孝太郎)は、新人には無理だと反対するが、杏子は自ら担当することを決意する。しかし、大輔から、新人で自分の言うとおりになるから指名されたと聞かされて愕然とする杏子。自由奔放な大輔に翻弄される。しかも、神山"&amp;"から大輔が妻を殺したという衝撃の告白を聞かされる。そんな中、特捜部長の脇坂(吉田鋼太郎)が杏子に接触。壮一郎の疑惑が深まる中、壮一郎と接見して核心を問う。そこで衝撃の告白をされる。杏子は壮一郎とのことも、そして担当する大輔の弁護でも窮地に立たされる。")</f>
        <v>事務所の名誉顧問であり神山佳恵(賀来千香子)の父、神山大輔(橋爪功)が事務所を尋ねてくる。大輔は、酒酔い運転を起こし、さらに警官に抵抗し公務執行妨害を起こした罪で起訴されたのだ。  大輔は無罪を主張するが、状況証拠からは、どうみてもクロ(有罪)。  その弁護を杏子(常盤貴子)は大輔から依頼される。多田(小泉孝太郎)は、新人には無理だと反対するが、杏子は自ら担当することを決意する。しかし、大輔から、新人で自分の言うとおりになるから指名されたと聞かされて愕然とする杏子。自由奔放な大輔に翻弄される。しかも、神山から大輔が妻を殺したという衝撃の告白を聞かされる。そんな中、特捜部長の脇坂(吉田鋼太郎)が杏子に接触。壮一郎の疑惑が深まる中、壮一郎と接見して核心を問う。そこで衝撃の告白をされる。杏子は壮一郎とのことも、そして担当する大輔の弁護でも窮地に立たされる。</v>
      </c>
      <c r="N4733" s="2"/>
      <c r="O4733" s="2"/>
      <c r="P4733" s="2"/>
      <c r="Q4733" s="2"/>
      <c r="R4733" s="2"/>
      <c r="S4733" s="2"/>
      <c r="T4733" s="2"/>
      <c r="U4733" s="2"/>
      <c r="V4733" s="2"/>
      <c r="W4733" s="2"/>
      <c r="X4733" s="2"/>
      <c r="Y4733" s="2"/>
      <c r="Z4733" s="2"/>
      <c r="AA4733" s="2"/>
      <c r="AB4733" s="2"/>
      <c r="AC4733" s="2"/>
      <c r="AD4733" s="2"/>
      <c r="AE4733" s="2"/>
      <c r="AF4733" s="2"/>
      <c r="AG4733" s="2"/>
      <c r="AH4733" s="2"/>
      <c r="AI4733" s="2"/>
      <c r="AJ4733" s="2"/>
      <c r="AK4733" s="2"/>
      <c r="AL4733" s="2"/>
      <c r="AM4733" s="2"/>
      <c r="AN4733" s="2"/>
      <c r="AO4733" s="2"/>
      <c r="AP4733" s="2"/>
      <c r="AQ4733" s="2"/>
      <c r="AR4733" s="2"/>
      <c r="AS4733" s="2"/>
      <c r="AT4733" s="2"/>
      <c r="AU4733" s="2"/>
      <c r="AV4733" s="2"/>
      <c r="AW4733" s="2"/>
      <c r="AX4733" s="2"/>
      <c r="AY4733" s="2"/>
      <c r="AZ4733" s="2"/>
      <c r="BA4733" s="2"/>
      <c r="BB4733" s="2"/>
    </row>
    <row r="4734" ht="204.75" customHeight="1">
      <c r="A4734" s="1">
        <v>460.0</v>
      </c>
      <c r="B4734" s="2" t="s">
        <v>13332</v>
      </c>
      <c r="C4734" s="2">
        <f>IFERROR(__xludf.DUMMYFUNCTION("split(B4734,""_"")"),1901.0)</f>
        <v>1901</v>
      </c>
      <c r="D4734" s="2" t="str">
        <f>IFERROR(__xludf.DUMMYFUNCTION("""COMPUTED_VALUE"""),"TBS")</f>
        <v>TBS</v>
      </c>
      <c r="E4734" s="2" t="str">
        <f>IFERROR(__xludf.DUMMYFUNCTION("""COMPUTED_VALUE"""),"日21")</f>
        <v>日21</v>
      </c>
      <c r="F4734" s="2" t="s">
        <v>13333</v>
      </c>
      <c r="G4734" s="2" t="s">
        <v>13338</v>
      </c>
      <c r="H4734" s="1">
        <v>3.0</v>
      </c>
      <c r="I4734" s="1" t="s">
        <v>2876</v>
      </c>
      <c r="J4734" s="1" t="s">
        <v>11</v>
      </c>
      <c r="K4734" s="2" t="s">
        <v>13339</v>
      </c>
      <c r="L4734" s="2"/>
      <c r="M4734" s="2" t="str">
        <f>IFERROR(__xludf.DUMMYFUNCTION("split(split(K4734,""【"",false),""公式LINE"",false)"),"回送列車の脱線事故が発生し、運転手が死亡。杏子(常盤貴子)、多田(小泉孝太郎)、朝飛(北村匠海)が担当することになった。相手の代理人は河合映美(江口のりこ)。杏子たちは過重労働による事故で1億円の賠償金を請求するが、映美たちは運転士の居眠りだとして50万の見舞金を提案。真っ向から主張が対立する。しかも、妊婦である映美は、形勢が悪くなるお体調不良を理由に一方的に交渉を打ち切る始末。一方、杏子は拘置所にいる壮一郎(唐沢寿明)と面会し、過去の話をする中で、前向きな気持ちになる。そんな杏子に歯がゆい気持ちの多田。"&amp;"そんな中、過重労働の案件で、杏子はある違和感に気づき・・・")</f>
        <v>回送列車の脱線事故が発生し、運転手が死亡。杏子(常盤貴子)、多田(小泉孝太郎)、朝飛(北村匠海)が担当することになった。相手の代理人は河合映美(江口のりこ)。杏子たちは過重労働による事故で1億円の賠償金を請求するが、映美たちは運転士の居眠りだとして50万の見舞金を提案。真っ向から主張が対立する。しかも、妊婦である映美は、形勢が悪くなるお体調不良を理由に一方的に交渉を打ち切る始末。一方、杏子は拘置所にいる壮一郎(唐沢寿明)と面会し、過去の話をする中で、前向きな気持ちになる。そんな杏子に歯がゆい気持ちの多田。そんな中、過重労働の案件で、杏子はある違和感に気づき・・・</v>
      </c>
      <c r="N4734" s="2"/>
      <c r="O4734" s="2"/>
      <c r="P4734" s="2"/>
      <c r="Q4734" s="2"/>
      <c r="R4734" s="2"/>
      <c r="S4734" s="2"/>
      <c r="T4734" s="2"/>
      <c r="U4734" s="2"/>
      <c r="V4734" s="2"/>
      <c r="W4734" s="2"/>
      <c r="X4734" s="2"/>
      <c r="Y4734" s="2"/>
      <c r="Z4734" s="2"/>
      <c r="AA4734" s="2"/>
      <c r="AB4734" s="2"/>
      <c r="AC4734" s="2"/>
      <c r="AD4734" s="2"/>
      <c r="AE4734" s="2"/>
      <c r="AF4734" s="2"/>
      <c r="AG4734" s="2"/>
      <c r="AH4734" s="2"/>
      <c r="AI4734" s="2"/>
      <c r="AJ4734" s="2"/>
      <c r="AK4734" s="2"/>
      <c r="AL4734" s="2"/>
      <c r="AM4734" s="2"/>
      <c r="AN4734" s="2"/>
      <c r="AO4734" s="2"/>
      <c r="AP4734" s="2"/>
      <c r="AQ4734" s="2"/>
      <c r="AR4734" s="2"/>
      <c r="AS4734" s="2"/>
      <c r="AT4734" s="2"/>
      <c r="AU4734" s="2"/>
      <c r="AV4734" s="2"/>
      <c r="AW4734" s="2"/>
      <c r="AX4734" s="2"/>
      <c r="AY4734" s="2"/>
      <c r="AZ4734" s="2"/>
      <c r="BA4734" s="2"/>
      <c r="BB4734" s="2"/>
    </row>
    <row r="4735" ht="204.75" customHeight="1">
      <c r="A4735" s="1">
        <v>461.0</v>
      </c>
      <c r="B4735" s="2" t="s">
        <v>13332</v>
      </c>
      <c r="C4735" s="2">
        <f>IFERROR(__xludf.DUMMYFUNCTION("split(B4735,""_"")"),1901.0)</f>
        <v>1901</v>
      </c>
      <c r="D4735" s="2" t="str">
        <f>IFERROR(__xludf.DUMMYFUNCTION("""COMPUTED_VALUE"""),"TBS")</f>
        <v>TBS</v>
      </c>
      <c r="E4735" s="2" t="str">
        <f>IFERROR(__xludf.DUMMYFUNCTION("""COMPUTED_VALUE"""),"日21")</f>
        <v>日21</v>
      </c>
      <c r="F4735" s="2" t="s">
        <v>13333</v>
      </c>
      <c r="G4735" s="2" t="s">
        <v>13340</v>
      </c>
      <c r="H4735" s="1">
        <v>4.0</v>
      </c>
      <c r="I4735" s="1" t="s">
        <v>2880</v>
      </c>
      <c r="J4735" s="1" t="s">
        <v>11</v>
      </c>
      <c r="K4735" s="2" t="s">
        <v>13341</v>
      </c>
      <c r="L4735" s="2"/>
      <c r="M4735" s="2" t="str">
        <f>IFERROR(__xludf.DUMMYFUNCTION("split(split(K4735,""【"",false),""公式LINE"",false)"),"杏子(常盤貴子)が以前すんでいた家の近所の男子高校生・萩原翔平(佐藤緋美)が傷害致死容疑で逮捕された。翔平の母・奈津子(須藤理彩)は、かつて杏子の親友だったが、壮一郎(唐沢寿明)の逮捕後、真っ先に杏子との連絡を絶った人だった。  杏子は、奈津子との関係を考えて、朝飛(北村匠海)にメインで弁護をお願いする。  翔平は容疑を否認するが、状況証拠はそろっていて、無実の立証は不可能に近い。そこで、朝飛は罪を認めて情状酌量すべきだと主張。本人が否認している限り、裁判で争うべきだという杏子と対立する。そんな中、朝飛が"&amp;"隠していたある事実が発覚し・・・  一方、勾留中の壮一郎の起訴が決まる。脇坂(吉田鋼太郎)の追い込みを受けて、形勢は不利になる。そんなとき、壮一郎のもとをある男が訪ねてくる。それは杏子を思う多田(小泉孝太郎)だった・・・ ")</f>
        <v>杏子(常盤貴子)が以前すんでいた家の近所の男子高校生・萩原翔平(佐藤緋美)が傷害致死容疑で逮捕された。翔平の母・奈津子(須藤理彩)は、かつて杏子の親友だったが、壮一郎(唐沢寿明)の逮捕後、真っ先に杏子との連絡を絶った人だった。  杏子は、奈津子との関係を考えて、朝飛(北村匠海)にメインで弁護をお願いする。  翔平は容疑を否認するが、状況証拠はそろっていて、無実の立証は不可能に近い。そこで、朝飛は罪を認めて情状酌量すべきだと主張。本人が否認している限り、裁判で争うべきだという杏子と対立する。そんな中、朝飛が隠していたある事実が発覚し・・・  一方、勾留中の壮一郎の起訴が決まる。脇坂(吉田鋼太郎)の追い込みを受けて、形勢は不利になる。そんなとき、壮一郎のもとをある男が訪ねてくる。それは杏子を思う多田(小泉孝太郎)だった・・・ </v>
      </c>
      <c r="N4735" s="2"/>
      <c r="O4735" s="2"/>
      <c r="P4735" s="2"/>
      <c r="Q4735" s="2"/>
      <c r="R4735" s="2"/>
      <c r="S4735" s="2"/>
      <c r="T4735" s="2"/>
      <c r="U4735" s="2"/>
      <c r="V4735" s="2"/>
      <c r="W4735" s="2"/>
      <c r="X4735" s="2"/>
      <c r="Y4735" s="2"/>
      <c r="Z4735" s="2"/>
      <c r="AA4735" s="2"/>
      <c r="AB4735" s="2"/>
      <c r="AC4735" s="2"/>
      <c r="AD4735" s="2"/>
      <c r="AE4735" s="2"/>
      <c r="AF4735" s="2"/>
      <c r="AG4735" s="2"/>
      <c r="AH4735" s="2"/>
      <c r="AI4735" s="2"/>
      <c r="AJ4735" s="2"/>
      <c r="AK4735" s="2"/>
      <c r="AL4735" s="2"/>
      <c r="AM4735" s="2"/>
      <c r="AN4735" s="2"/>
      <c r="AO4735" s="2"/>
      <c r="AP4735" s="2"/>
      <c r="AQ4735" s="2"/>
      <c r="AR4735" s="2"/>
      <c r="AS4735" s="2"/>
      <c r="AT4735" s="2"/>
      <c r="AU4735" s="2"/>
      <c r="AV4735" s="2"/>
      <c r="AW4735" s="2"/>
      <c r="AX4735" s="2"/>
      <c r="AY4735" s="2"/>
      <c r="AZ4735" s="2"/>
      <c r="BA4735" s="2"/>
      <c r="BB4735" s="2"/>
    </row>
    <row r="4736" ht="204.75" customHeight="1">
      <c r="A4736" s="1">
        <v>462.0</v>
      </c>
      <c r="B4736" s="2" t="s">
        <v>13332</v>
      </c>
      <c r="C4736" s="2">
        <f>IFERROR(__xludf.DUMMYFUNCTION("split(B4736,""_"")"),1901.0)</f>
        <v>1901</v>
      </c>
      <c r="D4736" s="2" t="str">
        <f>IFERROR(__xludf.DUMMYFUNCTION("""COMPUTED_VALUE"""),"TBS")</f>
        <v>TBS</v>
      </c>
      <c r="E4736" s="2" t="str">
        <f>IFERROR(__xludf.DUMMYFUNCTION("""COMPUTED_VALUE"""),"日21")</f>
        <v>日21</v>
      </c>
      <c r="F4736" s="2" t="s">
        <v>13333</v>
      </c>
      <c r="G4736" s="2" t="s">
        <v>13342</v>
      </c>
      <c r="H4736" s="1">
        <v>5.0</v>
      </c>
      <c r="I4736" s="1" t="s">
        <v>2884</v>
      </c>
      <c r="J4736" s="1" t="s">
        <v>11</v>
      </c>
      <c r="K4736" s="2" t="s">
        <v>13343</v>
      </c>
      <c r="L4736" s="2"/>
      <c r="M4736" s="2" t="str">
        <f>IFERROR(__xludf.DUMMYFUNCTION("split(split(K4736,""【"",false),""公式LINE"",false)"),"資産20億のロックスター東城数矢(宇崎竜童)の離婚訴訟を巡り、妻のちなみ(銀粉蝶)の代理人になった杏子(常盤貴子)。数矢は恋人の唯奈(松本まりか)と結婚するつもりだという。  杏子は、財産分与などで11億を請求するが、数矢の代理人弁護士・栗山美咲(芦名星)は、6千万が妥当だと主張。法律的根拠も相手側にあり窮地に…しかも美咲は多田(小泉孝太郎)の元彼女。多田のことも知り尽くす。  そんな中、突然の事故で数矢は意識不明の重体に陥ってしまう。妻と愛人は、数矢の命と財産を巡り争い始める。一方、杏子(常盤貴子)の元"&amp;"に東京地検特捜部長の脇坂(吉田鋼太郎)の妻・玲子(峯村リエ)が現れる。脇坂との離婚協議で杏子に代理人をお願いしにきたのだ。しかも玲子は、壮一郎に関しての脇坂の弱みを握っているようで…二つの離婚協議ははたしてどうなるのか。  そして、壮一郎(唐沢寿明)も、事件の真相にたどり着きつつあった。遂に自分の事件を画策した人物の正体を突き止めたのだ。その男とは一体だれなのか。")</f>
        <v>資産20億のロックスター東城数矢(宇崎竜童)の離婚訴訟を巡り、妻のちなみ(銀粉蝶)の代理人になった杏子(常盤貴子)。数矢は恋人の唯奈(松本まりか)と結婚するつもりだという。  杏子は、財産分与などで11億を請求するが、数矢の代理人弁護士・栗山美咲(芦名星)は、6千万が妥当だと主張。法律的根拠も相手側にあり窮地に…しかも美咲は多田(小泉孝太郎)の元彼女。多田のことも知り尽くす。  そんな中、突然の事故で数矢は意識不明の重体に陥ってしまう。妻と愛人は、数矢の命と財産を巡り争い始める。一方、杏子(常盤貴子)の元に東京地検特捜部長の脇坂(吉田鋼太郎)の妻・玲子(峯村リエ)が現れる。脇坂との離婚協議で杏子に代理人をお願いしにきたのだ。しかも玲子は、壮一郎に関しての脇坂の弱みを握っているようで…二つの離婚協議ははたしてどうなるのか。  そして、壮一郎(唐沢寿明)も、事件の真相にたどり着きつつあった。遂に自分の事件を画策した人物の正体を突き止めたのだ。その男とは一体だれなのか。</v>
      </c>
      <c r="N4736" s="2"/>
      <c r="O4736" s="2"/>
      <c r="P4736" s="2"/>
      <c r="Q4736" s="2"/>
      <c r="R4736" s="2"/>
      <c r="S4736" s="2"/>
      <c r="T4736" s="2"/>
      <c r="U4736" s="2"/>
      <c r="V4736" s="2"/>
      <c r="W4736" s="2"/>
      <c r="X4736" s="2"/>
      <c r="Y4736" s="2"/>
      <c r="Z4736" s="2"/>
      <c r="AA4736" s="2"/>
      <c r="AB4736" s="2"/>
      <c r="AC4736" s="2"/>
      <c r="AD4736" s="2"/>
      <c r="AE4736" s="2"/>
      <c r="AF4736" s="2"/>
      <c r="AG4736" s="2"/>
      <c r="AH4736" s="2"/>
      <c r="AI4736" s="2"/>
      <c r="AJ4736" s="2"/>
      <c r="AK4736" s="2"/>
      <c r="AL4736" s="2"/>
      <c r="AM4736" s="2"/>
      <c r="AN4736" s="2"/>
      <c r="AO4736" s="2"/>
      <c r="AP4736" s="2"/>
      <c r="AQ4736" s="2"/>
      <c r="AR4736" s="2"/>
      <c r="AS4736" s="2"/>
      <c r="AT4736" s="2"/>
      <c r="AU4736" s="2"/>
      <c r="AV4736" s="2"/>
      <c r="AW4736" s="2"/>
      <c r="AX4736" s="2"/>
      <c r="AY4736" s="2"/>
      <c r="AZ4736" s="2"/>
      <c r="BA4736" s="2"/>
      <c r="BB4736" s="2"/>
    </row>
    <row r="4737" ht="204.75" customHeight="1">
      <c r="A4737" s="1">
        <v>463.0</v>
      </c>
      <c r="B4737" s="2" t="s">
        <v>13332</v>
      </c>
      <c r="C4737" s="2">
        <f>IFERROR(__xludf.DUMMYFUNCTION("split(B4737,""_"")"),1901.0)</f>
        <v>1901</v>
      </c>
      <c r="D4737" s="2" t="str">
        <f>IFERROR(__xludf.DUMMYFUNCTION("""COMPUTED_VALUE"""),"TBS")</f>
        <v>TBS</v>
      </c>
      <c r="E4737" s="2" t="str">
        <f>IFERROR(__xludf.DUMMYFUNCTION("""COMPUTED_VALUE"""),"日21")</f>
        <v>日21</v>
      </c>
      <c r="F4737" s="2" t="s">
        <v>13333</v>
      </c>
      <c r="G4737" s="2" t="s">
        <v>13344</v>
      </c>
      <c r="H4737" s="1">
        <v>6.0</v>
      </c>
      <c r="I4737" s="1" t="s">
        <v>2888</v>
      </c>
      <c r="J4737" s="1" t="s">
        <v>11</v>
      </c>
      <c r="K4737" s="2" t="s">
        <v>13345</v>
      </c>
      <c r="L4737" s="2"/>
      <c r="M4737" s="2" t="str">
        <f>IFERROR(__xludf.DUMMYFUNCTION("split(split(K4737,""【"",false),""公式LINE"",false)"),"多田(小泉孝太郎)が賠償金15億円を見込める健康被害に対する集団訴訟の代理人をすることになる。多田が3年かけて無料相談にのった案件。杏子(常盤貴子)と共に正式契約を結びに行く日、もう一人の弁護士が呼ばれていた。車椅子に乗った弁護士・三栗谷剛(春風亭昇太)だ。人づてに聞きつけて、首を突っ込んできたのだ。  病気により車椅子生活を送っている立場を巧みに利用して被害者に取り入る。さらに次々と用意周到な手を打ち、杏子と多田のペースを乱していく。結局どちらが代理人をやるか、多数決で決めることに・・・  一方、ついに"&amp;"保釈され、帰宅が決まった壮一郎(唐沢寿明)。佐々木(滝藤賢一)と共に南原(三遊亭円楽)を決定的に追い詰める証拠を探していた。そんな中、南原と脇坂(吉田鋼太郎)が接触するところを目撃。南原に接触をはかる")</f>
        <v>多田(小泉孝太郎)が賠償金15億円を見込める健康被害に対する集団訴訟の代理人をすることになる。多田が3年かけて無料相談にのった案件。杏子(常盤貴子)と共に正式契約を結びに行く日、もう一人の弁護士が呼ばれていた。車椅子に乗った弁護士・三栗谷剛(春風亭昇太)だ。人づてに聞きつけて、首を突っ込んできたのだ。  病気により車椅子生活を送っている立場を巧みに利用して被害者に取り入る。さらに次々と用意周到な手を打ち、杏子と多田のペースを乱していく。結局どちらが代理人をやるか、多数決で決めることに・・・  一方、ついに保釈され、帰宅が決まった壮一郎(唐沢寿明)。佐々木(滝藤賢一)と共に南原(三遊亭円楽)を決定的に追い詰める証拠を探していた。そんな中、南原と脇坂(吉田鋼太郎)が接触するところを目撃。南原に接触をはかる</v>
      </c>
      <c r="N4737" s="2"/>
      <c r="O4737" s="2"/>
      <c r="P4737" s="2"/>
      <c r="Q4737" s="2"/>
      <c r="R4737" s="2"/>
      <c r="S4737" s="2"/>
      <c r="T4737" s="2"/>
      <c r="U4737" s="2"/>
      <c r="V4737" s="2"/>
      <c r="W4737" s="2"/>
      <c r="X4737" s="2"/>
      <c r="Y4737" s="2"/>
      <c r="Z4737" s="2"/>
      <c r="AA4737" s="2"/>
      <c r="AB4737" s="2"/>
      <c r="AC4737" s="2"/>
      <c r="AD4737" s="2"/>
      <c r="AE4737" s="2"/>
      <c r="AF4737" s="2"/>
      <c r="AG4737" s="2"/>
      <c r="AH4737" s="2"/>
      <c r="AI4737" s="2"/>
      <c r="AJ4737" s="2"/>
      <c r="AK4737" s="2"/>
      <c r="AL4737" s="2"/>
      <c r="AM4737" s="2"/>
      <c r="AN4737" s="2"/>
      <c r="AO4737" s="2"/>
      <c r="AP4737" s="2"/>
      <c r="AQ4737" s="2"/>
      <c r="AR4737" s="2"/>
      <c r="AS4737" s="2"/>
      <c r="AT4737" s="2"/>
      <c r="AU4737" s="2"/>
      <c r="AV4737" s="2"/>
      <c r="AW4737" s="2"/>
      <c r="AX4737" s="2"/>
      <c r="AY4737" s="2"/>
      <c r="AZ4737" s="2"/>
      <c r="BA4737" s="2"/>
      <c r="BB4737" s="2"/>
    </row>
    <row r="4738" ht="204.75" customHeight="1">
      <c r="A4738" s="1">
        <v>464.0</v>
      </c>
      <c r="B4738" s="2" t="s">
        <v>13332</v>
      </c>
      <c r="C4738" s="2">
        <f>IFERROR(__xludf.DUMMYFUNCTION("split(B4738,""_"")"),1901.0)</f>
        <v>1901</v>
      </c>
      <c r="D4738" s="2" t="str">
        <f>IFERROR(__xludf.DUMMYFUNCTION("""COMPUTED_VALUE"""),"TBS")</f>
        <v>TBS</v>
      </c>
      <c r="E4738" s="2" t="str">
        <f>IFERROR(__xludf.DUMMYFUNCTION("""COMPUTED_VALUE"""),"日21")</f>
        <v>日21</v>
      </c>
      <c r="F4738" s="2" t="s">
        <v>13333</v>
      </c>
      <c r="G4738" s="2" t="s">
        <v>13346</v>
      </c>
      <c r="H4738" s="1">
        <v>7.0</v>
      </c>
      <c r="I4738" s="1" t="s">
        <v>2892</v>
      </c>
      <c r="J4738" s="1" t="s">
        <v>11</v>
      </c>
      <c r="K4738" s="2" t="s">
        <v>13347</v>
      </c>
      <c r="L4738" s="2"/>
      <c r="M4738" s="2" t="str">
        <f>IFERROR(__xludf.DUMMYFUNCTION("split(split(K4738,""【"",false),""公式LINE"",false)"),"多田(小泉孝太郎)の告白を聞いてしまった壮一郎(唐沢寿明)は怒りに満ちていた。しかし、そのことを知らない杏子(常盤貴子)は夫の弁護人として、事件の全容を聞く。  それは現職の政治家・南原(三遊亭円楽)の汚職…壮一郎が特捜部長時代に、佐々木(滝藤賢一)と共に極秘捜査していた案件だった。そして、匿名の情報提供者からある文書をもらう直前に逮捕された。情報提供者を見つけ出せば、罪がはらせる。一方、事務所にはカリスマIT社長・剣持(浜野謙太)が訪ねてきていた。剣持をモデルにした映画が無断で作成されて、著しく名誉を棄"&amp;"損されたというのだ。映画会社を相手取り訴訟を起こすことになるのだが、盗作を証明するのはなかなか難しく窮地に追い込まれていた。  そんな時、壮一郎が多田と鉢合わせる。  直接対面した二人が何を話すのか。")</f>
        <v>多田(小泉孝太郎)の告白を聞いてしまった壮一郎(唐沢寿明)は怒りに満ちていた。しかし、そのことを知らない杏子(常盤貴子)は夫の弁護人として、事件の全容を聞く。  それは現職の政治家・南原(三遊亭円楽)の汚職…壮一郎が特捜部長時代に、佐々木(滝藤賢一)と共に極秘捜査していた案件だった。そして、匿名の情報提供者からある文書をもらう直前に逮捕された。情報提供者を見つけ出せば、罪がはらせる。一方、事務所にはカリスマIT社長・剣持(浜野謙太)が訪ねてきていた。剣持をモデルにした映画が無断で作成されて、著しく名誉を棄損されたというのだ。映画会社を相手取り訴訟を起こすことになるのだが、盗作を証明するのはなかなか難しく窮地に追い込まれていた。  そんな時、壮一郎が多田と鉢合わせる。  直接対面した二人が何を話すのか。</v>
      </c>
      <c r="N4738" s="2"/>
      <c r="O4738" s="2"/>
      <c r="P4738" s="2"/>
      <c r="Q4738" s="2"/>
      <c r="R4738" s="2"/>
      <c r="S4738" s="2"/>
      <c r="T4738" s="2"/>
      <c r="U4738" s="2"/>
      <c r="V4738" s="2"/>
      <c r="W4738" s="2"/>
      <c r="X4738" s="2"/>
      <c r="Y4738" s="2"/>
      <c r="Z4738" s="2"/>
      <c r="AA4738" s="2"/>
      <c r="AB4738" s="2"/>
      <c r="AC4738" s="2"/>
      <c r="AD4738" s="2"/>
      <c r="AE4738" s="2"/>
      <c r="AF4738" s="2"/>
      <c r="AG4738" s="2"/>
      <c r="AH4738" s="2"/>
      <c r="AI4738" s="2"/>
      <c r="AJ4738" s="2"/>
      <c r="AK4738" s="2"/>
      <c r="AL4738" s="2"/>
      <c r="AM4738" s="2"/>
      <c r="AN4738" s="2"/>
      <c r="AO4738" s="2"/>
      <c r="AP4738" s="2"/>
      <c r="AQ4738" s="2"/>
      <c r="AR4738" s="2"/>
      <c r="AS4738" s="2"/>
      <c r="AT4738" s="2"/>
      <c r="AU4738" s="2"/>
      <c r="AV4738" s="2"/>
      <c r="AW4738" s="2"/>
      <c r="AX4738" s="2"/>
      <c r="AY4738" s="2"/>
      <c r="AZ4738" s="2"/>
      <c r="BA4738" s="2"/>
      <c r="BB4738" s="2"/>
    </row>
    <row r="4739" ht="204.75" customHeight="1">
      <c r="A4739" s="1">
        <v>465.0</v>
      </c>
      <c r="B4739" s="2" t="s">
        <v>13332</v>
      </c>
      <c r="C4739" s="2">
        <f>IFERROR(__xludf.DUMMYFUNCTION("split(B4739,""_"")"),1901.0)</f>
        <v>1901</v>
      </c>
      <c r="D4739" s="2" t="str">
        <f>IFERROR(__xludf.DUMMYFUNCTION("""COMPUTED_VALUE"""),"TBS")</f>
        <v>TBS</v>
      </c>
      <c r="E4739" s="2" t="str">
        <f>IFERROR(__xludf.DUMMYFUNCTION("""COMPUTED_VALUE"""),"日21")</f>
        <v>日21</v>
      </c>
      <c r="F4739" s="2" t="s">
        <v>13333</v>
      </c>
      <c r="G4739" s="2" t="s">
        <v>13348</v>
      </c>
      <c r="H4739" s="1">
        <v>8.0</v>
      </c>
      <c r="I4739" s="1" t="s">
        <v>2896</v>
      </c>
      <c r="J4739" s="1" t="s">
        <v>11</v>
      </c>
      <c r="K4739" s="2" t="s">
        <v>13349</v>
      </c>
      <c r="L4739" s="2"/>
      <c r="M4739" s="2" t="str">
        <f>IFERROR(__xludf.DUMMYFUNCTION("split(split(K4739,""【"",false),""公式LINE"",false)"),"杏子(常盤貴子)は壮一郎(唐沢寿明)のスキャンダル相手である遠山亜紀(相武紗季)に会いに行く。しかし何も話さない。  そこに壮一郎の裁判が始まる。検察側は賄賂の証拠を固めてきていた。絶対的不利な状況で裁判が進む中、壮一郎は“本当の情報提供者""をみつけることが、事件解決に繋がると杏子たちに説明する。  一方で脇坂(吉田鋼太郎)は円香(水原希子)に接触して円香の秘密をだしに、利用しようとする。そんなとき、多田(小泉孝太郎)が壮一郎を訪ねて、蓮見家に来る。杏子がこのままでは朝飛(北村匠海)との正式採用に負ける"&amp;"ことを伝えに来た。そして、そこで衝撃的な発言をする。  そんな中、杏子は亜紀を調べていくうちに、亜紀のある秘密を知る。再び亜紀に会いに行く決意をするが・・・  追い込まれながら、少しずつ真実に近づいている杏子たち。そして、ついに“本当の情報提供者""にたどり着く。その正体は!?  ")</f>
        <v>杏子(常盤貴子)は壮一郎(唐沢寿明)のスキャンダル相手である遠山亜紀(相武紗季)に会いに行く。しかし何も話さない。  そこに壮一郎の裁判が始まる。検察側は賄賂の証拠を固めてきていた。絶対的不利な状況で裁判が進む中、壮一郎は“本当の情報提供者"をみつけることが、事件解決に繋がると杏子たちに説明する。  一方で脇坂(吉田鋼太郎)は円香(水原希子)に接触して円香の秘密をだしに、利用しようとする。そんなとき、多田(小泉孝太郎)が壮一郎を訪ねて、蓮見家に来る。杏子がこのままでは朝飛(北村匠海)との正式採用に負けることを伝えに来た。そして、そこで衝撃的な発言をする。  そんな中、杏子は亜紀を調べていくうちに、亜紀のある秘密を知る。再び亜紀に会いに行く決意をするが・・・  追い込まれながら、少しずつ真実に近づいている杏子たち。そして、ついに“本当の情報提供者"にたどり着く。その正体は!?  </v>
      </c>
      <c r="N4739" s="2"/>
      <c r="O4739" s="2"/>
      <c r="P4739" s="2"/>
      <c r="Q4739" s="2"/>
      <c r="R4739" s="2"/>
      <c r="S4739" s="2"/>
      <c r="T4739" s="2"/>
      <c r="U4739" s="2"/>
      <c r="V4739" s="2"/>
      <c r="W4739" s="2"/>
      <c r="X4739" s="2"/>
      <c r="Y4739" s="2"/>
      <c r="Z4739" s="2"/>
      <c r="AA4739" s="2"/>
      <c r="AB4739" s="2"/>
      <c r="AC4739" s="2"/>
      <c r="AD4739" s="2"/>
      <c r="AE4739" s="2"/>
      <c r="AF4739" s="2"/>
      <c r="AG4739" s="2"/>
      <c r="AH4739" s="2"/>
      <c r="AI4739" s="2"/>
      <c r="AJ4739" s="2"/>
      <c r="AK4739" s="2"/>
      <c r="AL4739" s="2"/>
      <c r="AM4739" s="2"/>
      <c r="AN4739" s="2"/>
      <c r="AO4739" s="2"/>
      <c r="AP4739" s="2"/>
      <c r="AQ4739" s="2"/>
      <c r="AR4739" s="2"/>
      <c r="AS4739" s="2"/>
      <c r="AT4739" s="2"/>
      <c r="AU4739" s="2"/>
      <c r="AV4739" s="2"/>
      <c r="AW4739" s="2"/>
      <c r="AX4739" s="2"/>
      <c r="AY4739" s="2"/>
      <c r="AZ4739" s="2"/>
      <c r="BA4739" s="2"/>
      <c r="BB4739" s="2"/>
    </row>
    <row r="4740" ht="204.75" customHeight="1">
      <c r="A4740" s="1">
        <v>466.0</v>
      </c>
      <c r="B4740" s="2" t="s">
        <v>13332</v>
      </c>
      <c r="C4740" s="2">
        <f>IFERROR(__xludf.DUMMYFUNCTION("split(B4740,""_"")"),1901.0)</f>
        <v>1901</v>
      </c>
      <c r="D4740" s="2" t="str">
        <f>IFERROR(__xludf.DUMMYFUNCTION("""COMPUTED_VALUE"""),"TBS")</f>
        <v>TBS</v>
      </c>
      <c r="E4740" s="2" t="str">
        <f>IFERROR(__xludf.DUMMYFUNCTION("""COMPUTED_VALUE"""),"日21")</f>
        <v>日21</v>
      </c>
      <c r="F4740" s="2" t="s">
        <v>13333</v>
      </c>
      <c r="G4740" s="2" t="s">
        <v>13350</v>
      </c>
      <c r="H4740" s="1">
        <v>9.0</v>
      </c>
      <c r="I4740" s="1" t="s">
        <v>2900</v>
      </c>
      <c r="J4740" s="1" t="s">
        <v>11</v>
      </c>
      <c r="K4740" s="2" t="s">
        <v>13351</v>
      </c>
      <c r="L4740" s="2"/>
      <c r="M4740" s="2" t="str">
        <f>IFERROR(__xludf.DUMMYFUNCTION("split(split(K4740,""【"",false),""公式LINE"",false)"),"壮一郎(唐沢寿明)の一連の事件を計画した“裏切り者""の正体が遂にわかった。そして、衝撃の理由を語る。  そんな中、事務所では、円香(水原希子)のある秘密が波紋を呼び、円香は事務所を辞めることを決意した。また、杏子(常盤貴子)と、朝飛(北村匠海)の本採用をかける争いも、ついに決着がつく。はたしてどちらが採用されるのか!?  一方、壮一郎はあることがきっかけで多田(小泉孝太郎)からの留守電を消したことがばれてしまう。そのことで言い合いになり、夫婦に決定的な亀裂を生む。  さらに、壮一郎は多田に関してあること"&amp;"を仕掛けようと画策していた。  そんなある日、多田の想いを改めて聞いた杏子は多田と二人きりになり、急接近する…")</f>
        <v>壮一郎(唐沢寿明)の一連の事件を計画した“裏切り者"の正体が遂にわかった。そして、衝撃の理由を語る。  そんな中、事務所では、円香(水原希子)のある秘密が波紋を呼び、円香は事務所を辞めることを決意した。また、杏子(常盤貴子)と、朝飛(北村匠海)の本採用をかける争いも、ついに決着がつく。はたしてどちらが採用されるのか!?  一方、壮一郎はあることがきっかけで多田(小泉孝太郎)からの留守電を消したことがばれてしまう。そのことで言い合いになり、夫婦に決定的な亀裂を生む。  さらに、壮一郎は多田に関してあることを仕掛けようと画策していた。  そんなある日、多田の想いを改めて聞いた杏子は多田と二人きりになり、急接近する…</v>
      </c>
      <c r="N4740" s="2"/>
      <c r="O4740" s="2"/>
      <c r="P4740" s="2"/>
      <c r="Q4740" s="2"/>
      <c r="R4740" s="2"/>
      <c r="S4740" s="2"/>
      <c r="T4740" s="2"/>
      <c r="U4740" s="2"/>
      <c r="V4740" s="2"/>
      <c r="W4740" s="2"/>
      <c r="X4740" s="2"/>
      <c r="Y4740" s="2"/>
      <c r="Z4740" s="2"/>
      <c r="AA4740" s="2"/>
      <c r="AB4740" s="2"/>
      <c r="AC4740" s="2"/>
      <c r="AD4740" s="2"/>
      <c r="AE4740" s="2"/>
      <c r="AF4740" s="2"/>
      <c r="AG4740" s="2"/>
      <c r="AH4740" s="2"/>
      <c r="AI4740" s="2"/>
      <c r="AJ4740" s="2"/>
      <c r="AK4740" s="2"/>
      <c r="AL4740" s="2"/>
      <c r="AM4740" s="2"/>
      <c r="AN4740" s="2"/>
      <c r="AO4740" s="2"/>
      <c r="AP4740" s="2"/>
      <c r="AQ4740" s="2"/>
      <c r="AR4740" s="2"/>
      <c r="AS4740" s="2"/>
      <c r="AT4740" s="2"/>
      <c r="AU4740" s="2"/>
      <c r="AV4740" s="2"/>
      <c r="AW4740" s="2"/>
      <c r="AX4740" s="2"/>
      <c r="AY4740" s="2"/>
      <c r="AZ4740" s="2"/>
      <c r="BA4740" s="2"/>
      <c r="BB4740" s="2"/>
    </row>
    <row r="4741" ht="204.75" customHeight="1">
      <c r="A4741" s="1">
        <v>467.0</v>
      </c>
      <c r="B4741" s="2" t="s">
        <v>13332</v>
      </c>
      <c r="C4741" s="2">
        <f>IFERROR(__xludf.DUMMYFUNCTION("split(B4741,""_"")"),1901.0)</f>
        <v>1901</v>
      </c>
      <c r="D4741" s="2" t="str">
        <f>IFERROR(__xludf.DUMMYFUNCTION("""COMPUTED_VALUE"""),"TBS")</f>
        <v>TBS</v>
      </c>
      <c r="E4741" s="2" t="str">
        <f>IFERROR(__xludf.DUMMYFUNCTION("""COMPUTED_VALUE"""),"日21")</f>
        <v>日21</v>
      </c>
      <c r="F4741" s="2" t="s">
        <v>13333</v>
      </c>
      <c r="G4741" s="2" t="s">
        <v>13352</v>
      </c>
      <c r="H4741" s="1">
        <v>10.0</v>
      </c>
      <c r="I4741" s="1" t="s">
        <v>37</v>
      </c>
      <c r="J4741" s="1" t="s">
        <v>11</v>
      </c>
      <c r="K4741" s="2" t="s">
        <v>13353</v>
      </c>
      <c r="L4741" s="2"/>
      <c r="M4741" s="2" t="str">
        <f>IFERROR(__xludf.DUMMYFUNCTION("split(split(K4741,""【"",false),""公式LINE"",false)"),"壮一郎(唐沢寿明)の指揮により、神山多田法律事務所に現れた脇坂(吉田鋼太郎)は、多田(小泉孝太郎)を贈賄容疑で逮捕する。  壮一郎の私情が絡んでいるのではないかと、神山(賀来千香子)に指摘される杏子(常盤貴子)だが、多田は過去に担当した案件の判決から、小宮裁判官(野間口徹)との関係を怪しまれていたのだ。  負ければ、法律事務所が潰れてしまいかねないと、神山と杏子を中心に事務所一丸となり、検察を相手に裁判で戦うことに。一方、朝飛(北村匠海)は不穏な動きを見せる。  そんな中、裁判では多田に不利な証拠が次々と"&amp;"出てくる。しかも、検察側はさらなる隠し玉を控えていて…  さらに円香(水原希子)は脇坂と会い、思わぬ行動に出る。  次々と追い込まれる中、どん底だった自分を救ってくれた多田のピンチを救えるのか!?  そして、亀裂が入った壮一郎との夫婦関係はどうなるのか")</f>
        <v>壮一郎(唐沢寿明)の指揮により、神山多田法律事務所に現れた脇坂(吉田鋼太郎)は、多田(小泉孝太郎)を贈賄容疑で逮捕する。  壮一郎の私情が絡んでいるのではないかと、神山(賀来千香子)に指摘される杏子(常盤貴子)だが、多田は過去に担当した案件の判決から、小宮裁判官(野間口徹)との関係を怪しまれていたのだ。  負ければ、法律事務所が潰れてしまいかねないと、神山と杏子を中心に事務所一丸となり、検察を相手に裁判で戦うことに。一方、朝飛(北村匠海)は不穏な動きを見せる。  そんな中、裁判では多田に不利な証拠が次々と出てくる。しかも、検察側はさらなる隠し玉を控えていて…  さらに円香(水原希子)は脇坂と会い、思わぬ行動に出る。  次々と追い込まれる中、どん底だった自分を救ってくれた多田のピンチを救えるのか!?  そして、亀裂が入った壮一郎との夫婦関係はどうなるのか</v>
      </c>
      <c r="N4741" s="2"/>
      <c r="O4741" s="2"/>
      <c r="P4741" s="2"/>
      <c r="Q4741" s="2"/>
      <c r="R4741" s="2"/>
      <c r="S4741" s="2"/>
      <c r="T4741" s="2"/>
      <c r="U4741" s="2"/>
      <c r="V4741" s="2"/>
      <c r="W4741" s="2"/>
      <c r="X4741" s="2"/>
      <c r="Y4741" s="2"/>
      <c r="Z4741" s="2"/>
      <c r="AA4741" s="2"/>
      <c r="AB4741" s="2"/>
      <c r="AC4741" s="2"/>
      <c r="AD4741" s="2"/>
      <c r="AE4741" s="2"/>
      <c r="AF4741" s="2"/>
      <c r="AG4741" s="2"/>
      <c r="AH4741" s="2"/>
      <c r="AI4741" s="2"/>
      <c r="AJ4741" s="2"/>
      <c r="AK4741" s="2"/>
      <c r="AL4741" s="2"/>
      <c r="AM4741" s="2"/>
      <c r="AN4741" s="2"/>
      <c r="AO4741" s="2"/>
      <c r="AP4741" s="2"/>
      <c r="AQ4741" s="2"/>
      <c r="AR4741" s="2"/>
      <c r="AS4741" s="2"/>
      <c r="AT4741" s="2"/>
      <c r="AU4741" s="2"/>
      <c r="AV4741" s="2"/>
      <c r="AW4741" s="2"/>
      <c r="AX4741" s="2"/>
      <c r="AY4741" s="2"/>
      <c r="AZ4741" s="2"/>
      <c r="BA4741" s="2"/>
      <c r="BB4741" s="2"/>
    </row>
    <row r="4742" ht="204.75" customHeight="1">
      <c r="A4742" s="1">
        <v>489.0</v>
      </c>
      <c r="B4742" s="2" t="s">
        <v>13354</v>
      </c>
      <c r="C4742" s="2">
        <f>IFERROR(__xludf.DUMMYFUNCTION("split(B4742,""_"")"),1810.0)</f>
        <v>1810</v>
      </c>
      <c r="D4742" s="2" t="str">
        <f>IFERROR(__xludf.DUMMYFUNCTION("""COMPUTED_VALUE"""),"TBS")</f>
        <v>TBS</v>
      </c>
      <c r="E4742" s="2" t="str">
        <f>IFERROR(__xludf.DUMMYFUNCTION("""COMPUTED_VALUE"""),"火22")</f>
        <v>火22</v>
      </c>
      <c r="F4742" s="2" t="s">
        <v>13355</v>
      </c>
      <c r="G4742" s="2" t="s">
        <v>13356</v>
      </c>
      <c r="H4742" s="1">
        <v>1.0</v>
      </c>
      <c r="J4742" s="1" t="s">
        <v>82</v>
      </c>
      <c r="K4742" s="2" t="s">
        <v>13357</v>
      </c>
      <c r="L4742" s="2"/>
      <c r="M4742" s="2" t="str">
        <f>IFERROR(__xludf.DUMMYFUNCTION("split(split(K4742,""【"",false),""公式LINE"",false)"),"子どもの頃から夢だった教師になった聖(有村架純)は子星中学校に赴任。3年1組の担任を受け持つこと になり、不思議な魅力をもつ男子生徒の晶(岡田健史)と出会う。しかし晶は聖に対して反抗的な態度を見せる。遠距離恋愛中の婚約者、勝太郎(町田啓太)ともすれ違うが続く中、教師としての自信を失っていく聖。ある夜、晶が問題を起こしたと連絡が入る。現場に駆け付けた聖だったが、晶に思わぬ言葉を投げつけられて・・・。")</f>
        <v>子どもの頃から夢だった教師になった聖(有村架純)は子星中学校に赴任。3年1組の担任を受け持つこと になり、不思議な魅力をもつ男子生徒の晶(岡田健史)と出会う。しかし晶は聖に対して反抗的な態度を見せる。遠距離恋愛中の婚約者、勝太郎(町田啓太)ともすれ違うが続く中、教師としての自信を失っていく聖。ある夜、晶が問題を起こしたと連絡が入る。現場に駆け付けた聖だったが、晶に思わぬ言葉を投げつけられて・・・。</v>
      </c>
      <c r="N4742" s="2"/>
      <c r="O4742" s="2"/>
      <c r="P4742" s="2"/>
      <c r="Q4742" s="2"/>
      <c r="R4742" s="2"/>
      <c r="S4742" s="2"/>
      <c r="T4742" s="2"/>
      <c r="U4742" s="2"/>
      <c r="V4742" s="2"/>
      <c r="W4742" s="2"/>
      <c r="X4742" s="2"/>
      <c r="Y4742" s="2"/>
      <c r="Z4742" s="2"/>
      <c r="AA4742" s="2"/>
      <c r="AB4742" s="2"/>
      <c r="AC4742" s="2"/>
      <c r="AD4742" s="2"/>
      <c r="AE4742" s="2"/>
      <c r="AF4742" s="2"/>
      <c r="AG4742" s="2"/>
      <c r="AH4742" s="2"/>
      <c r="AI4742" s="2"/>
      <c r="AJ4742" s="2"/>
      <c r="AK4742" s="2"/>
      <c r="AL4742" s="2"/>
      <c r="AM4742" s="2"/>
      <c r="AN4742" s="2"/>
      <c r="AO4742" s="2"/>
      <c r="AP4742" s="2"/>
      <c r="AQ4742" s="2"/>
      <c r="AR4742" s="2"/>
      <c r="AS4742" s="2"/>
      <c r="AT4742" s="2"/>
      <c r="AU4742" s="2"/>
      <c r="AV4742" s="2"/>
      <c r="AW4742" s="2"/>
      <c r="AX4742" s="2"/>
      <c r="AY4742" s="2"/>
      <c r="AZ4742" s="2"/>
      <c r="BA4742" s="2"/>
      <c r="BB4742" s="2"/>
    </row>
    <row r="4743" ht="204.75" customHeight="1">
      <c r="A4743" s="1">
        <v>490.0</v>
      </c>
      <c r="B4743" s="2" t="s">
        <v>13354</v>
      </c>
      <c r="C4743" s="2">
        <f>IFERROR(__xludf.DUMMYFUNCTION("split(B4743,""_"")"),1810.0)</f>
        <v>1810</v>
      </c>
      <c r="D4743" s="2" t="str">
        <f>IFERROR(__xludf.DUMMYFUNCTION("""COMPUTED_VALUE"""),"TBS")</f>
        <v>TBS</v>
      </c>
      <c r="E4743" s="2" t="str">
        <f>IFERROR(__xludf.DUMMYFUNCTION("""COMPUTED_VALUE"""),"火22")</f>
        <v>火22</v>
      </c>
      <c r="F4743" s="2" t="s">
        <v>13355</v>
      </c>
      <c r="G4743" s="2" t="s">
        <v>13358</v>
      </c>
      <c r="H4743" s="1">
        <v>2.0</v>
      </c>
      <c r="J4743" s="1" t="s">
        <v>82</v>
      </c>
      <c r="K4743" s="2" t="s">
        <v>13359</v>
      </c>
      <c r="L4743" s="2"/>
      <c r="M4743" s="2" t="str">
        <f>IFERROR(__xludf.DUMMYFUNCTION("split(split(K4743,""【"",false),""公式LINE"",false)"),"聖(有村架純)は生徒・晶(岡田健史)から突然告白される。相手にしない聖だが、晶の真っ直ぐな言葉に本気だと知り、晶と距離を取るようになる。一方、婚約者・勝太郎(町田啓太)の両親と食事することになった聖は、仕事を辞めるように言われて、結婚と仕事の選択に悩む・・・。そんな中、子星中学校の体育祭が開催される。晶と目を合わせない聖に、晶は大胆な行動に出る。さらに、体育祭を抜け出した晶にアクシデントが!")</f>
        <v>聖(有村架純)は生徒・晶(岡田健史)から突然告白される。相手にしない聖だが、晶の真っ直ぐな言葉に本気だと知り、晶と距離を取るようになる。一方、婚約者・勝太郎(町田啓太)の両親と食事することになった聖は、仕事を辞めるように言われて、結婚と仕事の選択に悩む・・・。そんな中、子星中学校の体育祭が開催される。晶と目を合わせない聖に、晶は大胆な行動に出る。さらに、体育祭を抜け出した晶にアクシデントが!</v>
      </c>
      <c r="N4743" s="2"/>
      <c r="O4743" s="2"/>
      <c r="P4743" s="2"/>
      <c r="Q4743" s="2"/>
      <c r="R4743" s="2"/>
      <c r="S4743" s="2"/>
      <c r="T4743" s="2"/>
      <c r="U4743" s="2"/>
      <c r="V4743" s="2"/>
      <c r="W4743" s="2"/>
      <c r="X4743" s="2"/>
      <c r="Y4743" s="2"/>
      <c r="Z4743" s="2"/>
      <c r="AA4743" s="2"/>
      <c r="AB4743" s="2"/>
      <c r="AC4743" s="2"/>
      <c r="AD4743" s="2"/>
      <c r="AE4743" s="2"/>
      <c r="AF4743" s="2"/>
      <c r="AG4743" s="2"/>
      <c r="AH4743" s="2"/>
      <c r="AI4743" s="2"/>
      <c r="AJ4743" s="2"/>
      <c r="AK4743" s="2"/>
      <c r="AL4743" s="2"/>
      <c r="AM4743" s="2"/>
      <c r="AN4743" s="2"/>
      <c r="AO4743" s="2"/>
      <c r="AP4743" s="2"/>
      <c r="AQ4743" s="2"/>
      <c r="AR4743" s="2"/>
      <c r="AS4743" s="2"/>
      <c r="AT4743" s="2"/>
      <c r="AU4743" s="2"/>
      <c r="AV4743" s="2"/>
      <c r="AW4743" s="2"/>
      <c r="AX4743" s="2"/>
      <c r="AY4743" s="2"/>
      <c r="AZ4743" s="2"/>
      <c r="BA4743" s="2"/>
      <c r="BB4743" s="2"/>
    </row>
    <row r="4744" ht="204.75" customHeight="1">
      <c r="A4744" s="1">
        <v>491.0</v>
      </c>
      <c r="B4744" s="2" t="s">
        <v>13354</v>
      </c>
      <c r="C4744" s="2">
        <f>IFERROR(__xludf.DUMMYFUNCTION("split(B4744,""_"")"),1810.0)</f>
        <v>1810</v>
      </c>
      <c r="D4744" s="2" t="str">
        <f>IFERROR(__xludf.DUMMYFUNCTION("""COMPUTED_VALUE"""),"TBS")</f>
        <v>TBS</v>
      </c>
      <c r="E4744" s="2" t="str">
        <f>IFERROR(__xludf.DUMMYFUNCTION("""COMPUTED_VALUE"""),"火22")</f>
        <v>火22</v>
      </c>
      <c r="F4744" s="2" t="s">
        <v>13355</v>
      </c>
      <c r="G4744" s="2" t="s">
        <v>13360</v>
      </c>
      <c r="H4744" s="1">
        <v>3.0</v>
      </c>
      <c r="J4744" s="1" t="s">
        <v>82</v>
      </c>
      <c r="K4744" s="2" t="s">
        <v>13361</v>
      </c>
      <c r="L4744" s="2"/>
      <c r="M4744" s="2" t="str">
        <f>IFERROR(__xludf.DUMMYFUNCTION("split(split(K4744,""【"",false),""公式LINE"",false)"),"自転車で転倒し、怪我をした晶(岡田健史)を聖(有村架純)は、手当てするために自分の部屋に上げる。そこへ勝太郎(町田啓太)が訪問し、聖は動揺する。翌日、聖は晶に普通に接しようとするが、晶から無視されてしまう。さらに晶に彼女ができたと聞き、ほっとする反面、複雑な気持ちに・・・。そんな中、3泊4日の勉強合宿が始まり、合宿中に晶が事件を起こす。そんな中、晶の母・愛子(夏川結衣)が倒れたと連絡が入り・・・")</f>
        <v>自転車で転倒し、怪我をした晶(岡田健史)を聖(有村架純)は、手当てするために自分の部屋に上げる。そこへ勝太郎(町田啓太)が訪問し、聖は動揺する。翌日、聖は晶に普通に接しようとするが、晶から無視されてしまう。さらに晶に彼女ができたと聞き、ほっとする反面、複雑な気持ちに・・・。そんな中、3泊4日の勉強合宿が始まり、合宿中に晶が事件を起こす。そんな中、晶の母・愛子(夏川結衣)が倒れたと連絡が入り・・・</v>
      </c>
      <c r="N4744" s="2"/>
      <c r="O4744" s="2"/>
      <c r="P4744" s="2"/>
      <c r="Q4744" s="2"/>
      <c r="R4744" s="2"/>
      <c r="S4744" s="2"/>
      <c r="T4744" s="2"/>
      <c r="U4744" s="2"/>
      <c r="V4744" s="2"/>
      <c r="W4744" s="2"/>
      <c r="X4744" s="2"/>
      <c r="Y4744" s="2"/>
      <c r="Z4744" s="2"/>
      <c r="AA4744" s="2"/>
      <c r="AB4744" s="2"/>
      <c r="AC4744" s="2"/>
      <c r="AD4744" s="2"/>
      <c r="AE4744" s="2"/>
      <c r="AF4744" s="2"/>
      <c r="AG4744" s="2"/>
      <c r="AH4744" s="2"/>
      <c r="AI4744" s="2"/>
      <c r="AJ4744" s="2"/>
      <c r="AK4744" s="2"/>
      <c r="AL4744" s="2"/>
      <c r="AM4744" s="2"/>
      <c r="AN4744" s="2"/>
      <c r="AO4744" s="2"/>
      <c r="AP4744" s="2"/>
      <c r="AQ4744" s="2"/>
      <c r="AR4744" s="2"/>
      <c r="AS4744" s="2"/>
      <c r="AT4744" s="2"/>
      <c r="AU4744" s="2"/>
      <c r="AV4744" s="2"/>
      <c r="AW4744" s="2"/>
      <c r="AX4744" s="2"/>
      <c r="AY4744" s="2"/>
      <c r="AZ4744" s="2"/>
      <c r="BA4744" s="2"/>
      <c r="BB4744" s="2"/>
    </row>
    <row r="4745" ht="204.75" customHeight="1">
      <c r="A4745" s="1">
        <v>492.0</v>
      </c>
      <c r="B4745" s="2" t="s">
        <v>13354</v>
      </c>
      <c r="C4745" s="2">
        <f>IFERROR(__xludf.DUMMYFUNCTION("split(B4745,""_"")"),1810.0)</f>
        <v>1810</v>
      </c>
      <c r="D4745" s="2" t="str">
        <f>IFERROR(__xludf.DUMMYFUNCTION("""COMPUTED_VALUE"""),"TBS")</f>
        <v>TBS</v>
      </c>
      <c r="E4745" s="2" t="str">
        <f>IFERROR(__xludf.DUMMYFUNCTION("""COMPUTED_VALUE"""),"火22")</f>
        <v>火22</v>
      </c>
      <c r="F4745" s="2" t="s">
        <v>13355</v>
      </c>
      <c r="G4745" s="2" t="s">
        <v>13362</v>
      </c>
      <c r="H4745" s="1">
        <v>4.0</v>
      </c>
      <c r="J4745" s="1" t="s">
        <v>82</v>
      </c>
      <c r="K4745" s="2" t="s">
        <v>13363</v>
      </c>
      <c r="L4745" s="2"/>
      <c r="M4745" s="2" t="str">
        <f>IFERROR(__xludf.DUMMYFUNCTION("split(split(K4745,""【"",false),""公式LINE"",false)"),"晶(岡田健史)への特別な感情に気付いた聖(有村架純)。しかし自分の気持ちは一時のものだと、聖は教師として晶に接する。それでも諦めきれない晶は、「花火大会のあとに会いたい」と聖にメールをする。そんな2人の関係を愛子(夏川結衣)が疑い始め・・・。そして花火大会の夜、見回りで会場へ来た聖は、晶の意外な姿を目撃する。さらに、勝太郎(町田啓太)と原口(吉田羊)も会場に訪れ、波乱の夜が幕をあける・・・。")</f>
        <v>晶(岡田健史)への特別な感情に気付いた聖(有村架純)。しかし自分の気持ちは一時のものだと、聖は教師として晶に接する。それでも諦めきれない晶は、「花火大会のあとに会いたい」と聖にメールをする。そんな2人の関係を愛子(夏川結衣)が疑い始め・・・。そして花火大会の夜、見回りで会場へ来た聖は、晶の意外な姿を目撃する。さらに、勝太郎(町田啓太)と原口(吉田羊)も会場に訪れ、波乱の夜が幕をあける・・・。</v>
      </c>
      <c r="N4745" s="2"/>
      <c r="O4745" s="2"/>
      <c r="P4745" s="2"/>
      <c r="Q4745" s="2"/>
      <c r="R4745" s="2"/>
      <c r="S4745" s="2"/>
      <c r="T4745" s="2"/>
      <c r="U4745" s="2"/>
      <c r="V4745" s="2"/>
      <c r="W4745" s="2"/>
      <c r="X4745" s="2"/>
      <c r="Y4745" s="2"/>
      <c r="Z4745" s="2"/>
      <c r="AA4745" s="2"/>
      <c r="AB4745" s="2"/>
      <c r="AC4745" s="2"/>
      <c r="AD4745" s="2"/>
      <c r="AE4745" s="2"/>
      <c r="AF4745" s="2"/>
      <c r="AG4745" s="2"/>
      <c r="AH4745" s="2"/>
      <c r="AI4745" s="2"/>
      <c r="AJ4745" s="2"/>
      <c r="AK4745" s="2"/>
      <c r="AL4745" s="2"/>
      <c r="AM4745" s="2"/>
      <c r="AN4745" s="2"/>
      <c r="AO4745" s="2"/>
      <c r="AP4745" s="2"/>
      <c r="AQ4745" s="2"/>
      <c r="AR4745" s="2"/>
      <c r="AS4745" s="2"/>
      <c r="AT4745" s="2"/>
      <c r="AU4745" s="2"/>
      <c r="AV4745" s="2"/>
      <c r="AW4745" s="2"/>
      <c r="AX4745" s="2"/>
      <c r="AY4745" s="2"/>
      <c r="AZ4745" s="2"/>
      <c r="BA4745" s="2"/>
      <c r="BB4745" s="2"/>
    </row>
    <row r="4746" ht="204.75" customHeight="1">
      <c r="A4746" s="1">
        <v>493.0</v>
      </c>
      <c r="B4746" s="2" t="s">
        <v>13354</v>
      </c>
      <c r="C4746" s="2">
        <f>IFERROR(__xludf.DUMMYFUNCTION("split(B4746,""_"")"),1810.0)</f>
        <v>1810</v>
      </c>
      <c r="D4746" s="2" t="str">
        <f>IFERROR(__xludf.DUMMYFUNCTION("""COMPUTED_VALUE"""),"TBS")</f>
        <v>TBS</v>
      </c>
      <c r="E4746" s="2" t="str">
        <f>IFERROR(__xludf.DUMMYFUNCTION("""COMPUTED_VALUE"""),"火22")</f>
        <v>火22</v>
      </c>
      <c r="F4746" s="2" t="s">
        <v>13355</v>
      </c>
      <c r="G4746" s="2" t="s">
        <v>13364</v>
      </c>
      <c r="H4746" s="1">
        <v>5.0</v>
      </c>
      <c r="J4746" s="1" t="s">
        <v>82</v>
      </c>
      <c r="K4746" s="2" t="s">
        <v>13365</v>
      </c>
      <c r="L4746" s="2"/>
      <c r="M4746" s="2" t="str">
        <f>IFERROR(__xludf.DUMMYFUNCTION("split(split(K4746,""【"",false),""公式LINE"",false)"),"夜の砂浜で、キスをしてしまった聖(有村架純)と晶(岡田健史)は聖のマンション前で勝太郎(町田啓太)と愛子(夏川結衣)と鉢合わせてしまう。話をしようとする聖に勝太郎は「信じてる」と言うばかり。翌日、塩谷(夏木マリ)から学校へ呼び出された聖は、同席した愛子の前でこれまでの経緯を説明するが・・・。一方、愛子が学校に行ったと知った晶は学校に向かう。そこで、自宅謹慎を命じられた聖と会ってしまい・・・。")</f>
        <v>夜の砂浜で、キスをしてしまった聖(有村架純)と晶(岡田健史)は聖のマンション前で勝太郎(町田啓太)と愛子(夏川結衣)と鉢合わせてしまう。話をしようとする聖に勝太郎は「信じてる」と言うばかり。翌日、塩谷(夏木マリ)から学校へ呼び出された聖は、同席した愛子の前でこれまでの経緯を説明するが・・・。一方、愛子が学校に行ったと知った晶は学校に向かう。そこで、自宅謹慎を命じられた聖と会ってしまい・・・。</v>
      </c>
      <c r="N4746" s="2"/>
      <c r="O4746" s="2"/>
      <c r="P4746" s="2"/>
      <c r="Q4746" s="2"/>
      <c r="R4746" s="2"/>
      <c r="S4746" s="2"/>
      <c r="T4746" s="2"/>
      <c r="U4746" s="2"/>
      <c r="V4746" s="2"/>
      <c r="W4746" s="2"/>
      <c r="X4746" s="2"/>
      <c r="Y4746" s="2"/>
      <c r="Z4746" s="2"/>
      <c r="AA4746" s="2"/>
      <c r="AB4746" s="2"/>
      <c r="AC4746" s="2"/>
      <c r="AD4746" s="2"/>
      <c r="AE4746" s="2"/>
      <c r="AF4746" s="2"/>
      <c r="AG4746" s="2"/>
      <c r="AH4746" s="2"/>
      <c r="AI4746" s="2"/>
      <c r="AJ4746" s="2"/>
      <c r="AK4746" s="2"/>
      <c r="AL4746" s="2"/>
      <c r="AM4746" s="2"/>
      <c r="AN4746" s="2"/>
      <c r="AO4746" s="2"/>
      <c r="AP4746" s="2"/>
      <c r="AQ4746" s="2"/>
      <c r="AR4746" s="2"/>
      <c r="AS4746" s="2"/>
      <c r="AT4746" s="2"/>
      <c r="AU4746" s="2"/>
      <c r="AV4746" s="2"/>
      <c r="AW4746" s="2"/>
      <c r="AX4746" s="2"/>
      <c r="AY4746" s="2"/>
      <c r="AZ4746" s="2"/>
      <c r="BA4746" s="2"/>
      <c r="BB4746" s="2"/>
    </row>
    <row r="4747" ht="204.75" customHeight="1">
      <c r="A4747" s="1">
        <v>494.0</v>
      </c>
      <c r="B4747" s="2" t="s">
        <v>13354</v>
      </c>
      <c r="C4747" s="2">
        <f>IFERROR(__xludf.DUMMYFUNCTION("split(B4747,""_"")"),1810.0)</f>
        <v>1810</v>
      </c>
      <c r="D4747" s="2" t="str">
        <f>IFERROR(__xludf.DUMMYFUNCTION("""COMPUTED_VALUE"""),"TBS")</f>
        <v>TBS</v>
      </c>
      <c r="E4747" s="2" t="str">
        <f>IFERROR(__xludf.DUMMYFUNCTION("""COMPUTED_VALUE"""),"火22")</f>
        <v>火22</v>
      </c>
      <c r="F4747" s="2" t="s">
        <v>13355</v>
      </c>
      <c r="G4747" s="2" t="s">
        <v>13366</v>
      </c>
      <c r="H4747" s="1">
        <v>6.0</v>
      </c>
      <c r="J4747" s="1" t="s">
        <v>82</v>
      </c>
      <c r="K4747" s="2" t="s">
        <v>13367</v>
      </c>
      <c r="L4747" s="2"/>
      <c r="M4747" s="2" t="str">
        <f>IFERROR(__xludf.DUMMYFUNCTION("split(split(K4747,""【"",false),""公式LINE"",false)"),"晶(岡田健史)の前から姿を消した聖(有村架純)は、勝太郎(町田啓太)と別れ、小学校で教師を続けていた。平穏な日々を過ごす聖だったが、同僚の野上(渡辺大)と訪れた雑貨市で晶の姿を見かけ、動揺する。一方、勝太郎は東京本社で働いていたが、そこへ原口(吉田羊)が新部長として戻ってきて…!そんな中、生徒・彩乃(石田凛音)の遠足費の支払いが滞っていることを知った聖は、母親・美和(村川絵梨)を訪ねるが…")</f>
        <v>晶(岡田健史)の前から姿を消した聖(有村架純)は、勝太郎(町田啓太)と別れ、小学校で教師を続けていた。平穏な日々を過ごす聖だったが、同僚の野上(渡辺大)と訪れた雑貨市で晶の姿を見かけ、動揺する。一方、勝太郎は東京本社で働いていたが、そこへ原口(吉田羊)が新部長として戻ってきて…!そんな中、生徒・彩乃(石田凛音)の遠足費の支払いが滞っていることを知った聖は、母親・美和(村川絵梨)を訪ねるが…</v>
      </c>
      <c r="N4747" s="2"/>
      <c r="O4747" s="2"/>
      <c r="P4747" s="2"/>
      <c r="Q4747" s="2"/>
      <c r="R4747" s="2"/>
      <c r="S4747" s="2"/>
      <c r="T4747" s="2"/>
      <c r="U4747" s="2"/>
      <c r="V4747" s="2"/>
      <c r="W4747" s="2"/>
      <c r="X4747" s="2"/>
      <c r="Y4747" s="2"/>
      <c r="Z4747" s="2"/>
      <c r="AA4747" s="2"/>
      <c r="AB4747" s="2"/>
      <c r="AC4747" s="2"/>
      <c r="AD4747" s="2"/>
      <c r="AE4747" s="2"/>
      <c r="AF4747" s="2"/>
      <c r="AG4747" s="2"/>
      <c r="AH4747" s="2"/>
      <c r="AI4747" s="2"/>
      <c r="AJ4747" s="2"/>
      <c r="AK4747" s="2"/>
      <c r="AL4747" s="2"/>
      <c r="AM4747" s="2"/>
      <c r="AN4747" s="2"/>
      <c r="AO4747" s="2"/>
      <c r="AP4747" s="2"/>
      <c r="AQ4747" s="2"/>
      <c r="AR4747" s="2"/>
      <c r="AS4747" s="2"/>
      <c r="AT4747" s="2"/>
      <c r="AU4747" s="2"/>
      <c r="AV4747" s="2"/>
      <c r="AW4747" s="2"/>
      <c r="AX4747" s="2"/>
      <c r="AY4747" s="2"/>
      <c r="AZ4747" s="2"/>
      <c r="BA4747" s="2"/>
      <c r="BB4747" s="2"/>
    </row>
    <row r="4748" ht="204.75" customHeight="1">
      <c r="A4748" s="1">
        <v>495.0</v>
      </c>
      <c r="B4748" s="2" t="s">
        <v>13354</v>
      </c>
      <c r="C4748" s="2">
        <f>IFERROR(__xludf.DUMMYFUNCTION("split(B4748,""_"")"),1810.0)</f>
        <v>1810</v>
      </c>
      <c r="D4748" s="2" t="str">
        <f>IFERROR(__xludf.DUMMYFUNCTION("""COMPUTED_VALUE"""),"TBS")</f>
        <v>TBS</v>
      </c>
      <c r="E4748" s="2" t="str">
        <f>IFERROR(__xludf.DUMMYFUNCTION("""COMPUTED_VALUE"""),"火22")</f>
        <v>火22</v>
      </c>
      <c r="F4748" s="2" t="s">
        <v>13355</v>
      </c>
      <c r="G4748" s="2" t="s">
        <v>13368</v>
      </c>
      <c r="H4748" s="1">
        <v>7.0</v>
      </c>
      <c r="J4748" s="1" t="s">
        <v>82</v>
      </c>
      <c r="K4748" s="2" t="s">
        <v>13369</v>
      </c>
      <c r="L4748" s="2"/>
      <c r="M4748" s="2" t="str">
        <f>IFERROR(__xludf.DUMMYFUNCTION("split(split(K4748,""【"",false),""公式LINE"",false)"),"野上(渡辺大)の優しさに触れ、ようやく前に進めそうな聖(有村架純)。ある日、クラスの児童の一人である彩乃(石田凛音)が、登校中に栄養失調からくる貧血で倒れてしまう。聖は彩乃の母・美和(村川絵梨)を学校に呼び出して注意しようとするが、美和はこれ以上踏み込んできたら秘密をバラすと聖を脅す。一方、晶(岡田健史)はるな(小野莉奈)と付き合うことになったが、ひょんなことから聖の居場所を知ってしまい・・・?")</f>
        <v>野上(渡辺大)の優しさに触れ、ようやく前に進めそうな聖(有村架純)。ある日、クラスの児童の一人である彩乃(石田凛音)が、登校中に栄養失調からくる貧血で倒れてしまう。聖は彩乃の母・美和(村川絵梨)を学校に呼び出して注意しようとするが、美和はこれ以上踏み込んできたら秘密をバラすと聖を脅す。一方、晶(岡田健史)はるな(小野莉奈)と付き合うことになったが、ひょんなことから聖の居場所を知ってしまい・・・?</v>
      </c>
      <c r="N4748" s="2"/>
      <c r="O4748" s="2"/>
      <c r="P4748" s="2"/>
      <c r="Q4748" s="2"/>
      <c r="R4748" s="2"/>
      <c r="S4748" s="2"/>
      <c r="T4748" s="2"/>
      <c r="U4748" s="2"/>
      <c r="V4748" s="2"/>
      <c r="W4748" s="2"/>
      <c r="X4748" s="2"/>
      <c r="Y4748" s="2"/>
      <c r="Z4748" s="2"/>
      <c r="AA4748" s="2"/>
      <c r="AB4748" s="2"/>
      <c r="AC4748" s="2"/>
      <c r="AD4748" s="2"/>
      <c r="AE4748" s="2"/>
      <c r="AF4748" s="2"/>
      <c r="AG4748" s="2"/>
      <c r="AH4748" s="2"/>
      <c r="AI4748" s="2"/>
      <c r="AJ4748" s="2"/>
      <c r="AK4748" s="2"/>
      <c r="AL4748" s="2"/>
      <c r="AM4748" s="2"/>
      <c r="AN4748" s="2"/>
      <c r="AO4748" s="2"/>
      <c r="AP4748" s="2"/>
      <c r="AQ4748" s="2"/>
      <c r="AR4748" s="2"/>
      <c r="AS4748" s="2"/>
      <c r="AT4748" s="2"/>
      <c r="AU4748" s="2"/>
      <c r="AV4748" s="2"/>
      <c r="AW4748" s="2"/>
      <c r="AX4748" s="2"/>
      <c r="AY4748" s="2"/>
      <c r="AZ4748" s="2"/>
      <c r="BA4748" s="2"/>
      <c r="BB4748" s="2"/>
    </row>
    <row r="4749" ht="204.75" customHeight="1">
      <c r="A4749" s="1">
        <v>496.0</v>
      </c>
      <c r="B4749" s="2" t="s">
        <v>13354</v>
      </c>
      <c r="C4749" s="2">
        <f>IFERROR(__xludf.DUMMYFUNCTION("split(B4749,""_"")"),1810.0)</f>
        <v>1810</v>
      </c>
      <c r="D4749" s="2" t="str">
        <f>IFERROR(__xludf.DUMMYFUNCTION("""COMPUTED_VALUE"""),"TBS")</f>
        <v>TBS</v>
      </c>
      <c r="E4749" s="2" t="str">
        <f>IFERROR(__xludf.DUMMYFUNCTION("""COMPUTED_VALUE"""),"火22")</f>
        <v>火22</v>
      </c>
      <c r="F4749" s="2" t="s">
        <v>13355</v>
      </c>
      <c r="G4749" s="2" t="s">
        <v>13370</v>
      </c>
      <c r="H4749" s="1">
        <v>8.0</v>
      </c>
      <c r="J4749" s="1" t="s">
        <v>82</v>
      </c>
      <c r="K4749" s="2" t="s">
        <v>13371</v>
      </c>
      <c r="L4749" s="2"/>
      <c r="M4749" s="2" t="str">
        <f>IFERROR(__xludf.DUMMYFUNCTION("split(split(K4749,""【"",false),""公式LINE"",false)"),"野上(渡辺大)との交際を決めた聖(有村架純)。そこへ突然晶の母・愛子(夏川結衣)が現れるが、動揺しながらも聖は真摯に向き合おうとする。学習発表会の準備に追われるある朝、聖が学校へ行くと生徒が誰も登校しておらず、聖と晶の3年前の出来事が保護者たちに知れ渡っていた。さらには母親たちが学校に乗り込んできて、聖は過去について糾弾されてしまい・・・!?そして、涙の発表会で事件は起こる・・・! ")</f>
        <v>野上(渡辺大)との交際を決めた聖(有村架純)。そこへ突然晶の母・愛子(夏川結衣)が現れるが、動揺しながらも聖は真摯に向き合おうとする。学習発表会の準備に追われるある朝、聖が学校へ行くと生徒が誰も登校しておらず、聖と晶の3年前の出来事が保護者たちに知れ渡っていた。さらには母親たちが学校に乗り込んできて、聖は過去について糾弾されてしまい・・・!?そして、涙の発表会で事件は起こる・・・! </v>
      </c>
      <c r="N4749" s="2"/>
      <c r="O4749" s="2"/>
      <c r="P4749" s="2"/>
      <c r="Q4749" s="2"/>
      <c r="R4749" s="2"/>
      <c r="S4749" s="2"/>
      <c r="T4749" s="2"/>
      <c r="U4749" s="2"/>
      <c r="V4749" s="2"/>
      <c r="W4749" s="2"/>
      <c r="X4749" s="2"/>
      <c r="Y4749" s="2"/>
      <c r="Z4749" s="2"/>
      <c r="AA4749" s="2"/>
      <c r="AB4749" s="2"/>
      <c r="AC4749" s="2"/>
      <c r="AD4749" s="2"/>
      <c r="AE4749" s="2"/>
      <c r="AF4749" s="2"/>
      <c r="AG4749" s="2"/>
      <c r="AH4749" s="2"/>
      <c r="AI4749" s="2"/>
      <c r="AJ4749" s="2"/>
      <c r="AK4749" s="2"/>
      <c r="AL4749" s="2"/>
      <c r="AM4749" s="2"/>
      <c r="AN4749" s="2"/>
      <c r="AO4749" s="2"/>
      <c r="AP4749" s="2"/>
      <c r="AQ4749" s="2"/>
      <c r="AR4749" s="2"/>
      <c r="AS4749" s="2"/>
      <c r="AT4749" s="2"/>
      <c r="AU4749" s="2"/>
      <c r="AV4749" s="2"/>
      <c r="AW4749" s="2"/>
      <c r="AX4749" s="2"/>
      <c r="AY4749" s="2"/>
      <c r="AZ4749" s="2"/>
      <c r="BA4749" s="2"/>
      <c r="BB4749" s="2"/>
    </row>
    <row r="4750" ht="204.75" customHeight="1">
      <c r="A4750" s="1">
        <v>497.0</v>
      </c>
      <c r="B4750" s="2" t="s">
        <v>13354</v>
      </c>
      <c r="C4750" s="2">
        <f>IFERROR(__xludf.DUMMYFUNCTION("split(B4750,""_"")"),1810.0)</f>
        <v>1810</v>
      </c>
      <c r="D4750" s="2" t="str">
        <f>IFERROR(__xludf.DUMMYFUNCTION("""COMPUTED_VALUE"""),"TBS")</f>
        <v>TBS</v>
      </c>
      <c r="E4750" s="2" t="str">
        <f>IFERROR(__xludf.DUMMYFUNCTION("""COMPUTED_VALUE"""),"火22")</f>
        <v>火22</v>
      </c>
      <c r="F4750" s="2" t="s">
        <v>13355</v>
      </c>
      <c r="G4750" s="2" t="s">
        <v>13372</v>
      </c>
      <c r="H4750" s="1">
        <v>9.0</v>
      </c>
      <c r="J4750" s="1" t="s">
        <v>82</v>
      </c>
      <c r="K4750" s="2" t="s">
        <v>13373</v>
      </c>
      <c r="L4750" s="2"/>
      <c r="M4750" s="2" t="str">
        <f>IFERROR(__xludf.DUMMYFUNCTION("split(split(K4750,""【"",false),""公式LINE"",false)"),"晶(岡田健史)を心配して、船に飛び乗ってしまった聖(有村架純)。やがて二人は山江島へ辿り着く。この島に晶の父親がいると知り、聖は晶をほおっておけず一緒に父親を探すことになる。そして、晶は材木店で働く父親と再会する。安心した聖は帰ろうとするが、明日まで船が出ず、聖も晶の父親の家へ泊まることに…。一方、晶の行方を心配する愛子(夏川結衣)は、聖と一緒ではないかと疑い勝太郎(町田啓太)の元を訪問し…")</f>
        <v>晶(岡田健史)を心配して、船に飛び乗ってしまった聖(有村架純)。やがて二人は山江島へ辿り着く。この島に晶の父親がいると知り、聖は晶をほおっておけず一緒に父親を探すことになる。そして、晶は材木店で働く父親と再会する。安心した聖は帰ろうとするが、明日まで船が出ず、聖も晶の父親の家へ泊まることに…。一方、晶の行方を心配する愛子(夏川結衣)は、聖と一緒ではないかと疑い勝太郎(町田啓太)の元を訪問し…</v>
      </c>
      <c r="N4750" s="2"/>
      <c r="O4750" s="2"/>
      <c r="P4750" s="2"/>
      <c r="Q4750" s="2"/>
      <c r="R4750" s="2"/>
      <c r="S4750" s="2"/>
      <c r="T4750" s="2"/>
      <c r="U4750" s="2"/>
      <c r="V4750" s="2"/>
      <c r="W4750" s="2"/>
      <c r="X4750" s="2"/>
      <c r="Y4750" s="2"/>
      <c r="Z4750" s="2"/>
      <c r="AA4750" s="2"/>
      <c r="AB4750" s="2"/>
      <c r="AC4750" s="2"/>
      <c r="AD4750" s="2"/>
      <c r="AE4750" s="2"/>
      <c r="AF4750" s="2"/>
      <c r="AG4750" s="2"/>
      <c r="AH4750" s="2"/>
      <c r="AI4750" s="2"/>
      <c r="AJ4750" s="2"/>
      <c r="AK4750" s="2"/>
      <c r="AL4750" s="2"/>
      <c r="AM4750" s="2"/>
      <c r="AN4750" s="2"/>
      <c r="AO4750" s="2"/>
      <c r="AP4750" s="2"/>
      <c r="AQ4750" s="2"/>
      <c r="AR4750" s="2"/>
      <c r="AS4750" s="2"/>
      <c r="AT4750" s="2"/>
      <c r="AU4750" s="2"/>
      <c r="AV4750" s="2"/>
      <c r="AW4750" s="2"/>
      <c r="AX4750" s="2"/>
      <c r="AY4750" s="2"/>
      <c r="AZ4750" s="2"/>
      <c r="BA4750" s="2"/>
      <c r="BB4750" s="2"/>
    </row>
    <row r="4751" ht="204.75" customHeight="1">
      <c r="A4751" s="1">
        <v>498.0</v>
      </c>
      <c r="B4751" s="2" t="s">
        <v>13354</v>
      </c>
      <c r="C4751" s="2">
        <f>IFERROR(__xludf.DUMMYFUNCTION("split(B4751,""_"")"),1810.0)</f>
        <v>1810</v>
      </c>
      <c r="D4751" s="2" t="str">
        <f>IFERROR(__xludf.DUMMYFUNCTION("""COMPUTED_VALUE"""),"TBS")</f>
        <v>TBS</v>
      </c>
      <c r="E4751" s="2" t="str">
        <f>IFERROR(__xludf.DUMMYFUNCTION("""COMPUTED_VALUE"""),"火22")</f>
        <v>火22</v>
      </c>
      <c r="F4751" s="2" t="s">
        <v>13355</v>
      </c>
      <c r="G4751" s="2" t="s">
        <v>13374</v>
      </c>
      <c r="H4751" s="1">
        <v>10.0</v>
      </c>
      <c r="J4751" s="1" t="s">
        <v>82</v>
      </c>
      <c r="K4751" s="2" t="s">
        <v>13375</v>
      </c>
      <c r="L4751" s="2"/>
      <c r="M4751" s="2" t="str">
        <f>IFERROR(__xludf.DUMMYFUNCTION("split(split(K4751,""【"",false),""公式LINE"",false)"),"ついに想いが通じ合った聖(有村架純)と晶(岡田健史)。しかし東京の港へ戻ると聖の母親・里美(中嶋朋子)が待ち構えていた!里美が聖の言葉に耳を傾けることなく、聖と晶は引き離されてしまう。翌日、里美と一緒に愛子(夏川結衣)の元へ訪れた聖は、2人の前で本当の気持ちを打ち明けるが…。一方、晶は聖とのことを認めてもらうために進学を決意する。そんな中、晶の元にある人物が訪ねてきて…晶は聖にとある決断を下す。")</f>
        <v>ついに想いが通じ合った聖(有村架純)と晶(岡田健史)。しかし東京の港へ戻ると聖の母親・里美(中嶋朋子)が待ち構えていた!里美が聖の言葉に耳を傾けることなく、聖と晶は引き離されてしまう。翌日、里美と一緒に愛子(夏川結衣)の元へ訪れた聖は、2人の前で本当の気持ちを打ち明けるが…。一方、晶は聖とのことを認めてもらうために進学を決意する。そんな中、晶の元にある人物が訪ねてきて…晶は聖にとある決断を下す。</v>
      </c>
      <c r="N4751" s="2"/>
      <c r="O4751" s="2"/>
      <c r="P4751" s="2"/>
      <c r="Q4751" s="2"/>
      <c r="R4751" s="2"/>
      <c r="S4751" s="2"/>
      <c r="T4751" s="2"/>
      <c r="U4751" s="2"/>
      <c r="V4751" s="2"/>
      <c r="W4751" s="2"/>
      <c r="X4751" s="2"/>
      <c r="Y4751" s="2"/>
      <c r="Z4751" s="2"/>
      <c r="AA4751" s="2"/>
      <c r="AB4751" s="2"/>
      <c r="AC4751" s="2"/>
      <c r="AD4751" s="2"/>
      <c r="AE4751" s="2"/>
      <c r="AF4751" s="2"/>
      <c r="AG4751" s="2"/>
      <c r="AH4751" s="2"/>
      <c r="AI4751" s="2"/>
      <c r="AJ4751" s="2"/>
      <c r="AK4751" s="2"/>
      <c r="AL4751" s="2"/>
      <c r="AM4751" s="2"/>
      <c r="AN4751" s="2"/>
      <c r="AO4751" s="2"/>
      <c r="AP4751" s="2"/>
      <c r="AQ4751" s="2"/>
      <c r="AR4751" s="2"/>
      <c r="AS4751" s="2"/>
      <c r="AT4751" s="2"/>
      <c r="AU4751" s="2"/>
      <c r="AV4751" s="2"/>
      <c r="AW4751" s="2"/>
      <c r="AX4751" s="2"/>
      <c r="AY4751" s="2"/>
      <c r="AZ4751" s="2"/>
      <c r="BA4751" s="2"/>
      <c r="BB4751" s="2"/>
    </row>
    <row r="4752" ht="204.75" customHeight="1">
      <c r="A4752" s="1">
        <v>499.0</v>
      </c>
      <c r="B4752" s="2" t="s">
        <v>13354</v>
      </c>
      <c r="C4752" s="2">
        <f>IFERROR(__xludf.DUMMYFUNCTION("split(B4752,""_"")"),1810.0)</f>
        <v>1810</v>
      </c>
      <c r="D4752" s="2" t="str">
        <f>IFERROR(__xludf.DUMMYFUNCTION("""COMPUTED_VALUE"""),"TBS")</f>
        <v>TBS</v>
      </c>
      <c r="E4752" s="2" t="str">
        <f>IFERROR(__xludf.DUMMYFUNCTION("""COMPUTED_VALUE"""),"火22")</f>
        <v>火22</v>
      </c>
      <c r="F4752" s="2" t="s">
        <v>13355</v>
      </c>
      <c r="G4752" s="2" t="s">
        <v>13376</v>
      </c>
      <c r="H4752" s="1">
        <v>11.0</v>
      </c>
      <c r="J4752" s="1" t="s">
        <v>82</v>
      </c>
      <c r="K4752" s="2" t="s">
        <v>13377</v>
      </c>
      <c r="L4752" s="2"/>
      <c r="M4752" s="2" t="str">
        <f>IFERROR(__xludf.DUMMYFUNCTION("split(split(K4752,""【"",false),""公式LINE"",false)"),"警察署へ連れていかれた聖(有村架純)と晶(岡田健史)。二人は別々の部屋でそれぞれ話を聞かれ、同意の上でも誘拐罪になると言われ動揺する。愛子から会って話がしたいと告げられた聖は、待ち合わせ場所の喫茶店に向かうがそこには思わぬ人物が聖を待ち受けていた。全てを失い、厳しい現実を突きつけられた聖。募る晶への想いを胸に秘め、彼女が最後に出した答えとは。そして、それぞれが選ぶ道、“禁断の恋""の結末はー?")</f>
        <v>警察署へ連れていかれた聖(有村架純)と晶(岡田健史)。二人は別々の部屋でそれぞれ話を聞かれ、同意の上でも誘拐罪になると言われ動揺する。愛子から会って話がしたいと告げられた聖は、待ち合わせ場所の喫茶店に向かうがそこには思わぬ人物が聖を待ち受けていた。全てを失い、厳しい現実を突きつけられた聖。募る晶への想いを胸に秘め、彼女が最後に出した答えとは。そして、それぞれが選ぶ道、“禁断の恋"の結末はー?</v>
      </c>
      <c r="N4752" s="2"/>
      <c r="O4752" s="2"/>
      <c r="P4752" s="2"/>
      <c r="Q4752" s="2"/>
      <c r="R4752" s="2"/>
      <c r="S4752" s="2"/>
      <c r="T4752" s="2"/>
      <c r="U4752" s="2"/>
      <c r="V4752" s="2"/>
      <c r="W4752" s="2"/>
      <c r="X4752" s="2"/>
      <c r="Y4752" s="2"/>
      <c r="Z4752" s="2"/>
      <c r="AA4752" s="2"/>
      <c r="AB4752" s="2"/>
      <c r="AC4752" s="2"/>
      <c r="AD4752" s="2"/>
      <c r="AE4752" s="2"/>
      <c r="AF4752" s="2"/>
      <c r="AG4752" s="2"/>
      <c r="AH4752" s="2"/>
      <c r="AI4752" s="2"/>
      <c r="AJ4752" s="2"/>
      <c r="AK4752" s="2"/>
      <c r="AL4752" s="2"/>
      <c r="AM4752" s="2"/>
      <c r="AN4752" s="2"/>
      <c r="AO4752" s="2"/>
      <c r="AP4752" s="2"/>
      <c r="AQ4752" s="2"/>
      <c r="AR4752" s="2"/>
      <c r="AS4752" s="2"/>
      <c r="AT4752" s="2"/>
      <c r="AU4752" s="2"/>
      <c r="AV4752" s="2"/>
      <c r="AW4752" s="2"/>
      <c r="AX4752" s="2"/>
      <c r="AY4752" s="2"/>
      <c r="AZ4752" s="2"/>
      <c r="BA4752" s="2"/>
      <c r="BB4752" s="2"/>
    </row>
    <row r="4753" ht="204.75" customHeight="1">
      <c r="A4753" s="1">
        <v>538.0</v>
      </c>
      <c r="B4753" s="2" t="s">
        <v>13378</v>
      </c>
      <c r="C4753" s="2">
        <f>IFERROR(__xludf.DUMMYFUNCTION("split(B4753,""_"")"),1810.0)</f>
        <v>1810</v>
      </c>
      <c r="D4753" s="2" t="str">
        <f>IFERROR(__xludf.DUMMYFUNCTION("""COMPUTED_VALUE"""),"TBS")</f>
        <v>TBS</v>
      </c>
      <c r="E4753" s="2" t="str">
        <f>IFERROR(__xludf.DUMMYFUNCTION("""COMPUTED_VALUE"""),"金22")</f>
        <v>金22</v>
      </c>
      <c r="F4753" s="2" t="s">
        <v>13379</v>
      </c>
      <c r="G4753" s="2" t="s">
        <v>13380</v>
      </c>
      <c r="H4753" s="1">
        <v>1.0</v>
      </c>
      <c r="J4753" s="1" t="s">
        <v>82</v>
      </c>
      <c r="K4753" s="2" t="s">
        <v>13381</v>
      </c>
      <c r="L4753" s="2"/>
      <c r="M4753" s="2" t="str">
        <f>IFERROR(__xludf.DUMMYFUNCTION("split(split(K4753,""【"",false),""公式LINE"",false)"),"北澤尚(戸田恵梨香)、34歳。レディースクリニックの女医。エリート医師・侑市(松岡昌宏)との婚約もきまって、順風満帆の人生を歩んでいた。しかし、新居への引越しの日、無愛想な引っ越し屋アルバイト・真司(ムロツヨシ)と出会う。全然タイプではないはずなのに、真司といると心から笑えて、一緒にいて楽しい。侑市のひきとめも聞かず、尚は真司との恋に突き進んでいく。そんな矢先、尚の体にある異変がおき始める…。")</f>
        <v>北澤尚(戸田恵梨香)、34歳。レディースクリニックの女医。エリート医師・侑市(松岡昌宏)との婚約もきまって、順風満帆の人生を歩んでいた。しかし、新居への引越しの日、無愛想な引っ越し屋アルバイト・真司(ムロツヨシ)と出会う。全然タイプではないはずなのに、真司といると心から笑えて、一緒にいて楽しい。侑市のひきとめも聞かず、尚は真司との恋に突き進んでいく。そんな矢先、尚の体にある異変がおき始める…。</v>
      </c>
      <c r="N4753" s="2"/>
      <c r="O4753" s="2"/>
      <c r="P4753" s="2"/>
      <c r="Q4753" s="2"/>
      <c r="R4753" s="2"/>
      <c r="S4753" s="2"/>
      <c r="T4753" s="2"/>
      <c r="U4753" s="2"/>
      <c r="V4753" s="2"/>
      <c r="W4753" s="2"/>
      <c r="X4753" s="2"/>
      <c r="Y4753" s="2"/>
      <c r="Z4753" s="2"/>
      <c r="AA4753" s="2"/>
      <c r="AB4753" s="2"/>
      <c r="AC4753" s="2"/>
      <c r="AD4753" s="2"/>
      <c r="AE4753" s="2"/>
      <c r="AF4753" s="2"/>
      <c r="AG4753" s="2"/>
      <c r="AH4753" s="2"/>
      <c r="AI4753" s="2"/>
      <c r="AJ4753" s="2"/>
      <c r="AK4753" s="2"/>
      <c r="AL4753" s="2"/>
      <c r="AM4753" s="2"/>
      <c r="AN4753" s="2"/>
      <c r="AO4753" s="2"/>
      <c r="AP4753" s="2"/>
      <c r="AQ4753" s="2"/>
      <c r="AR4753" s="2"/>
      <c r="AS4753" s="2"/>
      <c r="AT4753" s="2"/>
      <c r="AU4753" s="2"/>
      <c r="AV4753" s="2"/>
      <c r="AW4753" s="2"/>
      <c r="AX4753" s="2"/>
      <c r="AY4753" s="2"/>
      <c r="AZ4753" s="2"/>
      <c r="BA4753" s="2"/>
      <c r="BB4753" s="2"/>
    </row>
    <row r="4754" ht="204.75" customHeight="1">
      <c r="A4754" s="1">
        <v>539.0</v>
      </c>
      <c r="B4754" s="2" t="s">
        <v>13378</v>
      </c>
      <c r="C4754" s="2">
        <f>IFERROR(__xludf.DUMMYFUNCTION("split(B4754,""_"")"),1810.0)</f>
        <v>1810</v>
      </c>
      <c r="D4754" s="2" t="str">
        <f>IFERROR(__xludf.DUMMYFUNCTION("""COMPUTED_VALUE"""),"TBS")</f>
        <v>TBS</v>
      </c>
      <c r="E4754" s="2" t="str">
        <f>IFERROR(__xludf.DUMMYFUNCTION("""COMPUTED_VALUE"""),"金22")</f>
        <v>金22</v>
      </c>
      <c r="F4754" s="2" t="s">
        <v>13379</v>
      </c>
      <c r="G4754" s="2" t="s">
        <v>13382</v>
      </c>
      <c r="H4754" s="1">
        <v>2.0</v>
      </c>
      <c r="I4754" s="1" t="s">
        <v>2872</v>
      </c>
      <c r="J4754" s="1" t="s">
        <v>86</v>
      </c>
      <c r="K4754" s="2" t="s">
        <v>13383</v>
      </c>
      <c r="L4754" s="2"/>
      <c r="M4754" s="2" t="str">
        <f>IFERROR(__xludf.DUMMYFUNCTION("split(split(K4754,""【"",false),""公式LINE"",false)"),"北澤尚(戸田恵梨香)は、間宮真司(ムロツヨシ)と恋に落ち、幸せな時間を過ごしていた。しかし、尚の婚約者の井原侑市(松岡昌宏)は尚の脳のMRI画像から異変を見つけてしまっていた。翌日、尚と対面した侑市は物忘れ検査を受けてほしいと尚に宣告する。自分の異変を自覚していた尚は気丈にふるまうが、ショックを隠せない。自分の病いを知った尚は、真司との別れも決意する…。")</f>
        <v>北澤尚(戸田恵梨香)は、間宮真司(ムロツヨシ)と恋に落ち、幸せな時間を過ごしていた。しかし、尚の婚約者の井原侑市(松岡昌宏)は尚の脳のMRI画像から異変を見つけてしまっていた。翌日、尚と対面した侑市は物忘れ検査を受けてほしいと尚に宣告する。自分の異変を自覚していた尚は気丈にふるまうが、ショックを隠せない。自分の病いを知った尚は、真司との別れも決意する…。</v>
      </c>
      <c r="N4754" s="2"/>
      <c r="O4754" s="2"/>
      <c r="P4754" s="2"/>
      <c r="Q4754" s="2"/>
      <c r="R4754" s="2"/>
      <c r="S4754" s="2"/>
      <c r="T4754" s="2"/>
      <c r="U4754" s="2"/>
      <c r="V4754" s="2"/>
      <c r="W4754" s="2"/>
      <c r="X4754" s="2"/>
      <c r="Y4754" s="2"/>
      <c r="Z4754" s="2"/>
      <c r="AA4754" s="2"/>
      <c r="AB4754" s="2"/>
      <c r="AC4754" s="2"/>
      <c r="AD4754" s="2"/>
      <c r="AE4754" s="2"/>
      <c r="AF4754" s="2"/>
      <c r="AG4754" s="2"/>
      <c r="AH4754" s="2"/>
      <c r="AI4754" s="2"/>
      <c r="AJ4754" s="2"/>
      <c r="AK4754" s="2"/>
      <c r="AL4754" s="2"/>
      <c r="AM4754" s="2"/>
      <c r="AN4754" s="2"/>
      <c r="AO4754" s="2"/>
      <c r="AP4754" s="2"/>
      <c r="AQ4754" s="2"/>
      <c r="AR4754" s="2"/>
      <c r="AS4754" s="2"/>
      <c r="AT4754" s="2"/>
      <c r="AU4754" s="2"/>
      <c r="AV4754" s="2"/>
      <c r="AW4754" s="2"/>
      <c r="AX4754" s="2"/>
      <c r="AY4754" s="2"/>
      <c r="AZ4754" s="2"/>
      <c r="BA4754" s="2"/>
      <c r="BB4754" s="2"/>
    </row>
    <row r="4755" ht="204.75" customHeight="1">
      <c r="A4755" s="1">
        <v>540.0</v>
      </c>
      <c r="B4755" s="2" t="s">
        <v>13378</v>
      </c>
      <c r="C4755" s="2">
        <f>IFERROR(__xludf.DUMMYFUNCTION("split(B4755,""_"")"),1810.0)</f>
        <v>1810</v>
      </c>
      <c r="D4755" s="2" t="str">
        <f>IFERROR(__xludf.DUMMYFUNCTION("""COMPUTED_VALUE"""),"TBS")</f>
        <v>TBS</v>
      </c>
      <c r="E4755" s="2" t="str">
        <f>IFERROR(__xludf.DUMMYFUNCTION("""COMPUTED_VALUE"""),"金22")</f>
        <v>金22</v>
      </c>
      <c r="F4755" s="2" t="s">
        <v>13379</v>
      </c>
      <c r="G4755" s="2" t="s">
        <v>13384</v>
      </c>
      <c r="H4755" s="1">
        <v>3.0</v>
      </c>
      <c r="J4755" s="1" t="s">
        <v>86</v>
      </c>
      <c r="K4755" s="2" t="s">
        <v>13385</v>
      </c>
      <c r="L4755" s="2"/>
      <c r="M4755" s="2" t="str">
        <f>IFERROR(__xludf.DUMMYFUNCTION("split(split(K4755,""【"",false),""公式LINE"",false)"),"尚(戸田恵梨香)がアルツハイマー病の前段階のMCIだと告白を受けた真司(ムロツヨシ)は、「それでも尚と一緒にいる」と話、二人は一緒に暮らしていくことにする。しかし、根っからのお嬢様である尚は、今の真司のアパートは汚くて狭くて嫌だ、早急に引っ越したいと言う。貯金が12万しかない真司は、小説を書いていると嘘をついて、引っ越し屋のアルバイトに明け暮れるが…。一方、侑市(松岡昌宏)は別のお見合いを進める。")</f>
        <v>尚(戸田恵梨香)がアルツハイマー病の前段階のMCIだと告白を受けた真司(ムロツヨシ)は、「それでも尚と一緒にいる」と話、二人は一緒に暮らしていくことにする。しかし、根っからのお嬢様である尚は、今の真司のアパートは汚くて狭くて嫌だ、早急に引っ越したいと言う。貯金が12万しかない真司は、小説を書いていると嘘をついて、引っ越し屋のアルバイトに明け暮れるが…。一方、侑市(松岡昌宏)は別のお見合いを進める。</v>
      </c>
      <c r="N4755" s="2"/>
      <c r="O4755" s="2"/>
      <c r="P4755" s="2"/>
      <c r="Q4755" s="2"/>
      <c r="R4755" s="2"/>
      <c r="S4755" s="2"/>
      <c r="T4755" s="2"/>
      <c r="U4755" s="2"/>
      <c r="V4755" s="2"/>
      <c r="W4755" s="2"/>
      <c r="X4755" s="2"/>
      <c r="Y4755" s="2"/>
      <c r="Z4755" s="2"/>
      <c r="AA4755" s="2"/>
      <c r="AB4755" s="2"/>
      <c r="AC4755" s="2"/>
      <c r="AD4755" s="2"/>
      <c r="AE4755" s="2"/>
      <c r="AF4755" s="2"/>
      <c r="AG4755" s="2"/>
      <c r="AH4755" s="2"/>
      <c r="AI4755" s="2"/>
      <c r="AJ4755" s="2"/>
      <c r="AK4755" s="2"/>
      <c r="AL4755" s="2"/>
      <c r="AM4755" s="2"/>
      <c r="AN4755" s="2"/>
      <c r="AO4755" s="2"/>
      <c r="AP4755" s="2"/>
      <c r="AQ4755" s="2"/>
      <c r="AR4755" s="2"/>
      <c r="AS4755" s="2"/>
      <c r="AT4755" s="2"/>
      <c r="AU4755" s="2"/>
      <c r="AV4755" s="2"/>
      <c r="AW4755" s="2"/>
      <c r="AX4755" s="2"/>
      <c r="AY4755" s="2"/>
      <c r="AZ4755" s="2"/>
      <c r="BA4755" s="2"/>
      <c r="BB4755" s="2"/>
    </row>
    <row r="4756" ht="204.75" customHeight="1">
      <c r="A4756" s="1">
        <v>541.0</v>
      </c>
      <c r="B4756" s="2" t="s">
        <v>13378</v>
      </c>
      <c r="C4756" s="2">
        <f>IFERROR(__xludf.DUMMYFUNCTION("split(B4756,""_"")"),1810.0)</f>
        <v>1810</v>
      </c>
      <c r="D4756" s="2" t="str">
        <f>IFERROR(__xludf.DUMMYFUNCTION("""COMPUTED_VALUE"""),"TBS")</f>
        <v>TBS</v>
      </c>
      <c r="E4756" s="2" t="str">
        <f>IFERROR(__xludf.DUMMYFUNCTION("""COMPUTED_VALUE"""),"金22")</f>
        <v>金22</v>
      </c>
      <c r="F4756" s="2" t="s">
        <v>13379</v>
      </c>
      <c r="G4756" s="2" t="s">
        <v>13386</v>
      </c>
      <c r="H4756" s="1">
        <v>4.0</v>
      </c>
      <c r="J4756" s="1" t="s">
        <v>86</v>
      </c>
      <c r="K4756" s="2" t="s">
        <v>13387</v>
      </c>
      <c r="L4756" s="2"/>
      <c r="M4756" s="2" t="str">
        <f>IFERROR(__xludf.DUMMYFUNCTION("split(split(K4756,""【"",false),""公式LINE"",false)"),"尚(戸田恵梨香)が名前を間違えたことを言えない真司(ムロツヨシ)。これも病気の症状の一つだと自分に言い聞かせる。翌日、退院した真司の元を木村(富澤たけし)が訪れる。一方、侑市(松岡昌宏)はまた別のお見合い相手とデートを重ねていた。そんなある日、尚たちのクリニックの口コミサイトに尚がアルツハイマー病であるのに診察をしていたとクレームが書き込まれ、尚が窮地に立たされる。それを知った真司は…侑市は…。")</f>
        <v>尚(戸田恵梨香)が名前を間違えたことを言えない真司(ムロツヨシ)。これも病気の症状の一つだと自分に言い聞かせる。翌日、退院した真司の元を木村(富澤たけし)が訪れる。一方、侑市(松岡昌宏)はまた別のお見合い相手とデートを重ねていた。そんなある日、尚たちのクリニックの口コミサイトに尚がアルツハイマー病であるのに診察をしていたとクレームが書き込まれ、尚が窮地に立たされる。それを知った真司は…侑市は…。</v>
      </c>
      <c r="N4756" s="2"/>
      <c r="O4756" s="2"/>
      <c r="P4756" s="2"/>
      <c r="Q4756" s="2"/>
      <c r="R4756" s="2"/>
      <c r="S4756" s="2"/>
      <c r="T4756" s="2"/>
      <c r="U4756" s="2"/>
      <c r="V4756" s="2"/>
      <c r="W4756" s="2"/>
      <c r="X4756" s="2"/>
      <c r="Y4756" s="2"/>
      <c r="Z4756" s="2"/>
      <c r="AA4756" s="2"/>
      <c r="AB4756" s="2"/>
      <c r="AC4756" s="2"/>
      <c r="AD4756" s="2"/>
      <c r="AE4756" s="2"/>
      <c r="AF4756" s="2"/>
      <c r="AG4756" s="2"/>
      <c r="AH4756" s="2"/>
      <c r="AI4756" s="2"/>
      <c r="AJ4756" s="2"/>
      <c r="AK4756" s="2"/>
      <c r="AL4756" s="2"/>
      <c r="AM4756" s="2"/>
      <c r="AN4756" s="2"/>
      <c r="AO4756" s="2"/>
      <c r="AP4756" s="2"/>
      <c r="AQ4756" s="2"/>
      <c r="AR4756" s="2"/>
      <c r="AS4756" s="2"/>
      <c r="AT4756" s="2"/>
      <c r="AU4756" s="2"/>
      <c r="AV4756" s="2"/>
      <c r="AW4756" s="2"/>
      <c r="AX4756" s="2"/>
      <c r="AY4756" s="2"/>
      <c r="AZ4756" s="2"/>
      <c r="BA4756" s="2"/>
      <c r="BB4756" s="2"/>
    </row>
    <row r="4757" ht="204.75" customHeight="1">
      <c r="A4757" s="1">
        <v>542.0</v>
      </c>
      <c r="B4757" s="2" t="s">
        <v>13378</v>
      </c>
      <c r="C4757" s="2">
        <f>IFERROR(__xludf.DUMMYFUNCTION("split(B4757,""_"")"),1810.0)</f>
        <v>1810</v>
      </c>
      <c r="D4757" s="2" t="str">
        <f>IFERROR(__xludf.DUMMYFUNCTION("""COMPUTED_VALUE"""),"TBS")</f>
        <v>TBS</v>
      </c>
      <c r="E4757" s="2" t="str">
        <f>IFERROR(__xludf.DUMMYFUNCTION("""COMPUTED_VALUE"""),"金22")</f>
        <v>金22</v>
      </c>
      <c r="F4757" s="2" t="s">
        <v>13379</v>
      </c>
      <c r="G4757" s="2" t="s">
        <v>13388</v>
      </c>
      <c r="H4757" s="1">
        <v>5.0</v>
      </c>
      <c r="J4757" s="1" t="s">
        <v>86</v>
      </c>
      <c r="K4757" s="2" t="s">
        <v>13389</v>
      </c>
      <c r="L4757" s="2"/>
      <c r="M4757" s="2" t="str">
        <f>IFERROR(__xludf.DUMMYFUNCTION("split(split(K4757,""【"",false),""公式LINE"",false)"),"尚(戸田恵梨香)に別れを告げた真司(ムロツヨシ)は、尚によって呼び起こされた思いを小説へ向けて、書き続ける。一方、尚はなぜ真司に別れようと言われたのか分からず、アルバイト先の引越し屋を訪ねるが、木村(富澤たけし)に今はそっとしておくように諭される。しかし諦めきれない尚は、真司をあの居酒屋に誘うが、真司の姿は現れない…。そして9ヶ月の月日が経ち…。ついに第一章完結!!  ")</f>
        <v>尚(戸田恵梨香)に別れを告げた真司(ムロツヨシ)は、尚によって呼び起こされた思いを小説へ向けて、書き続ける。一方、尚はなぜ真司に別れようと言われたのか分からず、アルバイト先の引越し屋を訪ねるが、木村(富澤たけし)に今はそっとしておくように諭される。しかし諦めきれない尚は、真司をあの居酒屋に誘うが、真司の姿は現れない…。そして9ヶ月の月日が経ち…。ついに第一章完結!!  </v>
      </c>
      <c r="N4757" s="2"/>
      <c r="O4757" s="2"/>
      <c r="P4757" s="2"/>
      <c r="Q4757" s="2"/>
      <c r="R4757" s="2"/>
      <c r="S4757" s="2"/>
      <c r="T4757" s="2"/>
      <c r="U4757" s="2"/>
      <c r="V4757" s="2"/>
      <c r="W4757" s="2"/>
      <c r="X4757" s="2"/>
      <c r="Y4757" s="2"/>
      <c r="Z4757" s="2"/>
      <c r="AA4757" s="2"/>
      <c r="AB4757" s="2"/>
      <c r="AC4757" s="2"/>
      <c r="AD4757" s="2"/>
      <c r="AE4757" s="2"/>
      <c r="AF4757" s="2"/>
      <c r="AG4757" s="2"/>
      <c r="AH4757" s="2"/>
      <c r="AI4757" s="2"/>
      <c r="AJ4757" s="2"/>
      <c r="AK4757" s="2"/>
      <c r="AL4757" s="2"/>
      <c r="AM4757" s="2"/>
      <c r="AN4757" s="2"/>
      <c r="AO4757" s="2"/>
      <c r="AP4757" s="2"/>
      <c r="AQ4757" s="2"/>
      <c r="AR4757" s="2"/>
      <c r="AS4757" s="2"/>
      <c r="AT4757" s="2"/>
      <c r="AU4757" s="2"/>
      <c r="AV4757" s="2"/>
      <c r="AW4757" s="2"/>
      <c r="AX4757" s="2"/>
      <c r="AY4757" s="2"/>
      <c r="AZ4757" s="2"/>
      <c r="BA4757" s="2"/>
      <c r="BB4757" s="2"/>
    </row>
    <row r="4758" ht="204.75" customHeight="1">
      <c r="A4758" s="1">
        <v>543.0</v>
      </c>
      <c r="B4758" s="2" t="s">
        <v>13378</v>
      </c>
      <c r="C4758" s="2">
        <f>IFERROR(__xludf.DUMMYFUNCTION("split(B4758,""_"")"),1810.0)</f>
        <v>1810</v>
      </c>
      <c r="D4758" s="2" t="str">
        <f>IFERROR(__xludf.DUMMYFUNCTION("""COMPUTED_VALUE"""),"TBS")</f>
        <v>TBS</v>
      </c>
      <c r="E4758" s="2" t="str">
        <f>IFERROR(__xludf.DUMMYFUNCTION("""COMPUTED_VALUE"""),"金22")</f>
        <v>金22</v>
      </c>
      <c r="F4758" s="2" t="s">
        <v>13379</v>
      </c>
      <c r="G4758" s="2" t="s">
        <v>13390</v>
      </c>
      <c r="H4758" s="1">
        <v>6.0</v>
      </c>
      <c r="J4758" s="1" t="s">
        <v>82</v>
      </c>
      <c r="K4758" s="2" t="s">
        <v>13391</v>
      </c>
      <c r="L4758" s="2"/>
      <c r="M4758" s="2" t="str">
        <f>IFERROR(__xludf.DUMMYFUNCTION("split(split(K4758,""【"",false),""公式LINE"",false)"),"ついに結婚した尚(戸田恵梨香)と真司(ムロツヨシ)。新しいマンションに引っ越し、幸せな新婚生活をスタートさせる。そんな時、尚は病院で松尾公平(小池徹平)という同じ病気の男性と知り合いになる。公平は保育士として働きながら、MCIを患っていた。そんな時、尚は侑市(松岡昌宏)の勧めで医学生向けの講演会をすることになる。久しぶりの表舞台に緊張しながらも、心を弾ませる尚だったが、思いもよらないことが起きる。")</f>
        <v>ついに結婚した尚(戸田恵梨香)と真司(ムロツヨシ)。新しいマンションに引っ越し、幸せな新婚生活をスタートさせる。そんな時、尚は病院で松尾公平(小池徹平)という同じ病気の男性と知り合いになる。公平は保育士として働きながら、MCIを患っていた。そんな時、尚は侑市(松岡昌宏)の勧めで医学生向けの講演会をすることになる。久しぶりの表舞台に緊張しながらも、心を弾ませる尚だったが、思いもよらないことが起きる。</v>
      </c>
      <c r="N4758" s="2"/>
      <c r="O4758" s="2"/>
      <c r="P4758" s="2"/>
      <c r="Q4758" s="2"/>
      <c r="R4758" s="2"/>
      <c r="S4758" s="2"/>
      <c r="T4758" s="2"/>
      <c r="U4758" s="2"/>
      <c r="V4758" s="2"/>
      <c r="W4758" s="2"/>
      <c r="X4758" s="2"/>
      <c r="Y4758" s="2"/>
      <c r="Z4758" s="2"/>
      <c r="AA4758" s="2"/>
      <c r="AB4758" s="2"/>
      <c r="AC4758" s="2"/>
      <c r="AD4758" s="2"/>
      <c r="AE4758" s="2"/>
      <c r="AF4758" s="2"/>
      <c r="AG4758" s="2"/>
      <c r="AH4758" s="2"/>
      <c r="AI4758" s="2"/>
      <c r="AJ4758" s="2"/>
      <c r="AK4758" s="2"/>
      <c r="AL4758" s="2"/>
      <c r="AM4758" s="2"/>
      <c r="AN4758" s="2"/>
      <c r="AO4758" s="2"/>
      <c r="AP4758" s="2"/>
      <c r="AQ4758" s="2"/>
      <c r="AR4758" s="2"/>
      <c r="AS4758" s="2"/>
      <c r="AT4758" s="2"/>
      <c r="AU4758" s="2"/>
      <c r="AV4758" s="2"/>
      <c r="AW4758" s="2"/>
      <c r="AX4758" s="2"/>
      <c r="AY4758" s="2"/>
      <c r="AZ4758" s="2"/>
      <c r="BA4758" s="2"/>
      <c r="BB4758" s="2"/>
    </row>
    <row r="4759" ht="204.75" customHeight="1">
      <c r="A4759" s="1">
        <v>544.0</v>
      </c>
      <c r="B4759" s="2" t="s">
        <v>13378</v>
      </c>
      <c r="C4759" s="2">
        <f>IFERROR(__xludf.DUMMYFUNCTION("split(B4759,""_"")"),1810.0)</f>
        <v>1810</v>
      </c>
      <c r="D4759" s="2" t="str">
        <f>IFERROR(__xludf.DUMMYFUNCTION("""COMPUTED_VALUE"""),"TBS")</f>
        <v>TBS</v>
      </c>
      <c r="E4759" s="2" t="str">
        <f>IFERROR(__xludf.DUMMYFUNCTION("""COMPUTED_VALUE"""),"金22")</f>
        <v>金22</v>
      </c>
      <c r="F4759" s="2" t="s">
        <v>13379</v>
      </c>
      <c r="G4759" s="2" t="s">
        <v>13392</v>
      </c>
      <c r="H4759" s="1">
        <v>7.0</v>
      </c>
      <c r="J4759" s="1" t="s">
        <v>86</v>
      </c>
      <c r="K4759" s="2" t="s">
        <v>13393</v>
      </c>
      <c r="L4759" s="2"/>
      <c r="M4759" s="2" t="str">
        <f>IFERROR(__xludf.DUMMYFUNCTION("split(split(K4759,""【"",false),""公式LINE"",false)"),"尚(戸田恵梨香)が倒れてしまった理由を侑市(松岡昌宏)に問いただす真司(ムロツヨシ)だが、理由は分からないまま。未知なる病気の前では、いくら医者でも無力だと薫(草刈民代)に諭される。一方、尚にキスをしていた公平(小池徹平)は、翌朝も尚の病室にやってきて、真司と対峙する。「尚さんがほしい、例え真司を殺しても」と言い放つ。彼の狙いは何なのか…。さらに、尚の症状にもある変化がやってきて…。")</f>
        <v>尚(戸田恵梨香)が倒れてしまった理由を侑市(松岡昌宏)に問いただす真司(ムロツヨシ)だが、理由は分からないまま。未知なる病気の前では、いくら医者でも無力だと薫(草刈民代)に諭される。一方、尚にキスをしていた公平(小池徹平)は、翌朝も尚の病室にやってきて、真司と対峙する。「尚さんがほしい、例え真司を殺しても」と言い放つ。彼の狙いは何なのか…。さらに、尚の症状にもある変化がやってきて…。</v>
      </c>
      <c r="N4759" s="2"/>
      <c r="O4759" s="2"/>
      <c r="P4759" s="2"/>
      <c r="Q4759" s="2"/>
      <c r="R4759" s="2"/>
      <c r="S4759" s="2"/>
      <c r="T4759" s="2"/>
      <c r="U4759" s="2"/>
      <c r="V4759" s="2"/>
      <c r="W4759" s="2"/>
      <c r="X4759" s="2"/>
      <c r="Y4759" s="2"/>
      <c r="Z4759" s="2"/>
      <c r="AA4759" s="2"/>
      <c r="AB4759" s="2"/>
      <c r="AC4759" s="2"/>
      <c r="AD4759" s="2"/>
      <c r="AE4759" s="2"/>
      <c r="AF4759" s="2"/>
      <c r="AG4759" s="2"/>
      <c r="AH4759" s="2"/>
      <c r="AI4759" s="2"/>
      <c r="AJ4759" s="2"/>
      <c r="AK4759" s="2"/>
      <c r="AL4759" s="2"/>
      <c r="AM4759" s="2"/>
      <c r="AN4759" s="2"/>
      <c r="AO4759" s="2"/>
      <c r="AP4759" s="2"/>
      <c r="AQ4759" s="2"/>
      <c r="AR4759" s="2"/>
      <c r="AS4759" s="2"/>
      <c r="AT4759" s="2"/>
      <c r="AU4759" s="2"/>
      <c r="AV4759" s="2"/>
      <c r="AW4759" s="2"/>
      <c r="AX4759" s="2"/>
      <c r="AY4759" s="2"/>
      <c r="AZ4759" s="2"/>
      <c r="BA4759" s="2"/>
      <c r="BB4759" s="2"/>
    </row>
    <row r="4760" ht="204.75" customHeight="1">
      <c r="A4760" s="1">
        <v>545.0</v>
      </c>
      <c r="B4760" s="2" t="s">
        <v>13378</v>
      </c>
      <c r="C4760" s="2">
        <f>IFERROR(__xludf.DUMMYFUNCTION("split(B4760,""_"")"),1810.0)</f>
        <v>1810</v>
      </c>
      <c r="D4760" s="2" t="str">
        <f>IFERROR(__xludf.DUMMYFUNCTION("""COMPUTED_VALUE"""),"TBS")</f>
        <v>TBS</v>
      </c>
      <c r="E4760" s="2" t="str">
        <f>IFERROR(__xludf.DUMMYFUNCTION("""COMPUTED_VALUE"""),"金22")</f>
        <v>金22</v>
      </c>
      <c r="F4760" s="2" t="s">
        <v>13379</v>
      </c>
      <c r="G4760" s="2" t="s">
        <v>13394</v>
      </c>
      <c r="H4760" s="1">
        <v>8.0</v>
      </c>
      <c r="J4760" s="1" t="s">
        <v>86</v>
      </c>
      <c r="K4760" s="2" t="s">
        <v>13395</v>
      </c>
      <c r="L4760" s="2"/>
      <c r="M4760" s="2" t="str">
        <f>IFERROR(__xludf.DUMMYFUNCTION("split(split(K4760,""【"",false),""公式LINE"",false)"),"尚(戸田恵梨香)の失神のきっかけを作ったのが、公平(小池徹平)だと気づいた侑市(松岡昌宏)は、公平を問い詰め、転院して尚夫婦には関わらないように諭すが、聞き入れられない。その頃、公平は尚を尾行し、自然な流れを装って尚に近づいていた。真司(ムロツヨシ)は小説家としての仕事が忙しく、それに気づいていない。そんな時、スマホを忘れてきてしまった真司は、水野(木南晴夏)に取りに行ってもらうが…。")</f>
        <v>尚(戸田恵梨香)の失神のきっかけを作ったのが、公平(小池徹平)だと気づいた侑市(松岡昌宏)は、公平を問い詰め、転院して尚夫婦には関わらないように諭すが、聞き入れられない。その頃、公平は尚を尾行し、自然な流れを装って尚に近づいていた。真司(ムロツヨシ)は小説家としての仕事が忙しく、それに気づいていない。そんな時、スマホを忘れてきてしまった真司は、水野(木南晴夏)に取りに行ってもらうが…。</v>
      </c>
      <c r="N4760" s="2"/>
      <c r="O4760" s="2"/>
      <c r="P4760" s="2"/>
      <c r="Q4760" s="2"/>
      <c r="R4760" s="2"/>
      <c r="S4760" s="2"/>
      <c r="T4760" s="2"/>
      <c r="U4760" s="2"/>
      <c r="V4760" s="2"/>
      <c r="W4760" s="2"/>
      <c r="X4760" s="2"/>
      <c r="Y4760" s="2"/>
      <c r="Z4760" s="2"/>
      <c r="AA4760" s="2"/>
      <c r="AB4760" s="2"/>
      <c r="AC4760" s="2"/>
      <c r="AD4760" s="2"/>
      <c r="AE4760" s="2"/>
      <c r="AF4760" s="2"/>
      <c r="AG4760" s="2"/>
      <c r="AH4760" s="2"/>
      <c r="AI4760" s="2"/>
      <c r="AJ4760" s="2"/>
      <c r="AK4760" s="2"/>
      <c r="AL4760" s="2"/>
      <c r="AM4760" s="2"/>
      <c r="AN4760" s="2"/>
      <c r="AO4760" s="2"/>
      <c r="AP4760" s="2"/>
      <c r="AQ4760" s="2"/>
      <c r="AR4760" s="2"/>
      <c r="AS4760" s="2"/>
      <c r="AT4760" s="2"/>
      <c r="AU4760" s="2"/>
      <c r="AV4760" s="2"/>
      <c r="AW4760" s="2"/>
      <c r="AX4760" s="2"/>
      <c r="AY4760" s="2"/>
      <c r="AZ4760" s="2"/>
      <c r="BA4760" s="2"/>
      <c r="BB4760" s="2"/>
    </row>
    <row r="4761" ht="204.75" customHeight="1">
      <c r="A4761" s="1">
        <v>546.0</v>
      </c>
      <c r="B4761" s="2" t="s">
        <v>13378</v>
      </c>
      <c r="C4761" s="2">
        <f>IFERROR(__xludf.DUMMYFUNCTION("split(B4761,""_"")"),1810.0)</f>
        <v>1810</v>
      </c>
      <c r="D4761" s="2" t="str">
        <f>IFERROR(__xludf.DUMMYFUNCTION("""COMPUTED_VALUE"""),"TBS")</f>
        <v>TBS</v>
      </c>
      <c r="E4761" s="2" t="str">
        <f>IFERROR(__xludf.DUMMYFUNCTION("""COMPUTED_VALUE"""),"金22")</f>
        <v>金22</v>
      </c>
      <c r="F4761" s="2" t="s">
        <v>13379</v>
      </c>
      <c r="G4761" s="2" t="s">
        <v>13396</v>
      </c>
      <c r="H4761" s="1">
        <v>9.0</v>
      </c>
      <c r="J4761" s="1" t="s">
        <v>86</v>
      </c>
      <c r="K4761" s="2" t="s">
        <v>13397</v>
      </c>
      <c r="L4761" s="2"/>
      <c r="M4761" s="2" t="str">
        <f>IFERROR(__xludf.DUMMYFUNCTION("split(split(K4761,""【"",false),""公式LINE"",false)"),"尚(戸田恵梨香)は、病院でめでたく妊娠を告げられる。真司(ムロツヨシ)に報告すると、大喜び。二人は出産に向けて準備を始める。一方、侑市(松岡昌宏)と薫(草刈民代)にも関係の変化が訪れていた。それを知った母・千賀子は激怒し…。時は流れ、尚と真司の間に待望の男の子が生まれる。一番恵まれるように、と恵一という名前をつける。家族3人の幸せな時間を過ごす。しかし時は残酷なまでに急ぎ足なのだった。")</f>
        <v>尚(戸田恵梨香)は、病院でめでたく妊娠を告げられる。真司(ムロツヨシ)に報告すると、大喜び。二人は出産に向けて準備を始める。一方、侑市(松岡昌宏)と薫(草刈民代)にも関係の変化が訪れていた。それを知った母・千賀子は激怒し…。時は流れ、尚と真司の間に待望の男の子が生まれる。一番恵まれるように、と恵一という名前をつける。家族3人の幸せな時間を過ごす。しかし時は残酷なまでに急ぎ足なのだった。</v>
      </c>
      <c r="N4761" s="2"/>
      <c r="O4761" s="2"/>
      <c r="P4761" s="2"/>
      <c r="Q4761" s="2"/>
      <c r="R4761" s="2"/>
      <c r="S4761" s="2"/>
      <c r="T4761" s="2"/>
      <c r="U4761" s="2"/>
      <c r="V4761" s="2"/>
      <c r="W4761" s="2"/>
      <c r="X4761" s="2"/>
      <c r="Y4761" s="2"/>
      <c r="Z4761" s="2"/>
      <c r="AA4761" s="2"/>
      <c r="AB4761" s="2"/>
      <c r="AC4761" s="2"/>
      <c r="AD4761" s="2"/>
      <c r="AE4761" s="2"/>
      <c r="AF4761" s="2"/>
      <c r="AG4761" s="2"/>
      <c r="AH4761" s="2"/>
      <c r="AI4761" s="2"/>
      <c r="AJ4761" s="2"/>
      <c r="AK4761" s="2"/>
      <c r="AL4761" s="2"/>
      <c r="AM4761" s="2"/>
      <c r="AN4761" s="2"/>
      <c r="AO4761" s="2"/>
      <c r="AP4761" s="2"/>
      <c r="AQ4761" s="2"/>
      <c r="AR4761" s="2"/>
      <c r="AS4761" s="2"/>
      <c r="AT4761" s="2"/>
      <c r="AU4761" s="2"/>
      <c r="AV4761" s="2"/>
      <c r="AW4761" s="2"/>
      <c r="AX4761" s="2"/>
      <c r="AY4761" s="2"/>
      <c r="AZ4761" s="2"/>
      <c r="BA4761" s="2"/>
      <c r="BB4761" s="2"/>
    </row>
    <row r="4762" ht="204.75" customHeight="1">
      <c r="A4762" s="1">
        <v>547.0</v>
      </c>
      <c r="B4762" s="2" t="s">
        <v>13378</v>
      </c>
      <c r="C4762" s="2">
        <f>IFERROR(__xludf.DUMMYFUNCTION("split(B4762,""_"")"),1810.0)</f>
        <v>1810</v>
      </c>
      <c r="D4762" s="2" t="str">
        <f>IFERROR(__xludf.DUMMYFUNCTION("""COMPUTED_VALUE"""),"TBS")</f>
        <v>TBS</v>
      </c>
      <c r="E4762" s="2" t="str">
        <f>IFERROR(__xludf.DUMMYFUNCTION("""COMPUTED_VALUE"""),"金22")</f>
        <v>金22</v>
      </c>
      <c r="F4762" s="2" t="s">
        <v>13379</v>
      </c>
      <c r="G4762" s="2" t="s">
        <v>13398</v>
      </c>
      <c r="H4762" s="1">
        <v>10.0</v>
      </c>
      <c r="J4762" s="1" t="s">
        <v>82</v>
      </c>
      <c r="K4762" s="2" t="s">
        <v>13399</v>
      </c>
      <c r="L4762" s="2"/>
      <c r="M4762" s="2" t="str">
        <f>IFERROR(__xludf.DUMMYFUNCTION("split(split(K4762,""【"",false),""公式LINE"",false)"),"尚(戸田恵梨香)がいなくなってから8ヶ月が経った。真司(ムロツヨシ)は病院や施設を探し回るが一向に見つからない。息子の恵一には作り話をして、母がいない寂しさを紛らわす毎日だ。そんな時に、尚の新たな情報が入る。真司がその情報の場所に向かうと…。これは神様がくれた最後の奇跡。尚と真司の10年間の愛の物語がついに完結!  ")</f>
        <v>尚(戸田恵梨香)がいなくなってから8ヶ月が経った。真司(ムロツヨシ)は病院や施設を探し回るが一向に見つからない。息子の恵一には作り話をして、母がいない寂しさを紛らわす毎日だ。そんな時に、尚の新たな情報が入る。真司がその情報の場所に向かうと…。これは神様がくれた最後の奇跡。尚と真司の10年間の愛の物語がついに完結!  </v>
      </c>
      <c r="N4762" s="2"/>
      <c r="O4762" s="2"/>
      <c r="P4762" s="2"/>
      <c r="Q4762" s="2"/>
      <c r="R4762" s="2"/>
      <c r="S4762" s="2"/>
      <c r="T4762" s="2"/>
      <c r="U4762" s="2"/>
      <c r="V4762" s="2"/>
      <c r="W4762" s="2"/>
      <c r="X4762" s="2"/>
      <c r="Y4762" s="2"/>
      <c r="Z4762" s="2"/>
      <c r="AA4762" s="2"/>
      <c r="AB4762" s="2"/>
      <c r="AC4762" s="2"/>
      <c r="AD4762" s="2"/>
      <c r="AE4762" s="2"/>
      <c r="AF4762" s="2"/>
      <c r="AG4762" s="2"/>
      <c r="AH4762" s="2"/>
      <c r="AI4762" s="2"/>
      <c r="AJ4762" s="2"/>
      <c r="AK4762" s="2"/>
      <c r="AL4762" s="2"/>
      <c r="AM4762" s="2"/>
      <c r="AN4762" s="2"/>
      <c r="AO4762" s="2"/>
      <c r="AP4762" s="2"/>
      <c r="AQ4762" s="2"/>
      <c r="AR4762" s="2"/>
      <c r="AS4762" s="2"/>
      <c r="AT4762" s="2"/>
      <c r="AU4762" s="2"/>
      <c r="AV4762" s="2"/>
      <c r="AW4762" s="2"/>
      <c r="AX4762" s="2"/>
      <c r="AY4762" s="2"/>
      <c r="AZ4762" s="2"/>
      <c r="BA4762" s="2"/>
      <c r="BB4762" s="2"/>
    </row>
    <row r="4763" ht="204.75" customHeight="1">
      <c r="A4763" s="1">
        <v>573.0</v>
      </c>
      <c r="B4763" s="2" t="s">
        <v>13400</v>
      </c>
      <c r="C4763" s="2">
        <f>IFERROR(__xludf.DUMMYFUNCTION("split(B4763,""_"")"),1810.0)</f>
        <v>1810</v>
      </c>
      <c r="D4763" s="2" t="str">
        <f>IFERROR(__xludf.DUMMYFUNCTION("""COMPUTED_VALUE"""),"TBS")</f>
        <v>TBS</v>
      </c>
      <c r="E4763" s="2" t="str">
        <f>IFERROR(__xludf.DUMMYFUNCTION("""COMPUTED_VALUE"""),"日21")</f>
        <v>日21</v>
      </c>
      <c r="F4763" s="2" t="s">
        <v>13401</v>
      </c>
      <c r="G4763" s="2" t="s">
        <v>13402</v>
      </c>
      <c r="H4763" s="1">
        <v>1.0</v>
      </c>
      <c r="J4763" s="1" t="s">
        <v>4</v>
      </c>
      <c r="K4763" s="2" t="s">
        <v>13403</v>
      </c>
      <c r="L4763" s="2"/>
      <c r="M4763" s="2" t="str">
        <f>IFERROR(__xludf.DUMMYFUNCTION("split(split(K4763,""【"",false),""公式LINE"",false)"),"ある日、佃航平(阿部寛)は、帝国重工がロケット事業から撤退するかもしれないと 財前(吉川晃司) から告げられる。「ロケット品質」が精神的支柱だった佃製作所社員たちは大きなショックを受ける。追いうちをかけるように、大口取引先から告げられた取引削減…そんな中、佃製作所の経理部長殿村(立川談春)の父親が倒れる。殿村の実家は三百年続く農家。トラクターを運転する殿村をじっと見つめ、佃の中に新たな夢が生まれる")</f>
        <v>ある日、佃航平(阿部寛)は、帝国重工がロケット事業から撤退するかもしれないと 財前(吉川晃司) から告げられる。「ロケット品質」が精神的支柱だった佃製作所社員たちは大きなショックを受ける。追いうちをかけるように、大口取引先から告げられた取引削減…そんな中、佃製作所の経理部長殿村(立川談春)の父親が倒れる。殿村の実家は三百年続く農家。トラクターを運転する殿村をじっと見つめ、佃の中に新たな夢が生まれる</v>
      </c>
      <c r="N4763" s="2"/>
      <c r="O4763" s="2"/>
      <c r="P4763" s="2"/>
      <c r="Q4763" s="2"/>
      <c r="R4763" s="2"/>
      <c r="S4763" s="2"/>
      <c r="T4763" s="2"/>
      <c r="U4763" s="2"/>
      <c r="V4763" s="2"/>
      <c r="W4763" s="2"/>
      <c r="X4763" s="2"/>
      <c r="Y4763" s="2"/>
      <c r="Z4763" s="2"/>
      <c r="AA4763" s="2"/>
      <c r="AB4763" s="2"/>
      <c r="AC4763" s="2"/>
      <c r="AD4763" s="2"/>
      <c r="AE4763" s="2"/>
      <c r="AF4763" s="2"/>
      <c r="AG4763" s="2"/>
      <c r="AH4763" s="2"/>
      <c r="AI4763" s="2"/>
      <c r="AJ4763" s="2"/>
      <c r="AK4763" s="2"/>
      <c r="AL4763" s="2"/>
      <c r="AM4763" s="2"/>
      <c r="AN4763" s="2"/>
      <c r="AO4763" s="2"/>
      <c r="AP4763" s="2"/>
      <c r="AQ4763" s="2"/>
      <c r="AR4763" s="2"/>
      <c r="AS4763" s="2"/>
      <c r="AT4763" s="2"/>
      <c r="AU4763" s="2"/>
      <c r="AV4763" s="2"/>
      <c r="AW4763" s="2"/>
      <c r="AX4763" s="2"/>
      <c r="AY4763" s="2"/>
      <c r="AZ4763" s="2"/>
      <c r="BA4763" s="2"/>
      <c r="BB4763" s="2"/>
    </row>
    <row r="4764" ht="204.75" customHeight="1">
      <c r="A4764" s="1">
        <v>574.0</v>
      </c>
      <c r="B4764" s="2" t="s">
        <v>13400</v>
      </c>
      <c r="C4764" s="2">
        <f>IFERROR(__xludf.DUMMYFUNCTION("split(B4764,""_"")"),1810.0)</f>
        <v>1810</v>
      </c>
      <c r="D4764" s="2" t="str">
        <f>IFERROR(__xludf.DUMMYFUNCTION("""COMPUTED_VALUE"""),"TBS")</f>
        <v>TBS</v>
      </c>
      <c r="E4764" s="2" t="str">
        <f>IFERROR(__xludf.DUMMYFUNCTION("""COMPUTED_VALUE"""),"日21")</f>
        <v>日21</v>
      </c>
      <c r="F4764" s="2" t="s">
        <v>13401</v>
      </c>
      <c r="G4764" s="2" t="s">
        <v>13404</v>
      </c>
      <c r="H4764" s="1">
        <v>2.0</v>
      </c>
      <c r="J4764" s="1" t="s">
        <v>4</v>
      </c>
      <c r="K4764" s="2" t="s">
        <v>13405</v>
      </c>
      <c r="L4764" s="2"/>
      <c r="M4764" s="2" t="str">
        <f>IFERROR(__xludf.DUMMYFUNCTION("split(split(K4764,""【"",false),""公式LINE"",false)"),"『トラクターのトランスミッション開発』という新たな夢を持った佃(阿部寛)。ギアゴーストのコンペではトランスミッションのバルブの採用を勝ち取ったものの…そのギアゴーストが特許侵害の指摘を受け、コンペが白紙になろうとしていた。実はその特許侵害を仕組んだのは、佃と因縁の弁護士・中川京一(池畑慎之介)…!さらにロケットでは、帝国重工の反対派の陰謀で、佃製のバルブが使用不可に…!?宇宙も大地も大ピンチ!")</f>
        <v>『トラクターのトランスミッション開発』という新たな夢を持った佃(阿部寛)。ギアゴーストのコンペではトランスミッションのバルブの採用を勝ち取ったものの…そのギアゴーストが特許侵害の指摘を受け、コンペが白紙になろうとしていた。実はその特許侵害を仕組んだのは、佃と因縁の弁護士・中川京一(池畑慎之介)…!さらにロケットでは、帝国重工の反対派の陰謀で、佃製のバルブが使用不可に…!?宇宙も大地も大ピンチ!</v>
      </c>
      <c r="N4764" s="2"/>
      <c r="O4764" s="2"/>
      <c r="P4764" s="2"/>
      <c r="Q4764" s="2"/>
      <c r="R4764" s="2"/>
      <c r="S4764" s="2"/>
      <c r="T4764" s="2"/>
      <c r="U4764" s="2"/>
      <c r="V4764" s="2"/>
      <c r="W4764" s="2"/>
      <c r="X4764" s="2"/>
      <c r="Y4764" s="2"/>
      <c r="Z4764" s="2"/>
      <c r="AA4764" s="2"/>
      <c r="AB4764" s="2"/>
      <c r="AC4764" s="2"/>
      <c r="AD4764" s="2"/>
      <c r="AE4764" s="2"/>
      <c r="AF4764" s="2"/>
      <c r="AG4764" s="2"/>
      <c r="AH4764" s="2"/>
      <c r="AI4764" s="2"/>
      <c r="AJ4764" s="2"/>
      <c r="AK4764" s="2"/>
      <c r="AL4764" s="2"/>
      <c r="AM4764" s="2"/>
      <c r="AN4764" s="2"/>
      <c r="AO4764" s="2"/>
      <c r="AP4764" s="2"/>
      <c r="AQ4764" s="2"/>
      <c r="AR4764" s="2"/>
      <c r="AS4764" s="2"/>
      <c r="AT4764" s="2"/>
      <c r="AU4764" s="2"/>
      <c r="AV4764" s="2"/>
      <c r="AW4764" s="2"/>
      <c r="AX4764" s="2"/>
      <c r="AY4764" s="2"/>
      <c r="AZ4764" s="2"/>
      <c r="BA4764" s="2"/>
      <c r="BB4764" s="2"/>
    </row>
    <row r="4765" ht="204.75" customHeight="1">
      <c r="A4765" s="1">
        <v>575.0</v>
      </c>
      <c r="B4765" s="2" t="s">
        <v>13400</v>
      </c>
      <c r="C4765" s="2">
        <f>IFERROR(__xludf.DUMMYFUNCTION("split(B4765,""_"")"),1810.0)</f>
        <v>1810</v>
      </c>
      <c r="D4765" s="2" t="str">
        <f>IFERROR(__xludf.DUMMYFUNCTION("""COMPUTED_VALUE"""),"TBS")</f>
        <v>TBS</v>
      </c>
      <c r="E4765" s="2" t="str">
        <f>IFERROR(__xludf.DUMMYFUNCTION("""COMPUTED_VALUE"""),"日21")</f>
        <v>日21</v>
      </c>
      <c r="F4765" s="2" t="s">
        <v>13401</v>
      </c>
      <c r="G4765" s="2" t="s">
        <v>13406</v>
      </c>
      <c r="H4765" s="1">
        <v>3.0</v>
      </c>
      <c r="J4765" s="1" t="s">
        <v>11</v>
      </c>
      <c r="K4765" s="2" t="s">
        <v>13407</v>
      </c>
      <c r="L4765" s="2"/>
      <c r="M4765" s="2" t="str">
        <f>IFERROR(__xludf.DUMMYFUNCTION("split(split(K4765,""【"",false),""公式LINE"",false)"),"帝国重工の水原(木下ほうか)に佃(阿部寛)は、信用調査を受け入れなければならないと告げられる…。その原因はギアゴーストの買収。なぜ帝国重工がその情報を知っているのかー。身近にスパイがいることがわかる。帝国重工の安本(古坂大魔王)に詰められる佃製作所メンバーは、指示された覚えのない書類の不備で窮地にたたされるー。さらに大地=農業への挑戦も本格始動。佃とギアゴーストのメンバーは田植えである発見をする!")</f>
        <v>帝国重工の水原(木下ほうか)に佃(阿部寛)は、信用調査を受け入れなければならないと告げられる…。その原因はギアゴーストの買収。なぜ帝国重工がその情報を知っているのかー。身近にスパイがいることがわかる。帝国重工の安本(古坂大魔王)に詰められる佃製作所メンバーは、指示された覚えのない書類の不備で窮地にたたされるー。さらに大地=農業への挑戦も本格始動。佃とギアゴーストのメンバーは田植えである発見をする!</v>
      </c>
      <c r="N4765" s="2"/>
      <c r="O4765" s="2"/>
      <c r="P4765" s="2"/>
      <c r="Q4765" s="2"/>
      <c r="R4765" s="2"/>
      <c r="S4765" s="2"/>
      <c r="T4765" s="2"/>
      <c r="U4765" s="2"/>
      <c r="V4765" s="2"/>
      <c r="W4765" s="2"/>
      <c r="X4765" s="2"/>
      <c r="Y4765" s="2"/>
      <c r="Z4765" s="2"/>
      <c r="AA4765" s="2"/>
      <c r="AB4765" s="2"/>
      <c r="AC4765" s="2"/>
      <c r="AD4765" s="2"/>
      <c r="AE4765" s="2"/>
      <c r="AF4765" s="2"/>
      <c r="AG4765" s="2"/>
      <c r="AH4765" s="2"/>
      <c r="AI4765" s="2"/>
      <c r="AJ4765" s="2"/>
      <c r="AK4765" s="2"/>
      <c r="AL4765" s="2"/>
      <c r="AM4765" s="2"/>
      <c r="AN4765" s="2"/>
      <c r="AO4765" s="2"/>
      <c r="AP4765" s="2"/>
      <c r="AQ4765" s="2"/>
      <c r="AR4765" s="2"/>
      <c r="AS4765" s="2"/>
      <c r="AT4765" s="2"/>
      <c r="AU4765" s="2"/>
      <c r="AV4765" s="2"/>
      <c r="AW4765" s="2"/>
      <c r="AX4765" s="2"/>
      <c r="AY4765" s="2"/>
      <c r="AZ4765" s="2"/>
      <c r="BA4765" s="2"/>
      <c r="BB4765" s="2"/>
    </row>
    <row r="4766" ht="204.75" customHeight="1">
      <c r="A4766" s="1">
        <v>576.0</v>
      </c>
      <c r="B4766" s="2" t="s">
        <v>13400</v>
      </c>
      <c r="C4766" s="2">
        <f>IFERROR(__xludf.DUMMYFUNCTION("split(B4766,""_"")"),1810.0)</f>
        <v>1810</v>
      </c>
      <c r="D4766" s="2" t="str">
        <f>IFERROR(__xludf.DUMMYFUNCTION("""COMPUTED_VALUE"""),"TBS")</f>
        <v>TBS</v>
      </c>
      <c r="E4766" s="2" t="str">
        <f>IFERROR(__xludf.DUMMYFUNCTION("""COMPUTED_VALUE"""),"日21")</f>
        <v>日21</v>
      </c>
      <c r="F4766" s="2" t="s">
        <v>13401</v>
      </c>
      <c r="G4766" s="2" t="s">
        <v>13408</v>
      </c>
      <c r="H4766" s="1">
        <v>4.0</v>
      </c>
      <c r="J4766" s="1" t="s">
        <v>11</v>
      </c>
      <c r="K4766" s="2" t="s">
        <v>13409</v>
      </c>
      <c r="L4766" s="2"/>
      <c r="M4766" s="2" t="str">
        <f>IFERROR(__xludf.DUMMYFUNCTION("split(split(K4766,""【"",false),""公式LINE"",false)"),"涙…涙…涙…の4話。「一番大切なことは社長に教えてもらった」、殿村(立川談春)が佃製作所を辞める?!佃社長(阿部寛)が送った心を揺さぶる言葉とはー。そして、戦友たちと最後の戦いへ。絶対に勝てない裁判ー、まさかの裏切り者の存在に窮地に追い込まれる。伊丹(尾上菊之助)に急接近する重田(古舘伊知郎)、島津(イモトアヤコ)とのギアゴーストに暗雲か。一方、何かを必死に探す佃。その起死回生の一手とはー。")</f>
        <v>涙…涙…涙…の4話。「一番大切なことは社長に教えてもらった」、殿村(立川談春)が佃製作所を辞める?!佃社長(阿部寛)が送った心を揺さぶる言葉とはー。そして、戦友たちと最後の戦いへ。絶対に勝てない裁判ー、まさかの裏切り者の存在に窮地に追い込まれる。伊丹(尾上菊之助)に急接近する重田(古舘伊知郎)、島津(イモトアヤコ)とのギアゴーストに暗雲か。一方、何かを必死に探す佃。その起死回生の一手とはー。</v>
      </c>
      <c r="N4766" s="2"/>
      <c r="O4766" s="2"/>
      <c r="P4766" s="2"/>
      <c r="Q4766" s="2"/>
      <c r="R4766" s="2"/>
      <c r="S4766" s="2"/>
      <c r="T4766" s="2"/>
      <c r="U4766" s="2"/>
      <c r="V4766" s="2"/>
      <c r="W4766" s="2"/>
      <c r="X4766" s="2"/>
      <c r="Y4766" s="2"/>
      <c r="Z4766" s="2"/>
      <c r="AA4766" s="2"/>
      <c r="AB4766" s="2"/>
      <c r="AC4766" s="2"/>
      <c r="AD4766" s="2"/>
      <c r="AE4766" s="2"/>
      <c r="AF4766" s="2"/>
      <c r="AG4766" s="2"/>
      <c r="AH4766" s="2"/>
      <c r="AI4766" s="2"/>
      <c r="AJ4766" s="2"/>
      <c r="AK4766" s="2"/>
      <c r="AL4766" s="2"/>
      <c r="AM4766" s="2"/>
      <c r="AN4766" s="2"/>
      <c r="AO4766" s="2"/>
      <c r="AP4766" s="2"/>
      <c r="AQ4766" s="2"/>
      <c r="AR4766" s="2"/>
      <c r="AS4766" s="2"/>
      <c r="AT4766" s="2"/>
      <c r="AU4766" s="2"/>
      <c r="AV4766" s="2"/>
      <c r="AW4766" s="2"/>
      <c r="AX4766" s="2"/>
      <c r="AY4766" s="2"/>
      <c r="AZ4766" s="2"/>
      <c r="BA4766" s="2"/>
      <c r="BB4766" s="2"/>
    </row>
    <row r="4767" ht="204.75" customHeight="1">
      <c r="A4767" s="1">
        <v>577.0</v>
      </c>
      <c r="B4767" s="2" t="s">
        <v>13400</v>
      </c>
      <c r="C4767" s="2">
        <f>IFERROR(__xludf.DUMMYFUNCTION("split(B4767,""_"")"),1810.0)</f>
        <v>1810</v>
      </c>
      <c r="D4767" s="2" t="str">
        <f>IFERROR(__xludf.DUMMYFUNCTION("""COMPUTED_VALUE"""),"TBS")</f>
        <v>TBS</v>
      </c>
      <c r="E4767" s="2" t="str">
        <f>IFERROR(__xludf.DUMMYFUNCTION("""COMPUTED_VALUE"""),"日21")</f>
        <v>日21</v>
      </c>
      <c r="F4767" s="2" t="s">
        <v>13401</v>
      </c>
      <c r="G4767" s="2" t="s">
        <v>13410</v>
      </c>
      <c r="H4767" s="1">
        <v>5.0</v>
      </c>
      <c r="J4767" s="1" t="s">
        <v>4</v>
      </c>
      <c r="K4767" s="2" t="s">
        <v>13411</v>
      </c>
      <c r="L4767" s="2"/>
      <c r="M4767" s="2" t="str">
        <f>IFERROR(__xludf.DUMMYFUNCTION("split(split(K4767,""【"",false),""公式LINE"",false)"),"15億円の特許侵害は本当にあったのかー?技術者の魂は守られるのかー?ゴースト編がついに完結!!絶体絶命の裁判が始まる!常勝弁護士・神谷(恵俊彰)が裁判で出す秘策とは?さらに佃社長(阿部寛)が探し求める最後の証拠とは?そんな中、ギアゴーストの伊丹(尾上菊之助)と島津(イモトアヤコ)に亀裂が?財前(吉川晃司)も驚きの新たな一歩を踏み出す!裏切り…さらに裏切り…、その衝撃の結末に佃製作所が揺れる!!")</f>
        <v>15億円の特許侵害は本当にあったのかー?技術者の魂は守られるのかー?ゴースト編がついに完結!!絶体絶命の裁判が始まる!常勝弁護士・神谷(恵俊彰)が裁判で出す秘策とは?さらに佃社長(阿部寛)が探し求める最後の証拠とは?そんな中、ギアゴーストの伊丹(尾上菊之助)と島津(イモトアヤコ)に亀裂が?財前(吉川晃司)も驚きの新たな一歩を踏み出す!裏切り…さらに裏切り…、その衝撃の結末に佃製作所が揺れる!!</v>
      </c>
      <c r="N4767" s="2"/>
      <c r="O4767" s="2"/>
      <c r="P4767" s="2"/>
      <c r="Q4767" s="2"/>
      <c r="R4767" s="2"/>
      <c r="S4767" s="2"/>
      <c r="T4767" s="2"/>
      <c r="U4767" s="2"/>
      <c r="V4767" s="2"/>
      <c r="W4767" s="2"/>
      <c r="X4767" s="2"/>
      <c r="Y4767" s="2"/>
      <c r="Z4767" s="2"/>
      <c r="AA4767" s="2"/>
      <c r="AB4767" s="2"/>
      <c r="AC4767" s="2"/>
      <c r="AD4767" s="2"/>
      <c r="AE4767" s="2"/>
      <c r="AF4767" s="2"/>
      <c r="AG4767" s="2"/>
      <c r="AH4767" s="2"/>
      <c r="AI4767" s="2"/>
      <c r="AJ4767" s="2"/>
      <c r="AK4767" s="2"/>
      <c r="AL4767" s="2"/>
      <c r="AM4767" s="2"/>
      <c r="AN4767" s="2"/>
      <c r="AO4767" s="2"/>
      <c r="AP4767" s="2"/>
      <c r="AQ4767" s="2"/>
      <c r="AR4767" s="2"/>
      <c r="AS4767" s="2"/>
      <c r="AT4767" s="2"/>
      <c r="AU4767" s="2"/>
      <c r="AV4767" s="2"/>
      <c r="AW4767" s="2"/>
      <c r="AX4767" s="2"/>
      <c r="AY4767" s="2"/>
      <c r="AZ4767" s="2"/>
      <c r="BA4767" s="2"/>
      <c r="BB4767" s="2"/>
    </row>
    <row r="4768" ht="204.75" customHeight="1">
      <c r="A4768" s="1">
        <v>578.0</v>
      </c>
      <c r="B4768" s="2" t="s">
        <v>13400</v>
      </c>
      <c r="C4768" s="2">
        <f>IFERROR(__xludf.DUMMYFUNCTION("split(B4768,""_"")"),1810.0)</f>
        <v>1810</v>
      </c>
      <c r="D4768" s="2" t="str">
        <f>IFERROR(__xludf.DUMMYFUNCTION("""COMPUTED_VALUE"""),"TBS")</f>
        <v>TBS</v>
      </c>
      <c r="E4768" s="2" t="str">
        <f>IFERROR(__xludf.DUMMYFUNCTION("""COMPUTED_VALUE"""),"日21")</f>
        <v>日21</v>
      </c>
      <c r="F4768" s="2" t="s">
        <v>13401</v>
      </c>
      <c r="G4768" s="2" t="s">
        <v>13412</v>
      </c>
      <c r="H4768" s="1">
        <v>6.0</v>
      </c>
      <c r="J4768" s="1" t="s">
        <v>11</v>
      </c>
      <c r="K4768" s="2" t="s">
        <v>13413</v>
      </c>
      <c r="L4768" s="2"/>
      <c r="M4768" s="2" t="str">
        <f>IFERROR(__xludf.DUMMYFUNCTION("split(split(K4768,""【"",false),""公式LINE"",false)"),"衝撃の新シリーズ・ヤタガラス編に突入!重田(古舘伊知郎)の策略による伊丹(尾上菊之助)の裏切りに我を失う佃航平(阿部寛)。財前(吉川晃司)と共に無人農業トラクターという新たな夢を目指すが、帝国重工の的場(神田正輝)がついに直接動き出し、佃の前に立ちはだかる!佃の同級生、野木教授(森崎博之)の力を借りようとするが、野木には絶対に企業とは組まない理由があった。佃は夢を実現出来るのか?")</f>
        <v>衝撃の新シリーズ・ヤタガラス編に突入!重田(古舘伊知郎)の策略による伊丹(尾上菊之助)の裏切りに我を失う佃航平(阿部寛)。財前(吉川晃司)と共に無人農業トラクターという新たな夢を目指すが、帝国重工の的場(神田正輝)がついに直接動き出し、佃の前に立ちはだかる!佃の同級生、野木教授(森崎博之)の力を借りようとするが、野木には絶対に企業とは組まない理由があった。佃は夢を実現出来るのか?</v>
      </c>
      <c r="N4768" s="2"/>
      <c r="O4768" s="2"/>
      <c r="P4768" s="2"/>
      <c r="Q4768" s="2"/>
      <c r="R4768" s="2"/>
      <c r="S4768" s="2"/>
      <c r="T4768" s="2"/>
      <c r="U4768" s="2"/>
      <c r="V4768" s="2"/>
      <c r="W4768" s="2"/>
      <c r="X4768" s="2"/>
      <c r="Y4768" s="2"/>
      <c r="Z4768" s="2"/>
      <c r="AA4768" s="2"/>
      <c r="AB4768" s="2"/>
      <c r="AC4768" s="2"/>
      <c r="AD4768" s="2"/>
      <c r="AE4768" s="2"/>
      <c r="AF4768" s="2"/>
      <c r="AG4768" s="2"/>
      <c r="AH4768" s="2"/>
      <c r="AI4768" s="2"/>
      <c r="AJ4768" s="2"/>
      <c r="AK4768" s="2"/>
      <c r="AL4768" s="2"/>
      <c r="AM4768" s="2"/>
      <c r="AN4768" s="2"/>
      <c r="AO4768" s="2"/>
      <c r="AP4768" s="2"/>
      <c r="AQ4768" s="2"/>
      <c r="AR4768" s="2"/>
      <c r="AS4768" s="2"/>
      <c r="AT4768" s="2"/>
      <c r="AU4768" s="2"/>
      <c r="AV4768" s="2"/>
      <c r="AW4768" s="2"/>
      <c r="AX4768" s="2"/>
      <c r="AY4768" s="2"/>
      <c r="AZ4768" s="2"/>
      <c r="BA4768" s="2"/>
      <c r="BB4768" s="2"/>
    </row>
    <row r="4769" ht="204.75" customHeight="1">
      <c r="A4769" s="1">
        <v>579.0</v>
      </c>
      <c r="B4769" s="2" t="s">
        <v>13400</v>
      </c>
      <c r="C4769" s="2">
        <f>IFERROR(__xludf.DUMMYFUNCTION("split(B4769,""_"")"),1810.0)</f>
        <v>1810</v>
      </c>
      <c r="D4769" s="2" t="str">
        <f>IFERROR(__xludf.DUMMYFUNCTION("""COMPUTED_VALUE"""),"TBS")</f>
        <v>TBS</v>
      </c>
      <c r="E4769" s="2" t="str">
        <f>IFERROR(__xludf.DUMMYFUNCTION("""COMPUTED_VALUE"""),"日21")</f>
        <v>日21</v>
      </c>
      <c r="F4769" s="2" t="s">
        <v>13401</v>
      </c>
      <c r="G4769" s="2" t="s">
        <v>13414</v>
      </c>
      <c r="H4769" s="1">
        <v>7.0</v>
      </c>
      <c r="J4769" s="1" t="s">
        <v>11</v>
      </c>
      <c r="K4769" s="2" t="s">
        <v>13415</v>
      </c>
      <c r="L4769" s="2"/>
      <c r="M4769" s="2" t="str">
        <f>IFERROR(__xludf.DUMMYFUNCTION("split(split(K4769,""【"",false),""公式LINE"",false)"),"佃(阿部寛)は、財前(吉川晃司)が企画した無人農業トラクター事業に参入を決めたが、完全内製化を重んじる的場(神田正輝)によって突然切り捨てられてしまう…佃の親友である野木(森崎博之)にも接近…さらに佃製作所は、エンジンとトランスミッションの受注もダイダロスとギアゴーストに奪われる…さらに娘の利菜(土屋太鳳)もプロジェクトに参加、佃のライバルとなる。容赦ない帝国重工の攻勢に佃は…")</f>
        <v>佃(阿部寛)は、財前(吉川晃司)が企画した無人農業トラクター事業に参入を決めたが、完全内製化を重んじる的場(神田正輝)によって突然切り捨てられてしまう…佃の親友である野木(森崎博之)にも接近…さらに佃製作所は、エンジンとトランスミッションの受注もダイダロスとギアゴーストに奪われる…さらに娘の利菜(土屋太鳳)もプロジェクトに参加、佃のライバルとなる。容赦ない帝国重工の攻勢に佃は…</v>
      </c>
      <c r="N4769" s="2"/>
      <c r="O4769" s="2"/>
      <c r="P4769" s="2"/>
      <c r="Q4769" s="2"/>
      <c r="R4769" s="2"/>
      <c r="S4769" s="2"/>
      <c r="T4769" s="2"/>
      <c r="U4769" s="2"/>
      <c r="V4769" s="2"/>
      <c r="W4769" s="2"/>
      <c r="X4769" s="2"/>
      <c r="Y4769" s="2"/>
      <c r="Z4769" s="2"/>
      <c r="AA4769" s="2"/>
      <c r="AB4769" s="2"/>
      <c r="AC4769" s="2"/>
      <c r="AD4769" s="2"/>
      <c r="AE4769" s="2"/>
      <c r="AF4769" s="2"/>
      <c r="AG4769" s="2"/>
      <c r="AH4769" s="2"/>
      <c r="AI4769" s="2"/>
      <c r="AJ4769" s="2"/>
      <c r="AK4769" s="2"/>
      <c r="AL4769" s="2"/>
      <c r="AM4769" s="2"/>
      <c r="AN4769" s="2"/>
      <c r="AO4769" s="2"/>
      <c r="AP4769" s="2"/>
      <c r="AQ4769" s="2"/>
      <c r="AR4769" s="2"/>
      <c r="AS4769" s="2"/>
      <c r="AT4769" s="2"/>
      <c r="AU4769" s="2"/>
      <c r="AV4769" s="2"/>
      <c r="AW4769" s="2"/>
      <c r="AX4769" s="2"/>
      <c r="AY4769" s="2"/>
      <c r="AZ4769" s="2"/>
      <c r="BA4769" s="2"/>
      <c r="BB4769" s="2"/>
    </row>
    <row r="4770" ht="204.75" customHeight="1">
      <c r="A4770" s="1">
        <v>580.0</v>
      </c>
      <c r="B4770" s="2" t="s">
        <v>13400</v>
      </c>
      <c r="C4770" s="2">
        <f>IFERROR(__xludf.DUMMYFUNCTION("split(B4770,""_"")"),1810.0)</f>
        <v>1810</v>
      </c>
      <c r="D4770" s="2" t="str">
        <f>IFERROR(__xludf.DUMMYFUNCTION("""COMPUTED_VALUE"""),"TBS")</f>
        <v>TBS</v>
      </c>
      <c r="E4770" s="2" t="str">
        <f>IFERROR(__xludf.DUMMYFUNCTION("""COMPUTED_VALUE"""),"日21")</f>
        <v>日21</v>
      </c>
      <c r="F4770" s="2" t="s">
        <v>13401</v>
      </c>
      <c r="G4770" s="2" t="s">
        <v>13416</v>
      </c>
      <c r="H4770" s="1">
        <v>8.0</v>
      </c>
      <c r="J4770" s="1" t="s">
        <v>11</v>
      </c>
      <c r="K4770" s="2" t="s">
        <v>13417</v>
      </c>
      <c r="L4770" s="2"/>
      <c r="M4770" s="2" t="str">
        <f>IFERROR(__xludf.DUMMYFUNCTION("split(split(K4770,""【"",false),""公式LINE"",false)"),"無人トラクターを目指す佃(阿部寛)に立ちはだかるのはその名も下町トラクター・ダーウィン!佃製作所や帝国重工を出し抜き、大々的なプロモーションを開始!さらに帝国重工の過去の下請けイジメを週刊誌が暴露!下町トラクターは世論を味方につけ、帝国重工を脅かしていく!下町トラクターと帝国重工は「アグリジャパン」という農業イベントに招かれ、両者は無人トラクターで決戦の時を迎え、帝国重工に大ピンチが!その時佃は…")</f>
        <v>無人トラクターを目指す佃(阿部寛)に立ちはだかるのはその名も下町トラクター・ダーウィン!佃製作所や帝国重工を出し抜き、大々的なプロモーションを開始!さらに帝国重工の過去の下請けイジメを週刊誌が暴露!下町トラクターは世論を味方につけ、帝国重工を脅かしていく!下町トラクターと帝国重工は「アグリジャパン」という農業イベントに招かれ、両者は無人トラクターで決戦の時を迎え、帝国重工に大ピンチが!その時佃は…</v>
      </c>
      <c r="N4770" s="2"/>
      <c r="O4770" s="2"/>
      <c r="P4770" s="2"/>
      <c r="Q4770" s="2"/>
      <c r="R4770" s="2"/>
      <c r="S4770" s="2"/>
      <c r="T4770" s="2"/>
      <c r="U4770" s="2"/>
      <c r="V4770" s="2"/>
      <c r="W4770" s="2"/>
      <c r="X4770" s="2"/>
      <c r="Y4770" s="2"/>
      <c r="Z4770" s="2"/>
      <c r="AA4770" s="2"/>
      <c r="AB4770" s="2"/>
      <c r="AC4770" s="2"/>
      <c r="AD4770" s="2"/>
      <c r="AE4770" s="2"/>
      <c r="AF4770" s="2"/>
      <c r="AG4770" s="2"/>
      <c r="AH4770" s="2"/>
      <c r="AI4770" s="2"/>
      <c r="AJ4770" s="2"/>
      <c r="AK4770" s="2"/>
      <c r="AL4770" s="2"/>
      <c r="AM4770" s="2"/>
      <c r="AN4770" s="2"/>
      <c r="AO4770" s="2"/>
      <c r="AP4770" s="2"/>
      <c r="AQ4770" s="2"/>
      <c r="AR4770" s="2"/>
      <c r="AS4770" s="2"/>
      <c r="AT4770" s="2"/>
      <c r="AU4770" s="2"/>
      <c r="AV4770" s="2"/>
      <c r="AW4770" s="2"/>
      <c r="AX4770" s="2"/>
      <c r="AY4770" s="2"/>
      <c r="AZ4770" s="2"/>
      <c r="BA4770" s="2"/>
      <c r="BB4770" s="2"/>
    </row>
    <row r="4771" ht="204.75" customHeight="1">
      <c r="A4771" s="1">
        <v>581.0</v>
      </c>
      <c r="B4771" s="2" t="s">
        <v>13400</v>
      </c>
      <c r="C4771" s="2">
        <f>IFERROR(__xludf.DUMMYFUNCTION("split(B4771,""_"")"),1810.0)</f>
        <v>1810</v>
      </c>
      <c r="D4771" s="2" t="str">
        <f>IFERROR(__xludf.DUMMYFUNCTION("""COMPUTED_VALUE"""),"TBS")</f>
        <v>TBS</v>
      </c>
      <c r="E4771" s="2" t="str">
        <f>IFERROR(__xludf.DUMMYFUNCTION("""COMPUTED_VALUE"""),"日21")</f>
        <v>日21</v>
      </c>
      <c r="F4771" s="2" t="s">
        <v>13401</v>
      </c>
      <c r="G4771" s="2" t="s">
        <v>13418</v>
      </c>
      <c r="H4771" s="1">
        <v>9.0</v>
      </c>
      <c r="J4771" s="1" t="s">
        <v>11</v>
      </c>
      <c r="K4771" s="2" t="s">
        <v>13419</v>
      </c>
      <c r="L4771" s="2"/>
      <c r="M4771" s="2" t="str">
        <f>IFERROR(__xludf.DUMMYFUNCTION("split(split(K4771,""【"",false),""公式LINE"",false)"),"農業イベント・アグリジャパンで暴走、転倒した帝国重工の大型トラクター。的場(神田正輝)たちはその原因を野木教授(森崎博之)の自動走行制御システムのせいだと主張する…佃製作所も疑心暗鬼に。そんな中、佃(阿部寛)と財前(吉川晃司)は、走行テストを提案。果たして原因は帝国重工にあるのか?野木にあるのか?さらに、佃と利菜(土屋太鳳)は新型エンジンのバルブ採用をかけて親子対決!夢を叶えるのはだれだ!")</f>
        <v>農業イベント・アグリジャパンで暴走、転倒した帝国重工の大型トラクター。的場(神田正輝)たちはその原因を野木教授(森崎博之)の自動走行制御システムのせいだと主張する…佃製作所も疑心暗鬼に。そんな中、佃(阿部寛)と財前(吉川晃司)は、走行テストを提案。果たして原因は帝国重工にあるのか?野木にあるのか?さらに、佃と利菜(土屋太鳳)は新型エンジンのバルブ採用をかけて親子対決!夢を叶えるのはだれだ!</v>
      </c>
      <c r="N4771" s="2"/>
      <c r="O4771" s="2"/>
      <c r="P4771" s="2"/>
      <c r="Q4771" s="2"/>
      <c r="R4771" s="2"/>
      <c r="S4771" s="2"/>
      <c r="T4771" s="2"/>
      <c r="U4771" s="2"/>
      <c r="V4771" s="2"/>
      <c r="W4771" s="2"/>
      <c r="X4771" s="2"/>
      <c r="Y4771" s="2"/>
      <c r="Z4771" s="2"/>
      <c r="AA4771" s="2"/>
      <c r="AB4771" s="2"/>
      <c r="AC4771" s="2"/>
      <c r="AD4771" s="2"/>
      <c r="AE4771" s="2"/>
      <c r="AF4771" s="2"/>
      <c r="AG4771" s="2"/>
      <c r="AH4771" s="2"/>
      <c r="AI4771" s="2"/>
      <c r="AJ4771" s="2"/>
      <c r="AK4771" s="2"/>
      <c r="AL4771" s="2"/>
      <c r="AM4771" s="2"/>
      <c r="AN4771" s="2"/>
      <c r="AO4771" s="2"/>
      <c r="AP4771" s="2"/>
      <c r="AQ4771" s="2"/>
      <c r="AR4771" s="2"/>
      <c r="AS4771" s="2"/>
      <c r="AT4771" s="2"/>
      <c r="AU4771" s="2"/>
      <c r="AV4771" s="2"/>
      <c r="AW4771" s="2"/>
      <c r="AX4771" s="2"/>
      <c r="AY4771" s="2"/>
      <c r="AZ4771" s="2"/>
      <c r="BA4771" s="2"/>
      <c r="BB4771" s="2"/>
    </row>
    <row r="4772" ht="204.75" customHeight="1">
      <c r="A4772" s="1">
        <v>582.0</v>
      </c>
      <c r="B4772" s="2" t="s">
        <v>13400</v>
      </c>
      <c r="C4772" s="2">
        <f>IFERROR(__xludf.DUMMYFUNCTION("split(B4772,""_"")"),1810.0)</f>
        <v>1810</v>
      </c>
      <c r="D4772" s="2" t="str">
        <f>IFERROR(__xludf.DUMMYFUNCTION("""COMPUTED_VALUE"""),"TBS")</f>
        <v>TBS</v>
      </c>
      <c r="E4772" s="2" t="str">
        <f>IFERROR(__xludf.DUMMYFUNCTION("""COMPUTED_VALUE"""),"日21")</f>
        <v>日21</v>
      </c>
      <c r="F4772" s="2" t="s">
        <v>13401</v>
      </c>
      <c r="G4772" s="2" t="s">
        <v>13420</v>
      </c>
      <c r="H4772" s="1">
        <v>10.0</v>
      </c>
      <c r="J4772" s="1" t="s">
        <v>4</v>
      </c>
      <c r="K4772" s="2" t="s">
        <v>13421</v>
      </c>
      <c r="L4772" s="2"/>
      <c r="M4772" s="2" t="str">
        <f>IFERROR(__xludf.DUMMYFUNCTION("split(split(K4772,""【"",false),""公式LINE"",false)"),"見事帝国重工のテストをクリアし、無人トラクターのエンジンとトランスミッションの納品を再び依頼された佃(阿部寛)。下町トラクターのライバルとして、市民の目の敵となった帝国重工に、佃は協力すべきか悩む…。佃はトランスミッションの完成を目指し、島津(イモトアヤコ)を引き入れようとスカウトしようとするが苦戦…。そのころ殿村(立川談春)の実家には嵐が訪れようとしていた…。緊急事態にチーム佃は総力戦で挑む!")</f>
        <v>見事帝国重工のテストをクリアし、無人トラクターのエンジンとトランスミッションの納品を再び依頼された佃(阿部寛)。下町トラクターのライバルとして、市民の目の敵となった帝国重工に、佃は協力すべきか悩む…。佃はトランスミッションの完成を目指し、島津(イモトアヤコ)を引き入れようとスカウトしようとするが苦戦…。そのころ殿村(立川談春)の実家には嵐が訪れようとしていた…。緊急事態にチーム佃は総力戦で挑む!</v>
      </c>
      <c r="N4772" s="2"/>
      <c r="O4772" s="2"/>
      <c r="P4772" s="2"/>
      <c r="Q4772" s="2"/>
      <c r="R4772" s="2"/>
      <c r="S4772" s="2"/>
      <c r="T4772" s="2"/>
      <c r="U4772" s="2"/>
      <c r="V4772" s="2"/>
      <c r="W4772" s="2"/>
      <c r="X4772" s="2"/>
      <c r="Y4772" s="2"/>
      <c r="Z4772" s="2"/>
      <c r="AA4772" s="2"/>
      <c r="AB4772" s="2"/>
      <c r="AC4772" s="2"/>
      <c r="AD4772" s="2"/>
      <c r="AE4772" s="2"/>
      <c r="AF4772" s="2"/>
      <c r="AG4772" s="2"/>
      <c r="AH4772" s="2"/>
      <c r="AI4772" s="2"/>
      <c r="AJ4772" s="2"/>
      <c r="AK4772" s="2"/>
      <c r="AL4772" s="2"/>
      <c r="AM4772" s="2"/>
      <c r="AN4772" s="2"/>
      <c r="AO4772" s="2"/>
      <c r="AP4772" s="2"/>
      <c r="AQ4772" s="2"/>
      <c r="AR4772" s="2"/>
      <c r="AS4772" s="2"/>
      <c r="AT4772" s="2"/>
      <c r="AU4772" s="2"/>
      <c r="AV4772" s="2"/>
      <c r="AW4772" s="2"/>
      <c r="AX4772" s="2"/>
      <c r="AY4772" s="2"/>
      <c r="AZ4772" s="2"/>
      <c r="BA4772" s="2"/>
      <c r="BB4772" s="2"/>
    </row>
    <row r="4773" ht="204.75" customHeight="1">
      <c r="A4773" s="1">
        <v>583.0</v>
      </c>
      <c r="B4773" s="2" t="s">
        <v>13400</v>
      </c>
      <c r="C4773" s="2">
        <f>IFERROR(__xludf.DUMMYFUNCTION("split(B4773,""_"")"),1810.0)</f>
        <v>1810</v>
      </c>
      <c r="D4773" s="2" t="str">
        <f>IFERROR(__xludf.DUMMYFUNCTION("""COMPUTED_VALUE"""),"TBS")</f>
        <v>TBS</v>
      </c>
      <c r="E4773" s="2" t="str">
        <f>IFERROR(__xludf.DUMMYFUNCTION("""COMPUTED_VALUE"""),"日21")</f>
        <v>日21</v>
      </c>
      <c r="F4773" s="2" t="s">
        <v>13401</v>
      </c>
      <c r="G4773" s="2" t="s">
        <v>13422</v>
      </c>
      <c r="H4773" s="1">
        <v>11.0</v>
      </c>
      <c r="J4773" s="1" t="s">
        <v>4</v>
      </c>
      <c r="K4773" s="2" t="s">
        <v>13423</v>
      </c>
      <c r="L4773" s="2"/>
      <c r="M4773" s="2" t="str">
        <f>IFERROR(__xludf.DUMMYFUNCTION("split(split(K4773,""【"",false),""公式LINE"",false)"),"懸命にモノづくりに挑む佃(阿部寛)率いる佃製作所。彼らの想いに共鳴した島津(イモトアヤコ)も佃製作所に加わったのだった。そして迎えた首相視察。観客からも首相からも全く相手にされず、トラブルで立ち往生してしまうアルファ1。さらには帝国重工から湧き上がる内製化の声に佃達は頭を悩ませる。そしてついに佃製作所と帝国重工の最後の戦いが始まる。日本の農業を救うために前に進み続ける男たちの姿を見逃すな!!")</f>
        <v>懸命にモノづくりに挑む佃(阿部寛)率いる佃製作所。彼らの想いに共鳴した島津(イモトアヤコ)も佃製作所に加わったのだった。そして迎えた首相視察。観客からも首相からも全く相手にされず、トラブルで立ち往生してしまうアルファ1。さらには帝国重工から湧き上がる内製化の声に佃達は頭を悩ませる。そしてついに佃製作所と帝国重工の最後の戦いが始まる。日本の農業を救うために前に進み続ける男たちの姿を見逃すな!!</v>
      </c>
      <c r="N4773" s="2"/>
      <c r="O4773" s="2"/>
      <c r="P4773" s="2"/>
      <c r="Q4773" s="2"/>
      <c r="R4773" s="2"/>
      <c r="S4773" s="2"/>
      <c r="T4773" s="2"/>
      <c r="U4773" s="2"/>
      <c r="V4773" s="2"/>
      <c r="W4773" s="2"/>
      <c r="X4773" s="2"/>
      <c r="Y4773" s="2"/>
      <c r="Z4773" s="2"/>
      <c r="AA4773" s="2"/>
      <c r="AB4773" s="2"/>
      <c r="AC4773" s="2"/>
      <c r="AD4773" s="2"/>
      <c r="AE4773" s="2"/>
      <c r="AF4773" s="2"/>
      <c r="AG4773" s="2"/>
      <c r="AH4773" s="2"/>
      <c r="AI4773" s="2"/>
      <c r="AJ4773" s="2"/>
      <c r="AK4773" s="2"/>
      <c r="AL4773" s="2"/>
      <c r="AM4773" s="2"/>
      <c r="AN4773" s="2"/>
      <c r="AO4773" s="2"/>
      <c r="AP4773" s="2"/>
      <c r="AQ4773" s="2"/>
      <c r="AR4773" s="2"/>
      <c r="AS4773" s="2"/>
      <c r="AT4773" s="2"/>
      <c r="AU4773" s="2"/>
      <c r="AV4773" s="2"/>
      <c r="AW4773" s="2"/>
      <c r="AX4773" s="2"/>
      <c r="AY4773" s="2"/>
      <c r="AZ4773" s="2"/>
      <c r="BA4773" s="2"/>
      <c r="BB4773" s="2"/>
    </row>
    <row r="4774" ht="204.75" customHeight="1">
      <c r="A4774" s="1">
        <v>614.0</v>
      </c>
      <c r="B4774" s="2" t="s">
        <v>13424</v>
      </c>
      <c r="C4774" s="2">
        <f>IFERROR(__xludf.DUMMYFUNCTION("split(B4774,""_"")"),1807.0)</f>
        <v>1807</v>
      </c>
      <c r="D4774" s="2" t="str">
        <f>IFERROR(__xludf.DUMMYFUNCTION("""COMPUTED_VALUE"""),"TBS")</f>
        <v>TBS</v>
      </c>
      <c r="E4774" s="2" t="str">
        <f>IFERROR(__xludf.DUMMYFUNCTION("""COMPUTED_VALUE"""),"火22")</f>
        <v>火22</v>
      </c>
      <c r="F4774" s="2" t="s">
        <v>13425</v>
      </c>
      <c r="G4774" s="2" t="s">
        <v>13426</v>
      </c>
      <c r="H4774" s="1">
        <v>1.0</v>
      </c>
      <c r="J4774" s="1" t="s">
        <v>82</v>
      </c>
      <c r="K4774" s="2" t="s">
        <v>13427</v>
      </c>
      <c r="L4774" s="2"/>
      <c r="M4774" s="2" t="str">
        <f>IFERROR(__xludf.DUMMYFUNCTION("split(split(K4774,""【"",false),""公式LINE"",false)"),"33歳の若さで大手金属メーカーの営業部長にまで上り詰めた最強のキャリアウーマン岩木亜希子。彼女は子持ちの45歳、宮本良一と結婚することを決意。3年前に亡くした母への想いが消えない8歳の娘みゆきとの初対面の日、「この人嫌い」と拒絶されてしまう。あらゆるビジネススキルを駆使してみゆきに受け入れてもらおうと奮闘する亜希子、なぜ彼女は義母になろうと思ったのか?色々な一生懸命の愛が詰まった10年の物語。")</f>
        <v>33歳の若さで大手金属メーカーの営業部長にまで上り詰めた最強のキャリアウーマン岩木亜希子。彼女は子持ちの45歳、宮本良一と結婚することを決意。3年前に亡くした母への想いが消えない8歳の娘みゆきとの初対面の日、「この人嫌い」と拒絶されてしまう。あらゆるビジネススキルを駆使してみゆきに受け入れてもらおうと奮闘する亜希子、なぜ彼女は義母になろうと思ったのか?色々な一生懸命の愛が詰まった10年の物語。</v>
      </c>
      <c r="N4774" s="2"/>
      <c r="O4774" s="2"/>
      <c r="P4774" s="2"/>
      <c r="Q4774" s="2"/>
      <c r="R4774" s="2"/>
      <c r="S4774" s="2"/>
      <c r="T4774" s="2"/>
      <c r="U4774" s="2"/>
      <c r="V4774" s="2"/>
      <c r="W4774" s="2"/>
      <c r="X4774" s="2"/>
      <c r="Y4774" s="2"/>
      <c r="Z4774" s="2"/>
      <c r="AA4774" s="2"/>
      <c r="AB4774" s="2"/>
      <c r="AC4774" s="2"/>
      <c r="AD4774" s="2"/>
      <c r="AE4774" s="2"/>
      <c r="AF4774" s="2"/>
      <c r="AG4774" s="2"/>
      <c r="AH4774" s="2"/>
      <c r="AI4774" s="2"/>
      <c r="AJ4774" s="2"/>
      <c r="AK4774" s="2"/>
      <c r="AL4774" s="2"/>
      <c r="AM4774" s="2"/>
      <c r="AN4774" s="2"/>
      <c r="AO4774" s="2"/>
      <c r="AP4774" s="2"/>
      <c r="AQ4774" s="2"/>
      <c r="AR4774" s="2"/>
      <c r="AS4774" s="2"/>
      <c r="AT4774" s="2"/>
      <c r="AU4774" s="2"/>
      <c r="AV4774" s="2"/>
      <c r="AW4774" s="2"/>
      <c r="AX4774" s="2"/>
      <c r="AY4774" s="2"/>
      <c r="AZ4774" s="2"/>
      <c r="BA4774" s="2"/>
      <c r="BB4774" s="2"/>
    </row>
    <row r="4775" ht="204.75" customHeight="1">
      <c r="A4775" s="1">
        <v>615.0</v>
      </c>
      <c r="B4775" s="2" t="s">
        <v>13424</v>
      </c>
      <c r="C4775" s="2">
        <f>IFERROR(__xludf.DUMMYFUNCTION("split(B4775,""_"")"),1807.0)</f>
        <v>1807</v>
      </c>
      <c r="D4775" s="2" t="str">
        <f>IFERROR(__xludf.DUMMYFUNCTION("""COMPUTED_VALUE"""),"TBS")</f>
        <v>TBS</v>
      </c>
      <c r="E4775" s="2" t="str">
        <f>IFERROR(__xludf.DUMMYFUNCTION("""COMPUTED_VALUE"""),"火22")</f>
        <v>火22</v>
      </c>
      <c r="F4775" s="2" t="s">
        <v>13425</v>
      </c>
      <c r="G4775" s="2" t="s">
        <v>13428</v>
      </c>
      <c r="H4775" s="1">
        <v>2.0</v>
      </c>
      <c r="J4775" s="1" t="s">
        <v>82</v>
      </c>
      <c r="K4775" s="2" t="s">
        <v>13429</v>
      </c>
      <c r="L4775" s="2"/>
      <c r="M4775" s="2" t="str">
        <f>IFERROR(__xludf.DUMMYFUNCTION("split(split(K4775,""【"",false),""公式LINE"",false)"),"宮本家に義母として採用され同居することになった亜希子。どうしても自分の本当の母親と比べてしまうみゆき。TVのチャンネルを争って早くもバトルが勃発。我慢ならないみゆきは遂に家出を決意。なんとかして認められようと、あらゆるアプローチを試みる亜希子が見つけた突破口は!?  ")</f>
        <v>宮本家に義母として採用され同居することになった亜希子。どうしても自分の本当の母親と比べてしまうみゆき。TVのチャンネルを争って早くもバトルが勃発。我慢ならないみゆきは遂に家出を決意。なんとかして認められようと、あらゆるアプローチを試みる亜希子が見つけた突破口は!?  </v>
      </c>
      <c r="N4775" s="2"/>
      <c r="O4775" s="2"/>
      <c r="P4775" s="2"/>
      <c r="Q4775" s="2"/>
      <c r="R4775" s="2"/>
      <c r="S4775" s="2"/>
      <c r="T4775" s="2"/>
      <c r="U4775" s="2"/>
      <c r="V4775" s="2"/>
      <c r="W4775" s="2"/>
      <c r="X4775" s="2"/>
      <c r="Y4775" s="2"/>
      <c r="Z4775" s="2"/>
      <c r="AA4775" s="2"/>
      <c r="AB4775" s="2"/>
      <c r="AC4775" s="2"/>
      <c r="AD4775" s="2"/>
      <c r="AE4775" s="2"/>
      <c r="AF4775" s="2"/>
      <c r="AG4775" s="2"/>
      <c r="AH4775" s="2"/>
      <c r="AI4775" s="2"/>
      <c r="AJ4775" s="2"/>
      <c r="AK4775" s="2"/>
      <c r="AL4775" s="2"/>
      <c r="AM4775" s="2"/>
      <c r="AN4775" s="2"/>
      <c r="AO4775" s="2"/>
      <c r="AP4775" s="2"/>
      <c r="AQ4775" s="2"/>
      <c r="AR4775" s="2"/>
      <c r="AS4775" s="2"/>
      <c r="AT4775" s="2"/>
      <c r="AU4775" s="2"/>
      <c r="AV4775" s="2"/>
      <c r="AW4775" s="2"/>
      <c r="AX4775" s="2"/>
      <c r="AY4775" s="2"/>
      <c r="AZ4775" s="2"/>
      <c r="BA4775" s="2"/>
      <c r="BB4775" s="2"/>
    </row>
    <row r="4776" ht="204.75" customHeight="1">
      <c r="A4776" s="1">
        <v>616.0</v>
      </c>
      <c r="B4776" s="2" t="s">
        <v>13424</v>
      </c>
      <c r="C4776" s="2">
        <f>IFERROR(__xludf.DUMMYFUNCTION("split(B4776,""_"")"),1807.0)</f>
        <v>1807</v>
      </c>
      <c r="D4776" s="2" t="str">
        <f>IFERROR(__xludf.DUMMYFUNCTION("""COMPUTED_VALUE"""),"TBS")</f>
        <v>TBS</v>
      </c>
      <c r="E4776" s="2" t="str">
        <f>IFERROR(__xludf.DUMMYFUNCTION("""COMPUTED_VALUE"""),"火22")</f>
        <v>火22</v>
      </c>
      <c r="F4776" s="2" t="s">
        <v>13425</v>
      </c>
      <c r="G4776" s="2" t="s">
        <v>13430</v>
      </c>
      <c r="H4776" s="1">
        <v>3.0</v>
      </c>
      <c r="J4776" s="1" t="s">
        <v>82</v>
      </c>
      <c r="K4776" s="2" t="s">
        <v>13431</v>
      </c>
      <c r="L4776" s="2"/>
      <c r="M4776" s="2" t="str">
        <f>IFERROR(__xludf.DUMMYFUNCTION("split(split(K4776,""【"",false),""公式LINE"",false)"),"光友金属を退社した亜希子は育児に奔走する。スーパーでは値切り交渉に成功し、みゆきの学校のPTAにも参加することに。しかし、非効率な慣例にまみれたPTAを亜希子は放っておけない。そんな亜希子を快く思わない親たちは、子供をも巻き込んだ「大人げない」行動に出る。クラスメイトから仲間外れにされるみゆきに亜希子は・・・そして、家族の力が奇跡を起こす!  ")</f>
        <v>光友金属を退社した亜希子は育児に奔走する。スーパーでは値切り交渉に成功し、みゆきの学校のPTAにも参加することに。しかし、非効率な慣例にまみれたPTAを亜希子は放っておけない。そんな亜希子を快く思わない親たちは、子供をも巻き込んだ「大人げない」行動に出る。クラスメイトから仲間外れにされるみゆきに亜希子は・・・そして、家族の力が奇跡を起こす!  </v>
      </c>
      <c r="N4776" s="2"/>
      <c r="O4776" s="2"/>
      <c r="P4776" s="2"/>
      <c r="Q4776" s="2"/>
      <c r="R4776" s="2"/>
      <c r="S4776" s="2"/>
      <c r="T4776" s="2"/>
      <c r="U4776" s="2"/>
      <c r="V4776" s="2"/>
      <c r="W4776" s="2"/>
      <c r="X4776" s="2"/>
      <c r="Y4776" s="2"/>
      <c r="Z4776" s="2"/>
      <c r="AA4776" s="2"/>
      <c r="AB4776" s="2"/>
      <c r="AC4776" s="2"/>
      <c r="AD4776" s="2"/>
      <c r="AE4776" s="2"/>
      <c r="AF4776" s="2"/>
      <c r="AG4776" s="2"/>
      <c r="AH4776" s="2"/>
      <c r="AI4776" s="2"/>
      <c r="AJ4776" s="2"/>
      <c r="AK4776" s="2"/>
      <c r="AL4776" s="2"/>
      <c r="AM4776" s="2"/>
      <c r="AN4776" s="2"/>
      <c r="AO4776" s="2"/>
      <c r="AP4776" s="2"/>
      <c r="AQ4776" s="2"/>
      <c r="AR4776" s="2"/>
      <c r="AS4776" s="2"/>
      <c r="AT4776" s="2"/>
      <c r="AU4776" s="2"/>
      <c r="AV4776" s="2"/>
      <c r="AW4776" s="2"/>
      <c r="AX4776" s="2"/>
      <c r="AY4776" s="2"/>
      <c r="AZ4776" s="2"/>
      <c r="BA4776" s="2"/>
      <c r="BB4776" s="2"/>
    </row>
    <row r="4777" ht="204.75" customHeight="1">
      <c r="A4777" s="1">
        <v>617.0</v>
      </c>
      <c r="B4777" s="2" t="s">
        <v>13424</v>
      </c>
      <c r="C4777" s="2">
        <f>IFERROR(__xludf.DUMMYFUNCTION("split(B4777,""_"")"),1807.0)</f>
        <v>1807</v>
      </c>
      <c r="D4777" s="2" t="str">
        <f>IFERROR(__xludf.DUMMYFUNCTION("""COMPUTED_VALUE"""),"TBS")</f>
        <v>TBS</v>
      </c>
      <c r="E4777" s="2" t="str">
        <f>IFERROR(__xludf.DUMMYFUNCTION("""COMPUTED_VALUE"""),"火22")</f>
        <v>火22</v>
      </c>
      <c r="F4777" s="2" t="s">
        <v>13425</v>
      </c>
      <c r="G4777" s="2" t="s">
        <v>13432</v>
      </c>
      <c r="H4777" s="1">
        <v>4.0</v>
      </c>
      <c r="J4777" s="1" t="s">
        <v>82</v>
      </c>
      <c r="K4777" s="2" t="s">
        <v>13433</v>
      </c>
      <c r="L4777" s="2"/>
      <c r="M4777" s="2" t="str">
        <f>IFERROR(__xludf.DUMMYFUNCTION("split(split(K4777,""【"",false),""公式LINE"",false)"),"娘に偽装結婚を疑われる義母と夫の良一。二人は娘の疑惑を晴らすために、馴れ初めを整理することになる。そして遂に、結婚の本当の理由が明かされる。二人の結婚には、思いもよらない理由があった。そして、二人の出会いには、愛おしい奇跡が散りばめられていた。ドラマ最大の謎が、今日明かされる! ")</f>
        <v>娘に偽装結婚を疑われる義母と夫の良一。二人は娘の疑惑を晴らすために、馴れ初めを整理することになる。そして遂に、結婚の本当の理由が明かされる。二人の結婚には、思いもよらない理由があった。そして、二人の出会いには、愛おしい奇跡が散りばめられていた。ドラマ最大の謎が、今日明かされる! </v>
      </c>
      <c r="N4777" s="2"/>
      <c r="O4777" s="2"/>
      <c r="P4777" s="2"/>
      <c r="Q4777" s="2"/>
      <c r="R4777" s="2"/>
      <c r="S4777" s="2"/>
      <c r="T4777" s="2"/>
      <c r="U4777" s="2"/>
      <c r="V4777" s="2"/>
      <c r="W4777" s="2"/>
      <c r="X4777" s="2"/>
      <c r="Y4777" s="2"/>
      <c r="Z4777" s="2"/>
      <c r="AA4777" s="2"/>
      <c r="AB4777" s="2"/>
      <c r="AC4777" s="2"/>
      <c r="AD4777" s="2"/>
      <c r="AE4777" s="2"/>
      <c r="AF4777" s="2"/>
      <c r="AG4777" s="2"/>
      <c r="AH4777" s="2"/>
      <c r="AI4777" s="2"/>
      <c r="AJ4777" s="2"/>
      <c r="AK4777" s="2"/>
      <c r="AL4777" s="2"/>
      <c r="AM4777" s="2"/>
      <c r="AN4777" s="2"/>
      <c r="AO4777" s="2"/>
      <c r="AP4777" s="2"/>
      <c r="AQ4777" s="2"/>
      <c r="AR4777" s="2"/>
      <c r="AS4777" s="2"/>
      <c r="AT4777" s="2"/>
      <c r="AU4777" s="2"/>
      <c r="AV4777" s="2"/>
      <c r="AW4777" s="2"/>
      <c r="AX4777" s="2"/>
      <c r="AY4777" s="2"/>
      <c r="AZ4777" s="2"/>
      <c r="BA4777" s="2"/>
      <c r="BB4777" s="2"/>
    </row>
    <row r="4778" ht="204.75" customHeight="1">
      <c r="A4778" s="1">
        <v>618.0</v>
      </c>
      <c r="B4778" s="2" t="s">
        <v>13424</v>
      </c>
      <c r="C4778" s="2">
        <f>IFERROR(__xludf.DUMMYFUNCTION("split(B4778,""_"")"),1807.0)</f>
        <v>1807</v>
      </c>
      <c r="D4778" s="2" t="str">
        <f>IFERROR(__xludf.DUMMYFUNCTION("""COMPUTED_VALUE"""),"TBS")</f>
        <v>TBS</v>
      </c>
      <c r="E4778" s="2" t="str">
        <f>IFERROR(__xludf.DUMMYFUNCTION("""COMPUTED_VALUE"""),"火22")</f>
        <v>火22</v>
      </c>
      <c r="F4778" s="2" t="s">
        <v>13425</v>
      </c>
      <c r="G4778" s="2" t="s">
        <v>13434</v>
      </c>
      <c r="H4778" s="1">
        <v>5.0</v>
      </c>
      <c r="J4778" s="1" t="s">
        <v>82</v>
      </c>
      <c r="K4778" s="2" t="s">
        <v>13435</v>
      </c>
      <c r="L4778" s="2"/>
      <c r="M4778" s="2" t="str">
        <f>IFERROR(__xludf.DUMMYFUNCTION("split(split(K4778,""【"",false),""公式LINE"",false)"),"入院することになった良一の看病に訪れる亜希子。しかし、普通の妻が行っている事を何一つ出来ない自分に幻滅する。出来る範囲で構わないという良一の言葉で、職場にお詫びに訪れる亜希子だが、急遽良一の代りにプレゼンを任されることに。相手は古巣の光友金属。果たして結果は・・・良一は奇跡を信じ必死に治療に励み、みゆきはヒロキと共に奇跡を集める!?果たして奇跡は起こるのか!?  ")</f>
        <v>入院することになった良一の看病に訪れる亜希子。しかし、普通の妻が行っている事を何一つ出来ない自分に幻滅する。出来る範囲で構わないという良一の言葉で、職場にお詫びに訪れる亜希子だが、急遽良一の代りにプレゼンを任されることに。相手は古巣の光友金属。果たして結果は・・・良一は奇跡を信じ必死に治療に励み、みゆきはヒロキと共に奇跡を集める!?果たして奇跡は起こるのか!?  </v>
      </c>
      <c r="N4778" s="2"/>
      <c r="O4778" s="2"/>
      <c r="P4778" s="2"/>
      <c r="Q4778" s="2"/>
      <c r="R4778" s="2"/>
      <c r="S4778" s="2"/>
      <c r="T4778" s="2"/>
      <c r="U4778" s="2"/>
      <c r="V4778" s="2"/>
      <c r="W4778" s="2"/>
      <c r="X4778" s="2"/>
      <c r="Y4778" s="2"/>
      <c r="Z4778" s="2"/>
      <c r="AA4778" s="2"/>
      <c r="AB4778" s="2"/>
      <c r="AC4778" s="2"/>
      <c r="AD4778" s="2"/>
      <c r="AE4778" s="2"/>
      <c r="AF4778" s="2"/>
      <c r="AG4778" s="2"/>
      <c r="AH4778" s="2"/>
      <c r="AI4778" s="2"/>
      <c r="AJ4778" s="2"/>
      <c r="AK4778" s="2"/>
      <c r="AL4778" s="2"/>
      <c r="AM4778" s="2"/>
      <c r="AN4778" s="2"/>
      <c r="AO4778" s="2"/>
      <c r="AP4778" s="2"/>
      <c r="AQ4778" s="2"/>
      <c r="AR4778" s="2"/>
      <c r="AS4778" s="2"/>
      <c r="AT4778" s="2"/>
      <c r="AU4778" s="2"/>
      <c r="AV4778" s="2"/>
      <c r="AW4778" s="2"/>
      <c r="AX4778" s="2"/>
      <c r="AY4778" s="2"/>
      <c r="AZ4778" s="2"/>
      <c r="BA4778" s="2"/>
      <c r="BB4778" s="2"/>
    </row>
    <row r="4779" ht="204.75" customHeight="1">
      <c r="A4779" s="1">
        <v>619.0</v>
      </c>
      <c r="B4779" s="2" t="s">
        <v>13424</v>
      </c>
      <c r="C4779" s="2">
        <f>IFERROR(__xludf.DUMMYFUNCTION("split(B4779,""_"")"),1807.0)</f>
        <v>1807</v>
      </c>
      <c r="D4779" s="2" t="str">
        <f>IFERROR(__xludf.DUMMYFUNCTION("""COMPUTED_VALUE"""),"TBS")</f>
        <v>TBS</v>
      </c>
      <c r="E4779" s="2" t="str">
        <f>IFERROR(__xludf.DUMMYFUNCTION("""COMPUTED_VALUE"""),"火22")</f>
        <v>火22</v>
      </c>
      <c r="F4779" s="2" t="s">
        <v>13425</v>
      </c>
      <c r="G4779" s="2" t="s">
        <v>13436</v>
      </c>
      <c r="H4779" s="1">
        <v>6.0</v>
      </c>
      <c r="J4779" s="1" t="s">
        <v>82</v>
      </c>
      <c r="K4779" s="2" t="s">
        <v>13437</v>
      </c>
      <c r="L4779" s="2"/>
      <c r="M4779" s="2" t="str">
        <f>IFERROR(__xludf.DUMMYFUNCTION("split(split(K4779,""【"",false),""公式LINE"",false)"),"娘のみゆきは高校3年生になっていた。元バリバリのキャリアウーマンである義母に育てられた女の子はどんな女子高生になっているのだろうか?そして、みゆきにも、義母にも奇跡のような出会いが待っている。果たして、どんな日々が彼らを待ち受けているのだろうか?")</f>
        <v>娘のみゆきは高校3年生になっていた。元バリバリのキャリアウーマンである義母に育てられた女の子はどんな女子高生になっているのだろうか?そして、みゆきにも、義母にも奇跡のような出会いが待っている。果たして、どんな日々が彼らを待ち受けているのだろうか?</v>
      </c>
      <c r="N4779" s="2"/>
      <c r="O4779" s="2"/>
      <c r="P4779" s="2"/>
      <c r="Q4779" s="2"/>
      <c r="R4779" s="2"/>
      <c r="S4779" s="2"/>
      <c r="T4779" s="2"/>
      <c r="U4779" s="2"/>
      <c r="V4779" s="2"/>
      <c r="W4779" s="2"/>
      <c r="X4779" s="2"/>
      <c r="Y4779" s="2"/>
      <c r="Z4779" s="2"/>
      <c r="AA4779" s="2"/>
      <c r="AB4779" s="2"/>
      <c r="AC4779" s="2"/>
      <c r="AD4779" s="2"/>
      <c r="AE4779" s="2"/>
      <c r="AF4779" s="2"/>
      <c r="AG4779" s="2"/>
      <c r="AH4779" s="2"/>
      <c r="AI4779" s="2"/>
      <c r="AJ4779" s="2"/>
      <c r="AK4779" s="2"/>
      <c r="AL4779" s="2"/>
      <c r="AM4779" s="2"/>
      <c r="AN4779" s="2"/>
      <c r="AO4779" s="2"/>
      <c r="AP4779" s="2"/>
      <c r="AQ4779" s="2"/>
      <c r="AR4779" s="2"/>
      <c r="AS4779" s="2"/>
      <c r="AT4779" s="2"/>
      <c r="AU4779" s="2"/>
      <c r="AV4779" s="2"/>
      <c r="AW4779" s="2"/>
      <c r="AX4779" s="2"/>
      <c r="AY4779" s="2"/>
      <c r="AZ4779" s="2"/>
      <c r="BA4779" s="2"/>
      <c r="BB4779" s="2"/>
    </row>
    <row r="4780" ht="204.75" customHeight="1">
      <c r="A4780" s="1">
        <v>620.0</v>
      </c>
      <c r="B4780" s="2" t="s">
        <v>13424</v>
      </c>
      <c r="C4780" s="2">
        <f>IFERROR(__xludf.DUMMYFUNCTION("split(B4780,""_"")"),1807.0)</f>
        <v>1807</v>
      </c>
      <c r="D4780" s="2" t="str">
        <f>IFERROR(__xludf.DUMMYFUNCTION("""COMPUTED_VALUE"""),"TBS")</f>
        <v>TBS</v>
      </c>
      <c r="E4780" s="2" t="str">
        <f>IFERROR(__xludf.DUMMYFUNCTION("""COMPUTED_VALUE"""),"火22")</f>
        <v>火22</v>
      </c>
      <c r="F4780" s="2" t="s">
        <v>13425</v>
      </c>
      <c r="G4780" s="2" t="s">
        <v>13438</v>
      </c>
      <c r="H4780" s="1">
        <v>7.0</v>
      </c>
      <c r="J4780" s="1" t="s">
        <v>82</v>
      </c>
      <c r="K4780" s="2" t="s">
        <v>13439</v>
      </c>
      <c r="L4780" s="2"/>
      <c r="M4780" s="2" t="str">
        <f>IFERROR(__xludf.DUMMYFUNCTION("split(split(K4780,""【"",false),""公式LINE"",false)"),"麦田章が店長を務めるベーカリー麦田に再就職した亜希子は店の立て直しを計画する。しかしその経営状況はひどいもので、根本からの改革が必要なことがわかる。果たして亜希子は店を再生できるのか?一方みゆきは、亜希子の愛情にこたえられない自分に落胆し、思い悩んでいた。義母との差を痛感する度に悲観するみゆきはついに・・・義母と娘の10年間の行方は!?  綾瀬はるか、佐藤 健、上白石萌歌、井之脇海、川村陽介、水谷果穂、麻生祐未sansan株式会社が運営するアプリeightで行っている名刺交換キャンペーンが話題。物語の進行"&amp;"とともに変化する名刺にご注目を!そして、電話番号に電話をするとあの人物が返答を!!!  ")</f>
        <v>麦田章が店長を務めるベーカリー麦田に再就職した亜希子は店の立て直しを計画する。しかしその経営状況はひどいもので、根本からの改革が必要なことがわかる。果たして亜希子は店を再生できるのか?一方みゆきは、亜希子の愛情にこたえられない自分に落胆し、思い悩んでいた。義母との差を痛感する度に悲観するみゆきはついに・・・義母と娘の10年間の行方は!?  綾瀬はるか、佐藤 健、上白石萌歌、井之脇海、川村陽介、水谷果穂、麻生祐未sansan株式会社が運営するアプリeightで行っている名刺交換キャンペーンが話題。物語の進行とともに変化する名刺にご注目を!そして、電話番号に電話をするとあの人物が返答を!!!  </v>
      </c>
      <c r="N4780" s="2"/>
      <c r="O4780" s="2"/>
      <c r="P4780" s="2"/>
      <c r="Q4780" s="2"/>
      <c r="R4780" s="2"/>
      <c r="S4780" s="2"/>
      <c r="T4780" s="2"/>
      <c r="U4780" s="2"/>
      <c r="V4780" s="2"/>
      <c r="W4780" s="2"/>
      <c r="X4780" s="2"/>
      <c r="Y4780" s="2"/>
      <c r="Z4780" s="2"/>
      <c r="AA4780" s="2"/>
      <c r="AB4780" s="2"/>
      <c r="AC4780" s="2"/>
      <c r="AD4780" s="2"/>
      <c r="AE4780" s="2"/>
      <c r="AF4780" s="2"/>
      <c r="AG4780" s="2"/>
      <c r="AH4780" s="2"/>
      <c r="AI4780" s="2"/>
      <c r="AJ4780" s="2"/>
      <c r="AK4780" s="2"/>
      <c r="AL4780" s="2"/>
      <c r="AM4780" s="2"/>
      <c r="AN4780" s="2"/>
      <c r="AO4780" s="2"/>
      <c r="AP4780" s="2"/>
      <c r="AQ4780" s="2"/>
      <c r="AR4780" s="2"/>
      <c r="AS4780" s="2"/>
      <c r="AT4780" s="2"/>
      <c r="AU4780" s="2"/>
      <c r="AV4780" s="2"/>
      <c r="AW4780" s="2"/>
      <c r="AX4780" s="2"/>
      <c r="AY4780" s="2"/>
      <c r="AZ4780" s="2"/>
      <c r="BA4780" s="2"/>
      <c r="BB4780" s="2"/>
    </row>
    <row r="4781" ht="204.75" customHeight="1">
      <c r="A4781" s="1">
        <v>621.0</v>
      </c>
      <c r="B4781" s="2" t="s">
        <v>13424</v>
      </c>
      <c r="C4781" s="2">
        <f>IFERROR(__xludf.DUMMYFUNCTION("split(B4781,""_"")"),1807.0)</f>
        <v>1807</v>
      </c>
      <c r="D4781" s="2" t="str">
        <f>IFERROR(__xludf.DUMMYFUNCTION("""COMPUTED_VALUE"""),"TBS")</f>
        <v>TBS</v>
      </c>
      <c r="E4781" s="2" t="str">
        <f>IFERROR(__xludf.DUMMYFUNCTION("""COMPUTED_VALUE"""),"火22")</f>
        <v>火22</v>
      </c>
      <c r="F4781" s="2" t="s">
        <v>13425</v>
      </c>
      <c r="G4781" s="2" t="s">
        <v>13440</v>
      </c>
      <c r="H4781" s="1">
        <v>8.0</v>
      </c>
      <c r="J4781" s="1" t="s">
        <v>82</v>
      </c>
      <c r="K4781" s="2" t="s">
        <v>13441</v>
      </c>
      <c r="L4781" s="2"/>
      <c r="M4781" s="2" t="str">
        <f>IFERROR(__xludf.DUMMYFUNCTION("split(split(K4781,""【"",false),""公式LINE"",false)"),"経営が立ち行かなくなったベーカリーを再建させようと、義母は閉店を決意する。そして、新たなるベーカリー麦田としてリニューアルオープンを目指すことになる。新生麦田が目指す理想とは・・・?そして、店長麦田に恋の予感?みゆきはある疑いをかける「もしかして店長、お母さんのこと・・・」物語は最終章に突入し、家族の10年間の完結へと突き進んでゆく。")</f>
        <v>経営が立ち行かなくなったベーカリーを再建させようと、義母は閉店を決意する。そして、新たなるベーカリー麦田としてリニューアルオープンを目指すことになる。新生麦田が目指す理想とは・・・?そして、店長麦田に恋の予感?みゆきはある疑いをかける「もしかして店長、お母さんのこと・・・」物語は最終章に突入し、家族の10年間の完結へと突き進んでゆく。</v>
      </c>
      <c r="N4781" s="2"/>
      <c r="O4781" s="2"/>
      <c r="P4781" s="2"/>
      <c r="Q4781" s="2"/>
      <c r="R4781" s="2"/>
      <c r="S4781" s="2"/>
      <c r="T4781" s="2"/>
      <c r="U4781" s="2"/>
      <c r="V4781" s="2"/>
      <c r="W4781" s="2"/>
      <c r="X4781" s="2"/>
      <c r="Y4781" s="2"/>
      <c r="Z4781" s="2"/>
      <c r="AA4781" s="2"/>
      <c r="AB4781" s="2"/>
      <c r="AC4781" s="2"/>
      <c r="AD4781" s="2"/>
      <c r="AE4781" s="2"/>
      <c r="AF4781" s="2"/>
      <c r="AG4781" s="2"/>
      <c r="AH4781" s="2"/>
      <c r="AI4781" s="2"/>
      <c r="AJ4781" s="2"/>
      <c r="AK4781" s="2"/>
      <c r="AL4781" s="2"/>
      <c r="AM4781" s="2"/>
      <c r="AN4781" s="2"/>
      <c r="AO4781" s="2"/>
      <c r="AP4781" s="2"/>
      <c r="AQ4781" s="2"/>
      <c r="AR4781" s="2"/>
      <c r="AS4781" s="2"/>
      <c r="AT4781" s="2"/>
      <c r="AU4781" s="2"/>
      <c r="AV4781" s="2"/>
      <c r="AW4781" s="2"/>
      <c r="AX4781" s="2"/>
      <c r="AY4781" s="2"/>
      <c r="AZ4781" s="2"/>
      <c r="BA4781" s="2"/>
      <c r="BB4781" s="2"/>
    </row>
    <row r="4782" ht="204.75" customHeight="1">
      <c r="A4782" s="1">
        <v>622.0</v>
      </c>
      <c r="B4782" s="2" t="s">
        <v>13424</v>
      </c>
      <c r="C4782" s="2">
        <f>IFERROR(__xludf.DUMMYFUNCTION("split(B4782,""_"")"),1807.0)</f>
        <v>1807</v>
      </c>
      <c r="D4782" s="2" t="str">
        <f>IFERROR(__xludf.DUMMYFUNCTION("""COMPUTED_VALUE"""),"TBS")</f>
        <v>TBS</v>
      </c>
      <c r="E4782" s="2" t="str">
        <f>IFERROR(__xludf.DUMMYFUNCTION("""COMPUTED_VALUE"""),"火22")</f>
        <v>火22</v>
      </c>
      <c r="F4782" s="2" t="s">
        <v>13425</v>
      </c>
      <c r="G4782" s="2" t="s">
        <v>13442</v>
      </c>
      <c r="H4782" s="1">
        <v>9.0</v>
      </c>
      <c r="J4782" s="1" t="s">
        <v>82</v>
      </c>
      <c r="K4782" s="2" t="s">
        <v>13443</v>
      </c>
      <c r="L4782" s="2"/>
      <c r="M4782" s="2" t="str">
        <f>IFERROR(__xludf.DUMMYFUNCTION("split(split(K4782,""【"",false),""公式LINE"",false)"),"遂にベーカリー麦田はリニューアルオープンを迎える。攻め時と見た亜希子は秘策に出る!果たして結果は?そして、ついに9年間の運命の糸が交わり始める。良一の愛に見守られ過ごしてきた義母と娘の年月が奇跡を起こす。そして、義母は・・・")</f>
        <v>遂にベーカリー麦田はリニューアルオープンを迎える。攻め時と見た亜希子は秘策に出る!果たして結果は?そして、ついに9年間の運命の糸が交わり始める。良一の愛に見守られ過ごしてきた義母と娘の年月が奇跡を起こす。そして、義母は・・・</v>
      </c>
      <c r="N4782" s="2"/>
      <c r="O4782" s="2"/>
      <c r="P4782" s="2"/>
      <c r="Q4782" s="2"/>
      <c r="R4782" s="2"/>
      <c r="S4782" s="2"/>
      <c r="T4782" s="2"/>
      <c r="U4782" s="2"/>
      <c r="V4782" s="2"/>
      <c r="W4782" s="2"/>
      <c r="X4782" s="2"/>
      <c r="Y4782" s="2"/>
      <c r="Z4782" s="2"/>
      <c r="AA4782" s="2"/>
      <c r="AB4782" s="2"/>
      <c r="AC4782" s="2"/>
      <c r="AD4782" s="2"/>
      <c r="AE4782" s="2"/>
      <c r="AF4782" s="2"/>
      <c r="AG4782" s="2"/>
      <c r="AH4782" s="2"/>
      <c r="AI4782" s="2"/>
      <c r="AJ4782" s="2"/>
      <c r="AK4782" s="2"/>
      <c r="AL4782" s="2"/>
      <c r="AM4782" s="2"/>
      <c r="AN4782" s="2"/>
      <c r="AO4782" s="2"/>
      <c r="AP4782" s="2"/>
      <c r="AQ4782" s="2"/>
      <c r="AR4782" s="2"/>
      <c r="AS4782" s="2"/>
      <c r="AT4782" s="2"/>
      <c r="AU4782" s="2"/>
      <c r="AV4782" s="2"/>
      <c r="AW4782" s="2"/>
      <c r="AX4782" s="2"/>
      <c r="AY4782" s="2"/>
      <c r="AZ4782" s="2"/>
      <c r="BA4782" s="2"/>
      <c r="BB4782" s="2"/>
    </row>
    <row r="4783" ht="204.75" customHeight="1">
      <c r="A4783" s="1">
        <v>623.0</v>
      </c>
      <c r="B4783" s="2" t="s">
        <v>13424</v>
      </c>
      <c r="C4783" s="2">
        <f>IFERROR(__xludf.DUMMYFUNCTION("split(B4783,""_"")"),1807.0)</f>
        <v>1807</v>
      </c>
      <c r="D4783" s="2" t="str">
        <f>IFERROR(__xludf.DUMMYFUNCTION("""COMPUTED_VALUE"""),"TBS")</f>
        <v>TBS</v>
      </c>
      <c r="E4783" s="2" t="str">
        <f>IFERROR(__xludf.DUMMYFUNCTION("""COMPUTED_VALUE"""),"火22")</f>
        <v>火22</v>
      </c>
      <c r="F4783" s="2" t="s">
        <v>13425</v>
      </c>
      <c r="G4783" s="2" t="s">
        <v>13444</v>
      </c>
      <c r="H4783" s="1">
        <v>10.0</v>
      </c>
      <c r="J4783" s="1" t="s">
        <v>82</v>
      </c>
      <c r="K4783" s="2" t="s">
        <v>13445</v>
      </c>
      <c r="L4783" s="2"/>
      <c r="M4783" s="2" t="str">
        <f>IFERROR(__xludf.DUMMYFUNCTION("split(split(K4783,""【"",false),""公式LINE"",false)"),"亜希子に想いを伝えた麦田、その結末とは?そして、義母が義母になったルーツが遂に明かされる。義母、娘、ともに歩んだ10年間の思いが交わり奇跡を起こす! ")</f>
        <v>亜希子に想いを伝えた麦田、その結末とは?そして、義母が義母になったルーツが遂に明かされる。義母、娘、ともに歩んだ10年間の思いが交わり奇跡を起こす! </v>
      </c>
      <c r="N4783" s="2"/>
      <c r="O4783" s="2"/>
      <c r="P4783" s="2"/>
      <c r="Q4783" s="2"/>
      <c r="R4783" s="2"/>
      <c r="S4783" s="2"/>
      <c r="T4783" s="2"/>
      <c r="U4783" s="2"/>
      <c r="V4783" s="2"/>
      <c r="W4783" s="2"/>
      <c r="X4783" s="2"/>
      <c r="Y4783" s="2"/>
      <c r="Z4783" s="2"/>
      <c r="AA4783" s="2"/>
      <c r="AB4783" s="2"/>
      <c r="AC4783" s="2"/>
      <c r="AD4783" s="2"/>
      <c r="AE4783" s="2"/>
      <c r="AF4783" s="2"/>
      <c r="AG4783" s="2"/>
      <c r="AH4783" s="2"/>
      <c r="AI4783" s="2"/>
      <c r="AJ4783" s="2"/>
      <c r="AK4783" s="2"/>
      <c r="AL4783" s="2"/>
      <c r="AM4783" s="2"/>
      <c r="AN4783" s="2"/>
      <c r="AO4783" s="2"/>
      <c r="AP4783" s="2"/>
      <c r="AQ4783" s="2"/>
      <c r="AR4783" s="2"/>
      <c r="AS4783" s="2"/>
      <c r="AT4783" s="2"/>
      <c r="AU4783" s="2"/>
      <c r="AV4783" s="2"/>
      <c r="AW4783" s="2"/>
      <c r="AX4783" s="2"/>
      <c r="AY4783" s="2"/>
      <c r="AZ4783" s="2"/>
      <c r="BA4783" s="2"/>
      <c r="BB4783" s="2"/>
    </row>
    <row r="4784" ht="204.75" customHeight="1">
      <c r="A4784" s="1">
        <v>662.0</v>
      </c>
      <c r="B4784" s="2" t="s">
        <v>13446</v>
      </c>
      <c r="C4784" s="2">
        <f>IFERROR(__xludf.DUMMYFUNCTION("split(B4784,""_"")"),1807.0)</f>
        <v>1807</v>
      </c>
      <c r="D4784" s="2" t="str">
        <f>IFERROR(__xludf.DUMMYFUNCTION("""COMPUTED_VALUE"""),"TBS")</f>
        <v>TBS</v>
      </c>
      <c r="E4784" s="2" t="str">
        <f>IFERROR(__xludf.DUMMYFUNCTION("""COMPUTED_VALUE"""),"金22")</f>
        <v>金22</v>
      </c>
      <c r="F4784" s="2" t="s">
        <v>13447</v>
      </c>
      <c r="G4784" s="2" t="s">
        <v>13448</v>
      </c>
      <c r="H4784" s="1">
        <v>1.0</v>
      </c>
      <c r="J4784" s="1" t="s">
        <v>82</v>
      </c>
      <c r="K4784" s="2" t="s">
        <v>13449</v>
      </c>
      <c r="L4784" s="2" t="s">
        <v>13450</v>
      </c>
      <c r="M4784" s="2" t="str">
        <f>IFERROR(__xludf.DUMMYFUNCTION("split(split(K4784,""【"",false),""公式LINE"",false)"),"福井中央高校チアダンス部「JETS」が初めて全米制覇したその姿に憧れた藤谷わかば(土屋太鳳)は将来JETSに入って全米制覇する夢を持つが、受験に失敗し、いつしか自分の夢に蓋をしてしまっていた。しかし、強引な転校生・桐生汐里(石井杏奈)にチアダンス部を作ろう!と誘われ、くすぶっていた思いに再び火がつく!一方、漆戸太郎(オダギリジョー)は過去の挫折で教師を休職していたが復帰早々にチアダンス部の顧問に…土屋太鳳、石井杏奈、佐久間由衣、山本舞香、朝比奈彩、大友花恋、箭内夢菜、志田彩良、清水尋也、八木莉可子、伊原六"&amp;"花、足立佳奈、堀田真由、福地桃子、小倉優香、石崎なつみ、坂ノ上茜、溝口恵、守屋ことり、佐生雪、高橋里恩、新木優子、広瀬すず(特別出演)、岐洲匠、本多力、森矢カンナ、木原勝利、高村佳偉人、高橋和也、紺野まひる、松本若菜、阿川佐和子、木下ほうか、オダギリジョー原作　映画『チア☆ダン』製作委員会脚本　後藤法子主題歌　『輝きだして走ってく』　サンボマスター(Getting Better/Victor Entertainment)  イメージソング　『できっこないを やらなくちゃ』　サンボマスター演出:福田亮介  "&amp;"プロデューサー:韓哲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番組"&amp;"の内容と放送時間は変更になる場合があります。")</f>
        <v>福井中央高校チアダンス部「JETS」が初めて全米制覇したその姿に憧れた藤谷わかば(土屋太鳳)は将来JETSに入って全米制覇する夢を持つが、受験に失敗し、いつしか自分の夢に蓋をしてしまっていた。しかし、強引な転校生・桐生汐里(石井杏奈)にチアダンス部を作ろう!と誘われ、くすぶっていた思いに再び火がつく!一方、漆戸太郎(オダギリジョー)は過去の挫折で教師を休職していたが復帰早々にチアダンス部の顧問に…土屋太鳳、石井杏奈、佐久間由衣、山本舞香、朝比奈彩、大友花恋、箭内夢菜、志田彩良、清水尋也、八木莉可子、伊原六花、足立佳奈、堀田真由、福地桃子、小倉優香、石崎なつみ、坂ノ上茜、溝口恵、守屋ことり、佐生雪、高橋里恩、新木優子、広瀬すず(特別出演)、岐洲匠、本多力、森矢カンナ、木原勝利、高村佳偉人、高橋和也、紺野まひる、松本若菜、阿川佐和子、木下ほうか、オダギリジョー原作　映画『チア☆ダン』製作委員会脚本　後藤法子主題歌　『輝きだして走ってく』　サンボマスター(Getting Better/Victor Entertainment)  イメージソング　『できっこないを やらなくちゃ』　サンボマスター演出:福田亮介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v>
      </c>
      <c r="N4784" s="2"/>
      <c r="O4784" s="2"/>
      <c r="P4784" s="2"/>
      <c r="Q4784" s="2"/>
      <c r="R4784" s="2"/>
      <c r="S4784" s="2"/>
      <c r="T4784" s="2"/>
      <c r="U4784" s="2"/>
      <c r="V4784" s="2"/>
      <c r="W4784" s="2"/>
      <c r="X4784" s="2"/>
      <c r="Y4784" s="2"/>
      <c r="Z4784" s="2"/>
      <c r="AA4784" s="2"/>
      <c r="AB4784" s="2"/>
      <c r="AC4784" s="2"/>
      <c r="AD4784" s="2"/>
      <c r="AE4784" s="2"/>
      <c r="AF4784" s="2"/>
      <c r="AG4784" s="2"/>
      <c r="AH4784" s="2"/>
      <c r="AI4784" s="2"/>
      <c r="AJ4784" s="2"/>
      <c r="AK4784" s="2"/>
      <c r="AL4784" s="2"/>
      <c r="AM4784" s="2"/>
      <c r="AN4784" s="2"/>
      <c r="AO4784" s="2"/>
      <c r="AP4784" s="2"/>
      <c r="AQ4784" s="2"/>
      <c r="AR4784" s="2"/>
      <c r="AS4784" s="2"/>
      <c r="AT4784" s="2"/>
      <c r="AU4784" s="2"/>
      <c r="AV4784" s="2"/>
      <c r="AW4784" s="2"/>
      <c r="AX4784" s="2"/>
      <c r="AY4784" s="2"/>
      <c r="AZ4784" s="2"/>
      <c r="BA4784" s="2"/>
      <c r="BB4784" s="2"/>
    </row>
    <row r="4785" ht="204.75" customHeight="1">
      <c r="A4785" s="1">
        <v>663.0</v>
      </c>
      <c r="B4785" s="2" t="s">
        <v>13446</v>
      </c>
      <c r="C4785" s="2">
        <f>IFERROR(__xludf.DUMMYFUNCTION("split(B4785,""_"")"),1807.0)</f>
        <v>1807</v>
      </c>
      <c r="D4785" s="2" t="str">
        <f>IFERROR(__xludf.DUMMYFUNCTION("""COMPUTED_VALUE"""),"TBS")</f>
        <v>TBS</v>
      </c>
      <c r="E4785" s="2" t="str">
        <f>IFERROR(__xludf.DUMMYFUNCTION("""COMPUTED_VALUE"""),"金22")</f>
        <v>金22</v>
      </c>
      <c r="F4785" s="2" t="s">
        <v>13447</v>
      </c>
      <c r="G4785" s="2" t="s">
        <v>13451</v>
      </c>
      <c r="H4785" s="1">
        <v>2.0</v>
      </c>
      <c r="J4785" s="1" t="s">
        <v>86</v>
      </c>
      <c r="K4785" s="2" t="s">
        <v>13452</v>
      </c>
      <c r="L4785" s="2" t="s">
        <v>13453</v>
      </c>
      <c r="M4785" s="2" t="str">
        <f>IFERROR(__xludf.DUMMYFUNCTION("split(split(K4785,""【"",false),""公式LINE"",false)"),"チアダンス部結成に向け走り出したわかば(土屋太鳳)と汐里(石井杏奈)。太郎(オダギリジョー)が顧問を引き受けてくれる事になり喜んだのも束の間!終業式までの残り1週間で生徒会規約の部員8人を揃えられなければ、活動禁止に!わかばらの勧誘にも取り合わない不登校のダンサー・茉希(山本舞香)や部の結成を快く思わない学級委員長の麻子(佐久間由衣)そして麻子の親で教頭の桜沢(木下ほうか)など難題が降りかかる!!土屋太鳳、石井杏奈、佐久間由衣、山本舞香、朝比奈彩、大友花恋、箭内夢菜、志田彩良、清水尋也、八木莉可子、伊原六"&amp;"花、足立佳奈、堀田真由、福地桃子、石崎なつみ、坂ノ上茜、溝口恵、守屋ことり、佐生雪、岐洲匠、本多力、森矢カンナ、木原勝利、高村佳偉人、高橋和也、紺野まひる、松本若菜、阿川佐和子、木下ほうか、オダギリジョー原作　映画『チア☆ダン』製作委員会脚本　後藤法子主題歌　『輝きだして走ってく』　サンボマスター(Getting Better/Victor Entertainment)  演出:福田亮介  プロデューサー:韓哲　協力プロデューサー:高山暢比古◇番組HP  http://www.tbs.co.jp/chee"&amp;"rdan_tbs/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f>
        <v>チアダンス部結成に向け走り出したわかば(土屋太鳳)と汐里(石井杏奈)。太郎(オダギリジョー)が顧問を引き受けてくれる事になり喜んだのも束の間!終業式までの残り1週間で生徒会規約の部員8人を揃えられなければ、活動禁止に!わかばらの勧誘にも取り合わない不登校のダンサー・茉希(山本舞香)や部の結成を快く思わない学級委員長の麻子(佐久間由衣)そして麻子の親で教頭の桜沢(木下ほうか)など難題が降りかかる!!土屋太鳳、石井杏奈、佐久間由衣、山本舞香、朝比奈彩、大友花恋、箭内夢菜、志田彩良、清水尋也、八木莉可子、伊原六花、足立佳奈、堀田真由、福地桃子、石崎なつみ、坂ノ上茜、溝口恵、守屋ことり、佐生雪、岐洲匠、本多力、森矢カンナ、木原勝利、高村佳偉人、高橋和也、紺野まひる、松本若菜、阿川佐和子、木下ほうか、オダギリジョー原作　映画『チア☆ダン』製作委員会脚本　後藤法子主題歌　『輝きだして走ってく』　サンボマスター(Getting Better/Victor Entertainment)  演出:福田亮介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v>
      </c>
      <c r="N4785" s="2"/>
      <c r="O4785" s="2"/>
      <c r="P4785" s="2"/>
      <c r="Q4785" s="2"/>
      <c r="R4785" s="2"/>
      <c r="S4785" s="2"/>
      <c r="T4785" s="2"/>
      <c r="U4785" s="2"/>
      <c r="V4785" s="2"/>
      <c r="W4785" s="2"/>
      <c r="X4785" s="2"/>
      <c r="Y4785" s="2"/>
      <c r="Z4785" s="2"/>
      <c r="AA4785" s="2"/>
      <c r="AB4785" s="2"/>
      <c r="AC4785" s="2"/>
      <c r="AD4785" s="2"/>
      <c r="AE4785" s="2"/>
      <c r="AF4785" s="2"/>
      <c r="AG4785" s="2"/>
      <c r="AH4785" s="2"/>
      <c r="AI4785" s="2"/>
      <c r="AJ4785" s="2"/>
      <c r="AK4785" s="2"/>
      <c r="AL4785" s="2"/>
      <c r="AM4785" s="2"/>
      <c r="AN4785" s="2"/>
      <c r="AO4785" s="2"/>
      <c r="AP4785" s="2"/>
      <c r="AQ4785" s="2"/>
      <c r="AR4785" s="2"/>
      <c r="AS4785" s="2"/>
      <c r="AT4785" s="2"/>
      <c r="AU4785" s="2"/>
      <c r="AV4785" s="2"/>
      <c r="AW4785" s="2"/>
      <c r="AX4785" s="2"/>
      <c r="AY4785" s="2"/>
      <c r="AZ4785" s="2"/>
      <c r="BA4785" s="2"/>
      <c r="BB4785" s="2"/>
    </row>
    <row r="4786" ht="204.75" customHeight="1">
      <c r="A4786" s="1">
        <v>664.0</v>
      </c>
      <c r="B4786" s="2" t="s">
        <v>13446</v>
      </c>
      <c r="C4786" s="2">
        <f>IFERROR(__xludf.DUMMYFUNCTION("split(B4786,""_"")"),1807.0)</f>
        <v>1807</v>
      </c>
      <c r="D4786" s="2" t="str">
        <f>IFERROR(__xludf.DUMMYFUNCTION("""COMPUTED_VALUE"""),"TBS")</f>
        <v>TBS</v>
      </c>
      <c r="E4786" s="2" t="str">
        <f>IFERROR(__xludf.DUMMYFUNCTION("""COMPUTED_VALUE"""),"金22")</f>
        <v>金22</v>
      </c>
      <c r="F4786" s="2" t="s">
        <v>13447</v>
      </c>
      <c r="G4786" s="2" t="s">
        <v>13454</v>
      </c>
      <c r="H4786" s="1">
        <v>3.0</v>
      </c>
      <c r="J4786" s="1" t="s">
        <v>86</v>
      </c>
      <c r="K4786" s="2" t="s">
        <v>13455</v>
      </c>
      <c r="L4786" s="2" t="s">
        <v>13456</v>
      </c>
      <c r="M4786" s="2" t="str">
        <f>IFERROR(__xludf.DUMMYFUNCTION("split(split(K4786,""【"",false),""公式LINE"",false)"),"チアダンス部ROCKETS結成後初めて挑む大会で、憧れのJETSと対決する事になったわかば(土屋太鳳)たち。大会まで残された時間は、夏休み最終日までの約一ヶ月。JETSの本当の強さを知る汐里(石井杏奈)は焦りから、塾やそれぞれの用事で練習初日に遅刻してくる麻子(佐久間由衣)、渚(朝比奈彩)、妙子(大友花恋)らに怒りをぶつける。険悪な雰囲気を打破すべく、顧問の太郎(オダギリジョー)に助けを求めるが…土屋太鳳、石井杏奈、佐久間由衣、山本舞香、朝比奈彩、大友花恋、箭内夢菜、志田彩良、清水尋也、八木莉可子、伊原六"&amp;"花、足立佳奈、堀田真由、福地桃子、小倉優香、石崎なつみ、坂ノ上茜、溝口恵、守屋ことり、佐生雪、高橋里恩、岐洲匠、本多力、森矢カンナ、星田英利、まりゑ、高村佳偉人、高橋和也、紺野まひる、松本若菜、阿川佐和子、木下ほうか、オダギリジョー原作　映画『チア☆ダン』製作委員会脚本　徳尾浩司  脚本監修　後藤法子  脚本協力　木村涼子　田中徳恵主題歌　『輝きだして走ってく』　サンボマスター(Getting Better/Victor Entertainment)  イメージソング　『できっこないを やらなくちゃ』　サ"&amp;"ンボマスター演出:金子文紀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"&amp;"チアリーダー部　JETS番組の内容と放送時間は変更になる場合があります。")</f>
        <v>チアダンス部ROCKETS結成後初めて挑む大会で、憧れのJETSと対決する事になったわかば(土屋太鳳)たち。大会まで残された時間は、夏休み最終日までの約一ヶ月。JETSの本当の強さを知る汐里(石井杏奈)は焦りから、塾やそれぞれの用事で練習初日に遅刻してくる麻子(佐久間由衣)、渚(朝比奈彩)、妙子(大友花恋)らに怒りをぶつける。険悪な雰囲気を打破すべく、顧問の太郎(オダギリジョー)に助けを求めるが…土屋太鳳、石井杏奈、佐久間由衣、山本舞香、朝比奈彩、大友花恋、箭内夢菜、志田彩良、清水尋也、八木莉可子、伊原六花、足立佳奈、堀田真由、福地桃子、小倉優香、石崎なつみ、坂ノ上茜、溝口恵、守屋ことり、佐生雪、高橋里恩、岐洲匠、本多力、森矢カンナ、星田英利、まりゑ、高村佳偉人、高橋和也、紺野まひる、松本若菜、阿川佐和子、木下ほうか、オダギリジョー原作　映画『チア☆ダン』製作委員会脚本　徳尾浩司  脚本監修　後藤法子  脚本協力　木村涼子　田中徳恵主題歌　『輝きだして走ってく』　サンボマスター(Getting Better/Victor Entertainment)  イメージソング　『できっこないを やらなくちゃ』　サンボマスター演出:金子文紀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JETS番組の内容と放送時間は変更になる場合があります。</v>
      </c>
      <c r="N4786" s="2"/>
      <c r="O4786" s="2"/>
      <c r="P4786" s="2"/>
      <c r="Q4786" s="2"/>
      <c r="R4786" s="2"/>
      <c r="S4786" s="2"/>
      <c r="T4786" s="2"/>
      <c r="U4786" s="2"/>
      <c r="V4786" s="2"/>
      <c r="W4786" s="2"/>
      <c r="X4786" s="2"/>
      <c r="Y4786" s="2"/>
      <c r="Z4786" s="2"/>
      <c r="AA4786" s="2"/>
      <c r="AB4786" s="2"/>
      <c r="AC4786" s="2"/>
      <c r="AD4786" s="2"/>
      <c r="AE4786" s="2"/>
      <c r="AF4786" s="2"/>
      <c r="AG4786" s="2"/>
      <c r="AH4786" s="2"/>
      <c r="AI4786" s="2"/>
      <c r="AJ4786" s="2"/>
      <c r="AK4786" s="2"/>
      <c r="AL4786" s="2"/>
      <c r="AM4786" s="2"/>
      <c r="AN4786" s="2"/>
      <c r="AO4786" s="2"/>
      <c r="AP4786" s="2"/>
      <c r="AQ4786" s="2"/>
      <c r="AR4786" s="2"/>
      <c r="AS4786" s="2"/>
      <c r="AT4786" s="2"/>
      <c r="AU4786" s="2"/>
      <c r="AV4786" s="2"/>
      <c r="AW4786" s="2"/>
      <c r="AX4786" s="2"/>
      <c r="AY4786" s="2"/>
      <c r="AZ4786" s="2"/>
      <c r="BA4786" s="2"/>
      <c r="BB4786" s="2"/>
    </row>
    <row r="4787" ht="204.75" customHeight="1">
      <c r="A4787" s="1">
        <v>665.0</v>
      </c>
      <c r="B4787" s="2" t="s">
        <v>13446</v>
      </c>
      <c r="C4787" s="2">
        <f>IFERROR(__xludf.DUMMYFUNCTION("split(B4787,""_"")"),1807.0)</f>
        <v>1807</v>
      </c>
      <c r="D4787" s="2" t="str">
        <f>IFERROR(__xludf.DUMMYFUNCTION("""COMPUTED_VALUE"""),"TBS")</f>
        <v>TBS</v>
      </c>
      <c r="E4787" s="2" t="str">
        <f>IFERROR(__xludf.DUMMYFUNCTION("""COMPUTED_VALUE"""),"金22")</f>
        <v>金22</v>
      </c>
      <c r="F4787" s="2" t="s">
        <v>13447</v>
      </c>
      <c r="G4787" s="2" t="s">
        <v>13457</v>
      </c>
      <c r="H4787" s="1">
        <v>4.0</v>
      </c>
      <c r="J4787" s="1" t="s">
        <v>86</v>
      </c>
      <c r="K4787" s="2" t="s">
        <v>13458</v>
      </c>
      <c r="L4787" s="2" t="s">
        <v>13459</v>
      </c>
      <c r="M4787" s="2" t="str">
        <f>IFERROR(__xludf.DUMMYFUNCTION("split(split(K4787,""【"",false),""公式LINE"",false)"),"大会での惨敗でJETSとの力の差を痛感したわかば(土屋太鳳)らROCKETS。そんな時、駒子(阿川佐和子)校長からJETS見学の話が舞い込む。見学で刺激を受け盛り上がる一同だが、一人そのノリについていけない茉希(山本舞香)は練習から飛び出す…。チアリーダー部で仲間外れにされた芙美(伊原六花)を応援するためにわかばらは太郎(オダギリジョー)のとある提案を引き受けるが、茉希は果たして戻ってくるのか!?土屋太鳳、石井杏奈、佐久間由衣、山本舞香、朝比奈彩、大友花恋、箭内夢菜、志田彩良、清水尋也、八木莉可子、伊原六"&amp;"花、足立佳奈、堀田真由、福地桃子、小倉優香、石崎なつみ、坂ノ上茜、溝口恵、守屋ことり、佐生雪、高橋里恩、本多力、森矢カンナ、木原勝利、高村佳偉人、小手伸也、大和田南那、松本若菜、新木優子、高橋和也、阿川佐和子、木下ほうか、オダギリジョー原作　映画『チア☆ダン』製作委員会脚本　徳尾浩司  脚本監修　後藤法子  脚本協力　木村涼子　田中徳恵主題歌　『輝きだして走ってく』　サンボマスター(Getting Better/Victor Entertainment)  演出:金子文紀  プロデューサー:韓哲　協力プロ"&amp;"デューサー:高山暢比古◇番組HP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番組の内容と放送時間は変更になる場合が"&amp;"あります。")</f>
        <v>大会での惨敗でJETSとの力の差を痛感したわかば(土屋太鳳)らROCKETS。そんな時、駒子(阿川佐和子)校長からJETS見学の話が舞い込む。見学で刺激を受け盛り上がる一同だが、一人そのノリについていけない茉希(山本舞香)は練習から飛び出す…。チアリーダー部で仲間外れにされた芙美(伊原六花)を応援するためにわかばらは太郎(オダギリジョー)のとある提案を引き受けるが、茉希は果たして戻ってくるのか!?土屋太鳳、石井杏奈、佐久間由衣、山本舞香、朝比奈彩、大友花恋、箭内夢菜、志田彩良、清水尋也、八木莉可子、伊原六花、足立佳奈、堀田真由、福地桃子、小倉優香、石崎なつみ、坂ノ上茜、溝口恵、守屋ことり、佐生雪、高橋里恩、本多力、森矢カンナ、木原勝利、高村佳偉人、小手伸也、大和田南那、松本若菜、新木優子、高橋和也、阿川佐和子、木下ほうか、オダギリジョー原作　映画『チア☆ダン』製作委員会脚本　徳尾浩司  脚本監修　後藤法子  脚本協力　木村涼子　田中徳恵主題歌　『輝きだして走ってく』　サンボマスター(Getting Better/Victor Entertainment)  演出:金子文紀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v>
      </c>
      <c r="N4787" s="2"/>
      <c r="O4787" s="2"/>
      <c r="P4787" s="2"/>
      <c r="Q4787" s="2"/>
      <c r="R4787" s="2"/>
      <c r="S4787" s="2"/>
      <c r="T4787" s="2"/>
      <c r="U4787" s="2"/>
      <c r="V4787" s="2"/>
      <c r="W4787" s="2"/>
      <c r="X4787" s="2"/>
      <c r="Y4787" s="2"/>
      <c r="Z4787" s="2"/>
      <c r="AA4787" s="2"/>
      <c r="AB4787" s="2"/>
      <c r="AC4787" s="2"/>
      <c r="AD4787" s="2"/>
      <c r="AE4787" s="2"/>
      <c r="AF4787" s="2"/>
      <c r="AG4787" s="2"/>
      <c r="AH4787" s="2"/>
      <c r="AI4787" s="2"/>
      <c r="AJ4787" s="2"/>
      <c r="AK4787" s="2"/>
      <c r="AL4787" s="2"/>
      <c r="AM4787" s="2"/>
      <c r="AN4787" s="2"/>
      <c r="AO4787" s="2"/>
      <c r="AP4787" s="2"/>
      <c r="AQ4787" s="2"/>
      <c r="AR4787" s="2"/>
      <c r="AS4787" s="2"/>
      <c r="AT4787" s="2"/>
      <c r="AU4787" s="2"/>
      <c r="AV4787" s="2"/>
      <c r="AW4787" s="2"/>
      <c r="AX4787" s="2"/>
      <c r="AY4787" s="2"/>
      <c r="AZ4787" s="2"/>
      <c r="BA4787" s="2"/>
      <c r="BB4787" s="2"/>
    </row>
    <row r="4788" ht="204.75" customHeight="1">
      <c r="A4788" s="1">
        <v>666.0</v>
      </c>
      <c r="B4788" s="2" t="s">
        <v>13446</v>
      </c>
      <c r="C4788" s="2">
        <f>IFERROR(__xludf.DUMMYFUNCTION("split(B4788,""_"")"),1807.0)</f>
        <v>1807</v>
      </c>
      <c r="D4788" s="2" t="str">
        <f>IFERROR(__xludf.DUMMYFUNCTION("""COMPUTED_VALUE"""),"TBS")</f>
        <v>TBS</v>
      </c>
      <c r="E4788" s="2" t="str">
        <f>IFERROR(__xludf.DUMMYFUNCTION("""COMPUTED_VALUE"""),"金22")</f>
        <v>金22</v>
      </c>
      <c r="F4788" s="2" t="s">
        <v>13447</v>
      </c>
      <c r="G4788" s="2" t="s">
        <v>13460</v>
      </c>
      <c r="H4788" s="1">
        <v>5.0</v>
      </c>
      <c r="J4788" s="1" t="s">
        <v>86</v>
      </c>
      <c r="K4788" s="2" t="s">
        <v>13461</v>
      </c>
      <c r="L4788" s="2" t="s">
        <v>13462</v>
      </c>
      <c r="M4788" s="2" t="str">
        <f>IFERROR(__xludf.DUMMYFUNCTION("split(split(K4788,""【"",false),""公式LINE"",false)"),"わかば(土屋太鳳)がチアリーダー部を辞めて以来、敵対したままのROCKETSと望(堀田真由)たち。エスカレートしていく望らの嫌がらせに汐里(石井杏奈)や茉希(山本舞香)だけでなく、チアリーダー部内でも疑問の声が上がっていく。険悪な空気のまま、学園祭のメインイベントであるチアリーダー部のショーとROCKETSの演技が全く同じ時間帯にぶつかることに。その時、太郎(オダギリジョー)もわかばらに内緒で…土屋太鳳、石井杏奈、佐久間由衣、山本舞香、朝比奈彩、大友花恋、箭内夢菜、志田彩良、清水尋也、八木莉可子、伊原六花"&amp;"、足立佳奈、堀田真由、福地桃子、石崎なつみ、坂ノ上茜、溝口恵、守屋ことり、佐生雪、高橋里恩、岐洲匠、本多力、森矢カンナ、木原勝利、河野洋一郎、星田英利、陽月華、高村佳偉人、松本若菜、新木優子、高橋和也、紺野まひる、阿川佐和子、木下ほうか、オダギリジョー★3週連続、夏は『チア☆ダン』副音声祭り開催!★  ROCKETSメンバーが第5話の裏側をトーク!  出演:伊原六花、足立佳奈、堀田真由、福地桃子    夏は『チア☆ダン』副音声祭り　来週以降のゲスト(変更の可能性あり)  8/17(金)土屋太鳳、石井杏奈、"&amp;"佐久間由衣、山本舞香、朝比奈彩  8/24(金)大友花恋、箭内夢菜、志田彩良、清水尋也、八木莉可子原作　映画『チア☆ダン』製作委員会脚本　徳尾浩司  脚本監修　後藤法子  脚本協力　木村涼子主題歌　『輝きだして走ってく』　サンボマスター(Getting Better/Victor Entertainment)  演出:金子文紀  プロデューサー:韓哲　協力プロデューサー:高山暢比古◇番組HP  http://www.tbs.co.jp/cheerdan_tbs/    ◇twitter  @cheerda"&amp;"n_tbs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f>
        <v>わかば(土屋太鳳)がチアリーダー部を辞めて以来、敵対したままのROCKETSと望(堀田真由)たち。エスカレートしていく望らの嫌がらせに汐里(石井杏奈)や茉希(山本舞香)だけでなく、チアリーダー部内でも疑問の声が上がっていく。険悪な空気のまま、学園祭のメインイベントであるチアリーダー部のショーとROCKETSの演技が全く同じ時間帯にぶつかることに。その時、太郎(オダギリジョー)もわかばらに内緒で…土屋太鳳、石井杏奈、佐久間由衣、山本舞香、朝比奈彩、大友花恋、箭内夢菜、志田彩良、清水尋也、八木莉可子、伊原六花、足立佳奈、堀田真由、福地桃子、石崎なつみ、坂ノ上茜、溝口恵、守屋ことり、佐生雪、高橋里恩、岐洲匠、本多力、森矢カンナ、木原勝利、河野洋一郎、星田英利、陽月華、高村佳偉人、松本若菜、新木優子、高橋和也、紺野まひる、阿川佐和子、木下ほうか、オダギリジョー★3週連続、夏は『チア☆ダン』副音声祭り開催!★  ROCKETSメンバーが第5話の裏側をトーク!  出演:伊原六花、足立佳奈、堀田真由、福地桃子    夏は『チア☆ダン』副音声祭り　来週以降のゲスト(変更の可能性あり)  8/17(金)土屋太鳳、石井杏奈、佐久間由衣、山本舞香、朝比奈彩  8/24(金)大友花恋、箭内夢菜、志田彩良、清水尋也、八木莉可子原作　映画『チア☆ダン』製作委員会脚本　徳尾浩司  脚本監修　後藤法子  脚本協力　木村涼子主題歌　『輝きだして走ってく』　サンボマスター(Getting Better/Victor Entertainment)  演出:金子文紀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v>
      </c>
      <c r="N4788" s="2"/>
      <c r="O4788" s="2"/>
      <c r="P4788" s="2"/>
      <c r="Q4788" s="2"/>
      <c r="R4788" s="2"/>
      <c r="S4788" s="2"/>
      <c r="T4788" s="2"/>
      <c r="U4788" s="2"/>
      <c r="V4788" s="2"/>
      <c r="W4788" s="2"/>
      <c r="X4788" s="2"/>
      <c r="Y4788" s="2"/>
      <c r="Z4788" s="2"/>
      <c r="AA4788" s="2"/>
      <c r="AB4788" s="2"/>
      <c r="AC4788" s="2"/>
      <c r="AD4788" s="2"/>
      <c r="AE4788" s="2"/>
      <c r="AF4788" s="2"/>
      <c r="AG4788" s="2"/>
      <c r="AH4788" s="2"/>
      <c r="AI4788" s="2"/>
      <c r="AJ4788" s="2"/>
      <c r="AK4788" s="2"/>
      <c r="AL4788" s="2"/>
      <c r="AM4788" s="2"/>
      <c r="AN4788" s="2"/>
      <c r="AO4788" s="2"/>
      <c r="AP4788" s="2"/>
      <c r="AQ4788" s="2"/>
      <c r="AR4788" s="2"/>
      <c r="AS4788" s="2"/>
      <c r="AT4788" s="2"/>
      <c r="AU4788" s="2"/>
      <c r="AV4788" s="2"/>
      <c r="AW4788" s="2"/>
      <c r="AX4788" s="2"/>
      <c r="AY4788" s="2"/>
      <c r="AZ4788" s="2"/>
      <c r="BA4788" s="2"/>
      <c r="BB4788" s="2"/>
    </row>
    <row r="4789" ht="204.75" customHeight="1">
      <c r="A4789" s="1">
        <v>667.0</v>
      </c>
      <c r="B4789" s="2" t="s">
        <v>13446</v>
      </c>
      <c r="C4789" s="2">
        <f>IFERROR(__xludf.DUMMYFUNCTION("split(B4789,""_"")"),1807.0)</f>
        <v>1807</v>
      </c>
      <c r="D4789" s="2" t="str">
        <f>IFERROR(__xludf.DUMMYFUNCTION("""COMPUTED_VALUE"""),"TBS")</f>
        <v>TBS</v>
      </c>
      <c r="E4789" s="2" t="str">
        <f>IFERROR(__xludf.DUMMYFUNCTION("""COMPUTED_VALUE"""),"金22")</f>
        <v>金22</v>
      </c>
      <c r="F4789" s="2" t="s">
        <v>13447</v>
      </c>
      <c r="G4789" s="2" t="s">
        <v>13463</v>
      </c>
      <c r="H4789" s="1">
        <v>6.0</v>
      </c>
      <c r="J4789" s="1" t="s">
        <v>86</v>
      </c>
      <c r="K4789" s="2" t="s">
        <v>13464</v>
      </c>
      <c r="L4789" s="2" t="s">
        <v>13465</v>
      </c>
      <c r="M4789" s="2" t="str">
        <f>IFERROR(__xludf.DUMMYFUNCTION("split(split(K4789,""【"",false),""公式LINE"",false)"),"顧問の太郎(オダギリジョー)が不在の中、生徒たちだけで練習も部の運営も行おうとするわかば(土屋太鳳)らROCKETS。そんな中、練習中に穂香(箭内夢菜)が怪我をしてしまう。娘の怪我に激怒した穂香の父親(宍戸開)は父母会を結成し、校長室に乗り込み“チアダンス部の廃部""を校長の駒子(阿川佐和子)らに突きつける。「チアは泣いてはダメ…」と必死に笑顔を絶やさないようにピンチに立ち向かう!★夏は副音声祭り★土屋太鳳、石井杏奈、佐久間由衣、山本舞香、朝比奈彩、大友花恋、箭内夢菜、志田彩良、清水尋也、八木莉可子、伊原"&amp;"六花、足立佳奈、堀田真由、福地桃子、石崎なつみ、坂ノ上茜、溝口恵、守屋ことり、佐生雪、本多力、森矢カンナ、木原勝利、高村佳偉人、夙川アトム、星田英利、宍戸開、押田恵、松本若菜、新木優子、高橋和也、紺野まひる、阿川佐和子、木下ほうか、オダギリジョー★3週連続、夏は『チア☆ダン』副音声祭り開催!★  ROCKETSメンバーが第6話の裏側をトーク!  出演:土屋太鳳、石井杏奈、佐久間由衣、山本舞香、朝比奈彩    夏は『チア☆ダン』副音声祭り　来週のゲスト(変更の可能性あり)  8/24(金)大友花恋、箭内夢菜"&amp;"、志田彩良、清水尋也、八木莉可子原作　映画『チア☆ダン』製作委員会脚本　木村涼子  脚本監修　後藤法子主題歌　『輝きだして走ってく』　サンボマスター(Getting Better/Victor Entertainment)  演出:岡本伸吾  プロデューサー:韓哲　協力プロデューサー:高山暢比古◇番組HP  http://www.tbs.co.jp/cheerdan_tbs/    ◇twitter  @cheerdan_tbs    https://twitter.com/cheerdan_tbs   "&amp;" ◇instagram  https://www.instagram.com/cheerdan_tbs/  特別協力　福井県  協力　　　一般社団法人日本チアダンス協会  　　　　　福井県立福井商業高等学校　チアリーダー部　JETS  番組の内容と放送時間は変更になる場合があります。")</f>
        <v>顧問の太郎(オダギリジョー)が不在の中、生徒たちだけで練習も部の運営も行おうとするわかば(土屋太鳳)らROCKETS。そんな中、練習中に穂香(箭内夢菜)が怪我をしてしまう。娘の怪我に激怒した穂香の父親(宍戸開)は父母会を結成し、校長室に乗り込み“チアダンス部の廃部"を校長の駒子(阿川佐和子)らに突きつける。「チアは泣いてはダメ…」と必死に笑顔を絶やさないようにピンチに立ち向かう!★夏は副音声祭り★土屋太鳳、石井杏奈、佐久間由衣、山本舞香、朝比奈彩、大友花恋、箭内夢菜、志田彩良、清水尋也、八木莉可子、伊原六花、足立佳奈、堀田真由、福地桃子、石崎なつみ、坂ノ上茜、溝口恵、守屋ことり、佐生雪、本多力、森矢カンナ、木原勝利、高村佳偉人、夙川アトム、星田英利、宍戸開、押田恵、松本若菜、新木優子、高橋和也、紺野まひる、阿川佐和子、木下ほうか、オダギリジョー★3週連続、夏は『チア☆ダン』副音声祭り開催!★  ROCKETSメンバーが第6話の裏側をトーク!  出演:土屋太鳳、石井杏奈、佐久間由衣、山本舞香、朝比奈彩    夏は『チア☆ダン』副音声祭り　来週のゲスト(変更の可能性あり)  8/24(金)大友花恋、箭内夢菜、志田彩良、清水尋也、八木莉可子原作　映画『チア☆ダン』製作委員会脚本　木村涼子  脚本監修　後藤法子主題歌　『輝きだして走ってく』　サンボマスター(Getting Better/Victor Entertainment)  演出:岡本伸吾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v>
      </c>
      <c r="N4789" s="2"/>
      <c r="O4789" s="2"/>
      <c r="P4789" s="2"/>
      <c r="Q4789" s="2"/>
      <c r="R4789" s="2"/>
      <c r="S4789" s="2"/>
      <c r="T4789" s="2"/>
      <c r="U4789" s="2"/>
      <c r="V4789" s="2"/>
      <c r="W4789" s="2"/>
      <c r="X4789" s="2"/>
      <c r="Y4789" s="2"/>
      <c r="Z4789" s="2"/>
      <c r="AA4789" s="2"/>
      <c r="AB4789" s="2"/>
      <c r="AC4789" s="2"/>
      <c r="AD4789" s="2"/>
      <c r="AE4789" s="2"/>
      <c r="AF4789" s="2"/>
      <c r="AG4789" s="2"/>
      <c r="AH4789" s="2"/>
      <c r="AI4789" s="2"/>
      <c r="AJ4789" s="2"/>
      <c r="AK4789" s="2"/>
      <c r="AL4789" s="2"/>
      <c r="AM4789" s="2"/>
      <c r="AN4789" s="2"/>
      <c r="AO4789" s="2"/>
      <c r="AP4789" s="2"/>
      <c r="AQ4789" s="2"/>
      <c r="AR4789" s="2"/>
      <c r="AS4789" s="2"/>
      <c r="AT4789" s="2"/>
      <c r="AU4789" s="2"/>
      <c r="AV4789" s="2"/>
      <c r="AW4789" s="2"/>
      <c r="AX4789" s="2"/>
      <c r="AY4789" s="2"/>
      <c r="AZ4789" s="2"/>
      <c r="BA4789" s="2"/>
      <c r="BB4789" s="2"/>
    </row>
    <row r="4790" ht="204.75" customHeight="1">
      <c r="A4790" s="1">
        <v>668.0</v>
      </c>
      <c r="B4790" s="2" t="s">
        <v>13446</v>
      </c>
      <c r="C4790" s="2">
        <f>IFERROR(__xludf.DUMMYFUNCTION("split(B4790,""_"")"),1807.0)</f>
        <v>1807</v>
      </c>
      <c r="D4790" s="2" t="str">
        <f>IFERROR(__xludf.DUMMYFUNCTION("""COMPUTED_VALUE"""),"TBS")</f>
        <v>TBS</v>
      </c>
      <c r="E4790" s="2" t="str">
        <f>IFERROR(__xludf.DUMMYFUNCTION("""COMPUTED_VALUE"""),"金22")</f>
        <v>金22</v>
      </c>
      <c r="F4790" s="2" t="s">
        <v>13447</v>
      </c>
      <c r="G4790" s="2" t="s">
        <v>13466</v>
      </c>
      <c r="H4790" s="1">
        <v>7.0</v>
      </c>
      <c r="J4790" s="1" t="s">
        <v>86</v>
      </c>
      <c r="K4790" s="2" t="s">
        <v>13467</v>
      </c>
      <c r="L4790" s="2" t="s">
        <v>13468</v>
      </c>
      <c r="M4790" s="2" t="str">
        <f>IFERROR(__xludf.DUMMYFUNCTION("split(split(K4790,""【"",false),""公式LINE"",false)"),"3年生になったわかば(土屋太鳳)たち。大事な大会を前に緊張感のある練習に励む汐里(石井杏奈)、茉希(山本舞香)らロケッツの面々。そんな中、練習帰りに麻子(佐久間由衣)は後輩の男子学生からラブレターを突然渡され大きく動揺する。妙子も家の事情で練習になかなか参加できなくなり、チームは次第にバラバラになっていく…。夢を手に入れるために、捨てないといけないのは恋か?それとも家族か?★夏は副音声祭り開催!★土屋太鳳、石井杏奈、佐久間由衣、山本舞香、朝比奈彩、大友花恋、箭内夢菜、志田彩良、清水尋也、八木莉可子、伊原六"&amp;"花、足立佳奈、堀田真由、福地桃子、小倉優香、石崎なつみ、坂ノ上茜、溝口恵、守屋ことり、佐生雪、高橋里恩、高村佳偉人、菊池明明、星田英利、夙川アトム、松本若菜、新木優子、高橋和也、紺野まひる、阿川佐和子、木下ほうか、オダギリジョー★3週連続、夏は『チア☆ダン』副音声祭り開催!★  チア☆ダンキャストが第7話の裏側をトーク!  出演:大友花恋、箭内夢菜、志田彩良、清水尋也、八木莉可子原作　映画『チア☆ダン』製作委員会脚本　渡邉真子  脚本監修　後藤法子主題歌　『輝きだして走ってく』　サンボマスター(Getti"&amp;"ng Better/Victor Entertainment)  演出:渡部篤史  プロデューサー:韓哲　協力プロデューサー:高山暢比古◇番組HP  http://www.tbs.co.jp/cheerdan_tbs/    ◇twitter  @cheerdan_tbs    https://twitter.com/cheerdan_tbs    ◇instagram  https://www.instagram.com/cheerdan_tbs/  特別協力　福井県  協力　　　一般社団法人日本チアダ"&amp;"ンス協会  　　　　　福井県立福井商業高等学校　チアリーダー部　JETS  番組の内容と放送時間は変更になる場合があります。")</f>
        <v>3年生になったわかば(土屋太鳳)たち。大事な大会を前に緊張感のある練習に励む汐里(石井杏奈)、茉希(山本舞香)らロケッツの面々。そんな中、練習帰りに麻子(佐久間由衣)は後輩の男子学生からラブレターを突然渡され大きく動揺する。妙子も家の事情で練習になかなか参加できなくなり、チームは次第にバラバラになっていく…。夢を手に入れるために、捨てないといけないのは恋か?それとも家族か?★夏は副音声祭り開催!★土屋太鳳、石井杏奈、佐久間由衣、山本舞香、朝比奈彩、大友花恋、箭内夢菜、志田彩良、清水尋也、八木莉可子、伊原六花、足立佳奈、堀田真由、福地桃子、小倉優香、石崎なつみ、坂ノ上茜、溝口恵、守屋ことり、佐生雪、高橋里恩、高村佳偉人、菊池明明、星田英利、夙川アトム、松本若菜、新木優子、高橋和也、紺野まひる、阿川佐和子、木下ほうか、オダギリジョー★3週連続、夏は『チア☆ダン』副音声祭り開催!★  チア☆ダンキャストが第7話の裏側をトーク!  出演:大友花恋、箭内夢菜、志田彩良、清水尋也、八木莉可子原作　映画『チア☆ダン』製作委員会脚本　渡邉真子  脚本監修　後藤法子主題歌　『輝きだして走ってく』　サンボマスター(Getting Better/Victor Entertainment)  演出:渡部篤史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v>
      </c>
      <c r="N4790" s="2"/>
      <c r="O4790" s="2"/>
      <c r="P4790" s="2"/>
      <c r="Q4790" s="2"/>
      <c r="R4790" s="2"/>
      <c r="S4790" s="2"/>
      <c r="T4790" s="2"/>
      <c r="U4790" s="2"/>
      <c r="V4790" s="2"/>
      <c r="W4790" s="2"/>
      <c r="X4790" s="2"/>
      <c r="Y4790" s="2"/>
      <c r="Z4790" s="2"/>
      <c r="AA4790" s="2"/>
      <c r="AB4790" s="2"/>
      <c r="AC4790" s="2"/>
      <c r="AD4790" s="2"/>
      <c r="AE4790" s="2"/>
      <c r="AF4790" s="2"/>
      <c r="AG4790" s="2"/>
      <c r="AH4790" s="2"/>
      <c r="AI4790" s="2"/>
      <c r="AJ4790" s="2"/>
      <c r="AK4790" s="2"/>
      <c r="AL4790" s="2"/>
      <c r="AM4790" s="2"/>
      <c r="AN4790" s="2"/>
      <c r="AO4790" s="2"/>
      <c r="AP4790" s="2"/>
      <c r="AQ4790" s="2"/>
      <c r="AR4790" s="2"/>
      <c r="AS4790" s="2"/>
      <c r="AT4790" s="2"/>
      <c r="AU4790" s="2"/>
      <c r="AV4790" s="2"/>
      <c r="AW4790" s="2"/>
      <c r="AX4790" s="2"/>
      <c r="AY4790" s="2"/>
      <c r="AZ4790" s="2"/>
      <c r="BA4790" s="2"/>
      <c r="BB4790" s="2"/>
    </row>
    <row r="4791" ht="204.75" customHeight="1">
      <c r="A4791" s="1">
        <v>669.0</v>
      </c>
      <c r="B4791" s="2" t="s">
        <v>13446</v>
      </c>
      <c r="C4791" s="2">
        <f>IFERROR(__xludf.DUMMYFUNCTION("split(B4791,""_"")"),1807.0)</f>
        <v>1807</v>
      </c>
      <c r="D4791" s="2" t="str">
        <f>IFERROR(__xludf.DUMMYFUNCTION("""COMPUTED_VALUE"""),"TBS")</f>
        <v>TBS</v>
      </c>
      <c r="E4791" s="2" t="str">
        <f>IFERROR(__xludf.DUMMYFUNCTION("""COMPUTED_VALUE"""),"金22")</f>
        <v>金22</v>
      </c>
      <c r="F4791" s="2" t="s">
        <v>13447</v>
      </c>
      <c r="G4791" s="2" t="s">
        <v>13469</v>
      </c>
      <c r="H4791" s="1">
        <v>8.0</v>
      </c>
      <c r="J4791" s="1" t="s">
        <v>86</v>
      </c>
      <c r="K4791" s="2" t="s">
        <v>13470</v>
      </c>
      <c r="L4791" s="2" t="s">
        <v>13471</v>
      </c>
      <c r="M4791" s="2" t="str">
        <f>IFERROR(__xludf.DUMMYFUNCTION("split(split(K4791,""【"",false),""公式LINE"",false)"),"全米制覇に向けて頑張るわかば(土屋太鳳)らだが、高校三年生になり受験や進路の事にも頭を悩ます日々。自分の将来の進路と真剣に向き合っているものもいれば、目の前のチアダンスにただただ必死に向き合っているものもいる。そんな中、汐里(石井杏奈)は、アメリカへの転勤が決まった父親から一緒に来ないかと誘われる…。土屋太鳳、石井杏奈、佐久間由衣、山本舞香、朝比奈彩、大友花恋、箭内夢菜、志田彩良、清水尋也、八木莉可子、伊原六花、足立佳奈、堀田真由、福地桃子、小倉優香、石崎なつみ、坂ノ上茜、溝口恵、守屋ことり、佐生雪、本多"&amp;"力、森矢カンナ、木原勝利、西ノ園達大、脇あかり、工藤宏二郎、津田寛治、新木優子、高橋和也、紺野まひる、阿川佐和子、木下ほうか原作　映画『チア☆ダン』製作委員会脚本　徳尾浩司  脚本協力　小田康平  脚本監修　後藤法子主題歌　『輝きだして走ってく』　サンボマスター(Getting Better/Victor Entertainment)  演出:福田亮介  プロデューサー:韓哲　協力プロデューサー:高山暢比古◇番組HP  http://www.tbs.co.jp/cheerdan_tbs/    ◇twit"&amp;"ter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f>
        <v>全米制覇に向けて頑張るわかば(土屋太鳳)らだが、高校三年生になり受験や進路の事にも頭を悩ます日々。自分の将来の進路と真剣に向き合っているものもいれば、目の前のチアダンスにただただ必死に向き合っているものもいる。そんな中、汐里(石井杏奈)は、アメリカへの転勤が決まった父親から一緒に来ないかと誘われる…。土屋太鳳、石井杏奈、佐久間由衣、山本舞香、朝比奈彩、大友花恋、箭内夢菜、志田彩良、清水尋也、八木莉可子、伊原六花、足立佳奈、堀田真由、福地桃子、小倉優香、石崎なつみ、坂ノ上茜、溝口恵、守屋ことり、佐生雪、本多力、森矢カンナ、木原勝利、西ノ園達大、脇あかり、工藤宏二郎、津田寛治、新木優子、高橋和也、紺野まひる、阿川佐和子、木下ほうか原作　映画『チア☆ダン』製作委員会脚本　徳尾浩司  脚本協力　小田康平  脚本監修　後藤法子主題歌　『輝きだして走ってく』　サンボマスター(Getting Better/Victor Entertainment)  演出:福田亮介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v>
      </c>
      <c r="N4791" s="2"/>
      <c r="O4791" s="2"/>
      <c r="P4791" s="2"/>
      <c r="Q4791" s="2"/>
      <c r="R4791" s="2"/>
      <c r="S4791" s="2"/>
      <c r="T4791" s="2"/>
      <c r="U4791" s="2"/>
      <c r="V4791" s="2"/>
      <c r="W4791" s="2"/>
      <c r="X4791" s="2"/>
      <c r="Y4791" s="2"/>
      <c r="Z4791" s="2"/>
      <c r="AA4791" s="2"/>
      <c r="AB4791" s="2"/>
      <c r="AC4791" s="2"/>
      <c r="AD4791" s="2"/>
      <c r="AE4791" s="2"/>
      <c r="AF4791" s="2"/>
      <c r="AG4791" s="2"/>
      <c r="AH4791" s="2"/>
      <c r="AI4791" s="2"/>
      <c r="AJ4791" s="2"/>
      <c r="AK4791" s="2"/>
      <c r="AL4791" s="2"/>
      <c r="AM4791" s="2"/>
      <c r="AN4791" s="2"/>
      <c r="AO4791" s="2"/>
      <c r="AP4791" s="2"/>
      <c r="AQ4791" s="2"/>
      <c r="AR4791" s="2"/>
      <c r="AS4791" s="2"/>
      <c r="AT4791" s="2"/>
      <c r="AU4791" s="2"/>
      <c r="AV4791" s="2"/>
      <c r="AW4791" s="2"/>
      <c r="AX4791" s="2"/>
      <c r="AY4791" s="2"/>
      <c r="AZ4791" s="2"/>
      <c r="BA4791" s="2"/>
      <c r="BB4791" s="2"/>
    </row>
    <row r="4792" ht="204.75" customHeight="1">
      <c r="A4792" s="1">
        <v>670.0</v>
      </c>
      <c r="B4792" s="2" t="s">
        <v>13446</v>
      </c>
      <c r="C4792" s="2">
        <f>IFERROR(__xludf.DUMMYFUNCTION("split(B4792,""_"")"),1807.0)</f>
        <v>1807</v>
      </c>
      <c r="D4792" s="2" t="str">
        <f>IFERROR(__xludf.DUMMYFUNCTION("""COMPUTED_VALUE"""),"TBS")</f>
        <v>TBS</v>
      </c>
      <c r="E4792" s="2" t="str">
        <f>IFERROR(__xludf.DUMMYFUNCTION("""COMPUTED_VALUE"""),"金22")</f>
        <v>金22</v>
      </c>
      <c r="F4792" s="2" t="s">
        <v>13447</v>
      </c>
      <c r="G4792" s="2" t="s">
        <v>13472</v>
      </c>
      <c r="H4792" s="1">
        <v>9.0</v>
      </c>
      <c r="J4792" s="1" t="s">
        <v>86</v>
      </c>
      <c r="K4792" s="2" t="s">
        <v>13473</v>
      </c>
      <c r="L4792" s="2" t="s">
        <v>13474</v>
      </c>
      <c r="M4792" s="2" t="str">
        <f>IFERROR(__xludf.DUMMYFUNCTION("split(split(K4792,""【"",false),""公式LINE"",false)"),"全国大会まで残り一ヶ月。わかば(土屋太鳳)は大きなケガを負ってしまう。打倒JETSというロケッツの夢を叶えるために、自分は大会に出場せずにチームのサポートにまわろうとするわかば。そんな時、汐里(石井杏奈)や麻子(佐久間由衣)、茉希(山本舞香)らはわかばに、もう練習に来ないで欲しいと突然言い渡す。居場所を失ってしまったわかばは、まもなく退院を迎える太郎先生(オダギリジョー)に助けを求めにいく。土屋太鳳、石井杏奈、佐久間由衣、山本舞香、朝比奈彩、大友花恋、箭内夢菜、志田彩良、清水尋也、八木莉可子、伊原六花、足"&amp;"立佳奈、堀田真由、福地桃子、小倉優香、石崎なつみ、坂ノ上茜、溝口恵、守屋ことり、佐生雪、本多力、森矢カンナ、木原勝利、高村佳偉人、野澤剣人、大須賀隼人、黒沢リコ、夙川アトム、松本若菜、新木優子、高橋和也、紺野まひる、阿川佐和子、木下ほうか、オダギリジョー原作　映画『チア☆ダン』製作委員会脚本　木村涼子  脚本監修　後藤法子主題歌　『輝きだして走ってく』　サンボマスター(Getting Better/Victor Entertainment)  演出:岡本伸吾  プロデューサー:韓哲　協力プロデューサー:高"&amp;"山暢比古◇番組HP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f>
        <v>全国大会まで残り一ヶ月。わかば(土屋太鳳)は大きなケガを負ってしまう。打倒JETSというロケッツの夢を叶えるために、自分は大会に出場せずにチームのサポートにまわろうとするわかば。そんな時、汐里(石井杏奈)や麻子(佐久間由衣)、茉希(山本舞香)らはわかばに、もう練習に来ないで欲しいと突然言い渡す。居場所を失ってしまったわかばは、まもなく退院を迎える太郎先生(オダギリジョー)に助けを求めにいく。土屋太鳳、石井杏奈、佐久間由衣、山本舞香、朝比奈彩、大友花恋、箭内夢菜、志田彩良、清水尋也、八木莉可子、伊原六花、足立佳奈、堀田真由、福地桃子、小倉優香、石崎なつみ、坂ノ上茜、溝口恵、守屋ことり、佐生雪、本多力、森矢カンナ、木原勝利、高村佳偉人、野澤剣人、大須賀隼人、黒沢リコ、夙川アトム、松本若菜、新木優子、高橋和也、紺野まひる、阿川佐和子、木下ほうか、オダギリジョー原作　映画『チア☆ダン』製作委員会脚本　木村涼子  脚本監修　後藤法子主題歌　『輝きだして走ってく』　サンボマスター(Getting Better/Victor Entertainment)  演出:岡本伸吾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v>
      </c>
      <c r="N4792" s="2"/>
      <c r="O4792" s="2"/>
      <c r="P4792" s="2"/>
      <c r="Q4792" s="2"/>
      <c r="R4792" s="2"/>
      <c r="S4792" s="2"/>
      <c r="T4792" s="2"/>
      <c r="U4792" s="2"/>
      <c r="V4792" s="2"/>
      <c r="W4792" s="2"/>
      <c r="X4792" s="2"/>
      <c r="Y4792" s="2"/>
      <c r="Z4792" s="2"/>
      <c r="AA4792" s="2"/>
      <c r="AB4792" s="2"/>
      <c r="AC4792" s="2"/>
      <c r="AD4792" s="2"/>
      <c r="AE4792" s="2"/>
      <c r="AF4792" s="2"/>
      <c r="AG4792" s="2"/>
      <c r="AH4792" s="2"/>
      <c r="AI4792" s="2"/>
      <c r="AJ4792" s="2"/>
      <c r="AK4792" s="2"/>
      <c r="AL4792" s="2"/>
      <c r="AM4792" s="2"/>
      <c r="AN4792" s="2"/>
      <c r="AO4792" s="2"/>
      <c r="AP4792" s="2"/>
      <c r="AQ4792" s="2"/>
      <c r="AR4792" s="2"/>
      <c r="AS4792" s="2"/>
      <c r="AT4792" s="2"/>
      <c r="AU4792" s="2"/>
      <c r="AV4792" s="2"/>
      <c r="AW4792" s="2"/>
      <c r="AX4792" s="2"/>
      <c r="AY4792" s="2"/>
      <c r="AZ4792" s="2"/>
      <c r="BA4792" s="2"/>
      <c r="BB4792" s="2"/>
    </row>
    <row r="4793" ht="204.75" customHeight="1">
      <c r="A4793" s="1">
        <v>671.0</v>
      </c>
      <c r="B4793" s="2" t="s">
        <v>13446</v>
      </c>
      <c r="C4793" s="2">
        <f>IFERROR(__xludf.DUMMYFUNCTION("split(B4793,""_"")"),1807.0)</f>
        <v>1807</v>
      </c>
      <c r="D4793" s="2" t="str">
        <f>IFERROR(__xludf.DUMMYFUNCTION("""COMPUTED_VALUE"""),"TBS")</f>
        <v>TBS</v>
      </c>
      <c r="E4793" s="2" t="str">
        <f>IFERROR(__xludf.DUMMYFUNCTION("""COMPUTED_VALUE"""),"金22")</f>
        <v>金22</v>
      </c>
      <c r="F4793" s="2" t="s">
        <v>13447</v>
      </c>
      <c r="G4793" s="2" t="s">
        <v>13475</v>
      </c>
      <c r="H4793" s="1">
        <v>10.0</v>
      </c>
      <c r="J4793" s="1" t="s">
        <v>86</v>
      </c>
      <c r="K4793" s="2" t="s">
        <v>13476</v>
      </c>
      <c r="L4793" s="2" t="s">
        <v>13477</v>
      </c>
      <c r="M4793" s="2" t="str">
        <f>IFERROR(__xludf.DUMMYFUNCTION("split(split(K4793,""【"",false),""公式LINE"",false)"),"夢の全米制覇へ…これが最後のダンス!!全国大会出場のため東京に降り立つわかば(土屋太鳳)らROCKETSと顧問の太郎(オダギリジョー)、あおい(新木優子)。初めての東京に浮き足立つメンバーたちは、明日に迫った全国大会に向けて、最後の練習に打ち込む。打倒JETS、全米制覇というできっこない夢に向かって走り続けてきた20人が、夢の舞台で見た奇跡の景色とは!?夢を追い続ける全ての人に捧げる涙のダンス!!土屋太鳳、石井杏奈、佐久間由衣、山本舞香、朝比奈彩、大友花恋、箭内夢菜、志田彩良、清水尋也、八木莉可子、伊原六"&amp;"花、足立佳奈、堀田真由、福地桃子、小倉優香、石崎なつみ、坂ノ上茜、溝口恵、守屋ことり、佐生雪、高橋里恩、本多力、森矢カンナ、木原勝利、高村佳偉人、遠藤健慎、宮崎京、高畠麻奈、松本若菜、新木優子、高橋和也、紺野まひる、阿川佐和子、木下ほうか、オダギリジョー原作　映画『チア☆ダン』製作委員会脚本　木村涼子  脚本監修　後藤法子主題歌　『輝きだして走ってく』　サンボマスター(Getting Better/Victor Entertainment)  演出:福田亮介  プロデューサー:韓哲　協力プロデューサー:高"&amp;"山暢比古◇番組HP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f>
        <v>夢の全米制覇へ…これが最後のダンス!!全国大会出場のため東京に降り立つわかば(土屋太鳳)らROCKETSと顧問の太郎(オダギリジョー)、あおい(新木優子)。初めての東京に浮き足立つメンバーたちは、明日に迫った全国大会に向けて、最後の練習に打ち込む。打倒JETS、全米制覇というできっこない夢に向かって走り続けてきた20人が、夢の舞台で見た奇跡の景色とは!?夢を追い続ける全ての人に捧げる涙のダンス!!土屋太鳳、石井杏奈、佐久間由衣、山本舞香、朝比奈彩、大友花恋、箭内夢菜、志田彩良、清水尋也、八木莉可子、伊原六花、足立佳奈、堀田真由、福地桃子、小倉優香、石崎なつみ、坂ノ上茜、溝口恵、守屋ことり、佐生雪、高橋里恩、本多力、森矢カンナ、木原勝利、高村佳偉人、遠藤健慎、宮崎京、高畠麻奈、松本若菜、新木優子、高橋和也、紺野まひる、阿川佐和子、木下ほうか、オダギリジョー原作　映画『チア☆ダン』製作委員会脚本　木村涼子  脚本監修　後藤法子主題歌　『輝きだして走ってく』　サンボマスター(Getting Better/Victor Entertainment)  演出:福田亮介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v>
      </c>
      <c r="N4793" s="2"/>
      <c r="O4793" s="2"/>
      <c r="P4793" s="2"/>
      <c r="Q4793" s="2"/>
      <c r="R4793" s="2"/>
      <c r="S4793" s="2"/>
      <c r="T4793" s="2"/>
      <c r="U4793" s="2"/>
      <c r="V4793" s="2"/>
      <c r="W4793" s="2"/>
      <c r="X4793" s="2"/>
      <c r="Y4793" s="2"/>
      <c r="Z4793" s="2"/>
      <c r="AA4793" s="2"/>
      <c r="AB4793" s="2"/>
      <c r="AC4793" s="2"/>
      <c r="AD4793" s="2"/>
      <c r="AE4793" s="2"/>
      <c r="AF4793" s="2"/>
      <c r="AG4793" s="2"/>
      <c r="AH4793" s="2"/>
      <c r="AI4793" s="2"/>
      <c r="AJ4793" s="2"/>
      <c r="AK4793" s="2"/>
      <c r="AL4793" s="2"/>
      <c r="AM4793" s="2"/>
      <c r="AN4793" s="2"/>
      <c r="AO4793" s="2"/>
      <c r="AP4793" s="2"/>
      <c r="AQ4793" s="2"/>
      <c r="AR4793" s="2"/>
      <c r="AS4793" s="2"/>
      <c r="AT4793" s="2"/>
      <c r="AU4793" s="2"/>
      <c r="AV4793" s="2"/>
      <c r="AW4793" s="2"/>
      <c r="AX4793" s="2"/>
      <c r="AY4793" s="2"/>
      <c r="AZ4793" s="2"/>
      <c r="BA4793" s="2"/>
      <c r="BB4793" s="2"/>
    </row>
    <row r="4794" ht="204.75" customHeight="1">
      <c r="A4794" s="1">
        <v>697.0</v>
      </c>
      <c r="B4794" s="2" t="s">
        <v>13478</v>
      </c>
      <c r="C4794" s="2">
        <f>IFERROR(__xludf.DUMMYFUNCTION("split(B4794,""_"")"),1807.0)</f>
        <v>1807</v>
      </c>
      <c r="D4794" s="2" t="str">
        <f>IFERROR(__xludf.DUMMYFUNCTION("""COMPUTED_VALUE"""),"TBS")</f>
        <v>TBS</v>
      </c>
      <c r="E4794" s="2" t="str">
        <f>IFERROR(__xludf.DUMMYFUNCTION("""COMPUTED_VALUE"""),"日21")</f>
        <v>日21</v>
      </c>
      <c r="F4794" s="2" t="s">
        <v>13479</v>
      </c>
      <c r="G4794" s="2" t="s">
        <v>13480</v>
      </c>
      <c r="H4794" s="1">
        <v>1.0</v>
      </c>
      <c r="J4794" s="1" t="s">
        <v>4</v>
      </c>
      <c r="K4794" s="2" t="s">
        <v>13481</v>
      </c>
      <c r="L4794" s="2" t="s">
        <v>13482</v>
      </c>
      <c r="M4794" s="2" t="str">
        <f>IFERROR(__xludf.DUMMYFUNCTION("split(split(K4794,""【"",false),""公式LINE"",false)"),"祖母・森田イト(宮本信子)の家で手伝いをしていたすず(松本穂香)のもとにすずを嫁に欲しいという人が実家に来ていると連絡がくる。実家へと急ぐ途中、すずは幼なじみの水原哲(村上虹郎)と出会う。その頃、北條周作(松坂桃李)とその父・円太郎(田口トモロヲ)、すずの父母(ドロンズ石本・仙道敦子)はすずの帰宅を待っていた。周作は以前にすずを見初めたというが、こっそり家の様子を覗いたすずには見覚えが全くなく…。松本穂香　松坂桃李  村上虹郎　伊藤沙莉　土村 芳　ドロンズ石本　久保田紗友　新井美羽　二階堂ふみ  &lt;現代篇"&amp;"&gt;  榮倉奈々　古舘佑太郎  尾野真千子　木野 花　塩見三省　田口トモロヲ　仙道敦子　伊藤 蘭　宮本信子こうの史代『この世界の片隅に』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@konosek"&amp;"a_tbs  https://www.instagram.com/konoseka_tbs/  番組の内容と放送時間は変更になる場合があります。")</f>
        <v>祖母・森田イト(宮本信子)の家で手伝いをしていたすず(松本穂香)のもとにすずを嫁に欲しいという人が実家に来ていると連絡がくる。実家へと急ぐ途中、すずは幼なじみの水原哲(村上虹郎)と出会う。その頃、北條周作(松坂桃李)とその父・円太郎(田口トモロヲ)、すずの父母(ドロンズ石本・仙道敦子)はすずの帰宅を待っていた。周作は以前にすずを見初めたというが、こっそり家の様子を覗いたすずには見覚えが全くなく…。松本穂香　松坂桃李  村上虹郎　伊藤沙莉　土村 芳　ドロンズ石本　久保田紗友　新井美羽　二階堂ふみ  &lt;現代篇&gt;  榮倉奈々　古舘佑太郎  尾野真千子　木野 花　塩見三省　田口トモロヲ　仙道敦子　伊藤 蘭　宮本信子こうの史代『この世界の片隅に』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v>
      </c>
      <c r="N4794" s="2"/>
      <c r="O4794" s="2"/>
      <c r="P4794" s="2"/>
      <c r="Q4794" s="2"/>
      <c r="R4794" s="2"/>
      <c r="S4794" s="2"/>
      <c r="T4794" s="2"/>
      <c r="U4794" s="2"/>
      <c r="V4794" s="2"/>
      <c r="W4794" s="2"/>
      <c r="X4794" s="2"/>
      <c r="Y4794" s="2"/>
      <c r="Z4794" s="2"/>
      <c r="AA4794" s="2"/>
      <c r="AB4794" s="2"/>
      <c r="AC4794" s="2"/>
      <c r="AD4794" s="2"/>
      <c r="AE4794" s="2"/>
      <c r="AF4794" s="2"/>
      <c r="AG4794" s="2"/>
      <c r="AH4794" s="2"/>
      <c r="AI4794" s="2"/>
      <c r="AJ4794" s="2"/>
      <c r="AK4794" s="2"/>
      <c r="AL4794" s="2"/>
      <c r="AM4794" s="2"/>
      <c r="AN4794" s="2"/>
      <c r="AO4794" s="2"/>
      <c r="AP4794" s="2"/>
      <c r="AQ4794" s="2"/>
      <c r="AR4794" s="2"/>
      <c r="AS4794" s="2"/>
      <c r="AT4794" s="2"/>
      <c r="AU4794" s="2"/>
      <c r="AV4794" s="2"/>
      <c r="AW4794" s="2"/>
      <c r="AX4794" s="2"/>
      <c r="AY4794" s="2"/>
      <c r="AZ4794" s="2"/>
      <c r="BA4794" s="2"/>
      <c r="BB4794" s="2"/>
    </row>
    <row r="4795" ht="204.75" customHeight="1">
      <c r="A4795" s="1">
        <v>698.0</v>
      </c>
      <c r="B4795" s="2" t="s">
        <v>13478</v>
      </c>
      <c r="C4795" s="2">
        <f>IFERROR(__xludf.DUMMYFUNCTION("split(B4795,""_"")"),1807.0)</f>
        <v>1807</v>
      </c>
      <c r="D4795" s="2" t="str">
        <f>IFERROR(__xludf.DUMMYFUNCTION("""COMPUTED_VALUE"""),"TBS")</f>
        <v>TBS</v>
      </c>
      <c r="E4795" s="2" t="str">
        <f>IFERROR(__xludf.DUMMYFUNCTION("""COMPUTED_VALUE"""),"日21")</f>
        <v>日21</v>
      </c>
      <c r="F4795" s="2" t="s">
        <v>13479</v>
      </c>
      <c r="G4795" s="2" t="s">
        <v>13483</v>
      </c>
      <c r="H4795" s="1">
        <v>2.0</v>
      </c>
      <c r="J4795" s="1" t="s">
        <v>4</v>
      </c>
      <c r="K4795" s="2" t="s">
        <v>13484</v>
      </c>
      <c r="L4795" s="2" t="s">
        <v>13485</v>
      </c>
      <c r="M4795" s="2" t="str">
        <f>IFERROR(__xludf.DUMMYFUNCTION("split(split(K4795,""【"",false),""公式LINE"",false)"),"結婚式から一夜明け、目覚めたすず(松本穂香)は周作(松坂桃李)の寝顔を見つめながら、結婚したことを実感する。母・キセノ(仙道敦子)に教わったように、朝食の支度をしようとするすずだが、勝手がわからず戸惑う。  そして結婚して一ヶ月が経った頃、周作の姉・径子(尾野真千子)が娘の晴美(稲垣来泉)を連れて北條家にやってくる。どうやらそれはただの里帰りではないようで・・・松本穂香　松坂桃李  村上虹郎　　伊藤沙莉　土村 芳　ドロンズ石本　久保田紗友　稲垣来泉　　二階堂ふみ  &lt;現代篇&gt;  榮倉奈々　　古舘佑太郎  "&amp;"尾野真千子　　木野 花　塩見三省　田口トモロヲ　仙道敦子　　伊藤 蘭　　宮本信子こうの史代『この世界の片隅に』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https"&amp;"://www.instagram.com/konoseka_tbs/  番組の内容と放送時間は変更になる場合があります。")</f>
        <v>結婚式から一夜明け、目覚めたすず(松本穂香)は周作(松坂桃李)の寝顔を見つめながら、結婚したことを実感する。母・キセノ(仙道敦子)に教わったように、朝食の支度をしようとするすずだが、勝手がわからず戸惑う。  そして結婚して一ヶ月が経った頃、周作の姉・径子(尾野真千子)が娘の晴美(稲垣来泉)を連れて北條家にやってくる。どうやらそれはただの里帰りではないようで・・・松本穂香　松坂桃李  村上虹郎　　伊藤沙莉　土村 芳　ドロンズ石本　久保田紗友　稲垣来泉　　二階堂ふみ  &lt;現代篇&gt;  榮倉奈々　　古舘佑太郎  尾野真千子　　木野 花　塩見三省　田口トモロヲ　仙道敦子　　伊藤 蘭　　宮本信子こうの史代『この世界の片隅に』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v>
      </c>
      <c r="N4795" s="2"/>
      <c r="O4795" s="2"/>
      <c r="P4795" s="2"/>
      <c r="Q4795" s="2"/>
      <c r="R4795" s="2"/>
      <c r="S4795" s="2"/>
      <c r="T4795" s="2"/>
      <c r="U4795" s="2"/>
      <c r="V4795" s="2"/>
      <c r="W4795" s="2"/>
      <c r="X4795" s="2"/>
      <c r="Y4795" s="2"/>
      <c r="Z4795" s="2"/>
      <c r="AA4795" s="2"/>
      <c r="AB4795" s="2"/>
      <c r="AC4795" s="2"/>
      <c r="AD4795" s="2"/>
      <c r="AE4795" s="2"/>
      <c r="AF4795" s="2"/>
      <c r="AG4795" s="2"/>
      <c r="AH4795" s="2"/>
      <c r="AI4795" s="2"/>
      <c r="AJ4795" s="2"/>
      <c r="AK4795" s="2"/>
      <c r="AL4795" s="2"/>
      <c r="AM4795" s="2"/>
      <c r="AN4795" s="2"/>
      <c r="AO4795" s="2"/>
      <c r="AP4795" s="2"/>
      <c r="AQ4795" s="2"/>
      <c r="AR4795" s="2"/>
      <c r="AS4795" s="2"/>
      <c r="AT4795" s="2"/>
      <c r="AU4795" s="2"/>
      <c r="AV4795" s="2"/>
      <c r="AW4795" s="2"/>
      <c r="AX4795" s="2"/>
      <c r="AY4795" s="2"/>
      <c r="AZ4795" s="2"/>
      <c r="BA4795" s="2"/>
      <c r="BB4795" s="2"/>
    </row>
    <row r="4796" ht="204.75" customHeight="1">
      <c r="A4796" s="1">
        <v>699.0</v>
      </c>
      <c r="B4796" s="2" t="s">
        <v>13478</v>
      </c>
      <c r="C4796" s="2">
        <f>IFERROR(__xludf.DUMMYFUNCTION("split(B4796,""_"")"),1807.0)</f>
        <v>1807</v>
      </c>
      <c r="D4796" s="2" t="str">
        <f>IFERROR(__xludf.DUMMYFUNCTION("""COMPUTED_VALUE"""),"TBS")</f>
        <v>TBS</v>
      </c>
      <c r="E4796" s="2" t="str">
        <f>IFERROR(__xludf.DUMMYFUNCTION("""COMPUTED_VALUE"""),"日21")</f>
        <v>日21</v>
      </c>
      <c r="F4796" s="2" t="s">
        <v>13479</v>
      </c>
      <c r="G4796" s="2" t="s">
        <v>13486</v>
      </c>
      <c r="H4796" s="1">
        <v>3.0</v>
      </c>
      <c r="J4796" s="1" t="s">
        <v>11</v>
      </c>
      <c r="K4796" s="2" t="s">
        <v>13487</v>
      </c>
      <c r="L4796" s="2" t="s">
        <v>13488</v>
      </c>
      <c r="M4796" s="2" t="str">
        <f>IFERROR(__xludf.DUMMYFUNCTION("split(split(K4796,""【"",false),""公式LINE"",false)"),"嫁いで3か月が過ぎ、すず(松本穂香)は周作(松坂桃李)にどんどん恋をしてしまっている自分に気づく。そんな折、小姑の径子(尾野真千子)から、周作の過去の女性に関してほのめかされ、すずの心は揺れる。  そしてある日、誤って今や貴重品である砂糖を水甕の中へ落としてしまったすず。姑のサン(伊藤蘭)からもらったへそくりを持ってヤミ市へ出掛けた帰り道、道に迷ったすずは、遊郭の遊女・リン(二階堂ふみ)と出会うー松本穂香　松坂桃李  村上虹郎　　伊藤沙莉　土村 芳　宮地雅子　竹内都子　篠原篤　稲垣来泉　　二階堂ふみ   "&amp;" 榮倉奈々&lt;現代篇&gt;　古舘佑太郎&lt;現代篇&gt;    尾野真千子　　木野 花　塩見三省　田口トモロヲ　　伊藤 蘭こうの史代『この世界の片隅に』  (双葉社刊「漫画アクション」連載)岡田惠和久石 譲演出:土井裕泰　吉田健  プロデュース:佐野亜裕美◇番組HP http://www.tbs.co.jp/konoseka_tbs/    ◇番組公式Twitter  @konoseka_tbs  https://twitter.com/konoseka_tbs/    ◇番組公式Instagram  @konosek"&amp;"a_tbs  https://www.instagram.com/konoseka_tbs/番組の内容と放送時間は変更になる場合があります。")</f>
        <v>嫁いで3か月が過ぎ、すず(松本穂香)は周作(松坂桃李)にどんどん恋をしてしまっている自分に気づく。そんな折、小姑の径子(尾野真千子)から、周作の過去の女性に関してほのめかされ、すずの心は揺れる。  そしてある日、誤って今や貴重品である砂糖を水甕の中へ落としてしまったすず。姑のサン(伊藤蘭)からもらったへそくりを持ってヤミ市へ出掛けた帰り道、道に迷ったすずは、遊郭の遊女・リン(二階堂ふみ)と出会うー松本穂香　松坂桃李  村上虹郎　　伊藤沙莉　土村 芳　宮地雅子　竹内都子　篠原篤　稲垣来泉　　二階堂ふみ    榮倉奈々&lt;現代篇&gt;　古舘佑太郎&lt;現代篇&gt;    尾野真千子　　木野 花　塩見三省　田口トモロヲ　　伊藤 蘭こうの史代『この世界の片隅に』  (双葉社刊「漫画アクション」連載)岡田惠和久石 譲演出:土井裕泰　吉田健  プロデュース:佐野亜裕美◇番組HP http://www.tbs.co.jp/konoseka_tbs/    ◇番組公式Twitter  @konoseka_tbs  https://twitter.com/konoseka_tbs/    ◇番組公式Instagram  @konoseka_tbs  https://www.instagram.com/konoseka_tbs/番組の内容と放送時間は変更になる場合があります。</v>
      </c>
      <c r="N4796" s="2"/>
      <c r="O4796" s="2"/>
      <c r="P4796" s="2"/>
      <c r="Q4796" s="2"/>
      <c r="R4796" s="2"/>
      <c r="S4796" s="2"/>
      <c r="T4796" s="2"/>
      <c r="U4796" s="2"/>
      <c r="V4796" s="2"/>
      <c r="W4796" s="2"/>
      <c r="X4796" s="2"/>
      <c r="Y4796" s="2"/>
      <c r="Z4796" s="2"/>
      <c r="AA4796" s="2"/>
      <c r="AB4796" s="2"/>
      <c r="AC4796" s="2"/>
      <c r="AD4796" s="2"/>
      <c r="AE4796" s="2"/>
      <c r="AF4796" s="2"/>
      <c r="AG4796" s="2"/>
      <c r="AH4796" s="2"/>
      <c r="AI4796" s="2"/>
      <c r="AJ4796" s="2"/>
      <c r="AK4796" s="2"/>
      <c r="AL4796" s="2"/>
      <c r="AM4796" s="2"/>
      <c r="AN4796" s="2"/>
      <c r="AO4796" s="2"/>
      <c r="AP4796" s="2"/>
      <c r="AQ4796" s="2"/>
      <c r="AR4796" s="2"/>
      <c r="AS4796" s="2"/>
      <c r="AT4796" s="2"/>
      <c r="AU4796" s="2"/>
      <c r="AV4796" s="2"/>
      <c r="AW4796" s="2"/>
      <c r="AX4796" s="2"/>
      <c r="AY4796" s="2"/>
      <c r="AZ4796" s="2"/>
      <c r="BA4796" s="2"/>
      <c r="BB4796" s="2"/>
    </row>
    <row r="4797" ht="204.75" customHeight="1">
      <c r="A4797" s="1">
        <v>700.0</v>
      </c>
      <c r="B4797" s="2" t="s">
        <v>13478</v>
      </c>
      <c r="C4797" s="2">
        <f>IFERROR(__xludf.DUMMYFUNCTION("split(B4797,""_"")"),1807.0)</f>
        <v>1807</v>
      </c>
      <c r="D4797" s="2" t="str">
        <f>IFERROR(__xludf.DUMMYFUNCTION("""COMPUTED_VALUE"""),"TBS")</f>
        <v>TBS</v>
      </c>
      <c r="E4797" s="2" t="str">
        <f>IFERROR(__xludf.DUMMYFUNCTION("""COMPUTED_VALUE"""),"日21")</f>
        <v>日21</v>
      </c>
      <c r="F4797" s="2" t="s">
        <v>13479</v>
      </c>
      <c r="G4797" s="2" t="s">
        <v>13489</v>
      </c>
      <c r="H4797" s="1">
        <v>4.0</v>
      </c>
      <c r="J4797" s="1" t="s">
        <v>11</v>
      </c>
      <c r="K4797" s="2" t="s">
        <v>13490</v>
      </c>
      <c r="L4797" s="2" t="s">
        <v>13491</v>
      </c>
      <c r="M4797" s="2" t="str">
        <f>IFERROR(__xludf.DUMMYFUNCTION("split(split(K4797,""【"",false),""公式LINE"",false)"),"体調を崩し、寝込んでしまったすず(松本穂香)。円太郎(田口トモロヲ)から、子供が出来たのではないかと言われ、喜びを隠せない周作(松坂桃李)。すずも笑顔になる。  病院へ行った帰り道、すずは再びリン(二階堂ふみ)を訪ねる。次第に友情を育んでいく二人。  そんな折、離れて暮らしている径子の息子・久夫(大山蓮斗)が北條家にやってくる。久々の再会を喜ぶ径子。久夫が訪ねて来たのにはある理由があって・・・松本穂香　松坂桃李  村上虹郎　　伊藤沙莉　土村 芳　稲垣来泉　　二階堂ふみ    榮倉奈々&lt;現代篇&gt;　　古舘佑太"&amp;"郎&lt;現代篇&gt;    尾野真千子　　田口トモロヲ　　伊藤 蘭こうの史代『この世界の片隅に』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https://www.inst"&amp;"agram.com/konoseka_tbs/  番組の内容と放送時間は変更になる場合があります。")</f>
        <v>体調を崩し、寝込んでしまったすず(松本穂香)。円太郎(田口トモロヲ)から、子供が出来たのではないかと言われ、喜びを隠せない周作(松坂桃李)。すずも笑顔になる。  病院へ行った帰り道、すずは再びリン(二階堂ふみ)を訪ねる。次第に友情を育んでいく二人。  そんな折、離れて暮らしている径子の息子・久夫(大山蓮斗)が北條家にやってくる。久々の再会を喜ぶ径子。久夫が訪ねて来たのにはある理由があって・・・松本穂香　松坂桃李  村上虹郎　　伊藤沙莉　土村 芳　稲垣来泉　　二階堂ふみ    榮倉奈々&lt;現代篇&gt;　　古舘佑太郎&lt;現代篇&gt;    尾野真千子　　田口トモロヲ　　伊藤 蘭こうの史代『この世界の片隅に』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v>
      </c>
      <c r="N4797" s="2"/>
      <c r="O4797" s="2"/>
      <c r="P4797" s="2"/>
      <c r="Q4797" s="2"/>
      <c r="R4797" s="2"/>
      <c r="S4797" s="2"/>
      <c r="T4797" s="2"/>
      <c r="U4797" s="2"/>
      <c r="V4797" s="2"/>
      <c r="W4797" s="2"/>
      <c r="X4797" s="2"/>
      <c r="Y4797" s="2"/>
      <c r="Z4797" s="2"/>
      <c r="AA4797" s="2"/>
      <c r="AB4797" s="2"/>
      <c r="AC4797" s="2"/>
      <c r="AD4797" s="2"/>
      <c r="AE4797" s="2"/>
      <c r="AF4797" s="2"/>
      <c r="AG4797" s="2"/>
      <c r="AH4797" s="2"/>
      <c r="AI4797" s="2"/>
      <c r="AJ4797" s="2"/>
      <c r="AK4797" s="2"/>
      <c r="AL4797" s="2"/>
      <c r="AM4797" s="2"/>
      <c r="AN4797" s="2"/>
      <c r="AO4797" s="2"/>
      <c r="AP4797" s="2"/>
      <c r="AQ4797" s="2"/>
      <c r="AR4797" s="2"/>
      <c r="AS4797" s="2"/>
      <c r="AT4797" s="2"/>
      <c r="AU4797" s="2"/>
      <c r="AV4797" s="2"/>
      <c r="AW4797" s="2"/>
      <c r="AX4797" s="2"/>
      <c r="AY4797" s="2"/>
      <c r="AZ4797" s="2"/>
      <c r="BA4797" s="2"/>
      <c r="BB4797" s="2"/>
    </row>
    <row r="4798" ht="204.75" customHeight="1">
      <c r="A4798" s="1">
        <v>701.0</v>
      </c>
      <c r="B4798" s="2" t="s">
        <v>13478</v>
      </c>
      <c r="C4798" s="2">
        <f>IFERROR(__xludf.DUMMYFUNCTION("split(B4798,""_"")"),1807.0)</f>
        <v>1807</v>
      </c>
      <c r="D4798" s="2" t="str">
        <f>IFERROR(__xludf.DUMMYFUNCTION("""COMPUTED_VALUE"""),"TBS")</f>
        <v>TBS</v>
      </c>
      <c r="E4798" s="2" t="str">
        <f>IFERROR(__xludf.DUMMYFUNCTION("""COMPUTED_VALUE"""),"日21")</f>
        <v>日21</v>
      </c>
      <c r="F4798" s="2" t="s">
        <v>13479</v>
      </c>
      <c r="G4798" s="2" t="s">
        <v>13492</v>
      </c>
      <c r="H4798" s="1">
        <v>5.0</v>
      </c>
      <c r="J4798" s="1" t="s">
        <v>11</v>
      </c>
      <c r="K4798" s="2" t="s">
        <v>13493</v>
      </c>
      <c r="L4798" s="2" t="s">
        <v>13494</v>
      </c>
      <c r="M4798" s="2" t="str">
        <f>IFERROR(__xludf.DUMMYFUNCTION("split(split(K4798,""【"",false),""公式LINE"",false)"),"昭和19年冬、すず(松本穂香)のもとに、突然幼馴染の水原哲(村上虹郎)が現れる。青葉という重巡洋艦に乗っている哲は、入湯上陸で呉に着き、すずに会いに来たのだった。一晩泊めて欲しいと言う哲に面食らう径子(尾野真千子)とサン(伊藤蘭)だったが、結局哲を一晩泊めることに。幼馴染である哲と仲の良さそうなすずを見て、心中穏やかではない周作(松坂桃李)。ふいに哲と二人きりになってしまった周作は・・・松本穂香　松坂桃李  村上虹郎　　伊藤沙莉　土村 芳　ドロンズ石本　久保田紗友　稲垣来泉　　二階堂ふみ    榮倉奈々&lt;"&amp;"現代篇&gt;　古舘佑太郎&lt;現代篇&gt;    尾野真千子　　木野 花　塩見三省　田口トモロヲ　仙道敦子　　伊藤 蘭　　宮本信子こうの史代『この世界の片隅に』  (双葉社刊「漫画アクション」連載)岡田惠和久石 譲演出:土井裕泰　吉田健  プロデュース:佐野亜裕美◇番組HP http://www.tbs.co.jp/konoseka_tbs/    ◇番組公式Twitter  @konoseka_tbs  https://twitter.com/konoseka_tbs/    ◇番組公式Instagram  @ko"&amp;"noseka_tbs  https://www.instagram.com/konoseka_tbs/番組の内容と放送時間は変更になる場合があります。")</f>
        <v>昭和19年冬、すず(松本穂香)のもとに、突然幼馴染の水原哲(村上虹郎)が現れる。青葉という重巡洋艦に乗っている哲は、入湯上陸で呉に着き、すずに会いに来たのだった。一晩泊めて欲しいと言う哲に面食らう径子(尾野真千子)とサン(伊藤蘭)だったが、結局哲を一晩泊めることに。幼馴染である哲と仲の良さそうなすずを見て、心中穏やかではない周作(松坂桃李)。ふいに哲と二人きりになってしまった周作は・・・松本穂香　松坂桃李  村上虹郎　　伊藤沙莉　土村 芳　ドロンズ石本　久保田紗友　稲垣来泉　　二階堂ふみ    榮倉奈々&lt;現代篇&gt;　古舘佑太郎&lt;現代篇&gt;    尾野真千子　　木野 花　塩見三省　田口トモロヲ　仙道敦子　　伊藤 蘭　　宮本信子こうの史代『この世界の片隅に』  (双葉社刊「漫画アクション」連載)岡田惠和久石 譲演出:土井裕泰　吉田健  プロデュース:佐野亜裕美◇番組HP http://www.tbs.co.jp/konoseka_tbs/    ◇番組公式Twitter  @konoseka_tbs  https://twitter.com/konoseka_tbs/    ◇番組公式Instagram  @konoseka_tbs  https://www.instagram.com/konoseka_tbs/番組の内容と放送時間は変更になる場合があります。</v>
      </c>
      <c r="N4798" s="2"/>
      <c r="O4798" s="2"/>
      <c r="P4798" s="2"/>
      <c r="Q4798" s="2"/>
      <c r="R4798" s="2"/>
      <c r="S4798" s="2"/>
      <c r="T4798" s="2"/>
      <c r="U4798" s="2"/>
      <c r="V4798" s="2"/>
      <c r="W4798" s="2"/>
      <c r="X4798" s="2"/>
      <c r="Y4798" s="2"/>
      <c r="Z4798" s="2"/>
      <c r="AA4798" s="2"/>
      <c r="AB4798" s="2"/>
      <c r="AC4798" s="2"/>
      <c r="AD4798" s="2"/>
      <c r="AE4798" s="2"/>
      <c r="AF4798" s="2"/>
      <c r="AG4798" s="2"/>
      <c r="AH4798" s="2"/>
      <c r="AI4798" s="2"/>
      <c r="AJ4798" s="2"/>
      <c r="AK4798" s="2"/>
      <c r="AL4798" s="2"/>
      <c r="AM4798" s="2"/>
      <c r="AN4798" s="2"/>
      <c r="AO4798" s="2"/>
      <c r="AP4798" s="2"/>
      <c r="AQ4798" s="2"/>
      <c r="AR4798" s="2"/>
      <c r="AS4798" s="2"/>
      <c r="AT4798" s="2"/>
      <c r="AU4798" s="2"/>
      <c r="AV4798" s="2"/>
      <c r="AW4798" s="2"/>
      <c r="AX4798" s="2"/>
      <c r="AY4798" s="2"/>
      <c r="AZ4798" s="2"/>
      <c r="BA4798" s="2"/>
      <c r="BB4798" s="2"/>
    </row>
    <row r="4799" ht="204.75" customHeight="1">
      <c r="A4799" s="1">
        <v>702.0</v>
      </c>
      <c r="B4799" s="2" t="s">
        <v>13478</v>
      </c>
      <c r="C4799" s="2">
        <f>IFERROR(__xludf.DUMMYFUNCTION("split(B4799,""_"")"),1807.0)</f>
        <v>1807</v>
      </c>
      <c r="D4799" s="2" t="str">
        <f>IFERROR(__xludf.DUMMYFUNCTION("""COMPUTED_VALUE"""),"TBS")</f>
        <v>TBS</v>
      </c>
      <c r="E4799" s="2" t="str">
        <f>IFERROR(__xludf.DUMMYFUNCTION("""COMPUTED_VALUE"""),"日21")</f>
        <v>日21</v>
      </c>
      <c r="F4799" s="2" t="s">
        <v>13479</v>
      </c>
      <c r="G4799" s="2" t="s">
        <v>13495</v>
      </c>
      <c r="H4799" s="1">
        <v>6.0</v>
      </c>
      <c r="J4799" s="1" t="s">
        <v>86</v>
      </c>
      <c r="K4799" s="2" t="s">
        <v>13496</v>
      </c>
      <c r="L4799" s="2" t="s">
        <v>13497</v>
      </c>
      <c r="M4799" s="2" t="str">
        <f>IFERROR(__xludf.DUMMYFUNCTION("split(split(K4799,""【"",false),""公式LINE"",false)"),"昭和20年4月、すず(松本穂香)と周作(松坂桃李)ら北條家一行は、お花見に出かけることに。一同とはぐれてしまったすずは、同じく花見に来ていたリン(二階堂ふみ)と出会う。桜の木に登り満開の桜を見上げる2人ー  昭和20年5月、円太郎(田口トモロヲ)の勤める広の工場が空襲にあったことが知らされる。円太郎の安否を心配するすず、周作、径子(尾野真千子)、サン(伊藤蘭)。そんな折周作にある辞令が下りていてー松本穂香　松坂桃李  伊藤沙莉　土村 芳　稲垣来泉　　二階堂ふみ    榮倉奈々&lt;現代篇&gt;　　古舘佑太郎&lt;現代"&amp;"篇&gt;    尾野真千子　　木野 花　塩見三省　田口トモロヲ　　伊藤 蘭こうの史代『この世界の片隅に』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https://ww"&amp;"w.instagram.com/konoseka_tbs/  番組の内容と放送時間は変更になる場合があります。")</f>
        <v>昭和20年4月、すず(松本穂香)と周作(松坂桃李)ら北條家一行は、お花見に出かけることに。一同とはぐれてしまったすずは、同じく花見に来ていたリン(二階堂ふみ)と出会う。桜の木に登り満開の桜を見上げる2人ー  昭和20年5月、円太郎(田口トモロヲ)の勤める広の工場が空襲にあったことが知らされる。円太郎の安否を心配するすず、周作、径子(尾野真千子)、サン(伊藤蘭)。そんな折周作にある辞令が下りていてー松本穂香　松坂桃李  伊藤沙莉　土村 芳　稲垣来泉　　二階堂ふみ    榮倉奈々&lt;現代篇&gt;　　古舘佑太郎&lt;現代篇&gt;    尾野真千子　　木野 花　塩見三省　田口トモロヲ　　伊藤 蘭こうの史代『この世界の片隅に』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v>
      </c>
      <c r="N4799" s="2"/>
      <c r="O4799" s="2"/>
      <c r="P4799" s="2"/>
      <c r="Q4799" s="2"/>
      <c r="R4799" s="2"/>
      <c r="S4799" s="2"/>
      <c r="T4799" s="2"/>
      <c r="U4799" s="2"/>
      <c r="V4799" s="2"/>
      <c r="W4799" s="2"/>
      <c r="X4799" s="2"/>
      <c r="Y4799" s="2"/>
      <c r="Z4799" s="2"/>
      <c r="AA4799" s="2"/>
      <c r="AB4799" s="2"/>
      <c r="AC4799" s="2"/>
      <c r="AD4799" s="2"/>
      <c r="AE4799" s="2"/>
      <c r="AF4799" s="2"/>
      <c r="AG4799" s="2"/>
      <c r="AH4799" s="2"/>
      <c r="AI4799" s="2"/>
      <c r="AJ4799" s="2"/>
      <c r="AK4799" s="2"/>
      <c r="AL4799" s="2"/>
      <c r="AM4799" s="2"/>
      <c r="AN4799" s="2"/>
      <c r="AO4799" s="2"/>
      <c r="AP4799" s="2"/>
      <c r="AQ4799" s="2"/>
      <c r="AR4799" s="2"/>
      <c r="AS4799" s="2"/>
      <c r="AT4799" s="2"/>
      <c r="AU4799" s="2"/>
      <c r="AV4799" s="2"/>
      <c r="AW4799" s="2"/>
      <c r="AX4799" s="2"/>
      <c r="AY4799" s="2"/>
      <c r="AZ4799" s="2"/>
      <c r="BA4799" s="2"/>
      <c r="BB4799" s="2"/>
    </row>
    <row r="4800" ht="204.75" customHeight="1">
      <c r="A4800" s="1">
        <v>703.0</v>
      </c>
      <c r="B4800" s="2" t="s">
        <v>13478</v>
      </c>
      <c r="C4800" s="2">
        <f>IFERROR(__xludf.DUMMYFUNCTION("split(B4800,""_"")"),1807.0)</f>
        <v>1807</v>
      </c>
      <c r="D4800" s="2" t="str">
        <f>IFERROR(__xludf.DUMMYFUNCTION("""COMPUTED_VALUE"""),"TBS")</f>
        <v>TBS</v>
      </c>
      <c r="E4800" s="2" t="str">
        <f>IFERROR(__xludf.DUMMYFUNCTION("""COMPUTED_VALUE"""),"日21")</f>
        <v>日21</v>
      </c>
      <c r="F4800" s="2" t="s">
        <v>13479</v>
      </c>
      <c r="G4800" s="2" t="s">
        <v>13498</v>
      </c>
      <c r="H4800" s="1">
        <v>7.0</v>
      </c>
      <c r="J4800" s="1" t="s">
        <v>11</v>
      </c>
      <c r="K4800" s="2" t="s">
        <v>13499</v>
      </c>
      <c r="L4800" s="2" t="s">
        <v>13500</v>
      </c>
      <c r="M4800" s="2" t="str">
        <f>IFERROR(__xludf.DUMMYFUNCTION("split(split(K4800,""【"",false),""公式LINE"",false)"),"目を覚ましたすず(松本穂香)。そこは北條家で・・・  すず、周作(松坂桃李)、径子(尾野真千子)ら家族に、昭和20年の夏がやってくる。松本穂香　松坂桃李  伊藤沙莉　土村 芳　ドロンズ石本　久保田紗友　稲垣来泉    榮倉奈々&lt;現代篇&gt;　古舘佑太郎&lt;現代篇&gt;　香川京子&lt;現代篇&gt;    尾野真千子　　木野 花　塩見三省　田口トモロヲ　仙道敦子　　伊藤 蘭こうの史代『この世界の片隅に』  (双葉社刊「漫画アクション」連載)  岡田惠和久石 譲演出:土井裕泰　吉田健  プロデュース:佐野亜裕美◇番組HP htt"&amp;"p://www.tbs.co.jp/konoseka_tbs/    ◇番組公式Twitter  @konoseka_tbs  https://twitter.com/konoseka_tbs/    ◇番組公式Instagram  @konoseka_tbs  https://www.instagram.com/konoseka_tbs/  番組の内容と放送時間は変更になる場合があります。")</f>
        <v>目を覚ましたすず(松本穂香)。そこは北條家で・・・  すず、周作(松坂桃李)、径子(尾野真千子)ら家族に、昭和20年の夏がやってくる。松本穂香　松坂桃李  伊藤沙莉　土村 芳　ドロンズ石本　久保田紗友　稲垣来泉    榮倉奈々&lt;現代篇&gt;　古舘佑太郎&lt;現代篇&gt;　香川京子&lt;現代篇&gt;    尾野真千子　　木野 花　塩見三省　田口トモロヲ　仙道敦子　　伊藤 蘭こうの史代『この世界の片隅に』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v>
      </c>
      <c r="N4800" s="2"/>
      <c r="O4800" s="2"/>
      <c r="P4800" s="2"/>
      <c r="Q4800" s="2"/>
      <c r="R4800" s="2"/>
      <c r="S4800" s="2"/>
      <c r="T4800" s="2"/>
      <c r="U4800" s="2"/>
      <c r="V4800" s="2"/>
      <c r="W4800" s="2"/>
      <c r="X4800" s="2"/>
      <c r="Y4800" s="2"/>
      <c r="Z4800" s="2"/>
      <c r="AA4800" s="2"/>
      <c r="AB4800" s="2"/>
      <c r="AC4800" s="2"/>
      <c r="AD4800" s="2"/>
      <c r="AE4800" s="2"/>
      <c r="AF4800" s="2"/>
      <c r="AG4800" s="2"/>
      <c r="AH4800" s="2"/>
      <c r="AI4800" s="2"/>
      <c r="AJ4800" s="2"/>
      <c r="AK4800" s="2"/>
      <c r="AL4800" s="2"/>
      <c r="AM4800" s="2"/>
      <c r="AN4800" s="2"/>
      <c r="AO4800" s="2"/>
      <c r="AP4800" s="2"/>
      <c r="AQ4800" s="2"/>
      <c r="AR4800" s="2"/>
      <c r="AS4800" s="2"/>
      <c r="AT4800" s="2"/>
      <c r="AU4800" s="2"/>
      <c r="AV4800" s="2"/>
      <c r="AW4800" s="2"/>
      <c r="AX4800" s="2"/>
      <c r="AY4800" s="2"/>
      <c r="AZ4800" s="2"/>
      <c r="BA4800" s="2"/>
      <c r="BB4800" s="2"/>
    </row>
    <row r="4801" ht="204.75" customHeight="1">
      <c r="A4801" s="1">
        <v>704.0</v>
      </c>
      <c r="B4801" s="2" t="s">
        <v>13478</v>
      </c>
      <c r="C4801" s="2">
        <f>IFERROR(__xludf.DUMMYFUNCTION("split(B4801,""_"")"),1807.0)</f>
        <v>1807</v>
      </c>
      <c r="D4801" s="2" t="str">
        <f>IFERROR(__xludf.DUMMYFUNCTION("""COMPUTED_VALUE"""),"TBS")</f>
        <v>TBS</v>
      </c>
      <c r="E4801" s="2" t="str">
        <f>IFERROR(__xludf.DUMMYFUNCTION("""COMPUTED_VALUE"""),"日21")</f>
        <v>日21</v>
      </c>
      <c r="F4801" s="2" t="s">
        <v>13479</v>
      </c>
      <c r="G4801" s="2" t="s">
        <v>13501</v>
      </c>
      <c r="H4801" s="1">
        <v>8.0</v>
      </c>
      <c r="J4801" s="1" t="s">
        <v>11</v>
      </c>
      <c r="K4801" s="2" t="s">
        <v>13502</v>
      </c>
      <c r="L4801" s="2" t="s">
        <v>13503</v>
      </c>
      <c r="M4801" s="2" t="str">
        <f>IFERROR(__xludf.DUMMYFUNCTION("split(split(K4801,""【"",false),""公式LINE"",false)"),"家族の安否を知るために、広島へ行きたい一心で髪を切ったすず(松本穂香)。いつもとは違うすずの姿に驚く径子(尾野真千子)たち。髪を切ったすずの姿に、周作(松坂桃李)も驚きを隠せない。  そんな中、昭和20年8月15日、すず、径子、サン(伊藤蘭)、そして隣組の皆も集まる中、「正午より重大放送あり」と告知されていた、ラジオの放送が始まる。松本穂香　松坂桃李  伊藤沙莉　土村 芳　宮地雅子　竹内都子　篠原篤    榮倉奈々&lt;現代篇&gt;　　古舘佑太郎&lt;現代篇&gt;  香川京子&lt;現代篇&gt;    尾野真千子　　木野 花　塩見"&amp;"三省　田口トモロヲ　　伊藤 蘭こうの史代『この世界の片隅に』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https://www.instagram.com/kono"&amp;"seka_tbs/  番組の内容と放送時間は変更になる場合があります。")</f>
        <v>家族の安否を知るために、広島へ行きたい一心で髪を切ったすず(松本穂香)。いつもとは違うすずの姿に驚く径子(尾野真千子)たち。髪を切ったすずの姿に、周作(松坂桃李)も驚きを隠せない。  そんな中、昭和20年8月15日、すず、径子、サン(伊藤蘭)、そして隣組の皆も集まる中、「正午より重大放送あり」と告知されていた、ラジオの放送が始まる。松本穂香　松坂桃李  伊藤沙莉　土村 芳　宮地雅子　竹内都子　篠原篤    榮倉奈々&lt;現代篇&gt;　　古舘佑太郎&lt;現代篇&gt;  香川京子&lt;現代篇&gt;    尾野真千子　　木野 花　塩見三省　田口トモロヲ　　伊藤 蘭こうの史代『この世界の片隅に』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v>
      </c>
      <c r="N4801" s="2"/>
      <c r="O4801" s="2"/>
      <c r="P4801" s="2"/>
      <c r="Q4801" s="2"/>
      <c r="R4801" s="2"/>
      <c r="S4801" s="2"/>
      <c r="T4801" s="2"/>
      <c r="U4801" s="2"/>
      <c r="V4801" s="2"/>
      <c r="W4801" s="2"/>
      <c r="X4801" s="2"/>
      <c r="Y4801" s="2"/>
      <c r="Z4801" s="2"/>
      <c r="AA4801" s="2"/>
      <c r="AB4801" s="2"/>
      <c r="AC4801" s="2"/>
      <c r="AD4801" s="2"/>
      <c r="AE4801" s="2"/>
      <c r="AF4801" s="2"/>
      <c r="AG4801" s="2"/>
      <c r="AH4801" s="2"/>
      <c r="AI4801" s="2"/>
      <c r="AJ4801" s="2"/>
      <c r="AK4801" s="2"/>
      <c r="AL4801" s="2"/>
      <c r="AM4801" s="2"/>
      <c r="AN4801" s="2"/>
      <c r="AO4801" s="2"/>
      <c r="AP4801" s="2"/>
      <c r="AQ4801" s="2"/>
      <c r="AR4801" s="2"/>
      <c r="AS4801" s="2"/>
      <c r="AT4801" s="2"/>
      <c r="AU4801" s="2"/>
      <c r="AV4801" s="2"/>
      <c r="AW4801" s="2"/>
      <c r="AX4801" s="2"/>
      <c r="AY4801" s="2"/>
      <c r="AZ4801" s="2"/>
      <c r="BA4801" s="2"/>
      <c r="BB4801" s="2"/>
    </row>
    <row r="4802" ht="204.75" customHeight="1">
      <c r="A4802" s="1">
        <v>705.0</v>
      </c>
      <c r="B4802" s="2" t="s">
        <v>13478</v>
      </c>
      <c r="C4802" s="2">
        <f>IFERROR(__xludf.DUMMYFUNCTION("split(B4802,""_"")"),1807.0)</f>
        <v>1807</v>
      </c>
      <c r="D4802" s="2" t="str">
        <f>IFERROR(__xludf.DUMMYFUNCTION("""COMPUTED_VALUE"""),"TBS")</f>
        <v>TBS</v>
      </c>
      <c r="E4802" s="2" t="str">
        <f>IFERROR(__xludf.DUMMYFUNCTION("""COMPUTED_VALUE"""),"日21")</f>
        <v>日21</v>
      </c>
      <c r="F4802" s="2" t="s">
        <v>13479</v>
      </c>
      <c r="G4802" s="2" t="s">
        <v>13504</v>
      </c>
      <c r="H4802" s="1">
        <v>9.0</v>
      </c>
      <c r="J4802" s="1" t="s">
        <v>11</v>
      </c>
      <c r="K4802" s="2" t="s">
        <v>13505</v>
      </c>
      <c r="L4802" s="2" t="s">
        <v>13506</v>
      </c>
      <c r="M4802" s="2" t="str">
        <f>IFERROR(__xludf.DUMMYFUNCTION("split(split(K4802,""【"",false),""公式LINE"",false)"),"昭和20年秋。径子(尾野真千子)ら家族の計らいもあり、すず(松本穂香)は妹・すみ(久保田紗友)のいる草津へと向かう。そこで祖母・イト(宮本信子)と再会するすず。  一方、任務を終えて久しぶりに北條家に帰ってきた周作(松坂桃李)は、すずを追いかけて草津へと向かうことに。松本穂香　松坂桃李  村上虹郎　伊藤沙莉　土村 芳　久保田紗友　宮地雅子　竹内都子    榮倉奈々&lt;現代篇&gt;　　古舘佑太郎&lt;現代篇&gt;  　　香川京子&lt;現代篇&gt;  尾野真千子　　木野 花　塩見三省　田口トモロヲ　　伊藤 蘭　　宮本信子こうの史代"&amp;"『この世界の片隅に』  (双葉社刊「漫画アクション」連載)岡田惠和久石 譲演出:土井裕泰　吉田健  プロデュース:佐野亜裕美◇番組HP http://www.tbs.co.jp/konoseka_tbs/    ◇番組公式Twitter  @konoseka_tbs  https://twitter.com/konoseka_tbs/    ◇番組公式Instagram  @konoseka_tbs  https://www.instagram.com/konoseka_tbs/番組の内容と放送時間は変更"&amp;"になる場合があります。")</f>
        <v>昭和20年秋。径子(尾野真千子)ら家族の計らいもあり、すず(松本穂香)は妹・すみ(久保田紗友)のいる草津へと向かう。そこで祖母・イト(宮本信子)と再会するすず。  一方、任務を終えて久しぶりに北條家に帰ってきた周作(松坂桃李)は、すずを追いかけて草津へと向かうことに。松本穂香　松坂桃李  村上虹郎　伊藤沙莉　土村 芳　久保田紗友　宮地雅子　竹内都子    榮倉奈々&lt;現代篇&gt;　　古舘佑太郎&lt;現代篇&gt;  　　香川京子&lt;現代篇&gt;  尾野真千子　　木野 花　塩見三省　田口トモロヲ　　伊藤 蘭　　宮本信子こうの史代『この世界の片隅に』  (双葉社刊「漫画アクション」連載)岡田惠和久石 譲演出:土井裕泰　吉田健  プロデュース:佐野亜裕美◇番組HP http://www.tbs.co.jp/konoseka_tbs/    ◇番組公式Twitter  @konoseka_tbs  https://twitter.com/konoseka_tbs/    ◇番組公式Instagram  @konoseka_tbs  https://www.instagram.com/konoseka_tbs/番組の内容と放送時間は変更になる場合があります。</v>
      </c>
      <c r="N4802" s="2"/>
      <c r="O4802" s="2"/>
      <c r="P4802" s="2"/>
      <c r="Q4802" s="2"/>
      <c r="R4802" s="2"/>
      <c r="S4802" s="2"/>
      <c r="T4802" s="2"/>
      <c r="U4802" s="2"/>
      <c r="V4802" s="2"/>
      <c r="W4802" s="2"/>
      <c r="X4802" s="2"/>
      <c r="Y4802" s="2"/>
      <c r="Z4802" s="2"/>
      <c r="AA4802" s="2"/>
      <c r="AB4802" s="2"/>
      <c r="AC4802" s="2"/>
      <c r="AD4802" s="2"/>
      <c r="AE4802" s="2"/>
      <c r="AF4802" s="2"/>
      <c r="AG4802" s="2"/>
      <c r="AH4802" s="2"/>
      <c r="AI4802" s="2"/>
      <c r="AJ4802" s="2"/>
      <c r="AK4802" s="2"/>
      <c r="AL4802" s="2"/>
      <c r="AM4802" s="2"/>
      <c r="AN4802" s="2"/>
      <c r="AO4802" s="2"/>
      <c r="AP4802" s="2"/>
      <c r="AQ4802" s="2"/>
      <c r="AR4802" s="2"/>
      <c r="AS4802" s="2"/>
      <c r="AT4802" s="2"/>
      <c r="AU4802" s="2"/>
      <c r="AV4802" s="2"/>
      <c r="AW4802" s="2"/>
      <c r="AX4802" s="2"/>
      <c r="AY4802" s="2"/>
      <c r="AZ4802" s="2"/>
      <c r="BA4802" s="2"/>
      <c r="BB4802" s="2"/>
    </row>
    <row r="4803" ht="204.75" customHeight="1">
      <c r="A4803" s="1">
        <v>736.0</v>
      </c>
      <c r="B4803" s="2" t="s">
        <v>13507</v>
      </c>
      <c r="C4803" s="2">
        <f>IFERROR(__xludf.DUMMYFUNCTION("split(B4803,""_"")"),1804.0)</f>
        <v>1804</v>
      </c>
      <c r="D4803" s="2" t="str">
        <f>IFERROR(__xludf.DUMMYFUNCTION("""COMPUTED_VALUE"""),"TBS")</f>
        <v>TBS</v>
      </c>
      <c r="E4803" s="2" t="str">
        <f>IFERROR(__xludf.DUMMYFUNCTION("""COMPUTED_VALUE"""),"火22")</f>
        <v>火22</v>
      </c>
      <c r="F4803" s="2" t="s">
        <v>13508</v>
      </c>
      <c r="G4803" s="2" t="s">
        <v>13509</v>
      </c>
      <c r="H4803" s="1">
        <v>1.0</v>
      </c>
      <c r="J4803" s="1" t="s">
        <v>82</v>
      </c>
      <c r="K4803" s="2" t="s">
        <v>13510</v>
      </c>
      <c r="L4803" s="2" t="s">
        <v>13511</v>
      </c>
      <c r="M4803" s="2" t="str">
        <f>IFERROR(__xludf.DUMMYFUNCTION("split(split(K4803,""【"",false),""公式LINE"",false)"),"伝説の4人組“F4""が卒業して10年、名門・英徳学園はかつての輝きを失いかけていた。高等部2年生・江戸川音(杉咲花)は、父の会社が倒産したため、母・由紀恵(菊池桃子)と二人で貧乏生活を送りながら、“隠れ庶民""として学園に通っていた。そこでカリスマとして崇められているのが、神楽木晴(平野紫耀)。父・巌(滝藤賢一)は、道明寺財閥と肩を並べる日本三大財閥の1つである神楽木ホールディングスの若き会長だ。道明寺に憧れる晴は学園に栄光を取り戻すため、正しき5人“C5(シーファイブ)""を結成。高等部に入ってからは"&amp;"、寄付金未納・学費滞納の生徒を退学させる“庶民狩り""を行っていた。その庶民狩りにおびえる音。実は彼女には、馳天馬(中川大志)という婚約者がおり、18歳まで学園にいる事が結婚の条件だった…。隠れ庶民の音と庶民狩りをしているC5の晴が最悪の出会いを果たし、物語は衝撃の展開を迎える…!杉咲花  平野紫耀(King &amp; Prince)  中川大志  濱田龍臣  飯豊まりえ  今田美桜  鈴木仁  中田圭祐    翔　  ○  反町隆史    松本潤(友情出演)  ○  木南晴夏  堀内敬子  テット・ワダ  志"&amp;"賀廣太郎  高岡早紀  滝藤賢一  菊池桃子神尾葉子  「花のち晴れ～花男 Next Season～」  (集英社「少年ジャンプ+」連載)  吉田恵里香  (「センセイ君主」「ヒロイン失格」「レオン」ほか)  ")</f>
        <v>伝説の4人組“F4"が卒業して10年、名門・英徳学園はかつての輝きを失いかけていた。高等部2年生・江戸川音(杉咲花)は、父の会社が倒産したため、母・由紀恵(菊池桃子)と二人で貧乏生活を送りながら、“隠れ庶民"として学園に通っていた。そこでカリスマとして崇められているのが、神楽木晴(平野紫耀)。父・巌(滝藤賢一)は、道明寺財閥と肩を並べる日本三大財閥の1つである神楽木ホールディングスの若き会長だ。道明寺に憧れる晴は学園に栄光を取り戻すため、正しき5人“C5(シーファイブ)"を結成。高等部に入ってからは、寄付金未納・学費滞納の生徒を退学させる“庶民狩り"を行っていた。その庶民狩りにおびえる音。実は彼女には、馳天馬(中川大志)という婚約者がおり、18歳まで学園にいる事が結婚の条件だった…。隠れ庶民の音と庶民狩りをしているC5の晴が最悪の出会いを果たし、物語は衝撃の展開を迎える…!杉咲花  平野紫耀(King &amp; Prince)  中川大志  濱田龍臣  飯豊まりえ  今田美桜  鈴木仁  中田圭祐    翔　  ○  反町隆史    松本潤(友情出演)  ○  木南晴夏  堀内敬子  テット・ワダ  志賀廣太郎  高岡早紀  滝藤賢一  菊池桃子神尾葉子  「花のち晴れ～花男 Next Season～」  (集英社「少年ジャンプ+」連載)  吉田恵里香  (「センセイ君主」「ヒロイン失格」「レオン」ほか)  </v>
      </c>
      <c r="N4803" s="2"/>
      <c r="O4803" s="2"/>
      <c r="P4803" s="2"/>
      <c r="Q4803" s="2"/>
      <c r="R4803" s="2"/>
      <c r="S4803" s="2"/>
      <c r="T4803" s="2"/>
      <c r="U4803" s="2"/>
      <c r="V4803" s="2"/>
      <c r="W4803" s="2"/>
      <c r="X4803" s="2"/>
      <c r="Y4803" s="2"/>
      <c r="Z4803" s="2"/>
      <c r="AA4803" s="2"/>
      <c r="AB4803" s="2"/>
      <c r="AC4803" s="2"/>
      <c r="AD4803" s="2"/>
      <c r="AE4803" s="2"/>
      <c r="AF4803" s="2"/>
      <c r="AG4803" s="2"/>
      <c r="AH4803" s="2"/>
      <c r="AI4803" s="2"/>
      <c r="AJ4803" s="2"/>
      <c r="AK4803" s="2"/>
      <c r="AL4803" s="2"/>
      <c r="AM4803" s="2"/>
      <c r="AN4803" s="2"/>
      <c r="AO4803" s="2"/>
      <c r="AP4803" s="2"/>
      <c r="AQ4803" s="2"/>
      <c r="AR4803" s="2"/>
      <c r="AS4803" s="2"/>
      <c r="AT4803" s="2"/>
      <c r="AU4803" s="2"/>
      <c r="AV4803" s="2"/>
      <c r="AW4803" s="2"/>
      <c r="AX4803" s="2"/>
      <c r="AY4803" s="2"/>
      <c r="AZ4803" s="2"/>
      <c r="BA4803" s="2"/>
      <c r="BB4803" s="2"/>
    </row>
    <row r="4804" ht="204.75" customHeight="1">
      <c r="A4804" s="1">
        <v>737.0</v>
      </c>
      <c r="B4804" s="2" t="s">
        <v>13507</v>
      </c>
      <c r="C4804" s="2">
        <f>IFERROR(__xludf.DUMMYFUNCTION("split(B4804,""_"")"),1804.0)</f>
        <v>1804</v>
      </c>
      <c r="D4804" s="2" t="str">
        <f>IFERROR(__xludf.DUMMYFUNCTION("""COMPUTED_VALUE"""),"TBS")</f>
        <v>TBS</v>
      </c>
      <c r="E4804" s="2" t="str">
        <f>IFERROR(__xludf.DUMMYFUNCTION("""COMPUTED_VALUE"""),"火22")</f>
        <v>火22</v>
      </c>
      <c r="F4804" s="2" t="s">
        <v>13508</v>
      </c>
      <c r="G4804" s="2" t="s">
        <v>13512</v>
      </c>
      <c r="H4804" s="1">
        <v>2.0</v>
      </c>
      <c r="J4804" s="1" t="s">
        <v>82</v>
      </c>
      <c r="K4804" s="2" t="s">
        <v>13513</v>
      </c>
      <c r="L4804" s="2" t="s">
        <v>13514</v>
      </c>
      <c r="M4804" s="2" t="str">
        <f>IFERROR(__xludf.DUMMYFUNCTION("split(split(K4804,""【"",false),""公式LINE"",false)"),"音(杉咲花)は、C5のリーダーである晴(ハルト・平野紫耀)に助けられ、そのお礼としてパンケーキデートに誘われる。そのまま道明寺邸に連れていかれてしまい、メイド頭のタマ(佐々木すみ江)と出会うことに。  一方、ライバル校である桃乃園学院の躍進は止まらず、躍進の理由を探るためC5は桃乃園に潜入する。あまりの豪華さに衝撃を受けるものの、途中で桃乃園の生徒たちにC5だとバレてしまい、ついに音の婚約者・馳天馬(中川大志)と晴が直接対決することになってしまう!けんか腰の晴に対し、親交を深めようとする天馬・・・。完全に"&amp;"天馬との格の違いを見せつけられしてしまった晴は・・・。杉咲花  平野紫耀(King &amp; Prince)  中川大志  濱田龍臣  飯豊まりえ  今田美桜  鈴木仁  中田圭祐    嘉島　陸  翔　  ○    佐々木すみ江  デビット伊東    ○  木南晴夏  堀内敬子  志賀廣太郎  高岡早紀  滝藤賢一  菊池桃子神尾葉子  「花のち晴れ～花男 Next Season～」  (集英社「少年ジャンプ+」連載)  吉田恵里香  (「センセイ君主」「ヒロイン失格」「レオン」ほか)  ")</f>
        <v>音(杉咲花)は、C5のリーダーである晴(ハルト・平野紫耀)に助けられ、そのお礼としてパンケーキデートに誘われる。そのまま道明寺邸に連れていかれてしまい、メイド頭のタマ(佐々木すみ江)と出会うことに。  一方、ライバル校である桃乃園学院の躍進は止まらず、躍進の理由を探るためC5は桃乃園に潜入する。あまりの豪華さに衝撃を受けるものの、途中で桃乃園の生徒たちにC5だとバレてしまい、ついに音の婚約者・馳天馬(中川大志)と晴が直接対決することになってしまう!けんか腰の晴に対し、親交を深めようとする天馬・・・。完全に天馬との格の違いを見せつけられしてしまった晴は・・・。杉咲花  平野紫耀(King &amp; Prince)  中川大志  濱田龍臣  飯豊まりえ  今田美桜  鈴木仁  中田圭祐    嘉島　陸  翔　  ○    佐々木すみ江  デビット伊東    ○  木南晴夏  堀内敬子  志賀廣太郎  高岡早紀  滝藤賢一  菊池桃子神尾葉子  「花のち晴れ～花男 Next Season～」  (集英社「少年ジャンプ+」連載)  吉田恵里香  (「センセイ君主」「ヒロイン失格」「レオン」ほか)  </v>
      </c>
      <c r="N4804" s="2"/>
      <c r="O4804" s="2"/>
      <c r="P4804" s="2"/>
      <c r="Q4804" s="2"/>
      <c r="R4804" s="2"/>
      <c r="S4804" s="2"/>
      <c r="T4804" s="2"/>
      <c r="U4804" s="2"/>
      <c r="V4804" s="2"/>
      <c r="W4804" s="2"/>
      <c r="X4804" s="2"/>
      <c r="Y4804" s="2"/>
      <c r="Z4804" s="2"/>
      <c r="AA4804" s="2"/>
      <c r="AB4804" s="2"/>
      <c r="AC4804" s="2"/>
      <c r="AD4804" s="2"/>
      <c r="AE4804" s="2"/>
      <c r="AF4804" s="2"/>
      <c r="AG4804" s="2"/>
      <c r="AH4804" s="2"/>
      <c r="AI4804" s="2"/>
      <c r="AJ4804" s="2"/>
      <c r="AK4804" s="2"/>
      <c r="AL4804" s="2"/>
      <c r="AM4804" s="2"/>
      <c r="AN4804" s="2"/>
      <c r="AO4804" s="2"/>
      <c r="AP4804" s="2"/>
      <c r="AQ4804" s="2"/>
      <c r="AR4804" s="2"/>
      <c r="AS4804" s="2"/>
      <c r="AT4804" s="2"/>
      <c r="AU4804" s="2"/>
      <c r="AV4804" s="2"/>
      <c r="AW4804" s="2"/>
      <c r="AX4804" s="2"/>
      <c r="AY4804" s="2"/>
      <c r="AZ4804" s="2"/>
      <c r="BA4804" s="2"/>
      <c r="BB4804" s="2"/>
    </row>
    <row r="4805" ht="204.75" customHeight="1">
      <c r="A4805" s="1">
        <v>738.0</v>
      </c>
      <c r="B4805" s="2" t="s">
        <v>13507</v>
      </c>
      <c r="C4805" s="2">
        <f>IFERROR(__xludf.DUMMYFUNCTION("split(B4805,""_"")"),1804.0)</f>
        <v>1804</v>
      </c>
      <c r="D4805" s="2" t="str">
        <f>IFERROR(__xludf.DUMMYFUNCTION("""COMPUTED_VALUE"""),"TBS")</f>
        <v>TBS</v>
      </c>
      <c r="E4805" s="2" t="str">
        <f>IFERROR(__xludf.DUMMYFUNCTION("""COMPUTED_VALUE"""),"火22")</f>
        <v>火22</v>
      </c>
      <c r="F4805" s="2" t="s">
        <v>13508</v>
      </c>
      <c r="G4805" s="2" t="s">
        <v>13515</v>
      </c>
      <c r="H4805" s="1">
        <v>3.0</v>
      </c>
      <c r="J4805" s="1" t="s">
        <v>82</v>
      </c>
      <c r="K4805" s="2" t="s">
        <v>13516</v>
      </c>
      <c r="L4805" s="2" t="s">
        <v>13517</v>
      </c>
      <c r="M4805" s="2" t="str">
        <f>IFERROR(__xludf.DUMMYFUNCTION("split(split(K4805,""【"",false),""公式LINE"",false)"),"英徳の生徒たちに音(杉咲花)が隠れ庶民であることがバレてしまう。音は晴(ハルト・平野紫耀)がバラしたと勘違いし思わず罵ってしまう。嫌がらせは本人だけでなく、母・由紀恵(菊池桃子)にまで及んでしまう。天馬(中川大志)の婚約者である事も知れ渡り迷惑をかけてしまうと思った音は、英徳を辞めるから、婚約の約束から自由になって欲しいと天馬に伝える。英徳を辞める日、生徒達に取り囲まれ、嘘をついていた事への謝罪を要求される音。それを見ていたC5だが、愛莉に焚き付けられるものの、どうしても庶民狩りをすることができない晴。エ"&amp;"スカレートした生徒達はついに音に手をあげ、万事休す!の音の前に現れたのは…!杉咲花  平野紫耀(King &amp; Prince)  中川大志  濱田龍臣  飯豊まりえ  今田美桜  鈴木仁  中田圭祐  翔    木南晴夏  堀内敬子  志賀廣太郎  高岡早紀  滝藤賢一  菊池桃子神尾葉子  「花のち晴れ～花男 Next Season～」  (集英社「少年ジャンプ+」連載)  吉田恵里香  (「センセイ君主」「ヒロイン失格」「レオン」ほか)  ")</f>
        <v>英徳の生徒たちに音(杉咲花)が隠れ庶民であることがバレてしまう。音は晴(ハルト・平野紫耀)がバラしたと勘違いし思わず罵ってしまう。嫌がらせは本人だけでなく、母・由紀恵(菊池桃子)にまで及んでしまう。天馬(中川大志)の婚約者である事も知れ渡り迷惑をかけてしまうと思った音は、英徳を辞めるから、婚約の約束から自由になって欲しいと天馬に伝える。英徳を辞める日、生徒達に取り囲まれ、嘘をついていた事への謝罪を要求される音。それを見ていたC5だが、愛莉に焚き付けられるものの、どうしても庶民狩りをすることができない晴。エスカレートした生徒達はついに音に手をあげ、万事休す!の音の前に現れたのは…!杉咲花  平野紫耀(King &amp; Prince)  中川大志  濱田龍臣  飯豊まりえ  今田美桜  鈴木仁  中田圭祐  翔    木南晴夏  堀内敬子  志賀廣太郎  高岡早紀  滝藤賢一  菊池桃子神尾葉子  「花のち晴れ～花男 Next Season～」  (集英社「少年ジャンプ+」連載)  吉田恵里香  (「センセイ君主」「ヒロイン失格」「レオン」ほか)  </v>
      </c>
      <c r="N4805" s="2"/>
      <c r="O4805" s="2"/>
      <c r="P4805" s="2"/>
      <c r="Q4805" s="2"/>
      <c r="R4805" s="2"/>
      <c r="S4805" s="2"/>
      <c r="T4805" s="2"/>
      <c r="U4805" s="2"/>
      <c r="V4805" s="2"/>
      <c r="W4805" s="2"/>
      <c r="X4805" s="2"/>
      <c r="Y4805" s="2"/>
      <c r="Z4805" s="2"/>
      <c r="AA4805" s="2"/>
      <c r="AB4805" s="2"/>
      <c r="AC4805" s="2"/>
      <c r="AD4805" s="2"/>
      <c r="AE4805" s="2"/>
      <c r="AF4805" s="2"/>
      <c r="AG4805" s="2"/>
      <c r="AH4805" s="2"/>
      <c r="AI4805" s="2"/>
      <c r="AJ4805" s="2"/>
      <c r="AK4805" s="2"/>
      <c r="AL4805" s="2"/>
      <c r="AM4805" s="2"/>
      <c r="AN4805" s="2"/>
      <c r="AO4805" s="2"/>
      <c r="AP4805" s="2"/>
      <c r="AQ4805" s="2"/>
      <c r="AR4805" s="2"/>
      <c r="AS4805" s="2"/>
      <c r="AT4805" s="2"/>
      <c r="AU4805" s="2"/>
      <c r="AV4805" s="2"/>
      <c r="AW4805" s="2"/>
      <c r="AX4805" s="2"/>
      <c r="AY4805" s="2"/>
      <c r="AZ4805" s="2"/>
      <c r="BA4805" s="2"/>
      <c r="BB4805" s="2"/>
    </row>
    <row r="4806" ht="204.75" customHeight="1">
      <c r="A4806" s="1">
        <v>739.0</v>
      </c>
      <c r="B4806" s="2" t="s">
        <v>13507</v>
      </c>
      <c r="C4806" s="2">
        <f>IFERROR(__xludf.DUMMYFUNCTION("split(B4806,""_"")"),1804.0)</f>
        <v>1804</v>
      </c>
      <c r="D4806" s="2" t="str">
        <f>IFERROR(__xludf.DUMMYFUNCTION("""COMPUTED_VALUE"""),"TBS")</f>
        <v>TBS</v>
      </c>
      <c r="E4806" s="2" t="str">
        <f>IFERROR(__xludf.DUMMYFUNCTION("""COMPUTED_VALUE"""),"火22")</f>
        <v>火22</v>
      </c>
      <c r="F4806" s="2" t="s">
        <v>13508</v>
      </c>
      <c r="G4806" s="2" t="s">
        <v>13518</v>
      </c>
      <c r="H4806" s="1">
        <v>4.0</v>
      </c>
      <c r="J4806" s="1" t="s">
        <v>82</v>
      </c>
      <c r="K4806" s="2" t="s">
        <v>13519</v>
      </c>
      <c r="L4806" s="2" t="s">
        <v>13520</v>
      </c>
      <c r="M4806" s="2" t="str">
        <f>IFERROR(__xludf.DUMMYFUNCTION("split(split(K4806,""【"",false),""公式LINE"",false)"),"紺野さん(木南晴夏)とのWデートに愛莉(今田美桜)が突然やってきて今までの行動を詫び、音(杉咲花)と友達になりたいと宣言。晴(平野紫耀)はやめておけと言うが音はそれを受け入れる。初めての友達候補と言われ、徐々に距離が近づく音と愛莉。なぜか音と晴をくっつけようとしているように見えた愛莉だが、それは実は彼女の策略で、音は出かけ先の冷蔵庫に閉じ込められてしまう。その冷蔵庫の中には天馬もいて…。閉じ込められ、寒さをしのぐ為に抱き合う二人。その様子を愛莉にプロジェクターで見させられた晴は…。杉咲花  平野紫耀(Ki"&amp;"ng &amp; Prince)  中川大志  濱田龍臣  飯豊まりえ  今田美桜  鈴木仁  中田圭祐    嘉島陸  翔  ○  反町隆史  木南晴夏  浜野謙太  堀内敬子  テット・ワダ  志賀廣太郎  高岡早紀  滝藤賢一  菊池桃子神尾葉子  「花のち晴れ～花男 Next Season～」  (集英社「少年ジャンプ+」連載)  吉田恵里香  (「センセイ君主」「ヒロイン失格」「レオン」ほか)  ")</f>
        <v>紺野さん(木南晴夏)とのWデートに愛莉(今田美桜)が突然やってきて今までの行動を詫び、音(杉咲花)と友達になりたいと宣言。晴(平野紫耀)はやめておけと言うが音はそれを受け入れる。初めての友達候補と言われ、徐々に距離が近づく音と愛莉。なぜか音と晴をくっつけようとしているように見えた愛莉だが、それは実は彼女の策略で、音は出かけ先の冷蔵庫に閉じ込められてしまう。その冷蔵庫の中には天馬もいて…。閉じ込められ、寒さをしのぐ為に抱き合う二人。その様子を愛莉にプロジェクターで見させられた晴は…。杉咲花  平野紫耀(King &amp; Prince)  中川大志  濱田龍臣  飯豊まりえ  今田美桜  鈴木仁  中田圭祐    嘉島陸  翔  ○  反町隆史  木南晴夏  浜野謙太  堀内敬子  テット・ワダ  志賀廣太郎  高岡早紀  滝藤賢一  菊池桃子神尾葉子  「花のち晴れ～花男 Next Season～」  (集英社「少年ジャンプ+」連載)  吉田恵里香  (「センセイ君主」「ヒロイン失格」「レオン」ほか)  </v>
      </c>
      <c r="N4806" s="2"/>
      <c r="O4806" s="2"/>
      <c r="P4806" s="2"/>
      <c r="Q4806" s="2"/>
      <c r="R4806" s="2"/>
      <c r="S4806" s="2"/>
      <c r="T4806" s="2"/>
      <c r="U4806" s="2"/>
      <c r="V4806" s="2"/>
      <c r="W4806" s="2"/>
      <c r="X4806" s="2"/>
      <c r="Y4806" s="2"/>
      <c r="Z4806" s="2"/>
      <c r="AA4806" s="2"/>
      <c r="AB4806" s="2"/>
      <c r="AC4806" s="2"/>
      <c r="AD4806" s="2"/>
      <c r="AE4806" s="2"/>
      <c r="AF4806" s="2"/>
      <c r="AG4806" s="2"/>
      <c r="AH4806" s="2"/>
      <c r="AI4806" s="2"/>
      <c r="AJ4806" s="2"/>
      <c r="AK4806" s="2"/>
      <c r="AL4806" s="2"/>
      <c r="AM4806" s="2"/>
      <c r="AN4806" s="2"/>
      <c r="AO4806" s="2"/>
      <c r="AP4806" s="2"/>
      <c r="AQ4806" s="2"/>
      <c r="AR4806" s="2"/>
      <c r="AS4806" s="2"/>
      <c r="AT4806" s="2"/>
      <c r="AU4806" s="2"/>
      <c r="AV4806" s="2"/>
      <c r="AW4806" s="2"/>
      <c r="AX4806" s="2"/>
      <c r="AY4806" s="2"/>
      <c r="AZ4806" s="2"/>
      <c r="BA4806" s="2"/>
      <c r="BB4806" s="2"/>
    </row>
    <row r="4807" ht="204.75" customHeight="1">
      <c r="A4807" s="1">
        <v>740.0</v>
      </c>
      <c r="B4807" s="2" t="s">
        <v>13507</v>
      </c>
      <c r="C4807" s="2">
        <f>IFERROR(__xludf.DUMMYFUNCTION("split(B4807,""_"")"),1804.0)</f>
        <v>1804</v>
      </c>
      <c r="D4807" s="2" t="str">
        <f>IFERROR(__xludf.DUMMYFUNCTION("""COMPUTED_VALUE"""),"TBS")</f>
        <v>TBS</v>
      </c>
      <c r="E4807" s="2" t="str">
        <f>IFERROR(__xludf.DUMMYFUNCTION("""COMPUTED_VALUE"""),"火22")</f>
        <v>火22</v>
      </c>
      <c r="F4807" s="2" t="s">
        <v>13508</v>
      </c>
      <c r="G4807" s="2" t="s">
        <v>13521</v>
      </c>
      <c r="H4807" s="1">
        <v>5.0</v>
      </c>
      <c r="J4807" s="1" t="s">
        <v>82</v>
      </c>
      <c r="K4807" s="2" t="s">
        <v>13522</v>
      </c>
      <c r="L4807" s="2" t="s">
        <v>13523</v>
      </c>
      <c r="M4807" s="2" t="str">
        <f>IFERROR(__xludf.DUMMYFUNCTION("split(split(K4807,""【"",false),""公式LINE"",false)"),"音(杉咲花)はパーティーで人気モデル・メグリン(飯豊まりえ)が晴(平野紫耀)に迫っているところを見てしまい、好きではないと言いながらも嫉妬する。一方、晴は偶然メグリンの裸を見てしまい、その事が音にバレないか気が気ではない。翌日晴は音へ告白する事を決意。道明寺邸へのデートに誘うものの、突如メグリンが現れ、積極的にアプローチする姿を見て、音は追いかけてきた晴を拒絶。さらに天馬の継母・利恵(高岡早紀)から晴との仲むつまじい写真が送られてきて、今度は由紀恵(菊池桃子)に八つ当たりしてしまう音。写真の件を知り、なぐ"&amp;"さめにきた天馬(中川大志)にも「ほっておいて!」と感情をぶつけてしまい・・・。杉咲花  平野紫耀(King &amp; Prince)  中川大志  濱田龍臣  飯豊まりえ  今田美桜  鈴木仁  中田圭祐    嘉島陸  翔  ○  反町隆史  木南晴夏  堀内敬子  テット・ワダ  志賀廣太郎  高岡早紀  滝藤賢一  菊池桃子神尾葉子  「花のち晴れ～花男 Next Season～」  (集英社「少年ジャンプ+」連載)  吉田恵里香  (「センセイ君主」「ヒロイン失格」「レオン」ほか)  ")</f>
        <v>音(杉咲花)はパーティーで人気モデル・メグリン(飯豊まりえ)が晴(平野紫耀)に迫っているところを見てしまい、好きではないと言いながらも嫉妬する。一方、晴は偶然メグリンの裸を見てしまい、その事が音にバレないか気が気ではない。翌日晴は音へ告白する事を決意。道明寺邸へのデートに誘うものの、突如メグリンが現れ、積極的にアプローチする姿を見て、音は追いかけてきた晴を拒絶。さらに天馬の継母・利恵(高岡早紀)から晴との仲むつまじい写真が送られてきて、今度は由紀恵(菊池桃子)に八つ当たりしてしまう音。写真の件を知り、なぐさめにきた天馬(中川大志)にも「ほっておいて!」と感情をぶつけてしまい・・・。杉咲花  平野紫耀(King &amp; Prince)  中川大志  濱田龍臣  飯豊まりえ  今田美桜  鈴木仁  中田圭祐    嘉島陸  翔  ○  反町隆史  木南晴夏  堀内敬子  テット・ワダ  志賀廣太郎  高岡早紀  滝藤賢一  菊池桃子神尾葉子  「花のち晴れ～花男 Next Season～」  (集英社「少年ジャンプ+」連載)  吉田恵里香  (「センセイ君主」「ヒロイン失格」「レオン」ほか)  </v>
      </c>
      <c r="N4807" s="2"/>
      <c r="O4807" s="2"/>
      <c r="P4807" s="2"/>
      <c r="Q4807" s="2"/>
      <c r="R4807" s="2"/>
      <c r="S4807" s="2"/>
      <c r="T4807" s="2"/>
      <c r="U4807" s="2"/>
      <c r="V4807" s="2"/>
      <c r="W4807" s="2"/>
      <c r="X4807" s="2"/>
      <c r="Y4807" s="2"/>
      <c r="Z4807" s="2"/>
      <c r="AA4807" s="2"/>
      <c r="AB4807" s="2"/>
      <c r="AC4807" s="2"/>
      <c r="AD4807" s="2"/>
      <c r="AE4807" s="2"/>
      <c r="AF4807" s="2"/>
      <c r="AG4807" s="2"/>
      <c r="AH4807" s="2"/>
      <c r="AI4807" s="2"/>
      <c r="AJ4807" s="2"/>
      <c r="AK4807" s="2"/>
      <c r="AL4807" s="2"/>
      <c r="AM4807" s="2"/>
      <c r="AN4807" s="2"/>
      <c r="AO4807" s="2"/>
      <c r="AP4807" s="2"/>
      <c r="AQ4807" s="2"/>
      <c r="AR4807" s="2"/>
      <c r="AS4807" s="2"/>
      <c r="AT4807" s="2"/>
      <c r="AU4807" s="2"/>
      <c r="AV4807" s="2"/>
      <c r="AW4807" s="2"/>
      <c r="AX4807" s="2"/>
      <c r="AY4807" s="2"/>
      <c r="AZ4807" s="2"/>
      <c r="BA4807" s="2"/>
      <c r="BB4807" s="2"/>
    </row>
    <row r="4808" ht="204.75" customHeight="1">
      <c r="A4808" s="1">
        <v>741.0</v>
      </c>
      <c r="B4808" s="2" t="s">
        <v>13507</v>
      </c>
      <c r="C4808" s="2">
        <f>IFERROR(__xludf.DUMMYFUNCTION("split(B4808,""_"")"),1804.0)</f>
        <v>1804</v>
      </c>
      <c r="D4808" s="2" t="str">
        <f>IFERROR(__xludf.DUMMYFUNCTION("""COMPUTED_VALUE"""),"TBS")</f>
        <v>TBS</v>
      </c>
      <c r="E4808" s="2" t="str">
        <f>IFERROR(__xludf.DUMMYFUNCTION("""COMPUTED_VALUE"""),"火22")</f>
        <v>火22</v>
      </c>
      <c r="F4808" s="2" t="s">
        <v>13508</v>
      </c>
      <c r="G4808" s="2" t="s">
        <v>13524</v>
      </c>
      <c r="H4808" s="1">
        <v>6.0</v>
      </c>
      <c r="J4808" s="1" t="s">
        <v>82</v>
      </c>
      <c r="K4808" s="2" t="s">
        <v>13525</v>
      </c>
      <c r="L4808" s="2" t="s">
        <v>13526</v>
      </c>
      <c r="M4808" s="2" t="str">
        <f>IFERROR(__xludf.DUMMYFUNCTION("split(split(K4808,""【"",false),""公式LINE"",false)"),"音(杉咲花)が天馬(中川大志)に婚約者にも関わらず「告白」している現場に居合わせてしまった晴(平野紫耀)。その様子を見ていたメグリン(飯豊まりえ)は翌日英徳学園に転校してくる。ひょんなことから音&amp;天馬、晴&amp;メグリンのWデートになり、観覧車で二人きりとなってしまった音と晴。そこでイラついていた晴は音に「俺のことをもてあそぶな!」と怒鳴ってしまう。晴の気持ちにようやく気づいた音はデート後、晴の元へ…。一方転校してきたメグリンを見た海斗は晴に「英徳の為にメグリンと向き合え」と強要する。父・巌からは「音は神楽木家"&amp;"にふさわしくない」と叱責されてしまい、恋愛は努力だけではどうにもならないことを悟る。杉咲花  平野紫耀(King &amp; Prince)  中川大志  濱田龍臣  飯豊まりえ  今田美桜  鈴木仁  中田圭祐    嘉島陸  翔　  ○  反町隆史  木南晴夏  堀内敬子  テット・ワダ  志賀廣太郎  高岡早紀  滝藤賢一  菊池桃子神尾葉子  「花のち晴れ～花男 Next Season～」  (集英社「少年ジャンプ+」連載)  吉田恵里香  (「センセイ君主」「ヒロイン失格」「レオン」ほか)  ")</f>
        <v>音(杉咲花)が天馬(中川大志)に婚約者にも関わらず「告白」している現場に居合わせてしまった晴(平野紫耀)。その様子を見ていたメグリン(飯豊まりえ)は翌日英徳学園に転校してくる。ひょんなことから音&amp;天馬、晴&amp;メグリンのWデートになり、観覧車で二人きりとなってしまった音と晴。そこでイラついていた晴は音に「俺のことをもてあそぶな!」と怒鳴ってしまう。晴の気持ちにようやく気づいた音はデート後、晴の元へ…。一方転校してきたメグリンを見た海斗は晴に「英徳の為にメグリンと向き合え」と強要する。父・巌からは「音は神楽木家にふさわしくない」と叱責されてしまい、恋愛は努力だけではどうにもならないことを悟る。杉咲花  平野紫耀(King &amp; Prince)  中川大志  濱田龍臣  飯豊まりえ  今田美桜  鈴木仁  中田圭祐    嘉島陸  翔　  ○  反町隆史  木南晴夏  堀内敬子  テット・ワダ  志賀廣太郎  高岡早紀  滝藤賢一  菊池桃子神尾葉子  「花のち晴れ～花男 Next Season～」  (集英社「少年ジャンプ+」連載)  吉田恵里香  (「センセイ君主」「ヒロイン失格」「レオン」ほか)  </v>
      </c>
      <c r="N4808" s="2"/>
      <c r="O4808" s="2"/>
      <c r="P4808" s="2"/>
      <c r="Q4808" s="2"/>
      <c r="R4808" s="2"/>
      <c r="S4808" s="2"/>
      <c r="T4808" s="2"/>
      <c r="U4808" s="2"/>
      <c r="V4808" s="2"/>
      <c r="W4808" s="2"/>
      <c r="X4808" s="2"/>
      <c r="Y4808" s="2"/>
      <c r="Z4808" s="2"/>
      <c r="AA4808" s="2"/>
      <c r="AB4808" s="2"/>
      <c r="AC4808" s="2"/>
      <c r="AD4808" s="2"/>
      <c r="AE4808" s="2"/>
      <c r="AF4808" s="2"/>
      <c r="AG4808" s="2"/>
      <c r="AH4808" s="2"/>
      <c r="AI4808" s="2"/>
      <c r="AJ4808" s="2"/>
      <c r="AK4808" s="2"/>
      <c r="AL4808" s="2"/>
      <c r="AM4808" s="2"/>
      <c r="AN4808" s="2"/>
      <c r="AO4808" s="2"/>
      <c r="AP4808" s="2"/>
      <c r="AQ4808" s="2"/>
      <c r="AR4808" s="2"/>
      <c r="AS4808" s="2"/>
      <c r="AT4808" s="2"/>
      <c r="AU4808" s="2"/>
      <c r="AV4808" s="2"/>
      <c r="AW4808" s="2"/>
      <c r="AX4808" s="2"/>
      <c r="AY4808" s="2"/>
      <c r="AZ4808" s="2"/>
      <c r="BA4808" s="2"/>
      <c r="BB4808" s="2"/>
    </row>
    <row r="4809" ht="204.75" customHeight="1">
      <c r="A4809" s="1">
        <v>742.0</v>
      </c>
      <c r="B4809" s="2" t="s">
        <v>13507</v>
      </c>
      <c r="C4809" s="2">
        <f>IFERROR(__xludf.DUMMYFUNCTION("split(B4809,""_"")"),1804.0)</f>
        <v>1804</v>
      </c>
      <c r="D4809" s="2" t="str">
        <f>IFERROR(__xludf.DUMMYFUNCTION("""COMPUTED_VALUE"""),"TBS")</f>
        <v>TBS</v>
      </c>
      <c r="E4809" s="2" t="str">
        <f>IFERROR(__xludf.DUMMYFUNCTION("""COMPUTED_VALUE"""),"火22")</f>
        <v>火22</v>
      </c>
      <c r="F4809" s="2" t="s">
        <v>13508</v>
      </c>
      <c r="G4809" s="2" t="s">
        <v>13527</v>
      </c>
      <c r="H4809" s="1">
        <v>7.0</v>
      </c>
      <c r="J4809" s="1" t="s">
        <v>82</v>
      </c>
      <c r="K4809" s="2" t="s">
        <v>13528</v>
      </c>
      <c r="L4809" s="2" t="s">
        <v>13529</v>
      </c>
      <c r="M4809" s="2" t="str">
        <f>IFERROR(__xludf.DUMMYFUNCTION("split(split(K4809,""【"",false),""公式LINE"",false)"),"天馬(中川大志)に勧められ桃乃園転入を決めた音(杉咲花)。一方完全に振られた晴(平野紫耀)は落ち込むものの、久しぶりに父・巌(滝藤賢一)と食事に出かけ、ようやく認められたと嬉しくなる。しかしそれはホテルチェーンの娘であるメグリン(飯豊まりえ)との婚約話を進めるためだった。晴が行方不明になったと聞いた音は道明寺邸に行くと、案の定晴がおり、二人はお茶に誘われタマと西田から道明寺の過去を聞くことになる。後日、一茶(鈴木仁)と杉丸(中田圭祐)からC5結成秘話を聞き、音は晴の別の一面を知るのだが…。杉咲花  平野紫"&amp;"耀(King &amp; Prince)  中川大志  濱田龍臣  飯豊まりえ  今田美桜  鈴木仁  中田圭祐    嘉島陸  翔  吉村界人  ○    佐々木すみ江  デビット伊東    ○  木南晴夏  堀内敬子  テット・ワダ  志賀廣太郎  高岡早紀  滝藤賢一  菊池桃子神尾葉子  「花のち晴れ～花男 Next Season～」  (集英社「少年ジャンプ+」連載)  吉田恵里香  (「センセイ君主」「ヒロイン失格」「レオン」ほか)  ")</f>
        <v>天馬(中川大志)に勧められ桃乃園転入を決めた音(杉咲花)。一方完全に振られた晴(平野紫耀)は落ち込むものの、久しぶりに父・巌(滝藤賢一)と食事に出かけ、ようやく認められたと嬉しくなる。しかしそれはホテルチェーンの娘であるメグリン(飯豊まりえ)との婚約話を進めるためだった。晴が行方不明になったと聞いた音は道明寺邸に行くと、案の定晴がおり、二人はお茶に誘われタマと西田から道明寺の過去を聞くことになる。後日、一茶(鈴木仁)と杉丸(中田圭祐)からC5結成秘話を聞き、音は晴の別の一面を知るのだが…。杉咲花  平野紫耀(King &amp; Prince)  中川大志  濱田龍臣  飯豊まりえ  今田美桜  鈴木仁  中田圭祐    嘉島陸  翔  吉村界人  ○    佐々木すみ江  デビット伊東    ○  木南晴夏  堀内敬子  テット・ワダ  志賀廣太郎  高岡早紀  滝藤賢一  菊池桃子神尾葉子  「花のち晴れ～花男 Next Season～」  (集英社「少年ジャンプ+」連載)  吉田恵里香  (「センセイ君主」「ヒロイン失格」「レオン」ほか)  </v>
      </c>
      <c r="N4809" s="2"/>
      <c r="O4809" s="2"/>
      <c r="P4809" s="2"/>
      <c r="Q4809" s="2"/>
      <c r="R4809" s="2"/>
      <c r="S4809" s="2"/>
      <c r="T4809" s="2"/>
      <c r="U4809" s="2"/>
      <c r="V4809" s="2"/>
      <c r="W4809" s="2"/>
      <c r="X4809" s="2"/>
      <c r="Y4809" s="2"/>
      <c r="Z4809" s="2"/>
      <c r="AA4809" s="2"/>
      <c r="AB4809" s="2"/>
      <c r="AC4809" s="2"/>
      <c r="AD4809" s="2"/>
      <c r="AE4809" s="2"/>
      <c r="AF4809" s="2"/>
      <c r="AG4809" s="2"/>
      <c r="AH4809" s="2"/>
      <c r="AI4809" s="2"/>
      <c r="AJ4809" s="2"/>
      <c r="AK4809" s="2"/>
      <c r="AL4809" s="2"/>
      <c r="AM4809" s="2"/>
      <c r="AN4809" s="2"/>
      <c r="AO4809" s="2"/>
      <c r="AP4809" s="2"/>
      <c r="AQ4809" s="2"/>
      <c r="AR4809" s="2"/>
      <c r="AS4809" s="2"/>
      <c r="AT4809" s="2"/>
      <c r="AU4809" s="2"/>
      <c r="AV4809" s="2"/>
      <c r="AW4809" s="2"/>
      <c r="AX4809" s="2"/>
      <c r="AY4809" s="2"/>
      <c r="AZ4809" s="2"/>
      <c r="BA4809" s="2"/>
      <c r="BB4809" s="2"/>
    </row>
    <row r="4810" ht="204.75" customHeight="1">
      <c r="A4810" s="1">
        <v>743.0</v>
      </c>
      <c r="B4810" s="2" t="s">
        <v>13507</v>
      </c>
      <c r="C4810" s="2">
        <f>IFERROR(__xludf.DUMMYFUNCTION("split(B4810,""_"")"),1804.0)</f>
        <v>1804</v>
      </c>
      <c r="D4810" s="2" t="str">
        <f>IFERROR(__xludf.DUMMYFUNCTION("""COMPUTED_VALUE"""),"TBS")</f>
        <v>TBS</v>
      </c>
      <c r="E4810" s="2" t="str">
        <f>IFERROR(__xludf.DUMMYFUNCTION("""COMPUTED_VALUE"""),"火22")</f>
        <v>火22</v>
      </c>
      <c r="F4810" s="2" t="s">
        <v>13508</v>
      </c>
      <c r="G4810" s="2" t="s">
        <v>13530</v>
      </c>
      <c r="H4810" s="1">
        <v>8.0</v>
      </c>
      <c r="J4810" s="1" t="s">
        <v>82</v>
      </c>
      <c r="K4810" s="2" t="s">
        <v>13531</v>
      </c>
      <c r="L4810" s="2" t="s">
        <v>13532</v>
      </c>
      <c r="M4810" s="2" t="str">
        <f>IFERROR(__xludf.DUMMYFUNCTION("split(split(K4810,""【"",false),""公式LINE"",false)"),"音(杉咲花)と晴(平野紫耀)は友達として向き合って行く事に。晴はメグリン(飯豊まりえ)を「彼女(仮)」とし、音と晴はお互い素敵なカップルになろうと誓う。ある日音と天馬(中川大志)の映画デートに合流する事になった晴とメグリン。そこで音と晴の仲の良さを見て、不安になってしまうメグリンだが、晴の為に英徳を盛り上げようと自分の誕生パーティーを企画する。しかし、同日に馳&amp;江戸川両家で食事会が開かれる事に…。その食事会は桃乃園への転入を延期した音が、果たして天馬の婚約者として相応しいのかどうかを見極める場だった。音は"&amp;"メグリンの招待を断り、食事会に向かおうとするが…。杉咲花  平野紫耀(King &amp; Prince)  中川大志  濱田龍臣  飯豊まりえ  今田美桜  鈴木仁  中田圭祐    嘉島陸  翔  ○  木南晴夏  堀内敬子  テット・ワダ  志賀廣太郎  高岡早紀  滝藤賢一  菊池桃子神尾葉子  「花のち晴れ～花男 Next Season～」  (集英社「少年ジャンプ+」連載)  吉田恵里香  (「センセイ君主」「ヒロイン失格」「レオン」ほか)  ")</f>
        <v>音(杉咲花)と晴(平野紫耀)は友達として向き合って行く事に。晴はメグリン(飯豊まりえ)を「彼女(仮)」とし、音と晴はお互い素敵なカップルになろうと誓う。ある日音と天馬(中川大志)の映画デートに合流する事になった晴とメグリン。そこで音と晴の仲の良さを見て、不安になってしまうメグリンだが、晴の為に英徳を盛り上げようと自分の誕生パーティーを企画する。しかし、同日に馳&amp;江戸川両家で食事会が開かれる事に…。その食事会は桃乃園への転入を延期した音が、果たして天馬の婚約者として相応しいのかどうかを見極める場だった。音はメグリンの招待を断り、食事会に向かおうとするが…。杉咲花  平野紫耀(King &amp; Prince)  中川大志  濱田龍臣  飯豊まりえ  今田美桜  鈴木仁  中田圭祐    嘉島陸  翔  ○  木南晴夏  堀内敬子  テット・ワダ  志賀廣太郎  高岡早紀  滝藤賢一  菊池桃子神尾葉子  「花のち晴れ～花男 Next Season～」  (集英社「少年ジャンプ+」連載)  吉田恵里香  (「センセイ君主」「ヒロイン失格」「レオン」ほか)  </v>
      </c>
      <c r="N4810" s="2"/>
      <c r="O4810" s="2"/>
      <c r="P4810" s="2"/>
      <c r="Q4810" s="2"/>
      <c r="R4810" s="2"/>
      <c r="S4810" s="2"/>
      <c r="T4810" s="2"/>
      <c r="U4810" s="2"/>
      <c r="V4810" s="2"/>
      <c r="W4810" s="2"/>
      <c r="X4810" s="2"/>
      <c r="Y4810" s="2"/>
      <c r="Z4810" s="2"/>
      <c r="AA4810" s="2"/>
      <c r="AB4810" s="2"/>
      <c r="AC4810" s="2"/>
      <c r="AD4810" s="2"/>
      <c r="AE4810" s="2"/>
      <c r="AF4810" s="2"/>
      <c r="AG4810" s="2"/>
      <c r="AH4810" s="2"/>
      <c r="AI4810" s="2"/>
      <c r="AJ4810" s="2"/>
      <c r="AK4810" s="2"/>
      <c r="AL4810" s="2"/>
      <c r="AM4810" s="2"/>
      <c r="AN4810" s="2"/>
      <c r="AO4810" s="2"/>
      <c r="AP4810" s="2"/>
      <c r="AQ4810" s="2"/>
      <c r="AR4810" s="2"/>
      <c r="AS4810" s="2"/>
      <c r="AT4810" s="2"/>
      <c r="AU4810" s="2"/>
      <c r="AV4810" s="2"/>
      <c r="AW4810" s="2"/>
      <c r="AX4810" s="2"/>
      <c r="AY4810" s="2"/>
      <c r="AZ4810" s="2"/>
      <c r="BA4810" s="2"/>
      <c r="BB4810" s="2"/>
    </row>
    <row r="4811" ht="204.75" customHeight="1">
      <c r="A4811" s="1">
        <v>744.0</v>
      </c>
      <c r="B4811" s="2" t="s">
        <v>13507</v>
      </c>
      <c r="C4811" s="2">
        <f>IFERROR(__xludf.DUMMYFUNCTION("split(B4811,""_"")"),1804.0)</f>
        <v>1804</v>
      </c>
      <c r="D4811" s="2" t="str">
        <f>IFERROR(__xludf.DUMMYFUNCTION("""COMPUTED_VALUE"""),"TBS")</f>
        <v>TBS</v>
      </c>
      <c r="E4811" s="2" t="str">
        <f>IFERROR(__xludf.DUMMYFUNCTION("""COMPUTED_VALUE"""),"火22")</f>
        <v>火22</v>
      </c>
      <c r="F4811" s="2" t="s">
        <v>13508</v>
      </c>
      <c r="G4811" s="2" t="s">
        <v>13533</v>
      </c>
      <c r="H4811" s="1">
        <v>9.0</v>
      </c>
      <c r="J4811" s="1" t="s">
        <v>82</v>
      </c>
      <c r="K4811" s="2" t="s">
        <v>13534</v>
      </c>
      <c r="L4811" s="2" t="s">
        <v>13535</v>
      </c>
      <c r="M4811" s="2" t="str">
        <f>IFERROR(__xludf.DUMMYFUNCTION("split(split(K4811,""【"",false),""公式LINE"",false)"),"音(杉咲花)が何者かに襲われ、天馬(中川大志)は心配し、晴(平野紫耀)にも報告すべきと助言。しかし音はメグリン(飯豊まりえ)との初デート計画をしている晴には伝えずにいた。そして偶然にも事件を裏で操っていた犯人を知ってしまう音。天馬に事実を伝えるが、信じてもらえずにショックを受ける。だが晴は音の前で「そんなの一択だろ!好きな女の言うことを信じなくてどうする!」と天馬に掴みかかり…。その夜家を訪ねてきた天馬に音を諦めないと伝える晴。そこに父・巌が現れ、二人にある提案を持ちかける。歯車が狂い始め追い詰められた天"&amp;"馬は、その提案に乗る決意を固める。一方、晴の決断は…。杉咲花  平野紫耀(King &amp; Prince)  中川大志  濱田龍臣  飯豊まりえ  今田美桜  鈴木仁  中田圭祐    嘉島陸  翔　  ○  佐々木すみ江  デビット伊東  ○  木南晴夏  堀内敬子  テット・ワダ  志賀廣太郎  高岡早紀  滝藤賢一  菊池桃子神尾葉子  「花のち晴れ～花男 Next Season～」  (集英社「少年ジャンプ+」連載)  吉田恵里香  (「センセイ君主」「ヒロイン失格」「レオン」ほか)  ")</f>
        <v>音(杉咲花)が何者かに襲われ、天馬(中川大志)は心配し、晴(平野紫耀)にも報告すべきと助言。しかし音はメグリン(飯豊まりえ)との初デート計画をしている晴には伝えずにいた。そして偶然にも事件を裏で操っていた犯人を知ってしまう音。天馬に事実を伝えるが、信じてもらえずにショックを受ける。だが晴は音の前で「そんなの一択だろ!好きな女の言うことを信じなくてどうする!」と天馬に掴みかかり…。その夜家を訪ねてきた天馬に音を諦めないと伝える晴。そこに父・巌が現れ、二人にある提案を持ちかける。歯車が狂い始め追い詰められた天馬は、その提案に乗る決意を固める。一方、晴の決断は…。杉咲花  平野紫耀(King &amp; Prince)  中川大志  濱田龍臣  飯豊まりえ  今田美桜  鈴木仁  中田圭祐    嘉島陸  翔　  ○  佐々木すみ江  デビット伊東  ○  木南晴夏  堀内敬子  テット・ワダ  志賀廣太郎  高岡早紀  滝藤賢一  菊池桃子神尾葉子  「花のち晴れ～花男 Next Season～」  (集英社「少年ジャンプ+」連載)  吉田恵里香  (「センセイ君主」「ヒロイン失格」「レオン」ほか)  </v>
      </c>
      <c r="N4811" s="2"/>
      <c r="O4811" s="2"/>
      <c r="P4811" s="2"/>
      <c r="Q4811" s="2"/>
      <c r="R4811" s="2"/>
      <c r="S4811" s="2"/>
      <c r="T4811" s="2"/>
      <c r="U4811" s="2"/>
      <c r="V4811" s="2"/>
      <c r="W4811" s="2"/>
      <c r="X4811" s="2"/>
      <c r="Y4811" s="2"/>
      <c r="Z4811" s="2"/>
      <c r="AA4811" s="2"/>
      <c r="AB4811" s="2"/>
      <c r="AC4811" s="2"/>
      <c r="AD4811" s="2"/>
      <c r="AE4811" s="2"/>
      <c r="AF4811" s="2"/>
      <c r="AG4811" s="2"/>
      <c r="AH4811" s="2"/>
      <c r="AI4811" s="2"/>
      <c r="AJ4811" s="2"/>
      <c r="AK4811" s="2"/>
      <c r="AL4811" s="2"/>
      <c r="AM4811" s="2"/>
      <c r="AN4811" s="2"/>
      <c r="AO4811" s="2"/>
      <c r="AP4811" s="2"/>
      <c r="AQ4811" s="2"/>
      <c r="AR4811" s="2"/>
      <c r="AS4811" s="2"/>
      <c r="AT4811" s="2"/>
      <c r="AU4811" s="2"/>
      <c r="AV4811" s="2"/>
      <c r="AW4811" s="2"/>
      <c r="AX4811" s="2"/>
      <c r="AY4811" s="2"/>
      <c r="AZ4811" s="2"/>
      <c r="BA4811" s="2"/>
      <c r="BB4811" s="2"/>
    </row>
    <row r="4812" ht="204.75" customHeight="1">
      <c r="A4812" s="1">
        <v>745.0</v>
      </c>
      <c r="B4812" s="2" t="s">
        <v>13507</v>
      </c>
      <c r="C4812" s="2">
        <f>IFERROR(__xludf.DUMMYFUNCTION("split(B4812,""_"")"),1804.0)</f>
        <v>1804</v>
      </c>
      <c r="D4812" s="2" t="str">
        <f>IFERROR(__xludf.DUMMYFUNCTION("""COMPUTED_VALUE"""),"TBS")</f>
        <v>TBS</v>
      </c>
      <c r="E4812" s="2" t="str">
        <f>IFERROR(__xludf.DUMMYFUNCTION("""COMPUTED_VALUE"""),"火22")</f>
        <v>火22</v>
      </c>
      <c r="F4812" s="2" t="s">
        <v>13508</v>
      </c>
      <c r="G4812" s="2" t="s">
        <v>13536</v>
      </c>
      <c r="H4812" s="1">
        <v>10.0</v>
      </c>
      <c r="J4812" s="1" t="s">
        <v>82</v>
      </c>
      <c r="K4812" s="2" t="s">
        <v>13537</v>
      </c>
      <c r="L4812" s="2" t="s">
        <v>13538</v>
      </c>
      <c r="M4812" s="2" t="str">
        <f>IFERROR(__xludf.DUMMYFUNCTION("split(split(K4812,""【"",false),""公式LINE"",false)"),"天馬(中川大志)から晴(平野紫耀)と武道三種で対決する事になったと聞いた音(杉咲花)は、晴を問い質すと男のロマンだと切り返される。晴は実は音を賭けての対決だとメグリン(飯豊まりえ)に伝えるものの、彼女は自分にもチャンスはあると別れようとしない。武道未経験の晴に一茶は西門総二郎(松田翔太)を呼び、弓道の極意を習う。そして迎えた大会初日。音が本当に好きなのは天馬なのか?晴なのか?勝負の行方はいかに!?天馬の父の事業拡大に伴い、音の父・誠(反町隆史)を化粧部門に迎える事になり、喜ぶ由紀恵(菊池桃子)。利恵(高岡"&amp;"早紀)は3人で暮らす家を手配。さらには音と天馬の結婚式を音の誕生日にあげようと言い出す。杉咲花  平野紫耀(King &amp; Prince)  中川大志  濱田龍臣  飯豊まりえ  今田美桜  鈴木仁  中田圭祐    嘉島陸  翔  ○  松田翔太  ○  木南晴夏  堀内敬子  テット・ワダ  志賀廣太郎  高岡早紀  滝藤賢一  菊池桃子神尾葉子  「花のち晴れ～花男 Next Season～」  (集英社「少年ジャンプ+」連載)  吉田恵里香  (「センセイ君主」「ヒロイン失格」「レオン」ほか)  ")</f>
        <v>天馬(中川大志)から晴(平野紫耀)と武道三種で対決する事になったと聞いた音(杉咲花)は、晴を問い質すと男のロマンだと切り返される。晴は実は音を賭けての対決だとメグリン(飯豊まりえ)に伝えるものの、彼女は自分にもチャンスはあると別れようとしない。武道未経験の晴に一茶は西門総二郎(松田翔太)を呼び、弓道の極意を習う。そして迎えた大会初日。音が本当に好きなのは天馬なのか?晴なのか?勝負の行方はいかに!?天馬の父の事業拡大に伴い、音の父・誠(反町隆史)を化粧部門に迎える事になり、喜ぶ由紀恵(菊池桃子)。利恵(高岡早紀)は3人で暮らす家を手配。さらには音と天馬の結婚式を音の誕生日にあげようと言い出す。杉咲花  平野紫耀(King &amp; Prince)  中川大志  濱田龍臣  飯豊まりえ  今田美桜  鈴木仁  中田圭祐    嘉島陸  翔  ○  松田翔太  ○  木南晴夏  堀内敬子  テット・ワダ  志賀廣太郎  高岡早紀  滝藤賢一  菊池桃子神尾葉子  「花のち晴れ～花男 Next Season～」  (集英社「少年ジャンプ+」連載)  吉田恵里香  (「センセイ君主」「ヒロイン失格」「レオン」ほか)  </v>
      </c>
      <c r="N4812" s="2"/>
      <c r="O4812" s="2"/>
      <c r="P4812" s="2"/>
      <c r="Q4812" s="2"/>
      <c r="R4812" s="2"/>
      <c r="S4812" s="2"/>
      <c r="T4812" s="2"/>
      <c r="U4812" s="2"/>
      <c r="V4812" s="2"/>
      <c r="W4812" s="2"/>
      <c r="X4812" s="2"/>
      <c r="Y4812" s="2"/>
      <c r="Z4812" s="2"/>
      <c r="AA4812" s="2"/>
      <c r="AB4812" s="2"/>
      <c r="AC4812" s="2"/>
      <c r="AD4812" s="2"/>
      <c r="AE4812" s="2"/>
      <c r="AF4812" s="2"/>
      <c r="AG4812" s="2"/>
      <c r="AH4812" s="2"/>
      <c r="AI4812" s="2"/>
      <c r="AJ4812" s="2"/>
      <c r="AK4812" s="2"/>
      <c r="AL4812" s="2"/>
      <c r="AM4812" s="2"/>
      <c r="AN4812" s="2"/>
      <c r="AO4812" s="2"/>
      <c r="AP4812" s="2"/>
      <c r="AQ4812" s="2"/>
      <c r="AR4812" s="2"/>
      <c r="AS4812" s="2"/>
      <c r="AT4812" s="2"/>
      <c r="AU4812" s="2"/>
      <c r="AV4812" s="2"/>
      <c r="AW4812" s="2"/>
      <c r="AX4812" s="2"/>
      <c r="AY4812" s="2"/>
      <c r="AZ4812" s="2"/>
      <c r="BA4812" s="2"/>
      <c r="BB4812" s="2"/>
    </row>
    <row r="4813" ht="204.75" customHeight="1">
      <c r="A4813" s="1">
        <v>746.0</v>
      </c>
      <c r="B4813" s="2" t="s">
        <v>13507</v>
      </c>
      <c r="C4813" s="2">
        <f>IFERROR(__xludf.DUMMYFUNCTION("split(B4813,""_"")"),1804.0)</f>
        <v>1804</v>
      </c>
      <c r="D4813" s="2" t="str">
        <f>IFERROR(__xludf.DUMMYFUNCTION("""COMPUTED_VALUE"""),"TBS")</f>
        <v>TBS</v>
      </c>
      <c r="E4813" s="2" t="str">
        <f>IFERROR(__xludf.DUMMYFUNCTION("""COMPUTED_VALUE"""),"火22")</f>
        <v>火22</v>
      </c>
      <c r="F4813" s="2" t="s">
        <v>13508</v>
      </c>
      <c r="G4813" s="2" t="s">
        <v>13539</v>
      </c>
      <c r="H4813" s="1">
        <v>11.0</v>
      </c>
      <c r="J4813" s="1" t="s">
        <v>82</v>
      </c>
      <c r="K4813" s="2" t="s">
        <v>13540</v>
      </c>
      <c r="L4813" s="2" t="s">
        <v>13541</v>
      </c>
      <c r="M4813" s="2" t="str">
        <f>IFERROR(__xludf.DUMMYFUNCTION("split(split(K4813,""【"",false),""公式LINE"",false)"),"初日の柔道で右手首を痛めてしまう晴(平野紫耀)。心配するC5メンバーだが、晴は落ち込んでいる暇はないと血気盛んだ。二日目の試合の朝、試合会場へ向かった音(杉咲花)は、晴と共に近衛が絡まれている現場に遭遇。その人物は自分を襲った犯人だった。さらに天馬(中川大志)も襲撃の黒幕が近衛だった事を知り、衝撃を受ける…。果たして音を巡る晴と天馬の“恋の決闘""の行方は!?それぞれが下した最後の決断とは--。杉咲花  平野紫耀(King &amp; Prince)  中川大志  濱田龍臣  飯豊まりえ  今田美桜  鈴木仁  "&amp;"中田圭祐    嘉島陸  翔  ○  松田翔太    反町隆史  ○  木南晴夏  浜野謙太  堀内敬子  テット・ワダ  志賀廣太郎  高岡早紀  滝藤賢一  菊池桃子神尾葉子  「花のち晴れ～花男 Next Season～」  (集英社「少年ジャンプ+」連載)  吉田恵里香  (「センセイ君主」「ヒロイン失格」「レオン」ほか)")</f>
        <v>初日の柔道で右手首を痛めてしまう晴(平野紫耀)。心配するC5メンバーだが、晴は落ち込んでいる暇はないと血気盛んだ。二日目の試合の朝、試合会場へ向かった音(杉咲花)は、晴と共に近衛が絡まれている現場に遭遇。その人物は自分を襲った犯人だった。さらに天馬(中川大志)も襲撃の黒幕が近衛だった事を知り、衝撃を受ける…。果たして音を巡る晴と天馬の“恋の決闘"の行方は!?それぞれが下した最後の決断とは--。杉咲花  平野紫耀(King &amp; Prince)  中川大志  濱田龍臣  飯豊まりえ  今田美桜  鈴木仁  中田圭祐    嘉島陸  翔  ○  松田翔太    反町隆史  ○  木南晴夏  浜野謙太  堀内敬子  テット・ワダ  志賀廣太郎  高岡早紀  滝藤賢一  菊池桃子神尾葉子  「花のち晴れ～花男 Next Season～」  (集英社「少年ジャンプ+」連載)  吉田恵里香  (「センセイ君主」「ヒロイン失格」「レオン」ほか)</v>
      </c>
      <c r="N4813" s="2"/>
      <c r="O4813" s="2"/>
      <c r="P4813" s="2"/>
      <c r="Q4813" s="2"/>
      <c r="R4813" s="2"/>
      <c r="S4813" s="2"/>
      <c r="T4813" s="2"/>
      <c r="U4813" s="2"/>
      <c r="V4813" s="2"/>
      <c r="W4813" s="2"/>
      <c r="X4813" s="2"/>
      <c r="Y4813" s="2"/>
      <c r="Z4813" s="2"/>
      <c r="AA4813" s="2"/>
      <c r="AB4813" s="2"/>
      <c r="AC4813" s="2"/>
      <c r="AD4813" s="2"/>
      <c r="AE4813" s="2"/>
      <c r="AF4813" s="2"/>
      <c r="AG4813" s="2"/>
      <c r="AH4813" s="2"/>
      <c r="AI4813" s="2"/>
      <c r="AJ4813" s="2"/>
      <c r="AK4813" s="2"/>
      <c r="AL4813" s="2"/>
      <c r="AM4813" s="2"/>
      <c r="AN4813" s="2"/>
      <c r="AO4813" s="2"/>
      <c r="AP4813" s="2"/>
      <c r="AQ4813" s="2"/>
      <c r="AR4813" s="2"/>
      <c r="AS4813" s="2"/>
      <c r="AT4813" s="2"/>
      <c r="AU4813" s="2"/>
      <c r="AV4813" s="2"/>
      <c r="AW4813" s="2"/>
      <c r="AX4813" s="2"/>
      <c r="AY4813" s="2"/>
      <c r="AZ4813" s="2"/>
      <c r="BA4813" s="2"/>
      <c r="BB4813" s="2"/>
    </row>
    <row r="4814" ht="204.75" customHeight="1">
      <c r="A4814" s="1">
        <v>782.0</v>
      </c>
      <c r="B4814" s="2" t="s">
        <v>13542</v>
      </c>
      <c r="C4814" s="2">
        <f>IFERROR(__xludf.DUMMYFUNCTION("split(B4814,""_"")"),1804.0)</f>
        <v>1804</v>
      </c>
      <c r="D4814" s="2" t="str">
        <f>IFERROR(__xludf.DUMMYFUNCTION("""COMPUTED_VALUE"""),"TBS")</f>
        <v>TBS</v>
      </c>
      <c r="E4814" s="2" t="str">
        <f>IFERROR(__xludf.DUMMYFUNCTION("""COMPUTED_VALUE"""),"金22")</f>
        <v>金22</v>
      </c>
      <c r="F4814" s="2" t="s">
        <v>13543</v>
      </c>
      <c r="G4814" s="2" t="s">
        <v>13544</v>
      </c>
      <c r="H4814" s="1">
        <v>1.0</v>
      </c>
      <c r="J4814" s="1" t="s">
        <v>82</v>
      </c>
      <c r="K4814" s="2" t="s">
        <v>13545</v>
      </c>
      <c r="L4814" s="2" t="s">
        <v>13546</v>
      </c>
      <c r="M4814" s="2" t="str">
        <f>IFERROR(__xludf.DUMMYFUNCTION("split(split(K4814,""【"",false),""公式LINE"",false)"),"「夫婦は家族だけど、他人」…100人以上の女性に取材した、リアルなエピソードが満載!コミカルな夫婦の『あるある』と、ケンカしつつもどこかで繋がっている『夫婦の絆』ー笑って泣けて、最後はホッコリ!家事に仕事に大忙しの主人公・真弓(中谷美紀)の奮闘ぶりが勇気をくれる物語。しかしその時…夫が抱えた「秘密」によって、夫婦に最大の危機が!1番近くにいるからこそ謎だらけの夫の素顔…その時、妻はどうするのか!?中谷美紀　玉木宏　駿河太郎　高橋メアリージュン　桜田ひより　萩原利久　梅沢昌代　田村泰二郎　福地桃子　三木理紗"&amp;"子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◇twitt"&amp;"er  https://twitter.com/anaie_tbs  ◇instagram  https://www.instagram.com/anaie_tbs/  番組の内容と放送時間は変更になる可能性があります。")</f>
        <v>「夫婦は家族だけど、他人」…100人以上の女性に取材した、リアルなエピソードが満載!コミカルな夫婦の『あるある』と、ケンカしつつもどこかで繋がっている『夫婦の絆』ー笑って泣けて、最後はホッコリ!家事に仕事に大忙しの主人公・真弓(中谷美紀)の奮闘ぶりが勇気をくれる物語。しかしその時…夫が抱えた「秘密」によって、夫婦に最大の危機が!1番近くにいるからこそ謎だらけの夫の素顔…その時、妻はどうするのか!?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v>
      </c>
      <c r="N4814" s="2"/>
      <c r="O4814" s="2"/>
      <c r="P4814" s="2"/>
      <c r="Q4814" s="2"/>
      <c r="R4814" s="2"/>
      <c r="S4814" s="2"/>
      <c r="T4814" s="2"/>
      <c r="U4814" s="2"/>
      <c r="V4814" s="2"/>
      <c r="W4814" s="2"/>
      <c r="X4814" s="2"/>
      <c r="Y4814" s="2"/>
      <c r="Z4814" s="2"/>
      <c r="AA4814" s="2"/>
      <c r="AB4814" s="2"/>
      <c r="AC4814" s="2"/>
      <c r="AD4814" s="2"/>
      <c r="AE4814" s="2"/>
      <c r="AF4814" s="2"/>
      <c r="AG4814" s="2"/>
      <c r="AH4814" s="2"/>
      <c r="AI4814" s="2"/>
      <c r="AJ4814" s="2"/>
      <c r="AK4814" s="2"/>
      <c r="AL4814" s="2"/>
      <c r="AM4814" s="2"/>
      <c r="AN4814" s="2"/>
      <c r="AO4814" s="2"/>
      <c r="AP4814" s="2"/>
      <c r="AQ4814" s="2"/>
      <c r="AR4814" s="2"/>
      <c r="AS4814" s="2"/>
      <c r="AT4814" s="2"/>
      <c r="AU4814" s="2"/>
      <c r="AV4814" s="2"/>
      <c r="AW4814" s="2"/>
      <c r="AX4814" s="2"/>
      <c r="AY4814" s="2"/>
      <c r="AZ4814" s="2"/>
      <c r="BA4814" s="2"/>
      <c r="BB4814" s="2"/>
    </row>
    <row r="4815" ht="204.75" customHeight="1">
      <c r="A4815" s="1">
        <v>783.0</v>
      </c>
      <c r="B4815" s="2" t="s">
        <v>13542</v>
      </c>
      <c r="C4815" s="2">
        <f>IFERROR(__xludf.DUMMYFUNCTION("split(B4815,""_"")"),1804.0)</f>
        <v>1804</v>
      </c>
      <c r="D4815" s="2" t="str">
        <f>IFERROR(__xludf.DUMMYFUNCTION("""COMPUTED_VALUE"""),"TBS")</f>
        <v>TBS</v>
      </c>
      <c r="E4815" s="2" t="str">
        <f>IFERROR(__xludf.DUMMYFUNCTION("""COMPUTED_VALUE"""),"金22")</f>
        <v>金22</v>
      </c>
      <c r="F4815" s="2" t="s">
        <v>13543</v>
      </c>
      <c r="G4815" s="2" t="s">
        <v>13547</v>
      </c>
      <c r="H4815" s="1">
        <v>2.0</v>
      </c>
      <c r="J4815" s="1" t="s">
        <v>86</v>
      </c>
      <c r="K4815" s="2" t="s">
        <v>13548</v>
      </c>
      <c r="L4815" s="2" t="s">
        <v>13549</v>
      </c>
      <c r="M4815" s="2" t="str">
        <f>IFERROR(__xludf.DUMMYFUNCTION("split(split(K4815,""【"",false),""公式LINE"",false)"),"人妻である綾子と関係を持った秀明は、急に家事を手伝ったり、料理を誉めたり、かと思うと、ホテルで支払ったカード明細をコソコソ探したりと、真弓がネットで調べた『夫の浮気の兆候』そのものの挙動不審ぶり。まさかと思う真弓と隠したい秀明のコミカルな駆け引きも見所。そんな時、綾子の夫・茄子田太郎(ユースケ・サンタマリア)が真弓の前に…しかも真弓の自宅には、綾子が現れたー!?早くも全てを知る妻…一体どうなる!?中谷美紀　玉木宏　駿河太郎　高橋メアリージュン　桜田ひより　萩原利久　梅沢昌代　田村泰二郎　福地桃子　三木理紗"&amp;"子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◇twitt"&amp;"er  https://twitter.com/anaie_tbs  ◇instagram  https://www.instagram.com/anaie_tbs/  番組の内容と放送時間は変更になる可能性があります。")</f>
        <v>人妻である綾子と関係を持った秀明は、急に家事を手伝ったり、料理を誉めたり、かと思うと、ホテルで支払ったカード明細をコソコソ探したりと、真弓がネットで調べた『夫の浮気の兆候』そのものの挙動不審ぶり。まさかと思う真弓と隠したい秀明のコミカルな駆け引きも見所。そんな時、綾子の夫・茄子田太郎(ユースケ・サンタマリア)が真弓の前に…しかも真弓の自宅には、綾子が現れたー!?早くも全てを知る妻…一体どうなる!?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v>
      </c>
      <c r="N4815" s="2"/>
      <c r="O4815" s="2"/>
      <c r="P4815" s="2"/>
      <c r="Q4815" s="2"/>
      <c r="R4815" s="2"/>
      <c r="S4815" s="2"/>
      <c r="T4815" s="2"/>
      <c r="U4815" s="2"/>
      <c r="V4815" s="2"/>
      <c r="W4815" s="2"/>
      <c r="X4815" s="2"/>
      <c r="Y4815" s="2"/>
      <c r="Z4815" s="2"/>
      <c r="AA4815" s="2"/>
      <c r="AB4815" s="2"/>
      <c r="AC4815" s="2"/>
      <c r="AD4815" s="2"/>
      <c r="AE4815" s="2"/>
      <c r="AF4815" s="2"/>
      <c r="AG4815" s="2"/>
      <c r="AH4815" s="2"/>
      <c r="AI4815" s="2"/>
      <c r="AJ4815" s="2"/>
      <c r="AK4815" s="2"/>
      <c r="AL4815" s="2"/>
      <c r="AM4815" s="2"/>
      <c r="AN4815" s="2"/>
      <c r="AO4815" s="2"/>
      <c r="AP4815" s="2"/>
      <c r="AQ4815" s="2"/>
      <c r="AR4815" s="2"/>
      <c r="AS4815" s="2"/>
      <c r="AT4815" s="2"/>
      <c r="AU4815" s="2"/>
      <c r="AV4815" s="2"/>
      <c r="AW4815" s="2"/>
      <c r="AX4815" s="2"/>
      <c r="AY4815" s="2"/>
      <c r="AZ4815" s="2"/>
      <c r="BA4815" s="2"/>
      <c r="BB4815" s="2"/>
    </row>
    <row r="4816" ht="204.75" customHeight="1">
      <c r="A4816" s="1">
        <v>784.0</v>
      </c>
      <c r="B4816" s="2" t="s">
        <v>13542</v>
      </c>
      <c r="C4816" s="2">
        <f>IFERROR(__xludf.DUMMYFUNCTION("split(B4816,""_"")"),1804.0)</f>
        <v>1804</v>
      </c>
      <c r="D4816" s="2" t="str">
        <f>IFERROR(__xludf.DUMMYFUNCTION("""COMPUTED_VALUE"""),"TBS")</f>
        <v>TBS</v>
      </c>
      <c r="E4816" s="2" t="str">
        <f>IFERROR(__xludf.DUMMYFUNCTION("""COMPUTED_VALUE"""),"金22")</f>
        <v>金22</v>
      </c>
      <c r="F4816" s="2" t="s">
        <v>13543</v>
      </c>
      <c r="G4816" s="2" t="s">
        <v>13550</v>
      </c>
      <c r="H4816" s="1">
        <v>3.0</v>
      </c>
      <c r="J4816" s="1" t="s">
        <v>86</v>
      </c>
      <c r="K4816" s="2" t="s">
        <v>13551</v>
      </c>
      <c r="L4816" s="2" t="s">
        <v>13552</v>
      </c>
      <c r="M4816" s="2" t="str">
        <f>IFERROR(__xludf.DUMMYFUNCTION("split(split(K4816,""【"",false),""公式LINE"",false)"),"夫・秀明(玉木宏)のカード明細から『ホテル代』を発見した真弓。浮気の証拠をつかむため行動を起こす!そうとは知らず、秀明と綾子(木村多江)は思いを募らせ、密会を計画…その現場に真弓が踏み込む!とんでもない結末が!?一方、綾子の夫・太郎はなぜか両夫婦そろってのBBQを提案…秀明に秘かな視線を送る綾子、いぶかしむ真弓…遂に女たちの直接対決!更に太郎の目に浮かぶ企みの色…2組の夫婦の心理戦クライマックス!中谷美紀　玉木宏　駿河太郎　高橋メアリージュン　桜田ひより　萩原利久　梅沢昌代　田村泰二郎　福地桃子　三木理紗"&amp;"子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◇twitt"&amp;"er  @anaie_tbs  https://twitter.com/anaie_tbs  ◇instagram  https://www.instagram.com/anaie_tbs/  番組の内容と放送時間は変更になる可能性があります。")</f>
        <v>夫・秀明(玉木宏)のカード明細から『ホテル代』を発見した真弓。浮気の証拠をつかむため行動を起こす!そうとは知らず、秀明と綾子(木村多江)は思いを募らせ、密会を計画…その現場に真弓が踏み込む!とんでもない結末が!?一方、綾子の夫・太郎はなぜか両夫婦そろってのBBQを提案…秀明に秘かな視線を送る綾子、いぶかしむ真弓…遂に女たちの直接対決!更に太郎の目に浮かぶ企みの色…2組の夫婦の心理戦クライマックス!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@anaie_tbs  https://twitter.com/anaie_tbs  ◇instagram  https://www.instagram.com/anaie_tbs/  番組の内容と放送時間は変更になる可能性があります。</v>
      </c>
      <c r="N4816" s="2"/>
      <c r="O4816" s="2"/>
      <c r="P4816" s="2"/>
      <c r="Q4816" s="2"/>
      <c r="R4816" s="2"/>
      <c r="S4816" s="2"/>
      <c r="T4816" s="2"/>
      <c r="U4816" s="2"/>
      <c r="V4816" s="2"/>
      <c r="W4816" s="2"/>
      <c r="X4816" s="2"/>
      <c r="Y4816" s="2"/>
      <c r="Z4816" s="2"/>
      <c r="AA4816" s="2"/>
      <c r="AB4816" s="2"/>
      <c r="AC4816" s="2"/>
      <c r="AD4816" s="2"/>
      <c r="AE4816" s="2"/>
      <c r="AF4816" s="2"/>
      <c r="AG4816" s="2"/>
      <c r="AH4816" s="2"/>
      <c r="AI4816" s="2"/>
      <c r="AJ4816" s="2"/>
      <c r="AK4816" s="2"/>
      <c r="AL4816" s="2"/>
      <c r="AM4816" s="2"/>
      <c r="AN4816" s="2"/>
      <c r="AO4816" s="2"/>
      <c r="AP4816" s="2"/>
      <c r="AQ4816" s="2"/>
      <c r="AR4816" s="2"/>
      <c r="AS4816" s="2"/>
      <c r="AT4816" s="2"/>
      <c r="AU4816" s="2"/>
      <c r="AV4816" s="2"/>
      <c r="AW4816" s="2"/>
      <c r="AX4816" s="2"/>
      <c r="AY4816" s="2"/>
      <c r="AZ4816" s="2"/>
      <c r="BA4816" s="2"/>
      <c r="BB4816" s="2"/>
    </row>
    <row r="4817" ht="204.75" customHeight="1">
      <c r="A4817" s="1">
        <v>785.0</v>
      </c>
      <c r="B4817" s="2" t="s">
        <v>13542</v>
      </c>
      <c r="C4817" s="2">
        <f>IFERROR(__xludf.DUMMYFUNCTION("split(B4817,""_"")"),1804.0)</f>
        <v>1804</v>
      </c>
      <c r="D4817" s="2" t="str">
        <f>IFERROR(__xludf.DUMMYFUNCTION("""COMPUTED_VALUE"""),"TBS")</f>
        <v>TBS</v>
      </c>
      <c r="E4817" s="2" t="str">
        <f>IFERROR(__xludf.DUMMYFUNCTION("""COMPUTED_VALUE"""),"金22")</f>
        <v>金22</v>
      </c>
      <c r="F4817" s="2" t="s">
        <v>13543</v>
      </c>
      <c r="G4817" s="2" t="s">
        <v>13553</v>
      </c>
      <c r="H4817" s="1">
        <v>4.0</v>
      </c>
      <c r="J4817" s="1" t="s">
        <v>86</v>
      </c>
      <c r="K4817" s="2" t="s">
        <v>13554</v>
      </c>
      <c r="L4817" s="2" t="s">
        <v>13555</v>
      </c>
      <c r="M4817" s="2" t="str">
        <f>IFERROR(__xludf.DUMMYFUNCTION("split(split(K4817,""【"",false),""公式LINE"",false)"),"夫・秀明(玉木宏)の浮気相手は年上の人妻・綾子(木村多江)だった…激怒しつつも傷ついた真弓(中谷美紀)。秀明は今更ながら家族の大切さを思い知り、綾子に別れを告げるが…不気味な笑みを浮かべた綾子は、まさかの行動に出る!なんと真弓の職場に現れた綾子が手にしていたのは…!?まさに狂気の大暴走!守る女と奪う女…ついに直接対決を迎えた二人の女!常軌を逸した綾子の攻撃に、真弓は家族を守ることができるのかー!?中谷美紀　玉木宏　駿河太郎　高橋メアリージュン　桜田ひより　萩原利久　梅沢昌代　田村泰二郎　福地桃子　三木理紗"&amp;"子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◇twitt"&amp;"er  https://twitter.com/anaie_tbs  ◇instagram  https://www.instagram.com/anaie_tbs/  番組の内容と放送時間は変更になる可能性があります。")</f>
        <v>夫・秀明(玉木宏)の浮気相手は年上の人妻・綾子(木村多江)だった…激怒しつつも傷ついた真弓(中谷美紀)。秀明は今更ながら家族の大切さを思い知り、綾子に別れを告げるが…不気味な笑みを浮かべた綾子は、まさかの行動に出る!なんと真弓の職場に現れた綾子が手にしていたのは…!?まさに狂気の大暴走!守る女と奪う女…ついに直接対決を迎えた二人の女!常軌を逸した綾子の攻撃に、真弓は家族を守ることができるのかー!?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v>
      </c>
      <c r="N4817" s="2"/>
      <c r="O4817" s="2"/>
      <c r="P4817" s="2"/>
      <c r="Q4817" s="2"/>
      <c r="R4817" s="2"/>
      <c r="S4817" s="2"/>
      <c r="T4817" s="2"/>
      <c r="U4817" s="2"/>
      <c r="V4817" s="2"/>
      <c r="W4817" s="2"/>
      <c r="X4817" s="2"/>
      <c r="Y4817" s="2"/>
      <c r="Z4817" s="2"/>
      <c r="AA4817" s="2"/>
      <c r="AB4817" s="2"/>
      <c r="AC4817" s="2"/>
      <c r="AD4817" s="2"/>
      <c r="AE4817" s="2"/>
      <c r="AF4817" s="2"/>
      <c r="AG4817" s="2"/>
      <c r="AH4817" s="2"/>
      <c r="AI4817" s="2"/>
      <c r="AJ4817" s="2"/>
      <c r="AK4817" s="2"/>
      <c r="AL4817" s="2"/>
      <c r="AM4817" s="2"/>
      <c r="AN4817" s="2"/>
      <c r="AO4817" s="2"/>
      <c r="AP4817" s="2"/>
      <c r="AQ4817" s="2"/>
      <c r="AR4817" s="2"/>
      <c r="AS4817" s="2"/>
      <c r="AT4817" s="2"/>
      <c r="AU4817" s="2"/>
      <c r="AV4817" s="2"/>
      <c r="AW4817" s="2"/>
      <c r="AX4817" s="2"/>
      <c r="AY4817" s="2"/>
      <c r="AZ4817" s="2"/>
      <c r="BA4817" s="2"/>
      <c r="BB4817" s="2"/>
    </row>
    <row r="4818" ht="204.75" customHeight="1">
      <c r="A4818" s="1">
        <v>786.0</v>
      </c>
      <c r="B4818" s="2" t="s">
        <v>13542</v>
      </c>
      <c r="C4818" s="2">
        <f>IFERROR(__xludf.DUMMYFUNCTION("split(B4818,""_"")"),1804.0)</f>
        <v>1804</v>
      </c>
      <c r="D4818" s="2" t="str">
        <f>IFERROR(__xludf.DUMMYFUNCTION("""COMPUTED_VALUE"""),"TBS")</f>
        <v>TBS</v>
      </c>
      <c r="E4818" s="2" t="str">
        <f>IFERROR(__xludf.DUMMYFUNCTION("""COMPUTED_VALUE"""),"金22")</f>
        <v>金22</v>
      </c>
      <c r="F4818" s="2" t="s">
        <v>13543</v>
      </c>
      <c r="G4818" s="2" t="s">
        <v>13556</v>
      </c>
      <c r="H4818" s="1">
        <v>5.0</v>
      </c>
      <c r="J4818" s="1" t="s">
        <v>86</v>
      </c>
      <c r="K4818" s="2" t="s">
        <v>13557</v>
      </c>
      <c r="L4818" s="2" t="s">
        <v>13558</v>
      </c>
      <c r="M4818" s="2" t="str">
        <f>IFERROR(__xludf.DUMMYFUNCTION("split(split(K4818,""【"",false),""公式LINE"",false)"),"浮気がバレた秀明(玉木宏)は、妻・真弓(中谷美紀)への罪滅ぼしとして、家族旅行を計画。しかし、旅先に太郎(ユースケ・サンタマリア)と綾子(木村多江)が姿を表す!綾子の浮気相手が秀明だと気づいた太郎は暴走…狂気の行動に出る!その狙いは娘の麗奈!?一方、秀明への想いを断ち切れない綾子は、一人になった真弓の前に現れとんでもない行動に…迫り来る狂気のモンスター夫婦に、立ち向かうことが出来るのか!?中谷美紀　玉木宏　駿河太郎　高橋メアリージュン　桜田ひより　萩原利久　梅沢昌代　田村泰二郎　福地桃子　三木理紗子　鎌田"&amp;"将司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"&amp;"https://twitter.com/anaie_tbs  ◇instagram  https://www.instagram.com/anaie_tbs/  番組の内容と放送時間は変更になる可能性があります。")</f>
        <v>浮気がバレた秀明(玉木宏)は、妻・真弓(中谷美紀)への罪滅ぼしとして、家族旅行を計画。しかし、旅先に太郎(ユースケ・サンタマリア)と綾子(木村多江)が姿を表す!綾子の浮気相手が秀明だと気づいた太郎は暴走…狂気の行動に出る!その狙いは娘の麗奈!?一方、秀明への想いを断ち切れない綾子は、一人になった真弓の前に現れとんでもない行動に…迫り来る狂気のモンスター夫婦に、立ち向かうことが出来るのか!?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v>
      </c>
      <c r="N4818" s="2"/>
      <c r="O4818" s="2"/>
      <c r="P4818" s="2"/>
      <c r="Q4818" s="2"/>
      <c r="R4818" s="2"/>
      <c r="S4818" s="2"/>
      <c r="T4818" s="2"/>
      <c r="U4818" s="2"/>
      <c r="V4818" s="2"/>
      <c r="W4818" s="2"/>
      <c r="X4818" s="2"/>
      <c r="Y4818" s="2"/>
      <c r="Z4818" s="2"/>
      <c r="AA4818" s="2"/>
      <c r="AB4818" s="2"/>
      <c r="AC4818" s="2"/>
      <c r="AD4818" s="2"/>
      <c r="AE4818" s="2"/>
      <c r="AF4818" s="2"/>
      <c r="AG4818" s="2"/>
      <c r="AH4818" s="2"/>
      <c r="AI4818" s="2"/>
      <c r="AJ4818" s="2"/>
      <c r="AK4818" s="2"/>
      <c r="AL4818" s="2"/>
      <c r="AM4818" s="2"/>
      <c r="AN4818" s="2"/>
      <c r="AO4818" s="2"/>
      <c r="AP4818" s="2"/>
      <c r="AQ4818" s="2"/>
      <c r="AR4818" s="2"/>
      <c r="AS4818" s="2"/>
      <c r="AT4818" s="2"/>
      <c r="AU4818" s="2"/>
      <c r="AV4818" s="2"/>
      <c r="AW4818" s="2"/>
      <c r="AX4818" s="2"/>
      <c r="AY4818" s="2"/>
      <c r="AZ4818" s="2"/>
      <c r="BA4818" s="2"/>
      <c r="BB4818" s="2"/>
    </row>
    <row r="4819" ht="204.75" customHeight="1">
      <c r="A4819" s="1">
        <v>787.0</v>
      </c>
      <c r="B4819" s="2" t="s">
        <v>13542</v>
      </c>
      <c r="C4819" s="2">
        <f>IFERROR(__xludf.DUMMYFUNCTION("split(B4819,""_"")"),1804.0)</f>
        <v>1804</v>
      </c>
      <c r="D4819" s="2" t="str">
        <f>IFERROR(__xludf.DUMMYFUNCTION("""COMPUTED_VALUE"""),"TBS")</f>
        <v>TBS</v>
      </c>
      <c r="E4819" s="2" t="str">
        <f>IFERROR(__xludf.DUMMYFUNCTION("""COMPUTED_VALUE"""),"金22")</f>
        <v>金22</v>
      </c>
      <c r="F4819" s="2" t="s">
        <v>13543</v>
      </c>
      <c r="G4819" s="2" t="s">
        <v>13559</v>
      </c>
      <c r="H4819" s="1">
        <v>6.0</v>
      </c>
      <c r="J4819" s="1" t="s">
        <v>86</v>
      </c>
      <c r="K4819" s="2" t="s">
        <v>13560</v>
      </c>
      <c r="L4819" s="2" t="s">
        <v>13561</v>
      </c>
      <c r="M4819" s="2" t="str">
        <f>IFERROR(__xludf.DUMMYFUNCTION("split(split(K4819,""【"",false),""公式LINE"",false)"),"夫婦の絆、終焉ー綾子の相手が秀明だと知ったのに、何もせず姿を消した太郎(ユースケ・サンタマリア)。その狙いとは!?一方、綾子が娘・麗奈(桜田ひより)に接近したことを知り真弓は怒り爆発!徹底抗戦を決意するも、綾子の暴走はもう止まらない!秀明への歪んだ愛情を募らせ、なんと自宅に乗り込むという恐怖の事態に…狂気の大乱闘!そして太郎までも!?極限状態の中、真弓は決断を下す!物語は完結へー衝撃の結末とは!?中谷美紀　玉木宏　駿河太郎　高橋メアリージュン　桜田ひより　萩原利久　梅沢昌代　田村泰二郎　福地桃子　三木理紗"&amp;"子　鎌田将司　本田剛文(BOYS　AND　MEN)　小林豊(BOYS　AND　MEN)　八鍬有紗　望月京奈　辻本達規(BOYS　AND　MEN)　谷手人　工藤俊二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http"&amp;"s://twitter.com/anaie_tbs  ◇instagram  https://www.instagram.com/anaie_tbs/  番組の内容と放送時間は変更になる可能性があります。")</f>
        <v>夫婦の絆、終焉ー綾子の相手が秀明だと知ったのに、何もせず姿を消した太郎(ユースケ・サンタマリア)。その狙いとは!?一方、綾子が娘・麗奈(桜田ひより)に接近したことを知り真弓は怒り爆発!徹底抗戦を決意するも、綾子の暴走はもう止まらない!秀明への歪んだ愛情を募らせ、なんと自宅に乗り込むという恐怖の事態に…狂気の大乱闘!そして太郎までも!?極限状態の中、真弓は決断を下す!物語は完結へー衝撃の結末とは!?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v>
      </c>
      <c r="N4819" s="2"/>
      <c r="O4819" s="2"/>
      <c r="P4819" s="2"/>
      <c r="Q4819" s="2"/>
      <c r="R4819" s="2"/>
      <c r="S4819" s="2"/>
      <c r="T4819" s="2"/>
      <c r="U4819" s="2"/>
      <c r="V4819" s="2"/>
      <c r="W4819" s="2"/>
      <c r="X4819" s="2"/>
      <c r="Y4819" s="2"/>
      <c r="Z4819" s="2"/>
      <c r="AA4819" s="2"/>
      <c r="AB4819" s="2"/>
      <c r="AC4819" s="2"/>
      <c r="AD4819" s="2"/>
      <c r="AE4819" s="2"/>
      <c r="AF4819" s="2"/>
      <c r="AG4819" s="2"/>
      <c r="AH4819" s="2"/>
      <c r="AI4819" s="2"/>
      <c r="AJ4819" s="2"/>
      <c r="AK4819" s="2"/>
      <c r="AL4819" s="2"/>
      <c r="AM4819" s="2"/>
      <c r="AN4819" s="2"/>
      <c r="AO4819" s="2"/>
      <c r="AP4819" s="2"/>
      <c r="AQ4819" s="2"/>
      <c r="AR4819" s="2"/>
      <c r="AS4819" s="2"/>
      <c r="AT4819" s="2"/>
      <c r="AU4819" s="2"/>
      <c r="AV4819" s="2"/>
      <c r="AW4819" s="2"/>
      <c r="AX4819" s="2"/>
      <c r="AY4819" s="2"/>
      <c r="AZ4819" s="2"/>
      <c r="BA4819" s="2"/>
      <c r="BB4819" s="2"/>
    </row>
    <row r="4820" ht="204.75" customHeight="1">
      <c r="A4820" s="1">
        <v>788.0</v>
      </c>
      <c r="B4820" s="2" t="s">
        <v>13542</v>
      </c>
      <c r="C4820" s="2">
        <f>IFERROR(__xludf.DUMMYFUNCTION("split(B4820,""_"")"),1804.0)</f>
        <v>1804</v>
      </c>
      <c r="D4820" s="2" t="str">
        <f>IFERROR(__xludf.DUMMYFUNCTION("""COMPUTED_VALUE"""),"TBS")</f>
        <v>TBS</v>
      </c>
      <c r="E4820" s="2" t="str">
        <f>IFERROR(__xludf.DUMMYFUNCTION("""COMPUTED_VALUE"""),"金22")</f>
        <v>金22</v>
      </c>
      <c r="F4820" s="2" t="s">
        <v>13543</v>
      </c>
      <c r="G4820" s="2" t="s">
        <v>13562</v>
      </c>
      <c r="H4820" s="1">
        <v>7.0</v>
      </c>
      <c r="J4820" s="1" t="s">
        <v>86</v>
      </c>
      <c r="K4820" s="2" t="s">
        <v>13563</v>
      </c>
      <c r="L4820" s="2" t="s">
        <v>13564</v>
      </c>
      <c r="M4820" s="2" t="str">
        <f>IFERROR(__xludf.DUMMYFUNCTION("split(split(K4820,""【"",false),""公式LINE"",false)"),"離婚を決断し、晴れ晴れした気持ちで手続きを進めていく真弓。一方の秀明は未練タラタラのまま、家を追い出され狭いアパートでの一人暮らしに…茄子田家では太郎(ユースケ・サンタマリア)に離婚を拒まれた綾子がついに家出を強行。秀明のアパートに忍び込み「私に帰る家がなくなったのは誰のせい?」と問い詰める!新たな道を歩み始めた真弓と秀明に早くも降りかかる試練ー「終わりかけの夫婦」に起こるドンデン返しとは!!中谷美紀　玉木宏　駿河太郎　高橋メアリージュン　桜田ひより　萩原利久　梅沢昌代　田村泰二郎　福地桃子　三木理紗子　"&amp;"鎌田将司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◇twitter"&amp;"  https://twitter.com/anaie_tbs  ◇instagram  https://www.instagram.com/anaie_tbs/  番組の内容と放送時間は変更になる可能性があります。")</f>
        <v>離婚を決断し、晴れ晴れした気持ちで手続きを進めていく真弓。一方の秀明は未練タラタラのまま、家を追い出され狭いアパートでの一人暮らしに…茄子田家では太郎(ユースケ・サンタマリア)に離婚を拒まれた綾子がついに家出を強行。秀明のアパートに忍び込み「私に帰る家がなくなったのは誰のせい?」と問い詰める!新たな道を歩み始めた真弓と秀明に早くも降りかかる試練ー「終わりかけの夫婦」に起こるドンデン返しとは!!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v>
      </c>
      <c r="N4820" s="2"/>
      <c r="O4820" s="2"/>
      <c r="P4820" s="2"/>
      <c r="Q4820" s="2"/>
      <c r="R4820" s="2"/>
      <c r="S4820" s="2"/>
      <c r="T4820" s="2"/>
      <c r="U4820" s="2"/>
      <c r="V4820" s="2"/>
      <c r="W4820" s="2"/>
      <c r="X4820" s="2"/>
      <c r="Y4820" s="2"/>
      <c r="Z4820" s="2"/>
      <c r="AA4820" s="2"/>
      <c r="AB4820" s="2"/>
      <c r="AC4820" s="2"/>
      <c r="AD4820" s="2"/>
      <c r="AE4820" s="2"/>
      <c r="AF4820" s="2"/>
      <c r="AG4820" s="2"/>
      <c r="AH4820" s="2"/>
      <c r="AI4820" s="2"/>
      <c r="AJ4820" s="2"/>
      <c r="AK4820" s="2"/>
      <c r="AL4820" s="2"/>
      <c r="AM4820" s="2"/>
      <c r="AN4820" s="2"/>
      <c r="AO4820" s="2"/>
      <c r="AP4820" s="2"/>
      <c r="AQ4820" s="2"/>
      <c r="AR4820" s="2"/>
      <c r="AS4820" s="2"/>
      <c r="AT4820" s="2"/>
      <c r="AU4820" s="2"/>
      <c r="AV4820" s="2"/>
      <c r="AW4820" s="2"/>
      <c r="AX4820" s="2"/>
      <c r="AY4820" s="2"/>
      <c r="AZ4820" s="2"/>
      <c r="BA4820" s="2"/>
      <c r="BB4820" s="2"/>
    </row>
    <row r="4821" ht="204.75" customHeight="1">
      <c r="A4821" s="1">
        <v>789.0</v>
      </c>
      <c r="B4821" s="2" t="s">
        <v>13542</v>
      </c>
      <c r="C4821" s="2">
        <f>IFERROR(__xludf.DUMMYFUNCTION("split(B4821,""_"")"),1804.0)</f>
        <v>1804</v>
      </c>
      <c r="D4821" s="2" t="str">
        <f>IFERROR(__xludf.DUMMYFUNCTION("""COMPUTED_VALUE"""),"TBS")</f>
        <v>TBS</v>
      </c>
      <c r="E4821" s="2" t="str">
        <f>IFERROR(__xludf.DUMMYFUNCTION("""COMPUTED_VALUE"""),"金22")</f>
        <v>金22</v>
      </c>
      <c r="F4821" s="2" t="s">
        <v>13543</v>
      </c>
      <c r="G4821" s="2" t="s">
        <v>13565</v>
      </c>
      <c r="H4821" s="1">
        <v>8.0</v>
      </c>
      <c r="J4821" s="1" t="s">
        <v>86</v>
      </c>
      <c r="K4821" s="2" t="s">
        <v>13566</v>
      </c>
      <c r="L4821" s="2" t="s">
        <v>13567</v>
      </c>
      <c r="M4821" s="2" t="str">
        <f>IFERROR(__xludf.DUMMYFUNCTION("split(split(K4821,""【"",false),""公式LINE"",false)"),"独身ライフを楽しむ真弓(中谷美紀)。新たな恋の気配も…しかし麗奈(桜田ひより)の様子がなんだかおかしい。娘の本音が分からず右往左往する真弓。それでも秀明(玉木宏)の力は借りるまい!と一人で解決を試みる。一方娘の危機に責任を感じた秀明は、覚悟を決め娘に向き合おうとする。太郎(ユースケ・サンタマリア)が真弓に、綾子(木村多江)が秀明に最接近!綾子がまさかの結婚宣言で事態は大混乱…中谷美紀　玉木宏　駿河太郎　高橋メアリージュン　桜田ひより　萩原利久　梅沢昌代　田村泰二郎　福地桃子　三木理紗子　鎌田将司　本田剛文"&amp;"(BOYS　AND　MEN)　小林豊(BOYS　AND　MEN)　八鍬有紗　望月京奈　辻本達規(BOYS　AND　MEN)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https://twitter.com/anai"&amp;"e_tbs  ◇instagram  https://www.instagram.com/anaie_tbs/  番組の内容と放送時間は変更になる可能性があります。")</f>
        <v>独身ライフを楽しむ真弓(中谷美紀)。新たな恋の気配も…しかし麗奈(桜田ひより)の様子がなんだかおかしい。娘の本音が分からず右往左往する真弓。それでも秀明(玉木宏)の力は借りるまい!と一人で解決を試みる。一方娘の危機に責任を感じた秀明は、覚悟を決め娘に向き合おうとする。太郎(ユースケ・サンタマリア)が真弓に、綾子(木村多江)が秀明に最接近!綾子がまさかの結婚宣言で事態は大混乱…中谷美紀　玉木宏　駿河太郎　高橋メアリージュン　桜田ひより　萩原利久　梅沢昌代　田村泰二郎　福地桃子　三木理紗子　鎌田将司　本田剛文(BOYS　AND　MEN)　小林豊(BOYS　AND　MEN)　八鍬有紗　望月京奈　辻本達規(BOYS　AND　MEN)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v>
      </c>
      <c r="N4821" s="2"/>
      <c r="O4821" s="2"/>
      <c r="P4821" s="2"/>
      <c r="Q4821" s="2"/>
      <c r="R4821" s="2"/>
      <c r="S4821" s="2"/>
      <c r="T4821" s="2"/>
      <c r="U4821" s="2"/>
      <c r="V4821" s="2"/>
      <c r="W4821" s="2"/>
      <c r="X4821" s="2"/>
      <c r="Y4821" s="2"/>
      <c r="Z4821" s="2"/>
      <c r="AA4821" s="2"/>
      <c r="AB4821" s="2"/>
      <c r="AC4821" s="2"/>
      <c r="AD4821" s="2"/>
      <c r="AE4821" s="2"/>
      <c r="AF4821" s="2"/>
      <c r="AG4821" s="2"/>
      <c r="AH4821" s="2"/>
      <c r="AI4821" s="2"/>
      <c r="AJ4821" s="2"/>
      <c r="AK4821" s="2"/>
      <c r="AL4821" s="2"/>
      <c r="AM4821" s="2"/>
      <c r="AN4821" s="2"/>
      <c r="AO4821" s="2"/>
      <c r="AP4821" s="2"/>
      <c r="AQ4821" s="2"/>
      <c r="AR4821" s="2"/>
      <c r="AS4821" s="2"/>
      <c r="AT4821" s="2"/>
      <c r="AU4821" s="2"/>
      <c r="AV4821" s="2"/>
      <c r="AW4821" s="2"/>
      <c r="AX4821" s="2"/>
      <c r="AY4821" s="2"/>
      <c r="AZ4821" s="2"/>
      <c r="BA4821" s="2"/>
      <c r="BB4821" s="2"/>
    </row>
    <row r="4822" ht="204.75" customHeight="1">
      <c r="A4822" s="1">
        <v>790.0</v>
      </c>
      <c r="B4822" s="2" t="s">
        <v>13542</v>
      </c>
      <c r="C4822" s="2">
        <f>IFERROR(__xludf.DUMMYFUNCTION("split(B4822,""_"")"),1804.0)</f>
        <v>1804</v>
      </c>
      <c r="D4822" s="2" t="str">
        <f>IFERROR(__xludf.DUMMYFUNCTION("""COMPUTED_VALUE"""),"TBS")</f>
        <v>TBS</v>
      </c>
      <c r="E4822" s="2" t="str">
        <f>IFERROR(__xludf.DUMMYFUNCTION("""COMPUTED_VALUE"""),"金22")</f>
        <v>金22</v>
      </c>
      <c r="F4822" s="2" t="s">
        <v>13543</v>
      </c>
      <c r="G4822" s="2" t="s">
        <v>13568</v>
      </c>
      <c r="H4822" s="1">
        <v>9.0</v>
      </c>
      <c r="J4822" s="1" t="s">
        <v>86</v>
      </c>
      <c r="K4822" s="2" t="s">
        <v>13569</v>
      </c>
      <c r="L4822" s="2" t="s">
        <v>13570</v>
      </c>
      <c r="M4822" s="2" t="str">
        <f>IFERROR(__xludf.DUMMYFUNCTION("split(split(K4822,""【"",false),""公式LINE"",false)"),"秀明と綾子がヨリを戻したと思い込み、どうにも苛立ちが収まらない真弓。一方、太郎(ユースケ・サンタマリア)と真弓が一緒にいるところを目撃した秀明は、二人が付き合い始めたのではと勘違いし大慌て!二人の仲を探ろうと真弓に接近することに。しかし折しも開催された圭介(駿河太郎)の店のカレーパーティーに、秀明を追ってきた綾子が乱入で、四つ巴の大騒動が勃発!?そしてそれを機に、真弓と太郎がまさかの急接近で…!?中谷美紀　玉木宏　駿河太郎　高橋メアリージュン　桜田ひより　萩原利久　梅沢昌代　田村泰二郎　福地桃子　三木理紗"&amp;"子　森口瑤子　鎌田将司　本田剛文(BOYS　AND　MEN)　小林豊(BOYS　AND　MEN)　八鍬有紗　望月京奈　辻本達規(BOYS　AND　MEN)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https://"&amp;"twitter.com/anaie_tbs  ◇instagram  https://www.instagram.com/anaie_tbs/  番組の内容と放送時間は変更になる可能性があります。")</f>
        <v>秀明と綾子がヨリを戻したと思い込み、どうにも苛立ちが収まらない真弓。一方、太郎(ユースケ・サンタマリア)と真弓が一緒にいるところを目撃した秀明は、二人が付き合い始めたのではと勘違いし大慌て!二人の仲を探ろうと真弓に接近することに。しかし折しも開催された圭介(駿河太郎)の店のカレーパーティーに、秀明を追ってきた綾子が乱入で、四つ巴の大騒動が勃発!?そしてそれを機に、真弓と太郎がまさかの急接近で…!?中谷美紀　玉木宏　駿河太郎　高橋メアリージュン　桜田ひより　萩原利久　梅沢昌代　田村泰二郎　福地桃子　三木理紗子　森口瑤子　鎌田将司　本田剛文(BOYS　AND　MEN)　小林豊(BOYS　AND　MEN)　八鍬有紗　望月京奈　辻本達規(BOYS　AND　MEN)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v>
      </c>
      <c r="N4822" s="2"/>
      <c r="O4822" s="2"/>
      <c r="P4822" s="2"/>
      <c r="Q4822" s="2"/>
      <c r="R4822" s="2"/>
      <c r="S4822" s="2"/>
      <c r="T4822" s="2"/>
      <c r="U4822" s="2"/>
      <c r="V4822" s="2"/>
      <c r="W4822" s="2"/>
      <c r="X4822" s="2"/>
      <c r="Y4822" s="2"/>
      <c r="Z4822" s="2"/>
      <c r="AA4822" s="2"/>
      <c r="AB4822" s="2"/>
      <c r="AC4822" s="2"/>
      <c r="AD4822" s="2"/>
      <c r="AE4822" s="2"/>
      <c r="AF4822" s="2"/>
      <c r="AG4822" s="2"/>
      <c r="AH4822" s="2"/>
      <c r="AI4822" s="2"/>
      <c r="AJ4822" s="2"/>
      <c r="AK4822" s="2"/>
      <c r="AL4822" s="2"/>
      <c r="AM4822" s="2"/>
      <c r="AN4822" s="2"/>
      <c r="AO4822" s="2"/>
      <c r="AP4822" s="2"/>
      <c r="AQ4822" s="2"/>
      <c r="AR4822" s="2"/>
      <c r="AS4822" s="2"/>
      <c r="AT4822" s="2"/>
      <c r="AU4822" s="2"/>
      <c r="AV4822" s="2"/>
      <c r="AW4822" s="2"/>
      <c r="AX4822" s="2"/>
      <c r="AY4822" s="2"/>
      <c r="AZ4822" s="2"/>
      <c r="BA4822" s="2"/>
      <c r="BB4822" s="2"/>
    </row>
    <row r="4823" ht="204.75" customHeight="1">
      <c r="A4823" s="1">
        <v>791.0</v>
      </c>
      <c r="B4823" s="2" t="s">
        <v>13542</v>
      </c>
      <c r="C4823" s="2">
        <f>IFERROR(__xludf.DUMMYFUNCTION("split(B4823,""_"")"),1804.0)</f>
        <v>1804</v>
      </c>
      <c r="D4823" s="2" t="str">
        <f>IFERROR(__xludf.DUMMYFUNCTION("""COMPUTED_VALUE"""),"TBS")</f>
        <v>TBS</v>
      </c>
      <c r="E4823" s="2" t="str">
        <f>IFERROR(__xludf.DUMMYFUNCTION("""COMPUTED_VALUE"""),"金22")</f>
        <v>金22</v>
      </c>
      <c r="F4823" s="2" t="s">
        <v>13543</v>
      </c>
      <c r="G4823" s="2" t="s">
        <v>13571</v>
      </c>
      <c r="H4823" s="1">
        <v>10.0</v>
      </c>
      <c r="J4823" s="1" t="s">
        <v>86</v>
      </c>
      <c r="K4823" s="2" t="s">
        <v>13572</v>
      </c>
      <c r="L4823" s="2" t="s">
        <v>13573</v>
      </c>
      <c r="M4823" s="2" t="str">
        <f>IFERROR(__xludf.DUMMYFUNCTION("split(split(K4823,""【"",false),""公式LINE"",false)"),"娘の麗奈と、茄子田家の息子・慎吾が行方不明に!綾子の仕業ではと焦る真弓だったが、子供達は2人だけで綾子の実家がある栃木に向かっていることが判明。真弓は犬猿の仲である綾子と子供達を追うため栃木に向かう。秀明(玉木宏)と太郎(ユースケ・サンタマリア)も合流し、2組の珍道中が繰り広げられる!旅の先に待ち受けていたのは、茄子田家の重大な秘密、そして太郎の涙だった。それを見た真弓がした衝撃の提案とは…!?中谷美紀　玉木宏　駿河太郎　高橋メアリージュン　桜田ひより　萩原利久　梅沢昌代　田村泰二郎　福地桃子　三木理紗子"&amp;"　本田剛文(BOYS　AND　MEN)　小林豊(BOYS　AND　MEN)　辻本達規(BOYS　AND　MEN)　　森口瑤子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https://twitter.com/ana"&amp;"ie_tbs  ◇instagram  https://www.instagram.com/anaie_tbs/  番組の内容と放送時間は変更になる可能性があります。")</f>
        <v>娘の麗奈と、茄子田家の息子・慎吾が行方不明に!綾子の仕業ではと焦る真弓だったが、子供達は2人だけで綾子の実家がある栃木に向かっていることが判明。真弓は犬猿の仲である綾子と子供達を追うため栃木に向かう。秀明(玉木宏)と太郎(ユースケ・サンタマリア)も合流し、2組の珍道中が繰り広げられる!旅の先に待ち受けていたのは、茄子田家の重大な秘密、そして太郎の涙だった。それを見た真弓がした衝撃の提案とは…!?中谷美紀　玉木宏　駿河太郎　高橋メアリージュン　桜田ひより　萩原利久　梅沢昌代　田村泰二郎　福地桃子　三木理紗子　本田剛文(BOYS　AND　MEN)　小林豊(BOYS　AND　MEN)　辻本達規(BOYS　AND　MEN)　　森口瑤子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v>
      </c>
      <c r="N4823" s="2"/>
      <c r="O4823" s="2"/>
      <c r="P4823" s="2"/>
      <c r="Q4823" s="2"/>
      <c r="R4823" s="2"/>
      <c r="S4823" s="2"/>
      <c r="T4823" s="2"/>
      <c r="U4823" s="2"/>
      <c r="V4823" s="2"/>
      <c r="W4823" s="2"/>
      <c r="X4823" s="2"/>
      <c r="Y4823" s="2"/>
      <c r="Z4823" s="2"/>
      <c r="AA4823" s="2"/>
      <c r="AB4823" s="2"/>
      <c r="AC4823" s="2"/>
      <c r="AD4823" s="2"/>
      <c r="AE4823" s="2"/>
      <c r="AF4823" s="2"/>
      <c r="AG4823" s="2"/>
      <c r="AH4823" s="2"/>
      <c r="AI4823" s="2"/>
      <c r="AJ4823" s="2"/>
      <c r="AK4823" s="2"/>
      <c r="AL4823" s="2"/>
      <c r="AM4823" s="2"/>
      <c r="AN4823" s="2"/>
      <c r="AO4823" s="2"/>
      <c r="AP4823" s="2"/>
      <c r="AQ4823" s="2"/>
      <c r="AR4823" s="2"/>
      <c r="AS4823" s="2"/>
      <c r="AT4823" s="2"/>
      <c r="AU4823" s="2"/>
      <c r="AV4823" s="2"/>
      <c r="AW4823" s="2"/>
      <c r="AX4823" s="2"/>
      <c r="AY4823" s="2"/>
      <c r="AZ4823" s="2"/>
      <c r="BA4823" s="2"/>
      <c r="BB4823" s="2"/>
    </row>
    <row r="4824" ht="204.75" customHeight="1">
      <c r="A4824" s="1">
        <v>792.0</v>
      </c>
      <c r="B4824" s="2" t="s">
        <v>13542</v>
      </c>
      <c r="C4824" s="2">
        <f>IFERROR(__xludf.DUMMYFUNCTION("split(B4824,""_"")"),1804.0)</f>
        <v>1804</v>
      </c>
      <c r="D4824" s="2" t="str">
        <f>IFERROR(__xludf.DUMMYFUNCTION("""COMPUTED_VALUE"""),"TBS")</f>
        <v>TBS</v>
      </c>
      <c r="E4824" s="2" t="str">
        <f>IFERROR(__xludf.DUMMYFUNCTION("""COMPUTED_VALUE"""),"金22")</f>
        <v>金22</v>
      </c>
      <c r="F4824" s="2" t="s">
        <v>13543</v>
      </c>
      <c r="G4824" s="2" t="s">
        <v>13574</v>
      </c>
      <c r="H4824" s="1">
        <v>11.0</v>
      </c>
      <c r="J4824" s="1" t="s">
        <v>86</v>
      </c>
      <c r="K4824" s="2" t="s">
        <v>13575</v>
      </c>
      <c r="L4824" s="2" t="s">
        <v>13576</v>
      </c>
      <c r="M4824" s="2" t="str">
        <f>IFERROR(__xludf.DUMMYFUNCTION("split(split(K4824,""【"",false),""公式LINE"",false)"),"真弓の「太郎と家族になる」という宣言に動揺を隠しきれない秀明と太郎。それは真弓が綾子の本心を引き出すために仕掛けた挑発だった。対する綾子も一歩も引かず、奇妙な夫婦交換が始まることに…そんな最中、4人がエレベーターに閉じ込められる。極限状態の中でそれぞれが本音を大暴露!女たちの最終決戦の火蓋が切って落とされた!果たして彼女たちの帰る家はどこなのか?家族の行方は?怒涛の最終回!!  中谷美紀　玉木宏　駿河太郎　高橋メアリージュン　桜田ひより　萩原利久　梅沢昌代　田村泰二郎　福地桃子　三木理紗子　辻本達規(BO"&amp;"YS　AND　MEN)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https://www.instagram.com/anaie"&amp;"_tbs/  番組の内容と放送時間は変更になる可能性があります。")</f>
        <v>真弓の「太郎と家族になる」という宣言に動揺を隠しきれない秀明と太郎。それは真弓が綾子の本心を引き出すために仕掛けた挑発だった。対する綾子も一歩も引かず、奇妙な夫婦交換が始まることに…そんな最中、4人がエレベーターに閉じ込められる。極限状態の中でそれぞれが本音を大暴露!女たちの最終決戦の火蓋が切って落とされた!果たして彼女たちの帰る家はどこなのか?家族の行方は?怒涛の最終回!!  中谷美紀　玉木宏　駿河太郎　高橋メアリージュン　桜田ひより　萩原利久　梅沢昌代　田村泰二郎　福地桃子　三木理紗子　辻本達規(BOYS　AND　MEN)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v>
      </c>
      <c r="N4824" s="2"/>
      <c r="O4824" s="2"/>
      <c r="P4824" s="2"/>
      <c r="Q4824" s="2"/>
      <c r="R4824" s="2"/>
      <c r="S4824" s="2"/>
      <c r="T4824" s="2"/>
      <c r="U4824" s="2"/>
      <c r="V4824" s="2"/>
      <c r="W4824" s="2"/>
      <c r="X4824" s="2"/>
      <c r="Y4824" s="2"/>
      <c r="Z4824" s="2"/>
      <c r="AA4824" s="2"/>
      <c r="AB4824" s="2"/>
      <c r="AC4824" s="2"/>
      <c r="AD4824" s="2"/>
      <c r="AE4824" s="2"/>
      <c r="AF4824" s="2"/>
      <c r="AG4824" s="2"/>
      <c r="AH4824" s="2"/>
      <c r="AI4824" s="2"/>
      <c r="AJ4824" s="2"/>
      <c r="AK4824" s="2"/>
      <c r="AL4824" s="2"/>
      <c r="AM4824" s="2"/>
      <c r="AN4824" s="2"/>
      <c r="AO4824" s="2"/>
      <c r="AP4824" s="2"/>
      <c r="AQ4824" s="2"/>
      <c r="AR4824" s="2"/>
      <c r="AS4824" s="2"/>
      <c r="AT4824" s="2"/>
      <c r="AU4824" s="2"/>
      <c r="AV4824" s="2"/>
      <c r="AW4824" s="2"/>
      <c r="AX4824" s="2"/>
      <c r="AY4824" s="2"/>
      <c r="AZ4824" s="2"/>
      <c r="BA4824" s="2"/>
      <c r="BB4824" s="2"/>
    </row>
    <row r="4825" ht="204.75" customHeight="1">
      <c r="A4825" s="1">
        <v>818.0</v>
      </c>
      <c r="B4825" s="2" t="s">
        <v>13577</v>
      </c>
      <c r="C4825" s="2">
        <f>IFERROR(__xludf.DUMMYFUNCTION("split(B4825,""_"")"),1804.0)</f>
        <v>1804</v>
      </c>
      <c r="D4825" s="2" t="str">
        <f>IFERROR(__xludf.DUMMYFUNCTION("""COMPUTED_VALUE"""),"TBS")</f>
        <v>TBS</v>
      </c>
      <c r="E4825" s="2" t="str">
        <f>IFERROR(__xludf.DUMMYFUNCTION("""COMPUTED_VALUE"""),"日21")</f>
        <v>日21</v>
      </c>
      <c r="F4825" s="2" t="s">
        <v>13578</v>
      </c>
      <c r="G4825" s="2" t="s">
        <v>13579</v>
      </c>
      <c r="H4825" s="1">
        <v>1.0</v>
      </c>
      <c r="I4825" s="1" t="s">
        <v>2868</v>
      </c>
      <c r="J4825" s="1" t="s">
        <v>4</v>
      </c>
      <c r="K4825" s="2" t="s">
        <v>13580</v>
      </c>
      <c r="L4825" s="2" t="s">
        <v>13581</v>
      </c>
      <c r="M4825" s="2" t="str">
        <f>IFERROR(__xludf.DUMMYFUNCTION("split(split(K4825,""【"",false),""公式LINE"",false)"),"“神の手""を持つと称される外科医・佐伯清剛(内野聖陽)によって、難しい心臓手術が行われようとしていた。半年後に日本外科学会理事長選を控え、医療関係者が注目する重要な手術。しかし手術の最中、佐伯が受け持つ別の患者の容態が急変。医師たちが対応にあたるが状態は悪化する。そんなとき、手術室に一人の男が現れる。“オペ室の悪魔""と呼ばれる外科医・渡海征司郎(二宮和也)は、鮮やかなオペをしてみせるが…渡海征司郎・・・二宮和也、世良雅志・・・竹内涼真、花房美和・・・葵わかな  黒崎誠一郎・・・橋本さとし、藤原真琴・・"&amp;"・神野三鈴、猫田麻里・・・趣里  皆川妙子・・・山村紅葉、渡海春江・・・倍賞美津子、木下香織・・・加藤綾子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音楽・・・木村秀彬演出・・・福澤克雄  プロデューサー・・・伊與田英徳、川嶋龍太郎、峠田浩◇番組HP  http://www.tbs.co.jp/blackpean_tbs/  "&amp;"◇twitter  https://twitter.com/blackpean_tbs  ◇instagram  https://www.instagram.com/blackpean_tbs/  番組の内容と放送時間は変更になる可能性があります。")</f>
        <v>“神の手"を持つと称される外科医・佐伯清剛(内野聖陽)によって、難しい心臓手術が行われようとしていた。半年後に日本外科学会理事長選を控え、医療関係者が注目する重要な手術。しかし手術の最中、佐伯が受け持つ別の患者の容態が急変。医師たちが対応にあたるが状態は悪化する。そんなとき、手術室に一人の男が現れる。“オペ室の悪魔"と呼ばれる外科医・渡海征司郎(二宮和也)は、鮮やかなオペをしてみせるが…渡海征司郎・・・二宮和也、世良雅志・・・竹内涼真、花房美和・・・葵わかな  黒崎誠一郎・・・橋本さとし、藤原真琴・・・神野三鈴、猫田麻里・・・趣里  皆川妙子・・・山村紅葉、渡海春江・・・倍賞美津子、木下香織・・・加藤綾子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音楽・・・木村秀彬演出・・・福澤克雄  プロデューサー・・・伊與田英徳、川嶋龍太郎、峠田浩◇番組HP  http://www.tbs.co.jp/blackpean_tbs/  ◇twitter  https://twitter.com/blackpean_tbs  ◇instagram  https://www.instagram.com/blackpean_tbs/  番組の内容と放送時間は変更になる可能性があります。</v>
      </c>
      <c r="N4825" s="2"/>
      <c r="O4825" s="2"/>
      <c r="P4825" s="2"/>
      <c r="Q4825" s="2"/>
      <c r="R4825" s="2"/>
      <c r="S4825" s="2"/>
      <c r="T4825" s="2"/>
      <c r="U4825" s="2"/>
      <c r="V4825" s="2"/>
      <c r="W4825" s="2"/>
      <c r="X4825" s="2"/>
      <c r="Y4825" s="2"/>
      <c r="Z4825" s="2"/>
      <c r="AA4825" s="2"/>
      <c r="AB4825" s="2"/>
      <c r="AC4825" s="2"/>
      <c r="AD4825" s="2"/>
      <c r="AE4825" s="2"/>
      <c r="AF4825" s="2"/>
      <c r="AG4825" s="2"/>
      <c r="AH4825" s="2"/>
      <c r="AI4825" s="2"/>
      <c r="AJ4825" s="2"/>
      <c r="AK4825" s="2"/>
      <c r="AL4825" s="2"/>
      <c r="AM4825" s="2"/>
      <c r="AN4825" s="2"/>
      <c r="AO4825" s="2"/>
      <c r="AP4825" s="2"/>
      <c r="AQ4825" s="2"/>
      <c r="AR4825" s="2"/>
      <c r="AS4825" s="2"/>
      <c r="AT4825" s="2"/>
      <c r="AU4825" s="2"/>
      <c r="AV4825" s="2"/>
      <c r="AW4825" s="2"/>
      <c r="AX4825" s="2"/>
      <c r="AY4825" s="2"/>
      <c r="AZ4825" s="2"/>
      <c r="BA4825" s="2"/>
      <c r="BB4825" s="2"/>
    </row>
    <row r="4826" ht="204.75" customHeight="1">
      <c r="A4826" s="1">
        <v>819.0</v>
      </c>
      <c r="B4826" s="2" t="s">
        <v>13577</v>
      </c>
      <c r="C4826" s="2">
        <f>IFERROR(__xludf.DUMMYFUNCTION("split(B4826,""_"")"),1804.0)</f>
        <v>1804</v>
      </c>
      <c r="D4826" s="2" t="str">
        <f>IFERROR(__xludf.DUMMYFUNCTION("""COMPUTED_VALUE"""),"TBS")</f>
        <v>TBS</v>
      </c>
      <c r="E4826" s="2" t="str">
        <f>IFERROR(__xludf.DUMMYFUNCTION("""COMPUTED_VALUE"""),"日21")</f>
        <v>日21</v>
      </c>
      <c r="F4826" s="2" t="s">
        <v>13578</v>
      </c>
      <c r="G4826" s="2" t="s">
        <v>13582</v>
      </c>
      <c r="H4826" s="1">
        <v>2.0</v>
      </c>
      <c r="I4826" s="1" t="s">
        <v>2872</v>
      </c>
      <c r="J4826" s="1" t="s">
        <v>4</v>
      </c>
      <c r="K4826" s="2" t="s">
        <v>13583</v>
      </c>
      <c r="L4826" s="2" t="s">
        <v>13584</v>
      </c>
      <c r="M4826" s="2" t="str">
        <f>IFERROR(__xludf.DUMMYFUNCTION("split(split(K4826,""【"",false),""公式LINE"",false)"),"“スナイプ""を持ち込んだ高階(小泉孝太郎)だが、術後トラブルで手術を行えずにいた。研修医の世良(竹内涼真)も、思い描いていた姿と現実のギャップに落ち込む。ある日救急できた患者小山は渡海(二宮和也)により一命を取り留めたが、更なる手術に難色を示す。渡海は痛烈な一言を投げかける。順番待ちの佐伯教授(内野聖陽)の手術を希望した矢先、高階が小山のスナイプ手術を提案。佐伯は了承するが、驚くべき条件を出す…。渡海征司郎・・・二宮和也、世良雅志・・・竹内涼真、花房美和・・・葵わかな  黒崎誠一郎・・・橋本さとし、藤原"&amp;"真琴・・・神野三鈴、猫田麻里・・・趣里  小山兼人・・・島田洋七、小山好恵・・・沢松奈生子、木下香織・・・加藤綾子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音楽・・・木村秀彬演出・・・田中健太  プロデューサー・・・伊與田英徳、川嶋龍太郎、峠田浩◇番組HP  http://www.tbs.co.jp/blackpean_tb"&amp;"s/  ◇twitter  https://twitter.com/blackpean_tbs  ◇instagram  https://www.instagram.com/blackpean_tbs/  番組の内容と放送時間は変更になる可能性があります。")</f>
        <v>“スナイプ"を持ち込んだ高階(小泉孝太郎)だが、術後トラブルで手術を行えずにいた。研修医の世良(竹内涼真)も、思い描いていた姿と現実のギャップに落ち込む。ある日救急できた患者小山は渡海(二宮和也)により一命を取り留めたが、更なる手術に難色を示す。渡海は痛烈な一言を投げかける。順番待ちの佐伯教授(内野聖陽)の手術を希望した矢先、高階が小山のスナイプ手術を提案。佐伯は了承するが、驚くべき条件を出す…。渡海征司郎・・・二宮和也、世良雅志・・・竹内涼真、花房美和・・・葵わかな  黒崎誠一郎・・・橋本さとし、藤原真琴・・・神野三鈴、猫田麻里・・・趣里  小山兼人・・・島田洋七、小山好恵・・・沢松奈生子、木下香織・・・加藤綾子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音楽・・・木村秀彬演出・・・田中健太  プロデューサー・・・伊與田英徳、川嶋龍太郎、峠田浩◇番組HP  http://www.tbs.co.jp/blackpean_tbs/  ◇twitter  https://twitter.com/blackpean_tbs  ◇instagram  https://www.instagram.com/blackpean_tbs/  番組の内容と放送時間は変更になる可能性があります。</v>
      </c>
      <c r="N4826" s="2"/>
      <c r="O4826" s="2"/>
      <c r="P4826" s="2"/>
      <c r="Q4826" s="2"/>
      <c r="R4826" s="2"/>
      <c r="S4826" s="2"/>
      <c r="T4826" s="2"/>
      <c r="U4826" s="2"/>
      <c r="V4826" s="2"/>
      <c r="W4826" s="2"/>
      <c r="X4826" s="2"/>
      <c r="Y4826" s="2"/>
      <c r="Z4826" s="2"/>
      <c r="AA4826" s="2"/>
      <c r="AB4826" s="2"/>
      <c r="AC4826" s="2"/>
      <c r="AD4826" s="2"/>
      <c r="AE4826" s="2"/>
      <c r="AF4826" s="2"/>
      <c r="AG4826" s="2"/>
      <c r="AH4826" s="2"/>
      <c r="AI4826" s="2"/>
      <c r="AJ4826" s="2"/>
      <c r="AK4826" s="2"/>
      <c r="AL4826" s="2"/>
      <c r="AM4826" s="2"/>
      <c r="AN4826" s="2"/>
      <c r="AO4826" s="2"/>
      <c r="AP4826" s="2"/>
      <c r="AQ4826" s="2"/>
      <c r="AR4826" s="2"/>
      <c r="AS4826" s="2"/>
      <c r="AT4826" s="2"/>
      <c r="AU4826" s="2"/>
      <c r="AV4826" s="2"/>
      <c r="AW4826" s="2"/>
      <c r="AX4826" s="2"/>
      <c r="AY4826" s="2"/>
      <c r="AZ4826" s="2"/>
      <c r="BA4826" s="2"/>
      <c r="BB4826" s="2"/>
    </row>
    <row r="4827" ht="204.75" customHeight="1">
      <c r="A4827" s="1">
        <v>820.0</v>
      </c>
      <c r="B4827" s="2" t="s">
        <v>13577</v>
      </c>
      <c r="C4827" s="2">
        <f>IFERROR(__xludf.DUMMYFUNCTION("split(B4827,""_"")"),1804.0)</f>
        <v>1804</v>
      </c>
      <c r="D4827" s="2" t="str">
        <f>IFERROR(__xludf.DUMMYFUNCTION("""COMPUTED_VALUE"""),"TBS")</f>
        <v>TBS</v>
      </c>
      <c r="E4827" s="2" t="str">
        <f>IFERROR(__xludf.DUMMYFUNCTION("""COMPUTED_VALUE"""),"日21")</f>
        <v>日21</v>
      </c>
      <c r="F4827" s="2" t="s">
        <v>13578</v>
      </c>
      <c r="G4827" s="2" t="s">
        <v>13585</v>
      </c>
      <c r="H4827" s="1">
        <v>3.0</v>
      </c>
      <c r="I4827" s="1" t="s">
        <v>2876</v>
      </c>
      <c r="J4827" s="1" t="s">
        <v>11</v>
      </c>
      <c r="K4827" s="2" t="s">
        <v>13586</v>
      </c>
      <c r="L4827" s="2" t="s">
        <v>13587</v>
      </c>
      <c r="M4827" s="2" t="str">
        <f>IFERROR(__xludf.DUMMYFUNCTION("split(split(K4827,""【"",false),""公式LINE"",false)"),"結果が出せない高階(小泉孝太郎)は後がなくなっていた。そんなとき厚生労働省の次期事務次官候補である田村浩司(依田司)の息子・田村隼人(高地優吾)が東城大にやってくる。隼人はピアノコンクールを間近に控え、短期間での回復が見込めるスナイプ手術を希望するが術前検査で心臓に問題があることが発覚。高階は断腸の思いでスナイプ手術をあきらめる、と佐伯教授に告げるが、佐伯は渡海にスナイプ手術を行うよう命令し・・・渡海征司郎・・・二宮和也、世良雅志・・・竹内涼真、花房美和・・・葵わかな  黒崎誠一郎・・・橋本さとし、藤原真"&amp;"琴・・・神野三鈴、猫田麻里・・・趣里  田村隼人・・・高地優吾、田村浩司・・・依田司、渡海春江・・・倍賞美津子、木下香織・・・加藤綾子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音楽・・・木村秀彬演出・・・渡瀬暁彦  プロデューサー・・・伊與田英徳、川嶋龍太郎、峠田浩◇番組HP  http://www.tbs.co.jp/bl"&amp;"ackpean_tbs/  ◇twitter  https://twitter.com/blackpean_tbs  ◇instagram  https://www.instagram.com/blackpean_tbs/  番組の内容と放送時間は変更になる可能性があります。")</f>
        <v>結果が出せない高階(小泉孝太郎)は後がなくなっていた。そんなとき厚生労働省の次期事務次官候補である田村浩司(依田司)の息子・田村隼人(高地優吾)が東城大にやってくる。隼人はピアノコンクールを間近に控え、短期間での回復が見込めるスナイプ手術を希望するが術前検査で心臓に問題があることが発覚。高階は断腸の思いでスナイプ手術をあきらめる、と佐伯教授に告げるが、佐伯は渡海にスナイプ手術を行うよう命令し・・・渡海征司郎・・・二宮和也、世良雅志・・・竹内涼真、花房美和・・・葵わかな  黒崎誠一郎・・・橋本さとし、藤原真琴・・・神野三鈴、猫田麻里・・・趣里  田村隼人・・・高地優吾、田村浩司・・・依田司、渡海春江・・・倍賞美津子、木下香織・・・加藤綾子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音楽・・・木村秀彬演出・・・渡瀬暁彦  プロデューサー・・・伊與田英徳、川嶋龍太郎、峠田浩◇番組HP  http://www.tbs.co.jp/blackpean_tbs/  ◇twitter  https://twitter.com/blackpean_tbs  ◇instagram  https://www.instagram.com/blackpean_tbs/  番組の内容と放送時間は変更になる可能性があります。</v>
      </c>
      <c r="N4827" s="2"/>
      <c r="O4827" s="2"/>
      <c r="P4827" s="2"/>
      <c r="Q4827" s="2"/>
      <c r="R4827" s="2"/>
      <c r="S4827" s="2"/>
      <c r="T4827" s="2"/>
      <c r="U4827" s="2"/>
      <c r="V4827" s="2"/>
      <c r="W4827" s="2"/>
      <c r="X4827" s="2"/>
      <c r="Y4827" s="2"/>
      <c r="Z4827" s="2"/>
      <c r="AA4827" s="2"/>
      <c r="AB4827" s="2"/>
      <c r="AC4827" s="2"/>
      <c r="AD4827" s="2"/>
      <c r="AE4827" s="2"/>
      <c r="AF4827" s="2"/>
      <c r="AG4827" s="2"/>
      <c r="AH4827" s="2"/>
      <c r="AI4827" s="2"/>
      <c r="AJ4827" s="2"/>
      <c r="AK4827" s="2"/>
      <c r="AL4827" s="2"/>
      <c r="AM4827" s="2"/>
      <c r="AN4827" s="2"/>
      <c r="AO4827" s="2"/>
      <c r="AP4827" s="2"/>
      <c r="AQ4827" s="2"/>
      <c r="AR4827" s="2"/>
      <c r="AS4827" s="2"/>
      <c r="AT4827" s="2"/>
      <c r="AU4827" s="2"/>
      <c r="AV4827" s="2"/>
      <c r="AW4827" s="2"/>
      <c r="AX4827" s="2"/>
      <c r="AY4827" s="2"/>
      <c r="AZ4827" s="2"/>
      <c r="BA4827" s="2"/>
      <c r="BB4827" s="2"/>
    </row>
    <row r="4828" ht="204.75" customHeight="1">
      <c r="A4828" s="1">
        <v>821.0</v>
      </c>
      <c r="B4828" s="2" t="s">
        <v>13577</v>
      </c>
      <c r="C4828" s="2">
        <f>IFERROR(__xludf.DUMMYFUNCTION("split(B4828,""_"")"),1804.0)</f>
        <v>1804</v>
      </c>
      <c r="D4828" s="2" t="str">
        <f>IFERROR(__xludf.DUMMYFUNCTION("""COMPUTED_VALUE"""),"TBS")</f>
        <v>TBS</v>
      </c>
      <c r="E4828" s="2" t="str">
        <f>IFERROR(__xludf.DUMMYFUNCTION("""COMPUTED_VALUE"""),"日21")</f>
        <v>日21</v>
      </c>
      <c r="F4828" s="2" t="s">
        <v>13578</v>
      </c>
      <c r="G4828" s="2" t="s">
        <v>13588</v>
      </c>
      <c r="H4828" s="1">
        <v>4.0</v>
      </c>
      <c r="I4828" s="1" t="s">
        <v>2880</v>
      </c>
      <c r="J4828" s="1" t="s">
        <v>11</v>
      </c>
      <c r="K4828" s="2" t="s">
        <v>13589</v>
      </c>
      <c r="L4828" s="2" t="s">
        <v>13590</v>
      </c>
      <c r="M4828" s="2" t="str">
        <f>IFERROR(__xludf.DUMMYFUNCTION("split(split(K4828,""【"",false),""公式LINE"",false)"),"スナイプ手術が成功し、東城大ではスナイプを大量に導入する方針を固めていた。そんな時、高階は帝華大時代に担当していた僧帽弁閉鎖不全の子供の患者を東城大に転院させる。血液が固まりにくい症状で出血を伴う手術は不可能ということもあり、高階は佐伯教授にスナイプ手術の実施を頼み込む。佐伯教授は渡海(二宮和也)を執刀医に指名。ところが、あろうことか渡海は指名を断ってしまい・・・渡海征司郎・・・二宮和也、世良雅志・・・竹内涼真、花房美和・・・葵わかな  黒崎誠一郎・・・橋本さとし、藤原真琴・・・神野三鈴、猫田麻里・・・趣"&amp;"里  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音楽・・・木村秀彬演出・・・田中健太  プロデューサー・・・伊與田英徳、川嶋龍太郎、峠田浩◇番組HP  http://www.tbs.co.jp/blackpean_tbs/  ◇twitter  https://twitter."&amp;"com/blackpean_tbs  ◇instagram  https://www.instagram.com/blackpean_tbs/  番組の内容と放送時間は変更になる可能性があります。")</f>
        <v>スナイプ手術が成功し、東城大ではスナイプを大量に導入する方針を固めていた。そんな時、高階は帝華大時代に担当していた僧帽弁閉鎖不全の子供の患者を東城大に転院させる。血液が固まりにくい症状で出血を伴う手術は不可能ということもあり、高階は佐伯教授にスナイプ手術の実施を頼み込む。佐伯教授は渡海(二宮和也)を執刀医に指名。ところが、あろうことか渡海は指名を断ってしまい・・・渡海征司郎・・・二宮和也、世良雅志・・・竹内涼真、花房美和・・・葵わかな  黒崎誠一郎・・・橋本さとし、藤原真琴・・・神野三鈴、猫田麻里・・・趣里  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音楽・・・木村秀彬演出・・・田中健太  プロデューサー・・・伊與田英徳、川嶋龍太郎、峠田浩◇番組HP  http://www.tbs.co.jp/blackpean_tbs/  ◇twitter  https://twitter.com/blackpean_tbs  ◇instagram  https://www.instagram.com/blackpean_tbs/  番組の内容と放送時間は変更になる可能性があります。</v>
      </c>
      <c r="N4828" s="2"/>
      <c r="O4828" s="2"/>
      <c r="P4828" s="2"/>
      <c r="Q4828" s="2"/>
      <c r="R4828" s="2"/>
      <c r="S4828" s="2"/>
      <c r="T4828" s="2"/>
      <c r="U4828" s="2"/>
      <c r="V4828" s="2"/>
      <c r="W4828" s="2"/>
      <c r="X4828" s="2"/>
      <c r="Y4828" s="2"/>
      <c r="Z4828" s="2"/>
      <c r="AA4828" s="2"/>
      <c r="AB4828" s="2"/>
      <c r="AC4828" s="2"/>
      <c r="AD4828" s="2"/>
      <c r="AE4828" s="2"/>
      <c r="AF4828" s="2"/>
      <c r="AG4828" s="2"/>
      <c r="AH4828" s="2"/>
      <c r="AI4828" s="2"/>
      <c r="AJ4828" s="2"/>
      <c r="AK4828" s="2"/>
      <c r="AL4828" s="2"/>
      <c r="AM4828" s="2"/>
      <c r="AN4828" s="2"/>
      <c r="AO4828" s="2"/>
      <c r="AP4828" s="2"/>
      <c r="AQ4828" s="2"/>
      <c r="AR4828" s="2"/>
      <c r="AS4828" s="2"/>
      <c r="AT4828" s="2"/>
      <c r="AU4828" s="2"/>
      <c r="AV4828" s="2"/>
      <c r="AW4828" s="2"/>
      <c r="AX4828" s="2"/>
      <c r="AY4828" s="2"/>
      <c r="AZ4828" s="2"/>
      <c r="BA4828" s="2"/>
      <c r="BB4828" s="2"/>
    </row>
    <row r="4829" ht="204.75" customHeight="1">
      <c r="A4829" s="1">
        <v>822.0</v>
      </c>
      <c r="B4829" s="2" t="s">
        <v>13577</v>
      </c>
      <c r="C4829" s="2">
        <f>IFERROR(__xludf.DUMMYFUNCTION("split(B4829,""_"")"),1804.0)</f>
        <v>1804</v>
      </c>
      <c r="D4829" s="2" t="str">
        <f>IFERROR(__xludf.DUMMYFUNCTION("""COMPUTED_VALUE"""),"TBS")</f>
        <v>TBS</v>
      </c>
      <c r="E4829" s="2" t="str">
        <f>IFERROR(__xludf.DUMMYFUNCTION("""COMPUTED_VALUE"""),"日21")</f>
        <v>日21</v>
      </c>
      <c r="F4829" s="2" t="s">
        <v>13578</v>
      </c>
      <c r="G4829" s="2" t="s">
        <v>13591</v>
      </c>
      <c r="H4829" s="1">
        <v>5.0</v>
      </c>
      <c r="I4829" s="1" t="s">
        <v>2884</v>
      </c>
      <c r="J4829" s="1" t="s">
        <v>11</v>
      </c>
      <c r="K4829" s="2" t="s">
        <v>13592</v>
      </c>
      <c r="L4829" s="2" t="s">
        <v>13593</v>
      </c>
      <c r="M4829" s="2" t="str">
        <f>IFERROR(__xludf.DUMMYFUNCTION("split(split(K4829,""【"",false),""公式LINE"",false)"),"スナイプの論文を完成させた高階権太(小泉孝太郎)だったが、小春の術後の血液検査で心臓の中隔に感染が見つかる。西崎教授(市川猿之助)からは無理にでも退院させるよう言われるが、高階は再びオペを行うことに。だが小春の血液は固まりにくく手術は不可能な状態。渡海征司郎(二宮和也)は薬物治療への切り替えを進める。そこで高階は手術用ロボット「ダーウィン」での手術を提案し…渡海征司郎・・・二宮和也、世良雅志・・・竹内涼真、花房美和・・・葵わかな  黒崎誠一郎・・・橋本さとし、藤原真琴・・・神野三鈴、猫田麻里・・・趣里  "&amp;"渡海春江・・・倍賞美津子、木下香織・・・加藤綾子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音楽・・・木村秀彬演出・・・渡瀬暁彦  プロデューサー・・・伊與田英徳、川嶋龍太郎、峠田浩◇番組HP  http://www.tbs.co.jp/blackpean_tbs/  ◇twitter  https://twitter.com"&amp;"/blackpean_tbs  ◇instagram  https://www.instagram.com/blackpean_tbs/  番組の内容と放送時間は変更になる可能性があります。")</f>
        <v>スナイプの論文を完成させた高階権太(小泉孝太郎)だったが、小春の術後の血液検査で心臓の中隔に感染が見つかる。西崎教授(市川猿之助)からは無理にでも退院させるよう言われるが、高階は再びオペを行うことに。だが小春の血液は固まりにくく手術は不可能な状態。渡海征司郎(二宮和也)は薬物治療への切り替えを進める。そこで高階は手術用ロボット「ダーウィン」での手術を提案し…渡海征司郎・・・二宮和也、世良雅志・・・竹内涼真、花房美和・・・葵わかな  黒崎誠一郎・・・橋本さとし、藤原真琴・・・神野三鈴、猫田麻里・・・趣里  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音楽・・・木村秀彬演出・・・渡瀬暁彦  プロデューサー・・・伊與田英徳、川嶋龍太郎、峠田浩◇番組HP  http://www.tbs.co.jp/blackpean_tbs/  ◇twitter  https://twitter.com/blackpean_tbs  ◇instagram  https://www.instagram.com/blackpean_tbs/  番組の内容と放送時間は変更になる可能性があります。</v>
      </c>
      <c r="N4829" s="2"/>
      <c r="O4829" s="2"/>
      <c r="P4829" s="2"/>
      <c r="Q4829" s="2"/>
      <c r="R4829" s="2"/>
      <c r="S4829" s="2"/>
      <c r="T4829" s="2"/>
      <c r="U4829" s="2"/>
      <c r="V4829" s="2"/>
      <c r="W4829" s="2"/>
      <c r="X4829" s="2"/>
      <c r="Y4829" s="2"/>
      <c r="Z4829" s="2"/>
      <c r="AA4829" s="2"/>
      <c r="AB4829" s="2"/>
      <c r="AC4829" s="2"/>
      <c r="AD4829" s="2"/>
      <c r="AE4829" s="2"/>
      <c r="AF4829" s="2"/>
      <c r="AG4829" s="2"/>
      <c r="AH4829" s="2"/>
      <c r="AI4829" s="2"/>
      <c r="AJ4829" s="2"/>
      <c r="AK4829" s="2"/>
      <c r="AL4829" s="2"/>
      <c r="AM4829" s="2"/>
      <c r="AN4829" s="2"/>
      <c r="AO4829" s="2"/>
      <c r="AP4829" s="2"/>
      <c r="AQ4829" s="2"/>
      <c r="AR4829" s="2"/>
      <c r="AS4829" s="2"/>
      <c r="AT4829" s="2"/>
      <c r="AU4829" s="2"/>
      <c r="AV4829" s="2"/>
      <c r="AW4829" s="2"/>
      <c r="AX4829" s="2"/>
      <c r="AY4829" s="2"/>
      <c r="AZ4829" s="2"/>
      <c r="BA4829" s="2"/>
      <c r="BB4829" s="2"/>
    </row>
    <row r="4830" ht="204.75" customHeight="1">
      <c r="A4830" s="1">
        <v>823.0</v>
      </c>
      <c r="B4830" s="2" t="s">
        <v>13577</v>
      </c>
      <c r="C4830" s="2">
        <f>IFERROR(__xludf.DUMMYFUNCTION("split(B4830,""_"")"),1804.0)</f>
        <v>1804</v>
      </c>
      <c r="D4830" s="2" t="str">
        <f>IFERROR(__xludf.DUMMYFUNCTION("""COMPUTED_VALUE"""),"TBS")</f>
        <v>TBS</v>
      </c>
      <c r="E4830" s="2" t="str">
        <f>IFERROR(__xludf.DUMMYFUNCTION("""COMPUTED_VALUE"""),"日21")</f>
        <v>日21</v>
      </c>
      <c r="F4830" s="2" t="s">
        <v>13578</v>
      </c>
      <c r="G4830" s="2" t="s">
        <v>13594</v>
      </c>
      <c r="H4830" s="1">
        <v>6.0</v>
      </c>
      <c r="I4830" s="1" t="s">
        <v>2888</v>
      </c>
      <c r="J4830" s="1" t="s">
        <v>11</v>
      </c>
      <c r="K4830" s="2" t="s">
        <v>13595</v>
      </c>
      <c r="L4830" s="2" t="s">
        <v>13596</v>
      </c>
      <c r="M4830" s="2" t="str">
        <f>IFERROR(__xludf.DUMMYFUNCTION("split(split(K4830,""【"",false),""公式LINE"",false)"),"ある日、東城大に渡海(二宮和也)の母・春江(倍賞美津子)が搬送される。黒崎(橋本さとし)の緊急手術で腫瘍は取り除かれ危機を脱するが、術後の検査で一部見落としがあり腫瘍がまだ残っていたことが発覚。  渡海はそのことを医療過誤と責め立て、佐伯教授(内野聖陽)が再度執刀するという案をはねつけ、さらには東城大に和解金を要求する。果たして、春江の手術はどうなるのか・・・。渡海征司郎・・・二宮和也、世良雅志・・・竹内涼真、花房美和・・・葵わかな  黒崎誠一郎・・・橋本さとし、藤原真琴・・・神野三鈴、猫田麻里・・・趣里"&amp;"  富沢雅之・・・福澤朗、渡海春江・・・倍賞美津子、木下香織・・・加藤綾子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音楽・・・木村秀彬演出・・・福澤克雄  プロデューサー・・・伊與田英徳、川嶋龍太郎、峠田浩◇番組HP  http://www.tbs.co.jp/blackpean_tbs/  ◇twitter  https:"&amp;"//twitter.com/blackpean_tbs  ◇instagram  https://www.instagram.com/blackpean_tbs/  番組の内容と放送時間は変更になる可能性があります。")</f>
        <v>ある日、東城大に渡海(二宮和也)の母・春江(倍賞美津子)が搬送される。黒崎(橋本さとし)の緊急手術で腫瘍は取り除かれ危機を脱するが、術後の検査で一部見落としがあり腫瘍がまだ残っていたことが発覚。  渡海はそのことを医療過誤と責め立て、佐伯教授(内野聖陽)が再度執刀するという案をはねつけ、さらには東城大に和解金を要求する。果たして、春江の手術はどうなるのか・・・。渡海征司郎・・・二宮和也、世良雅志・・・竹内涼真、花房美和・・・葵わかな  黒崎誠一郎・・・橋本さとし、藤原真琴・・・神野三鈴、猫田麻里・・・趣里  富沢雅之・・・福澤朗、渡海春江・・・倍賞美津子、木下香織・・・加藤綾子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音楽・・・木村秀彬演出・・・福澤克雄  プロデューサー・・・伊與田英徳、川嶋龍太郎、峠田浩◇番組HP  http://www.tbs.co.jp/blackpean_tbs/  ◇twitter  https://twitter.com/blackpean_tbs  ◇instagram  https://www.instagram.com/blackpean_tbs/  番組の内容と放送時間は変更になる可能性があります。</v>
      </c>
      <c r="N4830" s="2"/>
      <c r="O4830" s="2"/>
      <c r="P4830" s="2"/>
      <c r="Q4830" s="2"/>
      <c r="R4830" s="2"/>
      <c r="S4830" s="2"/>
      <c r="T4830" s="2"/>
      <c r="U4830" s="2"/>
      <c r="V4830" s="2"/>
      <c r="W4830" s="2"/>
      <c r="X4830" s="2"/>
      <c r="Y4830" s="2"/>
      <c r="Z4830" s="2"/>
      <c r="AA4830" s="2"/>
      <c r="AB4830" s="2"/>
      <c r="AC4830" s="2"/>
      <c r="AD4830" s="2"/>
      <c r="AE4830" s="2"/>
      <c r="AF4830" s="2"/>
      <c r="AG4830" s="2"/>
      <c r="AH4830" s="2"/>
      <c r="AI4830" s="2"/>
      <c r="AJ4830" s="2"/>
      <c r="AK4830" s="2"/>
      <c r="AL4830" s="2"/>
      <c r="AM4830" s="2"/>
      <c r="AN4830" s="2"/>
      <c r="AO4830" s="2"/>
      <c r="AP4830" s="2"/>
      <c r="AQ4830" s="2"/>
      <c r="AR4830" s="2"/>
      <c r="AS4830" s="2"/>
      <c r="AT4830" s="2"/>
      <c r="AU4830" s="2"/>
      <c r="AV4830" s="2"/>
      <c r="AW4830" s="2"/>
      <c r="AX4830" s="2"/>
      <c r="AY4830" s="2"/>
      <c r="AZ4830" s="2"/>
      <c r="BA4830" s="2"/>
      <c r="BB4830" s="2"/>
    </row>
    <row r="4831" ht="204.75" customHeight="1">
      <c r="A4831" s="1">
        <v>824.0</v>
      </c>
      <c r="B4831" s="2" t="s">
        <v>13577</v>
      </c>
      <c r="C4831" s="2">
        <f>IFERROR(__xludf.DUMMYFUNCTION("split(B4831,""_"")"),1804.0)</f>
        <v>1804</v>
      </c>
      <c r="D4831" s="2" t="str">
        <f>IFERROR(__xludf.DUMMYFUNCTION("""COMPUTED_VALUE"""),"TBS")</f>
        <v>TBS</v>
      </c>
      <c r="E4831" s="2" t="str">
        <f>IFERROR(__xludf.DUMMYFUNCTION("""COMPUTED_VALUE"""),"日21")</f>
        <v>日21</v>
      </c>
      <c r="F4831" s="2" t="s">
        <v>13578</v>
      </c>
      <c r="G4831" s="2" t="s">
        <v>13597</v>
      </c>
      <c r="H4831" s="1">
        <v>7.0</v>
      </c>
      <c r="I4831" s="1" t="s">
        <v>2892</v>
      </c>
      <c r="J4831" s="1" t="s">
        <v>11</v>
      </c>
      <c r="K4831" s="2" t="s">
        <v>13598</v>
      </c>
      <c r="L4831" s="2" t="s">
        <v>13599</v>
      </c>
      <c r="M4831" s="2" t="str">
        <f>IFERROR(__xludf.DUMMYFUNCTION("split(split(K4831,""【"",false),""公式LINE"",false)"),"渡海征司郎(二宮和也)が帝華大へと引き抜かれ東城大を去った。一方、カエサルを推進する厚労省の富沢(福澤朗)が二度目の治験を行うよう佐伯教授(内野聖陽)の元を訪ね、一人の患者の治験を持ちかける。東城大は患者の山本祥子(相武紗季)を治験者にする為、治験コーディネーターの香織(加藤綾子)は祥子へ説明しに行く。ところが・・・渡海征司郎・・・二宮和也、世良雅志・・・竹内涼真、花房美和・・・葵わかな、  黒崎誠一郎・・・橋本さとし、藤原真琴・・・神野三鈴、猫田麻里・・・趣里  山本祥子・・・相武紗季、渡海春江・・・倍"&amp;"賞美津子、木下香織・・・加藤綾子  池永秀人・・・加藤浩次、西崎啓介・・・市川猿之助、  高階権太・・・小泉孝太郎、佐伯清剛・・・内野聖陽海堂尊「新装版ブラックペアン1988」(講談社文庫)  丑尾健太郎主題歌・・・小田和正「この道を」(アリオラジャパン)  音楽・・・木村秀彬演出・・・福澤克雄  プロデューサー・・・伊與田英徳、川嶋龍太郎、峠田浩◇番組HP  http://www.tbs.co.jp/blackpean_tbs/  ◇twitter  https://twitter.com/blackp"&amp;"ean_tbs  ◇instagram  https://www.instagram.com/blackpean_tbs/  番組の内容と放送時間は変更になる可能性があります。")</f>
        <v>渡海征司郎(二宮和也)が帝華大へと引き抜かれ東城大を去った。一方、カエサルを推進する厚労省の富沢(福澤朗)が二度目の治験を行うよう佐伯教授(内野聖陽)の元を訪ね、一人の患者の治験を持ちかける。東城大は患者の山本祥子(相武紗季)を治験者にする為、治験コーディネーターの香織(加藤綾子)は祥子へ説明しに行く。ところが・・・渡海征司郎・・・二宮和也、世良雅志・・・竹内涼真、花房美和・・・葵わかな、  黒崎誠一郎・・・橋本さとし、藤原真琴・・・神野三鈴、猫田麻里・・・趣里  山本祥子・・・相武紗季、渡海春江・・・倍賞美津子、木下香織・・・加藤綾子  池永秀人・・・加藤浩次、西崎啓介・・・市川猿之助、  高階権太・・・小泉孝太郎、佐伯清剛・・・内野聖陽海堂尊「新装版ブラックペアン1988」(講談社文庫)  丑尾健太郎主題歌・・・小田和正「この道を」(アリオラジャパン)  音楽・・・木村秀彬演出・・・福澤克雄  プロデューサー・・・伊與田英徳、川嶋龍太郎、峠田浩◇番組HP  http://www.tbs.co.jp/blackpean_tbs/  ◇twitter  https://twitter.com/blackpean_tbs  ◇instagram  https://www.instagram.com/blackpean_tbs/  番組の内容と放送時間は変更になる可能性があります。</v>
      </c>
      <c r="N4831" s="2"/>
      <c r="O4831" s="2"/>
      <c r="P4831" s="2"/>
      <c r="Q4831" s="2"/>
      <c r="R4831" s="2"/>
      <c r="S4831" s="2"/>
      <c r="T4831" s="2"/>
      <c r="U4831" s="2"/>
      <c r="V4831" s="2"/>
      <c r="W4831" s="2"/>
      <c r="X4831" s="2"/>
      <c r="Y4831" s="2"/>
      <c r="Z4831" s="2"/>
      <c r="AA4831" s="2"/>
      <c r="AB4831" s="2"/>
      <c r="AC4831" s="2"/>
      <c r="AD4831" s="2"/>
      <c r="AE4831" s="2"/>
      <c r="AF4831" s="2"/>
      <c r="AG4831" s="2"/>
      <c r="AH4831" s="2"/>
      <c r="AI4831" s="2"/>
      <c r="AJ4831" s="2"/>
      <c r="AK4831" s="2"/>
      <c r="AL4831" s="2"/>
      <c r="AM4831" s="2"/>
      <c r="AN4831" s="2"/>
      <c r="AO4831" s="2"/>
      <c r="AP4831" s="2"/>
      <c r="AQ4831" s="2"/>
      <c r="AR4831" s="2"/>
      <c r="AS4831" s="2"/>
      <c r="AT4831" s="2"/>
      <c r="AU4831" s="2"/>
      <c r="AV4831" s="2"/>
      <c r="AW4831" s="2"/>
      <c r="AX4831" s="2"/>
      <c r="AY4831" s="2"/>
      <c r="AZ4831" s="2"/>
      <c r="BA4831" s="2"/>
      <c r="BB4831" s="2"/>
    </row>
    <row r="4832" ht="204.75" customHeight="1">
      <c r="A4832" s="1">
        <v>825.0</v>
      </c>
      <c r="B4832" s="2" t="s">
        <v>13577</v>
      </c>
      <c r="C4832" s="2">
        <f>IFERROR(__xludf.DUMMYFUNCTION("split(B4832,""_"")"),1804.0)</f>
        <v>1804</v>
      </c>
      <c r="D4832" s="2" t="str">
        <f>IFERROR(__xludf.DUMMYFUNCTION("""COMPUTED_VALUE"""),"TBS")</f>
        <v>TBS</v>
      </c>
      <c r="E4832" s="2" t="str">
        <f>IFERROR(__xludf.DUMMYFUNCTION("""COMPUTED_VALUE"""),"日21")</f>
        <v>日21</v>
      </c>
      <c r="F4832" s="2" t="s">
        <v>13578</v>
      </c>
      <c r="G4832" s="2" t="s">
        <v>13600</v>
      </c>
      <c r="H4832" s="1">
        <v>8.0</v>
      </c>
      <c r="I4832" s="1" t="s">
        <v>2896</v>
      </c>
      <c r="J4832" s="1" t="s">
        <v>11</v>
      </c>
      <c r="K4832" s="2" t="s">
        <v>13601</v>
      </c>
      <c r="L4832" s="2" t="s">
        <v>13602</v>
      </c>
      <c r="M4832" s="2" t="str">
        <f>IFERROR(__xludf.DUMMYFUNCTION("split(split(K4832,""【"",false),""公式LINE"",false)"),"国産の手術支援ロボット・カエサルの治験も最終段階に入り、治験でケースを重ねてきた東城大を差し置いて、帝華大主導でお披露目の手術をしたいという西崎教授。そこで、佐伯は西崎が執刀医となる事を提案、東城大と帝華大の合同チームが誕生する。帝華大のスタッフは、手術のシミュレーションを仕切る渡海の姿に圧倒される。一方、佐伯が大学を不在にすることが増えた事を不審に思い、渡海は世良に、後をつけるようけしかける。渡海征司郎・・・二宮和也、世良雅志・・・竹内涼真、花房美和・・・葵わかな  黒崎誠一郎・・・橋本さとし、藤原真琴"&amp;"・・・神野三鈴、猫田麻里・・・趣里  富沢雅之・・・福澤朗、坂口克也・・・高橋洋、小林院長・・・上杉祥三、  小林隆一・・・はやしん、木下香織・・・加藤綾子  池永英人・・・加藤浩次、西崎啓介・・・市川猿之助  高階権太・・・小泉孝太郎、佐伯清剛・・・内野聖陽  海堂尊「新装版ブラックペアン1988」(講談社文庫)  丑尾健太郎主題歌・・・小田和正「この道を」(アリオラジャパン)  音楽・・・木村秀彬演出・・・福澤克雄  プロデューサー・・・伊與田英徳、川嶋龍太郎、峠田浩◇番組HP  http://www"&amp;".tbs.co.jp/blackpean_tbs/  ◇twitter  https://twitter.com/blackpean_tbs  ◇instagram  https://www.instagram.com/blackpean_tbs/  番組の内容と放送時間は変更になる可能性があります。")</f>
        <v>国産の手術支援ロボット・カエサルの治験も最終段階に入り、治験でケースを重ねてきた東城大を差し置いて、帝華大主導でお披露目の手術をしたいという西崎教授。そこで、佐伯は西崎が執刀医となる事を提案、東城大と帝華大の合同チームが誕生する。帝華大のスタッフは、手術のシミュレーションを仕切る渡海の姿に圧倒される。一方、佐伯が大学を不在にすることが増えた事を不審に思い、渡海は世良に、後をつけるようけしかける。渡海征司郎・・・二宮和也、世良雅志・・・竹内涼真、花房美和・・・葵わかな  黒崎誠一郎・・・橋本さとし、藤原真琴・・・神野三鈴、猫田麻里・・・趣里  富沢雅之・・・福澤朗、坂口克也・・・高橋洋、小林院長・・・上杉祥三、  小林隆一・・・はやしん、木下香織・・・加藤綾子  池永英人・・・加藤浩次、西崎啓介・・・市川猿之助  高階権太・・・小泉孝太郎、佐伯清剛・・・内野聖陽  海堂尊「新装版ブラックペアン1988」(講談社文庫)  丑尾健太郎主題歌・・・小田和正「この道を」(アリオラジャパン)  音楽・・・木村秀彬演出・・・福澤克雄  プロデューサー・・・伊與田英徳、川嶋龍太郎、峠田浩◇番組HP  http://www.tbs.co.jp/blackpean_tbs/  ◇twitter  https://twitter.com/blackpean_tbs  ◇instagram  https://www.instagram.com/blackpean_tbs/  番組の内容と放送時間は変更になる可能性があります。</v>
      </c>
      <c r="N4832" s="2"/>
      <c r="O4832" s="2"/>
      <c r="P4832" s="2"/>
      <c r="Q4832" s="2"/>
      <c r="R4832" s="2"/>
      <c r="S4832" s="2"/>
      <c r="T4832" s="2"/>
      <c r="U4832" s="2"/>
      <c r="V4832" s="2"/>
      <c r="W4832" s="2"/>
      <c r="X4832" s="2"/>
      <c r="Y4832" s="2"/>
      <c r="Z4832" s="2"/>
      <c r="AA4832" s="2"/>
      <c r="AB4832" s="2"/>
      <c r="AC4832" s="2"/>
      <c r="AD4832" s="2"/>
      <c r="AE4832" s="2"/>
      <c r="AF4832" s="2"/>
      <c r="AG4832" s="2"/>
      <c r="AH4832" s="2"/>
      <c r="AI4832" s="2"/>
      <c r="AJ4832" s="2"/>
      <c r="AK4832" s="2"/>
      <c r="AL4832" s="2"/>
      <c r="AM4832" s="2"/>
      <c r="AN4832" s="2"/>
      <c r="AO4832" s="2"/>
      <c r="AP4832" s="2"/>
      <c r="AQ4832" s="2"/>
      <c r="AR4832" s="2"/>
      <c r="AS4832" s="2"/>
      <c r="AT4832" s="2"/>
      <c r="AU4832" s="2"/>
      <c r="AV4832" s="2"/>
      <c r="AW4832" s="2"/>
      <c r="AX4832" s="2"/>
      <c r="AY4832" s="2"/>
      <c r="AZ4832" s="2"/>
      <c r="BA4832" s="2"/>
      <c r="BB4832" s="2"/>
    </row>
    <row r="4833" ht="204.75" customHeight="1">
      <c r="A4833" s="1">
        <v>826.0</v>
      </c>
      <c r="B4833" s="2" t="s">
        <v>13577</v>
      </c>
      <c r="C4833" s="2">
        <f>IFERROR(__xludf.DUMMYFUNCTION("split(B4833,""_"")"),1804.0)</f>
        <v>1804</v>
      </c>
      <c r="D4833" s="2" t="str">
        <f>IFERROR(__xludf.DUMMYFUNCTION("""COMPUTED_VALUE"""),"TBS")</f>
        <v>TBS</v>
      </c>
      <c r="E4833" s="2" t="str">
        <f>IFERROR(__xludf.DUMMYFUNCTION("""COMPUTED_VALUE"""),"日21")</f>
        <v>日21</v>
      </c>
      <c r="F4833" s="2" t="s">
        <v>13578</v>
      </c>
      <c r="G4833" s="2" t="s">
        <v>13603</v>
      </c>
      <c r="H4833" s="1">
        <v>9.0</v>
      </c>
      <c r="I4833" s="1" t="s">
        <v>2900</v>
      </c>
      <c r="J4833" s="1" t="s">
        <v>4</v>
      </c>
      <c r="K4833" s="2" t="s">
        <v>13604</v>
      </c>
      <c r="L4833" s="2" t="s">
        <v>13605</v>
      </c>
      <c r="M4833" s="2" t="str">
        <f>IFERROR(__xludf.DUMMYFUNCTION("split(split(K4833,""【"",false),""公式LINE"",false)"),"佐伯教授(内野聖陽)が倒れた。検査の結果、心臓部に疾患が見つかる。早急に対応が必要だが、この難しいオペができるのは東城大では渡海(二宮和也)しかいない。そのころ、渡海はある患者を探して、さくら病院に乗り込むが、目当ての患者はおらず、そのカギを握るのは佐伯のみ。渡海は佐伯を助けたあとに真の目的を達成する、と世良(竹内涼真)に宣言する。ところが、佐伯は渡海の執刀を拒み・・・渡海征司郎・・・二宮和也、世良雅志・・・竹内涼真、花房美和・・・葵わかな  黒崎誠一郎・・・橋本さとし、藤原真琴・・・神野三鈴、猫田麻里・"&amp;"・・趣里  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音楽・・・木村秀彬演出・・・渡瀬暁彦  プロデューサー・・・伊與田英徳、川嶋龍太郎、峠田浩◇番組HP  http://www.tbs.co.jp/blackpean_tbs/  ◇twitter  https://twitt"&amp;"er.com/blackpean_tbs  ◇instagram  https://www.instagram.com/blackpean_tbs/  番組の内容と放送時間は変更になる可能性があります。")</f>
        <v>佐伯教授(内野聖陽)が倒れた。検査の結果、心臓部に疾患が見つかる。早急に対応が必要だが、この難しいオペができるのは東城大では渡海(二宮和也)しかいない。そのころ、渡海はある患者を探して、さくら病院に乗り込むが、目当ての患者はおらず、そのカギを握るのは佐伯のみ。渡海は佐伯を助けたあとに真の目的を達成する、と世良(竹内涼真)に宣言する。ところが、佐伯は渡海の執刀を拒み・・・渡海征司郎・・・二宮和也、世良雅志・・・竹内涼真、花房美和・・・葵わかな  黒崎誠一郎・・・橋本さとし、藤原真琴・・・神野三鈴、猫田麻里・・・趣里  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音楽・・・木村秀彬演出・・・渡瀬暁彦  プロデューサー・・・伊與田英徳、川嶋龍太郎、峠田浩◇番組HP  http://www.tbs.co.jp/blackpean_tbs/  ◇twitter  https://twitter.com/blackpean_tbs  ◇instagram  https://www.instagram.com/blackpean_tbs/  番組の内容と放送時間は変更になる可能性があります。</v>
      </c>
      <c r="N4833" s="2"/>
      <c r="O4833" s="2"/>
      <c r="P4833" s="2"/>
      <c r="Q4833" s="2"/>
      <c r="R4833" s="2"/>
      <c r="S4833" s="2"/>
      <c r="T4833" s="2"/>
      <c r="U4833" s="2"/>
      <c r="V4833" s="2"/>
      <c r="W4833" s="2"/>
      <c r="X4833" s="2"/>
      <c r="Y4833" s="2"/>
      <c r="Z4833" s="2"/>
      <c r="AA4833" s="2"/>
      <c r="AB4833" s="2"/>
      <c r="AC4833" s="2"/>
      <c r="AD4833" s="2"/>
      <c r="AE4833" s="2"/>
      <c r="AF4833" s="2"/>
      <c r="AG4833" s="2"/>
      <c r="AH4833" s="2"/>
      <c r="AI4833" s="2"/>
      <c r="AJ4833" s="2"/>
      <c r="AK4833" s="2"/>
      <c r="AL4833" s="2"/>
      <c r="AM4833" s="2"/>
      <c r="AN4833" s="2"/>
      <c r="AO4833" s="2"/>
      <c r="AP4833" s="2"/>
      <c r="AQ4833" s="2"/>
      <c r="AR4833" s="2"/>
      <c r="AS4833" s="2"/>
      <c r="AT4833" s="2"/>
      <c r="AU4833" s="2"/>
      <c r="AV4833" s="2"/>
      <c r="AW4833" s="2"/>
      <c r="AX4833" s="2"/>
      <c r="AY4833" s="2"/>
      <c r="AZ4833" s="2"/>
      <c r="BA4833" s="2"/>
      <c r="BB4833" s="2"/>
    </row>
    <row r="4834" ht="204.75" customHeight="1">
      <c r="A4834" s="1">
        <v>827.0</v>
      </c>
      <c r="B4834" s="2" t="s">
        <v>13577</v>
      </c>
      <c r="C4834" s="2">
        <f>IFERROR(__xludf.DUMMYFUNCTION("split(B4834,""_"")"),1804.0)</f>
        <v>1804</v>
      </c>
      <c r="D4834" s="2" t="str">
        <f>IFERROR(__xludf.DUMMYFUNCTION("""COMPUTED_VALUE"""),"TBS")</f>
        <v>TBS</v>
      </c>
      <c r="E4834" s="2" t="str">
        <f>IFERROR(__xludf.DUMMYFUNCTION("""COMPUTED_VALUE"""),"日21")</f>
        <v>日21</v>
      </c>
      <c r="F4834" s="2" t="s">
        <v>13578</v>
      </c>
      <c r="G4834" s="2" t="s">
        <v>13606</v>
      </c>
      <c r="H4834" s="1">
        <v>10.0</v>
      </c>
      <c r="J4834" s="1" t="s">
        <v>4</v>
      </c>
      <c r="K4834" s="2" t="s">
        <v>13607</v>
      </c>
      <c r="L4834" s="2" t="s">
        <v>13608</v>
      </c>
      <c r="M4834" s="2" t="str">
        <f>IFERROR(__xludf.DUMMYFUNCTION("split(split(K4834,""【"",false),""公式LINE"",false)"),"倒れた佐伯教授の緊急手術を行った渡海だが、あくまでも応急処置であり、完治させるための再手術を行う条件として、自分が探している“飯沼達次""の居場所を明らかにする事を佐伯に求める。しかし佐伯は「命よりも大事な物がある」とそれを拒み、外科学会に出席する為に無理を押して東京に向かう。  一方東城大では、美和が藤原師長の命令で秘密裏に担当していた患者の容体が急変する。それは高階や香織の知る所となり・・・渡海征司郎・・・二宮和也、世良雅志・・・竹内涼真、花房美和・・・葵わかな  黒崎誠一郎・・・橋本さとし、藤原真琴"&amp;"・・・神野三鈴、猫田麻里・・・趣里  守屋信明・・・志垣太郎、坂口克也・・・高橋洋、大林孝道・・・三遊亭白鳥  渡海一郎・・・辻萬長、飯沼達次・・・山本亨、渡海春江・・・倍賞美津子木下香織・・・加藤綾子、池永英人・・・加藤浩次、西崎啓介・・・市川猿之助  高階権太・・・小泉孝太郎、佐伯清剛・・・内野聖陽海堂尊「新装版ブラックペアン1988」(講談社文庫)  丑尾健太郎主題歌・・・小田和正「この道を」(アリオラジャパン)  音楽・・・木村秀彬演出・・・福澤克雄  プロデューサー・・・伊與田英徳、川嶋龍太郎、"&amp;"峠田浩◇番組HP  http://www.tbs.co.jp/blackpean_tbs/  ◇twitter  https://twitter.com/blackpean_tbs  ◇instagram  https://www.instagram.com/blackpean_tbs/  番組の内容と放送時間は変更になる可能性があります。")</f>
        <v>倒れた佐伯教授の緊急手術を行った渡海だが、あくまでも応急処置であり、完治させるための再手術を行う条件として、自分が探している“飯沼達次"の居場所を明らかにする事を佐伯に求める。しかし佐伯は「命よりも大事な物がある」とそれを拒み、外科学会に出席する為に無理を押して東京に向かう。  一方東城大では、美和が藤原師長の命令で秘密裏に担当していた患者の容体が急変する。それは高階や香織の知る所となり・・・渡海征司郎・・・二宮和也、世良雅志・・・竹内涼真、花房美和・・・葵わかな  黒崎誠一郎・・・橋本さとし、藤原真琴・・・神野三鈴、猫田麻里・・・趣里  守屋信明・・・志垣太郎、坂口克也・・・高橋洋、大林孝道・・・三遊亭白鳥  渡海一郎・・・辻萬長、飯沼達次・・・山本亨、渡海春江・・・倍賞美津子木下香織・・・加藤綾子、池永英人・・・加藤浩次、西崎啓介・・・市川猿之助  高階権太・・・小泉孝太郎、佐伯清剛・・・内野聖陽海堂尊「新装版ブラックペアン1988」(講談社文庫)  丑尾健太郎主題歌・・・小田和正「この道を」(アリオラジャパン)  音楽・・・木村秀彬演出・・・福澤克雄  プロデューサー・・・伊與田英徳、川嶋龍太郎、峠田浩◇番組HP  http://www.tbs.co.jp/blackpean_tbs/  ◇twitter  https://twitter.com/blackpean_tbs  ◇instagram  https://www.instagram.com/blackpean_tbs/  番組の内容と放送時間は変更になる可能性があります。</v>
      </c>
      <c r="N4834" s="2"/>
      <c r="O4834" s="2"/>
      <c r="P4834" s="2"/>
      <c r="Q4834" s="2"/>
      <c r="R4834" s="2"/>
      <c r="S4834" s="2"/>
      <c r="T4834" s="2"/>
      <c r="U4834" s="2"/>
      <c r="V4834" s="2"/>
      <c r="W4834" s="2"/>
      <c r="X4834" s="2"/>
      <c r="Y4834" s="2"/>
      <c r="Z4834" s="2"/>
      <c r="AA4834" s="2"/>
      <c r="AB4834" s="2"/>
      <c r="AC4834" s="2"/>
      <c r="AD4834" s="2"/>
      <c r="AE4834" s="2"/>
      <c r="AF4834" s="2"/>
      <c r="AG4834" s="2"/>
      <c r="AH4834" s="2"/>
      <c r="AI4834" s="2"/>
      <c r="AJ4834" s="2"/>
      <c r="AK4834" s="2"/>
      <c r="AL4834" s="2"/>
      <c r="AM4834" s="2"/>
      <c r="AN4834" s="2"/>
      <c r="AO4834" s="2"/>
      <c r="AP4834" s="2"/>
      <c r="AQ4834" s="2"/>
      <c r="AR4834" s="2"/>
      <c r="AS4834" s="2"/>
      <c r="AT4834" s="2"/>
      <c r="AU4834" s="2"/>
      <c r="AV4834" s="2"/>
      <c r="AW4834" s="2"/>
      <c r="AX4834" s="2"/>
      <c r="AY4834" s="2"/>
      <c r="AZ4834" s="2"/>
      <c r="BA4834" s="2"/>
      <c r="BB4834" s="2"/>
    </row>
    <row r="4835" ht="204.75" customHeight="1">
      <c r="A4835" s="1">
        <v>848.0</v>
      </c>
      <c r="B4835" s="2" t="s">
        <v>13609</v>
      </c>
      <c r="C4835" s="2">
        <f>IFERROR(__xludf.DUMMYFUNCTION("split(B4835,""_"")"),1801.0)</f>
        <v>1801</v>
      </c>
      <c r="D4835" s="2" t="str">
        <f>IFERROR(__xludf.DUMMYFUNCTION("""COMPUTED_VALUE"""),"TBS")</f>
        <v>TBS</v>
      </c>
      <c r="E4835" s="2" t="str">
        <f>IFERROR(__xludf.DUMMYFUNCTION("""COMPUTED_VALUE"""),"火22")</f>
        <v>火22</v>
      </c>
      <c r="F4835" s="2" t="s">
        <v>13610</v>
      </c>
      <c r="G4835" s="2" t="s">
        <v>13611</v>
      </c>
      <c r="H4835" s="1">
        <v>1.0</v>
      </c>
      <c r="J4835" s="1" t="s">
        <v>82</v>
      </c>
      <c r="K4835" s="2" t="s">
        <v>13612</v>
      </c>
      <c r="L4835" s="2" t="s">
        <v>13613</v>
      </c>
      <c r="M4835" s="2" t="str">
        <f>IFERROR(__xludf.DUMMYFUNCTION("split(split(K4835,""【"",false),""公式LINE"",false)"),"今日子(吉岡里帆)は、人生初の合コンに参加した。すぐに挙動不審になってしまう今日子は、合コンでも焦って口走り、周りをドン引きさせてしまう。漫画編集者の吉崎(桐谷健太)との出会いで、自分を変えるために動き出そうとしたその時、大学時代に強く惹かれ、その感情を利用して今日子をひどく傷つけた星名(向井理)に呼び止められた。一番会いたくて、一番会いたくなかった星名との再会に今日子の心は大きく揺れる…。小川今日子・・・吉岡里帆  吉崎幸次郎・・・桐谷健太    飯田彩香・・・石橋杏奈  白崎達夫・・・長谷川朝晴  為"&amp;"末れいか・・・田中真琴    スズキ次郎・・・ムロツヨシ  八木泉・・・鈴木紗理奈  堀田麻衣子・・・瀬戸朝香  星名漣・・・向井理天堂きりん「きみが心に棲みついた」「きみが心に棲みついたS」(祥伝社フィールコミックス)  吉澤智子主題歌:E-girls「Pain, pain」  挿入歌:MONDO GROSSO 「偽りのシンパシー」演出:福田亮介  プロデューサー:佐藤敦司◇番組HP  http://www.tbs.co.jp/kimisumi/  ◇twitter  @kimisumi_tbs  ht"&amp;"tps://twitter.com/kimisumi_tbs  ◇instagram  https://www.instagram.com/kimisumi_tbs/  番組の内容と放送時間は変更になる場合があります。")</f>
        <v>今日子(吉岡里帆)は、人生初の合コンに参加した。すぐに挙動不審になってしまう今日子は、合コンでも焦って口走り、周りをドン引きさせてしまう。漫画編集者の吉崎(桐谷健太)との出会いで、自分を変えるために動き出そうとしたその時、大学時代に強く惹かれ、その感情を利用して今日子をひどく傷つけた星名(向井理)に呼び止められた。一番会いたくて、一番会いたくなかった星名との再会に今日子の心は大きく揺れる…。小川今日子・・・吉岡里帆  吉崎幸次郎・・・桐谷健太    飯田彩香・・・石橋杏奈  白崎達夫・・・長谷川朝晴  為末れいか・・・田中真琴    スズキ次郎・・・ムロツヨシ  八木泉・・・鈴木紗理奈  堀田麻衣子・・・瀬戸朝香  星名漣・・・向井理天堂きりん「きみが心に棲みついた」「きみが心に棲みついたS」(祥伝社フィールコミックス)  吉澤智子主題歌:E-girls「Pain, pain」  挿入歌:MONDO GROSSO 「偽りのシンパシー」演出:福田亮介  プロデューサー:佐藤敦司◇番組HP  http://www.tbs.co.jp/kimisumi/  ◇twitter  @kimisumi_tbs  https://twitter.com/kimisumi_tbs  ◇instagram  https://www.instagram.com/kimisumi_tbs/  番組の内容と放送時間は変更になる場合があります。</v>
      </c>
      <c r="N4835" s="2"/>
      <c r="O4835" s="2"/>
      <c r="P4835" s="2"/>
      <c r="Q4835" s="2"/>
      <c r="R4835" s="2"/>
      <c r="S4835" s="2"/>
      <c r="T4835" s="2"/>
      <c r="U4835" s="2"/>
      <c r="V4835" s="2"/>
      <c r="W4835" s="2"/>
      <c r="X4835" s="2"/>
      <c r="Y4835" s="2"/>
      <c r="Z4835" s="2"/>
      <c r="AA4835" s="2"/>
      <c r="AB4835" s="2"/>
      <c r="AC4835" s="2"/>
      <c r="AD4835" s="2"/>
      <c r="AE4835" s="2"/>
      <c r="AF4835" s="2"/>
      <c r="AG4835" s="2"/>
      <c r="AH4835" s="2"/>
      <c r="AI4835" s="2"/>
      <c r="AJ4835" s="2"/>
      <c r="AK4835" s="2"/>
      <c r="AL4835" s="2"/>
      <c r="AM4835" s="2"/>
      <c r="AN4835" s="2"/>
      <c r="AO4835" s="2"/>
      <c r="AP4835" s="2"/>
      <c r="AQ4835" s="2"/>
      <c r="AR4835" s="2"/>
      <c r="AS4835" s="2"/>
      <c r="AT4835" s="2"/>
      <c r="AU4835" s="2"/>
      <c r="AV4835" s="2"/>
      <c r="AW4835" s="2"/>
      <c r="AX4835" s="2"/>
      <c r="AY4835" s="2"/>
      <c r="AZ4835" s="2"/>
      <c r="BA4835" s="2"/>
      <c r="BB4835" s="2"/>
    </row>
    <row r="4836" ht="204.75" customHeight="1">
      <c r="A4836" s="1">
        <v>849.0</v>
      </c>
      <c r="B4836" s="2" t="s">
        <v>13609</v>
      </c>
      <c r="C4836" s="2">
        <f>IFERROR(__xludf.DUMMYFUNCTION("split(B4836,""_"")"),1801.0)</f>
        <v>1801</v>
      </c>
      <c r="D4836" s="2" t="str">
        <f>IFERROR(__xludf.DUMMYFUNCTION("""COMPUTED_VALUE"""),"TBS")</f>
        <v>TBS</v>
      </c>
      <c r="E4836" s="2" t="str">
        <f>IFERROR(__xludf.DUMMYFUNCTION("""COMPUTED_VALUE"""),"火22")</f>
        <v>火22</v>
      </c>
      <c r="F4836" s="2" t="s">
        <v>13610</v>
      </c>
      <c r="G4836" s="2" t="s">
        <v>13614</v>
      </c>
      <c r="H4836" s="1">
        <v>2.0</v>
      </c>
      <c r="J4836" s="1" t="s">
        <v>86</v>
      </c>
      <c r="K4836" s="2" t="s">
        <v>13615</v>
      </c>
      <c r="L4836" s="2" t="s">
        <v>13616</v>
      </c>
      <c r="M4836" s="2" t="str">
        <f>IFERROR(__xludf.DUMMYFUNCTION("split(split(K4836,""【"",false),""公式LINE"",false)"),"今日子(吉岡里帆)は星名(向井理)が率いるプロジェクトチームに参加することに。星名が何か仕掛けてくるのではないかと今日子は不安でいっぱいになってしまう。そんな時、堀田から吉崎(桐谷健太)が会社を訪れると聞き、喜び勇んだ今日子はハイヒールにミニスカートという格好で出社。そしてその勢いのまま、仕事以外で関わるつもりはないと星名の誘いを断ることに成功するが吉崎とはすれ違い続けてしまい・・・小川今日子・・・吉岡里帆  吉崎幸次郎・・・桐谷健太    飯田彩香・・・石橋杏奈  白崎達夫・・・長谷川朝晴  為末れいか"&amp;"・・・田中真琴    スズキ次郎・・・ムロツヨシ  八木泉・・・鈴木紗理奈  堀田麻衣子・・・瀬戸朝香  星名漣・・・向井理天堂きりん「きみが心に棲みついた」「きみが心に棲みついたS」(祥伝社フィールコミックス)  吉澤智子主題歌:E-girls「Pain, pain」  挿入歌:MONDO GROSSO 「偽りのシンパシー」演出:福田亮介  プロデューサー:佐藤敦司◇番組HP  http://www.tbs.co.jp/kimisumi/  ◇twitter  @kimisumi_tbs  https:"&amp;"//twitter.com/kimisumi_tbs  ◇instagram  https://www.instagram.com/kimisumi_tbs/  番組の内容と放送時間は変更になる場合があります。")</f>
        <v>今日子(吉岡里帆)は星名(向井理)が率いるプロジェクトチームに参加することに。星名が何か仕掛けてくるのではないかと今日子は不安でいっぱいになってしまう。そんな時、堀田から吉崎(桐谷健太)が会社を訪れると聞き、喜び勇んだ今日子はハイヒールにミニスカートという格好で出社。そしてその勢いのまま、仕事以外で関わるつもりはないと星名の誘いを断ることに成功するが吉崎とはすれ違い続けてしまい・・・小川今日子・・・吉岡里帆  吉崎幸次郎・・・桐谷健太    飯田彩香・・・石橋杏奈  白崎達夫・・・長谷川朝晴  為末れいか・・・田中真琴    スズキ次郎・・・ムロツヨシ  八木泉・・・鈴木紗理奈  堀田麻衣子・・・瀬戸朝香  星名漣・・・向井理天堂きりん「きみが心に棲みついた」「きみが心に棲みついたS」(祥伝社フィールコミックス)  吉澤智子主題歌:E-girls「Pain, pain」  挿入歌:MONDO GROSSO 「偽りのシンパシー」演出:福田亮介  プロデューサー:佐藤敦司◇番組HP  http://www.tbs.co.jp/kimisumi/  ◇twitter  @kimisumi_tbs  https://twitter.com/kimisumi_tbs  ◇instagram  https://www.instagram.com/kimisumi_tbs/  番組の内容と放送時間は変更になる場合があります。</v>
      </c>
      <c r="N4836" s="2"/>
      <c r="O4836" s="2"/>
      <c r="P4836" s="2"/>
      <c r="Q4836" s="2"/>
      <c r="R4836" s="2"/>
      <c r="S4836" s="2"/>
      <c r="T4836" s="2"/>
      <c r="U4836" s="2"/>
      <c r="V4836" s="2"/>
      <c r="W4836" s="2"/>
      <c r="X4836" s="2"/>
      <c r="Y4836" s="2"/>
      <c r="Z4836" s="2"/>
      <c r="AA4836" s="2"/>
      <c r="AB4836" s="2"/>
      <c r="AC4836" s="2"/>
      <c r="AD4836" s="2"/>
      <c r="AE4836" s="2"/>
      <c r="AF4836" s="2"/>
      <c r="AG4836" s="2"/>
      <c r="AH4836" s="2"/>
      <c r="AI4836" s="2"/>
      <c r="AJ4836" s="2"/>
      <c r="AK4836" s="2"/>
      <c r="AL4836" s="2"/>
      <c r="AM4836" s="2"/>
      <c r="AN4836" s="2"/>
      <c r="AO4836" s="2"/>
      <c r="AP4836" s="2"/>
      <c r="AQ4836" s="2"/>
      <c r="AR4836" s="2"/>
      <c r="AS4836" s="2"/>
      <c r="AT4836" s="2"/>
      <c r="AU4836" s="2"/>
      <c r="AV4836" s="2"/>
      <c r="AW4836" s="2"/>
      <c r="AX4836" s="2"/>
      <c r="AY4836" s="2"/>
      <c r="AZ4836" s="2"/>
      <c r="BA4836" s="2"/>
      <c r="BB4836" s="2"/>
    </row>
    <row r="4837" ht="204.75" customHeight="1">
      <c r="A4837" s="1">
        <v>850.0</v>
      </c>
      <c r="B4837" s="2" t="s">
        <v>13609</v>
      </c>
      <c r="C4837" s="2">
        <f>IFERROR(__xludf.DUMMYFUNCTION("split(B4837,""_"")"),1801.0)</f>
        <v>1801</v>
      </c>
      <c r="D4837" s="2" t="str">
        <f>IFERROR(__xludf.DUMMYFUNCTION("""COMPUTED_VALUE"""),"TBS")</f>
        <v>TBS</v>
      </c>
      <c r="E4837" s="2" t="str">
        <f>IFERROR(__xludf.DUMMYFUNCTION("""COMPUTED_VALUE"""),"火22")</f>
        <v>火22</v>
      </c>
      <c r="F4837" s="2" t="s">
        <v>13610</v>
      </c>
      <c r="G4837" s="2" t="s">
        <v>13617</v>
      </c>
      <c r="H4837" s="1">
        <v>3.0</v>
      </c>
      <c r="J4837" s="1" t="s">
        <v>86</v>
      </c>
      <c r="K4837" s="2" t="s">
        <v>13618</v>
      </c>
      <c r="L4837" s="2"/>
      <c r="M4837" s="2" t="str">
        <f>IFERROR(__xludf.DUMMYFUNCTION("split(split(K4837,""【"",false),""公式LINE"",false)"),"小川今日子・・・吉岡里帆  吉崎幸次郎・・・桐谷健太    飯田彩香・・・石橋杏奈  白崎達夫・・・長谷川朝晴  為末れいか・・・田中真琴    スズキ次郎・・・ムロツヨシ  八木泉・・・鈴木紗理奈  堀田麻衣子・・・瀬戸朝香  星名漣・・・向井理天堂きりん「きみが心に棲みついた」「きみが心に棲みついたS」(祥伝社フィールコミックス)  吉澤智子主題歌:E-girls「Pain, pain」  挿入歌:MONDO GROSSO 「偽りのシンパシー」演出:福田亮介  プロデューサー:佐藤敦司◇番組HP  h"&amp;"ttp://www.tbs.co.jp/kimisumi/  ◇twitter  @kimisumi_tbs  https://twitter.com/kimisumi_tbs  ◇instagram  https://www.instagram.com/kimisumi_tbs/  番組の内容と放送時間は変更になる場合があります。")</f>
        <v>小川今日子・・・吉岡里帆  吉崎幸次郎・・・桐谷健太    飯田彩香・・・石橋杏奈  白崎達夫・・・長谷川朝晴  為末れいか・・・田中真琴    スズキ次郎・・・ムロツヨシ  八木泉・・・鈴木紗理奈  堀田麻衣子・・・瀬戸朝香  星名漣・・・向井理天堂きりん「きみが心に棲みついた」「きみが心に棲みついたS」(祥伝社フィールコミックス)  吉澤智子主題歌:E-girls「Pain, pain」  挿入歌:MONDO GROSSO 「偽りのシンパシー」演出:福田亮介  プロデューサー:佐藤敦司◇番組HP  http://www.tbs.co.jp/kimisumi/  ◇twitter  @kimisumi_tbs  https://twitter.com/kimisumi_tbs  ◇instagram  https://www.instagram.com/kimisumi_tbs/  番組の内容と放送時間は変更になる場合があります。</v>
      </c>
      <c r="N4837" s="2"/>
      <c r="O4837" s="2"/>
      <c r="P4837" s="2"/>
      <c r="Q4837" s="2"/>
      <c r="R4837" s="2"/>
      <c r="S4837" s="2"/>
      <c r="T4837" s="2"/>
      <c r="U4837" s="2"/>
      <c r="V4837" s="2"/>
      <c r="W4837" s="2"/>
      <c r="X4837" s="2"/>
      <c r="Y4837" s="2"/>
      <c r="Z4837" s="2"/>
      <c r="AA4837" s="2"/>
      <c r="AB4837" s="2"/>
      <c r="AC4837" s="2"/>
      <c r="AD4837" s="2"/>
      <c r="AE4837" s="2"/>
      <c r="AF4837" s="2"/>
      <c r="AG4837" s="2"/>
      <c r="AH4837" s="2"/>
      <c r="AI4837" s="2"/>
      <c r="AJ4837" s="2"/>
      <c r="AK4837" s="2"/>
      <c r="AL4837" s="2"/>
      <c r="AM4837" s="2"/>
      <c r="AN4837" s="2"/>
      <c r="AO4837" s="2"/>
      <c r="AP4837" s="2"/>
      <c r="AQ4837" s="2"/>
      <c r="AR4837" s="2"/>
      <c r="AS4837" s="2"/>
      <c r="AT4837" s="2"/>
      <c r="AU4837" s="2"/>
      <c r="AV4837" s="2"/>
      <c r="AW4837" s="2"/>
      <c r="AX4837" s="2"/>
      <c r="AY4837" s="2"/>
      <c r="AZ4837" s="2"/>
      <c r="BA4837" s="2"/>
      <c r="BB4837" s="2"/>
    </row>
    <row r="4838" ht="204.75" customHeight="1">
      <c r="A4838" s="1">
        <v>851.0</v>
      </c>
      <c r="B4838" s="2" t="s">
        <v>13609</v>
      </c>
      <c r="C4838" s="2">
        <f>IFERROR(__xludf.DUMMYFUNCTION("split(B4838,""_"")"),1801.0)</f>
        <v>1801</v>
      </c>
      <c r="D4838" s="2" t="str">
        <f>IFERROR(__xludf.DUMMYFUNCTION("""COMPUTED_VALUE"""),"TBS")</f>
        <v>TBS</v>
      </c>
      <c r="E4838" s="2" t="str">
        <f>IFERROR(__xludf.DUMMYFUNCTION("""COMPUTED_VALUE"""),"火22")</f>
        <v>火22</v>
      </c>
      <c r="F4838" s="2" t="s">
        <v>13610</v>
      </c>
      <c r="G4838" s="2" t="s">
        <v>13619</v>
      </c>
      <c r="H4838" s="1">
        <v>4.0</v>
      </c>
      <c r="J4838" s="1" t="s">
        <v>86</v>
      </c>
      <c r="K4838" s="2" t="s">
        <v>13620</v>
      </c>
      <c r="L4838" s="2" t="s">
        <v>13621</v>
      </c>
      <c r="M4838" s="2" t="str">
        <f>IFERROR(__xludf.DUMMYFUNCTION("split(split(K4838,""【"",false),""公式LINE"",false)"),"星名(向井理)に命じられ下着姿でランウェイを歩いた今日子(吉岡里帆)は、星名に優しい言葉をかけられ舞い上がる。その勢いで生地探しに励むが、八木(鈴木紗理奈)の納得する生地を見つけられず、星名が今日子を担当から外そうとする。星名に詰め寄る今日子だったが、反対に威圧的な言葉を受ける。今日子に元恋人・映美(中村アン)とのキスを見られた吉崎(桐谷健太)は、仕事に集中できない。今日子が気になる存在であることを自覚し始める。今日子は仕事の不調からか、吉崎に心無いメールを送ったことを後悔する。しかし、吉崎の言葉に勇気づ"&amp;"けられ、再度プロジェクトに取り組む。そして、完成した試作品を発表することになるが…。小川今日子・・・吉岡里帆  吉崎幸次郎・・・桐谷健太    飯田彩香・・・石橋杏奈  成川映美・・・中村アン  白崎達夫・・・長谷川朝晴  為末れいか・・・田中真琴  牧村英二・・・山岸門人  稲垣栞里・・・周本絵梨香  池脇久美子・・・杉本彩    スズキ次郎・・・ムロツヨシ    八木泉・・・鈴木紗理奈  堀田麻衣子・・・瀬戸朝香    星名漣・・・向井理天堂きりん「きみが心に棲みついた」「きみが心に棲みついたS」(祥"&amp;"伝社フィールコミックス)  脚本:徳尾浩司  脚本協力:吉澤智子音楽:出羽良影  主題歌:E-girls「Pain, pain」  挿入歌:MONDO GROSSO 「偽りのシンパシー」編成:磯山晶　池田尚弘　中島啓介  プロデューサー:佐藤敦司  演出:水田成英◇番組HP  http://www.tbs.co.jp/kimisumi/  ◇twitter  @kimisumi_tbs  https://twitter.com/kimisumi_tbs  ◇instagram  https://www.i"&amp;"nstagram.com/kimisumi_tbs/  番組の内容と放送時間は変更になる場合があります。")</f>
        <v>星名(向井理)に命じられ下着姿でランウェイを歩いた今日子(吉岡里帆)は、星名に優しい言葉をかけられ舞い上がる。その勢いで生地探しに励むが、八木(鈴木紗理奈)の納得する生地を見つけられず、星名が今日子を担当から外そうとする。星名に詰め寄る今日子だったが、反対に威圧的な言葉を受ける。今日子に元恋人・映美(中村アン)とのキスを見られた吉崎(桐谷健太)は、仕事に集中できない。今日子が気になる存在であることを自覚し始める。今日子は仕事の不調からか、吉崎に心無いメールを送ったことを後悔する。しかし、吉崎の言葉に勇気づけられ、再度プロジェクトに取り組む。そして、完成した試作品を発表することになるが…。小川今日子・・・吉岡里帆  吉崎幸次郎・・・桐谷健太    飯田彩香・・・石橋杏奈  成川映美・・・中村アン  白崎達夫・・・長谷川朝晴  為末れいか・・・田中真琴  牧村英二・・・山岸門人  稲垣栞里・・・周本絵梨香  池脇久美子・・・杉本彩    スズキ次郎・・・ムロツヨシ    八木泉・・・鈴木紗理奈  堀田麻衣子・・・瀬戸朝香    星名漣・・・向井理天堂きりん「きみが心に棲みついた」「きみが心に棲みついたS」(祥伝社フィールコミックス)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演出:水田成英◇番組HP  http://www.tbs.co.jp/kimisumi/  ◇twitter  @kimisumi_tbs  https://twitter.com/kimisumi_tbs  ◇instagram  https://www.instagram.com/kimisumi_tbs/  番組の内容と放送時間は変更になる場合があります。</v>
      </c>
      <c r="N4838" s="2"/>
      <c r="O4838" s="2"/>
      <c r="P4838" s="2"/>
      <c r="Q4838" s="2"/>
      <c r="R4838" s="2"/>
      <c r="S4838" s="2"/>
      <c r="T4838" s="2"/>
      <c r="U4838" s="2"/>
      <c r="V4838" s="2"/>
      <c r="W4838" s="2"/>
      <c r="X4838" s="2"/>
      <c r="Y4838" s="2"/>
      <c r="Z4838" s="2"/>
      <c r="AA4838" s="2"/>
      <c r="AB4838" s="2"/>
      <c r="AC4838" s="2"/>
      <c r="AD4838" s="2"/>
      <c r="AE4838" s="2"/>
      <c r="AF4838" s="2"/>
      <c r="AG4838" s="2"/>
      <c r="AH4838" s="2"/>
      <c r="AI4838" s="2"/>
      <c r="AJ4838" s="2"/>
      <c r="AK4838" s="2"/>
      <c r="AL4838" s="2"/>
      <c r="AM4838" s="2"/>
      <c r="AN4838" s="2"/>
      <c r="AO4838" s="2"/>
      <c r="AP4838" s="2"/>
      <c r="AQ4838" s="2"/>
      <c r="AR4838" s="2"/>
      <c r="AS4838" s="2"/>
      <c r="AT4838" s="2"/>
      <c r="AU4838" s="2"/>
      <c r="AV4838" s="2"/>
      <c r="AW4838" s="2"/>
      <c r="AX4838" s="2"/>
      <c r="AY4838" s="2"/>
      <c r="AZ4838" s="2"/>
      <c r="BA4838" s="2"/>
      <c r="BB4838" s="2"/>
    </row>
    <row r="4839" ht="204.75" customHeight="1">
      <c r="A4839" s="1">
        <v>852.0</v>
      </c>
      <c r="B4839" s="2" t="s">
        <v>13609</v>
      </c>
      <c r="C4839" s="2">
        <f>IFERROR(__xludf.DUMMYFUNCTION("split(B4839,""_"")"),1801.0)</f>
        <v>1801</v>
      </c>
      <c r="D4839" s="2" t="str">
        <f>IFERROR(__xludf.DUMMYFUNCTION("""COMPUTED_VALUE"""),"TBS")</f>
        <v>TBS</v>
      </c>
      <c r="E4839" s="2" t="str">
        <f>IFERROR(__xludf.DUMMYFUNCTION("""COMPUTED_VALUE"""),"火22")</f>
        <v>火22</v>
      </c>
      <c r="F4839" s="2" t="s">
        <v>13610</v>
      </c>
      <c r="G4839" s="2" t="s">
        <v>13622</v>
      </c>
      <c r="H4839" s="1">
        <v>5.0</v>
      </c>
      <c r="J4839" s="1" t="s">
        <v>86</v>
      </c>
      <c r="K4839" s="2" t="s">
        <v>13623</v>
      </c>
      <c r="L4839" s="2" t="s">
        <v>13624</v>
      </c>
      <c r="M4839" s="2" t="str">
        <f>IFERROR(__xludf.DUMMYFUNCTION("split(split(K4839,""【"",false),""公式LINE"",false)"),"今日子(吉岡里帆)への攻撃を吉崎(桐谷健太)に邪魔され、不愉快な星名(向井理)。「吉崎の化けの皮を剥がしてやる」という星名の言葉に今日子は青ざめる。吉崎に迷惑がかかることを恐れる今日子は、吉崎からのメールに驚愕。吉崎が星名とバーで一緒にいる写真が添付されていた。しかも、一緒にバーベキューに行くという。慌てた今日子は吉崎を星名から守るため、堀田(瀬戸朝香)たちを誘って参加を決める。今日子の様子に違和感を抱く堀田と八木(鈴木紗理奈)は、今日子のトラウマの元凶である大学時代の先輩が星名であることを突き止める。 "&amp;" ついにバーベキューが始まる。今日子にとっては嬉しくない大学時代の知り合いが次々と現れ…。小川今日子・・・吉岡里帆  吉崎幸次郎・・・桐谷健太    飯田彩香・・・石橋杏奈  成川映美・・・中村アン  為末れいか・・・田中真琴  牧村英二・・・山岸門人  稲垣栞里・・・周本絵梨香  市ノ瀬高文・・・西村元貴  小野寺レイコ…小林恵美  谷山祥子…星野園美    スズキ次郎・・・ムロツヨシ    八木泉・・・鈴木紗理奈  堀田麻衣子・・・瀬戸朝香    星名漣・・・向井理天堂きりん「きみが心に棲みついた」「"&amp;"きみが心に棲みついたS」(祥伝社フィールコミックス)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演出:水田成英◇番組HP  http://www.tbs.co.jp/kimisumi/  ◇twitter  @kimisumi_tbs  https://twitter.com/kimisumi_tbs  ◇instagram "&amp;" https://www.instagram.com/kimisumi_tbs/  番組の内容と放送時間は変更になる場合があります。")</f>
        <v>今日子(吉岡里帆)への攻撃を吉崎(桐谷健太)に邪魔され、不愉快な星名(向井理)。「吉崎の化けの皮を剥がしてやる」という星名の言葉に今日子は青ざめる。吉崎に迷惑がかかることを恐れる今日子は、吉崎からのメールに驚愕。吉崎が星名とバーで一緒にいる写真が添付されていた。しかも、一緒にバーベキューに行くという。慌てた今日子は吉崎を星名から守るため、堀田(瀬戸朝香)たちを誘って参加を決める。今日子の様子に違和感を抱く堀田と八木(鈴木紗理奈)は、今日子のトラウマの元凶である大学時代の先輩が星名であることを突き止める。  ついにバーベキューが始まる。今日子にとっては嬉しくない大学時代の知り合いが次々と現れ…。小川今日子・・・吉岡里帆  吉崎幸次郎・・・桐谷健太    飯田彩香・・・石橋杏奈  成川映美・・・中村アン  為末れいか・・・田中真琴  牧村英二・・・山岸門人  稲垣栞里・・・周本絵梨香  市ノ瀬高文・・・西村元貴  小野寺レイコ…小林恵美  谷山祥子…星野園美    スズキ次郎・・・ムロツヨシ    八木泉・・・鈴木紗理奈  堀田麻衣子・・・瀬戸朝香    星名漣・・・向井理天堂きりん「きみが心に棲みついた」「きみが心に棲みついたS」(祥伝社フィールコミックス)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演出:水田成英◇番組HP  http://www.tbs.co.jp/kimisumi/  ◇twitter  @kimisumi_tbs  https://twitter.com/kimisumi_tbs  ◇instagram  https://www.instagram.com/kimisumi_tbs/  番組の内容と放送時間は変更になる場合があります。</v>
      </c>
      <c r="N4839" s="2"/>
      <c r="O4839" s="2"/>
      <c r="P4839" s="2"/>
      <c r="Q4839" s="2"/>
      <c r="R4839" s="2"/>
      <c r="S4839" s="2"/>
      <c r="T4839" s="2"/>
      <c r="U4839" s="2"/>
      <c r="V4839" s="2"/>
      <c r="W4839" s="2"/>
      <c r="X4839" s="2"/>
      <c r="Y4839" s="2"/>
      <c r="Z4839" s="2"/>
      <c r="AA4839" s="2"/>
      <c r="AB4839" s="2"/>
      <c r="AC4839" s="2"/>
      <c r="AD4839" s="2"/>
      <c r="AE4839" s="2"/>
      <c r="AF4839" s="2"/>
      <c r="AG4839" s="2"/>
      <c r="AH4839" s="2"/>
      <c r="AI4839" s="2"/>
      <c r="AJ4839" s="2"/>
      <c r="AK4839" s="2"/>
      <c r="AL4839" s="2"/>
      <c r="AM4839" s="2"/>
      <c r="AN4839" s="2"/>
      <c r="AO4839" s="2"/>
      <c r="AP4839" s="2"/>
      <c r="AQ4839" s="2"/>
      <c r="AR4839" s="2"/>
      <c r="AS4839" s="2"/>
      <c r="AT4839" s="2"/>
      <c r="AU4839" s="2"/>
      <c r="AV4839" s="2"/>
      <c r="AW4839" s="2"/>
      <c r="AX4839" s="2"/>
      <c r="AY4839" s="2"/>
      <c r="AZ4839" s="2"/>
      <c r="BA4839" s="2"/>
      <c r="BB4839" s="2"/>
    </row>
    <row r="4840" ht="204.75" customHeight="1">
      <c r="A4840" s="1">
        <v>853.0</v>
      </c>
      <c r="B4840" s="2" t="s">
        <v>13609</v>
      </c>
      <c r="C4840" s="2">
        <f>IFERROR(__xludf.DUMMYFUNCTION("split(B4840,""_"")"),1801.0)</f>
        <v>1801</v>
      </c>
      <c r="D4840" s="2" t="str">
        <f>IFERROR(__xludf.DUMMYFUNCTION("""COMPUTED_VALUE"""),"TBS")</f>
        <v>TBS</v>
      </c>
      <c r="E4840" s="2" t="str">
        <f>IFERROR(__xludf.DUMMYFUNCTION("""COMPUTED_VALUE"""),"火22")</f>
        <v>火22</v>
      </c>
      <c r="F4840" s="2" t="s">
        <v>13610</v>
      </c>
      <c r="G4840" s="2" t="s">
        <v>13625</v>
      </c>
      <c r="H4840" s="1">
        <v>6.0</v>
      </c>
      <c r="J4840" s="1" t="s">
        <v>86</v>
      </c>
      <c r="K4840" s="2" t="s">
        <v>13626</v>
      </c>
      <c r="L4840" s="2" t="s">
        <v>13627</v>
      </c>
      <c r="M4840" s="2" t="str">
        <f>IFERROR(__xludf.DUMMYFUNCTION("split(split(K4840,""【"",false),""公式LINE"",false)"),"バーベキューがきっかけで今日子(吉岡里帆)は吉崎(桐谷健太)と付き合うことになった。仕事中もついつい浮かれてしまう今日子は、星名(向井理)にだけは知られてはいけないと気を引き締める。ラプワールでは新ブランドのデザイン選定が佳境を迎えていた。だが最終プレゼン前にもかかわらず池脇部長(杉本彩)は堀田(瀬戸朝香)をデザイナーに指名。実は池脇と八木(鈴木紗理奈)には浅からぬ因縁があり、権力を盾にした意趣返しに八木はやる気をなくしてしまう。そんな八木に堀田は負け犬呼ばわりし…。一方、今日子は星名に最終プレゼンを予定"&amp;"通り行うよう頼みこむ。しぶしぶ承諾した星名は、衝撃のひとことを口にする。小川今日子・・・吉岡里帆  吉崎幸次郎・・・桐谷健太    飯田彩香・・・石橋杏奈  成川映美・・・中村アン  白崎達夫・・・長谷川朝晴  為末れいか・・・田中真琴  牧村英二・・・山岸門人  稲垣栞里・・・周本絵梨香  八幡俊輔・・・永岡佑  池脇久美子・・・杉本彩    スズキ次郎・・・ムロツヨシ    八木泉・・・鈴木紗理奈  堀田麻衣子・・・瀬戸朝香    星名漣・・・向井理天堂きりん「きみが心に棲みついた」「きみが心に棲みつ"&amp;"いたS」(祥伝社フィールコミックス)  脚本:徳尾浩司  脚本協力:吉澤智子音楽:出羽良影  主題歌:E-girls「Pain, pain」  挿入歌:MONDO GROSSO 「偽りのシンパシー」編成:磯山晶　池田尚弘　中島啓介  プロデューサー:佐藤敦司  演出:福田亮介◇番組HP  http://www.tbs.co.jp/kimisumi/  ◇twitter  @kimisumi_tbs  https://twitter.com/kimisumi_tbs  ◇instagram  https:/"&amp;"/www.instagram.com/kimisumi_tbs/  番組の内容と放送時間は変更になる場合があります。")</f>
        <v>バーベキューがきっかけで今日子(吉岡里帆)は吉崎(桐谷健太)と付き合うことになった。仕事中もついつい浮かれてしまう今日子は、星名(向井理)にだけは知られてはいけないと気を引き締める。ラプワールでは新ブランドのデザイン選定が佳境を迎えていた。だが最終プレゼン前にもかかわらず池脇部長(杉本彩)は堀田(瀬戸朝香)をデザイナーに指名。実は池脇と八木(鈴木紗理奈)には浅からぬ因縁があり、権力を盾にした意趣返しに八木はやる気をなくしてしまう。そんな八木に堀田は負け犬呼ばわりし…。一方、今日子は星名に最終プレゼンを予定通り行うよう頼みこむ。しぶしぶ承諾した星名は、衝撃のひとことを口にする。小川今日子・・・吉岡里帆  吉崎幸次郎・・・桐谷健太    飯田彩香・・・石橋杏奈  成川映美・・・中村アン  白崎達夫・・・長谷川朝晴  為末れいか・・・田中真琴  牧村英二・・・山岸門人  稲垣栞里・・・周本絵梨香  八幡俊輔・・・永岡佑  池脇久美子・・・杉本彩    スズキ次郎・・・ムロツヨシ    八木泉・・・鈴木紗理奈  堀田麻衣子・・・瀬戸朝香    星名漣・・・向井理天堂きりん「きみが心に棲みついた」「きみが心に棲みついたS」(祥伝社フィールコミックス)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演出:福田亮介◇番組HP  http://www.tbs.co.jp/kimisumi/  ◇twitter  @kimisumi_tbs  https://twitter.com/kimisumi_tbs  ◇instagram  https://www.instagram.com/kimisumi_tbs/  番組の内容と放送時間は変更になる場合があります。</v>
      </c>
      <c r="N4840" s="2"/>
      <c r="O4840" s="2"/>
      <c r="P4840" s="2"/>
      <c r="Q4840" s="2"/>
      <c r="R4840" s="2"/>
      <c r="S4840" s="2"/>
      <c r="T4840" s="2"/>
      <c r="U4840" s="2"/>
      <c r="V4840" s="2"/>
      <c r="W4840" s="2"/>
      <c r="X4840" s="2"/>
      <c r="Y4840" s="2"/>
      <c r="Z4840" s="2"/>
      <c r="AA4840" s="2"/>
      <c r="AB4840" s="2"/>
      <c r="AC4840" s="2"/>
      <c r="AD4840" s="2"/>
      <c r="AE4840" s="2"/>
      <c r="AF4840" s="2"/>
      <c r="AG4840" s="2"/>
      <c r="AH4840" s="2"/>
      <c r="AI4840" s="2"/>
      <c r="AJ4840" s="2"/>
      <c r="AK4840" s="2"/>
      <c r="AL4840" s="2"/>
      <c r="AM4840" s="2"/>
      <c r="AN4840" s="2"/>
      <c r="AO4840" s="2"/>
      <c r="AP4840" s="2"/>
      <c r="AQ4840" s="2"/>
      <c r="AR4840" s="2"/>
      <c r="AS4840" s="2"/>
      <c r="AT4840" s="2"/>
      <c r="AU4840" s="2"/>
      <c r="AV4840" s="2"/>
      <c r="AW4840" s="2"/>
      <c r="AX4840" s="2"/>
      <c r="AY4840" s="2"/>
      <c r="AZ4840" s="2"/>
      <c r="BA4840" s="2"/>
      <c r="BB4840" s="2"/>
    </row>
    <row r="4841" ht="204.75" customHeight="1">
      <c r="A4841" s="1">
        <v>854.0</v>
      </c>
      <c r="B4841" s="2" t="s">
        <v>13609</v>
      </c>
      <c r="C4841" s="2">
        <f>IFERROR(__xludf.DUMMYFUNCTION("split(B4841,""_"")"),1801.0)</f>
        <v>1801</v>
      </c>
      <c r="D4841" s="2" t="str">
        <f>IFERROR(__xludf.DUMMYFUNCTION("""COMPUTED_VALUE"""),"TBS")</f>
        <v>TBS</v>
      </c>
      <c r="E4841" s="2" t="str">
        <f>IFERROR(__xludf.DUMMYFUNCTION("""COMPUTED_VALUE"""),"火22")</f>
        <v>火22</v>
      </c>
      <c r="F4841" s="2" t="s">
        <v>13610</v>
      </c>
      <c r="G4841" s="2" t="s">
        <v>13628</v>
      </c>
      <c r="H4841" s="1">
        <v>7.0</v>
      </c>
      <c r="J4841" s="1" t="s">
        <v>86</v>
      </c>
      <c r="K4841" s="2" t="s">
        <v>13629</v>
      </c>
      <c r="L4841" s="2" t="s">
        <v>13630</v>
      </c>
      <c r="M4841" s="2" t="str">
        <f>IFERROR(__xludf.DUMMYFUNCTION("split(split(K4841,""【"",false),""公式LINE"",false)"),"吉崎(桐谷健太)と付き合い始めた今日子(吉岡里帆)だが、吉崎の前に度々現れる映美(中村アン)に気を揉んでいた。ちゃんと聞こうと思っても言葉に出せないまま悶々と日々が過ぎていく。一方、ラプワールでは堀田(瀬戸朝香)と八木(鈴木紗理奈)の2名体制での新ブランド立ち上げが正式決定。しかしそこに飯田(石橋杏奈)の名前はない。何とか星名(向井理)とつながっていたい飯田はマンションを訪れるが冷たい言葉を投げかけられてしまう。ある日、今日子は吉崎があのストリップ動画を見てしまったことを知る。一番知られたくない過去を一番"&amp;"知られたくない人に知られてしまった。それを知った星名は会社でも覇気のない今日子に迫る。小川今日子・・・吉岡里帆  吉崎幸次郎・・・桐谷健太    飯田彩香・・・石橋杏奈  成川映美・・・中村アン  白崎達夫・・・長谷川朝晴  為末れいか・・・田中真琴  牧村英二・・・山岸門人  稲垣栞里・・・周本絵梨香  八幡俊輔・・・永岡佑  北園郁美・・・岡江久美子    スズキ次郎・・・ムロツヨシ    八木泉・・・鈴木紗理奈  堀田麻衣子・・・瀬戸朝香    星名漣・・・向井理天堂きりん「きみが心に棲みついた」「"&amp;"きみが心に棲みついたS」(祥伝社フィールコミックス)  脚本:吉澤智子音楽:出羽良影  主題歌:E-girls「Pain, pain」  挿入歌:MONDO GROSSO 「偽りのシンパシー」編成:磯山晶　池田尚弘　中島啓介  プロデューサー:佐藤敦司  演出:金子文紀◇番組HP  http://www.tbs.co.jp/kimisumi/  ◇twitter  @kimisumi_tbs  https://twitter.com/kimisumi_tbs  ◇instagram  https://ww"&amp;"w.instagram.com/kimisumi_tbs/  番組の内容と放送時間は変更になる場合があります。")</f>
        <v>吉崎(桐谷健太)と付き合い始めた今日子(吉岡里帆)だが、吉崎の前に度々現れる映美(中村アン)に気を揉んでいた。ちゃんと聞こうと思っても言葉に出せないまま悶々と日々が過ぎていく。一方、ラプワールでは堀田(瀬戸朝香)と八木(鈴木紗理奈)の2名体制での新ブランド立ち上げが正式決定。しかしそこに飯田(石橋杏奈)の名前はない。何とか星名(向井理)とつながっていたい飯田はマンションを訪れるが冷たい言葉を投げかけられてしまう。ある日、今日子は吉崎があのストリップ動画を見てしまったことを知る。一番知られたくない過去を一番知られたくない人に知られてしまった。それを知った星名は会社でも覇気のない今日子に迫る。小川今日子・・・吉岡里帆  吉崎幸次郎・・・桐谷健太    飯田彩香・・・石橋杏奈  成川映美・・・中村アン  白崎達夫・・・長谷川朝晴  為末れいか・・・田中真琴  牧村英二・・・山岸門人  稲垣栞里・・・周本絵梨香  八幡俊輔・・・永岡佑  北園郁美・・・岡江久美子    スズキ次郎・・・ムロツヨシ    八木泉・・・鈴木紗理奈  堀田麻衣子・・・瀬戸朝香    星名漣・・・向井理天堂きりん「きみが心に棲みついた」「きみが心に棲みついたS」(祥伝社フィールコミックス)  脚本:吉澤智子音楽:出羽良影  主題歌:E-girls「Pain, pain」  挿入歌:MONDO GROSSO 「偽りのシンパシー」編成:磯山晶　池田尚弘　中島啓介  プロデューサー:佐藤敦司  演出:金子文紀◇番組HP  http://www.tbs.co.jp/kimisumi/  ◇twitter  @kimisumi_tbs  https://twitter.com/kimisumi_tbs  ◇instagram  https://www.instagram.com/kimisumi_tbs/  番組の内容と放送時間は変更になる場合があります。</v>
      </c>
      <c r="N4841" s="2"/>
      <c r="O4841" s="2"/>
      <c r="P4841" s="2"/>
      <c r="Q4841" s="2"/>
      <c r="R4841" s="2"/>
      <c r="S4841" s="2"/>
      <c r="T4841" s="2"/>
      <c r="U4841" s="2"/>
      <c r="V4841" s="2"/>
      <c r="W4841" s="2"/>
      <c r="X4841" s="2"/>
      <c r="Y4841" s="2"/>
      <c r="Z4841" s="2"/>
      <c r="AA4841" s="2"/>
      <c r="AB4841" s="2"/>
      <c r="AC4841" s="2"/>
      <c r="AD4841" s="2"/>
      <c r="AE4841" s="2"/>
      <c r="AF4841" s="2"/>
      <c r="AG4841" s="2"/>
      <c r="AH4841" s="2"/>
      <c r="AI4841" s="2"/>
      <c r="AJ4841" s="2"/>
      <c r="AK4841" s="2"/>
      <c r="AL4841" s="2"/>
      <c r="AM4841" s="2"/>
      <c r="AN4841" s="2"/>
      <c r="AO4841" s="2"/>
      <c r="AP4841" s="2"/>
      <c r="AQ4841" s="2"/>
      <c r="AR4841" s="2"/>
      <c r="AS4841" s="2"/>
      <c r="AT4841" s="2"/>
      <c r="AU4841" s="2"/>
      <c r="AV4841" s="2"/>
      <c r="AW4841" s="2"/>
      <c r="AX4841" s="2"/>
      <c r="AY4841" s="2"/>
      <c r="AZ4841" s="2"/>
      <c r="BA4841" s="2"/>
      <c r="BB4841" s="2"/>
    </row>
    <row r="4842" ht="204.75" customHeight="1">
      <c r="A4842" s="1">
        <v>855.0</v>
      </c>
      <c r="B4842" s="2" t="s">
        <v>13609</v>
      </c>
      <c r="C4842" s="2">
        <f>IFERROR(__xludf.DUMMYFUNCTION("split(B4842,""_"")"),1801.0)</f>
        <v>1801</v>
      </c>
      <c r="D4842" s="2" t="str">
        <f>IFERROR(__xludf.DUMMYFUNCTION("""COMPUTED_VALUE"""),"TBS")</f>
        <v>TBS</v>
      </c>
      <c r="E4842" s="2" t="str">
        <f>IFERROR(__xludf.DUMMYFUNCTION("""COMPUTED_VALUE"""),"火22")</f>
        <v>火22</v>
      </c>
      <c r="F4842" s="2" t="s">
        <v>13610</v>
      </c>
      <c r="G4842" s="2" t="s">
        <v>13631</v>
      </c>
      <c r="H4842" s="1">
        <v>8.0</v>
      </c>
      <c r="J4842" s="1" t="s">
        <v>86</v>
      </c>
      <c r="K4842" s="2" t="s">
        <v>13632</v>
      </c>
      <c r="L4842" s="2" t="s">
        <v>13633</v>
      </c>
      <c r="M4842" s="2" t="str">
        <f>IFERROR(__xludf.DUMMYFUNCTION("split(split(K4842,""【"",false),""公式LINE"",false)"),"ラプワールでは新ブランドの展示会が行われていた。そこにタレントの山藤アイカ(石田ニコル)が現れた。彼女とのコラボ企画が立ち上がるのだ。今日子(吉岡里帆)は新ブランドを離れてコラボ企画を担当するよう命じられる。これも星名(向井理)が糸を引いていると気づいた今日子は意を決して「今後一切かかわらないで欲しい」と星名に詰め寄る。すると、明日自分と付き合ったら関係を終わらせると星名は約束。新たな一歩を踏み出すため、今日子は吉崎(桐谷健太)に嘘をついてこのデートに臨む。翌日、何事にも動じないと心に決めた今日子だが、星"&amp;"名はあまりにも優しい。そして星名は「本気で逃げたいなら俺を殺せ」とつぶやく。小川今日子　・・・吉岡里帆  吉崎幸次郎　・・・桐谷健太    飯田彩香　　・・・石橋杏奈  成川映美　　・・・中村アン  白崎達夫　　・・・長谷川朝晴  為末れいか　・・・田中真琴  牧村英二　　・・・山岸門人  稲垣栞里　　・・・周本絵梨香  北園郁美　　・・・岡江久美子  山藤アイカ　・・・石田ニコルスズキ次郎　・・・ムロツヨシ    八木泉　　　・・・鈴木紗理奈  堀田麻衣子・・・瀬戸朝香    星名漣　　　・・・向井理天"&amp;"堂きりん「きみが心に棲みついた」「きみが心に棲みついたS」(祥伝社フィールコミックス)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演出:棚澤孝義◇番組HP  http://www.tbs.co.jp/kimisumi/  ◇twitter  @kimisumi_tbs  https://twitter.com/kimisumi"&amp;"_tbs  ◇instagram  https://www.instagram.com/kimisumi_tbs/  番組の内容と放送時間は変更になる場合があります。")</f>
        <v>ラプワールでは新ブランドの展示会が行われていた。そこにタレントの山藤アイカ(石田ニコル)が現れた。彼女とのコラボ企画が立ち上がるのだ。今日子(吉岡里帆)は新ブランドを離れてコラボ企画を担当するよう命じられる。これも星名(向井理)が糸を引いていると気づいた今日子は意を決して「今後一切かかわらないで欲しい」と星名に詰め寄る。すると、明日自分と付き合ったら関係を終わらせると星名は約束。新たな一歩を踏み出すため、今日子は吉崎(桐谷健太)に嘘をついてこのデートに臨む。翌日、何事にも動じないと心に決めた今日子だが、星名はあまりにも優しい。そして星名は「本気で逃げたいなら俺を殺せ」とつぶやく。小川今日子　・・・吉岡里帆  吉崎幸次郎　・・・桐谷健太    飯田彩香　　・・・石橋杏奈  成川映美　　・・・中村アン  白崎達夫　　・・・長谷川朝晴  為末れいか　・・・田中真琴  牧村英二　　・・・山岸門人  稲垣栞里　　・・・周本絵梨香  北園郁美　　・・・岡江久美子  山藤アイカ　・・・石田ニコルスズキ次郎　・・・ムロツヨシ    八木泉　　　・・・鈴木紗理奈  堀田麻衣子・・・瀬戸朝香    星名漣　　　・・・向井理天堂きりん「きみが心に棲みついた」「きみが心に棲みついたS」(祥伝社フィールコミックス)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演出:棚澤孝義◇番組HP  http://www.tbs.co.jp/kimisumi/  ◇twitter  @kimisumi_tbs  https://twitter.com/kimisumi_tbs  ◇instagram  https://www.instagram.com/kimisumi_tbs/  番組の内容と放送時間は変更になる場合があります。</v>
      </c>
      <c r="N4842" s="2"/>
      <c r="O4842" s="2"/>
      <c r="P4842" s="2"/>
      <c r="Q4842" s="2"/>
      <c r="R4842" s="2"/>
      <c r="S4842" s="2"/>
      <c r="T4842" s="2"/>
      <c r="U4842" s="2"/>
      <c r="V4842" s="2"/>
      <c r="W4842" s="2"/>
      <c r="X4842" s="2"/>
      <c r="Y4842" s="2"/>
      <c r="Z4842" s="2"/>
      <c r="AA4842" s="2"/>
      <c r="AB4842" s="2"/>
      <c r="AC4842" s="2"/>
      <c r="AD4842" s="2"/>
      <c r="AE4842" s="2"/>
      <c r="AF4842" s="2"/>
      <c r="AG4842" s="2"/>
      <c r="AH4842" s="2"/>
      <c r="AI4842" s="2"/>
      <c r="AJ4842" s="2"/>
      <c r="AK4842" s="2"/>
      <c r="AL4842" s="2"/>
      <c r="AM4842" s="2"/>
      <c r="AN4842" s="2"/>
      <c r="AO4842" s="2"/>
      <c r="AP4842" s="2"/>
      <c r="AQ4842" s="2"/>
      <c r="AR4842" s="2"/>
      <c r="AS4842" s="2"/>
      <c r="AT4842" s="2"/>
      <c r="AU4842" s="2"/>
      <c r="AV4842" s="2"/>
      <c r="AW4842" s="2"/>
      <c r="AX4842" s="2"/>
      <c r="AY4842" s="2"/>
      <c r="AZ4842" s="2"/>
      <c r="BA4842" s="2"/>
      <c r="BB4842" s="2"/>
    </row>
    <row r="4843" ht="204.75" customHeight="1">
      <c r="A4843" s="1">
        <v>856.0</v>
      </c>
      <c r="B4843" s="2" t="s">
        <v>13609</v>
      </c>
      <c r="C4843" s="2">
        <f>IFERROR(__xludf.DUMMYFUNCTION("split(B4843,""_"")"),1801.0)</f>
        <v>1801</v>
      </c>
      <c r="D4843" s="2" t="str">
        <f>IFERROR(__xludf.DUMMYFUNCTION("""COMPUTED_VALUE"""),"TBS")</f>
        <v>TBS</v>
      </c>
      <c r="E4843" s="2" t="str">
        <f>IFERROR(__xludf.DUMMYFUNCTION("""COMPUTED_VALUE"""),"火22")</f>
        <v>火22</v>
      </c>
      <c r="F4843" s="2" t="s">
        <v>13610</v>
      </c>
      <c r="G4843" s="2" t="s">
        <v>13634</v>
      </c>
      <c r="H4843" s="1">
        <v>9.0</v>
      </c>
      <c r="J4843" s="1" t="s">
        <v>86</v>
      </c>
      <c r="K4843" s="2" t="s">
        <v>13635</v>
      </c>
      <c r="L4843" s="2" t="s">
        <v>13636</v>
      </c>
      <c r="M4843" s="2" t="str">
        <f>IFERROR(__xludf.DUMMYFUNCTION("split(split(K4843,""【"",false),""公式LINE"",false)"),"星名(向井理)との関係に終止符を打ち、今日子(吉岡里帆)は晴れやかな気分でいた。しかしその頃、吉崎(桐谷健太)は何者かから送られてきた動画データを見て驚く。今日子が星名とともに彼のマンションに入っていた…。翌日、吉崎は今日子の家を訪れ、星名との関係を問いただす。「過去に何があったか話したくなったら話してくれればいい」とは言ったが、実は嫉妬に狂いそうだったと本音をこぼす吉崎に今日子は母親との不仲や星名との過去を打ち明ける。吉崎から母親との関係を乗り越えるよう背中を押された今日子は数年ぶりに実家を訪れる決心を"&amp;"する。そんな時、ラプワール従業員全員に星名のパワハラ・セクハラを告発するメールが届き…小川今日子　・・・吉岡里帆  吉崎幸次郎　・・・桐谷健太    飯田彩香　　・・・石橋杏奈  成川映美　　・・・中村アン  白崎達夫　　・・・長谷川朝晴  為末れいか　・・・田中真琴  牧村英二　　・・・山岸門人  稲垣栞里　　・・・周本絵梨香  北園郁美　　・・・岡江久美子    スズキ次郎　・・・ムロツヨシ    八木泉　　　・・・鈴木紗理奈  堀田麻衣子・・・瀬戸朝香    星名漣　　　・・・向井理天堂きりん「きみ"&amp;"が心に棲みついた」「きみが心に棲みついたS」(祥伝社フィールコミックス)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演出:水田成英◇番組HP  http://www.tbs.co.jp/kimisumi/  ◇twitter  @kimisumi_tbs  https://twitter.com/kimisumi_tbs  ◇"&amp;"instagram  https://www.instagram.com/kimisumi_tbs/  番組の内容と放送時間は変更になる場合があります。")</f>
        <v>星名(向井理)との関係に終止符を打ち、今日子(吉岡里帆)は晴れやかな気分でいた。しかしその頃、吉崎(桐谷健太)は何者かから送られてきた動画データを見て驚く。今日子が星名とともに彼のマンションに入っていた…。翌日、吉崎は今日子の家を訪れ、星名との関係を問いただす。「過去に何があったか話したくなったら話してくれればいい」とは言ったが、実は嫉妬に狂いそうだったと本音をこぼす吉崎に今日子は母親との不仲や星名との過去を打ち明ける。吉崎から母親との関係を乗り越えるよう背中を押された今日子は数年ぶりに実家を訪れる決心をする。そんな時、ラプワール従業員全員に星名のパワハラ・セクハラを告発するメールが届き…小川今日子　・・・吉岡里帆  吉崎幸次郎　・・・桐谷健太    飯田彩香　　・・・石橋杏奈  成川映美　　・・・中村アン  白崎達夫　　・・・長谷川朝晴  為末れいか　・・・田中真琴  牧村英二　　・・・山岸門人  稲垣栞里　　・・・周本絵梨香  北園郁美　　・・・岡江久美子    スズキ次郎　・・・ムロツヨシ    八木泉　　　・・・鈴木紗理奈  堀田麻衣子・・・瀬戸朝香    星名漣　　　・・・向井理天堂きりん「きみが心に棲みついた」「きみが心に棲みついたS」(祥伝社フィールコミックス)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演出:水田成英◇番組HP  http://www.tbs.co.jp/kimisumi/  ◇twitter  @kimisumi_tbs  https://twitter.com/kimisumi_tbs  ◇instagram  https://www.instagram.com/kimisumi_tbs/  番組の内容と放送時間は変更になる場合があります。</v>
      </c>
      <c r="N4843" s="2"/>
      <c r="O4843" s="2"/>
      <c r="P4843" s="2"/>
      <c r="Q4843" s="2"/>
      <c r="R4843" s="2"/>
      <c r="S4843" s="2"/>
      <c r="T4843" s="2"/>
      <c r="U4843" s="2"/>
      <c r="V4843" s="2"/>
      <c r="W4843" s="2"/>
      <c r="X4843" s="2"/>
      <c r="Y4843" s="2"/>
      <c r="Z4843" s="2"/>
      <c r="AA4843" s="2"/>
      <c r="AB4843" s="2"/>
      <c r="AC4843" s="2"/>
      <c r="AD4843" s="2"/>
      <c r="AE4843" s="2"/>
      <c r="AF4843" s="2"/>
      <c r="AG4843" s="2"/>
      <c r="AH4843" s="2"/>
      <c r="AI4843" s="2"/>
      <c r="AJ4843" s="2"/>
      <c r="AK4843" s="2"/>
      <c r="AL4843" s="2"/>
      <c r="AM4843" s="2"/>
      <c r="AN4843" s="2"/>
      <c r="AO4843" s="2"/>
      <c r="AP4843" s="2"/>
      <c r="AQ4843" s="2"/>
      <c r="AR4843" s="2"/>
      <c r="AS4843" s="2"/>
      <c r="AT4843" s="2"/>
      <c r="AU4843" s="2"/>
      <c r="AV4843" s="2"/>
      <c r="AW4843" s="2"/>
      <c r="AX4843" s="2"/>
      <c r="AY4843" s="2"/>
      <c r="AZ4843" s="2"/>
      <c r="BA4843" s="2"/>
      <c r="BB4843" s="2"/>
    </row>
    <row r="4844" ht="204.75" customHeight="1">
      <c r="A4844" s="1">
        <v>857.0</v>
      </c>
      <c r="B4844" s="2" t="s">
        <v>13609</v>
      </c>
      <c r="C4844" s="2">
        <f>IFERROR(__xludf.DUMMYFUNCTION("split(B4844,""_"")"),1801.0)</f>
        <v>1801</v>
      </c>
      <c r="D4844" s="2" t="str">
        <f>IFERROR(__xludf.DUMMYFUNCTION("""COMPUTED_VALUE"""),"TBS")</f>
        <v>TBS</v>
      </c>
      <c r="E4844" s="2" t="str">
        <f>IFERROR(__xludf.DUMMYFUNCTION("""COMPUTED_VALUE"""),"火22")</f>
        <v>火22</v>
      </c>
      <c r="F4844" s="2" t="s">
        <v>13610</v>
      </c>
      <c r="G4844" s="2" t="s">
        <v>13637</v>
      </c>
      <c r="H4844" s="1">
        <v>10.0</v>
      </c>
      <c r="J4844" s="1" t="s">
        <v>86</v>
      </c>
      <c r="K4844" s="2" t="s">
        <v>13638</v>
      </c>
      <c r="L4844" s="2" t="s">
        <v>13639</v>
      </c>
      <c r="M4844" s="2" t="str">
        <f>IFERROR(__xludf.DUMMYFUNCTION("split(split(K4844,""【"",false),""公式LINE"",false)"),"星名(向井理)への依存を理由に吉崎(桐谷健太)にフラれた今日子(吉岡里帆)だが、落ち込むことなく仕事に奮闘する。星名は帝光商事に戻され謹慎処分に。それ以降、今日子の元に連絡はなかった。そんなラプワールに星名の母・郁美(岡江久美子)が倒れたという連絡が入る。姉・祥子(星野園美)によると星名とは連絡がつかず帝光商事にもつながる人間がいないという。不安を感じた今日子は、郁美が入院する病院を訪れ、郁美から星名の生い立ちを聞かされる。一方、今日子と別れた吉崎は何故か星名のマンションを訪れていた。吉崎は星名が今日子に"&amp;"依存していることを指摘し、解放して欲しいと頭を下げる。そして…。小川今日子　・・・吉岡里帆  吉崎幸次郎　・・・桐谷健太    飯田彩香　・・・石橋杏奈  成川映美　・・・中村アン  白崎達夫　・・・長谷川朝晴  為末れいか・・・田中真琴  牧村英二　・・・山岸門人  稲垣栞里　・・・周本絵梨香  谷山祥子　・・・星野園美  北園郁美　・・・岡江久美子    スズキ次郎　・・・ムロツヨシ  八木泉　・・・鈴木紗理奈  堀田麻衣子　・・・瀬戸朝香    星名漣　・・・向井理天堂きりん「きみが心に棲みついた」"&amp;"「きみが心に棲みついたS」(祥伝社フィールコミックス)  脚本:吉澤智子音楽:出羽良影  主題歌:E-girls「Pain, pain」  挿入歌:MONDO GROSSO 「偽りのシンパシー」編成:磯山晶　池田尚弘　中島啓介  プロデューサー:佐藤敦司  演出:福田亮介◇番組HP  http://www.tbs.co.jp/kimisumi/  ◇twitter  @kimisumi_tbs  https://twitter.com/kimisumi_tbs  ◇instagram  https://w"&amp;"ww.instagram.com/kimisumi_tbs/  番組の内容と放送時間は変更になる場合があります。")</f>
        <v>星名(向井理)への依存を理由に吉崎(桐谷健太)にフラれた今日子(吉岡里帆)だが、落ち込むことなく仕事に奮闘する。星名は帝光商事に戻され謹慎処分に。それ以降、今日子の元に連絡はなかった。そんなラプワールに星名の母・郁美(岡江久美子)が倒れたという連絡が入る。姉・祥子(星野園美)によると星名とは連絡がつかず帝光商事にもつながる人間がいないという。不安を感じた今日子は、郁美が入院する病院を訪れ、郁美から星名の生い立ちを聞かされる。一方、今日子と別れた吉崎は何故か星名のマンションを訪れていた。吉崎は星名が今日子に依存していることを指摘し、解放して欲しいと頭を下げる。そして…。小川今日子　・・・吉岡里帆  吉崎幸次郎　・・・桐谷健太    飯田彩香　・・・石橋杏奈  成川映美　・・・中村アン  白崎達夫　・・・長谷川朝晴  為末れいか・・・田中真琴  牧村英二　・・・山岸門人  稲垣栞里　・・・周本絵梨香  谷山祥子　・・・星野園美  北園郁美　・・・岡江久美子    スズキ次郎　・・・ムロツヨシ  八木泉　・・・鈴木紗理奈  堀田麻衣子　・・・瀬戸朝香    星名漣　・・・向井理天堂きりん「きみが心に棲みついた」「きみが心に棲みついたS」(祥伝社フィールコミックス)  脚本:吉澤智子音楽:出羽良影  主題歌:E-girls「Pain, pain」  挿入歌:MONDO GROSSO 「偽りのシンパシー」編成:磯山晶　池田尚弘　中島啓介  プロデューサー:佐藤敦司  演出:福田亮介◇番組HP  http://www.tbs.co.jp/kimisumi/  ◇twitter  @kimisumi_tbs  https://twitter.com/kimisumi_tbs  ◇instagram  https://www.instagram.com/kimisumi_tbs/  番組の内容と放送時間は変更になる場合があります。</v>
      </c>
      <c r="N4844" s="2"/>
      <c r="O4844" s="2"/>
      <c r="P4844" s="2"/>
      <c r="Q4844" s="2"/>
      <c r="R4844" s="2"/>
      <c r="S4844" s="2"/>
      <c r="T4844" s="2"/>
      <c r="U4844" s="2"/>
      <c r="V4844" s="2"/>
      <c r="W4844" s="2"/>
      <c r="X4844" s="2"/>
      <c r="Y4844" s="2"/>
      <c r="Z4844" s="2"/>
      <c r="AA4844" s="2"/>
      <c r="AB4844" s="2"/>
      <c r="AC4844" s="2"/>
      <c r="AD4844" s="2"/>
      <c r="AE4844" s="2"/>
      <c r="AF4844" s="2"/>
      <c r="AG4844" s="2"/>
      <c r="AH4844" s="2"/>
      <c r="AI4844" s="2"/>
      <c r="AJ4844" s="2"/>
      <c r="AK4844" s="2"/>
      <c r="AL4844" s="2"/>
      <c r="AM4844" s="2"/>
      <c r="AN4844" s="2"/>
      <c r="AO4844" s="2"/>
      <c r="AP4844" s="2"/>
      <c r="AQ4844" s="2"/>
      <c r="AR4844" s="2"/>
      <c r="AS4844" s="2"/>
      <c r="AT4844" s="2"/>
      <c r="AU4844" s="2"/>
      <c r="AV4844" s="2"/>
      <c r="AW4844" s="2"/>
      <c r="AX4844" s="2"/>
      <c r="AY4844" s="2"/>
      <c r="AZ4844" s="2"/>
      <c r="BA4844" s="2"/>
      <c r="BB4844" s="2"/>
    </row>
    <row r="4845" ht="204.75" customHeight="1">
      <c r="A4845" s="1">
        <v>895.0</v>
      </c>
      <c r="B4845" s="2" t="s">
        <v>13640</v>
      </c>
      <c r="C4845" s="2">
        <f>IFERROR(__xludf.DUMMYFUNCTION("split(B4845,""_"")"),1801.0)</f>
        <v>1801</v>
      </c>
      <c r="D4845" s="2" t="str">
        <f>IFERROR(__xludf.DUMMYFUNCTION("""COMPUTED_VALUE"""),"TBS")</f>
        <v>TBS</v>
      </c>
      <c r="E4845" s="2" t="str">
        <f>IFERROR(__xludf.DUMMYFUNCTION("""COMPUTED_VALUE"""),"金22")</f>
        <v>金22</v>
      </c>
      <c r="F4845" s="2" t="s">
        <v>13641</v>
      </c>
      <c r="G4845" s="2" t="s">
        <v>13642</v>
      </c>
      <c r="H4845" s="1">
        <v>1.0</v>
      </c>
      <c r="J4845" s="1" t="s">
        <v>82</v>
      </c>
      <c r="K4845" s="2" t="s">
        <v>13643</v>
      </c>
      <c r="L4845" s="2" t="s">
        <v>13644</v>
      </c>
      <c r="M4845" s="2" t="str">
        <f>IFERROR(__xludf.DUMMYFUNCTION("split(split(K4845,""【"",false),""公式LINE"",false)"),"解剖医の三澄ミコト(石原さとみ)が働く不自然死究明研究所(UDIラボ)は、異状死体や犯罪死体を引き受け解剖している。ある日、「心不全」で突然死した息子の死因に疑問をもった老夫婦がUDIを訪ねてくる。さっそくミコトたちが解剖に取り掛かると、薬毒物死の可能性が浮上。しかし、死因となった毒物が何かがどうしても特定できない。そんな折、突然死した男性の同僚も原因不明の突然死を遂げていたことが判明する・・・。死因を究明すべく、死亡した男性のアパートで調査を行うミコト。すると、遺体の第一発見者でもある婚約者・馬場路子("&amp;"山口紗弥加)が現れる。 さらに馬場の仕事が劇薬毒物製品の開発だとが分かって…。石原さとみ　井浦新　窪田正孝　市川実日子　池田鉄洋　竜星涼　小笠原海(超特急)　飯尾和樹(ずん)　/　　北村有起哉　大倉孝二　/　薬師丸ひろ子(特別出演)　松重豊&lt;ゲスト&gt;山口紗弥加　福士誠治　村井國夫音楽:得田真裕　  主題歌:米津玄師「Lemon」(ソニー・ミュージックレコーズ)  野木亜紀子(「逃げるは恥だが役にたつ」「空飛ぶ広報室」「重版出来!」「図書館戦争シリーズ」)  プロデュース:新井順子　植田博樹(TBSテレビ)"&amp;"　  演出:塚原あゆ子◇番組HP　  http://www.tbs.co.jp/unnatural2018/    ◇番組Twitter　  @unnatural_tbs　  https://twitter.com/unnatural_tbs/  番組の内容と放送時間は変更になる場合があります。")</f>
        <v>解剖医の三澄ミコト(石原さとみ)が働く不自然死究明研究所(UDIラボ)は、異状死体や犯罪死体を引き受け解剖している。ある日、「心不全」で突然死した息子の死因に疑問をもった老夫婦がUDIを訪ねてくる。さっそくミコトたちが解剖に取り掛かると、薬毒物死の可能性が浮上。しかし、死因となった毒物が何かがどうしても特定できない。そんな折、突然死した男性の同僚も原因不明の突然死を遂げていたことが判明する・・・。死因を究明すべく、死亡した男性のアパートで調査を行うミコト。すると、遺体の第一発見者でもある婚約者・馬場路子(山口紗弥加)が現れる。 さらに馬場の仕事が劇薬毒物製品の開発だとが分かって…。石原さとみ　井浦新　窪田正孝　市川実日子　池田鉄洋　竜星涼　小笠原海(超特急)　飯尾和樹(ずん)　/　　北村有起哉　大倉孝二　/　薬師丸ひろ子(特別出演)　松重豊&lt;ゲスト&gt;山口紗弥加　福士誠治　村井國夫音楽:得田真裕　  主題歌:米津玄師「Lemon」(ソニー・ミュージックレコーズ)  野木亜紀子(「逃げるは恥だが役にたつ」「空飛ぶ広報室」「重版出来!」「図書館戦争シリーズ」)  プロデュース:新井順子　植田博樹(TBSテレビ)　  演出:塚原あゆ子◇番組HP　  http://www.tbs.co.jp/unnatural2018/    ◇番組Twitter　  @unnatural_tbs　  https://twitter.com/unnatural_tbs/  番組の内容と放送時間は変更になる場合があります。</v>
      </c>
      <c r="N4845" s="2"/>
      <c r="O4845" s="2"/>
      <c r="P4845" s="2"/>
      <c r="Q4845" s="2"/>
      <c r="R4845" s="2"/>
      <c r="S4845" s="2"/>
      <c r="T4845" s="2"/>
      <c r="U4845" s="2"/>
      <c r="V4845" s="2"/>
      <c r="W4845" s="2"/>
      <c r="X4845" s="2"/>
      <c r="Y4845" s="2"/>
      <c r="Z4845" s="2"/>
      <c r="AA4845" s="2"/>
      <c r="AB4845" s="2"/>
      <c r="AC4845" s="2"/>
      <c r="AD4845" s="2"/>
      <c r="AE4845" s="2"/>
      <c r="AF4845" s="2"/>
      <c r="AG4845" s="2"/>
      <c r="AH4845" s="2"/>
      <c r="AI4845" s="2"/>
      <c r="AJ4845" s="2"/>
      <c r="AK4845" s="2"/>
      <c r="AL4845" s="2"/>
      <c r="AM4845" s="2"/>
      <c r="AN4845" s="2"/>
      <c r="AO4845" s="2"/>
      <c r="AP4845" s="2"/>
      <c r="AQ4845" s="2"/>
      <c r="AR4845" s="2"/>
      <c r="AS4845" s="2"/>
      <c r="AT4845" s="2"/>
      <c r="AU4845" s="2"/>
      <c r="AV4845" s="2"/>
      <c r="AW4845" s="2"/>
      <c r="AX4845" s="2"/>
      <c r="AY4845" s="2"/>
      <c r="AZ4845" s="2"/>
      <c r="BA4845" s="2"/>
      <c r="BB4845" s="2"/>
    </row>
    <row r="4846" ht="204.75" customHeight="1">
      <c r="A4846" s="1">
        <v>896.0</v>
      </c>
      <c r="B4846" s="2" t="s">
        <v>13640</v>
      </c>
      <c r="C4846" s="2">
        <f>IFERROR(__xludf.DUMMYFUNCTION("split(B4846,""_"")"),1801.0)</f>
        <v>1801</v>
      </c>
      <c r="D4846" s="2" t="str">
        <f>IFERROR(__xludf.DUMMYFUNCTION("""COMPUTED_VALUE"""),"TBS")</f>
        <v>TBS</v>
      </c>
      <c r="E4846" s="2" t="str">
        <f>IFERROR(__xludf.DUMMYFUNCTION("""COMPUTED_VALUE"""),"金22")</f>
        <v>金22</v>
      </c>
      <c r="F4846" s="2" t="s">
        <v>13641</v>
      </c>
      <c r="G4846" s="2" t="s">
        <v>13645</v>
      </c>
      <c r="H4846" s="1">
        <v>2.0</v>
      </c>
      <c r="J4846" s="1" t="s">
        <v>86</v>
      </c>
      <c r="K4846" s="2" t="s">
        <v>13646</v>
      </c>
      <c r="L4846" s="2" t="s">
        <v>13647</v>
      </c>
      <c r="M4846" s="2" t="str">
        <f>IFERROR(__xludf.DUMMYFUNCTION("split(split(K4846,""【"",false),""公式LINE"",false)"),"ミコト(石原さとみ)たちは警察の依頼により、集団練炭自殺の現場に出向く。そこには4人の遺体があり、刑事の毛利(大倉孝二)は事件性がないと主張するが、ミコトは解剖をすると決める。解剖の結果、3人は一酸化炭素中毒で自殺と断定されたが、ひとりの少女は“凍死""だと判明する。さらに少女の胃の中からダイイングメッセージが発見されて…。事件は思わぬ方向へ進み、ミコトたちUDIメンバーが絶体絶命のピンチに!石原さとみ　井浦新　窪田正孝　市川実日子　池田鉄洋　竜星涼　小笠原海(超特急)　飯尾和樹(ずん)　/　　北村有起哉"&amp;"　大倉孝二　/　薬師丸ひろ子(特別出演)　松重豊    &lt;ゲスト&gt;松村沙友理(乃木坂46)  音楽:得田真裕　  主題歌:米津玄師「Lemon」(ソニー・ミュージックレコーズ)  野木亜紀子(「逃げるは恥だが役にたつ」「空飛ぶ広報室」「重版出来!」「図書館戦争シリーズ」)  プロデュース:新井順子　植田博樹(TBSテレビ)　  演出:塚原あゆ子◇番組HP　  http://www.tbs.co.jp/unnatural2018/    ◇番組Twitter　  @unnatural_tbs　  https"&amp;"://twitter.com/unnatural_tbs/  番組の内容と放送時間は変更になる場合があります。")</f>
        <v>ミコト(石原さとみ)たちは警察の依頼により、集団練炭自殺の現場に出向く。そこには4人の遺体があり、刑事の毛利(大倉孝二)は事件性がないと主張するが、ミコトは解剖をすると決める。解剖の結果、3人は一酸化炭素中毒で自殺と断定されたが、ひとりの少女は“凍死"だと判明する。さらに少女の胃の中からダイイングメッセージが発見されて…。事件は思わぬ方向へ進み、ミコトたちUDIメンバーが絶体絶命のピンチに!石原さとみ　井浦新　窪田正孝　市川実日子　池田鉄洋　竜星涼　小笠原海(超特急)　飯尾和樹(ずん)　/　　北村有起哉　大倉孝二　/　薬師丸ひろ子(特別出演)　松重豊    &lt;ゲスト&gt;松村沙友理(乃木坂46)  音楽:得田真裕　  主題歌:米津玄師「Lemon」(ソニー・ミュージックレコーズ)  野木亜紀子(「逃げるは恥だが役にたつ」「空飛ぶ広報室」「重版出来!」「図書館戦争シリーズ」)  プロデュース:新井順子　植田博樹(TBSテレビ)　  演出:塚原あゆ子◇番組HP　  http://www.tbs.co.jp/unnatural2018/    ◇番組Twitter　  @unnatural_tbs　  https://twitter.com/unnatural_tbs/  番組の内容と放送時間は変更になる場合があります。</v>
      </c>
      <c r="N4846" s="2"/>
      <c r="O4846" s="2"/>
      <c r="P4846" s="2"/>
      <c r="Q4846" s="2"/>
      <c r="R4846" s="2"/>
      <c r="S4846" s="2"/>
      <c r="T4846" s="2"/>
      <c r="U4846" s="2"/>
      <c r="V4846" s="2"/>
      <c r="W4846" s="2"/>
      <c r="X4846" s="2"/>
      <c r="Y4846" s="2"/>
      <c r="Z4846" s="2"/>
      <c r="AA4846" s="2"/>
      <c r="AB4846" s="2"/>
      <c r="AC4846" s="2"/>
      <c r="AD4846" s="2"/>
      <c r="AE4846" s="2"/>
      <c r="AF4846" s="2"/>
      <c r="AG4846" s="2"/>
      <c r="AH4846" s="2"/>
      <c r="AI4846" s="2"/>
      <c r="AJ4846" s="2"/>
      <c r="AK4846" s="2"/>
      <c r="AL4846" s="2"/>
      <c r="AM4846" s="2"/>
      <c r="AN4846" s="2"/>
      <c r="AO4846" s="2"/>
      <c r="AP4846" s="2"/>
      <c r="AQ4846" s="2"/>
      <c r="AR4846" s="2"/>
      <c r="AS4846" s="2"/>
      <c r="AT4846" s="2"/>
      <c r="AU4846" s="2"/>
      <c r="AV4846" s="2"/>
      <c r="AW4846" s="2"/>
      <c r="AX4846" s="2"/>
      <c r="AY4846" s="2"/>
      <c r="AZ4846" s="2"/>
      <c r="BA4846" s="2"/>
      <c r="BB4846" s="2"/>
    </row>
    <row r="4847" ht="204.75" customHeight="1">
      <c r="A4847" s="1">
        <v>897.0</v>
      </c>
      <c r="B4847" s="2" t="s">
        <v>13640</v>
      </c>
      <c r="C4847" s="2">
        <f>IFERROR(__xludf.DUMMYFUNCTION("split(B4847,""_"")"),1801.0)</f>
        <v>1801</v>
      </c>
      <c r="D4847" s="2" t="str">
        <f>IFERROR(__xludf.DUMMYFUNCTION("""COMPUTED_VALUE"""),"TBS")</f>
        <v>TBS</v>
      </c>
      <c r="E4847" s="2" t="str">
        <f>IFERROR(__xludf.DUMMYFUNCTION("""COMPUTED_VALUE"""),"金22")</f>
        <v>金22</v>
      </c>
      <c r="F4847" s="2" t="s">
        <v>13641</v>
      </c>
      <c r="G4847" s="2" t="s">
        <v>13648</v>
      </c>
      <c r="H4847" s="1">
        <v>3.0</v>
      </c>
      <c r="J4847" s="1" t="s">
        <v>86</v>
      </c>
      <c r="K4847" s="2" t="s">
        <v>13649</v>
      </c>
      <c r="L4847" s="2" t="s">
        <v>13650</v>
      </c>
      <c r="M4847" s="2" t="str">
        <f>IFERROR(__xludf.DUMMYFUNCTION("split(split(K4847,""【"",false),""公式LINE"",false)"),"ミコト(石原さとみ)は“主婦ブロガー殺人事件""の裁判に代理証人として出廷することになる。被告は被害者の夫の要一(温水洋一)。殺害の動機は妻からの精神的DVによるものだと罪を認めていた。しかし裁判で証拠として提出された包丁が、本当の凶器ではないことに気づいたミコトは凶器の矛盾を指摘。さらに被告の要一も無実を訴え、裁判は大混乱に…!有罪率99.9%の検事の烏田(吹越満)とミコトの法廷バトルが始まる!石原さとみ　井浦新　窪田正孝　市川実日子　池田鉄洋　竜星涼　小笠原海(超特急)　飯尾和樹(ずん)　/　　北村有"&amp;"起哉　大倉孝二　/　薬師丸ひろ子(特別出演)　松重豊    &lt;ゲスト&gt;吹越満　温水洋一　大谷亮介音楽:得田真裕　  主題歌:米津玄師「Lemon」(ソニー・ミュージックレコーズ)  野木亜紀子(「逃げるは恥だが役にたつ」「空飛ぶ広報室」「重版出来!」「図書館戦争シリーズ」)  プロデュース:新井順子　植田博樹(TBSテレビ)  演出:竹村謙太郎◇番組HP　  http://www.tbs.co.jp/unnatural2018/    ◇番組Twitter　  @unnatural_tbs　  https"&amp;"://twitter.com/unnatural_tbs/  番組の内容と放送時間は変更になる場合があります。")</f>
        <v>ミコト(石原さとみ)は“主婦ブロガー殺人事件"の裁判に代理証人として出廷することになる。被告は被害者の夫の要一(温水洋一)。殺害の動機は妻からの精神的DVによるものだと罪を認めていた。しかし裁判で証拠として提出された包丁が、本当の凶器ではないことに気づいたミコトは凶器の矛盾を指摘。さらに被告の要一も無実を訴え、裁判は大混乱に…!有罪率99.9%の検事の烏田(吹越満)とミコトの法廷バトルが始まる!石原さとみ　井浦新　窪田正孝　市川実日子　池田鉄洋　竜星涼　小笠原海(超特急)　飯尾和樹(ずん)　/　　北村有起哉　大倉孝二　/　薬師丸ひろ子(特別出演)　松重豊    &lt;ゲスト&gt;吹越満　温水洋一　大谷亮介音楽:得田真裕　  主題歌:米津玄師「Lemon」(ソニー・ミュージックレコーズ)  野木亜紀子(「逃げるは恥だが役にたつ」「空飛ぶ広報室」「重版出来!」「図書館戦争シリーズ」)  プロデュース:新井順子　植田博樹(TBSテレビ)  演出:竹村謙太郎◇番組HP　  http://www.tbs.co.jp/unnatural2018/    ◇番組Twitter　  @unnatural_tbs　  https://twitter.com/unnatural_tbs/  番組の内容と放送時間は変更になる場合があります。</v>
      </c>
      <c r="N4847" s="2"/>
      <c r="O4847" s="2"/>
      <c r="P4847" s="2"/>
      <c r="Q4847" s="2"/>
      <c r="R4847" s="2"/>
      <c r="S4847" s="2"/>
      <c r="T4847" s="2"/>
      <c r="U4847" s="2"/>
      <c r="V4847" s="2"/>
      <c r="W4847" s="2"/>
      <c r="X4847" s="2"/>
      <c r="Y4847" s="2"/>
      <c r="Z4847" s="2"/>
      <c r="AA4847" s="2"/>
      <c r="AB4847" s="2"/>
      <c r="AC4847" s="2"/>
      <c r="AD4847" s="2"/>
      <c r="AE4847" s="2"/>
      <c r="AF4847" s="2"/>
      <c r="AG4847" s="2"/>
      <c r="AH4847" s="2"/>
      <c r="AI4847" s="2"/>
      <c r="AJ4847" s="2"/>
      <c r="AK4847" s="2"/>
      <c r="AL4847" s="2"/>
      <c r="AM4847" s="2"/>
      <c r="AN4847" s="2"/>
      <c r="AO4847" s="2"/>
      <c r="AP4847" s="2"/>
      <c r="AQ4847" s="2"/>
      <c r="AR4847" s="2"/>
      <c r="AS4847" s="2"/>
      <c r="AT4847" s="2"/>
      <c r="AU4847" s="2"/>
      <c r="AV4847" s="2"/>
      <c r="AW4847" s="2"/>
      <c r="AX4847" s="2"/>
      <c r="AY4847" s="2"/>
      <c r="AZ4847" s="2"/>
      <c r="BA4847" s="2"/>
      <c r="BB4847" s="2"/>
    </row>
    <row r="4848" ht="204.75" customHeight="1">
      <c r="A4848" s="1">
        <v>898.0</v>
      </c>
      <c r="B4848" s="2" t="s">
        <v>13640</v>
      </c>
      <c r="C4848" s="2">
        <f>IFERROR(__xludf.DUMMYFUNCTION("split(B4848,""_"")"),1801.0)</f>
        <v>1801</v>
      </c>
      <c r="D4848" s="2" t="str">
        <f>IFERROR(__xludf.DUMMYFUNCTION("""COMPUTED_VALUE"""),"TBS")</f>
        <v>TBS</v>
      </c>
      <c r="E4848" s="2" t="str">
        <f>IFERROR(__xludf.DUMMYFUNCTION("""COMPUTED_VALUE"""),"金22")</f>
        <v>金22</v>
      </c>
      <c r="F4848" s="2" t="s">
        <v>13641</v>
      </c>
      <c r="G4848" s="2" t="s">
        <v>13651</v>
      </c>
      <c r="H4848" s="1">
        <v>4.0</v>
      </c>
      <c r="J4848" s="1" t="s">
        <v>86</v>
      </c>
      <c r="K4848" s="2" t="s">
        <v>13652</v>
      </c>
      <c r="L4848" s="2" t="s">
        <v>13653</v>
      </c>
      <c r="M4848" s="2" t="str">
        <f>IFERROR(__xludf.DUMMYFUNCTION("split(split(K4848,""【"",false),""公式LINE"",false)"),"ある日、ミコト(石原さとみ)の母:夏代(薬師丸ひろ子)が、バイクで交通事故死した佐野(坪倉由幸)の解剖をUDIに依頼する。不可解な死を遂げた佐野は妻と子供二人がいたが、バイクの任意保険が切れていたうえに生命保険にも入っていなかった。夏代は死因を究明し、子供たちのために賠償責任を問うことを妻の可奈子(戸田菜穂)に提案する。一方、佐野を解剖したミコトたちは、佐野の意外な死因を発見することに・・・。さらに、UDIに『お前のしたことは消えない、裁きを受けろ』と書かれた脅迫状が届く。中堂(井浦新)は自分に宛てられた"&amp;"ものだと言うが…。裁きを受けるのは一体だれなのか!?  石原さとみ　井浦新　窪田正孝　市川実日子　池田鉄洋　竜星涼　小笠原海(超特急)　飯尾和樹(ずん)　/　　北村有起哉　大倉孝二　/　薬師丸ひろ子(特別出演)　松重豊    &lt;ゲスト&gt;戸田菜穂　坪倉由幸　春海四方音楽:得田真裕　  主題歌:米津玄師「Lemon」(ソニー・ミュージックレコーズ)  野木亜紀子(「逃げるは恥だが役にたつ」「空飛ぶ広報室」「重版出来!」「図書館戦争シリーズ」)  プロデュース:新井順子　植田博樹(TBSテレビ)  演出:塚原あ"&amp;"ゆ子◇番組HP  http://www.tbs.co.jp/unnatural2018/    ◇番組Twitter  @unnatural_tbs  https://twitter.com/unnatural_tbs/  番組の内容と放送時間は変更になる場合があります。")</f>
        <v>ある日、ミコト(石原さとみ)の母:夏代(薬師丸ひろ子)が、バイクで交通事故死した佐野(坪倉由幸)の解剖をUDIに依頼する。不可解な死を遂げた佐野は妻と子供二人がいたが、バイクの任意保険が切れていたうえに生命保険にも入っていなかった。夏代は死因を究明し、子供たちのために賠償責任を問うことを妻の可奈子(戸田菜穂)に提案する。一方、佐野を解剖したミコトたちは、佐野の意外な死因を発見することに・・・。さらに、UDIに『お前のしたことは消えない、裁きを受けろ』と書かれた脅迫状が届く。中堂(井浦新)は自分に宛てられたものだと言うが…。裁きを受けるのは一体だれなのか!?  石原さとみ　井浦新　窪田正孝　市川実日子　池田鉄洋　竜星涼　小笠原海(超特急)　飯尾和樹(ずん)　/　　北村有起哉　大倉孝二　/　薬師丸ひろ子(特別出演)　松重豊    &lt;ゲスト&gt;戸田菜穂　坪倉由幸　春海四方音楽:得田真裕　  主題歌:米津玄師「Lemon」(ソニー・ミュージックレコーズ)  野木亜紀子(「逃げるは恥だが役にたつ」「空飛ぶ広報室」「重版出来!」「図書館戦争シリーズ」)  プロデュース:新井順子　植田博樹(TBSテレビ)  演出:塚原あゆ子◇番組HP  http://www.tbs.co.jp/unnatural2018/    ◇番組Twitter  @unnatural_tbs  https://twitter.com/unnatural_tbs/  番組の内容と放送時間は変更になる場合があります。</v>
      </c>
      <c r="N4848" s="2"/>
      <c r="O4848" s="2"/>
      <c r="P4848" s="2"/>
      <c r="Q4848" s="2"/>
      <c r="R4848" s="2"/>
      <c r="S4848" s="2"/>
      <c r="T4848" s="2"/>
      <c r="U4848" s="2"/>
      <c r="V4848" s="2"/>
      <c r="W4848" s="2"/>
      <c r="X4848" s="2"/>
      <c r="Y4848" s="2"/>
      <c r="Z4848" s="2"/>
      <c r="AA4848" s="2"/>
      <c r="AB4848" s="2"/>
      <c r="AC4848" s="2"/>
      <c r="AD4848" s="2"/>
      <c r="AE4848" s="2"/>
      <c r="AF4848" s="2"/>
      <c r="AG4848" s="2"/>
      <c r="AH4848" s="2"/>
      <c r="AI4848" s="2"/>
      <c r="AJ4848" s="2"/>
      <c r="AK4848" s="2"/>
      <c r="AL4848" s="2"/>
      <c r="AM4848" s="2"/>
      <c r="AN4848" s="2"/>
      <c r="AO4848" s="2"/>
      <c r="AP4848" s="2"/>
      <c r="AQ4848" s="2"/>
      <c r="AR4848" s="2"/>
      <c r="AS4848" s="2"/>
      <c r="AT4848" s="2"/>
      <c r="AU4848" s="2"/>
      <c r="AV4848" s="2"/>
      <c r="AW4848" s="2"/>
      <c r="AX4848" s="2"/>
      <c r="AY4848" s="2"/>
      <c r="AZ4848" s="2"/>
      <c r="BA4848" s="2"/>
      <c r="BB4848" s="2"/>
    </row>
    <row r="4849" ht="204.75" customHeight="1">
      <c r="A4849" s="1">
        <v>899.0</v>
      </c>
      <c r="B4849" s="2" t="s">
        <v>13640</v>
      </c>
      <c r="C4849" s="2">
        <f>IFERROR(__xludf.DUMMYFUNCTION("split(B4849,""_"")"),1801.0)</f>
        <v>1801</v>
      </c>
      <c r="D4849" s="2" t="str">
        <f>IFERROR(__xludf.DUMMYFUNCTION("""COMPUTED_VALUE"""),"TBS")</f>
        <v>TBS</v>
      </c>
      <c r="E4849" s="2" t="str">
        <f>IFERROR(__xludf.DUMMYFUNCTION("""COMPUTED_VALUE"""),"金22")</f>
        <v>金22</v>
      </c>
      <c r="F4849" s="2" t="s">
        <v>13641</v>
      </c>
      <c r="G4849" s="2" t="s">
        <v>13654</v>
      </c>
      <c r="H4849" s="1">
        <v>5.0</v>
      </c>
      <c r="J4849" s="1" t="s">
        <v>86</v>
      </c>
      <c r="K4849" s="2" t="s">
        <v>13655</v>
      </c>
      <c r="L4849" s="2" t="s">
        <v>13656</v>
      </c>
      <c r="M4849" s="2" t="str">
        <f>IFERROR(__xludf.DUMMYFUNCTION("split(split(K4849,""【"",false),""公式LINE"",false)"),"ある日、鈴木(泉澤祐希)と名乗る男が、溺死した妻の解剖依頼にやってくる。警察は海へ飛び込む瞬間を見た目撃者がいたため自殺と断定。しかし妻が自殺をするはずがないと主張する鈴木は、真実を突き止めるため青森からはるばるUDIを訪ねて来たのだった。解剖に取り掛かるミコト(石原さとみ)たちだったが、鈴木が持ち込んだ遺体は葬儀場から盗まれた遺体だと判明!ミコトは死体損壊罪に問われ、鈴木は夫ではないと発覚する…石原さとみ　井浦新　窪田正孝　市川実日子　池田鉄洋　竜星涼　小笠原海(超特急)　飯尾和樹(ずん)　/　　北村有"&amp;"起哉　大倉孝二　/　薬師丸ひろ子(特別出演)　松重豊    &lt;ゲスト&gt;泉澤祐希音楽:得田真裕　  主題歌:米津玄師「Lemon」(ソニー・ミュージックレコーズ)  野木亜紀子(「逃げるは恥だが役にたつ」「空飛ぶ広報室」「重版出来!」「図書館戦争シリーズ」)プロデュース:新井順子　植田博樹(TBSテレビ)　  演出:塚原あゆ子◇番組HP　  http://www.tbs.co.jp/unnatural2018/    ◇番組Twitter　  @unnatural_tbs　  https://twitter"&amp;".com/unnatural_tbs/  番組の内容と放送時間は変更になる場合があります。")</f>
        <v>ある日、鈴木(泉澤祐希)と名乗る男が、溺死した妻の解剖依頼にやってくる。警察は海へ飛び込む瞬間を見た目撃者がいたため自殺と断定。しかし妻が自殺をするはずがないと主張する鈴木は、真実を突き止めるため青森からはるばるUDIを訪ねて来たのだった。解剖に取り掛かるミコト(石原さとみ)たちだったが、鈴木が持ち込んだ遺体は葬儀場から盗まれた遺体だと判明!ミコトは死体損壊罪に問われ、鈴木は夫ではないと発覚する…石原さとみ　井浦新　窪田正孝　市川実日子　池田鉄洋　竜星涼　小笠原海(超特急)　飯尾和樹(ずん)　/　　北村有起哉　大倉孝二　/　薬師丸ひろ子(特別出演)　松重豊    &lt;ゲスト&gt;泉澤祐希音楽:得田真裕　  主題歌:米津玄師「Lemon」(ソニー・ミュージックレコーズ)  野木亜紀子(「逃げるは恥だが役にたつ」「空飛ぶ広報室」「重版出来!」「図書館戦争シリーズ」)プロデュース:新井順子　植田博樹(TBSテレビ)　  演出:塚原あゆ子◇番組HP　  http://www.tbs.co.jp/unnatural2018/    ◇番組Twitter　  @unnatural_tbs　  https://twitter.com/unnatural_tbs/  番組の内容と放送時間は変更になる場合があります。</v>
      </c>
      <c r="N4849" s="2"/>
      <c r="O4849" s="2"/>
      <c r="P4849" s="2"/>
      <c r="Q4849" s="2"/>
      <c r="R4849" s="2"/>
      <c r="S4849" s="2"/>
      <c r="T4849" s="2"/>
      <c r="U4849" s="2"/>
      <c r="V4849" s="2"/>
      <c r="W4849" s="2"/>
      <c r="X4849" s="2"/>
      <c r="Y4849" s="2"/>
      <c r="Z4849" s="2"/>
      <c r="AA4849" s="2"/>
      <c r="AB4849" s="2"/>
      <c r="AC4849" s="2"/>
      <c r="AD4849" s="2"/>
      <c r="AE4849" s="2"/>
      <c r="AF4849" s="2"/>
      <c r="AG4849" s="2"/>
      <c r="AH4849" s="2"/>
      <c r="AI4849" s="2"/>
      <c r="AJ4849" s="2"/>
      <c r="AK4849" s="2"/>
      <c r="AL4849" s="2"/>
      <c r="AM4849" s="2"/>
      <c r="AN4849" s="2"/>
      <c r="AO4849" s="2"/>
      <c r="AP4849" s="2"/>
      <c r="AQ4849" s="2"/>
      <c r="AR4849" s="2"/>
      <c r="AS4849" s="2"/>
      <c r="AT4849" s="2"/>
      <c r="AU4849" s="2"/>
      <c r="AV4849" s="2"/>
      <c r="AW4849" s="2"/>
      <c r="AX4849" s="2"/>
      <c r="AY4849" s="2"/>
      <c r="AZ4849" s="2"/>
      <c r="BA4849" s="2"/>
      <c r="BB4849" s="2"/>
    </row>
    <row r="4850" ht="204.75" customHeight="1">
      <c r="A4850" s="1">
        <v>900.0</v>
      </c>
      <c r="B4850" s="2" t="s">
        <v>13640</v>
      </c>
      <c r="C4850" s="2">
        <f>IFERROR(__xludf.DUMMYFUNCTION("split(B4850,""_"")"),1801.0)</f>
        <v>1801</v>
      </c>
      <c r="D4850" s="2" t="str">
        <f>IFERROR(__xludf.DUMMYFUNCTION("""COMPUTED_VALUE"""),"TBS")</f>
        <v>TBS</v>
      </c>
      <c r="E4850" s="2" t="str">
        <f>IFERROR(__xludf.DUMMYFUNCTION("""COMPUTED_VALUE"""),"金22")</f>
        <v>金22</v>
      </c>
      <c r="F4850" s="2" t="s">
        <v>13641</v>
      </c>
      <c r="G4850" s="2" t="s">
        <v>13657</v>
      </c>
      <c r="H4850" s="1">
        <v>6.0</v>
      </c>
      <c r="J4850" s="1" t="s">
        <v>86</v>
      </c>
      <c r="K4850" s="2" t="s">
        <v>13658</v>
      </c>
      <c r="L4850" s="2" t="s">
        <v>13659</v>
      </c>
      <c r="M4850" s="2" t="str">
        <f>IFERROR(__xludf.DUMMYFUNCTION("split(split(K4850,""【"",false),""公式LINE"",false)"),"高級ジム主催の合コンパーティーに参加した東海林(市川実日子)。翌朝ホテルのベッドで目を覚ますと、昨夜のパーティーに参加していた権田原(岩永洋昭)が隣で死んでいた!ホテルに駆けつけたミコト(石原さとみ)が詳しい状況を聞くが、東海林は店を出た後の記憶がまったくないという。さらに権田原の友人も突然死したことが発覚し、警察は連続殺人事件とみて捜査を始めるが、容疑者として疑われているのは東海林だった…!ミコトたちは東海林の容疑を晴らすため、死因究明に奔走する。一方、中堂は『警察の任意同行に応じると殺人犯にされる』と"&amp;"東海林に逃げるように促す。石原さとみ　井浦新　窪田正孝　市川実日子　池田鉄洋　竜星涼　飯尾和樹(ずん)　/　　北村有起哉　大倉孝二　/　松重豊    &lt;ゲスト&gt;竹財輝之助　鈴木裕樹音楽:得田真裕　  主題歌:米津玄師「Lemon」(ソニー・ミュージックレコーズ)野木亜紀子(「逃げるは恥だが役にたつ」「空飛ぶ広報室」「重版出来!」「図書館戦争シリーズ」)プロデュース:新井順子　植田博樹(TBSテレビ)  演出:竹村謙太郎◇番組HP　  http://www.tbs.co.jp/unnatural2018/ "&amp;"   ◇番組Twitter　  @unnatural_tbs　  https://twitter.com/unnatural_tbs/  番組の内容と放送時間は変更になる場合があります。")</f>
        <v>高級ジム主催の合コンパーティーに参加した東海林(市川実日子)。翌朝ホテルのベッドで目を覚ますと、昨夜のパーティーに参加していた権田原(岩永洋昭)が隣で死んでいた!ホテルに駆けつけたミコト(石原さとみ)が詳しい状況を聞くが、東海林は店を出た後の記憶がまったくないという。さらに権田原の友人も突然死したことが発覚し、警察は連続殺人事件とみて捜査を始めるが、容疑者として疑われているのは東海林だった…!ミコトたちは東海林の容疑を晴らすため、死因究明に奔走する。一方、中堂は『警察の任意同行に応じると殺人犯にされる』と東海林に逃げるように促す。石原さとみ　井浦新　窪田正孝　市川実日子　池田鉄洋　竜星涼　飯尾和樹(ずん)　/　　北村有起哉　大倉孝二　/　松重豊    &lt;ゲスト&gt;竹財輝之助　鈴木裕樹音楽:得田真裕　  主題歌:米津玄師「Lemon」(ソニー・ミュージックレコーズ)野木亜紀子(「逃げるは恥だが役にたつ」「空飛ぶ広報室」「重版出来!」「図書館戦争シリーズ」)プロデュース:新井順子　植田博樹(TBSテレビ)  演出:竹村謙太郎◇番組HP　  http://www.tbs.co.jp/unnatural2018/    ◇番組Twitter　  @unnatural_tbs　  https://twitter.com/unnatural_tbs/  番組の内容と放送時間は変更になる場合があります。</v>
      </c>
      <c r="N4850" s="2"/>
      <c r="O4850" s="2"/>
      <c r="P4850" s="2"/>
      <c r="Q4850" s="2"/>
      <c r="R4850" s="2"/>
      <c r="S4850" s="2"/>
      <c r="T4850" s="2"/>
      <c r="U4850" s="2"/>
      <c r="V4850" s="2"/>
      <c r="W4850" s="2"/>
      <c r="X4850" s="2"/>
      <c r="Y4850" s="2"/>
      <c r="Z4850" s="2"/>
      <c r="AA4850" s="2"/>
      <c r="AB4850" s="2"/>
      <c r="AC4850" s="2"/>
      <c r="AD4850" s="2"/>
      <c r="AE4850" s="2"/>
      <c r="AF4850" s="2"/>
      <c r="AG4850" s="2"/>
      <c r="AH4850" s="2"/>
      <c r="AI4850" s="2"/>
      <c r="AJ4850" s="2"/>
      <c r="AK4850" s="2"/>
      <c r="AL4850" s="2"/>
      <c r="AM4850" s="2"/>
      <c r="AN4850" s="2"/>
      <c r="AO4850" s="2"/>
      <c r="AP4850" s="2"/>
      <c r="AQ4850" s="2"/>
      <c r="AR4850" s="2"/>
      <c r="AS4850" s="2"/>
      <c r="AT4850" s="2"/>
      <c r="AU4850" s="2"/>
      <c r="AV4850" s="2"/>
      <c r="AW4850" s="2"/>
      <c r="AX4850" s="2"/>
      <c r="AY4850" s="2"/>
      <c r="AZ4850" s="2"/>
      <c r="BA4850" s="2"/>
      <c r="BB4850" s="2"/>
    </row>
    <row r="4851" ht="204.75" customHeight="1">
      <c r="A4851" s="1">
        <v>901.0</v>
      </c>
      <c r="B4851" s="2" t="s">
        <v>13640</v>
      </c>
      <c r="C4851" s="2">
        <f>IFERROR(__xludf.DUMMYFUNCTION("split(B4851,""_"")"),1801.0)</f>
        <v>1801</v>
      </c>
      <c r="D4851" s="2" t="str">
        <f>IFERROR(__xludf.DUMMYFUNCTION("""COMPUTED_VALUE"""),"TBS")</f>
        <v>TBS</v>
      </c>
      <c r="E4851" s="2" t="str">
        <f>IFERROR(__xludf.DUMMYFUNCTION("""COMPUTED_VALUE"""),"金22")</f>
        <v>金22</v>
      </c>
      <c r="F4851" s="2" t="s">
        <v>13641</v>
      </c>
      <c r="G4851" s="2" t="s">
        <v>13660</v>
      </c>
      <c r="H4851" s="1">
        <v>7.0</v>
      </c>
      <c r="J4851" s="1" t="s">
        <v>86</v>
      </c>
      <c r="K4851" s="2" t="s">
        <v>13661</v>
      </c>
      <c r="L4851" s="2" t="s">
        <v>13662</v>
      </c>
      <c r="M4851" s="2" t="str">
        <f>IFERROR(__xludf.DUMMYFUNCTION("split(split(K4851,""【"",false),""公式LINE"",false)"),"ある日、ミコト(石原さとみ)に謎のアドレスが貼られたメールが届く。アドレスをクリックすると、「殺人者S」を名乗る学生が自分が殺したというYの遺体を「殺人実況生中継」としてライブ配信していた!殺人者Sは「Yの死因は何でしょう?」と挑戦状を叩きつける。答えを間違えると人質になっているXも殺されるという中、ライブ配信映像から死因を探り始めるミコト。果たして、法医学者VS殺人者Sの勝負の結末は!?  石原さとみ　井浦新　窪田正孝　市川実日子　小笠原海(超特急)　飯尾和樹(ずん)　/　　北村有起哉　　/　松重豊  "&amp;"  &lt;ゲスト&gt;望月歩　神尾楓珠　螢雪次朗　ふせえり　谷田歩　桜井聖音楽:得田真裕　  主題歌:米津玄師「Lemon」(ソニー・ミュージックレコーズ)  野木亜紀子(「逃げるは恥だが役にたつ」「空飛ぶ広報室」「重版出来!」「図書館戦争シリーズ」)  プロデュース:新井順子　植田博樹(TBSテレビ)　  演出:村尾嘉昭◇番組HP　  http://www.tbs.co.jp/unnatural2018/    ◇番組Twitter　  @unnatural_tbs　  https://twitter.com/"&amp;"unnatural_tbs/  番組の内容と放送時間は変更になる場合があります。")</f>
        <v>ある日、ミコト(石原さとみ)に謎のアドレスが貼られたメールが届く。アドレスをクリックすると、「殺人者S」を名乗る学生が自分が殺したというYの遺体を「殺人実況生中継」としてライブ配信していた!殺人者Sは「Yの死因は何でしょう?」と挑戦状を叩きつける。答えを間違えると人質になっているXも殺されるという中、ライブ配信映像から死因を探り始めるミコト。果たして、法医学者VS殺人者Sの勝負の結末は!?  石原さとみ　井浦新　窪田正孝　市川実日子　小笠原海(超特急)　飯尾和樹(ずん)　/　　北村有起哉　　/　松重豊    &lt;ゲスト&gt;望月歩　神尾楓珠　螢雪次朗　ふせえり　谷田歩　桜井聖音楽:得田真裕　  主題歌:米津玄師「Lemon」(ソニー・ミュージックレコーズ)  野木亜紀子(「逃げるは恥だが役にたつ」「空飛ぶ広報室」「重版出来!」「図書館戦争シリーズ」)  プロデュース:新井順子　植田博樹(TBSテレビ)　  演出:村尾嘉昭◇番組HP　  http://www.tbs.co.jp/unnatural2018/    ◇番組Twitter　  @unnatural_tbs　  https://twitter.com/unnatural_tbs/  番組の内容と放送時間は変更になる場合があります。</v>
      </c>
      <c r="N4851" s="2"/>
      <c r="O4851" s="2"/>
      <c r="P4851" s="2"/>
      <c r="Q4851" s="2"/>
      <c r="R4851" s="2"/>
      <c r="S4851" s="2"/>
      <c r="T4851" s="2"/>
      <c r="U4851" s="2"/>
      <c r="V4851" s="2"/>
      <c r="W4851" s="2"/>
      <c r="X4851" s="2"/>
      <c r="Y4851" s="2"/>
      <c r="Z4851" s="2"/>
      <c r="AA4851" s="2"/>
      <c r="AB4851" s="2"/>
      <c r="AC4851" s="2"/>
      <c r="AD4851" s="2"/>
      <c r="AE4851" s="2"/>
      <c r="AF4851" s="2"/>
      <c r="AG4851" s="2"/>
      <c r="AH4851" s="2"/>
      <c r="AI4851" s="2"/>
      <c r="AJ4851" s="2"/>
      <c r="AK4851" s="2"/>
      <c r="AL4851" s="2"/>
      <c r="AM4851" s="2"/>
      <c r="AN4851" s="2"/>
      <c r="AO4851" s="2"/>
      <c r="AP4851" s="2"/>
      <c r="AQ4851" s="2"/>
      <c r="AR4851" s="2"/>
      <c r="AS4851" s="2"/>
      <c r="AT4851" s="2"/>
      <c r="AU4851" s="2"/>
      <c r="AV4851" s="2"/>
      <c r="AW4851" s="2"/>
      <c r="AX4851" s="2"/>
      <c r="AY4851" s="2"/>
      <c r="AZ4851" s="2"/>
      <c r="BA4851" s="2"/>
      <c r="BB4851" s="2"/>
    </row>
    <row r="4852" ht="204.75" customHeight="1">
      <c r="A4852" s="1">
        <v>902.0</v>
      </c>
      <c r="B4852" s="2" t="s">
        <v>13640</v>
      </c>
      <c r="C4852" s="2">
        <f>IFERROR(__xludf.DUMMYFUNCTION("split(B4852,""_"")"),1801.0)</f>
        <v>1801</v>
      </c>
      <c r="D4852" s="2" t="str">
        <f>IFERROR(__xludf.DUMMYFUNCTION("""COMPUTED_VALUE"""),"TBS")</f>
        <v>TBS</v>
      </c>
      <c r="E4852" s="2" t="str">
        <f>IFERROR(__xludf.DUMMYFUNCTION("""COMPUTED_VALUE"""),"金22")</f>
        <v>金22</v>
      </c>
      <c r="F4852" s="2" t="s">
        <v>13641</v>
      </c>
      <c r="G4852" s="2" t="s">
        <v>13663</v>
      </c>
      <c r="H4852" s="1">
        <v>8.0</v>
      </c>
      <c r="J4852" s="1" t="s">
        <v>86</v>
      </c>
      <c r="K4852" s="2" t="s">
        <v>13664</v>
      </c>
      <c r="L4852" s="2" t="s">
        <v>13665</v>
      </c>
      <c r="M4852" s="2" t="str">
        <f>IFERROR(__xludf.DUMMYFUNCTION("split(split(K4852,""【"",false),""公式LINE"",false)"),"雑居ビルで火災が発生し、UDIに10体もの焼死体が運ばれてくる。遺体は損傷が激しく、身元はおろか性別も判別できない。ミコト(石原さとみ)たちはUDIを辞めた坂本(飯尾和樹)の手も借りて次々と解剖を進め、9番目の遺体が焼死する前に後頭部を殴られていた可能性があると指摘。さらには腰にロープで縛られたような皮下出血も発見され、単なる火災ではなく殺人を隠すための放火殺人ではないか?と警察は疑念を抱く…。そんな中、火災で唯一助かった男がいることが判明。男が入院していたのは六郎(窪田正孝)の父:俊哉(伊武雅刀)が勤め"&amp;"る病院だった。UDIを訪ねた俊哉は、息子を解雇して欲しいと申し出る…!  石原さとみ　井浦新　窪田正孝　市川実日子　小笠原海(超特急)　飯尾和樹(ずん)　/　　北村有起哉　　/　松重豊    &lt;ゲスト&gt;伊武雅刀　ミッキー・カーチス音楽:得田真裕　  主題歌:米津玄師「Lemon」(ソニー・ミュージックレコーズ)  野木亜紀子(「逃げるは恥だが役にたつ」「空飛ぶ広報室」「重版出来!」「図書館戦争シリーズ」)  プロデュース:新井順子　植田博樹(TBSテレビ)  演出:塚原あゆ子◇番組HP　  http://"&amp;"www.tbs.co.jp/unnatural2018/    ◇番組Twitter　  @unnatural_tbs　  https://twitter.com/unnatural_tbs/  番組の内容と放送時間は変更になる場合があります。")</f>
        <v>雑居ビルで火災が発生し、UDIに10体もの焼死体が運ばれてくる。遺体は損傷が激しく、身元はおろか性別も判別できない。ミコト(石原さとみ)たちはUDIを辞めた坂本(飯尾和樹)の手も借りて次々と解剖を進め、9番目の遺体が焼死する前に後頭部を殴られていた可能性があると指摘。さらには腰にロープで縛られたような皮下出血も発見され、単なる火災ではなく殺人を隠すための放火殺人ではないか?と警察は疑念を抱く…。そんな中、火災で唯一助かった男がいることが判明。男が入院していたのは六郎(窪田正孝)の父:俊哉(伊武雅刀)が勤める病院だった。UDIを訪ねた俊哉は、息子を解雇して欲しいと申し出る…!  石原さとみ　井浦新　窪田正孝　市川実日子　小笠原海(超特急)　飯尾和樹(ずん)　/　　北村有起哉　　/　松重豊    &lt;ゲスト&gt;伊武雅刀　ミッキー・カーチス音楽:得田真裕　  主題歌:米津玄師「Lemon」(ソニー・ミュージックレコーズ)  野木亜紀子(「逃げるは恥だが役にたつ」「空飛ぶ広報室」「重版出来!」「図書館戦争シリーズ」)  プロデュース:新井順子　植田博樹(TBSテレビ)  演出:塚原あゆ子◇番組HP　  http://www.tbs.co.jp/unnatural2018/    ◇番組Twitter　  @unnatural_tbs　  https://twitter.com/unnatural_tbs/  番組の内容と放送時間は変更になる場合があります。</v>
      </c>
      <c r="N4852" s="2"/>
      <c r="O4852" s="2"/>
      <c r="P4852" s="2"/>
      <c r="Q4852" s="2"/>
      <c r="R4852" s="2"/>
      <c r="S4852" s="2"/>
      <c r="T4852" s="2"/>
      <c r="U4852" s="2"/>
      <c r="V4852" s="2"/>
      <c r="W4852" s="2"/>
      <c r="X4852" s="2"/>
      <c r="Y4852" s="2"/>
      <c r="Z4852" s="2"/>
      <c r="AA4852" s="2"/>
      <c r="AB4852" s="2"/>
      <c r="AC4852" s="2"/>
      <c r="AD4852" s="2"/>
      <c r="AE4852" s="2"/>
      <c r="AF4852" s="2"/>
      <c r="AG4852" s="2"/>
      <c r="AH4852" s="2"/>
      <c r="AI4852" s="2"/>
      <c r="AJ4852" s="2"/>
      <c r="AK4852" s="2"/>
      <c r="AL4852" s="2"/>
      <c r="AM4852" s="2"/>
      <c r="AN4852" s="2"/>
      <c r="AO4852" s="2"/>
      <c r="AP4852" s="2"/>
      <c r="AQ4852" s="2"/>
      <c r="AR4852" s="2"/>
      <c r="AS4852" s="2"/>
      <c r="AT4852" s="2"/>
      <c r="AU4852" s="2"/>
      <c r="AV4852" s="2"/>
      <c r="AW4852" s="2"/>
      <c r="AX4852" s="2"/>
      <c r="AY4852" s="2"/>
      <c r="AZ4852" s="2"/>
      <c r="BA4852" s="2"/>
      <c r="BB4852" s="2"/>
    </row>
    <row r="4853" ht="204.75" customHeight="1">
      <c r="A4853" s="1">
        <v>903.0</v>
      </c>
      <c r="B4853" s="2" t="s">
        <v>13640</v>
      </c>
      <c r="C4853" s="2">
        <f>IFERROR(__xludf.DUMMYFUNCTION("split(B4853,""_"")"),1801.0)</f>
        <v>1801</v>
      </c>
      <c r="D4853" s="2" t="str">
        <f>IFERROR(__xludf.DUMMYFUNCTION("""COMPUTED_VALUE"""),"TBS")</f>
        <v>TBS</v>
      </c>
      <c r="E4853" s="2" t="str">
        <f>IFERROR(__xludf.DUMMYFUNCTION("""COMPUTED_VALUE"""),"金22")</f>
        <v>金22</v>
      </c>
      <c r="F4853" s="2" t="s">
        <v>13641</v>
      </c>
      <c r="G4853" s="2" t="s">
        <v>13666</v>
      </c>
      <c r="H4853" s="1">
        <v>9.0</v>
      </c>
      <c r="J4853" s="1" t="s">
        <v>86</v>
      </c>
      <c r="K4853" s="2" t="s">
        <v>13667</v>
      </c>
      <c r="L4853" s="2" t="s">
        <v>13668</v>
      </c>
      <c r="M4853" s="2" t="str">
        <f>IFERROR(__xludf.DUMMYFUNCTION("split(split(K4853,""【"",false),""公式LINE"",false)"),"スーツケースの中から若い女性の遺体が発見された。 ミコト(石原さとみ)が遺体を確認すると、中堂(井浦新)の死んだ恋人・夕希子(橋本真実)と同じ“赤い金魚""の印が口内から見つかる。 夕希子を殺した犯人と同一犯だと感じたメンバーは、犯人に繋がるヒントを見つけるため女性を解剖。その中でミコトは、胃の内容物が強烈な腐敗臭を放っていることに違和感を覚える。果たして女性の死因とは!?　そして物語は急展開へ!!その一方で、神倉(松重豊)は過去に週刊ジャーナルに掲載されたUDI関連の記事を見て、ある疑念を抱く…。   "&amp;"さらに警察庁を訪れた神倉は、驚くべき記事を目にすることに…!  石原さとみ　井浦新　窪田正孝　市川実日子　池田鉄洋　竜星涼　小笠原海(超特急)　/　　北村有起哉　大倉孝二　/　薬師丸ひろ子(特別出演)　松重豊音楽:得田真裕　  主題歌:米津玄師「Lemon」(ソニー・ミュージックレコーズ)  野木亜紀子(「逃げるは恥だが役にたつ」「空飛ぶ広報室」「重版出来!」「図書館戦争シリーズ」)プロデュース:新井順子　植田博樹(TBSテレビ)　  演出:竹村謙太郎主題歌CD100名様プレゼント◇番組HP　  http"&amp;"://www.tbs.co.jp/unnatural2018/    ◇番組Twitter　  @unnatural_tbs　  https://twitter.com/unnatural_tbs/  番組の内容と放送時間は変更になる場合があります。")</f>
        <v>スーツケースの中から若い女性の遺体が発見された。 ミコト(石原さとみ)が遺体を確認すると、中堂(井浦新)の死んだ恋人・夕希子(橋本真実)と同じ“赤い金魚"の印が口内から見つかる。 夕希子を殺した犯人と同一犯だと感じたメンバーは、犯人に繋がるヒントを見つけるため女性を解剖。その中でミコトは、胃の内容物が強烈な腐敗臭を放っていることに違和感を覚える。果たして女性の死因とは!?　そして物語は急展開へ!!その一方で、神倉(松重豊)は過去に週刊ジャーナルに掲載されたUDI関連の記事を見て、ある疑念を抱く…。   さらに警察庁を訪れた神倉は、驚くべき記事を目にすることに…!  石原さとみ　井浦新　窪田正孝　市川実日子　池田鉄洋　竜星涼　小笠原海(超特急)　/　　北村有起哉　大倉孝二　/　薬師丸ひろ子(特別出演)　松重豊音楽:得田真裕　  主題歌:米津玄師「Lemon」(ソニー・ミュージックレコーズ)  野木亜紀子(「逃げるは恥だが役にたつ」「空飛ぶ広報室」「重版出来!」「図書館戦争シリーズ」)プロデュース:新井順子　植田博樹(TBSテレビ)　  演出:竹村謙太郎主題歌CD100名様プレゼント◇番組HP　  http://www.tbs.co.jp/unnatural2018/    ◇番組Twitter　  @unnatural_tbs　  https://twitter.com/unnatural_tbs/  番組の内容と放送時間は変更になる場合があります。</v>
      </c>
      <c r="N4853" s="2"/>
      <c r="O4853" s="2"/>
      <c r="P4853" s="2"/>
      <c r="Q4853" s="2"/>
      <c r="R4853" s="2"/>
      <c r="S4853" s="2"/>
      <c r="T4853" s="2"/>
      <c r="U4853" s="2"/>
      <c r="V4853" s="2"/>
      <c r="W4853" s="2"/>
      <c r="X4853" s="2"/>
      <c r="Y4853" s="2"/>
      <c r="Z4853" s="2"/>
      <c r="AA4853" s="2"/>
      <c r="AB4853" s="2"/>
      <c r="AC4853" s="2"/>
      <c r="AD4853" s="2"/>
      <c r="AE4853" s="2"/>
      <c r="AF4853" s="2"/>
      <c r="AG4853" s="2"/>
      <c r="AH4853" s="2"/>
      <c r="AI4853" s="2"/>
      <c r="AJ4853" s="2"/>
      <c r="AK4853" s="2"/>
      <c r="AL4853" s="2"/>
      <c r="AM4853" s="2"/>
      <c r="AN4853" s="2"/>
      <c r="AO4853" s="2"/>
      <c r="AP4853" s="2"/>
      <c r="AQ4853" s="2"/>
      <c r="AR4853" s="2"/>
      <c r="AS4853" s="2"/>
      <c r="AT4853" s="2"/>
      <c r="AU4853" s="2"/>
      <c r="AV4853" s="2"/>
      <c r="AW4853" s="2"/>
      <c r="AX4853" s="2"/>
      <c r="AY4853" s="2"/>
      <c r="AZ4853" s="2"/>
      <c r="BA4853" s="2"/>
      <c r="BB4853" s="2"/>
    </row>
    <row r="4854" ht="204.75" customHeight="1">
      <c r="A4854" s="1">
        <v>904.0</v>
      </c>
      <c r="B4854" s="2" t="s">
        <v>13640</v>
      </c>
      <c r="C4854" s="2">
        <f>IFERROR(__xludf.DUMMYFUNCTION("split(B4854,""_"")"),1801.0)</f>
        <v>1801</v>
      </c>
      <c r="D4854" s="2" t="str">
        <f>IFERROR(__xludf.DUMMYFUNCTION("""COMPUTED_VALUE"""),"TBS")</f>
        <v>TBS</v>
      </c>
      <c r="E4854" s="2" t="str">
        <f>IFERROR(__xludf.DUMMYFUNCTION("""COMPUTED_VALUE"""),"金22")</f>
        <v>金22</v>
      </c>
      <c r="F4854" s="2" t="s">
        <v>13641</v>
      </c>
      <c r="G4854" s="2" t="s">
        <v>13669</v>
      </c>
      <c r="H4854" s="1">
        <v>10.0</v>
      </c>
      <c r="J4854" s="1" t="s">
        <v>82</v>
      </c>
      <c r="K4854" s="2" t="s">
        <v>13670</v>
      </c>
      <c r="L4854" s="2" t="s">
        <v>13671</v>
      </c>
      <c r="M4854" s="2" t="str">
        <f>IFERROR(__xludf.DUMMYFUNCTION("split(split(K4854,""【"",false),""公式LINE"",false)"),"中堂(井浦新)の恋人・夕希子(橋本真実)をはじめ、複数の女性を殺害した疑いのある高瀬(尾上寛之)が警察に出頭。しかし、遺体損壊は認めたものの肝心の殺害については否定する。殺人を立証できる証拠もなく、ミコト(石原さとみ)たちは歯がゆさを感じながらも、高瀬を殺人罪で裁くため検証を続ける。そんな中、六郎(窪田正孝)がUDIの情報を週刊誌にうっていたことがメンバーに知られ、UDIに崩壊の危機が訪れる…!赤い金魚殺人事件の全容がついに明かされる最終話!10分枠大スペシャル!石原さとみ　井浦新　窪田正孝　市川実日子　"&amp;"池田鉄洋　竜星涼　小笠原海(超特急)　飯尾和樹(ずん)　/　　北村有起哉　大倉孝二　/　薬師丸ひろ子(特別出演)　松重豊    &lt;ゲスト&gt;吹越満　国広富之音楽:得田真裕　  主題歌:米津玄師「Lemon」(ソニー・ミュージックレコーズ)野木亜紀子(「逃げるは恥だが役にたつ」「空飛ぶ広報室」「重版出来!」「図書館戦争シリーズ」)プロデュース:新井順子　植田博樹(TBSテレビ)  演出:塚原あゆ子◇番組HP　  http://www.tbs.co.jp/unnatural2018/    ◇番組Twitter"&amp;"　  @unnatural_tbs　  https://twitter.com/unnatural_tbs/  番組の内容と放送時間は変更になる場合があります。")</f>
        <v>中堂(井浦新)の恋人・夕希子(橋本真実)をはじめ、複数の女性を殺害した疑いのある高瀬(尾上寛之)が警察に出頭。しかし、遺体損壊は認めたものの肝心の殺害については否定する。殺人を立証できる証拠もなく、ミコト(石原さとみ)たちは歯がゆさを感じながらも、高瀬を殺人罪で裁くため検証を続ける。そんな中、六郎(窪田正孝)がUDIの情報を週刊誌にうっていたことがメンバーに知られ、UDIに崩壊の危機が訪れる…!赤い金魚殺人事件の全容がついに明かされる最終話!10分枠大スペシャル!石原さとみ　井浦新　窪田正孝　市川実日子　池田鉄洋　竜星涼　小笠原海(超特急)　飯尾和樹(ずん)　/　　北村有起哉　大倉孝二　/　薬師丸ひろ子(特別出演)　松重豊    &lt;ゲスト&gt;吹越満　国広富之音楽:得田真裕　  主題歌:米津玄師「Lemon」(ソニー・ミュージックレコーズ)野木亜紀子(「逃げるは恥だが役にたつ」「空飛ぶ広報室」「重版出来!」「図書館戦争シリーズ」)プロデュース:新井順子　植田博樹(TBSテレビ)  演出:塚原あゆ子◇番組HP　  http://www.tbs.co.jp/unnatural2018/    ◇番組Twitter　  @unnatural_tbs　  https://twitter.com/unnatural_tbs/  番組の内容と放送時間は変更になる場合があります。</v>
      </c>
      <c r="N4854" s="2"/>
      <c r="O4854" s="2"/>
      <c r="P4854" s="2"/>
      <c r="Q4854" s="2"/>
      <c r="R4854" s="2"/>
      <c r="S4854" s="2"/>
      <c r="T4854" s="2"/>
      <c r="U4854" s="2"/>
      <c r="V4854" s="2"/>
      <c r="W4854" s="2"/>
      <c r="X4854" s="2"/>
      <c r="Y4854" s="2"/>
      <c r="Z4854" s="2"/>
      <c r="AA4854" s="2"/>
      <c r="AB4854" s="2"/>
      <c r="AC4854" s="2"/>
      <c r="AD4854" s="2"/>
      <c r="AE4854" s="2"/>
      <c r="AF4854" s="2"/>
      <c r="AG4854" s="2"/>
      <c r="AH4854" s="2"/>
      <c r="AI4854" s="2"/>
      <c r="AJ4854" s="2"/>
      <c r="AK4854" s="2"/>
      <c r="AL4854" s="2"/>
      <c r="AM4854" s="2"/>
      <c r="AN4854" s="2"/>
      <c r="AO4854" s="2"/>
      <c r="AP4854" s="2"/>
      <c r="AQ4854" s="2"/>
      <c r="AR4854" s="2"/>
      <c r="AS4854" s="2"/>
      <c r="AT4854" s="2"/>
      <c r="AU4854" s="2"/>
      <c r="AV4854" s="2"/>
      <c r="AW4854" s="2"/>
      <c r="AX4854" s="2"/>
      <c r="AY4854" s="2"/>
      <c r="AZ4854" s="2"/>
      <c r="BA4854" s="2"/>
      <c r="BB4854" s="2"/>
    </row>
    <row r="4855" ht="204.75" customHeight="1">
      <c r="A4855" s="1">
        <v>930.0</v>
      </c>
      <c r="B4855" s="2" t="s">
        <v>13672</v>
      </c>
      <c r="C4855" s="2">
        <f>IFERROR(__xludf.DUMMYFUNCTION("split(B4855,""_"")"),1801.0)</f>
        <v>1801</v>
      </c>
      <c r="D4855" s="2" t="str">
        <f>IFERROR(__xludf.DUMMYFUNCTION("""COMPUTED_VALUE"""),"TBS")</f>
        <v>TBS</v>
      </c>
      <c r="E4855" s="2" t="str">
        <f>IFERROR(__xludf.DUMMYFUNCTION("""COMPUTED_VALUE"""),"日21")</f>
        <v>日21</v>
      </c>
      <c r="F4855" s="2">
        <v>99.9</v>
      </c>
      <c r="G4855" s="2" t="s">
        <v>13673</v>
      </c>
      <c r="H4855" s="1">
        <v>1.0</v>
      </c>
      <c r="J4855" s="1" t="s">
        <v>4</v>
      </c>
      <c r="K4855" s="2" t="s">
        <v>13674</v>
      </c>
      <c r="L4855" s="2" t="s">
        <v>13675</v>
      </c>
      <c r="M4855" s="2" t="str">
        <f>IFERROR(__xludf.DUMMYFUNCTION("split(split(K4855,""【"",false),""公式LINE"",false)"),"刑事事件専門ルームでは室長が定着せず、佐田(香川照之)は斑目(岸部一徳)から、民事の兼務と見つかったらマネージングパートナーを譲るという条件のもと渋々承諾。深山(松本潤)と佐田の名コンビが復活する。  そんな中、とある殺人事件の弁護依頼が舞い込む。依頼人は、鈴木二郎の娘・加代。  鈴木が借金をしていた沢村ファイナンスの社長  が殺害され、鈴木はその容疑者として逮捕・起訴された。そして、加代の付き添いで来ていたのが、尾崎舞子(木村文乃)だった。  舞子はエリート裁判官だったが、あることが理由で退官していた。"&amp;"  鈴木の無実を証明しようとする深山たちに対して、舞子は調書を見る限り鈴木の犯行で間違いないから、罪を認めて情状酌量を求めるべきだと主張。  深山と対立する。一方、佐田はその様子を見てあることを画策する。深山大翔・・・松本潤  佐田篤弘・・・香川照之  尾崎舞子・・・木村文乃  明石達也・・・片桐仁  藤野宏樹・・・マギー  中塚美麗・・・馬場園梓  落合陽平・・・馬場徹  佐田由紀子・・・映美くらら坂東健太・・・池田貴史  加奈子・・・岸井ゆきの    川上憲一郎・・・笑福亭鶴瓶  斑目春彦・・・岸部一"&amp;"徳(1話出演)  志賀誠・・・藤本隆宏  戸川奈津子・・・渡辺真起子  阿部充・・・長塚圭史  鈴木加代・・・谷村美月  鈴木二郎・・・半海一晃  伊藤亜紀・・・新妻聖子脚本・・・宇田学  トリック監修・・・蒔田光治  音楽・・・井筒昭雄  主題歌・・・「Find The Answer」嵐  　　　　　　(ジェイ・ストーム)  プロデュース・・・瀬戸口克陽  　　　　　　　　　東仲恵吾  演出・・・木村ひさし◇番組HP  http://www.tbs.co.jp/999tbs/  ◇twitter  @9"&amp;"99_2018tbs  https://twitter.com/999_2018tbs  ◇instagram  https://www.instagram.com/999_tbs/  番組の内容と放送時間は変更になる可能性があります。")</f>
        <v>刑事事件専門ルームでは室長が定着せず、佐田(香川照之)は斑目(岸部一徳)から、民事の兼務と見つかったらマネージングパートナーを譲るという条件のもと渋々承諾。深山(松本潤)と佐田の名コンビが復活する。  そんな中、とある殺人事件の弁護依頼が舞い込む。依頼人は、鈴木二郎の娘・加代。  鈴木が借金をしていた沢村ファイナンスの社長  が殺害され、鈴木はその容疑者として逮捕・起訴された。そして、加代の付き添いで来ていたのが、尾崎舞子(木村文乃)だった。  舞子はエリート裁判官だったが、あることが理由で退官していた。  鈴木の無実を証明しようとする深山たちに対して、舞子は調書を見る限り鈴木の犯行で間違いないから、罪を認めて情状酌量を求めるべきだと主張。  深山と対立する。一方、佐田はその様子を見てあることを画策する。深山大翔・・・松本潤  佐田篤弘・・・香川照之  尾崎舞子・・・木村文乃  明石達也・・・片桐仁  藤野宏樹・・・マギー  中塚美麗・・・馬場園梓  落合陽平・・・馬場徹  佐田由紀子・・・映美くらら坂東健太・・・池田貴史  加奈子・・・岸井ゆきの    川上憲一郎・・・笑福亭鶴瓶  斑目春彦・・・岸部一徳(1話出演)  志賀誠・・・藤本隆宏  戸川奈津子・・・渡辺真起子  阿部充・・・長塚圭史  鈴木加代・・・谷村美月  鈴木二郎・・・半海一晃  伊藤亜紀・・・新妻聖子脚本・・・宇田学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v>
      </c>
      <c r="N4855" s="2"/>
      <c r="O4855" s="2"/>
      <c r="P4855" s="2"/>
      <c r="Q4855" s="2"/>
      <c r="R4855" s="2"/>
      <c r="S4855" s="2"/>
      <c r="T4855" s="2"/>
      <c r="U4855" s="2"/>
      <c r="V4855" s="2"/>
      <c r="W4855" s="2"/>
      <c r="X4855" s="2"/>
      <c r="Y4855" s="2"/>
      <c r="Z4855" s="2"/>
      <c r="AA4855" s="2"/>
      <c r="AB4855" s="2"/>
      <c r="AC4855" s="2"/>
      <c r="AD4855" s="2"/>
      <c r="AE4855" s="2"/>
      <c r="AF4855" s="2"/>
      <c r="AG4855" s="2"/>
      <c r="AH4855" s="2"/>
      <c r="AI4855" s="2"/>
      <c r="AJ4855" s="2"/>
      <c r="AK4855" s="2"/>
      <c r="AL4855" s="2"/>
      <c r="AM4855" s="2"/>
      <c r="AN4855" s="2"/>
      <c r="AO4855" s="2"/>
      <c r="AP4855" s="2"/>
      <c r="AQ4855" s="2"/>
      <c r="AR4855" s="2"/>
      <c r="AS4855" s="2"/>
      <c r="AT4855" s="2"/>
      <c r="AU4855" s="2"/>
      <c r="AV4855" s="2"/>
      <c r="AW4855" s="2"/>
      <c r="AX4855" s="2"/>
      <c r="AY4855" s="2"/>
      <c r="AZ4855" s="2"/>
      <c r="BA4855" s="2"/>
      <c r="BB4855" s="2"/>
    </row>
    <row r="4856" ht="204.75" customHeight="1">
      <c r="A4856" s="1">
        <v>931.0</v>
      </c>
      <c r="B4856" s="2" t="s">
        <v>13672</v>
      </c>
      <c r="C4856" s="2">
        <f>IFERROR(__xludf.DUMMYFUNCTION("split(B4856,""_"")"),1801.0)</f>
        <v>1801</v>
      </c>
      <c r="D4856" s="2" t="str">
        <f>IFERROR(__xludf.DUMMYFUNCTION("""COMPUTED_VALUE"""),"TBS")</f>
        <v>TBS</v>
      </c>
      <c r="E4856" s="2" t="str">
        <f>IFERROR(__xludf.DUMMYFUNCTION("""COMPUTED_VALUE"""),"日21")</f>
        <v>日21</v>
      </c>
      <c r="F4856" s="2">
        <v>99.9</v>
      </c>
      <c r="G4856" s="2" t="s">
        <v>13676</v>
      </c>
      <c r="H4856" s="1">
        <v>2.0</v>
      </c>
      <c r="J4856" s="1" t="s">
        <v>4</v>
      </c>
      <c r="K4856" s="2" t="s">
        <v>13677</v>
      </c>
      <c r="L4856" s="2" t="s">
        <v>13678</v>
      </c>
      <c r="M4856" s="2" t="str">
        <f>IFERROR(__xludf.DUMMYFUNCTION("split(split(K4856,""【"",false),""公式LINE"",false)"),"深山(松本潤)は、美由紀(野々すみ花)から連絡を受けて、故郷の金沢を訪れていた。  美由紀は、26年前、深山の父親・大介(首藤康之)が逮捕された殺人事件の被害者・美里(織田梨沙)の妹だった。  美由紀が深山に渡したのは見覚えのない水晶の遺留品。それは当時事件現場で発見されていたものだった。しかし、それは美里のものでも、大介のものでもなかった。そうだとすると、現場に第三者がいたという新たな証拠なのか。遺留品をもとに、深山はもう一度26年前の事実を追い求める。そして、それは、大介の事件の担当検事だった宿敵・大"&amp;"友検事正(奥田瑛二)との対決も意味していた。    そんな中、人事異動で金沢に赴任した丸川(青木崇高)に協力を仰ぐが・・・  一方、舞子(木村文乃)と、休暇中だった佐田(香川照之)は斑目の策略で、事件の調査に加わることになり金沢に向かう。  はたして、26年前の父親の無実は証明できるのか!?  深山大翔・・・松本潤  佐田篤弘・・・香川照之  尾崎舞子・・・木村文乃  丸川貴久・・・青木崇高  明石達也・・・片桐仁  藤野宏樹・・・マギー  中塚美麗・・・馬場園梓  落合陽平・・・馬場徹佐田由紀子・・・映"&amp;"美くらら  坂東健太・・・池田貴史  加奈子・・・岸井ゆきの  謎の男・・・佐藤勝利    大友修一・・・奥田瑛二  斑目春彦・・・岸部一徳(2話ゲスト)  深山大介・・・首藤康之  鏑木美里・・・織田梨沙  三宅宏之・・・小倉一郎  藤原・・・不破万作  鏑木美由紀・・・野々すみ花  内田・・・奥田達士  小倉・・・薬丸翔脚本・・・宇田学  トリック監修・・・蒔田光治  音楽・・・井筒昭雄  主題歌・・・「Find The Answer」嵐  　　　　　　(ジェイ・ストーム)  プロデュース・・・瀬戸口"&amp;"克陽  　　　　　　　　　東仲恵吾  演出・・・木村ひさし◇番組HP  http://www.tbs.co.jp/999tbs/  ◇twitter  @999_2018tbs  https://twitter.com/999_2018tbs  ◇instagram  https://www.instagram.com/999_tbs/  番組の内容と放送時間は変更になる可能性があります。")</f>
        <v>深山(松本潤)は、美由紀(野々すみ花)から連絡を受けて、故郷の金沢を訪れていた。  美由紀は、26年前、深山の父親・大介(首藤康之)が逮捕された殺人事件の被害者・美里(織田梨沙)の妹だった。  美由紀が深山に渡したのは見覚えのない水晶の遺留品。それは当時事件現場で発見されていたものだった。しかし、それは美里のものでも、大介のものでもなかった。そうだとすると、現場に第三者がいたという新たな証拠なのか。遺留品をもとに、深山はもう一度26年前の事実を追い求める。そして、それは、大介の事件の担当検事だった宿敵・大友検事正(奥田瑛二)との対決も意味していた。    そんな中、人事異動で金沢に赴任した丸川(青木崇高)に協力を仰ぐが・・・  一方、舞子(木村文乃)と、休暇中だった佐田(香川照之)は斑目の策略で、事件の調査に加わることになり金沢に向かう。  はたして、26年前の父親の無実は証明できるのか!?  深山大翔・・・松本潤  佐田篤弘・・・香川照之  尾崎舞子・・・木村文乃  丸川貴久・・・青木崇高  明石達也・・・片桐仁  藤野宏樹・・・マギー  中塚美麗・・・馬場園梓  落合陽平・・・馬場徹佐田由紀子・・・映美くらら  坂東健太・・・池田貴史  加奈子・・・岸井ゆきの  謎の男・・・佐藤勝利    大友修一・・・奥田瑛二  斑目春彦・・・岸部一徳(2話ゲスト)  深山大介・・・首藤康之  鏑木美里・・・織田梨沙  三宅宏之・・・小倉一郎  藤原・・・不破万作  鏑木美由紀・・・野々すみ花  内田・・・奥田達士  小倉・・・薬丸翔脚本・・・宇田学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v>
      </c>
      <c r="N4856" s="2"/>
      <c r="O4856" s="2"/>
      <c r="P4856" s="2"/>
      <c r="Q4856" s="2"/>
      <c r="R4856" s="2"/>
      <c r="S4856" s="2"/>
      <c r="T4856" s="2"/>
      <c r="U4856" s="2"/>
      <c r="V4856" s="2"/>
      <c r="W4856" s="2"/>
      <c r="X4856" s="2"/>
      <c r="Y4856" s="2"/>
      <c r="Z4856" s="2"/>
      <c r="AA4856" s="2"/>
      <c r="AB4856" s="2"/>
      <c r="AC4856" s="2"/>
      <c r="AD4856" s="2"/>
      <c r="AE4856" s="2"/>
      <c r="AF4856" s="2"/>
      <c r="AG4856" s="2"/>
      <c r="AH4856" s="2"/>
      <c r="AI4856" s="2"/>
      <c r="AJ4856" s="2"/>
      <c r="AK4856" s="2"/>
      <c r="AL4856" s="2"/>
      <c r="AM4856" s="2"/>
      <c r="AN4856" s="2"/>
      <c r="AO4856" s="2"/>
      <c r="AP4856" s="2"/>
      <c r="AQ4856" s="2"/>
      <c r="AR4856" s="2"/>
      <c r="AS4856" s="2"/>
      <c r="AT4856" s="2"/>
      <c r="AU4856" s="2"/>
      <c r="AV4856" s="2"/>
      <c r="AW4856" s="2"/>
      <c r="AX4856" s="2"/>
      <c r="AY4856" s="2"/>
      <c r="AZ4856" s="2"/>
      <c r="BA4856" s="2"/>
      <c r="BB4856" s="2"/>
    </row>
    <row r="4857" ht="204.75" customHeight="1">
      <c r="A4857" s="1">
        <v>932.0</v>
      </c>
      <c r="B4857" s="2" t="s">
        <v>13672</v>
      </c>
      <c r="C4857" s="2">
        <f>IFERROR(__xludf.DUMMYFUNCTION("split(B4857,""_"")"),1801.0)</f>
        <v>1801</v>
      </c>
      <c r="D4857" s="2" t="str">
        <f>IFERROR(__xludf.DUMMYFUNCTION("""COMPUTED_VALUE"""),"TBS")</f>
        <v>TBS</v>
      </c>
      <c r="E4857" s="2" t="str">
        <f>IFERROR(__xludf.DUMMYFUNCTION("""COMPUTED_VALUE"""),"日21")</f>
        <v>日21</v>
      </c>
      <c r="F4857" s="2">
        <v>99.9</v>
      </c>
      <c r="G4857" s="2" t="s">
        <v>13679</v>
      </c>
      <c r="H4857" s="1">
        <v>3.0</v>
      </c>
      <c r="J4857" s="1" t="s">
        <v>11</v>
      </c>
      <c r="K4857" s="2" t="s">
        <v>13680</v>
      </c>
      <c r="L4857" s="2" t="s">
        <v>13681</v>
      </c>
      <c r="M4857" s="2" t="str">
        <f>IFERROR(__xludf.DUMMYFUNCTION("split(split(K4857,""【"",false),""公式LINE"",false)"),"人気ロック歌手ジョーカー茅ヶ崎(宇崎竜童)がジャーナリスト安田の殺人容疑およびその事件の目撃者・石川(安達祐実)の殺人未遂容疑で逮捕された。  茅ヶ崎の顧問弁護士を務める佐田(香川照之)は、焦った様子で何かを隠してる模様。  接見に向かおうとする深山(松本潤)を必死で止めて、正式に一員になった舞子(木村文乃)を担当に任命。事件を追う中で、佐田のある指示のせいで、依頼人がピンチに立たされてしまったことを知る深山たち。  しかも殺人事件では目撃証言、殺人未遂事件では、凶器に茅ヶ崎の指紋があるという絶体絶命の状"&amp;"況!そして、担当する裁判官は舞子の先輩だった山内(松尾諭)。舞子の立場が変わり、今までの態度から豹変する山内に、舞子は裁判官と弁護士の間にある分厚い壁を感じる。舞子の元上司で、山内の上長である東京地裁・所長代行の川上(笑福亭鶴瓶)は、『お互いの立場でガンガンやりあえばいい』と激励するが…  崖っぷちに立たされた中で、深山と舞子は茅ヶ崎の無実を見つけ、佐田の窮地を救えるのか?  深山大翔・・・松本潤  佐田篤弘・・・香川照之  尾崎舞子・・・木村文乃  明石達也・・・片桐仁  藤野宏樹・・・マギー  中塚美"&amp;"麗・・・馬場園梓  落合陽平・・・馬場徹  謎の男・・・佐藤勝利坂東健太・・・池田貴史  加奈子・・・岸井ゆきの    遠藤啓介・・・甲本雅裕  川上憲一郎・・・笑福亭鶴瓶(3話出演)  ジョーカー茅ヶ崎・・・宇崎竜童  石川敦子・・・安達祐実  山内徹・・・松尾諭  村野正義・・・永岡卓也  うどん居酒屋店主・・・高木渉  清水かずき・・・吹原幸太  元木・・・保坂知寿脚本・・・宇田学  トリック監修・・・蒔田光治  主題歌・・・「Find The Answer」嵐(ジェイ・ストーム)  音楽・・・井筒"&amp;"昭雄  プロデュース・・・瀬戸口克陽  　　　　　　　　　東仲恵吾  演出・・・木村ひさし◇番組HP  http://www.tbs.co.jp/999tbs/  ◇twitter  @999_2018tbs  https://twitter.com/999_2018tbs  ◇instagram  https://www.instagram.com/999_tbs/  番組の内容と放送時間は変更になる可能性があります。")</f>
        <v>人気ロック歌手ジョーカー茅ヶ崎(宇崎竜童)がジャーナリスト安田の殺人容疑およびその事件の目撃者・石川(安達祐実)の殺人未遂容疑で逮捕された。  茅ヶ崎の顧問弁護士を務める佐田(香川照之)は、焦った様子で何かを隠してる模様。  接見に向かおうとする深山(松本潤)を必死で止めて、正式に一員になった舞子(木村文乃)を担当に任命。事件を追う中で、佐田のある指示のせいで、依頼人がピンチに立たされてしまったことを知る深山たち。  しかも殺人事件では目撃証言、殺人未遂事件では、凶器に茅ヶ崎の指紋があるという絶体絶命の状況!そして、担当する裁判官は舞子の先輩だった山内(松尾諭)。舞子の立場が変わり、今までの態度から豹変する山内に、舞子は裁判官と弁護士の間にある分厚い壁を感じる。舞子の元上司で、山内の上長である東京地裁・所長代行の川上(笑福亭鶴瓶)は、『お互いの立場でガンガンやりあえばいい』と激励するが…  崖っぷちに立たされた中で、深山と舞子は茅ヶ崎の無実を見つけ、佐田の窮地を救えるのか?  深山大翔・・・松本潤  佐田篤弘・・・香川照之  尾崎舞子・・・木村文乃  明石達也・・・片桐仁  藤野宏樹・・・マギー  中塚美麗・・・馬場園梓  落合陽平・・・馬場徹  謎の男・・・佐藤勝利坂東健太・・・池田貴史  加奈子・・・岸井ゆきの    遠藤啓介・・・甲本雅裕  川上憲一郎・・・笑福亭鶴瓶(3話出演)  ジョーカー茅ヶ崎・・・宇崎竜童  石川敦子・・・安達祐実  山内徹・・・松尾諭  村野正義・・・永岡卓也  うどん居酒屋店主・・・高木渉  清水かずき・・・吹原幸太  元木・・・保坂知寿脚本・・・宇田学  トリック監修・・・蒔田光治  主題歌・・・「Find The Answer」嵐(ジェイ・ストーム)  音楽・・・井筒昭雄  プロデュース・・・瀬戸口克陽  　　　　　　　　　東仲恵吾  演出・・・木村ひさし◇番組HP  http://www.tbs.co.jp/999tbs/  ◇twitter  @999_2018tbs  https://twitter.com/999_2018tbs  ◇instagram  https://www.instagram.com/999_tbs/  番組の内容と放送時間は変更になる可能性があります。</v>
      </c>
      <c r="N4857" s="2"/>
      <c r="O4857" s="2"/>
      <c r="P4857" s="2"/>
      <c r="Q4857" s="2"/>
      <c r="R4857" s="2"/>
      <c r="S4857" s="2"/>
      <c r="T4857" s="2"/>
      <c r="U4857" s="2"/>
      <c r="V4857" s="2"/>
      <c r="W4857" s="2"/>
      <c r="X4857" s="2"/>
      <c r="Y4857" s="2"/>
      <c r="Z4857" s="2"/>
      <c r="AA4857" s="2"/>
      <c r="AB4857" s="2"/>
      <c r="AC4857" s="2"/>
      <c r="AD4857" s="2"/>
      <c r="AE4857" s="2"/>
      <c r="AF4857" s="2"/>
      <c r="AG4857" s="2"/>
      <c r="AH4857" s="2"/>
      <c r="AI4857" s="2"/>
      <c r="AJ4857" s="2"/>
      <c r="AK4857" s="2"/>
      <c r="AL4857" s="2"/>
      <c r="AM4857" s="2"/>
      <c r="AN4857" s="2"/>
      <c r="AO4857" s="2"/>
      <c r="AP4857" s="2"/>
      <c r="AQ4857" s="2"/>
      <c r="AR4857" s="2"/>
      <c r="AS4857" s="2"/>
      <c r="AT4857" s="2"/>
      <c r="AU4857" s="2"/>
      <c r="AV4857" s="2"/>
      <c r="AW4857" s="2"/>
      <c r="AX4857" s="2"/>
      <c r="AY4857" s="2"/>
      <c r="AZ4857" s="2"/>
      <c r="BA4857" s="2"/>
      <c r="BB4857" s="2"/>
    </row>
    <row r="4858" ht="204.75" customHeight="1">
      <c r="A4858" s="1">
        <v>933.0</v>
      </c>
      <c r="B4858" s="2" t="s">
        <v>13672</v>
      </c>
      <c r="C4858" s="2">
        <f>IFERROR(__xludf.DUMMYFUNCTION("split(B4858,""_"")"),1801.0)</f>
        <v>1801</v>
      </c>
      <c r="D4858" s="2" t="str">
        <f>IFERROR(__xludf.DUMMYFUNCTION("""COMPUTED_VALUE"""),"TBS")</f>
        <v>TBS</v>
      </c>
      <c r="E4858" s="2" t="str">
        <f>IFERROR(__xludf.DUMMYFUNCTION("""COMPUTED_VALUE"""),"日21")</f>
        <v>日21</v>
      </c>
      <c r="F4858" s="2">
        <v>99.9</v>
      </c>
      <c r="G4858" s="2" t="s">
        <v>13682</v>
      </c>
      <c r="H4858" s="1">
        <v>4.0</v>
      </c>
      <c r="J4858" s="1" t="s">
        <v>11</v>
      </c>
      <c r="K4858" s="2" t="s">
        <v>13683</v>
      </c>
      <c r="L4858" s="2" t="s">
        <v>13684</v>
      </c>
      <c r="M4858" s="2" t="str">
        <f>IFERROR(__xludf.DUMMYFUNCTION("split(split(K4858,""【"",false),""公式LINE"",false)"),"斑目法律事務所に岩村梢(有森也実)が刑事事件の弁護でやってきた。被疑者は、梢の夫で工場の社長・岩村直樹。直樹が、取引先のタナハシ機械製作所専務・棚橋幸次郎を殺害後、自殺したのだ。事件は被疑者死亡のため書類送検されて、不起訴処分になった。  さらに、梢は幸次郎の兄で社長・政一郎(迫田孝也)から3億円の損害賠償請求をされていた。  しかし梢はあることから直樹の無実を確信していた。佐田(香川照之)は、被疑者死亡の場合、裁判が開かれないから、これ以上の弁護は無理だと説明して、依頼を断る。しかし、深山(松本潤)はす"&amp;"でに事件現場に向かっていた。  また、連れ戻すよう佐田に指示を受けていた舞子(木村文乃)も、結局深山のペースに巻き込まれる。しかし、細かく調べていく中で、刑事記録に矛盾があることが判明する・・・一方、佐田は直樹がある特許を個人で持っていて、莫大な価値があることに気付く。政一郎は、梢に相続を放棄させることで莫大な価値があるこの特許を手に入れようとしていたのだ。  佐田は、梢の依頼を正式に受けて、政一郎の弁護士・森本貴(近藤芳正)に会いに行く。森本は、民事でやり手の弁護士で、佐田とは面識こそないもののお互い名"&amp;"前を知るライバル関係だった。すると、佐田がある奇策を思いつく。深山大翔・・・松本潤  佐田篤弘・・・香川照之  尾崎舞子・・・木村文乃  明石達也・・・片桐仁  藤野宏樹・・・マギー  中塚美麗・・・馬場園梓  落合陽平・・・馬場徹坂東健太・・・池田貴史  加奈子・・・岸井ゆきの    斑目春彦・・・岸部一徳(4話出演)  森本貢・・・近藤芳正  岩村梢・・・有森也実  足立靖男・・・塚地武雅  棚橋政一郎・・・迫田孝也  田中・・・小須田康人  中西学  北村克哉脚本・・・宇田学  トリック監修・・・蒔"&amp;"田光治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番組の内容と放送時間は変"&amp;"更になる可能性があります。")</f>
        <v>斑目法律事務所に岩村梢(有森也実)が刑事事件の弁護でやってきた。被疑者は、梢の夫で工場の社長・岩村直樹。直樹が、取引先のタナハシ機械製作所専務・棚橋幸次郎を殺害後、自殺したのだ。事件は被疑者死亡のため書類送検されて、不起訴処分になった。  さらに、梢は幸次郎の兄で社長・政一郎(迫田孝也)から3億円の損害賠償請求をされていた。  しかし梢はあることから直樹の無実を確信していた。佐田(香川照之)は、被疑者死亡の場合、裁判が開かれないから、これ以上の弁護は無理だと説明して、依頼を断る。しかし、深山(松本潤)はすでに事件現場に向かっていた。  また、連れ戻すよう佐田に指示を受けていた舞子(木村文乃)も、結局深山のペースに巻き込まれる。しかし、細かく調べていく中で、刑事記録に矛盾があることが判明する・・・一方、佐田は直樹がある特許を個人で持っていて、莫大な価値があることに気付く。政一郎は、梢に相続を放棄させることで莫大な価値があるこの特許を手に入れようとしていたのだ。  佐田は、梢の依頼を正式に受けて、政一郎の弁護士・森本貴(近藤芳正)に会いに行く。森本は、民事でやり手の弁護士で、佐田とは面識こそないもののお互い名前を知るライバル関係だった。すると、佐田がある奇策を思いつく。深山大翔・・・松本潤  佐田篤弘・・・香川照之  尾崎舞子・・・木村文乃  明石達也・・・片桐仁  藤野宏樹・・・マギー  中塚美麗・・・馬場園梓  落合陽平・・・馬場徹坂東健太・・・池田貴史  加奈子・・・岸井ゆきの    斑目春彦・・・岸部一徳(4話出演)  森本貢・・・近藤芳正  岩村梢・・・有森也実  足立靖男・・・塚地武雅  棚橋政一郎・・・迫田孝也  田中・・・小須田康人  中西学  北村克哉脚本・・・宇田学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v>
      </c>
      <c r="N4858" s="2"/>
      <c r="O4858" s="2"/>
      <c r="P4858" s="2"/>
      <c r="Q4858" s="2"/>
      <c r="R4858" s="2"/>
      <c r="S4858" s="2"/>
      <c r="T4858" s="2"/>
      <c r="U4858" s="2"/>
      <c r="V4858" s="2"/>
      <c r="W4858" s="2"/>
      <c r="X4858" s="2"/>
      <c r="Y4858" s="2"/>
      <c r="Z4858" s="2"/>
      <c r="AA4858" s="2"/>
      <c r="AB4858" s="2"/>
      <c r="AC4858" s="2"/>
      <c r="AD4858" s="2"/>
      <c r="AE4858" s="2"/>
      <c r="AF4858" s="2"/>
      <c r="AG4858" s="2"/>
      <c r="AH4858" s="2"/>
      <c r="AI4858" s="2"/>
      <c r="AJ4858" s="2"/>
      <c r="AK4858" s="2"/>
      <c r="AL4858" s="2"/>
      <c r="AM4858" s="2"/>
      <c r="AN4858" s="2"/>
      <c r="AO4858" s="2"/>
      <c r="AP4858" s="2"/>
      <c r="AQ4858" s="2"/>
      <c r="AR4858" s="2"/>
      <c r="AS4858" s="2"/>
      <c r="AT4858" s="2"/>
      <c r="AU4858" s="2"/>
      <c r="AV4858" s="2"/>
      <c r="AW4858" s="2"/>
      <c r="AX4858" s="2"/>
      <c r="AY4858" s="2"/>
      <c r="AZ4858" s="2"/>
      <c r="BA4858" s="2"/>
      <c r="BB4858" s="2"/>
    </row>
    <row r="4859" ht="204.75" customHeight="1">
      <c r="A4859" s="1">
        <v>934.0</v>
      </c>
      <c r="B4859" s="2" t="s">
        <v>13672</v>
      </c>
      <c r="C4859" s="2">
        <f>IFERROR(__xludf.DUMMYFUNCTION("split(B4859,""_"")"),1801.0)</f>
        <v>1801</v>
      </c>
      <c r="D4859" s="2" t="str">
        <f>IFERROR(__xludf.DUMMYFUNCTION("""COMPUTED_VALUE"""),"TBS")</f>
        <v>TBS</v>
      </c>
      <c r="E4859" s="2" t="str">
        <f>IFERROR(__xludf.DUMMYFUNCTION("""COMPUTED_VALUE"""),"日21")</f>
        <v>日21</v>
      </c>
      <c r="F4859" s="2">
        <v>99.9</v>
      </c>
      <c r="G4859" s="2" t="s">
        <v>13685</v>
      </c>
      <c r="H4859" s="1">
        <v>5.0</v>
      </c>
      <c r="J4859" s="1" t="s">
        <v>11</v>
      </c>
      <c r="K4859" s="2" t="s">
        <v>13686</v>
      </c>
      <c r="L4859" s="2" t="s">
        <v>13687</v>
      </c>
      <c r="M4859" s="2" t="str">
        <f>IFERROR(__xludf.DUMMYFUNCTION("split(split(K4859,""【"",false),""公式LINE"",false)"),"大怪我をした志賀(藤本隆宏)と奈津子(渡辺真起子)が相談にやってきた。志賀が怪我して動けないので、請け負った刑事裁判の弁護を協力してほしいという。  その刑事事件とは、女子高生・工藤久美子(清原果耶)に対する強制わいせつ事件。17歳の山崎大輝とその友人・大江徳弘が、久美子の証言により、容疑者として起訴されていた。さらに調書によると、山崎は一度自白をしてしまっていた。  さっそく山崎の元へ接見にいった深山(松本潤)と舞子(木村文乃)は、警察に脅されて自白したということを知る。  さらに山崎は、事件当日は、焼"&amp;"肉屋にいたと証言する。  しかし焼肉屋の店員(アキラ100%)はお客を一人一人覚えていなくてアリバイが取れない。しかし、深山は山崎から聞き出したある情報をもとに刑事事件ルームの面々と再び焼肉屋に向かった。公判では、裁判官の遠藤(甲本雅裕)は弁護側に一貫して頑なな姿勢で弁護側の主張を採用しようとしない。  この事件、裁判所と検察のある思惑が一致して、両者が半ば結託するような形で進められていたのだ。さらにある奇策により、深山達が見つけたアリバイさえも跳ね除けられる。  絶体絶命な状況の中で、すべてを覆す事実を"&amp;"見つけることができるのか!?  深山大翔・・・松本潤  佐田篤弘・・・香川照之  尾崎舞子・・・木村文乃  明石達也・・・片桐仁  藤野宏樹・・・マギー  中塚美麗・・・馬場園梓  落合陽平・・・馬場徹  謎の男・・・佐藤勝利坂東健太・・・池田貴史  加奈子・・・岸井ゆきの    遠藤啓介・・・甲本雅裕  川上憲一郎・・・笑福亭鶴瓶  斑目春彦・・・岸部一徳(5話出演)  志賀誠・・・藤本隆宏  戸川奈津子・・・渡辺真起子  工藤久美子・・・清原果耶  山崎大輝・・・市川理矩  大江徳弘・・・福山翔大  "&amp;"焼肉屋店長・・・アキラ100%    喜多方修造・・・矢柴俊博  岡田孝範・・・榎木孝明脚本・・・宇田学  トリック監修・・・蒔田光治  音楽・・・井筒昭雄  主題歌・・・「Find The Answer」嵐  　　　　　　(ジェイ・ストーム)  プロデュース・・・瀬戸口克陽  　　　　　　　　　東仲恵吾  演出・・・岡本伸吾◇番組HP  http://www.tbs.co.jp/999tbs/  ◇twitter  @999_2018tbs  https://twitter.com/999_2018tb"&amp;"s  ◇instagram  https://www.instagram.com/999_tbs/  番組の内容と放送時間は変更になる可能性があります。")</f>
        <v>大怪我をした志賀(藤本隆宏)と奈津子(渡辺真起子)が相談にやってきた。志賀が怪我して動けないので、請け負った刑事裁判の弁護を協力してほしいという。  その刑事事件とは、女子高生・工藤久美子(清原果耶)に対する強制わいせつ事件。17歳の山崎大輝とその友人・大江徳弘が、久美子の証言により、容疑者として起訴されていた。さらに調書によると、山崎は一度自白をしてしまっていた。  さっそく山崎の元へ接見にいった深山(松本潤)と舞子(木村文乃)は、警察に脅されて自白したということを知る。  さらに山崎は、事件当日は、焼肉屋にいたと証言する。  しかし焼肉屋の店員(アキラ100%)はお客を一人一人覚えていなくてアリバイが取れない。しかし、深山は山崎から聞き出したある情報をもとに刑事事件ルームの面々と再び焼肉屋に向かった。公判では、裁判官の遠藤(甲本雅裕)は弁護側に一貫して頑なな姿勢で弁護側の主張を採用しようとしない。  この事件、裁判所と検察のある思惑が一致して、両者が半ば結託するような形で進められていたのだ。さらにある奇策により、深山達が見つけたアリバイさえも跳ね除けられる。  絶体絶命な状況の中で、すべてを覆す事実を見つけることができるのか!?  深山大翔・・・松本潤  佐田篤弘・・・香川照之  尾崎舞子・・・木村文乃  明石達也・・・片桐仁  藤野宏樹・・・マギー  中塚美麗・・・馬場園梓  落合陽平・・・馬場徹  謎の男・・・佐藤勝利坂東健太・・・池田貴史  加奈子・・・岸井ゆきの    遠藤啓介・・・甲本雅裕  川上憲一郎・・・笑福亭鶴瓶  斑目春彦・・・岸部一徳(5話出演)  志賀誠・・・藤本隆宏  戸川奈津子・・・渡辺真起子  工藤久美子・・・清原果耶  山崎大輝・・・市川理矩  大江徳弘・・・福山翔大  焼肉屋店長・・・アキラ100%    喜多方修造・・・矢柴俊博  岡田孝範・・・榎木孝明脚本・・・宇田学  トリック監修・・・蒔田光治  音楽・・・井筒昭雄  主題歌・・・「Find The Answer」嵐  　　　　　　(ジェイ・ストーム)  プロデュース・・・瀬戸口克陽  　　　　　　　　　東仲恵吾  演出・・・岡本伸吾◇番組HP  http://www.tbs.co.jp/999tbs/  ◇twitter  @999_2018tbs  https://twitter.com/999_2018tbs  ◇instagram  https://www.instagram.com/999_tbs/  番組の内容と放送時間は変更になる可能性があります。</v>
      </c>
      <c r="N4859" s="2"/>
      <c r="O4859" s="2"/>
      <c r="P4859" s="2"/>
      <c r="Q4859" s="2"/>
      <c r="R4859" s="2"/>
      <c r="S4859" s="2"/>
      <c r="T4859" s="2"/>
      <c r="U4859" s="2"/>
      <c r="V4859" s="2"/>
      <c r="W4859" s="2"/>
      <c r="X4859" s="2"/>
      <c r="Y4859" s="2"/>
      <c r="Z4859" s="2"/>
      <c r="AA4859" s="2"/>
      <c r="AB4859" s="2"/>
      <c r="AC4859" s="2"/>
      <c r="AD4859" s="2"/>
      <c r="AE4859" s="2"/>
      <c r="AF4859" s="2"/>
      <c r="AG4859" s="2"/>
      <c r="AH4859" s="2"/>
      <c r="AI4859" s="2"/>
      <c r="AJ4859" s="2"/>
      <c r="AK4859" s="2"/>
      <c r="AL4859" s="2"/>
      <c r="AM4859" s="2"/>
      <c r="AN4859" s="2"/>
      <c r="AO4859" s="2"/>
      <c r="AP4859" s="2"/>
      <c r="AQ4859" s="2"/>
      <c r="AR4859" s="2"/>
      <c r="AS4859" s="2"/>
      <c r="AT4859" s="2"/>
      <c r="AU4859" s="2"/>
      <c r="AV4859" s="2"/>
      <c r="AW4859" s="2"/>
      <c r="AX4859" s="2"/>
      <c r="AY4859" s="2"/>
      <c r="AZ4859" s="2"/>
      <c r="BA4859" s="2"/>
      <c r="BB4859" s="2"/>
    </row>
    <row r="4860" ht="204.75" customHeight="1">
      <c r="A4860" s="1">
        <v>935.0</v>
      </c>
      <c r="B4860" s="2" t="s">
        <v>13672</v>
      </c>
      <c r="C4860" s="2">
        <f>IFERROR(__xludf.DUMMYFUNCTION("split(B4860,""_"")"),1801.0)</f>
        <v>1801</v>
      </c>
      <c r="D4860" s="2" t="str">
        <f>IFERROR(__xludf.DUMMYFUNCTION("""COMPUTED_VALUE"""),"TBS")</f>
        <v>TBS</v>
      </c>
      <c r="E4860" s="2" t="str">
        <f>IFERROR(__xludf.DUMMYFUNCTION("""COMPUTED_VALUE"""),"日21")</f>
        <v>日21</v>
      </c>
      <c r="F4860" s="2">
        <v>99.9</v>
      </c>
      <c r="G4860" s="2" t="s">
        <v>13688</v>
      </c>
      <c r="H4860" s="1">
        <v>6.0</v>
      </c>
      <c r="J4860" s="1" t="s">
        <v>4</v>
      </c>
      <c r="K4860" s="2" t="s">
        <v>13689</v>
      </c>
      <c r="L4860" s="2" t="s">
        <v>13690</v>
      </c>
      <c r="M4860" s="2" t="str">
        <f>IFERROR(__xludf.DUMMYFUNCTION("split(split(K4860,""【"",false),""公式LINE"",false)"),"舞子(木村文乃)の元に、大酉寿司店主・新井英之(竜雷太)が弁護依頼にやってきた。不動産屋・平田(三又又三)の殺害容疑で警察から事情聴取を受けていたのだ。事件当日、新井が事件現場に出入りしていたことが容疑をかけられた理由だったが、新井は否認していた。  さっそく事件現場にやってきた深山(松本潤)と舞子は、煙草屋店主・飯田(ダンカン)から、事件当日、別に出入りした人物がいたことを聞く。そんな中、深山たちが事務所に戻ると、平田殺害の容疑者逮捕のニュースを目にする。  テレビに映された尾崎雄太(佐藤勝利)は、舞子"&amp;"の弟だった。そして、雄太が2年前に窃盗事件で有罪判決を受けていたことが判明する。  舞子は雄太と接見して、弁護を請け負おうとするが、雄太に頑なに拒否される。  　舞子と雄太の間には、あることがきっかけで大きな溝ができていたのだ・・・。雄太は深山に自分は今の事件も、2年前の事件もやっていないと否認する。  一方、斑目所長(岸部一徳)は、雄太が本当に犯人であれば顧客からの信用に関わるため、舞子には辞めてもらうと佐田(香川照之)に言い放つ・・・。  殺人容疑と2年前に判決を受けた窃盗事件が深く入り乱れた難事件。"&amp;"果たして深山たちは事実を見つけ出し、雄太、そして舞子を救うことはできるのか!?  深山大翔・・・松本潤  佐田篤弘・・・香川照之  尾崎舞子・・・木村文乃  明石達也・・・片桐仁  藤野宏樹・・・マギー  中塚美麗・・・馬場園梓  落合陽平・・・馬場徹坂東健太・・・池田貴史  加奈子・・・岸井ゆきの  尾崎雄太・・・佐藤勝利    斑目春彦・・・岸部一徳新井英之・・・竜雷太  糸村信彦・・・横田栄司  飯田誠一・・・ダンカン  坂本卓・・・古舘佑太郎  大西達也・・・金子大地  パクチー店主・・・IZAM"&amp;"  柴田・・・渡辺早織脚本・・・宇田学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https://www.insta"&amp;"gram.com/999_tbs/  番組の内容と放送時間は変更になる可能性があります。")</f>
        <v>舞子(木村文乃)の元に、大酉寿司店主・新井英之(竜雷太)が弁護依頼にやってきた。不動産屋・平田(三又又三)の殺害容疑で警察から事情聴取を受けていたのだ。事件当日、新井が事件現場に出入りしていたことが容疑をかけられた理由だったが、新井は否認していた。  さっそく事件現場にやってきた深山(松本潤)と舞子は、煙草屋店主・飯田(ダンカン)から、事件当日、別に出入りした人物がいたことを聞く。そんな中、深山たちが事務所に戻ると、平田殺害の容疑者逮捕のニュースを目にする。  テレビに映された尾崎雄太(佐藤勝利)は、舞子の弟だった。そして、雄太が2年前に窃盗事件で有罪判決を受けていたことが判明する。  舞子は雄太と接見して、弁護を請け負おうとするが、雄太に頑なに拒否される。  　舞子と雄太の間には、あることがきっかけで大きな溝ができていたのだ・・・。雄太は深山に自分は今の事件も、2年前の事件もやっていないと否認する。  一方、斑目所長(岸部一徳)は、雄太が本当に犯人であれば顧客からの信用に関わるため、舞子には辞めてもらうと佐田(香川照之)に言い放つ・・・。  殺人容疑と2年前に判決を受けた窃盗事件が深く入り乱れた難事件。果たして深山たちは事実を見つけ出し、雄太、そして舞子を救うことはできるのか!?  深山大翔・・・松本潤  佐田篤弘・・・香川照之  尾崎舞子・・・木村文乃  明石達也・・・片桐仁  藤野宏樹・・・マギー  中塚美麗・・・馬場園梓  落合陽平・・・馬場徹坂東健太・・・池田貴史  加奈子・・・岸井ゆきの  尾崎雄太・・・佐藤勝利    斑目春彦・・・岸部一徳新井英之・・・竜雷太  糸村信彦・・・横田栄司  飯田誠一・・・ダンカン  坂本卓・・・古舘佑太郎  大西達也・・・金子大地  パクチー店主・・・IZAM  柴田・・・渡辺早織脚本・・・宇田学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v>
      </c>
      <c r="N4860" s="2"/>
      <c r="O4860" s="2"/>
      <c r="P4860" s="2"/>
      <c r="Q4860" s="2"/>
      <c r="R4860" s="2"/>
      <c r="S4860" s="2"/>
      <c r="T4860" s="2"/>
      <c r="U4860" s="2"/>
      <c r="V4860" s="2"/>
      <c r="W4860" s="2"/>
      <c r="X4860" s="2"/>
      <c r="Y4860" s="2"/>
      <c r="Z4860" s="2"/>
      <c r="AA4860" s="2"/>
      <c r="AB4860" s="2"/>
      <c r="AC4860" s="2"/>
      <c r="AD4860" s="2"/>
      <c r="AE4860" s="2"/>
      <c r="AF4860" s="2"/>
      <c r="AG4860" s="2"/>
      <c r="AH4860" s="2"/>
      <c r="AI4860" s="2"/>
      <c r="AJ4860" s="2"/>
      <c r="AK4860" s="2"/>
      <c r="AL4860" s="2"/>
      <c r="AM4860" s="2"/>
      <c r="AN4860" s="2"/>
      <c r="AO4860" s="2"/>
      <c r="AP4860" s="2"/>
      <c r="AQ4860" s="2"/>
      <c r="AR4860" s="2"/>
      <c r="AS4860" s="2"/>
      <c r="AT4860" s="2"/>
      <c r="AU4860" s="2"/>
      <c r="AV4860" s="2"/>
      <c r="AW4860" s="2"/>
      <c r="AX4860" s="2"/>
      <c r="AY4860" s="2"/>
      <c r="AZ4860" s="2"/>
      <c r="BA4860" s="2"/>
      <c r="BB4860" s="2"/>
    </row>
    <row r="4861" ht="204.75" customHeight="1">
      <c r="A4861" s="1">
        <v>936.0</v>
      </c>
      <c r="B4861" s="2" t="s">
        <v>13672</v>
      </c>
      <c r="C4861" s="2">
        <f>IFERROR(__xludf.DUMMYFUNCTION("split(B4861,""_"")"),1801.0)</f>
        <v>1801</v>
      </c>
      <c r="D4861" s="2" t="str">
        <f>IFERROR(__xludf.DUMMYFUNCTION("""COMPUTED_VALUE"""),"TBS")</f>
        <v>TBS</v>
      </c>
      <c r="E4861" s="2" t="str">
        <f>IFERROR(__xludf.DUMMYFUNCTION("""COMPUTED_VALUE"""),"日21")</f>
        <v>日21</v>
      </c>
      <c r="F4861" s="2">
        <v>99.9</v>
      </c>
      <c r="G4861" s="2" t="s">
        <v>13691</v>
      </c>
      <c r="H4861" s="1">
        <v>7.0</v>
      </c>
      <c r="J4861" s="1" t="s">
        <v>11</v>
      </c>
      <c r="K4861" s="2" t="s">
        <v>13692</v>
      </c>
      <c r="L4861" s="2" t="s">
        <v>13693</v>
      </c>
      <c r="M4861" s="2" t="str">
        <f>IFERROR(__xludf.DUMMYFUNCTION("split(split(K4861,""【"",false),""公式LINE"",false)"),"佐田が顧問弁護を務めるオガタテクノロジーの社長・緒方(ヒャダイン)が失踪した。検察庁に呼び出された佐田は検事から、緒方が1週間前に会社の資金3000万を引き出した後、姿をくらまして業務上横領の罪がかけられてることを聞かされる。さらに、失踪当日に佐田の個人口座へ300万円の振り込みがあったことも分かり、佐田は逮捕される。弁護を請け負った深山(松本潤)と舞子(木村文乃)はオガタテクノロジーを訪れ、専務の大河原孝正(佐戸井けん太)と経理担当の中村麻美(田中美奈子)から話を聞く。さらに、従業員の笹野桜(比嘉愛未)"&amp;"立ち会いの元、緒方の自宅を見せてもらうことに。そこで深山はある矛盾に気付くーー。そんな中、佐田の担当裁判官に意味深な笑顔で近づく川上(笑福亭鶴瓶)。川上の真意とはいったい!?  そして、佐田の公判が始まる。果たして、深山と舞子は佐田を救うことができるのか!?  深山大翔・・・松本潤  佐田篤弘・・・香川照之  尾崎舞子・・・木村文乃  明石達也・・・片桐仁  藤野宏樹・・・マギー  中塚美麗・・・馬場園梓  落合陽平・・・馬場徹  佐田由紀子・・・映美くらら坂東健太・・・池田貴史  加奈子・・・岸井ゆきの"&amp;"  遠藤啓介・・・甲本雅裕    川上憲一郎・・・笑福亭鶴瓶  斑目春彦・・・岸部一徳笹野桜・・・比嘉愛未  中村麻美・・・田中美奈子  大河原孝正・・・佐戸井けん太  緒方・・・ヒャダイン  検事・・・飯田基祐  小島・・・小松利昌  キャスター・・・枡田絵理奈脚本・・・宇田学  トリック監修・・・蒔田光治  音楽・・・井筒昭雄  主題歌・・・「Find The Answer」嵐  　　　　　　(ジェイ・ストーム)  プロデュース・・・瀬戸口克陽  　　　　　　　　　東仲恵吾  演出・・・木村ひさし◇番"&amp;"組HP  http://www.tbs.co.jp/999tbs/  ◇twitter  @999_2018tbs  https://twitter.com/999_2018tbs  ◇instagram  https://www.instagram.com/999_tbs/  番組の内容と放送時間は変更になる可能性があります。")</f>
        <v>佐田が顧問弁護を務めるオガタテクノロジーの社長・緒方(ヒャダイン)が失踪した。検察庁に呼び出された佐田は検事から、緒方が1週間前に会社の資金3000万を引き出した後、姿をくらまして業務上横領の罪がかけられてることを聞かされる。さらに、失踪当日に佐田の個人口座へ300万円の振り込みがあったことも分かり、佐田は逮捕される。弁護を請け負った深山(松本潤)と舞子(木村文乃)はオガタテクノロジーを訪れ、専務の大河原孝正(佐戸井けん太)と経理担当の中村麻美(田中美奈子)から話を聞く。さらに、従業員の笹野桜(比嘉愛未)立ち会いの元、緒方の自宅を見せてもらうことに。そこで深山はある矛盾に気付くーー。そんな中、佐田の担当裁判官に意味深な笑顔で近づく川上(笑福亭鶴瓶)。川上の真意とはいったい!?  そして、佐田の公判が始まる。果たして、深山と舞子は佐田を救うことができるのか!?  深山大翔・・・松本潤  佐田篤弘・・・香川照之  尾崎舞子・・・木村文乃  明石達也・・・片桐仁  藤野宏樹・・・マギー  中塚美麗・・・馬場園梓  落合陽平・・・馬場徹  佐田由紀子・・・映美くらら坂東健太・・・池田貴史  加奈子・・・岸井ゆきの  遠藤啓介・・・甲本雅裕    川上憲一郎・・・笑福亭鶴瓶  斑目春彦・・・岸部一徳笹野桜・・・比嘉愛未  中村麻美・・・田中美奈子  大河原孝正・・・佐戸井けん太  緒方・・・ヒャダイン  検事・・・飯田基祐  小島・・・小松利昌  キャスター・・・枡田絵理奈脚本・・・宇田学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v>
      </c>
      <c r="N4861" s="2"/>
      <c r="O4861" s="2"/>
      <c r="P4861" s="2"/>
      <c r="Q4861" s="2"/>
      <c r="R4861" s="2"/>
      <c r="S4861" s="2"/>
      <c r="T4861" s="2"/>
      <c r="U4861" s="2"/>
      <c r="V4861" s="2"/>
      <c r="W4861" s="2"/>
      <c r="X4861" s="2"/>
      <c r="Y4861" s="2"/>
      <c r="Z4861" s="2"/>
      <c r="AA4861" s="2"/>
      <c r="AB4861" s="2"/>
      <c r="AC4861" s="2"/>
      <c r="AD4861" s="2"/>
      <c r="AE4861" s="2"/>
      <c r="AF4861" s="2"/>
      <c r="AG4861" s="2"/>
      <c r="AH4861" s="2"/>
      <c r="AI4861" s="2"/>
      <c r="AJ4861" s="2"/>
      <c r="AK4861" s="2"/>
      <c r="AL4861" s="2"/>
      <c r="AM4861" s="2"/>
      <c r="AN4861" s="2"/>
      <c r="AO4861" s="2"/>
      <c r="AP4861" s="2"/>
      <c r="AQ4861" s="2"/>
      <c r="AR4861" s="2"/>
      <c r="AS4861" s="2"/>
      <c r="AT4861" s="2"/>
      <c r="AU4861" s="2"/>
      <c r="AV4861" s="2"/>
      <c r="AW4861" s="2"/>
      <c r="AX4861" s="2"/>
      <c r="AY4861" s="2"/>
      <c r="AZ4861" s="2"/>
      <c r="BA4861" s="2"/>
      <c r="BB4861" s="2"/>
    </row>
    <row r="4862" ht="204.75" customHeight="1">
      <c r="A4862" s="1">
        <v>937.0</v>
      </c>
      <c r="B4862" s="2" t="s">
        <v>13672</v>
      </c>
      <c r="C4862" s="2">
        <f>IFERROR(__xludf.DUMMYFUNCTION("split(B4862,""_"")"),1801.0)</f>
        <v>1801</v>
      </c>
      <c r="D4862" s="2" t="str">
        <f>IFERROR(__xludf.DUMMYFUNCTION("""COMPUTED_VALUE"""),"TBS")</f>
        <v>TBS</v>
      </c>
      <c r="E4862" s="2" t="str">
        <f>IFERROR(__xludf.DUMMYFUNCTION("""COMPUTED_VALUE"""),"日21")</f>
        <v>日21</v>
      </c>
      <c r="F4862" s="2">
        <v>99.9</v>
      </c>
      <c r="G4862" s="2" t="s">
        <v>13694</v>
      </c>
      <c r="H4862" s="1">
        <v>8.0</v>
      </c>
      <c r="J4862" s="1" t="s">
        <v>4</v>
      </c>
      <c r="K4862" s="2" t="s">
        <v>13695</v>
      </c>
      <c r="L4862" s="2" t="s">
        <v>13696</v>
      </c>
      <c r="M4862" s="2" t="str">
        <f>IFERROR(__xludf.DUMMYFUNCTION("split(split(K4862,""【"",false),""公式LINE"",false)"),"選挙を目前に控えた大物政治家・藤堂正彦(佐野史郎)の事務所で毒物による殺人事件が起きた。事務所に送られてきた羊羹を食べた藤堂議員と妻の京子(森口瑤子)、後援会長、第一秘書の上杉の4人のうち、上杉が死亡し、京子は意識不明の重体になった。事件後、羊羹の送り主であるニシカワメッキ社長・西川五郎(おかやまはじめ)は逮捕・起訴されていた。鑑定の結果、羊羹の毒物は、西川の会社が保有するものと一致していた。しかも、西川は新規事業で陳情に行き、断られたという動機まで発覚した。  絶対的に不利な状況の中、別人のように乗り気"&amp;"な佐田(香川照之)。一方、深山(松本潤)はある矛盾に気付き、斑目(岸部一徳)の紹介で毒物鑑定人・沢渡(白井晃)に依頼する。  そんな中、裁判を担当するのが川上(笑福亭鶴瓶)に決まる。そして川上は深山たちの予期せぬ判決を下す深山大翔・・・松本潤  佐田篤弘・・・香川照之  尾崎舞子・・・木村文乃  明石達也・・・片桐仁  藤野宏樹・・・マギー  中塚美麗・・・馬場園梓  落合陽平・・・馬場徹坂東健太・・・池田貴史  加奈子・・・岸井ゆきの    川上憲一郎・・・笑福亭鶴瓶  斑目春彦・・・岸部一徳(8話ゲス"&amp;"ト)  藤堂正彦・・・佐野史郎  藤堂京子・・・森口瑤子  氷室兼次・・・篠井英介  沢渡清志郎・・・白井晃  西川五郎・・・おかやまはじめ  金子源助・・・原金太郎  ゆう実・・・緒方かな子脚本・・・宇田学  トリック監修・・・蒔田光治  音楽・・・井筒昭雄  主題歌・・・「Find The Answer」嵐  　　　　　　(ジェイ・ストーム)  プロデュース・・・瀬戸口克陽  　　　　　　　　　東仲恵吾  演出・・・岡本伸吾◇番組HP  http://www.tbs.co.jp/999tbs/  ◇t"&amp;"witter  @999_2018tbs  https://twitter.com/999_2018tbs  ◇instagram  https://www.instagram.com/999_tbs/  番組の内容と放送時間は変更になる可能性があります。")</f>
        <v>選挙を目前に控えた大物政治家・藤堂正彦(佐野史郎)の事務所で毒物による殺人事件が起きた。事務所に送られてきた羊羹を食べた藤堂議員と妻の京子(森口瑤子)、後援会長、第一秘書の上杉の4人のうち、上杉が死亡し、京子は意識不明の重体になった。事件後、羊羹の送り主であるニシカワメッキ社長・西川五郎(おかやまはじめ)は逮捕・起訴されていた。鑑定の結果、羊羹の毒物は、西川の会社が保有するものと一致していた。しかも、西川は新規事業で陳情に行き、断られたという動機まで発覚した。  絶対的に不利な状況の中、別人のように乗り気な佐田(香川照之)。一方、深山(松本潤)はある矛盾に気付き、斑目(岸部一徳)の紹介で毒物鑑定人・沢渡(白井晃)に依頼する。  そんな中、裁判を担当するのが川上(笑福亭鶴瓶)に決まる。そして川上は深山たちの予期せぬ判決を下す深山大翔・・・松本潤  佐田篤弘・・・香川照之  尾崎舞子・・・木村文乃  明石達也・・・片桐仁  藤野宏樹・・・マギー  中塚美麗・・・馬場園梓  落合陽平・・・馬場徹坂東健太・・・池田貴史  加奈子・・・岸井ゆきの    川上憲一郎・・・笑福亭鶴瓶  斑目春彦・・・岸部一徳(8話ゲスト)  藤堂正彦・・・佐野史郎  藤堂京子・・・森口瑤子  氷室兼次・・・篠井英介  沢渡清志郎・・・白井晃  西川五郎・・・おかやまはじめ  金子源助・・・原金太郎  ゆう実・・・緒方かな子脚本・・・宇田学  トリック監修・・・蒔田光治  音楽・・・井筒昭雄  主題歌・・・「Find The Answer」嵐  　　　　　　(ジェイ・ストーム)  プロデュース・・・瀬戸口克陽  　　　　　　　　　東仲恵吾  演出・・・岡本伸吾◇番組HP  http://www.tbs.co.jp/999tbs/  ◇twitter  @999_2018tbs  https://twitter.com/999_2018tbs  ◇instagram  https://www.instagram.com/999_tbs/  番組の内容と放送時間は変更になる可能性があります。</v>
      </c>
      <c r="N4862" s="2"/>
      <c r="O4862" s="2"/>
      <c r="P4862" s="2"/>
      <c r="Q4862" s="2"/>
      <c r="R4862" s="2"/>
      <c r="S4862" s="2"/>
      <c r="T4862" s="2"/>
      <c r="U4862" s="2"/>
      <c r="V4862" s="2"/>
      <c r="W4862" s="2"/>
      <c r="X4862" s="2"/>
      <c r="Y4862" s="2"/>
      <c r="Z4862" s="2"/>
      <c r="AA4862" s="2"/>
      <c r="AB4862" s="2"/>
      <c r="AC4862" s="2"/>
      <c r="AD4862" s="2"/>
      <c r="AE4862" s="2"/>
      <c r="AF4862" s="2"/>
      <c r="AG4862" s="2"/>
      <c r="AH4862" s="2"/>
      <c r="AI4862" s="2"/>
      <c r="AJ4862" s="2"/>
      <c r="AK4862" s="2"/>
      <c r="AL4862" s="2"/>
      <c r="AM4862" s="2"/>
      <c r="AN4862" s="2"/>
      <c r="AO4862" s="2"/>
      <c r="AP4862" s="2"/>
      <c r="AQ4862" s="2"/>
      <c r="AR4862" s="2"/>
      <c r="AS4862" s="2"/>
      <c r="AT4862" s="2"/>
      <c r="AU4862" s="2"/>
      <c r="AV4862" s="2"/>
      <c r="AW4862" s="2"/>
      <c r="AX4862" s="2"/>
      <c r="AY4862" s="2"/>
      <c r="AZ4862" s="2"/>
      <c r="BA4862" s="2"/>
      <c r="BB4862" s="2"/>
    </row>
    <row r="4863" ht="204.75" customHeight="1">
      <c r="A4863" s="1">
        <v>938.0</v>
      </c>
      <c r="B4863" s="2" t="s">
        <v>13672</v>
      </c>
      <c r="C4863" s="2">
        <f>IFERROR(__xludf.DUMMYFUNCTION("split(B4863,""_"")"),1801.0)</f>
        <v>1801</v>
      </c>
      <c r="D4863" s="2" t="str">
        <f>IFERROR(__xludf.DUMMYFUNCTION("""COMPUTED_VALUE"""),"TBS")</f>
        <v>TBS</v>
      </c>
      <c r="E4863" s="2" t="str">
        <f>IFERROR(__xludf.DUMMYFUNCTION("""COMPUTED_VALUE"""),"日21")</f>
        <v>日21</v>
      </c>
      <c r="F4863" s="2">
        <v>99.9</v>
      </c>
      <c r="G4863" s="2" t="s">
        <v>13697</v>
      </c>
      <c r="H4863" s="1">
        <v>9.0</v>
      </c>
      <c r="J4863" s="1" t="s">
        <v>4</v>
      </c>
      <c r="K4863" s="2" t="s">
        <v>13698</v>
      </c>
      <c r="L4863" s="2" t="s">
        <v>13699</v>
      </c>
      <c r="M4863" s="2" t="str">
        <f>IFERROR(__xludf.DUMMYFUNCTION("split(split(K4863,""【"",false),""公式LINE"",false)"),"深山(松本潤)たちの元に、死刑囚・久世貴弘(小林隆)の再審請求の依頼が来た。  依頼人は、久世の息子・亮平(中島裕翔)。久世は8年前に妻を殺害後、放火したとして死刑判決を受けていた。  亮平は、両親は仲が良く、父が母を殺すわけないと言い切る。深山と舞子(木村文乃)は、かつての自分自身の経験もあり、久世の無実を立証するために調査乗り出す。  しかし、再審請求は「開かずの扉」と呼ばれるだけあり、一度最高裁で結審した判決を覆すことはほぼ不可能に近く、苦戦を強いられる。  しかも、再審請求を審理する裁判官を川上("&amp;"笑福亭鶴瓶)が担当することが決まる。深山達に辛酸をなめさせられ、後がない川上は、建前では公平に審議すると言いつつ、深山たちに無理難題を押し付ける。  佐田(香川照之)はマスコミで世論にアピールすることで、審議を有利に進めようとするが、週刊誌に都合が悪いことを書かれ、亮平たちを激怒させる0.1%の可能性さえも潰されつつある中、深山たちは事実にたどり着き、「開かずの扉」をこじ開けることができるのか!?深山大翔・・・松本潤  佐田篤弘・・・香川照之  尾崎舞子・・・木村文乃  明石達也・・・片桐仁  藤野宏樹・"&amp;"・・マギー  中塚美麗・・・馬場園梓  落合陽平・・・馬場徹  佐田由紀子・・・映美くらら坂東健太・・・池田貴史  加奈子・・・岸井ゆきの    遠藤啓介・・・甲本雅裕  岡田孝範・・・榎木孝明  川上憲一郎・・・笑福亭鶴瓶  斑目春彦・・・岸部一徳(9話ゲスト)  久世亮平・・・中島裕翔  久世貴博・・・小林隆  島津ヤエ・・・根岸季衣  海老沢晋・・・成河  中原銀次・・・山本浩司  久世トキ子・・・茅島成美  久世直美・・・竹内都子内川・・・片桐はいり  稲本・・・須永慶  うどん屋店主・・・高木渉"&amp;"  検事・・・佐伯新  弁護士・・・山口良一脚本・・・宇田学  トリック監修・・・蒔田光治  音楽・・・井筒昭雄  主題歌・・・「Find The Answer」嵐  　　　　　　(ジェイ・ストーム)  プロデュース・・・瀬戸口克陽  　　　　　　　　　東仲恵吾  演出・・・木村ひさし◇番組HP  http://www.tbs.co.jp/999tbs/  ◇twitter  @999_2018tbs  https://twitter.com/999_2018tbs  ◇instagram  https:"&amp;"//www.instagram.com/999_tbs/  番組の内容と放送時間は変更になる可能性があります。")</f>
        <v>深山(松本潤)たちの元に、死刑囚・久世貴弘(小林隆)の再審請求の依頼が来た。  依頼人は、久世の息子・亮平(中島裕翔)。久世は8年前に妻を殺害後、放火したとして死刑判決を受けていた。  亮平は、両親は仲が良く、父が母を殺すわけないと言い切る。深山と舞子(木村文乃)は、かつての自分自身の経験もあり、久世の無実を立証するために調査乗り出す。  しかし、再審請求は「開かずの扉」と呼ばれるだけあり、一度最高裁で結審した判決を覆すことはほぼ不可能に近く、苦戦を強いられる。  しかも、再審請求を審理する裁判官を川上(笑福亭鶴瓶)が担当することが決まる。深山達に辛酸をなめさせられ、後がない川上は、建前では公平に審議すると言いつつ、深山たちに無理難題を押し付ける。  佐田(香川照之)はマスコミで世論にアピールすることで、審議を有利に進めようとするが、週刊誌に都合が悪いことを書かれ、亮平たちを激怒させる0.1%の可能性さえも潰されつつある中、深山たちは事実にたどり着き、「開かずの扉」をこじ開けることができるのか!?深山大翔・・・松本潤  佐田篤弘・・・香川照之  尾崎舞子・・・木村文乃  明石達也・・・片桐仁  藤野宏樹・・・マギー  中塚美麗・・・馬場園梓  落合陽平・・・馬場徹  佐田由紀子・・・映美くらら坂東健太・・・池田貴史  加奈子・・・岸井ゆきの    遠藤啓介・・・甲本雅裕  岡田孝範・・・榎木孝明  川上憲一郎・・・笑福亭鶴瓶  斑目春彦・・・岸部一徳(9話ゲスト)  久世亮平・・・中島裕翔  久世貴博・・・小林隆  島津ヤエ・・・根岸季衣  海老沢晋・・・成河  中原銀次・・・山本浩司  久世トキ子・・・茅島成美  久世直美・・・竹内都子内川・・・片桐はいり  稲本・・・須永慶  うどん屋店主・・・高木渉  検事・・・佐伯新  弁護士・・・山口良一脚本・・・宇田学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v>
      </c>
      <c r="N4863" s="2"/>
      <c r="O4863" s="2"/>
      <c r="P4863" s="2"/>
      <c r="Q4863" s="2"/>
      <c r="R4863" s="2"/>
      <c r="S4863" s="2"/>
      <c r="T4863" s="2"/>
      <c r="U4863" s="2"/>
      <c r="V4863" s="2"/>
      <c r="W4863" s="2"/>
      <c r="X4863" s="2"/>
      <c r="Y4863" s="2"/>
      <c r="Z4863" s="2"/>
      <c r="AA4863" s="2"/>
      <c r="AB4863" s="2"/>
      <c r="AC4863" s="2"/>
      <c r="AD4863" s="2"/>
      <c r="AE4863" s="2"/>
      <c r="AF4863" s="2"/>
      <c r="AG4863" s="2"/>
      <c r="AH4863" s="2"/>
      <c r="AI4863" s="2"/>
      <c r="AJ4863" s="2"/>
      <c r="AK4863" s="2"/>
      <c r="AL4863" s="2"/>
      <c r="AM4863" s="2"/>
      <c r="AN4863" s="2"/>
      <c r="AO4863" s="2"/>
      <c r="AP4863" s="2"/>
      <c r="AQ4863" s="2"/>
      <c r="AR4863" s="2"/>
      <c r="AS4863" s="2"/>
      <c r="AT4863" s="2"/>
      <c r="AU4863" s="2"/>
      <c r="AV4863" s="2"/>
      <c r="AW4863" s="2"/>
      <c r="AX4863" s="2"/>
      <c r="AY4863" s="2"/>
      <c r="AZ4863" s="2"/>
      <c r="BA4863" s="2"/>
      <c r="BB4863" s="2"/>
    </row>
    <row r="4864" ht="204.75" customHeight="1">
      <c r="A4864" s="1">
        <v>969.0</v>
      </c>
      <c r="B4864" s="2" t="s">
        <v>13700</v>
      </c>
      <c r="C4864" s="2">
        <f>IFERROR(__xludf.DUMMYFUNCTION("split(B4864,""_"")"),1710.0)</f>
        <v>1710</v>
      </c>
      <c r="D4864" s="2" t="str">
        <f>IFERROR(__xludf.DUMMYFUNCTION("""COMPUTED_VALUE"""),"TBS")</f>
        <v>TBS</v>
      </c>
      <c r="E4864" s="2" t="str">
        <f>IFERROR(__xludf.DUMMYFUNCTION("""COMPUTED_VALUE"""),"火22")</f>
        <v>火22</v>
      </c>
      <c r="F4864" s="2" t="s">
        <v>13701</v>
      </c>
      <c r="G4864" s="2" t="s">
        <v>13702</v>
      </c>
      <c r="H4864" s="1">
        <v>1.0</v>
      </c>
      <c r="I4864" s="1" t="s">
        <v>2868</v>
      </c>
      <c r="J4864" s="1" t="s">
        <v>82</v>
      </c>
      <c r="K4864" s="2" t="s">
        <v>13703</v>
      </c>
      <c r="L4864" s="2" t="s">
        <v>13704</v>
      </c>
      <c r="M4864" s="2" t="str">
        <f>IFERROR(__xludf.DUMMYFUNCTION("split(split(K4864,""【"",false),""公式LINE"",false)"),"物語はある大企業のイケメン社長の息子を誘拐するところから始まる。誘拐犯は4人のおばさんたち。このおばさんたちは何者なのか、なぜ息子を誘拐したのか、分からないまま。しかし、次第に見え隠れする女たちの目的。実はこのおばさんたちは、前科アリ。そして未だ刑務所で服役している「監獄のお姫さま」の冤罪を晴らすために、このイケメン社長に一世一代の復讐劇を仕掛けたのだった!果たして女たちの計画はうまくいくのか!?小泉今日子、満島ひかり、伊勢谷友介、夏帆、塚本高史、乙葉/池田成志/坂井真紀、森下愛子、菅野美穂　ほか主題歌・"&amp;"安室奈美恵「Show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https://www.facebook.com/pripriTBS"&amp;"/  番組の内容と放送時間は変更になる可能性があります。")</f>
        <v>物語はある大企業のイケメン社長の息子を誘拐するところから始まる。誘拐犯は4人のおばさんたち。このおばさんたちは何者なのか、なぜ息子を誘拐したのか、分からないまま。しかし、次第に見え隠れする女たちの目的。実はこのおばさんたちは、前科アリ。そして未だ刑務所で服役している「監獄のお姫さま」の冤罪を晴らすために、このイケメン社長に一世一代の復讐劇を仕掛けたのだった!果たして女たちの計画はうまくいくのか!?小泉今日子、満島ひかり、伊勢谷友介、夏帆、塚本高史、乙葉/池田成志/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v>
      </c>
      <c r="N4864" s="2"/>
      <c r="O4864" s="2"/>
      <c r="P4864" s="2"/>
      <c r="Q4864" s="2"/>
      <c r="R4864" s="2"/>
      <c r="S4864" s="2"/>
      <c r="T4864" s="2"/>
      <c r="U4864" s="2"/>
      <c r="V4864" s="2"/>
      <c r="W4864" s="2"/>
      <c r="X4864" s="2"/>
      <c r="Y4864" s="2"/>
      <c r="Z4864" s="2"/>
      <c r="AA4864" s="2"/>
      <c r="AB4864" s="2"/>
      <c r="AC4864" s="2"/>
      <c r="AD4864" s="2"/>
      <c r="AE4864" s="2"/>
      <c r="AF4864" s="2"/>
      <c r="AG4864" s="2"/>
      <c r="AH4864" s="2"/>
      <c r="AI4864" s="2"/>
      <c r="AJ4864" s="2"/>
      <c r="AK4864" s="2"/>
      <c r="AL4864" s="2"/>
      <c r="AM4864" s="2"/>
      <c r="AN4864" s="2"/>
      <c r="AO4864" s="2"/>
      <c r="AP4864" s="2"/>
      <c r="AQ4864" s="2"/>
      <c r="AR4864" s="2"/>
      <c r="AS4864" s="2"/>
      <c r="AT4864" s="2"/>
      <c r="AU4864" s="2"/>
      <c r="AV4864" s="2"/>
      <c r="AW4864" s="2"/>
      <c r="AX4864" s="2"/>
      <c r="AY4864" s="2"/>
      <c r="AZ4864" s="2"/>
      <c r="BA4864" s="2"/>
      <c r="BB4864" s="2"/>
    </row>
    <row r="4865" ht="204.75" customHeight="1">
      <c r="A4865" s="1">
        <v>970.0</v>
      </c>
      <c r="B4865" s="2" t="s">
        <v>13700</v>
      </c>
      <c r="C4865" s="2">
        <f>IFERROR(__xludf.DUMMYFUNCTION("split(B4865,""_"")"),1710.0)</f>
        <v>1710</v>
      </c>
      <c r="D4865" s="2" t="str">
        <f>IFERROR(__xludf.DUMMYFUNCTION("""COMPUTED_VALUE"""),"TBS")</f>
        <v>TBS</v>
      </c>
      <c r="E4865" s="2" t="str">
        <f>IFERROR(__xludf.DUMMYFUNCTION("""COMPUTED_VALUE"""),"火22")</f>
        <v>火22</v>
      </c>
      <c r="F4865" s="2" t="s">
        <v>13701</v>
      </c>
      <c r="G4865" s="2" t="s">
        <v>13705</v>
      </c>
      <c r="H4865" s="1">
        <v>2.0</v>
      </c>
      <c r="I4865" s="1" t="s">
        <v>2872</v>
      </c>
      <c r="J4865" s="1" t="s">
        <v>86</v>
      </c>
      <c r="K4865" s="2" t="s">
        <v>13706</v>
      </c>
      <c r="L4865" s="2" t="s">
        <v>13707</v>
      </c>
      <c r="M4865" s="2" t="str">
        <f>IFERROR(__xludf.DUMMYFUNCTION("split(split(K4865,""【"",false),""公式LINE"",false)"),"女たちはなぜイケメン社長を誘拐したのか…。舞台は6年前の女子刑務所に舞い戻る。不倫した夫を激高して刺してしまった馬場カヨ(小泉今日子)は「自立と再生の女子刑務所」に収監された。カヨを担当する若井刑務官(満島ひかり)は、「今日からお前の名前は69番!」と言い放つ。同房の女囚たちも訳アリばかり…。さらに、カヨが崇拝していた経済アナリスト・勝田千夏も同じ刑務所だと分かり、彼女に話しかけるが…。小泉今日子、満島ひかり、伊勢谷友介、夏帆、塚本高史、乙葉、雛形あきこ/池田成志/坂井真紀、森下愛子、菅野美穂　ほか主題歌"&amp;"・安室奈美恵「Show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https://www.facebook.com/pripriT"&amp;"BS/  番組の内容と放送時間は変更になる可能性があります。")</f>
        <v>女たちはなぜイケメン社長を誘拐したのか…。舞台は6年前の女子刑務所に舞い戻る。不倫した夫を激高して刺してしまった馬場カヨ(小泉今日子)は「自立と再生の女子刑務所」に収監された。カヨを担当する若井刑務官(満島ひかり)は、「今日からお前の名前は69番!」と言い放つ。同房の女囚たちも訳アリばかり…。さらに、カヨが崇拝していた経済アナリスト・勝田千夏も同じ刑務所だと分かり、彼女に話しかけるが…。小泉今日子、満島ひかり、伊勢谷友介、夏帆、塚本高史、乙葉、雛形あきこ/池田成志/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v>
      </c>
      <c r="N4865" s="2"/>
      <c r="O4865" s="2"/>
      <c r="P4865" s="2"/>
      <c r="Q4865" s="2"/>
      <c r="R4865" s="2"/>
      <c r="S4865" s="2"/>
      <c r="T4865" s="2"/>
      <c r="U4865" s="2"/>
      <c r="V4865" s="2"/>
      <c r="W4865" s="2"/>
      <c r="X4865" s="2"/>
      <c r="Y4865" s="2"/>
      <c r="Z4865" s="2"/>
      <c r="AA4865" s="2"/>
      <c r="AB4865" s="2"/>
      <c r="AC4865" s="2"/>
      <c r="AD4865" s="2"/>
      <c r="AE4865" s="2"/>
      <c r="AF4865" s="2"/>
      <c r="AG4865" s="2"/>
      <c r="AH4865" s="2"/>
      <c r="AI4865" s="2"/>
      <c r="AJ4865" s="2"/>
      <c r="AK4865" s="2"/>
      <c r="AL4865" s="2"/>
      <c r="AM4865" s="2"/>
      <c r="AN4865" s="2"/>
      <c r="AO4865" s="2"/>
      <c r="AP4865" s="2"/>
      <c r="AQ4865" s="2"/>
      <c r="AR4865" s="2"/>
      <c r="AS4865" s="2"/>
      <c r="AT4865" s="2"/>
      <c r="AU4865" s="2"/>
      <c r="AV4865" s="2"/>
      <c r="AW4865" s="2"/>
      <c r="AX4865" s="2"/>
      <c r="AY4865" s="2"/>
      <c r="AZ4865" s="2"/>
      <c r="BA4865" s="2"/>
      <c r="BB4865" s="2"/>
    </row>
    <row r="4866" ht="204.75" customHeight="1">
      <c r="A4866" s="1">
        <v>971.0</v>
      </c>
      <c r="B4866" s="2" t="s">
        <v>13700</v>
      </c>
      <c r="C4866" s="2">
        <f>IFERROR(__xludf.DUMMYFUNCTION("split(B4866,""_"")"),1710.0)</f>
        <v>1710</v>
      </c>
      <c r="D4866" s="2" t="str">
        <f>IFERROR(__xludf.DUMMYFUNCTION("""COMPUTED_VALUE"""),"TBS")</f>
        <v>TBS</v>
      </c>
      <c r="E4866" s="2" t="str">
        <f>IFERROR(__xludf.DUMMYFUNCTION("""COMPUTED_VALUE"""),"火22")</f>
        <v>火22</v>
      </c>
      <c r="F4866" s="2" t="s">
        <v>13701</v>
      </c>
      <c r="G4866" s="2" t="s">
        <v>13708</v>
      </c>
      <c r="H4866" s="1">
        <v>3.0</v>
      </c>
      <c r="I4866" s="1" t="s">
        <v>2876</v>
      </c>
      <c r="J4866" s="1" t="s">
        <v>86</v>
      </c>
      <c r="K4866" s="2" t="s">
        <v>13709</v>
      </c>
      <c r="L4866" s="2" t="s">
        <v>13710</v>
      </c>
      <c r="M4866" s="2" t="str">
        <f>IFERROR(__xludf.DUMMYFUNCTION("split(split(K4866,""【"",false),""公式LINE"",false)"),"ついに監獄にやってきた爆笑ヨーグルト姫・しのぶ(夏帆)。カヨ(小泉今日子)は、若井(満島ひかり)からしのぶの教育係を言い渡される。他の女囚たちは、しのぶが犯した罪に興味津々。しかし、しのぶは皆に心を開こうとはしない。そんな時、千夏(菅野美穂)がしのぶに近づく。何かを悟ったしのぶは、突如、居室からいなくなる。所内は、しのぶが失踪したと大事件に。やっと見つかったしのぶは、何か秘密を抱えているようで…。小泉今日子、満島ひかり、伊勢谷友介、夏帆、塚本高史、乙葉/池田成志/坂井真紀、森下愛子、菅野美穂　ほか主題歌・"&amp;"安室奈美恵「Show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https://www.facebook.com/pripriT"&amp;"BS/  SMBC日本シリーズ2017　第3戦　DeNA×ソフトバンクの試合状況により、放送時間が変更になる可能性がございます。")</f>
        <v>ついに監獄にやってきた爆笑ヨーグルト姫・しのぶ(夏帆)。カヨ(小泉今日子)は、若井(満島ひかり)からしのぶの教育係を言い渡される。他の女囚たちは、しのぶが犯した罪に興味津々。しかし、しのぶは皆に心を開こうとはしない。そんな時、千夏(菅野美穂)がしのぶに近づく。何かを悟ったしのぶは、突如、居室からいなくなる。所内は、しのぶが失踪したと大事件に。やっと見つかったしのぶは、何か秘密を抱えているようで…。小泉今日子、満島ひかり、伊勢谷友介、夏帆、塚本高史、乙葉/池田成志/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SMBC日本シリーズ2017　第3戦　DeNA×ソフトバンクの試合状況により、放送時間が変更になる可能性がございます。</v>
      </c>
      <c r="N4866" s="2"/>
      <c r="O4866" s="2"/>
      <c r="P4866" s="2"/>
      <c r="Q4866" s="2"/>
      <c r="R4866" s="2"/>
      <c r="S4866" s="2"/>
      <c r="T4866" s="2"/>
      <c r="U4866" s="2"/>
      <c r="V4866" s="2"/>
      <c r="W4866" s="2"/>
      <c r="X4866" s="2"/>
      <c r="Y4866" s="2"/>
      <c r="Z4866" s="2"/>
      <c r="AA4866" s="2"/>
      <c r="AB4866" s="2"/>
      <c r="AC4866" s="2"/>
      <c r="AD4866" s="2"/>
      <c r="AE4866" s="2"/>
      <c r="AF4866" s="2"/>
      <c r="AG4866" s="2"/>
      <c r="AH4866" s="2"/>
      <c r="AI4866" s="2"/>
      <c r="AJ4866" s="2"/>
      <c r="AK4866" s="2"/>
      <c r="AL4866" s="2"/>
      <c r="AM4866" s="2"/>
      <c r="AN4866" s="2"/>
      <c r="AO4866" s="2"/>
      <c r="AP4866" s="2"/>
      <c r="AQ4866" s="2"/>
      <c r="AR4866" s="2"/>
      <c r="AS4866" s="2"/>
      <c r="AT4866" s="2"/>
      <c r="AU4866" s="2"/>
      <c r="AV4866" s="2"/>
      <c r="AW4866" s="2"/>
      <c r="AX4866" s="2"/>
      <c r="AY4866" s="2"/>
      <c r="AZ4866" s="2"/>
      <c r="BA4866" s="2"/>
      <c r="BB4866" s="2"/>
    </row>
    <row r="4867" ht="204.75" customHeight="1">
      <c r="A4867" s="1">
        <v>972.0</v>
      </c>
      <c r="B4867" s="2" t="s">
        <v>13700</v>
      </c>
      <c r="C4867" s="2">
        <f>IFERROR(__xludf.DUMMYFUNCTION("split(B4867,""_"")"),1710.0)</f>
        <v>1710</v>
      </c>
      <c r="D4867" s="2" t="str">
        <f>IFERROR(__xludf.DUMMYFUNCTION("""COMPUTED_VALUE"""),"TBS")</f>
        <v>TBS</v>
      </c>
      <c r="E4867" s="2" t="str">
        <f>IFERROR(__xludf.DUMMYFUNCTION("""COMPUTED_VALUE"""),"火22")</f>
        <v>火22</v>
      </c>
      <c r="F4867" s="2" t="s">
        <v>13701</v>
      </c>
      <c r="G4867" s="2" t="s">
        <v>13711</v>
      </c>
      <c r="H4867" s="1">
        <v>4.0</v>
      </c>
      <c r="I4867" s="1" t="s">
        <v>2880</v>
      </c>
      <c r="J4867" s="1" t="s">
        <v>86</v>
      </c>
      <c r="K4867" s="2" t="s">
        <v>13712</v>
      </c>
      <c r="L4867" s="2" t="s">
        <v>13713</v>
      </c>
      <c r="M4867" s="2" t="str">
        <f>IFERROR(__xludf.DUMMYFUNCTION("split(split(K4867,""【"",false),""公式LINE"",false)"),"しのぶ(夏帆)の妊娠を知ったカヨ(小泉今日子)は、どうしようかと思い悩み、若井(満島ひかり)に伝えようとするが、何度も機会を逃す。そんな時、千夏(菅野美穂)から「あの子は、冤罪だ」と聞く。姫の抱える二つの秘密を知ってしまったカヨは、若井と話すために、懲罰を願い出るが…。そんな時、千夏の父が面会にやって来る。千夏、明美、しのぶ、カヨ…次々と女囚たちの哀しい過去が明らかになっていく…。小泉今日子、満島ひかり、伊勢谷友介、夏帆、塚本高史、乙葉/池田成志/高田純次/ベンガル/坂井真紀、森下愛子、菅野美穂　ほか主題"&amp;"歌・安室奈美恵「Show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https://www.facebook.com/prip"&amp;"riTBS/  番組の内容と放送時間は変更になる可能性があります。")</f>
        <v>しのぶ(夏帆)の妊娠を知ったカヨ(小泉今日子)は、どうしようかと思い悩み、若井(満島ひかり)に伝えようとするが、何度も機会を逃す。そんな時、千夏(菅野美穂)から「あの子は、冤罪だ」と聞く。姫の抱える二つの秘密を知ってしまったカヨは、若井と話すために、懲罰を願い出るが…。そんな時、千夏の父が面会にやって来る。千夏、明美、しのぶ、カヨ…次々と女囚たちの哀しい過去が明らかになっていく…。小泉今日子、満島ひかり、伊勢谷友介、夏帆、塚本高史、乙葉/池田成志/高田純次/ベンガル/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v>
      </c>
      <c r="N4867" s="2"/>
      <c r="O4867" s="2"/>
      <c r="P4867" s="2"/>
      <c r="Q4867" s="2"/>
      <c r="R4867" s="2"/>
      <c r="S4867" s="2"/>
      <c r="T4867" s="2"/>
      <c r="U4867" s="2"/>
      <c r="V4867" s="2"/>
      <c r="W4867" s="2"/>
      <c r="X4867" s="2"/>
      <c r="Y4867" s="2"/>
      <c r="Z4867" s="2"/>
      <c r="AA4867" s="2"/>
      <c r="AB4867" s="2"/>
      <c r="AC4867" s="2"/>
      <c r="AD4867" s="2"/>
      <c r="AE4867" s="2"/>
      <c r="AF4867" s="2"/>
      <c r="AG4867" s="2"/>
      <c r="AH4867" s="2"/>
      <c r="AI4867" s="2"/>
      <c r="AJ4867" s="2"/>
      <c r="AK4867" s="2"/>
      <c r="AL4867" s="2"/>
      <c r="AM4867" s="2"/>
      <c r="AN4867" s="2"/>
      <c r="AO4867" s="2"/>
      <c r="AP4867" s="2"/>
      <c r="AQ4867" s="2"/>
      <c r="AR4867" s="2"/>
      <c r="AS4867" s="2"/>
      <c r="AT4867" s="2"/>
      <c r="AU4867" s="2"/>
      <c r="AV4867" s="2"/>
      <c r="AW4867" s="2"/>
      <c r="AX4867" s="2"/>
      <c r="AY4867" s="2"/>
      <c r="AZ4867" s="2"/>
      <c r="BA4867" s="2"/>
      <c r="BB4867" s="2"/>
    </row>
    <row r="4868" ht="204.75" customHeight="1">
      <c r="A4868" s="1">
        <v>973.0</v>
      </c>
      <c r="B4868" s="2" t="s">
        <v>13700</v>
      </c>
      <c r="C4868" s="2">
        <f>IFERROR(__xludf.DUMMYFUNCTION("split(B4868,""_"")"),1710.0)</f>
        <v>1710</v>
      </c>
      <c r="D4868" s="2" t="str">
        <f>IFERROR(__xludf.DUMMYFUNCTION("""COMPUTED_VALUE"""),"TBS")</f>
        <v>TBS</v>
      </c>
      <c r="E4868" s="2" t="str">
        <f>IFERROR(__xludf.DUMMYFUNCTION("""COMPUTED_VALUE"""),"火22")</f>
        <v>火22</v>
      </c>
      <c r="F4868" s="2" t="s">
        <v>13701</v>
      </c>
      <c r="G4868" s="2" t="s">
        <v>13714</v>
      </c>
      <c r="H4868" s="1">
        <v>5.0</v>
      </c>
      <c r="I4868" s="1" t="s">
        <v>2884</v>
      </c>
      <c r="J4868" s="1" t="s">
        <v>86</v>
      </c>
      <c r="K4868" s="2" t="s">
        <v>13715</v>
      </c>
      <c r="L4868" s="2" t="s">
        <v>13716</v>
      </c>
      <c r="M4868" s="2" t="str">
        <f>IFERROR(__xludf.DUMMYFUNCTION("split(split(K4868,""【"",false),""公式LINE"",false)"),"ついにしのぶの赤ちゃんが無事に産まれる。元気な男の子は、「勇介」と名づけられ、刑務所で育てられる最長の期間、1歳半までここで育てることになる。カヨたちの獄中での育児が始まった。しのぶは、1歳半を過ぎたら勇介を施設に預けることを薦められるが、母親に真実を全て話し、自分が出所するまで預かってもらうことを決心する。そして、お迎えの日がやってくる…。爆笑ヨーグルト姫事件の真実が次第に明らかになっていく。小泉今日子、満島ひかり、伊勢谷友介、夏帆、塚本高史、乙葉/池田成志/高田純次/ベンガル/坂井真紀、森下愛子、菅野"&amp;"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https://www.facebook.com/"&amp;"pripriTBS/  番組の内容と放送時間は変更になる可能性があります。")</f>
        <v>ついにしのぶの赤ちゃんが無事に産まれる。元気な男の子は、「勇介」と名づけられ、刑務所で育てられる最長の期間、1歳半までここで育てることになる。カヨたちの獄中での育児が始まった。しのぶは、1歳半を過ぎたら勇介を施設に預けることを薦められるが、母親に真実を全て話し、自分が出所するまで預かってもらうことを決心する。そして、お迎えの日がやってくる…。爆笑ヨーグルト姫事件の真実が次第に明らかになっていく。小泉今日子、満島ひかり、伊勢谷友介、夏帆、塚本高史、乙葉/池田成志/高田純次/ベンガル/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v>
      </c>
      <c r="N4868" s="2"/>
      <c r="O4868" s="2"/>
      <c r="P4868" s="2"/>
      <c r="Q4868" s="2"/>
      <c r="R4868" s="2"/>
      <c r="S4868" s="2"/>
      <c r="T4868" s="2"/>
      <c r="U4868" s="2"/>
      <c r="V4868" s="2"/>
      <c r="W4868" s="2"/>
      <c r="X4868" s="2"/>
      <c r="Y4868" s="2"/>
      <c r="Z4868" s="2"/>
      <c r="AA4868" s="2"/>
      <c r="AB4868" s="2"/>
      <c r="AC4868" s="2"/>
      <c r="AD4868" s="2"/>
      <c r="AE4868" s="2"/>
      <c r="AF4868" s="2"/>
      <c r="AG4868" s="2"/>
      <c r="AH4868" s="2"/>
      <c r="AI4868" s="2"/>
      <c r="AJ4868" s="2"/>
      <c r="AK4868" s="2"/>
      <c r="AL4868" s="2"/>
      <c r="AM4868" s="2"/>
      <c r="AN4868" s="2"/>
      <c r="AO4868" s="2"/>
      <c r="AP4868" s="2"/>
      <c r="AQ4868" s="2"/>
      <c r="AR4868" s="2"/>
      <c r="AS4868" s="2"/>
      <c r="AT4868" s="2"/>
      <c r="AU4868" s="2"/>
      <c r="AV4868" s="2"/>
      <c r="AW4868" s="2"/>
      <c r="AX4868" s="2"/>
      <c r="AY4868" s="2"/>
      <c r="AZ4868" s="2"/>
      <c r="BA4868" s="2"/>
      <c r="BB4868" s="2"/>
    </row>
    <row r="4869" ht="204.75" customHeight="1">
      <c r="A4869" s="1">
        <v>974.0</v>
      </c>
      <c r="B4869" s="2" t="s">
        <v>13700</v>
      </c>
      <c r="C4869" s="2">
        <f>IFERROR(__xludf.DUMMYFUNCTION("split(B4869,""_"")"),1710.0)</f>
        <v>1710</v>
      </c>
      <c r="D4869" s="2" t="str">
        <f>IFERROR(__xludf.DUMMYFUNCTION("""COMPUTED_VALUE"""),"TBS")</f>
        <v>TBS</v>
      </c>
      <c r="E4869" s="2" t="str">
        <f>IFERROR(__xludf.DUMMYFUNCTION("""COMPUTED_VALUE"""),"火22")</f>
        <v>火22</v>
      </c>
      <c r="F4869" s="2" t="s">
        <v>13701</v>
      </c>
      <c r="G4869" s="2" t="s">
        <v>13717</v>
      </c>
      <c r="H4869" s="1">
        <v>6.0</v>
      </c>
      <c r="I4869" s="1" t="s">
        <v>2888</v>
      </c>
      <c r="J4869" s="1" t="s">
        <v>86</v>
      </c>
      <c r="K4869" s="2" t="s">
        <v>13718</v>
      </c>
      <c r="L4869" s="2" t="s">
        <v>13719</v>
      </c>
      <c r="M4869" s="2" t="str">
        <f>IFERROR(__xludf.DUMMYFUNCTION("split(split(K4869,""【"",false),""公式LINE"",false)"),"勇介を吾郎に連れて行かれてから、カヨ(小泉今日子)たち6号室の面々は勇介ロスに陥る。若井(満島ひかり)でさえも、勇介ロス。そして、勇介を失ってからすっかり元気を無くしたしのぶ(夏帆)を元気付けようとカヨたちは奮闘するが、空回り。そんな時、千夏(菅野美穂)は、勇介が吾郎の新しい恋人の晴海(乙葉)のもとで育てられていることを知る。怒りを覚える女囚たち。そんなとき、刑務所内で慰問コンサートが開かれる。小泉今日子、満島ひかり、伊勢谷友介、夏帆、塚本高史、乙葉、あびる優/池田成志/前川清/坂井真紀、森下愛子、菅野美"&amp;"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https://www.facebook.com/p"&amp;"ripriTBS/  番組の内容と放送時間は変更になる可能性があります。")</f>
        <v>勇介を吾郎に連れて行かれてから、カヨ(小泉今日子)たち6号室の面々は勇介ロスに陥る。若井(満島ひかり)でさえも、勇介ロス。そして、勇介を失ってからすっかり元気を無くしたしのぶ(夏帆)を元気付けようとカヨたちは奮闘するが、空回り。そんな時、千夏(菅野美穂)は、勇介が吾郎の新しい恋人の晴海(乙葉)のもとで育てられていることを知る。怒りを覚える女囚たち。そんなとき、刑務所内で慰問コンサートが開かれる。小泉今日子、満島ひかり、伊勢谷友介、夏帆、塚本高史、乙葉、あびる優/池田成志/前川清/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v>
      </c>
      <c r="N4869" s="2"/>
      <c r="O4869" s="2"/>
      <c r="P4869" s="2"/>
      <c r="Q4869" s="2"/>
      <c r="R4869" s="2"/>
      <c r="S4869" s="2"/>
      <c r="T4869" s="2"/>
      <c r="U4869" s="2"/>
      <c r="V4869" s="2"/>
      <c r="W4869" s="2"/>
      <c r="X4869" s="2"/>
      <c r="Y4869" s="2"/>
      <c r="Z4869" s="2"/>
      <c r="AA4869" s="2"/>
      <c r="AB4869" s="2"/>
      <c r="AC4869" s="2"/>
      <c r="AD4869" s="2"/>
      <c r="AE4869" s="2"/>
      <c r="AF4869" s="2"/>
      <c r="AG4869" s="2"/>
      <c r="AH4869" s="2"/>
      <c r="AI4869" s="2"/>
      <c r="AJ4869" s="2"/>
      <c r="AK4869" s="2"/>
      <c r="AL4869" s="2"/>
      <c r="AM4869" s="2"/>
      <c r="AN4869" s="2"/>
      <c r="AO4869" s="2"/>
      <c r="AP4869" s="2"/>
      <c r="AQ4869" s="2"/>
      <c r="AR4869" s="2"/>
      <c r="AS4869" s="2"/>
      <c r="AT4869" s="2"/>
      <c r="AU4869" s="2"/>
      <c r="AV4869" s="2"/>
      <c r="AW4869" s="2"/>
      <c r="AX4869" s="2"/>
      <c r="AY4869" s="2"/>
      <c r="AZ4869" s="2"/>
      <c r="BA4869" s="2"/>
      <c r="BB4869" s="2"/>
    </row>
    <row r="4870" ht="204.75" customHeight="1">
      <c r="A4870" s="1">
        <v>975.0</v>
      </c>
      <c r="B4870" s="2" t="s">
        <v>13700</v>
      </c>
      <c r="C4870" s="2">
        <f>IFERROR(__xludf.DUMMYFUNCTION("split(B4870,""_"")"),1710.0)</f>
        <v>1710</v>
      </c>
      <c r="D4870" s="2" t="str">
        <f>IFERROR(__xludf.DUMMYFUNCTION("""COMPUTED_VALUE"""),"TBS")</f>
        <v>TBS</v>
      </c>
      <c r="E4870" s="2" t="str">
        <f>IFERROR(__xludf.DUMMYFUNCTION("""COMPUTED_VALUE"""),"火22")</f>
        <v>火22</v>
      </c>
      <c r="F4870" s="2" t="s">
        <v>13701</v>
      </c>
      <c r="G4870" s="2" t="s">
        <v>13720</v>
      </c>
      <c r="H4870" s="1">
        <v>7.0</v>
      </c>
      <c r="I4870" s="1" t="s">
        <v>2892</v>
      </c>
      <c r="J4870" s="1" t="s">
        <v>86</v>
      </c>
      <c r="K4870" s="2" t="s">
        <v>13721</v>
      </c>
      <c r="L4870" s="2" t="s">
        <v>13722</v>
      </c>
      <c r="M4870" s="2" t="str">
        <f>IFERROR(__xludf.DUMMYFUNCTION("split(split(K4870,""【"",false),""公式LINE"",false)"),"板橋吾郎(伊勢谷)への復讐を誓い合ったカヨ(小泉今日子)たちは、所内生活でも時間を見つければ、どうやって復讐をするかの話し合いをする。しかし、その内容は落とし穴を掘るなど、とんちんかんな計画ばかり。そんな女囚たちの動きを不審に思った若井(満島)は、カヨが書き溜めている「復讐ノート」を発見してしまう。果たして、カヨたちの計画の行方は…。そして現在のガレージでも、千夏が吾郎のハニートラップに…!?  小泉今日子、満島ひかり、伊勢谷友介、夏帆、塚本高史、乙葉、あびる優/池田成志/坂井真紀、森下愛子、菅野美穂　ほ"&amp;"か主題歌・安室奈美恵「Show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https://www.facebook.com/prip"&amp;"riTBS/  番組の内容と放送時間は変更になる可能性があります。")</f>
        <v>板橋吾郎(伊勢谷)への復讐を誓い合ったカヨ(小泉今日子)たちは、所内生活でも時間を見つければ、どうやって復讐をするかの話し合いをする。しかし、その内容は落とし穴を掘るなど、とんちんかんな計画ばかり。そんな女囚たちの動きを不審に思った若井(満島)は、カヨが書き溜めている「復讐ノート」を発見してしまう。果たして、カヨたちの計画の行方は…。そして現在のガレージでも、千夏が吾郎のハニートラップに…!?  小泉今日子、満島ひかり、伊勢谷友介、夏帆、塚本高史、乙葉、あびる優/池田成志/坂井真紀、森下愛子、菅野美穂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v>
      </c>
      <c r="N4870" s="2"/>
      <c r="O4870" s="2"/>
      <c r="P4870" s="2"/>
      <c r="Q4870" s="2"/>
      <c r="R4870" s="2"/>
      <c r="S4870" s="2"/>
      <c r="T4870" s="2"/>
      <c r="U4870" s="2"/>
      <c r="V4870" s="2"/>
      <c r="W4870" s="2"/>
      <c r="X4870" s="2"/>
      <c r="Y4870" s="2"/>
      <c r="Z4870" s="2"/>
      <c r="AA4870" s="2"/>
      <c r="AB4870" s="2"/>
      <c r="AC4870" s="2"/>
      <c r="AD4870" s="2"/>
      <c r="AE4870" s="2"/>
      <c r="AF4870" s="2"/>
      <c r="AG4870" s="2"/>
      <c r="AH4870" s="2"/>
      <c r="AI4870" s="2"/>
      <c r="AJ4870" s="2"/>
      <c r="AK4870" s="2"/>
      <c r="AL4870" s="2"/>
      <c r="AM4870" s="2"/>
      <c r="AN4870" s="2"/>
      <c r="AO4870" s="2"/>
      <c r="AP4870" s="2"/>
      <c r="AQ4870" s="2"/>
      <c r="AR4870" s="2"/>
      <c r="AS4870" s="2"/>
      <c r="AT4870" s="2"/>
      <c r="AU4870" s="2"/>
      <c r="AV4870" s="2"/>
      <c r="AW4870" s="2"/>
      <c r="AX4870" s="2"/>
      <c r="AY4870" s="2"/>
      <c r="AZ4870" s="2"/>
      <c r="BA4870" s="2"/>
      <c r="BB4870" s="2"/>
    </row>
    <row r="4871" ht="204.75" customHeight="1">
      <c r="A4871" s="1">
        <v>976.0</v>
      </c>
      <c r="B4871" s="2" t="s">
        <v>13700</v>
      </c>
      <c r="C4871" s="2">
        <f>IFERROR(__xludf.DUMMYFUNCTION("split(B4871,""_"")"),1710.0)</f>
        <v>1710</v>
      </c>
      <c r="D4871" s="2" t="str">
        <f>IFERROR(__xludf.DUMMYFUNCTION("""COMPUTED_VALUE"""),"TBS")</f>
        <v>TBS</v>
      </c>
      <c r="E4871" s="2" t="str">
        <f>IFERROR(__xludf.DUMMYFUNCTION("""COMPUTED_VALUE"""),"火22")</f>
        <v>火22</v>
      </c>
      <c r="F4871" s="2" t="s">
        <v>13701</v>
      </c>
      <c r="G4871" s="2" t="s">
        <v>13723</v>
      </c>
      <c r="H4871" s="1">
        <v>8.0</v>
      </c>
      <c r="I4871" s="1" t="s">
        <v>2896</v>
      </c>
      <c r="J4871" s="1" t="s">
        <v>86</v>
      </c>
      <c r="K4871" s="2" t="s">
        <v>13724</v>
      </c>
      <c r="L4871" s="2" t="s">
        <v>13725</v>
      </c>
      <c r="M4871" s="2" t="str">
        <f>IFERROR(__xludf.DUMMYFUNCTION("split(split(K4871,""【"",false),""公式LINE"",false)"),"美容師国家試験に合格し、長谷川(塚本高史)との獄中交際も順調なカヨ(小泉今日子)だったが、復讐ノートが若井(満島ひかり)に見つかってしまい、懲罰房に入れられてしまう。「雑魚にだっておばさんにだって正義はある」と主張するカヨだったが、外に出たらそんなもの忘れてしまうと諭される。一方、現代のガレージでは千夏(菅野美穂)が吾郎(伊勢谷)にハニートラップをしかけ、。さらに若井も晴海(乙葉)を連れていて…。小泉今日子、満島ひかり、伊勢谷友介、夏帆、塚本高史、乙葉、あびる優/池田成志/坂井真紀、森下愛子、菅野美穂　ほ"&amp;"か主題歌・安室奈美恵「Show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https://www.facebook.com/prip"&amp;"riTBS/  番組の内容と放送時間は変更になる可能性があります。")</f>
        <v>美容師国家試験に合格し、長谷川(塚本高史)との獄中交際も順調なカヨ(小泉今日子)だったが、復讐ノートが若井(満島ひかり)に見つかってしまい、懲罰房に入れられてしまう。「雑魚にだっておばさんにだって正義はある」と主張するカヨだったが、外に出たらそんなもの忘れてしまうと諭される。一方、現代のガレージでは千夏(菅野美穂)が吾郎(伊勢谷)にハニートラップをしかけ、。さらに若井も晴海(乙葉)を連れていて…。小泉今日子、満島ひかり、伊勢谷友介、夏帆、塚本高史、乙葉、あびる優/池田成志/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v>
      </c>
      <c r="N4871" s="2"/>
      <c r="O4871" s="2"/>
      <c r="P4871" s="2"/>
      <c r="Q4871" s="2"/>
      <c r="R4871" s="2"/>
      <c r="S4871" s="2"/>
      <c r="T4871" s="2"/>
      <c r="U4871" s="2"/>
      <c r="V4871" s="2"/>
      <c r="W4871" s="2"/>
      <c r="X4871" s="2"/>
      <c r="Y4871" s="2"/>
      <c r="Z4871" s="2"/>
      <c r="AA4871" s="2"/>
      <c r="AB4871" s="2"/>
      <c r="AC4871" s="2"/>
      <c r="AD4871" s="2"/>
      <c r="AE4871" s="2"/>
      <c r="AF4871" s="2"/>
      <c r="AG4871" s="2"/>
      <c r="AH4871" s="2"/>
      <c r="AI4871" s="2"/>
      <c r="AJ4871" s="2"/>
      <c r="AK4871" s="2"/>
      <c r="AL4871" s="2"/>
      <c r="AM4871" s="2"/>
      <c r="AN4871" s="2"/>
      <c r="AO4871" s="2"/>
      <c r="AP4871" s="2"/>
      <c r="AQ4871" s="2"/>
      <c r="AR4871" s="2"/>
      <c r="AS4871" s="2"/>
      <c r="AT4871" s="2"/>
      <c r="AU4871" s="2"/>
      <c r="AV4871" s="2"/>
      <c r="AW4871" s="2"/>
      <c r="AX4871" s="2"/>
      <c r="AY4871" s="2"/>
      <c r="AZ4871" s="2"/>
      <c r="BA4871" s="2"/>
      <c r="BB4871" s="2"/>
    </row>
    <row r="4872" ht="204.75" customHeight="1">
      <c r="A4872" s="1">
        <v>977.0</v>
      </c>
      <c r="B4872" s="2" t="s">
        <v>13700</v>
      </c>
      <c r="C4872" s="2">
        <f>IFERROR(__xludf.DUMMYFUNCTION("split(B4872,""_"")"),1710.0)</f>
        <v>1710</v>
      </c>
      <c r="D4872" s="2" t="str">
        <f>IFERROR(__xludf.DUMMYFUNCTION("""COMPUTED_VALUE"""),"TBS")</f>
        <v>TBS</v>
      </c>
      <c r="E4872" s="2" t="str">
        <f>IFERROR(__xludf.DUMMYFUNCTION("""COMPUTED_VALUE"""),"火22")</f>
        <v>火22</v>
      </c>
      <c r="F4872" s="2" t="s">
        <v>13701</v>
      </c>
      <c r="G4872" s="2" t="s">
        <v>13726</v>
      </c>
      <c r="H4872" s="1">
        <v>9.0</v>
      </c>
      <c r="I4872" s="1" t="s">
        <v>2900</v>
      </c>
      <c r="J4872" s="1" t="s">
        <v>86</v>
      </c>
      <c r="K4872" s="2" t="s">
        <v>13727</v>
      </c>
      <c r="L4872" s="2" t="s">
        <v>13728</v>
      </c>
      <c r="M4872" s="2" t="str">
        <f>IFERROR(__xludf.DUMMYFUNCTION("split(split(K4872,""【"",false),""公式LINE"",false)"),"カヨ(小泉今日子)が出所して、一人監獄に残された姫(夏帆)。寂しさを隠し、けなげにふるまう姫を見て、若井(満島ひかり)は、姫に勇介を会わせてあげようと尽力する。しかし、その行動が裏目に出てしまい…。一方、現代のガレージでは、晴海(乙葉)も加わって、吾郎に罪を認めさせるプレ裁判を行っていた。千夏の名演技で吾郎がついに陥落か…!?と思ったその時、思いよらない人物が登場する!衝撃の最終章開幕!!  小泉今日子、満島ひかり、伊勢谷友介、夏帆、塚本高史、乙葉、あびる優/池田成志/高田純次/尾美としのり/満島真之介/"&amp;"坂井真紀、森下愛子、菅野美穂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https://www.f"&amp;"acebook.com/pripriTBS/  番組の内容と放送時間は変更になる可能性があります。")</f>
        <v>カヨ(小泉今日子)が出所して、一人監獄に残された姫(夏帆)。寂しさを隠し、けなげにふるまう姫を見て、若井(満島ひかり)は、姫に勇介を会わせてあげようと尽力する。しかし、その行動が裏目に出てしまい…。一方、現代のガレージでは、晴海(乙葉)も加わって、吾郎に罪を認めさせるプレ裁判を行っていた。千夏の名演技で吾郎がついに陥落か…!?と思ったその時、思いよらない人物が登場する!衝撃の最終章開幕!!  小泉今日子、満島ひかり、伊勢谷友介、夏帆、塚本高史、乙葉、あびる優/池田成志/高田純次/尾美としのり/満島真之介/坂井真紀、森下愛子、菅野美穂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v>
      </c>
      <c r="N4872" s="2"/>
      <c r="O4872" s="2"/>
      <c r="P4872" s="2"/>
      <c r="Q4872" s="2"/>
      <c r="R4872" s="2"/>
      <c r="S4872" s="2"/>
      <c r="T4872" s="2"/>
      <c r="U4872" s="2"/>
      <c r="V4872" s="2"/>
      <c r="W4872" s="2"/>
      <c r="X4872" s="2"/>
      <c r="Y4872" s="2"/>
      <c r="Z4872" s="2"/>
      <c r="AA4872" s="2"/>
      <c r="AB4872" s="2"/>
      <c r="AC4872" s="2"/>
      <c r="AD4872" s="2"/>
      <c r="AE4872" s="2"/>
      <c r="AF4872" s="2"/>
      <c r="AG4872" s="2"/>
      <c r="AH4872" s="2"/>
      <c r="AI4872" s="2"/>
      <c r="AJ4872" s="2"/>
      <c r="AK4872" s="2"/>
      <c r="AL4872" s="2"/>
      <c r="AM4872" s="2"/>
      <c r="AN4872" s="2"/>
      <c r="AO4872" s="2"/>
      <c r="AP4872" s="2"/>
      <c r="AQ4872" s="2"/>
      <c r="AR4872" s="2"/>
      <c r="AS4872" s="2"/>
      <c r="AT4872" s="2"/>
      <c r="AU4872" s="2"/>
      <c r="AV4872" s="2"/>
      <c r="AW4872" s="2"/>
      <c r="AX4872" s="2"/>
      <c r="AY4872" s="2"/>
      <c r="AZ4872" s="2"/>
      <c r="BA4872" s="2"/>
      <c r="BB4872" s="2"/>
    </row>
    <row r="4873" ht="204.75" customHeight="1">
      <c r="A4873" s="1">
        <v>978.0</v>
      </c>
      <c r="B4873" s="2" t="s">
        <v>13700</v>
      </c>
      <c r="C4873" s="2">
        <f>IFERROR(__xludf.DUMMYFUNCTION("split(B4873,""_"")"),1710.0)</f>
        <v>1710</v>
      </c>
      <c r="D4873" s="2" t="str">
        <f>IFERROR(__xludf.DUMMYFUNCTION("""COMPUTED_VALUE"""),"TBS")</f>
        <v>TBS</v>
      </c>
      <c r="E4873" s="2" t="str">
        <f>IFERROR(__xludf.DUMMYFUNCTION("""COMPUTED_VALUE"""),"火22")</f>
        <v>火22</v>
      </c>
      <c r="F4873" s="2" t="s">
        <v>13701</v>
      </c>
      <c r="G4873" s="2" t="s">
        <v>13729</v>
      </c>
      <c r="H4873" s="1">
        <v>10.0</v>
      </c>
      <c r="I4873" s="1" t="s">
        <v>37</v>
      </c>
      <c r="J4873" s="1" t="s">
        <v>86</v>
      </c>
      <c r="K4873" s="2" t="s">
        <v>13730</v>
      </c>
      <c r="L4873" s="2" t="s">
        <v>13731</v>
      </c>
      <c r="M4873" s="2" t="str">
        <f>IFERROR(__xludf.DUMMYFUNCTION("split(split(K4873,""【"",false),""公式LINE"",false)"),"実行犯とされるタイ人プリンスの証言を取ろうとするカヨ(小泉)たち。一方、長谷川(塚本)は事件のあった沖縄で新たな真実を発見する!事態は急展開するかと思いきや、カヨたちは警察に拘束されてしまう。果たして、おばさんたちの正義の行き着く先は…。姫の運命は?おばさんたちの復讐劇ついに閉幕!!衝撃の最終回を見逃さないでください!!  小泉今日子、満島ひかり、伊勢谷友介、夏帆、塚本高史、乙葉/池田成志/尾美としのり/坂井真紀、森下愛子、菅野美穂　ほか主題歌・安室奈美恵「Show time」  演出:金子文紀、福田亮介"&amp;"、坪井敏雄、渡瀬暁彦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f>
        <v>実行犯とされるタイ人プリンスの証言を取ろうとするカヨ(小泉)たち。一方、長谷川(塚本)は事件のあった沖縄で新たな真実を発見する!事態は急展開するかと思いきや、カヨたちは警察に拘束されてしまう。果たして、おばさんたちの正義の行き着く先は…。姫の運命は?おばさんたちの復讐劇ついに閉幕!!衝撃の最終回を見逃さないでください!!  小泉今日子、満島ひかり、伊勢谷友介、夏帆、塚本高史、乙葉/池田成志/尾美としのり/坂井真紀、森下愛子、菅野美穂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v>
      </c>
      <c r="N4873" s="2"/>
      <c r="O4873" s="2"/>
      <c r="P4873" s="2"/>
      <c r="Q4873" s="2"/>
      <c r="R4873" s="2"/>
      <c r="S4873" s="2"/>
      <c r="T4873" s="2"/>
      <c r="U4873" s="2"/>
      <c r="V4873" s="2"/>
      <c r="W4873" s="2"/>
      <c r="X4873" s="2"/>
      <c r="Y4873" s="2"/>
      <c r="Z4873" s="2"/>
      <c r="AA4873" s="2"/>
      <c r="AB4873" s="2"/>
      <c r="AC4873" s="2"/>
      <c r="AD4873" s="2"/>
      <c r="AE4873" s="2"/>
      <c r="AF4873" s="2"/>
      <c r="AG4873" s="2"/>
      <c r="AH4873" s="2"/>
      <c r="AI4873" s="2"/>
      <c r="AJ4873" s="2"/>
      <c r="AK4873" s="2"/>
      <c r="AL4873" s="2"/>
      <c r="AM4873" s="2"/>
      <c r="AN4873" s="2"/>
      <c r="AO4873" s="2"/>
      <c r="AP4873" s="2"/>
      <c r="AQ4873" s="2"/>
      <c r="AR4873" s="2"/>
      <c r="AS4873" s="2"/>
      <c r="AT4873" s="2"/>
      <c r="AU4873" s="2"/>
      <c r="AV4873" s="2"/>
      <c r="AW4873" s="2"/>
      <c r="AX4873" s="2"/>
      <c r="AY4873" s="2"/>
      <c r="AZ4873" s="2"/>
      <c r="BA4873" s="2"/>
      <c r="BB4873" s="2"/>
    </row>
    <row r="4874" ht="204.75" customHeight="1">
      <c r="A4874" s="1">
        <v>1018.0</v>
      </c>
      <c r="B4874" s="2" t="s">
        <v>13732</v>
      </c>
      <c r="C4874" s="2">
        <f>IFERROR(__xludf.DUMMYFUNCTION("split(B4874,""_"")"),1710.0)</f>
        <v>1710</v>
      </c>
      <c r="D4874" s="2" t="str">
        <f>IFERROR(__xludf.DUMMYFUNCTION("""COMPUTED_VALUE"""),"TBS")</f>
        <v>TBS</v>
      </c>
      <c r="E4874" s="2" t="str">
        <f>IFERROR(__xludf.DUMMYFUNCTION("""COMPUTED_VALUE"""),"金22")</f>
        <v>金22</v>
      </c>
      <c r="F4874" s="2" t="s">
        <v>13733</v>
      </c>
      <c r="G4874" s="2" t="s">
        <v>13734</v>
      </c>
      <c r="H4874" s="1">
        <v>1.0</v>
      </c>
      <c r="J4874" s="1" t="s">
        <v>82</v>
      </c>
      <c r="K4874" s="2" t="s">
        <v>13735</v>
      </c>
      <c r="L4874" s="2" t="s">
        <v>13736</v>
      </c>
      <c r="M4874" s="2" t="str">
        <f>IFERROR(__xludf.DUMMYFUNCTION("split(split(K4874,""【"",false),""公式LINE"",false)"),"あれから時が経ち、産科医・鴻鳥サクラ(綾野剛)はかつての恩師・荻島(佐々木蔵之介)がいる離島にいた。小学校を訪れていたサクラの前で、妊婦が突然倒れる。サクラと荻島はドクターヘリを呼び、対応するが・・・。一方、ペルソナ病院にも、急患の妊婦が救急搬送されてくる。産科医・四宮(星野源)と下屋(松岡茉優)を中心に、緊急手術に臨む。そんな中、サクラの前に耳が聞こえない妊婦の早見マナ(志田未来)が現れる。綾野剛、松岡茉優、吉田羊、坂口健太郎、星野源、大森南朋  佐々木蔵之介、志田未来、高橋メアリージュン、ナオト・イン"&amp;"ティライミ、泉澤祐希、松本穂香、菅原大吉、安藤輪子、毎熊克哉主題歌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@ko"&amp;"unodori_tbs    https://twitter.com/kounodori_tbs    ◇フェイスブック  https://www.facebook.com/kounodori.tbs/番組の内容と放送時間は変更になる可能性があります。")</f>
        <v>あれから時が経ち、産科医・鴻鳥サクラ(綾野剛)はかつての恩師・荻島(佐々木蔵之介)がいる離島にいた。小学校を訪れていたサクラの前で、妊婦が突然倒れる。サクラと荻島はドクターヘリを呼び、対応するが・・・。一方、ペルソナ病院にも、急患の妊婦が救急搬送されてくる。産科医・四宮(星野源)と下屋(松岡茉優)を中心に、緊急手術に臨む。そんな中、サクラの前に耳が聞こえない妊婦の早見マナ(志田未来)が現れる。綾野剛、松岡茉優、吉田羊、坂口健太郎、星野源、大森南朋  佐々木蔵之介、志田未来、高橋メアリージュン、ナオト・インティライミ、泉澤祐希、松本穂香、菅原大吉、安藤輪子、毎熊克哉主題歌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v>
      </c>
      <c r="N4874" s="2"/>
      <c r="O4874" s="2"/>
      <c r="P4874" s="2"/>
      <c r="Q4874" s="2"/>
      <c r="R4874" s="2"/>
      <c r="S4874" s="2"/>
      <c r="T4874" s="2"/>
      <c r="U4874" s="2"/>
      <c r="V4874" s="2"/>
      <c r="W4874" s="2"/>
      <c r="X4874" s="2"/>
      <c r="Y4874" s="2"/>
      <c r="Z4874" s="2"/>
      <c r="AA4874" s="2"/>
      <c r="AB4874" s="2"/>
      <c r="AC4874" s="2"/>
      <c r="AD4874" s="2"/>
      <c r="AE4874" s="2"/>
      <c r="AF4874" s="2"/>
      <c r="AG4874" s="2"/>
      <c r="AH4874" s="2"/>
      <c r="AI4874" s="2"/>
      <c r="AJ4874" s="2"/>
      <c r="AK4874" s="2"/>
      <c r="AL4874" s="2"/>
      <c r="AM4874" s="2"/>
      <c r="AN4874" s="2"/>
      <c r="AO4874" s="2"/>
      <c r="AP4874" s="2"/>
      <c r="AQ4874" s="2"/>
      <c r="AR4874" s="2"/>
      <c r="AS4874" s="2"/>
      <c r="AT4874" s="2"/>
      <c r="AU4874" s="2"/>
      <c r="AV4874" s="2"/>
      <c r="AW4874" s="2"/>
      <c r="AX4874" s="2"/>
      <c r="AY4874" s="2"/>
      <c r="AZ4874" s="2"/>
      <c r="BA4874" s="2"/>
      <c r="BB4874" s="2"/>
    </row>
    <row r="4875" ht="204.75" customHeight="1">
      <c r="A4875" s="1">
        <v>1019.0</v>
      </c>
      <c r="B4875" s="2" t="s">
        <v>13732</v>
      </c>
      <c r="C4875" s="2">
        <f>IFERROR(__xludf.DUMMYFUNCTION("split(B4875,""_"")"),1710.0)</f>
        <v>1710</v>
      </c>
      <c r="D4875" s="2" t="str">
        <f>IFERROR(__xludf.DUMMYFUNCTION("""COMPUTED_VALUE"""),"TBS")</f>
        <v>TBS</v>
      </c>
      <c r="E4875" s="2" t="str">
        <f>IFERROR(__xludf.DUMMYFUNCTION("""COMPUTED_VALUE"""),"金22")</f>
        <v>金22</v>
      </c>
      <c r="F4875" s="2" t="s">
        <v>13733</v>
      </c>
      <c r="G4875" s="2" t="s">
        <v>13737</v>
      </c>
      <c r="H4875" s="1">
        <v>2.0</v>
      </c>
      <c r="J4875" s="1" t="s">
        <v>86</v>
      </c>
      <c r="K4875" s="2" t="s">
        <v>13738</v>
      </c>
      <c r="L4875" s="2" t="s">
        <v>13739</v>
      </c>
      <c r="M4875" s="2" t="str">
        <f>IFERROR(__xludf.DUMMYFUNCTION("split(split(K4875,""【"",false),""公式LINE"",false)"),"妊娠19週の妊婦・久保佐和子(土村芳)は、サクラ(綾野剛)に子宮頸部腺がんと診断される。がんが進行する中、まだ完全に育っていない赤ちゃんをいつまでお腹の中で成長させるのか、佐和子のがん治療をどこまで遅らせるのか、非常にシビアな選択が久保夫婦、そして医師たちに迫る。二つの大切な命を守るために、産科医、新生児科医それぞれの意見は対立し、緊張が走る。 果たして久保夫婦2人が出す決断とはー。綾野剛、松岡茉優、吉田羊、坂口健太郎、星野源、大森南朋  土村芳、福士誠治、高橋メアリージュン、松本穂香    浅野和之、江"&amp;"口のりこ、宮沢氷魚、松本若菜 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@kou"&amp;"nodori_tbs    https://twitter.com/kounodori_tbs    ◇フェイスブック  https://www.facebook.com/kounodori.tbs/番組の内容と放送時間は変更になる可能性があります。")</f>
        <v>妊娠19週の妊婦・久保佐和子(土村芳)は、サクラ(綾野剛)に子宮頸部腺がんと診断される。がんが進行する中、まだ完全に育っていない赤ちゃんをいつまでお腹の中で成長させるのか、佐和子のがん治療をどこまで遅らせるのか、非常にシビアな選択が久保夫婦、そして医師たちに迫る。二つの大切な命を守るために、産科医、新生児科医それぞれの意見は対立し、緊張が走る。 果たして久保夫婦2人が出す決断とはー。綾野剛、松岡茉優、吉田羊、坂口健太郎、星野源、大森南朋  土村芳、福士誠治、高橋メアリージュン、松本穂香    浅野和之、江口のりこ、宮沢氷魚、松本若菜 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v>
      </c>
      <c r="N4875" s="2"/>
      <c r="O4875" s="2"/>
      <c r="P4875" s="2"/>
      <c r="Q4875" s="2"/>
      <c r="R4875" s="2"/>
      <c r="S4875" s="2"/>
      <c r="T4875" s="2"/>
      <c r="U4875" s="2"/>
      <c r="V4875" s="2"/>
      <c r="W4875" s="2"/>
      <c r="X4875" s="2"/>
      <c r="Y4875" s="2"/>
      <c r="Z4875" s="2"/>
      <c r="AA4875" s="2"/>
      <c r="AB4875" s="2"/>
      <c r="AC4875" s="2"/>
      <c r="AD4875" s="2"/>
      <c r="AE4875" s="2"/>
      <c r="AF4875" s="2"/>
      <c r="AG4875" s="2"/>
      <c r="AH4875" s="2"/>
      <c r="AI4875" s="2"/>
      <c r="AJ4875" s="2"/>
      <c r="AK4875" s="2"/>
      <c r="AL4875" s="2"/>
      <c r="AM4875" s="2"/>
      <c r="AN4875" s="2"/>
      <c r="AO4875" s="2"/>
      <c r="AP4875" s="2"/>
      <c r="AQ4875" s="2"/>
      <c r="AR4875" s="2"/>
      <c r="AS4875" s="2"/>
      <c r="AT4875" s="2"/>
      <c r="AU4875" s="2"/>
      <c r="AV4875" s="2"/>
      <c r="AW4875" s="2"/>
      <c r="AX4875" s="2"/>
      <c r="AY4875" s="2"/>
      <c r="AZ4875" s="2"/>
      <c r="BA4875" s="2"/>
      <c r="BB4875" s="2"/>
    </row>
    <row r="4876" ht="204.75" customHeight="1">
      <c r="A4876" s="1">
        <v>1020.0</v>
      </c>
      <c r="B4876" s="2" t="s">
        <v>13732</v>
      </c>
      <c r="C4876" s="2">
        <f>IFERROR(__xludf.DUMMYFUNCTION("split(B4876,""_"")"),1710.0)</f>
        <v>1710</v>
      </c>
      <c r="D4876" s="2" t="str">
        <f>IFERROR(__xludf.DUMMYFUNCTION("""COMPUTED_VALUE"""),"TBS")</f>
        <v>TBS</v>
      </c>
      <c r="E4876" s="2" t="str">
        <f>IFERROR(__xludf.DUMMYFUNCTION("""COMPUTED_VALUE"""),"金22")</f>
        <v>金22</v>
      </c>
      <c r="F4876" s="2" t="s">
        <v>13733</v>
      </c>
      <c r="G4876" s="2" t="s">
        <v>13740</v>
      </c>
      <c r="H4876" s="1">
        <v>3.0</v>
      </c>
      <c r="J4876" s="1" t="s">
        <v>86</v>
      </c>
      <c r="K4876" s="2" t="s">
        <v>13741</v>
      </c>
      <c r="L4876" s="2" t="s">
        <v>13742</v>
      </c>
      <c r="M4876" s="2" t="str">
        <f>IFERROR(__xludf.DUMMYFUNCTION("split(split(K4876,""【"",false),""公式LINE"",false)"),"妊娠36週の山崎麗子(川栄李奈)。素直な麗子は、迷信をすぐに聞き入れて、いつもサクラ(綾野剛)を困らせていた。心臓病を抱える麗子に負担を考え、サクラは無痛分娩を提案するが、周りの意見に左右されてしまい…。一方、キャリアウーマンの佐野彩加(高橋メアリージュン)は、診察中も赤ちゃんの顔を見ない。その姿に、サクラはある妊婦の姿を重ね合わせる。 そんな中、思いつめた彩加は赤ちゃんを残したまま姿を消すー。綾野剛、松岡茉優、吉田羊、坂口健太郎、星野源、大森南朋  高橋メアリージュン、ナオト・インティライミ、松本穂香、"&amp;"川栄李奈、喜矢武 豊(ゴールデンボンバー)  浅野和之、江口のりこ、宮沢氷魚、松本若菜 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https://www.instagram.com/kou"&amp;"nodori_tbs/    ◇twitter  @kounodori_tbs    https://twitter.com/kounodori_tbs    ◇フェイスブック  https://www.facebook.com/kounodori.tbs/番組の内容と放送時間は変更になる可能性があります。")</f>
        <v>妊娠36週の山崎麗子(川栄李奈)。素直な麗子は、迷信をすぐに聞き入れて、いつもサクラ(綾野剛)を困らせていた。心臓病を抱える麗子に負担を考え、サクラは無痛分娩を提案するが、周りの意見に左右されてしまい…。一方、キャリアウーマンの佐野彩加(高橋メアリージュン)は、診察中も赤ちゃんの顔を見ない。その姿に、サクラはある妊婦の姿を重ね合わせる。 そんな中、思いつめた彩加は赤ちゃんを残したまま姿を消すー。綾野剛、松岡茉優、吉田羊、坂口健太郎、星野源、大森南朋  高橋メアリージュン、ナオト・インティライミ、松本穂香、川栄李奈、喜矢武 豊(ゴールデンボンバー)  浅野和之、江口のりこ、宮沢氷魚、松本若菜 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v>
      </c>
      <c r="N4876" s="2"/>
      <c r="O4876" s="2"/>
      <c r="P4876" s="2"/>
      <c r="Q4876" s="2"/>
      <c r="R4876" s="2"/>
      <c r="S4876" s="2"/>
      <c r="T4876" s="2"/>
      <c r="U4876" s="2"/>
      <c r="V4876" s="2"/>
      <c r="W4876" s="2"/>
      <c r="X4876" s="2"/>
      <c r="Y4876" s="2"/>
      <c r="Z4876" s="2"/>
      <c r="AA4876" s="2"/>
      <c r="AB4876" s="2"/>
      <c r="AC4876" s="2"/>
      <c r="AD4876" s="2"/>
      <c r="AE4876" s="2"/>
      <c r="AF4876" s="2"/>
      <c r="AG4876" s="2"/>
      <c r="AH4876" s="2"/>
      <c r="AI4876" s="2"/>
      <c r="AJ4876" s="2"/>
      <c r="AK4876" s="2"/>
      <c r="AL4876" s="2"/>
      <c r="AM4876" s="2"/>
      <c r="AN4876" s="2"/>
      <c r="AO4876" s="2"/>
      <c r="AP4876" s="2"/>
      <c r="AQ4876" s="2"/>
      <c r="AR4876" s="2"/>
      <c r="AS4876" s="2"/>
      <c r="AT4876" s="2"/>
      <c r="AU4876" s="2"/>
      <c r="AV4876" s="2"/>
      <c r="AW4876" s="2"/>
      <c r="AX4876" s="2"/>
      <c r="AY4876" s="2"/>
      <c r="AZ4876" s="2"/>
      <c r="BA4876" s="2"/>
      <c r="BB4876" s="2"/>
    </row>
    <row r="4877" ht="204.75" customHeight="1">
      <c r="A4877" s="1">
        <v>1021.0</v>
      </c>
      <c r="B4877" s="2" t="s">
        <v>13732</v>
      </c>
      <c r="C4877" s="2">
        <f>IFERROR(__xludf.DUMMYFUNCTION("split(B4877,""_"")"),1710.0)</f>
        <v>1710</v>
      </c>
      <c r="D4877" s="2" t="str">
        <f>IFERROR(__xludf.DUMMYFUNCTION("""COMPUTED_VALUE"""),"TBS")</f>
        <v>TBS</v>
      </c>
      <c r="E4877" s="2" t="str">
        <f>IFERROR(__xludf.DUMMYFUNCTION("""COMPUTED_VALUE"""),"金22")</f>
        <v>金22</v>
      </c>
      <c r="F4877" s="2" t="s">
        <v>13733</v>
      </c>
      <c r="G4877" s="2" t="s">
        <v>13743</v>
      </c>
      <c r="H4877" s="1">
        <v>4.0</v>
      </c>
      <c r="J4877" s="1" t="s">
        <v>86</v>
      </c>
      <c r="K4877" s="2" t="s">
        <v>13744</v>
      </c>
      <c r="L4877" s="2" t="s">
        <v>13745</v>
      </c>
      <c r="M4877" s="2" t="str">
        <f>IFERROR(__xludf.DUMMYFUNCTION("split(split(K4877,""【"",false),""公式LINE"",false)"),"トーラック(帝王切開後の自然分娩)を希望する妊婦の蓮(安めぐみ)。我が子を愛せていないのではないかと不安になる蓮は、その理由の一つが帝王切開で生んだことにあると考え、次はどうしても自然分娩で生みたいと強く思っている。 蓮の希望を優先してあげたいサクラ(綾野剛)と、人員不足の中、子宮破裂で緊急事態を巻き起こしかねないトーラックはリスクが高すぎると考える四宮(星野源)は激しく意見が対立する。綾野剛、松岡茉優、吉田羊、坂口健太郎、星野源、大森南朋  安めぐみ、前野朋哉、木下優樹菜、パーマ大佐  浅野和之、江口の"&amp;"りこ、宮沢氷魚、松本若菜、小林きな子、白石糸、古畑星夏主題歌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@kouno"&amp;"dori_tbs    https://twitter.com/kounodori_tbs    ◇フェイスブック  https://www.facebook.com/kounodori.tbs/  番組の内容と放送時間は変更になる可能性があります。")</f>
        <v>トーラック(帝王切開後の自然分娩)を希望する妊婦の蓮(安めぐみ)。我が子を愛せていないのではないかと不安になる蓮は、その理由の一つが帝王切開で生んだことにあると考え、次はどうしても自然分娩で生みたいと強く思っている。 蓮の希望を優先してあげたいサクラ(綾野剛)と、人員不足の中、子宮破裂で緊急事態を巻き起こしかねないトーラックはリスクが高すぎると考える四宮(星野源)は激しく意見が対立する。綾野剛、松岡茉優、吉田羊、坂口健太郎、星野源、大森南朋  安めぐみ、前野朋哉、木下優樹菜、パーマ大佐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  番組の内容と放送時間は変更になる可能性があります。</v>
      </c>
      <c r="N4877" s="2"/>
      <c r="O4877" s="2"/>
      <c r="P4877" s="2"/>
      <c r="Q4877" s="2"/>
      <c r="R4877" s="2"/>
      <c r="S4877" s="2"/>
      <c r="T4877" s="2"/>
      <c r="U4877" s="2"/>
      <c r="V4877" s="2"/>
      <c r="W4877" s="2"/>
      <c r="X4877" s="2"/>
      <c r="Y4877" s="2"/>
      <c r="Z4877" s="2"/>
      <c r="AA4877" s="2"/>
      <c r="AB4877" s="2"/>
      <c r="AC4877" s="2"/>
      <c r="AD4877" s="2"/>
      <c r="AE4877" s="2"/>
      <c r="AF4877" s="2"/>
      <c r="AG4877" s="2"/>
      <c r="AH4877" s="2"/>
      <c r="AI4877" s="2"/>
      <c r="AJ4877" s="2"/>
      <c r="AK4877" s="2"/>
      <c r="AL4877" s="2"/>
      <c r="AM4877" s="2"/>
      <c r="AN4877" s="2"/>
      <c r="AO4877" s="2"/>
      <c r="AP4877" s="2"/>
      <c r="AQ4877" s="2"/>
      <c r="AR4877" s="2"/>
      <c r="AS4877" s="2"/>
      <c r="AT4877" s="2"/>
      <c r="AU4877" s="2"/>
      <c r="AV4877" s="2"/>
      <c r="AW4877" s="2"/>
      <c r="AX4877" s="2"/>
      <c r="AY4877" s="2"/>
      <c r="AZ4877" s="2"/>
      <c r="BA4877" s="2"/>
      <c r="BB4877" s="2"/>
    </row>
    <row r="4878" ht="204.75" customHeight="1">
      <c r="A4878" s="1">
        <v>1022.0</v>
      </c>
      <c r="B4878" s="2" t="s">
        <v>13732</v>
      </c>
      <c r="C4878" s="2">
        <f>IFERROR(__xludf.DUMMYFUNCTION("split(B4878,""_"")"),1710.0)</f>
        <v>1710</v>
      </c>
      <c r="D4878" s="2" t="str">
        <f>IFERROR(__xludf.DUMMYFUNCTION("""COMPUTED_VALUE"""),"TBS")</f>
        <v>TBS</v>
      </c>
      <c r="E4878" s="2" t="str">
        <f>IFERROR(__xludf.DUMMYFUNCTION("""COMPUTED_VALUE"""),"金22")</f>
        <v>金22</v>
      </c>
      <c r="F4878" s="2" t="s">
        <v>13733</v>
      </c>
      <c r="G4878" s="2" t="s">
        <v>13746</v>
      </c>
      <c r="H4878" s="1">
        <v>5.0</v>
      </c>
      <c r="J4878" s="1" t="s">
        <v>86</v>
      </c>
      <c r="K4878" s="2" t="s">
        <v>13747</v>
      </c>
      <c r="L4878" s="2" t="s">
        <v>13748</v>
      </c>
      <c r="M4878" s="2" t="str">
        <f>IFERROR(__xludf.DUMMYFUNCTION("split(split(K4878,""【"",false),""公式LINE"",false)"),"サクラ(綾野剛)の元に訪れた妊娠27週の妊婦、西山瑞希(篠原 ゆき子)。診断の結果、切迫早産の可能性があり急遽入院することに。同じ病室で同じく切迫早産で入院している妊婦、七村ひかるとすぐに意気投合し2人の母は仲良くなるが、そんな中、瑞希の赤ちゃんに予測できなかった事態が…。下屋(松岡茉優)が緊急帝王切開した超低出生体重児の翔太くん。早期手術の必要があるが、両親は手術をしないと告げる。綾野剛、松岡茉優、吉田羊、坂口健太郎、星野源、大森南朋  篠原ゆき子、深水元基、矢沢心、平原テツ、井上依吏子、矢島弘一  浅"&amp;"野和之、江口のりこ、宮沢氷魚、松本若菜、小林きな子、白石糸、古畑星夏主題歌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"&amp;" @kounodori_tbs    https://twitter.com/kounodori_tbs    ◇フェイスブック  https://www.facebook.com/kounodori.tbs/番組の内容と放送時間は変更になる可能性があります。")</f>
        <v>サクラ(綾野剛)の元に訪れた妊娠27週の妊婦、西山瑞希(篠原 ゆき子)。診断の結果、切迫早産の可能性があり急遽入院することに。同じ病室で同じく切迫早産で入院している妊婦、七村ひかるとすぐに意気投合し2人の母は仲良くなるが、そんな中、瑞希の赤ちゃんに予測できなかった事態が…。下屋(松岡茉優)が緊急帝王切開した超低出生体重児の翔太くん。早期手術の必要があるが、両親は手術をしないと告げる。綾野剛、松岡茉優、吉田羊、坂口健太郎、星野源、大森南朋  篠原ゆき子、深水元基、矢沢心、平原テツ、井上依吏子、矢島弘一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v>
      </c>
      <c r="N4878" s="2"/>
      <c r="O4878" s="2"/>
      <c r="P4878" s="2"/>
      <c r="Q4878" s="2"/>
      <c r="R4878" s="2"/>
      <c r="S4878" s="2"/>
      <c r="T4878" s="2"/>
      <c r="U4878" s="2"/>
      <c r="V4878" s="2"/>
      <c r="W4878" s="2"/>
      <c r="X4878" s="2"/>
      <c r="Y4878" s="2"/>
      <c r="Z4878" s="2"/>
      <c r="AA4878" s="2"/>
      <c r="AB4878" s="2"/>
      <c r="AC4878" s="2"/>
      <c r="AD4878" s="2"/>
      <c r="AE4878" s="2"/>
      <c r="AF4878" s="2"/>
      <c r="AG4878" s="2"/>
      <c r="AH4878" s="2"/>
      <c r="AI4878" s="2"/>
      <c r="AJ4878" s="2"/>
      <c r="AK4878" s="2"/>
      <c r="AL4878" s="2"/>
      <c r="AM4878" s="2"/>
      <c r="AN4878" s="2"/>
      <c r="AO4878" s="2"/>
      <c r="AP4878" s="2"/>
      <c r="AQ4878" s="2"/>
      <c r="AR4878" s="2"/>
      <c r="AS4878" s="2"/>
      <c r="AT4878" s="2"/>
      <c r="AU4878" s="2"/>
      <c r="AV4878" s="2"/>
      <c r="AW4878" s="2"/>
      <c r="AX4878" s="2"/>
      <c r="AY4878" s="2"/>
      <c r="AZ4878" s="2"/>
      <c r="BA4878" s="2"/>
      <c r="BB4878" s="2"/>
    </row>
    <row r="4879" ht="204.75" customHeight="1">
      <c r="A4879" s="1">
        <v>1023.0</v>
      </c>
      <c r="B4879" s="2" t="s">
        <v>13732</v>
      </c>
      <c r="C4879" s="2">
        <f>IFERROR(__xludf.DUMMYFUNCTION("split(B4879,""_"")"),1710.0)</f>
        <v>1710</v>
      </c>
      <c r="D4879" s="2" t="str">
        <f>IFERROR(__xludf.DUMMYFUNCTION("""COMPUTED_VALUE"""),"TBS")</f>
        <v>TBS</v>
      </c>
      <c r="E4879" s="2" t="str">
        <f>IFERROR(__xludf.DUMMYFUNCTION("""COMPUTED_VALUE"""),"金22")</f>
        <v>金22</v>
      </c>
      <c r="F4879" s="2" t="s">
        <v>13733</v>
      </c>
      <c r="G4879" s="2" t="s">
        <v>13749</v>
      </c>
      <c r="H4879" s="1">
        <v>6.0</v>
      </c>
      <c r="J4879" s="1" t="s">
        <v>86</v>
      </c>
      <c r="K4879" s="2" t="s">
        <v>13750</v>
      </c>
      <c r="L4879" s="2" t="s">
        <v>13751</v>
      </c>
      <c r="M4879" s="2" t="str">
        <f>IFERROR(__xludf.DUMMYFUNCTION("split(split(K4879,""【"",false),""公式LINE"",false)"),"下屋(松岡茉優)はヘルプで行った病院で、切迫早産で入院している神谷カエと出会う。カエは、突然の入院に不安が募っていた。名前も年齢も同じ2人、下屋はカエの相談に乗る中で、次第に医師と患者の関係を越え、仲良くなっていく。ある日、下屋はカエの様子に違和感を覚え、院長に告げるが「週明けに検査する」と返され、帰路につく。ペルソナに戻った下屋のもとに緊急搬送が。なんと心肺停止で運ばれて来たカエだったーー。綾野剛、松岡茉優、吉田羊、坂口健太郎、星野源、大森南朋  篠原ゆき子、深水元基、矢沢心、平原テツ、井上依吏子、矢島"&amp;"弘一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◇twi"&amp;"tter  @kounodori_tbs    https://twitter.com/kounodori_tbs    ◇フェイスブック  https://www.facebook.com/kounodori.tbs/番組の内容と放送時間は変更になる可能性があります。")</f>
        <v>下屋(松岡茉優)はヘルプで行った病院で、切迫早産で入院している神谷カエと出会う。カエは、突然の入院に不安が募っていた。名前も年齢も同じ2人、下屋はカエの相談に乗る中で、次第に医師と患者の関係を越え、仲良くなっていく。ある日、下屋はカエの様子に違和感を覚え、院長に告げるが「週明けに検査する」と返され、帰路につく。ペルソナに戻った下屋のもとに緊急搬送が。なんと心肺停止で運ばれて来たカエだったーー。綾野剛、松岡茉優、吉田羊、坂口健太郎、星野源、大森南朋  篠原ゆき子、深水元基、矢沢心、平原テツ、井上依吏子、矢島弘一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v>
      </c>
      <c r="N4879" s="2"/>
      <c r="O4879" s="2"/>
      <c r="P4879" s="2"/>
      <c r="Q4879" s="2"/>
      <c r="R4879" s="2"/>
      <c r="S4879" s="2"/>
      <c r="T4879" s="2"/>
      <c r="U4879" s="2"/>
      <c r="V4879" s="2"/>
      <c r="W4879" s="2"/>
      <c r="X4879" s="2"/>
      <c r="Y4879" s="2"/>
      <c r="Z4879" s="2"/>
      <c r="AA4879" s="2"/>
      <c r="AB4879" s="2"/>
      <c r="AC4879" s="2"/>
      <c r="AD4879" s="2"/>
      <c r="AE4879" s="2"/>
      <c r="AF4879" s="2"/>
      <c r="AG4879" s="2"/>
      <c r="AH4879" s="2"/>
      <c r="AI4879" s="2"/>
      <c r="AJ4879" s="2"/>
      <c r="AK4879" s="2"/>
      <c r="AL4879" s="2"/>
      <c r="AM4879" s="2"/>
      <c r="AN4879" s="2"/>
      <c r="AO4879" s="2"/>
      <c r="AP4879" s="2"/>
      <c r="AQ4879" s="2"/>
      <c r="AR4879" s="2"/>
      <c r="AS4879" s="2"/>
      <c r="AT4879" s="2"/>
      <c r="AU4879" s="2"/>
      <c r="AV4879" s="2"/>
      <c r="AW4879" s="2"/>
      <c r="AX4879" s="2"/>
      <c r="AY4879" s="2"/>
      <c r="AZ4879" s="2"/>
      <c r="BA4879" s="2"/>
      <c r="BB4879" s="2"/>
    </row>
    <row r="4880" ht="204.75" customHeight="1">
      <c r="A4880" s="1">
        <v>1024.0</v>
      </c>
      <c r="B4880" s="2" t="s">
        <v>13732</v>
      </c>
      <c r="C4880" s="2">
        <f>IFERROR(__xludf.DUMMYFUNCTION("split(B4880,""_"")"),1710.0)</f>
        <v>1710</v>
      </c>
      <c r="D4880" s="2" t="str">
        <f>IFERROR(__xludf.DUMMYFUNCTION("""COMPUTED_VALUE"""),"TBS")</f>
        <v>TBS</v>
      </c>
      <c r="E4880" s="2" t="str">
        <f>IFERROR(__xludf.DUMMYFUNCTION("""COMPUTED_VALUE"""),"金22")</f>
        <v>金22</v>
      </c>
      <c r="F4880" s="2" t="s">
        <v>13733</v>
      </c>
      <c r="G4880" s="2" t="s">
        <v>13752</v>
      </c>
      <c r="H4880" s="1">
        <v>7.0</v>
      </c>
      <c r="J4880" s="1" t="s">
        <v>86</v>
      </c>
      <c r="K4880" s="2" t="s">
        <v>13753</v>
      </c>
      <c r="L4880" s="2" t="s">
        <v>13754</v>
      </c>
      <c r="M4880" s="2" t="str">
        <f>IFERROR(__xludf.DUMMYFUNCTION("split(split(K4880,""【"",false),""公式LINE"",false)"),"突然、倒れた小松(吉田羊)、心配するサクラ(綾野剛)と四宮(星野源)に、心配かけまいと努めて明るく振舞う。しかし、詳しい検査を行うと、子宮線筋症ということが判明。すでに症状が悪く、ガンになる可能性もあるため、子宮の全摘を薦めるのが本人の為だとサクラたちは考え、本人に伝える。小松自身は全摘した方が良いとは分かっているが、踏み切れずにいた。 そんな小松を支えるペルソナの仲間たち。小松が出した結論はー綾野剛、松岡茉優、吉田羊、坂口健太郎、星野源、大森南朋  須藤理彩、古舘寛治  浅野和之、江口のりこ、宮沢氷魚、"&amp;"松本若菜、小林きな子、白石糸、古畑星夏主題歌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@kounodori_tbs"&amp;"    https://twitter.com/kounodori_tbs    ◇フェイスブック  https://www.facebook.com/kounodori.tbs/番組の内容と放送時間は変更になる可能性があります。")</f>
        <v>突然、倒れた小松(吉田羊)、心配するサクラ(綾野剛)と四宮(星野源)に、心配かけまいと努めて明るく振舞う。しかし、詳しい検査を行うと、子宮線筋症ということが判明。すでに症状が悪く、ガンになる可能性もあるため、子宮の全摘を薦めるのが本人の為だとサクラたちは考え、本人に伝える。小松自身は全摘した方が良いとは分かっているが、踏み切れずにいた。 そんな小松を支えるペルソナの仲間たち。小松が出した結論はー綾野剛、松岡茉優、吉田羊、坂口健太郎、星野源、大森南朋  須藤理彩、古舘寛治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v>
      </c>
      <c r="N4880" s="2"/>
      <c r="O4880" s="2"/>
      <c r="P4880" s="2"/>
      <c r="Q4880" s="2"/>
      <c r="R4880" s="2"/>
      <c r="S4880" s="2"/>
      <c r="T4880" s="2"/>
      <c r="U4880" s="2"/>
      <c r="V4880" s="2"/>
      <c r="W4880" s="2"/>
      <c r="X4880" s="2"/>
      <c r="Y4880" s="2"/>
      <c r="Z4880" s="2"/>
      <c r="AA4880" s="2"/>
      <c r="AB4880" s="2"/>
      <c r="AC4880" s="2"/>
      <c r="AD4880" s="2"/>
      <c r="AE4880" s="2"/>
      <c r="AF4880" s="2"/>
      <c r="AG4880" s="2"/>
      <c r="AH4880" s="2"/>
      <c r="AI4880" s="2"/>
      <c r="AJ4880" s="2"/>
      <c r="AK4880" s="2"/>
      <c r="AL4880" s="2"/>
      <c r="AM4880" s="2"/>
      <c r="AN4880" s="2"/>
      <c r="AO4880" s="2"/>
      <c r="AP4880" s="2"/>
      <c r="AQ4880" s="2"/>
      <c r="AR4880" s="2"/>
      <c r="AS4880" s="2"/>
      <c r="AT4880" s="2"/>
      <c r="AU4880" s="2"/>
      <c r="AV4880" s="2"/>
      <c r="AW4880" s="2"/>
      <c r="AX4880" s="2"/>
      <c r="AY4880" s="2"/>
      <c r="AZ4880" s="2"/>
      <c r="BA4880" s="2"/>
      <c r="BB4880" s="2"/>
    </row>
    <row r="4881" ht="204.75" customHeight="1">
      <c r="A4881" s="1">
        <v>1025.0</v>
      </c>
      <c r="B4881" s="2" t="s">
        <v>13732</v>
      </c>
      <c r="C4881" s="2">
        <f>IFERROR(__xludf.DUMMYFUNCTION("split(B4881,""_"")"),1710.0)</f>
        <v>1710</v>
      </c>
      <c r="D4881" s="2" t="str">
        <f>IFERROR(__xludf.DUMMYFUNCTION("""COMPUTED_VALUE"""),"TBS")</f>
        <v>TBS</v>
      </c>
      <c r="E4881" s="2" t="str">
        <f>IFERROR(__xludf.DUMMYFUNCTION("""COMPUTED_VALUE"""),"金22")</f>
        <v>金22</v>
      </c>
      <c r="F4881" s="2" t="s">
        <v>13733</v>
      </c>
      <c r="G4881" s="2" t="s">
        <v>13755</v>
      </c>
      <c r="H4881" s="1">
        <v>8.0</v>
      </c>
      <c r="J4881" s="1" t="s">
        <v>86</v>
      </c>
      <c r="K4881" s="2" t="s">
        <v>13756</v>
      </c>
      <c r="L4881" s="2" t="s">
        <v>13757</v>
      </c>
      <c r="M4881" s="2" t="str">
        <f>IFERROR(__xludf.DUMMYFUNCTION("split(split(K4881,""【"",false),""公式LINE"",false)"),"風間真帆(芦名 星)の赤ちゃんが仮死状態で生まれるが、新生児科医・白川(坂口健太郎)の素早い処置で一命をとりとめる。さらに白川の診断により、病気も見つかる。医者としてもっと上を目指すべきだと強い向上心を見せる白川。その様子を見て今橋(大森南朋)は、周りが見えなくなっていないかと心配をしていた。そんな矢先に、風間さんの赤ちゃんの肺が真っ白になっていることがわかり、白川の診断ミスの疑いが発覚するー綾野剛、松岡茉優、吉田羊、坂口健太郎、星野源、大森南朋　　  芦名星、高橋努、相楽樹　○　山口紗弥加　○　塩見三省"&amp;"、　  浅野和之、江口のりこ、宮沢氷魚、松本若菜 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◇twi"&amp;"tter  @kounodori_tbs    https://twitter.com/kounodori_tbs    ◇フェイスブック  https://www.facebook.com/kounodori.tbs/番組の内容と放送時間は変更になる可能性があります。")</f>
        <v>風間真帆(芦名 星)の赤ちゃんが仮死状態で生まれるが、新生児科医・白川(坂口健太郎)の素早い処置で一命をとりとめる。さらに白川の診断により、病気も見つかる。医者としてもっと上を目指すべきだと強い向上心を見せる白川。その様子を見て今橋(大森南朋)は、周りが見えなくなっていないかと心配をしていた。そんな矢先に、風間さんの赤ちゃんの肺が真っ白になっていることがわかり、白川の診断ミスの疑いが発覚するー綾野剛、松岡茉優、吉田羊、坂口健太郎、星野源、大森南朋　　  芦名星、高橋努、相楽樹　○　山口紗弥加　○　塩見三省、　  浅野和之、江口のりこ、宮沢氷魚、松本若菜 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v>
      </c>
      <c r="N4881" s="2"/>
      <c r="O4881" s="2"/>
      <c r="P4881" s="2"/>
      <c r="Q4881" s="2"/>
      <c r="R4881" s="2"/>
      <c r="S4881" s="2"/>
      <c r="T4881" s="2"/>
      <c r="U4881" s="2"/>
      <c r="V4881" s="2"/>
      <c r="W4881" s="2"/>
      <c r="X4881" s="2"/>
      <c r="Y4881" s="2"/>
      <c r="Z4881" s="2"/>
      <c r="AA4881" s="2"/>
      <c r="AB4881" s="2"/>
      <c r="AC4881" s="2"/>
      <c r="AD4881" s="2"/>
      <c r="AE4881" s="2"/>
      <c r="AF4881" s="2"/>
      <c r="AG4881" s="2"/>
      <c r="AH4881" s="2"/>
      <c r="AI4881" s="2"/>
      <c r="AJ4881" s="2"/>
      <c r="AK4881" s="2"/>
      <c r="AL4881" s="2"/>
      <c r="AM4881" s="2"/>
      <c r="AN4881" s="2"/>
      <c r="AO4881" s="2"/>
      <c r="AP4881" s="2"/>
      <c r="AQ4881" s="2"/>
      <c r="AR4881" s="2"/>
      <c r="AS4881" s="2"/>
      <c r="AT4881" s="2"/>
      <c r="AU4881" s="2"/>
      <c r="AV4881" s="2"/>
      <c r="AW4881" s="2"/>
      <c r="AX4881" s="2"/>
      <c r="AY4881" s="2"/>
      <c r="AZ4881" s="2"/>
      <c r="BA4881" s="2"/>
      <c r="BB4881" s="2"/>
    </row>
    <row r="4882" ht="204.75" customHeight="1">
      <c r="A4882" s="1">
        <v>1026.0</v>
      </c>
      <c r="B4882" s="2" t="s">
        <v>13732</v>
      </c>
      <c r="C4882" s="2">
        <f>IFERROR(__xludf.DUMMYFUNCTION("split(B4882,""_"")"),1710.0)</f>
        <v>1710</v>
      </c>
      <c r="D4882" s="2" t="str">
        <f>IFERROR(__xludf.DUMMYFUNCTION("""COMPUTED_VALUE"""),"TBS")</f>
        <v>TBS</v>
      </c>
      <c r="E4882" s="2" t="str">
        <f>IFERROR(__xludf.DUMMYFUNCTION("""COMPUTED_VALUE"""),"金22")</f>
        <v>金22</v>
      </c>
      <c r="F4882" s="2" t="s">
        <v>13733</v>
      </c>
      <c r="G4882" s="2" t="s">
        <v>13758</v>
      </c>
      <c r="H4882" s="1">
        <v>9.0</v>
      </c>
      <c r="J4882" s="1" t="s">
        <v>86</v>
      </c>
      <c r="K4882" s="2" t="s">
        <v>13759</v>
      </c>
      <c r="L4882" s="2" t="s">
        <v>13760</v>
      </c>
      <c r="M4882" s="2" t="str">
        <f>IFERROR(__xludf.DUMMYFUNCTION("split(split(K4882,""【"",false),""公式LINE"",false)"),"過去2回流産をしている妊婦の篠原沙月(野波麻帆)が、不安そうに診察を受ける。診断の結果、今回も胎児に心拍はなかった…。3回目となった流産に不育症を自ら疑う。現代医学でもわからないことが多いこの病にサクラ(綾野剛)はどう向き合うのか。 一方、父・晃志郎(塩見三省)が再び倒れたと聞いた四宮(星野 源)。石川県能登に帰省すると、晃志郎の担当する妊婦に早剥の疑いが。一刻を争う事態の中、四宮の判断はー綾野剛、松岡茉優、吉田羊、坂口健太郎、星野源、大森南朋　  野波麻帆、高橋光臣、相楽 樹、高橋 洋、古舘寛治　〇　塩"&amp;"見三省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◇"&amp;"twitter  @kounodori_tbs    https://twitter.com/kounodori_tbs    ◇フェイスブック  https://www.facebook.com/kounodori.tbs/番組の内容と放送時間は変更になる可能性があります。")</f>
        <v>過去2回流産をしている妊婦の篠原沙月(野波麻帆)が、不安そうに診察を受ける。診断の結果、今回も胎児に心拍はなかった…。3回目となった流産に不育症を自ら疑う。現代医学でもわからないことが多いこの病にサクラ(綾野剛)はどう向き合うのか。 一方、父・晃志郎(塩見三省)が再び倒れたと聞いた四宮(星野 源)。石川県能登に帰省すると、晃志郎の担当する妊婦に早剥の疑いが。一刻を争う事態の中、四宮の判断はー綾野剛、松岡茉優、吉田羊、坂口健太郎、星野源、大森南朋　  野波麻帆、高橋光臣、相楽 樹、高橋 洋、古舘寛治　〇　塩見三省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v>
      </c>
      <c r="N4882" s="2"/>
      <c r="O4882" s="2"/>
      <c r="P4882" s="2"/>
      <c r="Q4882" s="2"/>
      <c r="R4882" s="2"/>
      <c r="S4882" s="2"/>
      <c r="T4882" s="2"/>
      <c r="U4882" s="2"/>
      <c r="V4882" s="2"/>
      <c r="W4882" s="2"/>
      <c r="X4882" s="2"/>
      <c r="Y4882" s="2"/>
      <c r="Z4882" s="2"/>
      <c r="AA4882" s="2"/>
      <c r="AB4882" s="2"/>
      <c r="AC4882" s="2"/>
      <c r="AD4882" s="2"/>
      <c r="AE4882" s="2"/>
      <c r="AF4882" s="2"/>
      <c r="AG4882" s="2"/>
      <c r="AH4882" s="2"/>
      <c r="AI4882" s="2"/>
      <c r="AJ4882" s="2"/>
      <c r="AK4882" s="2"/>
      <c r="AL4882" s="2"/>
      <c r="AM4882" s="2"/>
      <c r="AN4882" s="2"/>
      <c r="AO4882" s="2"/>
      <c r="AP4882" s="2"/>
      <c r="AQ4882" s="2"/>
      <c r="AR4882" s="2"/>
      <c r="AS4882" s="2"/>
      <c r="AT4882" s="2"/>
      <c r="AU4882" s="2"/>
      <c r="AV4882" s="2"/>
      <c r="AW4882" s="2"/>
      <c r="AX4882" s="2"/>
      <c r="AY4882" s="2"/>
      <c r="AZ4882" s="2"/>
      <c r="BA4882" s="2"/>
      <c r="BB4882" s="2"/>
    </row>
    <row r="4883" ht="204.75" customHeight="1">
      <c r="A4883" s="1">
        <v>1027.0</v>
      </c>
      <c r="B4883" s="2" t="s">
        <v>13732</v>
      </c>
      <c r="C4883" s="2">
        <f>IFERROR(__xludf.DUMMYFUNCTION("split(B4883,""_"")"),1710.0)</f>
        <v>1710</v>
      </c>
      <c r="D4883" s="2" t="str">
        <f>IFERROR(__xludf.DUMMYFUNCTION("""COMPUTED_VALUE"""),"TBS")</f>
        <v>TBS</v>
      </c>
      <c r="E4883" s="2" t="str">
        <f>IFERROR(__xludf.DUMMYFUNCTION("""COMPUTED_VALUE"""),"金22")</f>
        <v>金22</v>
      </c>
      <c r="F4883" s="2" t="s">
        <v>13733</v>
      </c>
      <c r="G4883" s="2" t="s">
        <v>13761</v>
      </c>
      <c r="H4883" s="1">
        <v>10.0</v>
      </c>
      <c r="J4883" s="1" t="s">
        <v>86</v>
      </c>
      <c r="K4883" s="2" t="s">
        <v>13762</v>
      </c>
      <c r="L4883" s="2" t="s">
        <v>13763</v>
      </c>
      <c r="M4883" s="2" t="str">
        <f>IFERROR(__xludf.DUMMYFUNCTION("split(split(K4883,""【"",false),""公式LINE"",false)"),"別のクリニックでの出生前診断で21トリソミー陽性と検査結果が出た妊婦の高山透子(初音映莉子)がサクラ(綾野 剛)の元に。サクラは、「二人で向き合い、決めていくことになる」と告げる。一方、羊水検査でダウン症候群との診断を受けていた明代(りょう)。サクラと今橋(大森南朋)を前に明代は“ある決意""を告げる。 2組の夫婦の選択に、思い悩むペルソナメンバーたちに、サクラは自らの“ある想い""を告げるー。綾野剛、松岡茉優、吉田羊、坂口健太郎、星野源、大森南朋  りょう、初音映莉子、近藤公園、石田卓也、相楽樹、奥山佳"&amp;"恵、須藤理彩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"&amp;" ◇twitter  @kounodori_tbs    https://twitter.com/kounodori_tbs    ◇フェイスブック  https://www.facebook.com/kounodori.tbs/番組の内容と放送時間は変更になる可能性があります。")</f>
        <v>別のクリニックでの出生前診断で21トリソミー陽性と検査結果が出た妊婦の高山透子(初音映莉子)がサクラ(綾野 剛)の元に。サクラは、「二人で向き合い、決めていくことになる」と告げる。一方、羊水検査でダウン症候群との診断を受けていた明代(りょう)。サクラと今橋(大森南朋)を前に明代は“ある決意"を告げる。 2組の夫婦の選択に、思い悩むペルソナメンバーたちに、サクラは自らの“ある想い"を告げるー。綾野剛、松岡茉優、吉田羊、坂口健太郎、星野源、大森南朋  りょう、初音映莉子、近藤公園、石田卓也、相楽樹、奥山佳恵、須藤理彩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v>
      </c>
      <c r="N4883" s="2"/>
      <c r="O4883" s="2"/>
      <c r="P4883" s="2"/>
      <c r="Q4883" s="2"/>
      <c r="R4883" s="2"/>
      <c r="S4883" s="2"/>
      <c r="T4883" s="2"/>
      <c r="U4883" s="2"/>
      <c r="V4883" s="2"/>
      <c r="W4883" s="2"/>
      <c r="X4883" s="2"/>
      <c r="Y4883" s="2"/>
      <c r="Z4883" s="2"/>
      <c r="AA4883" s="2"/>
      <c r="AB4883" s="2"/>
      <c r="AC4883" s="2"/>
      <c r="AD4883" s="2"/>
      <c r="AE4883" s="2"/>
      <c r="AF4883" s="2"/>
      <c r="AG4883" s="2"/>
      <c r="AH4883" s="2"/>
      <c r="AI4883" s="2"/>
      <c r="AJ4883" s="2"/>
      <c r="AK4883" s="2"/>
      <c r="AL4883" s="2"/>
      <c r="AM4883" s="2"/>
      <c r="AN4883" s="2"/>
      <c r="AO4883" s="2"/>
      <c r="AP4883" s="2"/>
      <c r="AQ4883" s="2"/>
      <c r="AR4883" s="2"/>
      <c r="AS4883" s="2"/>
      <c r="AT4883" s="2"/>
      <c r="AU4883" s="2"/>
      <c r="AV4883" s="2"/>
      <c r="AW4883" s="2"/>
      <c r="AX4883" s="2"/>
      <c r="AY4883" s="2"/>
      <c r="AZ4883" s="2"/>
      <c r="BA4883" s="2"/>
      <c r="BB4883" s="2"/>
    </row>
    <row r="4884" ht="204.75" customHeight="1">
      <c r="A4884" s="1">
        <v>1028.0</v>
      </c>
      <c r="B4884" s="2" t="s">
        <v>13732</v>
      </c>
      <c r="C4884" s="2">
        <f>IFERROR(__xludf.DUMMYFUNCTION("split(B4884,""_"")"),1710.0)</f>
        <v>1710</v>
      </c>
      <c r="D4884" s="2" t="str">
        <f>IFERROR(__xludf.DUMMYFUNCTION("""COMPUTED_VALUE"""),"TBS")</f>
        <v>TBS</v>
      </c>
      <c r="E4884" s="2" t="str">
        <f>IFERROR(__xludf.DUMMYFUNCTION("""COMPUTED_VALUE"""),"金22")</f>
        <v>金22</v>
      </c>
      <c r="F4884" s="2" t="s">
        <v>13733</v>
      </c>
      <c r="G4884" s="2" t="s">
        <v>13764</v>
      </c>
      <c r="H4884" s="1">
        <v>11.0</v>
      </c>
      <c r="J4884" s="1" t="s">
        <v>82</v>
      </c>
      <c r="K4884" s="2" t="s">
        <v>13765</v>
      </c>
      <c r="L4884" s="2" t="s">
        <v>13766</v>
      </c>
      <c r="M4884" s="2" t="str">
        <f>IFERROR(__xludf.DUMMYFUNCTION("split(split(K4884,""【"",false),""公式LINE"",false)"),"サクラ(綾野 剛)は、出生前診断でダウン症と診断を受けるも、出産を決意した透子(初音映莉子)と向き合う。まだ不安が拭えない透子に今橋(大森南朋)はある詩を教える。父が亡くなり、地元に帰った四宮(星野 源)の今後はー?学生時代から共に過ごしてきた下屋(松岡茉優)と白川(坂口健太郎)の別れの結末はー?小松(吉田羊)が語った決意とはー?そんな時、小松の同期の武田(須藤理彩)の出産にまさかの出来事が…綾野剛、松岡茉優、吉田羊、坂口健太郎、星野源、大森南朋  佐々木蔵之介、山口紗弥加、清野菜名、古舘寛治、初音映莉子"&amp;"、石田卓也、奥山佳恵、須藤理彩、奥貫 薫、戸田昌宏、高橋メアリージュン、ナオト・インティライミ　○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ht"&amp;"tps://www.instagram.com/kounodori_tbs/    ◇twitter  @kounodori_tbs    https://twitter.com/kounodori_tbs    ◇フェイスブック  https://www.facebook.com/kounodori.tbs/  番組の内容と放送時間は変更になる可能性があります。")</f>
        <v>サクラ(綾野 剛)は、出生前診断でダウン症と診断を受けるも、出産を決意した透子(初音映莉子)と向き合う。まだ不安が拭えない透子に今橋(大森南朋)はある詩を教える。父が亡くなり、地元に帰った四宮(星野 源)の今後はー?学生時代から共に過ごしてきた下屋(松岡茉優)と白川(坂口健太郎)の別れの結末はー?小松(吉田羊)が語った決意とはー?そんな時、小松の同期の武田(須藤理彩)の出産にまさかの出来事が…綾野剛、松岡茉優、吉田羊、坂口健太郎、星野源、大森南朋  佐々木蔵之介、山口紗弥加、清野菜名、古舘寛治、初音映莉子、石田卓也、奥山佳恵、須藤理彩、奥貫 薫、戸田昌宏、高橋メアリージュン、ナオト・インティライミ　○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  番組の内容と放送時間は変更になる可能性があります。</v>
      </c>
      <c r="N4884" s="2"/>
      <c r="O4884" s="2"/>
      <c r="P4884" s="2"/>
      <c r="Q4884" s="2"/>
      <c r="R4884" s="2"/>
      <c r="S4884" s="2"/>
      <c r="T4884" s="2"/>
      <c r="U4884" s="2"/>
      <c r="V4884" s="2"/>
      <c r="W4884" s="2"/>
      <c r="X4884" s="2"/>
      <c r="Y4884" s="2"/>
      <c r="Z4884" s="2"/>
      <c r="AA4884" s="2"/>
      <c r="AB4884" s="2"/>
      <c r="AC4884" s="2"/>
      <c r="AD4884" s="2"/>
      <c r="AE4884" s="2"/>
      <c r="AF4884" s="2"/>
      <c r="AG4884" s="2"/>
      <c r="AH4884" s="2"/>
      <c r="AI4884" s="2"/>
      <c r="AJ4884" s="2"/>
      <c r="AK4884" s="2"/>
      <c r="AL4884" s="2"/>
      <c r="AM4884" s="2"/>
      <c r="AN4884" s="2"/>
      <c r="AO4884" s="2"/>
      <c r="AP4884" s="2"/>
      <c r="AQ4884" s="2"/>
      <c r="AR4884" s="2"/>
      <c r="AS4884" s="2"/>
      <c r="AT4884" s="2"/>
      <c r="AU4884" s="2"/>
      <c r="AV4884" s="2"/>
      <c r="AW4884" s="2"/>
      <c r="AX4884" s="2"/>
      <c r="AY4884" s="2"/>
      <c r="AZ4884" s="2"/>
      <c r="BA4884" s="2"/>
      <c r="BB4884" s="2"/>
    </row>
    <row r="4885" ht="204.75" customHeight="1">
      <c r="A4885" s="1">
        <v>1047.0</v>
      </c>
      <c r="B4885" s="2" t="s">
        <v>13767</v>
      </c>
      <c r="C4885" s="2">
        <f>IFERROR(__xludf.DUMMYFUNCTION("split(B4885,""_"")"),1710.0)</f>
        <v>1710</v>
      </c>
      <c r="D4885" s="2" t="str">
        <f>IFERROR(__xludf.DUMMYFUNCTION("""COMPUTED_VALUE"""),"TBS")</f>
        <v>TBS</v>
      </c>
      <c r="E4885" s="2" t="str">
        <f>IFERROR(__xludf.DUMMYFUNCTION("""COMPUTED_VALUE"""),"日21")</f>
        <v>日21</v>
      </c>
      <c r="F4885" s="2" t="s">
        <v>13768</v>
      </c>
      <c r="G4885" s="2" t="s">
        <v>13769</v>
      </c>
      <c r="H4885" s="1">
        <v>1.0</v>
      </c>
      <c r="J4885" s="1" t="s">
        <v>4</v>
      </c>
      <c r="K4885" s="2" t="s">
        <v>13770</v>
      </c>
      <c r="L4885" s="2" t="s">
        <v>13771</v>
      </c>
      <c r="M4885" s="2" t="str">
        <f>IFERROR(__xludf.DUMMYFUNCTION("split(split(K4885,""【"",false),""公式LINE"",false)"),"いよいよ始まる日曜劇場「陸王」!倒産寸前の足袋屋が再起をかけて立ち上がり、畑違いのランニングシューズ作りに挑む!そんな無謀とも思える挑戦にかける熱き人物たちの感動の物語!老舗足袋屋の四代目社長　宮沢紘一(役所広司)。就活がうまくいかない息子の大地(山崎賢人)ともぶつかる日々の中、会社を立て直すべく、新規事業に乗り出す。シューズ作りを始めた宮沢たちは、茂木(竹内涼真)という1人のランナーに出会う。宮沢紘一・・・役所広司  宮沢大地・・・山崎賢人  茂木裕人・・・竹内涼真  宮沢茜・・・上白石萌音  坂本太郎"&amp;"・・・風間俊介  城戸明宏・・・音尾琢真  平瀬孝夫・・・和田正人  毛塚直之・・・佐野岳大橋浩・・・馬場徹  安田利充・・・内村遥  江幡晃平・・・天野義久  西井冨久子・・・正司照枝  仲下美咲・・・吉谷彩子  正岡あけみ・・・阿川佐和子  佐山淳司・・・小籔千豊  家長亨・・・桂雀々富島玄三・・・志賀廣太郎  有村融・・・光石研  宮沢美枝子・・・檀ふみ  飯山素子・・・キムラ緑子  村野尊彦・・・市川右團次  小原賢治・・・ピエール瀧  飯山晴之・・・寺尾聰原作:池井戸潤「陸王」(集英社刊)  脚"&amp;"本:八津弘幸  音楽:服部隆之◇番組HP  http://www.tbs.co.jp/rikuou_tbs/    ◇twitter  @rikuou_tbs  https://twitter.com/rikuou_tbs    ◇facebook  https://www.facebook.com/rikuou.tbs    ◇instagram  https://www.instagram.com/rikuoh.tbs/番組の内容と放送時間は変更になる可能性があります。")</f>
        <v>いよいよ始まる日曜劇場「陸王」!倒産寸前の足袋屋が再起をかけて立ち上がり、畑違いのランニングシューズ作りに挑む!そんな無謀とも思える挑戦にかける熱き人物たちの感動の物語!老舗足袋屋の四代目社長　宮沢紘一(役所広司)。就活がうまくいかない息子の大地(山崎賢人)ともぶつかる日々の中、会社を立て直すべく、新規事業に乗り出す。シューズ作りを始めた宮沢たちは、茂木(竹内涼真)という1人のランナーに出会う。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  家長亨・・・桂雀々富島玄三・・・志賀廣太郎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v>
      </c>
      <c r="N4885" s="2"/>
      <c r="O4885" s="2"/>
      <c r="P4885" s="2"/>
      <c r="Q4885" s="2"/>
      <c r="R4885" s="2"/>
      <c r="S4885" s="2"/>
      <c r="T4885" s="2"/>
      <c r="U4885" s="2"/>
      <c r="V4885" s="2"/>
      <c r="W4885" s="2"/>
      <c r="X4885" s="2"/>
      <c r="Y4885" s="2"/>
      <c r="Z4885" s="2"/>
      <c r="AA4885" s="2"/>
      <c r="AB4885" s="2"/>
      <c r="AC4885" s="2"/>
      <c r="AD4885" s="2"/>
      <c r="AE4885" s="2"/>
      <c r="AF4885" s="2"/>
      <c r="AG4885" s="2"/>
      <c r="AH4885" s="2"/>
      <c r="AI4885" s="2"/>
      <c r="AJ4885" s="2"/>
      <c r="AK4885" s="2"/>
      <c r="AL4885" s="2"/>
      <c r="AM4885" s="2"/>
      <c r="AN4885" s="2"/>
      <c r="AO4885" s="2"/>
      <c r="AP4885" s="2"/>
      <c r="AQ4885" s="2"/>
      <c r="AR4885" s="2"/>
      <c r="AS4885" s="2"/>
      <c r="AT4885" s="2"/>
      <c r="AU4885" s="2"/>
      <c r="AV4885" s="2"/>
      <c r="AW4885" s="2"/>
      <c r="AX4885" s="2"/>
      <c r="AY4885" s="2"/>
      <c r="AZ4885" s="2"/>
      <c r="BA4885" s="2"/>
      <c r="BB4885" s="2"/>
    </row>
    <row r="4886" ht="204.75" customHeight="1">
      <c r="A4886" s="1">
        <v>1048.0</v>
      </c>
      <c r="B4886" s="2" t="s">
        <v>13767</v>
      </c>
      <c r="C4886" s="2">
        <f>IFERROR(__xludf.DUMMYFUNCTION("split(B4886,""_"")"),1710.0)</f>
        <v>1710</v>
      </c>
      <c r="D4886" s="2" t="str">
        <f>IFERROR(__xludf.DUMMYFUNCTION("""COMPUTED_VALUE"""),"TBS")</f>
        <v>TBS</v>
      </c>
      <c r="E4886" s="2" t="str">
        <f>IFERROR(__xludf.DUMMYFUNCTION("""COMPUTED_VALUE"""),"日21")</f>
        <v>日21</v>
      </c>
      <c r="F4886" s="2" t="s">
        <v>13768</v>
      </c>
      <c r="G4886" s="2" t="s">
        <v>13772</v>
      </c>
      <c r="H4886" s="1">
        <v>2.0</v>
      </c>
      <c r="J4886" s="1" t="s">
        <v>4</v>
      </c>
      <c r="K4886" s="2" t="s">
        <v>13773</v>
      </c>
      <c r="L4886" s="2" t="s">
        <v>13774</v>
      </c>
      <c r="M4886" s="2" t="str">
        <f>IFERROR(__xludf.DUMMYFUNCTION("split(split(K4886,""【"",false),""公式LINE"",false)"),"マラソンシューズ「陸王」の開発が本格始動したこはぜ屋。次なる試練は、シューズの耐久性を高める素材探し!理想的な素材に辿りついた宮沢(役所広司)は、その素材の特許の持ち主・飯山(寺尾聰)に会うことに。しかし、飯山はとんだ金の亡者で高額な特許使用料を求めてきた!一方、レース中に負傷したランナーの茂木(竹内涼真)は、怪我を克服する為に必死に練習に打ち込むが思うようにいかず、焦りを募らせており…宮沢紘一・・・役所広司  宮沢大地・・・山崎賢人  茂木裕人・・・竹内涼真  宮沢茜・・・上白石萌音  坂本太郎・・・風"&amp;"間俊介  城戸明宏・・・音尾琢真  平瀬孝夫・・・和田正人  毛塚直之・・・佐野岳大橋浩・・・馬場徹  安田利充・・・内村遥  江幡晃平・・・天野義久  西井冨久子・・・正司照枝  仲下美咲・・・吉谷彩子  正岡あけみ・・・阿川佐和子  佐山淳司・・・小籔千豊家長亨・・・桂雀々  富島玄三・・・志賀廣太郎  有村融・・・光石研  宮沢美枝子・・・檀ふみ  飯山素子・・・キムラ緑子  村野尊彦・・・市川右團次  小原賢治・・・ピエール瀧  飯山晴之・・・寺尾聰原作:池井戸潤「陸王」(集英社刊)  脚本:八津"&amp;"弘幸  音楽:服部隆之◇番組HP  http://www.tbs.co.jp/rikuou_tbs/    ◇twitter  @rikuou_tbs  https://twitter.com/rikuou_tbs    ◇facebook  https://www.facebook.com/rikuou.tbs    ◇instagram  https://www.instagram.com/rikuoh.tbs/  番組の内容と放送時間は変更になる可能性があります。")</f>
        <v>マラソンシューズ「陸王」の開発が本格始動したこはぜ屋。次なる試練は、シューズの耐久性を高める素材探し!理想的な素材に辿りついた宮沢(役所広司)は、その素材の特許の持ち主・飯山(寺尾聰)に会うことに。しかし、飯山はとんだ金の亡者で高額な特許使用料を求めてきた!一方、レース中に負傷したランナーの茂木(竹内涼真)は、怪我を克服する為に必死に練習に打ち込むが思うようにいかず、焦りを募らせており…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佐山淳司・・・小籔千豊家長亨・・・桂雀々  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  番組の内容と放送時間は変更になる可能性があります。</v>
      </c>
      <c r="N4886" s="2"/>
      <c r="O4886" s="2"/>
      <c r="P4886" s="2"/>
      <c r="Q4886" s="2"/>
      <c r="R4886" s="2"/>
      <c r="S4886" s="2"/>
      <c r="T4886" s="2"/>
      <c r="U4886" s="2"/>
      <c r="V4886" s="2"/>
      <c r="W4886" s="2"/>
      <c r="X4886" s="2"/>
      <c r="Y4886" s="2"/>
      <c r="Z4886" s="2"/>
      <c r="AA4886" s="2"/>
      <c r="AB4886" s="2"/>
      <c r="AC4886" s="2"/>
      <c r="AD4886" s="2"/>
      <c r="AE4886" s="2"/>
      <c r="AF4886" s="2"/>
      <c r="AG4886" s="2"/>
      <c r="AH4886" s="2"/>
      <c r="AI4886" s="2"/>
      <c r="AJ4886" s="2"/>
      <c r="AK4886" s="2"/>
      <c r="AL4886" s="2"/>
      <c r="AM4886" s="2"/>
      <c r="AN4886" s="2"/>
      <c r="AO4886" s="2"/>
      <c r="AP4886" s="2"/>
      <c r="AQ4886" s="2"/>
      <c r="AR4886" s="2"/>
      <c r="AS4886" s="2"/>
      <c r="AT4886" s="2"/>
      <c r="AU4886" s="2"/>
      <c r="AV4886" s="2"/>
      <c r="AW4886" s="2"/>
      <c r="AX4886" s="2"/>
      <c r="AY4886" s="2"/>
      <c r="AZ4886" s="2"/>
      <c r="BA4886" s="2"/>
      <c r="BB4886" s="2"/>
    </row>
    <row r="4887" ht="204.75" customHeight="1">
      <c r="A4887" s="1">
        <v>1049.0</v>
      </c>
      <c r="B4887" s="2" t="s">
        <v>13767</v>
      </c>
      <c r="C4887" s="2">
        <f>IFERROR(__xludf.DUMMYFUNCTION("split(B4887,""_"")"),1710.0)</f>
        <v>1710</v>
      </c>
      <c r="D4887" s="2" t="str">
        <f>IFERROR(__xludf.DUMMYFUNCTION("""COMPUTED_VALUE"""),"TBS")</f>
        <v>TBS</v>
      </c>
      <c r="E4887" s="2" t="str">
        <f>IFERROR(__xludf.DUMMYFUNCTION("""COMPUTED_VALUE"""),"日21")</f>
        <v>日21</v>
      </c>
      <c r="F4887" s="2" t="s">
        <v>13768</v>
      </c>
      <c r="G4887" s="2" t="s">
        <v>13775</v>
      </c>
      <c r="H4887" s="1">
        <v>3.0</v>
      </c>
      <c r="J4887" s="1" t="s">
        <v>4</v>
      </c>
      <c r="K4887" s="2" t="s">
        <v>13776</v>
      </c>
      <c r="L4887" s="2" t="s">
        <v>13777</v>
      </c>
      <c r="M4887" s="2" t="str">
        <f>IFERROR(__xludf.DUMMYFUNCTION("split(split(K4887,""【"",false),""公式LINE"",false)"),"シューズの命とも言えるソールにうってつけの素材「シルクレイ」の開発者・飯山(寺尾聰)を仲間に迎えた「陸王」計画。大手メーカーに負けないシューズ作りに意気込むものの、そう簡単にはいかず…　宮沢(役所広司)は陸王の売り上げ実績を少しでも作るべく奔走する日々。そんな中、初めて陸王に足を通した茂木(竹内涼真)はこれまでにない履き心地のシューズに、走る喜びを感じていたが、ライバルたちはどんどん先を行き…宮沢紘一・・・役所広司  宮沢大地・・・山崎賢人  茂木裕人・・・竹内涼真  宮沢茜・・・上白石萌音  坂本太郎・"&amp;"・・風間俊介  城戸明宏・・・音尾琢真  平瀬孝夫・・・和田正人  毛塚直之・・・佐野岳大橋浩・・・馬場徹  安田利充・・・内村遥  江幡晃平・・・天野義久  西井冨久子・・・正司照枝  仲下美咲・・・吉谷彩子  正岡あけみ・・・阿川佐和子  佐山淳司・・・小籔千豊  家長亨・・・桂雀々富島玄三・・・志賀廣太郎  有村融・・・光石研  宮沢美枝子・・・檀ふみ  飯山素子・・・キムラ緑子  村野尊彦・・・市川右團次  小原賢治・・・ピエール瀧  飯山晴之・・・寺尾聰原作:池井戸潤「陸王」(集英社刊)  脚本"&amp;":八津弘幸  音楽:服部隆之◇番組HP  http://www.tbs.co.jp/rikuou_tbs/    ◇twitter  @rikuou_tbs  https://twitter.com/rikuou_tbs    ◇facebook  https://www.facebook.com/rikuou.tbs    ◇instagram  https://www.instagram.com/rikuoh.tbs/番組の内容と放送時間は変更になる可能性があります。")</f>
        <v>シューズの命とも言えるソールにうってつけの素材「シルクレイ」の開発者・飯山(寺尾聰)を仲間に迎えた「陸王」計画。大手メーカーに負けないシューズ作りに意気込むものの、そう簡単にはいかず…　宮沢(役所広司)は陸王の売り上げ実績を少しでも作るべく奔走する日々。そんな中、初めて陸王に足を通した茂木(竹内涼真)はこれまでにない履き心地のシューズに、走る喜びを感じていたが、ライバルたちはどんどん先を行き…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  家長亨・・・桂雀々富島玄三・・・志賀廣太郎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v>
      </c>
      <c r="N4887" s="2"/>
      <c r="O4887" s="2"/>
      <c r="P4887" s="2"/>
      <c r="Q4887" s="2"/>
      <c r="R4887" s="2"/>
      <c r="S4887" s="2"/>
      <c r="T4887" s="2"/>
      <c r="U4887" s="2"/>
      <c r="V4887" s="2"/>
      <c r="W4887" s="2"/>
      <c r="X4887" s="2"/>
      <c r="Y4887" s="2"/>
      <c r="Z4887" s="2"/>
      <c r="AA4887" s="2"/>
      <c r="AB4887" s="2"/>
      <c r="AC4887" s="2"/>
      <c r="AD4887" s="2"/>
      <c r="AE4887" s="2"/>
      <c r="AF4887" s="2"/>
      <c r="AG4887" s="2"/>
      <c r="AH4887" s="2"/>
      <c r="AI4887" s="2"/>
      <c r="AJ4887" s="2"/>
      <c r="AK4887" s="2"/>
      <c r="AL4887" s="2"/>
      <c r="AM4887" s="2"/>
      <c r="AN4887" s="2"/>
      <c r="AO4887" s="2"/>
      <c r="AP4887" s="2"/>
      <c r="AQ4887" s="2"/>
      <c r="AR4887" s="2"/>
      <c r="AS4887" s="2"/>
      <c r="AT4887" s="2"/>
      <c r="AU4887" s="2"/>
      <c r="AV4887" s="2"/>
      <c r="AW4887" s="2"/>
      <c r="AX4887" s="2"/>
      <c r="AY4887" s="2"/>
      <c r="AZ4887" s="2"/>
      <c r="BA4887" s="2"/>
      <c r="BB4887" s="2"/>
    </row>
    <row r="4888" ht="204.75" customHeight="1">
      <c r="A4888" s="1">
        <v>1050.0</v>
      </c>
      <c r="B4888" s="2" t="s">
        <v>13767</v>
      </c>
      <c r="C4888" s="2">
        <f>IFERROR(__xludf.DUMMYFUNCTION("split(B4888,""_"")"),1710.0)</f>
        <v>1710</v>
      </c>
      <c r="D4888" s="2" t="str">
        <f>IFERROR(__xludf.DUMMYFUNCTION("""COMPUTED_VALUE"""),"TBS")</f>
        <v>TBS</v>
      </c>
      <c r="E4888" s="2" t="str">
        <f>IFERROR(__xludf.DUMMYFUNCTION("""COMPUTED_VALUE"""),"日21")</f>
        <v>日21</v>
      </c>
      <c r="F4888" s="2" t="s">
        <v>13768</v>
      </c>
      <c r="G4888" s="2" t="s">
        <v>13778</v>
      </c>
      <c r="H4888" s="1">
        <v>4.0</v>
      </c>
      <c r="J4888" s="1" t="s">
        <v>11</v>
      </c>
      <c r="K4888" s="2" t="s">
        <v>13779</v>
      </c>
      <c r="L4888" s="2" t="s">
        <v>13780</v>
      </c>
      <c r="M4888" s="2" t="str">
        <f>IFERROR(__xludf.DUMMYFUNCTION("split(split(K4888,""【"",false),""公式LINE"",false)"),"ソール(靴底)用のシルクレイが遂に完成!「ニュー陸王」が誕生する!自信をもって茂木(竹内涼真)に届けようとする宮沢(役所広司)だったが、怪我が回復したらまたアトランティスからのサポートを受けることになっていると城戸(音尾琢真)からまたも門前払いされる。しかし、アトランティスは回復の兆しがみえない茂木のスポンサードを再開する気はさらさらなく…　それでも這い上がろうとする茂木。最後に陸王を選ぶのか!?宮沢紘一・・・役所広司  宮沢大地・・・山崎賢人  茂木裕人・・・竹内涼真  宮沢茜・・・上白石萌音  坂本太"&amp;"郎・・・風間俊介  城戸明宏・・・音尾琢真  平瀬孝夫・・・和田正人  毛塚直之・・・佐野岳大橋浩・・・馬場徹  安田利充・・・内村遥  江幡晃平・・・天野義久  西井冨久子・・・正司照枝  仲下美咲・・・吉谷彩子  正岡あけみ・・・阿川佐和子  佐山淳司・・・小籔千豊家長亨・・・桂雀々  富島玄三・・・志賀廣太郎  有村融・・・光石研  宮沢美枝子・・・檀ふみ  飯山素子・・・キムラ緑子  村野尊彦・・・市川右團次  小原賢治・・・ピエール瀧  飯山晴之・・・寺尾聰原作:池井戸潤「陸王」(集英社刊)  "&amp;"脚本:八津弘幸  音楽:服部隆之◇番組HP  http://www.tbs.co.jp/rikuou_tbs/    ◇twitter  @rikuou_tbs  https://twitter.com/rikuou_tbs    ◇facebook  https://www.facebook.com/rikuou.tbs    ◇instagram  https://www.instagram.com/rikuoh.tbs/番組の内容と放送時間は変更になる可能性があります。")</f>
        <v>ソール(靴底)用のシルクレイが遂に完成!「ニュー陸王」が誕生する!自信をもって茂木(竹内涼真)に届けようとする宮沢(役所広司)だったが、怪我が回復したらまたアトランティスからのサポートを受けることになっていると城戸(音尾琢真)からまたも門前払いされる。しかし、アトランティスは回復の兆しがみえない茂木のスポンサードを再開する気はさらさらなく…　それでも這い上がろうとする茂木。最後に陸王を選ぶのか!?宮沢紘一・・・役所広司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佐山淳司・・・小籔千豊家長亨・・・桂雀々  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v>
      </c>
      <c r="N4888" s="2"/>
      <c r="O4888" s="2"/>
      <c r="P4888" s="2"/>
      <c r="Q4888" s="2"/>
      <c r="R4888" s="2"/>
      <c r="S4888" s="2"/>
      <c r="T4888" s="2"/>
      <c r="U4888" s="2"/>
      <c r="V4888" s="2"/>
      <c r="W4888" s="2"/>
      <c r="X4888" s="2"/>
      <c r="Y4888" s="2"/>
      <c r="Z4888" s="2"/>
      <c r="AA4888" s="2"/>
      <c r="AB4888" s="2"/>
      <c r="AC4888" s="2"/>
      <c r="AD4888" s="2"/>
      <c r="AE4888" s="2"/>
      <c r="AF4888" s="2"/>
      <c r="AG4888" s="2"/>
      <c r="AH4888" s="2"/>
      <c r="AI4888" s="2"/>
      <c r="AJ4888" s="2"/>
      <c r="AK4888" s="2"/>
      <c r="AL4888" s="2"/>
      <c r="AM4888" s="2"/>
      <c r="AN4888" s="2"/>
      <c r="AO4888" s="2"/>
      <c r="AP4888" s="2"/>
      <c r="AQ4888" s="2"/>
      <c r="AR4888" s="2"/>
      <c r="AS4888" s="2"/>
      <c r="AT4888" s="2"/>
      <c r="AU4888" s="2"/>
      <c r="AV4888" s="2"/>
      <c r="AW4888" s="2"/>
      <c r="AX4888" s="2"/>
      <c r="AY4888" s="2"/>
      <c r="AZ4888" s="2"/>
      <c r="BA4888" s="2"/>
      <c r="BB4888" s="2"/>
    </row>
    <row r="4889" ht="204.75" customHeight="1">
      <c r="A4889" s="1">
        <v>1051.0</v>
      </c>
      <c r="B4889" s="2" t="s">
        <v>13767</v>
      </c>
      <c r="C4889" s="2">
        <f>IFERROR(__xludf.DUMMYFUNCTION("split(B4889,""_"")"),1710.0)</f>
        <v>1710</v>
      </c>
      <c r="D4889" s="2" t="str">
        <f>IFERROR(__xludf.DUMMYFUNCTION("""COMPUTED_VALUE"""),"TBS")</f>
        <v>TBS</v>
      </c>
      <c r="E4889" s="2" t="str">
        <f>IFERROR(__xludf.DUMMYFUNCTION("""COMPUTED_VALUE"""),"日21")</f>
        <v>日21</v>
      </c>
      <c r="F4889" s="2" t="s">
        <v>13768</v>
      </c>
      <c r="G4889" s="2" t="s">
        <v>13781</v>
      </c>
      <c r="H4889" s="1">
        <v>5.0</v>
      </c>
      <c r="J4889" s="1" t="s">
        <v>4</v>
      </c>
      <c r="K4889" s="2" t="s">
        <v>13782</v>
      </c>
      <c r="L4889" s="2" t="s">
        <v>13783</v>
      </c>
      <c r="M4889" s="2" t="str">
        <f>IFERROR(__xludf.DUMMYFUNCTION("split(split(K4889,""【"",false),""公式LINE"",false)"),"宮沢(役所広司)たちが心を込めて完成させた「陸王」を履いた茂木(竹内涼真)は、完全復活を遂げる!走り心地の良さに感動した茂木は、こはぜ屋のサポートを是非にと受け入れる。宮沢の念願が叶った瞬間だったが、茂木の快走を目の当たりにしたアトランィスの小原(ピエール瀧)は、まだ金になる選手だと考え、サポート再開を画策する。そんな中、飯山(寺尾聰)が何者かに襲われ、シルクレイ製造の危機に見舞われる!  宮沢紘一・・・役所広司  宮沢大地・・・山崎賢人  茂木裕人・・・竹内涼真  宮沢茜・・・上白石萌音  坂本太郎・・"&amp;"・風間俊介  城戸明宏・・・音尾琢真  平瀬孝夫・・・和田正人  毛塚直之・・・佐野岳大橋浩・・・馬場徹  安田利充・・・内村遥  江幡晃平・・・天野義久  西井冨久子・・・正司照枝  仲下美咲・・・吉谷彩子  正岡あけみ・・・阿川佐和子  佐山淳司・・・小籔千豊家長亨・・・桂雀々  富島玄三・・・志賀廣太郎  有村融・・・光石研  宮沢美枝子・・・檀ふみ  飯山素子・・・キムラ緑子  村野尊彦・・・市川右團次  小原賢治・・・ピエール瀧  飯山晴之・・・寺尾聰原作:池井戸潤「陸王」(集英社刊)  脚本:"&amp;"八津弘幸  音楽:服部隆之◇番組HP  http://www.tbs.co.jp/rikuou_tbs/    ◇twitter  @rikuou_tbs  https://twitter.com/rikuou_tbs    ◇facebook  https://www.facebook.com/rikuou.tbs    ◇instagram  https://www.instagram.com/rikuoh.tbs/番組の内容と放送時間は変更になる可能性があります。")</f>
        <v>宮沢(役所広司)たちが心を込めて完成させた「陸王」を履いた茂木(竹内涼真)は、完全復活を遂げる!走り心地の良さに感動した茂木は、こはぜ屋のサポートを是非にと受け入れる。宮沢の念願が叶った瞬間だったが、茂木の快走を目の当たりにしたアトランィスの小原(ピエール瀧)は、まだ金になる選手だと考え、サポート再開を画策する。そんな中、飯山(寺尾聰)が何者かに襲われ、シルクレイ製造の危機に見舞われる!  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佐山淳司・・・小籔千豊家長亨・・・桂雀々  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v>
      </c>
      <c r="N4889" s="2"/>
      <c r="O4889" s="2"/>
      <c r="P4889" s="2"/>
      <c r="Q4889" s="2"/>
      <c r="R4889" s="2"/>
      <c r="S4889" s="2"/>
      <c r="T4889" s="2"/>
      <c r="U4889" s="2"/>
      <c r="V4889" s="2"/>
      <c r="W4889" s="2"/>
      <c r="X4889" s="2"/>
      <c r="Y4889" s="2"/>
      <c r="Z4889" s="2"/>
      <c r="AA4889" s="2"/>
      <c r="AB4889" s="2"/>
      <c r="AC4889" s="2"/>
      <c r="AD4889" s="2"/>
      <c r="AE4889" s="2"/>
      <c r="AF4889" s="2"/>
      <c r="AG4889" s="2"/>
      <c r="AH4889" s="2"/>
      <c r="AI4889" s="2"/>
      <c r="AJ4889" s="2"/>
      <c r="AK4889" s="2"/>
      <c r="AL4889" s="2"/>
      <c r="AM4889" s="2"/>
      <c r="AN4889" s="2"/>
      <c r="AO4889" s="2"/>
      <c r="AP4889" s="2"/>
      <c r="AQ4889" s="2"/>
      <c r="AR4889" s="2"/>
      <c r="AS4889" s="2"/>
      <c r="AT4889" s="2"/>
      <c r="AU4889" s="2"/>
      <c r="AV4889" s="2"/>
      <c r="AW4889" s="2"/>
      <c r="AX4889" s="2"/>
      <c r="AY4889" s="2"/>
      <c r="AZ4889" s="2"/>
      <c r="BA4889" s="2"/>
      <c r="BB4889" s="2"/>
    </row>
    <row r="4890" ht="204.75" customHeight="1">
      <c r="A4890" s="1">
        <v>1052.0</v>
      </c>
      <c r="B4890" s="2" t="s">
        <v>13767</v>
      </c>
      <c r="C4890" s="2">
        <f>IFERROR(__xludf.DUMMYFUNCTION("split(B4890,""_"")"),1710.0)</f>
        <v>1710</v>
      </c>
      <c r="D4890" s="2" t="str">
        <f>IFERROR(__xludf.DUMMYFUNCTION("""COMPUTED_VALUE"""),"TBS")</f>
        <v>TBS</v>
      </c>
      <c r="E4890" s="2" t="str">
        <f>IFERROR(__xludf.DUMMYFUNCTION("""COMPUTED_VALUE"""),"日21")</f>
        <v>日21</v>
      </c>
      <c r="F4890" s="2" t="s">
        <v>13768</v>
      </c>
      <c r="G4890" s="2" t="s">
        <v>13784</v>
      </c>
      <c r="H4890" s="1">
        <v>6.0</v>
      </c>
      <c r="J4890" s="1" t="s">
        <v>11</v>
      </c>
      <c r="K4890" s="2" t="s">
        <v>13785</v>
      </c>
      <c r="L4890" s="2" t="s">
        <v>13786</v>
      </c>
      <c r="M4890" s="2" t="str">
        <f>IFERROR(__xludf.DUMMYFUNCTION("split(split(K4890,""【"",false),""公式LINE"",false)"),"茂木(竹内涼真)は、最後まで悩んだ挙句「陸王」を選び、ついに「陸王」がレースで走る日が訪れる!怪我をして挫折した豊橋国際マラソン以来の、宿命のライバル・毛塚(佐野岳)との対戦。こはぜ屋のみんなの想いを抱えて茂木は力走する!宮沢(役所広司)は「陸王」のデビュー戦を目の当たりにし、ひとつの夢が叶ったと感慨深いものを感じるが…。一方、アトランティスのこはぜ屋潰しの動きが本格化し、窮地に追い込まれる!?宮沢紘一・・・役所広司  宮沢大地・・・山崎賢人  茂木裕人・・・竹内涼真  宮沢茜・・・上白石萌音  坂本太郎"&amp;"・・・風間俊介  城戸明宏・・・音尾琢真  平瀬孝夫・・・和田正人  毛塚直之・・・佐野岳大橋浩・・・馬場徹  安田利充・・・内村遥  江幡晃平・・・天野義久  西井冨久子・・・正司照枝  仲下美咲・・・吉谷彩子  正岡あけみ・・・阿川佐和子  佐山淳司・・・小籔千豊家長亨・・・桂雀々  富島玄三・・・志賀廣太郎  有村融・・・光石研  宮沢美枝子・・・檀ふみ  飯山素子・・・キムラ緑子  村野尊彦・・・市川右團次  小原賢治・・・ピエール瀧  飯山晴之・・・寺尾聰原作:池井戸潤「陸王」(集英社刊)  脚"&amp;"本:八津弘幸  音楽:服部隆之◇番組HP  http://www.tbs.co.jp/rikuou_tbs/    ◇twitter  @rikuou_tbs  https://twitter.com/rikuou_tbs    ◇facebook  https://www.facebook.com/rikuou.tbs    ◇instagram  https://www.instagram.com/rikuoh.tbs/  番組の内容と放送時間は変更になる可能性があります。")</f>
        <v>茂木(竹内涼真)は、最後まで悩んだ挙句「陸王」を選び、ついに「陸王」がレースで走る日が訪れる!怪我をして挫折した豊橋国際マラソン以来の、宿命のライバル・毛塚(佐野岳)との対戦。こはぜ屋のみんなの想いを抱えて茂木は力走する!宮沢(役所広司)は「陸王」のデビュー戦を目の当たりにし、ひとつの夢が叶ったと感慨深いものを感じるが…。一方、アトランティスのこはぜ屋潰しの動きが本格化し、窮地に追い込まれる!?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佐山淳司・・・小籔千豊家長亨・・・桂雀々  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  番組の内容と放送時間は変更になる可能性があります。</v>
      </c>
      <c r="N4890" s="2"/>
      <c r="O4890" s="2"/>
      <c r="P4890" s="2"/>
      <c r="Q4890" s="2"/>
      <c r="R4890" s="2"/>
      <c r="S4890" s="2"/>
      <c r="T4890" s="2"/>
      <c r="U4890" s="2"/>
      <c r="V4890" s="2"/>
      <c r="W4890" s="2"/>
      <c r="X4890" s="2"/>
      <c r="Y4890" s="2"/>
      <c r="Z4890" s="2"/>
      <c r="AA4890" s="2"/>
      <c r="AB4890" s="2"/>
      <c r="AC4890" s="2"/>
      <c r="AD4890" s="2"/>
      <c r="AE4890" s="2"/>
      <c r="AF4890" s="2"/>
      <c r="AG4890" s="2"/>
      <c r="AH4890" s="2"/>
      <c r="AI4890" s="2"/>
      <c r="AJ4890" s="2"/>
      <c r="AK4890" s="2"/>
      <c r="AL4890" s="2"/>
      <c r="AM4890" s="2"/>
      <c r="AN4890" s="2"/>
      <c r="AO4890" s="2"/>
      <c r="AP4890" s="2"/>
      <c r="AQ4890" s="2"/>
      <c r="AR4890" s="2"/>
      <c r="AS4890" s="2"/>
      <c r="AT4890" s="2"/>
      <c r="AU4890" s="2"/>
      <c r="AV4890" s="2"/>
      <c r="AW4890" s="2"/>
      <c r="AX4890" s="2"/>
      <c r="AY4890" s="2"/>
      <c r="AZ4890" s="2"/>
      <c r="BA4890" s="2"/>
      <c r="BB4890" s="2"/>
    </row>
    <row r="4891" ht="204.75" customHeight="1">
      <c r="A4891" s="1">
        <v>1053.0</v>
      </c>
      <c r="B4891" s="2" t="s">
        <v>13767</v>
      </c>
      <c r="C4891" s="2">
        <f>IFERROR(__xludf.DUMMYFUNCTION("split(B4891,""_"")"),1710.0)</f>
        <v>1710</v>
      </c>
      <c r="D4891" s="2" t="str">
        <f>IFERROR(__xludf.DUMMYFUNCTION("""COMPUTED_VALUE"""),"TBS")</f>
        <v>TBS</v>
      </c>
      <c r="E4891" s="2" t="str">
        <f>IFERROR(__xludf.DUMMYFUNCTION("""COMPUTED_VALUE"""),"日21")</f>
        <v>日21</v>
      </c>
      <c r="F4891" s="2" t="s">
        <v>13768</v>
      </c>
      <c r="G4891" s="2" t="s">
        <v>13787</v>
      </c>
      <c r="H4891" s="1">
        <v>7.0</v>
      </c>
      <c r="J4891" s="1" t="s">
        <v>11</v>
      </c>
      <c r="K4891" s="2" t="s">
        <v>13788</v>
      </c>
      <c r="L4891" s="2" t="s">
        <v>13789</v>
      </c>
      <c r="M4891" s="2" t="str">
        <f>IFERROR(__xludf.DUMMYFUNCTION("split(split(K4891,""【"",false),""公式LINE"",false)"),"アトランティスのこはぜ屋潰しが本格的に始まる!やっとの思いで手に入れたタチバナラッセル製のアッパー素材の取引を、アトランティスに横取りされる!更に、シルクレイの製造機にとうとう寿命が訪れ…「陸王」開発メンバーの間にも軋轢が生じ、空前の危機を迎えるこはぜ屋!そんな窮地で救世主が現れる!?宮沢(役所広司)は社長として覚悟を決められるのか?「陸王」を待つ茂木(竹内涼真)の運命はどうなるのか!?宮沢紘一・・・役所広司  宮沢大地・・・山崎賢人  茂木裕人・・・竹内涼真  宮沢茜・・・上白石萌音  坂本太郎・・・風"&amp;"間俊介  城戸明宏・・・音尾琢真  平瀬孝夫・・・和田正人  毛塚直之・・・佐野岳大橋浩・・・馬場徹  安田利充・・・内村遥  江幡晃平・・・天野義久  西井冨久子・・・正司照枝  仲下美咲・・・吉谷彩子  正岡あけみ・・・阿川佐和子  佐山淳司・・・小籔千豊御園丈治・・・松岡修造  家長亨・・・桂雀々  富島玄三・・・志賀廣太郎  宮沢美枝子・・・檀ふみ  飯山素子・・・キムラ緑子  村野尊彦・・・市川右團次  小原賢治・・・ピエール瀧  飯山晴之・・・寺尾聰原作:池井戸潤「陸王」(集英社刊)  脚本:"&amp;"八津弘幸  音楽:服部隆之◇番組HP  http://www.tbs.co.jp/rikuou_tbs/    ◇twitter  @rikuou_tbs  https://twitter.com/rikuou_tbs    ◇facebook  https://www.facebook.com/rikuou.tbs    ◇instagram  https://www.instagram.com/rikuoh.tbs/番組の内容と放送時間は変更になる可能性があります。")</f>
        <v>アトランティスのこはぜ屋潰しが本格的に始まる!やっとの思いで手に入れたタチバナラッセル製のアッパー素材の取引を、アトランティスに横取りされる!更に、シルクレイの製造機にとうとう寿命が訪れ…「陸王」開発メンバーの間にも軋轢が生じ、空前の危機を迎えるこはぜ屋!そんな窮地で救世主が現れる!?宮沢(役所広司)は社長として覚悟を決められるのか?「陸王」を待つ茂木(竹内涼真)の運命はどうなるのか!?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佐山淳司・・・小籔千豊御園丈治・・・松岡修造  家長亨・・・桂雀々  富島玄三・・・志賀廣太郎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v>
      </c>
      <c r="N4891" s="2"/>
      <c r="O4891" s="2"/>
      <c r="P4891" s="2"/>
      <c r="Q4891" s="2"/>
      <c r="R4891" s="2"/>
      <c r="S4891" s="2"/>
      <c r="T4891" s="2"/>
      <c r="U4891" s="2"/>
      <c r="V4891" s="2"/>
      <c r="W4891" s="2"/>
      <c r="X4891" s="2"/>
      <c r="Y4891" s="2"/>
      <c r="Z4891" s="2"/>
      <c r="AA4891" s="2"/>
      <c r="AB4891" s="2"/>
      <c r="AC4891" s="2"/>
      <c r="AD4891" s="2"/>
      <c r="AE4891" s="2"/>
      <c r="AF4891" s="2"/>
      <c r="AG4891" s="2"/>
      <c r="AH4891" s="2"/>
      <c r="AI4891" s="2"/>
      <c r="AJ4891" s="2"/>
      <c r="AK4891" s="2"/>
      <c r="AL4891" s="2"/>
      <c r="AM4891" s="2"/>
      <c r="AN4891" s="2"/>
      <c r="AO4891" s="2"/>
      <c r="AP4891" s="2"/>
      <c r="AQ4891" s="2"/>
      <c r="AR4891" s="2"/>
      <c r="AS4891" s="2"/>
      <c r="AT4891" s="2"/>
      <c r="AU4891" s="2"/>
      <c r="AV4891" s="2"/>
      <c r="AW4891" s="2"/>
      <c r="AX4891" s="2"/>
      <c r="AY4891" s="2"/>
      <c r="AZ4891" s="2"/>
      <c r="BA4891" s="2"/>
      <c r="BB4891" s="2"/>
    </row>
    <row r="4892" ht="204.75" customHeight="1">
      <c r="A4892" s="1">
        <v>1054.0</v>
      </c>
      <c r="B4892" s="2" t="s">
        <v>13767</v>
      </c>
      <c r="C4892" s="2">
        <f>IFERROR(__xludf.DUMMYFUNCTION("split(B4892,""_"")"),1710.0)</f>
        <v>1710</v>
      </c>
      <c r="D4892" s="2" t="str">
        <f>IFERROR(__xludf.DUMMYFUNCTION("""COMPUTED_VALUE"""),"TBS")</f>
        <v>TBS</v>
      </c>
      <c r="E4892" s="2" t="str">
        <f>IFERROR(__xludf.DUMMYFUNCTION("""COMPUTED_VALUE"""),"日21")</f>
        <v>日21</v>
      </c>
      <c r="F4892" s="2" t="s">
        <v>13768</v>
      </c>
      <c r="G4892" s="2" t="s">
        <v>13790</v>
      </c>
      <c r="H4892" s="1">
        <v>8.0</v>
      </c>
      <c r="J4892" s="1" t="s">
        <v>11</v>
      </c>
      <c r="K4892" s="2" t="s">
        <v>13791</v>
      </c>
      <c r="L4892" s="2" t="s">
        <v>13792</v>
      </c>
      <c r="M4892" s="2" t="str">
        <f>IFERROR(__xludf.DUMMYFUNCTION("split(split(K4892,""【"",false),""公式LINE"",false)"),"「陸王」の為に必要なシルクレイ製造機の修理費・1億円を工面する手段として、坂本(風間俊介)から、こはぜ屋を売らないかという仰天の提案が出る!老舗ののれんを売るわけにはいかないと一蹴する宮沢(役所広司)。しかし、解決策が見つからないまま「陸王」製造は中止に追い込まれ…最後にこはぜ屋全員で臨むのは市民駅伝だった!?一方、頼るシューズが無くなった茂木(竹内涼真)はアトランティスから再びアプローチされる!宮沢紘一・・・役所広司  宮沢大地・・・山崎賢人  茂木裕人・・・竹内涼真  宮沢茜・・・上白石萌音  坂本太"&amp;"郎・・・風間俊介  城戸明宏・・・音尾琢真  平瀬孝夫・・・和田正人  毛塚直之・・・佐野岳大橋浩・・・馬場徹  安田利充・・・内村遥  江幡晃平・・・天野義久  西井冨久子・・・正司照枝  仲下美咲・・・吉谷彩子  正岡あけみ・・・阿川佐和子  佐山淳司・・・小籔千豊御園丈治・・・松岡修造  家長亨・・・桂雀々  富島玄三・・・志賀廣太郎  宮沢美枝子・・・檀ふみ  飯山素子・・・キムラ緑子  村野尊彦・・・市川右團次  小原賢治・・・ピエール瀧  飯山晴之・・・寺尾聰原作:池井戸潤「陸王」(集英社刊)"&amp;"  脚本:八津弘幸  音楽:服部隆之◇番組HP  http://www.tbs.co.jp/rikuou_tbs/    ◇twitter  @rikuou_tbs  https://twitter.com/rikuou_tbs    ◇facebook  https://www.facebook.com/rikuou.tbs    ◇instagram  https://www.instagram.com/rikuoh.tbs/番組の内容と放送時間は変更になる可能性があります。")</f>
        <v>「陸王」の為に必要なシルクレイ製造機の修理費・1億円を工面する手段として、坂本(風間俊介)から、こはぜ屋を売らないかという仰天の提案が出る!老舗ののれんを売るわけにはいかないと一蹴する宮沢(役所広司)。しかし、解決策が見つからないまま「陸王」製造は中止に追い込まれ…最後にこはぜ屋全員で臨むのは市民駅伝だった!?一方、頼るシューズが無くなった茂木(竹内涼真)はアトランティスから再びアプローチされる!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佐山淳司・・・小籔千豊御園丈治・・・松岡修造  家長亨・・・桂雀々  富島玄三・・・志賀廣太郎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v>
      </c>
      <c r="N4892" s="2"/>
      <c r="O4892" s="2"/>
      <c r="P4892" s="2"/>
      <c r="Q4892" s="2"/>
      <c r="R4892" s="2"/>
      <c r="S4892" s="2"/>
      <c r="T4892" s="2"/>
      <c r="U4892" s="2"/>
      <c r="V4892" s="2"/>
      <c r="W4892" s="2"/>
      <c r="X4892" s="2"/>
      <c r="Y4892" s="2"/>
      <c r="Z4892" s="2"/>
      <c r="AA4892" s="2"/>
      <c r="AB4892" s="2"/>
      <c r="AC4892" s="2"/>
      <c r="AD4892" s="2"/>
      <c r="AE4892" s="2"/>
      <c r="AF4892" s="2"/>
      <c r="AG4892" s="2"/>
      <c r="AH4892" s="2"/>
      <c r="AI4892" s="2"/>
      <c r="AJ4892" s="2"/>
      <c r="AK4892" s="2"/>
      <c r="AL4892" s="2"/>
      <c r="AM4892" s="2"/>
      <c r="AN4892" s="2"/>
      <c r="AO4892" s="2"/>
      <c r="AP4892" s="2"/>
      <c r="AQ4892" s="2"/>
      <c r="AR4892" s="2"/>
      <c r="AS4892" s="2"/>
      <c r="AT4892" s="2"/>
      <c r="AU4892" s="2"/>
      <c r="AV4892" s="2"/>
      <c r="AW4892" s="2"/>
      <c r="AX4892" s="2"/>
      <c r="AY4892" s="2"/>
      <c r="AZ4892" s="2"/>
      <c r="BA4892" s="2"/>
      <c r="BB4892" s="2"/>
    </row>
    <row r="4893" ht="204.75" customHeight="1">
      <c r="A4893" s="1">
        <v>1055.0</v>
      </c>
      <c r="B4893" s="2" t="s">
        <v>13767</v>
      </c>
      <c r="C4893" s="2">
        <f>IFERROR(__xludf.DUMMYFUNCTION("split(B4893,""_"")"),1710.0)</f>
        <v>1710</v>
      </c>
      <c r="D4893" s="2" t="str">
        <f>IFERROR(__xludf.DUMMYFUNCTION("""COMPUTED_VALUE"""),"TBS")</f>
        <v>TBS</v>
      </c>
      <c r="E4893" s="2" t="str">
        <f>IFERROR(__xludf.DUMMYFUNCTION("""COMPUTED_VALUE"""),"日21")</f>
        <v>日21</v>
      </c>
      <c r="F4893" s="2" t="s">
        <v>13768</v>
      </c>
      <c r="G4893" s="2" t="s">
        <v>13793</v>
      </c>
      <c r="H4893" s="1">
        <v>9.0</v>
      </c>
      <c r="J4893" s="1" t="s">
        <v>4</v>
      </c>
      <c r="K4893" s="2" t="s">
        <v>13794</v>
      </c>
      <c r="L4893" s="2" t="s">
        <v>13795</v>
      </c>
      <c r="M4893" s="2" t="str">
        <f>IFERROR(__xludf.DUMMYFUNCTION("split(split(K4893,""【"",false),""公式LINE"",false)"),"窮地に陥るこはぜ屋の起死回生の手段として、宮沢(役所広司)はフェリックスの御園(松岡修造)からの買収話に応じようとする。その条件は、こはぜ屋にとって決して悪いものではなかった。だが、聞きつけたあけみ(阿川佐和子)らこはぜ屋の社員は猛反発し、社内は決裂。頭を抱える宮沢に飯山(寺尾聰)は、買収話には更なる裏が何かあるのではないかと話す。一方、「陸王」無き今、茂木(竹内涼真)はRIIに再び足をいれ…!  宮沢紘一・・・役所広司  宮沢大地・・・山崎賢人  茂木裕人・・・竹内涼真  宮沢茜・・・上白石萌音  坂本"&amp;"太郎・・・風間俊介  城戸明宏・・・音尾琢真  平瀬孝夫・・・和田正人  毛塚直之・・・佐野岳大橋浩・・・馬場徹  安田利充・・・内村遥  江幡晃平・・・天野義久  西井冨久子・・・正司照枝  仲下美咲・・・吉谷彩子  正岡あけみ・・・阿川佐和子  佐山淳司・・・小籔千豊御園丈治・・・松岡修造  家長亨・・・桂雀々  富島玄三・・・志賀廣太郎  宮沢美枝子・・・檀ふみ  飯山素子・・・キムラ緑子  村野尊彦・・・市川右團次  小原賢治・・・ピエール瀧  飯山晴之・・・寺尾聰原作:池井戸潤「陸王」(集英社刊"&amp;")  脚本:八津弘幸  音楽:服部隆之◇番組HP  http://www.tbs.co.jp/rikuou_tbs/    ◇twitter  @rikuou_tbs  https://twitter.com/rikuou_tbs    ◇facebook  https://www.facebook.com/rikuou.tbs    ◇instagram  https://www.instagram.com/rikuoh.tbs/番組の内容と放送時間は変更になる可能性があります。")</f>
        <v>窮地に陥るこはぜ屋の起死回生の手段として、宮沢(役所広司)はフェリックスの御園(松岡修造)からの買収話に応じようとする。その条件は、こはぜ屋にとって決して悪いものではなかった。だが、聞きつけたあけみ(阿川佐和子)らこはぜ屋の社員は猛反発し、社内は決裂。頭を抱える宮沢に飯山(寺尾聰)は、買収話には更なる裏が何かあるのではないかと話す。一方、「陸王」無き今、茂木(竹内涼真)はRIIに再び足をいれ…!  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佐山淳司・・・小籔千豊御園丈治・・・松岡修造  家長亨・・・桂雀々  富島玄三・・・志賀廣太郎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v>
      </c>
      <c r="N4893" s="2"/>
      <c r="O4893" s="2"/>
      <c r="P4893" s="2"/>
      <c r="Q4893" s="2"/>
      <c r="R4893" s="2"/>
      <c r="S4893" s="2"/>
      <c r="T4893" s="2"/>
      <c r="U4893" s="2"/>
      <c r="V4893" s="2"/>
      <c r="W4893" s="2"/>
      <c r="X4893" s="2"/>
      <c r="Y4893" s="2"/>
      <c r="Z4893" s="2"/>
      <c r="AA4893" s="2"/>
      <c r="AB4893" s="2"/>
      <c r="AC4893" s="2"/>
      <c r="AD4893" s="2"/>
      <c r="AE4893" s="2"/>
      <c r="AF4893" s="2"/>
      <c r="AG4893" s="2"/>
      <c r="AH4893" s="2"/>
      <c r="AI4893" s="2"/>
      <c r="AJ4893" s="2"/>
      <c r="AK4893" s="2"/>
      <c r="AL4893" s="2"/>
      <c r="AM4893" s="2"/>
      <c r="AN4893" s="2"/>
      <c r="AO4893" s="2"/>
      <c r="AP4893" s="2"/>
      <c r="AQ4893" s="2"/>
      <c r="AR4893" s="2"/>
      <c r="AS4893" s="2"/>
      <c r="AT4893" s="2"/>
      <c r="AU4893" s="2"/>
      <c r="AV4893" s="2"/>
      <c r="AW4893" s="2"/>
      <c r="AX4893" s="2"/>
      <c r="AY4893" s="2"/>
      <c r="AZ4893" s="2"/>
      <c r="BA4893" s="2"/>
      <c r="BB4893" s="2"/>
    </row>
    <row r="4894" ht="204.75" customHeight="1">
      <c r="A4894" s="1">
        <v>1056.0</v>
      </c>
      <c r="B4894" s="2" t="s">
        <v>13767</v>
      </c>
      <c r="C4894" s="2">
        <f>IFERROR(__xludf.DUMMYFUNCTION("split(B4894,""_"")"),1710.0)</f>
        <v>1710</v>
      </c>
      <c r="D4894" s="2" t="str">
        <f>IFERROR(__xludf.DUMMYFUNCTION("""COMPUTED_VALUE"""),"TBS")</f>
        <v>TBS</v>
      </c>
      <c r="E4894" s="2" t="str">
        <f>IFERROR(__xludf.DUMMYFUNCTION("""COMPUTED_VALUE"""),"日21")</f>
        <v>日21</v>
      </c>
      <c r="F4894" s="2" t="s">
        <v>13768</v>
      </c>
      <c r="G4894" s="2" t="s">
        <v>13796</v>
      </c>
      <c r="H4894" s="1">
        <v>10.0</v>
      </c>
      <c r="J4894" s="1" t="s">
        <v>4</v>
      </c>
      <c r="K4894" s="2" t="s">
        <v>13797</v>
      </c>
      <c r="L4894" s="2" t="s">
        <v>13798</v>
      </c>
      <c r="M4894" s="2" t="str">
        <f>IFERROR(__xludf.DUMMYFUNCTION("split(split(K4894,""【"",false),""公式LINE"",false)"),"買収の危機からこはぜ屋の暖簾と社員が守った宮沢(役所広司)!フェリックスの御園(松岡修造)は宮沢との交渉は決裂したものの、「陸王」というシューズ自体には新たな可能性を感じ、ある意外な提案を宮沢に持ちかける。そんな中、RIIで豊橋国際マラソンのリベンジマッチに挑む茂木(竹内涼真)。全身全霊の想いを込めて、チーム「陸王」は茂木への最後の「陸王」を贈ろうとし…今夜、大感動の最終回を迎える!!  宮沢紘一・・・役所広司  宮沢大地・・・山崎賢人  茂木裕人・・・竹内涼真  宮沢茜・・・上白石萌音  坂本太郎・・・"&amp;"風間俊介  城戸明宏・・・音尾琢真  平瀬孝夫・・・和田正人  毛塚直之・・・佐野岳大橋浩・・・馬場徹  安田利充・・・内村遥  江幡晃平・・・天野義久  西井冨久子・・・正司照枝  仲下美咲・・・吉谷彩子  正岡あけみ・・・阿川佐和子  佐山淳司・・・小籔千豊御園丈治・・・松岡修造  家長亨・・・桂雀々  富島玄三・・・志賀廣太郎  宮沢美枝子・・・檀ふみ  飯山素子・・・キムラ緑子  村野尊彦・・・市川右團次  小原賢治・・・ピエール瀧  飯山晴之・・・寺尾聰原作:池井戸潤「陸王」(集英社刊)  脚本"&amp;":八津弘幸  音楽:服部隆之◇番組HP  http://www.tbs.co.jp/rikuou_tbs/    ◇twitter  @rikuou_tbs  https://twitter.com/rikuou_tbs    ◇facebook  https://www.facebook.com/rikuou.tbs    ◇instagram  https://www.instagram.com/rikuoh.tbs/  番組の内容と放送時間は変更になる可能性があります。")</f>
        <v>買収の危機からこはぜ屋の暖簾と社員が守った宮沢(役所広司)!フェリックスの御園(松岡修造)は宮沢との交渉は決裂したものの、「陸王」というシューズ自体には新たな可能性を感じ、ある意外な提案を宮沢に持ちかける。そんな中、RIIで豊橋国際マラソンのリベンジマッチに挑む茂木(竹内涼真)。全身全霊の想いを込めて、チーム「陸王」は茂木への最後の「陸王」を贈ろうとし…今夜、大感動の最終回を迎える!!  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佐山淳司・・・小籔千豊御園丈治・・・松岡修造  家長亨・・・桂雀々  富島玄三・・・志賀廣太郎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  番組の内容と放送時間は変更になる可能性があります。</v>
      </c>
      <c r="N4894" s="2"/>
      <c r="O4894" s="2"/>
      <c r="P4894" s="2"/>
      <c r="Q4894" s="2"/>
      <c r="R4894" s="2"/>
      <c r="S4894" s="2"/>
      <c r="T4894" s="2"/>
      <c r="U4894" s="2"/>
      <c r="V4894" s="2"/>
      <c r="W4894" s="2"/>
      <c r="X4894" s="2"/>
      <c r="Y4894" s="2"/>
      <c r="Z4894" s="2"/>
      <c r="AA4894" s="2"/>
      <c r="AB4894" s="2"/>
      <c r="AC4894" s="2"/>
      <c r="AD4894" s="2"/>
      <c r="AE4894" s="2"/>
      <c r="AF4894" s="2"/>
      <c r="AG4894" s="2"/>
      <c r="AH4894" s="2"/>
      <c r="AI4894" s="2"/>
      <c r="AJ4894" s="2"/>
      <c r="AK4894" s="2"/>
      <c r="AL4894" s="2"/>
      <c r="AM4894" s="2"/>
      <c r="AN4894" s="2"/>
      <c r="AO4894" s="2"/>
      <c r="AP4894" s="2"/>
      <c r="AQ4894" s="2"/>
      <c r="AR4894" s="2"/>
      <c r="AS4894" s="2"/>
      <c r="AT4894" s="2"/>
      <c r="AU4894" s="2"/>
      <c r="AV4894" s="2"/>
      <c r="AW4894" s="2"/>
      <c r="AX4894" s="2"/>
      <c r="AY4894" s="2"/>
      <c r="AZ4894" s="2"/>
      <c r="BA4894" s="2"/>
      <c r="BB4894" s="2"/>
    </row>
    <row r="4895" ht="204.75" customHeight="1">
      <c r="A4895" s="1">
        <v>1076.0</v>
      </c>
      <c r="B4895" s="2" t="s">
        <v>13799</v>
      </c>
      <c r="C4895" s="2">
        <f>IFERROR(__xludf.DUMMYFUNCTION("split(B4895,""_"")"),1707.0)</f>
        <v>1707</v>
      </c>
      <c r="D4895" s="2" t="str">
        <f>IFERROR(__xludf.DUMMYFUNCTION("""COMPUTED_VALUE"""),"TBS")</f>
        <v>TBS</v>
      </c>
      <c r="E4895" s="2" t="str">
        <f>IFERROR(__xludf.DUMMYFUNCTION("""COMPUTED_VALUE"""),"火22")</f>
        <v>火22</v>
      </c>
      <c r="F4895" s="2" t="s">
        <v>13800</v>
      </c>
      <c r="G4895" s="2" t="s">
        <v>13801</v>
      </c>
      <c r="H4895" s="1">
        <v>1.0</v>
      </c>
      <c r="J4895" s="1" t="s">
        <v>82</v>
      </c>
      <c r="K4895" s="2" t="s">
        <v>13802</v>
      </c>
      <c r="L4895" s="2"/>
      <c r="M4895" s="2" t="str">
        <f>IFERROR(__xludf.DUMMYFUNCTION("split(split(K4895,""【"",false),""公式LINE"",false)"),"家事に仕事に子育て…愛する家族のため、忙しい毎日を過ごすパワフルママ・鈴木カンナ（渡辺直美）。しかし幼い息子・麗音の誕生日に人生最悪の事件が！なぜか深夜に帰宅した夫・礼（要潤）のスマホには、見知らぬ女の姿がー？突然の夫婦の危機！更に天然ボケか毒舌か…「自信を持って完璧な妻だって言える？」という姑の厳しい一言！次々起こるピンチにも、顔で笑って心で泣いて…見ればきっと元気になる、肝っ玉母ちゃん奮闘記！渡辺直美、要潤、山口紗弥加、工藤阿須加、トリンドル玲奈、じろう（シソンヌ）、川原瑛都（子役）、遠山俊也、朝加真"&amp;"由美、佐藤隆太、斉藤由貴主題歌「キラキラ　feat.　カンナ」/AI　（EMI　Records）  作詞　AI　作曲　AI , UTA  脚本:　マギー　演出:　平野俊一、国本雅広　プロデューサー:　千葉行利、有賀聡　音楽: 得田真裕「カンナさーん」深谷かほる（集英社「クイーンズコミックス」刊）◇番組HP  http://www.tbs.co.jp/kannasaaan/  ◇instagram  https://www.instagram.com/kannasaaan_tbs/  ◇twitter  @"&amp;"kannasaaan_tbs   https://twitter.com/kannasaaan_tbs  番組の内容と放送時間は変更になる場合があります。")</f>
        <v>家事に仕事に子育て…愛する家族のため、忙しい毎日を過ごすパワフルママ・鈴木カンナ（渡辺直美）。しかし幼い息子・麗音の誕生日に人生最悪の事件が！なぜか深夜に帰宅した夫・礼（要潤）のスマホには、見知らぬ女の姿がー？突然の夫婦の危機！更に天然ボケか毒舌か…「自信を持って完璧な妻だって言える？」という姑の厳しい一言！次々起こるピンチにも、顔で笑って心で泣いて…見ればきっと元気になる、肝っ玉母ちゃん奮闘記！渡辺直美、要潤、山口紗弥加、工藤阿須加、トリンドル玲奈、じろう（シソンヌ）、川原瑛都（子役）、遠山俊也、朝加真由美、佐藤隆太、斉藤由貴主題歌「キラキラ　feat.　カンナ」/AI　（EMI　Records）  作詞　AI　作曲　AI , UTA  脚本:　マギー　演出:　平野俊一、国本雅広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v>
      </c>
      <c r="N4895" s="2"/>
      <c r="O4895" s="2"/>
      <c r="P4895" s="2"/>
      <c r="Q4895" s="2"/>
      <c r="R4895" s="2"/>
      <c r="S4895" s="2"/>
      <c r="T4895" s="2"/>
      <c r="U4895" s="2"/>
      <c r="V4895" s="2"/>
      <c r="W4895" s="2"/>
      <c r="X4895" s="2"/>
      <c r="Y4895" s="2"/>
      <c r="Z4895" s="2"/>
      <c r="AA4895" s="2"/>
      <c r="AB4895" s="2"/>
      <c r="AC4895" s="2"/>
      <c r="AD4895" s="2"/>
      <c r="AE4895" s="2"/>
      <c r="AF4895" s="2"/>
      <c r="AG4895" s="2"/>
      <c r="AH4895" s="2"/>
      <c r="AI4895" s="2"/>
      <c r="AJ4895" s="2"/>
      <c r="AK4895" s="2"/>
      <c r="AL4895" s="2"/>
      <c r="AM4895" s="2"/>
      <c r="AN4895" s="2"/>
      <c r="AO4895" s="2"/>
      <c r="AP4895" s="2"/>
      <c r="AQ4895" s="2"/>
      <c r="AR4895" s="2"/>
      <c r="AS4895" s="2"/>
      <c r="AT4895" s="2"/>
      <c r="AU4895" s="2"/>
      <c r="AV4895" s="2"/>
      <c r="AW4895" s="2"/>
      <c r="AX4895" s="2"/>
      <c r="AY4895" s="2"/>
      <c r="AZ4895" s="2"/>
      <c r="BA4895" s="2"/>
      <c r="BB4895" s="2"/>
    </row>
    <row r="4896" ht="204.75" customHeight="1">
      <c r="A4896" s="1">
        <v>1077.0</v>
      </c>
      <c r="B4896" s="2" t="s">
        <v>13799</v>
      </c>
      <c r="C4896" s="2">
        <f>IFERROR(__xludf.DUMMYFUNCTION("split(B4896,""_"")"),1707.0)</f>
        <v>1707</v>
      </c>
      <c r="D4896" s="2" t="str">
        <f>IFERROR(__xludf.DUMMYFUNCTION("""COMPUTED_VALUE"""),"TBS")</f>
        <v>TBS</v>
      </c>
      <c r="E4896" s="2" t="str">
        <f>IFERROR(__xludf.DUMMYFUNCTION("""COMPUTED_VALUE"""),"火22")</f>
        <v>火22</v>
      </c>
      <c r="F4896" s="2" t="s">
        <v>13800</v>
      </c>
      <c r="G4896" s="2" t="s">
        <v>13803</v>
      </c>
      <c r="H4896" s="1">
        <v>2.0</v>
      </c>
      <c r="J4896" s="1" t="s">
        <v>86</v>
      </c>
      <c r="K4896" s="2" t="s">
        <v>13804</v>
      </c>
      <c r="L4896" s="2"/>
      <c r="M4896" s="2" t="str">
        <f>IFERROR(__xludf.DUMMYFUNCTION("split(split(K4896,""【"",false),""公式LINE"",false)"),"シングルマザーになった河東カンナ（渡辺直美）。キュートな息子・麗音と楽しい二人暮らし…かと思いきや！後輩・翔子（トリンドル玲奈）のミスで社内はとんでもない騒ぎに！姑・柳子（斉藤由貴）はカンナの多忙につけこんで麗音を独り占め！さらに…離婚した夫・礼（要潤）の恋人・真理（シシド・カフカ）とまさかの遭遇…まさに一触即発！人生最大のピンチが束になって到来！どうするカンナ！？渡辺直美、要潤、山口紗弥加、工藤阿須加、トリンドル玲奈、じろう（シソンヌ）、川原瑛都（子役）、遠山俊也、朝加真由美、シシド・カフカ、斉藤由貴主"&amp;"題歌「キラキラ　feat.　カンナ」/AI　（EMI　Records）  作詞　AI　作曲　AI , UTA  脚本:マギー　演出:　平野俊一、国本雅広　　プロデューサー:千葉行利、有賀聡　音楽: 得田真裕「カンナさーん」深谷かほる（集英社「クイーンズコミックス」刊）◇番組HP  http://www.tbs.co.jp/kannasaaan/  ◇instagram  https://www.instagram.com/kannasaaan_tbs/◇twitter  @kannasaaan_tbs  "&amp;" https://twitter.com/kannasaaan_tbs番組の内容と放送時間は変更になる場合があります。")</f>
        <v>シングルマザーになった河東カンナ（渡辺直美）。キュートな息子・麗音と楽しい二人暮らし…かと思いきや！後輩・翔子（トリンドル玲奈）のミスで社内はとんでもない騒ぎに！姑・柳子（斉藤由貴）はカンナの多忙につけこんで麗音を独り占め！さらに…離婚した夫・礼（要潤）の恋人・真理（シシド・カフカ）とまさかの遭遇…まさに一触即発！人生最大のピンチが束になって到来！どうするカンナ！？渡辺直美、要潤、山口紗弥加、工藤阿須加、トリンドル玲奈、じろう（シソンヌ）、川原瑛都（子役）、遠山俊也、朝加真由美、シシド・カフカ、斉藤由貴主題歌「キラキラ　feat.　カンナ」/AI　（EMI　Records）  作詞　AI　作曲　AI , UTA  脚本:マギー　演出:　平野俊一、国本雅広　　プロデューサー:千葉行利、有賀聡　音楽: 得田真裕「カンナさーん」深谷かほる（集英社「クイーンズコミックス」刊）◇番組HP  http://www.tbs.co.jp/kannasaaan/  ◇instagram  https://www.instagram.com/kannasaaan_tbs/◇twitter  @kannasaaan_tbs   https://twitter.com/kannasaaan_tbs番組の内容と放送時間は変更になる場合があります。</v>
      </c>
      <c r="N4896" s="2"/>
      <c r="O4896" s="2"/>
      <c r="P4896" s="2"/>
      <c r="Q4896" s="2"/>
      <c r="R4896" s="2"/>
      <c r="S4896" s="2"/>
      <c r="T4896" s="2"/>
      <c r="U4896" s="2"/>
      <c r="V4896" s="2"/>
      <c r="W4896" s="2"/>
      <c r="X4896" s="2"/>
      <c r="Y4896" s="2"/>
      <c r="Z4896" s="2"/>
      <c r="AA4896" s="2"/>
      <c r="AB4896" s="2"/>
      <c r="AC4896" s="2"/>
      <c r="AD4896" s="2"/>
      <c r="AE4896" s="2"/>
      <c r="AF4896" s="2"/>
      <c r="AG4896" s="2"/>
      <c r="AH4896" s="2"/>
      <c r="AI4896" s="2"/>
      <c r="AJ4896" s="2"/>
      <c r="AK4896" s="2"/>
      <c r="AL4896" s="2"/>
      <c r="AM4896" s="2"/>
      <c r="AN4896" s="2"/>
      <c r="AO4896" s="2"/>
      <c r="AP4896" s="2"/>
      <c r="AQ4896" s="2"/>
      <c r="AR4896" s="2"/>
      <c r="AS4896" s="2"/>
      <c r="AT4896" s="2"/>
      <c r="AU4896" s="2"/>
      <c r="AV4896" s="2"/>
      <c r="AW4896" s="2"/>
      <c r="AX4896" s="2"/>
      <c r="AY4896" s="2"/>
      <c r="AZ4896" s="2"/>
      <c r="BA4896" s="2"/>
      <c r="BB4896" s="2"/>
    </row>
    <row r="4897" ht="204.75" customHeight="1">
      <c r="A4897" s="1">
        <v>1078.0</v>
      </c>
      <c r="B4897" s="2" t="s">
        <v>13799</v>
      </c>
      <c r="C4897" s="2">
        <f>IFERROR(__xludf.DUMMYFUNCTION("split(B4897,""_"")"),1707.0)</f>
        <v>1707</v>
      </c>
      <c r="D4897" s="2" t="str">
        <f>IFERROR(__xludf.DUMMYFUNCTION("""COMPUTED_VALUE"""),"TBS")</f>
        <v>TBS</v>
      </c>
      <c r="E4897" s="2" t="str">
        <f>IFERROR(__xludf.DUMMYFUNCTION("""COMPUTED_VALUE"""),"火22")</f>
        <v>火22</v>
      </c>
      <c r="F4897" s="2" t="s">
        <v>13800</v>
      </c>
      <c r="G4897" s="2" t="s">
        <v>13805</v>
      </c>
      <c r="H4897" s="1">
        <v>3.0</v>
      </c>
      <c r="J4897" s="1" t="s">
        <v>86</v>
      </c>
      <c r="K4897" s="2" t="s">
        <v>13806</v>
      </c>
      <c r="L4897" s="2"/>
      <c r="M4897" s="2" t="str">
        <f>IFERROR(__xludf.DUMMYFUNCTION("split(split(K4897,""【"",false),""公式LINE"",false)"),"真夏の海！楽しい家族旅行のはずが…なぜか、小うるさい姑（斉藤由貴）と離婚した夫・礼（要潤）の恋人・真理（シシド・カフカ）までも参加！？困惑するカンナ（渡辺直美）だったが、はしゃいでいる幼い息子・麗音のためやむなく決行！しかし、美しい容姿だけでなく意外にも女らしい気遣いで、麗音までが真理の虜に！？絶体絶命のカンナ…そんな苦境の中で、ふとカンナに訪れる「出会いの予感」！果たして人生の大逆転なるか！？渡辺直美、要潤、山口紗弥加、工藤阿須加、トリンドル玲奈、じろう（シソンヌ）、川原瑛都（子役）、シシド・カフカ、加"&amp;"藤雅也、遠山俊也、朝加真由美、斉藤由貴主題歌「キラキラ　feat.　カンナ」/AI　（EMI　Records）  作詞　AI　作曲　AI , UTA  脚本:　マギー　　演出:　平野俊一、国本雅広　　プロデューサー:　千葉行利、有賀聡　　音楽: 得田真裕「カンナさーん」深谷かほる（集英社「クイーンズコミックス」刊）◇番組HP  http://www.tbs.co.jp/kannasaaan/  ◇instagram  https://www.instagram.com/kannasaaan_tbs/  ◇"&amp;"twitter  @kannasaaan_tbs   https://twitter.com/kannasaaan_tbs  番組の内容と放送時間は変更になる場合があります。")</f>
        <v>真夏の海！楽しい家族旅行のはずが…なぜか、小うるさい姑（斉藤由貴）と離婚した夫・礼（要潤）の恋人・真理（シシド・カフカ）までも参加！？困惑するカンナ（渡辺直美）だったが、はしゃいでいる幼い息子・麗音のためやむなく決行！しかし、美しい容姿だけでなく意外にも女らしい気遣いで、麗音までが真理の虜に！？絶体絶命のカンナ…そんな苦境の中で、ふとカンナに訪れる「出会いの予感」！果たして人生の大逆転なるか！？渡辺直美、要潤、山口紗弥加、工藤阿須加、トリンドル玲奈、じろう（シソンヌ）、川原瑛都（子役）、シシド・カフカ、加藤雅也、遠山俊也、朝加真由美、斉藤由貴主題歌「キラキラ　feat.　カンナ」/AI　（EMI　Records）  作詞　AI　作曲　AI , UTA  脚本:　マギー　　演出:　平野俊一、国本雅広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v>
      </c>
      <c r="N4897" s="2"/>
      <c r="O4897" s="2"/>
      <c r="P4897" s="2"/>
      <c r="Q4897" s="2"/>
      <c r="R4897" s="2"/>
      <c r="S4897" s="2"/>
      <c r="T4897" s="2"/>
      <c r="U4897" s="2"/>
      <c r="V4897" s="2"/>
      <c r="W4897" s="2"/>
      <c r="X4897" s="2"/>
      <c r="Y4897" s="2"/>
      <c r="Z4897" s="2"/>
      <c r="AA4897" s="2"/>
      <c r="AB4897" s="2"/>
      <c r="AC4897" s="2"/>
      <c r="AD4897" s="2"/>
      <c r="AE4897" s="2"/>
      <c r="AF4897" s="2"/>
      <c r="AG4897" s="2"/>
      <c r="AH4897" s="2"/>
      <c r="AI4897" s="2"/>
      <c r="AJ4897" s="2"/>
      <c r="AK4897" s="2"/>
      <c r="AL4897" s="2"/>
      <c r="AM4897" s="2"/>
      <c r="AN4897" s="2"/>
      <c r="AO4897" s="2"/>
      <c r="AP4897" s="2"/>
      <c r="AQ4897" s="2"/>
      <c r="AR4897" s="2"/>
      <c r="AS4897" s="2"/>
      <c r="AT4897" s="2"/>
      <c r="AU4897" s="2"/>
      <c r="AV4897" s="2"/>
      <c r="AW4897" s="2"/>
      <c r="AX4897" s="2"/>
      <c r="AY4897" s="2"/>
      <c r="AZ4897" s="2"/>
      <c r="BA4897" s="2"/>
      <c r="BB4897" s="2"/>
    </row>
    <row r="4898" ht="204.75" customHeight="1">
      <c r="A4898" s="1">
        <v>1079.0</v>
      </c>
      <c r="B4898" s="2" t="s">
        <v>13799</v>
      </c>
      <c r="C4898" s="2">
        <f>IFERROR(__xludf.DUMMYFUNCTION("split(B4898,""_"")"),1707.0)</f>
        <v>1707</v>
      </c>
      <c r="D4898" s="2" t="str">
        <f>IFERROR(__xludf.DUMMYFUNCTION("""COMPUTED_VALUE"""),"TBS")</f>
        <v>TBS</v>
      </c>
      <c r="E4898" s="2" t="str">
        <f>IFERROR(__xludf.DUMMYFUNCTION("""COMPUTED_VALUE"""),"火22")</f>
        <v>火22</v>
      </c>
      <c r="F4898" s="2" t="s">
        <v>13800</v>
      </c>
      <c r="G4898" s="2" t="s">
        <v>13807</v>
      </c>
      <c r="H4898" s="1">
        <v>4.0</v>
      </c>
      <c r="J4898" s="1" t="s">
        <v>86</v>
      </c>
      <c r="K4898" s="2" t="s">
        <v>13808</v>
      </c>
      <c r="L4898" s="2"/>
      <c r="M4898" s="2" t="str">
        <f>IFERROR(__xludf.DUMMYFUNCTION("split(split(K4898,""【"",false),""公式LINE"",false)"),"ファッション界のカリスマ・ニック難波（加藤雅也）に見初められた河東カンナ（渡辺直美）。元夫の礼（要潤）と正反対に、お金も誠実さも全てを兼ね備えているニック。遂に訪れた恋のチャンスに、ときめくカンナ！そんな時に限って「もう一度やり直そう」と礼からまさかの再告白！仕事と家事の掛け持ちで忙しいカンナに、実家での同居を勧める礼だったが…そこには姑・柳子（斉藤由貴）の策謀が…女同士の白熱の同居バトルぼっ発！渡辺直美、要潤、山口紗弥加、工藤阿須加、トリンドル玲奈、じろう（シソンヌ）、川原瑛都（子役）、加藤雅也、遠山俊"&amp;"也、朝加真由美、斉藤由貴主題歌「キラキラ　feat.　カンナ」/AI　（EMI　Records）  作詞　AI　作曲　AI , UTA  脚本:　マギー　　演出:　平野俊一、国本雅広　　プロデューサー:　千葉行利、有賀聡　　音楽: 得田真裕　「カンナさーん」深谷かほる（集英社「クイーンズコミックス」刊）◇番組HP  http://www.tbs.co.jp/kannasaaan/  ◇instagram  https://www.instagram.com/kannasaaan_tbs/  ◇twitte"&amp;"r  @kannasaaan_tbs   https://twitter.com/kannasaaan_tbs  番組の内容と放送時間は変更になる場合があります。")</f>
        <v>ファッション界のカリスマ・ニック難波（加藤雅也）に見初められた河東カンナ（渡辺直美）。元夫の礼（要潤）と正反対に、お金も誠実さも全てを兼ね備えているニック。遂に訪れた恋のチャンスに、ときめくカンナ！そんな時に限って「もう一度やり直そう」と礼からまさかの再告白！仕事と家事の掛け持ちで忙しいカンナに、実家での同居を勧める礼だったが…そこには姑・柳子（斉藤由貴）の策謀が…女同士の白熱の同居バトルぼっ発！渡辺直美、要潤、山口紗弥加、工藤阿須加、トリンドル玲奈、じろう（シソンヌ）、川原瑛都（子役）、加藤雅也、遠山俊也、朝加真由美、斉藤由貴主題歌「キラキラ　feat.　カンナ」/AI　（EMI　Records）  作詞　AI　作曲　AI , UTA  脚本:　マギー　　演出:　平野俊一、国本雅広　　プロデューサー:　千葉行利、有賀聡　　音楽: 得田真裕　「カンナさーん」深谷かほる（集英社「クイーンズコミックス」刊）◇番組HP  http://www.tbs.co.jp/kannasaaan/  ◇instagram  https://www.instagram.com/kannasaaan_tbs/  ◇twitter  @kannasaaan_tbs   https://twitter.com/kannasaaan_tbs  番組の内容と放送時間は変更になる場合があります。</v>
      </c>
      <c r="N4898" s="2"/>
      <c r="O4898" s="2"/>
      <c r="P4898" s="2"/>
      <c r="Q4898" s="2"/>
      <c r="R4898" s="2"/>
      <c r="S4898" s="2"/>
      <c r="T4898" s="2"/>
      <c r="U4898" s="2"/>
      <c r="V4898" s="2"/>
      <c r="W4898" s="2"/>
      <c r="X4898" s="2"/>
      <c r="Y4898" s="2"/>
      <c r="Z4898" s="2"/>
      <c r="AA4898" s="2"/>
      <c r="AB4898" s="2"/>
      <c r="AC4898" s="2"/>
      <c r="AD4898" s="2"/>
      <c r="AE4898" s="2"/>
      <c r="AF4898" s="2"/>
      <c r="AG4898" s="2"/>
      <c r="AH4898" s="2"/>
      <c r="AI4898" s="2"/>
      <c r="AJ4898" s="2"/>
      <c r="AK4898" s="2"/>
      <c r="AL4898" s="2"/>
      <c r="AM4898" s="2"/>
      <c r="AN4898" s="2"/>
      <c r="AO4898" s="2"/>
      <c r="AP4898" s="2"/>
      <c r="AQ4898" s="2"/>
      <c r="AR4898" s="2"/>
      <c r="AS4898" s="2"/>
      <c r="AT4898" s="2"/>
      <c r="AU4898" s="2"/>
      <c r="AV4898" s="2"/>
      <c r="AW4898" s="2"/>
      <c r="AX4898" s="2"/>
      <c r="AY4898" s="2"/>
      <c r="AZ4898" s="2"/>
      <c r="BA4898" s="2"/>
      <c r="BB4898" s="2"/>
    </row>
    <row r="4899" ht="204.75" customHeight="1">
      <c r="A4899" s="1">
        <v>1080.0</v>
      </c>
      <c r="B4899" s="2" t="s">
        <v>13799</v>
      </c>
      <c r="C4899" s="2">
        <f>IFERROR(__xludf.DUMMYFUNCTION("split(B4899,""_"")"),1707.0)</f>
        <v>1707</v>
      </c>
      <c r="D4899" s="2" t="str">
        <f>IFERROR(__xludf.DUMMYFUNCTION("""COMPUTED_VALUE"""),"TBS")</f>
        <v>TBS</v>
      </c>
      <c r="E4899" s="2" t="str">
        <f>IFERROR(__xludf.DUMMYFUNCTION("""COMPUTED_VALUE"""),"火22")</f>
        <v>火22</v>
      </c>
      <c r="F4899" s="2" t="s">
        <v>13800</v>
      </c>
      <c r="G4899" s="2" t="s">
        <v>13809</v>
      </c>
      <c r="H4899" s="1">
        <v>5.0</v>
      </c>
      <c r="J4899" s="1" t="s">
        <v>86</v>
      </c>
      <c r="K4899" s="2" t="s">
        <v>13810</v>
      </c>
      <c r="L4899" s="2"/>
      <c r="M4899" s="2" t="str">
        <f>IFERROR(__xludf.DUMMYFUNCTION("split(split(K4899,""【"",false),""公式LINE"",false)"),"カンナ（渡辺直美）に訪れた恋の大波乱！カリスマ上司・ニック難波（加藤雅也）の突然の告白に慎重になりつつも、意識してしまう…青田（工藤阿須加）から、翔子（トリンドル玲奈）を誘いたいと頼まれセッティングした遊園地デートの場に、サプライズで現れるニック！「麗音君の為に徹夜でバルーンアートを練習した」という優しさに、ドキドキMAX！一方、元夫の礼（要潤）は最大のピンチに…その裏には彼の意外に熱い決意が！？渡辺直美、要潤、山口紗弥加、工藤阿須加、トリンドル玲奈、じろう（シソンヌ）、川原瑛都（子役）、加藤雅也、遠山俊"&amp;"也、朝加真由美、斉藤由貴主題歌「キラキラ　feat.　カンナ」/AI　（EMI　Records）  作詞　AI　作曲　AI , UTA　脚本:　マギー　　演出:　平野俊一、国本雅広　　プロデューサー:　千葉行利、有賀聡　　音楽: 得田真裕「カンナさーん」深谷かほる（集英社「クイーンズコミックス」刊）◇番組HP  http://www.tbs.co.jp/kannasaaan/  ◇instagram  https://www.instagram.com/kannasaaan_tbs/  ◇twitter "&amp;" @kannasaaan_tbs   https://twitter.com/kannasaaan_tbs番組の内容と放送時間は変更になる場合があります。")</f>
        <v>カンナ（渡辺直美）に訪れた恋の大波乱！カリスマ上司・ニック難波（加藤雅也）の突然の告白に慎重になりつつも、意識してしまう…青田（工藤阿須加）から、翔子（トリンドル玲奈）を誘いたいと頼まれセッティングした遊園地デートの場に、サプライズで現れるニック！「麗音君の為に徹夜でバルーンアートを練習した」という優しさに、ドキドキMAX！一方、元夫の礼（要潤）は最大のピンチに…その裏には彼の意外に熱い決意が！？渡辺直美、要潤、山口紗弥加、工藤阿須加、トリンドル玲奈、じろう（シソンヌ）、川原瑛都（子役）、加藤雅也、遠山俊也、朝加真由美、斉藤由貴主題歌「キラキラ　feat.　カンナ」/AI　（EMI　Records）  作詞　AI　作曲　AI , UTA　脚本:　マギー　　演出:　平野俊一、国本雅広　　プロデューサー:　千葉行利、有賀聡　　音楽: 得田真裕「カンナさーん」深谷かほる（集英社「クイーンズコミックス」刊）◇番組HP  http://www.tbs.co.jp/kannasaaan/  ◇instagram  https://www.instagram.com/kannasaaan_tbs/  ◇twitter  @kannasaaan_tbs   https://twitter.com/kannasaaan_tbs番組の内容と放送時間は変更になる場合があります。</v>
      </c>
      <c r="N4899" s="2"/>
      <c r="O4899" s="2"/>
      <c r="P4899" s="2"/>
      <c r="Q4899" s="2"/>
      <c r="R4899" s="2"/>
      <c r="S4899" s="2"/>
      <c r="T4899" s="2"/>
      <c r="U4899" s="2"/>
      <c r="V4899" s="2"/>
      <c r="W4899" s="2"/>
      <c r="X4899" s="2"/>
      <c r="Y4899" s="2"/>
      <c r="Z4899" s="2"/>
      <c r="AA4899" s="2"/>
      <c r="AB4899" s="2"/>
      <c r="AC4899" s="2"/>
      <c r="AD4899" s="2"/>
      <c r="AE4899" s="2"/>
      <c r="AF4899" s="2"/>
      <c r="AG4899" s="2"/>
      <c r="AH4899" s="2"/>
      <c r="AI4899" s="2"/>
      <c r="AJ4899" s="2"/>
      <c r="AK4899" s="2"/>
      <c r="AL4899" s="2"/>
      <c r="AM4899" s="2"/>
      <c r="AN4899" s="2"/>
      <c r="AO4899" s="2"/>
      <c r="AP4899" s="2"/>
      <c r="AQ4899" s="2"/>
      <c r="AR4899" s="2"/>
      <c r="AS4899" s="2"/>
      <c r="AT4899" s="2"/>
      <c r="AU4899" s="2"/>
      <c r="AV4899" s="2"/>
      <c r="AW4899" s="2"/>
      <c r="AX4899" s="2"/>
      <c r="AY4899" s="2"/>
      <c r="AZ4899" s="2"/>
      <c r="BA4899" s="2"/>
      <c r="BB4899" s="2"/>
    </row>
    <row r="4900" ht="204.75" customHeight="1">
      <c r="A4900" s="1">
        <v>1081.0</v>
      </c>
      <c r="B4900" s="2" t="s">
        <v>13799</v>
      </c>
      <c r="C4900" s="2">
        <f>IFERROR(__xludf.DUMMYFUNCTION("split(B4900,""_"")"),1707.0)</f>
        <v>1707</v>
      </c>
      <c r="D4900" s="2" t="str">
        <f>IFERROR(__xludf.DUMMYFUNCTION("""COMPUTED_VALUE"""),"TBS")</f>
        <v>TBS</v>
      </c>
      <c r="E4900" s="2" t="str">
        <f>IFERROR(__xludf.DUMMYFUNCTION("""COMPUTED_VALUE"""),"火22")</f>
        <v>火22</v>
      </c>
      <c r="F4900" s="2" t="s">
        <v>13800</v>
      </c>
      <c r="G4900" s="2" t="s">
        <v>13811</v>
      </c>
      <c r="H4900" s="1">
        <v>6.0</v>
      </c>
      <c r="J4900" s="1" t="s">
        <v>86</v>
      </c>
      <c r="K4900" s="2" t="s">
        <v>13812</v>
      </c>
      <c r="L4900" s="2"/>
      <c r="M4900" s="2" t="str">
        <f>IFERROR(__xludf.DUMMYFUNCTION("split(split(K4900,""【"",false),""公式LINE"",false)"),"ファッション界のカリスマ・ニック難波（加藤雅也）の猛アプローチを受け、愛を告白したカンナ（渡辺直美）。仕事に恋にアクセル全開…と思いきや！そこに元夫の礼（要潤）が現れて、立ち退きを迫られているカンナのためマンションを買ったと、とんでもない宣言！勝手すぎると怒りつつ、幼い息子・麗音の気持ちを察し、また礼のかつてない強い覚悟に揺れるカンナ…そんな時、突如謎の美女が現れた！その正体と、まさかの企みとは？渡辺直美、要潤、山口紗弥加、工藤阿須加、トリンドル玲奈、じろう（シソンヌ）、川原瑛都（子役）、加藤雅也、泉里香"&amp;"、遠山俊也、朝加真由美、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https://www.instagram.com/kannasaaan_tbs/◇"&amp;"twitter  @kannasaaan_tbs   https://twitter.com/kannasaaan_tbs  番組の内容と放送時間は変更になる場合があります。")</f>
        <v>ファッション界のカリスマ・ニック難波（加藤雅也）の猛アプローチを受け、愛を告白したカンナ（渡辺直美）。仕事に恋にアクセル全開…と思いきや！そこに元夫の礼（要潤）が現れて、立ち退きを迫られているカンナのためマンションを買ったと、とんでもない宣言！勝手すぎると怒りつつ、幼い息子・麗音の気持ちを察し、また礼のかつてない強い覚悟に揺れるカンナ…そんな時、突如謎の美女が現れた！その正体と、まさかの企みとは？渡辺直美、要潤、山口紗弥加、工藤阿須加、トリンドル玲奈、じろう（シソンヌ）、川原瑛都（子役）、加藤雅也、泉里香、遠山俊也、朝加真由美、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https://www.instagram.com/kannasaaan_tbs/◇twitter  @kannasaaan_tbs   https://twitter.com/kannasaaan_tbs  番組の内容と放送時間は変更になる場合があります。</v>
      </c>
      <c r="N4900" s="2"/>
      <c r="O4900" s="2"/>
      <c r="P4900" s="2"/>
      <c r="Q4900" s="2"/>
      <c r="R4900" s="2"/>
      <c r="S4900" s="2"/>
      <c r="T4900" s="2"/>
      <c r="U4900" s="2"/>
      <c r="V4900" s="2"/>
      <c r="W4900" s="2"/>
      <c r="X4900" s="2"/>
      <c r="Y4900" s="2"/>
      <c r="Z4900" s="2"/>
      <c r="AA4900" s="2"/>
      <c r="AB4900" s="2"/>
      <c r="AC4900" s="2"/>
      <c r="AD4900" s="2"/>
      <c r="AE4900" s="2"/>
      <c r="AF4900" s="2"/>
      <c r="AG4900" s="2"/>
      <c r="AH4900" s="2"/>
      <c r="AI4900" s="2"/>
      <c r="AJ4900" s="2"/>
      <c r="AK4900" s="2"/>
      <c r="AL4900" s="2"/>
      <c r="AM4900" s="2"/>
      <c r="AN4900" s="2"/>
      <c r="AO4900" s="2"/>
      <c r="AP4900" s="2"/>
      <c r="AQ4900" s="2"/>
      <c r="AR4900" s="2"/>
      <c r="AS4900" s="2"/>
      <c r="AT4900" s="2"/>
      <c r="AU4900" s="2"/>
      <c r="AV4900" s="2"/>
      <c r="AW4900" s="2"/>
      <c r="AX4900" s="2"/>
      <c r="AY4900" s="2"/>
      <c r="AZ4900" s="2"/>
      <c r="BA4900" s="2"/>
      <c r="BB4900" s="2"/>
    </row>
    <row r="4901" ht="204.75" customHeight="1">
      <c r="A4901" s="1">
        <v>1082.0</v>
      </c>
      <c r="B4901" s="2" t="s">
        <v>13799</v>
      </c>
      <c r="C4901" s="2">
        <f>IFERROR(__xludf.DUMMYFUNCTION("split(B4901,""_"")"),1707.0)</f>
        <v>1707</v>
      </c>
      <c r="D4901" s="2" t="str">
        <f>IFERROR(__xludf.DUMMYFUNCTION("""COMPUTED_VALUE"""),"TBS")</f>
        <v>TBS</v>
      </c>
      <c r="E4901" s="2" t="str">
        <f>IFERROR(__xludf.DUMMYFUNCTION("""COMPUTED_VALUE"""),"火22")</f>
        <v>火22</v>
      </c>
      <c r="F4901" s="2" t="s">
        <v>13800</v>
      </c>
      <c r="G4901" s="2" t="s">
        <v>13813</v>
      </c>
      <c r="H4901" s="1">
        <v>7.0</v>
      </c>
      <c r="J4901" s="1" t="s">
        <v>86</v>
      </c>
      <c r="K4901" s="2" t="s">
        <v>13814</v>
      </c>
      <c r="L4901" s="2"/>
      <c r="M4901" s="2" t="str">
        <f>IFERROR(__xludf.DUMMYFUNCTION("split(split(K4901,""【"",false),""公式LINE"",false)"),"カンナ（渡辺直美）は幼い息子・麗音と新居に引越したが、夫の礼（要潤）は家に寄り付かない。仕事が忙しいとはいえ何だよ！と怒るカンナはつい麗音に当たってしまい、母子の間にスキマ風がーしかしその頃、礼は謎の美女と密会！？しかもその美女はなぜか保育園にも現れ、麗音に急接近！それを見てニンマリの姑・柳子（斉藤由貴）…一体どんな狙いが！？一方カンナの会社では、冷徹な人事部長によるリストラが発表され…大ピンチ！渡辺直美、要潤、山口紗弥加、工藤阿須加、トリンドル玲奈、じろう（シソンヌ）、川原瑛都（子役）、泉里香、　遠山俊"&amp;"也、朝加真由美、斉藤由貴主題歌「キラキラ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  ◇tw"&amp;"itter  @kannasaaan_tbs   https://twitter.com/kannasaaan_tbs  番組の内容と放送時間は変更になる場合があります。")</f>
        <v>カンナ（渡辺直美）は幼い息子・麗音と新居に引越したが、夫の礼（要潤）は家に寄り付かない。仕事が忙しいとはいえ何だよ！と怒るカンナはつい麗音に当たってしまい、母子の間にスキマ風がーしかしその頃、礼は謎の美女と密会！？しかもその美女はなぜか保育園にも現れ、麗音に急接近！それを見てニンマリの姑・柳子（斉藤由貴）…一体どんな狙いが！？一方カンナの会社では、冷徹な人事部長によるリストラが発表され…大ピンチ！渡辺直美、要潤、山口紗弥加、工藤阿須加、トリンドル玲奈、じろう（シソンヌ）、川原瑛都（子役）、泉里香、　遠山俊也、朝加真由美、斉藤由貴主題歌「キラキラ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v>
      </c>
      <c r="N4901" s="2"/>
      <c r="O4901" s="2"/>
      <c r="P4901" s="2"/>
      <c r="Q4901" s="2"/>
      <c r="R4901" s="2"/>
      <c r="S4901" s="2"/>
      <c r="T4901" s="2"/>
      <c r="U4901" s="2"/>
      <c r="V4901" s="2"/>
      <c r="W4901" s="2"/>
      <c r="X4901" s="2"/>
      <c r="Y4901" s="2"/>
      <c r="Z4901" s="2"/>
      <c r="AA4901" s="2"/>
      <c r="AB4901" s="2"/>
      <c r="AC4901" s="2"/>
      <c r="AD4901" s="2"/>
      <c r="AE4901" s="2"/>
      <c r="AF4901" s="2"/>
      <c r="AG4901" s="2"/>
      <c r="AH4901" s="2"/>
      <c r="AI4901" s="2"/>
      <c r="AJ4901" s="2"/>
      <c r="AK4901" s="2"/>
      <c r="AL4901" s="2"/>
      <c r="AM4901" s="2"/>
      <c r="AN4901" s="2"/>
      <c r="AO4901" s="2"/>
      <c r="AP4901" s="2"/>
      <c r="AQ4901" s="2"/>
      <c r="AR4901" s="2"/>
      <c r="AS4901" s="2"/>
      <c r="AT4901" s="2"/>
      <c r="AU4901" s="2"/>
      <c r="AV4901" s="2"/>
      <c r="AW4901" s="2"/>
      <c r="AX4901" s="2"/>
      <c r="AY4901" s="2"/>
      <c r="AZ4901" s="2"/>
      <c r="BA4901" s="2"/>
      <c r="BB4901" s="2"/>
    </row>
    <row r="4902" ht="204.75" customHeight="1">
      <c r="A4902" s="1">
        <v>1083.0</v>
      </c>
      <c r="B4902" s="2" t="s">
        <v>13799</v>
      </c>
      <c r="C4902" s="2">
        <f>IFERROR(__xludf.DUMMYFUNCTION("split(B4902,""_"")"),1707.0)</f>
        <v>1707</v>
      </c>
      <c r="D4902" s="2" t="str">
        <f>IFERROR(__xludf.DUMMYFUNCTION("""COMPUTED_VALUE"""),"TBS")</f>
        <v>TBS</v>
      </c>
      <c r="E4902" s="2" t="str">
        <f>IFERROR(__xludf.DUMMYFUNCTION("""COMPUTED_VALUE"""),"火22")</f>
        <v>火22</v>
      </c>
      <c r="F4902" s="2" t="s">
        <v>13800</v>
      </c>
      <c r="G4902" s="2" t="s">
        <v>13815</v>
      </c>
      <c r="H4902" s="1">
        <v>8.0</v>
      </c>
      <c r="J4902" s="1" t="s">
        <v>86</v>
      </c>
      <c r="K4902" s="2" t="s">
        <v>13816</v>
      </c>
      <c r="L4902" s="2"/>
      <c r="M4902" s="2" t="str">
        <f>IFERROR(__xludf.DUMMYFUNCTION("split(split(K4902,""【"",false),""公式LINE"",false)"),"夫の胸で泣いていた美女・俊子（泉里香）は、怪我のため保育園を休むカンナの息子・麗音の世話を申し出る。上司から「デザイナーとして君の席はない」と厳しい宣告を受けたカンナ…出張が多い部署へ異動を迫られ、幼い息子を抱えて最大のピンチ！しかし当の麗音は愛情あふれる看病でメロメロ…俊子に「1番好き！」と言うのを聞いてしまい…仕事でも、母としても、リストラの危機！ラストでカンナが見せた「涙の笑顔」の訳とは！？渡辺直美、要潤、山口紗弥加、工藤阿須加、トリンドル玲奈、じろう（シソンヌ）、川原瑛都（子役）、泉里香、渡辺邦斗"&amp;"、遠山俊也、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  ◇twit"&amp;"ter  @kannasaaan_tbs   https://twitter.com/kannasaaan_tbs  番組の内容と放送時間は変更になる場合があります。")</f>
        <v>夫の胸で泣いていた美女・俊子（泉里香）は、怪我のため保育園を休むカンナの息子・麗音の世話を申し出る。上司から「デザイナーとして君の席はない」と厳しい宣告を受けたカンナ…出張が多い部署へ異動を迫られ、幼い息子を抱えて最大のピンチ！しかし当の麗音は愛情あふれる看病でメロメロ…俊子に「1番好き！」と言うのを聞いてしまい…仕事でも、母としても、リストラの危機！ラストでカンナが見せた「涙の笑顔」の訳とは！？渡辺直美、要潤、山口紗弥加、工藤阿須加、トリンドル玲奈、じろう（シソンヌ）、川原瑛都（子役）、泉里香、渡辺邦斗、遠山俊也、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v>
      </c>
      <c r="N4902" s="2"/>
      <c r="O4902" s="2"/>
      <c r="P4902" s="2"/>
      <c r="Q4902" s="2"/>
      <c r="R4902" s="2"/>
      <c r="S4902" s="2"/>
      <c r="T4902" s="2"/>
      <c r="U4902" s="2"/>
      <c r="V4902" s="2"/>
      <c r="W4902" s="2"/>
      <c r="X4902" s="2"/>
      <c r="Y4902" s="2"/>
      <c r="Z4902" s="2"/>
      <c r="AA4902" s="2"/>
      <c r="AB4902" s="2"/>
      <c r="AC4902" s="2"/>
      <c r="AD4902" s="2"/>
      <c r="AE4902" s="2"/>
      <c r="AF4902" s="2"/>
      <c r="AG4902" s="2"/>
      <c r="AH4902" s="2"/>
      <c r="AI4902" s="2"/>
      <c r="AJ4902" s="2"/>
      <c r="AK4902" s="2"/>
      <c r="AL4902" s="2"/>
      <c r="AM4902" s="2"/>
      <c r="AN4902" s="2"/>
      <c r="AO4902" s="2"/>
      <c r="AP4902" s="2"/>
      <c r="AQ4902" s="2"/>
      <c r="AR4902" s="2"/>
      <c r="AS4902" s="2"/>
      <c r="AT4902" s="2"/>
      <c r="AU4902" s="2"/>
      <c r="AV4902" s="2"/>
      <c r="AW4902" s="2"/>
      <c r="AX4902" s="2"/>
      <c r="AY4902" s="2"/>
      <c r="AZ4902" s="2"/>
      <c r="BA4902" s="2"/>
      <c r="BB4902" s="2"/>
    </row>
    <row r="4903" ht="204.75" customHeight="1">
      <c r="A4903" s="1">
        <v>1084.0</v>
      </c>
      <c r="B4903" s="2" t="s">
        <v>13799</v>
      </c>
      <c r="C4903" s="2">
        <f>IFERROR(__xludf.DUMMYFUNCTION("split(B4903,""_"")"),1707.0)</f>
        <v>1707</v>
      </c>
      <c r="D4903" s="2" t="str">
        <f>IFERROR(__xludf.DUMMYFUNCTION("""COMPUTED_VALUE"""),"TBS")</f>
        <v>TBS</v>
      </c>
      <c r="E4903" s="2" t="str">
        <f>IFERROR(__xludf.DUMMYFUNCTION("""COMPUTED_VALUE"""),"火22")</f>
        <v>火22</v>
      </c>
      <c r="F4903" s="2" t="s">
        <v>13800</v>
      </c>
      <c r="G4903" s="2" t="s">
        <v>13817</v>
      </c>
      <c r="H4903" s="1">
        <v>9.0</v>
      </c>
      <c r="J4903" s="1" t="s">
        <v>86</v>
      </c>
      <c r="K4903" s="2" t="s">
        <v>13818</v>
      </c>
      <c r="L4903" s="2"/>
      <c r="M4903" s="2" t="str">
        <f>IFERROR(__xludf.DUMMYFUNCTION("split(split(K4903,""【"",false),""公式LINE"",false)"),"麗音（川原瑛都）と一緒にいるため、前向きに退社を決めたカンナ（渡辺直美）。少しでも在庫を売り切ろう！と店舗に立っている時、自分の初めて採用されたデザインの服を、大事に着てくれていたお客さんに出会う。デザイナーとしての喜びを実感するカンナ。そんな時、奇しくもデザイナー復活のチャンスが訪れて・・・だが、その頃礼（要潤）は、信じられない借金を抱えることに！絶体絶命のカンナが、最後の対決に挑む！渡辺直美、要潤、山口紗弥加、工藤阿須加、トリンドル玲奈、じろう（シソンヌ）、川原瑛都（子役）、泉里香、　平山あや、高橋か"&amp;"おり、遠山俊也、朝加真由美、斉藤由貴主題歌「キラキラ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https://www.instagram.com/kannasaaan_tbs/"&amp;"  ◇twitter  @kannasaaan_tbs   https://twitter.com/kannasaaan_tbs  番組の内容と放送時間は変更になる場合があります。")</f>
        <v>麗音（川原瑛都）と一緒にいるため、前向きに退社を決めたカンナ（渡辺直美）。少しでも在庫を売り切ろう！と店舗に立っている時、自分の初めて採用されたデザインの服を、大事に着てくれていたお客さんに出会う。デザイナーとしての喜びを実感するカンナ。そんな時、奇しくもデザイナー復活のチャンスが訪れて・・・だが、その頃礼（要潤）は、信じられない借金を抱えることに！絶体絶命のカンナが、最後の対決に挑む！渡辺直美、要潤、山口紗弥加、工藤阿須加、トリンドル玲奈、じろう（シソンヌ）、川原瑛都（子役）、泉里香、　平山あや、高橋かおり、遠山俊也、朝加真由美、斉藤由貴主題歌「キラキラ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v>
      </c>
      <c r="N4903" s="2"/>
      <c r="O4903" s="2"/>
      <c r="P4903" s="2"/>
      <c r="Q4903" s="2"/>
      <c r="R4903" s="2"/>
      <c r="S4903" s="2"/>
      <c r="T4903" s="2"/>
      <c r="U4903" s="2"/>
      <c r="V4903" s="2"/>
      <c r="W4903" s="2"/>
      <c r="X4903" s="2"/>
      <c r="Y4903" s="2"/>
      <c r="Z4903" s="2"/>
      <c r="AA4903" s="2"/>
      <c r="AB4903" s="2"/>
      <c r="AC4903" s="2"/>
      <c r="AD4903" s="2"/>
      <c r="AE4903" s="2"/>
      <c r="AF4903" s="2"/>
      <c r="AG4903" s="2"/>
      <c r="AH4903" s="2"/>
      <c r="AI4903" s="2"/>
      <c r="AJ4903" s="2"/>
      <c r="AK4903" s="2"/>
      <c r="AL4903" s="2"/>
      <c r="AM4903" s="2"/>
      <c r="AN4903" s="2"/>
      <c r="AO4903" s="2"/>
      <c r="AP4903" s="2"/>
      <c r="AQ4903" s="2"/>
      <c r="AR4903" s="2"/>
      <c r="AS4903" s="2"/>
      <c r="AT4903" s="2"/>
      <c r="AU4903" s="2"/>
      <c r="AV4903" s="2"/>
      <c r="AW4903" s="2"/>
      <c r="AX4903" s="2"/>
      <c r="AY4903" s="2"/>
      <c r="AZ4903" s="2"/>
      <c r="BA4903" s="2"/>
      <c r="BB4903" s="2"/>
    </row>
    <row r="4904" ht="204.75" customHeight="1">
      <c r="A4904" s="1">
        <v>1085.0</v>
      </c>
      <c r="B4904" s="2" t="s">
        <v>13799</v>
      </c>
      <c r="C4904" s="2">
        <f>IFERROR(__xludf.DUMMYFUNCTION("split(B4904,""_"")"),1707.0)</f>
        <v>1707</v>
      </c>
      <c r="D4904" s="2" t="str">
        <f>IFERROR(__xludf.DUMMYFUNCTION("""COMPUTED_VALUE"""),"TBS")</f>
        <v>TBS</v>
      </c>
      <c r="E4904" s="2" t="str">
        <f>IFERROR(__xludf.DUMMYFUNCTION("""COMPUTED_VALUE"""),"火22")</f>
        <v>火22</v>
      </c>
      <c r="F4904" s="2" t="s">
        <v>13800</v>
      </c>
      <c r="G4904" s="2" t="s">
        <v>13819</v>
      </c>
      <c r="H4904" s="1">
        <v>10.0</v>
      </c>
      <c r="J4904" s="1" t="s">
        <v>82</v>
      </c>
      <c r="K4904" s="2" t="s">
        <v>13820</v>
      </c>
      <c r="L4904" s="2"/>
      <c r="M4904" s="2" t="str">
        <f>IFERROR(__xludf.DUMMYFUNCTION("split(split(K4904,""【"",false),""公式LINE"",false)"),"元夫の礼（要潤）が背負った大借金…突然のピンチにも「ほっとける訳ないでしょ！」と前向きに奮闘するカンナ（渡辺直美）。しかし再就職はままならず…そんな時カンナは工事現場でオッサンに混じって働く、とある女性を見かける。輝くようなカッコよさに、悩んでるより「今」前に踏み出す決意をしたカンナは…！？一方、礼は再プロポーズを決意するが…その前に、ニック難波（加藤雅也）が立ちはだかる！ドキドキと号泣のラスト！渡辺直美、要潤、山口紗弥加、工藤阿須加、トリンドル玲奈、じろう（シソンヌ）、川原瑛都（子役）、加藤雅也、泉里香"&amp;"、高橋メアリージュン、阿南健治、佐野勇斗、遠山俊也、朝加真由美、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https://www.instagram.c"&amp;"om/kannasaaan_tbs/  ◇twitter  @kannasaaan_tbs   https://twitter.com/kannasaaan_tbs  番組の内容と放送時間は変更になる場合があります。")</f>
        <v>元夫の礼（要潤）が背負った大借金…突然のピンチにも「ほっとける訳ないでしょ！」と前向きに奮闘するカンナ（渡辺直美）。しかし再就職はままならず…そんな時カンナは工事現場でオッサンに混じって働く、とある女性を見かける。輝くようなカッコよさに、悩んでるより「今」前に踏み出す決意をしたカンナは…！？一方、礼は再プロポーズを決意するが…その前に、ニック難波（加藤雅也）が立ちはだかる！ドキドキと号泣のラスト！渡辺直美、要潤、山口紗弥加、工藤阿須加、トリンドル玲奈、じろう（シソンヌ）、川原瑛都（子役）、加藤雅也、泉里香、高橋メアリージュン、阿南健治、佐野勇斗、遠山俊也、朝加真由美、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v>
      </c>
      <c r="N4904" s="2"/>
      <c r="O4904" s="2"/>
      <c r="P4904" s="2"/>
      <c r="Q4904" s="2"/>
      <c r="R4904" s="2"/>
      <c r="S4904" s="2"/>
      <c r="T4904" s="2"/>
      <c r="U4904" s="2"/>
      <c r="V4904" s="2"/>
      <c r="W4904" s="2"/>
      <c r="X4904" s="2"/>
      <c r="Y4904" s="2"/>
      <c r="Z4904" s="2"/>
      <c r="AA4904" s="2"/>
      <c r="AB4904" s="2"/>
      <c r="AC4904" s="2"/>
      <c r="AD4904" s="2"/>
      <c r="AE4904" s="2"/>
      <c r="AF4904" s="2"/>
      <c r="AG4904" s="2"/>
      <c r="AH4904" s="2"/>
      <c r="AI4904" s="2"/>
      <c r="AJ4904" s="2"/>
      <c r="AK4904" s="2"/>
      <c r="AL4904" s="2"/>
      <c r="AM4904" s="2"/>
      <c r="AN4904" s="2"/>
      <c r="AO4904" s="2"/>
      <c r="AP4904" s="2"/>
      <c r="AQ4904" s="2"/>
      <c r="AR4904" s="2"/>
      <c r="AS4904" s="2"/>
      <c r="AT4904" s="2"/>
      <c r="AU4904" s="2"/>
      <c r="AV4904" s="2"/>
      <c r="AW4904" s="2"/>
      <c r="AX4904" s="2"/>
      <c r="AY4904" s="2"/>
      <c r="AZ4904" s="2"/>
      <c r="BA4904" s="2"/>
      <c r="BB4904" s="2"/>
    </row>
    <row r="4905" ht="204.75" customHeight="1">
      <c r="A4905" s="1">
        <v>1133.0</v>
      </c>
      <c r="B4905" s="2" t="s">
        <v>13821</v>
      </c>
      <c r="C4905" s="2">
        <f>IFERROR(__xludf.DUMMYFUNCTION("split(B4905,""_"")"),1707.0)</f>
        <v>1707</v>
      </c>
      <c r="D4905" s="2" t="str">
        <f>IFERROR(__xludf.DUMMYFUNCTION("""COMPUTED_VALUE"""),"TBS")</f>
        <v>TBS</v>
      </c>
      <c r="E4905" s="2" t="str">
        <f>IFERROR(__xludf.DUMMYFUNCTION("""COMPUTED_VALUE"""),"金22")</f>
        <v>金22</v>
      </c>
      <c r="F4905" s="2" t="s">
        <v>13822</v>
      </c>
      <c r="G4905" s="2" t="s">
        <v>13823</v>
      </c>
      <c r="H4905" s="1">
        <v>1.0</v>
      </c>
      <c r="J4905" s="1" t="s">
        <v>82</v>
      </c>
      <c r="K4905" s="2" t="s">
        <v>13824</v>
      </c>
      <c r="L4905" s="2"/>
      <c r="M4905" s="2" t="str">
        <f>IFERROR(__xludf.DUMMYFUNCTION("split(split(K4905,""【"",false),""公式LINE"",false)"),"2017年・東京都板橋区下赤塚ー。五郎（瑛太）とグレ（森田剛）は、所長の風かほる（山口智子）が営む「あかつか探偵事務所」のお気楽所員。ある日事務所を訪れてきた川田（伊藤淳史）からの依頼は、なんと、一ヶ月前に亡くした娘を探してほしいというものだった－。「そんなの探偵の仕事じゃない」と反対されながら、人情をモットーとする五郎とグレは、川田からの依頼を叶えるため、亡くなった「娘」を探すのだが・・・。瑛太  深田恭子  森田剛    山口智子    （1話ゲスト）  伊藤淳史原作：弘兼憲史「ハロー張りネズミ」（講"&amp;"談社「ヤングマガジンKC」所載）  脚本／演出：大根仁  音楽　SOIL&amp;"" PIMP""SESSIONSプロデュース：韓　哲、市山竜次（オフィスクレッシェンド）  製作：オフィスクレッシェンド／TBSSOIL&amp;""PIMP""SESSIONS feat. Yojiro Noda 「ユメマカセ」◇番組HP  http://www.tbs.co.jp/hello-harinezumi/  番組の内容と放送時間は変更になる場合があります。")</f>
        <v>2017年・東京都板橋区下赤塚ー。五郎（瑛太）とグレ（森田剛）は、所長の風かほる（山口智子）が営む「あかつか探偵事務所」のお気楽所員。ある日事務所を訪れてきた川田（伊藤淳史）からの依頼は、なんと、一ヶ月前に亡くした娘を探してほしいというものだった－。「そんなの探偵の仕事じゃない」と反対されながら、人情をモットーとする五郎とグレは、川田からの依頼を叶えるため、亡くなった「娘」を探すのだが・・・。瑛太  深田恭子  森田剛    山口智子    （1話ゲスト）  伊藤淳史原作：弘兼憲史「ハロー張りネズミ」（講談社「ヤングマガジンKC」所載）  脚本／演出：大根仁  音楽　SOIL&amp;" PIMP"SESSIONSプロデュース：韓　哲、市山竜次（オフィスクレッシェンド）  製作：オフィスクレッシェンド／TBSSOIL&amp;"PIMP"SESSIONS feat. Yojiro Noda 「ユメマカセ」◇番組HP  http://www.tbs.co.jp/hello-harinezumi/  番組の内容と放送時間は変更になる場合があります。</v>
      </c>
      <c r="N4905" s="2"/>
      <c r="O4905" s="2"/>
      <c r="P4905" s="2"/>
      <c r="Q4905" s="2"/>
      <c r="R4905" s="2"/>
      <c r="S4905" s="2"/>
      <c r="T4905" s="2"/>
      <c r="U4905" s="2"/>
      <c r="V4905" s="2"/>
      <c r="W4905" s="2"/>
      <c r="X4905" s="2"/>
      <c r="Y4905" s="2"/>
      <c r="Z4905" s="2"/>
      <c r="AA4905" s="2"/>
      <c r="AB4905" s="2"/>
      <c r="AC4905" s="2"/>
      <c r="AD4905" s="2"/>
      <c r="AE4905" s="2"/>
      <c r="AF4905" s="2"/>
      <c r="AG4905" s="2"/>
      <c r="AH4905" s="2"/>
      <c r="AI4905" s="2"/>
      <c r="AJ4905" s="2"/>
      <c r="AK4905" s="2"/>
      <c r="AL4905" s="2"/>
      <c r="AM4905" s="2"/>
      <c r="AN4905" s="2"/>
      <c r="AO4905" s="2"/>
      <c r="AP4905" s="2"/>
      <c r="AQ4905" s="2"/>
      <c r="AR4905" s="2"/>
      <c r="AS4905" s="2"/>
      <c r="AT4905" s="2"/>
      <c r="AU4905" s="2"/>
      <c r="AV4905" s="2"/>
      <c r="AW4905" s="2"/>
      <c r="AX4905" s="2"/>
      <c r="AY4905" s="2"/>
      <c r="AZ4905" s="2"/>
      <c r="BA4905" s="2"/>
      <c r="BB4905" s="2"/>
    </row>
    <row r="4906" ht="204.75" customHeight="1">
      <c r="A4906" s="1">
        <v>1134.0</v>
      </c>
      <c r="B4906" s="2" t="s">
        <v>13821</v>
      </c>
      <c r="C4906" s="2">
        <f>IFERROR(__xludf.DUMMYFUNCTION("split(B4906,""_"")"),1707.0)</f>
        <v>1707</v>
      </c>
      <c r="D4906" s="2" t="str">
        <f>IFERROR(__xludf.DUMMYFUNCTION("""COMPUTED_VALUE"""),"TBS")</f>
        <v>TBS</v>
      </c>
      <c r="E4906" s="2" t="str">
        <f>IFERROR(__xludf.DUMMYFUNCTION("""COMPUTED_VALUE"""),"金22")</f>
        <v>金22</v>
      </c>
      <c r="F4906" s="2" t="s">
        <v>13822</v>
      </c>
      <c r="G4906" s="2" t="s">
        <v>13825</v>
      </c>
      <c r="H4906" s="1">
        <v>2.0</v>
      </c>
      <c r="J4906" s="1" t="s">
        <v>86</v>
      </c>
      <c r="K4906" s="2" t="s">
        <v>13826</v>
      </c>
      <c r="L4906" s="2"/>
      <c r="M4906" s="2" t="str">
        <f>IFERROR(__xludf.DUMMYFUNCTION("split(split(K4906,""【"",false),""公式LINE"",false)"),"美しき謎の依頼人（深田恭子）は、「自殺したとされる父親の事件の真相を明らかにすること」であった。その内容を聞いて、あかつか探偵事務所は依頼を受けるのか！？瑛太、深田恭子、森田剛、中岡創一（ロッチ）、片山萌美、矢島健一、リリー・フランキー、吹越満、平田満、中原丈雄、山口智子原作：弘兼憲史「ハロー張りネズミ」（講談社「ヤングマガジンKC」所載）  脚本／演出：大根仁  音楽　SOIL&amp;"" PIMP""SESSIONS  プロデュース：韓　哲、市山竜次（オフィスクレッシェンド）  製作：オフィスクレッシェンド"&amp;"／TBS  SOIL&amp;""PIMP""SESSIONS feat. Yojiro Noda 「ユメマカセ」  ◇番組HP  http://www.tbs.co.jp/hello-harinezumi/    ◇instagram  https://www.instagram.com/hello_harinezumi/◇twitter  @hello_hrnzm  https://twitter.com/hello_hrnzm  番組の内容と放送時間は変更になる場合があります。")</f>
        <v>美しき謎の依頼人（深田恭子）は、「自殺したとされる父親の事件の真相を明らかにすること」であった。その内容を聞いて、あかつか探偵事務所は依頼を受けるのか！？瑛太、深田恭子、森田剛、中岡創一（ロッチ）、片山萌美、矢島健一、リリー・フランキー、吹越満、平田満、中原丈雄、山口智子原作：弘兼憲史「ハロー張りネズミ」（講談社「ヤングマガジンKC」所載）  脚本／演出：大根仁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v>
      </c>
      <c r="N4906" s="2"/>
      <c r="O4906" s="2"/>
      <c r="P4906" s="2"/>
      <c r="Q4906" s="2"/>
      <c r="R4906" s="2"/>
      <c r="S4906" s="2"/>
      <c r="T4906" s="2"/>
      <c r="U4906" s="2"/>
      <c r="V4906" s="2"/>
      <c r="W4906" s="2"/>
      <c r="X4906" s="2"/>
      <c r="Y4906" s="2"/>
      <c r="Z4906" s="2"/>
      <c r="AA4906" s="2"/>
      <c r="AB4906" s="2"/>
      <c r="AC4906" s="2"/>
      <c r="AD4906" s="2"/>
      <c r="AE4906" s="2"/>
      <c r="AF4906" s="2"/>
      <c r="AG4906" s="2"/>
      <c r="AH4906" s="2"/>
      <c r="AI4906" s="2"/>
      <c r="AJ4906" s="2"/>
      <c r="AK4906" s="2"/>
      <c r="AL4906" s="2"/>
      <c r="AM4906" s="2"/>
      <c r="AN4906" s="2"/>
      <c r="AO4906" s="2"/>
      <c r="AP4906" s="2"/>
      <c r="AQ4906" s="2"/>
      <c r="AR4906" s="2"/>
      <c r="AS4906" s="2"/>
      <c r="AT4906" s="2"/>
      <c r="AU4906" s="2"/>
      <c r="AV4906" s="2"/>
      <c r="AW4906" s="2"/>
      <c r="AX4906" s="2"/>
      <c r="AY4906" s="2"/>
      <c r="AZ4906" s="2"/>
      <c r="BA4906" s="2"/>
      <c r="BB4906" s="2"/>
    </row>
    <row r="4907" ht="204.75" customHeight="1">
      <c r="A4907" s="1">
        <v>1135.0</v>
      </c>
      <c r="B4907" s="2" t="s">
        <v>13821</v>
      </c>
      <c r="C4907" s="2">
        <f>IFERROR(__xludf.DUMMYFUNCTION("split(B4907,""_"")"),1707.0)</f>
        <v>1707</v>
      </c>
      <c r="D4907" s="2" t="str">
        <f>IFERROR(__xludf.DUMMYFUNCTION("""COMPUTED_VALUE"""),"TBS")</f>
        <v>TBS</v>
      </c>
      <c r="E4907" s="2" t="str">
        <f>IFERROR(__xludf.DUMMYFUNCTION("""COMPUTED_VALUE"""),"金22")</f>
        <v>金22</v>
      </c>
      <c r="F4907" s="2" t="s">
        <v>13822</v>
      </c>
      <c r="G4907" s="2" t="s">
        <v>13827</v>
      </c>
      <c r="H4907" s="1">
        <v>3.0</v>
      </c>
      <c r="J4907" s="1" t="s">
        <v>86</v>
      </c>
      <c r="K4907" s="2" t="s">
        <v>13828</v>
      </c>
      <c r="L4907" s="2"/>
      <c r="M4907" s="2" t="str">
        <f>IFERROR(__xludf.DUMMYFUNCTION("split(split(K4907,""【"",false),""公式LINE"",false)"),"「父親の死の真相を知りたい」。謎の美女・蘭子（深田恭子）の依頼を追うゴロー（瑛太）は、その死が自殺ではなく、殺人であった事実をつかむ。さらに決定的な資料を持つ男・南（リリー・フランキー）にまで行き着いたが、その直後、南の事務所が謎の大爆発を受けてしまう！事件の真相を隠蔽しようとする巨悪の影がゴローの行く手を阻もうとしている。その巨悪とは一体誰なのか？瑛太、深田恭子、森田剛、中岡創一（ロッチ）、片山萌美、矢島健一、リリー・フランキー、山口智子  （FILE　No.3「蘭子という女」ゲスト）  吹越満、平田満"&amp;"、中原丈雄原作：弘兼憲史「ハロー張りネズミ」（講談社「ヤングマガジンKC」所載）  脚本／演出：大根仁  音楽　SOIL&amp;"" PIMP""SESSIONSプロデュース：韓　哲、市山竜次（オフィスクレッシェンド）  製作：オフィスクレッシェンド／TBSSOIL&amp;""PIMP""SESSIONS feat. Yojiro Noda 「ユメマカセ」◇番組HP  http://www.tbs.co.jp/hello-harinezumi/    ◇instagram  https://www.instagram"&amp;".com/hello_harinezumi/◇twitter  @hello_hrnzm  https://twitter.com/hello_hrnzm番組の内容と放送時間は変更になる場合があります。")</f>
        <v>「父親の死の真相を知りたい」。謎の美女・蘭子（深田恭子）の依頼を追うゴロー（瑛太）は、その死が自殺ではなく、殺人であった事実をつかむ。さらに決定的な資料を持つ男・南（リリー・フランキー）にまで行き着いたが、その直後、南の事務所が謎の大爆発を受けてしまう！事件の真相を隠蔽しようとする巨悪の影がゴローの行く手を阻もうとしている。その巨悪とは一体誰なのか？瑛太、深田恭子、森田剛、中岡創一（ロッチ）、片山萌美、矢島健一、リリー・フランキー、山口智子  （FILE　No.3「蘭子という女」ゲスト）  吹越満、平田満、中原丈雄原作：弘兼憲史「ハロー張りネズミ」（講談社「ヤングマガジンKC」所載）  脚本／演出：大根仁  音楽　SOIL&amp;" PIMP"SESSIONSプロデュース：韓　哲、市山竜次（オフィスクレッシェンド）  製作：オフィスクレッシェンド／TBSSOIL&amp;"PIMP"SESSIONS feat. Yojiro Noda 「ユメマカセ」◇番組HP  http://www.tbs.co.jp/hello-harinezumi/    ◇instagram  https://www.instagram.com/hello_harinezumi/◇twitter  @hello_hrnzm  https://twitter.com/hello_hrnzm番組の内容と放送時間は変更になる場合があります。</v>
      </c>
      <c r="N4907" s="2"/>
      <c r="O4907" s="2"/>
      <c r="P4907" s="2"/>
      <c r="Q4907" s="2"/>
      <c r="R4907" s="2"/>
      <c r="S4907" s="2"/>
      <c r="T4907" s="2"/>
      <c r="U4907" s="2"/>
      <c r="V4907" s="2"/>
      <c r="W4907" s="2"/>
      <c r="X4907" s="2"/>
      <c r="Y4907" s="2"/>
      <c r="Z4907" s="2"/>
      <c r="AA4907" s="2"/>
      <c r="AB4907" s="2"/>
      <c r="AC4907" s="2"/>
      <c r="AD4907" s="2"/>
      <c r="AE4907" s="2"/>
      <c r="AF4907" s="2"/>
      <c r="AG4907" s="2"/>
      <c r="AH4907" s="2"/>
      <c r="AI4907" s="2"/>
      <c r="AJ4907" s="2"/>
      <c r="AK4907" s="2"/>
      <c r="AL4907" s="2"/>
      <c r="AM4907" s="2"/>
      <c r="AN4907" s="2"/>
      <c r="AO4907" s="2"/>
      <c r="AP4907" s="2"/>
      <c r="AQ4907" s="2"/>
      <c r="AR4907" s="2"/>
      <c r="AS4907" s="2"/>
      <c r="AT4907" s="2"/>
      <c r="AU4907" s="2"/>
      <c r="AV4907" s="2"/>
      <c r="AW4907" s="2"/>
      <c r="AX4907" s="2"/>
      <c r="AY4907" s="2"/>
      <c r="AZ4907" s="2"/>
      <c r="BA4907" s="2"/>
      <c r="BB4907" s="2"/>
    </row>
    <row r="4908" ht="204.75" customHeight="1">
      <c r="A4908" s="1">
        <v>1136.0</v>
      </c>
      <c r="B4908" s="2" t="s">
        <v>13821</v>
      </c>
      <c r="C4908" s="2">
        <f>IFERROR(__xludf.DUMMYFUNCTION("split(B4908,""_"")"),1707.0)</f>
        <v>1707</v>
      </c>
      <c r="D4908" s="2" t="str">
        <f>IFERROR(__xludf.DUMMYFUNCTION("""COMPUTED_VALUE"""),"TBS")</f>
        <v>TBS</v>
      </c>
      <c r="E4908" s="2" t="str">
        <f>IFERROR(__xludf.DUMMYFUNCTION("""COMPUTED_VALUE"""),"金22")</f>
        <v>金22</v>
      </c>
      <c r="F4908" s="2" t="s">
        <v>13822</v>
      </c>
      <c r="G4908" s="2" t="s">
        <v>13829</v>
      </c>
      <c r="H4908" s="1">
        <v>4.0</v>
      </c>
      <c r="J4908" s="1" t="s">
        <v>86</v>
      </c>
      <c r="K4908" s="2" t="s">
        <v>13830</v>
      </c>
      <c r="L4908" s="2"/>
      <c r="M4908" s="2" t="str">
        <f>IFERROR(__xludf.DUMMYFUNCTION("split(split(K4908,""【"",false),""公式LINE"",false)"),"今夜から新事件スタート！  FILE No.3「ママ、淋しかったの」    「家の中に、家族以外の、誰かがいるんです」。    驚愕の依頼を受けたゴロー（瑛太）は早速依頼者の自宅を訪問する。防犯カメラをつけて遠隔から留守中の自宅を覗くゴローと依頼者だったが、数時間後、留守番をしていた5歳のひとり娘の姿とともに衝撃の映像を見てしまう！    そこでゴローは謎の女・河合（蒼井優）に協力を仰ぐことになる。瑛太、深田恭子、森田剛、蒼井優、リリー・フランキー、山口智子  （ゲスト）  内田　滋、後藤由依良、古舘寛治"&amp;"、上田遥原作：弘兼憲史「ハロー張りネズミ」（講談社「ヤングマガジンKC」所載）  脚本／演出：大根仁  音楽　SOIL&amp;"" PIMP""SESSIONS  プロデュース：韓　哲、市山竜次（オフィスクレッシェンド）  製作：オフィスクレッシェンド／TBS  SOIL&amp;""PIMP""SESSIONS feat. Yojiro Noda 「ユメマカセ」  ◇番組HP  http://www.tbs.co.jp/hello-harinezumi/    ◇instagram  https://www.inst"&amp;"agram.com/hello_harinezumi/◇twitter  @hello_hrnzm  https://twitter.com/hello_hrnzm  番組の内容と放送時間は変更になる場合があります。")</f>
        <v>今夜から新事件スタート！  FILE No.3「ママ、淋しかったの」    「家の中に、家族以外の、誰かがいるんです」。    驚愕の依頼を受けたゴロー（瑛太）は早速依頼者の自宅を訪問する。防犯カメラをつけて遠隔から留守中の自宅を覗くゴローと依頼者だったが、数時間後、留守番をしていた5歳のひとり娘の姿とともに衝撃の映像を見てしまう！    そこでゴローは謎の女・河合（蒼井優）に協力を仰ぐことになる。瑛太、深田恭子、森田剛、蒼井優、リリー・フランキー、山口智子  （ゲスト）  内田　滋、後藤由依良、古舘寛治、上田遥原作：弘兼憲史「ハロー張りネズミ」（講談社「ヤングマガジンKC」所載）  脚本／演出：大根仁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v>
      </c>
      <c r="N4908" s="2"/>
      <c r="O4908" s="2"/>
      <c r="P4908" s="2"/>
      <c r="Q4908" s="2"/>
      <c r="R4908" s="2"/>
      <c r="S4908" s="2"/>
      <c r="T4908" s="2"/>
      <c r="U4908" s="2"/>
      <c r="V4908" s="2"/>
      <c r="W4908" s="2"/>
      <c r="X4908" s="2"/>
      <c r="Y4908" s="2"/>
      <c r="Z4908" s="2"/>
      <c r="AA4908" s="2"/>
      <c r="AB4908" s="2"/>
      <c r="AC4908" s="2"/>
      <c r="AD4908" s="2"/>
      <c r="AE4908" s="2"/>
      <c r="AF4908" s="2"/>
      <c r="AG4908" s="2"/>
      <c r="AH4908" s="2"/>
      <c r="AI4908" s="2"/>
      <c r="AJ4908" s="2"/>
      <c r="AK4908" s="2"/>
      <c r="AL4908" s="2"/>
      <c r="AM4908" s="2"/>
      <c r="AN4908" s="2"/>
      <c r="AO4908" s="2"/>
      <c r="AP4908" s="2"/>
      <c r="AQ4908" s="2"/>
      <c r="AR4908" s="2"/>
      <c r="AS4908" s="2"/>
      <c r="AT4908" s="2"/>
      <c r="AU4908" s="2"/>
      <c r="AV4908" s="2"/>
      <c r="AW4908" s="2"/>
      <c r="AX4908" s="2"/>
      <c r="AY4908" s="2"/>
      <c r="AZ4908" s="2"/>
      <c r="BA4908" s="2"/>
      <c r="BB4908" s="2"/>
    </row>
    <row r="4909" ht="204.75" customHeight="1">
      <c r="A4909" s="1">
        <v>1137.0</v>
      </c>
      <c r="B4909" s="2" t="s">
        <v>13821</v>
      </c>
      <c r="C4909" s="2">
        <f>IFERROR(__xludf.DUMMYFUNCTION("split(B4909,""_"")"),1707.0)</f>
        <v>1707</v>
      </c>
      <c r="D4909" s="2" t="str">
        <f>IFERROR(__xludf.DUMMYFUNCTION("""COMPUTED_VALUE"""),"TBS")</f>
        <v>TBS</v>
      </c>
      <c r="E4909" s="2" t="str">
        <f>IFERROR(__xludf.DUMMYFUNCTION("""COMPUTED_VALUE"""),"金22")</f>
        <v>金22</v>
      </c>
      <c r="F4909" s="2" t="s">
        <v>13822</v>
      </c>
      <c r="G4909" s="2" t="s">
        <v>13831</v>
      </c>
      <c r="H4909" s="1">
        <v>5.0</v>
      </c>
      <c r="J4909" s="1" t="s">
        <v>86</v>
      </c>
      <c r="K4909" s="2" t="s">
        <v>13832</v>
      </c>
      <c r="L4909" s="2"/>
      <c r="M4909" s="2" t="str">
        <f>IFERROR(__xludf.DUMMYFUNCTION("split(split(K4909,""【"",false),""公式LINE"",false)"),"「家の中に、家族以外の誰かがいる」という依頼者の家を調べることになったゴロー（瑛太）は、その家で起こる怪奇現象を見てしまう。霊媒師・河合（蒼井優）の力を借りて、原因が和室にある「床柱」だと判明したゴローたちは、その床柱が家に建てられた経緯を探ることに。すると東京都の奥深い山奥の家から持ち込まれたものだということを知る。瑛太、深田恭子、森田剛、蒼井優／内田慈、後藤由依良、古舘寛治、上田遥、清水伸／山口智子原作：弘兼憲史「ハロー張りネズミ」（講談社「ヤングマガジンKC」所載）  脚本／演出：大根仁  音楽　S"&amp;"OIL&amp;""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https"&amp;"://twitter.com/hello_hrnzm  番組の内容と放送時間は変更になる場合があります。")</f>
        <v>「家の中に、家族以外の誰かがいる」という依頼者の家を調べることになったゴロー（瑛太）は、その家で起こる怪奇現象を見てしまう。霊媒師・河合（蒼井優）の力を借りて、原因が和室にある「床柱」だと判明したゴローたちは、その床柱が家に建てられた経緯を探ることに。すると東京都の奥深い山奥の家から持ち込まれたものだということを知る。瑛太、深田恭子、森田剛、蒼井優／内田慈、後藤由依良、古舘寛治、上田遥、清水伸／山口智子原作：弘兼憲史「ハロー張りネズミ」（講談社「ヤングマガジンKC」所載）  脚本／演出：大根仁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v>
      </c>
      <c r="N4909" s="2"/>
      <c r="O4909" s="2"/>
      <c r="P4909" s="2"/>
      <c r="Q4909" s="2"/>
      <c r="R4909" s="2"/>
      <c r="S4909" s="2"/>
      <c r="T4909" s="2"/>
      <c r="U4909" s="2"/>
      <c r="V4909" s="2"/>
      <c r="W4909" s="2"/>
      <c r="X4909" s="2"/>
      <c r="Y4909" s="2"/>
      <c r="Z4909" s="2"/>
      <c r="AA4909" s="2"/>
      <c r="AB4909" s="2"/>
      <c r="AC4909" s="2"/>
      <c r="AD4909" s="2"/>
      <c r="AE4909" s="2"/>
      <c r="AF4909" s="2"/>
      <c r="AG4909" s="2"/>
      <c r="AH4909" s="2"/>
      <c r="AI4909" s="2"/>
      <c r="AJ4909" s="2"/>
      <c r="AK4909" s="2"/>
      <c r="AL4909" s="2"/>
      <c r="AM4909" s="2"/>
      <c r="AN4909" s="2"/>
      <c r="AO4909" s="2"/>
      <c r="AP4909" s="2"/>
      <c r="AQ4909" s="2"/>
      <c r="AR4909" s="2"/>
      <c r="AS4909" s="2"/>
      <c r="AT4909" s="2"/>
      <c r="AU4909" s="2"/>
      <c r="AV4909" s="2"/>
      <c r="AW4909" s="2"/>
      <c r="AX4909" s="2"/>
      <c r="AY4909" s="2"/>
      <c r="AZ4909" s="2"/>
      <c r="BA4909" s="2"/>
      <c r="BB4909" s="2"/>
    </row>
    <row r="4910" ht="204.75" customHeight="1">
      <c r="A4910" s="1">
        <v>1138.0</v>
      </c>
      <c r="B4910" s="2" t="s">
        <v>13821</v>
      </c>
      <c r="C4910" s="2">
        <f>IFERROR(__xludf.DUMMYFUNCTION("split(B4910,""_"")"),1707.0)</f>
        <v>1707</v>
      </c>
      <c r="D4910" s="2" t="str">
        <f>IFERROR(__xludf.DUMMYFUNCTION("""COMPUTED_VALUE"""),"TBS")</f>
        <v>TBS</v>
      </c>
      <c r="E4910" s="2" t="str">
        <f>IFERROR(__xludf.DUMMYFUNCTION("""COMPUTED_VALUE"""),"金22")</f>
        <v>金22</v>
      </c>
      <c r="F4910" s="2" t="s">
        <v>13822</v>
      </c>
      <c r="G4910" s="2" t="s">
        <v>13833</v>
      </c>
      <c r="H4910" s="1">
        <v>6.0</v>
      </c>
      <c r="J4910" s="1" t="s">
        <v>86</v>
      </c>
      <c r="K4910" s="2" t="s">
        <v>13834</v>
      </c>
      <c r="L4910" s="2"/>
      <c r="M4910" s="2" t="str">
        <f>IFERROR(__xludf.DUMMYFUNCTION("split(split(K4910,""【"",false),""公式LINE"",false)"),"あかつか探偵事務所の探偵・ゴロー（瑛太）宛てに一通の手紙が届く。差出人の名は、身に覚えのない見知らぬ女性。  「この手紙が届くころ、私は殺されているはずです。どうかその犯人を捕まえてください」。驚愕の依頼に戸惑うゴローは、早速差出人の住所に向かうと、室内に差出人らしき女性の遺体を発見する。ゴローはその犯人を探し出すことを決意し、ある一人の県議会候補者（ムロツヨシ）の元へ向かう。瑛太、深田恭子、森田剛、山口智子  （第6話ゲスト）  ムロツヨシ、玄理、前野朋哉、岩谷健司原作：弘兼憲史「ハロー張りネズミ」（講"&amp;"談社「ヤングマガジンKC」所載）  脚本：大根仁、二宮孝平  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https://www.instagram.com/hel"&amp;"lo_harinezumi/◇twitter  @hello_hrnzm  https://twitter.com/hello_hrnzm  番組の内容と放送時間は変更になる場合があります。")</f>
        <v>あかつか探偵事務所の探偵・ゴロー（瑛太）宛てに一通の手紙が届く。差出人の名は、身に覚えのない見知らぬ女性。  「この手紙が届くころ、私は殺されているはずです。どうかその犯人を捕まえてください」。驚愕の依頼に戸惑うゴローは、早速差出人の住所に向かうと、室内に差出人らしき女性の遺体を発見する。ゴローはその犯人を探し出すことを決意し、ある一人の県議会候補者（ムロツヨシ）の元へ向かう。瑛太、深田恭子、森田剛、山口智子  （第6話ゲスト）  ムロツヨシ、玄理、前野朋哉、岩谷健司原作：弘兼憲史「ハロー張りネズミ」（講談社「ヤングマガジンKC」所載）  脚本：大根仁、二宮孝平  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v>
      </c>
      <c r="N4910" s="2"/>
      <c r="O4910" s="2"/>
      <c r="P4910" s="2"/>
      <c r="Q4910" s="2"/>
      <c r="R4910" s="2"/>
      <c r="S4910" s="2"/>
      <c r="T4910" s="2"/>
      <c r="U4910" s="2"/>
      <c r="V4910" s="2"/>
      <c r="W4910" s="2"/>
      <c r="X4910" s="2"/>
      <c r="Y4910" s="2"/>
      <c r="Z4910" s="2"/>
      <c r="AA4910" s="2"/>
      <c r="AB4910" s="2"/>
      <c r="AC4910" s="2"/>
      <c r="AD4910" s="2"/>
      <c r="AE4910" s="2"/>
      <c r="AF4910" s="2"/>
      <c r="AG4910" s="2"/>
      <c r="AH4910" s="2"/>
      <c r="AI4910" s="2"/>
      <c r="AJ4910" s="2"/>
      <c r="AK4910" s="2"/>
      <c r="AL4910" s="2"/>
      <c r="AM4910" s="2"/>
      <c r="AN4910" s="2"/>
      <c r="AO4910" s="2"/>
      <c r="AP4910" s="2"/>
      <c r="AQ4910" s="2"/>
      <c r="AR4910" s="2"/>
      <c r="AS4910" s="2"/>
      <c r="AT4910" s="2"/>
      <c r="AU4910" s="2"/>
      <c r="AV4910" s="2"/>
      <c r="AW4910" s="2"/>
      <c r="AX4910" s="2"/>
      <c r="AY4910" s="2"/>
      <c r="AZ4910" s="2"/>
      <c r="BA4910" s="2"/>
      <c r="BB4910" s="2"/>
    </row>
    <row r="4911" ht="204.75" customHeight="1">
      <c r="A4911" s="1">
        <v>1139.0</v>
      </c>
      <c r="B4911" s="2" t="s">
        <v>13821</v>
      </c>
      <c r="C4911" s="2">
        <f>IFERROR(__xludf.DUMMYFUNCTION("split(B4911,""_"")"),1707.0)</f>
        <v>1707</v>
      </c>
      <c r="D4911" s="2" t="str">
        <f>IFERROR(__xludf.DUMMYFUNCTION("""COMPUTED_VALUE"""),"TBS")</f>
        <v>TBS</v>
      </c>
      <c r="E4911" s="2" t="str">
        <f>IFERROR(__xludf.DUMMYFUNCTION("""COMPUTED_VALUE"""),"金22")</f>
        <v>金22</v>
      </c>
      <c r="F4911" s="2" t="s">
        <v>13822</v>
      </c>
      <c r="G4911" s="2" t="s">
        <v>13835</v>
      </c>
      <c r="H4911" s="1">
        <v>7.0</v>
      </c>
      <c r="J4911" s="1" t="s">
        <v>86</v>
      </c>
      <c r="K4911" s="2" t="s">
        <v>13836</v>
      </c>
      <c r="L4911" s="2"/>
      <c r="M4911" s="2" t="str">
        <f>IFERROR(__xludf.DUMMYFUNCTION("split(split(K4911,""【"",false),""公式LINE"",false)"),"ゴロー（瑛太）の探偵事務所の近くにある「八百龍」。ここで働くさえない純朴な男からの依頼内容は「いつも夜にネギを買いに来る名前も知らない美女について知りたい」というものだった。  早速ゴローと蘭子（深田恭子）は謎の女性・外資系OL七菜子（橋本マナミ）を探し出すことに成功する。しかし、ゴローたちは七菜子が毎夜違う男と一夜をともにしている事実を知ってしまう。しかし彼女はある複雑な事情を抱えていて・・・。瑛太  深田恭子  森田剛  リリー・フランキー  山口智子    （7話ゲスト）  橋本マナミ  宇野祥平原"&amp;"作：弘兼憲史「ハロー張りネズミ」（講談社「ヤングマガジンKC」所載）  脚本：大根仁、関えり香  脚本協力：黒住光    演出：大根仁  音楽　SOIL&amp;"" PIMP""SESSIONS  プロデュース：韓　哲、市山竜次（オフィスクレッシェンド）  製作：オフィスクレッシェンド／TBS  SOIL&amp;""PIMP""SESSIONS feat. Yojiro Noda 「ユメマカセ」  ◇番組HP  http://www.tbs.co.jp/hello-harinezumi/    ◇instagram "&amp;" https://www.instagram.com/hello_harinezumi/◇twitter  @hello_hrnzm  https://twitter.com/hello_hrnzm番組の内容と放送時間は変更になる場合があります。")</f>
        <v>ゴロー（瑛太）の探偵事務所の近くにある「八百龍」。ここで働くさえない純朴な男からの依頼内容は「いつも夜にネギを買いに来る名前も知らない美女について知りたい」というものだった。  早速ゴローと蘭子（深田恭子）は謎の女性・外資系OL七菜子（橋本マナミ）を探し出すことに成功する。しかし、ゴローたちは七菜子が毎夜違う男と一夜をともにしている事実を知ってしまう。しかし彼女はある複雑な事情を抱えていて・・・。瑛太  深田恭子  森田剛  リリー・フランキー  山口智子    （7話ゲスト）  橋本マナミ  宇野祥平原作：弘兼憲史「ハロー張りネズミ」（講談社「ヤングマガジンKC」所載）  脚本：大根仁、関えり香  脚本協力：黒住光    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https://twitter.com/hello_hrnzm番組の内容と放送時間は変更になる場合があります。</v>
      </c>
      <c r="N4911" s="2"/>
      <c r="O4911" s="2"/>
      <c r="P4911" s="2"/>
      <c r="Q4911" s="2"/>
      <c r="R4911" s="2"/>
      <c r="S4911" s="2"/>
      <c r="T4911" s="2"/>
      <c r="U4911" s="2"/>
      <c r="V4911" s="2"/>
      <c r="W4911" s="2"/>
      <c r="X4911" s="2"/>
      <c r="Y4911" s="2"/>
      <c r="Z4911" s="2"/>
      <c r="AA4911" s="2"/>
      <c r="AB4911" s="2"/>
      <c r="AC4911" s="2"/>
      <c r="AD4911" s="2"/>
      <c r="AE4911" s="2"/>
      <c r="AF4911" s="2"/>
      <c r="AG4911" s="2"/>
      <c r="AH4911" s="2"/>
      <c r="AI4911" s="2"/>
      <c r="AJ4911" s="2"/>
      <c r="AK4911" s="2"/>
      <c r="AL4911" s="2"/>
      <c r="AM4911" s="2"/>
      <c r="AN4911" s="2"/>
      <c r="AO4911" s="2"/>
      <c r="AP4911" s="2"/>
      <c r="AQ4911" s="2"/>
      <c r="AR4911" s="2"/>
      <c r="AS4911" s="2"/>
      <c r="AT4911" s="2"/>
      <c r="AU4911" s="2"/>
      <c r="AV4911" s="2"/>
      <c r="AW4911" s="2"/>
      <c r="AX4911" s="2"/>
      <c r="AY4911" s="2"/>
      <c r="AZ4911" s="2"/>
      <c r="BA4911" s="2"/>
      <c r="BB4911" s="2"/>
    </row>
    <row r="4912" ht="204.75" customHeight="1">
      <c r="A4912" s="1">
        <v>1140.0</v>
      </c>
      <c r="B4912" s="2" t="s">
        <v>13821</v>
      </c>
      <c r="C4912" s="2">
        <f>IFERROR(__xludf.DUMMYFUNCTION("split(B4912,""_"")"),1707.0)</f>
        <v>1707</v>
      </c>
      <c r="D4912" s="2" t="str">
        <f>IFERROR(__xludf.DUMMYFUNCTION("""COMPUTED_VALUE"""),"TBS")</f>
        <v>TBS</v>
      </c>
      <c r="E4912" s="2" t="str">
        <f>IFERROR(__xludf.DUMMYFUNCTION("""COMPUTED_VALUE"""),"金22")</f>
        <v>金22</v>
      </c>
      <c r="F4912" s="2" t="s">
        <v>13822</v>
      </c>
      <c r="G4912" s="2" t="s">
        <v>13837</v>
      </c>
      <c r="H4912" s="1">
        <v>8.0</v>
      </c>
      <c r="J4912" s="1" t="s">
        <v>86</v>
      </c>
      <c r="K4912" s="2" t="s">
        <v>13838</v>
      </c>
      <c r="L4912" s="2"/>
      <c r="M4912" s="2" t="str">
        <f>IFERROR(__xludf.DUMMYFUNCTION("split(split(K4912,""【"",false),""公式LINE"",false)"),"FILE.6「残された時間」  今回の依頼主は「25年前に生き別れた息子と娘を探してほしい」という、中華料理店の雇われ店長・栗田（國村隼）。息子と娘の居場所を探すため、グレ（森田剛）と栗田の二人旅が始まる。    唯一の手がかりになっているのは、10年前、横浜市に住む娘からの手紙。当時、手紙を受け取った栗田には、娘の元に行けなかったある事情があった。瑛太  深田恭子  森田剛    山口智子    （第8話「残された時間」ゲスト）  國村隼    松本若菜  山中崇  根岸季衣    上村依子  井上肇 "&amp;" 高崎佳代  田窪一世  長田奈麻  松下結衣子原作：弘兼憲史「ハロー張りネズミ」（講談社「ヤングマガジンKC」所載）  脚本：大根仁、黒住光  演出：大根仁  音楽　SOIL&amp;"" PIMP""SESSIONS  プロデュース：韓　哲、市山竜次（オフィスクレッシェンド）  製作：オフィスクレッシェンド／TBS  SOIL&amp;""PIMP""SESSIONS feat. Yojiro Noda 「ユメマカセ」  ◇番組HP  http://www.tbs.co.jp/hello-harinezumi/   "&amp;" ◇instagram  https://www.instagram.com/hello_harinezumi/◇twitter  @hello_hrnzm  https://twitter.com/hello_hrnzm  番組の内容と放送時間は変更になる場合があります。")</f>
        <v>FILE.6「残された時間」  今回の依頼主は「25年前に生き別れた息子と娘を探してほしい」という、中華料理店の雇われ店長・栗田（國村隼）。息子と娘の居場所を探すため、グレ（森田剛）と栗田の二人旅が始まる。    唯一の手がかりになっているのは、10年前、横浜市に住む娘からの手紙。当時、手紙を受け取った栗田には、娘の元に行けなかったある事情があった。瑛太  深田恭子  森田剛    山口智子    （第8話「残された時間」ゲスト）  國村隼    松本若菜  山中崇  根岸季衣    上村依子  井上肇  高崎佳代  田窪一世  長田奈麻  松下結衣子原作：弘兼憲史「ハロー張りネズミ」（講談社「ヤングマガジンKC」所載）  脚本：大根仁、黒住光  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v>
      </c>
      <c r="N4912" s="2"/>
      <c r="O4912" s="2"/>
      <c r="P4912" s="2"/>
      <c r="Q4912" s="2"/>
      <c r="R4912" s="2"/>
      <c r="S4912" s="2"/>
      <c r="T4912" s="2"/>
      <c r="U4912" s="2"/>
      <c r="V4912" s="2"/>
      <c r="W4912" s="2"/>
      <c r="X4912" s="2"/>
      <c r="Y4912" s="2"/>
      <c r="Z4912" s="2"/>
      <c r="AA4912" s="2"/>
      <c r="AB4912" s="2"/>
      <c r="AC4912" s="2"/>
      <c r="AD4912" s="2"/>
      <c r="AE4912" s="2"/>
      <c r="AF4912" s="2"/>
      <c r="AG4912" s="2"/>
      <c r="AH4912" s="2"/>
      <c r="AI4912" s="2"/>
      <c r="AJ4912" s="2"/>
      <c r="AK4912" s="2"/>
      <c r="AL4912" s="2"/>
      <c r="AM4912" s="2"/>
      <c r="AN4912" s="2"/>
      <c r="AO4912" s="2"/>
      <c r="AP4912" s="2"/>
      <c r="AQ4912" s="2"/>
      <c r="AR4912" s="2"/>
      <c r="AS4912" s="2"/>
      <c r="AT4912" s="2"/>
      <c r="AU4912" s="2"/>
      <c r="AV4912" s="2"/>
      <c r="AW4912" s="2"/>
      <c r="AX4912" s="2"/>
      <c r="AY4912" s="2"/>
      <c r="AZ4912" s="2"/>
      <c r="BA4912" s="2"/>
      <c r="BB4912" s="2"/>
    </row>
    <row r="4913" ht="204.75" customHeight="1">
      <c r="A4913" s="1">
        <v>1141.0</v>
      </c>
      <c r="B4913" s="2" t="s">
        <v>13821</v>
      </c>
      <c r="C4913" s="2">
        <f>IFERROR(__xludf.DUMMYFUNCTION("split(B4913,""_"")"),1707.0)</f>
        <v>1707</v>
      </c>
      <c r="D4913" s="2" t="str">
        <f>IFERROR(__xludf.DUMMYFUNCTION("""COMPUTED_VALUE"""),"TBS")</f>
        <v>TBS</v>
      </c>
      <c r="E4913" s="2" t="str">
        <f>IFERROR(__xludf.DUMMYFUNCTION("""COMPUTED_VALUE"""),"金22")</f>
        <v>金22</v>
      </c>
      <c r="F4913" s="2" t="s">
        <v>13822</v>
      </c>
      <c r="G4913" s="2" t="s">
        <v>13839</v>
      </c>
      <c r="H4913" s="1">
        <v>9.0</v>
      </c>
      <c r="J4913" s="1" t="s">
        <v>86</v>
      </c>
      <c r="K4913" s="2" t="s">
        <v>13840</v>
      </c>
      <c r="L4913" s="2"/>
      <c r="M4913" s="2" t="str">
        <f>IFERROR(__xludf.DUMMYFUNCTION("split(split(K4913,""【"",false),""公式LINE"",false)"),"FILE 7「下赤塚戦士レッドマン」    金にならない依頼ばかりの赤塚探偵事務所もそろそろやばい！ゴロー（瑛太）とグレ（森田剛）、蘭子（深田恭子）は所長のかほる（山口智子）から「何でもやります」というチラシを配ることを命じられる。そんな中、持ち込まれた依頼は幼稚園の先生だった。  「夏休みにどこにも連れてってもらえない子どもたちのためにヒーローショーのヒーローを演じてほしい」というものだったが・・・。瑛太  深田恭子  森田剛    蒼井優    中岡創一（ロッチ）  片山萌美  矢島健一    山口智"&amp;"子    （第9話ゲスト）  樋井明日香  後藤洋央紀    柄本時生原作：弘兼憲史「ハロー張りネズミ」（講談社「ヤングマガジンKC」所載）  脚本：大根仁、オークラ  演出：大根仁  音楽　SOIL&amp;"" PIMP""SESSIONS  プロデュース：韓　哲、市山竜次（オフィスクレッシェンド）  製作：オフィスクレッシェンド／TBS  SOIL&amp;""PIMP""SESSIONS feat. Yojiro Noda 「ユメマカセ」  ◇番組HP  http://www.tbs.co.jp/hello-ha"&amp;"rinezumi/    ◇instagram  https://www.instagram.com/hello_harinezumi/◇twitter  @hello_hrnzm  https://twitter.com/hello_hrnzm  番組の内容と放送時間は変更になる場合があります。")</f>
        <v>FILE 7「下赤塚戦士レッドマン」    金にならない依頼ばかりの赤塚探偵事務所もそろそろやばい！ゴロー（瑛太）とグレ（森田剛）、蘭子（深田恭子）は所長のかほる（山口智子）から「何でもやります」というチラシを配ることを命じられる。そんな中、持ち込まれた依頼は幼稚園の先生だった。  「夏休みにどこにも連れてってもらえない子どもたちのためにヒーローショーのヒーローを演じてほしい」というものだったが・・・。瑛太  深田恭子  森田剛    蒼井優    中岡創一（ロッチ）  片山萌美  矢島健一    山口智子    （第9話ゲスト）  樋井明日香  後藤洋央紀    柄本時生原作：弘兼憲史「ハロー張りネズミ」（講談社「ヤングマガジンKC」所載）  脚本：大根仁、オークラ  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v>
      </c>
      <c r="N4913" s="2"/>
      <c r="O4913" s="2"/>
      <c r="P4913" s="2"/>
      <c r="Q4913" s="2"/>
      <c r="R4913" s="2"/>
      <c r="S4913" s="2"/>
      <c r="T4913" s="2"/>
      <c r="U4913" s="2"/>
      <c r="V4913" s="2"/>
      <c r="W4913" s="2"/>
      <c r="X4913" s="2"/>
      <c r="Y4913" s="2"/>
      <c r="Z4913" s="2"/>
      <c r="AA4913" s="2"/>
      <c r="AB4913" s="2"/>
      <c r="AC4913" s="2"/>
      <c r="AD4913" s="2"/>
      <c r="AE4913" s="2"/>
      <c r="AF4913" s="2"/>
      <c r="AG4913" s="2"/>
      <c r="AH4913" s="2"/>
      <c r="AI4913" s="2"/>
      <c r="AJ4913" s="2"/>
      <c r="AK4913" s="2"/>
      <c r="AL4913" s="2"/>
      <c r="AM4913" s="2"/>
      <c r="AN4913" s="2"/>
      <c r="AO4913" s="2"/>
      <c r="AP4913" s="2"/>
      <c r="AQ4913" s="2"/>
      <c r="AR4913" s="2"/>
      <c r="AS4913" s="2"/>
      <c r="AT4913" s="2"/>
      <c r="AU4913" s="2"/>
      <c r="AV4913" s="2"/>
      <c r="AW4913" s="2"/>
      <c r="AX4913" s="2"/>
      <c r="AY4913" s="2"/>
      <c r="AZ4913" s="2"/>
      <c r="BA4913" s="2"/>
      <c r="BB4913" s="2"/>
    </row>
    <row r="4914" ht="204.75" customHeight="1">
      <c r="A4914" s="1">
        <v>1142.0</v>
      </c>
      <c r="B4914" s="2" t="s">
        <v>13821</v>
      </c>
      <c r="C4914" s="2">
        <f>IFERROR(__xludf.DUMMYFUNCTION("split(B4914,""_"")"),1707.0)</f>
        <v>1707</v>
      </c>
      <c r="D4914" s="2" t="str">
        <f>IFERROR(__xludf.DUMMYFUNCTION("""COMPUTED_VALUE"""),"TBS")</f>
        <v>TBS</v>
      </c>
      <c r="E4914" s="2" t="str">
        <f>IFERROR(__xludf.DUMMYFUNCTION("""COMPUTED_VALUE"""),"金22")</f>
        <v>金22</v>
      </c>
      <c r="F4914" s="2" t="s">
        <v>13822</v>
      </c>
      <c r="G4914" s="2" t="s">
        <v>13841</v>
      </c>
      <c r="H4914" s="1">
        <v>10.0</v>
      </c>
      <c r="J4914" s="1" t="s">
        <v>86</v>
      </c>
      <c r="K4914" s="2" t="s">
        <v>13842</v>
      </c>
      <c r="L4914" s="2"/>
      <c r="M4914" s="2" t="str">
        <f>IFERROR(__xludf.DUMMYFUNCTION("split(split(K4914,""【"",false),""公式LINE"",false)"),"FILE.8「眠る埋蔵金」  ゴロー（瑛太）が所属する赤塚探偵事務所は5ヶ月の家賃滞納のため、立ち退きを迫られる。ついに所長・かほる（山口智子）は事務所を畳む覚悟を決めた。  その時、群馬からある男・権藤（柄本時生）がやって来る。「自宅にあるはずの徳川埋蔵金を探し出してほしい」という驚愕の依頼だった！探し出せば巨額の報酬が貰えるはず・・・事務所存続をかけて、イチかバチか・・・最後の大勝負に出る！FILE.8「眠る埋蔵金」  瑛太  深田恭子  森田剛    山口智子    （最終回ゲスト）  柄本時生  "&amp;"  不破万作  原金太郎  村松利史原作：弘兼憲史「ハロー張りネズミ」（講談社「ヤングマガジンKC」所載）  脚本：大根仁、黒住光  演出：大根仁  音楽　SOIL&amp;"" PIMP""SESSIONS  プロデュース：韓　哲、市山竜次（オフィスクレッシェンド）  製作：オフィスクレッシェンド／TBS  SOIL&amp;""PIMP""SESSIONS feat. Yojiro Noda 「ユメマカセ」  ◇番組HP  http://www.tbs.co.jp/hello-harinezumi/    ◇inst"&amp;"agram  https://www.instagram.com/hello_harinezumi/◇twitter  @hello_hrnzm  https://twitter.com/hello_hrnzm    #ハロー張りネズミ  #ハロネズ  番組の最後には素敵なプレゼントのお知らせがあります！ふるってご応募お願いします。番組の内容と放送時間は変更になる場合があります。")</f>
        <v>FILE.8「眠る埋蔵金」  ゴロー（瑛太）が所属する赤塚探偵事務所は5ヶ月の家賃滞納のため、立ち退きを迫られる。ついに所長・かほる（山口智子）は事務所を畳む覚悟を決めた。  その時、群馬からある男・権藤（柄本時生）がやって来る。「自宅にあるはずの徳川埋蔵金を探し出してほしい」という驚愕の依頼だった！探し出せば巨額の報酬が貰えるはず・・・事務所存続をかけて、イチかバチか・・・最後の大勝負に出る！FILE.8「眠る埋蔵金」  瑛太  深田恭子  森田剛    山口智子    （最終回ゲスト）  柄本時生    不破万作  原金太郎  村松利史原作：弘兼憲史「ハロー張りネズミ」（講談社「ヤングマガジンKC」所載）  脚本：大根仁、黒住光  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#ハロー張りネズミ  #ハロネズ  番組の最後には素敵なプレゼントのお知らせがあります！ふるってご応募お願いします。番組の内容と放送時間は変更になる場合があります。</v>
      </c>
      <c r="N4914" s="2"/>
      <c r="O4914" s="2"/>
      <c r="P4914" s="2"/>
      <c r="Q4914" s="2"/>
      <c r="R4914" s="2"/>
      <c r="S4914" s="2"/>
      <c r="T4914" s="2"/>
      <c r="U4914" s="2"/>
      <c r="V4914" s="2"/>
      <c r="W4914" s="2"/>
      <c r="X4914" s="2"/>
      <c r="Y4914" s="2"/>
      <c r="Z4914" s="2"/>
      <c r="AA4914" s="2"/>
      <c r="AB4914" s="2"/>
      <c r="AC4914" s="2"/>
      <c r="AD4914" s="2"/>
      <c r="AE4914" s="2"/>
      <c r="AF4914" s="2"/>
      <c r="AG4914" s="2"/>
      <c r="AH4914" s="2"/>
      <c r="AI4914" s="2"/>
      <c r="AJ4914" s="2"/>
      <c r="AK4914" s="2"/>
      <c r="AL4914" s="2"/>
      <c r="AM4914" s="2"/>
      <c r="AN4914" s="2"/>
      <c r="AO4914" s="2"/>
      <c r="AP4914" s="2"/>
      <c r="AQ4914" s="2"/>
      <c r="AR4914" s="2"/>
      <c r="AS4914" s="2"/>
      <c r="AT4914" s="2"/>
      <c r="AU4914" s="2"/>
      <c r="AV4914" s="2"/>
      <c r="AW4914" s="2"/>
      <c r="AX4914" s="2"/>
      <c r="AY4914" s="2"/>
      <c r="AZ4914" s="2"/>
      <c r="BA4914" s="2"/>
      <c r="BB4914" s="2"/>
    </row>
    <row r="4915" ht="204.75" customHeight="1">
      <c r="A4915" s="1">
        <v>1159.0</v>
      </c>
      <c r="B4915" s="2" t="s">
        <v>13843</v>
      </c>
      <c r="C4915" s="2">
        <f>IFERROR(__xludf.DUMMYFUNCTION("split(B4915,""_"")"),1707.0)</f>
        <v>1707</v>
      </c>
      <c r="D4915" s="2" t="str">
        <f>IFERROR(__xludf.DUMMYFUNCTION("""COMPUTED_VALUE"""),"TBS")</f>
        <v>TBS</v>
      </c>
      <c r="E4915" s="2" t="str">
        <f>IFERROR(__xludf.DUMMYFUNCTION("""COMPUTED_VALUE"""),"日21")</f>
        <v>日21</v>
      </c>
      <c r="F4915" s="2" t="s">
        <v>13844</v>
      </c>
      <c r="G4915" s="2" t="s">
        <v>13845</v>
      </c>
      <c r="H4915" s="1">
        <v>1.0</v>
      </c>
      <c r="J4915" s="1" t="s">
        <v>4</v>
      </c>
      <c r="K4915" s="2" t="s">
        <v>13846</v>
      </c>
      <c r="L4915" s="2"/>
      <c r="M4915" s="2" t="str">
        <f>IFERROR(__xludf.DUMMYFUNCTION("split(split(K4915,""【"",false),""公式LINE"",false)"),"幼い頃、母親に捨てられ不遇な環境で生きてきた律（長瀬智也）は、ひょんなことから凛華（吉岡里帆）を助ける。後にこれが二人にとって運命を変える出会いとなる。ある日、律が事件に巻き込まれ、命に関わる致命的な怪我を負う。最期に親孝行がしたいと母親・麗子（大竹しのぶ）を探し当てるが…そこには息子サトル（坂口健太郎）に溢れんばかりの愛情を注ぐ母親の姿が。母への恩慕と憎しみに葛藤する中、律は再び凛華と再会して…長瀬智也、吉岡里帆、坂口健太郎、大西礼芳、大智、イ・スヒョク、六角精児、草村礼子、山路和弘、キム・ギョンギュン"&amp;"、ヨシムラケンイチ、光山文章、斎藤志郎、速水今日子、飯田まさと、崔晢浩、池脇千鶴、中村梅雀、大竹しのぶ副音声（日本語吹き替え版）  律・・・長瀬智也  ぺクラン・・・神谷浩史  ヨシムラケンイチ、光山文章、崔晢浩  いずみ尚、洪英姫、高岡香、西田雅一音楽　吉俣良　主題歌　「Forevermore」宇多田ヒカル（EPICレコードジャパン）脚本：浅野妙子　演出：石井康晴、水田成英、植田尚　プロデューサー：清水真由美原作　韓国KBSドラマ「ごめん、愛してる」（脚本　イ・ギョンヒ）◇番組HP  http://ww"&amp;"w.tbs.co.jp/gomen_aishiteru/  ◇instagram  https://www.instagram.com/gomenaishiteru/◇twitter  @gomen_aishiteru    https://twitter.com/gomen_aishiteru番組の内容と放送時間は変更になる場合があります。")</f>
        <v>幼い頃、母親に捨てられ不遇な環境で生きてきた律（長瀬智也）は、ひょんなことから凛華（吉岡里帆）を助ける。後にこれが二人にとって運命を変える出会いとなる。ある日、律が事件に巻き込まれ、命に関わる致命的な怪我を負う。最期に親孝行がしたいと母親・麗子（大竹しのぶ）を探し当てるが…そこには息子サトル（坂口健太郎）に溢れんばかりの愛情を注ぐ母親の姿が。母への恩慕と憎しみに葛藤する中、律は再び凛華と再会して…長瀬智也、吉岡里帆、坂口健太郎、大西礼芳、大智、イ・スヒョク、六角精児、草村礼子、山路和弘、キム・ギョンギュン、ヨシムラケンイチ、光山文章、斎藤志郎、速水今日子、飯田まさと、崔晢浩、池脇千鶴、中村梅雀、大竹しのぶ副音声（日本語吹き替え版）  律・・・長瀬智也  ぺクラン・・・神谷浩史  ヨシムラケンイチ、光山文章、崔晢浩  いずみ尚、洪英姫、高岡香、西田雅一音楽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@gomen_aishiteru    https://twitter.com/gomen_aishiteru番組の内容と放送時間は変更になる場合があります。</v>
      </c>
      <c r="N4915" s="2"/>
      <c r="O4915" s="2"/>
      <c r="P4915" s="2"/>
      <c r="Q4915" s="2"/>
      <c r="R4915" s="2"/>
      <c r="S4915" s="2"/>
      <c r="T4915" s="2"/>
      <c r="U4915" s="2"/>
      <c r="V4915" s="2"/>
      <c r="W4915" s="2"/>
      <c r="X4915" s="2"/>
      <c r="Y4915" s="2"/>
      <c r="Z4915" s="2"/>
      <c r="AA4915" s="2"/>
      <c r="AB4915" s="2"/>
      <c r="AC4915" s="2"/>
      <c r="AD4915" s="2"/>
      <c r="AE4915" s="2"/>
      <c r="AF4915" s="2"/>
      <c r="AG4915" s="2"/>
      <c r="AH4915" s="2"/>
      <c r="AI4915" s="2"/>
      <c r="AJ4915" s="2"/>
      <c r="AK4915" s="2"/>
      <c r="AL4915" s="2"/>
      <c r="AM4915" s="2"/>
      <c r="AN4915" s="2"/>
      <c r="AO4915" s="2"/>
      <c r="AP4915" s="2"/>
      <c r="AQ4915" s="2"/>
      <c r="AR4915" s="2"/>
      <c r="AS4915" s="2"/>
      <c r="AT4915" s="2"/>
      <c r="AU4915" s="2"/>
      <c r="AV4915" s="2"/>
      <c r="AW4915" s="2"/>
      <c r="AX4915" s="2"/>
      <c r="AY4915" s="2"/>
      <c r="AZ4915" s="2"/>
      <c r="BA4915" s="2"/>
      <c r="BB4915" s="2"/>
    </row>
    <row r="4916" ht="204.75" customHeight="1">
      <c r="A4916" s="1">
        <v>1160.0</v>
      </c>
      <c r="B4916" s="2" t="s">
        <v>13843</v>
      </c>
      <c r="C4916" s="2">
        <f>IFERROR(__xludf.DUMMYFUNCTION("split(B4916,""_"")"),1707.0)</f>
        <v>1707</v>
      </c>
      <c r="D4916" s="2" t="str">
        <f>IFERROR(__xludf.DUMMYFUNCTION("""COMPUTED_VALUE"""),"TBS")</f>
        <v>TBS</v>
      </c>
      <c r="E4916" s="2" t="str">
        <f>IFERROR(__xludf.DUMMYFUNCTION("""COMPUTED_VALUE"""),"日21")</f>
        <v>日21</v>
      </c>
      <c r="F4916" s="2" t="s">
        <v>13844</v>
      </c>
      <c r="G4916" s="2" t="s">
        <v>13847</v>
      </c>
      <c r="H4916" s="1">
        <v>2.0</v>
      </c>
      <c r="J4916" s="1" t="s">
        <v>4</v>
      </c>
      <c r="K4916" s="2" t="s">
        <v>13848</v>
      </c>
      <c r="L4916" s="2"/>
      <c r="M4916" s="2" t="str">
        <f>IFERROR(__xludf.DUMMYFUNCTION("split(split(K4916,""【"",false),""公式LINE"",false)"),"母親・麗子（大竹しのぶ）が、自分ではない息子・サトル（坂口健太郎）を溺愛し、裕福な暮らしをしている姿を目の当たりにした律（長瀬智也）。「復讐したいと思わないか？」ジャーナリストの加賀美（六角精児）は、律にそう言って復讐を促す。そんな折、律は凛華（吉岡里帆）からサトルの運転手の仕事を紹介される。引き受ける律だったが、訪れた仕事先でサトルが命の危機にさらされてしまう。そのとき麗子がとった行動に、律は…長瀬智也、吉岡里帆、坂口健太郎、大西礼芳、大智、合田雅吏、やべきょうすけ、六角精児、徳橋みのり、山中良弘、仲俣"&amp;"雅章、岩本淳、野口桜太郎、池脇千鶴、中村梅雀、大竹しのぶ音楽　吉俣良　主題歌「Forevermore」宇多田ヒカル（EPICレコードジャパン）脚本：浅野妙子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@gome"&amp;"n_aishiteru    https://twitter.com/gomen_aishiteru番組の内容と放送時間は変更になる場合があります。")</f>
        <v>母親・麗子（大竹しのぶ）が、自分ではない息子・サトル（坂口健太郎）を溺愛し、裕福な暮らしをしている姿を目の当たりにした律（長瀬智也）。「復讐したいと思わないか？」ジャーナリストの加賀美（六角精児）は、律にそう言って復讐を促す。そんな折、律は凛華（吉岡里帆）からサトルの運転手の仕事を紹介される。引き受ける律だったが、訪れた仕事先でサトルが命の危機にさらされてしまう。そのとき麗子がとった行動に、律は…長瀬智也、吉岡里帆、坂口健太郎、大西礼芳、大智、合田雅吏、やべきょうすけ、六角精児、徳橋みのり、山中良弘、仲俣雅章、岩本淳、野口桜太郎、池脇千鶴、中村梅雀、大竹しのぶ音楽　吉俣良　主題歌「Forevermore」宇多田ヒカル（EPICレコードジャパン）脚本：浅野妙子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@gomen_aishiteru    https://twitter.com/gomen_aishiteru番組の内容と放送時間は変更になる場合があります。</v>
      </c>
      <c r="N4916" s="2"/>
      <c r="O4916" s="2"/>
      <c r="P4916" s="2"/>
      <c r="Q4916" s="2"/>
      <c r="R4916" s="2"/>
      <c r="S4916" s="2"/>
      <c r="T4916" s="2"/>
      <c r="U4916" s="2"/>
      <c r="V4916" s="2"/>
      <c r="W4916" s="2"/>
      <c r="X4916" s="2"/>
      <c r="Y4916" s="2"/>
      <c r="Z4916" s="2"/>
      <c r="AA4916" s="2"/>
      <c r="AB4916" s="2"/>
      <c r="AC4916" s="2"/>
      <c r="AD4916" s="2"/>
      <c r="AE4916" s="2"/>
      <c r="AF4916" s="2"/>
      <c r="AG4916" s="2"/>
      <c r="AH4916" s="2"/>
      <c r="AI4916" s="2"/>
      <c r="AJ4916" s="2"/>
      <c r="AK4916" s="2"/>
      <c r="AL4916" s="2"/>
      <c r="AM4916" s="2"/>
      <c r="AN4916" s="2"/>
      <c r="AO4916" s="2"/>
      <c r="AP4916" s="2"/>
      <c r="AQ4916" s="2"/>
      <c r="AR4916" s="2"/>
      <c r="AS4916" s="2"/>
      <c r="AT4916" s="2"/>
      <c r="AU4916" s="2"/>
      <c r="AV4916" s="2"/>
      <c r="AW4916" s="2"/>
      <c r="AX4916" s="2"/>
      <c r="AY4916" s="2"/>
      <c r="AZ4916" s="2"/>
      <c r="BA4916" s="2"/>
      <c r="BB4916" s="2"/>
    </row>
    <row r="4917" ht="204.75" customHeight="1">
      <c r="A4917" s="1">
        <v>1161.0</v>
      </c>
      <c r="B4917" s="2" t="s">
        <v>13843</v>
      </c>
      <c r="C4917" s="2">
        <f>IFERROR(__xludf.DUMMYFUNCTION("split(B4917,""_"")"),1707.0)</f>
        <v>1707</v>
      </c>
      <c r="D4917" s="2" t="str">
        <f>IFERROR(__xludf.DUMMYFUNCTION("""COMPUTED_VALUE"""),"TBS")</f>
        <v>TBS</v>
      </c>
      <c r="E4917" s="2" t="str">
        <f>IFERROR(__xludf.DUMMYFUNCTION("""COMPUTED_VALUE"""),"日21")</f>
        <v>日21</v>
      </c>
      <c r="F4917" s="2" t="s">
        <v>13844</v>
      </c>
      <c r="G4917" s="2" t="s">
        <v>13849</v>
      </c>
      <c r="H4917" s="1">
        <v>3.0</v>
      </c>
      <c r="J4917" s="1" t="s">
        <v>11</v>
      </c>
      <c r="K4917" s="2" t="s">
        <v>13850</v>
      </c>
      <c r="L4917" s="2"/>
      <c r="M4917" s="2" t="str">
        <f>IFERROR(__xludf.DUMMYFUNCTION("split(split(K4917,""【"",false),""公式LINE"",false)"),"かつて母に捨てられた律（長瀬智也）は、子守歌というものに触れたことがなかった。  正体を隠して、その母親・麗子（大竹しのぶ）の元で働くことになった律。  酷い仕打ちを受けても、律は麗子を想い続ける。  一方、凛華（吉岡里帆）も、幼なじみのサトル（坂口健太郎）を一途に想い続け、報われぬ愛に葛藤する。  徐々に近づいてゆく、同じ孤独を抱えた2つの心。そして律が求めたものとは…。長瀬智也、吉岡里帆、坂口健太郎、大西礼芳、大智、六角精児、西野大作、酒井靖史、新居祐一、帆苅翔馬、池脇千鶴、中村梅雀、大竹しのぶ音楽　"&amp;"吉俣良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https://t"&amp;"witter.com/gomen_aishiteru  番組の内容と放送時間は変更になる場合があります。")</f>
        <v>かつて母に捨てられた律（長瀬智也）は、子守歌というものに触れたことがなかった。  正体を隠して、その母親・麗子（大竹しのぶ）の元で働くことになった律。  酷い仕打ちを受けても、律は麗子を想い続ける。  一方、凛華（吉岡里帆）も、幼なじみのサトル（坂口健太郎）を一途に想い続け、報われぬ愛に葛藤する。  徐々に近づいてゆく、同じ孤独を抱えた2つの心。そして律が求めたものとは…。長瀬智也、吉岡里帆、坂口健太郎、大西礼芳、大智、六角精児、西野大作、酒井靖史、新居祐一、帆苅翔馬、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https://twitter.com/gomen_aishiteru  番組の内容と放送時間は変更になる場合があります。</v>
      </c>
      <c r="N4917" s="2"/>
      <c r="O4917" s="2"/>
      <c r="P4917" s="2"/>
      <c r="Q4917" s="2"/>
      <c r="R4917" s="2"/>
      <c r="S4917" s="2"/>
      <c r="T4917" s="2"/>
      <c r="U4917" s="2"/>
      <c r="V4917" s="2"/>
      <c r="W4917" s="2"/>
      <c r="X4917" s="2"/>
      <c r="Y4917" s="2"/>
      <c r="Z4917" s="2"/>
      <c r="AA4917" s="2"/>
      <c r="AB4917" s="2"/>
      <c r="AC4917" s="2"/>
      <c r="AD4917" s="2"/>
      <c r="AE4917" s="2"/>
      <c r="AF4917" s="2"/>
      <c r="AG4917" s="2"/>
      <c r="AH4917" s="2"/>
      <c r="AI4917" s="2"/>
      <c r="AJ4917" s="2"/>
      <c r="AK4917" s="2"/>
      <c r="AL4917" s="2"/>
      <c r="AM4917" s="2"/>
      <c r="AN4917" s="2"/>
      <c r="AO4917" s="2"/>
      <c r="AP4917" s="2"/>
      <c r="AQ4917" s="2"/>
      <c r="AR4917" s="2"/>
      <c r="AS4917" s="2"/>
      <c r="AT4917" s="2"/>
      <c r="AU4917" s="2"/>
      <c r="AV4917" s="2"/>
      <c r="AW4917" s="2"/>
      <c r="AX4917" s="2"/>
      <c r="AY4917" s="2"/>
      <c r="AZ4917" s="2"/>
      <c r="BA4917" s="2"/>
      <c r="BB4917" s="2"/>
    </row>
    <row r="4918" ht="204.75" customHeight="1">
      <c r="A4918" s="1">
        <v>1162.0</v>
      </c>
      <c r="B4918" s="2" t="s">
        <v>13843</v>
      </c>
      <c r="C4918" s="2">
        <f>IFERROR(__xludf.DUMMYFUNCTION("split(B4918,""_"")"),1707.0)</f>
        <v>1707</v>
      </c>
      <c r="D4918" s="2" t="str">
        <f>IFERROR(__xludf.DUMMYFUNCTION("""COMPUTED_VALUE"""),"TBS")</f>
        <v>TBS</v>
      </c>
      <c r="E4918" s="2" t="str">
        <f>IFERROR(__xludf.DUMMYFUNCTION("""COMPUTED_VALUE"""),"日21")</f>
        <v>日21</v>
      </c>
      <c r="F4918" s="2" t="s">
        <v>13844</v>
      </c>
      <c r="G4918" s="2" t="s">
        <v>13851</v>
      </c>
      <c r="H4918" s="1">
        <v>4.0</v>
      </c>
      <c r="J4918" s="1" t="s">
        <v>11</v>
      </c>
      <c r="K4918" s="2" t="s">
        <v>13852</v>
      </c>
      <c r="L4918" s="2"/>
      <c r="M4918" s="2" t="str">
        <f>IFERROR(__xludf.DUMMYFUNCTION("split(split(K4918,""【"",false),""公式LINE"",false)"),"母親に受け入れてもらえず、寂しさを抱えた男・律（長瀬智也）。凛華（吉岡里帆）と関わるうちに、自分の求めていた“愛”に触れ、思わずキスをしてしまう。だが凛華は、幼なじみのサトル（坂口健太郎）への報われぬ恋に葛藤していた。アメリカへ留学し、苦悩から逃れようとする凛華。「お前がいなくなると、俺は寂しい」…凛華への本当の想いに気付き始めた律は、引き留めようとする。しかし律の身体に、病による異変が出始めて…長瀬智也、吉岡里帆、坂口健太郎、大西礼芳、大智、やべきょうすけ、六角精児、崔哲浩、池脇千鶴、中村梅雀、大竹しの"&amp;"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https:/"&amp;"/twitter.com/gomen_aishiteru  番組の内容と放送時間は変更になる場合があります。")</f>
        <v>母親に受け入れてもらえず、寂しさを抱えた男・律（長瀬智也）。凛華（吉岡里帆）と関わるうちに、自分の求めていた“愛”に触れ、思わずキスをしてしまう。だが凛華は、幼なじみのサトル（坂口健太郎）への報われぬ恋に葛藤していた。アメリカへ留学し、苦悩から逃れようとする凛華。「お前がいなくなると、俺は寂しい」…凛華への本当の想いに気付き始めた律は、引き留めようとする。しかし律の身体に、病による異変が出始めて…長瀬智也、吉岡里帆、坂口健太郎、大西礼芳、大智、やべきょうすけ、六角精児、崔哲浩、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https://twitter.com/gomen_aishiteru  番組の内容と放送時間は変更になる場合があります。</v>
      </c>
      <c r="N4918" s="2"/>
      <c r="O4918" s="2"/>
      <c r="P4918" s="2"/>
      <c r="Q4918" s="2"/>
      <c r="R4918" s="2"/>
      <c r="S4918" s="2"/>
      <c r="T4918" s="2"/>
      <c r="U4918" s="2"/>
      <c r="V4918" s="2"/>
      <c r="W4918" s="2"/>
      <c r="X4918" s="2"/>
      <c r="Y4918" s="2"/>
      <c r="Z4918" s="2"/>
      <c r="AA4918" s="2"/>
      <c r="AB4918" s="2"/>
      <c r="AC4918" s="2"/>
      <c r="AD4918" s="2"/>
      <c r="AE4918" s="2"/>
      <c r="AF4918" s="2"/>
      <c r="AG4918" s="2"/>
      <c r="AH4918" s="2"/>
      <c r="AI4918" s="2"/>
      <c r="AJ4918" s="2"/>
      <c r="AK4918" s="2"/>
      <c r="AL4918" s="2"/>
      <c r="AM4918" s="2"/>
      <c r="AN4918" s="2"/>
      <c r="AO4918" s="2"/>
      <c r="AP4918" s="2"/>
      <c r="AQ4918" s="2"/>
      <c r="AR4918" s="2"/>
      <c r="AS4918" s="2"/>
      <c r="AT4918" s="2"/>
      <c r="AU4918" s="2"/>
      <c r="AV4918" s="2"/>
      <c r="AW4918" s="2"/>
      <c r="AX4918" s="2"/>
      <c r="AY4918" s="2"/>
      <c r="AZ4918" s="2"/>
      <c r="BA4918" s="2"/>
      <c r="BB4918" s="2"/>
    </row>
    <row r="4919" ht="204.75" customHeight="1">
      <c r="A4919" s="1">
        <v>1163.0</v>
      </c>
      <c r="B4919" s="2" t="s">
        <v>13843</v>
      </c>
      <c r="C4919" s="2">
        <f>IFERROR(__xludf.DUMMYFUNCTION("split(B4919,""_"")"),1707.0)</f>
        <v>1707</v>
      </c>
      <c r="D4919" s="2" t="str">
        <f>IFERROR(__xludf.DUMMYFUNCTION("""COMPUTED_VALUE"""),"TBS")</f>
        <v>TBS</v>
      </c>
      <c r="E4919" s="2" t="str">
        <f>IFERROR(__xludf.DUMMYFUNCTION("""COMPUTED_VALUE"""),"日21")</f>
        <v>日21</v>
      </c>
      <c r="F4919" s="2" t="s">
        <v>13844</v>
      </c>
      <c r="G4919" s="2" t="s">
        <v>13853</v>
      </c>
      <c r="H4919" s="1">
        <v>5.0</v>
      </c>
      <c r="J4919" s="1" t="s">
        <v>4</v>
      </c>
      <c r="K4919" s="2" t="s">
        <v>13854</v>
      </c>
      <c r="L4919" s="2"/>
      <c r="M4919" s="2" t="str">
        <f>IFERROR(__xludf.DUMMYFUNCTION("split(split(K4919,""【"",false),""公式LINE"",false)"),"実の母親・麗子（大竹しのぶ）に受け入れてもらえず、寂しさを抱えた男・律（長瀬智也）。  凛華（吉岡里帆）と一緒に暮らすことになり、束の間の幸せを得たかに見えた。  しかし、同居人の若菜（池脇千鶴）が仕事を失う事態に。若菜は麗子のもとで働きはじめるが、ある事件が起こり窮地に立たされてしまう。  一方で、律の出生の秘密を調べる恒夫（中村梅雀）は、ついにその真相を突き止め、衝撃に打ちのめされる。そんな折、サトル（坂口健太郎）が塔子（大西礼芳）と婚約。彼を思い続けてきた凛華と麗子は傷つく。  なんとか2人の支えに"&amp;"なりたいと願う律。しかしその想いは、すれ違い…長瀬智也、吉岡里帆、坂口健太郎、大西礼芳、大智、草村礼子、やべきょうすけ、六角精児、有馬自由、奥田ワレタ、粕谷奈美、呉城久美、河原康二、玉城勢圭司、工藤宏二郎、鴨川明日香、高田莉沙、竹中義能、保東洸太、大石翔大、南澤賢、三木くるみ、松永優香、池脇千鶴、中村梅雀、大竹しのぶ音楽　吉俣良　主題歌　「Forevermore」宇多田ヒカル（EPICレコードジャパン）脚本：浅野妙子　　演出：石井康晴、水田成英、植田尚　　プロデューサー：清水真由美原作　韓国KBSドラマ「"&amp;"ごめん、愛してる」（脚本　イ・ギョンヒ）◇番組HP  http://www.tbs.co.jp/gomen_aishiteru/  ◇instagram  https://www.instagram.com/gomenaishiteru/  ◇twitter  @gomen_aishiteru    https://twitter.com/gomen_aishiteru番組の内容と放送時間は変更になる場合があります。")</f>
        <v>実の母親・麗子（大竹しのぶ）に受け入れてもらえず、寂しさを抱えた男・律（長瀬智也）。  凛華（吉岡里帆）と一緒に暮らすことになり、束の間の幸せを得たかに見えた。  しかし、同居人の若菜（池脇千鶴）が仕事を失う事態に。若菜は麗子のもとで働きはじめるが、ある事件が起こり窮地に立たされてしまう。  一方で、律の出生の秘密を調べる恒夫（中村梅雀）は、ついにその真相を突き止め、衝撃に打ちのめされる。そんな折、サトル（坂口健太郎）が塔子（大西礼芳）と婚約。彼を思い続けてきた凛華と麗子は傷つく。  なんとか2人の支えになりたいと願う律。しかしその想いは、すれ違い…長瀬智也、吉岡里帆、坂口健太郎、大西礼芳、大智、草村礼子、やべきょうすけ、六角精児、有馬自由、奥田ワレタ、粕谷奈美、呉城久美、河原康二、玉城勢圭司、工藤宏二郎、鴨川明日香、高田莉沙、竹中義能、保東洸太、大石翔大、南澤賢、三木くるみ、松永優香、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https://twitter.com/gomen_aishiteru番組の内容と放送時間は変更になる場合があります。</v>
      </c>
      <c r="N4919" s="2"/>
      <c r="O4919" s="2"/>
      <c r="P4919" s="2"/>
      <c r="Q4919" s="2"/>
      <c r="R4919" s="2"/>
      <c r="S4919" s="2"/>
      <c r="T4919" s="2"/>
      <c r="U4919" s="2"/>
      <c r="V4919" s="2"/>
      <c r="W4919" s="2"/>
      <c r="X4919" s="2"/>
      <c r="Y4919" s="2"/>
      <c r="Z4919" s="2"/>
      <c r="AA4919" s="2"/>
      <c r="AB4919" s="2"/>
      <c r="AC4919" s="2"/>
      <c r="AD4919" s="2"/>
      <c r="AE4919" s="2"/>
      <c r="AF4919" s="2"/>
      <c r="AG4919" s="2"/>
      <c r="AH4919" s="2"/>
      <c r="AI4919" s="2"/>
      <c r="AJ4919" s="2"/>
      <c r="AK4919" s="2"/>
      <c r="AL4919" s="2"/>
      <c r="AM4919" s="2"/>
      <c r="AN4919" s="2"/>
      <c r="AO4919" s="2"/>
      <c r="AP4919" s="2"/>
      <c r="AQ4919" s="2"/>
      <c r="AR4919" s="2"/>
      <c r="AS4919" s="2"/>
      <c r="AT4919" s="2"/>
      <c r="AU4919" s="2"/>
      <c r="AV4919" s="2"/>
      <c r="AW4919" s="2"/>
      <c r="AX4919" s="2"/>
      <c r="AY4919" s="2"/>
      <c r="AZ4919" s="2"/>
      <c r="BA4919" s="2"/>
      <c r="BB4919" s="2"/>
    </row>
    <row r="4920" ht="204.75" customHeight="1">
      <c r="A4920" s="1">
        <v>1164.0</v>
      </c>
      <c r="B4920" s="2" t="s">
        <v>13843</v>
      </c>
      <c r="C4920" s="2">
        <f>IFERROR(__xludf.DUMMYFUNCTION("split(B4920,""_"")"),1707.0)</f>
        <v>1707</v>
      </c>
      <c r="D4920" s="2" t="str">
        <f>IFERROR(__xludf.DUMMYFUNCTION("""COMPUTED_VALUE"""),"TBS")</f>
        <v>TBS</v>
      </c>
      <c r="E4920" s="2" t="str">
        <f>IFERROR(__xludf.DUMMYFUNCTION("""COMPUTED_VALUE"""),"日21")</f>
        <v>日21</v>
      </c>
      <c r="F4920" s="2" t="s">
        <v>13844</v>
      </c>
      <c r="G4920" s="2" t="s">
        <v>13855</v>
      </c>
      <c r="H4920" s="1">
        <v>6.0</v>
      </c>
      <c r="J4920" s="1" t="s">
        <v>11</v>
      </c>
      <c r="K4920" s="2" t="s">
        <v>13856</v>
      </c>
      <c r="L4920" s="2"/>
      <c r="M4920" s="2" t="str">
        <f>IFERROR(__xludf.DUMMYFUNCTION("split(split(K4920,""【"",false),""公式LINE"",false)"),"麗子（大竹しのぶ）の隠し子疑惑が報道され、日向家にマスコミが殺到する。  困惑する麗子を守るため、律（長瀬智也）は報道陣を相手に暴れる。  やがて、記者会見で全てを語ることに決めた麗子。その告白の内容に、律は強いショックを受ける。  傷ついた律の心を感じ、寄り添う凛華（吉岡里帆）。逃避行の末に、2人は…  一方サトル（坂口健太郎）の前から、婚約者の塔子が突然姿を消す。必死に塔子を探すサトルだが…長瀬智也、吉岡里帆、坂口健太郎、大西礼芳、六角精児、有馬自由、奥田ワレタ、新貝文規、中家伊章、鈴木アメリ、萩原達"&amp;"郎、河原康二、長島夕貴、藤本涼、澤山薫、田中清貴、鶏冠井孝介、藤尾勘太郎、瀬沼唯、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https://www.instagram.com/g"&amp;"omenaishiteru/◇twitter  @gomen_aishiteru    https://twitter.com/gomen_aishiteru番組の内容と放送時間は変更になる場合があります。")</f>
        <v>麗子（大竹しのぶ）の隠し子疑惑が報道され、日向家にマスコミが殺到する。  困惑する麗子を守るため、律（長瀬智也）は報道陣を相手に暴れる。  やがて、記者会見で全てを語ることに決めた麗子。その告白の内容に、律は強いショックを受ける。  傷ついた律の心を感じ、寄り添う凛華（吉岡里帆）。逃避行の末に、2人は…  一方サトル（坂口健太郎）の前から、婚約者の塔子が突然姿を消す。必死に塔子を探すサトルだが…長瀬智也、吉岡里帆、坂口健太郎、大西礼芳、六角精児、有馬自由、奥田ワレタ、新貝文規、中家伊章、鈴木アメリ、萩原達郎、河原康二、長島夕貴、藤本涼、澤山薫、田中清貴、鶏冠井孝介、藤尾勘太郎、瀬沼唯、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@gomen_aishiteru    https://twitter.com/gomen_aishiteru番組の内容と放送時間は変更になる場合があります。</v>
      </c>
      <c r="N4920" s="2"/>
      <c r="O4920" s="2"/>
      <c r="P4920" s="2"/>
      <c r="Q4920" s="2"/>
      <c r="R4920" s="2"/>
      <c r="S4920" s="2"/>
      <c r="T4920" s="2"/>
      <c r="U4920" s="2"/>
      <c r="V4920" s="2"/>
      <c r="W4920" s="2"/>
      <c r="X4920" s="2"/>
      <c r="Y4920" s="2"/>
      <c r="Z4920" s="2"/>
      <c r="AA4920" s="2"/>
      <c r="AB4920" s="2"/>
      <c r="AC4920" s="2"/>
      <c r="AD4920" s="2"/>
      <c r="AE4920" s="2"/>
      <c r="AF4920" s="2"/>
      <c r="AG4920" s="2"/>
      <c r="AH4920" s="2"/>
      <c r="AI4920" s="2"/>
      <c r="AJ4920" s="2"/>
      <c r="AK4920" s="2"/>
      <c r="AL4920" s="2"/>
      <c r="AM4920" s="2"/>
      <c r="AN4920" s="2"/>
      <c r="AO4920" s="2"/>
      <c r="AP4920" s="2"/>
      <c r="AQ4920" s="2"/>
      <c r="AR4920" s="2"/>
      <c r="AS4920" s="2"/>
      <c r="AT4920" s="2"/>
      <c r="AU4920" s="2"/>
      <c r="AV4920" s="2"/>
      <c r="AW4920" s="2"/>
      <c r="AX4920" s="2"/>
      <c r="AY4920" s="2"/>
      <c r="AZ4920" s="2"/>
      <c r="BA4920" s="2"/>
      <c r="BB4920" s="2"/>
    </row>
    <row r="4921" ht="204.75" customHeight="1">
      <c r="A4921" s="1">
        <v>1165.0</v>
      </c>
      <c r="B4921" s="2" t="s">
        <v>13843</v>
      </c>
      <c r="C4921" s="2">
        <f>IFERROR(__xludf.DUMMYFUNCTION("split(B4921,""_"")"),1707.0)</f>
        <v>1707</v>
      </c>
      <c r="D4921" s="2" t="str">
        <f>IFERROR(__xludf.DUMMYFUNCTION("""COMPUTED_VALUE"""),"TBS")</f>
        <v>TBS</v>
      </c>
      <c r="E4921" s="2" t="str">
        <f>IFERROR(__xludf.DUMMYFUNCTION("""COMPUTED_VALUE"""),"日21")</f>
        <v>日21</v>
      </c>
      <c r="F4921" s="2" t="s">
        <v>13844</v>
      </c>
      <c r="G4921" s="2" t="s">
        <v>13857</v>
      </c>
      <c r="H4921" s="1">
        <v>7.0</v>
      </c>
      <c r="J4921" s="1" t="s">
        <v>11</v>
      </c>
      <c r="K4921" s="2" t="s">
        <v>13858</v>
      </c>
      <c r="L4921" s="2"/>
      <c r="M4921" s="2" t="str">
        <f>IFERROR(__xludf.DUMMYFUNCTION("split(split(K4921,""【"",false),""公式LINE"",false)"),"交通事故により、生死の境を彷徨ったサトル（坂口健太郎）。意識を取り戻したサトルは、凛華（吉岡里帆）への想いに気づく。凛華は律（長瀬智也）の優しさに触れ、彼への想いを募らせてゆく。それでも、サトルのSOSに気づけなかった自責と贖罪の念から、サトルの気持ちを受け入れようとする。  一方、病魔に身体を蝕まれつつある律は、残りの人生の過ごし方に葛藤する。すれ違う3人の気持ち。律が凜華に対して出した答えは…    本日の放送で、宇多田ヒカルの主題歌「Forevermore」のロングバージョンを披露！長瀬智也、吉岡里"&amp;"帆、坂口健太郎、大西礼芳、六角精児、久松信美、弘中麻紀、福田ゆみ、加藤理恵、三木美加子、寺田ムロラン、三田村信江、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https://www"&amp;".instagram.com/gomenaishiteru/  ◇twitter  @gomen_aishiteru    https://twitter.com/gomen_aishiteru  番組の内容と放送時間は変更になる場合があります。")</f>
        <v>交通事故により、生死の境を彷徨ったサトル（坂口健太郎）。意識を取り戻したサトルは、凛華（吉岡里帆）への想いに気づく。凛華は律（長瀬智也）の優しさに触れ、彼への想いを募らせてゆく。それでも、サトルのSOSに気づけなかった自責と贖罪の念から、サトルの気持ちを受け入れようとする。  一方、病魔に身体を蝕まれつつある律は、残りの人生の過ごし方に葛藤する。すれ違う3人の気持ち。律が凜華に対して出した答えは…    本日の放送で、宇多田ヒカルの主題歌「Forevermore」のロングバージョンを披露！長瀬智也、吉岡里帆、坂口健太郎、大西礼芳、六角精児、久松信美、弘中麻紀、福田ゆみ、加藤理恵、三木美加子、寺田ムロラン、三田村信江、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https://twitter.com/gomen_aishiteru  番組の内容と放送時間は変更になる場合があります。</v>
      </c>
      <c r="N4921" s="2"/>
      <c r="O4921" s="2"/>
      <c r="P4921" s="2"/>
      <c r="Q4921" s="2"/>
      <c r="R4921" s="2"/>
      <c r="S4921" s="2"/>
      <c r="T4921" s="2"/>
      <c r="U4921" s="2"/>
      <c r="V4921" s="2"/>
      <c r="W4921" s="2"/>
      <c r="X4921" s="2"/>
      <c r="Y4921" s="2"/>
      <c r="Z4921" s="2"/>
      <c r="AA4921" s="2"/>
      <c r="AB4921" s="2"/>
      <c r="AC4921" s="2"/>
      <c r="AD4921" s="2"/>
      <c r="AE4921" s="2"/>
      <c r="AF4921" s="2"/>
      <c r="AG4921" s="2"/>
      <c r="AH4921" s="2"/>
      <c r="AI4921" s="2"/>
      <c r="AJ4921" s="2"/>
      <c r="AK4921" s="2"/>
      <c r="AL4921" s="2"/>
      <c r="AM4921" s="2"/>
      <c r="AN4921" s="2"/>
      <c r="AO4921" s="2"/>
      <c r="AP4921" s="2"/>
      <c r="AQ4921" s="2"/>
      <c r="AR4921" s="2"/>
      <c r="AS4921" s="2"/>
      <c r="AT4921" s="2"/>
      <c r="AU4921" s="2"/>
      <c r="AV4921" s="2"/>
      <c r="AW4921" s="2"/>
      <c r="AX4921" s="2"/>
      <c r="AY4921" s="2"/>
      <c r="AZ4921" s="2"/>
      <c r="BA4921" s="2"/>
      <c r="BB4921" s="2"/>
    </row>
    <row r="4922" ht="204.75" customHeight="1">
      <c r="A4922" s="1">
        <v>1166.0</v>
      </c>
      <c r="B4922" s="2" t="s">
        <v>13843</v>
      </c>
      <c r="C4922" s="2">
        <f>IFERROR(__xludf.DUMMYFUNCTION("split(B4922,""_"")"),1707.0)</f>
        <v>1707</v>
      </c>
      <c r="D4922" s="2" t="str">
        <f>IFERROR(__xludf.DUMMYFUNCTION("""COMPUTED_VALUE"""),"TBS")</f>
        <v>TBS</v>
      </c>
      <c r="E4922" s="2" t="str">
        <f>IFERROR(__xludf.DUMMYFUNCTION("""COMPUTED_VALUE"""),"日21")</f>
        <v>日21</v>
      </c>
      <c r="F4922" s="2" t="s">
        <v>13844</v>
      </c>
      <c r="G4922" s="2" t="s">
        <v>13859</v>
      </c>
      <c r="H4922" s="1">
        <v>8.0</v>
      </c>
      <c r="J4922" s="1" t="s">
        <v>11</v>
      </c>
      <c r="K4922" s="2" t="s">
        <v>13860</v>
      </c>
      <c r="L4922" s="2"/>
      <c r="M4922" s="2" t="str">
        <f>IFERROR(__xludf.DUMMYFUNCTION("split(split(K4922,""【"",false),""公式LINE"",false)"),"「生きられるのか、俺は…」死期が迫った律（長瀬智也）に希望が見えてきた。韓国で律のことを慕っていた若頭の狼（イ・スヒョク）が、脳外科の名医を見つけたのだ。しかも狼は、敵対勢力に撃たれたという。  報復のため、危険を感じながらも韓国へ行こうとする律。  一方、サトル（坂口健太郎）は凛華（吉岡里帆）の抱える律への想いに気づいてしまう。  芽生えてゆく嫉妬心。サトルが凛華の心を掴むため、取った行動は…長瀬智也、吉岡里帆、坂口健太郎、大西礼芳、成河、大内厚雄、久松信美、菅野里咲、岩本淳、あこ、澤山薫、池脇千鶴、中"&amp;"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@gomen_aishiteru    htt"&amp;"ps://twitter.com/gomen_aishiteru番組の内容と放送時間は変更になる場合があります。")</f>
        <v>「生きられるのか、俺は…」死期が迫った律（長瀬智也）に希望が見えてきた。韓国で律のことを慕っていた若頭の狼（イ・スヒョク）が、脳外科の名医を見つけたのだ。しかも狼は、敵対勢力に撃たれたという。  報復のため、危険を感じながらも韓国へ行こうとする律。  一方、サトル（坂口健太郎）は凛華（吉岡里帆）の抱える律への想いに気づいてしまう。  芽生えてゆく嫉妬心。サトルが凛華の心を掴むため、取った行動は…長瀬智也、吉岡里帆、坂口健太郎、大西礼芳、成河、大内厚雄、久松信美、菅野里咲、岩本淳、あこ、澤山薫、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@gomen_aishiteru    https://twitter.com/gomen_aishiteru番組の内容と放送時間は変更になる場合があります。</v>
      </c>
      <c r="N4922" s="2"/>
      <c r="O4922" s="2"/>
      <c r="P4922" s="2"/>
      <c r="Q4922" s="2"/>
      <c r="R4922" s="2"/>
      <c r="S4922" s="2"/>
      <c r="T4922" s="2"/>
      <c r="U4922" s="2"/>
      <c r="V4922" s="2"/>
      <c r="W4922" s="2"/>
      <c r="X4922" s="2"/>
      <c r="Y4922" s="2"/>
      <c r="Z4922" s="2"/>
      <c r="AA4922" s="2"/>
      <c r="AB4922" s="2"/>
      <c r="AC4922" s="2"/>
      <c r="AD4922" s="2"/>
      <c r="AE4922" s="2"/>
      <c r="AF4922" s="2"/>
      <c r="AG4922" s="2"/>
      <c r="AH4922" s="2"/>
      <c r="AI4922" s="2"/>
      <c r="AJ4922" s="2"/>
      <c r="AK4922" s="2"/>
      <c r="AL4922" s="2"/>
      <c r="AM4922" s="2"/>
      <c r="AN4922" s="2"/>
      <c r="AO4922" s="2"/>
      <c r="AP4922" s="2"/>
      <c r="AQ4922" s="2"/>
      <c r="AR4922" s="2"/>
      <c r="AS4922" s="2"/>
      <c r="AT4922" s="2"/>
      <c r="AU4922" s="2"/>
      <c r="AV4922" s="2"/>
      <c r="AW4922" s="2"/>
      <c r="AX4922" s="2"/>
      <c r="AY4922" s="2"/>
      <c r="AZ4922" s="2"/>
      <c r="BA4922" s="2"/>
      <c r="BB4922" s="2"/>
    </row>
    <row r="4923" ht="204.75" customHeight="1">
      <c r="A4923" s="1">
        <v>1167.0</v>
      </c>
      <c r="B4923" s="2" t="s">
        <v>13843</v>
      </c>
      <c r="C4923" s="2">
        <f>IFERROR(__xludf.DUMMYFUNCTION("split(B4923,""_"")"),1707.0)</f>
        <v>1707</v>
      </c>
      <c r="D4923" s="2" t="str">
        <f>IFERROR(__xludf.DUMMYFUNCTION("""COMPUTED_VALUE"""),"TBS")</f>
        <v>TBS</v>
      </c>
      <c r="E4923" s="2" t="str">
        <f>IFERROR(__xludf.DUMMYFUNCTION("""COMPUTED_VALUE"""),"日21")</f>
        <v>日21</v>
      </c>
      <c r="F4923" s="2" t="s">
        <v>13844</v>
      </c>
      <c r="G4923" s="2" t="s">
        <v>13861</v>
      </c>
      <c r="H4923" s="1">
        <v>9.0</v>
      </c>
      <c r="J4923" s="1" t="s">
        <v>11</v>
      </c>
      <c r="K4923" s="2" t="s">
        <v>13862</v>
      </c>
      <c r="L4923" s="2"/>
      <c r="M4923" s="2" t="str">
        <f>IFERROR(__xludf.DUMMYFUNCTION("split(split(K4923,""【"",false),""公式LINE"",false)"),"サトル（坂口健太郎）を救うため、自らの心臓を渡す決意をした律（長瀬智也）。「お前は、俺の弟だ」律はサトルに告白する。加賀美（六角精児）はそんな律に詰め寄り、麗子（大竹しのぶ）への復讐心をぶつける。明らかになった加賀美の心の内とは…  一方、凛華（吉岡里帆）は、律が余命幾ばくもないことを知ってしまう。  激しく掻き乱されるそれぞれの感情。凛華はたまらず、律のもとへ走り出すが…。物語は、激動の最終章へ。長瀬智也、吉岡里帆、坂口健太郎、大西礼芳、六角精児、大内厚雄、弘中麻紀、吉田千秋、池脇千鶴、中村梅雀、大竹し"&amp;"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@gomen_aishiteru    https:"&amp;"//twitter.com/gomen_aishiteru番組の内容と放送時間は変更になる場合があります。")</f>
        <v>サトル（坂口健太郎）を救うため、自らの心臓を渡す決意をした律（長瀬智也）。「お前は、俺の弟だ」律はサトルに告白する。加賀美（六角精児）はそんな律に詰め寄り、麗子（大竹しのぶ）への復讐心をぶつける。明らかになった加賀美の心の内とは…  一方、凛華（吉岡里帆）は、律が余命幾ばくもないことを知ってしまう。  激しく掻き乱されるそれぞれの感情。凛華はたまらず、律のもとへ走り出すが…。物語は、激動の最終章へ。長瀬智也、吉岡里帆、坂口健太郎、大西礼芳、六角精児、大内厚雄、弘中麻紀、吉田千秋、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@gomen_aishiteru    https://twitter.com/gomen_aishiteru番組の内容と放送時間は変更になる場合があります。</v>
      </c>
      <c r="N4923" s="2"/>
      <c r="O4923" s="2"/>
      <c r="P4923" s="2"/>
      <c r="Q4923" s="2"/>
      <c r="R4923" s="2"/>
      <c r="S4923" s="2"/>
      <c r="T4923" s="2"/>
      <c r="U4923" s="2"/>
      <c r="V4923" s="2"/>
      <c r="W4923" s="2"/>
      <c r="X4923" s="2"/>
      <c r="Y4923" s="2"/>
      <c r="Z4923" s="2"/>
      <c r="AA4923" s="2"/>
      <c r="AB4923" s="2"/>
      <c r="AC4923" s="2"/>
      <c r="AD4923" s="2"/>
      <c r="AE4923" s="2"/>
      <c r="AF4923" s="2"/>
      <c r="AG4923" s="2"/>
      <c r="AH4923" s="2"/>
      <c r="AI4923" s="2"/>
      <c r="AJ4923" s="2"/>
      <c r="AK4923" s="2"/>
      <c r="AL4923" s="2"/>
      <c r="AM4923" s="2"/>
      <c r="AN4923" s="2"/>
      <c r="AO4923" s="2"/>
      <c r="AP4923" s="2"/>
      <c r="AQ4923" s="2"/>
      <c r="AR4923" s="2"/>
      <c r="AS4923" s="2"/>
      <c r="AT4923" s="2"/>
      <c r="AU4923" s="2"/>
      <c r="AV4923" s="2"/>
      <c r="AW4923" s="2"/>
      <c r="AX4923" s="2"/>
      <c r="AY4923" s="2"/>
      <c r="AZ4923" s="2"/>
      <c r="BA4923" s="2"/>
      <c r="BB4923" s="2"/>
    </row>
    <row r="4924" ht="204.75" customHeight="1">
      <c r="A4924" s="1">
        <v>1168.0</v>
      </c>
      <c r="B4924" s="2" t="s">
        <v>13843</v>
      </c>
      <c r="C4924" s="2">
        <f>IFERROR(__xludf.DUMMYFUNCTION("split(B4924,""_"")"),1707.0)</f>
        <v>1707</v>
      </c>
      <c r="D4924" s="2" t="str">
        <f>IFERROR(__xludf.DUMMYFUNCTION("""COMPUTED_VALUE"""),"TBS")</f>
        <v>TBS</v>
      </c>
      <c r="E4924" s="2" t="str">
        <f>IFERROR(__xludf.DUMMYFUNCTION("""COMPUTED_VALUE"""),"日21")</f>
        <v>日21</v>
      </c>
      <c r="F4924" s="2" t="s">
        <v>13844</v>
      </c>
      <c r="G4924" s="2" t="s">
        <v>13863</v>
      </c>
      <c r="H4924" s="1">
        <v>10.0</v>
      </c>
      <c r="J4924" s="1" t="s">
        <v>11</v>
      </c>
      <c r="K4924" s="2" t="s">
        <v>13864</v>
      </c>
      <c r="L4924" s="2"/>
      <c r="M4924" s="2" t="str">
        <f>IFERROR(__xludf.DUMMYFUNCTION("split(split(K4924,""【"",false),""公式LINE"",false)"),"姿を消した律（長瀬智也）の身を案じ、なりふり構わず必死に探し求める凛華（吉岡里帆）。サトル（坂口健太郎）も病院を抜け出し、秘めた真実を伝えようとする。一方律は、恒夫（中村梅雀）から出生の秘密を明かされ、強いショックを受ける。  今にも尽きようとしている律の命。最後に律が母・麗子（大竹しのぶ）に求めたものとは・・・。  彼らが最後に手にする愛の形とは？衝撃と感涙の最終話！長瀬智也、吉岡里帆、坂口健太郎、大西礼芳、大内厚雄、弘中麻紀、池脇千鶴、中村梅雀、大竹しのぶ音楽　吉俣良　主題歌　「Forevermore"&amp;"」宇多田ヒカル（EPICレコードジャパン）脚本：浅野妙子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https://twitter.com/gomen_aishite"&amp;"ru  番組の内容と放送時間は変更になる場合があります。")</f>
        <v>姿を消した律（長瀬智也）の身を案じ、なりふり構わず必死に探し求める凛華（吉岡里帆）。サトル（坂口健太郎）も病院を抜け出し、秘めた真実を伝えようとする。一方律は、恒夫（中村梅雀）から出生の秘密を明かされ、強いショックを受ける。  今にも尽きようとしている律の命。最後に律が母・麗子（大竹しのぶ）に求めたものとは・・・。  彼らが最後に手にする愛の形とは？衝撃と感涙の最終話！長瀬智也、吉岡里帆、坂口健太郎、大西礼芳、大内厚雄、弘中麻紀、池脇千鶴、中村梅雀、大竹しのぶ音楽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https://twitter.com/gomen_aishiteru  番組の内容と放送時間は変更になる場合があります。</v>
      </c>
      <c r="N4924" s="2"/>
      <c r="O4924" s="2"/>
      <c r="P4924" s="2"/>
      <c r="Q4924" s="2"/>
      <c r="R4924" s="2"/>
      <c r="S4924" s="2"/>
      <c r="T4924" s="2"/>
      <c r="U4924" s="2"/>
      <c r="V4924" s="2"/>
      <c r="W4924" s="2"/>
      <c r="X4924" s="2"/>
      <c r="Y4924" s="2"/>
      <c r="Z4924" s="2"/>
      <c r="AA4924" s="2"/>
      <c r="AB4924" s="2"/>
      <c r="AC4924" s="2"/>
      <c r="AD4924" s="2"/>
      <c r="AE4924" s="2"/>
      <c r="AF4924" s="2"/>
      <c r="AG4924" s="2"/>
      <c r="AH4924" s="2"/>
      <c r="AI4924" s="2"/>
      <c r="AJ4924" s="2"/>
      <c r="AK4924" s="2"/>
      <c r="AL4924" s="2"/>
      <c r="AM4924" s="2"/>
      <c r="AN4924" s="2"/>
      <c r="AO4924" s="2"/>
      <c r="AP4924" s="2"/>
      <c r="AQ4924" s="2"/>
      <c r="AR4924" s="2"/>
      <c r="AS4924" s="2"/>
      <c r="AT4924" s="2"/>
      <c r="AU4924" s="2"/>
      <c r="AV4924" s="2"/>
      <c r="AW4924" s="2"/>
      <c r="AX4924" s="2"/>
      <c r="AY4924" s="2"/>
      <c r="AZ4924" s="2"/>
      <c r="BA4924" s="2"/>
      <c r="BB4924" s="2"/>
    </row>
    <row r="4925" ht="204.75" customHeight="1">
      <c r="A4925" s="1">
        <v>1205.0</v>
      </c>
      <c r="B4925" s="2" t="s">
        <v>13865</v>
      </c>
      <c r="C4925" s="2">
        <f>IFERROR(__xludf.DUMMYFUNCTION("split(B4925,""_"")"),1704.0)</f>
        <v>1704</v>
      </c>
      <c r="D4925" s="2" t="str">
        <f>IFERROR(__xludf.DUMMYFUNCTION("""COMPUTED_VALUE"""),"TBS")</f>
        <v>TBS</v>
      </c>
      <c r="E4925" s="2" t="str">
        <f>IFERROR(__xludf.DUMMYFUNCTION("""COMPUTED_VALUE"""),"火22")</f>
        <v>火22</v>
      </c>
      <c r="F4925" s="2" t="s">
        <v>13866</v>
      </c>
      <c r="G4925" s="2" t="s">
        <v>13867</v>
      </c>
      <c r="H4925" s="1">
        <v>2.0</v>
      </c>
      <c r="J4925" s="1" t="s">
        <v>86</v>
      </c>
      <c r="K4925" s="2" t="s">
        <v>13868</v>
      </c>
      <c r="L4925" s="2"/>
      <c r="M4925" s="2" t="str">
        <f>IFERROR(__xludf.DUMMYFUNCTION("split(split(K4925,""【"",false),""公式LINE"",false)"),"渡辺美都（波瑠）は中学時代の初恋相手・有島光軌（鈴木伸之）と奇跡的に再会し、人妻でありながらも恋に落ちてしまう。一方、美都の寝言で有島の名前を聞いてしまった夫の涼太（東出昌大）は妻の浮気を疑って、その日から美都の携帯電話をチェックするようになる。日に日に恋愛モードになる妻を静かに見守る涼太。そんなある日、美都は有島との“温泉旅行”を計画し、親友の飯田香子（大政絢）に協力を頼むのだが・・・。渡辺美都・・・波瑠  渡辺涼太・・・東出昌大  有島麗華・・・仲里依紗  有島光軌・・・鈴木伸之    飯田香子・・・"&amp;"大政絢  横山皆美・・・中川翔子  森瑠美・・・黒川智花  榎本祐樹・・・成田偉心  横山良明・・・山岸門人    小田原真吾・・・山崎育三郎  花山司・・・橋本じゅん  三好悦子・・・麻生祐未主題歌：神様、僕は気づいてしまった「CQCQ」（ワーナーミュージック・ジャパン）原作：いくえみ綾「あなたのことは それほど」（祥伝社フィールコミックス）  脚本：吉澤智子  音楽：兼松衆  音楽プロデューサー：志田博英  演出：金子文紀  プロデューサー：佐藤敦司毎週、番組放送終了後にプレゼントクイズを実施中！  "&amp;"詳しくは番組ホームページをご覧ください。◇番組HP  http://www.tbs.co.jp/anasore/  ◇twitter  @anasore_tbs  https://twitter.com/anasore_tbs  ◇インスタグラム  https://www.instagram.com/anasore_tbs/  番組の内容と放送時間は変更になる可能性があります。")</f>
        <v>渡辺美都（波瑠）は中学時代の初恋相手・有島光軌（鈴木伸之）と奇跡的に再会し、人妻でありながらも恋に落ちてしまう。一方、美都の寝言で有島の名前を聞いてしまった夫の涼太（東出昌大）は妻の浮気を疑って、その日から美都の携帯電話をチェックするようになる。日に日に恋愛モードになる妻を静かに見守る涼太。そんなある日、美都は有島との“温泉旅行”を計画し、親友の飯田香子（大政絢）に協力を頼むのだが・・・。渡辺美都・・・波瑠  渡辺涼太・・・東出昌大  有島麗華・・・仲里依紗  有島光軌・・・鈴木伸之    飯田香子・・・大政絢  横山皆美・・・中川翔子  森瑠美・・・黒川智花  榎本祐樹・・・成田偉心  横山良明・・・山岸門人    小田原真吾・・・山崎育三郎  花山司・・・橋本じゅん  三好悦子・・・麻生祐未主題歌：神様、僕は気づいてしまった「CQCQ」（ワーナーミュージック・ジャパン）原作：いくえみ綾「あなたのことは それほど」（祥伝社フィールコミックス）  脚本：吉澤智子  音楽：兼松衆  音楽プロデューサー：志田博英  演出：金子文紀  プロデューサー：佐藤敦司毎週、番組放送終了後にプレゼントクイズを実施中！  詳しくは番組ホームページをご覧ください。◇番組HP  http://www.tbs.co.jp/anasore/  ◇twitter  @anasore_tbs  https://twitter.com/anasore_tbs  ◇インスタグラム  https://www.instagram.com/anasore_tbs/  番組の内容と放送時間は変更になる可能性があります。</v>
      </c>
      <c r="N4925" s="2"/>
      <c r="O4925" s="2"/>
      <c r="P4925" s="2"/>
      <c r="Q4925" s="2"/>
      <c r="R4925" s="2"/>
      <c r="S4925" s="2"/>
      <c r="T4925" s="2"/>
      <c r="U4925" s="2"/>
      <c r="V4925" s="2"/>
      <c r="W4925" s="2"/>
      <c r="X4925" s="2"/>
      <c r="Y4925" s="2"/>
      <c r="Z4925" s="2"/>
      <c r="AA4925" s="2"/>
      <c r="AB4925" s="2"/>
      <c r="AC4925" s="2"/>
      <c r="AD4925" s="2"/>
      <c r="AE4925" s="2"/>
      <c r="AF4925" s="2"/>
      <c r="AG4925" s="2"/>
      <c r="AH4925" s="2"/>
      <c r="AI4925" s="2"/>
      <c r="AJ4925" s="2"/>
      <c r="AK4925" s="2"/>
      <c r="AL4925" s="2"/>
      <c r="AM4925" s="2"/>
      <c r="AN4925" s="2"/>
      <c r="AO4925" s="2"/>
      <c r="AP4925" s="2"/>
      <c r="AQ4925" s="2"/>
      <c r="AR4925" s="2"/>
      <c r="AS4925" s="2"/>
      <c r="AT4925" s="2"/>
      <c r="AU4925" s="2"/>
      <c r="AV4925" s="2"/>
      <c r="AW4925" s="2"/>
      <c r="AX4925" s="2"/>
      <c r="AY4925" s="2"/>
      <c r="AZ4925" s="2"/>
      <c r="BA4925" s="2"/>
      <c r="BB4925" s="2"/>
    </row>
    <row r="4926" ht="204.75" customHeight="1">
      <c r="A4926" s="1">
        <v>1206.0</v>
      </c>
      <c r="B4926" s="2" t="s">
        <v>13865</v>
      </c>
      <c r="C4926" s="2">
        <f>IFERROR(__xludf.DUMMYFUNCTION("split(B4926,""_"")"),1704.0)</f>
        <v>1704</v>
      </c>
      <c r="D4926" s="2" t="str">
        <f>IFERROR(__xludf.DUMMYFUNCTION("""COMPUTED_VALUE"""),"TBS")</f>
        <v>TBS</v>
      </c>
      <c r="E4926" s="2" t="str">
        <f>IFERROR(__xludf.DUMMYFUNCTION("""COMPUTED_VALUE"""),"火22")</f>
        <v>火22</v>
      </c>
      <c r="F4926" s="2" t="s">
        <v>13866</v>
      </c>
      <c r="G4926" s="2" t="s">
        <v>13869</v>
      </c>
      <c r="H4926" s="1">
        <v>3.0</v>
      </c>
      <c r="J4926" s="1" t="s">
        <v>86</v>
      </c>
      <c r="K4926" s="2" t="s">
        <v>13870</v>
      </c>
      <c r="L4926" s="2"/>
      <c r="M4926" s="2" t="str">
        <f>IFERROR(__xludf.DUMMYFUNCTION("split(split(K4926,""【"",false),""公式LINE"",false)"),"渡辺美都（波瑠）は運命の相手・有島光軌（鈴木伸之）との温泉旅行でお互いが既婚者であることを知る。その帰り、美都の母・悦子（麻生祐未）が倒れ、渡辺家で暮らすことに。その頃、有島は妻・麗華（仲里依紗）と娘の誕生を喜んでいた。連絡が取れなくなった有島を忘れようとした美都は、夫・涼太（東出昌大）への罪滅ぼしとしてホームパーティーを開く約束をする。ところがその当日、有島から連絡が来てしまうのだった・・・。渡辺美都・・・波瑠  渡辺涼太・・・東出昌大  有島麗華・・・仲里依紗  有島光軌・・・鈴木伸之    飯田香子"&amp;"・・・大政絢  森瑠美・・・黒川智花  千葉翔太・・・平間壮一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プロデューサー：佐藤敦司◇毎週、番組放送終了後にプレゼントクイズを実施中！詳しくは番組ホームページをご覧ください。◇番組HP  "&amp;"http://www.tbs.co.jp/anasore/  ◇twitter  @anasore_tbs  https://twitter.com/anasore_tbs  ◇インスタグラム  https://www.instagram.com/anasore_tbs/  番組の内容と放送時間は変更になる可能性があります。")</f>
        <v>渡辺美都（波瑠）は運命の相手・有島光軌（鈴木伸之）との温泉旅行でお互いが既婚者であることを知る。その帰り、美都の母・悦子（麻生祐未）が倒れ、渡辺家で暮らすことに。その頃、有島は妻・麗華（仲里依紗）と娘の誕生を喜んでいた。連絡が取れなくなった有島を忘れようとした美都は、夫・涼太（東出昌大）への罪滅ぼしとしてホームパーティーを開く約束をする。ところがその当日、有島から連絡が来てしまうのだった・・・。渡辺美都・・・波瑠  渡辺涼太・・・東出昌大  有島麗華・・・仲里依紗  有島光軌・・・鈴木伸之    飯田香子・・・大政絢  森瑠美・・・黒川智花  千葉翔太・・・平間壮一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v>
      </c>
      <c r="N4926" s="2"/>
      <c r="O4926" s="2"/>
      <c r="P4926" s="2"/>
      <c r="Q4926" s="2"/>
      <c r="R4926" s="2"/>
      <c r="S4926" s="2"/>
      <c r="T4926" s="2"/>
      <c r="U4926" s="2"/>
      <c r="V4926" s="2"/>
      <c r="W4926" s="2"/>
      <c r="X4926" s="2"/>
      <c r="Y4926" s="2"/>
      <c r="Z4926" s="2"/>
      <c r="AA4926" s="2"/>
      <c r="AB4926" s="2"/>
      <c r="AC4926" s="2"/>
      <c r="AD4926" s="2"/>
      <c r="AE4926" s="2"/>
      <c r="AF4926" s="2"/>
      <c r="AG4926" s="2"/>
      <c r="AH4926" s="2"/>
      <c r="AI4926" s="2"/>
      <c r="AJ4926" s="2"/>
      <c r="AK4926" s="2"/>
      <c r="AL4926" s="2"/>
      <c r="AM4926" s="2"/>
      <c r="AN4926" s="2"/>
      <c r="AO4926" s="2"/>
      <c r="AP4926" s="2"/>
      <c r="AQ4926" s="2"/>
      <c r="AR4926" s="2"/>
      <c r="AS4926" s="2"/>
      <c r="AT4926" s="2"/>
      <c r="AU4926" s="2"/>
      <c r="AV4926" s="2"/>
      <c r="AW4926" s="2"/>
      <c r="AX4926" s="2"/>
      <c r="AY4926" s="2"/>
      <c r="AZ4926" s="2"/>
      <c r="BA4926" s="2"/>
      <c r="BB4926" s="2"/>
    </row>
    <row r="4927" ht="204.75" customHeight="1">
      <c r="A4927" s="1">
        <v>1207.0</v>
      </c>
      <c r="B4927" s="2" t="s">
        <v>13865</v>
      </c>
      <c r="C4927" s="2">
        <f>IFERROR(__xludf.DUMMYFUNCTION("split(B4927,""_"")"),1704.0)</f>
        <v>1704</v>
      </c>
      <c r="D4927" s="2" t="str">
        <f>IFERROR(__xludf.DUMMYFUNCTION("""COMPUTED_VALUE"""),"TBS")</f>
        <v>TBS</v>
      </c>
      <c r="E4927" s="2" t="str">
        <f>IFERROR(__xludf.DUMMYFUNCTION("""COMPUTED_VALUE"""),"火22")</f>
        <v>火22</v>
      </c>
      <c r="F4927" s="2" t="s">
        <v>13866</v>
      </c>
      <c r="G4927" s="2" t="s">
        <v>13871</v>
      </c>
      <c r="H4927" s="1">
        <v>4.0</v>
      </c>
      <c r="J4927" s="1" t="s">
        <v>86</v>
      </c>
      <c r="K4927" s="2" t="s">
        <v>13872</v>
      </c>
      <c r="L4927" s="2"/>
      <c r="M4927" s="2" t="str">
        <f>IFERROR(__xludf.DUMMYFUNCTION("split(split(K4927,""【"",false),""公式LINE"",false)"),"渡辺美都（波瑠）は運命の相手だと信じていた有島光軌（鈴木伸之）と不倫関係を続けていたが、夫・涼太(東出昌大)に決定的なメールを見られてしまう。その日から必要に美都の行動が気になる涼太。一方の美都は有島との恋に夢中になるあまり「趣味でもみつけたら」と有島に言われ、同僚の森(黒川智花)の薦めで陶芸教室に通うことに。そこで美都は思いがけず有島の娘をつれた妻・麗華(仲里依紗)に遭遇するのだった・・・渡辺美都・・・波瑠  渡辺涼太・・・東出昌大  有島麗華・・・仲里依紗  有島光軌・・・鈴木伸之    飯田香子・・"&amp;"・大政絢  横山皆美・・・中川翔子  森瑠美・・・黒川智花  榎本祐樹・・・成田偉心  千葉翔太・・・平間壮一  佐藤美由紀・・・山田真歩  和田悟・・・長野克弘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プロデューサー：佐藤敦司◇毎"&amp;"週、番組放送終了後にプレゼントクイズを実施中！詳しくは番組ホームページをご覧ください。◇番組HP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f>
        <v>渡辺美都（波瑠）は運命の相手だと信じていた有島光軌（鈴木伸之）と不倫関係を続けていたが、夫・涼太(東出昌大)に決定的なメールを見られてしまう。その日から必要に美都の行動が気になる涼太。一方の美都は有島との恋に夢中になるあまり「趣味でもみつけたら」と有島に言われ、同僚の森(黒川智花)の薦めで陶芸教室に通うことに。そこで美都は思いがけず有島の娘をつれた妻・麗華(仲里依紗)に遭遇するのだった・・・渡辺美都・・・波瑠  渡辺涼太・・・東出昌大  有島麗華・・・仲里依紗  有島光軌・・・鈴木伸之    飯田香子・・・大政絢  横山皆美・・・中川翔子  森瑠美・・・黒川智花  榎本祐樹・・・成田偉心  千葉翔太・・・平間壮一  佐藤美由紀・・・山田真歩  和田悟・・・長野克弘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v>
      </c>
      <c r="N4927" s="2"/>
      <c r="O4927" s="2"/>
      <c r="P4927" s="2"/>
      <c r="Q4927" s="2"/>
      <c r="R4927" s="2"/>
      <c r="S4927" s="2"/>
      <c r="T4927" s="2"/>
      <c r="U4927" s="2"/>
      <c r="V4927" s="2"/>
      <c r="W4927" s="2"/>
      <c r="X4927" s="2"/>
      <c r="Y4927" s="2"/>
      <c r="Z4927" s="2"/>
      <c r="AA4927" s="2"/>
      <c r="AB4927" s="2"/>
      <c r="AC4927" s="2"/>
      <c r="AD4927" s="2"/>
      <c r="AE4927" s="2"/>
      <c r="AF4927" s="2"/>
      <c r="AG4927" s="2"/>
      <c r="AH4927" s="2"/>
      <c r="AI4927" s="2"/>
      <c r="AJ4927" s="2"/>
      <c r="AK4927" s="2"/>
      <c r="AL4927" s="2"/>
      <c r="AM4927" s="2"/>
      <c r="AN4927" s="2"/>
      <c r="AO4927" s="2"/>
      <c r="AP4927" s="2"/>
      <c r="AQ4927" s="2"/>
      <c r="AR4927" s="2"/>
      <c r="AS4927" s="2"/>
      <c r="AT4927" s="2"/>
      <c r="AU4927" s="2"/>
      <c r="AV4927" s="2"/>
      <c r="AW4927" s="2"/>
      <c r="AX4927" s="2"/>
      <c r="AY4927" s="2"/>
      <c r="AZ4927" s="2"/>
      <c r="BA4927" s="2"/>
      <c r="BB4927" s="2"/>
    </row>
    <row r="4928" ht="204.75" customHeight="1">
      <c r="A4928" s="1">
        <v>1208.0</v>
      </c>
      <c r="B4928" s="2" t="s">
        <v>13865</v>
      </c>
      <c r="C4928" s="2">
        <f>IFERROR(__xludf.DUMMYFUNCTION("split(B4928,""_"")"),1704.0)</f>
        <v>1704</v>
      </c>
      <c r="D4928" s="2" t="str">
        <f>IFERROR(__xludf.DUMMYFUNCTION("""COMPUTED_VALUE"""),"TBS")</f>
        <v>TBS</v>
      </c>
      <c r="E4928" s="2" t="str">
        <f>IFERROR(__xludf.DUMMYFUNCTION("""COMPUTED_VALUE"""),"火22")</f>
        <v>火22</v>
      </c>
      <c r="F4928" s="2" t="s">
        <v>13866</v>
      </c>
      <c r="G4928" s="2" t="s">
        <v>13873</v>
      </c>
      <c r="H4928" s="1">
        <v>5.0</v>
      </c>
      <c r="J4928" s="1" t="s">
        <v>86</v>
      </c>
      <c r="K4928" s="2" t="s">
        <v>13874</v>
      </c>
      <c r="L4928" s="2"/>
      <c r="M4928" s="2" t="str">
        <f>IFERROR(__xludf.DUMMYFUNCTION("split(split(K4928,""【"",false),""公式LINE"",false)"),"渡辺美都（波瑠）は夫・涼太(東出昌大)から結婚記念日当日に有島光軌（鈴木伸之）との関係を全て知っていたことを告げられる。しかしそれでもなお永遠に愛することを誓うという涼太。その後今までと変わらない涼太に戸惑う美都は家に帰りづらくなり、久しぶりに陶芸教室に寄ることに。そこで有島の妻・麗華(仲里依紗)から借りていた本を返し忘れていたという佐藤（山田真歩）の話を聞き、自分が届けることを申し出る・・・渡辺美都・・・波瑠  渡辺涼太・・・東出昌大  有島麗華・・・仲里依紗  有島光軌・・・鈴木伸之    飯田香子・"&amp;"・・大政絢  横山皆美・・・中川翔子  森瑠美・・・黒川智花  榎本祐樹・・・成田偉心  千葉翔太・・・平間壮一  佐藤美由紀・・・山田真歩  和田悟・・・長野克弘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プロデューサー：佐藤敦司◇"&amp;"毎週、番組放送終了後にプレゼントクイズを実施中！詳しくは番組ホームページをご覧ください。◇番組HP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f>
        <v>渡辺美都（波瑠）は夫・涼太(東出昌大)から結婚記念日当日に有島光軌（鈴木伸之）との関係を全て知っていたことを告げられる。しかしそれでもなお永遠に愛することを誓うという涼太。その後今までと変わらない涼太に戸惑う美都は家に帰りづらくなり、久しぶりに陶芸教室に寄ることに。そこで有島の妻・麗華(仲里依紗)から借りていた本を返し忘れていたという佐藤（山田真歩）の話を聞き、自分が届けることを申し出る・・・渡辺美都・・・波瑠  渡辺涼太・・・東出昌大  有島麗華・・・仲里依紗  有島光軌・・・鈴木伸之    飯田香子・・・大政絢  横山皆美・・・中川翔子  森瑠美・・・黒川智花  榎本祐樹・・・成田偉心  千葉翔太・・・平間壮一  佐藤美由紀・・・山田真歩  和田悟・・・長野克弘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v>
      </c>
      <c r="N4928" s="2"/>
      <c r="O4928" s="2"/>
      <c r="P4928" s="2"/>
      <c r="Q4928" s="2"/>
      <c r="R4928" s="2"/>
      <c r="S4928" s="2"/>
      <c r="T4928" s="2"/>
      <c r="U4928" s="2"/>
      <c r="V4928" s="2"/>
      <c r="W4928" s="2"/>
      <c r="X4928" s="2"/>
      <c r="Y4928" s="2"/>
      <c r="Z4928" s="2"/>
      <c r="AA4928" s="2"/>
      <c r="AB4928" s="2"/>
      <c r="AC4928" s="2"/>
      <c r="AD4928" s="2"/>
      <c r="AE4928" s="2"/>
      <c r="AF4928" s="2"/>
      <c r="AG4928" s="2"/>
      <c r="AH4928" s="2"/>
      <c r="AI4928" s="2"/>
      <c r="AJ4928" s="2"/>
      <c r="AK4928" s="2"/>
      <c r="AL4928" s="2"/>
      <c r="AM4928" s="2"/>
      <c r="AN4928" s="2"/>
      <c r="AO4928" s="2"/>
      <c r="AP4928" s="2"/>
      <c r="AQ4928" s="2"/>
      <c r="AR4928" s="2"/>
      <c r="AS4928" s="2"/>
      <c r="AT4928" s="2"/>
      <c r="AU4928" s="2"/>
      <c r="AV4928" s="2"/>
      <c r="AW4928" s="2"/>
      <c r="AX4928" s="2"/>
      <c r="AY4928" s="2"/>
      <c r="AZ4928" s="2"/>
      <c r="BA4928" s="2"/>
      <c r="BB4928" s="2"/>
    </row>
    <row r="4929" ht="204.75" customHeight="1">
      <c r="A4929" s="1">
        <v>1209.0</v>
      </c>
      <c r="B4929" s="2" t="s">
        <v>13865</v>
      </c>
      <c r="C4929" s="2">
        <f>IFERROR(__xludf.DUMMYFUNCTION("split(B4929,""_"")"),1704.0)</f>
        <v>1704</v>
      </c>
      <c r="D4929" s="2" t="str">
        <f>IFERROR(__xludf.DUMMYFUNCTION("""COMPUTED_VALUE"""),"TBS")</f>
        <v>TBS</v>
      </c>
      <c r="E4929" s="2" t="str">
        <f>IFERROR(__xludf.DUMMYFUNCTION("""COMPUTED_VALUE"""),"火22")</f>
        <v>火22</v>
      </c>
      <c r="F4929" s="2" t="s">
        <v>13866</v>
      </c>
      <c r="G4929" s="2" t="s">
        <v>13875</v>
      </c>
      <c r="H4929" s="1">
        <v>6.0</v>
      </c>
      <c r="J4929" s="1" t="s">
        <v>86</v>
      </c>
      <c r="K4929" s="2" t="s">
        <v>13876</v>
      </c>
      <c r="L4929" s="2"/>
      <c r="M4929" s="2" t="str">
        <f>IFERROR(__xludf.DUMMYFUNCTION("split(split(K4929,""【"",false),""公式LINE"",false)"),"渡辺美都（波瑠）の不安が的中し、有島麗華（仲里依紗）と有島光軌（鈴木伸之）に接触していた夫・涼太（東出昌大）は、何食わぬ顔で家に帰ってきた。  まるで有島を意識したような服や小物に身を包み、明るく笑いかける様子に呆然とする美都。不自然な夫婦関係に疑問を呈してみるが、まるで話が通じない。  美都はそんな現状から逃げるように有島を呼び出し、夫の了承があるからと別れないことを告げるが・・・渡辺美都・・・波瑠  渡辺涼太・・・東出昌大  有島麗華・・・仲里依紗  有島光軌・・・鈴木伸之    飯田香子・・・大政絢"&amp;"  横山皆美・・・中川翔子  森瑠美・・・黒川智花  佐藤美由紀・・・山田真歩  戸川多恵・・・清水ミチコ    小田原真吾・・・山崎育三郎  花山司・・・橋本じゅん  三好悦子・・・麻生祐未主題歌：神様、僕は気づいてしまった「CQCQ」（ワーナーミュージック・ジャパン）原作：いくえみ綾「あなたのことは それほど」（祥伝社フィールコミックス）  脚本：吉澤智子  音楽：兼松衆  音楽プロデューサー：志田博英  演出：金子文紀  プロデューサー：佐藤敦司毎週、番組放送終了後にプレゼントクイズを実施中！  詳"&amp;"しくは番組ホームページをご覧ください。◇番組HP  http://www.tbs.co.jp/anasore/  ◇twitter  @anasore_tbs  https://twitter.com/anasore_tbs  ◇インスタグラム  https://www.instagram.com/anasore_tbs/  番組の内容と放送時間は変更になる可能性があります。")</f>
        <v>渡辺美都（波瑠）の不安が的中し、有島麗華（仲里依紗）と有島光軌（鈴木伸之）に接触していた夫・涼太（東出昌大）は、何食わぬ顔で家に帰ってきた。  まるで有島を意識したような服や小物に身を包み、明るく笑いかける様子に呆然とする美都。不自然な夫婦関係に疑問を呈してみるが、まるで話が通じない。  美都はそんな現状から逃げるように有島を呼び出し、夫の了承があるからと別れないことを告げるが・・・渡辺美都・・・波瑠  渡辺涼太・・・東出昌大  有島麗華・・・仲里依紗  有島光軌・・・鈴木伸之    飯田香子・・・大政絢  横山皆美・・・中川翔子  森瑠美・・・黒川智花  佐藤美由紀・・・山田真歩  戸川多恵・・・清水ミチコ    小田原真吾・・・山崎育三郎  花山司・・・橋本じゅん  三好悦子・・・麻生祐未主題歌：神様、僕は気づいてしまった「CQCQ」（ワーナーミュージック・ジャパン）原作：いくえみ綾「あなたのことは それほど」（祥伝社フィールコミックス）  脚本：吉澤智子  音楽：兼松衆  音楽プロデューサー：志田博英  演出：金子文紀  プロデューサー：佐藤敦司毎週、番組放送終了後にプレゼントクイズを実施中！  詳しくは番組ホームページをご覧ください。◇番組HP  http://www.tbs.co.jp/anasore/  ◇twitter  @anasore_tbs  https://twitter.com/anasore_tbs  ◇インスタグラム  https://www.instagram.com/anasore_tbs/  番組の内容と放送時間は変更になる可能性があります。</v>
      </c>
      <c r="N4929" s="2"/>
      <c r="O4929" s="2"/>
      <c r="P4929" s="2"/>
      <c r="Q4929" s="2"/>
      <c r="R4929" s="2"/>
      <c r="S4929" s="2"/>
      <c r="T4929" s="2"/>
      <c r="U4929" s="2"/>
      <c r="V4929" s="2"/>
      <c r="W4929" s="2"/>
      <c r="X4929" s="2"/>
      <c r="Y4929" s="2"/>
      <c r="Z4929" s="2"/>
      <c r="AA4929" s="2"/>
      <c r="AB4929" s="2"/>
      <c r="AC4929" s="2"/>
      <c r="AD4929" s="2"/>
      <c r="AE4929" s="2"/>
      <c r="AF4929" s="2"/>
      <c r="AG4929" s="2"/>
      <c r="AH4929" s="2"/>
      <c r="AI4929" s="2"/>
      <c r="AJ4929" s="2"/>
      <c r="AK4929" s="2"/>
      <c r="AL4929" s="2"/>
      <c r="AM4929" s="2"/>
      <c r="AN4929" s="2"/>
      <c r="AO4929" s="2"/>
      <c r="AP4929" s="2"/>
      <c r="AQ4929" s="2"/>
      <c r="AR4929" s="2"/>
      <c r="AS4929" s="2"/>
      <c r="AT4929" s="2"/>
      <c r="AU4929" s="2"/>
      <c r="AV4929" s="2"/>
      <c r="AW4929" s="2"/>
      <c r="AX4929" s="2"/>
      <c r="AY4929" s="2"/>
      <c r="AZ4929" s="2"/>
      <c r="BA4929" s="2"/>
      <c r="BB4929" s="2"/>
    </row>
    <row r="4930" ht="204.75" customHeight="1">
      <c r="A4930" s="1">
        <v>1210.0</v>
      </c>
      <c r="B4930" s="2" t="s">
        <v>13865</v>
      </c>
      <c r="C4930" s="2">
        <f>IFERROR(__xludf.DUMMYFUNCTION("split(B4930,""_"")"),1704.0)</f>
        <v>1704</v>
      </c>
      <c r="D4930" s="2" t="str">
        <f>IFERROR(__xludf.DUMMYFUNCTION("""COMPUTED_VALUE"""),"TBS")</f>
        <v>TBS</v>
      </c>
      <c r="E4930" s="2" t="str">
        <f>IFERROR(__xludf.DUMMYFUNCTION("""COMPUTED_VALUE"""),"火22")</f>
        <v>火22</v>
      </c>
      <c r="F4930" s="2" t="s">
        <v>13866</v>
      </c>
      <c r="G4930" s="2" t="s">
        <v>13877</v>
      </c>
      <c r="H4930" s="1">
        <v>7.0</v>
      </c>
      <c r="J4930" s="1" t="s">
        <v>86</v>
      </c>
      <c r="K4930" s="2" t="s">
        <v>13878</v>
      </c>
      <c r="L4930" s="2"/>
      <c r="M4930" s="2" t="str">
        <f>IFERROR(__xludf.DUMMYFUNCTION("split(split(K4930,""【"",false),""公式LINE"",false)"),"家出した渡辺美都（波瑠）にすがられる有島光軌（鈴木伸之）は、友達に戻ろうと提案するが、首を縦に振らない美都。踏ん切りがつかない有島だったが、妻・麗華（仲里依紗）の言葉が脳内にリフレインし、意を決する。  その後、夫・涼太（東出昌大）が待つ家に帰りたくない美都は、悦子（麻生祐未）に泊めてもらおうと、スナックを手伝い始める。しかし、美都を連れ戻そうとする涼太にあっけなく見つかってしまうのだった。渡辺美都・・・波瑠  渡辺涼太・・・東出昌大  有島麗華・・・仲里依紗  有島光軌・・・鈴木伸之    飯田香子・・"&amp;"・大政絢  横山皆美・・・中川翔子  森瑠美・・・黒川智花  有島陽子・・・唐木ちえみ  有島佳菜・・・大友花恋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プロデューサー：佐藤敦司◇毎週、番組放送終了後にプレゼントクイズを実施中！詳し"&amp;"くは番組ホームページをご覧ください。◇番組HP  http://www.tbs.co.jp/anasore/  ◇twitter  @anasore_tbs  https://twitter.com/anasore_tbs  ◇インスタグラム  https://www.instagram.com/anasore_tbs/  番組の内容と放送時間は変更になる可能性があります。")</f>
        <v>家出した渡辺美都（波瑠）にすがられる有島光軌（鈴木伸之）は、友達に戻ろうと提案するが、首を縦に振らない美都。踏ん切りがつかない有島だったが、妻・麗華（仲里依紗）の言葉が脳内にリフレインし、意を決する。  その後、夫・涼太（東出昌大）が待つ家に帰りたくない美都は、悦子（麻生祐未）に泊めてもらおうと、スナックを手伝い始める。しかし、美都を連れ戻そうとする涼太にあっけなく見つかってしまうのだった。渡辺美都・・・波瑠  渡辺涼太・・・東出昌大  有島麗華・・・仲里依紗  有島光軌・・・鈴木伸之    飯田香子・・・大政絢  横山皆美・・・中川翔子  森瑠美・・・黒川智花  有島陽子・・・唐木ちえみ  有島佳菜・・・大友花恋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v>
      </c>
      <c r="N4930" s="2"/>
      <c r="O4930" s="2"/>
      <c r="P4930" s="2"/>
      <c r="Q4930" s="2"/>
      <c r="R4930" s="2"/>
      <c r="S4930" s="2"/>
      <c r="T4930" s="2"/>
      <c r="U4930" s="2"/>
      <c r="V4930" s="2"/>
      <c r="W4930" s="2"/>
      <c r="X4930" s="2"/>
      <c r="Y4930" s="2"/>
      <c r="Z4930" s="2"/>
      <c r="AA4930" s="2"/>
      <c r="AB4930" s="2"/>
      <c r="AC4930" s="2"/>
      <c r="AD4930" s="2"/>
      <c r="AE4930" s="2"/>
      <c r="AF4930" s="2"/>
      <c r="AG4930" s="2"/>
      <c r="AH4930" s="2"/>
      <c r="AI4930" s="2"/>
      <c r="AJ4930" s="2"/>
      <c r="AK4930" s="2"/>
      <c r="AL4930" s="2"/>
      <c r="AM4930" s="2"/>
      <c r="AN4930" s="2"/>
      <c r="AO4930" s="2"/>
      <c r="AP4930" s="2"/>
      <c r="AQ4930" s="2"/>
      <c r="AR4930" s="2"/>
      <c r="AS4930" s="2"/>
      <c r="AT4930" s="2"/>
      <c r="AU4930" s="2"/>
      <c r="AV4930" s="2"/>
      <c r="AW4930" s="2"/>
      <c r="AX4930" s="2"/>
      <c r="AY4930" s="2"/>
      <c r="AZ4930" s="2"/>
      <c r="BA4930" s="2"/>
      <c r="BB4930" s="2"/>
    </row>
    <row r="4931" ht="204.75" customHeight="1">
      <c r="A4931" s="1">
        <v>1211.0</v>
      </c>
      <c r="B4931" s="2" t="s">
        <v>13865</v>
      </c>
      <c r="C4931" s="2">
        <f>IFERROR(__xludf.DUMMYFUNCTION("split(B4931,""_"")"),1704.0)</f>
        <v>1704</v>
      </c>
      <c r="D4931" s="2" t="str">
        <f>IFERROR(__xludf.DUMMYFUNCTION("""COMPUTED_VALUE"""),"TBS")</f>
        <v>TBS</v>
      </c>
      <c r="E4931" s="2" t="str">
        <f>IFERROR(__xludf.DUMMYFUNCTION("""COMPUTED_VALUE"""),"火22")</f>
        <v>火22</v>
      </c>
      <c r="F4931" s="2" t="s">
        <v>13866</v>
      </c>
      <c r="G4931" s="2" t="s">
        <v>13879</v>
      </c>
      <c r="H4931" s="1">
        <v>8.0</v>
      </c>
      <c r="J4931" s="1" t="s">
        <v>86</v>
      </c>
      <c r="K4931" s="2" t="s">
        <v>13880</v>
      </c>
      <c r="L4931" s="2"/>
      <c r="M4931" s="2" t="str">
        <f>IFERROR(__xludf.DUMMYFUNCTION("split(split(K4931,""【"",false),""公式LINE"",false)"),"渡辺美都（波瑠）はついに決心をし、夫・涼太（東出昌大）に離婚届を渡すも涼太はわざと名前を書き間違えたり話をはぐらかすなどして一向に離婚できる気配がない。一方、有島光軌（鈴木伸之）はレストランでの一件以来、妻・麗華（仲里依紗）と気まずい雰囲気の状態が続いていたが休日に家族で出かけることに。出かけようと外に出ると横山皆美（中川翔子）と偶然会い、流れで一緒に出掛けることになるが・・・渡辺美都・・・波瑠  渡辺涼太・・・東出昌大  有島麗華・・・仲里依紗  有島光軌・・・鈴木伸之    飯田香子・・・大政絢  横"&amp;"山皆美・・・中川翔子  森瑠美・・・黒川智花  千葉翔太・・・平間壮一  横山良明・・・山岸門人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演出：福田亮介  プロデューサー：佐藤敦司◇毎週、番組放送終了後にプレゼントクイズを実施中！詳しくは番組ホーム"&amp;"ページをご覧ください。◇番組HP  http://www.tbs.co.jp/anasore/  ◇twitter  @anasore_tbs  https://twitter.com/anasore_tbs  ◇インスタグラム  https://www.instagram.com/anasore_tbs/  番組の内容と放送時間は変更になる可能性があります。")</f>
        <v>渡辺美都（波瑠）はついに決心をし、夫・涼太（東出昌大）に離婚届を渡すも涼太はわざと名前を書き間違えたり話をはぐらかすなどして一向に離婚できる気配がない。一方、有島光軌（鈴木伸之）はレストランでの一件以来、妻・麗華（仲里依紗）と気まずい雰囲気の状態が続いていたが休日に家族で出かけることに。出かけようと外に出ると横山皆美（中川翔子）と偶然会い、流れで一緒に出掛けることになるが・・・渡辺美都・・・波瑠  渡辺涼太・・・東出昌大  有島麗華・・・仲里依紗  有島光軌・・・鈴木伸之    飯田香子・・・大政絢  横山皆美・・・中川翔子  森瑠美・・・黒川智花  千葉翔太・・・平間壮一  横山良明・・・山岸門人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演出：福田亮介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v>
      </c>
      <c r="N4931" s="2"/>
      <c r="O4931" s="2"/>
      <c r="P4931" s="2"/>
      <c r="Q4931" s="2"/>
      <c r="R4931" s="2"/>
      <c r="S4931" s="2"/>
      <c r="T4931" s="2"/>
      <c r="U4931" s="2"/>
      <c r="V4931" s="2"/>
      <c r="W4931" s="2"/>
      <c r="X4931" s="2"/>
      <c r="Y4931" s="2"/>
      <c r="Z4931" s="2"/>
      <c r="AA4931" s="2"/>
      <c r="AB4931" s="2"/>
      <c r="AC4931" s="2"/>
      <c r="AD4931" s="2"/>
      <c r="AE4931" s="2"/>
      <c r="AF4931" s="2"/>
      <c r="AG4931" s="2"/>
      <c r="AH4931" s="2"/>
      <c r="AI4931" s="2"/>
      <c r="AJ4931" s="2"/>
      <c r="AK4931" s="2"/>
      <c r="AL4931" s="2"/>
      <c r="AM4931" s="2"/>
      <c r="AN4931" s="2"/>
      <c r="AO4931" s="2"/>
      <c r="AP4931" s="2"/>
      <c r="AQ4931" s="2"/>
      <c r="AR4931" s="2"/>
      <c r="AS4931" s="2"/>
      <c r="AT4931" s="2"/>
      <c r="AU4931" s="2"/>
      <c r="AV4931" s="2"/>
      <c r="AW4931" s="2"/>
      <c r="AX4931" s="2"/>
      <c r="AY4931" s="2"/>
      <c r="AZ4931" s="2"/>
      <c r="BA4931" s="2"/>
      <c r="BB4931" s="2"/>
    </row>
    <row r="4932" ht="204.75" customHeight="1">
      <c r="A4932" s="1">
        <v>1212.0</v>
      </c>
      <c r="B4932" s="2" t="s">
        <v>13865</v>
      </c>
      <c r="C4932" s="2">
        <f>IFERROR(__xludf.DUMMYFUNCTION("split(B4932,""_"")"),1704.0)</f>
        <v>1704</v>
      </c>
      <c r="D4932" s="2" t="str">
        <f>IFERROR(__xludf.DUMMYFUNCTION("""COMPUTED_VALUE"""),"TBS")</f>
        <v>TBS</v>
      </c>
      <c r="E4932" s="2" t="str">
        <f>IFERROR(__xludf.DUMMYFUNCTION("""COMPUTED_VALUE"""),"火22")</f>
        <v>火22</v>
      </c>
      <c r="F4932" s="2" t="s">
        <v>13866</v>
      </c>
      <c r="G4932" s="2" t="s">
        <v>13881</v>
      </c>
      <c r="H4932" s="1">
        <v>9.0</v>
      </c>
      <c r="J4932" s="1" t="s">
        <v>86</v>
      </c>
      <c r="K4932" s="2" t="s">
        <v>13882</v>
      </c>
      <c r="L4932" s="2"/>
      <c r="M4932" s="2" t="str">
        <f>IFERROR(__xludf.DUMMYFUNCTION("split(split(K4932,""【"",false),""公式LINE"",false)"),"渡辺美都（波瑠）を中傷するビラがマンション中にばら撒かれる。さらには勤め先のネットにも拡散されるが、誰の仕業かは分からないまま・・・好奇の目に晒される美都を守ろうとする夫・涼太（東出昌大）に感謝の気持ちがこみ上げる美都。しかしその気持ちを振り払いマンションを出ていく準備を進める。準備の手伝いをしてくれる小田原（山崎育三郎）の親切心に感謝する美都だったが、小田原の一言で言葉を失うのだった・・・渡辺美都・・・波瑠  渡辺涼太・・・東出昌大  有島麗華・・・仲里依紗  有島光軌・・・鈴木伸之    飯田香子・・"&amp;"・大政絢  横山皆美・・・中川翔子  森瑠美・・・黒川智花  横山良明・・・山岸門人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プロデューサー：佐藤敦司◇毎週、番組放送終了後にプレゼントクイズを実施中！詳しくは番組ホームページをご"&amp;"覧ください。◇番組HP  http://www.tbs.co.jp/anasore/  ◇twitter  @anasore_tbs  https://twitter.com/anasore_tbs  ◇インスタグラム  https://www.instagram.com/anasore_tbs/  番組の内容と放送時間は変更になる可能性があります。")</f>
        <v>渡辺美都（波瑠）を中傷するビラがマンション中にばら撒かれる。さらには勤め先のネットにも拡散されるが、誰の仕業かは分からないまま・・・好奇の目に晒される美都を守ろうとする夫・涼太（東出昌大）に感謝の気持ちがこみ上げる美都。しかしその気持ちを振り払いマンションを出ていく準備を進める。準備の手伝いをしてくれる小田原（山崎育三郎）の親切心に感謝する美都だったが、小田原の一言で言葉を失うのだった・・・渡辺美都・・・波瑠  渡辺涼太・・・東出昌大  有島麗華・・・仲里依紗  有島光軌・・・鈴木伸之    飯田香子・・・大政絢  横山皆美・・・中川翔子  森瑠美・・・黒川智花  横山良明・・・山岸門人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v>
      </c>
      <c r="N4932" s="2"/>
      <c r="O4932" s="2"/>
      <c r="P4932" s="2"/>
      <c r="Q4932" s="2"/>
      <c r="R4932" s="2"/>
      <c r="S4932" s="2"/>
      <c r="T4932" s="2"/>
      <c r="U4932" s="2"/>
      <c r="V4932" s="2"/>
      <c r="W4932" s="2"/>
      <c r="X4932" s="2"/>
      <c r="Y4932" s="2"/>
      <c r="Z4932" s="2"/>
      <c r="AA4932" s="2"/>
      <c r="AB4932" s="2"/>
      <c r="AC4932" s="2"/>
      <c r="AD4932" s="2"/>
      <c r="AE4932" s="2"/>
      <c r="AF4932" s="2"/>
      <c r="AG4932" s="2"/>
      <c r="AH4932" s="2"/>
      <c r="AI4932" s="2"/>
      <c r="AJ4932" s="2"/>
      <c r="AK4932" s="2"/>
      <c r="AL4932" s="2"/>
      <c r="AM4932" s="2"/>
      <c r="AN4932" s="2"/>
      <c r="AO4932" s="2"/>
      <c r="AP4932" s="2"/>
      <c r="AQ4932" s="2"/>
      <c r="AR4932" s="2"/>
      <c r="AS4932" s="2"/>
      <c r="AT4932" s="2"/>
      <c r="AU4932" s="2"/>
      <c r="AV4932" s="2"/>
      <c r="AW4932" s="2"/>
      <c r="AX4932" s="2"/>
      <c r="AY4932" s="2"/>
      <c r="AZ4932" s="2"/>
      <c r="BA4932" s="2"/>
      <c r="BB4932" s="2"/>
    </row>
    <row r="4933" ht="204.75" customHeight="1">
      <c r="A4933" s="1">
        <v>1213.0</v>
      </c>
      <c r="B4933" s="2" t="s">
        <v>13865</v>
      </c>
      <c r="C4933" s="2">
        <f>IFERROR(__xludf.DUMMYFUNCTION("split(B4933,""_"")"),1704.0)</f>
        <v>1704</v>
      </c>
      <c r="D4933" s="2" t="str">
        <f>IFERROR(__xludf.DUMMYFUNCTION("""COMPUTED_VALUE"""),"TBS")</f>
        <v>TBS</v>
      </c>
      <c r="E4933" s="2" t="str">
        <f>IFERROR(__xludf.DUMMYFUNCTION("""COMPUTED_VALUE"""),"火22")</f>
        <v>火22</v>
      </c>
      <c r="F4933" s="2" t="s">
        <v>13866</v>
      </c>
      <c r="G4933" s="2" t="s">
        <v>13883</v>
      </c>
      <c r="H4933" s="1">
        <v>10.0</v>
      </c>
      <c r="J4933" s="1" t="s">
        <v>82</v>
      </c>
      <c r="K4933" s="2" t="s">
        <v>13884</v>
      </c>
      <c r="L4933" s="2"/>
      <c r="M4933" s="2" t="str">
        <f>IFERROR(__xludf.DUMMYFUNCTION("split(split(K4933,""【"",false),""公式LINE"",false)"),"渡辺美都（波瑠）は、涼太（東出昌大）に妊娠していなかったことを報告するが、涼太からはあっさりとした返事を返され拍子抜けしていた。一方、麗華（仲里依紗）が子どもと実家へ戻り、狼狽する有島（鈴木伸之）は、麗華を追って電話をかけるものの、冷たく突き放され一方的に切られてしまう。離婚届を役所に送るという涼太からのメッセージを受け取った美都。「最後に一度だけ」と、久しぶりに涼太と夫婦最後の晩餐を楽しむが…渡辺美都・・・波瑠  渡辺涼太・・・東出昌大  有島麗華・・・仲里依紗  有島光軌・・・鈴木伸之    飯田香子"&amp;"・・・大政絢  横山皆美・・・中川翔子  森瑠美・・・黒川智花      小田原真吾・・・山崎育三郎  花山司・・・橋本じゅん  三好悦子・・・麻生祐未毎週、番組放送終了後にプレゼントクイズを実施中！  詳しくは番組ホームページをご覧ください。神様、僕は気づいてしまった「CQCQ」（ワーナーミュージック・ジャパン）原作：いくえみ綾「あなたのことは それほど」（祥伝社フィールコミックス）  脚本：吉澤智子  音楽：兼松衆  音楽プロデューサー：志田博英  演出：金子文紀  プロデューサー：佐藤敦司◇番組HP"&amp;"  http://www.tbs.co.jp/anasore/  ◇twitter  @anasore_tbs  https://twitter.com/anasore_tbs  ◇インスタグラム  https://www.instagram.com/anasore_tbs/  番組の内容と放送時間は変更になる可能性があります。")</f>
        <v>渡辺美都（波瑠）は、涼太（東出昌大）に妊娠していなかったことを報告するが、涼太からはあっさりとした返事を返され拍子抜けしていた。一方、麗華（仲里依紗）が子どもと実家へ戻り、狼狽する有島（鈴木伸之）は、麗華を追って電話をかけるものの、冷たく突き放され一方的に切られてしまう。離婚届を役所に送るという涼太からのメッセージを受け取った美都。「最後に一度だけ」と、久しぶりに涼太と夫婦最後の晩餐を楽しむが…渡辺美都・・・波瑠  渡辺涼太・・・東出昌大  有島麗華・・・仲里依紗  有島光軌・・・鈴木伸之    飯田香子・・・大政絢  横山皆美・・・中川翔子  森瑠美・・・黒川智花      小田原真吾・・・山崎育三郎  花山司・・・橋本じゅん  三好悦子・・・麻生祐未毎週、番組放送終了後にプレゼントクイズを実施中！  詳しくは番組ホームページをご覧ください。神様、僕は気づいてしまった「CQCQ」（ワーナーミュージック・ジャパン）原作：いくえみ綾「あなたのことは それほど」（祥伝社フィールコミックス）  脚本：吉澤智子  音楽：兼松衆  音楽プロデューサー：志田博英  演出：金子文紀  プロデューサー：佐藤敦司◇番組HP  http://www.tbs.co.jp/anasore/  ◇twitter  @anasore_tbs  https://twitter.com/anasore_tbs  ◇インスタグラム  https://www.instagram.com/anasore_tbs/  番組の内容と放送時間は変更になる可能性があります。</v>
      </c>
      <c r="N4933" s="2"/>
      <c r="O4933" s="2"/>
      <c r="P4933" s="2"/>
      <c r="Q4933" s="2"/>
      <c r="R4933" s="2"/>
      <c r="S4933" s="2"/>
      <c r="T4933" s="2"/>
      <c r="U4933" s="2"/>
      <c r="V4933" s="2"/>
      <c r="W4933" s="2"/>
      <c r="X4933" s="2"/>
      <c r="Y4933" s="2"/>
      <c r="Z4933" s="2"/>
      <c r="AA4933" s="2"/>
      <c r="AB4933" s="2"/>
      <c r="AC4933" s="2"/>
      <c r="AD4933" s="2"/>
      <c r="AE4933" s="2"/>
      <c r="AF4933" s="2"/>
      <c r="AG4933" s="2"/>
      <c r="AH4933" s="2"/>
      <c r="AI4933" s="2"/>
      <c r="AJ4933" s="2"/>
      <c r="AK4933" s="2"/>
      <c r="AL4933" s="2"/>
      <c r="AM4933" s="2"/>
      <c r="AN4933" s="2"/>
      <c r="AO4933" s="2"/>
      <c r="AP4933" s="2"/>
      <c r="AQ4933" s="2"/>
      <c r="AR4933" s="2"/>
      <c r="AS4933" s="2"/>
      <c r="AT4933" s="2"/>
      <c r="AU4933" s="2"/>
      <c r="AV4933" s="2"/>
      <c r="AW4933" s="2"/>
      <c r="AX4933" s="2"/>
      <c r="AY4933" s="2"/>
      <c r="AZ4933" s="2"/>
      <c r="BA4933" s="2"/>
      <c r="BB4933" s="2"/>
    </row>
    <row r="4934" ht="204.75" customHeight="1">
      <c r="A4934" s="1">
        <v>1254.0</v>
      </c>
      <c r="B4934" s="2" t="s">
        <v>13885</v>
      </c>
      <c r="C4934" s="2">
        <f>IFERROR(__xludf.DUMMYFUNCTION("split(B4934,""_"")"),1704.0)</f>
        <v>1704</v>
      </c>
      <c r="D4934" s="2" t="str">
        <f>IFERROR(__xludf.DUMMYFUNCTION("""COMPUTED_VALUE"""),"TBS")</f>
        <v>TBS</v>
      </c>
      <c r="E4934" s="2" t="str">
        <f>IFERROR(__xludf.DUMMYFUNCTION("""COMPUTED_VALUE"""),"金22")</f>
        <v>金22</v>
      </c>
      <c r="F4934" s="2" t="s">
        <v>13886</v>
      </c>
      <c r="G4934" s="2" t="s">
        <v>13887</v>
      </c>
      <c r="H4934" s="1">
        <v>1.0</v>
      </c>
      <c r="J4934" s="1" t="s">
        <v>82</v>
      </c>
      <c r="K4934" s="2" t="s">
        <v>13888</v>
      </c>
      <c r="L4934" s="2"/>
      <c r="M4934" s="2" t="str">
        <f>IFERROR(__xludf.DUMMYFUNCTION("split(split(K4934,""【"",false),""公式LINE"",false)"),"深瀬和久（藤原竜也）は地味で冴えないサラリーマン。そんな彼に、パン屋で働く美穂子（戸田恵梨香）との運命的な出会いが訪れる。しかし、美穂子の元に「深瀬和久は人殺し」という告発文が届いたことにより、事態は急転する。 十年前、大学のゼミ仲間の浅見（玉森裕太）、谷原（市原隼人）、村井（三浦貴大）との旅行中に、親友・広沢（小池徹平）が不審な事故死を遂げたのだった。この事故には『秘密』が隠されていてー。十年の時を経て、それぞれの生活を送る深瀬、浅見、谷原、村井。そんな彼らのもとにジャーナリストの小笠原（武田鉄矢）が現"&amp;"れる。小笠原は、何故か十年前の広沢の事故死について、嗅ぎまわっており・・・。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小笠原俊雄・・・武田鉄矢湊かなえ「リバース」（講談社文庫刊）主題歌：シェネル「Desteny」（ユニバーサルミ"&amp;"ュージック）  音楽：横山克奥寺佐渡子演出：塚原あゆ子  プロデュース：新井順子◇番組HP  http://www.tbs.co.jp/reverse_tbs/    ◇公式twitter  @reverse_tbs    https://twitter.com/reverse_tbs  ◇公式Instagram  https://www.instagram.com/reverse_tbs/  番組の内容と放送時間は変更になる場合があります。")</f>
        <v>深瀬和久（藤原竜也）は地味で冴えないサラリーマン。そんな彼に、パン屋で働く美穂子（戸田恵梨香）との運命的な出会いが訪れる。しかし、美穂子の元に「深瀬和久は人殺し」という告発文が届いたことにより、事態は急転する。 十年前、大学のゼミ仲間の浅見（玉森裕太）、谷原（市原隼人）、村井（三浦貴大）との旅行中に、親友・広沢（小池徹平）が不審な事故死を遂げたのだった。この事故には『秘密』が隠されていてー。十年の時を経て、それぞれの生活を送る深瀬、浅見、谷原、村井。そんな彼らのもとにジャーナリストの小笠原（武田鉄矢）が現れる。小笠原は、何故か十年前の広沢の事故死について、嗅ぎまわっており・・・。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小笠原俊雄・・・武田鉄矢湊かなえ「リバース」（講談社文庫刊）主題歌：シェネル「Desteny」（ユニバーサルミュージック）  音楽：横山克奥寺佐渡子演出：塚原あゆ子  プロデュース：新井順子◇番組HP  http://www.tbs.co.jp/reverse_tbs/    ◇公式twitter  @reverse_tbs    https://twitter.com/reverse_tbs  ◇公式Instagram  https://www.instagram.com/reverse_tbs/  番組の内容と放送時間は変更になる場合があります。</v>
      </c>
      <c r="N4934" s="2"/>
      <c r="O4934" s="2"/>
      <c r="P4934" s="1"/>
      <c r="Q4934" s="1"/>
      <c r="R4934" s="1"/>
      <c r="S4934" s="1"/>
      <c r="T4934" s="1"/>
      <c r="U4934" s="1"/>
      <c r="V4934" s="1"/>
      <c r="W4934" s="1"/>
      <c r="X4934" s="1"/>
      <c r="Y4934" s="1"/>
      <c r="Z4934" s="1"/>
      <c r="AA4934" s="1"/>
      <c r="AB4934" s="1"/>
      <c r="AC4934" s="1"/>
      <c r="AD4934" s="1"/>
      <c r="AE4934" s="1"/>
      <c r="AF4934" s="1"/>
      <c r="AG4934" s="1"/>
      <c r="AH4934" s="1"/>
      <c r="AI4934" s="1"/>
      <c r="AJ4934" s="1"/>
      <c r="AK4934" s="1"/>
      <c r="AL4934" s="1"/>
      <c r="AM4934" s="1"/>
      <c r="AN4934" s="1"/>
      <c r="AO4934" s="1"/>
      <c r="AP4934" s="1"/>
      <c r="AQ4934" s="1"/>
      <c r="AR4934" s="1"/>
      <c r="AS4934" s="1"/>
      <c r="AT4934" s="1"/>
      <c r="AU4934" s="1"/>
      <c r="AV4934" s="1"/>
      <c r="AW4934" s="1"/>
      <c r="AX4934" s="1"/>
      <c r="AY4934" s="1"/>
      <c r="AZ4934" s="1"/>
      <c r="BA4934" s="1"/>
      <c r="BB4934" s="1"/>
    </row>
    <row r="4935" ht="204.75" customHeight="1">
      <c r="A4935" s="1">
        <v>1255.0</v>
      </c>
      <c r="B4935" s="2" t="s">
        <v>13885</v>
      </c>
      <c r="C4935" s="2">
        <f>IFERROR(__xludf.DUMMYFUNCTION("split(B4935,""_"")"),1704.0)</f>
        <v>1704</v>
      </c>
      <c r="D4935" s="2" t="str">
        <f>IFERROR(__xludf.DUMMYFUNCTION("""COMPUTED_VALUE"""),"TBS")</f>
        <v>TBS</v>
      </c>
      <c r="E4935" s="2" t="str">
        <f>IFERROR(__xludf.DUMMYFUNCTION("""COMPUTED_VALUE"""),"金22")</f>
        <v>金22</v>
      </c>
      <c r="F4935" s="2" t="s">
        <v>13886</v>
      </c>
      <c r="G4935" s="2" t="s">
        <v>13889</v>
      </c>
      <c r="H4935" s="1">
        <v>2.0</v>
      </c>
      <c r="J4935" s="1" t="s">
        <v>86</v>
      </c>
      <c r="K4935" s="2" t="s">
        <v>13890</v>
      </c>
      <c r="L4935" s="2"/>
      <c r="M4935" s="2" t="str">
        <f>IFERROR(__xludf.DUMMYFUNCTION("split(split(K4935,""【"",false),""公式LINE"",false)"),"深瀬和久（藤原竜也）は十年前、大学のゼミ仲間の浅見（玉森裕太）、広沢（小池徹平）、村井（三浦貴大）、谷原（市原隼人）との卒業旅行で起きた悲劇を、美穂子（戸田恵梨香）に打ち明ける。そこには深瀬たちが長年隠し続けてきた「罪」があった。ショックを受ける美穂子は、深瀬と距離を取るように。一方、浅見の元にも告発文が届き、谷原や村井の周辺にも怪しい影が。十年の時を経て始まった復讐は、ついに美穂子にも迫りー。広沢の死に関わった人間の周辺で、不審なことが立て続けに起こり、復讐の影に怯える深瀬。そんな深瀬のもとに、小笠原（"&amp;"武田鉄矢）が現れる。小笠原は、十年前の事件に関して、真実を話すように深瀬を諭す。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小笠原俊雄・・・武田鉄矢湊かなえ「リバース」（講談社文庫刊）主題歌：シェネル「Desteny」（ユニバーサ"&amp;"ルミュージック）  音楽：横山克奥寺佐渡子演出：塚原あゆ子  プロデュース：新井順子◇番組HP  http://www.tbs.co.jp/reverse_tbs/    ◇公式twitter  @reverse_tbs    https://twitter.com/reverse_tbs  ◇公式Instagram  https://www.instagram.com/reverse_tbs/  番組の内容と放送時間は変更になる場合があります。")</f>
        <v>深瀬和久（藤原竜也）は十年前、大学のゼミ仲間の浅見（玉森裕太）、広沢（小池徹平）、村井（三浦貴大）、谷原（市原隼人）との卒業旅行で起きた悲劇を、美穂子（戸田恵梨香）に打ち明ける。そこには深瀬たちが長年隠し続けてきた「罪」があった。ショックを受ける美穂子は、深瀬と距離を取るように。一方、浅見の元にも告発文が届き、谷原や村井の周辺にも怪しい影が。十年の時を経て始まった復讐は、ついに美穂子にも迫りー。広沢の死に関わった人間の周辺で、不審なことが立て続けに起こり、復讐の影に怯える深瀬。そんな深瀬のもとに、小笠原（武田鉄矢）が現れる。小笠原は、十年前の事件に関して、真実を話すように深瀬を諭す。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小笠原俊雄・・・武田鉄矢湊かなえ「リバース」（講談社文庫刊）主題歌：シェネル「Desteny」（ユニバーサルミュージック）  音楽：横山克奥寺佐渡子演出：塚原あゆ子  プロデュース：新井順子◇番組HP  http://www.tbs.co.jp/reverse_tbs/    ◇公式twitter  @reverse_tbs    https://twitter.com/reverse_tbs  ◇公式Instagram  https://www.instagram.com/reverse_tbs/  番組の内容と放送時間は変更になる場合があります。</v>
      </c>
      <c r="N4935" s="2"/>
      <c r="O4935" s="2"/>
      <c r="P4935" s="1"/>
      <c r="Q4935" s="1"/>
      <c r="R4935" s="1"/>
      <c r="S4935" s="1"/>
      <c r="T4935" s="1"/>
      <c r="U4935" s="1"/>
      <c r="V4935" s="1"/>
      <c r="W4935" s="1"/>
      <c r="X4935" s="1"/>
      <c r="Y4935" s="1"/>
      <c r="Z4935" s="1"/>
      <c r="AA4935" s="1"/>
      <c r="AB4935" s="1"/>
      <c r="AC4935" s="1"/>
      <c r="AD4935" s="1"/>
      <c r="AE4935" s="1"/>
      <c r="AF4935" s="1"/>
      <c r="AG4935" s="1"/>
      <c r="AH4935" s="1"/>
      <c r="AI4935" s="1"/>
      <c r="AJ4935" s="1"/>
      <c r="AK4935" s="1"/>
      <c r="AL4935" s="1"/>
      <c r="AM4935" s="1"/>
      <c r="AN4935" s="1"/>
      <c r="AO4935" s="1"/>
      <c r="AP4935" s="1"/>
      <c r="AQ4935" s="1"/>
      <c r="AR4935" s="1"/>
      <c r="AS4935" s="1"/>
      <c r="AT4935" s="1"/>
      <c r="AU4935" s="1"/>
      <c r="AV4935" s="1"/>
      <c r="AW4935" s="1"/>
      <c r="AX4935" s="1"/>
      <c r="AY4935" s="1"/>
      <c r="AZ4935" s="1"/>
      <c r="BA4935" s="1"/>
      <c r="BB4935" s="1"/>
    </row>
    <row r="4936" ht="204.75" customHeight="1">
      <c r="A4936" s="1">
        <v>1256.0</v>
      </c>
      <c r="B4936" s="2" t="s">
        <v>13885</v>
      </c>
      <c r="C4936" s="2">
        <f>IFERROR(__xludf.DUMMYFUNCTION("split(B4936,""_"")"),1704.0)</f>
        <v>1704</v>
      </c>
      <c r="D4936" s="2" t="str">
        <f>IFERROR(__xludf.DUMMYFUNCTION("""COMPUTED_VALUE"""),"TBS")</f>
        <v>TBS</v>
      </c>
      <c r="E4936" s="2" t="str">
        <f>IFERROR(__xludf.DUMMYFUNCTION("""COMPUTED_VALUE"""),"金22")</f>
        <v>金22</v>
      </c>
      <c r="F4936" s="2" t="s">
        <v>13886</v>
      </c>
      <c r="G4936" s="2" t="s">
        <v>13891</v>
      </c>
      <c r="H4936" s="1">
        <v>3.0</v>
      </c>
      <c r="J4936" s="1" t="s">
        <v>86</v>
      </c>
      <c r="K4936" s="2" t="s">
        <v>13892</v>
      </c>
      <c r="L4936" s="2"/>
      <c r="M4936" s="2" t="str">
        <f>IFERROR(__xludf.DUMMYFUNCTION("split(split(K4936,""【"",false),""公式LINE"",false)"),"小笠原（武田鉄矢）に10年前の事故を語り出す深瀬（藤原竜也）。その話を聞き、小笠原は広沢（小池徹平）の死には、事件性があり、殺人の可能性もあると示唆する。一番怪しいのは、あの時、第一発見者だった谷原（市原隼人）。深瀬同様、告発文が届いた旅行メンバーの谷原、浅見（玉森裕太）、村井（三浦貴大）と集まった深瀬は、谷原に対し疑惑を深めつつ、それぞれが事件に関して隠し事をしているように感じ－。告発文によって、それぞれの生活を脅かされる深瀬、浅見、村井。特に深瀬は恋人・美穂子（戸田恵梨香）との関係を修復できないでいた"&amp;"。しかし、谷原だけは告発文を逆手にとり、チャンスを掴もうとしており－。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小笠原俊雄・・・武田鉄矢湊かなえ「リバース」（講談社文庫刊）主題歌：シェネル「Desteny」（ユニバーサルミュージ"&amp;"ック）  音楽：横山克奥寺佐渡子演出：塚原あゆ子  プロデュース：新井順子◇番組HP  http://www.tbs.co.jp/reverse_tbs/    ◇公式twitter  @reverse_tbs    https://twitter.com/reverse_tbs  ◇公式Instagram  https://www.instagram.com/reverse_tbs/  番組の最後に、原作本のプレゼント告知があります。詳しくは放送終了後、公式HPまで。番組の内容と放送時間は変更になる場合"&amp;"があります。")</f>
        <v>小笠原（武田鉄矢）に10年前の事故を語り出す深瀬（藤原竜也）。その話を聞き、小笠原は広沢（小池徹平）の死には、事件性があり、殺人の可能性もあると示唆する。一番怪しいのは、あの時、第一発見者だった谷原（市原隼人）。深瀬同様、告発文が届いた旅行メンバーの谷原、浅見（玉森裕太）、村井（三浦貴大）と集まった深瀬は、谷原に対し疑惑を深めつつ、それぞれが事件に関して隠し事をしているように感じ－。告発文によって、それぞれの生活を脅かされる深瀬、浅見、村井。特に深瀬は恋人・美穂子（戸田恵梨香）との関係を修復できないでいた。しかし、谷原だけは告発文を逆手にとり、チャンスを掴もうとしており－。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小笠原俊雄・・・武田鉄矢湊かなえ「リバース」（講談社文庫刊）主題歌：シェネル「Desteny」（ユニバーサルミュージック）  音楽：横山克奥寺佐渡子演出：塚原あゆ子  プロデュース：新井順子◇番組HP  http://www.tbs.co.jp/reverse_tbs/    ◇公式twitter  @reverse_tbs    https://twitter.com/reverse_tbs  ◇公式Instagram  https://www.instagram.com/reverse_tbs/  番組の最後に、原作本のプレゼント告知があります。詳しくは放送終了後、公式HPまで。番組の内容と放送時間は変更になる場合があります。</v>
      </c>
      <c r="N4936" s="2"/>
      <c r="O4936" s="2"/>
      <c r="P4936" s="1"/>
      <c r="Q4936" s="1"/>
      <c r="R4936" s="1"/>
      <c r="S4936" s="1"/>
      <c r="T4936" s="1"/>
      <c r="U4936" s="1"/>
      <c r="V4936" s="1"/>
      <c r="W4936" s="1"/>
      <c r="X4936" s="1"/>
      <c r="Y4936" s="1"/>
      <c r="Z4936" s="1"/>
      <c r="AA4936" s="1"/>
      <c r="AB4936" s="1"/>
      <c r="AC4936" s="1"/>
      <c r="AD4936" s="1"/>
      <c r="AE4936" s="1"/>
      <c r="AF4936" s="1"/>
      <c r="AG4936" s="1"/>
      <c r="AH4936" s="1"/>
      <c r="AI4936" s="1"/>
      <c r="AJ4936" s="1"/>
      <c r="AK4936" s="1"/>
      <c r="AL4936" s="1"/>
      <c r="AM4936" s="1"/>
      <c r="AN4936" s="1"/>
      <c r="AO4936" s="1"/>
      <c r="AP4936" s="1"/>
      <c r="AQ4936" s="1"/>
      <c r="AR4936" s="1"/>
      <c r="AS4936" s="1"/>
      <c r="AT4936" s="1"/>
      <c r="AU4936" s="1"/>
      <c r="AV4936" s="1"/>
      <c r="AW4936" s="1"/>
      <c r="AX4936" s="1"/>
      <c r="AY4936" s="1"/>
      <c r="AZ4936" s="1"/>
      <c r="BA4936" s="1"/>
      <c r="BB4936" s="1"/>
    </row>
    <row r="4937" ht="204.75" customHeight="1">
      <c r="A4937" s="1">
        <v>1257.0</v>
      </c>
      <c r="B4937" s="2" t="s">
        <v>13885</v>
      </c>
      <c r="C4937" s="2">
        <f>IFERROR(__xludf.DUMMYFUNCTION("split(B4937,""_"")"),1704.0)</f>
        <v>1704</v>
      </c>
      <c r="D4937" s="2" t="str">
        <f>IFERROR(__xludf.DUMMYFUNCTION("""COMPUTED_VALUE"""),"TBS")</f>
        <v>TBS</v>
      </c>
      <c r="E4937" s="2" t="str">
        <f>IFERROR(__xludf.DUMMYFUNCTION("""COMPUTED_VALUE"""),"金22")</f>
        <v>金22</v>
      </c>
      <c r="F4937" s="2" t="s">
        <v>13886</v>
      </c>
      <c r="G4937" s="2" t="s">
        <v>13893</v>
      </c>
      <c r="H4937" s="1">
        <v>4.0</v>
      </c>
      <c r="J4937" s="1" t="s">
        <v>86</v>
      </c>
      <c r="K4937" s="2" t="s">
        <v>13894</v>
      </c>
      <c r="L4937" s="2"/>
      <c r="M4937" s="2" t="str">
        <f>IFERROR(__xludf.DUMMYFUNCTION("split(split(K4937,""【"",false),""公式LINE"",false)"),"谷原（市原隼人）が駅のホームから転落したという話を聞き、病院に駆け付けた深瀬（藤原竜也）。そこには、すでに浅見（玉森裕太）と明日香（門脇麦）の姿もあった。重篤な谷原の様子を見て落ち込む深瀬。谷原を突き落としたのは、告発文を送りつけている人間だと、危機感を覚えた深瀬と浅見は、村井を呼んで対策を練ることに。そこで三人は、谷原の野球試合の写真に、広沢の母・昌子（片平なぎさ）の姿を見つけ、疑いを持つ。自分たちを恨んでいる人物である広沢の母が、自分たちを追い詰めているのかもしれない、そう思った深瀬は、谷原の病院に現"&amp;"れた小笠原（武田鉄矢）に疑問をぶつけるが・・・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音楽：横山克奥"&amp;"寺佐渡子演出：山本剛義  プロデュース：新井順子◇番組HP  http://www.tbs.co.jp/reverse_tbs/    ◇公式twitter  @reverse_tbs    https://twitter.com/reverse_tbs  ◇公式Instagram  https://www.instagram.com/reverse_tbs/  番組の内容と放送時間は変更になる場合があります。")</f>
        <v>谷原（市原隼人）が駅のホームから転落したという話を聞き、病院に駆け付けた深瀬（藤原竜也）。そこには、すでに浅見（玉森裕太）と明日香（門脇麦）の姿もあった。重篤な谷原の様子を見て落ち込む深瀬。谷原を突き落としたのは、告発文を送りつけている人間だと、危機感を覚えた深瀬と浅見は、村井を呼んで対策を練ることに。そこで三人は、谷原の野球試合の写真に、広沢の母・昌子（片平なぎさ）の姿を見つけ、疑いを持つ。自分たちを恨んでいる人物である広沢の母が、自分たちを追い詰めているのかもしれない、そう思った深瀬は、谷原の病院に現れた小笠原（武田鉄矢）に疑問をぶつけるが・・・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音楽：横山克奥寺佐渡子演出：山本剛義  プロデュース：新井順子◇番組HP  http://www.tbs.co.jp/reverse_tbs/    ◇公式twitter  @reverse_tbs    https://twitter.com/reverse_tbs  ◇公式Instagram  https://www.instagram.com/reverse_tbs/  番組の内容と放送時間は変更になる場合があります。</v>
      </c>
      <c r="N4937" s="2"/>
      <c r="O4937" s="2"/>
      <c r="P4937" s="1"/>
      <c r="Q4937" s="1"/>
      <c r="R4937" s="1"/>
      <c r="S4937" s="1"/>
      <c r="T4937" s="1"/>
      <c r="U4937" s="1"/>
      <c r="V4937" s="1"/>
      <c r="W4937" s="1"/>
      <c r="X4937" s="1"/>
      <c r="Y4937" s="1"/>
      <c r="Z4937" s="1"/>
      <c r="AA4937" s="1"/>
      <c r="AB4937" s="1"/>
      <c r="AC4937" s="1"/>
      <c r="AD4937" s="1"/>
      <c r="AE4937" s="1"/>
      <c r="AF4937" s="1"/>
      <c r="AG4937" s="1"/>
      <c r="AH4937" s="1"/>
      <c r="AI4937" s="1"/>
      <c r="AJ4937" s="1"/>
      <c r="AK4937" s="1"/>
      <c r="AL4937" s="1"/>
      <c r="AM4937" s="1"/>
      <c r="AN4937" s="1"/>
      <c r="AO4937" s="1"/>
      <c r="AP4937" s="1"/>
      <c r="AQ4937" s="1"/>
      <c r="AR4937" s="1"/>
      <c r="AS4937" s="1"/>
      <c r="AT4937" s="1"/>
      <c r="AU4937" s="1"/>
      <c r="AV4937" s="1"/>
      <c r="AW4937" s="1"/>
      <c r="AX4937" s="1"/>
      <c r="AY4937" s="1"/>
      <c r="AZ4937" s="1"/>
      <c r="BA4937" s="1"/>
      <c r="BB4937" s="1"/>
    </row>
    <row r="4938" ht="204.75" customHeight="1">
      <c r="A4938" s="1">
        <v>1258.0</v>
      </c>
      <c r="B4938" s="2" t="s">
        <v>13885</v>
      </c>
      <c r="C4938" s="2">
        <f>IFERROR(__xludf.DUMMYFUNCTION("split(B4938,""_"")"),1704.0)</f>
        <v>1704</v>
      </c>
      <c r="D4938" s="2" t="str">
        <f>IFERROR(__xludf.DUMMYFUNCTION("""COMPUTED_VALUE"""),"TBS")</f>
        <v>TBS</v>
      </c>
      <c r="E4938" s="2" t="str">
        <f>IFERROR(__xludf.DUMMYFUNCTION("""COMPUTED_VALUE"""),"金22")</f>
        <v>金22</v>
      </c>
      <c r="F4938" s="2" t="s">
        <v>13886</v>
      </c>
      <c r="G4938" s="2" t="s">
        <v>13895</v>
      </c>
      <c r="H4938" s="1">
        <v>5.0</v>
      </c>
      <c r="J4938" s="1" t="s">
        <v>86</v>
      </c>
      <c r="K4938" s="2" t="s">
        <v>13896</v>
      </c>
      <c r="L4938" s="2"/>
      <c r="M4938" s="2" t="str">
        <f>IFERROR(__xludf.DUMMYFUNCTION("split(split(K4938,""【"",false),""公式LINE"",false)"),"広沢（小池鉄平）と村井（三浦貴大）間に、かつて諍いがあったことを浅見（玉森裕太）から聞いた深瀬（藤原竜也）は、村井に対して疑心暗鬼になる。そんな中、村井とことは（篠原ゆき子）の不倫が暴露され、一大スキャンダルに。村井は、マスコミから逃げるように、深瀬のアパートに身を寄せる。スキャンダルを暴露したのは告発犯かもしれないと深瀬たち。一方、美穂子（戸田恵梨香）は何者かに執拗につけ狙われており・・・。谷原（市原隼人）を電車のホームから突き落とした犯人が、広沢の母（片平なぎさ）だと疑う深瀬と浅見は、小笠原（武田鉄矢"&amp;"）に会いに行く。「犯人は複数犯かもしれない」小笠原はそう言い・・・。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小笠原俊雄・・・武田鉄矢湊かなえ「リバース」（講談社文庫刊）主題歌：シェネル「Destiny」（ユニバーサルミュージッ"&amp;"ク）  音楽：横山克清水友佳子演出：村尾嘉昭  プロデュース：新井順子番組終了後にプレゼント告知あり◇番組HP  http://www.tbs.co.jp/reverse_tbs/    ◇公式twitter  @reverse_tbs    https://twitter.com/reverse_tbs  ◇公式Instagram  https://www.instagram.com/reverse_tbs/  番組の内容と放送時間は変更になる場合があります。")</f>
        <v>広沢（小池鉄平）と村井（三浦貴大）間に、かつて諍いがあったことを浅見（玉森裕太）から聞いた深瀬（藤原竜也）は、村井に対して疑心暗鬼になる。そんな中、村井とことは（篠原ゆき子）の不倫が暴露され、一大スキャンダルに。村井は、マスコミから逃げるように、深瀬のアパートに身を寄せる。スキャンダルを暴露したのは告発犯かもしれないと深瀬たち。一方、美穂子（戸田恵梨香）は何者かに執拗につけ狙われており・・・。谷原（市原隼人）を電車のホームから突き落とした犯人が、広沢の母（片平なぎさ）だと疑う深瀬と浅見は、小笠原（武田鉄矢）に会いに行く。「犯人は複数犯かもしれない」小笠原はそう言い・・・。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音楽：横山克清水友佳子演出：村尾嘉昭  プロデュース：新井順子番組終了後にプレゼント告知あり◇番組HP  http://www.tbs.co.jp/reverse_tbs/    ◇公式twitter  @reverse_tbs    https://twitter.com/reverse_tbs  ◇公式Instagram  https://www.instagram.com/reverse_tbs/  番組の内容と放送時間は変更になる場合があります。</v>
      </c>
      <c r="N4938" s="2"/>
      <c r="O4938" s="2"/>
      <c r="P4938" s="1"/>
      <c r="Q4938" s="1"/>
      <c r="R4938" s="1"/>
      <c r="S4938" s="1"/>
      <c r="T4938" s="1"/>
      <c r="U4938" s="1"/>
      <c r="V4938" s="1"/>
      <c r="W4938" s="1"/>
      <c r="X4938" s="1"/>
      <c r="Y4938" s="1"/>
      <c r="Z4938" s="1"/>
      <c r="AA4938" s="1"/>
      <c r="AB4938" s="1"/>
      <c r="AC4938" s="1"/>
      <c r="AD4938" s="1"/>
      <c r="AE4938" s="1"/>
      <c r="AF4938" s="1"/>
      <c r="AG4938" s="1"/>
      <c r="AH4938" s="1"/>
      <c r="AI4938" s="1"/>
      <c r="AJ4938" s="1"/>
      <c r="AK4938" s="1"/>
      <c r="AL4938" s="1"/>
      <c r="AM4938" s="1"/>
      <c r="AN4938" s="1"/>
      <c r="AO4938" s="1"/>
      <c r="AP4938" s="1"/>
      <c r="AQ4938" s="1"/>
      <c r="AR4938" s="1"/>
      <c r="AS4938" s="1"/>
      <c r="AT4938" s="1"/>
      <c r="AU4938" s="1"/>
      <c r="AV4938" s="1"/>
      <c r="AW4938" s="1"/>
      <c r="AX4938" s="1"/>
      <c r="AY4938" s="1"/>
      <c r="AZ4938" s="1"/>
      <c r="BA4938" s="1"/>
      <c r="BB4938" s="1"/>
    </row>
    <row r="4939" ht="204.75" customHeight="1">
      <c r="A4939" s="1">
        <v>1259.0</v>
      </c>
      <c r="B4939" s="2" t="s">
        <v>13885</v>
      </c>
      <c r="C4939" s="2">
        <f>IFERROR(__xludf.DUMMYFUNCTION("split(B4939,""_"")"),1704.0)</f>
        <v>1704</v>
      </c>
      <c r="D4939" s="2" t="str">
        <f>IFERROR(__xludf.DUMMYFUNCTION("""COMPUTED_VALUE"""),"TBS")</f>
        <v>TBS</v>
      </c>
      <c r="E4939" s="2" t="str">
        <f>IFERROR(__xludf.DUMMYFUNCTION("""COMPUTED_VALUE"""),"金22")</f>
        <v>金22</v>
      </c>
      <c r="F4939" s="2" t="s">
        <v>13886</v>
      </c>
      <c r="G4939" s="2" t="s">
        <v>13897</v>
      </c>
      <c r="H4939" s="1">
        <v>6.0</v>
      </c>
      <c r="J4939" s="1" t="s">
        <v>86</v>
      </c>
      <c r="K4939" s="2" t="s">
        <v>13898</v>
      </c>
      <c r="L4939" s="2"/>
      <c r="M4939" s="2" t="str">
        <f>IFERROR(__xludf.DUMMYFUNCTION("split(split(K4939,""【"",false),""公式LINE"",false)"),"村井（三浦貴大）が失踪し数日、未だ連絡が付かない中、深瀬（藤原竜也）は村井の妹・明日香（門脇麦）から、10年前の事件現場で、村井が何かを隠しているようだったと聞かされる。行き詰まった深瀬は、事件の手がかりを求め、浅見（玉森裕太）とともに、事件現場の長野、そして広沢（小池徹平）の故郷・愛媛へ向かう。そこで広沢の話を聞くうちに、深瀬は告発犯が、広沢の家族ではなく、友人や恋人の可能性を抱き始め・・・。広沢の恋人のカワちゃん（夏菜）と親友の古川（尾上寛之）。彼らの行方を追うべきか。悩む深瀬に、浅見は衝撃的な告白を"&amp;"するー。それは今まで、浅見、谷原（市原隼人）、村井が抱えてきた秘密だった。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小笠原俊雄・・・武田鉄矢湊かなえ「リバース」（講談社文庫刊）主題歌：シェネル「Destiny」（ユニバーサルミュ"&amp;"ージック）  音楽：横山克奥寺佐渡子演出：山本剛義  プロデュース：新井順子◇番組HP  http://www.tbs.co.jp/reverse_tbs/    ◇公式twitter  @reverse_tbs    https://twitter.com/reverse_tbs  ◇公式Instagram  https://www.instagram.com/reverse_tbs/  番組の内容と放送時間は変更になる場合があります。")</f>
        <v>村井（三浦貴大）が失踪し数日、未だ連絡が付かない中、深瀬（藤原竜也）は村井の妹・明日香（門脇麦）から、10年前の事件現場で、村井が何かを隠しているようだったと聞かされる。行き詰まった深瀬は、事件の手がかりを求め、浅見（玉森裕太）とともに、事件現場の長野、そして広沢（小池徹平）の故郷・愛媛へ向かう。そこで広沢の話を聞くうちに、深瀬は告発犯が、広沢の家族ではなく、友人や恋人の可能性を抱き始め・・・。広沢の恋人のカワちゃん（夏菜）と親友の古川（尾上寛之）。彼らの行方を追うべきか。悩む深瀬に、浅見は衝撃的な告白をするー。それは今まで、浅見、谷原（市原隼人）、村井が抱えてきた秘密だった。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音楽：横山克奥寺佐渡子演出：山本剛義  プロデュース：新井順子◇番組HP  http://www.tbs.co.jp/reverse_tbs/    ◇公式twitter  @reverse_tbs    https://twitter.com/reverse_tbs  ◇公式Instagram  https://www.instagram.com/reverse_tbs/  番組の内容と放送時間は変更になる場合があります。</v>
      </c>
      <c r="N4939" s="2"/>
      <c r="O4939" s="2"/>
      <c r="P4939" s="1"/>
      <c r="Q4939" s="1"/>
      <c r="R4939" s="1"/>
      <c r="S4939" s="1"/>
      <c r="T4939" s="1"/>
      <c r="U4939" s="1"/>
      <c r="V4939" s="1"/>
      <c r="W4939" s="1"/>
      <c r="X4939" s="1"/>
      <c r="Y4939" s="1"/>
      <c r="Z4939" s="1"/>
      <c r="AA4939" s="1"/>
      <c r="AB4939" s="1"/>
      <c r="AC4939" s="1"/>
      <c r="AD4939" s="1"/>
      <c r="AE4939" s="1"/>
      <c r="AF4939" s="1"/>
      <c r="AG4939" s="1"/>
      <c r="AH4939" s="1"/>
      <c r="AI4939" s="1"/>
      <c r="AJ4939" s="1"/>
      <c r="AK4939" s="1"/>
      <c r="AL4939" s="1"/>
      <c r="AM4939" s="1"/>
      <c r="AN4939" s="1"/>
      <c r="AO4939" s="1"/>
      <c r="AP4939" s="1"/>
      <c r="AQ4939" s="1"/>
      <c r="AR4939" s="1"/>
      <c r="AS4939" s="1"/>
      <c r="AT4939" s="1"/>
      <c r="AU4939" s="1"/>
      <c r="AV4939" s="1"/>
      <c r="AW4939" s="1"/>
      <c r="AX4939" s="1"/>
      <c r="AY4939" s="1"/>
      <c r="AZ4939" s="1"/>
      <c r="BA4939" s="1"/>
      <c r="BB4939" s="1"/>
    </row>
    <row r="4940" ht="204.75" customHeight="1">
      <c r="A4940" s="1">
        <v>1260.0</v>
      </c>
      <c r="B4940" s="2" t="s">
        <v>13885</v>
      </c>
      <c r="C4940" s="2">
        <f>IFERROR(__xludf.DUMMYFUNCTION("split(B4940,""_"")"),1704.0)</f>
        <v>1704</v>
      </c>
      <c r="D4940" s="2" t="str">
        <f>IFERROR(__xludf.DUMMYFUNCTION("""COMPUTED_VALUE"""),"TBS")</f>
        <v>TBS</v>
      </c>
      <c r="E4940" s="2" t="str">
        <f>IFERROR(__xludf.DUMMYFUNCTION("""COMPUTED_VALUE"""),"金22")</f>
        <v>金22</v>
      </c>
      <c r="F4940" s="2" t="s">
        <v>13886</v>
      </c>
      <c r="G4940" s="2" t="s">
        <v>13899</v>
      </c>
      <c r="H4940" s="1">
        <v>7.0</v>
      </c>
      <c r="J4940" s="1" t="s">
        <v>86</v>
      </c>
      <c r="K4940" s="2" t="s">
        <v>13900</v>
      </c>
      <c r="L4940" s="2"/>
      <c r="M4940" s="2" t="str">
        <f>IFERROR(__xludf.DUMMYFUNCTION("split(split(K4940,""【"",false),""公式LINE"",false)"),"深瀬（藤原竜也）は、高校時代の広沢（小池徹平）の親友・古川（尾上寛之）に会う。広沢の学生時代の彼女・カワちゃん（夏菜）について、話を聞いた深瀬は、自分たちに告発文を送ってきていた人物が、カワちゃんではないかと確信を持ち、行方を探すことに。一方、転落事故により意識不明だった谷原（市原隼人）が目を覚ます。駆けつけた深瀬や浅見（玉森裕太）に対し、隠し事をしているような谷原を見て、深瀬は不審に思い・・・。カワちゃんの行方を探す深瀬と浅見。そんな中、村井（三浦貴大）は未だ何者かに監禁されていた。とうとうカワちゃんの"&amp;"居場所を突き止めた深瀬は、彼女から衝撃の告白を聞き・・・。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音"&amp;"楽：横山克清水友佳子演出：村尾嘉昭  プロデュース：新井順子◇番組HP  http://www.tbs.co.jp/reverse_tbs/    ◇公式twitter  @reverse_tbs    https://twitter.com/reverse_tbs  ◇公式Instagram  https://www.instagram.com/reverse_tbs/  番組の内容と放送時間は変更になる場合があります。")</f>
        <v>深瀬（藤原竜也）は、高校時代の広沢（小池徹平）の親友・古川（尾上寛之）に会う。広沢の学生時代の彼女・カワちゃん（夏菜）について、話を聞いた深瀬は、自分たちに告発文を送ってきていた人物が、カワちゃんではないかと確信を持ち、行方を探すことに。一方、転落事故により意識不明だった谷原（市原隼人）が目を覚ます。駆けつけた深瀬や浅見（玉森裕太）に対し、隠し事をしているような谷原を見て、深瀬は不審に思い・・・。カワちゃんの行方を探す深瀬と浅見。そんな中、村井（三浦貴大）は未だ何者かに監禁されていた。とうとうカワちゃんの居場所を突き止めた深瀬は、彼女から衝撃の告白を聞き・・・。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音楽：横山克清水友佳子演出：村尾嘉昭  プロデュース：新井順子◇番組HP  http://www.tbs.co.jp/reverse_tbs/    ◇公式twitter  @reverse_tbs    https://twitter.com/reverse_tbs  ◇公式Instagram  https://www.instagram.com/reverse_tbs/  番組の内容と放送時間は変更になる場合があります。</v>
      </c>
      <c r="N4940" s="2"/>
      <c r="O4940" s="2"/>
      <c r="P4940" s="1"/>
      <c r="Q4940" s="1"/>
      <c r="R4940" s="1"/>
      <c r="S4940" s="1"/>
      <c r="T4940" s="1"/>
      <c r="U4940" s="1"/>
      <c r="V4940" s="1"/>
      <c r="W4940" s="1"/>
      <c r="X4940" s="1"/>
      <c r="Y4940" s="1"/>
      <c r="Z4940" s="1"/>
      <c r="AA4940" s="1"/>
      <c r="AB4940" s="1"/>
      <c r="AC4940" s="1"/>
      <c r="AD4940" s="1"/>
      <c r="AE4940" s="1"/>
      <c r="AF4940" s="1"/>
      <c r="AG4940" s="1"/>
      <c r="AH4940" s="1"/>
      <c r="AI4940" s="1"/>
      <c r="AJ4940" s="1"/>
      <c r="AK4940" s="1"/>
      <c r="AL4940" s="1"/>
      <c r="AM4940" s="1"/>
      <c r="AN4940" s="1"/>
      <c r="AO4940" s="1"/>
      <c r="AP4940" s="1"/>
      <c r="AQ4940" s="1"/>
      <c r="AR4940" s="1"/>
      <c r="AS4940" s="1"/>
      <c r="AT4940" s="1"/>
      <c r="AU4940" s="1"/>
      <c r="AV4940" s="1"/>
      <c r="AW4940" s="1"/>
      <c r="AX4940" s="1"/>
      <c r="AY4940" s="1"/>
      <c r="AZ4940" s="1"/>
      <c r="BA4940" s="1"/>
      <c r="BB4940" s="1"/>
    </row>
    <row r="4941" ht="204.75" customHeight="1">
      <c r="A4941" s="1">
        <v>1261.0</v>
      </c>
      <c r="B4941" s="2" t="s">
        <v>13885</v>
      </c>
      <c r="C4941" s="2">
        <f>IFERROR(__xludf.DUMMYFUNCTION("split(B4941,""_"")"),1704.0)</f>
        <v>1704</v>
      </c>
      <c r="D4941" s="2" t="str">
        <f>IFERROR(__xludf.DUMMYFUNCTION("""COMPUTED_VALUE"""),"TBS")</f>
        <v>TBS</v>
      </c>
      <c r="E4941" s="2" t="str">
        <f>IFERROR(__xludf.DUMMYFUNCTION("""COMPUTED_VALUE"""),"金22")</f>
        <v>金22</v>
      </c>
      <c r="F4941" s="2" t="s">
        <v>13886</v>
      </c>
      <c r="G4941" s="2" t="s">
        <v>13901</v>
      </c>
      <c r="H4941" s="1">
        <v>8.0</v>
      </c>
      <c r="J4941" s="1" t="s">
        <v>86</v>
      </c>
      <c r="K4941" s="2" t="s">
        <v>13902</v>
      </c>
      <c r="L4941" s="2"/>
      <c r="M4941" s="2" t="str">
        <f>IFERROR(__xludf.DUMMYFUNCTION("split(split(K4941,""【"",false),""公式LINE"",false)"),"深瀬（藤原竜也）たちに告発文を送り、谷原（市原隼人）の転落事故にも関わっていた、広沢（小池徹平）の恋人は、美穂子（戸田恵梨香）だった。これまでの美穂子の行動はすべて広沢の復讐のためだったのかー俄かには信じられない深瀬は、美穂子を探すが、その姿は見つからない。一方、浅見（玉森裕太）、谷原は、それぞれが抱える問題に決着をつけようとしていた。しかし、村井（三浦貴大）にはまだ誰にも話せていない秘密がありー美穂子から本当のことを聞き出すためにも、10年前の真実が知りたい深瀬は、小笠原（武田鉄矢）と連絡を取る。事件の"&amp;"核心に迫りつつある小笠原は、あと少しで真相がわかるというが、そんな小笠原を狙う影が・・・。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小笠原俊雄・・・武田鉄矢湊かなえ「リバース」（講談社文庫刊）主題歌：シェネル「Destiny」（"&amp;"ユニバーサルミュージック）  音楽：横山克奥寺佐渡子演出：塚原あゆ子  プロデュース：新井順子◇番組HP  http://www.tbs.co.jp/reverse_tbs/    ◇公式twitter  @reverse_tbs    https://twitter.com/reverse_tbs  ◇公式Instagram  https://www.instagram.com/reverse_tbs/  番組の内容と放送時間は変更になる場合があります。")</f>
        <v>深瀬（藤原竜也）たちに告発文を送り、谷原（市原隼人）の転落事故にも関わっていた、広沢（小池徹平）の恋人は、美穂子（戸田恵梨香）だった。これまでの美穂子の行動はすべて広沢の復讐のためだったのかー俄かには信じられない深瀬は、美穂子を探すが、その姿は見つからない。一方、浅見（玉森裕太）、谷原は、それぞれが抱える問題に決着をつけようとしていた。しかし、村井（三浦貴大）にはまだ誰にも話せていない秘密がありー美穂子から本当のことを聞き出すためにも、10年前の真実が知りたい深瀬は、小笠原（武田鉄矢）と連絡を取る。事件の核心に迫りつつある小笠原は、あと少しで真相がわかるというが、そんな小笠原を狙う影が・・・。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音楽：横山克奥寺佐渡子演出：塚原あゆ子  プロデュース：新井順子◇番組HP  http://www.tbs.co.jp/reverse_tbs/    ◇公式twitter  @reverse_tbs    https://twitter.com/reverse_tbs  ◇公式Instagram  https://www.instagram.com/reverse_tbs/  番組の内容と放送時間は変更になる場合があります。</v>
      </c>
      <c r="N4941" s="2"/>
      <c r="O4941" s="2"/>
      <c r="P4941" s="1"/>
      <c r="Q4941" s="1"/>
      <c r="R4941" s="1"/>
      <c r="S4941" s="1"/>
      <c r="T4941" s="1"/>
      <c r="U4941" s="1"/>
      <c r="V4941" s="1"/>
      <c r="W4941" s="1"/>
      <c r="X4941" s="1"/>
      <c r="Y4941" s="1"/>
      <c r="Z4941" s="1"/>
      <c r="AA4941" s="1"/>
      <c r="AB4941" s="1"/>
      <c r="AC4941" s="1"/>
      <c r="AD4941" s="1"/>
      <c r="AE4941" s="1"/>
      <c r="AF4941" s="1"/>
      <c r="AG4941" s="1"/>
      <c r="AH4941" s="1"/>
      <c r="AI4941" s="1"/>
      <c r="AJ4941" s="1"/>
      <c r="AK4941" s="1"/>
      <c r="AL4941" s="1"/>
      <c r="AM4941" s="1"/>
      <c r="AN4941" s="1"/>
      <c r="AO4941" s="1"/>
      <c r="AP4941" s="1"/>
      <c r="AQ4941" s="1"/>
      <c r="AR4941" s="1"/>
      <c r="AS4941" s="1"/>
      <c r="AT4941" s="1"/>
      <c r="AU4941" s="1"/>
      <c r="AV4941" s="1"/>
      <c r="AW4941" s="1"/>
      <c r="AX4941" s="1"/>
      <c r="AY4941" s="1"/>
      <c r="AZ4941" s="1"/>
      <c r="BA4941" s="1"/>
      <c r="BB4941" s="1"/>
    </row>
    <row r="4942" ht="204.75" customHeight="1">
      <c r="A4942" s="1">
        <v>1262.0</v>
      </c>
      <c r="B4942" s="2" t="s">
        <v>13885</v>
      </c>
      <c r="C4942" s="2">
        <f>IFERROR(__xludf.DUMMYFUNCTION("split(B4942,""_"")"),1704.0)</f>
        <v>1704</v>
      </c>
      <c r="D4942" s="2" t="str">
        <f>IFERROR(__xludf.DUMMYFUNCTION("""COMPUTED_VALUE"""),"TBS")</f>
        <v>TBS</v>
      </c>
      <c r="E4942" s="2" t="str">
        <f>IFERROR(__xludf.DUMMYFUNCTION("""COMPUTED_VALUE"""),"金22")</f>
        <v>金22</v>
      </c>
      <c r="F4942" s="2" t="s">
        <v>13886</v>
      </c>
      <c r="G4942" s="2" t="s">
        <v>13903</v>
      </c>
      <c r="H4942" s="1">
        <v>9.0</v>
      </c>
      <c r="J4942" s="1" t="s">
        <v>86</v>
      </c>
      <c r="K4942" s="2" t="s">
        <v>13904</v>
      </c>
      <c r="L4942" s="2"/>
      <c r="M4942" s="2" t="str">
        <f>IFERROR(__xludf.DUMMYFUNCTION("split(split(K4942,""【"",false),""公式LINE"",false)"),"小笠原（武田鉄矢）が何者かに刺された。さらには、深瀬（藤原竜也）に、『10年前の事件を探るな』という脅迫メールが届く。告発犯・美穂子（戸田恵梨香）以外に、10年前の事件に関わる人物が、動いている？深瀬たちは、集まって話し合うが、目ぼしい情報は出ない。そんな中、村井（三浦貴大）だけが、浮かない顔をしていた。後日、深瀬は村井と二人きりで会う。すると村井は脅迫犯に心当たりがあるといい・・。美穂子が出頭したと聞き、焦る深瀬は警察に行く。美穂子と会って話し合おうとするが、取り合ってもらえない深瀬。その様子を浅見（玉"&amp;"森裕太）が見ていた。浅見はそのことを谷原（市原隼人）に打ち明け・・。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小笠原俊雄・・・武田鉄矢湊かなえ「リバース」（講談社文庫刊）主題歌：シェネル「Destiny」（ユニバーサルミュージッ"&amp;"ク）  音楽：横山克清水友佳子演出：山本剛義  プロデュース：新井順子◇番組HP  http://www.tbs.co.jp/reverse_tbs/    ◇公式twitter  @reverse_tbs    https://twitter.com/reverse_tbs  ◇公式Instagram  https://www.instagram.com/reverse_tbs/  番組の内容と放送時間は変更になる場合があります。")</f>
        <v>小笠原（武田鉄矢）が何者かに刺された。さらには、深瀬（藤原竜也）に、『10年前の事件を探るな』という脅迫メールが届く。告発犯・美穂子（戸田恵梨香）以外に、10年前の事件に関わる人物が、動いている？深瀬たちは、集まって話し合うが、目ぼしい情報は出ない。そんな中、村井（三浦貴大）だけが、浮かない顔をしていた。後日、深瀬は村井と二人きりで会う。すると村井は脅迫犯に心当たりがあるといい・・。美穂子が出頭したと聞き、焦る深瀬は警察に行く。美穂子と会って話し合おうとするが、取り合ってもらえない深瀬。その様子を浅見（玉森裕太）が見ていた。浅見はそのことを谷原（市原隼人）に打ち明け・・。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音楽：横山克清水友佳子演出：山本剛義  プロデュース：新井順子◇番組HP  http://www.tbs.co.jp/reverse_tbs/    ◇公式twitter  @reverse_tbs    https://twitter.com/reverse_tbs  ◇公式Instagram  https://www.instagram.com/reverse_tbs/  番組の内容と放送時間は変更になる場合があります。</v>
      </c>
      <c r="N4942" s="2"/>
      <c r="O4942" s="2"/>
      <c r="P4942" s="1"/>
      <c r="Q4942" s="1"/>
      <c r="R4942" s="1"/>
      <c r="S4942" s="1"/>
      <c r="T4942" s="1"/>
      <c r="U4942" s="1"/>
      <c r="V4942" s="1"/>
      <c r="W4942" s="1"/>
      <c r="X4942" s="1"/>
      <c r="Y4942" s="1"/>
      <c r="Z4942" s="1"/>
      <c r="AA4942" s="1"/>
      <c r="AB4942" s="1"/>
      <c r="AC4942" s="1"/>
      <c r="AD4942" s="1"/>
      <c r="AE4942" s="1"/>
      <c r="AF4942" s="1"/>
      <c r="AG4942" s="1"/>
      <c r="AH4942" s="1"/>
      <c r="AI4942" s="1"/>
      <c r="AJ4942" s="1"/>
      <c r="AK4942" s="1"/>
      <c r="AL4942" s="1"/>
      <c r="AM4942" s="1"/>
      <c r="AN4942" s="1"/>
      <c r="AO4942" s="1"/>
      <c r="AP4942" s="1"/>
      <c r="AQ4942" s="1"/>
      <c r="AR4942" s="1"/>
      <c r="AS4942" s="1"/>
      <c r="AT4942" s="1"/>
      <c r="AU4942" s="1"/>
      <c r="AV4942" s="1"/>
      <c r="AW4942" s="1"/>
      <c r="AX4942" s="1"/>
      <c r="AY4942" s="1"/>
      <c r="AZ4942" s="1"/>
      <c r="BA4942" s="1"/>
      <c r="BB4942" s="1"/>
    </row>
    <row r="4943" ht="204.75" customHeight="1">
      <c r="A4943" s="1">
        <v>1263.0</v>
      </c>
      <c r="B4943" s="2" t="s">
        <v>13885</v>
      </c>
      <c r="C4943" s="2">
        <f>IFERROR(__xludf.DUMMYFUNCTION("split(B4943,""_"")"),1704.0)</f>
        <v>1704</v>
      </c>
      <c r="D4943" s="2" t="str">
        <f>IFERROR(__xludf.DUMMYFUNCTION("""COMPUTED_VALUE"""),"TBS")</f>
        <v>TBS</v>
      </c>
      <c r="E4943" s="2" t="str">
        <f>IFERROR(__xludf.DUMMYFUNCTION("""COMPUTED_VALUE"""),"金22")</f>
        <v>金22</v>
      </c>
      <c r="F4943" s="2" t="s">
        <v>13886</v>
      </c>
      <c r="G4943" s="2" t="s">
        <v>13905</v>
      </c>
      <c r="H4943" s="1">
        <v>10.0</v>
      </c>
      <c r="J4943" s="1" t="s">
        <v>86</v>
      </c>
      <c r="K4943" s="2" t="s">
        <v>13906</v>
      </c>
      <c r="L4943" s="2"/>
      <c r="M4943" s="2" t="str">
        <f>IFERROR(__xludf.DUMMYFUNCTION("split(split(K4943,""【"",false),""公式LINE"",false)"),"10年前、広沢（小池徹平）が死んだのは、飲酒運転の事故ではなく、深瀬がコーヒーに入れた蕎麦はちみつのアレルギー症状だった・・・。そのことに気が付いた深瀬（藤原竜也）は強いショックを受ける。数日後、深瀬を按じた美穂子（戸田恵梨香）は深瀬のアパートを訪ねるが、そこで会ったのは谷原（市原隼人）だった。美穂子は、告発文を送った浅見康介（玉森裕太）、谷原、村井（三浦貴大）と集まり、改めて謝罪をするが…。広沢の死に疑問を持っていた小笠原（武田鉄矢）は、蕎麦アレルギーとは別の要因で広沢が死んだ手がかりを掴む。そのことを"&amp;"伝えるために、深瀬のアパートに向かった小笠原が見たのは、あまりにも凄惨な状況でー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小笠原俊雄・・・武田鉄矢湊かなえ「リバース」（講談社文庫刊）番組終了後にプレゼント告知あり主題歌：シェネル"&amp;"「Destiny」（ユニバーサルミュージック）  音楽：横山克奥寺佐渡子演出：塚原あゆ子  プロデュース：新井順子◇番組HP  http://www.tbs.co.jp/reverse_tbs/    ◇公式twitter  @reverse_tbs    https://twitter.com/reverse_tbs  ◇公式Instagram  https://www.instagram.com/reverse_tbs/  番組の内容と放送時間は変更になる場合があります。")</f>
        <v>10年前、広沢（小池徹平）が死んだのは、飲酒運転の事故ではなく、深瀬がコーヒーに入れた蕎麦はちみつのアレルギー症状だった・・・。そのことに気が付いた深瀬（藤原竜也）は強いショックを受ける。数日後、深瀬を按じた美穂子（戸田恵梨香）は深瀬のアパートを訪ねるが、そこで会ったのは谷原（市原隼人）だった。美穂子は、告発文を送った浅見康介（玉森裕太）、谷原、村井（三浦貴大）と集まり、改めて謝罪をするが…。広沢の死に疑問を持っていた小笠原（武田鉄矢）は、蕎麦アレルギーとは別の要因で広沢が死んだ手がかりを掴む。そのことを伝えるために、深瀬のアパートに向かった小笠原が見たのは、あまりにも凄惨な状況でー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小笠原俊雄・・・武田鉄矢湊かなえ「リバース」（講談社文庫刊）番組終了後にプレゼント告知あり主題歌：シェネル「Destiny」（ユニバーサルミュージック）  音楽：横山克奥寺佐渡子演出：塚原あゆ子  プロデュース：新井順子◇番組HP  http://www.tbs.co.jp/reverse_tbs/    ◇公式twitter  @reverse_tbs    https://twitter.com/reverse_tbs  ◇公式Instagram  https://www.instagram.com/reverse_tbs/  番組の内容と放送時間は変更になる場合があります。</v>
      </c>
      <c r="N4943" s="2"/>
      <c r="O4943" s="2"/>
      <c r="P4943" s="1"/>
      <c r="Q4943" s="1"/>
      <c r="R4943" s="1"/>
      <c r="S4943" s="1"/>
      <c r="T4943" s="1"/>
      <c r="U4943" s="1"/>
      <c r="V4943" s="1"/>
      <c r="W4943" s="1"/>
      <c r="X4943" s="1"/>
      <c r="Y4943" s="1"/>
      <c r="Z4943" s="1"/>
      <c r="AA4943" s="1"/>
      <c r="AB4943" s="1"/>
      <c r="AC4943" s="1"/>
      <c r="AD4943" s="1"/>
      <c r="AE4943" s="1"/>
      <c r="AF4943" s="1"/>
      <c r="AG4943" s="1"/>
      <c r="AH4943" s="1"/>
      <c r="AI4943" s="1"/>
      <c r="AJ4943" s="1"/>
      <c r="AK4943" s="1"/>
      <c r="AL4943" s="1"/>
      <c r="AM4943" s="1"/>
      <c r="AN4943" s="1"/>
      <c r="AO4943" s="1"/>
      <c r="AP4943" s="1"/>
      <c r="AQ4943" s="1"/>
      <c r="AR4943" s="1"/>
      <c r="AS4943" s="1"/>
      <c r="AT4943" s="1"/>
      <c r="AU4943" s="1"/>
      <c r="AV4943" s="1"/>
      <c r="AW4943" s="1"/>
      <c r="AX4943" s="1"/>
      <c r="AY4943" s="1"/>
      <c r="AZ4943" s="1"/>
      <c r="BA4943" s="1"/>
      <c r="BB4943" s="1"/>
    </row>
    <row r="4944" ht="204.75" customHeight="1">
      <c r="A4944" s="1">
        <v>1282.0</v>
      </c>
      <c r="B4944" s="2" t="s">
        <v>13907</v>
      </c>
      <c r="C4944" s="2">
        <f>IFERROR(__xludf.DUMMYFUNCTION("split(B4944,""_"")"),1704.0)</f>
        <v>1704</v>
      </c>
      <c r="D4944" s="2" t="str">
        <f>IFERROR(__xludf.DUMMYFUNCTION("""COMPUTED_VALUE"""),"TBS")</f>
        <v>TBS</v>
      </c>
      <c r="E4944" s="2" t="str">
        <f>IFERROR(__xludf.DUMMYFUNCTION("""COMPUTED_VALUE"""),"日21")</f>
        <v>日21</v>
      </c>
      <c r="F4944" s="2" t="s">
        <v>13908</v>
      </c>
      <c r="G4944" s="2" t="s">
        <v>13909</v>
      </c>
      <c r="H4944" s="1">
        <v>1.0</v>
      </c>
      <c r="J4944" s="1" t="s">
        <v>4</v>
      </c>
      <c r="K4944" s="2" t="s">
        <v>13910</v>
      </c>
      <c r="L4944" s="2"/>
      <c r="M4944" s="2" t="str">
        <f>IFERROR(__xludf.DUMMYFUNCTION("split(split(K4944,""【"",false),""公式LINE"",false)"),"捜査一課の刑事・香坂真一郎（長谷川博己）は、数々の事件を解決に導き、辣腕をふるうエリート刑事。その実力は“未来の捜査一課長間違いなし”と周囲も認めるほどで、出世街道まっしぐらだった。しかし、ある取り調べでの些細なミスをきっかけに香坂の警察人生は一変。信頼していた上司の証言により、左遷されてしまう！香坂はどん底の所轄刑事へと成り下がる。信じられるのは己だけ－－香坂の戦いの火蓋が今、切られる！香坂 真一郎 … 長谷川 博己  山田 春彦 … 岡田 将生  三島 祐里 … 芳根 京子  渡部 久志 … 安田 顕"&amp;"  藤倉 良一 … 駿河 太郎  柳沢 肇 … 手塚 とおる  片山 昭三 … 神尾 佑  中村 俊哉 … 竜星 涼  ・  三笠 洋平 … 春風亭 昇太小野田 義信 … 香川 照之    杉本 学 … 池田 鉄洋  中田 隆一 … 加藤 晴彦  謎の女 … 佐々木 希  中田 和正 … 桂 文枝香坂 美沙 … 市川実日子  香坂 敦史 … 木場 勝己  東山 智之 … 加治 将樹  石倉 慎之介 … 丸 一太  神尾 梢 … 夏緒風見 康夫 … 長江 英和  風見 京子 … 富永 沙織  佐川 勇人 …"&amp;" 好井 まさお『ノンフィクション』平井堅  （アリオラジャパン）脚本：丑尾健太郎  脚本協力：八津弘幸  音楽：木村秀彬◇番組HP http://www.tbs.co.jp/chiisanakyojin_tbs/  ◇twitter  @chiikyo_tbs  https://twitter.com/chiikyo_tbs◇facebook  https://www.facebook.com/chiisanakyojin.tbs番組の内容と放送時間は変更になる場合があります。")</f>
        <v>捜査一課の刑事・香坂真一郎（長谷川博己）は、数々の事件を解決に導き、辣腕をふるうエリート刑事。その実力は“未来の捜査一課長間違いなし”と周囲も認めるほどで、出世街道まっしぐらだった。しかし、ある取り調べでの些細なミスをきっかけに香坂の警察人生は一変。信頼していた上司の証言により、左遷されてしまう！香坂はどん底の所轄刑事へと成り下がる。信じられるのは己だけ－－香坂の戦いの火蓋が今、切られる！香坂 真一郎 … 長谷川 博己  山田 春彦 … 岡田 将生  三島 祐里 … 芳根 京子  渡部 久志 … 安田 顕  藤倉 良一 … 駿河 太郎  柳沢 肇 … 手塚 とおる  片山 昭三 … 神尾 佑  中村 俊哉 … 竜星 涼  ・  三笠 洋平 … 春風亭 昇太小野田 義信 … 香川 照之    杉本 学 … 池田 鉄洋  中田 隆一 … 加藤 晴彦  謎の女 … 佐々木 希  中田 和正 … 桂 文枝香坂 美沙 … 市川実日子  香坂 敦史 … 木場 勝己  東山 智之 … 加治 将樹  石倉 慎之介 … 丸 一太  神尾 梢 … 夏緒風見 康夫 … 長江 英和  風見 京子 … 富永 沙織  佐川 勇人 … 好井 まさお『ノンフィクション』平井堅  （アリオラジャパン）脚本：丑尾健太郎  脚本協力：八津弘幸  音楽：木村秀彬◇番組HP http://www.tbs.co.jp/chiisanakyojin_tbs/  ◇twitter  @chiikyo_tbs  https://twitter.com/chiikyo_tbs◇facebook  https://www.facebook.com/chiisanakyojin.tbs番組の内容と放送時間は変更になる場合があります。</v>
      </c>
      <c r="N4944" s="2"/>
      <c r="O4944" s="2"/>
      <c r="P4944" s="1"/>
      <c r="Q4944" s="1"/>
      <c r="R4944" s="1"/>
      <c r="S4944" s="1"/>
      <c r="T4944" s="1"/>
      <c r="U4944" s="1"/>
      <c r="V4944" s="1"/>
      <c r="W4944" s="1"/>
      <c r="X4944" s="1"/>
      <c r="Y4944" s="1"/>
      <c r="Z4944" s="1"/>
      <c r="AA4944" s="1"/>
      <c r="AB4944" s="1"/>
      <c r="AC4944" s="1"/>
      <c r="AD4944" s="1"/>
      <c r="AE4944" s="1"/>
      <c r="AF4944" s="1"/>
      <c r="AG4944" s="1"/>
      <c r="AH4944" s="1"/>
      <c r="AI4944" s="1"/>
      <c r="AJ4944" s="1"/>
      <c r="AK4944" s="1"/>
      <c r="AL4944" s="1"/>
      <c r="AM4944" s="1"/>
      <c r="AN4944" s="1"/>
      <c r="AO4944" s="1"/>
      <c r="AP4944" s="1"/>
      <c r="AQ4944" s="1"/>
      <c r="AR4944" s="1"/>
      <c r="AS4944" s="1"/>
      <c r="AT4944" s="1"/>
      <c r="AU4944" s="1"/>
      <c r="AV4944" s="1"/>
      <c r="AW4944" s="1"/>
      <c r="AX4944" s="1"/>
      <c r="AY4944" s="1"/>
      <c r="AZ4944" s="1"/>
      <c r="BA4944" s="1"/>
      <c r="BB4944" s="1"/>
    </row>
    <row r="4945" ht="204.75" customHeight="1">
      <c r="A4945" s="1">
        <v>1283.0</v>
      </c>
      <c r="B4945" s="2" t="s">
        <v>13907</v>
      </c>
      <c r="C4945" s="2">
        <f>IFERROR(__xludf.DUMMYFUNCTION("split(B4945,""_"")"),1704.0)</f>
        <v>1704</v>
      </c>
      <c r="D4945" s="2" t="str">
        <f>IFERROR(__xludf.DUMMYFUNCTION("""COMPUTED_VALUE"""),"TBS")</f>
        <v>TBS</v>
      </c>
      <c r="E4945" s="2" t="str">
        <f>IFERROR(__xludf.DUMMYFUNCTION("""COMPUTED_VALUE"""),"日21")</f>
        <v>日21</v>
      </c>
      <c r="F4945" s="2" t="s">
        <v>13908</v>
      </c>
      <c r="G4945" s="2" t="s">
        <v>13911</v>
      </c>
      <c r="H4945" s="1">
        <v>2.0</v>
      </c>
      <c r="J4945" s="1" t="s">
        <v>4</v>
      </c>
      <c r="K4945" s="2" t="s">
        <v>13912</v>
      </c>
      <c r="L4945" s="2"/>
      <c r="M4945" s="2" t="str">
        <f>IFERROR(__xludf.DUMMYFUNCTION("split(split(K4945,""【"",false),""公式LINE"",false)"),"香坂（長谷川博己）は、捜査一課長・小野田（香川照之）を相手に、所轄刑事として戦うと宣戦布告。諦めずに誘拐事件の裏に隠された事実に迫ろうとする。すると、ナカタエレクトロニクスの社員・池沢（吉田羊）の存在に辿りつく。身構える池沢に対し、粘り強く話しを聞きだすが、事件は思わぬ人物のつながりへと発展し…。更に、ある切り札を使わせるべく、お目付け役で一課の山田（岡田将生）にも頭を下げる香坂だったが…。香坂 真一郎 … 長谷川 博己  山田 春彦 … 岡田 将生  三島 祐里 … 芳根 京子  渡部 久志 … 安田 "&amp;"顕  藤倉 良一 … 駿河 太郎  柳沢 肇 … 手塚 とおる  中村 俊哉 … 竜星 涼  ・  三笠 洋平 … 春風亭 昇太  小野田 義信 … 香川 照之  池沢　菜穂 … 吉田羊  五十嵐　仁 … 堀尾正明  杉本 学 … 池田 鉄洋  中田 隆一 … 加藤 晴彦  謎の女 … 佐々木 希中田 和正 … 桂 文枝  香坂 美沙  … 市川実日子  香坂 敦史 … 木場 勝己  東山 智之 … 加治 将樹  石倉 慎之介 … 丸 一太神尾 梢 … 夏緒『ノンフィクション』平井堅  （アリオラジャパン"&amp;"）脚本：丑尾健太郎  脚本協力：八津弘幸  音楽：木村秀彬◇番組HP http://www.tbs.co.jp/chiisanakyojin_tbs/  ◇twitter  @chiikyo_tbs  https://twitter.com/chiikyo_tbs◇facebook  https://www.facebook.com/chiisanakyojin.tbsボクシングW世界タイトルマッチ　井岡一翔×ノクノイ・タパレス×大森将平の試合状況により、放送時間が変更になる可能性がございます。")</f>
        <v>香坂（長谷川博己）は、捜査一課長・小野田（香川照之）を相手に、所轄刑事として戦うと宣戦布告。諦めずに誘拐事件の裏に隠された事実に迫ろうとする。すると、ナカタエレクトロニクスの社員・池沢（吉田羊）の存在に辿りつく。身構える池沢に対し、粘り強く話しを聞きだすが、事件は思わぬ人物のつながりへと発展し…。更に、ある切り札を使わせるべく、お目付け役で一課の山田（岡田将生）にも頭を下げる香坂だったが…。香坂 真一郎 … 長谷川 博己  山田 春彦 … 岡田 将生  三島 祐里 … 芳根 京子  渡部 久志 … 安田 顕  藤倉 良一 … 駿河 太郎  柳沢 肇 … 手塚 とおる  中村 俊哉 … 竜星 涼  ・  三笠 洋平 … 春風亭 昇太  小野田 義信 … 香川 照之  池沢　菜穂 … 吉田羊  五十嵐　仁 … 堀尾正明  杉本 学 … 池田 鉄洋  中田 隆一 … 加藤 晴彦  謎の女 … 佐々木 希中田 和正 … 桂 文枝  香坂 美沙  … 市川実日子  香坂 敦史 … 木場 勝己  東山 智之 … 加治 将樹  石倉 慎之介 … 丸 一太神尾 梢 … 夏緒『ノンフィクション』平井堅  （アリオラジャパン）脚本：丑尾健太郎  脚本協力：八津弘幸  音楽：木村秀彬◇番組HP http://www.tbs.co.jp/chiisanakyojin_tbs/  ◇twitter  @chiikyo_tbs  https://twitter.com/chiikyo_tbs◇facebook  https://www.facebook.com/chiisanakyojin.tbsボクシングW世界タイトルマッチ　井岡一翔×ノクノイ・タパレス×大森将平の試合状況により、放送時間が変更になる可能性がございます。</v>
      </c>
      <c r="N4945" s="2"/>
      <c r="O4945" s="2"/>
      <c r="P4945" s="1"/>
      <c r="Q4945" s="1"/>
      <c r="R4945" s="1"/>
      <c r="S4945" s="1"/>
      <c r="T4945" s="1"/>
      <c r="U4945" s="1"/>
      <c r="V4945" s="1"/>
      <c r="W4945" s="1"/>
      <c r="X4945" s="1"/>
      <c r="Y4945" s="1"/>
      <c r="Z4945" s="1"/>
      <c r="AA4945" s="1"/>
      <c r="AB4945" s="1"/>
      <c r="AC4945" s="1"/>
      <c r="AD4945" s="1"/>
      <c r="AE4945" s="1"/>
      <c r="AF4945" s="1"/>
      <c r="AG4945" s="1"/>
      <c r="AH4945" s="1"/>
      <c r="AI4945" s="1"/>
      <c r="AJ4945" s="1"/>
      <c r="AK4945" s="1"/>
      <c r="AL4945" s="1"/>
      <c r="AM4945" s="1"/>
      <c r="AN4945" s="1"/>
      <c r="AO4945" s="1"/>
      <c r="AP4945" s="1"/>
      <c r="AQ4945" s="1"/>
      <c r="AR4945" s="1"/>
      <c r="AS4945" s="1"/>
      <c r="AT4945" s="1"/>
      <c r="AU4945" s="1"/>
      <c r="AV4945" s="1"/>
      <c r="AW4945" s="1"/>
      <c r="AX4945" s="1"/>
      <c r="AY4945" s="1"/>
      <c r="AZ4945" s="1"/>
      <c r="BA4945" s="1"/>
      <c r="BB4945" s="1"/>
    </row>
    <row r="4946" ht="204.75" customHeight="1">
      <c r="A4946" s="1">
        <v>1284.0</v>
      </c>
      <c r="B4946" s="2" t="s">
        <v>13907</v>
      </c>
      <c r="C4946" s="2">
        <f>IFERROR(__xludf.DUMMYFUNCTION("split(B4946,""_"")"),1704.0)</f>
        <v>1704</v>
      </c>
      <c r="D4946" s="2" t="str">
        <f>IFERROR(__xludf.DUMMYFUNCTION("""COMPUTED_VALUE"""),"TBS")</f>
        <v>TBS</v>
      </c>
      <c r="E4946" s="2" t="str">
        <f>IFERROR(__xludf.DUMMYFUNCTION("""COMPUTED_VALUE"""),"日21")</f>
        <v>日21</v>
      </c>
      <c r="F4946" s="2" t="s">
        <v>13908</v>
      </c>
      <c r="G4946" s="2" t="s">
        <v>13913</v>
      </c>
      <c r="H4946" s="1">
        <v>3.0</v>
      </c>
      <c r="J4946" s="1" t="s">
        <v>11</v>
      </c>
      <c r="K4946" s="2" t="s">
        <v>13914</v>
      </c>
      <c r="L4946" s="2"/>
      <c r="M4946" s="2" t="str">
        <f>IFERROR(__xludf.DUMMYFUNCTION("split(split(K4946,""【"",false),""公式LINE"",false)"),"池沢（吉田羊）に飛び降り事件の供述を覆され、真相究明に奔走する警察。小野田（香川照之）の号令の元、所轄と捜査一課の合同捜査本部が立ち上がるが、それは名ばかりのもので…。容疑者として最有力の中田隆一（加藤晴彦）のアリバイを崩すべく、とある女（佐々木希）の元を訪ねる香坂（長谷川博己）と山田（岡田将生）。だが、一歩遅く…！情報が錯綜する中、香坂はある疑念を抱く。裏切り者が所轄内部にいるのではないか？香坂 真一郎 … 長谷川 博己　  山田 春彦 … 岡田 将生　  三島 祐里 … 芳根 京子　  渡部 久志 …"&amp;" 安田 顕　  藤倉 良一 … 駿河 太郎　  柳沢 肇 … 手塚 とおる　  片山 昭三 … 神尾 佑　  中村 俊哉 … 竜星 涼　  ・　  三笠 洋平 … 春風亭 昇太　小野田 義信 … 香川 照之　    杉本 学 … 池田 鉄洋　  中田 隆一 … 加藤 晴彦　  謎の女 … 佐々木 希　  中田 和正 … 桂 文枝香坂 美沙 … 市川実日子　  東山 智之 … 加治 将樹　  石倉 慎之介 … 丸 一太　  神尾 梢 … 夏緒　『ノンフィクション』平井堅  （アリオラジャパン）脚本：丑尾健太"&amp;"郎  脚本協力：八津弘幸  音楽：木村秀彬◇番組HP http://www.tbs.co.jp/chiisanakyojin_tbs/  ◇twitter  @chiikyo_tbs  https://twitter.com/chiikyo_tbs◇facebook  https://www.facebook.com/chiisanakyojin.tbs番組の内容と放送時間は変更になる場合があります。")</f>
        <v>池沢（吉田羊）に飛び降り事件の供述を覆され、真相究明に奔走する警察。小野田（香川照之）の号令の元、所轄と捜査一課の合同捜査本部が立ち上がるが、それは名ばかりのもので…。容疑者として最有力の中田隆一（加藤晴彦）のアリバイを崩すべく、とある女（佐々木希）の元を訪ねる香坂（長谷川博己）と山田（岡田将生）。だが、一歩遅く…！情報が錯綜する中、香坂はある疑念を抱く。裏切り者が所轄内部にいるのではないか？香坂 真一郎 … 長谷川 博己　  山田 春彦 … 岡田 将生　  三島 祐里 … 芳根 京子　  渡部 久志 … 安田 顕　  藤倉 良一 … 駿河 太郎　  柳沢 肇 … 手塚 とおる　  片山 昭三 … 神尾 佑　  中村 俊哉 … 竜星 涼　  ・　  三笠 洋平 … 春風亭 昇太　小野田 義信 … 香川 照之　    杉本 学 … 池田 鉄洋　  中田 隆一 … 加藤 晴彦　  謎の女 … 佐々木 希　  中田 和正 … 桂 文枝香坂 美沙 … 市川実日子　  東山 智之 … 加治 将樹　  石倉 慎之介 … 丸 一太　  神尾 梢 … 夏緒　『ノンフィクション』平井堅  （アリオラジャパン）脚本：丑尾健太郎  脚本協力：八津弘幸  音楽：木村秀彬◇番組HP http://www.tbs.co.jp/chiisanakyojin_tbs/  ◇twitter  @chiikyo_tbs  https://twitter.com/chiikyo_tbs◇facebook  https://www.facebook.com/chiisanakyojin.tbs番組の内容と放送時間は変更になる場合があります。</v>
      </c>
      <c r="N4946" s="2"/>
      <c r="O4946" s="2"/>
      <c r="P4946" s="1"/>
      <c r="Q4946" s="1"/>
      <c r="R4946" s="1"/>
      <c r="S4946" s="1"/>
      <c r="T4946" s="1"/>
      <c r="U4946" s="1"/>
      <c r="V4946" s="1"/>
      <c r="W4946" s="1"/>
      <c r="X4946" s="1"/>
      <c r="Y4946" s="1"/>
      <c r="Z4946" s="1"/>
      <c r="AA4946" s="1"/>
      <c r="AB4946" s="1"/>
      <c r="AC4946" s="1"/>
      <c r="AD4946" s="1"/>
      <c r="AE4946" s="1"/>
      <c r="AF4946" s="1"/>
      <c r="AG4946" s="1"/>
      <c r="AH4946" s="1"/>
      <c r="AI4946" s="1"/>
      <c r="AJ4946" s="1"/>
      <c r="AK4946" s="1"/>
      <c r="AL4946" s="1"/>
      <c r="AM4946" s="1"/>
      <c r="AN4946" s="1"/>
      <c r="AO4946" s="1"/>
      <c r="AP4946" s="1"/>
      <c r="AQ4946" s="1"/>
      <c r="AR4946" s="1"/>
      <c r="AS4946" s="1"/>
      <c r="AT4946" s="1"/>
      <c r="AU4946" s="1"/>
      <c r="AV4946" s="1"/>
      <c r="AW4946" s="1"/>
      <c r="AX4946" s="1"/>
      <c r="AY4946" s="1"/>
      <c r="AZ4946" s="1"/>
      <c r="BA4946" s="1"/>
      <c r="BB4946" s="1"/>
    </row>
    <row r="4947" ht="204.75" customHeight="1">
      <c r="A4947" s="1">
        <v>1285.0</v>
      </c>
      <c r="B4947" s="2" t="s">
        <v>13907</v>
      </c>
      <c r="C4947" s="2">
        <f>IFERROR(__xludf.DUMMYFUNCTION("split(B4947,""_"")"),1704.0)</f>
        <v>1704</v>
      </c>
      <c r="D4947" s="2" t="str">
        <f>IFERROR(__xludf.DUMMYFUNCTION("""COMPUTED_VALUE"""),"TBS")</f>
        <v>TBS</v>
      </c>
      <c r="E4947" s="2" t="str">
        <f>IFERROR(__xludf.DUMMYFUNCTION("""COMPUTED_VALUE"""),"日21")</f>
        <v>日21</v>
      </c>
      <c r="F4947" s="2" t="s">
        <v>13908</v>
      </c>
      <c r="G4947" s="2" t="s">
        <v>13915</v>
      </c>
      <c r="H4947" s="1">
        <v>4.0</v>
      </c>
      <c r="J4947" s="1" t="s">
        <v>11</v>
      </c>
      <c r="K4947" s="2" t="s">
        <v>13916</v>
      </c>
      <c r="L4947" s="2"/>
      <c r="M4947" s="2" t="str">
        <f>IFERROR(__xludf.DUMMYFUNCTION("split(split(K4947,""【"",false),""公式LINE"",false)"),"犯人側に捜査情報が漏れており、隆一（加藤晴彦）のアリバイの証人・アリサ（佐々木希）は姿を消していた。警察内部に隆一とつながっている内通者がいるのではないかと疑う香坂（長谷川博己）と山田（岡田将生）。その裏切り者は、あの捜査一課長・小野田？！以前から交流のあった隆一の父・中田和正（桂文枝）が小野田との接触を図るはずだと踏んだ香坂は、二人が密会する決定的な場に乗り込み、遂に直接対決することに…？！香坂 真一郎 … 長谷川 博己  山田 春彦 … 岡田 将生  三島 祐里 … 芳根 京子  渡部 久志 … 安田"&amp;" 顕  藤倉 良一 … 駿河 太郎  柳沢 肇 … 手塚 とおる  片山 昭三 … 神尾 佑  中村 俊哉 … 竜星 涼  ・  三笠 洋平 … 春風亭 昇太小野田 義信 … 香川 照之    中田 隆一 … 加藤 晴彦  謎の女 … 佐々木 希  中田 和正 … 桂 文枝香坂 美沙 … 市川実日子  東山 智之 … 加治 将樹  石倉 慎之介 … 丸 一太  神尾 梢 … 夏緒風見 康夫 … 長江 英和  風見 京子 … 富永 沙織  佐川 勇人 … 好井 まさお『ノンフィクション』平井堅  （アリオラ"&amp;"ジャパン）脚本：丑尾健太郎、成瀬活雄  脚本協力：八津弘幸  音楽：木村秀彬◇番組HP http://www.tbs.co.jp/chiisanakyojin_tbs/  ◇twitter  @chiikyo_tbs  https://twitter.com/chiikyo_tbs◇facebook  https://www.facebook.com/chiisanakyojin.tbs番組の内容と放送時間は変更になる場合があります。")</f>
        <v>犯人側に捜査情報が漏れており、隆一（加藤晴彦）のアリバイの証人・アリサ（佐々木希）は姿を消していた。警察内部に隆一とつながっている内通者がいるのではないかと疑う香坂（長谷川博己）と山田（岡田将生）。その裏切り者は、あの捜査一課長・小野田？！以前から交流のあった隆一の父・中田和正（桂文枝）が小野田との接触を図るはずだと踏んだ香坂は、二人が密会する決定的な場に乗り込み、遂に直接対決することに…？！香坂 真一郎 … 長谷川 博己  山田 春彦 … 岡田 将生  三島 祐里 … 芳根 京子  渡部 久志 … 安田 顕  藤倉 良一 … 駿河 太郎  柳沢 肇 … 手塚 とおる  片山 昭三 … 神尾 佑  中村 俊哉 … 竜星 涼  ・  三笠 洋平 … 春風亭 昇太小野田 義信 … 香川 照之    中田 隆一 … 加藤 晴彦  謎の女 … 佐々木 希  中田 和正 … 桂 文枝香坂 美沙 … 市川実日子  東山 智之 … 加治 将樹  石倉 慎之介 … 丸 一太  神尾 梢 … 夏緒風見 康夫 … 長江 英和  風見 京子 … 富永 沙織  佐川 勇人 … 好井 まさお『ノンフィクション』平井堅  （アリオラジャパン）脚本：丑尾健太郎、成瀬活雄  脚本協力：八津弘幸  音楽：木村秀彬◇番組HP http://www.tbs.co.jp/chiisanakyojin_tbs/  ◇twitter  @chiikyo_tbs  https://twitter.com/chiikyo_tbs◇facebook  https://www.facebook.com/chiisanakyojin.tbs番組の内容と放送時間は変更になる場合があります。</v>
      </c>
      <c r="N4947" s="2"/>
      <c r="O4947" s="2"/>
      <c r="P4947" s="1"/>
      <c r="Q4947" s="1"/>
      <c r="R4947" s="1"/>
      <c r="S4947" s="1"/>
      <c r="T4947" s="1"/>
      <c r="U4947" s="1"/>
      <c r="V4947" s="1"/>
      <c r="W4947" s="1"/>
      <c r="X4947" s="1"/>
      <c r="Y4947" s="1"/>
      <c r="Z4947" s="1"/>
      <c r="AA4947" s="1"/>
      <c r="AB4947" s="1"/>
      <c r="AC4947" s="1"/>
      <c r="AD4947" s="1"/>
      <c r="AE4947" s="1"/>
      <c r="AF4947" s="1"/>
      <c r="AG4947" s="1"/>
      <c r="AH4947" s="1"/>
      <c r="AI4947" s="1"/>
      <c r="AJ4947" s="1"/>
      <c r="AK4947" s="1"/>
      <c r="AL4947" s="1"/>
      <c r="AM4947" s="1"/>
      <c r="AN4947" s="1"/>
      <c r="AO4947" s="1"/>
      <c r="AP4947" s="1"/>
      <c r="AQ4947" s="1"/>
      <c r="AR4947" s="1"/>
      <c r="AS4947" s="1"/>
      <c r="AT4947" s="1"/>
      <c r="AU4947" s="1"/>
      <c r="AV4947" s="1"/>
      <c r="AW4947" s="1"/>
      <c r="AX4947" s="1"/>
      <c r="AY4947" s="1"/>
      <c r="AZ4947" s="1"/>
      <c r="BA4947" s="1"/>
      <c r="BB4947" s="1"/>
    </row>
    <row r="4948" ht="204.75" customHeight="1">
      <c r="A4948" s="1">
        <v>1286.0</v>
      </c>
      <c r="B4948" s="2" t="s">
        <v>13907</v>
      </c>
      <c r="C4948" s="2">
        <f>IFERROR(__xludf.DUMMYFUNCTION("split(B4948,""_"")"),1704.0)</f>
        <v>1704</v>
      </c>
      <c r="D4948" s="2" t="str">
        <f>IFERROR(__xludf.DUMMYFUNCTION("""COMPUTED_VALUE"""),"TBS")</f>
        <v>TBS</v>
      </c>
      <c r="E4948" s="2" t="str">
        <f>IFERROR(__xludf.DUMMYFUNCTION("""COMPUTED_VALUE"""),"日21")</f>
        <v>日21</v>
      </c>
      <c r="F4948" s="2" t="s">
        <v>13908</v>
      </c>
      <c r="G4948" s="2" t="s">
        <v>13917</v>
      </c>
      <c r="H4948" s="1">
        <v>5.0</v>
      </c>
      <c r="J4948" s="1" t="s">
        <v>11</v>
      </c>
      <c r="K4948" s="2" t="s">
        <v>13918</v>
      </c>
      <c r="L4948" s="2"/>
      <c r="M4948" s="2" t="str">
        <f>IFERROR(__xludf.DUMMYFUNCTION("split(split(K4948,""【"",false),""公式LINE"",false)"),"裏切り上司はなんと香坂（長谷川博己）の恩師・三笠署長（春風亭昇太）だった！真犯人をかばい、犯罪に加担しながらも三笠が100％クロだと言える、あと一歩の証拠を押さえらない所轄刑事ら。そこで、100％の証拠を見つけるべく、三笠が不在の隙を狙って「奇襲」をかけることに！だが、元捜査一課長の三笠のガードは堅く、目的の証拠に辿り着けない香坂たち。一方、三笠は自分が捕まらない為のある手を打っており…香坂 真一郎 … 長谷川 博己  山田 春彦 … 岡田 将生  三島 祐里 … 芳根 京子  渡部 久志 … 安田 顕 "&amp;" 藤倉 良一 … 駿河 太郎  柳沢 肇 … 手塚 とおる  片山 昭三 … 神尾 佑  中村 俊哉 … 竜星 涼  ・  三笠 洋平 … 春風亭 昇太小野田 義信 … 香川 照之    池沢菜穂 … 吉田羊  中田 隆一 … 加藤 晴彦  謎の女  … 佐々木 希  警務係 … 児嶋一哉（アンジャッシュ）五十嵐仁 … 堀尾正明  中田 和正 … 桂 文枝    香坂 美沙 … 市川実日子  東山 智之 … 加治 将樹  石倉 慎之介 … 丸 一太神尾 梢 … 夏緒『ノンフィクション』平井堅  （アリオラ"&amp;"ジャパン）脚本：丑尾健太郎  脚本協力：八津弘幸、成瀬活雄  音楽：木村秀彬◇番組HP http://www.tbs.co.jp/chiisanakyojin_tbs/  ◇twitter  @chiikyo_tbs  https://twitter.com/chiikyo_tbs◇facebook  https://www.facebook.com/chiisanakyojin.tbs番組の内容と放送時間は変更になる場合があります。")</f>
        <v>裏切り上司はなんと香坂（長谷川博己）の恩師・三笠署長（春風亭昇太）だった！真犯人をかばい、犯罪に加担しながらも三笠が100％クロだと言える、あと一歩の証拠を押さえらない所轄刑事ら。そこで、100％の証拠を見つけるべく、三笠が不在の隙を狙って「奇襲」をかけることに！だが、元捜査一課長の三笠のガードは堅く、目的の証拠に辿り着けない香坂たち。一方、三笠は自分が捕まらない為のある手を打っており…香坂 真一郎 … 長谷川 博己  山田 春彦 … 岡田 将生  三島 祐里 … 芳根 京子  渡部 久志 … 安田 顕  藤倉 良一 … 駿河 太郎  柳沢 肇 … 手塚 とおる  片山 昭三 … 神尾 佑  中村 俊哉 … 竜星 涼  ・  三笠 洋平 … 春風亭 昇太小野田 義信 … 香川 照之    池沢菜穂 … 吉田羊  中田 隆一 … 加藤 晴彦  謎の女  … 佐々木 希  警務係 … 児嶋一哉（アンジャッシュ）五十嵐仁 … 堀尾正明  中田 和正 … 桂 文枝    香坂 美沙 … 市川実日子  東山 智之 … 加治 将樹  石倉 慎之介 … 丸 一太神尾 梢 … 夏緒『ノンフィクション』平井堅  （アリオラジャパン）脚本：丑尾健太郎  脚本協力：八津弘幸、成瀬活雄  音楽：木村秀彬◇番組HP http://www.tbs.co.jp/chiisanakyojin_tbs/  ◇twitter  @chiikyo_tbs  https://twitter.com/chiikyo_tbs◇facebook  https://www.facebook.com/chiisanakyojin.tbs番組の内容と放送時間は変更になる場合があります。</v>
      </c>
      <c r="N4948" s="2"/>
      <c r="O4948" s="2"/>
      <c r="P4948" s="1"/>
      <c r="Q4948" s="1"/>
      <c r="R4948" s="1"/>
      <c r="S4948" s="1"/>
      <c r="T4948" s="1"/>
      <c r="U4948" s="1"/>
      <c r="V4948" s="1"/>
      <c r="W4948" s="1"/>
      <c r="X4948" s="1"/>
      <c r="Y4948" s="1"/>
      <c r="Z4948" s="1"/>
      <c r="AA4948" s="1"/>
      <c r="AB4948" s="1"/>
      <c r="AC4948" s="1"/>
      <c r="AD4948" s="1"/>
      <c r="AE4948" s="1"/>
      <c r="AF4948" s="1"/>
      <c r="AG4948" s="1"/>
      <c r="AH4948" s="1"/>
      <c r="AI4948" s="1"/>
      <c r="AJ4948" s="1"/>
      <c r="AK4948" s="1"/>
      <c r="AL4948" s="1"/>
      <c r="AM4948" s="1"/>
      <c r="AN4948" s="1"/>
      <c r="AO4948" s="1"/>
      <c r="AP4948" s="1"/>
      <c r="AQ4948" s="1"/>
      <c r="AR4948" s="1"/>
      <c r="AS4948" s="1"/>
      <c r="AT4948" s="1"/>
      <c r="AU4948" s="1"/>
      <c r="AV4948" s="1"/>
      <c r="AW4948" s="1"/>
      <c r="AX4948" s="1"/>
      <c r="AY4948" s="1"/>
      <c r="AZ4948" s="1"/>
      <c r="BA4948" s="1"/>
      <c r="BB4948" s="1"/>
    </row>
    <row r="4949" ht="204.75" customHeight="1">
      <c r="A4949" s="1">
        <v>1287.0</v>
      </c>
      <c r="B4949" s="2" t="s">
        <v>13907</v>
      </c>
      <c r="C4949" s="2">
        <f>IFERROR(__xludf.DUMMYFUNCTION("split(B4949,""_"")"),1704.0)</f>
        <v>1704</v>
      </c>
      <c r="D4949" s="2" t="str">
        <f>IFERROR(__xludf.DUMMYFUNCTION("""COMPUTED_VALUE"""),"TBS")</f>
        <v>TBS</v>
      </c>
      <c r="E4949" s="2" t="str">
        <f>IFERROR(__xludf.DUMMYFUNCTION("""COMPUTED_VALUE"""),"日21")</f>
        <v>日21</v>
      </c>
      <c r="F4949" s="2" t="s">
        <v>13908</v>
      </c>
      <c r="G4949" s="2" t="s">
        <v>13919</v>
      </c>
      <c r="H4949" s="1">
        <v>6.0</v>
      </c>
      <c r="J4949" s="1" t="s">
        <v>11</v>
      </c>
      <c r="K4949" s="2" t="s">
        <v>13920</v>
      </c>
      <c r="L4949" s="2"/>
      <c r="M4949" s="2" t="str">
        <f>IFERROR(__xludf.DUMMYFUNCTION("split(split(K4949,""【"",false),""公式LINE"",false)"),"さらなる左遷で豊洲署へ配属となった香坂（長谷川博己）。山田（岡田将生）もまさかの所轄へ異動に！ある日、早明学園に勤めていた横沢（井上芳雄）の捜索願が出される。香坂は理事長の金崎（和田アキ子）と専務の富永（梅沢富美男）の元を訪ね、横沢が金を横領したとの話を聞くが、二人は示談で片づけると主張。元捜査一課長の富永は、警察の力も不要だと突っぱねる。香坂が捜査に乗り出すと、学園の抱える闇が浮き彫りとなり…香坂 真一郎 ・・・ 長谷川 博己  山田 春彦 ・・・ 岡田 将生  三島 祐里 ・・・ 芳根 京子  藤倉 "&amp;"良一 ・・・ 駿河 太郎  柳沢 肇 ・・・ 手塚 とおる  ・   矢部貴志・・・ ユースケ・サンタマリア  富永拓三・・・梅沢富美男  金崎玲子・・・和田アキ子  小野田義信・・・香川照之香坂真由美・・・三田佳子  香坂 美沙 ・・・ 市川実日子  香坂敦史・・・木場勝己関口一也・・・石黒英雄  篠原良平・・・望月章男  寺井友宏・・・大熊ひろたか『ノンフィクション』平井堅  （アリオラジャパン）脚本：丑尾健太郎、成瀬活雄  脚本協力：八津弘幸  音楽：木村秀彬◇番組HP http://www.tbs"&amp;".co.jp/chiisanakyojin_tbs/  ◇twitter  @chiikyo_tbs  https://twitter.com/chiikyo_tbs◇facebook  https://www.facebook.com/chiisanakyojin.tbs番組の内容と放送時間は変更になる場合があります。")</f>
        <v>さらなる左遷で豊洲署へ配属となった香坂（長谷川博己）。山田（岡田将生）もまさかの所轄へ異動に！ある日、早明学園に勤めていた横沢（井上芳雄）の捜索願が出される。香坂は理事長の金崎（和田アキ子）と専務の富永（梅沢富美男）の元を訪ね、横沢が金を横領したとの話を聞くが、二人は示談で片づけると主張。元捜査一課長の富永は、警察の力も不要だと突っぱねる。香坂が捜査に乗り出すと、学園の抱える闇が浮き彫りとなり…香坂 真一郎 ・・・ 長谷川 博己  山田 春彦 ・・・ 岡田 将生  三島 祐里 ・・・ 芳根 京子  藤倉 良一 ・・・ 駿河 太郎  柳沢 肇 ・・・ 手塚 とおる  ・   矢部貴志・・・ ユースケ・サンタマリア  富永拓三・・・梅沢富美男  金崎玲子・・・和田アキ子  小野田義信・・・香川照之香坂真由美・・・三田佳子  香坂 美沙 ・・・ 市川実日子  香坂敦史・・・木場勝己関口一也・・・石黒英雄  篠原良平・・・望月章男  寺井友宏・・・大熊ひろたか『ノンフィクション』平井堅  （アリオラジャパン）脚本：丑尾健太郎、成瀬活雄  脚本協力：八津弘幸  音楽：木村秀彬◇番組HP http://www.tbs.co.jp/chiisanakyojin_tbs/  ◇twitter  @chiikyo_tbs  https://twitter.com/chiikyo_tbs◇facebook  https://www.facebook.com/chiisanakyojin.tbs番組の内容と放送時間は変更になる場合があります。</v>
      </c>
      <c r="N4949" s="2"/>
      <c r="O4949" s="2"/>
      <c r="P4949" s="1"/>
      <c r="Q4949" s="1"/>
      <c r="R4949" s="1"/>
      <c r="S4949" s="1"/>
      <c r="T4949" s="1"/>
      <c r="U4949" s="1"/>
      <c r="V4949" s="1"/>
      <c r="W4949" s="1"/>
      <c r="X4949" s="1"/>
      <c r="Y4949" s="1"/>
      <c r="Z4949" s="1"/>
      <c r="AA4949" s="1"/>
      <c r="AB4949" s="1"/>
      <c r="AC4949" s="1"/>
      <c r="AD4949" s="1"/>
      <c r="AE4949" s="1"/>
      <c r="AF4949" s="1"/>
      <c r="AG4949" s="1"/>
      <c r="AH4949" s="1"/>
      <c r="AI4949" s="1"/>
      <c r="AJ4949" s="1"/>
      <c r="AK4949" s="1"/>
      <c r="AL4949" s="1"/>
      <c r="AM4949" s="1"/>
      <c r="AN4949" s="1"/>
      <c r="AO4949" s="1"/>
      <c r="AP4949" s="1"/>
      <c r="AQ4949" s="1"/>
      <c r="AR4949" s="1"/>
      <c r="AS4949" s="1"/>
      <c r="AT4949" s="1"/>
      <c r="AU4949" s="1"/>
      <c r="AV4949" s="1"/>
      <c r="AW4949" s="1"/>
      <c r="AX4949" s="1"/>
      <c r="AY4949" s="1"/>
      <c r="AZ4949" s="1"/>
      <c r="BA4949" s="1"/>
      <c r="BB4949" s="1"/>
    </row>
    <row r="4950" ht="204.75" customHeight="1">
      <c r="A4950" s="1">
        <v>1288.0</v>
      </c>
      <c r="B4950" s="2" t="s">
        <v>13907</v>
      </c>
      <c r="C4950" s="2">
        <f>IFERROR(__xludf.DUMMYFUNCTION("split(B4950,""_"")"),1704.0)</f>
        <v>1704</v>
      </c>
      <c r="D4950" s="2" t="str">
        <f>IFERROR(__xludf.DUMMYFUNCTION("""COMPUTED_VALUE"""),"TBS")</f>
        <v>TBS</v>
      </c>
      <c r="E4950" s="2" t="str">
        <f>IFERROR(__xludf.DUMMYFUNCTION("""COMPUTED_VALUE"""),"日21")</f>
        <v>日21</v>
      </c>
      <c r="F4950" s="2" t="s">
        <v>13908</v>
      </c>
      <c r="G4950" s="2" t="s">
        <v>13921</v>
      </c>
      <c r="H4950" s="1">
        <v>7.0</v>
      </c>
      <c r="J4950" s="1" t="s">
        <v>11</v>
      </c>
      <c r="K4950" s="2" t="s">
        <v>13922</v>
      </c>
      <c r="L4950" s="2"/>
      <c r="M4950" s="2" t="str">
        <f>IFERROR(__xludf.DUMMYFUNCTION("split(split(K4950,""【"",false),""公式LINE"",false)"),"殺害容疑で捕まった山田（岡田将生）！山田の潔白を信じる香坂（長谷川博己）ら所轄メンバー。山田から聞き出した情報と、小野田一課長（香川照之）が取り仕切る捜査会議で共有された情報が180度異なることに気付いた香坂たちは、独自の視点で捜査を進める。また、小野田は何かを隠しているのか？殺害された江口（ユースケ・サンタマリア）は何故学園で内偵を進めていたのか？学園に送り込んだのは一体誰なのか！？香坂 真一郎 ・・・ 長谷川 博己  山田 春彦 ・・・ 岡田 将生  三島 祐里 ・・・ 芳根 京子  渡部 久志 ・・"&amp;"・ 安田 顕  藤倉 良一 ・・・ 駿河 太郎  柳沢 肇 ・・・ 手塚 とおる  ・   矢部貴志・・・ ユースケ・サンタマリア  富永拓三・・・梅沢富美男  金崎玲子・・・和田アキ子  小野田義信・・・香川照之香坂真由美・・・三田佳子  香坂 美沙 ・・・ 市川実日子  香坂敦史・・・木場勝己  須藤文香・・・神野三鈴  横沢裕一・・・井上芳雄  横沢亜美・・・中村アン関口一也・・・石黒英雄  篠原良平・・・望月章男  寺井友宏・・・大熊ひろたか『ノンフィクション』平井堅  （アリオラジャパン）脚本："&amp;"丑尾健太郎、成瀬活雄  脚本協力：八津弘幸  音楽：木村秀彬◇番組HP http://www.tbs.co.jp/chiisanakyojin_tbs/  ◇twitter  @chiikyo_tbs  https://twitter.com/chiikyo_tbs◇facebook  https://www.facebook.com/chiisanakyojin.tbs番組の内容と放送時間は変更になる場合があります。")</f>
        <v>殺害容疑で捕まった山田（岡田将生）！山田の潔白を信じる香坂（長谷川博己）ら所轄メンバー。山田から聞き出した情報と、小野田一課長（香川照之）が取り仕切る捜査会議で共有された情報が180度異なることに気付いた香坂たちは、独自の視点で捜査を進める。また、小野田は何かを隠しているのか？殺害された江口（ユースケ・サンタマリア）は何故学園で内偵を進めていたのか？学園に送り込んだのは一体誰なのか！？香坂 真一郎 ・・・ 長谷川 博己  山田 春彦 ・・・ 岡田 将生  三島 祐里 ・・・ 芳根 京子  渡部 久志 ・・・ 安田 顕  藤倉 良一 ・・・ 駿河 太郎  柳沢 肇 ・・・ 手塚 とおる  ・   矢部貴志・・・ ユースケ・サンタマリア  富永拓三・・・梅沢富美男  金崎玲子・・・和田アキ子  小野田義信・・・香川照之香坂真由美・・・三田佳子  香坂 美沙 ・・・ 市川実日子  香坂敦史・・・木場勝己  須藤文香・・・神野三鈴  横沢裕一・・・井上芳雄  横沢亜美・・・中村アン関口一也・・・石黒英雄  篠原良平・・・望月章男  寺井友宏・・・大熊ひろたか『ノンフィクション』平井堅  （アリオラジャパン）脚本：丑尾健太郎、成瀬活雄  脚本協力：八津弘幸  音楽：木村秀彬◇番組HP http://www.tbs.co.jp/chiisanakyojin_tbs/  ◇twitter  @chiikyo_tbs  https://twitter.com/chiikyo_tbs◇facebook  https://www.facebook.com/chiisanakyojin.tbs番組の内容と放送時間は変更になる場合があります。</v>
      </c>
      <c r="N4950" s="2"/>
      <c r="O4950" s="2"/>
      <c r="P4950" s="1"/>
      <c r="Q4950" s="1"/>
      <c r="R4950" s="1"/>
      <c r="S4950" s="1"/>
      <c r="T4950" s="1"/>
      <c r="U4950" s="1"/>
      <c r="V4950" s="1"/>
      <c r="W4950" s="1"/>
      <c r="X4950" s="1"/>
      <c r="Y4950" s="1"/>
      <c r="Z4950" s="1"/>
      <c r="AA4950" s="1"/>
      <c r="AB4950" s="1"/>
      <c r="AC4950" s="1"/>
      <c r="AD4950" s="1"/>
      <c r="AE4950" s="1"/>
      <c r="AF4950" s="1"/>
      <c r="AG4950" s="1"/>
      <c r="AH4950" s="1"/>
      <c r="AI4950" s="1"/>
      <c r="AJ4950" s="1"/>
      <c r="AK4950" s="1"/>
      <c r="AL4950" s="1"/>
      <c r="AM4950" s="1"/>
      <c r="AN4950" s="1"/>
      <c r="AO4950" s="1"/>
      <c r="AP4950" s="1"/>
      <c r="AQ4950" s="1"/>
      <c r="AR4950" s="1"/>
      <c r="AS4950" s="1"/>
      <c r="AT4950" s="1"/>
      <c r="AU4950" s="1"/>
      <c r="AV4950" s="1"/>
      <c r="AW4950" s="1"/>
      <c r="AX4950" s="1"/>
      <c r="AY4950" s="1"/>
      <c r="AZ4950" s="1"/>
      <c r="BA4950" s="1"/>
      <c r="BB4950" s="1"/>
    </row>
    <row r="4951" ht="204.75" customHeight="1">
      <c r="A4951" s="1">
        <v>1289.0</v>
      </c>
      <c r="B4951" s="2" t="s">
        <v>13907</v>
      </c>
      <c r="C4951" s="2">
        <f>IFERROR(__xludf.DUMMYFUNCTION("split(B4951,""_"")"),1704.0)</f>
        <v>1704</v>
      </c>
      <c r="D4951" s="2" t="str">
        <f>IFERROR(__xludf.DUMMYFUNCTION("""COMPUTED_VALUE"""),"TBS")</f>
        <v>TBS</v>
      </c>
      <c r="E4951" s="2" t="str">
        <f>IFERROR(__xludf.DUMMYFUNCTION("""COMPUTED_VALUE"""),"日21")</f>
        <v>日21</v>
      </c>
      <c r="F4951" s="2" t="s">
        <v>13908</v>
      </c>
      <c r="G4951" s="2" t="s">
        <v>13923</v>
      </c>
      <c r="H4951" s="1">
        <v>8.0</v>
      </c>
      <c r="J4951" s="1" t="s">
        <v>11</v>
      </c>
      <c r="K4951" s="2" t="s">
        <v>13924</v>
      </c>
      <c r="L4951" s="2"/>
      <c r="M4951" s="2" t="str">
        <f>IFERROR(__xludf.DUMMYFUNCTION("split(split(K4951,""【"",false),""公式LINE"",false)"),"絶対的な覚悟で挑んだ元捜査一課長・富永（梅沢富美男）への任意同行。香坂（長谷川博己）らは、江口警部（ユースケ・サンタマリア）殺害の犯行が明かされると期待したが、小野田（香川照之）ら率いる一課による取り調べの結果、富永は釈放。またしても小野田にしてやられた香坂。一課が目をつけた容疑者・横沢（井上芳雄）確保に向け動きだす捜査本部。香坂たちは一課よりも先に横沢を確保し、真実を聞き出すことができるのか！？香坂 真一郎 … 長谷川 博己  山田 春彦 … 岡田 将生  三島 祐里 … 芳根 京子  渡部 久志 … "&amp;"安田 顕  藤倉 良一 … 駿河 太郎  柳沢 肇 … 手塚 とおる  ・   矢部貴志 … ユースケ・サンタマリア  富永拓三 … 梅沢富美男  金崎玲子 … 和田アキ子  小野田義信 … 香川照之香坂真由美 … 三田佳子  香坂 美沙 … 市川実日子  香坂敦史 … 木場勝己  須藤文香 … 神野三鈴  横沢裕一 … 井上芳雄  横沢亜美 … 中村アン関口一也 … 石黒英雄  篠原良平 … 望月章男  寺井友宏 … 大熊ひろたか『ノンフィクション』平井堅  （アリオラジャパン）脚本：丑尾健太郎、成瀬活"&amp;"雄  脚本協力：八津弘幸  音楽：木村秀彬◇番組HP http://www.tbs.co.jp/chiisanakyojin_tbs/  ◇twitter  @chiikyo_tbs  https://twitter.com/chiikyo_tbs◇facebook  https://www.facebook.com/chiisanakyojin.tbs番組の内容と放送時間は変更になる場合があります。")</f>
        <v>絶対的な覚悟で挑んだ元捜査一課長・富永（梅沢富美男）への任意同行。香坂（長谷川博己）らは、江口警部（ユースケ・サンタマリア）殺害の犯行が明かされると期待したが、小野田（香川照之）ら率いる一課による取り調べの結果、富永は釈放。またしても小野田にしてやられた香坂。一課が目をつけた容疑者・横沢（井上芳雄）確保に向け動きだす捜査本部。香坂たちは一課よりも先に横沢を確保し、真実を聞き出すことができるのか！？香坂 真一郎 … 長谷川 博己  山田 春彦 … 岡田 将生  三島 祐里 … 芳根 京子  渡部 久志 … 安田 顕  藤倉 良一 … 駿河 太郎  柳沢 肇 … 手塚 とおる  ・   矢部貴志 … ユースケ・サンタマリア  富永拓三 … 梅沢富美男  金崎玲子 … 和田アキ子  小野田義信 … 香川照之香坂真由美 … 三田佳子  香坂 美沙 … 市川実日子  香坂敦史 … 木場勝己  須藤文香 … 神野三鈴  横沢裕一 … 井上芳雄  横沢亜美 … 中村アン関口一也 … 石黒英雄  篠原良平 … 望月章男  寺井友宏 … 大熊ひろたか『ノンフィクション』平井堅  （アリオラジャパン）脚本：丑尾健太郎、成瀬活雄  脚本協力：八津弘幸  音楽：木村秀彬◇番組HP http://www.tbs.co.jp/chiisanakyojin_tbs/  ◇twitter  @chiikyo_tbs  https://twitter.com/chiikyo_tbs◇facebook  https://www.facebook.com/chiisanakyojin.tbs番組の内容と放送時間は変更になる場合があります。</v>
      </c>
      <c r="N4951" s="2"/>
      <c r="O4951" s="2"/>
      <c r="P4951" s="1"/>
      <c r="Q4951" s="1"/>
      <c r="R4951" s="1"/>
      <c r="S4951" s="1"/>
      <c r="T4951" s="1"/>
      <c r="U4951" s="1"/>
      <c r="V4951" s="1"/>
      <c r="W4951" s="1"/>
      <c r="X4951" s="1"/>
      <c r="Y4951" s="1"/>
      <c r="Z4951" s="1"/>
      <c r="AA4951" s="1"/>
      <c r="AB4951" s="1"/>
      <c r="AC4951" s="1"/>
      <c r="AD4951" s="1"/>
      <c r="AE4951" s="1"/>
      <c r="AF4951" s="1"/>
      <c r="AG4951" s="1"/>
      <c r="AH4951" s="1"/>
      <c r="AI4951" s="1"/>
      <c r="AJ4951" s="1"/>
      <c r="AK4951" s="1"/>
      <c r="AL4951" s="1"/>
      <c r="AM4951" s="1"/>
      <c r="AN4951" s="1"/>
      <c r="AO4951" s="1"/>
      <c r="AP4951" s="1"/>
      <c r="AQ4951" s="1"/>
      <c r="AR4951" s="1"/>
      <c r="AS4951" s="1"/>
      <c r="AT4951" s="1"/>
      <c r="AU4951" s="1"/>
      <c r="AV4951" s="1"/>
      <c r="AW4951" s="1"/>
      <c r="AX4951" s="1"/>
      <c r="AY4951" s="1"/>
      <c r="AZ4951" s="1"/>
      <c r="BA4951" s="1"/>
      <c r="BB4951" s="1"/>
    </row>
    <row r="4952" ht="204.75" customHeight="1">
      <c r="A4952" s="1">
        <v>1290.0</v>
      </c>
      <c r="B4952" s="2" t="s">
        <v>13907</v>
      </c>
      <c r="C4952" s="2">
        <f>IFERROR(__xludf.DUMMYFUNCTION("split(B4952,""_"")"),1704.0)</f>
        <v>1704</v>
      </c>
      <c r="D4952" s="2" t="str">
        <f>IFERROR(__xludf.DUMMYFUNCTION("""COMPUTED_VALUE"""),"TBS")</f>
        <v>TBS</v>
      </c>
      <c r="E4952" s="2" t="str">
        <f>IFERROR(__xludf.DUMMYFUNCTION("""COMPUTED_VALUE"""),"日21")</f>
        <v>日21</v>
      </c>
      <c r="F4952" s="2" t="s">
        <v>13908</v>
      </c>
      <c r="G4952" s="2" t="s">
        <v>13925</v>
      </c>
      <c r="H4952" s="1">
        <v>9.0</v>
      </c>
      <c r="J4952" s="1" t="s">
        <v>11</v>
      </c>
      <c r="K4952" s="2" t="s">
        <v>13926</v>
      </c>
      <c r="L4952" s="2"/>
      <c r="M4952" s="2" t="str">
        <f>IFERROR(__xludf.DUMMYFUNCTION("split(split(K4952,""【"",false),""公式LINE"",false)"),"容疑者・横沢（井上芳雄）を逃した内通者は、山田（岡田将生）だった！？信頼していた山田に裏切られたと思った香坂（長谷川博己）だったが…。横沢が隠し持つ、学園の裏帳簿が明るみに出ることを恐れる富永（梅沢富美男）は、元部下の小野田（香川照之）に益々圧力をかける！香坂は執念を燃やして、裏帳簿と17年前のある出来事との関連を調べ、遂に本当の裏切り者の正体が明らかになり、とんでもない展開が待ち受ける！香坂 真一郎 ・・・ 長谷川 博己  山田 春彦 ・・・ 岡田 将生  三島 祐里 ・・・ 芳根 京子  渡部 久志 "&amp;"・・・ 安田 顕  藤倉 良一 ・・・ 駿河 太郎  柳沢 肇 ・・・ 手塚 とおる  ・   矢部貴志・・・ ユースケ・サンタマリア  富永拓三・・・梅沢富美男  金崎玲子・・・和田アキ子  小野田義信・・・香川照之香坂真由美・・・三田佳子  香坂 美沙 ・・・ 市川実日子  香坂敦史・・・木場勝己  須藤文香・・・神野三鈴  横沢裕一・・・井上芳雄  横沢亜美・・・中村アン関口一也・・・石黒英雄  篠原良平・・・望月章男  寺井友宏・・・大熊ひろたか『ノンフィクション』平井堅  （アリオラジャパン）脚"&amp;"本：丑尾健太郎、成瀬活雄  脚本協力：八津弘幸  音楽：木村秀彬◇番組HP http://www.tbs.co.jp/chiisanakyojin_tbs/  ◇twitter  @chiikyo_tbs  https://twitter.com/chiikyo_tbs◇facebook  https://www.facebook.com/chiisanakyojin.tbs  番組の内容と放送時間は変更になる場合があります。")</f>
        <v>容疑者・横沢（井上芳雄）を逃した内通者は、山田（岡田将生）だった！？信頼していた山田に裏切られたと思った香坂（長谷川博己）だったが…。横沢が隠し持つ、学園の裏帳簿が明るみに出ることを恐れる富永（梅沢富美男）は、元部下の小野田（香川照之）に益々圧力をかける！香坂は執念を燃やして、裏帳簿と17年前のある出来事との関連を調べ、遂に本当の裏切り者の正体が明らかになり、とんでもない展開が待ち受ける！香坂 真一郎 ・・・ 長谷川 博己  山田 春彦 ・・・ 岡田 将生  三島 祐里 ・・・ 芳根 京子  渡部 久志 ・・・ 安田 顕  藤倉 良一 ・・・ 駿河 太郎  柳沢 肇 ・・・ 手塚 とおる  ・   矢部貴志・・・ ユースケ・サンタマリア  富永拓三・・・梅沢富美男  金崎玲子・・・和田アキ子  小野田義信・・・香川照之香坂真由美・・・三田佳子  香坂 美沙 ・・・ 市川実日子  香坂敦史・・・木場勝己  須藤文香・・・神野三鈴  横沢裕一・・・井上芳雄  横沢亜美・・・中村アン関口一也・・・石黒英雄  篠原良平・・・望月章男  寺井友宏・・・大熊ひろたか『ノンフィクション』平井堅  （アリオラジャパン）脚本：丑尾健太郎、成瀬活雄  脚本協力：八津弘幸  音楽：木村秀彬◇番組HP http://www.tbs.co.jp/chiisanakyojin_tbs/  ◇twitter  @chiikyo_tbs  https://twitter.com/chiikyo_tbs◇facebook  https://www.facebook.com/chiisanakyojin.tbs  番組の内容と放送時間は変更になる場合があります。</v>
      </c>
      <c r="N4952" s="2"/>
      <c r="O4952" s="2"/>
      <c r="P4952" s="1"/>
      <c r="Q4952" s="1"/>
      <c r="R4952" s="1"/>
      <c r="S4952" s="1"/>
      <c r="T4952" s="1"/>
      <c r="U4952" s="1"/>
      <c r="V4952" s="1"/>
      <c r="W4952" s="1"/>
      <c r="X4952" s="1"/>
      <c r="Y4952" s="1"/>
      <c r="Z4952" s="1"/>
      <c r="AA4952" s="1"/>
      <c r="AB4952" s="1"/>
      <c r="AC4952" s="1"/>
      <c r="AD4952" s="1"/>
      <c r="AE4952" s="1"/>
      <c r="AF4952" s="1"/>
      <c r="AG4952" s="1"/>
      <c r="AH4952" s="1"/>
      <c r="AI4952" s="1"/>
      <c r="AJ4952" s="1"/>
      <c r="AK4952" s="1"/>
      <c r="AL4952" s="1"/>
      <c r="AM4952" s="1"/>
      <c r="AN4952" s="1"/>
      <c r="AO4952" s="1"/>
      <c r="AP4952" s="1"/>
      <c r="AQ4952" s="1"/>
      <c r="AR4952" s="1"/>
      <c r="AS4952" s="1"/>
      <c r="AT4952" s="1"/>
      <c r="AU4952" s="1"/>
      <c r="AV4952" s="1"/>
      <c r="AW4952" s="1"/>
      <c r="AX4952" s="1"/>
      <c r="AY4952" s="1"/>
      <c r="AZ4952" s="1"/>
      <c r="BA4952" s="1"/>
      <c r="BB4952" s="1"/>
    </row>
    <row r="4953" ht="204.75" customHeight="1">
      <c r="A4953" s="1">
        <v>1291.0</v>
      </c>
      <c r="B4953" s="2" t="s">
        <v>13907</v>
      </c>
      <c r="C4953" s="2">
        <f>IFERROR(__xludf.DUMMYFUNCTION("split(B4953,""_"")"),1704.0)</f>
        <v>1704</v>
      </c>
      <c r="D4953" s="2" t="str">
        <f>IFERROR(__xludf.DUMMYFUNCTION("""COMPUTED_VALUE"""),"TBS")</f>
        <v>TBS</v>
      </c>
      <c r="E4953" s="2" t="str">
        <f>IFERROR(__xludf.DUMMYFUNCTION("""COMPUTED_VALUE"""),"日21")</f>
        <v>日21</v>
      </c>
      <c r="F4953" s="2" t="s">
        <v>13908</v>
      </c>
      <c r="G4953" s="2" t="s">
        <v>13927</v>
      </c>
      <c r="H4953" s="1">
        <v>10.0</v>
      </c>
      <c r="J4953" s="1" t="s">
        <v>4</v>
      </c>
      <c r="K4953" s="2" t="s">
        <v>13928</v>
      </c>
      <c r="L4953" s="2"/>
      <c r="M4953" s="2" t="str">
        <f>IFERROR(__xludf.DUMMYFUNCTION("split(split(K4953,""【"",false),""公式LINE"",false)"),"警察と学園の不正の証となる裏帳簿に、香坂（長谷川博己）の父の名前が載っていた！父も17年前の不正に加担していたのか？衝撃を隠せない香坂は、本当に父が賄賂を受け取っていたのか、もう一度過去の事件と向き合う。更に、江口（ユースケ・サンタマリア）警部殺害の真犯人像として、新たに小野田（香川照之）一課長が浮かび…！？過去と現在の2つの事件は繋がっていた！遂に、香坂と小野田の宿命の対決が決着を迎える！！香坂 真一郎 ・・・ 長谷川 博己  山田 春彦 ・・・ 岡田 将生  三島 祐里 ・・・ 芳根 京子  渡部 久"&amp;"志 ・・・ 安田 顕  藤倉 良一 ・・・ 駿河 太郎  柳沢 肇 ・・・ 手塚 とおる  ・   矢部貴志・・・ ユースケ・サンタマリア  富永拓三・・・梅沢富美男  金崎玲子・・・和田アキ子  小野田義信・・・香川照之香坂真由美・・・三田佳子  香坂 美沙 ・・・ 市川実日子  香坂敦史・・・木場勝己  須藤文香・・・神野三鈴  横沢裕一・・・井上芳雄  横沢亜美・・・中村アン関口一也・・・石黒英雄  篠原良平・・・望月章男  寺井友宏・・・大熊ひろたか『ノンフィクション』平井堅  （アリオラジャパン"&amp;"）脚本：丑尾健太郎、成瀬活雄  脚本協力：八津弘幸  音楽：木村秀彬◇番組HP http://www.tbs.co.jp/chiisanakyojin_tbs/  ◇twitter  @chiikyo_tbs  https://twitter.com/chiikyo_tbs◇facebook  https://www.facebook.com/chiisanakyojin.tbs番組の内容と放送時間は変更になる場合があります。")</f>
        <v>警察と学園の不正の証となる裏帳簿に、香坂（長谷川博己）の父の名前が載っていた！父も17年前の不正に加担していたのか？衝撃を隠せない香坂は、本当に父が賄賂を受け取っていたのか、もう一度過去の事件と向き合う。更に、江口（ユースケ・サンタマリア）警部殺害の真犯人像として、新たに小野田（香川照之）一課長が浮かび…！？過去と現在の2つの事件は繋がっていた！遂に、香坂と小野田の宿命の対決が決着を迎える！！香坂 真一郎 ・・・ 長谷川 博己  山田 春彦 ・・・ 岡田 将生  三島 祐里 ・・・ 芳根 京子  渡部 久志 ・・・ 安田 顕  藤倉 良一 ・・・ 駿河 太郎  柳沢 肇 ・・・ 手塚 とおる  ・   矢部貴志・・・ ユースケ・サンタマリア  富永拓三・・・梅沢富美男  金崎玲子・・・和田アキ子  小野田義信・・・香川照之香坂真由美・・・三田佳子  香坂 美沙 ・・・ 市川実日子  香坂敦史・・・木場勝己  須藤文香・・・神野三鈴  横沢裕一・・・井上芳雄  横沢亜美・・・中村アン関口一也・・・石黒英雄  篠原良平・・・望月章男  寺井友宏・・・大熊ひろたか『ノンフィクション』平井堅  （アリオラジャパン）脚本：丑尾健太郎、成瀬活雄  脚本協力：八津弘幸  音楽：木村秀彬◇番組HP http://www.tbs.co.jp/chiisanakyojin_tbs/  ◇twitter  @chiikyo_tbs  https://twitter.com/chiikyo_tbs◇facebook  https://www.facebook.com/chiisanakyojin.tbs番組の内容と放送時間は変更になる場合があります。</v>
      </c>
      <c r="N4953" s="2"/>
      <c r="O4953" s="2"/>
      <c r="P4953" s="1"/>
      <c r="Q4953" s="1"/>
      <c r="R4953" s="1"/>
      <c r="S4953" s="1"/>
      <c r="T4953" s="1"/>
      <c r="U4953" s="1"/>
      <c r="V4953" s="1"/>
      <c r="W4953" s="1"/>
      <c r="X4953" s="1"/>
      <c r="Y4953" s="1"/>
      <c r="Z4953" s="1"/>
      <c r="AA4953" s="1"/>
      <c r="AB4953" s="1"/>
      <c r="AC4953" s="1"/>
      <c r="AD4953" s="1"/>
      <c r="AE4953" s="1"/>
      <c r="AF4953" s="1"/>
      <c r="AG4953" s="1"/>
      <c r="AH4953" s="1"/>
      <c r="AI4953" s="1"/>
      <c r="AJ4953" s="1"/>
      <c r="AK4953" s="1"/>
      <c r="AL4953" s="1"/>
      <c r="AM4953" s="1"/>
      <c r="AN4953" s="1"/>
      <c r="AO4953" s="1"/>
      <c r="AP4953" s="1"/>
      <c r="AQ4953" s="1"/>
      <c r="AR4953" s="1"/>
      <c r="AS4953" s="1"/>
      <c r="AT4953" s="1"/>
      <c r="AU4953" s="1"/>
      <c r="AV4953" s="1"/>
      <c r="AW4953" s="1"/>
      <c r="AX4953" s="1"/>
      <c r="AY4953" s="1"/>
      <c r="AZ4953" s="1"/>
      <c r="BA4953" s="1"/>
      <c r="BB4953" s="1"/>
    </row>
    <row r="4954" ht="204.75" customHeight="1">
      <c r="A4954" s="1">
        <v>1331.0</v>
      </c>
      <c r="B4954" s="2" t="s">
        <v>13929</v>
      </c>
      <c r="C4954" s="2">
        <f>IFERROR(__xludf.DUMMYFUNCTION("split(B4954,""_"")"),1701.0)</f>
        <v>1701</v>
      </c>
      <c r="D4954" s="2" t="str">
        <f>IFERROR(__xludf.DUMMYFUNCTION("""COMPUTED_VALUE"""),"TBS")</f>
        <v>TBS</v>
      </c>
      <c r="E4954" s="2" t="str">
        <f>IFERROR(__xludf.DUMMYFUNCTION("""COMPUTED_VALUE"""),"火22")</f>
        <v>火22</v>
      </c>
      <c r="F4954" s="2" t="s">
        <v>13930</v>
      </c>
      <c r="G4954" s="2" t="s">
        <v>13931</v>
      </c>
      <c r="H4954" s="1">
        <v>1.0</v>
      </c>
      <c r="J4954" s="1" t="s">
        <v>82</v>
      </c>
      <c r="K4954" s="2" t="s">
        <v>13932</v>
      </c>
      <c r="L4954" s="2"/>
      <c r="M4954" s="2" t="str">
        <f>IFERROR(__xludf.DUMMYFUNCTION("split(split(K4954,""【"",false),""公式LINE"",false)"),"ある日、“偶然”出会った男女4人。  夢が叶わないまま、人生のピークにたどり着くことなく緩やかな下り坂の前で立ち止まっている者たちだ。そんな4人がカルテットを組み、軽井沢で共同生活を送ることになる。しかしその“偶然”には、大きな秘密が隠されていた…。巻真紀（松たか子）は別府司（松田龍平）の運転で軽井沢の別荘へとやって来た。待っていたのは世吹すずめ（満島ひかり）と家森諭高（高橋一生）。東京のカラオケボックスで出会った4人は奏者で、弦楽四重奏をやることになった。ライブレストランで演奏しようという話になるが、そ"&amp;"の店では“余命9ヶ月”のピアニスト ベンジャミン瀧田（イッセー尾形）がレギュラー演奏していた。  そこで真紀は、突拍子もないことを言い出す。松たか子  満島ひかり  高橋一生  松田龍平    吉岡里帆  富澤たけし（サンドウィッチマン）  八木亜希子  Mummy－D  もたいまさこ    ＜ゲスト＞  イッセー尾形  菊池亜希子脚本：坂元裕二  演出：土井裕泰  プロデュース：佐野亜裕美    音楽：fox capture plan  ◇番組HP  http://www.tbs.co.jp/quart"&amp;"et2017/  ◇twitter  @quartet_tbs  https://twitter.com/quartet_tbs  番組の内容と放送時間は変更になる場合があります。")</f>
        <v>ある日、“偶然”出会った男女4人。  夢が叶わないまま、人生のピークにたどり着くことなく緩やかな下り坂の前で立ち止まっている者たちだ。そんな4人がカルテットを組み、軽井沢で共同生活を送ることになる。しかしその“偶然”には、大きな秘密が隠されていた…。巻真紀（松たか子）は別府司（松田龍平）の運転で軽井沢の別荘へとやって来た。待っていたのは世吹すずめ（満島ひかり）と家森諭高（高橋一生）。東京のカラオケボックスで出会った4人は奏者で、弦楽四重奏をやることになった。ライブレストランで演奏しようという話になるが、その店では“余命9ヶ月”のピアニスト ベンジャミン瀧田（イッセー尾形）がレギュラー演奏していた。  そこで真紀は、突拍子もないことを言い出す。松たか子  満島ひかり  高橋一生  松田龍平    吉岡里帆  富澤たけし（サンドウィッチマン）  八木亜希子  Mummy－D  もたいまさこ    ＜ゲスト＞  イッセー尾形  菊池亜希子脚本：坂元裕二  演出：土井裕泰  プロデュース：佐野亜裕美    音楽：fox capture plan  ◇番組HP  http://www.tbs.co.jp/quartet2017/  ◇twitter  @quartet_tbs  https://twitter.com/quartet_tbs  番組の内容と放送時間は変更になる場合があります。</v>
      </c>
      <c r="N4954" s="2"/>
      <c r="O4954" s="2"/>
      <c r="P4954" s="1"/>
      <c r="Q4954" s="1"/>
      <c r="R4954" s="1"/>
      <c r="S4954" s="1"/>
      <c r="T4954" s="1"/>
      <c r="U4954" s="1"/>
      <c r="V4954" s="1"/>
      <c r="W4954" s="1"/>
      <c r="X4954" s="1"/>
      <c r="Y4954" s="1"/>
      <c r="Z4954" s="1"/>
      <c r="AA4954" s="1"/>
      <c r="AB4954" s="1"/>
      <c r="AC4954" s="1"/>
      <c r="AD4954" s="1"/>
      <c r="AE4954" s="1"/>
      <c r="AF4954" s="1"/>
      <c r="AG4954" s="1"/>
      <c r="AH4954" s="1"/>
      <c r="AI4954" s="1"/>
      <c r="AJ4954" s="1"/>
      <c r="AK4954" s="1"/>
      <c r="AL4954" s="1"/>
      <c r="AM4954" s="1"/>
      <c r="AN4954" s="1"/>
      <c r="AO4954" s="1"/>
      <c r="AP4954" s="1"/>
      <c r="AQ4954" s="1"/>
      <c r="AR4954" s="1"/>
      <c r="AS4954" s="1"/>
      <c r="AT4954" s="1"/>
      <c r="AU4954" s="1"/>
      <c r="AV4954" s="1"/>
      <c r="AW4954" s="1"/>
      <c r="AX4954" s="1"/>
      <c r="AY4954" s="1"/>
      <c r="AZ4954" s="1"/>
      <c r="BA4954" s="1"/>
      <c r="BB4954" s="1"/>
    </row>
    <row r="4955" ht="204.75" customHeight="1">
      <c r="A4955" s="1">
        <v>1332.0</v>
      </c>
      <c r="B4955" s="2" t="s">
        <v>13929</v>
      </c>
      <c r="C4955" s="2">
        <f>IFERROR(__xludf.DUMMYFUNCTION("split(B4955,""_"")"),1701.0)</f>
        <v>1701</v>
      </c>
      <c r="D4955" s="2" t="str">
        <f>IFERROR(__xludf.DUMMYFUNCTION("""COMPUTED_VALUE"""),"TBS")</f>
        <v>TBS</v>
      </c>
      <c r="E4955" s="2" t="str">
        <f>IFERROR(__xludf.DUMMYFUNCTION("""COMPUTED_VALUE"""),"火22")</f>
        <v>火22</v>
      </c>
      <c r="F4955" s="2" t="s">
        <v>13930</v>
      </c>
      <c r="G4955" s="2" t="s">
        <v>13933</v>
      </c>
      <c r="H4955" s="1">
        <v>2.0</v>
      </c>
      <c r="J4955" s="1" t="s">
        <v>86</v>
      </c>
      <c r="K4955" s="2" t="s">
        <v>13934</v>
      </c>
      <c r="L4955" s="2"/>
      <c r="M4955" s="2" t="str">
        <f>IFERROR(__xludf.DUMMYFUNCTION("split(split(K4955,""【"",false),""公式LINE"",false)"),"真紀（松たか子）を監視するために、カルテットに加わったことが判明したすずめ（満島ひかり）。依頼主である鏡子（もたいまさこ）に経過を報告に行くと、そもそもカラオケボックスに他二人がいたのにも、なにか理由があったのではないかと疑問を持ちはじめる。ある日、いつものように同僚の結衣（菊池亜希子）とカラオケに行った司（松田龍平）は、「私たぶん結婚する」と聞かされ…松たか子  満島ひかり  高橋一生  松田龍平    吉岡里帆  富澤たけし（サンドウィッチマン）  八木亜希子  Mummy－D  もたいまさこ    "&amp;"＜ゲスト＞  菊池亜希子脚本：坂元裕二  演出：土井裕泰  プロデュース：佐野亜裕美    音楽：fox capture plan  ◇番組HP  http://www.tbs.co.jp/quartet2017/  ◇twitter  @quartet_tbs  https://twitter.com/quartet_tbs  番組の内容と放送時間は変更になる場合があります。")</f>
        <v>真紀（松たか子）を監視するために、カルテットに加わったことが判明したすずめ（満島ひかり）。依頼主である鏡子（もたいまさこ）に経過を報告に行くと、そもそもカラオケボックスに他二人がいたのにも、なにか理由があったのではないかと疑問を持ちはじめる。ある日、いつものように同僚の結衣（菊池亜希子）とカラオケに行った司（松田龍平）は、「私たぶん結婚する」と聞かされ…松たか子  満島ひかり  高橋一生  松田龍平    吉岡里帆  富澤たけし（サンドウィッチマン）  八木亜希子  Mummy－D  もたいまさこ    ＜ゲスト＞  菊池亜希子脚本：坂元裕二  演出：土井裕泰  プロデュース：佐野亜裕美    音楽：fox capture plan  ◇番組HP  http://www.tbs.co.jp/quartet2017/  ◇twitter  @quartet_tbs  https://twitter.com/quartet_tbs  番組の内容と放送時間は変更になる場合があります。</v>
      </c>
      <c r="N4955" s="2"/>
      <c r="O4955" s="2"/>
      <c r="P4955" s="1"/>
      <c r="Q4955" s="1"/>
      <c r="R4955" s="1"/>
      <c r="S4955" s="1"/>
      <c r="T4955" s="1"/>
      <c r="U4955" s="1"/>
      <c r="V4955" s="1"/>
      <c r="W4955" s="1"/>
      <c r="X4955" s="1"/>
      <c r="Y4955" s="1"/>
      <c r="Z4955" s="1"/>
      <c r="AA4955" s="1"/>
      <c r="AB4955" s="1"/>
      <c r="AC4955" s="1"/>
      <c r="AD4955" s="1"/>
      <c r="AE4955" s="1"/>
      <c r="AF4955" s="1"/>
      <c r="AG4955" s="1"/>
      <c r="AH4955" s="1"/>
      <c r="AI4955" s="1"/>
      <c r="AJ4955" s="1"/>
      <c r="AK4955" s="1"/>
      <c r="AL4955" s="1"/>
      <c r="AM4955" s="1"/>
      <c r="AN4955" s="1"/>
      <c r="AO4955" s="1"/>
      <c r="AP4955" s="1"/>
      <c r="AQ4955" s="1"/>
      <c r="AR4955" s="1"/>
      <c r="AS4955" s="1"/>
      <c r="AT4955" s="1"/>
      <c r="AU4955" s="1"/>
      <c r="AV4955" s="1"/>
      <c r="AW4955" s="1"/>
      <c r="AX4955" s="1"/>
      <c r="AY4955" s="1"/>
      <c r="AZ4955" s="1"/>
      <c r="BA4955" s="1"/>
      <c r="BB4955" s="1"/>
    </row>
    <row r="4956" ht="204.75" customHeight="1">
      <c r="A4956" s="1">
        <v>1333.0</v>
      </c>
      <c r="B4956" s="2" t="s">
        <v>13929</v>
      </c>
      <c r="C4956" s="2">
        <f>IFERROR(__xludf.DUMMYFUNCTION("split(B4956,""_"")"),1701.0)</f>
        <v>1701</v>
      </c>
      <c r="D4956" s="2" t="str">
        <f>IFERROR(__xludf.DUMMYFUNCTION("""COMPUTED_VALUE"""),"TBS")</f>
        <v>TBS</v>
      </c>
      <c r="E4956" s="2" t="str">
        <f>IFERROR(__xludf.DUMMYFUNCTION("""COMPUTED_VALUE"""),"火22")</f>
        <v>火22</v>
      </c>
      <c r="F4956" s="2" t="s">
        <v>13930</v>
      </c>
      <c r="G4956" s="2" t="s">
        <v>13935</v>
      </c>
      <c r="H4956" s="1">
        <v>3.0</v>
      </c>
      <c r="J4956" s="1" t="s">
        <v>86</v>
      </c>
      <c r="K4956" s="2" t="s">
        <v>13936</v>
      </c>
      <c r="L4956" s="2"/>
      <c r="M4956" s="2" t="str">
        <f>IFERROR(__xludf.DUMMYFUNCTION("split(split(K4956,""【"",false),""公式LINE"",false)"),"すずめ（満島ひかり）が別荘でダラダラしていると、有朱（吉岡里帆）がやってきたる。「なぜ彼氏を作らないのか」とたずねる有朱にすずめは「告白が苦手だ」と答える。すると有朱は「大人は誘惑するものだ」と語り、その方法をレクチャーする。  4人がノクターンに到着すると、そこには見知らぬ少年（前田旺志郎）が。その少年から「あなたのお父さん、もうすぐ亡くなります」と突然告げられ、動揺するすずめだったが…。松たか子  満島ひかり  高橋一生  松田龍平    吉岡里帆  富澤たけし（サンドウィッチマン）  八木亜希子  "&amp;"Mummy－D  もたいまさこ  脚本：坂元裕二  演出：金子文紀  チーフプロデュース：土井裕泰  プロデュース：佐野亜裕美    音楽：fox capture plan  ◇番組HP  http://www.tbs.co.jp/quartet2017/  ◇twitter  @quartet_tbs  https://twitter.com/quartet_tbs  番組の内容と放送時間は変更になる場合があります。")</f>
        <v>すずめ（満島ひかり）が別荘でダラダラしていると、有朱（吉岡里帆）がやってきたる。「なぜ彼氏を作らないのか」とたずねる有朱にすずめは「告白が苦手だ」と答える。すると有朱は「大人は誘惑するものだ」と語り、その方法をレクチャーする。  4人がノクターンに到着すると、そこには見知らぬ少年（前田旺志郎）が。その少年から「あなたのお父さん、もうすぐ亡くなります」と突然告げられ、動揺するすずめだったが…。松たか子  満島ひかり  高橋一生  松田龍平    吉岡里帆  富澤たけし（サンドウィッチマン）  八木亜希子  Mummy－D  もたいまさこ  脚本：坂元裕二  演出：金子文紀  チーフプロデュース：土井裕泰  プロデュース：佐野亜裕美    音楽：fox capture plan  ◇番組HP  http://www.tbs.co.jp/quartet2017/  ◇twitter  @quartet_tbs  https://twitter.com/quartet_tbs  番組の内容と放送時間は変更になる場合があります。</v>
      </c>
      <c r="N4956" s="2"/>
      <c r="O4956" s="2"/>
      <c r="P4956" s="1"/>
      <c r="Q4956" s="1"/>
      <c r="R4956" s="1"/>
      <c r="S4956" s="1"/>
      <c r="T4956" s="1"/>
      <c r="U4956" s="1"/>
      <c r="V4956" s="1"/>
      <c r="W4956" s="1"/>
      <c r="X4956" s="1"/>
      <c r="Y4956" s="1"/>
      <c r="Z4956" s="1"/>
      <c r="AA4956" s="1"/>
      <c r="AB4956" s="1"/>
      <c r="AC4956" s="1"/>
      <c r="AD4956" s="1"/>
      <c r="AE4956" s="1"/>
      <c r="AF4956" s="1"/>
      <c r="AG4956" s="1"/>
      <c r="AH4956" s="1"/>
      <c r="AI4956" s="1"/>
      <c r="AJ4956" s="1"/>
      <c r="AK4956" s="1"/>
      <c r="AL4956" s="1"/>
      <c r="AM4956" s="1"/>
      <c r="AN4956" s="1"/>
      <c r="AO4956" s="1"/>
      <c r="AP4956" s="1"/>
      <c r="AQ4956" s="1"/>
      <c r="AR4956" s="1"/>
      <c r="AS4956" s="1"/>
      <c r="AT4956" s="1"/>
      <c r="AU4956" s="1"/>
      <c r="AV4956" s="1"/>
      <c r="AW4956" s="1"/>
      <c r="AX4956" s="1"/>
      <c r="AY4956" s="1"/>
      <c r="AZ4956" s="1"/>
      <c r="BA4956" s="1"/>
      <c r="BB4956" s="1"/>
    </row>
    <row r="4957" ht="204.75" customHeight="1">
      <c r="A4957" s="1">
        <v>1334.0</v>
      </c>
      <c r="B4957" s="2" t="s">
        <v>13929</v>
      </c>
      <c r="C4957" s="2">
        <f>IFERROR(__xludf.DUMMYFUNCTION("split(B4957,""_"")"),1701.0)</f>
        <v>1701</v>
      </c>
      <c r="D4957" s="2" t="str">
        <f>IFERROR(__xludf.DUMMYFUNCTION("""COMPUTED_VALUE"""),"TBS")</f>
        <v>TBS</v>
      </c>
      <c r="E4957" s="2" t="str">
        <f>IFERROR(__xludf.DUMMYFUNCTION("""COMPUTED_VALUE"""),"火22")</f>
        <v>火22</v>
      </c>
      <c r="F4957" s="2" t="s">
        <v>13930</v>
      </c>
      <c r="G4957" s="2" t="s">
        <v>13937</v>
      </c>
      <c r="H4957" s="1">
        <v>4.0</v>
      </c>
      <c r="J4957" s="1" t="s">
        <v>86</v>
      </c>
      <c r="K4957" s="2" t="s">
        <v>13938</v>
      </c>
      <c r="L4957" s="2"/>
      <c r="M4957" s="2" t="str">
        <f>IFERROR(__xludf.DUMMYFUNCTION("split(split(K4957,""【"",false),""公式LINE"",false)"),"ある日、諭高を追っていた半田（Mummy－D）と墨田（藤原季節）が別荘をたずねてきた。半田はある写真を見せ、「この女の行方を話せ」と問い詰めるが、諭高は知らないの一点張り。諦めた半田は、人質とばかりに諭高のヴィオラを持ち去ってしまう。  その後、写真に写っていた女性（高橋メアリージュン）との関係を聞かれた諭高は、驚きの過去を話し出し…松たか子  満島ひかり  高橋一生  松田龍平    吉岡里帆  富澤たけし（サンドウィッチマン）  八木亜希子  Mummy－D  もたいまさこ    ＜ゲスト＞  高橋メ"&amp;"アリージュン脚本：坂元裕二  演出：金子文紀  プロデュース：佐野亜裕美    音楽：fox capture plan  ◇番組HP  http://www.tbs.co.jp/quartet2017/  ◇twitter  @quartet_tbs  https://twitter.com/quartet_tbs  番組の内容と放送時間は変更になる場合があります。")</f>
        <v>ある日、諭高を追っていた半田（Mummy－D）と墨田（藤原季節）が別荘をたずねてきた。半田はある写真を見せ、「この女の行方を話せ」と問い詰めるが、諭高は知らないの一点張り。諦めた半田は、人質とばかりに諭高のヴィオラを持ち去ってしまう。  その後、写真に写っていた女性（高橋メアリージュン）との関係を聞かれた諭高は、驚きの過去を話し出し…松たか子  満島ひかり  高橋一生  松田龍平    吉岡里帆  富澤たけし（サンドウィッチマン）  八木亜希子  Mummy－D  もたいまさこ    ＜ゲスト＞  高橋メアリージュン脚本：坂元裕二  演出：金子文紀  プロデュース：佐野亜裕美    音楽：fox capture plan  ◇番組HP  http://www.tbs.co.jp/quartet2017/  ◇twitter  @quartet_tbs  https://twitter.com/quartet_tbs  番組の内容と放送時間は変更になる場合があります。</v>
      </c>
      <c r="N4957" s="2"/>
      <c r="O4957" s="2"/>
      <c r="P4957" s="1"/>
      <c r="Q4957" s="1"/>
      <c r="R4957" s="1"/>
      <c r="S4957" s="1"/>
      <c r="T4957" s="1"/>
      <c r="U4957" s="1"/>
      <c r="V4957" s="1"/>
      <c r="W4957" s="1"/>
      <c r="X4957" s="1"/>
      <c r="Y4957" s="1"/>
      <c r="Z4957" s="1"/>
      <c r="AA4957" s="1"/>
      <c r="AB4957" s="1"/>
      <c r="AC4957" s="1"/>
      <c r="AD4957" s="1"/>
      <c r="AE4957" s="1"/>
      <c r="AF4957" s="1"/>
      <c r="AG4957" s="1"/>
      <c r="AH4957" s="1"/>
      <c r="AI4957" s="1"/>
      <c r="AJ4957" s="1"/>
      <c r="AK4957" s="1"/>
      <c r="AL4957" s="1"/>
      <c r="AM4957" s="1"/>
      <c r="AN4957" s="1"/>
      <c r="AO4957" s="1"/>
      <c r="AP4957" s="1"/>
      <c r="AQ4957" s="1"/>
      <c r="AR4957" s="1"/>
      <c r="AS4957" s="1"/>
      <c r="AT4957" s="1"/>
      <c r="AU4957" s="1"/>
      <c r="AV4957" s="1"/>
      <c r="AW4957" s="1"/>
      <c r="AX4957" s="1"/>
      <c r="AY4957" s="1"/>
      <c r="AZ4957" s="1"/>
      <c r="BA4957" s="1"/>
      <c r="BB4957" s="1"/>
    </row>
    <row r="4958" ht="204.75" customHeight="1">
      <c r="A4958" s="1">
        <v>1335.0</v>
      </c>
      <c r="B4958" s="2" t="s">
        <v>13929</v>
      </c>
      <c r="C4958" s="2">
        <f>IFERROR(__xludf.DUMMYFUNCTION("split(B4958,""_"")"),1701.0)</f>
        <v>1701</v>
      </c>
      <c r="D4958" s="2" t="str">
        <f>IFERROR(__xludf.DUMMYFUNCTION("""COMPUTED_VALUE"""),"TBS")</f>
        <v>TBS</v>
      </c>
      <c r="E4958" s="2" t="str">
        <f>IFERROR(__xludf.DUMMYFUNCTION("""COMPUTED_VALUE"""),"火22")</f>
        <v>火22</v>
      </c>
      <c r="F4958" s="2" t="s">
        <v>13930</v>
      </c>
      <c r="G4958" s="2" t="s">
        <v>13939</v>
      </c>
      <c r="H4958" s="1">
        <v>5.0</v>
      </c>
      <c r="J4958" s="1" t="s">
        <v>86</v>
      </c>
      <c r="K4958" s="2" t="s">
        <v>13940</v>
      </c>
      <c r="L4958" s="2"/>
      <c r="M4958" s="2" t="str">
        <f>IFERROR(__xludf.DUMMYFUNCTION("split(split(K4958,""【"",false),""公式LINE"",false)"),"東京のマンションで再会した真紀（松たか子）と鏡子（もたいまさこ）。「息子は死んだ気がする」という鏡子に、真紀は予想外の言葉を……。  そんな中、真紀らカルテットのもとに音楽プロデューサーの朝木（浅野和之）が現れ、クラシック音楽のフェスティバルに参加しないかと誘う。真紀は、そんな舞台には立てないと拒否するが、すずめ（満島ひかり）と諭高（高橋一生）に諭され、恐々としながらも承諾し…松たか子  満島ひかり  高橋一生  松田龍平    吉岡里帆  富澤たけし（サンドウィッチマン）  八木亜希子  Mummy－D"&amp;"  もたいまさこ    ＜ゲスト＞  浅野和之  平原テツ  安藤輪子  森岡龍脚本：坂元裕二  演出：坪井敏雄  プロデュース：佐野亜裕美    音楽：fox capture plan  ◇番組HP  http://www.tbs.co.jp/quartet2017/  ◇twitter  @quartet_tbs  https://twitter.com/quartet_tbs  番組の内容と放送時間は変更になる場合があります。")</f>
        <v>東京のマンションで再会した真紀（松たか子）と鏡子（もたいまさこ）。「息子は死んだ気がする」という鏡子に、真紀は予想外の言葉を……。  そんな中、真紀らカルテットのもとに音楽プロデューサーの朝木（浅野和之）が現れ、クラシック音楽のフェスティバルに参加しないかと誘う。真紀は、そんな舞台には立てないと拒否するが、すずめ（満島ひかり）と諭高（高橋一生）に諭され、恐々としながらも承諾し…松たか子  満島ひかり  高橋一生  松田龍平    吉岡里帆  富澤たけし（サンドウィッチマン）  八木亜希子  Mummy－D  もたいまさこ    ＜ゲスト＞  浅野和之  平原テツ  安藤輪子  森岡龍脚本：坂元裕二  演出：坪井敏雄  プロデュース：佐野亜裕美    音楽：fox capture plan  ◇番組HP  http://www.tbs.co.jp/quartet2017/  ◇twitter  @quartet_tbs  https://twitter.com/quartet_tbs  番組の内容と放送時間は変更になる場合があります。</v>
      </c>
      <c r="N4958" s="2"/>
      <c r="O4958" s="2"/>
      <c r="P4958" s="1"/>
      <c r="Q4958" s="1"/>
      <c r="R4958" s="1"/>
      <c r="S4958" s="1"/>
      <c r="T4958" s="1"/>
      <c r="U4958" s="1"/>
      <c r="V4958" s="1"/>
      <c r="W4958" s="1"/>
      <c r="X4958" s="1"/>
      <c r="Y4958" s="1"/>
      <c r="Z4958" s="1"/>
      <c r="AA4958" s="1"/>
      <c r="AB4958" s="1"/>
      <c r="AC4958" s="1"/>
      <c r="AD4958" s="1"/>
      <c r="AE4958" s="1"/>
      <c r="AF4958" s="1"/>
      <c r="AG4958" s="1"/>
      <c r="AH4958" s="1"/>
      <c r="AI4958" s="1"/>
      <c r="AJ4958" s="1"/>
      <c r="AK4958" s="1"/>
      <c r="AL4958" s="1"/>
      <c r="AM4958" s="1"/>
      <c r="AN4958" s="1"/>
      <c r="AO4958" s="1"/>
      <c r="AP4958" s="1"/>
      <c r="AQ4958" s="1"/>
      <c r="AR4958" s="1"/>
      <c r="AS4958" s="1"/>
      <c r="AT4958" s="1"/>
      <c r="AU4958" s="1"/>
      <c r="AV4958" s="1"/>
      <c r="AW4958" s="1"/>
      <c r="AX4958" s="1"/>
      <c r="AY4958" s="1"/>
      <c r="AZ4958" s="1"/>
      <c r="BA4958" s="1"/>
      <c r="BB4958" s="1"/>
    </row>
    <row r="4959" ht="204.75" customHeight="1">
      <c r="A4959" s="1">
        <v>1336.0</v>
      </c>
      <c r="B4959" s="2" t="s">
        <v>13929</v>
      </c>
      <c r="C4959" s="2">
        <f>IFERROR(__xludf.DUMMYFUNCTION("split(B4959,""_"")"),1701.0)</f>
        <v>1701</v>
      </c>
      <c r="D4959" s="2" t="str">
        <f>IFERROR(__xludf.DUMMYFUNCTION("""COMPUTED_VALUE"""),"TBS")</f>
        <v>TBS</v>
      </c>
      <c r="E4959" s="2" t="str">
        <f>IFERROR(__xludf.DUMMYFUNCTION("""COMPUTED_VALUE"""),"火22")</f>
        <v>火22</v>
      </c>
      <c r="F4959" s="2" t="s">
        <v>13930</v>
      </c>
      <c r="G4959" s="2" t="s">
        <v>13941</v>
      </c>
      <c r="H4959" s="1">
        <v>6.0</v>
      </c>
      <c r="J4959" s="1" t="s">
        <v>86</v>
      </c>
      <c r="K4959" s="2" t="s">
        <v>13942</v>
      </c>
      <c r="L4959" s="2"/>
      <c r="M4959" s="2" t="str">
        <f>IFERROR(__xludf.DUMMYFUNCTION("split(split(K4959,""【"",false),""公式LINE"",false)"),"ひょんなことから、すずめ（満島ひかり）は幹生（宮藤官九郎）という男性と知り合う。実は幹生は真紀（松たか子）の失踪した夫なのだが、幹生はなぜか諭高（高橋一生）の先輩だと身分を偽る。ある思いから幹生を別荘に招いたすずめは、幹生の靴に防犯用のカラーボールの痕がついていることに気付き…。  一方、真紀は鏡子（もたいまさこ）と再会する。「幹生を殺したのか」と問い詰められた真紀は、夫婦の過去を告白して─。松たか子  満島ひかり  高橋一生  松田龍平    吉岡里帆  富澤たけし（サンドウィッチマン）  八木亜希子 "&amp;" Mummy－D  もたいまさこ  脚本：坂元裕二  演出：坪井敏雄  プロデュース：佐野亜裕美主題歌：おとなの掟／Doughnuts Hole（作詞作曲：椎名林檎）  音楽：fox capture plan  ◇番組HP  http://www.tbs.co.jp/quartet2017/  ◇twitter  @quartet_tbs  https://twitter.com/quartet_tbs  番組の内容と放送時間は変更になる場合があります。")</f>
        <v>ひょんなことから、すずめ（満島ひかり）は幹生（宮藤官九郎）という男性と知り合う。実は幹生は真紀（松たか子）の失踪した夫なのだが、幹生はなぜか諭高（高橋一生）の先輩だと身分を偽る。ある思いから幹生を別荘に招いたすずめは、幹生の靴に防犯用のカラーボールの痕がついていることに気付き…。  一方、真紀は鏡子（もたいまさこ）と再会する。「幹生を殺したのか」と問い詰められた真紀は、夫婦の過去を告白して─。松たか子  満島ひかり  高橋一生  松田龍平    吉岡里帆  富澤たけし（サンドウィッチマン）  八木亜希子  Mummy－D  もたいまさこ  脚本：坂元裕二  演出：坪井敏雄  プロデュース：佐野亜裕美主題歌：おとなの掟／Doughnuts Hole（作詞作曲：椎名林檎）  音楽：fox capture plan  ◇番組HP  http://www.tbs.co.jp/quartet2017/  ◇twitter  @quartet_tbs  https://twitter.com/quartet_tbs  番組の内容と放送時間は変更になる場合があります。</v>
      </c>
      <c r="N4959" s="2"/>
      <c r="O4959" s="2"/>
      <c r="P4959" s="1"/>
      <c r="Q4959" s="1"/>
      <c r="R4959" s="1"/>
      <c r="S4959" s="1"/>
      <c r="T4959" s="1"/>
      <c r="U4959" s="1"/>
      <c r="V4959" s="1"/>
      <c r="W4959" s="1"/>
      <c r="X4959" s="1"/>
      <c r="Y4959" s="1"/>
      <c r="Z4959" s="1"/>
      <c r="AA4959" s="1"/>
      <c r="AB4959" s="1"/>
      <c r="AC4959" s="1"/>
      <c r="AD4959" s="1"/>
      <c r="AE4959" s="1"/>
      <c r="AF4959" s="1"/>
      <c r="AG4959" s="1"/>
      <c r="AH4959" s="1"/>
      <c r="AI4959" s="1"/>
      <c r="AJ4959" s="1"/>
      <c r="AK4959" s="1"/>
      <c r="AL4959" s="1"/>
      <c r="AM4959" s="1"/>
      <c r="AN4959" s="1"/>
      <c r="AO4959" s="1"/>
      <c r="AP4959" s="1"/>
      <c r="AQ4959" s="1"/>
      <c r="AR4959" s="1"/>
      <c r="AS4959" s="1"/>
      <c r="AT4959" s="1"/>
      <c r="AU4959" s="1"/>
      <c r="AV4959" s="1"/>
      <c r="AW4959" s="1"/>
      <c r="AX4959" s="1"/>
      <c r="AY4959" s="1"/>
      <c r="AZ4959" s="1"/>
      <c r="BA4959" s="1"/>
      <c r="BB4959" s="1"/>
    </row>
    <row r="4960" ht="204.75" customHeight="1">
      <c r="A4960" s="1">
        <v>1337.0</v>
      </c>
      <c r="B4960" s="2" t="s">
        <v>13929</v>
      </c>
      <c r="C4960" s="2">
        <f>IFERROR(__xludf.DUMMYFUNCTION("split(B4960,""_"")"),1701.0)</f>
        <v>1701</v>
      </c>
      <c r="D4960" s="2" t="str">
        <f>IFERROR(__xludf.DUMMYFUNCTION("""COMPUTED_VALUE"""),"TBS")</f>
        <v>TBS</v>
      </c>
      <c r="E4960" s="2" t="str">
        <f>IFERROR(__xludf.DUMMYFUNCTION("""COMPUTED_VALUE"""),"火22")</f>
        <v>火22</v>
      </c>
      <c r="F4960" s="2" t="s">
        <v>13930</v>
      </c>
      <c r="G4960" s="2" t="s">
        <v>13943</v>
      </c>
      <c r="H4960" s="1">
        <v>7.0</v>
      </c>
      <c r="J4960" s="1" t="s">
        <v>86</v>
      </c>
      <c r="K4960" s="2" t="s">
        <v>13944</v>
      </c>
      <c r="L4960" s="2"/>
      <c r="M4960" s="2" t="str">
        <f>IFERROR(__xludf.DUMMYFUNCTION("split(split(K4960,""【"",false),""公式LINE"",false)"),"なぜすずめは縛られていたのか…  なぜ有朱は別荘にやってきたのか…  幹生は何をしてしまったのか…    そして、真紀、幹生夫妻の選んだ結末とは…！？松たか子  満島ひかり  高橋一生  松田龍平    吉岡里帆  富澤たけし（サンドウィッチマン）  八木亜希子  Mummy－D    宮藤官九郎  もたいまさこ主題歌：おとなの掟／Doughnuts Hole（作詞作曲：椎名林檎）  音楽：fox capture plan  脚本：坂元裕二  演出：坪井敏雄  プロデュース：佐野亜裕美    音楽：fox"&amp;" capture plan  ◇番組HP  http://www.tbs.co.jp/quartet2017/  ◇twitter  @quartet_tbs  https://twitter.com/quartet_tbs  番組の内容と放送時間は変更になる場合があります。")</f>
        <v>なぜすずめは縛られていたのか…  なぜ有朱は別荘にやってきたのか…  幹生は何をしてしまったのか…    そして、真紀、幹生夫妻の選んだ結末とは…！？松たか子  満島ひかり  高橋一生  松田龍平    吉岡里帆  富澤たけし（サンドウィッチマン）  八木亜希子  Mummy－D    宮藤官九郎  もたいまさこ主題歌：おとなの掟／Doughnuts Hole（作詞作曲：椎名林檎）  音楽：fox capture plan  脚本：坂元裕二  演出：坪井敏雄  プロデュース：佐野亜裕美    音楽：fox capture plan  ◇番組HP  http://www.tbs.co.jp/quartet2017/  ◇twitter  @quartet_tbs  https://twitter.com/quartet_tbs  番組の内容と放送時間は変更になる場合があります。</v>
      </c>
      <c r="N4960" s="2"/>
      <c r="O4960" s="2"/>
      <c r="P4960" s="1"/>
      <c r="Q4960" s="1"/>
      <c r="R4960" s="1"/>
      <c r="S4960" s="1"/>
      <c r="T4960" s="1"/>
      <c r="U4960" s="1"/>
      <c r="V4960" s="1"/>
      <c r="W4960" s="1"/>
      <c r="X4960" s="1"/>
      <c r="Y4960" s="1"/>
      <c r="Z4960" s="1"/>
      <c r="AA4960" s="1"/>
      <c r="AB4960" s="1"/>
      <c r="AC4960" s="1"/>
      <c r="AD4960" s="1"/>
      <c r="AE4960" s="1"/>
      <c r="AF4960" s="1"/>
      <c r="AG4960" s="1"/>
      <c r="AH4960" s="1"/>
      <c r="AI4960" s="1"/>
      <c r="AJ4960" s="1"/>
      <c r="AK4960" s="1"/>
      <c r="AL4960" s="1"/>
      <c r="AM4960" s="1"/>
      <c r="AN4960" s="1"/>
      <c r="AO4960" s="1"/>
      <c r="AP4960" s="1"/>
      <c r="AQ4960" s="1"/>
      <c r="AR4960" s="1"/>
      <c r="AS4960" s="1"/>
      <c r="AT4960" s="1"/>
      <c r="AU4960" s="1"/>
      <c r="AV4960" s="1"/>
      <c r="AW4960" s="1"/>
      <c r="AX4960" s="1"/>
      <c r="AY4960" s="1"/>
      <c r="AZ4960" s="1"/>
      <c r="BA4960" s="1"/>
      <c r="BB4960" s="1"/>
    </row>
    <row r="4961" ht="204.75" customHeight="1">
      <c r="A4961" s="1">
        <v>1338.0</v>
      </c>
      <c r="B4961" s="2" t="s">
        <v>13929</v>
      </c>
      <c r="C4961" s="2">
        <f>IFERROR(__xludf.DUMMYFUNCTION("split(B4961,""_"")"),1701.0)</f>
        <v>1701</v>
      </c>
      <c r="D4961" s="2" t="str">
        <f>IFERROR(__xludf.DUMMYFUNCTION("""COMPUTED_VALUE"""),"TBS")</f>
        <v>TBS</v>
      </c>
      <c r="E4961" s="2" t="str">
        <f>IFERROR(__xludf.DUMMYFUNCTION("""COMPUTED_VALUE"""),"火22")</f>
        <v>火22</v>
      </c>
      <c r="F4961" s="2" t="s">
        <v>13930</v>
      </c>
      <c r="G4961" s="2" t="s">
        <v>13945</v>
      </c>
      <c r="H4961" s="1">
        <v>8.0</v>
      </c>
      <c r="J4961" s="1" t="s">
        <v>86</v>
      </c>
      <c r="K4961" s="2" t="s">
        <v>13946</v>
      </c>
      <c r="L4961" s="2"/>
      <c r="M4961" s="2" t="str">
        <f>IFERROR(__xludf.DUMMYFUNCTION("split(split(K4961,""【"",false),""公式LINE"",false)"),"真紀が離婚したことで、より一層4人での生活は和気藹々としたものに。そんなある日、すずめの司への想いを知る諭高は「真紀さんが離婚してピンチじゃない？」とふっかける。しかしすずめは「真紀と司をくっつけるために協力して欲しい」と諭高に頼み、真紀と司をデートさせようと試行錯誤して…。  全員、片思い完結！？  四角関係の行方は？  そんな中、“最後の嘘”が明らかに…。松たか子  満島ひかり  高橋一生  松田龍平    吉岡里帆  富澤たけし（サンドウィッチマン）  八木亜希子  もたいまさこ    ＜ゲスト＞ "&amp;" 大倉孝二  木下政治  森岡龍  ミッキー・カーチス主題歌：おとなの掟／Doughnuts Hole（作詞作曲：椎名林檎）  音楽：fox capture plan  脚本：坂元裕二  演出：土井裕泰  プロデュース：佐野亜裕美    音楽：fox capture plan  ◇番組HP  http://www.tbs.co.jp/quartet2017/  ◇twitter  @quartet_tbs  https://twitter.com/quartet_tbs  2017WBC　1次ラウンド　日"&amp;"本×キューバの試合状況により、放送時間が変更になる可能性がございます。")</f>
        <v>真紀が離婚したことで、より一層4人での生活は和気藹々としたものに。そんなある日、すずめの司への想いを知る諭高は「真紀さんが離婚してピンチじゃない？」とふっかける。しかしすずめは「真紀と司をくっつけるために協力して欲しい」と諭高に頼み、真紀と司をデートさせようと試行錯誤して…。  全員、片思い完結！？  四角関係の行方は？  そんな中、“最後の嘘”が明らかに…。松たか子  満島ひかり  高橋一生  松田龍平    吉岡里帆  富澤たけし（サンドウィッチマン）  八木亜希子  もたいまさこ    ＜ゲスト＞  大倉孝二  木下政治  森岡龍  ミッキー・カーチス主題歌：おとなの掟／Doughnuts Hole（作詞作曲：椎名林檎）  音楽：fox capture plan  脚本：坂元裕二  演出：土井裕泰  プロデュース：佐野亜裕美    音楽：fox capture plan  ◇番組HP  http://www.tbs.co.jp/quartet2017/  ◇twitter  @quartet_tbs  https://twitter.com/quartet_tbs  2017WBC　1次ラウンド　日本×キューバの試合状況により、放送時間が変更になる可能性がございます。</v>
      </c>
      <c r="N4961" s="2"/>
      <c r="O4961" s="2"/>
      <c r="P4961" s="1"/>
      <c r="Q4961" s="1"/>
      <c r="R4961" s="1"/>
      <c r="S4961" s="1"/>
      <c r="T4961" s="1"/>
      <c r="U4961" s="1"/>
      <c r="V4961" s="1"/>
      <c r="W4961" s="1"/>
      <c r="X4961" s="1"/>
      <c r="Y4961" s="1"/>
      <c r="Z4961" s="1"/>
      <c r="AA4961" s="1"/>
      <c r="AB4961" s="1"/>
      <c r="AC4961" s="1"/>
      <c r="AD4961" s="1"/>
      <c r="AE4961" s="1"/>
      <c r="AF4961" s="1"/>
      <c r="AG4961" s="1"/>
      <c r="AH4961" s="1"/>
      <c r="AI4961" s="1"/>
      <c r="AJ4961" s="1"/>
      <c r="AK4961" s="1"/>
      <c r="AL4961" s="1"/>
      <c r="AM4961" s="1"/>
      <c r="AN4961" s="1"/>
      <c r="AO4961" s="1"/>
      <c r="AP4961" s="1"/>
      <c r="AQ4961" s="1"/>
      <c r="AR4961" s="1"/>
      <c r="AS4961" s="1"/>
      <c r="AT4961" s="1"/>
      <c r="AU4961" s="1"/>
      <c r="AV4961" s="1"/>
      <c r="AW4961" s="1"/>
      <c r="AX4961" s="1"/>
      <c r="AY4961" s="1"/>
      <c r="AZ4961" s="1"/>
      <c r="BA4961" s="1"/>
      <c r="BB4961" s="1"/>
    </row>
    <row r="4962" ht="204.75" customHeight="1">
      <c r="A4962" s="1">
        <v>1339.0</v>
      </c>
      <c r="B4962" s="2" t="s">
        <v>13929</v>
      </c>
      <c r="C4962" s="2">
        <f>IFERROR(__xludf.DUMMYFUNCTION("split(B4962,""_"")"),1701.0)</f>
        <v>1701</v>
      </c>
      <c r="D4962" s="2" t="str">
        <f>IFERROR(__xludf.DUMMYFUNCTION("""COMPUTED_VALUE"""),"TBS")</f>
        <v>TBS</v>
      </c>
      <c r="E4962" s="2" t="str">
        <f>IFERROR(__xludf.DUMMYFUNCTION("""COMPUTED_VALUE"""),"火22")</f>
        <v>火22</v>
      </c>
      <c r="F4962" s="2" t="s">
        <v>13930</v>
      </c>
      <c r="G4962" s="2" t="s">
        <v>13947</v>
      </c>
      <c r="H4962" s="1">
        <v>9.0</v>
      </c>
      <c r="J4962" s="1" t="s">
        <v>86</v>
      </c>
      <c r="K4962" s="2" t="s">
        <v>13948</v>
      </c>
      <c r="L4962" s="2"/>
      <c r="M4962" s="2" t="str">
        <f>IFERROR(__xludf.DUMMYFUNCTION("split(split(K4962,""【"",false),""公式LINE"",false)"),"大菅（大倉孝二）から真紀（松たか子）が全くの別人だったと告げられた鏡子（もたいまさこ）。警察が真紀を捜査していると知り、激しく動揺する。  一方、真紀らの元に、別荘の査定見積書を持った不動産鑑定士が現れる。売却話が出ていたにも関わらず、真紀、すずめ（満島ひかり）、諭高（高橋一生）に黙っていたことを謝罪する司（松田龍平）。不安に思う3人に対し、司は自分がなんとかするので少し時間をくれと申し出る。松たか子  満島ひかり  高橋一生  松田龍平    吉岡里帆  富澤たけし（サンドウィッチマン）  八木亜希子 "&amp;" Mummy－D  もたいまさこ    ＜ゲスト＞  大倉孝二  篠原ゆき子  木下政治    坂本美雨主題歌：おとなの掟／Doughnuts Hole（作詞作曲：椎名林檎）  音楽：fox capture plan  脚本：坂元裕二  演出：坪井敏雄  プロデュース：佐野亜裕美    音楽：fox capture plan  ◇番組HP  http://www.tbs.co.jp/quartet2017/  ◇twitter  @quartet_tbs  https://twitter.com/quar"&amp;"tet_tbs  2017WBC　2次ラウンド　第2戦の試合状況により、放送時間が変更になる可能性がございます。")</f>
        <v>大菅（大倉孝二）から真紀（松たか子）が全くの別人だったと告げられた鏡子（もたいまさこ）。警察が真紀を捜査していると知り、激しく動揺する。  一方、真紀らの元に、別荘の査定見積書を持った不動産鑑定士が現れる。売却話が出ていたにも関わらず、真紀、すずめ（満島ひかり）、諭高（高橋一生）に黙っていたことを謝罪する司（松田龍平）。不安に思う3人に対し、司は自分がなんとかするので少し時間をくれと申し出る。松たか子  満島ひかり  高橋一生  松田龍平    吉岡里帆  富澤たけし（サンドウィッチマン）  八木亜希子  Mummy－D  もたいまさこ    ＜ゲスト＞  大倉孝二  篠原ゆき子  木下政治    坂本美雨主題歌：おとなの掟／Doughnuts Hole（作詞作曲：椎名林檎）  音楽：fox capture plan  脚本：坂元裕二  演出：坪井敏雄  プロデュース：佐野亜裕美    音楽：fox capture plan  ◇番組HP  http://www.tbs.co.jp/quartet2017/  ◇twitter  @quartet_tbs  https://twitter.com/quartet_tbs  2017WBC　2次ラウンド　第2戦の試合状況により、放送時間が変更になる可能性がございます。</v>
      </c>
      <c r="N4962" s="2"/>
      <c r="O4962" s="2"/>
      <c r="P4962" s="1"/>
      <c r="Q4962" s="1"/>
      <c r="R4962" s="1"/>
      <c r="S4962" s="1"/>
      <c r="T4962" s="1"/>
      <c r="U4962" s="1"/>
      <c r="V4962" s="1"/>
      <c r="W4962" s="1"/>
      <c r="X4962" s="1"/>
      <c r="Y4962" s="1"/>
      <c r="Z4962" s="1"/>
      <c r="AA4962" s="1"/>
      <c r="AB4962" s="1"/>
      <c r="AC4962" s="1"/>
      <c r="AD4962" s="1"/>
      <c r="AE4962" s="1"/>
      <c r="AF4962" s="1"/>
      <c r="AG4962" s="1"/>
      <c r="AH4962" s="1"/>
      <c r="AI4962" s="1"/>
      <c r="AJ4962" s="1"/>
      <c r="AK4962" s="1"/>
      <c r="AL4962" s="1"/>
      <c r="AM4962" s="1"/>
      <c r="AN4962" s="1"/>
      <c r="AO4962" s="1"/>
      <c r="AP4962" s="1"/>
      <c r="AQ4962" s="1"/>
      <c r="AR4962" s="1"/>
      <c r="AS4962" s="1"/>
      <c r="AT4962" s="1"/>
      <c r="AU4962" s="1"/>
      <c r="AV4962" s="1"/>
      <c r="AW4962" s="1"/>
      <c r="AX4962" s="1"/>
      <c r="AY4962" s="1"/>
      <c r="AZ4962" s="1"/>
      <c r="BA4962" s="1"/>
      <c r="BB4962" s="1"/>
    </row>
    <row r="4963" ht="204.75" customHeight="1">
      <c r="A4963" s="1">
        <v>1340.0</v>
      </c>
      <c r="B4963" s="2" t="s">
        <v>13929</v>
      </c>
      <c r="C4963" s="2">
        <f>IFERROR(__xludf.DUMMYFUNCTION("split(B4963,""_"")"),1701.0)</f>
        <v>1701</v>
      </c>
      <c r="D4963" s="2" t="str">
        <f>IFERROR(__xludf.DUMMYFUNCTION("""COMPUTED_VALUE"""),"TBS")</f>
        <v>TBS</v>
      </c>
      <c r="E4963" s="2" t="str">
        <f>IFERROR(__xludf.DUMMYFUNCTION("""COMPUTED_VALUE"""),"火22")</f>
        <v>火22</v>
      </c>
      <c r="F4963" s="2" t="s">
        <v>13930</v>
      </c>
      <c r="G4963" s="2" t="s">
        <v>13949</v>
      </c>
      <c r="H4963" s="1">
        <v>10.0</v>
      </c>
      <c r="J4963" s="1" t="s">
        <v>86</v>
      </c>
      <c r="K4963" s="2" t="s">
        <v>13950</v>
      </c>
      <c r="L4963" s="2"/>
      <c r="M4963" s="2" t="str">
        <f>IFERROR(__xludf.DUMMYFUNCTION("split(split(K4963,""【"",false),""公式LINE"",false)"),"放送をお楽しみに！松たか子  満島ひかり  高橋一生  松田龍平    吉岡里帆  富澤たけし（サンドウィッチマン）  八木亜希子  Mummy－D  もたいまさこ  主題歌：おとなの掟／Doughnuts Hole（作詞作曲：椎名林檎）  音楽：fox capture plan  脚本：坂元裕二  演出：土井裕泰  プロデュース：佐野亜裕美    音楽：fox capture plan  ◇番組HP  http://www.tbs.co.jp/quartet2017/  ◇twitter  @quart"&amp;"et_tbs  https://twitter.com/quartet_tbs  番組の内容と放送時間は変更になる場合があります。")</f>
        <v>放送をお楽しみに！松たか子  満島ひかり  高橋一生  松田龍平    吉岡里帆  富澤たけし（サンドウィッチマン）  八木亜希子  Mummy－D  もたいまさこ  主題歌：おとなの掟／Doughnuts Hole（作詞作曲：椎名林檎）  音楽：fox capture plan  脚本：坂元裕二  演出：土井裕泰  プロデュース：佐野亜裕美    音楽：fox capture plan  ◇番組HP  http://www.tbs.co.jp/quartet2017/  ◇twitter  @quartet_tbs  https://twitter.com/quartet_tbs  番組の内容と放送時間は変更になる場合があります。</v>
      </c>
      <c r="N4963" s="2"/>
      <c r="O4963" s="2"/>
      <c r="P4963" s="1"/>
      <c r="Q4963" s="1"/>
      <c r="R4963" s="1"/>
      <c r="S4963" s="1"/>
      <c r="T4963" s="1"/>
      <c r="U4963" s="1"/>
      <c r="V4963" s="1"/>
      <c r="W4963" s="1"/>
      <c r="X4963" s="1"/>
      <c r="Y4963" s="1"/>
      <c r="Z4963" s="1"/>
      <c r="AA4963" s="1"/>
      <c r="AB4963" s="1"/>
      <c r="AC4963" s="1"/>
      <c r="AD4963" s="1"/>
      <c r="AE4963" s="1"/>
      <c r="AF4963" s="1"/>
      <c r="AG4963" s="1"/>
      <c r="AH4963" s="1"/>
      <c r="AI4963" s="1"/>
      <c r="AJ4963" s="1"/>
      <c r="AK4963" s="1"/>
      <c r="AL4963" s="1"/>
      <c r="AM4963" s="1"/>
      <c r="AN4963" s="1"/>
      <c r="AO4963" s="1"/>
      <c r="AP4963" s="1"/>
      <c r="AQ4963" s="1"/>
      <c r="AR4963" s="1"/>
      <c r="AS4963" s="1"/>
      <c r="AT4963" s="1"/>
      <c r="AU4963" s="1"/>
      <c r="AV4963" s="1"/>
      <c r="AW4963" s="1"/>
      <c r="AX4963" s="1"/>
      <c r="AY4963" s="1"/>
      <c r="AZ4963" s="1"/>
      <c r="BA4963" s="1"/>
      <c r="BB4963" s="1"/>
    </row>
    <row r="4964" ht="204.75" customHeight="1">
      <c r="A4964" s="1">
        <v>1382.0</v>
      </c>
      <c r="B4964" s="2" t="s">
        <v>13951</v>
      </c>
      <c r="C4964" s="2">
        <f>IFERROR(__xludf.DUMMYFUNCTION("split(B4964,""_"")"),1701.0)</f>
        <v>1701</v>
      </c>
      <c r="D4964" s="2" t="str">
        <f>IFERROR(__xludf.DUMMYFUNCTION("""COMPUTED_VALUE"""),"TBS")</f>
        <v>TBS</v>
      </c>
      <c r="E4964" s="2" t="str">
        <f>IFERROR(__xludf.DUMMYFUNCTION("""COMPUTED_VALUE"""),"金22")</f>
        <v>金22</v>
      </c>
      <c r="F4964" s="2" t="s">
        <v>13952</v>
      </c>
      <c r="G4964" s="2" t="s">
        <v>13953</v>
      </c>
      <c r="H4964" s="1">
        <v>1.0</v>
      </c>
      <c r="J4964" s="1" t="s">
        <v>82</v>
      </c>
      <c r="K4964" s="2" t="s">
        <v>13954</v>
      </c>
      <c r="L4964" s="2"/>
      <c r="M4964" s="2" t="str">
        <f>IFERROR(__xludf.DUMMYFUNCTION("split(split(K4964,""【"",false),""公式LINE"",false)"),"親子の愛が生んだ奇跡の実話をドラマ化！！中卒の父・桜井信一（阿部サダヲ）は落ちこぼれの娘の将来に不安を募らせ、妻・香夏子（深田恭子）に娘・佳織（山田美紅羽）を進学塾に入塾させようと提案する。しかし、香夏子は猛反対。しかも、塾では衝撃の発言をされ、大激怒する。愛する娘の幸せをひたすら願う信一は、大きな決意をする。しかし、その無謀すぎる決断には多くの試練が待ち受けていた……！阿部サダヲ　深田恭子　山田美紅羽／若旦那　皆川猿時　岡田浩暉　川村陽介　小芝風花／要潤　風間俊介　小林薫桜井信一「下剋上受験」（産経新聞"&amp;"出版）両沢和幸主題歌：斉藤和義「遺伝」（スピードスターレコーズ）　音楽：出羽良彰演出：福田亮介　プロデューサー：渡辺良介・八木亜未◇番組HP  http://www.tbs.co.jp/gekokujo_juken/  ◇twitter  @gekokujo_tbs  https://twitter.com/gekokujo_tbs番組の内容と放送時間は変更になる場合があります。")</f>
        <v>親子の愛が生んだ奇跡の実話をドラマ化！！中卒の父・桜井信一（阿部サダヲ）は落ちこぼれの娘の将来に不安を募らせ、妻・香夏子（深田恭子）に娘・佳織（山田美紅羽）を進学塾に入塾させようと提案する。しかし、香夏子は猛反対。しかも、塾では衝撃の発言をされ、大激怒する。愛する娘の幸せをひたすら願う信一は、大きな決意をする。しかし、その無謀すぎる決断には多くの試練が待ち受けていた……！阿部サダヲ　深田恭子　山田美紅羽／若旦那　皆川猿時　岡田浩暉　川村陽介　小芝風花／要潤　風間俊介　小林薫桜井信一「下剋上受験」（産経新聞出版）両沢和幸主題歌：斉藤和義「遺伝」（スピードスターレコーズ）　音楽：出羽良彰演出：福田亮介　プロデューサー：渡辺良介・八木亜未◇番組HP  http://www.tbs.co.jp/gekokujo_juken/  ◇twitter  @gekokujo_tbs  https://twitter.com/gekokujo_tbs番組の内容と放送時間は変更になる場合があります。</v>
      </c>
      <c r="N4964" s="2"/>
      <c r="O4964" s="2"/>
      <c r="P4964" s="1"/>
      <c r="Q4964" s="1"/>
      <c r="R4964" s="1"/>
      <c r="S4964" s="1"/>
      <c r="T4964" s="1"/>
      <c r="U4964" s="1"/>
      <c r="V4964" s="1"/>
      <c r="W4964" s="1"/>
      <c r="X4964" s="1"/>
      <c r="Y4964" s="1"/>
      <c r="Z4964" s="1"/>
      <c r="AA4964" s="1"/>
      <c r="AB4964" s="1"/>
      <c r="AC4964" s="1"/>
      <c r="AD4964" s="1"/>
      <c r="AE4964" s="1"/>
      <c r="AF4964" s="1"/>
      <c r="AG4964" s="1"/>
      <c r="AH4964" s="1"/>
      <c r="AI4964" s="1"/>
      <c r="AJ4964" s="1"/>
      <c r="AK4964" s="1"/>
      <c r="AL4964" s="1"/>
      <c r="AM4964" s="1"/>
      <c r="AN4964" s="1"/>
      <c r="AO4964" s="1"/>
      <c r="AP4964" s="1"/>
      <c r="AQ4964" s="1"/>
      <c r="AR4964" s="1"/>
      <c r="AS4964" s="1"/>
      <c r="AT4964" s="1"/>
      <c r="AU4964" s="1"/>
      <c r="AV4964" s="1"/>
      <c r="AW4964" s="1"/>
      <c r="AX4964" s="1"/>
      <c r="AY4964" s="1"/>
      <c r="AZ4964" s="1"/>
      <c r="BA4964" s="1"/>
      <c r="BB4964" s="1"/>
    </row>
    <row r="4965" ht="204.75" customHeight="1">
      <c r="A4965" s="1">
        <v>1383.0</v>
      </c>
      <c r="B4965" s="2" t="s">
        <v>13951</v>
      </c>
      <c r="C4965" s="2">
        <f>IFERROR(__xludf.DUMMYFUNCTION("split(B4965,""_"")"),1701.0)</f>
        <v>1701</v>
      </c>
      <c r="D4965" s="2" t="str">
        <f>IFERROR(__xludf.DUMMYFUNCTION("""COMPUTED_VALUE"""),"TBS")</f>
        <v>TBS</v>
      </c>
      <c r="E4965" s="2" t="str">
        <f>IFERROR(__xludf.DUMMYFUNCTION("""COMPUTED_VALUE"""),"金22")</f>
        <v>金22</v>
      </c>
      <c r="F4965" s="2" t="s">
        <v>13952</v>
      </c>
      <c r="G4965" s="2" t="s">
        <v>13955</v>
      </c>
      <c r="H4965" s="1">
        <v>2.0</v>
      </c>
      <c r="J4965" s="1" t="s">
        <v>86</v>
      </c>
      <c r="K4965" s="2" t="s">
        <v>13956</v>
      </c>
      <c r="L4965" s="2"/>
      <c r="M4965" s="2" t="str">
        <f>IFERROR(__xludf.DUMMYFUNCTION("split(split(K4965,""【"",false),""公式LINE"",false)"),"中学受験を宣言した信一（阿部サダヲ）は佳織（山田美紅羽）と問題集を買い、受験勉強をスタートする。しかし中卒の信一には全く解くことができず、妻・香夏子（深田恭子）も呆れ顔。最難関中学合格という目標を掲げるも、勉強の方法すらも分からず焦る信一。そんな時、後輩の楢崎（風間俊介）の勧めで、塾の体験授業に参加することに。しかし、そこである事件が起こる…。父は娘の幸せを思って、さらに無謀な決断をする。阿部サダヲ　深田恭子　山田美紅羽／若旦那　皆川猿時　岡田浩暉　川村陽介　小芝風花／要潤　津田寛治　風間俊介　小林薫桜井"&amp;"信一「下剋上受験」（産経新聞出版）両沢和幸主題歌：斉藤和義「遺伝」（スピードスターレコーズ）　音楽：出羽良彰演出：福田亮介　プロデューサー：渡辺良介、八木亜未◇番組HP  http://www.tbs.co.jp/gekokujo_juken/  ◇twitter  @gekokujo_tbs  https://twitter.com/gekokujo_tbs  ◇番組インスタ  https://www.instagram.com/gekokujo_tbs/  番組の内容と放送時間は変更になる場合がありま"&amp;"す。")</f>
        <v>中学受験を宣言した信一（阿部サダヲ）は佳織（山田美紅羽）と問題集を買い、受験勉強をスタートする。しかし中卒の信一には全く解くことができず、妻・香夏子（深田恭子）も呆れ顔。最難関中学合格という目標を掲げるも、勉強の方法すらも分からず焦る信一。そんな時、後輩の楢崎（風間俊介）の勧めで、塾の体験授業に参加することに。しかし、そこである事件が起こる…。父は娘の幸せを思って、さらに無謀な決断をする。阿部サダヲ　深田恭子　山田美紅羽／若旦那　皆川猿時　岡田浩暉　川村陽介　小芝風花／要潤　津田寛治　風間俊介　小林薫桜井信一「下剋上受験」（産経新聞出版）両沢和幸主題歌：斉藤和義「遺伝」（スピードスターレコーズ）　音楽：出羽良彰演出：福田亮介　プロデューサー：渡辺良介、八木亜未◇番組HP  http://www.tbs.co.jp/gekokujo_juken/  ◇twitter  @gekokujo_tbs  https://twitter.com/gekokujo_tbs  ◇番組インスタ  https://www.instagram.com/gekokujo_tbs/  番組の内容と放送時間は変更になる場合があります。</v>
      </c>
      <c r="N4965" s="2"/>
      <c r="O4965" s="2"/>
      <c r="P4965" s="1"/>
      <c r="Q4965" s="1"/>
      <c r="R4965" s="1"/>
      <c r="S4965" s="1"/>
      <c r="T4965" s="1"/>
      <c r="U4965" s="1"/>
      <c r="V4965" s="1"/>
      <c r="W4965" s="1"/>
      <c r="X4965" s="1"/>
      <c r="Y4965" s="1"/>
      <c r="Z4965" s="1"/>
      <c r="AA4965" s="1"/>
      <c r="AB4965" s="1"/>
      <c r="AC4965" s="1"/>
      <c r="AD4965" s="1"/>
      <c r="AE4965" s="1"/>
      <c r="AF4965" s="1"/>
      <c r="AG4965" s="1"/>
      <c r="AH4965" s="1"/>
      <c r="AI4965" s="1"/>
      <c r="AJ4965" s="1"/>
      <c r="AK4965" s="1"/>
      <c r="AL4965" s="1"/>
      <c r="AM4965" s="1"/>
      <c r="AN4965" s="1"/>
      <c r="AO4965" s="1"/>
      <c r="AP4965" s="1"/>
      <c r="AQ4965" s="1"/>
      <c r="AR4965" s="1"/>
      <c r="AS4965" s="1"/>
      <c r="AT4965" s="1"/>
      <c r="AU4965" s="1"/>
      <c r="AV4965" s="1"/>
      <c r="AW4965" s="1"/>
      <c r="AX4965" s="1"/>
      <c r="AY4965" s="1"/>
      <c r="AZ4965" s="1"/>
      <c r="BA4965" s="1"/>
      <c r="BB4965" s="1"/>
    </row>
    <row r="4966" ht="204.75" customHeight="1">
      <c r="A4966" s="1">
        <v>1384.0</v>
      </c>
      <c r="B4966" s="2" t="s">
        <v>13951</v>
      </c>
      <c r="C4966" s="2">
        <f>IFERROR(__xludf.DUMMYFUNCTION("split(B4966,""_"")"),1701.0)</f>
        <v>1701</v>
      </c>
      <c r="D4966" s="2" t="str">
        <f>IFERROR(__xludf.DUMMYFUNCTION("""COMPUTED_VALUE"""),"TBS")</f>
        <v>TBS</v>
      </c>
      <c r="E4966" s="2" t="str">
        <f>IFERROR(__xludf.DUMMYFUNCTION("""COMPUTED_VALUE"""),"金22")</f>
        <v>金22</v>
      </c>
      <c r="F4966" s="2" t="s">
        <v>13952</v>
      </c>
      <c r="G4966" s="2" t="s">
        <v>13957</v>
      </c>
      <c r="H4966" s="1">
        <v>3.0</v>
      </c>
      <c r="J4966" s="1" t="s">
        <v>86</v>
      </c>
      <c r="K4966" s="2" t="s">
        <v>13958</v>
      </c>
      <c r="L4966" s="2"/>
      <c r="M4966" s="2" t="str">
        <f>IFERROR(__xludf.DUMMYFUNCTION("split(split(K4966,""【"",false),""公式LINE"",false)"),"人生大逆転を賭けて猛勉強中の中卒親子（阿部サダヲ・深田恭子・山田美紅羽）。しかし、睡眠時間を削っての勉強がトラブルを巻き起こす。遂に受験反対の担任教師（小芝風花）が突然の家庭訪問！信一と佳織の中学受験を全面否定！その時、佳織の本音が爆発する！！娘の思いに信一と香夏子はある決断をする・・・。そして、信一の職場の後輩・楢崎（風間俊介）も信一に不満をぶつけるのだった。大波乱の親子の受験の行方は!?阿部サダヲ　深田恭子　山田美紅羽／若旦那　皆川猿時　岡田浩暉　川村陽介　小芝風花／要潤　風間俊介　小林薫原作：「下剋"&amp;"上受験」桜井信一（産經新聞出版）両沢和幸主題歌：「遺伝」斉藤和義（スピードスターレコーズ）  音楽：出羽良彰演出：吉田秋生　プロデューサー：渡辺良介、八木亜未◇番組HP  http://www.tbs.co.jp/gekokujo_juken/  ◇twitter  @gekokujo_tbs  https://twitter.com/gekokujo_tbs◇番組インスタ  https://www.instagram.com/gekokujo_tbs/  ◇LINEスタンプ好評配信中  http://l"&amp;"ine.me/S/sticker/1374376  番組の内容と放送時間は変更になる場合があります。")</f>
        <v>人生大逆転を賭けて猛勉強中の中卒親子（阿部サダヲ・深田恭子・山田美紅羽）。しかし、睡眠時間を削っての勉強がトラブルを巻き起こす。遂に受験反対の担任教師（小芝風花）が突然の家庭訪問！信一と佳織の中学受験を全面否定！その時、佳織の本音が爆発する！！娘の思いに信一と香夏子はある決断をする・・・。そして、信一の職場の後輩・楢崎（風間俊介）も信一に不満をぶつけるのだった。大波乱の親子の受験の行方は!?阿部サダヲ　深田恭子　山田美紅羽／若旦那　皆川猿時　岡田浩暉　川村陽介　小芝風花／要潤　風間俊介　小林薫原作：「下剋上受験」桜井信一（産經新聞出版）両沢和幸主題歌：「遺伝」斉藤和義（スピードスターレコーズ）  音楽：出羽良彰演出：吉田秋生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v>
      </c>
      <c r="N4966" s="2"/>
      <c r="O4966" s="2"/>
      <c r="P4966" s="1"/>
      <c r="Q4966" s="1"/>
      <c r="R4966" s="1"/>
      <c r="S4966" s="1"/>
      <c r="T4966" s="1"/>
      <c r="U4966" s="1"/>
      <c r="V4966" s="1"/>
      <c r="W4966" s="1"/>
      <c r="X4966" s="1"/>
      <c r="Y4966" s="1"/>
      <c r="Z4966" s="1"/>
      <c r="AA4966" s="1"/>
      <c r="AB4966" s="1"/>
      <c r="AC4966" s="1"/>
      <c r="AD4966" s="1"/>
      <c r="AE4966" s="1"/>
      <c r="AF4966" s="1"/>
      <c r="AG4966" s="1"/>
      <c r="AH4966" s="1"/>
      <c r="AI4966" s="1"/>
      <c r="AJ4966" s="1"/>
      <c r="AK4966" s="1"/>
      <c r="AL4966" s="1"/>
      <c r="AM4966" s="1"/>
      <c r="AN4966" s="1"/>
      <c r="AO4966" s="1"/>
      <c r="AP4966" s="1"/>
      <c r="AQ4966" s="1"/>
      <c r="AR4966" s="1"/>
      <c r="AS4966" s="1"/>
      <c r="AT4966" s="1"/>
      <c r="AU4966" s="1"/>
      <c r="AV4966" s="1"/>
      <c r="AW4966" s="1"/>
      <c r="AX4966" s="1"/>
      <c r="AY4966" s="1"/>
      <c r="AZ4966" s="1"/>
      <c r="BA4966" s="1"/>
      <c r="BB4966" s="1"/>
    </row>
    <row r="4967" ht="204.75" customHeight="1">
      <c r="A4967" s="1">
        <v>1385.0</v>
      </c>
      <c r="B4967" s="2" t="s">
        <v>13951</v>
      </c>
      <c r="C4967" s="2">
        <f>IFERROR(__xludf.DUMMYFUNCTION("split(B4967,""_"")"),1701.0)</f>
        <v>1701</v>
      </c>
      <c r="D4967" s="2" t="str">
        <f>IFERROR(__xludf.DUMMYFUNCTION("""COMPUTED_VALUE"""),"TBS")</f>
        <v>TBS</v>
      </c>
      <c r="E4967" s="2" t="str">
        <f>IFERROR(__xludf.DUMMYFUNCTION("""COMPUTED_VALUE"""),"金22")</f>
        <v>金22</v>
      </c>
      <c r="F4967" s="2" t="s">
        <v>13952</v>
      </c>
      <c r="G4967" s="2" t="s">
        <v>13959</v>
      </c>
      <c r="H4967" s="1">
        <v>4.0</v>
      </c>
      <c r="J4967" s="1" t="s">
        <v>86</v>
      </c>
      <c r="K4967" s="2" t="s">
        <v>13960</v>
      </c>
      <c r="L4967" s="2"/>
      <c r="M4967" s="2" t="str">
        <f>IFERROR(__xludf.DUMMYFUNCTION("split(split(K4967,""【"",false),""公式LINE"",false)"),"無謀な中学受験に挑戦中の信一（阿部サダヲ）と佳織（山田美紅羽）は、旅人算に頭を悩ませる。そんな時、楢崎（風間俊介）に反抗されて上司に叱られたのを機に、信一は、突然、会社を辞めて無職になる。楢崎から信一が会社を辞めたと知らされた香夏子（深田恭子）だったが、信一は言い出せず、夫婦に溝が生まれていく・・・。そして、遂に激怒した香夏子は、予想外の決断をするのだった。爆発する妻の本音とは！？阿部サダヲ　深田恭子　山田美紅羽／若旦那　皆川猿時　岡田浩暉　川村陽介　小芝風花／要潤　風間俊介　小林薫「下剋上受験」桜井信一"&amp;"（産經新聞出版）両沢和幸主題歌：「遺伝」斉藤和義（スピードスターレコーズ）  音楽：出羽良彰演出：吉田秋生　　プロデューサー：渡辺良介、八木亜未◇番組HP  http://www.tbs.co.jp/gekokujo_juken/  ◇twitter  @gekokujo_tbs  https://twitter.com/gekokujo_tbs◇番組インスタ  https://www.instagram.com/gekokujo_tbs/  ◇LINEスタンプ好評配信中  http://line.me/"&amp;"S/sticker/1374376  番組の内容と放送時間は変更になる場合があります。")</f>
        <v>無謀な中学受験に挑戦中の信一（阿部サダヲ）と佳織（山田美紅羽）は、旅人算に頭を悩ませる。そんな時、楢崎（風間俊介）に反抗されて上司に叱られたのを機に、信一は、突然、会社を辞めて無職になる。楢崎から信一が会社を辞めたと知らされた香夏子（深田恭子）だったが、信一は言い出せず、夫婦に溝が生まれていく・・・。そして、遂に激怒した香夏子は、予想外の決断をするのだった。爆発する妻の本音とは！？阿部サダヲ　深田恭子　山田美紅羽／若旦那　皆川猿時　岡田浩暉　川村陽介　小芝風花／要潤　風間俊介　小林薫「下剋上受験」桜井信一（産經新聞出版）両沢和幸主題歌：「遺伝」斉藤和義（スピードスターレコーズ）  音楽：出羽良彰演出：吉田秋生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v>
      </c>
      <c r="N4967" s="2"/>
      <c r="O4967" s="2"/>
      <c r="P4967" s="1"/>
      <c r="Q4967" s="1"/>
      <c r="R4967" s="1"/>
      <c r="S4967" s="1"/>
      <c r="T4967" s="1"/>
      <c r="U4967" s="1"/>
      <c r="V4967" s="1"/>
      <c r="W4967" s="1"/>
      <c r="X4967" s="1"/>
      <c r="Y4967" s="1"/>
      <c r="Z4967" s="1"/>
      <c r="AA4967" s="1"/>
      <c r="AB4967" s="1"/>
      <c r="AC4967" s="1"/>
      <c r="AD4967" s="1"/>
      <c r="AE4967" s="1"/>
      <c r="AF4967" s="1"/>
      <c r="AG4967" s="1"/>
      <c r="AH4967" s="1"/>
      <c r="AI4967" s="1"/>
      <c r="AJ4967" s="1"/>
      <c r="AK4967" s="1"/>
      <c r="AL4967" s="1"/>
      <c r="AM4967" s="1"/>
      <c r="AN4967" s="1"/>
      <c r="AO4967" s="1"/>
      <c r="AP4967" s="1"/>
      <c r="AQ4967" s="1"/>
      <c r="AR4967" s="1"/>
      <c r="AS4967" s="1"/>
      <c r="AT4967" s="1"/>
      <c r="AU4967" s="1"/>
      <c r="AV4967" s="1"/>
      <c r="AW4967" s="1"/>
      <c r="AX4967" s="1"/>
      <c r="AY4967" s="1"/>
      <c r="AZ4967" s="1"/>
      <c r="BA4967" s="1"/>
      <c r="BB4967" s="1"/>
    </row>
    <row r="4968" ht="204.75" customHeight="1">
      <c r="A4968" s="1">
        <v>1386.0</v>
      </c>
      <c r="B4968" s="2" t="s">
        <v>13951</v>
      </c>
      <c r="C4968" s="2">
        <f>IFERROR(__xludf.DUMMYFUNCTION("split(B4968,""_"")"),1701.0)</f>
        <v>1701</v>
      </c>
      <c r="D4968" s="2" t="str">
        <f>IFERROR(__xludf.DUMMYFUNCTION("""COMPUTED_VALUE"""),"TBS")</f>
        <v>TBS</v>
      </c>
      <c r="E4968" s="2" t="str">
        <f>IFERROR(__xludf.DUMMYFUNCTION("""COMPUTED_VALUE"""),"金22")</f>
        <v>金22</v>
      </c>
      <c r="F4968" s="2" t="s">
        <v>13952</v>
      </c>
      <c r="G4968" s="2" t="s">
        <v>13961</v>
      </c>
      <c r="H4968" s="1">
        <v>5.0</v>
      </c>
      <c r="J4968" s="1" t="s">
        <v>86</v>
      </c>
      <c r="K4968" s="2" t="s">
        <v>13962</v>
      </c>
      <c r="L4968" s="2"/>
      <c r="M4968" s="2" t="str">
        <f>IFERROR(__xludf.DUMMYFUNCTION("split(split(K4968,""【"",false),""公式LINE"",false)"),"受験勉強に専念したいと会社を辞めて主夫になった信一（阿部サダヲ）と代わって信一の元会社で働き出した香夏子（深田恭子）の逆転の夫婦生活がスタート！しかし、佳織（山田美紅羽）はライバルに実力が及ばないと自信を喪失。慣れない生活に夫婦関係も崩れ始め・・・無謀な中学受験挑戦が桜井家の絆を揺るがしていく。そして、信一は模試の結果次第で受験を断念すると宣言する。そんな時、ある事件が発生！受験の行方は！？阿部サダヲ　深田恭子　山田美紅羽／若旦那　皆川猿時　岡田浩暉　川村陽介　小芝風花／要潤　風間俊介　小林薫「下剋上受験"&amp;"」桜井信一（産經新聞出版）両沢和幸主題歌：「遺伝」斉藤和義（スピードスターレコーズ）  音楽：出羽良彰演出：福田亮介　プロデューサー：渡辺良介・八木亜未◇番組HP  http://www.tbs.co.jp/gekokujo_juken/  ◇twitter  @gekokujo_tbs  https://twitter.com/gekokujo_tbs◇番組インスタ  https://www.instagram.com/gekokujo_tbs/  ◇LINEスタンプ好評配信中  http://line"&amp;".me/S/sticker/1374376  番組の内容と放送時間は変更になる場合があります。")</f>
        <v>受験勉強に専念したいと会社を辞めて主夫になった信一（阿部サダヲ）と代わって信一の元会社で働き出した香夏子（深田恭子）の逆転の夫婦生活がスタート！しかし、佳織（山田美紅羽）はライバルに実力が及ばないと自信を喪失。慣れない生活に夫婦関係も崩れ始め・・・無謀な中学受験挑戦が桜井家の絆を揺るがしていく。そして、信一は模試の結果次第で受験を断念すると宣言する。そんな時、ある事件が発生！受験の行方は！？阿部サダヲ　深田恭子　山田美紅羽／若旦那　皆川猿時　岡田浩暉　川村陽介　小芝風花／要潤　風間俊介　小林薫「下剋上受験」桜井信一（産經新聞出版）両沢和幸主題歌：「遺伝」斉藤和義（スピードスターレコーズ）  音楽：出羽良彰演出：福田亮介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v>
      </c>
      <c r="N4968" s="2"/>
      <c r="O4968" s="2"/>
      <c r="P4968" s="1"/>
      <c r="Q4968" s="1"/>
      <c r="R4968" s="1"/>
      <c r="S4968" s="1"/>
      <c r="T4968" s="1"/>
      <c r="U4968" s="1"/>
      <c r="V4968" s="1"/>
      <c r="W4968" s="1"/>
      <c r="X4968" s="1"/>
      <c r="Y4968" s="1"/>
      <c r="Z4968" s="1"/>
      <c r="AA4968" s="1"/>
      <c r="AB4968" s="1"/>
      <c r="AC4968" s="1"/>
      <c r="AD4968" s="1"/>
      <c r="AE4968" s="1"/>
      <c r="AF4968" s="1"/>
      <c r="AG4968" s="1"/>
      <c r="AH4968" s="1"/>
      <c r="AI4968" s="1"/>
      <c r="AJ4968" s="1"/>
      <c r="AK4968" s="1"/>
      <c r="AL4968" s="1"/>
      <c r="AM4968" s="1"/>
      <c r="AN4968" s="1"/>
      <c r="AO4968" s="1"/>
      <c r="AP4968" s="1"/>
      <c r="AQ4968" s="1"/>
      <c r="AR4968" s="1"/>
      <c r="AS4968" s="1"/>
      <c r="AT4968" s="1"/>
      <c r="AU4968" s="1"/>
      <c r="AV4968" s="1"/>
      <c r="AW4968" s="1"/>
      <c r="AX4968" s="1"/>
      <c r="AY4968" s="1"/>
      <c r="AZ4968" s="1"/>
      <c r="BA4968" s="1"/>
      <c r="BB4968" s="1"/>
    </row>
    <row r="4969" ht="204.75" customHeight="1">
      <c r="A4969" s="1">
        <v>1387.0</v>
      </c>
      <c r="B4969" s="2" t="s">
        <v>13951</v>
      </c>
      <c r="C4969" s="2">
        <f>IFERROR(__xludf.DUMMYFUNCTION("split(B4969,""_"")"),1701.0)</f>
        <v>1701</v>
      </c>
      <c r="D4969" s="2" t="str">
        <f>IFERROR(__xludf.DUMMYFUNCTION("""COMPUTED_VALUE"""),"TBS")</f>
        <v>TBS</v>
      </c>
      <c r="E4969" s="2" t="str">
        <f>IFERROR(__xludf.DUMMYFUNCTION("""COMPUTED_VALUE"""),"金22")</f>
        <v>金22</v>
      </c>
      <c r="F4969" s="2" t="s">
        <v>13952</v>
      </c>
      <c r="G4969" s="2" t="s">
        <v>13963</v>
      </c>
      <c r="H4969" s="1">
        <v>6.0</v>
      </c>
      <c r="J4969" s="1" t="s">
        <v>86</v>
      </c>
      <c r="K4969" s="2" t="s">
        <v>13964</v>
      </c>
      <c r="L4969" s="2"/>
      <c r="M4969" s="2" t="str">
        <f>IFERROR(__xludf.DUMMYFUNCTION("split(split(K4969,""【"",false),""公式LINE"",false)"),"父・信一（阿部サダヲ）は勉強してもすぐに忘れてしまう娘・佳織（山田美紅羽）に苛ついていた。桜葉学園合格は危ういと焦る信一に、母・香夏子（深田恭子）は不安を感じる。そんな時、信一は同級生の父・徳川（要潤）から勉強に集中させたいと佳織に娘・麻里亜（篠川桃音）との友達付き合いをやめさせて欲しいと頼まれる。麻里亜と遊ぶのを禁じた信一に佳織は初めて反抗し、大喧嘩になってしまう。信一が思いついた秘策とは！？阿部サダヲ　深田恭子　山田美紅羽／若旦那　皆川猿時　岡田浩暉　川村陽介　小芝風花／要潤　風間俊介　小林薫「下剋上"&amp;"受験」桜井信一（産經新聞出版）両沢和幸主題歌：「遺伝」斉藤和義（スピードスターレコーズ）  音楽：出羽良彰演出：福田亮介　プロデューサー：渡辺良介、八木亜未◇番組HP  http://www.tbs.co.jp/gekokujo_juken/  ◇twitter  @gekokujo_tbs  https://twitter.com/gekokujo_tbs◇番組インスタ  https://www.instagram.com/gekokujo_tbs/  ◇LINEスタンプ好評配信中  http://li"&amp;"ne.me/S/sticker/1374376  番組の内容と放送時間は変更になる場合があります。")</f>
        <v>父・信一（阿部サダヲ）は勉強してもすぐに忘れてしまう娘・佳織（山田美紅羽）に苛ついていた。桜葉学園合格は危ういと焦る信一に、母・香夏子（深田恭子）は不安を感じる。そんな時、信一は同級生の父・徳川（要潤）から勉強に集中させたいと佳織に娘・麻里亜（篠川桃音）との友達付き合いをやめさせて欲しいと頼まれる。麻里亜と遊ぶのを禁じた信一に佳織は初めて反抗し、大喧嘩になってしまう。信一が思いついた秘策とは！？阿部サダヲ　深田恭子　山田美紅羽／若旦那　皆川猿時　岡田浩暉　川村陽介　小芝風花／要潤　風間俊介　小林薫「下剋上受験」桜井信一（産經新聞出版）両沢和幸主題歌：「遺伝」斉藤和義（スピードスターレコーズ）  音楽：出羽良彰演出：福田亮介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v>
      </c>
      <c r="N4969" s="2"/>
      <c r="O4969" s="2"/>
      <c r="P4969" s="1"/>
      <c r="Q4969" s="1"/>
      <c r="R4969" s="1"/>
      <c r="S4969" s="1"/>
      <c r="T4969" s="1"/>
      <c r="U4969" s="1"/>
      <c r="V4969" s="1"/>
      <c r="W4969" s="1"/>
      <c r="X4969" s="1"/>
      <c r="Y4969" s="1"/>
      <c r="Z4969" s="1"/>
      <c r="AA4969" s="1"/>
      <c r="AB4969" s="1"/>
      <c r="AC4969" s="1"/>
      <c r="AD4969" s="1"/>
      <c r="AE4969" s="1"/>
      <c r="AF4969" s="1"/>
      <c r="AG4969" s="1"/>
      <c r="AH4969" s="1"/>
      <c r="AI4969" s="1"/>
      <c r="AJ4969" s="1"/>
      <c r="AK4969" s="1"/>
      <c r="AL4969" s="1"/>
      <c r="AM4969" s="1"/>
      <c r="AN4969" s="1"/>
      <c r="AO4969" s="1"/>
      <c r="AP4969" s="1"/>
      <c r="AQ4969" s="1"/>
      <c r="AR4969" s="1"/>
      <c r="AS4969" s="1"/>
      <c r="AT4969" s="1"/>
      <c r="AU4969" s="1"/>
      <c r="AV4969" s="1"/>
      <c r="AW4969" s="1"/>
      <c r="AX4969" s="1"/>
      <c r="AY4969" s="1"/>
      <c r="AZ4969" s="1"/>
      <c r="BA4969" s="1"/>
      <c r="BB4969" s="1"/>
    </row>
    <row r="4970" ht="204.75" customHeight="1">
      <c r="A4970" s="1">
        <v>1388.0</v>
      </c>
      <c r="B4970" s="2" t="s">
        <v>13951</v>
      </c>
      <c r="C4970" s="2">
        <f>IFERROR(__xludf.DUMMYFUNCTION("split(B4970,""_"")"),1701.0)</f>
        <v>1701</v>
      </c>
      <c r="D4970" s="2" t="str">
        <f>IFERROR(__xludf.DUMMYFUNCTION("""COMPUTED_VALUE"""),"TBS")</f>
        <v>TBS</v>
      </c>
      <c r="E4970" s="2" t="str">
        <f>IFERROR(__xludf.DUMMYFUNCTION("""COMPUTED_VALUE"""),"金22")</f>
        <v>金22</v>
      </c>
      <c r="F4970" s="2" t="s">
        <v>13952</v>
      </c>
      <c r="G4970" s="2" t="s">
        <v>13965</v>
      </c>
      <c r="H4970" s="1">
        <v>7.0</v>
      </c>
      <c r="J4970" s="1" t="s">
        <v>86</v>
      </c>
      <c r="K4970" s="2" t="s">
        <v>13966</v>
      </c>
      <c r="L4970" s="2"/>
      <c r="M4970" s="2" t="str">
        <f>IFERROR(__xludf.DUMMYFUNCTION("split(split(K4970,""【"",false),""公式LINE"",false)"),"勉強漬けの日々と成績が上がらないストレスで信一（阿部サダヲ）は心身共に異変が発生。香夏子（深田恭子）や佳織（山田美紅羽）にも当たり散らし、家族は崩壊寸前に…。信一は病院に救いを求める。そんな時、佳織が体育の授業には参加しないという約束を破り、信一は大激怒。受験はもう限界だと家を飛び出る。一夫（小林薫）は苦労する息子家族を見兼ねてある大きな決断をする。娘の幸せを思う父と母、祖父の思いが交錯する・・・阿部サダヲ　深田恭子　山田美紅羽／若旦那　皆川猿時　岡田浩暉　川村陽介　小芝風花／佐野史郎　要潤　風間俊介　小"&amp;"林薫「下剋上受験」桜井信一（産經新聞出版）両沢和幸主題歌：「遺伝」斉藤和義（スピードスターレコーズ）  音楽：出羽良彰演出：吉田秋生　プロデューサー：渡辺良介、八木亜未◇番組HP  http://www.tbs.co.jp/gekokujo_juken/  ◇twitter  @gekokujo_tbs  https://twitter.com/gekokujo_tbs◇番組インスタ  https://www.instagram.com/gekokujo_tbs/  ◇LINEスタンプ好評配信中  htt"&amp;"p://line.me/S/sticker/1374376  番組の内容と放送時間は変更になる場合があります。")</f>
        <v>勉強漬けの日々と成績が上がらないストレスで信一（阿部サダヲ）は心身共に異変が発生。香夏子（深田恭子）や佳織（山田美紅羽）にも当たり散らし、家族は崩壊寸前に…。信一は病院に救いを求める。そんな時、佳織が体育の授業には参加しないという約束を破り、信一は大激怒。受験はもう限界だと家を飛び出る。一夫（小林薫）は苦労する息子家族を見兼ねてある大きな決断をする。娘の幸せを思う父と母、祖父の思いが交錯する・・・阿部サダヲ　深田恭子　山田美紅羽／若旦那　皆川猿時　岡田浩暉　川村陽介　小芝風花／佐野史郎　要潤　風間俊介　小林薫「下剋上受験」桜井信一（産經新聞出版）両沢和幸主題歌：「遺伝」斉藤和義（スピードスターレコーズ）  音楽：出羽良彰演出：吉田秋生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v>
      </c>
      <c r="N4970" s="2"/>
      <c r="O4970" s="2"/>
      <c r="P4970" s="1"/>
      <c r="Q4970" s="1"/>
      <c r="R4970" s="1"/>
      <c r="S4970" s="1"/>
      <c r="T4970" s="1"/>
      <c r="U4970" s="1"/>
      <c r="V4970" s="1"/>
      <c r="W4970" s="1"/>
      <c r="X4970" s="1"/>
      <c r="Y4970" s="1"/>
      <c r="Z4970" s="1"/>
      <c r="AA4970" s="1"/>
      <c r="AB4970" s="1"/>
      <c r="AC4970" s="1"/>
      <c r="AD4970" s="1"/>
      <c r="AE4970" s="1"/>
      <c r="AF4970" s="1"/>
      <c r="AG4970" s="1"/>
      <c r="AH4970" s="1"/>
      <c r="AI4970" s="1"/>
      <c r="AJ4970" s="1"/>
      <c r="AK4970" s="1"/>
      <c r="AL4970" s="1"/>
      <c r="AM4970" s="1"/>
      <c r="AN4970" s="1"/>
      <c r="AO4970" s="1"/>
      <c r="AP4970" s="1"/>
      <c r="AQ4970" s="1"/>
      <c r="AR4970" s="1"/>
      <c r="AS4970" s="1"/>
      <c r="AT4970" s="1"/>
      <c r="AU4970" s="1"/>
      <c r="AV4970" s="1"/>
      <c r="AW4970" s="1"/>
      <c r="AX4970" s="1"/>
      <c r="AY4970" s="1"/>
      <c r="AZ4970" s="1"/>
      <c r="BA4970" s="1"/>
      <c r="BB4970" s="1"/>
    </row>
    <row r="4971" ht="204.75" customHeight="1">
      <c r="A4971" s="1">
        <v>1389.0</v>
      </c>
      <c r="B4971" s="2" t="s">
        <v>13951</v>
      </c>
      <c r="C4971" s="2">
        <f>IFERROR(__xludf.DUMMYFUNCTION("split(B4971,""_"")"),1701.0)</f>
        <v>1701</v>
      </c>
      <c r="D4971" s="2" t="str">
        <f>IFERROR(__xludf.DUMMYFUNCTION("""COMPUTED_VALUE"""),"TBS")</f>
        <v>TBS</v>
      </c>
      <c r="E4971" s="2" t="str">
        <f>IFERROR(__xludf.DUMMYFUNCTION("""COMPUTED_VALUE"""),"金22")</f>
        <v>金22</v>
      </c>
      <c r="F4971" s="2" t="s">
        <v>13952</v>
      </c>
      <c r="G4971" s="2" t="s">
        <v>13967</v>
      </c>
      <c r="H4971" s="1">
        <v>8.0</v>
      </c>
      <c r="J4971" s="1" t="s">
        <v>86</v>
      </c>
      <c r="K4971" s="2" t="s">
        <v>13968</v>
      </c>
      <c r="L4971" s="2"/>
      <c r="M4971" s="2" t="str">
        <f>IFERROR(__xludf.DUMMYFUNCTION("split(split(K4971,""【"",false),""公式LINE"",false)"),"入院した信一（阿部サダヲ）は病室でも勉強を教えようとするが、香夏子（深田恭子）は反対。佳織（山田美紅羽）のためなら死んでもいいという信一。しかも、家賃滞納で住む部屋を失うトラブルが発生！家を売ることを決断した一夫（小林薫）に楢崎（風間俊介）から衝撃の事実が告げられる・・・。相次ぐ桜井家の大ピンチに佳織の自分のせいでみんなが不幸になると自分を責める。香夏子も遂に受験をやめようと言い出すのだった・・・阿部サダヲ　深田恭子　山田美紅羽／若旦那　皆川猿時　岡田浩暉　川村陽介　小芝風花／要潤　風間俊介　小林薫「下剋"&amp;"上受験」桜井信一（産經新聞出版）両沢和幸主題歌：「遺伝」斉藤和義（スピードスターレコーズ）  音楽：出羽良彰演出：吉田秋生　　プロデューサー：渡辺良介、八木亜未◇番組HP  http://www.tbs.co.jp/gekokujo_juken/  ◇twitter  @gekokujo_tbs  https://twitter.com/gekokujo_tbs◇番組インスタ  https://www.instagram.com/gekokujo_tbs/  ◇LINEスタンプ好評配信中  http://"&amp;"line.me/S/sticker/1374376  WBC強化試合　日本代表vs阪神の試合状況により、放送時間が変更になる可能性がございます。")</f>
        <v>入院した信一（阿部サダヲ）は病室でも勉強を教えようとするが、香夏子（深田恭子）は反対。佳織（山田美紅羽）のためなら死んでもいいという信一。しかも、家賃滞納で住む部屋を失うトラブルが発生！家を売ることを決断した一夫（小林薫）に楢崎（風間俊介）から衝撃の事実が告げられる・・・。相次ぐ桜井家の大ピンチに佳織の自分のせいでみんなが不幸になると自分を責める。香夏子も遂に受験をやめようと言い出すのだった・・・阿部サダヲ　深田恭子　山田美紅羽／若旦那　皆川猿時　岡田浩暉　川村陽介　小芝風花／要潤　風間俊介　小林薫「下剋上受験」桜井信一（産經新聞出版）両沢和幸主題歌：「遺伝」斉藤和義（スピードスターレコーズ）  音楽：出羽良彰演出：吉田秋生　　プロデューサー：渡辺良介、八木亜未◇番組HP  http://www.tbs.co.jp/gekokujo_juken/  ◇twitter  @gekokujo_tbs  https://twitter.com/gekokujo_tbs◇番組インスタ  https://www.instagram.com/gekokujo_tbs/  ◇LINEスタンプ好評配信中  http://line.me/S/sticker/1374376  WBC強化試合　日本代表vs阪神の試合状況により、放送時間が変更になる可能性がございます。</v>
      </c>
      <c r="N4971" s="2"/>
      <c r="O4971" s="2"/>
      <c r="P4971" s="1"/>
      <c r="Q4971" s="1"/>
      <c r="R4971" s="1"/>
      <c r="S4971" s="1"/>
      <c r="T4971" s="1"/>
      <c r="U4971" s="1"/>
      <c r="V4971" s="1"/>
      <c r="W4971" s="1"/>
      <c r="X4971" s="1"/>
      <c r="Y4971" s="1"/>
      <c r="Z4971" s="1"/>
      <c r="AA4971" s="1"/>
      <c r="AB4971" s="1"/>
      <c r="AC4971" s="1"/>
      <c r="AD4971" s="1"/>
      <c r="AE4971" s="1"/>
      <c r="AF4971" s="1"/>
      <c r="AG4971" s="1"/>
      <c r="AH4971" s="1"/>
      <c r="AI4971" s="1"/>
      <c r="AJ4971" s="1"/>
      <c r="AK4971" s="1"/>
      <c r="AL4971" s="1"/>
      <c r="AM4971" s="1"/>
      <c r="AN4971" s="1"/>
      <c r="AO4971" s="1"/>
      <c r="AP4971" s="1"/>
      <c r="AQ4971" s="1"/>
      <c r="AR4971" s="1"/>
      <c r="AS4971" s="1"/>
      <c r="AT4971" s="1"/>
      <c r="AU4971" s="1"/>
      <c r="AV4971" s="1"/>
      <c r="AW4971" s="1"/>
      <c r="AX4971" s="1"/>
      <c r="AY4971" s="1"/>
      <c r="AZ4971" s="1"/>
      <c r="BA4971" s="1"/>
      <c r="BB4971" s="1"/>
    </row>
    <row r="4972" ht="204.75" customHeight="1">
      <c r="A4972" s="1">
        <v>1390.0</v>
      </c>
      <c r="B4972" s="2" t="s">
        <v>13951</v>
      </c>
      <c r="C4972" s="2">
        <f>IFERROR(__xludf.DUMMYFUNCTION("split(B4972,""_"")"),1701.0)</f>
        <v>1701</v>
      </c>
      <c r="D4972" s="2" t="str">
        <f>IFERROR(__xludf.DUMMYFUNCTION("""COMPUTED_VALUE"""),"TBS")</f>
        <v>TBS</v>
      </c>
      <c r="E4972" s="2" t="str">
        <f>IFERROR(__xludf.DUMMYFUNCTION("""COMPUTED_VALUE"""),"金22")</f>
        <v>金22</v>
      </c>
      <c r="F4972" s="2" t="s">
        <v>13952</v>
      </c>
      <c r="G4972" s="2" t="s">
        <v>13969</v>
      </c>
      <c r="H4972" s="1">
        <v>9.0</v>
      </c>
      <c r="J4972" s="1" t="s">
        <v>86</v>
      </c>
      <c r="K4972" s="2" t="s">
        <v>13970</v>
      </c>
      <c r="L4972" s="2"/>
      <c r="M4972" s="2" t="str">
        <f>IFERROR(__xludf.DUMMYFUNCTION("split(split(K4972,""【"",false),""公式LINE"",false)"),"受験直前、信一（阿部サダヲ）は突然、自信を失った佳織（山田美紅羽）に頭を悩ませる。香夏子（深田恭子）は落ち込む佳織を励まそうと学校に連れて行く。そこでは、友達からの思わぬサプライズが！そして、信一は父・一夫（小林薫）からのアドバイスで佳織のやる気を取り戻そうとある嘘をつく。そして、遂に迎えた受験本番。信一は佳織に最後のメッセージを伝える。運命の合格結果発表。果たして、家族の挑戦の結末は！？阿部サダヲ　深田恭子　山田美紅羽／若旦那　皆川猿時　岡田浩暉　川村陽介　小芝風花／要潤　風間俊介　小林薫「下剋上受験」"&amp;"桜井信一（産經新聞出版）両沢和幸主題歌：「遺伝」斉藤和義（スピードスターレコーズ）  音楽：出羽良彰演出：福田亮介　　プロデューサー：渡辺良介、八木亜未◇番組HP  http://www.tbs.co.jp/gekokujo_juken/  ◇twitter  @gekokujo_tbs  https://twitter.com/gekokujo_tbs◇番組インスタ  https://www.instagram.com/gekokujo_tbs/  ◇LINEスタンプ好評配信中  http://line"&amp;".me/S/sticker/1374376  番組の内容と放送時間は変更になる場合があります。")</f>
        <v>受験直前、信一（阿部サダヲ）は突然、自信を失った佳織（山田美紅羽）に頭を悩ませる。香夏子（深田恭子）は落ち込む佳織を励まそうと学校に連れて行く。そこでは、友達からの思わぬサプライズが！そして、信一は父・一夫（小林薫）からのアドバイスで佳織のやる気を取り戻そうとある嘘をつく。そして、遂に迎えた受験本番。信一は佳織に最後のメッセージを伝える。運命の合格結果発表。果たして、家族の挑戦の結末は！？阿部サダヲ　深田恭子　山田美紅羽／若旦那　皆川猿時　岡田浩暉　川村陽介　小芝風花／要潤　風間俊介　小林薫「下剋上受験」桜井信一（産經新聞出版）両沢和幸主題歌：「遺伝」斉藤和義（スピードスターレコーズ）  音楽：出羽良彰演出：福田亮介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v>
      </c>
      <c r="N4972" s="2"/>
      <c r="O4972" s="2"/>
      <c r="P4972" s="1"/>
      <c r="Q4972" s="1"/>
      <c r="R4972" s="1"/>
      <c r="S4972" s="1"/>
      <c r="T4972" s="1"/>
      <c r="U4972" s="1"/>
      <c r="V4972" s="1"/>
      <c r="W4972" s="1"/>
      <c r="X4972" s="1"/>
      <c r="Y4972" s="1"/>
      <c r="Z4972" s="1"/>
      <c r="AA4972" s="1"/>
      <c r="AB4972" s="1"/>
      <c r="AC4972" s="1"/>
      <c r="AD4972" s="1"/>
      <c r="AE4972" s="1"/>
      <c r="AF4972" s="1"/>
      <c r="AG4972" s="1"/>
      <c r="AH4972" s="1"/>
      <c r="AI4972" s="1"/>
      <c r="AJ4972" s="1"/>
      <c r="AK4972" s="1"/>
      <c r="AL4972" s="1"/>
      <c r="AM4972" s="1"/>
      <c r="AN4972" s="1"/>
      <c r="AO4972" s="1"/>
      <c r="AP4972" s="1"/>
      <c r="AQ4972" s="1"/>
      <c r="AR4972" s="1"/>
      <c r="AS4972" s="1"/>
      <c r="AT4972" s="1"/>
      <c r="AU4972" s="1"/>
      <c r="AV4972" s="1"/>
      <c r="AW4972" s="1"/>
      <c r="AX4972" s="1"/>
      <c r="AY4972" s="1"/>
      <c r="AZ4972" s="1"/>
      <c r="BA4972" s="1"/>
      <c r="BB4972" s="1"/>
    </row>
    <row r="4973" ht="204.75" customHeight="1">
      <c r="A4973" s="1">
        <v>1391.0</v>
      </c>
      <c r="B4973" s="2" t="s">
        <v>13951</v>
      </c>
      <c r="C4973" s="2">
        <f>IFERROR(__xludf.DUMMYFUNCTION("split(B4973,""_"")"),1701.0)</f>
        <v>1701</v>
      </c>
      <c r="D4973" s="2" t="str">
        <f>IFERROR(__xludf.DUMMYFUNCTION("""COMPUTED_VALUE"""),"TBS")</f>
        <v>TBS</v>
      </c>
      <c r="E4973" s="2" t="str">
        <f>IFERROR(__xludf.DUMMYFUNCTION("""COMPUTED_VALUE"""),"金22")</f>
        <v>金22</v>
      </c>
      <c r="F4973" s="2" t="s">
        <v>13952</v>
      </c>
      <c r="G4973" s="2" t="s">
        <v>13971</v>
      </c>
      <c r="H4973" s="1">
        <v>10.0</v>
      </c>
      <c r="J4973" s="1" t="s">
        <v>86</v>
      </c>
      <c r="K4973" s="2" t="s">
        <v>13972</v>
      </c>
      <c r="L4973" s="2"/>
      <c r="M4973" s="2" t="str">
        <f>IFERROR(__xludf.DUMMYFUNCTION("split(split(K4973,""【"",false),""公式LINE"",false)"),"信一（阿部サダヲ）と佳織（山田美紅羽）が運命の合格発表を迎える！香夏子（深田恭子）と一夫（小林薫）の祈りは届くのか？桜井家の人生逆転という夢の行方は・・・？そして、香夏子がふと思いついたサプライズが桜井家の未来を左右することに・・・。また、楢崎（風間俊介）の提案により、信一の人生は大きく動いていく・・・。果たして、桜井家の未来の姿とは！？驚きと感動のラストシーンが待ち受ける！阿部サダヲ　深田恭子　山田美紅羽／若旦那　皆川猿時　岡田浩暉　川村陽介　小芝風花／要潤　風間俊介　小林薫「下剋上受験」桜井信一（産經"&amp;"新聞出版）両沢和幸主題歌：「遺伝」斉藤和義（スピードスターレコーズ）  音楽：出羽良彰演出：福田亮介　プロデューサー：渡辺良介・八木亜未◇番組HP  http://www.tbs.co.jp/gekokujo_juken/  ◇twitter  @gekokujo_tbs  https://twitter.com/gekokujo_tbs◇番組インスタ  https://www.instagram.com/gekokujo_tbs/  ◇LINEスタンプ好評配信中  http://line.me/S/st"&amp;"icker/1374376  番組の内容と放送時間は変更になる場合があります。")</f>
        <v>信一（阿部サダヲ）と佳織（山田美紅羽）が運命の合格発表を迎える！香夏子（深田恭子）と一夫（小林薫）の祈りは届くのか？桜井家の人生逆転という夢の行方は・・・？そして、香夏子がふと思いついたサプライズが桜井家の未来を左右することに・・・。また、楢崎（風間俊介）の提案により、信一の人生は大きく動いていく・・・。果たして、桜井家の未来の姿とは！？驚きと感動のラストシーンが待ち受ける！阿部サダヲ　深田恭子　山田美紅羽／若旦那　皆川猿時　岡田浩暉　川村陽介　小芝風花／要潤　風間俊介　小林薫「下剋上受験」桜井信一（産經新聞出版）両沢和幸主題歌：「遺伝」斉藤和義（スピードスターレコーズ）  音楽：出羽良彰演出：福田亮介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v>
      </c>
      <c r="N4973" s="2"/>
      <c r="O4973" s="2"/>
      <c r="P4973" s="1"/>
      <c r="Q4973" s="1"/>
      <c r="R4973" s="1"/>
      <c r="S4973" s="1"/>
      <c r="T4973" s="1"/>
      <c r="U4973" s="1"/>
      <c r="V4973" s="1"/>
      <c r="W4973" s="1"/>
      <c r="X4973" s="1"/>
      <c r="Y4973" s="1"/>
      <c r="Z4973" s="1"/>
      <c r="AA4973" s="1"/>
      <c r="AB4973" s="1"/>
      <c r="AC4973" s="1"/>
      <c r="AD4973" s="1"/>
      <c r="AE4973" s="1"/>
      <c r="AF4973" s="1"/>
      <c r="AG4973" s="1"/>
      <c r="AH4973" s="1"/>
      <c r="AI4973" s="1"/>
      <c r="AJ4973" s="1"/>
      <c r="AK4973" s="1"/>
      <c r="AL4973" s="1"/>
      <c r="AM4973" s="1"/>
      <c r="AN4973" s="1"/>
      <c r="AO4973" s="1"/>
      <c r="AP4973" s="1"/>
      <c r="AQ4973" s="1"/>
      <c r="AR4973" s="1"/>
      <c r="AS4973" s="1"/>
      <c r="AT4973" s="1"/>
      <c r="AU4973" s="1"/>
      <c r="AV4973" s="1"/>
      <c r="AW4973" s="1"/>
      <c r="AX4973" s="1"/>
      <c r="AY4973" s="1"/>
      <c r="AZ4973" s="1"/>
      <c r="BA4973" s="1"/>
      <c r="BB4973" s="1"/>
    </row>
    <row r="4974" ht="204.75" customHeight="1">
      <c r="A4974" s="1">
        <v>1448.0</v>
      </c>
      <c r="B4974" s="2" t="s">
        <v>13973</v>
      </c>
      <c r="C4974" s="2">
        <f>IFERROR(__xludf.DUMMYFUNCTION("split(B4974,""_"")"),1610.0)</f>
        <v>1610</v>
      </c>
      <c r="D4974" s="2" t="str">
        <f>IFERROR(__xludf.DUMMYFUNCTION("""COMPUTED_VALUE"""),"TBS")</f>
        <v>TBS</v>
      </c>
      <c r="E4974" s="2" t="str">
        <f>IFERROR(__xludf.DUMMYFUNCTION("""COMPUTED_VALUE"""),"火22")</f>
        <v>火22</v>
      </c>
      <c r="F4974" s="2" t="s">
        <v>13974</v>
      </c>
      <c r="G4974" s="2" t="s">
        <v>13975</v>
      </c>
      <c r="H4974" s="1">
        <v>1.0</v>
      </c>
      <c r="J4974" s="1" t="s">
        <v>82</v>
      </c>
      <c r="K4974" s="2" t="s">
        <v>13976</v>
      </c>
      <c r="L4974" s="2"/>
      <c r="M4974" s="2" t="str">
        <f>IFERROR(__xludf.DUMMYFUNCTION("split(split(K4974,""【"",false),""公式LINE"",false)"),"主人公森山みくり（新垣結衣）は、院卒だけど内定ゼロ、派遣社員になるも派遣切り。誰にも必要とされない辛さを日々感じていた。そんな時、ひょんなことから、恋愛経験ゼロ、超真面目な独身サラリーマン津崎（星野源）の家事代行の仕事を始める。かゆいところに手が届く働きぶりで、津崎の信頼を勝ち取ったみくりはつい嬉しくなって、津崎に仕事として結婚して欲しいという突拍子もない提案を投げかける。そこで津崎が考えたのは？新垣結衣、星野源、大谷亮平、藤井隆、真野恵里菜、成田凌、山賀琴子、古畑星夏、高橋洋、葉山奨之、古舘寛治、オクイ"&amp;"シュージ、新井郁、富田靖子、宇梶剛士／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音楽：末廣健一郎/MAYUKO演出：金子文紀、土井裕泰、石井康晴　　　　プロデューサー：那須田淳、峠田浩、宮崎真佐子◇番組HP  http://www.tbs.co.jp/NIGEHAJI_tbs/  ◇instagram  ht"&amp;"tps://www.instagram.com/nigehajigram/  ◇番組Twitter  @nigehaji_tbs   https://twitter.com/nigehaji_tbs  ◇番組LINE  http://line.naver.jp/ti/p/%40nigehaji_tbs  ◇番組Facebook  https://www.facebook.com/nigehaji.tbs/番組の内容と放送時間は変更になる場合があります。")</f>
        <v>主人公森山みくり（新垣結衣）は、院卒だけど内定ゼロ、派遣社員になるも派遣切り。誰にも必要とされない辛さを日々感じていた。そんな時、ひょんなことから、恋愛経験ゼロ、超真面目な独身サラリーマン津崎（星野源）の家事代行の仕事を始める。かゆいところに手が届く働きぶりで、津崎の信頼を勝ち取ったみくりはつい嬉しくなって、津崎に仕事として結婚して欲しいという突拍子もない提案を投げかける。そこで津崎が考えたのは？新垣結衣、星野源、大谷亮平、藤井隆、真野恵里菜、成田凌、山賀琴子、古畑星夏、高橋洋、葉山奨之、古舘寛治、オクイシュージ、新井郁、富田靖子、宇梶剛士／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音楽：末廣健一郎/MAYUKO演出：金子文紀、土井裕泰、石井康晴　　　　プロデューサー：那須田淳、峠田浩、宮崎真佐子◇番組HP  http://www.tbs.co.jp/NIGEHAJI_tbs/  ◇instagram  https://www.instagram.com/nigehajigram/  ◇番組Twitter  @nigehaji_tbs   https://twitter.com/nigehaji_tbs  ◇番組LINE  http://line.naver.jp/ti/p/%40nigehaji_tbs  ◇番組Facebook  https://www.facebook.com/nigehaji.tbs/番組の内容と放送時間は変更になる場合があります。</v>
      </c>
      <c r="N4974" s="2"/>
      <c r="O4974" s="2"/>
      <c r="P4974" s="1"/>
      <c r="Q4974" s="1"/>
      <c r="R4974" s="1"/>
      <c r="S4974" s="1"/>
      <c r="T4974" s="1"/>
      <c r="U4974" s="1"/>
      <c r="V4974" s="1"/>
      <c r="W4974" s="1"/>
      <c r="X4974" s="1"/>
      <c r="Y4974" s="1"/>
      <c r="Z4974" s="1"/>
      <c r="AA4974" s="1"/>
      <c r="AB4974" s="1"/>
      <c r="AC4974" s="1"/>
      <c r="AD4974" s="1"/>
      <c r="AE4974" s="1"/>
      <c r="AF4974" s="1"/>
      <c r="AG4974" s="1"/>
      <c r="AH4974" s="1"/>
      <c r="AI4974" s="1"/>
      <c r="AJ4974" s="1"/>
      <c r="AK4974" s="1"/>
      <c r="AL4974" s="1"/>
      <c r="AM4974" s="1"/>
      <c r="AN4974" s="1"/>
      <c r="AO4974" s="1"/>
      <c r="AP4974" s="1"/>
      <c r="AQ4974" s="1"/>
      <c r="AR4974" s="1"/>
      <c r="AS4974" s="1"/>
      <c r="AT4974" s="1"/>
      <c r="AU4974" s="1"/>
      <c r="AV4974" s="1"/>
      <c r="AW4974" s="1"/>
      <c r="AX4974" s="1"/>
      <c r="AY4974" s="1"/>
      <c r="AZ4974" s="1"/>
      <c r="BA4974" s="1"/>
      <c r="BB4974" s="1"/>
    </row>
    <row r="4975" ht="204.75" customHeight="1">
      <c r="A4975" s="1">
        <v>1449.0</v>
      </c>
      <c r="B4975" s="2" t="s">
        <v>13973</v>
      </c>
      <c r="C4975" s="2">
        <f>IFERROR(__xludf.DUMMYFUNCTION("split(B4975,""_"")"),1610.0)</f>
        <v>1610</v>
      </c>
      <c r="D4975" s="2" t="str">
        <f>IFERROR(__xludf.DUMMYFUNCTION("""COMPUTED_VALUE"""),"TBS")</f>
        <v>TBS</v>
      </c>
      <c r="E4975" s="2" t="str">
        <f>IFERROR(__xludf.DUMMYFUNCTION("""COMPUTED_VALUE"""),"火22")</f>
        <v>火22</v>
      </c>
      <c r="F4975" s="2" t="s">
        <v>13974</v>
      </c>
      <c r="G4975" s="2" t="s">
        <v>13977</v>
      </c>
      <c r="H4975" s="1">
        <v>2.0</v>
      </c>
      <c r="J4975" s="1" t="s">
        <v>86</v>
      </c>
      <c r="K4975" s="2" t="s">
        <v>13978</v>
      </c>
      <c r="L4975" s="2"/>
      <c r="M4975" s="2" t="str">
        <f>IFERROR(__xludf.DUMMYFUNCTION("split(split(K4975,""【"",false),""公式LINE"",false)"),"みくり（新垣結衣）と津崎（星野源）は、雇用主と従業員として、周囲には秘密で「仕事としての契約結婚」をスタートさせる。待ち受けるのは、両家顔合わせ。二人はバレずに夫婦を演じられるのか？！さらに津崎の結婚を怪しんでいる同僚の沼田（古田新太）と風見（大谷亮平）が津崎の家に押しかけてきて、泊まらせて！と言い出し、二人は雇用関係なのに、同じ部屋で一緒に眠るのか？！次々と迫るピンチに二人は？！波乱の第二話新垣結衣、星野源、大谷亮平、藤井隆、真野恵里菜、成田凌、山賀琴子、細田善彦、高山侑子、古舘寛治、モロ師岡、高橋ひと"&amp;"み、富田靖子、宇梶剛士／古田新太／石田ゆり子海野つなみ「逃げるは恥だが役に立つ」（講談社「kiss])  野木亜紀子（「空飛ぶ広報室」「重版出来！」「図書館戦争シリーズ」）主題歌：星野源「恋」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https:/"&amp;"/www.instagram.com/nigehajigram/  ◇番組Twitter  @nigehaji_tbs   https://twitter.com/nigehaji_tbs  ◇番組LINE  http://line.naver.jp/ti/p/%40nigehaji_tbs  ◇番組Facebook  https://www.facebook.com/nigehaji.tbs/番組の内容と放送時間は変更になる場合があります。")</f>
        <v>みくり（新垣結衣）と津崎（星野源）は、雇用主と従業員として、周囲には秘密で「仕事としての契約結婚」をスタートさせる。待ち受けるのは、両家顔合わせ。二人はバレずに夫婦を演じられるのか？！さらに津崎の結婚を怪しんでいる同僚の沼田（古田新太）と風見（大谷亮平）が津崎の家に押しかけてきて、泊まらせて！と言い出し、二人は雇用関係なのに、同じ部屋で一緒に眠るのか？！次々と迫るピンチに二人は？！波乱の第二話新垣結衣、星野源、大谷亮平、藤井隆、真野恵里菜、成田凌、山賀琴子、細田善彦、高山侑子、古舘寛治、モロ師岡、高橋ひとみ、富田靖子、宇梶剛士／古田新太／石田ゆり子海野つなみ「逃げるは恥だが役に立つ」（講談社「kiss])  野木亜紀子（「空飛ぶ広報室」「重版出来！」「図書館戦争シリーズ」）主題歌：星野源「恋」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◇番組LINE  http://line.naver.jp/ti/p/%40nigehaji_tbs  ◇番組Facebook  https://www.facebook.com/nigehaji.tbs/番組の内容と放送時間は変更になる場合があります。</v>
      </c>
      <c r="N4975" s="2"/>
      <c r="O4975" s="2"/>
      <c r="P4975" s="1"/>
      <c r="Q4975" s="1"/>
      <c r="R4975" s="1"/>
      <c r="S4975" s="1"/>
      <c r="T4975" s="1"/>
      <c r="U4975" s="1"/>
      <c r="V4975" s="1"/>
      <c r="W4975" s="1"/>
      <c r="X4975" s="1"/>
      <c r="Y4975" s="1"/>
      <c r="Z4975" s="1"/>
      <c r="AA4975" s="1"/>
      <c r="AB4975" s="1"/>
      <c r="AC4975" s="1"/>
      <c r="AD4975" s="1"/>
      <c r="AE4975" s="1"/>
      <c r="AF4975" s="1"/>
      <c r="AG4975" s="1"/>
      <c r="AH4975" s="1"/>
      <c r="AI4975" s="1"/>
      <c r="AJ4975" s="1"/>
      <c r="AK4975" s="1"/>
      <c r="AL4975" s="1"/>
      <c r="AM4975" s="1"/>
      <c r="AN4975" s="1"/>
      <c r="AO4975" s="1"/>
      <c r="AP4975" s="1"/>
      <c r="AQ4975" s="1"/>
      <c r="AR4975" s="1"/>
      <c r="AS4975" s="1"/>
      <c r="AT4975" s="1"/>
      <c r="AU4975" s="1"/>
      <c r="AV4975" s="1"/>
      <c r="AW4975" s="1"/>
      <c r="AX4975" s="1"/>
      <c r="AY4975" s="1"/>
      <c r="AZ4975" s="1"/>
      <c r="BA4975" s="1"/>
      <c r="BB4975" s="1"/>
    </row>
    <row r="4976" ht="204.75" customHeight="1">
      <c r="A4976" s="1">
        <v>1450.0</v>
      </c>
      <c r="B4976" s="2" t="s">
        <v>13973</v>
      </c>
      <c r="C4976" s="2">
        <f>IFERROR(__xludf.DUMMYFUNCTION("split(B4976,""_"")"),1610.0)</f>
        <v>1610</v>
      </c>
      <c r="D4976" s="2" t="str">
        <f>IFERROR(__xludf.DUMMYFUNCTION("""COMPUTED_VALUE"""),"TBS")</f>
        <v>TBS</v>
      </c>
      <c r="E4976" s="2" t="str">
        <f>IFERROR(__xludf.DUMMYFUNCTION("""COMPUTED_VALUE"""),"火22")</f>
        <v>火22</v>
      </c>
      <c r="F4976" s="2" t="s">
        <v>13974</v>
      </c>
      <c r="G4976" s="2" t="s">
        <v>13979</v>
      </c>
      <c r="H4976" s="1">
        <v>3.0</v>
      </c>
      <c r="J4976" s="1" t="s">
        <v>86</v>
      </c>
      <c r="K4976" s="2" t="s">
        <v>13980</v>
      </c>
      <c r="L4976" s="2"/>
      <c r="M4976" s="2" t="str">
        <f>IFERROR(__xludf.DUMMYFUNCTION("split(split(K4976,""【"",false),""公式LINE"",false)"),"前夜にみくり（新垣結衣）のにおいをふとんから感じた津崎（星野源）は眠れない一夜を過ごし、その日からみくりを意識してしまう。プロの独身であるがゆえに、どう対応したらいいにか分からない津崎は、みくりと距離を置こうと思い、2LDKの部屋に引っ越そうと言い出す。その提案を受けたみくりは、、、？さらに、二人を偽装結婚だと怪しむ沼田と風見、、百合とともに二人はブドウ狩りに出かける。そこで、みくりが津崎に…？！新垣結衣、星野源、大谷亮平、藤井隆、真野恵里菜、成田凌、山賀琴子、葉山奨之／岡田浩暉／古舘寛治／高橋ひとみ／古"&amp;"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https://www.instagram."&amp;"com/nigehajigram/  ◇番組Twitter  @nigehaji_tbs   https://twitter.com/nigehaji_tbs  ◇番組Facebook  https://www.facebook.com/nigehaji.tbs/  番組の内容と放送時間は変更になる場合があります。")</f>
        <v>前夜にみくり（新垣結衣）のにおいをふとんから感じた津崎（星野源）は眠れない一夜を過ごし、その日からみくりを意識してしまう。プロの独身であるがゆえに、どう対応したらいいにか分からない津崎は、みくりと距離を置こうと思い、2LDKの部屋に引っ越そうと言い出す。その提案を受けたみくりは、、、？さらに、二人を偽装結婚だと怪しむ沼田と風見、、百合とともに二人はブドウ狩りに出かける。そこで、みくりが津崎に…？！新垣結衣、星野源、大谷亮平、藤井隆、真野恵里菜、成田凌、山賀琴子、葉山奨之／岡田浩暉／古舘寛治／高橋ひとみ／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  番組の内容と放送時間は変更になる場合があります。</v>
      </c>
      <c r="N4976" s="2"/>
      <c r="O4976" s="2"/>
      <c r="P4976" s="1"/>
      <c r="Q4976" s="1"/>
      <c r="R4976" s="1"/>
      <c r="S4976" s="1"/>
      <c r="T4976" s="1"/>
      <c r="U4976" s="1"/>
      <c r="V4976" s="1"/>
      <c r="W4976" s="1"/>
      <c r="X4976" s="1"/>
      <c r="Y4976" s="1"/>
      <c r="Z4976" s="1"/>
      <c r="AA4976" s="1"/>
      <c r="AB4976" s="1"/>
      <c r="AC4976" s="1"/>
      <c r="AD4976" s="1"/>
      <c r="AE4976" s="1"/>
      <c r="AF4976" s="1"/>
      <c r="AG4976" s="1"/>
      <c r="AH4976" s="1"/>
      <c r="AI4976" s="1"/>
      <c r="AJ4976" s="1"/>
      <c r="AK4976" s="1"/>
      <c r="AL4976" s="1"/>
      <c r="AM4976" s="1"/>
      <c r="AN4976" s="1"/>
      <c r="AO4976" s="1"/>
      <c r="AP4976" s="1"/>
      <c r="AQ4976" s="1"/>
      <c r="AR4976" s="1"/>
      <c r="AS4976" s="1"/>
      <c r="AT4976" s="1"/>
      <c r="AU4976" s="1"/>
      <c r="AV4976" s="1"/>
      <c r="AW4976" s="1"/>
      <c r="AX4976" s="1"/>
      <c r="AY4976" s="1"/>
      <c r="AZ4976" s="1"/>
      <c r="BA4976" s="1"/>
      <c r="BB4976" s="1"/>
    </row>
    <row r="4977" ht="204.75" customHeight="1">
      <c r="A4977" s="1">
        <v>1451.0</v>
      </c>
      <c r="B4977" s="2" t="s">
        <v>13973</v>
      </c>
      <c r="C4977" s="2">
        <f>IFERROR(__xludf.DUMMYFUNCTION("split(B4977,""_"")"),1610.0)</f>
        <v>1610</v>
      </c>
      <c r="D4977" s="2" t="str">
        <f>IFERROR(__xludf.DUMMYFUNCTION("""COMPUTED_VALUE"""),"TBS")</f>
        <v>TBS</v>
      </c>
      <c r="E4977" s="2" t="str">
        <f>IFERROR(__xludf.DUMMYFUNCTION("""COMPUTED_VALUE"""),"火22")</f>
        <v>火22</v>
      </c>
      <c r="F4977" s="2" t="s">
        <v>13974</v>
      </c>
      <c r="G4977" s="2" t="s">
        <v>13981</v>
      </c>
      <c r="H4977" s="1">
        <v>4.0</v>
      </c>
      <c r="J4977" s="1" t="s">
        <v>86</v>
      </c>
      <c r="K4977" s="2" t="s">
        <v>13982</v>
      </c>
      <c r="L4977" s="2"/>
      <c r="M4977" s="2" t="str">
        <f>IFERROR(__xludf.DUMMYFUNCTION("split(split(K4977,""【"",false),""公式LINE"",false)"),"津崎（星野源）は、風見（大谷亮平）からのみくり（新垣結衣）をシェアしたいという提案を、みくりに言い出せないまま。シェアの話を偶然風見から聞いたみくりは、津崎にシェアとは何かと問いただす。観念した津崎は、風見もみくりを家事代行として雇いだがっているのだと話す。ちょうどお金が必要だったみくりは、シェアを受け入れ、風見の家でも働き出す。しかし、これが二人の不穏な関係の幕開けとなり、契約結婚終了の危機？！新垣結衣、星野源、大谷亮平、藤井隆、真野恵里菜、成田凌、山賀琴子、葉山奨之／岡田浩暉／古舘寛治／古田新太／石田"&amp;"ゆり子海野つなみ「逃げるは恥だが役に立つ」（講談社「kiss])  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https://www.instagram.com/"&amp;"nigehajigram/  ◇番組Twitter  @nigehaji_tbs   https://twitter.com/nigehaji_tbs  ◇番組Facebook  https://www.facebook.com/nigehaji.tbs/番組の内容と放送時間は変更になる場合があります。")</f>
        <v>津崎（星野源）は、風見（大谷亮平）からのみくり（新垣結衣）をシェアしたいという提案を、みくりに言い出せないまま。シェアの話を偶然風見から聞いたみくりは、津崎にシェアとは何かと問いただす。観念した津崎は、風見もみくりを家事代行として雇いだがっているのだと話す。ちょうどお金が必要だったみくりは、シェアを受け入れ、風見の家でも働き出す。しかし、これが二人の不穏な関係の幕開けとなり、契約結婚終了の危機？！新垣結衣、星野源、大谷亮平、藤井隆、真野恵里菜、成田凌、山賀琴子、葉山奨之／岡田浩暉／古舘寛治／古田新太／石田ゆり子海野つなみ「逃げるは恥だが役に立つ」（講談社「kiss])  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v>
      </c>
      <c r="N4977" s="2"/>
      <c r="O4977" s="2"/>
      <c r="P4977" s="1"/>
      <c r="Q4977" s="1"/>
      <c r="R4977" s="1"/>
      <c r="S4977" s="1"/>
      <c r="T4977" s="1"/>
      <c r="U4977" s="1"/>
      <c r="V4977" s="1"/>
      <c r="W4977" s="1"/>
      <c r="X4977" s="1"/>
      <c r="Y4977" s="1"/>
      <c r="Z4977" s="1"/>
      <c r="AA4977" s="1"/>
      <c r="AB4977" s="1"/>
      <c r="AC4977" s="1"/>
      <c r="AD4977" s="1"/>
      <c r="AE4977" s="1"/>
      <c r="AF4977" s="1"/>
      <c r="AG4977" s="1"/>
      <c r="AH4977" s="1"/>
      <c r="AI4977" s="1"/>
      <c r="AJ4977" s="1"/>
      <c r="AK4977" s="1"/>
      <c r="AL4977" s="1"/>
      <c r="AM4977" s="1"/>
      <c r="AN4977" s="1"/>
      <c r="AO4977" s="1"/>
      <c r="AP4977" s="1"/>
      <c r="AQ4977" s="1"/>
      <c r="AR4977" s="1"/>
      <c r="AS4977" s="1"/>
      <c r="AT4977" s="1"/>
      <c r="AU4977" s="1"/>
      <c r="AV4977" s="1"/>
      <c r="AW4977" s="1"/>
      <c r="AX4977" s="1"/>
      <c r="AY4977" s="1"/>
      <c r="AZ4977" s="1"/>
      <c r="BA4977" s="1"/>
      <c r="BB4977" s="1"/>
    </row>
    <row r="4978" ht="204.75" customHeight="1">
      <c r="A4978" s="1">
        <v>1452.0</v>
      </c>
      <c r="B4978" s="2" t="s">
        <v>13973</v>
      </c>
      <c r="C4978" s="2">
        <f>IFERROR(__xludf.DUMMYFUNCTION("split(B4978,""_"")"),1610.0)</f>
        <v>1610</v>
      </c>
      <c r="D4978" s="2" t="str">
        <f>IFERROR(__xludf.DUMMYFUNCTION("""COMPUTED_VALUE"""),"TBS")</f>
        <v>TBS</v>
      </c>
      <c r="E4978" s="2" t="str">
        <f>IFERROR(__xludf.DUMMYFUNCTION("""COMPUTED_VALUE"""),"火22")</f>
        <v>火22</v>
      </c>
      <c r="F4978" s="2" t="s">
        <v>13974</v>
      </c>
      <c r="G4978" s="2" t="s">
        <v>13983</v>
      </c>
      <c r="H4978" s="1">
        <v>5.0</v>
      </c>
      <c r="J4978" s="1" t="s">
        <v>86</v>
      </c>
      <c r="K4978" s="2" t="s">
        <v>13984</v>
      </c>
      <c r="L4978" s="2"/>
      <c r="M4978" s="2" t="str">
        <f>IFERROR(__xludf.DUMMYFUNCTION("split(split(K4978,""【"",false),""公式LINE"",false)"),"みくり（新垣結衣）から「恋人になってほしい」と言われた津崎（星野源）は、みくりの考えが理解できず、まだ事を飲み込めずにいた。そんな時、風見の家に家事代行をしていることが、ひょんなことから百合（石田ゆり子）にバレてしまう。百合は、どうして風見のところにみくりを行かせるのかと、怒りの矛先は津崎へ。そこで2人は、百合の心配を和らげるために、本当の夫婦のふりをしようと思いつく。怒涛の展開の第5話！！新垣結衣、星野源、大谷亮平、藤井隆、真野恵里菜、成田凌、山賀琴子／古舘寛治／古田新太／石田ゆり子海野つなみ「逃げるは"&amp;"恥だが役に立つ」（講談社「kiss])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"&amp;" ◇番組Twitter  @nigehaji_tbs   https://twitter.com/nigehaji_tbs  ◇番組Facebook  https://www.facebook.com/nigehaji.tbs/番組の内容と放送時間は変更になる場合があります。")</f>
        <v>みくり（新垣結衣）から「恋人になってほしい」と言われた津崎（星野源）は、みくりの考えが理解できず、まだ事を飲み込めずにいた。そんな時、風見の家に家事代行をしていることが、ひょんなことから百合（石田ゆり子）にバレてしまう。百合は、どうして風見のところにみくりを行かせるのかと、怒りの矛先は津崎へ。そこで2人は、百合の心配を和らげるために、本当の夫婦のふりをしようと思いつく。怒涛の展開の第5話！！新垣結衣、星野源、大谷亮平、藤井隆、真野恵里菜、成田凌、山賀琴子／古舘寛治／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v>
      </c>
      <c r="N4978" s="2"/>
      <c r="O4978" s="2"/>
      <c r="P4978" s="1"/>
      <c r="Q4978" s="1"/>
      <c r="R4978" s="1"/>
      <c r="S4978" s="1"/>
      <c r="T4978" s="1"/>
      <c r="U4978" s="1"/>
      <c r="V4978" s="1"/>
      <c r="W4978" s="1"/>
      <c r="X4978" s="1"/>
      <c r="Y4978" s="1"/>
      <c r="Z4978" s="1"/>
      <c r="AA4978" s="1"/>
      <c r="AB4978" s="1"/>
      <c r="AC4978" s="1"/>
      <c r="AD4978" s="1"/>
      <c r="AE4978" s="1"/>
      <c r="AF4978" s="1"/>
      <c r="AG4978" s="1"/>
      <c r="AH4978" s="1"/>
      <c r="AI4978" s="1"/>
      <c r="AJ4978" s="1"/>
      <c r="AK4978" s="1"/>
      <c r="AL4978" s="1"/>
      <c r="AM4978" s="1"/>
      <c r="AN4978" s="1"/>
      <c r="AO4978" s="1"/>
      <c r="AP4978" s="1"/>
      <c r="AQ4978" s="1"/>
      <c r="AR4978" s="1"/>
      <c r="AS4978" s="1"/>
      <c r="AT4978" s="1"/>
      <c r="AU4978" s="1"/>
      <c r="AV4978" s="1"/>
      <c r="AW4978" s="1"/>
      <c r="AX4978" s="1"/>
      <c r="AY4978" s="1"/>
      <c r="AZ4978" s="1"/>
      <c r="BA4978" s="1"/>
      <c r="BB4978" s="1"/>
    </row>
    <row r="4979" ht="204.75" customHeight="1">
      <c r="A4979" s="1">
        <v>1453.0</v>
      </c>
      <c r="B4979" s="2" t="s">
        <v>13973</v>
      </c>
      <c r="C4979" s="2">
        <f>IFERROR(__xludf.DUMMYFUNCTION("split(B4979,""_"")"),1610.0)</f>
        <v>1610</v>
      </c>
      <c r="D4979" s="2" t="str">
        <f>IFERROR(__xludf.DUMMYFUNCTION("""COMPUTED_VALUE"""),"TBS")</f>
        <v>TBS</v>
      </c>
      <c r="E4979" s="2" t="str">
        <f>IFERROR(__xludf.DUMMYFUNCTION("""COMPUTED_VALUE"""),"火22")</f>
        <v>火22</v>
      </c>
      <c r="F4979" s="2" t="s">
        <v>13974</v>
      </c>
      <c r="G4979" s="2" t="s">
        <v>13985</v>
      </c>
      <c r="H4979" s="1">
        <v>6.0</v>
      </c>
      <c r="J4979" s="1" t="s">
        <v>86</v>
      </c>
      <c r="K4979" s="2" t="s">
        <v>13986</v>
      </c>
      <c r="L4979" s="2"/>
      <c r="M4979" s="2" t="str">
        <f>IFERROR(__xludf.DUMMYFUNCTION("split(split(K4979,""【"",false),""公式LINE"",false)"),"叔母の百合（石田ゆり子）、みくりと津崎の関係を心配するあまり、2人のためにペアの宿泊旅行券を手に入れたという。“旅行”という言葉に当初戸惑っていた2人だったが、姪っ子想いの百合の優しさを無駄に出来ず、“新婚旅行”と言う名の“社員旅行”へ出かけることに。しかし、待ち受けていたのは、ダブルベッドと露天風呂。戸惑う二人。そして、さらにみくりの元カレ・カヲルも登場。果たして、二人の新婚旅行の行方は…？？新垣結衣、星野源、大谷亮平、藤井隆、真野恵里菜、成田凌、山賀琴子、小柳友、古舘寛治／古田新太／石田ゆり子海野つな"&amp;"み「逃げるは恥だが役に立つ」（講談社「kiss])  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https://www.instagram.com/nigehaj"&amp;"igram/  ◇番組Twitter  @nigehaji_tbs   https://twitter.com/nigehaji_tbs  ◇番組Facebook  https://www.facebook.com/nigehaji.tbs/番組の内容と放送時間は変更になる場合があります。")</f>
        <v>叔母の百合（石田ゆり子）、みくりと津崎の関係を心配するあまり、2人のためにペアの宿泊旅行券を手に入れたという。“旅行”という言葉に当初戸惑っていた2人だったが、姪っ子想いの百合の優しさを無駄に出来ず、“新婚旅行”と言う名の“社員旅行”へ出かけることに。しかし、待ち受けていたのは、ダブルベッドと露天風呂。戸惑う二人。そして、さらにみくりの元カレ・カヲルも登場。果たして、二人の新婚旅行の行方は…？？新垣結衣、星野源、大谷亮平、藤井隆、真野恵里菜、成田凌、山賀琴子、小柳友、古舘寛治／古田新太／石田ゆり子海野つなみ「逃げるは恥だが役に立つ」（講談社「kiss])  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v>
      </c>
      <c r="N4979" s="2"/>
      <c r="O4979" s="2"/>
      <c r="P4979" s="1"/>
      <c r="Q4979" s="1"/>
      <c r="R4979" s="1"/>
      <c r="S4979" s="1"/>
      <c r="T4979" s="1"/>
      <c r="U4979" s="1"/>
      <c r="V4979" s="1"/>
      <c r="W4979" s="1"/>
      <c r="X4979" s="1"/>
      <c r="Y4979" s="1"/>
      <c r="Z4979" s="1"/>
      <c r="AA4979" s="1"/>
      <c r="AB4979" s="1"/>
      <c r="AC4979" s="1"/>
      <c r="AD4979" s="1"/>
      <c r="AE4979" s="1"/>
      <c r="AF4979" s="1"/>
      <c r="AG4979" s="1"/>
      <c r="AH4979" s="1"/>
      <c r="AI4979" s="1"/>
      <c r="AJ4979" s="1"/>
      <c r="AK4979" s="1"/>
      <c r="AL4979" s="1"/>
      <c r="AM4979" s="1"/>
      <c r="AN4979" s="1"/>
      <c r="AO4979" s="1"/>
      <c r="AP4979" s="1"/>
      <c r="AQ4979" s="1"/>
      <c r="AR4979" s="1"/>
      <c r="AS4979" s="1"/>
      <c r="AT4979" s="1"/>
      <c r="AU4979" s="1"/>
      <c r="AV4979" s="1"/>
      <c r="AW4979" s="1"/>
      <c r="AX4979" s="1"/>
      <c r="AY4979" s="1"/>
      <c r="AZ4979" s="1"/>
      <c r="BA4979" s="1"/>
      <c r="BB4979" s="1"/>
    </row>
    <row r="4980" ht="204.75" customHeight="1">
      <c r="A4980" s="1">
        <v>1454.0</v>
      </c>
      <c r="B4980" s="2" t="s">
        <v>13973</v>
      </c>
      <c r="C4980" s="2">
        <f>IFERROR(__xludf.DUMMYFUNCTION("split(B4980,""_"")"),1610.0)</f>
        <v>1610</v>
      </c>
      <c r="D4980" s="2" t="str">
        <f>IFERROR(__xludf.DUMMYFUNCTION("""COMPUTED_VALUE"""),"TBS")</f>
        <v>TBS</v>
      </c>
      <c r="E4980" s="2" t="str">
        <f>IFERROR(__xludf.DUMMYFUNCTION("""COMPUTED_VALUE"""),"火22")</f>
        <v>火22</v>
      </c>
      <c r="F4980" s="2" t="s">
        <v>13974</v>
      </c>
      <c r="G4980" s="2" t="s">
        <v>13987</v>
      </c>
      <c r="H4980" s="1">
        <v>7.0</v>
      </c>
      <c r="J4980" s="1" t="s">
        <v>86</v>
      </c>
      <c r="K4980" s="2" t="s">
        <v>13988</v>
      </c>
      <c r="L4980" s="2"/>
      <c r="M4980" s="2" t="str">
        <f>IFERROR(__xludf.DUMMYFUNCTION("split(split(K4980,""【"",false),""公式LINE"",false)"),"列車の中で、突然キスをしてきた津崎（星野源）だが、その後は何事もなかったようにふるまっていた。みくり（新垣結衣）はどうしてキスをしたのか理由を聞きたいが、聞けずにいた。そんな時、津崎はみくりの誕生日が一ヶ月も過ぎていたことに気づく。津崎は女性へのプレゼントというミッションに立ち向かうことに…！そんな時、ライバル？である風見（大谷亮平）は、新たな一手に出ていた…？！ムズムズの第7話！新垣結衣、星野源、大谷亮平、藤井隆、真野恵里菜、成田凌、山賀琴子、小柳友、古舘寛治／古田新太／石田ゆり子海野つなみ「逃げるは恥"&amp;"だが役に立つ」（講談社「kiss])  野木亜紀子（「空飛ぶ広報室」「重版出来！」「図書館戦争シリーズ」）主題歌：星野源「恋」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◇"&amp;"番組Twitter  @nigehaji_tbs   https://twitter.com/nigehaji_tbs  ◇番組Facebook  https://www.facebook.com/nigehaji.tbs/  番組の内容と放送時間は変更になる場合があります。")</f>
        <v>列車の中で、突然キスをしてきた津崎（星野源）だが、その後は何事もなかったようにふるまっていた。みくり（新垣結衣）はどうしてキスをしたのか理由を聞きたいが、聞けずにいた。そんな時、津崎はみくりの誕生日が一ヶ月も過ぎていたことに気づく。津崎は女性へのプレゼントというミッションに立ち向かうことに…！そんな時、ライバル？である風見（大谷亮平）は、新たな一手に出ていた…？！ムズムズの第7話！新垣結衣、星野源、大谷亮平、藤井隆、真野恵里菜、成田凌、山賀琴子、小柳友、古舘寛治／古田新太／石田ゆり子海野つなみ「逃げるは恥だが役に立つ」（講談社「kiss])  野木亜紀子（「空飛ぶ広報室」「重版出来！」「図書館戦争シリーズ」）主題歌：星野源「恋」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  番組の内容と放送時間は変更になる場合があります。</v>
      </c>
      <c r="N4980" s="2"/>
      <c r="O4980" s="2"/>
      <c r="P4980" s="1"/>
      <c r="Q4980" s="1"/>
      <c r="R4980" s="1"/>
      <c r="S4980" s="1"/>
      <c r="T4980" s="1"/>
      <c r="U4980" s="1"/>
      <c r="V4980" s="1"/>
      <c r="W4980" s="1"/>
      <c r="X4980" s="1"/>
      <c r="Y4980" s="1"/>
      <c r="Z4980" s="1"/>
      <c r="AA4980" s="1"/>
      <c r="AB4980" s="1"/>
      <c r="AC4980" s="1"/>
      <c r="AD4980" s="1"/>
      <c r="AE4980" s="1"/>
      <c r="AF4980" s="1"/>
      <c r="AG4980" s="1"/>
      <c r="AH4980" s="1"/>
      <c r="AI4980" s="1"/>
      <c r="AJ4980" s="1"/>
      <c r="AK4980" s="1"/>
      <c r="AL4980" s="1"/>
      <c r="AM4980" s="1"/>
      <c r="AN4980" s="1"/>
      <c r="AO4980" s="1"/>
      <c r="AP4980" s="1"/>
      <c r="AQ4980" s="1"/>
      <c r="AR4980" s="1"/>
      <c r="AS4980" s="1"/>
      <c r="AT4980" s="1"/>
      <c r="AU4980" s="1"/>
      <c r="AV4980" s="1"/>
      <c r="AW4980" s="1"/>
      <c r="AX4980" s="1"/>
      <c r="AY4980" s="1"/>
      <c r="AZ4980" s="1"/>
      <c r="BA4980" s="1"/>
      <c r="BB4980" s="1"/>
    </row>
    <row r="4981" ht="204.75" customHeight="1">
      <c r="A4981" s="1">
        <v>1455.0</v>
      </c>
      <c r="B4981" s="2" t="s">
        <v>13973</v>
      </c>
      <c r="C4981" s="2">
        <f>IFERROR(__xludf.DUMMYFUNCTION("split(B4981,""_"")"),1610.0)</f>
        <v>1610</v>
      </c>
      <c r="D4981" s="2" t="str">
        <f>IFERROR(__xludf.DUMMYFUNCTION("""COMPUTED_VALUE"""),"TBS")</f>
        <v>TBS</v>
      </c>
      <c r="E4981" s="2" t="str">
        <f>IFERROR(__xludf.DUMMYFUNCTION("""COMPUTED_VALUE"""),"火22")</f>
        <v>火22</v>
      </c>
      <c r="F4981" s="2" t="s">
        <v>13974</v>
      </c>
      <c r="G4981" s="2" t="s">
        <v>13989</v>
      </c>
      <c r="H4981" s="1">
        <v>8.0</v>
      </c>
      <c r="J4981" s="1" t="s">
        <v>82</v>
      </c>
      <c r="K4981" s="2" t="s">
        <v>13990</v>
      </c>
      <c r="L4981" s="2"/>
      <c r="M4981" s="2" t="str">
        <f>IFERROR(__xludf.DUMMYFUNCTION("split(split(K4981,""【"",false),""公式LINE"",false)"),"みくり（新垣結衣）が突然、家からいなくなった。津崎（星野源）は、みくりを拒絶をするような自らの態度が原因だと考え、悩む。会社では、沼田（古田新太）に2人の関係について核心をつかれそうになる。百合（石田ゆり子）もみくりの様子に困惑していた。ある日津崎は、日野（藤井隆）に飲み会に誘われ、風見（大谷亮平）とみくりについて言い合いになり、珍しく感情的に…。距離の中にある鼓動・・・、切なさたっぷりの第8話！新垣結衣、星野源、大谷亮平、藤井隆、真野恵里菜、成田凌、山賀琴子、細田善彦、高山侑子、高橋洋、横田栄司、葉山奨"&amp;"之、古舘寛治、高橋ひとみ、富田靖子、宇梶剛士／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◇instagr"&amp;"am  https://www.instagram.com/nigehajigram/  ◇番組Twitter  @nigehaji_tbs   https://twitter.com/nigehaji_tbs  ◇番組Facebook  https://www.facebook.com/nigehaji.tbs/番組の内容と放送時間は変更になる場合があります。")</f>
        <v>みくり（新垣結衣）が突然、家からいなくなった。津崎（星野源）は、みくりを拒絶をするような自らの態度が原因だと考え、悩む。会社では、沼田（古田新太）に2人の関係について核心をつかれそうになる。百合（石田ゆり子）もみくりの様子に困惑していた。ある日津崎は、日野（藤井隆）に飲み会に誘われ、風見（大谷亮平）とみくりについて言い合いになり、珍しく感情的に…。距離の中にある鼓動・・・、切なさたっぷりの第8話！新垣結衣、星野源、大谷亮平、藤井隆、真野恵里菜、成田凌、山賀琴子、細田善彦、高山侑子、高橋洋、横田栄司、葉山奨之、古舘寛治、高橋ひとみ、富田靖子、宇梶剛士／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v>
      </c>
      <c r="N4981" s="2"/>
      <c r="O4981" s="2"/>
      <c r="P4981" s="1"/>
      <c r="Q4981" s="1"/>
      <c r="R4981" s="1"/>
      <c r="S4981" s="1"/>
      <c r="T4981" s="1"/>
      <c r="U4981" s="1"/>
      <c r="V4981" s="1"/>
      <c r="W4981" s="1"/>
      <c r="X4981" s="1"/>
      <c r="Y4981" s="1"/>
      <c r="Z4981" s="1"/>
      <c r="AA4981" s="1"/>
      <c r="AB4981" s="1"/>
      <c r="AC4981" s="1"/>
      <c r="AD4981" s="1"/>
      <c r="AE4981" s="1"/>
      <c r="AF4981" s="1"/>
      <c r="AG4981" s="1"/>
      <c r="AH4981" s="1"/>
      <c r="AI4981" s="1"/>
      <c r="AJ4981" s="1"/>
      <c r="AK4981" s="1"/>
      <c r="AL4981" s="1"/>
      <c r="AM4981" s="1"/>
      <c r="AN4981" s="1"/>
      <c r="AO4981" s="1"/>
      <c r="AP4981" s="1"/>
      <c r="AQ4981" s="1"/>
      <c r="AR4981" s="1"/>
      <c r="AS4981" s="1"/>
      <c r="AT4981" s="1"/>
      <c r="AU4981" s="1"/>
      <c r="AV4981" s="1"/>
      <c r="AW4981" s="1"/>
      <c r="AX4981" s="1"/>
      <c r="AY4981" s="1"/>
      <c r="AZ4981" s="1"/>
      <c r="BA4981" s="1"/>
      <c r="BB4981" s="1"/>
    </row>
    <row r="4982" ht="204.75" customHeight="1">
      <c r="A4982" s="1">
        <v>1456.0</v>
      </c>
      <c r="B4982" s="2" t="s">
        <v>13973</v>
      </c>
      <c r="C4982" s="2">
        <f>IFERROR(__xludf.DUMMYFUNCTION("split(B4982,""_"")"),1610.0)</f>
        <v>1610</v>
      </c>
      <c r="D4982" s="2" t="str">
        <f>IFERROR(__xludf.DUMMYFUNCTION("""COMPUTED_VALUE"""),"TBS")</f>
        <v>TBS</v>
      </c>
      <c r="E4982" s="2" t="str">
        <f>IFERROR(__xludf.DUMMYFUNCTION("""COMPUTED_VALUE"""),"火22")</f>
        <v>火22</v>
      </c>
      <c r="F4982" s="2" t="s">
        <v>13974</v>
      </c>
      <c r="G4982" s="2" t="s">
        <v>13991</v>
      </c>
      <c r="H4982" s="1">
        <v>9.0</v>
      </c>
      <c r="J4982" s="1" t="s">
        <v>86</v>
      </c>
      <c r="K4982" s="2" t="s">
        <v>13992</v>
      </c>
      <c r="L4982" s="2"/>
      <c r="M4982" s="2" t="str">
        <f>IFERROR(__xludf.DUMMYFUNCTION("split(split(K4982,""【"",false),""公式LINE"",false)"),"すれ違ってしまったみくり（新垣結衣）と津崎（星野源）だったが、ようやく再会のハグをできる。そこで、津崎は、今後の二人の関係を考えるにあたり、システムの再構築が必要だと提案する。みくりは津崎が、自分を本当に好きなのか分からず戸惑う。そんな時、津崎が若い女性と一緒にいるところを目撃してしまったみくり。津崎にモテキ到来？！波乱の第9話！！新垣結衣、星野源、大谷亮平、藤井隆、真野恵里菜、成田凌、山賀琴子、葉山奨之、内田理央／岡田浩暉、横田栄司／古舘寛治／　古田新太／石田ゆり子海野つなみ「逃げるは恥だが役に立つ」（"&amp;"講談社「kiss])  野木亜紀子（「空飛ぶ広報室」「重版出来！」「図書館戦争シリーズ」）主題歌：星野源「恋」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◇番組Twitte"&amp;"r  @nigehaji_tbs   https://twitter.com/nigehaji_tbs  ◇番組Facebook  https://www.facebook.com/nigehaji.tbs/番組の内容と放送時間は変更になる場合があります。")</f>
        <v>すれ違ってしまったみくり（新垣結衣）と津崎（星野源）だったが、ようやく再会のハグをできる。そこで、津崎は、今後の二人の関係を考えるにあたり、システムの再構築が必要だと提案する。みくりは津崎が、自分を本当に好きなのか分からず戸惑う。そんな時、津崎が若い女性と一緒にいるところを目撃してしまったみくり。津崎にモテキ到来？！波乱の第9話！！新垣結衣、星野源、大谷亮平、藤井隆、真野恵里菜、成田凌、山賀琴子、葉山奨之、内田理央／岡田浩暉、横田栄司／古舘寛治／　古田新太／石田ゆり子海野つなみ「逃げるは恥だが役に立つ」（講談社「kiss])  野木亜紀子（「空飛ぶ広報室」「重版出来！」「図書館戦争シリーズ」）主題歌：星野源「恋」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v>
      </c>
      <c r="N4982" s="2"/>
      <c r="O4982" s="2"/>
      <c r="P4982" s="1"/>
      <c r="Q4982" s="1"/>
      <c r="R4982" s="1"/>
      <c r="S4982" s="1"/>
      <c r="T4982" s="1"/>
      <c r="U4982" s="1"/>
      <c r="V4982" s="1"/>
      <c r="W4982" s="1"/>
      <c r="X4982" s="1"/>
      <c r="Y4982" s="1"/>
      <c r="Z4982" s="1"/>
      <c r="AA4982" s="1"/>
      <c r="AB4982" s="1"/>
      <c r="AC4982" s="1"/>
      <c r="AD4982" s="1"/>
      <c r="AE4982" s="1"/>
      <c r="AF4982" s="1"/>
      <c r="AG4982" s="1"/>
      <c r="AH4982" s="1"/>
      <c r="AI4982" s="1"/>
      <c r="AJ4982" s="1"/>
      <c r="AK4982" s="1"/>
      <c r="AL4982" s="1"/>
      <c r="AM4982" s="1"/>
      <c r="AN4982" s="1"/>
      <c r="AO4982" s="1"/>
      <c r="AP4982" s="1"/>
      <c r="AQ4982" s="1"/>
      <c r="AR4982" s="1"/>
      <c r="AS4982" s="1"/>
      <c r="AT4982" s="1"/>
      <c r="AU4982" s="1"/>
      <c r="AV4982" s="1"/>
      <c r="AW4982" s="1"/>
      <c r="AX4982" s="1"/>
      <c r="AY4982" s="1"/>
      <c r="AZ4982" s="1"/>
      <c r="BA4982" s="1"/>
      <c r="BB4982" s="1"/>
    </row>
    <row r="4983" ht="204.75" customHeight="1">
      <c r="A4983" s="1">
        <v>1457.0</v>
      </c>
      <c r="B4983" s="2" t="s">
        <v>13973</v>
      </c>
      <c r="C4983" s="2">
        <f>IFERROR(__xludf.DUMMYFUNCTION("split(B4983,""_"")"),1610.0)</f>
        <v>1610</v>
      </c>
      <c r="D4983" s="2" t="str">
        <f>IFERROR(__xludf.DUMMYFUNCTION("""COMPUTED_VALUE"""),"TBS")</f>
        <v>TBS</v>
      </c>
      <c r="E4983" s="2" t="str">
        <f>IFERROR(__xludf.DUMMYFUNCTION("""COMPUTED_VALUE"""),"火22")</f>
        <v>火22</v>
      </c>
      <c r="F4983" s="2" t="s">
        <v>13974</v>
      </c>
      <c r="G4983" s="2" t="s">
        <v>13993</v>
      </c>
      <c r="H4983" s="1">
        <v>10.0</v>
      </c>
      <c r="J4983" s="1" t="s">
        <v>82</v>
      </c>
      <c r="K4983" s="2" t="s">
        <v>13994</v>
      </c>
      <c r="L4983" s="2"/>
      <c r="M4983" s="2" t="str">
        <f>IFERROR(__xludf.DUMMYFUNCTION("split(split(K4983,""【"",false),""公式LINE"",false)"),"お互いの思いを通じ合えたみくり（新垣結衣）と津崎（星野源）は、朝まで一緒にいようと二人でベッドに入る。しかし、津崎はまたも仰天の行動に…。一方、津崎の会社では津崎のリストラを沼田（古田新太）が決めていた。突然のリストラを言い渡された津崎は、職を探し始める。さらに、百合（石田ゆり子）と風見（大谷亮平）も新たな局面を迎えていた…。あと2回の逃げ恥、二人が決める夫婦の形とは…？！新垣結衣、星野源、大谷亮平、藤井隆、真野恵里菜、成田凌、山賀琴子、古舘寛治／古田新太／石田ゆり子海野つなみ「逃げるは恥だが役に立つ」（"&amp;"講談社「kiss])  野木亜紀子（「空飛ぶ広報室」「重版出来！」「図書館戦争シリーズ」）主題歌：星野源「恋」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◇番組Twitte"&amp;"r  @nigehaji_tbs   https://twitter.com/nigehaji_tbs  ◇番組Facebook  https://www.facebook.com/nigehaji.tbs/番組の内容と放送時間は変更になる場合があります。")</f>
        <v>お互いの思いを通じ合えたみくり（新垣結衣）と津崎（星野源）は、朝まで一緒にいようと二人でベッドに入る。しかし、津崎はまたも仰天の行動に…。一方、津崎の会社では津崎のリストラを沼田（古田新太）が決めていた。突然のリストラを言い渡された津崎は、職を探し始める。さらに、百合（石田ゆり子）と風見（大谷亮平）も新たな局面を迎えていた…。あと2回の逃げ恥、二人が決める夫婦の形とは…？！新垣結衣、星野源、大谷亮平、藤井隆、真野恵里菜、成田凌、山賀琴子、古舘寛治／古田新太／石田ゆり子海野つなみ「逃げるは恥だが役に立つ」（講談社「kiss])  野木亜紀子（「空飛ぶ広報室」「重版出来！」「図書館戦争シリーズ」）主題歌：星野源「恋」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v>
      </c>
      <c r="N4983" s="2"/>
      <c r="O4983" s="2"/>
      <c r="P4983" s="1"/>
      <c r="Q4983" s="1"/>
      <c r="R4983" s="1"/>
      <c r="S4983" s="1"/>
      <c r="T4983" s="1"/>
      <c r="U4983" s="1"/>
      <c r="V4983" s="1"/>
      <c r="W4983" s="1"/>
      <c r="X4983" s="1"/>
      <c r="Y4983" s="1"/>
      <c r="Z4983" s="1"/>
      <c r="AA4983" s="1"/>
      <c r="AB4983" s="1"/>
      <c r="AC4983" s="1"/>
      <c r="AD4983" s="1"/>
      <c r="AE4983" s="1"/>
      <c r="AF4983" s="1"/>
      <c r="AG4983" s="1"/>
      <c r="AH4983" s="1"/>
      <c r="AI4983" s="1"/>
      <c r="AJ4983" s="1"/>
      <c r="AK4983" s="1"/>
      <c r="AL4983" s="1"/>
      <c r="AM4983" s="1"/>
      <c r="AN4983" s="1"/>
      <c r="AO4983" s="1"/>
      <c r="AP4983" s="1"/>
      <c r="AQ4983" s="1"/>
      <c r="AR4983" s="1"/>
      <c r="AS4983" s="1"/>
      <c r="AT4983" s="1"/>
      <c r="AU4983" s="1"/>
      <c r="AV4983" s="1"/>
      <c r="AW4983" s="1"/>
      <c r="AX4983" s="1"/>
      <c r="AY4983" s="1"/>
      <c r="AZ4983" s="1"/>
      <c r="BA4983" s="1"/>
      <c r="BB4983" s="1"/>
    </row>
    <row r="4984" ht="204.75" customHeight="1">
      <c r="A4984" s="1">
        <v>1458.0</v>
      </c>
      <c r="B4984" s="2" t="s">
        <v>13973</v>
      </c>
      <c r="C4984" s="2">
        <f>IFERROR(__xludf.DUMMYFUNCTION("split(B4984,""_"")"),1610.0)</f>
        <v>1610</v>
      </c>
      <c r="D4984" s="2" t="str">
        <f>IFERROR(__xludf.DUMMYFUNCTION("""COMPUTED_VALUE"""),"TBS")</f>
        <v>TBS</v>
      </c>
      <c r="E4984" s="2" t="str">
        <f>IFERROR(__xludf.DUMMYFUNCTION("""COMPUTED_VALUE"""),"火22")</f>
        <v>火22</v>
      </c>
      <c r="F4984" s="2" t="s">
        <v>13974</v>
      </c>
      <c r="G4984" s="2" t="s">
        <v>13995</v>
      </c>
      <c r="H4984" s="1">
        <v>11.0</v>
      </c>
      <c r="J4984" s="1" t="s">
        <v>82</v>
      </c>
      <c r="K4984" s="2" t="s">
        <v>13996</v>
      </c>
      <c r="L4984" s="2"/>
      <c r="M4984" s="2" t="str">
        <f>IFERROR(__xludf.DUMMYFUNCTION("split(split(K4984,""【"",false),""公式LINE"",false)"),"津崎（星野源）からのプロポーズを、愛情の搾取だと断わってしまったみくり（新垣結衣）。二人の生活には暗い雰囲気が流れていた。一方、百合（石田ゆり子）と風見（大谷亮平）も、風見からの告白により、新たな展開を迎えようとしていた。さらにみくりは、商店街の青空市に向けて、自分の仕事に対する思いを再確認し、津崎にその考えを話し始め…。とうとう最終回！最後の最後まで、どうぞ逃げ恥ワールドをお楽しみください！！新垣結衣、星野源、大谷亮平、藤井隆、真野恵里菜、成田凌、山賀琴子、古畑星夏、高橋洋、葉山奨之、古舘寛治、オクイシ"&amp;"ュージ、新井郁、富田靖子、宇梶剛士／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h"&amp;"ttps://www.instagram.com/nigehajigram/  ◇番組Twitter  @nigehaji_tbs   https://twitter.com/nigehaji_tbs  ◇番組Facebook  https://www.facebook.com/nigehaji.tbs/番組の内容と放送時間は変更になる場合があります。")</f>
        <v>津崎（星野源）からのプロポーズを、愛情の搾取だと断わってしまったみくり（新垣結衣）。二人の生活には暗い雰囲気が流れていた。一方、百合（石田ゆり子）と風見（大谷亮平）も、風見からの告白により、新たな展開を迎えようとしていた。さらにみくりは、商店街の青空市に向けて、自分の仕事に対する思いを再確認し、津崎にその考えを話し始め…。とうとう最終回！最後の最後まで、どうぞ逃げ恥ワールドをお楽しみください！！新垣結衣、星野源、大谷亮平、藤井隆、真野恵里菜、成田凌、山賀琴子、古畑星夏、高橋洋、葉山奨之、古舘寛治、オクイシュージ、新井郁、富田靖子、宇梶剛士／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v>
      </c>
      <c r="N4984" s="2"/>
      <c r="O4984" s="2"/>
      <c r="P4984" s="1"/>
      <c r="Q4984" s="1"/>
      <c r="R4984" s="1"/>
      <c r="S4984" s="1"/>
      <c r="T4984" s="1"/>
      <c r="U4984" s="1"/>
      <c r="V4984" s="1"/>
      <c r="W4984" s="1"/>
      <c r="X4984" s="1"/>
      <c r="Y4984" s="1"/>
      <c r="Z4984" s="1"/>
      <c r="AA4984" s="1"/>
      <c r="AB4984" s="1"/>
      <c r="AC4984" s="1"/>
      <c r="AD4984" s="1"/>
      <c r="AE4984" s="1"/>
      <c r="AF4984" s="1"/>
      <c r="AG4984" s="1"/>
      <c r="AH4984" s="1"/>
      <c r="AI4984" s="1"/>
      <c r="AJ4984" s="1"/>
      <c r="AK4984" s="1"/>
      <c r="AL4984" s="1"/>
      <c r="AM4984" s="1"/>
      <c r="AN4984" s="1"/>
      <c r="AO4984" s="1"/>
      <c r="AP4984" s="1"/>
      <c r="AQ4984" s="1"/>
      <c r="AR4984" s="1"/>
      <c r="AS4984" s="1"/>
      <c r="AT4984" s="1"/>
      <c r="AU4984" s="1"/>
      <c r="AV4984" s="1"/>
      <c r="AW4984" s="1"/>
      <c r="AX4984" s="1"/>
      <c r="AY4984" s="1"/>
      <c r="AZ4984" s="1"/>
      <c r="BA4984" s="1"/>
      <c r="BB4984" s="1"/>
    </row>
    <row r="4985" ht="204.75" customHeight="1">
      <c r="A4985" s="1">
        <v>1498.0</v>
      </c>
      <c r="B4985" s="2" t="s">
        <v>13997</v>
      </c>
      <c r="C4985" s="2">
        <f>IFERROR(__xludf.DUMMYFUNCTION("split(B4985,""_"")"),1610.0)</f>
        <v>1610</v>
      </c>
      <c r="D4985" s="2" t="str">
        <f>IFERROR(__xludf.DUMMYFUNCTION("""COMPUTED_VALUE"""),"TBS")</f>
        <v>TBS</v>
      </c>
      <c r="E4985" s="2" t="str">
        <f>IFERROR(__xludf.DUMMYFUNCTION("""COMPUTED_VALUE"""),"金22")</f>
        <v>金22</v>
      </c>
      <c r="F4985" s="2" t="s">
        <v>13998</v>
      </c>
      <c r="G4985" s="2" t="s">
        <v>13999</v>
      </c>
      <c r="H4985" s="1">
        <v>1.0</v>
      </c>
      <c r="J4985" s="1" t="s">
        <v>82</v>
      </c>
      <c r="K4985" s="2" t="s">
        <v>14000</v>
      </c>
      <c r="L4985" s="2"/>
      <c r="M4985" s="2" t="str">
        <f>IFERROR(__xludf.DUMMYFUNCTION("split(split(K4985,""【"",false),""公式LINE"",false)"),"「地獄のランチ」「強制ハロウィン」「フロア差別」…リアルな住民への取材によって明かされた、美しきタワーマンションの裏にある“奇妙なルール”！プライドと虚栄心に支配されたセレブ主婦たちの実態とは!?　一方、世の母親を震撼させる幼児連続失踪事件で現場に残された一輪の花は、美しい隣人の女と不気味にリンクしていく…絡み合う数々の謎がハイスピードで展開する本格オリジナルサスペンス！「母は家族を、守れるか」菅野美穂  岩田剛典(EXILE / 三代目J Soul Brothers)  横山めぐみ  堀内敬子  ホラン"&amp;"千秋  上杉柊平  音月 桂  木村祐一  佐野勇斗  川津明日香  稲垣来泉  光石研  烏丸せつこ  津田寛治  田中直樹(ココリコ）  松嶋菜々子THE　YELLOW　MONKEY　『砂の塔』  YAHOO！検索で『砂の塔』と検索すると、今ならドラマ限定動画とともに主題歌も聴ける！塚原あゆ子「夜行観覧車」「Nのために」「アリスの棘」「私結婚できないんじゃなくて、しないんです」  平野俊一「エス‐最後の警官-」「家族のカタチ」  棚澤孝義「半沢直樹」「下町ロケット」池田奈津子「アリスの棘」「アルジャー"&amp;"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f>
        <v>「地獄のランチ」「強制ハロウィン」「フロア差別」…リアルな住民への取材によって明かされた、美しきタワーマンションの裏にある“奇妙なルール”！プライドと虚栄心に支配されたセレブ主婦たちの実態とは!?　一方、世の母親を震撼させる幼児連続失踪事件で現場に残された一輪の花は、美しい隣人の女と不気味にリンクしていく…絡み合う数々の謎がハイスピードで展開する本格オリジナルサスペンス！「母は家族を、守れるか」菅野美穂  岩田剛典(EXILE / 三代目J Soul Brothers)  横山めぐみ  堀内敬子  ホラン千秋  上杉柊平  音月 桂  木村祐一  佐野勇斗  川津明日香  稲垣来泉  光石研  烏丸せつこ  津田寛治  田中直樹(ココリコ）  松嶋菜々子THE　YELLOW　MONKEY　『砂の塔』  YAHOO！検索で『砂の塔』と検索すると、今ならドラマ限定動画とともに主題歌も聴ける！塚原あゆ子「夜行観覧車」「Nのために」「アリスの棘」「私結婚できないんじゃなくて、しないんです」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v>
      </c>
      <c r="N4985" s="2"/>
      <c r="O4985" s="2"/>
      <c r="P4985" s="1"/>
      <c r="Q4985" s="1"/>
      <c r="R4985" s="1"/>
      <c r="S4985" s="1"/>
      <c r="T4985" s="1"/>
      <c r="U4985" s="1"/>
      <c r="V4985" s="1"/>
      <c r="W4985" s="1"/>
      <c r="X4985" s="1"/>
      <c r="Y4985" s="1"/>
      <c r="Z4985" s="1"/>
      <c r="AA4985" s="1"/>
      <c r="AB4985" s="1"/>
      <c r="AC4985" s="1"/>
      <c r="AD4985" s="1"/>
      <c r="AE4985" s="1"/>
      <c r="AF4985" s="1"/>
      <c r="AG4985" s="1"/>
      <c r="AH4985" s="1"/>
      <c r="AI4985" s="1"/>
      <c r="AJ4985" s="1"/>
      <c r="AK4985" s="1"/>
      <c r="AL4985" s="1"/>
      <c r="AM4985" s="1"/>
      <c r="AN4985" s="1"/>
      <c r="AO4985" s="1"/>
      <c r="AP4985" s="1"/>
      <c r="AQ4985" s="1"/>
      <c r="AR4985" s="1"/>
      <c r="AS4985" s="1"/>
      <c r="AT4985" s="1"/>
      <c r="AU4985" s="1"/>
      <c r="AV4985" s="1"/>
      <c r="AW4985" s="1"/>
      <c r="AX4985" s="1"/>
      <c r="AY4985" s="1"/>
      <c r="AZ4985" s="1"/>
      <c r="BA4985" s="1"/>
      <c r="BB4985" s="1"/>
    </row>
    <row r="4986" ht="204.75" customHeight="1">
      <c r="A4986" s="1">
        <v>1499.0</v>
      </c>
      <c r="B4986" s="2" t="s">
        <v>13997</v>
      </c>
      <c r="C4986" s="2">
        <f>IFERROR(__xludf.DUMMYFUNCTION("split(B4986,""_"")"),1610.0)</f>
        <v>1610</v>
      </c>
      <c r="D4986" s="2" t="str">
        <f>IFERROR(__xludf.DUMMYFUNCTION("""COMPUTED_VALUE"""),"TBS")</f>
        <v>TBS</v>
      </c>
      <c r="E4986" s="2" t="str">
        <f>IFERROR(__xludf.DUMMYFUNCTION("""COMPUTED_VALUE"""),"金22")</f>
        <v>金22</v>
      </c>
      <c r="F4986" s="2" t="s">
        <v>13998</v>
      </c>
      <c r="G4986" s="2" t="s">
        <v>14001</v>
      </c>
      <c r="H4986" s="1">
        <v>2.0</v>
      </c>
      <c r="J4986" s="1" t="s">
        <v>86</v>
      </c>
      <c r="K4986" s="2" t="s">
        <v>14002</v>
      </c>
      <c r="L4986" s="2"/>
      <c r="M4986" s="2" t="str">
        <f>IFERROR(__xludf.DUMMYFUNCTION("split(split(K4986,""【"",false),""公式LINE"",false)"),"華やかなタワーマンション妻たちの“愛”と“裏切り”…見栄とプライドにまみれたセレブ主婦たちの闇を巧みに操り、主人公・亜紀（菅野美穂）を追い詰めていく隣人・弓子…女優・松嶋菜々子史上もっとも怖い！と評判の謎の女の真の目的とは！？一方、亜紀に優しい生方（岩田剛典）に対し、嫉妬に狂う寛子（横山めぐみ）は、まさかの行動に！連続幼児失踪事件＝ハーメルン事件にも急展開！「犯人は女…？」ますます急展開の第2話！菅野美穂  岩田剛典(EXILE / 三代目J Soul Brothers)  横山めぐみ  堀内敬子  ホラ"&amp;"ン千秋  上杉柊平  音月 桂  木村祐一  佐野勇斗  川津明日香  稲垣来泉  光石研  烏丸せつこ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amp;"」（以上WOWOW）高橋正尚「魔王」「アリスの棘」◇番組HP  http://www.tbs.co.jp/sunanotou/  ◇公式ツイッター  @sunanotou_tbs  オフショットやドラマ情報を更新中！！番組の内容と放送時間は変更になる場合があります。")</f>
        <v>華やかなタワーマンション妻たちの“愛”と“裏切り”…見栄とプライドにまみれたセレブ主婦たちの闇を巧みに操り、主人公・亜紀（菅野美穂）を追い詰めていく隣人・弓子…女優・松嶋菜々子史上もっとも怖い！と評判の謎の女の真の目的とは！？一方、亜紀に優しい生方（岩田剛典）に対し、嫉妬に狂う寛子（横山めぐみ）は、まさかの行動に！連続幼児失踪事件＝ハーメルン事件にも急展開！「犯人は女…？」ますます急展開の第2話！菅野美穂  岩田剛典(EXILE / 三代目J Soul Brothers)  横山めぐみ  堀内敬子  ホラン千秋  上杉柊平  音月 桂  木村祐一  佐野勇斗  川津明日香  稲垣来泉  光石研  烏丸せつこ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v>
      </c>
      <c r="N4986" s="2"/>
      <c r="O4986" s="2"/>
      <c r="P4986" s="1"/>
      <c r="Q4986" s="1"/>
      <c r="R4986" s="1"/>
      <c r="S4986" s="1"/>
      <c r="T4986" s="1"/>
      <c r="U4986" s="1"/>
      <c r="V4986" s="1"/>
      <c r="W4986" s="1"/>
      <c r="X4986" s="1"/>
      <c r="Y4986" s="1"/>
      <c r="Z4986" s="1"/>
      <c r="AA4986" s="1"/>
      <c r="AB4986" s="1"/>
      <c r="AC4986" s="1"/>
      <c r="AD4986" s="1"/>
      <c r="AE4986" s="1"/>
      <c r="AF4986" s="1"/>
      <c r="AG4986" s="1"/>
      <c r="AH4986" s="1"/>
      <c r="AI4986" s="1"/>
      <c r="AJ4986" s="1"/>
      <c r="AK4986" s="1"/>
      <c r="AL4986" s="1"/>
      <c r="AM4986" s="1"/>
      <c r="AN4986" s="1"/>
      <c r="AO4986" s="1"/>
      <c r="AP4986" s="1"/>
      <c r="AQ4986" s="1"/>
      <c r="AR4986" s="1"/>
      <c r="AS4986" s="1"/>
      <c r="AT4986" s="1"/>
      <c r="AU4986" s="1"/>
      <c r="AV4986" s="1"/>
      <c r="AW4986" s="1"/>
      <c r="AX4986" s="1"/>
      <c r="AY4986" s="1"/>
      <c r="AZ4986" s="1"/>
      <c r="BA4986" s="1"/>
      <c r="BB4986" s="1"/>
    </row>
    <row r="4987" ht="204.75" customHeight="1">
      <c r="A4987" s="1">
        <v>1500.0</v>
      </c>
      <c r="B4987" s="2" t="s">
        <v>13997</v>
      </c>
      <c r="C4987" s="2">
        <f>IFERROR(__xludf.DUMMYFUNCTION("split(B4987,""_"")"),1610.0)</f>
        <v>1610</v>
      </c>
      <c r="D4987" s="2" t="str">
        <f>IFERROR(__xludf.DUMMYFUNCTION("""COMPUTED_VALUE"""),"TBS")</f>
        <v>TBS</v>
      </c>
      <c r="E4987" s="2" t="str">
        <f>IFERROR(__xludf.DUMMYFUNCTION("""COMPUTED_VALUE"""),"金22")</f>
        <v>金22</v>
      </c>
      <c r="F4987" s="2" t="s">
        <v>13998</v>
      </c>
      <c r="G4987" s="2" t="s">
        <v>14003</v>
      </c>
      <c r="H4987" s="1">
        <v>3.0</v>
      </c>
      <c r="J4987" s="1" t="s">
        <v>86</v>
      </c>
      <c r="K4987" s="2" t="s">
        <v>14004</v>
      </c>
      <c r="L4987" s="2"/>
      <c r="M4987" s="2" t="str">
        <f>IFERROR(__xludf.DUMMYFUNCTION("split(split(K4987,""【"",false),""公式LINE"",false)"),"街を埋めつくすハロウィンパレードの中、不審な男の目撃情報が…亜紀（菅野美穂）が目を離した隙に不気味な“仮面の男”が幼い娘・そらを連れ去る！必死に探す亜紀だが、仮装した大群衆にまぎれ全く手がかりは無く…一方、そらを連れさった男が向かった先には、やはり弓子（松嶋菜々子）の姿が！誘拐犯の黒い牙…明かされる謎の真相！さらに…失意の亜紀は生方（岩田剛典）に抱きしめられてー怒涛の第3話…第一章クライマックス！菅野美穂  岩田剛典(EXILE / 三代目J Soul Brothers)  横山めぐみ  堀内敬子  ホラ"&amp;"ン千秋  上杉柊平  音月 桂  木村祐一  佐野勇斗  川津明日香  稲垣来泉  光石研  烏丸せつこ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amp;"」（以上WOWOW）高橋正尚「魔王」「アリスの棘」◇番組HP  http://www.tbs.co.jp/sunanotou/  ◇公式ツイッター  @sunanotou_tbs  オフショットやドラマ情報を更新中！！番組の内容と放送時間は変更になる場合があります。")</f>
        <v>街を埋めつくすハロウィンパレードの中、不審な男の目撃情報が…亜紀（菅野美穂）が目を離した隙に不気味な“仮面の男”が幼い娘・そらを連れ去る！必死に探す亜紀だが、仮装した大群衆にまぎれ全く手がかりは無く…一方、そらを連れさった男が向かった先には、やはり弓子（松嶋菜々子）の姿が！誘拐犯の黒い牙…明かされる謎の真相！さらに…失意の亜紀は生方（岩田剛典）に抱きしめられてー怒涛の第3話…第一章クライマックス！菅野美穂  岩田剛典(EXILE / 三代目J Soul Brothers)  横山めぐみ  堀内敬子  ホラン千秋  上杉柊平  音月 桂  木村祐一  佐野勇斗  川津明日香  稲垣来泉  光石研  烏丸せつこ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v>
      </c>
      <c r="N4987" s="2"/>
      <c r="O4987" s="2"/>
      <c r="P4987" s="1"/>
      <c r="Q4987" s="1"/>
      <c r="R4987" s="1"/>
      <c r="S4987" s="1"/>
      <c r="T4987" s="1"/>
      <c r="U4987" s="1"/>
      <c r="V4987" s="1"/>
      <c r="W4987" s="1"/>
      <c r="X4987" s="1"/>
      <c r="Y4987" s="1"/>
      <c r="Z4987" s="1"/>
      <c r="AA4987" s="1"/>
      <c r="AB4987" s="1"/>
      <c r="AC4987" s="1"/>
      <c r="AD4987" s="1"/>
      <c r="AE4987" s="1"/>
      <c r="AF4987" s="1"/>
      <c r="AG4987" s="1"/>
      <c r="AH4987" s="1"/>
      <c r="AI4987" s="1"/>
      <c r="AJ4987" s="1"/>
      <c r="AK4987" s="1"/>
      <c r="AL4987" s="1"/>
      <c r="AM4987" s="1"/>
      <c r="AN4987" s="1"/>
      <c r="AO4987" s="1"/>
      <c r="AP4987" s="1"/>
      <c r="AQ4987" s="1"/>
      <c r="AR4987" s="1"/>
      <c r="AS4987" s="1"/>
      <c r="AT4987" s="1"/>
      <c r="AU4987" s="1"/>
      <c r="AV4987" s="1"/>
      <c r="AW4987" s="1"/>
      <c r="AX4987" s="1"/>
      <c r="AY4987" s="1"/>
      <c r="AZ4987" s="1"/>
      <c r="BA4987" s="1"/>
      <c r="BB4987" s="1"/>
    </row>
    <row r="4988" ht="204.75" customHeight="1">
      <c r="A4988" s="1">
        <v>1501.0</v>
      </c>
      <c r="B4988" s="2" t="s">
        <v>13997</v>
      </c>
      <c r="C4988" s="2">
        <f>IFERROR(__xludf.DUMMYFUNCTION("split(B4988,""_"")"),1610.0)</f>
        <v>1610</v>
      </c>
      <c r="D4988" s="2" t="str">
        <f>IFERROR(__xludf.DUMMYFUNCTION("""COMPUTED_VALUE"""),"TBS")</f>
        <v>TBS</v>
      </c>
      <c r="E4988" s="2" t="str">
        <f>IFERROR(__xludf.DUMMYFUNCTION("""COMPUTED_VALUE"""),"金22")</f>
        <v>金22</v>
      </c>
      <c r="F4988" s="2" t="s">
        <v>13998</v>
      </c>
      <c r="G4988" s="2" t="s">
        <v>14005</v>
      </c>
      <c r="H4988" s="1">
        <v>4.0</v>
      </c>
      <c r="J4988" s="1" t="s">
        <v>86</v>
      </c>
      <c r="K4988" s="2" t="s">
        <v>14006</v>
      </c>
      <c r="L4988" s="2"/>
      <c r="M4988" s="2" t="str">
        <f>IFERROR(__xludf.DUMMYFUNCTION("split(split(K4988,""【"",false),""公式LINE"",false)"),"連続する幼児失踪事件、通称ハーメルン事件…新たな被害者は亜紀（菅野美穂）の娘・そら！？隣人の女・弓子（松嶋菜々子）の『禁断の監視部屋』に閉じこめられたそら！「ここは入ってはいけない部屋なのよ…」と不気味にそらの頬に添えた弓子の手が、少しずつそらの首に降りていく…！？一方、亜紀は弓子が張り巡らせたワナに気づき、禁断の部屋に飛び込むが…そこで見た驚きの光景とは！？新たなるタワマンサスペンスの幕があく！菅野美穂  岩田剛典(EXILE / 三代目J Soul Brothers)  横山めぐみ  堀内敬子  上杉"&amp;"柊平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amp;"「魔王」「アリスの棘」◇番組HP  http://www.tbs.co.jp/sunanotou/  ◇公式ツイッター  @sunanotou_tbs  オフショットやドラマ情報を更新中！！番組の内容と放送時間は変更になる場合があります。")</f>
        <v>連続する幼児失踪事件、通称ハーメルン事件…新たな被害者は亜紀（菅野美穂）の娘・そら！？隣人の女・弓子（松嶋菜々子）の『禁断の監視部屋』に閉じこめられたそら！「ここは入ってはいけない部屋なのよ…」と不気味にそらの頬に添えた弓子の手が、少しずつそらの首に降りていく…！？一方、亜紀は弓子が張り巡らせたワナに気づき、禁断の部屋に飛び込むが…そこで見た驚きの光景とは！？新たなるタワマンサスペンスの幕があく！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v>
      </c>
      <c r="N4988" s="2"/>
      <c r="O4988" s="2"/>
      <c r="P4988" s="1"/>
      <c r="Q4988" s="1"/>
      <c r="R4988" s="1"/>
      <c r="S4988" s="1"/>
      <c r="T4988" s="1"/>
      <c r="U4988" s="1"/>
      <c r="V4988" s="1"/>
      <c r="W4988" s="1"/>
      <c r="X4988" s="1"/>
      <c r="Y4988" s="1"/>
      <c r="Z4988" s="1"/>
      <c r="AA4988" s="1"/>
      <c r="AB4988" s="1"/>
      <c r="AC4988" s="1"/>
      <c r="AD4988" s="1"/>
      <c r="AE4988" s="1"/>
      <c r="AF4988" s="1"/>
      <c r="AG4988" s="1"/>
      <c r="AH4988" s="1"/>
      <c r="AI4988" s="1"/>
      <c r="AJ4988" s="1"/>
      <c r="AK4988" s="1"/>
      <c r="AL4988" s="1"/>
      <c r="AM4988" s="1"/>
      <c r="AN4988" s="1"/>
      <c r="AO4988" s="1"/>
      <c r="AP4988" s="1"/>
      <c r="AQ4988" s="1"/>
      <c r="AR4988" s="1"/>
      <c r="AS4988" s="1"/>
      <c r="AT4988" s="1"/>
      <c r="AU4988" s="1"/>
      <c r="AV4988" s="1"/>
      <c r="AW4988" s="1"/>
      <c r="AX4988" s="1"/>
      <c r="AY4988" s="1"/>
      <c r="AZ4988" s="1"/>
      <c r="BA4988" s="1"/>
      <c r="BB4988" s="1"/>
    </row>
    <row r="4989" ht="204.75" customHeight="1">
      <c r="A4989" s="1">
        <v>1502.0</v>
      </c>
      <c r="B4989" s="2" t="s">
        <v>13997</v>
      </c>
      <c r="C4989" s="2">
        <f>IFERROR(__xludf.DUMMYFUNCTION("split(B4989,""_"")"),1610.0)</f>
        <v>1610</v>
      </c>
      <c r="D4989" s="2" t="str">
        <f>IFERROR(__xludf.DUMMYFUNCTION("""COMPUTED_VALUE"""),"TBS")</f>
        <v>TBS</v>
      </c>
      <c r="E4989" s="2" t="str">
        <f>IFERROR(__xludf.DUMMYFUNCTION("""COMPUTED_VALUE"""),"金22")</f>
        <v>金22</v>
      </c>
      <c r="F4989" s="2" t="s">
        <v>13998</v>
      </c>
      <c r="G4989" s="2" t="s">
        <v>14007</v>
      </c>
      <c r="H4989" s="1">
        <v>5.0</v>
      </c>
      <c r="J4989" s="1" t="s">
        <v>86</v>
      </c>
      <c r="K4989" s="2" t="s">
        <v>14008</v>
      </c>
      <c r="L4989" s="2"/>
      <c r="M4989" s="2" t="str">
        <f>IFERROR(__xludf.DUMMYFUNCTION("split(split(K4989,""【"",false),""公式LINE"",false)"),"亜紀（菅野美穂）は、息子・和樹（佐野勇斗）に生方（岩田剛典）との不倫を疑われ動揺する。一方、落ち込む和樹に声をかけたのは隣人・弓子（松嶋菜々子）。弓子のたくらみにより、和樹の『裏の顔』が明るみに…彼が撮った大量の“母親たちの写真”が見つかり、ダメな母親に罰を与える連続誘拐＝ハーメルン事件の犯人かと刑事が動きだす！家族を襲うかつてない危機！息子の無実を晴らすため奔走する亜紀。ついに弓子との直接対決…捜査線上に浮かびあがった女・佐々木弓子に、荒又（光石研）は驚きを隠せない。佐々木弓子は、なんと荒又がかつて担当"&amp;"した殺人事件の犯人だったーー。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amp;"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f>
        <v>亜紀（菅野美穂）は、息子・和樹（佐野勇斗）に生方（岩田剛典）との不倫を疑われ動揺する。一方、落ち込む和樹に声をかけたのは隣人・弓子（松嶋菜々子）。弓子のたくらみにより、和樹の『裏の顔』が明るみに…彼が撮った大量の“母親たちの写真”が見つかり、ダメな母親に罰を与える連続誘拐＝ハーメルン事件の犯人かと刑事が動きだす！家族を襲うかつてない危機！息子の無実を晴らすため奔走する亜紀。ついに弓子との直接対決…捜査線上に浮かびあがった女・佐々木弓子に、荒又（光石研）は驚きを隠せない。佐々木弓子は、なんと荒又がかつて担当した殺人事件の犯人だったーー。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v>
      </c>
      <c r="N4989" s="2"/>
      <c r="O4989" s="2"/>
      <c r="P4989" s="1"/>
      <c r="Q4989" s="1"/>
      <c r="R4989" s="1"/>
      <c r="S4989" s="1"/>
      <c r="T4989" s="1"/>
      <c r="U4989" s="1"/>
      <c r="V4989" s="1"/>
      <c r="W4989" s="1"/>
      <c r="X4989" s="1"/>
      <c r="Y4989" s="1"/>
      <c r="Z4989" s="1"/>
      <c r="AA4989" s="1"/>
      <c r="AB4989" s="1"/>
      <c r="AC4989" s="1"/>
      <c r="AD4989" s="1"/>
      <c r="AE4989" s="1"/>
      <c r="AF4989" s="1"/>
      <c r="AG4989" s="1"/>
      <c r="AH4989" s="1"/>
      <c r="AI4989" s="1"/>
      <c r="AJ4989" s="1"/>
      <c r="AK4989" s="1"/>
      <c r="AL4989" s="1"/>
      <c r="AM4989" s="1"/>
      <c r="AN4989" s="1"/>
      <c r="AO4989" s="1"/>
      <c r="AP4989" s="1"/>
      <c r="AQ4989" s="1"/>
      <c r="AR4989" s="1"/>
      <c r="AS4989" s="1"/>
      <c r="AT4989" s="1"/>
      <c r="AU4989" s="1"/>
      <c r="AV4989" s="1"/>
      <c r="AW4989" s="1"/>
      <c r="AX4989" s="1"/>
      <c r="AY4989" s="1"/>
      <c r="AZ4989" s="1"/>
      <c r="BA4989" s="1"/>
      <c r="BB4989" s="1"/>
    </row>
    <row r="4990" ht="204.75" customHeight="1">
      <c r="A4990" s="1">
        <v>1503.0</v>
      </c>
      <c r="B4990" s="2" t="s">
        <v>13997</v>
      </c>
      <c r="C4990" s="2">
        <f>IFERROR(__xludf.DUMMYFUNCTION("split(B4990,""_"")"),1610.0)</f>
        <v>1610</v>
      </c>
      <c r="D4990" s="2" t="str">
        <f>IFERROR(__xludf.DUMMYFUNCTION("""COMPUTED_VALUE"""),"TBS")</f>
        <v>TBS</v>
      </c>
      <c r="E4990" s="2" t="str">
        <f>IFERROR(__xludf.DUMMYFUNCTION("""COMPUTED_VALUE"""),"金22")</f>
        <v>金22</v>
      </c>
      <c r="F4990" s="2" t="s">
        <v>13998</v>
      </c>
      <c r="G4990" s="2" t="s">
        <v>14009</v>
      </c>
      <c r="H4990" s="1">
        <v>6.0</v>
      </c>
      <c r="J4990" s="1" t="s">
        <v>86</v>
      </c>
      <c r="K4990" s="2" t="s">
        <v>14010</v>
      </c>
      <c r="L4990" s="2"/>
      <c r="M4990" s="2" t="str">
        <f>IFERROR(__xludf.DUMMYFUNCTION("split(split(K4990,""【"",false),""公式LINE"",false)"),"亜紀（菅野美穂）は息子・和樹（佐野勇斗）との関係を修復しようと必死。一方、夫・健一（田中直樹）は、これまで亜紀を監視してきた隣人・弓子（松嶋菜々子）と密会していた！そうとも知らず弓子に夕食に招待される亜紀。ただならぬ雰囲気…さらに弓子はその場に生方（岩田剛典）も呼び、亜紀夫婦に大きな亀裂を入れる！家族崩壊の、最大の危機。そんな中、亜紀は弓子の花に仕掛けられた盗聴器に気付き…ついに怒りを爆発させる！刑事・荒又（光石研）は、捜査線上に上がってきた弓子に会いに行く。13年ぶりの再会を喜ぶ弓子。そんな弓子に荒又は"&amp;"疑い眼差しを向ける。「本当の目的は何？」荒又の追及に、笑顔を浮かべた弓子。その答えは…。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平野俊一「エス‐最後の警官-」「家族のカ"&amp;"タチ」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f>
        <v>亜紀（菅野美穂）は息子・和樹（佐野勇斗）との関係を修復しようと必死。一方、夫・健一（田中直樹）は、これまで亜紀を監視してきた隣人・弓子（松嶋菜々子）と密会していた！そうとも知らず弓子に夕食に招待される亜紀。ただならぬ雰囲気…さらに弓子はその場に生方（岩田剛典）も呼び、亜紀夫婦に大きな亀裂を入れる！家族崩壊の、最大の危機。そんな中、亜紀は弓子の花に仕掛けられた盗聴器に気付き…ついに怒りを爆発させる！刑事・荒又（光石研）は、捜査線上に上がってきた弓子に会いに行く。13年ぶりの再会を喜ぶ弓子。そんな弓子に荒又は疑い眼差しを向ける。「本当の目的は何？」荒又の追及に、笑顔を浮かべた弓子。その答えは…。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v>
      </c>
      <c r="N4990" s="2"/>
      <c r="O4990" s="2"/>
      <c r="P4990" s="1"/>
      <c r="Q4990" s="1"/>
      <c r="R4990" s="1"/>
      <c r="S4990" s="1"/>
      <c r="T4990" s="1"/>
      <c r="U4990" s="1"/>
      <c r="V4990" s="1"/>
      <c r="W4990" s="1"/>
      <c r="X4990" s="1"/>
      <c r="Y4990" s="1"/>
      <c r="Z4990" s="1"/>
      <c r="AA4990" s="1"/>
      <c r="AB4990" s="1"/>
      <c r="AC4990" s="1"/>
      <c r="AD4990" s="1"/>
      <c r="AE4990" s="1"/>
      <c r="AF4990" s="1"/>
      <c r="AG4990" s="1"/>
      <c r="AH4990" s="1"/>
      <c r="AI4990" s="1"/>
      <c r="AJ4990" s="1"/>
      <c r="AK4990" s="1"/>
      <c r="AL4990" s="1"/>
      <c r="AM4990" s="1"/>
      <c r="AN4990" s="1"/>
      <c r="AO4990" s="1"/>
      <c r="AP4990" s="1"/>
      <c r="AQ4990" s="1"/>
      <c r="AR4990" s="1"/>
      <c r="AS4990" s="1"/>
      <c r="AT4990" s="1"/>
      <c r="AU4990" s="1"/>
      <c r="AV4990" s="1"/>
      <c r="AW4990" s="1"/>
      <c r="AX4990" s="1"/>
      <c r="AY4990" s="1"/>
      <c r="AZ4990" s="1"/>
      <c r="BA4990" s="1"/>
      <c r="BB4990" s="1"/>
    </row>
    <row r="4991" ht="204.75" customHeight="1">
      <c r="A4991" s="1">
        <v>1504.0</v>
      </c>
      <c r="B4991" s="2" t="s">
        <v>13997</v>
      </c>
      <c r="C4991" s="2">
        <f>IFERROR(__xludf.DUMMYFUNCTION("split(B4991,""_"")"),1610.0)</f>
        <v>1610</v>
      </c>
      <c r="D4991" s="2" t="str">
        <f>IFERROR(__xludf.DUMMYFUNCTION("""COMPUTED_VALUE"""),"TBS")</f>
        <v>TBS</v>
      </c>
      <c r="E4991" s="2" t="str">
        <f>IFERROR(__xludf.DUMMYFUNCTION("""COMPUTED_VALUE"""),"金22")</f>
        <v>金22</v>
      </c>
      <c r="F4991" s="2" t="s">
        <v>13998</v>
      </c>
      <c r="G4991" s="2" t="s">
        <v>14011</v>
      </c>
      <c r="H4991" s="1">
        <v>7.0</v>
      </c>
      <c r="J4991" s="1" t="s">
        <v>86</v>
      </c>
      <c r="K4991" s="2" t="s">
        <v>14012</v>
      </c>
      <c r="L4991" s="2"/>
      <c r="M4991" s="2" t="str">
        <f>IFERROR(__xludf.DUMMYFUNCTION("split(split(K4991,""【"",false),""公式LINE"",false)"),"亜紀（菅野美穂）は、弓子（松嶋菜々子）と密会していた夫・健一（田中直樹）の裏切りを目の当たりにし、離婚を考える。一方、生方（岩田剛典）は弓子に渡された「夫婦の秘密」が入った封筒を開けたーそこにあったのは、高野家に隠された驚愕の真実！亜紀は、これまで積み上げてきた全てを完全に覆すほどの衝撃を受ける。ハーメルン犯の新たな誘拐事件か…という通報により荒又（光石研）は被害者宅に急行する。しかし、子育てをおろそかにする母親の子供だけが狙われるというこれまでの事件とは、明らかに違う痕跡が…警察に動揺が走る菅野美穂  "&amp;"岩田剛典(EXILE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amp;"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f>
        <v>亜紀（菅野美穂）は、弓子（松嶋菜々子）と密会していた夫・健一（田中直樹）の裏切りを目の当たりにし、離婚を考える。一方、生方（岩田剛典）は弓子に渡された「夫婦の秘密」が入った封筒を開けたーそこにあったのは、高野家に隠された驚愕の真実！亜紀は、これまで積み上げてきた全てを完全に覆すほどの衝撃を受ける。ハーメルン犯の新たな誘拐事件か…という通報により荒又（光石研）は被害者宅に急行する。しかし、子育てをおろそかにする母親の子供だけが狙われるというこれまでの事件とは、明らかに違う痕跡が…警察に動揺が走る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v>
      </c>
      <c r="N4991" s="2"/>
      <c r="O4991" s="2"/>
      <c r="P4991" s="1"/>
      <c r="Q4991" s="1"/>
      <c r="R4991" s="1"/>
      <c r="S4991" s="1"/>
      <c r="T4991" s="1"/>
      <c r="U4991" s="1"/>
      <c r="V4991" s="1"/>
      <c r="W4991" s="1"/>
      <c r="X4991" s="1"/>
      <c r="Y4991" s="1"/>
      <c r="Z4991" s="1"/>
      <c r="AA4991" s="1"/>
      <c r="AB4991" s="1"/>
      <c r="AC4991" s="1"/>
      <c r="AD4991" s="1"/>
      <c r="AE4991" s="1"/>
      <c r="AF4991" s="1"/>
      <c r="AG4991" s="1"/>
      <c r="AH4991" s="1"/>
      <c r="AI4991" s="1"/>
      <c r="AJ4991" s="1"/>
      <c r="AK4991" s="1"/>
      <c r="AL4991" s="1"/>
      <c r="AM4991" s="1"/>
      <c r="AN4991" s="1"/>
      <c r="AO4991" s="1"/>
      <c r="AP4991" s="1"/>
      <c r="AQ4991" s="1"/>
      <c r="AR4991" s="1"/>
      <c r="AS4991" s="1"/>
      <c r="AT4991" s="1"/>
      <c r="AU4991" s="1"/>
      <c r="AV4991" s="1"/>
      <c r="AW4991" s="1"/>
      <c r="AX4991" s="1"/>
      <c r="AY4991" s="1"/>
      <c r="AZ4991" s="1"/>
      <c r="BA4991" s="1"/>
      <c r="BB4991" s="1"/>
    </row>
    <row r="4992" ht="204.75" customHeight="1">
      <c r="A4992" s="1">
        <v>1505.0</v>
      </c>
      <c r="B4992" s="2" t="s">
        <v>13997</v>
      </c>
      <c r="C4992" s="2">
        <f>IFERROR(__xludf.DUMMYFUNCTION("split(B4992,""_"")"),1610.0)</f>
        <v>1610</v>
      </c>
      <c r="D4992" s="2" t="str">
        <f>IFERROR(__xludf.DUMMYFUNCTION("""COMPUTED_VALUE"""),"TBS")</f>
        <v>TBS</v>
      </c>
      <c r="E4992" s="2" t="str">
        <f>IFERROR(__xludf.DUMMYFUNCTION("""COMPUTED_VALUE"""),"金22")</f>
        <v>金22</v>
      </c>
      <c r="F4992" s="2" t="s">
        <v>13998</v>
      </c>
      <c r="G4992" s="2" t="s">
        <v>14013</v>
      </c>
      <c r="H4992" s="1">
        <v>8.0</v>
      </c>
      <c r="J4992" s="1" t="s">
        <v>86</v>
      </c>
      <c r="K4992" s="2" t="s">
        <v>14014</v>
      </c>
      <c r="L4992" s="2"/>
      <c r="M4992" s="2" t="str">
        <f>IFERROR(__xludf.DUMMYFUNCTION("split(split(K4992,""【"",false),""公式LINE"",false)"),"弓子（松嶋菜々子）に「本当の母親について知りたくないか」と問われた和樹（佐野勇斗）は激しく動揺する…そんな中、生方（岩田剛典）に抱き寄せられた瞬間を目撃された亜紀（菅野美穂）は、寛子（横山めぐみ）に絡まれ転倒！入院のため亜紀が不在の間に弓子は高野家に入り込む。まるで母親のような面持ちで…退院した亜紀が見たのは、和樹とそらの笑顔だった。「あなたの居場所はもうない」…母VS母の戦い、クライマックスへ！荒又（光石研）が捜査している失踪者宅でも、黄色いカーネーションが見つかり、警察は第5のハーメルン事件として捜査"&amp;"を続ける。荒又はイジメ被害者だった失踪者の両親を前に、ある秘密を語り始める…。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amp;"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f>
        <v>弓子（松嶋菜々子）に「本当の母親について知りたくないか」と問われた和樹（佐野勇斗）は激しく動揺する…そんな中、生方（岩田剛典）に抱き寄せられた瞬間を目撃された亜紀（菅野美穂）は、寛子（横山めぐみ）に絡まれ転倒！入院のため亜紀が不在の間に弓子は高野家に入り込む。まるで母親のような面持ちで…退院した亜紀が見たのは、和樹とそらの笑顔だった。「あなたの居場所はもうない」…母VS母の戦い、クライマックスへ！荒又（光石研）が捜査している失踪者宅でも、黄色いカーネーションが見つかり、警察は第5のハーメルン事件として捜査を続ける。荒又はイジメ被害者だった失踪者の両親を前に、ある秘密を語り始める…。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v>
      </c>
      <c r="N4992" s="2"/>
      <c r="O4992" s="2"/>
      <c r="P4992" s="1"/>
      <c r="Q4992" s="1"/>
      <c r="R4992" s="1"/>
      <c r="S4992" s="1"/>
      <c r="T4992" s="1"/>
      <c r="U4992" s="1"/>
      <c r="V4992" s="1"/>
      <c r="W4992" s="1"/>
      <c r="X4992" s="1"/>
      <c r="Y4992" s="1"/>
      <c r="Z4992" s="1"/>
      <c r="AA4992" s="1"/>
      <c r="AB4992" s="1"/>
      <c r="AC4992" s="1"/>
      <c r="AD4992" s="1"/>
      <c r="AE4992" s="1"/>
      <c r="AF4992" s="1"/>
      <c r="AG4992" s="1"/>
      <c r="AH4992" s="1"/>
      <c r="AI4992" s="1"/>
      <c r="AJ4992" s="1"/>
      <c r="AK4992" s="1"/>
      <c r="AL4992" s="1"/>
      <c r="AM4992" s="1"/>
      <c r="AN4992" s="1"/>
      <c r="AO4992" s="1"/>
      <c r="AP4992" s="1"/>
      <c r="AQ4992" s="1"/>
      <c r="AR4992" s="1"/>
      <c r="AS4992" s="1"/>
      <c r="AT4992" s="1"/>
      <c r="AU4992" s="1"/>
      <c r="AV4992" s="1"/>
      <c r="AW4992" s="1"/>
      <c r="AX4992" s="1"/>
      <c r="AY4992" s="1"/>
      <c r="AZ4992" s="1"/>
      <c r="BA4992" s="1"/>
      <c r="BB4992" s="1"/>
    </row>
    <row r="4993" ht="204.75" customHeight="1">
      <c r="A4993" s="1">
        <v>1506.0</v>
      </c>
      <c r="B4993" s="2" t="s">
        <v>13997</v>
      </c>
      <c r="C4993" s="2">
        <f>IFERROR(__xludf.DUMMYFUNCTION("split(B4993,""_"")"),1610.0)</f>
        <v>1610</v>
      </c>
      <c r="D4993" s="2" t="str">
        <f>IFERROR(__xludf.DUMMYFUNCTION("""COMPUTED_VALUE"""),"TBS")</f>
        <v>TBS</v>
      </c>
      <c r="E4993" s="2" t="str">
        <f>IFERROR(__xludf.DUMMYFUNCTION("""COMPUTED_VALUE"""),"金22")</f>
        <v>金22</v>
      </c>
      <c r="F4993" s="2" t="s">
        <v>13998</v>
      </c>
      <c r="G4993" s="2" t="s">
        <v>14015</v>
      </c>
      <c r="H4993" s="1">
        <v>9.0</v>
      </c>
      <c r="J4993" s="1" t="s">
        <v>86</v>
      </c>
      <c r="K4993" s="2" t="s">
        <v>14016</v>
      </c>
      <c r="L4993" s="2"/>
      <c r="M4993" s="2" t="str">
        <f>IFERROR(__xludf.DUMMYFUNCTION("split(split(K4993,""【"",false),""公式LINE"",false)"),"健一（田中直樹）が逮捕！？和樹（佐野勇斗）も弓子（松嶋菜々子）にさらわれ、残された亜紀（菅野美穂）に追い討ちをかけるように、衝撃の電話が…和樹は家を捨て、自分が産まれたという街で実の母と一緒に暮らすという。息子の行方を探るため、亜紀は刑事・荒又（光石研）を訪ねるが…語られたのは、想像もしなかった弓子（松嶋菜々子）の悲しき罪の全貌ーそんな中マンションに怪しい影が！ハーメルン事件の犯人が遂に姿を現す！救出された被害者・千晶（保榮茂愛）の証言から、警察はハーメルン事件の真相に近づく…が、そこに新たな謎がぼっ発！"&amp;"スカイグランドタワーに現れた怪しい影の正体とは…！？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amp;"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f>
        <v>健一（田中直樹）が逮捕！？和樹（佐野勇斗）も弓子（松嶋菜々子）にさらわれ、残された亜紀（菅野美穂）に追い討ちをかけるように、衝撃の電話が…和樹は家を捨て、自分が産まれたという街で実の母と一緒に暮らすという。息子の行方を探るため、亜紀は刑事・荒又（光石研）を訪ねるが…語られたのは、想像もしなかった弓子（松嶋菜々子）の悲しき罪の全貌ーそんな中マンションに怪しい影が！ハーメルン事件の犯人が遂に姿を現す！救出された被害者・千晶（保榮茂愛）の証言から、警察はハーメルン事件の真相に近づく…が、そこに新たな謎がぼっ発！スカイグランドタワーに現れた怪しい影の正体とは…！？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v>
      </c>
      <c r="N4993" s="2"/>
      <c r="O4993" s="2"/>
      <c r="P4993" s="1"/>
      <c r="Q4993" s="1"/>
      <c r="R4993" s="1"/>
      <c r="S4993" s="1"/>
      <c r="T4993" s="1"/>
      <c r="U4993" s="1"/>
      <c r="V4993" s="1"/>
      <c r="W4993" s="1"/>
      <c r="X4993" s="1"/>
      <c r="Y4993" s="1"/>
      <c r="Z4993" s="1"/>
      <c r="AA4993" s="1"/>
      <c r="AB4993" s="1"/>
      <c r="AC4993" s="1"/>
      <c r="AD4993" s="1"/>
      <c r="AE4993" s="1"/>
      <c r="AF4993" s="1"/>
      <c r="AG4993" s="1"/>
      <c r="AH4993" s="1"/>
      <c r="AI4993" s="1"/>
      <c r="AJ4993" s="1"/>
      <c r="AK4993" s="1"/>
      <c r="AL4993" s="1"/>
      <c r="AM4993" s="1"/>
      <c r="AN4993" s="1"/>
      <c r="AO4993" s="1"/>
      <c r="AP4993" s="1"/>
      <c r="AQ4993" s="1"/>
      <c r="AR4993" s="1"/>
      <c r="AS4993" s="1"/>
      <c r="AT4993" s="1"/>
      <c r="AU4993" s="1"/>
      <c r="AV4993" s="1"/>
      <c r="AW4993" s="1"/>
      <c r="AX4993" s="1"/>
      <c r="AY4993" s="1"/>
      <c r="AZ4993" s="1"/>
      <c r="BA4993" s="1"/>
      <c r="BB4993" s="1"/>
    </row>
    <row r="4994" ht="204.75" customHeight="1">
      <c r="A4994" s="1">
        <v>1507.0</v>
      </c>
      <c r="B4994" s="2" t="s">
        <v>13997</v>
      </c>
      <c r="C4994" s="2">
        <f>IFERROR(__xludf.DUMMYFUNCTION("split(B4994,""_"")"),1610.0)</f>
        <v>1610</v>
      </c>
      <c r="D4994" s="2" t="str">
        <f>IFERROR(__xludf.DUMMYFUNCTION("""COMPUTED_VALUE"""),"TBS")</f>
        <v>TBS</v>
      </c>
      <c r="E4994" s="2" t="str">
        <f>IFERROR(__xludf.DUMMYFUNCTION("""COMPUTED_VALUE"""),"金22")</f>
        <v>金22</v>
      </c>
      <c r="F4994" s="2" t="s">
        <v>13998</v>
      </c>
      <c r="G4994" s="2" t="s">
        <v>14017</v>
      </c>
      <c r="H4994" s="1">
        <v>10.0</v>
      </c>
      <c r="J4994" s="1" t="s">
        <v>86</v>
      </c>
      <c r="K4994" s="2" t="s">
        <v>14018</v>
      </c>
      <c r="L4994" s="2"/>
      <c r="M4994" s="2" t="str">
        <f>IFERROR(__xludf.DUMMYFUNCTION("split(split(K4994,""【"",false),""公式LINE"",false)"),"「ハーメルンの犯人を見た」と亜紀（菅野美穂）に言い残し、突如姿を消した息子・和樹（佐野勇斗）。夫・健一（田中直樹）は和樹の産みの母である隣人・弓子（松嶋菜々子）が強硬手段に出て、連れ去ったのではと焦る。そんな矢先、遂に彼らが住むマンションで黄色いカーネーションが発見された！さらわれたのは和樹かー？住民に緊張が走る中、生方（岩田剛典）は犯人らしき人物と遭遇！誰も予想できなかった連続誘拐の真相とは…？犯人の手掛かりを掴んだ刑事荒又（光石研）と津久井（上杉柊平）は山梨県へ急行！しかし辿りついたのは誰も住んでいな"&amp;"い廃村…あらたなる謎に振り回される刑事達はそこで、悲劇と愛に満ちた衝撃の事実を目撃する！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平野俊一「エス‐最後の警官-」「家族のカ"&amp;"タチ」  棚澤孝義「半沢直樹」「下町ロケット」池田奈津子「アリスの棘」「アルジャーノンに花束を」浅野敦也（ドリマックス・テレビジョン）「海に降る」「翳りゆく夏」「罪人の嘘」（以上WOWOW）高橋正尚「魔王」「アリスの棘」DVD・ノベライズプレゼントあり。詳しくは番組HPへ。◇番組HP  http://www.tbs.co.jp/sunanotou/  ◇公式ツイッター  @sunanotou_tbs  オフショットやドラマ情報を更新中！！番組の内容と放送時間は変更になる場合があります。")</f>
        <v>「ハーメルンの犯人を見た」と亜紀（菅野美穂）に言い残し、突如姿を消した息子・和樹（佐野勇斗）。夫・健一（田中直樹）は和樹の産みの母である隣人・弓子（松嶋菜々子）が強硬手段に出て、連れ去ったのではと焦る。そんな矢先、遂に彼らが住むマンションで黄色いカーネーションが発見された！さらわれたのは和樹かー？住民に緊張が走る中、生方（岩田剛典）は犯人らしき人物と遭遇！誰も予想できなかった連続誘拐の真相とは…？犯人の手掛かりを掴んだ刑事荒又（光石研）と津久井（上杉柊平）は山梨県へ急行！しかし辿りついたのは誰も住んでいない廃村…あらたなる謎に振り回される刑事達はそこで、悲劇と愛に満ちた衝撃の事実を目撃する！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DVD・ノベライズプレゼントあり。詳しくは番組HPへ。◇番組HP  http://www.tbs.co.jp/sunanotou/  ◇公式ツイッター  @sunanotou_tbs  オフショットやドラマ情報を更新中！！番組の内容と放送時間は変更になる場合があります。</v>
      </c>
      <c r="N4994" s="2"/>
      <c r="O4994" s="2"/>
      <c r="P4994" s="1"/>
      <c r="Q4994" s="1"/>
      <c r="R4994" s="1"/>
      <c r="S4994" s="1"/>
      <c r="T4994" s="1"/>
      <c r="U4994" s="1"/>
      <c r="V4994" s="1"/>
      <c r="W4994" s="1"/>
      <c r="X4994" s="1"/>
      <c r="Y4994" s="1"/>
      <c r="Z4994" s="1"/>
      <c r="AA4994" s="1"/>
      <c r="AB4994" s="1"/>
      <c r="AC4994" s="1"/>
      <c r="AD4994" s="1"/>
      <c r="AE4994" s="1"/>
      <c r="AF4994" s="1"/>
      <c r="AG4994" s="1"/>
      <c r="AH4994" s="1"/>
      <c r="AI4994" s="1"/>
      <c r="AJ4994" s="1"/>
      <c r="AK4994" s="1"/>
      <c r="AL4994" s="1"/>
      <c r="AM4994" s="1"/>
      <c r="AN4994" s="1"/>
      <c r="AO4994" s="1"/>
      <c r="AP4994" s="1"/>
      <c r="AQ4994" s="1"/>
      <c r="AR4994" s="1"/>
      <c r="AS4994" s="1"/>
      <c r="AT4994" s="1"/>
      <c r="AU4994" s="1"/>
      <c r="AV4994" s="1"/>
      <c r="AW4994" s="1"/>
      <c r="AX4994" s="1"/>
      <c r="AY4994" s="1"/>
      <c r="AZ4994" s="1"/>
      <c r="BA4994" s="1"/>
      <c r="BB4994" s="1"/>
    </row>
    <row r="4995" ht="204.75" customHeight="1">
      <c r="A4995" s="1">
        <v>1526.0</v>
      </c>
      <c r="B4995" s="2" t="s">
        <v>14019</v>
      </c>
      <c r="C4995" s="2">
        <f>IFERROR(__xludf.DUMMYFUNCTION("split(B4995,""_"")"),1610.0)</f>
        <v>1610</v>
      </c>
      <c r="D4995" s="2" t="str">
        <f>IFERROR(__xludf.DUMMYFUNCTION("""COMPUTED_VALUE"""),"TBS")</f>
        <v>TBS</v>
      </c>
      <c r="E4995" s="2" t="str">
        <f>IFERROR(__xludf.DUMMYFUNCTION("""COMPUTED_VALUE"""),"日21")</f>
        <v>日21</v>
      </c>
      <c r="F4995" s="2" t="s">
        <v>14020</v>
      </c>
      <c r="G4995" s="2" t="s">
        <v>14021</v>
      </c>
      <c r="H4995" s="1">
        <v>1.0</v>
      </c>
      <c r="J4995" s="1" t="s">
        <v>4</v>
      </c>
      <c r="K4995" s="2" t="s">
        <v>14022</v>
      </c>
      <c r="L4995" s="2"/>
      <c r="M4995" s="2" t="str">
        <f>IFERROR(__xludf.DUMMYFUNCTION("split(split(K4995,""【"",false),""公式LINE"",false)"),"織田裕二　土屋太鳳　ディーン・フジオカ　石黒賢　加藤貴子　星田英利  宮尾俊太郎　真飛聖　新川優愛　矢野聖人  寺島進　篠井英介　  中谷美紀脚本　泉澤陽子演出　木村ひさしTBSテレビ  ◇番組HP http://www.tbs.co.jp/IQ246/  番組の内容と放送時間は変更になる可能性があります。")</f>
        <v>織田裕二　土屋太鳳　ディーン・フジオカ　石黒賢　加藤貴子　星田英利  宮尾俊太郎　真飛聖　新川優愛　矢野聖人  寺島進　篠井英介　  中谷美紀脚本　泉澤陽子演出　木村ひさしTBSテレビ  ◇番組HP http://www.tbs.co.jp/IQ246/  番組の内容と放送時間は変更になる可能性があります。</v>
      </c>
      <c r="N4995" s="2"/>
      <c r="O4995" s="2"/>
      <c r="P4995" s="1"/>
      <c r="Q4995" s="1"/>
      <c r="R4995" s="1"/>
      <c r="S4995" s="1"/>
      <c r="T4995" s="1"/>
      <c r="U4995" s="1"/>
      <c r="V4995" s="1"/>
      <c r="W4995" s="1"/>
      <c r="X4995" s="1"/>
      <c r="Y4995" s="1"/>
      <c r="Z4995" s="1"/>
      <c r="AA4995" s="1"/>
      <c r="AB4995" s="1"/>
      <c r="AC4995" s="1"/>
      <c r="AD4995" s="1"/>
      <c r="AE4995" s="1"/>
      <c r="AF4995" s="1"/>
      <c r="AG4995" s="1"/>
      <c r="AH4995" s="1"/>
      <c r="AI4995" s="1"/>
      <c r="AJ4995" s="1"/>
      <c r="AK4995" s="1"/>
      <c r="AL4995" s="1"/>
      <c r="AM4995" s="1"/>
      <c r="AN4995" s="1"/>
      <c r="AO4995" s="1"/>
      <c r="AP4995" s="1"/>
      <c r="AQ4995" s="1"/>
      <c r="AR4995" s="1"/>
      <c r="AS4995" s="1"/>
      <c r="AT4995" s="1"/>
      <c r="AU4995" s="1"/>
      <c r="AV4995" s="1"/>
      <c r="AW4995" s="1"/>
      <c r="AX4995" s="1"/>
      <c r="AY4995" s="1"/>
      <c r="AZ4995" s="1"/>
      <c r="BA4995" s="1"/>
      <c r="BB4995" s="1"/>
    </row>
    <row r="4996" ht="204.75" customHeight="1">
      <c r="A4996" s="1">
        <v>1527.0</v>
      </c>
      <c r="B4996" s="2" t="s">
        <v>14019</v>
      </c>
      <c r="C4996" s="2">
        <f>IFERROR(__xludf.DUMMYFUNCTION("split(B4996,""_"")"),1610.0)</f>
        <v>1610</v>
      </c>
      <c r="D4996" s="2" t="str">
        <f>IFERROR(__xludf.DUMMYFUNCTION("""COMPUTED_VALUE"""),"TBS")</f>
        <v>TBS</v>
      </c>
      <c r="E4996" s="2" t="str">
        <f>IFERROR(__xludf.DUMMYFUNCTION("""COMPUTED_VALUE"""),"日21")</f>
        <v>日21</v>
      </c>
      <c r="F4996" s="2" t="s">
        <v>14020</v>
      </c>
      <c r="G4996" s="2" t="s">
        <v>14023</v>
      </c>
      <c r="H4996" s="1">
        <v>2.0</v>
      </c>
      <c r="J4996" s="1" t="s">
        <v>4</v>
      </c>
      <c r="K4996" s="2" t="s">
        <v>14024</v>
      </c>
      <c r="L4996" s="2"/>
      <c r="M4996" s="2" t="str">
        <f>IFERROR(__xludf.DUMMYFUNCTION("split(split(K4996,""【"",false),""公式LINE"",false)"),"不可解な連続自殺が発生。人気漫画に登場する“名前を書くと、悪魔がその人間を自殺に追い込む”という「キルリスト」が実在するのではないかと世間を騒がせる。暇を持て余した天才貴族・法門寺沙羅駆（織田裕二）はその奇妙な出来事に興味を持ち、護衛係の和藤奏子（土屋太鳳）、執事の賢正（ディーン・フジオカ）とともに、現場へと出かけていく。事件を追っていく中で、生徒から慕われる塾講師の前川（佐藤隆太）に辿り着き…織田裕二　土屋太鳳　ディーン・フジオカ  宮尾俊太郎　真飛聖　新川優愛　矢野聖人  寺島進　篠井英介　  中谷美"&amp;"紀  ＜2話ゲスト＞佐藤隆太脚本　泉澤陽子演出　木村ひさしTBSテレビ  ◇番組HP http://www.tbs.co.jp/IQ246/  番組の内容と放送時間は変更になる可能性があります。")</f>
        <v>不可解な連続自殺が発生。人気漫画に登場する“名前を書くと、悪魔がその人間を自殺に追い込む”という「キルリスト」が実在するのではないかと世間を騒がせる。暇を持て余した天才貴族・法門寺沙羅駆（織田裕二）はその奇妙な出来事に興味を持ち、護衛係の和藤奏子（土屋太鳳）、執事の賢正（ディーン・フジオカ）とともに、現場へと出かけていく。事件を追っていく中で、生徒から慕われる塾講師の前川（佐藤隆太）に辿り着き…織田裕二　土屋太鳳　ディーン・フジオカ  宮尾俊太郎　真飛聖　新川優愛　矢野聖人  寺島進　篠井英介　  中谷美紀  ＜2話ゲスト＞佐藤隆太脚本　泉澤陽子演出　木村ひさしTBSテレビ  ◇番組HP http://www.tbs.co.jp/IQ246/  番組の内容と放送時間は変更になる可能性があります。</v>
      </c>
      <c r="N4996" s="2"/>
      <c r="O4996" s="2"/>
      <c r="P4996" s="1"/>
      <c r="Q4996" s="1"/>
      <c r="R4996" s="1"/>
      <c r="S4996" s="1"/>
      <c r="T4996" s="1"/>
      <c r="U4996" s="1"/>
      <c r="V4996" s="1"/>
      <c r="W4996" s="1"/>
      <c r="X4996" s="1"/>
      <c r="Y4996" s="1"/>
      <c r="Z4996" s="1"/>
      <c r="AA4996" s="1"/>
      <c r="AB4996" s="1"/>
      <c r="AC4996" s="1"/>
      <c r="AD4996" s="1"/>
      <c r="AE4996" s="1"/>
      <c r="AF4996" s="1"/>
      <c r="AG4996" s="1"/>
      <c r="AH4996" s="1"/>
      <c r="AI4996" s="1"/>
      <c r="AJ4996" s="1"/>
      <c r="AK4996" s="1"/>
      <c r="AL4996" s="1"/>
      <c r="AM4996" s="1"/>
      <c r="AN4996" s="1"/>
      <c r="AO4996" s="1"/>
      <c r="AP4996" s="1"/>
      <c r="AQ4996" s="1"/>
      <c r="AR4996" s="1"/>
      <c r="AS4996" s="1"/>
      <c r="AT4996" s="1"/>
      <c r="AU4996" s="1"/>
      <c r="AV4996" s="1"/>
      <c r="AW4996" s="1"/>
      <c r="AX4996" s="1"/>
      <c r="AY4996" s="1"/>
      <c r="AZ4996" s="1"/>
      <c r="BA4996" s="1"/>
      <c r="BB4996" s="1"/>
    </row>
    <row r="4997" ht="204.75" customHeight="1">
      <c r="A4997" s="1">
        <v>1528.0</v>
      </c>
      <c r="B4997" s="2" t="s">
        <v>14019</v>
      </c>
      <c r="C4997" s="2">
        <f>IFERROR(__xludf.DUMMYFUNCTION("split(B4997,""_"")"),1610.0)</f>
        <v>1610</v>
      </c>
      <c r="D4997" s="2" t="str">
        <f>IFERROR(__xludf.DUMMYFUNCTION("""COMPUTED_VALUE"""),"TBS")</f>
        <v>TBS</v>
      </c>
      <c r="E4997" s="2" t="str">
        <f>IFERROR(__xludf.DUMMYFUNCTION("""COMPUTED_VALUE"""),"日21")</f>
        <v>日21</v>
      </c>
      <c r="F4997" s="2" t="s">
        <v>14020</v>
      </c>
      <c r="G4997" s="2" t="s">
        <v>14025</v>
      </c>
      <c r="H4997" s="1">
        <v>3.0</v>
      </c>
      <c r="J4997" s="1" t="s">
        <v>11</v>
      </c>
      <c r="K4997" s="2" t="s">
        <v>14026</v>
      </c>
      <c r="L4997" s="2"/>
      <c r="M4997" s="2" t="str">
        <f>IFERROR(__xludf.DUMMYFUNCTION("split(split(K4997,""【"",false),""公式LINE"",false)"),"天才貴族・沙羅駆（織田裕二）に仕える執事賢正（ディーン・フジオカ）がかつて恋心を抱いた高校の同級生美晴（観月ありさ）と久しぶりの再会を果たした。数日後の夜、美晴から“夫が強盗に殺された”との連絡を受けた賢正は沙羅駆、奏子（土屋太鳳）と共に、事件現場に繰り出す。美晴が犯人であると疑う沙羅駆に、賢正は執事としての立場で葛藤しながらも、次第に反発を強めていく。果たして沙羅駆と賢正は決別してしまうのか！？織田裕二　土屋太鳳　ディーン・フジオカ　宮尾俊太郎　真飛 聖　新川優愛　矢野聖人　篠井英介　寺島 進　中谷美紀"&amp;"  ＜3話ゲスト＞観月ありさ  岡田浩暉  占部房子  高木渉脚本　泉澤陽子演出　坪井敏雄TBSテレビ  ◇番組HP http://www.tbs.co.jp/IQ246/  番組の内容と放送時間は変更になる可能性があります。")</f>
        <v>天才貴族・沙羅駆（織田裕二）に仕える執事賢正（ディーン・フジオカ）がかつて恋心を抱いた高校の同級生美晴（観月ありさ）と久しぶりの再会を果たした。数日後の夜、美晴から“夫が強盗に殺された”との連絡を受けた賢正は沙羅駆、奏子（土屋太鳳）と共に、事件現場に繰り出す。美晴が犯人であると疑う沙羅駆に、賢正は執事としての立場で葛藤しながらも、次第に反発を強めていく。果たして沙羅駆と賢正は決別してしまうのか！？織田裕二　土屋太鳳　ディーン・フジオカ　宮尾俊太郎　真飛 聖　新川優愛　矢野聖人　篠井英介　寺島 進　中谷美紀  ＜3話ゲスト＞観月ありさ  岡田浩暉  占部房子  高木渉脚本　泉澤陽子演出　坪井敏雄TBSテレビ  ◇番組HP http://www.tbs.co.jp/IQ246/  番組の内容と放送時間は変更になる可能性があります。</v>
      </c>
      <c r="N4997" s="2"/>
      <c r="O4997" s="2"/>
      <c r="P4997" s="1"/>
      <c r="Q4997" s="1"/>
      <c r="R4997" s="1"/>
      <c r="S4997" s="1"/>
      <c r="T4997" s="1"/>
      <c r="U4997" s="1"/>
      <c r="V4997" s="1"/>
      <c r="W4997" s="1"/>
      <c r="X4997" s="1"/>
      <c r="Y4997" s="1"/>
      <c r="Z4997" s="1"/>
      <c r="AA4997" s="1"/>
      <c r="AB4997" s="1"/>
      <c r="AC4997" s="1"/>
      <c r="AD4997" s="1"/>
      <c r="AE4997" s="1"/>
      <c r="AF4997" s="1"/>
      <c r="AG4997" s="1"/>
      <c r="AH4997" s="1"/>
      <c r="AI4997" s="1"/>
      <c r="AJ4997" s="1"/>
      <c r="AK4997" s="1"/>
      <c r="AL4997" s="1"/>
      <c r="AM4997" s="1"/>
      <c r="AN4997" s="1"/>
      <c r="AO4997" s="1"/>
      <c r="AP4997" s="1"/>
      <c r="AQ4997" s="1"/>
      <c r="AR4997" s="1"/>
      <c r="AS4997" s="1"/>
      <c r="AT4997" s="1"/>
      <c r="AU4997" s="1"/>
      <c r="AV4997" s="1"/>
      <c r="AW4997" s="1"/>
      <c r="AX4997" s="1"/>
      <c r="AY4997" s="1"/>
      <c r="AZ4997" s="1"/>
      <c r="BA4997" s="1"/>
      <c r="BB4997" s="1"/>
    </row>
    <row r="4998" ht="204.75" customHeight="1">
      <c r="A4998" s="1">
        <v>1529.0</v>
      </c>
      <c r="B4998" s="2" t="s">
        <v>14019</v>
      </c>
      <c r="C4998" s="2">
        <f>IFERROR(__xludf.DUMMYFUNCTION("split(B4998,""_"")"),1610.0)</f>
        <v>1610</v>
      </c>
      <c r="D4998" s="2" t="str">
        <f>IFERROR(__xludf.DUMMYFUNCTION("""COMPUTED_VALUE"""),"TBS")</f>
        <v>TBS</v>
      </c>
      <c r="E4998" s="2" t="str">
        <f>IFERROR(__xludf.DUMMYFUNCTION("""COMPUTED_VALUE"""),"日21")</f>
        <v>日21</v>
      </c>
      <c r="F4998" s="2" t="s">
        <v>14020</v>
      </c>
      <c r="G4998" s="2" t="s">
        <v>14027</v>
      </c>
      <c r="H4998" s="1">
        <v>4.0</v>
      </c>
      <c r="J4998" s="1" t="s">
        <v>11</v>
      </c>
      <c r="K4998" s="2" t="s">
        <v>14028</v>
      </c>
      <c r="L4998" s="2"/>
      <c r="M4998" s="2" t="str">
        <f>IFERROR(__xludf.DUMMYFUNCTION("split(split(K4998,""【"",false),""公式LINE"",false)"),"タワーマンションの最上階、地上50階の“天空の密室”で外科医が刺殺された。部屋には荒らされた跡があるが、ドアも暗証コード付きのエレベーターも侵入された形跡がない。捜査が行き詰るなか、沙羅駆（織田裕二）は外科医の患者であり、ピアニストの由里（国仲涼子）に辿り着く。奏子（土屋太鳳）、賢正（ディーン・フジオカ）とともに由里を次第に追い詰めていくが、犯行時刻よりも後に外科医の生存を証言する人物が出てきて…織田裕二　土屋太鳳　ディーン・フジオカ  宮尾俊太郎　真飛聖　新川優愛　矢野聖人  寺島進　篠井英介　  中谷"&amp;"美紀  ＜4話ゲスト＞  国仲涼子  金田明夫脚本　栗本志津香演出　坪井敏雄放送終了後、番組ホームページでプレゼントクイズを出題します！  正解者の中から抽選で、番組オリジナルトートバッグもしくは、クリアファイルをプレゼント！応募は番組の放送終了後、2460秒間！TBSテレビ◇番組HP http://www.tbs.co.jp/IQ246/  番組の内容と放送時間は変更になる可能性があります。")</f>
        <v>タワーマンションの最上階、地上50階の“天空の密室”で外科医が刺殺された。部屋には荒らされた跡があるが、ドアも暗証コード付きのエレベーターも侵入された形跡がない。捜査が行き詰るなか、沙羅駆（織田裕二）は外科医の患者であり、ピアニストの由里（国仲涼子）に辿り着く。奏子（土屋太鳳）、賢正（ディーン・フジオカ）とともに由里を次第に追い詰めていくが、犯行時刻よりも後に外科医の生存を証言する人物が出てきて…織田裕二　土屋太鳳　ディーン・フジオカ  宮尾俊太郎　真飛聖　新川優愛　矢野聖人  寺島進　篠井英介　  中谷美紀  ＜4話ゲスト＞  国仲涼子  金田明夫脚本　栗本志津香演出　坪井敏雄放送終了後、番組ホームページでプレゼントクイズを出題します！  正解者の中から抽選で、番組オリジナルトートバッグもしくは、クリアファイルをプレゼント！応募は番組の放送終了後、2460秒間！TBSテレビ◇番組HP http://www.tbs.co.jp/IQ246/  番組の内容と放送時間は変更になる可能性があります。</v>
      </c>
      <c r="N4998" s="2"/>
      <c r="O4998" s="2"/>
      <c r="P4998" s="1"/>
      <c r="Q4998" s="1"/>
      <c r="R4998" s="1"/>
      <c r="S4998" s="1"/>
      <c r="T4998" s="1"/>
      <c r="U4998" s="1"/>
      <c r="V4998" s="1"/>
      <c r="W4998" s="1"/>
      <c r="X4998" s="1"/>
      <c r="Y4998" s="1"/>
      <c r="Z4998" s="1"/>
      <c r="AA4998" s="1"/>
      <c r="AB4998" s="1"/>
      <c r="AC4998" s="1"/>
      <c r="AD4998" s="1"/>
      <c r="AE4998" s="1"/>
      <c r="AF4998" s="1"/>
      <c r="AG4998" s="1"/>
      <c r="AH4998" s="1"/>
      <c r="AI4998" s="1"/>
      <c r="AJ4998" s="1"/>
      <c r="AK4998" s="1"/>
      <c r="AL4998" s="1"/>
      <c r="AM4998" s="1"/>
      <c r="AN4998" s="1"/>
      <c r="AO4998" s="1"/>
      <c r="AP4998" s="1"/>
      <c r="AQ4998" s="1"/>
      <c r="AR4998" s="1"/>
      <c r="AS4998" s="1"/>
      <c r="AT4998" s="1"/>
      <c r="AU4998" s="1"/>
      <c r="AV4998" s="1"/>
      <c r="AW4998" s="1"/>
      <c r="AX4998" s="1"/>
      <c r="AY4998" s="1"/>
      <c r="AZ4998" s="1"/>
      <c r="BA4998" s="1"/>
      <c r="BB4998" s="1"/>
    </row>
    <row r="4999" ht="204.75" customHeight="1">
      <c r="A4999" s="1">
        <v>1530.0</v>
      </c>
      <c r="B4999" s="2" t="s">
        <v>14019</v>
      </c>
      <c r="C4999" s="2">
        <f>IFERROR(__xludf.DUMMYFUNCTION("split(B4999,""_"")"),1610.0)</f>
        <v>1610</v>
      </c>
      <c r="D4999" s="2" t="str">
        <f>IFERROR(__xludf.DUMMYFUNCTION("""COMPUTED_VALUE"""),"TBS")</f>
        <v>TBS</v>
      </c>
      <c r="E4999" s="2" t="str">
        <f>IFERROR(__xludf.DUMMYFUNCTION("""COMPUTED_VALUE"""),"日21")</f>
        <v>日21</v>
      </c>
      <c r="F4999" s="2" t="s">
        <v>14020</v>
      </c>
      <c r="G4999" s="2" t="s">
        <v>14029</v>
      </c>
      <c r="H4999" s="1">
        <v>5.0</v>
      </c>
      <c r="J4999" s="1" t="s">
        <v>11</v>
      </c>
      <c r="K4999" s="2" t="s">
        <v>14030</v>
      </c>
      <c r="L4999" s="2"/>
      <c r="M4999" s="2" t="str">
        <f>IFERROR(__xludf.DUMMYFUNCTION("split(split(K4999,""【"",false),""公式LINE"",false)"),"ギャラリーのオープニングパーティで人気アーティスト『バナナ＆チョコ』の新作が発表される。アーティストの千代能（成宮寛貴）とともに沙羅駆（織田裕二）、奏子（土屋太鳳）、賢正（ディーン・フジオカ）らが見守るなか、千代能の相方・番田（矢本悠馬）が上空から映像作品の中に落下して、死亡する。高校時代からの親友である千代能と番田は、その頃の夢を叶えて売れっ子アーティストとなっていたが、友情はいつしかスレ違い…織田裕二　土屋太鳳　ディーン・フジオカ  宮尾俊太郎　真飛聖　新川優愛　矢野聖人  寺島進  中谷美紀  ＜5"&amp;"話ゲスト＞  成宮寛貴  矢本悠馬脚本　木村涼子演出　韓哲放送終了後、番組ホームページでプレゼントクイズを出題します！  正解者の中から抽選で、番組オリジナルトートバッグもしくは、クリアファイルをプレゼント！応募は番組の放送終了後、2460秒間！◇番組HP http://www.tbs.co.jp/IQ246/  TBSテレビ  番組の内容と放送時間は変更になる可能性があります。")</f>
        <v>ギャラリーのオープニングパーティで人気アーティスト『バナナ＆チョコ』の新作が発表される。アーティストの千代能（成宮寛貴）とともに沙羅駆（織田裕二）、奏子（土屋太鳳）、賢正（ディーン・フジオカ）らが見守るなか、千代能の相方・番田（矢本悠馬）が上空から映像作品の中に落下して、死亡する。高校時代からの親友である千代能と番田は、その頃の夢を叶えて売れっ子アーティストとなっていたが、友情はいつしかスレ違い…織田裕二　土屋太鳳　ディーン・フジオカ  宮尾俊太郎　真飛聖　新川優愛　矢野聖人  寺島進  中谷美紀  ＜5話ゲスト＞  成宮寛貴  矢本悠馬脚本　木村涼子演出　韓哲放送終了後、番組ホームページでプレゼントクイズを出題します！  正解者の中から抽選で、番組オリジナルトートバッグもしくは、クリアファイルをプレゼント！応募は番組の放送終了後、2460秒間！◇番組HP http://www.tbs.co.jp/IQ246/  TBSテレビ  番組の内容と放送時間は変更になる可能性があります。</v>
      </c>
      <c r="N4999" s="2"/>
      <c r="O4999" s="2"/>
      <c r="P4999" s="1"/>
      <c r="Q4999" s="1"/>
      <c r="R4999" s="1"/>
      <c r="S4999" s="1"/>
      <c r="T4999" s="1"/>
      <c r="U4999" s="1"/>
      <c r="V4999" s="1"/>
      <c r="W4999" s="1"/>
      <c r="X4999" s="1"/>
      <c r="Y4999" s="1"/>
      <c r="Z4999" s="1"/>
      <c r="AA4999" s="1"/>
      <c r="AB4999" s="1"/>
      <c r="AC4999" s="1"/>
      <c r="AD4999" s="1"/>
      <c r="AE4999" s="1"/>
      <c r="AF4999" s="1"/>
      <c r="AG4999" s="1"/>
      <c r="AH4999" s="1"/>
      <c r="AI4999" s="1"/>
      <c r="AJ4999" s="1"/>
      <c r="AK4999" s="1"/>
      <c r="AL4999" s="1"/>
      <c r="AM4999" s="1"/>
      <c r="AN4999" s="1"/>
      <c r="AO4999" s="1"/>
      <c r="AP4999" s="1"/>
      <c r="AQ4999" s="1"/>
      <c r="AR4999" s="1"/>
      <c r="AS4999" s="1"/>
      <c r="AT4999" s="1"/>
      <c r="AU4999" s="1"/>
      <c r="AV4999" s="1"/>
      <c r="AW4999" s="1"/>
      <c r="AX4999" s="1"/>
      <c r="AY4999" s="1"/>
      <c r="AZ4999" s="1"/>
      <c r="BA4999" s="1"/>
      <c r="BB4999" s="1"/>
    </row>
    <row r="5000" ht="204.75" customHeight="1">
      <c r="A5000" s="1">
        <v>1531.0</v>
      </c>
      <c r="B5000" s="2" t="s">
        <v>14019</v>
      </c>
      <c r="C5000" s="2">
        <f>IFERROR(__xludf.DUMMYFUNCTION("split(B5000,""_"")"),1610.0)</f>
        <v>1610</v>
      </c>
      <c r="D5000" s="2" t="str">
        <f>IFERROR(__xludf.DUMMYFUNCTION("""COMPUTED_VALUE"""),"TBS")</f>
        <v>TBS</v>
      </c>
      <c r="E5000" s="2" t="str">
        <f>IFERROR(__xludf.DUMMYFUNCTION("""COMPUTED_VALUE"""),"日21")</f>
        <v>日21</v>
      </c>
      <c r="F5000" s="2" t="s">
        <v>14020</v>
      </c>
      <c r="G5000" s="2" t="s">
        <v>14031</v>
      </c>
      <c r="H5000" s="1">
        <v>6.0</v>
      </c>
      <c r="J5000" s="1" t="s">
        <v>11</v>
      </c>
      <c r="K5000" s="2" t="s">
        <v>14032</v>
      </c>
      <c r="L5000" s="2"/>
      <c r="M5000" s="2" t="str">
        <f>IFERROR(__xludf.DUMMYFUNCTION("split(split(K5000,""【"",false),""公式LINE"",false)"),"お金も、恨まれる事も無い“殺す価値の無い遺体”が発見され、それに興味を持った沙羅駆（織田裕二）は護衛係の奏子（土屋太鳳）、執事の賢正（ディーン・フジオカ）とともに出かけていく。調べを進める中で、世に才能を認められない画家の壮一（平岳大）に辿り着く。しかし、沙羅駆の不穏な予言どおり、壮一の周りで次々と殺人事件が連鎖して起こっていく…。自分の才能と葛藤し、終いにはお金に転んでしまう画家の悲しい結末とは織田裕二　土屋太鳳　ディーン・フジオカ  宮尾俊太郎　真飛聖　新川優愛　矢野聖人  中谷美紀  ＜6話ゲスト＞"&amp;"  平岳大脚本　栗本志津香演出　木村ひさしTBSテレビ  ◇番組HP http://www.tbs.co.jp/IQ246/  放送終了後、番組ホームページでプレゼントクイズを出題します！  正解者の中から抽選で、番組オリジナルトートバッグもしくは、クリアファイルをプレゼント！応募は番組の放送終了後、2460秒間！番組の内容と放送時間は変更になる可能性があります。")</f>
        <v>お金も、恨まれる事も無い“殺す価値の無い遺体”が発見され、それに興味を持った沙羅駆（織田裕二）は護衛係の奏子（土屋太鳳）、執事の賢正（ディーン・フジオカ）とともに出かけていく。調べを進める中で、世に才能を認められない画家の壮一（平岳大）に辿り着く。しかし、沙羅駆の不穏な予言どおり、壮一の周りで次々と殺人事件が連鎖して起こっていく…。自分の才能と葛藤し、終いにはお金に転んでしまう画家の悲しい結末とは織田裕二　土屋太鳳　ディーン・フジオカ  宮尾俊太郎　真飛聖　新川優愛　矢野聖人  中谷美紀  ＜6話ゲスト＞  平岳大脚本　栗本志津香演出　木村ひさしTBSテレビ  ◇番組HP http://www.tbs.co.jp/IQ246/  放送終了後、番組ホームページでプレゼントクイズを出題します！  正解者の中から抽選で、番組オリジナルトートバッグもしくは、クリアファイルをプレゼント！応募は番組の放送終了後、2460秒間！番組の内容と放送時間は変更になる可能性があります。</v>
      </c>
      <c r="N5000" s="2"/>
      <c r="O5000" s="2"/>
      <c r="P5000" s="1"/>
      <c r="Q5000" s="1"/>
      <c r="R5000" s="1"/>
      <c r="S5000" s="1"/>
      <c r="T5000" s="1"/>
      <c r="U5000" s="1"/>
      <c r="V5000" s="1"/>
      <c r="W5000" s="1"/>
      <c r="X5000" s="1"/>
      <c r="Y5000" s="1"/>
      <c r="Z5000" s="1"/>
      <c r="AA5000" s="1"/>
      <c r="AB5000" s="1"/>
      <c r="AC5000" s="1"/>
      <c r="AD5000" s="1"/>
      <c r="AE5000" s="1"/>
      <c r="AF5000" s="1"/>
      <c r="AG5000" s="1"/>
      <c r="AH5000" s="1"/>
      <c r="AI5000" s="1"/>
      <c r="AJ5000" s="1"/>
      <c r="AK5000" s="1"/>
      <c r="AL5000" s="1"/>
      <c r="AM5000" s="1"/>
      <c r="AN5000" s="1"/>
      <c r="AO5000" s="1"/>
      <c r="AP5000" s="1"/>
      <c r="AQ5000" s="1"/>
      <c r="AR5000" s="1"/>
      <c r="AS5000" s="1"/>
      <c r="AT5000" s="1"/>
      <c r="AU5000" s="1"/>
      <c r="AV5000" s="1"/>
      <c r="AW5000" s="1"/>
      <c r="AX5000" s="1"/>
      <c r="AY5000" s="1"/>
      <c r="AZ5000" s="1"/>
      <c r="BA5000" s="1"/>
      <c r="BB5000" s="1"/>
    </row>
    <row r="5001" ht="204.75" customHeight="1">
      <c r="A5001" s="1">
        <v>1532.0</v>
      </c>
      <c r="B5001" s="2" t="s">
        <v>14019</v>
      </c>
      <c r="C5001" s="2">
        <f>IFERROR(__xludf.DUMMYFUNCTION("split(B5001,""_"")"),1610.0)</f>
        <v>1610</v>
      </c>
      <c r="D5001" s="2" t="str">
        <f>IFERROR(__xludf.DUMMYFUNCTION("""COMPUTED_VALUE"""),"TBS")</f>
        <v>TBS</v>
      </c>
      <c r="E5001" s="2" t="str">
        <f>IFERROR(__xludf.DUMMYFUNCTION("""COMPUTED_VALUE"""),"日21")</f>
        <v>日21</v>
      </c>
      <c r="F5001" s="2" t="s">
        <v>14020</v>
      </c>
      <c r="G5001" s="2" t="s">
        <v>14033</v>
      </c>
      <c r="H5001" s="1">
        <v>7.0</v>
      </c>
      <c r="J5001" s="1" t="s">
        <v>11</v>
      </c>
      <c r="K5001" s="2" t="s">
        <v>14034</v>
      </c>
      <c r="L5001" s="2"/>
      <c r="M5001" s="2" t="str">
        <f>IFERROR(__xludf.DUMMYFUNCTION("split(split(K5001,""【"",false),""公式LINE"",false)"),"かつての人気女優・麗子（山口紗弥加）と見間違え、若手人気女優(佐野ひなこ)が殺された。クロスボウで射抜かれた若手女優は何故か麗子の服を着ていた。天才貴族の沙羅駆（織田裕二）、護衛係の奏子（土屋太鳳）、執事の賢正（ディーン・フジオカ）らが調べを進めていく中で、麗子のファンであった沙羅駆は、自分を頼ってくる麗子と深い関係に落ちていき…。恋に落ちた天才貴族は、果たしてこの難事件を解決できるか!?  織田裕二　土屋太鳳　ディーン・フジオカ  宮尾俊太郎　真飛聖　新川優愛　矢野聖人  寺島進  中谷美紀  ＜7話ゲ"&amp;"スト＞  山口紗弥加  佐野ひなこ脚本　泉澤陽子演出　坪井敏雄プロデュース　植田博樹  協力プロデュース　韓哲　高山暢比古◇番組HP  http://www.tbs.co.jp/IQ246/  ◇twitter  @IQ246_TBS  https://twitter.com/IQ246_TBS/  放送終了後、番組ホームページでプレゼントクイズを出題します！  正解者の中から抽選で、番組オリジナルトートバッグもしくは、クリアファイルをプレゼント！応募は番組の放送終了後、2460秒間！TBSテレビ  番組"&amp;"の内容と放送時間は変更になる可能性があります。")</f>
        <v>かつての人気女優・麗子（山口紗弥加）と見間違え、若手人気女優(佐野ひなこ)が殺された。クロスボウで射抜かれた若手女優は何故か麗子の服を着ていた。天才貴族の沙羅駆（織田裕二）、護衛係の奏子（土屋太鳳）、執事の賢正（ディーン・フジオカ）らが調べを進めていく中で、麗子のファンであった沙羅駆は、自分を頼ってくる麗子と深い関係に落ちていき…。恋に落ちた天才貴族は、果たしてこの難事件を解決できるか!?  織田裕二　土屋太鳳　ディーン・フジオカ  宮尾俊太郎　真飛聖　新川優愛　矢野聖人  寺島進  中谷美紀  ＜7話ゲスト＞  山口紗弥加  佐野ひなこ脚本　泉澤陽子演出　坪井敏雄プロデュース　植田博樹  協力プロデュース　韓哲　高山暢比古◇番組HP  http://www.tbs.co.jp/IQ246/  ◇twitter  @IQ246_TBS  https://twitter.com/IQ246_TBS/  放送終了後、番組ホームページでプレゼントクイズを出題します！  正解者の中から抽選で、番組オリジナルトートバッグもしくは、クリアファイルをプレゼント！応募は番組の放送終了後、2460秒間！TBSテレビ  番組の内容と放送時間は変更になる可能性があります。</v>
      </c>
      <c r="N5001" s="2"/>
      <c r="O5001" s="2"/>
      <c r="P5001" s="1"/>
      <c r="Q5001" s="1"/>
      <c r="R5001" s="1"/>
      <c r="S5001" s="1"/>
      <c r="T5001" s="1"/>
      <c r="U5001" s="1"/>
      <c r="V5001" s="1"/>
      <c r="W5001" s="1"/>
      <c r="X5001" s="1"/>
      <c r="Y5001" s="1"/>
      <c r="Z5001" s="1"/>
      <c r="AA5001" s="1"/>
      <c r="AB5001" s="1"/>
      <c r="AC5001" s="1"/>
      <c r="AD5001" s="1"/>
      <c r="AE5001" s="1"/>
      <c r="AF5001" s="1"/>
      <c r="AG5001" s="1"/>
      <c r="AH5001" s="1"/>
      <c r="AI5001" s="1"/>
      <c r="AJ5001" s="1"/>
      <c r="AK5001" s="1"/>
      <c r="AL5001" s="1"/>
      <c r="AM5001" s="1"/>
      <c r="AN5001" s="1"/>
      <c r="AO5001" s="1"/>
      <c r="AP5001" s="1"/>
      <c r="AQ5001" s="1"/>
      <c r="AR5001" s="1"/>
      <c r="AS5001" s="1"/>
      <c r="AT5001" s="1"/>
      <c r="AU5001" s="1"/>
      <c r="AV5001" s="1"/>
      <c r="AW5001" s="1"/>
      <c r="AX5001" s="1"/>
      <c r="AY5001" s="1"/>
      <c r="AZ5001" s="1"/>
      <c r="BA5001" s="1"/>
      <c r="BB5001" s="1"/>
    </row>
    <row r="5002" ht="204.75" customHeight="1">
      <c r="A5002" s="1">
        <v>1533.0</v>
      </c>
      <c r="B5002" s="2" t="s">
        <v>14019</v>
      </c>
      <c r="C5002" s="2">
        <f>IFERROR(__xludf.DUMMYFUNCTION("split(B5002,""_"")"),1610.0)</f>
        <v>1610</v>
      </c>
      <c r="D5002" s="2" t="str">
        <f>IFERROR(__xludf.DUMMYFUNCTION("""COMPUTED_VALUE"""),"TBS")</f>
        <v>TBS</v>
      </c>
      <c r="E5002" s="2" t="str">
        <f>IFERROR(__xludf.DUMMYFUNCTION("""COMPUTED_VALUE"""),"日21")</f>
        <v>日21</v>
      </c>
      <c r="F5002" s="2" t="s">
        <v>14020</v>
      </c>
      <c r="G5002" s="2" t="s">
        <v>14035</v>
      </c>
      <c r="H5002" s="1">
        <v>8.0</v>
      </c>
      <c r="J5002" s="1" t="s">
        <v>11</v>
      </c>
      <c r="K5002" s="2" t="s">
        <v>14036</v>
      </c>
      <c r="L5002" s="2"/>
      <c r="M5002" s="2" t="str">
        <f>IFERROR(__xludf.DUMMYFUNCTION("split(split(K5002,""【"",false),""公式LINE"",false)"),"真犯人は法門寺沙羅駆（織田裕二）ー。殺人現場から発見される証拠はすべて、沙羅駆が犯人である事を物語る。8年前の事件で顔に泥を塗られた敏腕管理官の牛田（稲垣吾郎）は、その因縁を晴らすため沙羅駆を追い詰めていく。沙羅駆不在の中、奏子（土屋太鳳）は真相を究明しようとするが、執事の賢正（ディーン・フジオカ）も何故か非協力的、沙羅駆の味方と見なされる奏子は捜査本部からも排除され、孤独な捜査を一人強いられる…織田裕二　土屋太鳳　ディーン・フジオカ  宮尾俊太郎　真飛聖　新川優愛　矢野聖人  篠井英介　寺島進  中谷美"&amp;"紀  ＜8話ゲスト＞  稲垣吾郎  河相我聞脚本　木村涼子演出　韓哲プロデュース　植田博樹  協力プロデュース　韓哲　高山暢比古放送終了後、番組ホームページでプレゼントクイズを出題します！  正解者の中から抽選で、番組オリジナルトートバッグもしくは、クリアファイルをプレゼント！応募は番組の放送終了後、2460秒間！◇番組HP  http://www.tbs.co.jp/IQ246/  ◇twitter  @IQ246_TBS  https://twitter.com/IQ246_TBS/  TBSテレビ "&amp;" 番組の内容と放送時間は変更になる可能性があります。")</f>
        <v>真犯人は法門寺沙羅駆（織田裕二）ー。殺人現場から発見される証拠はすべて、沙羅駆が犯人である事を物語る。8年前の事件で顔に泥を塗られた敏腕管理官の牛田（稲垣吾郎）は、その因縁を晴らすため沙羅駆を追い詰めていく。沙羅駆不在の中、奏子（土屋太鳳）は真相を究明しようとするが、執事の賢正（ディーン・フジオカ）も何故か非協力的、沙羅駆の味方と見なされる奏子は捜査本部からも排除され、孤独な捜査を一人強いられる…織田裕二　土屋太鳳　ディーン・フジオカ  宮尾俊太郎　真飛聖　新川優愛　矢野聖人  篠井英介　寺島進  中谷美紀  ＜8話ゲスト＞  稲垣吾郎  河相我聞脚本　木村涼子演出　韓哲プロデュース　植田博樹  協力プロデュース　韓哲　高山暢比古放送終了後、番組ホームページでプレゼントクイズを出題します！  正解者の中から抽選で、番組オリジナルトートバッグもしくは、クリアファイルをプレゼント！応募は番組の放送終了後、2460秒間！◇番組HP  http://www.tbs.co.jp/IQ246/  ◇twitter  @IQ246_TBS  https://twitter.com/IQ246_TBS/  TBSテレビ  番組の内容と放送時間は変更になる可能性があります。</v>
      </c>
      <c r="N5002" s="2"/>
      <c r="O5002" s="2"/>
      <c r="P5002" s="1"/>
      <c r="Q5002" s="1"/>
      <c r="R5002" s="1"/>
      <c r="S5002" s="1"/>
      <c r="T5002" s="1"/>
      <c r="U5002" s="1"/>
      <c r="V5002" s="1"/>
      <c r="W5002" s="1"/>
      <c r="X5002" s="1"/>
      <c r="Y5002" s="1"/>
      <c r="Z5002" s="1"/>
      <c r="AA5002" s="1"/>
      <c r="AB5002" s="1"/>
      <c r="AC5002" s="1"/>
      <c r="AD5002" s="1"/>
      <c r="AE5002" s="1"/>
      <c r="AF5002" s="1"/>
      <c r="AG5002" s="1"/>
      <c r="AH5002" s="1"/>
      <c r="AI5002" s="1"/>
      <c r="AJ5002" s="1"/>
      <c r="AK5002" s="1"/>
      <c r="AL5002" s="1"/>
      <c r="AM5002" s="1"/>
      <c r="AN5002" s="1"/>
      <c r="AO5002" s="1"/>
      <c r="AP5002" s="1"/>
      <c r="AQ5002" s="1"/>
      <c r="AR5002" s="1"/>
      <c r="AS5002" s="1"/>
      <c r="AT5002" s="1"/>
      <c r="AU5002" s="1"/>
      <c r="AV5002" s="1"/>
      <c r="AW5002" s="1"/>
      <c r="AX5002" s="1"/>
      <c r="AY5002" s="1"/>
      <c r="AZ5002" s="1"/>
      <c r="BA5002" s="1"/>
      <c r="BB5002" s="1"/>
    </row>
    <row r="5003" ht="204.75" customHeight="1">
      <c r="A5003" s="1">
        <v>1534.0</v>
      </c>
      <c r="B5003" s="2" t="s">
        <v>14019</v>
      </c>
      <c r="C5003" s="2">
        <f>IFERROR(__xludf.DUMMYFUNCTION("split(B5003,""_"")"),1610.0)</f>
        <v>1610</v>
      </c>
      <c r="D5003" s="2" t="str">
        <f>IFERROR(__xludf.DUMMYFUNCTION("""COMPUTED_VALUE"""),"TBS")</f>
        <v>TBS</v>
      </c>
      <c r="E5003" s="2" t="str">
        <f>IFERROR(__xludf.DUMMYFUNCTION("""COMPUTED_VALUE"""),"日21")</f>
        <v>日21</v>
      </c>
      <c r="F5003" s="2" t="s">
        <v>14020</v>
      </c>
      <c r="G5003" s="2" t="s">
        <v>14037</v>
      </c>
      <c r="H5003" s="1">
        <v>9.0</v>
      </c>
      <c r="J5003" s="1" t="s">
        <v>11</v>
      </c>
      <c r="K5003" s="2" t="s">
        <v>14038</v>
      </c>
      <c r="L5003" s="2"/>
      <c r="M5003" s="2" t="str">
        <f>IFERROR(__xludf.DUMMYFUNCTION("split(split(K5003,""【"",false),""公式LINE"",false)"),"マリア・T（中谷美紀）が拘置所内で毒を飲んで死亡した…。あまりのあっけない幕切れに、耳を疑う沙羅駆（織田裕二）、護衛係の奏子（土屋太鳳）、執事の賢正（ディーン・フジオカ）らは、真相を探るために北鎌倉を後にする。マリア・Tが死んだにも関わらず、大型病院のハッキング事件などマリア・Tの手口と酷似するような奇妙な事件がその後も連続して発生していき…。すべての真相が解明される怒涛の最終章、ついに始まるー。織田裕二　土屋太鳳　ディーン・フジオカ  宮尾俊太郎　真飛聖　矢野聖人  篠井英介　寺島進  中谷美紀脚本　泉"&amp;"澤陽子演出　坪井敏雄プロデュース　植田博樹  協力プロデュース　韓哲　高山暢比古◇番組HP  http://www.tbs.co.jp/IQ246/  ◇twitter  @IQ246_TBS  https://twitter.com/IQ246_TBS/  放送終了後、番組ホームページでプレゼントクイズを出題します！  正解者の中から抽選で、番組オリジナルトートバッグもしくは、クリアファイルをプレゼント！応募は番組の放送終了後、2460秒間！TBSテレビ  番組の内容と放送時間は変更になる可能性がありま"&amp;"す。")</f>
        <v>マリア・T（中谷美紀）が拘置所内で毒を飲んで死亡した…。あまりのあっけない幕切れに、耳を疑う沙羅駆（織田裕二）、護衛係の奏子（土屋太鳳）、執事の賢正（ディーン・フジオカ）らは、真相を探るために北鎌倉を後にする。マリア・Tが死んだにも関わらず、大型病院のハッキング事件などマリア・Tの手口と酷似するような奇妙な事件がその後も連続して発生していき…。すべての真相が解明される怒涛の最終章、ついに始まるー。織田裕二　土屋太鳳　ディーン・フジオカ  宮尾俊太郎　真飛聖　矢野聖人  篠井英介　寺島進  中谷美紀脚本　泉澤陽子演出　坪井敏雄プロデュース　植田博樹  協力プロデュース　韓哲　高山暢比古◇番組HP  http://www.tbs.co.jp/IQ246/  ◇twitter  @IQ246_TBS  https://twitter.com/IQ246_TBS/  放送終了後、番組ホームページでプレゼントクイズを出題します！  正解者の中から抽選で、番組オリジナルトートバッグもしくは、クリアファイルをプレゼント！応募は番組の放送終了後、2460秒間！TBSテレビ  番組の内容と放送時間は変更になる可能性があります。</v>
      </c>
      <c r="N5003" s="2"/>
      <c r="O5003" s="2"/>
      <c r="P5003" s="1"/>
      <c r="Q5003" s="1"/>
      <c r="R5003" s="1"/>
      <c r="S5003" s="1"/>
      <c r="T5003" s="1"/>
      <c r="U5003" s="1"/>
      <c r="V5003" s="1"/>
      <c r="W5003" s="1"/>
      <c r="X5003" s="1"/>
      <c r="Y5003" s="1"/>
      <c r="Z5003" s="1"/>
      <c r="AA5003" s="1"/>
      <c r="AB5003" s="1"/>
      <c r="AC5003" s="1"/>
      <c r="AD5003" s="1"/>
      <c r="AE5003" s="1"/>
      <c r="AF5003" s="1"/>
      <c r="AG5003" s="1"/>
      <c r="AH5003" s="1"/>
      <c r="AI5003" s="1"/>
      <c r="AJ5003" s="1"/>
      <c r="AK5003" s="1"/>
      <c r="AL5003" s="1"/>
      <c r="AM5003" s="1"/>
      <c r="AN5003" s="1"/>
      <c r="AO5003" s="1"/>
      <c r="AP5003" s="1"/>
      <c r="AQ5003" s="1"/>
      <c r="AR5003" s="1"/>
      <c r="AS5003" s="1"/>
      <c r="AT5003" s="1"/>
      <c r="AU5003" s="1"/>
      <c r="AV5003" s="1"/>
      <c r="AW5003" s="1"/>
      <c r="AX5003" s="1"/>
      <c r="AY5003" s="1"/>
      <c r="AZ5003" s="1"/>
      <c r="BA5003" s="1"/>
      <c r="BB5003" s="1"/>
    </row>
    <row r="5004" ht="204.75" customHeight="1">
      <c r="A5004" s="1">
        <v>1535.0</v>
      </c>
      <c r="B5004" s="2" t="s">
        <v>14019</v>
      </c>
      <c r="C5004" s="2">
        <f>IFERROR(__xludf.DUMMYFUNCTION("split(B5004,""_"")"),1610.0)</f>
        <v>1610</v>
      </c>
      <c r="D5004" s="2" t="str">
        <f>IFERROR(__xludf.DUMMYFUNCTION("""COMPUTED_VALUE"""),"TBS")</f>
        <v>TBS</v>
      </c>
      <c r="E5004" s="2" t="str">
        <f>IFERROR(__xludf.DUMMYFUNCTION("""COMPUTED_VALUE"""),"日21")</f>
        <v>日21</v>
      </c>
      <c r="F5004" s="2" t="s">
        <v>14020</v>
      </c>
      <c r="G5004" s="2" t="s">
        <v>14039</v>
      </c>
      <c r="H5004" s="1">
        <v>10.0</v>
      </c>
      <c r="J5004" s="1" t="s">
        <v>11</v>
      </c>
      <c r="K5004" s="2" t="s">
        <v>14040</v>
      </c>
      <c r="L5004" s="2"/>
      <c r="M5004" s="2" t="str">
        <f>IFERROR(__xludf.DUMMYFUNCTION("split(split(K5004,""【"",false),""公式LINE"",false)"),"機動隊に囲まれた法門寺沙羅駆（織田裕二）、奏子（土屋太鳳）、執事の賢正（ディーン・フジオカ）。巧妙に仕組まれたマリアTの罠により、沙羅駆に射殺命令が下るー。IQ246の沙羅駆とIQ300のマリアT。究極の頭脳を持つ二人の最終決戦がいよいよ始まる！世界に絶望し、すべてを破壊しようとするマリアT。諦めずに考え続ける沙羅駆の二人がたどり着いた、人類にとっての最後の答えとは？衝撃のラストをお見逃しなく！！織田裕二　土屋太鳳　ディーン・フジオカ  宮尾俊太郎　真飛聖　新川優愛　矢野聖人  篠井英介　寺島進  中谷美"&amp;"紀脚本　泉澤陽子演出　木村ひさしTBSテレビ  ◇番組HP  http://www.tbs.co.jp/IQ246/  ◇twitter  @IQ246_TBS  https://twitter.com/IQ246_TBS/  放送終了後、番組ホームページでプレゼントクイズを出題します！  正解者の中から抽選で、番組オリジナルトートバッグもしくは、クリアファイルをプレゼント！応募は番組の放送終了後、2460秒間！「IQ246～華麗なる事件簿～」小説本発売記念！上下巻セットで20名様にプレゼント！  ハガキ"&amp;"でのご応募（12月18日（日）消印有効）  番組ホームページからのご応募（12月18日（日）深夜24時まで）最終回放送後に、「IQ246～華麗なる事件簿～」  サウンドトラック＆DVDプレゼントのお知らせがあります！お楽しみに！番組の内容と放送時間は変更になる可能性があります。")</f>
        <v>機動隊に囲まれた法門寺沙羅駆（織田裕二）、奏子（土屋太鳳）、執事の賢正（ディーン・フジオカ）。巧妙に仕組まれたマリアTの罠により、沙羅駆に射殺命令が下るー。IQ246の沙羅駆とIQ300のマリアT。究極の頭脳を持つ二人の最終決戦がいよいよ始まる！世界に絶望し、すべてを破壊しようとするマリアT。諦めずに考え続ける沙羅駆の二人がたどり着いた、人類にとっての最後の答えとは？衝撃のラストをお見逃しなく！！織田裕二　土屋太鳳　ディーン・フジオカ  宮尾俊太郎　真飛聖　新川優愛　矢野聖人  篠井英介　寺島進  中谷美紀脚本　泉澤陽子演出　木村ひさしTBSテレビ  ◇番組HP  http://www.tbs.co.jp/IQ246/  ◇twitter  @IQ246_TBS  https://twitter.com/IQ246_TBS/  放送終了後、番組ホームページでプレゼントクイズを出題します！  正解者の中から抽選で、番組オリジナルトートバッグもしくは、クリアファイルをプレゼント！応募は番組の放送終了後、2460秒間！「IQ246～華麗なる事件簿～」小説本発売記念！上下巻セットで20名様にプレゼント！  ハガキでのご応募（12月18日（日）消印有効）  番組ホームページからのご応募（12月18日（日）深夜24時まで）最終回放送後に、「IQ246～華麗なる事件簿～」  サウンドトラック＆DVDプレゼントのお知らせがあります！お楽しみに！番組の内容と放送時間は変更になる可能性があります。</v>
      </c>
      <c r="N5004" s="2"/>
      <c r="O5004" s="2"/>
      <c r="P5004" s="1"/>
      <c r="Q5004" s="1"/>
      <c r="R5004" s="1"/>
      <c r="S5004" s="1"/>
      <c r="T5004" s="1"/>
      <c r="U5004" s="1"/>
      <c r="V5004" s="1"/>
      <c r="W5004" s="1"/>
      <c r="X5004" s="1"/>
      <c r="Y5004" s="1"/>
      <c r="Z5004" s="1"/>
      <c r="AA5004" s="1"/>
      <c r="AB5004" s="1"/>
      <c r="AC5004" s="1"/>
      <c r="AD5004" s="1"/>
      <c r="AE5004" s="1"/>
      <c r="AF5004" s="1"/>
      <c r="AG5004" s="1"/>
      <c r="AH5004" s="1"/>
      <c r="AI5004" s="1"/>
      <c r="AJ5004" s="1"/>
      <c r="AK5004" s="1"/>
      <c r="AL5004" s="1"/>
      <c r="AM5004" s="1"/>
      <c r="AN5004" s="1"/>
      <c r="AO5004" s="1"/>
      <c r="AP5004" s="1"/>
      <c r="AQ5004" s="1"/>
      <c r="AR5004" s="1"/>
      <c r="AS5004" s="1"/>
      <c r="AT5004" s="1"/>
      <c r="AU5004" s="1"/>
      <c r="AV5004" s="1"/>
      <c r="AW5004" s="1"/>
      <c r="AX5004" s="1"/>
      <c r="AY5004" s="1"/>
      <c r="AZ5004" s="1"/>
      <c r="BA5004" s="1"/>
      <c r="BB5004" s="1"/>
    </row>
    <row r="5005" ht="204.75" customHeight="1">
      <c r="A5005" s="1">
        <v>1565.0</v>
      </c>
      <c r="B5005" s="2" t="s">
        <v>14041</v>
      </c>
      <c r="C5005" s="2">
        <f>IFERROR(__xludf.DUMMYFUNCTION("split(B5005,""_"")"),1607.0)</f>
        <v>1607</v>
      </c>
      <c r="D5005" s="2" t="str">
        <f>IFERROR(__xludf.DUMMYFUNCTION("""COMPUTED_VALUE"""),"TBS")</f>
        <v>TBS</v>
      </c>
      <c r="E5005" s="2" t="str">
        <f>IFERROR(__xludf.DUMMYFUNCTION("""COMPUTED_VALUE"""),"火22")</f>
        <v>火22</v>
      </c>
      <c r="F5005" s="2" t="s">
        <v>14042</v>
      </c>
      <c r="G5005" s="2" t="s">
        <v>14043</v>
      </c>
      <c r="H5005" s="1">
        <v>1.0</v>
      </c>
      <c r="J5005" s="1" t="s">
        <v>82</v>
      </c>
      <c r="K5005" s="2" t="s">
        <v>14044</v>
      </c>
      <c r="L5005" s="2"/>
      <c r="M5005" s="2" t="str">
        <f>IFERROR(__xludf.DUMMYFUNCTION("split(split(K5005,""【"",false),""公式LINE"",false)"),"武井咲×滝沢秀明初共演！恋したのはドSな副社長！でも彼には妻がいた…これを不倫だと思いますか、それとも純愛だと思いますか？ティファニー&amp;ジミーチュウ全面協力で贈る禁断でオトナのジェットコースターラブストーリー！中村蒼・水沢エレナ・トリンドル玲奈・中村隼人・横澤夏子・GENKING・橋本マナミ・松平健＊連ドラ初！世界的に有名なジュエリーブランド、ティファニーとのコラボが実現！ジュエリー総額46億円！原作は、小学館「プチコミック」連載の北川みゆきの同名マンガ。ティファニー広報部で働く主人公・栗原未亜（武井咲）"&amp;"が恋に落ちたのは、自社の副社長・三好海里（滝沢秀明）。しかし彼には妻がいた…ジミーチュウの敏腕広報で、海里の恋敵となる宮沢綾(中村蒼)、未亜のルームシェア仲間の真咲あかり(水沢エレナ)、美山千明(トリンドル玲奈)、新進気鋭のイケメン小説家、久野淳志（中村隼人）も登場！“せいせいするほど”ひたむきで、限りなく純粋な、この夏いちばんの、ジェットコースターみたいに急展開するオトナのラブストーリーがいま始まる！！！")</f>
        <v>武井咲×滝沢秀明初共演！恋したのはドSな副社長！でも彼には妻がいた…これを不倫だと思いますか、それとも純愛だと思いますか？ティファニー&amp;ジミーチュウ全面協力で贈る禁断でオトナのジェットコースターラブストーリー！中村蒼・水沢エレナ・トリンドル玲奈・中村隼人・横澤夏子・GENKING・橋本マナミ・松平健＊連ドラ初！世界的に有名なジュエリーブランド、ティファニーとのコラボが実現！ジュエリー総額46億円！原作は、小学館「プチコミック」連載の北川みゆきの同名マンガ。ティファニー広報部で働く主人公・栗原未亜（武井咲）が恋に落ちたのは、自社の副社長・三好海里（滝沢秀明）。しかし彼には妻がいた…ジミーチュウの敏腕広報で、海里の恋敵となる宮沢綾(中村蒼)、未亜のルームシェア仲間の真咲あかり(水沢エレナ)、美山千明(トリンドル玲奈)、新進気鋭のイケメン小説家、久野淳志（中村隼人）も登場！“せいせいするほど”ひたむきで、限りなく純粋な、この夏いちばんの、ジェットコースターみたいに急展開するオトナのラブストーリーがいま始まる！！！</v>
      </c>
      <c r="N5005" s="2"/>
      <c r="O5005" s="2"/>
      <c r="P5005" s="1"/>
      <c r="Q5005" s="1"/>
      <c r="R5005" s="1"/>
      <c r="S5005" s="1"/>
      <c r="T5005" s="1"/>
      <c r="U5005" s="1"/>
      <c r="V5005" s="1"/>
      <c r="W5005" s="1"/>
      <c r="X5005" s="1"/>
      <c r="Y5005" s="1"/>
      <c r="Z5005" s="1"/>
      <c r="AA5005" s="1"/>
      <c r="AB5005" s="1"/>
      <c r="AC5005" s="1"/>
      <c r="AD5005" s="1"/>
      <c r="AE5005" s="1"/>
      <c r="AF5005" s="1"/>
      <c r="AG5005" s="1"/>
      <c r="AH5005" s="1"/>
      <c r="AI5005" s="1"/>
      <c r="AJ5005" s="1"/>
      <c r="AK5005" s="1"/>
      <c r="AL5005" s="1"/>
      <c r="AM5005" s="1"/>
      <c r="AN5005" s="1"/>
      <c r="AO5005" s="1"/>
      <c r="AP5005" s="1"/>
      <c r="AQ5005" s="1"/>
      <c r="AR5005" s="1"/>
      <c r="AS5005" s="1"/>
      <c r="AT5005" s="1"/>
      <c r="AU5005" s="1"/>
      <c r="AV5005" s="1"/>
      <c r="AW5005" s="1"/>
      <c r="AX5005" s="1"/>
      <c r="AY5005" s="1"/>
      <c r="AZ5005" s="1"/>
      <c r="BA5005" s="1"/>
      <c r="BB5005" s="1"/>
    </row>
    <row r="5006" ht="204.75" customHeight="1">
      <c r="A5006" s="1">
        <v>1566.0</v>
      </c>
      <c r="B5006" s="2" t="s">
        <v>14041</v>
      </c>
      <c r="C5006" s="2">
        <f>IFERROR(__xludf.DUMMYFUNCTION("split(B5006,""_"")"),1607.0)</f>
        <v>1607</v>
      </c>
      <c r="D5006" s="2" t="str">
        <f>IFERROR(__xludf.DUMMYFUNCTION("""COMPUTED_VALUE"""),"TBS")</f>
        <v>TBS</v>
      </c>
      <c r="E5006" s="2" t="str">
        <f>IFERROR(__xludf.DUMMYFUNCTION("""COMPUTED_VALUE"""),"火22")</f>
        <v>火22</v>
      </c>
      <c r="F5006" s="2" t="s">
        <v>14042</v>
      </c>
      <c r="G5006" s="2" t="s">
        <v>14045</v>
      </c>
      <c r="H5006" s="1">
        <v>2.0</v>
      </c>
      <c r="J5006" s="1" t="s">
        <v>86</v>
      </c>
      <c r="K5006" s="2" t="s">
        <v>14046</v>
      </c>
      <c r="L5006" s="2"/>
      <c r="M5006" s="2" t="str">
        <f>IFERROR(__xludf.DUMMYFUNCTION("split(split(K5006,""【"",false),""公式LINE"",false)"),"武井咲×滝沢秀明初共演！ティファニー&amp;ジミーチュウ全面協力で贈る禁断でオトナの胸キュンジェットコースターラブストーリー！禁断のキスのあと、2人は急接近！「風邪なんて俺にうつせよ…」止められない恋の行方は…！？中村蒼・水沢エレナ・トリンドル玲奈・中村隼人・横澤夏子・GENKING・橋本マナミ・松平健＊連ドラ初！世界的に有名なジュエリーブランド、ティファニーとのコラボが実現！ジュエリー総額46億円！原作は、小学館「プチコミック」連載の北川みゆきの同名マンガ。ティファニー広報部で働く主人公・栗原未亜（武井咲）が"&amp;"恋に落ちたのは、自社の副社長・三好海里（滝沢秀明）。しかし彼には妻がいた...  未亜最大のピンチに海里が駆けつけ、二人は急接近！ジミーチュウの敏腕広報・宮沢綾(中村蒼)も本格参戦！恋の三角関係が動き出す！！  未亜のルームシェア仲間の真咲あかり(水沢エレナ)、美山千明(トリンドル玲奈)、新進気鋭のイケメン小説家、久野淳志（中村隼人）の三角関係からも目が離せない！  “せいせいするほど”ひたむきで、限りなく純粋な、この夏いちばんの、オトナのジェットコースター・ラブストーリー、急展開！！武井咲 　滝沢秀明 "&amp;"　中村蒼 　水沢エレナ 　トリンドル玲奈 　中村隼人　・　横澤夏子 　和田安佳莉　GENKING　・　橋本マナミ 　高橋光臣 　神野三鈴 　松平健  ")</f>
        <v>武井咲×滝沢秀明初共演！ティファニー&amp;ジミーチュウ全面協力で贈る禁断でオトナの胸キュンジェットコースターラブストーリー！禁断のキスのあと、2人は急接近！「風邪なんて俺にうつせよ…」止められない恋の行方は…！？中村蒼・水沢エレナ・トリンドル玲奈・中村隼人・横澤夏子・GENKING・橋本マナミ・松平健＊連ドラ初！世界的に有名なジュエリーブランド、ティファニーとのコラボが実現！ジュエリー総額46億円！原作は、小学館「プチコミック」連載の北川みゆきの同名マンガ。ティファニー広報部で働く主人公・栗原未亜（武井咲）が恋に落ちたのは、自社の副社長・三好海里（滝沢秀明）。しかし彼には妻がいた...  未亜最大のピンチに海里が駆けつけ、二人は急接近！ジミーチュウの敏腕広報・宮沢綾(中村蒼)も本格参戦！恋の三角関係が動き出す！！  未亜のルームシェア仲間の真咲あかり(水沢エレナ)、美山千明(トリンドル玲奈)、新進気鋭のイケメン小説家、久野淳志（中村隼人）の三角関係からも目が離せない！  “せいせいするほど”ひたむきで、限りなく純粋な、この夏いちばんの、オトナのジェットコースター・ラブストーリー、急展開！！武井咲 　滝沢秀明 　中村蒼 　水沢エレナ 　トリンドル玲奈 　中村隼人　・　横澤夏子 　和田安佳莉　GENKING　・　橋本マナミ 　高橋光臣 　神野三鈴 　松平健  </v>
      </c>
      <c r="N5006" s="2"/>
      <c r="O5006" s="2"/>
      <c r="P5006" s="1"/>
      <c r="Q5006" s="1"/>
      <c r="R5006" s="1"/>
      <c r="S5006" s="1"/>
      <c r="T5006" s="1"/>
      <c r="U5006" s="1"/>
      <c r="V5006" s="1"/>
      <c r="W5006" s="1"/>
      <c r="X5006" s="1"/>
      <c r="Y5006" s="1"/>
      <c r="Z5006" s="1"/>
      <c r="AA5006" s="1"/>
      <c r="AB5006" s="1"/>
      <c r="AC5006" s="1"/>
      <c r="AD5006" s="1"/>
      <c r="AE5006" s="1"/>
      <c r="AF5006" s="1"/>
      <c r="AG5006" s="1"/>
      <c r="AH5006" s="1"/>
      <c r="AI5006" s="1"/>
      <c r="AJ5006" s="1"/>
      <c r="AK5006" s="1"/>
      <c r="AL5006" s="1"/>
      <c r="AM5006" s="1"/>
      <c r="AN5006" s="1"/>
      <c r="AO5006" s="1"/>
      <c r="AP5006" s="1"/>
      <c r="AQ5006" s="1"/>
      <c r="AR5006" s="1"/>
      <c r="AS5006" s="1"/>
      <c r="AT5006" s="1"/>
      <c r="AU5006" s="1"/>
      <c r="AV5006" s="1"/>
      <c r="AW5006" s="1"/>
      <c r="AX5006" s="1"/>
      <c r="AY5006" s="1"/>
      <c r="AZ5006" s="1"/>
      <c r="BA5006" s="1"/>
      <c r="BB5006" s="1"/>
    </row>
    <row r="5007" ht="204.75" customHeight="1">
      <c r="A5007" s="1">
        <v>1567.0</v>
      </c>
      <c r="B5007" s="2" t="s">
        <v>14041</v>
      </c>
      <c r="C5007" s="2">
        <f>IFERROR(__xludf.DUMMYFUNCTION("split(B5007,""_"")"),1607.0)</f>
        <v>1607</v>
      </c>
      <c r="D5007" s="2" t="str">
        <f>IFERROR(__xludf.DUMMYFUNCTION("""COMPUTED_VALUE"""),"TBS")</f>
        <v>TBS</v>
      </c>
      <c r="E5007" s="2" t="str">
        <f>IFERROR(__xludf.DUMMYFUNCTION("""COMPUTED_VALUE"""),"火22")</f>
        <v>火22</v>
      </c>
      <c r="F5007" s="2" t="s">
        <v>14042</v>
      </c>
      <c r="G5007" s="2" t="s">
        <v>14047</v>
      </c>
      <c r="H5007" s="1">
        <v>3.0</v>
      </c>
      <c r="J5007" s="1" t="s">
        <v>86</v>
      </c>
      <c r="K5007" s="2" t="s">
        <v>14048</v>
      </c>
      <c r="L5007" s="2"/>
      <c r="M5007" s="2" t="str">
        <f>IFERROR(__xludf.DUMMYFUNCTION("split(split(K5007,""【"",false),""公式LINE"",false)"),"武井咲×滝沢秀明初共演！ティファニー&amp;ジミーチュウ全面協力で贈る禁断でオトナの胸キュンジェットコースターラブストーリー！三遊亭円楽が2人の恋のキーパーソンとして出演！「愛人にしてください…」涙の告白の行方は！？2人きりの夜、ついに2人は…！？今夜、副社長の禁断の秘密が明らかになる！！中村蒼・水沢エレナ・トリンドル玲奈・中村隼人・横澤夏子・GENKING・橋本マナミ・松平健／木下ほうか・吉沢亮原作は、小学館「プチコミック」連載の北川みゆきの同名マンガ。ティファニー広報部で働く主人公・栗原未亜（武井咲）が恋に"&amp;"落ちたのは、自社の副社長・三好海里（滝沢秀明）。しかし彼には妻がいた...  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今"&amp;"夜も急展開！！")</f>
        <v>武井咲×滝沢秀明初共演！ティファニー&amp;ジミーチュウ全面協力で贈る禁断でオトナの胸キュンジェットコースターラブストーリー！三遊亭円楽が2人の恋のキーパーソンとして出演！「愛人にしてください…」涙の告白の行方は！？2人きりの夜、ついに2人は…！？今夜、副社長の禁断の秘密が明らかになる！！中村蒼・水沢エレナ・トリンドル玲奈・中村隼人・横澤夏子・GENKING・橋本マナミ・松平健／木下ほうか・吉沢亮原作は、小学館「プチコミック」連載の北川みゆきの同名マンガ。ティファニー広報部で働く主人公・栗原未亜（武井咲）が恋に落ちたのは、自社の副社長・三好海里（滝沢秀明）。しかし彼には妻がいた...  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今夜も急展開！！</v>
      </c>
      <c r="N5007" s="2"/>
      <c r="O5007" s="2"/>
      <c r="P5007" s="1"/>
      <c r="Q5007" s="1"/>
      <c r="R5007" s="1"/>
      <c r="S5007" s="1"/>
      <c r="T5007" s="1"/>
      <c r="U5007" s="1"/>
      <c r="V5007" s="1"/>
      <c r="W5007" s="1"/>
      <c r="X5007" s="1"/>
      <c r="Y5007" s="1"/>
      <c r="Z5007" s="1"/>
      <c r="AA5007" s="1"/>
      <c r="AB5007" s="1"/>
      <c r="AC5007" s="1"/>
      <c r="AD5007" s="1"/>
      <c r="AE5007" s="1"/>
      <c r="AF5007" s="1"/>
      <c r="AG5007" s="1"/>
      <c r="AH5007" s="1"/>
      <c r="AI5007" s="1"/>
      <c r="AJ5007" s="1"/>
      <c r="AK5007" s="1"/>
      <c r="AL5007" s="1"/>
      <c r="AM5007" s="1"/>
      <c r="AN5007" s="1"/>
      <c r="AO5007" s="1"/>
      <c r="AP5007" s="1"/>
      <c r="AQ5007" s="1"/>
      <c r="AR5007" s="1"/>
      <c r="AS5007" s="1"/>
      <c r="AT5007" s="1"/>
      <c r="AU5007" s="1"/>
      <c r="AV5007" s="1"/>
      <c r="AW5007" s="1"/>
      <c r="AX5007" s="1"/>
      <c r="AY5007" s="1"/>
      <c r="AZ5007" s="1"/>
      <c r="BA5007" s="1"/>
      <c r="BB5007" s="1"/>
    </row>
    <row r="5008" ht="204.75" customHeight="1">
      <c r="A5008" s="1">
        <v>1568.0</v>
      </c>
      <c r="B5008" s="2" t="s">
        <v>14041</v>
      </c>
      <c r="C5008" s="2">
        <f>IFERROR(__xludf.DUMMYFUNCTION("split(B5008,""_"")"),1607.0)</f>
        <v>1607</v>
      </c>
      <c r="D5008" s="2" t="str">
        <f>IFERROR(__xludf.DUMMYFUNCTION("""COMPUTED_VALUE"""),"TBS")</f>
        <v>TBS</v>
      </c>
      <c r="E5008" s="2" t="str">
        <f>IFERROR(__xludf.DUMMYFUNCTION("""COMPUTED_VALUE"""),"火22")</f>
        <v>火22</v>
      </c>
      <c r="F5008" s="2" t="s">
        <v>14042</v>
      </c>
      <c r="G5008" s="2" t="s">
        <v>14049</v>
      </c>
      <c r="H5008" s="1">
        <v>4.0</v>
      </c>
      <c r="J5008" s="1" t="s">
        <v>86</v>
      </c>
      <c r="K5008" s="2" t="s">
        <v>14050</v>
      </c>
      <c r="L5008" s="2"/>
      <c r="M5008" s="2" t="str">
        <f>IFERROR(__xludf.DUMMYFUNCTION("split(split(K5008,""【"",false),""公式LINE"",false)"),"武井咲×滝沢秀明初共演！ティファニー&amp;ジミーチュウ全面協力で贈る禁断でオトナの胸キュンジェットコースターラブストーリー！「恋人の心配くらいさせろ！」「あんな人やめとき…」夏祭りの夜に燃え上がる三角関係！！ついに副社長の妻が登場！ヒロインの身に一体何が！？2人の恋は終わってしまうのか…衝撃のラスト！中村蒼・水沢エレナ・トリンドル玲奈・中村隼人・横澤夏子・GENKING・橋本マナミ・松平健原作は、小学館「プチコミック」連載の北川みゆきの同名マンガ。ティファニー広報部で働く主人公・栗原未亜（武井咲）が恋に落ちた"&amp;"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副社長の妻が"&amp;"登場で、今夜も急展開！！武井咲 　滝沢秀明 　中村蒼 　水沢エレナ 　トリンドル玲奈 　中村隼人　・　横澤夏子 　和田安佳莉　GENKING　・　橋本マナミ 　高橋光臣 　神野三鈴 　木南晴夏　松平健主題歌：松田聖子「薔薇のように咲いて　桜のように散って」　作詞作曲編曲：YOSHIKI（X JAPAN）夢の最強コラボレーション！美しい歌声と、日本の歌をイメージした切ないラブバラード！必聴！！！登録者数10万人に迫る番組")</f>
        <v>武井咲×滝沢秀明初共演！ティファニー&amp;ジミーチュウ全面協力で贈る禁断でオトナの胸キュンジェットコースターラブストーリー！「恋人の心配くらいさせろ！」「あんな人やめとき…」夏祭りの夜に燃え上がる三角関係！！ついに副社長の妻が登場！ヒロインの身に一体何が！？2人の恋は終わってしまうのか…衝撃のラスト！中村蒼・水沢エレナ・トリンドル玲奈・中村隼人・横澤夏子・GENKING・橋本マナミ・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副社長の妻が登場で、今夜も急展開！！武井咲 　滝沢秀明 　中村蒼 　水沢エレナ 　トリンドル玲奈 　中村隼人　・　横澤夏子 　和田安佳莉　GENKING　・　橋本マナミ 　高橋光臣 　神野三鈴 　木南晴夏　松平健主題歌：松田聖子「薔薇のように咲いて　桜のように散って」　作詞作曲編曲：YOSHIKI（X JAPAN）夢の最強コラボレーション！美しい歌声と、日本の歌をイメージした切ないラブバラード！必聴！！！登録者数10万人に迫る番組</v>
      </c>
      <c r="N5008" s="2" t="str">
        <f>IFERROR(__xludf.DUMMYFUNCTION("""COMPUTED_VALUE"""),"でのリアルタイム連動企画実施中！副社長達からメッセージが送られてくるLINE企画は大好評！！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https://twitter.com/seisei_tbs?ref_src="&amp;"twsrc%5Etfw  番組公式ツイッター、インスタグラムも大好評！！後ほど登場する未亜のお母さん役、超大物のヒントが隠されてるよ！！！番組の内容と放送時間は変更になる可能性があります。")</f>
        <v>でのリアルタイム連動企画実施中！副社長達からメッセージが送られてくるLINE企画は大好評！！演出：石井康晴「花より男子」シリーズ（井上真央、松本潤他）、「ウロボロス」（生田斗真、小栗旬他）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https://twitter.com/seisei_tbs?ref_src=twsrc%5Etfw  番組公式ツイッター、インスタグラムも大好評！！後ほど登場する未亜のお母さん役、超大物のヒントが隠されてるよ！！！番組の内容と放送時間は変更になる可能性があります。</v>
      </c>
      <c r="O5008" s="2"/>
      <c r="P5008" s="1"/>
      <c r="Q5008" s="1"/>
      <c r="R5008" s="1"/>
      <c r="S5008" s="1"/>
      <c r="T5008" s="1"/>
      <c r="U5008" s="1"/>
      <c r="V5008" s="1"/>
      <c r="W5008" s="1"/>
      <c r="X5008" s="1"/>
      <c r="Y5008" s="1"/>
      <c r="Z5008" s="1"/>
      <c r="AA5008" s="1"/>
      <c r="AB5008" s="1"/>
      <c r="AC5008" s="1"/>
      <c r="AD5008" s="1"/>
      <c r="AE5008" s="1"/>
      <c r="AF5008" s="1"/>
      <c r="AG5008" s="1"/>
      <c r="AH5008" s="1"/>
      <c r="AI5008" s="1"/>
      <c r="AJ5008" s="1"/>
      <c r="AK5008" s="1"/>
      <c r="AL5008" s="1"/>
      <c r="AM5008" s="1"/>
      <c r="AN5008" s="1"/>
      <c r="AO5008" s="1"/>
      <c r="AP5008" s="1"/>
      <c r="AQ5008" s="1"/>
      <c r="AR5008" s="1"/>
      <c r="AS5008" s="1"/>
      <c r="AT5008" s="1"/>
      <c r="AU5008" s="1"/>
      <c r="AV5008" s="1"/>
      <c r="AW5008" s="1"/>
      <c r="AX5008" s="1"/>
      <c r="AY5008" s="1"/>
      <c r="AZ5008" s="1"/>
      <c r="BA5008" s="1"/>
      <c r="BB5008" s="1"/>
    </row>
    <row r="5009" ht="204.75" customHeight="1">
      <c r="A5009" s="1">
        <v>1569.0</v>
      </c>
      <c r="B5009" s="2" t="s">
        <v>14041</v>
      </c>
      <c r="C5009" s="2">
        <f>IFERROR(__xludf.DUMMYFUNCTION("split(B5009,""_"")"),1607.0)</f>
        <v>1607</v>
      </c>
      <c r="D5009" s="2" t="str">
        <f>IFERROR(__xludf.DUMMYFUNCTION("""COMPUTED_VALUE"""),"TBS")</f>
        <v>TBS</v>
      </c>
      <c r="E5009" s="2" t="str">
        <f>IFERROR(__xludf.DUMMYFUNCTION("""COMPUTED_VALUE"""),"火22")</f>
        <v>火22</v>
      </c>
      <c r="F5009" s="2" t="s">
        <v>14042</v>
      </c>
      <c r="G5009" s="2" t="s">
        <v>14051</v>
      </c>
      <c r="H5009" s="1">
        <v>5.0</v>
      </c>
      <c r="J5009" s="1" t="s">
        <v>86</v>
      </c>
      <c r="K5009" s="2" t="s">
        <v>14052</v>
      </c>
      <c r="L5009" s="2"/>
      <c r="M5009" s="2" t="str">
        <f>IFERROR(__xludf.DUMMYFUNCTION("split(split(K5009,""【"",false),""公式LINE"",false)"),"武井咲×滝沢秀明初共演！ティファニー&amp;ジミーチュウ全面協力で贈る禁断でオトナの胸キュンジェットコースターラブストーリー！「ただ、俺に掴まってればいい…」二人きりの誕生日に深まる愛！そして、妻がついに覚醒！！不倫の恋がバレる…！？さらに、ジミーチュウイケメン広報から突然のプロポーズ…三角関係が急展開！！中村蒼・水沢エレナ・トリンドル玲奈・中村隼人・横澤夏子・GENKING・橋本マナミ・松平健原作は、小学館「プチコミック」連載の北川みゆきの同名マンガ。ティファニー広報部で働く主人公・栗原未亜（武井咲）が恋に落"&amp;"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副社長の"&amp;"妻がついに覚醒して、今夜も急展開！！")</f>
        <v>武井咲×滝沢秀明初共演！ティファニー&amp;ジミーチュウ全面協力で贈る禁断でオトナの胸キュンジェットコースターラブストーリー！「ただ、俺に掴まってればいい…」二人きりの誕生日に深まる愛！そして、妻がついに覚醒！！不倫の恋がバレる…！？さらに、ジミーチュウイケメン広報から突然のプロポーズ…三角関係が急展開！！中村蒼・水沢エレナ・トリンドル玲奈・中村隼人・横澤夏子・GENKING・橋本マナミ・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副社長の妻がついに覚醒して、今夜も急展開！！</v>
      </c>
      <c r="N5009" s="2"/>
      <c r="O5009" s="2"/>
      <c r="P5009" s="1"/>
      <c r="Q5009" s="1"/>
      <c r="R5009" s="1"/>
      <c r="S5009" s="1"/>
      <c r="T5009" s="1"/>
      <c r="U5009" s="1"/>
      <c r="V5009" s="1"/>
      <c r="W5009" s="1"/>
      <c r="X5009" s="1"/>
      <c r="Y5009" s="1"/>
      <c r="Z5009" s="1"/>
      <c r="AA5009" s="1"/>
      <c r="AB5009" s="1"/>
      <c r="AC5009" s="1"/>
      <c r="AD5009" s="1"/>
      <c r="AE5009" s="1"/>
      <c r="AF5009" s="1"/>
      <c r="AG5009" s="1"/>
      <c r="AH5009" s="1"/>
      <c r="AI5009" s="1"/>
      <c r="AJ5009" s="1"/>
      <c r="AK5009" s="1"/>
      <c r="AL5009" s="1"/>
      <c r="AM5009" s="1"/>
      <c r="AN5009" s="1"/>
      <c r="AO5009" s="1"/>
      <c r="AP5009" s="1"/>
      <c r="AQ5009" s="1"/>
      <c r="AR5009" s="1"/>
      <c r="AS5009" s="1"/>
      <c r="AT5009" s="1"/>
      <c r="AU5009" s="1"/>
      <c r="AV5009" s="1"/>
      <c r="AW5009" s="1"/>
      <c r="AX5009" s="1"/>
      <c r="AY5009" s="1"/>
      <c r="AZ5009" s="1"/>
      <c r="BA5009" s="1"/>
      <c r="BB5009" s="1"/>
    </row>
    <row r="5010" ht="204.75" customHeight="1">
      <c r="A5010" s="1">
        <v>1570.0</v>
      </c>
      <c r="B5010" s="2" t="s">
        <v>14041</v>
      </c>
      <c r="C5010" s="2">
        <f>IFERROR(__xludf.DUMMYFUNCTION("split(B5010,""_"")"),1607.0)</f>
        <v>1607</v>
      </c>
      <c r="D5010" s="2" t="str">
        <f>IFERROR(__xludf.DUMMYFUNCTION("""COMPUTED_VALUE"""),"TBS")</f>
        <v>TBS</v>
      </c>
      <c r="E5010" s="2" t="str">
        <f>IFERROR(__xludf.DUMMYFUNCTION("""COMPUTED_VALUE"""),"火22")</f>
        <v>火22</v>
      </c>
      <c r="F5010" s="2" t="s">
        <v>14042</v>
      </c>
      <c r="G5010" s="2" t="s">
        <v>14053</v>
      </c>
      <c r="H5010" s="1">
        <v>6.0</v>
      </c>
      <c r="J5010" s="1" t="s">
        <v>86</v>
      </c>
      <c r="K5010" s="2" t="s">
        <v>14054</v>
      </c>
      <c r="L5010" s="2"/>
      <c r="M5010" s="2" t="str">
        <f>IFERROR(__xludf.DUMMYFUNCTION("split(split(K5010,""【"",false),""公式LINE"",false)"),"武井咲×滝沢秀明初共演！ティファニー&amp;ジミーチュウ全面協力で贈る禁断でオトナの胸キュンジェットコースターラブストーリー！不倫がバレた！？絶体絶命のピンチを乗り越えられるのか！？ヒロインの母・小林幸子登場で不倫の恋に暗雲が・・・！！ついに妻が反撃開始！！最大の修羅場が待っている…！？中村蒼・水沢エレナ・トリンドル玲奈・中村隼人・横澤夏子・GENKING・橋本マナミ・松平健原作は、小学館「プチコミック」連載の北川みゆきの同名マンガ。ティファニー広報部で働く主人公・栗原未亜（武井咲）が恋に落ちたのは、自社の副社"&amp;"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副社長の妻がついに反撃開始！"&amp;"さらに母上京で今夜も急展開！！")</f>
        <v>武井咲×滝沢秀明初共演！ティファニー&amp;ジミーチュウ全面協力で贈る禁断でオトナの胸キュンジェットコースターラブストーリー！不倫がバレた！？絶体絶命のピンチを乗り越えられるのか！？ヒロインの母・小林幸子登場で不倫の恋に暗雲が・・・！！ついに妻が反撃開始！！最大の修羅場が待っている…！？中村蒼・水沢エレナ・トリンドル玲奈・中村隼人・横澤夏子・GENKING・橋本マナミ・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副社長の妻がついに反撃開始！さらに母上京で今夜も急展開！！</v>
      </c>
      <c r="N5010" s="2"/>
      <c r="O5010" s="2"/>
      <c r="P5010" s="1"/>
      <c r="Q5010" s="1"/>
      <c r="R5010" s="1"/>
      <c r="S5010" s="1"/>
      <c r="T5010" s="1"/>
      <c r="U5010" s="1"/>
      <c r="V5010" s="1"/>
      <c r="W5010" s="1"/>
      <c r="X5010" s="1"/>
      <c r="Y5010" s="1"/>
      <c r="Z5010" s="1"/>
      <c r="AA5010" s="1"/>
      <c r="AB5010" s="1"/>
      <c r="AC5010" s="1"/>
      <c r="AD5010" s="1"/>
      <c r="AE5010" s="1"/>
      <c r="AF5010" s="1"/>
      <c r="AG5010" s="1"/>
      <c r="AH5010" s="1"/>
      <c r="AI5010" s="1"/>
      <c r="AJ5010" s="1"/>
      <c r="AK5010" s="1"/>
      <c r="AL5010" s="1"/>
      <c r="AM5010" s="1"/>
      <c r="AN5010" s="1"/>
      <c r="AO5010" s="1"/>
      <c r="AP5010" s="1"/>
      <c r="AQ5010" s="1"/>
      <c r="AR5010" s="1"/>
      <c r="AS5010" s="1"/>
      <c r="AT5010" s="1"/>
      <c r="AU5010" s="1"/>
      <c r="AV5010" s="1"/>
      <c r="AW5010" s="1"/>
      <c r="AX5010" s="1"/>
      <c r="AY5010" s="1"/>
      <c r="AZ5010" s="1"/>
      <c r="BA5010" s="1"/>
      <c r="BB5010" s="1"/>
    </row>
    <row r="5011" ht="204.75" customHeight="1">
      <c r="A5011" s="1">
        <v>1571.0</v>
      </c>
      <c r="B5011" s="2" t="s">
        <v>14041</v>
      </c>
      <c r="C5011" s="2">
        <f>IFERROR(__xludf.DUMMYFUNCTION("split(B5011,""_"")"),1607.0)</f>
        <v>1607</v>
      </c>
      <c r="D5011" s="2" t="str">
        <f>IFERROR(__xludf.DUMMYFUNCTION("""COMPUTED_VALUE"""),"TBS")</f>
        <v>TBS</v>
      </c>
      <c r="E5011" s="2" t="str">
        <f>IFERROR(__xludf.DUMMYFUNCTION("""COMPUTED_VALUE"""),"火22")</f>
        <v>火22</v>
      </c>
      <c r="F5011" s="2" t="s">
        <v>14042</v>
      </c>
      <c r="G5011" s="2" t="s">
        <v>14055</v>
      </c>
      <c r="H5011" s="1">
        <v>7.0</v>
      </c>
      <c r="J5011" s="1" t="s">
        <v>86</v>
      </c>
      <c r="K5011" s="2" t="s">
        <v>14056</v>
      </c>
      <c r="L5011" s="2"/>
      <c r="M5011" s="2" t="str">
        <f>IFERROR(__xludf.DUMMYFUNCTION("split(split(K5011,""【"",false),""公式LINE"",false)"),"武井咲×滝沢秀明初共演！禁断でオトナの胸キュンジェットコースターラブストーリー！不倫発覚で妻と地獄の晩餐会！「このアバズレ！」地獄の結婚式に宮沢の元カノ役で朝ドラヒロイン・村川絵梨参戦！大阪を舞台にさらなる修羅場が…！副社長とついに涙の決別！？ティファニーvsジミーチュウ！未亜はどちらを選ぶのか！？中村蒼・水沢エレナ・トリンドル玲奈・中村隼人・横澤夏子・GENKING・橋本マナミ・木南晴夏・松平健原作は、小学館「プチコミック」連載の北川みゆきの同名マンガ。ティファニー広報部で働く主人公・栗原未亜（武井咲）"&amp;"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amp;"！不倫発覚で妻との地獄の晩餐会…！！さらに宮沢の元カノ登場でさらなる修羅場が…！！")</f>
        <v>武井咲×滝沢秀明初共演！禁断でオトナの胸キュンジェットコースターラブストーリー！不倫発覚で妻と地獄の晩餐会！「このアバズレ！」地獄の結婚式に宮沢の元カノ役で朝ドラヒロイン・村川絵梨参戦！大阪を舞台にさらなる修羅場が…！副社長とついに涙の決別！？ティファニーvsジミーチュウ！未亜はどちらを選ぶのか！？中村蒼・水沢エレナ・トリンドル玲奈・中村隼人・横澤夏子・GENKING・橋本マナミ・木南晴夏・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不倫発覚で妻との地獄の晩餐会…！！さらに宮沢の元カノ登場でさらなる修羅場が…！！</v>
      </c>
      <c r="N5011" s="2"/>
      <c r="O5011" s="2"/>
      <c r="P5011" s="1"/>
      <c r="Q5011" s="1"/>
      <c r="R5011" s="1"/>
      <c r="S5011" s="1"/>
      <c r="T5011" s="1"/>
      <c r="U5011" s="1"/>
      <c r="V5011" s="1"/>
      <c r="W5011" s="1"/>
      <c r="X5011" s="1"/>
      <c r="Y5011" s="1"/>
      <c r="Z5011" s="1"/>
      <c r="AA5011" s="1"/>
      <c r="AB5011" s="1"/>
      <c r="AC5011" s="1"/>
      <c r="AD5011" s="1"/>
      <c r="AE5011" s="1"/>
      <c r="AF5011" s="1"/>
      <c r="AG5011" s="1"/>
      <c r="AH5011" s="1"/>
      <c r="AI5011" s="1"/>
      <c r="AJ5011" s="1"/>
      <c r="AK5011" s="1"/>
      <c r="AL5011" s="1"/>
      <c r="AM5011" s="1"/>
      <c r="AN5011" s="1"/>
      <c r="AO5011" s="1"/>
      <c r="AP5011" s="1"/>
      <c r="AQ5011" s="1"/>
      <c r="AR5011" s="1"/>
      <c r="AS5011" s="1"/>
      <c r="AT5011" s="1"/>
      <c r="AU5011" s="1"/>
      <c r="AV5011" s="1"/>
      <c r="AW5011" s="1"/>
      <c r="AX5011" s="1"/>
      <c r="AY5011" s="1"/>
      <c r="AZ5011" s="1"/>
      <c r="BA5011" s="1"/>
      <c r="BB5011" s="1"/>
    </row>
    <row r="5012" ht="204.75" customHeight="1">
      <c r="A5012" s="1">
        <v>1572.0</v>
      </c>
      <c r="B5012" s="2" t="s">
        <v>14041</v>
      </c>
      <c r="C5012" s="2">
        <f>IFERROR(__xludf.DUMMYFUNCTION("split(B5012,""_"")"),1607.0)</f>
        <v>1607</v>
      </c>
      <c r="D5012" s="2" t="str">
        <f>IFERROR(__xludf.DUMMYFUNCTION("""COMPUTED_VALUE"""),"TBS")</f>
        <v>TBS</v>
      </c>
      <c r="E5012" s="2" t="str">
        <f>IFERROR(__xludf.DUMMYFUNCTION("""COMPUTED_VALUE"""),"火22")</f>
        <v>火22</v>
      </c>
      <c r="F5012" s="2" t="s">
        <v>14042</v>
      </c>
      <c r="G5012" s="2" t="s">
        <v>14057</v>
      </c>
      <c r="H5012" s="1">
        <v>8.0</v>
      </c>
      <c r="J5012" s="1" t="s">
        <v>86</v>
      </c>
      <c r="K5012" s="2" t="s">
        <v>14058</v>
      </c>
      <c r="L5012" s="2"/>
      <c r="M5012" s="2" t="str">
        <f>IFERROR(__xludf.DUMMYFUNCTION("split(split(K5012,""【"",false),""公式LINE"",false)"),"武井咲×滝沢秀明初共演！禁断でオトナの胸キュンジェットコースターラブストーリー！宮沢、決意のプロポーズ！！ティファニーvsジミーチュウ…未亜はどちらを選ぶのか…！？さらに、妻が不倫を暴露！！「このメス豚！！」モンスター化する妻と恐怖の追いかけっこ…2人は逃げ切れるのか！？三角関係、ついに決着…！？中村蒼・水沢エレナ・トリンドル玲奈・中村隼人・横澤夏子・GENKING・橋本マナミ・木南晴夏・松平健原作は、小学館「プチコミック」連載の北川みゆきの同名マンガ。ティファニー広報部で働く主人公・栗原未亜（武井咲）が"&amp;"恋に落ちたのは、自社の副社長・三好海里（滝沢秀明）。しかし彼には妻がいた...  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amp;"！！宮沢がついにプロポーズ！！未亜はどちらを選ぶのか…！？")</f>
        <v>武井咲×滝沢秀明初共演！禁断でオトナの胸キュンジェットコースターラブストーリー！宮沢、決意のプロポーズ！！ティファニーvsジミーチュウ…未亜はどちらを選ぶのか…！？さらに、妻が不倫を暴露！！「このメス豚！！」モンスター化する妻と恐怖の追いかけっこ…2人は逃げ切れるのか！？三角関係、ついに決着…！？中村蒼・水沢エレナ・トリンドル玲奈・中村隼人・横澤夏子・GENKING・橋本マナミ・木南晴夏・松平健原作は、小学館「プチコミック」連載の北川みゆきの同名マンガ。ティファニー広報部で働く主人公・栗原未亜（武井咲）が恋に落ちたのは、自社の副社長・三好海里（滝沢秀明）。しかし彼には妻がいた...  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宮沢がついにプロポーズ！！未亜はどちらを選ぶのか…！？</v>
      </c>
      <c r="N5012" s="2"/>
      <c r="O5012" s="2"/>
      <c r="P5012" s="1"/>
      <c r="Q5012" s="1"/>
      <c r="R5012" s="1"/>
      <c r="S5012" s="1"/>
      <c r="T5012" s="1"/>
      <c r="U5012" s="1"/>
      <c r="V5012" s="1"/>
      <c r="W5012" s="1"/>
      <c r="X5012" s="1"/>
      <c r="Y5012" s="1"/>
      <c r="Z5012" s="1"/>
      <c r="AA5012" s="1"/>
      <c r="AB5012" s="1"/>
      <c r="AC5012" s="1"/>
      <c r="AD5012" s="1"/>
      <c r="AE5012" s="1"/>
      <c r="AF5012" s="1"/>
      <c r="AG5012" s="1"/>
      <c r="AH5012" s="1"/>
      <c r="AI5012" s="1"/>
      <c r="AJ5012" s="1"/>
      <c r="AK5012" s="1"/>
      <c r="AL5012" s="1"/>
      <c r="AM5012" s="1"/>
      <c r="AN5012" s="1"/>
      <c r="AO5012" s="1"/>
      <c r="AP5012" s="1"/>
      <c r="AQ5012" s="1"/>
      <c r="AR5012" s="1"/>
      <c r="AS5012" s="1"/>
      <c r="AT5012" s="1"/>
      <c r="AU5012" s="1"/>
      <c r="AV5012" s="1"/>
      <c r="AW5012" s="1"/>
      <c r="AX5012" s="1"/>
      <c r="AY5012" s="1"/>
      <c r="AZ5012" s="1"/>
      <c r="BA5012" s="1"/>
      <c r="BB5012" s="1"/>
    </row>
    <row r="5013" ht="204.75" customHeight="1">
      <c r="A5013" s="1">
        <v>1573.0</v>
      </c>
      <c r="B5013" s="2" t="s">
        <v>14041</v>
      </c>
      <c r="C5013" s="2">
        <f>IFERROR(__xludf.DUMMYFUNCTION("split(B5013,""_"")"),1607.0)</f>
        <v>1607</v>
      </c>
      <c r="D5013" s="2" t="str">
        <f>IFERROR(__xludf.DUMMYFUNCTION("""COMPUTED_VALUE"""),"TBS")</f>
        <v>TBS</v>
      </c>
      <c r="E5013" s="2" t="str">
        <f>IFERROR(__xludf.DUMMYFUNCTION("""COMPUTED_VALUE"""),"火22")</f>
        <v>火22</v>
      </c>
      <c r="F5013" s="2" t="s">
        <v>14042</v>
      </c>
      <c r="G5013" s="2" t="s">
        <v>14059</v>
      </c>
      <c r="H5013" s="1">
        <v>9.0</v>
      </c>
      <c r="J5013" s="1" t="s">
        <v>86</v>
      </c>
      <c r="K5013" s="2" t="s">
        <v>14060</v>
      </c>
      <c r="L5013" s="2"/>
      <c r="M5013" s="2" t="str">
        <f>IFERROR(__xludf.DUMMYFUNCTION("split(split(K5013,""【"",false),""公式LINE"",false)"),"武井咲×滝沢秀明初共演！禁断でオトナの胸キュンジェットコースターラブストーリー！愛と衝撃のセミファイナル！!「2人で逃げよう…」すべてを捨てた2人・・・「このメス豚！」どこまでも追いかけてくる妻に、2人が選んだ究極の選択とは…？「彼女を死んでも幸せにする！」副社長vs宮沢、未亜をめぐる最後の対決！！中村蒼・水沢エレナ・トリンドル玲奈・中村隼人・横澤夏子・GENKING・橋本マナミ・木南晴夏・松平健原作は、小学館「プチコミック」連載の北川みゆきの同名マンガ。ティファニー広報部で働く主人公・栗原未亜（武井咲）"&amp;"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amp;"！すべてを捨てた2人の逃避行の行方は・・・？愛と衝撃のセミファイナル！！武井咲　滝沢秀明　中村蒼　水沢エレナ　トリンドル玲奈　中村隼人　・　横澤夏子　和田安佳莉　GENKING　・　橋本マナミ　高橋光臣　神野三鈴　木南晴夏　松平健")</f>
        <v>武井咲×滝沢秀明初共演！禁断でオトナの胸キュンジェットコースターラブストーリー！愛と衝撃のセミファイナル！!「2人で逃げよう…」すべてを捨てた2人・・・「このメス豚！」どこまでも追いかけてくる妻に、2人が選んだ究極の選択とは…？「彼女を死んでも幸せにする！」副社長vs宮沢、未亜をめぐる最後の対決！！中村蒼・水沢エレナ・トリンドル玲奈・中村隼人・横澤夏子・GENKING・橋本マナミ・木南晴夏・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すべてを捨てた2人の逃避行の行方は・・・？愛と衝撃のセミファイナル！！武井咲　滝沢秀明　中村蒼　水沢エレナ　トリンドル玲奈　中村隼人　・　横澤夏子　和田安佳莉　GENKING　・　橋本マナミ　高橋光臣　神野三鈴　木南晴夏　松平健</v>
      </c>
      <c r="N5013" s="2"/>
      <c r="O5013" s="2"/>
      <c r="P5013" s="1"/>
      <c r="Q5013" s="1"/>
      <c r="R5013" s="1"/>
      <c r="S5013" s="1"/>
      <c r="T5013" s="1"/>
      <c r="U5013" s="1"/>
      <c r="V5013" s="1"/>
      <c r="W5013" s="1"/>
      <c r="X5013" s="1"/>
      <c r="Y5013" s="1"/>
      <c r="Z5013" s="1"/>
      <c r="AA5013" s="1"/>
      <c r="AB5013" s="1"/>
      <c r="AC5013" s="1"/>
      <c r="AD5013" s="1"/>
      <c r="AE5013" s="1"/>
      <c r="AF5013" s="1"/>
      <c r="AG5013" s="1"/>
      <c r="AH5013" s="1"/>
      <c r="AI5013" s="1"/>
      <c r="AJ5013" s="1"/>
      <c r="AK5013" s="1"/>
      <c r="AL5013" s="1"/>
      <c r="AM5013" s="1"/>
      <c r="AN5013" s="1"/>
      <c r="AO5013" s="1"/>
      <c r="AP5013" s="1"/>
      <c r="AQ5013" s="1"/>
      <c r="AR5013" s="1"/>
      <c r="AS5013" s="1"/>
      <c r="AT5013" s="1"/>
      <c r="AU5013" s="1"/>
      <c r="AV5013" s="1"/>
      <c r="AW5013" s="1"/>
      <c r="AX5013" s="1"/>
      <c r="AY5013" s="1"/>
      <c r="AZ5013" s="1"/>
      <c r="BA5013" s="1"/>
      <c r="BB5013" s="1"/>
    </row>
    <row r="5014" ht="204.75" customHeight="1">
      <c r="A5014" s="1">
        <v>1574.0</v>
      </c>
      <c r="B5014" s="2" t="s">
        <v>14041</v>
      </c>
      <c r="C5014" s="2">
        <f>IFERROR(__xludf.DUMMYFUNCTION("split(B5014,""_"")"),1607.0)</f>
        <v>1607</v>
      </c>
      <c r="D5014" s="2" t="str">
        <f>IFERROR(__xludf.DUMMYFUNCTION("""COMPUTED_VALUE"""),"TBS")</f>
        <v>TBS</v>
      </c>
      <c r="E5014" s="2" t="str">
        <f>IFERROR(__xludf.DUMMYFUNCTION("""COMPUTED_VALUE"""),"火22")</f>
        <v>火22</v>
      </c>
      <c r="F5014" s="2" t="s">
        <v>14042</v>
      </c>
      <c r="G5014" s="2" t="s">
        <v>14061</v>
      </c>
      <c r="H5014" s="1">
        <v>10.0</v>
      </c>
      <c r="J5014" s="1" t="s">
        <v>86</v>
      </c>
      <c r="K5014" s="2" t="s">
        <v>14062</v>
      </c>
      <c r="L5014" s="2"/>
      <c r="M5014" s="2" t="str">
        <f>IFERROR(__xludf.DUMMYFUNCTION("split(split(K5014,""【"",false),""公式LINE"",false)"),"武井咲×滝沢秀明初共演！禁断でオトナの胸キュンジェットコースターラブストーリー、ついに完結！妻からの恐怖の招待状！「見たくないよ…」涙の結婚式で訪れる衝撃の結末とは！？「逃げたらあかんで！！」三角関係がついに決着！未亜は誰と結ばれるのか…予測不能の衝撃のラストを見逃すな！！中村蒼・水沢エレナ・トリンドル玲奈・中村隼人・横澤夏子・GENKING・橋本マナミ・木南晴夏・松平健原作は、小学館「プチコミック」連載の北川みゆきの同名マンガ。ティファニー広報部で働く主人公・栗原未亜（武井咲）が恋に落ちたのは、自社の副"&amp;"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ついに完結！！未亜は誰と結"&amp;"ばれる！？衝撃のラストを見逃すな！！武井咲　滝沢秀明　中村蒼　水沢エレナ　トリンドル玲奈　中村隼人　・　横澤夏子　和田安佳莉　GENKING　・　橋本マナミ　高橋光臣　神野三鈴　木南晴夏　松平健")</f>
        <v>武井咲×滝沢秀明初共演！禁断でオトナの胸キュンジェットコースターラブストーリー、ついに完結！妻からの恐怖の招待状！「見たくないよ…」涙の結婚式で訪れる衝撃の結末とは！？「逃げたらあかんで！！」三角関係がついに決着！未亜は誰と結ばれるのか…予測不能の衝撃のラストを見逃すな！！中村蒼・水沢エレナ・トリンドル玲奈・中村隼人・横澤夏子・GENKING・橋本マナミ・木南晴夏・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ついに完結！！未亜は誰と結ばれる！？衝撃のラストを見逃すな！！武井咲　滝沢秀明　中村蒼　水沢エレナ　トリンドル玲奈　中村隼人　・　横澤夏子　和田安佳莉　GENKING　・　橋本マナミ　高橋光臣　神野三鈴　木南晴夏　松平健</v>
      </c>
      <c r="N5014" s="2"/>
      <c r="O5014" s="2"/>
      <c r="P5014" s="1"/>
      <c r="Q5014" s="1"/>
      <c r="R5014" s="1"/>
      <c r="S5014" s="1"/>
      <c r="T5014" s="1"/>
      <c r="U5014" s="1"/>
      <c r="V5014" s="1"/>
      <c r="W5014" s="1"/>
      <c r="X5014" s="1"/>
      <c r="Y5014" s="1"/>
      <c r="Z5014" s="1"/>
      <c r="AA5014" s="1"/>
      <c r="AB5014" s="1"/>
      <c r="AC5014" s="1"/>
      <c r="AD5014" s="1"/>
      <c r="AE5014" s="1"/>
      <c r="AF5014" s="1"/>
      <c r="AG5014" s="1"/>
      <c r="AH5014" s="1"/>
      <c r="AI5014" s="1"/>
      <c r="AJ5014" s="1"/>
      <c r="AK5014" s="1"/>
      <c r="AL5014" s="1"/>
      <c r="AM5014" s="1"/>
      <c r="AN5014" s="1"/>
      <c r="AO5014" s="1"/>
      <c r="AP5014" s="1"/>
      <c r="AQ5014" s="1"/>
      <c r="AR5014" s="1"/>
      <c r="AS5014" s="1"/>
      <c r="AT5014" s="1"/>
      <c r="AU5014" s="1"/>
      <c r="AV5014" s="1"/>
      <c r="AW5014" s="1"/>
      <c r="AX5014" s="1"/>
      <c r="AY5014" s="1"/>
      <c r="AZ5014" s="1"/>
      <c r="BA5014" s="1"/>
      <c r="BB5014" s="1"/>
    </row>
    <row r="5015" ht="204.75" customHeight="1">
      <c r="A5015" s="1">
        <v>1594.0</v>
      </c>
      <c r="B5015" s="2" t="s">
        <v>14063</v>
      </c>
      <c r="C5015" s="2">
        <f>IFERROR(__xludf.DUMMYFUNCTION("split(B5015,""_"")"),1607.0)</f>
        <v>1607</v>
      </c>
      <c r="D5015" s="2" t="str">
        <f>IFERROR(__xludf.DUMMYFUNCTION("""COMPUTED_VALUE"""),"TBS")</f>
        <v>TBS</v>
      </c>
      <c r="E5015" s="2" t="str">
        <f>IFERROR(__xludf.DUMMYFUNCTION("""COMPUTED_VALUE"""),"金22")</f>
        <v>金22</v>
      </c>
      <c r="F5015" s="2" t="s">
        <v>14064</v>
      </c>
      <c r="G5015" s="2" t="s">
        <v>14065</v>
      </c>
      <c r="H5015" s="1">
        <v>1.0</v>
      </c>
      <c r="J5015" s="1" t="s">
        <v>82</v>
      </c>
      <c r="K5015" s="2" t="s">
        <v>14066</v>
      </c>
      <c r="L5015" s="2"/>
      <c r="M5015" s="2" t="str">
        <f>IFERROR(__xludf.DUMMYFUNCTION("split(split(K5015,""【"",false),""公式LINE"",false)"),"堤幸彦　が構想20年を費やした湯煙り人情コミカルロードムービー的のサスペンスドラマ。向井理演じる朝永蘭丸が、各地の温泉で、絶対舌感を使って様々な事件を痛快に解決していく。第一話は「殺しは蛍が見ていた」向井理　木村文乃　佐藤二朗　片平なぎさ脚本　櫻井武晴堤幸彦主題歌　坂本冬美◇番組HP  http://www.tbs.co.jp/ranmaru_tbs/  ◇ツイッター  @tomonagaranmaru  https://twitter.com/tomonagaranmaru番組の内容と放送時間は変更にな"&amp;"る場合があります。")</f>
        <v>堤幸彦　が構想20年を費やした湯煙り人情コミカルロードムービー的のサスペンスドラマ。向井理演じる朝永蘭丸が、各地の温泉で、絶対舌感を使って様々な事件を痛快に解決していく。第一話は「殺しは蛍が見ていた」向井理　木村文乃　佐藤二朗　片平なぎさ脚本　櫻井武晴堤幸彦主題歌　坂本冬美◇番組HP  http://www.tbs.co.jp/ranmaru_tbs/  ◇ツイッター  @tomonagaranmaru  https://twitter.com/tomonagaranmaru番組の内容と放送時間は変更になる場合があります。</v>
      </c>
      <c r="N5015" s="2"/>
      <c r="O5015" s="2"/>
      <c r="P5015" s="1"/>
      <c r="Q5015" s="1"/>
      <c r="R5015" s="1"/>
      <c r="S5015" s="1"/>
      <c r="T5015" s="1"/>
      <c r="U5015" s="1"/>
      <c r="V5015" s="1"/>
      <c r="W5015" s="1"/>
      <c r="X5015" s="1"/>
      <c r="Y5015" s="1"/>
      <c r="Z5015" s="1"/>
      <c r="AA5015" s="1"/>
      <c r="AB5015" s="1"/>
      <c r="AC5015" s="1"/>
      <c r="AD5015" s="1"/>
      <c r="AE5015" s="1"/>
      <c r="AF5015" s="1"/>
      <c r="AG5015" s="1"/>
      <c r="AH5015" s="1"/>
      <c r="AI5015" s="1"/>
      <c r="AJ5015" s="1"/>
      <c r="AK5015" s="1"/>
      <c r="AL5015" s="1"/>
      <c r="AM5015" s="1"/>
      <c r="AN5015" s="1"/>
      <c r="AO5015" s="1"/>
      <c r="AP5015" s="1"/>
      <c r="AQ5015" s="1"/>
      <c r="AR5015" s="1"/>
      <c r="AS5015" s="1"/>
      <c r="AT5015" s="1"/>
      <c r="AU5015" s="1"/>
      <c r="AV5015" s="1"/>
      <c r="AW5015" s="1"/>
      <c r="AX5015" s="1"/>
      <c r="AY5015" s="1"/>
      <c r="AZ5015" s="1"/>
      <c r="BA5015" s="1"/>
      <c r="BB5015" s="1"/>
    </row>
    <row r="5016" ht="204.75" customHeight="1">
      <c r="A5016" s="1">
        <v>1595.0</v>
      </c>
      <c r="B5016" s="2" t="s">
        <v>14063</v>
      </c>
      <c r="C5016" s="2">
        <f>IFERROR(__xludf.DUMMYFUNCTION("split(B5016,""_"")"),1607.0)</f>
        <v>1607</v>
      </c>
      <c r="D5016" s="2" t="str">
        <f>IFERROR(__xludf.DUMMYFUNCTION("""COMPUTED_VALUE"""),"TBS")</f>
        <v>TBS</v>
      </c>
      <c r="E5016" s="2" t="str">
        <f>IFERROR(__xludf.DUMMYFUNCTION("""COMPUTED_VALUE"""),"金22")</f>
        <v>金22</v>
      </c>
      <c r="F5016" s="2" t="s">
        <v>14064</v>
      </c>
      <c r="G5016" s="2" t="s">
        <v>14067</v>
      </c>
      <c r="H5016" s="1">
        <v>2.0</v>
      </c>
      <c r="J5016" s="1" t="s">
        <v>86</v>
      </c>
      <c r="K5016" s="2" t="s">
        <v>14068</v>
      </c>
      <c r="L5016" s="2"/>
      <c r="M5016" s="2" t="str">
        <f>IFERROR(__xludf.DUMMYFUNCTION("split(split(K5016,""【"",false),""公式LINE"",false)"),"向井理演じる絶対舌感を持つ男、朝永蘭丸が  甕棺墓光（木村文乃）、宮沢寛治（佐藤二朗）と一台のワゴンに乗り、運命の女性ミヤビを追い求め、各地の温泉を巡りながら、様々な殺人事件をベロンチョと舌で解決していくコミカルミステリー  第二話は、希少な間欠泉を舞台に、温泉マニアが殺される。蘭丸たちが世話になった宿の主人が疑われるが・・・・向井　理  木村　文乃  佐藤　二朗  山村　紅葉主題歌　坂本　冬美櫻井武晴堤　幸彦  伊藤　雄介  加藤　新植田博樹  楠ちあき◇番組HP  http://www.tbs.co."&amp;"jp/ranmaru_tbs/  番組の内容と放送時間は変更になる可能性があります。")</f>
        <v>向井理演じる絶対舌感を持つ男、朝永蘭丸が  甕棺墓光（木村文乃）、宮沢寛治（佐藤二朗）と一台のワゴンに乗り、運命の女性ミヤビを追い求め、各地の温泉を巡りながら、様々な殺人事件をベロンチョと舌で解決していくコミカルミステリー  第二話は、希少な間欠泉を舞台に、温泉マニアが殺される。蘭丸たちが世話になった宿の主人が疑われるが・・・・向井　理  木村　文乃  佐藤　二朗  山村　紅葉主題歌　坂本　冬美櫻井武晴堤　幸彦  伊藤　雄介  加藤　新植田博樹  楠ちあき◇番組HP  http://www.tbs.co.jp/ranmaru_tbs/  番組の内容と放送時間は変更になる可能性があります。</v>
      </c>
      <c r="N5016" s="2"/>
      <c r="O5016" s="2"/>
      <c r="P5016" s="1"/>
      <c r="Q5016" s="1"/>
      <c r="R5016" s="1"/>
      <c r="S5016" s="1"/>
      <c r="T5016" s="1"/>
      <c r="U5016" s="1"/>
      <c r="V5016" s="1"/>
      <c r="W5016" s="1"/>
      <c r="X5016" s="1"/>
      <c r="Y5016" s="1"/>
      <c r="Z5016" s="1"/>
      <c r="AA5016" s="1"/>
      <c r="AB5016" s="1"/>
      <c r="AC5016" s="1"/>
      <c r="AD5016" s="1"/>
      <c r="AE5016" s="1"/>
      <c r="AF5016" s="1"/>
      <c r="AG5016" s="1"/>
      <c r="AH5016" s="1"/>
      <c r="AI5016" s="1"/>
      <c r="AJ5016" s="1"/>
      <c r="AK5016" s="1"/>
      <c r="AL5016" s="1"/>
      <c r="AM5016" s="1"/>
      <c r="AN5016" s="1"/>
      <c r="AO5016" s="1"/>
      <c r="AP5016" s="1"/>
      <c r="AQ5016" s="1"/>
      <c r="AR5016" s="1"/>
      <c r="AS5016" s="1"/>
      <c r="AT5016" s="1"/>
      <c r="AU5016" s="1"/>
      <c r="AV5016" s="1"/>
      <c r="AW5016" s="1"/>
      <c r="AX5016" s="1"/>
      <c r="AY5016" s="1"/>
      <c r="AZ5016" s="1"/>
      <c r="BA5016" s="1"/>
      <c r="BB5016" s="1"/>
    </row>
    <row r="5017" ht="204.75" customHeight="1">
      <c r="A5017" s="1">
        <v>1596.0</v>
      </c>
      <c r="B5017" s="2" t="s">
        <v>14063</v>
      </c>
      <c r="C5017" s="2">
        <f>IFERROR(__xludf.DUMMYFUNCTION("split(B5017,""_"")"),1607.0)</f>
        <v>1607</v>
      </c>
      <c r="D5017" s="2" t="str">
        <f>IFERROR(__xludf.DUMMYFUNCTION("""COMPUTED_VALUE"""),"TBS")</f>
        <v>TBS</v>
      </c>
      <c r="E5017" s="2" t="str">
        <f>IFERROR(__xludf.DUMMYFUNCTION("""COMPUTED_VALUE"""),"金22")</f>
        <v>金22</v>
      </c>
      <c r="F5017" s="2" t="s">
        <v>14064</v>
      </c>
      <c r="G5017" s="2" t="s">
        <v>14069</v>
      </c>
      <c r="H5017" s="1">
        <v>3.0</v>
      </c>
      <c r="J5017" s="1" t="s">
        <v>86</v>
      </c>
      <c r="K5017" s="2" t="s">
        <v>14070</v>
      </c>
      <c r="L5017" s="2"/>
      <c r="M5017" s="2" t="str">
        <f>IFERROR(__xludf.DUMMYFUNCTION("split(split(K5017,""【"",false),""公式LINE"",false)"),"向井理演じる絶対舌感を持つ男、朝永蘭丸が  甕棺墓光（木村文乃）、宮沢寛治（佐藤二朗）と一台のワゴンに乗り、運命の女性ミヤビを追い求め、各地の温泉を巡りながら、様々な殺人事件をベロンチョと舌で解決していくコミカルミステリー  第三話は「天空の密室温泉」向井　理  木村　文乃  佐藤　二朗  森脇　英理子主題歌　坂本　冬美櫻井武晴堤　幸彦  伊藤　雄介  加藤　新植田博樹  楠ちあき◇番組HP  http://www.tbs.co.jp/ranmaru_tbs/  番組の内容と放送時間は変更になる場合があり"&amp;"ます。")</f>
        <v>向井理演じる絶対舌感を持つ男、朝永蘭丸が  甕棺墓光（木村文乃）、宮沢寛治（佐藤二朗）と一台のワゴンに乗り、運命の女性ミヤビを追い求め、各地の温泉を巡りながら、様々な殺人事件をベロンチョと舌で解決していくコミカルミステリー  第三話は「天空の密室温泉」向井　理  木村　文乃  佐藤　二朗  森脇　英理子主題歌　坂本　冬美櫻井武晴堤　幸彦  伊藤　雄介  加藤　新植田博樹  楠ちあき◇番組HP  http://www.tbs.co.jp/ranmaru_tbs/  番組の内容と放送時間は変更になる場合があります。</v>
      </c>
      <c r="N5017" s="2"/>
      <c r="O5017" s="2"/>
      <c r="P5017" s="1"/>
      <c r="Q5017" s="1"/>
      <c r="R5017" s="1"/>
      <c r="S5017" s="1"/>
      <c r="T5017" s="1"/>
      <c r="U5017" s="1"/>
      <c r="V5017" s="1"/>
      <c r="W5017" s="1"/>
      <c r="X5017" s="1"/>
      <c r="Y5017" s="1"/>
      <c r="Z5017" s="1"/>
      <c r="AA5017" s="1"/>
      <c r="AB5017" s="1"/>
      <c r="AC5017" s="1"/>
      <c r="AD5017" s="1"/>
      <c r="AE5017" s="1"/>
      <c r="AF5017" s="1"/>
      <c r="AG5017" s="1"/>
      <c r="AH5017" s="1"/>
      <c r="AI5017" s="1"/>
      <c r="AJ5017" s="1"/>
      <c r="AK5017" s="1"/>
      <c r="AL5017" s="1"/>
      <c r="AM5017" s="1"/>
      <c r="AN5017" s="1"/>
      <c r="AO5017" s="1"/>
      <c r="AP5017" s="1"/>
      <c r="AQ5017" s="1"/>
      <c r="AR5017" s="1"/>
      <c r="AS5017" s="1"/>
      <c r="AT5017" s="1"/>
      <c r="AU5017" s="1"/>
      <c r="AV5017" s="1"/>
      <c r="AW5017" s="1"/>
      <c r="AX5017" s="1"/>
      <c r="AY5017" s="1"/>
      <c r="AZ5017" s="1"/>
      <c r="BA5017" s="1"/>
      <c r="BB5017" s="1"/>
    </row>
    <row r="5018" ht="204.75" customHeight="1">
      <c r="A5018" s="1">
        <v>1597.0</v>
      </c>
      <c r="B5018" s="2" t="s">
        <v>14063</v>
      </c>
      <c r="C5018" s="2">
        <f>IFERROR(__xludf.DUMMYFUNCTION("split(B5018,""_"")"),1607.0)</f>
        <v>1607</v>
      </c>
      <c r="D5018" s="2" t="str">
        <f>IFERROR(__xludf.DUMMYFUNCTION("""COMPUTED_VALUE"""),"TBS")</f>
        <v>TBS</v>
      </c>
      <c r="E5018" s="2" t="str">
        <f>IFERROR(__xludf.DUMMYFUNCTION("""COMPUTED_VALUE"""),"金22")</f>
        <v>金22</v>
      </c>
      <c r="F5018" s="2" t="s">
        <v>14064</v>
      </c>
      <c r="G5018" s="2" t="s">
        <v>14071</v>
      </c>
      <c r="H5018" s="1">
        <v>4.0</v>
      </c>
      <c r="J5018" s="1" t="s">
        <v>86</v>
      </c>
      <c r="K5018" s="2" t="s">
        <v>14072</v>
      </c>
      <c r="L5018" s="2"/>
      <c r="M5018" s="2" t="str">
        <f>IFERROR(__xludf.DUMMYFUNCTION("split(split(K5018,""【"",false),""公式LINE"",false)"),"この村は、この時期、刃無しの季節。村に刃物を持ち込むことが一切禁じられている。しかし、その掟を知らなかった三人（向井理　木村文乃　佐藤二朗）が骨董品の日本刀を持ち込んでしまったために、その日本刀を使っての殺人が起こってしまう。村に残る「殺しの猥歌」は、その昔、実際に起きた大量殺人事件を歌った数え歌であり、刃無しの掟も、その事件に起因するというが・・・  呪いを呼び起こした蘭丸たちに危機が迫る向井　理  木村　文乃  佐藤　二朗主題歌　坂本　冬美櫻井武晴堤　幸彦  伊藤　雄介  加藤　新植田博樹  楠ちあき"&amp;"◇番組HP  http://www.tbs.co.jp/ranmaru_tbs/  番組の内容と放送時間は変更になる場合があります。")</f>
        <v>この村は、この時期、刃無しの季節。村に刃物を持ち込むことが一切禁じられている。しかし、その掟を知らなかった三人（向井理　木村文乃　佐藤二朗）が骨董品の日本刀を持ち込んでしまったために、その日本刀を使っての殺人が起こってしまう。村に残る「殺しの猥歌」は、その昔、実際に起きた大量殺人事件を歌った数え歌であり、刃無しの掟も、その事件に起因するというが・・・  呪いを呼び起こした蘭丸たちに危機が迫る向井　理  木村　文乃  佐藤　二朗主題歌　坂本　冬美櫻井武晴堤　幸彦  伊藤　雄介  加藤　新植田博樹  楠ちあき◇番組HP  http://www.tbs.co.jp/ranmaru_tbs/  番組の内容と放送時間は変更になる場合があります。</v>
      </c>
      <c r="N5018" s="2"/>
      <c r="O5018" s="2"/>
      <c r="P5018" s="1"/>
      <c r="Q5018" s="1"/>
      <c r="R5018" s="1"/>
      <c r="S5018" s="1"/>
      <c r="T5018" s="1"/>
      <c r="U5018" s="1"/>
      <c r="V5018" s="1"/>
      <c r="W5018" s="1"/>
      <c r="X5018" s="1"/>
      <c r="Y5018" s="1"/>
      <c r="Z5018" s="1"/>
      <c r="AA5018" s="1"/>
      <c r="AB5018" s="1"/>
      <c r="AC5018" s="1"/>
      <c r="AD5018" s="1"/>
      <c r="AE5018" s="1"/>
      <c r="AF5018" s="1"/>
      <c r="AG5018" s="1"/>
      <c r="AH5018" s="1"/>
      <c r="AI5018" s="1"/>
      <c r="AJ5018" s="1"/>
      <c r="AK5018" s="1"/>
      <c r="AL5018" s="1"/>
      <c r="AM5018" s="1"/>
      <c r="AN5018" s="1"/>
      <c r="AO5018" s="1"/>
      <c r="AP5018" s="1"/>
      <c r="AQ5018" s="1"/>
      <c r="AR5018" s="1"/>
      <c r="AS5018" s="1"/>
      <c r="AT5018" s="1"/>
      <c r="AU5018" s="1"/>
      <c r="AV5018" s="1"/>
      <c r="AW5018" s="1"/>
      <c r="AX5018" s="1"/>
      <c r="AY5018" s="1"/>
      <c r="AZ5018" s="1"/>
      <c r="BA5018" s="1"/>
      <c r="BB5018" s="1"/>
    </row>
    <row r="5019" ht="204.75" customHeight="1">
      <c r="A5019" s="1">
        <v>1598.0</v>
      </c>
      <c r="B5019" s="2" t="s">
        <v>14063</v>
      </c>
      <c r="C5019" s="2">
        <f>IFERROR(__xludf.DUMMYFUNCTION("split(B5019,""_"")"),1607.0)</f>
        <v>1607</v>
      </c>
      <c r="D5019" s="2" t="str">
        <f>IFERROR(__xludf.DUMMYFUNCTION("""COMPUTED_VALUE"""),"TBS")</f>
        <v>TBS</v>
      </c>
      <c r="E5019" s="2" t="str">
        <f>IFERROR(__xludf.DUMMYFUNCTION("""COMPUTED_VALUE"""),"金22")</f>
        <v>金22</v>
      </c>
      <c r="F5019" s="2" t="s">
        <v>14064</v>
      </c>
      <c r="G5019" s="2" t="s">
        <v>14073</v>
      </c>
      <c r="H5019" s="1">
        <v>5.0</v>
      </c>
      <c r="J5019" s="1" t="s">
        <v>86</v>
      </c>
      <c r="K5019" s="2" t="s">
        <v>14074</v>
      </c>
      <c r="L5019" s="2"/>
      <c r="M5019" s="2" t="str">
        <f>IFERROR(__xludf.DUMMYFUNCTION("split(split(K5019,""【"",false),""公式LINE"",false)"),"ミヤビを追ってやってきた毛増村は、刃物の使用を一切禁じる「刃無しの季節」  数十年前のとある大事件以来、その因習が続いているこの村に、事情を知らない光が骨董品の刀を持ち込んでしまったことから、呪いが発動したのか、連続殺人事件が起こる。今週は、その解決編向井　理  木村　文乃  佐藤　二朗  広末　涼子主題歌　坂本　冬美櫻井武晴堤　幸彦  伊藤　雄介  加藤　新植田博樹  楠ちあき◇番組HP  http://www.tbs.co.jp/ranmaru_tbs/  番組の内容と放送時間は変更になる場合がありま"&amp;"す。")</f>
        <v>ミヤビを追ってやってきた毛増村は、刃物の使用を一切禁じる「刃無しの季節」  数十年前のとある大事件以来、その因習が続いているこの村に、事情を知らない光が骨董品の刀を持ち込んでしまったことから、呪いが発動したのか、連続殺人事件が起こる。今週は、その解決編向井　理  木村　文乃  佐藤　二朗  広末　涼子主題歌　坂本　冬美櫻井武晴堤　幸彦  伊藤　雄介  加藤　新植田博樹  楠ちあき◇番組HP  http://www.tbs.co.jp/ranmaru_tbs/  番組の内容と放送時間は変更になる場合があります。</v>
      </c>
      <c r="N5019" s="2"/>
      <c r="O5019" s="2"/>
      <c r="P5019" s="1"/>
      <c r="Q5019" s="1"/>
      <c r="R5019" s="1"/>
      <c r="S5019" s="1"/>
      <c r="T5019" s="1"/>
      <c r="U5019" s="1"/>
      <c r="V5019" s="1"/>
      <c r="W5019" s="1"/>
      <c r="X5019" s="1"/>
      <c r="Y5019" s="1"/>
      <c r="Z5019" s="1"/>
      <c r="AA5019" s="1"/>
      <c r="AB5019" s="1"/>
      <c r="AC5019" s="1"/>
      <c r="AD5019" s="1"/>
      <c r="AE5019" s="1"/>
      <c r="AF5019" s="1"/>
      <c r="AG5019" s="1"/>
      <c r="AH5019" s="1"/>
      <c r="AI5019" s="1"/>
      <c r="AJ5019" s="1"/>
      <c r="AK5019" s="1"/>
      <c r="AL5019" s="1"/>
      <c r="AM5019" s="1"/>
      <c r="AN5019" s="1"/>
      <c r="AO5019" s="1"/>
      <c r="AP5019" s="1"/>
      <c r="AQ5019" s="1"/>
      <c r="AR5019" s="1"/>
      <c r="AS5019" s="1"/>
      <c r="AT5019" s="1"/>
      <c r="AU5019" s="1"/>
      <c r="AV5019" s="1"/>
      <c r="AW5019" s="1"/>
      <c r="AX5019" s="1"/>
      <c r="AY5019" s="1"/>
      <c r="AZ5019" s="1"/>
      <c r="BA5019" s="1"/>
      <c r="BB5019" s="1"/>
    </row>
    <row r="5020" ht="204.75" customHeight="1">
      <c r="A5020" s="1">
        <v>1599.0</v>
      </c>
      <c r="B5020" s="2" t="s">
        <v>14063</v>
      </c>
      <c r="C5020" s="2">
        <f>IFERROR(__xludf.DUMMYFUNCTION("split(B5020,""_"")"),1607.0)</f>
        <v>1607</v>
      </c>
      <c r="D5020" s="2" t="str">
        <f>IFERROR(__xludf.DUMMYFUNCTION("""COMPUTED_VALUE"""),"TBS")</f>
        <v>TBS</v>
      </c>
      <c r="E5020" s="2" t="str">
        <f>IFERROR(__xludf.DUMMYFUNCTION("""COMPUTED_VALUE"""),"金22")</f>
        <v>金22</v>
      </c>
      <c r="F5020" s="2" t="s">
        <v>14064</v>
      </c>
      <c r="G5020" s="2" t="s">
        <v>14075</v>
      </c>
      <c r="H5020" s="1">
        <v>6.0</v>
      </c>
      <c r="J5020" s="1" t="s">
        <v>86</v>
      </c>
      <c r="K5020" s="2" t="s">
        <v>14076</v>
      </c>
      <c r="L5020" s="2"/>
      <c r="M5020" s="2" t="str">
        <f>IFERROR(__xludf.DUMMYFUNCTION("split(split(K5020,""【"",false),""公式LINE"",false)"),"ミヤビの連絡先を知る重要人物が殺人事件の犯人と疑われる。被害者とのトラブルや、目撃者、鍵の管理人など、すべての証拠が、その重要人物の犯行を示唆しているが、蘭丸は、彼の無実を証明すべく奮闘するが・・・・向井　理  木村　文乃  佐藤　二朗  広末　涼子主題歌　坂本　冬美櫻井　武晴堤　幸彦  伊藤　雄介  加藤　新植田　博樹  楠　ちあき◇番組HP  http://www.tbs.co.jp/ranmaru_tbs/  番組の内容と放送時間は変更になる場合があります。")</f>
        <v>ミヤビの連絡先を知る重要人物が殺人事件の犯人と疑われる。被害者とのトラブルや、目撃者、鍵の管理人など、すべての証拠が、その重要人物の犯行を示唆しているが、蘭丸は、彼の無実を証明すべく奮闘するが・・・・向井　理  木村　文乃  佐藤　二朗  広末　涼子主題歌　坂本　冬美櫻井　武晴堤　幸彦  伊藤　雄介  加藤　新植田　博樹  楠　ちあき◇番組HP  http://www.tbs.co.jp/ranmaru_tbs/  番組の内容と放送時間は変更になる場合があります。</v>
      </c>
      <c r="N5020" s="2"/>
      <c r="O5020" s="2"/>
      <c r="P5020" s="1"/>
      <c r="Q5020" s="1"/>
      <c r="R5020" s="1"/>
      <c r="S5020" s="1"/>
      <c r="T5020" s="1"/>
      <c r="U5020" s="1"/>
      <c r="V5020" s="1"/>
      <c r="W5020" s="1"/>
      <c r="X5020" s="1"/>
      <c r="Y5020" s="1"/>
      <c r="Z5020" s="1"/>
      <c r="AA5020" s="1"/>
      <c r="AB5020" s="1"/>
      <c r="AC5020" s="1"/>
      <c r="AD5020" s="1"/>
      <c r="AE5020" s="1"/>
      <c r="AF5020" s="1"/>
      <c r="AG5020" s="1"/>
      <c r="AH5020" s="1"/>
      <c r="AI5020" s="1"/>
      <c r="AJ5020" s="1"/>
      <c r="AK5020" s="1"/>
      <c r="AL5020" s="1"/>
      <c r="AM5020" s="1"/>
      <c r="AN5020" s="1"/>
      <c r="AO5020" s="1"/>
      <c r="AP5020" s="1"/>
      <c r="AQ5020" s="1"/>
      <c r="AR5020" s="1"/>
      <c r="AS5020" s="1"/>
      <c r="AT5020" s="1"/>
      <c r="AU5020" s="1"/>
      <c r="AV5020" s="1"/>
      <c r="AW5020" s="1"/>
      <c r="AX5020" s="1"/>
      <c r="AY5020" s="1"/>
      <c r="AZ5020" s="1"/>
      <c r="BA5020" s="1"/>
      <c r="BB5020" s="1"/>
    </row>
    <row r="5021" ht="204.75" customHeight="1">
      <c r="A5021" s="1">
        <v>1600.0</v>
      </c>
      <c r="B5021" s="2" t="s">
        <v>14063</v>
      </c>
      <c r="C5021" s="2">
        <f>IFERROR(__xludf.DUMMYFUNCTION("split(B5021,""_"")"),1607.0)</f>
        <v>1607</v>
      </c>
      <c r="D5021" s="2" t="str">
        <f>IFERROR(__xludf.DUMMYFUNCTION("""COMPUTED_VALUE"""),"TBS")</f>
        <v>TBS</v>
      </c>
      <c r="E5021" s="2" t="str">
        <f>IFERROR(__xludf.DUMMYFUNCTION("""COMPUTED_VALUE"""),"金22")</f>
        <v>金22</v>
      </c>
      <c r="F5021" s="2" t="s">
        <v>14064</v>
      </c>
      <c r="G5021" s="2" t="s">
        <v>14077</v>
      </c>
      <c r="H5021" s="1">
        <v>7.0</v>
      </c>
      <c r="J5021" s="1" t="s">
        <v>86</v>
      </c>
      <c r="K5021" s="2" t="s">
        <v>14078</v>
      </c>
      <c r="L5021" s="2"/>
      <c r="M5021" s="2" t="str">
        <f>IFERROR(__xludf.DUMMYFUNCTION("split(split(K5021,""【"",false),""公式LINE"",false)"),"蘭丸たちのワゴンが故障し、たまたま通りかかったバスツアーの一行に助けてもらうが、そのバスツアーで、連続殺人が起こる。本来はツアー中止のはずだが、探偵気取りのバスガイドのせいで、ツアーは続き、甕棺墓光とバスガイドとの推理合戦が始まるが、なんと犯人は、あの女性だった。向井　理  木村　文乃  佐藤　二朗    広末　涼子主題歌　坂本　冬美櫻井武晴堤　幸彦  伊藤　雄介  加藤　新植田博樹  楠ちあき◇番組HP  http://www.tbs.co.jp/ranmaru_tbs/  番組の内容と放送時間は変更に"&amp;"なる場合があります。")</f>
        <v>蘭丸たちのワゴンが故障し、たまたま通りかかったバスツアーの一行に助けてもらうが、そのバスツアーで、連続殺人が起こる。本来はツアー中止のはずだが、探偵気取りのバスガイドのせいで、ツアーは続き、甕棺墓光とバスガイドとの推理合戦が始まるが、なんと犯人は、あの女性だった。向井　理  木村　文乃  佐藤　二朗    広末　涼子主題歌　坂本　冬美櫻井武晴堤　幸彦  伊藤　雄介  加藤　新植田博樹  楠ちあき◇番組HP  http://www.tbs.co.jp/ranmaru_tbs/  番組の内容と放送時間は変更になる場合があります。</v>
      </c>
      <c r="N5021" s="2"/>
      <c r="O5021" s="2"/>
      <c r="P5021" s="1"/>
      <c r="Q5021" s="1"/>
      <c r="R5021" s="1"/>
      <c r="S5021" s="1"/>
      <c r="T5021" s="1"/>
      <c r="U5021" s="1"/>
      <c r="V5021" s="1"/>
      <c r="W5021" s="1"/>
      <c r="X5021" s="1"/>
      <c r="Y5021" s="1"/>
      <c r="Z5021" s="1"/>
      <c r="AA5021" s="1"/>
      <c r="AB5021" s="1"/>
      <c r="AC5021" s="1"/>
      <c r="AD5021" s="1"/>
      <c r="AE5021" s="1"/>
      <c r="AF5021" s="1"/>
      <c r="AG5021" s="1"/>
      <c r="AH5021" s="1"/>
      <c r="AI5021" s="1"/>
      <c r="AJ5021" s="1"/>
      <c r="AK5021" s="1"/>
      <c r="AL5021" s="1"/>
      <c r="AM5021" s="1"/>
      <c r="AN5021" s="1"/>
      <c r="AO5021" s="1"/>
      <c r="AP5021" s="1"/>
      <c r="AQ5021" s="1"/>
      <c r="AR5021" s="1"/>
      <c r="AS5021" s="1"/>
      <c r="AT5021" s="1"/>
      <c r="AU5021" s="1"/>
      <c r="AV5021" s="1"/>
      <c r="AW5021" s="1"/>
      <c r="AX5021" s="1"/>
      <c r="AY5021" s="1"/>
      <c r="AZ5021" s="1"/>
      <c r="BA5021" s="1"/>
      <c r="BB5021" s="1"/>
    </row>
    <row r="5022" ht="204.75" customHeight="1">
      <c r="A5022" s="1">
        <v>1601.0</v>
      </c>
      <c r="B5022" s="2" t="s">
        <v>14063</v>
      </c>
      <c r="C5022" s="2">
        <f>IFERROR(__xludf.DUMMYFUNCTION("split(B5022,""_"")"),1607.0)</f>
        <v>1607</v>
      </c>
      <c r="D5022" s="2" t="str">
        <f>IFERROR(__xludf.DUMMYFUNCTION("""COMPUTED_VALUE"""),"TBS")</f>
        <v>TBS</v>
      </c>
      <c r="E5022" s="2" t="str">
        <f>IFERROR(__xludf.DUMMYFUNCTION("""COMPUTED_VALUE"""),"金22")</f>
        <v>金22</v>
      </c>
      <c r="F5022" s="2" t="s">
        <v>14064</v>
      </c>
      <c r="G5022" s="2" t="s">
        <v>14079</v>
      </c>
      <c r="H5022" s="1">
        <v>8.0</v>
      </c>
      <c r="J5022" s="1" t="s">
        <v>86</v>
      </c>
      <c r="K5022" s="2" t="s">
        <v>14080</v>
      </c>
      <c r="L5022" s="2"/>
      <c r="M5022" s="2" t="str">
        <f>IFERROR(__xludf.DUMMYFUNCTION("split(split(K5022,""【"",false),""公式LINE"",false)"),"2サス界、最大の謎、殺人が続いても中止されず旅が続いていく湯煙バスツアーを舞台に、蘭丸たちが事件を解決する「後編」    犯行を検証している間、なんと蘭丸の憧れの人、ミヤビが「私が犯人です」と供述する。  事件に裏があるとにらんだ蘭丸は、ミヤビの無実のために真相に挑む向井　理  木村　文乃  佐藤　二朗    広末涼子主題歌　坂本　冬美櫻井武晴堤　幸彦  伊藤　雄介  加藤　新植田博樹  楠ちあき◇番組HP  http://www.tbs.co.jp/ranmaru_tbs/  番組の内容と放送時間は変更"&amp;"になる場合があります。")</f>
        <v>2サス界、最大の謎、殺人が続いても中止されず旅が続いていく湯煙バスツアーを舞台に、蘭丸たちが事件を解決する「後編」    犯行を検証している間、なんと蘭丸の憧れの人、ミヤビが「私が犯人です」と供述する。  事件に裏があるとにらんだ蘭丸は、ミヤビの無実のために真相に挑む向井　理  木村　文乃  佐藤　二朗    広末涼子主題歌　坂本　冬美櫻井武晴堤　幸彦  伊藤　雄介  加藤　新植田博樹  楠ちあき◇番組HP  http://www.tbs.co.jp/ranmaru_tbs/  番組の内容と放送時間は変更になる場合があります。</v>
      </c>
      <c r="N5022" s="2"/>
      <c r="O5022" s="2"/>
      <c r="P5022" s="1"/>
      <c r="Q5022" s="1"/>
      <c r="R5022" s="1"/>
      <c r="S5022" s="1"/>
      <c r="T5022" s="1"/>
      <c r="U5022" s="1"/>
      <c r="V5022" s="1"/>
      <c r="W5022" s="1"/>
      <c r="X5022" s="1"/>
      <c r="Y5022" s="1"/>
      <c r="Z5022" s="1"/>
      <c r="AA5022" s="1"/>
      <c r="AB5022" s="1"/>
      <c r="AC5022" s="1"/>
      <c r="AD5022" s="1"/>
      <c r="AE5022" s="1"/>
      <c r="AF5022" s="1"/>
      <c r="AG5022" s="1"/>
      <c r="AH5022" s="1"/>
      <c r="AI5022" s="1"/>
      <c r="AJ5022" s="1"/>
      <c r="AK5022" s="1"/>
      <c r="AL5022" s="1"/>
      <c r="AM5022" s="1"/>
      <c r="AN5022" s="1"/>
      <c r="AO5022" s="1"/>
      <c r="AP5022" s="1"/>
      <c r="AQ5022" s="1"/>
      <c r="AR5022" s="1"/>
      <c r="AS5022" s="1"/>
      <c r="AT5022" s="1"/>
      <c r="AU5022" s="1"/>
      <c r="AV5022" s="1"/>
      <c r="AW5022" s="1"/>
      <c r="AX5022" s="1"/>
      <c r="AY5022" s="1"/>
      <c r="AZ5022" s="1"/>
      <c r="BA5022" s="1"/>
      <c r="BB5022" s="1"/>
    </row>
    <row r="5023" ht="204.75" customHeight="1">
      <c r="A5023" s="1">
        <v>1602.0</v>
      </c>
      <c r="B5023" s="2" t="s">
        <v>14063</v>
      </c>
      <c r="C5023" s="2">
        <f>IFERROR(__xludf.DUMMYFUNCTION("split(B5023,""_"")"),1607.0)</f>
        <v>1607</v>
      </c>
      <c r="D5023" s="2" t="str">
        <f>IFERROR(__xludf.DUMMYFUNCTION("""COMPUTED_VALUE"""),"TBS")</f>
        <v>TBS</v>
      </c>
      <c r="E5023" s="2" t="str">
        <f>IFERROR(__xludf.DUMMYFUNCTION("""COMPUTED_VALUE"""),"金22")</f>
        <v>金22</v>
      </c>
      <c r="F5023" s="2" t="s">
        <v>14064</v>
      </c>
      <c r="G5023" s="2" t="s">
        <v>14081</v>
      </c>
      <c r="H5023" s="1">
        <v>9.0</v>
      </c>
      <c r="J5023" s="1" t="s">
        <v>86</v>
      </c>
      <c r="K5023" s="2" t="s">
        <v>14082</v>
      </c>
      <c r="L5023" s="2"/>
      <c r="M5023" s="2" t="str">
        <f>IFERROR(__xludf.DUMMYFUNCTION("split(split(K5023,""【"",false),""公式LINE"",false)"),"蘭丸の憧れの人、ミヤビが、殺人事件の犯人として逮捕される。証言者は、この町の温泉旅館の中学生の息子。そして、被害者の爪にはミヤビしか使っていない白粉が残されていて、アリバイのないのもミヤビ一人。絶体絶命のピンチに、蘭丸だけはミヤビを信じて事件を解決しようとするが、神の舌の能力がなぜか失われてしまう。向井　理  木村　文乃  佐藤　二朗  広末　涼子主題歌　坂本　冬美櫻井武晴堤　幸彦  伊藤　雄介  加藤　新植田博樹  楠ちあき◇番組HP  http://www.tbs.co.jp/ranmaru_tbs/"&amp;"  番組の内容と放送時間は変更になる場合があります。")</f>
        <v>蘭丸の憧れの人、ミヤビが、殺人事件の犯人として逮捕される。証言者は、この町の温泉旅館の中学生の息子。そして、被害者の爪にはミヤビしか使っていない白粉が残されていて、アリバイのないのもミヤビ一人。絶体絶命のピンチに、蘭丸だけはミヤビを信じて事件を解決しようとするが、神の舌の能力がなぜか失われてしまう。向井　理  木村　文乃  佐藤　二朗  広末　涼子主題歌　坂本　冬美櫻井武晴堤　幸彦  伊藤　雄介  加藤　新植田博樹  楠ちあき◇番組HP  http://www.tbs.co.jp/ranmaru_tbs/  番組の内容と放送時間は変更になる場合があります。</v>
      </c>
      <c r="N5023" s="2"/>
      <c r="O5023" s="2"/>
      <c r="P5023" s="1"/>
      <c r="Q5023" s="1"/>
      <c r="R5023" s="1"/>
      <c r="S5023" s="1"/>
      <c r="T5023" s="1"/>
      <c r="U5023" s="1"/>
      <c r="V5023" s="1"/>
      <c r="W5023" s="1"/>
      <c r="X5023" s="1"/>
      <c r="Y5023" s="1"/>
      <c r="Z5023" s="1"/>
      <c r="AA5023" s="1"/>
      <c r="AB5023" s="1"/>
      <c r="AC5023" s="1"/>
      <c r="AD5023" s="1"/>
      <c r="AE5023" s="1"/>
      <c r="AF5023" s="1"/>
      <c r="AG5023" s="1"/>
      <c r="AH5023" s="1"/>
      <c r="AI5023" s="1"/>
      <c r="AJ5023" s="1"/>
      <c r="AK5023" s="1"/>
      <c r="AL5023" s="1"/>
      <c r="AM5023" s="1"/>
      <c r="AN5023" s="1"/>
      <c r="AO5023" s="1"/>
      <c r="AP5023" s="1"/>
      <c r="AQ5023" s="1"/>
      <c r="AR5023" s="1"/>
      <c r="AS5023" s="1"/>
      <c r="AT5023" s="1"/>
      <c r="AU5023" s="1"/>
      <c r="AV5023" s="1"/>
      <c r="AW5023" s="1"/>
      <c r="AX5023" s="1"/>
      <c r="AY5023" s="1"/>
      <c r="AZ5023" s="1"/>
      <c r="BA5023" s="1"/>
      <c r="BB5023" s="1"/>
    </row>
    <row r="5024" ht="204.75" customHeight="1">
      <c r="A5024" s="1">
        <v>1603.0</v>
      </c>
      <c r="B5024" s="2" t="s">
        <v>14063</v>
      </c>
      <c r="C5024" s="2">
        <f>IFERROR(__xludf.DUMMYFUNCTION("split(B5024,""_"")"),1607.0)</f>
        <v>1607</v>
      </c>
      <c r="D5024" s="2" t="str">
        <f>IFERROR(__xludf.DUMMYFUNCTION("""COMPUTED_VALUE"""),"TBS")</f>
        <v>TBS</v>
      </c>
      <c r="E5024" s="2" t="str">
        <f>IFERROR(__xludf.DUMMYFUNCTION("""COMPUTED_VALUE"""),"金22")</f>
        <v>金22</v>
      </c>
      <c r="F5024" s="2" t="s">
        <v>14064</v>
      </c>
      <c r="G5024" s="2" t="s">
        <v>14083</v>
      </c>
      <c r="H5024" s="1">
        <v>10.0</v>
      </c>
      <c r="J5024" s="1" t="s">
        <v>86</v>
      </c>
      <c r="K5024" s="2" t="s">
        <v>14084</v>
      </c>
      <c r="L5024" s="2"/>
      <c r="M5024" s="2" t="str">
        <f>IFERROR(__xludf.DUMMYFUNCTION("split(split(K5024,""【"",false),""公式LINE"",false)"),"運命の人、ミヤビの本当の正体は？蘭丸の神の舌の能力は、二度と戻らないのか？光の恋の行方は？感動の最終回向井　理  木村　文乃  佐藤　二朗  広末　涼子    坂本　冬美主題歌　坂本　冬美櫻井武晴堤　幸彦  伊藤　雄介  加藤　新植田博樹  楠ちあき◇番組HP  http://www.tbs.co.jp/ranmaru_tbs/  番組の内容と放送時間は変更になる場合があります。")</f>
        <v>運命の人、ミヤビの本当の正体は？蘭丸の神の舌の能力は、二度と戻らないのか？光の恋の行方は？感動の最終回向井　理  木村　文乃  佐藤　二朗  広末　涼子    坂本　冬美主題歌　坂本　冬美櫻井武晴堤　幸彦  伊藤　雄介  加藤　新植田博樹  楠ちあき◇番組HP  http://www.tbs.co.jp/ranmaru_tbs/  番組の内容と放送時間は変更になる場合があります。</v>
      </c>
      <c r="N5024" s="2"/>
      <c r="O5024" s="2"/>
      <c r="P5024" s="1"/>
      <c r="Q5024" s="1"/>
      <c r="R5024" s="1"/>
      <c r="S5024" s="1"/>
      <c r="T5024" s="1"/>
      <c r="U5024" s="1"/>
      <c r="V5024" s="1"/>
      <c r="W5024" s="1"/>
      <c r="X5024" s="1"/>
      <c r="Y5024" s="1"/>
      <c r="Z5024" s="1"/>
      <c r="AA5024" s="1"/>
      <c r="AB5024" s="1"/>
      <c r="AC5024" s="1"/>
      <c r="AD5024" s="1"/>
      <c r="AE5024" s="1"/>
      <c r="AF5024" s="1"/>
      <c r="AG5024" s="1"/>
      <c r="AH5024" s="1"/>
      <c r="AI5024" s="1"/>
      <c r="AJ5024" s="1"/>
      <c r="AK5024" s="1"/>
      <c r="AL5024" s="1"/>
      <c r="AM5024" s="1"/>
      <c r="AN5024" s="1"/>
      <c r="AO5024" s="1"/>
      <c r="AP5024" s="1"/>
      <c r="AQ5024" s="1"/>
      <c r="AR5024" s="1"/>
      <c r="AS5024" s="1"/>
      <c r="AT5024" s="1"/>
      <c r="AU5024" s="1"/>
      <c r="AV5024" s="1"/>
      <c r="AW5024" s="1"/>
      <c r="AX5024" s="1"/>
      <c r="AY5024" s="1"/>
      <c r="AZ5024" s="1"/>
      <c r="BA5024" s="1"/>
      <c r="BB5024" s="1"/>
    </row>
    <row r="5025" ht="204.75" customHeight="1">
      <c r="A5025" s="1">
        <v>1626.0</v>
      </c>
      <c r="B5025" s="2" t="s">
        <v>14085</v>
      </c>
      <c r="C5025" s="2">
        <f>IFERROR(__xludf.DUMMYFUNCTION("split(B5025,""_"")"),1607.0)</f>
        <v>1607</v>
      </c>
      <c r="D5025" s="2" t="str">
        <f>IFERROR(__xludf.DUMMYFUNCTION("""COMPUTED_VALUE"""),"TBS")</f>
        <v>TBS</v>
      </c>
      <c r="E5025" s="2" t="str">
        <f>IFERROR(__xludf.DUMMYFUNCTION("""COMPUTED_VALUE"""),"日21")</f>
        <v>日21</v>
      </c>
      <c r="F5025" s="2" t="s">
        <v>14086</v>
      </c>
      <c r="G5025" s="2" t="s">
        <v>14087</v>
      </c>
      <c r="H5025" s="1">
        <v>1.0</v>
      </c>
      <c r="J5025" s="1" t="s">
        <v>4</v>
      </c>
      <c r="K5025" s="2" t="s">
        <v>14088</v>
      </c>
      <c r="L5025" s="2"/>
      <c r="M5025" s="2" t="str">
        <f>IFERROR(__xludf.DUMMYFUNCTION("split(split(K5025,""【"",false),""公式LINE"",false)"),"奇跡の実話を脚色しドラマ化。ある理由から現役を退いた元プロサックス奏者の・樋熊迎一（寺尾聰）は、偶然出会った県立高校校長・小田桐寛治（石坂浩二）から荒廃した高校を立て直してほしいと頼まれる。娘の奈津紀（多部未華子）からは反対されるが、見学のために美崎高校を訪れる樋熊。そこで、樋熊は青島裕人(村上虹郎)、木藤良蓮(真剣佑)をはじめとした学校一の不良グループと出会う…。樋熊 迎一… 寺尾 聰  樋熊 奈津紀…多部 未華子    ○    木藤良 蓮…真剣佑  青島 裕人…村上 虹郎  有馬 渚…石井 杏奈（E"&amp;"-girls）  安保 圭太…北村 匠海(DISH//)  高杢 金也…太賀  桑田 勇治…佐野 岳  古庄 芳喜…矢本 悠馬  井川 宏達…健太郎    ○    新井 宗一…尾美 としのり  鮫島 照之…升毅○    小田桐 寛治…石坂浩二    陣内 剛史…高畑 裕太  神田 善宏…国広 富之脚本：いずみ吉紘  音楽：高見優  監督：平川雄一朗  原案： 『ブラバンキッズ ラプソディー』『ブラバンキッズ オデッセイ』(石川高子 著/三五館 刊)  ◇番組HP http://www.tbs.co.jp"&amp;"/aogeba-toutoshi/  ◇twitter  @aogeba_tbs  https://twitter.com/aogeba_tbs  番組の内容と放送時間は変更になる場合があります。")</f>
        <v>奇跡の実話を脚色しドラマ化。ある理由から現役を退いた元プロサックス奏者の・樋熊迎一（寺尾聰）は、偶然出会った県立高校校長・小田桐寛治（石坂浩二）から荒廃した高校を立て直してほしいと頼まれる。娘の奈津紀（多部未華子）からは反対されるが、見学のために美崎高校を訪れる樋熊。そこで、樋熊は青島裕人(村上虹郎)、木藤良蓮(真剣佑)をはじめとした学校一の不良グループと出会う…。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陣内 剛史…高畑 裕太  神田 善宏…国広 富之脚本：いずみ吉紘  音楽：高見優  監督：平川雄一朗  原案： 『ブラバンキッズ ラプソディー』『ブラバンキッズ オデッセイ』(石川高子 著/三五館 刊)  ◇番組HP http://www.tbs.co.jp/aogeba-toutoshi/  ◇twitter  @aogeba_tbs  https://twitter.com/aogeba_tbs  番組の内容と放送時間は変更になる場合があります。</v>
      </c>
      <c r="N5025" s="2"/>
      <c r="O5025" s="2"/>
      <c r="P5025" s="1"/>
      <c r="Q5025" s="1"/>
      <c r="R5025" s="1"/>
      <c r="S5025" s="1"/>
      <c r="T5025" s="1"/>
      <c r="U5025" s="1"/>
      <c r="V5025" s="1"/>
      <c r="W5025" s="1"/>
      <c r="X5025" s="1"/>
      <c r="Y5025" s="1"/>
      <c r="Z5025" s="1"/>
      <c r="AA5025" s="1"/>
      <c r="AB5025" s="1"/>
      <c r="AC5025" s="1"/>
      <c r="AD5025" s="1"/>
      <c r="AE5025" s="1"/>
      <c r="AF5025" s="1"/>
      <c r="AG5025" s="1"/>
      <c r="AH5025" s="1"/>
      <c r="AI5025" s="1"/>
      <c r="AJ5025" s="1"/>
      <c r="AK5025" s="1"/>
      <c r="AL5025" s="1"/>
      <c r="AM5025" s="1"/>
      <c r="AN5025" s="1"/>
      <c r="AO5025" s="1"/>
      <c r="AP5025" s="1"/>
      <c r="AQ5025" s="1"/>
      <c r="AR5025" s="1"/>
      <c r="AS5025" s="1"/>
      <c r="AT5025" s="1"/>
      <c r="AU5025" s="1"/>
      <c r="AV5025" s="1"/>
      <c r="AW5025" s="1"/>
      <c r="AX5025" s="1"/>
      <c r="AY5025" s="1"/>
      <c r="AZ5025" s="1"/>
      <c r="BA5025" s="1"/>
      <c r="BB5025" s="1"/>
    </row>
    <row r="5026" ht="204.75" customHeight="1">
      <c r="A5026" s="1">
        <v>1627.0</v>
      </c>
      <c r="B5026" s="2" t="s">
        <v>14085</v>
      </c>
      <c r="C5026" s="2">
        <f>IFERROR(__xludf.DUMMYFUNCTION("split(B5026,""_"")"),1607.0)</f>
        <v>1607</v>
      </c>
      <c r="D5026" s="2" t="str">
        <f>IFERROR(__xludf.DUMMYFUNCTION("""COMPUTED_VALUE"""),"TBS")</f>
        <v>TBS</v>
      </c>
      <c r="E5026" s="2" t="str">
        <f>IFERROR(__xludf.DUMMYFUNCTION("""COMPUTED_VALUE"""),"日21")</f>
        <v>日21</v>
      </c>
      <c r="F5026" s="2" t="s">
        <v>14086</v>
      </c>
      <c r="G5026" s="2" t="s">
        <v>14089</v>
      </c>
      <c r="H5026" s="1">
        <v>2.0</v>
      </c>
      <c r="J5026" s="1" t="s">
        <v>4</v>
      </c>
      <c r="K5026" s="2" t="s">
        <v>14090</v>
      </c>
      <c r="L5026" s="2"/>
      <c r="M5026" s="2" t="str">
        <f>IFERROR(__xludf.DUMMYFUNCTION("split(split(K5026,""【"",false),""公式LINE"",false)"),"青島裕人（村上虹郎）ら不良グループを吹奏楽部に入部させようと奮闘する樋熊迎一（寺尾聰）は、目標として「吹奏楽部の甲子園」と呼ばれる“全国吹奏楽部コンクール”を目指そうと部員に提案する。一方、樋熊の熱い言葉は不良グループの一人・安保圭太（北村匠海）の心を激しく揺さぶっていた。そんな折に青島たちは、乱闘の末に青島に深い傷を負わせバンドを解散へ追いやった卒業生・陣内剛史（高畑裕太）と偶然再会してしまう。樋熊 迎一… 寺尾 聰  樋熊 奈津紀…多部 未華子    ○    木藤良 蓮…真剣佑  青島 裕人…村上 "&amp;"虹郎  有馬 渚…石井 杏奈（E-girls）  安保 圭太…北村 匠海(DISH//)  高杢 金也…太賀  桑田 勇治…佐野 岳  古庄 芳喜…矢本 悠馬  井川 宏達…健太郎    ○   新井 宗一…尾美 としのり  鮫島 照之…升毅○    小田桐 寛治…石坂浩二    陣内 剛史…高畑 裕太脚本：いずみ吉紘  音楽：高見優  監督：平川雄一朗  原案： 『ブラバンキッズ ラプソディー』『ブラバンキッズ オデッセイ』(石川高子 著/三五館 刊)◇番組HP http://www.tbs.co.jp"&amp;"/aogeba-toutoshi/  ◇twitter  @aogeba_tbs  https://twitter.com/aogeba_tbs  番組の内容と放送時間は変更になる場合があります。")</f>
        <v>青島裕人（村上虹郎）ら不良グループを吹奏楽部に入部させようと奮闘する樋熊迎一（寺尾聰）は、目標として「吹奏楽部の甲子園」と呼ばれる“全国吹奏楽部コンクール”を目指そうと部員に提案する。一方、樋熊の熱い言葉は不良グループの一人・安保圭太（北村匠海）の心を激しく揺さぶっていた。そんな折に青島たちは、乱闘の末に青島に深い傷を負わせバンドを解散へ追いやった卒業生・陣内剛史（高畑裕太）と偶然再会してしまう。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陣内 剛史…高畑 裕太脚本：いずみ吉紘  音楽：高見優  監督：平川雄一朗  原案： 『ブラバンキッズ ラプソディー』『ブラバンキッズ オデッセイ』(石川高子 著/三五館 刊)◇番組HP http://www.tbs.co.jp/aogeba-toutoshi/  ◇twitter  @aogeba_tbs  https://twitter.com/aogeba_tbs  番組の内容と放送時間は変更になる場合があります。</v>
      </c>
      <c r="N5026" s="2"/>
      <c r="O5026" s="2"/>
      <c r="P5026" s="1"/>
      <c r="Q5026" s="1"/>
      <c r="R5026" s="1"/>
      <c r="S5026" s="1"/>
      <c r="T5026" s="1"/>
      <c r="U5026" s="1"/>
      <c r="V5026" s="1"/>
      <c r="W5026" s="1"/>
      <c r="X5026" s="1"/>
      <c r="Y5026" s="1"/>
      <c r="Z5026" s="1"/>
      <c r="AA5026" s="1"/>
      <c r="AB5026" s="1"/>
      <c r="AC5026" s="1"/>
      <c r="AD5026" s="1"/>
      <c r="AE5026" s="1"/>
      <c r="AF5026" s="1"/>
      <c r="AG5026" s="1"/>
      <c r="AH5026" s="1"/>
      <c r="AI5026" s="1"/>
      <c r="AJ5026" s="1"/>
      <c r="AK5026" s="1"/>
      <c r="AL5026" s="1"/>
      <c r="AM5026" s="1"/>
      <c r="AN5026" s="1"/>
      <c r="AO5026" s="1"/>
      <c r="AP5026" s="1"/>
      <c r="AQ5026" s="1"/>
      <c r="AR5026" s="1"/>
      <c r="AS5026" s="1"/>
      <c r="AT5026" s="1"/>
      <c r="AU5026" s="1"/>
      <c r="AV5026" s="1"/>
      <c r="AW5026" s="1"/>
      <c r="AX5026" s="1"/>
      <c r="AY5026" s="1"/>
      <c r="AZ5026" s="1"/>
      <c r="BA5026" s="1"/>
      <c r="BB5026" s="1"/>
    </row>
    <row r="5027" ht="204.75" customHeight="1">
      <c r="A5027" s="1">
        <v>1628.0</v>
      </c>
      <c r="B5027" s="2" t="s">
        <v>14085</v>
      </c>
      <c r="C5027" s="2">
        <f>IFERROR(__xludf.DUMMYFUNCTION("split(B5027,""_"")"),1607.0)</f>
        <v>1607</v>
      </c>
      <c r="D5027" s="2" t="str">
        <f>IFERROR(__xludf.DUMMYFUNCTION("""COMPUTED_VALUE"""),"TBS")</f>
        <v>TBS</v>
      </c>
      <c r="E5027" s="2" t="str">
        <f>IFERROR(__xludf.DUMMYFUNCTION("""COMPUTED_VALUE"""),"日21")</f>
        <v>日21</v>
      </c>
      <c r="F5027" s="2" t="s">
        <v>14086</v>
      </c>
      <c r="G5027" s="2" t="s">
        <v>14091</v>
      </c>
      <c r="H5027" s="1">
        <v>3.0</v>
      </c>
      <c r="J5027" s="1" t="s">
        <v>11</v>
      </c>
      <c r="K5027" s="2" t="s">
        <v>14092</v>
      </c>
      <c r="L5027" s="2"/>
      <c r="M5027" s="2" t="str">
        <f>IFERROR(__xludf.DUMMYFUNCTION("split(split(K5027,""【"",false),""公式LINE"",false)"),"安保圭太（北村匠海）、高杢金也（太賀）、桑田勇治（佐野岳）の三人が吹奏楽部に入部したことで、他の部員とのトラブルが続出する吹奏楽部。一方で、陣内剛史（高畑裕太）との乱闘騒ぎが原因で青島裕人(村上虹郎)と木藤良蓮(真剣佑)が退学危機に。樋熊迎一（寺尾聰）は、孤立していく青島と木藤良の退学を阻止しようと奮闘するが、再び陣内剛史（高畑裕太）が現れ…。樋熊 迎一… 寺尾 聰  樋熊 奈津紀…多部 未華子    ○    木藤良 蓮…真剣佑  青島 裕人…村上 虹郎  有馬 渚…石井 杏奈（E-girls）  安保"&amp;" 圭太…北村 匠海(DISH//)  高杢 金也…太賀  桑田 勇治…佐野 岳  古庄 芳喜…矢本 悠馬  井川 宏達…健太郎    ○    新井 宗一…尾美 としのり  鮫島 照之…升毅○    小田桐 寛治…石坂浩二    陣内 剛史…高畑 裕太脚本：いずみ吉紘  音楽：高見優  演出：吉田健  原案： 『ブラバンキッズ ラプソディー』『ブラバンキッズ オデッセイ』(石川高子 著/三五館 刊)◇番組HP http://www.tbs.co.jp/aogeba-toutoshi/  ◇twitter "&amp;" @aogeba_tbs  https://twitter.com/aogeba_tbs  番組の内容と放送時間は変更になる場合があります。")</f>
        <v>安保圭太（北村匠海）、高杢金也（太賀）、桑田勇治（佐野岳）の三人が吹奏楽部に入部したことで、他の部員とのトラブルが続出する吹奏楽部。一方で、陣内剛史（高畑裕太）との乱闘騒ぎが原因で青島裕人(村上虹郎)と木藤良蓮(真剣佑)が退学危機に。樋熊迎一（寺尾聰）は、孤立していく青島と木藤良の退学を阻止しようと奮闘するが、再び陣内剛史（高畑裕太）が現れ…。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陣内 剛史…高畑 裕太脚本：いずみ吉紘  音楽：高見優  演出：吉田健  原案： 『ブラバンキッズ ラプソディー』『ブラバンキッズ オデッセイ』(石川高子 著/三五館 刊)◇番組HP http://www.tbs.co.jp/aogeba-toutoshi/  ◇twitter  @aogeba_tbs  https://twitter.com/aogeba_tbs  番組の内容と放送時間は変更になる場合があります。</v>
      </c>
      <c r="N5027" s="2"/>
      <c r="O5027" s="2"/>
      <c r="P5027" s="1"/>
      <c r="Q5027" s="1"/>
      <c r="R5027" s="1"/>
      <c r="S5027" s="1"/>
      <c r="T5027" s="1"/>
      <c r="U5027" s="1"/>
      <c r="V5027" s="1"/>
      <c r="W5027" s="1"/>
      <c r="X5027" s="1"/>
      <c r="Y5027" s="1"/>
      <c r="Z5027" s="1"/>
      <c r="AA5027" s="1"/>
      <c r="AB5027" s="1"/>
      <c r="AC5027" s="1"/>
      <c r="AD5027" s="1"/>
      <c r="AE5027" s="1"/>
      <c r="AF5027" s="1"/>
      <c r="AG5027" s="1"/>
      <c r="AH5027" s="1"/>
      <c r="AI5027" s="1"/>
      <c r="AJ5027" s="1"/>
      <c r="AK5027" s="1"/>
      <c r="AL5027" s="1"/>
      <c r="AM5027" s="1"/>
      <c r="AN5027" s="1"/>
      <c r="AO5027" s="1"/>
      <c r="AP5027" s="1"/>
      <c r="AQ5027" s="1"/>
      <c r="AR5027" s="1"/>
      <c r="AS5027" s="1"/>
      <c r="AT5027" s="1"/>
      <c r="AU5027" s="1"/>
      <c r="AV5027" s="1"/>
      <c r="AW5027" s="1"/>
      <c r="AX5027" s="1"/>
      <c r="AY5027" s="1"/>
      <c r="AZ5027" s="1"/>
      <c r="BA5027" s="1"/>
      <c r="BB5027" s="1"/>
    </row>
    <row r="5028" ht="204.75" customHeight="1">
      <c r="A5028" s="1">
        <v>1629.0</v>
      </c>
      <c r="B5028" s="2" t="s">
        <v>14085</v>
      </c>
      <c r="C5028" s="2">
        <f>IFERROR(__xludf.DUMMYFUNCTION("split(B5028,""_"")"),1607.0)</f>
        <v>1607</v>
      </c>
      <c r="D5028" s="2" t="str">
        <f>IFERROR(__xludf.DUMMYFUNCTION("""COMPUTED_VALUE"""),"TBS")</f>
        <v>TBS</v>
      </c>
      <c r="E5028" s="2" t="str">
        <f>IFERROR(__xludf.DUMMYFUNCTION("""COMPUTED_VALUE"""),"日21")</f>
        <v>日21</v>
      </c>
      <c r="F5028" s="2" t="s">
        <v>14086</v>
      </c>
      <c r="G5028" s="2" t="s">
        <v>14093</v>
      </c>
      <c r="H5028" s="1">
        <v>4.0</v>
      </c>
      <c r="J5028" s="1" t="s">
        <v>11</v>
      </c>
      <c r="K5028" s="2" t="s">
        <v>14094</v>
      </c>
      <c r="L5028" s="2"/>
      <c r="M5028" s="2" t="str">
        <f>IFERROR(__xludf.DUMMYFUNCTION("split(split(K5028,""【"",false),""公式LINE"",false)"),"樋熊（寺尾聰）の娘・奈津紀（多部未華子）が、美崎高校での教育実習が決まり、吹奏楽部にもコーチとして参加することに。青島（村上虹郎）らの入部で活気こそ出てきたが、合奏の息が合わない吹奏楽部。そこで、樋熊は強化合宿を提案し、あえて合宿先に名門・明宝高校と同じ場所を選ぶ。2年生の井川（健太郎）は、中学の同級生・小池（泉澤祐希）と再会。一方、明宝の演奏を聞いて圧倒されてしまった部員に樋熊は…。樋熊 迎一… 寺尾 聰  樋熊 奈津紀…多部 未華子    ○    木藤良 蓮…真剣佑  青島 裕人…村上 虹郎  有馬"&amp;" 渚…石井 杏奈（E-girls）  安保 圭太…北村 匠海(DISH//)  高杢 金也…太賀  桑田 勇治…佐野 岳  古庄 芳喜…矢本 悠馬  井川 宏達…健太郎    ○    新井 宗一…尾美 としのり  鮫島 照之…升毅○    小田桐 寛治…石坂浩二    樽谷哲郎…東根作寿英  小池克之…泉澤祐希脚本：いずみ吉紘  音楽：高見優  監督：福田亮介  原案： 『ブラバンキッズ ラプソディー』『ブラバンキッズ オデッセイ』(石川高子 著/三五館 刊)◇番組HP http://www.tbs.c"&amp;"o.jp/aogeba-toutoshi/  ◇twitter  @aogeba_tbs  https://twitter.com/aogeba_tbs  番組の内容と放送時間は変更になる場合があります。")</f>
        <v>樋熊（寺尾聰）の娘・奈津紀（多部未華子）が、美崎高校での教育実習が決まり、吹奏楽部にもコーチとして参加することに。青島（村上虹郎）らの入部で活気こそ出てきたが、合奏の息が合わない吹奏楽部。そこで、樋熊は強化合宿を提案し、あえて合宿先に名門・明宝高校と同じ場所を選ぶ。2年生の井川（健太郎）は、中学の同級生・小池（泉澤祐希）と再会。一方、明宝の演奏を聞いて圧倒されてしまった部員に樋熊は…。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樽谷哲郎…東根作寿英  小池克之…泉澤祐希脚本：いずみ吉紘  音楽：高見優  監督：福田亮介  原案： 『ブラバンキッズ ラプソディー』『ブラバンキッズ オデッセイ』(石川高子 著/三五館 刊)◇番組HP http://www.tbs.co.jp/aogeba-toutoshi/  ◇twitter  @aogeba_tbs  https://twitter.com/aogeba_tbs  番組の内容と放送時間は変更になる場合があります。</v>
      </c>
      <c r="N5028" s="2"/>
      <c r="O5028" s="2"/>
      <c r="P5028" s="1"/>
      <c r="Q5028" s="1"/>
      <c r="R5028" s="1"/>
      <c r="S5028" s="1"/>
      <c r="T5028" s="1"/>
      <c r="U5028" s="1"/>
      <c r="V5028" s="1"/>
      <c r="W5028" s="1"/>
      <c r="X5028" s="1"/>
      <c r="Y5028" s="1"/>
      <c r="Z5028" s="1"/>
      <c r="AA5028" s="1"/>
      <c r="AB5028" s="1"/>
      <c r="AC5028" s="1"/>
      <c r="AD5028" s="1"/>
      <c r="AE5028" s="1"/>
      <c r="AF5028" s="1"/>
      <c r="AG5028" s="1"/>
      <c r="AH5028" s="1"/>
      <c r="AI5028" s="1"/>
      <c r="AJ5028" s="1"/>
      <c r="AK5028" s="1"/>
      <c r="AL5028" s="1"/>
      <c r="AM5028" s="1"/>
      <c r="AN5028" s="1"/>
      <c r="AO5028" s="1"/>
      <c r="AP5028" s="1"/>
      <c r="AQ5028" s="1"/>
      <c r="AR5028" s="1"/>
      <c r="AS5028" s="1"/>
      <c r="AT5028" s="1"/>
      <c r="AU5028" s="1"/>
      <c r="AV5028" s="1"/>
      <c r="AW5028" s="1"/>
      <c r="AX5028" s="1"/>
      <c r="AY5028" s="1"/>
      <c r="AZ5028" s="1"/>
      <c r="BA5028" s="1"/>
      <c r="BB5028" s="1"/>
    </row>
    <row r="5029" ht="204.75" customHeight="1">
      <c r="A5029" s="1">
        <v>1630.0</v>
      </c>
      <c r="B5029" s="2" t="s">
        <v>14085</v>
      </c>
      <c r="C5029" s="2">
        <f>IFERROR(__xludf.DUMMYFUNCTION("split(B5029,""_"")"),1607.0)</f>
        <v>1607</v>
      </c>
      <c r="D5029" s="2" t="str">
        <f>IFERROR(__xludf.DUMMYFUNCTION("""COMPUTED_VALUE"""),"TBS")</f>
        <v>TBS</v>
      </c>
      <c r="E5029" s="2" t="str">
        <f>IFERROR(__xludf.DUMMYFUNCTION("""COMPUTED_VALUE"""),"日21")</f>
        <v>日21</v>
      </c>
      <c r="F5029" s="2" t="s">
        <v>14086</v>
      </c>
      <c r="G5029" s="2" t="s">
        <v>14095</v>
      </c>
      <c r="H5029" s="1">
        <v>5.0</v>
      </c>
      <c r="J5029" s="1" t="s">
        <v>11</v>
      </c>
      <c r="K5029" s="2" t="s">
        <v>14096</v>
      </c>
      <c r="L5029" s="2"/>
      <c r="M5029" s="2" t="str">
        <f>IFERROR(__xludf.DUMMYFUNCTION("split(split(K5029,""【"",false),""公式LINE"",false)"),"合宿中の喫煙問題により鮫島教頭（升毅）からはコンクールへの出場辞退を強く要求される樋熊（寺尾聰）。何とか説得し出場辞退は回避したが、ペナルティーとして10日間の部活動禁止を言い渡される美崎高校吹奏楽部。地区大会まであと1ヶ月、学校での部活動ができなくなり動揺する部員たちに対して、樋熊は学校外での練習を提案する。そんな中、樋熊の体調に異変が起こり…。樋熊 迎一… 寺尾 聰  樋熊 奈津紀…多部 未華子    ○    木藤良 蓮…真剣佑  青島 裕人…村上 虹郎  有馬 渚…石井 杏奈（E-girls）  "&amp;"安保 圭太…北村 匠海(DISH//)  高杢 金也…太賀  桑田 勇治…佐野 岳  古庄 芳喜…矢本 悠馬  井川 宏達…健太郎    ○    新井 宗一…尾美 としのり  鮫島 照之…升毅○    小田桐 寛治…石坂浩二    香代子…中島ひろ子    有馬 浩一…飯田基祐  美穂子…黒坂真美    木藤良 綾乃…生田智子樽谷 哲郎…東根作寿英  小池 克之…泉澤祐希    御堂 鏡子…霧島れいか      木藤良 蓮(幼少期)…中川翼  青島 裕人(幼少期)…高木星来  有馬 渚(幼少期)…濱田こ"&amp;"こね  主題歌：『アリア』  BUMP OF CHICKEN（TOY'S FACTORY）脚本：いずみ吉紘  音楽：高見優  演出：福田亮介  原案： 『ブラバンキッズ ラプソディー』『ブラバンキッズ オデッセイ』(石川高子 著/三五館 刊)  ◇番組HP http://www.tbs.co.jp/aogeba-toutoshi/  ◇twitter  @aogeba_tbs  https://twitter.com/aogeba_tbs  番組の内容と放送時間は変更になる場合があります。")</f>
        <v>合宿中の喫煙問題により鮫島教頭（升毅）からはコンクールへの出場辞退を強く要求される樋熊（寺尾聰）。何とか説得し出場辞退は回避したが、ペナルティーとして10日間の部活動禁止を言い渡される美崎高校吹奏楽部。地区大会まであと1ヶ月、学校での部活動ができなくなり動揺する部員たちに対して、樋熊は学校外での練習を提案する。そんな中、樋熊の体調に異変が起こり…。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香代子…中島ひろ子    有馬 浩一…飯田基祐  美穂子…黒坂真美    木藤良 綾乃…生田智子樽谷 哲郎…東根作寿英  小池 克之…泉澤祐希    御堂 鏡子…霧島れいか      木藤良 蓮(幼少期)…中川翼  青島 裕人(幼少期)…高木星来  有馬 渚(幼少期)…濱田ここね  主題歌：『アリア』  BUMP OF CHICKEN（TOY'S FACTORY）脚本：いずみ吉紘  音楽：高見優  演出：福田亮介  原案： 『ブラバンキッズ ラプソディー』『ブラバンキッズ オデッセイ』(石川高子 著/三五館 刊)  ◇番組HP http://www.tbs.co.jp/aogeba-toutoshi/  ◇twitter  @aogeba_tbs  https://twitter.com/aogeba_tbs  番組の内容と放送時間は変更になる場合があります。</v>
      </c>
      <c r="N5029" s="2"/>
      <c r="O5029" s="2"/>
      <c r="P5029" s="1"/>
      <c r="Q5029" s="1"/>
      <c r="R5029" s="1"/>
      <c r="S5029" s="1"/>
      <c r="T5029" s="1"/>
      <c r="U5029" s="1"/>
      <c r="V5029" s="1"/>
      <c r="W5029" s="1"/>
      <c r="X5029" s="1"/>
      <c r="Y5029" s="1"/>
      <c r="Z5029" s="1"/>
      <c r="AA5029" s="1"/>
      <c r="AB5029" s="1"/>
      <c r="AC5029" s="1"/>
      <c r="AD5029" s="1"/>
      <c r="AE5029" s="1"/>
      <c r="AF5029" s="1"/>
      <c r="AG5029" s="1"/>
      <c r="AH5029" s="1"/>
      <c r="AI5029" s="1"/>
      <c r="AJ5029" s="1"/>
      <c r="AK5029" s="1"/>
      <c r="AL5029" s="1"/>
      <c r="AM5029" s="1"/>
      <c r="AN5029" s="1"/>
      <c r="AO5029" s="1"/>
      <c r="AP5029" s="1"/>
      <c r="AQ5029" s="1"/>
      <c r="AR5029" s="1"/>
      <c r="AS5029" s="1"/>
      <c r="AT5029" s="1"/>
      <c r="AU5029" s="1"/>
      <c r="AV5029" s="1"/>
      <c r="AW5029" s="1"/>
      <c r="AX5029" s="1"/>
      <c r="AY5029" s="1"/>
      <c r="AZ5029" s="1"/>
      <c r="BA5029" s="1"/>
      <c r="BB5029" s="1"/>
    </row>
    <row r="5030" ht="204.75" customHeight="1">
      <c r="A5030" s="1">
        <v>1631.0</v>
      </c>
      <c r="B5030" s="2" t="s">
        <v>14085</v>
      </c>
      <c r="C5030" s="2">
        <f>IFERROR(__xludf.DUMMYFUNCTION("split(B5030,""_"")"),1607.0)</f>
        <v>1607</v>
      </c>
      <c r="D5030" s="2" t="str">
        <f>IFERROR(__xludf.DUMMYFUNCTION("""COMPUTED_VALUE"""),"TBS")</f>
        <v>TBS</v>
      </c>
      <c r="E5030" s="2" t="str">
        <f>IFERROR(__xludf.DUMMYFUNCTION("""COMPUTED_VALUE"""),"日21")</f>
        <v>日21</v>
      </c>
      <c r="F5030" s="2" t="s">
        <v>14086</v>
      </c>
      <c r="G5030" s="2" t="s">
        <v>14097</v>
      </c>
      <c r="H5030" s="1">
        <v>6.0</v>
      </c>
      <c r="J5030" s="1" t="s">
        <v>11</v>
      </c>
      <c r="K5030" s="2" t="s">
        <v>14098</v>
      </c>
      <c r="L5030" s="2"/>
      <c r="M5030" s="2" t="str">
        <f>IFERROR(__xludf.DUMMYFUNCTION("split(split(K5030,""【"",false),""公式LINE"",false)"),"すい臓がんと診断された樋熊（寺尾聰）が自宅で倒れた。搬送された病院で、すぐに手術をしてほしいと切望する奈津紀（多部未華子）だが、樋熊は地区大会を前に手術をしない治療法を選択、生徒たちには病気のことは伏せておくよう奈津紀に頼む。一方、全国大会と留学受験が重なる木藤良は、みんなと一緒に全国大会を目指したいと言う。木藤良の留学話を知った青島（村上虹郎）は…樋熊 迎一… 寺尾 聰  樋熊 奈津紀…多部 未華子    ○    木藤良 蓮…真剣佑  青島 裕人…村上 虹郎  有馬 渚…石井 杏奈（E-girls） "&amp;" 安保 圭太…北村 匠海(DISH//)  高杢 金也…太賀  桑田 勇治…佐野 岳  古庄 芳喜…矢本 悠馬  井川 宏達…健太郎    ○    新井 宗一…尾美 としのり  鮫島 照之…升毅○    小田桐 寛治…石坂浩二香代子…中島ひろ子    有馬 浩一…飯田基祐  美穂子…黒坂真美    木藤良 綾乃…生田智子    樽谷 哲郎…東根作寿英  小池 克之…泉澤祐希    御堂 鏡子…霧島れいか主題歌：『アリア』  BUMP OF CHICKEN（TOY'S FACTORY）脚本：いずみ吉紘  "&amp;"音楽：高見優  監督：吉田健  原案： 『ブラバンキッズ ラプソディー』『ブラバンキッズ オデッセイ』(石川高子 著/三五館 刊)  ◇番組HP http://www.tbs.co.jp/aogeba-toutoshi/  ◇twitter  @aogeba_tbs  https://twitter.com/aogeba_tbs  番組の内容と放送時間は変更になる場合があります。")</f>
        <v>すい臓がんと診断された樋熊（寺尾聰）が自宅で倒れた。搬送された病院で、すぐに手術をしてほしいと切望する奈津紀（多部未華子）だが、樋熊は地区大会を前に手術をしない治療法を選択、生徒たちには病気のことは伏せておくよう奈津紀に頼む。一方、全国大会と留学受験が重なる木藤良は、みんなと一緒に全国大会を目指したいと言う。木藤良の留学話を知った青島（村上虹郎）は…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寛治…石坂浩二香代子…中島ひろ子    有馬 浩一…飯田基祐  美穂子…黒坂真美    木藤良 綾乃…生田智子    樽谷 哲郎…東根作寿英  小池 克之…泉澤祐希    御堂 鏡子…霧島れいか主題歌：『アリア』  BUMP OF CHICKEN（TOY'S FACTORY）脚本：いずみ吉紘  音楽：高見優  監督：吉田健  原案： 『ブラバンキッズ ラプソディー』『ブラバンキッズ オデッセイ』(石川高子 著/三五館 刊)  ◇番組HP http://www.tbs.co.jp/aogeba-toutoshi/  ◇twitter  @aogeba_tbs  https://twitter.com/aogeba_tbs  番組の内容と放送時間は変更になる場合があります。</v>
      </c>
      <c r="N5030" s="2"/>
      <c r="O5030" s="2"/>
      <c r="P5030" s="1"/>
      <c r="Q5030" s="1"/>
      <c r="R5030" s="1"/>
      <c r="S5030" s="1"/>
      <c r="T5030" s="1"/>
      <c r="U5030" s="1"/>
      <c r="V5030" s="1"/>
      <c r="W5030" s="1"/>
      <c r="X5030" s="1"/>
      <c r="Y5030" s="1"/>
      <c r="Z5030" s="1"/>
      <c r="AA5030" s="1"/>
      <c r="AB5030" s="1"/>
      <c r="AC5030" s="1"/>
      <c r="AD5030" s="1"/>
      <c r="AE5030" s="1"/>
      <c r="AF5030" s="1"/>
      <c r="AG5030" s="1"/>
      <c r="AH5030" s="1"/>
      <c r="AI5030" s="1"/>
      <c r="AJ5030" s="1"/>
      <c r="AK5030" s="1"/>
      <c r="AL5030" s="1"/>
      <c r="AM5030" s="1"/>
      <c r="AN5030" s="1"/>
      <c r="AO5030" s="1"/>
      <c r="AP5030" s="1"/>
      <c r="AQ5030" s="1"/>
      <c r="AR5030" s="1"/>
      <c r="AS5030" s="1"/>
      <c r="AT5030" s="1"/>
      <c r="AU5030" s="1"/>
      <c r="AV5030" s="1"/>
      <c r="AW5030" s="1"/>
      <c r="AX5030" s="1"/>
      <c r="AY5030" s="1"/>
      <c r="AZ5030" s="1"/>
      <c r="BA5030" s="1"/>
      <c r="BB5030" s="1"/>
    </row>
    <row r="5031" ht="204.75" customHeight="1">
      <c r="A5031" s="1">
        <v>1632.0</v>
      </c>
      <c r="B5031" s="2" t="s">
        <v>14085</v>
      </c>
      <c r="C5031" s="2">
        <f>IFERROR(__xludf.DUMMYFUNCTION("split(B5031,""_"")"),1607.0)</f>
        <v>1607</v>
      </c>
      <c r="D5031" s="2" t="str">
        <f>IFERROR(__xludf.DUMMYFUNCTION("""COMPUTED_VALUE"""),"TBS")</f>
        <v>TBS</v>
      </c>
      <c r="E5031" s="2" t="str">
        <f>IFERROR(__xludf.DUMMYFUNCTION("""COMPUTED_VALUE"""),"日21")</f>
        <v>日21</v>
      </c>
      <c r="F5031" s="2" t="s">
        <v>14086</v>
      </c>
      <c r="G5031" s="2" t="s">
        <v>14099</v>
      </c>
      <c r="H5031" s="1">
        <v>7.0</v>
      </c>
      <c r="J5031" s="1" t="s">
        <v>11</v>
      </c>
      <c r="K5031" s="2" t="s">
        <v>14100</v>
      </c>
      <c r="L5031" s="2"/>
      <c r="M5031" s="2" t="str">
        <f>IFERROR(__xludf.DUMMYFUNCTION("split(split(K5031,""【"",false),""公式LINE"",false)"),"全国大会を目指し、猛練習に明け暮れる美崎高校吹奏楽部。一方で樋熊は治療のため、練習すら参加できなくなってしまう。樋熊がいないことで、不安が募っていく吹奏楽部員たち。そんな状況に青島、そして木藤良は…。樋熊 迎一… 寺尾 聰  樋熊 奈津紀…多部 未華子    ○    木藤良 蓮…真剣佑  青島 裕人…村上 虹郎  有馬 渚…石井 杏奈（E-girls）  安保 圭太…北村 匠海(DISH//)  高杢 金也…太賀  桑田 勇治…佐野 岳  古庄 芳喜…矢本 悠馬  井川 宏達…健太郎    ○    新"&amp;"井 宗一…尾美 としのり  鮫島 照之…升毅○    小田桐 寛治…石坂浩二    香代子…中島ひろ子  有馬 浩一…飯田基祐  美穂子…黒坂真美  木藤良 綾乃…生田智子  樽谷 哲郎…東根作寿英  御堂 鏡子…霧島れいか主題歌：『アリア』  BUMP OF CHICKEN（TOY'S FACTORY）脚本：いずみ吉紘  音楽：高見優  演出：福田亮介  原案： 『ブラバンキッズ ラプソディー』『ブラバンキッズ オデッセイ』(石川高子 著/三五館 刊)◇番組HP http://www.tbs.co.jp"&amp;"/aogeba-toutoshi/  ◇twitter  @aogeba_tbs  https://twitter.com/aogeba_tbs  番組の内容と放送時間は変更になる場合があります。")</f>
        <v>全国大会を目指し、猛練習に明け暮れる美崎高校吹奏楽部。一方で樋熊は治療のため、練習すら参加できなくなってしまう。樋熊がいないことで、不安が募っていく吹奏楽部員たち。そんな状況に青島、そして木藤良は…。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香代子…中島ひろ子  有馬 浩一…飯田基祐  美穂子…黒坂真美  木藤良 綾乃…生田智子  樽谷 哲郎…東根作寿英  御堂 鏡子…霧島れいか主題歌：『アリア』  BUMP OF CHICKEN（TOY'S FACTORY）脚本：いずみ吉紘  音楽：高見優  演出：福田亮介  原案： 『ブラバンキッズ ラプソディー』『ブラバンキッズ オデッセイ』(石川高子 著/三五館 刊)◇番組HP http://www.tbs.co.jp/aogeba-toutoshi/  ◇twitter  @aogeba_tbs  https://twitter.com/aogeba_tbs  番組の内容と放送時間は変更になる場合があります。</v>
      </c>
      <c r="N5031" s="2"/>
      <c r="O5031" s="2"/>
      <c r="P5031" s="1"/>
      <c r="Q5031" s="1"/>
      <c r="R5031" s="1"/>
      <c r="S5031" s="1"/>
      <c r="T5031" s="1"/>
      <c r="U5031" s="1"/>
      <c r="V5031" s="1"/>
      <c r="W5031" s="1"/>
      <c r="X5031" s="1"/>
      <c r="Y5031" s="1"/>
      <c r="Z5031" s="1"/>
      <c r="AA5031" s="1"/>
      <c r="AB5031" s="1"/>
      <c r="AC5031" s="1"/>
      <c r="AD5031" s="1"/>
      <c r="AE5031" s="1"/>
      <c r="AF5031" s="1"/>
      <c r="AG5031" s="1"/>
      <c r="AH5031" s="1"/>
      <c r="AI5031" s="1"/>
      <c r="AJ5031" s="1"/>
      <c r="AK5031" s="1"/>
      <c r="AL5031" s="1"/>
      <c r="AM5031" s="1"/>
      <c r="AN5031" s="1"/>
      <c r="AO5031" s="1"/>
      <c r="AP5031" s="1"/>
      <c r="AQ5031" s="1"/>
      <c r="AR5031" s="1"/>
      <c r="AS5031" s="1"/>
      <c r="AT5031" s="1"/>
      <c r="AU5031" s="1"/>
      <c r="AV5031" s="1"/>
      <c r="AW5031" s="1"/>
      <c r="AX5031" s="1"/>
      <c r="AY5031" s="1"/>
      <c r="AZ5031" s="1"/>
      <c r="BA5031" s="1"/>
      <c r="BB5031" s="1"/>
    </row>
    <row r="5032" ht="204.75" customHeight="1">
      <c r="A5032" s="1">
        <v>1633.0</v>
      </c>
      <c r="B5032" s="2" t="s">
        <v>14085</v>
      </c>
      <c r="C5032" s="2">
        <f>IFERROR(__xludf.DUMMYFUNCTION("split(B5032,""_"")"),1607.0)</f>
        <v>1607</v>
      </c>
      <c r="D5032" s="2" t="str">
        <f>IFERROR(__xludf.DUMMYFUNCTION("""COMPUTED_VALUE"""),"TBS")</f>
        <v>TBS</v>
      </c>
      <c r="E5032" s="2" t="str">
        <f>IFERROR(__xludf.DUMMYFUNCTION("""COMPUTED_VALUE"""),"日21")</f>
        <v>日21</v>
      </c>
      <c r="F5032" s="2" t="s">
        <v>14086</v>
      </c>
      <c r="G5032" s="2" t="s">
        <v>14101</v>
      </c>
      <c r="H5032" s="1">
        <v>8.0</v>
      </c>
      <c r="J5032" s="1" t="s">
        <v>11</v>
      </c>
      <c r="K5032" s="2" t="s">
        <v>14102</v>
      </c>
      <c r="L5032" s="2"/>
      <c r="M5032" s="2" t="str">
        <f>IFERROR(__xludf.DUMMYFUNCTION("split(split(K5032,""【"",false),""公式LINE"",false)"),"奈津紀が指揮をした県大会で見事金賞を受賞した美崎高校は、手術が終わった樋熊に報告をする。  次の関東大会で選ばれれば、夢の全国大会が決定する。夢にまで見た晴れの舞台へ「あと一歩」だったが、樋熊の手術の結果は芳しくなかった。体のほかの部位に手の施しようがないほどに腫瘍が転移していた。樋熊 迎一… 寺尾 聰  樋熊 奈津紀…多部 未華子    ○    木藤良 蓮…真剣佑  青島 裕人…村上 虹郎  有馬 渚…石井 杏奈（E-girls）  安保 圭太…北村 匠海(DISH//)  高杢 金也…太賀  桑田 "&amp;"勇治…佐野 岳  古庄 芳喜…矢本 悠馬  井川 宏達…健太郎    ○    新井 宗一…尾美 としのり  鮫島 照之…升毅○    小田桐 寛治…石坂浩二    香代子…中島ひろ子  有馬 浩一…飯田基祐  美穂子…黒坂真美  木藤良 綾乃…生田智子  樽谷 哲郎…東根作寿英  御堂 鏡子…霧島れいか主題歌：『アリア』  BUMP OF CHICKEN（TOY'S FACTORY）脚本：いずみ吉紘  音楽：高見優  演出：平川雄一郎  原案： 『ブラバンキッズ ラプソディー』『ブラバンキッズ オデッセ"&amp;"イ』(石川高子 著/三五館 刊)  ◇番組HP http://www.tbs.co.jp/aogeba-toutoshi/  ◇twitter  @aogeba_tbs  https://twitter.com/aogeba_tbs  番組の内容と放送時間は変更になる場合があります。")</f>
        <v>奈津紀が指揮をした県大会で見事金賞を受賞した美崎高校は、手術が終わった樋熊に報告をする。  次の関東大会で選ばれれば、夢の全国大会が決定する。夢にまで見た晴れの舞台へ「あと一歩」だったが、樋熊の手術の結果は芳しくなかった。体のほかの部位に手の施しようがないほどに腫瘍が転移していた。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香代子…中島ひろ子  有馬 浩一…飯田基祐  美穂子…黒坂真美  木藤良 綾乃…生田智子  樽谷 哲郎…東根作寿英  御堂 鏡子…霧島れいか主題歌：『アリア』  BUMP OF CHICKEN（TOY'S FACTORY）脚本：いずみ吉紘  音楽：高見優  演出：平川雄一郎  原案： 『ブラバンキッズ ラプソディー』『ブラバンキッズ オデッセイ』(石川高子 著/三五館 刊)  ◇番組HP http://www.tbs.co.jp/aogeba-toutoshi/  ◇twitter  @aogeba_tbs  https://twitter.com/aogeba_tbs  番組の内容と放送時間は変更になる場合があります。</v>
      </c>
      <c r="N5032" s="2"/>
      <c r="O5032" s="2"/>
      <c r="P5032" s="1"/>
      <c r="Q5032" s="1"/>
      <c r="R5032" s="1"/>
      <c r="S5032" s="1"/>
      <c r="T5032" s="1"/>
      <c r="U5032" s="1"/>
      <c r="V5032" s="1"/>
      <c r="W5032" s="1"/>
      <c r="X5032" s="1"/>
      <c r="Y5032" s="1"/>
      <c r="Z5032" s="1"/>
      <c r="AA5032" s="1"/>
      <c r="AB5032" s="1"/>
      <c r="AC5032" s="1"/>
      <c r="AD5032" s="1"/>
      <c r="AE5032" s="1"/>
      <c r="AF5032" s="1"/>
      <c r="AG5032" s="1"/>
      <c r="AH5032" s="1"/>
      <c r="AI5032" s="1"/>
      <c r="AJ5032" s="1"/>
      <c r="AK5032" s="1"/>
      <c r="AL5032" s="1"/>
      <c r="AM5032" s="1"/>
      <c r="AN5032" s="1"/>
      <c r="AO5032" s="1"/>
      <c r="AP5032" s="1"/>
      <c r="AQ5032" s="1"/>
      <c r="AR5032" s="1"/>
      <c r="AS5032" s="1"/>
      <c r="AT5032" s="1"/>
      <c r="AU5032" s="1"/>
      <c r="AV5032" s="1"/>
      <c r="AW5032" s="1"/>
      <c r="AX5032" s="1"/>
      <c r="AY5032" s="1"/>
      <c r="AZ5032" s="1"/>
      <c r="BA5032" s="1"/>
      <c r="BB5032" s="1"/>
    </row>
    <row r="5033" ht="204.75" customHeight="1">
      <c r="A5033" s="1">
        <v>1662.0</v>
      </c>
      <c r="B5033" s="2" t="s">
        <v>14103</v>
      </c>
      <c r="C5033" s="2">
        <f>IFERROR(__xludf.DUMMYFUNCTION("split(B5033,""_"")"),1604.0)</f>
        <v>1604</v>
      </c>
      <c r="D5033" s="2" t="str">
        <f>IFERROR(__xludf.DUMMYFUNCTION("""COMPUTED_VALUE"""),"TBS")</f>
        <v>TBS</v>
      </c>
      <c r="E5033" s="2" t="str">
        <f>IFERROR(__xludf.DUMMYFUNCTION("""COMPUTED_VALUE"""),"火22")</f>
        <v>火22</v>
      </c>
      <c r="F5033" s="2" t="s">
        <v>14104</v>
      </c>
      <c r="G5033" s="2" t="s">
        <v>14105</v>
      </c>
      <c r="H5033" s="1">
        <v>1.0</v>
      </c>
      <c r="J5033" s="1" t="s">
        <v>82</v>
      </c>
      <c r="K5033" s="2" t="s">
        <v>14106</v>
      </c>
      <c r="L5033" s="2"/>
      <c r="M5033" s="2" t="str">
        <f>IFERROR(__xludf.DUMMYFUNCTION("split(split(K5033,""【"",false),""公式LINE"",false)"),"黒木華  オダギリジョー  坂口健太郎  荒川良々  濱田マリ  野々すみ花  永岡佑  最上もが  ・  小日向文世  ・  滝藤賢一  ・  ムロツヨシ  高田純次  安田顕  松重豊◇原作  「重版出来！」  松田奈緒子  （小学館　月刊！スピリッツ連載）  ◇脚本  野木亜紀子    ◇演出  土井裕泰    ◇プロデューサー  那須田淳  東仲恵吾  八尾香澄◇番組HP  http://www.tbs.co.jp/juhan-shuttai/  番組の内容と放送時間は変更になる場合があります。")</f>
        <v>黒木華  オダギリジョー  坂口健太郎  荒川良々  濱田マリ  野々すみ花  永岡佑  最上もが  ・  小日向文世  ・  滝藤賢一  ・  ムロツヨシ  高田純次  安田顕  松重豊◇原作  「重版出来！」  松田奈緒子  （小学館　月刊！スピリッツ連載）  ◇脚本  野木亜紀子    ◇演出  土井裕泰    ◇プロデューサー  那須田淳  東仲恵吾  八尾香澄◇番組HP  http://www.tbs.co.jp/juhan-shuttai/  番組の内容と放送時間は変更になる場合があります。</v>
      </c>
      <c r="N5033" s="2"/>
      <c r="O5033" s="2"/>
      <c r="P5033" s="1"/>
      <c r="Q5033" s="1"/>
      <c r="R5033" s="1"/>
      <c r="S5033" s="1"/>
      <c r="T5033" s="1"/>
      <c r="U5033" s="1"/>
      <c r="V5033" s="1"/>
      <c r="W5033" s="1"/>
      <c r="X5033" s="1"/>
      <c r="Y5033" s="1"/>
      <c r="Z5033" s="1"/>
      <c r="AA5033" s="1"/>
      <c r="AB5033" s="1"/>
      <c r="AC5033" s="1"/>
      <c r="AD5033" s="1"/>
      <c r="AE5033" s="1"/>
      <c r="AF5033" s="1"/>
      <c r="AG5033" s="1"/>
      <c r="AH5033" s="1"/>
      <c r="AI5033" s="1"/>
      <c r="AJ5033" s="1"/>
      <c r="AK5033" s="1"/>
      <c r="AL5033" s="1"/>
      <c r="AM5033" s="1"/>
      <c r="AN5033" s="1"/>
      <c r="AO5033" s="1"/>
      <c r="AP5033" s="1"/>
      <c r="AQ5033" s="1"/>
      <c r="AR5033" s="1"/>
      <c r="AS5033" s="1"/>
      <c r="AT5033" s="1"/>
      <c r="AU5033" s="1"/>
      <c r="AV5033" s="1"/>
      <c r="AW5033" s="1"/>
      <c r="AX5033" s="1"/>
      <c r="AY5033" s="1"/>
      <c r="AZ5033" s="1"/>
      <c r="BA5033" s="1"/>
      <c r="BB5033" s="1"/>
    </row>
    <row r="5034" ht="204.75" customHeight="1">
      <c r="A5034" s="1">
        <v>1663.0</v>
      </c>
      <c r="B5034" s="2" t="s">
        <v>14103</v>
      </c>
      <c r="C5034" s="2">
        <f>IFERROR(__xludf.DUMMYFUNCTION("split(B5034,""_"")"),1604.0)</f>
        <v>1604</v>
      </c>
      <c r="D5034" s="2" t="str">
        <f>IFERROR(__xludf.DUMMYFUNCTION("""COMPUTED_VALUE"""),"TBS")</f>
        <v>TBS</v>
      </c>
      <c r="E5034" s="2" t="str">
        <f>IFERROR(__xludf.DUMMYFUNCTION("""COMPUTED_VALUE"""),"火22")</f>
        <v>火22</v>
      </c>
      <c r="F5034" s="2" t="s">
        <v>14104</v>
      </c>
      <c r="G5034" s="2" t="s">
        <v>14107</v>
      </c>
      <c r="H5034" s="1">
        <v>2.0</v>
      </c>
      <c r="J5034" s="1" t="s">
        <v>86</v>
      </c>
      <c r="K5034" s="2" t="s">
        <v>14108</v>
      </c>
      <c r="L5034" s="2"/>
      <c r="M5034" s="2" t="str">
        <f>IFERROR(__xludf.DUMMYFUNCTION("split(split(K5034,""【"",false),""公式LINE"",false)"),"望まない部署に配属された営業マン・小泉。仕事のやる気もなく書店員たちからは陰でユーレイと呼ばれていた。  営業部長の岡からも叱られる日々。  あるとき、小泉が担当するタンポポ鉄道の3巻の発売が決まり、営業一丸となって集中的に売り込むことが決まる。  心も、助っ人で手伝いにくる。ポジティブに突き進む心を見た小泉の心境に変化が！？黒木華  オダギリジョー  坂口健太郎  荒川良々  野々すみ花  永岡佑  最上もが  ・  生瀬勝久  ・  滝藤賢一  要潤  ・  安田顕  松重豊◇原作  「重版出来！」 "&amp;" 松田奈緒子  （小学館　月刊！スピリッツ連載）  ◇脚本  野木亜紀子    ◇演出  土井裕泰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amp;"ぜひ挑戦してください♪  http://www.tbs.co.jp/juhan-shuttai/present/  番組の内容と放送時間は変更になる場合があります。")</f>
        <v>望まない部署に配属された営業マン・小泉。仕事のやる気もなく書店員たちからは陰でユーレイと呼ばれていた。  営業部長の岡からも叱られる日々。  あるとき、小泉が担当するタンポポ鉄道の3巻の発売が決まり、営業一丸となって集中的に売り込むことが決まる。  心も、助っ人で手伝いにくる。ポジティブに突き進む心を見た小泉の心境に変化が！？黒木華  オダギリジョー  坂口健太郎  荒川良々  野々すみ花  永岡佑  最上もが  ・  生瀬勝久  ・  滝藤賢一  要潤  ・  安田顕  松重豊◇原作  「重版出来！」  松田奈緒子  （小学館　月刊！スピリッツ連載）  ◇脚本  野木亜紀子    ◇演出  土井裕泰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  番組の内容と放送時間は変更になる場合があります。</v>
      </c>
      <c r="N5034" s="2"/>
      <c r="O5034" s="2"/>
      <c r="P5034" s="1"/>
      <c r="Q5034" s="1"/>
      <c r="R5034" s="1"/>
      <c r="S5034" s="1"/>
      <c r="T5034" s="1"/>
      <c r="U5034" s="1"/>
      <c r="V5034" s="1"/>
      <c r="W5034" s="1"/>
      <c r="X5034" s="1"/>
      <c r="Y5034" s="1"/>
      <c r="Z5034" s="1"/>
      <c r="AA5034" s="1"/>
      <c r="AB5034" s="1"/>
      <c r="AC5034" s="1"/>
      <c r="AD5034" s="1"/>
      <c r="AE5034" s="1"/>
      <c r="AF5034" s="1"/>
      <c r="AG5034" s="1"/>
      <c r="AH5034" s="1"/>
      <c r="AI5034" s="1"/>
      <c r="AJ5034" s="1"/>
      <c r="AK5034" s="1"/>
      <c r="AL5034" s="1"/>
      <c r="AM5034" s="1"/>
      <c r="AN5034" s="1"/>
      <c r="AO5034" s="1"/>
      <c r="AP5034" s="1"/>
      <c r="AQ5034" s="1"/>
      <c r="AR5034" s="1"/>
      <c r="AS5034" s="1"/>
      <c r="AT5034" s="1"/>
      <c r="AU5034" s="1"/>
      <c r="AV5034" s="1"/>
      <c r="AW5034" s="1"/>
      <c r="AX5034" s="1"/>
      <c r="AY5034" s="1"/>
      <c r="AZ5034" s="1"/>
      <c r="BA5034" s="1"/>
      <c r="BB5034" s="1"/>
    </row>
    <row r="5035" ht="204.75" customHeight="1">
      <c r="A5035" s="1">
        <v>1664.0</v>
      </c>
      <c r="B5035" s="2" t="s">
        <v>14103</v>
      </c>
      <c r="C5035" s="2">
        <f>IFERROR(__xludf.DUMMYFUNCTION("split(B5035,""_"")"),1604.0)</f>
        <v>1604</v>
      </c>
      <c r="D5035" s="2" t="str">
        <f>IFERROR(__xludf.DUMMYFUNCTION("""COMPUTED_VALUE"""),"TBS")</f>
        <v>TBS</v>
      </c>
      <c r="E5035" s="2" t="str">
        <f>IFERROR(__xludf.DUMMYFUNCTION("""COMPUTED_VALUE"""),"火22")</f>
        <v>火22</v>
      </c>
      <c r="F5035" s="2" t="s">
        <v>14104</v>
      </c>
      <c r="G5035" s="2" t="s">
        <v>14109</v>
      </c>
      <c r="H5035" s="1">
        <v>3.0</v>
      </c>
      <c r="J5035" s="1" t="s">
        <v>86</v>
      </c>
      <c r="K5035" s="2" t="s">
        <v>14110</v>
      </c>
      <c r="L5035" s="2"/>
      <c r="M5035" s="2" t="str">
        <f>IFERROR(__xludf.DUMMYFUNCTION("split(split(K5035,""【"",false),""公式LINE"",false)"),"黒木華  オダギリジョー  坂口健太郎  荒川良々  濱田マリ  野々すみ花  永岡佑  最上もが  ・  小日向文世  ・  滝藤賢一  ・  ムロツヨシ  高田純次  安田顕  松重豊◇原作  「重版出来！」  松田奈緒子  （小学館　月刊！スピリッツ連載）  ◇脚本  野木亜紀子    ◇演出  土井裕泰    ◇プロデューサー  那須田淳  東仲恵吾  八尾香澄◇番組HP  http://www.tbs.co.jp/juhan-shuttai/  ◇twitter  @koguma_tbs  ht"&amp;"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f>
        <v>黒木華  オダギリジョー  坂口健太郎  荒川良々  濱田マリ  野々すみ花  永岡佑  最上もが  ・  小日向文世  ・  滝藤賢一  ・  ムロツヨシ  高田純次  安田顕  松重豊◇原作  「重版出来！」  松田奈緒子  （小学館　月刊！スピリッツ連載）  ◇脚本  野木亜紀子    ◇演出  土井裕泰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v>
      </c>
      <c r="N5035" s="2"/>
      <c r="O5035" s="2"/>
      <c r="P5035" s="1"/>
      <c r="Q5035" s="1"/>
      <c r="R5035" s="1"/>
      <c r="S5035" s="1"/>
      <c r="T5035" s="1"/>
      <c r="U5035" s="1"/>
      <c r="V5035" s="1"/>
      <c r="W5035" s="1"/>
      <c r="X5035" s="1"/>
      <c r="Y5035" s="1"/>
      <c r="Z5035" s="1"/>
      <c r="AA5035" s="1"/>
      <c r="AB5035" s="1"/>
      <c r="AC5035" s="1"/>
      <c r="AD5035" s="1"/>
      <c r="AE5035" s="1"/>
      <c r="AF5035" s="1"/>
      <c r="AG5035" s="1"/>
      <c r="AH5035" s="1"/>
      <c r="AI5035" s="1"/>
      <c r="AJ5035" s="1"/>
      <c r="AK5035" s="1"/>
      <c r="AL5035" s="1"/>
      <c r="AM5035" s="1"/>
      <c r="AN5035" s="1"/>
      <c r="AO5035" s="1"/>
      <c r="AP5035" s="1"/>
      <c r="AQ5035" s="1"/>
      <c r="AR5035" s="1"/>
      <c r="AS5035" s="1"/>
      <c r="AT5035" s="1"/>
      <c r="AU5035" s="1"/>
      <c r="AV5035" s="1"/>
      <c r="AW5035" s="1"/>
      <c r="AX5035" s="1"/>
      <c r="AY5035" s="1"/>
      <c r="AZ5035" s="1"/>
      <c r="BA5035" s="1"/>
      <c r="BB5035" s="1"/>
    </row>
    <row r="5036" ht="204.75" customHeight="1">
      <c r="A5036" s="1">
        <v>1665.0</v>
      </c>
      <c r="B5036" s="2" t="s">
        <v>14103</v>
      </c>
      <c r="C5036" s="2">
        <f>IFERROR(__xludf.DUMMYFUNCTION("split(B5036,""_"")"),1604.0)</f>
        <v>1604</v>
      </c>
      <c r="D5036" s="2" t="str">
        <f>IFERROR(__xludf.DUMMYFUNCTION("""COMPUTED_VALUE"""),"TBS")</f>
        <v>TBS</v>
      </c>
      <c r="E5036" s="2" t="str">
        <f>IFERROR(__xludf.DUMMYFUNCTION("""COMPUTED_VALUE"""),"火22")</f>
        <v>火22</v>
      </c>
      <c r="F5036" s="2" t="s">
        <v>14104</v>
      </c>
      <c r="G5036" s="2" t="s">
        <v>14111</v>
      </c>
      <c r="H5036" s="1">
        <v>4.0</v>
      </c>
      <c r="J5036" s="1" t="s">
        <v>86</v>
      </c>
      <c r="K5036" s="2" t="s">
        <v>14112</v>
      </c>
      <c r="L5036" s="2"/>
      <c r="M5036" s="2" t="str">
        <f>IFERROR(__xludf.DUMMYFUNCTION("split(split(K5036,""【"",false),""公式LINE"",false)"),"同人誌即売会で出張編集部に向かう心。そこではデビューを目指す新人たちが原稿の持ち込みにくる。金の卵を見つけようと気合いをいれる心のもとに二人の新人が現れる。  二人とデビューを目指す心だったが、その前にたちはだかったのは新人ツブシという異名を持つ編集者・安井だった。  安井に言い返す心だったが・・・黒木華  オダギリジョー  坂口健太郎  荒川良々  野々すみ花  中川大志  高月彩良  最上もが  斎藤司（トレンディエンジェル）  ・  小日向文世  ・  滝藤賢一  ・  ムロツヨシ  安田顕  松重"&amp;"豊◇原作  「重版出来！」  松田奈緒子  （小学館　月刊！スピリッツ連載）  ◇脚本  野木亜紀子    ◇演出  福田亮介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amp;"テムですので、公式サイトにてぜひ挑戦してください♪  http://www.tbs.co.jp/juhan-shuttai/present/番組の内容と放送時間は変更になる場合があります。")</f>
        <v>同人誌即売会で出張編集部に向かう心。そこではデビューを目指す新人たちが原稿の持ち込みにくる。金の卵を見つけようと気合いをいれる心のもとに二人の新人が現れる。  二人とデビューを目指す心だったが、その前にたちはだかったのは新人ツブシという異名を持つ編集者・安井だった。  安井に言い返す心だったが・・・黒木華  オダギリジョー  坂口健太郎  荒川良々  野々すみ花  中川大志  高月彩良  最上もが  斎藤司（トレンディエンジェル）  ・  小日向文世  ・  滝藤賢一  ・  ムロツヨシ  安田顕  松重豊◇原作  「重版出来！」  松田奈緒子  （小学館　月刊！スピリッツ連載）  ◇脚本  野木亜紀子    ◇演出  福田亮介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v>
      </c>
      <c r="N5036" s="2"/>
      <c r="O5036" s="2"/>
      <c r="P5036" s="1"/>
      <c r="Q5036" s="1"/>
      <c r="R5036" s="1"/>
      <c r="S5036" s="1"/>
      <c r="T5036" s="1"/>
      <c r="U5036" s="1"/>
      <c r="V5036" s="1"/>
      <c r="W5036" s="1"/>
      <c r="X5036" s="1"/>
      <c r="Y5036" s="1"/>
      <c r="Z5036" s="1"/>
      <c r="AA5036" s="1"/>
      <c r="AB5036" s="1"/>
      <c r="AC5036" s="1"/>
      <c r="AD5036" s="1"/>
      <c r="AE5036" s="1"/>
      <c r="AF5036" s="1"/>
      <c r="AG5036" s="1"/>
      <c r="AH5036" s="1"/>
      <c r="AI5036" s="1"/>
      <c r="AJ5036" s="1"/>
      <c r="AK5036" s="1"/>
      <c r="AL5036" s="1"/>
      <c r="AM5036" s="1"/>
      <c r="AN5036" s="1"/>
      <c r="AO5036" s="1"/>
      <c r="AP5036" s="1"/>
      <c r="AQ5036" s="1"/>
      <c r="AR5036" s="1"/>
      <c r="AS5036" s="1"/>
      <c r="AT5036" s="1"/>
      <c r="AU5036" s="1"/>
      <c r="AV5036" s="1"/>
      <c r="AW5036" s="1"/>
      <c r="AX5036" s="1"/>
      <c r="AY5036" s="1"/>
      <c r="AZ5036" s="1"/>
      <c r="BA5036" s="1"/>
      <c r="BB5036" s="1"/>
    </row>
    <row r="5037" ht="204.75" customHeight="1">
      <c r="A5037" s="1">
        <v>1666.0</v>
      </c>
      <c r="B5037" s="2" t="s">
        <v>14103</v>
      </c>
      <c r="C5037" s="2">
        <f>IFERROR(__xludf.DUMMYFUNCTION("split(B5037,""_"")"),1604.0)</f>
        <v>1604</v>
      </c>
      <c r="D5037" s="2" t="str">
        <f>IFERROR(__xludf.DUMMYFUNCTION("""COMPUTED_VALUE"""),"TBS")</f>
        <v>TBS</v>
      </c>
      <c r="E5037" s="2" t="str">
        <f>IFERROR(__xludf.DUMMYFUNCTION("""COMPUTED_VALUE"""),"火22")</f>
        <v>火22</v>
      </c>
      <c r="F5037" s="2" t="s">
        <v>14104</v>
      </c>
      <c r="G5037" s="2" t="s">
        <v>14113</v>
      </c>
      <c r="H5037" s="1">
        <v>5.0</v>
      </c>
      <c r="J5037" s="1" t="s">
        <v>86</v>
      </c>
      <c r="K5037" s="2" t="s">
        <v>14110</v>
      </c>
      <c r="L5037" s="2"/>
      <c r="M5037" s="2" t="str">
        <f>IFERROR(__xludf.DUMMYFUNCTION("split(split(K5037,""【"",false),""公式LINE"",false)"),"黒木華  オダギリジョー  坂口健太郎  荒川良々  濱田マリ  野々すみ花  永岡佑  最上もが  ・  小日向文世  ・  滝藤賢一  ・  ムロツヨシ  高田純次  安田顕  松重豊◇原作  「重版出来！」  松田奈緒子  （小学館　月刊！スピリッツ連載）  ◇脚本  野木亜紀子    ◇演出  土井裕泰    ◇プロデューサー  那須田淳  東仲恵吾  八尾香澄◇番組HP  http://www.tbs.co.jp/juhan-shuttai/  ◇twitter  @koguma_tbs  ht"&amp;"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f>
        <v>黒木華  オダギリジョー  坂口健太郎  荒川良々  濱田マリ  野々すみ花  永岡佑  最上もが  ・  小日向文世  ・  滝藤賢一  ・  ムロツヨシ  高田純次  安田顕  松重豊◇原作  「重版出来！」  松田奈緒子  （小学館　月刊！スピリッツ連載）  ◇脚本  野木亜紀子    ◇演出  土井裕泰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v>
      </c>
      <c r="N5037" s="2"/>
      <c r="O5037" s="2"/>
      <c r="P5037" s="1"/>
      <c r="Q5037" s="1"/>
      <c r="R5037" s="1"/>
      <c r="S5037" s="1"/>
      <c r="T5037" s="1"/>
      <c r="U5037" s="1"/>
      <c r="V5037" s="1"/>
      <c r="W5037" s="1"/>
      <c r="X5037" s="1"/>
      <c r="Y5037" s="1"/>
      <c r="Z5037" s="1"/>
      <c r="AA5037" s="1"/>
      <c r="AB5037" s="1"/>
      <c r="AC5037" s="1"/>
      <c r="AD5037" s="1"/>
      <c r="AE5037" s="1"/>
      <c r="AF5037" s="1"/>
      <c r="AG5037" s="1"/>
      <c r="AH5037" s="1"/>
      <c r="AI5037" s="1"/>
      <c r="AJ5037" s="1"/>
      <c r="AK5037" s="1"/>
      <c r="AL5037" s="1"/>
      <c r="AM5037" s="1"/>
      <c r="AN5037" s="1"/>
      <c r="AO5037" s="1"/>
      <c r="AP5037" s="1"/>
      <c r="AQ5037" s="1"/>
      <c r="AR5037" s="1"/>
      <c r="AS5037" s="1"/>
      <c r="AT5037" s="1"/>
      <c r="AU5037" s="1"/>
      <c r="AV5037" s="1"/>
      <c r="AW5037" s="1"/>
      <c r="AX5037" s="1"/>
      <c r="AY5037" s="1"/>
      <c r="AZ5037" s="1"/>
      <c r="BA5037" s="1"/>
      <c r="BB5037" s="1"/>
    </row>
    <row r="5038" ht="204.75" customHeight="1">
      <c r="A5038" s="1">
        <v>1667.0</v>
      </c>
      <c r="B5038" s="2" t="s">
        <v>14103</v>
      </c>
      <c r="C5038" s="2">
        <f>IFERROR(__xludf.DUMMYFUNCTION("split(B5038,""_"")"),1604.0)</f>
        <v>1604</v>
      </c>
      <c r="D5038" s="2" t="str">
        <f>IFERROR(__xludf.DUMMYFUNCTION("""COMPUTED_VALUE"""),"TBS")</f>
        <v>TBS</v>
      </c>
      <c r="E5038" s="2" t="str">
        <f>IFERROR(__xludf.DUMMYFUNCTION("""COMPUTED_VALUE"""),"火22")</f>
        <v>火22</v>
      </c>
      <c r="F5038" s="2" t="s">
        <v>14104</v>
      </c>
      <c r="G5038" s="2" t="s">
        <v>14114</v>
      </c>
      <c r="H5038" s="1">
        <v>6.0</v>
      </c>
      <c r="J5038" s="1" t="s">
        <v>86</v>
      </c>
      <c r="K5038" s="2" t="s">
        <v>14110</v>
      </c>
      <c r="L5038" s="2"/>
      <c r="M5038" s="2" t="str">
        <f>IFERROR(__xludf.DUMMYFUNCTION("split(split(K5038,""【"",false),""公式LINE"",false)"),"黒木華  オダギリジョー  坂口健太郎  荒川良々  濱田マリ  野々すみ花  永岡佑  最上もが  ・  小日向文世  ・  滝藤賢一  ・  ムロツヨシ  高田純次  安田顕  松重豊◇原作  「重版出来！」  松田奈緒子  （小学館　月刊！スピリッツ連載）  ◇脚本  野木亜紀子    ◇演出  土井裕泰    ◇プロデューサー  那須田淳  東仲恵吾  八尾香澄◇番組HP  http://www.tbs.co.jp/juhan-shuttai/  ◇twitter  @koguma_tbs  ht"&amp;"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f>
        <v>黒木華  オダギリジョー  坂口健太郎  荒川良々  濱田マリ  野々すみ花  永岡佑  最上もが  ・  小日向文世  ・  滝藤賢一  ・  ムロツヨシ  高田純次  安田顕  松重豊◇原作  「重版出来！」  松田奈緒子  （小学館　月刊！スピリッツ連載）  ◇脚本  野木亜紀子    ◇演出  土井裕泰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v>
      </c>
      <c r="N5038" s="2"/>
      <c r="O5038" s="2"/>
      <c r="P5038" s="1"/>
      <c r="Q5038" s="1"/>
      <c r="R5038" s="1"/>
      <c r="S5038" s="1"/>
      <c r="T5038" s="1"/>
      <c r="U5038" s="1"/>
      <c r="V5038" s="1"/>
      <c r="W5038" s="1"/>
      <c r="X5038" s="1"/>
      <c r="Y5038" s="1"/>
      <c r="Z5038" s="1"/>
      <c r="AA5038" s="1"/>
      <c r="AB5038" s="1"/>
      <c r="AC5038" s="1"/>
      <c r="AD5038" s="1"/>
      <c r="AE5038" s="1"/>
      <c r="AF5038" s="1"/>
      <c r="AG5038" s="1"/>
      <c r="AH5038" s="1"/>
      <c r="AI5038" s="1"/>
      <c r="AJ5038" s="1"/>
      <c r="AK5038" s="1"/>
      <c r="AL5038" s="1"/>
      <c r="AM5038" s="1"/>
      <c r="AN5038" s="1"/>
      <c r="AO5038" s="1"/>
      <c r="AP5038" s="1"/>
      <c r="AQ5038" s="1"/>
      <c r="AR5038" s="1"/>
      <c r="AS5038" s="1"/>
      <c r="AT5038" s="1"/>
      <c r="AU5038" s="1"/>
      <c r="AV5038" s="1"/>
      <c r="AW5038" s="1"/>
      <c r="AX5038" s="1"/>
      <c r="AY5038" s="1"/>
      <c r="AZ5038" s="1"/>
      <c r="BA5038" s="1"/>
      <c r="BB5038" s="1"/>
    </row>
    <row r="5039" ht="204.75" customHeight="1">
      <c r="A5039" s="1">
        <v>1668.0</v>
      </c>
      <c r="B5039" s="2" t="s">
        <v>14103</v>
      </c>
      <c r="C5039" s="2">
        <f>IFERROR(__xludf.DUMMYFUNCTION("split(B5039,""_"")"),1604.0)</f>
        <v>1604</v>
      </c>
      <c r="D5039" s="2" t="str">
        <f>IFERROR(__xludf.DUMMYFUNCTION("""COMPUTED_VALUE"""),"TBS")</f>
        <v>TBS</v>
      </c>
      <c r="E5039" s="2" t="str">
        <f>IFERROR(__xludf.DUMMYFUNCTION("""COMPUTED_VALUE"""),"火22")</f>
        <v>火22</v>
      </c>
      <c r="F5039" s="2" t="s">
        <v>14104</v>
      </c>
      <c r="G5039" s="2" t="s">
        <v>14115</v>
      </c>
      <c r="H5039" s="1">
        <v>7.0</v>
      </c>
      <c r="J5039" s="1" t="s">
        <v>86</v>
      </c>
      <c r="K5039" s="2" t="s">
        <v>14116</v>
      </c>
      <c r="L5039" s="2"/>
      <c r="M5039" s="2" t="str">
        <f>IFERROR(__xludf.DUMMYFUNCTION("split(split(K5039,""【"",false),""公式LINE"",false)"),"三蔵山のもとで20年アシスタントをしている沼田（ムロツヨシ）。中田（永山絢斗）の面倒を見ていく中で、次第に中田の才能に嫉妬を覚えるようになっていく。  一方、心（黒木華）は和田（松重豊）に連れられて伝説の漫画家のもとに向かっていた。  そこには変わり果てた姿の漫画家がいて・・・黒木華  オダギリジョー  坂口健太郎  荒川良々  野々すみ花  康すおん  ・  小日向文世  ・  永山絢斗  ・  ムロツヨシ  安田顕  松重豊◇原作  「重版出来！」  松田奈緒子  （小学館　月刊！スピリッツ連載）  "&amp;"◇脚本  野木亜紀子    ◇演出  塚原あゆ子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http://www.t"&amp;"bs.co.jp/juhan-shuttai/present/番組の内容と放送時間は変更になる場合があります。")</f>
        <v>三蔵山のもとで20年アシスタントをしている沼田（ムロツヨシ）。中田（永山絢斗）の面倒を見ていく中で、次第に中田の才能に嫉妬を覚えるようになっていく。  一方、心（黒木華）は和田（松重豊）に連れられて伝説の漫画家のもとに向かっていた。  そこには変わり果てた姿の漫画家がいて・・・黒木華  オダギリジョー  坂口健太郎  荒川良々  野々すみ花  康すおん  ・  小日向文世  ・  永山絢斗  ・  ムロツヨシ  安田顕  松重豊◇原作  「重版出来！」  松田奈緒子  （小学館　月刊！スピリッツ連載）  ◇脚本  野木亜紀子    ◇演出  塚原あゆ子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v>
      </c>
      <c r="N5039" s="2"/>
      <c r="O5039" s="2"/>
      <c r="P5039" s="1"/>
      <c r="Q5039" s="1"/>
      <c r="R5039" s="1"/>
      <c r="S5039" s="1"/>
      <c r="T5039" s="1"/>
      <c r="U5039" s="1"/>
      <c r="V5039" s="1"/>
      <c r="W5039" s="1"/>
      <c r="X5039" s="1"/>
      <c r="Y5039" s="1"/>
      <c r="Z5039" s="1"/>
      <c r="AA5039" s="1"/>
      <c r="AB5039" s="1"/>
      <c r="AC5039" s="1"/>
      <c r="AD5039" s="1"/>
      <c r="AE5039" s="1"/>
      <c r="AF5039" s="1"/>
      <c r="AG5039" s="1"/>
      <c r="AH5039" s="1"/>
      <c r="AI5039" s="1"/>
      <c r="AJ5039" s="1"/>
      <c r="AK5039" s="1"/>
      <c r="AL5039" s="1"/>
      <c r="AM5039" s="1"/>
      <c r="AN5039" s="1"/>
      <c r="AO5039" s="1"/>
      <c r="AP5039" s="1"/>
      <c r="AQ5039" s="1"/>
      <c r="AR5039" s="1"/>
      <c r="AS5039" s="1"/>
      <c r="AT5039" s="1"/>
      <c r="AU5039" s="1"/>
      <c r="AV5039" s="1"/>
      <c r="AW5039" s="1"/>
      <c r="AX5039" s="1"/>
      <c r="AY5039" s="1"/>
      <c r="AZ5039" s="1"/>
      <c r="BA5039" s="1"/>
      <c r="BB5039" s="1"/>
    </row>
    <row r="5040" ht="204.75" customHeight="1">
      <c r="A5040" s="1">
        <v>1669.0</v>
      </c>
      <c r="B5040" s="2" t="s">
        <v>14103</v>
      </c>
      <c r="C5040" s="2">
        <f>IFERROR(__xludf.DUMMYFUNCTION("split(B5040,""_"")"),1604.0)</f>
        <v>1604</v>
      </c>
      <c r="D5040" s="2" t="str">
        <f>IFERROR(__xludf.DUMMYFUNCTION("""COMPUTED_VALUE"""),"TBS")</f>
        <v>TBS</v>
      </c>
      <c r="E5040" s="2" t="str">
        <f>IFERROR(__xludf.DUMMYFUNCTION("""COMPUTED_VALUE"""),"火22")</f>
        <v>火22</v>
      </c>
      <c r="F5040" s="2" t="s">
        <v>14104</v>
      </c>
      <c r="G5040" s="2" t="s">
        <v>14117</v>
      </c>
      <c r="H5040" s="1">
        <v>8.0</v>
      </c>
      <c r="J5040" s="1" t="s">
        <v>86</v>
      </c>
      <c r="K5040" s="2" t="s">
        <v>14118</v>
      </c>
      <c r="L5040" s="2"/>
      <c r="M5040" s="2" t="str">
        <f>IFERROR(__xludf.DUMMYFUNCTION("split(split(K5040,""【"",false),""公式LINE"",false)"),"電子書籍化交渉の為、かつての天才漫画家・牛露田の元に通う和田と心。しかし別人のような姿になった牛露田と、いじめに合っている娘・アユもすさんでいた。アユの心を開くべく接する心だが…。  一方、中田が原因不明のスランプに陥り大ピンチの心。中田の弱点は「他人を理解する力の欠如」だというが…。黒木華  オダギリジョー  坂口健太郎  荒川良々  野々すみ花  康すおん  赤江珠緒  蒔田彩珠  ・  小日向文世  ・  滝藤賢一  永山絢斗  ・  安田顕  松重豊◇原作  「重版出来！」  松田奈緒子  （小学"&amp;"館　月刊！スピリッツ連載）  ◇脚本  野木亜紀子    ◇演出  土井裕泰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amp;"  http://www.tbs.co.jp/juhan-shuttai/present/  リオ五輪バレーボール世界最終予選　男子3戦　日本×ポーランドの試合状況により、放送時間が変更になる可能性がございます。")</f>
        <v>電子書籍化交渉の為、かつての天才漫画家・牛露田の元に通う和田と心。しかし別人のような姿になった牛露田と、いじめに合っている娘・アユもすさんでいた。アユの心を開くべく接する心だが…。  一方、中田が原因不明のスランプに陥り大ピンチの心。中田の弱点は「他人を理解する力の欠如」だというが…。黒木華  オダギリジョー  坂口健太郎  荒川良々  野々すみ花  康すおん  赤江珠緒  蒔田彩珠  ・  小日向文世  ・  滝藤賢一  永山絢斗  ・  安田顕  松重豊◇原作  「重版出来！」  松田奈緒子  （小学館　月刊！スピリッツ連載）  ◇脚本  野木亜紀子    ◇演出  土井裕泰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  リオ五輪バレーボール世界最終予選　男子3戦　日本×ポーランドの試合状況により、放送時間が変更になる可能性がございます。</v>
      </c>
      <c r="N5040" s="2"/>
      <c r="O5040" s="2"/>
      <c r="P5040" s="1"/>
      <c r="Q5040" s="1"/>
      <c r="R5040" s="1"/>
      <c r="S5040" s="1"/>
      <c r="T5040" s="1"/>
      <c r="U5040" s="1"/>
      <c r="V5040" s="1"/>
      <c r="W5040" s="1"/>
      <c r="X5040" s="1"/>
      <c r="Y5040" s="1"/>
      <c r="Z5040" s="1"/>
      <c r="AA5040" s="1"/>
      <c r="AB5040" s="1"/>
      <c r="AC5040" s="1"/>
      <c r="AD5040" s="1"/>
      <c r="AE5040" s="1"/>
      <c r="AF5040" s="1"/>
      <c r="AG5040" s="1"/>
      <c r="AH5040" s="1"/>
      <c r="AI5040" s="1"/>
      <c r="AJ5040" s="1"/>
      <c r="AK5040" s="1"/>
      <c r="AL5040" s="1"/>
      <c r="AM5040" s="1"/>
      <c r="AN5040" s="1"/>
      <c r="AO5040" s="1"/>
      <c r="AP5040" s="1"/>
      <c r="AQ5040" s="1"/>
      <c r="AR5040" s="1"/>
      <c r="AS5040" s="1"/>
      <c r="AT5040" s="1"/>
      <c r="AU5040" s="1"/>
      <c r="AV5040" s="1"/>
      <c r="AW5040" s="1"/>
      <c r="AX5040" s="1"/>
      <c r="AY5040" s="1"/>
      <c r="AZ5040" s="1"/>
      <c r="BA5040" s="1"/>
      <c r="BB5040" s="1"/>
    </row>
    <row r="5041" ht="204.75" customHeight="1">
      <c r="A5041" s="1">
        <v>1670.0</v>
      </c>
      <c r="B5041" s="2" t="s">
        <v>14103</v>
      </c>
      <c r="C5041" s="2">
        <f>IFERROR(__xludf.DUMMYFUNCTION("split(B5041,""_"")"),1604.0)</f>
        <v>1604</v>
      </c>
      <c r="D5041" s="2" t="str">
        <f>IFERROR(__xludf.DUMMYFUNCTION("""COMPUTED_VALUE"""),"TBS")</f>
        <v>TBS</v>
      </c>
      <c r="E5041" s="2" t="str">
        <f>IFERROR(__xludf.DUMMYFUNCTION("""COMPUTED_VALUE"""),"火22")</f>
        <v>火22</v>
      </c>
      <c r="F5041" s="2" t="s">
        <v>14104</v>
      </c>
      <c r="G5041" s="2" t="s">
        <v>14119</v>
      </c>
      <c r="H5041" s="1">
        <v>9.0</v>
      </c>
      <c r="J5041" s="1" t="s">
        <v>86</v>
      </c>
      <c r="K5041" s="2" t="s">
        <v>14120</v>
      </c>
      <c r="L5041" s="2"/>
      <c r="M5041" s="2" t="str">
        <f>IFERROR(__xludf.DUMMYFUNCTION("split(split(K5041,""【"",false),""公式LINE"",false)"),"エンペラーの引き抜きに合う高畑。  初代担当者の五百頭旗は、そのことを高畑の恋人・梨音から聞いてしまう。しかし、作家のことを一番に考えるあまり聞けずにいた。  がらにもなく高畑の後をつけたりしながら、五百頭旗は、あたふたする。一方、心は中田との連載に向けて進んでいた。  連載の決め手に欠ける中田の作品に足りないものとは何か。黒木華  オダギリジョー  坂口健太郎  荒川良々  野々すみ花  最上もが  明和電機  ・  小日向文世  ・  滝藤賢一  永岡絢斗  ・  安田顕  松重豊◇原作  「重版出来"&amp;"！」  松田奈緒子  （小学館　月刊！スピリッツ連載）  ◇脚本  野木亜紀子    ◇演出  福田亮介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amp;"トにてぜひ挑戦してください♪  http://www.tbs.co.jp/juhan-shuttai/present/番組の内容と放送時間は変更になる場合があります。")</f>
        <v>エンペラーの引き抜きに合う高畑。  初代担当者の五百頭旗は、そのことを高畑の恋人・梨音から聞いてしまう。しかし、作家のことを一番に考えるあまり聞けずにいた。  がらにもなく高畑の後をつけたりしながら、五百頭旗は、あたふたする。一方、心は中田との連載に向けて進んでいた。  連載の決め手に欠ける中田の作品に足りないものとは何か。黒木華  オダギリジョー  坂口健太郎  荒川良々  野々すみ花  最上もが  明和電機  ・  小日向文世  ・  滝藤賢一  永岡絢斗  ・  安田顕  松重豊◇原作  「重版出来！」  松田奈緒子  （小学館　月刊！スピリッツ連載）  ◇脚本  野木亜紀子    ◇演出  福田亮介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v>
      </c>
      <c r="N5041" s="2"/>
      <c r="O5041" s="2"/>
      <c r="P5041" s="1"/>
      <c r="Q5041" s="1"/>
      <c r="R5041" s="1"/>
      <c r="S5041" s="1"/>
      <c r="T5041" s="1"/>
      <c r="U5041" s="1"/>
      <c r="V5041" s="1"/>
      <c r="W5041" s="1"/>
      <c r="X5041" s="1"/>
      <c r="Y5041" s="1"/>
      <c r="Z5041" s="1"/>
      <c r="AA5041" s="1"/>
      <c r="AB5041" s="1"/>
      <c r="AC5041" s="1"/>
      <c r="AD5041" s="1"/>
      <c r="AE5041" s="1"/>
      <c r="AF5041" s="1"/>
      <c r="AG5041" s="1"/>
      <c r="AH5041" s="1"/>
      <c r="AI5041" s="1"/>
      <c r="AJ5041" s="1"/>
      <c r="AK5041" s="1"/>
      <c r="AL5041" s="1"/>
      <c r="AM5041" s="1"/>
      <c r="AN5041" s="1"/>
      <c r="AO5041" s="1"/>
      <c r="AP5041" s="1"/>
      <c r="AQ5041" s="1"/>
      <c r="AR5041" s="1"/>
      <c r="AS5041" s="1"/>
      <c r="AT5041" s="1"/>
      <c r="AU5041" s="1"/>
      <c r="AV5041" s="1"/>
      <c r="AW5041" s="1"/>
      <c r="AX5041" s="1"/>
      <c r="AY5041" s="1"/>
      <c r="AZ5041" s="1"/>
      <c r="BA5041" s="1"/>
      <c r="BB5041" s="1"/>
    </row>
    <row r="5042" ht="204.75" customHeight="1">
      <c r="A5042" s="1">
        <v>1671.0</v>
      </c>
      <c r="B5042" s="2" t="s">
        <v>14103</v>
      </c>
      <c r="C5042" s="2">
        <f>IFERROR(__xludf.DUMMYFUNCTION("split(B5042,""_"")"),1604.0)</f>
        <v>1604</v>
      </c>
      <c r="D5042" s="2" t="str">
        <f>IFERROR(__xludf.DUMMYFUNCTION("""COMPUTED_VALUE"""),"TBS")</f>
        <v>TBS</v>
      </c>
      <c r="E5042" s="2" t="str">
        <f>IFERROR(__xludf.DUMMYFUNCTION("""COMPUTED_VALUE"""),"火22")</f>
        <v>火22</v>
      </c>
      <c r="F5042" s="2" t="s">
        <v>14104</v>
      </c>
      <c r="G5042" s="2" t="s">
        <v>14121</v>
      </c>
      <c r="H5042" s="1">
        <v>10.0</v>
      </c>
      <c r="J5042" s="1" t="s">
        <v>86</v>
      </c>
      <c r="K5042" s="2" t="s">
        <v>14110</v>
      </c>
      <c r="L5042" s="2"/>
      <c r="M5042" s="2" t="str">
        <f>IFERROR(__xludf.DUMMYFUNCTION("split(split(K5042,""【"",false),""公式LINE"",false)"),"黒木華  オダギリジョー  坂口健太郎  荒川良々  濱田マリ  野々すみ花  永岡佑  最上もが  ・  小日向文世  ・  滝藤賢一  ・  ムロツヨシ  高田純次  安田顕  松重豊◇原作  「重版出来！」  松田奈緒子  （小学館　月刊！スピリッツ連載）  ◇脚本  野木亜紀子    ◇演出  土井裕泰    ◇プロデューサー  那須田淳  東仲恵吾  八尾香澄◇番組HP  http://www.tbs.co.jp/juhan-shuttai/  ◇twitter  @koguma_tbs  ht"&amp;"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f>
        <v>黒木華  オダギリジョー  坂口健太郎  荒川良々  濱田マリ  野々すみ花  永岡佑  最上もが  ・  小日向文世  ・  滝藤賢一  ・  ムロツヨシ  高田純次  安田顕  松重豊◇原作  「重版出来！」  松田奈緒子  （小学館　月刊！スピリッツ連載）  ◇脚本  野木亜紀子    ◇演出  土井裕泰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v>
      </c>
      <c r="N5042" s="2"/>
      <c r="O5042" s="2"/>
      <c r="P5042" s="1"/>
      <c r="Q5042" s="1"/>
      <c r="R5042" s="1"/>
      <c r="S5042" s="1"/>
      <c r="T5042" s="1"/>
      <c r="U5042" s="1"/>
      <c r="V5042" s="1"/>
      <c r="W5042" s="1"/>
      <c r="X5042" s="1"/>
      <c r="Y5042" s="1"/>
      <c r="Z5042" s="1"/>
      <c r="AA5042" s="1"/>
      <c r="AB5042" s="1"/>
      <c r="AC5042" s="1"/>
      <c r="AD5042" s="1"/>
      <c r="AE5042" s="1"/>
      <c r="AF5042" s="1"/>
      <c r="AG5042" s="1"/>
      <c r="AH5042" s="1"/>
      <c r="AI5042" s="1"/>
      <c r="AJ5042" s="1"/>
      <c r="AK5042" s="1"/>
      <c r="AL5042" s="1"/>
      <c r="AM5042" s="1"/>
      <c r="AN5042" s="1"/>
      <c r="AO5042" s="1"/>
      <c r="AP5042" s="1"/>
      <c r="AQ5042" s="1"/>
      <c r="AR5042" s="1"/>
      <c r="AS5042" s="1"/>
      <c r="AT5042" s="1"/>
      <c r="AU5042" s="1"/>
      <c r="AV5042" s="1"/>
      <c r="AW5042" s="1"/>
      <c r="AX5042" s="1"/>
      <c r="AY5042" s="1"/>
      <c r="AZ5042" s="1"/>
      <c r="BA5042" s="1"/>
      <c r="BB5042" s="1"/>
    </row>
    <row r="5043" ht="204.75" customHeight="1">
      <c r="A5043" s="1">
        <v>1736.0</v>
      </c>
      <c r="B5043" s="2" t="s">
        <v>14122</v>
      </c>
      <c r="C5043" s="2">
        <f>IFERROR(__xludf.DUMMYFUNCTION("split(B5043,""_"")"),1604.0)</f>
        <v>1604</v>
      </c>
      <c r="D5043" s="2" t="str">
        <f>IFERROR(__xludf.DUMMYFUNCTION("""COMPUTED_VALUE"""),"TBS")</f>
        <v>TBS</v>
      </c>
      <c r="E5043" s="2" t="str">
        <f>IFERROR(__xludf.DUMMYFUNCTION("""COMPUTED_VALUE"""),"日21")</f>
        <v>日21</v>
      </c>
      <c r="F5043" s="2">
        <v>99.9</v>
      </c>
      <c r="G5043" s="2" t="s">
        <v>14123</v>
      </c>
      <c r="H5043" s="1">
        <v>1.0</v>
      </c>
      <c r="J5043" s="1" t="s">
        <v>4</v>
      </c>
      <c r="K5043" s="2" t="s">
        <v>14124</v>
      </c>
      <c r="L5043" s="2"/>
      <c r="M5043" s="2" t="str">
        <f>IFERROR(__xludf.DUMMYFUNCTION("split(split(K5043,""【"",false),""公式LINE"",false)"),"深山(松本潤) はお金にならない刑事事件ばかりを引き受ける貧乏弁護士。ある日、巨大法律事務所の斑目 (岸部一徳) からヘッドハンティングされる。移籍した深山であったが、バディを組むはずの佐田 (香川照之) は、大企業の顧問弁護士を務める民事のトッププレーヤーで金にならない刑事事件には全く興味がない様子だ。さらにチームのもう一人の弁護士である 立花(榮倉奈々) も渋々移籍してきた様子で…松本潤  香川照之  榮倉奈々    青木崇高  片桐仁  マギー  渡辺真起子  馬場徹  映美くらら  池田貴史  岸"&amp;"井ゆきの  藤本隆宏    奥田瑛二  岸部一徳    ゲスト  赤井英和  堀内敬子ほかクイズに答えて番組特製マグカップを当てよう！抽せんで3名様にプレゼント！クイズはこちら！4/17夜9時〆切⇒ http://www.tbs.co.jp/999tbs/present/  主題歌：嵐「Daylight」  音楽：井筒昭雄脚本：宇田学  トリック監修：蒔田光治  演出：木村ひさし◇番組HP  http://www.tbs.co.jp/999tbs/  ◇twitter  @999_tbs  https:/"&amp;"/twitter.com/999_tbs?ref_src=twsrc%5Etfw番組の内容と放送時間は変更になる場合があります。※報道特番に変更の可能性があります。")</f>
        <v>深山(松本潤) はお金にならない刑事事件ばかりを引き受ける貧乏弁護士。ある日、巨大法律事務所の斑目 (岸部一徳) からヘッドハンティングされる。移籍した深山であったが、バディを組むはずの佐田 (香川照之) は、大企業の顧問弁護士を務める民事のトッププレーヤーで金にならない刑事事件には全く興味がない様子だ。さらにチームのもう一人の弁護士である 立花(榮倉奈々) も渋々移籍してきた様子で…松本潤  香川照之  榮倉奈々    青木崇高  片桐仁  マギー  渡辺真起子  馬場徹  映美くらら  池田貴史  岸井ゆきの  藤本隆宏    奥田瑛二  岸部一徳    ゲスト  赤井英和  堀内敬子ほかクイズに答えて番組特製マグカップを当てよう！抽せんで3名様にプレゼント！クイズはこちら！4/17夜9時〆切⇒ http://www.tbs.co.jp/999tbs/present/  主題歌：嵐「Daylight」  音楽：井筒昭雄脚本：宇田学  トリック監修：蒔田光治  演出：木村ひさし◇番組HP  http://www.tbs.co.jp/999tbs/  ◇twitter  @999_tbs  https://twitter.com/999_tbs?ref_src=twsrc%5Etfw番組の内容と放送時間は変更になる場合があります。※報道特番に変更の可能性があります。</v>
      </c>
      <c r="N5043" s="2"/>
      <c r="O5043" s="2"/>
      <c r="P5043" s="1"/>
      <c r="Q5043" s="1"/>
      <c r="R5043" s="1"/>
      <c r="S5043" s="1"/>
      <c r="T5043" s="1"/>
      <c r="U5043" s="1"/>
      <c r="V5043" s="1"/>
      <c r="W5043" s="1"/>
      <c r="X5043" s="1"/>
      <c r="Y5043" s="1"/>
      <c r="Z5043" s="1"/>
      <c r="AA5043" s="1"/>
      <c r="AB5043" s="1"/>
      <c r="AC5043" s="1"/>
      <c r="AD5043" s="1"/>
      <c r="AE5043" s="1"/>
      <c r="AF5043" s="1"/>
      <c r="AG5043" s="1"/>
      <c r="AH5043" s="1"/>
      <c r="AI5043" s="1"/>
      <c r="AJ5043" s="1"/>
      <c r="AK5043" s="1"/>
      <c r="AL5043" s="1"/>
      <c r="AM5043" s="1"/>
      <c r="AN5043" s="1"/>
      <c r="AO5043" s="1"/>
      <c r="AP5043" s="1"/>
      <c r="AQ5043" s="1"/>
      <c r="AR5043" s="1"/>
      <c r="AS5043" s="1"/>
      <c r="AT5043" s="1"/>
      <c r="AU5043" s="1"/>
      <c r="AV5043" s="1"/>
      <c r="AW5043" s="1"/>
      <c r="AX5043" s="1"/>
      <c r="AY5043" s="1"/>
      <c r="AZ5043" s="1"/>
      <c r="BA5043" s="1"/>
      <c r="BB5043" s="1"/>
    </row>
    <row r="5044" ht="204.75" customHeight="1">
      <c r="A5044" s="1">
        <v>1737.0</v>
      </c>
      <c r="B5044" s="2" t="s">
        <v>14122</v>
      </c>
      <c r="C5044" s="2">
        <f>IFERROR(__xludf.DUMMYFUNCTION("split(B5044,""_"")"),1604.0)</f>
        <v>1604</v>
      </c>
      <c r="D5044" s="2" t="str">
        <f>IFERROR(__xludf.DUMMYFUNCTION("""COMPUTED_VALUE"""),"TBS")</f>
        <v>TBS</v>
      </c>
      <c r="E5044" s="2" t="str">
        <f>IFERROR(__xludf.DUMMYFUNCTION("""COMPUTED_VALUE"""),"日21")</f>
        <v>日21</v>
      </c>
      <c r="F5044" s="2">
        <v>99.9</v>
      </c>
      <c r="G5044" s="2" t="s">
        <v>14125</v>
      </c>
      <c r="H5044" s="1">
        <v>2.0</v>
      </c>
      <c r="J5044" s="1" t="s">
        <v>4</v>
      </c>
      <c r="K5044" s="2" t="s">
        <v>14126</v>
      </c>
      <c r="L5044" s="2"/>
      <c r="M5044" s="2" t="str">
        <f>IFERROR(__xludf.DUMMYFUNCTION("split(split(K5044,""【"",false),""公式LINE"",false)"),"深山は、口論となった男をもみ合いの末にナイフで殺害してしまった山下 (風間俊介) の弁護を担当することになる。  山下は、たまたま立ち寄った居酒屋で、大騒ぎをする男を注意すると、外に連れ出される。そこで、逆上してナイフを出してきた木内を、もみ合った末に奪ったナイフで殺害してしまったのだ。  当然、山下は正当防衛を主張している。  だが、深山は山下の証言に違和感を覚え、彼ならではの捜査を始める。松本潤  香川照之  榮倉奈々  青木崇高  片桐仁  マギー  渡辺真起子  馬場徹  映美くらら  池田貴史 "&amp;" 岸井ゆきの  藤本隆宏    奥田瑛二  岸部一徳    ＜第2話ゲスト＞  風間俊介  大和田健介日曜劇場『99.9－刑事専門弁護士－』の放送終了後に、番組内容に関するクイズを出題。  正解者の中から抽選で、番組オリジナル・クリアファイル (松本さん、香川さん、榮倉さんのポスター3ショットのデザイン！) をプレゼントいたします。たくさんのご応募、お待ちしています。  http://www.tbs.co.jp/999tbs/present/  主題歌：嵐「Daylight」  音楽：井筒昭雄脚本：宇田学"&amp;"  トリック監修：蒔田光治  演出：木村ひさし◇番組HP  http://www.tbs.co.jp/999tbs/  ◇twitter  @999_tbs  https://twitter.com/999_tbs?ref_src=twsrc%5Etfw番組の内容と放送時間は変更になる場合があります。")</f>
        <v>深山は、口論となった男をもみ合いの末にナイフで殺害してしまった山下 (風間俊介) の弁護を担当することになる。  山下は、たまたま立ち寄った居酒屋で、大騒ぎをする男を注意すると、外に連れ出される。そこで、逆上してナイフを出してきた木内を、もみ合った末に奪ったナイフで殺害してしまったのだ。  当然、山下は正当防衛を主張している。  だが、深山は山下の証言に違和感を覚え、彼ならではの捜査を始める。松本潤  香川照之  榮倉奈々  青木崇高  片桐仁  マギー  渡辺真起子  馬場徹  映美くらら  池田貴史  岸井ゆきの  藤本隆宏    奥田瑛二  岸部一徳    ＜第2話ゲスト＞  風間俊介  大和田健介日曜劇場『99.9－刑事専門弁護士－』の放送終了後に、番組内容に関するクイズを出題。  正解者の中から抽選で、番組オリジナル・クリアファイル (松本さん、香川さん、榮倉さんのポスター3ショットのデザイン！) をプレゼントいたします。たくさんのご応募、お待ちしています。  http://www.tbs.co.jp/999tbs/present/  主題歌：嵐「Daylight」  音楽：井筒昭雄脚本：宇田学  トリック監修：蒔田光治  演出：木村ひさし◇番組HP  http://www.tbs.co.jp/999tbs/  ◇twitter  @999_tbs  https://twitter.com/999_tbs?ref_src=twsrc%5Etfw番組の内容と放送時間は変更になる場合があります。</v>
      </c>
      <c r="N5044" s="2"/>
      <c r="O5044" s="2"/>
      <c r="P5044" s="1"/>
      <c r="Q5044" s="1"/>
      <c r="R5044" s="1"/>
      <c r="S5044" s="1"/>
      <c r="T5044" s="1"/>
      <c r="U5044" s="1"/>
      <c r="V5044" s="1"/>
      <c r="W5044" s="1"/>
      <c r="X5044" s="1"/>
      <c r="Y5044" s="1"/>
      <c r="Z5044" s="1"/>
      <c r="AA5044" s="1"/>
      <c r="AB5044" s="1"/>
      <c r="AC5044" s="1"/>
      <c r="AD5044" s="1"/>
      <c r="AE5044" s="1"/>
      <c r="AF5044" s="1"/>
      <c r="AG5044" s="1"/>
      <c r="AH5044" s="1"/>
      <c r="AI5044" s="1"/>
      <c r="AJ5044" s="1"/>
      <c r="AK5044" s="1"/>
      <c r="AL5044" s="1"/>
      <c r="AM5044" s="1"/>
      <c r="AN5044" s="1"/>
      <c r="AO5044" s="1"/>
      <c r="AP5044" s="1"/>
      <c r="AQ5044" s="1"/>
      <c r="AR5044" s="1"/>
      <c r="AS5044" s="1"/>
      <c r="AT5044" s="1"/>
      <c r="AU5044" s="1"/>
      <c r="AV5044" s="1"/>
      <c r="AW5044" s="1"/>
      <c r="AX5044" s="1"/>
      <c r="AY5044" s="1"/>
      <c r="AZ5044" s="1"/>
      <c r="BA5044" s="1"/>
      <c r="BB5044" s="1"/>
    </row>
    <row r="5045" ht="204.75" customHeight="1">
      <c r="A5045" s="1">
        <v>1738.0</v>
      </c>
      <c r="B5045" s="2" t="s">
        <v>14122</v>
      </c>
      <c r="C5045" s="2">
        <f>IFERROR(__xludf.DUMMYFUNCTION("split(B5045,""_"")"),1604.0)</f>
        <v>1604</v>
      </c>
      <c r="D5045" s="2" t="str">
        <f>IFERROR(__xludf.DUMMYFUNCTION("""COMPUTED_VALUE"""),"TBS")</f>
        <v>TBS</v>
      </c>
      <c r="E5045" s="2" t="str">
        <f>IFERROR(__xludf.DUMMYFUNCTION("""COMPUTED_VALUE"""),"日21")</f>
        <v>日21</v>
      </c>
      <c r="F5045" s="2">
        <v>99.9</v>
      </c>
      <c r="G5045" s="2" t="s">
        <v>14127</v>
      </c>
      <c r="H5045" s="1">
        <v>3.0</v>
      </c>
      <c r="J5045" s="1" t="s">
        <v>11</v>
      </c>
      <c r="K5045" s="2" t="s">
        <v>14128</v>
      </c>
      <c r="L5045" s="2"/>
      <c r="M5045" s="2" t="str">
        <f>IFERROR(__xludf.DUMMYFUNCTION("split(split(K5045,""【"",false),""公式LINE"",false)"),"刑事専門ルームに新たな案件が舞い込んでくる。その案件とは、川口建設の金庫に常備していた1,000万円が盗まれた事件。経理を担当していた 果歩 (山下リオ) が逮捕され、娘を助けて欲しいと母・冴子 (麻生祐未) から依頼があったのだ。  被告人が女性であることもあり、自分の実力を見せたい彩乃が担当したいと申し出て、佐田に了承される。  果歩に接見に行く彩乃だが、「私には母はいない」と拒否されてしまい…松本潤  香川照之  榮倉奈々    青木崇高  片桐仁  マギー  渡辺真起子  馬場徹  映美くらら  "&amp;"池田貴史  岸井ゆきの  藤本隆宏    奥田瑛二  岸部一徳    ＜ゲスト＞  山下リオ  麻生祐未  鶴見辰吾主題歌：嵐「Daylight」  音楽：井筒昭雄脚本：宇田学  トリック監修：蒔田光治  演出：木村ひさし◇番組HP  http://www.tbs.co.jp/999tbs/  ◇twitter  @999_tbs  https://twitter.com/999_tbs?ref_src=twsrc%5Etfw番組の内容と放送時間は変更になる場合があります。")</f>
        <v>刑事専門ルームに新たな案件が舞い込んでくる。その案件とは、川口建設の金庫に常備していた1,000万円が盗まれた事件。経理を担当していた 果歩 (山下リオ) が逮捕され、娘を助けて欲しいと母・冴子 (麻生祐未) から依頼があったのだ。  被告人が女性であることもあり、自分の実力を見せたい彩乃が担当したいと申し出て、佐田に了承される。  果歩に接見に行く彩乃だが、「私には母はいない」と拒否されてしまい…松本潤  香川照之  榮倉奈々    青木崇高  片桐仁  マギー  渡辺真起子  馬場徹  映美くらら  池田貴史  岸井ゆきの  藤本隆宏    奥田瑛二  岸部一徳    ＜ゲスト＞  山下リオ  麻生祐未  鶴見辰吾主題歌：嵐「Daylight」  音楽：井筒昭雄脚本：宇田学  トリック監修：蒔田光治  演出：木村ひさし◇番組HP  http://www.tbs.co.jp/999tbs/  ◇twitter  @999_tbs  https://twitter.com/999_tbs?ref_src=twsrc%5Etfw番組の内容と放送時間は変更になる場合があります。</v>
      </c>
      <c r="N5045" s="2"/>
      <c r="O5045" s="2"/>
      <c r="P5045" s="1"/>
      <c r="Q5045" s="1"/>
      <c r="R5045" s="1"/>
      <c r="S5045" s="1"/>
      <c r="T5045" s="1"/>
      <c r="U5045" s="1"/>
      <c r="V5045" s="1"/>
      <c r="W5045" s="1"/>
      <c r="X5045" s="1"/>
      <c r="Y5045" s="1"/>
      <c r="Z5045" s="1"/>
      <c r="AA5045" s="1"/>
      <c r="AB5045" s="1"/>
      <c r="AC5045" s="1"/>
      <c r="AD5045" s="1"/>
      <c r="AE5045" s="1"/>
      <c r="AF5045" s="1"/>
      <c r="AG5045" s="1"/>
      <c r="AH5045" s="1"/>
      <c r="AI5045" s="1"/>
      <c r="AJ5045" s="1"/>
      <c r="AK5045" s="1"/>
      <c r="AL5045" s="1"/>
      <c r="AM5045" s="1"/>
      <c r="AN5045" s="1"/>
      <c r="AO5045" s="1"/>
      <c r="AP5045" s="1"/>
      <c r="AQ5045" s="1"/>
      <c r="AR5045" s="1"/>
      <c r="AS5045" s="1"/>
      <c r="AT5045" s="1"/>
      <c r="AU5045" s="1"/>
      <c r="AV5045" s="1"/>
      <c r="AW5045" s="1"/>
      <c r="AX5045" s="1"/>
      <c r="AY5045" s="1"/>
      <c r="AZ5045" s="1"/>
      <c r="BA5045" s="1"/>
      <c r="BB5045" s="1"/>
    </row>
    <row r="5046" ht="204.75" customHeight="1">
      <c r="A5046" s="1">
        <v>1739.0</v>
      </c>
      <c r="B5046" s="2" t="s">
        <v>14122</v>
      </c>
      <c r="C5046" s="2">
        <f>IFERROR(__xludf.DUMMYFUNCTION("split(B5046,""_"")"),1604.0)</f>
        <v>1604</v>
      </c>
      <c r="D5046" s="2" t="str">
        <f>IFERROR(__xludf.DUMMYFUNCTION("""COMPUTED_VALUE"""),"TBS")</f>
        <v>TBS</v>
      </c>
      <c r="E5046" s="2" t="str">
        <f>IFERROR(__xludf.DUMMYFUNCTION("""COMPUTED_VALUE"""),"日21")</f>
        <v>日21</v>
      </c>
      <c r="F5046" s="2">
        <v>99.9</v>
      </c>
      <c r="G5046" s="2" t="s">
        <v>14129</v>
      </c>
      <c r="H5046" s="1">
        <v>4.0</v>
      </c>
      <c r="J5046" s="1" t="s">
        <v>11</v>
      </c>
      <c r="K5046" s="2" t="s">
        <v>14130</v>
      </c>
      <c r="L5046" s="2"/>
      <c r="M5046" s="2" t="str">
        <f>IFERROR(__xludf.DUMMYFUNCTION("split(split(K5046,""【"",false),""公式LINE"",false)"),"太陽光発電に関する世界的発明者である 菊池 (板尾創路) が、仕事の元同僚である井原宏子 (ハマカワフミエ) への強制わいせつの罪で告訴され、弁護を依頼してくる。  菊池は強く無罪を主張するが、この手の事件は当事者の証言以外に証拠が乏しいため、潔白を証明するのは難しい。  そんな中、菊池の勤めるウドウ光学研究所の社長・鵜堂 (升毅) が、会社で示談金を準備させて欲しいと提案する。松本潤  香川照之  榮倉奈々    青木崇高  片桐仁  マギー  渡辺真起子  馬場徹  映美くらら  池田貴史  岸井ゆき"&amp;"の  藤本隆宏    奥田瑛二  岸部一徳    第4話ゲスト  板尾創路  淵上泰史  ハマカワフミエ  升毅主題歌：嵐「Daylight」  音楽：井筒昭雄脚本：宇田学  トリック監修：蒔田光治  演出：木村ひさし◇番組HP  http://www.tbs.co.jp/999tbs/  ◇twitter  @999_tbs  https://twitter.com/999_tbs?ref_src=twsrc%5Etfw番組の内容と放送時間は変更になる場合があります。")</f>
        <v>太陽光発電に関する世界的発明者である 菊池 (板尾創路) が、仕事の元同僚である井原宏子 (ハマカワフミエ) への強制わいせつの罪で告訴され、弁護を依頼してくる。  菊池は強く無罪を主張するが、この手の事件は当事者の証言以外に証拠が乏しいため、潔白を証明するのは難しい。  そんな中、菊池の勤めるウドウ光学研究所の社長・鵜堂 (升毅) が、会社で示談金を準備させて欲しいと提案する。松本潤  香川照之  榮倉奈々    青木崇高  片桐仁  マギー  渡辺真起子  馬場徹  映美くらら  池田貴史  岸井ゆきの  藤本隆宏    奥田瑛二  岸部一徳    第4話ゲスト  板尾創路  淵上泰史  ハマカワフミエ  升毅主題歌：嵐「Daylight」  音楽：井筒昭雄脚本：宇田学  トリック監修：蒔田光治  演出：木村ひさし◇番組HP  http://www.tbs.co.jp/999tbs/  ◇twitter  @999_tbs  https://twitter.com/999_tbs?ref_src=twsrc%5Etfw番組の内容と放送時間は変更になる場合があります。</v>
      </c>
      <c r="N5046" s="2"/>
      <c r="O5046" s="2"/>
      <c r="P5046" s="1"/>
      <c r="Q5046" s="1"/>
      <c r="R5046" s="1"/>
      <c r="S5046" s="1"/>
      <c r="T5046" s="1"/>
      <c r="U5046" s="1"/>
      <c r="V5046" s="1"/>
      <c r="W5046" s="1"/>
      <c r="X5046" s="1"/>
      <c r="Y5046" s="1"/>
      <c r="Z5046" s="1"/>
      <c r="AA5046" s="1"/>
      <c r="AB5046" s="1"/>
      <c r="AC5046" s="1"/>
      <c r="AD5046" s="1"/>
      <c r="AE5046" s="1"/>
      <c r="AF5046" s="1"/>
      <c r="AG5046" s="1"/>
      <c r="AH5046" s="1"/>
      <c r="AI5046" s="1"/>
      <c r="AJ5046" s="1"/>
      <c r="AK5046" s="1"/>
      <c r="AL5046" s="1"/>
      <c r="AM5046" s="1"/>
      <c r="AN5046" s="1"/>
      <c r="AO5046" s="1"/>
      <c r="AP5046" s="1"/>
      <c r="AQ5046" s="1"/>
      <c r="AR5046" s="1"/>
      <c r="AS5046" s="1"/>
      <c r="AT5046" s="1"/>
      <c r="AU5046" s="1"/>
      <c r="AV5046" s="1"/>
      <c r="AW5046" s="1"/>
      <c r="AX5046" s="1"/>
      <c r="AY5046" s="1"/>
      <c r="AZ5046" s="1"/>
      <c r="BA5046" s="1"/>
      <c r="BB5046" s="1"/>
    </row>
    <row r="5047" ht="204.75" customHeight="1">
      <c r="A5047" s="1">
        <v>1740.0</v>
      </c>
      <c r="B5047" s="2" t="s">
        <v>14122</v>
      </c>
      <c r="C5047" s="2">
        <f>IFERROR(__xludf.DUMMYFUNCTION("split(B5047,""_"")"),1604.0)</f>
        <v>1604</v>
      </c>
      <c r="D5047" s="2" t="str">
        <f>IFERROR(__xludf.DUMMYFUNCTION("""COMPUTED_VALUE"""),"TBS")</f>
        <v>TBS</v>
      </c>
      <c r="E5047" s="2" t="str">
        <f>IFERROR(__xludf.DUMMYFUNCTION("""COMPUTED_VALUE"""),"日21")</f>
        <v>日21</v>
      </c>
      <c r="F5047" s="2">
        <v>99.9</v>
      </c>
      <c r="G5047" s="2" t="s">
        <v>14131</v>
      </c>
      <c r="H5047" s="1">
        <v>5.0</v>
      </c>
      <c r="J5047" s="1" t="s">
        <v>11</v>
      </c>
      <c r="K5047" s="2" t="s">
        <v>14132</v>
      </c>
      <c r="L5047" s="2"/>
      <c r="M5047" s="2" t="str">
        <f>IFERROR(__xludf.DUMMYFUNCTION("split(split(K5047,""【"",false),""公式LINE"",false)"),"深山は、三枝 (平田満) を暴行したとして逮捕された 谷繁 (千葉雄大) の弁護を担当することになる。事件当時のことを聞くため、彩乃 (榮倉奈々) と共に接見するが、その最中に谷繁は 「あいつが殺したんだ…」 と呟きながら倒れ、意識不明の重体となってしまう。一方、不起訴の決裁が増えている検察官の 丸川は、検事正・大友 (奥田瑛二) から忠告をうける。松本潤  香川照之  榮倉奈々    青木崇高  片桐仁  マギー  渡辺真起子  馬場徹  映美くらら  池田貴史  岸井ゆきの  藤本隆宏    奥田瑛二"&amp;"  岸部一徳    ＜5話ゲスト＞  平田満  千葉雄大主題歌：嵐「Daylight」  音楽：井筒昭雄脚本：宇田学  トリック監修：蒔田光治  演出：木村ひさし◇番組HP  http://www.tbs.co.jp/999tbs/  ◇twitter  @999_tbs  https://twitter.com/999_tbs?ref_src=twsrc%5Etfwバレーボール女子リオオリンピック世界最終予選　日本×カザフスタンの試合状況により、放送時間が変更になる可能性がございます。")</f>
        <v>深山は、三枝 (平田満) を暴行したとして逮捕された 谷繁 (千葉雄大) の弁護を担当することになる。事件当時のことを聞くため、彩乃 (榮倉奈々) と共に接見するが、その最中に谷繁は 「あいつが殺したんだ…」 と呟きながら倒れ、意識不明の重体となってしまう。一方、不起訴の決裁が増えている検察官の 丸川は、検事正・大友 (奥田瑛二) から忠告をうける。松本潤  香川照之  榮倉奈々    青木崇高  片桐仁  マギー  渡辺真起子  馬場徹  映美くらら  池田貴史  岸井ゆきの  藤本隆宏    奥田瑛二  岸部一徳    ＜5話ゲスト＞  平田満  千葉雄大主題歌：嵐「Daylight」  音楽：井筒昭雄脚本：宇田学  トリック監修：蒔田光治  演出：木村ひさし◇番組HP  http://www.tbs.co.jp/999tbs/  ◇twitter  @999_tbs  https://twitter.com/999_tbs?ref_src=twsrc%5Etfwバレーボール女子リオオリンピック世界最終予選　日本×カザフスタンの試合状況により、放送時間が変更になる可能性がございます。</v>
      </c>
      <c r="N5047" s="2"/>
      <c r="O5047" s="2"/>
      <c r="P5047" s="1"/>
      <c r="Q5047" s="1"/>
      <c r="R5047" s="1"/>
      <c r="S5047" s="1"/>
      <c r="T5047" s="1"/>
      <c r="U5047" s="1"/>
      <c r="V5047" s="1"/>
      <c r="W5047" s="1"/>
      <c r="X5047" s="1"/>
      <c r="Y5047" s="1"/>
      <c r="Z5047" s="1"/>
      <c r="AA5047" s="1"/>
      <c r="AB5047" s="1"/>
      <c r="AC5047" s="1"/>
      <c r="AD5047" s="1"/>
      <c r="AE5047" s="1"/>
      <c r="AF5047" s="1"/>
      <c r="AG5047" s="1"/>
      <c r="AH5047" s="1"/>
      <c r="AI5047" s="1"/>
      <c r="AJ5047" s="1"/>
      <c r="AK5047" s="1"/>
      <c r="AL5047" s="1"/>
      <c r="AM5047" s="1"/>
      <c r="AN5047" s="1"/>
      <c r="AO5047" s="1"/>
      <c r="AP5047" s="1"/>
      <c r="AQ5047" s="1"/>
      <c r="AR5047" s="1"/>
      <c r="AS5047" s="1"/>
      <c r="AT5047" s="1"/>
      <c r="AU5047" s="1"/>
      <c r="AV5047" s="1"/>
      <c r="AW5047" s="1"/>
      <c r="AX5047" s="1"/>
      <c r="AY5047" s="1"/>
      <c r="AZ5047" s="1"/>
      <c r="BA5047" s="1"/>
      <c r="BB5047" s="1"/>
    </row>
    <row r="5048" ht="204.75" customHeight="1">
      <c r="A5048" s="1">
        <v>1741.0</v>
      </c>
      <c r="B5048" s="2" t="s">
        <v>14122</v>
      </c>
      <c r="C5048" s="2">
        <f>IFERROR(__xludf.DUMMYFUNCTION("split(B5048,""_"")"),1604.0)</f>
        <v>1604</v>
      </c>
      <c r="D5048" s="2" t="str">
        <f>IFERROR(__xludf.DUMMYFUNCTION("""COMPUTED_VALUE"""),"TBS")</f>
        <v>TBS</v>
      </c>
      <c r="E5048" s="2" t="str">
        <f>IFERROR(__xludf.DUMMYFUNCTION("""COMPUTED_VALUE"""),"日21")</f>
        <v>日21</v>
      </c>
      <c r="F5048" s="2">
        <v>99.9</v>
      </c>
      <c r="G5048" s="2" t="s">
        <v>14133</v>
      </c>
      <c r="H5048" s="1">
        <v>6.0</v>
      </c>
      <c r="J5048" s="1" t="s">
        <v>11</v>
      </c>
      <c r="K5048" s="2" t="s">
        <v>14134</v>
      </c>
      <c r="L5048" s="2"/>
      <c r="M5048" s="2" t="str">
        <f>IFERROR(__xludf.DUMMYFUNCTION("split(split(K5048,""【"",false),""公式LINE"",false)"),"深山は、18年前に自殺した谷繁（千葉雄大）の父親が、実は自殺ではなく、三枝（平田満）に殺害された可能性が高いと考える。  しかし三枝は、同じく18年前に起きた「杉並区資産家令嬢殺人事件」で「逃走する犯人を目撃した」と証言していた。  つまり三枝は、谷繁の父が殺害された時刻には、もうひとつの事件が起きた付近におり、谷繁の父を殺害するのは不可能である、というアリバイがあったのだった…松本潤  香川照之  榮倉奈々    青木崇高  片桐仁  マギー  渡辺真起子  馬場徹  映美くらら  池田貴史  岸井ゆき"&amp;"の  藤本隆宏    奥田瑛二  岸部一徳    ＜第6話ゲスト＞  平田満  吉沢悠  千葉雄大  菅谷哲也主題歌：嵐「Daylight」  音楽：井筒昭雄脚本：宇田学  トリック監修：蒔田光治  演出：岡本伸吾◇番組HP  http://www.tbs.co.jp/999tbs/  ◇twitter  @999_tbs  https://twitter.com/999_tbs?ref_src=twsrc%5Etfw番組の内容と放送時間は変更になる場合があります。")</f>
        <v>深山は、18年前に自殺した谷繁（千葉雄大）の父親が、実は自殺ではなく、三枝（平田満）に殺害された可能性が高いと考える。  しかし三枝は、同じく18年前に起きた「杉並区資産家令嬢殺人事件」で「逃走する犯人を目撃した」と証言していた。  つまり三枝は、谷繁の父が殺害された時刻には、もうひとつの事件が起きた付近におり、谷繁の父を殺害するのは不可能である、というアリバイがあったのだった…松本潤  香川照之  榮倉奈々    青木崇高  片桐仁  マギー  渡辺真起子  馬場徹  映美くらら  池田貴史  岸井ゆきの  藤本隆宏    奥田瑛二  岸部一徳    ＜第6話ゲスト＞  平田満  吉沢悠  千葉雄大  菅谷哲也主題歌：嵐「Daylight」  音楽：井筒昭雄脚本：宇田学  トリック監修：蒔田光治  演出：岡本伸吾◇番組HP  http://www.tbs.co.jp/999tbs/  ◇twitter  @999_tbs  https://twitter.com/999_tbs?ref_src=twsrc%5Etfw番組の内容と放送時間は変更になる場合があります。</v>
      </c>
      <c r="N5048" s="2"/>
      <c r="O5048" s="2"/>
      <c r="P5048" s="1"/>
      <c r="Q5048" s="1"/>
      <c r="R5048" s="1"/>
      <c r="S5048" s="1"/>
      <c r="T5048" s="1"/>
      <c r="U5048" s="1"/>
      <c r="V5048" s="1"/>
      <c r="W5048" s="1"/>
      <c r="X5048" s="1"/>
      <c r="Y5048" s="1"/>
      <c r="Z5048" s="1"/>
      <c r="AA5048" s="1"/>
      <c r="AB5048" s="1"/>
      <c r="AC5048" s="1"/>
      <c r="AD5048" s="1"/>
      <c r="AE5048" s="1"/>
      <c r="AF5048" s="1"/>
      <c r="AG5048" s="1"/>
      <c r="AH5048" s="1"/>
      <c r="AI5048" s="1"/>
      <c r="AJ5048" s="1"/>
      <c r="AK5048" s="1"/>
      <c r="AL5048" s="1"/>
      <c r="AM5048" s="1"/>
      <c r="AN5048" s="1"/>
      <c r="AO5048" s="1"/>
      <c r="AP5048" s="1"/>
      <c r="AQ5048" s="1"/>
      <c r="AR5048" s="1"/>
      <c r="AS5048" s="1"/>
      <c r="AT5048" s="1"/>
      <c r="AU5048" s="1"/>
      <c r="AV5048" s="1"/>
      <c r="AW5048" s="1"/>
      <c r="AX5048" s="1"/>
      <c r="AY5048" s="1"/>
      <c r="AZ5048" s="1"/>
      <c r="BA5048" s="1"/>
      <c r="BB5048" s="1"/>
    </row>
    <row r="5049" ht="204.75" customHeight="1">
      <c r="A5049" s="1">
        <v>1742.0</v>
      </c>
      <c r="B5049" s="2" t="s">
        <v>14122</v>
      </c>
      <c r="C5049" s="2">
        <f>IFERROR(__xludf.DUMMYFUNCTION("split(B5049,""_"")"),1604.0)</f>
        <v>1604</v>
      </c>
      <c r="D5049" s="2" t="str">
        <f>IFERROR(__xludf.DUMMYFUNCTION("""COMPUTED_VALUE"""),"TBS")</f>
        <v>TBS</v>
      </c>
      <c r="E5049" s="2" t="str">
        <f>IFERROR(__xludf.DUMMYFUNCTION("""COMPUTED_VALUE"""),"日21")</f>
        <v>日21</v>
      </c>
      <c r="F5049" s="2">
        <v>99.9</v>
      </c>
      <c r="G5049" s="2" t="s">
        <v>14135</v>
      </c>
      <c r="H5049" s="1">
        <v>7.0</v>
      </c>
      <c r="J5049" s="1" t="s">
        <v>11</v>
      </c>
      <c r="K5049" s="2" t="s">
        <v>14136</v>
      </c>
      <c r="L5049" s="2"/>
      <c r="M5049" s="2" t="str">
        <f>IFERROR(__xludf.DUMMYFUNCTION("split(split(K5049,""【"",false),""公式LINE"",false)"),"大手玩具メーカーの社長が副社長である息子の河村英樹（高嶋政伸）に殺害されてしまう。しかし逮捕されたのは、同社専務取締役・西岡（嶋田久作）だった。  深山、佐田、志賀らは被疑者である西岡の弁護人となり、当時の状況を聞くが、西岡は「まったく身に覚えがない」と語る。  しかし、決定的な証拠である“凶器の花瓶から検出された西岡の指紋”が、西岡を有罪へと追い詰めてゆき…松本潤  香川照之  榮倉奈々    青木崇高  片桐仁  マギー  渡辺真起子  馬場徹  映美くらら  池田貴史  岸井ゆきの  藤本隆宏   "&amp;" 奥田瑛二  岸部一徳    ＜ゲスト＞  高嶋政伸  嶋田久作主題歌：嵐「Daylight」  音楽：井筒昭雄脚本：宇田学  トリック監修：蒔田光治  演出：木村ひさし◇番組HP  http://www.tbs.co.jp/999tbs/  ◇twitter  @999_tbs  https://twitter.com/999_tbs?ref_src=twsrc%5Etfw番組の内容と放送時間は変更になる場合があります。")</f>
        <v>大手玩具メーカーの社長が副社長である息子の河村英樹（高嶋政伸）に殺害されてしまう。しかし逮捕されたのは、同社専務取締役・西岡（嶋田久作）だった。  深山、佐田、志賀らは被疑者である西岡の弁護人となり、当時の状況を聞くが、西岡は「まったく身に覚えがない」と語る。  しかし、決定的な証拠である“凶器の花瓶から検出された西岡の指紋”が、西岡を有罪へと追い詰めてゆき…松本潤  香川照之  榮倉奈々    青木崇高  片桐仁  マギー  渡辺真起子  馬場徹  映美くらら  池田貴史  岸井ゆきの  藤本隆宏    奥田瑛二  岸部一徳    ＜ゲスト＞  高嶋政伸  嶋田久作主題歌：嵐「Daylight」  音楽：井筒昭雄脚本：宇田学  トリック監修：蒔田光治  演出：木村ひさし◇番組HP  http://www.tbs.co.jp/999tbs/  ◇twitter  @999_tbs  https://twitter.com/999_tbs?ref_src=twsrc%5Etfw番組の内容と放送時間は変更になる場合があります。</v>
      </c>
      <c r="N5049" s="2"/>
      <c r="O5049" s="2"/>
      <c r="P5049" s="1"/>
      <c r="Q5049" s="1"/>
      <c r="R5049" s="1"/>
      <c r="S5049" s="1"/>
      <c r="T5049" s="1"/>
      <c r="U5049" s="1"/>
      <c r="V5049" s="1"/>
      <c r="W5049" s="1"/>
      <c r="X5049" s="1"/>
      <c r="Y5049" s="1"/>
      <c r="Z5049" s="1"/>
      <c r="AA5049" s="1"/>
      <c r="AB5049" s="1"/>
      <c r="AC5049" s="1"/>
      <c r="AD5049" s="1"/>
      <c r="AE5049" s="1"/>
      <c r="AF5049" s="1"/>
      <c r="AG5049" s="1"/>
      <c r="AH5049" s="1"/>
      <c r="AI5049" s="1"/>
      <c r="AJ5049" s="1"/>
      <c r="AK5049" s="1"/>
      <c r="AL5049" s="1"/>
      <c r="AM5049" s="1"/>
      <c r="AN5049" s="1"/>
      <c r="AO5049" s="1"/>
      <c r="AP5049" s="1"/>
      <c r="AQ5049" s="1"/>
      <c r="AR5049" s="1"/>
      <c r="AS5049" s="1"/>
      <c r="AT5049" s="1"/>
      <c r="AU5049" s="1"/>
      <c r="AV5049" s="1"/>
      <c r="AW5049" s="1"/>
      <c r="AX5049" s="1"/>
      <c r="AY5049" s="1"/>
      <c r="AZ5049" s="1"/>
      <c r="BA5049" s="1"/>
      <c r="BB5049" s="1"/>
    </row>
    <row r="5050" ht="204.75" customHeight="1">
      <c r="A5050" s="1">
        <v>1743.0</v>
      </c>
      <c r="B5050" s="2" t="s">
        <v>14122</v>
      </c>
      <c r="C5050" s="2">
        <f>IFERROR(__xludf.DUMMYFUNCTION("split(B5050,""_"")"),1604.0)</f>
        <v>1604</v>
      </c>
      <c r="D5050" s="2" t="str">
        <f>IFERROR(__xludf.DUMMYFUNCTION("""COMPUTED_VALUE"""),"TBS")</f>
        <v>TBS</v>
      </c>
      <c r="E5050" s="2" t="str">
        <f>IFERROR(__xludf.DUMMYFUNCTION("""COMPUTED_VALUE"""),"日21")</f>
        <v>日21</v>
      </c>
      <c r="F5050" s="2">
        <v>99.9</v>
      </c>
      <c r="G5050" s="2" t="s">
        <v>14137</v>
      </c>
      <c r="H5050" s="1">
        <v>8.0</v>
      </c>
      <c r="J5050" s="1" t="s">
        <v>11</v>
      </c>
      <c r="K5050" s="2" t="s">
        <v>14138</v>
      </c>
      <c r="L5050" s="2"/>
      <c r="M5050" s="2" t="str">
        <f>IFERROR(__xludf.DUMMYFUNCTION("split(split(K5050,""【"",false),""公式LINE"",false)"),"突然、斑目法律事務所に刑事たちがやってきて、深山は殺人の容疑で逮捕されてしまう。佐田や彩乃は驚きを隠せないまま、すぐさま留置所に足を運び、深山と接見を行うが、深山はまともに話をしようともしない。  警察の調べによると、深山は鈴木という男とレストランで会っていた。鈴木は、深山が作った調味料を料理にかけて口にしたとたん、苦しみ倒れ、病院搬送後まもなく死亡したという…松本潤  香川照之  榮倉奈々    青木崇高  片桐仁  マギー  渡辺真起子  馬場徹  映美くらら  池田貴史  岸井ゆきの  藤本隆宏  "&amp;"  奥田瑛二  岸部一徳    ＜ゲスト＞  夏菜  綾部祐二（ピース）  林泰文主題歌：嵐「Daylight」  音楽：井筒昭雄脚本：宇田学  トリック監修：蒔田光治  演出：岡本伸吾◇番組HP  http://www.tbs.co.jp/999tbs/  ◇twitter  @999_tbs  https://twitter.com/999_tbs?ref_src=twsrc%5Etfwリオ五輪バレーボール世界最終予選　男子最終戦　日本×フランスの試合状況により、放送時間が変更になる可能性がございます"&amp;"。")</f>
        <v>突然、斑目法律事務所に刑事たちがやってきて、深山は殺人の容疑で逮捕されてしまう。佐田や彩乃は驚きを隠せないまま、すぐさま留置所に足を運び、深山と接見を行うが、深山はまともに話をしようともしない。  警察の調べによると、深山は鈴木という男とレストランで会っていた。鈴木は、深山が作った調味料を料理にかけて口にしたとたん、苦しみ倒れ、病院搬送後まもなく死亡したという…松本潤  香川照之  榮倉奈々    青木崇高  片桐仁  マギー  渡辺真起子  馬場徹  映美くらら  池田貴史  岸井ゆきの  藤本隆宏    奥田瑛二  岸部一徳    ＜ゲスト＞  夏菜  綾部祐二（ピース）  林泰文主題歌：嵐「Daylight」  音楽：井筒昭雄脚本：宇田学  トリック監修：蒔田光治  演出：岡本伸吾◇番組HP  http://www.tbs.co.jp/999tbs/  ◇twitter  @999_tbs  https://twitter.com/999_tbs?ref_src=twsrc%5Etfwリオ五輪バレーボール世界最終予選　男子最終戦　日本×フランスの試合状況により、放送時間が変更になる可能性がございます。</v>
      </c>
      <c r="N5050" s="2"/>
      <c r="O5050" s="2"/>
      <c r="P5050" s="1"/>
      <c r="Q5050" s="1"/>
      <c r="R5050" s="1"/>
      <c r="S5050" s="1"/>
      <c r="T5050" s="1"/>
      <c r="U5050" s="1"/>
      <c r="V5050" s="1"/>
      <c r="W5050" s="1"/>
      <c r="X5050" s="1"/>
      <c r="Y5050" s="1"/>
      <c r="Z5050" s="1"/>
      <c r="AA5050" s="1"/>
      <c r="AB5050" s="1"/>
      <c r="AC5050" s="1"/>
      <c r="AD5050" s="1"/>
      <c r="AE5050" s="1"/>
      <c r="AF5050" s="1"/>
      <c r="AG5050" s="1"/>
      <c r="AH5050" s="1"/>
      <c r="AI5050" s="1"/>
      <c r="AJ5050" s="1"/>
      <c r="AK5050" s="1"/>
      <c r="AL5050" s="1"/>
      <c r="AM5050" s="1"/>
      <c r="AN5050" s="1"/>
      <c r="AO5050" s="1"/>
      <c r="AP5050" s="1"/>
      <c r="AQ5050" s="1"/>
      <c r="AR5050" s="1"/>
      <c r="AS5050" s="1"/>
      <c r="AT5050" s="1"/>
      <c r="AU5050" s="1"/>
      <c r="AV5050" s="1"/>
      <c r="AW5050" s="1"/>
      <c r="AX5050" s="1"/>
      <c r="AY5050" s="1"/>
      <c r="AZ5050" s="1"/>
      <c r="BA5050" s="1"/>
      <c r="BB5050" s="1"/>
    </row>
    <row r="5051" ht="204.75" customHeight="1">
      <c r="A5051" s="1">
        <v>1744.0</v>
      </c>
      <c r="B5051" s="2" t="s">
        <v>14122</v>
      </c>
      <c r="C5051" s="2">
        <f>IFERROR(__xludf.DUMMYFUNCTION("split(B5051,""_"")"),1604.0)</f>
        <v>1604</v>
      </c>
      <c r="D5051" s="2" t="str">
        <f>IFERROR(__xludf.DUMMYFUNCTION("""COMPUTED_VALUE"""),"TBS")</f>
        <v>TBS</v>
      </c>
      <c r="E5051" s="2" t="str">
        <f>IFERROR(__xludf.DUMMYFUNCTION("""COMPUTED_VALUE"""),"日21")</f>
        <v>日21</v>
      </c>
      <c r="F5051" s="2">
        <v>99.9</v>
      </c>
      <c r="G5051" s="2" t="s">
        <v>14139</v>
      </c>
      <c r="H5051" s="1">
        <v>9.0</v>
      </c>
      <c r="J5051" s="1" t="s">
        <v>4</v>
      </c>
      <c r="K5051" s="2" t="s">
        <v>14140</v>
      </c>
      <c r="L5051" s="2"/>
      <c r="M5051" s="2" t="str">
        <f>IFERROR(__xludf.DUMMYFUNCTION("split(split(K5051,""【"",false),""公式LINE"",false)"),"深山は佐田から指示を受け、山城鉄道の会長の自宅を訪ねる。  そこには殺害された会長の遺体と、それを取り囲む家族らが。  状況を聞くと、三男の嫁である皐月（国仲涼子）が犯行を自供。  脳梗塞を患った義父を懸命に介護したが、罵倒される日々が重なり、耐えられなくなっての犯行だという。  しかし深山はある違和感を嗅ぎ取る。  皆の証言を深く掘り下げてゆくと、無理につじつまを合わせたかのように一致しており…。松本潤  香川照之  榮倉奈々    青木崇高  片桐仁  マギー  渡辺真起子  馬場徹  映美くらら  "&amp;"池田貴史  岸井ゆきの  藤本隆宏    奥田瑛二  岸部一徳  ＜ゲスト＞　  国仲涼子　  平岳大　  中山忍ほか主題歌：嵐「Daylight」  音楽：井筒昭雄脚本：宇田学  トリック監修：蒔田光治  演出：木村ひさし◇番組HP  http://www.tbs.co.jp/999tbs/  ◇twitter  @999_tbs  https://twitter.com/999_tbs?ref_src=twsrc%5Etfw番組の内容と放送時間は変更になる場合があります。")</f>
        <v>深山は佐田から指示を受け、山城鉄道の会長の自宅を訪ねる。  そこには殺害された会長の遺体と、それを取り囲む家族らが。  状況を聞くと、三男の嫁である皐月（国仲涼子）が犯行を自供。  脳梗塞を患った義父を懸命に介護したが、罵倒される日々が重なり、耐えられなくなっての犯行だという。  しかし深山はある違和感を嗅ぎ取る。  皆の証言を深く掘り下げてゆくと、無理につじつまを合わせたかのように一致しており…。松本潤  香川照之  榮倉奈々    青木崇高  片桐仁  マギー  渡辺真起子  馬場徹  映美くらら  池田貴史  岸井ゆきの  藤本隆宏    奥田瑛二  岸部一徳  ＜ゲスト＞　  国仲涼子　  平岳大　  中山忍ほか主題歌：嵐「Daylight」  音楽：井筒昭雄脚本：宇田学  トリック監修：蒔田光治  演出：木村ひさし◇番組HP  http://www.tbs.co.jp/999tbs/  ◇twitter  @999_tbs  https://twitter.com/999_tbs?ref_src=twsrc%5Etfw番組の内容と放送時間は変更になる場合があります。</v>
      </c>
      <c r="N5051" s="2"/>
      <c r="O5051" s="2"/>
      <c r="P5051" s="1"/>
      <c r="Q5051" s="1"/>
      <c r="R5051" s="1"/>
      <c r="S5051" s="1"/>
      <c r="T5051" s="1"/>
      <c r="U5051" s="1"/>
      <c r="V5051" s="1"/>
      <c r="W5051" s="1"/>
      <c r="X5051" s="1"/>
      <c r="Y5051" s="1"/>
      <c r="Z5051" s="1"/>
      <c r="AA5051" s="1"/>
      <c r="AB5051" s="1"/>
      <c r="AC5051" s="1"/>
      <c r="AD5051" s="1"/>
      <c r="AE5051" s="1"/>
      <c r="AF5051" s="1"/>
      <c r="AG5051" s="1"/>
      <c r="AH5051" s="1"/>
      <c r="AI5051" s="1"/>
      <c r="AJ5051" s="1"/>
      <c r="AK5051" s="1"/>
      <c r="AL5051" s="1"/>
      <c r="AM5051" s="1"/>
      <c r="AN5051" s="1"/>
      <c r="AO5051" s="1"/>
      <c r="AP5051" s="1"/>
      <c r="AQ5051" s="1"/>
      <c r="AR5051" s="1"/>
      <c r="AS5051" s="1"/>
      <c r="AT5051" s="1"/>
      <c r="AU5051" s="1"/>
      <c r="AV5051" s="1"/>
      <c r="AW5051" s="1"/>
      <c r="AX5051" s="1"/>
      <c r="AY5051" s="1"/>
      <c r="AZ5051" s="1"/>
      <c r="BA5051" s="1"/>
      <c r="BB5051" s="1"/>
    </row>
    <row r="5052" ht="204.75" customHeight="1">
      <c r="A5052" s="1">
        <v>1745.0</v>
      </c>
      <c r="B5052" s="2" t="s">
        <v>14122</v>
      </c>
      <c r="C5052" s="2">
        <f>IFERROR(__xludf.DUMMYFUNCTION("split(B5052,""_"")"),1604.0)</f>
        <v>1604</v>
      </c>
      <c r="D5052" s="2" t="str">
        <f>IFERROR(__xludf.DUMMYFUNCTION("""COMPUTED_VALUE"""),"TBS")</f>
        <v>TBS</v>
      </c>
      <c r="E5052" s="2" t="str">
        <f>IFERROR(__xludf.DUMMYFUNCTION("""COMPUTED_VALUE"""),"日21")</f>
        <v>日21</v>
      </c>
      <c r="F5052" s="2">
        <v>99.9</v>
      </c>
      <c r="G5052" s="2" t="s">
        <v>14141</v>
      </c>
      <c r="H5052" s="1">
        <v>10.0</v>
      </c>
      <c r="J5052" s="1" t="s">
        <v>4</v>
      </c>
      <c r="K5052" s="2" t="s">
        <v>14142</v>
      </c>
      <c r="L5052" s="2"/>
      <c r="M5052" s="2" t="str">
        <f>IFERROR(__xludf.DUMMYFUNCTION("split(split(K5052,""【"",false),""公式LINE"",false)"),"深山は、連続殺人事件の容疑者として逮捕された石川の弁護を担当することになる。  石川は、殺害現場に毛髪と血痕が残されていたことで逮捕され、取り調べで犯行事実を認めていた。  だが、検察の丸川から毎日取り調べられ、意識が朦朧としている中で調書にサインをしてしまったと明かす。  そんな状況の中、深山は佐田や彩乃らと捜査を始めるが、週刊誌のある記事を目にして、再び、皆の前から消えてしまい…。松本潤  香川照之  榮倉奈々    青木崇高  片桐仁  マギー  渡辺真起子  馬場徹  映美くらら  池田貴史  岸"&amp;"井ゆきの  藤本隆宏    奥田瑛二  岸部一徳    &lt;ゲスト&gt;  中丸雄一  神保悟志  平泉成主題歌：嵐「Daylight」  音楽：井筒昭雄脚本：宇田学  トリック監修：蒔田光治  演出：木村ひさし◇番組HP  http://www.tbs.co.jp/999tbs/  ◇twitter  @999_tbs  https://twitter.com/999_tbs?ref_src=twsrc%5Etfw番組の内容と放送時間は変更になる場合があります。")</f>
        <v>深山は、連続殺人事件の容疑者として逮捕された石川の弁護を担当することになる。  石川は、殺害現場に毛髪と血痕が残されていたことで逮捕され、取り調べで犯行事実を認めていた。  だが、検察の丸川から毎日取り調べられ、意識が朦朧としている中で調書にサインをしてしまったと明かす。  そんな状況の中、深山は佐田や彩乃らと捜査を始めるが、週刊誌のある記事を目にして、再び、皆の前から消えてしまい…。松本潤  香川照之  榮倉奈々    青木崇高  片桐仁  マギー  渡辺真起子  馬場徹  映美くらら  池田貴史  岸井ゆきの  藤本隆宏    奥田瑛二  岸部一徳    &lt;ゲスト&gt;  中丸雄一  神保悟志  平泉成主題歌：嵐「Daylight」  音楽：井筒昭雄脚本：宇田学  トリック監修：蒔田光治  演出：木村ひさし◇番組HP  http://www.tbs.co.jp/999tbs/  ◇twitter  @999_tbs  https://twitter.com/999_tbs?ref_src=twsrc%5Etfw番組の内容と放送時間は変更になる場合があります。</v>
      </c>
      <c r="N5052" s="2"/>
      <c r="O5052" s="2"/>
      <c r="P5052" s="1"/>
      <c r="Q5052" s="1"/>
      <c r="R5052" s="1"/>
      <c r="S5052" s="1"/>
      <c r="T5052" s="1"/>
      <c r="U5052" s="1"/>
      <c r="V5052" s="1"/>
      <c r="W5052" s="1"/>
      <c r="X5052" s="1"/>
      <c r="Y5052" s="1"/>
      <c r="Z5052" s="1"/>
      <c r="AA5052" s="1"/>
      <c r="AB5052" s="1"/>
      <c r="AC5052" s="1"/>
      <c r="AD5052" s="1"/>
      <c r="AE5052" s="1"/>
      <c r="AF5052" s="1"/>
      <c r="AG5052" s="1"/>
      <c r="AH5052" s="1"/>
      <c r="AI5052" s="1"/>
      <c r="AJ5052" s="1"/>
      <c r="AK5052" s="1"/>
      <c r="AL5052" s="1"/>
      <c r="AM5052" s="1"/>
      <c r="AN5052" s="1"/>
      <c r="AO5052" s="1"/>
      <c r="AP5052" s="1"/>
      <c r="AQ5052" s="1"/>
      <c r="AR5052" s="1"/>
      <c r="AS5052" s="1"/>
      <c r="AT5052" s="1"/>
      <c r="AU5052" s="1"/>
      <c r="AV5052" s="1"/>
      <c r="AW5052" s="1"/>
      <c r="AX5052" s="1"/>
      <c r="AY5052" s="1"/>
      <c r="AZ5052" s="1"/>
      <c r="BA5052" s="1"/>
      <c r="BB5052" s="1"/>
    </row>
    <row r="5053" ht="204.75" customHeight="1">
      <c r="A5053" s="1">
        <v>1775.0</v>
      </c>
      <c r="B5053" s="2" t="s">
        <v>14143</v>
      </c>
      <c r="C5053" s="2">
        <f>IFERROR(__xludf.DUMMYFUNCTION("split(B5053,""_"")"),1601.0)</f>
        <v>1601</v>
      </c>
      <c r="D5053" s="2" t="str">
        <f>IFERROR(__xludf.DUMMYFUNCTION("""COMPUTED_VALUE"""),"TBS")</f>
        <v>TBS</v>
      </c>
      <c r="E5053" s="2" t="str">
        <f>IFERROR(__xludf.DUMMYFUNCTION("""COMPUTED_VALUE"""),"火22")</f>
        <v>火22</v>
      </c>
      <c r="F5053" s="2" t="s">
        <v>14144</v>
      </c>
      <c r="G5053" s="2" t="s">
        <v>14145</v>
      </c>
      <c r="H5053" s="1">
        <v>1.0</v>
      </c>
      <c r="J5053" s="1" t="s">
        <v>82</v>
      </c>
      <c r="K5053" s="2" t="s">
        <v>14146</v>
      </c>
      <c r="L5053" s="2"/>
      <c r="M5053" s="2" t="str">
        <f>IFERROR(__xludf.DUMMYFUNCTION("split(split(K5053,""【"",false),""公式LINE"",false)"),"柴田ミチコ（深田恭子）は30歳。勤めていた会社は突如倒産、就活も連敗中。なのにイケメン大学生に貢ぎまくって貯金もゼロに。そんな折、以前の職場のドS上司・黒沢歩（DEAN FUJIOKA）と偶然の再会。彼は憩い系喫茶店「ひまわり」のマスターになっていた。彼のナサケでその店のアルバイトとして働き始めるミチコ。以前と同様こき使われる毎日、でも、ことあるごとに手を差し伸べてくれる黒沢に新たな一面を発見し…柴田 ミチコ…深田 恭子    黒沢 歩…DEAN　FUJIOKA  最上 大地…三浦 翔平    生嶋 晶…"&amp;"野波 麻帆    テリー（照井 学）…鈴木 貴之  タマ（玉井 剛）…石黒 英雄  ポチ（星 武）…クロちゃん    中島 美咲…内藤理沙  藤本 エリカ…藤本 泉  米田 亜希…小林 きな子  　  鯉田 和夫…小野 武彦    春子…ミムラ佐野 純太…吉沢 亮  オタク客…イジリー岡田主題歌  「もっと」aiko  (ポニーキャニオン)    音楽：出羽良彰　羽深由理原作：「ダメな私に恋してください」 中原 アヤ　（集英社マーガレットコミックス刊／「YOU」連載中）  脚本：吉澤 智子  監督：河合 "&amp;"勇人◇番組HP http://www.tbs.co.jp/damekoi/  ◇facebook https://www.facebook.com/damekoitbs/  ◇twitter  https://twitter.com/damekoi_TBS  @damekoi_TBS  ◇instagram  damekoi_tbs  番組の内容と放送時間は変更になる場合があります。")</f>
        <v>柴田ミチコ（深田恭子）は30歳。勤めていた会社は突如倒産、就活も連敗中。なのにイケメン大学生に貢ぎまくって貯金もゼロに。そんな折、以前の職場のドS上司・黒沢歩（DEAN FUJIOKA）と偶然の再会。彼は憩い系喫茶店「ひまわり」のマスターになっていた。彼のナサケでその店のアルバイトとして働き始めるミチコ。以前と同様こき使われる毎日、でも、ことあるごとに手を差し伸べてくれる黒沢に新たな一面を発見し…柴田 ミチコ…深田 恭子    黒沢 歩…DEAN　FUJIOKA  最上 大地…三浦 翔平    生嶋 晶…野波 麻帆    テリー（照井 学）…鈴木 貴之  タマ（玉井 剛）…石黒 英雄  ポチ（星 武）…クロちゃん    中島 美咲…内藤理沙  藤本 エリカ…藤本 泉  米田 亜希…小林 きな子  　  鯉田 和夫…小野 武彦    春子…ミムラ佐野 純太…吉沢 亮  オタク客…イジリー岡田主題歌  「もっと」aiko  (ポニーキャニオン)    音楽：出羽良彰　羽深由理原作：「ダメな私に恋してください」 中原 アヤ　（集英社マーガレットコミックス刊／「YOU」連載中）  脚本：吉澤 智子  監督：河合 勇人◇番組HP http://www.tbs.co.jp/damekoi/  ◇facebook https://www.facebook.com/damekoitbs/  ◇twitter  https://twitter.com/damekoi_TBS  @damekoi_TBS  ◇instagram  damekoi_tbs  番組の内容と放送時間は変更になる場合があります。</v>
      </c>
      <c r="N5053" s="2"/>
      <c r="O5053" s="2"/>
      <c r="P5053" s="1"/>
      <c r="Q5053" s="1"/>
      <c r="R5053" s="1"/>
      <c r="S5053" s="1"/>
      <c r="T5053" s="1"/>
      <c r="U5053" s="1"/>
      <c r="V5053" s="1"/>
      <c r="W5053" s="1"/>
      <c r="X5053" s="1"/>
      <c r="Y5053" s="1"/>
      <c r="Z5053" s="1"/>
      <c r="AA5053" s="1"/>
      <c r="AB5053" s="1"/>
      <c r="AC5053" s="1"/>
      <c r="AD5053" s="1"/>
      <c r="AE5053" s="1"/>
      <c r="AF5053" s="1"/>
      <c r="AG5053" s="1"/>
      <c r="AH5053" s="1"/>
      <c r="AI5053" s="1"/>
      <c r="AJ5053" s="1"/>
      <c r="AK5053" s="1"/>
      <c r="AL5053" s="1"/>
      <c r="AM5053" s="1"/>
      <c r="AN5053" s="1"/>
      <c r="AO5053" s="1"/>
      <c r="AP5053" s="1"/>
      <c r="AQ5053" s="1"/>
      <c r="AR5053" s="1"/>
      <c r="AS5053" s="1"/>
      <c r="AT5053" s="1"/>
      <c r="AU5053" s="1"/>
      <c r="AV5053" s="1"/>
      <c r="AW5053" s="1"/>
      <c r="AX5053" s="1"/>
      <c r="AY5053" s="1"/>
      <c r="AZ5053" s="1"/>
      <c r="BA5053" s="1"/>
      <c r="BB5053" s="1"/>
    </row>
    <row r="5054" ht="204.75" customHeight="1">
      <c r="A5054" s="1">
        <v>1776.0</v>
      </c>
      <c r="B5054" s="2" t="s">
        <v>14143</v>
      </c>
      <c r="C5054" s="2">
        <f>IFERROR(__xludf.DUMMYFUNCTION("split(B5054,""_"")"),1601.0)</f>
        <v>1601</v>
      </c>
      <c r="D5054" s="2" t="str">
        <f>IFERROR(__xludf.DUMMYFUNCTION("""COMPUTED_VALUE"""),"TBS")</f>
        <v>TBS</v>
      </c>
      <c r="E5054" s="2" t="str">
        <f>IFERROR(__xludf.DUMMYFUNCTION("""COMPUTED_VALUE"""),"火22")</f>
        <v>火22</v>
      </c>
      <c r="F5054" s="2" t="s">
        <v>14144</v>
      </c>
      <c r="G5054" s="2" t="s">
        <v>14147</v>
      </c>
      <c r="H5054" s="1">
        <v>2.0</v>
      </c>
      <c r="J5054" s="1" t="s">
        <v>86</v>
      </c>
      <c r="K5054" s="2" t="s">
        <v>14148</v>
      </c>
      <c r="L5054" s="2"/>
      <c r="M5054" s="2" t="str">
        <f>IFERROR(__xludf.DUMMYFUNCTION("split(split(K5054,""【"",false),""公式LINE"",false)"),"ドS上司黒沢歩（ディーン・フジオカ）が寝ぼけて人違いでしてきたキスに動揺する柴田ミチコ（深田恭子）。しかし、再就職をきっかけにそんな彼女の前に新たなイケメン・最上大地（三浦翔平）が現れる。そして明らかになる黒沢の思い人とは？！柴田 ミチコ…深田 恭子    黒沢 歩…DEAN　FUJIOKA  最上 大地…三浦 翔平    生嶋 晶…野波 麻帆    テリー（照井 学）…鈴木 貴之  タマ（玉井 剛）…石黒 英雄  ポチ（星 武）…クロちゃん    門真　由希…佐野　ひなこ    中島 美咲…内藤理沙  "&amp;"藤本 エリカ…藤本 泉  米田 亜希…小林 きな子    森　努…小松　和重　  鯉田 和夫…小野 武彦    春子…ミムラ主題歌  「もっと」aiko  (ポニーキャニオン)    音楽：出羽 良彰　羽深由理原作：「ダメな私に恋してください」 中原 アヤ　（集英社マーガレットコミックス刊／「YOU」連載中）  脚本：吉澤 智子  監督：河合 勇人◇番組HP http://www.tbs.co.jp/damekoi/  ◇facebook https://www.facebook.com/damekoit"&amp;"bs/  ◇twitter  https://twitter.com/damekoi_TBS  @damekoi_TBS  ◇instagram  damekoi_tbs  番組の内容と放送時間は変更になる場合があります。")</f>
        <v>ドS上司黒沢歩（ディーン・フジオカ）が寝ぼけて人違いでしてきたキスに動揺する柴田ミチコ（深田恭子）。しかし、再就職をきっかけにそんな彼女の前に新たなイケメン・最上大地（三浦翔平）が現れる。そして明らかになる黒沢の思い人とは？！柴田 ミチコ…深田 恭子    黒沢 歩…DEAN　FUJIOKA  最上 大地…三浦 翔平    生嶋 晶…野波 麻帆    テリー（照井 学）…鈴木 貴之  タマ（玉井 剛）…石黒 英雄  ポチ（星 武）…クロちゃん    門真　由希…佐野　ひなこ    中島 美咲…内藤理沙  藤本 エリカ…藤本 泉  米田 亜希…小林 きな子    森　努…小松　和重　  鯉田 和夫…小野 武彦    春子…ミムラ主題歌  「もっと」aiko  (ポニーキャニオン)    音楽：出羽 良彰　羽深由理原作：「ダメな私に恋してください」 中原 アヤ　（集英社マーガレットコミックス刊／「YOU」連載中）  脚本：吉澤 智子  監督：河合 勇人◇番組HP http://www.tbs.co.jp/damekoi/  ◇facebook https://www.facebook.com/damekoitbs/  ◇twitter  https://twitter.com/damekoi_TBS  @damekoi_TBS  ◇instagram  damekoi_tbs  番組の内容と放送時間は変更になる場合があります。</v>
      </c>
      <c r="N5054" s="2"/>
      <c r="O5054" s="2"/>
      <c r="P5054" s="1"/>
      <c r="Q5054" s="1"/>
      <c r="R5054" s="1"/>
      <c r="S5054" s="1"/>
      <c r="T5054" s="1"/>
      <c r="U5054" s="1"/>
      <c r="V5054" s="1"/>
      <c r="W5054" s="1"/>
      <c r="X5054" s="1"/>
      <c r="Y5054" s="1"/>
      <c r="Z5054" s="1"/>
      <c r="AA5054" s="1"/>
      <c r="AB5054" s="1"/>
      <c r="AC5054" s="1"/>
      <c r="AD5054" s="1"/>
      <c r="AE5054" s="1"/>
      <c r="AF5054" s="1"/>
      <c r="AG5054" s="1"/>
      <c r="AH5054" s="1"/>
      <c r="AI5054" s="1"/>
      <c r="AJ5054" s="1"/>
      <c r="AK5054" s="1"/>
      <c r="AL5054" s="1"/>
      <c r="AM5054" s="1"/>
      <c r="AN5054" s="1"/>
      <c r="AO5054" s="1"/>
      <c r="AP5054" s="1"/>
      <c r="AQ5054" s="1"/>
      <c r="AR5054" s="1"/>
      <c r="AS5054" s="1"/>
      <c r="AT5054" s="1"/>
      <c r="AU5054" s="1"/>
      <c r="AV5054" s="1"/>
      <c r="AW5054" s="1"/>
      <c r="AX5054" s="1"/>
      <c r="AY5054" s="1"/>
      <c r="AZ5054" s="1"/>
      <c r="BA5054" s="1"/>
      <c r="BB5054" s="1"/>
    </row>
    <row r="5055" ht="204.75" customHeight="1">
      <c r="A5055" s="1">
        <v>1777.0</v>
      </c>
      <c r="B5055" s="2" t="s">
        <v>14143</v>
      </c>
      <c r="C5055" s="2">
        <f>IFERROR(__xludf.DUMMYFUNCTION("split(B5055,""_"")"),1601.0)</f>
        <v>1601</v>
      </c>
      <c r="D5055" s="2" t="str">
        <f>IFERROR(__xludf.DUMMYFUNCTION("""COMPUTED_VALUE"""),"TBS")</f>
        <v>TBS</v>
      </c>
      <c r="E5055" s="2" t="str">
        <f>IFERROR(__xludf.DUMMYFUNCTION("""COMPUTED_VALUE"""),"火22")</f>
        <v>火22</v>
      </c>
      <c r="F5055" s="2" t="s">
        <v>14144</v>
      </c>
      <c r="G5055" s="2" t="s">
        <v>14149</v>
      </c>
      <c r="H5055" s="1">
        <v>3.0</v>
      </c>
      <c r="J5055" s="1" t="s">
        <v>86</v>
      </c>
      <c r="K5055" s="2" t="s">
        <v>14150</v>
      </c>
      <c r="L5055" s="2"/>
      <c r="M5055" s="2" t="str">
        <f>IFERROR(__xludf.DUMMYFUNCTION("split(split(K5055,""【"",false),""公式LINE"",false)"),"再就職先の年下イケメン最上（三浦翔平）と人生初のデートを果たすミチコ（深田恭子）。黒沢（ディーン・フジオカ）には「お前のつかまえる男はたいがいアホだ」と用心を促されるのだが…柴田 ミチコ…深田 恭子    黒沢 歩…DEAN　FUJIOKA  最上 大地…三浦 翔平    生嶋 晶…野波 麻帆    テリー（照井 学）…鈴木 貴之  タマ（玉井 剛）…石黒 英雄  ポチ（星 武）…クロちゃん    門真　由希…佐野　ひなこ    中島 美咲…内藤 理沙  江藤　瞳…内田 理央  加藤…山本 圭祐    黒"&amp;"沢 一…竹財 輝之助  森　努…小松　和重  鯉田 和夫…小野 武彦    春子…ミムラ主題歌  「もっと」aiko  (ポニーキャニオン)    音楽：出羽良彰　羽深由理原作：「ダメな私に恋してください」 中原 アヤ　（集英社マーガレットコミックス刊／「YOU」連載中）  脚本：吉澤　智子  監督：福田　亮介◇番組HP http://www.tbs.co.jp/damekoi/  ◇facebook https://www.facebook.com/damekoitbs/  ◇twitter  http"&amp;"s://twitter.com/damekoi_TBS  @damekoi_TBS  ◇instagram  damekoi_tbs  番組の内容と放送時間は変更になる場合があります。")</f>
        <v>再就職先の年下イケメン最上（三浦翔平）と人生初のデートを果たすミチコ（深田恭子）。黒沢（ディーン・フジオカ）には「お前のつかまえる男はたいがいアホだ」と用心を促されるのだが…柴田 ミチコ…深田 恭子    黒沢 歩…DEAN　FUJIOKA  最上 大地…三浦 翔平    生嶋 晶…野波 麻帆    テリー（照井 学）…鈴木 貴之  タマ（玉井 剛）…石黒 英雄  ポチ（星 武）…クロちゃん    門真　由希…佐野　ひなこ    中島 美咲…内藤 理沙  江藤　瞳…内田 理央  加藤…山本 圭祐    黒沢 一…竹財 輝之助  森　努…小松　和重  鯉田 和夫…小野 武彦    春子…ミムラ主題歌  「もっと」aiko  (ポニーキャニオン)    音楽：出羽良彰　羽深由理原作：「ダメな私に恋してください」 中原 アヤ　（集英社マーガレットコミックス刊／「YOU」連載中）  脚本：吉澤　智子  監督：福田　亮介◇番組HP http://www.tbs.co.jp/damekoi/  ◇facebook https://www.facebook.com/damekoitbs/  ◇twitter  https://twitter.com/damekoi_TBS  @damekoi_TBS  ◇instagram  damekoi_tbs  番組の内容と放送時間は変更になる場合があります。</v>
      </c>
      <c r="N5055" s="2"/>
      <c r="O5055" s="2"/>
      <c r="P5055" s="1"/>
      <c r="Q5055" s="1"/>
      <c r="R5055" s="1"/>
      <c r="S5055" s="1"/>
      <c r="T5055" s="1"/>
      <c r="U5055" s="1"/>
      <c r="V5055" s="1"/>
      <c r="W5055" s="1"/>
      <c r="X5055" s="1"/>
      <c r="Y5055" s="1"/>
      <c r="Z5055" s="1"/>
      <c r="AA5055" s="1"/>
      <c r="AB5055" s="1"/>
      <c r="AC5055" s="1"/>
      <c r="AD5055" s="1"/>
      <c r="AE5055" s="1"/>
      <c r="AF5055" s="1"/>
      <c r="AG5055" s="1"/>
      <c r="AH5055" s="1"/>
      <c r="AI5055" s="1"/>
      <c r="AJ5055" s="1"/>
      <c r="AK5055" s="1"/>
      <c r="AL5055" s="1"/>
      <c r="AM5055" s="1"/>
      <c r="AN5055" s="1"/>
      <c r="AO5055" s="1"/>
      <c r="AP5055" s="1"/>
      <c r="AQ5055" s="1"/>
      <c r="AR5055" s="1"/>
      <c r="AS5055" s="1"/>
      <c r="AT5055" s="1"/>
      <c r="AU5055" s="1"/>
      <c r="AV5055" s="1"/>
      <c r="AW5055" s="1"/>
      <c r="AX5055" s="1"/>
      <c r="AY5055" s="1"/>
      <c r="AZ5055" s="1"/>
      <c r="BA5055" s="1"/>
      <c r="BB5055" s="1"/>
    </row>
    <row r="5056" ht="204.75" customHeight="1">
      <c r="A5056" s="1">
        <v>1778.0</v>
      </c>
      <c r="B5056" s="2" t="s">
        <v>14143</v>
      </c>
      <c r="C5056" s="2">
        <f>IFERROR(__xludf.DUMMYFUNCTION("split(B5056,""_"")"),1601.0)</f>
        <v>1601</v>
      </c>
      <c r="D5056" s="2" t="str">
        <f>IFERROR(__xludf.DUMMYFUNCTION("""COMPUTED_VALUE"""),"TBS")</f>
        <v>TBS</v>
      </c>
      <c r="E5056" s="2" t="str">
        <f>IFERROR(__xludf.DUMMYFUNCTION("""COMPUTED_VALUE"""),"火22")</f>
        <v>火22</v>
      </c>
      <c r="F5056" s="2" t="s">
        <v>14144</v>
      </c>
      <c r="G5056" s="2" t="s">
        <v>14151</v>
      </c>
      <c r="H5056" s="1">
        <v>4.0</v>
      </c>
      <c r="J5056" s="1" t="s">
        <v>86</v>
      </c>
      <c r="K5056" s="2" t="s">
        <v>14152</v>
      </c>
      <c r="L5056" s="2"/>
      <c r="M5056" s="2" t="str">
        <f>IFERROR(__xludf.DUMMYFUNCTION("split(split(K5056,""【"",false),""公式LINE"",false)"),"人生初カレから、はからずも「結婚」の2文字を引き出すことになったミチコ。しかし、黒沢からはそんなカレが結婚詐欺ではないか、と言われてしまう。一方、ミチコもまた黒沢の恋の相手が人妻ではないかという境遇に直面し…柴田 ミチコ…深田 恭子    黒沢 歩…DEAN　FUJIOKA  最上 大地…三浦 翔平    生嶋 晶…野波 麻帆  テリー（照井 学）…鈴木 貴之  タマ（玉井 剛）…石黒 英雄  ポチ（星 武）…クロちゃん    門真　由希…佐野　ひなこ  中島 美咲…内藤理沙  江藤　瞳…内田 理央  　"&amp;"  黒沢 一…竹財 輝之助  森　努…小松　和重  鯉田 和夫…小野 武彦    春子…ミムラ丹野 綾…大野 いと主題歌  「もっと」aiko  (ポニーキャニオン)    音楽：出羽良彰　羽深由理原作：「ダメな私に恋してください」 中原 アヤ　（集英社マーガレットコミックス刊／「YOU」連載中）  脚本：吉澤 智子  監督：福田 亮介◇番組HP http://www.tbs.co.jp/damekoi/  ◇facebook https://www.facebook.com/damekoitbs/  ◇"&amp;"twitter  https://twitter.com/damekoi_TBS  @damekoi_TBS  ◇instagram  damekoi_tbs  番組の内容と放送時間は変更になる場合があります。")</f>
        <v>人生初カレから、はからずも「結婚」の2文字を引き出すことになったミチコ。しかし、黒沢からはそんなカレが結婚詐欺ではないか、と言われてしまう。一方、ミチコもまた黒沢の恋の相手が人妻ではないかという境遇に直面し…柴田 ミチコ…深田 恭子    黒沢 歩…DEAN　FUJIOKA  最上 大地…三浦 翔平    生嶋 晶…野波 麻帆  テリー（照井 学）…鈴木 貴之  タマ（玉井 剛）…石黒 英雄  ポチ（星 武）…クロちゃん    門真　由希…佐野　ひなこ  中島 美咲…内藤理沙  江藤　瞳…内田 理央  　  黒沢 一…竹財 輝之助  森　努…小松　和重  鯉田 和夫…小野 武彦    春子…ミムラ丹野 綾…大野 いと主題歌  「もっと」aiko  (ポニーキャニオン)    音楽：出羽良彰　羽深由理原作：「ダメな私に恋してください」 中原 アヤ　（集英社マーガレットコミックス刊／「YOU」連載中）  脚本：吉澤 智子  監督：福田 亮介◇番組HP http://www.tbs.co.jp/damekoi/  ◇facebook https://www.facebook.com/damekoitbs/  ◇twitter  https://twitter.com/damekoi_TBS  @damekoi_TBS  ◇instagram  damekoi_tbs  番組の内容と放送時間は変更になる場合があります。</v>
      </c>
      <c r="N5056" s="2"/>
      <c r="O5056" s="2"/>
      <c r="P5056" s="1"/>
      <c r="Q5056" s="1"/>
      <c r="R5056" s="1"/>
      <c r="S5056" s="1"/>
      <c r="T5056" s="1"/>
      <c r="U5056" s="1"/>
      <c r="V5056" s="1"/>
      <c r="W5056" s="1"/>
      <c r="X5056" s="1"/>
      <c r="Y5056" s="1"/>
      <c r="Z5056" s="1"/>
      <c r="AA5056" s="1"/>
      <c r="AB5056" s="1"/>
      <c r="AC5056" s="1"/>
      <c r="AD5056" s="1"/>
      <c r="AE5056" s="1"/>
      <c r="AF5056" s="1"/>
      <c r="AG5056" s="1"/>
      <c r="AH5056" s="1"/>
      <c r="AI5056" s="1"/>
      <c r="AJ5056" s="1"/>
      <c r="AK5056" s="1"/>
      <c r="AL5056" s="1"/>
      <c r="AM5056" s="1"/>
      <c r="AN5056" s="1"/>
      <c r="AO5056" s="1"/>
      <c r="AP5056" s="1"/>
      <c r="AQ5056" s="1"/>
      <c r="AR5056" s="1"/>
      <c r="AS5056" s="1"/>
      <c r="AT5056" s="1"/>
      <c r="AU5056" s="1"/>
      <c r="AV5056" s="1"/>
      <c r="AW5056" s="1"/>
      <c r="AX5056" s="1"/>
      <c r="AY5056" s="1"/>
      <c r="AZ5056" s="1"/>
      <c r="BA5056" s="1"/>
      <c r="BB5056" s="1"/>
    </row>
    <row r="5057" ht="204.75" customHeight="1">
      <c r="A5057" s="1">
        <v>1779.0</v>
      </c>
      <c r="B5057" s="2" t="s">
        <v>14143</v>
      </c>
      <c r="C5057" s="2">
        <f>IFERROR(__xludf.DUMMYFUNCTION("split(B5057,""_"")"),1601.0)</f>
        <v>1601</v>
      </c>
      <c r="D5057" s="2" t="str">
        <f>IFERROR(__xludf.DUMMYFUNCTION("""COMPUTED_VALUE"""),"TBS")</f>
        <v>TBS</v>
      </c>
      <c r="E5057" s="2" t="str">
        <f>IFERROR(__xludf.DUMMYFUNCTION("""COMPUTED_VALUE"""),"火22")</f>
        <v>火22</v>
      </c>
      <c r="F5057" s="2" t="s">
        <v>14144</v>
      </c>
      <c r="G5057" s="2" t="s">
        <v>14153</v>
      </c>
      <c r="H5057" s="1">
        <v>5.0</v>
      </c>
      <c r="J5057" s="1" t="s">
        <v>86</v>
      </c>
      <c r="K5057" s="2" t="s">
        <v>14154</v>
      </c>
      <c r="L5057" s="2"/>
      <c r="M5057" s="2" t="str">
        <f>IFERROR(__xludf.DUMMYFUNCTION("split(split(K5057,""【"",false),""公式LINE"",false)"),"最上（三浦翔平）との仲を察知され、女子社員から人生初の嫉妬を受けるミチコ（深田恭子）。そんなミチコは黒沢（ディーン・フジオカ）と春子（ミムラ）との親密な関係を目撃し、意外にも複雑な思いになる。そしてついに最上との自宅デートの日を迎え気合いを入れるのだったが…柴田 ミチコ…深田 恭子    黒沢 歩…DEAN　FUJIOKA（ディーン・フジオカ）  最上 大地…三浦 翔平    生嶋 晶…野波 麻帆  テリー（照井 学）…鈴木 貴之  タマ（玉井 剛）…石黒 英雄  ポチ（星 武）…クロちゃん    門真　"&amp;"由希…佐野　ひなこ  中島 美咲…内藤 理沙  江藤　瞳…内田 理央    黒沢 一…竹財 輝之助  森　努…小松　和重  鯉田 和夫…小野 武彦    春子…ミムラ主題歌  「もっと」aiko  (ポニーキャニオン)    音楽：出羽 良彰　羽深由理原作：「ダメな私に恋してください」 中原 アヤ　（集英社マーガレットコミックス刊／「YOU」連載中）  脚本：吉澤 智子  監督：月川 翔◇番組HP http://www.tbs.co.jp/damekoi/  ◇facebook https://www.f"&amp;"acebook.com/damekoitbs/  ◇twitter  https://twitter.com/damekoi_TBS  @damekoi_TBS  ◇instagram  damekoi_tbs  番組の内容と放送時間は変更になる場合があります。")</f>
        <v>最上（三浦翔平）との仲を察知され、女子社員から人生初の嫉妬を受けるミチコ（深田恭子）。そんなミチコは黒沢（ディーン・フジオカ）と春子（ミムラ）との親密な関係を目撃し、意外にも複雑な思いになる。そしてついに最上との自宅デートの日を迎え気合いを入れるのだったが…柴田 ミチコ…深田 恭子    黒沢 歩…DEAN　FUJIOKA（ディーン・フジオカ）  最上 大地…三浦 翔平    生嶋 晶…野波 麻帆  テリー（照井 学）…鈴木 貴之  タマ（玉井 剛）…石黒 英雄  ポチ（星 武）…クロちゃん    門真　由希…佐野　ひなこ  中島 美咲…内藤 理沙  江藤　瞳…内田 理央    黒沢 一…竹財 輝之助  森　努…小松　和重  鯉田 和夫…小野 武彦    春子…ミムラ主題歌  「もっと」aiko  (ポニーキャニオン)    音楽：出羽 良彰　羽深由理原作：「ダメな私に恋してください」 中原 アヤ　（集英社マーガレットコミックス刊／「YOU」連載中）  脚本：吉澤 智子  監督：月川 翔◇番組HP http://www.tbs.co.jp/damekoi/  ◇facebook https://www.facebook.com/damekoitbs/  ◇twitter  https://twitter.com/damekoi_TBS  @damekoi_TBS  ◇instagram  damekoi_tbs  番組の内容と放送時間は変更になる場合があります。</v>
      </c>
      <c r="N5057" s="2"/>
      <c r="O5057" s="2"/>
      <c r="P5057" s="1"/>
      <c r="Q5057" s="1"/>
      <c r="R5057" s="1"/>
      <c r="S5057" s="1"/>
      <c r="T5057" s="1"/>
      <c r="U5057" s="1"/>
      <c r="V5057" s="1"/>
      <c r="W5057" s="1"/>
      <c r="X5057" s="1"/>
      <c r="Y5057" s="1"/>
      <c r="Z5057" s="1"/>
      <c r="AA5057" s="1"/>
      <c r="AB5057" s="1"/>
      <c r="AC5057" s="1"/>
      <c r="AD5057" s="1"/>
      <c r="AE5057" s="1"/>
      <c r="AF5057" s="1"/>
      <c r="AG5057" s="1"/>
      <c r="AH5057" s="1"/>
      <c r="AI5057" s="1"/>
      <c r="AJ5057" s="1"/>
      <c r="AK5057" s="1"/>
      <c r="AL5057" s="1"/>
      <c r="AM5057" s="1"/>
      <c r="AN5057" s="1"/>
      <c r="AO5057" s="1"/>
      <c r="AP5057" s="1"/>
      <c r="AQ5057" s="1"/>
      <c r="AR5057" s="1"/>
      <c r="AS5057" s="1"/>
      <c r="AT5057" s="1"/>
      <c r="AU5057" s="1"/>
      <c r="AV5057" s="1"/>
      <c r="AW5057" s="1"/>
      <c r="AX5057" s="1"/>
      <c r="AY5057" s="1"/>
      <c r="AZ5057" s="1"/>
      <c r="BA5057" s="1"/>
      <c r="BB5057" s="1"/>
    </row>
    <row r="5058" ht="204.75" customHeight="1">
      <c r="A5058" s="1">
        <v>1780.0</v>
      </c>
      <c r="B5058" s="2" t="s">
        <v>14143</v>
      </c>
      <c r="C5058" s="2">
        <f>IFERROR(__xludf.DUMMYFUNCTION("split(B5058,""_"")"),1601.0)</f>
        <v>1601</v>
      </c>
      <c r="D5058" s="2" t="str">
        <f>IFERROR(__xludf.DUMMYFUNCTION("""COMPUTED_VALUE"""),"TBS")</f>
        <v>TBS</v>
      </c>
      <c r="E5058" s="2" t="str">
        <f>IFERROR(__xludf.DUMMYFUNCTION("""COMPUTED_VALUE"""),"火22")</f>
        <v>火22</v>
      </c>
      <c r="F5058" s="2" t="s">
        <v>14144</v>
      </c>
      <c r="G5058" s="2" t="s">
        <v>14155</v>
      </c>
      <c r="H5058" s="1">
        <v>6.0</v>
      </c>
      <c r="J5058" s="1" t="s">
        <v>86</v>
      </c>
      <c r="K5058" s="2" t="s">
        <v>14156</v>
      </c>
      <c r="L5058" s="2"/>
      <c r="M5058" s="2" t="str">
        <f>IFERROR(__xludf.DUMMYFUNCTION("split(split(K5058,""【"",false),""公式LINE"",false)"),"黒沢（ディーン・フジオカ）の家を出て、最上（三浦翔平）との同棲にそなえるミチコ（深田恭子）。だが、しだいに最上の言動に疑問を抱くようになる。ついには、かつてミチコを騙した純太（吉沢亮）と同じようなことを言ってきて‥‥。  しかしそこで発覚する最上の大ピンチ!? 会社でミスを犯した最上を救おうと、ミチコは走り出す！柴田 ミチコ…深田 恭子    黒沢 歩…DEAN　FUJIOKA（ディーン・フジオカ）  最上 大地…三浦 翔平    生嶋 晶…野波 麻帆  テリー（照井 学）…鈴木 貴之  タマ（玉井 剛）"&amp;"…石黒 英雄  ポチ（星 武）…クロちゃん    門真　由希…佐野　ひなこ  中島 美咲…内藤理沙    森　努…小松　和重  鯉田 和夫…小野 武彦    春子…ミムラ南 環…山村美智主題歌  「もっと」aiko  (ポニーキャニオン)    音楽：出羽良彰　羽深由理原作：「ダメな私に恋してください」 中原 アヤ　（集英社マーガレットコミックス刊／「YOU」連載中）  脚本：吉澤 智子  監督：月川 翔◇番組HP http://www.tbs.co.jp/damekoi/  ◇facebook http"&amp;"s://www.facebook.com/damekoitbs/  ◇twitter  https://twitter.com/damekoi_TBS  @damekoi_TBS  ◇instagram  damekoi_tbs  番組の内容と放送時間は変更になる場合があります。")</f>
        <v>黒沢（ディーン・フジオカ）の家を出て、最上（三浦翔平）との同棲にそなえるミチコ（深田恭子）。だが、しだいに最上の言動に疑問を抱くようになる。ついには、かつてミチコを騙した純太（吉沢亮）と同じようなことを言ってきて‥‥。  しかしそこで発覚する最上の大ピンチ!? 会社でミスを犯した最上を救おうと、ミチコは走り出す！柴田 ミチコ…深田 恭子    黒沢 歩…DEAN　FUJIOKA（ディーン・フジオカ）  最上 大地…三浦 翔平    生嶋 晶…野波 麻帆  テリー（照井 学）…鈴木 貴之  タマ（玉井 剛）…石黒 英雄  ポチ（星 武）…クロちゃん    門真　由希…佐野　ひなこ  中島 美咲…内藤理沙    森　努…小松　和重  鯉田 和夫…小野 武彦    春子…ミムラ南 環…山村美智主題歌  「もっと」aiko  (ポニーキャニオン)    音楽：出羽良彰　羽深由理原作：「ダメな私に恋してください」 中原 アヤ　（集英社マーガレットコミックス刊／「YOU」連載中）  脚本：吉澤 智子  監督：月川 翔◇番組HP http://www.tbs.co.jp/damekoi/  ◇facebook https://www.facebook.com/damekoitbs/  ◇twitter  https://twitter.com/damekoi_TBS  @damekoi_TBS  ◇instagram  damekoi_tbs  番組の内容と放送時間は変更になる場合があります。</v>
      </c>
      <c r="N5058" s="2"/>
      <c r="O5058" s="2"/>
      <c r="P5058" s="1"/>
      <c r="Q5058" s="1"/>
      <c r="R5058" s="1"/>
      <c r="S5058" s="1"/>
      <c r="T5058" s="1"/>
      <c r="U5058" s="1"/>
      <c r="V5058" s="1"/>
      <c r="W5058" s="1"/>
      <c r="X5058" s="1"/>
      <c r="Y5058" s="1"/>
      <c r="Z5058" s="1"/>
      <c r="AA5058" s="1"/>
      <c r="AB5058" s="1"/>
      <c r="AC5058" s="1"/>
      <c r="AD5058" s="1"/>
      <c r="AE5058" s="1"/>
      <c r="AF5058" s="1"/>
      <c r="AG5058" s="1"/>
      <c r="AH5058" s="1"/>
      <c r="AI5058" s="1"/>
      <c r="AJ5058" s="1"/>
      <c r="AK5058" s="1"/>
      <c r="AL5058" s="1"/>
      <c r="AM5058" s="1"/>
      <c r="AN5058" s="1"/>
      <c r="AO5058" s="1"/>
      <c r="AP5058" s="1"/>
      <c r="AQ5058" s="1"/>
      <c r="AR5058" s="1"/>
      <c r="AS5058" s="1"/>
      <c r="AT5058" s="1"/>
      <c r="AU5058" s="1"/>
      <c r="AV5058" s="1"/>
      <c r="AW5058" s="1"/>
      <c r="AX5058" s="1"/>
      <c r="AY5058" s="1"/>
      <c r="AZ5058" s="1"/>
      <c r="BA5058" s="1"/>
      <c r="BB5058" s="1"/>
    </row>
    <row r="5059" ht="204.75" customHeight="1">
      <c r="A5059" s="1">
        <v>1781.0</v>
      </c>
      <c r="B5059" s="2" t="s">
        <v>14143</v>
      </c>
      <c r="C5059" s="2">
        <f>IFERROR(__xludf.DUMMYFUNCTION("split(B5059,""_"")"),1601.0)</f>
        <v>1601</v>
      </c>
      <c r="D5059" s="2" t="str">
        <f>IFERROR(__xludf.DUMMYFUNCTION("""COMPUTED_VALUE"""),"TBS")</f>
        <v>TBS</v>
      </c>
      <c r="E5059" s="2" t="str">
        <f>IFERROR(__xludf.DUMMYFUNCTION("""COMPUTED_VALUE"""),"火22")</f>
        <v>火22</v>
      </c>
      <c r="F5059" s="2" t="s">
        <v>14144</v>
      </c>
      <c r="G5059" s="2" t="s">
        <v>14157</v>
      </c>
      <c r="H5059" s="1">
        <v>7.0</v>
      </c>
      <c r="J5059" s="1" t="s">
        <v>86</v>
      </c>
      <c r="K5059" s="2" t="s">
        <v>14158</v>
      </c>
      <c r="L5059" s="2"/>
      <c r="M5059" s="2" t="str">
        <f>IFERROR(__xludf.DUMMYFUNCTION("split(split(K5059,""【"",false),""公式LINE"",false)"),"最上（三浦翔平）に突然プロポーズされ、浮かれつつもイマイチ状況についていけないミチコ（深田恭子）。だが、当の最上は式場の下見やドレスの試着など結婚への準備をハイペースに進めていく。  一方、黒沢（DEAN FUJIOKA）はミチコの婚約を素直に祝福するものの、ミチコはそんな黒沢の存在が気になり始めるのだった。柴田 ミチコ…深田 恭子    黒沢 歩…DEAN　FUJIOKA（ディーン・フジオカ）  最上 大地…三浦 翔平    生嶋 晶…野波 麻帆    テリー（照井 学）…鈴木 貴之  タマ（玉井 剛）"&amp;"…石黒 英雄  ポチ（星 武）…クロちゃん    門真　由希…佐野　ひなこ  中島 美咲…内藤　理沙  森　努…小松　和重    鯉田 和夫…小野 武彦    春子…ミムラ主題歌  「もっと」aiko  (ポニーキャニオン)    音楽：出羽良彰　羽深由理原作：「ダメな私に恋してください」 中原 アヤ　（集英社マーガレットコミックス刊／「YOU」連載中）  脚本：吉澤 智子  監督：月川 翔◇番組HP http://www.tbs.co.jp/damekoi/  ◇facebook https://www"&amp;".facebook.com/damekoitbs/  ◇twitter  https://twitter.com/damekoi_TBS  @damekoi_TBS  ◇instagram  damekoi_tbs  番組の内容と放送時間は変更になる場合があります。")</f>
        <v>最上（三浦翔平）に突然プロポーズされ、浮かれつつもイマイチ状況についていけないミチコ（深田恭子）。だが、当の最上は式場の下見やドレスの試着など結婚への準備をハイペースに進めていく。  一方、黒沢（DEAN FUJIOKA）はミチコの婚約を素直に祝福するものの、ミチコはそんな黒沢の存在が気になり始めるのだった。柴田 ミチコ…深田 恭子    黒沢 歩…DEAN　FUJIOKA（ディーン・フジオカ）  最上 大地…三浦 翔平    生嶋 晶…野波 麻帆    テリー（照井 学）…鈴木 貴之  タマ（玉井 剛）…石黒 英雄  ポチ（星 武）…クロちゃん    門真　由希…佐野　ひなこ  中島 美咲…内藤　理沙  森　努…小松　和重    鯉田 和夫…小野 武彦    春子…ミムラ主題歌  「もっと」aiko  (ポニーキャニオン)    音楽：出羽良彰　羽深由理原作：「ダメな私に恋してください」 中原 アヤ　（集英社マーガレットコミックス刊／「YOU」連載中）  脚本：吉澤 智子  監督：月川 翔◇番組HP http://www.tbs.co.jp/damekoi/  ◇facebook https://www.facebook.com/damekoitbs/  ◇twitter  https://twitter.com/damekoi_TBS  @damekoi_TBS  ◇instagram  damekoi_tbs  番組の内容と放送時間は変更になる場合があります。</v>
      </c>
      <c r="N5059" s="2"/>
      <c r="O5059" s="2"/>
      <c r="P5059" s="1"/>
      <c r="Q5059" s="1"/>
      <c r="R5059" s="1"/>
      <c r="S5059" s="1"/>
      <c r="T5059" s="1"/>
      <c r="U5059" s="1"/>
      <c r="V5059" s="1"/>
      <c r="W5059" s="1"/>
      <c r="X5059" s="1"/>
      <c r="Y5059" s="1"/>
      <c r="Z5059" s="1"/>
      <c r="AA5059" s="1"/>
      <c r="AB5059" s="1"/>
      <c r="AC5059" s="1"/>
      <c r="AD5059" s="1"/>
      <c r="AE5059" s="1"/>
      <c r="AF5059" s="1"/>
      <c r="AG5059" s="1"/>
      <c r="AH5059" s="1"/>
      <c r="AI5059" s="1"/>
      <c r="AJ5059" s="1"/>
      <c r="AK5059" s="1"/>
      <c r="AL5059" s="1"/>
      <c r="AM5059" s="1"/>
      <c r="AN5059" s="1"/>
      <c r="AO5059" s="1"/>
      <c r="AP5059" s="1"/>
      <c r="AQ5059" s="1"/>
      <c r="AR5059" s="1"/>
      <c r="AS5059" s="1"/>
      <c r="AT5059" s="1"/>
      <c r="AU5059" s="1"/>
      <c r="AV5059" s="1"/>
      <c r="AW5059" s="1"/>
      <c r="AX5059" s="1"/>
      <c r="AY5059" s="1"/>
      <c r="AZ5059" s="1"/>
      <c r="BA5059" s="1"/>
      <c r="BB5059" s="1"/>
    </row>
    <row r="5060" ht="204.75" customHeight="1">
      <c r="A5060" s="1">
        <v>1782.0</v>
      </c>
      <c r="B5060" s="2" t="s">
        <v>14143</v>
      </c>
      <c r="C5060" s="2">
        <f>IFERROR(__xludf.DUMMYFUNCTION("split(B5060,""_"")"),1601.0)</f>
        <v>1601</v>
      </c>
      <c r="D5060" s="2" t="str">
        <f>IFERROR(__xludf.DUMMYFUNCTION("""COMPUTED_VALUE"""),"TBS")</f>
        <v>TBS</v>
      </c>
      <c r="E5060" s="2" t="str">
        <f>IFERROR(__xludf.DUMMYFUNCTION("""COMPUTED_VALUE"""),"火22")</f>
        <v>火22</v>
      </c>
      <c r="F5060" s="2" t="s">
        <v>14144</v>
      </c>
      <c r="G5060" s="2" t="s">
        <v>14159</v>
      </c>
      <c r="H5060" s="1">
        <v>8.0</v>
      </c>
      <c r="J5060" s="1" t="s">
        <v>86</v>
      </c>
      <c r="K5060" s="2" t="s">
        <v>14160</v>
      </c>
      <c r="L5060" s="2"/>
      <c r="M5060" s="2" t="str">
        <f>IFERROR(__xludf.DUMMYFUNCTION("split(split(K5060,""【"",false),""公式LINE"",false)"),"最上（三浦翔平）に貰った婚約指輪を返したミチコ（深田恭子）は、再び黒沢（DEAN FUJIOKA）と「ひまわり」で同居することになる。  そんな中、実家の母・奈津江（山下容莉枝）から帰省を促され、婚約者も連れてくるようにと言われてしまう。別れた事実を言い出せず、居もしない婚約者を連れて帰ると答えてしまったミチコだったが…柴田 ミチコ…深田 恭子    黒沢 歩…DEAN　FUJIOKA  最上 大地…三浦 翔平    生嶋 晶…野波 麻帆    テリー（照井 学）…鈴木 貴之  タマ（玉井 剛）…石黒 英"&amp;"雄  ポチ（星 武）…クロちゃん    門真　由希…佐野　ひなこ  中島 美咲…内藤 理沙  森　努…小松　和重  黒沢　一…竹財　輝之助    鯉田 和夫…小野 武彦    春子…ミムラ柴田 秀輔…佐戸井 けん太  柴田 奈津江…山下 容莉枝  柴田 明日香…小島 藤子  柴田 智文…不破 万作主題歌  「もっと」aiko  (ポニーキャニオン)  原作：「ダメな私に恋してください」 中原 アヤ　（集英社マーガレットコミックス刊／「YOU」連載中）  脚本：吉澤 智子  監督：月川 翔◇番組HP htt"&amp;"p://www.tbs.co.jp/damekoi/  ◇facebook https://www.facebook.com/damekoitbs/  ◇twitter  https://twitter.com/damekoi_TBS  @damekoi_TBS  ◇instagram  damekoi_tbs  番組の内容と放送時間は変更になる場合があります。")</f>
        <v>最上（三浦翔平）に貰った婚約指輪を返したミチコ（深田恭子）は、再び黒沢（DEAN FUJIOKA）と「ひまわり」で同居することになる。  そんな中、実家の母・奈津江（山下容莉枝）から帰省を促され、婚約者も連れてくるようにと言われてしまう。別れた事実を言い出せず、居もしない婚約者を連れて帰ると答えてしまったミチコだったが…柴田 ミチコ…深田 恭子    黒沢 歩…DEAN　FUJIOKA  最上 大地…三浦 翔平    生嶋 晶…野波 麻帆    テリー（照井 学）…鈴木 貴之  タマ（玉井 剛）…石黒 英雄  ポチ（星 武）…クロちゃん    門真　由希…佐野　ひなこ  中島 美咲…内藤 理沙  森　努…小松　和重  黒沢　一…竹財　輝之助    鯉田 和夫…小野 武彦    春子…ミムラ柴田 秀輔…佐戸井 けん太  柴田 奈津江…山下 容莉枝  柴田 明日香…小島 藤子  柴田 智文…不破 万作主題歌  「もっと」aiko  (ポニーキャニオン)  原作：「ダメな私に恋してください」 中原 アヤ　（集英社マーガレットコミックス刊／「YOU」連載中）  脚本：吉澤 智子  監督：月川 翔◇番組HP http://www.tbs.co.jp/damekoi/  ◇facebook https://www.facebook.com/damekoitbs/  ◇twitter  https://twitter.com/damekoi_TBS  @damekoi_TBS  ◇instagram  damekoi_tbs  番組の内容と放送時間は変更になる場合があります。</v>
      </c>
      <c r="N5060" s="2"/>
      <c r="O5060" s="2"/>
      <c r="P5060" s="1"/>
      <c r="Q5060" s="1"/>
      <c r="R5060" s="1"/>
      <c r="S5060" s="1"/>
      <c r="T5060" s="1"/>
      <c r="U5060" s="1"/>
      <c r="V5060" s="1"/>
      <c r="W5060" s="1"/>
      <c r="X5060" s="1"/>
      <c r="Y5060" s="1"/>
      <c r="Z5060" s="1"/>
      <c r="AA5060" s="1"/>
      <c r="AB5060" s="1"/>
      <c r="AC5060" s="1"/>
      <c r="AD5060" s="1"/>
      <c r="AE5060" s="1"/>
      <c r="AF5060" s="1"/>
      <c r="AG5060" s="1"/>
      <c r="AH5060" s="1"/>
      <c r="AI5060" s="1"/>
      <c r="AJ5060" s="1"/>
      <c r="AK5060" s="1"/>
      <c r="AL5060" s="1"/>
      <c r="AM5060" s="1"/>
      <c r="AN5060" s="1"/>
      <c r="AO5060" s="1"/>
      <c r="AP5060" s="1"/>
      <c r="AQ5060" s="1"/>
      <c r="AR5060" s="1"/>
      <c r="AS5060" s="1"/>
      <c r="AT5060" s="1"/>
      <c r="AU5060" s="1"/>
      <c r="AV5060" s="1"/>
      <c r="AW5060" s="1"/>
      <c r="AX5060" s="1"/>
      <c r="AY5060" s="1"/>
      <c r="AZ5060" s="1"/>
      <c r="BA5060" s="1"/>
      <c r="BB5060" s="1"/>
    </row>
    <row r="5061" ht="204.75" customHeight="1">
      <c r="A5061" s="1">
        <v>1783.0</v>
      </c>
      <c r="B5061" s="2" t="s">
        <v>14143</v>
      </c>
      <c r="C5061" s="2">
        <f>IFERROR(__xludf.DUMMYFUNCTION("split(B5061,""_"")"),1601.0)</f>
        <v>1601</v>
      </c>
      <c r="D5061" s="2" t="str">
        <f>IFERROR(__xludf.DUMMYFUNCTION("""COMPUTED_VALUE"""),"TBS")</f>
        <v>TBS</v>
      </c>
      <c r="E5061" s="2" t="str">
        <f>IFERROR(__xludf.DUMMYFUNCTION("""COMPUTED_VALUE"""),"火22")</f>
        <v>火22</v>
      </c>
      <c r="F5061" s="2" t="s">
        <v>14144</v>
      </c>
      <c r="G5061" s="2" t="s">
        <v>14161</v>
      </c>
      <c r="H5061" s="1">
        <v>9.0</v>
      </c>
      <c r="J5061" s="1" t="s">
        <v>86</v>
      </c>
      <c r="K5061" s="2" t="s">
        <v>14162</v>
      </c>
      <c r="L5061" s="2"/>
      <c r="M5061" s="2" t="str">
        <f>IFERROR(__xludf.DUMMYFUNCTION("split(split(K5061,""【"",false),""公式LINE"",false)"),"実家からの帰り道、ミチコ（深田恭子）は勢いあまって黒沢（DEAN FUJIOKA）にプロポーズするが、あっさり断られてしまう。晶（野波麻帆）から色々とアドバイスを貰うも、しかしミチコが実践するとどうしてもダメダメに。  「せめて交際を」と気持ちを切りかえるミチコ。しかしその時、黒沢の携帯に春子（ミムラ）からの着信が‥‥。  電話にでるやいなや、黒沢はすぐさま春子のもとへ向かってしまうのだった。柴田 ミチコ…深田 恭子    黒沢 歩…DEAN　FUJIOKA（ディーン・フジオカ）  最上 大地…三浦 翔平"&amp;"    生嶋 晶…野波 麻帆    テリー（照井 学）…鈴木 貴之  タマ（玉井 剛）…石黒 英雄  ポチ（星 武）…クロちゃん    門真　由希…佐野 ひなこ  中島 美咲…内藤 理沙  森　努…小松 和重    黒沢 一…竹財 輝之助    春子…ミムラ主題歌  「もっと」aiko  (ポニーキャニオン)    音楽：出羽 良彰　羽深由理原作：「ダメな私に恋してください」 中原 アヤ　（集英社マーガレットコミックス刊／「YOU」連載中）  脚本：吉澤 智子  監督：福田 亮介◇番組HP http://"&amp;"www.tbs.co.jp/damekoi/  ◇facebook https://www.facebook.com/damekoitbs/  ◇twitter  https://twitter.com/damekoi_TBS  @damekoi_TBS  ◇instagram  damekoi_tbs  番組の内容と放送時間は変更になる場合があります。")</f>
        <v>実家からの帰り道、ミチコ（深田恭子）は勢いあまって黒沢（DEAN FUJIOKA）にプロポーズするが、あっさり断られてしまう。晶（野波麻帆）から色々とアドバイスを貰うも、しかしミチコが実践するとどうしてもダメダメに。  「せめて交際を」と気持ちを切りかえるミチコ。しかしその時、黒沢の携帯に春子（ミムラ）からの着信が‥‥。  電話にでるやいなや、黒沢はすぐさま春子のもとへ向かってしまうのだった。柴田 ミチコ…深田 恭子    黒沢 歩…DEAN　FUJIOKA（ディーン・フジオカ）  最上 大地…三浦 翔平    生嶋 晶…野波 麻帆    テリー（照井 学）…鈴木 貴之  タマ（玉井 剛）…石黒 英雄  ポチ（星 武）…クロちゃん    門真　由希…佐野 ひなこ  中島 美咲…内藤 理沙  森　努…小松 和重    黒沢 一…竹財 輝之助    春子…ミムラ主題歌  「もっと」aiko  (ポニーキャニオン)    音楽：出羽 良彰　羽深由理原作：「ダメな私に恋してください」 中原 アヤ　（集英社マーガレットコミックス刊／「YOU」連載中）  脚本：吉澤 智子  監督：福田 亮介◇番組HP http://www.tbs.co.jp/damekoi/  ◇facebook https://www.facebook.com/damekoitbs/  ◇twitter  https://twitter.com/damekoi_TBS  @damekoi_TBS  ◇instagram  damekoi_tbs  番組の内容と放送時間は変更になる場合があります。</v>
      </c>
      <c r="N5061" s="2"/>
      <c r="O5061" s="2"/>
      <c r="P5061" s="1"/>
      <c r="Q5061" s="1"/>
      <c r="R5061" s="1"/>
      <c r="S5061" s="1"/>
      <c r="T5061" s="1"/>
      <c r="U5061" s="1"/>
      <c r="V5061" s="1"/>
      <c r="W5061" s="1"/>
      <c r="X5061" s="1"/>
      <c r="Y5061" s="1"/>
      <c r="Z5061" s="1"/>
      <c r="AA5061" s="1"/>
      <c r="AB5061" s="1"/>
      <c r="AC5061" s="1"/>
      <c r="AD5061" s="1"/>
      <c r="AE5061" s="1"/>
      <c r="AF5061" s="1"/>
      <c r="AG5061" s="1"/>
      <c r="AH5061" s="1"/>
      <c r="AI5061" s="1"/>
      <c r="AJ5061" s="1"/>
      <c r="AK5061" s="1"/>
      <c r="AL5061" s="1"/>
      <c r="AM5061" s="1"/>
      <c r="AN5061" s="1"/>
      <c r="AO5061" s="1"/>
      <c r="AP5061" s="1"/>
      <c r="AQ5061" s="1"/>
      <c r="AR5061" s="1"/>
      <c r="AS5061" s="1"/>
      <c r="AT5061" s="1"/>
      <c r="AU5061" s="1"/>
      <c r="AV5061" s="1"/>
      <c r="AW5061" s="1"/>
      <c r="AX5061" s="1"/>
      <c r="AY5061" s="1"/>
      <c r="AZ5061" s="1"/>
      <c r="BA5061" s="1"/>
      <c r="BB5061" s="1"/>
    </row>
    <row r="5062" ht="204.75" customHeight="1">
      <c r="A5062" s="1">
        <v>1784.0</v>
      </c>
      <c r="B5062" s="2" t="s">
        <v>14143</v>
      </c>
      <c r="C5062" s="2">
        <f>IFERROR(__xludf.DUMMYFUNCTION("split(B5062,""_"")"),1601.0)</f>
        <v>1601</v>
      </c>
      <c r="D5062" s="2" t="str">
        <f>IFERROR(__xludf.DUMMYFUNCTION("""COMPUTED_VALUE"""),"TBS")</f>
        <v>TBS</v>
      </c>
      <c r="E5062" s="2" t="str">
        <f>IFERROR(__xludf.DUMMYFUNCTION("""COMPUTED_VALUE"""),"火22")</f>
        <v>火22</v>
      </c>
      <c r="F5062" s="2" t="s">
        <v>14144</v>
      </c>
      <c r="G5062" s="2" t="s">
        <v>14163</v>
      </c>
      <c r="H5062" s="1">
        <v>10.0</v>
      </c>
      <c r="J5062" s="1" t="s">
        <v>86</v>
      </c>
      <c r="K5062" s="2" t="s">
        <v>14164</v>
      </c>
      <c r="L5062" s="2"/>
      <c r="M5062" s="2" t="str">
        <f>IFERROR(__xludf.DUMMYFUNCTION("split(split(K5062,""【"",false),""公式LINE"",false)"),"再び黒沢（DEAN FUJIOKA）の元を離れたもののイケメンアイドルの追っかけを始め、ダメ女が再発するミチコ（深田恭子）。  かたやひまわりでは、黒沢と春子（ミムラ）の関係にもこれまでとは違った変化が生じ始めていた。そんな矢先、ミチコが怪しい男に付け狙われるという事件が起こり…柴田 ミチコ…深田 恭子    黒沢 歩…DEAN　FUJIOKA（ディーン・フジオカ）  最上 大地…三浦 翔平    生嶋 晶…野波 麻帆    テリー（照井 学）…鈴木 貴之  タマ（玉井 剛）…石黒 英雄  ポチ（星 武）"&amp;"…クロちゃん    門真　由希…佐野　ひなこ  中島 美咲…内藤 理沙  森　努…小松　和重    黒沢 一…竹財 輝之助    春子…ミムラ主題歌  「もっと」aiko  (ポニーキャニオン)    音楽：出羽 良彰　羽深由理原作：「ダメな私に恋してください」 中原 アヤ　（集英社マーガレットコミックス刊／「YOU」連載中）  脚本：吉澤 智子  監督：河合 勇人◇番組HP http://www.tbs.co.jp/damekoi/  ◇facebook https://www.facebook.com"&amp;"/damekoitbs/  ◇twitter  https://twitter.com/damekoi_TBS  @damekoi_TBS  ◇instagram  damekoi_tbs  番組の内容と放送時間は変更になる場合があります。")</f>
        <v>再び黒沢（DEAN FUJIOKA）の元を離れたもののイケメンアイドルの追っかけを始め、ダメ女が再発するミチコ（深田恭子）。  かたやひまわりでは、黒沢と春子（ミムラ）の関係にもこれまでとは違った変化が生じ始めていた。そんな矢先、ミチコが怪しい男に付け狙われるという事件が起こり…柴田 ミチコ…深田 恭子    黒沢 歩…DEAN　FUJIOKA（ディーン・フジオカ）  最上 大地…三浦 翔平    生嶋 晶…野波 麻帆    テリー（照井 学）…鈴木 貴之  タマ（玉井 剛）…石黒 英雄  ポチ（星 武）…クロちゃん    門真　由希…佐野　ひなこ  中島 美咲…内藤 理沙  森　努…小松　和重    黒沢 一…竹財 輝之助    春子…ミムラ主題歌  「もっと」aiko  (ポニーキャニオン)    音楽：出羽 良彰　羽深由理原作：「ダメな私に恋してください」 中原 アヤ　（集英社マーガレットコミックス刊／「YOU」連載中）  脚本：吉澤 智子  監督：河合 勇人◇番組HP http://www.tbs.co.jp/damekoi/  ◇facebook https://www.facebook.com/damekoitbs/  ◇twitter  https://twitter.com/damekoi_TBS  @damekoi_TBS  ◇instagram  damekoi_tbs  番組の内容と放送時間は変更になる場合があります。</v>
      </c>
      <c r="N5062" s="2"/>
      <c r="O5062" s="2"/>
      <c r="P5062" s="1"/>
      <c r="Q5062" s="1"/>
      <c r="R5062" s="1"/>
      <c r="S5062" s="1"/>
      <c r="T5062" s="1"/>
      <c r="U5062" s="1"/>
      <c r="V5062" s="1"/>
      <c r="W5062" s="1"/>
      <c r="X5062" s="1"/>
      <c r="Y5062" s="1"/>
      <c r="Z5062" s="1"/>
      <c r="AA5062" s="1"/>
      <c r="AB5062" s="1"/>
      <c r="AC5062" s="1"/>
      <c r="AD5062" s="1"/>
      <c r="AE5062" s="1"/>
      <c r="AF5062" s="1"/>
      <c r="AG5062" s="1"/>
      <c r="AH5062" s="1"/>
      <c r="AI5062" s="1"/>
      <c r="AJ5062" s="1"/>
      <c r="AK5062" s="1"/>
      <c r="AL5062" s="1"/>
      <c r="AM5062" s="1"/>
      <c r="AN5062" s="1"/>
      <c r="AO5062" s="1"/>
      <c r="AP5062" s="1"/>
      <c r="AQ5062" s="1"/>
      <c r="AR5062" s="1"/>
      <c r="AS5062" s="1"/>
      <c r="AT5062" s="1"/>
      <c r="AU5062" s="1"/>
      <c r="AV5062" s="1"/>
      <c r="AW5062" s="1"/>
      <c r="AX5062" s="1"/>
      <c r="AY5062" s="1"/>
      <c r="AZ5062" s="1"/>
      <c r="BA5062" s="1"/>
      <c r="BB5062" s="1"/>
    </row>
    <row r="5063" ht="204.75" customHeight="1">
      <c r="A5063" s="1">
        <v>1837.0</v>
      </c>
      <c r="B5063" s="2" t="s">
        <v>14165</v>
      </c>
      <c r="C5063" s="2">
        <f>IFERROR(__xludf.DUMMYFUNCTION("split(B5063,""_"")"),1601.0)</f>
        <v>1601</v>
      </c>
      <c r="D5063" s="2" t="str">
        <f>IFERROR(__xludf.DUMMYFUNCTION("""COMPUTED_VALUE"""),"TBS")</f>
        <v>TBS</v>
      </c>
      <c r="E5063" s="2" t="str">
        <f>IFERROR(__xludf.DUMMYFUNCTION("""COMPUTED_VALUE"""),"金22")</f>
        <v>金22</v>
      </c>
      <c r="F5063" s="2" t="s">
        <v>14166</v>
      </c>
      <c r="G5063" s="2" t="s">
        <v>14167</v>
      </c>
      <c r="H5063" s="1">
        <v>1.0</v>
      </c>
      <c r="J5063" s="1" t="s">
        <v>82</v>
      </c>
      <c r="K5063" s="2" t="s">
        <v>14168</v>
      </c>
      <c r="L5063" s="2"/>
      <c r="M5063" s="2" t="str">
        <f>IFERROR(__xludf.DUMMYFUNCTION("split(split(K5063,""【"",false),""公式LINE"",false)"),"保科恭子（綾瀬はるか）はとある仕事についていた。病院の手術室の前で手術を見守る恭子の目から、輝きを感じることはできない。見つめる先に横たわるのは土井友彦（三浦春馬）。一体彼らの身に何が起きているのだろうか。時は変わり20年前、隔離された施設「陽光学苑」で生活する恭子、友彦、美和（水川あさみ）の姿がある。キラキラと輝く幼少時代を過ごす彼らに、切なくも悲しい運命の知らせが訪れようとしている。綾瀬はるか　三浦春馬　水川あさみ　／鈴木梨央（幼少期）　中川翼（幼少期）　瑞城さくら（幼少期）　濱田ここね（幼少期）　エ"&amp;"マ・バーンズ（幼少期）　本間日陽和（幼少期）　小林喜日（幼少期）　石川樹（幼少期）　／真飛聖　山野海　／伊藤歩　甲本雅裕／麻生祐未音楽：やまだ豊「天皇の料理番」ほか脚本：森下佳子「天皇の料理番」、「JIN」シリーズ、「白夜行」、「世界の中心で愛をさけぶ」、NHK「ごちそうさん」ほか　演出：吉田健、山本剛義、平川雄一朗　プロデュース：渡瀬暁彦、飯田和孝◇番組HP  http://www.tbs.co.jp/never-let-me-go/  ◇facebook  https://www.facebook.c"&amp;"om/NLMG.tbs/  ◇twitter  @NLMG_tbs  https://twitter.com/NLMG_tbs  番組の内容と放送時間は変更になる可能性があります。")</f>
        <v>保科恭子（綾瀬はるか）はとある仕事についていた。病院の手術室の前で手術を見守る恭子の目から、輝きを感じることはできない。見つめる先に横たわるのは土井友彦（三浦春馬）。一体彼らの身に何が起きているのだろうか。時は変わり20年前、隔離された施設「陽光学苑」で生活する恭子、友彦、美和（水川あさみ）の姿がある。キラキラと輝く幼少時代を過ごす彼らに、切なくも悲しい運命の知らせが訪れようとしている。綾瀬はるか　三浦春馬　水川あさみ　／鈴木梨央（幼少期）　中川翼（幼少期）　瑞城さくら（幼少期）　濱田ここね（幼少期）　エマ・バーンズ（幼少期）　本間日陽和（幼少期）　小林喜日（幼少期）　石川樹（幼少期）　／真飛聖　山野海　／伊藤歩　甲本雅裕／麻生祐未音楽：やまだ豊「天皇の料理番」ほか脚本：森下佳子「天皇の料理番」、「JIN」シリーズ、「白夜行」、「世界の中心で愛をさけぶ」、NHK「ごちそうさん」ほか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v>
      </c>
      <c r="N5063" s="2"/>
      <c r="O5063" s="2"/>
      <c r="P5063" s="1"/>
      <c r="Q5063" s="1"/>
      <c r="R5063" s="1"/>
      <c r="S5063" s="1"/>
      <c r="T5063" s="1"/>
      <c r="U5063" s="1"/>
      <c r="V5063" s="1"/>
      <c r="W5063" s="1"/>
      <c r="X5063" s="1"/>
      <c r="Y5063" s="1"/>
      <c r="Z5063" s="1"/>
      <c r="AA5063" s="1"/>
      <c r="AB5063" s="1"/>
      <c r="AC5063" s="1"/>
      <c r="AD5063" s="1"/>
      <c r="AE5063" s="1"/>
      <c r="AF5063" s="1"/>
      <c r="AG5063" s="1"/>
      <c r="AH5063" s="1"/>
      <c r="AI5063" s="1"/>
      <c r="AJ5063" s="1"/>
      <c r="AK5063" s="1"/>
      <c r="AL5063" s="1"/>
      <c r="AM5063" s="1"/>
      <c r="AN5063" s="1"/>
      <c r="AO5063" s="1"/>
      <c r="AP5063" s="1"/>
      <c r="AQ5063" s="1"/>
      <c r="AR5063" s="1"/>
      <c r="AS5063" s="1"/>
      <c r="AT5063" s="1"/>
      <c r="AU5063" s="1"/>
      <c r="AV5063" s="1"/>
      <c r="AW5063" s="1"/>
      <c r="AX5063" s="1"/>
      <c r="AY5063" s="1"/>
      <c r="AZ5063" s="1"/>
      <c r="BA5063" s="1"/>
      <c r="BB5063" s="1"/>
    </row>
    <row r="5064" ht="204.75" customHeight="1">
      <c r="A5064" s="1">
        <v>1838.0</v>
      </c>
      <c r="B5064" s="2" t="s">
        <v>14165</v>
      </c>
      <c r="C5064" s="2">
        <f>IFERROR(__xludf.DUMMYFUNCTION("split(B5064,""_"")"),1601.0)</f>
        <v>1601</v>
      </c>
      <c r="D5064" s="2" t="str">
        <f>IFERROR(__xludf.DUMMYFUNCTION("""COMPUTED_VALUE"""),"TBS")</f>
        <v>TBS</v>
      </c>
      <c r="E5064" s="2" t="str">
        <f>IFERROR(__xludf.DUMMYFUNCTION("""COMPUTED_VALUE"""),"金22")</f>
        <v>金22</v>
      </c>
      <c r="F5064" s="2" t="s">
        <v>14166</v>
      </c>
      <c r="G5064" s="2" t="s">
        <v>14169</v>
      </c>
      <c r="H5064" s="1">
        <v>2.0</v>
      </c>
      <c r="J5064" s="1" t="s">
        <v>86</v>
      </c>
      <c r="K5064" s="2" t="s">
        <v>14170</v>
      </c>
      <c r="L5064" s="2"/>
      <c r="M5064" s="2" t="str">
        <f>IFERROR(__xludf.DUMMYFUNCTION("split(split(K5064,""【"",false),""公式LINE"",false)"),"◆「わたしを離さないで」の特別美術展を開催します◆  それに伴い、視聴者のみなさんから作品を募集中！！応募についての詳細は公式HP（http://www.tbs.co.jp/never-let-me-go/exhibition/）をご覧ください。自分たちは「臓器提供」の為に作り出された「天使」だと知った恭子（綾瀬はるか）達は、それぞれが運命を受け入れ、未来を変えようともがき始める。そんな中、2人の生徒が行方不明になる。その事件が彼女らの運命を徐々に狂わせていく。そして大人になった恭子たちに訪れる不協和音。"&amp;"幼少期に隠された秘密、物語は思いもよらない方向に進み始める。綾瀬はるか　三浦春馬　水川あさみ　／鈴木梨央（幼少期）　中川翼（幼少期）　瑞城さくら（幼少期）　濱田ここね（幼少期）　エマ・バーンズ（幼少期）　本間日陽和（幼少期）　小林喜日（幼少期）　石川樹（幼少期）　／真飛聖　山野海　／伊藤歩　甲本雅裕／麻生祐未音楽：やまだ豊「天皇の料理番」ほか脚本：森下佳子「天皇の料理番」、「JIN」シリーズ、「白夜行」、「世界の中心で愛をさけぶ」、NHK「ごちそうさん」ほか　演出：吉田健、山本剛義、平川雄一朗　プロデュー"&amp;"ス：渡瀬暁彦、飯田和孝◇番組HP  http://www.tbs.co.jp/never-let-me-go/  ◇facebook  https://www.facebook.com/NLMG.tbs/  ◇twitter  @NLMG_tbs  https://twitter.com/NLMG_tbs  番組の内容と放送時間は変更になる可能性があります。")</f>
        <v>◆「わたしを離さないで」の特別美術展を開催します◆  それに伴い、視聴者のみなさんから作品を募集中！！応募についての詳細は公式HP（http://www.tbs.co.jp/never-let-me-go/exhibition/）をご覧ください。自分たちは「臓器提供」の為に作り出された「天使」だと知った恭子（綾瀬はるか）達は、それぞれが運命を受け入れ、未来を変えようともがき始める。そんな中、2人の生徒が行方不明になる。その事件が彼女らの運命を徐々に狂わせていく。そして大人になった恭子たちに訪れる不協和音。幼少期に隠された秘密、物語は思いもよらない方向に進み始める。綾瀬はるか　三浦春馬　水川あさみ　／鈴木梨央（幼少期）　中川翼（幼少期）　瑞城さくら（幼少期）　濱田ここね（幼少期）　エマ・バーンズ（幼少期）　本間日陽和（幼少期）　小林喜日（幼少期）　石川樹（幼少期）　／真飛聖　山野海　／伊藤歩　甲本雅裕／麻生祐未音楽：やまだ豊「天皇の料理番」ほか脚本：森下佳子「天皇の料理番」、「JIN」シリーズ、「白夜行」、「世界の中心で愛をさけぶ」、NHK「ごちそうさん」ほか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v>
      </c>
      <c r="N5064" s="2"/>
      <c r="O5064" s="2"/>
      <c r="P5064" s="1"/>
      <c r="Q5064" s="1"/>
      <c r="R5064" s="1"/>
      <c r="S5064" s="1"/>
      <c r="T5064" s="1"/>
      <c r="U5064" s="1"/>
      <c r="V5064" s="1"/>
      <c r="W5064" s="1"/>
      <c r="X5064" s="1"/>
      <c r="Y5064" s="1"/>
      <c r="Z5064" s="1"/>
      <c r="AA5064" s="1"/>
      <c r="AB5064" s="1"/>
      <c r="AC5064" s="1"/>
      <c r="AD5064" s="1"/>
      <c r="AE5064" s="1"/>
      <c r="AF5064" s="1"/>
      <c r="AG5064" s="1"/>
      <c r="AH5064" s="1"/>
      <c r="AI5064" s="1"/>
      <c r="AJ5064" s="1"/>
      <c r="AK5064" s="1"/>
      <c r="AL5064" s="1"/>
      <c r="AM5064" s="1"/>
      <c r="AN5064" s="1"/>
      <c r="AO5064" s="1"/>
      <c r="AP5064" s="1"/>
      <c r="AQ5064" s="1"/>
      <c r="AR5064" s="1"/>
      <c r="AS5064" s="1"/>
      <c r="AT5064" s="1"/>
      <c r="AU5064" s="1"/>
      <c r="AV5064" s="1"/>
      <c r="AW5064" s="1"/>
      <c r="AX5064" s="1"/>
      <c r="AY5064" s="1"/>
      <c r="AZ5064" s="1"/>
      <c r="BA5064" s="1"/>
      <c r="BB5064" s="1"/>
    </row>
    <row r="5065" ht="204.75" customHeight="1">
      <c r="A5065" s="1">
        <v>1839.0</v>
      </c>
      <c r="B5065" s="2" t="s">
        <v>14165</v>
      </c>
      <c r="C5065" s="2">
        <f>IFERROR(__xludf.DUMMYFUNCTION("split(B5065,""_"")"),1601.0)</f>
        <v>1601</v>
      </c>
      <c r="D5065" s="2" t="str">
        <f>IFERROR(__xludf.DUMMYFUNCTION("""COMPUTED_VALUE"""),"TBS")</f>
        <v>TBS</v>
      </c>
      <c r="E5065" s="2" t="str">
        <f>IFERROR(__xludf.DUMMYFUNCTION("""COMPUTED_VALUE"""),"金22")</f>
        <v>金22</v>
      </c>
      <c r="F5065" s="2" t="s">
        <v>14166</v>
      </c>
      <c r="G5065" s="2" t="s">
        <v>14171</v>
      </c>
      <c r="H5065" s="1">
        <v>3.0</v>
      </c>
      <c r="J5065" s="1" t="s">
        <v>86</v>
      </c>
      <c r="K5065" s="2" t="s">
        <v>14172</v>
      </c>
      <c r="L5065" s="2"/>
      <c r="M5065" s="2" t="str">
        <f>IFERROR(__xludf.DUMMYFUNCTION("split(split(K5065,""【"",false),""公式LINE"",false)"),"◆「わたしを離さないで」の特別美術展を開催します◆  それに伴い、視聴者のみなさんから作品を募集中！！応募についての詳細は公式HP（http://www.tbs.co.jp/never-let-me-go/exhibition/）をご覧ください。卒業を間近に迎えた恭子（綾瀬はるか）、友彦（三浦春馬）、美和（水川あさみ）は新たに住む先の選択に迫られていた。「恭子と一緒のところでいい」という友彦に、感情の動きを感じる恭子。一方、サッカー選手の夢を持ち続ける友彦の前に変わり果てた龍子（伊藤歩）が現れる。彼女の口"&amp;"から発せられたのは信じがたい事実だった。そして、恭子と友彦の姿を常に見ていた美和は驚くべき行動に出る。それは・・・綾瀬はるか　三浦春馬　水川あさみ　／中井ノエミ　馬場園梓（アジアン）　大西礼芳　河原健二　山野海／伊藤歩　甲本雅裕／麻生祐未音楽：やまだ豊「天皇の料理番」ほか脚本：森下佳子「天皇の料理番」、「JIN」シリーズ、「白夜行」、「世界の中心で愛をさけぶ」、NHK「ごちそうさん」ほか　演出：吉田健、山本剛義、平川雄一朗　プロデュース：渡瀬暁彦、飯田和孝◇番組HP  http://www.tbs.co."&amp;"jp/never-let-me-go/  ◇facebook  https://www.facebook.com/NLMG.tbs/  ◇twitter  @NLMG_tbs  https://twitter.com/NLMG_tbs  番組の内容と放送時間は変更になる可能性があります。")</f>
        <v>◆「わたしを離さないで」の特別美術展を開催します◆  それに伴い、視聴者のみなさんから作品を募集中！！応募についての詳細は公式HP（http://www.tbs.co.jp/never-let-me-go/exhibition/）をご覧ください。卒業を間近に迎えた恭子（綾瀬はるか）、友彦（三浦春馬）、美和（水川あさみ）は新たに住む先の選択に迫られていた。「恭子と一緒のところでいい」という友彦に、感情の動きを感じる恭子。一方、サッカー選手の夢を持ち続ける友彦の前に変わり果てた龍子（伊藤歩）が現れる。彼女の口から発せられたのは信じがたい事実だった。そして、恭子と友彦の姿を常に見ていた美和は驚くべき行動に出る。それは・・・綾瀬はるか　三浦春馬　水川あさみ　／中井ノエミ　馬場園梓（アジアン）　大西礼芳　河原健二　山野海／伊藤歩　甲本雅裕／麻生祐未音楽：やまだ豊「天皇の料理番」ほか脚本：森下佳子「天皇の料理番」、「JIN」シリーズ、「白夜行」、「世界の中心で愛をさけぶ」、NHK「ごちそうさん」ほか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v>
      </c>
      <c r="N5065" s="2"/>
      <c r="O5065" s="2"/>
      <c r="P5065" s="1"/>
      <c r="Q5065" s="1"/>
      <c r="R5065" s="1"/>
      <c r="S5065" s="1"/>
      <c r="T5065" s="1"/>
      <c r="U5065" s="1"/>
      <c r="V5065" s="1"/>
      <c r="W5065" s="1"/>
      <c r="X5065" s="1"/>
      <c r="Y5065" s="1"/>
      <c r="Z5065" s="1"/>
      <c r="AA5065" s="1"/>
      <c r="AB5065" s="1"/>
      <c r="AC5065" s="1"/>
      <c r="AD5065" s="1"/>
      <c r="AE5065" s="1"/>
      <c r="AF5065" s="1"/>
      <c r="AG5065" s="1"/>
      <c r="AH5065" s="1"/>
      <c r="AI5065" s="1"/>
      <c r="AJ5065" s="1"/>
      <c r="AK5065" s="1"/>
      <c r="AL5065" s="1"/>
      <c r="AM5065" s="1"/>
      <c r="AN5065" s="1"/>
      <c r="AO5065" s="1"/>
      <c r="AP5065" s="1"/>
      <c r="AQ5065" s="1"/>
      <c r="AR5065" s="1"/>
      <c r="AS5065" s="1"/>
      <c r="AT5065" s="1"/>
      <c r="AU5065" s="1"/>
      <c r="AV5065" s="1"/>
      <c r="AW5065" s="1"/>
      <c r="AX5065" s="1"/>
      <c r="AY5065" s="1"/>
      <c r="AZ5065" s="1"/>
      <c r="BA5065" s="1"/>
      <c r="BB5065" s="1"/>
    </row>
    <row r="5066" ht="204.75" customHeight="1">
      <c r="A5066" s="1">
        <v>1840.0</v>
      </c>
      <c r="B5066" s="2" t="s">
        <v>14165</v>
      </c>
      <c r="C5066" s="2">
        <f>IFERROR(__xludf.DUMMYFUNCTION("split(B5066,""_"")"),1601.0)</f>
        <v>1601</v>
      </c>
      <c r="D5066" s="2" t="str">
        <f>IFERROR(__xludf.DUMMYFUNCTION("""COMPUTED_VALUE"""),"TBS")</f>
        <v>TBS</v>
      </c>
      <c r="E5066" s="2" t="str">
        <f>IFERROR(__xludf.DUMMYFUNCTION("""COMPUTED_VALUE"""),"金22")</f>
        <v>金22</v>
      </c>
      <c r="F5066" s="2" t="s">
        <v>14166</v>
      </c>
      <c r="G5066" s="2" t="s">
        <v>14173</v>
      </c>
      <c r="H5066" s="1">
        <v>4.0</v>
      </c>
      <c r="J5066" s="1" t="s">
        <v>86</v>
      </c>
      <c r="K5066" s="2" t="s">
        <v>14174</v>
      </c>
      <c r="L5066" s="2"/>
      <c r="M5066" s="2" t="str">
        <f>IFERROR(__xludf.DUMMYFUNCTION("split(split(K5066,""【"",false),""公式LINE"",false)"),"提供者になる前の最後の猶予期間を過ごす為、コテージへとやってきた恭子、友彦、美和。しかしながら、そこは愛や嫉妬が渦巻く共同生活の場だった。環境に馴染めない恭子はどんどん孤立していく。そんな中、恭子の元に陽光学苑で心を許した親友・真実から手紙が届く。その内容とは驚くべきものだった。心揺さぶられた恭子は意を決して、真実の元へと向かう。そして・・・綾瀬はるか　三浦春馬　水川あさみ　／　白羽ゆり　阿部進之介　川村陽介　松岡恵望子　／　井上芳雄　梶原善　／　中井ノエミ　馬場園梓（アジアン）／伊藤歩　真飛聖　／　麻生"&amp;"祐未音楽：やまだ豊「天皇の料理番」ほか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https://www.facebook.com/NLMG.tbs/ "&amp;" ◇twitter  @NLMG_tbs  https://twitter.com/NLMG_tbs  番組の内容と放送時間は変更になる可能性があります。")</f>
        <v>提供者になる前の最後の猶予期間を過ごす為、コテージへとやってきた恭子、友彦、美和。しかしながら、そこは愛や嫉妬が渦巻く共同生活の場だった。環境に馴染めない恭子はどんどん孤立していく。そんな中、恭子の元に陽光学苑で心を許した親友・真実から手紙が届く。その内容とは驚くべきものだった。心揺さぶられた恭子は意を決して、真実の元へと向かう。そして・・・綾瀬はるか　三浦春馬　水川あさみ　／　白羽ゆり　阿部進之介　川村陽介　松岡恵望子　／　井上芳雄　梶原善　／　中井ノエミ　馬場園梓（アジアン）／伊藤歩　真飛聖　／　麻生祐未音楽：やまだ豊「天皇の料理番」ほか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v>
      </c>
      <c r="N5066" s="2"/>
      <c r="O5066" s="2"/>
      <c r="P5066" s="1"/>
      <c r="Q5066" s="1"/>
      <c r="R5066" s="1"/>
      <c r="S5066" s="1"/>
      <c r="T5066" s="1"/>
      <c r="U5066" s="1"/>
      <c r="V5066" s="1"/>
      <c r="W5066" s="1"/>
      <c r="X5066" s="1"/>
      <c r="Y5066" s="1"/>
      <c r="Z5066" s="1"/>
      <c r="AA5066" s="1"/>
      <c r="AB5066" s="1"/>
      <c r="AC5066" s="1"/>
      <c r="AD5066" s="1"/>
      <c r="AE5066" s="1"/>
      <c r="AF5066" s="1"/>
      <c r="AG5066" s="1"/>
      <c r="AH5066" s="1"/>
      <c r="AI5066" s="1"/>
      <c r="AJ5066" s="1"/>
      <c r="AK5066" s="1"/>
      <c r="AL5066" s="1"/>
      <c r="AM5066" s="1"/>
      <c r="AN5066" s="1"/>
      <c r="AO5066" s="1"/>
      <c r="AP5066" s="1"/>
      <c r="AQ5066" s="1"/>
      <c r="AR5066" s="1"/>
      <c r="AS5066" s="1"/>
      <c r="AT5066" s="1"/>
      <c r="AU5066" s="1"/>
      <c r="AV5066" s="1"/>
      <c r="AW5066" s="1"/>
      <c r="AX5066" s="1"/>
      <c r="AY5066" s="1"/>
      <c r="AZ5066" s="1"/>
      <c r="BA5066" s="1"/>
      <c r="BB5066" s="1"/>
    </row>
    <row r="5067" ht="204.75" customHeight="1">
      <c r="A5067" s="1">
        <v>1841.0</v>
      </c>
      <c r="B5067" s="2" t="s">
        <v>14165</v>
      </c>
      <c r="C5067" s="2">
        <f>IFERROR(__xludf.DUMMYFUNCTION("split(B5067,""_"")"),1601.0)</f>
        <v>1601</v>
      </c>
      <c r="D5067" s="2" t="str">
        <f>IFERROR(__xludf.DUMMYFUNCTION("""COMPUTED_VALUE"""),"TBS")</f>
        <v>TBS</v>
      </c>
      <c r="E5067" s="2" t="str">
        <f>IFERROR(__xludf.DUMMYFUNCTION("""COMPUTED_VALUE"""),"金22")</f>
        <v>金22</v>
      </c>
      <c r="F5067" s="2" t="s">
        <v>14166</v>
      </c>
      <c r="G5067" s="2" t="s">
        <v>14175</v>
      </c>
      <c r="H5067" s="1">
        <v>5.0</v>
      </c>
      <c r="J5067" s="1" t="s">
        <v>86</v>
      </c>
      <c r="K5067" s="2" t="s">
        <v>14176</v>
      </c>
      <c r="L5067" s="2"/>
      <c r="M5067" s="2" t="str">
        <f>IFERROR(__xludf.DUMMYFUNCTION("split(split(K5067,""【"",false),""公式LINE"",false)"),"ポルノ雑誌を見ていた恭子（綾瀬はるか）を目撃した美和（水川あさみ）。恭子は実はその中に自分のルーツがいるのではと考えていた。浩介（井上芳雄）のおかげで周りに馴染んでいた恭子だが実は・・・そんな中、美和のルーツを見たという話が舞い込んでくる。果たして真相は・・・そして、ルーツを探す旅に出る、恭子、友彦（三浦春馬）、美和。彼らが見たものは！？そして、複雑な愛が、さらに加速していく・・・綾瀬はるか　三浦春馬　水川あさみ　／　白羽ゆり　阿部進之介　川村陽介　松岡恵望子　／　井上芳雄　梶原善　／　中井ノエミ　馬場園"&amp;"梓（アジアン）／伊藤歩　真飛聖　／　大友康平　／　麻生祐未音楽：やまだ豊「天皇の料理番」ほか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https://"&amp;"www.facebook.com/NLMG.tbs/  ◇twitter  @NLMG_tbs  https://twitter.com/NLMG_tbs  番組の内容と放送時間は変更になる可能性があります。")</f>
        <v>ポルノ雑誌を見ていた恭子（綾瀬はるか）を目撃した美和（水川あさみ）。恭子は実はその中に自分のルーツがいるのではと考えていた。浩介（井上芳雄）のおかげで周りに馴染んでいた恭子だが実は・・・そんな中、美和のルーツを見たという話が舞い込んでくる。果たして真相は・・・そして、ルーツを探す旅に出る、恭子、友彦（三浦春馬）、美和。彼らが見たものは！？そして、複雑な愛が、さらに加速していく・・・綾瀬はるか　三浦春馬　水川あさみ　／　白羽ゆり　阿部進之介　川村陽介　松岡恵望子　／　井上芳雄　梶原善　／　中井ノエミ　馬場園梓（アジアン）／伊藤歩　真飛聖　／　大友康平　／　麻生祐未音楽：やまだ豊「天皇の料理番」ほか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v>
      </c>
      <c r="N5067" s="2"/>
      <c r="O5067" s="2"/>
      <c r="P5067" s="1"/>
      <c r="Q5067" s="1"/>
      <c r="R5067" s="1"/>
      <c r="S5067" s="1"/>
      <c r="T5067" s="1"/>
      <c r="U5067" s="1"/>
      <c r="V5067" s="1"/>
      <c r="W5067" s="1"/>
      <c r="X5067" s="1"/>
      <c r="Y5067" s="1"/>
      <c r="Z5067" s="1"/>
      <c r="AA5067" s="1"/>
      <c r="AB5067" s="1"/>
      <c r="AC5067" s="1"/>
      <c r="AD5067" s="1"/>
      <c r="AE5067" s="1"/>
      <c r="AF5067" s="1"/>
      <c r="AG5067" s="1"/>
      <c r="AH5067" s="1"/>
      <c r="AI5067" s="1"/>
      <c r="AJ5067" s="1"/>
      <c r="AK5067" s="1"/>
      <c r="AL5067" s="1"/>
      <c r="AM5067" s="1"/>
      <c r="AN5067" s="1"/>
      <c r="AO5067" s="1"/>
      <c r="AP5067" s="1"/>
      <c r="AQ5067" s="1"/>
      <c r="AR5067" s="1"/>
      <c r="AS5067" s="1"/>
      <c r="AT5067" s="1"/>
      <c r="AU5067" s="1"/>
      <c r="AV5067" s="1"/>
      <c r="AW5067" s="1"/>
      <c r="AX5067" s="1"/>
      <c r="AY5067" s="1"/>
      <c r="AZ5067" s="1"/>
      <c r="BA5067" s="1"/>
      <c r="BB5067" s="1"/>
    </row>
    <row r="5068" ht="204.75" customHeight="1">
      <c r="A5068" s="1">
        <v>1842.0</v>
      </c>
      <c r="B5068" s="2" t="s">
        <v>14165</v>
      </c>
      <c r="C5068" s="2">
        <f>IFERROR(__xludf.DUMMYFUNCTION("split(B5068,""_"")"),1601.0)</f>
        <v>1601</v>
      </c>
      <c r="D5068" s="2" t="str">
        <f>IFERROR(__xludf.DUMMYFUNCTION("""COMPUTED_VALUE"""),"TBS")</f>
        <v>TBS</v>
      </c>
      <c r="E5068" s="2" t="str">
        <f>IFERROR(__xludf.DUMMYFUNCTION("""COMPUTED_VALUE"""),"金22")</f>
        <v>金22</v>
      </c>
      <c r="F5068" s="2" t="s">
        <v>14166</v>
      </c>
      <c r="G5068" s="2" t="s">
        <v>14177</v>
      </c>
      <c r="H5068" s="1">
        <v>6.0</v>
      </c>
      <c r="J5068" s="1" t="s">
        <v>86</v>
      </c>
      <c r="K5068" s="2" t="s">
        <v>14178</v>
      </c>
      <c r="L5068" s="2"/>
      <c r="M5068" s="2" t="str">
        <f>IFERROR(__xludf.DUMMYFUNCTION("split(split(K5068,""【"",false),""公式LINE"",false)"),"のぞみが崎からの帰りの車、触れ合う恭子（綾瀬はるか）と友彦（三浦春馬）の手。バックミラーに映るその光景を目撃するあぐり（白羽ゆり）、寝ている美和（水川あさみ）・・・「愛し合っている二人には3年間の提供猶予が与えられる」という噂が、とんでもない事態を巻き起こす。そして、運命に逆らう友に襲いかかる非情な終末「恭子、幸せになってね・・・」物語はいよいよ最終章に突入する。綾瀬はるか　三浦春馬　水川あさみ　／　白羽ゆり　阿部進之介　川村陽介　松岡恵望子　大村学　／　　梶原善　／　中井ノエミ　馬場園梓（アジアン）音楽"&amp;"：やまだ豊「天皇の料理番」ほか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プロデュース：渡瀬暁彦、飯田和孝放送後30分間限定クイズ 第2弾開催決定！    今回のプレゼントは…    iTunesサウンドトラック部門1位獲得！！  『わたしを離さないで』劇中曲 Never Let Me Go 収録"&amp;"アルバム『Songs after Dark』のレプリカに、歌っているジュリア・ショートリードさんのサインを添えてプレゼントいたします！  お渡しするアルバムには Never Let Me Goのみ一曲が収録されています。クイズの問題は6話放送後に公式サイト（http://www.tbs.co.jp/never-let-me-go/）で公開されますので、ぜひご参加ください！◇番組HP  http://www.tbs.co.jp/never-let-me-go/  ◇facebook  https://www"&amp;".facebook.com/NLMG.tbs/  ◇twitter  @NLMG_tbs  https://twitter.com/NLMG_tbs  番組の内容と放送時間は変更になる可能性があります。")</f>
        <v>のぞみが崎からの帰りの車、触れ合う恭子（綾瀬はるか）と友彦（三浦春馬）の手。バックミラーに映るその光景を目撃するあぐり（白羽ゆり）、寝ている美和（水川あさみ）・・・「愛し合っている二人には3年間の提供猶予が与えられる」という噂が、とんでもない事態を巻き起こす。そして、運命に逆らう友に襲いかかる非情な終末「恭子、幸せになってね・・・」物語はいよいよ最終章に突入する。綾瀬はるか　三浦春馬　水川あさみ　／　白羽ゆり　阿部進之介　川村陽介　松岡恵望子　大村学　／　　梶原善　／　中井ノエミ　馬場園梓（アジアン）音楽：やまだ豊「天皇の料理番」ほか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プロデュース：渡瀬暁彦、飯田和孝放送後30分間限定クイズ 第2弾開催決定！    今回のプレゼントは…    iTunesサウンドトラック部門1位獲得！！  『わたしを離さないで』劇中曲 Never Let Me Go 収録アルバム『Songs after Dark』のレプリカに、歌っているジュリア・ショートリードさんのサインを添えてプレゼントいたします！  お渡しするアルバムには Never Let Me Goのみ一曲が収録されています。クイズの問題は6話放送後に公式サイト（http://www.tbs.co.jp/never-let-me-go/）で公開されますので、ぜひご参加ください！◇番組HP  http://www.tbs.co.jp/never-let-me-go/  ◇facebook  https://www.facebook.com/NLMG.tbs/  ◇twitter  @NLMG_tbs  https://twitter.com/NLMG_tbs  番組の内容と放送時間は変更になる可能性があります。</v>
      </c>
      <c r="N5068" s="2"/>
      <c r="O5068" s="2"/>
      <c r="P5068" s="1"/>
      <c r="Q5068" s="1"/>
      <c r="R5068" s="1"/>
      <c r="S5068" s="1"/>
      <c r="T5068" s="1"/>
      <c r="U5068" s="1"/>
      <c r="V5068" s="1"/>
      <c r="W5068" s="1"/>
      <c r="X5068" s="1"/>
      <c r="Y5068" s="1"/>
      <c r="Z5068" s="1"/>
      <c r="AA5068" s="1"/>
      <c r="AB5068" s="1"/>
      <c r="AC5068" s="1"/>
      <c r="AD5068" s="1"/>
      <c r="AE5068" s="1"/>
      <c r="AF5068" s="1"/>
      <c r="AG5068" s="1"/>
      <c r="AH5068" s="1"/>
      <c r="AI5068" s="1"/>
      <c r="AJ5068" s="1"/>
      <c r="AK5068" s="1"/>
      <c r="AL5068" s="1"/>
      <c r="AM5068" s="1"/>
      <c r="AN5068" s="1"/>
      <c r="AO5068" s="1"/>
      <c r="AP5068" s="1"/>
      <c r="AQ5068" s="1"/>
      <c r="AR5068" s="1"/>
      <c r="AS5068" s="1"/>
      <c r="AT5068" s="1"/>
      <c r="AU5068" s="1"/>
      <c r="AV5068" s="1"/>
      <c r="AW5068" s="1"/>
      <c r="AX5068" s="1"/>
      <c r="AY5068" s="1"/>
      <c r="AZ5068" s="1"/>
      <c r="BA5068" s="1"/>
      <c r="BB5068" s="1"/>
    </row>
    <row r="5069" ht="204.75" customHeight="1">
      <c r="A5069" s="1">
        <v>1843.0</v>
      </c>
      <c r="B5069" s="2" t="s">
        <v>14165</v>
      </c>
      <c r="C5069" s="2">
        <f>IFERROR(__xludf.DUMMYFUNCTION("split(B5069,""_"")"),1601.0)</f>
        <v>1601</v>
      </c>
      <c r="D5069" s="2" t="str">
        <f>IFERROR(__xludf.DUMMYFUNCTION("""COMPUTED_VALUE"""),"TBS")</f>
        <v>TBS</v>
      </c>
      <c r="E5069" s="2" t="str">
        <f>IFERROR(__xludf.DUMMYFUNCTION("""COMPUTED_VALUE"""),"金22")</f>
        <v>金22</v>
      </c>
      <c r="F5069" s="2" t="s">
        <v>14166</v>
      </c>
      <c r="G5069" s="2" t="s">
        <v>14179</v>
      </c>
      <c r="H5069" s="1">
        <v>7.0</v>
      </c>
      <c r="J5069" s="1" t="s">
        <v>86</v>
      </c>
      <c r="K5069" s="2" t="s">
        <v>14180</v>
      </c>
      <c r="L5069" s="2"/>
      <c r="M5069" s="2" t="str">
        <f>IFERROR(__xludf.DUMMYFUNCTION("split(split(K5069,""【"",false),""公式LINE"",false)"),"物語は最終章に突入。提供が始まっている美和、友彦、そして介護人である恭子の現在を追う。終末の時を感じ、友彦も含めた3人で陽光学苑に行きたいと願う美和。悲しい別れ方をした恭子だが、美和の最後の希望を叶えようと奔走する。一方友彦はすでに2回の提供を終えていた。不自由な体で将来の夢を力強く語る友彦だが・・・残酷な運命の中に見た微かな希望は再び3人を結びつけるのか？綾瀬はるか　三浦春馬　水川あさみ　／　水崎綾女　馬場園梓（アジアン）　／　柄本佑音楽：やまだ豊「天皇の料理番」ほか脚本：森下佳子「天皇の料理番」、「J"&amp;"IN」シリーズ、「白夜行」、「世界の中心で愛をさけぶ」、NHK「ごちそうさん」ほか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f>
        <v>物語は最終章に突入。提供が始まっている美和、友彦、そして介護人である恭子の現在を追う。終末の時を感じ、友彦も含めた3人で陽光学苑に行きたいと願う美和。悲しい別れ方をした恭子だが、美和の最後の希望を叶えようと奔走する。一方友彦はすでに2回の提供を終えていた。不自由な体で将来の夢を力強く語る友彦だが・・・残酷な運命の中に見た微かな希望は再び3人を結びつけるのか？綾瀬はるか　三浦春馬　水川あさみ　／　水崎綾女　馬場園梓（アジアン）　／　柄本佑音楽：やまだ豊「天皇の料理番」ほか脚本：森下佳子「天皇の料理番」、「JIN」シリーズ、「白夜行」、「世界の中心で愛をさけぶ」、NHK「ごちそうさん」ほか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v>
      </c>
      <c r="N5069" s="2"/>
      <c r="O5069" s="2"/>
      <c r="P5069" s="1"/>
      <c r="Q5069" s="1"/>
      <c r="R5069" s="1"/>
      <c r="S5069" s="1"/>
      <c r="T5069" s="1"/>
      <c r="U5069" s="1"/>
      <c r="V5069" s="1"/>
      <c r="W5069" s="1"/>
      <c r="X5069" s="1"/>
      <c r="Y5069" s="1"/>
      <c r="Z5069" s="1"/>
      <c r="AA5069" s="1"/>
      <c r="AB5069" s="1"/>
      <c r="AC5069" s="1"/>
      <c r="AD5069" s="1"/>
      <c r="AE5069" s="1"/>
      <c r="AF5069" s="1"/>
      <c r="AG5069" s="1"/>
      <c r="AH5069" s="1"/>
      <c r="AI5069" s="1"/>
      <c r="AJ5069" s="1"/>
      <c r="AK5069" s="1"/>
      <c r="AL5069" s="1"/>
      <c r="AM5069" s="1"/>
      <c r="AN5069" s="1"/>
      <c r="AO5069" s="1"/>
      <c r="AP5069" s="1"/>
      <c r="AQ5069" s="1"/>
      <c r="AR5069" s="1"/>
      <c r="AS5069" s="1"/>
      <c r="AT5069" s="1"/>
      <c r="AU5069" s="1"/>
      <c r="AV5069" s="1"/>
      <c r="AW5069" s="1"/>
      <c r="AX5069" s="1"/>
      <c r="AY5069" s="1"/>
      <c r="AZ5069" s="1"/>
      <c r="BA5069" s="1"/>
      <c r="BB5069" s="1"/>
    </row>
    <row r="5070" ht="204.75" customHeight="1">
      <c r="A5070" s="1">
        <v>1844.0</v>
      </c>
      <c r="B5070" s="2" t="s">
        <v>14165</v>
      </c>
      <c r="C5070" s="2">
        <f>IFERROR(__xludf.DUMMYFUNCTION("split(B5070,""_"")"),1601.0)</f>
        <v>1601</v>
      </c>
      <c r="D5070" s="2" t="str">
        <f>IFERROR(__xludf.DUMMYFUNCTION("""COMPUTED_VALUE"""),"TBS")</f>
        <v>TBS</v>
      </c>
      <c r="E5070" s="2" t="str">
        <f>IFERROR(__xludf.DUMMYFUNCTION("""COMPUTED_VALUE"""),"金22")</f>
        <v>金22</v>
      </c>
      <c r="F5070" s="2" t="s">
        <v>14166</v>
      </c>
      <c r="G5070" s="2" t="s">
        <v>14181</v>
      </c>
      <c r="H5070" s="1">
        <v>8.0</v>
      </c>
      <c r="J5070" s="1" t="s">
        <v>86</v>
      </c>
      <c r="K5070" s="2" t="s">
        <v>14182</v>
      </c>
      <c r="L5070" s="2"/>
      <c r="M5070" s="2" t="str">
        <f>IFERROR(__xludf.DUMMYFUNCTION("split(split(K5070,""【"",false),""公式LINE"",false)"),"再会した3人が訪れた陽光学苑は、当時とはまるで違っていた。そこで、子供の頃の恭子に出会うのである。そして、最期の時を間近に控える美和は、素直な想いを打ち明ける。20年の時を超え、結ばれる愛の結末は、美しく、そして哀しいものであった。美和が最期に託す、微かな希望に恭子と友彦は・・・綾瀬はるか　三浦春馬　水川あさみ　／　水崎綾女　鈴木梨央　／　柄本佑　／　麻生祐未音楽：やまだ豊「天皇の料理番」ほか  劇中歌：ジュリア・ショートリード「Never　Let　Me　Go」　iTunesにて先行配信中！脚本：森下佳子"&amp;"「天皇の料理番」、「JIN」シリーズ、「白夜行」、「世界の中心で愛をさけぶ」、NHK「ごちそうさん」ほか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番組の内容と放送時間は変更になる可能性があります"&amp;"。")</f>
        <v>再会した3人が訪れた陽光学苑は、当時とはまるで違っていた。そこで、子供の頃の恭子に出会うのである。そして、最期の時を間近に控える美和は、素直な想いを打ち明ける。20年の時を超え、結ばれる愛の結末は、美しく、そして哀しいものであった。美和が最期に託す、微かな希望に恭子と友彦は・・・綾瀬はるか　三浦春馬　水川あさみ　／　水崎綾女　鈴木梨央　／　柄本佑　／　麻生祐未音楽：やまだ豊「天皇の料理番」ほか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v>
      </c>
      <c r="N5070" s="2"/>
      <c r="O5070" s="2"/>
      <c r="P5070" s="1"/>
      <c r="Q5070" s="1"/>
      <c r="R5070" s="1"/>
      <c r="S5070" s="1"/>
      <c r="T5070" s="1"/>
      <c r="U5070" s="1"/>
      <c r="V5070" s="1"/>
      <c r="W5070" s="1"/>
      <c r="X5070" s="1"/>
      <c r="Y5070" s="1"/>
      <c r="Z5070" s="1"/>
      <c r="AA5070" s="1"/>
      <c r="AB5070" s="1"/>
      <c r="AC5070" s="1"/>
      <c r="AD5070" s="1"/>
      <c r="AE5070" s="1"/>
      <c r="AF5070" s="1"/>
      <c r="AG5070" s="1"/>
      <c r="AH5070" s="1"/>
      <c r="AI5070" s="1"/>
      <c r="AJ5070" s="1"/>
      <c r="AK5070" s="1"/>
      <c r="AL5070" s="1"/>
      <c r="AM5070" s="1"/>
      <c r="AN5070" s="1"/>
      <c r="AO5070" s="1"/>
      <c r="AP5070" s="1"/>
      <c r="AQ5070" s="1"/>
      <c r="AR5070" s="1"/>
      <c r="AS5070" s="1"/>
      <c r="AT5070" s="1"/>
      <c r="AU5070" s="1"/>
      <c r="AV5070" s="1"/>
      <c r="AW5070" s="1"/>
      <c r="AX5070" s="1"/>
      <c r="AY5070" s="1"/>
      <c r="AZ5070" s="1"/>
      <c r="BA5070" s="1"/>
      <c r="BB5070" s="1"/>
    </row>
    <row r="5071" ht="204.75" customHeight="1">
      <c r="A5071" s="1">
        <v>1845.0</v>
      </c>
      <c r="B5071" s="2" t="s">
        <v>14165</v>
      </c>
      <c r="C5071" s="2">
        <f>IFERROR(__xludf.DUMMYFUNCTION("split(B5071,""_"")"),1601.0)</f>
        <v>1601</v>
      </c>
      <c r="D5071" s="2" t="str">
        <f>IFERROR(__xludf.DUMMYFUNCTION("""COMPUTED_VALUE"""),"TBS")</f>
        <v>TBS</v>
      </c>
      <c r="E5071" s="2" t="str">
        <f>IFERROR(__xludf.DUMMYFUNCTION("""COMPUTED_VALUE"""),"金22")</f>
        <v>金22</v>
      </c>
      <c r="F5071" s="2" t="s">
        <v>14166</v>
      </c>
      <c r="G5071" s="2" t="s">
        <v>14183</v>
      </c>
      <c r="H5071" s="1">
        <v>9.0</v>
      </c>
      <c r="J5071" s="1" t="s">
        <v>86</v>
      </c>
      <c r="K5071" s="2" t="s">
        <v>14184</v>
      </c>
      <c r="L5071" s="2"/>
      <c r="M5071" s="2" t="str">
        <f>IFERROR(__xludf.DUMMYFUNCTION("split(split(K5071,""【"",false),""公式LINE"",false)"),"美和の遺志を受け継ぎ、提供猶予のわずかな希望に夢を託す恭子と友彦。やっとの事で校長をつとめていた恵美子の居場所を突き止める。訪れた二人に、訥々と語り始める恵美子。彼女の口から驚愕の真実が知らされる。二人の運命を揺るがす衝撃の真実とは・・・綾瀬はるか　三浦春馬　／　真飛聖　柄本佑　／　麻生祐未音楽：やまだ豊「天皇の料理番」ほか  劇中歌：ジュリア・ショートリード「Never　Let　Me　Go」　iTunesにて先行配信中！脚本：森下佳子「天皇の料理番」、「JIN」シリーズ、「白夜行」、「世界の中心で愛をさ"&amp;"けぶ」、NHK「ごちそうさん」ほか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f>
        <v>美和の遺志を受け継ぎ、提供猶予のわずかな希望に夢を託す恭子と友彦。やっとの事で校長をつとめていた恵美子の居場所を突き止める。訪れた二人に、訥々と語り始める恵美子。彼女の口から驚愕の真実が知らされる。二人の運命を揺るがす衝撃の真実とは・・・綾瀬はるか　三浦春馬　／　真飛聖　柄本佑　／　麻生祐未音楽：やまだ豊「天皇の料理番」ほか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v>
      </c>
      <c r="N5071" s="2"/>
      <c r="O5071" s="2"/>
      <c r="P5071" s="1"/>
      <c r="Q5071" s="1"/>
      <c r="R5071" s="1"/>
      <c r="S5071" s="1"/>
      <c r="T5071" s="1"/>
      <c r="U5071" s="1"/>
      <c r="V5071" s="1"/>
      <c r="W5071" s="1"/>
      <c r="X5071" s="1"/>
      <c r="Y5071" s="1"/>
      <c r="Z5071" s="1"/>
      <c r="AA5071" s="1"/>
      <c r="AB5071" s="1"/>
      <c r="AC5071" s="1"/>
      <c r="AD5071" s="1"/>
      <c r="AE5071" s="1"/>
      <c r="AF5071" s="1"/>
      <c r="AG5071" s="1"/>
      <c r="AH5071" s="1"/>
      <c r="AI5071" s="1"/>
      <c r="AJ5071" s="1"/>
      <c r="AK5071" s="1"/>
      <c r="AL5071" s="1"/>
      <c r="AM5071" s="1"/>
      <c r="AN5071" s="1"/>
      <c r="AO5071" s="1"/>
      <c r="AP5071" s="1"/>
      <c r="AQ5071" s="1"/>
      <c r="AR5071" s="1"/>
      <c r="AS5071" s="1"/>
      <c r="AT5071" s="1"/>
      <c r="AU5071" s="1"/>
      <c r="AV5071" s="1"/>
      <c r="AW5071" s="1"/>
      <c r="AX5071" s="1"/>
      <c r="AY5071" s="1"/>
      <c r="AZ5071" s="1"/>
      <c r="BA5071" s="1"/>
      <c r="BB5071" s="1"/>
    </row>
    <row r="5072" ht="204.75" customHeight="1">
      <c r="A5072" s="1">
        <v>1846.0</v>
      </c>
      <c r="B5072" s="2" t="s">
        <v>14165</v>
      </c>
      <c r="C5072" s="2">
        <f>IFERROR(__xludf.DUMMYFUNCTION("split(B5072,""_"")"),1601.0)</f>
        <v>1601</v>
      </c>
      <c r="D5072" s="2" t="str">
        <f>IFERROR(__xludf.DUMMYFUNCTION("""COMPUTED_VALUE"""),"TBS")</f>
        <v>TBS</v>
      </c>
      <c r="E5072" s="2" t="str">
        <f>IFERROR(__xludf.DUMMYFUNCTION("""COMPUTED_VALUE"""),"金22")</f>
        <v>金22</v>
      </c>
      <c r="F5072" s="2" t="s">
        <v>14166</v>
      </c>
      <c r="G5072" s="2" t="s">
        <v>14185</v>
      </c>
      <c r="H5072" s="1">
        <v>10.0</v>
      </c>
      <c r="J5072" s="1" t="s">
        <v>86</v>
      </c>
      <c r="K5072" s="2" t="s">
        <v>14186</v>
      </c>
      <c r="L5072" s="2"/>
      <c r="M5072" s="2" t="str">
        <f>IFERROR(__xludf.DUMMYFUNCTION("split(split(K5072,""【"",false),""公式LINE"",false)"),"「愛する二人には提供の猶予が与えられる」そのわずかな希望さえも打ち砕かれた友彦は、打ちひしがれていた。生きる気力さえ失い、恭子に介護人を代わるように訴える友彦。そんな時、龍子に再会した恭子。龍子の提案により、友彦とともにサッカーの試合を観に行くことになる恭子。そこで目にした光景は、希望に満ちていた。生まれてきた意味、すべてのものへの感謝、「先生、世界はやぱり広かったんですよ」綾瀬はるか　三浦春馬　／　黒木辰哉　内村遥　片山享　三鴨絵里子　／　柄本佑　／伊藤歩　甲本雅裕／麻生祐未音楽：やまだ豊「天皇の料理番"&amp;"」ほか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@NLMG"&amp;"_tbs  https://twitter.com/NLMG_tbs  番組の内容と放送時間は変更になる可能性があります。")</f>
        <v>「愛する二人には提供の猶予が与えられる」そのわずかな希望さえも打ち砕かれた友彦は、打ちひしがれていた。生きる気力さえ失い、恭子に介護人を代わるように訴える友彦。そんな時、龍子に再会した恭子。龍子の提案により、友彦とともにサッカーの試合を観に行くことになる恭子。そこで目にした光景は、希望に満ちていた。生まれてきた意味、すべてのものへの感謝、「先生、世界はやぱり広かったんですよ」綾瀬はるか　三浦春馬　／　黒木辰哉　内村遥　片山享　三鴨絵里子　／　柄本佑　／伊藤歩　甲本雅裕／麻生祐未音楽：やまだ豊「天皇の料理番」ほか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v>
      </c>
      <c r="N5072" s="2"/>
      <c r="O5072" s="2"/>
      <c r="P5072" s="1"/>
      <c r="Q5072" s="1"/>
      <c r="R5072" s="1"/>
      <c r="S5072" s="1"/>
      <c r="T5072" s="1"/>
      <c r="U5072" s="1"/>
      <c r="V5072" s="1"/>
      <c r="W5072" s="1"/>
      <c r="X5072" s="1"/>
      <c r="Y5072" s="1"/>
      <c r="Z5072" s="1"/>
      <c r="AA5072" s="1"/>
      <c r="AB5072" s="1"/>
      <c r="AC5072" s="1"/>
      <c r="AD5072" s="1"/>
      <c r="AE5072" s="1"/>
      <c r="AF5072" s="1"/>
      <c r="AG5072" s="1"/>
      <c r="AH5072" s="1"/>
      <c r="AI5072" s="1"/>
      <c r="AJ5072" s="1"/>
      <c r="AK5072" s="1"/>
      <c r="AL5072" s="1"/>
      <c r="AM5072" s="1"/>
      <c r="AN5072" s="1"/>
      <c r="AO5072" s="1"/>
      <c r="AP5072" s="1"/>
      <c r="AQ5072" s="1"/>
      <c r="AR5072" s="1"/>
      <c r="AS5072" s="1"/>
      <c r="AT5072" s="1"/>
      <c r="AU5072" s="1"/>
      <c r="AV5072" s="1"/>
      <c r="AW5072" s="1"/>
      <c r="AX5072" s="1"/>
      <c r="AY5072" s="1"/>
      <c r="AZ5072" s="1"/>
      <c r="BA5072" s="1"/>
      <c r="BB5072" s="1"/>
    </row>
    <row r="5073" ht="204.75" customHeight="1">
      <c r="A5073" s="1">
        <v>1855.0</v>
      </c>
      <c r="B5073" s="2" t="s">
        <v>14187</v>
      </c>
      <c r="C5073" s="2">
        <f>IFERROR(__xludf.DUMMYFUNCTION("split(B5073,""_"")"),1601.0)</f>
        <v>1601</v>
      </c>
      <c r="D5073" s="2" t="str">
        <f>IFERROR(__xludf.DUMMYFUNCTION("""COMPUTED_VALUE"""),"TBS")</f>
        <v>TBS</v>
      </c>
      <c r="E5073" s="2" t="str">
        <f>IFERROR(__xludf.DUMMYFUNCTION("""COMPUTED_VALUE"""),"日21")</f>
        <v>日21</v>
      </c>
      <c r="F5073" s="2" t="s">
        <v>14188</v>
      </c>
      <c r="G5073" s="2" t="s">
        <v>14189</v>
      </c>
      <c r="H5073" s="1">
        <v>1.0</v>
      </c>
      <c r="J5073" s="1" t="s">
        <v>4</v>
      </c>
      <c r="K5073" s="2" t="s">
        <v>14190</v>
      </c>
      <c r="L5073" s="2"/>
      <c r="M5073" s="2" t="str">
        <f>IFERROR(__xludf.DUMMYFUNCTION("split(split(K5073,""【"",false),""公式LINE"",false)"),"39歳独身・永里大介（香取慎吾）は念願のマンションを購入。引越し中、空から女性用のガードルが降ってくる。見上げると、ベランダから覗き込む女性が。部屋まで届けに行くが、乱暴にガードルをひったくられ、ドアが閉ざされる。これが大介と32歳独身・熊谷葉菜子（上野樹里）との出会いであった。翌日、事件が発生。マンションに帰ると周囲は消防車で封鎖、野次馬の人だかりが。その中に葉菜子の姿を発見。「私の部屋かも」と心配する葉菜子に、大介は説教めいた対応をするが、実は出火原因は大介の住む407号室だった。そして消防士に囲まれ"&amp;"て出てきた犯人は、大介の父親・永里陽三（西田敏行）だった。部屋に入りこみベランダで燻製作りを楽しんでいた。しかも陽三は大介の知らぬ間に再婚した挙句、その相手に逃げられ、新しく出来た13歳の義理の息子まで連れてきていた。こうして突然、大介の平穏は崩れ去り、男3人マンション共同生活が始まった！永里大介…香取慎吾  熊谷葉菜子…上野樹里  田中莉奈…水原希子  佐々木彰一…荒川良々  入江春人…千葉雄大  山根さとり…柳原可奈子  永里浩太…高田彪我  梢あや…中村アン  ○  大野美佳…観月ありさ（友情出演）"&amp;"  シゲサン…森本レオ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＠kazoku"&amp;"nokatachi  番組の内容と放送時間は変更になる場合があります。")</f>
        <v>39歳独身・永里大介（香取慎吾）は念願のマンションを購入。引越し中、空から女性用のガードルが降ってくる。見上げると、ベランダから覗き込む女性が。部屋まで届けに行くが、乱暴にガードルをひったくられ、ドアが閉ざされる。これが大介と32歳独身・熊谷葉菜子（上野樹里）との出会いであった。翌日、事件が発生。マンションに帰ると周囲は消防車で封鎖、野次馬の人だかりが。その中に葉菜子の姿を発見。「私の部屋かも」と心配する葉菜子に、大介は説教めいた対応をするが、実は出火原因は大介の住む407号室だった。そして消防士に囲まれて出てきた犯人は、大介の父親・永里陽三（西田敏行）だった。部屋に入りこみベランダで燻製作りを楽しんでいた。しかも陽三は大介の知らぬ間に再婚した挙句、その相手に逃げられ、新しく出来た13歳の義理の息子まで連れてきていた。こうして突然、大介の平穏は崩れ去り、男3人マンション共同生活が始まった！永里大介…香取慎吾  熊谷葉菜子…上野樹里  田中莉奈…水原希子  佐々木彰一…荒川良々  入江春人…千葉雄大  山根さとり…柳原可奈子  永里浩太…高田彪我  梢あや…中村アン  ○  大野美佳…観月ありさ（友情出演）  シゲサン…森本レオ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v>
      </c>
      <c r="N5073" s="2"/>
      <c r="O5073" s="2"/>
      <c r="P5073" s="1"/>
      <c r="Q5073" s="1"/>
      <c r="R5073" s="1"/>
      <c r="S5073" s="1"/>
      <c r="T5073" s="1"/>
      <c r="U5073" s="1"/>
      <c r="V5073" s="1"/>
      <c r="W5073" s="1"/>
      <c r="X5073" s="1"/>
      <c r="Y5073" s="1"/>
      <c r="Z5073" s="1"/>
      <c r="AA5073" s="1"/>
      <c r="AB5073" s="1"/>
      <c r="AC5073" s="1"/>
      <c r="AD5073" s="1"/>
      <c r="AE5073" s="1"/>
      <c r="AF5073" s="1"/>
      <c r="AG5073" s="1"/>
      <c r="AH5073" s="1"/>
      <c r="AI5073" s="1"/>
      <c r="AJ5073" s="1"/>
      <c r="AK5073" s="1"/>
      <c r="AL5073" s="1"/>
      <c r="AM5073" s="1"/>
      <c r="AN5073" s="1"/>
      <c r="AO5073" s="1"/>
      <c r="AP5073" s="1"/>
      <c r="AQ5073" s="1"/>
      <c r="AR5073" s="1"/>
      <c r="AS5073" s="1"/>
      <c r="AT5073" s="1"/>
      <c r="AU5073" s="1"/>
      <c r="AV5073" s="1"/>
      <c r="AW5073" s="1"/>
      <c r="AX5073" s="1"/>
      <c r="AY5073" s="1"/>
      <c r="AZ5073" s="1"/>
      <c r="BA5073" s="1"/>
      <c r="BB5073" s="1"/>
    </row>
    <row r="5074" ht="204.75" customHeight="1">
      <c r="A5074" s="1">
        <v>1856.0</v>
      </c>
      <c r="B5074" s="2" t="s">
        <v>14187</v>
      </c>
      <c r="C5074" s="2">
        <f>IFERROR(__xludf.DUMMYFUNCTION("split(B5074,""_"")"),1601.0)</f>
        <v>1601</v>
      </c>
      <c r="D5074" s="2" t="str">
        <f>IFERROR(__xludf.DUMMYFUNCTION("""COMPUTED_VALUE"""),"TBS")</f>
        <v>TBS</v>
      </c>
      <c r="E5074" s="2" t="str">
        <f>IFERROR(__xludf.DUMMYFUNCTION("""COMPUTED_VALUE"""),"日21")</f>
        <v>日21</v>
      </c>
      <c r="F5074" s="2" t="s">
        <v>14188</v>
      </c>
      <c r="G5074" s="2" t="s">
        <v>14191</v>
      </c>
      <c r="H5074" s="1">
        <v>2.0</v>
      </c>
      <c r="J5074" s="1" t="s">
        <v>4</v>
      </c>
      <c r="K5074" s="2" t="s">
        <v>14192</v>
      </c>
      <c r="L5074" s="2"/>
      <c r="M5074" s="2" t="str">
        <f>IFERROR(__xludf.DUMMYFUNCTION("split(split(K5074,""【"",false),""公式LINE"",false)"),"39歳独身・永里大介（香取慎吾）。念願のマンションを購入し、悠々自適な生活に期待を膨らませていたが、父親の陽三（西田敏行）と、陽三の再婚相手の連れ子・浩太（高田彪我）が、転がり込んできた。家を飛び出した再婚相手・恵（水野美紀）が東京にいるらしく、探すため上京。仕方なしに、恵が見つかるまで同居を認める。一方、上の階に住む葉菜子（上野樹里）も、父親との別居を決めた母親の律子（風吹ジュン）が頻繁にやってくる。ある日、恵の兄・岩淵（戸田昌宏）から、浩太を引き取りたいと言ってきた。陽三は浩太を手放さないと息巻くが、"&amp;"大介は「変な家族ごっこはおしまいだ」と言い放つ。その数日後、大介の会社の同僚・佐々木（荒川良々）が、引越しパーティをしようと大介に提案するが、大介はまったく聞く耳を持たない。すると佐々木は、大介が留守の間に部屋へと上がり込み、陽三とパーティの話を進めてしまう。呆れた大介は……。永里大介…香取慎吾  熊谷葉菜子…上野樹里  田中莉奈…水原希子  佐々木彰一…荒川良々  入江春人…千葉雄大  山根さとり…柳原可奈子  永里浩太…高田彪我  梢あや…中村アン  ○  高瀬和弥…田中圭  岩淵恭一…戸田昌宏  シ"&amp;"ゲサン…森本レオ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＠kazokunok"&amp;"atachi  番組の内容と放送時間は変更になる場合があります。")</f>
        <v>39歳独身・永里大介（香取慎吾）。念願のマンションを購入し、悠々自適な生活に期待を膨らませていたが、父親の陽三（西田敏行）と、陽三の再婚相手の連れ子・浩太（高田彪我）が、転がり込んできた。家を飛び出した再婚相手・恵（水野美紀）が東京にいるらしく、探すため上京。仕方なしに、恵が見つかるまで同居を認める。一方、上の階に住む葉菜子（上野樹里）も、父親との別居を決めた母親の律子（風吹ジュン）が頻繁にやってくる。ある日、恵の兄・岩淵（戸田昌宏）から、浩太を引き取りたいと言ってきた。陽三は浩太を手放さないと息巻くが、大介は「変な家族ごっこはおしまいだ」と言い放つ。その数日後、大介の会社の同僚・佐々木（荒川良々）が、引越しパーティをしようと大介に提案するが、大介はまったく聞く耳を持たない。すると佐々木は、大介が留守の間に部屋へと上がり込み、陽三とパーティの話を進めてしまう。呆れた大介は……。永里大介…香取慎吾  熊谷葉菜子…上野樹里  田中莉奈…水原希子  佐々木彰一…荒川良々  入江春人…千葉雄大  山根さとり…柳原可奈子  永里浩太…高田彪我  梢あや…中村アン  ○  高瀬和弥…田中圭  岩淵恭一…戸田昌宏  シゲサン…森本レオ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v>
      </c>
      <c r="N5074" s="2"/>
      <c r="O5074" s="2"/>
      <c r="P5074" s="1"/>
      <c r="Q5074" s="1"/>
      <c r="R5074" s="1"/>
      <c r="S5074" s="1"/>
      <c r="T5074" s="1"/>
      <c r="U5074" s="1"/>
      <c r="V5074" s="1"/>
      <c r="W5074" s="1"/>
      <c r="X5074" s="1"/>
      <c r="Y5074" s="1"/>
      <c r="Z5074" s="1"/>
      <c r="AA5074" s="1"/>
      <c r="AB5074" s="1"/>
      <c r="AC5074" s="1"/>
      <c r="AD5074" s="1"/>
      <c r="AE5074" s="1"/>
      <c r="AF5074" s="1"/>
      <c r="AG5074" s="1"/>
      <c r="AH5074" s="1"/>
      <c r="AI5074" s="1"/>
      <c r="AJ5074" s="1"/>
      <c r="AK5074" s="1"/>
      <c r="AL5074" s="1"/>
      <c r="AM5074" s="1"/>
      <c r="AN5074" s="1"/>
      <c r="AO5074" s="1"/>
      <c r="AP5074" s="1"/>
      <c r="AQ5074" s="1"/>
      <c r="AR5074" s="1"/>
      <c r="AS5074" s="1"/>
      <c r="AT5074" s="1"/>
      <c r="AU5074" s="1"/>
      <c r="AV5074" s="1"/>
      <c r="AW5074" s="1"/>
      <c r="AX5074" s="1"/>
      <c r="AY5074" s="1"/>
      <c r="AZ5074" s="1"/>
      <c r="BA5074" s="1"/>
      <c r="BB5074" s="1"/>
    </row>
    <row r="5075" ht="204.75" customHeight="1">
      <c r="A5075" s="1">
        <v>1857.0</v>
      </c>
      <c r="B5075" s="2" t="s">
        <v>14187</v>
      </c>
      <c r="C5075" s="2">
        <f>IFERROR(__xludf.DUMMYFUNCTION("split(B5075,""_"")"),1601.0)</f>
        <v>1601</v>
      </c>
      <c r="D5075" s="2" t="str">
        <f>IFERROR(__xludf.DUMMYFUNCTION("""COMPUTED_VALUE"""),"TBS")</f>
        <v>TBS</v>
      </c>
      <c r="E5075" s="2" t="str">
        <f>IFERROR(__xludf.DUMMYFUNCTION("""COMPUTED_VALUE"""),"日21")</f>
        <v>日21</v>
      </c>
      <c r="F5075" s="2" t="s">
        <v>14188</v>
      </c>
      <c r="G5075" s="2" t="s">
        <v>14193</v>
      </c>
      <c r="H5075" s="1">
        <v>3.0</v>
      </c>
      <c r="J5075" s="1" t="s">
        <v>11</v>
      </c>
      <c r="K5075" s="2" t="s">
        <v>14194</v>
      </c>
      <c r="L5075" s="2"/>
      <c r="M5075" s="2" t="str">
        <f>IFERROR(__xludf.DUMMYFUNCTION("split(split(K5075,""【"",false),""公式LINE"",false)"),"大介（香取慎吾）は浩太（高田彪我）を学校に通わせるために、同僚の佐々木（荒川良々）に頼んで、転校手続きの書類を取り揃えてもらう。しかし、その見返りとして葉菜子（上野樹里）を交えての合コンを頼まれてしまった。佐々木は葉菜子が“クレーマーハナコ”と同一人物という事実を知らず、先日のパーティで一目惚れしてしまったのだ。一方、葉菜子が勤め先の帝光商事で仕事をしていると、突然の来訪者が。その相手はなんと、葉菜子の元夫である和弥（田中圭）だった。一方的に和弥を避けている葉菜子は、部下の莉奈（水原希子）に頼んで居留守を"&amp;"使ってもらい、その場を凌ぐが、そのお礼として合コンのセッティングを迫られる。後日、合コンをセッティングしてほしいと、佐々木に頼まれたことを、大介が葉菜子に伝えた。果たして葉菜子の返事は？とそのとき、二人の前に和弥が現れた。葉菜子は大介とここで暮らしていると嘘をつく。そのとき大介は！？永里大介…香取慎吾  熊谷葉菜子…上野樹里  田中莉奈…水原希子  佐々木彰一…荒川良々  入江春人…千葉雄大  山根さとり…柳原可奈子  永里浩太…高田彪我  梢あや…中村アン  小山有香…永尾まりや  福田亜由美…小西キス"&amp;"  ○  高瀬和弥…田中圭  永里美佐代…浅茅陽子  シゲサン…森本レオ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https://twitter.com/kazoku_katac"&amp;"hi  ■番組公式インスタグラム  ＠kazokunokatachi  番組の内容と放送時間は変更になる場合があります。")</f>
        <v>大介（香取慎吾）は浩太（高田彪我）を学校に通わせるために、同僚の佐々木（荒川良々）に頼んで、転校手続きの書類を取り揃えてもらう。しかし、その見返りとして葉菜子（上野樹里）を交えての合コンを頼まれてしまった。佐々木は葉菜子が“クレーマーハナコ”と同一人物という事実を知らず、先日のパーティで一目惚れしてしまったのだ。一方、葉菜子が勤め先の帝光商事で仕事をしていると、突然の来訪者が。その相手はなんと、葉菜子の元夫である和弥（田中圭）だった。一方的に和弥を避けている葉菜子は、部下の莉奈（水原希子）に頼んで居留守を使ってもらい、その場を凌ぐが、そのお礼として合コンのセッティングを迫られる。後日、合コンをセッティングしてほしいと、佐々木に頼まれたことを、大介が葉菜子に伝えた。果たして葉菜子の返事は？とそのとき、二人の前に和弥が現れた。葉菜子は大介とここで暮らしていると嘘をつく。そのとき大介は！？永里大介…香取慎吾  熊谷葉菜子…上野樹里  田中莉奈…水原希子  佐々木彰一…荒川良々  入江春人…千葉雄大  山根さとり…柳原可奈子  永里浩太…高田彪我  梢あや…中村アン  小山有香…永尾まりや  福田亜由美…小西キス  ○  高瀬和弥…田中圭  永里美佐代…浅茅陽子  シゲサン…森本レオ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v>
      </c>
      <c r="N5075" s="2"/>
      <c r="O5075" s="2"/>
      <c r="P5075" s="1"/>
      <c r="Q5075" s="1"/>
      <c r="R5075" s="1"/>
      <c r="S5075" s="1"/>
      <c r="T5075" s="1"/>
      <c r="U5075" s="1"/>
      <c r="V5075" s="1"/>
      <c r="W5075" s="1"/>
      <c r="X5075" s="1"/>
      <c r="Y5075" s="1"/>
      <c r="Z5075" s="1"/>
      <c r="AA5075" s="1"/>
      <c r="AB5075" s="1"/>
      <c r="AC5075" s="1"/>
      <c r="AD5075" s="1"/>
      <c r="AE5075" s="1"/>
      <c r="AF5075" s="1"/>
      <c r="AG5075" s="1"/>
      <c r="AH5075" s="1"/>
      <c r="AI5075" s="1"/>
      <c r="AJ5075" s="1"/>
      <c r="AK5075" s="1"/>
      <c r="AL5075" s="1"/>
      <c r="AM5075" s="1"/>
      <c r="AN5075" s="1"/>
      <c r="AO5075" s="1"/>
      <c r="AP5075" s="1"/>
      <c r="AQ5075" s="1"/>
      <c r="AR5075" s="1"/>
      <c r="AS5075" s="1"/>
      <c r="AT5075" s="1"/>
      <c r="AU5075" s="1"/>
      <c r="AV5075" s="1"/>
      <c r="AW5075" s="1"/>
      <c r="AX5075" s="1"/>
      <c r="AY5075" s="1"/>
      <c r="AZ5075" s="1"/>
      <c r="BA5075" s="1"/>
      <c r="BB5075" s="1"/>
    </row>
    <row r="5076" ht="204.75" customHeight="1">
      <c r="A5076" s="1">
        <v>1858.0</v>
      </c>
      <c r="B5076" s="2" t="s">
        <v>14187</v>
      </c>
      <c r="C5076" s="2">
        <f>IFERROR(__xludf.DUMMYFUNCTION("split(B5076,""_"")"),1601.0)</f>
        <v>1601</v>
      </c>
      <c r="D5076" s="2" t="str">
        <f>IFERROR(__xludf.DUMMYFUNCTION("""COMPUTED_VALUE"""),"TBS")</f>
        <v>TBS</v>
      </c>
      <c r="E5076" s="2" t="str">
        <f>IFERROR(__xludf.DUMMYFUNCTION("""COMPUTED_VALUE"""),"日21")</f>
        <v>日21</v>
      </c>
      <c r="F5076" s="2" t="s">
        <v>14188</v>
      </c>
      <c r="G5076" s="2" t="s">
        <v>14195</v>
      </c>
      <c r="H5076" s="1">
        <v>4.0</v>
      </c>
      <c r="J5076" s="1" t="s">
        <v>11</v>
      </c>
      <c r="K5076" s="2" t="s">
        <v>14196</v>
      </c>
      <c r="L5076" s="2"/>
      <c r="M5076" s="2" t="str">
        <f>IFERROR(__xludf.DUMMYFUNCTION("split(split(K5076,""【"",false),""公式LINE"",false)"),"葉菜子（上野樹里）の携帯へ、元夫の和弥（田中圭）から電話がかかってきた。直接話がしたくてマンションの下まで来ているという和弥、葉菜子がベランダへ出て階下を見ると和弥が立っていた。律子（風吹ジュン）と、階下のベランダで二人のやり取りを見ていた大介（香取慎吾）と陽三（西田敏行）らに臆せず「もう一度やり直したい」と訴える和弥。しかし葉菜子は聞く耳を持たない。一体、二人の結婚生活に何があったのか？その夜、葉菜子の部下の莉奈（水原希子）が、大介の部屋を突然訪れた。大介は留守にしていたが、それをいいことに陽三は莉奈を"&amp;"招き入れる。大介のことが気になっているという莉奈は、大介の好きなものや趣味など陽三に聞きまくる。翌日、大介が出社すると、佐々木（荒川良々）が婚活パーティーに申し込んでおいたからみんなで行こうと、大介と入江（千葉雄大）に告げる。一緒に行ってやれと、大介が入江に促すのだが……。永里大介…香取慎吾  熊谷葉菜子…上野樹里  田中莉奈…水原希子  佐々木彰一…荒川良々  入江春人…千葉雄大  山根さとり…柳原可奈子  永里浩太…高田彪我  梢あや…中村アン  小山有香…永尾まりや  福田亜由美…小西キス  ○  "&amp;"高瀬和弥…田中圭  入江茜…川口春奈  店長…谷田歩  警官…山崎樹範  永里恵…水野美紀  熊谷律子…風吹ジュン  永里陽三…西田敏行脚本：後藤法子  音楽：大間々昂　兼松衆  音楽プロデューサー：志田博英  編成・プロデューサー：韓哲  プロデューサー：佐藤敦司  演出：松田礼人■番組公式HP  http://www.tbs.co.jp/kazokuno_katachi/  ■番組公式Twitter  @kazoku_katachi  https://twitter.com/kazoku_katach"&amp;"i  ■番組公式インスタグラム  ＠kazokunokatachi  番組の内容と放送時間は変更になる場合があります。")</f>
        <v>葉菜子（上野樹里）の携帯へ、元夫の和弥（田中圭）から電話がかかってきた。直接話がしたくてマンションの下まで来ているという和弥、葉菜子がベランダへ出て階下を見ると和弥が立っていた。律子（風吹ジュン）と、階下のベランダで二人のやり取りを見ていた大介（香取慎吾）と陽三（西田敏行）らに臆せず「もう一度やり直したい」と訴える和弥。しかし葉菜子は聞く耳を持たない。一体、二人の結婚生活に何があったのか？その夜、葉菜子の部下の莉奈（水原希子）が、大介の部屋を突然訪れた。大介は留守にしていたが、それをいいことに陽三は莉奈を招き入れる。大介のことが気になっているという莉奈は、大介の好きなものや趣味など陽三に聞きまくる。翌日、大介が出社すると、佐々木（荒川良々）が婚活パーティーに申し込んでおいたからみんなで行こうと、大介と入江（千葉雄大）に告げる。一緒に行ってやれと、大介が入江に促すのだが……。永里大介…香取慎吾  熊谷葉菜子…上野樹里  田中莉奈…水原希子  佐々木彰一…荒川良々  入江春人…千葉雄大  山根さとり…柳原可奈子  永里浩太…高田彪我  梢あや…中村アン  小山有香…永尾まりや  福田亜由美…小西キス  ○  高瀬和弥…田中圭  入江茜…川口春奈  店長…谷田歩  警官…山崎樹範  永里恵…水野美紀  熊谷律子…風吹ジュン  永里陽三…西田敏行脚本：後藤法子  音楽：大間々昂　兼松衆  音楽プロデューサー：志田博英  編成・プロデューサー：韓哲  プロデューサー：佐藤敦司  演出：松田礼人■番組公式HP  http://www.tbs.co.jp/kazokuno_katachi/  ■番組公式Twitter  @kazoku_katachi  https://twitter.com/kazoku_katachi  ■番組公式インスタグラム  ＠kazokunokatachi  番組の内容と放送時間は変更になる場合があります。</v>
      </c>
      <c r="N5076" s="2"/>
      <c r="O5076" s="2"/>
      <c r="P5076" s="1"/>
      <c r="Q5076" s="1"/>
      <c r="R5076" s="1"/>
      <c r="S5076" s="1"/>
      <c r="T5076" s="1"/>
      <c r="U5076" s="1"/>
      <c r="V5076" s="1"/>
      <c r="W5076" s="1"/>
      <c r="X5076" s="1"/>
      <c r="Y5076" s="1"/>
      <c r="Z5076" s="1"/>
      <c r="AA5076" s="1"/>
      <c r="AB5076" s="1"/>
      <c r="AC5076" s="1"/>
      <c r="AD5076" s="1"/>
      <c r="AE5076" s="1"/>
      <c r="AF5076" s="1"/>
      <c r="AG5076" s="1"/>
      <c r="AH5076" s="1"/>
      <c r="AI5076" s="1"/>
      <c r="AJ5076" s="1"/>
      <c r="AK5076" s="1"/>
      <c r="AL5076" s="1"/>
      <c r="AM5076" s="1"/>
      <c r="AN5076" s="1"/>
      <c r="AO5076" s="1"/>
      <c r="AP5076" s="1"/>
      <c r="AQ5076" s="1"/>
      <c r="AR5076" s="1"/>
      <c r="AS5076" s="1"/>
      <c r="AT5076" s="1"/>
      <c r="AU5076" s="1"/>
      <c r="AV5076" s="1"/>
      <c r="AW5076" s="1"/>
      <c r="AX5076" s="1"/>
      <c r="AY5076" s="1"/>
      <c r="AZ5076" s="1"/>
      <c r="BA5076" s="1"/>
      <c r="BB5076" s="1"/>
    </row>
    <row r="5077" ht="204.75" customHeight="1">
      <c r="A5077" s="1">
        <v>1859.0</v>
      </c>
      <c r="B5077" s="2" t="s">
        <v>14187</v>
      </c>
      <c r="C5077" s="2">
        <f>IFERROR(__xludf.DUMMYFUNCTION("split(B5077,""_"")"),1601.0)</f>
        <v>1601</v>
      </c>
      <c r="D5077" s="2" t="str">
        <f>IFERROR(__xludf.DUMMYFUNCTION("""COMPUTED_VALUE"""),"TBS")</f>
        <v>TBS</v>
      </c>
      <c r="E5077" s="2" t="str">
        <f>IFERROR(__xludf.DUMMYFUNCTION("""COMPUTED_VALUE"""),"日21")</f>
        <v>日21</v>
      </c>
      <c r="F5077" s="2" t="s">
        <v>14188</v>
      </c>
      <c r="G5077" s="2" t="s">
        <v>14197</v>
      </c>
      <c r="H5077" s="1">
        <v>5.0</v>
      </c>
      <c r="J5077" s="1" t="s">
        <v>11</v>
      </c>
      <c r="K5077" s="2" t="s">
        <v>14198</v>
      </c>
      <c r="L5077" s="2"/>
      <c r="M5077" s="2" t="str">
        <f>IFERROR(__xludf.DUMMYFUNCTION("split(split(K5077,""【"",false),""公式LINE"",false)"),"大介（香取慎吾）の会社の後輩・入江（千葉雄大）がすでに結婚していたということ、それと事情により式を挙げていないことを知った陽三（西田敏行）や律子（風吹ジュン）らは、みんなの力で結婚式を挙げようと盛り上がりをみせる。  大介の勤め先「ペンナ」の社員も巻き込み張り切る陽三や佐々木（荒川良々）だが、当の入江は記念写真を撮れればいいと、やや消極的だ。また、そんな入江を気遣って、妻の茜（川口春奈）も控えめでいいと言う。そんな二人だったが、あることがきっかけで離婚をすると言い出した。一体、二人の間に何が起こったのか！"&amp;"？そんな周りをよそに、他人の結婚式などには関わるまいと、見て見ぬふりをしていた大介だったが、ある晩、日課であるジムでのトレーニングから帰ってくると、なんと葉菜子（上野樹里）の元夫・和弥（田中圭）が陽三と食事をしていた。果たして、和弥は何をしに大介の部屋を訪ねたのか？永里大介…香取慎吾  熊谷葉菜子…上野樹里  田中莉奈…水原希子  佐々木彰一…荒川良々  入江春人…千葉雄大  山根さとり…柳原可奈子  永里浩太…高田彪我  梢あや…中村アン  小山有香…永尾まりや  福田亜由美…小西キス  ○  高瀬和弥"&amp;"…田中圭  入江茜…川口春奈  高倉静子…朝加真由美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■番組公式イ"&amp;"ンスタグラム  ＠kazokunokatachi  番組の内容と放送時間は変更になる場合があります。")</f>
        <v>大介（香取慎吾）の会社の後輩・入江（千葉雄大）がすでに結婚していたということ、それと事情により式を挙げていないことを知った陽三（西田敏行）や律子（風吹ジュン）らは、みんなの力で結婚式を挙げようと盛り上がりをみせる。  大介の勤め先「ペンナ」の社員も巻き込み張り切る陽三や佐々木（荒川良々）だが、当の入江は記念写真を撮れればいいと、やや消極的だ。また、そんな入江を気遣って、妻の茜（川口春奈）も控えめでいいと言う。そんな二人だったが、あることがきっかけで離婚をすると言い出した。一体、二人の間に何が起こったのか！？そんな周りをよそに、他人の結婚式などには関わるまいと、見て見ぬふりをしていた大介だったが、ある晩、日課であるジムでのトレーニングから帰ってくると、なんと葉菜子（上野樹里）の元夫・和弥（田中圭）が陽三と食事をしていた。果たして、和弥は何をしに大介の部屋を訪ねたのか？永里大介…香取慎吾  熊谷葉菜子…上野樹里  田中莉奈…水原希子  佐々木彰一…荒川良々  入江春人…千葉雄大  山根さとり…柳原可奈子  永里浩太…高田彪我  梢あや…中村アン  小山有香…永尾まりや  福田亜由美…小西キス  ○  高瀬和弥…田中圭  入江茜…川口春奈  高倉静子…朝加真由美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v>
      </c>
      <c r="N5077" s="2"/>
      <c r="O5077" s="2"/>
      <c r="P5077" s="1"/>
      <c r="Q5077" s="1"/>
      <c r="R5077" s="1"/>
      <c r="S5077" s="1"/>
      <c r="T5077" s="1"/>
      <c r="U5077" s="1"/>
      <c r="V5077" s="1"/>
      <c r="W5077" s="1"/>
      <c r="X5077" s="1"/>
      <c r="Y5077" s="1"/>
      <c r="Z5077" s="1"/>
      <c r="AA5077" s="1"/>
      <c r="AB5077" s="1"/>
      <c r="AC5077" s="1"/>
      <c r="AD5077" s="1"/>
      <c r="AE5077" s="1"/>
      <c r="AF5077" s="1"/>
      <c r="AG5077" s="1"/>
      <c r="AH5077" s="1"/>
      <c r="AI5077" s="1"/>
      <c r="AJ5077" s="1"/>
      <c r="AK5077" s="1"/>
      <c r="AL5077" s="1"/>
      <c r="AM5077" s="1"/>
      <c r="AN5077" s="1"/>
      <c r="AO5077" s="1"/>
      <c r="AP5077" s="1"/>
      <c r="AQ5077" s="1"/>
      <c r="AR5077" s="1"/>
      <c r="AS5077" s="1"/>
      <c r="AT5077" s="1"/>
      <c r="AU5077" s="1"/>
      <c r="AV5077" s="1"/>
      <c r="AW5077" s="1"/>
      <c r="AX5077" s="1"/>
      <c r="AY5077" s="1"/>
      <c r="AZ5077" s="1"/>
      <c r="BA5077" s="1"/>
      <c r="BB5077" s="1"/>
    </row>
    <row r="5078" ht="204.75" customHeight="1">
      <c r="A5078" s="1">
        <v>1860.0</v>
      </c>
      <c r="B5078" s="2" t="s">
        <v>14187</v>
      </c>
      <c r="C5078" s="2">
        <f>IFERROR(__xludf.DUMMYFUNCTION("split(B5078,""_"")"),1601.0)</f>
        <v>1601</v>
      </c>
      <c r="D5078" s="2" t="str">
        <f>IFERROR(__xludf.DUMMYFUNCTION("""COMPUTED_VALUE"""),"TBS")</f>
        <v>TBS</v>
      </c>
      <c r="E5078" s="2" t="str">
        <f>IFERROR(__xludf.DUMMYFUNCTION("""COMPUTED_VALUE"""),"日21")</f>
        <v>日21</v>
      </c>
      <c r="F5078" s="2" t="s">
        <v>14188</v>
      </c>
      <c r="G5078" s="2" t="s">
        <v>14199</v>
      </c>
      <c r="H5078" s="1">
        <v>6.0</v>
      </c>
      <c r="J5078" s="1" t="s">
        <v>11</v>
      </c>
      <c r="K5078" s="2" t="s">
        <v>14200</v>
      </c>
      <c r="L5078" s="2"/>
      <c r="M5078" s="2" t="str">
        <f>IFERROR(__xludf.DUMMYFUNCTION("split(split(K5078,""【"",false),""公式LINE"",false)"),"大介（香取慎吾）は、葉菜子（上野樹里）と和弥（田中圭）が離婚した原因を、葉菜子から打ち明けられる。突然の衝撃的な告白に動揺を隠せない大介は、葉菜子をどう接すれば良いのかわからず、ついよそよそしく距離を取ってしまう。そんな大介を見た葉菜子は、大介を呼び止めた。果たして、葉菜子は大介に何を話すのか？ そんな大介と葉菜子の空気感をよそに、莉奈（水原希子）は大介への積極的なアプローチを増すばかりだ…。ある日、とあるお見合いパーティーへ参加した佐々木（荒川良々）は、見事にカップル成立！ そのカップルとなった相手・久"&amp;"美（小松彩夏）とどんなデートをすればよいか大介へ相談するが、大介の態度はつれない。しかし、陽三（西田敏行）のアドバイスもあってか、デートも無事に上手くいく。入江（千葉雄大）は、相手が美人で若すぎるし話がうますぎると心配をする。それは、単なる入江の思い過ごしだろうか……？永里大介…香取慎吾  熊谷葉菜子…上野樹里  田中莉奈…水原希子  佐々木彰一…荒川良々  入江春人…千葉雄大  山根さとり…柳原可奈子  永里浩太…高田彪我  梢あや…中村アン  小山有香…永尾まりや  福田亜由美…小西キス  ○  大野"&amp;"美佳…観月ありさ  高瀬和弥…田中圭  丸山久美…小松彩夏  シゲさん…森本レオ  永里恵…水野美紀  熊谷律子…風吹ジュン  永里陽三…西田敏行脚本：後藤法子  音楽：大間々昂　兼松衆  音楽プロデューサー：志田博英  編成・プロデューサー：韓哲  プロデューサー：佐藤敦司  演出：酒井聖博■番組公式HP  http://www.tbs.co.jp/kazokuno_katachi/  ■番組公式Twitter  @kazoku_katachi  https://twitter.com/kazoku_k"&amp;"atachi  ■番組公式インスタグラム  ＠kazokunokatachi  番組の内容と放送時間は変更になる場合があります。")</f>
        <v>大介（香取慎吾）は、葉菜子（上野樹里）と和弥（田中圭）が離婚した原因を、葉菜子から打ち明けられる。突然の衝撃的な告白に動揺を隠せない大介は、葉菜子をどう接すれば良いのかわからず、ついよそよそしく距離を取ってしまう。そんな大介を見た葉菜子は、大介を呼び止めた。果たして、葉菜子は大介に何を話すのか？ そんな大介と葉菜子の空気感をよそに、莉奈（水原希子）は大介への積極的なアプローチを増すばかりだ…。ある日、とあるお見合いパーティーへ参加した佐々木（荒川良々）は、見事にカップル成立！ そのカップルとなった相手・久美（小松彩夏）とどんなデートをすればよいか大介へ相談するが、大介の態度はつれない。しかし、陽三（西田敏行）のアドバイスもあってか、デートも無事に上手くいく。入江（千葉雄大）は、相手が美人で若すぎるし話がうますぎると心配をする。それは、単なる入江の思い過ごしだろうか……？永里大介…香取慎吾  熊谷葉菜子…上野樹里  田中莉奈…水原希子  佐々木彰一…荒川良々  入江春人…千葉雄大  山根さとり…柳原可奈子  永里浩太…高田彪我  梢あや…中村アン  小山有香…永尾まりや  福田亜由美…小西キス  ○  大野美佳…観月ありさ  高瀬和弥…田中圭  丸山久美…小松彩夏  シゲさん…森本レオ  永里恵…水野美紀  熊谷律子…風吹ジュン  永里陽三…西田敏行脚本：後藤法子  音楽：大間々昂　兼松衆  音楽プロデューサー：志田博英  編成・プロデューサー：韓哲  プロデューサー：佐藤敦司  演出：酒井聖博■番組公式HP  http://www.tbs.co.jp/kazokuno_katachi/  ■番組公式Twitter  @kazoku_katachi  https://twitter.com/kazoku_katachi  ■番組公式インスタグラム  ＠kazokunokatachi  番組の内容と放送時間は変更になる場合があります。</v>
      </c>
      <c r="N5078" s="2"/>
      <c r="O5078" s="2"/>
      <c r="P5078" s="1"/>
      <c r="Q5078" s="1"/>
      <c r="R5078" s="1"/>
      <c r="S5078" s="1"/>
      <c r="T5078" s="1"/>
      <c r="U5078" s="1"/>
      <c r="V5078" s="1"/>
      <c r="W5078" s="1"/>
      <c r="X5078" s="1"/>
      <c r="Y5078" s="1"/>
      <c r="Z5078" s="1"/>
      <c r="AA5078" s="1"/>
      <c r="AB5078" s="1"/>
      <c r="AC5078" s="1"/>
      <c r="AD5078" s="1"/>
      <c r="AE5078" s="1"/>
      <c r="AF5078" s="1"/>
      <c r="AG5078" s="1"/>
      <c r="AH5078" s="1"/>
      <c r="AI5078" s="1"/>
      <c r="AJ5078" s="1"/>
      <c r="AK5078" s="1"/>
      <c r="AL5078" s="1"/>
      <c r="AM5078" s="1"/>
      <c r="AN5078" s="1"/>
      <c r="AO5078" s="1"/>
      <c r="AP5078" s="1"/>
      <c r="AQ5078" s="1"/>
      <c r="AR5078" s="1"/>
      <c r="AS5078" s="1"/>
      <c r="AT5078" s="1"/>
      <c r="AU5078" s="1"/>
      <c r="AV5078" s="1"/>
      <c r="AW5078" s="1"/>
      <c r="AX5078" s="1"/>
      <c r="AY5078" s="1"/>
      <c r="AZ5078" s="1"/>
      <c r="BA5078" s="1"/>
      <c r="BB5078" s="1"/>
    </row>
    <row r="5079" ht="204.75" customHeight="1">
      <c r="A5079" s="1">
        <v>1861.0</v>
      </c>
      <c r="B5079" s="2" t="s">
        <v>14187</v>
      </c>
      <c r="C5079" s="2">
        <f>IFERROR(__xludf.DUMMYFUNCTION("split(B5079,""_"")"),1601.0)</f>
        <v>1601</v>
      </c>
      <c r="D5079" s="2" t="str">
        <f>IFERROR(__xludf.DUMMYFUNCTION("""COMPUTED_VALUE"""),"TBS")</f>
        <v>TBS</v>
      </c>
      <c r="E5079" s="2" t="str">
        <f>IFERROR(__xludf.DUMMYFUNCTION("""COMPUTED_VALUE"""),"日21")</f>
        <v>日21</v>
      </c>
      <c r="F5079" s="2" t="s">
        <v>14188</v>
      </c>
      <c r="G5079" s="2" t="s">
        <v>14201</v>
      </c>
      <c r="H5079" s="1">
        <v>7.0</v>
      </c>
      <c r="J5079" s="1" t="s">
        <v>11</v>
      </c>
      <c r="K5079" s="2" t="s">
        <v>14202</v>
      </c>
      <c r="L5079" s="2"/>
      <c r="M5079" s="2" t="str">
        <f>IFERROR(__xludf.DUMMYFUNCTION("split(split(K5079,""【"",false),""公式LINE"",false)"),"大介（香取慎吾）と葉菜子（上野樹里）の前に突然現れた恵（水野美紀）は、息子の浩太（高田彪我）をタクシーに乗せて走り去ってしまう。大介は慌ててすぐさま陽三（西田敏行）に報告するが、陽三は特に動揺したそぶりも見せない。そんな陽三の様子から、恵と連絡を取っていたことを悟る大介が問い詰めるが、さっさと仕事に行ってこいと陽三は聞く耳を持たない。大介はますます、陽三が結婚詐欺に遭っているのではと心配するが…。一方、葉菜子の会社では、注文していたコーヒー豆と別のものが取引先に届くというトラブルが発生。国内の倉庫の問題か"&amp;"？はたまた荷を送った現地の問題か？ 取引先への謝罪ほか、原因究明のために場合によっては、葉菜子がインドネシアへ向かわなければならないというが、翌日には大事なプレゼンが控えていた。永里大介…香取慎吾  熊谷葉菜子…上野樹里  田中莉奈…水原希子  佐々木彰一…荒川良々  入江春人…千葉雄大  山根さとり…柳原可奈子  永里浩太…高田彪我  梢あや…中村アン  小山有香…永尾まりや  福田亜由美…小西キス  ○  高瀬和弥…田中圭  シゲさん…森本レオ  永里恵…水野美紀  熊谷律子…風吹ジュン  永里陽三…"&amp;"西田敏行脚本：後藤法子  音楽：大間々昂　兼松衆  音楽プロデューサー：志田博英  編成・プロデューサー：韓哲  プロデューサー：佐藤敦司  演出：松田礼人■番組公式HP  http://www.tbs.co.jp/kazokuno_katachi/  ■番組公式Twitter  @kazoku_katachi  https://twitter.com/kazoku_katachi  ■番組公式インスタグラム  ＠kazokunokatachi  番組の内容と放送時間は変更になる場合があります。")</f>
        <v>大介（香取慎吾）と葉菜子（上野樹里）の前に突然現れた恵（水野美紀）は、息子の浩太（高田彪我）をタクシーに乗せて走り去ってしまう。大介は慌ててすぐさま陽三（西田敏行）に報告するが、陽三は特に動揺したそぶりも見せない。そんな陽三の様子から、恵と連絡を取っていたことを悟る大介が問い詰めるが、さっさと仕事に行ってこいと陽三は聞く耳を持たない。大介はますます、陽三が結婚詐欺に遭っているのではと心配するが…。一方、葉菜子の会社では、注文していたコーヒー豆と別のものが取引先に届くというトラブルが発生。国内の倉庫の問題か？はたまた荷を送った現地の問題か？ 取引先への謝罪ほか、原因究明のために場合によっては、葉菜子がインドネシアへ向かわなければならないというが、翌日には大事なプレゼンが控えていた。永里大介…香取慎吾  熊谷葉菜子…上野樹里  田中莉奈…水原希子  佐々木彰一…荒川良々  入江春人…千葉雄大  山根さとり…柳原可奈子  永里浩太…高田彪我  梢あや…中村アン  小山有香…永尾まりや  福田亜由美…小西キス  ○  高瀬和弥…田中圭  シゲさん…森本レオ  永里恵…水野美紀  熊谷律子…風吹ジュン  永里陽三…西田敏行脚本：後藤法子  音楽：大間々昂　兼松衆  音楽プロデューサー：志田博英  編成・プロデューサー：韓哲  プロデューサー：佐藤敦司  演出：松田礼人■番組公式HP  http://www.tbs.co.jp/kazokuno_katachi/  ■番組公式Twitter  @kazoku_katachi  https://twitter.com/kazoku_katachi  ■番組公式インスタグラム  ＠kazokunokatachi  番組の内容と放送時間は変更になる場合があります。</v>
      </c>
      <c r="N5079" s="2"/>
      <c r="O5079" s="2"/>
      <c r="P5079" s="1"/>
      <c r="Q5079" s="1"/>
      <c r="R5079" s="1"/>
      <c r="S5079" s="1"/>
      <c r="T5079" s="1"/>
      <c r="U5079" s="1"/>
      <c r="V5079" s="1"/>
      <c r="W5079" s="1"/>
      <c r="X5079" s="1"/>
      <c r="Y5079" s="1"/>
      <c r="Z5079" s="1"/>
      <c r="AA5079" s="1"/>
      <c r="AB5079" s="1"/>
      <c r="AC5079" s="1"/>
      <c r="AD5079" s="1"/>
      <c r="AE5079" s="1"/>
      <c r="AF5079" s="1"/>
      <c r="AG5079" s="1"/>
      <c r="AH5079" s="1"/>
      <c r="AI5079" s="1"/>
      <c r="AJ5079" s="1"/>
      <c r="AK5079" s="1"/>
      <c r="AL5079" s="1"/>
      <c r="AM5079" s="1"/>
      <c r="AN5079" s="1"/>
      <c r="AO5079" s="1"/>
      <c r="AP5079" s="1"/>
      <c r="AQ5079" s="1"/>
      <c r="AR5079" s="1"/>
      <c r="AS5079" s="1"/>
      <c r="AT5079" s="1"/>
      <c r="AU5079" s="1"/>
      <c r="AV5079" s="1"/>
      <c r="AW5079" s="1"/>
      <c r="AX5079" s="1"/>
      <c r="AY5079" s="1"/>
      <c r="AZ5079" s="1"/>
      <c r="BA5079" s="1"/>
      <c r="BB5079" s="1"/>
    </row>
    <row r="5080" ht="204.75" customHeight="1">
      <c r="A5080" s="1">
        <v>1862.0</v>
      </c>
      <c r="B5080" s="2" t="s">
        <v>14187</v>
      </c>
      <c r="C5080" s="2">
        <f>IFERROR(__xludf.DUMMYFUNCTION("split(B5080,""_"")"),1601.0)</f>
        <v>1601</v>
      </c>
      <c r="D5080" s="2" t="str">
        <f>IFERROR(__xludf.DUMMYFUNCTION("""COMPUTED_VALUE"""),"TBS")</f>
        <v>TBS</v>
      </c>
      <c r="E5080" s="2" t="str">
        <f>IFERROR(__xludf.DUMMYFUNCTION("""COMPUTED_VALUE"""),"日21")</f>
        <v>日21</v>
      </c>
      <c r="F5080" s="2" t="s">
        <v>14188</v>
      </c>
      <c r="G5080" s="2" t="s">
        <v>14203</v>
      </c>
      <c r="H5080" s="1">
        <v>8.0</v>
      </c>
      <c r="J5080" s="1" t="s">
        <v>11</v>
      </c>
      <c r="K5080" s="2" t="s">
        <v>14204</v>
      </c>
      <c r="L5080" s="2"/>
      <c r="M5080" s="2" t="str">
        <f>IFERROR(__xludf.DUMMYFUNCTION("split(split(K5080,""【"",false),""公式LINE"",false)"),"大介（香取慎吾）は、ようやく陽三（西田敏行）が探していた再婚相手の恵（水野美紀）と会うことができた。陽三は結婚詐欺に遭っているかもしれない、という大介の心配も晴れて、恵は今年最後の看護学校試験に臨む。これで陽三と浩太（高田彪我）と居候する理由もなくなったと、大介が佐々木（荒川良々）らに話をすると、ペンナの面々から送別会を開こうとの声が上がる。一方、律子（風吹ジュン）も、そろそろ夫の待つ川上村へ戻ると葉菜子（上野樹里）に伝えていた…そんなある日、大介に想いを寄せる莉奈（水原希子）が葉菜子と和弥（田中圭）と一"&amp;"緒に、大介の行きつけのビアバーへと現れた。いつものように一人でビールを楽しむ大介は、突然の来訪者にビックリ！ 果たして、3人は何のために大介を訪ねてきたのか！？永里大介…香取慎吾  熊谷葉菜子…上野樹里  田中莉奈…水原希子  佐々木彰一…荒川良々  入江春人…千葉雄大  山根さとり…柳原可奈子  永里浩太…高田彪我（さくらしめじ）  梢あや…中村アン  小山有香…永尾まりや  福田亜由美…小西キス  ○  高瀬和弥…田中圭  シゲさん…森本レオ  永里恵…水野美紀  熊谷律子…風吹ジュン  永里陽三…西"&amp;"田敏行脚本：後藤法子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f>
        <v>大介（香取慎吾）は、ようやく陽三（西田敏行）が探していた再婚相手の恵（水野美紀）と会うことができた。陽三は結婚詐欺に遭っているかもしれない、という大介の心配も晴れて、恵は今年最後の看護学校試験に臨む。これで陽三と浩太（高田彪我）と居候する理由もなくなったと、大介が佐々木（荒川良々）らに話をすると、ペンナの面々から送別会を開こうとの声が上がる。一方、律子（風吹ジュン）も、そろそろ夫の待つ川上村へ戻ると葉菜子（上野樹里）に伝えていた…そんなある日、大介に想いを寄せる莉奈（水原希子）が葉菜子と和弥（田中圭）と一緒に、大介の行きつけのビアバーへと現れた。いつものように一人でビールを楽しむ大介は、突然の来訪者にビックリ！ 果たして、3人は何のために大介を訪ねてきたのか！？永里大介…香取慎吾  熊谷葉菜子…上野樹里  田中莉奈…水原希子  佐々木彰一…荒川良々  入江春人…千葉雄大  山根さとり…柳原可奈子  永里浩太…高田彪我（さくらしめじ）  梢あや…中村アン  小山有香…永尾まりや  福田亜由美…小西キス  ○  高瀬和弥…田中圭  シゲさん…森本レオ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v>
      </c>
      <c r="N5080" s="2"/>
      <c r="O5080" s="2"/>
      <c r="P5080" s="1"/>
      <c r="Q5080" s="1"/>
      <c r="R5080" s="1"/>
      <c r="S5080" s="1"/>
      <c r="T5080" s="1"/>
      <c r="U5080" s="1"/>
      <c r="V5080" s="1"/>
      <c r="W5080" s="1"/>
      <c r="X5080" s="1"/>
      <c r="Y5080" s="1"/>
      <c r="Z5080" s="1"/>
      <c r="AA5080" s="1"/>
      <c r="AB5080" s="1"/>
      <c r="AC5080" s="1"/>
      <c r="AD5080" s="1"/>
      <c r="AE5080" s="1"/>
      <c r="AF5080" s="1"/>
      <c r="AG5080" s="1"/>
      <c r="AH5080" s="1"/>
      <c r="AI5080" s="1"/>
      <c r="AJ5080" s="1"/>
      <c r="AK5080" s="1"/>
      <c r="AL5080" s="1"/>
      <c r="AM5080" s="1"/>
      <c r="AN5080" s="1"/>
      <c r="AO5080" s="1"/>
      <c r="AP5080" s="1"/>
      <c r="AQ5080" s="1"/>
      <c r="AR5080" s="1"/>
      <c r="AS5080" s="1"/>
      <c r="AT5080" s="1"/>
      <c r="AU5080" s="1"/>
      <c r="AV5080" s="1"/>
      <c r="AW5080" s="1"/>
      <c r="AX5080" s="1"/>
      <c r="AY5080" s="1"/>
      <c r="AZ5080" s="1"/>
      <c r="BA5080" s="1"/>
      <c r="BB5080" s="1"/>
    </row>
    <row r="5081" ht="204.75" customHeight="1">
      <c r="A5081" s="1">
        <v>1863.0</v>
      </c>
      <c r="B5081" s="2" t="s">
        <v>14187</v>
      </c>
      <c r="C5081" s="2">
        <f>IFERROR(__xludf.DUMMYFUNCTION("split(B5081,""_"")"),1601.0)</f>
        <v>1601</v>
      </c>
      <c r="D5081" s="2" t="str">
        <f>IFERROR(__xludf.DUMMYFUNCTION("""COMPUTED_VALUE"""),"TBS")</f>
        <v>TBS</v>
      </c>
      <c r="E5081" s="2" t="str">
        <f>IFERROR(__xludf.DUMMYFUNCTION("""COMPUTED_VALUE"""),"日21")</f>
        <v>日21</v>
      </c>
      <c r="F5081" s="2" t="s">
        <v>14188</v>
      </c>
      <c r="G5081" s="2" t="s">
        <v>14205</v>
      </c>
      <c r="H5081" s="1">
        <v>9.0</v>
      </c>
      <c r="J5081" s="1" t="s">
        <v>11</v>
      </c>
      <c r="K5081" s="2" t="s">
        <v>14206</v>
      </c>
      <c r="L5081" s="2"/>
      <c r="M5081" s="2" t="str">
        <f>IFERROR(__xludf.DUMMYFUNCTION("split(split(K5081,""【"",false),""公式LINE"",false)"),"恵（水野美紀）の看護学校合格祝いをかねた陽三（西田敏行）と浩太（高田彪我）らの送別会パーティーも一段落、大介（香取慎吾）が、いつ焼津へ帰るのか聞いたところ、突然、陽三は死期が近づいていることを告白。シゲ（森本レオ）によると、進行性の肺がんで、あちこちに転移しているという。夏まで生きられるかわからないという言葉に、葉菜子（上野樹里）や律子（風吹ジュン）らは絶句。一方、大介は至って平静を装うのだが…。そんなある日、大介らが開発に関わった商品がベストデザイン賞に選出された。社内報で取り上げたいと、広報部の取材を"&amp;"受ける企画開発部の面々。そのとき、取材に来ていた広報部の女性社員・加絵（我妻三輪子）が「私のことを覚えていますか？」と佐々木（荒川良々）に声をかけてきた。加絵に覚えのない佐々木だったが、実は、先日のお見合いパーティーに、加絵も参加していたという。永里大介…香取慎吾  熊谷葉菜子…上野樹里  田中莉奈…水原希子  佐々木彰一…荒川良々  入江春人…千葉雄大  山根さとり…柳原可奈子  永里浩太…高田彪我（さくらしめじ）  梢あや…中村アン  小山有香…永尾まりや  福田亜由美…小西キス  ○  高瀬和弥…田"&amp;"中圭  有吉加絵…我妻三輪子  シゲさん…森本レオ  永里恵…水野美紀  熊谷律子…風吹ジュン  永里陽三…西田敏行脚本：後藤法子  音楽：大間々昂　兼松衆  音楽プロデューサー：志田博英  編成・プロデューサー：韓哲  プロデューサー：佐藤敦司  演出：酒井聖博■番組公式HP  http://www.tbs.co.jp/kazokuno_katachi/  ■番組公式Twitter  @kazoku_katachi  https://twitter.com/kazoku_katachi  ■番組公式イン"&amp;"スタグラム  ＠kazokunokatachi  番組の内容と放送時間は変更になる場合があります。")</f>
        <v>恵（水野美紀）の看護学校合格祝いをかねた陽三（西田敏行）と浩太（高田彪我）らの送別会パーティーも一段落、大介（香取慎吾）が、いつ焼津へ帰るのか聞いたところ、突然、陽三は死期が近づいていることを告白。シゲ（森本レオ）によると、進行性の肺がんで、あちこちに転移しているという。夏まで生きられるかわからないという言葉に、葉菜子（上野樹里）や律子（風吹ジュン）らは絶句。一方、大介は至って平静を装うのだが…。そんなある日、大介らが開発に関わった商品がベストデザイン賞に選出された。社内報で取り上げたいと、広報部の取材を受ける企画開発部の面々。そのとき、取材に来ていた広報部の女性社員・加絵（我妻三輪子）が「私のことを覚えていますか？」と佐々木（荒川良々）に声をかけてきた。加絵に覚えのない佐々木だったが、実は、先日のお見合いパーティーに、加絵も参加していたという。永里大介…香取慎吾  熊谷葉菜子…上野樹里  田中莉奈…水原希子  佐々木彰一…荒川良々  入江春人…千葉雄大  山根さとり…柳原可奈子  永里浩太…高田彪我（さくらしめじ）  梢あや…中村アン  小山有香…永尾まりや  福田亜由美…小西キス  ○  高瀬和弥…田中圭  有吉加絵…我妻三輪子  シゲさん…森本レオ  永里恵…水野美紀  熊谷律子…風吹ジュン  永里陽三…西田敏行脚本：後藤法子  音楽：大間々昂　兼松衆  音楽プロデューサー：志田博英  編成・プロデューサー：韓哲  プロデューサー：佐藤敦司  演出：酒井聖博■番組公式HP  http://www.tbs.co.jp/kazokuno_katachi/  ■番組公式Twitter  @kazoku_katachi  https://twitter.com/kazoku_katachi  ■番組公式インスタグラム  ＠kazokunokatachi  番組の内容と放送時間は変更になる場合があります。</v>
      </c>
      <c r="N5081" s="2"/>
      <c r="O5081" s="2"/>
      <c r="P5081" s="1"/>
      <c r="Q5081" s="1"/>
      <c r="R5081" s="1"/>
      <c r="S5081" s="1"/>
      <c r="T5081" s="1"/>
      <c r="U5081" s="1"/>
      <c r="V5081" s="1"/>
      <c r="W5081" s="1"/>
      <c r="X5081" s="1"/>
      <c r="Y5081" s="1"/>
      <c r="Z5081" s="1"/>
      <c r="AA5081" s="1"/>
      <c r="AB5081" s="1"/>
      <c r="AC5081" s="1"/>
      <c r="AD5081" s="1"/>
      <c r="AE5081" s="1"/>
      <c r="AF5081" s="1"/>
      <c r="AG5081" s="1"/>
      <c r="AH5081" s="1"/>
      <c r="AI5081" s="1"/>
      <c r="AJ5081" s="1"/>
      <c r="AK5081" s="1"/>
      <c r="AL5081" s="1"/>
      <c r="AM5081" s="1"/>
      <c r="AN5081" s="1"/>
      <c r="AO5081" s="1"/>
      <c r="AP5081" s="1"/>
      <c r="AQ5081" s="1"/>
      <c r="AR5081" s="1"/>
      <c r="AS5081" s="1"/>
      <c r="AT5081" s="1"/>
      <c r="AU5081" s="1"/>
      <c r="AV5081" s="1"/>
      <c r="AW5081" s="1"/>
      <c r="AX5081" s="1"/>
      <c r="AY5081" s="1"/>
      <c r="AZ5081" s="1"/>
      <c r="BA5081" s="1"/>
      <c r="BB5081" s="1"/>
    </row>
    <row r="5082" ht="204.75" customHeight="1">
      <c r="A5082" s="1">
        <v>1864.0</v>
      </c>
      <c r="B5082" s="2" t="s">
        <v>14187</v>
      </c>
      <c r="C5082" s="2">
        <f>IFERROR(__xludf.DUMMYFUNCTION("split(B5082,""_"")"),1601.0)</f>
        <v>1601</v>
      </c>
      <c r="D5082" s="2" t="str">
        <f>IFERROR(__xludf.DUMMYFUNCTION("""COMPUTED_VALUE"""),"TBS")</f>
        <v>TBS</v>
      </c>
      <c r="E5082" s="2" t="str">
        <f>IFERROR(__xludf.DUMMYFUNCTION("""COMPUTED_VALUE"""),"日21")</f>
        <v>日21</v>
      </c>
      <c r="F5082" s="2" t="s">
        <v>14188</v>
      </c>
      <c r="G5082" s="2" t="s">
        <v>14207</v>
      </c>
      <c r="H5082" s="1">
        <v>10.0</v>
      </c>
      <c r="J5082" s="1" t="s">
        <v>11</v>
      </c>
      <c r="K5082" s="2" t="s">
        <v>14208</v>
      </c>
      <c r="L5082" s="2"/>
      <c r="M5082" s="2" t="str">
        <f>IFERROR(__xludf.DUMMYFUNCTION("split(split(K5082,""【"",false),""公式LINE"",false)"),"末期ガンを告白した陽三（西田敏行）のために、何をしてやればよいのか？ 大介（香取慎吾）は迷っていた。そんなある日、大介は葉菜子（上野樹里）に相談を持ちかける。常日頃から「今まで通り普通がいちばん」という陽三の言葉を思い返す大介に対し、「それでいいのでは？」と葉菜子。そして、陽三のために2人が考えたのは、今までどおりに皆で“普通”の生活を送ることだった。その数日後、大介はホームパーティーを企画する。葉菜子や律子（風吹ジュン）、恵（水野美紀）、浩太（高田彪我）はもちろん、大介の同僚の佐々木（荒川良々）や入江（"&amp;"千葉雄大）、そして葉菜子を通じて知り合った莉奈（水原希子）や和弥（田中圭）などなど、陽三が居候を始めたことがきっかけで知り合い、より深い関係を築く事ができた、そんな人たちを招いて行われる飾り気のないホームパーティー。大介の部屋にたくさんの笑顔が集まり、穏やかな時間が流れていく……。永里大介…香取慎吾  熊谷葉菜子…上野樹里  田中莉奈…水原希子  佐々木彰一…荒川良々  入江春人…千葉雄大  山根さとり…柳原可奈子  永里浩太…高田彪我（さくらしめじ）  梢あや…中村アン  小山有香…永尾まりや  福田亜"&amp;"由美…小西キス  ○  大野美佳…観月ありさ（友情出演）  高瀬和弥…田中圭  ○  入江茜…川口春奈  川澄匠…田中雅功（さくらしめじ）  有吉加絵…我妻三輪子シゲさん…森本レオ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■番組公式Twit"&amp;"ter  @kazoku_katachi  https://twitter.com/kazoku_katachi  ■番組公式インスタグラム  ＠kazokunokatachi  番組の内容と放送時間は変更になる場合があります。")</f>
        <v>末期ガンを告白した陽三（西田敏行）のために、何をしてやればよいのか？ 大介（香取慎吾）は迷っていた。そんなある日、大介は葉菜子（上野樹里）に相談を持ちかける。常日頃から「今まで通り普通がいちばん」という陽三の言葉を思い返す大介に対し、「それでいいのでは？」と葉菜子。そして、陽三のために2人が考えたのは、今までどおりに皆で“普通”の生活を送ることだった。その数日後、大介はホームパーティーを企画する。葉菜子や律子（風吹ジュン）、恵（水野美紀）、浩太（高田彪我）はもちろん、大介の同僚の佐々木（荒川良々）や入江（千葉雄大）、そして葉菜子を通じて知り合った莉奈（水原希子）や和弥（田中圭）などなど、陽三が居候を始めたことがきっかけで知り合い、より深い関係を築く事ができた、そんな人たちを招いて行われる飾り気のないホームパーティー。大介の部屋にたくさんの笑顔が集まり、穏やかな時間が流れていく……。永里大介…香取慎吾  熊谷葉菜子…上野樹里  田中莉奈…水原希子  佐々木彰一…荒川良々  入江春人…千葉雄大  山根さとり…柳原可奈子  永里浩太…高田彪我（さくらしめじ）  梢あや…中村アン  小山有香…永尾まりや  福田亜由美…小西キス  ○  大野美佳…観月ありさ（友情出演）  高瀬和弥…田中圭  ○  入江茜…川口春奈  川澄匠…田中雅功（さくらしめじ）  有吉加絵…我妻三輪子シゲさん…森本レオ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v>
      </c>
      <c r="N5082" s="2"/>
      <c r="O5082" s="2"/>
      <c r="P5082" s="1"/>
      <c r="Q5082" s="1"/>
      <c r="R5082" s="1"/>
      <c r="S5082" s="1"/>
      <c r="T5082" s="1"/>
      <c r="U5082" s="1"/>
      <c r="V5082" s="1"/>
      <c r="W5082" s="1"/>
      <c r="X5082" s="1"/>
      <c r="Y5082" s="1"/>
      <c r="Z5082" s="1"/>
      <c r="AA5082" s="1"/>
      <c r="AB5082" s="1"/>
      <c r="AC5082" s="1"/>
      <c r="AD5082" s="1"/>
      <c r="AE5082" s="1"/>
      <c r="AF5082" s="1"/>
      <c r="AG5082" s="1"/>
      <c r="AH5082" s="1"/>
      <c r="AI5082" s="1"/>
      <c r="AJ5082" s="1"/>
      <c r="AK5082" s="1"/>
      <c r="AL5082" s="1"/>
      <c r="AM5082" s="1"/>
      <c r="AN5082" s="1"/>
      <c r="AO5082" s="1"/>
      <c r="AP5082" s="1"/>
      <c r="AQ5082" s="1"/>
      <c r="AR5082" s="1"/>
      <c r="AS5082" s="1"/>
      <c r="AT5082" s="1"/>
      <c r="AU5082" s="1"/>
      <c r="AV5082" s="1"/>
      <c r="AW5082" s="1"/>
      <c r="AX5082" s="1"/>
      <c r="AY5082" s="1"/>
      <c r="AZ5082" s="1"/>
      <c r="BA5082" s="1"/>
      <c r="BB5082" s="1"/>
    </row>
    <row r="5083" ht="204.75" customHeight="1">
      <c r="A5083" s="1">
        <v>1890.0</v>
      </c>
      <c r="B5083" s="2" t="s">
        <v>14209</v>
      </c>
      <c r="C5083" s="2">
        <f>IFERROR(__xludf.DUMMYFUNCTION("split(B5083,""_"")"),1510.0)</f>
        <v>1510</v>
      </c>
      <c r="D5083" s="2" t="str">
        <f>IFERROR(__xludf.DUMMYFUNCTION("""COMPUTED_VALUE"""),"TBS")</f>
        <v>TBS</v>
      </c>
      <c r="E5083" s="2" t="str">
        <f>IFERROR(__xludf.DUMMYFUNCTION("""COMPUTED_VALUE"""),"火22")</f>
        <v>火22</v>
      </c>
      <c r="F5083" s="2" t="s">
        <v>14210</v>
      </c>
      <c r="G5083" s="2" t="s">
        <v>14211</v>
      </c>
      <c r="H5083" s="1">
        <v>1.0</v>
      </c>
      <c r="J5083" s="1" t="s">
        <v>82</v>
      </c>
      <c r="K5083" s="2" t="s">
        <v>14212</v>
      </c>
      <c r="L5083" s="2"/>
      <c r="M5083" s="2" t="str">
        <f>IFERROR(__xludf.DUMMYFUNCTION("split(split(K5083,""【"",false),""公式LINE"",false)"),"結婚式を100日後に控え、仕事もプライベートも順風満帆だった主人公・芹沢ひとみはある日突然、自分が“脳腫瘍”であることを告げられる。絶望の淵に立たされたひとみのもとに、死んだと思っていた母親・柏田可奈子が28年ぶりに現れる。母の目的は一体何なのか！？結婚を諦めようとする娘を見て、母は思わぬ行動に出る・・・！芹沢ひとみ・・・香里奈  柏田可奈子・・・原田美枝子    園田悠一・・・鈴木亮平  前原翔太・・・山本裕典  広瀬真菜・・・真野恵里菜    芹沢早紀・・・美保純  寺本真理子・・・戸田菜穂    園"&amp;"田響子・・・江波杏子  芹沢健介・・・遠藤憲一安田レイ  「あしたいろ」  (SME　Records)  脚本：山室有紀子  音楽：横山克  プロデューサー：新井順子、橘康仁  演出：塚原あゆ子■番組HP  http://www.tbs.co.jp/kekkonshiki2015/    ■番組ツイッター  https://twitter.com/kekkonshiki_tbs  ■番組フェイスブック  https://www.facebook.com/kekkonshiki.tbs  番組の内容と放送時"&amp;"間は変更になる場合があります。")</f>
        <v>結婚式を100日後に控え、仕事もプライベートも順風満帆だった主人公・芹沢ひとみはある日突然、自分が“脳腫瘍”であることを告げられる。絶望の淵に立たされたひとみのもとに、死んだと思っていた母親・柏田可奈子が28年ぶりに現れる。母の目的は一体何なのか！？結婚を諦めようとする娘を見て、母は思わぬ行動に出る・・・！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脚本：山室有紀子  音楽：横山克  プロデューサー：新井順子、橘康仁  演出：塚原あゆ子■番組HP  http://www.tbs.co.jp/kekkonshiki2015/    ■番組ツイッター  https://twitter.com/kekkonshiki_tbs  ■番組フェイスブック  https://www.facebook.com/kekkonshiki.tbs  番組の内容と放送時間は変更になる場合があります。</v>
      </c>
      <c r="N5083" s="2"/>
      <c r="O5083" s="2"/>
      <c r="P5083" s="1"/>
      <c r="Q5083" s="1"/>
      <c r="R5083" s="1"/>
      <c r="S5083" s="1"/>
      <c r="T5083" s="1"/>
      <c r="U5083" s="1"/>
      <c r="V5083" s="1"/>
      <c r="W5083" s="1"/>
      <c r="X5083" s="1"/>
      <c r="Y5083" s="1"/>
      <c r="Z5083" s="1"/>
      <c r="AA5083" s="1"/>
      <c r="AB5083" s="1"/>
      <c r="AC5083" s="1"/>
      <c r="AD5083" s="1"/>
      <c r="AE5083" s="1"/>
      <c r="AF5083" s="1"/>
      <c r="AG5083" s="1"/>
      <c r="AH5083" s="1"/>
      <c r="AI5083" s="1"/>
      <c r="AJ5083" s="1"/>
      <c r="AK5083" s="1"/>
      <c r="AL5083" s="1"/>
      <c r="AM5083" s="1"/>
      <c r="AN5083" s="1"/>
      <c r="AO5083" s="1"/>
      <c r="AP5083" s="1"/>
      <c r="AQ5083" s="1"/>
      <c r="AR5083" s="1"/>
      <c r="AS5083" s="1"/>
      <c r="AT5083" s="1"/>
      <c r="AU5083" s="1"/>
      <c r="AV5083" s="1"/>
      <c r="AW5083" s="1"/>
      <c r="AX5083" s="1"/>
      <c r="AY5083" s="1"/>
      <c r="AZ5083" s="1"/>
      <c r="BA5083" s="1"/>
      <c r="BB5083" s="1"/>
    </row>
    <row r="5084" ht="204.75" customHeight="1">
      <c r="A5084" s="1">
        <v>1891.0</v>
      </c>
      <c r="B5084" s="2" t="s">
        <v>14209</v>
      </c>
      <c r="C5084" s="2">
        <f>IFERROR(__xludf.DUMMYFUNCTION("split(B5084,""_"")"),1510.0)</f>
        <v>1510</v>
      </c>
      <c r="D5084" s="2" t="str">
        <f>IFERROR(__xludf.DUMMYFUNCTION("""COMPUTED_VALUE"""),"TBS")</f>
        <v>TBS</v>
      </c>
      <c r="E5084" s="2" t="str">
        <f>IFERROR(__xludf.DUMMYFUNCTION("""COMPUTED_VALUE"""),"火22")</f>
        <v>火22</v>
      </c>
      <c r="F5084" s="2" t="s">
        <v>14210</v>
      </c>
      <c r="G5084" s="2" t="s">
        <v>14213</v>
      </c>
      <c r="H5084" s="1">
        <v>2.0</v>
      </c>
      <c r="J5084" s="1" t="s">
        <v>86</v>
      </c>
      <c r="K5084" s="2" t="s">
        <v>14214</v>
      </c>
      <c r="L5084" s="2"/>
      <c r="M5084" s="2" t="str">
        <f>IFERROR(__xludf.DUMMYFUNCTION("split(split(K5084,""【"",false),""公式LINE"",false)"),"死んだと聞かされていた母・可奈子（原田美枝子）が突然現れ、動揺する芹沢ひとみ（香里奈）。婚約者の園田悠一（鈴木亮平）の薦めでセカンドオピニオンをうけるが、やはり悪性の脳腫瘍という診断に変わりはない。落ち込むひとみは、悠一との結婚を諦めようとするが、そこに可奈子が現れ、思いもよらぬところへ連れて行く・・・芹沢ひとみ・・・香里奈  柏田可奈子・・・原田美枝子    園田悠一・・・鈴木亮平  前原翔太・・・山本裕典  広瀬真菜・・・真野恵里菜    芹沢早紀・・・美保純  寺本真理子・・・戸田菜穂    園田響"&amp;"子・・・江波杏子  芹沢健介・・・遠藤憲一安田レイ  「あしたいろ」  (SME　Records)  脚本：高橋麻紀  音楽：横山克  プロデューサー：新井順子、橘康仁  演出：塚原あゆ子■番組HP  http://www.tbs.co.jp/kekkonshiki2015/    ■番組ツイッター  https://twitter.com/kekkonshiki_tbs  ■番組フェイスブック  https://www.facebook.com/kekkonshiki.tbs  ◇TBS公式 YouTu"&amp;"boo  https://www.youtube.com/playlist?list=PLCUNF--_h4OydnKTPNBO8EX_6iaBwk-LY  番組の内容と放送時間は変更になる場合があります。")</f>
        <v>死んだと聞かされていた母・可奈子（原田美枝子）が突然現れ、動揺する芹沢ひとみ（香里奈）。婚約者の園田悠一（鈴木亮平）の薦めでセカンドオピニオンをうけるが、やはり悪性の脳腫瘍という診断に変わりはない。落ち込むひとみは、悠一との結婚を諦めようとするが、そこに可奈子が現れ、思いもよらぬところへ連れて行く・・・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脚本：高橋麻紀  音楽：横山克  プロデューサー：新井順子、橘康仁  演出：塚原あゆ子■番組HP  http://www.tbs.co.jp/kekkonshiki2015/    ■番組ツイッター  https://twitter.com/kekkonshiki_tbs  ■番組フェイスブック  https://www.facebook.com/kekkonshiki.tbs  ◇TBS公式 YouTuboo  https://www.youtube.com/playlist?list=PLCUNF--_h4OydnKTPNBO8EX_6iaBwk-LY  番組の内容と放送時間は変更になる場合があります。</v>
      </c>
      <c r="N5084" s="2"/>
      <c r="O5084" s="2"/>
      <c r="P5084" s="1"/>
      <c r="Q5084" s="1"/>
      <c r="R5084" s="1"/>
      <c r="S5084" s="1"/>
      <c r="T5084" s="1"/>
      <c r="U5084" s="1"/>
      <c r="V5084" s="1"/>
      <c r="W5084" s="1"/>
      <c r="X5084" s="1"/>
      <c r="Y5084" s="1"/>
      <c r="Z5084" s="1"/>
      <c r="AA5084" s="1"/>
      <c r="AB5084" s="1"/>
      <c r="AC5084" s="1"/>
      <c r="AD5084" s="1"/>
      <c r="AE5084" s="1"/>
      <c r="AF5084" s="1"/>
      <c r="AG5084" s="1"/>
      <c r="AH5084" s="1"/>
      <c r="AI5084" s="1"/>
      <c r="AJ5084" s="1"/>
      <c r="AK5084" s="1"/>
      <c r="AL5084" s="1"/>
      <c r="AM5084" s="1"/>
      <c r="AN5084" s="1"/>
      <c r="AO5084" s="1"/>
      <c r="AP5084" s="1"/>
      <c r="AQ5084" s="1"/>
      <c r="AR5084" s="1"/>
      <c r="AS5084" s="1"/>
      <c r="AT5084" s="1"/>
      <c r="AU5084" s="1"/>
      <c r="AV5084" s="1"/>
      <c r="AW5084" s="1"/>
      <c r="AX5084" s="1"/>
      <c r="AY5084" s="1"/>
      <c r="AZ5084" s="1"/>
      <c r="BA5084" s="1"/>
      <c r="BB5084" s="1"/>
    </row>
    <row r="5085" ht="204.75" customHeight="1">
      <c r="A5085" s="1">
        <v>1892.0</v>
      </c>
      <c r="B5085" s="2" t="s">
        <v>14209</v>
      </c>
      <c r="C5085" s="2">
        <f>IFERROR(__xludf.DUMMYFUNCTION("split(B5085,""_"")"),1510.0)</f>
        <v>1510</v>
      </c>
      <c r="D5085" s="2" t="str">
        <f>IFERROR(__xludf.DUMMYFUNCTION("""COMPUTED_VALUE"""),"TBS")</f>
        <v>TBS</v>
      </c>
      <c r="E5085" s="2" t="str">
        <f>IFERROR(__xludf.DUMMYFUNCTION("""COMPUTED_VALUE"""),"火22")</f>
        <v>火22</v>
      </c>
      <c r="F5085" s="2" t="s">
        <v>14210</v>
      </c>
      <c r="G5085" s="2" t="s">
        <v>14215</v>
      </c>
      <c r="H5085" s="1">
        <v>3.0</v>
      </c>
      <c r="J5085" s="1" t="s">
        <v>86</v>
      </c>
      <c r="K5085" s="2" t="s">
        <v>14216</v>
      </c>
      <c r="L5085" s="2"/>
      <c r="M5085" s="2" t="str">
        <f>IFERROR(__xludf.DUMMYFUNCTION("split(split(K5085,""【"",false),""公式LINE"",false)"),"芹沢ひとみ（香里奈）は、28年ぶりに現れた母・可奈子(原田美枝子)に振り回されながらも、婚約者の園田悠一（鈴木亮平）と一緒に病気と向き合う決意をしたが、父・健介(遠藤憲一)にだけは病気のことを話せないでいた・・・。ところが悠一の母・響子(江波杏子)が突然祝鮨にやってきて、ひとみの病気のことを話してしまう。娘が脳腫瘍だと知った健介は店を売ると言いだして・・・！？芹沢ひとみ・・・香里奈  柏田可奈子・・・原田美枝子    園田悠一・・・鈴木亮平  前原翔太・・・山本裕典  広瀬真菜・・・真野恵里菜    芹沢"&amp;"早紀・・・美保純  寺本真理子・・・戸田菜穂    園田響子・・・江波杏子  芹沢健介・・・遠藤憲一安田レイ  「あしたいろ」  (SME　Records)脚本：嶋田うれ葉  音楽：横山克  プロデューサー：新井順子、橘康仁  演出：竹村謙太郎■番組HP  http://www.tbs.co.jp/kekkonshiki2015/    ■番組ツイッター  https://twitter.com/kekkonshiki_tbs  ■番組フェイスブック  https://www.facebook.com/k"&amp;"ekkonshiki.tbs  番組の内容と放送時間は変更になる場合があります。")</f>
        <v>芹沢ひとみ（香里奈）は、28年ぶりに現れた母・可奈子(原田美枝子)に振り回されながらも、婚約者の園田悠一（鈴木亮平）と一緒に病気と向き合う決意をしたが、父・健介(遠藤憲一)にだけは病気のことを話せないでいた・・・。ところが悠一の母・響子(江波杏子)が突然祝鮨にやってきて、ひとみの病気のことを話してしまう。娘が脳腫瘍だと知った健介は店を売ると言いだして・・・！？芹沢ひとみ・・・香里奈  柏田可奈子・・・原田美枝子    園田悠一・・・鈴木亮平  前原翔太・・・山本裕典  広瀬真菜・・・真野恵里菜    芹沢早紀・・・美保純  寺本真理子・・・戸田菜穂    園田響子・・・江波杏子  芹沢健介・・・遠藤憲一安田レイ  「あしたいろ」  (SME　Records)脚本：嶋田うれ葉  音楽：横山克  プロデューサー：新井順子、橘康仁  演出：竹村謙太郎■番組HP  http://www.tbs.co.jp/kekkonshiki2015/    ■番組ツイッター  https://twitter.com/kekkonshiki_tbs  ■番組フェイスブック  https://www.facebook.com/kekkonshiki.tbs  番組の内容と放送時間は変更になる場合があります。</v>
      </c>
      <c r="N5085" s="2"/>
      <c r="O5085" s="2"/>
      <c r="P5085" s="1"/>
      <c r="Q5085" s="1"/>
      <c r="R5085" s="1"/>
      <c r="S5085" s="1"/>
      <c r="T5085" s="1"/>
      <c r="U5085" s="1"/>
      <c r="V5085" s="1"/>
      <c r="W5085" s="1"/>
      <c r="X5085" s="1"/>
      <c r="Y5085" s="1"/>
      <c r="Z5085" s="1"/>
      <c r="AA5085" s="1"/>
      <c r="AB5085" s="1"/>
      <c r="AC5085" s="1"/>
      <c r="AD5085" s="1"/>
      <c r="AE5085" s="1"/>
      <c r="AF5085" s="1"/>
      <c r="AG5085" s="1"/>
      <c r="AH5085" s="1"/>
      <c r="AI5085" s="1"/>
      <c r="AJ5085" s="1"/>
      <c r="AK5085" s="1"/>
      <c r="AL5085" s="1"/>
      <c r="AM5085" s="1"/>
      <c r="AN5085" s="1"/>
      <c r="AO5085" s="1"/>
      <c r="AP5085" s="1"/>
      <c r="AQ5085" s="1"/>
      <c r="AR5085" s="1"/>
      <c r="AS5085" s="1"/>
      <c r="AT5085" s="1"/>
      <c r="AU5085" s="1"/>
      <c r="AV5085" s="1"/>
      <c r="AW5085" s="1"/>
      <c r="AX5085" s="1"/>
      <c r="AY5085" s="1"/>
      <c r="AZ5085" s="1"/>
      <c r="BA5085" s="1"/>
      <c r="BB5085" s="1"/>
    </row>
    <row r="5086" ht="204.75" customHeight="1">
      <c r="A5086" s="1">
        <v>1893.0</v>
      </c>
      <c r="B5086" s="2" t="s">
        <v>14209</v>
      </c>
      <c r="C5086" s="2">
        <f>IFERROR(__xludf.DUMMYFUNCTION("split(B5086,""_"")"),1510.0)</f>
        <v>1510</v>
      </c>
      <c r="D5086" s="2" t="str">
        <f>IFERROR(__xludf.DUMMYFUNCTION("""COMPUTED_VALUE"""),"TBS")</f>
        <v>TBS</v>
      </c>
      <c r="E5086" s="2" t="str">
        <f>IFERROR(__xludf.DUMMYFUNCTION("""COMPUTED_VALUE"""),"火22")</f>
        <v>火22</v>
      </c>
      <c r="F5086" s="2" t="s">
        <v>14210</v>
      </c>
      <c r="G5086" s="2" t="s">
        <v>14217</v>
      </c>
      <c r="H5086" s="1">
        <v>4.0</v>
      </c>
      <c r="I5086" s="1" t="s">
        <v>14218</v>
      </c>
      <c r="J5086" s="1" t="s">
        <v>86</v>
      </c>
      <c r="K5086" s="2" t="s">
        <v>14219</v>
      </c>
      <c r="L5086" s="2"/>
      <c r="M5086" s="2" t="str">
        <f>IFERROR(__xludf.DUMMYFUNCTION("split(split(K5086,""【"",false),""公式LINE"",false)"),"2週間後に入院をひかえた芹沢ひとみ（香里奈）は園田悠一（鈴木亮平）との結婚を認めてもらうため、悠一の母・響子(江波杏子)の元を訪ねるが、全く取り合ってもらえない。そんなひとみを見かねた母・可奈子(原田美枝子)は響子を説得するため、園田家で開かれるガーデンパーティーへ乗り込んでいく。一方、ひとみは夢だったマンション建設の着工式に出席するが思わぬハプニングが起こり・・・!?芹沢ひとみ・・・香里奈  柏田可奈子・・・原田美枝子    園田悠一・・・鈴木亮平  前原翔太・・・山本裕典  広瀬真菜・・・真野恵里菜 "&amp;"   芹沢早紀・・・美保純  寺本真理子・・・戸田菜穂    園田響子・・・江波杏子  芹沢健介・・・遠藤憲一安田レイ  「あしたいろ」  (SME　Records)  脚本：山室有紀子  音楽：横山克  プロデューサー：新井順子、橘康仁  演出：堀英樹■番組HP  http://www.tbs.co.jp/kekkonshiki2015/    ■番組ツイッター  https://twitter.com/kekkonshiki_tbs■番組フェイスブック  https://www.facebook.co"&amp;"m/kekkonshiki.tbs  娘の想い、父の願い…『結婚式の前日に』 #3ダイジェスト＆#4予告 動画公開しました！  https://youtu.be/7DeAFPL7VO4  番組の内容と放送時間は変更になる場合があります。")</f>
        <v>2週間後に入院をひかえた芹沢ひとみ（香里奈）は園田悠一（鈴木亮平）との結婚を認めてもらうため、悠一の母・響子(江波杏子)の元を訪ねるが、全く取り合ってもらえない。そんなひとみを見かねた母・可奈子(原田美枝子)は響子を説得するため、園田家で開かれるガーデンパーティーへ乗り込んでいく。一方、ひとみは夢だったマンション建設の着工式に出席するが思わぬハプニングが起こり・・・!?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脚本：山室有紀子  音楽：横山克  プロデューサー：新井順子、橘康仁  演出：堀英樹■番組HP  http://www.tbs.co.jp/kekkonshiki2015/    ■番組ツイッター  https://twitter.com/kekkonshiki_tbs■番組フェイスブック  https://www.facebook.com/kekkonshiki.tbs  娘の想い、父の願い…『結婚式の前日に』 #3ダイジェスト＆#4予告 動画公開しました！  https://youtu.be/7DeAFPL7VO4  番組の内容と放送時間は変更になる場合があります。</v>
      </c>
      <c r="N5086" s="2"/>
      <c r="O5086" s="2"/>
      <c r="P5086" s="1"/>
      <c r="Q5086" s="1"/>
      <c r="R5086" s="1"/>
      <c r="S5086" s="1"/>
      <c r="T5086" s="1"/>
      <c r="U5086" s="1"/>
      <c r="V5086" s="1"/>
      <c r="W5086" s="1"/>
      <c r="X5086" s="1"/>
      <c r="Y5086" s="1"/>
      <c r="Z5086" s="1"/>
      <c r="AA5086" s="1"/>
      <c r="AB5086" s="1"/>
      <c r="AC5086" s="1"/>
      <c r="AD5086" s="1"/>
      <c r="AE5086" s="1"/>
      <c r="AF5086" s="1"/>
      <c r="AG5086" s="1"/>
      <c r="AH5086" s="1"/>
      <c r="AI5086" s="1"/>
      <c r="AJ5086" s="1"/>
      <c r="AK5086" s="1"/>
      <c r="AL5086" s="1"/>
      <c r="AM5086" s="1"/>
      <c r="AN5086" s="1"/>
      <c r="AO5086" s="1"/>
      <c r="AP5086" s="1"/>
      <c r="AQ5086" s="1"/>
      <c r="AR5086" s="1"/>
      <c r="AS5086" s="1"/>
      <c r="AT5086" s="1"/>
      <c r="AU5086" s="1"/>
      <c r="AV5086" s="1"/>
      <c r="AW5086" s="1"/>
      <c r="AX5086" s="1"/>
      <c r="AY5086" s="1"/>
      <c r="AZ5086" s="1"/>
      <c r="BA5086" s="1"/>
      <c r="BB5086" s="1"/>
    </row>
    <row r="5087" ht="204.75" customHeight="1">
      <c r="A5087" s="1">
        <v>1894.0</v>
      </c>
      <c r="B5087" s="2" t="s">
        <v>14209</v>
      </c>
      <c r="C5087" s="2">
        <f>IFERROR(__xludf.DUMMYFUNCTION("split(B5087,""_"")"),1510.0)</f>
        <v>1510</v>
      </c>
      <c r="D5087" s="2" t="str">
        <f>IFERROR(__xludf.DUMMYFUNCTION("""COMPUTED_VALUE"""),"TBS")</f>
        <v>TBS</v>
      </c>
      <c r="E5087" s="2" t="str">
        <f>IFERROR(__xludf.DUMMYFUNCTION("""COMPUTED_VALUE"""),"火22")</f>
        <v>火22</v>
      </c>
      <c r="F5087" s="2" t="s">
        <v>14210</v>
      </c>
      <c r="G5087" s="2" t="s">
        <v>14220</v>
      </c>
      <c r="H5087" s="1">
        <v>5.0</v>
      </c>
      <c r="J5087" s="1" t="s">
        <v>86</v>
      </c>
      <c r="K5087" s="2" t="s">
        <v>14221</v>
      </c>
      <c r="L5087" s="2"/>
      <c r="M5087" s="2" t="str">
        <f>IFERROR(__xludf.DUMMYFUNCTION("split(split(K5087,""【"",false),""公式LINE"",false)"),"芹沢ひとみ(香里奈)は婚約者の園田悠一(鈴木亮平)がボストン留学の夢を隠していたことにショックを受ける。モデルルームのオープンを2週間後に控えたひとみの病状も少しずつ悪化し、焦りから仕事でミスをしてしまう。仕事をやめようとするひとみに母・可奈子(原田美枝子)はひだまり園に呼び出して…。一方、悠一の母、響子(江波杏子)が突然倒れてしまう。芹沢ひとみ・・・香里奈  柏田可奈子・・・原田美枝子    園田悠一・・・鈴木亮平  前原翔太・・・山本裕典  広瀬真菜・・・真野恵里菜    芹沢早紀・・・美保純  寺本"&amp;"真理子・・・戸田菜穂    園田響子・・・江波杏子  芹沢健介・・・遠藤憲一安田レイ  「あしたいろ」  (SME　Records)  脚本：高橋麻紀  音楽：横山克  プロデューサー：新井順子、橘康仁  演出：竹村謙太郎■番組HP  http://www.tbs.co.jp/kekkonshiki2015/    ■番組ツイッター  https://twitter.com/kekkonshiki_tbs■番組フェイスブック  https://www.facebook.com/kekkonshiki.tb"&amp;"s  ◇TBS公式 YouTuboo  https://www.youtube.com/playlist?list=PLCUNF--_h4OydnKTPNBO8EX_6iaBwk-LY  番組の内容と放送時間は変更になる場合があります。")</f>
        <v>芹沢ひとみ(香里奈)は婚約者の園田悠一(鈴木亮平)がボストン留学の夢を隠していたことにショックを受ける。モデルルームのオープンを2週間後に控えたひとみの病状も少しずつ悪化し、焦りから仕事でミスをしてしまう。仕事をやめようとするひとみに母・可奈子(原田美枝子)はひだまり園に呼び出して…。一方、悠一の母、響子(江波杏子)が突然倒れてしまう。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脚本：高橋麻紀  音楽：横山克  プロデューサー：新井順子、橘康仁  演出：竹村謙太郎■番組HP  http://www.tbs.co.jp/kekkonshiki2015/    ■番組ツイッター  https://twitter.com/kekkonshiki_tbs■番組フェイスブック  https://www.facebook.com/kekkonshiki.tbs  ◇TBS公式 YouTuboo  https://www.youtube.com/playlist?list=PLCUNF--_h4OydnKTPNBO8EX_6iaBwk-LY  番組の内容と放送時間は変更になる場合があります。</v>
      </c>
      <c r="N5087" s="2"/>
      <c r="O5087" s="2"/>
      <c r="P5087" s="1"/>
      <c r="Q5087" s="1"/>
      <c r="R5087" s="1"/>
      <c r="S5087" s="1"/>
      <c r="T5087" s="1"/>
      <c r="U5087" s="1"/>
      <c r="V5087" s="1"/>
      <c r="W5087" s="1"/>
      <c r="X5087" s="1"/>
      <c r="Y5087" s="1"/>
      <c r="Z5087" s="1"/>
      <c r="AA5087" s="1"/>
      <c r="AB5087" s="1"/>
      <c r="AC5087" s="1"/>
      <c r="AD5087" s="1"/>
      <c r="AE5087" s="1"/>
      <c r="AF5087" s="1"/>
      <c r="AG5087" s="1"/>
      <c r="AH5087" s="1"/>
      <c r="AI5087" s="1"/>
      <c r="AJ5087" s="1"/>
      <c r="AK5087" s="1"/>
      <c r="AL5087" s="1"/>
      <c r="AM5087" s="1"/>
      <c r="AN5087" s="1"/>
      <c r="AO5087" s="1"/>
      <c r="AP5087" s="1"/>
      <c r="AQ5087" s="1"/>
      <c r="AR5087" s="1"/>
      <c r="AS5087" s="1"/>
      <c r="AT5087" s="1"/>
      <c r="AU5087" s="1"/>
      <c r="AV5087" s="1"/>
      <c r="AW5087" s="1"/>
      <c r="AX5087" s="1"/>
      <c r="AY5087" s="1"/>
      <c r="AZ5087" s="1"/>
      <c r="BA5087" s="1"/>
      <c r="BB5087" s="1"/>
    </row>
    <row r="5088" ht="204.75" customHeight="1">
      <c r="A5088" s="1">
        <v>1895.0</v>
      </c>
      <c r="B5088" s="2" t="s">
        <v>14209</v>
      </c>
      <c r="C5088" s="2">
        <f>IFERROR(__xludf.DUMMYFUNCTION("split(B5088,""_"")"),1510.0)</f>
        <v>1510</v>
      </c>
      <c r="D5088" s="2" t="str">
        <f>IFERROR(__xludf.DUMMYFUNCTION("""COMPUTED_VALUE"""),"TBS")</f>
        <v>TBS</v>
      </c>
      <c r="E5088" s="2" t="str">
        <f>IFERROR(__xludf.DUMMYFUNCTION("""COMPUTED_VALUE"""),"火22")</f>
        <v>火22</v>
      </c>
      <c r="F5088" s="2" t="s">
        <v>14210</v>
      </c>
      <c r="G5088" s="2" t="s">
        <v>14222</v>
      </c>
      <c r="H5088" s="1">
        <v>6.0</v>
      </c>
      <c r="J5088" s="1" t="s">
        <v>86</v>
      </c>
      <c r="K5088" s="2" t="s">
        <v>14223</v>
      </c>
      <c r="L5088" s="2"/>
      <c r="M5088" s="2" t="str">
        <f>IFERROR(__xludf.DUMMYFUNCTION("split(split(K5088,""【"",false),""公式LINE"",false)"),"夢だったモデルルームのオープンに向けて頑張っていた芹沢ひとみ(香里奈)は、激しい眩暈に襲われ病院に運ばれる。一方、福岡の学会に向かった悠一(鈴木亮平)は、突然現れた真菜(真野恵里菜)に思いがけず告白され動揺する。意識を取り戻したひとみは、病室で言い合う父・健介(遠藤憲一)と母・可奈子(原田美枝子)の話を聞いてしまい、自分に隠された秘密を知ってしまう・・・。果たして、ひとみに隠された秘密とは…！？芹沢ひとみ・・・香里奈  柏田可奈子・・・原田美枝子    園田悠一・・・鈴木亮平  前原翔太・・・山本裕典  "&amp;"広瀬真菜・・・真野恵里菜    芹沢早紀・・・美保純  寺本真理子・・・戸田菜穂    園田響子・・・江波杏子  芹沢健介・・・遠藤憲一安田レイ  「あしたいろ」  (SME　Records)  脚本：嶋田うれ葉  音楽：横山克  プロデューサー：新井順子、橘康仁  演出：竹村謙太郎■番組HP  http://www.tbs.co.jp/kekkonshiki2015/    ■番組ツイッター  https://twitter.com/kekkonshiki_tbs  ■番組フェイスブック  https:"&amp;"//www.facebook.com/kekkonshiki.tbs  ◇TBS公式 YouTuboo  https://www.youtube.com/playlist?list=PLCUNF--_h4OydnKTPNBO8EX_6iaBwk-LY  番組の内容と放送時間は変更になる場合があります。")</f>
        <v>夢だったモデルルームのオープンに向けて頑張っていた芹沢ひとみ(香里奈)は、激しい眩暈に襲われ病院に運ばれる。一方、福岡の学会に向かった悠一(鈴木亮平)は、突然現れた真菜(真野恵里菜)に思いがけず告白され動揺する。意識を取り戻したひとみは、病室で言い合う父・健介(遠藤憲一)と母・可奈子(原田美枝子)の話を聞いてしまい、自分に隠された秘密を知ってしまう・・・。果たして、ひとみに隠された秘密とは…！？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脚本：嶋田うれ葉  音楽：横山克  プロデューサー：新井順子、橘康仁  演出：竹村謙太郎■番組HP  http://www.tbs.co.jp/kekkonshiki2015/    ■番組ツイッター  https://twitter.com/kekkonshiki_tbs  ■番組フェイスブック  https://www.facebook.com/kekkonshiki.tbs  ◇TBS公式 YouTuboo  https://www.youtube.com/playlist?list=PLCUNF--_h4OydnKTPNBO8EX_6iaBwk-LY  番組の内容と放送時間は変更になる場合があります。</v>
      </c>
      <c r="N5088" s="2"/>
      <c r="O5088" s="2"/>
      <c r="P5088" s="1"/>
      <c r="Q5088" s="1"/>
      <c r="R5088" s="1"/>
      <c r="S5088" s="1"/>
      <c r="T5088" s="1"/>
      <c r="U5088" s="1"/>
      <c r="V5088" s="1"/>
      <c r="W5088" s="1"/>
      <c r="X5088" s="1"/>
      <c r="Y5088" s="1"/>
      <c r="Z5088" s="1"/>
      <c r="AA5088" s="1"/>
      <c r="AB5088" s="1"/>
      <c r="AC5088" s="1"/>
      <c r="AD5088" s="1"/>
      <c r="AE5088" s="1"/>
      <c r="AF5088" s="1"/>
      <c r="AG5088" s="1"/>
      <c r="AH5088" s="1"/>
      <c r="AI5088" s="1"/>
      <c r="AJ5088" s="1"/>
      <c r="AK5088" s="1"/>
      <c r="AL5088" s="1"/>
      <c r="AM5088" s="1"/>
      <c r="AN5088" s="1"/>
      <c r="AO5088" s="1"/>
      <c r="AP5088" s="1"/>
      <c r="AQ5088" s="1"/>
      <c r="AR5088" s="1"/>
      <c r="AS5088" s="1"/>
      <c r="AT5088" s="1"/>
      <c r="AU5088" s="1"/>
      <c r="AV5088" s="1"/>
      <c r="AW5088" s="1"/>
      <c r="AX5088" s="1"/>
      <c r="AY5088" s="1"/>
      <c r="AZ5088" s="1"/>
      <c r="BA5088" s="1"/>
      <c r="BB5088" s="1"/>
    </row>
    <row r="5089" ht="204.75" customHeight="1">
      <c r="A5089" s="1">
        <v>1896.0</v>
      </c>
      <c r="B5089" s="2" t="s">
        <v>14209</v>
      </c>
      <c r="C5089" s="2">
        <f>IFERROR(__xludf.DUMMYFUNCTION("split(B5089,""_"")"),1510.0)</f>
        <v>1510</v>
      </c>
      <c r="D5089" s="2" t="str">
        <f>IFERROR(__xludf.DUMMYFUNCTION("""COMPUTED_VALUE"""),"TBS")</f>
        <v>TBS</v>
      </c>
      <c r="E5089" s="2" t="str">
        <f>IFERROR(__xludf.DUMMYFUNCTION("""COMPUTED_VALUE"""),"火22")</f>
        <v>火22</v>
      </c>
      <c r="F5089" s="2" t="s">
        <v>14210</v>
      </c>
      <c r="G5089" s="2" t="s">
        <v>14224</v>
      </c>
      <c r="H5089" s="1">
        <v>7.0</v>
      </c>
      <c r="J5089" s="1" t="s">
        <v>86</v>
      </c>
      <c r="K5089" s="2" t="s">
        <v>14225</v>
      </c>
      <c r="L5089" s="2"/>
      <c r="M5089" s="2" t="str">
        <f>IFERROR(__xludf.DUMMYFUNCTION("split(split(K5089,""【"",false),""公式LINE"",false)"),"緊急入院していた芹沢ひとみ(香里奈)は無事退院し、寺本先生(戸田菜穂)の薦めで院内学級のボランティアを始める。そこで同じ脳腫瘍の患者・徹(柳下大)に出会い、良き相談相手となる。一方、悠一(鈴木亮平)を無理やり留学させようとしていた悠一の母・響子(江波杏子)は、ひとみを呼び出し結婚を辞めるよう迫るのだが、それを目撃してしまった悠一は・・・！？芹沢ひとみ・・・香里奈  柏田可奈子・・・原田美枝子    園田悠一・・・鈴木亮平  前原翔太・・・山本裕典  広瀬真菜・・・真野恵里菜    芹沢早紀・・・美保純  "&amp;"寺本真理子・・・戸田菜穂    園田響子・・・江波杏子  芹沢健介・・・遠藤憲一安田レイ  「あしたいろ」  (SME　Records)  脚本：高橋麻紀  音楽：横山克  プロデューサー：新井順子、橘康仁  演出：堀英樹■番組HP  http://www.tbs.co.jp/kekkonshiki2015/    ■番組ツイッター  https://twitter.com/kekkonshiki_tbs■番組フェイスブック  https://www.facebook.com/kekkonshiki.tb"&amp;"s◇TBS公式 YouTuboo  https://www.youtube.com/playlist?list=PLCUNF--_h4OydnKTPNBO8EX_6iaBwk-LY  番組の内容と放送時間は変更になる場合があります。")</f>
        <v>緊急入院していた芹沢ひとみ(香里奈)は無事退院し、寺本先生(戸田菜穂)の薦めで院内学級のボランティアを始める。そこで同じ脳腫瘍の患者・徹(柳下大)に出会い、良き相談相手となる。一方、悠一(鈴木亮平)を無理やり留学させようとしていた悠一の母・響子(江波杏子)は、ひとみを呼び出し結婚を辞めるよう迫るのだが、それを目撃してしまった悠一は・・・！？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脚本：高橋麻紀  音楽：横山克  プロデューサー：新井順子、橘康仁  演出：堀英樹■番組HP  http://www.tbs.co.jp/kekkonshiki2015/    ■番組ツイッター  https://twitter.com/kekkonshiki_tbs■番組フェイスブック  https://www.facebook.com/kekkonshiki.tbs◇TBS公式 YouTuboo  https://www.youtube.com/playlist?list=PLCUNF--_h4OydnKTPNBO8EX_6iaBwk-LY  番組の内容と放送時間は変更になる場合があります。</v>
      </c>
      <c r="N5089" s="2"/>
      <c r="O5089" s="2"/>
      <c r="P5089" s="1"/>
      <c r="Q5089" s="1"/>
      <c r="R5089" s="1"/>
      <c r="S5089" s="1"/>
      <c r="T5089" s="1"/>
      <c r="U5089" s="1"/>
      <c r="V5089" s="1"/>
      <c r="W5089" s="1"/>
      <c r="X5089" s="1"/>
      <c r="Y5089" s="1"/>
      <c r="Z5089" s="1"/>
      <c r="AA5089" s="1"/>
      <c r="AB5089" s="1"/>
      <c r="AC5089" s="1"/>
      <c r="AD5089" s="1"/>
      <c r="AE5089" s="1"/>
      <c r="AF5089" s="1"/>
      <c r="AG5089" s="1"/>
      <c r="AH5089" s="1"/>
      <c r="AI5089" s="1"/>
      <c r="AJ5089" s="1"/>
      <c r="AK5089" s="1"/>
      <c r="AL5089" s="1"/>
      <c r="AM5089" s="1"/>
      <c r="AN5089" s="1"/>
      <c r="AO5089" s="1"/>
      <c r="AP5089" s="1"/>
      <c r="AQ5089" s="1"/>
      <c r="AR5089" s="1"/>
      <c r="AS5089" s="1"/>
      <c r="AT5089" s="1"/>
      <c r="AU5089" s="1"/>
      <c r="AV5089" s="1"/>
      <c r="AW5089" s="1"/>
      <c r="AX5089" s="1"/>
      <c r="AY5089" s="1"/>
      <c r="AZ5089" s="1"/>
      <c r="BA5089" s="1"/>
      <c r="BB5089" s="1"/>
    </row>
    <row r="5090" ht="204.75" customHeight="1">
      <c r="A5090" s="1">
        <v>1897.0</v>
      </c>
      <c r="B5090" s="2" t="s">
        <v>14209</v>
      </c>
      <c r="C5090" s="2">
        <f>IFERROR(__xludf.DUMMYFUNCTION("split(B5090,""_"")"),1510.0)</f>
        <v>1510</v>
      </c>
      <c r="D5090" s="2" t="str">
        <f>IFERROR(__xludf.DUMMYFUNCTION("""COMPUTED_VALUE"""),"TBS")</f>
        <v>TBS</v>
      </c>
      <c r="E5090" s="2" t="str">
        <f>IFERROR(__xludf.DUMMYFUNCTION("""COMPUTED_VALUE"""),"火22")</f>
        <v>火22</v>
      </c>
      <c r="F5090" s="2" t="s">
        <v>14210</v>
      </c>
      <c r="G5090" s="2" t="s">
        <v>14226</v>
      </c>
      <c r="H5090" s="1">
        <v>8.0</v>
      </c>
      <c r="J5090" s="1" t="s">
        <v>86</v>
      </c>
      <c r="K5090" s="2" t="s">
        <v>14227</v>
      </c>
      <c r="L5090" s="2"/>
      <c r="M5090" s="2" t="str">
        <f>IFERROR(__xludf.DUMMYFUNCTION("split(split(K5090,""【"",false),""公式LINE"",false)"),"ひとみ（香里奈）は悠一（鈴木亮平）と新生活を始めるが、健介（遠藤憲一）から病気を根治する治療法がないと聞かされ、ショックを受ける。気持ちの整理をつけられないひとみに、可奈子（原田美枝子）は本当の父親の最期を聞かせ、明日を信じて生きてほしいと伝える。一方、悠一に片想いする真菜（真野恵里菜）は、ひとみと悠一を別れさせようと画策するが・・・。芹沢ひとみ・・・香里奈  柏田可奈子・・・原田美枝子    園田悠一・・・鈴木亮平  前原翔太・・・山本裕典  広瀬真菜・・・真野恵里菜    芹沢早紀・・・美保純  寺本"&amp;"真理子・・・戸田菜穂    園田響子・・・江波杏子  芹沢健介・・・遠藤憲一安田レイ  「あしたいろ」  (SME　Records)  脚本：嶋田うれ葉  音楽：横山克  プロデューサー：新井順子、橘康仁  演出：村尾嘉昭■番組HP  http://www.tbs.co.jp/kekkonshiki2015/    ■番組ツイッター  https://twitter.com/kekkonshiki_tbs  ■番組フェイスブック  https://www.facebook.com/kekkonshiki."&amp;"tbs  ◇TBS公式 YouTuboo  https://www.youtube.com/playlist?list=PLCUNF--_h4OydnKTPNBO8EX_6iaBwk-LY  番組の内容と放送時間は変更になる場合があります。")</f>
        <v>ひとみ（香里奈）は悠一（鈴木亮平）と新生活を始めるが、健介（遠藤憲一）から病気を根治する治療法がないと聞かされ、ショックを受ける。気持ちの整理をつけられないひとみに、可奈子（原田美枝子）は本当の父親の最期を聞かせ、明日を信じて生きてほしいと伝える。一方、悠一に片想いする真菜（真野恵里菜）は、ひとみと悠一を別れさせようと画策するが・・・。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脚本：嶋田うれ葉  音楽：横山克  プロデューサー：新井順子、橘康仁  演出：村尾嘉昭■番組HP  http://www.tbs.co.jp/kekkonshiki2015/    ■番組ツイッター  https://twitter.com/kekkonshiki_tbs  ■番組フェイスブック  https://www.facebook.com/kekkonshiki.tbs  ◇TBS公式 YouTuboo  https://www.youtube.com/playlist?list=PLCUNF--_h4OydnKTPNBO8EX_6iaBwk-LY  番組の内容と放送時間は変更になる場合があります。</v>
      </c>
      <c r="N5090" s="2"/>
      <c r="O5090" s="2"/>
      <c r="P5090" s="1"/>
      <c r="Q5090" s="1"/>
      <c r="R5090" s="1"/>
      <c r="S5090" s="1"/>
      <c r="T5090" s="1"/>
      <c r="U5090" s="1"/>
      <c r="V5090" s="1"/>
      <c r="W5090" s="1"/>
      <c r="X5090" s="1"/>
      <c r="Y5090" s="1"/>
      <c r="Z5090" s="1"/>
      <c r="AA5090" s="1"/>
      <c r="AB5090" s="1"/>
      <c r="AC5090" s="1"/>
      <c r="AD5090" s="1"/>
      <c r="AE5090" s="1"/>
      <c r="AF5090" s="1"/>
      <c r="AG5090" s="1"/>
      <c r="AH5090" s="1"/>
      <c r="AI5090" s="1"/>
      <c r="AJ5090" s="1"/>
      <c r="AK5090" s="1"/>
      <c r="AL5090" s="1"/>
      <c r="AM5090" s="1"/>
      <c r="AN5090" s="1"/>
      <c r="AO5090" s="1"/>
      <c r="AP5090" s="1"/>
      <c r="AQ5090" s="1"/>
      <c r="AR5090" s="1"/>
      <c r="AS5090" s="1"/>
      <c r="AT5090" s="1"/>
      <c r="AU5090" s="1"/>
      <c r="AV5090" s="1"/>
      <c r="AW5090" s="1"/>
      <c r="AX5090" s="1"/>
      <c r="AY5090" s="1"/>
      <c r="AZ5090" s="1"/>
      <c r="BA5090" s="1"/>
      <c r="BB5090" s="1"/>
    </row>
    <row r="5091" ht="204.75" customHeight="1">
      <c r="A5091" s="1">
        <v>1898.0</v>
      </c>
      <c r="B5091" s="2" t="s">
        <v>14209</v>
      </c>
      <c r="C5091" s="2">
        <f>IFERROR(__xludf.DUMMYFUNCTION("split(B5091,""_"")"),1510.0)</f>
        <v>1510</v>
      </c>
      <c r="D5091" s="2" t="str">
        <f>IFERROR(__xludf.DUMMYFUNCTION("""COMPUTED_VALUE"""),"TBS")</f>
        <v>TBS</v>
      </c>
      <c r="E5091" s="2" t="str">
        <f>IFERROR(__xludf.DUMMYFUNCTION("""COMPUTED_VALUE"""),"火22")</f>
        <v>火22</v>
      </c>
      <c r="F5091" s="2" t="s">
        <v>14210</v>
      </c>
      <c r="G5091" s="2" t="s">
        <v>14228</v>
      </c>
      <c r="H5091" s="1">
        <v>9.0</v>
      </c>
      <c r="J5091" s="1" t="s">
        <v>86</v>
      </c>
      <c r="K5091" s="2" t="s">
        <v>14229</v>
      </c>
      <c r="L5091" s="2"/>
      <c r="M5091" s="2" t="str">
        <f>IFERROR(__xludf.DUMMYFUNCTION("split(split(K5091,""【"",false),""公式LINE"",false)"),"徹（柳下大）の急逝を知ったひとみ（香里奈）は、死に恐怖を感じるが、徹のエンディンノートを見て、生きる力を取り戻す。そしてひとみは今やりたいことを考え、家族旅行を計画。健介（遠藤憲一）らと悠一（鈴木亮平）の両親に加え、可奈子（原田美枝子）も誘うが、返事を保留にされてしまい、埋められない溝を感じる。関係修復に悩みながら旅行当日を迎えたひとみは、旅行に参加することになった可奈子と旅先で決裂し・・・。芹沢ひとみ・・・香里奈  柏田可奈子・・・原田美枝子    園田悠一・・・鈴木亮平  前原翔太・・・山本裕典  広"&amp;"瀬真菜・・・真野恵里菜    芹沢早紀・・・美保純  寺本真理子・・・戸田菜穂    園田響子・・・江波杏子  芹沢健介・・・遠藤憲一安田レイ  「あしたいろ」  (SME　Records)脚本：山室有紀子  音楽：横山克  プロデューサー：新井順子、橘康仁  演出：竹村謙太郎■番組HP  http://www.tbs.co.jp/kekkonshiki2015/    ■番組ツイッター  https://twitter.com/kekkonshiki_tbs■番組フェイスブック  https://www"&amp;".facebook.com/kekkonshiki.tbs  ◇TBS公式 YouTuboo  https://www.youtube.com/playlist?list=PLCUNF--_h4OydnKTPNBO8EX_6iaBwk-LY  番組の内容と放送時間は変更になる場合があります。")</f>
        <v>徹（柳下大）の急逝を知ったひとみ（香里奈）は、死に恐怖を感じるが、徹のエンディンノートを見て、生きる力を取り戻す。そしてひとみは今やりたいことを考え、家族旅行を計画。健介（遠藤憲一）らと悠一（鈴木亮平）の両親に加え、可奈子（原田美枝子）も誘うが、返事を保留にされてしまい、埋められない溝を感じる。関係修復に悩みながら旅行当日を迎えたひとみは、旅行に参加することになった可奈子と旅先で決裂し・・・。芹沢ひとみ・・・香里奈  柏田可奈子・・・原田美枝子    園田悠一・・・鈴木亮平  前原翔太・・・山本裕典  広瀬真菜・・・真野恵里菜    芹沢早紀・・・美保純  寺本真理子・・・戸田菜穂    園田響子・・・江波杏子  芹沢健介・・・遠藤憲一安田レイ  「あしたいろ」  (SME　Records)脚本：山室有紀子  音楽：横山克  プロデューサー：新井順子、橘康仁  演出：竹村謙太郎■番組HP  http://www.tbs.co.jp/kekkonshiki2015/    ■番組ツイッター  https://twitter.com/kekkonshiki_tbs■番組フェイスブック  https://www.facebook.com/kekkonshiki.tbs  ◇TBS公式 YouTuboo  https://www.youtube.com/playlist?list=PLCUNF--_h4OydnKTPNBO8EX_6iaBwk-LY  番組の内容と放送時間は変更になる場合があります。</v>
      </c>
      <c r="N5091" s="2"/>
      <c r="O5091" s="2"/>
      <c r="P5091" s="1"/>
      <c r="Q5091" s="1"/>
      <c r="R5091" s="1"/>
      <c r="S5091" s="1"/>
      <c r="T5091" s="1"/>
      <c r="U5091" s="1"/>
      <c r="V5091" s="1"/>
      <c r="W5091" s="1"/>
      <c r="X5091" s="1"/>
      <c r="Y5091" s="1"/>
      <c r="Z5091" s="1"/>
      <c r="AA5091" s="1"/>
      <c r="AB5091" s="1"/>
      <c r="AC5091" s="1"/>
      <c r="AD5091" s="1"/>
      <c r="AE5091" s="1"/>
      <c r="AF5091" s="1"/>
      <c r="AG5091" s="1"/>
      <c r="AH5091" s="1"/>
      <c r="AI5091" s="1"/>
      <c r="AJ5091" s="1"/>
      <c r="AK5091" s="1"/>
      <c r="AL5091" s="1"/>
      <c r="AM5091" s="1"/>
      <c r="AN5091" s="1"/>
      <c r="AO5091" s="1"/>
      <c r="AP5091" s="1"/>
      <c r="AQ5091" s="1"/>
      <c r="AR5091" s="1"/>
      <c r="AS5091" s="1"/>
      <c r="AT5091" s="1"/>
      <c r="AU5091" s="1"/>
      <c r="AV5091" s="1"/>
      <c r="AW5091" s="1"/>
      <c r="AX5091" s="1"/>
      <c r="AY5091" s="1"/>
      <c r="AZ5091" s="1"/>
      <c r="BA5091" s="1"/>
      <c r="BB5091" s="1"/>
    </row>
    <row r="5092" ht="204.75" customHeight="1">
      <c r="A5092" s="1">
        <v>1899.0</v>
      </c>
      <c r="B5092" s="2" t="s">
        <v>14209</v>
      </c>
      <c r="C5092" s="2">
        <f>IFERROR(__xludf.DUMMYFUNCTION("split(B5092,""_"")"),1510.0)</f>
        <v>1510</v>
      </c>
      <c r="D5092" s="2" t="str">
        <f>IFERROR(__xludf.DUMMYFUNCTION("""COMPUTED_VALUE"""),"TBS")</f>
        <v>TBS</v>
      </c>
      <c r="E5092" s="2" t="str">
        <f>IFERROR(__xludf.DUMMYFUNCTION("""COMPUTED_VALUE"""),"火22")</f>
        <v>火22</v>
      </c>
      <c r="F5092" s="2" t="s">
        <v>14210</v>
      </c>
      <c r="G5092" s="2" t="s">
        <v>14230</v>
      </c>
      <c r="H5092" s="1">
        <v>10.0</v>
      </c>
      <c r="J5092" s="1" t="s">
        <v>86</v>
      </c>
      <c r="K5092" s="2" t="s">
        <v>14231</v>
      </c>
      <c r="L5092" s="2"/>
      <c r="M5092" s="2" t="str">
        <f>IFERROR(__xludf.DUMMYFUNCTION("split(split(K5092,""【"",false),""公式LINE"",false)"),"旅行中に倒れたひとみ(香里奈)は、血腫を取り除く緊急手術を受け、一命を取り留めるが意識が戻らない。悠一(鈴木亮平)ら家族は、医師の寺本(戸田菜穂)に、手術は成功したが一時的な延命でしかなく、意識が戻るかどうかもこの一週間が山場だと告げられ、悲しみに暮れる。意識が戻ることを信じて、ひとみに付き添う可奈子(原田美枝子)、悠一、健介(遠藤憲一)。しかし結婚式の前日になっても、ひとみの意識は戻らず・・・芹沢ひとみ・・・香里奈  柏田可奈子・・・原田美枝子    園田悠一・・・鈴木亮平  前原翔太・・・山本裕典  "&amp;"広瀬真菜・・・真野恵里菜    芹沢早紀・・・美保純  寺本真理子・・・戸田菜穂    園田響子・・・江波杏子  芹沢健介・・・遠藤憲一安田レイ  「あしたいろ」  (SME　Records)  脚本：高橋麻紀  音楽：横山克  プロデューサー：新井順子、橘康仁  演出：竹村謙太郎■番組HP  http://www.tbs.co.jp/kekkonshiki2015/    ■番組ツイッター  https://twitter.com/kekkonshiki_tbs  ■番組フェイスブック  https:/"&amp;"/www.facebook.com/kekkonshiki.tbs  ◇TBS公式 YouTuboo  https://www.youtube.com/playlist?list=PLCUNF--_h4OydnKTPNBO8EX_6iaBwk-LY  番組の内容と放送時間は変更になる場合があります。")</f>
        <v>旅行中に倒れたひとみ(香里奈)は、血腫を取り除く緊急手術を受け、一命を取り留めるが意識が戻らない。悠一(鈴木亮平)ら家族は、医師の寺本(戸田菜穂)に、手術は成功したが一時的な延命でしかなく、意識が戻るかどうかもこの一週間が山場だと告げられ、悲しみに暮れる。意識が戻ることを信じて、ひとみに付き添う可奈子(原田美枝子)、悠一、健介(遠藤憲一)。しかし結婚式の前日になっても、ひとみの意識は戻らず・・・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脚本：高橋麻紀  音楽：横山克  プロデューサー：新井順子、橘康仁  演出：竹村謙太郎■番組HP  http://www.tbs.co.jp/kekkonshiki2015/    ■番組ツイッター  https://twitter.com/kekkonshiki_tbs  ■番組フェイスブック  https://www.facebook.com/kekkonshiki.tbs  ◇TBS公式 YouTuboo  https://www.youtube.com/playlist?list=PLCUNF--_h4OydnKTPNBO8EX_6iaBwk-LY  番組の内容と放送時間は変更になる場合があります。</v>
      </c>
      <c r="N5092" s="2"/>
      <c r="O5092" s="2"/>
      <c r="P5092" s="1"/>
      <c r="Q5092" s="1"/>
      <c r="R5092" s="1"/>
      <c r="S5092" s="1"/>
      <c r="T5092" s="1"/>
      <c r="U5092" s="1"/>
      <c r="V5092" s="1"/>
      <c r="W5092" s="1"/>
      <c r="X5092" s="1"/>
      <c r="Y5092" s="1"/>
      <c r="Z5092" s="1"/>
      <c r="AA5092" s="1"/>
      <c r="AB5092" s="1"/>
      <c r="AC5092" s="1"/>
      <c r="AD5092" s="1"/>
      <c r="AE5092" s="1"/>
      <c r="AF5092" s="1"/>
      <c r="AG5092" s="1"/>
      <c r="AH5092" s="1"/>
      <c r="AI5092" s="1"/>
      <c r="AJ5092" s="1"/>
      <c r="AK5092" s="1"/>
      <c r="AL5092" s="1"/>
      <c r="AM5092" s="1"/>
      <c r="AN5092" s="1"/>
      <c r="AO5092" s="1"/>
      <c r="AP5092" s="1"/>
      <c r="AQ5092" s="1"/>
      <c r="AR5092" s="1"/>
      <c r="AS5092" s="1"/>
      <c r="AT5092" s="1"/>
      <c r="AU5092" s="1"/>
      <c r="AV5092" s="1"/>
      <c r="AW5092" s="1"/>
      <c r="AX5092" s="1"/>
      <c r="AY5092" s="1"/>
      <c r="AZ5092" s="1"/>
      <c r="BA5092" s="1"/>
      <c r="BB5092" s="1"/>
    </row>
    <row r="5093" ht="204.75" customHeight="1">
      <c r="A5093" s="1">
        <v>1947.0</v>
      </c>
      <c r="B5093" s="2" t="s">
        <v>14232</v>
      </c>
      <c r="C5093" s="2">
        <f>IFERROR(__xludf.DUMMYFUNCTION("split(B5093,""_"")"),1510.0)</f>
        <v>1510</v>
      </c>
      <c r="D5093" s="2" t="str">
        <f>IFERROR(__xludf.DUMMYFUNCTION("""COMPUTED_VALUE"""),"TBS")</f>
        <v>TBS</v>
      </c>
      <c r="E5093" s="2" t="str">
        <f>IFERROR(__xludf.DUMMYFUNCTION("""COMPUTED_VALUE"""),"金22")</f>
        <v>金22</v>
      </c>
      <c r="F5093" s="2" t="s">
        <v>13733</v>
      </c>
      <c r="G5093" s="2" t="s">
        <v>14233</v>
      </c>
      <c r="H5093" s="1">
        <v>1.0</v>
      </c>
      <c r="J5093" s="1" t="s">
        <v>82</v>
      </c>
      <c r="K5093" s="2" t="s">
        <v>14234</v>
      </c>
      <c r="L5093" s="2"/>
      <c r="M5093" s="2" t="str">
        <f>IFERROR(__xludf.DUMMYFUNCTION("split(split(K5093,""【"",false),""公式LINE"",false)"),"都内のとあるライブハウスでは、謎の天才ピアニストBABYがライブ演奏中。客席は一杯なのに、開演10分でライブは終了してしまう。実はBABYの正体は、ペルソナ総合医療センターの産科医・鴻鳥サクラ（綾野剛）。そんなサクラを、救急車から妊婦の受け入れ要請の連絡が入ってとまどう新米産科医の下屋加江（松岡茉優）が電話で呼び出していたのだ。受け入れ要請の妊婦は、産科検診を受けず、妊娠週数も不明の「未受診妊婦」未受診妊婦はリスクが高すぎる。 万一、感染症などがあれば、医療スタッフにとっても他の患者にとっても、極めて危険"&amp;"な患者となる。しかし「未受診なのは母親のせいで、お腹の赤ちゃんに罪はない」と、サクラは新生児科にも受け入れ体制を組むように要請。新生児科のリーダー・今橋貴之（大森南朋）が、躊躇する白川領（坂口健太郎）らを抑え、受け入れを決める。さらに、サクラは、未受診妊婦のフォローのために、メディカルソーシャルワーカーの向井祥子（江口のりこ）にも来てもらうように指示。そこへ、ベテラン助産師の小松留美子（吉田羊）も駆けつける。 ──果たして緊急搬送されて来た未受診妊婦・夏希は無事に出産できるのか？鴻鳥サクラ … 綾野　剛（"&amp;"あやのごう）   下屋加江 … 松岡茉優（まつおかまゆ）   小松留美子 … 吉田　羊（よしだよう）   白川　領 … 坂口健太郎（さかぐちけんたろう）角田真弓 … 清野菜名（せいのなな）   加瀬　宏 … 平山祐介（ひらやまゆうすけ）  船越拓也 … 豊本明長（とよもとあきなが）／東京03   大澤政信 … 浅野和之（あさのかずゆき）小野田景子 … 綾戸智恵（あやどちえ）   向井祥子 … 江口のりこ（えぐちのりこ）   新井恵美 … 山口紗弥加（やまぐちさやか）  四宮春樹 … 星野　源（ほしのげん）"&amp;"今橋貴之 … 大森南朋（おおもりなお）     ～ 第1話ゲスト ～  小早川俊也 … 要潤（かなめじゅん）   小早川頼子 … 臼田あさ美（うすだあさみ）矢野夏希 … 清水富美加（しみずふみか）  ●  永井浩之…　小栗旬（おぐりしゅん）主題歌：  『あなたがここにいて抱きしめることができるなら』  ／ miwa（ソニー・ミュージックレコーズ）原作：『コウノドリ』（講談社刊）／ 鈴ノ木ユウ  脚本：山本むつみ  （『ゲゲゲの女房（NHK）』『八重の桜（NHK）』など）    プロデューサー：峠田　浩  "&amp;" 企画：那須田淳　／　鈴木早苗演出：土井裕泰（『日曜劇場 空飛ぶ広報室』『映画 ビリギャル』など）、金子文紀（『金曜ドラマ 木更津キャッツアイ』『タイガー＆ドラゴン』など）　ほか◇公式番組HP　http://www.tbs.co.jp/kounodori/   ◇公式ツイッターアカウント：https://twitter.com/kounodori_tbs  ◇公式フェイスブックアカウント：https://www.facebook.com/kounodori.tbs/　  ◇公式インスタグラム：kounod"&amp;"ori_tbs  番組の内容と放送時間は変更になる可能性があります。")</f>
        <v>都内のとあるライブハウスでは、謎の天才ピアニストBABYがライブ演奏中。客席は一杯なのに、開演10分でライブは終了してしまう。実はBABYの正体は、ペルソナ総合医療センターの産科医・鴻鳥サクラ（綾野剛）。そんなサクラを、救急車から妊婦の受け入れ要請の連絡が入ってとまどう新米産科医の下屋加江（松岡茉優）が電話で呼び出していたのだ。受け入れ要請の妊婦は、産科検診を受けず、妊娠週数も不明の「未受診妊婦」未受診妊婦はリスクが高すぎる。 万一、感染症などがあれば、医療スタッフにとっても他の患者にとっても、極めて危険な患者となる。しかし「未受診なのは母親のせいで、お腹の赤ちゃんに罪はない」と、サクラは新生児科にも受け入れ体制を組むように要請。新生児科のリーダー・今橋貴之（大森南朋）が、躊躇する白川領（坂口健太郎）らを抑え、受け入れを決める。さらに、サクラは、未受診妊婦のフォローのために、メディカルソーシャルワーカーの向井祥子（江口のりこ）にも来てもらうように指示。そこへ、ベテラン助産師の小松留美子（吉田羊）も駆けつける。 ──果たして緊急搬送されて来た未受診妊婦・夏希は無事に出産できるのか？鴻鳥サクラ … 綾野　剛（あやのごう）   下屋加江 … 松岡茉優（まつおかまゆ）   小松留美子 … 吉田　羊（よしだよう）   白川　領 … 坂口健太郎（さかぐちけんたろう）角田真弓 … 清野菜名（せいのなな）   加瀬　宏 … 平山祐介（ひらやまゆうすけ）  船越拓也 … 豊本明長（とよもとあきなが）／東京03   大澤政信 … 浅野和之（あさのかずゆき）小野田景子 … 綾戸智恵（あやどちえ）   向井祥子 … 江口のりこ（えぐちのりこ）   新井恵美 … 山口紗弥加（やまぐちさやか）  四宮春樹 … 星野　源（ほしのげん）今橋貴之 … 大森南朋（おおもりなお）     ～ 第1話ゲスト ～  小早川俊也 … 要潤（かなめじゅん）   小早川頼子 … 臼田あさ美（うすだあさみ）矢野夏希 … 清水富美加（しみずふみか）  ●  永井浩之…　小栗旬（おぐりしゅん）主題歌：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ビリギャル』など）、金子文紀（『金曜ドラマ 木更津キャッツアイ』『タイガー＆ドラゴン』など）　ほか◇公式番組HP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v>
      </c>
      <c r="N5093" s="2"/>
      <c r="O5093" s="2"/>
      <c r="P5093" s="1"/>
      <c r="Q5093" s="1"/>
      <c r="R5093" s="1"/>
      <c r="S5093" s="1"/>
      <c r="T5093" s="1"/>
      <c r="U5093" s="1"/>
      <c r="V5093" s="1"/>
      <c r="W5093" s="1"/>
      <c r="X5093" s="1"/>
      <c r="Y5093" s="1"/>
      <c r="Z5093" s="1"/>
      <c r="AA5093" s="1"/>
      <c r="AB5093" s="1"/>
      <c r="AC5093" s="1"/>
      <c r="AD5093" s="1"/>
      <c r="AE5093" s="1"/>
      <c r="AF5093" s="1"/>
      <c r="AG5093" s="1"/>
      <c r="AH5093" s="1"/>
      <c r="AI5093" s="1"/>
      <c r="AJ5093" s="1"/>
      <c r="AK5093" s="1"/>
      <c r="AL5093" s="1"/>
      <c r="AM5093" s="1"/>
      <c r="AN5093" s="1"/>
      <c r="AO5093" s="1"/>
      <c r="AP5093" s="1"/>
      <c r="AQ5093" s="1"/>
      <c r="AR5093" s="1"/>
      <c r="AS5093" s="1"/>
      <c r="AT5093" s="1"/>
      <c r="AU5093" s="1"/>
      <c r="AV5093" s="1"/>
      <c r="AW5093" s="1"/>
      <c r="AX5093" s="1"/>
      <c r="AY5093" s="1"/>
      <c r="AZ5093" s="1"/>
      <c r="BA5093" s="1"/>
      <c r="BB5093" s="1"/>
    </row>
    <row r="5094" ht="204.75" customHeight="1">
      <c r="A5094" s="1">
        <v>1948.0</v>
      </c>
      <c r="B5094" s="2" t="s">
        <v>14232</v>
      </c>
      <c r="C5094" s="2">
        <f>IFERROR(__xludf.DUMMYFUNCTION("split(B5094,""_"")"),1510.0)</f>
        <v>1510</v>
      </c>
      <c r="D5094" s="2" t="str">
        <f>IFERROR(__xludf.DUMMYFUNCTION("""COMPUTED_VALUE"""),"TBS")</f>
        <v>TBS</v>
      </c>
      <c r="E5094" s="2" t="str">
        <f>IFERROR(__xludf.DUMMYFUNCTION("""COMPUTED_VALUE"""),"金22")</f>
        <v>金22</v>
      </c>
      <c r="F5094" s="2" t="s">
        <v>13733</v>
      </c>
      <c r="G5094" s="2" t="s">
        <v>14235</v>
      </c>
      <c r="H5094" s="1">
        <v>2.0</v>
      </c>
      <c r="J5094" s="1" t="s">
        <v>86</v>
      </c>
      <c r="K5094" s="2" t="s">
        <v>14236</v>
      </c>
      <c r="L5094" s="2"/>
      <c r="M5094" s="2" t="str">
        <f>IFERROR(__xludf.DUMMYFUNCTION("split(split(K5094,""【"",false),""公式LINE"",false)"),"産婦人科医の鴻鳥（こうのとり）サクラ（綾野剛）、四宮春樹（星野源）、新米産婦人科医の下屋加江（松岡茉優）をはじめ、新生児科医の今橋貴之（大森南朋）、白川領（坂口健太郎）、助産師長の小松留美子（吉田羊）らが参加する周産期母子医療センターの合同カンファレンス中に、救命救急医の加瀬宏（平山祐介）が飛び込んできた。交通事故にあった臨月を間近に控える妊婦が5分後に運ばれてくるという。運ばれてきた妊婦・永井晴美は、頭部の外傷がひどく意識不明の状態だが、胎児の心音に異常はない。サクラは赤ちゃんが元気なうちに帝王切開に持"&amp;"ち込むことを提案するが、救命救急の加瀬にとって一番に優先すべきことは患者の命を救うこと。出産させることで母体の容態が急変するかもしれないと懸念しサクラの提案を跳ね除ける。そこへ職場から駆けつけた晴美の夫・浩之（小栗旬）は、加瀬から晴美の容態の説明を受けるが、あまりに突然のことで事態が飲みこめない。ICUにいる晴美の姿を見て呆然と立ち尽くす浩之。サクラは晴美とお腹の赤ちゃんの状況を冷静に説明し、浩之にある過酷な選択を迫る。ーー晴美とお腹の赤ちゃんの命は助かるのか？鴻鳥サクラ…綾野　剛（あやのごう）  下屋加"&amp;"江…松岡茉優（まつおかまゆ）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大澤政信…浅野和之（あさのかずゆき）小野田景子…綾戸智恵（あやどちえ）  向井祥子…江口のりこ（えぐちのりこ）  新井恵美…山口紗弥加（やまぐちさやか）  四宮春樹…星野　源（ほしのげん）今橋貴之…大森南朋（おおもりなお）    ～ 第2話ゲスト ～  永井浩之…"&amp;"小栗旬（おぐりしゅん）  永井晴美…川村ゆきえ（かわむらゆきえ）  木村法子…山田真歩（やまだまほ）村川郁恵…虻川美穂子（あぶかわみほこ）  木原雄弥…前田公輝（まえだごうき）主題歌：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空飛"&amp;"ぶ広報室』『映画 ビリギャル』など）、金子文紀（『金曜ドラマ 木更津キャッツアイ』『タイガー＆ドラゴン』など）　ほか◇公式番組HP　http://www.tbs.co.jp/kounodori/   ◇公式ツイッターアカウント：https://twitter.com/kounodori_tbs◇公式フェイスブックアカウント：https://www.facebook.com/kounodori.tbs/　  ◇公式インスタグラム：kounodori_tbs番組の内容と放送時間は変更になる可能性があります。")</f>
        <v>産婦人科医の鴻鳥（こうのとり）サクラ（綾野剛）、四宮春樹（星野源）、新米産婦人科医の下屋加江（松岡茉優）をはじめ、新生児科医の今橋貴之（大森南朋）、白川領（坂口健太郎）、助産師長の小松留美子（吉田羊）らが参加する周産期母子医療センターの合同カンファレンス中に、救命救急医の加瀬宏（平山祐介）が飛び込んできた。交通事故にあった臨月を間近に控える妊婦が5分後に運ばれてくるという。運ばれてきた妊婦・永井晴美は、頭部の外傷がひどく意識不明の状態だが、胎児の心音に異常はない。サクラは赤ちゃんが元気なうちに帝王切開に持ち込むことを提案するが、救命救急の加瀬にとって一番に優先すべきことは患者の命を救うこと。出産させることで母体の容態が急変するかもしれないと懸念しサクラの提案を跳ね除ける。そこへ職場から駆けつけた晴美の夫・浩之（小栗旬）は、加瀬から晴美の容態の説明を受けるが、あまりに突然のことで事態が飲みこめない。ICUにいる晴美の姿を見て呆然と立ち尽くす浩之。サクラは晴美とお腹の赤ちゃんの状況を冷静に説明し、浩之にある過酷な選択を迫る。ーー晴美とお腹の赤ちゃんの命は助かるのか？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大澤政信…浅野和之（あさのかずゆき）小野田景子…綾戸智恵（あやどちえ）  向井祥子…江口のりこ（えぐちのりこ）  新井恵美…山口紗弥加（やまぐちさやか）  四宮春樹…星野　源（ほしのげん）今橋貴之…大森南朋（おおもりなお）    ～ 第2話ゲスト ～  永井浩之…小栗旬（おぐりしゅん）  永井晴美…川村ゆきえ（かわむらゆきえ）  木村法子…山田真歩（やまだまほ）村川郁恵…虻川美穂子（あぶかわみほこ）  木原雄弥…前田公輝（まえだごうき）主題歌：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ビリギャル』など）、金子文紀（『金曜ドラマ 木更津キャッツアイ』『タイガー＆ドラゴン』など）　ほか◇公式番組HP　http://www.tbs.co.jp/kounodori/   ◇公式ツイッターアカウント：https://twitter.com/kounodori_tbs◇公式フェイスブックアカウント：https://www.facebook.com/kounodori.tbs/　  ◇公式インスタグラム：kounodori_tbs番組の内容と放送時間は変更になる可能性があります。</v>
      </c>
      <c r="N5094" s="2"/>
      <c r="O5094" s="2"/>
      <c r="P5094" s="1"/>
      <c r="Q5094" s="1"/>
      <c r="R5094" s="1"/>
      <c r="S5094" s="1"/>
      <c r="T5094" s="1"/>
      <c r="U5094" s="1"/>
      <c r="V5094" s="1"/>
      <c r="W5094" s="1"/>
      <c r="X5094" s="1"/>
      <c r="Y5094" s="1"/>
      <c r="Z5094" s="1"/>
      <c r="AA5094" s="1"/>
      <c r="AB5094" s="1"/>
      <c r="AC5094" s="1"/>
      <c r="AD5094" s="1"/>
      <c r="AE5094" s="1"/>
      <c r="AF5094" s="1"/>
      <c r="AG5094" s="1"/>
      <c r="AH5094" s="1"/>
      <c r="AI5094" s="1"/>
      <c r="AJ5094" s="1"/>
      <c r="AK5094" s="1"/>
      <c r="AL5094" s="1"/>
      <c r="AM5094" s="1"/>
      <c r="AN5094" s="1"/>
      <c r="AO5094" s="1"/>
      <c r="AP5094" s="1"/>
      <c r="AQ5094" s="1"/>
      <c r="AR5094" s="1"/>
      <c r="AS5094" s="1"/>
      <c r="AT5094" s="1"/>
      <c r="AU5094" s="1"/>
      <c r="AV5094" s="1"/>
      <c r="AW5094" s="1"/>
      <c r="AX5094" s="1"/>
      <c r="AY5094" s="1"/>
      <c r="AZ5094" s="1"/>
      <c r="BA5094" s="1"/>
      <c r="BB5094" s="1"/>
    </row>
    <row r="5095" ht="204.75" customHeight="1">
      <c r="A5095" s="1">
        <v>1949.0</v>
      </c>
      <c r="B5095" s="2" t="s">
        <v>14232</v>
      </c>
      <c r="C5095" s="2">
        <f>IFERROR(__xludf.DUMMYFUNCTION("split(B5095,""_"")"),1510.0)</f>
        <v>1510</v>
      </c>
      <c r="D5095" s="2" t="str">
        <f>IFERROR(__xludf.DUMMYFUNCTION("""COMPUTED_VALUE"""),"TBS")</f>
        <v>TBS</v>
      </c>
      <c r="E5095" s="2" t="str">
        <f>IFERROR(__xludf.DUMMYFUNCTION("""COMPUTED_VALUE"""),"金22")</f>
        <v>金22</v>
      </c>
      <c r="F5095" s="2" t="s">
        <v>13733</v>
      </c>
      <c r="G5095" s="2" t="s">
        <v>14237</v>
      </c>
      <c r="H5095" s="1">
        <v>3.0</v>
      </c>
      <c r="J5095" s="1" t="s">
        <v>86</v>
      </c>
      <c r="K5095" s="2" t="s">
        <v>14238</v>
      </c>
      <c r="L5095" s="2"/>
      <c r="M5095" s="2" t="str">
        <f>IFERROR(__xludf.DUMMYFUNCTION("split(split(K5095,""【"",false),""公式LINE"",false)"),"鴻鳥サクラ（綾野剛）は、10年前出産に立ち会った瀬戸加奈子（石田ひかり）と、そのとき生まれた娘・遙香（山田望叶）に再会する。遙香は、ピアノを弾くのが大好きな笑顔の可愛い少女に成長しているが、加奈子が妊娠中にかかった風疹の影響で白内障を患い目が不自由。心臓疾患もあるため、この日も心臓の検査を受けに来ていた。遙香には、風疹の予防接種を啓蒙するためのテレビ出演依頼が来ているが、加奈子は出演するかどうか新生児の頃の担当医・今橋貴之（大森南朋）に相談。テレビに出ることで遥香が好奇の目にさらされるのではと懸念している"&amp;"という。一方、ペルソナ総合医療センター近くでは、妊婦の木村法子（山田真歩）が喫煙中、激痛に襲われる。通りかかった四宮春樹（星野源）によって救急搬送されるが、子宮から胎盤が剥がれてしまう“胎盤早期剥離”で、母子ともに危険な状態だ。実は、法子は今まで四宮から喫煙が赤ちゃんに悪影響を与えるからと、幾度も禁煙するよう注意されてきた妊婦。緊急の帝王切開が余儀なくされる中、四宮には、ある妊婦の手術の記憶が蘇る。四宮の過去とは…？鴻鳥サクラ…綾野　剛（あやのごう）   下屋加江…松岡茉優（まつおかまゆ）  小松留美子…"&amp;"吉田　羊（よしだよう）  白川　領…坂口健太郎（さかぐちけんたろう）  角田真弓…清野菜名（せいのなな）  加瀬　宏…平山祐介（ひらやまゆうすけ）  船越拓也…豊本明長（とよもとあきなが）／東京03   大澤政信…浅野和之（あさのかずゆき）小野田景子…綾戸智恵（あやどちえ）  向井祥子…江口のりこ（えぐちのりこ）  新井恵美…山口紗弥加（やまぐちさやか）  四宮春樹…星野　源（ほしのげん）今橋貴之 … 大森南朋（おおもりなお）     ～ 第3話ゲスト ～  瀬戸加奈子…石田ひかり  瀬戸遙香…山田望叶 "&amp;" 根岸若菜…佐藤栞里主題歌：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鈴木早苗プロデューサー：峠田　浩   企画：那須田淳　／　鈴木早苗   演出：土井裕泰（『日曜劇場 空飛ぶ広報室』『映画 ビリギャル』など）、金子文紀（『金曜ドラマ 木更津キャッツアイ』『タ"&amp;"イガー＆ドラゴン』など）　ほか◇公式番組HP　http://www.tbs.co.jp/kounodori/   ◇公式ツイッターアカウント：https://twitter.com/kounodori_tbs  ◇公式フェイスブックアカウント：https://www.facebook.com/kounodori.tbs/　  ◇公式インスタグラム：kounodori_tbs")</f>
        <v>鴻鳥サクラ（綾野剛）は、10年前出産に立ち会った瀬戸加奈子（石田ひかり）と、そのとき生まれた娘・遙香（山田望叶）に再会する。遙香は、ピアノを弾くのが大好きな笑顔の可愛い少女に成長しているが、加奈子が妊娠中にかかった風疹の影響で白内障を患い目が不自由。心臓疾患もあるため、この日も心臓の検査を受けに来ていた。遙香には、風疹の予防接種を啓蒙するためのテレビ出演依頼が来ているが、加奈子は出演するかどうか新生児の頃の担当医・今橋貴之（大森南朋）に相談。テレビに出ることで遥香が好奇の目にさらされるのではと懸念しているという。一方、ペルソナ総合医療センター近くでは、妊婦の木村法子（山田真歩）が喫煙中、激痛に襲われる。通りかかった四宮春樹（星野源）によって救急搬送されるが、子宮から胎盤が剥がれてしまう“胎盤早期剥離”で、母子ともに危険な状態だ。実は、法子は今まで四宮から喫煙が赤ちゃんに悪影響を与えるからと、幾度も禁煙するよう注意されてきた妊婦。緊急の帝王切開が余儀なくされる中、四宮には、ある妊婦の手術の記憶が蘇る。四宮の過去とは…？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大澤政信…浅野和之（あさのかずゆき）小野田景子…綾戸智恵（あやどちえ）  向井祥子…江口のりこ（えぐちのりこ）  新井恵美…山口紗弥加（やまぐちさやか）  四宮春樹…星野　源（ほしのげん）今橋貴之 … 大森南朋（おおもりなお）     ～ 第3話ゲスト ～  瀬戸加奈子…石田ひかり  瀬戸遙香…山田望叶  根岸若菜…佐藤栞里主題歌：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鈴木早苗プロデューサー：峠田　浩   企画：那須田淳　／　鈴木早苗   演出：土井裕泰（『日曜劇場 空飛ぶ広報室』『映画 ビリギャル』など）、金子文紀（『金曜ドラマ 木更津キャッツアイ』『タイガー＆ドラゴン』など）　ほか◇公式番組HP　http://www.tbs.co.jp/kounodori/   ◇公式ツイッターアカウント：https://twitter.com/kounodori_tbs  ◇公式フェイスブックアカウント：https://www.facebook.com/kounodori.tbs/　  ◇公式インスタグラム：kounodori_tbs</v>
      </c>
      <c r="N5095" s="2"/>
      <c r="O5095" s="2"/>
      <c r="P5095" s="1"/>
      <c r="Q5095" s="1"/>
      <c r="R5095" s="1"/>
      <c r="S5095" s="1"/>
      <c r="T5095" s="1"/>
      <c r="U5095" s="1"/>
      <c r="V5095" s="1"/>
      <c r="W5095" s="1"/>
      <c r="X5095" s="1"/>
      <c r="Y5095" s="1"/>
      <c r="Z5095" s="1"/>
      <c r="AA5095" s="1"/>
      <c r="AB5095" s="1"/>
      <c r="AC5095" s="1"/>
      <c r="AD5095" s="1"/>
      <c r="AE5095" s="1"/>
      <c r="AF5095" s="1"/>
      <c r="AG5095" s="1"/>
      <c r="AH5095" s="1"/>
      <c r="AI5095" s="1"/>
      <c r="AJ5095" s="1"/>
      <c r="AK5095" s="1"/>
      <c r="AL5095" s="1"/>
      <c r="AM5095" s="1"/>
      <c r="AN5095" s="1"/>
      <c r="AO5095" s="1"/>
      <c r="AP5095" s="1"/>
      <c r="AQ5095" s="1"/>
      <c r="AR5095" s="1"/>
      <c r="AS5095" s="1"/>
      <c r="AT5095" s="1"/>
      <c r="AU5095" s="1"/>
      <c r="AV5095" s="1"/>
      <c r="AW5095" s="1"/>
      <c r="AX5095" s="1"/>
      <c r="AY5095" s="1"/>
      <c r="AZ5095" s="1"/>
      <c r="BA5095" s="1"/>
      <c r="BB5095" s="1"/>
    </row>
    <row r="5096" ht="204.75" customHeight="1">
      <c r="A5096" s="1">
        <v>1950.0</v>
      </c>
      <c r="B5096" s="2" t="s">
        <v>14232</v>
      </c>
      <c r="C5096" s="2">
        <f>IFERROR(__xludf.DUMMYFUNCTION("split(B5096,""_"")"),1510.0)</f>
        <v>1510</v>
      </c>
      <c r="D5096" s="2" t="str">
        <f>IFERROR(__xludf.DUMMYFUNCTION("""COMPUTED_VALUE"""),"TBS")</f>
        <v>TBS</v>
      </c>
      <c r="E5096" s="2" t="str">
        <f>IFERROR(__xludf.DUMMYFUNCTION("""COMPUTED_VALUE"""),"金22")</f>
        <v>金22</v>
      </c>
      <c r="F5096" s="2" t="s">
        <v>13733</v>
      </c>
      <c r="G5096" s="2" t="s">
        <v>14239</v>
      </c>
      <c r="H5096" s="1">
        <v>4.0</v>
      </c>
      <c r="J5096" s="1" t="s">
        <v>86</v>
      </c>
      <c r="K5096" s="2" t="s">
        <v>14240</v>
      </c>
      <c r="L5096" s="2"/>
      <c r="M5096" s="2" t="str">
        <f>IFERROR(__xludf.DUMMYFUNCTION("split(split(K5096,""【"",false),""公式LINE"",false)"),"妊娠21週1日の妊婦・田中陽子（河井青葉）が、夫の淳（和田正人）に抱きかかえられるようにしてやってきた。異変を感じて病院へ来る途中に破水してしまい、流産しかかっている危険な状態だ。前日の健診でお腹の張りを訴える陽子に、担当医の下屋加江（松岡茉優）は問題ないと帰したばかり。どういうことかと詰め寄る陽子に、下屋は言葉が出ない。鴻鳥サクラ（綾野剛）が切迫流産は予測が難しいこと、そして赤ちゃんがとても危険な状態なことを説明すると、そのあまりの厳しい状況に夫婦は呆然とする。そんなふたりに、サクラはある過酷な選択を委"&amp;"ねる。一方、患者への説明ができなかった下屋は、苦しい判断を迫る役までサクラにさせてしまったと、医師としての自分の不甲斐なさに落ち込んでいた。さらに、新任の新生児科医・新井恵美（山口沙弥加）からは、産科と新生児科の合同カンファレンス中に激しく反論され、下屋は産婦人科医として壁にぶつかってしまう。過酷な選択を迫られた田中夫妻が出した決断とは？そして、産婦人科医としての在り方を問われた下屋は壁を越えられるのか？鴻鳥サクラ…綾野　剛（あやのごう）  下屋加江…松岡茉優（まつおかまゆ）  小松留美子…吉田　羊（よし"&amp;"だよう）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第4話ゲスト ～  田中　淳…和田　正人  田中陽子…河井青葉  吉沢玲奈…山口まゆ主題"&amp;"歌：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ビリギャル』など）、金子文紀（『金曜ドラマ 木更津キャッツアイ』『タイガー＆ドラゴン』など）　ほか◇公式番組HP　http://www.tbs.co.jp/kouno"&amp;"dori/   ◇公式ツイッターアカウント：https://twitter.com/kounodori_tbs  ◇公式フェイスブックアカウント：https://www.facebook.com/kounodori.tbs/　  ◇公式インスタグラム：kounodori_tbs  番組の内容と放送時間は変更になる可能性があります。")</f>
        <v>妊娠21週1日の妊婦・田中陽子（河井青葉）が、夫の淳（和田正人）に抱きかかえられるようにしてやってきた。異変を感じて病院へ来る途中に破水してしまい、流産しかかっている危険な状態だ。前日の健診でお腹の張りを訴える陽子に、担当医の下屋加江（松岡茉優）は問題ないと帰したばかり。どういうことかと詰め寄る陽子に、下屋は言葉が出ない。鴻鳥サクラ（綾野剛）が切迫流産は予測が難しいこと、そして赤ちゃんがとても危険な状態なことを説明すると、そのあまりの厳しい状況に夫婦は呆然とする。そんなふたりに、サクラはある過酷な選択を委ねる。一方、患者への説明ができなかった下屋は、苦しい判断を迫る役までサクラにさせてしまったと、医師としての自分の不甲斐なさに落ち込んでいた。さらに、新任の新生児科医・新井恵美（山口沙弥加）からは、産科と新生児科の合同カンファレンス中に激しく反論され、下屋は産婦人科医として壁にぶつかってしまう。過酷な選択を迫られた田中夫妻が出した決断とは？そして、産婦人科医としての在り方を問われた下屋は壁を越えられるのか？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第4話ゲスト ～  田中　淳…和田　正人  田中陽子…河井青葉  吉沢玲奈…山口まゆ主題歌：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ビリギャル』など）、金子文紀（『金曜ドラマ 木更津キャッツアイ』『タイガー＆ドラゴン』など）　ほか◇公式番組HP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v>
      </c>
      <c r="N5096" s="2"/>
      <c r="O5096" s="2"/>
      <c r="P5096" s="1"/>
      <c r="Q5096" s="1"/>
      <c r="R5096" s="1"/>
      <c r="S5096" s="1"/>
      <c r="T5096" s="1"/>
      <c r="U5096" s="1"/>
      <c r="V5096" s="1"/>
      <c r="W5096" s="1"/>
      <c r="X5096" s="1"/>
      <c r="Y5096" s="1"/>
      <c r="Z5096" s="1"/>
      <c r="AA5096" s="1"/>
      <c r="AB5096" s="1"/>
      <c r="AC5096" s="1"/>
      <c r="AD5096" s="1"/>
      <c r="AE5096" s="1"/>
      <c r="AF5096" s="1"/>
      <c r="AG5096" s="1"/>
      <c r="AH5096" s="1"/>
      <c r="AI5096" s="1"/>
      <c r="AJ5096" s="1"/>
      <c r="AK5096" s="1"/>
      <c r="AL5096" s="1"/>
      <c r="AM5096" s="1"/>
      <c r="AN5096" s="1"/>
      <c r="AO5096" s="1"/>
      <c r="AP5096" s="1"/>
      <c r="AQ5096" s="1"/>
      <c r="AR5096" s="1"/>
      <c r="AS5096" s="1"/>
      <c r="AT5096" s="1"/>
      <c r="AU5096" s="1"/>
      <c r="AV5096" s="1"/>
      <c r="AW5096" s="1"/>
      <c r="AX5096" s="1"/>
      <c r="AY5096" s="1"/>
      <c r="AZ5096" s="1"/>
      <c r="BA5096" s="1"/>
      <c r="BB5096" s="1"/>
    </row>
    <row r="5097" ht="204.75" customHeight="1">
      <c r="A5097" s="1">
        <v>1951.0</v>
      </c>
      <c r="B5097" s="2" t="s">
        <v>14232</v>
      </c>
      <c r="C5097" s="2">
        <f>IFERROR(__xludf.DUMMYFUNCTION("split(B5097,""_"")"),1510.0)</f>
        <v>1510</v>
      </c>
      <c r="D5097" s="2" t="str">
        <f>IFERROR(__xludf.DUMMYFUNCTION("""COMPUTED_VALUE"""),"TBS")</f>
        <v>TBS</v>
      </c>
      <c r="E5097" s="2" t="str">
        <f>IFERROR(__xludf.DUMMYFUNCTION("""COMPUTED_VALUE"""),"金22")</f>
        <v>金22</v>
      </c>
      <c r="F5097" s="2" t="s">
        <v>13733</v>
      </c>
      <c r="G5097" s="2" t="s">
        <v>14241</v>
      </c>
      <c r="H5097" s="1">
        <v>5.0</v>
      </c>
      <c r="J5097" s="1" t="s">
        <v>86</v>
      </c>
      <c r="K5097" s="2" t="s">
        <v>14242</v>
      </c>
      <c r="L5097" s="2"/>
      <c r="M5097" s="2" t="str">
        <f>IFERROR(__xludf.DUMMYFUNCTION("split(split(K5097,""【"",false),""公式LINE"",false)"),"産科と新生児科をまとめる周産期母子医療センターのセンター長を務める今橋貴之（大森南朋）のもとへ、“NPO法人ツグミの会”の代表者が訪れた。ツグミの会は、親の養育が受けられない子供と、子供が欲しくても授からない夫婦をつなぐ、特別養子縁組をサポートする会。中絶や虐待、産み捨てから、より多くの赤ちゃんを守るため、ペルソナ総合医療センターの協力を得たいという。そんな折、院長・大澤政信（浅野和之）の紹介で、中学2年生の少女・吉沢玲奈（山口まゆ）が、母親の昌美（中島ひろ子）に連れられて鴻鳥サクラ（綾野剛）の診察を受け"&amp;"にきた。玲奈は妊娠8ヶ月。すでに堕胎できない状況の玲奈にサクラは、若い年齢での出産について丁寧に説明しようとするが、本人はまるで他人事。自分が母親になるという覚悟もなければ、新しい命が宿っている自覚すらない様子。お腹の子の父親・元倉亮（望月歩）も同級生で、当事者二人がまだ中学生のため、今後のことを両家の親が話し合ったというが、亮の父親の一方的な発言で話は平行線。一方、サクラは懐かしい人と偶然の再会を果たす。幼い2人の赤ちゃんは、どんな運命をたどるのか…。鴻鳥サクラ…綾野　剛（あやのごう）  下屋加江…松岡"&amp;"茉優（まつおかまゆ）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第5話ゲスト ～  吉沢玲奈…山口まゆ"&amp;"  元倉 亮…望月 歩  吉沢昌美…中島ひろ子    元倉和雄…螢 雪次朗  笠原節子…烏丸せつこ  加賀美 美智子…浅茅陽子主題歌：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ビリギャル』など）、金子文紀（『金"&amp;"曜ドラマ 木更津キャッツアイ』『タイガー＆ドラゴン』など）　ほか◇公式番組HP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f>
        <v>産科と新生児科をまとめる周産期母子医療センターのセンター長を務める今橋貴之（大森南朋）のもとへ、“NPO法人ツグミの会”の代表者が訪れた。ツグミの会は、親の養育が受けられない子供と、子供が欲しくても授からない夫婦をつなぐ、特別養子縁組をサポートする会。中絶や虐待、産み捨てから、より多くの赤ちゃんを守るため、ペルソナ総合医療センターの協力を得たいという。そんな折、院長・大澤政信（浅野和之）の紹介で、中学2年生の少女・吉沢玲奈（山口まゆ）が、母親の昌美（中島ひろ子）に連れられて鴻鳥サクラ（綾野剛）の診察を受けにきた。玲奈は妊娠8ヶ月。すでに堕胎できない状況の玲奈にサクラは、若い年齢での出産について丁寧に説明しようとするが、本人はまるで他人事。自分が母親になるという覚悟もなければ、新しい命が宿っている自覚すらない様子。お腹の子の父親・元倉亮（望月歩）も同級生で、当事者二人がまだ中学生のため、今後のことを両家の親が話し合ったというが、亮の父親の一方的な発言で話は平行線。一方、サクラは懐かしい人と偶然の再会を果たす。幼い2人の赤ちゃんは、どんな運命をたどるのか…。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第5話ゲスト ～  吉沢玲奈…山口まゆ  元倉 亮…望月 歩  吉沢昌美…中島ひろ子    元倉和雄…螢 雪次朗  笠原節子…烏丸せつこ  加賀美 美智子…浅茅陽子主題歌：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ビリギャル』など）、金子文紀（『金曜ドラマ 木更津キャッツアイ』『タイガー＆ドラゴン』など）　ほか◇公式番組HP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v>
      </c>
      <c r="N5097" s="2"/>
      <c r="O5097" s="2"/>
      <c r="P5097" s="1"/>
      <c r="Q5097" s="1"/>
      <c r="R5097" s="1"/>
      <c r="S5097" s="1"/>
      <c r="T5097" s="1"/>
      <c r="U5097" s="1"/>
      <c r="V5097" s="1"/>
      <c r="W5097" s="1"/>
      <c r="X5097" s="1"/>
      <c r="Y5097" s="1"/>
      <c r="Z5097" s="1"/>
      <c r="AA5097" s="1"/>
      <c r="AB5097" s="1"/>
      <c r="AC5097" s="1"/>
      <c r="AD5097" s="1"/>
      <c r="AE5097" s="1"/>
      <c r="AF5097" s="1"/>
      <c r="AG5097" s="1"/>
      <c r="AH5097" s="1"/>
      <c r="AI5097" s="1"/>
      <c r="AJ5097" s="1"/>
      <c r="AK5097" s="1"/>
      <c r="AL5097" s="1"/>
      <c r="AM5097" s="1"/>
      <c r="AN5097" s="1"/>
      <c r="AO5097" s="1"/>
      <c r="AP5097" s="1"/>
      <c r="AQ5097" s="1"/>
      <c r="AR5097" s="1"/>
      <c r="AS5097" s="1"/>
      <c r="AT5097" s="1"/>
      <c r="AU5097" s="1"/>
      <c r="AV5097" s="1"/>
      <c r="AW5097" s="1"/>
      <c r="AX5097" s="1"/>
      <c r="AY5097" s="1"/>
      <c r="AZ5097" s="1"/>
      <c r="BA5097" s="1"/>
      <c r="BB5097" s="1"/>
    </row>
    <row r="5098" ht="204.75" customHeight="1">
      <c r="A5098" s="1">
        <v>1952.0</v>
      </c>
      <c r="B5098" s="2" t="s">
        <v>14232</v>
      </c>
      <c r="C5098" s="2">
        <f>IFERROR(__xludf.DUMMYFUNCTION("split(B5098,""_"")"),1510.0)</f>
        <v>1510</v>
      </c>
      <c r="D5098" s="2" t="str">
        <f>IFERROR(__xludf.DUMMYFUNCTION("""COMPUTED_VALUE"""),"TBS")</f>
        <v>TBS</v>
      </c>
      <c r="E5098" s="2" t="str">
        <f>IFERROR(__xludf.DUMMYFUNCTION("""COMPUTED_VALUE"""),"金22")</f>
        <v>金22</v>
      </c>
      <c r="F5098" s="2" t="s">
        <v>13733</v>
      </c>
      <c r="G5098" s="2" t="s">
        <v>14243</v>
      </c>
      <c r="H5098" s="1">
        <v>6.0</v>
      </c>
      <c r="J5098" s="1" t="s">
        <v>86</v>
      </c>
      <c r="K5098" s="2" t="s">
        <v>14244</v>
      </c>
      <c r="L5098" s="2"/>
      <c r="M5098" s="2" t="str">
        <f>IFERROR(__xludf.DUMMYFUNCTION("split(split(K5098,""【"",false),""公式LINE"",false)"),"ペルソナ総合医療センターへ腹痛と出血を訴えた妊娠31週の妊婦が運ばれてきた。  すぐに緊急開腹手術を行うが、子宮破裂を起こしていたため子宮は全摘、赤ちゃんも助からなかった。妊婦は43歳。2年前に子宮筋腫を切除する手術を受け、不妊治療の上の妊娠だったのだが…。鴻鳥サクラ（綾野剛）が診察する妊婦・竹下敦子（森口瑤子）も43歳。5年間の不妊治療の末、無事に妊娠し臨月を迎えたが、妊娠高血圧症候群が懸念され、大事をみて入院することに。そんなある夜、鴻鳥サクラのもとへ娘の芽依を抱えた永井浩之（小栗旬）が飛び込んでくる"&amp;"。芽依は、健康に生まれ現在6ヶ月になるが、この日、浩之が保育園から芽依を連れて職場に戻って仕事しているうちに様子がおかしくなったと言う…。芽依の母親は臨月で交通事故に合い、サクラが帝王切開手術で芽依を取り上げたのちに亡くなった。浩之は男手一つで芽依を抱え、仕事と子育てに手一杯になりながら懸命に父親になろうと奮闘していた─。そして、管理入院中の敦子の出産の日、手術中の母体に予期せぬ事態が起こり…鴻鳥サクラ…綾野　剛（あやのごう）  下屋加江…松岡茉優（まつおかまゆ）  小松留美子…吉田　羊（よしだよう）  "&amp;"白川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第6話ゲスト ～   永井浩之…小栗　旬  相沢美雪…西田尚美  竹下敦子…森口瑤子  永井晴美…川"&amp;"村ゆきえ  岸田秀典…高橋　洋主題歌：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鈴木早苗演出：加藤　尚樹◇公式番組HP　http://www.tbs.co.jp/kounodori/   ◇公式ツイッターアカウント：https://twitter.com/kounod"&amp;"ori_tbs  ◇公式フェイスブックアカウント：https://www.facebook.com/kounodori.tbs/　  ◇公式インスタグラム：kounodori_tbs  番組の内容と放送時間は変更になる可能性があります。")</f>
        <v>ペルソナ総合医療センターへ腹痛と出血を訴えた妊娠31週の妊婦が運ばれてきた。  すぐに緊急開腹手術を行うが、子宮破裂を起こしていたため子宮は全摘、赤ちゃんも助からなかった。妊婦は43歳。2年前に子宮筋腫を切除する手術を受け、不妊治療の上の妊娠だったのだが…。鴻鳥サクラ（綾野剛）が診察する妊婦・竹下敦子（森口瑤子）も43歳。5年間の不妊治療の末、無事に妊娠し臨月を迎えたが、妊娠高血圧症候群が懸念され、大事をみて入院することに。そんなある夜、鴻鳥サクラのもとへ娘の芽依を抱えた永井浩之（小栗旬）が飛び込んでくる。芽依は、健康に生まれ現在6ヶ月になるが、この日、浩之が保育園から芽依を連れて職場に戻って仕事しているうちに様子がおかしくなったと言う…。芽依の母親は臨月で交通事故に合い、サクラが帝王切開手術で芽依を取り上げたのちに亡くなった。浩之は男手一つで芽依を抱え、仕事と子育てに手一杯になりながら懸命に父親になろうと奮闘していた─。そして、管理入院中の敦子の出産の日、手術中の母体に予期せぬ事態が起こり…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第6話ゲスト ～   永井浩之…小栗　旬  相沢美雪…西田尚美  竹下敦子…森口瑤子  永井晴美…川村ゆきえ  岸田秀典…高橋　洋主題歌：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鈴木早苗演出：加藤　尚樹◇公式番組HP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v>
      </c>
      <c r="N5098" s="2"/>
      <c r="O5098" s="2"/>
      <c r="P5098" s="1"/>
      <c r="Q5098" s="1"/>
      <c r="R5098" s="1"/>
      <c r="S5098" s="1"/>
      <c r="T5098" s="1"/>
      <c r="U5098" s="1"/>
      <c r="V5098" s="1"/>
      <c r="W5098" s="1"/>
      <c r="X5098" s="1"/>
      <c r="Y5098" s="1"/>
      <c r="Z5098" s="1"/>
      <c r="AA5098" s="1"/>
      <c r="AB5098" s="1"/>
      <c r="AC5098" s="1"/>
      <c r="AD5098" s="1"/>
      <c r="AE5098" s="1"/>
      <c r="AF5098" s="1"/>
      <c r="AG5098" s="1"/>
      <c r="AH5098" s="1"/>
      <c r="AI5098" s="1"/>
      <c r="AJ5098" s="1"/>
      <c r="AK5098" s="1"/>
      <c r="AL5098" s="1"/>
      <c r="AM5098" s="1"/>
      <c r="AN5098" s="1"/>
      <c r="AO5098" s="1"/>
      <c r="AP5098" s="1"/>
      <c r="AQ5098" s="1"/>
      <c r="AR5098" s="1"/>
      <c r="AS5098" s="1"/>
      <c r="AT5098" s="1"/>
      <c r="AU5098" s="1"/>
      <c r="AV5098" s="1"/>
      <c r="AW5098" s="1"/>
      <c r="AX5098" s="1"/>
      <c r="AY5098" s="1"/>
      <c r="AZ5098" s="1"/>
      <c r="BA5098" s="1"/>
      <c r="BB5098" s="1"/>
    </row>
    <row r="5099" ht="204.75" customHeight="1">
      <c r="A5099" s="1">
        <v>1953.0</v>
      </c>
      <c r="B5099" s="2" t="s">
        <v>14232</v>
      </c>
      <c r="C5099" s="2">
        <f>IFERROR(__xludf.DUMMYFUNCTION("split(B5099,""_"")"),1510.0)</f>
        <v>1510</v>
      </c>
      <c r="D5099" s="2" t="str">
        <f>IFERROR(__xludf.DUMMYFUNCTION("""COMPUTED_VALUE"""),"TBS")</f>
        <v>TBS</v>
      </c>
      <c r="E5099" s="2" t="str">
        <f>IFERROR(__xludf.DUMMYFUNCTION("""COMPUTED_VALUE"""),"金22")</f>
        <v>金22</v>
      </c>
      <c r="F5099" s="2" t="s">
        <v>13733</v>
      </c>
      <c r="G5099" s="2" t="s">
        <v>14245</v>
      </c>
      <c r="H5099" s="1">
        <v>7.0</v>
      </c>
      <c r="J5099" s="1" t="s">
        <v>86</v>
      </c>
      <c r="K5099" s="2" t="s">
        <v>14246</v>
      </c>
      <c r="L5099" s="2"/>
      <c r="M5099" s="2" t="str">
        <f>IFERROR(__xludf.DUMMYFUNCTION("split(split(K5099,""【"",false),""公式LINE"",false)"),"助産院での自然分娩こそが赤ちゃんにとって一番の幸せだと信じて疑わない妊婦・森亜沙子（南沢奈央）は、バランスの取れた食生活を送り適度な運動を欠かさない、出産への意識がとても高い妊婦。しかし、助産院での出産への思いが強すぎるのか病院の産科を毛嫌いする一面も。通院する助産院のベテラン助産師・野々村秀子（冨士眞奈美）には、理想の出産を満足げに語るが、義務づけられている病院での検診では、担当医の鴻鳥サクラ（綾野剛）と一度も目も合わせないほど、病院での出産を嫌悪している。 一方、陣痛の痛みに耐えられない妊婦・山田郁美"&amp;"（足立梨花）は、助産師が主導で進められる正常なお産にも関わらず、サクラに対して、産科医なのに何で何もしてくれないのかと叫ぶ。そんな言いたい放題の郁美に対しても、助産師の小松留美子（吉田羊）は力強く手を握って励まし続ける。初産で不安がいっぱいな妊婦にはもっと寄り添う時間を増やしてあげたいが、病院ではそれが叶わない。実は助産院を開業した同期から引き抜きを受けていると、サクラと下屋加江（松岡茉優）に告げる。 そんな折、小松と四宮春樹（星野源）が言い争う事態に。鴻鳥サクラ…綾野　剛（あやのごう）  下屋加江…松岡"&amp;"茉優（まつおかまゆ）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第7話ゲスト ～  野々村秀子…冨士眞"&amp;"奈美  森亜沙子… 南沢奈央  山田郁美…足立梨花  大森太助…角田晃広（東京03）主題歌：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鈴木早苗演出：金子　文紀◇公式番組HP　http://www.tbs.co.jp/kounodori/   ◇公式ツイッターアカウ"&amp;"ント：https://twitter.com/kounodori_tbs  ◇公式フェイスブックアカウント：https://www.facebook.com/kounodori.tbs/　  ◇公式インスタグラム：kounodori_tbs  番組の内容と放送時間は変更になる可能性があります。")</f>
        <v>助産院での自然分娩こそが赤ちゃんにとって一番の幸せだと信じて疑わない妊婦・森亜沙子（南沢奈央）は、バランスの取れた食生活を送り適度な運動を欠かさない、出産への意識がとても高い妊婦。しかし、助産院での出産への思いが強すぎるのか病院の産科を毛嫌いする一面も。通院する助産院のベテラン助産師・野々村秀子（冨士眞奈美）には、理想の出産を満足げに語るが、義務づけられている病院での検診では、担当医の鴻鳥サクラ（綾野剛）と一度も目も合わせないほど、病院での出産を嫌悪している。 一方、陣痛の痛みに耐えられない妊婦・山田郁美（足立梨花）は、助産師が主導で進められる正常なお産にも関わらず、サクラに対して、産科医なのに何で何もしてくれないのかと叫ぶ。そんな言いたい放題の郁美に対しても、助産師の小松留美子（吉田羊）は力強く手を握って励まし続ける。初産で不安がいっぱいな妊婦にはもっと寄り添う時間を増やしてあげたいが、病院ではそれが叶わない。実は助産院を開業した同期から引き抜きを受けていると、サクラと下屋加江（松岡茉優）に告げる。 そんな折、小松と四宮春樹（星野源）が言い争う事態に。鴻鳥サクラ…綾野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第7話ゲスト ～  野々村秀子…冨士眞奈美  森亜沙子… 南沢奈央  山田郁美…足立梨花  大森太助…角田晃広（東京03）主題歌：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鈴木早苗演出：金子　文紀◇公式番組HP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v>
      </c>
      <c r="N5099" s="2"/>
      <c r="O5099" s="2"/>
      <c r="P5099" s="1"/>
      <c r="Q5099" s="1"/>
      <c r="R5099" s="1"/>
      <c r="S5099" s="1"/>
      <c r="T5099" s="1"/>
      <c r="U5099" s="1"/>
      <c r="V5099" s="1"/>
      <c r="W5099" s="1"/>
      <c r="X5099" s="1"/>
      <c r="Y5099" s="1"/>
      <c r="Z5099" s="1"/>
      <c r="AA5099" s="1"/>
      <c r="AB5099" s="1"/>
      <c r="AC5099" s="1"/>
      <c r="AD5099" s="1"/>
      <c r="AE5099" s="1"/>
      <c r="AF5099" s="1"/>
      <c r="AG5099" s="1"/>
      <c r="AH5099" s="1"/>
      <c r="AI5099" s="1"/>
      <c r="AJ5099" s="1"/>
      <c r="AK5099" s="1"/>
      <c r="AL5099" s="1"/>
      <c r="AM5099" s="1"/>
      <c r="AN5099" s="1"/>
      <c r="AO5099" s="1"/>
      <c r="AP5099" s="1"/>
      <c r="AQ5099" s="1"/>
      <c r="AR5099" s="1"/>
      <c r="AS5099" s="1"/>
      <c r="AT5099" s="1"/>
      <c r="AU5099" s="1"/>
      <c r="AV5099" s="1"/>
      <c r="AW5099" s="1"/>
      <c r="AX5099" s="1"/>
      <c r="AY5099" s="1"/>
      <c r="AZ5099" s="1"/>
      <c r="BA5099" s="1"/>
      <c r="BB5099" s="1"/>
    </row>
    <row r="5100" ht="204.75" customHeight="1">
      <c r="A5100" s="1">
        <v>1954.0</v>
      </c>
      <c r="B5100" s="2" t="s">
        <v>14232</v>
      </c>
      <c r="C5100" s="2">
        <f>IFERROR(__xludf.DUMMYFUNCTION("split(B5100,""_"")"),1510.0)</f>
        <v>1510</v>
      </c>
      <c r="D5100" s="2" t="str">
        <f>IFERROR(__xludf.DUMMYFUNCTION("""COMPUTED_VALUE"""),"TBS")</f>
        <v>TBS</v>
      </c>
      <c r="E5100" s="2" t="str">
        <f>IFERROR(__xludf.DUMMYFUNCTION("""COMPUTED_VALUE"""),"金22")</f>
        <v>金22</v>
      </c>
      <c r="F5100" s="2" t="s">
        <v>13733</v>
      </c>
      <c r="G5100" s="2" t="s">
        <v>14247</v>
      </c>
      <c r="H5100" s="1">
        <v>8.0</v>
      </c>
      <c r="J5100" s="1" t="s">
        <v>86</v>
      </c>
      <c r="K5100" s="2" t="s">
        <v>14248</v>
      </c>
      <c r="L5100" s="2"/>
      <c r="M5100" s="2" t="str">
        <f>IFERROR(__xludf.DUMMYFUNCTION("split(split(K5100,""【"",false),""公式LINE"",false)"),"鴻鳥サクラ（綾野剛）が診察する妊婦・川村実咲（中村ゆり）は、順調に37週を迎えているにもかかわらず、お腹の赤ちゃんが動くたびに苦しいと吐露する。実は、実咲は2年前サクラにとって忘れることのできない悲しい出産を迎えた妊婦だった。今度の妊娠は嬉しいけれど、まだ最初の赤ちゃんのことを乗り越えられないと言う実咲にサクラは…。一方、初めての妊娠で幸せいっぱいの妊婦・土屋マキ（谷村美月）は、四宮春樹（星野源）の診察でお腹の赤ちゃんが口唇口蓋裂であることを告げられる。四宮は手術をすれば治る疾患だと淡々と説明しマキを帰す"&amp;"が、あまりのショックに受け入れられずにいた。夫の昌和（森岡龍）に付き添われて再院したマキに担当を引き継いだサクラが丁寧に説明するが、やはり受け入れられないマキ…。そんな夫婦に新生児科の白川領（坂口健太郎）は「大袈裟に騒ぎすぎでは？」と言い放つのだった。白川の発言に四宮をはじめサクラと下屋加江（松岡茉優）も白川をたしなめるが、今橋貴之（大森南朋）は黙って白川にある1通の手紙を渡した…。鴻鳥サクラ…綾野　剛（あやのごう）  下屋加江…松岡茉優（まつおかまゆ）  小松留美子…吉田　羊（よしだよう）  白川　領…"&amp;"坂口健太郎（さかぐちけんたろう）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第8話ゲスト～   川村実咲…中村ゆり　土屋マキ…谷村美月　土屋昌和…森岡 龍　川村忠志…永岡 佑　相沢美雪…"&amp;"西田尚美　森口亮子…奥貫 薫　岸田秀典…高橋 洋主題歌：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　裕泰◇公式番組HP　http://www.tbs.co.jp/kounodori/   ◇公式ツイッターアカウント：https://twitter.c"&amp;"om/kounodori_tbs  ◇公式フェイスブックアカウント：https://www.facebook.com/kounodori.tbs/　  ◇公式インスタグラム：kounodori_tbs  番組の内容と放送時間は変更になる可能性があります。")</f>
        <v>鴻鳥サクラ（綾野剛）が診察する妊婦・川村実咲（中村ゆり）は、順調に37週を迎えているにもかかわらず、お腹の赤ちゃんが動くたびに苦しいと吐露する。実は、実咲は2年前サクラにとって忘れることのできない悲しい出産を迎えた妊婦だった。今度の妊娠は嬉しいけれど、まだ最初の赤ちゃんのことを乗り越えられないと言う実咲にサクラは…。一方、初めての妊娠で幸せいっぱいの妊婦・土屋マキ（谷村美月）は、四宮春樹（星野源）の診察でお腹の赤ちゃんが口唇口蓋裂であることを告げられる。四宮は手術をすれば治る疾患だと淡々と説明しマキを帰すが、あまりのショックに受け入れられずにいた。夫の昌和（森岡龍）に付き添われて再院したマキに担当を引き継いだサクラが丁寧に説明するが、やはり受け入れられないマキ…。そんな夫婦に新生児科の白川領（坂口健太郎）は「大袈裟に騒ぎすぎでは？」と言い放つのだった。白川の発言に四宮をはじめサクラと下屋加江（松岡茉優）も白川をたしなめるが、今橋貴之（大森南朋）は黙って白川にある1通の手紙を渡した…。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第8話ゲスト～   川村実咲…中村ゆり　土屋マキ…谷村美月　土屋昌和…森岡 龍　川村忠志…永岡 佑　相沢美雪…西田尚美　森口亮子…奥貫 薫　岸田秀典…高橋 洋主題歌：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　裕泰◇公式番組HP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v>
      </c>
      <c r="N5100" s="2"/>
      <c r="O5100" s="2"/>
      <c r="P5100" s="1"/>
      <c r="Q5100" s="1"/>
      <c r="R5100" s="1"/>
      <c r="S5100" s="1"/>
      <c r="T5100" s="1"/>
      <c r="U5100" s="1"/>
      <c r="V5100" s="1"/>
      <c r="W5100" s="1"/>
      <c r="X5100" s="1"/>
      <c r="Y5100" s="1"/>
      <c r="Z5100" s="1"/>
      <c r="AA5100" s="1"/>
      <c r="AB5100" s="1"/>
      <c r="AC5100" s="1"/>
      <c r="AD5100" s="1"/>
      <c r="AE5100" s="1"/>
      <c r="AF5100" s="1"/>
      <c r="AG5100" s="1"/>
      <c r="AH5100" s="1"/>
      <c r="AI5100" s="1"/>
      <c r="AJ5100" s="1"/>
      <c r="AK5100" s="1"/>
      <c r="AL5100" s="1"/>
      <c r="AM5100" s="1"/>
      <c r="AN5100" s="1"/>
      <c r="AO5100" s="1"/>
      <c r="AP5100" s="1"/>
      <c r="AQ5100" s="1"/>
      <c r="AR5100" s="1"/>
      <c r="AS5100" s="1"/>
      <c r="AT5100" s="1"/>
      <c r="AU5100" s="1"/>
      <c r="AV5100" s="1"/>
      <c r="AW5100" s="1"/>
      <c r="AX5100" s="1"/>
      <c r="AY5100" s="1"/>
      <c r="AZ5100" s="1"/>
      <c r="BA5100" s="1"/>
      <c r="BB5100" s="1"/>
    </row>
    <row r="5101" ht="204.75" customHeight="1">
      <c r="A5101" s="1">
        <v>1955.0</v>
      </c>
      <c r="B5101" s="2" t="s">
        <v>14232</v>
      </c>
      <c r="C5101" s="2">
        <f>IFERROR(__xludf.DUMMYFUNCTION("split(B5101,""_"")"),1510.0)</f>
        <v>1510</v>
      </c>
      <c r="D5101" s="2" t="str">
        <f>IFERROR(__xludf.DUMMYFUNCTION("""COMPUTED_VALUE"""),"TBS")</f>
        <v>TBS</v>
      </c>
      <c r="E5101" s="2" t="str">
        <f>IFERROR(__xludf.DUMMYFUNCTION("""COMPUTED_VALUE"""),"金22")</f>
        <v>金22</v>
      </c>
      <c r="F5101" s="2" t="s">
        <v>13733</v>
      </c>
      <c r="G5101" s="2" t="s">
        <v>14249</v>
      </c>
      <c r="H5101" s="1">
        <v>9.0</v>
      </c>
      <c r="J5101" s="1" t="s">
        <v>86</v>
      </c>
      <c r="K5101" s="2" t="s">
        <v>14250</v>
      </c>
      <c r="L5101" s="2"/>
      <c r="M5101" s="2" t="str">
        <f>IFERROR(__xludf.DUMMYFUNCTION("split(split(K5101,""【"",false),""公式LINE"",false)"),"6年前、四宮春樹（星野源）の患者が出産時に亡くなった。母親を助けられず家族を不幸にしてしまった自分を責め続けていた四宮は、そのとき生まれたつぼみちゃんの病室を毎日訪れ見守ってきた。そんな中、四宮がカイザーの手術中に、つぼみちゃんの容体が急変したという報せが入る…。鴻鳥サクラ（綾野剛）をはじめ同僚たちもつぼみの病室に急いで向かう…。ある日、23週で切迫早産になった妊婦・小泉明子（酒井美紀）が救急搬送されて来る。一方、不妊治療の甲斐あって妊娠した相沢美雪（西田尚美）は出生前診断をするか迷っていることをサクラに"&amp;"打ち明ける。妊娠できたことは嬉しいが、38歳という年齢での出産に、生まれてくる赤ちゃんに異常がないか気になっているという…。 突然訪れた厳しい現実に打ちのめされる家族。 そして、その姿を前に苦悩する医師たちは、試練を乗り越えることができるのか─？鴻鳥サクラ…綾野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船越拓也…豊本明長（とよも"&amp;"とあきなが）／東京03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第9話ゲスト～   永井浩之…小栗　旬 ・相沢美雪…西田尚美 小泉大介…吉沢 悠 小泉明子…酒井美紀 ・ 西山亜希菜…岡本 玲主題歌：  『あなたがここにいて抱きしめることができるなら』  ／ miwa（ソニー・ミュージックレコーズ）原作：『コウノド"&amp;"リ』（講談社刊）／ 鈴ノ木ユウ   脚本：山本むつみ  （『ゲゲゲの女房（NHK）』『八重の桜（NHK）』など）     プロデューサー：峠田　浩   企画：那須田淳　／　鈴木早苗 演出：金子　文紀◇公式番組HP　http://www.tbs.co.jp/kounodori/   ◇公式ツイッターアカウント：https://twitter.com/kounodori_tbs  ◇公式フェイスブックアカウント：https://www.facebook.com/kounodori.tbs/　  ◇公式インスタ"&amp;"グラム：kounodori_tbs  番組の内容と放送時間は変更になる可能性があります。")</f>
        <v>6年前、四宮春樹（星野源）の患者が出産時に亡くなった。母親を助けられず家族を不幸にしてしまった自分を責め続けていた四宮は、そのとき生まれたつぼみちゃんの病室を毎日訪れ見守ってきた。そんな中、四宮がカイザーの手術中に、つぼみちゃんの容体が急変したという報せが入る…。鴻鳥サクラ（綾野剛）をはじめ同僚たちもつぼみの病室に急いで向かう…。ある日、23週で切迫早産になった妊婦・小泉明子（酒井美紀）が救急搬送されて来る。一方、不妊治療の甲斐あって妊娠した相沢美雪（西田尚美）は出生前診断をするか迷っていることをサクラに打ち明ける。妊娠できたことは嬉しいが、38歳という年齢での出産に、生まれてくる赤ちゃんに異常がないか気になっているという…。 突然訪れた厳しい現実に打ちのめされる家族。 そして、その姿を前に苦悩する医師たちは、試練を乗り越えることができるのか─？鴻鳥サクラ…綾野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第9話ゲスト～   永井浩之…小栗　旬 ・相沢美雪…西田尚美 小泉大介…吉沢 悠 小泉明子…酒井美紀 ・ 西山亜希菜…岡本 玲主題歌：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 演出：金子　文紀◇公式番組HP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v>
      </c>
      <c r="N5101" s="2"/>
      <c r="O5101" s="2"/>
      <c r="P5101" s="1"/>
      <c r="Q5101" s="1"/>
      <c r="R5101" s="1"/>
      <c r="S5101" s="1"/>
      <c r="T5101" s="1"/>
      <c r="U5101" s="1"/>
      <c r="V5101" s="1"/>
      <c r="W5101" s="1"/>
      <c r="X5101" s="1"/>
      <c r="Y5101" s="1"/>
      <c r="Z5101" s="1"/>
      <c r="AA5101" s="1"/>
      <c r="AB5101" s="1"/>
      <c r="AC5101" s="1"/>
      <c r="AD5101" s="1"/>
      <c r="AE5101" s="1"/>
      <c r="AF5101" s="1"/>
      <c r="AG5101" s="1"/>
      <c r="AH5101" s="1"/>
      <c r="AI5101" s="1"/>
      <c r="AJ5101" s="1"/>
      <c r="AK5101" s="1"/>
      <c r="AL5101" s="1"/>
      <c r="AM5101" s="1"/>
      <c r="AN5101" s="1"/>
      <c r="AO5101" s="1"/>
      <c r="AP5101" s="1"/>
      <c r="AQ5101" s="1"/>
      <c r="AR5101" s="1"/>
      <c r="AS5101" s="1"/>
      <c r="AT5101" s="1"/>
      <c r="AU5101" s="1"/>
      <c r="AV5101" s="1"/>
      <c r="AW5101" s="1"/>
      <c r="AX5101" s="1"/>
      <c r="AY5101" s="1"/>
      <c r="AZ5101" s="1"/>
      <c r="BA5101" s="1"/>
      <c r="BB5101" s="1"/>
    </row>
    <row r="5102" ht="204.75" customHeight="1">
      <c r="A5102" s="1">
        <v>1956.0</v>
      </c>
      <c r="B5102" s="2" t="s">
        <v>14232</v>
      </c>
      <c r="C5102" s="2">
        <f>IFERROR(__xludf.DUMMYFUNCTION("split(B5102,""_"")"),1510.0)</f>
        <v>1510</v>
      </c>
      <c r="D5102" s="2" t="str">
        <f>IFERROR(__xludf.DUMMYFUNCTION("""COMPUTED_VALUE"""),"TBS")</f>
        <v>TBS</v>
      </c>
      <c r="E5102" s="2" t="str">
        <f>IFERROR(__xludf.DUMMYFUNCTION("""COMPUTED_VALUE"""),"金22")</f>
        <v>金22</v>
      </c>
      <c r="F5102" s="2" t="s">
        <v>13733</v>
      </c>
      <c r="G5102" s="2" t="s">
        <v>14251</v>
      </c>
      <c r="H5102" s="1">
        <v>10.0</v>
      </c>
      <c r="J5102" s="1" t="s">
        <v>82</v>
      </c>
      <c r="K5102" s="2" t="s">
        <v>14252</v>
      </c>
      <c r="L5102" s="2"/>
      <c r="M5102" s="2" t="str">
        <f>IFERROR(__xludf.DUMMYFUNCTION("split(split(K5102,""【"",false),""公式LINE"",false)"),"鴻鳥サクラ…綾野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今橋貴之…大森南朋（おお"&amp;"もりなお）主題歌：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ビリギャル』など）、金子文紀（『金曜ドラマ 木更津キャッツアイ』『タイガー＆ドラゴン』など）　ほか◇公式番組HP　http://www.tbs.co."&amp;"jp/kounodori/   ◇公式ツイッターアカウント：https://twitter.com/kounodori_tbs  ◇公式フェイスブックアカウント：https://www.facebook.com/kounodori.tbs/　  ◇公式インスタグラム：kounodori_tbs  番組の内容と放送時間は変更になる可能性があります。")</f>
        <v>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ビリギャル』など）、金子文紀（『金曜ドラマ 木更津キャッツアイ』『タイガー＆ドラゴン』など）　ほか◇公式番組HP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v>
      </c>
      <c r="N5102" s="2"/>
      <c r="O5102" s="2"/>
      <c r="P5102" s="1"/>
      <c r="Q5102" s="1"/>
      <c r="R5102" s="1"/>
      <c r="S5102" s="1"/>
      <c r="T5102" s="1"/>
      <c r="U5102" s="1"/>
      <c r="V5102" s="1"/>
      <c r="W5102" s="1"/>
      <c r="X5102" s="1"/>
      <c r="Y5102" s="1"/>
      <c r="Z5102" s="1"/>
      <c r="AA5102" s="1"/>
      <c r="AB5102" s="1"/>
      <c r="AC5102" s="1"/>
      <c r="AD5102" s="1"/>
      <c r="AE5102" s="1"/>
      <c r="AF5102" s="1"/>
      <c r="AG5102" s="1"/>
      <c r="AH5102" s="1"/>
      <c r="AI5102" s="1"/>
      <c r="AJ5102" s="1"/>
      <c r="AK5102" s="1"/>
      <c r="AL5102" s="1"/>
      <c r="AM5102" s="1"/>
      <c r="AN5102" s="1"/>
      <c r="AO5102" s="1"/>
      <c r="AP5102" s="1"/>
      <c r="AQ5102" s="1"/>
      <c r="AR5102" s="1"/>
      <c r="AS5102" s="1"/>
      <c r="AT5102" s="1"/>
      <c r="AU5102" s="1"/>
      <c r="AV5102" s="1"/>
      <c r="AW5102" s="1"/>
      <c r="AX5102" s="1"/>
      <c r="AY5102" s="1"/>
      <c r="AZ5102" s="1"/>
      <c r="BA5102" s="1"/>
      <c r="BB5102" s="1"/>
    </row>
    <row r="5103" ht="204.75" customHeight="1">
      <c r="A5103" s="1">
        <v>1975.0</v>
      </c>
      <c r="B5103" s="2" t="s">
        <v>14253</v>
      </c>
      <c r="C5103" s="2">
        <f>IFERROR(__xludf.DUMMYFUNCTION("split(B5103,""_"")"),1510.0)</f>
        <v>1510</v>
      </c>
      <c r="D5103" s="2" t="str">
        <f>IFERROR(__xludf.DUMMYFUNCTION("""COMPUTED_VALUE"""),"TBS")</f>
        <v>TBS</v>
      </c>
      <c r="E5103" s="2" t="str">
        <f>IFERROR(__xludf.DUMMYFUNCTION("""COMPUTED_VALUE"""),"日21")</f>
        <v>日21</v>
      </c>
      <c r="F5103" s="2" t="s">
        <v>13401</v>
      </c>
      <c r="G5103" s="2" t="s">
        <v>14254</v>
      </c>
      <c r="H5103" s="1">
        <v>1.0</v>
      </c>
      <c r="J5103" s="1" t="s">
        <v>4</v>
      </c>
      <c r="K5103" s="2" t="s">
        <v>14255</v>
      </c>
      <c r="L5103" s="2"/>
      <c r="M5103" s="2" t="str">
        <f>IFERROR(__xludf.DUMMYFUNCTION("split(split(K5103,""【"",false),""公式LINE"",false)"),"池井戸潤原作・直木賞受賞作で、累計130万部を超える大ベストセラーを阿部寛主演でドラマ化！  元宇宙科学開発機構の研究員で、今は佃製作所の社長を営む、佃航平（阿部寛）。あらゆる困難に立ち向かい、中小企業が大企業に戦いを挑む！夢を持って働く全ての人に贈る感動のエンターテインメント巨編！これを観れば月曜日からも頑張れる、毎日働くあなたに贈る人生、夢と感動のドラマです。  阿部 寛　土屋太鳳　立川談春　安田顕　和田聰宏　今野浩喜　山崎育三郎　中本賢　谷田歩　中村倫也　阿部進之介　竹内涼真　佐野岳　阿藤快　・　真"&amp;"矢ミキ　・　新井浩文　木下ほうか　橋本さとし　春風亭昇太　東国原英夫　池畑慎之介　・　恵 俊彰　倍賞美津子　吉川晃司　杉良太郎脚本：八津弘幸  プロデューサー：伊與田英徳　川嶋龍太郎  演出：福澤克雄・棚澤孝義・田中健太◇番組HP http://www.tbs.co.jp/shitamachi_rocket/  ◇twitter  @rocket_tbs  https://twitter.com/rocket_tbs  ◇facebook  https://www.facebook.com/shitama"&amp;"chi.rocket  阿部寛ら豪華キャストで制作発表! 10/18（日）スタート『下町ロケット』池井戸潤 直木賞受賞作　動画公開しました！  https://youtu.be/tTgOoEmky7w  番組の内容と放送時間は変更になる可能性があります。")</f>
        <v>池井戸潤原作・直木賞受賞作で、累計130万部を超える大ベストセラーを阿部寛主演でドラマ化！  元宇宙科学開発機構の研究員で、今は佃製作所の社長を営む、佃航平（阿部寛）。あらゆる困難に立ち向かい、中小企業が大企業に戦いを挑む！夢を持って働く全ての人に贈る感動のエンターテインメント巨編！これを観れば月曜日からも頑張れる、毎日働くあなたに贈る人生、夢と感動のドラマです。  阿部 寛　土屋太鳳　立川談春　安田顕　和田聰宏　今野浩喜　山崎育三郎　中本賢　谷田歩　中村倫也　阿部進之介　竹内涼真　佐野岳　阿藤快　・　真矢ミキ　・　新井浩文　木下ほうか　橋本さとし　春風亭昇太　東国原英夫　池畑慎之介　・　恵 俊彰　倍賞美津子　吉川晃司　杉良太郎脚本：八津弘幸  プロデューサー：伊與田英徳　川嶋龍太郎  演出：福澤克雄・棚澤孝義・田中健太◇番組HP http://www.tbs.co.jp/shitamachi_rocket/  ◇twitter  @rocket_tbs  https://twitter.com/rocket_tbs  ◇facebook  https://www.facebook.com/shitamachi.rocket  阿部寛ら豪華キャストで制作発表! 10/18（日）スタート『下町ロケット』池井戸潤 直木賞受賞作　動画公開しました！  https://youtu.be/tTgOoEmky7w  番組の内容と放送時間は変更になる可能性があります。</v>
      </c>
      <c r="N5103" s="2"/>
      <c r="O5103" s="2"/>
      <c r="P5103" s="1"/>
      <c r="Q5103" s="1"/>
      <c r="R5103" s="1"/>
      <c r="S5103" s="1"/>
      <c r="T5103" s="1"/>
      <c r="U5103" s="1"/>
      <c r="V5103" s="1"/>
      <c r="W5103" s="1"/>
      <c r="X5103" s="1"/>
      <c r="Y5103" s="1"/>
      <c r="Z5103" s="1"/>
      <c r="AA5103" s="1"/>
      <c r="AB5103" s="1"/>
      <c r="AC5103" s="1"/>
      <c r="AD5103" s="1"/>
      <c r="AE5103" s="1"/>
      <c r="AF5103" s="1"/>
      <c r="AG5103" s="1"/>
      <c r="AH5103" s="1"/>
      <c r="AI5103" s="1"/>
      <c r="AJ5103" s="1"/>
      <c r="AK5103" s="1"/>
      <c r="AL5103" s="1"/>
      <c r="AM5103" s="1"/>
      <c r="AN5103" s="1"/>
      <c r="AO5103" s="1"/>
      <c r="AP5103" s="1"/>
      <c r="AQ5103" s="1"/>
      <c r="AR5103" s="1"/>
      <c r="AS5103" s="1"/>
      <c r="AT5103" s="1"/>
      <c r="AU5103" s="1"/>
      <c r="AV5103" s="1"/>
      <c r="AW5103" s="1"/>
      <c r="AX5103" s="1"/>
      <c r="AY5103" s="1"/>
      <c r="AZ5103" s="1"/>
      <c r="BA5103" s="1"/>
      <c r="BB5103" s="1"/>
    </row>
    <row r="5104" ht="204.75" customHeight="1">
      <c r="A5104" s="1">
        <v>1976.0</v>
      </c>
      <c r="B5104" s="2" t="s">
        <v>14253</v>
      </c>
      <c r="C5104" s="2">
        <f>IFERROR(__xludf.DUMMYFUNCTION("split(B5104,""_"")"),1510.0)</f>
        <v>1510</v>
      </c>
      <c r="D5104" s="2" t="str">
        <f>IFERROR(__xludf.DUMMYFUNCTION("""COMPUTED_VALUE"""),"TBS")</f>
        <v>TBS</v>
      </c>
      <c r="E5104" s="2" t="str">
        <f>IFERROR(__xludf.DUMMYFUNCTION("""COMPUTED_VALUE"""),"日21")</f>
        <v>日21</v>
      </c>
      <c r="F5104" s="2" t="s">
        <v>13401</v>
      </c>
      <c r="G5104" s="2" t="s">
        <v>14256</v>
      </c>
      <c r="H5104" s="1">
        <v>2.0</v>
      </c>
      <c r="J5104" s="1" t="s">
        <v>4</v>
      </c>
      <c r="K5104" s="2" t="s">
        <v>14257</v>
      </c>
      <c r="L5104" s="2"/>
      <c r="M5104" s="2" t="str">
        <f>IFERROR(__xludf.DUMMYFUNCTION("split(split(K5104,""【"",false),""公式LINE"",false)"),"池井戸潤原作・直木賞受賞作で、累計130万部を超える大ベストセラーを阿部寛主演でドラマ化！ヒロインは朝ドラ後初連ドラ出演となる土屋太鳳。44年ぶりにTBS連ドラ出演の杉良太郎ほか、豪華キャストで贈る感動のエンターテインメント巨編！今夜、佃（阿部寛）と財前（吉川晃司）が直接対決！特許を守り抜くことができるのか！？大企業相手の訴訟対決では佃製作所が反撃を開始！！法廷の中で描かれる父娘の親子愛とは・・・阿部 寛　土屋太鳳　立川談春　安田顕　和田聰宏　今野浩喜　山崎育三郎　中本賢　谷田歩　中村倫也　阿部進之介　竹"&amp;"内涼真　佐野岳　阿藤快　・　真矢ミキ　・　新井浩文　木下ほうか　橋本さとし　春風亭昇太　東国原英夫　池畑慎之介　・　恵 俊彰　倍賞美津子　吉川晃司　杉良太郎脚本：八津弘幸  プロデューサー：伊與田英徳　川嶋龍太郎  演出：福澤克雄・棚澤孝義・田中健太◇番組HP http://www.tbs.co.jp/shitamachi_rocket/  ◇twitter  @rocket_tbs  https://twitter.com/rocket_tbs  ◇facebook  https://www.faceb"&amp;"ook.com/shitamachi.rocket  ◇TBS公式 YouTuboo  https://www.youtube.com/playlist?list=PLCUNF--_h4Oz7WU9IdjBG0tkgrrEYrsps  番組の内容と放送時間は変更になる可能性があります。")</f>
        <v>池井戸潤原作・直木賞受賞作で、累計130万部を超える大ベストセラーを阿部寛主演でドラマ化！ヒロインは朝ドラ後初連ドラ出演となる土屋太鳳。44年ぶりにTBS連ドラ出演の杉良太郎ほか、豪華キャストで贈る感動のエンターテインメント巨編！今夜、佃（阿部寛）と財前（吉川晃司）が直接対決！特許を守り抜くことができるのか！？大企業相手の訴訟対決では佃製作所が反撃を開始！！法廷の中で描かれる父娘の親子愛とは・・・阿部 寛　土屋太鳳　立川談春　安田顕　和田聰宏　今野浩喜　山崎育三郎　中本賢　谷田歩　中村倫也　阿部進之介　竹内涼真　佐野岳　阿藤快　・　真矢ミキ　・　新井浩文　木下ほうか　橋本さとし　春風亭昇太　東国原英夫　池畑慎之介　・　恵 俊彰　倍賞美津子　吉川晃司　杉良太郎脚本：八津弘幸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  番組の内容と放送時間は変更になる可能性があります。</v>
      </c>
      <c r="N5104" s="2"/>
      <c r="O5104" s="2"/>
      <c r="P5104" s="1"/>
      <c r="Q5104" s="1"/>
      <c r="R5104" s="1"/>
      <c r="S5104" s="1"/>
      <c r="T5104" s="1"/>
      <c r="U5104" s="1"/>
      <c r="V5104" s="1"/>
      <c r="W5104" s="1"/>
      <c r="X5104" s="1"/>
      <c r="Y5104" s="1"/>
      <c r="Z5104" s="1"/>
      <c r="AA5104" s="1"/>
      <c r="AB5104" s="1"/>
      <c r="AC5104" s="1"/>
      <c r="AD5104" s="1"/>
      <c r="AE5104" s="1"/>
      <c r="AF5104" s="1"/>
      <c r="AG5104" s="1"/>
      <c r="AH5104" s="1"/>
      <c r="AI5104" s="1"/>
      <c r="AJ5104" s="1"/>
      <c r="AK5104" s="1"/>
      <c r="AL5104" s="1"/>
      <c r="AM5104" s="1"/>
      <c r="AN5104" s="1"/>
      <c r="AO5104" s="1"/>
      <c r="AP5104" s="1"/>
      <c r="AQ5104" s="1"/>
      <c r="AR5104" s="1"/>
      <c r="AS5104" s="1"/>
      <c r="AT5104" s="1"/>
      <c r="AU5104" s="1"/>
      <c r="AV5104" s="1"/>
      <c r="AW5104" s="1"/>
      <c r="AX5104" s="1"/>
      <c r="AY5104" s="1"/>
      <c r="AZ5104" s="1"/>
      <c r="BA5104" s="1"/>
      <c r="BB5104" s="1"/>
    </row>
    <row r="5105" ht="204.75" customHeight="1">
      <c r="A5105" s="1">
        <v>1977.0</v>
      </c>
      <c r="B5105" s="2" t="s">
        <v>14253</v>
      </c>
      <c r="C5105" s="2">
        <f>IFERROR(__xludf.DUMMYFUNCTION("split(B5105,""_"")"),1510.0)</f>
        <v>1510</v>
      </c>
      <c r="D5105" s="2" t="str">
        <f>IFERROR(__xludf.DUMMYFUNCTION("""COMPUTED_VALUE"""),"TBS")</f>
        <v>TBS</v>
      </c>
      <c r="E5105" s="2" t="str">
        <f>IFERROR(__xludf.DUMMYFUNCTION("""COMPUTED_VALUE"""),"日21")</f>
        <v>日21</v>
      </c>
      <c r="F5105" s="2" t="s">
        <v>13401</v>
      </c>
      <c r="G5105" s="2" t="s">
        <v>14258</v>
      </c>
      <c r="H5105" s="1">
        <v>3.0</v>
      </c>
      <c r="J5105" s="1" t="s">
        <v>11</v>
      </c>
      <c r="K5105" s="2" t="s">
        <v>14259</v>
      </c>
      <c r="L5105" s="2"/>
      <c r="M5105" s="2" t="str">
        <f>IFERROR(__xludf.DUMMYFUNCTION("split(split(K5105,""【"",false),""公式LINE"",false)"),"今度の敵は帝国重工！ついに大企業のエリートが牙をむく！！／佃のあきらめきれない夢が動き出すーーしかし、佃製作所社内では、夢を優先する佃に反対する若手社員のクーデターが勃発！どうなる、佃製作所！？／帝国重工・財前の過去があきらかに・・・財前が中小企業を嫌う本当の理由とは／娘・利菜が佃に本音を打ち明ける・・・利菜の秘めた思いとは／これを観れば明日からまた頑張れる、痛快エンターテインメント巨編！阿部 寛　土屋太鳳　立川談春　安田顕　和田聰宏　今野浩喜　山崎育三郎　中本賢　谷田歩　阿部進之介　竹内涼真　佐野岳　・"&amp;"　真矢ミキ　・　新井浩文　木下ほうか　吉川晃司　杉良太郎脚本：八津弘幸  プロデューサー：伊與田英徳　川嶋龍太郎  演出：福澤克雄・棚澤孝義・田中健太◇番組HP http://www.tbs.co.jp/shitamachi_rocket/  ◇twitter  @rocket_tbs  https://twitter.com/rocket_tbs  ◇facebook  https://www.facebook.com/shitamachi.rocket  ◇TBS公式 YouTuboo  https:"&amp;"//www.youtube.com/playlist?list=PLCUNF--_h4Oz7WU9IdjBG0tkgrrEYrsps番組の内容と放送時間は変更になる可能性があります。")</f>
        <v>今度の敵は帝国重工！ついに大企業のエリートが牙をむく！！／佃のあきらめきれない夢が動き出すーーしかし、佃製作所社内では、夢を優先する佃に反対する若手社員のクーデターが勃発！どうなる、佃製作所！？／帝国重工・財前の過去があきらかに・・・財前が中小企業を嫌う本当の理由とは／娘・利菜が佃に本音を打ち明ける・・・利菜の秘めた思いとは／これを観れば明日からまた頑張れる、痛快エンターテインメント巨編！阿部 寛　土屋太鳳　立川談春　安田顕　和田聰宏　今野浩喜　山崎育三郎　中本賢　谷田歩　阿部進之介　竹内涼真　佐野岳　・　真矢ミキ　・　新井浩文　木下ほうか　吉川晃司　杉良太郎脚本：八津弘幸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v>
      </c>
      <c r="N5105" s="2"/>
      <c r="O5105" s="2"/>
      <c r="P5105" s="1"/>
      <c r="Q5105" s="1"/>
      <c r="R5105" s="1"/>
      <c r="S5105" s="1"/>
      <c r="T5105" s="1"/>
      <c r="U5105" s="1"/>
      <c r="V5105" s="1"/>
      <c r="W5105" s="1"/>
      <c r="X5105" s="1"/>
      <c r="Y5105" s="1"/>
      <c r="Z5105" s="1"/>
      <c r="AA5105" s="1"/>
      <c r="AB5105" s="1"/>
      <c r="AC5105" s="1"/>
      <c r="AD5105" s="1"/>
      <c r="AE5105" s="1"/>
      <c r="AF5105" s="1"/>
      <c r="AG5105" s="1"/>
      <c r="AH5105" s="1"/>
      <c r="AI5105" s="1"/>
      <c r="AJ5105" s="1"/>
      <c r="AK5105" s="1"/>
      <c r="AL5105" s="1"/>
      <c r="AM5105" s="1"/>
      <c r="AN5105" s="1"/>
      <c r="AO5105" s="1"/>
      <c r="AP5105" s="1"/>
      <c r="AQ5105" s="1"/>
      <c r="AR5105" s="1"/>
      <c r="AS5105" s="1"/>
      <c r="AT5105" s="1"/>
      <c r="AU5105" s="1"/>
      <c r="AV5105" s="1"/>
      <c r="AW5105" s="1"/>
      <c r="AX5105" s="1"/>
      <c r="AY5105" s="1"/>
      <c r="AZ5105" s="1"/>
      <c r="BA5105" s="1"/>
      <c r="BB5105" s="1"/>
    </row>
    <row r="5106" ht="204.75" customHeight="1">
      <c r="A5106" s="1">
        <v>1978.0</v>
      </c>
      <c r="B5106" s="2" t="s">
        <v>14253</v>
      </c>
      <c r="C5106" s="2">
        <f>IFERROR(__xludf.DUMMYFUNCTION("split(B5106,""_"")"),1510.0)</f>
        <v>1510</v>
      </c>
      <c r="D5106" s="2" t="str">
        <f>IFERROR(__xludf.DUMMYFUNCTION("""COMPUTED_VALUE"""),"TBS")</f>
        <v>TBS</v>
      </c>
      <c r="E5106" s="2" t="str">
        <f>IFERROR(__xludf.DUMMYFUNCTION("""COMPUTED_VALUE"""),"日21")</f>
        <v>日21</v>
      </c>
      <c r="F5106" s="2" t="s">
        <v>13401</v>
      </c>
      <c r="G5106" s="2" t="s">
        <v>14260</v>
      </c>
      <c r="H5106" s="1">
        <v>4.0</v>
      </c>
      <c r="J5106" s="1" t="s">
        <v>11</v>
      </c>
      <c r="K5106" s="2" t="s">
        <v>14261</v>
      </c>
      <c r="L5106" s="2"/>
      <c r="M5106" s="2" t="str">
        <f>IFERROR(__xludf.DUMMYFUNCTION("split(split(K5106,""【"",false),""公式LINE"",false)"),"大逆転の第4話！今夜ついに反撃開始で、スカッとさせます！！／佃製作所vs帝国重工全面戦争勃発！！ロケットエンジンの部品供給を賭けた戦いが始まる！／佃製作所一致団結でついに反撃開始！下請けの屈辱を晴らせ！！／帝国重工からエリート刺客現るー下請け企業と罵られ、奈落の底に突き落とされる佃製作所／ふいに見せた娘の涙・・・その理由とは！？／これを観れば明日からまた頑張れる、痛快エンターテインメント巨編！阿部 寛　土屋太鳳　立川談春　安田顕　和田聰宏　今野浩喜　山崎育三郎　中本賢　谷田歩　中村倫也　阿部進之介　竹内涼"&amp;"真　佐野岳　・　真矢ミキ　・　新井浩文　木下ほうか　吉川晃司　杉良太郎  ゲスト：戸次重幸（TEAM　NACS）・六角慎司・近藤公園（大人計画）脚本：八津弘幸  プロデューサー：伊與田英徳　川嶋龍太郎  演出：福澤克雄・棚澤孝義・田中健太◇番組HP http://www.tbs.co.jp/shitamachi_rocket/  ◇twitter  @rocket_tbs  https://twitter.com/rocket_tbs  ◇facebook  https://www.facebook.co"&amp;"m/shitamachi.rocket  ◇TBS公式 YouTuboo  https://www.youtube.com/playlist?list=PLCUNF--_h4Oz7WU9IdjBG0tkgrrEYrsps番組の内容と放送時間は変更になる可能性があります。")</f>
        <v>大逆転の第4話！今夜ついに反撃開始で、スカッとさせます！！／佃製作所vs帝国重工全面戦争勃発！！ロケットエンジンの部品供給を賭けた戦いが始まる！／佃製作所一致団結でついに反撃開始！下請けの屈辱を晴らせ！！／帝国重工からエリート刺客現るー下請け企業と罵られ、奈落の底に突き落とされる佃製作所／ふいに見せた娘の涙・・・その理由とは！？／これを観れば明日からまた頑張れる、痛快エンターテインメント巨編！阿部 寛　土屋太鳳　立川談春　安田顕　和田聰宏　今野浩喜　山崎育三郎　中本賢　谷田歩　中村倫也　阿部進之介　竹内涼真　佐野岳　・　真矢ミキ　・　新井浩文　木下ほうか　吉川晃司　杉良太郎  ゲスト：戸次重幸（TEAM　NACS）・六角慎司・近藤公園（大人計画）脚本：八津弘幸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v>
      </c>
      <c r="N5106" s="2"/>
      <c r="O5106" s="2"/>
      <c r="P5106" s="1"/>
      <c r="Q5106" s="1"/>
      <c r="R5106" s="1"/>
      <c r="S5106" s="1"/>
      <c r="T5106" s="1"/>
      <c r="U5106" s="1"/>
      <c r="V5106" s="1"/>
      <c r="W5106" s="1"/>
      <c r="X5106" s="1"/>
      <c r="Y5106" s="1"/>
      <c r="Z5106" s="1"/>
      <c r="AA5106" s="1"/>
      <c r="AB5106" s="1"/>
      <c r="AC5106" s="1"/>
      <c r="AD5106" s="1"/>
      <c r="AE5106" s="1"/>
      <c r="AF5106" s="1"/>
      <c r="AG5106" s="1"/>
      <c r="AH5106" s="1"/>
      <c r="AI5106" s="1"/>
      <c r="AJ5106" s="1"/>
      <c r="AK5106" s="1"/>
      <c r="AL5106" s="1"/>
      <c r="AM5106" s="1"/>
      <c r="AN5106" s="1"/>
      <c r="AO5106" s="1"/>
      <c r="AP5106" s="1"/>
      <c r="AQ5106" s="1"/>
      <c r="AR5106" s="1"/>
      <c r="AS5106" s="1"/>
      <c r="AT5106" s="1"/>
      <c r="AU5106" s="1"/>
      <c r="AV5106" s="1"/>
      <c r="AW5106" s="1"/>
      <c r="AX5106" s="1"/>
      <c r="AY5106" s="1"/>
      <c r="AZ5106" s="1"/>
      <c r="BA5106" s="1"/>
      <c r="BB5106" s="1"/>
    </row>
    <row r="5107" ht="204.75" customHeight="1">
      <c r="A5107" s="1">
        <v>1979.0</v>
      </c>
      <c r="B5107" s="2" t="s">
        <v>14253</v>
      </c>
      <c r="C5107" s="2">
        <f>IFERROR(__xludf.DUMMYFUNCTION("split(B5107,""_"")"),1510.0)</f>
        <v>1510</v>
      </c>
      <c r="D5107" s="2" t="str">
        <f>IFERROR(__xludf.DUMMYFUNCTION("""COMPUTED_VALUE"""),"TBS")</f>
        <v>TBS</v>
      </c>
      <c r="E5107" s="2" t="str">
        <f>IFERROR(__xludf.DUMMYFUNCTION("""COMPUTED_VALUE"""),"日21")</f>
        <v>日21</v>
      </c>
      <c r="F5107" s="2" t="s">
        <v>13401</v>
      </c>
      <c r="G5107" s="2" t="s">
        <v>14262</v>
      </c>
      <c r="H5107" s="1">
        <v>5.0</v>
      </c>
      <c r="J5107" s="1" t="s">
        <v>4</v>
      </c>
      <c r="K5107" s="2" t="s">
        <v>14263</v>
      </c>
      <c r="L5107" s="2"/>
      <c r="M5107" s="2" t="str">
        <f>IFERROR(__xludf.DUMMYFUNCTION("split(split(K5107,""【"",false),""公式LINE"",false)"),"今夜、ロケット編完結！！涙と波乱のクライマックスを見逃すな！！／佃製作所の前に立ちはだかる最後の関門・・・それは帝国重工社長！！最後の戦いが始まる／最終燃焼試験失敗！！佃製のバルブに欠陥が・・・！？／佃製作所は最大の危機を乗り越えてロケットを打ち上げることができるのか！？／今夜涙と波乱のクライマックス！！これを観なければ明日が始まらない！！明日からまた頑張る人のための痛快エンターテインメント巨編！阿部 寛　土屋太鳳　立川談春　安田顕　和田聰宏　今野浩喜　山崎育三郎　中本賢　谷田歩　中村倫也　阿部進之介　竹"&amp;"内涼真　佐野岳　・　真矢ミキ　・　新井浩文　木下ほうか　吉川晃司　杉良太郎  ゲスト：近藤公園（大人計画）脚本：八津弘幸  プロデューサー：伊與田英徳　川嶋龍太郎  演出：福澤克雄・棚澤孝義・田中健太◇番組HP http://www.tbs.co.jp/shitamachi_rocket/  ◇twitter  @rocket_tbs  https://twitter.com/rocket_tbs  ◇facebook  https://www.facebook.com/shitamachi.rocket"&amp;"  ◇TBS公式 YouTuboo  https://www.youtube.com/playlist?list=PLCUNF--_h4Oz7WU9IdjBG0tkgrrEYrsps世界野球プレミア12　「日本×ベネズエラ」の試合状況により、放送時間が変更になる可能性がございます。")</f>
        <v>今夜、ロケット編完結！！涙と波乱のクライマックスを見逃すな！！／佃製作所の前に立ちはだかる最後の関門・・・それは帝国重工社長！！最後の戦いが始まる／最終燃焼試験失敗！！佃製のバルブに欠陥が・・・！？／佃製作所は最大の危機を乗り越えてロケットを打ち上げることができるのか！？／今夜涙と波乱のクライマックス！！これを観なければ明日が始まらない！！明日からまた頑張る人のための痛快エンターテインメント巨編！阿部 寛　土屋太鳳　立川談春　安田顕　和田聰宏　今野浩喜　山崎育三郎　中本賢　谷田歩　中村倫也　阿部進之介　竹内涼真　佐野岳　・　真矢ミキ　・　新井浩文　木下ほうか　吉川晃司　杉良太郎  ゲスト：近藤公園（大人計画）脚本：八津弘幸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https://www.youtube.com/playlist?list=PLCUNF--_h4Oz7WU9IdjBG0tkgrrEYrsps世界野球プレミア12　「日本×ベネズエラ」の試合状況により、放送時間が変更になる可能性がございます。</v>
      </c>
      <c r="N5107" s="2"/>
      <c r="O5107" s="2"/>
      <c r="P5107" s="1"/>
      <c r="Q5107" s="1"/>
      <c r="R5107" s="1"/>
      <c r="S5107" s="1"/>
      <c r="T5107" s="1"/>
      <c r="U5107" s="1"/>
      <c r="V5107" s="1"/>
      <c r="W5107" s="1"/>
      <c r="X5107" s="1"/>
      <c r="Y5107" s="1"/>
      <c r="Z5107" s="1"/>
      <c r="AA5107" s="1"/>
      <c r="AB5107" s="1"/>
      <c r="AC5107" s="1"/>
      <c r="AD5107" s="1"/>
      <c r="AE5107" s="1"/>
      <c r="AF5107" s="1"/>
      <c r="AG5107" s="1"/>
      <c r="AH5107" s="1"/>
      <c r="AI5107" s="1"/>
      <c r="AJ5107" s="1"/>
      <c r="AK5107" s="1"/>
      <c r="AL5107" s="1"/>
      <c r="AM5107" s="1"/>
      <c r="AN5107" s="1"/>
      <c r="AO5107" s="1"/>
      <c r="AP5107" s="1"/>
      <c r="AQ5107" s="1"/>
      <c r="AR5107" s="1"/>
      <c r="AS5107" s="1"/>
      <c r="AT5107" s="1"/>
      <c r="AU5107" s="1"/>
      <c r="AV5107" s="1"/>
      <c r="AW5107" s="1"/>
      <c r="AX5107" s="1"/>
      <c r="AY5107" s="1"/>
      <c r="AZ5107" s="1"/>
      <c r="BA5107" s="1"/>
      <c r="BB5107" s="1"/>
    </row>
    <row r="5108" ht="204.75" customHeight="1">
      <c r="A5108" s="1">
        <v>1980.0</v>
      </c>
      <c r="B5108" s="2" t="s">
        <v>14253</v>
      </c>
      <c r="C5108" s="2">
        <f>IFERROR(__xludf.DUMMYFUNCTION("split(B5108,""_"")"),1510.0)</f>
        <v>1510</v>
      </c>
      <c r="D5108" s="2" t="str">
        <f>IFERROR(__xludf.DUMMYFUNCTION("""COMPUTED_VALUE"""),"TBS")</f>
        <v>TBS</v>
      </c>
      <c r="E5108" s="2" t="str">
        <f>IFERROR(__xludf.DUMMYFUNCTION("""COMPUTED_VALUE"""),"日21")</f>
        <v>日21</v>
      </c>
      <c r="F5108" s="2" t="s">
        <v>13401</v>
      </c>
      <c r="G5108" s="2" t="s">
        <v>14264</v>
      </c>
      <c r="H5108" s="1">
        <v>6.0</v>
      </c>
      <c r="J5108" s="1" t="s">
        <v>11</v>
      </c>
      <c r="K5108" s="2" t="s">
        <v>14265</v>
      </c>
      <c r="L5108" s="2"/>
      <c r="M5108" s="2" t="str">
        <f>IFERROR(__xludf.DUMMYFUNCTION("split(split(K5108,""【"",false),""公式LINE"",false)"),"ロケットから人体へ・・・小泉孝太郎・世良公則・今田耕司ら新キャスト加入でパワーアップしてお贈りする医療編！／新たなライバル・NASA出身のエリート社長登場！／今度の敵は医者の権威！！陰謀渦巻く医学界の争いに佃製作所が巻き込まれる！！／ロケットの打ち上げに成功した佃製作所が新たに挑むのは、心臓の人工弁！！／これを観なければ明日が始まらない！！明日からまた頑張る人のための痛快エンターテインメント巨編！阿部 寛　土屋太鳳　立川談春　安田顕　和田聰宏　今野浩喜　山崎育三郎　中本賢　谷田歩　阿部進之介　竹内涼真　佐"&amp;"野岳　・　真矢ミキ　・　吉川晃司  ガウディ編　：　小泉孝太郎　石倉三郎　高橋光臣　平岳大　石井一孝　福田転球　堀井新太　瀧川英次　世良公則　今田耕司脚本：八津弘幸  プロデューサー：伊與田英徳　川嶋龍太郎  演出：福澤克雄・棚澤孝義・田中健太◇番組HP http://www.tbs.co.jp/shitamachi_rocket/  ◇twitter  @rocket_tbs  https://twitter.com/rocket_tbs  ◇facebook  https://www.facebook"&amp;".com/shitamachi.rocket  ◇TBS公式 YouTuboo  https://www.youtube.com/playlist?list=PLCUNF--_h4Oz7WU9IdjBG0tkgrrEYrsps番組の内容と放送時間は変更になる可能性があります。")</f>
        <v>ロケットから人体へ・・・小泉孝太郎・世良公則・今田耕司ら新キャスト加入でパワーアップしてお贈りする医療編！／新たなライバル・NASA出身のエリート社長登場！／今度の敵は医者の権威！！陰謀渦巻く医学界の争いに佃製作所が巻き込まれる！！／ロケットの打ち上げに成功した佃製作所が新たに挑むのは、心臓の人工弁！！／これを観なければ明日が始まらない！！明日からまた頑張る人のための痛快エンターテインメント巨編！阿部 寛　土屋太鳳　立川談春　安田顕　和田聰宏　今野浩喜　山崎育三郎　中本賢　谷田歩　阿部進之介　竹内涼真　佐野岳　・　真矢ミキ　・　吉川晃司  ガウディ編　：　小泉孝太郎　石倉三郎　高橋光臣　平岳大　石井一孝　福田転球　堀井新太　瀧川英次　世良公則　今田耕司脚本：八津弘幸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v>
      </c>
      <c r="N5108" s="2"/>
      <c r="O5108" s="2"/>
      <c r="P5108" s="1"/>
      <c r="Q5108" s="1"/>
      <c r="R5108" s="1"/>
      <c r="S5108" s="1"/>
      <c r="T5108" s="1"/>
      <c r="U5108" s="1"/>
      <c r="V5108" s="1"/>
      <c r="W5108" s="1"/>
      <c r="X5108" s="1"/>
      <c r="Y5108" s="1"/>
      <c r="Z5108" s="1"/>
      <c r="AA5108" s="1"/>
      <c r="AB5108" s="1"/>
      <c r="AC5108" s="1"/>
      <c r="AD5108" s="1"/>
      <c r="AE5108" s="1"/>
      <c r="AF5108" s="1"/>
      <c r="AG5108" s="1"/>
      <c r="AH5108" s="1"/>
      <c r="AI5108" s="1"/>
      <c r="AJ5108" s="1"/>
      <c r="AK5108" s="1"/>
      <c r="AL5108" s="1"/>
      <c r="AM5108" s="1"/>
      <c r="AN5108" s="1"/>
      <c r="AO5108" s="1"/>
      <c r="AP5108" s="1"/>
      <c r="AQ5108" s="1"/>
      <c r="AR5108" s="1"/>
      <c r="AS5108" s="1"/>
      <c r="AT5108" s="1"/>
      <c r="AU5108" s="1"/>
      <c r="AV5108" s="1"/>
      <c r="AW5108" s="1"/>
      <c r="AX5108" s="1"/>
      <c r="AY5108" s="1"/>
      <c r="AZ5108" s="1"/>
      <c r="BA5108" s="1"/>
      <c r="BB5108" s="1"/>
    </row>
    <row r="5109" ht="204.75" customHeight="1">
      <c r="A5109" s="1">
        <v>1981.0</v>
      </c>
      <c r="B5109" s="2" t="s">
        <v>14253</v>
      </c>
      <c r="C5109" s="2">
        <f>IFERROR(__xludf.DUMMYFUNCTION("split(B5109,""_"")"),1510.0)</f>
        <v>1510</v>
      </c>
      <c r="D5109" s="2" t="str">
        <f>IFERROR(__xludf.DUMMYFUNCTION("""COMPUTED_VALUE"""),"TBS")</f>
        <v>TBS</v>
      </c>
      <c r="E5109" s="2" t="str">
        <f>IFERROR(__xludf.DUMMYFUNCTION("""COMPUTED_VALUE"""),"日21")</f>
        <v>日21</v>
      </c>
      <c r="F5109" s="2" t="s">
        <v>13401</v>
      </c>
      <c r="G5109" s="2" t="s">
        <v>14266</v>
      </c>
      <c r="H5109" s="1">
        <v>7.0</v>
      </c>
      <c r="J5109" s="1" t="s">
        <v>11</v>
      </c>
      <c r="K5109" s="2" t="s">
        <v>14267</v>
      </c>
      <c r="L5109" s="2"/>
      <c r="M5109" s="2" t="str">
        <f>IFERROR(__xludf.DUMMYFUNCTION("split(split(K5109,""【"",false),""公式LINE"",false)"),"チーム「ガウディ」ついに始動！！佃製作所が医学界に参入／新たな敵・PMEA登場！！中小企業と罵られ、窮地に陥る佃／子供達を救え！ゴッドハンドの手術が始まる／心臓の病と闘う小さな命・・・チーム「ガウディ」の新たな決意／資金不足・・・タイムリミットは半年！そして結託する敵たち！「ガウディ」に早くも最大の危機／これを観なければ明日が始まらない！！明日からまた頑張る人のための痛快エンターテインメント巨編！阿部 寛　土屋太鳳　立川談春　安田顕　和田聰宏　今野浩喜　山崎育三郎　中本賢　谷田歩　阿部進之介　竹内涼真　佐"&amp;"野岳　ぼくもとさきこ　・　真矢ミキ　・　新井浩文　倍賞美津子　吉川晃司  ガウディ編　：　小泉孝太郎　石倉三郎　高橋光臣　バカリズム　篠井英介　平岳大　石井一孝　福田転球　朝倉あき　堀井新太　瀧川英次　世良公則　今田耕司脚本：八津弘幸  プロデューサー：伊與田英徳　川嶋龍太郎  演出：福澤克雄・棚澤孝義・田中健太◇番組HP http://www.tbs.co.jp/shitamachi_rocket/  ◇twitter  @rocket_tbs  https://twitter.com/rocket_t"&amp;"bs  ◇facebook  https://www.facebook.com/shitamachi.rocket  ◇TBS公式 YouTuboo  https://www.youtube.com/playlist?list=PLCUNF--_h4Oz7WU9IdjBG0tkgrrEYrsps  番組の内容と放送時間は変更になる可能性があります。")</f>
        <v>チーム「ガウディ」ついに始動！！佃製作所が医学界に参入／新たな敵・PMEA登場！！中小企業と罵られ、窮地に陥る佃／子供達を救え！ゴッドハンドの手術が始まる／心臓の病と闘う小さな命・・・チーム「ガウディ」の新たな決意／資金不足・・・タイムリミットは半年！そして結託する敵たち！「ガウディ」に早くも最大の危機／これを観なければ明日が始まらない！！明日からまた頑張る人のための痛快エンターテインメント巨編！阿部 寛　土屋太鳳　立川談春　安田顕　和田聰宏　今野浩喜　山崎育三郎　中本賢　谷田歩　阿部進之介　竹内涼真　佐野岳　ぼくもとさきこ　・　真矢ミキ　・　新井浩文　倍賞美津子　吉川晃司  ガウディ編　：　小泉孝太郎　石倉三郎　高橋光臣　バカリズム　篠井英介　平岳大　石井一孝　福田転球　朝倉あき　堀井新太　瀧川英次　世良公則　今田耕司脚本：八津弘幸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  番組の内容と放送時間は変更になる可能性があります。</v>
      </c>
      <c r="N5109" s="2"/>
      <c r="O5109" s="2"/>
      <c r="P5109" s="1"/>
      <c r="Q5109" s="1"/>
      <c r="R5109" s="1"/>
      <c r="S5109" s="1"/>
      <c r="T5109" s="1"/>
      <c r="U5109" s="1"/>
      <c r="V5109" s="1"/>
      <c r="W5109" s="1"/>
      <c r="X5109" s="1"/>
      <c r="Y5109" s="1"/>
      <c r="Z5109" s="1"/>
      <c r="AA5109" s="1"/>
      <c r="AB5109" s="1"/>
      <c r="AC5109" s="1"/>
      <c r="AD5109" s="1"/>
      <c r="AE5109" s="1"/>
      <c r="AF5109" s="1"/>
      <c r="AG5109" s="1"/>
      <c r="AH5109" s="1"/>
      <c r="AI5109" s="1"/>
      <c r="AJ5109" s="1"/>
      <c r="AK5109" s="1"/>
      <c r="AL5109" s="1"/>
      <c r="AM5109" s="1"/>
      <c r="AN5109" s="1"/>
      <c r="AO5109" s="1"/>
      <c r="AP5109" s="1"/>
      <c r="AQ5109" s="1"/>
      <c r="AR5109" s="1"/>
      <c r="AS5109" s="1"/>
      <c r="AT5109" s="1"/>
      <c r="AU5109" s="1"/>
      <c r="AV5109" s="1"/>
      <c r="AW5109" s="1"/>
      <c r="AX5109" s="1"/>
      <c r="AY5109" s="1"/>
      <c r="AZ5109" s="1"/>
      <c r="BA5109" s="1"/>
      <c r="BB5109" s="1"/>
    </row>
    <row r="5110" ht="204.75" customHeight="1">
      <c r="A5110" s="1">
        <v>1982.0</v>
      </c>
      <c r="B5110" s="2" t="s">
        <v>14253</v>
      </c>
      <c r="C5110" s="2">
        <f>IFERROR(__xludf.DUMMYFUNCTION("split(B5110,""_"")"),1510.0)</f>
        <v>1510</v>
      </c>
      <c r="D5110" s="2" t="str">
        <f>IFERROR(__xludf.DUMMYFUNCTION("""COMPUTED_VALUE"""),"TBS")</f>
        <v>TBS</v>
      </c>
      <c r="E5110" s="2" t="str">
        <f>IFERROR(__xludf.DUMMYFUNCTION("""COMPUTED_VALUE"""),"日21")</f>
        <v>日21</v>
      </c>
      <c r="F5110" s="2" t="s">
        <v>13401</v>
      </c>
      <c r="G5110" s="2" t="s">
        <v>14268</v>
      </c>
      <c r="H5110" s="1">
        <v>8.0</v>
      </c>
      <c r="J5110" s="1" t="s">
        <v>11</v>
      </c>
      <c r="K5110" s="2" t="s">
        <v>14269</v>
      </c>
      <c r="L5110" s="2"/>
      <c r="M5110" s="2" t="str">
        <f>IFERROR(__xludf.DUMMYFUNCTION("split(split(K5110,""【"",false),""公式LINE"",false)"),"佃vsサヤマついに決着！！ロケットエンジンを制するのは？／ライバルが牙をむく！財前に最大の危機／敵の策略・・・情報漏えい発覚！！犯人は誰だ？／佃＆財前まさかの敗北！？最後に交わす涙の約束／人工心臓コアハート、次なるステージへ・・・予期せぬ事件が勃発／新型バルブで勝負を挑む！ロケットは再び打ちあがるのか／これを観なければ明日が始まらない！！明日からまた頑張る人のための痛快エンターテインメント巨編！阿部 寛　土屋太鳳　立川談春　安田顕　和田聰宏　今野浩喜　山崎育三郎　中本賢　谷田歩　阿部進之介　竹内涼真　佐野"&amp;"岳　ぼくもとさきこ　新井浩文　木下ほうか　吉川晃司  ガウディ編　：　小泉孝太郎　石倉三郎　高橋光臣　バカリズム　篠井英介　平岳大　石井一孝　福田転球　朝倉あき　堀井新太　瀧川英次　世良公則　今田耕司脚本：八津弘幸  プロデューサー：伊與田英徳　川嶋龍太郎  演出：福澤克雄・棚澤孝義・田中健太◇番組HP http://www.tbs.co.jp/shitamachi_rocket/  ◇twitter  @rocket_tbs  https://twitter.com/rocket_tbs  ◇faceb"&amp;"ook  https://www.facebook.com/shitamachi.rocket  ◇TBS公式 YouTuboo  https://www.youtube.com/playlist?list=PLCUNF--_h4Oz7WU9IdjBG0tkgrrEYrsps番組の内容と放送時間は変更になる可能性があります。")</f>
        <v>佃vsサヤマついに決着！！ロケットエンジンを制するのは？／ライバルが牙をむく！財前に最大の危機／敵の策略・・・情報漏えい発覚！！犯人は誰だ？／佃＆財前まさかの敗北！？最後に交わす涙の約束／人工心臓コアハート、次なるステージへ・・・予期せぬ事件が勃発／新型バルブで勝負を挑む！ロケットは再び打ちあがるのか／これを観なければ明日が始まらない！！明日からまた頑張る人のための痛快エンターテインメント巨編！阿部 寛　土屋太鳳　立川談春　安田顕　和田聰宏　今野浩喜　山崎育三郎　中本賢　谷田歩　阿部進之介　竹内涼真　佐野岳　ぼくもとさきこ　新井浩文　木下ほうか　吉川晃司  ガウディ編　：　小泉孝太郎　石倉三郎　高橋光臣　バカリズム　篠井英介　平岳大　石井一孝　福田転球　朝倉あき　堀井新太　瀧川英次　世良公則　今田耕司脚本：八津弘幸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v>
      </c>
      <c r="N5110" s="2"/>
      <c r="O5110" s="2"/>
      <c r="P5110" s="1"/>
      <c r="Q5110" s="1"/>
      <c r="R5110" s="1"/>
      <c r="S5110" s="1"/>
      <c r="T5110" s="1"/>
      <c r="U5110" s="1"/>
      <c r="V5110" s="1"/>
      <c r="W5110" s="1"/>
      <c r="X5110" s="1"/>
      <c r="Y5110" s="1"/>
      <c r="Z5110" s="1"/>
      <c r="AA5110" s="1"/>
      <c r="AB5110" s="1"/>
      <c r="AC5110" s="1"/>
      <c r="AD5110" s="1"/>
      <c r="AE5110" s="1"/>
      <c r="AF5110" s="1"/>
      <c r="AG5110" s="1"/>
      <c r="AH5110" s="1"/>
      <c r="AI5110" s="1"/>
      <c r="AJ5110" s="1"/>
      <c r="AK5110" s="1"/>
      <c r="AL5110" s="1"/>
      <c r="AM5110" s="1"/>
      <c r="AN5110" s="1"/>
      <c r="AO5110" s="1"/>
      <c r="AP5110" s="1"/>
      <c r="AQ5110" s="1"/>
      <c r="AR5110" s="1"/>
      <c r="AS5110" s="1"/>
      <c r="AT5110" s="1"/>
      <c r="AU5110" s="1"/>
      <c r="AV5110" s="1"/>
      <c r="AW5110" s="1"/>
      <c r="AX5110" s="1"/>
      <c r="AY5110" s="1"/>
      <c r="AZ5110" s="1"/>
      <c r="BA5110" s="1"/>
      <c r="BB5110" s="1"/>
    </row>
    <row r="5111" ht="204.75" customHeight="1">
      <c r="A5111" s="1">
        <v>1983.0</v>
      </c>
      <c r="B5111" s="2" t="s">
        <v>14253</v>
      </c>
      <c r="C5111" s="2">
        <f>IFERROR(__xludf.DUMMYFUNCTION("split(B5111,""_"")"),1510.0)</f>
        <v>1510</v>
      </c>
      <c r="D5111" s="2" t="str">
        <f>IFERROR(__xludf.DUMMYFUNCTION("""COMPUTED_VALUE"""),"TBS")</f>
        <v>TBS</v>
      </c>
      <c r="E5111" s="2" t="str">
        <f>IFERROR(__xludf.DUMMYFUNCTION("""COMPUTED_VALUE"""),"日21")</f>
        <v>日21</v>
      </c>
      <c r="F5111" s="2" t="s">
        <v>13401</v>
      </c>
      <c r="G5111" s="2" t="s">
        <v>14270</v>
      </c>
      <c r="H5111" s="1">
        <v>9.0</v>
      </c>
      <c r="J5111" s="1" t="s">
        <v>4</v>
      </c>
      <c r="K5111" s="2" t="s">
        <v>14271</v>
      </c>
      <c r="L5111" s="2"/>
      <c r="M5111" s="2" t="str">
        <f>IFERROR(__xludf.DUMMYFUNCTION("split(split(K5111,""【"",false),""公式LINE"",false)"),"最終回目前！衝撃展開の15分拡大SP！！○佃vsPMEA決着！立ち上がれチームガウディ・・・スカッと反撃！○敵か味方か・・・佃製作所に現れた謎の女性記者の正体とは！？○佃vs椎名直接対決！椎名の本性がついに姿を現す○医療ミス・内部告発・データ偽装・・・最終回目前にまさかの急展開！○これを観なければ明日が始まらない！！明日からまた頑張る人のための痛快エンターテインメント巨編！！阿部 寛　土屋太鳳　立川談春　安田顕　和田聰宏　今野浩喜　山崎育三郎　中本賢　谷田歩　阿部進之介　竹内涼真　佐野岳　ぼくもとさきこ　"&amp;"木下ほうか　倍賞美津子　吉川晃司  ガウディ編　：　小泉孝太郎　石倉三郎　高橋光臣　バカリズム　篠井英介　平岳大　石井一孝　福田転球　朝倉あき　堀井新太　瀧川英次　横田栄司　大鷹明良　中村歌昇　高島彩　世良公則　今田耕司脚本：八津弘幸  プロデューサー：伊與田英徳　川嶋龍太郎  演出：福澤克雄・棚澤孝義・田中健太◇番組HP http://www.tbs.co.jp/shitamachi_rocket/  ◇twitter  @rocket_tbs  https://twitter.com/rocket_t"&amp;"bs  ◇facebook  https://www.facebook.com/shitamachi.rocket  ◇TBS公式 YouTuboo  https://www.youtube.com/playlist?list=PLCUNF--_h4Oz7WU9IdjBG0tkgrrEYrsps番組の内容と放送時間は変更になる可能性があります。")</f>
        <v>最終回目前！衝撃展開の15分拡大SP！！○佃vsPMEA決着！立ち上がれチームガウディ・・・スカッと反撃！○敵か味方か・・・佃製作所に現れた謎の女性記者の正体とは！？○佃vs椎名直接対決！椎名の本性がついに姿を現す○医療ミス・内部告発・データ偽装・・・最終回目前にまさかの急展開！○これを観なければ明日が始まらない！！明日からまた頑張る人のための痛快エンターテインメント巨編！！阿部 寛　土屋太鳳　立川談春　安田顕　和田聰宏　今野浩喜　山崎育三郎　中本賢　谷田歩　阿部進之介　竹内涼真　佐野岳　ぼくもとさきこ　木下ほうか　倍賞美津子　吉川晃司  ガウディ編　：　小泉孝太郎　石倉三郎　高橋光臣　バカリズム　篠井英介　平岳大　石井一孝　福田転球　朝倉あき　堀井新太　瀧川英次　横田栄司　大鷹明良　中村歌昇　高島彩　世良公則　今田耕司脚本：八津弘幸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v>
      </c>
      <c r="N5111" s="2"/>
      <c r="O5111" s="2"/>
      <c r="P5111" s="1"/>
      <c r="Q5111" s="1"/>
      <c r="R5111" s="1"/>
      <c r="S5111" s="1"/>
      <c r="T5111" s="1"/>
      <c r="U5111" s="1"/>
      <c r="V5111" s="1"/>
      <c r="W5111" s="1"/>
      <c r="X5111" s="1"/>
      <c r="Y5111" s="1"/>
      <c r="Z5111" s="1"/>
      <c r="AA5111" s="1"/>
      <c r="AB5111" s="1"/>
      <c r="AC5111" s="1"/>
      <c r="AD5111" s="1"/>
      <c r="AE5111" s="1"/>
      <c r="AF5111" s="1"/>
      <c r="AG5111" s="1"/>
      <c r="AH5111" s="1"/>
      <c r="AI5111" s="1"/>
      <c r="AJ5111" s="1"/>
      <c r="AK5111" s="1"/>
      <c r="AL5111" s="1"/>
      <c r="AM5111" s="1"/>
      <c r="AN5111" s="1"/>
      <c r="AO5111" s="1"/>
      <c r="AP5111" s="1"/>
      <c r="AQ5111" s="1"/>
      <c r="AR5111" s="1"/>
      <c r="AS5111" s="1"/>
      <c r="AT5111" s="1"/>
      <c r="AU5111" s="1"/>
      <c r="AV5111" s="1"/>
      <c r="AW5111" s="1"/>
      <c r="AX5111" s="1"/>
      <c r="AY5111" s="1"/>
      <c r="AZ5111" s="1"/>
      <c r="BA5111" s="1"/>
      <c r="BB5111" s="1"/>
    </row>
    <row r="5112" ht="204.75" customHeight="1">
      <c r="A5112" s="1">
        <v>1984.0</v>
      </c>
      <c r="B5112" s="2" t="s">
        <v>14253</v>
      </c>
      <c r="C5112" s="2">
        <f>IFERROR(__xludf.DUMMYFUNCTION("split(B5112,""_"")"),1510.0)</f>
        <v>1510</v>
      </c>
      <c r="D5112" s="2" t="str">
        <f>IFERROR(__xludf.DUMMYFUNCTION("""COMPUTED_VALUE"""),"TBS")</f>
        <v>TBS</v>
      </c>
      <c r="E5112" s="2" t="str">
        <f>IFERROR(__xludf.DUMMYFUNCTION("""COMPUTED_VALUE"""),"日21")</f>
        <v>日21</v>
      </c>
      <c r="F5112" s="2" t="s">
        <v>13401</v>
      </c>
      <c r="G5112" s="2" t="s">
        <v>14272</v>
      </c>
      <c r="H5112" s="1">
        <v>10.0</v>
      </c>
      <c r="J5112" s="1" t="s">
        <v>4</v>
      </c>
      <c r="K5112" s="2" t="s">
        <v>14273</v>
      </c>
      <c r="L5112" s="2"/>
      <c r="M5112" s="2" t="str">
        <f>IFERROR(__xludf.DUMMYFUNCTION("split(split(K5112,""【"",false),""公式LINE"",false)"),"最終回25分拡大SP！！▼佃vs椎名ついに決着！俺はあんたを許さない！▼財前、辞表をかけた大勝負！！佃と財前の熱い友情が再びロケットを打ち上げる・・・！？▼ガウディは子供たちの命を救えるのか！？最終決戦▼神谷弁護士再登場！スカッとさせます！▼佃たちの夢は叶うのか？医療ミス・データ偽装・・・不正はきっと暴かれる！大団円のラスト！▼明日からまた頑張る人のための痛快エンターテインメント巨編ついに完結！！阿部 寛　土屋太鳳　立川談春　安田顕　和田聰宏　今野浩喜　山崎育三郎　中本賢　谷田歩　阿部進之介　竹内涼真　佐"&amp;"野岳　ぼくもとさきこ　・　真矢ミキ　・　新井浩文　木下ほうか　恵俊彰　倍賞美津子　吉川晃司　ガウディ編　：　小泉孝太郎　石倉三郎　高橋光臣　バカリズム　平岳大　石井一孝　福田転球　朝倉あき　堀井新太　瀧川英次　高島彩　世良公則　今田耕司脚本：八津弘幸  プロデューサー：伊與田英徳　川嶋龍太郎  演出：福澤克雄・棚澤孝義・田中健太◇番組HP http://www.tbs.co.jp/shitamachi_rocket/  ◇twitter  @rocket_tbs  https://twitter.com/"&amp;"rocket_tbs  ◇facebook  https://www.facebook.com/shitamachi.rocket  ◇TBS公式 YouTuboo  https://www.youtube.com/playlist?list=PLCUNF--_h4Oz7WU9IdjBG0tkgrrEYrsps番組の内容と放送時間は変更になる可能性があります。")</f>
        <v>最終回25分拡大SP！！▼佃vs椎名ついに決着！俺はあんたを許さない！▼財前、辞表をかけた大勝負！！佃と財前の熱い友情が再びロケットを打ち上げる・・・！？▼ガウディは子供たちの命を救えるのか！？最終決戦▼神谷弁護士再登場！スカッとさせます！▼佃たちの夢は叶うのか？医療ミス・データ偽装・・・不正はきっと暴かれる！大団円のラスト！▼明日からまた頑張る人のための痛快エンターテインメント巨編ついに完結！！阿部 寛　土屋太鳳　立川談春　安田顕　和田聰宏　今野浩喜　山崎育三郎　中本賢　谷田歩　阿部進之介　竹内涼真　佐野岳　ぼくもとさきこ　・　真矢ミキ　・　新井浩文　木下ほうか　恵俊彰　倍賞美津子　吉川晃司　ガウディ編　：　小泉孝太郎　石倉三郎　高橋光臣　バカリズム　平岳大　石井一孝　福田転球　朝倉あき　堀井新太　瀧川英次　高島彩　世良公則　今田耕司脚本：八津弘幸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v>
      </c>
      <c r="N5112" s="2"/>
      <c r="O5112" s="2"/>
      <c r="P5112" s="1"/>
      <c r="Q5112" s="1"/>
      <c r="R5112" s="1"/>
      <c r="S5112" s="1"/>
      <c r="T5112" s="1"/>
      <c r="U5112" s="1"/>
      <c r="V5112" s="1"/>
      <c r="W5112" s="1"/>
      <c r="X5112" s="1"/>
      <c r="Y5112" s="1"/>
      <c r="Z5112" s="1"/>
      <c r="AA5112" s="1"/>
      <c r="AB5112" s="1"/>
      <c r="AC5112" s="1"/>
      <c r="AD5112" s="1"/>
      <c r="AE5112" s="1"/>
      <c r="AF5112" s="1"/>
      <c r="AG5112" s="1"/>
      <c r="AH5112" s="1"/>
      <c r="AI5112" s="1"/>
      <c r="AJ5112" s="1"/>
      <c r="AK5112" s="1"/>
      <c r="AL5112" s="1"/>
      <c r="AM5112" s="1"/>
      <c r="AN5112" s="1"/>
      <c r="AO5112" s="1"/>
      <c r="AP5112" s="1"/>
      <c r="AQ5112" s="1"/>
      <c r="AR5112" s="1"/>
      <c r="AS5112" s="1"/>
      <c r="AT5112" s="1"/>
      <c r="AU5112" s="1"/>
      <c r="AV5112" s="1"/>
      <c r="AW5112" s="1"/>
      <c r="AX5112" s="1"/>
      <c r="AY5112" s="1"/>
      <c r="AZ5112" s="1"/>
      <c r="BA5112" s="1"/>
      <c r="BB5112" s="1"/>
    </row>
    <row r="5113" ht="204.75" customHeight="1">
      <c r="A5113" s="1">
        <v>2012.0</v>
      </c>
      <c r="B5113" s="2" t="s">
        <v>14274</v>
      </c>
      <c r="C5113" s="2">
        <f>IFERROR(__xludf.DUMMYFUNCTION("split(B5113,""_"")"),1507.0)</f>
        <v>1507</v>
      </c>
      <c r="D5113" s="2" t="str">
        <f>IFERROR(__xludf.DUMMYFUNCTION("""COMPUTED_VALUE"""),"TBS")</f>
        <v>TBS</v>
      </c>
      <c r="E5113" s="2" t="str">
        <f>IFERROR(__xludf.DUMMYFUNCTION("""COMPUTED_VALUE"""),"火22")</f>
        <v>火22</v>
      </c>
      <c r="F5113" s="2" t="s">
        <v>14275</v>
      </c>
      <c r="G5113" s="2" t="s">
        <v>14276</v>
      </c>
      <c r="H5113" s="1">
        <v>1.0</v>
      </c>
      <c r="J5113" s="1" t="s">
        <v>82</v>
      </c>
      <c r="K5113" s="2" t="s">
        <v>14277</v>
      </c>
      <c r="L5113" s="2"/>
      <c r="M5113" s="2" t="str">
        <f>IFERROR(__xludf.DUMMYFUNCTION("split(split(K5113,""【"",false),""公式LINE"",false)"),"一流ホテル「ホテルフォルモント」でお客様を迎えるのは、新人コンシェルジュ・天野塔子（西内まりや）。その他プロ意識の高い先輩コンシェルジュ・本城（三浦翔平）、部下思いの総支配人・鷲尾（高橋克典）、一流がモットーの片桐（若村麻由美）、社長の成沢（伊武雅刀）などの個性的な面々。ある日、誕生日パーティーを開くために来たVIP客・沙知（鈴木保奈美）は、華やかな笑顔の裏で、ある問題を抱えていた。仕事もプライベートも完璧で、理想的なセレブに見える沙知だが、実は夫・悟（矢柴俊博）のモラハラに悩んでいた。ママのことを守りた"&amp;"いという息子・翼（寺田心）の想いを知った塔子のとった行動とは…？一方、生花市場に勤める渡辺祐二（尾上寛之）は、遠距離恋愛中の田中まどか（浅見れいな）の誕生日にサプライズプロポーズを計画するのだが、急な仕事が入ってしまった。果たしてプロポーズは成功するのか？天野塔子…西内まりや  本城和馬…三浦翔平  珠久里太一…尾美としのり  高垣亜里砂…夏菜  牧原豪太…小関裕太  紺野浩太郎…山田裕貴  富永哲司…敦士   　　  沢渡美咲…池津祥子  丹後悠大…武田航平  西崎隼人…浅利陽介   　　  片桐美穂子"&amp;"…若村麻由美  成沢瑛一…伊武雅刀  鷲尾陵介…高橋克典　海宝沙知…鈴木保奈美  海宝悟…矢柴俊博  海宝翼…寺田心    三上圭一…スギちゃん    渡辺祐二…尾上寛之  田中まどか…浅見れいな脚本：松田裕子　監督：今井和久(MMJ)　プロデューサー： 木村元子(MMJ)・本郷達也(MMJ)  ◇番組HP http://www.tbs.co.jp/hotel_2015/  ◇Twitter  https://twitter.com/conciergetbs  @conciergetbs  2分まとめ! "&amp;"西内まりや「絶対にNOとは言わない」新人コンシェルジュに！7/7（火）22時『ホテルコンシェルジュ』スタート!動画公開しました！  https://youtu.be/-6fHaCSfKgM西内まりや 三浦翔平 高橋克典…豪華出演者の制作発表 7/7（火）『ホテルコン   シェルジュ』スタート動画公開しました！  https://youtu.be/aOsVNzRlVJYMMJ・TBS  番組の内容と放送時間は変更になる可能性があります。")</f>
        <v>一流ホテル「ホテルフォルモント」でお客様を迎えるのは、新人コンシェルジュ・天野塔子（西内まりや）。その他プロ意識の高い先輩コンシェルジュ・本城（三浦翔平）、部下思いの総支配人・鷲尾（高橋克典）、一流がモットーの片桐（若村麻由美）、社長の成沢（伊武雅刀）などの個性的な面々。ある日、誕生日パーティーを開くために来たVIP客・沙知（鈴木保奈美）は、華やかな笑顔の裏で、ある問題を抱えていた。仕事もプライベートも完璧で、理想的なセレブに見える沙知だが、実は夫・悟（矢柴俊博）のモラハラに悩んでいた。ママのことを守りたいという息子・翼（寺田心）の想いを知った塔子のとった行動とは…？一方、生花市場に勤める渡辺祐二（尾上寛之）は、遠距離恋愛中の田中まどか（浅見れいな）の誕生日にサプライズプロポーズを計画するのだが、急な仕事が入ってしまった。果たしてプロポーズは成功するのか？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海宝沙知…鈴木保奈美  海宝悟…矢柴俊博  海宝翼…寺田心    三上圭一…スギちゃん    渡辺祐二…尾上寛之  田中まどか…浅見れいな脚本：松田裕子　監督：今井和久(MMJ)　プロデューサー： 木村元子(MMJ)・本郷達也(MMJ)  ◇番組HP http://www.tbs.co.jp/hotel_2015/  ◇Twitter  https://twitter.com/conciergetbs  @conciergetbs  2分まとめ! 西内まりや「絶対にNOとは言わない」新人コンシェルジュに！7/7（火）22時『ホテルコンシェルジュ』スタート!動画公開しました！  https://youtu.be/-6fHaCSfKgM西内まりや 三浦翔平 高橋克典…豪華出演者の制作発表 7/7（火）『ホテルコン   シェルジュ』スタート動画公開しました！  https://youtu.be/aOsVNzRlVJYMMJ・TBS  番組の内容と放送時間は変更になる可能性があります。</v>
      </c>
      <c r="N5113" s="2"/>
      <c r="O5113" s="2"/>
      <c r="P5113" s="1"/>
      <c r="Q5113" s="1"/>
      <c r="R5113" s="1"/>
      <c r="S5113" s="1"/>
      <c r="T5113" s="1"/>
      <c r="U5113" s="1"/>
      <c r="V5113" s="1"/>
      <c r="W5113" s="1"/>
      <c r="X5113" s="1"/>
      <c r="Y5113" s="1"/>
      <c r="Z5113" s="1"/>
      <c r="AA5113" s="1"/>
      <c r="AB5113" s="1"/>
      <c r="AC5113" s="1"/>
      <c r="AD5113" s="1"/>
      <c r="AE5113" s="1"/>
      <c r="AF5113" s="1"/>
      <c r="AG5113" s="1"/>
      <c r="AH5113" s="1"/>
      <c r="AI5113" s="1"/>
      <c r="AJ5113" s="1"/>
      <c r="AK5113" s="1"/>
      <c r="AL5113" s="1"/>
      <c r="AM5113" s="1"/>
      <c r="AN5113" s="1"/>
      <c r="AO5113" s="1"/>
      <c r="AP5113" s="1"/>
      <c r="AQ5113" s="1"/>
      <c r="AR5113" s="1"/>
      <c r="AS5113" s="1"/>
      <c r="AT5113" s="1"/>
      <c r="AU5113" s="1"/>
      <c r="AV5113" s="1"/>
      <c r="AW5113" s="1"/>
      <c r="AX5113" s="1"/>
      <c r="AY5113" s="1"/>
      <c r="AZ5113" s="1"/>
      <c r="BA5113" s="1"/>
      <c r="BB5113" s="1"/>
    </row>
    <row r="5114" ht="204.75" customHeight="1">
      <c r="A5114" s="1">
        <v>2013.0</v>
      </c>
      <c r="B5114" s="2" t="s">
        <v>14274</v>
      </c>
      <c r="C5114" s="2">
        <f>IFERROR(__xludf.DUMMYFUNCTION("split(B5114,""_"")"),1507.0)</f>
        <v>1507</v>
      </c>
      <c r="D5114" s="2" t="str">
        <f>IFERROR(__xludf.DUMMYFUNCTION("""COMPUTED_VALUE"""),"TBS")</f>
        <v>TBS</v>
      </c>
      <c r="E5114" s="2" t="str">
        <f>IFERROR(__xludf.DUMMYFUNCTION("""COMPUTED_VALUE"""),"火22")</f>
        <v>火22</v>
      </c>
      <c r="F5114" s="2" t="s">
        <v>14275</v>
      </c>
      <c r="G5114" s="2" t="s">
        <v>14278</v>
      </c>
      <c r="H5114" s="1">
        <v>2.0</v>
      </c>
      <c r="I5114" s="1" t="s">
        <v>2872</v>
      </c>
      <c r="J5114" s="1" t="s">
        <v>86</v>
      </c>
      <c r="K5114" s="2" t="s">
        <v>14279</v>
      </c>
      <c r="L5114" s="2"/>
      <c r="M5114" s="2" t="str">
        <f>IFERROR(__xludf.DUMMYFUNCTION("split(split(K5114,""【"",false),""公式LINE"",false)"),"長期滞在客の菅野友美（市毛良枝）は、明るく気さくな性格で、ホテリエたちの人気者だ。毎晩のように、大好きなオムレツを嬉しそうに食べる姿に、塔子（西内まりや）たちホテリエも癒されている。一方、ホテル代を踏み倒す“スキッパー”の被害が、都内のホテルで頻発しているとの情報が入り、総支配人の鷲尾（高橋克典）や美穂子（若村麻由美）らがスタッフたちに注意喚起する。そんな折、怪しい行動を取る客がやってきて…！？天野塔子…西内まりや  本城和馬…三浦翔平  珠久里太一…尾美としのり  高垣亜里砂…夏菜  牧原豪太…小関裕太"&amp;"  紺野浩太郎…山田裕貴  富永哲司…敦士   　　  沢渡美咲…池津祥子  丹後悠大…武田航平  西崎隼人…浅利陽介   　　  片桐美穂子…若村麻由美  成沢瑛一…伊武雅刀  鷲尾陵介…高橋克典菅野友美…市毛良枝    井坂正己…中村靖日    鈴木亮治…六角慎司テーマソング　「デスペラード」 Honey L Days（avex trax）  エンディング・テーマ　「Stars」 ERIHIRO (SONIC GROOVE)脚本：松田裕子・中川千英子　監督：植田尚(MMJ)　プロデューサー： 木村元子"&amp;"(MMJ)・本郷達也(MMJ)◇番組HP http://www.tbs.co.jp/hotel_2015/  ◇Twitter  https://twitter.com/conciergetbs  @conciergetbs  MMJ・TBS  スキッパー（無銭宿泊者）が出現!? #2『ホテルコンシェルジュ』7/14（火）動画公開しました！  https://youtu.be/P6hc6FOohaU  番組の内容と放送時間は変更になる可能性があります。")</f>
        <v>長期滞在客の菅野友美（市毛良枝）は、明るく気さくな性格で、ホテリエたちの人気者だ。毎晩のように、大好きなオムレツを嬉しそうに食べる姿に、塔子（西内まりや）たちホテリエも癒されている。一方、ホテル代を踏み倒す“スキッパー”の被害が、都内のホテルで頻発しているとの情報が入り、総支配人の鷲尾（高橋克典）や美穂子（若村麻由美）らがスタッフたちに注意喚起する。そんな折、怪しい行動を取る客がやってきて…！？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鷲尾陵介…高橋克典菅野友美…市毛良枝    井坂正己…中村靖日    鈴木亮治…六角慎司テーマソング　「デスペラード」 Honey L Days（avex trax）  エンディング・テーマ　「Stars」 ERIHIRO (SONIC GROOVE)脚本：松田裕子・中川千英子　監督：植田尚(MMJ)　プロデューサー： 木村元子(MMJ)・本郷達也(MMJ)◇番組HP http://www.tbs.co.jp/hotel_2015/  ◇Twitter  https://twitter.com/conciergetbs  @conciergetbs  MMJ・TBS  スキッパー（無銭宿泊者）が出現!? #2『ホテルコンシェルジュ』7/14（火）動画公開しました！  https://youtu.be/P6hc6FOohaU  番組の内容と放送時間は変更になる可能性があります。</v>
      </c>
      <c r="N5114" s="2"/>
      <c r="O5114" s="2"/>
      <c r="P5114" s="1"/>
      <c r="Q5114" s="1"/>
      <c r="R5114" s="1"/>
      <c r="S5114" s="1"/>
      <c r="T5114" s="1"/>
      <c r="U5114" s="1"/>
      <c r="V5114" s="1"/>
      <c r="W5114" s="1"/>
      <c r="X5114" s="1"/>
      <c r="Y5114" s="1"/>
      <c r="Z5114" s="1"/>
      <c r="AA5114" s="1"/>
      <c r="AB5114" s="1"/>
      <c r="AC5114" s="1"/>
      <c r="AD5114" s="1"/>
      <c r="AE5114" s="1"/>
      <c r="AF5114" s="1"/>
      <c r="AG5114" s="1"/>
      <c r="AH5114" s="1"/>
      <c r="AI5114" s="1"/>
      <c r="AJ5114" s="1"/>
      <c r="AK5114" s="1"/>
      <c r="AL5114" s="1"/>
      <c r="AM5114" s="1"/>
      <c r="AN5114" s="1"/>
      <c r="AO5114" s="1"/>
      <c r="AP5114" s="1"/>
      <c r="AQ5114" s="1"/>
      <c r="AR5114" s="1"/>
      <c r="AS5114" s="1"/>
      <c r="AT5114" s="1"/>
      <c r="AU5114" s="1"/>
      <c r="AV5114" s="1"/>
      <c r="AW5114" s="1"/>
      <c r="AX5114" s="1"/>
      <c r="AY5114" s="1"/>
      <c r="AZ5114" s="1"/>
      <c r="BA5114" s="1"/>
      <c r="BB5114" s="1"/>
    </row>
    <row r="5115" ht="204.75" customHeight="1">
      <c r="A5115" s="1">
        <v>2014.0</v>
      </c>
      <c r="B5115" s="2" t="s">
        <v>14274</v>
      </c>
      <c r="C5115" s="2">
        <f>IFERROR(__xludf.DUMMYFUNCTION("split(B5115,""_"")"),1507.0)</f>
        <v>1507</v>
      </c>
      <c r="D5115" s="2" t="str">
        <f>IFERROR(__xludf.DUMMYFUNCTION("""COMPUTED_VALUE"""),"TBS")</f>
        <v>TBS</v>
      </c>
      <c r="E5115" s="2" t="str">
        <f>IFERROR(__xludf.DUMMYFUNCTION("""COMPUTED_VALUE"""),"火22")</f>
        <v>火22</v>
      </c>
      <c r="F5115" s="2" t="s">
        <v>14275</v>
      </c>
      <c r="G5115" s="2" t="s">
        <v>14280</v>
      </c>
      <c r="H5115" s="1">
        <v>3.0</v>
      </c>
      <c r="I5115" s="1" t="s">
        <v>2876</v>
      </c>
      <c r="J5115" s="1" t="s">
        <v>86</v>
      </c>
      <c r="K5115" s="2" t="s">
        <v>14281</v>
      </c>
      <c r="L5115" s="2"/>
      <c r="M5115" s="2" t="str">
        <f>IFERROR(__xludf.DUMMYFUNCTION("split(split(K5115,""【"",false),""公式LINE"",false)"),"若手人気歌舞伎俳優・松山惣太郎（大東駿介）は、女たらしでワガママなVIP客。その対応に追われる中、鷲尾総支配人（高橋克典）は、塔子（西内まりや）、本城（三浦翔平）らコンシェルジュから相談を受け、フォルモントに思い出があるという澄江（草村礼子）とその孫・繭（田牧そら）を「親子宿泊モニター」として無料招待する。ところがそれは、澄江にとって“思い出したくない記憶”で…。天野塔子…西内まりや  本城和馬…三浦翔平  珠久里太一…尾美としのり  高垣亜里砂…夏菜  牧原豪太…小関裕太  紺野浩太郎…山田裕貴  富永"&amp;"哲司…敦士   　　  沢渡美咲…池津祥子  丹後悠大…武田航平  西崎隼人…浅利陽介   　　  片桐美穂子…若村麻由美  成沢瑛一…伊武雅刀  鷲尾陵介…高橋克典森村澄江…草村礼子    森村繭役…田牧そら    松山惣太郎…大東駿介脚本：李正姫　監督：今井和久(MMJ)　プロデューサー： 木村元子(MMJ)・本郷達也(MMJ)◇番組HP http://www.tbs.co.jp/hotel_2015/  ◇Twitter  https://twitter.com/conciergetbs  @con"&amp;"ciergetbs  テーマソング　「デスペラード」 Honey L Days（avex trax）  エンディング・テーマ　「Stars」 ERIHIRO (SONIC GROOVE)MMJ・TBS  祖母の笑顔を見たいという孫娘の願いにコンシェルジュたちは…#3『ホテルコンシェルジュ』7/21（火）動画公開しました！  https://youtu.be/0Yhfo_eXjOk  番組の内容と放送時間は変更になる可能性があります。")</f>
        <v>若手人気歌舞伎俳優・松山惣太郎（大東駿介）は、女たらしでワガママなVIP客。その対応に追われる中、鷲尾総支配人（高橋克典）は、塔子（西内まりや）、本城（三浦翔平）らコンシェルジュから相談を受け、フォルモントに思い出があるという澄江（草村礼子）とその孫・繭（田牧そら）を「親子宿泊モニター」として無料招待する。ところがそれは、澄江にとって“思い出したくない記憶”で…。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鷲尾陵介…高橋克典森村澄江…草村礼子    森村繭役…田牧そら    松山惣太郎…大東駿介脚本：李正姫　監督：今井和久(MMJ)　プロデューサー： 木村元子(MMJ)・本郷達也(MMJ)◇番組HP http://www.tbs.co.jp/hotel_2015/  ◇Twitter  https://twitter.com/conciergetbs  @conciergetbs  テーマソング　「デスペラード」 Honey L Days（avex trax）  エンディング・テーマ　「Stars」 ERIHIRO (SONIC GROOVE)MMJ・TBS  祖母の笑顔を見たいという孫娘の願いにコンシェルジュたちは…#3『ホテルコンシェルジュ』7/21（火）動画公開しました！  https://youtu.be/0Yhfo_eXjOk  番組の内容と放送時間は変更になる可能性があります。</v>
      </c>
      <c r="N5115" s="2"/>
      <c r="O5115" s="2"/>
      <c r="P5115" s="1"/>
      <c r="Q5115" s="1"/>
      <c r="R5115" s="1"/>
      <c r="S5115" s="1"/>
      <c r="T5115" s="1"/>
      <c r="U5115" s="1"/>
      <c r="V5115" s="1"/>
      <c r="W5115" s="1"/>
      <c r="X5115" s="1"/>
      <c r="Y5115" s="1"/>
      <c r="Z5115" s="1"/>
      <c r="AA5115" s="1"/>
      <c r="AB5115" s="1"/>
      <c r="AC5115" s="1"/>
      <c r="AD5115" s="1"/>
      <c r="AE5115" s="1"/>
      <c r="AF5115" s="1"/>
      <c r="AG5115" s="1"/>
      <c r="AH5115" s="1"/>
      <c r="AI5115" s="1"/>
      <c r="AJ5115" s="1"/>
      <c r="AK5115" s="1"/>
      <c r="AL5115" s="1"/>
      <c r="AM5115" s="1"/>
      <c r="AN5115" s="1"/>
      <c r="AO5115" s="1"/>
      <c r="AP5115" s="1"/>
      <c r="AQ5115" s="1"/>
      <c r="AR5115" s="1"/>
      <c r="AS5115" s="1"/>
      <c r="AT5115" s="1"/>
      <c r="AU5115" s="1"/>
      <c r="AV5115" s="1"/>
      <c r="AW5115" s="1"/>
      <c r="AX5115" s="1"/>
      <c r="AY5115" s="1"/>
      <c r="AZ5115" s="1"/>
      <c r="BA5115" s="1"/>
      <c r="BB5115" s="1"/>
    </row>
    <row r="5116" ht="204.75" customHeight="1">
      <c r="A5116" s="1">
        <v>2015.0</v>
      </c>
      <c r="B5116" s="2" t="s">
        <v>14274</v>
      </c>
      <c r="C5116" s="2">
        <f>IFERROR(__xludf.DUMMYFUNCTION("split(B5116,""_"")"),1507.0)</f>
        <v>1507</v>
      </c>
      <c r="D5116" s="2" t="str">
        <f>IFERROR(__xludf.DUMMYFUNCTION("""COMPUTED_VALUE"""),"TBS")</f>
        <v>TBS</v>
      </c>
      <c r="E5116" s="2" t="str">
        <f>IFERROR(__xludf.DUMMYFUNCTION("""COMPUTED_VALUE"""),"火22")</f>
        <v>火22</v>
      </c>
      <c r="F5116" s="2" t="s">
        <v>14275</v>
      </c>
      <c r="G5116" s="2" t="s">
        <v>14282</v>
      </c>
      <c r="H5116" s="1">
        <v>4.0</v>
      </c>
      <c r="I5116" s="1" t="s">
        <v>2880</v>
      </c>
      <c r="J5116" s="1" t="s">
        <v>86</v>
      </c>
      <c r="K5116" s="2" t="s">
        <v>14283</v>
      </c>
      <c r="L5116" s="2"/>
      <c r="M5116" s="2" t="str">
        <f>IFERROR(__xludf.DUMMYFUNCTION("split(split(K5116,""【"",false),""公式LINE"",false)"),"完璧なサービスとイケメンぶりで、多くの女性客ファンを持つコンシェルジュ・本城（三浦翔平）。その本城の誕生日を祝う為に現れた常連客のみゆき（映美くらら）。仕事もプライベートも充実していそうに見えるみゆきだが、本城に対し、誰もが想像し得ない強い想いを抱いていた。そして同じころ、塔子（西内まりや）のサポートで、婚活パーティーで知り合った沢村（石井正則）からプロポーズを受けた愛理（佐津川愛美）は…。天野塔子…西内まりや  本城和馬…三浦翔平  珠久里太一…尾美としのり  高垣亜里砂…夏菜  牧原豪太…小関裕太  "&amp;"紺野浩太郎…山田裕貴  富永哲司…敦士    沢渡美咲…池津祥子  丹後悠大…武田航平  西崎隼人…浅利陽介    片桐美穂子…若村麻由美  成沢瑛一…伊武雅刀  鷲尾陵介…高橋克典    徳永みゆき…映美くらら    後藤愛理…佐津川愛美    沢村遥人…石井正則テーマソング　「デスペラード」 Honey L Days（avex trax）  エンディング・テーマ　「Stars」 ERIHIRO (SONIC GROOVE)  脚本：松田裕子　監督：星野和成(MMJ)　プロデューサー： 木村元子(MMJ"&amp;")・本郷達也(MMJ)  ◇番組HP http://www.tbs.co.jp/hotel_2015/  ◇Twitter  https://twitter.com/conciergetbs  @conciergetbs  MMJ・TBS  コンシェルジュはマダムキラー!? 火曜ドラマ #4『ホテルコンシェルジュ』7/28（火）動画公開しました！  https://youtu.be/nXQg2mVr1PE  番組の内容と放送時間は変更になる可能性があります。")</f>
        <v>完璧なサービスとイケメンぶりで、多くの女性客ファンを持つコンシェルジュ・本城（三浦翔平）。その本城の誕生日を祝う為に現れた常連客のみゆき（映美くらら）。仕事もプライベートも充実していそうに見えるみゆきだが、本城に対し、誰もが想像し得ない強い想いを抱いていた。そして同じころ、塔子（西内まりや）のサポートで、婚活パーティーで知り合った沢村（石井正則）からプロポーズを受けた愛理（佐津川愛美）は…。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徳永みゆき…映美くらら    後藤愛理…佐津川愛美    沢村遥人…石井正則テーマソング　「デスペラード」 Honey L Days（avex trax）  エンディング・テーマ　「Stars」 ERIHIRO (SONIC GROOVE)  脚本：松田裕子　監督：星野和成(MMJ)　プロデューサー： 木村元子(MMJ)・本郷達也(MMJ)  ◇番組HP http://www.tbs.co.jp/hotel_2015/  ◇Twitter  https://twitter.com/conciergetbs  @conciergetbs  MMJ・TBS  コンシェルジュはマダムキラー!? 火曜ドラマ #4『ホテルコンシェルジュ』7/28（火）動画公開しました！  https://youtu.be/nXQg2mVr1PE  番組の内容と放送時間は変更になる可能性があります。</v>
      </c>
      <c r="N5116" s="2"/>
      <c r="O5116" s="2"/>
      <c r="P5116" s="1"/>
      <c r="Q5116" s="1"/>
      <c r="R5116" s="1"/>
      <c r="S5116" s="1"/>
      <c r="T5116" s="1"/>
      <c r="U5116" s="1"/>
      <c r="V5116" s="1"/>
      <c r="W5116" s="1"/>
      <c r="X5116" s="1"/>
      <c r="Y5116" s="1"/>
      <c r="Z5116" s="1"/>
      <c r="AA5116" s="1"/>
      <c r="AB5116" s="1"/>
      <c r="AC5116" s="1"/>
      <c r="AD5116" s="1"/>
      <c r="AE5116" s="1"/>
      <c r="AF5116" s="1"/>
      <c r="AG5116" s="1"/>
      <c r="AH5116" s="1"/>
      <c r="AI5116" s="1"/>
      <c r="AJ5116" s="1"/>
      <c r="AK5116" s="1"/>
      <c r="AL5116" s="1"/>
      <c r="AM5116" s="1"/>
      <c r="AN5116" s="1"/>
      <c r="AO5116" s="1"/>
      <c r="AP5116" s="1"/>
      <c r="AQ5116" s="1"/>
      <c r="AR5116" s="1"/>
      <c r="AS5116" s="1"/>
      <c r="AT5116" s="1"/>
      <c r="AU5116" s="1"/>
      <c r="AV5116" s="1"/>
      <c r="AW5116" s="1"/>
      <c r="AX5116" s="1"/>
      <c r="AY5116" s="1"/>
      <c r="AZ5116" s="1"/>
      <c r="BA5116" s="1"/>
      <c r="BB5116" s="1"/>
    </row>
    <row r="5117" ht="204.75" customHeight="1">
      <c r="A5117" s="1">
        <v>2016.0</v>
      </c>
      <c r="B5117" s="2" t="s">
        <v>14274</v>
      </c>
      <c r="C5117" s="2">
        <f>IFERROR(__xludf.DUMMYFUNCTION("split(B5117,""_"")"),1507.0)</f>
        <v>1507</v>
      </c>
      <c r="D5117" s="2" t="str">
        <f>IFERROR(__xludf.DUMMYFUNCTION("""COMPUTED_VALUE"""),"TBS")</f>
        <v>TBS</v>
      </c>
      <c r="E5117" s="2" t="str">
        <f>IFERROR(__xludf.DUMMYFUNCTION("""COMPUTED_VALUE"""),"火22")</f>
        <v>火22</v>
      </c>
      <c r="F5117" s="2" t="s">
        <v>14275</v>
      </c>
      <c r="G5117" s="2" t="s">
        <v>14284</v>
      </c>
      <c r="H5117" s="1">
        <v>5.0</v>
      </c>
      <c r="J5117" s="1" t="s">
        <v>86</v>
      </c>
      <c r="K5117" s="2" t="s">
        <v>14285</v>
      </c>
      <c r="L5117" s="2"/>
      <c r="M5117" s="2" t="str">
        <f>IFERROR(__xludf.DUMMYFUNCTION("split(split(K5117,""【"",false),""公式LINE"",false)"),"新郎・公彦（松下洸平）や本城（三浦翔平）らが懸命に説得を試みるが、客室に立てこもった花嫁・栞（黒川智花）は姿を現さない。実は栞は、あることが原因で、精神的に追いつめられていた。そのころ、施設係の西崎（浅利陽介）のおじで、定食屋を営む古市（徳重聡）がホテルにやってくる。しかし古市は、なぜかフォルモントのコック服を着ていた。首を傾げる塔子（西内まりや）だが、それには深い事情があって…。天野塔子…西内まりや  本城和馬…三浦翔平  珠久里太一…尾美としのり  高垣亜里砂…夏菜  牧原豪太…小関裕太  紺野浩太郎"&amp;"…山田裕貴  富永哲司…敦士   　　  沢渡美咲…池津祥子  丹後悠大…武田航平  西崎隼人…浅利陽介   　　  片桐美穂子…若村麻由美  成沢瑛一…伊武雅刀  鷲尾陵介…高橋克典　古市良輔…徳重聡  宮間栞…黒川智花  朝比奈公彦…松下洸平  朝比奈律子…鷲尾真知子テーマソング　「デスペラード」 Honey L Days（avex trax）  エンディング・テーマ　「Stars」 ERIHIRO (SONIC GROOVE)  脚本：李正姫　監督：植田尚(MMJ)　プロデューサー： 木村元子(MM"&amp;"J)・本郷達也(MMJ)  ◇番組HP http://www.tbs.co.jp/hotel_2015/  ◇Twitter  https://twitter.com/conciergetbs  @conciergetbs  MMJ・TBS  番組の内容と放送時間は変更になる可能性があります。")</f>
        <v>新郎・公彦（松下洸平）や本城（三浦翔平）らが懸命に説得を試みるが、客室に立てこもった花嫁・栞（黒川智花）は姿を現さない。実は栞は、あることが原因で、精神的に追いつめられていた。そのころ、施設係の西崎（浅利陽介）のおじで、定食屋を営む古市（徳重聡）がホテルにやってくる。しかし古市は、なぜかフォルモントのコック服を着ていた。首を傾げる塔子（西内まりや）だが、それには深い事情があって…。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古市良輔…徳重聡  宮間栞…黒川智花  朝比奈公彦…松下洸平  朝比奈律子…鷲尾真知子テーマソング　「デスペラード」 Honey L Days（avex trax）  エンディング・テーマ　「Stars」 ERIHIRO (SONIC GROOVE)  脚本：李正姫　監督：植田尚(MMJ)　プロデューサー： 木村元子(MMJ)・本郷達也(MMJ)  ◇番組HP http://www.tbs.co.jp/hotel_2015/  ◇Twitter  https://twitter.com/conciergetbs  @conciergetbs  MMJ・TBS  番組の内容と放送時間は変更になる可能性があります。</v>
      </c>
      <c r="N5117" s="2"/>
      <c r="O5117" s="2"/>
      <c r="P5117" s="1"/>
      <c r="Q5117" s="1"/>
      <c r="R5117" s="1"/>
      <c r="S5117" s="1"/>
      <c r="T5117" s="1"/>
      <c r="U5117" s="1"/>
      <c r="V5117" s="1"/>
      <c r="W5117" s="1"/>
      <c r="X5117" s="1"/>
      <c r="Y5117" s="1"/>
      <c r="Z5117" s="1"/>
      <c r="AA5117" s="1"/>
      <c r="AB5117" s="1"/>
      <c r="AC5117" s="1"/>
      <c r="AD5117" s="1"/>
      <c r="AE5117" s="1"/>
      <c r="AF5117" s="1"/>
      <c r="AG5117" s="1"/>
      <c r="AH5117" s="1"/>
      <c r="AI5117" s="1"/>
      <c r="AJ5117" s="1"/>
      <c r="AK5117" s="1"/>
      <c r="AL5117" s="1"/>
      <c r="AM5117" s="1"/>
      <c r="AN5117" s="1"/>
      <c r="AO5117" s="1"/>
      <c r="AP5117" s="1"/>
      <c r="AQ5117" s="1"/>
      <c r="AR5117" s="1"/>
      <c r="AS5117" s="1"/>
      <c r="AT5117" s="1"/>
      <c r="AU5117" s="1"/>
      <c r="AV5117" s="1"/>
      <c r="AW5117" s="1"/>
      <c r="AX5117" s="1"/>
      <c r="AY5117" s="1"/>
      <c r="AZ5117" s="1"/>
      <c r="BA5117" s="1"/>
      <c r="BB5117" s="1"/>
    </row>
    <row r="5118" ht="204.75" customHeight="1">
      <c r="A5118" s="1">
        <v>2017.0</v>
      </c>
      <c r="B5118" s="2" t="s">
        <v>14274</v>
      </c>
      <c r="C5118" s="2">
        <f>IFERROR(__xludf.DUMMYFUNCTION("split(B5118,""_"")"),1507.0)</f>
        <v>1507</v>
      </c>
      <c r="D5118" s="2" t="str">
        <f>IFERROR(__xludf.DUMMYFUNCTION("""COMPUTED_VALUE"""),"TBS")</f>
        <v>TBS</v>
      </c>
      <c r="E5118" s="2" t="str">
        <f>IFERROR(__xludf.DUMMYFUNCTION("""COMPUTED_VALUE"""),"火22")</f>
        <v>火22</v>
      </c>
      <c r="F5118" s="2" t="s">
        <v>14275</v>
      </c>
      <c r="G5118" s="2" t="s">
        <v>14286</v>
      </c>
      <c r="H5118" s="1">
        <v>6.0</v>
      </c>
      <c r="J5118" s="1" t="s">
        <v>86</v>
      </c>
      <c r="K5118" s="2" t="s">
        <v>14287</v>
      </c>
      <c r="L5118" s="2"/>
      <c r="M5118" s="2" t="str">
        <f>IFERROR(__xludf.DUMMYFUNCTION("split(split(K5118,""【"",false),""公式LINE"",false)"),"季世子（三浦理恵子）は、亜里砂（夏菜）が以前働いていたホテルを辞めた事情を、鷲尾（高橋克典）に打ち明ける。一方の亜里砂は、季世子が問題を抱えていることに気づき、自分にできることはないか思い悩む。その頃、塔子（西内まりや）らは、女性客・鈴香（黒田福美）の指輪が客室からなくなったという知らせを受け、懸命に探していた。ところが、その客室に一人で入って行く亜里砂の姿が、防犯カメラの映像に映っていて…！天野塔子…西内まりや  本城和馬…三浦翔平  珠久里太一…尾美としのり  高垣亜里砂…夏菜  牧原豪太…小関裕太 "&amp;" 紺野浩太郎…山田裕貴  富永哲司…敦士   　　  沢渡美咲…池津祥子  丹後悠大…武田航平  西崎隼人…浅利陽介   　　  片桐美穂子…若村麻由美  成沢瑛一…伊武雅刀  鷲尾陵介…高橋克典　天堂季世子…三浦理恵子  今泉鈴香…黒田福美  藤井典枝…山野海  中原暁美…舟木幸テーマソング　「デスペラード」 Honey L Days（avex trax）  エンディング・テーマ　「Stars」 ERIHIRO (SONIC GROOVE)  脚本：松田裕子　監督：今井和久(MMJ)　プロデューサー： "&amp;"木村元子(MMJ)・本郷達也(MMJ)  ◇番組HP http://www.tbs.co.jp/hotel_2015/  ◇Twitter  https://twitter.com/conciergetbs  @conciergetbs  MMJ・TBS  22日(土）あさ7時～男子マラソンで開幕！  初日の夜から、100m“世界最速の超人”ウサイン・ボルトが登場  8月22日～30日(日）までの9日間の真夏の北京から熱戦をお送りします。番組の内容と放送時間は変更になる可能性があります。")</f>
        <v>季世子（三浦理恵子）は、亜里砂（夏菜）が以前働いていたホテルを辞めた事情を、鷲尾（高橋克典）に打ち明ける。一方の亜里砂は、季世子が問題を抱えていることに気づき、自分にできることはないか思い悩む。その頃、塔子（西内まりや）らは、女性客・鈴香（黒田福美）の指輪が客室からなくなったという知らせを受け、懸命に探していた。ところが、その客室に一人で入って行く亜里砂の姿が、防犯カメラの映像に映っていて…！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天堂季世子…三浦理恵子  今泉鈴香…黒田福美  藤井典枝…山野海  中原暁美…舟木幸テーマソング　「デスペラード」 Honey L Days（avex trax）  エンディング・テーマ　「Stars」 ERIHIRO (SONIC GROOVE)  脚本：松田裕子　監督：今井和久(MMJ)　プロデューサー： 木村元子(MMJ)・本郷達也(MMJ)  ◇番組HP http://www.tbs.co.jp/hotel_2015/  ◇Twitter  https://twitter.com/conciergetbs  @conciergetbs  MMJ・TBS  22日(土）あさ7時～男子マラソンで開幕！  初日の夜から、100m“世界最速の超人”ウサイン・ボルトが登場  8月22日～30日(日）までの9日間の真夏の北京から熱戦をお送りします。番組の内容と放送時間は変更になる可能性があります。</v>
      </c>
      <c r="N5118" s="2"/>
      <c r="O5118" s="2"/>
      <c r="P5118" s="1"/>
      <c r="Q5118" s="1"/>
      <c r="R5118" s="1"/>
      <c r="S5118" s="1"/>
      <c r="T5118" s="1"/>
      <c r="U5118" s="1"/>
      <c r="V5118" s="1"/>
      <c r="W5118" s="1"/>
      <c r="X5118" s="1"/>
      <c r="Y5118" s="1"/>
      <c r="Z5118" s="1"/>
      <c r="AA5118" s="1"/>
      <c r="AB5118" s="1"/>
      <c r="AC5118" s="1"/>
      <c r="AD5118" s="1"/>
      <c r="AE5118" s="1"/>
      <c r="AF5118" s="1"/>
      <c r="AG5118" s="1"/>
      <c r="AH5118" s="1"/>
      <c r="AI5118" s="1"/>
      <c r="AJ5118" s="1"/>
      <c r="AK5118" s="1"/>
      <c r="AL5118" s="1"/>
      <c r="AM5118" s="1"/>
      <c r="AN5118" s="1"/>
      <c r="AO5118" s="1"/>
      <c r="AP5118" s="1"/>
      <c r="AQ5118" s="1"/>
      <c r="AR5118" s="1"/>
      <c r="AS5118" s="1"/>
      <c r="AT5118" s="1"/>
      <c r="AU5118" s="1"/>
      <c r="AV5118" s="1"/>
      <c r="AW5118" s="1"/>
      <c r="AX5118" s="1"/>
      <c r="AY5118" s="1"/>
      <c r="AZ5118" s="1"/>
      <c r="BA5118" s="1"/>
      <c r="BB5118" s="1"/>
    </row>
    <row r="5119" ht="204.75" customHeight="1">
      <c r="A5119" s="1">
        <v>2018.0</v>
      </c>
      <c r="B5119" s="2" t="s">
        <v>14274</v>
      </c>
      <c r="C5119" s="2">
        <f>IFERROR(__xludf.DUMMYFUNCTION("split(B5119,""_"")"),1507.0)</f>
        <v>1507</v>
      </c>
      <c r="D5119" s="2" t="str">
        <f>IFERROR(__xludf.DUMMYFUNCTION("""COMPUTED_VALUE"""),"TBS")</f>
        <v>TBS</v>
      </c>
      <c r="E5119" s="2" t="str">
        <f>IFERROR(__xludf.DUMMYFUNCTION("""COMPUTED_VALUE"""),"火22")</f>
        <v>火22</v>
      </c>
      <c r="F5119" s="2" t="s">
        <v>14275</v>
      </c>
      <c r="G5119" s="2" t="s">
        <v>14288</v>
      </c>
      <c r="H5119" s="1">
        <v>7.0</v>
      </c>
      <c r="J5119" s="1" t="s">
        <v>86</v>
      </c>
      <c r="K5119" s="2" t="s">
        <v>14289</v>
      </c>
      <c r="L5119" s="2"/>
      <c r="M5119" s="2" t="str">
        <f>IFERROR(__xludf.DUMMYFUNCTION("split(split(K5119,""【"",false),""公式LINE"",false)"),"ベルボーイ・牧原（小関裕太）は、名門旅館の一人息子。その母で女将の葉子（前田美波里）は、牧原にある決意を語る。寝耳に水の話に、驚く牧原。そのころ塔子（西内まりや）は、美香（藤澤恵麻）の結婚式の打ち合わせに同席していた。しかし、美香の父親（小林隆）のガンが再発してしまい、結婚式への参加が難しいことを知った塔子は彼女のためにできることはないか、と懸命に考える。やがて、とある計画を思いついて…！天野塔子…西内まりや  本城和馬…三浦翔平  珠久里太一…尾美としのり  高垣亜里砂…夏菜  牧原豪太…小関裕太  紺"&amp;"野浩太郎…山田裕貴  富永哲司…敦士   　　  沢渡美咲…池津祥子  丹後悠大…武田航平  西崎隼人…浅利陽介   　　  片桐美穂子…若村麻由美  成沢瑛一…伊武雅刀  鷲尾陵介…高橋克典牧原葉子…前田美波里  小野寺美香…藤澤恵麻  原口俊介…須田邦裕  小野寺幸一…小林隆テーマソング　「デスペラード」 Honey L Days（avex trax）  エンディング・テーマ　「Stars」 ERIHIRO (SONIC GROOVE)脚本：中川千英子　監督：星野和成　プロデューサー： 木村元子(MM"&amp;"J)・本郷達也(MMJ)◇番組HP http://www.tbs.co.jp/hotel_2015/  ◇Twitter  https://twitter.com/conciergetbs  @conciergetbs  MMJ・TBS  22日(土）あさ7時～男子マラソンで開幕！  初日の夜から、100m“世界最速の超人”ウサイン・ボルトが登場  8月22日～30日(日）までの9日間の真夏の北京から熱戦をお送りします。番組の内容と放送時間は変更になる可能性があります。")</f>
        <v>ベルボーイ・牧原（小関裕太）は、名門旅館の一人息子。その母で女将の葉子（前田美波里）は、牧原にある決意を語る。寝耳に水の話に、驚く牧原。そのころ塔子（西内まりや）は、美香（藤澤恵麻）の結婚式の打ち合わせに同席していた。しかし、美香の父親（小林隆）のガンが再発してしまい、結婚式への参加が難しいことを知った塔子は彼女のためにできることはないか、と懸命に考える。やがて、とある計画を思いついて…！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鷲尾陵介…高橋克典牧原葉子…前田美波里  小野寺美香…藤澤恵麻  原口俊介…須田邦裕  小野寺幸一…小林隆テーマソング　「デスペラード」 Honey L Days（avex trax）  エンディング・テーマ　「Stars」 ERIHIRO (SONIC GROOVE)脚本：中川千英子　監督：星野和成　プロデューサー： 木村元子(MMJ)・本郷達也(MMJ)◇番組HP http://www.tbs.co.jp/hotel_2015/  ◇Twitter  https://twitter.com/conciergetbs  @conciergetbs  MMJ・TBS  22日(土）あさ7時～男子マラソンで開幕！  初日の夜から、100m“世界最速の超人”ウサイン・ボルトが登場  8月22日～30日(日）までの9日間の真夏の北京から熱戦をお送りします。番組の内容と放送時間は変更になる可能性があります。</v>
      </c>
      <c r="N5119" s="2"/>
      <c r="O5119" s="2"/>
      <c r="P5119" s="1"/>
      <c r="Q5119" s="1"/>
      <c r="R5119" s="1"/>
      <c r="S5119" s="1"/>
      <c r="T5119" s="1"/>
      <c r="U5119" s="1"/>
      <c r="V5119" s="1"/>
      <c r="W5119" s="1"/>
      <c r="X5119" s="1"/>
      <c r="Y5119" s="1"/>
      <c r="Z5119" s="1"/>
      <c r="AA5119" s="1"/>
      <c r="AB5119" s="1"/>
      <c r="AC5119" s="1"/>
      <c r="AD5119" s="1"/>
      <c r="AE5119" s="1"/>
      <c r="AF5119" s="1"/>
      <c r="AG5119" s="1"/>
      <c r="AH5119" s="1"/>
      <c r="AI5119" s="1"/>
      <c r="AJ5119" s="1"/>
      <c r="AK5119" s="1"/>
      <c r="AL5119" s="1"/>
      <c r="AM5119" s="1"/>
      <c r="AN5119" s="1"/>
      <c r="AO5119" s="1"/>
      <c r="AP5119" s="1"/>
      <c r="AQ5119" s="1"/>
      <c r="AR5119" s="1"/>
      <c r="AS5119" s="1"/>
      <c r="AT5119" s="1"/>
      <c r="AU5119" s="1"/>
      <c r="AV5119" s="1"/>
      <c r="AW5119" s="1"/>
      <c r="AX5119" s="1"/>
      <c r="AY5119" s="1"/>
      <c r="AZ5119" s="1"/>
      <c r="BA5119" s="1"/>
      <c r="BB5119" s="1"/>
    </row>
    <row r="5120" ht="204.75" customHeight="1">
      <c r="A5120" s="1">
        <v>2019.0</v>
      </c>
      <c r="B5120" s="2" t="s">
        <v>14274</v>
      </c>
      <c r="C5120" s="2">
        <f>IFERROR(__xludf.DUMMYFUNCTION("split(B5120,""_"")"),1507.0)</f>
        <v>1507</v>
      </c>
      <c r="D5120" s="2" t="str">
        <f>IFERROR(__xludf.DUMMYFUNCTION("""COMPUTED_VALUE"""),"TBS")</f>
        <v>TBS</v>
      </c>
      <c r="E5120" s="2" t="str">
        <f>IFERROR(__xludf.DUMMYFUNCTION("""COMPUTED_VALUE"""),"火22")</f>
        <v>火22</v>
      </c>
      <c r="F5120" s="2" t="s">
        <v>14275</v>
      </c>
      <c r="G5120" s="2" t="s">
        <v>14290</v>
      </c>
      <c r="H5120" s="1">
        <v>8.0</v>
      </c>
      <c r="J5120" s="1" t="s">
        <v>86</v>
      </c>
      <c r="K5120" s="2" t="s">
        <v>14291</v>
      </c>
      <c r="L5120" s="2"/>
      <c r="M5120" s="2" t="str">
        <f>IFERROR(__xludf.DUMMYFUNCTION("split(split(K5120,""【"",false),""公式LINE"",false)"),"研修生の保科（間宮祥太朗）は、生意気な態度で、現場の仕事を見下すような言動を繰り返す。指導にあたる塔子（西内まりや）は、そんな保科に、ホテリエとしてのプライドを伝えようとするが…。また、他の学生たちから「まじめちゃん」とからかわれている咲希（小島藤子）。その母親・藍子（朝加真由美）が、娘を心配するあまり、フォルモントに泊まりに来る。そんな時、咲希が過呼吸の発作を起こしてしまって…！天野塔子…西内まりや  本城和馬…三浦翔平  珠久里太一…尾美としのり  高垣亜里砂…夏菜  牧原豪太…小関裕太  紺野浩太郎"&amp;"…山田裕貴  富永哲司…敦士   　　  沢渡美咲…池津祥子  丹後悠大…武田航平  西崎隼人…浅利陽介   　　  片桐美穂子…若村麻由美  成沢瑛一…伊武雅刀  鷲尾陵介…高橋克典　真島咲希…小島藤子  保科誠也…間宮祥太朗  真島藍子…朝加真由美テーマソング　「デスペラード」 Honey L Days（avex trax）  エンディング・テーマ　「Stars」 ERIHIRO (SONIC GROOVE)  脚本：李正姫　監督：植田尚(MMJ)　プロデューサー： 木村元子(MMJ)・本郷達也(MM"&amp;"J)  ◇番組HP http://www.tbs.co.jp/hotel_2015/  ◇Twitter  https://twitter.com/conciergetbs  @conciergetbs  MMJ・TBS  番組の内容と放送時間は変更になる可能性があります。")</f>
        <v>研修生の保科（間宮祥太朗）は、生意気な態度で、現場の仕事を見下すような言動を繰り返す。指導にあたる塔子（西内まりや）は、そんな保科に、ホテリエとしてのプライドを伝えようとするが…。また、他の学生たちから「まじめちゃん」とからかわれている咲希（小島藤子）。その母親・藍子（朝加真由美）が、娘を心配するあまり、フォルモントに泊まりに来る。そんな時、咲希が過呼吸の発作を起こしてしまって…！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真島咲希…小島藤子  保科誠也…間宮祥太朗  真島藍子…朝加真由美テーマソング　「デスペラード」 Honey L Days（avex trax）  エンディング・テーマ　「Stars」 ERIHIRO (SONIC GROOVE)  脚本：李正姫　監督：植田尚(MMJ)　プロデューサー： 木村元子(MMJ)・本郷達也(MMJ)  ◇番組HP http://www.tbs.co.jp/hotel_2015/  ◇Twitter  https://twitter.com/conciergetbs  @conciergetbs  MMJ・TBS  番組の内容と放送時間は変更になる可能性があります。</v>
      </c>
      <c r="N5120" s="2"/>
      <c r="O5120" s="2"/>
      <c r="P5120" s="1"/>
      <c r="Q5120" s="1"/>
      <c r="R5120" s="1"/>
      <c r="S5120" s="1"/>
      <c r="T5120" s="1"/>
      <c r="U5120" s="1"/>
      <c r="V5120" s="1"/>
      <c r="W5120" s="1"/>
      <c r="X5120" s="1"/>
      <c r="Y5120" s="1"/>
      <c r="Z5120" s="1"/>
      <c r="AA5120" s="1"/>
      <c r="AB5120" s="1"/>
      <c r="AC5120" s="1"/>
      <c r="AD5120" s="1"/>
      <c r="AE5120" s="1"/>
      <c r="AF5120" s="1"/>
      <c r="AG5120" s="1"/>
      <c r="AH5120" s="1"/>
      <c r="AI5120" s="1"/>
      <c r="AJ5120" s="1"/>
      <c r="AK5120" s="1"/>
      <c r="AL5120" s="1"/>
      <c r="AM5120" s="1"/>
      <c r="AN5120" s="1"/>
      <c r="AO5120" s="1"/>
      <c r="AP5120" s="1"/>
      <c r="AQ5120" s="1"/>
      <c r="AR5120" s="1"/>
      <c r="AS5120" s="1"/>
      <c r="AT5120" s="1"/>
      <c r="AU5120" s="1"/>
      <c r="AV5120" s="1"/>
      <c r="AW5120" s="1"/>
      <c r="AX5120" s="1"/>
      <c r="AY5120" s="1"/>
      <c r="AZ5120" s="1"/>
      <c r="BA5120" s="1"/>
      <c r="BB5120" s="1"/>
    </row>
    <row r="5121" ht="204.75" customHeight="1">
      <c r="A5121" s="1">
        <v>2020.0</v>
      </c>
      <c r="B5121" s="2" t="s">
        <v>14274</v>
      </c>
      <c r="C5121" s="2">
        <f>IFERROR(__xludf.DUMMYFUNCTION("split(B5121,""_"")"),1507.0)</f>
        <v>1507</v>
      </c>
      <c r="D5121" s="2" t="str">
        <f>IFERROR(__xludf.DUMMYFUNCTION("""COMPUTED_VALUE"""),"TBS")</f>
        <v>TBS</v>
      </c>
      <c r="E5121" s="2" t="str">
        <f>IFERROR(__xludf.DUMMYFUNCTION("""COMPUTED_VALUE"""),"火22")</f>
        <v>火22</v>
      </c>
      <c r="F5121" s="2" t="s">
        <v>14275</v>
      </c>
      <c r="G5121" s="2" t="s">
        <v>14292</v>
      </c>
      <c r="H5121" s="1">
        <v>9.0</v>
      </c>
      <c r="J5121" s="1" t="s">
        <v>86</v>
      </c>
      <c r="K5121" s="2" t="s">
        <v>14293</v>
      </c>
      <c r="L5121" s="2"/>
      <c r="M5121" s="2" t="str">
        <f>IFERROR(__xludf.DUMMYFUNCTION("split(split(K5121,""【"",false),""公式LINE"",false)"),"カリスマ経営者の母・映里子（泉ピン子）と広報担当の娘・美麗（内山理名）。二人の間には大きな溝が…。また、母親の光子（洞口依子）の訪問に、なぜか表情が冴えないメグ（大野いと）や、両親を亡くし弟妹たちのためにミスコンに全てを賭けているさゆり（西川カナコ）など、ファイナリストも様々な事情を抱えている。懸命に彼女たちをサポートする塔子（西内まりや）だったが、ある行動が映里子の逆鱗に触れてしまい…！天野塔子…西内まりや  本城和馬…三浦翔平  珠久里太一…尾美としのり  高垣亜里砂…夏菜  牧原豪太…小関裕太  紺"&amp;"野浩太郎…山田裕貴  富永哲司…敦士   　　  沢渡美咲…池津祥子  丹後悠大…武田航平  西崎隼人…浅利陽介   　　  片桐美穂子…若村麻由美  成沢瑛一…伊武雅刀  鷲尾陵介…高橋克典椿美麗…内山理名  メグ（小早川愛）…大野いと  小早川光子…洞口依子  高岡悦司…乃木涼介  椿映里子…泉ピン子（特別出演）テーマソング　「デスペラード」 Honey L Days（avex trax）  エンディング・テーマ　「Stars」 ERIHIRO (SONIC GROOVE)脚本：松田裕子　監督：今井和"&amp;"久(MMJ)　プロデューサー： 木村元子(MMJ)・本郷達也(MMJ)◇番組HP http://www.tbs.co.jp/hotel_2015/  ◇Twitter  https://twitter.com/conciergetbs  @conciergetbs  MMJ・TBS  ★「ホテルコンシェルジュ」終盤に向け、1分の限定動画公開！動画公開しました！  https://youtu.be/8C_1TajbsaI番組の内容と放送時間は変更になる可能性があります。")</f>
        <v>カリスマ経営者の母・映里子（泉ピン子）と広報担当の娘・美麗（内山理名）。二人の間には大きな溝が…。また、母親の光子（洞口依子）の訪問に、なぜか表情が冴えないメグ（大野いと）や、両親を亡くし弟妹たちのためにミスコンに全てを賭けているさゆり（西川カナコ）など、ファイナリストも様々な事情を抱えている。懸命に彼女たちをサポートする塔子（西内まりや）だったが、ある行動が映里子の逆鱗に触れてしまい…！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鷲尾陵介…高橋克典椿美麗…内山理名  メグ（小早川愛）…大野いと  小早川光子…洞口依子  高岡悦司…乃木涼介  椿映里子…泉ピン子（特別出演）テーマソング　「デスペラード」 Honey L Days（avex trax）  エンディング・テーマ　「Stars」 ERIHIRO (SONIC GROOVE)脚本：松田裕子　監督：今井和久(MMJ)　プロデューサー： 木村元子(MMJ)・本郷達也(MMJ)◇番組HP http://www.tbs.co.jp/hotel_2015/  ◇Twitter  https://twitter.com/conciergetbs  @conciergetbs  MMJ・TBS  ★「ホテルコンシェルジュ」終盤に向け、1分の限定動画公開！動画公開しました！  https://youtu.be/8C_1TajbsaI番組の内容と放送時間は変更になる可能性があります。</v>
      </c>
      <c r="N5121" s="2"/>
      <c r="O5121" s="2"/>
      <c r="P5121" s="1"/>
      <c r="Q5121" s="1"/>
      <c r="R5121" s="1"/>
      <c r="S5121" s="1"/>
      <c r="T5121" s="1"/>
      <c r="U5121" s="1"/>
      <c r="V5121" s="1"/>
      <c r="W5121" s="1"/>
      <c r="X5121" s="1"/>
      <c r="Y5121" s="1"/>
      <c r="Z5121" s="1"/>
      <c r="AA5121" s="1"/>
      <c r="AB5121" s="1"/>
      <c r="AC5121" s="1"/>
      <c r="AD5121" s="1"/>
      <c r="AE5121" s="1"/>
      <c r="AF5121" s="1"/>
      <c r="AG5121" s="1"/>
      <c r="AH5121" s="1"/>
      <c r="AI5121" s="1"/>
      <c r="AJ5121" s="1"/>
      <c r="AK5121" s="1"/>
      <c r="AL5121" s="1"/>
      <c r="AM5121" s="1"/>
      <c r="AN5121" s="1"/>
      <c r="AO5121" s="1"/>
      <c r="AP5121" s="1"/>
      <c r="AQ5121" s="1"/>
      <c r="AR5121" s="1"/>
      <c r="AS5121" s="1"/>
      <c r="AT5121" s="1"/>
      <c r="AU5121" s="1"/>
      <c r="AV5121" s="1"/>
      <c r="AW5121" s="1"/>
      <c r="AX5121" s="1"/>
      <c r="AY5121" s="1"/>
      <c r="AZ5121" s="1"/>
      <c r="BA5121" s="1"/>
      <c r="BB5121" s="1"/>
    </row>
    <row r="5122" ht="204.75" customHeight="1">
      <c r="A5122" s="1">
        <v>2021.0</v>
      </c>
      <c r="B5122" s="2" t="s">
        <v>14274</v>
      </c>
      <c r="C5122" s="2">
        <f>IFERROR(__xludf.DUMMYFUNCTION("split(B5122,""_"")"),1507.0)</f>
        <v>1507</v>
      </c>
      <c r="D5122" s="2" t="str">
        <f>IFERROR(__xludf.DUMMYFUNCTION("""COMPUTED_VALUE"""),"TBS")</f>
        <v>TBS</v>
      </c>
      <c r="E5122" s="2" t="str">
        <f>IFERROR(__xludf.DUMMYFUNCTION("""COMPUTED_VALUE"""),"火22")</f>
        <v>火22</v>
      </c>
      <c r="F5122" s="2" t="s">
        <v>14275</v>
      </c>
      <c r="G5122" s="2" t="s">
        <v>14294</v>
      </c>
      <c r="H5122" s="1">
        <v>10.0</v>
      </c>
      <c r="J5122" s="1" t="s">
        <v>86</v>
      </c>
      <c r="K5122" s="2" t="s">
        <v>14295</v>
      </c>
      <c r="L5122" s="2"/>
      <c r="M5122" s="2" t="str">
        <f>IFERROR(__xludf.DUMMYFUNCTION("split(split(K5122,""【"",false),""公式LINE"",false)"),"カリスマ社長である母・映里子（泉ピン子）との間に、大きな亀裂が入ってしまった美麗（内山理名）は、フォルモントを飛び出し、姿を消してしまう。映里子は、塔子（西内まりや）の言動に腹を立て、すべてのイベントを中止すると宣言。かつてない非常事態を受け、鷲尾（高橋克典）ら幹部たちは、対策を協議する。そんな中、本城（三浦翔平）は、映里子から預かった極秘文書に解決の糸口を見出し、映里子の説得を試みるが…！天野塔子…西内まりや  本城和馬…三浦翔平  珠久里太一…尾美としのり  高垣亜里砂…夏菜  牧原豪太…小関裕太  "&amp;"紺野浩太郎…山田裕貴  富永哲司…敦士   　　  沢渡美咲…池津祥子  丹後悠大…武田航平  西崎隼人…浅利陽介   　　  片桐美穂子…若村麻由美  成沢瑛一…伊武雅刀  鷲尾陵介…高橋克典　椿美麗…内山理名  メグ（小早川愛）…大野いと  小早川光子…洞口依子  高岡悦司…乃木涼介  椿映里子…泉ピン子（特別出演）テーマソング　「デスペラード」 Honey L Days（avex trax）  エンディング・テーマ　「Stars」 ERIHIRO (SONIC GROOVE)  脚本：松田裕子　監督"&amp;"：今井和久(MMJ)　プロデューサー： 木村元子(MMJ)・本郷達也(MMJ)  ◇番組HP http://www.tbs.co.jp/hotel_2015/  ◇Twitter  https://twitter.com/conciergetbs  @conciergetbs  MMJ・TBS  番組の内容と放送時間は変更になる可能性があります。")</f>
        <v>カリスマ社長である母・映里子（泉ピン子）との間に、大きな亀裂が入ってしまった美麗（内山理名）は、フォルモントを飛び出し、姿を消してしまう。映里子は、塔子（西内まりや）の言動に腹を立て、すべてのイベントを中止すると宣言。かつてない非常事態を受け、鷲尾（高橋克典）ら幹部たちは、対策を協議する。そんな中、本城（三浦翔平）は、映里子から預かった極秘文書に解決の糸口を見出し、映里子の説得を試みるが…！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椿美麗…内山理名  メグ（小早川愛）…大野いと  小早川光子…洞口依子  高岡悦司…乃木涼介  椿映里子…泉ピン子（特別出演）テーマソング　「デスペラード」 Honey L Days（avex trax）  エンディング・テーマ　「Stars」 ERIHIRO (SONIC GROOVE)  脚本：松田裕子　監督：今井和久(MMJ)　プロデューサー： 木村元子(MMJ)・本郷達也(MMJ)  ◇番組HP http://www.tbs.co.jp/hotel_2015/  ◇Twitter  https://twitter.com/conciergetbs  @conciergetbs  MMJ・TBS  番組の内容と放送時間は変更になる可能性があります。</v>
      </c>
      <c r="N5122" s="2"/>
      <c r="O5122" s="2"/>
      <c r="P5122" s="1"/>
      <c r="Q5122" s="1"/>
      <c r="R5122" s="1"/>
      <c r="S5122" s="1"/>
      <c r="T5122" s="1"/>
      <c r="U5122" s="1"/>
      <c r="V5122" s="1"/>
      <c r="W5122" s="1"/>
      <c r="X5122" s="1"/>
      <c r="Y5122" s="1"/>
      <c r="Z5122" s="1"/>
      <c r="AA5122" s="1"/>
      <c r="AB5122" s="1"/>
      <c r="AC5122" s="1"/>
      <c r="AD5122" s="1"/>
      <c r="AE5122" s="1"/>
      <c r="AF5122" s="1"/>
      <c r="AG5122" s="1"/>
      <c r="AH5122" s="1"/>
      <c r="AI5122" s="1"/>
      <c r="AJ5122" s="1"/>
      <c r="AK5122" s="1"/>
      <c r="AL5122" s="1"/>
      <c r="AM5122" s="1"/>
      <c r="AN5122" s="1"/>
      <c r="AO5122" s="1"/>
      <c r="AP5122" s="1"/>
      <c r="AQ5122" s="1"/>
      <c r="AR5122" s="1"/>
      <c r="AS5122" s="1"/>
      <c r="AT5122" s="1"/>
      <c r="AU5122" s="1"/>
      <c r="AV5122" s="1"/>
      <c r="AW5122" s="1"/>
      <c r="AX5122" s="1"/>
      <c r="AY5122" s="1"/>
      <c r="AZ5122" s="1"/>
      <c r="BA5122" s="1"/>
      <c r="BB5122" s="1"/>
    </row>
    <row r="5123" ht="204.75" customHeight="1">
      <c r="A5123" s="1">
        <v>2043.0</v>
      </c>
      <c r="B5123" s="2" t="s">
        <v>14296</v>
      </c>
      <c r="C5123" s="2">
        <f>IFERROR(__xludf.DUMMYFUNCTION("split(B5123,""_"")"),1507.0)</f>
        <v>1507</v>
      </c>
      <c r="D5123" s="2" t="str">
        <f>IFERROR(__xludf.DUMMYFUNCTION("""COMPUTED_VALUE"""),"TBS")</f>
        <v>TBS</v>
      </c>
      <c r="E5123" s="2" t="str">
        <f>IFERROR(__xludf.DUMMYFUNCTION("""COMPUTED_VALUE"""),"木21")</f>
        <v>木21</v>
      </c>
      <c r="F5123" s="2" t="s">
        <v>14297</v>
      </c>
      <c r="G5123" s="2" t="s">
        <v>14298</v>
      </c>
      <c r="H5123" s="1">
        <v>1.0</v>
      </c>
      <c r="J5123" s="1" t="s">
        <v>12865</v>
      </c>
      <c r="K5123" s="2" t="s">
        <v>14299</v>
      </c>
      <c r="L5123" s="2"/>
      <c r="M5123" s="2" t="str">
        <f>IFERROR(__xludf.DUMMYFUNCTION("split(split(K5123,""【"",false),""公式LINE"",false)"),"強張った笑顔が原因で保育園をクビになってしまった杉崎桃子（蓮佛美沙子）は、熱が出て保育園に行けない子供を訪問し親の留守中に世話をする「病児保育士」として再出発をする。暖かい上司の朝比奈（成宮寛貴）とマニュアル重視の鉄仮面の社長・柳（藤木直人）、　厳しい教育係のめぐみ（水野美紀）による研修期間を終え、初めて一人でお客さんの元を訪ねる桃子だったが...。訪問先の聡美（中越典子）の家のドアを開けると、そこは所狭しと物が散乱するゴミ屋敷…。聡美と対照的に息子の海翔（林田悠作）はヨレヨレの服を着て、昼食にはアンパン"&amp;"が1つしか用意されていない...。  一方、桃子の幼少期に暗い影を落とす毒母・富美子（浅野温子）は、桃子の行方を捜していた。桃子の強張った笑顔の裏に隠された過去とは...。  蓮佛美沙子、成宮寛貴、速水もこみち、トリンドル玲奈、鈴木梨央、中越典子（第1話ゲスト）、藤木直人（特別出演）、水野美紀、浅野温子水上剣星、西村和彦、久保田磨希、松島花、趣里、永池南津子、木戸邑弥、谷川りさこ、石田登星、横山歩、美保純　ほか音楽：得田真裕  主題歌：「大丈夫」wacci（EPICレコードジャパン）  挿入歌：「EGG」"&amp;"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http://www.tbs.co.jp/375namida/  ■番組Twitter  @375namida  https://twitter.com/375nam"&amp;"ida  @375namida■番組Facebook  https://www.facebook.com/375namida  ［新ドラマ］1分まとめ! 蓮佛美沙子 病児保育士役で初主演! 7/9（木）スタート『37.5℃の涙』動画公開しました！  https://youtu.be/AY9hdmvxFy4  ［新ドラマ］新着映像! 1分でわかる! 蓮佛美沙子主演 7/9（木）『37.5℃の涙』スタート動画公開しました！  https://youtu.be/rDoTVHiO854  番組の内容と放送時間は変"&amp;"更になる場合があります。")</f>
        <v>強張った笑顔が原因で保育園をクビになってしまった杉崎桃子（蓮佛美沙子）は、熱が出て保育園に行けない子供を訪問し親の留守中に世話をする「病児保育士」として再出発をする。暖かい上司の朝比奈（成宮寛貴）とマニュアル重視の鉄仮面の社長・柳（藤木直人）、　厳しい教育係のめぐみ（水野美紀）による研修期間を終え、初めて一人でお客さんの元を訪ねる桃子だったが...。訪問先の聡美（中越典子）の家のドアを開けると、そこは所狭しと物が散乱するゴミ屋敷…。聡美と対照的に息子の海翔（林田悠作）はヨレヨレの服を着て、昼食にはアンパンが1つしか用意されていない...。  一方、桃子の幼少期に暗い影を落とす毒母・富美子（浅野温子）は、桃子の行方を捜していた。桃子の強張った笑顔の裏に隠された過去とは...。  蓮佛美沙子、成宮寛貴、速水もこみち、トリンドル玲奈、鈴木梨央、中越典子（第1話ゲスト）、藤木直人（特別出演）、水野美紀、浅野温子水上剣星、西村和彦、久保田磨希、松島花、趣里、永池南津子、木戸邑弥、谷川りさこ、石田登星、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http://www.tbs.co.jp/375namida/  ■番組Twitter  @375namida  https://twitter.com/375namida  @375namida■番組Facebook  https://www.facebook.com/375namida  ［新ドラマ］1分まとめ! 蓮佛美沙子 病児保育士役で初主演! 7/9（木）スタート『37.5℃の涙』動画公開しました！  https://youtu.be/AY9hdmvxFy4  ［新ドラマ］新着映像! 1分でわかる! 蓮佛美沙子主演 7/9（木）『37.5℃の涙』スタート動画公開しました！  https://youtu.be/rDoTVHiO854  番組の内容と放送時間は変更になる場合があります。</v>
      </c>
      <c r="N5123" s="2"/>
      <c r="O5123" s="2"/>
      <c r="P5123" s="1"/>
      <c r="Q5123" s="1"/>
      <c r="R5123" s="1"/>
      <c r="S5123" s="1"/>
      <c r="T5123" s="1"/>
      <c r="U5123" s="1"/>
      <c r="V5123" s="1"/>
      <c r="W5123" s="1"/>
      <c r="X5123" s="1"/>
      <c r="Y5123" s="1"/>
      <c r="Z5123" s="1"/>
      <c r="AA5123" s="1"/>
      <c r="AB5123" s="1"/>
      <c r="AC5123" s="1"/>
      <c r="AD5123" s="1"/>
      <c r="AE5123" s="1"/>
      <c r="AF5123" s="1"/>
      <c r="AG5123" s="1"/>
      <c r="AH5123" s="1"/>
      <c r="AI5123" s="1"/>
      <c r="AJ5123" s="1"/>
      <c r="AK5123" s="1"/>
      <c r="AL5123" s="1"/>
      <c r="AM5123" s="1"/>
      <c r="AN5123" s="1"/>
      <c r="AO5123" s="1"/>
      <c r="AP5123" s="1"/>
      <c r="AQ5123" s="1"/>
      <c r="AR5123" s="1"/>
      <c r="AS5123" s="1"/>
      <c r="AT5123" s="1"/>
      <c r="AU5123" s="1"/>
      <c r="AV5123" s="1"/>
      <c r="AW5123" s="1"/>
      <c r="AX5123" s="1"/>
      <c r="AY5123" s="1"/>
      <c r="AZ5123" s="1"/>
      <c r="BA5123" s="1"/>
      <c r="BB5123" s="1"/>
    </row>
    <row r="5124" ht="204.75" customHeight="1">
      <c r="A5124" s="1">
        <v>2044.0</v>
      </c>
      <c r="B5124" s="2" t="s">
        <v>14296</v>
      </c>
      <c r="C5124" s="2">
        <f>IFERROR(__xludf.DUMMYFUNCTION("split(B5124,""_"")"),1507.0)</f>
        <v>1507</v>
      </c>
      <c r="D5124" s="2" t="str">
        <f>IFERROR(__xludf.DUMMYFUNCTION("""COMPUTED_VALUE"""),"TBS")</f>
        <v>TBS</v>
      </c>
      <c r="E5124" s="2" t="str">
        <f>IFERROR(__xludf.DUMMYFUNCTION("""COMPUTED_VALUE"""),"木21")</f>
        <v>木21</v>
      </c>
      <c r="F5124" s="2" t="s">
        <v>14297</v>
      </c>
      <c r="G5124" s="2" t="s">
        <v>14300</v>
      </c>
      <c r="H5124" s="1">
        <v>2.0</v>
      </c>
      <c r="I5124" s="1" t="s">
        <v>14301</v>
      </c>
      <c r="J5124" s="1" t="s">
        <v>11</v>
      </c>
      <c r="K5124" s="2" t="s">
        <v>14302</v>
      </c>
      <c r="L5124" s="2"/>
      <c r="M5124" s="2" t="str">
        <f>IFERROR(__xludf.DUMMYFUNCTION("split(split(K5124,""【"",false),""公式LINE"",false)"),"病児保育士として再出発をした桃子（蓮佛美沙子）が訪問した先は月に何度も病児保育を利用する佐々木家。娘の結衣（須田理央）は母・真理恵（安達祐実）の前ではおとなしいが、真理恵が仕事に出たとたん態度が一変。元気にゲームをしたり、アイスを食べたり...仮病の疑いを持った桃子だったが、社長の柳（藤木直人）から「本当の腹痛でも仮病でも病児保育士のやるべきことに変わりない」と釘を刺されてしまう。そんな中朝比奈（成宮寛貴）の娘・小春（鈴木梨央）の病児保育をすることになった桃子。大人びた小春に緊張するが、朝比奈の思わぬ気遣"&amp;"いに心を打たれ...。イクメン篠原（速水もこみち）とも思わぬ所で遭遇し…。その頃、桃子の実家では、介護が必要になった父の世話を押し付けようと毒母・富美子（浅野温子）が桃子の行方を捜していた。強張った笑顔に隠された桃子の悲しい過去が徐々に明らかになる！蓮佛美沙子、成宮寛貴、速水もこみち、トリンドル玲奈、鈴木梨央、安達祐実（第2話ゲスト）、藤木直人（特別出演）、水野美紀、浅野温子　水上剣星、西村和彦、久保田磨希、松島花、趣里、永池南津子、木戸邑弥、谷川りさこ、石田登星、田上唯、横山歩、美保純　ほか音楽：得田真"&amp;"裕  主題歌：「大丈夫」wacci（EPICレコードジャパン）  挿入歌：「EGG」木村カエラ（ELA/ビクターエンタテインメント）  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演出：藤尾隆■番組HP  http://www.tbs.co.jp/375namida/  ■番組Twi"&amp;"tter  @375namida  https://twitter.com/375namida  #375の涙■番組Facebook  https://www.facebook.com/375namida  笑顔が苦手な病児保育士を蓮佛美沙子が熱演! #1『37.5℃の涙』7/9（木）ダイジェスト動画公開しました！  https://youtu.be/HehptSGntrk  蓮佛美沙子が病児保育士熱演! #2動画公開しました！  https://youtu.be/M0Q6KLFr9ls  制作発表を公開"&amp;"! 蓮佛美沙子主演『37.5℃の涙』木曜21時　動画公開しました！  https://youtu.be/a0Y4-j0GFe8  番組の内容と放送時間は変更になる場合があります。")</f>
        <v>病児保育士として再出発をした桃子（蓮佛美沙子）が訪問した先は月に何度も病児保育を利用する佐々木家。娘の結衣（須田理央）は母・真理恵（安達祐実）の前ではおとなしいが、真理恵が仕事に出たとたん態度が一変。元気にゲームをしたり、アイスを食べたり...仮病の疑いを持った桃子だったが、社長の柳（藤木直人）から「本当の腹痛でも仮病でも病児保育士のやるべきことに変わりない」と釘を刺されてしまう。そんな中朝比奈（成宮寛貴）の娘・小春（鈴木梨央）の病児保育をすることになった桃子。大人びた小春に緊張するが、朝比奈の思わぬ気遣いに心を打たれ...。イクメン篠原（速水もこみち）とも思わぬ所で遭遇し…。その頃、桃子の実家では、介護が必要になった父の世話を押し付けようと毒母・富美子（浅野温子）が桃子の行方を捜していた。強張った笑顔に隠された桃子の悲しい過去が徐々に明らかになる！蓮佛美沙子、成宮寛貴、速水もこみち、トリンドル玲奈、鈴木梨央、安達祐実（第2話ゲスト）、藤木直人（特別出演）、水野美紀、浅野温子　水上剣星、西村和彦、久保田磨希、松島花、趣里、永池南津子、木戸邑弥、谷川りさこ、石田登星、田上唯、横山歩、美保純　ほか音楽：得田真裕  主題歌：「大丈夫」wacci（EPICレコードジャパン）  挿入歌：「EGG」木村カエラ（ELA/ビクターエンタテインメント）  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演出：藤尾隆■番組HP  http://www.tbs.co.jp/375namida/  ■番組Twitter  @375namida  https://twitter.com/375namida  #375の涙■番組Facebook  https://www.facebook.com/375namida  笑顔が苦手な病児保育士を蓮佛美沙子が熱演! #1『37.5℃の涙』7/9（木）ダイジェスト動画公開しました！  https://youtu.be/HehptSGntrk  蓮佛美沙子が病児保育士熱演! #2動画公開しました！  https://youtu.be/M0Q6KLFr9ls  制作発表を公開! 蓮佛美沙子主演『37.5℃の涙』木曜21時　動画公開しました！  https://youtu.be/a0Y4-j0GFe8  番組の内容と放送時間は変更になる場合があります。</v>
      </c>
      <c r="N5124" s="2"/>
      <c r="O5124" s="2"/>
      <c r="P5124" s="1"/>
      <c r="Q5124" s="1"/>
      <c r="R5124" s="1"/>
      <c r="S5124" s="1"/>
      <c r="T5124" s="1"/>
      <c r="U5124" s="1"/>
      <c r="V5124" s="1"/>
      <c r="W5124" s="1"/>
      <c r="X5124" s="1"/>
      <c r="Y5124" s="1"/>
      <c r="Z5124" s="1"/>
      <c r="AA5124" s="1"/>
      <c r="AB5124" s="1"/>
      <c r="AC5124" s="1"/>
      <c r="AD5124" s="1"/>
      <c r="AE5124" s="1"/>
      <c r="AF5124" s="1"/>
      <c r="AG5124" s="1"/>
      <c r="AH5124" s="1"/>
      <c r="AI5124" s="1"/>
      <c r="AJ5124" s="1"/>
      <c r="AK5124" s="1"/>
      <c r="AL5124" s="1"/>
      <c r="AM5124" s="1"/>
      <c r="AN5124" s="1"/>
      <c r="AO5124" s="1"/>
      <c r="AP5124" s="1"/>
      <c r="AQ5124" s="1"/>
      <c r="AR5124" s="1"/>
      <c r="AS5124" s="1"/>
      <c r="AT5124" s="1"/>
      <c r="AU5124" s="1"/>
      <c r="AV5124" s="1"/>
      <c r="AW5124" s="1"/>
      <c r="AX5124" s="1"/>
      <c r="AY5124" s="1"/>
      <c r="AZ5124" s="1"/>
      <c r="BA5124" s="1"/>
      <c r="BB5124" s="1"/>
    </row>
    <row r="5125" ht="204.75" customHeight="1">
      <c r="A5125" s="1">
        <v>2045.0</v>
      </c>
      <c r="B5125" s="2" t="s">
        <v>14296</v>
      </c>
      <c r="C5125" s="2">
        <f>IFERROR(__xludf.DUMMYFUNCTION("split(B5125,""_"")"),1507.0)</f>
        <v>1507</v>
      </c>
      <c r="D5125" s="2" t="str">
        <f>IFERROR(__xludf.DUMMYFUNCTION("""COMPUTED_VALUE"""),"TBS")</f>
        <v>TBS</v>
      </c>
      <c r="E5125" s="2" t="str">
        <f>IFERROR(__xludf.DUMMYFUNCTION("""COMPUTED_VALUE"""),"木21")</f>
        <v>木21</v>
      </c>
      <c r="F5125" s="2" t="s">
        <v>14297</v>
      </c>
      <c r="G5125" s="2" t="s">
        <v>14303</v>
      </c>
      <c r="H5125" s="1">
        <v>3.0</v>
      </c>
      <c r="I5125" s="1" t="s">
        <v>14304</v>
      </c>
      <c r="J5125" s="1" t="s">
        <v>11</v>
      </c>
      <c r="K5125" s="2" t="s">
        <v>14305</v>
      </c>
      <c r="L5125" s="2"/>
      <c r="M5125" s="2" t="str">
        <f>IFERROR(__xludf.DUMMYFUNCTION("split(split(K5125,""【"",false),""公式LINE"",false)"),"新米病児保育士の桃子（蓮佛美沙子）がついにもらった初指名の相手はなんと篠原（速水もこみち）。息子の健太（横山歩）に好かれたことが嬉しい桃子だったが、保育中に篠原の離婚協議中の妻（滝沢沙織）が現れて…。  一方、桃子に厳しい評価をしている社長の柳（藤木直人）は、重要な顧客であるカリスマ・ママタレントの大橋華絵（矢田亜希子）からの依頼に敢えて桃子を送り出す。失敗の許されない桃子をクレームの嵐が襲う!?  大事な客の元に桃子を送り出した柳の鉄の仮面の下に隠された真意とは。  そして、朝比奈（成宮寛貴）と娘の小春"&amp;"（鈴木梨央）の間に深い溝を作った3年前の“ある出来事”とは...。  さらに桃子の毒母・富美子（浅野温子）がついに桃子の居場所を突き止める...。  蓮佛美沙子、成宮寛貴、速水もこみち、トリンドル玲奈、鈴木梨央、矢田亜希子（第3話ゲスト）、藤木直人（特別出演）、水野美紀、浅野温子　水上剣星、滝沢沙織、西村和彦、久保田磨希、松島花、趣里、永池南津子、木戸邑弥、谷川りさこ、石田登星、田上唯、横山歩、美保純　ほか音楽：得田真裕  主題歌：「大丈夫」wacci（EPICレコードジャパン）  挿入歌：「EGG」木村"&amp;"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演出：村上牧人■番組HP  http://www.tbs.co.jp/375namida/  ■番組Twitter  @375namida  https://twitter.com/375nami"&amp;"da  #375の涙■番組Facebook  https://www.facebook.com/375namida  番組の内容と放送時間は変更になる場合があります。")</f>
        <v>新米病児保育士の桃子（蓮佛美沙子）がついにもらった初指名の相手はなんと篠原（速水もこみち）。息子の健太（横山歩）に好かれたことが嬉しい桃子だったが、保育中に篠原の離婚協議中の妻（滝沢沙織）が現れて…。  一方、桃子に厳しい評価をしている社長の柳（藤木直人）は、重要な顧客であるカリスマ・ママタレントの大橋華絵（矢田亜希子）からの依頼に敢えて桃子を送り出す。失敗の許されない桃子をクレームの嵐が襲う!?  大事な客の元に桃子を送り出した柳の鉄の仮面の下に隠された真意とは。  そして、朝比奈（成宮寛貴）と娘の小春（鈴木梨央）の間に深い溝を作った3年前の“ある出来事”とは...。  さらに桃子の毒母・富美子（浅野温子）がついに桃子の居場所を突き止める...。  蓮佛美沙子、成宮寛貴、速水もこみち、トリンドル玲奈、鈴木梨央、矢田亜希子（第3話ゲスト）、藤木直人（特別出演）、水野美紀、浅野温子　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演出：村上牧人■番組HP  http://www.tbs.co.jp/375namida/  ■番組Twitter  @375namida  https://twitter.com/375namida  #375の涙■番組Facebook  https://www.facebook.com/375namida  番組の内容と放送時間は変更になる場合があります。</v>
      </c>
      <c r="N5125" s="2"/>
      <c r="O5125" s="2"/>
      <c r="P5125" s="1"/>
      <c r="Q5125" s="1"/>
      <c r="R5125" s="1"/>
      <c r="S5125" s="1"/>
      <c r="T5125" s="1"/>
      <c r="U5125" s="1"/>
      <c r="V5125" s="1"/>
      <c r="W5125" s="1"/>
      <c r="X5125" s="1"/>
      <c r="Y5125" s="1"/>
      <c r="Z5125" s="1"/>
      <c r="AA5125" s="1"/>
      <c r="AB5125" s="1"/>
      <c r="AC5125" s="1"/>
      <c r="AD5125" s="1"/>
      <c r="AE5125" s="1"/>
      <c r="AF5125" s="1"/>
      <c r="AG5125" s="1"/>
      <c r="AH5125" s="1"/>
      <c r="AI5125" s="1"/>
      <c r="AJ5125" s="1"/>
      <c r="AK5125" s="1"/>
      <c r="AL5125" s="1"/>
      <c r="AM5125" s="1"/>
      <c r="AN5125" s="1"/>
      <c r="AO5125" s="1"/>
      <c r="AP5125" s="1"/>
      <c r="AQ5125" s="1"/>
      <c r="AR5125" s="1"/>
      <c r="AS5125" s="1"/>
      <c r="AT5125" s="1"/>
      <c r="AU5125" s="1"/>
      <c r="AV5125" s="1"/>
      <c r="AW5125" s="1"/>
      <c r="AX5125" s="1"/>
      <c r="AY5125" s="1"/>
      <c r="AZ5125" s="1"/>
      <c r="BA5125" s="1"/>
      <c r="BB5125" s="1"/>
    </row>
    <row r="5126" ht="204.75" customHeight="1">
      <c r="A5126" s="1">
        <v>2046.0</v>
      </c>
      <c r="B5126" s="2" t="s">
        <v>14296</v>
      </c>
      <c r="C5126" s="2">
        <f>IFERROR(__xludf.DUMMYFUNCTION("split(B5126,""_"")"),1507.0)</f>
        <v>1507</v>
      </c>
      <c r="D5126" s="2" t="str">
        <f>IFERROR(__xludf.DUMMYFUNCTION("""COMPUTED_VALUE"""),"TBS")</f>
        <v>TBS</v>
      </c>
      <c r="E5126" s="2" t="str">
        <f>IFERROR(__xludf.DUMMYFUNCTION("""COMPUTED_VALUE"""),"木21")</f>
        <v>木21</v>
      </c>
      <c r="F5126" s="2" t="s">
        <v>14297</v>
      </c>
      <c r="G5126" s="2" t="s">
        <v>14306</v>
      </c>
      <c r="H5126" s="1">
        <v>4.0</v>
      </c>
      <c r="I5126" s="1" t="s">
        <v>14304</v>
      </c>
      <c r="J5126" s="1" t="s">
        <v>11</v>
      </c>
      <c r="K5126" s="2" t="s">
        <v>14307</v>
      </c>
      <c r="L5126" s="2"/>
      <c r="M5126" s="2" t="str">
        <f>IFERROR(__xludf.DUMMYFUNCTION("split(split(K5126,""【"",false),""公式LINE"",false)"),"桃子（蓮佛美沙子）が訪問した北原家は、子供がいる親同士で再婚し、血の繋がらない兄弟のいる『ステップファミリー』。兄弟でプール熱に感染したため、先輩のめぐみ（水野美紀）と一緒に病児保育に行くことに。しかし、母親の真依子（佐藤仁美）は再婚相手に遠慮するあまり、血の繋がらない次男ばかり甘やかし、長男の翔馬には冷たく接していた。翔馬に同情し、距離を縮める桃子...しかしその様子を見ためぐみは声を荒らげて…朝比奈（成宮寛貴）は3年前の妻の死を巡って娘の小春（鈴木梨央）との間にできてしまった亀裂に頭を悩ませていた。イ"&amp;"クメンとして息子を育てる篠原（速水もこみち）は浮気した妻から離婚届を突きつけられて...  そしてついに、桃子の過去に暗い影を落とす実家から、兄が桃子の居場所を突き止めて...！？毒母・富美子（浅野温子）の包囲網が桃子に迫る...。蓮佛美沙子、成宮寛貴、速水もこみち、トリンドル玲奈、鈴木梨央、佐藤仁美（第4話ゲスト）、藤木直人（特別出演）、水野美紀、浅野温子水上剣星、滝沢沙織、西村和彦、久保田磨希、松島花、趣里、永池南津子、木戸邑弥、谷川りさこ、石田登星、田上唯、横山歩、美保純　ほか音楽：得田真裕  主題"&amp;"歌：「大丈夫」wacci（EPICレコードジャパン）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http://www.tbs.co.jp/375namida/  ■番組Twitter  @"&amp;"375namida  https://twitter.com/375namida  #375の涙■番組Facebook  https://www.facebook.com/375namida  番組の内容と放送時間は変更になる場合があります。")</f>
        <v>桃子（蓮佛美沙子）が訪問した北原家は、子供がいる親同士で再婚し、血の繋がらない兄弟のいる『ステップファミリー』。兄弟でプール熱に感染したため、先輩のめぐみ（水野美紀）と一緒に病児保育に行くことに。しかし、母親の真依子（佐藤仁美）は再婚相手に遠慮するあまり、血の繋がらない次男ばかり甘やかし、長男の翔馬には冷たく接していた。翔馬に同情し、距離を縮める桃子...しかしその様子を見ためぐみは声を荒らげて…朝比奈（成宮寛貴）は3年前の妻の死を巡って娘の小春（鈴木梨央）との間にできてしまった亀裂に頭を悩ませていた。イクメンとして息子を育てる篠原（速水もこみち）は浮気した妻から離婚届を突きつけられて...  そしてついに、桃子の過去に暗い影を落とす実家から、兄が桃子の居場所を突き止めて...！？毒母・富美子（浅野温子）の包囲網が桃子に迫る...。蓮佛美沙子、成宮寛貴、速水もこみち、トリンドル玲奈、鈴木梨央、佐藤仁美（第4話ゲスト）、藤木直人（特別出演）、水野美紀、浅野温子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http://www.tbs.co.jp/375namida/  ■番組Twitter  @375namida  https://twitter.com/375namida  #375の涙■番組Facebook  https://www.facebook.com/375namida  番組の内容と放送時間は変更になる場合があります。</v>
      </c>
      <c r="N5126" s="2"/>
      <c r="O5126" s="2"/>
      <c r="P5126" s="1"/>
      <c r="Q5126" s="1"/>
      <c r="R5126" s="1"/>
      <c r="S5126" s="1"/>
      <c r="T5126" s="1"/>
      <c r="U5126" s="1"/>
      <c r="V5126" s="1"/>
      <c r="W5126" s="1"/>
      <c r="X5126" s="1"/>
      <c r="Y5126" s="1"/>
      <c r="Z5126" s="1"/>
      <c r="AA5126" s="1"/>
      <c r="AB5126" s="1"/>
      <c r="AC5126" s="1"/>
      <c r="AD5126" s="1"/>
      <c r="AE5126" s="1"/>
      <c r="AF5126" s="1"/>
      <c r="AG5126" s="1"/>
      <c r="AH5126" s="1"/>
      <c r="AI5126" s="1"/>
      <c r="AJ5126" s="1"/>
      <c r="AK5126" s="1"/>
      <c r="AL5126" s="1"/>
      <c r="AM5126" s="1"/>
      <c r="AN5126" s="1"/>
      <c r="AO5126" s="1"/>
      <c r="AP5126" s="1"/>
      <c r="AQ5126" s="1"/>
      <c r="AR5126" s="1"/>
      <c r="AS5126" s="1"/>
      <c r="AT5126" s="1"/>
      <c r="AU5126" s="1"/>
      <c r="AV5126" s="1"/>
      <c r="AW5126" s="1"/>
      <c r="AX5126" s="1"/>
      <c r="AY5126" s="1"/>
      <c r="AZ5126" s="1"/>
      <c r="BA5126" s="1"/>
      <c r="BB5126" s="1"/>
    </row>
    <row r="5127" ht="204.75" customHeight="1">
      <c r="A5127" s="1">
        <v>2047.0</v>
      </c>
      <c r="B5127" s="2" t="s">
        <v>14296</v>
      </c>
      <c r="C5127" s="2">
        <f>IFERROR(__xludf.DUMMYFUNCTION("split(B5127,""_"")"),1507.0)</f>
        <v>1507</v>
      </c>
      <c r="D5127" s="2" t="str">
        <f>IFERROR(__xludf.DUMMYFUNCTION("""COMPUTED_VALUE"""),"TBS")</f>
        <v>TBS</v>
      </c>
      <c r="E5127" s="2" t="str">
        <f>IFERROR(__xludf.DUMMYFUNCTION("""COMPUTED_VALUE"""),"木21")</f>
        <v>木21</v>
      </c>
      <c r="F5127" s="2" t="s">
        <v>14297</v>
      </c>
      <c r="G5127" s="2" t="s">
        <v>14308</v>
      </c>
      <c r="H5127" s="1">
        <v>5.0</v>
      </c>
      <c r="I5127" s="1" t="s">
        <v>14304</v>
      </c>
      <c r="J5127" s="1" t="s">
        <v>11</v>
      </c>
      <c r="K5127" s="2" t="s">
        <v>14309</v>
      </c>
      <c r="L5127" s="2"/>
      <c r="M5127" s="2" t="str">
        <f>IFERROR(__xludf.DUMMYFUNCTION("split(split(K5127,""【"",false),""公式LINE"",false)"),"ついに桃子（蓮佛美沙子）の家を突き止めた兄・優樹（水上剣星）がアパートに現れる。桃子の中で過去の恐怖と共に、家族に対する罪悪感が膨らむ...そんな中、桃子が病児保育に訪れたのは妻が入院中の伊藤家。夫の敬二（綾部祐二）は家の中のことが全くわからず、引き継ぎは大混乱。桃子と朝比奈は大切な人が突然いなくなる心細さに思いを馳せる。そして朝比奈は父親が倒れたのに実家に帰ろうとしない桃子に違和感を覚えていた。翌日、小春（鈴木梨央）の病児保育に訪れた桃子は、朝比奈と小春の間にできてしまった深い溝の訳を知る。そして、離婚"&amp;"が成立した篠原（速水もこみち）はイクメンとして息子・健太（横山歩）と新しい一歩を踏み出す。小春の病児保育中に桃子が見つけてしまったビデオレターにはなんと小春の亡き母・小雪（松島花）からの衝撃のメッセージが残っていて...。親子の絆を前にした桃子は自分の母親への期待を膨らませる...。  蓮佛美沙子、成宮寛貴、速水もこみち、トリンドル玲奈、鈴木梨央、綾部祐二（第5話ゲスト）、藤木直人（特別出演）、水野美紀、浅野温子　水上剣星、西村和彦、久保田磨希、松島花、趣里、永池南津子、木戸邑弥、谷川りさこ、石田登星、田"&amp;"上唯、横山歩、美保純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演出：藤尾隆■番組HP  http://www.tbs.co.jp/3"&amp;"75namida/  ■番組Twitter  @375namida  https://twitter.com/375namida  #375の涙■番組Facebook  https://www.facebook.com/375namida  番組の内容と放送時間は変更になる場合があります。")</f>
        <v>ついに桃子（蓮佛美沙子）の家を突き止めた兄・優樹（水上剣星）がアパートに現れる。桃子の中で過去の恐怖と共に、家族に対する罪悪感が膨らむ...そんな中、桃子が病児保育に訪れたのは妻が入院中の伊藤家。夫の敬二（綾部祐二）は家の中のことが全くわからず、引き継ぎは大混乱。桃子と朝比奈は大切な人が突然いなくなる心細さに思いを馳せる。そして朝比奈は父親が倒れたのに実家に帰ろうとしない桃子に違和感を覚えていた。翌日、小春（鈴木梨央）の病児保育に訪れた桃子は、朝比奈と小春の間にできてしまった深い溝の訳を知る。そして、離婚が成立した篠原（速水もこみち）はイクメンとして息子・健太（横山歩）と新しい一歩を踏み出す。小春の病児保育中に桃子が見つけてしまったビデオレターにはなんと小春の亡き母・小雪（松島花）からの衝撃のメッセージが残っていて...。親子の絆を前にした桃子は自分の母親への期待を膨らませる...。  蓮佛美沙子、成宮寛貴、速水もこみち、トリンドル玲奈、鈴木梨央、綾部祐二（第5話ゲスト）、藤木直人（特別出演）、水野美紀、浅野温子　水上剣星、西村和彦、久保田磨希、松島花、趣里、永池南津子、木戸邑弥、谷川りさこ、石田登星、田上唯、横山歩、美保純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演出：藤尾隆■番組HP  http://www.tbs.co.jp/375namida/  ■番組Twitter  @375namida  https://twitter.com/375namida  #375の涙■番組Facebook  https://www.facebook.com/375namida  番組の内容と放送時間は変更になる場合があります。</v>
      </c>
      <c r="N5127" s="2"/>
      <c r="O5127" s="2"/>
      <c r="P5127" s="1"/>
      <c r="Q5127" s="1"/>
      <c r="R5127" s="1"/>
      <c r="S5127" s="1"/>
      <c r="T5127" s="1"/>
      <c r="U5127" s="1"/>
      <c r="V5127" s="1"/>
      <c r="W5127" s="1"/>
      <c r="X5127" s="1"/>
      <c r="Y5127" s="1"/>
      <c r="Z5127" s="1"/>
      <c r="AA5127" s="1"/>
      <c r="AB5127" s="1"/>
      <c r="AC5127" s="1"/>
      <c r="AD5127" s="1"/>
      <c r="AE5127" s="1"/>
      <c r="AF5127" s="1"/>
      <c r="AG5127" s="1"/>
      <c r="AH5127" s="1"/>
      <c r="AI5127" s="1"/>
      <c r="AJ5127" s="1"/>
      <c r="AK5127" s="1"/>
      <c r="AL5127" s="1"/>
      <c r="AM5127" s="1"/>
      <c r="AN5127" s="1"/>
      <c r="AO5127" s="1"/>
      <c r="AP5127" s="1"/>
      <c r="AQ5127" s="1"/>
      <c r="AR5127" s="1"/>
      <c r="AS5127" s="1"/>
      <c r="AT5127" s="1"/>
      <c r="AU5127" s="1"/>
      <c r="AV5127" s="1"/>
      <c r="AW5127" s="1"/>
      <c r="AX5127" s="1"/>
      <c r="AY5127" s="1"/>
      <c r="AZ5127" s="1"/>
      <c r="BA5127" s="1"/>
      <c r="BB5127" s="1"/>
    </row>
    <row r="5128" ht="204.75" customHeight="1">
      <c r="A5128" s="1">
        <v>2048.0</v>
      </c>
      <c r="B5128" s="2" t="s">
        <v>14296</v>
      </c>
      <c r="C5128" s="2">
        <f>IFERROR(__xludf.DUMMYFUNCTION("split(B5128,""_"")"),1507.0)</f>
        <v>1507</v>
      </c>
      <c r="D5128" s="2" t="str">
        <f>IFERROR(__xludf.DUMMYFUNCTION("""COMPUTED_VALUE"""),"TBS")</f>
        <v>TBS</v>
      </c>
      <c r="E5128" s="2" t="str">
        <f>IFERROR(__xludf.DUMMYFUNCTION("""COMPUTED_VALUE"""),"木21")</f>
        <v>木21</v>
      </c>
      <c r="F5128" s="2" t="s">
        <v>14297</v>
      </c>
      <c r="G5128" s="2" t="s">
        <v>14310</v>
      </c>
      <c r="H5128" s="1">
        <v>6.0</v>
      </c>
      <c r="I5128" s="1" t="s">
        <v>14304</v>
      </c>
      <c r="J5128" s="1" t="s">
        <v>11</v>
      </c>
      <c r="K5128" s="2" t="s">
        <v>14311</v>
      </c>
      <c r="L5128" s="2"/>
      <c r="M5128" s="2" t="str">
        <f>IFERROR(__xludf.DUMMYFUNCTION("split(split(K5128,""【"",false),""公式LINE"",false)"),"暗い過去がありながらも、家族との絆の修復に期待して鎌倉の実家に帰ってしまった桃子（蓮佛美沙子）。だが、実家では毒母・富美子（浅野温子）のペースに巻き込まれ、監禁状態で父の介護を押し付けられる。富美子はなんと勝手に会社に退職の連絡まで…。一方的に富美子から、桃子の退職の知らせを聞いた朝比奈（成宮寛貴）は、桃子を心配すると同時に違和感を募らせて鎌倉の実家を訪ねる。そこで、富美子の説得に乗り出すが…。実家から戻り、篠原（速水もこみち）の息子・健太（横山歩）の病児保育に訪れる桃子。豪雨の影響で停電が起こった矢先、"&amp;"健太が喘息の発作を起こしてしまう…。篠原の帰りも遅れている中、桃子は健太を救えるのか…？一方、リトルスノーにはワケありの看護師・七海（おのののか）が突然訪ねてきて…。夜間保育をすることになった桃子は朝比奈と一緒に一晩を過ごすことに…。蓮佛美沙子、成宮寛貴、速水もこみち、トリンドル玲奈、鈴木梨央、おのののか（第6話ゲスト）、藤木直人（特別出演）、水野美紀、浅野温子、水上剣星、滝沢沙織、西村和彦、久保田磨希、松島花、趣里、永池南津子、木戸邑弥、谷川りさこ、石田登星、田上唯、横山歩、美保純　ほか音楽：得田真裕 "&amp;"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演出：村上牧人■番組HP  http://www.tbs.co.jp/375namida/  ■番組Twitte"&amp;"r  @375namida  https://twitter.com/375namida  #375の涙■番組Facebook  https://www.facebook.com/375namida  22日(土）あさ7時～男子マラソンで開幕！  初日の夜から、100m“世界最速の超人”ウサイン・ボルトが登場  8月22日～30日(日）までの9日間の真夏の北京から熱戦をお送りします。番組の内容と放送時間は変更になる場合があります。")</f>
        <v>暗い過去がありながらも、家族との絆の修復に期待して鎌倉の実家に帰ってしまった桃子（蓮佛美沙子）。だが、実家では毒母・富美子（浅野温子）のペースに巻き込まれ、監禁状態で父の介護を押し付けられる。富美子はなんと勝手に会社に退職の連絡まで…。一方的に富美子から、桃子の退職の知らせを聞いた朝比奈（成宮寛貴）は、桃子を心配すると同時に違和感を募らせて鎌倉の実家を訪ねる。そこで、富美子の説得に乗り出すが…。実家から戻り、篠原（速水もこみち）の息子・健太（横山歩）の病児保育に訪れる桃子。豪雨の影響で停電が起こった矢先、健太が喘息の発作を起こしてしまう…。篠原の帰りも遅れている中、桃子は健太を救えるのか…？一方、リトルスノーにはワケありの看護師・七海（おのののか）が突然訪ねてきて…。夜間保育をすることになった桃子は朝比奈と一緒に一晩を過ごすことに…。蓮佛美沙子、成宮寛貴、速水もこみち、トリンドル玲奈、鈴木梨央、おのののか（第6話ゲスト）、藤木直人（特別出演）、水野美紀、浅野温子、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演出：村上牧人■番組HP  http://www.tbs.co.jp/375namida/  ■番組Twitter  @375namida  https://twitter.com/375namida  #375の涙■番組Facebook  https://www.facebook.com/375namida  22日(土）あさ7時～男子マラソンで開幕！  初日の夜から、100m“世界最速の超人”ウサイン・ボルトが登場  8月22日～30日(日）までの9日間の真夏の北京から熱戦をお送りします。番組の内容と放送時間は変更になる場合があります。</v>
      </c>
      <c r="N5128" s="2"/>
      <c r="O5128" s="2"/>
      <c r="P5128" s="1"/>
      <c r="Q5128" s="1"/>
      <c r="R5128" s="1"/>
      <c r="S5128" s="1"/>
      <c r="T5128" s="1"/>
      <c r="U5128" s="1"/>
      <c r="V5128" s="1"/>
      <c r="W5128" s="1"/>
      <c r="X5128" s="1"/>
      <c r="Y5128" s="1"/>
      <c r="Z5128" s="1"/>
      <c r="AA5128" s="1"/>
      <c r="AB5128" s="1"/>
      <c r="AC5128" s="1"/>
      <c r="AD5128" s="1"/>
      <c r="AE5128" s="1"/>
      <c r="AF5128" s="1"/>
      <c r="AG5128" s="1"/>
      <c r="AH5128" s="1"/>
      <c r="AI5128" s="1"/>
      <c r="AJ5128" s="1"/>
      <c r="AK5128" s="1"/>
      <c r="AL5128" s="1"/>
      <c r="AM5128" s="1"/>
      <c r="AN5128" s="1"/>
      <c r="AO5128" s="1"/>
      <c r="AP5128" s="1"/>
      <c r="AQ5128" s="1"/>
      <c r="AR5128" s="1"/>
      <c r="AS5128" s="1"/>
      <c r="AT5128" s="1"/>
      <c r="AU5128" s="1"/>
      <c r="AV5128" s="1"/>
      <c r="AW5128" s="1"/>
      <c r="AX5128" s="1"/>
      <c r="AY5128" s="1"/>
      <c r="AZ5128" s="1"/>
      <c r="BA5128" s="1"/>
      <c r="BB5128" s="1"/>
    </row>
    <row r="5129" ht="204.75" customHeight="1">
      <c r="A5129" s="1">
        <v>2049.0</v>
      </c>
      <c r="B5129" s="2" t="s">
        <v>14296</v>
      </c>
      <c r="C5129" s="2">
        <f>IFERROR(__xludf.DUMMYFUNCTION("split(B5129,""_"")"),1507.0)</f>
        <v>1507</v>
      </c>
      <c r="D5129" s="2" t="str">
        <f>IFERROR(__xludf.DUMMYFUNCTION("""COMPUTED_VALUE"""),"TBS")</f>
        <v>TBS</v>
      </c>
      <c r="E5129" s="2" t="str">
        <f>IFERROR(__xludf.DUMMYFUNCTION("""COMPUTED_VALUE"""),"木21")</f>
        <v>木21</v>
      </c>
      <c r="F5129" s="2" t="s">
        <v>14297</v>
      </c>
      <c r="G5129" s="2" t="s">
        <v>14312</v>
      </c>
      <c r="H5129" s="1">
        <v>7.0</v>
      </c>
      <c r="I5129" s="1" t="s">
        <v>14304</v>
      </c>
      <c r="J5129" s="1" t="s">
        <v>11</v>
      </c>
      <c r="K5129" s="2" t="s">
        <v>14313</v>
      </c>
      <c r="L5129" s="2"/>
      <c r="M5129" s="2" t="str">
        <f>IFERROR(__xludf.DUMMYFUNCTION("split(split(K5129,""【"",false),""公式LINE"",false)"),"実家で毒母・富美子（浅野温子）によって囚われていたところを、朝比奈（成宮寛貴）によって救い出された桃子（蓮佛美沙子）。再び病児保育士としてのやりがいを見つけた頃、篠原（速水もこみち）からの誘いで、息子・健太（横山歩）と一緒に遊園地デートに行くことに。そこで、篠原から「付き合ってほしい」と突然の告白が！！それを偶然、遊園地に遊びに来ていた朝比奈（成宮寛貴）と娘・小春（鈴木梨央）に聞かれてしまい…。雑誌の編集者・沙紀（MEGUMI）の家に病児保育に行った桃子。朝はクタクタだった沙紀が夕方戻ってくると、おしゃれ"&amp;"に変身して帰ってきた。そんな沙紀に、桃子はとある疑惑を抱く…。  遊園地での楽しい思い出に浸る桃子を現実に引き戻す母からの電話…。桃子の中で母への罪悪感が高まる中、兄・優樹の思惑が動き出す。そして、時を同じくしてリトルスノーにはある人物が訪れていた…。蓮佛美沙子、成宮寛貴、速水もこみち、トリンドル玲奈、鈴木梨央、MEGUMI（第7話ゲスト）、佐津川愛美（第7話ゲスト）、おのののか（第7話ゲスト）、藤木直人（特別出演）、水野美紀、浅野温子、水上剣星、滝沢沙織、西村和彦、久保田磨希、松島花、趣里、永池南津子、"&amp;"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http:"&amp;"//www.tbs.co.jp/375namida/  ■番組Twitter  @375namida  https://twitter.com/375namida  #375の涙■番組Facebook  https://www.facebook.com/375namida  22日(土）あさ7時～男子マラソンで開幕！  初日の夜から、100m“世界最速の超人”ウサイン・ボルトが登場  8月22日～30日(日）までの9日間の真夏の北京から熱戦をお送りします。番組の内容と放送時間は変更になる場合があります。")</f>
        <v>実家で毒母・富美子（浅野温子）によって囚われていたところを、朝比奈（成宮寛貴）によって救い出された桃子（蓮佛美沙子）。再び病児保育士としてのやりがいを見つけた頃、篠原（速水もこみち）からの誘いで、息子・健太（横山歩）と一緒に遊園地デートに行くことに。そこで、篠原から「付き合ってほしい」と突然の告白が！！それを偶然、遊園地に遊びに来ていた朝比奈（成宮寛貴）と娘・小春（鈴木梨央）に聞かれてしまい…。雑誌の編集者・沙紀（MEGUMI）の家に病児保育に行った桃子。朝はクタクタだった沙紀が夕方戻ってくると、おしゃれに変身して帰ってきた。そんな沙紀に、桃子はとある疑惑を抱く…。  遊園地での楽しい思い出に浸る桃子を現実に引き戻す母からの電話…。桃子の中で母への罪悪感が高まる中、兄・優樹の思惑が動き出す。そして、時を同じくしてリトルスノーにはある人物が訪れていた…。蓮佛美沙子、成宮寛貴、速水もこみち、トリンドル玲奈、鈴木梨央、MEGUMI（第7話ゲスト）、佐津川愛美（第7話ゲスト）、おのののか（第7話ゲスト）、藤木直人（特別出演）、水野美紀、浅野温子、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http://www.tbs.co.jp/375namida/  ■番組Twitter  @375namida  https://twitter.com/375namida  #375の涙■番組Facebook  https://www.facebook.com/375namida  22日(土）あさ7時～男子マラソンで開幕！  初日の夜から、100m“世界最速の超人”ウサイン・ボルトが登場  8月22日～30日(日）までの9日間の真夏の北京から熱戦をお送りします。番組の内容と放送時間は変更になる場合があります。</v>
      </c>
      <c r="N5129" s="2"/>
      <c r="O5129" s="2"/>
      <c r="P5129" s="1"/>
      <c r="Q5129" s="1"/>
      <c r="R5129" s="1"/>
      <c r="S5129" s="1"/>
      <c r="T5129" s="1"/>
      <c r="U5129" s="1"/>
      <c r="V5129" s="1"/>
      <c r="W5129" s="1"/>
      <c r="X5129" s="1"/>
      <c r="Y5129" s="1"/>
      <c r="Z5129" s="1"/>
      <c r="AA5129" s="1"/>
      <c r="AB5129" s="1"/>
      <c r="AC5129" s="1"/>
      <c r="AD5129" s="1"/>
      <c r="AE5129" s="1"/>
      <c r="AF5129" s="1"/>
      <c r="AG5129" s="1"/>
      <c r="AH5129" s="1"/>
      <c r="AI5129" s="1"/>
      <c r="AJ5129" s="1"/>
      <c r="AK5129" s="1"/>
      <c r="AL5129" s="1"/>
      <c r="AM5129" s="1"/>
      <c r="AN5129" s="1"/>
      <c r="AO5129" s="1"/>
      <c r="AP5129" s="1"/>
      <c r="AQ5129" s="1"/>
      <c r="AR5129" s="1"/>
      <c r="AS5129" s="1"/>
      <c r="AT5129" s="1"/>
      <c r="AU5129" s="1"/>
      <c r="AV5129" s="1"/>
      <c r="AW5129" s="1"/>
      <c r="AX5129" s="1"/>
      <c r="AY5129" s="1"/>
      <c r="AZ5129" s="1"/>
      <c r="BA5129" s="1"/>
      <c r="BB5129" s="1"/>
    </row>
    <row r="5130" ht="204.75" customHeight="1">
      <c r="A5130" s="1">
        <v>2050.0</v>
      </c>
      <c r="B5130" s="2" t="s">
        <v>14296</v>
      </c>
      <c r="C5130" s="2">
        <f>IFERROR(__xludf.DUMMYFUNCTION("split(B5130,""_"")"),1507.0)</f>
        <v>1507</v>
      </c>
      <c r="D5130" s="2" t="str">
        <f>IFERROR(__xludf.DUMMYFUNCTION("""COMPUTED_VALUE"""),"TBS")</f>
        <v>TBS</v>
      </c>
      <c r="E5130" s="2" t="str">
        <f>IFERROR(__xludf.DUMMYFUNCTION("""COMPUTED_VALUE"""),"木21")</f>
        <v>木21</v>
      </c>
      <c r="F5130" s="2" t="s">
        <v>14297</v>
      </c>
      <c r="G5130" s="2" t="s">
        <v>14314</v>
      </c>
      <c r="H5130" s="1">
        <v>8.0</v>
      </c>
      <c r="I5130" s="1" t="s">
        <v>14304</v>
      </c>
      <c r="J5130" s="1" t="s">
        <v>11</v>
      </c>
      <c r="K5130" s="2" t="s">
        <v>14315</v>
      </c>
      <c r="L5130" s="2"/>
      <c r="M5130" s="2" t="str">
        <f>IFERROR(__xludf.DUMMYFUNCTION("split(split(K5130,""【"",false),""公式LINE"",false)"),"病児保育に訪れた杉崎家で、桃子（蓮佛美沙子）を待ち構えていたのはなんと、兄・優樹（水上剣星）。会社の規則で家族の病児保育はできない、と断ろうとする桃子の髪を掴み、「余計なことは言うな」と昔のように恐怖で支配しようとする。一方、リトルスノーには、母・富美子（浅野温子）が現れ、勝手に桃子の退職願を提出しようとしていた。朝比奈（成宮寛貴）が抵抗するも「これが桃子のためですから…」と富美子は譲らない…。篠原（速水もこみち）と健太（横山歩）から花火に誘われた桃子。そこで、なんと篠原からのプロポーズのキスが!!一方、"&amp;"家族の事情を知る朝比奈は桃子を守ろうと決意を固める。病児保育先の喜美江（青木さやか）はアイスを使い一時的に娘・レイナ（矢崎由紗）の熱を37.5℃より下げ、保育園に行かせていた。これが子供のためだと信じて疑わない喜美江の姿が引っかかる桃子…蓮佛美沙子、成宮寛貴、速水もこみち、トリンドル玲奈、鈴木梨央、黒川智花（第8話ゲスト）、青木さやか（第8話ゲスト）、山下リオ（第8話ゲスト）、藤木直人（特別出演）、水野美紀、浅野温子水上剣星、滝沢沙織、西村和彦、久保田磨希、松島花、趣里、永池南津子、木戸邑弥、谷川りさこ、"&amp;"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演出：藤尾隆■番組HP  http://www.tbs.c"&amp;"o.jp/375namida/  ■番組Twitter  @375namida  https://twitter.com/375namida  #375の涙■番組Facebook  https://www.facebook.com/375namida  ★好評！→蓮佛美沙子の撮影秘話からプライベートまで質問に即回答! 9/3（木）21時『37.5℃の涙』  https://youtu.be/JQYLW94vyn0  https://youtu.be/0qB2itldefw  番組の内容と放送時間は変更にな"&amp;"る場合があります。")</f>
        <v>病児保育に訪れた杉崎家で、桃子（蓮佛美沙子）を待ち構えていたのはなんと、兄・優樹（水上剣星）。会社の規則で家族の病児保育はできない、と断ろうとする桃子の髪を掴み、「余計なことは言うな」と昔のように恐怖で支配しようとする。一方、リトルスノーには、母・富美子（浅野温子）が現れ、勝手に桃子の退職願を提出しようとしていた。朝比奈（成宮寛貴）が抵抗するも「これが桃子のためですから…」と富美子は譲らない…。篠原（速水もこみち）と健太（横山歩）から花火に誘われた桃子。そこで、なんと篠原からのプロポーズのキスが!!一方、家族の事情を知る朝比奈は桃子を守ろうと決意を固める。病児保育先の喜美江（青木さやか）はアイスを使い一時的に娘・レイナ（矢崎由紗）の熱を37.5℃より下げ、保育園に行かせていた。これが子供のためだと信じて疑わない喜美江の姿が引っかかる桃子…蓮佛美沙子、成宮寛貴、速水もこみち、トリンドル玲奈、鈴木梨央、黒川智花（第8話ゲスト）、青木さやか（第8話ゲスト）、山下リオ（第8話ゲスト）、藤木直人（特別出演）、水野美紀、浅野温子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演出：藤尾隆■番組HP  http://www.tbs.co.jp/375namida/  ■番組Twitter  @375namida  https://twitter.com/375namida  #375の涙■番組Facebook  https://www.facebook.com/375namida  ★好評！→蓮佛美沙子の撮影秘話からプライベートまで質問に即回答! 9/3（木）21時『37.5℃の涙』  https://youtu.be/JQYLW94vyn0  https://youtu.be/0qB2itldefw  番組の内容と放送時間は変更になる場合があります。</v>
      </c>
      <c r="N5130" s="2"/>
      <c r="O5130" s="2"/>
      <c r="P5130" s="1"/>
      <c r="Q5130" s="1"/>
      <c r="R5130" s="1"/>
      <c r="S5130" s="1"/>
      <c r="T5130" s="1"/>
      <c r="U5130" s="1"/>
      <c r="V5130" s="1"/>
      <c r="W5130" s="1"/>
      <c r="X5130" s="1"/>
      <c r="Y5130" s="1"/>
      <c r="Z5130" s="1"/>
      <c r="AA5130" s="1"/>
      <c r="AB5130" s="1"/>
      <c r="AC5130" s="1"/>
      <c r="AD5130" s="1"/>
      <c r="AE5130" s="1"/>
      <c r="AF5130" s="1"/>
      <c r="AG5130" s="1"/>
      <c r="AH5130" s="1"/>
      <c r="AI5130" s="1"/>
      <c r="AJ5130" s="1"/>
      <c r="AK5130" s="1"/>
      <c r="AL5130" s="1"/>
      <c r="AM5130" s="1"/>
      <c r="AN5130" s="1"/>
      <c r="AO5130" s="1"/>
      <c r="AP5130" s="1"/>
      <c r="AQ5130" s="1"/>
      <c r="AR5130" s="1"/>
      <c r="AS5130" s="1"/>
      <c r="AT5130" s="1"/>
      <c r="AU5130" s="1"/>
      <c r="AV5130" s="1"/>
      <c r="AW5130" s="1"/>
      <c r="AX5130" s="1"/>
      <c r="AY5130" s="1"/>
      <c r="AZ5130" s="1"/>
      <c r="BA5130" s="1"/>
      <c r="BB5130" s="1"/>
    </row>
    <row r="5131" ht="204.75" customHeight="1">
      <c r="A5131" s="1">
        <v>2051.0</v>
      </c>
      <c r="B5131" s="2" t="s">
        <v>14296</v>
      </c>
      <c r="C5131" s="2">
        <f>IFERROR(__xludf.DUMMYFUNCTION("split(B5131,""_"")"),1507.0)</f>
        <v>1507</v>
      </c>
      <c r="D5131" s="2" t="str">
        <f>IFERROR(__xludf.DUMMYFUNCTION("""COMPUTED_VALUE"""),"TBS")</f>
        <v>TBS</v>
      </c>
      <c r="E5131" s="2" t="str">
        <f>IFERROR(__xludf.DUMMYFUNCTION("""COMPUTED_VALUE"""),"木21")</f>
        <v>木21</v>
      </c>
      <c r="F5131" s="2" t="s">
        <v>14297</v>
      </c>
      <c r="G5131" s="2" t="s">
        <v>14316</v>
      </c>
      <c r="H5131" s="1">
        <v>9.0</v>
      </c>
      <c r="I5131" s="1" t="s">
        <v>14304</v>
      </c>
      <c r="J5131" s="1" t="s">
        <v>11</v>
      </c>
      <c r="K5131" s="2" t="s">
        <v>14317</v>
      </c>
      <c r="L5131" s="2"/>
      <c r="M5131" s="2" t="str">
        <f>IFERROR(__xludf.DUMMYFUNCTION("split(split(K5131,""【"",false),""公式LINE"",false)"),"鎌倉の実家で、意識不明の状態だった桃子（蓮佛美沙子）の父・誠一郎（石田登星）が「…桃子」と声を発した。母・富美子（浅野温子）はそれを聞き、愕然として桃子への忌々しい思いを募らせる。その頃、桃子は高校の同級生・翔子の息子・遼（高橋來）の病児保育に行くことに。仕事も失い生活苦で、育児放棄気味の翔子に、桃子はかつて遼を愛していた翔子の気持ちを取り戻してもらおうと説得するが、それが大事件を引き起こす…！桃子の、どんな時でも前向きな気持ちに触れた朝比奈（成宮寛貴）は、娘・小春（鈴木梨央）に「桃ちゃんのことが好きなん"&amp;"だ」と正直な思いを告白する。真正面からの父の告白に動揺し、心細い思いに駆られる小春…。元妻・久美子（滝沢沙織）に健太（横山歩）を連れ出された篠原（速水もこみち）。桃子と一緒に花火をした思い出の公園で、自分もつらい状態なのに、元気がない桃子に冗談を言って元気づける。そこに、健太が現れ…？蓮佛美沙子、成宮寛貴、速水もこみち、トリンドル玲奈、鈴木梨央、山下リオ（第9話ゲスト）、藤木直人（特別出演）、水野美紀、浅野温子水上剣星、滝沢沙織、西村和彦、久保田磨希、松島花、趣里、永池南津子、木戸邑弥、谷川りさこ、石田登"&amp;"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http://www.tbs.co.j"&amp;"p/375namida/  ■番組Twitter  @375namida  https://twitter.com/375namida  #375の涙■番組Facebook  https://www.facebook.com/375namida  番組の内容と放送時間は変更になる場合があります。")</f>
        <v>鎌倉の実家で、意識不明の状態だった桃子（蓮佛美沙子）の父・誠一郎（石田登星）が「…桃子」と声を発した。母・富美子（浅野温子）はそれを聞き、愕然として桃子への忌々しい思いを募らせる。その頃、桃子は高校の同級生・翔子の息子・遼（高橋來）の病児保育に行くことに。仕事も失い生活苦で、育児放棄気味の翔子に、桃子はかつて遼を愛していた翔子の気持ちを取り戻してもらおうと説得するが、それが大事件を引き起こす…！桃子の、どんな時でも前向きな気持ちに触れた朝比奈（成宮寛貴）は、娘・小春（鈴木梨央）に「桃ちゃんのことが好きなんだ」と正直な思いを告白する。真正面からの父の告白に動揺し、心細い思いに駆られる小春…。元妻・久美子（滝沢沙織）に健太（横山歩）を連れ出された篠原（速水もこみち）。桃子と一緒に花火をした思い出の公園で、自分もつらい状態なのに、元気がない桃子に冗談を言って元気づける。そこに、健太が現れ…？蓮佛美沙子、成宮寛貴、速水もこみち、トリンドル玲奈、鈴木梨央、山下リオ（第9話ゲスト）、藤木直人（特別出演）、水野美紀、浅野温子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http://www.tbs.co.jp/375namida/  ■番組Twitter  @375namida  https://twitter.com/375namida  #375の涙■番組Facebook  https://www.facebook.com/375namida  番組の内容と放送時間は変更になる場合があります。</v>
      </c>
      <c r="N5131" s="2"/>
      <c r="O5131" s="2"/>
      <c r="P5131" s="1"/>
      <c r="Q5131" s="1"/>
      <c r="R5131" s="1"/>
      <c r="S5131" s="1"/>
      <c r="T5131" s="1"/>
      <c r="U5131" s="1"/>
      <c r="V5131" s="1"/>
      <c r="W5131" s="1"/>
      <c r="X5131" s="1"/>
      <c r="Y5131" s="1"/>
      <c r="Z5131" s="1"/>
      <c r="AA5131" s="1"/>
      <c r="AB5131" s="1"/>
      <c r="AC5131" s="1"/>
      <c r="AD5131" s="1"/>
      <c r="AE5131" s="1"/>
      <c r="AF5131" s="1"/>
      <c r="AG5131" s="1"/>
      <c r="AH5131" s="1"/>
      <c r="AI5131" s="1"/>
      <c r="AJ5131" s="1"/>
      <c r="AK5131" s="1"/>
      <c r="AL5131" s="1"/>
      <c r="AM5131" s="1"/>
      <c r="AN5131" s="1"/>
      <c r="AO5131" s="1"/>
      <c r="AP5131" s="1"/>
      <c r="AQ5131" s="1"/>
      <c r="AR5131" s="1"/>
      <c r="AS5131" s="1"/>
      <c r="AT5131" s="1"/>
      <c r="AU5131" s="1"/>
      <c r="AV5131" s="1"/>
      <c r="AW5131" s="1"/>
      <c r="AX5131" s="1"/>
      <c r="AY5131" s="1"/>
      <c r="AZ5131" s="1"/>
      <c r="BA5131" s="1"/>
      <c r="BB5131" s="1"/>
    </row>
    <row r="5132" ht="204.75" customHeight="1">
      <c r="A5132" s="1">
        <v>2052.0</v>
      </c>
      <c r="B5132" s="2" t="s">
        <v>14296</v>
      </c>
      <c r="C5132" s="2">
        <f>IFERROR(__xludf.DUMMYFUNCTION("split(B5132,""_"")"),1507.0)</f>
        <v>1507</v>
      </c>
      <c r="D5132" s="2" t="str">
        <f>IFERROR(__xludf.DUMMYFUNCTION("""COMPUTED_VALUE"""),"TBS")</f>
        <v>TBS</v>
      </c>
      <c r="E5132" s="2" t="str">
        <f>IFERROR(__xludf.DUMMYFUNCTION("""COMPUTED_VALUE"""),"木21")</f>
        <v>木21</v>
      </c>
      <c r="F5132" s="2" t="s">
        <v>14297</v>
      </c>
      <c r="G5132" s="2" t="s">
        <v>14318</v>
      </c>
      <c r="H5132" s="1">
        <v>10.0</v>
      </c>
      <c r="I5132" s="1" t="s">
        <v>14304</v>
      </c>
      <c r="J5132" s="1" t="s">
        <v>11</v>
      </c>
      <c r="K5132" s="2" t="s">
        <v>14319</v>
      </c>
      <c r="L5132" s="2"/>
      <c r="M5132" s="2" t="str">
        <f>IFERROR(__xludf.DUMMYFUNCTION("split(split(K5132,""【"",false),""公式LINE"",false)"),"ついに、母・富美子（浅野温子）から、兄弟の中で自分だけが憎まれてきた理由を聞いた桃子（蓮佛美沙子）。真実を知った桃子は、償いのために母の側で生きる覚悟をする。そこへ、桃子を救い出すために、朝比奈（成宮寛貴）と篠原（速水もこみち）が実家にやってくる。頑なに自分の気持ちを変えようとしない桃子に対し、朝比奈は最後の病児保育に行くように命令する。その仕事により、病児保育士への思いを再確認する桃子だが…初めて一人で病児保育を担当した聡美（中越典子）の息子・海翔（林田悠作）の家に、病児保育に向かった桃子。シングルマザ"&amp;"ーで働きながら子供を育てる苦労から弱気になっている聡美に桃子は違和感を感じ…。亡き父・誠一郎（石田登星）のメッセージを聞いた桃子は、母に別れを告げようとする…。しかし、母はそれを許そうとしない。そこへ、桃子を大切に想う朝比奈と篠原が助けに…。桃子はどちらのナイトを選ぶのか…？蓮佛美沙子、成宮寛貴、速水もこみち、トリンドル玲奈、鈴木梨央、中越典子（第10話ゲスト）、山下リオ（第10話ゲスト）、藤木直人（特別出演）、水野美紀、浅野温子　水上剣星、西村和彦、久保田磨希、松島花、趣里、永池南津子、木戸邑弥、谷川り"&amp;"さこ、石田登星、田上唯、横山歩、美保純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http://www.tb"&amp;"s.co.jp/375namida/  ■番組Twitter  @375namida  https://twitter.com/375namida  #375の涙■番組Facebook  https://www.facebook.com/375namida  番組の内容と放送時間は変更になる場合があります。")</f>
        <v>ついに、母・富美子（浅野温子）から、兄弟の中で自分だけが憎まれてきた理由を聞いた桃子（蓮佛美沙子）。真実を知った桃子は、償いのために母の側で生きる覚悟をする。そこへ、桃子を救い出すために、朝比奈（成宮寛貴）と篠原（速水もこみち）が実家にやってくる。頑なに自分の気持ちを変えようとしない桃子に対し、朝比奈は最後の病児保育に行くように命令する。その仕事により、病児保育士への思いを再確認する桃子だが…初めて一人で病児保育を担当した聡美（中越典子）の息子・海翔（林田悠作）の家に、病児保育に向かった桃子。シングルマザーで働きながら子供を育てる苦労から弱気になっている聡美に桃子は違和感を感じ…。亡き父・誠一郎（石田登星）のメッセージを聞いた桃子は、母に別れを告げようとする…。しかし、母はそれを許そうとしない。そこへ、桃子を大切に想う朝比奈と篠原が助けに…。桃子はどちらのナイトを選ぶのか…？蓮佛美沙子、成宮寛貴、速水もこみち、トリンドル玲奈、鈴木梨央、中越典子（第10話ゲスト）、山下リオ（第10話ゲスト）、藤木直人（特別出演）、水野美紀、浅野温子　水上剣星、西村和彦、久保田磨希、松島花、趣里、永池南津子、木戸邑弥、谷川りさこ、石田登星、田上唯、横山歩、美保純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http://www.tbs.co.jp/375namida/  ■番組Twitter  @375namida  https://twitter.com/375namida  #375の涙■番組Facebook  https://www.facebook.com/375namida  番組の内容と放送時間は変更になる場合があります。</v>
      </c>
      <c r="N5132" s="2"/>
      <c r="O5132" s="2"/>
      <c r="P5132" s="1"/>
      <c r="Q5132" s="1"/>
      <c r="R5132" s="1"/>
      <c r="S5132" s="1"/>
      <c r="T5132" s="1"/>
      <c r="U5132" s="1"/>
      <c r="V5132" s="1"/>
      <c r="W5132" s="1"/>
      <c r="X5132" s="1"/>
      <c r="Y5132" s="1"/>
      <c r="Z5132" s="1"/>
      <c r="AA5132" s="1"/>
      <c r="AB5132" s="1"/>
      <c r="AC5132" s="1"/>
      <c r="AD5132" s="1"/>
      <c r="AE5132" s="1"/>
      <c r="AF5132" s="1"/>
      <c r="AG5132" s="1"/>
      <c r="AH5132" s="1"/>
      <c r="AI5132" s="1"/>
      <c r="AJ5132" s="1"/>
      <c r="AK5132" s="1"/>
      <c r="AL5132" s="1"/>
      <c r="AM5132" s="1"/>
      <c r="AN5132" s="1"/>
      <c r="AO5132" s="1"/>
      <c r="AP5132" s="1"/>
      <c r="AQ5132" s="1"/>
      <c r="AR5132" s="1"/>
      <c r="AS5132" s="1"/>
      <c r="AT5132" s="1"/>
      <c r="AU5132" s="1"/>
      <c r="AV5132" s="1"/>
      <c r="AW5132" s="1"/>
      <c r="AX5132" s="1"/>
      <c r="AY5132" s="1"/>
      <c r="AZ5132" s="1"/>
      <c r="BA5132" s="1"/>
      <c r="BB5132" s="1"/>
    </row>
    <row r="5133" ht="204.75" customHeight="1">
      <c r="A5133" s="1">
        <v>2084.0</v>
      </c>
      <c r="B5133" s="2" t="s">
        <v>14320</v>
      </c>
      <c r="C5133" s="2">
        <f>IFERROR(__xludf.DUMMYFUNCTION("split(B5133,""_"")"),1507.0)</f>
        <v>1507</v>
      </c>
      <c r="D5133" s="2" t="str">
        <f>IFERROR(__xludf.DUMMYFUNCTION("""COMPUTED_VALUE"""),"TBS")</f>
        <v>TBS</v>
      </c>
      <c r="E5133" s="2" t="str">
        <f>IFERROR(__xludf.DUMMYFUNCTION("""COMPUTED_VALUE"""),"金22")</f>
        <v>金22</v>
      </c>
      <c r="F5133" s="2" t="s">
        <v>14321</v>
      </c>
      <c r="G5133" s="2" t="s">
        <v>14322</v>
      </c>
      <c r="H5133" s="1">
        <v>1.0</v>
      </c>
      <c r="J5133" s="1" t="s">
        <v>82</v>
      </c>
      <c r="K5133" s="2" t="s">
        <v>14323</v>
      </c>
      <c r="L5133" s="2"/>
      <c r="M5133" s="2" t="str">
        <f>IFERROR(__xludf.DUMMYFUNCTION("split(split(K5133,""【"",false),""公式LINE"",false)"),"香川県から東京の表参道高校へと転校してきた香川真琴（芳根京子）。香川で合唱に打ち込んでいた真琴は合唱の名門校である表参道高校でもやる気満々。しかもかつて真琴に合唱の楽しさを教えてくれた教師・鈴木有明（城田優）が顧問ということで期待は膨らむばかりであったが・・・。  家族の絆を取り戻すため、大好きな合唱を続けるために『絶対に歌う！』と心に誓う真琴。しかしその矢先、ある衝撃的な事件が起こる・・・芳根京子  志尊淳  吉本実憂  森川葵  堀井新太  高杉真宙  萩原みのり  泉澤祐希  葵わかな  柴田杏花 "&amp;" 小島梨里杏  長谷川ニイナ  瑛  松本来夢    川平慈英  堀内敬子  　  神田沙也加  デビット伊東  立石涼子  　○  平泉成  　○  高畑淳子  城田優　西川史子    佐藤玲  千葉一磨  山田望叶  馬場柚那  　◯  彦摩呂  森田正光主題歌  『好きだ。』Little Glee Monster  （ソニー・ミュージックレコーズ）    音楽  木村秀彬脚本  櫻井剛    プロデュース  高成麻畝子  大澤祐樹    演出  石井康晴  池田克彦  吉田秋生◇番組HP  http"&amp;"://www.tbs.co.jp/omosan-gassyobu/    ◇番組公式Twitter  @omoko_gassyobu  ◇公式facebook  https://www.facebook.com/gassyoubu2015［新ドラマ］夏は「合唱」! “うたの力”でミラクルを起こす青春ストーリー! 7/17（金）スタート『表参道高校合唱部！』動画公開しました！  https://youtu.be/WD0pz6hOh2Q  ［新ドラマ］新着映像! 話題の「10秒ジャンプ」とは？7/17（金）『"&amp;"表参道高校合唱部！』スタート　動画公開しました！  https://youtu.be/wqYrIZ2riHE  新着映像! “歌の力”でミラクルを起こす! 痛快青春ホームコメディ 7/17（金）『表参道高校合唱部！』スタート　動画公開しました　  https://youtu.be/WTuft4xpjQ0  特別先行公開!3分でわかる夏の金ドラ!動画公開しました！  https://youtu.be/LYyeQ26P7A8  城田優 神田沙也加も…制作発表で初の「合唱」披露!　7/17（金）『表参道参道  "&amp;" 高校合唱部！』動画公開中しました！  https://youtu.be/bBjVnQsem-M  特別企画「オモコー合唱部通信♪」メンバーからフレッシュなメッセージ! 動画公開しました！  https://youtu.be/tGQjdHhkwKI  番組の内容と放送時間は変更になる場合があります。")</f>
        <v>香川県から東京の表参道高校へと転校してきた香川真琴（芳根京子）。香川で合唱に打ち込んでいた真琴は合唱の名門校である表参道高校でもやる気満々。しかもかつて真琴に合唱の楽しさを教えてくれた教師・鈴木有明（城田優）が顧問ということで期待は膨らむばかりであったが・・・。  家族の絆を取り戻すため、大好きな合唱を続けるために『絶対に歌う！』と心に誓う真琴。しかしその矢先、ある衝撃的な事件が起こる・・・芳根京子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　西川史子    佐藤玲  千葉一磨  山田望叶  馬場柚那  　◯  彦摩呂  森田正光主題歌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https://www.facebook.com/gassyoubu2015［新ドラマ］夏は「合唱」! “うたの力”でミラクルを起こす青春ストーリー! 7/17（金）スタート『表参道高校合唱部！』動画公開しました！  https://youtu.be/WD0pz6hOh2Q  ［新ドラマ］新着映像! 話題の「10秒ジャンプ」とは？7/17（金）『表参道高校合唱部！』スタート　動画公開しました！  https://youtu.be/wqYrIZ2riHE  新着映像! “歌の力”でミラクルを起こす! 痛快青春ホームコメディ 7/17（金）『表参道高校合唱部！』スタート　動画公開しました　  https://youtu.be/WTuft4xpjQ0  特別先行公開!3分でわかる夏の金ドラ!動画公開しました！  https://youtu.be/LYyeQ26P7A8  城田優 神田沙也加も…制作発表で初の「合唱」披露!　7/17（金）『表参道参道   高校合唱部！』動画公開中しました！  https://youtu.be/bBjVnQsem-M  特別企画「オモコー合唱部通信♪」メンバーからフレッシュなメッセージ! 動画公開しました！  https://youtu.be/tGQjdHhkwKI  番組の内容と放送時間は変更になる場合があります。</v>
      </c>
      <c r="N5133" s="2"/>
      <c r="O5133" s="2"/>
      <c r="P5133" s="1"/>
      <c r="Q5133" s="1"/>
      <c r="R5133" s="1"/>
      <c r="S5133" s="1"/>
      <c r="T5133" s="1"/>
      <c r="U5133" s="1"/>
      <c r="V5133" s="1"/>
      <c r="W5133" s="1"/>
      <c r="X5133" s="1"/>
      <c r="Y5133" s="1"/>
      <c r="Z5133" s="1"/>
      <c r="AA5133" s="1"/>
      <c r="AB5133" s="1"/>
      <c r="AC5133" s="1"/>
      <c r="AD5133" s="1"/>
      <c r="AE5133" s="1"/>
      <c r="AF5133" s="1"/>
      <c r="AG5133" s="1"/>
      <c r="AH5133" s="1"/>
      <c r="AI5133" s="1"/>
      <c r="AJ5133" s="1"/>
      <c r="AK5133" s="1"/>
      <c r="AL5133" s="1"/>
      <c r="AM5133" s="1"/>
      <c r="AN5133" s="1"/>
      <c r="AO5133" s="1"/>
      <c r="AP5133" s="1"/>
      <c r="AQ5133" s="1"/>
      <c r="AR5133" s="1"/>
      <c r="AS5133" s="1"/>
      <c r="AT5133" s="1"/>
      <c r="AU5133" s="1"/>
      <c r="AV5133" s="1"/>
      <c r="AW5133" s="1"/>
      <c r="AX5133" s="1"/>
      <c r="AY5133" s="1"/>
      <c r="AZ5133" s="1"/>
      <c r="BA5133" s="1"/>
      <c r="BB5133" s="1"/>
    </row>
    <row r="5134" ht="204.75" customHeight="1">
      <c r="A5134" s="1">
        <v>2085.0</v>
      </c>
      <c r="B5134" s="2" t="s">
        <v>14320</v>
      </c>
      <c r="C5134" s="2">
        <f>IFERROR(__xludf.DUMMYFUNCTION("split(B5134,""_"")"),1507.0)</f>
        <v>1507</v>
      </c>
      <c r="D5134" s="2" t="str">
        <f>IFERROR(__xludf.DUMMYFUNCTION("""COMPUTED_VALUE"""),"TBS")</f>
        <v>TBS</v>
      </c>
      <c r="E5134" s="2" t="str">
        <f>IFERROR(__xludf.DUMMYFUNCTION("""COMPUTED_VALUE"""),"金22")</f>
        <v>金22</v>
      </c>
      <c r="F5134" s="2" t="s">
        <v>14321</v>
      </c>
      <c r="G5134" s="2" t="s">
        <v>14324</v>
      </c>
      <c r="H5134" s="1">
        <v>2.0</v>
      </c>
      <c r="I5134" s="1" t="s">
        <v>2872</v>
      </c>
      <c r="J5134" s="1" t="s">
        <v>86</v>
      </c>
      <c r="K5134" s="2" t="s">
        <v>14325</v>
      </c>
      <c r="L5134" s="2"/>
      <c r="M5134" s="2" t="str">
        <f>IFERROR(__xludf.DUMMYFUNCTION("split(split(K5134,""【"",false),""公式LINE"",false)"),"かつての名門・表参道高校合唱部を廃部寸前の危機から救うため、より一層部員集めに励む真琴。そんな折、引きこもりの幽霊部員・宮崎祐の存在を知るが…なんと彼は半年前に起きた窃盗事件の犯人であった!?  事件の真相を探るため、快人とともに奔走する真琴はある事実を掴む。しかし、合唱部を守るために「祐のことは諦める」という廉太郎と「仲間を裏切ったままで、いい合唱になんてなるはずない」という真琴は反発し合うが…。芳根京子  志尊淳  吉本実憂  森川葵  堀井新太  高杉真宙  萩原みのり  泉澤祐希  葵わかな  柴"&amp;"田杏花  小島梨里杏  長谷川ニイナ  瑛  松本来夢    川平慈英  堀内敬子  　  神田沙也加  デビット伊東  立石涼子  　○  平泉成  　○  高畑淳子  城田優原沙知絵  　○  山田純大  濱田龍臣  阿部朋子  　○  加藤虎之助    中河内雅貴  宮尾俊太郎主題歌  『好きだ。』Little Glee Monster  （ソニー・ミュージックレコーズ）    音楽  木村秀彬脚本  櫻井剛    プロデュース  高成麻畝子  大澤祐樹    演出  石井康晴  池田克彦  吉田秋"&amp;"生◇番組HP  http://www.tbs.co.jp/omosan-gassyobu/    ◇番組公式Twitter  @omoko_gassyobu  ◇公式facebook  https://www.facebook.com/gassyoubu2015  芳根京子・森川葵 撮影秘話！特別企画「オモコー合唱部通信♪」金曜22時『表参道高校合唱部！』動画公開しました！  https://youtu.be/ifnpz2Or9H4誰にだって必ず居場所はある! #2『表参道高校合唱部！』7/24（金）予告"&amp;"動画公開しました！  https://youtu.be/51VGV7P-zjA  番組の内容と放送時間は変更になる場合があります。")</f>
        <v>かつての名門・表参道高校合唱部を廃部寸前の危機から救うため、より一層部員集めに励む真琴。そんな折、引きこもりの幽霊部員・宮崎祐の存在を知るが…なんと彼は半年前に起きた窃盗事件の犯人であった!?  事件の真相を探るため、快人とともに奔走する真琴はある事実を掴む。しかし、合唱部を守るために「祐のことは諦める」という廉太郎と「仲間を裏切ったままで、いい合唱になんてなるはずない」という真琴は反発し合うが…。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城田優原沙知絵  　○  山田純大  濱田龍臣  阿部朋子  　○  加藤虎之助    中河内雅貴  宮尾俊太郎主題歌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芳根京子・森川葵 撮影秘話！特別企画「オモコー合唱部通信♪」金曜22時『表参道高校合唱部！』動画公開しました！  https://youtu.be/ifnpz2Or9H4誰にだって必ず居場所はある! #2『表参道高校合唱部！』7/24（金）予告動画公開しました！  https://youtu.be/51VGV7P-zjA  番組の内容と放送時間は変更になる場合があります。</v>
      </c>
      <c r="N5134" s="2"/>
      <c r="O5134" s="2"/>
      <c r="P5134" s="1"/>
      <c r="Q5134" s="1"/>
      <c r="R5134" s="1"/>
      <c r="S5134" s="1"/>
      <c r="T5134" s="1"/>
      <c r="U5134" s="1"/>
      <c r="V5134" s="1"/>
      <c r="W5134" s="1"/>
      <c r="X5134" s="1"/>
      <c r="Y5134" s="1"/>
      <c r="Z5134" s="1"/>
      <c r="AA5134" s="1"/>
      <c r="AB5134" s="1"/>
      <c r="AC5134" s="1"/>
      <c r="AD5134" s="1"/>
      <c r="AE5134" s="1"/>
      <c r="AF5134" s="1"/>
      <c r="AG5134" s="1"/>
      <c r="AH5134" s="1"/>
      <c r="AI5134" s="1"/>
      <c r="AJ5134" s="1"/>
      <c r="AK5134" s="1"/>
      <c r="AL5134" s="1"/>
      <c r="AM5134" s="1"/>
      <c r="AN5134" s="1"/>
      <c r="AO5134" s="1"/>
      <c r="AP5134" s="1"/>
      <c r="AQ5134" s="1"/>
      <c r="AR5134" s="1"/>
      <c r="AS5134" s="1"/>
      <c r="AT5134" s="1"/>
      <c r="AU5134" s="1"/>
      <c r="AV5134" s="1"/>
      <c r="AW5134" s="1"/>
      <c r="AX5134" s="1"/>
      <c r="AY5134" s="1"/>
      <c r="AZ5134" s="1"/>
      <c r="BA5134" s="1"/>
      <c r="BB5134" s="1"/>
    </row>
    <row r="5135" ht="204.75" customHeight="1">
      <c r="A5135" s="1">
        <v>2086.0</v>
      </c>
      <c r="B5135" s="2" t="s">
        <v>14320</v>
      </c>
      <c r="C5135" s="2">
        <f>IFERROR(__xludf.DUMMYFUNCTION("split(B5135,""_"")"),1507.0)</f>
        <v>1507</v>
      </c>
      <c r="D5135" s="2" t="str">
        <f>IFERROR(__xludf.DUMMYFUNCTION("""COMPUTED_VALUE"""),"TBS")</f>
        <v>TBS</v>
      </c>
      <c r="E5135" s="2" t="str">
        <f>IFERROR(__xludf.DUMMYFUNCTION("""COMPUTED_VALUE"""),"金22")</f>
        <v>金22</v>
      </c>
      <c r="F5135" s="2" t="s">
        <v>14321</v>
      </c>
      <c r="G5135" s="2" t="s">
        <v>14326</v>
      </c>
      <c r="H5135" s="1">
        <v>3.0</v>
      </c>
      <c r="I5135" s="1" t="s">
        <v>2868</v>
      </c>
      <c r="J5135" s="1" t="s">
        <v>86</v>
      </c>
      <c r="K5135" s="2" t="s">
        <v>14327</v>
      </c>
      <c r="L5135" s="2"/>
      <c r="M5135" s="2" t="str">
        <f>IFERROR(__xludf.DUMMYFUNCTION("split(split(K5135,""【"",false),""公式LINE"",false)"),"野球推薦で入部するも怪我によりレギュラーの座を奪われ、いまや雑用要員の大輔（堀井新太）。次の試合で「ヒットが一本も出なかったら、野球部から消える」と背水の陣で挑むがー。  その頃、とある玄関先で「人殺し！」と罵られる有明（城田優）を見た瀬山（神田沙也加）はその真相を問う。一方、万歳庵にやってきた大曽根（高畑淳子）は離婚調停中の美奈代（堀内敬子）に当時の雄司（川平慈英）の美奈代への思いを語りだすー。芳根京子  志尊淳  吉本実憂  森川葵  堀井新太  高杉真宙  萩原みのり  泉澤祐希  葵わかな  柴田"&amp;"杏花  小島梨里杏  長谷川ニイナ  瑛  松本来夢    川平慈英  堀内敬子    神田沙也加  デビット伊東  立石涼子  　○  平泉成  　○  高畑淳子  城田優西川史子    小市慢太郎  古村比呂  じろう（シソンヌ）    千葉一磨  佐藤玲  舟津大地  山田健太  永野芽郁    中河内雅貴主題歌  『好きだ。』Little Glee Monster  （ソニー・ミュージックレコーズ）    音楽  木村秀彬脚本  櫻井剛    プロデュース  高成麻畝子  大澤祐樹    演出  "&amp;"石井康晴  池田克彦  吉田秋生◇番組HP  http://www.tbs.co.jp/omosan-gassyobu/    ◇番組公式Twitter  @omoko_gassyobu  ◇公式facebook  https://www.facebook.com/gassyoubu2015  合唱フルバージョン公開!「Over Drive」#1の話題曲　動画公開しました！  https://youtu.be/bNM2dgTag1E  番組の内容と放送時間は変更になる場合があります。")</f>
        <v>野球推薦で入部するも怪我によりレギュラーの座を奪われ、いまや雑用要員の大輔（堀井新太）。次の試合で「ヒットが一本も出なかったら、野球部から消える」と背水の陣で挑むがー。  その頃、とある玄関先で「人殺し！」と罵られる有明（城田優）を見た瀬山（神田沙也加）はその真相を問う。一方、万歳庵にやってきた大曽根（高畑淳子）は離婚調停中の美奈代（堀内敬子）に当時の雄司（川平慈英）の美奈代への思いを語りだすー。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城田優西川史子    小市慢太郎  古村比呂  じろう（シソンヌ）    千葉一磨  佐藤玲  舟津大地  山田健太  永野芽郁    中河内雅貴主題歌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合唱フルバージョン公開!「Over Drive」#1の話題曲　動画公開しました！  https://youtu.be/bNM2dgTag1E  番組の内容と放送時間は変更になる場合があります。</v>
      </c>
      <c r="N5135" s="2"/>
      <c r="O5135" s="2"/>
      <c r="P5135" s="1"/>
      <c r="Q5135" s="1"/>
      <c r="R5135" s="1"/>
      <c r="S5135" s="1"/>
      <c r="T5135" s="1"/>
      <c r="U5135" s="1"/>
      <c r="V5135" s="1"/>
      <c r="W5135" s="1"/>
      <c r="X5135" s="1"/>
      <c r="Y5135" s="1"/>
      <c r="Z5135" s="1"/>
      <c r="AA5135" s="1"/>
      <c r="AB5135" s="1"/>
      <c r="AC5135" s="1"/>
      <c r="AD5135" s="1"/>
      <c r="AE5135" s="1"/>
      <c r="AF5135" s="1"/>
      <c r="AG5135" s="1"/>
      <c r="AH5135" s="1"/>
      <c r="AI5135" s="1"/>
      <c r="AJ5135" s="1"/>
      <c r="AK5135" s="1"/>
      <c r="AL5135" s="1"/>
      <c r="AM5135" s="1"/>
      <c r="AN5135" s="1"/>
      <c r="AO5135" s="1"/>
      <c r="AP5135" s="1"/>
      <c r="AQ5135" s="1"/>
      <c r="AR5135" s="1"/>
      <c r="AS5135" s="1"/>
      <c r="AT5135" s="1"/>
      <c r="AU5135" s="1"/>
      <c r="AV5135" s="1"/>
      <c r="AW5135" s="1"/>
      <c r="AX5135" s="1"/>
      <c r="AY5135" s="1"/>
      <c r="AZ5135" s="1"/>
      <c r="BA5135" s="1"/>
      <c r="BB5135" s="1"/>
    </row>
    <row r="5136" ht="204.75" customHeight="1">
      <c r="A5136" s="1">
        <v>2087.0</v>
      </c>
      <c r="B5136" s="2" t="s">
        <v>14320</v>
      </c>
      <c r="C5136" s="2">
        <f>IFERROR(__xludf.DUMMYFUNCTION("split(B5136,""_"")"),1507.0)</f>
        <v>1507</v>
      </c>
      <c r="D5136" s="2" t="str">
        <f>IFERROR(__xludf.DUMMYFUNCTION("""COMPUTED_VALUE"""),"TBS")</f>
        <v>TBS</v>
      </c>
      <c r="E5136" s="2" t="str">
        <f>IFERROR(__xludf.DUMMYFUNCTION("""COMPUTED_VALUE"""),"金22")</f>
        <v>金22</v>
      </c>
      <c r="F5136" s="2" t="s">
        <v>14321</v>
      </c>
      <c r="G5136" s="2" t="s">
        <v>14328</v>
      </c>
      <c r="H5136" s="1">
        <v>4.0</v>
      </c>
      <c r="J5136" s="1" t="s">
        <v>86</v>
      </c>
      <c r="K5136" s="2" t="s">
        <v>14329</v>
      </c>
      <c r="L5136" s="2"/>
      <c r="M5136" s="2" t="str">
        <f>IFERROR(__xludf.DUMMYFUNCTION("split(split(K5136,""【"",false),""公式LINE"",false)"),"5年前のある事件で小山田周二（中河内雅貴）から訴訟を起こされた鈴木有明（城田優）は「償いたい」と受け入れる。「なぜ今更？」と疑問に思う真琴（芳根京子）は訴えを取り下げてもらおうと周二に会う。彼の苦悩を知った真琴はある行動に出るが…。一方、新生合唱部は原宿祭りでの合唱の発表を依頼され、気合十分！[女々しくて→サボテンの花→夏の思い出→学園天国]のスペシャルメドレーを成功させようと練習に励むが…。芳根京子  志尊淳  吉本実憂  森川葵  堀井新太  高杉真宙  萩原みのり  泉澤祐希    柴田杏花  小島"&amp;"梨里杏  長谷川ニイナ  瑛  松本来夢    川平慈英  堀内敬子  　  神田沙也加  デビット伊東  立石涼子    平泉成    高畑淳子  城田優原沙知絵    加藤虎ノ介  古村比呂  中河内雅貴  宮尾俊太郎  2年C組  赤楚衛二  上野凱  沖津海友  片桐悠輔  川合諒  税所ひかり  ささの友間  柴奏花  高井佳佑  高田夏帆  高橋綾沙  田中日南乃  本間千佳子主題歌  『好きだ。』Little Glee Monster  （ソニー・ミュージックレコーズ）    音楽  木村秀"&amp;"彬脚本  櫻井剛    プロデュース  高成麻畝子  大澤祐樹    演出  石井康晴  池田克彦  吉田秋生◇番組HP  http://www.tbs.co.jp/omosan-gassyobu/    ◇番組公式Twitter  @omoko_gassyobu  ◇公式facebook  https://www.facebook.com/gassyoubu2015  22日(土）あさ7時～男子マラソンで開幕！  初日の夜から、100m“世界最速の超人”ウサイン・ボルトが登場  8月22日～30日(日）"&amp;"までの9日間の真夏の北京から熱戦をお送りします。番組の内容と放送時間は変更になる場合があります。")</f>
        <v>5年前のある事件で小山田周二（中河内雅貴）から訴訟を起こされた鈴木有明（城田優）は「償いたい」と受け入れる。「なぜ今更？」と疑問に思う真琴（芳根京子）は訴えを取り下げてもらおうと周二に会う。彼の苦悩を知った真琴はある行動に出るが…。一方、新生合唱部は原宿祭りでの合唱の発表を依頼され、気合十分！[女々しくて→サボテンの花→夏の思い出→学園天国]のスペシャルメドレーを成功させようと練習に励むが…。芳根京子  志尊淳  吉本実憂  森川葵  堀井新太  高杉真宙  萩原みのり  泉澤祐希    柴田杏花  小島梨里杏  長谷川ニイナ  瑛  松本来夢    川平慈英  堀内敬子  　  神田沙也加  デビット伊東  立石涼子    平泉成    高畑淳子  城田優原沙知絵    加藤虎ノ介  古村比呂  中河内雅貴  宮尾俊太郎  2年C組  赤楚衛二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22日(土）あさ7時～男子マラソンで開幕！  初日の夜から、100m“世界最速の超人”ウサイン・ボルトが登場  8月22日～30日(日）までの9日間の真夏の北京から熱戦をお送りします。番組の内容と放送時間は変更になる場合があります。</v>
      </c>
      <c r="N5136" s="2"/>
      <c r="O5136" s="2"/>
      <c r="P5136" s="1"/>
      <c r="Q5136" s="1"/>
      <c r="R5136" s="1"/>
      <c r="S5136" s="1"/>
      <c r="T5136" s="1"/>
      <c r="U5136" s="1"/>
      <c r="V5136" s="1"/>
      <c r="W5136" s="1"/>
      <c r="X5136" s="1"/>
      <c r="Y5136" s="1"/>
      <c r="Z5136" s="1"/>
      <c r="AA5136" s="1"/>
      <c r="AB5136" s="1"/>
      <c r="AC5136" s="1"/>
      <c r="AD5136" s="1"/>
      <c r="AE5136" s="1"/>
      <c r="AF5136" s="1"/>
      <c r="AG5136" s="1"/>
      <c r="AH5136" s="1"/>
      <c r="AI5136" s="1"/>
      <c r="AJ5136" s="1"/>
      <c r="AK5136" s="1"/>
      <c r="AL5136" s="1"/>
      <c r="AM5136" s="1"/>
      <c r="AN5136" s="1"/>
      <c r="AO5136" s="1"/>
      <c r="AP5136" s="1"/>
      <c r="AQ5136" s="1"/>
      <c r="AR5136" s="1"/>
      <c r="AS5136" s="1"/>
      <c r="AT5136" s="1"/>
      <c r="AU5136" s="1"/>
      <c r="AV5136" s="1"/>
      <c r="AW5136" s="1"/>
      <c r="AX5136" s="1"/>
      <c r="AY5136" s="1"/>
      <c r="AZ5136" s="1"/>
      <c r="BA5136" s="1"/>
      <c r="BB5136" s="1"/>
    </row>
    <row r="5137" ht="204.75" customHeight="1">
      <c r="A5137" s="1">
        <v>2088.0</v>
      </c>
      <c r="B5137" s="2" t="s">
        <v>14320</v>
      </c>
      <c r="C5137" s="2">
        <f>IFERROR(__xludf.DUMMYFUNCTION("split(B5137,""_"")"),1507.0)</f>
        <v>1507</v>
      </c>
      <c r="D5137" s="2" t="str">
        <f>IFERROR(__xludf.DUMMYFUNCTION("""COMPUTED_VALUE"""),"TBS")</f>
        <v>TBS</v>
      </c>
      <c r="E5137" s="2" t="str">
        <f>IFERROR(__xludf.DUMMYFUNCTION("""COMPUTED_VALUE"""),"金22")</f>
        <v>金22</v>
      </c>
      <c r="F5137" s="2" t="s">
        <v>14321</v>
      </c>
      <c r="G5137" s="2" t="s">
        <v>14330</v>
      </c>
      <c r="H5137" s="1">
        <v>5.0</v>
      </c>
      <c r="J5137" s="1" t="s">
        <v>86</v>
      </c>
      <c r="K5137" s="2" t="s">
        <v>14331</v>
      </c>
      <c r="L5137" s="2"/>
      <c r="M5137" s="2" t="str">
        <f>IFERROR(__xludf.DUMMYFUNCTION("split(split(K5137,""【"",false),""公式LINE"",false)"),"指導者として有明（城田優）が加わり本格始動！さっそく、奇抜なアイデア“合唱路上ライブ”で部員たちの能力アップを図る。意気込む真琴（芳根京子）たちであったが…現実を突きつけられー。なにものかに秘密をばらされ一軍トップから急転直下「もうここには居場所ないから」と学校を去る優里亞に、真琴がとった行動とはー！？一方、母・美奈代（堀内敬子）の前にかつての同級生・内田（石丸幹二）が現れて…。芳根京子  志尊淳  吉本実憂  森川葵  堀井新太  高杉真宙  萩原みのり  泉澤祐希    柴田杏花  小島梨里杏  長谷"&amp;"川ニイナ  瑛  松本来夢    川平慈英  堀内敬子  　  神田沙也加  デビット伊東  立石涼子    平泉成    高畑淳子  城田優原沙知絵    山田純大  加藤虎ノ介  シソンヌ　じろう    楡木直也  武田玲奈  千葉一磨  佐藤玲    石丸幹二主題歌  『好きだ。』Little Glee Monster  （ソニー・ミュージックレコーズ）    音楽  木村秀彬脚本  櫻井剛    プロデュース  高成麻畝子  大澤祐樹    演出  石井康晴  池田克彦  吉田秋生◇番組HP  h"&amp;"ttp://www.tbs.co.jp/omosan-gassyobu/    ◇番組公式Twitter  @omoko_gassyobu  ◇公式facebook  https://www.facebook.com/gassyoubu2015  22日(土）あさ7時～男子マラソンで開幕！  初日の夜から、100m“世界最速の超人”ウサイン・ボルトが登場  8月22日～30日(日）までの9日間の真夏の北京から熱戦をお送りします。番組の内容と放送時間は変更になる場合があります。")</f>
        <v>指導者として有明（城田優）が加わり本格始動！さっそく、奇抜なアイデア“合唱路上ライブ”で部員たちの能力アップを図る。意気込む真琴（芳根京子）たちであったが…現実を突きつけられー。なにものかに秘密をばらされ一軍トップから急転直下「もうここには居場所ないから」と学校を去る優里亞に、真琴がとった行動とはー！？一方、母・美奈代（堀内敬子）の前にかつての同級生・内田（石丸幹二）が現れて…。芳根京子  志尊淳  吉本実憂  森川葵  堀井新太  高杉真宙  萩原みのり  泉澤祐希    柴田杏花  小島梨里杏  長谷川ニイナ  瑛  松本来夢    川平慈英  堀内敬子  　  神田沙也加  デビット伊東  立石涼子    平泉成    高畑淳子  城田優原沙知絵    山田純大  加藤虎ノ介  シソンヌ　じろう    楡木直也  武田玲奈  千葉一磨  佐藤玲    石丸幹二主題歌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22日(土）あさ7時～男子マラソンで開幕！  初日の夜から、100m“世界最速の超人”ウサイン・ボルトが登場  8月22日～30日(日）までの9日間の真夏の北京から熱戦をお送りします。番組の内容と放送時間は変更になる場合があります。</v>
      </c>
      <c r="N5137" s="2"/>
      <c r="O5137" s="2"/>
      <c r="P5137" s="1"/>
      <c r="Q5137" s="1"/>
      <c r="R5137" s="1"/>
      <c r="S5137" s="1"/>
      <c r="T5137" s="1"/>
      <c r="U5137" s="1"/>
      <c r="V5137" s="1"/>
      <c r="W5137" s="1"/>
      <c r="X5137" s="1"/>
      <c r="Y5137" s="1"/>
      <c r="Z5137" s="1"/>
      <c r="AA5137" s="1"/>
      <c r="AB5137" s="1"/>
      <c r="AC5137" s="1"/>
      <c r="AD5137" s="1"/>
      <c r="AE5137" s="1"/>
      <c r="AF5137" s="1"/>
      <c r="AG5137" s="1"/>
      <c r="AH5137" s="1"/>
      <c r="AI5137" s="1"/>
      <c r="AJ5137" s="1"/>
      <c r="AK5137" s="1"/>
      <c r="AL5137" s="1"/>
      <c r="AM5137" s="1"/>
      <c r="AN5137" s="1"/>
      <c r="AO5137" s="1"/>
      <c r="AP5137" s="1"/>
      <c r="AQ5137" s="1"/>
      <c r="AR5137" s="1"/>
      <c r="AS5137" s="1"/>
      <c r="AT5137" s="1"/>
      <c r="AU5137" s="1"/>
      <c r="AV5137" s="1"/>
      <c r="AW5137" s="1"/>
      <c r="AX5137" s="1"/>
      <c r="AY5137" s="1"/>
      <c r="AZ5137" s="1"/>
      <c r="BA5137" s="1"/>
      <c r="BB5137" s="1"/>
    </row>
    <row r="5138" ht="204.75" customHeight="1">
      <c r="A5138" s="1">
        <v>2089.0</v>
      </c>
      <c r="B5138" s="2" t="s">
        <v>14320</v>
      </c>
      <c r="C5138" s="2">
        <f>IFERROR(__xludf.DUMMYFUNCTION("split(B5138,""_"")"),1507.0)</f>
        <v>1507</v>
      </c>
      <c r="D5138" s="2" t="str">
        <f>IFERROR(__xludf.DUMMYFUNCTION("""COMPUTED_VALUE"""),"TBS")</f>
        <v>TBS</v>
      </c>
      <c r="E5138" s="2" t="str">
        <f>IFERROR(__xludf.DUMMYFUNCTION("""COMPUTED_VALUE"""),"金22")</f>
        <v>金22</v>
      </c>
      <c r="F5138" s="2" t="s">
        <v>14321</v>
      </c>
      <c r="G5138" s="2" t="s">
        <v>14332</v>
      </c>
      <c r="H5138" s="1">
        <v>6.0</v>
      </c>
      <c r="J5138" s="1" t="s">
        <v>86</v>
      </c>
      <c r="K5138" s="2" t="s">
        <v>14333</v>
      </c>
      <c r="L5138" s="2"/>
      <c r="M5138" s="2" t="str">
        <f>IFERROR(__xludf.DUMMYFUNCTION("split(split(K5138,""【"",false),""公式LINE"",false)"),"正式な部として認められた合唱部は大曽根校長（高畑淳子）の別荘を借りて夏合宿をすることにー。女子部員は準備のためにと買い物に出かけるも…優里亞（吉本実憂）の手ほどきで圏外女子の美子（萩原みのり）が大変身！？そんな美子に驚きを隠せない男子部員…恋の予感！？「合宿だー！」と意気込む部員をよそに、「ここ…誰かいる。私、霊感あるの」と言う成美（柴田杏花）。実はこの屋敷は校長と亡くなった夫の思い出の場所で…。芳根京子  志尊淳  吉本実憂  森川葵  堀井新太  高杉真宙  萩原みのり  泉澤祐希    柴田杏花  "&amp;"小島梨里杏  長谷川ニイナ  瑛  松本来夢    川平慈英  堀内敬子  　  神田沙也加  デビット伊東  立石涼子    平泉成    高畑淳子  城田優　国広富之    赤楚衛二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大澤祐"&amp;"樹    演出  石井康晴  池田克彦  吉田秋生◇番組HP  http://www.tbs.co.jp/omosan-gassyobu/    ◇番組公式Twitter  @omoko_gassyobu  ◇公式facebook  https://www.facebook.com/gassyoubu2015  第7話の放送は9/4（金）です。  来週は「世界陸上」のため休止です。22日(土）あさ7時～男子マラソンで開幕！  初日の夜から、100m“世界最速の超人”ウサイン・ボルトが登場  8月22日～3"&amp;"0日(日）までの9日間の真夏の北京から熱戦をお送りします。https://youtu.be/SA41muq61lM  https://youtu.be/S5Su1on6kiM  https://youtu.be/IJVmgfqo8cg  ・これまでの合唱リストはコチラから  https://www.youtube.com/playlist?list=PLCUNF--_h4OwCq4R53dapBZj7I5-3gfY1番組の内容と放送時間は変更になる場合があります。")</f>
        <v>正式な部として認められた合唱部は大曽根校長（高畑淳子）の別荘を借りて夏合宿をすることにー。女子部員は準備のためにと買い物に出かけるも…優里亞（吉本実憂）の手ほどきで圏外女子の美子（萩原みのり）が大変身！？そんな美子に驚きを隠せない男子部員…恋の予感！？「合宿だー！」と意気込む部員をよそに、「ここ…誰かいる。私、霊感あるの」と言う成美（柴田杏花）。実はこの屋敷は校長と亡くなった夫の思い出の場所で…。芳根京子  志尊淳  吉本実憂  森川葵  堀井新太  高杉真宙  萩原みのり  泉澤祐希    柴田杏花  小島梨里杏  長谷川ニイナ  瑛  松本来夢    川平慈英  堀内敬子  　  神田沙也加  デビット伊東  立石涼子    平泉成    高畑淳子  城田優　国広富之    赤楚衛二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第7話の放送は9/4（金）です。  来週は「世界陸上」のため休止です。22日(土）あさ7時～男子マラソンで開幕！  初日の夜から、100m“世界最速の超人”ウサイン・ボルトが登場  8月22日～30日(日）までの9日間の真夏の北京から熱戦をお送りします。https://youtu.be/SA41muq61lM  https://youtu.be/S5Su1on6kiM  https://youtu.be/IJVmgfqo8cg  ・これまでの合唱リストはコチラから  https://www.youtube.com/playlist?list=PLCUNF--_h4OwCq4R53dapBZj7I5-3gfY1番組の内容と放送時間は変更になる場合があります。</v>
      </c>
      <c r="N5138" s="2"/>
      <c r="O5138" s="2"/>
      <c r="P5138" s="1"/>
      <c r="Q5138" s="1"/>
      <c r="R5138" s="1"/>
      <c r="S5138" s="1"/>
      <c r="T5138" s="1"/>
      <c r="U5138" s="1"/>
      <c r="V5138" s="1"/>
      <c r="W5138" s="1"/>
      <c r="X5138" s="1"/>
      <c r="Y5138" s="1"/>
      <c r="Z5138" s="1"/>
      <c r="AA5138" s="1"/>
      <c r="AB5138" s="1"/>
      <c r="AC5138" s="1"/>
      <c r="AD5138" s="1"/>
      <c r="AE5138" s="1"/>
      <c r="AF5138" s="1"/>
      <c r="AG5138" s="1"/>
      <c r="AH5138" s="1"/>
      <c r="AI5138" s="1"/>
      <c r="AJ5138" s="1"/>
      <c r="AK5138" s="1"/>
      <c r="AL5138" s="1"/>
      <c r="AM5138" s="1"/>
      <c r="AN5138" s="1"/>
      <c r="AO5138" s="1"/>
      <c r="AP5138" s="1"/>
      <c r="AQ5138" s="1"/>
      <c r="AR5138" s="1"/>
      <c r="AS5138" s="1"/>
      <c r="AT5138" s="1"/>
      <c r="AU5138" s="1"/>
      <c r="AV5138" s="1"/>
      <c r="AW5138" s="1"/>
      <c r="AX5138" s="1"/>
      <c r="AY5138" s="1"/>
      <c r="AZ5138" s="1"/>
      <c r="BA5138" s="1"/>
      <c r="BB5138" s="1"/>
    </row>
    <row r="5139" ht="204.75" customHeight="1">
      <c r="A5139" s="1">
        <v>2090.0</v>
      </c>
      <c r="B5139" s="2" t="s">
        <v>14320</v>
      </c>
      <c r="C5139" s="2">
        <f>IFERROR(__xludf.DUMMYFUNCTION("split(B5139,""_"")"),1507.0)</f>
        <v>1507</v>
      </c>
      <c r="D5139" s="2" t="str">
        <f>IFERROR(__xludf.DUMMYFUNCTION("""COMPUTED_VALUE"""),"TBS")</f>
        <v>TBS</v>
      </c>
      <c r="E5139" s="2" t="str">
        <f>IFERROR(__xludf.DUMMYFUNCTION("""COMPUTED_VALUE"""),"金22")</f>
        <v>金22</v>
      </c>
      <c r="F5139" s="2" t="s">
        <v>14321</v>
      </c>
      <c r="G5139" s="2" t="s">
        <v>14334</v>
      </c>
      <c r="H5139" s="1">
        <v>7.0</v>
      </c>
      <c r="I5139" s="1" t="s">
        <v>14335</v>
      </c>
      <c r="J5139" s="1" t="s">
        <v>86</v>
      </c>
      <c r="K5139" s="2" t="s">
        <v>14336</v>
      </c>
      <c r="L5139" s="2"/>
      <c r="M5139" s="2" t="str">
        <f>IFERROR(__xludf.DUMMYFUNCTION("split(split(K5139,""【"",false),""公式LINE"",false)"),"合宿の帰り道、心臓の病気が急変し緊急搬送される快人（志尊淳）。手術は成功するも意識が戻らないー。都大会で入賞を逃すと同好会に格下げされてしまう合唱部は本気で勝負をするために難しい合唱曲で大会に臨むことにー。心配のあまり歌えなくなった真琴（芳根京子）だが、快人の好きな曲が「ハナミズキ」だと知り、都大会で不利な選曲を承知で「ハナミズキ」を歌おうと部員たちを説得するが…。快人の目は覚めるのかー！？芳根京子  志尊淳  吉本実憂  森川葵  堀井新太  高杉真宙  萩原みのり  泉澤祐希    葵わかな  柴田杏"&amp;"花  小島梨里杏  長谷川ニイナ  瑛  松本来夢    川平慈英  堀内敬子  　  神田沙也加  デビット伊東  立石涼子  　○  平泉成  　○  高畑淳子  城田優　石丸幹二    宮尾俊太郎      2年C組  赤楚衛二  上野凱  沖津海友  片桐悠輔  川合諒  税所ひかり  ささの友間  柴奏花  高井佳佑  高田夏帆  高橋綾沙  田中日南乃  本間千佳子主題歌  『好きだ。』Little Glee Monster  （ソニー・ミュージックレコーズ）    音楽  木村秀彬脚本  櫻"&amp;"井剛    プロデュース  高成麻畝子  大澤祐樹    演出  石井康晴  池田克彦  吉田秋生◇番組HP  http://www.tbs.co.jp/omosan-gassyobu/    ◇番組公式Twitter  @omoko_gassyobu  ◇公式facebook  https://www.facebook.com/gassyoubu2015  合唱「心の瞳」フルバージョン#6名場面動画公開しました！  https://youtu.be/IDUANcPT-a4  仲間との約束を果たすため! "&amp;"合唱曲「ハナミズキ」一青窈 #7予告動画公開しました！  https://youtu.be/_RW4i7VbBFA  番組の内容と放送時間は変更になる場合があります。")</f>
        <v>合宿の帰り道、心臓の病気が急変し緊急搬送される快人（志尊淳）。手術は成功するも意識が戻らないー。都大会で入賞を逃すと同好会に格下げされてしまう合唱部は本気で勝負をするために難しい合唱曲で大会に臨むことにー。心配のあまり歌えなくなった真琴（芳根京子）だが、快人の好きな曲が「ハナミズキ」だと知り、都大会で不利な選曲を承知で「ハナミズキ」を歌おうと部員たちを説得するが…。快人の目は覚めるのかー！？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　石丸幹二    宮尾俊太郎      2年C組  赤楚衛二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合唱「心の瞳」フルバージョン#6名場面動画公開しました！  https://youtu.be/IDUANcPT-a4  仲間との約束を果たすため! 合唱曲「ハナミズキ」一青窈 #7予告動画公開しました！  https://youtu.be/_RW4i7VbBFA  番組の内容と放送時間は変更になる場合があります。</v>
      </c>
      <c r="N5139" s="2"/>
      <c r="O5139" s="2"/>
      <c r="P5139" s="1"/>
      <c r="Q5139" s="1"/>
      <c r="R5139" s="1"/>
      <c r="S5139" s="1"/>
      <c r="T5139" s="1"/>
      <c r="U5139" s="1"/>
      <c r="V5139" s="1"/>
      <c r="W5139" s="1"/>
      <c r="X5139" s="1"/>
      <c r="Y5139" s="1"/>
      <c r="Z5139" s="1"/>
      <c r="AA5139" s="1"/>
      <c r="AB5139" s="1"/>
      <c r="AC5139" s="1"/>
      <c r="AD5139" s="1"/>
      <c r="AE5139" s="1"/>
      <c r="AF5139" s="1"/>
      <c r="AG5139" s="1"/>
      <c r="AH5139" s="1"/>
      <c r="AI5139" s="1"/>
      <c r="AJ5139" s="1"/>
      <c r="AK5139" s="1"/>
      <c r="AL5139" s="1"/>
      <c r="AM5139" s="1"/>
      <c r="AN5139" s="1"/>
      <c r="AO5139" s="1"/>
      <c r="AP5139" s="1"/>
      <c r="AQ5139" s="1"/>
      <c r="AR5139" s="1"/>
      <c r="AS5139" s="1"/>
      <c r="AT5139" s="1"/>
      <c r="AU5139" s="1"/>
      <c r="AV5139" s="1"/>
      <c r="AW5139" s="1"/>
      <c r="AX5139" s="1"/>
      <c r="AY5139" s="1"/>
      <c r="AZ5139" s="1"/>
      <c r="BA5139" s="1"/>
      <c r="BB5139" s="1"/>
    </row>
    <row r="5140" ht="204.75" customHeight="1">
      <c r="A5140" s="1">
        <v>2091.0</v>
      </c>
      <c r="B5140" s="2" t="s">
        <v>14320</v>
      </c>
      <c r="C5140" s="2">
        <f>IFERROR(__xludf.DUMMYFUNCTION("split(B5140,""_"")"),1507.0)</f>
        <v>1507</v>
      </c>
      <c r="D5140" s="2" t="str">
        <f>IFERROR(__xludf.DUMMYFUNCTION("""COMPUTED_VALUE"""),"TBS")</f>
        <v>TBS</v>
      </c>
      <c r="E5140" s="2" t="str">
        <f>IFERROR(__xludf.DUMMYFUNCTION("""COMPUTED_VALUE"""),"金22")</f>
        <v>金22</v>
      </c>
      <c r="F5140" s="2" t="s">
        <v>14321</v>
      </c>
      <c r="G5140" s="2" t="s">
        <v>14337</v>
      </c>
      <c r="H5140" s="1">
        <v>8.0</v>
      </c>
      <c r="I5140" s="1" t="s">
        <v>14338</v>
      </c>
      <c r="J5140" s="1" t="s">
        <v>86</v>
      </c>
      <c r="K5140" s="2" t="s">
        <v>14339</v>
      </c>
      <c r="L5140" s="2"/>
      <c r="M5140" s="2" t="str">
        <f>IFERROR(__xludf.DUMMYFUNCTION("split(split(K5140,""【"",false),""公式LINE"",false)"),"大曽根（高畑淳子）の教え子でプロのカリスマアーティスト・神島カナ（中島美嘉）のライブのオープニングアクトを任されることになった合唱部。新たな目標ができ、気合十分の真琴（芳根京子）たちはさっそく、カナに会いに行き合唱を披露するがー「いい子ぶってて気持ち悪い。出直してきて」と一蹴されてしまい…。  快人（志尊淳）への気持ちを抑えられない優里亞（吉本実憂）からデートに誘う報告を受けた真琴は…。芳根京子  志尊淳  吉本実憂  森川葵  堀井新太  高杉真宙  萩原みのり  泉澤祐希    葵わかな  柴田杏花 "&amp;" 小島梨里杏  長谷川ニイナ  瑛  松本来夢    川平慈英  堀内敬子  　  神田沙也加  デビット伊東  立石涼子  　○  平泉成  　○  高畑淳子  城田優　中島美嘉    石丸幹二    彩輝なお    西川史子　2年C組  赤楚衛二  上野凱  沖津海友  片桐悠輔  川合諒  税所ひかり  ささの友間  柴奏花  高井佳佑  高田夏帆  高橋綾沙  田中日南乃  本間千佳子主題歌  『好きだ。』Little Glee Monster  （ソニー・ミュージックレコーズ）    音楽  木"&amp;"村秀彬脚本  櫻井剛    プロデュース  高成麻畝子  大澤祐樹    演出  石井康晴  池田克彦  吉田秋生◇番組HP  http://www.tbs.co.jp/omosan-gassyobu/    ◇番組公式Twitter  @omoko_gassyobu  ◇公式facebook  https://www.facebook.com/gassyoubu2015  合唱「ハナミズキ」フルバージョン#7名場面動画公開しました！  https://youtu.be/vAjSR5EBY9M  中島美嘉"&amp;"と奇跡のコラボ!! 合唱曲「恋しくて」BEGIN #8予告動画公開しました！  https://youtu.be/k2xkzihnP24  中島美嘉5年ぶりのドラマ出演でインタビュー! 歌声は9/11（金）『表参道高校合唱部！』で披露!動画公開しました！  https://youtu.be/f1vvbpVbK8M番組の内容と放送時間は変更になる場合があります。")</f>
        <v>大曽根（高畑淳子）の教え子でプロのカリスマアーティスト・神島カナ（中島美嘉）のライブのオープニングアクトを任されることになった合唱部。新たな目標ができ、気合十分の真琴（芳根京子）たちはさっそく、カナに会いに行き合唱を披露するがー「いい子ぶってて気持ち悪い。出直してきて」と一蹴されてしまい…。  快人（志尊淳）への気持ちを抑えられない優里亞（吉本実憂）からデートに誘う報告を受けた真琴は…。芳根京子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　中島美嘉    石丸幹二    彩輝なお    西川史子　2年C組  赤楚衛二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合唱「ハナミズキ」フルバージョン#7名場面動画公開しました！  https://youtu.be/vAjSR5EBY9M  中島美嘉と奇跡のコラボ!! 合唱曲「恋しくて」BEGIN #8予告動画公開しました！  https://youtu.be/k2xkzihnP24  中島美嘉5年ぶりのドラマ出演でインタビュー! 歌声は9/11（金）『表参道高校合唱部！』で披露!動画公開しました！  https://youtu.be/f1vvbpVbK8M番組の内容と放送時間は変更になる場合があります。</v>
      </c>
      <c r="N5140" s="2"/>
      <c r="O5140" s="2"/>
      <c r="P5140" s="1"/>
      <c r="Q5140" s="1"/>
      <c r="R5140" s="1"/>
      <c r="S5140" s="1"/>
      <c r="T5140" s="1"/>
      <c r="U5140" s="1"/>
      <c r="V5140" s="1"/>
      <c r="W5140" s="1"/>
      <c r="X5140" s="1"/>
      <c r="Y5140" s="1"/>
      <c r="Z5140" s="1"/>
      <c r="AA5140" s="1"/>
      <c r="AB5140" s="1"/>
      <c r="AC5140" s="1"/>
      <c r="AD5140" s="1"/>
      <c r="AE5140" s="1"/>
      <c r="AF5140" s="1"/>
      <c r="AG5140" s="1"/>
      <c r="AH5140" s="1"/>
      <c r="AI5140" s="1"/>
      <c r="AJ5140" s="1"/>
      <c r="AK5140" s="1"/>
      <c r="AL5140" s="1"/>
      <c r="AM5140" s="1"/>
      <c r="AN5140" s="1"/>
      <c r="AO5140" s="1"/>
      <c r="AP5140" s="1"/>
      <c r="AQ5140" s="1"/>
      <c r="AR5140" s="1"/>
      <c r="AS5140" s="1"/>
      <c r="AT5140" s="1"/>
      <c r="AU5140" s="1"/>
      <c r="AV5140" s="1"/>
      <c r="AW5140" s="1"/>
      <c r="AX5140" s="1"/>
      <c r="AY5140" s="1"/>
      <c r="AZ5140" s="1"/>
      <c r="BA5140" s="1"/>
      <c r="BB5140" s="1"/>
    </row>
    <row r="5141" ht="204.75" customHeight="1">
      <c r="A5141" s="1">
        <v>2092.0</v>
      </c>
      <c r="B5141" s="2" t="s">
        <v>14320</v>
      </c>
      <c r="C5141" s="2">
        <f>IFERROR(__xludf.DUMMYFUNCTION("split(B5141,""_"")"),1507.0)</f>
        <v>1507</v>
      </c>
      <c r="D5141" s="2" t="str">
        <f>IFERROR(__xludf.DUMMYFUNCTION("""COMPUTED_VALUE"""),"TBS")</f>
        <v>TBS</v>
      </c>
      <c r="E5141" s="2" t="str">
        <f>IFERROR(__xludf.DUMMYFUNCTION("""COMPUTED_VALUE"""),"金22")</f>
        <v>金22</v>
      </c>
      <c r="F5141" s="2" t="s">
        <v>14321</v>
      </c>
      <c r="G5141" s="2" t="s">
        <v>14340</v>
      </c>
      <c r="H5141" s="1">
        <v>9.0</v>
      </c>
      <c r="J5141" s="1" t="s">
        <v>86</v>
      </c>
      <c r="K5141" s="2" t="s">
        <v>14341</v>
      </c>
      <c r="L5141" s="2"/>
      <c r="M5141" s="2" t="str">
        <f>IFERROR(__xludf.DUMMYFUNCTION("split(split(K5141,""【"",false),""公式LINE"",false)"),"クラスの出し物で合唱をしたい真琴（芳根京子）たち合唱部…だが、「1軍」の風香＆ほのかが仕切るホームルームで「1軍」に対して物言わず従う「2軍」「圏外」の生徒たちの多数決によりあっけなく『メイドカフェ』に決定してしまう。しかし「10人」の合唱部に対し『合唱』に「11票」の得票をしたことに疑問を持った真琴（芳根京子）はー。「愛の歌」をやっと手に入れ、復縁を期待して両親を文化祭に呼ぶ、真琴と快人だが…。芳根京子  志尊淳  吉本実憂  森川葵  堀井新太  高杉真宙  萩原みのり  泉澤祐希    柴田杏花  "&amp;"小島梨里杏  長谷川ニイナ  瑛  松本来夢    川平慈英  堀内敬子  　  神田沙也加  デビット伊東  立石涼子  　○  平泉成  　○  高畑淳子  城田優彩輝なお    田中敬三    千葉一磨    佐藤玲　  2年C組  赤楚衛二  上野凱  沖津海友  片桐悠輔  川合諒  税所ひかり  ささの友間  柴奏花  高井佳佑  高田夏帆  高橋綾沙  田中日南乃  本間千佳子主題歌  『好きだ。』Little Glee Monster  （ソニー・ミュージックレコーズ）    音楽  木村"&amp;"秀彬脚本  櫻井剛    プロデュース  高成麻畝子  大澤祐樹    演出  石井康晴  池田克彦  吉田秋生◇番組HP  http://www.tbs.co.jp/omosan-gassyobu/    ◇番組公式Twitter  @omoko_gassyobu  ◇公式facebook  https://www.facebook.com/gassyoubu2015  番組の内容と放送時間は変更になる場合があります。")</f>
        <v>クラスの出し物で合唱をしたい真琴（芳根京子）たち合唱部…だが、「1軍」の風香＆ほのかが仕切るホームルームで「1軍」に対して物言わず従う「2軍」「圏外」の生徒たちの多数決によりあっけなく『メイドカフェ』に決定してしまう。しかし「10人」の合唱部に対し『合唱』に「11票」の得票をしたことに疑問を持った真琴（芳根京子）はー。「愛の歌」をやっと手に入れ、復縁を期待して両親を文化祭に呼ぶ、真琴と快人だが…。芳根京子  志尊淳  吉本実憂  森川葵  堀井新太  高杉真宙  萩原みのり  泉澤祐希    柴田杏花  小島梨里杏  長谷川ニイナ  瑛  松本来夢    川平慈英  堀内敬子  　  神田沙也加  デビット伊東  立石涼子  　○  平泉成  　○  高畑淳子  城田優彩輝なお    田中敬三    千葉一磨    佐藤玲　  2年C組  赤楚衛二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番組の内容と放送時間は変更になる場合があります。</v>
      </c>
      <c r="N5141" s="2"/>
      <c r="O5141" s="2"/>
      <c r="P5141" s="1"/>
      <c r="Q5141" s="1"/>
      <c r="R5141" s="1"/>
      <c r="S5141" s="1"/>
      <c r="T5141" s="1"/>
      <c r="U5141" s="1"/>
      <c r="V5141" s="1"/>
      <c r="W5141" s="1"/>
      <c r="X5141" s="1"/>
      <c r="Y5141" s="1"/>
      <c r="Z5141" s="1"/>
      <c r="AA5141" s="1"/>
      <c r="AB5141" s="1"/>
      <c r="AC5141" s="1"/>
      <c r="AD5141" s="1"/>
      <c r="AE5141" s="1"/>
      <c r="AF5141" s="1"/>
      <c r="AG5141" s="1"/>
      <c r="AH5141" s="1"/>
      <c r="AI5141" s="1"/>
      <c r="AJ5141" s="1"/>
      <c r="AK5141" s="1"/>
      <c r="AL5141" s="1"/>
      <c r="AM5141" s="1"/>
      <c r="AN5141" s="1"/>
      <c r="AO5141" s="1"/>
      <c r="AP5141" s="1"/>
      <c r="AQ5141" s="1"/>
      <c r="AR5141" s="1"/>
      <c r="AS5141" s="1"/>
      <c r="AT5141" s="1"/>
      <c r="AU5141" s="1"/>
      <c r="AV5141" s="1"/>
      <c r="AW5141" s="1"/>
      <c r="AX5141" s="1"/>
      <c r="AY5141" s="1"/>
      <c r="AZ5141" s="1"/>
      <c r="BA5141" s="1"/>
      <c r="BB5141" s="1"/>
    </row>
    <row r="5142" ht="204.75" customHeight="1">
      <c r="A5142" s="1">
        <v>2093.0</v>
      </c>
      <c r="B5142" s="2" t="s">
        <v>14320</v>
      </c>
      <c r="C5142" s="2">
        <f>IFERROR(__xludf.DUMMYFUNCTION("split(B5142,""_"")"),1507.0)</f>
        <v>1507</v>
      </c>
      <c r="D5142" s="2" t="str">
        <f>IFERROR(__xludf.DUMMYFUNCTION("""COMPUTED_VALUE"""),"TBS")</f>
        <v>TBS</v>
      </c>
      <c r="E5142" s="2" t="str">
        <f>IFERROR(__xludf.DUMMYFUNCTION("""COMPUTED_VALUE"""),"金22")</f>
        <v>金22</v>
      </c>
      <c r="F5142" s="2" t="s">
        <v>14321</v>
      </c>
      <c r="G5142" s="2" t="s">
        <v>14342</v>
      </c>
      <c r="H5142" s="1">
        <v>10.0</v>
      </c>
      <c r="J5142" s="1" t="s">
        <v>86</v>
      </c>
      <c r="K5142" s="2" t="s">
        <v>14343</v>
      </c>
      <c r="L5142" s="2"/>
      <c r="M5142" s="2" t="str">
        <f>IFERROR(__xludf.DUMMYFUNCTION("split(split(K5142,""【"",false),""公式LINE"",false)"),"雄司（川平慈英）と美奈代（堀内敬子）の離婚が決定的となり、修復不可能となった香川家。さらに追い打ちをかけるように、廃校が決定する表参道高校。歌の力を信じられなくなった真琴（芳根京子）は雄司と香川県に戻る決意をするが…。真琴に今までの恩返しをしたい合唱部と有明（城田優）と瀬山（神田沙也加）は真琴の両親を復縁させようと、一発逆転の作戦を立てるー！！芳根京子  志尊淳  吉本実憂  森川葵  堀井新太  高杉真宙  萩原みのり  泉澤祐希    葵わかな  柴田杏花  小島梨里杏  長谷川ニイナ  瑛  松本来"&amp;"夢    川平慈英  堀内敬子  　  神田沙也加  デビット伊東  立石涼子  　○  平泉成  　○  高畑淳子  城田優　千葉一磨  佐藤玲    2年C組  佐藤玲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演出"&amp;"  石井康晴  池田克彦  吉田秋生◇番組HP  http://www.tbs.co.jp/omosan-gassyobu/    ◇番組公式Twitter  @omoko_gassyobu  ◇公式facebook  https://www.facebook.com/gassyoubu2015  ★「表参道高校合唱部！」合唱シーン「愛の歌」「何度でも」公開!!  https://youtu.be/CCgxFaNgV1k  https://youtu.be/qhdTUxvoYOE☆合唱シーンの中で「Ove"&amp;"r Drive」」の再生回数が110万回突破で大ブレイク中  https://youtu.be/bNM2dgTag1E  番組の内容と放送時間は変更になる場合があります。")</f>
        <v>雄司（川平慈英）と美奈代（堀内敬子）の離婚が決定的となり、修復不可能となった香川家。さらに追い打ちをかけるように、廃校が決定する表参道高校。歌の力を信じられなくなった真琴（芳根京子）は雄司と香川県に戻る決意をするが…。真琴に今までの恩返しをしたい合唱部と有明（城田優）と瀬山（神田沙也加）は真琴の両親を復縁させようと、一発逆転の作戦を立てるー！！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　千葉一磨  佐藤玲    2年C組  佐藤玲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★「表参道高校合唱部！」合唱シーン「愛の歌」「何度でも」公開!!  https://youtu.be/CCgxFaNgV1k  https://youtu.be/qhdTUxvoYOE☆合唱シーンの中で「Over Drive」」の再生回数が110万回突破で大ブレイク中  https://youtu.be/bNM2dgTag1E  番組の内容と放送時間は変更になる場合があります。</v>
      </c>
      <c r="N5142" s="2"/>
      <c r="O5142" s="2"/>
      <c r="P5142" s="1"/>
      <c r="Q5142" s="1"/>
      <c r="R5142" s="1"/>
      <c r="S5142" s="1"/>
      <c r="T5142" s="1"/>
      <c r="U5142" s="1"/>
      <c r="V5142" s="1"/>
      <c r="W5142" s="1"/>
      <c r="X5142" s="1"/>
      <c r="Y5142" s="1"/>
      <c r="Z5142" s="1"/>
      <c r="AA5142" s="1"/>
      <c r="AB5142" s="1"/>
      <c r="AC5142" s="1"/>
      <c r="AD5142" s="1"/>
      <c r="AE5142" s="1"/>
      <c r="AF5142" s="1"/>
      <c r="AG5142" s="1"/>
      <c r="AH5142" s="1"/>
      <c r="AI5142" s="1"/>
      <c r="AJ5142" s="1"/>
      <c r="AK5142" s="1"/>
      <c r="AL5142" s="1"/>
      <c r="AM5142" s="1"/>
      <c r="AN5142" s="1"/>
      <c r="AO5142" s="1"/>
      <c r="AP5142" s="1"/>
      <c r="AQ5142" s="1"/>
      <c r="AR5142" s="1"/>
      <c r="AS5142" s="1"/>
      <c r="AT5142" s="1"/>
      <c r="AU5142" s="1"/>
      <c r="AV5142" s="1"/>
      <c r="AW5142" s="1"/>
      <c r="AX5142" s="1"/>
      <c r="AY5142" s="1"/>
      <c r="AZ5142" s="1"/>
      <c r="BA5142" s="1"/>
      <c r="BB5142" s="1"/>
    </row>
    <row r="5143" ht="204.75" customHeight="1">
      <c r="A5143" s="1">
        <v>2112.0</v>
      </c>
      <c r="B5143" s="2" t="s">
        <v>14344</v>
      </c>
      <c r="C5143" s="2">
        <f>IFERROR(__xludf.DUMMYFUNCTION("split(B5143,""_"")"),1507.0)</f>
        <v>1507</v>
      </c>
      <c r="D5143" s="2" t="str">
        <f>IFERROR(__xludf.DUMMYFUNCTION("""COMPUTED_VALUE"""),"TBS")</f>
        <v>TBS</v>
      </c>
      <c r="E5143" s="2" t="str">
        <f>IFERROR(__xludf.DUMMYFUNCTION("""COMPUTED_VALUE"""),"日21")</f>
        <v>日21</v>
      </c>
      <c r="F5143" s="2" t="s">
        <v>14345</v>
      </c>
      <c r="G5143" s="2" t="s">
        <v>14346</v>
      </c>
      <c r="H5143" s="1">
        <v>1.0</v>
      </c>
      <c r="J5143" s="1" t="s">
        <v>4</v>
      </c>
      <c r="K5143" s="2" t="s">
        <v>14347</v>
      </c>
      <c r="L5143" s="2"/>
      <c r="M5143" s="2" t="str">
        <f>IFERROR(__xludf.DUMMYFUNCTION("split(split(K5143,""【"",false),""公式LINE"",false)"),"東京の西の果て。星河市・神楽村は、高齢者ばかりの過疎の村＝限界集落。市長の計画により、もはや廃村寸前の村に突如現れたのは、都庁のスーパーエリート・浅井！田舎には、その土地にしかない宝物があると言う彼は、村の老婆が作る美しい和紙に着目。村の祭でスカイランタンを打上げるという奇抜な策で、客を集めようと奔走する。「何の取り得もない」と、故郷に誇りを失っていた村人達も心を動かされ、遂に祭の当日を迎えるが…浅井 栄治：唐沢寿明    岬 由香里：麻生久美子  戸川 真人：山本耕史  山田 大地：ムロツヨシ  喜多 "&amp;"文夫：岩松　了  源治郎：星田英利  牛山 紋二：永瀬　匡  岬 直人：山下健二郎（三代目J Soul Brothers）  馬渕 健介：浜野謙太  甲田 千秋：橋本マナミ  鈴木 甘菜：水谷果穂  井川登美子：大谷直子  タミ：茅島成美  洋吉：谷　隼人  菰田 孝三郎：イッセー尾形    福本 純也：沢村一樹安藤 黎：千賀由紀子  猿山 園冶：吉田祐希  鷹山 空：梶原拓人  森山 緑：浦島こうじ平井堅「君の鼓動は君にしか鳴らせない」（Ariola Japan）脚本：仁志光佑  プロデュース：高橋正尚"&amp;"  演出：岡本伸吾　塚原あゆ子　平野俊一    協力プロデュース：森嶋正也　都築歩  料理監修：奥田政行  名産品監修：うどんが主食「ローマ法王に米を食べさせた男　過疎の村を救ったスーパー公務員は何をしたか？」  （講談社刊、講談社「＋α新書」版を6月22日刊行予定）  著/高野誠鮮◇番組HP　http://www.tbs.co.jp/Napoleon_no_mura/◇twitter  @napoleonnomura  https://twitter.com/napoleonnomura唐沢寿明 最強の"&amp;"スーパー公務員が奇跡を起こす! 動画公開しました！  https://youtu.be/CRSkaTDjoUA  3分まとめ! 唐沢寿明 最強のスーパー公務員が奇跡を起こす! 動画公開しました！  https://youtu.be/NP2zzUSpE5M  番組の内容と放送時間は変更になる場合があります。")</f>
        <v>東京の西の果て。星河市・神楽村は、高齢者ばかりの過疎の村＝限界集落。市長の計画により、もはや廃村寸前の村に突如現れたのは、都庁のスーパーエリート・浅井！田舎には、その土地にしかない宝物があると言う彼は、村の老婆が作る美しい和紙に着目。村の祭でスカイランタンを打上げるという奇抜な策で、客を集めようと奔走する。「何の取り得もない」と、故郷に誇りを失っていた村人達も心を動かされ、遂に祭の当日を迎えるが…浅井 栄治：唐沢寿明    岬 由香里：麻生久美子  戸川 真人：山本耕史  山田 大地：ムロツヨシ  喜多 文夫：岩松　了  源治郎：星田英利  牛山 紋二：永瀬　匡  岬 直人：山下健二郎（三代目J Soul Brothers）  馬渕 健介：浜野謙太  甲田 千秋：橋本マナミ  鈴木 甘菜：水谷果穂  井川登美子：大谷直子  タミ：茅島成美  洋吉：谷　隼人  菰田 孝三郎：イッセー尾形    福本 純也：沢村一樹安藤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（講談社刊、講談社「＋α新書」版を6月22日刊行予定）  著/高野誠鮮◇番組HP　http://www.tbs.co.jp/Napoleon_no_mura/◇twitter  @napoleonnomura  https://twitter.com/napoleonnomura唐沢寿明 最強のスーパー公務員が奇跡を起こす! 動画公開しました！  https://youtu.be/CRSkaTDjoUA  3分まとめ! 唐沢寿明 最強のスーパー公務員が奇跡を起こす! 動画公開しました！  https://youtu.be/NP2zzUSpE5M  番組の内容と放送時間は変更になる場合があります。</v>
      </c>
      <c r="N5143" s="2"/>
      <c r="O5143" s="2"/>
      <c r="P5143" s="1"/>
      <c r="Q5143" s="1"/>
      <c r="R5143" s="1"/>
      <c r="S5143" s="1"/>
      <c r="T5143" s="1"/>
      <c r="U5143" s="1"/>
      <c r="V5143" s="1"/>
      <c r="W5143" s="1"/>
      <c r="X5143" s="1"/>
      <c r="Y5143" s="1"/>
      <c r="Z5143" s="1"/>
      <c r="AA5143" s="1"/>
      <c r="AB5143" s="1"/>
      <c r="AC5143" s="1"/>
      <c r="AD5143" s="1"/>
      <c r="AE5143" s="1"/>
      <c r="AF5143" s="1"/>
      <c r="AG5143" s="1"/>
      <c r="AH5143" s="1"/>
      <c r="AI5143" s="1"/>
      <c r="AJ5143" s="1"/>
      <c r="AK5143" s="1"/>
      <c r="AL5143" s="1"/>
      <c r="AM5143" s="1"/>
      <c r="AN5143" s="1"/>
      <c r="AO5143" s="1"/>
      <c r="AP5143" s="1"/>
      <c r="AQ5143" s="1"/>
      <c r="AR5143" s="1"/>
      <c r="AS5143" s="1"/>
      <c r="AT5143" s="1"/>
      <c r="AU5143" s="1"/>
      <c r="AV5143" s="1"/>
      <c r="AW5143" s="1"/>
      <c r="AX5143" s="1"/>
      <c r="AY5143" s="1"/>
      <c r="AZ5143" s="1"/>
      <c r="BA5143" s="1"/>
      <c r="BB5143" s="1"/>
    </row>
    <row r="5144" ht="204.75" customHeight="1">
      <c r="A5144" s="1">
        <v>2113.0</v>
      </c>
      <c r="B5144" s="2" t="s">
        <v>14344</v>
      </c>
      <c r="C5144" s="2">
        <f>IFERROR(__xludf.DUMMYFUNCTION("split(B5144,""_"")"),1507.0)</f>
        <v>1507</v>
      </c>
      <c r="D5144" s="2" t="str">
        <f>IFERROR(__xludf.DUMMYFUNCTION("""COMPUTED_VALUE"""),"TBS")</f>
        <v>TBS</v>
      </c>
      <c r="E5144" s="2" t="str">
        <f>IFERROR(__xludf.DUMMYFUNCTION("""COMPUTED_VALUE"""),"日21")</f>
        <v>日21</v>
      </c>
      <c r="F5144" s="2" t="s">
        <v>14345</v>
      </c>
      <c r="G5144" s="2" t="s">
        <v>14348</v>
      </c>
      <c r="H5144" s="1">
        <v>2.0</v>
      </c>
      <c r="J5144" s="1" t="s">
        <v>4</v>
      </c>
      <c r="K5144" s="2" t="s">
        <v>14349</v>
      </c>
      <c r="L5144" s="2"/>
      <c r="M5144" s="2" t="str">
        <f>IFERROR(__xludf.DUMMYFUNCTION("split(split(K5144,""【"",false),""公式LINE"",false)"),"スカイランタンが大成功した神楽村に、移住家族がやってきた。住民が増えたと喜んだのはつかの間、無愛想な長女ヒロミは村人たちを怒らせてしまう。しかし、浅井はヒロミが寂しさゆえに素直になれないのだと見抜き、母親（菅野美穂）のため「土鍋やカマドまでを母の為だけに作り、究極のお粥を作ろう」と提案。やがてヒロミは村人たちと心を通わせていく…しかし母の容体が急変！娘から母に贈る“真夏の夜の奇跡”は届くのかー！？浅井 栄治：唐沢寿明    岬 由香里：麻生久美子  戸川 真人：山本耕史  山田 大地：ムロツヨシ  喜多 "&amp;"文夫：岩松　了  源治郎：星田英利  牛山 紋二：永瀬　匡  岬 直人：山下健二郎（三代目J Soul Brothers）  馬渕 健介：浜野謙太  甲田 千秋：橋本マナミ  鈴木 甘菜：水谷果穂    橋尾千恵：菅野美穂    タミ：茅島成美  洋吉：谷　隼人  菰田 孝三郎：イッセー尾形    福本 純也：沢村一樹安藤 黎：千賀由紀子  猿山 園冶：吉田祐希  鷹山 空：梶原拓人  森山 緑：浦島こうじ平井堅「君の鼓動は君にしか鳴らせない」（Ariola Japan）脚本：仁志光佑  プロデュース：高"&amp;"橋正尚  演出：岡本伸吾　塚原あゆ子　平野俊一    協力プロデュース：森嶋正也　都築歩  料理監修：奥田政行  名産品監修：うどんが主食原案：  「ローマ法王に米を食べさせた男　過疎の村を救ったスーパー公務員は何をしたか？」  （講談社刊、講談社「＋α新書」版を6月22日刊行予定）  著/高野誠鮮◇番組HP　http://www.tbs.co.jp/Napoleon_no_mura/  ◇twitter  @napoleonnomura  https://twitter.com/napoleonnomu"&amp;"ra  番組の内容と放送時間は変更になる場合があります。")</f>
        <v>スカイランタンが大成功した神楽村に、移住家族がやってきた。住民が増えたと喜んだのはつかの間、無愛想な長女ヒロミは村人たちを怒らせてしまう。しかし、浅井はヒロミが寂しさゆえに素直になれないのだと見抜き、母親（菅野美穂）のため「土鍋やカマドまでを母の為だけに作り、究極のお粥を作ろう」と提案。やがてヒロミは村人たちと心を通わせていく…しかし母の容体が急変！娘から母に贈る“真夏の夜の奇跡”は届くのかー！？浅井 栄治：唐沢寿明    岬 由香里：麻生久美子  戸川 真人：山本耕史  山田 大地：ムロツヨシ  喜多 文夫：岩松　了  源治郎：星田英利  牛山 紋二：永瀬　匡  岬 直人：山下健二郎（三代目J Soul Brothers）  馬渕 健介：浜野謙太  甲田 千秋：橋本マナミ  鈴木 甘菜：水谷果穂    橋尾千恵：菅野美穂    タミ：茅島成美  洋吉：谷　隼人  菰田 孝三郎：イッセー尾形    福本 純也：沢村一樹安藤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名産品監修：うどんが主食原案：  「ローマ法王に米を食べさせた男　過疎の村を救ったスーパー公務員は何をしたか？」  （講談社刊、講談社「＋α新書」版を6月22日刊行予定）  著/高野誠鮮◇番組HP　http://www.tbs.co.jp/Napoleon_no_mura/  ◇twitter  @napoleonnomura  https://twitter.com/napoleonnomura  番組の内容と放送時間は変更になる場合があります。</v>
      </c>
      <c r="N5144" s="2"/>
      <c r="O5144" s="2"/>
      <c r="P5144" s="1"/>
      <c r="Q5144" s="1"/>
      <c r="R5144" s="1"/>
      <c r="S5144" s="1"/>
      <c r="T5144" s="1"/>
      <c r="U5144" s="1"/>
      <c r="V5144" s="1"/>
      <c r="W5144" s="1"/>
      <c r="X5144" s="1"/>
      <c r="Y5144" s="1"/>
      <c r="Z5144" s="1"/>
      <c r="AA5144" s="1"/>
      <c r="AB5144" s="1"/>
      <c r="AC5144" s="1"/>
      <c r="AD5144" s="1"/>
      <c r="AE5144" s="1"/>
      <c r="AF5144" s="1"/>
      <c r="AG5144" s="1"/>
      <c r="AH5144" s="1"/>
      <c r="AI5144" s="1"/>
      <c r="AJ5144" s="1"/>
      <c r="AK5144" s="1"/>
      <c r="AL5144" s="1"/>
      <c r="AM5144" s="1"/>
      <c r="AN5144" s="1"/>
      <c r="AO5144" s="1"/>
      <c r="AP5144" s="1"/>
      <c r="AQ5144" s="1"/>
      <c r="AR5144" s="1"/>
      <c r="AS5144" s="1"/>
      <c r="AT5144" s="1"/>
      <c r="AU5144" s="1"/>
      <c r="AV5144" s="1"/>
      <c r="AW5144" s="1"/>
      <c r="AX5144" s="1"/>
      <c r="AY5144" s="1"/>
      <c r="AZ5144" s="1"/>
      <c r="BA5144" s="1"/>
      <c r="BB5144" s="1"/>
    </row>
    <row r="5145" ht="204.75" customHeight="1">
      <c r="A5145" s="1">
        <v>2114.0</v>
      </c>
      <c r="B5145" s="2" t="s">
        <v>14344</v>
      </c>
      <c r="C5145" s="2">
        <f>IFERROR(__xludf.DUMMYFUNCTION("split(B5145,""_"")"),1507.0)</f>
        <v>1507</v>
      </c>
      <c r="D5145" s="2" t="str">
        <f>IFERROR(__xludf.DUMMYFUNCTION("""COMPUTED_VALUE"""),"TBS")</f>
        <v>TBS</v>
      </c>
      <c r="E5145" s="2" t="str">
        <f>IFERROR(__xludf.DUMMYFUNCTION("""COMPUTED_VALUE"""),"日21")</f>
        <v>日21</v>
      </c>
      <c r="F5145" s="2" t="s">
        <v>14345</v>
      </c>
      <c r="G5145" s="2" t="s">
        <v>14350</v>
      </c>
      <c r="H5145" s="1">
        <v>3.0</v>
      </c>
      <c r="J5145" s="1" t="s">
        <v>4</v>
      </c>
      <c r="K5145" s="2" t="s">
        <v>14351</v>
      </c>
      <c r="L5145" s="2"/>
      <c r="M5145" s="2" t="str">
        <f>IFERROR(__xludf.DUMMYFUNCTION("split(split(K5145,""【"",false),""公式LINE"",false)"),"ランタンや神楽米で一躍有名になった神楽村に取材に来た美人グルメ記者。彼女が目をつけたのは、絶品の料理を出すさびれた食堂だった。浅井は店主の亡き妻との約束を果たすために滝壺にレストランを作ることを思いつく。村のおばあちゃん扮する山菜ソムリエ、滝壺からくみ上げる天然水、浅井のアイディア満載のレストランを大絶賛する美人記者ら。滝壺レストラン目当てに都心から続々と人がやってくるが、最大の敵が邪魔を…!？浅井 栄治：唐沢寿明    岬 由香里：麻生久美子  戸川 真人：山本耕史  山田 大地：ムロツヨシ  喜多 文"&amp;"夫：岩松　了  源治郎：星田英利  牛山 紋二：永瀬　匡  岬 直人：山下健二郎（三代目J Soul Brothers）  馬渕 健介：浜野謙太    東山勝己：梅沢富美男    坪内夏美：ホラン千秋    タミ：茅島成美  洋吉：谷　隼人  菰田 孝三郎：イッセー尾形    福本 純也：沢村一樹　女性客1：水木彩也子  女性客2：板野成美    甲田 千秋：橋本マナミ  鈴木 甘菜：水谷果穂  安藤 黎：千賀由紀子  猿山 園冶：吉田祐希  鷹山 空：梶原拓人  森山 緑：浦島こうじ平井堅「君の鼓動は君"&amp;"にしか鳴らせない」（Ariola Japan）脚本：仁志光佑  プロデュース：高橋正尚  演出：岡本伸吾　塚原あゆ子　平野俊一    協力プロデュース：森嶋正也　都築歩  料理監修：奥田政行  名産品監修：うどんが主食原案：  「ローマ法王に米を食べさせた男　過疎の村を救ったスーパー公務員は何をしたか？」  （講談社刊、講談社「＋α新書」版を6月22日刊行予定）  著/高野誠鮮◇番組HP　http://www.tbs.co.jp/Napoleon_no_mura/  ◇twitter  @napoleon"&amp;"nomura  https://twitter.com/napoleonnomura  22日(土）あさ7時～男子マラソンで開幕！  初日の夜から、100m“世界最速の超人”ウサイン・ボルトが登場  8月22日～30日(日）までの9日間の真夏の北京から熱戦をお送りします。番組の内容と放送時間は変更になる場合があります。")</f>
        <v>ランタンや神楽米で一躍有名になった神楽村に取材に来た美人グルメ記者。彼女が目をつけたのは、絶品の料理を出すさびれた食堂だった。浅井は店主の亡き妻との約束を果たすために滝壺にレストランを作ることを思いつく。村のおばあちゃん扮する山菜ソムリエ、滝壺からくみ上げる天然水、浅井のアイディア満載のレストランを大絶賛する美人記者ら。滝壺レストラン目当てに都心から続々と人がやってくるが、最大の敵が邪魔を…!？浅井 栄治：唐沢寿明    岬 由香里：麻生久美子  戸川 真人：山本耕史  山田 大地：ムロツヨシ  喜多 文夫：岩松　了  源治郎：星田英利  牛山 紋二：永瀬　匡  岬 直人：山下健二郎（三代目J Soul Brothers）  馬渕 健介：浜野謙太    東山勝己：梅沢富美男    坪内夏美：ホラン千秋    タミ：茅島成美  洋吉：谷　隼人  菰田 孝三郎：イッセー尾形    福本 純也：沢村一樹　女性客1：水木彩也子  女性客2：板野成美    甲田 千秋：橋本マナミ  鈴木 甘菜：水谷果穂  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名産品監修：うどんが主食原案：  「ローマ法王に米を食べさせた男　過疎の村を救ったスーパー公務員は何をしたか？」  （講談社刊、講談社「＋α新書」版を6月22日刊行予定）  著/高野誠鮮◇番組HP　http://www.tbs.co.jp/Napoleon_no_mura/  ◇twitter  @napoleonnomura  https://twitter.com/napoleonnomura  22日(土）あさ7時～男子マラソンで開幕！  初日の夜から、100m“世界最速の超人”ウサイン・ボルトが登場  8月22日～30日(日）までの9日間の真夏の北京から熱戦をお送りします。番組の内容と放送時間は変更になる場合があります。</v>
      </c>
      <c r="N5145" s="2"/>
      <c r="O5145" s="2"/>
      <c r="P5145" s="1"/>
      <c r="Q5145" s="1"/>
      <c r="R5145" s="1"/>
      <c r="S5145" s="1"/>
      <c r="T5145" s="1"/>
      <c r="U5145" s="1"/>
      <c r="V5145" s="1"/>
      <c r="W5145" s="1"/>
      <c r="X5145" s="1"/>
      <c r="Y5145" s="1"/>
      <c r="Z5145" s="1"/>
      <c r="AA5145" s="1"/>
      <c r="AB5145" s="1"/>
      <c r="AC5145" s="1"/>
      <c r="AD5145" s="1"/>
      <c r="AE5145" s="1"/>
      <c r="AF5145" s="1"/>
      <c r="AG5145" s="1"/>
      <c r="AH5145" s="1"/>
      <c r="AI5145" s="1"/>
      <c r="AJ5145" s="1"/>
      <c r="AK5145" s="1"/>
      <c r="AL5145" s="1"/>
      <c r="AM5145" s="1"/>
      <c r="AN5145" s="1"/>
      <c r="AO5145" s="1"/>
      <c r="AP5145" s="1"/>
      <c r="AQ5145" s="1"/>
      <c r="AR5145" s="1"/>
      <c r="AS5145" s="1"/>
      <c r="AT5145" s="1"/>
      <c r="AU5145" s="1"/>
      <c r="AV5145" s="1"/>
      <c r="AW5145" s="1"/>
      <c r="AX5145" s="1"/>
      <c r="AY5145" s="1"/>
      <c r="AZ5145" s="1"/>
      <c r="BA5145" s="1"/>
      <c r="BB5145" s="1"/>
    </row>
    <row r="5146" ht="204.75" customHeight="1">
      <c r="A5146" s="1">
        <v>2115.0</v>
      </c>
      <c r="B5146" s="2" t="s">
        <v>14344</v>
      </c>
      <c r="C5146" s="2">
        <f>IFERROR(__xludf.DUMMYFUNCTION("split(B5146,""_"")"),1507.0)</f>
        <v>1507</v>
      </c>
      <c r="D5146" s="2" t="str">
        <f>IFERROR(__xludf.DUMMYFUNCTION("""COMPUTED_VALUE"""),"TBS")</f>
        <v>TBS</v>
      </c>
      <c r="E5146" s="2" t="str">
        <f>IFERROR(__xludf.DUMMYFUNCTION("""COMPUTED_VALUE"""),"日21")</f>
        <v>日21</v>
      </c>
      <c r="F5146" s="2" t="s">
        <v>14345</v>
      </c>
      <c r="G5146" s="2" t="s">
        <v>14352</v>
      </c>
      <c r="H5146" s="1">
        <v>4.0</v>
      </c>
      <c r="J5146" s="1" t="s">
        <v>11</v>
      </c>
      <c r="K5146" s="2" t="s">
        <v>14353</v>
      </c>
      <c r="L5146" s="2"/>
      <c r="M5146" s="2" t="str">
        <f>IFERROR(__xludf.DUMMYFUNCTION("split(split(K5146,""【"",false),""公式LINE"",false)"),"村の男に素敵な出会いを！浅井は都会から女性を招待し婚活パーティーを開催。村の大自然や滝壺レストラン等を誇らしげに女性たちに紹介するが…彼らのガサツでマナーのない態度に、女性たちはブチ切れ！嫁取りなんて夢のまた夢…結局、田舎者は認めてもらえないと落ち込む男達…そんな中、参加者の女性が川に流されてしまう！それを見た村人は…！？浅井 栄治：唐沢寿明    岬 由香里：麻生久美子  戸川 真人：山本耕史  山田 大地：ムロツヨシ  喜多 文夫：岩松　了  源治郎：星田英利  牛山 紋二：永瀬　匡  岬 直人：山下"&amp;"健二郎（三代目J Soul Brothers）  馬渕 健介：浜野謙太    小塚楓：青山倫子    タミ：茅島成美  洋吉：谷　隼人  菰田 孝三郎：イッセー尾形    福本 純也：沢村一樹　甲田 千秋：橋本マナミ  鈴木 甘菜：水谷果穂  安藤 黎：千賀由紀子  猿山 園冶：吉田祐希  鷹山 空：梶原拓人  森山 緑：浦島こうじ　有森有紀：小池由  武藤歩：寒川綾奈  木下つぐみ：一双麻希  三輪絵里子：高嶋香帆  辻里美：指出瑞貴　平井堅「君の鼓動は君にしか鳴らせない」（Ariola Japan）脚"&amp;"本：仁志光佑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（講談社「＋α新書」刊）  著/高野誠鮮◇番組HP　http://www.tbs.co.jp/Napoleon_no_mura/  ◇twitter  @napoleonnomura  https://twitter.com/napoleonnomura  "&amp;"22日(土）あさ7時～男子マラソンで開幕！  初日の夜から、100m“世界最速の超人”ウサイン・ボルトが登場  8月22日～30日(日）までの9日間の真夏の北京から熱戦をお送りします。番組の内容と放送時間は変更になる場合があります。")</f>
        <v>村の男に素敵な出会いを！浅井は都会から女性を招待し婚活パーティーを開催。村の大自然や滝壺レストラン等を誇らしげに女性たちに紹介するが…彼らのガサツでマナーのない態度に、女性たちはブチ切れ！嫁取りなんて夢のまた夢…結局、田舎者は認めてもらえないと落ち込む男達…そんな中、参加者の女性が川に流されてしまう！それを見た村人は…！？浅井 栄治：唐沢寿明    岬 由香里：麻生久美子  戸川 真人：山本耕史  山田 大地：ムロツヨシ  喜多 文夫：岩松　了  源治郎：星田英利  牛山 紋二：永瀬　匡  岬 直人：山下健二郎（三代目J Soul Brothers）  馬渕 健介：浜野謙太    小塚楓：青山倫子    タミ：茅島成美  洋吉：谷　隼人  菰田 孝三郎：イッセー尾形    福本 純也：沢村一樹　甲田 千秋：橋本マナミ  鈴木 甘菜：水谷果穂  安藤 黎：千賀由紀子  猿山 園冶：吉田祐希  鷹山 空：梶原拓人  森山 緑：浦島こうじ　有森有紀：小池由  武藤歩：寒川綾奈  木下つぐみ：一双麻希  三輪絵里子：高嶋香帆  辻里美：指出瑞貴　平井堅「君の鼓動は君にしか鳴らせない」（Ariola Japan）脚本：仁志光佑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（講談社「＋α新書」刊）  著/高野誠鮮◇番組HP　http://www.tbs.co.jp/Napoleon_no_mura/  ◇twitter  @napoleonnomura  https://twitter.com/napoleonnomura  22日(土）あさ7時～男子マラソンで開幕！  初日の夜から、100m“世界最速の超人”ウサイン・ボルトが登場  8月22日～30日(日）までの9日間の真夏の北京から熱戦をお送りします。番組の内容と放送時間は変更になる場合があります。</v>
      </c>
      <c r="N5146" s="2"/>
      <c r="O5146" s="2"/>
      <c r="P5146" s="1"/>
      <c r="Q5146" s="1"/>
      <c r="R5146" s="1"/>
      <c r="S5146" s="1"/>
      <c r="T5146" s="1"/>
      <c r="U5146" s="1"/>
      <c r="V5146" s="1"/>
      <c r="W5146" s="1"/>
      <c r="X5146" s="1"/>
      <c r="Y5146" s="1"/>
      <c r="Z5146" s="1"/>
      <c r="AA5146" s="1"/>
      <c r="AB5146" s="1"/>
      <c r="AC5146" s="1"/>
      <c r="AD5146" s="1"/>
      <c r="AE5146" s="1"/>
      <c r="AF5146" s="1"/>
      <c r="AG5146" s="1"/>
      <c r="AH5146" s="1"/>
      <c r="AI5146" s="1"/>
      <c r="AJ5146" s="1"/>
      <c r="AK5146" s="1"/>
      <c r="AL5146" s="1"/>
      <c r="AM5146" s="1"/>
      <c r="AN5146" s="1"/>
      <c r="AO5146" s="1"/>
      <c r="AP5146" s="1"/>
      <c r="AQ5146" s="1"/>
      <c r="AR5146" s="1"/>
      <c r="AS5146" s="1"/>
      <c r="AT5146" s="1"/>
      <c r="AU5146" s="1"/>
      <c r="AV5146" s="1"/>
      <c r="AW5146" s="1"/>
      <c r="AX5146" s="1"/>
      <c r="AY5146" s="1"/>
      <c r="AZ5146" s="1"/>
      <c r="BA5146" s="1"/>
      <c r="BB5146" s="1"/>
    </row>
    <row r="5147" ht="204.75" customHeight="1">
      <c r="A5147" s="1">
        <v>2116.0</v>
      </c>
      <c r="B5147" s="2" t="s">
        <v>14344</v>
      </c>
      <c r="C5147" s="2">
        <f>IFERROR(__xludf.DUMMYFUNCTION("split(B5147,""_"")"),1507.0)</f>
        <v>1507</v>
      </c>
      <c r="D5147" s="2" t="str">
        <f>IFERROR(__xludf.DUMMYFUNCTION("""COMPUTED_VALUE"""),"TBS")</f>
        <v>TBS</v>
      </c>
      <c r="E5147" s="2" t="str">
        <f>IFERROR(__xludf.DUMMYFUNCTION("""COMPUTED_VALUE"""),"日21")</f>
        <v>日21</v>
      </c>
      <c r="F5147" s="2" t="s">
        <v>14345</v>
      </c>
      <c r="G5147" s="2" t="s">
        <v>14354</v>
      </c>
      <c r="H5147" s="1">
        <v>5.0</v>
      </c>
      <c r="J5147" s="1" t="s">
        <v>4</v>
      </c>
      <c r="K5147" s="2" t="s">
        <v>14355</v>
      </c>
      <c r="L5147" s="2"/>
      <c r="M5147" s="2" t="str">
        <f>IFERROR(__xludf.DUMMYFUNCTION("split(split(K5147,""【"",false),""公式LINE"",false)"),"“村おこし”を勉強するために他県からお堅い市役所員がやってきた。浅井は、村の負の遺産を生かした最強のテーマパーク作りに男を巻き込む。浅井は手作りアスレチック、地底湖ラフティングツアーなど見たこともない町おこしを男や村人とお供に次々と作り上げていく。。一方、支援者にプレッシャーをかけられている福本は、ついに神楽村の廃村計画を実現させるために浅井と全面対決に。激動の最終章が幕を開ける！！浅井 栄治：唐沢寿明    岬 由香里：麻生久美子  戸川 真人：山本耕史  山田 大地：ムロツヨシ  喜多 文夫：岩松　了"&amp;"  源治郎：星田英利  牛山 紋二：永瀬　匡  岬 直人：山下健二郎（三代目J Soul Brothers）  馬渕 健介：浜野謙太    岩田正樹：筧利夫    森田悟郎：毒蝮三太夫    國枝雄一：大和田獏    タミ：茅島成美  洋吉：谷　隼人  菰田 孝三郎：イッセー尾形    福本 純也：沢村一樹甲田 千秋：橋本マナミ  鈴木 甘菜：水谷果穂  安藤 黎：千賀由紀子  猿山 園冶：吉田祐希  鷹山 空：梶原拓人  森山 緑：浦島こうじ平井堅「君の鼓動は君にしか鳴らせない」（Ariola Japa"&amp;"n）脚本：仁志光佑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（講談社「＋α新書」刊）  著/高野誠鮮◇番組HP　http://www.tbs.co.jp/Napoleon_no_mura/  ◇twitter  @napoleonnomura  https://twitter.com/napoleonnomur"&amp;"a  番組の内容と放送時間は変更になる場合があります。")</f>
        <v>“村おこし”を勉強するために他県からお堅い市役所員がやってきた。浅井は、村の負の遺産を生かした最強のテーマパーク作りに男を巻き込む。浅井は手作りアスレチック、地底湖ラフティングツアーなど見たこともない町おこしを男や村人とお供に次々と作り上げていく。。一方、支援者にプレッシャーをかけられている福本は、ついに神楽村の廃村計画を実現させるために浅井と全面対決に。激動の最終章が幕を開ける！！浅井 栄治：唐沢寿明    岬 由香里：麻生久美子  戸川 真人：山本耕史  山田 大地：ムロツヨシ  喜多 文夫：岩松　了  源治郎：星田英利  牛山 紋二：永瀬　匡  岬 直人：山下健二郎（三代目J Soul Brothers）  馬渕 健介：浜野謙太    岩田正樹：筧利夫    森田悟郎：毒蝮三太夫    國枝雄一：大和田獏    タミ：茅島成美  洋吉：谷　隼人  菰田 孝三郎：イッセー尾形    福本 純也：沢村一樹甲田 千秋：橋本マナミ  鈴木 甘菜：水谷果穂  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（講談社「＋α新書」刊）  著/高野誠鮮◇番組HP　http://www.tbs.co.jp/Napoleon_no_mura/  ◇twitter  @napoleonnomura  https://twitter.com/napoleonnomura  番組の内容と放送時間は変更になる場合があります。</v>
      </c>
      <c r="N5147" s="2"/>
      <c r="O5147" s="2"/>
      <c r="P5147" s="1"/>
      <c r="Q5147" s="1"/>
      <c r="R5147" s="1"/>
      <c r="S5147" s="1"/>
      <c r="T5147" s="1"/>
      <c r="U5147" s="1"/>
      <c r="V5147" s="1"/>
      <c r="W5147" s="1"/>
      <c r="X5147" s="1"/>
      <c r="Y5147" s="1"/>
      <c r="Z5147" s="1"/>
      <c r="AA5147" s="1"/>
      <c r="AB5147" s="1"/>
      <c r="AC5147" s="1"/>
      <c r="AD5147" s="1"/>
      <c r="AE5147" s="1"/>
      <c r="AF5147" s="1"/>
      <c r="AG5147" s="1"/>
      <c r="AH5147" s="1"/>
      <c r="AI5147" s="1"/>
      <c r="AJ5147" s="1"/>
      <c r="AK5147" s="1"/>
      <c r="AL5147" s="1"/>
      <c r="AM5147" s="1"/>
      <c r="AN5147" s="1"/>
      <c r="AO5147" s="1"/>
      <c r="AP5147" s="1"/>
      <c r="AQ5147" s="1"/>
      <c r="AR5147" s="1"/>
      <c r="AS5147" s="1"/>
      <c r="AT5147" s="1"/>
      <c r="AU5147" s="1"/>
      <c r="AV5147" s="1"/>
      <c r="AW5147" s="1"/>
      <c r="AX5147" s="1"/>
      <c r="AY5147" s="1"/>
      <c r="AZ5147" s="1"/>
      <c r="BA5147" s="1"/>
      <c r="BB5147" s="1"/>
    </row>
    <row r="5148" ht="204.75" customHeight="1">
      <c r="A5148" s="1">
        <v>2117.0</v>
      </c>
      <c r="B5148" s="2" t="s">
        <v>14344</v>
      </c>
      <c r="C5148" s="2">
        <f>IFERROR(__xludf.DUMMYFUNCTION("split(B5148,""_"")"),1507.0)</f>
        <v>1507</v>
      </c>
      <c r="D5148" s="2" t="str">
        <f>IFERROR(__xludf.DUMMYFUNCTION("""COMPUTED_VALUE"""),"TBS")</f>
        <v>TBS</v>
      </c>
      <c r="E5148" s="2" t="str">
        <f>IFERROR(__xludf.DUMMYFUNCTION("""COMPUTED_VALUE"""),"日21")</f>
        <v>日21</v>
      </c>
      <c r="F5148" s="2" t="s">
        <v>14345</v>
      </c>
      <c r="G5148" s="2" t="s">
        <v>14356</v>
      </c>
      <c r="H5148" s="1">
        <v>6.0</v>
      </c>
      <c r="J5148" s="1" t="s">
        <v>11</v>
      </c>
      <c r="K5148" s="2" t="s">
        <v>14357</v>
      </c>
      <c r="L5148" s="2"/>
      <c r="M5148" s="2" t="str">
        <f>IFERROR(__xludf.DUMMYFUNCTION("split(split(K5148,""【"",false),""公式LINE"",false)"),"神楽村は移住者や観光客も増えて輝きを取り戻していた。福本は、限界集落を復活させた市長としてもてはやされ、廃村計画は滞りつつあったが、議員の國枝はそれを許さず福本を追い詰める。そんなとき、何者かが神楽村の悪評を流し、再び村から人がいなくなる。誰もが市長の仕業だと疑うが、腰巾着の山田だけは否定する。浅井は被害を食い止めるために会見を開いて欲しいと市長に頭を下げるが相手にされず、村は最大の危機を迎える！浅井 栄治：唐沢寿明    岬 由香里：麻生久美子  戸川 真人：山本耕史  山田 大地：ムロツヨシ  喜多 "&amp;"文夫：岩松　了  源治郎：星田英利  牛山 紋二：永瀬　匡  岬 直人：山下健二郎（三代目J Soul Brothers）  馬渕 健介：浜野謙太    桜庭剛志：西村雅彦    東山勝己：梅沢富美男    國枝雄一：大和田獏    タミ：茅島成美  洋吉：谷　隼人  菰田 孝三郎：イッセー尾形    福本 純也：沢村一樹甲田 千秋：橋本マナミ  鈴木 甘菜：水谷果穂  安藤 黎：千賀由紀子  猿山 園冶：吉田祐希  鷹山 空：梶原拓人  森山 緑：浦島こうじ平井堅「君の鼓動は君にしか鳴らせない」（Ari"&amp;"ola Japan）脚本：仁志光佑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（講談社「＋α新書」刊）  著/高野誠鮮◇番組HP　http://www.tbs.co.jp/Napoleon_no_mura/  ◇twitter  @napoleonnomura  https://twitter.com/napol"&amp;"eonnomura  番組の内容と放送時間は変更になる場合があります。")</f>
        <v>神楽村は移住者や観光客も増えて輝きを取り戻していた。福本は、限界集落を復活させた市長としてもてはやされ、廃村計画は滞りつつあったが、議員の國枝はそれを許さず福本を追い詰める。そんなとき、何者かが神楽村の悪評を流し、再び村から人がいなくなる。誰もが市長の仕業だと疑うが、腰巾着の山田だけは否定する。浅井は被害を食い止めるために会見を開いて欲しいと市長に頭を下げるが相手にされず、村は最大の危機を迎える！浅井 栄治：唐沢寿明    岬 由香里：麻生久美子  戸川 真人：山本耕史  山田 大地：ムロツヨシ  喜多 文夫：岩松　了  源治郎：星田英利  牛山 紋二：永瀬　匡  岬 直人：山下健二郎（三代目J Soul Brothers）  馬渕 健介：浜野謙太    桜庭剛志：西村雅彦    東山勝己：梅沢富美男    國枝雄一：大和田獏    タミ：茅島成美  洋吉：谷　隼人  菰田 孝三郎：イッセー尾形    福本 純也：沢村一樹甲田 千秋：橋本マナミ  鈴木 甘菜：水谷果穂  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（講談社「＋α新書」刊）  著/高野誠鮮◇番組HP　http://www.tbs.co.jp/Napoleon_no_mura/  ◇twitter  @napoleonnomura  https://twitter.com/napoleonnomura  番組の内容と放送時間は変更になる場合があります。</v>
      </c>
      <c r="N5148" s="2"/>
      <c r="O5148" s="2"/>
      <c r="P5148" s="1"/>
      <c r="Q5148" s="1"/>
      <c r="R5148" s="1"/>
      <c r="S5148" s="1"/>
      <c r="T5148" s="1"/>
      <c r="U5148" s="1"/>
      <c r="V5148" s="1"/>
      <c r="W5148" s="1"/>
      <c r="X5148" s="1"/>
      <c r="Y5148" s="1"/>
      <c r="Z5148" s="1"/>
      <c r="AA5148" s="1"/>
      <c r="AB5148" s="1"/>
      <c r="AC5148" s="1"/>
      <c r="AD5148" s="1"/>
      <c r="AE5148" s="1"/>
      <c r="AF5148" s="1"/>
      <c r="AG5148" s="1"/>
      <c r="AH5148" s="1"/>
      <c r="AI5148" s="1"/>
      <c r="AJ5148" s="1"/>
      <c r="AK5148" s="1"/>
      <c r="AL5148" s="1"/>
      <c r="AM5148" s="1"/>
      <c r="AN5148" s="1"/>
      <c r="AO5148" s="1"/>
      <c r="AP5148" s="1"/>
      <c r="AQ5148" s="1"/>
      <c r="AR5148" s="1"/>
      <c r="AS5148" s="1"/>
      <c r="AT5148" s="1"/>
      <c r="AU5148" s="1"/>
      <c r="AV5148" s="1"/>
      <c r="AW5148" s="1"/>
      <c r="AX5148" s="1"/>
      <c r="AY5148" s="1"/>
      <c r="AZ5148" s="1"/>
      <c r="BA5148" s="1"/>
      <c r="BB5148" s="1"/>
    </row>
    <row r="5149" ht="204.75" customHeight="1">
      <c r="A5149" s="1">
        <v>2118.0</v>
      </c>
      <c r="B5149" s="2" t="s">
        <v>14344</v>
      </c>
      <c r="C5149" s="2">
        <f>IFERROR(__xludf.DUMMYFUNCTION("split(B5149,""_"")"),1507.0)</f>
        <v>1507</v>
      </c>
      <c r="D5149" s="2" t="str">
        <f>IFERROR(__xludf.DUMMYFUNCTION("""COMPUTED_VALUE"""),"TBS")</f>
        <v>TBS</v>
      </c>
      <c r="E5149" s="2" t="str">
        <f>IFERROR(__xludf.DUMMYFUNCTION("""COMPUTED_VALUE"""),"日21")</f>
        <v>日21</v>
      </c>
      <c r="F5149" s="2" t="s">
        <v>14345</v>
      </c>
      <c r="G5149" s="2" t="s">
        <v>14358</v>
      </c>
      <c r="H5149" s="1">
        <v>7.0</v>
      </c>
      <c r="J5149" s="1" t="s">
        <v>11</v>
      </c>
      <c r="K5149" s="2" t="s">
        <v>14359</v>
      </c>
      <c r="L5149" s="2"/>
      <c r="M5149" s="2" t="str">
        <f>IFERROR(__xludf.DUMMYFUNCTION("split(split(K5149,""【"",false),""公式LINE"",false)"),"市長を味方となり、いよいよ役人たちと村人たちが一致団結した神楽村。しかし…最大のピンチが！これまで浅井を支えてきた戸川が突然の裏切り！限界集落を立て直した成功例として、神楽村をモデルケースに国家的プロジェクトを起こすと国の官僚である桜庭を連れて現れる。「国がバックについてくれる」と沸き立つ村人達とは反対に、浅井は不安…しかし、大規模な金と思惑がうごめく大プロジェクトが、ついに始まってしまったー！浅井 栄治：唐沢寿明    岬 由香里：麻生久美子  戸川 真人：山本耕史  山田 大地：ムロツヨシ  喜多 文"&amp;"夫：岩松　了  源治郎：星田英利  牛山 紋二：永瀬　匡  岬 直人：山下健二郎（三代目J Soul Brothers）  馬渕 健介：浜野謙太      桜庭剛志：西村雅彦      東山勝己：梅沢富美男    タミ：茅島成美  洋吉：谷　隼人  菰田 孝三郎：イッセー尾形    福本 純也：沢村一樹　甲田 千秋：橋本マナミ  鈴木 甘菜：水谷果穂  安藤 黎：千賀由紀子  猿山 園冶：吉田祐希  鷹山 空：梶原拓人  森山 緑：浦島こうじ平井堅「君の鼓動は君にしか鳴らせない」（Ariola Japan"&amp;"）脚本：仁志光佑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（講談社「＋α新書」刊）  著/高野誠鮮◇番組HP　http://www.tbs.co.jp/Napoleon_no_mura/  ◇twitter  @napoleonnomura  https://twitter.com/napoleonnomura"&amp;"  番組の内容と放送時間は変更になる場合があります。")</f>
        <v>市長を味方となり、いよいよ役人たちと村人たちが一致団結した神楽村。しかし…最大のピンチが！これまで浅井を支えてきた戸川が突然の裏切り！限界集落を立て直した成功例として、神楽村をモデルケースに国家的プロジェクトを起こすと国の官僚である桜庭を連れて現れる。「国がバックについてくれる」と沸き立つ村人達とは反対に、浅井は不安…しかし、大規模な金と思惑がうごめく大プロジェクトが、ついに始まってしまったー！浅井 栄治：唐沢寿明    岬 由香里：麻生久美子  戸川 真人：山本耕史  山田 大地：ムロツヨシ  喜多 文夫：岩松　了  源治郎：星田英利  牛山 紋二：永瀬　匡  岬 直人：山下健二郎（三代目J Soul Brothers）  馬渕 健介：浜野謙太      桜庭剛志：西村雅彦      東山勝己：梅沢富美男    タミ：茅島成美  洋吉：谷　隼人  菰田 孝三郎：イッセー尾形    福本 純也：沢村一樹　甲田 千秋：橋本マナミ  鈴木 甘菜：水谷果穂  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（講談社「＋α新書」刊）  著/高野誠鮮◇番組HP　http://www.tbs.co.jp/Napoleon_no_mura/  ◇twitter  @napoleonnomura  https://twitter.com/napoleonnomura  番組の内容と放送時間は変更になる場合があります。</v>
      </c>
      <c r="N5149" s="2"/>
      <c r="O5149" s="2"/>
      <c r="P5149" s="1"/>
      <c r="Q5149" s="1"/>
      <c r="R5149" s="1"/>
      <c r="S5149" s="1"/>
      <c r="T5149" s="1"/>
      <c r="U5149" s="1"/>
      <c r="V5149" s="1"/>
      <c r="W5149" s="1"/>
      <c r="X5149" s="1"/>
      <c r="Y5149" s="1"/>
      <c r="Z5149" s="1"/>
      <c r="AA5149" s="1"/>
      <c r="AB5149" s="1"/>
      <c r="AC5149" s="1"/>
      <c r="AD5149" s="1"/>
      <c r="AE5149" s="1"/>
      <c r="AF5149" s="1"/>
      <c r="AG5149" s="1"/>
      <c r="AH5149" s="1"/>
      <c r="AI5149" s="1"/>
      <c r="AJ5149" s="1"/>
      <c r="AK5149" s="1"/>
      <c r="AL5149" s="1"/>
      <c r="AM5149" s="1"/>
      <c r="AN5149" s="1"/>
      <c r="AO5149" s="1"/>
      <c r="AP5149" s="1"/>
      <c r="AQ5149" s="1"/>
      <c r="AR5149" s="1"/>
      <c r="AS5149" s="1"/>
      <c r="AT5149" s="1"/>
      <c r="AU5149" s="1"/>
      <c r="AV5149" s="1"/>
      <c r="AW5149" s="1"/>
      <c r="AX5149" s="1"/>
      <c r="AY5149" s="1"/>
      <c r="AZ5149" s="1"/>
      <c r="BA5149" s="1"/>
      <c r="BB5149" s="1"/>
    </row>
    <row r="5150" ht="204.75" customHeight="1">
      <c r="A5150" s="1">
        <v>2140.0</v>
      </c>
      <c r="B5150" s="2" t="s">
        <v>14360</v>
      </c>
      <c r="C5150" s="2">
        <f>IFERROR(__xludf.DUMMYFUNCTION("split(B5150,""_"")"),1504.0)</f>
        <v>1504</v>
      </c>
      <c r="D5150" s="2" t="str">
        <f>IFERROR(__xludf.DUMMYFUNCTION("""COMPUTED_VALUE"""),"TBS")</f>
        <v>TBS</v>
      </c>
      <c r="E5150" s="2" t="str">
        <f>IFERROR(__xludf.DUMMYFUNCTION("""COMPUTED_VALUE"""),"火22")</f>
        <v>火22</v>
      </c>
      <c r="F5150" s="2" t="s">
        <v>14361</v>
      </c>
      <c r="G5150" s="2" t="s">
        <v>14362</v>
      </c>
      <c r="H5150" s="1">
        <v>1.0</v>
      </c>
      <c r="J5150" s="1" t="s">
        <v>82</v>
      </c>
      <c r="K5150" s="2" t="s">
        <v>14363</v>
      </c>
      <c r="L5150" s="2"/>
      <c r="M5150" s="2" t="str">
        <f>IFERROR(__xludf.DUMMYFUNCTION("split(split(K5150,""【"",false),""公式LINE"",false)"),"バツイチ・シングルマザーの蒲原希子（木村文乃）は、ひょんなことから幼稚園に入園が決まる。しかし、それは・・・富裕層が集まる名門幼稚園だった！、開業医の妻・矢野聡子（長谷川京子）、官僚の夫を持つ同級生・神谷由紀（貫地谷しほり）、元キャリアウーマンの後藤みどり（安達祐実）、そして園ママの絶対的トップ・小田寺毬絵（檀れい）。波乱万丈な幼稚園生活が始まった！蒲原希子 - 木村文乃  矢野聡子 - 長谷川京子  神谷由紀 - 貫地谷しほり  奈良岡信之助 - 瀬戸康史  樫山秀徳 - 岡田義徳  ○  後藤みどり "&amp;"- 安達祐実  磯山琢己 - 上地雄輔  ・  謎の男 - 豊原功補  ○  奈良岡フミ／奈良岡フネ - 室井滋（二役）  蒲原徹治 - 竜雷太  小田寺毬絵 - 檀れい遠藤浩二脚本　荒井修子　　　監督　塚原あゆ子　　　プロデューサー　新井順子番組HP  http://www.tbs.co.jp/mothergame/  ［新番組］2分でわかる! 木村文乃 シングルマザー役で初主演!動画公開しました！  https://youtu.be/ADczyMNn9XM  番組の内容と放送時間は変更になる場合があり"&amp;"ます。")</f>
        <v>バツイチ・シングルマザーの蒲原希子（木村文乃）は、ひょんなことから幼稚園に入園が決まる。しかし、それは・・・富裕層が集まる名門幼稚園だった！、開業医の妻・矢野聡子（長谷川京子）、官僚の夫を持つ同級生・神谷由紀（貫地谷しほり）、元キャリアウーマンの後藤みどり（安達祐実）、そして園ママの絶対的トップ・小田寺毬絵（檀れい）。波乱万丈な幼稚園生活が始まった！蒲原希子 - 木村文乃  矢野聡子 - 長谷川京子  神谷由紀 - 貫地谷しほり  奈良岡信之助 - 瀬戸康史  樫山秀徳 - 岡田義徳  ○  後藤みどり - 安達祐実  磯山琢己 - 上地雄輔  ・  謎の男 - 豊原功補  ○  奈良岡フミ／奈良岡フネ - 室井滋（二役）  蒲原徹治 - 竜雷太  小田寺毬絵 - 檀れい遠藤浩二脚本　荒井修子　　　監督　塚原あゆ子　　　プロデューサー　新井順子番組HP  http://www.tbs.co.jp/mothergame/  ［新番組］2分でわかる! 木村文乃 シングルマザー役で初主演!動画公開しました！  https://youtu.be/ADczyMNn9XM  番組の内容と放送時間は変更になる場合があります。</v>
      </c>
      <c r="N5150" s="2"/>
      <c r="O5150" s="2"/>
      <c r="P5150" s="1"/>
      <c r="Q5150" s="1"/>
      <c r="R5150" s="1"/>
      <c r="S5150" s="1"/>
      <c r="T5150" s="1"/>
      <c r="U5150" s="1"/>
      <c r="V5150" s="1"/>
      <c r="W5150" s="1"/>
      <c r="X5150" s="1"/>
      <c r="Y5150" s="1"/>
      <c r="Z5150" s="1"/>
      <c r="AA5150" s="1"/>
      <c r="AB5150" s="1"/>
      <c r="AC5150" s="1"/>
      <c r="AD5150" s="1"/>
      <c r="AE5150" s="1"/>
      <c r="AF5150" s="1"/>
      <c r="AG5150" s="1"/>
      <c r="AH5150" s="1"/>
      <c r="AI5150" s="1"/>
      <c r="AJ5150" s="1"/>
      <c r="AK5150" s="1"/>
      <c r="AL5150" s="1"/>
      <c r="AM5150" s="1"/>
      <c r="AN5150" s="1"/>
      <c r="AO5150" s="1"/>
      <c r="AP5150" s="1"/>
      <c r="AQ5150" s="1"/>
      <c r="AR5150" s="1"/>
      <c r="AS5150" s="1"/>
      <c r="AT5150" s="1"/>
      <c r="AU5150" s="1"/>
      <c r="AV5150" s="1"/>
      <c r="AW5150" s="1"/>
      <c r="AX5150" s="1"/>
      <c r="AY5150" s="1"/>
      <c r="AZ5150" s="1"/>
      <c r="BA5150" s="1"/>
      <c r="BB5150" s="1"/>
    </row>
    <row r="5151" ht="204.75" customHeight="1">
      <c r="A5151" s="1">
        <v>2141.0</v>
      </c>
      <c r="B5151" s="2" t="s">
        <v>14360</v>
      </c>
      <c r="C5151" s="2">
        <f>IFERROR(__xludf.DUMMYFUNCTION("split(B5151,""_"")"),1504.0)</f>
        <v>1504</v>
      </c>
      <c r="D5151" s="2" t="str">
        <f>IFERROR(__xludf.DUMMYFUNCTION("""COMPUTED_VALUE"""),"TBS")</f>
        <v>TBS</v>
      </c>
      <c r="E5151" s="2" t="str">
        <f>IFERROR(__xludf.DUMMYFUNCTION("""COMPUTED_VALUE"""),"火22")</f>
        <v>火22</v>
      </c>
      <c r="F5151" s="2" t="s">
        <v>14361</v>
      </c>
      <c r="G5151" s="2" t="s">
        <v>14364</v>
      </c>
      <c r="H5151" s="1">
        <v>2.0</v>
      </c>
      <c r="J5151" s="1" t="s">
        <v>86</v>
      </c>
      <c r="K5151" s="2" t="s">
        <v>14365</v>
      </c>
      <c r="L5151" s="2"/>
      <c r="M5151" s="2" t="str">
        <f>IFERROR(__xludf.DUMMYFUNCTION("split(split(K5151,""【"",false),""公式LINE"",false)"),"しずく幼稚園では希子（木村文乃）親子の退園を求める嘆願書が提出される。園長のフミ（室井滋）は自分が責任を取ると聡子（長谷川京子）に宣言する…。そんな中、幼稚園初のイベント「遠足」に行くことに。希子が到着するとリゾートのような格好をしたお母様達や豪華なお弁当の数々に驚かされる。また希子は、名門幼稚園の格差を魅せつけられ・・蒲原希子 - 木村文乃  矢野聡子 - 長谷川京子  神谷由紀 - 貫地谷しほり  奈良岡信之助 - 瀬戸康史  樫山秀徳 - 岡田義徳  ○  後藤みどり - 安達祐実  磯山琢己 - "&amp;"上地雄輔  ・  謎の男 - 豊原功補  ○  奈良岡フミ・室井滋  蒲原徹治 - 竜雷太  小田寺毬絵 - 檀れい『Beautiful』Superfly  （ワーナーミュージック・ジャパン）脚本：武田有起　演出：竹村謙太郎　プロデュース：新井順子番組HP  http://www.tbs.co.jp/mothergame/  番組の内容と放送時間は変更になる場合があります。")</f>
        <v>しずく幼稚園では希子（木村文乃）親子の退園を求める嘆願書が提出される。園長のフミ（室井滋）は自分が責任を取ると聡子（長谷川京子）に宣言する…。そんな中、幼稚園初のイベント「遠足」に行くことに。希子が到着するとリゾートのような格好をしたお母様達や豪華なお弁当の数々に驚かされる。また希子は、名門幼稚園の格差を魅せつけられ・・蒲原希子 - 木村文乃  矢野聡子 - 長谷川京子  神谷由紀 - 貫地谷しほり  奈良岡信之助 - 瀬戸康史  樫山秀徳 - 岡田義徳  ○  後藤みどり - 安達祐実  磯山琢己 - 上地雄輔  ・  謎の男 - 豊原功補  ○  奈良岡フミ・室井滋  蒲原徹治 - 竜雷太  小田寺毬絵 - 檀れい『Beautiful』Superfly  （ワーナーミュージック・ジャパン）脚本：武田有起　演出：竹村謙太郎　プロデュース：新井順子番組HP  http://www.tbs.co.jp/mothergame/  番組の内容と放送時間は変更になる場合があります。</v>
      </c>
      <c r="N5151" s="2"/>
      <c r="O5151" s="2"/>
      <c r="P5151" s="1"/>
      <c r="Q5151" s="1"/>
      <c r="R5151" s="1"/>
      <c r="S5151" s="1"/>
      <c r="T5151" s="1"/>
      <c r="U5151" s="1"/>
      <c r="V5151" s="1"/>
      <c r="W5151" s="1"/>
      <c r="X5151" s="1"/>
      <c r="Y5151" s="1"/>
      <c r="Z5151" s="1"/>
      <c r="AA5151" s="1"/>
      <c r="AB5151" s="1"/>
      <c r="AC5151" s="1"/>
      <c r="AD5151" s="1"/>
      <c r="AE5151" s="1"/>
      <c r="AF5151" s="1"/>
      <c r="AG5151" s="1"/>
      <c r="AH5151" s="1"/>
      <c r="AI5151" s="1"/>
      <c r="AJ5151" s="1"/>
      <c r="AK5151" s="1"/>
      <c r="AL5151" s="1"/>
      <c r="AM5151" s="1"/>
      <c r="AN5151" s="1"/>
      <c r="AO5151" s="1"/>
      <c r="AP5151" s="1"/>
      <c r="AQ5151" s="1"/>
      <c r="AR5151" s="1"/>
      <c r="AS5151" s="1"/>
      <c r="AT5151" s="1"/>
      <c r="AU5151" s="1"/>
      <c r="AV5151" s="1"/>
      <c r="AW5151" s="1"/>
      <c r="AX5151" s="1"/>
      <c r="AY5151" s="1"/>
      <c r="AZ5151" s="1"/>
      <c r="BA5151" s="1"/>
      <c r="BB5151" s="1"/>
    </row>
    <row r="5152" ht="204.75" customHeight="1">
      <c r="A5152" s="1">
        <v>2142.0</v>
      </c>
      <c r="B5152" s="2" t="s">
        <v>14360</v>
      </c>
      <c r="C5152" s="2">
        <f>IFERROR(__xludf.DUMMYFUNCTION("split(B5152,""_"")"),1504.0)</f>
        <v>1504</v>
      </c>
      <c r="D5152" s="2" t="str">
        <f>IFERROR(__xludf.DUMMYFUNCTION("""COMPUTED_VALUE"""),"TBS")</f>
        <v>TBS</v>
      </c>
      <c r="E5152" s="2" t="str">
        <f>IFERROR(__xludf.DUMMYFUNCTION("""COMPUTED_VALUE"""),"火22")</f>
        <v>火22</v>
      </c>
      <c r="F5152" s="2" t="s">
        <v>14361</v>
      </c>
      <c r="G5152" s="2" t="s">
        <v>14366</v>
      </c>
      <c r="H5152" s="1">
        <v>3.0</v>
      </c>
      <c r="I5152" s="1" t="s">
        <v>14367</v>
      </c>
      <c r="J5152" s="1" t="s">
        <v>86</v>
      </c>
      <c r="K5152" s="2" t="s">
        <v>14368</v>
      </c>
      <c r="L5152" s="2"/>
      <c r="M5152" s="2" t="str">
        <f>IFERROR(__xludf.DUMMYFUNCTION("split(split(K5152,""【"",false),""公式LINE"",false)"),"ある日、希子（木村文乃）は毬絵（檀れい）から息子の陽斗（横山歩）とお受験塾の体験学習に来ないかと誘われる。お受験をするつもりのない希子はすぐに断るが、毬絵に1度だけと懇願され、仕方なく行くことに。一方、由紀（貫地谷しほり）は有名幼稚園の中で他のセレブママ達についていく為に必死でお金のやりくりをするが少しづつ歯車が狂い始める。そして、ついにギャンブルに手を出してしまい…蒲原希子 - 木村文乃  矢野聡子 - 長谷川京子  神谷由紀 - 貫地谷しほり  奈良岡信之助 - 瀬戸康史  樫山秀徳 - 岡田義徳  "&amp;"○  後藤みどり - 安達祐実  磯山琢己 - 上地雄輔  ・  謎の男 - 豊原功補  ○  奈良岡フミ・室井滋   蒲原徹治 - 竜雷太  小田寺毬絵 - 檀れい『Beautiful』Superfly  （ワーナーミュージック・ジャパン）脚本：荒井修子　演出：塚原あゆ子　プロデュース：新井順子◇番組HP  http://www.tbs.co.jp/mothergame/  ◇twitter  https://twitter.com/mothergame_tbs  @mothergame_tbs  偽り"&amp;"と自分と本当の自分 #3『マザー・ゲーム～彼女たちの階級～』動画公開しました！  https://youtu.be/Nk0NnT6MJ9g  希子最大のピンチ! 退園を求める嘆願書が提出され… #2『マザー・ゲーム～彼女たちの階級～』4/21ダイジェスト　動画公開しました！  https://youtu.be/TGTS7L_TYgk  番組の内容と放送時間は変更になる場合があります。")</f>
        <v>ある日、希子（木村文乃）は毬絵（檀れい）から息子の陽斗（横山歩）とお受験塾の体験学習に来ないかと誘われる。お受験をするつもりのない希子はすぐに断るが、毬絵に1度だけと懇願され、仕方なく行くことに。一方、由紀（貫地谷しほり）は有名幼稚園の中で他のセレブママ達についていく為に必死でお金のやりくりをするが少しづつ歯車が狂い始める。そして、ついにギャンブルに手を出してしまい…蒲原希子 - 木村文乃  矢野聡子 - 長谷川京子  神谷由紀 - 貫地谷しほり  奈良岡信之助 - 瀬戸康史  樫山秀徳 - 岡田義徳  ○  後藤みどり - 安達祐実  磯山琢己 - 上地雄輔  ・  謎の男 - 豊原功補  ○  奈良岡フミ・室井滋   蒲原徹治 - 竜雷太  小田寺毬絵 - 檀れい『Beautiful』Superfly  （ワーナーミュージック・ジャパン）脚本：荒井修子　演出：塚原あゆ子　プロデュース：新井順子◇番組HP  http://www.tbs.co.jp/mothergame/  ◇twitter  https://twitter.com/mothergame_tbs  @mothergame_tbs  偽りと自分と本当の自分 #3『マザー・ゲーム～彼女たちの階級～』動画公開しました！  https://youtu.be/Nk0NnT6MJ9g  希子最大のピンチ! 退園を求める嘆願書が提出され… #2『マザー・ゲーム～彼女たちの階級～』4/21ダイジェスト　動画公開しました！  https://youtu.be/TGTS7L_TYgk  番組の内容と放送時間は変更になる場合があります。</v>
      </c>
      <c r="N5152" s="2"/>
      <c r="O5152" s="2"/>
      <c r="P5152" s="1"/>
      <c r="Q5152" s="1"/>
      <c r="R5152" s="1"/>
      <c r="S5152" s="1"/>
      <c r="T5152" s="1"/>
      <c r="U5152" s="1"/>
      <c r="V5152" s="1"/>
      <c r="W5152" s="1"/>
      <c r="X5152" s="1"/>
      <c r="Y5152" s="1"/>
      <c r="Z5152" s="1"/>
      <c r="AA5152" s="1"/>
      <c r="AB5152" s="1"/>
      <c r="AC5152" s="1"/>
      <c r="AD5152" s="1"/>
      <c r="AE5152" s="1"/>
      <c r="AF5152" s="1"/>
      <c r="AG5152" s="1"/>
      <c r="AH5152" s="1"/>
      <c r="AI5152" s="1"/>
      <c r="AJ5152" s="1"/>
      <c r="AK5152" s="1"/>
      <c r="AL5152" s="1"/>
      <c r="AM5152" s="1"/>
      <c r="AN5152" s="1"/>
      <c r="AO5152" s="1"/>
      <c r="AP5152" s="1"/>
      <c r="AQ5152" s="1"/>
      <c r="AR5152" s="1"/>
      <c r="AS5152" s="1"/>
      <c r="AT5152" s="1"/>
      <c r="AU5152" s="1"/>
      <c r="AV5152" s="1"/>
      <c r="AW5152" s="1"/>
      <c r="AX5152" s="1"/>
      <c r="AY5152" s="1"/>
      <c r="AZ5152" s="1"/>
      <c r="BA5152" s="1"/>
      <c r="BB5152" s="1"/>
    </row>
    <row r="5153" ht="204.75" customHeight="1">
      <c r="A5153" s="1">
        <v>2143.0</v>
      </c>
      <c r="B5153" s="2" t="s">
        <v>14360</v>
      </c>
      <c r="C5153" s="2">
        <f>IFERROR(__xludf.DUMMYFUNCTION("split(B5153,""_"")"),1504.0)</f>
        <v>1504</v>
      </c>
      <c r="D5153" s="2" t="str">
        <f>IFERROR(__xludf.DUMMYFUNCTION("""COMPUTED_VALUE"""),"TBS")</f>
        <v>TBS</v>
      </c>
      <c r="E5153" s="2" t="str">
        <f>IFERROR(__xludf.DUMMYFUNCTION("""COMPUTED_VALUE"""),"火22")</f>
        <v>火22</v>
      </c>
      <c r="F5153" s="2" t="s">
        <v>14361</v>
      </c>
      <c r="G5153" s="2" t="s">
        <v>14369</v>
      </c>
      <c r="H5153" s="1">
        <v>4.0</v>
      </c>
      <c r="I5153" s="1" t="s">
        <v>2876</v>
      </c>
      <c r="J5153" s="1" t="s">
        <v>86</v>
      </c>
      <c r="K5153" s="2" t="s">
        <v>14370</v>
      </c>
      <c r="L5153" s="2"/>
      <c r="M5153" s="2" t="str">
        <f>IFERROR(__xludf.DUMMYFUNCTION("split(split(K5153,""【"",false),""公式LINE"",false)"),"幼稚園では園の3大イベントの1つ、「親子フェスタ」が来週に迫っていた。希子（木村文乃）は急遽、バザーで販売する入園グッズの商品を作ることに・・・。希子が聡子（長谷川京子）に裁縫を教えてもらいに家に行くと、そこで聡子の姑、静子（長谷川稀世）が聡子の作った商品をハサミでビリビリに破いているのを目撃してしまう・・・。完璧主義者の聡子は明日のバザーまでに商品を完成されることが出来るのか？！蒲原希子 - 木村文乃  矢野聡子 - 長谷川京子  神谷由紀 - 貫地谷しほり  奈良岡信之助 - 瀬戸康史  樫山秀徳 -"&amp;" 岡田義徳  ○  後藤みどり - 安達祐実  磯山琢己 - 上地雄輔  ・  謎の男 - 豊原功補  ○  奈良岡フミ・フネ-室井滋   蒲原徹治 - 竜雷太  小田寺毬絵 - 檀れい『Beautiful』Superfly  （ワーナーミュージック・ジャパン）脚本：荒井修子　演出：福田亮介　プロデュース：新井順子番組HP  http://www.tbs.co.jp/mothergame/  ◇twitter  https://twitter.com/mothergame_tbs  @mothergame"&amp;"_tbs  お受験塾の体験学習に参加した希子と陽斗だが… #3『マザー・ゲーム～彼女たちの階級～』4/28ダイジェスト")</f>
        <v>幼稚園では園の3大イベントの1つ、「親子フェスタ」が来週に迫っていた。希子（木村文乃）は急遽、バザーで販売する入園グッズの商品を作ることに・・・。希子が聡子（長谷川京子）に裁縫を教えてもらいに家に行くと、そこで聡子の姑、静子（長谷川稀世）が聡子の作った商品をハサミでビリビリに破いているのを目撃してしまう・・・。完璧主義者の聡子は明日のバザーまでに商品を完成されることが出来るのか？！蒲原希子 - 木村文乃  矢野聡子 - 長谷川京子  神谷由紀 - 貫地谷しほり  奈良岡信之助 - 瀬戸康史  樫山秀徳 - 岡田義徳  ○  後藤みどり - 安達祐実  磯山琢己 - 上地雄輔  ・  謎の男 - 豊原功補  ○  奈良岡フミ・フネ-室井滋   蒲原徹治 - 竜雷太  小田寺毬絵 - 檀れい『Beautiful』Superfly  （ワーナーミュージック・ジャパン）脚本：荒井修子　演出：福田亮介　プロデュース：新井順子番組HP  http://www.tbs.co.jp/mothergame/  ◇twitter  https://twitter.com/mothergame_tbs  @mothergame_tbs  お受験塾の体験学習に参加した希子と陽斗だが… #3『マザー・ゲーム～彼女たちの階級～』4/28ダイジェスト</v>
      </c>
      <c r="N5153" s="2"/>
      <c r="O5153" s="2"/>
      <c r="P5153" s="1"/>
      <c r="Q5153" s="1"/>
      <c r="R5153" s="1"/>
      <c r="S5153" s="1"/>
      <c r="T5153" s="1"/>
      <c r="U5153" s="1"/>
      <c r="V5153" s="1"/>
      <c r="W5153" s="1"/>
      <c r="X5153" s="1"/>
      <c r="Y5153" s="1"/>
      <c r="Z5153" s="1"/>
      <c r="AA5153" s="1"/>
      <c r="AB5153" s="1"/>
      <c r="AC5153" s="1"/>
      <c r="AD5153" s="1"/>
      <c r="AE5153" s="1"/>
      <c r="AF5153" s="1"/>
      <c r="AG5153" s="1"/>
      <c r="AH5153" s="1"/>
      <c r="AI5153" s="1"/>
      <c r="AJ5153" s="1"/>
      <c r="AK5153" s="1"/>
      <c r="AL5153" s="1"/>
      <c r="AM5153" s="1"/>
      <c r="AN5153" s="1"/>
      <c r="AO5153" s="1"/>
      <c r="AP5153" s="1"/>
      <c r="AQ5153" s="1"/>
      <c r="AR5153" s="1"/>
      <c r="AS5153" s="1"/>
      <c r="AT5153" s="1"/>
      <c r="AU5153" s="1"/>
      <c r="AV5153" s="1"/>
      <c r="AW5153" s="1"/>
      <c r="AX5153" s="1"/>
      <c r="AY5153" s="1"/>
      <c r="AZ5153" s="1"/>
      <c r="BA5153" s="1"/>
      <c r="BB5153" s="1"/>
    </row>
    <row r="5154" ht="204.75" customHeight="1">
      <c r="A5154" s="1">
        <v>2144.0</v>
      </c>
      <c r="B5154" s="2" t="s">
        <v>14360</v>
      </c>
      <c r="C5154" s="2">
        <f>IFERROR(__xludf.DUMMYFUNCTION("split(B5154,""_"")"),1504.0)</f>
        <v>1504</v>
      </c>
      <c r="D5154" s="2" t="str">
        <f>IFERROR(__xludf.DUMMYFUNCTION("""COMPUTED_VALUE"""),"TBS")</f>
        <v>TBS</v>
      </c>
      <c r="E5154" s="2" t="str">
        <f>IFERROR(__xludf.DUMMYFUNCTION("""COMPUTED_VALUE"""),"火22")</f>
        <v>火22</v>
      </c>
      <c r="F5154" s="2" t="s">
        <v>14361</v>
      </c>
      <c r="G5154" s="2" t="s">
        <v>14371</v>
      </c>
      <c r="H5154" s="1">
        <v>5.0</v>
      </c>
      <c r="I5154" s="1" t="s">
        <v>2884</v>
      </c>
      <c r="J5154" s="1" t="s">
        <v>86</v>
      </c>
      <c r="K5154" s="2" t="s">
        <v>14372</v>
      </c>
      <c r="L5154" s="2"/>
      <c r="M5154" s="2" t="str">
        <f>IFERROR(__xludf.DUMMYFUNCTION("split(split(K5154,""【"",false),""公式LINE"",false)"),"死んだと聞かされていた父が突然現れ、混乱する陽斗（横山歩）に希子（木村文乃）はとっさに叔父さんだと嘘をついてしまう。一方、幼稚園は夏休みになり希子達はひょんな事から奈良岡塾が推薦するサマースクールに参加することになった。更にその後、毬絵（檀れい）の別荘に、幼稚園の母親達と一泊することに。しかも今まで優しかった毬絵の態度もどこかよそよそしく・・・。そんな時サマースクールでトラブルが起こる！？蒲原希子 - 木村文乃  矢野聡子 - 長谷川京子  神谷由紀 - 貫地谷しほり  奈良岡信之助 - 瀬戸康史  樫山"&amp;"秀徳 - 岡田義徳  ○  後藤みどり - 安達祐実  磯山琢己 - 上地雄輔  ・  謎の男 - 豊原功補  ○  奈良岡フミ・フネ-室井滋  蒲原徹治 - 竜雷太  小田寺毬絵 - 檀れい『Beautiful』Superfly  （ワーナーミュージック・ジャパン）脚本：武田有起　演出：竹村謙太郎　プロデュース：新井順子番組HP  http://www.tbs.co.jp/mothergame/  ◇twitter  https://twitter.com/mothergame_tbs  @mother"&amp;"game_tbs  運命のお受験サマーキャンプ!? とんでもない事件が… #5『マザー・ゲーム～彼女たちの階級～』5/12（火）予告動画公開しました！  https://youtu.be/QLLRO3_VsEM  番組の内容と放送時間は変更になる場合があります。")</f>
        <v>死んだと聞かされていた父が突然現れ、混乱する陽斗（横山歩）に希子（木村文乃）はとっさに叔父さんだと嘘をついてしまう。一方、幼稚園は夏休みになり希子達はひょんな事から奈良岡塾が推薦するサマースクールに参加することになった。更にその後、毬絵（檀れい）の別荘に、幼稚園の母親達と一泊することに。しかも今まで優しかった毬絵の態度もどこかよそよそしく・・・。そんな時サマースクールでトラブルが起こる！？蒲原希子 - 木村文乃  矢野聡子 - 長谷川京子  神谷由紀 - 貫地谷しほり  奈良岡信之助 - 瀬戸康史  樫山秀徳 - 岡田義徳  ○  後藤みどり - 安達祐実  磯山琢己 - 上地雄輔  ・  謎の男 - 豊原功補  ○  奈良岡フミ・フネ-室井滋  蒲原徹治 - 竜雷太  小田寺毬絵 - 檀れい『Beautiful』Superfly  （ワーナーミュージック・ジャパン）脚本：武田有起　演出：竹村謙太郎　プロデュース：新井順子番組HP  http://www.tbs.co.jp/mothergame/  ◇twitter  https://twitter.com/mothergame_tbs  @mothergame_tbs  運命のお受験サマーキャンプ!? とんでもない事件が… #5『マザー・ゲーム～彼女たちの階級～』5/12（火）予告動画公開しました！  https://youtu.be/QLLRO3_VsEM  番組の内容と放送時間は変更になる場合があります。</v>
      </c>
      <c r="N5154" s="2"/>
      <c r="O5154" s="2"/>
      <c r="P5154" s="1"/>
      <c r="Q5154" s="1"/>
      <c r="R5154" s="1"/>
      <c r="S5154" s="1"/>
      <c r="T5154" s="1"/>
      <c r="U5154" s="1"/>
      <c r="V5154" s="1"/>
      <c r="W5154" s="1"/>
      <c r="X5154" s="1"/>
      <c r="Y5154" s="1"/>
      <c r="Z5154" s="1"/>
      <c r="AA5154" s="1"/>
      <c r="AB5154" s="1"/>
      <c r="AC5154" s="1"/>
      <c r="AD5154" s="1"/>
      <c r="AE5154" s="1"/>
      <c r="AF5154" s="1"/>
      <c r="AG5154" s="1"/>
      <c r="AH5154" s="1"/>
      <c r="AI5154" s="1"/>
      <c r="AJ5154" s="1"/>
      <c r="AK5154" s="1"/>
      <c r="AL5154" s="1"/>
      <c r="AM5154" s="1"/>
      <c r="AN5154" s="1"/>
      <c r="AO5154" s="1"/>
      <c r="AP5154" s="1"/>
      <c r="AQ5154" s="1"/>
      <c r="AR5154" s="1"/>
      <c r="AS5154" s="1"/>
      <c r="AT5154" s="1"/>
      <c r="AU5154" s="1"/>
      <c r="AV5154" s="1"/>
      <c r="AW5154" s="1"/>
      <c r="AX5154" s="1"/>
      <c r="AY5154" s="1"/>
      <c r="AZ5154" s="1"/>
      <c r="BA5154" s="1"/>
      <c r="BB5154" s="1"/>
    </row>
    <row r="5155" ht="204.75" customHeight="1">
      <c r="A5155" s="1">
        <v>2145.0</v>
      </c>
      <c r="B5155" s="2" t="s">
        <v>14360</v>
      </c>
      <c r="C5155" s="2">
        <f>IFERROR(__xludf.DUMMYFUNCTION("split(B5155,""_"")"),1504.0)</f>
        <v>1504</v>
      </c>
      <c r="D5155" s="2" t="str">
        <f>IFERROR(__xludf.DUMMYFUNCTION("""COMPUTED_VALUE"""),"TBS")</f>
        <v>TBS</v>
      </c>
      <c r="E5155" s="2" t="str">
        <f>IFERROR(__xludf.DUMMYFUNCTION("""COMPUTED_VALUE"""),"火22")</f>
        <v>火22</v>
      </c>
      <c r="F5155" s="2" t="s">
        <v>14361</v>
      </c>
      <c r="G5155" s="2" t="s">
        <v>14373</v>
      </c>
      <c r="H5155" s="1">
        <v>6.0</v>
      </c>
      <c r="I5155" s="1" t="s">
        <v>2888</v>
      </c>
      <c r="J5155" s="1" t="s">
        <v>86</v>
      </c>
      <c r="K5155" s="2" t="s">
        <v>14374</v>
      </c>
      <c r="L5155" s="2"/>
      <c r="M5155" s="2" t="str">
        <f>IFERROR(__xludf.DUMMYFUNCTION("split(split(K5155,""【"",false),""公式LINE"",false)"),"サマースクールから自宅に戻ると旦那と浮気相手が一緒にいるところを見てしまうみどり（安達祐実）。思わず娘を連れて自宅を飛び出し、サッカーコーチの琢己（上地雄輔）の元へ。そしていよいよ二学期がスタート。しかし制服を持たずに家を飛び出したみどり達は幼稚園に現れず、更に園ママ達の中ではすでに不倫の噂が広まっていて・・・。一方、希子（木村文乃）も毬絵（檀れい）の自宅で会った謎の少年の事を聞けずにいた・・・。蒲原希子 - 木村文乃  矢野聡子 - 長谷川京子  神谷由紀 - 貫地谷しほり  奈良岡信之助 - 瀬戸康史"&amp;"  樫山秀徳 - 岡田義徳  ○  後藤みどり - 安達祐実  磯山琢己 - 上地雄輔  ・  謎の男 - 豊原功補  ○  奈良岡フミ・フネ-室井滋  蒲原徹治 - 竜雷太  小田寺毬絵 - 檀れい『Beautiful』Superfly  （ワーナーミュージック・ジャパン）脚本　荒井修子　監督　塚原あゆ子　プロデューサー　新井順子番組HP  http://www.tbs.co.jp/mothergame/  ◇twitter  https://twitter.com/mothergame_tbs  @m"&amp;"othergame_tbs  合唱発表会をめぐる嫉妬の渦　#6『マザー・ゲーム～彼女たちの階級～』5/19（火）予告動画公開しました！  https://youtu.be/7-QCsxqw5vo  番組の内容と放送時間は変更になる場合があります。")</f>
        <v>サマースクールから自宅に戻ると旦那と浮気相手が一緒にいるところを見てしまうみどり（安達祐実）。思わず娘を連れて自宅を飛び出し、サッカーコーチの琢己（上地雄輔）の元へ。そしていよいよ二学期がスタート。しかし制服を持たずに家を飛び出したみどり達は幼稚園に現れず、更に園ママ達の中ではすでに不倫の噂が広まっていて・・・。一方、希子（木村文乃）も毬絵（檀れい）の自宅で会った謎の少年の事を聞けずにいた・・・。蒲原希子 - 木村文乃  矢野聡子 - 長谷川京子  神谷由紀 - 貫地谷しほり  奈良岡信之助 - 瀬戸康史  樫山秀徳 - 岡田義徳  ○  後藤みどり - 安達祐実  磯山琢己 - 上地雄輔  ・  謎の男 - 豊原功補  ○  奈良岡フミ・フネ-室井滋  蒲原徹治 - 竜雷太  小田寺毬絵 - 檀れい『Beautiful』Superfly  （ワーナーミュージック・ジャパン）脚本　荒井修子　監督　塚原あゆ子　プロデューサー　新井順子番組HP  http://www.tbs.co.jp/mothergame/  ◇twitter  https://twitter.com/mothergame_tbs  @mothergame_tbs  合唱発表会をめぐる嫉妬の渦　#6『マザー・ゲーム～彼女たちの階級～』5/19（火）予告動画公開しました！  https://youtu.be/7-QCsxqw5vo  番組の内容と放送時間は変更になる場合があります。</v>
      </c>
      <c r="N5155" s="2"/>
      <c r="O5155" s="2"/>
      <c r="P5155" s="1"/>
      <c r="Q5155" s="1"/>
      <c r="R5155" s="1"/>
      <c r="S5155" s="1"/>
      <c r="T5155" s="1"/>
      <c r="U5155" s="1"/>
      <c r="V5155" s="1"/>
      <c r="W5155" s="1"/>
      <c r="X5155" s="1"/>
      <c r="Y5155" s="1"/>
      <c r="Z5155" s="1"/>
      <c r="AA5155" s="1"/>
      <c r="AB5155" s="1"/>
      <c r="AC5155" s="1"/>
      <c r="AD5155" s="1"/>
      <c r="AE5155" s="1"/>
      <c r="AF5155" s="1"/>
      <c r="AG5155" s="1"/>
      <c r="AH5155" s="1"/>
      <c r="AI5155" s="1"/>
      <c r="AJ5155" s="1"/>
      <c r="AK5155" s="1"/>
      <c r="AL5155" s="1"/>
      <c r="AM5155" s="1"/>
      <c r="AN5155" s="1"/>
      <c r="AO5155" s="1"/>
      <c r="AP5155" s="1"/>
      <c r="AQ5155" s="1"/>
      <c r="AR5155" s="1"/>
      <c r="AS5155" s="1"/>
      <c r="AT5155" s="1"/>
      <c r="AU5155" s="1"/>
      <c r="AV5155" s="1"/>
      <c r="AW5155" s="1"/>
      <c r="AX5155" s="1"/>
      <c r="AY5155" s="1"/>
      <c r="AZ5155" s="1"/>
      <c r="BA5155" s="1"/>
      <c r="BB5155" s="1"/>
    </row>
    <row r="5156" ht="204.75" customHeight="1">
      <c r="A5156" s="1">
        <v>2146.0</v>
      </c>
      <c r="B5156" s="2" t="s">
        <v>14360</v>
      </c>
      <c r="C5156" s="2">
        <f>IFERROR(__xludf.DUMMYFUNCTION("split(B5156,""_"")"),1504.0)</f>
        <v>1504</v>
      </c>
      <c r="D5156" s="2" t="str">
        <f>IFERROR(__xludf.DUMMYFUNCTION("""COMPUTED_VALUE"""),"TBS")</f>
        <v>TBS</v>
      </c>
      <c r="E5156" s="2" t="str">
        <f>IFERROR(__xludf.DUMMYFUNCTION("""COMPUTED_VALUE"""),"火22")</f>
        <v>火22</v>
      </c>
      <c r="F5156" s="2" t="s">
        <v>14361</v>
      </c>
      <c r="G5156" s="2" t="s">
        <v>14375</v>
      </c>
      <c r="H5156" s="1">
        <v>7.0</v>
      </c>
      <c r="I5156" s="1" t="s">
        <v>2892</v>
      </c>
      <c r="J5156" s="1" t="s">
        <v>86</v>
      </c>
      <c r="K5156" s="2" t="s">
        <v>14376</v>
      </c>
      <c r="L5156" s="2"/>
      <c r="M5156" s="2" t="str">
        <f>IFERROR(__xludf.DUMMYFUNCTION("split(split(K5156,""【"",false),""公式LINE"",false)"),"いよいよ、幼稚園の合唱発表会が2週間後に迫っていた。聡子（長谷川京子）の息子、優輝（大江優成）がバイオリンを担当することになり、祖母の静子（長谷川稀世）からの厳しい猛特訓が行われる。一方、希子（木村文乃）は陽斗（横山歩）が名門小学校の清応大学付属小学校に行きたいと突然言い出し、お受験をするべきかどうか悩んでいた。そして迎えた本番当日、発表会中に思わぬトラブルが巻き起こる…？！蒲原希子 - 木村文乃  矢野聡子 - 長谷川京子  神谷由紀 - 貫地谷しほり  奈良岡信之助 - 瀬戸康史  樫山秀徳 - 岡田"&amp;"義徳  ○  後藤みどり - 安達祐実  磯山琢己 - 上地雄輔  ・  謎の男 - 豊原功補  ○  奈良岡フミ・フネ-室井滋  蒲原徹治 - 竜雷太  小田寺毬絵 - 檀れい『Beautiful』Superfly  （ワーナーミュージック・ジャパン）脚本　荒井修子　監督　村尾嘉昭　プロデューサー　新井順子番組HP  http://www.tbs.co.jp/mothergame/  ◇twitter  https://twitter.com/mothergame_tbs  @mothergame_tb"&amp;"s  大切なものを見失った大人たち #7『マザー・ゲーム～彼女たちの階級～』5/26（火）予告動画公開しました！")</f>
        <v>いよいよ、幼稚園の合唱発表会が2週間後に迫っていた。聡子（長谷川京子）の息子、優輝（大江優成）がバイオリンを担当することになり、祖母の静子（長谷川稀世）からの厳しい猛特訓が行われる。一方、希子（木村文乃）は陽斗（横山歩）が名門小学校の清応大学付属小学校に行きたいと突然言い出し、お受験をするべきかどうか悩んでいた。そして迎えた本番当日、発表会中に思わぬトラブルが巻き起こる…？！蒲原希子 - 木村文乃  矢野聡子 - 長谷川京子  神谷由紀 - 貫地谷しほり  奈良岡信之助 - 瀬戸康史  樫山秀徳 - 岡田義徳  ○  後藤みどり - 安達祐実  磯山琢己 - 上地雄輔  ・  謎の男 - 豊原功補  ○  奈良岡フミ・フネ-室井滋  蒲原徹治 - 竜雷太  小田寺毬絵 - 檀れい『Beautiful』Superfly  （ワーナーミュージック・ジャパン）脚本　荒井修子　監督　村尾嘉昭　プロデューサー　新井順子番組HP  http://www.tbs.co.jp/mothergame/  ◇twitter  https://twitter.com/mothergame_tbs  @mothergame_tbs  大切なものを見失った大人たち #7『マザー・ゲーム～彼女たちの階級～』5/26（火）予告動画公開しました！</v>
      </c>
      <c r="N5156" s="2"/>
      <c r="O5156" s="2"/>
      <c r="P5156" s="1"/>
      <c r="Q5156" s="1"/>
      <c r="R5156" s="1"/>
      <c r="S5156" s="1"/>
      <c r="T5156" s="1"/>
      <c r="U5156" s="1"/>
      <c r="V5156" s="1"/>
      <c r="W5156" s="1"/>
      <c r="X5156" s="1"/>
      <c r="Y5156" s="1"/>
      <c r="Z5156" s="1"/>
      <c r="AA5156" s="1"/>
      <c r="AB5156" s="1"/>
      <c r="AC5156" s="1"/>
      <c r="AD5156" s="1"/>
      <c r="AE5156" s="1"/>
      <c r="AF5156" s="1"/>
      <c r="AG5156" s="1"/>
      <c r="AH5156" s="1"/>
      <c r="AI5156" s="1"/>
      <c r="AJ5156" s="1"/>
      <c r="AK5156" s="1"/>
      <c r="AL5156" s="1"/>
      <c r="AM5156" s="1"/>
      <c r="AN5156" s="1"/>
      <c r="AO5156" s="1"/>
      <c r="AP5156" s="1"/>
      <c r="AQ5156" s="1"/>
      <c r="AR5156" s="1"/>
      <c r="AS5156" s="1"/>
      <c r="AT5156" s="1"/>
      <c r="AU5156" s="1"/>
      <c r="AV5156" s="1"/>
      <c r="AW5156" s="1"/>
      <c r="AX5156" s="1"/>
      <c r="AY5156" s="1"/>
      <c r="AZ5156" s="1"/>
      <c r="BA5156" s="1"/>
      <c r="BB5156" s="1"/>
    </row>
    <row r="5157" ht="204.75" customHeight="1">
      <c r="A5157" s="1">
        <v>2147.0</v>
      </c>
      <c r="B5157" s="2" t="s">
        <v>14360</v>
      </c>
      <c r="C5157" s="2">
        <f>IFERROR(__xludf.DUMMYFUNCTION("split(B5157,""_"")"),1504.0)</f>
        <v>1504</v>
      </c>
      <c r="D5157" s="2" t="str">
        <f>IFERROR(__xludf.DUMMYFUNCTION("""COMPUTED_VALUE"""),"TBS")</f>
        <v>TBS</v>
      </c>
      <c r="E5157" s="2" t="str">
        <f>IFERROR(__xludf.DUMMYFUNCTION("""COMPUTED_VALUE"""),"火22")</f>
        <v>火22</v>
      </c>
      <c r="F5157" s="2" t="s">
        <v>14361</v>
      </c>
      <c r="G5157" s="2" t="s">
        <v>14377</v>
      </c>
      <c r="H5157" s="1">
        <v>8.0</v>
      </c>
      <c r="I5157" s="1" t="s">
        <v>2896</v>
      </c>
      <c r="J5157" s="1" t="s">
        <v>86</v>
      </c>
      <c r="K5157" s="2" t="s">
        <v>14378</v>
      </c>
      <c r="L5157" s="2"/>
      <c r="M5157" s="2" t="str">
        <f>IFERROR(__xludf.DUMMYFUNCTION("split(split(K5157,""【"",false),""公式LINE"",false)"),"希子（木村文乃）は陽斗（横山歩）が突然、受験したいと言い出した事でお弁当屋以外にも深夜のアルバイトを始める。それにより希子と一緒に過ごす時間が少なくなった陽斗の様子に変化が・・・。一方、由紀（貫地谷しほり）は借金が膨れ上がり、取り立て屋からの執拗な催促に苦しんでいた。そして遂に老紳士からの愛人契約を結ぶ事を決める。更に、迎えた小学校お受験本番当日。そこでも新たな事件が巻き起こる！？蒲原希子 - 木村文乃  矢野聡子 - 長谷川京子  神谷由紀 - 貫地谷しほり  奈良岡信之助 - 瀬戸康史  樫山秀徳 -"&amp;" 岡田義徳  ○  後藤みどり - 安達祐実  磯山琢己 - 上地雄輔  区役所職員 - 田中直樹  ・  謎の男 - 豊原功補  ○  奈良岡フミ・フネ - 室井滋  蒲原徹治 - 竜雷太  小田寺毬絵 - 檀れい『Beautiful』Superfly  （ワーナーミュージック・ジャパン）脚本：武田有起　演出：福田亮介　プロデュース：新井順子番組HP  http://www.tbs.co.jp/mothergame/  ◇twitter  https://twitter.com/mothergame_t"&amp;"bs  @mothergame_tbs  受験で波乱が巻き起こる…#8『マザー・ゲーム～彼女たちの階級～』6/2（火）予告動画公開しました！")</f>
        <v>希子（木村文乃）は陽斗（横山歩）が突然、受験したいと言い出した事でお弁当屋以外にも深夜のアルバイトを始める。それにより希子と一緒に過ごす時間が少なくなった陽斗の様子に変化が・・・。一方、由紀（貫地谷しほり）は借金が膨れ上がり、取り立て屋からの執拗な催促に苦しんでいた。そして遂に老紳士からの愛人契約を結ぶ事を決める。更に、迎えた小学校お受験本番当日。そこでも新たな事件が巻き起こる！？蒲原希子 - 木村文乃  矢野聡子 - 長谷川京子  神谷由紀 - 貫地谷しほり  奈良岡信之助 - 瀬戸康史  樫山秀徳 - 岡田義徳  ○  後藤みどり - 安達祐実  磯山琢己 - 上地雄輔  区役所職員 - 田中直樹  ・  謎の男 - 豊原功補  ○  奈良岡フミ・フネ - 室井滋  蒲原徹治 - 竜雷太  小田寺毬絵 - 檀れい『Beautiful』Superfly  （ワーナーミュージック・ジャパン）脚本：武田有起　演出：福田亮介　プロデュース：新井順子番組HP  http://www.tbs.co.jp/mothergame/  ◇twitter  https://twitter.com/mothergame_tbs  @mothergame_tbs  受験で波乱が巻き起こる…#8『マザー・ゲーム～彼女たちの階級～』6/2（火）予告動画公開しました！</v>
      </c>
      <c r="N5157" s="2"/>
      <c r="O5157" s="2"/>
      <c r="P5157" s="1"/>
      <c r="Q5157" s="1"/>
      <c r="R5157" s="1"/>
      <c r="S5157" s="1"/>
      <c r="T5157" s="1"/>
      <c r="U5157" s="1"/>
      <c r="V5157" s="1"/>
      <c r="W5157" s="1"/>
      <c r="X5157" s="1"/>
      <c r="Y5157" s="1"/>
      <c r="Z5157" s="1"/>
      <c r="AA5157" s="1"/>
      <c r="AB5157" s="1"/>
      <c r="AC5157" s="1"/>
      <c r="AD5157" s="1"/>
      <c r="AE5157" s="1"/>
      <c r="AF5157" s="1"/>
      <c r="AG5157" s="1"/>
      <c r="AH5157" s="1"/>
      <c r="AI5157" s="1"/>
      <c r="AJ5157" s="1"/>
      <c r="AK5157" s="1"/>
      <c r="AL5157" s="1"/>
      <c r="AM5157" s="1"/>
      <c r="AN5157" s="1"/>
      <c r="AO5157" s="1"/>
      <c r="AP5157" s="1"/>
      <c r="AQ5157" s="1"/>
      <c r="AR5157" s="1"/>
      <c r="AS5157" s="1"/>
      <c r="AT5157" s="1"/>
      <c r="AU5157" s="1"/>
      <c r="AV5157" s="1"/>
      <c r="AW5157" s="1"/>
      <c r="AX5157" s="1"/>
      <c r="AY5157" s="1"/>
      <c r="AZ5157" s="1"/>
      <c r="BA5157" s="1"/>
      <c r="BB5157" s="1"/>
    </row>
    <row r="5158" ht="204.75" customHeight="1">
      <c r="A5158" s="1">
        <v>2148.0</v>
      </c>
      <c r="B5158" s="2" t="s">
        <v>14360</v>
      </c>
      <c r="C5158" s="2">
        <f>IFERROR(__xludf.DUMMYFUNCTION("split(B5158,""_"")"),1504.0)</f>
        <v>1504</v>
      </c>
      <c r="D5158" s="2" t="str">
        <f>IFERROR(__xludf.DUMMYFUNCTION("""COMPUTED_VALUE"""),"TBS")</f>
        <v>TBS</v>
      </c>
      <c r="E5158" s="2" t="str">
        <f>IFERROR(__xludf.DUMMYFUNCTION("""COMPUTED_VALUE"""),"火22")</f>
        <v>火22</v>
      </c>
      <c r="F5158" s="2" t="s">
        <v>14361</v>
      </c>
      <c r="G5158" s="2" t="s">
        <v>14379</v>
      </c>
      <c r="H5158" s="1">
        <v>9.0</v>
      </c>
      <c r="I5158" s="1" t="s">
        <v>2900</v>
      </c>
      <c r="J5158" s="1" t="s">
        <v>86</v>
      </c>
      <c r="K5158" s="2" t="s">
        <v>14380</v>
      </c>
      <c r="L5158" s="2"/>
      <c r="M5158" s="2" t="str">
        <f>IFERROR(__xludf.DUMMYFUNCTION("split(split(K5158,""【"",false),""公式LINE"",false)"),"お受験会場から突然居なくなった信（五十嵐陽向）の事が、既に幼稚園で噂になっていた。希子（木村文乃）は幼稚園にも来なくなってしまった毬絵(檀れい)を心配し、必死に連絡を取ろうするが距離を置かれ会うこともできない。さらに小田寺グループの買収騒動も過熱し、夫の隆吾（豊原功補）も家を不在にすることも多く、毬絵は誰にも助けを求められず苦しむ。そして、毬絵の自宅で希子は驚くべき光景を目にする...。  蒲原希子 - 木村文乃  矢野聡子 - 長谷川京子  神谷由紀 - 貫地谷しほり  奈良岡信之助 - 瀬戸康史  樫"&amp;"山秀徳 - 岡田義徳  ○  後藤みどり - 安達祐実  磯山琢己 - 上地雄輔  区役所職員 - 田中直樹  ・  謎の男 - 豊原功補  ○  奈良岡フミ・フネ - 室井滋  蒲原徹治 - 竜雷太  小田寺毬絵 - 檀れい『Beautiful』Superfly  （ワーナーミュージック・ジャパン）脚本：武田有起　演出：竹村謙太郎　プロデュース：新井順子番組HP  http://www.tbs.co.jp/mothergame/  ◇twitter  https://twitter.com/mother"&amp;"game_tbs  @mothergame_tbs  踏み込めない家族の闇 愛する人は取り戻せるのか…#9『マザー・ゲーム～彼女たちの階級～』6/9（火）予告動画公開しました！")</f>
        <v>お受験会場から突然居なくなった信（五十嵐陽向）の事が、既に幼稚園で噂になっていた。希子（木村文乃）は幼稚園にも来なくなってしまった毬絵(檀れい)を心配し、必死に連絡を取ろうするが距離を置かれ会うこともできない。さらに小田寺グループの買収騒動も過熱し、夫の隆吾（豊原功補）も家を不在にすることも多く、毬絵は誰にも助けを求められず苦しむ。そして、毬絵の自宅で希子は驚くべき光景を目にする...。  蒲原希子 - 木村文乃  矢野聡子 - 長谷川京子  神谷由紀 - 貫地谷しほり  奈良岡信之助 - 瀬戸康史  樫山秀徳 - 岡田義徳  ○  後藤みどり - 安達祐実  磯山琢己 - 上地雄輔  区役所職員 - 田中直樹  ・  謎の男 - 豊原功補  ○  奈良岡フミ・フネ - 室井滋  蒲原徹治 - 竜雷太  小田寺毬絵 - 檀れい『Beautiful』Superfly  （ワーナーミュージック・ジャパン）脚本：武田有起　演出：竹村謙太郎　プロデュース：新井順子番組HP  http://www.tbs.co.jp/mothergame/  ◇twitter  https://twitter.com/mothergame_tbs  @mothergame_tbs  踏み込めない家族の闇 愛する人は取り戻せるのか…#9『マザー・ゲーム～彼女たちの階級～』6/9（火）予告動画公開しました！</v>
      </c>
      <c r="N5158" s="2"/>
      <c r="O5158" s="2"/>
      <c r="P5158" s="1"/>
      <c r="Q5158" s="1"/>
      <c r="R5158" s="1"/>
      <c r="S5158" s="1"/>
      <c r="T5158" s="1"/>
      <c r="U5158" s="1"/>
      <c r="V5158" s="1"/>
      <c r="W5158" s="1"/>
      <c r="X5158" s="1"/>
      <c r="Y5158" s="1"/>
      <c r="Z5158" s="1"/>
      <c r="AA5158" s="1"/>
      <c r="AB5158" s="1"/>
      <c r="AC5158" s="1"/>
      <c r="AD5158" s="1"/>
      <c r="AE5158" s="1"/>
      <c r="AF5158" s="1"/>
      <c r="AG5158" s="1"/>
      <c r="AH5158" s="1"/>
      <c r="AI5158" s="1"/>
      <c r="AJ5158" s="1"/>
      <c r="AK5158" s="1"/>
      <c r="AL5158" s="1"/>
      <c r="AM5158" s="1"/>
      <c r="AN5158" s="1"/>
      <c r="AO5158" s="1"/>
      <c r="AP5158" s="1"/>
      <c r="AQ5158" s="1"/>
      <c r="AR5158" s="1"/>
      <c r="AS5158" s="1"/>
      <c r="AT5158" s="1"/>
      <c r="AU5158" s="1"/>
      <c r="AV5158" s="1"/>
      <c r="AW5158" s="1"/>
      <c r="AX5158" s="1"/>
      <c r="AY5158" s="1"/>
      <c r="AZ5158" s="1"/>
      <c r="BA5158" s="1"/>
      <c r="BB5158" s="1"/>
    </row>
    <row r="5159" ht="204.75" customHeight="1">
      <c r="A5159" s="1">
        <v>2149.0</v>
      </c>
      <c r="B5159" s="2" t="s">
        <v>14360</v>
      </c>
      <c r="C5159" s="2">
        <f>IFERROR(__xludf.DUMMYFUNCTION("split(B5159,""_"")"),1504.0)</f>
        <v>1504</v>
      </c>
      <c r="D5159" s="2" t="str">
        <f>IFERROR(__xludf.DUMMYFUNCTION("""COMPUTED_VALUE"""),"TBS")</f>
        <v>TBS</v>
      </c>
      <c r="E5159" s="2" t="str">
        <f>IFERROR(__xludf.DUMMYFUNCTION("""COMPUTED_VALUE"""),"火22")</f>
        <v>火22</v>
      </c>
      <c r="F5159" s="2" t="s">
        <v>14361</v>
      </c>
      <c r="G5159" s="2" t="s">
        <v>14381</v>
      </c>
      <c r="H5159" s="1">
        <v>10.0</v>
      </c>
      <c r="J5159" s="1" t="s">
        <v>86</v>
      </c>
      <c r="K5159" s="2" t="s">
        <v>14382</v>
      </c>
      <c r="L5159" s="2"/>
      <c r="M5159" s="2" t="str">
        <f>IFERROR(__xludf.DUMMYFUNCTION("split(split(K5159,""【"",false),""公式LINE"",false)"),"いよいよ最終回！息子、彬(望月歩)を心身ともに傷つけてしまい、自分を責め続ける毬絵（檀れい）。希子(木村文乃)は毬絵に何もできずにいる一方、息子の陽斗（横山歩）の急な反抗期に戸惑いを隠せないでいた。そして、希子たちは卒園式を迎えるが、そこに毬絵の姿はなく一同は戸惑いを隠せない…。それぞれの家族が選んだ、未来とは？！ついに感動のクライマックスへ！！蒲原希子 - 木村文乃  矢野聡子 - 長谷川京子  神谷由紀 - 貫地谷しほり  奈良岡信之助 - 瀬戸康史  樫山秀徳 - 岡田義徳  ○  後藤みどり - "&amp;"安達祐実  磯山琢己 - 上地雄輔  区役所職員 - 田中直樹  ・  小田寺隆吾 - 豊原功補  ○  奈良岡フミ・フネ-室井滋   蒲原徹治 - 竜雷太  小田寺毬絵 - 檀れい『Beautiful』Superfly  （ワーナーミュージック・ジャパン）脚本：荒井修子　　演出：塚原あゆ子　　　プロデュース：新井順子番組HP  http://www.tbs.co.jp/mothergame/  ◇twitter  https://twitter.com/mothergame_tbs  @motherga"&amp;"me_tbs  感動のクライマックス! 卒園式 彼女たちの旅立ちの時 最終話『マザー・ゲーム～彼女たちの階級～』6/16（火）予告動画公開！")</f>
        <v>いよいよ最終回！息子、彬(望月歩)を心身ともに傷つけてしまい、自分を責め続ける毬絵（檀れい）。希子(木村文乃)は毬絵に何もできずにいる一方、息子の陽斗（横山歩）の急な反抗期に戸惑いを隠せないでいた。そして、希子たちは卒園式を迎えるが、そこに毬絵の姿はなく一同は戸惑いを隠せない…。それぞれの家族が選んだ、未来とは？！ついに感動のクライマックスへ！！蒲原希子 - 木村文乃  矢野聡子 - 長谷川京子  神谷由紀 - 貫地谷しほり  奈良岡信之助 - 瀬戸康史  樫山秀徳 - 岡田義徳  ○  後藤みどり - 安達祐実  磯山琢己 - 上地雄輔  区役所職員 - 田中直樹  ・  小田寺隆吾 - 豊原功補  ○  奈良岡フミ・フネ-室井滋   蒲原徹治 - 竜雷太  小田寺毬絵 - 檀れい『Beautiful』Superfly  （ワーナーミュージック・ジャパン）脚本：荒井修子　　演出：塚原あゆ子　　　プロデュース：新井順子番組HP  http://www.tbs.co.jp/mothergame/  ◇twitter  https://twitter.com/mothergame_tbs  @mothergame_tbs  感動のクライマックス! 卒園式 彼女たちの旅立ちの時 最終話『マザー・ゲーム～彼女たちの階級～』6/16（火）予告動画公開！</v>
      </c>
      <c r="N5159" s="2"/>
      <c r="O5159" s="2"/>
      <c r="P5159" s="1"/>
      <c r="Q5159" s="1"/>
      <c r="R5159" s="1"/>
      <c r="S5159" s="1"/>
      <c r="T5159" s="1"/>
      <c r="U5159" s="1"/>
      <c r="V5159" s="1"/>
      <c r="W5159" s="1"/>
      <c r="X5159" s="1"/>
      <c r="Y5159" s="1"/>
      <c r="Z5159" s="1"/>
      <c r="AA5159" s="1"/>
      <c r="AB5159" s="1"/>
      <c r="AC5159" s="1"/>
      <c r="AD5159" s="1"/>
      <c r="AE5159" s="1"/>
      <c r="AF5159" s="1"/>
      <c r="AG5159" s="1"/>
      <c r="AH5159" s="1"/>
      <c r="AI5159" s="1"/>
      <c r="AJ5159" s="1"/>
      <c r="AK5159" s="1"/>
      <c r="AL5159" s="1"/>
      <c r="AM5159" s="1"/>
      <c r="AN5159" s="1"/>
      <c r="AO5159" s="1"/>
      <c r="AP5159" s="1"/>
      <c r="AQ5159" s="1"/>
      <c r="AR5159" s="1"/>
      <c r="AS5159" s="1"/>
      <c r="AT5159" s="1"/>
      <c r="AU5159" s="1"/>
      <c r="AV5159" s="1"/>
      <c r="AW5159" s="1"/>
      <c r="AX5159" s="1"/>
      <c r="AY5159" s="1"/>
      <c r="AZ5159" s="1"/>
      <c r="BA5159" s="1"/>
      <c r="BB5159" s="1"/>
    </row>
    <row r="5160" ht="204.75" customHeight="1">
      <c r="A5160" s="1">
        <v>2170.0</v>
      </c>
      <c r="B5160" s="2" t="s">
        <v>14383</v>
      </c>
      <c r="C5160" s="2">
        <f>IFERROR(__xludf.DUMMYFUNCTION("split(B5160,""_"")"),1504.0)</f>
        <v>1504</v>
      </c>
      <c r="D5160" s="2" t="str">
        <f>IFERROR(__xludf.DUMMYFUNCTION("""COMPUTED_VALUE"""),"TBS")</f>
        <v>TBS</v>
      </c>
      <c r="E5160" s="2" t="str">
        <f>IFERROR(__xludf.DUMMYFUNCTION("""COMPUTED_VALUE"""),"木21")</f>
        <v>木21</v>
      </c>
      <c r="F5160" s="2" t="s">
        <v>14384</v>
      </c>
      <c r="G5160" s="2" t="s">
        <v>14385</v>
      </c>
      <c r="H5160" s="1">
        <v>1.0</v>
      </c>
      <c r="J5160" s="1" t="s">
        <v>12865</v>
      </c>
      <c r="K5160" s="2" t="s">
        <v>14386</v>
      </c>
      <c r="L5160" s="2"/>
      <c r="M5160" s="2" t="str">
        <f>IFERROR(__xludf.DUMMYFUNCTION("split(split(K5160,""【"",false),""公式LINE"",false)"),"大島優子、北村一輝、勝地涼、本田翼、名取裕子、遠藤憲一脚本　櫻井武晴堤幸彦　  加藤新  坪井敏雄  白石達也◇番組HP http://www.tbs.co.jp/yamegoku/  ［新番組］ 主演 大島優子 × 演出 堤 幸彦 × 脚本 櫻井武晴 「シーン映像」公開! 動画公開しました！  https://youtu.be/Xj1OcE1LnG4  番組の内容と放送時間は変更になる可能性があります。")</f>
        <v>大島優子、北村一輝、勝地涼、本田翼、名取裕子、遠藤憲一脚本　櫻井武晴堤幸彦　  加藤新  坪井敏雄  白石達也◇番組HP http://www.tbs.co.jp/yamegoku/  ［新番組］ 主演 大島優子 × 演出 堤 幸彦 × 脚本 櫻井武晴 「シーン映像」公開! 動画公開しました！  https://youtu.be/Xj1OcE1LnG4  番組の内容と放送時間は変更になる可能性があります。</v>
      </c>
      <c r="N5160" s="2"/>
      <c r="O5160" s="2"/>
      <c r="P5160" s="1"/>
      <c r="Q5160" s="1"/>
      <c r="R5160" s="1"/>
      <c r="S5160" s="1"/>
      <c r="T5160" s="1"/>
      <c r="U5160" s="1"/>
      <c r="V5160" s="1"/>
      <c r="W5160" s="1"/>
      <c r="X5160" s="1"/>
      <c r="Y5160" s="1"/>
      <c r="Z5160" s="1"/>
      <c r="AA5160" s="1"/>
      <c r="AB5160" s="1"/>
      <c r="AC5160" s="1"/>
      <c r="AD5160" s="1"/>
      <c r="AE5160" s="1"/>
      <c r="AF5160" s="1"/>
      <c r="AG5160" s="1"/>
      <c r="AH5160" s="1"/>
      <c r="AI5160" s="1"/>
      <c r="AJ5160" s="1"/>
      <c r="AK5160" s="1"/>
      <c r="AL5160" s="1"/>
      <c r="AM5160" s="1"/>
      <c r="AN5160" s="1"/>
      <c r="AO5160" s="1"/>
      <c r="AP5160" s="1"/>
      <c r="AQ5160" s="1"/>
      <c r="AR5160" s="1"/>
      <c r="AS5160" s="1"/>
      <c r="AT5160" s="1"/>
      <c r="AU5160" s="1"/>
      <c r="AV5160" s="1"/>
      <c r="AW5160" s="1"/>
      <c r="AX5160" s="1"/>
      <c r="AY5160" s="1"/>
      <c r="AZ5160" s="1"/>
      <c r="BA5160" s="1"/>
      <c r="BB5160" s="1"/>
    </row>
    <row r="5161" ht="204.75" customHeight="1">
      <c r="A5161" s="1">
        <v>2171.0</v>
      </c>
      <c r="B5161" s="2" t="s">
        <v>14383</v>
      </c>
      <c r="C5161" s="2">
        <f>IFERROR(__xludf.DUMMYFUNCTION("split(B5161,""_"")"),1504.0)</f>
        <v>1504</v>
      </c>
      <c r="D5161" s="2" t="str">
        <f>IFERROR(__xludf.DUMMYFUNCTION("""COMPUTED_VALUE"""),"TBS")</f>
        <v>TBS</v>
      </c>
      <c r="E5161" s="2" t="str">
        <f>IFERROR(__xludf.DUMMYFUNCTION("""COMPUTED_VALUE"""),"木21")</f>
        <v>木21</v>
      </c>
      <c r="F5161" s="2" t="s">
        <v>14384</v>
      </c>
      <c r="G5161" s="2" t="s">
        <v>14387</v>
      </c>
      <c r="H5161" s="1">
        <v>2.0</v>
      </c>
      <c r="J5161" s="1" t="s">
        <v>4</v>
      </c>
      <c r="K5161" s="2" t="s">
        <v>14388</v>
      </c>
      <c r="L5161" s="2"/>
      <c r="M5161" s="2" t="str">
        <f>IFERROR(__xludf.DUMMYFUNCTION("split(split(K5161,""【"",false),""公式LINE"",false)"),"大島優子、北村一輝、勝地涼、本田翼、名取裕子、遠藤憲一脚本　櫻井武晴堤幸彦　  加藤新  坪井敏雄  白石達也◇番組HP http://www.tbs.co.jp/yamegoku/  主題歌　Thinking Dogs  「世界は終わらない」    音楽  fox capture plan  竹内亨ヤクザをやめさせる道を極めた麦秋　倉持を追い込む狙いは? 4/23（木）『ヤメゴク～ヤクザやめて頂きます～』動画公開しました！")</f>
        <v>大島優子、北村一輝、勝地涼、本田翼、名取裕子、遠藤憲一脚本　櫻井武晴堤幸彦　  加藤新  坪井敏雄  白石達也◇番組HP http://www.tbs.co.jp/yamegoku/  主題歌　Thinking Dogs  「世界は終わらない」    音楽  fox capture plan  竹内亨ヤクザをやめさせる道を極めた麦秋　倉持を追い込む狙いは? 4/23（木）『ヤメゴク～ヤクザやめて頂きます～』動画公開しました！</v>
      </c>
      <c r="N5161" s="2"/>
      <c r="O5161" s="2"/>
      <c r="P5161" s="1"/>
      <c r="Q5161" s="1"/>
      <c r="R5161" s="1"/>
      <c r="S5161" s="1"/>
      <c r="T5161" s="1"/>
      <c r="U5161" s="1"/>
      <c r="V5161" s="1"/>
      <c r="W5161" s="1"/>
      <c r="X5161" s="1"/>
      <c r="Y5161" s="1"/>
      <c r="Z5161" s="1"/>
      <c r="AA5161" s="1"/>
      <c r="AB5161" s="1"/>
      <c r="AC5161" s="1"/>
      <c r="AD5161" s="1"/>
      <c r="AE5161" s="1"/>
      <c r="AF5161" s="1"/>
      <c r="AG5161" s="1"/>
      <c r="AH5161" s="1"/>
      <c r="AI5161" s="1"/>
      <c r="AJ5161" s="1"/>
      <c r="AK5161" s="1"/>
      <c r="AL5161" s="1"/>
      <c r="AM5161" s="1"/>
      <c r="AN5161" s="1"/>
      <c r="AO5161" s="1"/>
      <c r="AP5161" s="1"/>
      <c r="AQ5161" s="1"/>
      <c r="AR5161" s="1"/>
      <c r="AS5161" s="1"/>
      <c r="AT5161" s="1"/>
      <c r="AU5161" s="1"/>
      <c r="AV5161" s="1"/>
      <c r="AW5161" s="1"/>
      <c r="AX5161" s="1"/>
      <c r="AY5161" s="1"/>
      <c r="AZ5161" s="1"/>
      <c r="BA5161" s="1"/>
      <c r="BB5161" s="1"/>
    </row>
    <row r="5162" ht="204.75" customHeight="1">
      <c r="A5162" s="1">
        <v>2172.0</v>
      </c>
      <c r="B5162" s="2" t="s">
        <v>14383</v>
      </c>
      <c r="C5162" s="2">
        <f>IFERROR(__xludf.DUMMYFUNCTION("split(B5162,""_"")"),1504.0)</f>
        <v>1504</v>
      </c>
      <c r="D5162" s="2" t="str">
        <f>IFERROR(__xludf.DUMMYFUNCTION("""COMPUTED_VALUE"""),"TBS")</f>
        <v>TBS</v>
      </c>
      <c r="E5162" s="2" t="str">
        <f>IFERROR(__xludf.DUMMYFUNCTION("""COMPUTED_VALUE"""),"木21")</f>
        <v>木21</v>
      </c>
      <c r="F5162" s="2" t="s">
        <v>14384</v>
      </c>
      <c r="G5162" s="2" t="s">
        <v>14389</v>
      </c>
      <c r="H5162" s="1">
        <v>3.0</v>
      </c>
      <c r="I5162" s="1" t="s">
        <v>2876</v>
      </c>
      <c r="J5162" s="1" t="s">
        <v>11</v>
      </c>
      <c r="K5162" s="2" t="s">
        <v>14390</v>
      </c>
      <c r="L5162" s="2"/>
      <c r="M5162" s="2" t="str">
        <f>IFERROR(__xludf.DUMMYFUNCTION("split(split(K5162,""【"",false),""公式LINE"",false)"),"警視庁の内線電話からの足抜けの依頼。  一見奇妙な、この電話には、とんでもない裏があり・・。醜聞を逆手に取ろうとするヤクザたちとの攻防に麦秋の冷たい怒りが炸裂する。大島優子、北村一輝、勝地涼、本田翼、名取裕子、遠藤憲一脚本　櫻井武晴堤幸彦　  加藤新  坪井敏雄  白石達也主題歌　Thinking Dogs  「世界は終わらない」    音楽  ◇fox capture plan  ◇武内亨◇番組HP http://www.tbs.co.jp/yamegoku/  足抜けを邪魔するヤクザたちに麦秋の怒りが"&amp;"さく烈 #3『ヤメゴク～ヤクザやめて頂きます～』4/30（木）予告動画公開しました！  https://youtu.be/vgk0oA_N_iQ  番組の内容と放送時間は変更になる可能性があります。")</f>
        <v>警視庁の内線電話からの足抜けの依頼。  一見奇妙な、この電話には、とんでもない裏があり・・。醜聞を逆手に取ろうとするヤクザたちとの攻防に麦秋の冷たい怒りが炸裂する。大島優子、北村一輝、勝地涼、本田翼、名取裕子、遠藤憲一脚本　櫻井武晴堤幸彦　  加藤新  坪井敏雄  白石達也主題歌　Thinking Dogs  「世界は終わらない」    音楽  ◇fox capture plan  ◇武内亨◇番組HP http://www.tbs.co.jp/yamegoku/  足抜けを邪魔するヤクザたちに麦秋の怒りがさく烈 #3『ヤメゴク～ヤクザやめて頂きます～』4/30（木）予告動画公開しました！  https://youtu.be/vgk0oA_N_iQ  番組の内容と放送時間は変更になる可能性があります。</v>
      </c>
      <c r="N5162" s="2"/>
      <c r="O5162" s="2"/>
      <c r="P5162" s="1"/>
      <c r="Q5162" s="1"/>
      <c r="R5162" s="1"/>
      <c r="S5162" s="1"/>
      <c r="T5162" s="1"/>
      <c r="U5162" s="1"/>
      <c r="V5162" s="1"/>
      <c r="W5162" s="1"/>
      <c r="X5162" s="1"/>
      <c r="Y5162" s="1"/>
      <c r="Z5162" s="1"/>
      <c r="AA5162" s="1"/>
      <c r="AB5162" s="1"/>
      <c r="AC5162" s="1"/>
      <c r="AD5162" s="1"/>
      <c r="AE5162" s="1"/>
      <c r="AF5162" s="1"/>
      <c r="AG5162" s="1"/>
      <c r="AH5162" s="1"/>
      <c r="AI5162" s="1"/>
      <c r="AJ5162" s="1"/>
      <c r="AK5162" s="1"/>
      <c r="AL5162" s="1"/>
      <c r="AM5162" s="1"/>
      <c r="AN5162" s="1"/>
      <c r="AO5162" s="1"/>
      <c r="AP5162" s="1"/>
      <c r="AQ5162" s="1"/>
      <c r="AR5162" s="1"/>
      <c r="AS5162" s="1"/>
      <c r="AT5162" s="1"/>
      <c r="AU5162" s="1"/>
      <c r="AV5162" s="1"/>
      <c r="AW5162" s="1"/>
      <c r="AX5162" s="1"/>
      <c r="AY5162" s="1"/>
      <c r="AZ5162" s="1"/>
      <c r="BA5162" s="1"/>
      <c r="BB5162" s="1"/>
    </row>
    <row r="5163" ht="204.75" customHeight="1">
      <c r="A5163" s="1">
        <v>2173.0</v>
      </c>
      <c r="B5163" s="2" t="s">
        <v>14383</v>
      </c>
      <c r="C5163" s="2">
        <f>IFERROR(__xludf.DUMMYFUNCTION("split(B5163,""_"")"),1504.0)</f>
        <v>1504</v>
      </c>
      <c r="D5163" s="2" t="str">
        <f>IFERROR(__xludf.DUMMYFUNCTION("""COMPUTED_VALUE"""),"TBS")</f>
        <v>TBS</v>
      </c>
      <c r="E5163" s="2" t="str">
        <f>IFERROR(__xludf.DUMMYFUNCTION("""COMPUTED_VALUE"""),"木21")</f>
        <v>木21</v>
      </c>
      <c r="F5163" s="2" t="s">
        <v>14384</v>
      </c>
      <c r="G5163" s="2" t="s">
        <v>14391</v>
      </c>
      <c r="H5163" s="1">
        <v>4.0</v>
      </c>
      <c r="I5163" s="1" t="s">
        <v>2880</v>
      </c>
      <c r="J5163" s="1" t="s">
        <v>11</v>
      </c>
      <c r="K5163" s="2" t="s">
        <v>14392</v>
      </c>
      <c r="L5163" s="2"/>
      <c r="M5163" s="2" t="str">
        <f>IFERROR(__xludf.DUMMYFUNCTION("split(split(K5163,""【"",false),""公式LINE"",false)"),"極道の妻からの足抜け依頼。娘の将来のためという理由だが、ヤクザの夫は勿論、大反対。離婚するぐらいなら殺すとまで息巻かれるが、それは愛情ではなく、とんでもない理由があった。大好評シリーズ第四話。傑作です大島優子、北村一輝、勝地涼、本田翼、名取裕子、遠藤憲一脚本　櫻井武晴堤幸彦　  加藤新  坪井敏雄  白石達也◇番組HP http://www.tbs.co.jp/yamegoku/  主題歌　Thinking Dogs  「世界は終わらない」    音楽  ◇fox capture plan  ◇武内亨組長"&amp;"・橘と母・由美子そして麦秋には知られざる関係が!? #4『ヤメゴク～ヤクザやめて頂きます～』5/7（木）予告動画公開しました！")</f>
        <v>極道の妻からの足抜け依頼。娘の将来のためという理由だが、ヤクザの夫は勿論、大反対。離婚するぐらいなら殺すとまで息巻かれるが、それは愛情ではなく、とんでもない理由があった。大好評シリーズ第四話。傑作です大島優子、北村一輝、勝地涼、本田翼、名取裕子、遠藤憲一脚本　櫻井武晴堤幸彦　  加藤新  坪井敏雄  白石達也◇番組HP http://www.tbs.co.jp/yamegoku/  主題歌　Thinking Dogs  「世界は終わらない」    音楽  ◇fox capture plan  ◇武内亨組長・橘と母・由美子そして麦秋には知られざる関係が!? #4『ヤメゴク～ヤクザやめて頂きます～』5/7（木）予告動画公開しました！</v>
      </c>
      <c r="N5163" s="2"/>
      <c r="O5163" s="2"/>
      <c r="P5163" s="1"/>
      <c r="Q5163" s="1"/>
      <c r="R5163" s="1"/>
      <c r="S5163" s="1"/>
      <c r="T5163" s="1"/>
      <c r="U5163" s="1"/>
      <c r="V5163" s="1"/>
      <c r="W5163" s="1"/>
      <c r="X5163" s="1"/>
      <c r="Y5163" s="1"/>
      <c r="Z5163" s="1"/>
      <c r="AA5163" s="1"/>
      <c r="AB5163" s="1"/>
      <c r="AC5163" s="1"/>
      <c r="AD5163" s="1"/>
      <c r="AE5163" s="1"/>
      <c r="AF5163" s="1"/>
      <c r="AG5163" s="1"/>
      <c r="AH5163" s="1"/>
      <c r="AI5163" s="1"/>
      <c r="AJ5163" s="1"/>
      <c r="AK5163" s="1"/>
      <c r="AL5163" s="1"/>
      <c r="AM5163" s="1"/>
      <c r="AN5163" s="1"/>
      <c r="AO5163" s="1"/>
      <c r="AP5163" s="1"/>
      <c r="AQ5163" s="1"/>
      <c r="AR5163" s="1"/>
      <c r="AS5163" s="1"/>
      <c r="AT5163" s="1"/>
      <c r="AU5163" s="1"/>
      <c r="AV5163" s="1"/>
      <c r="AW5163" s="1"/>
      <c r="AX5163" s="1"/>
      <c r="AY5163" s="1"/>
      <c r="AZ5163" s="1"/>
      <c r="BA5163" s="1"/>
      <c r="BB5163" s="1"/>
    </row>
    <row r="5164" ht="204.75" customHeight="1">
      <c r="A5164" s="1">
        <v>2174.0</v>
      </c>
      <c r="B5164" s="2" t="s">
        <v>14383</v>
      </c>
      <c r="C5164" s="2">
        <f>IFERROR(__xludf.DUMMYFUNCTION("split(B5164,""_"")"),1504.0)</f>
        <v>1504</v>
      </c>
      <c r="D5164" s="2" t="str">
        <f>IFERROR(__xludf.DUMMYFUNCTION("""COMPUTED_VALUE"""),"TBS")</f>
        <v>TBS</v>
      </c>
      <c r="E5164" s="2" t="str">
        <f>IFERROR(__xludf.DUMMYFUNCTION("""COMPUTED_VALUE"""),"木21")</f>
        <v>木21</v>
      </c>
      <c r="F5164" s="2" t="s">
        <v>14384</v>
      </c>
      <c r="G5164" s="2" t="s">
        <v>14393</v>
      </c>
      <c r="H5164" s="1">
        <v>5.0</v>
      </c>
      <c r="I5164" s="1" t="s">
        <v>2884</v>
      </c>
      <c r="J5164" s="1" t="s">
        <v>11</v>
      </c>
      <c r="K5164" s="2" t="s">
        <v>14394</v>
      </c>
      <c r="L5164" s="2"/>
      <c r="M5164" s="2" t="str">
        <f>IFERROR(__xludf.DUMMYFUNCTION("split(split(K5164,""【"",false),""公式LINE"",false)"),"大島優子、北村一輝、勝地涼、本田翼、手塚とおる、名取裕子、遠藤憲一脚本　櫻井武晴堤幸彦　  加藤新  坪井敏雄  白石達也主題歌　Thinking Dogs  「世界は終わらない」    音楽  ◇fox capture plan  ◇武内亨来週、六話から最終回まで全部ご覧になった方の中から、抽選でホンダ「グレイス」を一名さまにプレゼント。応募方法など詳細は番組ホームページで五話終了後に発表いたします◇番組HP http://www.tbs.co.jp/yamegoku/  半グレとヤクザの足抜けに麦秋が"&amp;"下した手段とは #5『ヤメゴク～ヤクザやめて頂きます～』5/14（木）予告動画公開しました！  https://youtu.be/-FMQYEZpbFU  番組の内容と放送時間は変更になる可能性があります。")</f>
        <v>大島優子、北村一輝、勝地涼、本田翼、手塚とおる、名取裕子、遠藤憲一脚本　櫻井武晴堤幸彦　  加藤新  坪井敏雄  白石達也主題歌　Thinking Dogs  「世界は終わらない」    音楽  ◇fox capture plan  ◇武内亨来週、六話から最終回まで全部ご覧になった方の中から、抽選でホンダ「グレイス」を一名さまにプレゼント。応募方法など詳細は番組ホームページで五話終了後に発表いたします◇番組HP http://www.tbs.co.jp/yamegoku/  半グレとヤクザの足抜けに麦秋が下した手段とは #5『ヤメゴク～ヤクザやめて頂きます～』5/14（木）予告動画公開しました！  https://youtu.be/-FMQYEZpbFU  番組の内容と放送時間は変更になる可能性があります。</v>
      </c>
      <c r="N5164" s="2"/>
      <c r="O5164" s="2"/>
      <c r="P5164" s="1"/>
      <c r="Q5164" s="1"/>
      <c r="R5164" s="1"/>
      <c r="S5164" s="1"/>
      <c r="T5164" s="1"/>
      <c r="U5164" s="1"/>
      <c r="V5164" s="1"/>
      <c r="W5164" s="1"/>
      <c r="X5164" s="1"/>
      <c r="Y5164" s="1"/>
      <c r="Z5164" s="1"/>
      <c r="AA5164" s="1"/>
      <c r="AB5164" s="1"/>
      <c r="AC5164" s="1"/>
      <c r="AD5164" s="1"/>
      <c r="AE5164" s="1"/>
      <c r="AF5164" s="1"/>
      <c r="AG5164" s="1"/>
      <c r="AH5164" s="1"/>
      <c r="AI5164" s="1"/>
      <c r="AJ5164" s="1"/>
      <c r="AK5164" s="1"/>
      <c r="AL5164" s="1"/>
      <c r="AM5164" s="1"/>
      <c r="AN5164" s="1"/>
      <c r="AO5164" s="1"/>
      <c r="AP5164" s="1"/>
      <c r="AQ5164" s="1"/>
      <c r="AR5164" s="1"/>
      <c r="AS5164" s="1"/>
      <c r="AT5164" s="1"/>
      <c r="AU5164" s="1"/>
      <c r="AV5164" s="1"/>
      <c r="AW5164" s="1"/>
      <c r="AX5164" s="1"/>
      <c r="AY5164" s="1"/>
      <c r="AZ5164" s="1"/>
      <c r="BA5164" s="1"/>
      <c r="BB5164" s="1"/>
    </row>
    <row r="5165" ht="204.75" customHeight="1">
      <c r="A5165" s="1">
        <v>2175.0</v>
      </c>
      <c r="B5165" s="2" t="s">
        <v>14383</v>
      </c>
      <c r="C5165" s="2">
        <f>IFERROR(__xludf.DUMMYFUNCTION("split(B5165,""_"")"),1504.0)</f>
        <v>1504</v>
      </c>
      <c r="D5165" s="2" t="str">
        <f>IFERROR(__xludf.DUMMYFUNCTION("""COMPUTED_VALUE"""),"TBS")</f>
        <v>TBS</v>
      </c>
      <c r="E5165" s="2" t="str">
        <f>IFERROR(__xludf.DUMMYFUNCTION("""COMPUTED_VALUE"""),"木21")</f>
        <v>木21</v>
      </c>
      <c r="F5165" s="2" t="s">
        <v>14384</v>
      </c>
      <c r="G5165" s="2" t="s">
        <v>14395</v>
      </c>
      <c r="H5165" s="1">
        <v>6.0</v>
      </c>
      <c r="I5165" s="1" t="s">
        <v>2888</v>
      </c>
      <c r="J5165" s="1" t="s">
        <v>11</v>
      </c>
      <c r="K5165" s="2" t="s">
        <v>14396</v>
      </c>
      <c r="L5165" s="2"/>
      <c r="M5165" s="2" t="str">
        <f>IFERROR(__xludf.DUMMYFUNCTION("split(split(K5165,""【"",false),""公式LINE"",false)"),"大島優子、北村一輝、勝地涼、本田翼、金田明夫　名取裕子、遠藤憲一脚本　櫻井武晴堤幸彦　  加藤新  坪井敏雄  白石達也ホンダ「グレイス」を抽選で一名さまにプレゼント。六話から最終回まで全部見ないと応募できません。詳細は番組ホームページへ。◇番組HP http://www.tbs.co.jp/yamegoku/  主題歌　Thinking Dogs  「世界は終わらない」    音楽  ◇fox capture plan  ◇武内亨麦秋の抱える闇…麦秋と組長の関係とは一体!? #6『ヤメゴク～ヤクザやめて"&amp;"頂きます～』5/21（木）予告動画公開しました！  https://youtu.be/dkA02kmpTB4  番組の内容と放送時間は変更になる可能性があります。")</f>
        <v>大島優子、北村一輝、勝地涼、本田翼、金田明夫　名取裕子、遠藤憲一脚本　櫻井武晴堤幸彦　  加藤新  坪井敏雄  白石達也ホンダ「グレイス」を抽選で一名さまにプレゼント。六話から最終回まで全部見ないと応募できません。詳細は番組ホームページへ。◇番組HP http://www.tbs.co.jp/yamegoku/  主題歌　Thinking Dogs  「世界は終わらない」    音楽  ◇fox capture plan  ◇武内亨麦秋の抱える闇…麦秋と組長の関係とは一体!? #6『ヤメゴク～ヤクザやめて頂きます～』5/21（木）予告動画公開しました！  https://youtu.be/dkA02kmpTB4  番組の内容と放送時間は変更になる可能性があります。</v>
      </c>
      <c r="N5165" s="2"/>
      <c r="O5165" s="2"/>
      <c r="P5165" s="1"/>
      <c r="Q5165" s="1"/>
      <c r="R5165" s="1"/>
      <c r="S5165" s="1"/>
      <c r="T5165" s="1"/>
      <c r="U5165" s="1"/>
      <c r="V5165" s="1"/>
      <c r="W5165" s="1"/>
      <c r="X5165" s="1"/>
      <c r="Y5165" s="1"/>
      <c r="Z5165" s="1"/>
      <c r="AA5165" s="1"/>
      <c r="AB5165" s="1"/>
      <c r="AC5165" s="1"/>
      <c r="AD5165" s="1"/>
      <c r="AE5165" s="1"/>
      <c r="AF5165" s="1"/>
      <c r="AG5165" s="1"/>
      <c r="AH5165" s="1"/>
      <c r="AI5165" s="1"/>
      <c r="AJ5165" s="1"/>
      <c r="AK5165" s="1"/>
      <c r="AL5165" s="1"/>
      <c r="AM5165" s="1"/>
      <c r="AN5165" s="1"/>
      <c r="AO5165" s="1"/>
      <c r="AP5165" s="1"/>
      <c r="AQ5165" s="1"/>
      <c r="AR5165" s="1"/>
      <c r="AS5165" s="1"/>
      <c r="AT5165" s="1"/>
      <c r="AU5165" s="1"/>
      <c r="AV5165" s="1"/>
      <c r="AW5165" s="1"/>
      <c r="AX5165" s="1"/>
      <c r="AY5165" s="1"/>
      <c r="AZ5165" s="1"/>
      <c r="BA5165" s="1"/>
      <c r="BB5165" s="1"/>
    </row>
    <row r="5166" ht="204.75" customHeight="1">
      <c r="A5166" s="1">
        <v>2176.0</v>
      </c>
      <c r="B5166" s="2" t="s">
        <v>14383</v>
      </c>
      <c r="C5166" s="2">
        <f>IFERROR(__xludf.DUMMYFUNCTION("split(B5166,""_"")"),1504.0)</f>
        <v>1504</v>
      </c>
      <c r="D5166" s="2" t="str">
        <f>IFERROR(__xludf.DUMMYFUNCTION("""COMPUTED_VALUE"""),"TBS")</f>
        <v>TBS</v>
      </c>
      <c r="E5166" s="2" t="str">
        <f>IFERROR(__xludf.DUMMYFUNCTION("""COMPUTED_VALUE"""),"木21")</f>
        <v>木21</v>
      </c>
      <c r="F5166" s="2" t="s">
        <v>14384</v>
      </c>
      <c r="G5166" s="2" t="s">
        <v>14397</v>
      </c>
      <c r="H5166" s="1">
        <v>7.0</v>
      </c>
      <c r="I5166" s="1" t="s">
        <v>2892</v>
      </c>
      <c r="J5166" s="1" t="s">
        <v>4</v>
      </c>
      <c r="K5166" s="2" t="s">
        <v>14398</v>
      </c>
      <c r="L5166" s="2"/>
      <c r="M5166" s="2" t="str">
        <f>IFERROR(__xludf.DUMMYFUNCTION("split(split(K5166,""【"",false),""公式LINE"",false)"),"大島優子、北村一輝、勝地涼、本田翼、名取裕子、遠藤憲一脚本　櫻井武晴堤幸彦　  加藤新  坪井敏雄  白石達也第六話放送から最終話まで全部ご覧いただいた方の中から一名さまにホンダの「グレイス」をプレゼント。詳細は番組ホームページにて◇番組HP http://www.tbs.co.jp/yamegoku/  主題歌　Thinking Dogs  「世界は終わらない」    音楽  ◇fox capture plan  ◇武内亨麦秋の家族がヤクザに狙われる #7『ヤメゴク～ヤクザやめて頂きます～』5/28（木"&amp;"）予告動画公開しました！")</f>
        <v>大島優子、北村一輝、勝地涼、本田翼、名取裕子、遠藤憲一脚本　櫻井武晴堤幸彦　  加藤新  坪井敏雄  白石達也第六話放送から最終話まで全部ご覧いただいた方の中から一名さまにホンダの「グレイス」をプレゼント。詳細は番組ホームページにて◇番組HP http://www.tbs.co.jp/yamegoku/  主題歌　Thinking Dogs  「世界は終わらない」    音楽  ◇fox capture plan  ◇武内亨麦秋の家族がヤクザに狙われる #7『ヤメゴク～ヤクザやめて頂きます～』5/28（木）予告動画公開しました！</v>
      </c>
      <c r="N5166" s="2"/>
      <c r="O5166" s="2"/>
      <c r="P5166" s="1"/>
      <c r="Q5166" s="1"/>
      <c r="R5166" s="1"/>
      <c r="S5166" s="1"/>
      <c r="T5166" s="1"/>
      <c r="U5166" s="1"/>
      <c r="V5166" s="1"/>
      <c r="W5166" s="1"/>
      <c r="X5166" s="1"/>
      <c r="Y5166" s="1"/>
      <c r="Z5166" s="1"/>
      <c r="AA5166" s="1"/>
      <c r="AB5166" s="1"/>
      <c r="AC5166" s="1"/>
      <c r="AD5166" s="1"/>
      <c r="AE5166" s="1"/>
      <c r="AF5166" s="1"/>
      <c r="AG5166" s="1"/>
      <c r="AH5166" s="1"/>
      <c r="AI5166" s="1"/>
      <c r="AJ5166" s="1"/>
      <c r="AK5166" s="1"/>
      <c r="AL5166" s="1"/>
      <c r="AM5166" s="1"/>
      <c r="AN5166" s="1"/>
      <c r="AO5166" s="1"/>
      <c r="AP5166" s="1"/>
      <c r="AQ5166" s="1"/>
      <c r="AR5166" s="1"/>
      <c r="AS5166" s="1"/>
      <c r="AT5166" s="1"/>
      <c r="AU5166" s="1"/>
      <c r="AV5166" s="1"/>
      <c r="AW5166" s="1"/>
      <c r="AX5166" s="1"/>
      <c r="AY5166" s="1"/>
      <c r="AZ5166" s="1"/>
      <c r="BA5166" s="1"/>
      <c r="BB5166" s="1"/>
    </row>
    <row r="5167" ht="204.75" customHeight="1">
      <c r="A5167" s="1">
        <v>2177.0</v>
      </c>
      <c r="B5167" s="2" t="s">
        <v>14383</v>
      </c>
      <c r="C5167" s="2">
        <f>IFERROR(__xludf.DUMMYFUNCTION("split(B5167,""_"")"),1504.0)</f>
        <v>1504</v>
      </c>
      <c r="D5167" s="2" t="str">
        <f>IFERROR(__xludf.DUMMYFUNCTION("""COMPUTED_VALUE"""),"TBS")</f>
        <v>TBS</v>
      </c>
      <c r="E5167" s="2" t="str">
        <f>IFERROR(__xludf.DUMMYFUNCTION("""COMPUTED_VALUE"""),"木21")</f>
        <v>木21</v>
      </c>
      <c r="F5167" s="2" t="s">
        <v>14384</v>
      </c>
      <c r="G5167" s="2" t="s">
        <v>14399</v>
      </c>
      <c r="H5167" s="1">
        <v>8.0</v>
      </c>
      <c r="I5167" s="1" t="s">
        <v>2896</v>
      </c>
      <c r="J5167" s="1" t="s">
        <v>11</v>
      </c>
      <c r="K5167" s="2" t="s">
        <v>14400</v>
      </c>
      <c r="L5167" s="2"/>
      <c r="M5167" s="2" t="str">
        <f>IFERROR(__xludf.DUMMYFUNCTION("split(split(K5167,""【"",false),""公式LINE"",false)"),"大島優子、北村一輝、勝地涼、本田翼、名取裕子、遠藤憲一脚本　櫻井武晴堤幸彦　  加藤新  坪井敏雄  白石達也◇番組HP http://www.tbs.co.jp/yamegoku/  主題歌　Thinking Dogs  「世界は終わらない」    音楽  ◇fox capture plan  ◇武内亨足抜けに潜む罠 麦秋が暴く #8『ヤメゴク～ヤクザやめて頂きます～』6/4（木）予告動画公開しました！")</f>
        <v>大島優子、北村一輝、勝地涼、本田翼、名取裕子、遠藤憲一脚本　櫻井武晴堤幸彦　  加藤新  坪井敏雄  白石達也◇番組HP http://www.tbs.co.jp/yamegoku/  主題歌　Thinking Dogs  「世界は終わらない」    音楽  ◇fox capture plan  ◇武内亨足抜けに潜む罠 麦秋が暴く #8『ヤメゴク～ヤクザやめて頂きます～』6/4（木）予告動画公開しました！</v>
      </c>
      <c r="N5167" s="2"/>
      <c r="O5167" s="2"/>
      <c r="P5167" s="1"/>
      <c r="Q5167" s="1"/>
      <c r="R5167" s="1"/>
      <c r="S5167" s="1"/>
      <c r="T5167" s="1"/>
      <c r="U5167" s="1"/>
      <c r="V5167" s="1"/>
      <c r="W5167" s="1"/>
      <c r="X5167" s="1"/>
      <c r="Y5167" s="1"/>
      <c r="Z5167" s="1"/>
      <c r="AA5167" s="1"/>
      <c r="AB5167" s="1"/>
      <c r="AC5167" s="1"/>
      <c r="AD5167" s="1"/>
      <c r="AE5167" s="1"/>
      <c r="AF5167" s="1"/>
      <c r="AG5167" s="1"/>
      <c r="AH5167" s="1"/>
      <c r="AI5167" s="1"/>
      <c r="AJ5167" s="1"/>
      <c r="AK5167" s="1"/>
      <c r="AL5167" s="1"/>
      <c r="AM5167" s="1"/>
      <c r="AN5167" s="1"/>
      <c r="AO5167" s="1"/>
      <c r="AP5167" s="1"/>
      <c r="AQ5167" s="1"/>
      <c r="AR5167" s="1"/>
      <c r="AS5167" s="1"/>
      <c r="AT5167" s="1"/>
      <c r="AU5167" s="1"/>
      <c r="AV5167" s="1"/>
      <c r="AW5167" s="1"/>
      <c r="AX5167" s="1"/>
      <c r="AY5167" s="1"/>
      <c r="AZ5167" s="1"/>
      <c r="BA5167" s="1"/>
      <c r="BB5167" s="1"/>
    </row>
    <row r="5168" ht="204.75" customHeight="1">
      <c r="A5168" s="1">
        <v>2178.0</v>
      </c>
      <c r="B5168" s="2" t="s">
        <v>14383</v>
      </c>
      <c r="C5168" s="2">
        <f>IFERROR(__xludf.DUMMYFUNCTION("split(B5168,""_"")"),1504.0)</f>
        <v>1504</v>
      </c>
      <c r="D5168" s="2" t="str">
        <f>IFERROR(__xludf.DUMMYFUNCTION("""COMPUTED_VALUE"""),"TBS")</f>
        <v>TBS</v>
      </c>
      <c r="E5168" s="2" t="str">
        <f>IFERROR(__xludf.DUMMYFUNCTION("""COMPUTED_VALUE"""),"木21")</f>
        <v>木21</v>
      </c>
      <c r="F5168" s="2" t="s">
        <v>14384</v>
      </c>
      <c r="G5168" s="2" t="s">
        <v>14401</v>
      </c>
      <c r="H5168" s="1">
        <v>9.0</v>
      </c>
      <c r="I5168" s="1" t="s">
        <v>2900</v>
      </c>
      <c r="J5168" s="1" t="s">
        <v>11</v>
      </c>
      <c r="K5168" s="2" t="s">
        <v>14402</v>
      </c>
      <c r="L5168" s="2"/>
      <c r="M5168" s="2" t="str">
        <f>IFERROR(__xludf.DUMMYFUNCTION("split(split(K5168,""【"",false),""公式LINE"",false)"),"ついに貴船組筆頭若頭　水田千一率いる水千組ごとの足抜けが始まった。もちろん、それは組織の勢力図の書き換えを意味する。文字通り命がけの死闘の中で、麦秋の真実が明かされるが、時遅く・・大島優子、北村一輝、勝地涼、本田翼、名取裕子、遠藤憲一  片岡鶴太郎　平岡祐太　藤井尚之脚本　櫻井武晴堤幸彦　「やめーたん」ぬいぐるみプレゼント  ビジュアルブックプレゼント  主題歌CDプレゼント告知あります◇番組HP http://www.tbs.co.jp/yamegoku/  親と子の絆 その結末…#9『ヤメゴク～ヤクザ"&amp;"やめて頂きます～』6/11（木）予告動画公開しました！  https://youtu.be/3Cv2Jqt7uBQ  主題歌　Thinking Dogs  「世界は終わらない」    音楽  ◇fox capture plan  ◇武内亨番組の内容と放送時間は変更になる可能性があります。")</f>
        <v>ついに貴船組筆頭若頭　水田千一率いる水千組ごとの足抜けが始まった。もちろん、それは組織の勢力図の書き換えを意味する。文字通り命がけの死闘の中で、麦秋の真実が明かされるが、時遅く・・大島優子、北村一輝、勝地涼、本田翼、名取裕子、遠藤憲一  片岡鶴太郎　平岡祐太　藤井尚之脚本　櫻井武晴堤幸彦　「やめーたん」ぬいぐるみプレゼント  ビジュアルブックプレゼント  主題歌CDプレゼント告知あります◇番組HP http://www.tbs.co.jp/yamegoku/  親と子の絆 その結末…#9『ヤメゴク～ヤクザやめて頂きます～』6/11（木）予告動画公開しました！  https://youtu.be/3Cv2Jqt7uBQ  主題歌　Thinking Dogs  「世界は終わらない」    音楽  ◇fox capture plan  ◇武内亨番組の内容と放送時間は変更になる可能性があります。</v>
      </c>
      <c r="N5168" s="2"/>
      <c r="O5168" s="2"/>
      <c r="P5168" s="1"/>
      <c r="Q5168" s="1"/>
      <c r="R5168" s="1"/>
      <c r="S5168" s="1"/>
      <c r="T5168" s="1"/>
      <c r="U5168" s="1"/>
      <c r="V5168" s="1"/>
      <c r="W5168" s="1"/>
      <c r="X5168" s="1"/>
      <c r="Y5168" s="1"/>
      <c r="Z5168" s="1"/>
      <c r="AA5168" s="1"/>
      <c r="AB5168" s="1"/>
      <c r="AC5168" s="1"/>
      <c r="AD5168" s="1"/>
      <c r="AE5168" s="1"/>
      <c r="AF5168" s="1"/>
      <c r="AG5168" s="1"/>
      <c r="AH5168" s="1"/>
      <c r="AI5168" s="1"/>
      <c r="AJ5168" s="1"/>
      <c r="AK5168" s="1"/>
      <c r="AL5168" s="1"/>
      <c r="AM5168" s="1"/>
      <c r="AN5168" s="1"/>
      <c r="AO5168" s="1"/>
      <c r="AP5168" s="1"/>
      <c r="AQ5168" s="1"/>
      <c r="AR5168" s="1"/>
      <c r="AS5168" s="1"/>
      <c r="AT5168" s="1"/>
      <c r="AU5168" s="1"/>
      <c r="AV5168" s="1"/>
      <c r="AW5168" s="1"/>
      <c r="AX5168" s="1"/>
      <c r="AY5168" s="1"/>
      <c r="AZ5168" s="1"/>
      <c r="BA5168" s="1"/>
      <c r="BB5168" s="1"/>
    </row>
    <row r="5169" ht="204.75" customHeight="1">
      <c r="A5169" s="1">
        <v>2179.0</v>
      </c>
      <c r="B5169" s="2" t="s">
        <v>14383</v>
      </c>
      <c r="C5169" s="2">
        <f>IFERROR(__xludf.DUMMYFUNCTION("split(B5169,""_"")"),1504.0)</f>
        <v>1504</v>
      </c>
      <c r="D5169" s="2" t="str">
        <f>IFERROR(__xludf.DUMMYFUNCTION("""COMPUTED_VALUE"""),"TBS")</f>
        <v>TBS</v>
      </c>
      <c r="E5169" s="2" t="str">
        <f>IFERROR(__xludf.DUMMYFUNCTION("""COMPUTED_VALUE"""),"木21")</f>
        <v>木21</v>
      </c>
      <c r="F5169" s="2" t="s">
        <v>14384</v>
      </c>
      <c r="G5169" s="2" t="s">
        <v>14403</v>
      </c>
      <c r="H5169" s="1">
        <v>10.0</v>
      </c>
      <c r="J5169" s="1" t="s">
        <v>11</v>
      </c>
      <c r="K5169" s="2" t="s">
        <v>14404</v>
      </c>
      <c r="L5169" s="2"/>
      <c r="M5169" s="2" t="str">
        <f>IFERROR(__xludf.DUMMYFUNCTION("split(split(K5169,""【"",false),""公式LINE"",false)"),"ついに麦秋の出自が明らかになった。とはいえ、一度歩み始めた修羅の道「ヤメゴク」からいまさら生き方を変えられない。逡巡する麦秋に、最後の試練が課せられる。どんな人生でも生き直すことができるか。感動の結末大島優子、北村一輝、勝地涼、本田翼、名取裕子、遠藤憲一脚本　櫻井武晴堤幸彦　DVDブルレイ発売告知。  ホンダ「グレース」プレゼント告知があります◇番組HP http://www.tbs.co.jp/yamegoku/  主題歌　Thinking Dogs  「世界は終わらない」    音楽  ◇fox ca"&amp;"pture plan  ◇武内亨衝撃の最終回! 麦秋 憎しみからの足抜け『ヤメゴク～ヤクザやめて頂きます～』6/18（木）予告動画公開しました！  https://youtu.be/Whp0c4-zqpo  番組の内容と放送時間は変更になる可能性があります。")</f>
        <v>ついに麦秋の出自が明らかになった。とはいえ、一度歩み始めた修羅の道「ヤメゴク」からいまさら生き方を変えられない。逡巡する麦秋に、最後の試練が課せられる。どんな人生でも生き直すことができるか。感動の結末大島優子、北村一輝、勝地涼、本田翼、名取裕子、遠藤憲一脚本　櫻井武晴堤幸彦　DVDブルレイ発売告知。  ホンダ「グレース」プレゼント告知があります◇番組HP http://www.tbs.co.jp/yamegoku/  主題歌　Thinking Dogs  「世界は終わらない」    音楽  ◇fox capture plan  ◇武内亨衝撃の最終回! 麦秋 憎しみからの足抜け『ヤメゴク～ヤクザやめて頂きます～』6/18（木）予告動画公開しました！  https://youtu.be/Whp0c4-zqpo  番組の内容と放送時間は変更になる可能性があります。</v>
      </c>
      <c r="N5169" s="2"/>
      <c r="O5169" s="2"/>
      <c r="P5169" s="1"/>
      <c r="Q5169" s="1"/>
      <c r="R5169" s="1"/>
      <c r="S5169" s="1"/>
      <c r="T5169" s="1"/>
      <c r="U5169" s="1"/>
      <c r="V5169" s="1"/>
      <c r="W5169" s="1"/>
      <c r="X5169" s="1"/>
      <c r="Y5169" s="1"/>
      <c r="Z5169" s="1"/>
      <c r="AA5169" s="1"/>
      <c r="AB5169" s="1"/>
      <c r="AC5169" s="1"/>
      <c r="AD5169" s="1"/>
      <c r="AE5169" s="1"/>
      <c r="AF5169" s="1"/>
      <c r="AG5169" s="1"/>
      <c r="AH5169" s="1"/>
      <c r="AI5169" s="1"/>
      <c r="AJ5169" s="1"/>
      <c r="AK5169" s="1"/>
      <c r="AL5169" s="1"/>
      <c r="AM5169" s="1"/>
      <c r="AN5169" s="1"/>
      <c r="AO5169" s="1"/>
      <c r="AP5169" s="1"/>
      <c r="AQ5169" s="1"/>
      <c r="AR5169" s="1"/>
      <c r="AS5169" s="1"/>
      <c r="AT5169" s="1"/>
      <c r="AU5169" s="1"/>
      <c r="AV5169" s="1"/>
      <c r="AW5169" s="1"/>
      <c r="AX5169" s="1"/>
      <c r="AY5169" s="1"/>
      <c r="AZ5169" s="1"/>
      <c r="BA5169" s="1"/>
      <c r="BB5169" s="1"/>
    </row>
    <row r="5170" ht="204.75" customHeight="1">
      <c r="A5170" s="1">
        <v>2212.0</v>
      </c>
      <c r="B5170" s="2" t="s">
        <v>14405</v>
      </c>
      <c r="C5170" s="2">
        <f>IFERROR(__xludf.DUMMYFUNCTION("split(B5170,""_"")"),1504.0)</f>
        <v>1504</v>
      </c>
      <c r="D5170" s="2" t="str">
        <f>IFERROR(__xludf.DUMMYFUNCTION("""COMPUTED_VALUE"""),"TBS")</f>
        <v>TBS</v>
      </c>
      <c r="E5170" s="2" t="str">
        <f>IFERROR(__xludf.DUMMYFUNCTION("""COMPUTED_VALUE"""),"金22")</f>
        <v>金22</v>
      </c>
      <c r="F5170" s="2" t="s">
        <v>14406</v>
      </c>
      <c r="G5170" s="2" t="s">
        <v>14407</v>
      </c>
      <c r="H5170" s="1">
        <v>1.0</v>
      </c>
      <c r="J5170" s="1" t="s">
        <v>82</v>
      </c>
      <c r="K5170" s="2" t="s">
        <v>14408</v>
      </c>
      <c r="L5170" s="2"/>
      <c r="M5170" s="2" t="str">
        <f>IFERROR(__xludf.DUMMYFUNCTION("split(split(K5170,""【"",false),""公式LINE"",false)"),"花の配送センターで働く白鳥咲人（山下智久）は知的障がいがあり、知能は幼児並。同僚の柳川（窪田正孝）と一緒に遥香（栗山千明）のマンションに花束を届けに行くが、些細なトラブルを起こす。届け物も満足にできないが、純粋で心優しい咲人の夢は、母（草刈民代）から好かれるために“お利口”になることだった。一方、遥香が勤める脳科学生理研究センターでは、人間の知的能力を向上させる蜂須賀（石丸幹二）の研究が進み、白ネズミのアルジャーノンへの動物実験に成功。時期尚早との声も上がる中、臨床試験の準備に入っていた。そんな中、アルジ"&amp;"ャーノンが檻から逃げ出し行方不明になってしまう…白鳥咲人…山下智久  望月遥香…栗山千明  柳川隆一…窪田正孝  檜山康介…工藤阿須加  小久保一茂…菊池風磨（Sexy Zone）  河口梨央…谷村美月  小出舞…大政絢  杉野史郎…河相我聞  鹿内大…勝矢  神田勇樹…前田公輝  波多光佑…斎藤嘉樹  檜山涼子…朝加真由美  ○  白鳥久人…いしだ壱成  白鳥窓花…草刈民代  ○  河口玲二…中原丈雄（特別出演）  竹部順一郎…萩原聖人  蜂須賀大吾…石丸幹二『ローズ』ベッド・ミドラー脚本監修：野島伸司"&amp;"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窪田正孝＆工藤阿須加がメッセージ! 「青春の1ページを…」 4/10（金）スタート!動画公開しました！  htt"&amp;"ps://youtu.be/L4-xeIy0F6s  番組の内容と放送時間は変更になる可能性があります。")</f>
        <v>花の配送センターで働く白鳥咲人（山下智久）は知的障がいがあり、知能は幼児並。同僚の柳川（窪田正孝）と一緒に遥香（栗山千明）のマンションに花束を届けに行くが、些細なトラブルを起こす。届け物も満足にできないが、純粋で心優しい咲人の夢は、母（草刈民代）から好かれるために“お利口”になることだった。一方、遥香が勤める脳科学生理研究センターでは、人間の知的能力を向上させる蜂須賀（石丸幹二）の研究が進み、白ネズミのアルジャーノンへの動物実験に成功。時期尚早との声も上がる中、臨床試験の準備に入っていた。そんな中、アルジャーノンが檻から逃げ出し行方不明になってしまう…白鳥咲人…山下智久  望月遥香…栗山千明  柳川隆一…窪田正孝  檜山康介…工藤阿須加  小久保一茂…菊池風磨（Sexy Zone）  河口梨央…谷村美月  小出舞…大政絢  杉野史郎…河相我聞  鹿内大…勝矢  神田勇樹…前田公輝  波多光佑…斎藤嘉樹  檜山涼子…朝加真由美  ○  白鳥久人…いしだ壱成  白鳥窓花…草刈民代  ○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窪田正孝＆工藤阿須加がメッセージ! 「青春の1ページを…」 4/10（金）スタート!動画公開しました！  https://youtu.be/L4-xeIy0F6s  番組の内容と放送時間は変更になる可能性があります。</v>
      </c>
      <c r="N5170" s="2"/>
      <c r="O5170" s="2"/>
      <c r="P5170" s="1"/>
      <c r="Q5170" s="1"/>
      <c r="R5170" s="1"/>
      <c r="S5170" s="1"/>
      <c r="T5170" s="1"/>
      <c r="U5170" s="1"/>
      <c r="V5170" s="1"/>
      <c r="W5170" s="1"/>
      <c r="X5170" s="1"/>
      <c r="Y5170" s="1"/>
      <c r="Z5170" s="1"/>
      <c r="AA5170" s="1"/>
      <c r="AB5170" s="1"/>
      <c r="AC5170" s="1"/>
      <c r="AD5170" s="1"/>
      <c r="AE5170" s="1"/>
      <c r="AF5170" s="1"/>
      <c r="AG5170" s="1"/>
      <c r="AH5170" s="1"/>
      <c r="AI5170" s="1"/>
      <c r="AJ5170" s="1"/>
      <c r="AK5170" s="1"/>
      <c r="AL5170" s="1"/>
      <c r="AM5170" s="1"/>
      <c r="AN5170" s="1"/>
      <c r="AO5170" s="1"/>
      <c r="AP5170" s="1"/>
      <c r="AQ5170" s="1"/>
      <c r="AR5170" s="1"/>
      <c r="AS5170" s="1"/>
      <c r="AT5170" s="1"/>
      <c r="AU5170" s="1"/>
      <c r="AV5170" s="1"/>
      <c r="AW5170" s="1"/>
      <c r="AX5170" s="1"/>
      <c r="AY5170" s="1"/>
      <c r="AZ5170" s="1"/>
      <c r="BA5170" s="1"/>
      <c r="BB5170" s="1"/>
    </row>
    <row r="5171" ht="204.75" customHeight="1">
      <c r="A5171" s="1">
        <v>2213.0</v>
      </c>
      <c r="B5171" s="2" t="s">
        <v>14405</v>
      </c>
      <c r="C5171" s="2">
        <f>IFERROR(__xludf.DUMMYFUNCTION("split(B5171,""_"")"),1504.0)</f>
        <v>1504</v>
      </c>
      <c r="D5171" s="2" t="str">
        <f>IFERROR(__xludf.DUMMYFUNCTION("""COMPUTED_VALUE"""),"TBS")</f>
        <v>TBS</v>
      </c>
      <c r="E5171" s="2" t="str">
        <f>IFERROR(__xludf.DUMMYFUNCTION("""COMPUTED_VALUE"""),"金22")</f>
        <v>金22</v>
      </c>
      <c r="F5171" s="2" t="s">
        <v>14406</v>
      </c>
      <c r="G5171" s="2" t="s">
        <v>14409</v>
      </c>
      <c r="H5171" s="1">
        <v>2.0</v>
      </c>
      <c r="J5171" s="1" t="s">
        <v>86</v>
      </c>
      <c r="K5171" s="2" t="s">
        <v>14410</v>
      </c>
      <c r="L5171" s="2"/>
      <c r="M5171" s="2" t="str">
        <f>IFERROR(__xludf.DUMMYFUNCTION("split(split(K5171,""【"",false),""公式LINE"",false)"),"今日は、咲人（山下智久）が勤める花の配送センターの給料日。社長の竹部（萩原聖人）の方針により、柳川（窪田正孝）や檜山（工藤阿須加）ら従業員は、毎月、現金で給料を支給される。そこに柳川の母親・京子（田中美奈子）が訪ねてきた。竹部に挨拶に来たというが、もらったばかりの給料を京子に渡す柳川。一方、蜂須賀（石丸幹二）ら研究チームはアルジャーノンを使った実験成果に自信を持つが、次のステップとなる、人体への臨床試験へ協力してくれる被験者が見つかっていなかった。そんなある日、梨央（谷村美月）と舞（大政絢）から連絡をもら"&amp;"った咲人と柳川、檜山は、ひょんなことから遊園地でデートをすることに…。白鳥咲人…山下智久  望月遥香…栗山千明  柳川隆一…窪田正孝  檜山康介…工藤阿須加  小久保一茂…菊池風磨（Sexy Zone）  河口梨央…谷村美月  小出舞…大政絢  杉野史郎…河相我聞  鹿内大…勝矢  神田勇樹…前田公輝  波多光佑…斎藤嘉樹  柳川京子…田中美奈子  ○  白鳥久人…いしだ壱成  白鳥窓花…草刈民代  ○  河口玲二…中原丈雄（特別出演）  竹部順一郎…萩原聖人  蜂須賀大吾…石丸幹二『ローズ』ベッド・ミド"&amp;"ラー脚本監修：野島伸司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窪田正孝＆工藤阿須加「殴ってスミマセン!」喧嘩シーンの裏話 限定企画 金曜  22時『アル"&amp;"ジャーノンに花束を』動画公開しました！")</f>
        <v>今日は、咲人（山下智久）が勤める花の配送センターの給料日。社長の竹部（萩原聖人）の方針により、柳川（窪田正孝）や檜山（工藤阿須加）ら従業員は、毎月、現金で給料を支給される。そこに柳川の母親・京子（田中美奈子）が訪ねてきた。竹部に挨拶に来たというが、もらったばかりの給料を京子に渡す柳川。一方、蜂須賀（石丸幹二）ら研究チームはアルジャーノンを使った実験成果に自信を持つが、次のステップとなる、人体への臨床試験へ協力してくれる被験者が見つかっていなかった。そんなある日、梨央（谷村美月）と舞（大政絢）から連絡をもらった咲人と柳川、檜山は、ひょんなことから遊園地でデートをすることに…。白鳥咲人…山下智久  望月遥香…栗山千明  柳川隆一…窪田正孝  檜山康介…工藤阿須加  小久保一茂…菊池風磨（Sexy Zone）  河口梨央…谷村美月  小出舞…大政絢  杉野史郎…河相我聞  鹿内大…勝矢  神田勇樹…前田公輝  波多光佑…斎藤嘉樹  柳川京子…田中美奈子  ○  白鳥久人…いしだ壱成  白鳥窓花…草刈民代  ○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窪田正孝＆工藤阿須加「殴ってスミマセン!」喧嘩シーンの裏話 限定企画 金曜  22時『アルジャーノンに花束を』動画公開しました！</v>
      </c>
      <c r="N5171" s="2"/>
      <c r="O5171" s="2"/>
      <c r="P5171" s="1"/>
      <c r="Q5171" s="1"/>
      <c r="R5171" s="1"/>
      <c r="S5171" s="1"/>
      <c r="T5171" s="1"/>
      <c r="U5171" s="1"/>
      <c r="V5171" s="1"/>
      <c r="W5171" s="1"/>
      <c r="X5171" s="1"/>
      <c r="Y5171" s="1"/>
      <c r="Z5171" s="1"/>
      <c r="AA5171" s="1"/>
      <c r="AB5171" s="1"/>
      <c r="AC5171" s="1"/>
      <c r="AD5171" s="1"/>
      <c r="AE5171" s="1"/>
      <c r="AF5171" s="1"/>
      <c r="AG5171" s="1"/>
      <c r="AH5171" s="1"/>
      <c r="AI5171" s="1"/>
      <c r="AJ5171" s="1"/>
      <c r="AK5171" s="1"/>
      <c r="AL5171" s="1"/>
      <c r="AM5171" s="1"/>
      <c r="AN5171" s="1"/>
      <c r="AO5171" s="1"/>
      <c r="AP5171" s="1"/>
      <c r="AQ5171" s="1"/>
      <c r="AR5171" s="1"/>
      <c r="AS5171" s="1"/>
      <c r="AT5171" s="1"/>
      <c r="AU5171" s="1"/>
      <c r="AV5171" s="1"/>
      <c r="AW5171" s="1"/>
      <c r="AX5171" s="1"/>
      <c r="AY5171" s="1"/>
      <c r="AZ5171" s="1"/>
      <c r="BA5171" s="1"/>
      <c r="BB5171" s="1"/>
    </row>
    <row r="5172" ht="204.75" customHeight="1">
      <c r="A5172" s="1">
        <v>2214.0</v>
      </c>
      <c r="B5172" s="2" t="s">
        <v>14405</v>
      </c>
      <c r="C5172" s="2">
        <f>IFERROR(__xludf.DUMMYFUNCTION("split(B5172,""_"")"),1504.0)</f>
        <v>1504</v>
      </c>
      <c r="D5172" s="2" t="str">
        <f>IFERROR(__xludf.DUMMYFUNCTION("""COMPUTED_VALUE"""),"TBS")</f>
        <v>TBS</v>
      </c>
      <c r="E5172" s="2" t="str">
        <f>IFERROR(__xludf.DUMMYFUNCTION("""COMPUTED_VALUE"""),"金22")</f>
        <v>金22</v>
      </c>
      <c r="F5172" s="2" t="s">
        <v>14406</v>
      </c>
      <c r="G5172" s="2" t="s">
        <v>14411</v>
      </c>
      <c r="H5172" s="1">
        <v>3.0</v>
      </c>
      <c r="J5172" s="1" t="s">
        <v>86</v>
      </c>
      <c r="K5172" s="2" t="s">
        <v>14412</v>
      </c>
      <c r="L5172" s="2"/>
      <c r="M5172" s="2" t="str">
        <f>IFERROR(__xludf.DUMMYFUNCTION("split(split(K5172,""【"",false),""公式LINE"",false)"),"咲人（山下智久）の適正テストが始まったが芳しい結果が得られず、蜂須賀（石丸幹二）ら研究員は表情を曇らせる。しかし遥香（栗山千明）は、咲人のテストに対する熱意や向上心には特筆すべきものがあると主張。一方、咲人が知能向上の手術を受けると聞いた柳川（窪田正孝）と檜山（工藤阿須加）は、母親に金で売られて騙されているんだと、心配し手術を受けることを反対。しかし、手術を受けるのは咲人自身の願いだと知る。ある日咲人を気に入った梨央（谷村美月）は、舞（大政絢）が反対するのを聞かず咲人と柳川、檜山を自分の別荘へ誘う。果たし"&amp;"て、咲人にアプローチする梨央の真意は？ そこには、梨央が抱える大きな秘密が背景にあった…白鳥咲人…山下智久  望月遥香…栗山千明  柳川隆一…窪田正孝  檜山康介…工藤阿須加  小久保一茂…菊池風磨（Sexy Zone）  河口梨央…谷村美月  小出舞…大政絢  杉野史郎…河相我聞  鹿内大…勝矢  神田勇樹…前田公輝  波多光佑…斉藤嘉樹  ○  白鳥久人…いしだ壱成  白鳥窓花…草刈民代  ○  河口玲二…中原丈雄（特別出演）  竹部順一郎…萩原聖人  蜂須賀大吾…石丸幹二『ローズ』ベッド・ミドラー脚"&amp;"本監修：野島伸司  脚本：池田奈津子  原作：ダニエル・キイス／小尾芙佐訳「アルジャーノンに花束を」（ハヤカワ文庫）  音楽：千住明  編成・プロデューサー：韓哲  プロデューサー：佐藤敦司演出：酒井聖博◇番組公式Twitter  @algernon2015  https://twitter.com/algernon2015  ◇番組HP http://www.tbs.co.jp/algernon2015/  窪田正孝＆工藤阿須加「遊園地で怖かった乗り物」裏話 限定企画 動画公開しました！  https:"&amp;"//youtu.be/sUyZ4Cr--M0  番組の内容と放送時間は変更になる可能性があります。")</f>
        <v>咲人（山下智久）の適正テストが始まったが芳しい結果が得られず、蜂須賀（石丸幹二）ら研究員は表情を曇らせる。しかし遥香（栗山千明）は、咲人のテストに対する熱意や向上心には特筆すべきものがあると主張。一方、咲人が知能向上の手術を受けると聞いた柳川（窪田正孝）と檜山（工藤阿須加）は、母親に金で売られて騙されているんだと、心配し手術を受けることを反対。しかし、手術を受けるのは咲人自身の願いだと知る。ある日咲人を気に入った梨央（谷村美月）は、舞（大政絢）が反対するのを聞かず咲人と柳川、檜山を自分の別荘へ誘う。果たして、咲人にアプローチする梨央の真意は？ そこには、梨央が抱える大きな秘密が背景にあった…白鳥咲人…山下智久  望月遥香…栗山千明  柳川隆一…窪田正孝  檜山康介…工藤阿須加  小久保一茂…菊池風磨（Sexy Zone）  河口梨央…谷村美月  小出舞…大政絢  杉野史郎…河相我聞  鹿内大…勝矢  神田勇樹…前田公輝  波多光佑…斉藤嘉樹  ○  白鳥久人…いしだ壱成  白鳥窓花…草刈民代  ○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プロデューサー：佐藤敦司演出：酒井聖博◇番組公式Twitter  @algernon2015  https://twitter.com/algernon2015  ◇番組HP http://www.tbs.co.jp/algernon2015/  窪田正孝＆工藤阿須加「遊園地で怖かった乗り物」裏話 限定企画 動画公開しました！  https://youtu.be/sUyZ4Cr--M0  番組の内容と放送時間は変更になる可能性があります。</v>
      </c>
      <c r="N5172" s="2"/>
      <c r="O5172" s="2"/>
      <c r="P5172" s="1"/>
      <c r="Q5172" s="1"/>
      <c r="R5172" s="1"/>
      <c r="S5172" s="1"/>
      <c r="T5172" s="1"/>
      <c r="U5172" s="1"/>
      <c r="V5172" s="1"/>
      <c r="W5172" s="1"/>
      <c r="X5172" s="1"/>
      <c r="Y5172" s="1"/>
      <c r="Z5172" s="1"/>
      <c r="AA5172" s="1"/>
      <c r="AB5172" s="1"/>
      <c r="AC5172" s="1"/>
      <c r="AD5172" s="1"/>
      <c r="AE5172" s="1"/>
      <c r="AF5172" s="1"/>
      <c r="AG5172" s="1"/>
      <c r="AH5172" s="1"/>
      <c r="AI5172" s="1"/>
      <c r="AJ5172" s="1"/>
      <c r="AK5172" s="1"/>
      <c r="AL5172" s="1"/>
      <c r="AM5172" s="1"/>
      <c r="AN5172" s="1"/>
      <c r="AO5172" s="1"/>
      <c r="AP5172" s="1"/>
      <c r="AQ5172" s="1"/>
      <c r="AR5172" s="1"/>
      <c r="AS5172" s="1"/>
      <c r="AT5172" s="1"/>
      <c r="AU5172" s="1"/>
      <c r="AV5172" s="1"/>
      <c r="AW5172" s="1"/>
      <c r="AX5172" s="1"/>
      <c r="AY5172" s="1"/>
      <c r="AZ5172" s="1"/>
      <c r="BA5172" s="1"/>
      <c r="BB5172" s="1"/>
    </row>
    <row r="5173" ht="204.75" customHeight="1">
      <c r="A5173" s="1">
        <v>2215.0</v>
      </c>
      <c r="B5173" s="2" t="s">
        <v>14405</v>
      </c>
      <c r="C5173" s="2">
        <f>IFERROR(__xludf.DUMMYFUNCTION("split(B5173,""_"")"),1504.0)</f>
        <v>1504</v>
      </c>
      <c r="D5173" s="2" t="str">
        <f>IFERROR(__xludf.DUMMYFUNCTION("""COMPUTED_VALUE"""),"TBS")</f>
        <v>TBS</v>
      </c>
      <c r="E5173" s="2" t="str">
        <f>IFERROR(__xludf.DUMMYFUNCTION("""COMPUTED_VALUE"""),"金22")</f>
        <v>金22</v>
      </c>
      <c r="F5173" s="2" t="s">
        <v>14406</v>
      </c>
      <c r="G5173" s="2" t="s">
        <v>14413</v>
      </c>
      <c r="H5173" s="1">
        <v>4.0</v>
      </c>
      <c r="J5173" s="1" t="s">
        <v>86</v>
      </c>
      <c r="K5173" s="2" t="s">
        <v>14414</v>
      </c>
      <c r="L5173" s="2"/>
      <c r="M5173" s="2" t="str">
        <f>IFERROR(__xludf.DUMMYFUNCTION("split(split(K5173,""【"",false),""公式LINE"",false)"),"ついに、知能を飛躍的に向上させる手術を受けた咲人（山下智久）。蜂須賀（石丸幹二）は、術後に経過を検証するが、大きな変化はない。「おりこう、なりましたか？」と尋ねる咲人に対し、「信じて待ってみよう」と遥香（栗山千明）。一方、柳川（窪田正孝）と檜山（工藤阿須加）は、梨央（谷村美月）と舞（大政絢）を誘って咲人の快気祝いを開くと、数日後に予定されている草野球の試合へ応援に来てほしいと声をかける。咲人も遥香を誘う。そんな咲人に蜂須賀は、“禁断の果実”を食べたというアダムとイブの神話の話をし始める。がしかし、咲人には"&amp;"その意味は理解できない。なぜ、蜂須賀はアダムとイブの話をするのか？ その意図とは！？白鳥咲人…山下智久  望月遥香…栗山千明  柳川隆一…窪田正孝  檜山康介…工藤阿須加  小久保一茂…菊池風磨（Sexy Zone）  河口梨央…谷村美月  小出舞…大政絢  杉野史郎…河相我聞  鹿内大…勝矢  神田勇樹…前田公輝  波多光佑…斎藤嘉樹  絵里奈…柳ゆり菜  瑞希…永尾まりや  凛…西平風香  志乃…中島愛里  ○  白鳥久人…いしだ壱成  白鳥窓花…草刈民代○  河口玲二…中原丈雄（特別出演）  竹部順"&amp;"一郎…萩原聖人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演出：松田礼人◇番組公式Twitter  @algernon2015  https://twitter.com/algernon2015  ◇番組HP http://www.tbs.co.jp/algernon2015/  窪田正孝＆工藤阿須加＋谷村美"&amp;"月＆大政絢「ゆるいですねぇ…」裏話 限定企画 動画公開しました！  https://youtu.be/WmwDgbdspo0  番組の内容と放送時間は変更になる可能性があります。")</f>
        <v>ついに、知能を飛躍的に向上させる手術を受けた咲人（山下智久）。蜂須賀（石丸幹二）は、術後に経過を検証するが、大きな変化はない。「おりこう、なりましたか？」と尋ねる咲人に対し、「信じて待ってみよう」と遥香（栗山千明）。一方、柳川（窪田正孝）と檜山（工藤阿須加）は、梨央（谷村美月）と舞（大政絢）を誘って咲人の快気祝いを開くと、数日後に予定されている草野球の試合へ応援に来てほしいと声をかける。咲人も遥香を誘う。そんな咲人に蜂須賀は、“禁断の果実”を食べたというアダムとイブの神話の話をし始める。がしかし、咲人にはその意味は理解できない。なぜ、蜂須賀はアダムとイブの話をするのか？ その意図とは！？白鳥咲人…山下智久  望月遥香…栗山千明  柳川隆一…窪田正孝  檜山康介…工藤阿須加  小久保一茂…菊池風磨（Sexy Zone）  河口梨央…谷村美月  小出舞…大政絢  杉野史郎…河相我聞  鹿内大…勝矢  神田勇樹…前田公輝  波多光佑…斎藤嘉樹  絵里奈…柳ゆり菜  瑞希…永尾まりや  凛…西平風香  志乃…中島愛里  ○  白鳥久人…いしだ壱成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演出：松田礼人◇番組公式Twitter  @algernon2015  https://twitter.com/algernon2015  ◇番組HP http://www.tbs.co.jp/algernon2015/  窪田正孝＆工藤阿須加＋谷村美月＆大政絢「ゆるいですねぇ…」裏話 限定企画 動画公開しました！  https://youtu.be/WmwDgbdspo0  番組の内容と放送時間は変更になる可能性があります。</v>
      </c>
      <c r="N5173" s="2"/>
      <c r="O5173" s="2"/>
      <c r="P5173" s="1"/>
      <c r="Q5173" s="1"/>
      <c r="R5173" s="1"/>
      <c r="S5173" s="1"/>
      <c r="T5173" s="1"/>
      <c r="U5173" s="1"/>
      <c r="V5173" s="1"/>
      <c r="W5173" s="1"/>
      <c r="X5173" s="1"/>
      <c r="Y5173" s="1"/>
      <c r="Z5173" s="1"/>
      <c r="AA5173" s="1"/>
      <c r="AB5173" s="1"/>
      <c r="AC5173" s="1"/>
      <c r="AD5173" s="1"/>
      <c r="AE5173" s="1"/>
      <c r="AF5173" s="1"/>
      <c r="AG5173" s="1"/>
      <c r="AH5173" s="1"/>
      <c r="AI5173" s="1"/>
      <c r="AJ5173" s="1"/>
      <c r="AK5173" s="1"/>
      <c r="AL5173" s="1"/>
      <c r="AM5173" s="1"/>
      <c r="AN5173" s="1"/>
      <c r="AO5173" s="1"/>
      <c r="AP5173" s="1"/>
      <c r="AQ5173" s="1"/>
      <c r="AR5173" s="1"/>
      <c r="AS5173" s="1"/>
      <c r="AT5173" s="1"/>
      <c r="AU5173" s="1"/>
      <c r="AV5173" s="1"/>
      <c r="AW5173" s="1"/>
      <c r="AX5173" s="1"/>
      <c r="AY5173" s="1"/>
      <c r="AZ5173" s="1"/>
      <c r="BA5173" s="1"/>
      <c r="BB5173" s="1"/>
    </row>
    <row r="5174" ht="204.75" customHeight="1">
      <c r="A5174" s="1">
        <v>2216.0</v>
      </c>
      <c r="B5174" s="2" t="s">
        <v>14405</v>
      </c>
      <c r="C5174" s="2">
        <f>IFERROR(__xludf.DUMMYFUNCTION("split(B5174,""_"")"),1504.0)</f>
        <v>1504</v>
      </c>
      <c r="D5174" s="2" t="str">
        <f>IFERROR(__xludf.DUMMYFUNCTION("""COMPUTED_VALUE"""),"TBS")</f>
        <v>TBS</v>
      </c>
      <c r="E5174" s="2" t="str">
        <f>IFERROR(__xludf.DUMMYFUNCTION("""COMPUTED_VALUE"""),"金22")</f>
        <v>金22</v>
      </c>
      <c r="F5174" s="2" t="s">
        <v>14406</v>
      </c>
      <c r="G5174" s="2" t="s">
        <v>14415</v>
      </c>
      <c r="H5174" s="1">
        <v>5.0</v>
      </c>
      <c r="J5174" s="1" t="s">
        <v>86</v>
      </c>
      <c r="K5174" s="2" t="s">
        <v>14416</v>
      </c>
      <c r="L5174" s="2"/>
      <c r="M5174" s="2" t="str">
        <f>IFERROR(__xludf.DUMMYFUNCTION("split(split(K5174,""【"",false),""公式LINE"",false)"),"ホームランを放ち大活躍の咲人（山下智久）は、蜂須賀（石丸幹二）ら研究チームのテストでも成績が飛躍的に伸びていた。ついに手術の効果が表れてきた。お利口になった咲人は、今まで見たことがない世界が見えるようになった。また、遥香（栗山千明）に対して特別な感情を覚え始めていたが、咲人自身はその感情をどう理解していいのかわからない。ある日、蜂須賀が、咲人に赤いスポーツカーをプレゼントする。運転免許を取ったら遥香とドライブがしたいという咲人に、遥香は笑顔で承諾。一方、「免許を取ってどうしたいの？」と梨央（谷村美月）と舞"&amp;"（大政絢）が尋ねると、遥香とドライブに行く約束をしたと答える。それを聞いた梨央たちは…。白鳥咲人…山下智久  望月遥香…栗山千明  柳川隆一…窪田正孝  檜山康介…工藤阿須加  小久保一茂…菊池風磨（Sexy Zone）  河口梨央…谷村美月  小出舞…大政絢  杉野史郎…河相我聞  鹿内大…勝矢  神田勇樹…前田公輝  波多光佑…斎藤嘉樹  白鳥咲人（回想）…竜跳  ○  白鳥久人…いしだ壱成  河口玲二…中原丈雄（特別出演）  竹部順一郎…萩原聖人  蜂須賀大吾…石丸幹二『ローズ』ベッド・ミドラー脚本"&amp;"監修：野島伸司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勝矢×前田公輝×斎藤嘉樹 ドリームフラワーの3人が解説「ここがキモ!?」 動画公開しました！  h"&amp;"ttps://youtu.be/dHErXkI994k  番組の内容と放送時間は変更になる可能性があります。")</f>
        <v>ホームランを放ち大活躍の咲人（山下智久）は、蜂須賀（石丸幹二）ら研究チームのテストでも成績が飛躍的に伸びていた。ついに手術の効果が表れてきた。お利口になった咲人は、今まで見たことがない世界が見えるようになった。また、遥香（栗山千明）に対して特別な感情を覚え始めていたが、咲人自身はその感情をどう理解していいのかわからない。ある日、蜂須賀が、咲人に赤いスポーツカーをプレゼントする。運転免許を取ったら遥香とドライブがしたいという咲人に、遥香は笑顔で承諾。一方、「免許を取ってどうしたいの？」と梨央（谷村美月）と舞（大政絢）が尋ねると、遥香とドライブに行く約束をしたと答える。それを聞いた梨央たちは…。白鳥咲人…山下智久  望月遥香…栗山千明  柳川隆一…窪田正孝  檜山康介…工藤阿須加  小久保一茂…菊池風磨（Sexy Zone）  河口梨央…谷村美月  小出舞…大政絢  杉野史郎…河相我聞  鹿内大…勝矢  神田勇樹…前田公輝  波多光佑…斎藤嘉樹  白鳥咲人（回想）…竜跳  ○  白鳥久人…いしだ壱成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勝矢×前田公輝×斎藤嘉樹 ドリームフラワーの3人が解説「ここがキモ!?」 動画公開しました！  https://youtu.be/dHErXkI994k  番組の内容と放送時間は変更になる可能性があります。</v>
      </c>
      <c r="N5174" s="2"/>
      <c r="O5174" s="2"/>
      <c r="P5174" s="1"/>
      <c r="Q5174" s="1"/>
      <c r="R5174" s="1"/>
      <c r="S5174" s="1"/>
      <c r="T5174" s="1"/>
      <c r="U5174" s="1"/>
      <c r="V5174" s="1"/>
      <c r="W5174" s="1"/>
      <c r="X5174" s="1"/>
      <c r="Y5174" s="1"/>
      <c r="Z5174" s="1"/>
      <c r="AA5174" s="1"/>
      <c r="AB5174" s="1"/>
      <c r="AC5174" s="1"/>
      <c r="AD5174" s="1"/>
      <c r="AE5174" s="1"/>
      <c r="AF5174" s="1"/>
      <c r="AG5174" s="1"/>
      <c r="AH5174" s="1"/>
      <c r="AI5174" s="1"/>
      <c r="AJ5174" s="1"/>
      <c r="AK5174" s="1"/>
      <c r="AL5174" s="1"/>
      <c r="AM5174" s="1"/>
      <c r="AN5174" s="1"/>
      <c r="AO5174" s="1"/>
      <c r="AP5174" s="1"/>
      <c r="AQ5174" s="1"/>
      <c r="AR5174" s="1"/>
      <c r="AS5174" s="1"/>
      <c r="AT5174" s="1"/>
      <c r="AU5174" s="1"/>
      <c r="AV5174" s="1"/>
      <c r="AW5174" s="1"/>
      <c r="AX5174" s="1"/>
      <c r="AY5174" s="1"/>
      <c r="AZ5174" s="1"/>
      <c r="BA5174" s="1"/>
      <c r="BB5174" s="1"/>
    </row>
    <row r="5175" ht="204.75" customHeight="1">
      <c r="A5175" s="1">
        <v>2217.0</v>
      </c>
      <c r="B5175" s="2" t="s">
        <v>14405</v>
      </c>
      <c r="C5175" s="2">
        <f>IFERROR(__xludf.DUMMYFUNCTION("split(B5175,""_"")"),1504.0)</f>
        <v>1504</v>
      </c>
      <c r="D5175" s="2" t="str">
        <f>IFERROR(__xludf.DUMMYFUNCTION("""COMPUTED_VALUE"""),"TBS")</f>
        <v>TBS</v>
      </c>
      <c r="E5175" s="2" t="str">
        <f>IFERROR(__xludf.DUMMYFUNCTION("""COMPUTED_VALUE"""),"金22")</f>
        <v>金22</v>
      </c>
      <c r="F5175" s="2" t="s">
        <v>14406</v>
      </c>
      <c r="G5175" s="2" t="s">
        <v>14417</v>
      </c>
      <c r="H5175" s="1">
        <v>6.0</v>
      </c>
      <c r="J5175" s="1" t="s">
        <v>86</v>
      </c>
      <c r="K5175" s="2" t="s">
        <v>14418</v>
      </c>
      <c r="L5175" s="2"/>
      <c r="M5175" s="2" t="str">
        <f>IFERROR(__xludf.DUMMYFUNCTION("split(split(K5175,""【"",false),""公式LINE"",false)"),"遥香（栗山千明）と蜂須賀（石丸幹二）の、キスを目撃した咲人（山下智久）は、梨央（谷村美月）を呼び出し一夜を共にする。翌日、咲人は、母親・窓花（草刈民代）に会いたいと申し出る。遥香は一緒に案内するというが、一人で大丈夫だと咲人。  一方、咲人と梨央が一夜を共にしたことを聞き、驚く柳川（窪田正孝）と檜山（工藤阿須加）。そんな梨央に舞（大政絢）は、梨央の父・河口（中原丈雄）から病気のことを聞かされたと打ち明ける。そんなとき、遥香から竹部（萩原聖人）は今日、咲人が一人で窓花に会いに行っていると聞かされ、竹部の顔色"&amp;"が一変。竹部は何を心配しているのか？その時、咲人は窓花の家のインターホンを鳴らしていた。白鳥咲人…山下智久  望月遥香…栗山千明  柳川隆一…窪田正孝  檜山康介…工藤阿須加  小久保一茂…菊池風磨（Sexy Zone）  河口梨央…谷村美月  小出舞…大政絢  杉野史郎…河相我聞  鹿内大…勝矢  神田勇樹…前田公輝  波多光佑…斉藤嘉樹  白鳥花蓮…飯豊まりえ  ○  白鳥窓花…草刈民代  河口玲二…中原丈雄（特別出演）  竹部順一郎…萩原聖人  蜂須賀大吾…石丸幹二『ローズ』ベッド・ミドラー脚本監修"&amp;"：野島伸司  脚本：池田奈津子  原作：ダニエル・キイス／小尾芙佐訳「アルジャーノンに花束を」（ハヤカワ文庫）  音楽：千住明  編成・プロデューサー：韓哲  プロデューサー：佐藤敦司演出：酒井聖博◇番組公式Twitter  @algernon2015  https://twitter.com/algernon2015  ◇番組HP http://www.tbs.co.jp/algernon2015/  窪田正孝×工藤阿須加の秘話! 「不器用な告白」が大流行!? 限定企画 金曜22時『アルジャーノンに花束"&amp;"を』動画公開しました！")</f>
        <v>遥香（栗山千明）と蜂須賀（石丸幹二）の、キスを目撃した咲人（山下智久）は、梨央（谷村美月）を呼び出し一夜を共にする。翌日、咲人は、母親・窓花（草刈民代）に会いたいと申し出る。遥香は一緒に案内するというが、一人で大丈夫だと咲人。  一方、咲人と梨央が一夜を共にしたことを聞き、驚く柳川（窪田正孝）と檜山（工藤阿須加）。そんな梨央に舞（大政絢）は、梨央の父・河口（中原丈雄）から病気のことを聞かされたと打ち明ける。そんなとき、遥香から竹部（萩原聖人）は今日、咲人が一人で窓花に会いに行っていると聞かされ、竹部の顔色が一変。竹部は何を心配しているのか？その時、咲人は窓花の家のインターホンを鳴らしていた。白鳥咲人…山下智久  望月遥香…栗山千明  柳川隆一…窪田正孝  檜山康介…工藤阿須加  小久保一茂…菊池風磨（Sexy Zone）  河口梨央…谷村美月  小出舞…大政絢  杉野史郎…河相我聞  鹿内大…勝矢  神田勇樹…前田公輝  波多光佑…斉藤嘉樹  白鳥花蓮…飯豊まりえ  ○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プロデューサー：佐藤敦司演出：酒井聖博◇番組公式Twitter  @algernon2015  https://twitter.com/algernon2015  ◇番組HP http://www.tbs.co.jp/algernon2015/  窪田正孝×工藤阿須加の秘話! 「不器用な告白」が大流行!? 限定企画 金曜22時『アルジャーノンに花束を』動画公開しました！</v>
      </c>
      <c r="N5175" s="2"/>
      <c r="O5175" s="2"/>
      <c r="P5175" s="1"/>
      <c r="Q5175" s="1"/>
      <c r="R5175" s="1"/>
      <c r="S5175" s="1"/>
      <c r="T5175" s="1"/>
      <c r="U5175" s="1"/>
      <c r="V5175" s="1"/>
      <c r="W5175" s="1"/>
      <c r="X5175" s="1"/>
      <c r="Y5175" s="1"/>
      <c r="Z5175" s="1"/>
      <c r="AA5175" s="1"/>
      <c r="AB5175" s="1"/>
      <c r="AC5175" s="1"/>
      <c r="AD5175" s="1"/>
      <c r="AE5175" s="1"/>
      <c r="AF5175" s="1"/>
      <c r="AG5175" s="1"/>
      <c r="AH5175" s="1"/>
      <c r="AI5175" s="1"/>
      <c r="AJ5175" s="1"/>
      <c r="AK5175" s="1"/>
      <c r="AL5175" s="1"/>
      <c r="AM5175" s="1"/>
      <c r="AN5175" s="1"/>
      <c r="AO5175" s="1"/>
      <c r="AP5175" s="1"/>
      <c r="AQ5175" s="1"/>
      <c r="AR5175" s="1"/>
      <c r="AS5175" s="1"/>
      <c r="AT5175" s="1"/>
      <c r="AU5175" s="1"/>
      <c r="AV5175" s="1"/>
      <c r="AW5175" s="1"/>
      <c r="AX5175" s="1"/>
      <c r="AY5175" s="1"/>
      <c r="AZ5175" s="1"/>
      <c r="BA5175" s="1"/>
      <c r="BB5175" s="1"/>
    </row>
    <row r="5176" ht="204.75" customHeight="1">
      <c r="A5176" s="1">
        <v>2218.0</v>
      </c>
      <c r="B5176" s="2" t="s">
        <v>14405</v>
      </c>
      <c r="C5176" s="2">
        <f>IFERROR(__xludf.DUMMYFUNCTION("split(B5176,""_"")"),1504.0)</f>
        <v>1504</v>
      </c>
      <c r="D5176" s="2" t="str">
        <f>IFERROR(__xludf.DUMMYFUNCTION("""COMPUTED_VALUE"""),"TBS")</f>
        <v>TBS</v>
      </c>
      <c r="E5176" s="2" t="str">
        <f>IFERROR(__xludf.DUMMYFUNCTION("""COMPUTED_VALUE"""),"金22")</f>
        <v>金22</v>
      </c>
      <c r="F5176" s="2" t="s">
        <v>14406</v>
      </c>
      <c r="G5176" s="2" t="s">
        <v>14419</v>
      </c>
      <c r="H5176" s="1">
        <v>7.0</v>
      </c>
      <c r="J5176" s="1" t="s">
        <v>86</v>
      </c>
      <c r="K5176" s="2" t="s">
        <v>14420</v>
      </c>
      <c r="L5176" s="2"/>
      <c r="M5176" s="2" t="str">
        <f>IFERROR(__xludf.DUMMYFUNCTION("split(split(K5176,""【"",false),""公式LINE"",false)"),"学会で発表することになった咲人（山下智久）は、自分の知能を向上させた薬“ALG”を一般の人にも適用すれば、差別や戦争はなくなり平和な社会になると語りかける。拍手が湧き起こる中、咲人は客席に亡くなった父・久人（いしだ壱成）の姿を見つけ呆然とする。なぜそこにいたのか？  控室に戻ると、長年会っていなかった咲人の妹・花蓮（飯豊まりえ）の姿があった。しかし咲人は出て行けと言い放つ。一方、ALGを使えば梨央（谷村美月）の病気を治せると喜ぶ柳川（窪田正孝）と檜山（工藤阿須加）は、梨央と咲人の出会いは運命だったと盛り上"&amp;"がる。一方、河口（中原丈雄）の元を訪れた蜂須賀は、梨央の治療についてある事を伝えた…白鳥咲人…山下智久  望月遥香…栗山千明  柳川隆一…窪田正孝  檜山康介…工藤阿須加  小久保一茂…菊池風磨（Sexy Zone）  河口梨央…谷村美月  小出舞…大政絢  杉野史郎…河相我聞  鹿内大…勝矢  神田勇樹…前田公輝  波多光佑…斎藤嘉樹  白鳥花蓮…飯豊まりえ  ○  白鳥窓花…草刈民代  河口玲二…中原丈雄（特別出演）  竹部順一郎…萩原聖人  蜂須賀大吾…石丸幹二『ローズ』ベッド・ミドラー脚本監修：野"&amp;"島伸司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「全体的に上がってる!」勝矢×前田公輝×斎藤嘉樹 裏話 金曜22時『アルジャー   ノンに花束を』動画公開"&amp;"しました！  https://youtu.be/fW6SlmnK1Xc  番組の内容と放送時間は変更になる可能性があります。")</f>
        <v>学会で発表することになった咲人（山下智久）は、自分の知能を向上させた薬“ALG”を一般の人にも適用すれば、差別や戦争はなくなり平和な社会になると語りかける。拍手が湧き起こる中、咲人は客席に亡くなった父・久人（いしだ壱成）の姿を見つけ呆然とする。なぜそこにいたのか？  控室に戻ると、長年会っていなかった咲人の妹・花蓮（飯豊まりえ）の姿があった。しかし咲人は出て行けと言い放つ。一方、ALGを使えば梨央（谷村美月）の病気を治せると喜ぶ柳川（窪田正孝）と檜山（工藤阿須加）は、梨央と咲人の出会いは運命だったと盛り上がる。一方、河口（中原丈雄）の元を訪れた蜂須賀は、梨央の治療についてある事を伝えた…白鳥咲人…山下智久  望月遥香…栗山千明  柳川隆一…窪田正孝  檜山康介…工藤阿須加  小久保一茂…菊池風磨（Sexy Zone）  河口梨央…谷村美月  小出舞…大政絢  杉野史郎…河相我聞  鹿内大…勝矢  神田勇樹…前田公輝  波多光佑…斎藤嘉樹  白鳥花蓮…飯豊まりえ  ○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「全体的に上がってる!」勝矢×前田公輝×斎藤嘉樹 裏話 金曜22時『アルジャー   ノンに花束を』動画公開しました！  https://youtu.be/fW6SlmnK1Xc  番組の内容と放送時間は変更になる可能性があります。</v>
      </c>
      <c r="N5176" s="2"/>
      <c r="O5176" s="2"/>
      <c r="P5176" s="1"/>
      <c r="Q5176" s="1"/>
      <c r="R5176" s="1"/>
      <c r="S5176" s="1"/>
      <c r="T5176" s="1"/>
      <c r="U5176" s="1"/>
      <c r="V5176" s="1"/>
      <c r="W5176" s="1"/>
      <c r="X5176" s="1"/>
      <c r="Y5176" s="1"/>
      <c r="Z5176" s="1"/>
      <c r="AA5176" s="1"/>
      <c r="AB5176" s="1"/>
      <c r="AC5176" s="1"/>
      <c r="AD5176" s="1"/>
      <c r="AE5176" s="1"/>
      <c r="AF5176" s="1"/>
      <c r="AG5176" s="1"/>
      <c r="AH5176" s="1"/>
      <c r="AI5176" s="1"/>
      <c r="AJ5176" s="1"/>
      <c r="AK5176" s="1"/>
      <c r="AL5176" s="1"/>
      <c r="AM5176" s="1"/>
      <c r="AN5176" s="1"/>
      <c r="AO5176" s="1"/>
      <c r="AP5176" s="1"/>
      <c r="AQ5176" s="1"/>
      <c r="AR5176" s="1"/>
      <c r="AS5176" s="1"/>
      <c r="AT5176" s="1"/>
      <c r="AU5176" s="1"/>
      <c r="AV5176" s="1"/>
      <c r="AW5176" s="1"/>
      <c r="AX5176" s="1"/>
      <c r="AY5176" s="1"/>
      <c r="AZ5176" s="1"/>
      <c r="BA5176" s="1"/>
      <c r="BB5176" s="1"/>
    </row>
    <row r="5177" ht="204.75" customHeight="1">
      <c r="A5177" s="1">
        <v>2219.0</v>
      </c>
      <c r="B5177" s="2" t="s">
        <v>14405</v>
      </c>
      <c r="C5177" s="2">
        <f>IFERROR(__xludf.DUMMYFUNCTION("split(B5177,""_"")"),1504.0)</f>
        <v>1504</v>
      </c>
      <c r="D5177" s="2" t="str">
        <f>IFERROR(__xludf.DUMMYFUNCTION("""COMPUTED_VALUE"""),"TBS")</f>
        <v>TBS</v>
      </c>
      <c r="E5177" s="2" t="str">
        <f>IFERROR(__xludf.DUMMYFUNCTION("""COMPUTED_VALUE"""),"金22")</f>
        <v>金22</v>
      </c>
      <c r="F5177" s="2" t="s">
        <v>14406</v>
      </c>
      <c r="G5177" s="2" t="s">
        <v>14421</v>
      </c>
      <c r="H5177" s="1">
        <v>8.0</v>
      </c>
      <c r="J5177" s="1" t="s">
        <v>86</v>
      </c>
      <c r="K5177" s="2" t="s">
        <v>14422</v>
      </c>
      <c r="L5177" s="2"/>
      <c r="M5177" s="2" t="str">
        <f>IFERROR(__xludf.DUMMYFUNCTION("split(split(K5177,""【"",false),""公式LINE"",false)"),"研究センターを解雇された遥香（栗山千明）を追うように、蜂須賀（石丸幹二）の元から出て行った咲人（山下智久）。身寄りのない咲人は、「たくさん心配させてしまった」と言い、遥香も自身の気持ちを素直に伝え、お互いの心を通わせる。  その頃、ALGでは梨央（谷村美月）の病気が治せないことを知り、ショックを受けている河口（中原丈雄）の元へ杉野（河相我聞）が現れる。研究チームが長い歳月をかけて開発したALGの最終生成方法を、たった2週間で突き詰めた咲人に、梨央の治療法を見つけてもらうという杉野。一方、研究センターで小久"&amp;"保（菊池風磨）が、アルジャーノンの異変に気付く。アルジャーノンの身に何が起こっているのか…白鳥咲人…山下智久  望月遥香…栗山千明  柳川隆一…窪田正孝  檜山康介…工藤阿須加  小久保一茂…菊池風磨（Sexy Zone）  河口梨央…谷村美月  小出舞…大政絢  杉野史郎…河相我聞  鹿内大…勝矢  神田勇樹…前田公輝  波多光佑…斎藤嘉樹  白鳥花蓮…飯豊まりえ  ○  白鳥久人…いしだ壱成  白鳥窓花…草刈民代  河口玲二…中原丈雄（特別出演）  竹部順一郎…萩原聖人  蜂須賀大吾…石丸幹二『ローズ"&amp;"』ベッド・ミドラー脚本監修：野島伸司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工藤阿須加×谷村美月「ちょっと待ってお兄さん!?」番外編 動画公開しました！"&amp;"  https://youtu.be/hQ1oCAwfw54  番組の内容と放送時間は変更になる可能性があります。")</f>
        <v>研究センターを解雇された遥香（栗山千明）を追うように、蜂須賀（石丸幹二）の元から出て行った咲人（山下智久）。身寄りのない咲人は、「たくさん心配させてしまった」と言い、遥香も自身の気持ちを素直に伝え、お互いの心を通わせる。  その頃、ALGでは梨央（谷村美月）の病気が治せないことを知り、ショックを受けている河口（中原丈雄）の元へ杉野（河相我聞）が現れる。研究チームが長い歳月をかけて開発したALGの最終生成方法を、たった2週間で突き詰めた咲人に、梨央の治療法を見つけてもらうという杉野。一方、研究センターで小久保（菊池風磨）が、アルジャーノンの異変に気付く。アルジャーノンの身に何が起こっているのか…白鳥咲人…山下智久  望月遥香…栗山千明  柳川隆一…窪田正孝  檜山康介…工藤阿須加  小久保一茂…菊池風磨（Sexy Zone）  河口梨央…谷村美月  小出舞…大政絢  杉野史郎…河相我聞  鹿内大…勝矢  神田勇樹…前田公輝  波多光佑…斎藤嘉樹  白鳥花蓮…飯豊まりえ  ○  白鳥久人…いしだ壱成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工藤阿須加×谷村美月「ちょっと待ってお兄さん!?」番外編 動画公開しました！  https://youtu.be/hQ1oCAwfw54  番組の内容と放送時間は変更になる可能性があります。</v>
      </c>
      <c r="N5177" s="2"/>
      <c r="O5177" s="2"/>
      <c r="P5177" s="1"/>
      <c r="Q5177" s="1"/>
      <c r="R5177" s="1"/>
      <c r="S5177" s="1"/>
      <c r="T5177" s="1"/>
      <c r="U5177" s="1"/>
      <c r="V5177" s="1"/>
      <c r="W5177" s="1"/>
      <c r="X5177" s="1"/>
      <c r="Y5177" s="1"/>
      <c r="Z5177" s="1"/>
      <c r="AA5177" s="1"/>
      <c r="AB5177" s="1"/>
      <c r="AC5177" s="1"/>
      <c r="AD5177" s="1"/>
      <c r="AE5177" s="1"/>
      <c r="AF5177" s="1"/>
      <c r="AG5177" s="1"/>
      <c r="AH5177" s="1"/>
      <c r="AI5177" s="1"/>
      <c r="AJ5177" s="1"/>
      <c r="AK5177" s="1"/>
      <c r="AL5177" s="1"/>
      <c r="AM5177" s="1"/>
      <c r="AN5177" s="1"/>
      <c r="AO5177" s="1"/>
      <c r="AP5177" s="1"/>
      <c r="AQ5177" s="1"/>
      <c r="AR5177" s="1"/>
      <c r="AS5177" s="1"/>
      <c r="AT5177" s="1"/>
      <c r="AU5177" s="1"/>
      <c r="AV5177" s="1"/>
      <c r="AW5177" s="1"/>
      <c r="AX5177" s="1"/>
      <c r="AY5177" s="1"/>
      <c r="AZ5177" s="1"/>
      <c r="BA5177" s="1"/>
      <c r="BB5177" s="1"/>
    </row>
    <row r="5178" ht="204.75" customHeight="1">
      <c r="A5178" s="1">
        <v>2220.0</v>
      </c>
      <c r="B5178" s="2" t="s">
        <v>14405</v>
      </c>
      <c r="C5178" s="2">
        <f>IFERROR(__xludf.DUMMYFUNCTION("split(B5178,""_"")"),1504.0)</f>
        <v>1504</v>
      </c>
      <c r="D5178" s="2" t="str">
        <f>IFERROR(__xludf.DUMMYFUNCTION("""COMPUTED_VALUE"""),"TBS")</f>
        <v>TBS</v>
      </c>
      <c r="E5178" s="2" t="str">
        <f>IFERROR(__xludf.DUMMYFUNCTION("""COMPUTED_VALUE"""),"金22")</f>
        <v>金22</v>
      </c>
      <c r="F5178" s="2" t="s">
        <v>14406</v>
      </c>
      <c r="G5178" s="2" t="s">
        <v>14423</v>
      </c>
      <c r="H5178" s="1">
        <v>9.0</v>
      </c>
      <c r="J5178" s="1" t="s">
        <v>86</v>
      </c>
      <c r="K5178" s="2" t="s">
        <v>14424</v>
      </c>
      <c r="L5178" s="2"/>
      <c r="M5178" s="2" t="str">
        <f>IFERROR(__xludf.DUMMYFUNCTION("split(split(K5178,""【"",false),""公式LINE"",false)"),"アルジャーノンにALGの副作用が認められることを蜂須賀（石丸幹二）から聞かされた咲人（山下智久）は、研究所へと戻っていた。ある部屋で、学会のときに映写した手術前の自分の姿を観ていた咲人…と、そこへ遥香（栗山千明）が咲人を探してやってきた。  研究室へ向かうと、蜂須賀から今後の対策が説明される。それは、咲人と蜂須賀で議論を重ねた結果、ある仮説を立て、それに基づき退行作用を防ぐために、ALGを強化改良する事だった。その仮説を聞いた小久保（菊池風磨）と遥香は咲人の事を心配するが、「私に残された時間がわからない」"&amp;"という咲人の言葉を受け、蜂須賀は早速作業に取りかかるよう指示した。一体、その仮説とは！？白鳥咲人…山下智久  望月遥香…栗山千明  柳川隆一…窪田正孝  檜山康介…工藤阿須加  小久保一茂…菊池風磨（Sexy Zone）  河口梨央…谷村美月  小出舞…大政絢  杉野史郎…河相我聞  鹿内大…勝矢  神田勇樹…前田公輝  波多光佑…斉藤嘉樹  白鳥花蓮…飯豊まりえ  ○  白鳥久人…いしだ壱成  白鳥窓花…草刈民代  河口玲二…中原丈雄（特別出演）  竹部順一郎…萩原聖人  蜂須賀大吾…石丸幹二『ローズ』"&amp;"ベッド・ミドラー脚本監修：野島伸司  脚本：池田奈津子  原作：ダニエル・キイス／小尾芙佐訳「アルジャーノンに花束を」（ハヤカワ文庫）  音楽：千住明  編成・プロデューサー：韓哲  プロデューサー：佐藤敦司演出：酒井聖博◇番組公式Twitter  @algernon2015  https://twitter.com/algernon2015  ◇番組HP http://www.tbs.co.jp/algernon2015/  工藤阿須加 先輩・萩原聖人のツッコミにタジタジ…番外編 金曜22時『アルジャー"&amp;"ノンに花束を』動画公開しました！")</f>
        <v>アルジャーノンにALGの副作用が認められることを蜂須賀（石丸幹二）から聞かされた咲人（山下智久）は、研究所へと戻っていた。ある部屋で、学会のときに映写した手術前の自分の姿を観ていた咲人…と、そこへ遥香（栗山千明）が咲人を探してやってきた。  研究室へ向かうと、蜂須賀から今後の対策が説明される。それは、咲人と蜂須賀で議論を重ねた結果、ある仮説を立て、それに基づき退行作用を防ぐために、ALGを強化改良する事だった。その仮説を聞いた小久保（菊池風磨）と遥香は咲人の事を心配するが、「私に残された時間がわからない」という咲人の言葉を受け、蜂須賀は早速作業に取りかかるよう指示した。一体、その仮説とは！？白鳥咲人…山下智久  望月遥香…栗山千明  柳川隆一…窪田正孝  檜山康介…工藤阿須加  小久保一茂…菊池風磨（Sexy Zone）  河口梨央…谷村美月  小出舞…大政絢  杉野史郎…河相我聞  鹿内大…勝矢  神田勇樹…前田公輝  波多光佑…斉藤嘉樹  白鳥花蓮…飯豊まりえ  ○  白鳥久人…いしだ壱成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プロデューサー：佐藤敦司演出：酒井聖博◇番組公式Twitter  @algernon2015  https://twitter.com/algernon2015  ◇番組HP http://www.tbs.co.jp/algernon2015/  工藤阿須加 先輩・萩原聖人のツッコミにタジタジ…番外編 金曜22時『アルジャーノンに花束を』動画公開しました！</v>
      </c>
      <c r="N5178" s="2"/>
      <c r="O5178" s="2"/>
      <c r="P5178" s="1"/>
      <c r="Q5178" s="1"/>
      <c r="R5178" s="1"/>
      <c r="S5178" s="1"/>
      <c r="T5178" s="1"/>
      <c r="U5178" s="1"/>
      <c r="V5178" s="1"/>
      <c r="W5178" s="1"/>
      <c r="X5178" s="1"/>
      <c r="Y5178" s="1"/>
      <c r="Z5178" s="1"/>
      <c r="AA5178" s="1"/>
      <c r="AB5178" s="1"/>
      <c r="AC5178" s="1"/>
      <c r="AD5178" s="1"/>
      <c r="AE5178" s="1"/>
      <c r="AF5178" s="1"/>
      <c r="AG5178" s="1"/>
      <c r="AH5178" s="1"/>
      <c r="AI5178" s="1"/>
      <c r="AJ5178" s="1"/>
      <c r="AK5178" s="1"/>
      <c r="AL5178" s="1"/>
      <c r="AM5178" s="1"/>
      <c r="AN5178" s="1"/>
      <c r="AO5178" s="1"/>
      <c r="AP5178" s="1"/>
      <c r="AQ5178" s="1"/>
      <c r="AR5178" s="1"/>
      <c r="AS5178" s="1"/>
      <c r="AT5178" s="1"/>
      <c r="AU5178" s="1"/>
      <c r="AV5178" s="1"/>
      <c r="AW5178" s="1"/>
      <c r="AX5178" s="1"/>
      <c r="AY5178" s="1"/>
      <c r="AZ5178" s="1"/>
      <c r="BA5178" s="1"/>
      <c r="BB5178" s="1"/>
    </row>
    <row r="5179" ht="204.75" customHeight="1">
      <c r="A5179" s="1">
        <v>2221.0</v>
      </c>
      <c r="B5179" s="2" t="s">
        <v>14405</v>
      </c>
      <c r="C5179" s="2">
        <f>IFERROR(__xludf.DUMMYFUNCTION("split(B5179,""_"")"),1504.0)</f>
        <v>1504</v>
      </c>
      <c r="D5179" s="2" t="str">
        <f>IFERROR(__xludf.DUMMYFUNCTION("""COMPUTED_VALUE"""),"TBS")</f>
        <v>TBS</v>
      </c>
      <c r="E5179" s="2" t="str">
        <f>IFERROR(__xludf.DUMMYFUNCTION("""COMPUTED_VALUE"""),"金22")</f>
        <v>金22</v>
      </c>
      <c r="F5179" s="2" t="s">
        <v>14406</v>
      </c>
      <c r="G5179" s="2" t="s">
        <v>14425</v>
      </c>
      <c r="H5179" s="1">
        <v>10.0</v>
      </c>
      <c r="J5179" s="1" t="s">
        <v>4</v>
      </c>
      <c r="K5179" s="2" t="s">
        <v>14426</v>
      </c>
      <c r="L5179" s="2"/>
      <c r="M5179" s="2" t="str">
        <f>IFERROR(__xludf.DUMMYFUNCTION("split(split(K5179,""【"",false),""公式LINE"",false)"),"咲人（山下智久）は、梨央（谷村美月）を助けるために、杉野（河相我聞）らとチームを結成。それを知った柳川（窪田正孝）と檜山（工藤阿須加）は希望を持つ。しかし、咲人を助けたい一心の遥香（栗山千明）は、一刻も早く対処法を見つけてほしいと蜂須賀（石丸幹二）に懇願する。その後日、河口（中原丈雄）が、蜂須賀の事を刑事告訴すると伝える。梨央の病気の特効薬を開発するという名目で、効果を望めない研究のために莫大な資金を流用したとして、詐欺罪が成立するという。しかし、咲人が梨央の事を救えた時は、研究チームが開発したALGが梨"&amp;"央を救ったと考え、告訴を取り下げてもいいと告げる。そんな時、咲人は竹部の元を訪れていた…白鳥咲人…山下智久  望月遥香…栗山千明  柳川隆一…窪田正孝  檜山康介…工藤阿須加  小久保一茂…菊池風磨（Sexy Zone）  河口梨央…谷村美月  小出舞…大政絢  杉野史郎…河相我聞  鹿内大…勝矢  神田勇樹…前田公輝  波多光佑…斎藤嘉樹  白鳥花蓮…飯豊まりえ  ○  白鳥久人…いしだ壱成  白鳥窓花…草刈民代  河口玲二…中原丈雄（特別出演）  竹部順一郎…萩原聖人  蜂須賀大吾…石丸幹二『ローズ』"&amp;"ベッド・ミドラー脚本監修：野島伸司  脚本：池田奈津子  原作：ダニエル・キイス／小尾芙佐訳「アルジャーノンに花束を」（ハヤカワ文庫）  音楽：千住明  編成・プロデューサー：韓哲  プロデューサー：佐藤敦司演出：吉田健◇番組公式Twitter  @algernon2015  https://twitter.com/algernon2015  ◇番組HP http://www.tbs.co.jp/algernon2015/  遂に最終話! 「間違いなく泣きます」窪田正孝×工藤阿須加×栗山千明「裏話」6/1"&amp;"2（ 金）最終話『アルジャーノンに花束を』  https://youtu.be/f4oKKeq1_w4  番組の内容と放送時間は変更になる可能性があります。")</f>
        <v>咲人（山下智久）は、梨央（谷村美月）を助けるために、杉野（河相我聞）らとチームを結成。それを知った柳川（窪田正孝）と檜山（工藤阿須加）は希望を持つ。しかし、咲人を助けたい一心の遥香（栗山千明）は、一刻も早く対処法を見つけてほしいと蜂須賀（石丸幹二）に懇願する。その後日、河口（中原丈雄）が、蜂須賀の事を刑事告訴すると伝える。梨央の病気の特効薬を開発するという名目で、効果を望めない研究のために莫大な資金を流用したとして、詐欺罪が成立するという。しかし、咲人が梨央の事を救えた時は、研究チームが開発したALGが梨央を救ったと考え、告訴を取り下げてもいいと告げる。そんな時、咲人は竹部の元を訪れていた…白鳥咲人…山下智久  望月遥香…栗山千明  柳川隆一…窪田正孝  檜山康介…工藤阿須加  小久保一茂…菊池風磨（Sexy Zone）  河口梨央…谷村美月  小出舞…大政絢  杉野史郎…河相我聞  鹿内大…勝矢  神田勇樹…前田公輝  波多光佑…斎藤嘉樹  白鳥花蓮…飯豊まりえ  ○  白鳥久人…いしだ壱成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プロデューサー：佐藤敦司演出：吉田健◇番組公式Twitter  @algernon2015  https://twitter.com/algernon2015  ◇番組HP http://www.tbs.co.jp/algernon2015/  遂に最終話! 「間違いなく泣きます」窪田正孝×工藤阿須加×栗山千明「裏話」6/12（ 金）最終話『アルジャーノンに花束を』  https://youtu.be/f4oKKeq1_w4  番組の内容と放送時間は変更になる可能性があります。</v>
      </c>
      <c r="N5179" s="2"/>
      <c r="O5179" s="2"/>
      <c r="P5179" s="1"/>
      <c r="Q5179" s="1"/>
      <c r="R5179" s="1"/>
      <c r="S5179" s="1"/>
      <c r="T5179" s="1"/>
      <c r="U5179" s="1"/>
      <c r="V5179" s="1"/>
      <c r="W5179" s="1"/>
      <c r="X5179" s="1"/>
      <c r="Y5179" s="1"/>
      <c r="Z5179" s="1"/>
      <c r="AA5179" s="1"/>
      <c r="AB5179" s="1"/>
      <c r="AC5179" s="1"/>
      <c r="AD5179" s="1"/>
      <c r="AE5179" s="1"/>
      <c r="AF5179" s="1"/>
      <c r="AG5179" s="1"/>
      <c r="AH5179" s="1"/>
      <c r="AI5179" s="1"/>
      <c r="AJ5179" s="1"/>
      <c r="AK5179" s="1"/>
      <c r="AL5179" s="1"/>
      <c r="AM5179" s="1"/>
      <c r="AN5179" s="1"/>
      <c r="AO5179" s="1"/>
      <c r="AP5179" s="1"/>
      <c r="AQ5179" s="1"/>
      <c r="AR5179" s="1"/>
      <c r="AS5179" s="1"/>
      <c r="AT5179" s="1"/>
      <c r="AU5179" s="1"/>
      <c r="AV5179" s="1"/>
      <c r="AW5179" s="1"/>
      <c r="AX5179" s="1"/>
      <c r="AY5179" s="1"/>
      <c r="AZ5179" s="1"/>
      <c r="BA5179" s="1"/>
      <c r="BB5179" s="1"/>
    </row>
    <row r="5180" ht="204.75" customHeight="1">
      <c r="A5180" s="1">
        <v>2242.0</v>
      </c>
      <c r="B5180" s="2" t="s">
        <v>14427</v>
      </c>
      <c r="C5180" s="2">
        <f>IFERROR(__xludf.DUMMYFUNCTION("split(B5180,""_"")"),1504.0)</f>
        <v>1504</v>
      </c>
      <c r="D5180" s="2" t="str">
        <f>IFERROR(__xludf.DUMMYFUNCTION("""COMPUTED_VALUE"""),"TBS")</f>
        <v>TBS</v>
      </c>
      <c r="E5180" s="2" t="str">
        <f>IFERROR(__xludf.DUMMYFUNCTION("""COMPUTED_VALUE"""),"日21")</f>
        <v>日21</v>
      </c>
      <c r="F5180" s="2" t="s">
        <v>14428</v>
      </c>
      <c r="G5180" s="2" t="s">
        <v>14429</v>
      </c>
      <c r="H5180" s="1">
        <v>1.0</v>
      </c>
      <c r="J5180" s="1" t="s">
        <v>4</v>
      </c>
      <c r="K5180" s="2" t="s">
        <v>14430</v>
      </c>
      <c r="L5180" s="2"/>
      <c r="M5180" s="2" t="str">
        <f>IFERROR(__xludf.DUMMYFUNCTION("split(split(K5180,""【"",false),""公式LINE"",false)"),"時は1904年（明治37年）、福井県武生、一人の男が戸板に乗せられて運ばれてくる。男の名前は秋山篤蔵（佐藤健）。法学部に通う兄・周太郎（鈴木亮平）とは違い、何をやっても長続きしない性格。そんな篤蔵の運命を変えたのは、軍隊のコック田辺祐吉（伊藤英明）に食べさせてもらった一枚のカツレツだった。料理に夢を見て、周りの人間たちに支えられ続けた男の愛の物語が今始まろうとしている。郷ひろみさん24年ぶりに連続ドラマに出演！！佐藤健　黒木華　桐谷健太　柄本佑　石橋杏奈　森岡龍　／鈴木亮平　武田鉄矢　伊藤英明／郷ひろみ（"&amp;"特別出演）／大島さと子　日野陽仁　麻生祐未　美保純　杉本哲太　小林薫主題歌　「夢見る人」さだまさし（ユーキャン）  音楽　羽毛田丈史　やまだ豊脚本：森下佳子　プロデュース：石丸彰彦　演出：平川雄一朗番組HP日々更新中    佐藤健人生初のツイッター！期間限定で番組ツイッターをジャック中！！◇番組HP  http://www.tbs.co.jp/tenno_no_ryoriban/  ◇facebook  https://www.facebook.com/ryoribantbs◇twitter  @ryor"&amp;"iban_tbs   https://twitter.com/ryoriban_tbs◇YouTube公式チャンネル  https://www.youtube.com/channel/UC0kuMBAHW-xDQ9pS3DVhnNg番組の内容と放送時間は変更になる可能性があります。")</f>
        <v>時は1904年（明治37年）、福井県武生、一人の男が戸板に乗せられて運ばれてくる。男の名前は秋山篤蔵（佐藤健）。法学部に通う兄・周太郎（鈴木亮平）とは違い、何をやっても長続きしない性格。そんな篤蔵の運命を変えたのは、軍隊のコック田辺祐吉（伊藤英明）に食べさせてもらった一枚のカツレツだった。料理に夢を見て、周りの人間たちに支えられ続けた男の愛の物語が今始まろうとしている。郷ひろみさん24年ぶりに連続ドラマに出演！！佐藤健　黒木華　桐谷健太　柄本佑　石橋杏奈　森岡龍　／鈴木亮平　武田鉄矢　伊藤英明／郷ひろみ（特別出演）／大島さと子　日野陽仁　麻生祐未　美保純　杉本哲太　小林薫主題歌　「夢見る人」さだまさし（ユーキャン）  音楽　羽毛田丈史　やまだ豊脚本：森下佳子　プロデュース：石丸彰彦　演出：平川雄一朗番組HP日々更新中    佐藤健人生初のツイッター！期間限定で番組ツイッターをジャック中！！◇番組HP  http://www.tbs.co.jp/tenno_no_ryoriban/  ◇facebook  https://www.facebook.com/ryoribantbs◇twitter  @ryoriban_tbs   https://twitter.com/ryoriban_tbs◇YouTube公式チャンネル  https://www.youtube.com/channel/UC0kuMBAHW-xDQ9pS3DVhnNg番組の内容と放送時間は変更になる可能性があります。</v>
      </c>
      <c r="N5180" s="2"/>
      <c r="O5180" s="2"/>
      <c r="P5180" s="1"/>
      <c r="Q5180" s="1"/>
      <c r="R5180" s="1"/>
      <c r="S5180" s="1"/>
      <c r="T5180" s="1"/>
      <c r="U5180" s="1"/>
      <c r="V5180" s="1"/>
      <c r="W5180" s="1"/>
      <c r="X5180" s="1"/>
      <c r="Y5180" s="1"/>
      <c r="Z5180" s="1"/>
      <c r="AA5180" s="1"/>
      <c r="AB5180" s="1"/>
      <c r="AC5180" s="1"/>
      <c r="AD5180" s="1"/>
      <c r="AE5180" s="1"/>
      <c r="AF5180" s="1"/>
      <c r="AG5180" s="1"/>
      <c r="AH5180" s="1"/>
      <c r="AI5180" s="1"/>
      <c r="AJ5180" s="1"/>
      <c r="AK5180" s="1"/>
      <c r="AL5180" s="1"/>
      <c r="AM5180" s="1"/>
      <c r="AN5180" s="1"/>
      <c r="AO5180" s="1"/>
      <c r="AP5180" s="1"/>
      <c r="AQ5180" s="1"/>
      <c r="AR5180" s="1"/>
      <c r="AS5180" s="1"/>
      <c r="AT5180" s="1"/>
      <c r="AU5180" s="1"/>
      <c r="AV5180" s="1"/>
      <c r="AW5180" s="1"/>
      <c r="AX5180" s="1"/>
      <c r="AY5180" s="1"/>
      <c r="AZ5180" s="1"/>
      <c r="BA5180" s="1"/>
      <c r="BB5180" s="1"/>
    </row>
    <row r="5181" ht="204.75" customHeight="1">
      <c r="A5181" s="1">
        <v>2243.0</v>
      </c>
      <c r="B5181" s="2" t="s">
        <v>14427</v>
      </c>
      <c r="C5181" s="2">
        <f>IFERROR(__xludf.DUMMYFUNCTION("split(B5181,""_"")"),1504.0)</f>
        <v>1504</v>
      </c>
      <c r="D5181" s="2" t="str">
        <f>IFERROR(__xludf.DUMMYFUNCTION("""COMPUTED_VALUE"""),"TBS")</f>
        <v>TBS</v>
      </c>
      <c r="E5181" s="2" t="str">
        <f>IFERROR(__xludf.DUMMYFUNCTION("""COMPUTED_VALUE"""),"日21")</f>
        <v>日21</v>
      </c>
      <c r="F5181" s="2" t="s">
        <v>14428</v>
      </c>
      <c r="G5181" s="2" t="s">
        <v>14431</v>
      </c>
      <c r="H5181" s="1">
        <v>2.0</v>
      </c>
      <c r="J5181" s="1" t="s">
        <v>4</v>
      </c>
      <c r="K5181" s="2" t="s">
        <v>14432</v>
      </c>
      <c r="L5181" s="2"/>
      <c r="M5181" s="2" t="str">
        <f>IFERROR(__xludf.DUMMYFUNCTION("split(split(K5181,""【"",false),""公式LINE"",false)"),"料理人になるべく全てを捨て上京した篤蔵は、華族会館の門を叩いた。料理長である宇佐美鎌市（小林薫）の元で修行を始める篤蔵であるが、厨房の厳しさを目の当たりにする。そんな中、住み込みで働く松井新太郎（桐谷健太）、山上辰吉（柄本佑）に出会う。少しでも早く一人前の料理人になると誓う篤蔵であるが、鍋の洗い直しを怠った事が宇佐美に見つかってしまい・・・佐藤健　黒木華　桐谷健太　柄本佑　芦名星　森岡龍　／鈴木亮平　武田鉄矢　／坪倉由幸（我が家）　西沢仁太　黒田大輔　大西武志　渡邊衛　大熊ひろたか　城戸裕次　大内田悠平　"&amp;"大島さと子　日野陽仁　美保純　杉本哲太　小林薫主題歌　「夢見る人」さだまさし（ユーキャン）  音楽　羽毛田丈史　やまだ豊脚本：森下佳子　プロデュース：石丸彰彦　演出：平川雄一朗番組HP日々更新中◇番組HP  http://www.tbs.co.jp/tenno_no_ryoriban/  ◇facebook  https://www.facebook.com/ryoribantbs◇twitter  @ryoriban_tbs   https://twitter.com/ryoriban_tbs  ◇Yo"&amp;"uTube公式チャンネル  https://www.youtube.com/channel/UC0kuMBAHW-xDQ9pS3DVhnNg  番組の内容と放送時間は変更になる可能性があります。")</f>
        <v>料理人になるべく全てを捨て上京した篤蔵は、華族会館の門を叩いた。料理長である宇佐美鎌市（小林薫）の元で修行を始める篤蔵であるが、厨房の厳しさを目の当たりにする。そんな中、住み込みで働く松井新太郎（桐谷健太）、山上辰吉（柄本佑）に出会う。少しでも早く一人前の料理人になると誓う篤蔵であるが、鍋の洗い直しを怠った事が宇佐美に見つかってしまい・・・佐藤健　黒木華　桐谷健太　柄本佑　芦名星　森岡龍　／鈴木亮平　武田鉄矢　／坪倉由幸（我が家）　西沢仁太　黒田大輔　大西武志　渡邊衛　大熊ひろたか　城戸裕次　大内田悠平　大島さと子　日野陽仁　美保純　杉本哲太　小林薫主題歌　「夢見る人」さだまさし（ユーキャン）  音楽　羽毛田丈史　やまだ豊脚本：森下佳子　プロデュース：石丸彰彦　演出：平川雄一朗番組HP日々更新中◇番組HP  http://www.tbs.co.jp/tenno_no_ryoriban/  ◇facebook  https://www.facebook.com/ryoribantbs◇twitter  @ryoriban_tbs   https://twitter.com/ryoriban_tbs  ◇YouTube公式チャンネル  https://www.youtube.com/channel/UC0kuMBAHW-xDQ9pS3DVhnNg  番組の内容と放送時間は変更になる可能性があります。</v>
      </c>
      <c r="N5181" s="2"/>
      <c r="O5181" s="2"/>
      <c r="P5181" s="1"/>
      <c r="Q5181" s="1"/>
      <c r="R5181" s="1"/>
      <c r="S5181" s="1"/>
      <c r="T5181" s="1"/>
      <c r="U5181" s="1"/>
      <c r="V5181" s="1"/>
      <c r="W5181" s="1"/>
      <c r="X5181" s="1"/>
      <c r="Y5181" s="1"/>
      <c r="Z5181" s="1"/>
      <c r="AA5181" s="1"/>
      <c r="AB5181" s="1"/>
      <c r="AC5181" s="1"/>
      <c r="AD5181" s="1"/>
      <c r="AE5181" s="1"/>
      <c r="AF5181" s="1"/>
      <c r="AG5181" s="1"/>
      <c r="AH5181" s="1"/>
      <c r="AI5181" s="1"/>
      <c r="AJ5181" s="1"/>
      <c r="AK5181" s="1"/>
      <c r="AL5181" s="1"/>
      <c r="AM5181" s="1"/>
      <c r="AN5181" s="1"/>
      <c r="AO5181" s="1"/>
      <c r="AP5181" s="1"/>
      <c r="AQ5181" s="1"/>
      <c r="AR5181" s="1"/>
      <c r="AS5181" s="1"/>
      <c r="AT5181" s="1"/>
      <c r="AU5181" s="1"/>
      <c r="AV5181" s="1"/>
      <c r="AW5181" s="1"/>
      <c r="AX5181" s="1"/>
      <c r="AY5181" s="1"/>
      <c r="AZ5181" s="1"/>
      <c r="BA5181" s="1"/>
      <c r="BB5181" s="1"/>
    </row>
    <row r="5182" ht="204.75" customHeight="1">
      <c r="A5182" s="1">
        <v>2244.0</v>
      </c>
      <c r="B5182" s="2" t="s">
        <v>14427</v>
      </c>
      <c r="C5182" s="2">
        <f>IFERROR(__xludf.DUMMYFUNCTION("split(B5182,""_"")"),1504.0)</f>
        <v>1504</v>
      </c>
      <c r="D5182" s="2" t="str">
        <f>IFERROR(__xludf.DUMMYFUNCTION("""COMPUTED_VALUE"""),"TBS")</f>
        <v>TBS</v>
      </c>
      <c r="E5182" s="2" t="str">
        <f>IFERROR(__xludf.DUMMYFUNCTION("""COMPUTED_VALUE"""),"日21")</f>
        <v>日21</v>
      </c>
      <c r="F5182" s="2" t="s">
        <v>14428</v>
      </c>
      <c r="G5182" s="2" t="s">
        <v>14433</v>
      </c>
      <c r="H5182" s="1">
        <v>3.0</v>
      </c>
      <c r="J5182" s="1" t="s">
        <v>4</v>
      </c>
      <c r="K5182" s="2" t="s">
        <v>14434</v>
      </c>
      <c r="L5182" s="2"/>
      <c r="M5182" s="2" t="str">
        <f>IFERROR(__xludf.DUMMYFUNCTION("split(split(K5182,""【"",false),""公式LINE"",false)"),"時は1904年（明治37年）、福井県武生、一人の男が戸板に乗せられて運ばれてくる。男の名前は秋山篤蔵（佐藤健）。法学部に通う兄・周太郎（鈴木亮平）とは違い、何をやっても長続きしない性格。そんな篤蔵の運命を変えたのは、軍隊のコック田辺祐吉（伊藤英明）に食べさせてもらった一枚のカツレツだった。料理に夢を見て、周りの人間たちに支えられ続けた男の愛の物語が今始まろうとしている。佐藤健　黒木華　桐谷健太　柄本佑　森岡龍　／鈴木亮平　武田鉄矢　／坪倉由幸（我が家）　西沢仁太　黒田大輔　大西武志　渡邊衛　大熊ひろたか　"&amp;"城戸裕次　　加藤雅也　大島さと子　日野陽仁　美保純　杉本哲太　小林薫主題歌　「夢見る人」さだまさし（ユーキャン）  音楽　羽毛田丈史　やまだ豊脚本：森下佳子　プロデュース：石丸彰彦　演出：平川雄一朗番組HP日々更新中    佐藤健人生初のツイッター！期間限定で番組ツイッターをジャック中！！◇番組HP  http://www.tbs.co.jp/tenno_no_ryoriban/  ◇facebook  https://www.facebook.com/ryoribantbs◇twitter  @ryor"&amp;"iban_tbs   https://twitter.com/ryoriban_tbs◇YouTube公式チャンネル  https://www.youtube.com/channel/UC0kuMBAHW-xDQ9pS3DVhnNg番組の内容と放送時間は変更になる可能性があります。")</f>
        <v>時は1904年（明治37年）、福井県武生、一人の男が戸板に乗せられて運ばれてくる。男の名前は秋山篤蔵（佐藤健）。法学部に通う兄・周太郎（鈴木亮平）とは違い、何をやっても長続きしない性格。そんな篤蔵の運命を変えたのは、軍隊のコック田辺祐吉（伊藤英明）に食べさせてもらった一枚のカツレツだった。料理に夢を見て、周りの人間たちに支えられ続けた男の愛の物語が今始まろうとしている。佐藤健　黒木華　桐谷健太　柄本佑　森岡龍　／鈴木亮平　武田鉄矢　／坪倉由幸（我が家）　西沢仁太　黒田大輔　大西武志　渡邊衛　大熊ひろたか　城戸裕次　　加藤雅也　大島さと子　日野陽仁　美保純　杉本哲太　小林薫主題歌　「夢見る人」さだまさし（ユーキャン）  音楽　羽毛田丈史　やまだ豊脚本：森下佳子　プロデュース：石丸彰彦　演出：平川雄一朗番組HP日々更新中    佐藤健人生初のツイッター！期間限定で番組ツイッターをジャック中！！◇番組HP  http://www.tbs.co.jp/tenno_no_ryoriban/  ◇facebook  https://www.facebook.com/ryoribantbs◇twitter  @ryoriban_tbs   https://twitter.com/ryoriban_tbs◇YouTube公式チャンネル  https://www.youtube.com/channel/UC0kuMBAHW-xDQ9pS3DVhnNg番組の内容と放送時間は変更になる可能性があります。</v>
      </c>
      <c r="N5182" s="2"/>
      <c r="O5182" s="2"/>
      <c r="P5182" s="1"/>
      <c r="Q5182" s="1"/>
      <c r="R5182" s="1"/>
      <c r="S5182" s="1"/>
      <c r="T5182" s="1"/>
      <c r="U5182" s="1"/>
      <c r="V5182" s="1"/>
      <c r="W5182" s="1"/>
      <c r="X5182" s="1"/>
      <c r="Y5182" s="1"/>
      <c r="Z5182" s="1"/>
      <c r="AA5182" s="1"/>
      <c r="AB5182" s="1"/>
      <c r="AC5182" s="1"/>
      <c r="AD5182" s="1"/>
      <c r="AE5182" s="1"/>
      <c r="AF5182" s="1"/>
      <c r="AG5182" s="1"/>
      <c r="AH5182" s="1"/>
      <c r="AI5182" s="1"/>
      <c r="AJ5182" s="1"/>
      <c r="AK5182" s="1"/>
      <c r="AL5182" s="1"/>
      <c r="AM5182" s="1"/>
      <c r="AN5182" s="1"/>
      <c r="AO5182" s="1"/>
      <c r="AP5182" s="1"/>
      <c r="AQ5182" s="1"/>
      <c r="AR5182" s="1"/>
      <c r="AS5182" s="1"/>
      <c r="AT5182" s="1"/>
      <c r="AU5182" s="1"/>
      <c r="AV5182" s="1"/>
      <c r="AW5182" s="1"/>
      <c r="AX5182" s="1"/>
      <c r="AY5182" s="1"/>
      <c r="AZ5182" s="1"/>
      <c r="BA5182" s="1"/>
      <c r="BB5182" s="1"/>
    </row>
    <row r="5183" ht="204.75" customHeight="1">
      <c r="A5183" s="1">
        <v>2245.0</v>
      </c>
      <c r="B5183" s="2" t="s">
        <v>14427</v>
      </c>
      <c r="C5183" s="2">
        <f>IFERROR(__xludf.DUMMYFUNCTION("split(B5183,""_"")"),1504.0)</f>
        <v>1504</v>
      </c>
      <c r="D5183" s="2" t="str">
        <f>IFERROR(__xludf.DUMMYFUNCTION("""COMPUTED_VALUE"""),"TBS")</f>
        <v>TBS</v>
      </c>
      <c r="E5183" s="2" t="str">
        <f>IFERROR(__xludf.DUMMYFUNCTION("""COMPUTED_VALUE"""),"日21")</f>
        <v>日21</v>
      </c>
      <c r="F5183" s="2" t="s">
        <v>14428</v>
      </c>
      <c r="G5183" s="2" t="s">
        <v>14435</v>
      </c>
      <c r="H5183" s="1">
        <v>4.0</v>
      </c>
      <c r="J5183" s="1" t="s">
        <v>11</v>
      </c>
      <c r="K5183" s="2" t="s">
        <v>14436</v>
      </c>
      <c r="L5183" s="2"/>
      <c r="M5183" s="2" t="str">
        <f>IFERROR(__xludf.DUMMYFUNCTION("split(split(K5183,""【"",false),""公式LINE"",false)"),"篤蔵（佐藤健）は妻・俊子（黒木華）と産まれて来る子供を養うため、多くの料理を覚えようと、華族会館だけでなく、英国公使館の厨房を行き来する日々。そんな中、同僚の辰吉（柄本佑）は、先輩の荒木（黒田大輔）から、「病気の兄のお見舞いに行く」と度々厨房を抜け出す篤蔵を尾行するよう命じられる。英国公使館に入る篤蔵を目撃し、荒木に報告するべきか悩み…。一方、周太郎（鈴木亮平）の身体にも異変が・・・佐藤健　黒木華　桐谷健太　柄本佑　佐藤蛾次郎／鈴木亮平　武田鉄矢　／坪倉由幸（我が家）　西沢仁太　黒田大輔　大西武志　渡邊衛"&amp;"　大熊ひろたか　城戸裕次　白井晃　加藤雅也　大島さと子　日野陽仁　美保純　杉本哲太　小林薫主題歌　「夢見る人」さだまさし（ユーキャン）  音楽　羽毛田丈史　やまだ豊脚本：森下佳子　プロデュース：石丸彰彦　演出：平川雄一朗番組HP日々更新中◇番組HP  http://www.tbs.co.jp/tenno_no_ryoriban/  ◇facebook  https://www.facebook.com/ryoribantbs  ◇twitter  @ryoriban_tbs   https://twitt"&amp;"er.com/ryoriban_tbs◇YouTube公式チャンネル  https://www.youtube.com/channel/UC0kuMBAHW-xDQ9pS3DVhnNg番組の内容と放送時間は変更になる可能性があります。")</f>
        <v>篤蔵（佐藤健）は妻・俊子（黒木華）と産まれて来る子供を養うため、多くの料理を覚えようと、華族会館だけでなく、英国公使館の厨房を行き来する日々。そんな中、同僚の辰吉（柄本佑）は、先輩の荒木（黒田大輔）から、「病気の兄のお見舞いに行く」と度々厨房を抜け出す篤蔵を尾行するよう命じられる。英国公使館に入る篤蔵を目撃し、荒木に報告するべきか悩み…。一方、周太郎（鈴木亮平）の身体にも異変が・・・佐藤健　黒木華　桐谷健太　柄本佑　佐藤蛾次郎／鈴木亮平　武田鉄矢　／坪倉由幸（我が家）　西沢仁太　黒田大輔　大西武志　渡邊衛　大熊ひろたか　城戸裕次　白井晃　加藤雅也　大島さと子　日野陽仁　美保純　杉本哲太　小林薫主題歌　「夢見る人」さだまさし（ユーキャン）  音楽　羽毛田丈史　やまだ豊脚本：森下佳子　プロデュース：石丸彰彦　演出：平川雄一朗番組HP日々更新中◇番組HP  http://www.tbs.co.jp/tenno_no_ryoriban/  ◇facebook  https://www.facebook.com/ryoribantbs  ◇twitter  @ryoriban_tbs   https://twitter.com/ryoriban_tbs◇YouTube公式チャンネル  https://www.youtube.com/channel/UC0kuMBAHW-xDQ9pS3DVhnNg番組の内容と放送時間は変更になる可能性があります。</v>
      </c>
      <c r="N5183" s="2"/>
      <c r="O5183" s="2"/>
      <c r="P5183" s="1"/>
      <c r="Q5183" s="1"/>
      <c r="R5183" s="1"/>
      <c r="S5183" s="1"/>
      <c r="T5183" s="1"/>
      <c r="U5183" s="1"/>
      <c r="V5183" s="1"/>
      <c r="W5183" s="1"/>
      <c r="X5183" s="1"/>
      <c r="Y5183" s="1"/>
      <c r="Z5183" s="1"/>
      <c r="AA5183" s="1"/>
      <c r="AB5183" s="1"/>
      <c r="AC5183" s="1"/>
      <c r="AD5183" s="1"/>
      <c r="AE5183" s="1"/>
      <c r="AF5183" s="1"/>
      <c r="AG5183" s="1"/>
      <c r="AH5183" s="1"/>
      <c r="AI5183" s="1"/>
      <c r="AJ5183" s="1"/>
      <c r="AK5183" s="1"/>
      <c r="AL5183" s="1"/>
      <c r="AM5183" s="1"/>
      <c r="AN5183" s="1"/>
      <c r="AO5183" s="1"/>
      <c r="AP5183" s="1"/>
      <c r="AQ5183" s="1"/>
      <c r="AR5183" s="1"/>
      <c r="AS5183" s="1"/>
      <c r="AT5183" s="1"/>
      <c r="AU5183" s="1"/>
      <c r="AV5183" s="1"/>
      <c r="AW5183" s="1"/>
      <c r="AX5183" s="1"/>
      <c r="AY5183" s="1"/>
      <c r="AZ5183" s="1"/>
      <c r="BA5183" s="1"/>
      <c r="BB5183" s="1"/>
    </row>
    <row r="5184" ht="204.75" customHeight="1">
      <c r="A5184" s="1">
        <v>2246.0</v>
      </c>
      <c r="B5184" s="2" t="s">
        <v>14427</v>
      </c>
      <c r="C5184" s="2">
        <f>IFERROR(__xludf.DUMMYFUNCTION("split(B5184,""_"")"),1504.0)</f>
        <v>1504</v>
      </c>
      <c r="D5184" s="2" t="str">
        <f>IFERROR(__xludf.DUMMYFUNCTION("""COMPUTED_VALUE"""),"TBS")</f>
        <v>TBS</v>
      </c>
      <c r="E5184" s="2" t="str">
        <f>IFERROR(__xludf.DUMMYFUNCTION("""COMPUTED_VALUE"""),"日21")</f>
        <v>日21</v>
      </c>
      <c r="F5184" s="2" t="s">
        <v>14428</v>
      </c>
      <c r="G5184" s="2" t="s">
        <v>14437</v>
      </c>
      <c r="H5184" s="1">
        <v>5.0</v>
      </c>
      <c r="J5184" s="1" t="s">
        <v>4</v>
      </c>
      <c r="K5184" s="2" t="s">
        <v>14438</v>
      </c>
      <c r="L5184" s="2"/>
      <c r="M5184" s="2" t="str">
        <f>IFERROR(__xludf.DUMMYFUNCTION("split(split(K5184,""【"",false),""公式LINE"",false)"),"篤蔵（佐藤健）はひょんなことから、店主・仙之介（佐藤蛾次郎）と妻・梅（高岡早紀）が切り盛りする神田の人気食堂・バンザイ軒で働き始める。篤蔵が来たことで店はますます繁盛する。そんな中、福井で出産間近な俊子（黒木華）のことを思い出していたが、ある日欲求不満気な梅から誘惑される。すると、そこに新太郎（桐谷健太）が現れ、篤蔵に周蔵（杉本哲太）からの手紙を渡す。手紙を読んだ篤蔵は、とある事実を知る。佐藤健　黒木華　桐谷健太　柄本佑　佐藤蛾次郎／鈴木亮平　／坪倉由幸（我が家）　西沢仁太　白井晃　大島さと子　日野陽仁　"&amp;"美保純　杉本哲太　小林薫主題歌　「夢見る人」さだまさし（ユーキャン）  音楽　羽毛田丈史　やまだ豊脚本：森下佳子　プロデュース：石丸彰彦　演出：平川雄一朗番組HP日々更新中    佐藤健人生初のツイッター！期間限定で番組ツイッターをジャック中！！◇番組HP  http://www.tbs.co.jp/tenno_no_ryoriban/  ◇facebook  https://www.facebook.com/ryoribantbs◇twitter  @ryoriban_tbs   https://twi"&amp;"tter.com/ryoriban_tbs◇YouTube公式チャンネル  https://www.youtube.com/channel/UC0kuMBAHW-xDQ9pS3DVhnNg番組の内容と放送時間は変更になる可能性があります。")</f>
        <v>篤蔵（佐藤健）はひょんなことから、店主・仙之介（佐藤蛾次郎）と妻・梅（高岡早紀）が切り盛りする神田の人気食堂・バンザイ軒で働き始める。篤蔵が来たことで店はますます繁盛する。そんな中、福井で出産間近な俊子（黒木華）のことを思い出していたが、ある日欲求不満気な梅から誘惑される。すると、そこに新太郎（桐谷健太）が現れ、篤蔵に周蔵（杉本哲太）からの手紙を渡す。手紙を読んだ篤蔵は、とある事実を知る。佐藤健　黒木華　桐谷健太　柄本佑　佐藤蛾次郎／鈴木亮平　／坪倉由幸（我が家）　西沢仁太　白井晃　大島さと子　日野陽仁　美保純　杉本哲太　小林薫主題歌　「夢見る人」さだまさし（ユーキャン）  音楽　羽毛田丈史　やまだ豊脚本：森下佳子　プロデュース：石丸彰彦　演出：平川雄一朗番組HP日々更新中    佐藤健人生初のツイッター！期間限定で番組ツイッターをジャック中！！◇番組HP  http://www.tbs.co.jp/tenno_no_ryoriban/  ◇facebook  https://www.facebook.com/ryoribantbs◇twitter  @ryoriban_tbs   https://twitter.com/ryoriban_tbs◇YouTube公式チャンネル  https://www.youtube.com/channel/UC0kuMBAHW-xDQ9pS3DVhnNg番組の内容と放送時間は変更になる可能性があります。</v>
      </c>
      <c r="N5184" s="2"/>
      <c r="O5184" s="2"/>
      <c r="P5184" s="1"/>
      <c r="Q5184" s="1"/>
      <c r="R5184" s="1"/>
      <c r="S5184" s="1"/>
      <c r="T5184" s="1"/>
      <c r="U5184" s="1"/>
      <c r="V5184" s="1"/>
      <c r="W5184" s="1"/>
      <c r="X5184" s="1"/>
      <c r="Y5184" s="1"/>
      <c r="Z5184" s="1"/>
      <c r="AA5184" s="1"/>
      <c r="AB5184" s="1"/>
      <c r="AC5184" s="1"/>
      <c r="AD5184" s="1"/>
      <c r="AE5184" s="1"/>
      <c r="AF5184" s="1"/>
      <c r="AG5184" s="1"/>
      <c r="AH5184" s="1"/>
      <c r="AI5184" s="1"/>
      <c r="AJ5184" s="1"/>
      <c r="AK5184" s="1"/>
      <c r="AL5184" s="1"/>
      <c r="AM5184" s="1"/>
      <c r="AN5184" s="1"/>
      <c r="AO5184" s="1"/>
      <c r="AP5184" s="1"/>
      <c r="AQ5184" s="1"/>
      <c r="AR5184" s="1"/>
      <c r="AS5184" s="1"/>
      <c r="AT5184" s="1"/>
      <c r="AU5184" s="1"/>
      <c r="AV5184" s="1"/>
      <c r="AW5184" s="1"/>
      <c r="AX5184" s="1"/>
      <c r="AY5184" s="1"/>
      <c r="AZ5184" s="1"/>
      <c r="BA5184" s="1"/>
      <c r="BB5184" s="1"/>
    </row>
    <row r="5185" ht="204.75" customHeight="1">
      <c r="A5185" s="1">
        <v>2247.0</v>
      </c>
      <c r="B5185" s="2" t="s">
        <v>14427</v>
      </c>
      <c r="C5185" s="2">
        <f>IFERROR(__xludf.DUMMYFUNCTION("split(B5185,""_"")"),1504.0)</f>
        <v>1504</v>
      </c>
      <c r="D5185" s="2" t="str">
        <f>IFERROR(__xludf.DUMMYFUNCTION("""COMPUTED_VALUE"""),"TBS")</f>
        <v>TBS</v>
      </c>
      <c r="E5185" s="2" t="str">
        <f>IFERROR(__xludf.DUMMYFUNCTION("""COMPUTED_VALUE"""),"日21")</f>
        <v>日21</v>
      </c>
      <c r="F5185" s="2" t="s">
        <v>14428</v>
      </c>
      <c r="G5185" s="2" t="s">
        <v>14439</v>
      </c>
      <c r="H5185" s="1">
        <v>6.0</v>
      </c>
      <c r="J5185" s="1" t="s">
        <v>4</v>
      </c>
      <c r="K5185" s="2" t="s">
        <v>14440</v>
      </c>
      <c r="L5185" s="2"/>
      <c r="M5185" s="2" t="str">
        <f>IFERROR(__xludf.DUMMYFUNCTION("split(split(K5185,""【"",false),""公式LINE"",false)"),"バンザイ軒に戻った篤蔵（佐藤健）は、パリを夢見ながらも地道に励んでいた。そんな中、篤蔵の新メニューが評判を呼び、バンザイ軒には長蛇の列が出来ていた。その噂は華族会館の宇佐美（小林薫）のもとへも届き、振舞う事になるのだが・・・一方福井では、兄・周太郎の病状が悪くなる一方だった。自身の行く末を想う周太郎の篤蔵に対する想いとは・・・そして妻・俊子も運命の決断に迫られていた。俊子の選んだ未来とは・・・佐藤健　黒木華　桐谷健太　柄本佑　芦名星　佐藤蛾次郎／鈴木亮平　武田鉄矢／坪倉由幸（我が家）　大熊ひろたか　加藤雅"&amp;"也　大島さと子　日野陽仁　美保純　杉本哲太　小林薫主題歌　「夢見る人」さだまさし（ユーキャン）  音楽　羽毛田丈史　やまだ豊脚本：森下佳子　プロデュース：石丸彰彦　演出：平川雄一朗番組HP日々更新中◇番組HP  http://www.tbs.co.jp/tenno_no_ryoriban/  ◇facebook  https://www.facebook.com/ryoribantbs  ◇twitter  @ryoriban_tbs   https://twitter.com/ryoriban_tbs "&amp;" ◇YouTube公式チャンネル  https://www.youtube.com/channel/UC0kuMBAHW-xDQ9pS3DVhnNg  番組の内容と放送時間は変更になる可能性があります。")</f>
        <v>バンザイ軒に戻った篤蔵（佐藤健）は、パリを夢見ながらも地道に励んでいた。そんな中、篤蔵の新メニューが評判を呼び、バンザイ軒には長蛇の列が出来ていた。その噂は華族会館の宇佐美（小林薫）のもとへも届き、振舞う事になるのだが・・・一方福井では、兄・周太郎の病状が悪くなる一方だった。自身の行く末を想う周太郎の篤蔵に対する想いとは・・・そして妻・俊子も運命の決断に迫られていた。俊子の選んだ未来とは・・・佐藤健　黒木華　桐谷健太　柄本佑　芦名星　佐藤蛾次郎／鈴木亮平　武田鉄矢／坪倉由幸（我が家）　大熊ひろたか　加藤雅也　大島さと子　日野陽仁　美保純　杉本哲太　小林薫主題歌　「夢見る人」さだまさし（ユーキャン）  音楽　羽毛田丈史　やまだ豊脚本：森下佳子　プロデュース：石丸彰彦　演出：平川雄一朗番組HP日々更新中◇番組HP  http://www.tbs.co.jp/tenno_no_ryoriban/  ◇facebook  https://www.facebook.com/ryoribantbs  ◇twitter  @ryoriban_tbs   https://twitter.com/ryoriban_tbs  ◇YouTube公式チャンネル  https://www.youtube.com/channel/UC0kuMBAHW-xDQ9pS3DVhnNg  番組の内容と放送時間は変更になる可能性があります。</v>
      </c>
      <c r="N5185" s="2"/>
      <c r="O5185" s="2"/>
      <c r="P5185" s="1"/>
      <c r="Q5185" s="1"/>
      <c r="R5185" s="1"/>
      <c r="S5185" s="1"/>
      <c r="T5185" s="1"/>
      <c r="U5185" s="1"/>
      <c r="V5185" s="1"/>
      <c r="W5185" s="1"/>
      <c r="X5185" s="1"/>
      <c r="Y5185" s="1"/>
      <c r="Z5185" s="1"/>
      <c r="AA5185" s="1"/>
      <c r="AB5185" s="1"/>
      <c r="AC5185" s="1"/>
      <c r="AD5185" s="1"/>
      <c r="AE5185" s="1"/>
      <c r="AF5185" s="1"/>
      <c r="AG5185" s="1"/>
      <c r="AH5185" s="1"/>
      <c r="AI5185" s="1"/>
      <c r="AJ5185" s="1"/>
      <c r="AK5185" s="1"/>
      <c r="AL5185" s="1"/>
      <c r="AM5185" s="1"/>
      <c r="AN5185" s="1"/>
      <c r="AO5185" s="1"/>
      <c r="AP5185" s="1"/>
      <c r="AQ5185" s="1"/>
      <c r="AR5185" s="1"/>
      <c r="AS5185" s="1"/>
      <c r="AT5185" s="1"/>
      <c r="AU5185" s="1"/>
      <c r="AV5185" s="1"/>
      <c r="AW5185" s="1"/>
      <c r="AX5185" s="1"/>
      <c r="AY5185" s="1"/>
      <c r="AZ5185" s="1"/>
      <c r="BA5185" s="1"/>
      <c r="BB5185" s="1"/>
    </row>
    <row r="5186" ht="204.75" customHeight="1">
      <c r="A5186" s="1">
        <v>2248.0</v>
      </c>
      <c r="B5186" s="2" t="s">
        <v>14427</v>
      </c>
      <c r="C5186" s="2">
        <f>IFERROR(__xludf.DUMMYFUNCTION("split(B5186,""_"")"),1504.0)</f>
        <v>1504</v>
      </c>
      <c r="D5186" s="2" t="str">
        <f>IFERROR(__xludf.DUMMYFUNCTION("""COMPUTED_VALUE"""),"TBS")</f>
        <v>TBS</v>
      </c>
      <c r="E5186" s="2" t="str">
        <f>IFERROR(__xludf.DUMMYFUNCTION("""COMPUTED_VALUE"""),"日21")</f>
        <v>日21</v>
      </c>
      <c r="F5186" s="2" t="s">
        <v>14428</v>
      </c>
      <c r="G5186" s="2" t="s">
        <v>14441</v>
      </c>
      <c r="H5186" s="1">
        <v>7.0</v>
      </c>
      <c r="J5186" s="1" t="s">
        <v>11</v>
      </c>
      <c r="K5186" s="2" t="s">
        <v>14442</v>
      </c>
      <c r="L5186" s="2"/>
      <c r="M5186" s="2" t="str">
        <f>IFERROR(__xludf.DUMMYFUNCTION("split(split(K5186,""【"",false),""公式LINE"",false)"),"パリの地に立った篤蔵は、大使館の粟野のもとを訪れる。篤蔵に働き口として紹介されたのは、一流ホテルの厨房だった。そこで篤蔵を待っていたのは、「人種」という壁であった。そして篤蔵は大切なモノを失うことになる。激しい怒りの中、篤蔵のとった行動とは・・・そんな中、篤蔵の前に意外な人物が姿を現す。その人物とは・・・  一方、日本では俊子が新たな生活を始めていた。そして兄・周太郎は・・・郷ひろみ24年ぶりの民放連ドラ出演！役作りでヒゲを蓄え、撮影一ヶ月前からフランス語を猛特訓！  そしてANA全面タイアップのもと、長"&amp;"期に渡るフランスロケを敢行！！1900年代初頭のパリを映像で再現！！佐藤健　黒木華　桐谷健太　芦名星　サフィラ・ヴァン・ドーン　ノエミ・ナカイ　グレッグ デール　ロイック ガルニエ　鈴木亮平　郷ひろみ（特別出演）主題歌　「夢見る人」さだまさし（ユーキャン）  音楽　羽毛田丈史　やまだ豊脚本：森下佳子　プロデュース：石丸彰彦　演出：中前勇児番組HP日々更新中◇番組HP  http://www.tbs.co.jp/tenno_no_ryoriban/  ◇facebook  https://www.faceb"&amp;"ook.com/ryoribantbs◇twitter  @ryoriban_tbs   https://twitter.com/ryoriban_tbs◇YouTube公式チャンネル  https://www.youtube.com/channel/UC0kuMBAHW-xDQ9pS3DVhnNg第7話 6/7『日曜劇場 天皇の料理番』第7話 予告動画公開しました！  https://youtu.be/M66PAeq2tjI  番組の内容と放送時間は変更になる可能性があります。")</f>
        <v>パリの地に立った篤蔵は、大使館の粟野のもとを訪れる。篤蔵に働き口として紹介されたのは、一流ホテルの厨房だった。そこで篤蔵を待っていたのは、「人種」という壁であった。そして篤蔵は大切なモノを失うことになる。激しい怒りの中、篤蔵のとった行動とは・・・そんな中、篤蔵の前に意外な人物が姿を現す。その人物とは・・・  一方、日本では俊子が新たな生活を始めていた。そして兄・周太郎は・・・郷ひろみ24年ぶりの民放連ドラ出演！役作りでヒゲを蓄え、撮影一ヶ月前からフランス語を猛特訓！  そしてANA全面タイアップのもと、長期に渡るフランスロケを敢行！！1900年代初頭のパリを映像で再現！！佐藤健　黒木華　桐谷健太　芦名星　サフィラ・ヴァン・ドーン　ノエミ・ナカイ　グレッグ デール　ロイック ガルニエ　鈴木亮平　郷ひろみ（特別出演）主題歌　「夢見る人」さだまさし（ユーキャン）  音楽　羽毛田丈史　やまだ豊脚本：森下佳子　プロデュース：石丸彰彦　演出：中前勇児番組HP日々更新中◇番組HP  http://www.tbs.co.jp/tenno_no_ryoriban/  ◇facebook  https://www.facebook.com/ryoribantbs◇twitter  @ryoriban_tbs   https://twitter.com/ryoriban_tbs◇YouTube公式チャンネル  https://www.youtube.com/channel/UC0kuMBAHW-xDQ9pS3DVhnNg第7話 6/7『日曜劇場 天皇の料理番』第7話 予告動画公開しました！  https://youtu.be/M66PAeq2tjI  番組の内容と放送時間は変更になる可能性があります。</v>
      </c>
      <c r="N5186" s="2"/>
      <c r="O5186" s="2"/>
      <c r="P5186" s="1"/>
      <c r="Q5186" s="1"/>
      <c r="R5186" s="1"/>
      <c r="S5186" s="1"/>
      <c r="T5186" s="1"/>
      <c r="U5186" s="1"/>
      <c r="V5186" s="1"/>
      <c r="W5186" s="1"/>
      <c r="X5186" s="1"/>
      <c r="Y5186" s="1"/>
      <c r="Z5186" s="1"/>
      <c r="AA5186" s="1"/>
      <c r="AB5186" s="1"/>
      <c r="AC5186" s="1"/>
      <c r="AD5186" s="1"/>
      <c r="AE5186" s="1"/>
      <c r="AF5186" s="1"/>
      <c r="AG5186" s="1"/>
      <c r="AH5186" s="1"/>
      <c r="AI5186" s="1"/>
      <c r="AJ5186" s="1"/>
      <c r="AK5186" s="1"/>
      <c r="AL5186" s="1"/>
      <c r="AM5186" s="1"/>
      <c r="AN5186" s="1"/>
      <c r="AO5186" s="1"/>
      <c r="AP5186" s="1"/>
      <c r="AQ5186" s="1"/>
      <c r="AR5186" s="1"/>
      <c r="AS5186" s="1"/>
      <c r="AT5186" s="1"/>
      <c r="AU5186" s="1"/>
      <c r="AV5186" s="1"/>
      <c r="AW5186" s="1"/>
      <c r="AX5186" s="1"/>
      <c r="AY5186" s="1"/>
      <c r="AZ5186" s="1"/>
      <c r="BA5186" s="1"/>
      <c r="BB5186" s="1"/>
    </row>
    <row r="5187" ht="204.75" customHeight="1">
      <c r="A5187" s="1">
        <v>2249.0</v>
      </c>
      <c r="B5187" s="2" t="s">
        <v>14427</v>
      </c>
      <c r="C5187" s="2">
        <f>IFERROR(__xludf.DUMMYFUNCTION("split(B5187,""_"")"),1504.0)</f>
        <v>1504</v>
      </c>
      <c r="D5187" s="2" t="str">
        <f>IFERROR(__xludf.DUMMYFUNCTION("""COMPUTED_VALUE"""),"TBS")</f>
        <v>TBS</v>
      </c>
      <c r="E5187" s="2" t="str">
        <f>IFERROR(__xludf.DUMMYFUNCTION("""COMPUTED_VALUE"""),"日21")</f>
        <v>日21</v>
      </c>
      <c r="F5187" s="2" t="s">
        <v>14428</v>
      </c>
      <c r="G5187" s="2" t="s">
        <v>14443</v>
      </c>
      <c r="H5187" s="1">
        <v>8.0</v>
      </c>
      <c r="J5187" s="1" t="s">
        <v>11</v>
      </c>
      <c r="K5187" s="2" t="s">
        <v>14444</v>
      </c>
      <c r="L5187" s="2"/>
      <c r="M5187" s="2" t="str">
        <f>IFERROR(__xludf.DUMMYFUNCTION("split(split(K5187,""【"",false),""公式LINE"",false)"),"パリで3年が経過した頃、篤蔵はフランス料理の最高峰、オテル・リッツで働いていた。そんな中、明治天皇崩御の知らせが舞い込む。そして『天皇陛下の料理番』の要請が来ていることを告げる粟野。兄・周太郎との約束を想いながら葛藤する篤蔵であるが…一方日本では、周太郎の容態がますます悪化していた。死期を悟ったかのような周太郎は…  そして俊子もまた別の道を歩んでいた。吉原の門の奥に消えていく俊子は…郷ひろみ24年ぶりの民放連ドラ出演！役作りでヒゲを蓄え、撮影一ヶ月前からフランス語を猛特訓！  そしてANA全面タイアップ"&amp;"のもと、長期に渡るフランスロケを敢行！！1900年代初頭のパリを映像で再現！！佐藤健　黒木華　桐谷健太　芦名星　森岡龍　サフィラ・ヴァン・ドーン　ノエミ・ナカイ　鈴木亮平　郷ひろみ（特別出演）　美保純　杉本哲太　小林薫主題歌　「夢見る人」さだまさし（ユーキャン）  音楽　羽毛田丈史　やまだ豊脚本：森下佳子　プロデュース：石丸彰彦　演出：中前勇児番組HP日々更新中◇番組HP  http://www.tbs.co.jp/tenno_no_ryoriban/  ◇facebook  https://www.fa"&amp;"cebook.com/ryoribantbs◇twitter  @ryoriban_tbs   https://twitter.com/ryoriban_tbs◇YouTube公式チャンネル  https://www.youtube.com/channel/UC0kuMBAHW-xDQ9pS3DVhnNg番組の内容と放送時間は変更になる可能性があります。")</f>
        <v>パリで3年が経過した頃、篤蔵はフランス料理の最高峰、オテル・リッツで働いていた。そんな中、明治天皇崩御の知らせが舞い込む。そして『天皇陛下の料理番』の要請が来ていることを告げる粟野。兄・周太郎との約束を想いながら葛藤する篤蔵であるが…一方日本では、周太郎の容態がますます悪化していた。死期を悟ったかのような周太郎は…  そして俊子もまた別の道を歩んでいた。吉原の門の奥に消えていく俊子は…郷ひろみ24年ぶりの民放連ドラ出演！役作りでヒゲを蓄え、撮影一ヶ月前からフランス語を猛特訓！  そしてANA全面タイアップのもと、長期に渡るフランスロケを敢行！！1900年代初頭のパリを映像で再現！！佐藤健　黒木華　桐谷健太　芦名星　森岡龍　サフィラ・ヴァン・ドーン　ノエミ・ナカイ　鈴木亮平　郷ひろみ（特別出演）　美保純　杉本哲太　小林薫主題歌　「夢見る人」さだまさし（ユーキャン）  音楽　羽毛田丈史　やまだ豊脚本：森下佳子　プロデュース：石丸彰彦　演出：中前勇児番組HP日々更新中◇番組HP  http://www.tbs.co.jp/tenno_no_ryoriban/  ◇facebook  https://www.facebook.com/ryoribantbs◇twitter  @ryoriban_tbs   https://twitter.com/ryoriban_tbs◇YouTube公式チャンネル  https://www.youtube.com/channel/UC0kuMBAHW-xDQ9pS3DVhnNg番組の内容と放送時間は変更になる可能性があります。</v>
      </c>
      <c r="N5187" s="2"/>
      <c r="O5187" s="2"/>
      <c r="P5187" s="1"/>
      <c r="Q5187" s="1"/>
      <c r="R5187" s="1"/>
      <c r="S5187" s="1"/>
      <c r="T5187" s="1"/>
      <c r="U5187" s="1"/>
      <c r="V5187" s="1"/>
      <c r="W5187" s="1"/>
      <c r="X5187" s="1"/>
      <c r="Y5187" s="1"/>
      <c r="Z5187" s="1"/>
      <c r="AA5187" s="1"/>
      <c r="AB5187" s="1"/>
      <c r="AC5187" s="1"/>
      <c r="AD5187" s="1"/>
      <c r="AE5187" s="1"/>
      <c r="AF5187" s="1"/>
      <c r="AG5187" s="1"/>
      <c r="AH5187" s="1"/>
      <c r="AI5187" s="1"/>
      <c r="AJ5187" s="1"/>
      <c r="AK5187" s="1"/>
      <c r="AL5187" s="1"/>
      <c r="AM5187" s="1"/>
      <c r="AN5187" s="1"/>
      <c r="AO5187" s="1"/>
      <c r="AP5187" s="1"/>
      <c r="AQ5187" s="1"/>
      <c r="AR5187" s="1"/>
      <c r="AS5187" s="1"/>
      <c r="AT5187" s="1"/>
      <c r="AU5187" s="1"/>
      <c r="AV5187" s="1"/>
      <c r="AW5187" s="1"/>
      <c r="AX5187" s="1"/>
      <c r="AY5187" s="1"/>
      <c r="AZ5187" s="1"/>
      <c r="BA5187" s="1"/>
      <c r="BB5187" s="1"/>
    </row>
    <row r="5188" ht="204.75" customHeight="1">
      <c r="A5188" s="1">
        <v>2250.0</v>
      </c>
      <c r="B5188" s="2" t="s">
        <v>14427</v>
      </c>
      <c r="C5188" s="2">
        <f>IFERROR(__xludf.DUMMYFUNCTION("split(B5188,""_"")"),1504.0)</f>
        <v>1504</v>
      </c>
      <c r="D5188" s="2" t="str">
        <f>IFERROR(__xludf.DUMMYFUNCTION("""COMPUTED_VALUE"""),"TBS")</f>
        <v>TBS</v>
      </c>
      <c r="E5188" s="2" t="str">
        <f>IFERROR(__xludf.DUMMYFUNCTION("""COMPUTED_VALUE"""),"日21")</f>
        <v>日21</v>
      </c>
      <c r="F5188" s="2" t="s">
        <v>14428</v>
      </c>
      <c r="G5188" s="2" t="s">
        <v>14445</v>
      </c>
      <c r="H5188" s="1">
        <v>9.0</v>
      </c>
      <c r="J5188" s="1" t="s">
        <v>4</v>
      </c>
      <c r="K5188" s="2" t="s">
        <v>14446</v>
      </c>
      <c r="L5188" s="2"/>
      <c r="M5188" s="2" t="str">
        <f>IFERROR(__xludf.DUMMYFUNCTION("split(split(K5188,""【"",false),""公式LINE"",false)"),"帰国した篤蔵（佐藤健）は皇居・大膳寮を訪れる。大膳の長である大膳頭・福羽（浅野和之）に案内され厨房に赴く篤蔵を待っていたのは篤蔵よりも年上の大膳のシェフ達であった。そして、福羽から聞かされたあまりにも驚愕なご大礼の内容にいきなり窮地を迎える篤蔵だった・・・  そして、天皇の料理番になる事を誰よりも喜んだ兄・周太郎（鈴木亮平）は以前よりも明らかに痩せ衰えていた。一方、俊子が向かった先は・・・佐藤健　黒木華　柄本佑　高岡早紀　坪倉由幸　西沢仁太　森岡龍　瀬戸利樹　片山享　鈴木亮平　浅野和之　木場勝己　天野義久"&amp;"　林泰文　森田哲矢　東口宜隆　大鷹明良　真木恵未　美保純　杉本哲太　小林薫主題歌　「夢見る人」さだまさし（ユーキャン）  音楽　羽毛田丈史　やまだ豊脚本：森下佳子　プロデュース：石丸彰彦　演出：平川雄一朗  時代考証：山田順子　料理監修：脇雅世　料理指導：佐藤月彦　医療指導：池添祐大　大膳監修：高橋恒雄（元宮内庁大膳課主厨長）番組HP日々更新中◇番組HP  http://www.tbs.co.jp/tenno_no_ryoriban/  ◇facebook  https://www.facebook.co"&amp;"m/ryoribantbs◇twitter  @ryoriban_tbs   https://twitter.com/ryoriban_tbs◇YouTube公式チャンネル  https://www.youtube.com/channel/UC0kuMBAHW-xDQ9pS3DVhnNg番組の内容と放送時間は変更になる可能性があります。")</f>
        <v>帰国した篤蔵（佐藤健）は皇居・大膳寮を訪れる。大膳の長である大膳頭・福羽（浅野和之）に案内され厨房に赴く篤蔵を待っていたのは篤蔵よりも年上の大膳のシェフ達であった。そして、福羽から聞かされたあまりにも驚愕なご大礼の内容にいきなり窮地を迎える篤蔵だった・・・  そして、天皇の料理番になる事を誰よりも喜んだ兄・周太郎（鈴木亮平）は以前よりも明らかに痩せ衰えていた。一方、俊子が向かった先は・・・佐藤健　黒木華　柄本佑　高岡早紀　坪倉由幸　西沢仁太　森岡龍　瀬戸利樹　片山享　鈴木亮平　浅野和之　木場勝己　天野義久　林泰文　森田哲矢　東口宜隆　大鷹明良　真木恵未　美保純　杉本哲太　小林薫主題歌　「夢見る人」さだまさし（ユーキャン）  音楽　羽毛田丈史　やまだ豊脚本：森下佳子　プロデュース：石丸彰彦　演出：平川雄一朗  時代考証：山田順子　料理監修：脇雅世　料理指導：佐藤月彦　医療指導：池添祐大　大膳監修：高橋恒雄（元宮内庁大膳課主厨長）番組HP日々更新中◇番組HP  http://www.tbs.co.jp/tenno_no_ryoriban/  ◇facebook  https://www.facebook.com/ryoribantbs◇twitter  @ryoriban_tbs   https://twitter.com/ryoriban_tbs◇YouTube公式チャンネル  https://www.youtube.com/channel/UC0kuMBAHW-xDQ9pS3DVhnNg番組の内容と放送時間は変更になる可能性があります。</v>
      </c>
      <c r="N5188" s="2"/>
      <c r="O5188" s="2"/>
      <c r="P5188" s="1"/>
      <c r="Q5188" s="1"/>
      <c r="R5188" s="1"/>
      <c r="S5188" s="1"/>
      <c r="T5188" s="1"/>
      <c r="U5188" s="1"/>
      <c r="V5188" s="1"/>
      <c r="W5188" s="1"/>
      <c r="X5188" s="1"/>
      <c r="Y5188" s="1"/>
      <c r="Z5188" s="1"/>
      <c r="AA5188" s="1"/>
      <c r="AB5188" s="1"/>
      <c r="AC5188" s="1"/>
      <c r="AD5188" s="1"/>
      <c r="AE5188" s="1"/>
      <c r="AF5188" s="1"/>
      <c r="AG5188" s="1"/>
      <c r="AH5188" s="1"/>
      <c r="AI5188" s="1"/>
      <c r="AJ5188" s="1"/>
      <c r="AK5188" s="1"/>
      <c r="AL5188" s="1"/>
      <c r="AM5188" s="1"/>
      <c r="AN5188" s="1"/>
      <c r="AO5188" s="1"/>
      <c r="AP5188" s="1"/>
      <c r="AQ5188" s="1"/>
      <c r="AR5188" s="1"/>
      <c r="AS5188" s="1"/>
      <c r="AT5188" s="1"/>
      <c r="AU5188" s="1"/>
      <c r="AV5188" s="1"/>
      <c r="AW5188" s="1"/>
      <c r="AX5188" s="1"/>
      <c r="AY5188" s="1"/>
      <c r="AZ5188" s="1"/>
      <c r="BA5188" s="1"/>
      <c r="BB5188" s="1"/>
    </row>
    <row r="5189" ht="204.75" customHeight="1">
      <c r="A5189" s="1">
        <v>2251.0</v>
      </c>
      <c r="B5189" s="2" t="s">
        <v>14427</v>
      </c>
      <c r="C5189" s="2">
        <f>IFERROR(__xludf.DUMMYFUNCTION("split(B5189,""_"")"),1504.0)</f>
        <v>1504</v>
      </c>
      <c r="D5189" s="2" t="str">
        <f>IFERROR(__xludf.DUMMYFUNCTION("""COMPUTED_VALUE"""),"TBS")</f>
        <v>TBS</v>
      </c>
      <c r="E5189" s="2" t="str">
        <f>IFERROR(__xludf.DUMMYFUNCTION("""COMPUTED_VALUE"""),"日21")</f>
        <v>日21</v>
      </c>
      <c r="F5189" s="2" t="s">
        <v>14428</v>
      </c>
      <c r="G5189" s="2" t="s">
        <v>14447</v>
      </c>
      <c r="H5189" s="1">
        <v>10.0</v>
      </c>
      <c r="J5189" s="1" t="s">
        <v>11</v>
      </c>
      <c r="K5189" s="2" t="s">
        <v>14448</v>
      </c>
      <c r="L5189" s="2"/>
      <c r="M5189" s="2" t="str">
        <f>IFERROR(__xludf.DUMMYFUNCTION("split(split(K5189,""【"",false),""公式LINE"",false)"),"厨司長として大膳で働き始めて10年、篤蔵（佐藤健）は俊子（黒木華）と共に家庭を築いていた。そんな中、東京地方を大震災が襲う。調理場にやってきた篤蔵は、天皇の料理番として、被災した人々の為に何が出来るかを模索する。一方、篤蔵の自宅も火事に見舞われていた。逃げ遅れた俊子に火の手が迫る。そして・・・佐藤健　黒木華　柄本佑　高岡早紀　森岡龍　瀬戸利樹　石橋杏奈　片山享　木場勝己　天野義久　林泰文　森田哲矢　東口宜隆　日野陽仁　大島さと子　美保純　杉本哲太　小林薫主題歌　「夢見る人」さだまさし（ユーキャン）  音楽"&amp;"　羽毛田丈史　やまだ豊脚本：森下佳子　プロデュース：石丸彰彦　演出：山室大輔  時代考証：山田順子　料理監修：脇雅世　料理指導：佐藤月彦　医療指導：池添祐大　大膳監修：高橋恒雄（元宮内庁大膳課主厨長）番組HP日々更新中◇番組HP  http://www.tbs.co.jp/tenno_no_ryoriban/  ◇facebook  https://www.facebook.com/ryoribantbs  ◇twitter  @ryoriban_tbs   https://twitter.com/ryo"&amp;"riban_tbs  ◇YouTube公式チャンネル  https://www.youtube.com/channel/UC0kuMBAHW-xDQ9pS3DVhnNg  第10話 6/28『日曜劇場 天皇の料理番』第10話 予告動画公開しました！  https://youtu.be/zBucBJQ8B04  番組の内容と放送時間は変更になる可能性があります。")</f>
        <v>厨司長として大膳で働き始めて10年、篤蔵（佐藤健）は俊子（黒木華）と共に家庭を築いていた。そんな中、東京地方を大震災が襲う。調理場にやってきた篤蔵は、天皇の料理番として、被災した人々の為に何が出来るかを模索する。一方、篤蔵の自宅も火事に見舞われていた。逃げ遅れた俊子に火の手が迫る。そして・・・佐藤健　黒木華　柄本佑　高岡早紀　森岡龍　瀬戸利樹　石橋杏奈　片山享　木場勝己　天野義久　林泰文　森田哲矢　東口宜隆　日野陽仁　大島さと子　美保純　杉本哲太　小林薫主題歌　「夢見る人」さだまさし（ユーキャン）  音楽　羽毛田丈史　やまだ豊脚本：森下佳子　プロデュース：石丸彰彦　演出：山室大輔  時代考証：山田順子　料理監修：脇雅世　料理指導：佐藤月彦　医療指導：池添祐大　大膳監修：高橋恒雄（元宮内庁大膳課主厨長）番組HP日々更新中◇番組HP  http://www.tbs.co.jp/tenno_no_ryoriban/  ◇facebook  https://www.facebook.com/ryoribantbs  ◇twitter  @ryoriban_tbs   https://twitter.com/ryoriban_tbs  ◇YouTube公式チャンネル  https://www.youtube.com/channel/UC0kuMBAHW-xDQ9pS3DVhnNg  第10話 6/28『日曜劇場 天皇の料理番』第10話 予告動画公開しました！  https://youtu.be/zBucBJQ8B04  番組の内容と放送時間は変更になる可能性があります。</v>
      </c>
      <c r="N5189" s="2"/>
      <c r="O5189" s="2"/>
      <c r="P5189" s="1"/>
      <c r="Q5189" s="1"/>
      <c r="R5189" s="1"/>
      <c r="S5189" s="1"/>
      <c r="T5189" s="1"/>
      <c r="U5189" s="1"/>
      <c r="V5189" s="1"/>
      <c r="W5189" s="1"/>
      <c r="X5189" s="1"/>
      <c r="Y5189" s="1"/>
      <c r="Z5189" s="1"/>
      <c r="AA5189" s="1"/>
      <c r="AB5189" s="1"/>
      <c r="AC5189" s="1"/>
      <c r="AD5189" s="1"/>
      <c r="AE5189" s="1"/>
      <c r="AF5189" s="1"/>
      <c r="AG5189" s="1"/>
      <c r="AH5189" s="1"/>
      <c r="AI5189" s="1"/>
      <c r="AJ5189" s="1"/>
      <c r="AK5189" s="1"/>
      <c r="AL5189" s="1"/>
      <c r="AM5189" s="1"/>
      <c r="AN5189" s="1"/>
      <c r="AO5189" s="1"/>
      <c r="AP5189" s="1"/>
      <c r="AQ5189" s="1"/>
      <c r="AR5189" s="1"/>
      <c r="AS5189" s="1"/>
      <c r="AT5189" s="1"/>
      <c r="AU5189" s="1"/>
      <c r="AV5189" s="1"/>
      <c r="AW5189" s="1"/>
      <c r="AX5189" s="1"/>
      <c r="AY5189" s="1"/>
      <c r="AZ5189" s="1"/>
      <c r="BA5189" s="1"/>
      <c r="BB5189" s="1"/>
    </row>
    <row r="5190" ht="204.75" customHeight="1">
      <c r="A5190" s="1">
        <v>2262.0</v>
      </c>
      <c r="B5190" s="2" t="s">
        <v>14449</v>
      </c>
      <c r="C5190" s="2">
        <f>IFERROR(__xludf.DUMMYFUNCTION("split(B5190,""_"")"),1501.0)</f>
        <v>1501</v>
      </c>
      <c r="D5190" s="2" t="str">
        <f>IFERROR(__xludf.DUMMYFUNCTION("""COMPUTED_VALUE"""),"TBS")</f>
        <v>TBS</v>
      </c>
      <c r="E5190" s="2" t="str">
        <f>IFERROR(__xludf.DUMMYFUNCTION("""COMPUTED_VALUE"""),"月20")</f>
        <v>月20</v>
      </c>
      <c r="F5190" s="2" t="s">
        <v>14450</v>
      </c>
      <c r="G5190" s="2" t="s">
        <v>14451</v>
      </c>
      <c r="H5190" s="1">
        <v>1.0</v>
      </c>
      <c r="J5190" s="1" t="s">
        <v>2809</v>
      </c>
      <c r="K5190" s="2" t="s">
        <v>14452</v>
      </c>
      <c r="L5190" s="2"/>
      <c r="M5190" s="2" t="str">
        <f>IFERROR(__xludf.DUMMYFUNCTION("split(split(K5190,""【"",false),""公式LINE"",false)"),"警視庁吉祥寺署の刑事・杉山真太郎（谷原章介）。かつて敏腕刑事だった男。しかし、妻の看病と3人の子供の世話のため、刑事としての一線は後輩の永峰（要潤）らに譲りつつあった。新任の署長は、そんな吉祥寺署の捜査体制強化のため、警視庁からエリート捜査官を招く。その矢先、捜査中の殺人犯を杉山と永峰が捕り逃がしてしまう。大騒動の中、杉山の携帯電話には、長女・美晴（本田望結）から妻の急変を告げる着信が…。杉山真太郎…谷原章介  永峰有…要潤  杉山美晴…本田望結  村田健一…石黒英雄  新垣進也…久保田悠来  澤みどり…"&amp;"永池南津子  　○  鎌本義夫…榎木孝明  　○  杉山海人…須田瑛斗  杉山岳…松浦理仁  香川桜子…片瀬那奈  岡崎克彦…佐野史郎  青柳芳江…高橋惠子")</f>
        <v>警視庁吉祥寺署の刑事・杉山真太郎（谷原章介）。かつて敏腕刑事だった男。しかし、妻の看病と3人の子供の世話のため、刑事としての一線は後輩の永峰（要潤）らに譲りつつあった。新任の署長は、そんな吉祥寺署の捜査体制強化のため、警視庁からエリート捜査官を招く。その矢先、捜査中の殺人犯を杉山と永峰が捕り逃がしてしまう。大騒動の中、杉山の携帯電話には、長女・美晴（本田望結）から妻の急変を告げる着信が…。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v>
      </c>
      <c r="N5190" s="2"/>
      <c r="O5190" s="2"/>
      <c r="P5190" s="1"/>
      <c r="Q5190" s="1"/>
      <c r="R5190" s="1"/>
      <c r="S5190" s="1"/>
      <c r="T5190" s="1"/>
      <c r="U5190" s="1"/>
      <c r="V5190" s="1"/>
      <c r="W5190" s="1"/>
      <c r="X5190" s="1"/>
      <c r="Y5190" s="1"/>
      <c r="Z5190" s="1"/>
      <c r="AA5190" s="1"/>
      <c r="AB5190" s="1"/>
      <c r="AC5190" s="1"/>
      <c r="AD5190" s="1"/>
      <c r="AE5190" s="1"/>
      <c r="AF5190" s="1"/>
      <c r="AG5190" s="1"/>
      <c r="AH5190" s="1"/>
      <c r="AI5190" s="1"/>
      <c r="AJ5190" s="1"/>
      <c r="AK5190" s="1"/>
      <c r="AL5190" s="1"/>
      <c r="AM5190" s="1"/>
      <c r="AN5190" s="1"/>
      <c r="AO5190" s="1"/>
      <c r="AP5190" s="1"/>
      <c r="AQ5190" s="1"/>
      <c r="AR5190" s="1"/>
      <c r="AS5190" s="1"/>
      <c r="AT5190" s="1"/>
      <c r="AU5190" s="1"/>
      <c r="AV5190" s="1"/>
      <c r="AW5190" s="1"/>
      <c r="AX5190" s="1"/>
      <c r="AY5190" s="1"/>
      <c r="AZ5190" s="1"/>
      <c r="BA5190" s="1"/>
      <c r="BB5190" s="1"/>
    </row>
    <row r="5191" ht="204.75" customHeight="1">
      <c r="A5191" s="1">
        <v>2263.0</v>
      </c>
      <c r="B5191" s="2" t="s">
        <v>14449</v>
      </c>
      <c r="C5191" s="2">
        <f>IFERROR(__xludf.DUMMYFUNCTION("split(B5191,""_"")"),1501.0)</f>
        <v>1501</v>
      </c>
      <c r="D5191" s="2" t="str">
        <f>IFERROR(__xludf.DUMMYFUNCTION("""COMPUTED_VALUE"""),"TBS")</f>
        <v>TBS</v>
      </c>
      <c r="E5191" s="2" t="str">
        <f>IFERROR(__xludf.DUMMYFUNCTION("""COMPUTED_VALUE"""),"月20")</f>
        <v>月20</v>
      </c>
      <c r="F5191" s="2" t="s">
        <v>14450</v>
      </c>
      <c r="G5191" s="2" t="s">
        <v>14453</v>
      </c>
      <c r="H5191" s="1">
        <v>2.0</v>
      </c>
      <c r="I5191" s="1" t="s">
        <v>2872</v>
      </c>
      <c r="J5191" s="1" t="s">
        <v>7151</v>
      </c>
      <c r="K5191" s="2" t="s">
        <v>14454</v>
      </c>
      <c r="L5191" s="2"/>
      <c r="M5191" s="2" t="str">
        <f>IFERROR(__xludf.DUMMYFUNCTION("split(split(K5191,""【"",false),""公式LINE"",false)"),"妻を失い、刑事退職を決意した杉山真太郎（谷原章介）。しかし、子供のために並んで手に入れた大人気オモチャを盗まれ、しかも犯人の少年が死体で見つかったことから、図らずも捜査に巻き込まれる。杉山の“復帰”を歓迎する相棒の永峰（要潤）ら。一方、美晴（本田望結）や芳江（高橋惠子）ら家族は、杉山の転職活動が疎かになっていることをたしなめる。そんな矢先、盗まれたオモチャがネット上で転売されていることが判明し…。杉山真太郎…谷原章介  永峰有…要潤  杉山美晴…本田望結  村田健一…石黒英雄  新垣進也…久保田悠来  澤"&amp;"みどり…永池南津子  　○  鎌本義夫…榎木孝明  　○  杉山海人…須田瑛斗  杉山岳…松浦理仁  香川桜子…片瀬那奈  岡崎克彦…佐野史郎  青柳芳江…高橋惠子")</f>
        <v>妻を失い、刑事退職を決意した杉山真太郎（谷原章介）。しかし、子供のために並んで手に入れた大人気オモチャを盗まれ、しかも犯人の少年が死体で見つかったことから、図らずも捜査に巻き込まれる。杉山の“復帰”を歓迎する相棒の永峰（要潤）ら。一方、美晴（本田望結）や芳江（高橋惠子）ら家族は、杉山の転職活動が疎かになっていることをたしなめる。そんな矢先、盗まれたオモチャがネット上で転売されていることが判明し…。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v>
      </c>
      <c r="N5191" s="2"/>
      <c r="O5191" s="2"/>
      <c r="P5191" s="1"/>
      <c r="Q5191" s="1"/>
      <c r="R5191" s="1"/>
      <c r="S5191" s="1"/>
      <c r="T5191" s="1"/>
      <c r="U5191" s="1"/>
      <c r="V5191" s="1"/>
      <c r="W5191" s="1"/>
      <c r="X5191" s="1"/>
      <c r="Y5191" s="1"/>
      <c r="Z5191" s="1"/>
      <c r="AA5191" s="1"/>
      <c r="AB5191" s="1"/>
      <c r="AC5191" s="1"/>
      <c r="AD5191" s="1"/>
      <c r="AE5191" s="1"/>
      <c r="AF5191" s="1"/>
      <c r="AG5191" s="1"/>
      <c r="AH5191" s="1"/>
      <c r="AI5191" s="1"/>
      <c r="AJ5191" s="1"/>
      <c r="AK5191" s="1"/>
      <c r="AL5191" s="1"/>
      <c r="AM5191" s="1"/>
      <c r="AN5191" s="1"/>
      <c r="AO5191" s="1"/>
      <c r="AP5191" s="1"/>
      <c r="AQ5191" s="1"/>
      <c r="AR5191" s="1"/>
      <c r="AS5191" s="1"/>
      <c r="AT5191" s="1"/>
      <c r="AU5191" s="1"/>
      <c r="AV5191" s="1"/>
      <c r="AW5191" s="1"/>
      <c r="AX5191" s="1"/>
      <c r="AY5191" s="1"/>
      <c r="AZ5191" s="1"/>
      <c r="BA5191" s="1"/>
      <c r="BB5191" s="1"/>
    </row>
    <row r="5192" ht="204.75" customHeight="1">
      <c r="A5192" s="1">
        <v>2264.0</v>
      </c>
      <c r="B5192" s="2" t="s">
        <v>14449</v>
      </c>
      <c r="C5192" s="2">
        <f>IFERROR(__xludf.DUMMYFUNCTION("split(B5192,""_"")"),1501.0)</f>
        <v>1501</v>
      </c>
      <c r="D5192" s="2" t="str">
        <f>IFERROR(__xludf.DUMMYFUNCTION("""COMPUTED_VALUE"""),"TBS")</f>
        <v>TBS</v>
      </c>
      <c r="E5192" s="2" t="str">
        <f>IFERROR(__xludf.DUMMYFUNCTION("""COMPUTED_VALUE"""),"月20")</f>
        <v>月20</v>
      </c>
      <c r="F5192" s="2" t="s">
        <v>14450</v>
      </c>
      <c r="G5192" s="2" t="s">
        <v>14455</v>
      </c>
      <c r="H5192" s="1">
        <v>3.0</v>
      </c>
      <c r="I5192" s="1" t="s">
        <v>14367</v>
      </c>
      <c r="J5192" s="1" t="s">
        <v>7151</v>
      </c>
      <c r="K5192" s="2" t="s">
        <v>14456</v>
      </c>
      <c r="L5192" s="2"/>
      <c r="M5192" s="2" t="str">
        <f>IFERROR(__xludf.DUMMYFUNCTION("split(split(K5192,""【"",false),""公式LINE"",false)"),"職場復帰を考え始めた杉山（谷原章介）は家政婦を雇う。晴子（青山倫子）というその家政婦は、料理が上手く保育士の資格も持ち、しかも料金はお手頃とうってつけだった。同じ頃、杉山が十年前に逮捕した連続放火犯・矢吹（平岳大）が出所し、杉山の前に現れる。以後、杉山の身辺で放火事件が続発、その手口は十年前の事件と酷似していた…。ようやく軌道に乗り出した杉山家を、再び激震が襲う！杉山は刑事に復帰できるのか！？杉山真太郎…谷原章介  永峰有…要潤  杉山美晴…本田望結  村田健一…石黒英雄  新垣進也…久保田悠来  澤みど"&amp;"り…永池南津子  　○  鎌本義夫…榎木孝明  　○  真由美…小松春佳  杉山海人…須田瑛斗  杉山岳…松浦理仁  香川桜子…片瀬那奈  岡崎克彦…佐野史郎  青柳芳江…高橋惠子    ")</f>
        <v>職場復帰を考え始めた杉山（谷原章介）は家政婦を雇う。晴子（青山倫子）というその家政婦は、料理が上手く保育士の資格も持ち、しかも料金はお手頃とうってつけだった。同じ頃、杉山が十年前に逮捕した連続放火犯・矢吹（平岳大）が出所し、杉山の前に現れる。以後、杉山の身辺で放火事件が続発、その手口は十年前の事件と酷似していた…。ようやく軌道に乗り出した杉山家を、再び激震が襲う！杉山は刑事に復帰できるのか！？杉山真太郎…谷原章介  永峰有…要潤  杉山美晴…本田望結  村田健一…石黒英雄  新垣進也…久保田悠来  澤みどり…永池南津子  　○  鎌本義夫…榎木孝明  　○  真由美…小松春佳  杉山海人…須田瑛斗  杉山岳…松浦理仁  香川桜子…片瀬那奈  岡崎克彦…佐野史郎  青柳芳江…高橋惠子    </v>
      </c>
      <c r="N5192" s="2"/>
      <c r="O5192" s="2"/>
      <c r="P5192" s="1"/>
      <c r="Q5192" s="1"/>
      <c r="R5192" s="1"/>
      <c r="S5192" s="1"/>
      <c r="T5192" s="1"/>
      <c r="U5192" s="1"/>
      <c r="V5192" s="1"/>
      <c r="W5192" s="1"/>
      <c r="X5192" s="1"/>
      <c r="Y5192" s="1"/>
      <c r="Z5192" s="1"/>
      <c r="AA5192" s="1"/>
      <c r="AB5192" s="1"/>
      <c r="AC5192" s="1"/>
      <c r="AD5192" s="1"/>
      <c r="AE5192" s="1"/>
      <c r="AF5192" s="1"/>
      <c r="AG5192" s="1"/>
      <c r="AH5192" s="1"/>
      <c r="AI5192" s="1"/>
      <c r="AJ5192" s="1"/>
      <c r="AK5192" s="1"/>
      <c r="AL5192" s="1"/>
      <c r="AM5192" s="1"/>
      <c r="AN5192" s="1"/>
      <c r="AO5192" s="1"/>
      <c r="AP5192" s="1"/>
      <c r="AQ5192" s="1"/>
      <c r="AR5192" s="1"/>
      <c r="AS5192" s="1"/>
      <c r="AT5192" s="1"/>
      <c r="AU5192" s="1"/>
      <c r="AV5192" s="1"/>
      <c r="AW5192" s="1"/>
      <c r="AX5192" s="1"/>
      <c r="AY5192" s="1"/>
      <c r="AZ5192" s="1"/>
      <c r="BA5192" s="1"/>
      <c r="BB5192" s="1"/>
    </row>
    <row r="5193" ht="204.75" customHeight="1">
      <c r="A5193" s="1">
        <v>2265.0</v>
      </c>
      <c r="B5193" s="2" t="s">
        <v>14449</v>
      </c>
      <c r="C5193" s="2">
        <f>IFERROR(__xludf.DUMMYFUNCTION("split(B5193,""_"")"),1501.0)</f>
        <v>1501</v>
      </c>
      <c r="D5193" s="2" t="str">
        <f>IFERROR(__xludf.DUMMYFUNCTION("""COMPUTED_VALUE"""),"TBS")</f>
        <v>TBS</v>
      </c>
      <c r="E5193" s="2" t="str">
        <f>IFERROR(__xludf.DUMMYFUNCTION("""COMPUTED_VALUE"""),"月20")</f>
        <v>月20</v>
      </c>
      <c r="F5193" s="2" t="s">
        <v>14450</v>
      </c>
      <c r="G5193" s="2" t="s">
        <v>14457</v>
      </c>
      <c r="H5193" s="1">
        <v>4.0</v>
      </c>
      <c r="I5193" s="1" t="s">
        <v>2880</v>
      </c>
      <c r="J5193" s="1" t="s">
        <v>7151</v>
      </c>
      <c r="K5193" s="2" t="s">
        <v>14458</v>
      </c>
      <c r="L5193" s="2"/>
      <c r="M5193" s="2" t="str">
        <f>IFERROR(__xludf.DUMMYFUNCTION("split(split(K5193,""【"",false),""公式LINE"",false)"),"介護施設で老人が転落死した。事件の可能性を捜査しに来る杉山（谷原章介）。その施設には、亡き妻にそっくりなまひる（酒井美紀）という職員がいた！思わずまひるに懐いてしまう長男の海人と、海人の無邪気さが許せない姉の美晴。杉山は板挟みになる。同じ頃、5年前に吉祥寺で起きた時効寸前の誘拐事件が、本庁の注目を集める。その事件は被害者の少年の狂言と思われていたが、転落死した老人が誘拐犯だった可能性が浮上する…。杉山真太郎…谷原章介  永峰有…要潤  杉山美晴…本田望結  村田健一…石黒英雄  新垣進也…久保田悠来  澤"&amp;"みどり…永池南津子  　○  鎌本義夫…榎木孝明  　○  真由美…小松春佳  杉山海人…須田瑛斗  杉山岳…松浦理仁  香川桜子…片瀬那奈  岡崎克彦…佐野史郎  青柳芳江…高橋惠子    ")</f>
        <v>介護施設で老人が転落死した。事件の可能性を捜査しに来る杉山（谷原章介）。その施設には、亡き妻にそっくりなまひる（酒井美紀）という職員がいた！思わずまひるに懐いてしまう長男の海人と、海人の無邪気さが許せない姉の美晴。杉山は板挟みになる。同じ頃、5年前に吉祥寺で起きた時効寸前の誘拐事件が、本庁の注目を集める。その事件は被害者の少年の狂言と思われていたが、転落死した老人が誘拐犯だった可能性が浮上する…。杉山真太郎…谷原章介  永峰有…要潤  杉山美晴…本田望結  村田健一…石黒英雄  新垣進也…久保田悠来  澤みどり…永池南津子  　○  鎌本義夫…榎木孝明  　○  真由美…小松春佳  杉山海人…須田瑛斗  杉山岳…松浦理仁  香川桜子…片瀬那奈  岡崎克彦…佐野史郎  青柳芳江…高橋惠子    </v>
      </c>
      <c r="N5193" s="2"/>
      <c r="O5193" s="2"/>
      <c r="P5193" s="1"/>
      <c r="Q5193" s="1"/>
      <c r="R5193" s="1"/>
      <c r="S5193" s="1"/>
      <c r="T5193" s="1"/>
      <c r="U5193" s="1"/>
      <c r="V5193" s="1"/>
      <c r="W5193" s="1"/>
      <c r="X5193" s="1"/>
      <c r="Y5193" s="1"/>
      <c r="Z5193" s="1"/>
      <c r="AA5193" s="1"/>
      <c r="AB5193" s="1"/>
      <c r="AC5193" s="1"/>
      <c r="AD5193" s="1"/>
      <c r="AE5193" s="1"/>
      <c r="AF5193" s="1"/>
      <c r="AG5193" s="1"/>
      <c r="AH5193" s="1"/>
      <c r="AI5193" s="1"/>
      <c r="AJ5193" s="1"/>
      <c r="AK5193" s="1"/>
      <c r="AL5193" s="1"/>
      <c r="AM5193" s="1"/>
      <c r="AN5193" s="1"/>
      <c r="AO5193" s="1"/>
      <c r="AP5193" s="1"/>
      <c r="AQ5193" s="1"/>
      <c r="AR5193" s="1"/>
      <c r="AS5193" s="1"/>
      <c r="AT5193" s="1"/>
      <c r="AU5193" s="1"/>
      <c r="AV5193" s="1"/>
      <c r="AW5193" s="1"/>
      <c r="AX5193" s="1"/>
      <c r="AY5193" s="1"/>
      <c r="AZ5193" s="1"/>
      <c r="BA5193" s="1"/>
      <c r="BB5193" s="1"/>
    </row>
    <row r="5194" ht="204.75" customHeight="1">
      <c r="A5194" s="1">
        <v>2266.0</v>
      </c>
      <c r="B5194" s="2" t="s">
        <v>14449</v>
      </c>
      <c r="C5194" s="2">
        <f>IFERROR(__xludf.DUMMYFUNCTION("split(B5194,""_"")"),1501.0)</f>
        <v>1501</v>
      </c>
      <c r="D5194" s="2" t="str">
        <f>IFERROR(__xludf.DUMMYFUNCTION("""COMPUTED_VALUE"""),"TBS")</f>
        <v>TBS</v>
      </c>
      <c r="E5194" s="2" t="str">
        <f>IFERROR(__xludf.DUMMYFUNCTION("""COMPUTED_VALUE"""),"月20")</f>
        <v>月20</v>
      </c>
      <c r="F5194" s="2" t="s">
        <v>14450</v>
      </c>
      <c r="G5194" s="2" t="s">
        <v>14459</v>
      </c>
      <c r="H5194" s="1">
        <v>5.0</v>
      </c>
      <c r="I5194" s="1" t="s">
        <v>14460</v>
      </c>
      <c r="J5194" s="1" t="s">
        <v>7151</v>
      </c>
      <c r="K5194" s="2" t="s">
        <v>14461</v>
      </c>
      <c r="L5194" s="2"/>
      <c r="M5194" s="2" t="str">
        <f>IFERROR(__xludf.DUMMYFUNCTION("split(split(K5194,""【"",false),""公式LINE"",false)"),"現金輸送車を襲撃し、警官を暴行した男が指名手配された。彼との間に一子を儲けた女・エリカ（福田沙紀）が吉祥寺に住んでいることが判明し、杉山（谷原章介）達はエリカの張込み捜査に当たる。しかし、尾行中の永峰（要潤）の目の前でエリカの赤ん坊に危機が…！とっさに思いがけない行動に出てしまう永峰に、深入りしすぎと頭を抱える杉山。さらにエリカのパトロンである社長が現れて…。どうなる永峰、そして手配犯の行方は！？杉山真太郎…谷原章介  永峰有…要潤  杉山美晴…本田望結  村田健一…石黒英雄  新垣進也…久保田悠来  澤"&amp;"みどり…永池南津子  　○  鎌本義夫…榎木孝明  　○  真由美…小松春佳  杉山海人…須田瑛斗  杉山岳…松浦理仁  香川桜子…片瀬那奈  岡崎克彦…佐野史郎  青柳芳江…高橋惠子    ")</f>
        <v>現金輸送車を襲撃し、警官を暴行した男が指名手配された。彼との間に一子を儲けた女・エリカ（福田沙紀）が吉祥寺に住んでいることが判明し、杉山（谷原章介）達はエリカの張込み捜査に当たる。しかし、尾行中の永峰（要潤）の目の前でエリカの赤ん坊に危機が…！とっさに思いがけない行動に出てしまう永峰に、深入りしすぎと頭を抱える杉山。さらにエリカのパトロンである社長が現れて…。どうなる永峰、そして手配犯の行方は！？杉山真太郎…谷原章介  永峰有…要潤  杉山美晴…本田望結  村田健一…石黒英雄  新垣進也…久保田悠来  澤みどり…永池南津子  　○  鎌本義夫…榎木孝明  　○  真由美…小松春佳  杉山海人…須田瑛斗  杉山岳…松浦理仁  香川桜子…片瀬那奈  岡崎克彦…佐野史郎  青柳芳江…高橋惠子    </v>
      </c>
      <c r="N5194" s="2"/>
      <c r="O5194" s="2"/>
      <c r="P5194" s="1"/>
      <c r="Q5194" s="1"/>
      <c r="R5194" s="1"/>
      <c r="S5194" s="1"/>
      <c r="T5194" s="1"/>
      <c r="U5194" s="1"/>
      <c r="V5194" s="1"/>
      <c r="W5194" s="1"/>
      <c r="X5194" s="1"/>
      <c r="Y5194" s="1"/>
      <c r="Z5194" s="1"/>
      <c r="AA5194" s="1"/>
      <c r="AB5194" s="1"/>
      <c r="AC5194" s="1"/>
      <c r="AD5194" s="1"/>
      <c r="AE5194" s="1"/>
      <c r="AF5194" s="1"/>
      <c r="AG5194" s="1"/>
      <c r="AH5194" s="1"/>
      <c r="AI5194" s="1"/>
      <c r="AJ5194" s="1"/>
      <c r="AK5194" s="1"/>
      <c r="AL5194" s="1"/>
      <c r="AM5194" s="1"/>
      <c r="AN5194" s="1"/>
      <c r="AO5194" s="1"/>
      <c r="AP5194" s="1"/>
      <c r="AQ5194" s="1"/>
      <c r="AR5194" s="1"/>
      <c r="AS5194" s="1"/>
      <c r="AT5194" s="1"/>
      <c r="AU5194" s="1"/>
      <c r="AV5194" s="1"/>
      <c r="AW5194" s="1"/>
      <c r="AX5194" s="1"/>
      <c r="AY5194" s="1"/>
      <c r="AZ5194" s="1"/>
      <c r="BA5194" s="1"/>
      <c r="BB5194" s="1"/>
    </row>
    <row r="5195" ht="204.75" customHeight="1">
      <c r="A5195" s="1">
        <v>2267.0</v>
      </c>
      <c r="B5195" s="2" t="s">
        <v>14449</v>
      </c>
      <c r="C5195" s="2">
        <f>IFERROR(__xludf.DUMMYFUNCTION("split(B5195,""_"")"),1501.0)</f>
        <v>1501</v>
      </c>
      <c r="D5195" s="2" t="str">
        <f>IFERROR(__xludf.DUMMYFUNCTION("""COMPUTED_VALUE"""),"TBS")</f>
        <v>TBS</v>
      </c>
      <c r="E5195" s="2" t="str">
        <f>IFERROR(__xludf.DUMMYFUNCTION("""COMPUTED_VALUE"""),"月20")</f>
        <v>月20</v>
      </c>
      <c r="F5195" s="2" t="s">
        <v>14450</v>
      </c>
      <c r="G5195" s="2" t="s">
        <v>14462</v>
      </c>
      <c r="H5195" s="1">
        <v>6.0</v>
      </c>
      <c r="I5195" s="1" t="s">
        <v>14463</v>
      </c>
      <c r="J5195" s="1" t="s">
        <v>7151</v>
      </c>
      <c r="K5195" s="2" t="s">
        <v>14464</v>
      </c>
      <c r="L5195" s="2"/>
      <c r="M5195" s="2" t="str">
        <f>IFERROR(__xludf.DUMMYFUNCTION("split(split(K5195,""【"",false),""公式LINE"",false)"),"一か月前、吉祥寺で代議士・江本が刺殺された。杉山（谷原章介）らの懸命の捜査も空しく、いまだ犯人は不明。そんなある朝、杉山の子供達と仲の良い老人・健造が、美晴（本田望結）の前でひき逃げに遭ってしまう。美晴は絶対に犯人を捕まえてと父に訴える。その結果、永峰（要潤）がひき逃げ事件を担当することになり、美晴は放課後、休日と永峰の捜査について回る。大人達は美晴を止めようとするが、美晴は新たな証拠を見つける。杉山真太郎…谷原章介  永峰有…要潤  杉山美晴…本田望結  村田健一…石黒英雄  新垣進也…久保田悠来  澤"&amp;"みどり…永池南津子  　○  鎌本義夫…榎木孝明  　○  杉山海人…須田瑛斗  杉山岳…松浦理仁  香川桜子…片瀬那奈  岡崎克彦…佐野史郎  青柳芳江…高橋惠子    ")</f>
        <v>一か月前、吉祥寺で代議士・江本が刺殺された。杉山（谷原章介）らの懸命の捜査も空しく、いまだ犯人は不明。そんなある朝、杉山の子供達と仲の良い老人・健造が、美晴（本田望結）の前でひき逃げに遭ってしまう。美晴は絶対に犯人を捕まえてと父に訴える。その結果、永峰（要潤）がひき逃げ事件を担当することになり、美晴は放課後、休日と永峰の捜査について回る。大人達は美晴を止めようとするが、美晴は新たな証拠を見つける。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    </v>
      </c>
      <c r="N5195" s="2"/>
      <c r="O5195" s="2"/>
      <c r="P5195" s="1"/>
      <c r="Q5195" s="1"/>
      <c r="R5195" s="1"/>
      <c r="S5195" s="1"/>
      <c r="T5195" s="1"/>
      <c r="U5195" s="1"/>
      <c r="V5195" s="1"/>
      <c r="W5195" s="1"/>
      <c r="X5195" s="1"/>
      <c r="Y5195" s="1"/>
      <c r="Z5195" s="1"/>
      <c r="AA5195" s="1"/>
      <c r="AB5195" s="1"/>
      <c r="AC5195" s="1"/>
      <c r="AD5195" s="1"/>
      <c r="AE5195" s="1"/>
      <c r="AF5195" s="1"/>
      <c r="AG5195" s="1"/>
      <c r="AH5195" s="1"/>
      <c r="AI5195" s="1"/>
      <c r="AJ5195" s="1"/>
      <c r="AK5195" s="1"/>
      <c r="AL5195" s="1"/>
      <c r="AM5195" s="1"/>
      <c r="AN5195" s="1"/>
      <c r="AO5195" s="1"/>
      <c r="AP5195" s="1"/>
      <c r="AQ5195" s="1"/>
      <c r="AR5195" s="1"/>
      <c r="AS5195" s="1"/>
      <c r="AT5195" s="1"/>
      <c r="AU5195" s="1"/>
      <c r="AV5195" s="1"/>
      <c r="AW5195" s="1"/>
      <c r="AX5195" s="1"/>
      <c r="AY5195" s="1"/>
      <c r="AZ5195" s="1"/>
      <c r="BA5195" s="1"/>
      <c r="BB5195" s="1"/>
    </row>
    <row r="5196" ht="204.75" customHeight="1">
      <c r="A5196" s="1">
        <v>2268.0</v>
      </c>
      <c r="B5196" s="2" t="s">
        <v>14449</v>
      </c>
      <c r="C5196" s="2">
        <f>IFERROR(__xludf.DUMMYFUNCTION("split(B5196,""_"")"),1501.0)</f>
        <v>1501</v>
      </c>
      <c r="D5196" s="2" t="str">
        <f>IFERROR(__xludf.DUMMYFUNCTION("""COMPUTED_VALUE"""),"TBS")</f>
        <v>TBS</v>
      </c>
      <c r="E5196" s="2" t="str">
        <f>IFERROR(__xludf.DUMMYFUNCTION("""COMPUTED_VALUE"""),"月20")</f>
        <v>月20</v>
      </c>
      <c r="F5196" s="2" t="s">
        <v>14450</v>
      </c>
      <c r="G5196" s="2" t="s">
        <v>14465</v>
      </c>
      <c r="H5196" s="1">
        <v>7.0</v>
      </c>
      <c r="I5196" s="1" t="s">
        <v>14466</v>
      </c>
      <c r="J5196" s="1" t="s">
        <v>7151</v>
      </c>
      <c r="K5196" s="2" t="s">
        <v>14467</v>
      </c>
      <c r="L5196" s="2"/>
      <c r="M5196" s="2" t="str">
        <f>IFERROR(__xludf.DUMMYFUNCTION("split(split(K5196,""【"",false),""公式LINE"",false)"),"吉祥寺署管内で若い男が銃殺される事件が発生。犯人の目撃者は杉山（谷原章介）の末っ子の同級生・うららだった。杉山はうららから何とか証言を取ろうとするが、うららの母親は何かを隠している様子。そんな折、杉山の旧知の看護師から、病院内で血の付いた札束が見つかったと連絡が入る。札束は、意識不明で入院した女性・紗枝の枕元に置かれていた。杉山は紗枝の病室で、意外にもうららのマフラーを見つける。両者の接点とは！？杉山真太郎…谷原章介  永峰有…要潤  杉山美晴…本田望結  村田健一…石黒英雄  新垣進也…久保田悠来  澤"&amp;"みどり…永池南津子  　○  鎌本義夫…榎木孝明  　○  真由美…小松春佳  杉山海人…須田瑛斗  杉山岳…松浦理仁  香川桜子…片瀬那奈  岡崎克彦…佐野史郎  青柳芳江…高橋惠子    ")</f>
        <v>吉祥寺署管内で若い男が銃殺される事件が発生。犯人の目撃者は杉山（谷原章介）の末っ子の同級生・うららだった。杉山はうららから何とか証言を取ろうとするが、うららの母親は何かを隠している様子。そんな折、杉山の旧知の看護師から、病院内で血の付いた札束が見つかったと連絡が入る。札束は、意識不明で入院した女性・紗枝の枕元に置かれていた。杉山は紗枝の病室で、意外にもうららのマフラーを見つける。両者の接点とは！？杉山真太郎…谷原章介  永峰有…要潤  杉山美晴…本田望結  村田健一…石黒英雄  新垣進也…久保田悠来  澤みどり…永池南津子  　○  鎌本義夫…榎木孝明  　○  真由美…小松春佳  杉山海人…須田瑛斗  杉山岳…松浦理仁  香川桜子…片瀬那奈  岡崎克彦…佐野史郎  青柳芳江…高橋惠子    </v>
      </c>
      <c r="N5196" s="2"/>
      <c r="O5196" s="2"/>
      <c r="P5196" s="1"/>
      <c r="Q5196" s="1"/>
      <c r="R5196" s="1"/>
      <c r="S5196" s="1"/>
      <c r="T5196" s="1"/>
      <c r="U5196" s="1"/>
      <c r="V5196" s="1"/>
      <c r="W5196" s="1"/>
      <c r="X5196" s="1"/>
      <c r="Y5196" s="1"/>
      <c r="Z5196" s="1"/>
      <c r="AA5196" s="1"/>
      <c r="AB5196" s="1"/>
      <c r="AC5196" s="1"/>
      <c r="AD5196" s="1"/>
      <c r="AE5196" s="1"/>
      <c r="AF5196" s="1"/>
      <c r="AG5196" s="1"/>
      <c r="AH5196" s="1"/>
      <c r="AI5196" s="1"/>
      <c r="AJ5196" s="1"/>
      <c r="AK5196" s="1"/>
      <c r="AL5196" s="1"/>
      <c r="AM5196" s="1"/>
      <c r="AN5196" s="1"/>
      <c r="AO5196" s="1"/>
      <c r="AP5196" s="1"/>
      <c r="AQ5196" s="1"/>
      <c r="AR5196" s="1"/>
      <c r="AS5196" s="1"/>
      <c r="AT5196" s="1"/>
      <c r="AU5196" s="1"/>
      <c r="AV5196" s="1"/>
      <c r="AW5196" s="1"/>
      <c r="AX5196" s="1"/>
      <c r="AY5196" s="1"/>
      <c r="AZ5196" s="1"/>
      <c r="BA5196" s="1"/>
      <c r="BB5196" s="1"/>
    </row>
    <row r="5197" ht="204.75" customHeight="1">
      <c r="A5197" s="1">
        <v>2269.0</v>
      </c>
      <c r="B5197" s="2" t="s">
        <v>14449</v>
      </c>
      <c r="C5197" s="2">
        <f>IFERROR(__xludf.DUMMYFUNCTION("split(B5197,""_"")"),1501.0)</f>
        <v>1501</v>
      </c>
      <c r="D5197" s="2" t="str">
        <f>IFERROR(__xludf.DUMMYFUNCTION("""COMPUTED_VALUE"""),"TBS")</f>
        <v>TBS</v>
      </c>
      <c r="E5197" s="2" t="str">
        <f>IFERROR(__xludf.DUMMYFUNCTION("""COMPUTED_VALUE"""),"月20")</f>
        <v>月20</v>
      </c>
      <c r="F5197" s="2" t="s">
        <v>14450</v>
      </c>
      <c r="G5197" s="2" t="s">
        <v>14468</v>
      </c>
      <c r="H5197" s="1">
        <v>8.0</v>
      </c>
      <c r="I5197" s="1" t="s">
        <v>14469</v>
      </c>
      <c r="J5197" s="1" t="s">
        <v>7151</v>
      </c>
      <c r="K5197" s="2" t="s">
        <v>14470</v>
      </c>
      <c r="L5197" s="2"/>
      <c r="M5197" s="2" t="str">
        <f>IFERROR(__xludf.DUMMYFUNCTION("split(split(K5197,""【"",false),""公式LINE"",false)"),"爆弾を持った女（あめくみちこ）が吉祥寺署に立てこもった！刑事達と事情聴取中の男女が人質に。立てこもり犯の要求は、風俗嬢殺しの犯人・早乙女耕介（忍成修吾）の釈放。そして、耕介を逮捕した杉山（谷原章介）を出せと要求するが、折しも杉山は、自殺を図った耕介の元を訪れていて不在。永峰（要潤）の決死の脱出で情報が外部に伝わり、吉祥寺署はSITが取り囲む厳戒態勢に。刑事達の命運は…そして犯人の隠された動機とは？杉山真太郎…谷原章介  永峰有…要潤  杉山美晴…本田望結  村田健一…石黒英雄  新垣進也…久保田悠来  澤"&amp;"みどり…永池南津子  　○  鎌本義夫…榎木孝明  　○  杉山海人…須田瑛斗  杉山岳…松浦理仁  香川桜子…片瀬那奈  岡崎克彦…佐野史郎  青柳芳江…高橋惠子    ")</f>
        <v>爆弾を持った女（あめくみちこ）が吉祥寺署に立てこもった！刑事達と事情聴取中の男女が人質に。立てこもり犯の要求は、風俗嬢殺しの犯人・早乙女耕介（忍成修吾）の釈放。そして、耕介を逮捕した杉山（谷原章介）を出せと要求するが、折しも杉山は、自殺を図った耕介の元を訪れていて不在。永峰（要潤）の決死の脱出で情報が外部に伝わり、吉祥寺署はSITが取り囲む厳戒態勢に。刑事達の命運は…そして犯人の隠された動機とは？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    </v>
      </c>
      <c r="N5197" s="2"/>
      <c r="O5197" s="2"/>
      <c r="P5197" s="1"/>
      <c r="Q5197" s="1"/>
      <c r="R5197" s="1"/>
      <c r="S5197" s="1"/>
      <c r="T5197" s="1"/>
      <c r="U5197" s="1"/>
      <c r="V5197" s="1"/>
      <c r="W5197" s="1"/>
      <c r="X5197" s="1"/>
      <c r="Y5197" s="1"/>
      <c r="Z5197" s="1"/>
      <c r="AA5197" s="1"/>
      <c r="AB5197" s="1"/>
      <c r="AC5197" s="1"/>
      <c r="AD5197" s="1"/>
      <c r="AE5197" s="1"/>
      <c r="AF5197" s="1"/>
      <c r="AG5197" s="1"/>
      <c r="AH5197" s="1"/>
      <c r="AI5197" s="1"/>
      <c r="AJ5197" s="1"/>
      <c r="AK5197" s="1"/>
      <c r="AL5197" s="1"/>
      <c r="AM5197" s="1"/>
      <c r="AN5197" s="1"/>
      <c r="AO5197" s="1"/>
      <c r="AP5197" s="1"/>
      <c r="AQ5197" s="1"/>
      <c r="AR5197" s="1"/>
      <c r="AS5197" s="1"/>
      <c r="AT5197" s="1"/>
      <c r="AU5197" s="1"/>
      <c r="AV5197" s="1"/>
      <c r="AW5197" s="1"/>
      <c r="AX5197" s="1"/>
      <c r="AY5197" s="1"/>
      <c r="AZ5197" s="1"/>
      <c r="BA5197" s="1"/>
      <c r="BB5197" s="1"/>
    </row>
    <row r="5198" ht="204.75" customHeight="1">
      <c r="A5198" s="1">
        <v>2270.0</v>
      </c>
      <c r="B5198" s="2" t="s">
        <v>14449</v>
      </c>
      <c r="C5198" s="2">
        <f>IFERROR(__xludf.DUMMYFUNCTION("split(B5198,""_"")"),1501.0)</f>
        <v>1501</v>
      </c>
      <c r="D5198" s="2" t="str">
        <f>IFERROR(__xludf.DUMMYFUNCTION("""COMPUTED_VALUE"""),"TBS")</f>
        <v>TBS</v>
      </c>
      <c r="E5198" s="2" t="str">
        <f>IFERROR(__xludf.DUMMYFUNCTION("""COMPUTED_VALUE"""),"月20")</f>
        <v>月20</v>
      </c>
      <c r="F5198" s="2" t="s">
        <v>14450</v>
      </c>
      <c r="G5198" s="2" t="s">
        <v>14471</v>
      </c>
      <c r="H5198" s="1">
        <v>9.0</v>
      </c>
      <c r="I5198" s="1" t="s">
        <v>2900</v>
      </c>
      <c r="J5198" s="1" t="s">
        <v>7151</v>
      </c>
      <c r="K5198" s="2" t="s">
        <v>14472</v>
      </c>
      <c r="L5198" s="2"/>
      <c r="M5198" s="2" t="str">
        <f>IFERROR(__xludf.DUMMYFUNCTION("split(split(K5198,""【"",false),""公式LINE"",false)"),"吉祥寺署の精算日。皆が経費を入力していると…突如パソコンがシャットダウン！警察がサイバー攻撃されたのだ！同日、管内で殺人事件が発生。杉山はこの日が娘の誕生日、「残業しない」宣言をしていたが、課長の懇願でやむなく現場に…。家では父親不在の誕生日パーティーとなり、当然美晴はおかんむり。そんな美晴の誕生日を、学校で祝ってくれた同級生・遥香。彼女の家庭には複雑な事情があった…少女が2つの事件の鍵を握る！？杉山真太郎…谷原章介  永峰有…要潤  杉山美晴…本田望結  村田健一…石黒英雄  新垣進也…久保田悠来  澤"&amp;"みどり…永池南津子  　○  鎌本義夫…榎木孝明  　○  杉山海人…須田瑛斗  杉山岳…松浦理仁  香川桜子…片瀬那奈  岡崎克彦…佐野史郎  青柳芳江…高橋惠子    ")</f>
        <v>吉祥寺署の精算日。皆が経費を入力していると…突如パソコンがシャットダウン！警察がサイバー攻撃されたのだ！同日、管内で殺人事件が発生。杉山はこの日が娘の誕生日、「残業しない」宣言をしていたが、課長の懇願でやむなく現場に…。家では父親不在の誕生日パーティーとなり、当然美晴はおかんむり。そんな美晴の誕生日を、学校で祝ってくれた同級生・遥香。彼女の家庭には複雑な事情があった…少女が2つの事件の鍵を握る！？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    </v>
      </c>
      <c r="N5198" s="2"/>
      <c r="O5198" s="2"/>
      <c r="P5198" s="1"/>
      <c r="Q5198" s="1"/>
      <c r="R5198" s="1"/>
      <c r="S5198" s="1"/>
      <c r="T5198" s="1"/>
      <c r="U5198" s="1"/>
      <c r="V5198" s="1"/>
      <c r="W5198" s="1"/>
      <c r="X5198" s="1"/>
      <c r="Y5198" s="1"/>
      <c r="Z5198" s="1"/>
      <c r="AA5198" s="1"/>
      <c r="AB5198" s="1"/>
      <c r="AC5198" s="1"/>
      <c r="AD5198" s="1"/>
      <c r="AE5198" s="1"/>
      <c r="AF5198" s="1"/>
      <c r="AG5198" s="1"/>
      <c r="AH5198" s="1"/>
      <c r="AI5198" s="1"/>
      <c r="AJ5198" s="1"/>
      <c r="AK5198" s="1"/>
      <c r="AL5198" s="1"/>
      <c r="AM5198" s="1"/>
      <c r="AN5198" s="1"/>
      <c r="AO5198" s="1"/>
      <c r="AP5198" s="1"/>
      <c r="AQ5198" s="1"/>
      <c r="AR5198" s="1"/>
      <c r="AS5198" s="1"/>
      <c r="AT5198" s="1"/>
      <c r="AU5198" s="1"/>
      <c r="AV5198" s="1"/>
      <c r="AW5198" s="1"/>
      <c r="AX5198" s="1"/>
      <c r="AY5198" s="1"/>
      <c r="AZ5198" s="1"/>
      <c r="BA5198" s="1"/>
      <c r="BB5198" s="1"/>
    </row>
    <row r="5199" ht="204.75" customHeight="1">
      <c r="A5199" s="1">
        <v>2271.0</v>
      </c>
      <c r="B5199" s="2" t="s">
        <v>14449</v>
      </c>
      <c r="C5199" s="2">
        <f>IFERROR(__xludf.DUMMYFUNCTION("split(B5199,""_"")"),1501.0)</f>
        <v>1501</v>
      </c>
      <c r="D5199" s="2" t="str">
        <f>IFERROR(__xludf.DUMMYFUNCTION("""COMPUTED_VALUE"""),"TBS")</f>
        <v>TBS</v>
      </c>
      <c r="E5199" s="2" t="str">
        <f>IFERROR(__xludf.DUMMYFUNCTION("""COMPUTED_VALUE"""),"月20")</f>
        <v>月20</v>
      </c>
      <c r="F5199" s="2" t="s">
        <v>14450</v>
      </c>
      <c r="G5199" s="2" t="s">
        <v>14473</v>
      </c>
      <c r="H5199" s="1">
        <v>10.0</v>
      </c>
      <c r="I5199" s="1" t="s">
        <v>14474</v>
      </c>
      <c r="J5199" s="1" t="s">
        <v>7151</v>
      </c>
      <c r="K5199" s="2" t="s">
        <v>14475</v>
      </c>
      <c r="L5199" s="2"/>
      <c r="M5199" s="2" t="str">
        <f>IFERROR(__xludf.DUMMYFUNCTION("split(split(K5199,""【"",false),""公式LINE"",false)"),"吉祥寺署管内でホステス殺人事件が発生。杉山が現場に急行すると、なぜか女刑事・桜子の姿がない。実は署長の強い希望で、本庁のエリートと見合い中だったのだ。その見合いの席で、桜子は、警官になる前にヤンチャしていた頃の先輩・古賀とばったり再会してしまう。劇的な再会に距離を縮めていく二人。しかし、殺人事件と、ホステスを狙った連続窃盗事件のつながりが判明し、捜査線上に古賀が浮上する。苦悩する桜子の決断とは！？杉山真太郎…谷原章介  永峰有…要潤  杉山美晴…本田望結  村田健一…石黒英雄  新垣進也…久保田悠来  澤"&amp;"みどり…永池南津子  　○  鎌本義夫…榎木孝明  　○  杉山海人…須田瑛斗  杉山岳…松浦理仁  香川桜子…片瀬那奈  岡崎克彦…佐野史郎  青柳芳江…高橋惠子    ")</f>
        <v>吉祥寺署管内でホステス殺人事件が発生。杉山が現場に急行すると、なぜか女刑事・桜子の姿がない。実は署長の強い希望で、本庁のエリートと見合い中だったのだ。その見合いの席で、桜子は、警官になる前にヤンチャしていた頃の先輩・古賀とばったり再会してしまう。劇的な再会に距離を縮めていく二人。しかし、殺人事件と、ホステスを狙った連続窃盗事件のつながりが判明し、捜査線上に古賀が浮上する。苦悩する桜子の決断とは！？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    </v>
      </c>
      <c r="N5199" s="2"/>
      <c r="O5199" s="2"/>
      <c r="P5199" s="1"/>
      <c r="Q5199" s="1"/>
      <c r="R5199" s="1"/>
      <c r="S5199" s="1"/>
      <c r="T5199" s="1"/>
      <c r="U5199" s="1"/>
      <c r="V5199" s="1"/>
      <c r="W5199" s="1"/>
      <c r="X5199" s="1"/>
      <c r="Y5199" s="1"/>
      <c r="Z5199" s="1"/>
      <c r="AA5199" s="1"/>
      <c r="AB5199" s="1"/>
      <c r="AC5199" s="1"/>
      <c r="AD5199" s="1"/>
      <c r="AE5199" s="1"/>
      <c r="AF5199" s="1"/>
      <c r="AG5199" s="1"/>
      <c r="AH5199" s="1"/>
      <c r="AI5199" s="1"/>
      <c r="AJ5199" s="1"/>
      <c r="AK5199" s="1"/>
      <c r="AL5199" s="1"/>
      <c r="AM5199" s="1"/>
      <c r="AN5199" s="1"/>
      <c r="AO5199" s="1"/>
      <c r="AP5199" s="1"/>
      <c r="AQ5199" s="1"/>
      <c r="AR5199" s="1"/>
      <c r="AS5199" s="1"/>
      <c r="AT5199" s="1"/>
      <c r="AU5199" s="1"/>
      <c r="AV5199" s="1"/>
      <c r="AW5199" s="1"/>
      <c r="AX5199" s="1"/>
      <c r="AY5199" s="1"/>
      <c r="AZ5199" s="1"/>
      <c r="BA5199" s="1"/>
      <c r="BB5199" s="1"/>
    </row>
    <row r="5200" ht="204.75" customHeight="1">
      <c r="A5200" s="1">
        <v>2272.0</v>
      </c>
      <c r="B5200" s="2" t="s">
        <v>14449</v>
      </c>
      <c r="C5200" s="2">
        <f>IFERROR(__xludf.DUMMYFUNCTION("split(B5200,""_"")"),1501.0)</f>
        <v>1501</v>
      </c>
      <c r="D5200" s="2" t="str">
        <f>IFERROR(__xludf.DUMMYFUNCTION("""COMPUTED_VALUE"""),"TBS")</f>
        <v>TBS</v>
      </c>
      <c r="E5200" s="2" t="str">
        <f>IFERROR(__xludf.DUMMYFUNCTION("""COMPUTED_VALUE"""),"月20")</f>
        <v>月20</v>
      </c>
      <c r="F5200" s="2" t="s">
        <v>14450</v>
      </c>
      <c r="G5200" s="2" t="s">
        <v>14476</v>
      </c>
      <c r="H5200" s="1">
        <v>11.0</v>
      </c>
      <c r="I5200" s="1" t="s">
        <v>41</v>
      </c>
      <c r="J5200" s="1" t="s">
        <v>7151</v>
      </c>
      <c r="K5200" s="2" t="s">
        <v>14477</v>
      </c>
      <c r="L5200" s="2"/>
      <c r="M5200" s="2" t="str">
        <f>IFERROR(__xludf.DUMMYFUNCTION("split(split(K5200,""【"",false),""公式LINE"",false)"),"村田刑事（石黒英雄）の先輩警官が、黒ずくめの男に撲殺され、拳銃を奪われた。体調に不安を感じながらも、捜査に全力を注ぎたい杉山（谷原章介）。しかし義母・芳江（高橋惠子）の強い説得により、杉山は篠原医師（山本圭）の病院で検診を受けることに。杉山不在の中、先走って単独捜査に及んでしまう村田ーー彼もまた黒ずくめの男に銃撃され、意識不明となってしまう。再び杉山家に大波乱が巻き起こる…警部補杉山、最後の事件！杉山真太郎…谷原章介  永峰有…要潤  杉山美晴…本田望結  村田健一…石黒英雄  新垣進也…久保田悠来  澤"&amp;"みどり…永池南津子  　○  鎌本義夫…榎木孝明  　○  杉山海人…須田瑛斗  杉山岳…松浦理仁  香川桜子…片瀬那奈  岡崎克彦…佐野史郎  青柳芳江…高橋惠子    ")</f>
        <v>村田刑事（石黒英雄）の先輩警官が、黒ずくめの男に撲殺され、拳銃を奪われた。体調に不安を感じながらも、捜査に全力を注ぎたい杉山（谷原章介）。しかし義母・芳江（高橋惠子）の強い説得により、杉山は篠原医師（山本圭）の病院で検診を受けることに。杉山不在の中、先走って単独捜査に及んでしまう村田ーー彼もまた黒ずくめの男に銃撃され、意識不明となってしまう。再び杉山家に大波乱が巻き起こる…警部補杉山、最後の事件！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    </v>
      </c>
      <c r="N5200" s="2"/>
      <c r="O5200" s="2"/>
      <c r="P5200" s="1"/>
      <c r="Q5200" s="1"/>
      <c r="R5200" s="1"/>
      <c r="S5200" s="1"/>
      <c r="T5200" s="1"/>
      <c r="U5200" s="1"/>
      <c r="V5200" s="1"/>
      <c r="W5200" s="1"/>
      <c r="X5200" s="1"/>
      <c r="Y5200" s="1"/>
      <c r="Z5200" s="1"/>
      <c r="AA5200" s="1"/>
      <c r="AB5200" s="1"/>
      <c r="AC5200" s="1"/>
      <c r="AD5200" s="1"/>
      <c r="AE5200" s="1"/>
      <c r="AF5200" s="1"/>
      <c r="AG5200" s="1"/>
      <c r="AH5200" s="1"/>
      <c r="AI5200" s="1"/>
      <c r="AJ5200" s="1"/>
      <c r="AK5200" s="1"/>
      <c r="AL5200" s="1"/>
      <c r="AM5200" s="1"/>
      <c r="AN5200" s="1"/>
      <c r="AO5200" s="1"/>
      <c r="AP5200" s="1"/>
      <c r="AQ5200" s="1"/>
      <c r="AR5200" s="1"/>
      <c r="AS5200" s="1"/>
      <c r="AT5200" s="1"/>
      <c r="AU5200" s="1"/>
      <c r="AV5200" s="1"/>
      <c r="AW5200" s="1"/>
      <c r="AX5200" s="1"/>
      <c r="AY5200" s="1"/>
      <c r="AZ5200" s="1"/>
      <c r="BA5200" s="1"/>
      <c r="BB5200" s="1"/>
    </row>
    <row r="5201" ht="204.75" customHeight="1">
      <c r="A5201" s="1">
        <v>2304.0</v>
      </c>
      <c r="B5201" s="2" t="s">
        <v>14478</v>
      </c>
      <c r="C5201" s="2">
        <f>IFERROR(__xludf.DUMMYFUNCTION("split(B5201,""_"")"),1501.0)</f>
        <v>1501</v>
      </c>
      <c r="D5201" s="2" t="str">
        <f>IFERROR(__xludf.DUMMYFUNCTION("""COMPUTED_VALUE"""),"TBS")</f>
        <v>TBS</v>
      </c>
      <c r="E5201" s="2" t="str">
        <f>IFERROR(__xludf.DUMMYFUNCTION("""COMPUTED_VALUE"""),"火22")</f>
        <v>火22</v>
      </c>
      <c r="F5201" s="2" t="s">
        <v>14479</v>
      </c>
      <c r="G5201" s="2" t="s">
        <v>14480</v>
      </c>
      <c r="H5201" s="1">
        <v>1.0</v>
      </c>
      <c r="J5201" s="1" t="s">
        <v>82</v>
      </c>
      <c r="K5201" s="2" t="s">
        <v>14481</v>
      </c>
      <c r="L5201" s="2"/>
      <c r="M5201" s="2" t="str">
        <f>IFERROR(__xludf.DUMMYFUNCTION("split(split(K5201,""【"",false),""公式LINE"",false)"),"セレブ御用達の高級病院に勤めるナースたちの姿を人気脚本家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"&amp;"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  ")</f>
        <v>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  </v>
      </c>
      <c r="N5201" s="2"/>
      <c r="O5201" s="2"/>
      <c r="P5201" s="1"/>
      <c r="Q5201" s="1"/>
      <c r="R5201" s="1"/>
      <c r="S5201" s="1"/>
      <c r="T5201" s="1"/>
      <c r="U5201" s="1"/>
      <c r="V5201" s="1"/>
      <c r="W5201" s="1"/>
      <c r="X5201" s="1"/>
      <c r="Y5201" s="1"/>
      <c r="Z5201" s="1"/>
      <c r="AA5201" s="1"/>
      <c r="AB5201" s="1"/>
      <c r="AC5201" s="1"/>
      <c r="AD5201" s="1"/>
      <c r="AE5201" s="1"/>
      <c r="AF5201" s="1"/>
      <c r="AG5201" s="1"/>
      <c r="AH5201" s="1"/>
      <c r="AI5201" s="1"/>
      <c r="AJ5201" s="1"/>
      <c r="AK5201" s="1"/>
      <c r="AL5201" s="1"/>
      <c r="AM5201" s="1"/>
      <c r="AN5201" s="1"/>
      <c r="AO5201" s="1"/>
      <c r="AP5201" s="1"/>
      <c r="AQ5201" s="1"/>
      <c r="AR5201" s="1"/>
      <c r="AS5201" s="1"/>
      <c r="AT5201" s="1"/>
      <c r="AU5201" s="1"/>
      <c r="AV5201" s="1"/>
      <c r="AW5201" s="1"/>
      <c r="AX5201" s="1"/>
      <c r="AY5201" s="1"/>
      <c r="AZ5201" s="1"/>
      <c r="BA5201" s="1"/>
      <c r="BB5201" s="1"/>
    </row>
    <row r="5202" ht="204.75" customHeight="1">
      <c r="A5202" s="1">
        <v>2305.0</v>
      </c>
      <c r="B5202" s="2" t="s">
        <v>14478</v>
      </c>
      <c r="C5202" s="2">
        <f>IFERROR(__xludf.DUMMYFUNCTION("split(B5202,""_"")"),1501.0)</f>
        <v>1501</v>
      </c>
      <c r="D5202" s="2" t="str">
        <f>IFERROR(__xludf.DUMMYFUNCTION("""COMPUTED_VALUE"""),"TBS")</f>
        <v>TBS</v>
      </c>
      <c r="E5202" s="2" t="str">
        <f>IFERROR(__xludf.DUMMYFUNCTION("""COMPUTED_VALUE"""),"火22")</f>
        <v>火22</v>
      </c>
      <c r="F5202" s="2" t="s">
        <v>14479</v>
      </c>
      <c r="G5202" s="2" t="s">
        <v>14482</v>
      </c>
      <c r="H5202" s="1">
        <v>2.0</v>
      </c>
      <c r="I5202" s="1" t="s">
        <v>2872</v>
      </c>
      <c r="J5202" s="1" t="s">
        <v>86</v>
      </c>
      <c r="K5202" s="2" t="s">
        <v>14483</v>
      </c>
      <c r="L5202" s="2"/>
      <c r="M5202" s="2" t="str">
        <f>IFERROR(__xludf.DUMMYFUNCTION("split(split(K5202,""【"",false),""公式LINE"",false)"),"セレブ御用達の高級病院に勤めるナースたちの姿を人気脚本家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"&amp;"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東仲恵吾◇番組HP  htt"&amp;"p://www.tbs.co.jp/masshiro2015/  ◇ツイッター  @masshiro_tbs  http://www.tbs.co.jp/masshiro2015/  飢えた女たちから妬みの連鎖 #2『まっしろ』1/20（火）予告動画公開しました！  http://youtu.be/G8iviZY2j0M  番組の内容と放送時間は変更になる可能性があります。")</f>
        <v>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東仲恵吾◇番組HP  http://www.tbs.co.jp/masshiro2015/  ◇ツイッター  @masshiro_tbs  http://www.tbs.co.jp/masshiro2015/  飢えた女たちから妬みの連鎖 #2『まっしろ』1/20（火）予告動画公開しました！  http://youtu.be/G8iviZY2j0M  番組の内容と放送時間は変更になる可能性があります。</v>
      </c>
      <c r="N5202" s="2"/>
      <c r="O5202" s="2"/>
      <c r="P5202" s="1"/>
      <c r="Q5202" s="1"/>
      <c r="R5202" s="1"/>
      <c r="S5202" s="1"/>
      <c r="T5202" s="1"/>
      <c r="U5202" s="1"/>
      <c r="V5202" s="1"/>
      <c r="W5202" s="1"/>
      <c r="X5202" s="1"/>
      <c r="Y5202" s="1"/>
      <c r="Z5202" s="1"/>
      <c r="AA5202" s="1"/>
      <c r="AB5202" s="1"/>
      <c r="AC5202" s="1"/>
      <c r="AD5202" s="1"/>
      <c r="AE5202" s="1"/>
      <c r="AF5202" s="1"/>
      <c r="AG5202" s="1"/>
      <c r="AH5202" s="1"/>
      <c r="AI5202" s="1"/>
      <c r="AJ5202" s="1"/>
      <c r="AK5202" s="1"/>
      <c r="AL5202" s="1"/>
      <c r="AM5202" s="1"/>
      <c r="AN5202" s="1"/>
      <c r="AO5202" s="1"/>
      <c r="AP5202" s="1"/>
      <c r="AQ5202" s="1"/>
      <c r="AR5202" s="1"/>
      <c r="AS5202" s="1"/>
      <c r="AT5202" s="1"/>
      <c r="AU5202" s="1"/>
      <c r="AV5202" s="1"/>
      <c r="AW5202" s="1"/>
      <c r="AX5202" s="1"/>
      <c r="AY5202" s="1"/>
      <c r="AZ5202" s="1"/>
      <c r="BA5202" s="1"/>
      <c r="BB5202" s="1"/>
    </row>
    <row r="5203" ht="204.75" customHeight="1">
      <c r="A5203" s="1">
        <v>2306.0</v>
      </c>
      <c r="B5203" s="2" t="s">
        <v>14478</v>
      </c>
      <c r="C5203" s="2">
        <f>IFERROR(__xludf.DUMMYFUNCTION("split(B5203,""_"")"),1501.0)</f>
        <v>1501</v>
      </c>
      <c r="D5203" s="2" t="str">
        <f>IFERROR(__xludf.DUMMYFUNCTION("""COMPUTED_VALUE"""),"TBS")</f>
        <v>TBS</v>
      </c>
      <c r="E5203" s="2" t="str">
        <f>IFERROR(__xludf.DUMMYFUNCTION("""COMPUTED_VALUE"""),"火22")</f>
        <v>火22</v>
      </c>
      <c r="F5203" s="2" t="s">
        <v>14479</v>
      </c>
      <c r="G5203" s="2" t="s">
        <v>14484</v>
      </c>
      <c r="H5203" s="1">
        <v>3.0</v>
      </c>
      <c r="J5203" s="1" t="s">
        <v>86</v>
      </c>
      <c r="K5203" s="2" t="s">
        <v>14485</v>
      </c>
      <c r="L5203" s="2"/>
      <c r="M5203" s="2" t="str">
        <f>IFERROR(__xludf.DUMMYFUNCTION("split(split(K5203,""【"",false),""公式LINE"",false)"),"セレブ御用達の高級病院に勤めるナースたちの姿を人気脚本家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"&amp;"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東仲恵吾◇番組HP  htt"&amp;"p://www.tbs.co.jp/masshiro2015/  ◇ツイッター  @masshiro_tbs  http://www.tbs.co.jp/masshiro2015/  番組の内容と放送時間は変更になる可能性があります。")</f>
        <v>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東仲恵吾◇番組HP  http://www.tbs.co.jp/masshiro2015/  ◇ツイッター  @masshiro_tbs  http://www.tbs.co.jp/masshiro2015/  番組の内容と放送時間は変更になる可能性があります。</v>
      </c>
      <c r="N5203" s="2"/>
      <c r="O5203" s="2"/>
      <c r="P5203" s="1"/>
      <c r="Q5203" s="1"/>
      <c r="R5203" s="1"/>
      <c r="S5203" s="1"/>
      <c r="T5203" s="1"/>
      <c r="U5203" s="1"/>
      <c r="V5203" s="1"/>
      <c r="W5203" s="1"/>
      <c r="X5203" s="1"/>
      <c r="Y5203" s="1"/>
      <c r="Z5203" s="1"/>
      <c r="AA5203" s="1"/>
      <c r="AB5203" s="1"/>
      <c r="AC5203" s="1"/>
      <c r="AD5203" s="1"/>
      <c r="AE5203" s="1"/>
      <c r="AF5203" s="1"/>
      <c r="AG5203" s="1"/>
      <c r="AH5203" s="1"/>
      <c r="AI5203" s="1"/>
      <c r="AJ5203" s="1"/>
      <c r="AK5203" s="1"/>
      <c r="AL5203" s="1"/>
      <c r="AM5203" s="1"/>
      <c r="AN5203" s="1"/>
      <c r="AO5203" s="1"/>
      <c r="AP5203" s="1"/>
      <c r="AQ5203" s="1"/>
      <c r="AR5203" s="1"/>
      <c r="AS5203" s="1"/>
      <c r="AT5203" s="1"/>
      <c r="AU5203" s="1"/>
      <c r="AV5203" s="1"/>
      <c r="AW5203" s="1"/>
      <c r="AX5203" s="1"/>
      <c r="AY5203" s="1"/>
      <c r="AZ5203" s="1"/>
      <c r="BA5203" s="1"/>
      <c r="BB5203" s="1"/>
    </row>
    <row r="5204" ht="204.75" customHeight="1">
      <c r="A5204" s="1">
        <v>2307.0</v>
      </c>
      <c r="B5204" s="2" t="s">
        <v>14478</v>
      </c>
      <c r="C5204" s="2">
        <f>IFERROR(__xludf.DUMMYFUNCTION("split(B5204,""_"")"),1501.0)</f>
        <v>1501</v>
      </c>
      <c r="D5204" s="2" t="str">
        <f>IFERROR(__xludf.DUMMYFUNCTION("""COMPUTED_VALUE"""),"TBS")</f>
        <v>TBS</v>
      </c>
      <c r="E5204" s="2" t="str">
        <f>IFERROR(__xludf.DUMMYFUNCTION("""COMPUTED_VALUE"""),"火22")</f>
        <v>火22</v>
      </c>
      <c r="F5204" s="2" t="s">
        <v>14479</v>
      </c>
      <c r="G5204" s="2" t="s">
        <v>14486</v>
      </c>
      <c r="H5204" s="1">
        <v>4.0</v>
      </c>
      <c r="J5204" s="1" t="s">
        <v>86</v>
      </c>
      <c r="K5204" s="2" t="s">
        <v>14487</v>
      </c>
      <c r="L5204" s="2"/>
      <c r="M5204" s="2" t="str">
        <f>IFERROR(__xludf.DUMMYFUNCTION("split(split(K5204,""【"",false),""公式LINE"",false)"),"セレブ御用達の高級病院に勤めるナースたちの姿を人気脚本家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"&amp;"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東仲恵吾主題歌　miwa 「"&amp;"fighting-Φ-girls」◇番組HP  http://www.tbs.co.jp/masshiro2015/  ◇ツイッター  @masshiro_tbs  http://www.tbs.co.jp/masshiro2015/  非モテ女・朱里 サッカー選手との玉の輿婚!? 動画公開しました！  http://youtu.be/a6TljjZIn4c  番組の内容と放送時間は変更になる可能性があります。")</f>
        <v>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東仲恵吾主題歌　miwa 「fighting-Φ-girls」◇番組HP  http://www.tbs.co.jp/masshiro2015/  ◇ツイッター  @masshiro_tbs  http://www.tbs.co.jp/masshiro2015/  非モテ女・朱里 サッカー選手との玉の輿婚!? 動画公開しました！  http://youtu.be/a6TljjZIn4c  番組の内容と放送時間は変更になる可能性があります。</v>
      </c>
      <c r="N5204" s="2"/>
      <c r="O5204" s="2"/>
      <c r="P5204" s="1"/>
      <c r="Q5204" s="1"/>
      <c r="R5204" s="1"/>
      <c r="S5204" s="1"/>
      <c r="T5204" s="1"/>
      <c r="U5204" s="1"/>
      <c r="V5204" s="1"/>
      <c r="W5204" s="1"/>
      <c r="X5204" s="1"/>
      <c r="Y5204" s="1"/>
      <c r="Z5204" s="1"/>
      <c r="AA5204" s="1"/>
      <c r="AB5204" s="1"/>
      <c r="AC5204" s="1"/>
      <c r="AD5204" s="1"/>
      <c r="AE5204" s="1"/>
      <c r="AF5204" s="1"/>
      <c r="AG5204" s="1"/>
      <c r="AH5204" s="1"/>
      <c r="AI5204" s="1"/>
      <c r="AJ5204" s="1"/>
      <c r="AK5204" s="1"/>
      <c r="AL5204" s="1"/>
      <c r="AM5204" s="1"/>
      <c r="AN5204" s="1"/>
      <c r="AO5204" s="1"/>
      <c r="AP5204" s="1"/>
      <c r="AQ5204" s="1"/>
      <c r="AR5204" s="1"/>
      <c r="AS5204" s="1"/>
      <c r="AT5204" s="1"/>
      <c r="AU5204" s="1"/>
      <c r="AV5204" s="1"/>
      <c r="AW5204" s="1"/>
      <c r="AX5204" s="1"/>
      <c r="AY5204" s="1"/>
      <c r="AZ5204" s="1"/>
      <c r="BA5204" s="1"/>
      <c r="BB5204" s="1"/>
    </row>
    <row r="5205" ht="204.75" customHeight="1">
      <c r="A5205" s="1">
        <v>2308.0</v>
      </c>
      <c r="B5205" s="2" t="s">
        <v>14478</v>
      </c>
      <c r="C5205" s="2">
        <f>IFERROR(__xludf.DUMMYFUNCTION("split(B5205,""_"")"),1501.0)</f>
        <v>1501</v>
      </c>
      <c r="D5205" s="2" t="str">
        <f>IFERROR(__xludf.DUMMYFUNCTION("""COMPUTED_VALUE"""),"TBS")</f>
        <v>TBS</v>
      </c>
      <c r="E5205" s="2" t="str">
        <f>IFERROR(__xludf.DUMMYFUNCTION("""COMPUTED_VALUE"""),"火22")</f>
        <v>火22</v>
      </c>
      <c r="F5205" s="2" t="s">
        <v>14479</v>
      </c>
      <c r="G5205" s="2" t="s">
        <v>14488</v>
      </c>
      <c r="H5205" s="1">
        <v>5.0</v>
      </c>
      <c r="I5205" s="1" t="s">
        <v>2884</v>
      </c>
      <c r="J5205" s="1" t="s">
        <v>86</v>
      </c>
      <c r="K5205" s="2" t="s">
        <v>14489</v>
      </c>
      <c r="L5205" s="2"/>
      <c r="M5205" s="2" t="str">
        <f>IFERROR(__xludf.DUMMYFUNCTION("split(split(K5205,""【"",false),""公式LINE"",false)"),"セレブ御用達の高級病院に勤めるナースたちの姿を人気脚本家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"&amp;"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東仲恵吾主題歌　miwa 「"&amp;"fighting-Φ-girls」  ◇番組HP  http://www.tbs.co.jp/masshiro2015/  ◇ツイッター  @masshiro_tbs  http://www.tbs.co.jp/masshiro2015/  朱里が「後妻」に!? 75歳との結婚に揺れる想い #5 『まっしろ』2/10（火）予告動画公開しました！  http://youtu.be/rxc2J2Evhr0  番組の内容と放送時間は変更になる可能性があります。")</f>
        <v>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東仲恵吾主題歌　miwa 「fighting-Φ-girls」  ◇番組HP  http://www.tbs.co.jp/masshiro2015/  ◇ツイッター  @masshiro_tbs  http://www.tbs.co.jp/masshiro2015/  朱里が「後妻」に!? 75歳との結婚に揺れる想い #5 『まっしろ』2/10（火）予告動画公開しました！  http://youtu.be/rxc2J2Evhr0  番組の内容と放送時間は変更になる可能性があります。</v>
      </c>
      <c r="N5205" s="2"/>
      <c r="O5205" s="2"/>
      <c r="P5205" s="1"/>
      <c r="Q5205" s="1"/>
      <c r="R5205" s="1"/>
      <c r="S5205" s="1"/>
      <c r="T5205" s="1"/>
      <c r="U5205" s="1"/>
      <c r="V5205" s="1"/>
      <c r="W5205" s="1"/>
      <c r="X5205" s="1"/>
      <c r="Y5205" s="1"/>
      <c r="Z5205" s="1"/>
      <c r="AA5205" s="1"/>
      <c r="AB5205" s="1"/>
      <c r="AC5205" s="1"/>
      <c r="AD5205" s="1"/>
      <c r="AE5205" s="1"/>
      <c r="AF5205" s="1"/>
      <c r="AG5205" s="1"/>
      <c r="AH5205" s="1"/>
      <c r="AI5205" s="1"/>
      <c r="AJ5205" s="1"/>
      <c r="AK5205" s="1"/>
      <c r="AL5205" s="1"/>
      <c r="AM5205" s="1"/>
      <c r="AN5205" s="1"/>
      <c r="AO5205" s="1"/>
      <c r="AP5205" s="1"/>
      <c r="AQ5205" s="1"/>
      <c r="AR5205" s="1"/>
      <c r="AS5205" s="1"/>
      <c r="AT5205" s="1"/>
      <c r="AU5205" s="1"/>
      <c r="AV5205" s="1"/>
      <c r="AW5205" s="1"/>
      <c r="AX5205" s="1"/>
      <c r="AY5205" s="1"/>
      <c r="AZ5205" s="1"/>
      <c r="BA5205" s="1"/>
      <c r="BB5205" s="1"/>
    </row>
    <row r="5206" ht="204.75" customHeight="1">
      <c r="A5206" s="1">
        <v>2309.0</v>
      </c>
      <c r="B5206" s="2" t="s">
        <v>14478</v>
      </c>
      <c r="C5206" s="2">
        <f>IFERROR(__xludf.DUMMYFUNCTION("split(B5206,""_"")"),1501.0)</f>
        <v>1501</v>
      </c>
      <c r="D5206" s="2" t="str">
        <f>IFERROR(__xludf.DUMMYFUNCTION("""COMPUTED_VALUE"""),"TBS")</f>
        <v>TBS</v>
      </c>
      <c r="E5206" s="2" t="str">
        <f>IFERROR(__xludf.DUMMYFUNCTION("""COMPUTED_VALUE"""),"火22")</f>
        <v>火22</v>
      </c>
      <c r="F5206" s="2" t="s">
        <v>14479</v>
      </c>
      <c r="G5206" s="2" t="s">
        <v>14490</v>
      </c>
      <c r="H5206" s="1">
        <v>6.0</v>
      </c>
      <c r="I5206" s="1" t="s">
        <v>2888</v>
      </c>
      <c r="J5206" s="1" t="s">
        <v>86</v>
      </c>
      <c r="K5206" s="2" t="s">
        <v>14491</v>
      </c>
      <c r="L5206" s="2"/>
      <c r="M5206" s="2" t="str">
        <f>IFERROR(__xludf.DUMMYFUNCTION("split(split(K5206,""【"",false),""公式LINE"",false)"),"セレブ御用達の高級病院に勤めるナースたちの姿を人気脚本家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"&amp;"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東仲恵吾主題歌　miwa 「"&amp;"fighting-Φ-girls」◇番組HP  http://www.tbs.co.jp/masshiro2015/  ◇ツイッター  @masshiro_tbs  http://www.tbs.co.jp/masshiro2015/  元カレの妻を看護!? 天使のプライド #6 『まっしろ』2/17（火）予告　動画公開しました！  http://youtu.be/vWGFMjwIvc8  番組の内容と放送時間は変更になる可能性があります。")</f>
        <v>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東仲恵吾主題歌　miwa 「fighting-Φ-girls」◇番組HP  http://www.tbs.co.jp/masshiro2015/  ◇ツイッター  @masshiro_tbs  http://www.tbs.co.jp/masshiro2015/  元カレの妻を看護!? 天使のプライド #6 『まっしろ』2/17（火）予告　動画公開しました！  http://youtu.be/vWGFMjwIvc8  番組の内容と放送時間は変更になる可能性があります。</v>
      </c>
      <c r="N5206" s="2"/>
      <c r="O5206" s="2"/>
      <c r="P5206" s="1"/>
      <c r="Q5206" s="1"/>
      <c r="R5206" s="1"/>
      <c r="S5206" s="1"/>
      <c r="T5206" s="1"/>
      <c r="U5206" s="1"/>
      <c r="V5206" s="1"/>
      <c r="W5206" s="1"/>
      <c r="X5206" s="1"/>
      <c r="Y5206" s="1"/>
      <c r="Z5206" s="1"/>
      <c r="AA5206" s="1"/>
      <c r="AB5206" s="1"/>
      <c r="AC5206" s="1"/>
      <c r="AD5206" s="1"/>
      <c r="AE5206" s="1"/>
      <c r="AF5206" s="1"/>
      <c r="AG5206" s="1"/>
      <c r="AH5206" s="1"/>
      <c r="AI5206" s="1"/>
      <c r="AJ5206" s="1"/>
      <c r="AK5206" s="1"/>
      <c r="AL5206" s="1"/>
      <c r="AM5206" s="1"/>
      <c r="AN5206" s="1"/>
      <c r="AO5206" s="1"/>
      <c r="AP5206" s="1"/>
      <c r="AQ5206" s="1"/>
      <c r="AR5206" s="1"/>
      <c r="AS5206" s="1"/>
      <c r="AT5206" s="1"/>
      <c r="AU5206" s="1"/>
      <c r="AV5206" s="1"/>
      <c r="AW5206" s="1"/>
      <c r="AX5206" s="1"/>
      <c r="AY5206" s="1"/>
      <c r="AZ5206" s="1"/>
      <c r="BA5206" s="1"/>
      <c r="BB5206" s="1"/>
    </row>
    <row r="5207" ht="204.75" customHeight="1">
      <c r="A5207" s="1">
        <v>2310.0</v>
      </c>
      <c r="B5207" s="2" t="s">
        <v>14478</v>
      </c>
      <c r="C5207" s="2">
        <f>IFERROR(__xludf.DUMMYFUNCTION("split(B5207,""_"")"),1501.0)</f>
        <v>1501</v>
      </c>
      <c r="D5207" s="2" t="str">
        <f>IFERROR(__xludf.DUMMYFUNCTION("""COMPUTED_VALUE"""),"TBS")</f>
        <v>TBS</v>
      </c>
      <c r="E5207" s="2" t="str">
        <f>IFERROR(__xludf.DUMMYFUNCTION("""COMPUTED_VALUE"""),"火22")</f>
        <v>火22</v>
      </c>
      <c r="F5207" s="2" t="s">
        <v>14479</v>
      </c>
      <c r="G5207" s="2" t="s">
        <v>14492</v>
      </c>
      <c r="H5207" s="1">
        <v>7.0</v>
      </c>
      <c r="I5207" s="1" t="s">
        <v>2892</v>
      </c>
      <c r="J5207" s="1" t="s">
        <v>86</v>
      </c>
      <c r="K5207" s="2" t="s">
        <v>14493</v>
      </c>
      <c r="L5207" s="2"/>
      <c r="M5207" s="2" t="str">
        <f>IFERROR(__xludf.DUMMYFUNCTION("split(split(K5207,""【"",false),""公式LINE"",false)"),"セレブ御用達の高級病院に勤めるナースたちの姿を人気脚本家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"&amp;"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プロデュース　植田博樹　東仲恵吾主題歌　miwa 「fighting-Φ-girls」◇番"&amp;"組HP  http://www.tbs.co.jp/masshiro2015/  ◇ツイッター  @masshiro_tbs  http://www.tbs.co.jp/masshiro2015/  師長が交代! 心が最後に語る想いとは・・・!?　#7 『まっしろ』2/24（火）予告動画公開しました！  http://youtu.be/MaHo7cBgq-4  番組の内容と放送時間は変更になる可能性があります。")</f>
        <v>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プロデュース　植田博樹　東仲恵吾主題歌　miwa 「fighting-Φ-girls」◇番組HP  http://www.tbs.co.jp/masshiro2015/  ◇ツイッター  @masshiro_tbs  http://www.tbs.co.jp/masshiro2015/  師長が交代! 心が最後に語る想いとは・・・!?　#7 『まっしろ』2/24（火）予告動画公開しました！  http://youtu.be/MaHo7cBgq-4  番組の内容と放送時間は変更になる可能性があります。</v>
      </c>
      <c r="N5207" s="2"/>
      <c r="O5207" s="2"/>
      <c r="P5207" s="1"/>
      <c r="Q5207" s="1"/>
      <c r="R5207" s="1"/>
      <c r="S5207" s="1"/>
      <c r="T5207" s="1"/>
      <c r="U5207" s="1"/>
      <c r="V5207" s="1"/>
      <c r="W5207" s="1"/>
      <c r="X5207" s="1"/>
      <c r="Y5207" s="1"/>
      <c r="Z5207" s="1"/>
      <c r="AA5207" s="1"/>
      <c r="AB5207" s="1"/>
      <c r="AC5207" s="1"/>
      <c r="AD5207" s="1"/>
      <c r="AE5207" s="1"/>
      <c r="AF5207" s="1"/>
      <c r="AG5207" s="1"/>
      <c r="AH5207" s="1"/>
      <c r="AI5207" s="1"/>
      <c r="AJ5207" s="1"/>
      <c r="AK5207" s="1"/>
      <c r="AL5207" s="1"/>
      <c r="AM5207" s="1"/>
      <c r="AN5207" s="1"/>
      <c r="AO5207" s="1"/>
      <c r="AP5207" s="1"/>
      <c r="AQ5207" s="1"/>
      <c r="AR5207" s="1"/>
      <c r="AS5207" s="1"/>
      <c r="AT5207" s="1"/>
      <c r="AU5207" s="1"/>
      <c r="AV5207" s="1"/>
      <c r="AW5207" s="1"/>
      <c r="AX5207" s="1"/>
      <c r="AY5207" s="1"/>
      <c r="AZ5207" s="1"/>
      <c r="BA5207" s="1"/>
      <c r="BB5207" s="1"/>
    </row>
    <row r="5208" ht="204.75" customHeight="1">
      <c r="A5208" s="1">
        <v>2311.0</v>
      </c>
      <c r="B5208" s="2" t="s">
        <v>14478</v>
      </c>
      <c r="C5208" s="2">
        <f>IFERROR(__xludf.DUMMYFUNCTION("split(B5208,""_"")"),1501.0)</f>
        <v>1501</v>
      </c>
      <c r="D5208" s="2" t="str">
        <f>IFERROR(__xludf.DUMMYFUNCTION("""COMPUTED_VALUE"""),"TBS")</f>
        <v>TBS</v>
      </c>
      <c r="E5208" s="2" t="str">
        <f>IFERROR(__xludf.DUMMYFUNCTION("""COMPUTED_VALUE"""),"火22")</f>
        <v>火22</v>
      </c>
      <c r="F5208" s="2" t="s">
        <v>14479</v>
      </c>
      <c r="G5208" s="2" t="s">
        <v>14494</v>
      </c>
      <c r="H5208" s="1">
        <v>8.0</v>
      </c>
      <c r="J5208" s="1" t="s">
        <v>86</v>
      </c>
      <c r="K5208" s="2" t="s">
        <v>14495</v>
      </c>
      <c r="L5208" s="2"/>
      <c r="M5208" s="2" t="str">
        <f>IFERROR(__xludf.DUMMYFUNCTION("split(split(K5208,""【"",false),""公式LINE"",false)"),"セレブ御用達の高級病院に勤めるナースたちの姿を人気脚本家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"&amp;"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加藤新  プロデュース　植田博樹　東仲恵吾主題歌　miwa 「fighting-Φ-girls」◇番"&amp;"組HP  http://www.tbs.co.jp/masshiro2015/  ◇ツイッター  @masshiro_tbs  http://www.tbs.co.jp/masshiro2015/  番組の内容と放送時間は変更になる可能性があります。")</f>
        <v>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加藤新  プロデュース　植田博樹　東仲恵吾主題歌　miwa 「fighting-Φ-girls」◇番組HP  http://www.tbs.co.jp/masshiro2015/  ◇ツイッター  @masshiro_tbs  http://www.tbs.co.jp/masshiro2015/  番組の内容と放送時間は変更になる可能性があります。</v>
      </c>
      <c r="N5208" s="2"/>
      <c r="O5208" s="2"/>
      <c r="P5208" s="1"/>
      <c r="Q5208" s="1"/>
      <c r="R5208" s="1"/>
      <c r="S5208" s="1"/>
      <c r="T5208" s="1"/>
      <c r="U5208" s="1"/>
      <c r="V5208" s="1"/>
      <c r="W5208" s="1"/>
      <c r="X5208" s="1"/>
      <c r="Y5208" s="1"/>
      <c r="Z5208" s="1"/>
      <c r="AA5208" s="1"/>
      <c r="AB5208" s="1"/>
      <c r="AC5208" s="1"/>
      <c r="AD5208" s="1"/>
      <c r="AE5208" s="1"/>
      <c r="AF5208" s="1"/>
      <c r="AG5208" s="1"/>
      <c r="AH5208" s="1"/>
      <c r="AI5208" s="1"/>
      <c r="AJ5208" s="1"/>
      <c r="AK5208" s="1"/>
      <c r="AL5208" s="1"/>
      <c r="AM5208" s="1"/>
      <c r="AN5208" s="1"/>
      <c r="AO5208" s="1"/>
      <c r="AP5208" s="1"/>
      <c r="AQ5208" s="1"/>
      <c r="AR5208" s="1"/>
      <c r="AS5208" s="1"/>
      <c r="AT5208" s="1"/>
      <c r="AU5208" s="1"/>
      <c r="AV5208" s="1"/>
      <c r="AW5208" s="1"/>
      <c r="AX5208" s="1"/>
      <c r="AY5208" s="1"/>
      <c r="AZ5208" s="1"/>
      <c r="BA5208" s="1"/>
      <c r="BB5208" s="1"/>
    </row>
    <row r="5209" ht="204.75" customHeight="1">
      <c r="A5209" s="1">
        <v>2312.0</v>
      </c>
      <c r="B5209" s="2" t="s">
        <v>14478</v>
      </c>
      <c r="C5209" s="2">
        <f>IFERROR(__xludf.DUMMYFUNCTION("split(B5209,""_"")"),1501.0)</f>
        <v>1501</v>
      </c>
      <c r="D5209" s="2" t="str">
        <f>IFERROR(__xludf.DUMMYFUNCTION("""COMPUTED_VALUE"""),"TBS")</f>
        <v>TBS</v>
      </c>
      <c r="E5209" s="2" t="str">
        <f>IFERROR(__xludf.DUMMYFUNCTION("""COMPUTED_VALUE"""),"火22")</f>
        <v>火22</v>
      </c>
      <c r="F5209" s="2" t="s">
        <v>14479</v>
      </c>
      <c r="G5209" s="2" t="s">
        <v>14496</v>
      </c>
      <c r="H5209" s="1">
        <v>9.0</v>
      </c>
      <c r="I5209" s="1" t="s">
        <v>2900</v>
      </c>
      <c r="J5209" s="1" t="s">
        <v>86</v>
      </c>
      <c r="K5209" s="2" t="s">
        <v>14497</v>
      </c>
      <c r="L5209" s="2"/>
      <c r="M5209" s="2" t="str">
        <f>IFERROR(__xludf.DUMMYFUNCTION("split(split(K5209,""【"",false),""公式LINE"",false)"),"セレブ御用達の高級病院に勤めるナースたちの姿を人気脚本家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"&amp;"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坪井敏雄　  プロデュース　植田博樹　東仲恵吾主題歌　miwa 「fighting-Φ-girls」◇"&amp;"番組HP  http://www.tbs.co.jp/masshiro2015/  ◇ツイッター  @masshiro_tbs  http://www.tbs.co.jp/masshiro2015/  去りゆく患者に看護師ができること #9 『まっしろ』3/10（火）予告動画公開しました！　主演 堀北真希")</f>
        <v>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坪井敏雄　  プロデュース　植田博樹　東仲恵吾主題歌　miwa 「fighting-Φ-girls」◇番組HP  http://www.tbs.co.jp/masshiro2015/  ◇ツイッター  @masshiro_tbs  http://www.tbs.co.jp/masshiro2015/  去りゆく患者に看護師ができること #9 『まっしろ』3/10（火）予告動画公開しました！　主演 堀北真希</v>
      </c>
      <c r="N5209" s="2"/>
      <c r="O5209" s="2"/>
      <c r="P5209" s="1"/>
      <c r="Q5209" s="1"/>
      <c r="R5209" s="1"/>
      <c r="S5209" s="1"/>
      <c r="T5209" s="1"/>
      <c r="U5209" s="1"/>
      <c r="V5209" s="1"/>
      <c r="W5209" s="1"/>
      <c r="X5209" s="1"/>
      <c r="Y5209" s="1"/>
      <c r="Z5209" s="1"/>
      <c r="AA5209" s="1"/>
      <c r="AB5209" s="1"/>
      <c r="AC5209" s="1"/>
      <c r="AD5209" s="1"/>
      <c r="AE5209" s="1"/>
      <c r="AF5209" s="1"/>
      <c r="AG5209" s="1"/>
      <c r="AH5209" s="1"/>
      <c r="AI5209" s="1"/>
      <c r="AJ5209" s="1"/>
      <c r="AK5209" s="1"/>
      <c r="AL5209" s="1"/>
      <c r="AM5209" s="1"/>
      <c r="AN5209" s="1"/>
      <c r="AO5209" s="1"/>
      <c r="AP5209" s="1"/>
      <c r="AQ5209" s="1"/>
      <c r="AR5209" s="1"/>
      <c r="AS5209" s="1"/>
      <c r="AT5209" s="1"/>
      <c r="AU5209" s="1"/>
      <c r="AV5209" s="1"/>
      <c r="AW5209" s="1"/>
      <c r="AX5209" s="1"/>
      <c r="AY5209" s="1"/>
      <c r="AZ5209" s="1"/>
      <c r="BA5209" s="1"/>
      <c r="BB5209" s="1"/>
    </row>
    <row r="5210" ht="204.75" customHeight="1">
      <c r="A5210" s="1">
        <v>2313.0</v>
      </c>
      <c r="B5210" s="2" t="s">
        <v>14478</v>
      </c>
      <c r="C5210" s="2">
        <f>IFERROR(__xludf.DUMMYFUNCTION("split(B5210,""_"")"),1501.0)</f>
        <v>1501</v>
      </c>
      <c r="D5210" s="2" t="str">
        <f>IFERROR(__xludf.DUMMYFUNCTION("""COMPUTED_VALUE"""),"TBS")</f>
        <v>TBS</v>
      </c>
      <c r="E5210" s="2" t="str">
        <f>IFERROR(__xludf.DUMMYFUNCTION("""COMPUTED_VALUE"""),"火22")</f>
        <v>火22</v>
      </c>
      <c r="F5210" s="2" t="s">
        <v>14479</v>
      </c>
      <c r="G5210" s="2" t="s">
        <v>14498</v>
      </c>
      <c r="H5210" s="1">
        <v>10.0</v>
      </c>
      <c r="I5210" s="1" t="s">
        <v>37</v>
      </c>
      <c r="J5210" s="1" t="s">
        <v>86</v>
      </c>
      <c r="K5210" s="2" t="s">
        <v>14499</v>
      </c>
      <c r="L5210" s="2"/>
      <c r="M5210" s="2" t="str">
        <f>IFERROR(__xludf.DUMMYFUNCTION("split(split(K5210,""【"",false),""公式LINE"",false)"),"僅かな可能性にかけて手術を受けた末期がん患者・大江。しかし、仲野教授は、ガンの予想以上の進行に手術を断念。余命僅かな大江が希望したこと。それは、東王病院にもう一度入院したいということだった。しかし、佐藤センター長は、勝手に転院した大江の受け入れを拒否。だが、朱里ら看護師たちの説得によって翻意。大江は再び東王病院に入院してきた。限られた時間を大江の為に尽くす看護師に、ある日、大江が無謀なお願いをする有村朱里…堀北真希  　 ○  仲野孝太郎…柳楽優弥  　 ○  松岡菜々…志田未来  和田木綿子…高梨　臨 "&amp;" 　○　  羽野明日香…菜々緒  木元さくら…MEGUMI  川本慶子…竹内都子  保坂とし恵…西尾まり  　○　　  大江淳平…眞島秀和  　○　  仲野幸助…宅麻伸  　○  佐藤正隆…石黒賢  岩渕　恵…水野美紀  　○  田野島心…木村多江脚本　井上由美子  演出　今井夏木　  プロデュース　植田博樹　東仲恵吾主題歌　miwa 「fighting-Φ-girls」DVD　ブルレイBOXのプレゼント告知があります◇番組HP  http://www.tbs.co.jp/masshiro2015/  ◇"&amp;"ツイッター  @masshiro_tbs  http://www.tbs.co.jp/masshiro2015/  生きたい! 心の叫びに看護師・医師ができることは #10 『まっしろ』3/17（火）予告動画公開しました！　主演 堀北真希")</f>
        <v>僅かな可能性にかけて手術を受けた末期がん患者・大江。しかし、仲野教授は、ガンの予想以上の進行に手術を断念。余命僅かな大江が希望したこと。それは、東王病院にもう一度入院したいということだった。しかし、佐藤センター長は、勝手に転院した大江の受け入れを拒否。だが、朱里ら看護師たちの説得によって翻意。大江は再び東王病院に入院してきた。限られた時間を大江の為に尽くす看護師に、ある日、大江が無謀なお願いをする有村朱里…堀北真希  　 ○  仲野孝太郎…柳楽優弥  　 ○  松岡菜々…志田未来  和田木綿子…高梨　臨  　○　  羽野明日香…菜々緒  木元さくら…MEGUMI  川本慶子…竹内都子  保坂とし恵…西尾まり  　○　　  大江淳平…眞島秀和  　○　  仲野幸助…宅麻伸  　○  佐藤正隆…石黒賢  岩渕　恵…水野美紀  　○  田野島心…木村多江脚本　井上由美子  演出　今井夏木　  プロデュース　植田博樹　東仲恵吾主題歌　miwa 「fighting-Φ-girls」DVD　ブルレイBOXのプレゼント告知があります◇番組HP  http://www.tbs.co.jp/masshiro2015/  ◇ツイッター  @masshiro_tbs  http://www.tbs.co.jp/masshiro2015/  生きたい! 心の叫びに看護師・医師ができることは #10 『まっしろ』3/17（火）予告動画公開しました！　主演 堀北真希</v>
      </c>
      <c r="N5210" s="2"/>
      <c r="O5210" s="2"/>
      <c r="P5210" s="1"/>
      <c r="Q5210" s="1"/>
      <c r="R5210" s="1"/>
      <c r="S5210" s="1"/>
      <c r="T5210" s="1"/>
      <c r="U5210" s="1"/>
      <c r="V5210" s="1"/>
      <c r="W5210" s="1"/>
      <c r="X5210" s="1"/>
      <c r="Y5210" s="1"/>
      <c r="Z5210" s="1"/>
      <c r="AA5210" s="1"/>
      <c r="AB5210" s="1"/>
      <c r="AC5210" s="1"/>
      <c r="AD5210" s="1"/>
      <c r="AE5210" s="1"/>
      <c r="AF5210" s="1"/>
      <c r="AG5210" s="1"/>
      <c r="AH5210" s="1"/>
      <c r="AI5210" s="1"/>
      <c r="AJ5210" s="1"/>
      <c r="AK5210" s="1"/>
      <c r="AL5210" s="1"/>
      <c r="AM5210" s="1"/>
      <c r="AN5210" s="1"/>
      <c r="AO5210" s="1"/>
      <c r="AP5210" s="1"/>
      <c r="AQ5210" s="1"/>
      <c r="AR5210" s="1"/>
      <c r="AS5210" s="1"/>
      <c r="AT5210" s="1"/>
      <c r="AU5210" s="1"/>
      <c r="AV5210" s="1"/>
      <c r="AW5210" s="1"/>
      <c r="AX5210" s="1"/>
      <c r="AY5210" s="1"/>
      <c r="AZ5210" s="1"/>
      <c r="BA5210" s="1"/>
      <c r="BB5210" s="1"/>
    </row>
    <row r="5211" ht="204.75" customHeight="1">
      <c r="A5211" s="1">
        <v>2334.0</v>
      </c>
      <c r="B5211" s="2" t="s">
        <v>14500</v>
      </c>
      <c r="C5211" s="2">
        <f>IFERROR(__xludf.DUMMYFUNCTION("split(B5211,""_"")"),1501.0)</f>
        <v>1501</v>
      </c>
      <c r="D5211" s="2" t="str">
        <f>IFERROR(__xludf.DUMMYFUNCTION("""COMPUTED_VALUE"""),"TBS")</f>
        <v>TBS</v>
      </c>
      <c r="E5211" s="2" t="str">
        <f>IFERROR(__xludf.DUMMYFUNCTION("""COMPUTED_VALUE"""),"木21")</f>
        <v>木21</v>
      </c>
      <c r="F5211" s="2" t="s">
        <v>14501</v>
      </c>
      <c r="G5211" s="2" t="s">
        <v>14502</v>
      </c>
      <c r="H5211" s="1">
        <v>1.0</v>
      </c>
      <c r="J5211" s="1" t="s">
        <v>4</v>
      </c>
      <c r="K5211" s="2" t="s">
        <v>14503</v>
      </c>
      <c r="L5211" s="2"/>
      <c r="M5211" s="2" t="str">
        <f>IFERROR(__xludf.DUMMYFUNCTION("split(split(K5211,""【"",false),""公式LINE"",false)"),"主人公りかは34歳のOL。会社の常務・荘太と恋愛関係にあるが、実らぬ恋にピリオドを打たなければ幸せにはなれないと感じ始めていた。そんな中、雨の日に偶然出会った男性・圭一に微かな好意を抱く。その矢先、荘太の妻の美津子から自宅に招かれる。荘太から「断ったら疑われる」と説得され渋々訪れると、なんとそこには圭一の姿が。実は巧みに仕組まれた罠だったのだ。りかは美津子の敵意を察知するが、時すでに遅しだった…。全ての始まりは、一年前のパーティーだった。りかが勤める会社の社長令嬢であり荘太の妻である美津子は、一年前の会社"&amp;"のパーティーで、夫とりかの関係に気づいていたのだ…。西田りか…田中麗奈（独身OL）  柏木美津子…若村麻由美（セレブ主婦）  落合圭一…青柳翔＝劇団EXILE（独身会社経営者）  桐谷麻紀…三浦理恵子（りかの友人）  滝本泉…高橋かおり（りかの友人）  江崎龍子…池畑慎之介（書道家）  柏木荘太…村上弘明（大手企業常務）柏木美羽…吉田里琴（美津子の娘）  寺内昭彦…清水紘治（美津子の父）  寺内巧巳…丸山智己（美津子の弟）  田代江美…三倉佳奈（美容クリニック医師）『恋詩』安田レイ（SMEレコーズ）  い"&amp;"きものがかり『恋詩』のカバー曲脚本…浅野妙子  演出…光野道夫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amp;"回初のTBS連ドラ執筆となる。共同テレビ・TBS  ［新番組速報］1/8（木）スタート『美しき罠～残花繚乱～』初スポット! 演技派達が演じる大人のキケンな恋愛劇　動画公開しました！  http://youtu.be/v7tza8v6ubM  1/8（木）スタート『美しき罠～残花繚乱～』「初映像」公開! 大人のキケンな恋愛劇  http://youtu.be/czgjD5LRyaE  ［新番組］2分でわかる『美しき罠～残花繚乱～』1/8（木）スタート! 大人のキ ケンな恋愛劇")</f>
        <v>主人公りかは34歳のOL。会社の常務・荘太と恋愛関係にあるが、実らぬ恋にピリオドを打たなければ幸せにはなれないと感じ始めていた。そんな中、雨の日に偶然出会った男性・圭一に微かな好意を抱く。その矢先、荘太の妻の美津子から自宅に招かれる。荘太から「断ったら疑われる」と説得され渋々訪れると、なんとそこには圭一の姿が。実は巧みに仕組まれた罠だったのだ。りかは美津子の敵意を察知するが、時すでに遅しだった…。全ての始まりは、一年前のパーティーだった。りかが勤める会社の社長令嬢であり荘太の妻である美津子は、一年前の会社のパーティーで、夫とりかの関係に気づいていたのだ…。西田りか…田中麗奈（独身OL）  柏木美津子…若村麻由美（セレブ主婦）  落合圭一…青柳翔＝劇団EXILE（独身会社経営者）  桐谷麻紀…三浦理恵子（りかの友人）  滝本泉…高橋かおり（りかの友人）  江崎龍子…池畑慎之介（書道家）  柏木荘太…村上弘明（大手企業常務）柏木美羽…吉田里琴（美津子の娘）  寺内昭彦…清水紘治（美津子の父）  寺内巧巳…丸山智己（美津子の弟）  田代江美…三倉佳奈（美容クリニック医師）『恋詩』安田レイ（SMEレコーズ）  いきものがかり『恋詩』のカバー曲脚本…浅野妙子  演出…光野道夫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共同テレビ・TBS  ［新番組速報］1/8（木）スタート『美しき罠～残花繚乱～』初スポット! 演技派達が演じる大人のキケンな恋愛劇　動画公開しました！  http://youtu.be/v7tza8v6ubM  1/8（木）スタート『美しき罠～残花繚乱～』「初映像」公開! 大人のキケンな恋愛劇  http://youtu.be/czgjD5LRyaE  ［新番組］2分でわかる『美しき罠～残花繚乱～』1/8（木）スタート! 大人のキ ケンな恋愛劇</v>
      </c>
      <c r="N5211" s="2"/>
      <c r="O5211" s="2"/>
      <c r="P5211" s="1"/>
      <c r="Q5211" s="1"/>
      <c r="R5211" s="1"/>
      <c r="S5211" s="1"/>
      <c r="T5211" s="1"/>
      <c r="U5211" s="1"/>
      <c r="V5211" s="1"/>
      <c r="W5211" s="1"/>
      <c r="X5211" s="1"/>
      <c r="Y5211" s="1"/>
      <c r="Z5211" s="1"/>
      <c r="AA5211" s="1"/>
      <c r="AB5211" s="1"/>
      <c r="AC5211" s="1"/>
      <c r="AD5211" s="1"/>
      <c r="AE5211" s="1"/>
      <c r="AF5211" s="1"/>
      <c r="AG5211" s="1"/>
      <c r="AH5211" s="1"/>
      <c r="AI5211" s="1"/>
      <c r="AJ5211" s="1"/>
      <c r="AK5211" s="1"/>
      <c r="AL5211" s="1"/>
      <c r="AM5211" s="1"/>
      <c r="AN5211" s="1"/>
      <c r="AO5211" s="1"/>
      <c r="AP5211" s="1"/>
      <c r="AQ5211" s="1"/>
      <c r="AR5211" s="1"/>
      <c r="AS5211" s="1"/>
      <c r="AT5211" s="1"/>
      <c r="AU5211" s="1"/>
      <c r="AV5211" s="1"/>
      <c r="AW5211" s="1"/>
      <c r="AX5211" s="1"/>
      <c r="AY5211" s="1"/>
      <c r="AZ5211" s="1"/>
      <c r="BA5211" s="1"/>
      <c r="BB5211" s="1"/>
    </row>
    <row r="5212" ht="204.75" customHeight="1">
      <c r="A5212" s="1">
        <v>2335.0</v>
      </c>
      <c r="B5212" s="2" t="s">
        <v>14500</v>
      </c>
      <c r="C5212" s="2">
        <f>IFERROR(__xludf.DUMMYFUNCTION("split(B5212,""_"")"),1501.0)</f>
        <v>1501</v>
      </c>
      <c r="D5212" s="2" t="str">
        <f>IFERROR(__xludf.DUMMYFUNCTION("""COMPUTED_VALUE"""),"TBS")</f>
        <v>TBS</v>
      </c>
      <c r="E5212" s="2" t="str">
        <f>IFERROR(__xludf.DUMMYFUNCTION("""COMPUTED_VALUE"""),"木21")</f>
        <v>木21</v>
      </c>
      <c r="F5212" s="2" t="s">
        <v>14501</v>
      </c>
      <c r="G5212" s="2" t="s">
        <v>14504</v>
      </c>
      <c r="H5212" s="1">
        <v>2.0</v>
      </c>
      <c r="I5212" s="1"/>
      <c r="J5212" s="1" t="s">
        <v>11</v>
      </c>
      <c r="K5212" s="2" t="s">
        <v>14505</v>
      </c>
      <c r="L5212" s="2"/>
      <c r="M5212" s="2" t="str">
        <f>IFERROR(__xludf.DUMMYFUNCTION("split(split(K5212,""【"",false),""公式LINE"",false)"),"りかは圭一と運命の出逢いをしたと思っていたが、実は美津子によって巧みに仕組まれた罠だった。しかも、圭一と美津子は恋人関係にあると察知したりかは、思わず挑発に乗ってしまい、圭一と結婚を前提に付き合うことを宣言する。悪女へと変身し圭一を誘惑しようと試みるが、美津子はさらなる罠をりかに仕掛けてくるのだった。しかも、圭一は心優しい男性だと知り、りかの心は揺れていく…。りかが圭一と付き合うことは、美津子の想定外だった。りかの反撃に怒りを覚えた美津子は、決定打を食らわそうと次の手を考える。西田りか…田中麗奈（独身OL"&amp;"）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  柏木美羽…吉田里琴（美津子の娘）  田代江美…三倉佳奈（美容クリニック医師）  西田良介…犬飼貴丈『恋詩』安田レイ（SMEレコーズ）  いきものがかり『恋詩』のカバー曲脚本…浅野妙子  演出…光野道夫  編成…永山由紀子・吉本香苗"&amp;"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共同テレビ・TBS妻が仕掛けた罠…愛を巡って女たちの闘いが始ま"&amp;"る #1ダイジェスト『美しき罠～ 残花繚乱～』木曜21時")</f>
        <v>りかは圭一と運命の出逢いをしたと思っていたが、実は美津子によって巧みに仕組まれた罠だった。しかも、圭一と美津子は恋人関係にあると察知したりかは、思わず挑発に乗ってしまい、圭一と結婚を前提に付き合うことを宣言する。悪女へと変身し圭一を誘惑しようと試みるが、美津子はさらなる罠をりかに仕掛けてくるのだった。しかも、圭一は心優しい男性だと知り、りかの心は揺れていく…。りかが圭一と付き合うことは、美津子の想定外だった。りかの反撃に怒りを覚えた美津子は、決定打を食らわそうと次の手を考え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  柏木美羽…吉田里琴（美津子の娘）  田代江美…三倉佳奈（美容クリニック医師）  西田良介…犬飼貴丈『恋詩』安田レイ（SMEレコーズ）  いきものがかり『恋詩』のカバー曲脚本…浅野妙子  演出…光野道夫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共同テレビ・TBS妻が仕掛けた罠…愛を巡って女たちの闘いが始まる #1ダイジェスト『美しき罠～ 残花繚乱～』木曜21時</v>
      </c>
      <c r="N5212" s="2"/>
      <c r="O5212" s="2"/>
      <c r="P5212" s="1"/>
      <c r="Q5212" s="1"/>
      <c r="R5212" s="1"/>
      <c r="S5212" s="1"/>
      <c r="T5212" s="1"/>
      <c r="U5212" s="1"/>
      <c r="V5212" s="1"/>
      <c r="W5212" s="1"/>
      <c r="X5212" s="1"/>
      <c r="Y5212" s="1"/>
      <c r="Z5212" s="1"/>
      <c r="AA5212" s="1"/>
      <c r="AB5212" s="1"/>
      <c r="AC5212" s="1"/>
      <c r="AD5212" s="1"/>
      <c r="AE5212" s="1"/>
      <c r="AF5212" s="1"/>
      <c r="AG5212" s="1"/>
      <c r="AH5212" s="1"/>
      <c r="AI5212" s="1"/>
      <c r="AJ5212" s="1"/>
      <c r="AK5212" s="1"/>
      <c r="AL5212" s="1"/>
      <c r="AM5212" s="1"/>
      <c r="AN5212" s="1"/>
      <c r="AO5212" s="1"/>
      <c r="AP5212" s="1"/>
      <c r="AQ5212" s="1"/>
      <c r="AR5212" s="1"/>
      <c r="AS5212" s="1"/>
      <c r="AT5212" s="1"/>
      <c r="AU5212" s="1"/>
      <c r="AV5212" s="1"/>
      <c r="AW5212" s="1"/>
      <c r="AX5212" s="1"/>
      <c r="AY5212" s="1"/>
      <c r="AZ5212" s="1"/>
      <c r="BA5212" s="1"/>
      <c r="BB5212" s="1"/>
    </row>
    <row r="5213" ht="204.75" customHeight="1">
      <c r="A5213" s="1">
        <v>2336.0</v>
      </c>
      <c r="B5213" s="2" t="s">
        <v>14500</v>
      </c>
      <c r="C5213" s="2">
        <f>IFERROR(__xludf.DUMMYFUNCTION("split(B5213,""_"")"),1501.0)</f>
        <v>1501</v>
      </c>
      <c r="D5213" s="2" t="str">
        <f>IFERROR(__xludf.DUMMYFUNCTION("""COMPUTED_VALUE"""),"TBS")</f>
        <v>TBS</v>
      </c>
      <c r="E5213" s="2" t="str">
        <f>IFERROR(__xludf.DUMMYFUNCTION("""COMPUTED_VALUE"""),"木21")</f>
        <v>木21</v>
      </c>
      <c r="F5213" s="2" t="s">
        <v>14501</v>
      </c>
      <c r="G5213" s="2" t="s">
        <v>14506</v>
      </c>
      <c r="H5213" s="1">
        <v>3.0</v>
      </c>
      <c r="I5213" s="1"/>
      <c r="J5213" s="1" t="s">
        <v>11</v>
      </c>
      <c r="K5213" s="2" t="s">
        <v>14507</v>
      </c>
      <c r="L5213" s="2"/>
      <c r="M5213" s="2" t="str">
        <f>IFERROR(__xludf.DUMMYFUNCTION("split(split(K5213,""【"",false),""公式LINE"",false)"),"妻の逆襲に打ちひしがれたりかは、この闘いから撤退することを決意する。ところが圭一が積極的にアプローチしてきて、強引な誘いを断れない。二人が順調なことを知った美津子は怒りが再燃し、クリスマスパーティでりかをチクチクと苛める。そんな中、徐々に圭一に心が傾いていくりかだが、圭一は一方でりかの友人の麻紀と繋がっていくのだった…。西田りか…田中麗奈（独身OL）  柏木美津子…若村麻由美（セレブ主婦）  落合圭一…青柳翔＝劇団EXILE（独身会社経営者）  桐谷麻紀…三浦理恵子（りかの友人）  滝本泉…高橋かおり（り"&amp;"かの友人）  西田利夫…平泉成（りかの父親）  江崎龍子…池畑慎之介（書道家）  柏木荘太…村上弘明（大手企業常務）    柏木美羽…吉田里琴（美津子の娘）  寺内巧巳…丸山智己（美津子の弟）田代江美…三倉佳奈（美容クリニック医師）  吉岡…飯田基祐（荘太の部下）  神埼…山田明郷（荘太のビジネス相手）  西田良介…犬飼貴丈『恋詩』安田レイ（SMEレコーズ）  いきものがかり『恋詩』のカバー曲脚本…浅野妙子  演出…岩田和行  編成…永山由紀子・吉本香苗  プロデュース…栗原美和子・後藤庸介民放連ドラに久"&amp;"々出演の田中麗奈が主演！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共同テレビ・TBS戦う女に変わろうとするりかに、妻の次なる罠が…#2 ダイジェスト『美しき罠～ 残花繚乱～』木曜2"&amp;"1時")</f>
        <v>妻の逆襲に打ちひしがれたりかは、この闘いから撤退することを決意する。ところが圭一が積極的にアプローチしてきて、強引な誘いを断れない。二人が順調なことを知った美津子は怒りが再燃し、クリスマスパーティでりかをチクチクと苛める。そんな中、徐々に圭一に心が傾いていくりかだが、圭一は一方でりかの友人の麻紀と繋がっていくのだった…。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    柏木美羽…吉田里琴（美津子の娘）  寺内巧巳…丸山智己（美津子の弟）田代江美…三倉佳奈（美容クリニック医師）  吉岡…飯田基祐（荘太の部下）  神埼…山田明郷（荘太のビジネス相手）  西田良介…犬飼貴丈『恋詩』安田レイ（SMEレコーズ）  いきものがかり『恋詩』のカバー曲脚本…浅野妙子  演出…岩田和行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共同テレビ・TBS戦う女に変わろうとするりかに、妻の次なる罠が…#2 ダイジェスト『美しき罠～ 残花繚乱～』木曜21時</v>
      </c>
      <c r="N5213" s="2"/>
      <c r="O5213" s="2"/>
      <c r="P5213" s="1"/>
      <c r="Q5213" s="1"/>
      <c r="R5213" s="1"/>
      <c r="S5213" s="1"/>
      <c r="T5213" s="1"/>
      <c r="U5213" s="1"/>
      <c r="V5213" s="1"/>
      <c r="W5213" s="1"/>
      <c r="X5213" s="1"/>
      <c r="Y5213" s="1"/>
      <c r="Z5213" s="1"/>
      <c r="AA5213" s="1"/>
      <c r="AB5213" s="1"/>
      <c r="AC5213" s="1"/>
      <c r="AD5213" s="1"/>
      <c r="AE5213" s="1"/>
      <c r="AF5213" s="1"/>
      <c r="AG5213" s="1"/>
      <c r="AH5213" s="1"/>
      <c r="AI5213" s="1"/>
      <c r="AJ5213" s="1"/>
      <c r="AK5213" s="1"/>
      <c r="AL5213" s="1"/>
      <c r="AM5213" s="1"/>
      <c r="AN5213" s="1"/>
      <c r="AO5213" s="1"/>
      <c r="AP5213" s="1"/>
      <c r="AQ5213" s="1"/>
      <c r="AR5213" s="1"/>
      <c r="AS5213" s="1"/>
      <c r="AT5213" s="1"/>
      <c r="AU5213" s="1"/>
      <c r="AV5213" s="1"/>
      <c r="AW5213" s="1"/>
      <c r="AX5213" s="1"/>
      <c r="AY5213" s="1"/>
      <c r="AZ5213" s="1"/>
      <c r="BA5213" s="1"/>
      <c r="BB5213" s="1"/>
    </row>
    <row r="5214" ht="204.75" customHeight="1">
      <c r="A5214" s="1">
        <v>2337.0</v>
      </c>
      <c r="B5214" s="2" t="s">
        <v>14500</v>
      </c>
      <c r="C5214" s="2">
        <f>IFERROR(__xludf.DUMMYFUNCTION("split(B5214,""_"")"),1501.0)</f>
        <v>1501</v>
      </c>
      <c r="D5214" s="2" t="str">
        <f>IFERROR(__xludf.DUMMYFUNCTION("""COMPUTED_VALUE"""),"TBS")</f>
        <v>TBS</v>
      </c>
      <c r="E5214" s="2" t="str">
        <f>IFERROR(__xludf.DUMMYFUNCTION("""COMPUTED_VALUE"""),"木21")</f>
        <v>木21</v>
      </c>
      <c r="F5214" s="2" t="s">
        <v>14501</v>
      </c>
      <c r="G5214" s="2" t="s">
        <v>14508</v>
      </c>
      <c r="H5214" s="1">
        <v>4.0</v>
      </c>
      <c r="I5214" s="1"/>
      <c r="J5214" s="1" t="s">
        <v>11</v>
      </c>
      <c r="K5214" s="2" t="s">
        <v>14509</v>
      </c>
      <c r="L5214" s="2"/>
      <c r="M5214" s="2" t="str">
        <f>IFERROR(__xludf.DUMMYFUNCTION("split(split(K5214,""【"",false),""公式LINE"",false)"),"りかに圭一は正式にプロポーズをする。りかは周囲から背中を押され、結婚を決意する。ところが婚約後に圭一は、柏木夫妻に仲人を依頼すると言い出した。頑なに断ると、荘太との関係を疑われると思ったりかは、渋々承諾。二人で柏木家を訪れると、美津子の敵意溢れる視線が待ち受けていた。緊迫した空気が4人に漂い始め…。西田りか…田中麗奈（独身OL）  柏木美津子…若村麻由美（セレブ主婦）  落合圭一…青柳翔＝劇団EXILE（独身会社経営者）  桐谷麻紀…三浦理恵子（りかの友人）  滝本泉…高橋かおり（りかの友人）  西田利夫"&amp;"…平泉成（りかの父親）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演出…岩田和行  編成…永山由紀子・吉本香苗  プロデュース…栗原美和子・後藤庸介民放連ドラに久々出演の田中麗奈が主演！  人"&amp;"気急上昇の劇団EXILEの青柳翔が謎めいた恋人役。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罠から始まった恋…妻の心に再び怒りの炎と「第三の"&amp;"女」… #3『美しき罠～残花繚乱～』1/22（木）ダイジェスト動画公開しました！  http://youtu.be/UWqNG42fa_I  共同テレビ・TBS  番組の内容と放送時間は変更になる場合があります。")</f>
        <v>りかに圭一は正式にプロポーズをする。りかは周囲から背中を押され、結婚を決意する。ところが婚約後に圭一は、柏木夫妻に仲人を依頼すると言い出した。頑なに断ると、荘太との関係を疑われると思ったりかは、渋々承諾。二人で柏木家を訪れると、美津子の敵意溢れる視線が待ち受けていた。緊迫した空気が4人に漂い始め…。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演出…岩田和行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罠から始まった恋…妻の心に再び怒りの炎と「第三の女」… #3『美しき罠～残花繚乱～』1/22（木）ダイジェスト動画公開しました！  http://youtu.be/UWqNG42fa_I  共同テレビ・TBS  番組の内容と放送時間は変更になる場合があります。</v>
      </c>
      <c r="N5214" s="2"/>
      <c r="O5214" s="2"/>
      <c r="P5214" s="1"/>
      <c r="Q5214" s="1"/>
      <c r="R5214" s="1"/>
      <c r="S5214" s="1"/>
      <c r="T5214" s="1"/>
      <c r="U5214" s="1"/>
      <c r="V5214" s="1"/>
      <c r="W5214" s="1"/>
      <c r="X5214" s="1"/>
      <c r="Y5214" s="1"/>
      <c r="Z5214" s="1"/>
      <c r="AA5214" s="1"/>
      <c r="AB5214" s="1"/>
      <c r="AC5214" s="1"/>
      <c r="AD5214" s="1"/>
      <c r="AE5214" s="1"/>
      <c r="AF5214" s="1"/>
      <c r="AG5214" s="1"/>
      <c r="AH5214" s="1"/>
      <c r="AI5214" s="1"/>
      <c r="AJ5214" s="1"/>
      <c r="AK5214" s="1"/>
      <c r="AL5214" s="1"/>
      <c r="AM5214" s="1"/>
      <c r="AN5214" s="1"/>
      <c r="AO5214" s="1"/>
      <c r="AP5214" s="1"/>
      <c r="AQ5214" s="1"/>
      <c r="AR5214" s="1"/>
      <c r="AS5214" s="1"/>
      <c r="AT5214" s="1"/>
      <c r="AU5214" s="1"/>
      <c r="AV5214" s="1"/>
      <c r="AW5214" s="1"/>
      <c r="AX5214" s="1"/>
      <c r="AY5214" s="1"/>
      <c r="AZ5214" s="1"/>
      <c r="BA5214" s="1"/>
      <c r="BB5214" s="1"/>
    </row>
    <row r="5215" ht="204.75" customHeight="1">
      <c r="A5215" s="1">
        <v>2338.0</v>
      </c>
      <c r="B5215" s="2" t="s">
        <v>14500</v>
      </c>
      <c r="C5215" s="2">
        <f>IFERROR(__xludf.DUMMYFUNCTION("split(B5215,""_"")"),1501.0)</f>
        <v>1501</v>
      </c>
      <c r="D5215" s="2" t="str">
        <f>IFERROR(__xludf.DUMMYFUNCTION("""COMPUTED_VALUE"""),"TBS")</f>
        <v>TBS</v>
      </c>
      <c r="E5215" s="2" t="str">
        <f>IFERROR(__xludf.DUMMYFUNCTION("""COMPUTED_VALUE"""),"木21")</f>
        <v>木21</v>
      </c>
      <c r="F5215" s="2" t="s">
        <v>14501</v>
      </c>
      <c r="G5215" s="2" t="s">
        <v>14510</v>
      </c>
      <c r="H5215" s="1">
        <v>5.0</v>
      </c>
      <c r="I5215" s="1"/>
      <c r="J5215" s="1" t="s">
        <v>11</v>
      </c>
      <c r="K5215" s="2" t="s">
        <v>14511</v>
      </c>
      <c r="L5215" s="2"/>
      <c r="M5215" s="2" t="str">
        <f>IFERROR(__xludf.DUMMYFUNCTION("split(split(K5215,""【"",false),""公式LINE"",false)"),"りかと圭一は身体が結ばれないまま結婚式へと進んでいく。美津子への未練を捨てきれない圭一は、結婚式前日に美津子を訪れ、思いの丈をぶつける。結婚式当日、美津子は新婦控室を訪れ、ウエディングドレス姿のりかに向かって、恐ろしい呪いの言葉を投げつける。麻紀もまた、圭一との関係を式の真っ只中でバラそうと企んでいた…。西田りか…田中麗奈（独身OL）  柏木美津子…若村麻由美（セレブ主婦）  落合圭一…青柳翔＝劇団EXILE（独身会社経営者）  桐谷麻紀…三浦理恵子（りかの友人）  滝本泉…高橋かおり（りかの友人）  西"&amp;"田利夫…平泉成（りかの父親）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演出…光野道夫  編成…永山由紀子・吉本香苗  プロデュース…栗原美和子・後藤庸介民放連ドラに久々出演の田中麗奈が主演！"&amp;"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共同テレビ・TBS  婚約が招く嵐…仲人を"&amp;"受けた妻の怒り #4『美しき罠～残花繚乱～』1/29（木）ダ イジェスト動画公開しました！  ")</f>
        <v>りかと圭一は身体が結ばれないまま結婚式へと進んでいく。美津子への未練を捨てきれない圭一は、結婚式前日に美津子を訪れ、思いの丈をぶつける。結婚式当日、美津子は新婦控室を訪れ、ウエディングドレス姿のりかに向かって、恐ろしい呪いの言葉を投げつける。麻紀もまた、圭一との関係を式の真っ只中でバラそうと企んでいた…。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演出…光野道夫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共同テレビ・TBS  婚約が招く嵐…仲人を受けた妻の怒り #4『美しき罠～残花繚乱～』1/29（木）ダ イジェスト動画公開しました！  </v>
      </c>
      <c r="N5215" s="2"/>
      <c r="O5215" s="2"/>
      <c r="P5215" s="1"/>
      <c r="Q5215" s="1"/>
      <c r="R5215" s="1"/>
      <c r="S5215" s="1"/>
      <c r="T5215" s="1"/>
      <c r="U5215" s="1"/>
      <c r="V5215" s="1"/>
      <c r="W5215" s="1"/>
      <c r="X5215" s="1"/>
      <c r="Y5215" s="1"/>
      <c r="Z5215" s="1"/>
      <c r="AA5215" s="1"/>
      <c r="AB5215" s="1"/>
      <c r="AC5215" s="1"/>
      <c r="AD5215" s="1"/>
      <c r="AE5215" s="1"/>
      <c r="AF5215" s="1"/>
      <c r="AG5215" s="1"/>
      <c r="AH5215" s="1"/>
      <c r="AI5215" s="1"/>
      <c r="AJ5215" s="1"/>
      <c r="AK5215" s="1"/>
      <c r="AL5215" s="1"/>
      <c r="AM5215" s="1"/>
      <c r="AN5215" s="1"/>
      <c r="AO5215" s="1"/>
      <c r="AP5215" s="1"/>
      <c r="AQ5215" s="1"/>
      <c r="AR5215" s="1"/>
      <c r="AS5215" s="1"/>
      <c r="AT5215" s="1"/>
      <c r="AU5215" s="1"/>
      <c r="AV5215" s="1"/>
      <c r="AW5215" s="1"/>
      <c r="AX5215" s="1"/>
      <c r="AY5215" s="1"/>
      <c r="AZ5215" s="1"/>
      <c r="BA5215" s="1"/>
      <c r="BB5215" s="1"/>
    </row>
    <row r="5216" ht="204.75" customHeight="1">
      <c r="A5216" s="1">
        <v>2339.0</v>
      </c>
      <c r="B5216" s="2" t="s">
        <v>14500</v>
      </c>
      <c r="C5216" s="2">
        <f>IFERROR(__xludf.DUMMYFUNCTION("split(B5216,""_"")"),1501.0)</f>
        <v>1501</v>
      </c>
      <c r="D5216" s="2" t="str">
        <f>IFERROR(__xludf.DUMMYFUNCTION("""COMPUTED_VALUE"""),"TBS")</f>
        <v>TBS</v>
      </c>
      <c r="E5216" s="2" t="str">
        <f>IFERROR(__xludf.DUMMYFUNCTION("""COMPUTED_VALUE"""),"木21")</f>
        <v>木21</v>
      </c>
      <c r="F5216" s="2" t="s">
        <v>14501</v>
      </c>
      <c r="G5216" s="2" t="s">
        <v>14512</v>
      </c>
      <c r="H5216" s="1">
        <v>6.0</v>
      </c>
      <c r="I5216" s="1"/>
      <c r="J5216" s="1" t="s">
        <v>11</v>
      </c>
      <c r="K5216" s="2" t="s">
        <v>14513</v>
      </c>
      <c r="L5216" s="2"/>
      <c r="M5216" s="2" t="str">
        <f>IFERROR(__xludf.DUMMYFUNCTION("split(split(K5216,""【"",false),""公式LINE"",false)"),"新婚直後に夫・圭一の浮気が発覚。相手は友人の麻紀だと知り、りかは傷つく。麻紀は美津子とも繋がり、二人が上手くいっていないことを伝えけしかける。美津子の闘志が再燃し、次なる罠を仕掛けようと企む。一方で、りかのもう一人の友人・泉は、野心のために柏木荘太に近づいていく…。第四の女が絡んできて、さらに複雑化する第二幕が始まる。西田りか…田中麗奈（独身OL）  柏木美津子…若村麻由美（セレブ主婦）  落合圭一…青柳翔＝劇団EXILE（独身会社経営者）  桐谷麻紀…三浦理恵子（りかの友人）  滝本泉…高橋かおり（りか"&amp;"の友人）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いきものがかり『恋詩』のカバー曲脚本…泉澤陽子  演出…村上正典  編成…永山由紀子・吉本香苗  プロデュース…栗原美和子・後藤庸介民放連ドラに久々出演の田"&amp;"中麗奈が主演！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今からでも絶対わかる! 木曜"&amp;"21時『美しき罠～残花繚乱～』「前半」まとめ #1～#5ダイジェスト動画公開しました！  http://youtu.be/4JReRNIAGO4  嫉妬妻の「怪演」が話題! 若村麻由美 名場面28選 動画公開しました！  http://youtu.be/OrWgYi2fP9k  共同テレビ・TBS  番組の内容と放送時間は変更になる場合があります。")</f>
        <v>新婚直後に夫・圭一の浮気が発覚。相手は友人の麻紀だと知り、りかは傷つく。麻紀は美津子とも繋がり、二人が上手くいっていないことを伝えけしかける。美津子の闘志が再燃し、次なる罠を仕掛けようと企む。一方で、りかのもう一人の友人・泉は、野心のために柏木荘太に近づいていく…。第四の女が絡んできて、さらに複雑化する第二幕が始ま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いきものがかり『恋詩』のカバー曲脚本…泉澤陽子  演出…村上正典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今からでも絶対わかる! 木曜21時『美しき罠～残花繚乱～』「前半」まとめ #1～#5ダイジェスト動画公開しました！  http://youtu.be/4JReRNIAGO4  嫉妬妻の「怪演」が話題! 若村麻由美 名場面28選 動画公開しました！  http://youtu.be/OrWgYi2fP9k  共同テレビ・TBS  番組の内容と放送時間は変更になる場合があります。</v>
      </c>
      <c r="N5216" s="2"/>
      <c r="O5216" s="2"/>
      <c r="P5216" s="1"/>
      <c r="Q5216" s="1"/>
      <c r="R5216" s="1"/>
      <c r="S5216" s="1"/>
      <c r="T5216" s="1"/>
      <c r="U5216" s="1"/>
      <c r="V5216" s="1"/>
      <c r="W5216" s="1"/>
      <c r="X5216" s="1"/>
      <c r="Y5216" s="1"/>
      <c r="Z5216" s="1"/>
      <c r="AA5216" s="1"/>
      <c r="AB5216" s="1"/>
      <c r="AC5216" s="1"/>
      <c r="AD5216" s="1"/>
      <c r="AE5216" s="1"/>
      <c r="AF5216" s="1"/>
      <c r="AG5216" s="1"/>
      <c r="AH5216" s="1"/>
      <c r="AI5216" s="1"/>
      <c r="AJ5216" s="1"/>
      <c r="AK5216" s="1"/>
      <c r="AL5216" s="1"/>
      <c r="AM5216" s="1"/>
      <c r="AN5216" s="1"/>
      <c r="AO5216" s="1"/>
      <c r="AP5216" s="1"/>
      <c r="AQ5216" s="1"/>
      <c r="AR5216" s="1"/>
      <c r="AS5216" s="1"/>
      <c r="AT5216" s="1"/>
      <c r="AU5216" s="1"/>
      <c r="AV5216" s="1"/>
      <c r="AW5216" s="1"/>
      <c r="AX5216" s="1"/>
      <c r="AY5216" s="1"/>
      <c r="AZ5216" s="1"/>
      <c r="BA5216" s="1"/>
      <c r="BB5216" s="1"/>
    </row>
    <row r="5217" ht="204.75" customHeight="1">
      <c r="A5217" s="1">
        <v>2340.0</v>
      </c>
      <c r="B5217" s="2" t="s">
        <v>14500</v>
      </c>
      <c r="C5217" s="2">
        <f>IFERROR(__xludf.DUMMYFUNCTION("split(B5217,""_"")"),1501.0)</f>
        <v>1501</v>
      </c>
      <c r="D5217" s="2" t="str">
        <f>IFERROR(__xludf.DUMMYFUNCTION("""COMPUTED_VALUE"""),"TBS")</f>
        <v>TBS</v>
      </c>
      <c r="E5217" s="2" t="str">
        <f>IFERROR(__xludf.DUMMYFUNCTION("""COMPUTED_VALUE"""),"木21")</f>
        <v>木21</v>
      </c>
      <c r="F5217" s="2" t="s">
        <v>14501</v>
      </c>
      <c r="G5217" s="2" t="s">
        <v>14514</v>
      </c>
      <c r="H5217" s="1">
        <v>7.0</v>
      </c>
      <c r="I5217" s="1"/>
      <c r="J5217" s="1" t="s">
        <v>11</v>
      </c>
      <c r="K5217" s="2" t="s">
        <v>14515</v>
      </c>
      <c r="L5217" s="2"/>
      <c r="M5217" s="2" t="str">
        <f>IFERROR(__xludf.DUMMYFUNCTION("split(split(K5217,""【"",false),""公式LINE"",false)"),"美津子の夫の新たな浮気が発覚。しかもその相手は、りかの友人の泉だと知り、美津子のりかへの怒りが頂点に達する。同時に、美津子の高校生の娘は、父親とりかが不倫関係にあった事実を知る。りかはようやく圭一と幸せな家庭を作り始めていたところ、美津子から家に呼び出される。美津子は本音を全てさらけ出し、壮絶なバトルが繰り広げられる。西田りか…田中麗奈（独身OL）  柏木美津子…若村麻由美（セレブ主婦）  落合圭一…青柳翔＝劇団EXILE（独身会社経営者）  桐谷麻紀…三浦理恵子（りかの友人）  滝本泉…高橋かおり（りか"&amp;"の友人）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演出…岩田和行  編成…永山由紀子・吉本香苗  プロデュース…栗原美和子・後藤庸介民放連ドラに久々出演の田"&amp;"中麗奈が主演！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共同テレビ・TBS  「結婚"&amp;"は地獄」欲張り妻の報復再開・第二章 2/12（木） 『美しき罠～残花繚 乱～』#6ダイジェスト動画公開しました！")</f>
        <v>美津子の夫の新たな浮気が発覚。しかもその相手は、りかの友人の泉だと知り、美津子のりかへの怒りが頂点に達する。同時に、美津子の高校生の娘は、父親とりかが不倫関係にあった事実を知る。りかはようやく圭一と幸せな家庭を作り始めていたところ、美津子から家に呼び出される。美津子は本音を全てさらけ出し、壮絶なバトルが繰り広げられ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演出…岩田和行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共同テレビ・TBS  「結婚は地獄」欲張り妻の報復再開・第二章 2/12（木） 『美しき罠～残花繚 乱～』#6ダイジェスト動画公開しました！</v>
      </c>
      <c r="N5217" s="2"/>
      <c r="O5217" s="2"/>
      <c r="P5217" s="1"/>
      <c r="Q5217" s="1"/>
      <c r="R5217" s="1"/>
      <c r="S5217" s="1"/>
      <c r="T5217" s="1"/>
      <c r="U5217" s="1"/>
      <c r="V5217" s="1"/>
      <c r="W5217" s="1"/>
      <c r="X5217" s="1"/>
      <c r="Y5217" s="1"/>
      <c r="Z5217" s="1"/>
      <c r="AA5217" s="1"/>
      <c r="AB5217" s="1"/>
      <c r="AC5217" s="1"/>
      <c r="AD5217" s="1"/>
      <c r="AE5217" s="1"/>
      <c r="AF5217" s="1"/>
      <c r="AG5217" s="1"/>
      <c r="AH5217" s="1"/>
      <c r="AI5217" s="1"/>
      <c r="AJ5217" s="1"/>
      <c r="AK5217" s="1"/>
      <c r="AL5217" s="1"/>
      <c r="AM5217" s="1"/>
      <c r="AN5217" s="1"/>
      <c r="AO5217" s="1"/>
      <c r="AP5217" s="1"/>
      <c r="AQ5217" s="1"/>
      <c r="AR5217" s="1"/>
      <c r="AS5217" s="1"/>
      <c r="AT5217" s="1"/>
      <c r="AU5217" s="1"/>
      <c r="AV5217" s="1"/>
      <c r="AW5217" s="1"/>
      <c r="AX5217" s="1"/>
      <c r="AY5217" s="1"/>
      <c r="AZ5217" s="1"/>
      <c r="BA5217" s="1"/>
      <c r="BB5217" s="1"/>
    </row>
    <row r="5218" ht="204.75" customHeight="1">
      <c r="A5218" s="1">
        <v>2341.0</v>
      </c>
      <c r="B5218" s="2" t="s">
        <v>14500</v>
      </c>
      <c r="C5218" s="2">
        <f>IFERROR(__xludf.DUMMYFUNCTION("split(B5218,""_"")"),1501.0)</f>
        <v>1501</v>
      </c>
      <c r="D5218" s="2" t="str">
        <f>IFERROR(__xludf.DUMMYFUNCTION("""COMPUTED_VALUE"""),"TBS")</f>
        <v>TBS</v>
      </c>
      <c r="E5218" s="2" t="str">
        <f>IFERROR(__xludf.DUMMYFUNCTION("""COMPUTED_VALUE"""),"木21")</f>
        <v>木21</v>
      </c>
      <c r="F5218" s="2" t="s">
        <v>14501</v>
      </c>
      <c r="G5218" s="2" t="s">
        <v>14516</v>
      </c>
      <c r="H5218" s="1">
        <v>8.0</v>
      </c>
      <c r="I5218" s="1"/>
      <c r="J5218" s="1" t="s">
        <v>11</v>
      </c>
      <c r="K5218" s="2" t="s">
        <v>14517</v>
      </c>
      <c r="L5218" s="2"/>
      <c r="M5218" s="2" t="str">
        <f>IFERROR(__xludf.DUMMYFUNCTION("split(split(K5218,""【"",false),""公式LINE"",false)"),"りかと荘太の過去の不倫関係を知った圭一は家を出て、二人は別居する。一方、荘太は遂に会社乗っ取りに動き出す。寝耳に水だった美津子は、まさかの夫の裏切りに驚愕動転する。さらには、圭一の知られざる過去が徐々に明らかになってく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柏木荘太…村上弘"&amp;"明（大手企業常務）柏木美羽…吉田里琴（美津子の娘）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演出…光野道夫  編成…永山由紀子・吉本香苗  プロデュース…栗原美和子・後藤庸介民放連ドラに久々出演の田中麗奈が主演！  人気急上昇の劇団EXILEの青柳翔が謎めいた恋人役。  若村麻由美演じる美津子"&amp;"のファッションにも注目！フジテレビを退職後の光野道夫監督のフリーになっての初演出となる。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怒りと涙の一騎打ち 全てが暴かれる・・・#7 『美しき罠～残花繚乱～』 2/19（木）ダイジェスト動画公開しました！  ht"&amp;"tp://youtu.be/FZW8_s0zRDw  共同テレビ・TBS  番組の内容と放送時間は変更になる場合があります。")</f>
        <v>りかと荘太の過去の不倫関係を知った圭一は家を出て、二人は別居する。一方、荘太は遂に会社乗っ取りに動き出す。寝耳に水だった美津子は、まさかの夫の裏切りに驚愕動転する。さらには、圭一の知られざる過去が徐々に明らかになってく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演出…光野道夫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怒りと涙の一騎打ち 全てが暴かれる・・・#7 『美しき罠～残花繚乱～』 2/19（木）ダイジェスト動画公開しました！  http://youtu.be/FZW8_s0zRDw  共同テレビ・TBS  番組の内容と放送時間は変更になる場合があります。</v>
      </c>
      <c r="N5218" s="2"/>
      <c r="O5218" s="2"/>
      <c r="P5218" s="1"/>
      <c r="Q5218" s="1"/>
      <c r="R5218" s="1"/>
      <c r="S5218" s="1"/>
      <c r="T5218" s="1"/>
      <c r="U5218" s="1"/>
      <c r="V5218" s="1"/>
      <c r="W5218" s="1"/>
      <c r="X5218" s="1"/>
      <c r="Y5218" s="1"/>
      <c r="Z5218" s="1"/>
      <c r="AA5218" s="1"/>
      <c r="AB5218" s="1"/>
      <c r="AC5218" s="1"/>
      <c r="AD5218" s="1"/>
      <c r="AE5218" s="1"/>
      <c r="AF5218" s="1"/>
      <c r="AG5218" s="1"/>
      <c r="AH5218" s="1"/>
      <c r="AI5218" s="1"/>
      <c r="AJ5218" s="1"/>
      <c r="AK5218" s="1"/>
      <c r="AL5218" s="1"/>
      <c r="AM5218" s="1"/>
      <c r="AN5218" s="1"/>
      <c r="AO5218" s="1"/>
      <c r="AP5218" s="1"/>
      <c r="AQ5218" s="1"/>
      <c r="AR5218" s="1"/>
      <c r="AS5218" s="1"/>
      <c r="AT5218" s="1"/>
      <c r="AU5218" s="1"/>
      <c r="AV5218" s="1"/>
      <c r="AW5218" s="1"/>
      <c r="AX5218" s="1"/>
      <c r="AY5218" s="1"/>
      <c r="AZ5218" s="1"/>
      <c r="BA5218" s="1"/>
      <c r="BB5218" s="1"/>
    </row>
    <row r="5219" ht="204.75" customHeight="1">
      <c r="A5219" s="1">
        <v>2342.0</v>
      </c>
      <c r="B5219" s="2" t="s">
        <v>14500</v>
      </c>
      <c r="C5219" s="2">
        <f>IFERROR(__xludf.DUMMYFUNCTION("split(B5219,""_"")"),1501.0)</f>
        <v>1501</v>
      </c>
      <c r="D5219" s="2" t="str">
        <f>IFERROR(__xludf.DUMMYFUNCTION("""COMPUTED_VALUE"""),"TBS")</f>
        <v>TBS</v>
      </c>
      <c r="E5219" s="2" t="str">
        <f>IFERROR(__xludf.DUMMYFUNCTION("""COMPUTED_VALUE"""),"木21")</f>
        <v>木21</v>
      </c>
      <c r="F5219" s="2" t="s">
        <v>14501</v>
      </c>
      <c r="G5219" s="2" t="s">
        <v>14518</v>
      </c>
      <c r="H5219" s="1">
        <v>9.0</v>
      </c>
      <c r="I5219" s="1"/>
      <c r="J5219" s="1" t="s">
        <v>11</v>
      </c>
      <c r="K5219" s="2" t="s">
        <v>14519</v>
      </c>
      <c r="L5219" s="2"/>
      <c r="M5219" s="2" t="str">
        <f>IFERROR(__xludf.DUMMYFUNCTION("split(split(K5219,""【"",false),""公式LINE"",false)"),"りかと圭一の離婚危機に追い打ちをかけるように、美津子はりかに「自分と圭一は深い仲だった」と告白する。激しく動揺したりかは家を出て実家へ帰る。傷心のりかを、更なる衝撃的な新事実が襲う。・・・それを知ったりかは、美津子と荘太への反撃を決意す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"&amp;"柏木荘太…村上弘明（大手企業常務）柏木美羽…吉田里琴（美津子の娘）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演出…村上正典  編成…永山由紀子・吉本香苗  プロデュース…栗原美和子・後藤庸介民放連ドラに久々出演の田中麗奈が主演！  人気急上昇の劇団EXILEの青柳翔が謎めいた恋人役。  若村麻"&amp;"由美演じる美津子のファッションにも注目！フジテレビを退職後の光野道夫監督のフリーになっての初演出となる。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共同テレビ・TBS帰らない夫…愛を失った女は鬼になる! #8 『美しき罠～残花繚乱～』 2/26（木）ダイジ"&amp;"ェスト動画公開しました！")</f>
        <v>りかと圭一の離婚危機に追い打ちをかけるように、美津子はりかに「自分と圭一は深い仲だった」と告白する。激しく動揺したりかは家を出て実家へ帰る。傷心のりかを、更なる衝撃的な新事実が襲う。・・・それを知ったりかは、美津子と荘太への反撃を決意す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演出…村上正典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共同テレビ・TBS帰らない夫…愛を失った女は鬼になる! #8 『美しき罠～残花繚乱～』 2/26（木）ダイジェスト動画公開しました！</v>
      </c>
      <c r="N5219" s="2"/>
      <c r="O5219" s="2"/>
      <c r="P5219" s="1"/>
      <c r="Q5219" s="1"/>
      <c r="R5219" s="1"/>
      <c r="S5219" s="1"/>
      <c r="T5219" s="1"/>
      <c r="U5219" s="1"/>
      <c r="V5219" s="1"/>
      <c r="W5219" s="1"/>
      <c r="X5219" s="1"/>
      <c r="Y5219" s="1"/>
      <c r="Z5219" s="1"/>
      <c r="AA5219" s="1"/>
      <c r="AB5219" s="1"/>
      <c r="AC5219" s="1"/>
      <c r="AD5219" s="1"/>
      <c r="AE5219" s="1"/>
      <c r="AF5219" s="1"/>
      <c r="AG5219" s="1"/>
      <c r="AH5219" s="1"/>
      <c r="AI5219" s="1"/>
      <c r="AJ5219" s="1"/>
      <c r="AK5219" s="1"/>
      <c r="AL5219" s="1"/>
      <c r="AM5219" s="1"/>
      <c r="AN5219" s="1"/>
      <c r="AO5219" s="1"/>
      <c r="AP5219" s="1"/>
      <c r="AQ5219" s="1"/>
      <c r="AR5219" s="1"/>
      <c r="AS5219" s="1"/>
      <c r="AT5219" s="1"/>
      <c r="AU5219" s="1"/>
      <c r="AV5219" s="1"/>
      <c r="AW5219" s="1"/>
      <c r="AX5219" s="1"/>
      <c r="AY5219" s="1"/>
      <c r="AZ5219" s="1"/>
      <c r="BA5219" s="1"/>
      <c r="BB5219" s="1"/>
    </row>
    <row r="5220" ht="204.75" customHeight="1">
      <c r="A5220" s="1">
        <v>2343.0</v>
      </c>
      <c r="B5220" s="2" t="s">
        <v>14500</v>
      </c>
      <c r="C5220" s="2">
        <f>IFERROR(__xludf.DUMMYFUNCTION("split(B5220,""_"")"),1501.0)</f>
        <v>1501</v>
      </c>
      <c r="D5220" s="2" t="str">
        <f>IFERROR(__xludf.DUMMYFUNCTION("""COMPUTED_VALUE"""),"TBS")</f>
        <v>TBS</v>
      </c>
      <c r="E5220" s="2" t="str">
        <f>IFERROR(__xludf.DUMMYFUNCTION("""COMPUTED_VALUE"""),"木21")</f>
        <v>木21</v>
      </c>
      <c r="F5220" s="2" t="s">
        <v>14501</v>
      </c>
      <c r="G5220" s="2" t="s">
        <v>14520</v>
      </c>
      <c r="H5220" s="1">
        <v>10.0</v>
      </c>
      <c r="I5220" s="1"/>
      <c r="J5220" s="1" t="s">
        <v>11</v>
      </c>
      <c r="K5220" s="2" t="s">
        <v>14521</v>
      </c>
      <c r="L5220" s="2"/>
      <c r="M5220" s="2" t="str">
        <f>IFERROR(__xludf.DUMMYFUNCTION("split(split(K5220,""【"",false),""公式LINE"",false)"),"美津子の荘太への不満はピークに達していた。りかと圭一もまた、荘太への怒りが頂点に達している。そこで、りか・美津子・荘太・圭一の4人は、柏木家に集い、それぞれの心の中に溜まった膿を全て出そうと、隠し持っていた本音をぶつけ合う。圭一と荘太の確執・美津子と圭一の関係・りかと荘太の関係、など隠されていた謎が全て明らかになる…。西田りか…田中麗奈（独身OL）  柏木美津子…若村麻由美（セレブ主婦）  落合圭一…青柳翔＝劇団EXILE（独身会社経営者）  桐谷麻紀…三浦理恵子（りかの友人）  滝本泉…高橋かおり（りか"&amp;"の友人）  西田利夫…平泉成（りかの父親）  江崎龍子…池畑慎之介（書道家）  柏木荘太…村上弘明（大手企業常務）  柏木美羽…吉田里琴（美津子の娘）  寺内巧巳…丸山智己（美津子の弟）田代江美…三倉佳奈（美容クリニック医師）  吉岡…飯田基祐（荘太の部下）  神埼…山田明郷（荘太のビジネス相手）  西田良介…犬飼貴丈『恋詩』安田レイ（SMEレコーズ）  いきものがかり『恋詩』のカバー曲脚本…浅野妙子  演出…光野道夫  編成…永山由紀子・吉本香苗  プロデュース…栗原美和子・後藤庸介民放連ドラに久々出演"&amp;"の田中麗奈が主演！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共同テレビ・TBS  「"&amp;"最終回」の”怪演”公開! 妊娠発覚、妻の逃亡最後の逆襲! 悪女へ #9 『美しき 罠～残花繚乱～』 3/5（木）ダイジェスト")</f>
        <v>美津子の荘太への不満はピークに達していた。りかと圭一もまた、荘太への怒りが頂点に達している。そこで、りか・美津子・荘太・圭一の4人は、柏木家に集い、それぞれの心の中に溜まった膿を全て出そうと、隠し持っていた本音をぶつけ合う。圭一と荘太の確執・美津子と圭一の関係・りかと荘太の関係、など隠されていた謎が全て明らかにな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  柏木美羽…吉田里琴（美津子の娘）  寺内巧巳…丸山智己（美津子の弟）田代江美…三倉佳奈（美容クリニック医師）  吉岡…飯田基祐（荘太の部下）  神埼…山田明郷（荘太のビジネス相手）  西田良介…犬飼貴丈『恋詩』安田レイ（SMEレコーズ）  いきものがかり『恋詩』のカバー曲脚本…浅野妙子  演出…光野道夫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共同テレビ・TBS  「最終回」の”怪演”公開! 妊娠発覚、妻の逃亡最後の逆襲! 悪女へ #9 『美しき 罠～残花繚乱～』 3/5（木）ダイジェスト</v>
      </c>
      <c r="N5220" s="2"/>
      <c r="O5220" s="2"/>
      <c r="P5220" s="1"/>
      <c r="Q5220" s="1"/>
      <c r="R5220" s="1"/>
      <c r="S5220" s="1"/>
      <c r="T5220" s="1"/>
      <c r="U5220" s="1"/>
      <c r="V5220" s="1"/>
      <c r="W5220" s="1"/>
      <c r="X5220" s="1"/>
      <c r="Y5220" s="1"/>
      <c r="Z5220" s="1"/>
      <c r="AA5220" s="1"/>
      <c r="AB5220" s="1"/>
      <c r="AC5220" s="1"/>
      <c r="AD5220" s="1"/>
      <c r="AE5220" s="1"/>
      <c r="AF5220" s="1"/>
      <c r="AG5220" s="1"/>
      <c r="AH5220" s="1"/>
      <c r="AI5220" s="1"/>
      <c r="AJ5220" s="1"/>
      <c r="AK5220" s="1"/>
      <c r="AL5220" s="1"/>
      <c r="AM5220" s="1"/>
      <c r="AN5220" s="1"/>
      <c r="AO5220" s="1"/>
      <c r="AP5220" s="1"/>
      <c r="AQ5220" s="1"/>
      <c r="AR5220" s="1"/>
      <c r="AS5220" s="1"/>
      <c r="AT5220" s="1"/>
      <c r="AU5220" s="1"/>
      <c r="AV5220" s="1"/>
      <c r="AW5220" s="1"/>
      <c r="AX5220" s="1"/>
      <c r="AY5220" s="1"/>
      <c r="AZ5220" s="1"/>
      <c r="BA5220" s="1"/>
      <c r="BB5220" s="1"/>
    </row>
    <row r="5221" ht="204.75" customHeight="1">
      <c r="A5221" s="1">
        <v>2375.0</v>
      </c>
      <c r="B5221" s="2" t="s">
        <v>14522</v>
      </c>
      <c r="C5221" s="2">
        <f>IFERROR(__xludf.DUMMYFUNCTION("split(B5221,""_"")"),1501.0)</f>
        <v>1501</v>
      </c>
      <c r="D5221" s="2" t="str">
        <f>IFERROR(__xludf.DUMMYFUNCTION("""COMPUTED_VALUE"""),"TBS")</f>
        <v>TBS</v>
      </c>
      <c r="E5221" s="2" t="str">
        <f>IFERROR(__xludf.DUMMYFUNCTION("""COMPUTED_VALUE"""),"金22")</f>
        <v>金22</v>
      </c>
      <c r="F5221" s="2" t="s">
        <v>14523</v>
      </c>
      <c r="G5221" s="2" t="s">
        <v>14524</v>
      </c>
      <c r="H5221" s="1">
        <v>1.0</v>
      </c>
      <c r="J5221" s="1" t="s">
        <v>82</v>
      </c>
      <c r="K5221" s="2" t="s">
        <v>14525</v>
      </c>
      <c r="L5221" s="2"/>
      <c r="M5221" s="2" t="str">
        <f>IFERROR(__xludf.DUMMYFUNCTION("split(split(K5221,""【"",false),""公式LINE"",false)"),"児童養護施設・まほろばで育った龍崎イクオ（生田斗真）と段野竜哉（小栗旬）。2人が小学生のとき、母親のように面倒を見てくれていた施設職員の「結子先生」が何者かに殺されるのを目撃する。犯人について2人は警察に証言するが、その言葉は“金時計”をした警察関係者に握りつぶされ、なぜか事件はもみ消された…。生田斗真  小栗旬  上野樹里    吉田羊  ムロツヨシ  清野菜名  武田久美子  光石研    滝藤賢一  吉田鋼太郎  中村橋之助  広末涼子    ＜1話ゲスト＞  嶋田久作  中村蒼  吉田メタル主題歌"&amp;"：「Sakura」嵐（ジェイ・ストーム）脚本：古家和尚  音楽：木村秀彬    企画：那須田淳  演出：石井康晴  プロデュース：佐野亜裕美◇番組HP  http://www.tbs.co.jp/OUROBOROS/  ◇ツイッター  @ouroboros2015  https://twitter.com/ouroboros2015  ◇フェイスブック  https://www.facebook.com/pages/ウロボロス-TBSテレビ/1512759832333119  番組の内容と放送時間は変更に"&amp;"なる可能性があります。")</f>
        <v>児童養護施設・まほろばで育った龍崎イクオ（生田斗真）と段野竜哉（小栗旬）。2人が小学生のとき、母親のように面倒を見てくれていた施設職員の「結子先生」が何者かに殺されるのを目撃する。犯人について2人は警察に証言するが、その言葉は“金時計”をした警察関係者に握りつぶされ、なぜか事件はもみ消された…。生田斗真  小栗旬  上野樹里    吉田羊  ムロツヨシ  清野菜名  武田久美子  光石研    滝藤賢一  吉田鋼太郎  中村橋之助  広末涼子    ＜1話ゲスト＞  嶋田久作  中村蒼  吉田メタル主題歌：「Sakura」嵐（ジェイ・ストーム）脚本：古家和尚  音楽：木村秀彬    企画：那須田淳  演出：石井康晴  プロデュース：佐野亜裕美◇番組HP  http://www.tbs.co.jp/OUROBOROS/  ◇ツイッター  @ouroboros2015  https://twitter.com/ouroboros2015  ◇フェイスブック  https://www.facebook.com/pages/ウロボロス-TBSテレビ/1512759832333119  番組の内容と放送時間は変更になる可能性があります。</v>
      </c>
      <c r="N5221" s="2"/>
      <c r="O5221" s="2"/>
      <c r="P5221" s="1"/>
      <c r="Q5221" s="1"/>
      <c r="R5221" s="1"/>
      <c r="S5221" s="1"/>
      <c r="T5221" s="1"/>
      <c r="U5221" s="1"/>
      <c r="V5221" s="1"/>
      <c r="W5221" s="1"/>
      <c r="X5221" s="1"/>
      <c r="Y5221" s="1"/>
      <c r="Z5221" s="1"/>
      <c r="AA5221" s="1"/>
      <c r="AB5221" s="1"/>
      <c r="AC5221" s="1"/>
      <c r="AD5221" s="1"/>
      <c r="AE5221" s="1"/>
      <c r="AF5221" s="1"/>
      <c r="AG5221" s="1"/>
      <c r="AH5221" s="1"/>
      <c r="AI5221" s="1"/>
      <c r="AJ5221" s="1"/>
      <c r="AK5221" s="1"/>
      <c r="AL5221" s="1"/>
      <c r="AM5221" s="1"/>
      <c r="AN5221" s="1"/>
      <c r="AO5221" s="1"/>
      <c r="AP5221" s="1"/>
      <c r="AQ5221" s="1"/>
      <c r="AR5221" s="1"/>
      <c r="AS5221" s="1"/>
      <c r="AT5221" s="1"/>
      <c r="AU5221" s="1"/>
      <c r="AV5221" s="1"/>
      <c r="AW5221" s="1"/>
      <c r="AX5221" s="1"/>
      <c r="AY5221" s="1"/>
      <c r="AZ5221" s="1"/>
      <c r="BA5221" s="1"/>
      <c r="BB5221" s="1"/>
    </row>
    <row r="5222" ht="204.75" customHeight="1">
      <c r="A5222" s="1">
        <v>2376.0</v>
      </c>
      <c r="B5222" s="2" t="s">
        <v>14522</v>
      </c>
      <c r="C5222" s="2">
        <f>IFERROR(__xludf.DUMMYFUNCTION("split(B5222,""_"")"),1501.0)</f>
        <v>1501</v>
      </c>
      <c r="D5222" s="2" t="str">
        <f>IFERROR(__xludf.DUMMYFUNCTION("""COMPUTED_VALUE"""),"TBS")</f>
        <v>TBS</v>
      </c>
      <c r="E5222" s="2" t="str">
        <f>IFERROR(__xludf.DUMMYFUNCTION("""COMPUTED_VALUE"""),"金22")</f>
        <v>金22</v>
      </c>
      <c r="F5222" s="2" t="s">
        <v>14523</v>
      </c>
      <c r="G5222" s="2" t="s">
        <v>14526</v>
      </c>
      <c r="H5222" s="1">
        <v>2.0</v>
      </c>
      <c r="J5222" s="1" t="s">
        <v>86</v>
      </c>
      <c r="K5222" s="2" t="s">
        <v>14527</v>
      </c>
      <c r="L5222" s="2"/>
      <c r="M5222" s="2" t="str">
        <f>IFERROR(__xludf.DUMMYFUNCTION("split(split(K5222,""【"",false),""公式LINE"",false)"),"イクオ（生田斗真）と美月（上野樹里）は3年前に起こったキャバクラ嬢殺人事件の内偵へ。そこでキャバクラ嬢の葵（岡本玲）と店長・神谷（尾上松也）と知り合う。ところが後日、葵が3年前の事件と同じ手口で殺された…。葵が働いていたキャバクラは竜哉（小栗旬）が所有しており、イクオと竜哉はそれぞれに犯人を捜し始める。生田斗真  小栗旬  上野樹里    吉田羊  ムロツヨシ  清野菜名  武田久美子  光石研    滝藤賢一  吉田鋼太郎  中村橋之助  広末涼子    ＜2話ゲスト＞  尾上松也  岡本玲主題歌：「S"&amp;"akura」嵐（ジェイ・ストーム）◇番組HP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f>
        <v>イクオ（生田斗真）と美月（上野樹里）は3年前に起こったキャバクラ嬢殺人事件の内偵へ。そこでキャバクラ嬢の葵（岡本玲）と店長・神谷（尾上松也）と知り合う。ところが後日、葵が3年前の事件と同じ手口で殺された…。葵が働いていたキャバクラは竜哉（小栗旬）が所有しており、イクオと竜哉はそれぞれに犯人を捜し始める。生田斗真  小栗旬  上野樹里    吉田羊  ムロツヨシ  清野菜名  武田久美子  光石研    滝藤賢一  吉田鋼太郎  中村橋之助  広末涼子    ＜2話ゲスト＞  尾上松也  岡本玲主題歌：「Sakura」嵐（ジェイ・ストーム）◇番組HP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v>
      </c>
      <c r="N5222" s="2"/>
      <c r="O5222" s="2"/>
      <c r="P5222" s="1"/>
      <c r="Q5222" s="1"/>
      <c r="R5222" s="1"/>
      <c r="S5222" s="1"/>
      <c r="T5222" s="1"/>
      <c r="U5222" s="1"/>
      <c r="V5222" s="1"/>
      <c r="W5222" s="1"/>
      <c r="X5222" s="1"/>
      <c r="Y5222" s="1"/>
      <c r="Z5222" s="1"/>
      <c r="AA5222" s="1"/>
      <c r="AB5222" s="1"/>
      <c r="AC5222" s="1"/>
      <c r="AD5222" s="1"/>
      <c r="AE5222" s="1"/>
      <c r="AF5222" s="1"/>
      <c r="AG5222" s="1"/>
      <c r="AH5222" s="1"/>
      <c r="AI5222" s="1"/>
      <c r="AJ5222" s="1"/>
      <c r="AK5222" s="1"/>
      <c r="AL5222" s="1"/>
      <c r="AM5222" s="1"/>
      <c r="AN5222" s="1"/>
      <c r="AO5222" s="1"/>
      <c r="AP5222" s="1"/>
      <c r="AQ5222" s="1"/>
      <c r="AR5222" s="1"/>
      <c r="AS5222" s="1"/>
      <c r="AT5222" s="1"/>
      <c r="AU5222" s="1"/>
      <c r="AV5222" s="1"/>
      <c r="AW5222" s="1"/>
      <c r="AX5222" s="1"/>
      <c r="AY5222" s="1"/>
      <c r="AZ5222" s="1"/>
      <c r="BA5222" s="1"/>
      <c r="BB5222" s="1"/>
    </row>
    <row r="5223" ht="204.75" customHeight="1">
      <c r="A5223" s="1">
        <v>2377.0</v>
      </c>
      <c r="B5223" s="2" t="s">
        <v>14522</v>
      </c>
      <c r="C5223" s="2">
        <f>IFERROR(__xludf.DUMMYFUNCTION("split(B5223,""_"")"),1501.0)</f>
        <v>1501</v>
      </c>
      <c r="D5223" s="2" t="str">
        <f>IFERROR(__xludf.DUMMYFUNCTION("""COMPUTED_VALUE"""),"TBS")</f>
        <v>TBS</v>
      </c>
      <c r="E5223" s="2" t="str">
        <f>IFERROR(__xludf.DUMMYFUNCTION("""COMPUTED_VALUE"""),"金22")</f>
        <v>金22</v>
      </c>
      <c r="F5223" s="2" t="s">
        <v>14523</v>
      </c>
      <c r="G5223" s="2" t="s">
        <v>14528</v>
      </c>
      <c r="H5223" s="1">
        <v>3.0</v>
      </c>
      <c r="J5223" s="1" t="s">
        <v>86</v>
      </c>
      <c r="K5223" s="2" t="s">
        <v>14529</v>
      </c>
      <c r="L5223" s="2"/>
      <c r="M5223" s="2" t="str">
        <f>IFERROR(__xludf.DUMMYFUNCTION("split(split(K5223,""【"",false),""公式LINE"",false)"),"新宿でホームレスが殺害される事件が相次いで起こり、イクオ（生田斗真）たち新宿第二署は雑用担当に。我慢できなくなった美月（上野樹里）はイクオに提案し、独自で捜査を開始する。そんな中、二人は男がホームレスを襲撃している現場に遭遇。犯人を取り押さえ被害者に事情を聞こうとするが、すでに姿はなく…。  　一方、“金時計の男”の手がかりを探す竜哉（小栗旬）は、闇医者の劉宗鉉（山本學）から新情報を入手する。生田斗真  小栗旬  上野樹里    吉田羊  ムロツヨシ  清野菜名  武田久美子  光石研    山本学  モ"&amp;"ロ師岡  康すおん    滝藤賢一  吉田鋼太郎  中村橋之助  広末涼子    ＜第三話ゲスト＞  北村有起哉主題歌：「Sakura」嵐（ジェイ・ストーム）◇番組HP  http://www.tbs.co.jp/OUROBOROS/  ◇ツイッター  @ouroboros2015  https://twitter.com/ouroboros2015  ◇フェイスブック  https://www.facebook.com/pages/ウロボロス-TBSテレビ/1512759832333119  番組の内容"&amp;"と放送時間は変更になる可能性があります。")</f>
        <v>新宿でホームレスが殺害される事件が相次いで起こり、イクオ（生田斗真）たち新宿第二署は雑用担当に。我慢できなくなった美月（上野樹里）はイクオに提案し、独自で捜査を開始する。そんな中、二人は男がホームレスを襲撃している現場に遭遇。犯人を取り押さえ被害者に事情を聞こうとするが、すでに姿はなく…。  　一方、“金時計の男”の手がかりを探す竜哉（小栗旬）は、闇医者の劉宗鉉（山本學）から新情報を入手する。生田斗真  小栗旬  上野樹里    吉田羊  ムロツヨシ  清野菜名  武田久美子  光石研    山本学  モロ師岡  康すおん    滝藤賢一  吉田鋼太郎  中村橋之助  広末涼子    ＜第三話ゲスト＞  北村有起哉主題歌：「Sakura」嵐（ジェイ・ストーム）◇番組HP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v>
      </c>
      <c r="N5223" s="2"/>
      <c r="O5223" s="2"/>
      <c r="P5223" s="1"/>
      <c r="Q5223" s="1"/>
      <c r="R5223" s="1"/>
      <c r="S5223" s="1"/>
      <c r="T5223" s="1"/>
      <c r="U5223" s="1"/>
      <c r="V5223" s="1"/>
      <c r="W5223" s="1"/>
      <c r="X5223" s="1"/>
      <c r="Y5223" s="1"/>
      <c r="Z5223" s="1"/>
      <c r="AA5223" s="1"/>
      <c r="AB5223" s="1"/>
      <c r="AC5223" s="1"/>
      <c r="AD5223" s="1"/>
      <c r="AE5223" s="1"/>
      <c r="AF5223" s="1"/>
      <c r="AG5223" s="1"/>
      <c r="AH5223" s="1"/>
      <c r="AI5223" s="1"/>
      <c r="AJ5223" s="1"/>
      <c r="AK5223" s="1"/>
      <c r="AL5223" s="1"/>
      <c r="AM5223" s="1"/>
      <c r="AN5223" s="1"/>
      <c r="AO5223" s="1"/>
      <c r="AP5223" s="1"/>
      <c r="AQ5223" s="1"/>
      <c r="AR5223" s="1"/>
      <c r="AS5223" s="1"/>
      <c r="AT5223" s="1"/>
      <c r="AU5223" s="1"/>
      <c r="AV5223" s="1"/>
      <c r="AW5223" s="1"/>
      <c r="AX5223" s="1"/>
      <c r="AY5223" s="1"/>
      <c r="AZ5223" s="1"/>
      <c r="BA5223" s="1"/>
      <c r="BB5223" s="1"/>
    </row>
    <row r="5224" ht="204.75" customHeight="1">
      <c r="A5224" s="1">
        <v>2378.0</v>
      </c>
      <c r="B5224" s="2" t="s">
        <v>14522</v>
      </c>
      <c r="C5224" s="2">
        <f>IFERROR(__xludf.DUMMYFUNCTION("split(B5224,""_"")"),1501.0)</f>
        <v>1501</v>
      </c>
      <c r="D5224" s="2" t="str">
        <f>IFERROR(__xludf.DUMMYFUNCTION("""COMPUTED_VALUE"""),"TBS")</f>
        <v>TBS</v>
      </c>
      <c r="E5224" s="2" t="str">
        <f>IFERROR(__xludf.DUMMYFUNCTION("""COMPUTED_VALUE"""),"金22")</f>
        <v>金22</v>
      </c>
      <c r="F5224" s="2" t="s">
        <v>14523</v>
      </c>
      <c r="G5224" s="2" t="s">
        <v>14530</v>
      </c>
      <c r="H5224" s="1">
        <v>4.0</v>
      </c>
      <c r="J5224" s="1" t="s">
        <v>86</v>
      </c>
      <c r="K5224" s="2" t="s">
        <v>14531</v>
      </c>
      <c r="L5224" s="2"/>
      <c r="M5224" s="2" t="str">
        <f>IFERROR(__xludf.DUMMYFUNCTION("split(split(K5224,""【"",false),""公式LINE"",false)"),"警視庁捜査一課に配属されたイクオ（生田斗真）は、警察官連続殺人事件の捜査を命じられる。相棒は坂東（大地康雄）という一匹狼の刑事。坂東を相手に四苦八苦するイクオは、境川署の刑事・中嶋（笠原秀幸）とダンボールに詰められた警察官の死体を発見する。警察官連続殺人、3人目の被害者だった…。  一方、竜哉（小栗旬）は我孫子桐乃（武田久美子）から、我孫子会の直参に引き上げる、という出世話を持ちかけられていた。生田斗真  小栗旬  上野樹里    吉田羊  ムロツヨシ  清野菜名  武田久美子  光石研    滝藤賢一 "&amp;" 吉田鋼太郎  広末涼子    ＜4話ゲスト＞  大地康雄  笠原秀幸主題歌：「Sakura」嵐（ジェイ・ストーム）◇番組HP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f>
        <v>警視庁捜査一課に配属されたイクオ（生田斗真）は、警察官連続殺人事件の捜査を命じられる。相棒は坂東（大地康雄）という一匹狼の刑事。坂東を相手に四苦八苦するイクオは、境川署の刑事・中嶋（笠原秀幸）とダンボールに詰められた警察官の死体を発見する。警察官連続殺人、3人目の被害者だった…。  一方、竜哉（小栗旬）は我孫子桐乃（武田久美子）から、我孫子会の直参に引き上げる、という出世話を持ちかけられていた。生田斗真  小栗旬  上野樹里    吉田羊  ムロツヨシ  清野菜名  武田久美子  光石研    滝藤賢一  吉田鋼太郎  広末涼子    ＜4話ゲスト＞  大地康雄  笠原秀幸主題歌：「Sakura」嵐（ジェイ・ストーム）◇番組HP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v>
      </c>
      <c r="N5224" s="2"/>
      <c r="O5224" s="2"/>
      <c r="P5224" s="1"/>
      <c r="Q5224" s="1"/>
      <c r="R5224" s="1"/>
      <c r="S5224" s="1"/>
      <c r="T5224" s="1"/>
      <c r="U5224" s="1"/>
      <c r="V5224" s="1"/>
      <c r="W5224" s="1"/>
      <c r="X5224" s="1"/>
      <c r="Y5224" s="1"/>
      <c r="Z5224" s="1"/>
      <c r="AA5224" s="1"/>
      <c r="AB5224" s="1"/>
      <c r="AC5224" s="1"/>
      <c r="AD5224" s="1"/>
      <c r="AE5224" s="1"/>
      <c r="AF5224" s="1"/>
      <c r="AG5224" s="1"/>
      <c r="AH5224" s="1"/>
      <c r="AI5224" s="1"/>
      <c r="AJ5224" s="1"/>
      <c r="AK5224" s="1"/>
      <c r="AL5224" s="1"/>
      <c r="AM5224" s="1"/>
      <c r="AN5224" s="1"/>
      <c r="AO5224" s="1"/>
      <c r="AP5224" s="1"/>
      <c r="AQ5224" s="1"/>
      <c r="AR5224" s="1"/>
      <c r="AS5224" s="1"/>
      <c r="AT5224" s="1"/>
      <c r="AU5224" s="1"/>
      <c r="AV5224" s="1"/>
      <c r="AW5224" s="1"/>
      <c r="AX5224" s="1"/>
      <c r="AY5224" s="1"/>
      <c r="AZ5224" s="1"/>
      <c r="BA5224" s="1"/>
      <c r="BB5224" s="1"/>
    </row>
    <row r="5225" ht="204.75" customHeight="1">
      <c r="A5225" s="1">
        <v>2379.0</v>
      </c>
      <c r="B5225" s="2" t="s">
        <v>14522</v>
      </c>
      <c r="C5225" s="2">
        <f>IFERROR(__xludf.DUMMYFUNCTION("split(B5225,""_"")"),1501.0)</f>
        <v>1501</v>
      </c>
      <c r="D5225" s="2" t="str">
        <f>IFERROR(__xludf.DUMMYFUNCTION("""COMPUTED_VALUE"""),"TBS")</f>
        <v>TBS</v>
      </c>
      <c r="E5225" s="2" t="str">
        <f>IFERROR(__xludf.DUMMYFUNCTION("""COMPUTED_VALUE"""),"金22")</f>
        <v>金22</v>
      </c>
      <c r="F5225" s="2" t="s">
        <v>14523</v>
      </c>
      <c r="G5225" s="2" t="s">
        <v>14532</v>
      </c>
      <c r="H5225" s="1">
        <v>5.0</v>
      </c>
      <c r="J5225" s="1" t="s">
        <v>4</v>
      </c>
      <c r="K5225" s="2" t="s">
        <v>14533</v>
      </c>
      <c r="L5225" s="2"/>
      <c r="M5225" s="2" t="str">
        <f>IFERROR(__xludf.DUMMYFUNCTION("split(split(K5225,""【"",false),""公式LINE"",false)"),"美月（上野樹里）から竜哉（小栗旬）との関係を問いただされたイクオ（生田斗真）は、果たしてどこまで隠し通せるのか不安を覚えていた。そんな折、北川警視総監（中村橋之助）が何者かに狙撃され、イクオたちは特別捜査本部に招集される。  一方、ハイジマコーポレーション社長の桂田（デビット伊東）の遺体と結子先生（広末涼子）の警官姿の写真を見つけた竜哉は、その場で二人の男に襲撃される…。生田斗真  小栗旬  上野樹里    吉田羊  ムロツヨシ  清野菜名  武田久美子  光石研    滝藤賢一  吉田鋼太郎  中村橋之"&amp;"助  広末涼子    ＜第五話ゲスト＞  高橋恵子主題歌：「Sakura」嵐（ジェイ・ストーム）◇番組HP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f>
        <v>美月（上野樹里）から竜哉（小栗旬）との関係を問いただされたイクオ（生田斗真）は、果たしてどこまで隠し通せるのか不安を覚えていた。そんな折、北川警視総監（中村橋之助）が何者かに狙撃され、イクオたちは特別捜査本部に招集される。  一方、ハイジマコーポレーション社長の桂田（デビット伊東）の遺体と結子先生（広末涼子）の警官姿の写真を見つけた竜哉は、その場で二人の男に襲撃される…。生田斗真  小栗旬  上野樹里    吉田羊  ムロツヨシ  清野菜名  武田久美子  光石研    滝藤賢一  吉田鋼太郎  中村橋之助  広末涼子    ＜第五話ゲスト＞  高橋恵子主題歌：「Sakura」嵐（ジェイ・ストーム）◇番組HP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v>
      </c>
      <c r="N5225" s="2"/>
      <c r="O5225" s="2"/>
      <c r="P5225" s="1"/>
      <c r="Q5225" s="1"/>
      <c r="R5225" s="1"/>
      <c r="S5225" s="1"/>
      <c r="T5225" s="1"/>
      <c r="U5225" s="1"/>
      <c r="V5225" s="1"/>
      <c r="W5225" s="1"/>
      <c r="X5225" s="1"/>
      <c r="Y5225" s="1"/>
      <c r="Z5225" s="1"/>
      <c r="AA5225" s="1"/>
      <c r="AB5225" s="1"/>
      <c r="AC5225" s="1"/>
      <c r="AD5225" s="1"/>
      <c r="AE5225" s="1"/>
      <c r="AF5225" s="1"/>
      <c r="AG5225" s="1"/>
      <c r="AH5225" s="1"/>
      <c r="AI5225" s="1"/>
      <c r="AJ5225" s="1"/>
      <c r="AK5225" s="1"/>
      <c r="AL5225" s="1"/>
      <c r="AM5225" s="1"/>
      <c r="AN5225" s="1"/>
      <c r="AO5225" s="1"/>
      <c r="AP5225" s="1"/>
      <c r="AQ5225" s="1"/>
      <c r="AR5225" s="1"/>
      <c r="AS5225" s="1"/>
      <c r="AT5225" s="1"/>
      <c r="AU5225" s="1"/>
      <c r="AV5225" s="1"/>
      <c r="AW5225" s="1"/>
      <c r="AX5225" s="1"/>
      <c r="AY5225" s="1"/>
      <c r="AZ5225" s="1"/>
      <c r="BA5225" s="1"/>
      <c r="BB5225" s="1"/>
    </row>
    <row r="5226" ht="204.75" customHeight="1">
      <c r="A5226" s="1">
        <v>2380.0</v>
      </c>
      <c r="B5226" s="2" t="s">
        <v>14522</v>
      </c>
      <c r="C5226" s="2">
        <f>IFERROR(__xludf.DUMMYFUNCTION("split(B5226,""_"")"),1501.0)</f>
        <v>1501</v>
      </c>
      <c r="D5226" s="2" t="str">
        <f>IFERROR(__xludf.DUMMYFUNCTION("""COMPUTED_VALUE"""),"TBS")</f>
        <v>TBS</v>
      </c>
      <c r="E5226" s="2" t="str">
        <f>IFERROR(__xludf.DUMMYFUNCTION("""COMPUTED_VALUE"""),"金22")</f>
        <v>金22</v>
      </c>
      <c r="F5226" s="2" t="s">
        <v>14523</v>
      </c>
      <c r="G5226" s="2" t="s">
        <v>14534</v>
      </c>
      <c r="H5226" s="1">
        <v>6.0</v>
      </c>
      <c r="J5226" s="1" t="s">
        <v>4</v>
      </c>
      <c r="K5226" s="2" t="s">
        <v>14535</v>
      </c>
      <c r="L5226" s="2"/>
      <c r="M5226" s="2" t="str">
        <f>IFERROR(__xludf.DUMMYFUNCTION("split(split(K5226,""【"",false),""公式LINE"",false)"),"死亡した山城会会長から「まほろばの資料は息子に渡した」と聞いたイクオ（生田斗真）と竜哉（小栗旬）は、息子である山城隼人（中野裕太）を捜す。公安の“ゼロ”と呼ばれる2人の男たちも隼人を捜しており、タイムリミットは迫っていた。  一方イクオと竜哉の関係を疑っているのは美月（上野樹里）だけではなかった。新宿第一署の蝶野（滝藤賢一）は、あることからイクオと竜哉への疑いを深め、独自に調べていた…。生田斗真  小栗旬  上野樹里    吉田羊  ムロツヨシ  清野菜名  武田久美子  光石研    モロ師岡  山口祥"&amp;"行    滝藤賢一  吉田鋼太郎  中村橋之助  広末涼子    ＜6話ゲスト＞  中野裕太主題歌：「Sakura」嵐（ジェイ・ストーム）◇番組HP  http://www.tbs.co.jp/OUROBOROS/  ◇ツイッター  @ouroboros2015  https://twitter.com/ouroboros2015  ◇フェイスブック  https://www.facebook.com/pages/ウロボロス-TBSテレビ/1512759832333119  番組の内容と放送時間は変更にな"&amp;"る可能性があります。")</f>
        <v>死亡した山城会会長から「まほろばの資料は息子に渡した」と聞いたイクオ（生田斗真）と竜哉（小栗旬）は、息子である山城隼人（中野裕太）を捜す。公安の“ゼロ”と呼ばれる2人の男たちも隼人を捜しており、タイムリミットは迫っていた。  一方イクオと竜哉の関係を疑っているのは美月（上野樹里）だけではなかった。新宿第一署の蝶野（滝藤賢一）は、あることからイクオと竜哉への疑いを深め、独自に調べていた…。生田斗真  小栗旬  上野樹里    吉田羊  ムロツヨシ  清野菜名  武田久美子  光石研    モロ師岡  山口祥行    滝藤賢一  吉田鋼太郎  中村橋之助  広末涼子    ＜6話ゲスト＞  中野裕太主題歌：「Sakura」嵐（ジェイ・ストーム）◇番組HP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v>
      </c>
      <c r="N5226" s="2"/>
      <c r="O5226" s="2"/>
      <c r="P5226" s="1"/>
      <c r="Q5226" s="1"/>
      <c r="R5226" s="1"/>
      <c r="S5226" s="1"/>
      <c r="T5226" s="1"/>
      <c r="U5226" s="1"/>
      <c r="V5226" s="1"/>
      <c r="W5226" s="1"/>
      <c r="X5226" s="1"/>
      <c r="Y5226" s="1"/>
      <c r="Z5226" s="1"/>
      <c r="AA5226" s="1"/>
      <c r="AB5226" s="1"/>
      <c r="AC5226" s="1"/>
      <c r="AD5226" s="1"/>
      <c r="AE5226" s="1"/>
      <c r="AF5226" s="1"/>
      <c r="AG5226" s="1"/>
      <c r="AH5226" s="1"/>
      <c r="AI5226" s="1"/>
      <c r="AJ5226" s="1"/>
      <c r="AK5226" s="1"/>
      <c r="AL5226" s="1"/>
      <c r="AM5226" s="1"/>
      <c r="AN5226" s="1"/>
      <c r="AO5226" s="1"/>
      <c r="AP5226" s="1"/>
      <c r="AQ5226" s="1"/>
      <c r="AR5226" s="1"/>
      <c r="AS5226" s="1"/>
      <c r="AT5226" s="1"/>
      <c r="AU5226" s="1"/>
      <c r="AV5226" s="1"/>
      <c r="AW5226" s="1"/>
      <c r="AX5226" s="1"/>
      <c r="AY5226" s="1"/>
      <c r="AZ5226" s="1"/>
      <c r="BA5226" s="1"/>
      <c r="BB5226" s="1"/>
    </row>
    <row r="5227" ht="204.75" customHeight="1">
      <c r="A5227" s="1">
        <v>2381.0</v>
      </c>
      <c r="B5227" s="2" t="s">
        <v>14522</v>
      </c>
      <c r="C5227" s="2">
        <f>IFERROR(__xludf.DUMMYFUNCTION("split(B5227,""_"")"),1501.0)</f>
        <v>1501</v>
      </c>
      <c r="D5227" s="2" t="str">
        <f>IFERROR(__xludf.DUMMYFUNCTION("""COMPUTED_VALUE"""),"TBS")</f>
        <v>TBS</v>
      </c>
      <c r="E5227" s="2" t="str">
        <f>IFERROR(__xludf.DUMMYFUNCTION("""COMPUTED_VALUE"""),"金22")</f>
        <v>金22</v>
      </c>
      <c r="F5227" s="2" t="s">
        <v>14523</v>
      </c>
      <c r="G5227" s="2" t="s">
        <v>14536</v>
      </c>
      <c r="H5227" s="1">
        <v>7.0</v>
      </c>
      <c r="J5227" s="1" t="s">
        <v>86</v>
      </c>
      <c r="K5227" s="2" t="s">
        <v>14537</v>
      </c>
      <c r="L5227" s="2"/>
      <c r="M5227" s="2" t="str">
        <f>IFERROR(__xludf.DUMMYFUNCTION("split(split(K5227,""【"",false),""公式LINE"",false)"),"公安「ゼロ」に撃たれたイクオ（生田斗真）だったが、止める美月（上野樹里）を振り切り、隼人（中野裕太）を連れて逃げている竜哉（小栗旬）を捜すため再び現場に戻る。その頃、彼らの目的が結子先生（広末涼子）の形見であるウロボロスのペンダントだと知った竜哉は、「ゼロ」の二人と死闘を繰り広げていた。  一方、事態を知った聖副総監（野村将希）も自ら現場に駆けつけ指揮を執っていた。生田斗真  小栗旬  上野樹里    吉田羊  ムロツヨシ  清野菜名  武田久美子  光石研    綾野剛    滝藤賢一  吉田鋼太郎  "&amp;"中村橋之助  広末涼子主題歌：「Sakura」嵐（ジェイ・ストーム）◇番組HP  http://www.tbs.co.jp/OUROBOROS/  ◇ツイッター  @ouroboros2015  https://twitter.com/ouroboros2015  ◇フェイスブック  https://www.facebook.com/pages/ウロボロス-TBSテレビ/1512759832333119  綾野剛 原作そっくりの「長髪」ビジュアルで挑む! 動画公開しました！  http://youtu.b"&amp;"e/4pdv8r9_nmQ  番組の内容と放送時間は変更になる可能性があります。")</f>
        <v>公安「ゼロ」に撃たれたイクオ（生田斗真）だったが、止める美月（上野樹里）を振り切り、隼人（中野裕太）を連れて逃げている竜哉（小栗旬）を捜すため再び現場に戻る。その頃、彼らの目的が結子先生（広末涼子）の形見であるウロボロスのペンダントだと知った竜哉は、「ゼロ」の二人と死闘を繰り広げていた。  一方、事態を知った聖副総監（野村将希）も自ら現場に駆けつけ指揮を執っていた。生田斗真  小栗旬  上野樹里    吉田羊  ムロツヨシ  清野菜名  武田久美子  光石研    綾野剛    滝藤賢一  吉田鋼太郎  中村橋之助  広末涼子主題歌：「Sakura」嵐（ジェイ・ストーム）◇番組HP  http://www.tbs.co.jp/OUROBOROS/  ◇ツイッター  @ouroboros2015  https://twitter.com/ouroboros2015  ◇フェイスブック  https://www.facebook.com/pages/ウロボロス-TBSテレビ/1512759832333119  綾野剛 原作そっくりの「長髪」ビジュアルで挑む! 動画公開しました！  http://youtu.be/4pdv8r9_nmQ  番組の内容と放送時間は変更になる可能性があります。</v>
      </c>
      <c r="N5227" s="2"/>
      <c r="O5227" s="2"/>
      <c r="P5227" s="1"/>
      <c r="Q5227" s="1"/>
      <c r="R5227" s="1"/>
      <c r="S5227" s="1"/>
      <c r="T5227" s="1"/>
      <c r="U5227" s="1"/>
      <c r="V5227" s="1"/>
      <c r="W5227" s="1"/>
      <c r="X5227" s="1"/>
      <c r="Y5227" s="1"/>
      <c r="Z5227" s="1"/>
      <c r="AA5227" s="1"/>
      <c r="AB5227" s="1"/>
      <c r="AC5227" s="1"/>
      <c r="AD5227" s="1"/>
      <c r="AE5227" s="1"/>
      <c r="AF5227" s="1"/>
      <c r="AG5227" s="1"/>
      <c r="AH5227" s="1"/>
      <c r="AI5227" s="1"/>
      <c r="AJ5227" s="1"/>
      <c r="AK5227" s="1"/>
      <c r="AL5227" s="1"/>
      <c r="AM5227" s="1"/>
      <c r="AN5227" s="1"/>
      <c r="AO5227" s="1"/>
      <c r="AP5227" s="1"/>
      <c r="AQ5227" s="1"/>
      <c r="AR5227" s="1"/>
      <c r="AS5227" s="1"/>
      <c r="AT5227" s="1"/>
      <c r="AU5227" s="1"/>
      <c r="AV5227" s="1"/>
      <c r="AW5227" s="1"/>
      <c r="AX5227" s="1"/>
      <c r="AY5227" s="1"/>
      <c r="AZ5227" s="1"/>
      <c r="BA5227" s="1"/>
      <c r="BB5227" s="1"/>
    </row>
    <row r="5228" ht="204.75" customHeight="1">
      <c r="A5228" s="1">
        <v>2382.0</v>
      </c>
      <c r="B5228" s="2" t="s">
        <v>14522</v>
      </c>
      <c r="C5228" s="2">
        <f>IFERROR(__xludf.DUMMYFUNCTION("split(B5228,""_"")"),1501.0)</f>
        <v>1501</v>
      </c>
      <c r="D5228" s="2" t="str">
        <f>IFERROR(__xludf.DUMMYFUNCTION("""COMPUTED_VALUE"""),"TBS")</f>
        <v>TBS</v>
      </c>
      <c r="E5228" s="2" t="str">
        <f>IFERROR(__xludf.DUMMYFUNCTION("""COMPUTED_VALUE"""),"金22")</f>
        <v>金22</v>
      </c>
      <c r="F5228" s="2" t="s">
        <v>14523</v>
      </c>
      <c r="G5228" s="2" t="s">
        <v>14538</v>
      </c>
      <c r="H5228" s="1">
        <v>8.0</v>
      </c>
      <c r="J5228" s="1" t="s">
        <v>86</v>
      </c>
      <c r="K5228" s="2" t="s">
        <v>14539</v>
      </c>
      <c r="L5228" s="2"/>
      <c r="M5228" s="2" t="str">
        <f>IFERROR(__xludf.DUMMYFUNCTION("split(split(K5228,""【"",false),""公式LINE"",false)"),"突然現れた那智聡介（綾野剛）に拉致された美月（上野樹里）は、イクオ（生田斗真）と竜哉（小栗旬）の関係と児童養護施設「まほろば」の秘密を知り、衝撃を受ける。そして美月はある人物に新たな疑いの目を向ける。  　一方、連絡が取れない美月を心配したイクオは彼女の自宅を訪れ、荒らされた様子を目にする。そこに美月の父・日比野（光石研）と小夏（清野菜名）もやってきて…。生田斗真  小栗旬  上野樹里    吉田羊  ムロツヨシ  清野菜名  武田久美子  光石研    綾野剛    滝藤賢一  吉田鋼太郎  中村橋之助"&amp;"  広末涼子★好評を博した副音声企画「ウラバラス」再び！★  “ウラバラスメンバー”となった生田、小栗、ムロのほか、スペシャルゲストとして橘都美子役・吉田羊も登場! なお、主音声では通常通りドラマが楽しめる！！★10万円分商品券が当たる！★  番組を見てクイズに答えると正解者の中から抽選で3名様に「10万円分の全国百貨店共通商品券」が当たります。クイズと応募方法は放送内で発表します！お見逃し無く！主題歌：「Sakura」嵐（ジェイ・ストーム）◇番組HP  http://www.tbs.co.jp/OURO"&amp;"BOROS/  ◇ツイッター  @ouroboros2015  https://twitter.com/ouroboros2015  ◇フェイスブック  https://www.facebook.com/pages/ウロボロス-TBSテレビ/1512759832333119  番組の内容と放送時間は変更になる可能性があります。")</f>
        <v>突然現れた那智聡介（綾野剛）に拉致された美月（上野樹里）は、イクオ（生田斗真）と竜哉（小栗旬）の関係と児童養護施設「まほろば」の秘密を知り、衝撃を受ける。そして美月はある人物に新たな疑いの目を向ける。  　一方、連絡が取れない美月を心配したイクオは彼女の自宅を訪れ、荒らされた様子を目にする。そこに美月の父・日比野（光石研）と小夏（清野菜名）もやってきて…。生田斗真  小栗旬  上野樹里    吉田羊  ムロツヨシ  清野菜名  武田久美子  光石研    綾野剛    滝藤賢一  吉田鋼太郎  中村橋之助  広末涼子★好評を博した副音声企画「ウラバラス」再び！★  “ウラバラスメンバー”となった生田、小栗、ムロのほか、スペシャルゲストとして橘都美子役・吉田羊も登場! なお、主音声では通常通りドラマが楽しめる！！★10万円分商品券が当たる！★  番組を見てクイズに答えると正解者の中から抽選で3名様に「10万円分の全国百貨店共通商品券」が当たります。クイズと応募方法は放送内で発表します！お見逃し無く！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v>
      </c>
      <c r="N5228" s="2"/>
      <c r="O5228" s="2"/>
      <c r="P5228" s="1"/>
      <c r="Q5228" s="1"/>
      <c r="R5228" s="1"/>
      <c r="S5228" s="1"/>
      <c r="T5228" s="1"/>
      <c r="U5228" s="1"/>
      <c r="V5228" s="1"/>
      <c r="W5228" s="1"/>
      <c r="X5228" s="1"/>
      <c r="Y5228" s="1"/>
      <c r="Z5228" s="1"/>
      <c r="AA5228" s="1"/>
      <c r="AB5228" s="1"/>
      <c r="AC5228" s="1"/>
      <c r="AD5228" s="1"/>
      <c r="AE5228" s="1"/>
      <c r="AF5228" s="1"/>
      <c r="AG5228" s="1"/>
      <c r="AH5228" s="1"/>
      <c r="AI5228" s="1"/>
      <c r="AJ5228" s="1"/>
      <c r="AK5228" s="1"/>
      <c r="AL5228" s="1"/>
      <c r="AM5228" s="1"/>
      <c r="AN5228" s="1"/>
      <c r="AO5228" s="1"/>
      <c r="AP5228" s="1"/>
      <c r="AQ5228" s="1"/>
      <c r="AR5228" s="1"/>
      <c r="AS5228" s="1"/>
      <c r="AT5228" s="1"/>
      <c r="AU5228" s="1"/>
      <c r="AV5228" s="1"/>
      <c r="AW5228" s="1"/>
      <c r="AX5228" s="1"/>
      <c r="AY5228" s="1"/>
      <c r="AZ5228" s="1"/>
      <c r="BA5228" s="1"/>
      <c r="BB5228" s="1"/>
    </row>
    <row r="5229" ht="204.75" customHeight="1">
      <c r="A5229" s="1">
        <v>2383.0</v>
      </c>
      <c r="B5229" s="2" t="s">
        <v>14522</v>
      </c>
      <c r="C5229" s="2">
        <f>IFERROR(__xludf.DUMMYFUNCTION("split(B5229,""_"")"),1501.0)</f>
        <v>1501</v>
      </c>
      <c r="D5229" s="2" t="str">
        <f>IFERROR(__xludf.DUMMYFUNCTION("""COMPUTED_VALUE"""),"TBS")</f>
        <v>TBS</v>
      </c>
      <c r="E5229" s="2" t="str">
        <f>IFERROR(__xludf.DUMMYFUNCTION("""COMPUTED_VALUE"""),"金22")</f>
        <v>金22</v>
      </c>
      <c r="F5229" s="2" t="s">
        <v>14523</v>
      </c>
      <c r="G5229" s="2" t="s">
        <v>14540</v>
      </c>
      <c r="H5229" s="1">
        <v>9.0</v>
      </c>
      <c r="J5229" s="1" t="s">
        <v>86</v>
      </c>
      <c r="K5229" s="2" t="s">
        <v>14541</v>
      </c>
      <c r="L5229" s="2"/>
      <c r="M5229" s="2" t="str">
        <f>IFERROR(__xludf.DUMMYFUNCTION("split(split(K5229,""【"",false),""公式LINE"",false)"),"児童養護施設・まほろばで育った龍崎イクオ（生田斗真）と段野竜哉（小栗旬）。2人が小学生のとき、母親のように面倒を見てくれていた施設職員の「結子先生」が何者かに殺されるのを目撃する。犯人について2人は警察に証言するが、その言葉は“金時計”をした警察関係者に握りつぶされ、なぜか事件はもみ消された…。生田斗真  小栗旬  上野樹里    吉田羊  ムロツヨシ  清野菜名  武田久美子  光石研    滝藤賢一  吉田鋼太郎  中村橋之助  広末涼子主題歌：「Sakura」嵐（ジェイ・ストーム）◇番組HP  ht"&amp;"tp://www.tbs.co.jp/OUROBOROS/  ◇ツイッター  @ouroboros2015  https://twitter.com/ouroboros2015  ◇フェイスブック  https://www.facebook.com/pages/ウロボロス-TBSテレビ/1512759832333119  番組の内容と放送時間は変更になる可能性があります。")</f>
        <v>児童養護施設・まほろばで育った龍崎イクオ（生田斗真）と段野竜哉（小栗旬）。2人が小学生のとき、母親のように面倒を見てくれていた施設職員の「結子先生」が何者かに殺されるのを目撃する。犯人について2人は警察に証言するが、その言葉は“金時計”をした警察関係者に握りつぶされ、なぜか事件はもみ消された…。生田斗真  小栗旬  上野樹里    吉田羊  ムロツヨシ  清野菜名  武田久美子  光石研    滝藤賢一  吉田鋼太郎  中村橋之助  広末涼子主題歌：「Sakura」嵐（ジェイ・ストーム）◇番組HP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v>
      </c>
      <c r="N5229" s="2"/>
      <c r="O5229" s="2"/>
      <c r="P5229" s="1"/>
      <c r="Q5229" s="1"/>
      <c r="R5229" s="1"/>
      <c r="S5229" s="1"/>
      <c r="T5229" s="1"/>
      <c r="U5229" s="1"/>
      <c r="V5229" s="1"/>
      <c r="W5229" s="1"/>
      <c r="X5229" s="1"/>
      <c r="Y5229" s="1"/>
      <c r="Z5229" s="1"/>
      <c r="AA5229" s="1"/>
      <c r="AB5229" s="1"/>
      <c r="AC5229" s="1"/>
      <c r="AD5229" s="1"/>
      <c r="AE5229" s="1"/>
      <c r="AF5229" s="1"/>
      <c r="AG5229" s="1"/>
      <c r="AH5229" s="1"/>
      <c r="AI5229" s="1"/>
      <c r="AJ5229" s="1"/>
      <c r="AK5229" s="1"/>
      <c r="AL5229" s="1"/>
      <c r="AM5229" s="1"/>
      <c r="AN5229" s="1"/>
      <c r="AO5229" s="1"/>
      <c r="AP5229" s="1"/>
      <c r="AQ5229" s="1"/>
      <c r="AR5229" s="1"/>
      <c r="AS5229" s="1"/>
      <c r="AT5229" s="1"/>
      <c r="AU5229" s="1"/>
      <c r="AV5229" s="1"/>
      <c r="AW5229" s="1"/>
      <c r="AX5229" s="1"/>
      <c r="AY5229" s="1"/>
      <c r="AZ5229" s="1"/>
      <c r="BA5229" s="1"/>
      <c r="BB5229" s="1"/>
    </row>
    <row r="5230" ht="204.75" customHeight="1">
      <c r="A5230" s="1">
        <v>2384.0</v>
      </c>
      <c r="B5230" s="2" t="s">
        <v>14522</v>
      </c>
      <c r="C5230" s="2">
        <f>IFERROR(__xludf.DUMMYFUNCTION("split(B5230,""_"")"),1501.0)</f>
        <v>1501</v>
      </c>
      <c r="D5230" s="2" t="str">
        <f>IFERROR(__xludf.DUMMYFUNCTION("""COMPUTED_VALUE"""),"TBS")</f>
        <v>TBS</v>
      </c>
      <c r="E5230" s="2" t="str">
        <f>IFERROR(__xludf.DUMMYFUNCTION("""COMPUTED_VALUE"""),"金22")</f>
        <v>金22</v>
      </c>
      <c r="F5230" s="2" t="s">
        <v>14523</v>
      </c>
      <c r="G5230" s="2" t="s">
        <v>14542</v>
      </c>
      <c r="H5230" s="1">
        <v>10.0</v>
      </c>
      <c r="J5230" s="1" t="s">
        <v>4</v>
      </c>
      <c r="K5230" s="2" t="s">
        <v>14543</v>
      </c>
      <c r="L5230" s="2"/>
      <c r="M5230" s="2" t="str">
        <f>IFERROR(__xludf.DUMMYFUNCTION("split(split(K5230,""【"",false),""公式LINE"",false)"),"いよいよ最終回！  20年をかけたイクオと竜哉の仇討ちの行方は？生田斗真  小栗旬  上野樹里    吉田羊  ムロツヨシ  光石研    滝藤賢一  吉田鋼太郎  中村橋之助  広末涼子主題歌：「Sakura」嵐（ジェイ・ストーム）◇番組HP  http://www.tbs.co.jp/OUROBOROS/  ◇ツイッター  @ouroboros2015  https://twitter.com/ouroboros2015  ◇フェイスブック  https://www.facebook.com/page"&amp;"s/ウロボロス-TBSテレビ/1512759832333119  番組の内容と放送時間は変更になる可能性があります。")</f>
        <v>いよいよ最終回！  20年をかけたイクオと竜哉の仇討ちの行方は？生田斗真  小栗旬  上野樹里    吉田羊  ムロツヨシ  光石研    滝藤賢一  吉田鋼太郎  中村橋之助  広末涼子主題歌：「Sakura」嵐（ジェイ・ストーム）◇番組HP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v>
      </c>
      <c r="N5230" s="2"/>
      <c r="O5230" s="2"/>
      <c r="P5230" s="1"/>
      <c r="Q5230" s="1"/>
      <c r="R5230" s="1"/>
      <c r="S5230" s="1"/>
      <c r="T5230" s="1"/>
      <c r="U5230" s="1"/>
      <c r="V5230" s="1"/>
      <c r="W5230" s="1"/>
      <c r="X5230" s="1"/>
      <c r="Y5230" s="1"/>
      <c r="Z5230" s="1"/>
      <c r="AA5230" s="1"/>
      <c r="AB5230" s="1"/>
      <c r="AC5230" s="1"/>
      <c r="AD5230" s="1"/>
      <c r="AE5230" s="1"/>
      <c r="AF5230" s="1"/>
      <c r="AG5230" s="1"/>
      <c r="AH5230" s="1"/>
      <c r="AI5230" s="1"/>
      <c r="AJ5230" s="1"/>
      <c r="AK5230" s="1"/>
      <c r="AL5230" s="1"/>
      <c r="AM5230" s="1"/>
      <c r="AN5230" s="1"/>
      <c r="AO5230" s="1"/>
      <c r="AP5230" s="1"/>
      <c r="AQ5230" s="1"/>
      <c r="AR5230" s="1"/>
      <c r="AS5230" s="1"/>
      <c r="AT5230" s="1"/>
      <c r="AU5230" s="1"/>
      <c r="AV5230" s="1"/>
      <c r="AW5230" s="1"/>
      <c r="AX5230" s="1"/>
      <c r="AY5230" s="1"/>
      <c r="AZ5230" s="1"/>
      <c r="BA5230" s="1"/>
      <c r="BB5230" s="1"/>
    </row>
    <row r="5231" ht="204.75" customHeight="1">
      <c r="A5231" s="1">
        <v>2402.0</v>
      </c>
      <c r="B5231" s="2" t="s">
        <v>14544</v>
      </c>
      <c r="C5231" s="2">
        <f>IFERROR(__xludf.DUMMYFUNCTION("split(B5231,""_"")"),1501.0)</f>
        <v>1501</v>
      </c>
      <c r="D5231" s="2" t="str">
        <f>IFERROR(__xludf.DUMMYFUNCTION("""COMPUTED_VALUE"""),"TBS")</f>
        <v>TBS</v>
      </c>
      <c r="E5231" s="2" t="str">
        <f>IFERROR(__xludf.DUMMYFUNCTION("""COMPUTED_VALUE"""),"日21")</f>
        <v>日21</v>
      </c>
      <c r="F5231" s="2" t="s">
        <v>14545</v>
      </c>
      <c r="G5231" s="2" t="s">
        <v>14546</v>
      </c>
      <c r="H5231" s="1">
        <v>1.0</v>
      </c>
      <c r="I5231" s="1" t="s">
        <v>14547</v>
      </c>
      <c r="J5231" s="1" t="s">
        <v>4</v>
      </c>
      <c r="K5231" s="2" t="s">
        <v>14548</v>
      </c>
      <c r="L5231" s="2"/>
      <c r="M5231" s="2" t="str">
        <f>IFERROR(__xludf.DUMMYFUNCTION("split(split(K5231,""【"",false),""公式LINE"",false)"),"自分が父親だったら、この苦境をどう乗り越えるだろうか？父親が自分の年齢の時、子供の私とどう接していたのだろうか？  不思議なワゴンが、大嫌いだった父親を連れてきた！自分と同じ歳の…？  父親と言うより、変な友情が芽生えた・父と子は、妻や息子の問題を解決していく・現代版バック・トゥ・ザ・フューチャー！  あなたは、流星が願を叶えてくれると言ったら何を願いますか？  日曜9時、家族版サクセスストーリー！永田一雄…西島秀俊  永田忠雄…香川照之    永田美代子…井川 遥    永田智子…市川実和子  永田伸之"&amp;"…高橋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@ryuseiwag"&amp;"on_tbs◇フェイスブック  https://www.facebook.com/ryuseiwagon.tbs  入江甚儀＆町田啓太の初「壁ドン」にメロメロ!?　動画公開しました！  http://youtu.be/zrEPZbdCmII  主題歌サザンオールスターズ! 2分でわかる 『流星ワゴン』1/18スタート! 重松清の大ベストセラー初映像化")</f>
        <v>自分が父親だったら、この苦境をどう乗り越えるだろうか？父親が自分の年齢の時、子供の私とどう接していたのだろうか？  不思議なワゴンが、大嫌いだった父親を連れてきた！自分と同じ歳の…？  父親と言うより、変な友情が芽生えた・父と子は、妻や息子の問題を解決していく・現代版バック・トゥ・ザ・フューチャー！  あなたは、流星が願を叶えてくれると言ったら何を願いますか？  日曜9時、家族版サクセスストーリー！永田一雄…西島秀俊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入江甚儀＆町田啓太の初「壁ドン」にメロメロ!?　動画公開しました！  http://youtu.be/zrEPZbdCmII  主題歌サザンオールスターズ! 2分でわかる 『流星ワゴン』1/18スタート! 重松清の大ベストセラー初映像化</v>
      </c>
      <c r="N5231" s="2"/>
      <c r="O5231" s="2"/>
      <c r="P5231" s="1"/>
      <c r="Q5231" s="1"/>
      <c r="R5231" s="1"/>
      <c r="S5231" s="1"/>
      <c r="T5231" s="1"/>
      <c r="U5231" s="1"/>
      <c r="V5231" s="1"/>
      <c r="W5231" s="1"/>
      <c r="X5231" s="1"/>
      <c r="Y5231" s="1"/>
      <c r="Z5231" s="1"/>
      <c r="AA5231" s="1"/>
      <c r="AB5231" s="1"/>
      <c r="AC5231" s="1"/>
      <c r="AD5231" s="1"/>
      <c r="AE5231" s="1"/>
      <c r="AF5231" s="1"/>
      <c r="AG5231" s="1"/>
      <c r="AH5231" s="1"/>
      <c r="AI5231" s="1"/>
      <c r="AJ5231" s="1"/>
      <c r="AK5231" s="1"/>
      <c r="AL5231" s="1"/>
      <c r="AM5231" s="1"/>
      <c r="AN5231" s="1"/>
      <c r="AO5231" s="1"/>
      <c r="AP5231" s="1"/>
      <c r="AQ5231" s="1"/>
      <c r="AR5231" s="1"/>
      <c r="AS5231" s="1"/>
      <c r="AT5231" s="1"/>
      <c r="AU5231" s="1"/>
      <c r="AV5231" s="1"/>
      <c r="AW5231" s="1"/>
      <c r="AX5231" s="1"/>
      <c r="AY5231" s="1"/>
      <c r="AZ5231" s="1"/>
      <c r="BA5231" s="1"/>
      <c r="BB5231" s="1"/>
    </row>
    <row r="5232" ht="204.75" customHeight="1">
      <c r="A5232" s="1">
        <v>2403.0</v>
      </c>
      <c r="B5232" s="2" t="s">
        <v>14544</v>
      </c>
      <c r="C5232" s="2">
        <f>IFERROR(__xludf.DUMMYFUNCTION("split(B5232,""_"")"),1501.0)</f>
        <v>1501</v>
      </c>
      <c r="D5232" s="2" t="str">
        <f>IFERROR(__xludf.DUMMYFUNCTION("""COMPUTED_VALUE"""),"TBS")</f>
        <v>TBS</v>
      </c>
      <c r="E5232" s="2" t="str">
        <f>IFERROR(__xludf.DUMMYFUNCTION("""COMPUTED_VALUE"""),"日21")</f>
        <v>日21</v>
      </c>
      <c r="F5232" s="2" t="s">
        <v>14545</v>
      </c>
      <c r="G5232" s="2" t="s">
        <v>14549</v>
      </c>
      <c r="H5232" s="1">
        <v>2.0</v>
      </c>
      <c r="I5232" s="1" t="s">
        <v>14550</v>
      </c>
      <c r="J5232" s="1" t="s">
        <v>11</v>
      </c>
      <c r="K5232" s="2" t="s">
        <v>14551</v>
      </c>
      <c r="L5232" s="2"/>
      <c r="M5232" s="2" t="str">
        <f>IFERROR(__xludf.DUMMYFUNCTION("split(split(K5232,""【"",false),""公式LINE"",false)"),"笑えて泣ける、現代版バック・トゥ・ザ・フューチャー！不思議なワゴンが、大嫌いだった父親を連れてきた！しかも自分と同じ歳の…？　父親と言うより、変な友情が芽生えた・父と子は、妻や息子の問題を解決していく！  妻と息子の異変をまのあたりにした主人公の一雄(西島)は、何とかして過去の歯車を変えようとして必死！  今回は、リストラになる前に、嫌な上司に頭を下げることに。しかし、忠さん(香川)は大反対する！永田一雄…西島秀俊  永田忠雄…香川照之    永田美代子…井川 遥    永田智子…市川実和子  永田伸之…"&amp;"高橋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@ryuseiwago"&amp;"n_tbs◇フェイスブック  https://www.facebook.com/ryuseiwagon.tbs  同じ年の父と「やり直し」の旅が始まった…#1『流星ワゴン』ダイジェスト・#2予告動画公開しました！  http://youtu.be/T0-Sg54Jxwg  「壁ドン」#4 入江甚儀&amp;町田啓太 繁華街ロケ現場で語るお互いの印象 動画公開しました！  http://youtu.be/kZfv3Y6WGwA  番組の内容と放送時間は変更になる可能性があります。")</f>
        <v>笑えて泣ける、現代版バック・トゥ・ザ・フューチャー！不思議なワゴンが、大嫌いだった父親を連れてきた！しかも自分と同じ歳の…？　父親と言うより、変な友情が芽生えた・父と子は、妻や息子の問題を解決していく！  妻と息子の異変をまのあたりにした主人公の一雄(西島)は、何とかして過去の歯車を変えようとして必死！  今回は、リストラになる前に、嫌な上司に頭を下げることに。しかし、忠さん(香川)は大反対する！永田一雄…西島秀俊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同じ年の父と「やり直し」の旅が始まった…#1『流星ワゴン』ダイジェスト・#2予告動画公開しました！  http://youtu.be/T0-Sg54Jxwg  「壁ドン」#4 入江甚儀&amp;町田啓太 繁華街ロケ現場で語るお互いの印象 動画公開しました！  http://youtu.be/kZfv3Y6WGwA  番組の内容と放送時間は変更になる可能性があります。</v>
      </c>
      <c r="N5232" s="2"/>
      <c r="O5232" s="2"/>
      <c r="P5232" s="1"/>
      <c r="Q5232" s="1"/>
      <c r="R5232" s="1"/>
      <c r="S5232" s="1"/>
      <c r="T5232" s="1"/>
      <c r="U5232" s="1"/>
      <c r="V5232" s="1"/>
      <c r="W5232" s="1"/>
      <c r="X5232" s="1"/>
      <c r="Y5232" s="1"/>
      <c r="Z5232" s="1"/>
      <c r="AA5232" s="1"/>
      <c r="AB5232" s="1"/>
      <c r="AC5232" s="1"/>
      <c r="AD5232" s="1"/>
      <c r="AE5232" s="1"/>
      <c r="AF5232" s="1"/>
      <c r="AG5232" s="1"/>
      <c r="AH5232" s="1"/>
      <c r="AI5232" s="1"/>
      <c r="AJ5232" s="1"/>
      <c r="AK5232" s="1"/>
      <c r="AL5232" s="1"/>
      <c r="AM5232" s="1"/>
      <c r="AN5232" s="1"/>
      <c r="AO5232" s="1"/>
      <c r="AP5232" s="1"/>
      <c r="AQ5232" s="1"/>
      <c r="AR5232" s="1"/>
      <c r="AS5232" s="1"/>
      <c r="AT5232" s="1"/>
      <c r="AU5232" s="1"/>
      <c r="AV5232" s="1"/>
      <c r="AW5232" s="1"/>
      <c r="AX5232" s="1"/>
      <c r="AY5232" s="1"/>
      <c r="AZ5232" s="1"/>
      <c r="BA5232" s="1"/>
      <c r="BB5232" s="1"/>
    </row>
    <row r="5233" ht="204.75" customHeight="1">
      <c r="A5233" s="1">
        <v>2404.0</v>
      </c>
      <c r="B5233" s="2" t="s">
        <v>14544</v>
      </c>
      <c r="C5233" s="2">
        <f>IFERROR(__xludf.DUMMYFUNCTION("split(B5233,""_"")"),1501.0)</f>
        <v>1501</v>
      </c>
      <c r="D5233" s="2" t="str">
        <f>IFERROR(__xludf.DUMMYFUNCTION("""COMPUTED_VALUE"""),"TBS")</f>
        <v>TBS</v>
      </c>
      <c r="E5233" s="2" t="str">
        <f>IFERROR(__xludf.DUMMYFUNCTION("""COMPUTED_VALUE"""),"日21")</f>
        <v>日21</v>
      </c>
      <c r="F5233" s="2" t="s">
        <v>14545</v>
      </c>
      <c r="G5233" s="2" t="s">
        <v>14552</v>
      </c>
      <c r="H5233" s="1">
        <v>3.0</v>
      </c>
      <c r="I5233" s="1" t="s">
        <v>13272</v>
      </c>
      <c r="J5233" s="1" t="s">
        <v>4</v>
      </c>
      <c r="K5233" s="2" t="s">
        <v>14553</v>
      </c>
      <c r="L5233" s="2"/>
      <c r="M5233" s="2" t="str">
        <f>IFERROR(__xludf.DUMMYFUNCTION("split(split(K5233,""【"",false),""公式LINE"",false)"),"不思議なワゴンが大嫌いだった父を連れてきて、妻や息子の問題を解決していく・現代版バック・トゥ・ザ・フューチャー！  橋本親子（吉岡秀隆）の息子・健太が、一雄（西島秀俊）とチュウさん（香川照之）の旅についてきてしまった。健太は、死ぬ前にできなかった逆上がりがしたいとせがむ。しかし、死んだ時にできなかったことは出来ない決まりになっている。運命に逆らって頑張る健太を見て一雄が立ちがる。息子の苦悩とは何？永田一雄…西島秀俊  永田忠雄…香川照之    永田美代子…井川 遥    永田智子…市川実和子  永田伸之…"&amp;"高橋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@ryuseiwago"&amp;"n_tbs◇フェイスブック  https://www.facebook.com/ryuseiwagon.tbs  リストラを回避するため上司に近づく一雄と忠雄 しかし…#1#2『流星ワゴン』ダイジェスト動画公開しました！  http://youtu.be/kPqw5EAWki4  番組の内容と放送時間は変更になる可能性があります。")</f>
        <v>不思議なワゴンが大嫌いだった父を連れてきて、妻や息子の問題を解決していく・現代版バック・トゥ・ザ・フューチャー！  橋本親子（吉岡秀隆）の息子・健太が、一雄（西島秀俊）とチュウさん（香川照之）の旅についてきてしまった。健太は、死ぬ前にできなかった逆上がりがしたいとせがむ。しかし、死んだ時にできなかったことは出来ない決まりになっている。運命に逆らって頑張る健太を見て一雄が立ちがる。息子の苦悩とは何？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リストラを回避するため上司に近づく一雄と忠雄 しかし…#1#2『流星ワゴン』ダイジェスト動画公開しました！  http://youtu.be/kPqw5EAWki4  番組の内容と放送時間は変更になる可能性があります。</v>
      </c>
      <c r="N5233" s="2"/>
      <c r="O5233" s="2"/>
      <c r="P5233" s="1"/>
      <c r="Q5233" s="1"/>
      <c r="R5233" s="1"/>
      <c r="S5233" s="1"/>
      <c r="T5233" s="1"/>
      <c r="U5233" s="1"/>
      <c r="V5233" s="1"/>
      <c r="W5233" s="1"/>
      <c r="X5233" s="1"/>
      <c r="Y5233" s="1"/>
      <c r="Z5233" s="1"/>
      <c r="AA5233" s="1"/>
      <c r="AB5233" s="1"/>
      <c r="AC5233" s="1"/>
      <c r="AD5233" s="1"/>
      <c r="AE5233" s="1"/>
      <c r="AF5233" s="1"/>
      <c r="AG5233" s="1"/>
      <c r="AH5233" s="1"/>
      <c r="AI5233" s="1"/>
      <c r="AJ5233" s="1"/>
      <c r="AK5233" s="1"/>
      <c r="AL5233" s="1"/>
      <c r="AM5233" s="1"/>
      <c r="AN5233" s="1"/>
      <c r="AO5233" s="1"/>
      <c r="AP5233" s="1"/>
      <c r="AQ5233" s="1"/>
      <c r="AR5233" s="1"/>
      <c r="AS5233" s="1"/>
      <c r="AT5233" s="1"/>
      <c r="AU5233" s="1"/>
      <c r="AV5233" s="1"/>
      <c r="AW5233" s="1"/>
      <c r="AX5233" s="1"/>
      <c r="AY5233" s="1"/>
      <c r="AZ5233" s="1"/>
      <c r="BA5233" s="1"/>
      <c r="BB5233" s="1"/>
    </row>
    <row r="5234" ht="204.75" customHeight="1">
      <c r="A5234" s="1">
        <v>2405.0</v>
      </c>
      <c r="B5234" s="2" t="s">
        <v>14544</v>
      </c>
      <c r="C5234" s="2">
        <f>IFERROR(__xludf.DUMMYFUNCTION("split(B5234,""_"")"),1501.0)</f>
        <v>1501</v>
      </c>
      <c r="D5234" s="2" t="str">
        <f>IFERROR(__xludf.DUMMYFUNCTION("""COMPUTED_VALUE"""),"TBS")</f>
        <v>TBS</v>
      </c>
      <c r="E5234" s="2" t="str">
        <f>IFERROR(__xludf.DUMMYFUNCTION("""COMPUTED_VALUE"""),"日21")</f>
        <v>日21</v>
      </c>
      <c r="F5234" s="2" t="s">
        <v>14545</v>
      </c>
      <c r="G5234" s="2" t="s">
        <v>14554</v>
      </c>
      <c r="H5234" s="1">
        <v>4.0</v>
      </c>
      <c r="I5234" s="1" t="s">
        <v>14218</v>
      </c>
      <c r="J5234" s="1" t="s">
        <v>11</v>
      </c>
      <c r="K5234" s="2" t="s">
        <v>14555</v>
      </c>
      <c r="L5234" s="2"/>
      <c r="M5234" s="2" t="str">
        <f>IFERROR(__xludf.DUMMYFUNCTION("split(split(K5234,""【"",false),""公式LINE"",false)"),"不思議なワゴンが、自分と同じ歳の父親を連れてきた！　  一雄（西島秀俊）は大嫌いだった父親（香川照之）と、妻や息子の問題を解決していく・現代版バック・トゥ・ザ・フューチャー！  今夜、妻の秘密が明らかに！  妻（井川遥）を尾行した一雄は、妻が若男と密会しているところを目撃する。しかも、大金を貢いでいた。  一雄は自分の力で美代子を救うことが出来るのか？笑って泣ける、新しい形の家族のサクセスストーリー！永田一雄…西島秀俊  永田忠雄…香川照之    永田美代子…井川 遥    永田智子…市川実和子  永田伸"&amp;"之…高橋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@ryuseiwa"&amp;"gon_tbs◇フェイスブック  https://www.facebook.com/ryuseiwagon.tbs  初めて知る息子の真実…#3『流星ワゴン』2/1ダイジェスト #4予告動画公開しました！")</f>
        <v>不思議なワゴンが、自分と同じ歳の父親を連れてきた！　  一雄（西島秀俊）は大嫌いだった父親（香川照之）と、妻や息子の問題を解決していく・現代版バック・トゥ・ザ・フューチャー！  今夜、妻の秘密が明らかに！  妻（井川遥）を尾行した一雄は、妻が若男と密会しているところを目撃する。しかも、大金を貢いでいた。  一雄は自分の力で美代子を救うことが出来るのか？笑って泣ける、新しい形の家族のサクセスストーリー！永田一雄…西島秀俊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初めて知る息子の真実…#3『流星ワゴン』2/1ダイジェスト #4予告動画公開しました！</v>
      </c>
      <c r="N5234" s="2"/>
      <c r="O5234" s="2"/>
      <c r="P5234" s="1"/>
      <c r="Q5234" s="1"/>
      <c r="R5234" s="1"/>
      <c r="S5234" s="1"/>
      <c r="T5234" s="1"/>
      <c r="U5234" s="1"/>
      <c r="V5234" s="1"/>
      <c r="W5234" s="1"/>
      <c r="X5234" s="1"/>
      <c r="Y5234" s="1"/>
      <c r="Z5234" s="1"/>
      <c r="AA5234" s="1"/>
      <c r="AB5234" s="1"/>
      <c r="AC5234" s="1"/>
      <c r="AD5234" s="1"/>
      <c r="AE5234" s="1"/>
      <c r="AF5234" s="1"/>
      <c r="AG5234" s="1"/>
      <c r="AH5234" s="1"/>
      <c r="AI5234" s="1"/>
      <c r="AJ5234" s="1"/>
      <c r="AK5234" s="1"/>
      <c r="AL5234" s="1"/>
      <c r="AM5234" s="1"/>
      <c r="AN5234" s="1"/>
      <c r="AO5234" s="1"/>
      <c r="AP5234" s="1"/>
      <c r="AQ5234" s="1"/>
      <c r="AR5234" s="1"/>
      <c r="AS5234" s="1"/>
      <c r="AT5234" s="1"/>
      <c r="AU5234" s="1"/>
      <c r="AV5234" s="1"/>
      <c r="AW5234" s="1"/>
      <c r="AX5234" s="1"/>
      <c r="AY5234" s="1"/>
      <c r="AZ5234" s="1"/>
      <c r="BA5234" s="1"/>
      <c r="BB5234" s="1"/>
    </row>
    <row r="5235" ht="204.75" customHeight="1">
      <c r="A5235" s="1">
        <v>2406.0</v>
      </c>
      <c r="B5235" s="2" t="s">
        <v>14544</v>
      </c>
      <c r="C5235" s="2">
        <f>IFERROR(__xludf.DUMMYFUNCTION("split(B5235,""_"")"),1501.0)</f>
        <v>1501</v>
      </c>
      <c r="D5235" s="2" t="str">
        <f>IFERROR(__xludf.DUMMYFUNCTION("""COMPUTED_VALUE"""),"TBS")</f>
        <v>TBS</v>
      </c>
      <c r="E5235" s="2" t="str">
        <f>IFERROR(__xludf.DUMMYFUNCTION("""COMPUTED_VALUE"""),"日21")</f>
        <v>日21</v>
      </c>
      <c r="F5235" s="2" t="s">
        <v>14545</v>
      </c>
      <c r="G5235" s="2" t="s">
        <v>14556</v>
      </c>
      <c r="H5235" s="1">
        <v>5.0</v>
      </c>
      <c r="I5235" s="1" t="s">
        <v>14557</v>
      </c>
      <c r="J5235" s="1" t="s">
        <v>11</v>
      </c>
      <c r="K5235" s="2" t="s">
        <v>14558</v>
      </c>
      <c r="L5235" s="2"/>
      <c r="M5235" s="2" t="str">
        <f>IFERROR(__xludf.DUMMYFUNCTION("split(split(K5235,""【"",false),""公式LINE"",false)"),"急展開～橋本（吉岡秀隆）に連れられて、2人が亡くなった事故現場へ。そこで橋本親子のとんでもない秘密を聞くことになる。一方、健太は生きているママに会いに行く決意をして逃げ出した。健太の覚悟に共感したチュウさん（香川照之）は、健太の手助けをし、一雄（西島秀俊）も付き合うことに。そして妻・美代子（井川遥）はまたあの男に会う。健太はママに会うことができたのか？ドタバタ珍道中の末に驚異の結末が待っていた　原作・重松清　130万部突破！　永田一雄…西島秀俊  永田忠雄…香川照之    永田美代子…井川 遥    永田"&amp;"智子…市川実和子  永田伸之…高橋 洋  千賀和哉…入江甚儀  古閑…町田啓太  橋本健太…高木星来  永田広樹…横山幸汰  幼少の一雄…佐藤詩音  幼少の智子…梅垣日向子  若き澄江…渡辺真起子    永田澄江…倍賞美津子    橋本義明…吉岡秀隆  ゲスト  マイコ、中島ひろ子、須田邦裕、氏家恵、新妻聖子、野間口徹脚本・八津弘幸、演出・福澤克雄など、半沢直樹を手がけたスタッフが送る最新作！  乞うご期待！◇番組HP  http://www.tbs.co.jp/ryusei_wagon/  ◇ツイッター"&amp;"  https://twitter.com/ryuseiwagon_tbs  @ryuseiwagon_tbs◇フェイスブック  https://www.facebook.com/ryuseiwagon.tbs  ギャンブル中毒の妻を救うため奮闘する一雄 #4『流星ワゴン』2/8ダイジェスト #5予告動画公開しました！  http://youtu.be/IjL4v-vmco0  セルフカメラで「壁ドン」#5 入江甚儀&amp;町田啓太 動画公開しました！  http://youtu.be/VJ-ni479Bcw "&amp;" 「壁ドン」俺のこと好きになってくれよ・・・by千賀 #6 入江甚儀&amp;町田啓太 「番外編」 2/15（日） 『流星ワゴン』")</f>
        <v>急展開～橋本（吉岡秀隆）に連れられて、2人が亡くなった事故現場へ。そこで橋本親子のとんでもない秘密を聞くことになる。一方、健太は生きているママに会いに行く決意をして逃げ出した。健太の覚悟に共感したチュウさん（香川照之）は、健太の手助けをし、一雄（西島秀俊）も付き合うことに。そして妻・美代子（井川遥）はまたあの男に会う。健太はママに会うことができたのか？ドタバタ珍道中の末に驚異の結末が待っていた　原作・重松清　130万部突破！　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  ゲスト  マイコ、中島ひろ子、須田邦裕、氏家恵、新妻聖子、野間口徹脚本・八津弘幸、演出・福澤克雄など、半沢直樹を手がけたスタッフが送る最新作！  乞うご期待！◇番組HP  http://www.tbs.co.jp/ryusei_wagon/  ◇ツイッター  https://twitter.com/ryuseiwagon_tbs  @ryuseiwagon_tbs◇フェイスブック  https://www.facebook.com/ryuseiwagon.tbs  ギャンブル中毒の妻を救うため奮闘する一雄 #4『流星ワゴン』2/8ダイジェスト #5予告動画公開しました！  http://youtu.be/IjL4v-vmco0  セルフカメラで「壁ドン」#5 入江甚儀&amp;町田啓太 動画公開しました！  http://youtu.be/VJ-ni479Bcw  「壁ドン」俺のこと好きになってくれよ・・・by千賀 #6 入江甚儀&amp;町田啓太 「番外編」 2/15（日） 『流星ワゴン』</v>
      </c>
      <c r="N5235" s="2"/>
      <c r="O5235" s="2"/>
      <c r="P5235" s="1"/>
      <c r="Q5235" s="1"/>
      <c r="R5235" s="1"/>
      <c r="S5235" s="1"/>
      <c r="T5235" s="1"/>
      <c r="U5235" s="1"/>
      <c r="V5235" s="1"/>
      <c r="W5235" s="1"/>
      <c r="X5235" s="1"/>
      <c r="Y5235" s="1"/>
      <c r="Z5235" s="1"/>
      <c r="AA5235" s="1"/>
      <c r="AB5235" s="1"/>
      <c r="AC5235" s="1"/>
      <c r="AD5235" s="1"/>
      <c r="AE5235" s="1"/>
      <c r="AF5235" s="1"/>
      <c r="AG5235" s="1"/>
      <c r="AH5235" s="1"/>
      <c r="AI5235" s="1"/>
      <c r="AJ5235" s="1"/>
      <c r="AK5235" s="1"/>
      <c r="AL5235" s="1"/>
      <c r="AM5235" s="1"/>
      <c r="AN5235" s="1"/>
      <c r="AO5235" s="1"/>
      <c r="AP5235" s="1"/>
      <c r="AQ5235" s="1"/>
      <c r="AR5235" s="1"/>
      <c r="AS5235" s="1"/>
      <c r="AT5235" s="1"/>
      <c r="AU5235" s="1"/>
      <c r="AV5235" s="1"/>
      <c r="AW5235" s="1"/>
      <c r="AX5235" s="1"/>
      <c r="AY5235" s="1"/>
      <c r="AZ5235" s="1"/>
      <c r="BA5235" s="1"/>
      <c r="BB5235" s="1"/>
    </row>
    <row r="5236" ht="204.75" customHeight="1">
      <c r="A5236" s="1">
        <v>2407.0</v>
      </c>
      <c r="B5236" s="2" t="s">
        <v>14544</v>
      </c>
      <c r="C5236" s="2">
        <f>IFERROR(__xludf.DUMMYFUNCTION("split(B5236,""_"")"),1501.0)</f>
        <v>1501</v>
      </c>
      <c r="D5236" s="2" t="str">
        <f>IFERROR(__xludf.DUMMYFUNCTION("""COMPUTED_VALUE"""),"TBS")</f>
        <v>TBS</v>
      </c>
      <c r="E5236" s="2" t="str">
        <f>IFERROR(__xludf.DUMMYFUNCTION("""COMPUTED_VALUE"""),"日21")</f>
        <v>日21</v>
      </c>
      <c r="F5236" s="2" t="s">
        <v>14545</v>
      </c>
      <c r="G5236" s="2" t="s">
        <v>14559</v>
      </c>
      <c r="H5236" s="1">
        <v>6.0</v>
      </c>
      <c r="I5236" s="1" t="s">
        <v>14560</v>
      </c>
      <c r="J5236" s="1" t="s">
        <v>11</v>
      </c>
      <c r="K5236" s="2" t="s">
        <v>14561</v>
      </c>
      <c r="L5236" s="2"/>
      <c r="M5236" s="2" t="str">
        <f>IFERROR(__xludf.DUMMYFUNCTION("split(split(K5236,""【"",false),""公式LINE"",false)"),"チュウさんは現在の忠さん(忠雄・73歳)の死期が近いことを知らされ、早く病院に行って早く治療すれば、もっと長く生きられることを伝えに行く！しかし、自分どうしが会ってしまうと「やり直しの旅」は消滅する！  一雄はチュウさんの代わりに6年ぶりに現在の忠雄に会って、大嫌いだった父に病院に行ってほしいと伝えるが・・・。運命を変えようとする朋輩からの想いはどうなるのか？一方、健太は、母の愛を知り決意した！永田一雄…西島秀俊   永田忠雄…香川照之    永田美代子…井川 遥    永田智子…市川実和子   永田伸之"&amp;"…高橋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@ry"&amp;"useiwagon_tbs◇フェイスブック  https://www.facebook.com/ryuseiwagon.tbs  健太の願いを叶えろ! ママを探しに大奮闘する一雄と忠雄 #5『流星ワゴン』2/15ダイジェスト 次回予告動画公開しました！  http://youtu.be/wWWc731Lbls  千賀 永田家のマンション侵入して「壁ドン」! #7 入江甚儀&amp;町田啓太 「番外 編」2/22（日） 『流星ワゴン』動画公開しました！")</f>
        <v>チュウさんは現在の忠さん(忠雄・73歳)の死期が近いことを知らされ、早く病院に行って早く治療すれば、もっと長く生きられることを伝えに行く！しかし、自分どうしが会ってしまうと「やり直しの旅」は消滅する！  一雄はチュウさんの代わりに6年ぶりに現在の忠雄に会って、大嫌いだった父に病院に行ってほしいと伝えるが・・・。運命を変えようとする朋輩からの想いはどうなるのか？一方、健太は、母の愛を知り決意した！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健太の願いを叶えろ! ママを探しに大奮闘する一雄と忠雄 #5『流星ワゴン』2/15ダイジェスト 次回予告動画公開しました！  http://youtu.be/wWWc731Lbls  千賀 永田家のマンション侵入して「壁ドン」! #7 入江甚儀&amp;町田啓太 「番外 編」2/22（日） 『流星ワゴン』動画公開しました！</v>
      </c>
      <c r="N5236" s="2"/>
      <c r="O5236" s="2"/>
      <c r="P5236" s="1"/>
      <c r="Q5236" s="1"/>
      <c r="R5236" s="1"/>
      <c r="S5236" s="1"/>
      <c r="T5236" s="1"/>
      <c r="U5236" s="1"/>
      <c r="V5236" s="1"/>
      <c r="W5236" s="1"/>
      <c r="X5236" s="1"/>
      <c r="Y5236" s="1"/>
      <c r="Z5236" s="1"/>
      <c r="AA5236" s="1"/>
      <c r="AB5236" s="1"/>
      <c r="AC5236" s="1"/>
      <c r="AD5236" s="1"/>
      <c r="AE5236" s="1"/>
      <c r="AF5236" s="1"/>
      <c r="AG5236" s="1"/>
      <c r="AH5236" s="1"/>
      <c r="AI5236" s="1"/>
      <c r="AJ5236" s="1"/>
      <c r="AK5236" s="1"/>
      <c r="AL5236" s="1"/>
      <c r="AM5236" s="1"/>
      <c r="AN5236" s="1"/>
      <c r="AO5236" s="1"/>
      <c r="AP5236" s="1"/>
      <c r="AQ5236" s="1"/>
      <c r="AR5236" s="1"/>
      <c r="AS5236" s="1"/>
      <c r="AT5236" s="1"/>
      <c r="AU5236" s="1"/>
      <c r="AV5236" s="1"/>
      <c r="AW5236" s="1"/>
      <c r="AX5236" s="1"/>
      <c r="AY5236" s="1"/>
      <c r="AZ5236" s="1"/>
      <c r="BA5236" s="1"/>
      <c r="BB5236" s="1"/>
    </row>
    <row r="5237" ht="204.75" customHeight="1">
      <c r="A5237" s="1">
        <v>2408.0</v>
      </c>
      <c r="B5237" s="2" t="s">
        <v>14544</v>
      </c>
      <c r="C5237" s="2">
        <f>IFERROR(__xludf.DUMMYFUNCTION("split(B5237,""_"")"),1501.0)</f>
        <v>1501</v>
      </c>
      <c r="D5237" s="2" t="str">
        <f>IFERROR(__xludf.DUMMYFUNCTION("""COMPUTED_VALUE"""),"TBS")</f>
        <v>TBS</v>
      </c>
      <c r="E5237" s="2" t="str">
        <f>IFERROR(__xludf.DUMMYFUNCTION("""COMPUTED_VALUE"""),"日21")</f>
        <v>日21</v>
      </c>
      <c r="F5237" s="2" t="s">
        <v>14545</v>
      </c>
      <c r="G5237" s="2" t="s">
        <v>14562</v>
      </c>
      <c r="H5237" s="1">
        <v>7.0</v>
      </c>
      <c r="I5237" s="1" t="s">
        <v>2888</v>
      </c>
      <c r="J5237" s="1" t="s">
        <v>11</v>
      </c>
      <c r="K5237" s="2" t="s">
        <v>14563</v>
      </c>
      <c r="L5237" s="2"/>
      <c r="M5237" s="2" t="str">
        <f>IFERROR(__xludf.DUMMYFUNCTION("split(split(K5237,""【"",false),""公式LINE"",false)"),"健太（高木）は再びママに会いに行くことに。それを応援する一雄（西島）とチュウさん（香川）は健太とママの出会いを見守る。橋本（吉岡）には大きな秘密があり、そのことをチュウさんに話してしまう。ママの愛に包まれてこの世に未練がなくなった健太を橋本は成仏させることに。それは橋本親子の永遠の別れを意味する出来事だった。一雄とチュウさんは橋本の本当の想いを知って・・・。現代版バック・トゥ・ザ・フューチャー永田一雄…西島秀俊  永田忠雄…香川照之    永田美代子…井川 遥    永田智子…市川実和子  永田伸之…高橋"&amp;" 洋  千賀和哉…入江甚儀  古閑…町田啓太  橋本健太…高木星来  永田広樹…横山幸汰  幼少の一雄…佐藤詩音  幼少の智子…梅垣日向子  若き澄江…渡辺真起子    永田澄江…倍賞美津子    橋本義明…吉岡秀隆    ゲスト  橋本花織…中島ひろ子脚本・八津弘幸、演出・福澤克雄など、半沢直樹を手がけたスタッフが送る最新作！  乞うご期待！◇番組HP  http://www.tbs.co.jp/ryusei_wagon/  ◇ツイッター  https://twitter.com/ryuseiwagon"&amp;"_tbs  @ryuseiwagon_tbs◇フェイスブック  https://www.facebook.com/ryuseiwagon.tbs  72歳の忠雄と対峙する一雄　検査するよう説得するが… #6『流星ワゴン』2/22ダイジェスト・予告動画公開しました！")</f>
        <v>健太（高木）は再びママに会いに行くことに。それを応援する一雄（西島）とチュウさん（香川）は健太とママの出会いを見守る。橋本（吉岡）には大きな秘密があり、そのことをチュウさんに話してしまう。ママの愛に包まれてこの世に未練がなくなった健太を橋本は成仏させることに。それは橋本親子の永遠の別れを意味する出来事だった。一雄とチュウさんは橋本の本当の想いを知って・・・。現代版バック・トゥ・ザ・フューチャー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    ゲスト  橋本花織…中島ひろ子脚本・八津弘幸、演出・福澤克雄など、半沢直樹を手がけたスタッフが送る最新作！  乞うご期待！◇番組HP  http://www.tbs.co.jp/ryusei_wagon/  ◇ツイッター  https://twitter.com/ryuseiwagon_tbs  @ryuseiwagon_tbs◇フェイスブック  https://www.facebook.com/ryuseiwagon.tbs  72歳の忠雄と対峙する一雄　検査するよう説得するが… #6『流星ワゴン』2/22ダイジェスト・予告動画公開しました！</v>
      </c>
      <c r="N5237" s="2"/>
      <c r="O5237" s="2"/>
      <c r="P5237" s="1"/>
      <c r="Q5237" s="1"/>
      <c r="R5237" s="1"/>
      <c r="S5237" s="1"/>
      <c r="T5237" s="1"/>
      <c r="U5237" s="1"/>
      <c r="V5237" s="1"/>
      <c r="W5237" s="1"/>
      <c r="X5237" s="1"/>
      <c r="Y5237" s="1"/>
      <c r="Z5237" s="1"/>
      <c r="AA5237" s="1"/>
      <c r="AB5237" s="1"/>
      <c r="AC5237" s="1"/>
      <c r="AD5237" s="1"/>
      <c r="AE5237" s="1"/>
      <c r="AF5237" s="1"/>
      <c r="AG5237" s="1"/>
      <c r="AH5237" s="1"/>
      <c r="AI5237" s="1"/>
      <c r="AJ5237" s="1"/>
      <c r="AK5237" s="1"/>
      <c r="AL5237" s="1"/>
      <c r="AM5237" s="1"/>
      <c r="AN5237" s="1"/>
      <c r="AO5237" s="1"/>
      <c r="AP5237" s="1"/>
      <c r="AQ5237" s="1"/>
      <c r="AR5237" s="1"/>
      <c r="AS5237" s="1"/>
      <c r="AT5237" s="1"/>
      <c r="AU5237" s="1"/>
      <c r="AV5237" s="1"/>
      <c r="AW5237" s="1"/>
      <c r="AX5237" s="1"/>
      <c r="AY5237" s="1"/>
      <c r="AZ5237" s="1"/>
      <c r="BA5237" s="1"/>
      <c r="BB5237" s="1"/>
    </row>
    <row r="5238" ht="204.75" customHeight="1">
      <c r="A5238" s="1">
        <v>2409.0</v>
      </c>
      <c r="B5238" s="2" t="s">
        <v>14544</v>
      </c>
      <c r="C5238" s="2">
        <f>IFERROR(__xludf.DUMMYFUNCTION("split(B5238,""_"")"),1501.0)</f>
        <v>1501</v>
      </c>
      <c r="D5238" s="2" t="str">
        <f>IFERROR(__xludf.DUMMYFUNCTION("""COMPUTED_VALUE"""),"TBS")</f>
        <v>TBS</v>
      </c>
      <c r="E5238" s="2" t="str">
        <f>IFERROR(__xludf.DUMMYFUNCTION("""COMPUTED_VALUE"""),"日21")</f>
        <v>日21</v>
      </c>
      <c r="F5238" s="2" t="s">
        <v>14545</v>
      </c>
      <c r="G5238" s="2" t="s">
        <v>14564</v>
      </c>
      <c r="H5238" s="1">
        <v>8.0</v>
      </c>
      <c r="I5238" s="1" t="s">
        <v>2892</v>
      </c>
      <c r="J5238" s="1" t="s">
        <v>11</v>
      </c>
      <c r="K5238" s="2" t="s">
        <v>14565</v>
      </c>
      <c r="L5238" s="2"/>
      <c r="M5238" s="2" t="str">
        <f>IFERROR(__xludf.DUMMYFUNCTION("split(split(K5238,""【"",false),""公式LINE"",false)"),"最後のやり直しの場所に向かった一雄（西島）は、今までのやり方を改め、チュウさん流のやり方で家族を救う決意をする。美代子（井川）を連れてを競馬場に向かい、借金返済のために退職金をかけた大きな賭けにでた。果たしてメインレースの結果は！また広樹が翼たちに再びいじめられているのを知り、一雄は周囲を驚かせる行動に出る。そんな一雄の姿を頼もしくありつつも、寂しい気持ちで見守るチュウさん（香川）だったが。永田一雄…西島秀俊  永田忠雄…香川照之    永田美代子…井川 遥    永田智子…市川実和子  永田伸之…高橋 "&amp;"洋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@ryuseiwagon_t"&amp;"bs◇フェイスブック  https://www.facebook.com/ryuseiwagon.tbs  再び母親に会う決心をした健太は・・・ #7『流星ワゴン』3/1ダイジェスト・予   告動画公開しました！")</f>
        <v>最後のやり直しの場所に向かった一雄（西島）は、今までのやり方を改め、チュウさん流のやり方で家族を救う決意をする。美代子（井川）を連れてを競馬場に向かい、借金返済のために退職金をかけた大きな賭けにでた。果たしてメインレースの結果は！また広樹が翼たちに再びいじめられているのを知り、一雄は周囲を驚かせる行動に出る。そんな一雄の姿を頼もしくありつつも、寂しい気持ちで見守るチュウさん（香川）だったが。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再び母親に会う決心をした健太は・・・ #7『流星ワゴン』3/1ダイジェスト・予   告動画公開しました！</v>
      </c>
      <c r="N5238" s="2"/>
      <c r="O5238" s="2"/>
      <c r="P5238" s="1"/>
      <c r="Q5238" s="1"/>
      <c r="R5238" s="1"/>
      <c r="S5238" s="1"/>
      <c r="T5238" s="1"/>
      <c r="U5238" s="1"/>
      <c r="V5238" s="1"/>
      <c r="W5238" s="1"/>
      <c r="X5238" s="1"/>
      <c r="Y5238" s="1"/>
      <c r="Z5238" s="1"/>
      <c r="AA5238" s="1"/>
      <c r="AB5238" s="1"/>
      <c r="AC5238" s="1"/>
      <c r="AD5238" s="1"/>
      <c r="AE5238" s="1"/>
      <c r="AF5238" s="1"/>
      <c r="AG5238" s="1"/>
      <c r="AH5238" s="1"/>
      <c r="AI5238" s="1"/>
      <c r="AJ5238" s="1"/>
      <c r="AK5238" s="1"/>
      <c r="AL5238" s="1"/>
      <c r="AM5238" s="1"/>
      <c r="AN5238" s="1"/>
      <c r="AO5238" s="1"/>
      <c r="AP5238" s="1"/>
      <c r="AQ5238" s="1"/>
      <c r="AR5238" s="1"/>
      <c r="AS5238" s="1"/>
      <c r="AT5238" s="1"/>
      <c r="AU5238" s="1"/>
      <c r="AV5238" s="1"/>
      <c r="AW5238" s="1"/>
      <c r="AX5238" s="1"/>
      <c r="AY5238" s="1"/>
      <c r="AZ5238" s="1"/>
      <c r="BA5238" s="1"/>
      <c r="BB5238" s="1"/>
    </row>
    <row r="5239" ht="204.75" customHeight="1">
      <c r="A5239" s="1">
        <v>2410.0</v>
      </c>
      <c r="B5239" s="2" t="s">
        <v>14544</v>
      </c>
      <c r="C5239" s="2">
        <f>IFERROR(__xludf.DUMMYFUNCTION("split(B5239,""_"")"),1501.0)</f>
        <v>1501</v>
      </c>
      <c r="D5239" s="2" t="str">
        <f>IFERROR(__xludf.DUMMYFUNCTION("""COMPUTED_VALUE"""),"TBS")</f>
        <v>TBS</v>
      </c>
      <c r="E5239" s="2" t="str">
        <f>IFERROR(__xludf.DUMMYFUNCTION("""COMPUTED_VALUE"""),"日21")</f>
        <v>日21</v>
      </c>
      <c r="F5239" s="2" t="s">
        <v>14545</v>
      </c>
      <c r="G5239" s="2" t="s">
        <v>14566</v>
      </c>
      <c r="H5239" s="1">
        <v>9.0</v>
      </c>
      <c r="I5239" s="1" t="s">
        <v>2896</v>
      </c>
      <c r="J5239" s="1" t="s">
        <v>11</v>
      </c>
      <c r="K5239" s="2" t="s">
        <v>14567</v>
      </c>
      <c r="L5239" s="2"/>
      <c r="M5239" s="2" t="str">
        <f>IFERROR(__xludf.DUMMYFUNCTION("split(split(K5239,""【"",false),""公式LINE"",false)"),"一雄（西島）は橋本（吉岡）に頼み、最後に美代子（井川）に会いに行く。二人は思い出の神社に向かい、気持ちをぶつけあう。美代子から初めて本音を聞いた一雄も“一緒に生きたかった”と本心を伝え心が通じ合う。幸せな二人を見ていたチュウさん（香川）は自分の残り少ない命を懸けてでも一雄を生かして欲しいと橋本に懇願するが。一雄がワゴンに戻ってくると健太は号泣していた。既にチュウさんは消えてしまっていた・・・。永田一雄…西島秀俊  永田忠雄…香川照之    永田美代子…井川 遥    永田智子…市川実和子  永田伸之…高橋"&amp;" 洋  千賀和哉…入江甚儀  古閑…町田啓太  橋本健太…高木星来  永田広樹…横山幸汰  幼少の一雄…佐藤詩音  幼少の智子…梅垣日向子  若き澄江…渡辺真起子    永田澄江…倍賞美津子    橋本義明…吉岡秀隆主題歌・サザンオールスターズ脚本・八津弘幸、演出・福澤克雄など、半沢直樹を手がけたスタッフが送る最新作！  乞うご期待！◇番組HP  http://www.tbs.co.jp/ryusei_wagon/  ◇ツイッター  https://twitter.com/ryuseiwagon_tbs "&amp;" @ryuseiwagon_tbs◇フェイスブック  https://www.facebook.com/ryuseiwagon.tbs  最後の分岐点に降り立つ一雄 チューさん流で家族を救おうと… #8『流星ワゴ ン』3/8ダイジェスト・予告動画公開しました！  http://youtu.be/YJiSQM5QKwo  番組の内容と放送時間は変更になる可能性があります。")</f>
        <v>一雄（西島）は橋本（吉岡）に頼み、最後に美代子（井川）に会いに行く。二人は思い出の神社に向かい、気持ちをぶつけあう。美代子から初めて本音を聞いた一雄も“一緒に生きたかった”と本心を伝え心が通じ合う。幸せな二人を見ていたチュウさん（香川）は自分の残り少ない命を懸けてでも一雄を生かして欲しいと橋本に懇願するが。一雄がワゴンに戻ってくると健太は号泣していた。既にチュウさんは消えてしまっていた・・・。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橋本義明…吉岡秀隆主題歌・サザンオールスターズ脚本・八津弘幸、演出・福澤克雄など、半沢直樹を手がけたスタッフが送る最新作！  乞うご期待！◇番組HP  http://www.tbs.co.jp/ryusei_wagon/  ◇ツイッター  https://twitter.com/ryuseiwagon_tbs  @ryuseiwagon_tbs◇フェイスブック  https://www.facebook.com/ryuseiwagon.tbs  最後の分岐点に降り立つ一雄 チューさん流で家族を救おうと… #8『流星ワゴ ン』3/8ダイジェスト・予告動画公開しました！  http://youtu.be/YJiSQM5QKwo  番組の内容と放送時間は変更になる可能性があります。</v>
      </c>
      <c r="N5239" s="2"/>
      <c r="O5239" s="2"/>
      <c r="P5239" s="1"/>
      <c r="Q5239" s="1"/>
      <c r="R5239" s="1"/>
      <c r="S5239" s="1"/>
      <c r="T5239" s="1"/>
      <c r="U5239" s="1"/>
      <c r="V5239" s="1"/>
      <c r="W5239" s="1"/>
      <c r="X5239" s="1"/>
      <c r="Y5239" s="1"/>
      <c r="Z5239" s="1"/>
      <c r="AA5239" s="1"/>
      <c r="AB5239" s="1"/>
      <c r="AC5239" s="1"/>
      <c r="AD5239" s="1"/>
      <c r="AE5239" s="1"/>
      <c r="AF5239" s="1"/>
      <c r="AG5239" s="1"/>
      <c r="AH5239" s="1"/>
      <c r="AI5239" s="1"/>
      <c r="AJ5239" s="1"/>
      <c r="AK5239" s="1"/>
      <c r="AL5239" s="1"/>
      <c r="AM5239" s="1"/>
      <c r="AN5239" s="1"/>
      <c r="AO5239" s="1"/>
      <c r="AP5239" s="1"/>
      <c r="AQ5239" s="1"/>
      <c r="AR5239" s="1"/>
      <c r="AS5239" s="1"/>
      <c r="AT5239" s="1"/>
      <c r="AU5239" s="1"/>
      <c r="AV5239" s="1"/>
      <c r="AW5239" s="1"/>
      <c r="AX5239" s="1"/>
      <c r="AY5239" s="1"/>
      <c r="AZ5239" s="1"/>
      <c r="BA5239" s="1"/>
      <c r="BB5239" s="1"/>
    </row>
    <row r="5240" ht="204.75" customHeight="1">
      <c r="A5240" s="1">
        <v>2411.0</v>
      </c>
      <c r="B5240" s="2" t="s">
        <v>14544</v>
      </c>
      <c r="C5240" s="2">
        <f>IFERROR(__xludf.DUMMYFUNCTION("split(B5240,""_"")"),1501.0)</f>
        <v>1501</v>
      </c>
      <c r="D5240" s="2" t="str">
        <f>IFERROR(__xludf.DUMMYFUNCTION("""COMPUTED_VALUE"""),"TBS")</f>
        <v>TBS</v>
      </c>
      <c r="E5240" s="2" t="str">
        <f>IFERROR(__xludf.DUMMYFUNCTION("""COMPUTED_VALUE"""),"日21")</f>
        <v>日21</v>
      </c>
      <c r="F5240" s="2" t="s">
        <v>14545</v>
      </c>
      <c r="G5240" s="2" t="s">
        <v>14568</v>
      </c>
      <c r="H5240" s="1">
        <v>10.0</v>
      </c>
      <c r="I5240" s="1" t="s">
        <v>2900</v>
      </c>
      <c r="J5240" s="1" t="s">
        <v>11</v>
      </c>
      <c r="K5240" s="2" t="s">
        <v>14569</v>
      </c>
      <c r="L5240" s="2"/>
      <c r="M5240" s="2" t="str">
        <f>IFERROR(__xludf.DUMMYFUNCTION("split(split(K5240,""【"",false),""公式LINE"",false)"),"一雄（西島）は消えたチュウさん（香川）を探しに橋本達（吉岡）と一緒に現在の福山へ。チュウさんは実家におり、チュウさん流のお好み焼き教わることに。そして体が弱ってきたチュウさんと最後の散歩に出かけるのであった。そこでチュウさんと「永遠の朋輩」の約束し、生きて行く決意をする。美代子（井川）とは運命を変えてでも再びやり直すことが出来るのか？現実の忠雄の運命は？そして一雄は生きているのか？涙のフィナーレ！永田一雄…西島秀俊  永田忠雄…香川照之    永田美代子…井川 遥    永田智子…市川実和子  永田伸之…"&amp;"高橋 洋  千賀和哉…入江甚儀  古閑…町田啓太  橋本健太…高木星来  永田広樹…横山幸汰  幼少の一雄…佐藤詩音  幼少の智子…梅垣日向子  若き澄江…渡辺真起子    永田澄江…倍賞美津子    橋本義明…吉岡秀隆主題歌・サザンオールスターズ脚本・八津弘幸、演出・福澤克雄など、半沢直樹を手がけたスタッフが送る最新作！  乞うご期待！◇番組HP  http://www.tbs.co.jp/ryusei_wagon/  ◇ツイッター  https://twitter.com/ryuseiwagon_tb"&amp;"s  @ryuseiwagon_tbs◇フェイスブック  https://www.facebook.com/ryuseiwagon.tbs  ワゴンの旅、完結へ…妻が初めて本音をぶつける…#9『流星ワゴ ン』3/15(日）ダ   イジェスト・最終話予告動画公開しました！")</f>
        <v>一雄（西島）は消えたチュウさん（香川）を探しに橋本達（吉岡）と一緒に現在の福山へ。チュウさんは実家におり、チュウさん流のお好み焼き教わることに。そして体が弱ってきたチュウさんと最後の散歩に出かけるのであった。そこでチュウさんと「永遠の朋輩」の約束し、生きて行く決意をする。美代子（井川）とは運命を変えてでも再びやり直すことが出来るのか？現実の忠雄の運命は？そして一雄は生きているのか？涙のフィナーレ！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橋本義明…吉岡秀隆主題歌・サザンオールスターズ脚本・八津弘幸、演出・福澤克雄など、半沢直樹を手がけたスタッフが送る最新作！  乞うご期待！◇番組HP  http://www.tbs.co.jp/ryusei_wagon/  ◇ツイッター  https://twitter.com/ryuseiwagon_tbs  @ryuseiwagon_tbs◇フェイスブック  https://www.facebook.com/ryuseiwagon.tbs  ワゴンの旅、完結へ…妻が初めて本音をぶつける…#9『流星ワゴ ン』3/15(日）ダ   イジェスト・最終話予告動画公開しました！</v>
      </c>
      <c r="N5240" s="2"/>
      <c r="O5240" s="2"/>
      <c r="P5240" s="1"/>
      <c r="Q5240" s="1"/>
      <c r="R5240" s="1"/>
      <c r="S5240" s="1"/>
      <c r="T5240" s="1"/>
      <c r="U5240" s="1"/>
      <c r="V5240" s="1"/>
      <c r="W5240" s="1"/>
      <c r="X5240" s="1"/>
      <c r="Y5240" s="1"/>
      <c r="Z5240" s="1"/>
      <c r="AA5240" s="1"/>
      <c r="AB5240" s="1"/>
      <c r="AC5240" s="1"/>
      <c r="AD5240" s="1"/>
      <c r="AE5240" s="1"/>
      <c r="AF5240" s="1"/>
      <c r="AG5240" s="1"/>
      <c r="AH5240" s="1"/>
      <c r="AI5240" s="1"/>
      <c r="AJ5240" s="1"/>
      <c r="AK5240" s="1"/>
      <c r="AL5240" s="1"/>
      <c r="AM5240" s="1"/>
      <c r="AN5240" s="1"/>
      <c r="AO5240" s="1"/>
      <c r="AP5240" s="1"/>
      <c r="AQ5240" s="1"/>
      <c r="AR5240" s="1"/>
      <c r="AS5240" s="1"/>
      <c r="AT5240" s="1"/>
      <c r="AU5240" s="1"/>
      <c r="AV5240" s="1"/>
      <c r="AW5240" s="1"/>
      <c r="AX5240" s="1"/>
      <c r="AY5240" s="1"/>
      <c r="AZ5240" s="1"/>
      <c r="BA5240" s="1"/>
      <c r="BB5240" s="1"/>
    </row>
    <row r="5241" ht="204.75" customHeight="1">
      <c r="A5241" s="1">
        <v>2412.0</v>
      </c>
      <c r="B5241" s="2" t="s">
        <v>14570</v>
      </c>
      <c r="C5241" s="2">
        <f>IFERROR(__xludf.DUMMYFUNCTION("split(B5241,""_"")"),1410.0)</f>
        <v>1410</v>
      </c>
      <c r="D5241" s="2" t="str">
        <f>IFERROR(__xludf.DUMMYFUNCTION("""COMPUTED_VALUE"""),"TBS")</f>
        <v>TBS</v>
      </c>
      <c r="E5241" s="2" t="str">
        <f>IFERROR(__xludf.DUMMYFUNCTION("""COMPUTED_VALUE"""),"月20")</f>
        <v>月20</v>
      </c>
      <c r="F5241" s="2" t="s">
        <v>14571</v>
      </c>
      <c r="G5241" s="2" t="s">
        <v>14572</v>
      </c>
      <c r="H5241" s="1">
        <v>1.0</v>
      </c>
      <c r="J5241" s="1" t="s">
        <v>2809</v>
      </c>
      <c r="K5241" s="2" t="s">
        <v>14573</v>
      </c>
      <c r="L5241" s="2"/>
      <c r="M5241" s="2" t="str">
        <f>IFERROR(__xludf.DUMMYFUNCTION("split(split(K5241,""【"",false),""公式LINE"",false)"),"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上司の命令で婚活パーティーに参加する事になった桜。その途中参加者の男性が突然変死してしまう。一緒にいた詩織(賀来千香子)が真っ先に疑われるが、直前に気になる"&amp;"詩織の声を聞いた桜には疑問が残る…水沢　桜：仲間　由紀恵    竹内　正人：佐藤　隆太  　　　　　　○  桐谷　祐：相島　一之  矢吹　薫：木野　花  遠藤　圭太：大野　拓朗  本島　利行：森岡　豊  梶原　三郎：駿河　太郎  水沢　楓：文音  　　　　　　○  水沢　ウメ：草笛　光子  五十嵐　恭子：高島　礼子      ")</f>
        <v>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上司の命令で婚活パーティーに参加する事になった桜。その途中参加者の男性が突然変死してしまう。一緒にいた詩織(賀来千香子)が真っ先に疑われるが、直前に気になる詩織の声を聞いた桜には疑問が残る…水沢　桜：仲間　由紀恵    竹内　正人：佐藤　隆太  　　　　　　○  桐谷　祐：相島　一之  矢吹　薫：木野　花  遠藤　圭太：大野　拓朗  本島　利行：森岡　豊  梶原　三郎：駿河　太郎  水沢　楓：文音  　　　　　　○  水沢　ウメ：草笛　光子  五十嵐　恭子：高島　礼子      </v>
      </c>
      <c r="N5241" s="2"/>
      <c r="O5241" s="2"/>
      <c r="P5241" s="1"/>
      <c r="Q5241" s="1"/>
      <c r="R5241" s="1"/>
      <c r="S5241" s="1"/>
      <c r="T5241" s="1"/>
      <c r="U5241" s="1"/>
      <c r="V5241" s="1"/>
      <c r="W5241" s="1"/>
      <c r="X5241" s="1"/>
      <c r="Y5241" s="1"/>
      <c r="Z5241" s="1"/>
      <c r="AA5241" s="1"/>
      <c r="AB5241" s="1"/>
      <c r="AC5241" s="1"/>
      <c r="AD5241" s="1"/>
      <c r="AE5241" s="1"/>
      <c r="AF5241" s="1"/>
      <c r="AG5241" s="1"/>
      <c r="AH5241" s="1"/>
      <c r="AI5241" s="1"/>
      <c r="AJ5241" s="1"/>
      <c r="AK5241" s="1"/>
      <c r="AL5241" s="1"/>
      <c r="AM5241" s="1"/>
      <c r="AN5241" s="1"/>
      <c r="AO5241" s="1"/>
      <c r="AP5241" s="1"/>
      <c r="AQ5241" s="1"/>
      <c r="AR5241" s="1"/>
      <c r="AS5241" s="1"/>
      <c r="AT5241" s="1"/>
      <c r="AU5241" s="1"/>
      <c r="AV5241" s="1"/>
      <c r="AW5241" s="1"/>
      <c r="AX5241" s="1"/>
      <c r="AY5241" s="1"/>
      <c r="AZ5241" s="1"/>
      <c r="BA5241" s="1"/>
      <c r="BB5241" s="1"/>
    </row>
    <row r="5242" ht="204.75" customHeight="1">
      <c r="A5242" s="1">
        <v>2413.0</v>
      </c>
      <c r="B5242" s="2" t="s">
        <v>14570</v>
      </c>
      <c r="C5242" s="2">
        <f>IFERROR(__xludf.DUMMYFUNCTION("split(B5242,""_"")"),1410.0)</f>
        <v>1410</v>
      </c>
      <c r="D5242" s="2" t="str">
        <f>IFERROR(__xludf.DUMMYFUNCTION("""COMPUTED_VALUE"""),"TBS")</f>
        <v>TBS</v>
      </c>
      <c r="E5242" s="2" t="str">
        <f>IFERROR(__xludf.DUMMYFUNCTION("""COMPUTED_VALUE"""),"月20")</f>
        <v>月20</v>
      </c>
      <c r="F5242" s="2" t="s">
        <v>14571</v>
      </c>
      <c r="G5242" s="2" t="s">
        <v>14574</v>
      </c>
      <c r="H5242" s="1">
        <v>2.0</v>
      </c>
      <c r="J5242" s="1" t="s">
        <v>7151</v>
      </c>
      <c r="K5242" s="2" t="s">
        <v>14575</v>
      </c>
      <c r="L5242" s="2"/>
      <c r="M5242" s="2" t="str">
        <f>IFERROR(__xludf.DUMMYFUNCTION("split(split(K5242,""【"",false),""公式LINE"",false)"),"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元に近所のゴミ屋敷に関するトラブルの相談が舞い込んでくる。薫(木野花)は気にも留めない様子だが、気になる桜は、ゴミ屋敷を訪問。そこに住む祥子(田中美里)"&amp;"の様子を見て、桜は疑問を持つがー水沢　桜：仲間　由紀恵    竹内　正人：佐藤　隆太  　　　　　　○  桐谷　祐：相島　一之  矢吹　薫：木野　花  遠藤　圭太：大野　拓朗  本島　利行：森岡　豊  梶原　三郎：駿河　太郎  水沢　楓：文音  　　　　　　○  水沢　ウメ：草笛　光子  五十嵐　恭子：高島　礼子　")</f>
        <v>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元に近所のゴミ屋敷に関するトラブルの相談が舞い込んでくる。薫(木野花)は気にも留めない様子だが、気になる桜は、ゴミ屋敷を訪問。そこに住む祥子(田中美里)の様子を見て、桜は疑問を持つがー水沢　桜：仲間　由紀恵    竹内　正人：佐藤　隆太  　　　　　　○  桐谷　祐：相島　一之  矢吹　薫：木野　花  遠藤　圭太：大野　拓朗  本島　利行：森岡　豊  梶原　三郎：駿河　太郎  水沢　楓：文音  　　　　　　○  水沢　ウメ：草笛　光子  五十嵐　恭子：高島　礼子　</v>
      </c>
      <c r="N5242" s="2"/>
      <c r="O5242" s="2"/>
      <c r="P5242" s="1"/>
      <c r="Q5242" s="1"/>
      <c r="R5242" s="1"/>
      <c r="S5242" s="1"/>
      <c r="T5242" s="1"/>
      <c r="U5242" s="1"/>
      <c r="V5242" s="1"/>
      <c r="W5242" s="1"/>
      <c r="X5242" s="1"/>
      <c r="Y5242" s="1"/>
      <c r="Z5242" s="1"/>
      <c r="AA5242" s="1"/>
      <c r="AB5242" s="1"/>
      <c r="AC5242" s="1"/>
      <c r="AD5242" s="1"/>
      <c r="AE5242" s="1"/>
      <c r="AF5242" s="1"/>
      <c r="AG5242" s="1"/>
      <c r="AH5242" s="1"/>
      <c r="AI5242" s="1"/>
      <c r="AJ5242" s="1"/>
      <c r="AK5242" s="1"/>
      <c r="AL5242" s="1"/>
      <c r="AM5242" s="1"/>
      <c r="AN5242" s="1"/>
      <c r="AO5242" s="1"/>
      <c r="AP5242" s="1"/>
      <c r="AQ5242" s="1"/>
      <c r="AR5242" s="1"/>
      <c r="AS5242" s="1"/>
      <c r="AT5242" s="1"/>
      <c r="AU5242" s="1"/>
      <c r="AV5242" s="1"/>
      <c r="AW5242" s="1"/>
      <c r="AX5242" s="1"/>
      <c r="AY5242" s="1"/>
      <c r="AZ5242" s="1"/>
      <c r="BA5242" s="1"/>
      <c r="BB5242" s="1"/>
    </row>
    <row r="5243" ht="204.75" customHeight="1">
      <c r="A5243" s="1">
        <v>2414.0</v>
      </c>
      <c r="B5243" s="2" t="s">
        <v>14570</v>
      </c>
      <c r="C5243" s="2">
        <f>IFERROR(__xludf.DUMMYFUNCTION("split(B5243,""_"")"),1410.0)</f>
        <v>1410</v>
      </c>
      <c r="D5243" s="2" t="str">
        <f>IFERROR(__xludf.DUMMYFUNCTION("""COMPUTED_VALUE"""),"TBS")</f>
        <v>TBS</v>
      </c>
      <c r="E5243" s="2" t="str">
        <f>IFERROR(__xludf.DUMMYFUNCTION("""COMPUTED_VALUE"""),"月20")</f>
        <v>月20</v>
      </c>
      <c r="F5243" s="2" t="s">
        <v>14571</v>
      </c>
      <c r="G5243" s="2" t="s">
        <v>14576</v>
      </c>
      <c r="H5243" s="1">
        <v>3.0</v>
      </c>
      <c r="J5243" s="1" t="s">
        <v>7151</v>
      </c>
      <c r="K5243" s="2" t="s">
        <v>14577</v>
      </c>
      <c r="L5243" s="2"/>
      <c r="M5243" s="2" t="str">
        <f>IFERROR(__xludf.DUMMYFUNCTION("split(split(K5243,""【"",false),""公式LINE"",false)"),"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もとに夫が事件か事故に巻き込まれているのでは、と松永文代（かとうかず子）からの相談が舞い込む。桜は文代の夫の再就職先へと訪問し、そこで気になる声を聞く。"&amp;"そんな時、文代の夫が遺体で見つかり…水沢　桜：仲間　由紀恵    竹内　正人：佐藤　隆太  　　　　　　○  桐谷　祐：相島　一之  矢吹　薫：木野　花  遠藤　圭太：大野　拓朗  本島　利行：森岡　豊  梶原　三郎：駿河　太郎  水沢　楓：文音  　　　　　　○  水沢　ウメ：草笛　光子  五十嵐　恭子：高島　礼子    ")</f>
        <v>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もとに夫が事件か事故に巻き込まれているのでは、と松永文代（かとうかず子）からの相談が舞い込む。桜は文代の夫の再就職先へと訪問し、そこで気になる声を聞く。そんな時、文代の夫が遺体で見つかり…水沢　桜：仲間　由紀恵    竹内　正人：佐藤　隆太  　　　　　　○  桐谷　祐：相島　一之  矢吹　薫：木野　花  遠藤　圭太：大野　拓朗  本島　利行：森岡　豊  梶原　三郎：駿河　太郎  水沢　楓：文音  　　　　　　○  水沢　ウメ：草笛　光子  五十嵐　恭子：高島　礼子    </v>
      </c>
      <c r="N5243" s="2"/>
      <c r="O5243" s="2"/>
      <c r="P5243" s="1"/>
      <c r="Q5243" s="1"/>
      <c r="R5243" s="1"/>
      <c r="S5243" s="1"/>
      <c r="T5243" s="1"/>
      <c r="U5243" s="1"/>
      <c r="V5243" s="1"/>
      <c r="W5243" s="1"/>
      <c r="X5243" s="1"/>
      <c r="Y5243" s="1"/>
      <c r="Z5243" s="1"/>
      <c r="AA5243" s="1"/>
      <c r="AB5243" s="1"/>
      <c r="AC5243" s="1"/>
      <c r="AD5243" s="1"/>
      <c r="AE5243" s="1"/>
      <c r="AF5243" s="1"/>
      <c r="AG5243" s="1"/>
      <c r="AH5243" s="1"/>
      <c r="AI5243" s="1"/>
      <c r="AJ5243" s="1"/>
      <c r="AK5243" s="1"/>
      <c r="AL5243" s="1"/>
      <c r="AM5243" s="1"/>
      <c r="AN5243" s="1"/>
      <c r="AO5243" s="1"/>
      <c r="AP5243" s="1"/>
      <c r="AQ5243" s="1"/>
      <c r="AR5243" s="1"/>
      <c r="AS5243" s="1"/>
      <c r="AT5243" s="1"/>
      <c r="AU5243" s="1"/>
      <c r="AV5243" s="1"/>
      <c r="AW5243" s="1"/>
      <c r="AX5243" s="1"/>
      <c r="AY5243" s="1"/>
      <c r="AZ5243" s="1"/>
      <c r="BA5243" s="1"/>
      <c r="BB5243" s="1"/>
    </row>
    <row r="5244" ht="204.75" customHeight="1">
      <c r="A5244" s="1">
        <v>2415.0</v>
      </c>
      <c r="B5244" s="2" t="s">
        <v>14570</v>
      </c>
      <c r="C5244" s="2">
        <f>IFERROR(__xludf.DUMMYFUNCTION("split(B5244,""_"")"),1410.0)</f>
        <v>1410</v>
      </c>
      <c r="D5244" s="2" t="str">
        <f>IFERROR(__xludf.DUMMYFUNCTION("""COMPUTED_VALUE"""),"TBS")</f>
        <v>TBS</v>
      </c>
      <c r="E5244" s="2" t="str">
        <f>IFERROR(__xludf.DUMMYFUNCTION("""COMPUTED_VALUE"""),"月20")</f>
        <v>月20</v>
      </c>
      <c r="F5244" s="2" t="s">
        <v>14571</v>
      </c>
      <c r="G5244" s="2" t="s">
        <v>14578</v>
      </c>
      <c r="H5244" s="1">
        <v>4.0</v>
      </c>
      <c r="I5244" s="1" t="s">
        <v>2880</v>
      </c>
      <c r="J5244" s="1" t="s">
        <v>7151</v>
      </c>
      <c r="K5244" s="2" t="s">
        <v>14579</v>
      </c>
      <c r="L5244" s="2"/>
      <c r="M5244" s="2" t="str">
        <f>IFERROR(__xludf.DUMMYFUNCTION("split(split(K5244,""【"",false),""公式LINE"",false)"),"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正人の恩人が遺体で発見される。正人の只ならぬ様子に桜は心配になる。実は、22年前、正人は両親を殺害されたという悲しい過去を持っていた。桜は事件の真相を探るべ"&amp;"く、温泉旅館に潜入を開始するがー水沢　桜：仲間　由紀恵    竹内　正人：佐藤　隆太  　　　　　　○  桐谷　祐：相島　一之  矢吹　薫：木野　花  遠藤　圭太：大野　拓朗  本島　利行：森岡　豊  梶原　三郎：駿河　太郎  水沢　楓：文音  　　　　　　○  水沢　ウメ：草笛　光子  五十嵐　恭子：高島　礼子    ")</f>
        <v>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正人の恩人が遺体で発見される。正人の只ならぬ様子に桜は心配になる。実は、22年前、正人は両親を殺害されたという悲しい過去を持っていた。桜は事件の真相を探るべく、温泉旅館に潜入を開始するがー水沢　桜：仲間　由紀恵    竹内　正人：佐藤　隆太  　　　　　　○  桐谷　祐：相島　一之  矢吹　薫：木野　花  遠藤　圭太：大野　拓朗  本島　利行：森岡　豊  梶原　三郎：駿河　太郎  水沢　楓：文音  　　　　　　○  水沢　ウメ：草笛　光子  五十嵐　恭子：高島　礼子    </v>
      </c>
      <c r="N5244" s="2"/>
      <c r="O5244" s="2"/>
      <c r="P5244" s="1"/>
      <c r="Q5244" s="1"/>
      <c r="R5244" s="1"/>
      <c r="S5244" s="1"/>
      <c r="T5244" s="1"/>
      <c r="U5244" s="1"/>
      <c r="V5244" s="1"/>
      <c r="W5244" s="1"/>
      <c r="X5244" s="1"/>
      <c r="Y5244" s="1"/>
      <c r="Z5244" s="1"/>
      <c r="AA5244" s="1"/>
      <c r="AB5244" s="1"/>
      <c r="AC5244" s="1"/>
      <c r="AD5244" s="1"/>
      <c r="AE5244" s="1"/>
      <c r="AF5244" s="1"/>
      <c r="AG5244" s="1"/>
      <c r="AH5244" s="1"/>
      <c r="AI5244" s="1"/>
      <c r="AJ5244" s="1"/>
      <c r="AK5244" s="1"/>
      <c r="AL5244" s="1"/>
      <c r="AM5244" s="1"/>
      <c r="AN5244" s="1"/>
      <c r="AO5244" s="1"/>
      <c r="AP5244" s="1"/>
      <c r="AQ5244" s="1"/>
      <c r="AR5244" s="1"/>
      <c r="AS5244" s="1"/>
      <c r="AT5244" s="1"/>
      <c r="AU5244" s="1"/>
      <c r="AV5244" s="1"/>
      <c r="AW5244" s="1"/>
      <c r="AX5244" s="1"/>
      <c r="AY5244" s="1"/>
      <c r="AZ5244" s="1"/>
      <c r="BA5244" s="1"/>
      <c r="BB5244" s="1"/>
    </row>
    <row r="5245" ht="204.75" customHeight="1">
      <c r="A5245" s="1">
        <v>2416.0</v>
      </c>
      <c r="B5245" s="2" t="s">
        <v>14570</v>
      </c>
      <c r="C5245" s="2">
        <f>IFERROR(__xludf.DUMMYFUNCTION("split(B5245,""_"")"),1410.0)</f>
        <v>1410</v>
      </c>
      <c r="D5245" s="2" t="str">
        <f>IFERROR(__xludf.DUMMYFUNCTION("""COMPUTED_VALUE"""),"TBS")</f>
        <v>TBS</v>
      </c>
      <c r="E5245" s="2" t="str">
        <f>IFERROR(__xludf.DUMMYFUNCTION("""COMPUTED_VALUE"""),"月20")</f>
        <v>月20</v>
      </c>
      <c r="F5245" s="2" t="s">
        <v>14571</v>
      </c>
      <c r="G5245" s="2" t="s">
        <v>14580</v>
      </c>
      <c r="H5245" s="1">
        <v>5.0</v>
      </c>
      <c r="I5245" s="1" t="s">
        <v>2884</v>
      </c>
      <c r="J5245" s="1" t="s">
        <v>7151</v>
      </c>
      <c r="K5245" s="2" t="s">
        <v>14581</v>
      </c>
      <c r="L5245" s="2"/>
      <c r="M5245" s="2" t="str">
        <f>IFERROR(__xludf.DUMMYFUNCTION("split(split(K5245,""【"",false),""公式LINE"",false)"),"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元に「喧嘩の声がうるさい」という苦情が入る。気になった桜はトラブル元の老舗和菓子屋を訪問し、義弟と息子の喧嘩に困惑しているトミ（松原智恵子）に出会う。数"&amp;"日後、トミの義弟が遺体で発見され…水沢　桜：仲間　由紀恵    竹内　正人：佐藤　隆太  　　　　　　○  桐谷　祐：相島　一之  矢吹　薫：木野　花  遠藤　圭太：大野　拓朗  本島　利行：森岡　豊  梶原　三郎：駿河　太郎  水沢　楓：文音  　　　　　　○  水沢　ウメ：草笛　光子  五十嵐　恭子：高島　礼子")</f>
        <v>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元に「喧嘩の声がうるさい」という苦情が入る。気になった桜はトラブル元の老舗和菓子屋を訪問し、義弟と息子の喧嘩に困惑しているトミ（松原智恵子）に出会う。数日後、トミの義弟が遺体で発見され…水沢　桜：仲間　由紀恵    竹内　正人：佐藤　隆太  　　　　　　○  桐谷　祐：相島　一之  矢吹　薫：木野　花  遠藤　圭太：大野　拓朗  本島　利行：森岡　豊  梶原　三郎：駿河　太郎  水沢　楓：文音  　　　　　　○  水沢　ウメ：草笛　光子  五十嵐　恭子：高島　礼子</v>
      </c>
      <c r="N5245" s="2"/>
      <c r="O5245" s="2"/>
      <c r="P5245" s="1"/>
      <c r="Q5245" s="1"/>
      <c r="R5245" s="1"/>
      <c r="S5245" s="1"/>
      <c r="T5245" s="1"/>
      <c r="U5245" s="1"/>
      <c r="V5245" s="1"/>
      <c r="W5245" s="1"/>
      <c r="X5245" s="1"/>
      <c r="Y5245" s="1"/>
      <c r="Z5245" s="1"/>
      <c r="AA5245" s="1"/>
      <c r="AB5245" s="1"/>
      <c r="AC5245" s="1"/>
      <c r="AD5245" s="1"/>
      <c r="AE5245" s="1"/>
      <c r="AF5245" s="1"/>
      <c r="AG5245" s="1"/>
      <c r="AH5245" s="1"/>
      <c r="AI5245" s="1"/>
      <c r="AJ5245" s="1"/>
      <c r="AK5245" s="1"/>
      <c r="AL5245" s="1"/>
      <c r="AM5245" s="1"/>
      <c r="AN5245" s="1"/>
      <c r="AO5245" s="1"/>
      <c r="AP5245" s="1"/>
      <c r="AQ5245" s="1"/>
      <c r="AR5245" s="1"/>
      <c r="AS5245" s="1"/>
      <c r="AT5245" s="1"/>
      <c r="AU5245" s="1"/>
      <c r="AV5245" s="1"/>
      <c r="AW5245" s="1"/>
      <c r="AX5245" s="1"/>
      <c r="AY5245" s="1"/>
      <c r="AZ5245" s="1"/>
      <c r="BA5245" s="1"/>
      <c r="BB5245" s="1"/>
    </row>
    <row r="5246" ht="204.75" customHeight="1">
      <c r="A5246" s="1">
        <v>2417.0</v>
      </c>
      <c r="B5246" s="2" t="s">
        <v>14570</v>
      </c>
      <c r="C5246" s="2">
        <f>IFERROR(__xludf.DUMMYFUNCTION("split(B5246,""_"")"),1410.0)</f>
        <v>1410</v>
      </c>
      <c r="D5246" s="2" t="str">
        <f>IFERROR(__xludf.DUMMYFUNCTION("""COMPUTED_VALUE"""),"TBS")</f>
        <v>TBS</v>
      </c>
      <c r="E5246" s="2" t="str">
        <f>IFERROR(__xludf.DUMMYFUNCTION("""COMPUTED_VALUE"""),"月20")</f>
        <v>月20</v>
      </c>
      <c r="F5246" s="2" t="s">
        <v>14571</v>
      </c>
      <c r="G5246" s="2" t="s">
        <v>14582</v>
      </c>
      <c r="H5246" s="1">
        <v>6.0</v>
      </c>
      <c r="J5246" s="1" t="s">
        <v>7151</v>
      </c>
      <c r="K5246" s="2" t="s">
        <v>14583</v>
      </c>
      <c r="L5246" s="2"/>
      <c r="M5246" s="2" t="str">
        <f>IFERROR(__xludf.DUMMYFUNCTION("split(split(K5246,""【"",false),""公式LINE"",false)"),"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元に久美子（多岐川裕美）から夫・泰明が失踪したという相談が入る。最近、悪質な不動産詐欺にあった泰明は何か思いつめている様子だったという。気になった桜は泰"&amp;"明が通っていた囲碁サロンに潜入し…水沢　桜：仲間　由紀恵    竹内　正人：佐藤　隆太  　　　　　　○  桐谷　祐：相島　一之  矢吹　薫：木野　花  遠藤　圭太：大野　拓朗  本島　利行：森岡　豊  梶原　三郎：駿河　太郎  水沢　楓：文音  　　　　　　○  水沢　ウメ：草笛　光子  五十嵐　恭子：高島　礼子    ")</f>
        <v>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元に久美子（多岐川裕美）から夫・泰明が失踪したという相談が入る。最近、悪質な不動産詐欺にあった泰明は何か思いつめている様子だったという。気になった桜は泰明が通っていた囲碁サロンに潜入し…水沢　桜：仲間　由紀恵    竹内　正人：佐藤　隆太  　　　　　　○  桐谷　祐：相島　一之  矢吹　薫：木野　花  遠藤　圭太：大野　拓朗  本島　利行：森岡　豊  梶原　三郎：駿河　太郎  水沢　楓：文音  　　　　　　○  水沢　ウメ：草笛　光子  五十嵐　恭子：高島　礼子    </v>
      </c>
      <c r="N5246" s="2"/>
      <c r="O5246" s="2"/>
      <c r="P5246" s="1"/>
      <c r="Q5246" s="1"/>
      <c r="R5246" s="1"/>
      <c r="S5246" s="1"/>
      <c r="T5246" s="1"/>
      <c r="U5246" s="1"/>
      <c r="V5246" s="1"/>
      <c r="W5246" s="1"/>
      <c r="X5246" s="1"/>
      <c r="Y5246" s="1"/>
      <c r="Z5246" s="1"/>
      <c r="AA5246" s="1"/>
      <c r="AB5246" s="1"/>
      <c r="AC5246" s="1"/>
      <c r="AD5246" s="1"/>
      <c r="AE5246" s="1"/>
      <c r="AF5246" s="1"/>
      <c r="AG5246" s="1"/>
      <c r="AH5246" s="1"/>
      <c r="AI5246" s="1"/>
      <c r="AJ5246" s="1"/>
      <c r="AK5246" s="1"/>
      <c r="AL5246" s="1"/>
      <c r="AM5246" s="1"/>
      <c r="AN5246" s="1"/>
      <c r="AO5246" s="1"/>
      <c r="AP5246" s="1"/>
      <c r="AQ5246" s="1"/>
      <c r="AR5246" s="1"/>
      <c r="AS5246" s="1"/>
      <c r="AT5246" s="1"/>
      <c r="AU5246" s="1"/>
      <c r="AV5246" s="1"/>
      <c r="AW5246" s="1"/>
      <c r="AX5246" s="1"/>
      <c r="AY5246" s="1"/>
      <c r="AZ5246" s="1"/>
      <c r="BA5246" s="1"/>
      <c r="BB5246" s="1"/>
    </row>
    <row r="5247" ht="204.75" customHeight="1">
      <c r="A5247" s="1">
        <v>2418.0</v>
      </c>
      <c r="B5247" s="2" t="s">
        <v>14570</v>
      </c>
      <c r="C5247" s="2">
        <f>IFERROR(__xludf.DUMMYFUNCTION("split(B5247,""_"")"),1410.0)</f>
        <v>1410</v>
      </c>
      <c r="D5247" s="2" t="str">
        <f>IFERROR(__xludf.DUMMYFUNCTION("""COMPUTED_VALUE"""),"TBS")</f>
        <v>TBS</v>
      </c>
      <c r="E5247" s="2" t="str">
        <f>IFERROR(__xludf.DUMMYFUNCTION("""COMPUTED_VALUE"""),"月20")</f>
        <v>月20</v>
      </c>
      <c r="F5247" s="2" t="s">
        <v>14571</v>
      </c>
      <c r="G5247" s="2" t="s">
        <v>14584</v>
      </c>
      <c r="H5247" s="1">
        <v>7.0</v>
      </c>
      <c r="I5247" s="1" t="s">
        <v>2892</v>
      </c>
      <c r="J5247" s="1" t="s">
        <v>7151</v>
      </c>
      <c r="K5247" s="2" t="s">
        <v>14585</v>
      </c>
      <c r="L5247" s="2"/>
      <c r="M5247" s="2" t="str">
        <f>IFERROR(__xludf.DUMMYFUNCTION("split(split(K5247,""【"",false),""公式LINE"",false)"),"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元にストーカーの相談が舞い込む。怯える相談者・真由（中村映里子）に付き添い自宅まで送る桜。そこで彼女を匿う女性・茜（三浦理恵子）に出会う。そしてストーカ"&amp;"ーの魔の手が再び真由に襲いかかり…水沢　桜：仲間　由紀恵    竹内　正人：佐藤　隆太  　　　　　　○  桐谷　祐：相島　一之  矢吹　薫：木野　花  遠藤　圭太：大野　拓朗  本島　利行：森岡　豊  梶原　三郎：駿河　太郎  水沢　楓：文音  　　　　　　○  水沢　ウメ：草笛　光子  五十嵐　恭子：高島　礼子  ")</f>
        <v>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元にストーカーの相談が舞い込む。怯える相談者・真由（中村映里子）に付き添い自宅まで送る桜。そこで彼女を匿う女性・茜（三浦理恵子）に出会う。そしてストーカーの魔の手が再び真由に襲いかかり…水沢　桜：仲間　由紀恵    竹内　正人：佐藤　隆太  　　　　　　○  桐谷　祐：相島　一之  矢吹　薫：木野　花  遠藤　圭太：大野　拓朗  本島　利行：森岡　豊  梶原　三郎：駿河　太郎  水沢　楓：文音  　　　　　　○  水沢　ウメ：草笛　光子  五十嵐　恭子：高島　礼子  </v>
      </c>
      <c r="N5247" s="2"/>
      <c r="O5247" s="2"/>
      <c r="P5247" s="1"/>
      <c r="Q5247" s="1"/>
      <c r="R5247" s="1"/>
      <c r="S5247" s="1"/>
      <c r="T5247" s="1"/>
      <c r="U5247" s="1"/>
      <c r="V5247" s="1"/>
      <c r="W5247" s="1"/>
      <c r="X5247" s="1"/>
      <c r="Y5247" s="1"/>
      <c r="Z5247" s="1"/>
      <c r="AA5247" s="1"/>
      <c r="AB5247" s="1"/>
      <c r="AC5247" s="1"/>
      <c r="AD5247" s="1"/>
      <c r="AE5247" s="1"/>
      <c r="AF5247" s="1"/>
      <c r="AG5247" s="1"/>
      <c r="AH5247" s="1"/>
      <c r="AI5247" s="1"/>
      <c r="AJ5247" s="1"/>
      <c r="AK5247" s="1"/>
      <c r="AL5247" s="1"/>
      <c r="AM5247" s="1"/>
      <c r="AN5247" s="1"/>
      <c r="AO5247" s="1"/>
      <c r="AP5247" s="1"/>
      <c r="AQ5247" s="1"/>
      <c r="AR5247" s="1"/>
      <c r="AS5247" s="1"/>
      <c r="AT5247" s="1"/>
      <c r="AU5247" s="1"/>
      <c r="AV5247" s="1"/>
      <c r="AW5247" s="1"/>
      <c r="AX5247" s="1"/>
      <c r="AY5247" s="1"/>
      <c r="AZ5247" s="1"/>
      <c r="BA5247" s="1"/>
      <c r="BB5247" s="1"/>
    </row>
    <row r="5248" ht="204.75" customHeight="1">
      <c r="A5248" s="1">
        <v>2419.0</v>
      </c>
      <c r="B5248" s="2" t="s">
        <v>14570</v>
      </c>
      <c r="C5248" s="2">
        <f>IFERROR(__xludf.DUMMYFUNCTION("split(B5248,""_"")"),1410.0)</f>
        <v>1410</v>
      </c>
      <c r="D5248" s="2" t="str">
        <f>IFERROR(__xludf.DUMMYFUNCTION("""COMPUTED_VALUE"""),"TBS")</f>
        <v>TBS</v>
      </c>
      <c r="E5248" s="2" t="str">
        <f>IFERROR(__xludf.DUMMYFUNCTION("""COMPUTED_VALUE"""),"月20")</f>
        <v>月20</v>
      </c>
      <c r="F5248" s="2" t="s">
        <v>14571</v>
      </c>
      <c r="G5248" s="2" t="s">
        <v>14586</v>
      </c>
      <c r="H5248" s="1">
        <v>8.0</v>
      </c>
      <c r="I5248" s="1" t="s">
        <v>2896</v>
      </c>
      <c r="J5248" s="1" t="s">
        <v>7151</v>
      </c>
      <c r="K5248" s="2" t="s">
        <v>14587</v>
      </c>
      <c r="L5248" s="2"/>
      <c r="M5248" s="2" t="str">
        <f>IFERROR(__xludf.DUMMYFUNCTION("split(split(K5248,""【"",false),""公式LINE"",false)"),"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食肉会社に勤務する女性が遺体で発見される。その女性は10年前に起こった放火殺人事件の容疑者の娘だった。今回の事件と10年前の事件が関係していると感じた桜は食"&amp;"肉会社に極秘潜入する！水沢　桜：仲間　由紀恵    竹内　正人：佐藤　隆太  　　　　　　○  桐谷　祐：相島　一之  矢吹　薫：木野　花  遠藤　圭太：大野　拓朗  本島　利行：森岡　豊  梶原　三郎：駿河　太郎  水沢　楓：文音  　　　　　　○  水沢　ウメ：草笛　光子  五十嵐　恭子：高島　礼子")</f>
        <v>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食肉会社に勤務する女性が遺体で発見される。その女性は10年前に起こった放火殺人事件の容疑者の娘だった。今回の事件と10年前の事件が関係していると感じた桜は食肉会社に極秘潜入する！水沢　桜：仲間　由紀恵    竹内　正人：佐藤　隆太  　　　　　　○  桐谷　祐：相島　一之  矢吹　薫：木野　花  遠藤　圭太：大野　拓朗  本島　利行：森岡　豊  梶原　三郎：駿河　太郎  水沢　楓：文音  　　　　　　○  水沢　ウメ：草笛　光子  五十嵐　恭子：高島　礼子</v>
      </c>
      <c r="N5248" s="2"/>
      <c r="O5248" s="2"/>
      <c r="P5248" s="1"/>
      <c r="Q5248" s="1"/>
      <c r="R5248" s="1"/>
      <c r="S5248" s="1"/>
      <c r="T5248" s="1"/>
      <c r="U5248" s="1"/>
      <c r="V5248" s="1"/>
      <c r="W5248" s="1"/>
      <c r="X5248" s="1"/>
      <c r="Y5248" s="1"/>
      <c r="Z5248" s="1"/>
      <c r="AA5248" s="1"/>
      <c r="AB5248" s="1"/>
      <c r="AC5248" s="1"/>
      <c r="AD5248" s="1"/>
      <c r="AE5248" s="1"/>
      <c r="AF5248" s="1"/>
      <c r="AG5248" s="1"/>
      <c r="AH5248" s="1"/>
      <c r="AI5248" s="1"/>
      <c r="AJ5248" s="1"/>
      <c r="AK5248" s="1"/>
      <c r="AL5248" s="1"/>
      <c r="AM5248" s="1"/>
      <c r="AN5248" s="1"/>
      <c r="AO5248" s="1"/>
      <c r="AP5248" s="1"/>
      <c r="AQ5248" s="1"/>
      <c r="AR5248" s="1"/>
      <c r="AS5248" s="1"/>
      <c r="AT5248" s="1"/>
      <c r="AU5248" s="1"/>
      <c r="AV5248" s="1"/>
      <c r="AW5248" s="1"/>
      <c r="AX5248" s="1"/>
      <c r="AY5248" s="1"/>
      <c r="AZ5248" s="1"/>
      <c r="BA5248" s="1"/>
      <c r="BB5248" s="1"/>
    </row>
    <row r="5249" ht="204.75" customHeight="1">
      <c r="A5249" s="1">
        <v>2420.0</v>
      </c>
      <c r="B5249" s="2" t="s">
        <v>14570</v>
      </c>
      <c r="C5249" s="2">
        <f>IFERROR(__xludf.DUMMYFUNCTION("split(B5249,""_"")"),1410.0)</f>
        <v>1410</v>
      </c>
      <c r="D5249" s="2" t="str">
        <f>IFERROR(__xludf.DUMMYFUNCTION("""COMPUTED_VALUE"""),"TBS")</f>
        <v>TBS</v>
      </c>
      <c r="E5249" s="2" t="str">
        <f>IFERROR(__xludf.DUMMYFUNCTION("""COMPUTED_VALUE"""),"月20")</f>
        <v>月20</v>
      </c>
      <c r="F5249" s="2" t="s">
        <v>14571</v>
      </c>
      <c r="G5249" s="2" t="s">
        <v>14588</v>
      </c>
      <c r="H5249" s="1">
        <v>9.0</v>
      </c>
      <c r="J5249" s="1" t="s">
        <v>7151</v>
      </c>
      <c r="K5249" s="2" t="s">
        <v>14589</v>
      </c>
      <c r="L5249" s="2"/>
      <c r="M5249" s="2" t="str">
        <f>IFERROR(__xludf.DUMMYFUNCTION("split(split(K5249,""【"",false),""公式LINE"",false)"),"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知り合いの建設会社社長が殺される。容疑者として任意同行されたのは出所したばかりの男・工藤（高岡奏輔）だった。工藤が殺人なんてするはずがないと言う妻の声が"&amp;"気になる桜は工務店に潜入する。水沢　桜：仲間　由紀恵    竹内　正人：佐藤　隆太  　　　　　　○  桐谷　祐：相島　一之  矢吹　薫：木野　花  遠藤　圭太：大野　拓朗  本島　利行：森岡　豊  梶原　三郎：駿河　太郎  水沢　楓：文音  　　　　　　○  水沢　ウメ：草笛　光子  五十嵐　恭子：高島　礼子    ")</f>
        <v>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知り合いの建設会社社長が殺される。容疑者として任意同行されたのは出所したばかりの男・工藤（高岡奏輔）だった。工藤が殺人なんてするはずがないと言う妻の声が気になる桜は工務店に潜入する。水沢　桜：仲間　由紀恵    竹内　正人：佐藤　隆太  　　　　　　○  桐谷　祐：相島　一之  矢吹　薫：木野　花  遠藤　圭太：大野　拓朗  本島　利行：森岡　豊  梶原　三郎：駿河　太郎  水沢　楓：文音  　　　　　　○  水沢　ウメ：草笛　光子  五十嵐　恭子：高島　礼子    </v>
      </c>
      <c r="N5249" s="2"/>
      <c r="O5249" s="2"/>
      <c r="P5249" s="1"/>
      <c r="Q5249" s="1"/>
      <c r="R5249" s="1"/>
      <c r="S5249" s="1"/>
      <c r="T5249" s="1"/>
      <c r="U5249" s="1"/>
      <c r="V5249" s="1"/>
      <c r="W5249" s="1"/>
      <c r="X5249" s="1"/>
      <c r="Y5249" s="1"/>
      <c r="Z5249" s="1"/>
      <c r="AA5249" s="1"/>
      <c r="AB5249" s="1"/>
      <c r="AC5249" s="1"/>
      <c r="AD5249" s="1"/>
      <c r="AE5249" s="1"/>
      <c r="AF5249" s="1"/>
      <c r="AG5249" s="1"/>
      <c r="AH5249" s="1"/>
      <c r="AI5249" s="1"/>
      <c r="AJ5249" s="1"/>
      <c r="AK5249" s="1"/>
      <c r="AL5249" s="1"/>
      <c r="AM5249" s="1"/>
      <c r="AN5249" s="1"/>
      <c r="AO5249" s="1"/>
      <c r="AP5249" s="1"/>
      <c r="AQ5249" s="1"/>
      <c r="AR5249" s="1"/>
      <c r="AS5249" s="1"/>
      <c r="AT5249" s="1"/>
      <c r="AU5249" s="1"/>
      <c r="AV5249" s="1"/>
      <c r="AW5249" s="1"/>
      <c r="AX5249" s="1"/>
      <c r="AY5249" s="1"/>
      <c r="AZ5249" s="1"/>
      <c r="BA5249" s="1"/>
      <c r="BB5249" s="1"/>
    </row>
    <row r="5250" ht="204.75" customHeight="1">
      <c r="A5250" s="1">
        <v>2421.0</v>
      </c>
      <c r="B5250" s="2" t="s">
        <v>14570</v>
      </c>
      <c r="C5250" s="2">
        <f>IFERROR(__xludf.DUMMYFUNCTION("split(B5250,""_"")"),1410.0)</f>
        <v>1410</v>
      </c>
      <c r="D5250" s="2" t="str">
        <f>IFERROR(__xludf.DUMMYFUNCTION("""COMPUTED_VALUE"""),"TBS")</f>
        <v>TBS</v>
      </c>
      <c r="E5250" s="2" t="str">
        <f>IFERROR(__xludf.DUMMYFUNCTION("""COMPUTED_VALUE"""),"月20")</f>
        <v>月20</v>
      </c>
      <c r="F5250" s="2" t="s">
        <v>14571</v>
      </c>
      <c r="G5250" s="2" t="s">
        <v>14590</v>
      </c>
      <c r="H5250" s="1">
        <v>10.0</v>
      </c>
      <c r="J5250" s="1" t="s">
        <v>2809</v>
      </c>
      <c r="K5250" s="2" t="s">
        <v>14591</v>
      </c>
      <c r="L5250" s="2"/>
      <c r="M5250" s="2" t="str">
        <f>IFERROR(__xludf.DUMMYFUNCTION("split(split(K5250,""【"",false),""公式LINE"",false)"),"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工藤（高岡奏輔）が何者かに殺害された。工藤の死に高瀬久美子（筒井真理子）が関わっているのではないかと疑う桜は久美子がオーナーを務める銀座クラブに潜入開始する。そこで"&amp;"桜は気になる声を聞くー。水沢　桜：仲間　由紀恵    竹内　正人：佐藤　隆太  　　　　　　○  桐谷　祐：相島　一之  矢吹　薫：木野　花  遠藤　圭太：大野　拓朗  本島　利行：森岡　豊  梶原　三郎：駿河　太郎  水沢　楓：文音  　　　　　　○  水沢　ウメ：草笛　光子  五十嵐　恭子：高島　礼子    ")</f>
        <v>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工藤（高岡奏輔）が何者かに殺害された。工藤の死に高瀬久美子（筒井真理子）が関わっているのではないかと疑う桜は久美子がオーナーを務める銀座クラブに潜入開始する。そこで桜は気になる声を聞くー。水沢　桜：仲間　由紀恵    竹内　正人：佐藤　隆太  　　　　　　○  桐谷　祐：相島　一之  矢吹　薫：木野　花  遠藤　圭太：大野　拓朗  本島　利行：森岡　豊  梶原　三郎：駿河　太郎  水沢　楓：文音  　　　　　　○  水沢　ウメ：草笛　光子  五十嵐　恭子：高島　礼子    </v>
      </c>
      <c r="N5250" s="2"/>
      <c r="O5250" s="2"/>
      <c r="P5250" s="1"/>
      <c r="Q5250" s="1"/>
      <c r="R5250" s="1"/>
      <c r="S5250" s="1"/>
      <c r="T5250" s="1"/>
      <c r="U5250" s="1"/>
      <c r="V5250" s="1"/>
      <c r="W5250" s="1"/>
      <c r="X5250" s="1"/>
      <c r="Y5250" s="1"/>
      <c r="Z5250" s="1"/>
      <c r="AA5250" s="1"/>
      <c r="AB5250" s="1"/>
      <c r="AC5250" s="1"/>
      <c r="AD5250" s="1"/>
      <c r="AE5250" s="1"/>
      <c r="AF5250" s="1"/>
      <c r="AG5250" s="1"/>
      <c r="AH5250" s="1"/>
      <c r="AI5250" s="1"/>
      <c r="AJ5250" s="1"/>
      <c r="AK5250" s="1"/>
      <c r="AL5250" s="1"/>
      <c r="AM5250" s="1"/>
      <c r="AN5250" s="1"/>
      <c r="AO5250" s="1"/>
      <c r="AP5250" s="1"/>
      <c r="AQ5250" s="1"/>
      <c r="AR5250" s="1"/>
      <c r="AS5250" s="1"/>
      <c r="AT5250" s="1"/>
      <c r="AU5250" s="1"/>
      <c r="AV5250" s="1"/>
      <c r="AW5250" s="1"/>
      <c r="AX5250" s="1"/>
      <c r="AY5250" s="1"/>
      <c r="AZ5250" s="1"/>
      <c r="BA5250" s="1"/>
      <c r="BB5250" s="1"/>
    </row>
    <row r="5251" ht="204.75" customHeight="1">
      <c r="A5251" s="1">
        <v>2453.0</v>
      </c>
      <c r="B5251" s="2" t="s">
        <v>14592</v>
      </c>
      <c r="C5251" s="2">
        <f>IFERROR(__xludf.DUMMYFUNCTION("split(B5251,""_"")"),1410.0)</f>
        <v>1410</v>
      </c>
      <c r="D5251" s="2" t="str">
        <f>IFERROR(__xludf.DUMMYFUNCTION("""COMPUTED_VALUE"""),"TBS")</f>
        <v>TBS</v>
      </c>
      <c r="E5251" s="2" t="str">
        <f>IFERROR(__xludf.DUMMYFUNCTION("""COMPUTED_VALUE"""),"火22")</f>
        <v>火22</v>
      </c>
      <c r="F5251" s="2" t="s">
        <v>14593</v>
      </c>
      <c r="G5251" s="2" t="s">
        <v>14594</v>
      </c>
      <c r="H5251" s="1">
        <v>1.0</v>
      </c>
      <c r="J5251" s="1" t="s">
        <v>82</v>
      </c>
      <c r="K5251" s="2" t="s">
        <v>14595</v>
      </c>
      <c r="L5251" s="2"/>
      <c r="M5251" s="2" t="str">
        <f>IFERROR(__xludf.DUMMYFUNCTION("split(split(K5251,""【"",false),""公式LINE"",false)"),"岩崎麗（深田恭子）は初の裁判で失敗してしまい、弁護士を辞めてしまう。一方、大手の事務所に所属するエリート弁護士・海老沢凛香（寺島しのぶ）は、グレーな手段を使ったことが問題となり、弁護士会を追われてしまう。そんな二人はマチベンの忠守藤次郎（上川隆也）の気まぐれな提案から、バディを組むことになる。初めての依頼人は、マタニティハラスメントを受けた女性。果たして彼女たちは救世主になるのか！？岩崎麗：深田恭子  海老沢凛香：寺島しのぶ  滝口泰輔：溝端淳平  工藤誠司：吉沢悠  葛城雄二：加藤雅也  児玉義勝：竹中"&amp;"直人  蝶野薫：松重豊  忠守藤次郎：上川隆也    野田さやか：中越典子  三枝百合子：清水美沙  篠田秀雄：三浦浩一主題歌：いきものがかり『GOLDEN GIRL』（エピックレコードジャパン）監督：滝本健吾　脚本：高橋泉、清水友佳子◇番組HP http://www.tbs.co.jp/yurusanai2014/  2分まとめ！深田恭子・寺島しのぶ最強弁護士タッグ！10月21日（火）スタート『女はそれを許さない』動画公開しました！  http://youtu.be/Qe8L7exeSvQ  番組の内容"&amp;"と放送時間は変更になる可能性があります。")</f>
        <v>岩崎麗（深田恭子）は初の裁判で失敗してしまい、弁護士を辞めてしまう。一方、大手の事務所に所属するエリート弁護士・海老沢凛香（寺島しのぶ）は、グレーな手段を使ったことが問題となり、弁護士会を追われてしまう。そんな二人はマチベンの忠守藤次郎（上川隆也）の気まぐれな提案から、バディを組むことになる。初めての依頼人は、マタニティハラスメントを受けた女性。果たして彼女たちは救世主になるのか！？岩崎麗：深田恭子  海老沢凛香：寺島しのぶ  滝口泰輔：溝端淳平  工藤誠司：吉沢悠  葛城雄二：加藤雅也  児玉義勝：竹中直人  蝶野薫：松重豊  忠守藤次郎：上川隆也    野田さやか：中越典子  三枝百合子：清水美沙  篠田秀雄：三浦浩一主題歌：いきものがかり『GOLDEN GIRL』（エピックレコードジャパン）監督：滝本健吾　脚本：高橋泉、清水友佳子◇番組HP http://www.tbs.co.jp/yurusanai2014/  2分まとめ！深田恭子・寺島しのぶ最強弁護士タッグ！10月21日（火）スタート『女はそれを許さない』動画公開しました！  http://youtu.be/Qe8L7exeSvQ  番組の内容と放送時間は変更になる可能性があります。</v>
      </c>
      <c r="N5251" s="2"/>
      <c r="O5251" s="2"/>
      <c r="P5251" s="1"/>
      <c r="Q5251" s="1"/>
      <c r="R5251" s="1"/>
      <c r="S5251" s="1"/>
      <c r="T5251" s="1"/>
      <c r="U5251" s="1"/>
      <c r="V5251" s="1"/>
      <c r="W5251" s="1"/>
      <c r="X5251" s="1"/>
      <c r="Y5251" s="1"/>
      <c r="Z5251" s="1"/>
      <c r="AA5251" s="1"/>
      <c r="AB5251" s="1"/>
      <c r="AC5251" s="1"/>
      <c r="AD5251" s="1"/>
      <c r="AE5251" s="1"/>
      <c r="AF5251" s="1"/>
      <c r="AG5251" s="1"/>
      <c r="AH5251" s="1"/>
      <c r="AI5251" s="1"/>
      <c r="AJ5251" s="1"/>
      <c r="AK5251" s="1"/>
      <c r="AL5251" s="1"/>
      <c r="AM5251" s="1"/>
      <c r="AN5251" s="1"/>
      <c r="AO5251" s="1"/>
      <c r="AP5251" s="1"/>
      <c r="AQ5251" s="1"/>
      <c r="AR5251" s="1"/>
      <c r="AS5251" s="1"/>
      <c r="AT5251" s="1"/>
      <c r="AU5251" s="1"/>
      <c r="AV5251" s="1"/>
      <c r="AW5251" s="1"/>
      <c r="AX5251" s="1"/>
      <c r="AY5251" s="1"/>
      <c r="AZ5251" s="1"/>
      <c r="BA5251" s="1"/>
      <c r="BB5251" s="1"/>
    </row>
    <row r="5252" ht="204.75" customHeight="1">
      <c r="A5252" s="1">
        <v>2454.0</v>
      </c>
      <c r="B5252" s="2" t="s">
        <v>14592</v>
      </c>
      <c r="C5252" s="2">
        <f>IFERROR(__xludf.DUMMYFUNCTION("split(B5252,""_"")"),1410.0)</f>
        <v>1410</v>
      </c>
      <c r="D5252" s="2" t="str">
        <f>IFERROR(__xludf.DUMMYFUNCTION("""COMPUTED_VALUE"""),"TBS")</f>
        <v>TBS</v>
      </c>
      <c r="E5252" s="2" t="str">
        <f>IFERROR(__xludf.DUMMYFUNCTION("""COMPUTED_VALUE"""),"火22")</f>
        <v>火22</v>
      </c>
      <c r="F5252" s="2" t="s">
        <v>14593</v>
      </c>
      <c r="G5252" s="2" t="s">
        <v>14596</v>
      </c>
      <c r="H5252" s="1">
        <v>2.0</v>
      </c>
      <c r="J5252" s="1" t="s">
        <v>86</v>
      </c>
      <c r="K5252" s="2" t="s">
        <v>14597</v>
      </c>
      <c r="L5252" s="2"/>
      <c r="M5252" s="2" t="str">
        <f>IFERROR(__xludf.DUMMYFUNCTION("split(split(K5252,""【"",false),""公式LINE"",false)"),"代理婚活で詐欺にあったと息巻く母娘が忠守法律事務所へ訪ねてきた。興味を抱かない海老沢凛香（寺島しのぶ）は、岩崎麗（深田恭子）と滝口泰輔（溝端淳平）に調査をするように命じる。そんな時、事務所に凛香が購入した高級デスクが届く。担当のインテリアコーディネーター・池田志帆（滝沢沙織）は、最近購入した投資をしたマンションについて二人に相談することに…。そこには、思わぬ展開が待っていた!?結婚に揺れる女心とは岩崎麗：深田恭子  海老沢凛香：寺島しのぶ  滝口泰輔：溝端淳平  工藤誠司：吉沢悠  葛城雄二：加藤雅也  "&amp;"児玉義勝：竹中直人  蝶野薫：松重豊  忠守藤次郎：上川隆也    池田志帆：滝沢沙織　　　　　　　　　　　根岸清美：茅島成美  篠田秀雄：三浦誠己主題歌：いきものがかり『GOLDEN GIRL』（エピックレコードジャパン）監督：竹村謙太郎　脚本：高橋泉、千葉美鈴　　◇番組HP http://www.tbs.co.jp/yurusanai2014/  婚活詐欺から女性を救え!? 火曜22時 『女はそれを許さない』第2話(10/28）予告　動画公開しました！  http://youtu.be/4sypDWX"&amp;"ndnI  番組の内容と放送時間は変更になる可能性があります。")</f>
        <v>代理婚活で詐欺にあったと息巻く母娘が忠守法律事務所へ訪ねてきた。興味を抱かない海老沢凛香（寺島しのぶ）は、岩崎麗（深田恭子）と滝口泰輔（溝端淳平）に調査をするように命じる。そんな時、事務所に凛香が購入した高級デスクが届く。担当のインテリアコーディネーター・池田志帆（滝沢沙織）は、最近購入した投資をしたマンションについて二人に相談することに…。そこには、思わぬ展開が待っていた!?結婚に揺れる女心とは岩崎麗：深田恭子  海老沢凛香：寺島しのぶ  滝口泰輔：溝端淳平  工藤誠司：吉沢悠  葛城雄二：加藤雅也  児玉義勝：竹中直人  蝶野薫：松重豊  忠守藤次郎：上川隆也    池田志帆：滝沢沙織　　　　　　　　　　　根岸清美：茅島成美  篠田秀雄：三浦誠己主題歌：いきものがかり『GOLDEN GIRL』（エピックレコードジャパン）監督：竹村謙太郎　脚本：高橋泉、千葉美鈴　　◇番組HP http://www.tbs.co.jp/yurusanai2014/  婚活詐欺から女性を救え!? 火曜22時 『女はそれを許さない』第2話(10/28）予告　動画公開しました！  http://youtu.be/4sypDWXndnI  番組の内容と放送時間は変更になる可能性があります。</v>
      </c>
      <c r="N5252" s="2"/>
      <c r="O5252" s="2"/>
      <c r="P5252" s="1"/>
      <c r="Q5252" s="1"/>
      <c r="R5252" s="1"/>
      <c r="S5252" s="1"/>
      <c r="T5252" s="1"/>
      <c r="U5252" s="1"/>
      <c r="V5252" s="1"/>
      <c r="W5252" s="1"/>
      <c r="X5252" s="1"/>
      <c r="Y5252" s="1"/>
      <c r="Z5252" s="1"/>
      <c r="AA5252" s="1"/>
      <c r="AB5252" s="1"/>
      <c r="AC5252" s="1"/>
      <c r="AD5252" s="1"/>
      <c r="AE5252" s="1"/>
      <c r="AF5252" s="1"/>
      <c r="AG5252" s="1"/>
      <c r="AH5252" s="1"/>
      <c r="AI5252" s="1"/>
      <c r="AJ5252" s="1"/>
      <c r="AK5252" s="1"/>
      <c r="AL5252" s="1"/>
      <c r="AM5252" s="1"/>
      <c r="AN5252" s="1"/>
      <c r="AO5252" s="1"/>
      <c r="AP5252" s="1"/>
      <c r="AQ5252" s="1"/>
      <c r="AR5252" s="1"/>
      <c r="AS5252" s="1"/>
      <c r="AT5252" s="1"/>
      <c r="AU5252" s="1"/>
      <c r="AV5252" s="1"/>
      <c r="AW5252" s="1"/>
      <c r="AX5252" s="1"/>
      <c r="AY5252" s="1"/>
      <c r="AZ5252" s="1"/>
      <c r="BA5252" s="1"/>
      <c r="BB5252" s="1"/>
    </row>
    <row r="5253" ht="204.75" customHeight="1">
      <c r="A5253" s="1">
        <v>2455.0</v>
      </c>
      <c r="B5253" s="2" t="s">
        <v>14592</v>
      </c>
      <c r="C5253" s="2">
        <f>IFERROR(__xludf.DUMMYFUNCTION("split(B5253,""_"")"),1410.0)</f>
        <v>1410</v>
      </c>
      <c r="D5253" s="2" t="str">
        <f>IFERROR(__xludf.DUMMYFUNCTION("""COMPUTED_VALUE"""),"TBS")</f>
        <v>TBS</v>
      </c>
      <c r="E5253" s="2" t="str">
        <f>IFERROR(__xludf.DUMMYFUNCTION("""COMPUTED_VALUE"""),"火22")</f>
        <v>火22</v>
      </c>
      <c r="F5253" s="2" t="s">
        <v>14593</v>
      </c>
      <c r="G5253" s="2" t="s">
        <v>14598</v>
      </c>
      <c r="H5253" s="1">
        <v>3.0</v>
      </c>
      <c r="I5253" s="1" t="s">
        <v>2876</v>
      </c>
      <c r="J5253" s="1" t="s">
        <v>86</v>
      </c>
      <c r="K5253" s="2" t="s">
        <v>14599</v>
      </c>
      <c r="L5253" s="2"/>
      <c r="M5253" s="2" t="str">
        <f>IFERROR(__xludf.DUMMYFUNCTION("split(split(K5253,""【"",false),""公式LINE"",false)"),"痴漢の被害者であるはずの女性・水野早苗（小林涼子）が、加害者から名誉棄損で訴えられた。痴漢は冤罪なのか？麗は（深田恭子）は、凛香（寺島しのぶ）に相談するが乗り気ではない。そんな凛香だったが、相手の代理人が自分を解雇したセイント法律事務所だと知って、徹底的に戦うと宣言！！痴漢裁判の裏には、ある真相が隠されていた。一方、麗は泰輔（溝端淳平）と自転車事故について調査を始める。依頼人を本当に信じるとは？岩崎麗：深田恭子  海老沢凛香：寺島しのぶ  滝口泰輔：溝端淳平  工藤誠司：吉沢悠  葛城雄二：加藤雅也  児"&amp;"玉義勝：竹中直人  蝶野薫：松重豊  忠守藤次郎：上川隆也    水野早苗：小林涼子  佐々木利行：岡部たかし  桑田トオル：小林ユウキチ主題歌：いきものがかり『GOLDEN GIRL』（エピックレコードジャパン）監督：酒井聖博　脚本：渡辺啓◇番組HP http://www.tbs.co.jp/yurusanai2014/  火曜22時 『女はそれを許さない』#3（11/4）予告「女性の痴漢被害救済のために、麗と凛香が立ち上がる！しかし…」  http://youtu.be/J1lKKa-7sG8番組の内"&amp;"容と放送時間は変更になる可能性があります。")</f>
        <v>痴漢の被害者であるはずの女性・水野早苗（小林涼子）が、加害者から名誉棄損で訴えられた。痴漢は冤罪なのか？麗は（深田恭子）は、凛香（寺島しのぶ）に相談するが乗り気ではない。そんな凛香だったが、相手の代理人が自分を解雇したセイント法律事務所だと知って、徹底的に戦うと宣言！！痴漢裁判の裏には、ある真相が隠されていた。一方、麗は泰輔（溝端淳平）と自転車事故について調査を始める。依頼人を本当に信じるとは？岩崎麗：深田恭子  海老沢凛香：寺島しのぶ  滝口泰輔：溝端淳平  工藤誠司：吉沢悠  葛城雄二：加藤雅也  児玉義勝：竹中直人  蝶野薫：松重豊  忠守藤次郎：上川隆也    水野早苗：小林涼子  佐々木利行：岡部たかし  桑田トオル：小林ユウキチ主題歌：いきものがかり『GOLDEN GIRL』（エピックレコードジャパン）監督：酒井聖博　脚本：渡辺啓◇番組HP http://www.tbs.co.jp/yurusanai2014/  火曜22時 『女はそれを許さない』#3（11/4）予告「女性の痴漢被害救済のために、麗と凛香が立ち上がる！しかし…」  http://youtu.be/J1lKKa-7sG8番組の内容と放送時間は変更になる可能性があります。</v>
      </c>
      <c r="N5253" s="2"/>
      <c r="O5253" s="2"/>
      <c r="P5253" s="1"/>
      <c r="Q5253" s="1"/>
      <c r="R5253" s="1"/>
      <c r="S5253" s="1"/>
      <c r="T5253" s="1"/>
      <c r="U5253" s="1"/>
      <c r="V5253" s="1"/>
      <c r="W5253" s="1"/>
      <c r="X5253" s="1"/>
      <c r="Y5253" s="1"/>
      <c r="Z5253" s="1"/>
      <c r="AA5253" s="1"/>
      <c r="AB5253" s="1"/>
      <c r="AC5253" s="1"/>
      <c r="AD5253" s="1"/>
      <c r="AE5253" s="1"/>
      <c r="AF5253" s="1"/>
      <c r="AG5253" s="1"/>
      <c r="AH5253" s="1"/>
      <c r="AI5253" s="1"/>
      <c r="AJ5253" s="1"/>
      <c r="AK5253" s="1"/>
      <c r="AL5253" s="1"/>
      <c r="AM5253" s="1"/>
      <c r="AN5253" s="1"/>
      <c r="AO5253" s="1"/>
      <c r="AP5253" s="1"/>
      <c r="AQ5253" s="1"/>
      <c r="AR5253" s="1"/>
      <c r="AS5253" s="1"/>
      <c r="AT5253" s="1"/>
      <c r="AU5253" s="1"/>
      <c r="AV5253" s="1"/>
      <c r="AW5253" s="1"/>
      <c r="AX5253" s="1"/>
      <c r="AY5253" s="1"/>
      <c r="AZ5253" s="1"/>
      <c r="BA5253" s="1"/>
      <c r="BB5253" s="1"/>
    </row>
    <row r="5254" ht="204.75" customHeight="1">
      <c r="A5254" s="1">
        <v>2456.0</v>
      </c>
      <c r="B5254" s="2" t="s">
        <v>14592</v>
      </c>
      <c r="C5254" s="2">
        <f>IFERROR(__xludf.DUMMYFUNCTION("split(B5254,""_"")"),1410.0)</f>
        <v>1410</v>
      </c>
      <c r="D5254" s="2" t="str">
        <f>IFERROR(__xludf.DUMMYFUNCTION("""COMPUTED_VALUE"""),"TBS")</f>
        <v>TBS</v>
      </c>
      <c r="E5254" s="2" t="str">
        <f>IFERROR(__xludf.DUMMYFUNCTION("""COMPUTED_VALUE"""),"火22")</f>
        <v>火22</v>
      </c>
      <c r="F5254" s="2" t="s">
        <v>14593</v>
      </c>
      <c r="G5254" s="2" t="s">
        <v>14600</v>
      </c>
      <c r="H5254" s="1">
        <v>4.0</v>
      </c>
      <c r="I5254" s="1" t="s">
        <v>2880</v>
      </c>
      <c r="J5254" s="1" t="s">
        <v>86</v>
      </c>
      <c r="K5254" s="2" t="s">
        <v>14601</v>
      </c>
      <c r="L5254" s="2"/>
      <c r="M5254" s="2" t="str">
        <f>IFERROR(__xludf.DUMMYFUNCTION("split(split(K5254,""【"",false),""公式LINE"",false)"),"モラルハラスメント夫と離婚したい妻・横森紗英（酒井若菜）が忠守法律事務所をやって来た。麗（深田恭子）は、そんな夫・横森茂（山中崇）を訪ねてみると、そこには新たな真実が待っていた！！夫婦の思いが交差する人間臭い離婚裁判に、凛香（寺島しのぶ）は戸惑いを隠せない。そんな中、麗は過去に逃げ出したトラウマ裁判に決着をつけることを誓う。過去の依頼人・岡島健吾（鈴木勝大）に会いに行くが・・・。岩崎麗：深田恭子  海老沢凛香：寺島しのぶ  滝口泰輔：溝端淳平  工藤誠司：吉沢悠  蝶野薫：松重豊  忠守藤次郎：上川隆也 "&amp;"   横森紗英：酒井若菜  横森茂：山中崇  岡島健吾：鈴木勝大主題歌：いきものがかり『GOLDEN GIRL』（エピックレコードジャパン）監督：滝本憲吾　脚本：高橋泉◇番組HP http://www.tbs.co.jp/yurusanai2014/  火曜22時 『女はそれを許さない』#4（11/11）予告「別れたい妻vs別れたくない夫」 動画公開しました！  http://youtu.be/fKsPM93cpSo  ■CDプレゼント　主題歌：いきものかがり『GOLDEN　GIRL』（エピックレコードジ"&amp;"ャパン）■ノベライズ本プレゼント　『女はそれを許さない』（幻冬舎）番組の内容と放送時間は変更になる可能性があります。")</f>
        <v>モラルハラスメント夫と離婚したい妻・横森紗英（酒井若菜）が忠守法律事務所をやって来た。麗（深田恭子）は、そんな夫・横森茂（山中崇）を訪ねてみると、そこには新たな真実が待っていた！！夫婦の思いが交差する人間臭い離婚裁判に、凛香（寺島しのぶ）は戸惑いを隠せない。そんな中、麗は過去に逃げ出したトラウマ裁判に決着をつけることを誓う。過去の依頼人・岡島健吾（鈴木勝大）に会いに行くが・・・。岩崎麗：深田恭子  海老沢凛香：寺島しのぶ  滝口泰輔：溝端淳平  工藤誠司：吉沢悠  蝶野薫：松重豊  忠守藤次郎：上川隆也    横森紗英：酒井若菜  横森茂：山中崇  岡島健吾：鈴木勝大主題歌：いきものがかり『GOLDEN GIRL』（エピックレコードジャパン）監督：滝本憲吾　脚本：高橋泉◇番組HP http://www.tbs.co.jp/yurusanai2014/  火曜22時 『女はそれを許さない』#4（11/11）予告「別れたい妻vs別れたくない夫」 動画公開しました！  http://youtu.be/fKsPM93cpSo  ■CDプレゼント　主題歌：いきものかがり『GOLDEN　GIRL』（エピックレコードジャパン）■ノベライズ本プレゼント　『女はそれを許さない』（幻冬舎）番組の内容と放送時間は変更になる可能性があります。</v>
      </c>
      <c r="N5254" s="2"/>
      <c r="O5254" s="2"/>
      <c r="P5254" s="1"/>
      <c r="Q5254" s="1"/>
      <c r="R5254" s="1"/>
      <c r="S5254" s="1"/>
      <c r="T5254" s="1"/>
      <c r="U5254" s="1"/>
      <c r="V5254" s="1"/>
      <c r="W5254" s="1"/>
      <c r="X5254" s="1"/>
      <c r="Y5254" s="1"/>
      <c r="Z5254" s="1"/>
      <c r="AA5254" s="1"/>
      <c r="AB5254" s="1"/>
      <c r="AC5254" s="1"/>
      <c r="AD5254" s="1"/>
      <c r="AE5254" s="1"/>
      <c r="AF5254" s="1"/>
      <c r="AG5254" s="1"/>
      <c r="AH5254" s="1"/>
      <c r="AI5254" s="1"/>
      <c r="AJ5254" s="1"/>
      <c r="AK5254" s="1"/>
      <c r="AL5254" s="1"/>
      <c r="AM5254" s="1"/>
      <c r="AN5254" s="1"/>
      <c r="AO5254" s="1"/>
      <c r="AP5254" s="1"/>
      <c r="AQ5254" s="1"/>
      <c r="AR5254" s="1"/>
      <c r="AS5254" s="1"/>
      <c r="AT5254" s="1"/>
      <c r="AU5254" s="1"/>
      <c r="AV5254" s="1"/>
      <c r="AW5254" s="1"/>
      <c r="AX5254" s="1"/>
      <c r="AY5254" s="1"/>
      <c r="AZ5254" s="1"/>
      <c r="BA5254" s="1"/>
      <c r="BB5254" s="1"/>
    </row>
    <row r="5255" ht="204.75" customHeight="1">
      <c r="A5255" s="1">
        <v>2457.0</v>
      </c>
      <c r="B5255" s="2" t="s">
        <v>14592</v>
      </c>
      <c r="C5255" s="2">
        <f>IFERROR(__xludf.DUMMYFUNCTION("split(B5255,""_"")"),1410.0)</f>
        <v>1410</v>
      </c>
      <c r="D5255" s="2" t="str">
        <f>IFERROR(__xludf.DUMMYFUNCTION("""COMPUTED_VALUE"""),"TBS")</f>
        <v>TBS</v>
      </c>
      <c r="E5255" s="2" t="str">
        <f>IFERROR(__xludf.DUMMYFUNCTION("""COMPUTED_VALUE"""),"火22")</f>
        <v>火22</v>
      </c>
      <c r="F5255" s="2" t="s">
        <v>14593</v>
      </c>
      <c r="G5255" s="2" t="s">
        <v>14602</v>
      </c>
      <c r="H5255" s="1">
        <v>5.0</v>
      </c>
      <c r="I5255" s="1" t="s">
        <v>2884</v>
      </c>
      <c r="J5255" s="1" t="s">
        <v>86</v>
      </c>
      <c r="K5255" s="2" t="s">
        <v>14603</v>
      </c>
      <c r="L5255" s="2"/>
      <c r="M5255" s="2" t="str">
        <f>IFERROR(__xludf.DUMMYFUNCTION("split(split(K5255,""【"",false),""公式LINE"",false)"),"ある日、忠守法律事務所に10歳の女の子・山中知佳（久家心）が母親・山下浩子（紺野まひる）を訴えたいと麗（深田恭子）に会いにやって来た。浩子は、知佳に対して虐待をしていたため、刑務所に入っていた。出所した母親が娘を迎えにやって来たのだった！麗は知佳を、凛香（寺島しのぶ）は母親とそれぞれ向き合う。そこには驚愕の事実が待っていた！？岩崎麗：深田恭子  海老沢凛香：寺島しのぶ  滝口泰輔：溝端淳平  工藤誠司：吉沢悠  葛城雄二：加藤雅也  児玉義勝：竹中直人  蝶野薫：松重豊  忠守藤次郎：上川隆也    山中"&amp;"浩子：紺野まひる  山中知香：久家心主題歌：いきものがかり『GOLDEN GIRL』（エピックレコードジャパン）監督：竹村謙太郎　脚本：清水友佳子◇番組HP http://www.tbs.co.jp/yurusanai2014/  予告・火曜22時 『女はそれを許さない』#5（11/18）「子どもが親を訴える!？」動画公開しました！  http://youtu.be/wzJeFXLlbPU  19：00～放送の 2014SUZUKI日米野球　第5戦　侍ジャパンvsMLBオールスターの試合状況により、放送時"&amp;"間が変更になる可能性がございます。")</f>
        <v>ある日、忠守法律事務所に10歳の女の子・山中知佳（久家心）が母親・山下浩子（紺野まひる）を訴えたいと麗（深田恭子）に会いにやって来た。浩子は、知佳に対して虐待をしていたため、刑務所に入っていた。出所した母親が娘を迎えにやって来たのだった！麗は知佳を、凛香（寺島しのぶ）は母親とそれぞれ向き合う。そこには驚愕の事実が待っていた！？岩崎麗：深田恭子  海老沢凛香：寺島しのぶ  滝口泰輔：溝端淳平  工藤誠司：吉沢悠  葛城雄二：加藤雅也  児玉義勝：竹中直人  蝶野薫：松重豊  忠守藤次郎：上川隆也    山中浩子：紺野まひる  山中知香：久家心主題歌：いきものがかり『GOLDEN GIRL』（エピックレコードジャパン）監督：竹村謙太郎　脚本：清水友佳子◇番組HP http://www.tbs.co.jp/yurusanai2014/  予告・火曜22時 『女はそれを許さない』#5（11/18）「子どもが親を訴える!？」動画公開しました！  http://youtu.be/wzJeFXLlbPU  19：00～放送の 2014SUZUKI日米野球　第5戦　侍ジャパンvsMLBオールスターの試合状況により、放送時間が変更になる可能性がございます。</v>
      </c>
      <c r="N5255" s="2"/>
      <c r="O5255" s="2"/>
      <c r="P5255" s="1"/>
      <c r="Q5255" s="1"/>
      <c r="R5255" s="1"/>
      <c r="S5255" s="1"/>
      <c r="T5255" s="1"/>
      <c r="U5255" s="1"/>
      <c r="V5255" s="1"/>
      <c r="W5255" s="1"/>
      <c r="X5255" s="1"/>
      <c r="Y5255" s="1"/>
      <c r="Z5255" s="1"/>
      <c r="AA5255" s="1"/>
      <c r="AB5255" s="1"/>
      <c r="AC5255" s="1"/>
      <c r="AD5255" s="1"/>
      <c r="AE5255" s="1"/>
      <c r="AF5255" s="1"/>
      <c r="AG5255" s="1"/>
      <c r="AH5255" s="1"/>
      <c r="AI5255" s="1"/>
      <c r="AJ5255" s="1"/>
      <c r="AK5255" s="1"/>
      <c r="AL5255" s="1"/>
      <c r="AM5255" s="1"/>
      <c r="AN5255" s="1"/>
      <c r="AO5255" s="1"/>
      <c r="AP5255" s="1"/>
      <c r="AQ5255" s="1"/>
      <c r="AR5255" s="1"/>
      <c r="AS5255" s="1"/>
      <c r="AT5255" s="1"/>
      <c r="AU5255" s="1"/>
      <c r="AV5255" s="1"/>
      <c r="AW5255" s="1"/>
      <c r="AX5255" s="1"/>
      <c r="AY5255" s="1"/>
      <c r="AZ5255" s="1"/>
      <c r="BA5255" s="1"/>
      <c r="BB5255" s="1"/>
    </row>
    <row r="5256" ht="204.75" customHeight="1">
      <c r="A5256" s="1">
        <v>2458.0</v>
      </c>
      <c r="B5256" s="2" t="s">
        <v>14592</v>
      </c>
      <c r="C5256" s="2">
        <f>IFERROR(__xludf.DUMMYFUNCTION("split(B5256,""_"")"),1410.0)</f>
        <v>1410</v>
      </c>
      <c r="D5256" s="2" t="str">
        <f>IFERROR(__xludf.DUMMYFUNCTION("""COMPUTED_VALUE"""),"TBS")</f>
        <v>TBS</v>
      </c>
      <c r="E5256" s="2" t="str">
        <f>IFERROR(__xludf.DUMMYFUNCTION("""COMPUTED_VALUE"""),"火22")</f>
        <v>火22</v>
      </c>
      <c r="F5256" s="2" t="s">
        <v>14593</v>
      </c>
      <c r="G5256" s="2" t="s">
        <v>14604</v>
      </c>
      <c r="H5256" s="1">
        <v>6.0</v>
      </c>
      <c r="I5256" s="1" t="s">
        <v>2888</v>
      </c>
      <c r="J5256" s="1" t="s">
        <v>86</v>
      </c>
      <c r="K5256" s="2" t="s">
        <v>14605</v>
      </c>
      <c r="L5256" s="2"/>
      <c r="M5256" s="2" t="str">
        <f>IFERROR(__xludf.DUMMYFUNCTION("split(split(K5256,""【"",false),""公式LINE"",false)"),"司法修習生である滝口泰輔（溝端淳平）は、修習仲間である理恵子（中別府葵）と雄太（石井智也）と模擬裁判をすることに。憧れの裁判官役に喜ぶ中、元彼女・高橋真奈美（佐津川真奈美）からストーカー被害に遭っていると相談される。麗（深田恭子）と凛香（寺島しのぶ）に助けを求めるが・・・。そんな時、真奈美がストーカーを暴行したと逮捕された！ストーカー裁判に立ち上がる麗と凛香。驚愕の真実が隠されていた！？岩崎麗：深田恭子  海老沢凛香：寺島しのぶ  滝口泰輔：溝端淳平  工藤誠司：吉沢悠  葛城雄二：加藤雅也  児玉義勝："&amp;"竹中直人  蝶野薫：松重豊  忠守藤次郎：上川隆也    高橋真奈美：佐津川愛美  小沢理恵子：中別府葵　　　  秋山雄太：石井智也主題歌：いきものがかり『GOLDEN GIRL』（エピックレコードジャパン）監督：酒井聖博  脚本：渡辺啓◇番組HP http://www.tbs.co.jp/yurusanai2014/  予告・火曜22時 『女はそれを許さない』#6（11/25）「元カノがストーカー被害!？」動画公開しました！  http://youtu.be/Yqu7QF_EuMk  番組の内容と放送時"&amp;"間は変更になる可能性があります。")</f>
        <v>司法修習生である滝口泰輔（溝端淳平）は、修習仲間である理恵子（中別府葵）と雄太（石井智也）と模擬裁判をすることに。憧れの裁判官役に喜ぶ中、元彼女・高橋真奈美（佐津川真奈美）からストーカー被害に遭っていると相談される。麗（深田恭子）と凛香（寺島しのぶ）に助けを求めるが・・・。そんな時、真奈美がストーカーを暴行したと逮捕された！ストーカー裁判に立ち上がる麗と凛香。驚愕の真実が隠されていた！？岩崎麗：深田恭子  海老沢凛香：寺島しのぶ  滝口泰輔：溝端淳平  工藤誠司：吉沢悠  葛城雄二：加藤雅也  児玉義勝：竹中直人  蝶野薫：松重豊  忠守藤次郎：上川隆也    高橋真奈美：佐津川愛美  小沢理恵子：中別府葵　　　  秋山雄太：石井智也主題歌：いきものがかり『GOLDEN GIRL』（エピックレコードジャパン）監督：酒井聖博  脚本：渡辺啓◇番組HP http://www.tbs.co.jp/yurusanai2014/  予告・火曜22時 『女はそれを許さない』#6（11/25）「元カノがストーカー被害!？」動画公開しました！  http://youtu.be/Yqu7QF_EuMk  番組の内容と放送時間は変更になる可能性があります。</v>
      </c>
      <c r="N5256" s="2"/>
      <c r="O5256" s="2"/>
      <c r="P5256" s="1"/>
      <c r="Q5256" s="1"/>
      <c r="R5256" s="1"/>
      <c r="S5256" s="1"/>
      <c r="T5256" s="1"/>
      <c r="U5256" s="1"/>
      <c r="V5256" s="1"/>
      <c r="W5256" s="1"/>
      <c r="X5256" s="1"/>
      <c r="Y5256" s="1"/>
      <c r="Z5256" s="1"/>
      <c r="AA5256" s="1"/>
      <c r="AB5256" s="1"/>
      <c r="AC5256" s="1"/>
      <c r="AD5256" s="1"/>
      <c r="AE5256" s="1"/>
      <c r="AF5256" s="1"/>
      <c r="AG5256" s="1"/>
      <c r="AH5256" s="1"/>
      <c r="AI5256" s="1"/>
      <c r="AJ5256" s="1"/>
      <c r="AK5256" s="1"/>
      <c r="AL5256" s="1"/>
      <c r="AM5256" s="1"/>
      <c r="AN5256" s="1"/>
      <c r="AO5256" s="1"/>
      <c r="AP5256" s="1"/>
      <c r="AQ5256" s="1"/>
      <c r="AR5256" s="1"/>
      <c r="AS5256" s="1"/>
      <c r="AT5256" s="1"/>
      <c r="AU5256" s="1"/>
      <c r="AV5256" s="1"/>
      <c r="AW5256" s="1"/>
      <c r="AX5256" s="1"/>
      <c r="AY5256" s="1"/>
      <c r="AZ5256" s="1"/>
      <c r="BA5256" s="1"/>
      <c r="BB5256" s="1"/>
    </row>
    <row r="5257" ht="204.75" customHeight="1">
      <c r="A5257" s="1">
        <v>2459.0</v>
      </c>
      <c r="B5257" s="2" t="s">
        <v>14592</v>
      </c>
      <c r="C5257" s="2">
        <f>IFERROR(__xludf.DUMMYFUNCTION("split(B5257,""_"")"),1410.0)</f>
        <v>1410</v>
      </c>
      <c r="D5257" s="2" t="str">
        <f>IFERROR(__xludf.DUMMYFUNCTION("""COMPUTED_VALUE"""),"TBS")</f>
        <v>TBS</v>
      </c>
      <c r="E5257" s="2" t="str">
        <f>IFERROR(__xludf.DUMMYFUNCTION("""COMPUTED_VALUE"""),"火22")</f>
        <v>火22</v>
      </c>
      <c r="F5257" s="2" t="s">
        <v>14593</v>
      </c>
      <c r="G5257" s="2" t="s">
        <v>14606</v>
      </c>
      <c r="H5257" s="1">
        <v>7.0</v>
      </c>
      <c r="I5257" s="1" t="s">
        <v>2892</v>
      </c>
      <c r="J5257" s="1" t="s">
        <v>86</v>
      </c>
      <c r="K5257" s="2" t="s">
        <v>14607</v>
      </c>
      <c r="L5257" s="2"/>
      <c r="M5257" s="2" t="str">
        <f>IFERROR(__xludf.DUMMYFUNCTION("split(split(K5257,""【"",false),""公式LINE"",false)"),"ある日、忠守法律事務所に有名女子学園に通っている三沢麻子（伊藤裕子）が娘が所属するチアリーディング部でママ友いじめに遭っていると相談にやってきた。藤次郎（上川隆也）は、女子校という案件のため麗（深田恭子）手伝うよう頼む。一方、凜香は大学時代の天敵であり、ライバルの神谷菜津子（高岡早紀）が現れる。名門和菓子塚田屋の相続争いの相手弁護士!!麗をそっちのけで、凜香は菜津子と因縁の対決に挑むが…。岩崎麗：深田恭子  海老沢凛香：寺島しのぶ  滝口泰輔：溝端淳平  工藤誠司：吉沢悠  葛城雄二：加藤雅也  児玉義勝"&amp;"：竹中直人  蝶野薫：松重豊  忠守藤次郎：上川隆也    神谷菜津子：高岡早紀  三沢麻子：伊藤裕子　　主題歌：いきものがかり『GOLDEN GIRL』（エピックレコードジャパン）監督：滝本憲吾　  脚本：清水友佳子　　高橋泉　　◇番組HP http://www.tbs.co.jp/yurusanai2014/  予告・火曜22時 『女はそれを許さない』#7（12/2）「ママ友いじめで学校退学!？」動画公開しました！  http://youtu.be/WGuUFD_ypz8番組の内容と放送時間は変更にな"&amp;"る可能性があります。")</f>
        <v>ある日、忠守法律事務所に有名女子学園に通っている三沢麻子（伊藤裕子）が娘が所属するチアリーディング部でママ友いじめに遭っていると相談にやってきた。藤次郎（上川隆也）は、女子校という案件のため麗（深田恭子）手伝うよう頼む。一方、凜香は大学時代の天敵であり、ライバルの神谷菜津子（高岡早紀）が現れる。名門和菓子塚田屋の相続争いの相手弁護士!!麗をそっちのけで、凜香は菜津子と因縁の対決に挑むが…。岩崎麗：深田恭子  海老沢凛香：寺島しのぶ  滝口泰輔：溝端淳平  工藤誠司：吉沢悠  葛城雄二：加藤雅也  児玉義勝：竹中直人  蝶野薫：松重豊  忠守藤次郎：上川隆也    神谷菜津子：高岡早紀  三沢麻子：伊藤裕子　　主題歌：いきものがかり『GOLDEN GIRL』（エピックレコードジャパン）監督：滝本憲吾　  脚本：清水友佳子　　高橋泉　　◇番組HP http://www.tbs.co.jp/yurusanai2014/  予告・火曜22時 『女はそれを許さない』#7（12/2）「ママ友いじめで学校退学!？」動画公開しました！  http://youtu.be/WGuUFD_ypz8番組の内容と放送時間は変更になる可能性があります。</v>
      </c>
      <c r="N5257" s="2"/>
      <c r="O5257" s="2"/>
      <c r="P5257" s="1"/>
      <c r="Q5257" s="1"/>
      <c r="R5257" s="1"/>
      <c r="S5257" s="1"/>
      <c r="T5257" s="1"/>
      <c r="U5257" s="1"/>
      <c r="V5257" s="1"/>
      <c r="W5257" s="1"/>
      <c r="X5257" s="1"/>
      <c r="Y5257" s="1"/>
      <c r="Z5257" s="1"/>
      <c r="AA5257" s="1"/>
      <c r="AB5257" s="1"/>
      <c r="AC5257" s="1"/>
      <c r="AD5257" s="1"/>
      <c r="AE5257" s="1"/>
      <c r="AF5257" s="1"/>
      <c r="AG5257" s="1"/>
      <c r="AH5257" s="1"/>
      <c r="AI5257" s="1"/>
      <c r="AJ5257" s="1"/>
      <c r="AK5257" s="1"/>
      <c r="AL5257" s="1"/>
      <c r="AM5257" s="1"/>
      <c r="AN5257" s="1"/>
      <c r="AO5257" s="1"/>
      <c r="AP5257" s="1"/>
      <c r="AQ5257" s="1"/>
      <c r="AR5257" s="1"/>
      <c r="AS5257" s="1"/>
      <c r="AT5257" s="1"/>
      <c r="AU5257" s="1"/>
      <c r="AV5257" s="1"/>
      <c r="AW5257" s="1"/>
      <c r="AX5257" s="1"/>
      <c r="AY5257" s="1"/>
      <c r="AZ5257" s="1"/>
      <c r="BA5257" s="1"/>
      <c r="BB5257" s="1"/>
    </row>
    <row r="5258" ht="204.75" customHeight="1">
      <c r="A5258" s="1">
        <v>2460.0</v>
      </c>
      <c r="B5258" s="2" t="s">
        <v>14592</v>
      </c>
      <c r="C5258" s="2">
        <f>IFERROR(__xludf.DUMMYFUNCTION("split(B5258,""_"")"),1410.0)</f>
        <v>1410</v>
      </c>
      <c r="D5258" s="2" t="str">
        <f>IFERROR(__xludf.DUMMYFUNCTION("""COMPUTED_VALUE"""),"TBS")</f>
        <v>TBS</v>
      </c>
      <c r="E5258" s="2" t="str">
        <f>IFERROR(__xludf.DUMMYFUNCTION("""COMPUTED_VALUE"""),"火22")</f>
        <v>火22</v>
      </c>
      <c r="F5258" s="2" t="s">
        <v>14593</v>
      </c>
      <c r="G5258" s="2" t="s">
        <v>14608</v>
      </c>
      <c r="H5258" s="1">
        <v>8.0</v>
      </c>
      <c r="I5258" s="1" t="s">
        <v>2896</v>
      </c>
      <c r="J5258" s="1" t="s">
        <v>86</v>
      </c>
      <c r="K5258" s="2" t="s">
        <v>14609</v>
      </c>
      <c r="L5258" s="2"/>
      <c r="M5258" s="2" t="str">
        <f>IFERROR(__xludf.DUMMYFUNCTION("split(split(K5258,""【"",false),""公式LINE"",false)"),"ある日、蝶野（松重豊）の友人が忠守法律事務所へ訪ねてきた！依頼人・小坂貴宏（高橋洋）は、結婚式場に関するトラブルを相談しにきたのだ。調査をするために、貴宏の恋人を訪ねる麗（深田恭子）たちは、そこで衝撃的な事実を知る!恋人として紹介されたのは、小坂俊彦（KABA．ちゃん）だった。ゲイカップルという理由で式場からは断られたのだ！そんな中、凛香（寺島しのぶ）は工藤（吉沢悠）から驚愕な過去を明かされる…。岩崎麗：深田恭子  海老沢凛香：寺島しのぶ  滝口泰輔：溝端淳平  工藤誠司：吉沢悠  葛城雄二：加藤雅也  "&amp;"児玉義勝：竹中直人  蝶野薫：松重豊  忠守藤次郎：上川隆也    小坂貴宏：高橋洋  小坂俊彦：KABA．ちゃん  野村涼子：安達裕美主題歌：いきものがかり『GOLDEN GIRL』（エピックレコードジャパン）監督：青山貴洋　脚本：千葉美鈴◇番組HP http://www.tbs.co.jp/yurusanai2014/  男性同士の結婚? 遺産目当ての養子縁組? 火曜22時 『女はそれを許さない』#8（12/9）予告動画公開しました！  http://youtu.be/fmkCcsSr5p0番組の内容"&amp;"と放送時間は変更になる可能性があります。")</f>
        <v>ある日、蝶野（松重豊）の友人が忠守法律事務所へ訪ねてきた！依頼人・小坂貴宏（高橋洋）は、結婚式場に関するトラブルを相談しにきたのだ。調査をするために、貴宏の恋人を訪ねる麗（深田恭子）たちは、そこで衝撃的な事実を知る!恋人として紹介されたのは、小坂俊彦（KABA．ちゃん）だった。ゲイカップルという理由で式場からは断られたのだ！そんな中、凛香（寺島しのぶ）は工藤（吉沢悠）から驚愕な過去を明かされる…。岩崎麗：深田恭子  海老沢凛香：寺島しのぶ  滝口泰輔：溝端淳平  工藤誠司：吉沢悠  葛城雄二：加藤雅也  児玉義勝：竹中直人  蝶野薫：松重豊  忠守藤次郎：上川隆也    小坂貴宏：高橋洋  小坂俊彦：KABA．ちゃん  野村涼子：安達裕美主題歌：いきものがかり『GOLDEN GIRL』（エピックレコードジャパン）監督：青山貴洋　脚本：千葉美鈴◇番組HP http://www.tbs.co.jp/yurusanai2014/  男性同士の結婚? 遺産目当ての養子縁組? 火曜22時 『女はそれを許さない』#8（12/9）予告動画公開しました！  http://youtu.be/fmkCcsSr5p0番組の内容と放送時間は変更になる可能性があります。</v>
      </c>
      <c r="N5258" s="2"/>
      <c r="O5258" s="2"/>
      <c r="P5258" s="1"/>
      <c r="Q5258" s="1"/>
      <c r="R5258" s="1"/>
      <c r="S5258" s="1"/>
      <c r="T5258" s="1"/>
      <c r="U5258" s="1"/>
      <c r="V5258" s="1"/>
      <c r="W5258" s="1"/>
      <c r="X5258" s="1"/>
      <c r="Y5258" s="1"/>
      <c r="Z5258" s="1"/>
      <c r="AA5258" s="1"/>
      <c r="AB5258" s="1"/>
      <c r="AC5258" s="1"/>
      <c r="AD5258" s="1"/>
      <c r="AE5258" s="1"/>
      <c r="AF5258" s="1"/>
      <c r="AG5258" s="1"/>
      <c r="AH5258" s="1"/>
      <c r="AI5258" s="1"/>
      <c r="AJ5258" s="1"/>
      <c r="AK5258" s="1"/>
      <c r="AL5258" s="1"/>
      <c r="AM5258" s="1"/>
      <c r="AN5258" s="1"/>
      <c r="AO5258" s="1"/>
      <c r="AP5258" s="1"/>
      <c r="AQ5258" s="1"/>
      <c r="AR5258" s="1"/>
      <c r="AS5258" s="1"/>
      <c r="AT5258" s="1"/>
      <c r="AU5258" s="1"/>
      <c r="AV5258" s="1"/>
      <c r="AW5258" s="1"/>
      <c r="AX5258" s="1"/>
      <c r="AY5258" s="1"/>
      <c r="AZ5258" s="1"/>
      <c r="BA5258" s="1"/>
      <c r="BB5258" s="1"/>
    </row>
    <row r="5259" ht="204.75" customHeight="1">
      <c r="A5259" s="1">
        <v>2461.0</v>
      </c>
      <c r="B5259" s="2" t="s">
        <v>14592</v>
      </c>
      <c r="C5259" s="2">
        <f>IFERROR(__xludf.DUMMYFUNCTION("split(B5259,""_"")"),1410.0)</f>
        <v>1410</v>
      </c>
      <c r="D5259" s="2" t="str">
        <f>IFERROR(__xludf.DUMMYFUNCTION("""COMPUTED_VALUE"""),"TBS")</f>
        <v>TBS</v>
      </c>
      <c r="E5259" s="2" t="str">
        <f>IFERROR(__xludf.DUMMYFUNCTION("""COMPUTED_VALUE"""),"火22")</f>
        <v>火22</v>
      </c>
      <c r="F5259" s="2" t="s">
        <v>14593</v>
      </c>
      <c r="G5259" s="2" t="s">
        <v>14610</v>
      </c>
      <c r="H5259" s="1">
        <v>9.0</v>
      </c>
      <c r="J5259" s="1" t="s">
        <v>86</v>
      </c>
      <c r="K5259" s="2" t="s">
        <v>14611</v>
      </c>
      <c r="L5259" s="2"/>
      <c r="M5259" s="2" t="str">
        <f>IFERROR(__xludf.DUMMYFUNCTION("split(split(K5259,""【"",false),""公式LINE"",false)"),"ある日、忠守法律事務所に野村（安達祐実）率いる遺族会が訪れる。忠守（上川隆也）は、多忙なために麗が担当することになる！5人の子供を亡くした遺族たちは、子供一人対して一億円、計五億の賠償金を請求するという…。相手弁護士は、勝ためにはどんな手段も選ばないセイント法律事務所の葛城（加藤雅也）だ。凛香（寺島しのぶ）がいない今、麗はどうやって敵に立ち回るのか！？最大のピンチが訪れる！！岩崎麗：深田恭子  海老沢凛香：寺島しのぶ  滝口泰輔：溝端淳平  工藤誠司：吉沢悠  葛城雄二：加藤雅也  児玉義勝：竹中直人  "&amp;"蝶野薫：松重豊  忠守藤次郎：上川隆也    野村涼子：安達祐実  岡部哲平：三又又三  小橋アキラ：川野直輝主題歌：いきものがかり『GOLDEN GIRL』（エピックレコードジャパン）監督：酒井聖博　脚本：渡辺啓◇番組HP http://www.tbs.co.jp/yurusanai2014/  迷いと苦悩…女の選択とは？最強の二人が挑む最後の戦い　動画公開しました！  http://youtu.be/upZ6zSblfnE  番組の内容と放送時間は変更になる可能性があります。")</f>
        <v>ある日、忠守法律事務所に野村（安達祐実）率いる遺族会が訪れる。忠守（上川隆也）は、多忙なために麗が担当することになる！5人の子供を亡くした遺族たちは、子供一人対して一億円、計五億の賠償金を請求するという…。相手弁護士は、勝ためにはどんな手段も選ばないセイント法律事務所の葛城（加藤雅也）だ。凛香（寺島しのぶ）がいない今、麗はどうやって敵に立ち回るのか！？最大のピンチが訪れる！！岩崎麗：深田恭子  海老沢凛香：寺島しのぶ  滝口泰輔：溝端淳平  工藤誠司：吉沢悠  葛城雄二：加藤雅也  児玉義勝：竹中直人  蝶野薫：松重豊  忠守藤次郎：上川隆也    野村涼子：安達祐実  岡部哲平：三又又三  小橋アキラ：川野直輝主題歌：いきものがかり『GOLDEN GIRL』（エピックレコードジャパン）監督：酒井聖博　脚本：渡辺啓◇番組HP http://www.tbs.co.jp/yurusanai2014/  迷いと苦悩…女の選択とは？最強の二人が挑む最後の戦い　動画公開しました！  http://youtu.be/upZ6zSblfnE  番組の内容と放送時間は変更になる可能性があります。</v>
      </c>
      <c r="N5259" s="2"/>
      <c r="O5259" s="2"/>
      <c r="P5259" s="1"/>
      <c r="Q5259" s="1"/>
      <c r="R5259" s="1"/>
      <c r="S5259" s="1"/>
      <c r="T5259" s="1"/>
      <c r="U5259" s="1"/>
      <c r="V5259" s="1"/>
      <c r="W5259" s="1"/>
      <c r="X5259" s="1"/>
      <c r="Y5259" s="1"/>
      <c r="Z5259" s="1"/>
      <c r="AA5259" s="1"/>
      <c r="AB5259" s="1"/>
      <c r="AC5259" s="1"/>
      <c r="AD5259" s="1"/>
      <c r="AE5259" s="1"/>
      <c r="AF5259" s="1"/>
      <c r="AG5259" s="1"/>
      <c r="AH5259" s="1"/>
      <c r="AI5259" s="1"/>
      <c r="AJ5259" s="1"/>
      <c r="AK5259" s="1"/>
      <c r="AL5259" s="1"/>
      <c r="AM5259" s="1"/>
      <c r="AN5259" s="1"/>
      <c r="AO5259" s="1"/>
      <c r="AP5259" s="1"/>
      <c r="AQ5259" s="1"/>
      <c r="AR5259" s="1"/>
      <c r="AS5259" s="1"/>
      <c r="AT5259" s="1"/>
      <c r="AU5259" s="1"/>
      <c r="AV5259" s="1"/>
      <c r="AW5259" s="1"/>
      <c r="AX5259" s="1"/>
      <c r="AY5259" s="1"/>
      <c r="AZ5259" s="1"/>
      <c r="BA5259" s="1"/>
      <c r="BB5259" s="1"/>
    </row>
    <row r="5260" ht="204.75" customHeight="1">
      <c r="A5260" s="1">
        <v>2462.0</v>
      </c>
      <c r="B5260" s="2" t="s">
        <v>14592</v>
      </c>
      <c r="C5260" s="2">
        <f>IFERROR(__xludf.DUMMYFUNCTION("split(B5260,""_"")"),1410.0)</f>
        <v>1410</v>
      </c>
      <c r="D5260" s="2" t="str">
        <f>IFERROR(__xludf.DUMMYFUNCTION("""COMPUTED_VALUE"""),"TBS")</f>
        <v>TBS</v>
      </c>
      <c r="E5260" s="2" t="str">
        <f>IFERROR(__xludf.DUMMYFUNCTION("""COMPUTED_VALUE"""),"火22")</f>
        <v>火22</v>
      </c>
      <c r="F5260" s="2" t="s">
        <v>14593</v>
      </c>
      <c r="G5260" s="2" t="s">
        <v>14612</v>
      </c>
      <c r="H5260" s="1">
        <v>10.0</v>
      </c>
      <c r="J5260" s="1" t="s">
        <v>86</v>
      </c>
      <c r="K5260" s="2" t="s">
        <v>14613</v>
      </c>
      <c r="L5260" s="2"/>
      <c r="M5260" s="2" t="str">
        <f>IFERROR(__xludf.DUMMYFUNCTION("split(split(K5260,""【"",false),""公式LINE"",false)"),"忠守法律事務所に戻ってきた凛香（寺島しのぶ）と再び最強タッグを組むことになった麗（深田恭子）！そんな時、忠守（上川隆也）が過去の案件で運転手である平田（和泉崇司）の弁護をしていたことが報道される！不信感を抱いた野村（安達祐実）率いる遺族会のメンバーは、忠守法律事務所に対して解任要求を宣告する。次々に明かされる事実に困惑する面々。最大のピンチに麗たちはどう立ち向かうのか！？岩崎麗：深田恭子  海老沢凛香：寺島しのぶ  滝口泰輔：溝端淳平  工藤誠司：吉沢悠  葛城雄二：加藤雅也  児玉義勝：竹中直人  蝶野"&amp;"薫：松重豊  忠守藤次郎：上川隆也    野村涼子：安達祐実　　  岡部哲平：三又又三　　  小橋アキラ：川野直輝　　　　　　主題歌：いきものがかり『GOLDEN GIRL』（エピックレコードジャパン）監督：滝本憲吾　　　　  脚本：高橋泉◇番組HP http://www.tbs.co.jp/yurusanai2014/  最終回映像！最強の二人 最後の戦い! 動画公開しました！  http://youtu.be/JQF7cwPwl7g  年またぎはTBSのスポーツ祭りで！大晦日よる6時からはメッシが参戦"&amp;"するKYOKUGEN！元日あさ8時半からは駅伝日本一決定戦・ニューイヤー駅伝！よる6時からはプルシェンコが舞う！炎の体育会TV！番組の内容と放送時間は変更になる可能性があります。")</f>
        <v>忠守法律事務所に戻ってきた凛香（寺島しのぶ）と再び最強タッグを組むことになった麗（深田恭子）！そんな時、忠守（上川隆也）が過去の案件で運転手である平田（和泉崇司）の弁護をしていたことが報道される！不信感を抱いた野村（安達祐実）率いる遺族会のメンバーは、忠守法律事務所に対して解任要求を宣告する。次々に明かされる事実に困惑する面々。最大のピンチに麗たちはどう立ち向かうのか！？岩崎麗：深田恭子  海老沢凛香：寺島しのぶ  滝口泰輔：溝端淳平  工藤誠司：吉沢悠  葛城雄二：加藤雅也  児玉義勝：竹中直人  蝶野薫：松重豊  忠守藤次郎：上川隆也    野村涼子：安達祐実　　  岡部哲平：三又又三　　  小橋アキラ：川野直輝　　　　　　主題歌：いきものがかり『GOLDEN GIRL』（エピックレコードジャパン）監督：滝本憲吾　　　　  脚本：高橋泉◇番組HP http://www.tbs.co.jp/yurusanai2014/  最終回映像！最強の二人 最後の戦い! 動画公開しました！  http://youtu.be/JQF7cwPwl7g  年またぎはTBSのスポーツ祭りで！大晦日よる6時からはメッシが参戦するKYOKUGEN！元日あさ8時半からは駅伝日本一決定戦・ニューイヤー駅伝！よる6時からはプルシェンコが舞う！炎の体育会TV！番組の内容と放送時間は変更になる可能性があります。</v>
      </c>
      <c r="N5260" s="2"/>
      <c r="O5260" s="2"/>
      <c r="P5260" s="1"/>
      <c r="Q5260" s="1"/>
      <c r="R5260" s="1"/>
      <c r="S5260" s="1"/>
      <c r="T5260" s="1"/>
      <c r="U5260" s="1"/>
      <c r="V5260" s="1"/>
      <c r="W5260" s="1"/>
      <c r="X5260" s="1"/>
      <c r="Y5260" s="1"/>
      <c r="Z5260" s="1"/>
      <c r="AA5260" s="1"/>
      <c r="AB5260" s="1"/>
      <c r="AC5260" s="1"/>
      <c r="AD5260" s="1"/>
      <c r="AE5260" s="1"/>
      <c r="AF5260" s="1"/>
      <c r="AG5260" s="1"/>
      <c r="AH5260" s="1"/>
      <c r="AI5260" s="1"/>
      <c r="AJ5260" s="1"/>
      <c r="AK5260" s="1"/>
      <c r="AL5260" s="1"/>
      <c r="AM5260" s="1"/>
      <c r="AN5260" s="1"/>
      <c r="AO5260" s="1"/>
      <c r="AP5260" s="1"/>
      <c r="AQ5260" s="1"/>
      <c r="AR5260" s="1"/>
      <c r="AS5260" s="1"/>
      <c r="AT5260" s="1"/>
      <c r="AU5260" s="1"/>
      <c r="AV5260" s="1"/>
      <c r="AW5260" s="1"/>
      <c r="AX5260" s="1"/>
      <c r="AY5260" s="1"/>
      <c r="AZ5260" s="1"/>
      <c r="BA5260" s="1"/>
      <c r="BB5260" s="1"/>
    </row>
    <row r="5261" ht="204.75" customHeight="1">
      <c r="A5261" s="1">
        <v>2483.0</v>
      </c>
      <c r="B5261" s="2" t="s">
        <v>14614</v>
      </c>
      <c r="C5261" s="2">
        <f>IFERROR(__xludf.DUMMYFUNCTION("split(B5261,""_"")"),1410.0)</f>
        <v>1410</v>
      </c>
      <c r="D5261" s="2" t="str">
        <f>IFERROR(__xludf.DUMMYFUNCTION("""COMPUTED_VALUE"""),"TBS")</f>
        <v>TBS</v>
      </c>
      <c r="E5261" s="2" t="str">
        <f>IFERROR(__xludf.DUMMYFUNCTION("""COMPUTED_VALUE"""),"木21")</f>
        <v>木21</v>
      </c>
      <c r="F5261" s="2" t="s">
        <v>14615</v>
      </c>
      <c r="G5261" s="2" t="s">
        <v>14616</v>
      </c>
      <c r="H5261" s="1">
        <v>1.0</v>
      </c>
      <c r="J5261" s="1" t="s">
        <v>12865</v>
      </c>
      <c r="K5261" s="2" t="s">
        <v>14617</v>
      </c>
      <c r="L5261" s="2"/>
      <c r="M5261" s="2" t="str">
        <f>IFERROR(__xludf.DUMMYFUNCTION("split(split(K5261,""【"",false),""公式LINE"",false)"),"Season1のラストから半年後。公安の「グラークα」作戦の空白の72時間に妻・千尋（石田ゆり子）に何が起きたのか。情報を得るべくフリーライター・汐里（蒼井優）に接触する。その頃、北海道のエネルギー施設が爆破され、美希（真木よう子）が捜査を担う。そして大杉（香川照之）は死んだはずの「百舌」と同じ手口で殺された死体を見つけ…三人の再会が、国家を揺るがす新たな事件の幕開けを告げる！映像化不可能と言われ続けてきた日本を代表する伝説のハードボイルド小説「百舌」シリーズの映像化をTBSとWOWOWが挑んだ『MOZU"&amp;"』。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https://www.facebook.com/MOZ"&amp;"U.TBS.WOWOW  ◇ツイッター  @MOZU2014  https://twitter.com/MOZU2014  ◇YouTube「MOZU.TV」  https://www.youtube.com/user/mozutv監督  羽住英一郎    原作  逢坂剛「百舌の叫ぶ夜」（集英社文庫刊）    脚本  仁志光佑    音楽  菅野祐悟制作協力　ROBOT  製作　TBS・WOWOW  番組の内容と放送時間は変更になる場合があります。")</f>
        <v>Season1のラストから半年後。公安の「グラークα」作戦の空白の72時間に妻・千尋（石田ゆり子）に何が起きたのか。情報を得るべくフリーライター・汐里（蒼井優）に接触する。その頃、北海道のエネルギー施設が爆破され、美希（真木よう子）が捜査を担う。そして大杉（香川照之）は死んだはずの「百舌」と同じ手口で殺された死体を見つけ…三人の再会が、国家を揺るがす新たな事件の幕開けを告げる！映像化不可能と言われ続けてきた日本を代表する伝説のハードボイルド小説「百舌」シリーズの映像化をTBSとWOWOWが挑んだ『MOZU』。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https://www.facebook.com/MOZU.TBS.WOWOW  ◇ツイッター  @MOZU2014  https://twitter.com/MOZU2014  ◇YouTube「MOZU.TV」  https://www.youtube.com/user/mozutv監督  羽住英一郎    原作  逢坂剛「百舌の叫ぶ夜」（集英社文庫刊）    脚本  仁志光佑    音楽  菅野祐悟制作協力　ROBOT  製作　TBS・WOWOW  番組の内容と放送時間は変更になる場合があります。</v>
      </c>
      <c r="N5261" s="2"/>
      <c r="O5261" s="2"/>
      <c r="P5261" s="1"/>
      <c r="Q5261" s="1"/>
      <c r="R5261" s="1"/>
      <c r="S5261" s="1"/>
      <c r="T5261" s="1"/>
      <c r="U5261" s="1"/>
      <c r="V5261" s="1"/>
      <c r="W5261" s="1"/>
      <c r="X5261" s="1"/>
      <c r="Y5261" s="1"/>
      <c r="Z5261" s="1"/>
      <c r="AA5261" s="1"/>
      <c r="AB5261" s="1"/>
      <c r="AC5261" s="1"/>
      <c r="AD5261" s="1"/>
      <c r="AE5261" s="1"/>
      <c r="AF5261" s="1"/>
      <c r="AG5261" s="1"/>
      <c r="AH5261" s="1"/>
      <c r="AI5261" s="1"/>
      <c r="AJ5261" s="1"/>
      <c r="AK5261" s="1"/>
      <c r="AL5261" s="1"/>
      <c r="AM5261" s="1"/>
      <c r="AN5261" s="1"/>
      <c r="AO5261" s="1"/>
      <c r="AP5261" s="1"/>
      <c r="AQ5261" s="1"/>
      <c r="AR5261" s="1"/>
      <c r="AS5261" s="1"/>
      <c r="AT5261" s="1"/>
      <c r="AU5261" s="1"/>
      <c r="AV5261" s="1"/>
      <c r="AW5261" s="1"/>
      <c r="AX5261" s="1"/>
      <c r="AY5261" s="1"/>
      <c r="AZ5261" s="1"/>
      <c r="BA5261" s="1"/>
      <c r="BB5261" s="1"/>
    </row>
    <row r="5262" ht="204.75" customHeight="1">
      <c r="A5262" s="1">
        <v>2484.0</v>
      </c>
      <c r="B5262" s="2" t="s">
        <v>14614</v>
      </c>
      <c r="C5262" s="2">
        <f>IFERROR(__xludf.DUMMYFUNCTION("split(B5262,""_"")"),1410.0)</f>
        <v>1410</v>
      </c>
      <c r="D5262" s="2" t="str">
        <f>IFERROR(__xludf.DUMMYFUNCTION("""COMPUTED_VALUE"""),"TBS")</f>
        <v>TBS</v>
      </c>
      <c r="E5262" s="2" t="str">
        <f>IFERROR(__xludf.DUMMYFUNCTION("""COMPUTED_VALUE"""),"木21")</f>
        <v>木21</v>
      </c>
      <c r="F5262" s="2" t="s">
        <v>14615</v>
      </c>
      <c r="G5262" s="2" t="s">
        <v>14618</v>
      </c>
      <c r="H5262" s="1">
        <v>2.0</v>
      </c>
      <c r="J5262" s="1" t="s">
        <v>11</v>
      </c>
      <c r="K5262" s="2" t="s">
        <v>14619</v>
      </c>
      <c r="L5262" s="2"/>
      <c r="M5262" s="2" t="str">
        <f>IFERROR(__xludf.DUMMYFUNCTION("split(split(K5262,""【"",false),""公式LINE"",false)"),"汐里（蒼井優）が「百舌」らしき男（池松壮亮）と一緒にいることを掴んだ倉木と大杉だったが、その巧みな弁舌に翻弄されてしまう。苛立ちを募らせていたところに突然現れた東（長谷川博己）に挑発され、ついに倉木は森原官房長官との直接対決へ。議員会館前で二人が向かい合った時、倉木に最大の危機が訪れる。映像化不可能と言われ続けてきた日本を代表する伝説のハードボイルド小説「百舌」シリーズの映像化をTBSとWOWOWが挑んだ『MOZU』。  かつてないスケール感で圧倒的な反響を得たSeason1に続き、いよいよSeason2"&amp;"が地上波初放送。倉木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https://www.facebook.com/MOZU.TBS.WOWOW◇ツイッター  @MOZU2014  https://twitter."&amp;"com/MOZU2014  ◇YouTube「MOZU.TV」  https://www.youtube.com/user/mozutv監督  羽住英一郎    原作  逢坂剛「百舌の叫ぶ夜」（集英社文庫刊）    脚本  仁志光佑    音楽  菅野祐悟制作協力　ROBOT  製作　TBS・WOWOW  番組の内容と放送時間は変更になる場合があります。")</f>
        <v>汐里（蒼井優）が「百舌」らしき男（池松壮亮）と一緒にいることを掴んだ倉木と大杉だったが、その巧みな弁舌に翻弄されてしまう。苛立ちを募らせていたところに突然現れた東（長谷川博己）に挑発され、ついに倉木は森原官房長官との直接対決へ。議員会館前で二人が向かい合った時、倉木に最大の危機が訪れる。映像化不可能と言われ続けてきた日本を代表する伝説のハードボイルド小説「百舌」シリーズの映像化をTBSとWOWOWが挑んだ『MOZU』。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https://www.facebook.com/MOZU.TBS.WOWOW◇ツイッター  @MOZU2014  https://twitter.com/MOZU2014  ◇YouTube「MOZU.TV」  https://www.youtube.com/user/mozutv監督  羽住英一郎    原作  逢坂剛「百舌の叫ぶ夜」（集英社文庫刊）    脚本  仁志光佑    音楽  菅野祐悟制作協力　ROBOT  製作　TBS・WOWOW  番組の内容と放送時間は変更になる場合があります。</v>
      </c>
      <c r="N5262" s="2"/>
      <c r="O5262" s="2"/>
      <c r="P5262" s="1"/>
      <c r="Q5262" s="1"/>
      <c r="R5262" s="1"/>
      <c r="S5262" s="1"/>
      <c r="T5262" s="1"/>
      <c r="U5262" s="1"/>
      <c r="V5262" s="1"/>
      <c r="W5262" s="1"/>
      <c r="X5262" s="1"/>
      <c r="Y5262" s="1"/>
      <c r="Z5262" s="1"/>
      <c r="AA5262" s="1"/>
      <c r="AB5262" s="1"/>
      <c r="AC5262" s="1"/>
      <c r="AD5262" s="1"/>
      <c r="AE5262" s="1"/>
      <c r="AF5262" s="1"/>
      <c r="AG5262" s="1"/>
      <c r="AH5262" s="1"/>
      <c r="AI5262" s="1"/>
      <c r="AJ5262" s="1"/>
      <c r="AK5262" s="1"/>
      <c r="AL5262" s="1"/>
      <c r="AM5262" s="1"/>
      <c r="AN5262" s="1"/>
      <c r="AO5262" s="1"/>
      <c r="AP5262" s="1"/>
      <c r="AQ5262" s="1"/>
      <c r="AR5262" s="1"/>
      <c r="AS5262" s="1"/>
      <c r="AT5262" s="1"/>
      <c r="AU5262" s="1"/>
      <c r="AV5262" s="1"/>
      <c r="AW5262" s="1"/>
      <c r="AX5262" s="1"/>
      <c r="AY5262" s="1"/>
      <c r="AZ5262" s="1"/>
      <c r="BA5262" s="1"/>
      <c r="BB5262" s="1"/>
    </row>
    <row r="5263" ht="204.75" customHeight="1">
      <c r="A5263" s="1">
        <v>2485.0</v>
      </c>
      <c r="B5263" s="2" t="s">
        <v>14614</v>
      </c>
      <c r="C5263" s="2">
        <f>IFERROR(__xludf.DUMMYFUNCTION("split(B5263,""_"")"),1410.0)</f>
        <v>1410</v>
      </c>
      <c r="D5263" s="2" t="str">
        <f>IFERROR(__xludf.DUMMYFUNCTION("""COMPUTED_VALUE"""),"TBS")</f>
        <v>TBS</v>
      </c>
      <c r="E5263" s="2" t="str">
        <f>IFERROR(__xludf.DUMMYFUNCTION("""COMPUTED_VALUE"""),"木21")</f>
        <v>木21</v>
      </c>
      <c r="F5263" s="2" t="s">
        <v>14615</v>
      </c>
      <c r="G5263" s="2" t="s">
        <v>14620</v>
      </c>
      <c r="H5263" s="1">
        <v>3.0</v>
      </c>
      <c r="J5263" s="1" t="s">
        <v>11</v>
      </c>
      <c r="K5263" s="2" t="s">
        <v>14621</v>
      </c>
      <c r="L5263" s="2"/>
      <c r="M5263" s="2" t="str">
        <f>IFERROR(__xludf.DUMMYFUNCTION("split(split(K5263,""【"",false),""公式LINE"",false)"),"官房長官殺害の嫌疑をかけられた倉木は姿をくらました。同じ頃、車にはねられた美希は、運転手が誰かを察し、傷ついていた。そして、特別な絆で結ばれていた汐里と新谷和彦は、公安部長の池沢（佐野史郎）が開いた衝撃的な記者会見を知り怒りに体を震わせる。事件の裏には大国ロシアの影が…。それぞれの思いが沸騰して行く中、グラークα作戦の核心に迫りつつある倉木の暴走を止めるべく銃を向けたのは…映像化不可能と言われ続けてきた日本を代表する伝説のハードボイルド小説「百舌」シリーズの映像化をTBSとWOWOWが挑んだ『MOZU』。"&amp;"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https://www.facebook.com/MOZU."&amp;"TBS.WOWOW◇ツイッター  @MOZU2014  https://twitter.com/MOZU2014  ◇YouTube「MOZU.TV」  https://www.youtube.com/user/mozutv監督  羽住英一郎    原作  逢坂剛「百舌の叫ぶ夜」（集英社文庫刊）    脚本  仁志光佑    音楽  菅野祐悟制作協力　ROBOT  製作　TBS・WOWOW18時より放送のSMBC日本シリーズ2014　第5戦　ソフトバンク×阪神の試合状況により、放送時間が変更になる可能性が"&amp;"ございます。")</f>
        <v>官房長官殺害の嫌疑をかけられた倉木は姿をくらました。同じ頃、車にはねられた美希は、運転手が誰かを察し、傷ついていた。そして、特別な絆で結ばれていた汐里と新谷和彦は、公安部長の池沢（佐野史郎）が開いた衝撃的な記者会見を知り怒りに体を震わせる。事件の裏には大国ロシアの影が…。それぞれの思いが沸騰して行く中、グラークα作戦の核心に迫りつつある倉木の暴走を止めるべく銃を向けたのは…映像化不可能と言われ続けてきた日本を代表する伝説のハードボイルド小説「百舌」シリーズの映像化をTBSとWOWOWが挑んだ『MOZU』。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https://www.facebook.com/MOZU.TBS.WOWOW◇ツイッター  @MOZU2014  https://twitter.com/MOZU2014  ◇YouTube「MOZU.TV」  https://www.youtube.com/user/mozutv監督  羽住英一郎    原作  逢坂剛「百舌の叫ぶ夜」（集英社文庫刊）    脚本  仁志光佑    音楽  菅野祐悟制作協力　ROBOT  製作　TBS・WOWOW18時より放送のSMBC日本シリーズ2014　第5戦　ソフトバンク×阪神の試合状況により、放送時間が変更になる可能性がございます。</v>
      </c>
      <c r="N5263" s="2"/>
      <c r="O5263" s="2"/>
      <c r="P5263" s="1"/>
      <c r="Q5263" s="1"/>
      <c r="R5263" s="1"/>
      <c r="S5263" s="1"/>
      <c r="T5263" s="1"/>
      <c r="U5263" s="1"/>
      <c r="V5263" s="1"/>
      <c r="W5263" s="1"/>
      <c r="X5263" s="1"/>
      <c r="Y5263" s="1"/>
      <c r="Z5263" s="1"/>
      <c r="AA5263" s="1"/>
      <c r="AB5263" s="1"/>
      <c r="AC5263" s="1"/>
      <c r="AD5263" s="1"/>
      <c r="AE5263" s="1"/>
      <c r="AF5263" s="1"/>
      <c r="AG5263" s="1"/>
      <c r="AH5263" s="1"/>
      <c r="AI5263" s="1"/>
      <c r="AJ5263" s="1"/>
      <c r="AK5263" s="1"/>
      <c r="AL5263" s="1"/>
      <c r="AM5263" s="1"/>
      <c r="AN5263" s="1"/>
      <c r="AO5263" s="1"/>
      <c r="AP5263" s="1"/>
      <c r="AQ5263" s="1"/>
      <c r="AR5263" s="1"/>
      <c r="AS5263" s="1"/>
      <c r="AT5263" s="1"/>
      <c r="AU5263" s="1"/>
      <c r="AV5263" s="1"/>
      <c r="AW5263" s="1"/>
      <c r="AX5263" s="1"/>
      <c r="AY5263" s="1"/>
      <c r="AZ5263" s="1"/>
      <c r="BA5263" s="1"/>
      <c r="BB5263" s="1"/>
    </row>
    <row r="5264" ht="204.75" customHeight="1">
      <c r="A5264" s="1">
        <v>2486.0</v>
      </c>
      <c r="B5264" s="2" t="s">
        <v>14614</v>
      </c>
      <c r="C5264" s="2">
        <f>IFERROR(__xludf.DUMMYFUNCTION("split(B5264,""_"")"),1410.0)</f>
        <v>1410</v>
      </c>
      <c r="D5264" s="2" t="str">
        <f>IFERROR(__xludf.DUMMYFUNCTION("""COMPUTED_VALUE"""),"TBS")</f>
        <v>TBS</v>
      </c>
      <c r="E5264" s="2" t="str">
        <f>IFERROR(__xludf.DUMMYFUNCTION("""COMPUTED_VALUE"""),"木21")</f>
        <v>木21</v>
      </c>
      <c r="F5264" s="2" t="s">
        <v>14615</v>
      </c>
      <c r="G5264" s="2" t="s">
        <v>14622</v>
      </c>
      <c r="H5264" s="1">
        <v>4.0</v>
      </c>
      <c r="J5264" s="1" t="s">
        <v>11</v>
      </c>
      <c r="K5264" s="2" t="s">
        <v>14623</v>
      </c>
      <c r="L5264" s="2"/>
      <c r="M5264" s="2" t="str">
        <f>IFERROR(__xludf.DUMMYFUNCTION("split(split(K5264,""【"",false),""公式LINE"",false)"),"池沢は今や和彦と汐里、共通のターゲットとなった。大杉は、鳴宮（伊藤淳史）の力で倉木の無実の証拠をみつけるが、池沢は相手にしない。倉木のためにも、自分のためにもグラークα作戦のヒントを掴もうと身を捨ててロシア人工作員に接触した美希の前に、倉木が現れた。そして警察上層部に不審を抱いた大杉も合流、3人はロシア人たちが集まるパーティーに潜入する。そこに現れたのは、東、そして、美希の最愛の…映像化不可能と言われ続けてきた日本を代表する伝説のハードボイルド小説「百舌」シリーズの映像化をTBSとWOWOWが挑んだ『MO"&amp;"ZU』。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https://www.facebook.com/M"&amp;"OZU.TBS.WOWOW  ◇ツイッター  @MOZU2014  https://twitter.com/MOZU2014  ◇YouTube「MOZU.TV」  https://www.youtube.com/user/mozutv  激しさを増す倉木の暴走…「Season2 ～幻の翼～」第3話（10/30）ダイジェスト＆次回（11/6）予告動画公開しました！  http://youtu.be/qDS3P3FM7p0  監督  羽住英一郎    原作  逢坂剛「百舌の叫ぶ夜」（集英社文庫刊）    脚"&amp;"本  仁志光佑    音楽  菅野祐悟制作協力　ROBOT  製作　TBS・WOWOW  番組の内容と放送時間は変更になる場合があります。")</f>
        <v>池沢は今や和彦と汐里、共通のターゲットとなった。大杉は、鳴宮（伊藤淳史）の力で倉木の無実の証拠をみつけるが、池沢は相手にしない。倉木のためにも、自分のためにもグラークα作戦のヒントを掴もうと身を捨ててロシア人工作員に接触した美希の前に、倉木が現れた。そして警察上層部に不審を抱いた大杉も合流、3人はロシア人たちが集まるパーティーに潜入する。そこに現れたのは、東、そして、美希の最愛の…映像化不可能と言われ続けてきた日本を代表する伝説のハードボイルド小説「百舌」シリーズの映像化をTBSとWOWOWが挑んだ『MOZU』。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https://www.facebook.com/MOZU.TBS.WOWOW  ◇ツイッター  @MOZU2014  https://twitter.com/MOZU2014  ◇YouTube「MOZU.TV」  https://www.youtube.com/user/mozutv  激しさを増す倉木の暴走…「Season2 ～幻の翼～」第3話（10/30）ダイジェスト＆次回（11/6）予告動画公開しました！  http://youtu.be/qDS3P3FM7p0  監督  羽住英一郎    原作  逢坂剛「百舌の叫ぶ夜」（集英社文庫刊）    脚本  仁志光佑    音楽  菅野祐悟制作協力　ROBOT  製作　TBS・WOWOW  番組の内容と放送時間は変更になる場合があります。</v>
      </c>
      <c r="N5264" s="2"/>
      <c r="O5264" s="2"/>
      <c r="P5264" s="1"/>
      <c r="Q5264" s="1"/>
      <c r="R5264" s="1"/>
      <c r="S5264" s="1"/>
      <c r="T5264" s="1"/>
      <c r="U5264" s="1"/>
      <c r="V5264" s="1"/>
      <c r="W5264" s="1"/>
      <c r="X5264" s="1"/>
      <c r="Y5264" s="1"/>
      <c r="Z5264" s="1"/>
      <c r="AA5264" s="1"/>
      <c r="AB5264" s="1"/>
      <c r="AC5264" s="1"/>
      <c r="AD5264" s="1"/>
      <c r="AE5264" s="1"/>
      <c r="AF5264" s="1"/>
      <c r="AG5264" s="1"/>
      <c r="AH5264" s="1"/>
      <c r="AI5264" s="1"/>
      <c r="AJ5264" s="1"/>
      <c r="AK5264" s="1"/>
      <c r="AL5264" s="1"/>
      <c r="AM5264" s="1"/>
      <c r="AN5264" s="1"/>
      <c r="AO5264" s="1"/>
      <c r="AP5264" s="1"/>
      <c r="AQ5264" s="1"/>
      <c r="AR5264" s="1"/>
      <c r="AS5264" s="1"/>
      <c r="AT5264" s="1"/>
      <c r="AU5264" s="1"/>
      <c r="AV5264" s="1"/>
      <c r="AW5264" s="1"/>
      <c r="AX5264" s="1"/>
      <c r="AY5264" s="1"/>
      <c r="AZ5264" s="1"/>
      <c r="BA5264" s="1"/>
      <c r="BB5264" s="1"/>
    </row>
    <row r="5265" ht="204.75" customHeight="1">
      <c r="A5265" s="1">
        <v>2487.0</v>
      </c>
      <c r="B5265" s="2" t="s">
        <v>14614</v>
      </c>
      <c r="C5265" s="2">
        <f>IFERROR(__xludf.DUMMYFUNCTION("split(B5265,""_"")"),1410.0)</f>
        <v>1410</v>
      </c>
      <c r="D5265" s="2" t="str">
        <f>IFERROR(__xludf.DUMMYFUNCTION("""COMPUTED_VALUE"""),"TBS")</f>
        <v>TBS</v>
      </c>
      <c r="E5265" s="2" t="str">
        <f>IFERROR(__xludf.DUMMYFUNCTION("""COMPUTED_VALUE"""),"木21")</f>
        <v>木21</v>
      </c>
      <c r="F5265" s="2" t="s">
        <v>14615</v>
      </c>
      <c r="G5265" s="2" t="s">
        <v>14624</v>
      </c>
      <c r="H5265" s="1">
        <v>5.0</v>
      </c>
      <c r="J5265" s="1" t="s">
        <v>11</v>
      </c>
      <c r="K5265" s="2" t="s">
        <v>14625</v>
      </c>
      <c r="L5265" s="2"/>
      <c r="M5265" s="2" t="str">
        <f>IFERROR(__xludf.DUMMYFUNCTION("split(split(K5265,""【"",false),""公式LINE"",false)"),"グラークα作戦が展開されたのは北海道の孤島であることを知った倉木と美希は雪原へと旅立つ。大杉は池沢との対決に臨むが、池沢を狙う百舌、そして汐里と津城（小日向文世）もその場に姿を現す。それは百舌にとっても予想外のできごとであった。やがて想像を遥かに越えたある施設の中で、倉木は千尋の残した痕跡をみつける…過去が甦り、記憶が幻のごとく羽ばたく。倉木が最後にたどりついた「本当の真実」とは？映像化不可能と言われ続けてきた日本を代表する伝説のハードボイルド小説「百舌」シリーズの映像化をTBSとWOWOWが挑んだ『MO"&amp;"ZU』。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https://www.facebook.com/M"&amp;"OZU.TBS.WOWOW◇ツイッター  @MOZU2014  https://twitter.com/MOZU2014  ◇YouTube「MOZU.TV」  https://www.youtube.com/user/mozutvクライマックスへ！「Season2 ～幻の翼～」第4話（11/6）ダイジェスト＆最終回（11/13）予告 動画公開しました！  http://youtu.be/RBHeDTmMfiE  監督  羽住英一郎    原作  逢坂剛「百舌の叫ぶ夜」（集英社文庫刊）    脚本  仁志"&amp;"光佑    音楽  菅野祐悟制作協力　ROBOT  製作　TBS・WOWOW  番組の内容と放送時間は変更になる場合があります。")</f>
        <v>グラークα作戦が展開されたのは北海道の孤島であることを知った倉木と美希は雪原へと旅立つ。大杉は池沢との対決に臨むが、池沢を狙う百舌、そして汐里と津城（小日向文世）もその場に姿を現す。それは百舌にとっても予想外のできごとであった。やがて想像を遥かに越えたある施設の中で、倉木は千尋の残した痕跡をみつける…過去が甦り、記憶が幻のごとく羽ばたく。倉木が最後にたどりついた「本当の真実」とは？映像化不可能と言われ続けてきた日本を代表する伝説のハードボイルド小説「百舌」シリーズの映像化をTBSとWOWOWが挑んだ『MOZU』。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https://www.facebook.com/MOZU.TBS.WOWOW◇ツイッター  @MOZU2014  https://twitter.com/MOZU2014  ◇YouTube「MOZU.TV」  https://www.youtube.com/user/mozutvクライマックスへ！「Season2 ～幻の翼～」第4話（11/6）ダイジェスト＆最終回（11/13）予告 動画公開しました！  http://youtu.be/RBHeDTmMfiE  監督  羽住英一郎    原作  逢坂剛「百舌の叫ぶ夜」（集英社文庫刊）    脚本  仁志光佑    音楽  菅野祐悟制作協力　ROBOT  製作　TBS・WOWOW  番組の内容と放送時間は変更になる場合があります。</v>
      </c>
      <c r="N5265" s="2"/>
      <c r="O5265" s="2"/>
      <c r="P5265" s="1"/>
      <c r="Q5265" s="1"/>
      <c r="R5265" s="1"/>
      <c r="S5265" s="1"/>
      <c r="T5265" s="1"/>
      <c r="U5265" s="1"/>
      <c r="V5265" s="1"/>
      <c r="W5265" s="1"/>
      <c r="X5265" s="1"/>
      <c r="Y5265" s="1"/>
      <c r="Z5265" s="1"/>
      <c r="AA5265" s="1"/>
      <c r="AB5265" s="1"/>
      <c r="AC5265" s="1"/>
      <c r="AD5265" s="1"/>
      <c r="AE5265" s="1"/>
      <c r="AF5265" s="1"/>
      <c r="AG5265" s="1"/>
      <c r="AH5265" s="1"/>
      <c r="AI5265" s="1"/>
      <c r="AJ5265" s="1"/>
      <c r="AK5265" s="1"/>
      <c r="AL5265" s="1"/>
      <c r="AM5265" s="1"/>
      <c r="AN5265" s="1"/>
      <c r="AO5265" s="1"/>
      <c r="AP5265" s="1"/>
      <c r="AQ5265" s="1"/>
      <c r="AR5265" s="1"/>
      <c r="AS5265" s="1"/>
      <c r="AT5265" s="1"/>
      <c r="AU5265" s="1"/>
      <c r="AV5265" s="1"/>
      <c r="AW5265" s="1"/>
      <c r="AX5265" s="1"/>
      <c r="AY5265" s="1"/>
      <c r="AZ5265" s="1"/>
      <c r="BA5265" s="1"/>
      <c r="BB5265" s="1"/>
    </row>
    <row r="5266" ht="204.75" customHeight="1">
      <c r="A5266" s="1">
        <v>2519.0</v>
      </c>
      <c r="B5266" s="2" t="s">
        <v>14626</v>
      </c>
      <c r="C5266" s="2">
        <f>IFERROR(__xludf.DUMMYFUNCTION("split(B5266,""_"")"),1410.0)</f>
        <v>1410</v>
      </c>
      <c r="D5266" s="2" t="str">
        <f>IFERROR(__xludf.DUMMYFUNCTION("""COMPUTED_VALUE"""),"TBS")</f>
        <v>TBS</v>
      </c>
      <c r="E5266" s="2" t="str">
        <f>IFERROR(__xludf.DUMMYFUNCTION("""COMPUTED_VALUE"""),"金22")</f>
        <v>金22</v>
      </c>
      <c r="F5266" s="2" t="s">
        <v>14627</v>
      </c>
      <c r="G5266" s="2" t="s">
        <v>14628</v>
      </c>
      <c r="H5266" s="1">
        <v>1.0</v>
      </c>
      <c r="J5266" s="1" t="s">
        <v>82</v>
      </c>
      <c r="K5266" s="2" t="s">
        <v>14629</v>
      </c>
      <c r="L5266" s="2"/>
      <c r="M5266" s="2" t="str">
        <f>IFERROR(__xludf.DUMMYFUNCTION("split(split(K5266,""【"",false),""公式LINE"",false)"),"高層マンションに住む、野口貴弘（徳井義実）・奈央子（小西真奈美）夫妻が殺害された。“ある計画”を立てた、大学生の希美（榮倉奈々）、成瀬（窪田正孝）、安藤（賀来賢人）、西崎（小出恵介）は、その殺人現場に居合わせてしまい、西崎が逮捕される。10年後、この事件に疑いを抱く元警察官・高野（三浦友和）は、殺人事件の真相を追い始める。この事件は15年前の夏、希美と成瀬が起こした“ある事件”から始まっていた。15年前、瀬戸内海に浮かぶ青景島。高校生の希美は、ある日、東京から愛人の宮下由妃（柴本幸）を連れて帰ってきた父・"&amp;"晋（光石研）に、母・早苗（山本未來）ともども家を追い出されてしまい・・・。杉下希美・・・榮倉奈々  成瀬慎司・・・窪田正孝  安藤望・・・賀来賢人  　　　　　・  西崎真人・・・小出恵介    杉下晋・・・光石研  杉下早苗・・・山本未來    野口貴弘・・・徳井義実  野口奈央子・・・小西真奈美  　　　　・　　　　　　　　　　　　　　　高野茂・・・三浦友和高野夏恵・・・原日出子  宮下由妃・・・柴本幸  成瀬周平・・・モロ師岡  成瀬瑞穂・・・美保純  杉下洋介・・・葉山奨之音楽　横山克  主題歌『"&amp;"Silly』家入レオ（ビクターエンターテインメント）脚本：奥寺佐渡子  演出：塚原あゆ子  プロデュース・新井順子▽番組HP  http://www.tbs.co.jp/Nnotameni/  ▽twitter  @n_notameni_tbs  https://twitter.com/n_notameni_tbs  金曜ドラマ『Nのために』「最新映像」をスペシャル公開！90秒プロモーション動画公開しました！  http://youtu.be/etkr88WS15Q  熱いカメラ目線で・・・賀来賢人の「M"&amp;"（みなさん）のために」番外編スタート！  http://youtu.be/S0o1BUG3s94  窪田正孝＆賀来賢人ツーショットで試写会突撃リポ！「M（みなさん）のために」番外編＃3  http://youtu.be/3o2bLq6oVhE  番組の内容と放送時間は変更になる場合があります。")</f>
        <v>高層マンションに住む、野口貴弘（徳井義実）・奈央子（小西真奈美）夫妻が殺害された。“ある計画”を立てた、大学生の希美（榮倉奈々）、成瀬（窪田正孝）、安藤（賀来賢人）、西崎（小出恵介）は、その殺人現場に居合わせてしまい、西崎が逮捕される。10年後、この事件に疑いを抱く元警察官・高野（三浦友和）は、殺人事件の真相を追い始める。この事件は15年前の夏、希美と成瀬が起こした“ある事件”から始まっていた。15年前、瀬戸内海に浮かぶ青景島。高校生の希美は、ある日、東京から愛人の宮下由妃（柴本幸）を連れて帰ってきた父・晋（光石研）に、母・早苗（山本未來）ともども家を追い出されてしまい・・・。杉下希美・・・榮倉奈々  成瀬慎司・・・窪田正孝  安藤望・・・賀来賢人  　　　　　・  西崎真人・・・小出恵介    杉下晋・・・光石研  杉下早苗・・・山本未來    野口貴弘・・・徳井義実  野口奈央子・・・小西真奈美  　　　　・　　　　　　　　　　　　　　　高野茂・・・三浦友和高野夏恵・・・原日出子  宮下由妃・・・柴本幸  成瀬周平・・・モロ師岡  成瀬瑞穂・・・美保純  杉下洋介・・・葉山奨之音楽　横山克  主題歌『Silly』家入レオ（ビクターエンターテインメント）脚本：奥寺佐渡子  演出：塚原あゆ子  プロデュース・新井順子▽番組HP  http://www.tbs.co.jp/Nnotameni/  ▽twitter  @n_notameni_tbs  https://twitter.com/n_notameni_tbs  金曜ドラマ『Nのために』「最新映像」をスペシャル公開！90秒プロモーション動画公開しました！  http://youtu.be/etkr88WS15Q  熱いカメラ目線で・・・賀来賢人の「M（みなさん）のために」番外編スタート！  http://youtu.be/S0o1BUG3s94  窪田正孝＆賀来賢人ツーショットで試写会突撃リポ！「M（みなさん）のために」番外編＃3  http://youtu.be/3o2bLq6oVhE  番組の内容と放送時間は変更になる場合があります。</v>
      </c>
      <c r="N5266" s="2"/>
      <c r="O5266" s="2"/>
      <c r="P5266" s="1"/>
      <c r="Q5266" s="1"/>
      <c r="R5266" s="1"/>
      <c r="S5266" s="1"/>
      <c r="T5266" s="1"/>
      <c r="U5266" s="1"/>
      <c r="V5266" s="1"/>
      <c r="W5266" s="1"/>
      <c r="X5266" s="1"/>
      <c r="Y5266" s="1"/>
      <c r="Z5266" s="1"/>
      <c r="AA5266" s="1"/>
      <c r="AB5266" s="1"/>
      <c r="AC5266" s="1"/>
      <c r="AD5266" s="1"/>
      <c r="AE5266" s="1"/>
      <c r="AF5266" s="1"/>
      <c r="AG5266" s="1"/>
      <c r="AH5266" s="1"/>
      <c r="AI5266" s="1"/>
      <c r="AJ5266" s="1"/>
      <c r="AK5266" s="1"/>
      <c r="AL5266" s="1"/>
      <c r="AM5266" s="1"/>
      <c r="AN5266" s="1"/>
      <c r="AO5266" s="1"/>
      <c r="AP5266" s="1"/>
      <c r="AQ5266" s="1"/>
      <c r="AR5266" s="1"/>
      <c r="AS5266" s="1"/>
      <c r="AT5266" s="1"/>
      <c r="AU5266" s="1"/>
      <c r="AV5266" s="1"/>
      <c r="AW5266" s="1"/>
      <c r="AX5266" s="1"/>
      <c r="AY5266" s="1"/>
      <c r="AZ5266" s="1"/>
      <c r="BA5266" s="1"/>
      <c r="BB5266" s="1"/>
    </row>
    <row r="5267" ht="204.75" customHeight="1">
      <c r="A5267" s="1">
        <v>2520.0</v>
      </c>
      <c r="B5267" s="2" t="s">
        <v>14626</v>
      </c>
      <c r="C5267" s="2">
        <f>IFERROR(__xludf.DUMMYFUNCTION("split(B5267,""_"")"),1410.0)</f>
        <v>1410</v>
      </c>
      <c r="D5267" s="2" t="str">
        <f>IFERROR(__xludf.DUMMYFUNCTION("""COMPUTED_VALUE"""),"TBS")</f>
        <v>TBS</v>
      </c>
      <c r="E5267" s="2" t="str">
        <f>IFERROR(__xludf.DUMMYFUNCTION("""COMPUTED_VALUE"""),"金22")</f>
        <v>金22</v>
      </c>
      <c r="F5267" s="2" t="s">
        <v>14627</v>
      </c>
      <c r="G5267" s="2" t="s">
        <v>14630</v>
      </c>
      <c r="H5267" s="1">
        <v>2.0</v>
      </c>
      <c r="I5267" s="1" t="s">
        <v>2868</v>
      </c>
      <c r="J5267" s="1" t="s">
        <v>86</v>
      </c>
      <c r="K5267" s="2" t="s">
        <v>14631</v>
      </c>
      <c r="L5267" s="2"/>
      <c r="M5267" s="2" t="str">
        <f>IFERROR(__xludf.DUMMYFUNCTION("split(split(K5267,""【"",false),""公式LINE"",false)"),"東京の大学に進学したい希美（榮倉奈々）は、バイトに励みながら、奨学金を受けることが出来ないかと動き始めるが、母・早苗（山本未來）によって、貯めたバイト代を失ってしまう。精神的に追い詰められた希美は、父・晋（光石研）が愛人と暮らす家を燃やそうと思い詰め・・・。一方、成瀬（窪田正孝）は両親が経営する料亭・さざなみが閉店すると聞き、進路変更を余儀なくされる。そんな中、島を揺るがす大事件が起こり・・・。事件の真相を探る高野（三浦友和）は、犯人・西崎（小出恵介）、そして関係者の安藤（賀来賢人）を訪ね、希美と成瀬の居"&amp;"場所を探していた。キーワードとなった言葉は「Nのために」Nとは一体何を意味するのか。杉下希美・・・榮倉奈々  成瀬慎司・・・窪田正孝  安藤望・・・賀来賢人  　　　　　・  西崎真人・・・小出恵介    杉下晋・・・光石研  杉下早苗・・・山本未來    野口貴弘・・・徳井義実  野口奈央子・・・小西真奈美  　　　　・  高野茂・・・三浦友和高野夏恵・・・原日出子  宮下由妃・・・柴本幸  成瀬周平・・・モロ師岡  成瀬瑞穂・・・美保純  桐野繭子・・・伊藤裕子音楽　横山克  主題歌『Silly』家入"&amp;"レオ（ビクターエンターテインメント）脚本：奥寺佐渡子  演出：塚原あゆ子  プロデュース・新井順子▽番組HP  http://www.tbs.co.jp/Nnotameni/  ▽twitter  @n_notameni_tbs  https://twitter.com/n_notameni_tbs  金曜ドラマ『Nのために』#1ダイジェスト＆次回予告「その人の為なら人殺しにもなれる…」 動画公開しました！  http://youtu.be/Cr5hKGlLnvI  番組の内容と放送時間は変更になる場合が"&amp;"あります。")</f>
        <v>東京の大学に進学したい希美（榮倉奈々）は、バイトに励みながら、奨学金を受けることが出来ないかと動き始めるが、母・早苗（山本未來）によって、貯めたバイト代を失ってしまう。精神的に追い詰められた希美は、父・晋（光石研）が愛人と暮らす家を燃やそうと思い詰め・・・。一方、成瀬（窪田正孝）は両親が経営する料亭・さざなみが閉店すると聞き、進路変更を余儀なくされる。そんな中、島を揺るがす大事件が起こり・・・。事件の真相を探る高野（三浦友和）は、犯人・西崎（小出恵介）、そして関係者の安藤（賀来賢人）を訪ね、希美と成瀬の居場所を探していた。キーワードとなった言葉は「Nのために」Nとは一体何を意味するのか。杉下希美・・・榮倉奈々  成瀬慎司・・・窪田正孝  安藤望・・・賀来賢人  　　　　　・  西崎真人・・・小出恵介    杉下晋・・・光石研  杉下早苗・・・山本未來    野口貴弘・・・徳井義実  野口奈央子・・・小西真奈美  　　　　・  高野茂・・・三浦友和高野夏恵・・・原日出子  宮下由妃・・・柴本幸  成瀬周平・・・モロ師岡  成瀬瑞穂・・・美保純  桐野繭子・・・伊藤裕子音楽　横山克  主題歌『Silly』家入レオ（ビクターエンターテインメント）脚本：奥寺佐渡子  演出：塚原あゆ子  プロデュース・新井順子▽番組HP  http://www.tbs.co.jp/Nnotameni/  ▽twitter  @n_notameni_tbs  https://twitter.com/n_notameni_tbs  金曜ドラマ『Nのために』#1ダイジェスト＆次回予告「その人の為なら人殺しにもなれる…」 動画公開しました！  http://youtu.be/Cr5hKGlLnvI  番組の内容と放送時間は変更になる場合があります。</v>
      </c>
      <c r="N5267" s="2"/>
      <c r="O5267" s="2"/>
      <c r="P5267" s="1"/>
      <c r="Q5267" s="1"/>
      <c r="R5267" s="1"/>
      <c r="S5267" s="1"/>
      <c r="T5267" s="1"/>
      <c r="U5267" s="1"/>
      <c r="V5267" s="1"/>
      <c r="W5267" s="1"/>
      <c r="X5267" s="1"/>
      <c r="Y5267" s="1"/>
      <c r="Z5267" s="1"/>
      <c r="AA5267" s="1"/>
      <c r="AB5267" s="1"/>
      <c r="AC5267" s="1"/>
      <c r="AD5267" s="1"/>
      <c r="AE5267" s="1"/>
      <c r="AF5267" s="1"/>
      <c r="AG5267" s="1"/>
      <c r="AH5267" s="1"/>
      <c r="AI5267" s="1"/>
      <c r="AJ5267" s="1"/>
      <c r="AK5267" s="1"/>
      <c r="AL5267" s="1"/>
      <c r="AM5267" s="1"/>
      <c r="AN5267" s="1"/>
      <c r="AO5267" s="1"/>
      <c r="AP5267" s="1"/>
      <c r="AQ5267" s="1"/>
      <c r="AR5267" s="1"/>
      <c r="AS5267" s="1"/>
      <c r="AT5267" s="1"/>
      <c r="AU5267" s="1"/>
      <c r="AV5267" s="1"/>
      <c r="AW5267" s="1"/>
      <c r="AX5267" s="1"/>
      <c r="AY5267" s="1"/>
      <c r="AZ5267" s="1"/>
      <c r="BA5267" s="1"/>
      <c r="BB5267" s="1"/>
    </row>
    <row r="5268" ht="204.75" customHeight="1">
      <c r="A5268" s="1">
        <v>2521.0</v>
      </c>
      <c r="B5268" s="2" t="s">
        <v>14626</v>
      </c>
      <c r="C5268" s="2">
        <f>IFERROR(__xludf.DUMMYFUNCTION("split(B5268,""_"")"),1410.0)</f>
        <v>1410</v>
      </c>
      <c r="D5268" s="2" t="str">
        <f>IFERROR(__xludf.DUMMYFUNCTION("""COMPUTED_VALUE"""),"TBS")</f>
        <v>TBS</v>
      </c>
      <c r="E5268" s="2" t="str">
        <f>IFERROR(__xludf.DUMMYFUNCTION("""COMPUTED_VALUE"""),"金22")</f>
        <v>金22</v>
      </c>
      <c r="F5268" s="2" t="s">
        <v>14627</v>
      </c>
      <c r="G5268" s="2" t="s">
        <v>14632</v>
      </c>
      <c r="H5268" s="1">
        <v>3.0</v>
      </c>
      <c r="I5268" s="1" t="s">
        <v>14547</v>
      </c>
      <c r="J5268" s="1" t="s">
        <v>86</v>
      </c>
      <c r="K5268" s="2" t="s">
        <v>14633</v>
      </c>
      <c r="L5268" s="2"/>
      <c r="M5268" s="2" t="str">
        <f>IFERROR(__xludf.DUMMYFUNCTION("split(split(K5268,""【"",false),""公式LINE"",false)"),"料亭放火事件以降、希美（榮倉奈々）と成瀬（窪田正孝）に疑いの目を向ける、高野（三浦友和）。そんな高野の目を気にして、希美は成瀬を突き放すようになる。奨学金を成瀬に譲ったものの、進学をあきらめられない希美は、父親（光石研）に直談判することに。また母親（山本未來）も希美を部屋に閉じ込め、進学を阻止しようとする。そして春、東京への大学の進学を決めた希美には、Nたちとの運命の出会いが待っていた。2014年、東京で希美と成瀬の行方を探す高野は、野バラ荘を訪れていた。一方、希美は会社を辞め、10年ぶりに帰国した安藤（"&amp;"賀来賢人）と再会する。また、成瀬にも、西崎（小出恵介）から接触があり・・・。杉下希美・・・榮倉奈々  成瀬慎司・・・窪田正孝  安藤望・・・賀来賢人  　　　　　・  西崎真人・・・小出恵介    杉下晋・・・光石研  杉下早苗・・・山本未來  野原兼文・・・織本順吉    野口貴弘・・・徳井義実  野口奈央子・・・小西真奈美  　　　　・　　　　　　　　　　　　　　　高野茂・・・三浦友和高野夏恵・・・原日出子  宮下由妃・・・柴本幸  成瀬周平・・・モロ師岡  桐野繭子・・・伊藤裕子  池園和幸・・・山"&amp;"中崇音楽　横山克  主題歌『Silly』家入レオ（ビクターエンターテインメント）脚本：奥寺佐渡子  演出：塚原あゆ子  プロデュース・新井順子▽番組HP  http://www.tbs.co.jp/Nnotameni/  ▽twitter  @n_notameni_tbs  https://twitter.com/n_notameni_tbs  金曜22時『Nのために』#2（10/24）ショートダイジェスト「純愛が招いた悲劇」動画公開しました！  http://youtu.be/R-Fa64xNrGc  "&amp;"1分予告！金曜22時『Nのために』#3（10/31）「動き出すN作戦・・・」動画公開しました!  http://youtu.be/Ob8Dqu9Lyfk  窪田正孝、青景島の 駐在所からリポート！「M（みなさん）のために」番外編＃5 金曜22時『Nのために』動画公開しました!  http://youtu.be/QkQFklmy9sI  番組の内容と放送時間は変更になる場合があります。")</f>
        <v>料亭放火事件以降、希美（榮倉奈々）と成瀬（窪田正孝）に疑いの目を向ける、高野（三浦友和）。そんな高野の目を気にして、希美は成瀬を突き放すようになる。奨学金を成瀬に譲ったものの、進学をあきらめられない希美は、父親（光石研）に直談判することに。また母親（山本未來）も希美を部屋に閉じ込め、進学を阻止しようとする。そして春、東京への大学の進学を決めた希美には、Nたちとの運命の出会いが待っていた。2014年、東京で希美と成瀬の行方を探す高野は、野バラ荘を訪れていた。一方、希美は会社を辞め、10年ぶりに帰国した安藤（賀来賢人）と再会する。また、成瀬にも、西崎（小出恵介）から接触があり・・・。杉下希美・・・榮倉奈々  成瀬慎司・・・窪田正孝  安藤望・・・賀来賢人  　　　　　・  西崎真人・・・小出恵介    杉下晋・・・光石研  杉下早苗・・・山本未來  野原兼文・・・織本順吉    野口貴弘・・・徳井義実  野口奈央子・・・小西真奈美  　　　　・　　　　　　　　　　　　　　　高野茂・・・三浦友和高野夏恵・・・原日出子  宮下由妃・・・柴本幸  成瀬周平・・・モロ師岡  桐野繭子・・・伊藤裕子  池園和幸・・・山中崇音楽　横山克  主題歌『Silly』家入レオ（ビクターエンターテインメント）脚本：奥寺佐渡子  演出：塚原あゆ子  プロデュース・新井順子▽番組HP  http://www.tbs.co.jp/Nnotameni/  ▽twitter  @n_notameni_tbs  https://twitter.com/n_notameni_tbs  金曜22時『Nのために』#2（10/24）ショートダイジェスト「純愛が招いた悲劇」動画公開しました！  http://youtu.be/R-Fa64xNrGc  1分予告！金曜22時『Nのために』#3（10/31）「動き出すN作戦・・・」動画公開しました!  http://youtu.be/Ob8Dqu9Lyfk  窪田正孝、青景島の 駐在所からリポート！「M（みなさん）のために」番外編＃5 金曜22時『Nのために』動画公開しました!  http://youtu.be/QkQFklmy9sI  番組の内容と放送時間は変更になる場合があります。</v>
      </c>
      <c r="N5268" s="2"/>
      <c r="O5268" s="2"/>
      <c r="P5268" s="1"/>
      <c r="Q5268" s="1"/>
      <c r="R5268" s="1"/>
      <c r="S5268" s="1"/>
      <c r="T5268" s="1"/>
      <c r="U5268" s="1"/>
      <c r="V5268" s="1"/>
      <c r="W5268" s="1"/>
      <c r="X5268" s="1"/>
      <c r="Y5268" s="1"/>
      <c r="Z5268" s="1"/>
      <c r="AA5268" s="1"/>
      <c r="AB5268" s="1"/>
      <c r="AC5268" s="1"/>
      <c r="AD5268" s="1"/>
      <c r="AE5268" s="1"/>
      <c r="AF5268" s="1"/>
      <c r="AG5268" s="1"/>
      <c r="AH5268" s="1"/>
      <c r="AI5268" s="1"/>
      <c r="AJ5268" s="1"/>
      <c r="AK5268" s="1"/>
      <c r="AL5268" s="1"/>
      <c r="AM5268" s="1"/>
      <c r="AN5268" s="1"/>
      <c r="AO5268" s="1"/>
      <c r="AP5268" s="1"/>
      <c r="AQ5268" s="1"/>
      <c r="AR5268" s="1"/>
      <c r="AS5268" s="1"/>
      <c r="AT5268" s="1"/>
      <c r="AU5268" s="1"/>
      <c r="AV5268" s="1"/>
      <c r="AW5268" s="1"/>
      <c r="AX5268" s="1"/>
      <c r="AY5268" s="1"/>
      <c r="AZ5268" s="1"/>
      <c r="BA5268" s="1"/>
      <c r="BB5268" s="1"/>
    </row>
    <row r="5269" ht="204.75" customHeight="1">
      <c r="A5269" s="1">
        <v>2522.0</v>
      </c>
      <c r="B5269" s="2" t="s">
        <v>14626</v>
      </c>
      <c r="C5269" s="2">
        <f>IFERROR(__xludf.DUMMYFUNCTION("split(B5269,""_"")"),1410.0)</f>
        <v>1410</v>
      </c>
      <c r="D5269" s="2" t="str">
        <f>IFERROR(__xludf.DUMMYFUNCTION("""COMPUTED_VALUE"""),"TBS")</f>
        <v>TBS</v>
      </c>
      <c r="E5269" s="2" t="str">
        <f>IFERROR(__xludf.DUMMYFUNCTION("""COMPUTED_VALUE"""),"金22")</f>
        <v>金22</v>
      </c>
      <c r="F5269" s="2" t="s">
        <v>14627</v>
      </c>
      <c r="G5269" s="2" t="s">
        <v>14634</v>
      </c>
      <c r="H5269" s="1">
        <v>4.0</v>
      </c>
      <c r="I5269" s="1" t="s">
        <v>14218</v>
      </c>
      <c r="J5269" s="1" t="s">
        <v>86</v>
      </c>
      <c r="K5269" s="2" t="s">
        <v>14635</v>
      </c>
      <c r="L5269" s="2"/>
      <c r="M5269" s="2" t="str">
        <f>IFERROR(__xludf.DUMMYFUNCTION("split(split(K5269,""【"",false),""公式LINE"",false)"),"同窓会で青景島に帰ることになった希美（榮倉奈々）は、成瀬（窪田正孝）と再会するも、言葉を交わすことができずに別れる。そんな中、希美たちが住んでいる「野ばら荘」を都市開発から守るために、西崎（小出恵介）は資産家の野口貴弘（徳井義実）に近づく計画を立てる。西崎と安藤（賀来賢人）とともに野口のパーティーに潜入した希美は、オーラを放つ野口と妻の奈央子（小西真奈美）に目を奪われる。2014年、10年前の野口夫妻事件を調べる高野（三浦友和）は、西崎の弁護を務めた弁護士を尋ねる。一方、再開した希美と安藤は、昔話に花を咲"&amp;"かせるが、話が事件に及ぶと希美は避けるように席を立ち・・・。杉下希美・・・榮倉奈々  成瀬慎司・・・窪田正孝  安藤望・・・賀来賢人  　　　　　・  西崎真人・・・小出恵介    杉下早苗・・・山本未來  野原兼文・・・織本順吉    野口貴弘・・・徳井義実  野口奈央子・・・小西真奈美  　　　　・　　　　　　　　　　　　　　　高野茂・・・三浦友和高野夏恵・・・原日出子  成瀬周平・・・モロ師岡  池園和幸・・・山中崇音楽　横山克  主題歌『Silly』家入レオ（ビクターエンターテインメント）脚本：奥"&amp;"寺佐渡子  演出：山本剛義  プロデュース・新井順子▽番組HP  http://www.tbs.co.jp/Nnotameni/  ▽twitter  @n_notameni_tbs  https://twitter.com/n_notameni_tbs  金曜22時『Nのために』#3（10/31）ショートダイジェスト「下は見ない・・・上を見る」動画公開しました！  http://youtu.be/Aw9I4xJ-w10  予告・金曜22時『Nのために』#4（11/7）「Nに隠された過去」動画公開しました"&amp;"！  http://youtu.be/3hjUlamrIO0  番組の内容と放送時間は変更になる場合があります。")</f>
        <v>同窓会で青景島に帰ることになった希美（榮倉奈々）は、成瀬（窪田正孝）と再会するも、言葉を交わすことができずに別れる。そんな中、希美たちが住んでいる「野ばら荘」を都市開発から守るために、西崎（小出恵介）は資産家の野口貴弘（徳井義実）に近づく計画を立てる。西崎と安藤（賀来賢人）とともに野口のパーティーに潜入した希美は、オーラを放つ野口と妻の奈央子（小西真奈美）に目を奪われる。2014年、10年前の野口夫妻事件を調べる高野（三浦友和）は、西崎の弁護を務めた弁護士を尋ねる。一方、再開した希美と安藤は、昔話に花を咲かせるが、話が事件に及ぶと希美は避けるように席を立ち・・・。杉下希美・・・榮倉奈々  成瀬慎司・・・窪田正孝  安藤望・・・賀来賢人  　　　　　・  西崎真人・・・小出恵介    杉下早苗・・・山本未來  野原兼文・・・織本順吉    野口貴弘・・・徳井義実  野口奈央子・・・小西真奈美  　　　　・　　　　　　　　　　　　　　　高野茂・・・三浦友和高野夏恵・・・原日出子  成瀬周平・・・モロ師岡  池園和幸・・・山中崇音楽　横山克  主題歌『Silly』家入レオ（ビクターエンターテインメント）脚本：奥寺佐渡子  演出：山本剛義  プロデュース・新井順子▽番組HP  http://www.tbs.co.jp/Nnotameni/  ▽twitter  @n_notameni_tbs  https://twitter.com/n_notameni_tbs  金曜22時『Nのために』#3（10/31）ショートダイジェスト「下は見ない・・・上を見る」動画公開しました！  http://youtu.be/Aw9I4xJ-w10  予告・金曜22時『Nのために』#4（11/7）「Nに隠された過去」動画公開しました！  http://youtu.be/3hjUlamrIO0  番組の内容と放送時間は変更になる場合があります。</v>
      </c>
      <c r="N5269" s="2"/>
      <c r="O5269" s="2"/>
      <c r="P5269" s="1"/>
      <c r="Q5269" s="1"/>
      <c r="R5269" s="1"/>
      <c r="S5269" s="1"/>
      <c r="T5269" s="1"/>
      <c r="U5269" s="1"/>
      <c r="V5269" s="1"/>
      <c r="W5269" s="1"/>
      <c r="X5269" s="1"/>
      <c r="Y5269" s="1"/>
      <c r="Z5269" s="1"/>
      <c r="AA5269" s="1"/>
      <c r="AB5269" s="1"/>
      <c r="AC5269" s="1"/>
      <c r="AD5269" s="1"/>
      <c r="AE5269" s="1"/>
      <c r="AF5269" s="1"/>
      <c r="AG5269" s="1"/>
      <c r="AH5269" s="1"/>
      <c r="AI5269" s="1"/>
      <c r="AJ5269" s="1"/>
      <c r="AK5269" s="1"/>
      <c r="AL5269" s="1"/>
      <c r="AM5269" s="1"/>
      <c r="AN5269" s="1"/>
      <c r="AO5269" s="1"/>
      <c r="AP5269" s="1"/>
      <c r="AQ5269" s="1"/>
      <c r="AR5269" s="1"/>
      <c r="AS5269" s="1"/>
      <c r="AT5269" s="1"/>
      <c r="AU5269" s="1"/>
      <c r="AV5269" s="1"/>
      <c r="AW5269" s="1"/>
      <c r="AX5269" s="1"/>
      <c r="AY5269" s="1"/>
      <c r="AZ5269" s="1"/>
      <c r="BA5269" s="1"/>
      <c r="BB5269" s="1"/>
    </row>
    <row r="5270" ht="204.75" customHeight="1">
      <c r="A5270" s="1">
        <v>2523.0</v>
      </c>
      <c r="B5270" s="2" t="s">
        <v>14626</v>
      </c>
      <c r="C5270" s="2">
        <f>IFERROR(__xludf.DUMMYFUNCTION("split(B5270,""_"")"),1410.0)</f>
        <v>1410</v>
      </c>
      <c r="D5270" s="2" t="str">
        <f>IFERROR(__xludf.DUMMYFUNCTION("""COMPUTED_VALUE"""),"TBS")</f>
        <v>TBS</v>
      </c>
      <c r="E5270" s="2" t="str">
        <f>IFERROR(__xludf.DUMMYFUNCTION("""COMPUTED_VALUE"""),"金22")</f>
        <v>金22</v>
      </c>
      <c r="F5270" s="2" t="s">
        <v>14627</v>
      </c>
      <c r="G5270" s="2" t="s">
        <v>14636</v>
      </c>
      <c r="H5270" s="1">
        <v>5.0</v>
      </c>
      <c r="I5270" s="1" t="s">
        <v>14637</v>
      </c>
      <c r="J5270" s="1" t="s">
        <v>86</v>
      </c>
      <c r="K5270" s="2" t="s">
        <v>14638</v>
      </c>
      <c r="L5270" s="2"/>
      <c r="M5270" s="2" t="str">
        <f>IFERROR(__xludf.DUMMYFUNCTION("split(split(K5270,""【"",false),""公式LINE"",false)"),"野バラ荘を守るために西崎（小出恵介）がたてたN作戦を決行すべく、希美（榮倉奈々）と安藤（賀来賢人）は沖縄へ向かい、野口（徳井義実）と奈央子（小西真奈美）に近づく。希美の機転により、野口夫妻と親交を深めることに成功した希美たちは東京に戻った後も連絡を取り合うことを約束する。その夜、希美は安藤に突然キスをされる！一方、成瀬（窪田正孝）は、大学の同級生に、怪しいバイトを紹介されるが・・・。10年前の野口夫妻殺人事件に疑念を抱いていた安藤は、高野（三浦友和）の元を訪れ、当時の出来事を語る。安藤の話を聞き、ますます"&amp;"疑惑を強めた高野は、ついに希美の居場所を突き止め・・・。杉下希美・・・榮倉奈々  成瀬慎司・・・窪田正孝  安藤望・・・賀来賢人  　　　　　・  西崎真人・・・小出恵介    杉下早苗・・・山本未來  野原兼文・・・織本順吉    野口貴弘・・・徳井義実  野口奈央子・・・小西真奈美  　　　　・　　　　　　　　　　　　　　　高野茂・・・三浦友和高野夏恵・・・原日出子  杉下洋介・・・葉山奨之音楽　横山克  主題歌『Silly』家入レオ（ビクターエンターテインメント）脚本：奥寺佐渡子  演出：：山本剛義"&amp;"  プロデュース・新井順子▽番組HP  http://www.tbs.co.jp/Nnotameni/  ▽twitter  @n_notameni_tbs  https://twitter.com/n_notameni_tbs  金曜22時『Nのために』#4（11/7）ショートダイジェスト「N作戦へ…」動画公開しました！  http://youtu.be/n37JYt_cN50  予告・金曜22時『Nのために』#5（11/14）「N作戦、遂に決行」動画公開しました！  http://youtu.be/a"&amp;"bZKebGIRZU  番組の内容と放送時間は変更になる場合があります。")</f>
        <v>野バラ荘を守るために西崎（小出恵介）がたてたN作戦を決行すべく、希美（榮倉奈々）と安藤（賀来賢人）は沖縄へ向かい、野口（徳井義実）と奈央子（小西真奈美）に近づく。希美の機転により、野口夫妻と親交を深めることに成功した希美たちは東京に戻った後も連絡を取り合うことを約束する。その夜、希美は安藤に突然キスをされる！一方、成瀬（窪田正孝）は、大学の同級生に、怪しいバイトを紹介されるが・・・。10年前の野口夫妻殺人事件に疑念を抱いていた安藤は、高野（三浦友和）の元を訪れ、当時の出来事を語る。安藤の話を聞き、ますます疑惑を強めた高野は、ついに希美の居場所を突き止め・・・。杉下希美・・・榮倉奈々  成瀬慎司・・・窪田正孝  安藤望・・・賀来賢人  　　　　　・  西崎真人・・・小出恵介    杉下早苗・・・山本未來  野原兼文・・・織本順吉    野口貴弘・・・徳井義実  野口奈央子・・・小西真奈美  　　　　・　　　　　　　　　　　　　　　高野茂・・・三浦友和高野夏恵・・・原日出子  杉下洋介・・・葉山奨之音楽　横山克  主題歌『Silly』家入レオ（ビクターエンターテインメント）脚本：奥寺佐渡子  演出：：山本剛義  プロデュース・新井順子▽番組HP  http://www.tbs.co.jp/Nnotameni/  ▽twitter  @n_notameni_tbs  https://twitter.com/n_notameni_tbs  金曜22時『Nのために』#4（11/7）ショートダイジェスト「N作戦へ…」動画公開しました！  http://youtu.be/n37JYt_cN50  予告・金曜22時『Nのために』#5（11/14）「N作戦、遂に決行」動画公開しました！  http://youtu.be/abZKebGIRZU  番組の内容と放送時間は変更になる場合があります。</v>
      </c>
      <c r="N5270" s="2"/>
      <c r="O5270" s="2"/>
      <c r="P5270" s="1"/>
      <c r="Q5270" s="1"/>
      <c r="R5270" s="1"/>
      <c r="S5270" s="1"/>
      <c r="T5270" s="1"/>
      <c r="U5270" s="1"/>
      <c r="V5270" s="1"/>
      <c r="W5270" s="1"/>
      <c r="X5270" s="1"/>
      <c r="Y5270" s="1"/>
      <c r="Z5270" s="1"/>
      <c r="AA5270" s="1"/>
      <c r="AB5270" s="1"/>
      <c r="AC5270" s="1"/>
      <c r="AD5270" s="1"/>
      <c r="AE5270" s="1"/>
      <c r="AF5270" s="1"/>
      <c r="AG5270" s="1"/>
      <c r="AH5270" s="1"/>
      <c r="AI5270" s="1"/>
      <c r="AJ5270" s="1"/>
      <c r="AK5270" s="1"/>
      <c r="AL5270" s="1"/>
      <c r="AM5270" s="1"/>
      <c r="AN5270" s="1"/>
      <c r="AO5270" s="1"/>
      <c r="AP5270" s="1"/>
      <c r="AQ5270" s="1"/>
      <c r="AR5270" s="1"/>
      <c r="AS5270" s="1"/>
      <c r="AT5270" s="1"/>
      <c r="AU5270" s="1"/>
      <c r="AV5270" s="1"/>
      <c r="AW5270" s="1"/>
      <c r="AX5270" s="1"/>
      <c r="AY5270" s="1"/>
      <c r="AZ5270" s="1"/>
      <c r="BA5270" s="1"/>
      <c r="BB5270" s="1"/>
    </row>
    <row r="5271" ht="204.75" customHeight="1">
      <c r="A5271" s="1">
        <v>2524.0</v>
      </c>
      <c r="B5271" s="2" t="s">
        <v>14626</v>
      </c>
      <c r="C5271" s="2">
        <f>IFERROR(__xludf.DUMMYFUNCTION("split(B5271,""_"")"),1410.0)</f>
        <v>1410</v>
      </c>
      <c r="D5271" s="2" t="str">
        <f>IFERROR(__xludf.DUMMYFUNCTION("""COMPUTED_VALUE"""),"TBS")</f>
        <v>TBS</v>
      </c>
      <c r="E5271" s="2" t="str">
        <f>IFERROR(__xludf.DUMMYFUNCTION("""COMPUTED_VALUE"""),"金22")</f>
        <v>金22</v>
      </c>
      <c r="F5271" s="2" t="s">
        <v>14627</v>
      </c>
      <c r="G5271" s="2" t="s">
        <v>14639</v>
      </c>
      <c r="H5271" s="1">
        <v>6.0</v>
      </c>
      <c r="I5271" s="1" t="s">
        <v>14640</v>
      </c>
      <c r="J5271" s="1" t="s">
        <v>86</v>
      </c>
      <c r="K5271" s="2" t="s">
        <v>14641</v>
      </c>
      <c r="L5271" s="2"/>
      <c r="M5271" s="2" t="str">
        <f>IFERROR(__xludf.DUMMYFUNCTION("split(split(K5271,""【"",false),""公式LINE"",false)"),"高野（三浦友和）の突然の来訪に驚く希美（榮倉奈々）は、10年前のセレブ夫婦殺人事件について語りだす。10年前、野バラ荘を守るために、野口（徳井義実）と奈央子（小西真奈美）に近づいた希美は、野口から奈央子の秘密を打ち明けられる。一方、希美の留守中に野バラ荘を訪れた奈央子は、西崎（小出恵介）と運命的な出会いを果たす。同じ秘密を抱える二人は恋におち、急速に接近していく。青景島では駐在を続ける高野のもとに、成瀬（窪田正孝）が詐欺容疑で警察に逮捕されたという連絡が入る。そんな中、野口が仕事で大失敗をし、希美と安藤（"&amp;"賀来賢人）は野口の身を案じるが・・・。杉下希美・・・榮倉奈々  成瀬慎司・・・窪田正孝  安藤望・・・賀来賢人  　　　　　・  西崎真人・・・小出恵介    野原兼文・・・織本順吉  美雪・・・中越典子    野口貴弘・・・徳井義実  野口奈央子・・・小西真奈美  　　　　・　　　　　　　　　　　　　　　高野茂・・・三浦友和高野夏恵・・・原日出子  桐野繭子・・・伊藤裕子音楽　横山克  主題歌『Silly』家入レオ（ビクターエンターテインメント）脚本：奥寺佐渡子  演出：塚原あゆ子  プロデュース・新井"&amp;"順子▽番組HP  http://www.tbs.co.jp/Nnotameni/  ▽twitter  @n_notameni_tbs  https://twitter.com/n_notameni_tbs  ショートダイジェスト 金曜22時『Nのために』#5（11/14）「沖縄の夜　新たな恋から歯車が狂い出す」動画公開しました！  http://youtu.be/OAsK8Y4Px4E  予告 金曜22時『Nのために』#6（11/21）「動き出す、新たな野望」動画公開しました！  http://yout"&amp;"u.be/5Fs5x-8YWKQ  家入レオが窪田正孝・賀来賢人に質問したプライベートとは！？「M（みなさん）のために」番外編＃8動画公開しました！  　http://youtu.be/dby0Z7QgLiQ番組の内容と放送時間は変更になる場合があります。")</f>
        <v>高野（三浦友和）の突然の来訪に驚く希美（榮倉奈々）は、10年前のセレブ夫婦殺人事件について語りだす。10年前、野バラ荘を守るために、野口（徳井義実）と奈央子（小西真奈美）に近づいた希美は、野口から奈央子の秘密を打ち明けられる。一方、希美の留守中に野バラ荘を訪れた奈央子は、西崎（小出恵介）と運命的な出会いを果たす。同じ秘密を抱える二人は恋におち、急速に接近していく。青景島では駐在を続ける高野のもとに、成瀬（窪田正孝）が詐欺容疑で警察に逮捕されたという連絡が入る。そんな中、野口が仕事で大失敗をし、希美と安藤（賀来賢人）は野口の身を案じるが・・・。杉下希美・・・榮倉奈々  成瀬慎司・・・窪田正孝  安藤望・・・賀来賢人  　　　　　・  西崎真人・・・小出恵介    野原兼文・・・織本順吉  美雪・・・中越典子    野口貴弘・・・徳井義実  野口奈央子・・・小西真奈美  　　　　・　　　　　　　　　　　　　　　高野茂・・・三浦友和高野夏恵・・・原日出子  桐野繭子・・・伊藤裕子音楽　横山克  主題歌『Silly』家入レオ（ビクターエンターテインメント）脚本：奥寺佐渡子  演出：塚原あゆ子  プロデュース・新井順子▽番組HP  http://www.tbs.co.jp/Nnotameni/  ▽twitter  @n_notameni_tbs  https://twitter.com/n_notameni_tbs  ショートダイジェスト 金曜22時『Nのために』#5（11/14）「沖縄の夜　新たな恋から歯車が狂い出す」動画公開しました！  http://youtu.be/OAsK8Y4Px4E  予告 金曜22時『Nのために』#6（11/21）「動き出す、新たな野望」動画公開しました！  http://youtu.be/5Fs5x-8YWKQ  家入レオが窪田正孝・賀来賢人に質問したプライベートとは！？「M（みなさん）のために」番外編＃8動画公開しました！  　http://youtu.be/dby0Z7QgLiQ番組の内容と放送時間は変更になる場合があります。</v>
      </c>
      <c r="N5271" s="2"/>
      <c r="O5271" s="2"/>
      <c r="P5271" s="1"/>
      <c r="Q5271" s="1"/>
      <c r="R5271" s="1"/>
      <c r="S5271" s="1"/>
      <c r="T5271" s="1"/>
      <c r="U5271" s="1"/>
      <c r="V5271" s="1"/>
      <c r="W5271" s="1"/>
      <c r="X5271" s="1"/>
      <c r="Y5271" s="1"/>
      <c r="Z5271" s="1"/>
      <c r="AA5271" s="1"/>
      <c r="AB5271" s="1"/>
      <c r="AC5271" s="1"/>
      <c r="AD5271" s="1"/>
      <c r="AE5271" s="1"/>
      <c r="AF5271" s="1"/>
      <c r="AG5271" s="1"/>
      <c r="AH5271" s="1"/>
      <c r="AI5271" s="1"/>
      <c r="AJ5271" s="1"/>
      <c r="AK5271" s="1"/>
      <c r="AL5271" s="1"/>
      <c r="AM5271" s="1"/>
      <c r="AN5271" s="1"/>
      <c r="AO5271" s="1"/>
      <c r="AP5271" s="1"/>
      <c r="AQ5271" s="1"/>
      <c r="AR5271" s="1"/>
      <c r="AS5271" s="1"/>
      <c r="AT5271" s="1"/>
      <c r="AU5271" s="1"/>
      <c r="AV5271" s="1"/>
      <c r="AW5271" s="1"/>
      <c r="AX5271" s="1"/>
      <c r="AY5271" s="1"/>
      <c r="AZ5271" s="1"/>
      <c r="BA5271" s="1"/>
      <c r="BB5271" s="1"/>
    </row>
    <row r="5272" ht="204.75" customHeight="1">
      <c r="A5272" s="1">
        <v>2525.0</v>
      </c>
      <c r="B5272" s="2" t="s">
        <v>14626</v>
      </c>
      <c r="C5272" s="2">
        <f>IFERROR(__xludf.DUMMYFUNCTION("split(B5272,""_"")"),1410.0)</f>
        <v>1410</v>
      </c>
      <c r="D5272" s="2" t="str">
        <f>IFERROR(__xludf.DUMMYFUNCTION("""COMPUTED_VALUE"""),"TBS")</f>
        <v>TBS</v>
      </c>
      <c r="E5272" s="2" t="str">
        <f>IFERROR(__xludf.DUMMYFUNCTION("""COMPUTED_VALUE"""),"金22")</f>
        <v>金22</v>
      </c>
      <c r="F5272" s="2" t="s">
        <v>14627</v>
      </c>
      <c r="G5272" s="2" t="s">
        <v>14642</v>
      </c>
      <c r="H5272" s="1">
        <v>7.0</v>
      </c>
      <c r="I5272" s="1" t="s">
        <v>14335</v>
      </c>
      <c r="J5272" s="1" t="s">
        <v>86</v>
      </c>
      <c r="K5272" s="2" t="s">
        <v>14643</v>
      </c>
      <c r="L5272" s="2"/>
      <c r="M5272" s="2" t="str">
        <f>IFERROR(__xludf.DUMMYFUNCTION("split(split(K5272,""【"",false),""公式LINE"",false)"),"青景島に帰った希美（榮倉奈々）は、成瀬（窪田正孝）と再会。すぐに昔の関係に戻った二人は、東京でも会う約束をする。一方、奈央子（小西真奈美）との密会を重ねる西崎（小出恵介）は、夫・野口（徳井義実）にDVを受ける奈央子を救いだそうと画策し、希美に想いを打ち明けるが、不倫関係を続ける西崎に希美は猛反対する。しかし、野口夫妻の秘密を知った希美は、西崎の恋を成就させるために、成瀬に相談し・・・。2014年、希美から事件の真相を語られた高野（三浦友和）は、末期の癌だと打ち明ける希美の身を感じる。一方、希美の病気を知ら"&amp;"ない安藤（賀来賢人）は、希美に指輪をわたし、想いを打ち明けるが・・・。杉下希美・・・榮倉奈々  成瀬慎司・・・窪田正孝  安藤望・・・賀来賢人  　　　　　・  西崎真人・・・小出恵介    野原兼文・・・織本順吉    野口貴弘・・・徳井義実  野口奈央子・・・小西真奈美  　　　　・　　　　　　　　　　　　　　　高野茂・・・三浦友和　高野夏恵・・・原日出子  広田公之・・・福田転球音楽　横山克  主題歌『Silly』家入レオ（ビクターエンターテインメント）脚本：奥寺佐渡子  演出：山本剛義  プロデュ"&amp;"ース・新井順子▽番組HP  http://www.tbs.co.jp/Nnotameni/  ▽twitter  @n_notameni_tbs  https://twitter.com/n_notameni_tbs  ショートダイジェスト 金曜22時『Nのために』#6（11/21）「語られる、事件当日の悲劇」動画公開しました！  http://youtu.be/WN27pqCr92s予告 金曜22時『Nのために』#7（11/28）「運命の再開ーよみがえる想い」動画公開しました！  http://yout"&amp;"u.be/tMLuRLBHzV0窪田正孝、「慎司の部屋」からリポート！ 「M（みなさん）のために」番外編＃9　金曜22時『Nのために』動画公開しました！  http://youtu.be/PSzLN7pb3z4番組の内容と放送時間は変更になる場合があります。")</f>
        <v>青景島に帰った希美（榮倉奈々）は、成瀬（窪田正孝）と再会。すぐに昔の関係に戻った二人は、東京でも会う約束をする。一方、奈央子（小西真奈美）との密会を重ねる西崎（小出恵介）は、夫・野口（徳井義実）にDVを受ける奈央子を救いだそうと画策し、希美に想いを打ち明けるが、不倫関係を続ける西崎に希美は猛反対する。しかし、野口夫妻の秘密を知った希美は、西崎の恋を成就させるために、成瀬に相談し・・・。2014年、希美から事件の真相を語られた高野（三浦友和）は、末期の癌だと打ち明ける希美の身を感じる。一方、希美の病気を知らない安藤（賀来賢人）は、希美に指輪をわたし、想いを打ち明けるが・・・。杉下希美・・・榮倉奈々  成瀬慎司・・・窪田正孝  安藤望・・・賀来賢人  　　　　　・  西崎真人・・・小出恵介    野原兼文・・・織本順吉    野口貴弘・・・徳井義実  野口奈央子・・・小西真奈美  　　　　・　　　　　　　　　　　　　　　高野茂・・・三浦友和　高野夏恵・・・原日出子  広田公之・・・福田転球音楽　横山克  主題歌『Silly』家入レオ（ビクターエンターテインメント）脚本：奥寺佐渡子  演出：山本剛義  プロデュース・新井順子▽番組HP  http://www.tbs.co.jp/Nnotameni/  ▽twitter  @n_notameni_tbs  https://twitter.com/n_notameni_tbs  ショートダイジェスト 金曜22時『Nのために』#6（11/21）「語られる、事件当日の悲劇」動画公開しました！  http://youtu.be/WN27pqCr92s予告 金曜22時『Nのために』#7（11/28）「運命の再開ーよみがえる想い」動画公開しました！  http://youtu.be/tMLuRLBHzV0窪田正孝、「慎司の部屋」からリポート！ 「M（みなさん）のために」番外編＃9　金曜22時『Nのために』動画公開しました！  http://youtu.be/PSzLN7pb3z4番組の内容と放送時間は変更になる場合があります。</v>
      </c>
      <c r="N5272" s="2"/>
      <c r="O5272" s="2"/>
      <c r="P5272" s="1"/>
      <c r="Q5272" s="1"/>
      <c r="R5272" s="1"/>
      <c r="S5272" s="1"/>
      <c r="T5272" s="1"/>
      <c r="U5272" s="1"/>
      <c r="V5272" s="1"/>
      <c r="W5272" s="1"/>
      <c r="X5272" s="1"/>
      <c r="Y5272" s="1"/>
      <c r="Z5272" s="1"/>
      <c r="AA5272" s="1"/>
      <c r="AB5272" s="1"/>
      <c r="AC5272" s="1"/>
      <c r="AD5272" s="1"/>
      <c r="AE5272" s="1"/>
      <c r="AF5272" s="1"/>
      <c r="AG5272" s="1"/>
      <c r="AH5272" s="1"/>
      <c r="AI5272" s="1"/>
      <c r="AJ5272" s="1"/>
      <c r="AK5272" s="1"/>
      <c r="AL5272" s="1"/>
      <c r="AM5272" s="1"/>
      <c r="AN5272" s="1"/>
      <c r="AO5272" s="1"/>
      <c r="AP5272" s="1"/>
      <c r="AQ5272" s="1"/>
      <c r="AR5272" s="1"/>
      <c r="AS5272" s="1"/>
      <c r="AT5272" s="1"/>
      <c r="AU5272" s="1"/>
      <c r="AV5272" s="1"/>
      <c r="AW5272" s="1"/>
      <c r="AX5272" s="1"/>
      <c r="AY5272" s="1"/>
      <c r="AZ5272" s="1"/>
      <c r="BA5272" s="1"/>
      <c r="BB5272" s="1"/>
    </row>
    <row r="5273" ht="204.75" customHeight="1">
      <c r="A5273" s="1">
        <v>2526.0</v>
      </c>
      <c r="B5273" s="2" t="s">
        <v>14626</v>
      </c>
      <c r="C5273" s="2">
        <f>IFERROR(__xludf.DUMMYFUNCTION("split(B5273,""_"")"),1410.0)</f>
        <v>1410</v>
      </c>
      <c r="D5273" s="2" t="str">
        <f>IFERROR(__xludf.DUMMYFUNCTION("""COMPUTED_VALUE"""),"TBS")</f>
        <v>TBS</v>
      </c>
      <c r="E5273" s="2" t="str">
        <f>IFERROR(__xludf.DUMMYFUNCTION("""COMPUTED_VALUE"""),"金22")</f>
        <v>金22</v>
      </c>
      <c r="F5273" s="2" t="s">
        <v>14627</v>
      </c>
      <c r="G5273" s="2" t="s">
        <v>14644</v>
      </c>
      <c r="H5273" s="1">
        <v>8.0</v>
      </c>
      <c r="I5273" s="1" t="s">
        <v>14338</v>
      </c>
      <c r="J5273" s="1" t="s">
        <v>86</v>
      </c>
      <c r="K5273" s="2" t="s">
        <v>14645</v>
      </c>
      <c r="L5273" s="2"/>
      <c r="M5273" s="2" t="str">
        <f>IFERROR(__xludf.DUMMYFUNCTION("split(split(K5273,""【"",false),""公式LINE"",false)"),"10年ぶりに再会した成瀬（窪田正孝）と高野（三浦友和）。高野は成瀬に、希美（榮倉奈々）と連絡を取るように促す。一方、希美は10年ぶりに野バラ荘を訪れ、西崎（小出恵介）と会っていた。遡ること10年前、奈央子（小西真奈美）と親密な関係になった西崎は、奈央子を夫のDVから助けだすために作戦を立て、希美と成瀬に協力を要請する。西崎の情熱に動かされた希美たちは、奈央子奪還をイブと決め、準備を始めるが・・・。高野から希美の連絡先を聞いた成瀬は、希美に連絡をする。一方、癌のため余命一年と宣告された希美は、自分のこれから"&amp;"を見つめなおす。しかし、突然の病魔が希美を襲い・・・。杉下希美・・・榮倉奈々  成瀬慎司・・・窪田正孝  安藤望・・・賀来賢人  　　　　　・  西崎真人・・・小出恵介    野原兼文・・・織本順吉  西崎美雪・・・中越典子    野口貴弘・・・徳井義実  野口奈央子・・・小西真奈美  　　　　・　　　　　　　　　　　　　　　高野茂・・・三浦友和高野夏恵・・・原日出子  広田公之・・・福田転球音楽　横山克  主題歌『Silly』家入レオ（ビクターエンターテインメント）脚本：奥寺佐渡子  演出：阿南昭宏  "&amp;"プロデュース・新井順子▽番組HP  http://www.tbs.co.jp/Nnotameni/  ▽twitter  @n_notameni_tbs  https://twitter.com/n_notameni_tbs  ショートダイジェスト 金曜22時『Nのために』#7（11/28）「事件へのカウントダウンーN作戦再び」動画公開しました！  http://youtu.be/wW_0EaEli9s  予告 金曜22時『Nのために』#8（12/5）「略奪愛の行方ーエスカレートする狂気」動画公開しました"&amp;"！  http://youtu.be/gjPmG1Vruto原作小説本を30名様にプレゼント！番組の内容と放送時間は変更になる場合があります。")</f>
        <v>10年ぶりに再会した成瀬（窪田正孝）と高野（三浦友和）。高野は成瀬に、希美（榮倉奈々）と連絡を取るように促す。一方、希美は10年ぶりに野バラ荘を訪れ、西崎（小出恵介）と会っていた。遡ること10年前、奈央子（小西真奈美）と親密な関係になった西崎は、奈央子を夫のDVから助けだすために作戦を立て、希美と成瀬に協力を要請する。西崎の情熱に動かされた希美たちは、奈央子奪還をイブと決め、準備を始めるが・・・。高野から希美の連絡先を聞いた成瀬は、希美に連絡をする。一方、癌のため余命一年と宣告された希美は、自分のこれからを見つめなおす。しかし、突然の病魔が希美を襲い・・・。杉下希美・・・榮倉奈々  成瀬慎司・・・窪田正孝  安藤望・・・賀来賢人  　　　　　・  西崎真人・・・小出恵介    野原兼文・・・織本順吉  西崎美雪・・・中越典子    野口貴弘・・・徳井義実  野口奈央子・・・小西真奈美  　　　　・　　　　　　　　　　　　　　　高野茂・・・三浦友和高野夏恵・・・原日出子  広田公之・・・福田転球音楽　横山克  主題歌『Silly』家入レオ（ビクターエンターテインメント）脚本：奥寺佐渡子  演出：阿南昭宏  プロデュース・新井順子▽番組HP  http://www.tbs.co.jp/Nnotameni/  ▽twitter  @n_notameni_tbs  https://twitter.com/n_notameni_tbs  ショートダイジェスト 金曜22時『Nのために』#7（11/28）「事件へのカウントダウンーN作戦再び」動画公開しました！  http://youtu.be/wW_0EaEli9s  予告 金曜22時『Nのために』#8（12/5）「略奪愛の行方ーエスカレートする狂気」動画公開しました！  http://youtu.be/gjPmG1Vruto原作小説本を30名様にプレゼント！番組の内容と放送時間は変更になる場合があります。</v>
      </c>
      <c r="N5273" s="2"/>
      <c r="O5273" s="2"/>
      <c r="P5273" s="1"/>
      <c r="Q5273" s="1"/>
      <c r="R5273" s="1"/>
      <c r="S5273" s="1"/>
      <c r="T5273" s="1"/>
      <c r="U5273" s="1"/>
      <c r="V5273" s="1"/>
      <c r="W5273" s="1"/>
      <c r="X5273" s="1"/>
      <c r="Y5273" s="1"/>
      <c r="Z5273" s="1"/>
      <c r="AA5273" s="1"/>
      <c r="AB5273" s="1"/>
      <c r="AC5273" s="1"/>
      <c r="AD5273" s="1"/>
      <c r="AE5273" s="1"/>
      <c r="AF5273" s="1"/>
      <c r="AG5273" s="1"/>
      <c r="AH5273" s="1"/>
      <c r="AI5273" s="1"/>
      <c r="AJ5273" s="1"/>
      <c r="AK5273" s="1"/>
      <c r="AL5273" s="1"/>
      <c r="AM5273" s="1"/>
      <c r="AN5273" s="1"/>
      <c r="AO5273" s="1"/>
      <c r="AP5273" s="1"/>
      <c r="AQ5273" s="1"/>
      <c r="AR5273" s="1"/>
      <c r="AS5273" s="1"/>
      <c r="AT5273" s="1"/>
      <c r="AU5273" s="1"/>
      <c r="AV5273" s="1"/>
      <c r="AW5273" s="1"/>
      <c r="AX5273" s="1"/>
      <c r="AY5273" s="1"/>
      <c r="AZ5273" s="1"/>
      <c r="BA5273" s="1"/>
      <c r="BB5273" s="1"/>
    </row>
    <row r="5274" ht="204.75" customHeight="1">
      <c r="A5274" s="1">
        <v>2527.0</v>
      </c>
      <c r="B5274" s="2" t="s">
        <v>14626</v>
      </c>
      <c r="C5274" s="2">
        <f>IFERROR(__xludf.DUMMYFUNCTION("split(B5274,""_"")"),1410.0)</f>
        <v>1410</v>
      </c>
      <c r="D5274" s="2" t="str">
        <f>IFERROR(__xludf.DUMMYFUNCTION("""COMPUTED_VALUE"""),"TBS")</f>
        <v>TBS</v>
      </c>
      <c r="E5274" s="2" t="str">
        <f>IFERROR(__xludf.DUMMYFUNCTION("""COMPUTED_VALUE"""),"金22")</f>
        <v>金22</v>
      </c>
      <c r="F5274" s="2" t="s">
        <v>14627</v>
      </c>
      <c r="G5274" s="2" t="s">
        <v>14646</v>
      </c>
      <c r="H5274" s="1">
        <v>9.0</v>
      </c>
      <c r="J5274" s="1" t="s">
        <v>86</v>
      </c>
      <c r="K5274" s="2" t="s">
        <v>14647</v>
      </c>
      <c r="L5274" s="2"/>
      <c r="M5274" s="2" t="str">
        <f>IFERROR(__xludf.DUMMYFUNCTION("split(split(K5274,""【"",false),""公式LINE"",false)"),"高野（三浦友和）と再会した成瀬（窪田正孝）は、15年前のさざなみ放火事件の真実を知ることに。一方、病院に運ばれた希美（榮倉奈々）は、主治医の多田（財前直見）に、ある決意を打ち明ける。そんな希美の前に、成瀬が現れ・・・。遡ること10年前、希美、成瀬、西崎（小出恵介）は、クリスマスイヴに奈央子（小西真奈美）をDV夫から救う作戦を立てる。そして当日、野口宅へ訪れた希美は、思いがけない窮地に立たされる。希美が窮地に立たされていた時、成瀬、安藤（賀来賢人）、西崎もそれぞれスカイローズガーデンを目指していた。まもなく"&amp;"彼らが野口宅へ到着する。希美は考え抜いた結果、ある選択をする。それが悲劇の始まりだった。杉下希美・・・榮倉奈々  成瀬慎司・・・窪田正孝  安藤望・・・賀来賢人  　　　　　・  西崎真人・・・小出恵介      多田医師・・・財前直見（特別出演）      野口貴弘・・・徳井義実  野口奈央子・・・小西真奈美  　　　　・　　　　　　　　　　　　　　　高野茂・・・三浦友和高野夏恵・・・原日出子  成瀬周平・・・モロ師岡音楽　横山克  主題歌『Silly』家入レオ（ビクターエンターテインメント）脚本：奥寺"&amp;"佐渡子  演出：山本剛義  プロデュース・新井順子▽番組HP  http://www.tbs.co.jp/Nnotameni/  ▽twitter  @n_notameni_tbs  https://twitter.com/n_notameni_tbs  余命1年ー迫るタイムリミット　ダイジェスト動画公開しました！  http://youtu.be/0xI2N9umLSk  ついに事件当日が幕を開ける…動画公開しました！  http://youtu.be/3MWFmNOpV4s  番組の内容と放送時間は変"&amp;"更になる場合があります。")</f>
        <v>高野（三浦友和）と再会した成瀬（窪田正孝）は、15年前のさざなみ放火事件の真実を知ることに。一方、病院に運ばれた希美（榮倉奈々）は、主治医の多田（財前直見）に、ある決意を打ち明ける。そんな希美の前に、成瀬が現れ・・・。遡ること10年前、希美、成瀬、西崎（小出恵介）は、クリスマスイヴに奈央子（小西真奈美）をDV夫から救う作戦を立てる。そして当日、野口宅へ訪れた希美は、思いがけない窮地に立たされる。希美が窮地に立たされていた時、成瀬、安藤（賀来賢人）、西崎もそれぞれスカイローズガーデンを目指していた。まもなく彼らが野口宅へ到着する。希美は考え抜いた結果、ある選択をする。それが悲劇の始まりだった。杉下希美・・・榮倉奈々  成瀬慎司・・・窪田正孝  安藤望・・・賀来賢人  　　　　　・  西崎真人・・・小出恵介      多田医師・・・財前直見（特別出演）      野口貴弘・・・徳井義実  野口奈央子・・・小西真奈美  　　　　・　　　　　　　　　　　　　　　高野茂・・・三浦友和高野夏恵・・・原日出子  成瀬周平・・・モロ師岡音楽　横山克  主題歌『Silly』家入レオ（ビクターエンターテインメント）脚本：奥寺佐渡子  演出：山本剛義  プロデュース・新井順子▽番組HP  http://www.tbs.co.jp/Nnotameni/  ▽twitter  @n_notameni_tbs  https://twitter.com/n_notameni_tbs  余命1年ー迫るタイムリミット　ダイジェスト動画公開しました！  http://youtu.be/0xI2N9umLSk  ついに事件当日が幕を開ける…動画公開しました！  http://youtu.be/3MWFmNOpV4s  番組の内容と放送時間は変更になる場合があります。</v>
      </c>
      <c r="N5274" s="2"/>
      <c r="O5274" s="2"/>
      <c r="P5274" s="1"/>
      <c r="Q5274" s="1"/>
      <c r="R5274" s="1"/>
      <c r="S5274" s="1"/>
      <c r="T5274" s="1"/>
      <c r="U5274" s="1"/>
      <c r="V5274" s="1"/>
      <c r="W5274" s="1"/>
      <c r="X5274" s="1"/>
      <c r="Y5274" s="1"/>
      <c r="Z5274" s="1"/>
      <c r="AA5274" s="1"/>
      <c r="AB5274" s="1"/>
      <c r="AC5274" s="1"/>
      <c r="AD5274" s="1"/>
      <c r="AE5274" s="1"/>
      <c r="AF5274" s="1"/>
      <c r="AG5274" s="1"/>
      <c r="AH5274" s="1"/>
      <c r="AI5274" s="1"/>
      <c r="AJ5274" s="1"/>
      <c r="AK5274" s="1"/>
      <c r="AL5274" s="1"/>
      <c r="AM5274" s="1"/>
      <c r="AN5274" s="1"/>
      <c r="AO5274" s="1"/>
      <c r="AP5274" s="1"/>
      <c r="AQ5274" s="1"/>
      <c r="AR5274" s="1"/>
      <c r="AS5274" s="1"/>
      <c r="AT5274" s="1"/>
      <c r="AU5274" s="1"/>
      <c r="AV5274" s="1"/>
      <c r="AW5274" s="1"/>
      <c r="AX5274" s="1"/>
      <c r="AY5274" s="1"/>
      <c r="AZ5274" s="1"/>
      <c r="BA5274" s="1"/>
      <c r="BB5274" s="1"/>
    </row>
    <row r="5275" ht="204.75" customHeight="1">
      <c r="A5275" s="1">
        <v>2528.0</v>
      </c>
      <c r="B5275" s="2" t="s">
        <v>14626</v>
      </c>
      <c r="C5275" s="2">
        <f>IFERROR(__xludf.DUMMYFUNCTION("split(B5275,""_"")"),1410.0)</f>
        <v>1410</v>
      </c>
      <c r="D5275" s="2" t="str">
        <f>IFERROR(__xludf.DUMMYFUNCTION("""COMPUTED_VALUE"""),"TBS")</f>
        <v>TBS</v>
      </c>
      <c r="E5275" s="2" t="str">
        <f>IFERROR(__xludf.DUMMYFUNCTION("""COMPUTED_VALUE"""),"金22")</f>
        <v>金22</v>
      </c>
      <c r="F5275" s="2" t="s">
        <v>14627</v>
      </c>
      <c r="G5275" s="2" t="s">
        <v>14648</v>
      </c>
      <c r="H5275" s="1">
        <v>10.0</v>
      </c>
      <c r="I5275" s="1" t="s">
        <v>2900</v>
      </c>
      <c r="J5275" s="1" t="s">
        <v>86</v>
      </c>
      <c r="K5275" s="2" t="s">
        <v>14649</v>
      </c>
      <c r="L5275" s="2"/>
      <c r="M5275" s="2" t="str">
        <f>IFERROR(__xludf.DUMMYFUNCTION("split(split(K5275,""【"",false),""公式LINE"",false)"),"10年前のイヴ、野口（徳井義実）から安藤（賀来賢人）が僻地に飛ばされると聞いた希美（榮倉奈々）は、安藤を守るため、N作戦を明かしてしまう。一方、奈央子（小西真奈美）を連れ出そうとしていた西崎（小出恵介）は、思わぬトラブルに見舞われる。そこに野口が現れ、西崎と鉢合わせ。西崎は野口に激しい暴行にあうが、外からドアチェーンがかかっていたため逃げられない。N作戦は予想外の展開を迎え、最悪の事態へ・・・。2014年、余命1年の希美は、成瀬（窪田正孝）や安藤に、それぞれからプロポーズされるが、一人で生きていく決意を固"&amp;"めていた。そんなある日、希美は高野（三浦友和）から、母親の連絡先を渡され・・・。杉下希美・・・榮倉奈々  成瀬慎司・・・窪田正孝  安藤望・・・賀来賢人  　　　　　・  西崎真人・・・小出恵介    杉下早苗・・・山本未來  野原兼文・・・織本順吉      野口貴弘・・・徳井義実  野口奈央子・・・小西真奈美  　　　　・　　　　　　　　　　　　　　　高野茂・・・三浦友和多田医師・・・財前直見（特別出演）    高野夏恵・・・原日出子  池園和幸・・・山中崇音楽　横山克  主題歌『Silly』家入レオ"&amp;"（ビクターエンターテインメント）脚本：奥寺佐渡子  演出：塚原あゆ子  プロデュース・新井順子DVD－BOX　プレゼントあり  抽選で20名様▽番組HP  http://www.tbs.co.jp/Nnotameni/  ▽twitter  @n_notameni_tbs  https://twitter.com/n_notameni_tbs  ［ラスト直前ダイジェスト］明かされる放火事件の犯人 金曜22時『Nのために』#9（12/12）ダイジェスト動画公開しました！  http://youtu.be/k"&amp;"FLj1NfFLnk  年またぎはTBSのスポーツ祭りで！大晦日よる6時からはメッシが参戦するKYOKUGEN！元日あさ8時半からは駅伝日本一決定戦・ニューイヤー駅伝！よる6時からはプルシェンコが舞う！炎の体育会TV！番組の内容と放送時間は変更になる場合があります。")</f>
        <v>10年前のイヴ、野口（徳井義実）から安藤（賀来賢人）が僻地に飛ばされると聞いた希美（榮倉奈々）は、安藤を守るため、N作戦を明かしてしまう。一方、奈央子（小西真奈美）を連れ出そうとしていた西崎（小出恵介）は、思わぬトラブルに見舞われる。そこに野口が現れ、西崎と鉢合わせ。西崎は野口に激しい暴行にあうが、外からドアチェーンがかかっていたため逃げられない。N作戦は予想外の展開を迎え、最悪の事態へ・・・。2014年、余命1年の希美は、成瀬（窪田正孝）や安藤に、それぞれからプロポーズされるが、一人で生きていく決意を固めていた。そんなある日、希美は高野（三浦友和）から、母親の連絡先を渡され・・・。杉下希美・・・榮倉奈々  成瀬慎司・・・窪田正孝  安藤望・・・賀来賢人  　　　　　・  西崎真人・・・小出恵介    杉下早苗・・・山本未來  野原兼文・・・織本順吉      野口貴弘・・・徳井義実  野口奈央子・・・小西真奈美  　　　　・　　　　　　　　　　　　　　　高野茂・・・三浦友和多田医師・・・財前直見（特別出演）    高野夏恵・・・原日出子  池園和幸・・・山中崇音楽　横山克  主題歌『Silly』家入レオ（ビクターエンターテインメント）脚本：奥寺佐渡子  演出：塚原あゆ子  プロデュース・新井順子DVD－BOX　プレゼントあり  抽選で20名様▽番組HP  http://www.tbs.co.jp/Nnotameni/  ▽twitter  @n_notameni_tbs  https://twitter.com/n_notameni_tbs  ［ラスト直前ダイジェスト］明かされる放火事件の犯人 金曜22時『Nのために』#9（12/12）ダイジェスト動画公開しました！  http://youtu.be/kFLj1NfFLnk  年またぎはTBSのスポーツ祭りで！大晦日よる6時からはメッシが参戦するKYOKUGEN！元日あさ8時半からは駅伝日本一決定戦・ニューイヤー駅伝！よる6時からはプルシェンコが舞う！炎の体育会TV！番組の内容と放送時間は変更になる場合があります。</v>
      </c>
      <c r="N5275" s="2"/>
      <c r="O5275" s="2"/>
      <c r="P5275" s="1"/>
      <c r="Q5275" s="1"/>
      <c r="R5275" s="1"/>
      <c r="S5275" s="1"/>
      <c r="T5275" s="1"/>
      <c r="U5275" s="1"/>
      <c r="V5275" s="1"/>
      <c r="W5275" s="1"/>
      <c r="X5275" s="1"/>
      <c r="Y5275" s="1"/>
      <c r="Z5275" s="1"/>
      <c r="AA5275" s="1"/>
      <c r="AB5275" s="1"/>
      <c r="AC5275" s="1"/>
      <c r="AD5275" s="1"/>
      <c r="AE5275" s="1"/>
      <c r="AF5275" s="1"/>
      <c r="AG5275" s="1"/>
      <c r="AH5275" s="1"/>
      <c r="AI5275" s="1"/>
      <c r="AJ5275" s="1"/>
      <c r="AK5275" s="1"/>
      <c r="AL5275" s="1"/>
      <c r="AM5275" s="1"/>
      <c r="AN5275" s="1"/>
      <c r="AO5275" s="1"/>
      <c r="AP5275" s="1"/>
      <c r="AQ5275" s="1"/>
      <c r="AR5275" s="1"/>
      <c r="AS5275" s="1"/>
      <c r="AT5275" s="1"/>
      <c r="AU5275" s="1"/>
      <c r="AV5275" s="1"/>
      <c r="AW5275" s="1"/>
      <c r="AX5275" s="1"/>
      <c r="AY5275" s="1"/>
      <c r="AZ5275" s="1"/>
      <c r="BA5275" s="1"/>
      <c r="BB5275" s="1"/>
    </row>
    <row r="5276" ht="204.75" customHeight="1">
      <c r="A5276" s="1">
        <v>2547.0</v>
      </c>
      <c r="B5276" s="2" t="s">
        <v>14650</v>
      </c>
      <c r="C5276" s="2">
        <f>IFERROR(__xludf.DUMMYFUNCTION("split(B5276,""_"")"),1410.0)</f>
        <v>1410</v>
      </c>
      <c r="D5276" s="2" t="str">
        <f>IFERROR(__xludf.DUMMYFUNCTION("""COMPUTED_VALUE"""),"TBS")</f>
        <v>TBS</v>
      </c>
      <c r="E5276" s="2" t="str">
        <f>IFERROR(__xludf.DUMMYFUNCTION("""COMPUTED_VALUE"""),"日21")</f>
        <v>日21</v>
      </c>
      <c r="F5276" s="2" t="s">
        <v>14651</v>
      </c>
      <c r="G5276" s="2" t="s">
        <v>14652</v>
      </c>
      <c r="H5276" s="1">
        <v>1.0</v>
      </c>
      <c r="J5276" s="1" t="s">
        <v>12865</v>
      </c>
      <c r="K5276" s="2" t="s">
        <v>14653</v>
      </c>
      <c r="L5276" s="2"/>
      <c r="M5276" s="2" t="str">
        <f>IFERROR(__xludf.DUMMYFUNCTION("split(split(K5276,""【"",false),""公式LINE"",false)"),"あまちゃん後初連ドラ！  宮藤官九郎脚本最新作！  静岡県三島市を舞台に仏教系男子校とカトリック系女子校にまさかの合併話が！主人公・原平助（錦戸亮）を中心に巻き起こる抱腹絶倒のエピソード達。この秋、最注目の極上青春エンターテインメントです。14年前に起こったある事件のために地元から離れられなくなった主人公平助は、母校である三島高校（とんこー）の国語の教師をしている。とんこーは隣の聖三島女学院（三女）との合併、男女共学化を予定していたが、両校は経営方針や宗教観、そして14年前の事件のせいで関係性が非常に悪か"&amp;"った。そんななか、生徒間のトラブル解決のために三女に出向いた平助は、めちゃくちゃ高圧的な女性教師・蜂矢りさ（満島ひかり）と出会う。卒業までの半年間、お試しでクラスの男女を半分ずつシャッフルすることになった二人は、ぶつかり合いながらも嫌々協力することに…。宮藤官九郎  （オリジナルドラマ）山室大輔真島昌利（ザ・クロマニヨンズ）  羽毛田丈史原平助…錦戸亮  蜂矢りさ…満島ひかり  蔦谷サトシ…永山絢斗  海老沢ゆずる…重岡大毅（ジャニーズWEST)  蜂矢祐子…波瑠  山田ビルケンシュトック京子…トリンドル"&amp;"玲奈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淡島舞…坂井真紀  三宮大三郎…生瀬勝久  原平太…風間杜夫「言ったじゃないか」　関ジャニ∞  作詞：宮藤官九郎　作曲：峯田和伸  インフィニティ・レコーズ◇番組HP "&amp;"http://www.tbs.co.jp/gomenne_tbs/  TBSテレビ  番組の内容と放送時間は変更になる可能性があります。")</f>
        <v>あまちゃん後初連ドラ！  宮藤官九郎脚本最新作！  静岡県三島市を舞台に仏教系男子校とカトリック系女子校にまさかの合併話が！主人公・原平助（錦戸亮）を中心に巻き起こる抱腹絶倒のエピソード達。この秋、最注目の極上青春エンターテインメントです。14年前に起こったある事件のために地元から離れられなくなった主人公平助は、母校である三島高校（とんこー）の国語の教師をしている。とんこーは隣の聖三島女学院（三女）との合併、男女共学化を予定していたが、両校は経営方針や宗教観、そして14年前の事件のせいで関係性が非常に悪かった。そんななか、生徒間のトラブル解決のために三女に出向いた平助は、めちゃくちゃ高圧的な女性教師・蜂矢りさ（満島ひかり）と出会う。卒業までの半年間、お試しでクラスの男女を半分ずつシャッフルすることになった二人は、ぶつかり合いながらも嫌々協力することに…。宮藤官九郎  （オリジナルドラマ）山室大輔真島昌利（ザ・クロマニヨンズ）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淡島舞…坂井真紀  三宮大三郎…生瀬勝久  原平太…風間杜夫「言ったじゃないか」　関ジャニ∞  作詞：宮藤官九郎　作曲：峯田和伸  インフィニティ・レコーズ◇番組HP http://www.tbs.co.jp/gomenne_tbs/  TBSテレビ  番組の内容と放送時間は変更になる可能性があります。</v>
      </c>
      <c r="N5276" s="2"/>
      <c r="O5276" s="2"/>
      <c r="P5276" s="1"/>
      <c r="Q5276" s="1"/>
      <c r="R5276" s="1"/>
      <c r="S5276" s="1"/>
      <c r="T5276" s="1"/>
      <c r="U5276" s="1"/>
      <c r="V5276" s="1"/>
      <c r="W5276" s="1"/>
      <c r="X5276" s="1"/>
      <c r="Y5276" s="1"/>
      <c r="Z5276" s="1"/>
      <c r="AA5276" s="1"/>
      <c r="AB5276" s="1"/>
      <c r="AC5276" s="1"/>
      <c r="AD5276" s="1"/>
      <c r="AE5276" s="1"/>
      <c r="AF5276" s="1"/>
      <c r="AG5276" s="1"/>
      <c r="AH5276" s="1"/>
      <c r="AI5276" s="1"/>
      <c r="AJ5276" s="1"/>
      <c r="AK5276" s="1"/>
      <c r="AL5276" s="1"/>
      <c r="AM5276" s="1"/>
      <c r="AN5276" s="1"/>
      <c r="AO5276" s="1"/>
      <c r="AP5276" s="1"/>
      <c r="AQ5276" s="1"/>
      <c r="AR5276" s="1"/>
      <c r="AS5276" s="1"/>
      <c r="AT5276" s="1"/>
      <c r="AU5276" s="1"/>
      <c r="AV5276" s="1"/>
      <c r="AW5276" s="1"/>
      <c r="AX5276" s="1"/>
      <c r="AY5276" s="1"/>
      <c r="AZ5276" s="1"/>
      <c r="BA5276" s="1"/>
      <c r="BB5276" s="1"/>
    </row>
    <row r="5277" ht="204.75" customHeight="1">
      <c r="A5277" s="1">
        <v>2548.0</v>
      </c>
      <c r="B5277" s="2" t="s">
        <v>14650</v>
      </c>
      <c r="C5277" s="2">
        <f>IFERROR(__xludf.DUMMYFUNCTION("split(B5277,""_"")"),1410.0)</f>
        <v>1410</v>
      </c>
      <c r="D5277" s="2" t="str">
        <f>IFERROR(__xludf.DUMMYFUNCTION("""COMPUTED_VALUE"""),"TBS")</f>
        <v>TBS</v>
      </c>
      <c r="E5277" s="2" t="str">
        <f>IFERROR(__xludf.DUMMYFUNCTION("""COMPUTED_VALUE"""),"日21")</f>
        <v>日21</v>
      </c>
      <c r="F5277" s="2" t="s">
        <v>14651</v>
      </c>
      <c r="G5277" s="2" t="s">
        <v>14654</v>
      </c>
      <c r="H5277" s="1">
        <v>2.0</v>
      </c>
      <c r="J5277" s="1" t="s">
        <v>11</v>
      </c>
      <c r="K5277" s="2" t="s">
        <v>14655</v>
      </c>
      <c r="L5277" s="2"/>
      <c r="M5277" s="2" t="str">
        <f>IFERROR(__xludf.DUMMYFUNCTION("split(split(K5277,""【"",false),""公式LINE"",false)"),"男女共学化のお試し期間の一環で、平助（錦戸亮）の三女での教師生活が始まる。しかし最初の授業で女生徒の信頼を勝ち取ることが出来なかったため、完全に舐められてしまう。そんななか、クラス内でこっそり付き合っていた海老沢（重岡大毅）と阿部（森川葵）は、切羽詰ったあまり、大胆な行動に出てしまう。二人の勝手な行動が原因で、共学化も白紙に戻されそうになる。りさ（満島ひかり）にも吉井校長（斉藤由貴）にも詰められた平助は、生徒からの信頼を取り戻すため、自分の過去の出来事から学んだ授業をする。それは、初恋の相手・祐子（波瑠）"&amp;"の思い出につながるものだった…宮藤官九郎  （オリジナルドラマ）　真島昌利（ザ・クロマニヨンズ）  羽毛田丈史言ったじゃないか  関ジャニ∞  作詞：宮藤官九郎　作曲：峯田和伸  インフィニティ・レコーズ原平助・・・錦戸亮  蜂矢りさ・・・満島ひかり  蔦谷サトシ・・・永山絢斗  海老沢ゆずる・・・重岡大毅（ジャニーズWEST）  蜂矢祐子・・・波瑠  山田ビルケンシュトック京子・・・トリンドル玲奈  神保愛・・・川栄李奈  昭島司・・・白洲迅  中井貴子・・・黒島結菜  阿部あまり・・・森川葵  村井守"&amp;"・・・小関裕太  半田豪・・・鈴木貴之  古井豊・・・矢本悠馬  遠藤いずみ・・・富山えり子佐久間りえ・・・久松郁実  成田淳・・・船崎良  大木隆・・・竜星涼    吉井良江・・・斉藤由貴  原みゆき・・・森下愛子  原一平・・・えなりかずき  原江レナ・・・中村静香豪徳寺教頭・・・緋田康人  浜口教頭・・・宍戸美和公  ガールズバーママ・・・植木夏十    淡島舞・・・坂井真紀  三宮大三郎・・・生瀬勝久  原平太・・・風間杜夫山室大輔磯山晶◇番組HP　  http://www.tbs.co.jp/g"&amp;"omenne_tbs/    ◇twitter  @gomenne_tbs 　  https://twitter.com/gomenne_tbs  ◇facebook  https://www.facebook.com/gomennetbs  TBSテレビ  番組の終わりに主題歌CDプレゼントがあります。")</f>
        <v>男女共学化のお試し期間の一環で、平助（錦戸亮）の三女での教師生活が始まる。しかし最初の授業で女生徒の信頼を勝ち取ることが出来なかったため、完全に舐められてしまう。そんななか、クラス内でこっそり付き合っていた海老沢（重岡大毅）と阿部（森川葵）は、切羽詰ったあまり、大胆な行動に出てしまう。二人の勝手な行動が原因で、共学化も白紙に戻されそうになる。りさ（満島ひかり）にも吉井校長（斉藤由貴）にも詰められた平助は、生徒からの信頼を取り戻すため、自分の過去の出来事から学んだ授業をする。それは、初恋の相手・祐子（波瑠）の思い出につながるものだった…宮藤官九郎  （オリジナルドラマ）　真島昌利（ザ・クロマニヨンズ）  羽毛田丈史言ったじゃないか  関ジャニ∞  作詞：宮藤官九郎　作曲：峯田和伸  インフィニティ・レコーズ原平助・・・錦戸亮  蜂矢りさ・・・満島ひかり  蔦谷サトシ・・・永山絢斗  海老沢ゆずる・・・重岡大毅（ジャニーズWEST）  蜂矢祐子・・・波瑠  山田ビルケンシュトック京子・・・トリンドル玲奈  神保愛・・・川栄李奈  昭島司・・・白洲迅  中井貴子・・・黒島結菜  阿部あまり・・・森川葵  村井守・・・小関裕太  半田豪・・・鈴木貴之  古井豊・・・矢本悠馬  遠藤いずみ・・・富山えり子佐久間りえ・・・久松郁実  成田淳・・・船崎良  大木隆・・・竜星涼    吉井良江・・・斉藤由貴  原みゆき・・・森下愛子  原一平・・・えなりかずき  原江レナ・・・中村静香豪徳寺教頭・・・緋田康人  浜口教頭・・・宍戸美和公  ガールズバーママ・・・植木夏十    淡島舞・・・坂井真紀  三宮大三郎・・・生瀬勝久  原平太・・・風間杜夫山室大輔磯山晶◇番組HP　  http://www.tbs.co.jp/gomenne_tbs/    ◇twitter  @gomenne_tbs 　  https://twitter.com/gomenne_tbs  ◇facebook  https://www.facebook.com/gomennetbs  TBSテレビ  番組の終わりに主題歌CDプレゼントがあります。</v>
      </c>
      <c r="N5277" s="2"/>
      <c r="O5277" s="2"/>
      <c r="P5277" s="1"/>
      <c r="Q5277" s="1"/>
      <c r="R5277" s="1"/>
      <c r="S5277" s="1"/>
      <c r="T5277" s="1"/>
      <c r="U5277" s="1"/>
      <c r="V5277" s="1"/>
      <c r="W5277" s="1"/>
      <c r="X5277" s="1"/>
      <c r="Y5277" s="1"/>
      <c r="Z5277" s="1"/>
      <c r="AA5277" s="1"/>
      <c r="AB5277" s="1"/>
      <c r="AC5277" s="1"/>
      <c r="AD5277" s="1"/>
      <c r="AE5277" s="1"/>
      <c r="AF5277" s="1"/>
      <c r="AG5277" s="1"/>
      <c r="AH5277" s="1"/>
      <c r="AI5277" s="1"/>
      <c r="AJ5277" s="1"/>
      <c r="AK5277" s="1"/>
      <c r="AL5277" s="1"/>
      <c r="AM5277" s="1"/>
      <c r="AN5277" s="1"/>
      <c r="AO5277" s="1"/>
      <c r="AP5277" s="1"/>
      <c r="AQ5277" s="1"/>
      <c r="AR5277" s="1"/>
      <c r="AS5277" s="1"/>
      <c r="AT5277" s="1"/>
      <c r="AU5277" s="1"/>
      <c r="AV5277" s="1"/>
      <c r="AW5277" s="1"/>
      <c r="AX5277" s="1"/>
      <c r="AY5277" s="1"/>
      <c r="AZ5277" s="1"/>
      <c r="BA5277" s="1"/>
      <c r="BB5277" s="1"/>
    </row>
    <row r="5278" ht="204.75" customHeight="1">
      <c r="A5278" s="1">
        <v>2549.0</v>
      </c>
      <c r="B5278" s="2" t="s">
        <v>14650</v>
      </c>
      <c r="C5278" s="2">
        <f>IFERROR(__xludf.DUMMYFUNCTION("split(B5278,""_"")"),1410.0)</f>
        <v>1410</v>
      </c>
      <c r="D5278" s="2" t="str">
        <f>IFERROR(__xludf.DUMMYFUNCTION("""COMPUTED_VALUE"""),"TBS")</f>
        <v>TBS</v>
      </c>
      <c r="E5278" s="2" t="str">
        <f>IFERROR(__xludf.DUMMYFUNCTION("""COMPUTED_VALUE"""),"日21")</f>
        <v>日21</v>
      </c>
      <c r="F5278" s="2" t="s">
        <v>14651</v>
      </c>
      <c r="G5278" s="2" t="s">
        <v>14656</v>
      </c>
      <c r="H5278" s="1">
        <v>3.0</v>
      </c>
      <c r="J5278" s="1" t="s">
        <v>11</v>
      </c>
      <c r="K5278" s="2" t="s">
        <v>14657</v>
      </c>
      <c r="L5278" s="2"/>
      <c r="M5278" s="2" t="str">
        <f>IFERROR(__xludf.DUMMYFUNCTION("split(split(K5278,""【"",false),""公式LINE"",false)"),"失踪していたサトシ（永山絢斗）と衝撃の再会をする平助（錦戸亮）。祐子（波瑠）とのいきさつや、火事の夜について今まで知らなかった事実を知る。一方、男女共学の続行がかかった学力テストが行われることになり、平助は決死の勉強合宿を寺で敢行する。あまりにも勉強の出来ない男子のために、平助は頭を下げて、成績の良い女子たちの力を借りることにする。初めて、男子と女子の共同作業が行われ、お互いの距離は縮まるが…。宮藤官九郎  （オリジナルドラマ）福田亮介真島昌利（ザ・クロマニヨンズ）  羽毛田丈史原平助…錦戸亮  蜂矢りさ"&amp;"…満島ひかり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蜂矢善人…平田満  原エレナ…中村静香  豪徳寺教頭…緋田康人  淡島"&amp;"舞…坂井真紀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  TBSテレビ  18時より放送のSMBC日本シリーズ2"&amp;"014　第2戦　阪神×ソフトバンクの試合状況により、放送時間が変更になる可能性がございます。")</f>
        <v>失踪していたサトシ（永山絢斗）と衝撃の再会をする平助（錦戸亮）。祐子（波瑠）とのいきさつや、火事の夜について今まで知らなかった事実を知る。一方、男女共学の続行がかかった学力テストが行われることになり、平助は決死の勉強合宿を寺で敢行する。あまりにも勉強の出来ない男子のために、平助は頭を下げて、成績の良い女子たちの力を借りることにする。初めて、男子と女子の共同作業が行われ、お互いの距離は縮まるが…。宮藤官九郎  （オリジナルドラマ）福田亮介真島昌利（ザ・クロマニヨンズ）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蜂矢善人…平田満  原エレナ…中村静香  豪徳寺教頭…緋田康人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  TBSテレビ  18時より放送のSMBC日本シリーズ2014　第2戦　阪神×ソフトバンクの試合状況により、放送時間が変更になる可能性がございます。</v>
      </c>
      <c r="N5278" s="2"/>
      <c r="O5278" s="2"/>
      <c r="P5278" s="1"/>
      <c r="Q5278" s="1"/>
      <c r="R5278" s="1"/>
      <c r="S5278" s="1"/>
      <c r="T5278" s="1"/>
      <c r="U5278" s="1"/>
      <c r="V5278" s="1"/>
      <c r="W5278" s="1"/>
      <c r="X5278" s="1"/>
      <c r="Y5278" s="1"/>
      <c r="Z5278" s="1"/>
      <c r="AA5278" s="1"/>
      <c r="AB5278" s="1"/>
      <c r="AC5278" s="1"/>
      <c r="AD5278" s="1"/>
      <c r="AE5278" s="1"/>
      <c r="AF5278" s="1"/>
      <c r="AG5278" s="1"/>
      <c r="AH5278" s="1"/>
      <c r="AI5278" s="1"/>
      <c r="AJ5278" s="1"/>
      <c r="AK5278" s="1"/>
      <c r="AL5278" s="1"/>
      <c r="AM5278" s="1"/>
      <c r="AN5278" s="1"/>
      <c r="AO5278" s="1"/>
      <c r="AP5278" s="1"/>
      <c r="AQ5278" s="1"/>
      <c r="AR5278" s="1"/>
      <c r="AS5278" s="1"/>
      <c r="AT5278" s="1"/>
      <c r="AU5278" s="1"/>
      <c r="AV5278" s="1"/>
      <c r="AW5278" s="1"/>
      <c r="AX5278" s="1"/>
      <c r="AY5278" s="1"/>
      <c r="AZ5278" s="1"/>
      <c r="BA5278" s="1"/>
      <c r="BB5278" s="1"/>
    </row>
    <row r="5279" ht="204.75" customHeight="1">
      <c r="A5279" s="1">
        <v>2550.0</v>
      </c>
      <c r="B5279" s="2" t="s">
        <v>14650</v>
      </c>
      <c r="C5279" s="2">
        <f>IFERROR(__xludf.DUMMYFUNCTION("split(B5279,""_"")"),1410.0)</f>
        <v>1410</v>
      </c>
      <c r="D5279" s="2" t="str">
        <f>IFERROR(__xludf.DUMMYFUNCTION("""COMPUTED_VALUE"""),"TBS")</f>
        <v>TBS</v>
      </c>
      <c r="E5279" s="2" t="str">
        <f>IFERROR(__xludf.DUMMYFUNCTION("""COMPUTED_VALUE"""),"日21")</f>
        <v>日21</v>
      </c>
      <c r="F5279" s="2" t="s">
        <v>14651</v>
      </c>
      <c r="G5279" s="2" t="s">
        <v>14658</v>
      </c>
      <c r="H5279" s="1">
        <v>4.0</v>
      </c>
      <c r="J5279" s="1" t="s">
        <v>11</v>
      </c>
      <c r="K5279" s="2" t="s">
        <v>14659</v>
      </c>
      <c r="L5279" s="2"/>
      <c r="M5279" s="2" t="str">
        <f>IFERROR(__xludf.DUMMYFUNCTION("split(split(K5279,""【"",false),""公式LINE"",false)"),"突然、ガールズバーでサトシ（永山絢斗）に襲い掛かった初老の男・善人（平田満）は、りさ（満島ひかり）と祐子（波瑠）の父親だった。14年前の火事のあと、蜂矢家がたどった数奇な運命を聞かされる平助（錦戸亮）と平太（風間杜夫）。  一方、文化祭実行委員会の活動で、伊豆三津シーパラダイスに出かけた生徒と平助とりさ。そこで、さまざまな恋の駆け引きが行われる。平助とりさの距離が急速に縮まる、ある出来事が…  さらに三女と東高の教師同士の親睦も深まる。東高主催の説法の会に平太の代理で登壇した一平（えなりかずき）は、思いが"&amp;"けない出会いを体験する。道ならぬ恋に発展するのか…。宮藤官九郎  （オリジナルドラマ）金子文紀真島昌利（ザ・クロマニヨンズ）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成田淳"&amp;"…船崎良  大木隆…竜星涼吉井良江…斉藤由貴  原みゆき…森下愛子  原一平…えなりかずき  蜂矢善人…平田満  原エレナ…中村静香  豪徳寺教頭…緋田康人  淡島舞…坂井真紀  三宮大三郎…生瀬勝久  原平太…風間杜夫「言ったじゃないか」　関ジャニ∞  作詞：宮藤官九郎　作曲：峯田和伸  インフィニティ・レコーズ◇番組HP　  http://www.tbs.co.jp/gomenne_tbs/    ◇twitter  @gomenne_tbs 　  https://twitter.com/gomenn"&amp;"e_tbs  ◇facebook  https://www.facebook.com/gomennetbsTBSテレビ  番組の内容と放送時間は変更になる可能性があります。")</f>
        <v>突然、ガールズバーでサトシ（永山絢斗）に襲い掛かった初老の男・善人（平田満）は、りさ（満島ひかり）と祐子（波瑠）の父親だった。14年前の火事のあと、蜂矢家がたどった数奇な運命を聞かされる平助（錦戸亮）と平太（風間杜夫）。  一方、文化祭実行委員会の活動で、伊豆三津シーパラダイスに出かけた生徒と平助とりさ。そこで、さまざまな恋の駆け引きが行われる。平助とりさの距離が急速に縮まる、ある出来事が…  さらに三女と東高の教師同士の親睦も深まる。東高主催の説法の会に平太の代理で登壇した一平（えなりかずき）は、思いがけない出会いを体験する。道ならぬ恋に発展するのか…。宮藤官九郎  （オリジナルドラマ）金子文紀真島昌利（ザ・クロマニヨンズ）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蜂矢善人…平田満  原エレナ…中村静香  豪徳寺教頭…緋田康人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https://www.facebook.com/gomennetbsTBSテレビ  番組の内容と放送時間は変更になる可能性があります。</v>
      </c>
      <c r="N5279" s="2"/>
      <c r="O5279" s="2"/>
      <c r="P5279" s="1"/>
      <c r="Q5279" s="1"/>
      <c r="R5279" s="1"/>
      <c r="S5279" s="1"/>
      <c r="T5279" s="1"/>
      <c r="U5279" s="1"/>
      <c r="V5279" s="1"/>
      <c r="W5279" s="1"/>
      <c r="X5279" s="1"/>
      <c r="Y5279" s="1"/>
      <c r="Z5279" s="1"/>
      <c r="AA5279" s="1"/>
      <c r="AB5279" s="1"/>
      <c r="AC5279" s="1"/>
      <c r="AD5279" s="1"/>
      <c r="AE5279" s="1"/>
      <c r="AF5279" s="1"/>
      <c r="AG5279" s="1"/>
      <c r="AH5279" s="1"/>
      <c r="AI5279" s="1"/>
      <c r="AJ5279" s="1"/>
      <c r="AK5279" s="1"/>
      <c r="AL5279" s="1"/>
      <c r="AM5279" s="1"/>
      <c r="AN5279" s="1"/>
      <c r="AO5279" s="1"/>
      <c r="AP5279" s="1"/>
      <c r="AQ5279" s="1"/>
      <c r="AR5279" s="1"/>
      <c r="AS5279" s="1"/>
      <c r="AT5279" s="1"/>
      <c r="AU5279" s="1"/>
      <c r="AV5279" s="1"/>
      <c r="AW5279" s="1"/>
      <c r="AX5279" s="1"/>
      <c r="AY5279" s="1"/>
      <c r="AZ5279" s="1"/>
      <c r="BA5279" s="1"/>
      <c r="BB5279" s="1"/>
    </row>
    <row r="5280" ht="204.75" customHeight="1">
      <c r="A5280" s="1">
        <v>2551.0</v>
      </c>
      <c r="B5280" s="2" t="s">
        <v>14650</v>
      </c>
      <c r="C5280" s="2">
        <f>IFERROR(__xludf.DUMMYFUNCTION("split(B5280,""_"")"),1410.0)</f>
        <v>1410</v>
      </c>
      <c r="D5280" s="2" t="str">
        <f>IFERROR(__xludf.DUMMYFUNCTION("""COMPUTED_VALUE"""),"TBS")</f>
        <v>TBS</v>
      </c>
      <c r="E5280" s="2" t="str">
        <f>IFERROR(__xludf.DUMMYFUNCTION("""COMPUTED_VALUE"""),"日21")</f>
        <v>日21</v>
      </c>
      <c r="F5280" s="2" t="s">
        <v>14651</v>
      </c>
      <c r="G5280" s="2" t="s">
        <v>14660</v>
      </c>
      <c r="H5280" s="1">
        <v>5.0</v>
      </c>
      <c r="J5280" s="1" t="s">
        <v>4</v>
      </c>
      <c r="K5280" s="2" t="s">
        <v>14661</v>
      </c>
      <c r="L5280" s="2"/>
      <c r="M5280" s="2" t="str">
        <f>IFERROR(__xludf.DUMMYFUNCTION("split(split(K5280,""【"",false),""公式LINE"",false)"),"古井（矢本悠馬）が傷だらけで登校してきた。西高生にやられたらしい。古井の仇を討つ為に、生徒達は団結して高校生駅伝に出場することを決める。自主的に絆を深めている生徒達の気持ちに平助（錦戸亮）は感動し、皆のサポート役を引き受ける。  一方、りさ（満島ひかり）は勝手に平助と結ばれると決めたはいいが、「好きなところが見つからない」とシスター吉井（斉藤由貴）、どんまい先生（坂井真紀）らに相談しまくる。そしてラジオ番組「ごめんね青春！」にも…。  駅伝出場にあたり、新しい学校の名前を決める教師達。生徒のトレーニングも"&amp;"進み、準備は整いつつあったが、肝心の古井には実は秘密があった。人知れず悩んだあげく、平助にだけ真実を打ち明ける古井。そして、ついに思い切った行動に出てしまう…宮藤官九郎  （オリジナルドラマ）福田亮介真島昌利（ザ・クロマニヨンズ）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村井守…小"&amp;"関裕太  半田豪…鈴木貴之  古井豊…矢本悠馬  遠藤いずみ…富山えり子  佐久間りえ…久松郁実  成田淳…船崎良  大木隆…竜星涼  吉井良江…斉藤由貴原みゆき…森下愛子  原一平…えなりかずき  蜂矢善人…平田満  原エレナ…中村静香  豪徳寺教頭…緋田康人  富永…富澤たけし  淡島舞…坂井真紀  三宮大三郎…生瀬勝久  原平太…風間杜夫「言ったじゃないか」　関ジャニ∞  作詞：宮藤官九郎　作曲：峯田和伸  インフィニティ・レコーズ◇番組HP　  http://www.tbs.co.jp/gomen"&amp;"ne_tbs/    ◇twitter  @gomenne_tbs 　  https://twitter.com/gomenne_tbs  ◇facebook  https://www.facebook.com/gomennetbs  TBSテレビ  15分枠大で放送します。    番組の内容と放送時間は変更になる可能性があります。")</f>
        <v>古井（矢本悠馬）が傷だらけで登校してきた。西高生にやられたらしい。古井の仇を討つ為に、生徒達は団結して高校生駅伝に出場することを決める。自主的に絆を深めている生徒達の気持ちに平助（錦戸亮）は感動し、皆のサポート役を引き受ける。  一方、りさ（満島ひかり）は勝手に平助と結ばれると決めたはいいが、「好きなところが見つからない」とシスター吉井（斉藤由貴）、どんまい先生（坂井真紀）らに相談しまくる。そしてラジオ番組「ごめんね青春！」にも…。  駅伝出場にあたり、新しい学校の名前を決める教師達。生徒のトレーニングも進み、準備は整いつつあったが、肝心の古井には実は秘密があった。人知れず悩んだあげく、平助にだけ真実を打ち明ける古井。そして、ついに思い切った行動に出てしまう…宮藤官九郎  （オリジナルドラマ）福田亮介真島昌利（ザ・クロマニヨンズ）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  吉井良江…斉藤由貴原みゆき…森下愛子  原一平…えなりかずき  蜂矢善人…平田満  原エレナ…中村静香  豪徳寺教頭…緋田康人  富永…富澤たけし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  TBSテレビ  15分枠大で放送します。    番組の内容と放送時間は変更になる可能性があります。</v>
      </c>
      <c r="N5280" s="2"/>
      <c r="O5280" s="2"/>
      <c r="P5280" s="1"/>
      <c r="Q5280" s="1"/>
      <c r="R5280" s="1"/>
      <c r="S5280" s="1"/>
      <c r="T5280" s="1"/>
      <c r="U5280" s="1"/>
      <c r="V5280" s="1"/>
      <c r="W5280" s="1"/>
      <c r="X5280" s="1"/>
      <c r="Y5280" s="1"/>
      <c r="Z5280" s="1"/>
      <c r="AA5280" s="1"/>
      <c r="AB5280" s="1"/>
      <c r="AC5280" s="1"/>
      <c r="AD5280" s="1"/>
      <c r="AE5280" s="1"/>
      <c r="AF5280" s="1"/>
      <c r="AG5280" s="1"/>
      <c r="AH5280" s="1"/>
      <c r="AI5280" s="1"/>
      <c r="AJ5280" s="1"/>
      <c r="AK5280" s="1"/>
      <c r="AL5280" s="1"/>
      <c r="AM5280" s="1"/>
      <c r="AN5280" s="1"/>
      <c r="AO5280" s="1"/>
      <c r="AP5280" s="1"/>
      <c r="AQ5280" s="1"/>
      <c r="AR5280" s="1"/>
      <c r="AS5280" s="1"/>
      <c r="AT5280" s="1"/>
      <c r="AU5280" s="1"/>
      <c r="AV5280" s="1"/>
      <c r="AW5280" s="1"/>
      <c r="AX5280" s="1"/>
      <c r="AY5280" s="1"/>
      <c r="AZ5280" s="1"/>
      <c r="BA5280" s="1"/>
      <c r="BB5280" s="1"/>
    </row>
    <row r="5281" ht="204.75" customHeight="1">
      <c r="A5281" s="1">
        <v>2552.0</v>
      </c>
      <c r="B5281" s="2" t="s">
        <v>14650</v>
      </c>
      <c r="C5281" s="2">
        <f>IFERROR(__xludf.DUMMYFUNCTION("split(B5281,""_"")"),1410.0)</f>
        <v>1410</v>
      </c>
      <c r="D5281" s="2" t="str">
        <f>IFERROR(__xludf.DUMMYFUNCTION("""COMPUTED_VALUE"""),"TBS")</f>
        <v>TBS</v>
      </c>
      <c r="E5281" s="2" t="str">
        <f>IFERROR(__xludf.DUMMYFUNCTION("""COMPUTED_VALUE"""),"日21")</f>
        <v>日21</v>
      </c>
      <c r="F5281" s="2" t="s">
        <v>14651</v>
      </c>
      <c r="G5281" s="2" t="s">
        <v>14662</v>
      </c>
      <c r="H5281" s="1">
        <v>6.0</v>
      </c>
      <c r="J5281" s="1" t="s">
        <v>11</v>
      </c>
      <c r="K5281" s="2" t="s">
        <v>14663</v>
      </c>
      <c r="L5281" s="2"/>
      <c r="M5281" s="2" t="str">
        <f>IFERROR(__xludf.DUMMYFUNCTION("split(split(K5281,""【"",false),""公式LINE"",false)"),"ついに始まった高校生「箱根まで駅伝」。生徒たちはそれぞれの事情から（主に恋愛事情から）走りに集中出来ない。特に中井（黒島結菜）は家の事情を担任の平助（錦戸亮）に相談出来ずにいた。りさ（満島ひかり）も生徒たちの応援をしながら、平助の良いところを相変わらず探しあぐねている。さらに一平（えなりかずき）とドンマイ先生（坂井真紀）の関係も膠着していた。そんな皆の思惑とは別に、レースは意外な展開を見せ…そして教師も生徒も駅伝の思わぬ試合結果に、自分たちも意外な感動を覚える…  そして合同文化祭の準備はいよいよ佳境に入"&amp;"ってきた。受験が重なる生徒たちは自分の役割を減らそうとするなか、秘密を抱えたまま、中井は一人仕事を抱え込んでいた。さらに、一平の不審な行動に気づいた平太（風間杜夫）、平助に探りを入れて来い、と促すが…宮藤官九郎  （オリジナルドラマ）福田亮介真島昌利（ザ・クロマニヨンズ）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昭島司…白洲迅中井貴子…黒"&amp;"島結菜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体育教師富永…富澤たけし  淡島舞…坂井真紀  三宮大三郎…生瀬勝久  原平太…風間杜夫「言ったじゃないか」　関ジャニ∞  作詞：宮藤官九郎　作曲：峯田和伸  インフィニティ・レコーズ◇番組HP　  http://www."&amp;"tbs.co.jp/gomenne_tbs/    ◇twitter  @gomenne_tbs 　  https://twitter.com/gomenne_tbs  ◇facebook  https://www.facebook.com/gomennetbs  TBSテレビ  番組の内容と放送時間は変更になる可能性があります。")</f>
        <v>ついに始まった高校生「箱根まで駅伝」。生徒たちはそれぞれの事情から（主に恋愛事情から）走りに集中出来ない。特に中井（黒島結菜）は家の事情を担任の平助（錦戸亮）に相談出来ずにいた。りさ（満島ひかり）も生徒たちの応援をしながら、平助の良いところを相変わらず探しあぐねている。さらに一平（えなりかずき）とドンマイ先生（坂井真紀）の関係も膠着していた。そんな皆の思惑とは別に、レースは意外な展開を見せ…そして教師も生徒も駅伝の思わぬ試合結果に、自分たちも意外な感動を覚える…  そして合同文化祭の準備はいよいよ佳境に入ってきた。受験が重なる生徒たちは自分の役割を減らそうとするなか、秘密を抱えたまま、中井は一人仕事を抱え込んでいた。さらに、一平の不審な行動に気づいた平太（風間杜夫）、平助に探りを入れて来い、と促すが…宮藤官九郎  （オリジナルドラマ）福田亮介真島昌利（ザ・クロマニヨンズ）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体育教師富永…富澤たけし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  TBSテレビ  番組の内容と放送時間は変更になる可能性があります。</v>
      </c>
      <c r="N5281" s="2"/>
      <c r="O5281" s="2"/>
      <c r="P5281" s="1"/>
      <c r="Q5281" s="1"/>
      <c r="R5281" s="1"/>
      <c r="S5281" s="1"/>
      <c r="T5281" s="1"/>
      <c r="U5281" s="1"/>
      <c r="V5281" s="1"/>
      <c r="W5281" s="1"/>
      <c r="X5281" s="1"/>
      <c r="Y5281" s="1"/>
      <c r="Z5281" s="1"/>
      <c r="AA5281" s="1"/>
      <c r="AB5281" s="1"/>
      <c r="AC5281" s="1"/>
      <c r="AD5281" s="1"/>
      <c r="AE5281" s="1"/>
      <c r="AF5281" s="1"/>
      <c r="AG5281" s="1"/>
      <c r="AH5281" s="1"/>
      <c r="AI5281" s="1"/>
      <c r="AJ5281" s="1"/>
      <c r="AK5281" s="1"/>
      <c r="AL5281" s="1"/>
      <c r="AM5281" s="1"/>
      <c r="AN5281" s="1"/>
      <c r="AO5281" s="1"/>
      <c r="AP5281" s="1"/>
      <c r="AQ5281" s="1"/>
      <c r="AR5281" s="1"/>
      <c r="AS5281" s="1"/>
      <c r="AT5281" s="1"/>
      <c r="AU5281" s="1"/>
      <c r="AV5281" s="1"/>
      <c r="AW5281" s="1"/>
      <c r="AX5281" s="1"/>
      <c r="AY5281" s="1"/>
      <c r="AZ5281" s="1"/>
      <c r="BA5281" s="1"/>
      <c r="BB5281" s="1"/>
    </row>
    <row r="5282" ht="204.75" customHeight="1">
      <c r="A5282" s="1">
        <v>2553.0</v>
      </c>
      <c r="B5282" s="2" t="s">
        <v>14650</v>
      </c>
      <c r="C5282" s="2">
        <f>IFERROR(__xludf.DUMMYFUNCTION("split(B5282,""_"")"),1410.0)</f>
        <v>1410</v>
      </c>
      <c r="D5282" s="2" t="str">
        <f>IFERROR(__xludf.DUMMYFUNCTION("""COMPUTED_VALUE"""),"TBS")</f>
        <v>TBS</v>
      </c>
      <c r="E5282" s="2" t="str">
        <f>IFERROR(__xludf.DUMMYFUNCTION("""COMPUTED_VALUE"""),"日21")</f>
        <v>日21</v>
      </c>
      <c r="F5282" s="2" t="s">
        <v>14651</v>
      </c>
      <c r="G5282" s="2" t="s">
        <v>14664</v>
      </c>
      <c r="H5282" s="1">
        <v>7.0</v>
      </c>
      <c r="J5282" s="1" t="s">
        <v>11</v>
      </c>
      <c r="K5282" s="2" t="s">
        <v>14665</v>
      </c>
      <c r="L5282" s="2"/>
      <c r="M5282" s="2" t="str">
        <f>IFERROR(__xludf.DUMMYFUNCTION("split(split(K5282,""【"",false),""公式LINE"",false)"),"来週、東京の学校に転校してしまうことを周りに隠している生徒会長の中井（黒島結菜）。そんな彼女の気持ちに気づいたりさ（満島ひかり）は、平助（錦戸亮）に中井と二人で新しい校歌を作るように強引に指示する。転校の事実を知らない平助は、なかなか校歌作りを始めないが、そんな姿にいらついたりさは平助と喧嘩してしまう。ようやく事情を知った平助は、1週間でかかって聖駿高校の校歌を作り上げる。一方、ドンマイ先生（坂井真紀）と別れろと平助に言われた一平（えなりかずき）が、なんとか別れ話を切り出そうとするなか、ドンマイ先生は意外"&amp;"な行動に…。  そして中井が転校する日、皆からのサプライズが…。    劇中で発表される、新しい聖駿高校の校歌は、宮藤官九郎作詞、真島昌利作曲の、書き下ろしです！必聴！宮藤官九郎  （オリジナルドラマ）山室大輔真島昌利（ザ・クロマニヨンズ）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"&amp;"村井守…小関裕太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淡島舞…坂井真紀  三宮大三郎…生瀬勝久  原平太…風間杜夫「言ったじゃないか」　関ジャニ∞  作詞：宮藤官九郎　作曲：峯田和伸  インフィニティ・レコーズ◇番組HP　  http://www.tbs.co.jp/gomenne_tbs/    ◇twi"&amp;"tter  @gomenne_tbs 　  https://twitter.com/gomenne_tbs  ◇facebook  https://www.facebook.com/gomennetbs  TBSテレビ  番組の内容と放送時間は変更になる可能性があります。")</f>
        <v>来週、東京の学校に転校してしまうことを周りに隠している生徒会長の中井（黒島結菜）。そんな彼女の気持ちに気づいたりさ（満島ひかり）は、平助（錦戸亮）に中井と二人で新しい校歌を作るように強引に指示する。転校の事実を知らない平助は、なかなか校歌作りを始めないが、そんな姿にいらついたりさは平助と喧嘩してしまう。ようやく事情を知った平助は、1週間でかかって聖駿高校の校歌を作り上げる。一方、ドンマイ先生（坂井真紀）と別れろと平助に言われた一平（えなりかずき）が、なんとか別れ話を切り出そうとするなか、ドンマイ先生は意外な行動に…。  そして中井が転校する日、皆からのサプライズが…。    劇中で発表される、新しい聖駿高校の校歌は、宮藤官九郎作詞、真島昌利作曲の、書き下ろしです！必聴！宮藤官九郎  （オリジナルドラマ）山室大輔真島昌利（ザ・クロマニヨンズ）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  TBSテレビ  番組の内容と放送時間は変更になる可能性があります。</v>
      </c>
      <c r="N5282" s="2"/>
      <c r="O5282" s="2"/>
      <c r="P5282" s="1"/>
      <c r="Q5282" s="1"/>
      <c r="R5282" s="1"/>
      <c r="S5282" s="1"/>
      <c r="T5282" s="1"/>
      <c r="U5282" s="1"/>
      <c r="V5282" s="1"/>
      <c r="W5282" s="1"/>
      <c r="X5282" s="1"/>
      <c r="Y5282" s="1"/>
      <c r="Z5282" s="1"/>
      <c r="AA5282" s="1"/>
      <c r="AB5282" s="1"/>
      <c r="AC5282" s="1"/>
      <c r="AD5282" s="1"/>
      <c r="AE5282" s="1"/>
      <c r="AF5282" s="1"/>
      <c r="AG5282" s="1"/>
      <c r="AH5282" s="1"/>
      <c r="AI5282" s="1"/>
      <c r="AJ5282" s="1"/>
      <c r="AK5282" s="1"/>
      <c r="AL5282" s="1"/>
      <c r="AM5282" s="1"/>
      <c r="AN5282" s="1"/>
      <c r="AO5282" s="1"/>
      <c r="AP5282" s="1"/>
      <c r="AQ5282" s="1"/>
      <c r="AR5282" s="1"/>
      <c r="AS5282" s="1"/>
      <c r="AT5282" s="1"/>
      <c r="AU5282" s="1"/>
      <c r="AV5282" s="1"/>
      <c r="AW5282" s="1"/>
      <c r="AX5282" s="1"/>
      <c r="AY5282" s="1"/>
      <c r="AZ5282" s="1"/>
      <c r="BA5282" s="1"/>
      <c r="BB5282" s="1"/>
    </row>
    <row r="5283" ht="204.75" customHeight="1">
      <c r="A5283" s="1">
        <v>2554.0</v>
      </c>
      <c r="B5283" s="2" t="s">
        <v>14650</v>
      </c>
      <c r="C5283" s="2">
        <f>IFERROR(__xludf.DUMMYFUNCTION("split(B5283,""_"")"),1410.0)</f>
        <v>1410</v>
      </c>
      <c r="D5283" s="2" t="str">
        <f>IFERROR(__xludf.DUMMYFUNCTION("""COMPUTED_VALUE"""),"TBS")</f>
        <v>TBS</v>
      </c>
      <c r="E5283" s="2" t="str">
        <f>IFERROR(__xludf.DUMMYFUNCTION("""COMPUTED_VALUE"""),"日21")</f>
        <v>日21</v>
      </c>
      <c r="F5283" s="2" t="s">
        <v>14651</v>
      </c>
      <c r="G5283" s="2" t="s">
        <v>14666</v>
      </c>
      <c r="H5283" s="1">
        <v>8.0</v>
      </c>
      <c r="J5283" s="1" t="s">
        <v>11</v>
      </c>
      <c r="K5283" s="2" t="s">
        <v>14667</v>
      </c>
      <c r="L5283" s="2"/>
      <c r="M5283" s="2" t="str">
        <f>IFERROR(__xludf.DUMMYFUNCTION("split(split(K5283,""【"",false),""公式LINE"",false)"),"村井（小関裕太）が三女の制服を着て登校していることが、東高の理事長ある父親（津田寛治）にバレてしまい、合併も合同文化祭も中止だと告げられる。村井は「体は男だけど、心は女」という性的な違和感に悩む性同一性障害だった…。今まで一緒に学生生活を送ってきたクラスメイトたちはまったく動じることなく、そのままの村井を受け入れているが、父親はどうしてもその事実を受け入れられない。平助（錦戸亮）は、なんとか合同文化祭の開催だけでも認めてもらおうと、理事長の家に通いつめるが会ってももらえない。いよいよタイムリミットが近づき"&amp;"、最後のお願いでりさ（満島ひかり）とともに理事長の家に出かけた平助は意外な光景を目にすることに…。  また、平助への気持ちに確信を深めたりさも思い切った行動に…。  さらにさらに、物語のカギを握る人物がついに…。宮藤官九郎  （オリジナルドラマ）金子文紀真島昌利（ザ・クロマニヨンズ）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昭島司…白洲迅"&amp;"中井貴子…黒島結菜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村井晋太郎…津田寛治  淡島舞…坂井真紀  三宮大三郎…生瀬勝久  原平太…風間杜夫「言ったじゃないか」　関ジャニ∞  作詞：宮藤官九郎　作曲：峯田和伸  インフィニティ・レコーズ◇番組HP　  http://"&amp;"www.tbs.co.jp/gomenne_tbs/    ◇twitter  @gomenne_tbs 　  https://twitter.com/gomenne_tbs  ◇facebook  https://www.facebook.com/gomennetbs  TBSテレビ  番組の内容と放送時間は変更になる可能性があります。")</f>
        <v>村井（小関裕太）が三女の制服を着て登校していることが、東高の理事長ある父親（津田寛治）にバレてしまい、合併も合同文化祭も中止だと告げられる。村井は「体は男だけど、心は女」という性的な違和感に悩む性同一性障害だった…。今まで一緒に学生生活を送ってきたクラスメイトたちはまったく動じることなく、そのままの村井を受け入れているが、父親はどうしてもその事実を受け入れられない。平助（錦戸亮）は、なんとか合同文化祭の開催だけでも認めてもらおうと、理事長の家に通いつめるが会ってももらえない。いよいよタイムリミットが近づき、最後のお願いでりさ（満島ひかり）とともに理事長の家に出かけた平助は意外な光景を目にすることに…。  また、平助への気持ちに確信を深めたりさも思い切った行動に…。  さらにさらに、物語のカギを握る人物がついに…。宮藤官九郎  （オリジナルドラマ）金子文紀真島昌利（ザ・クロマニヨンズ）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村井晋太郎…津田寛治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  TBSテレビ  番組の内容と放送時間は変更になる可能性があります。</v>
      </c>
      <c r="N5283" s="2"/>
      <c r="O5283" s="2"/>
      <c r="P5283" s="1"/>
      <c r="Q5283" s="1"/>
      <c r="R5283" s="1"/>
      <c r="S5283" s="1"/>
      <c r="T5283" s="1"/>
      <c r="U5283" s="1"/>
      <c r="V5283" s="1"/>
      <c r="W5283" s="1"/>
      <c r="X5283" s="1"/>
      <c r="Y5283" s="1"/>
      <c r="Z5283" s="1"/>
      <c r="AA5283" s="1"/>
      <c r="AB5283" s="1"/>
      <c r="AC5283" s="1"/>
      <c r="AD5283" s="1"/>
      <c r="AE5283" s="1"/>
      <c r="AF5283" s="1"/>
      <c r="AG5283" s="1"/>
      <c r="AH5283" s="1"/>
      <c r="AI5283" s="1"/>
      <c r="AJ5283" s="1"/>
      <c r="AK5283" s="1"/>
      <c r="AL5283" s="1"/>
      <c r="AM5283" s="1"/>
      <c r="AN5283" s="1"/>
      <c r="AO5283" s="1"/>
      <c r="AP5283" s="1"/>
      <c r="AQ5283" s="1"/>
      <c r="AR5283" s="1"/>
      <c r="AS5283" s="1"/>
      <c r="AT5283" s="1"/>
      <c r="AU5283" s="1"/>
      <c r="AV5283" s="1"/>
      <c r="AW5283" s="1"/>
      <c r="AX5283" s="1"/>
      <c r="AY5283" s="1"/>
      <c r="AZ5283" s="1"/>
      <c r="BA5283" s="1"/>
      <c r="BB5283" s="1"/>
    </row>
    <row r="5284" ht="204.75" customHeight="1">
      <c r="A5284" s="1">
        <v>2555.0</v>
      </c>
      <c r="B5284" s="2" t="s">
        <v>14650</v>
      </c>
      <c r="C5284" s="2">
        <f>IFERROR(__xludf.DUMMYFUNCTION("split(B5284,""_"")"),1410.0)</f>
        <v>1410</v>
      </c>
      <c r="D5284" s="2" t="str">
        <f>IFERROR(__xludf.DUMMYFUNCTION("""COMPUTED_VALUE"""),"TBS")</f>
        <v>TBS</v>
      </c>
      <c r="E5284" s="2" t="str">
        <f>IFERROR(__xludf.DUMMYFUNCTION("""COMPUTED_VALUE"""),"日21")</f>
        <v>日21</v>
      </c>
      <c r="F5284" s="2" t="s">
        <v>14651</v>
      </c>
      <c r="G5284" s="2" t="s">
        <v>14668</v>
      </c>
      <c r="H5284" s="1">
        <v>9.0</v>
      </c>
      <c r="J5284" s="1" t="s">
        <v>11</v>
      </c>
      <c r="K5284" s="2" t="s">
        <v>14669</v>
      </c>
      <c r="L5284" s="2"/>
      <c r="M5284" s="2" t="str">
        <f>IFERROR(__xludf.DUMMYFUNCTION("split(split(K5284,""【"",false),""公式LINE"",false)"),"雑誌の記者となった祐子（波瑠）が14年ぶりに現れ、青春祭を取材するという。再会を喜び、かつての冷たい態度を謝罪する善人（平田満）。姉の出現に動揺するりさ（満島ひかり）は、平助（錦戸亮）の家に押しかけて寝泊りすることに…。不器用な二人の距離は縮まるが。  一方、合同文化祭の準備は着々と進む。取材を続ける祐子は、平助が生徒たちから絶大な信頼を得ていることを知る。文化祭の開催自体が平助の熱意だという事も。さらに、平太（風間杜夫）は再婚相手としてせつ子（麻生祐未）を家に連れて来ていた。  一平（えなりかずき）も平"&amp;"助も、「お母さん力高め」のせつ子に何も言えない。  あるきっかけで、平助は14年前の火事について、新たな事実を知りショックを受ける。そして、ついに本当のことを告白しなければならない時が来て…。宮藤官九郎  （オリジナルドラマ）福田亮介真島昌利（ザ・クロマニヨンズ）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"&amp;"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淡島舞…坂井真紀  三宮大三郎…生瀬勝久  原平太…風間杜夫番組の終わりに、視聴者プレゼントがあります。「言ったじゃないか」　関ジャニ∞  作詞：宮藤官九郎　作曲：峯田和伸  インフィニティ・レコーズ◇番組HP　  http://"&amp;"www.tbs.co.jp/gomenne_tbs/    ◇twitter  @gomenne_tbs 　  https://twitter.com/gomenne_tbs  ◇facebook  https://www.facebook.com/gomennetbs  TBSテレビ  番組の内容と放送時間は変更になる可能性があります。")</f>
        <v>雑誌の記者となった祐子（波瑠）が14年ぶりに現れ、青春祭を取材するという。再会を喜び、かつての冷たい態度を謝罪する善人（平田満）。姉の出現に動揺するりさ（満島ひかり）は、平助（錦戸亮）の家に押しかけて寝泊りすることに…。不器用な二人の距離は縮まるが。  一方、合同文化祭の準備は着々と進む。取材を続ける祐子は、平助が生徒たちから絶大な信頼を得ていることを知る。文化祭の開催自体が平助の熱意だという事も。さらに、平太（風間杜夫）は再婚相手としてせつ子（麻生祐未）を家に連れて来ていた。  一平（えなりかずき）も平助も、「お母さん力高め」のせつ子に何も言えない。  あるきっかけで、平助は14年前の火事について、新たな事実を知りショックを受ける。そして、ついに本当のことを告白しなければならない時が来て…。宮藤官九郎  （オリジナルドラマ）福田亮介真島昌利（ザ・クロマニヨンズ）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淡島舞…坂井真紀  三宮大三郎…生瀬勝久  原平太…風間杜夫番組の終わりに、視聴者プレゼントがあります。「言ったじゃないか」　関ジャニ∞  作詞：宮藤官九郎　作曲：峯田和伸  インフィニティ・レコーズ◇番組HP　  http://www.tbs.co.jp/gomenne_tbs/    ◇twitter  @gomenne_tbs 　  https://twitter.com/gomenne_tbs  ◇facebook  https://www.facebook.com/gomennetbs  TBSテレビ  番組の内容と放送時間は変更になる可能性があります。</v>
      </c>
      <c r="N5284" s="2"/>
      <c r="O5284" s="2"/>
      <c r="P5284" s="1"/>
      <c r="Q5284" s="1"/>
      <c r="R5284" s="1"/>
      <c r="S5284" s="1"/>
      <c r="T5284" s="1"/>
      <c r="U5284" s="1"/>
      <c r="V5284" s="1"/>
      <c r="W5284" s="1"/>
      <c r="X5284" s="1"/>
      <c r="Y5284" s="1"/>
      <c r="Z5284" s="1"/>
      <c r="AA5284" s="1"/>
      <c r="AB5284" s="1"/>
      <c r="AC5284" s="1"/>
      <c r="AD5284" s="1"/>
      <c r="AE5284" s="1"/>
      <c r="AF5284" s="1"/>
      <c r="AG5284" s="1"/>
      <c r="AH5284" s="1"/>
      <c r="AI5284" s="1"/>
      <c r="AJ5284" s="1"/>
      <c r="AK5284" s="1"/>
      <c r="AL5284" s="1"/>
      <c r="AM5284" s="1"/>
      <c r="AN5284" s="1"/>
      <c r="AO5284" s="1"/>
      <c r="AP5284" s="1"/>
      <c r="AQ5284" s="1"/>
      <c r="AR5284" s="1"/>
      <c r="AS5284" s="1"/>
      <c r="AT5284" s="1"/>
      <c r="AU5284" s="1"/>
      <c r="AV5284" s="1"/>
      <c r="AW5284" s="1"/>
      <c r="AX5284" s="1"/>
      <c r="AY5284" s="1"/>
      <c r="AZ5284" s="1"/>
      <c r="BA5284" s="1"/>
      <c r="BB5284" s="1"/>
    </row>
    <row r="5285" ht="204.75" customHeight="1">
      <c r="A5285" s="1">
        <v>2556.0</v>
      </c>
      <c r="B5285" s="2" t="s">
        <v>14650</v>
      </c>
      <c r="C5285" s="2">
        <f>IFERROR(__xludf.DUMMYFUNCTION("split(B5285,""_"")"),1410.0)</f>
        <v>1410</v>
      </c>
      <c r="D5285" s="2" t="str">
        <f>IFERROR(__xludf.DUMMYFUNCTION("""COMPUTED_VALUE"""),"TBS")</f>
        <v>TBS</v>
      </c>
      <c r="E5285" s="2" t="str">
        <f>IFERROR(__xludf.DUMMYFUNCTION("""COMPUTED_VALUE"""),"日21")</f>
        <v>日21</v>
      </c>
      <c r="F5285" s="2" t="s">
        <v>14651</v>
      </c>
      <c r="G5285" s="2" t="s">
        <v>14670</v>
      </c>
      <c r="H5285" s="1">
        <v>10.0</v>
      </c>
      <c r="J5285" s="1" t="s">
        <v>11</v>
      </c>
      <c r="K5285" s="2" t="s">
        <v>14671</v>
      </c>
      <c r="L5285" s="2"/>
      <c r="M5285" s="2" t="str">
        <f>IFERROR(__xludf.DUMMYFUNCTION("split(split(K5285,""【"",false),""公式LINE"",false)"),"ついに始まった合同文化祭、男女で協力して準備してきたイベントを生徒たちは楽しげにこなしていく。自分も夢中になって参加する平助（錦戸亮）。前の晩の告白のショックから立ち直れていないりさ（満島ひかり）はそんな平助を複雑な思いで見ていた。1日目の夜、平助は祐子を呼び出して14年前の火事の真相を話す。平太（風間杜夫）もまた善人（平田満）に本当のことを話していた。そして最終日の後夜祭、あるきっかけで全校生徒の前に立つことになった平助は、ついに今まで黙ってきたことをすべてぶちまけることに…そして迎える思いがけない結末"&amp;"！  もう二度と取り戻せない、あの瞬間！あのかけがえのない時間！自分の青春時代と重ね合わせて、切なくなってください！  笑いと感動の最終回！お見逃しなく！宮藤官九郎  （オリジナルドラマ）山室大輔真島昌利（ザ・クロマニヨンズ）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村井守…小関裕"&amp;"太  半田豪…鈴木貴之  古井豊…矢本悠馬  遠藤いずみ…富山えり子  佐久間りえ…久松郁実  成田淳…船崎良  大木隆…竜星涼吉井良江…斉藤由貴  原みゆき…森下愛子  原一平…えなりかずき  蜂矢善人…平田満  原エレナ…中村静香  豪徳寺教頭…緋田康人  淡島舞…坂井真紀  三宮大三郎…生瀬勝久  原平太…風間杜夫「言ったじゃないか」　関ジャニ∞  作詞：宮藤官九郎　作曲：峯田和伸  インフィニティ・レコーズ番組の終わりに視聴者プレゼントがあります！◇番組HP　  http://www.tbs.co"&amp;".jp/gomenne_tbs/    ◇twitter  @gomenne_tbs 　  https://twitter.com/gomenne_tbs  ◇facebook  https://www.facebook.com/gomennetbs  年またぎはTBSのスポーツ祭りで！大晦日よる6時からはメッシが参戦するKYOKUGEN！元日あさ8時半からは駅伝日本一決定戦・ニューイヤー駅伝！よる6時からはプルシェンコが舞う！炎の体育会TV！番組の内容と放送時間は変更になる可能性があります。    ")</f>
        <v>ついに始まった合同文化祭、男女で協力して準備してきたイベントを生徒たちは楽しげにこなしていく。自分も夢中になって参加する平助（錦戸亮）。前の晩の告白のショックから立ち直れていないりさ（満島ひかり）はそんな平助を複雑な思いで見ていた。1日目の夜、平助は祐子を呼び出して14年前の火事の真相を話す。平太（風間杜夫）もまた善人（平田満）に本当のことを話していた。そして最終日の後夜祭、あるきっかけで全校生徒の前に立つことになった平助は、ついに今まで黙ってきたことをすべてぶちまけることに…そして迎える思いがけない結末！  もう二度と取り戻せない、あの瞬間！あのかけがえのない時間！自分の青春時代と重ね合わせて、切なくなってください！  笑いと感動の最終回！お見逃しなく！宮藤官九郎  （オリジナルドラマ）山室大輔真島昌利（ザ・クロマニヨンズ）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蜂矢善人…平田満  原エレナ…中村静香  豪徳寺教頭…緋田康人  淡島舞…坂井真紀  三宮大三郎…生瀬勝久  原平太…風間杜夫「言ったじゃないか」　関ジャニ∞  作詞：宮藤官九郎　作曲：峯田和伸  インフィニティ・レコーズ番組の終わりに視聴者プレゼントがあります！◇番組HP　  http://www.tbs.co.jp/gomenne_tbs/    ◇twitter  @gomenne_tbs 　  https://twitter.com/gomenne_tbs  ◇facebook  https://www.facebook.com/gomennetbs  年またぎはTBSのスポーツ祭りで！大晦日よる6時からはメッシが参戦するKYOKUGEN！元日あさ8時半からは駅伝日本一決定戦・ニューイヤー駅伝！よる6時からはプルシェンコが舞う！炎の体育会TV！番組の内容と放送時間は変更になる可能性があります。    </v>
      </c>
      <c r="N5285" s="2"/>
      <c r="O5285" s="2"/>
      <c r="P5285" s="1"/>
      <c r="Q5285" s="1"/>
      <c r="R5285" s="1"/>
      <c r="S5285" s="1"/>
      <c r="T5285" s="1"/>
      <c r="U5285" s="1"/>
      <c r="V5285" s="1"/>
      <c r="W5285" s="1"/>
      <c r="X5285" s="1"/>
      <c r="Y5285" s="1"/>
      <c r="Z5285" s="1"/>
      <c r="AA5285" s="1"/>
      <c r="AB5285" s="1"/>
      <c r="AC5285" s="1"/>
      <c r="AD5285" s="1"/>
      <c r="AE5285" s="1"/>
      <c r="AF5285" s="1"/>
      <c r="AG5285" s="1"/>
      <c r="AH5285" s="1"/>
      <c r="AI5285" s="1"/>
      <c r="AJ5285" s="1"/>
      <c r="AK5285" s="1"/>
      <c r="AL5285" s="1"/>
      <c r="AM5285" s="1"/>
      <c r="AN5285" s="1"/>
      <c r="AO5285" s="1"/>
      <c r="AP5285" s="1"/>
      <c r="AQ5285" s="1"/>
      <c r="AR5285" s="1"/>
      <c r="AS5285" s="1"/>
      <c r="AT5285" s="1"/>
      <c r="AU5285" s="1"/>
      <c r="AV5285" s="1"/>
      <c r="AW5285" s="1"/>
      <c r="AX5285" s="1"/>
      <c r="AY5285" s="1"/>
      <c r="AZ5285" s="1"/>
      <c r="BA5285" s="1"/>
      <c r="BB5285" s="1"/>
    </row>
    <row r="5286" ht="204.75" customHeight="1">
      <c r="A5286" s="1">
        <v>2557.0</v>
      </c>
      <c r="B5286" s="2" t="s">
        <v>14672</v>
      </c>
      <c r="C5286" s="2">
        <f>IFERROR(__xludf.DUMMYFUNCTION("split(B5286,""_"")"),1407.0)</f>
        <v>1407</v>
      </c>
      <c r="D5286" s="2" t="str">
        <f>IFERROR(__xludf.DUMMYFUNCTION("""COMPUTED_VALUE"""),"TBS")</f>
        <v>TBS</v>
      </c>
      <c r="E5286" s="2" t="str">
        <f>IFERROR(__xludf.DUMMYFUNCTION("""COMPUTED_VALUE"""),"月20")</f>
        <v>月20</v>
      </c>
      <c r="F5286" s="2" t="s">
        <v>14673</v>
      </c>
      <c r="G5286" s="2" t="s">
        <v>14674</v>
      </c>
      <c r="H5286" s="1">
        <v>1.0</v>
      </c>
      <c r="J5286" s="1" t="s">
        <v>2809</v>
      </c>
      <c r="K5286" s="2" t="s">
        <v>14675</v>
      </c>
      <c r="L5286" s="2"/>
      <c r="M5286" s="2" t="str">
        <f>IFERROR(__xludf.DUMMYFUNCTION("split(split(K5286,""【"",false),""公式LINE"",false)"),"主人公・杉村三郎（小泉孝太郎）はある取材の帰りにバスジャック事件に遭遇してしまう。事件を起こしたのは一人の老人だった。老人は警察を呼び、三人の名前を挙げ、ここに連れて来いと言う。また人質全員には「後で賠償金をお支払いします」と謎の提案をし、杉村たちは人質は老人の奇妙な提案に翻弄されていく・・・。はたして犯人の目的は一体何なのか？杉村三郎…小泉孝太郎  間野京子…長谷川京子  杉村菜穂子…国仲涼子  手島雄一郎…ムロツヨシ  橋本真佐彦…高橋一生  柴野和子…青山倫子  坂本啓…細田善彦    迫田とよ子…"&amp;"島かおり  森信宏…柴俊夫    今多嘉親（回想）…平幹二朗    水田大造…本田博太郎  園田瑛子…室井滋  田中雄一郎…峰竜太  佐藤一郎…長塚京三宮部みゆき　「ペテロの葬列」（集英社）主題歌　『心情呼吸』 近藤晃央(アリオラジャパン)  プロデューサー：鈴木早苗　橘康仁  脚本：神山由美子  音楽：横山  克  演出：金子文紀■番組HP  http://www.tbs.co.jp/petero2014/  ■ツイッター  @petero_tbs   https://twitter.com/peter"&amp;"o_tbs  小泉孝太郎「奮い立たせてくれる！」と絶賛！新ドラマ主題歌「心情呼吸」近藤晃央と現場対談  http://youtu.be/bhA0NchrkZo  最新30秒スポット公開！7/7『ペテロの葬列』小泉孝太郎・宮部みゆき  http://youtu.be/uaMIQQkDroU  ネット限定！小泉孝太郎がみどころをフリートーク番外編「杉村三郎の今週の事件メモ」スタート！  http://youtu.be/guCnAEdKBzg2分まとめ！7/7スタート『ペテロの葬列』小泉孝太郎・宮部みゆき  h"&amp;"ttp://youtu.be/SRiBytlTMkI  制作協力 ： ドリマックス  製作著作 ： TBS  番組の内容と放送時間は、変更になる場合があります。")</f>
        <v>主人公・杉村三郎（小泉孝太郎）はある取材の帰りにバスジャック事件に遭遇してしまう。事件を起こしたのは一人の老人だった。老人は警察を呼び、三人の名前を挙げ、ここに連れて来いと言う。また人質全員には「後で賠償金をお支払いします」と謎の提案をし、杉村たちは人質は老人の奇妙な提案に翻弄されていく・・・。はたして犯人の目的は一体何なのか？杉村三郎…小泉孝太郎  間野京子…長谷川京子  杉村菜穂子…国仲涼子  手島雄一郎…ムロツヨシ  橋本真佐彦…高橋一生  柴野和子…青山倫子  坂本啓…細田善彦    迫田とよ子…島かおり  森信宏…柴俊夫    今多嘉親（回想）…平幹二朗    水田大造…本田博太郎  園田瑛子…室井滋  田中雄一郎…峰竜太  佐藤一郎…長塚京三宮部みゆき　「ペテロの葬列」（集英社）主題歌　『心情呼吸』 近藤晃央(アリオラジャパン)  プロデューサー：鈴木早苗　橘康仁  脚本：神山由美子  音楽：横山  克  演出：金子文紀■番組HP  http://www.tbs.co.jp/petero2014/  ■ツイッター  @petero_tbs   https://twitter.com/petero_tbs  小泉孝太郎「奮い立たせてくれる！」と絶賛！新ドラマ主題歌「心情呼吸」近藤晃央と現場対談  http://youtu.be/bhA0NchrkZo  最新30秒スポット公開！7/7『ペテロの葬列』小泉孝太郎・宮部みゆき  http://youtu.be/uaMIQQkDroU  ネット限定！小泉孝太郎がみどころをフリートーク番外編「杉村三郎の今週の事件メモ」スタート！  http://youtu.be/guCnAEdKBzg2分まとめ！7/7スタート『ペテロの葬列』小泉孝太郎・宮部みゆき  http://youtu.be/SRiBytlTMkI  制作協力 ： ドリマックス  製作著作 ： TBS  番組の内容と放送時間は、変更になる場合があります。</v>
      </c>
      <c r="N5286" s="2"/>
      <c r="O5286" s="2"/>
      <c r="P5286" s="1"/>
      <c r="Q5286" s="1"/>
      <c r="R5286" s="1"/>
      <c r="S5286" s="1"/>
      <c r="T5286" s="1"/>
      <c r="U5286" s="1"/>
      <c r="V5286" s="1"/>
      <c r="W5286" s="1"/>
      <c r="X5286" s="1"/>
      <c r="Y5286" s="1"/>
      <c r="Z5286" s="1"/>
      <c r="AA5286" s="1"/>
      <c r="AB5286" s="1"/>
      <c r="AC5286" s="1"/>
      <c r="AD5286" s="1"/>
      <c r="AE5286" s="1"/>
      <c r="AF5286" s="1"/>
      <c r="AG5286" s="1"/>
      <c r="AH5286" s="1"/>
      <c r="AI5286" s="1"/>
      <c r="AJ5286" s="1"/>
      <c r="AK5286" s="1"/>
      <c r="AL5286" s="1"/>
      <c r="AM5286" s="1"/>
      <c r="AN5286" s="1"/>
      <c r="AO5286" s="1"/>
      <c r="AP5286" s="1"/>
      <c r="AQ5286" s="1"/>
      <c r="AR5286" s="1"/>
      <c r="AS5286" s="1"/>
      <c r="AT5286" s="1"/>
      <c r="AU5286" s="1"/>
      <c r="AV5286" s="1"/>
      <c r="AW5286" s="1"/>
      <c r="AX5286" s="1"/>
      <c r="AY5286" s="1"/>
      <c r="AZ5286" s="1"/>
      <c r="BA5286" s="1"/>
      <c r="BB5286" s="1"/>
    </row>
    <row r="5287" ht="204.75" customHeight="1">
      <c r="A5287" s="1">
        <v>2558.0</v>
      </c>
      <c r="B5287" s="2" t="s">
        <v>14672</v>
      </c>
      <c r="C5287" s="2">
        <f>IFERROR(__xludf.DUMMYFUNCTION("split(B5287,""_"")"),1407.0)</f>
        <v>1407</v>
      </c>
      <c r="D5287" s="2" t="str">
        <f>IFERROR(__xludf.DUMMYFUNCTION("""COMPUTED_VALUE"""),"TBS")</f>
        <v>TBS</v>
      </c>
      <c r="E5287" s="2" t="str">
        <f>IFERROR(__xludf.DUMMYFUNCTION("""COMPUTED_VALUE"""),"月20")</f>
        <v>月20</v>
      </c>
      <c r="F5287" s="2" t="s">
        <v>14673</v>
      </c>
      <c r="G5287" s="2" t="s">
        <v>14676</v>
      </c>
      <c r="H5287" s="1">
        <v>2.0</v>
      </c>
      <c r="J5287" s="1" t="s">
        <v>7151</v>
      </c>
      <c r="K5287" s="2" t="s">
        <v>14677</v>
      </c>
      <c r="L5287" s="2"/>
      <c r="M5287" s="2" t="str">
        <f>IFERROR(__xludf.DUMMYFUNCTION("split(split(K5287,""【"",false),""公式LINE"",false)"),"奇妙なバスジャック事件に巻き込まれた主人公・杉村三郎（小泉孝太郎）は自殺してしまった犯人(長塚京三)が一体何者だったのか気にしていた・・・。事件の影響で会社を休んでいる園田編集長、他の被害者たちも少なからず影響を受けていた。一方「あおぞら」編集部には菜穂子の紹介で間野京子(長谷川京子)が働き始める。そんなある日、バスジャック被害者たちの元に犯人が約束した“慰謝料”が届くのだった・・・。杉村三郎…小泉孝太郎  間野京子…長谷川京子  杉村菜穂子…国仲涼子  手島雄一郎…ムロツヨシ  橋本真佐彦…高橋一生  "&amp;"柴野和子…青山倫子  坂本啓…細田善彦    迫田とよ子…島かおり  森信宏…柴俊夫    水田大造…本田博太郎  田中雄一郎…峰竜太宮部みゆき　「ペテロの葬列」　（集英社）主題歌　『心情呼吸』 近藤晃央(アリオラジャパン)  プロデューサー：鈴木早苗　橘康仁  脚本：神山由美子  音楽：横山  克  演出：岡本伸吾■番組HP  http://www.tbs.co.jp/petero2014/  ■ツイッター  @petero_tbs   https://twitter.com/petero_tbs奇妙な"&amp;"バスジャック犯人の正体とは・・・7/14『ペテロの葬列』小泉孝太郎・宮部みゆき 動画公開しました！  http://youtu.be/GsLbnEYYnwo  WEB限定！小泉孝太郎、バスジャック事件のみどころは!？「杉村三郎の今週の事件メモ」2 バスジャック事件のみどころは！？動画公開しました！  http://youtu.be/ifygElCq0sA  制作協力 ： ドリマックス   製作著作 ： TBS  番組の内容と放送時間は、変更になる場合があります。")</f>
        <v>奇妙なバスジャック事件に巻き込まれた主人公・杉村三郎（小泉孝太郎）は自殺してしまった犯人(長塚京三)が一体何者だったのか気にしていた・・・。事件の影響で会社を休んでいる園田編集長、他の被害者たちも少なからず影響を受けていた。一方「あおぞら」編集部には菜穂子の紹介で間野京子(長谷川京子)が働き始める。そんなある日、バスジャック被害者たちの元に犯人が約束した“慰謝料”が届くのだった・・・。杉村三郎…小泉孝太郎  間野京子…長谷川京子  杉村菜穂子…国仲涼子  手島雄一郎…ムロツヨシ  橋本真佐彦…高橋一生  柴野和子…青山倫子  坂本啓…細田善彦    迫田とよ子…島かおり  森信宏…柴俊夫    水田大造…本田博太郎  田中雄一郎…峰竜太宮部みゆき　「ペテロの葬列」　（集英社）主題歌　『心情呼吸』 近藤晃央(アリオラジャパン)  プロデューサー：鈴木早苗　橘康仁  脚本：神山由美子  音楽：横山  克  演出：岡本伸吾■番組HP  http://www.tbs.co.jp/petero2014/  ■ツイッター  @petero_tbs   https://twitter.com/petero_tbs奇妙なバスジャック犯人の正体とは・・・7/14『ペテロの葬列』小泉孝太郎・宮部みゆき 動画公開しました！  http://youtu.be/GsLbnEYYnwo  WEB限定！小泉孝太郎、バスジャック事件のみどころは!？「杉村三郎の今週の事件メモ」2 バスジャック事件のみどころは！？動画公開しました！  http://youtu.be/ifygElCq0sA  制作協力 ： ドリマックス   製作著作 ： TBS  番組の内容と放送時間は、変更になる場合があります。</v>
      </c>
      <c r="N5287" s="2"/>
      <c r="O5287" s="2"/>
      <c r="P5287" s="1"/>
      <c r="Q5287" s="1"/>
      <c r="R5287" s="1"/>
      <c r="S5287" s="1"/>
      <c r="T5287" s="1"/>
      <c r="U5287" s="1"/>
      <c r="V5287" s="1"/>
      <c r="W5287" s="1"/>
      <c r="X5287" s="1"/>
      <c r="Y5287" s="1"/>
      <c r="Z5287" s="1"/>
      <c r="AA5287" s="1"/>
      <c r="AB5287" s="1"/>
      <c r="AC5287" s="1"/>
      <c r="AD5287" s="1"/>
      <c r="AE5287" s="1"/>
      <c r="AF5287" s="1"/>
      <c r="AG5287" s="1"/>
      <c r="AH5287" s="1"/>
      <c r="AI5287" s="1"/>
      <c r="AJ5287" s="1"/>
      <c r="AK5287" s="1"/>
      <c r="AL5287" s="1"/>
      <c r="AM5287" s="1"/>
      <c r="AN5287" s="1"/>
      <c r="AO5287" s="1"/>
      <c r="AP5287" s="1"/>
      <c r="AQ5287" s="1"/>
      <c r="AR5287" s="1"/>
      <c r="AS5287" s="1"/>
      <c r="AT5287" s="1"/>
      <c r="AU5287" s="1"/>
      <c r="AV5287" s="1"/>
      <c r="AW5287" s="1"/>
      <c r="AX5287" s="1"/>
      <c r="AY5287" s="1"/>
      <c r="AZ5287" s="1"/>
      <c r="BA5287" s="1"/>
      <c r="BB5287" s="1"/>
    </row>
    <row r="5288" ht="204.75" customHeight="1">
      <c r="A5288" s="1">
        <v>2559.0</v>
      </c>
      <c r="B5288" s="2" t="s">
        <v>14672</v>
      </c>
      <c r="C5288" s="2">
        <f>IFERROR(__xludf.DUMMYFUNCTION("split(B5288,""_"")"),1407.0)</f>
        <v>1407</v>
      </c>
      <c r="D5288" s="2" t="str">
        <f>IFERROR(__xludf.DUMMYFUNCTION("""COMPUTED_VALUE"""),"TBS")</f>
        <v>TBS</v>
      </c>
      <c r="E5288" s="2" t="str">
        <f>IFERROR(__xludf.DUMMYFUNCTION("""COMPUTED_VALUE"""),"月20")</f>
        <v>月20</v>
      </c>
      <c r="F5288" s="2" t="s">
        <v>14673</v>
      </c>
      <c r="G5288" s="2" t="s">
        <v>14678</v>
      </c>
      <c r="H5288" s="1">
        <v>3.0</v>
      </c>
      <c r="J5288" s="1" t="s">
        <v>7151</v>
      </c>
      <c r="K5288" s="2" t="s">
        <v>14679</v>
      </c>
      <c r="L5288" s="2"/>
      <c r="M5288" s="2" t="str">
        <f>IFERROR(__xludf.DUMMYFUNCTION("split(split(K5288,""【"",false),""公式LINE"",false)"),"奇妙なバスジャック事件に巻き込まれた主人公・杉村三郎（小泉孝太郎）たちの元に自殺してしまった犯人(長塚京三)から約束の“慰謝料”が届くが、突然手にした大金にバスジャック被害者たちは困悪していた・・・。犯人に共犯者がいるのだろうか？そして犯人が捜していた“三悪人”とは何者なのか・・・。杉村たちは事件の真相を求めて捜査を始めるのだった・・・。杉村三郎…小泉孝太郎  間野京子…長谷川京子  杉村菜穂子…国仲涼子  手島雄一郎…ムロツヨシ  橋本真佐彦…高橋一生  柴野和子…青山倫子  坂本啓…細田善彦    老"&amp;"婦人…中尾ミエ    水田大造…本田博太郎  田中雄一郎…峰竜太宮部みゆき　「ペテロの葬列」　（集英社）主題歌　『心情呼吸』 近藤晃央(アリオラジャパン)プロデューサー：鈴木早苗　橘康仁  脚本：神山由美子  音楽：横山  克  演出：岡本伸吾▽番組HP  http://www.tbs.co.jp/petero2014/  ▽ツイッター  @petero_tbs   https://twitter.com/petero_tbs  バスジャックの犯人から届いた慰謝料の謎...7/21　『ペテロの葬列』小泉孝"&amp;"太郎・宮部みゆき　動画公開しました！  http://youtu.be/RNIWm5s6zak  WEB限定！小泉孝太郎が「照れ」ながら語った次回みどころ！「杉村三郎の今週の事件メモ」3動画公開しました！  http://youtu.be/5Xm1ExedKsw  制作発表・前編を公開！月曜ミステリーシアター『ペテ ロの葬列』動画公開しました！  http://youtu.be/XiqlczjiQu8  既婚者の気持ちが分かった」三角関係に悩む？小泉の 本音炸裂！『ペテロの葬列』制作発表・後編動画公開しま"&amp;"した！  http://youtu.be/lOrhBAz7y9Q  制作協力 ： ドリマックス   製作著作 ： TBS  番組の内容と放送時間は、変更になる場合があります。")</f>
        <v>奇妙なバスジャック事件に巻き込まれた主人公・杉村三郎（小泉孝太郎）たちの元に自殺してしまった犯人(長塚京三)から約束の“慰謝料”が届くが、突然手にした大金にバスジャック被害者たちは困悪していた・・・。犯人に共犯者がいるのだろうか？そして犯人が捜していた“三悪人”とは何者なのか・・・。杉村たちは事件の真相を求めて捜査を始めるのだった・・・。杉村三郎…小泉孝太郎  間野京子…長谷川京子  杉村菜穂子…国仲涼子  手島雄一郎…ムロツヨシ  橋本真佐彦…高橋一生  柴野和子…青山倫子  坂本啓…細田善彦    老婦人…中尾ミエ    水田大造…本田博太郎  田中雄一郎…峰竜太宮部みゆき　「ペテロの葬列」　（集英社）主題歌　『心情呼吸』 近藤晃央(アリオラジャパン)プロデューサー：鈴木早苗　橘康仁  脚本：神山由美子  音楽：横山  克  演出：岡本伸吾▽番組HP  http://www.tbs.co.jp/petero2014/  ▽ツイッター  @petero_tbs   https://twitter.com/petero_tbs  バスジャックの犯人から届いた慰謝料の謎...7/21　『ペテロの葬列』小泉孝太郎・宮部みゆき　動画公開しました！  http://youtu.be/RNIWm5s6zak  WEB限定！小泉孝太郎が「照れ」ながら語った次回みどころ！「杉村三郎の今週の事件メモ」3動画公開しました！  http://youtu.be/5Xm1ExedKsw  制作発表・前編を公開！月曜ミステリーシアター『ペテ ロの葬列』動画公開しました！  http://youtu.be/XiqlczjiQu8  既婚者の気持ちが分かった」三角関係に悩む？小泉の 本音炸裂！『ペテロの葬列』制作発表・後編動画公開しました！  http://youtu.be/lOrhBAz7y9Q  制作協力 ： ドリマックス   製作著作 ： TBS  番組の内容と放送時間は、変更になる場合があります。</v>
      </c>
      <c r="N5288" s="2"/>
      <c r="O5288" s="2"/>
      <c r="P5288" s="1"/>
      <c r="Q5288" s="1"/>
      <c r="R5288" s="1"/>
      <c r="S5288" s="1"/>
      <c r="T5288" s="1"/>
      <c r="U5288" s="1"/>
      <c r="V5288" s="1"/>
      <c r="W5288" s="1"/>
      <c r="X5288" s="1"/>
      <c r="Y5288" s="1"/>
      <c r="Z5288" s="1"/>
      <c r="AA5288" s="1"/>
      <c r="AB5288" s="1"/>
      <c r="AC5288" s="1"/>
      <c r="AD5288" s="1"/>
      <c r="AE5288" s="1"/>
      <c r="AF5288" s="1"/>
      <c r="AG5288" s="1"/>
      <c r="AH5288" s="1"/>
      <c r="AI5288" s="1"/>
      <c r="AJ5288" s="1"/>
      <c r="AK5288" s="1"/>
      <c r="AL5288" s="1"/>
      <c r="AM5288" s="1"/>
      <c r="AN5288" s="1"/>
      <c r="AO5288" s="1"/>
      <c r="AP5288" s="1"/>
      <c r="AQ5288" s="1"/>
      <c r="AR5288" s="1"/>
      <c r="AS5288" s="1"/>
      <c r="AT5288" s="1"/>
      <c r="AU5288" s="1"/>
      <c r="AV5288" s="1"/>
      <c r="AW5288" s="1"/>
      <c r="AX5288" s="1"/>
      <c r="AY5288" s="1"/>
      <c r="AZ5288" s="1"/>
      <c r="BA5288" s="1"/>
      <c r="BB5288" s="1"/>
    </row>
    <row r="5289" ht="204.75" customHeight="1">
      <c r="A5289" s="1">
        <v>2560.0</v>
      </c>
      <c r="B5289" s="2" t="s">
        <v>14672</v>
      </c>
      <c r="C5289" s="2">
        <f>IFERROR(__xludf.DUMMYFUNCTION("split(B5289,""_"")"),1407.0)</f>
        <v>1407</v>
      </c>
      <c r="D5289" s="2" t="str">
        <f>IFERROR(__xludf.DUMMYFUNCTION("""COMPUTED_VALUE"""),"TBS")</f>
        <v>TBS</v>
      </c>
      <c r="E5289" s="2" t="str">
        <f>IFERROR(__xludf.DUMMYFUNCTION("""COMPUTED_VALUE"""),"月20")</f>
        <v>月20</v>
      </c>
      <c r="F5289" s="2" t="s">
        <v>14673</v>
      </c>
      <c r="G5289" s="2" t="s">
        <v>14680</v>
      </c>
      <c r="H5289" s="1">
        <v>4.0</v>
      </c>
      <c r="J5289" s="1" t="s">
        <v>7151</v>
      </c>
      <c r="K5289" s="2" t="s">
        <v>14681</v>
      </c>
      <c r="L5289" s="2"/>
      <c r="M5289" s="2" t="str">
        <f>IFERROR(__xludf.DUMMYFUNCTION("split(split(K5289,""【"",false),""公式LINE"",false)"),"奇妙なバスジャック事件に巻き込まれた主人公・杉村三郎（小泉孝太郎）は自殺してしまった犯人(長塚京三)から届いた“慰謝料”の真相を探るため、バスジャック被害者たちと捜査を続けていた。一方、事件以来ずっと休職中の園田編集長(室井滋)が、異様なほど犯人に嫌悪感を抱いていた本当の理由が明らかに・・・。はたして編集長の過去とバスジャック犯にはどんな接点が？そして杉村は新たな事件に巻き込まれていく・・・。杉村三郎…小泉孝太郎  間野京子…長谷川京子  杉村菜穂子…国仲涼子  手島雄一郎…ムロツヨシ  橋本真佐彦…高橋"&amp;"一生  柴野和子…青山倫子  坂本啓…細田善彦    森信宏…柴俊夫  森弥生…山口果林    水田大造…本田博太郎  田中雄一郎…峰竜太  園田瑛子…室井滋  今多嘉親…平幹二朗宮部みゆき　「ペテロの葬列」（集英社）主題歌　『心情呼吸』 近藤晃央(アリオラジャパン)  プロデューサー：鈴木早苗　橘康仁  脚本：神山由美子  音楽：横山  克  演出：竹村謙太郎▽番組HP  http://www.tbs.co.jp/petero2014/  ▽ツイッター  @petero_tbs   https://tw"&amp;"itter.com/petero_tbs  バスジャック犯の謎を調べ始める..7/28　『ペテロの葬列』小泉孝太郎・宮部みゆき動画公開しました！  http://youtu.be/VXprgWNtFFg  ムロツヨシ登場！小泉孝太郎とみどころ激トーク！「杉村三郎の今週の事件メモ」4　動画公開しました！http://youtu.be/TsrmUrmZ7Ko  制作協力 ： ドリマックス   製作著作 ： TBS  番組の内容と放送時間は、変更になる場合があります。")</f>
        <v>奇妙なバスジャック事件に巻き込まれた主人公・杉村三郎（小泉孝太郎）は自殺してしまった犯人(長塚京三)から届いた“慰謝料”の真相を探るため、バスジャック被害者たちと捜査を続けていた。一方、事件以来ずっと休職中の園田編集長(室井滋)が、異様なほど犯人に嫌悪感を抱いていた本当の理由が明らかに・・・。はたして編集長の過去とバスジャック犯にはどんな接点が？そして杉村は新たな事件に巻き込まれていく・・・。杉村三郎…小泉孝太郎  間野京子…長谷川京子  杉村菜穂子…国仲涼子  手島雄一郎…ムロツヨシ  橋本真佐彦…高橋一生  柴野和子…青山倫子  坂本啓…細田善彦    森信宏…柴俊夫  森弥生…山口果林    水田大造…本田博太郎  田中雄一郎…峰竜太  園田瑛子…室井滋  今多嘉親…平幹二朗宮部みゆき　「ペテロの葬列」（集英社）主題歌　『心情呼吸』 近藤晃央(アリオラジャパン)  プロデューサー：鈴木早苗　橘康仁  脚本：神山由美子  音楽：横山  克  演出：竹村謙太郎▽番組HP  http://www.tbs.co.jp/petero2014/  ▽ツイッター  @petero_tbs   https://twitter.com/petero_tbs  バスジャック犯の謎を調べ始める..7/28　『ペテロの葬列』小泉孝太郎・宮部みゆき動画公開しました！  http://youtu.be/VXprgWNtFFg  ムロツヨシ登場！小泉孝太郎とみどころ激トーク！「杉村三郎の今週の事件メモ」4　動画公開しました！http://youtu.be/TsrmUrmZ7Ko  制作協力 ： ドリマックス   製作著作 ： TBS  番組の内容と放送時間は、変更になる場合があります。</v>
      </c>
      <c r="N5289" s="2"/>
      <c r="O5289" s="2"/>
      <c r="P5289" s="1"/>
      <c r="Q5289" s="1"/>
      <c r="R5289" s="1"/>
      <c r="S5289" s="1"/>
      <c r="T5289" s="1"/>
      <c r="U5289" s="1"/>
      <c r="V5289" s="1"/>
      <c r="W5289" s="1"/>
      <c r="X5289" s="1"/>
      <c r="Y5289" s="1"/>
      <c r="Z5289" s="1"/>
      <c r="AA5289" s="1"/>
      <c r="AB5289" s="1"/>
      <c r="AC5289" s="1"/>
      <c r="AD5289" s="1"/>
      <c r="AE5289" s="1"/>
      <c r="AF5289" s="1"/>
      <c r="AG5289" s="1"/>
      <c r="AH5289" s="1"/>
      <c r="AI5289" s="1"/>
      <c r="AJ5289" s="1"/>
      <c r="AK5289" s="1"/>
      <c r="AL5289" s="1"/>
      <c r="AM5289" s="1"/>
      <c r="AN5289" s="1"/>
      <c r="AO5289" s="1"/>
      <c r="AP5289" s="1"/>
      <c r="AQ5289" s="1"/>
      <c r="AR5289" s="1"/>
      <c r="AS5289" s="1"/>
      <c r="AT5289" s="1"/>
      <c r="AU5289" s="1"/>
      <c r="AV5289" s="1"/>
      <c r="AW5289" s="1"/>
      <c r="AX5289" s="1"/>
      <c r="AY5289" s="1"/>
      <c r="AZ5289" s="1"/>
      <c r="BA5289" s="1"/>
      <c r="BB5289" s="1"/>
    </row>
    <row r="5290" ht="204.75" customHeight="1">
      <c r="A5290" s="1">
        <v>2561.0</v>
      </c>
      <c r="B5290" s="2" t="s">
        <v>14672</v>
      </c>
      <c r="C5290" s="2">
        <f>IFERROR(__xludf.DUMMYFUNCTION("split(B5290,""_"")"),1407.0)</f>
        <v>1407</v>
      </c>
      <c r="D5290" s="2" t="str">
        <f>IFERROR(__xludf.DUMMYFUNCTION("""COMPUTED_VALUE"""),"TBS")</f>
        <v>TBS</v>
      </c>
      <c r="E5290" s="2" t="str">
        <f>IFERROR(__xludf.DUMMYFUNCTION("""COMPUTED_VALUE"""),"月20")</f>
        <v>月20</v>
      </c>
      <c r="F5290" s="2" t="s">
        <v>14673</v>
      </c>
      <c r="G5290" s="2" t="s">
        <v>14682</v>
      </c>
      <c r="H5290" s="1">
        <v>5.0</v>
      </c>
      <c r="J5290" s="1" t="s">
        <v>7151</v>
      </c>
      <c r="K5290" s="2" t="s">
        <v>14683</v>
      </c>
      <c r="L5290" s="2"/>
      <c r="M5290" s="2" t="str">
        <f>IFERROR(__xludf.DUMMYFUNCTION("split(split(K5290,""【"",false),""公式LINE"",false)"),"奇妙なバスジャック事件に巻き込まれた主人公・杉村三郎（小泉孝太郎）たちバスジャック被害者たちは自殺してしまった犯人(長塚京三)から届いた“慰謝料”の真相と“三悪人”の正体を探っていた。そんなある日、杉村は間野京子(長谷川京子)から突然相談を持ちかけられる・・・。そして北見一郎(大杉漣)の墓で遭遇した足立則生(渋川清彦)の事件にも巻き込まれていくのだった・・・。杉村三郎…小泉孝太郎  間野京子…長谷川京子  杉村菜穂子…国仲涼子  手島雄一郎…ムロツヨシ  橋本真佐彦…高橋一生    北見一郎…大杉漣  北"&amp;"見容子…かとうかず子  猿田…桜木健一    水田大造…本田博太郎  田中雄一郎…峰竜太  園田瑛子…室井滋宮部みゆき　「ペテロの葬列」（集英社）主題歌　『心情呼吸』 近藤晃央(アリオラジャパン)プロデューサー：鈴木早苗　橘康仁  脚本：神山由美子  音楽：横山  克  演出：金子文紀▽番組HP  http://www.tbs.co.jp/petero2014/  ▽ツイッター  @petero_tbs   https://twitter.com/petero_tbs  制作協力 ： ドリマックス   製"&amp;"作著作 ： TBS  事件に没頭する杉村の周辺に変化が…8/4　『ペテロ の葬列』小泉孝太郎・宮部みゆき動画公開しました！  http://youtu.be/d_rorSKF2UY  室井滋登場！小泉の「過去」話に行け行けドンドン！「杉村三郎の今週の事件メモ」5　動画公開しました！  http://youtu.be/tpoWXhIc8rY  9月開幕、アジア40億人の頂点をかけたアジア最大スポーツの祭典。競技数はオリンピックを超える36。かつて高橋尚子がアジア新、競泳・北島が世界新を樹立。柔道・田村亮子、"&amp;"競泳・鈴木大地らが伝説を築いた。番組の内容と放送時間は、変更になる場合があります。")</f>
        <v>奇妙なバスジャック事件に巻き込まれた主人公・杉村三郎（小泉孝太郎）たちバスジャック被害者たちは自殺してしまった犯人(長塚京三)から届いた“慰謝料”の真相と“三悪人”の正体を探っていた。そんなある日、杉村は間野京子(長谷川京子)から突然相談を持ちかけられる・・・。そして北見一郎(大杉漣)の墓で遭遇した足立則生(渋川清彦)の事件にも巻き込まれていくのだった・・・。杉村三郎…小泉孝太郎  間野京子…長谷川京子  杉村菜穂子…国仲涼子  手島雄一郎…ムロツヨシ  橋本真佐彦…高橋一生    北見一郎…大杉漣  北見容子…かとうかず子  猿田…桜木健一    水田大造…本田博太郎  田中雄一郎…峰竜太  園田瑛子…室井滋宮部みゆき　「ペテロの葬列」（集英社）主題歌　『心情呼吸』 近藤晃央(アリオラジャパン)プロデューサー：鈴木早苗　橘康仁  脚本：神山由美子  音楽：横山  克  演出：金子文紀▽番組HP  http://www.tbs.co.jp/petero2014/  ▽ツイッター  @petero_tbs   https://twitter.com/petero_tbs  制作協力 ： ドリマックス   製作著作 ： TBS  事件に没頭する杉村の周辺に変化が…8/4　『ペテロ の葬列』小泉孝太郎・宮部みゆき動画公開しました！  http://youtu.be/d_rorSKF2UY  室井滋登場！小泉の「過去」話に行け行けドンドン！「杉村三郎の今週の事件メモ」5　動画公開しました！  http://youtu.be/tpoWXhIc8rY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290" s="2"/>
      <c r="O5290" s="2"/>
      <c r="P5290" s="1"/>
      <c r="Q5290" s="1"/>
      <c r="R5290" s="1"/>
      <c r="S5290" s="1"/>
      <c r="T5290" s="1"/>
      <c r="U5290" s="1"/>
      <c r="V5290" s="1"/>
      <c r="W5290" s="1"/>
      <c r="X5290" s="1"/>
      <c r="Y5290" s="1"/>
      <c r="Z5290" s="1"/>
      <c r="AA5290" s="1"/>
      <c r="AB5290" s="1"/>
      <c r="AC5290" s="1"/>
      <c r="AD5290" s="1"/>
      <c r="AE5290" s="1"/>
      <c r="AF5290" s="1"/>
      <c r="AG5290" s="1"/>
      <c r="AH5290" s="1"/>
      <c r="AI5290" s="1"/>
      <c r="AJ5290" s="1"/>
      <c r="AK5290" s="1"/>
      <c r="AL5290" s="1"/>
      <c r="AM5290" s="1"/>
      <c r="AN5290" s="1"/>
      <c r="AO5290" s="1"/>
      <c r="AP5290" s="1"/>
      <c r="AQ5290" s="1"/>
      <c r="AR5290" s="1"/>
      <c r="AS5290" s="1"/>
      <c r="AT5290" s="1"/>
      <c r="AU5290" s="1"/>
      <c r="AV5290" s="1"/>
      <c r="AW5290" s="1"/>
      <c r="AX5290" s="1"/>
      <c r="AY5290" s="1"/>
      <c r="AZ5290" s="1"/>
      <c r="BA5290" s="1"/>
      <c r="BB5290" s="1"/>
    </row>
    <row r="5291" ht="204.75" customHeight="1">
      <c r="A5291" s="1">
        <v>2562.0</v>
      </c>
      <c r="B5291" s="2" t="s">
        <v>14672</v>
      </c>
      <c r="C5291" s="2">
        <f>IFERROR(__xludf.DUMMYFUNCTION("split(B5291,""_"")"),1407.0)</f>
        <v>1407</v>
      </c>
      <c r="D5291" s="2" t="str">
        <f>IFERROR(__xludf.DUMMYFUNCTION("""COMPUTED_VALUE"""),"TBS")</f>
        <v>TBS</v>
      </c>
      <c r="E5291" s="2" t="str">
        <f>IFERROR(__xludf.DUMMYFUNCTION("""COMPUTED_VALUE"""),"月20")</f>
        <v>月20</v>
      </c>
      <c r="F5291" s="2" t="s">
        <v>14673</v>
      </c>
      <c r="G5291" s="2" t="s">
        <v>14684</v>
      </c>
      <c r="H5291" s="1">
        <v>6.0</v>
      </c>
      <c r="J5291" s="1" t="s">
        <v>7151</v>
      </c>
      <c r="K5291" s="2" t="s">
        <v>14685</v>
      </c>
      <c r="L5291" s="2"/>
      <c r="M5291" s="2" t="str">
        <f>IFERROR(__xludf.DUMMYFUNCTION("split(split(K5291,""【"",false),""公式LINE"",false)"),"奇妙なバスジャック事件に巻き込まれた主人公・杉村三郎（小泉孝太郎）たちバスジャック被害者たちは自殺してしまった犯人(長塚京三)から届いた“慰謝料”の送り主を探していた。一方、杉村が巻き込まれた殺人事件は意外な結末を迎えるのだった。そんなある日、頑なに杉村たちとの接触を避けていた被害者のひとり、迫田とよ子(島かおり)の娘・美和子(安藤玉恵)からある秘密を聞かされる・・・。杉村三郎…小泉孝太郎  間野京子…長谷川京子  杉村菜穂子…国仲涼子  手島雄一郎…ムロツヨシ  橋本真佐彦…高橋一生    迫田とよ子…"&amp;"島かおり  北見容子…かとうかず子    水田大造…本田博太郎  田中雄一郎…峰竜太  園田瑛子…室井滋宮部みゆき　「ペテロの葬列」（集英社）主題歌　『心情呼吸』 近藤晃央(アリオラジャパン)  プロデューサー：鈴木早苗　橘康仁  脚本：神山由美子  音楽：横山  克  演出：山崎統司▽番組HP  http://www.tbs.co.jp/petero2014/  ▽ツイッター  @petero_tbs   https://twitter.com/petero_tbs  制作協力 ： ドリマックス   製"&amp;"作著作 ： TBS  家族に悪が伝染する…『ペテロの葬列』第6話 （8/11）小泉孝太郎・宮部みゆき　動画公開しました！  http://youtu.be/DCwQmcqGFy4  峰竜太登場！八百屋のおばちゃんも気になる「お金の行方」は？「杉村三郎の今週の事件メモ」6動画公開しました！  http://youtu.be/KjQyiTvmWTY  番組の内容と放送時間は、変更になる場合があります。")</f>
        <v>奇妙なバスジャック事件に巻き込まれた主人公・杉村三郎（小泉孝太郎）たちバスジャック被害者たちは自殺してしまった犯人(長塚京三)から届いた“慰謝料”の送り主を探していた。一方、杉村が巻き込まれた殺人事件は意外な結末を迎えるのだった。そんなある日、頑なに杉村たちとの接触を避けていた被害者のひとり、迫田とよ子(島かおり)の娘・美和子(安藤玉恵)からある秘密を聞かされる・・・。杉村三郎…小泉孝太郎  間野京子…長谷川京子  杉村菜穂子…国仲涼子  手島雄一郎…ムロツヨシ  橋本真佐彦…高橋一生    迫田とよ子…島かおり  北見容子…かとうかず子    水田大造…本田博太郎  田中雄一郎…峰竜太  園田瑛子…室井滋宮部みゆき　「ペテロの葬列」（集英社）主題歌　『心情呼吸』 近藤晃央(アリオラジャパン)  プロデューサー：鈴木早苗　橘康仁  脚本：神山由美子  音楽：横山  克  演出：山崎統司▽番組HP  http://www.tbs.co.jp/petero2014/  ▽ツイッター  @petero_tbs   https://twitter.com/petero_tbs  制作協力 ： ドリマックス   製作著作 ： TBS  家族に悪が伝染する…『ペテロの葬列』第6話 （8/11）小泉孝太郎・宮部みゆき　動画公開しました！  http://youtu.be/DCwQmcqGFy4  峰竜太登場！八百屋のおばちゃんも気になる「お金の行方」は？「杉村三郎の今週の事件メモ」6動画公開しました！  http://youtu.be/KjQyiTvmWTY  番組の内容と放送時間は、変更になる場合があります。</v>
      </c>
      <c r="N5291" s="2"/>
      <c r="O5291" s="2"/>
      <c r="P5291" s="1"/>
      <c r="Q5291" s="1"/>
      <c r="R5291" s="1"/>
      <c r="S5291" s="1"/>
      <c r="T5291" s="1"/>
      <c r="U5291" s="1"/>
      <c r="V5291" s="1"/>
      <c r="W5291" s="1"/>
      <c r="X5291" s="1"/>
      <c r="Y5291" s="1"/>
      <c r="Z5291" s="1"/>
      <c r="AA5291" s="1"/>
      <c r="AB5291" s="1"/>
      <c r="AC5291" s="1"/>
      <c r="AD5291" s="1"/>
      <c r="AE5291" s="1"/>
      <c r="AF5291" s="1"/>
      <c r="AG5291" s="1"/>
      <c r="AH5291" s="1"/>
      <c r="AI5291" s="1"/>
      <c r="AJ5291" s="1"/>
      <c r="AK5291" s="1"/>
      <c r="AL5291" s="1"/>
      <c r="AM5291" s="1"/>
      <c r="AN5291" s="1"/>
      <c r="AO5291" s="1"/>
      <c r="AP5291" s="1"/>
      <c r="AQ5291" s="1"/>
      <c r="AR5291" s="1"/>
      <c r="AS5291" s="1"/>
      <c r="AT5291" s="1"/>
      <c r="AU5291" s="1"/>
      <c r="AV5291" s="1"/>
      <c r="AW5291" s="1"/>
      <c r="AX5291" s="1"/>
      <c r="AY5291" s="1"/>
      <c r="AZ5291" s="1"/>
      <c r="BA5291" s="1"/>
      <c r="BB5291" s="1"/>
    </row>
    <row r="5292" ht="204.75" customHeight="1">
      <c r="A5292" s="1">
        <v>2563.0</v>
      </c>
      <c r="B5292" s="2" t="s">
        <v>14672</v>
      </c>
      <c r="C5292" s="2">
        <f>IFERROR(__xludf.DUMMYFUNCTION("split(B5292,""_"")"),1407.0)</f>
        <v>1407</v>
      </c>
      <c r="D5292" s="2" t="str">
        <f>IFERROR(__xludf.DUMMYFUNCTION("""COMPUTED_VALUE"""),"TBS")</f>
        <v>TBS</v>
      </c>
      <c r="E5292" s="2" t="str">
        <f>IFERROR(__xludf.DUMMYFUNCTION("""COMPUTED_VALUE"""),"月20")</f>
        <v>月20</v>
      </c>
      <c r="F5292" s="2" t="s">
        <v>14673</v>
      </c>
      <c r="G5292" s="2" t="s">
        <v>14686</v>
      </c>
      <c r="H5292" s="1">
        <v>7.0</v>
      </c>
      <c r="J5292" s="1" t="s">
        <v>7151</v>
      </c>
      <c r="K5292" s="2" t="s">
        <v>14687</v>
      </c>
      <c r="L5292" s="2"/>
      <c r="M5292" s="2" t="str">
        <f>IFERROR(__xludf.DUMMYFUNCTION("split(split(K5292,""【"",false),""公式LINE"",false)"),"奇妙なバスジャック事件に巻き込まれた主人公・杉村三郎（小泉孝太郎）たちバスジャック被害者たちは犯人(長塚京三)から届いた“慰謝料”の送り主を探していた。そんな中、迫田とよ子(島かおり)の娘・美和子(安藤玉恵)から衝撃の事実を聞かされ、ついに“慰謝料”を受け取る決意をする。一方、菜穂子(国仲涼子)とパーティーに出席した杉村は偶然合った間野(長谷川京子)に相談を持ちかけられるのだった・・・。杉村三郎…小泉孝太郎  間野京子…長谷川京子  杉村菜穂子…国仲涼子  手島雄一郎…ムロツヨシ  橋本真佐彦…高橋一生 "&amp;" 柴野和子…青山倫子  坂本啓…細田善彦    水田大造…本田博太郎  迫田とよ子…島かおり  田中雄一郎…峰竜太  園田瑛子…室井滋  暮木一光…長塚京三宮部みゆき　「ペテロの葬列」（集英社）主題歌　『心情呼吸』 近藤晃央(アリオラジャパン)プロデューサー：鈴木早苗　橘康仁  脚本：神山由美子  音楽：横山  克  演出：竹村謙太郎▽番組HP  http://www.tbs.co.jp/petero2014/  ▽ツイッター  @petero_tbs   https://twitter.com/pete"&amp;"ro_tbs  バスジャック犯の本当の目的とは…『ペテロの葬列』第7話（8/18）小泉孝太郎・宮部みゆき  http://youtu.be/zTe32OcUO94  岡本玲が激怒でダメ出しまくり！？「杉村三郎の今週の事件メモ」7  http://youtu.be/SWl8_KDGAjw  制作協力 ： ドリマックス・テレビジョン  製作著作 ： TBS  番組の内容と放送時間は、変更になる場合があります。")</f>
        <v>奇妙なバスジャック事件に巻き込まれた主人公・杉村三郎（小泉孝太郎）たちバスジャック被害者たちは犯人(長塚京三)から届いた“慰謝料”の送り主を探していた。そんな中、迫田とよ子(島かおり)の娘・美和子(安藤玉恵)から衝撃の事実を聞かされ、ついに“慰謝料”を受け取る決意をする。一方、菜穂子(国仲涼子)とパーティーに出席した杉村は偶然合った間野(長谷川京子)に相談を持ちかけられるのだった・・・。杉村三郎…小泉孝太郎  間野京子…長谷川京子  杉村菜穂子…国仲涼子  手島雄一郎…ムロツヨシ  橋本真佐彦…高橋一生  柴野和子…青山倫子  坂本啓…細田善彦    水田大造…本田博太郎  迫田とよ子…島かおり  田中雄一郎…峰竜太  園田瑛子…室井滋  暮木一光…長塚京三宮部みゆき　「ペテロの葬列」（集英社）主題歌　『心情呼吸』 近藤晃央(アリオラジャパン)プロデューサー：鈴木早苗　橘康仁  脚本：神山由美子  音楽：横山  克  演出：竹村謙太郎▽番組HP  http://www.tbs.co.jp/petero2014/  ▽ツイッター  @petero_tbs   https://twitter.com/petero_tbs  バスジャック犯の本当の目的とは…『ペテロの葬列』第7話（8/18）小泉孝太郎・宮部みゆき  http://youtu.be/zTe32OcUO94  岡本玲が激怒でダメ出しまくり！？「杉村三郎の今週の事件メモ」7  http://youtu.be/SWl8_KDGAjw  制作協力 ： ドリマックス・テレビジョン  製作著作 ： TBS  番組の内容と放送時間は、変更になる場合があります。</v>
      </c>
      <c r="N5292" s="2"/>
      <c r="O5292" s="2"/>
      <c r="P5292" s="1"/>
      <c r="Q5292" s="1"/>
      <c r="R5292" s="1"/>
      <c r="S5292" s="1"/>
      <c r="T5292" s="1"/>
      <c r="U5292" s="1"/>
      <c r="V5292" s="1"/>
      <c r="W5292" s="1"/>
      <c r="X5292" s="1"/>
      <c r="Y5292" s="1"/>
      <c r="Z5292" s="1"/>
      <c r="AA5292" s="1"/>
      <c r="AB5292" s="1"/>
      <c r="AC5292" s="1"/>
      <c r="AD5292" s="1"/>
      <c r="AE5292" s="1"/>
      <c r="AF5292" s="1"/>
      <c r="AG5292" s="1"/>
      <c r="AH5292" s="1"/>
      <c r="AI5292" s="1"/>
      <c r="AJ5292" s="1"/>
      <c r="AK5292" s="1"/>
      <c r="AL5292" s="1"/>
      <c r="AM5292" s="1"/>
      <c r="AN5292" s="1"/>
      <c r="AO5292" s="1"/>
      <c r="AP5292" s="1"/>
      <c r="AQ5292" s="1"/>
      <c r="AR5292" s="1"/>
      <c r="AS5292" s="1"/>
      <c r="AT5292" s="1"/>
      <c r="AU5292" s="1"/>
      <c r="AV5292" s="1"/>
      <c r="AW5292" s="1"/>
      <c r="AX5292" s="1"/>
      <c r="AY5292" s="1"/>
      <c r="AZ5292" s="1"/>
      <c r="BA5292" s="1"/>
      <c r="BB5292" s="1"/>
    </row>
    <row r="5293" ht="204.75" customHeight="1">
      <c r="A5293" s="1">
        <v>2564.0</v>
      </c>
      <c r="B5293" s="2" t="s">
        <v>14672</v>
      </c>
      <c r="C5293" s="2">
        <f>IFERROR(__xludf.DUMMYFUNCTION("split(B5293,""_"")"),1407.0)</f>
        <v>1407</v>
      </c>
      <c r="D5293" s="2" t="str">
        <f>IFERROR(__xludf.DUMMYFUNCTION("""COMPUTED_VALUE"""),"TBS")</f>
        <v>TBS</v>
      </c>
      <c r="E5293" s="2" t="str">
        <f>IFERROR(__xludf.DUMMYFUNCTION("""COMPUTED_VALUE"""),"月20")</f>
        <v>月20</v>
      </c>
      <c r="F5293" s="2" t="s">
        <v>14673</v>
      </c>
      <c r="G5293" s="2" t="s">
        <v>14688</v>
      </c>
      <c r="H5293" s="1">
        <v>8.0</v>
      </c>
      <c r="J5293" s="1" t="s">
        <v>7151</v>
      </c>
      <c r="K5293" s="2" t="s">
        <v>14689</v>
      </c>
      <c r="L5293" s="2"/>
      <c r="M5293" s="2" t="str">
        <f>IFERROR(__xludf.DUMMYFUNCTION("split(split(K5293,""【"",false),""公式LINE"",false)"),"奇妙なバスジャック事件に巻き込まれた主人公・杉村三郎（小泉孝太郎）らバスジャック被害者たちは犯人(長塚京三)から届いた“慰謝料”を受け取ることに決めた。それによって今多コンツェルンを辞めることになる杉村はパーティー会場から突然いなくなった妻・菜穂子(国仲涼子)の想いに衝撃を受ける。一方、慰謝料を送った人物(冨士眞奈美)を特定した杉村たちは事件の真相を確かめるため群馬に向かうのだった…。杉村三郎…小泉孝太郎  間野京子…長谷川京子  杉村菜穂子…国仲涼子  手島雄一郎…ムロツヨシ  橋本真佐彦…高橋一生  "&amp;"坂本啓…細田善彦    森信宏…柴俊夫  森弥生…山口果林  水田大造…本田博太郎    早川多恵…冨士眞奈美  園田瑛子…室井滋  今多嘉親…平幹二朗宮部みゆき　「ペテロの葬列」（集英社）主題歌　『心情呼吸』 近藤晃央(アリオラジャパン)プロデューサー：鈴木早苗　橘康仁  脚本：神山由美子  音楽：横山  克  演出：金子文紀▽番組HP  http://www.tbs.co.jp/petero2014/  ▽ツイッター  @petero_tbs   https://twitter.com/petero_"&amp;"tbs  制作協力 ： ドリマックス・テレビジョン  製作著作 ： TBS  遂に犯人の正体が明かされる…！『ペテロの葬列』第8話（8/25）小泉孝太郎・宮部みゆき動画公開しました！  http://youtu.be/OKpC23Ulml4  ムロツヨシ再登場！小泉に詰め寄る！？「杉村三郎の今週の事件メモ」8動画公開しました！  http://youtu.be/DStvpfu44IM  番組の内容と放送時間は、変更になる場合があります。")</f>
        <v>奇妙なバスジャック事件に巻き込まれた主人公・杉村三郎（小泉孝太郎）らバスジャック被害者たちは犯人(長塚京三)から届いた“慰謝料”を受け取ることに決めた。それによって今多コンツェルンを辞めることになる杉村はパーティー会場から突然いなくなった妻・菜穂子(国仲涼子)の想いに衝撃を受ける。一方、慰謝料を送った人物(冨士眞奈美)を特定した杉村たちは事件の真相を確かめるため群馬に向かうのだった…。杉村三郎…小泉孝太郎  間野京子…長谷川京子  杉村菜穂子…国仲涼子  手島雄一郎…ムロツヨシ  橋本真佐彦…高橋一生  坂本啓…細田善彦    森信宏…柴俊夫  森弥生…山口果林  水田大造…本田博太郎    早川多恵…冨士眞奈美  園田瑛子…室井滋  今多嘉親…平幹二朗宮部みゆき　「ペテロの葬列」（集英社）主題歌　『心情呼吸』 近藤晃央(アリオラジャパン)プロデューサー：鈴木早苗　橘康仁  脚本：神山由美子  音楽：横山  克  演出：金子文紀▽番組HP  http://www.tbs.co.jp/petero2014/  ▽ツイッター  @petero_tbs   https://twitter.com/petero_tbs  制作協力 ： ドリマックス・テレビジョン  製作著作 ： TBS  遂に犯人の正体が明かされる…！『ペテロの葬列』第8話（8/25）小泉孝太郎・宮部みゆき動画公開しました！  http://youtu.be/OKpC23Ulml4  ムロツヨシ再登場！小泉に詰め寄る！？「杉村三郎の今週の事件メモ」8動画公開しました！  http://youtu.be/DStvpfu44IM  番組の内容と放送時間は、変更になる場合があります。</v>
      </c>
      <c r="N5293" s="2"/>
      <c r="O5293" s="2"/>
      <c r="P5293" s="1"/>
      <c r="Q5293" s="1"/>
      <c r="R5293" s="1"/>
      <c r="S5293" s="1"/>
      <c r="T5293" s="1"/>
      <c r="U5293" s="1"/>
      <c r="V5293" s="1"/>
      <c r="W5293" s="1"/>
      <c r="X5293" s="1"/>
      <c r="Y5293" s="1"/>
      <c r="Z5293" s="1"/>
      <c r="AA5293" s="1"/>
      <c r="AB5293" s="1"/>
      <c r="AC5293" s="1"/>
      <c r="AD5293" s="1"/>
      <c r="AE5293" s="1"/>
      <c r="AF5293" s="1"/>
      <c r="AG5293" s="1"/>
      <c r="AH5293" s="1"/>
      <c r="AI5293" s="1"/>
      <c r="AJ5293" s="1"/>
      <c r="AK5293" s="1"/>
      <c r="AL5293" s="1"/>
      <c r="AM5293" s="1"/>
      <c r="AN5293" s="1"/>
      <c r="AO5293" s="1"/>
      <c r="AP5293" s="1"/>
      <c r="AQ5293" s="1"/>
      <c r="AR5293" s="1"/>
      <c r="AS5293" s="1"/>
      <c r="AT5293" s="1"/>
      <c r="AU5293" s="1"/>
      <c r="AV5293" s="1"/>
      <c r="AW5293" s="1"/>
      <c r="AX5293" s="1"/>
      <c r="AY5293" s="1"/>
      <c r="AZ5293" s="1"/>
      <c r="BA5293" s="1"/>
      <c r="BB5293" s="1"/>
    </row>
    <row r="5294" ht="204.75" customHeight="1">
      <c r="A5294" s="1">
        <v>2565.0</v>
      </c>
      <c r="B5294" s="2" t="s">
        <v>14672</v>
      </c>
      <c r="C5294" s="2">
        <f>IFERROR(__xludf.DUMMYFUNCTION("split(B5294,""_"")"),1407.0)</f>
        <v>1407</v>
      </c>
      <c r="D5294" s="2" t="str">
        <f>IFERROR(__xludf.DUMMYFUNCTION("""COMPUTED_VALUE"""),"TBS")</f>
        <v>TBS</v>
      </c>
      <c r="E5294" s="2" t="str">
        <f>IFERROR(__xludf.DUMMYFUNCTION("""COMPUTED_VALUE"""),"月20")</f>
        <v>月20</v>
      </c>
      <c r="F5294" s="2" t="s">
        <v>14673</v>
      </c>
      <c r="G5294" s="2" t="s">
        <v>14690</v>
      </c>
      <c r="H5294" s="1">
        <v>9.0</v>
      </c>
      <c r="J5294" s="1" t="s">
        <v>7151</v>
      </c>
      <c r="K5294" s="2" t="s">
        <v>14691</v>
      </c>
      <c r="L5294" s="2"/>
      <c r="M5294" s="2" t="str">
        <f>IFERROR(__xludf.DUMMYFUNCTION("split(split(K5294,""【"",false),""公式LINE"",false)"),"奇妙なバスジャック事件に巻き込まれた主人公・杉村三郎（小泉孝太郎）らバスジャック被害者たちは犯人(長塚京三)の“慰謝料”を送った人物(冨士眞奈美)から、犯人・羽田光昭の過去、そして事件の真相を聞かされる。一方、間野(長谷川京子)は杉村の自分への態度が突然変わったことにショックを受ける。そんなある日、間野が森常務(柴俊夫)の家を訪ねた帰り、再びバスジャックが起きるのだった…。杉村三郎…小泉孝太郎  間野京子… 長谷川京子  杉村菜穂子…国仲涼子  手島雄一郎…ムロツヨシ  橋本真佐彦…高橋一生  坂本啓…細"&amp;"田善彦    老婦人…中尾ミエ  水田大造…本田博太郎    早川多恵…冨士眞奈美  園田瑛子…室井滋  暮木一光…長塚京三宮部みゆき　「ペテロの葬列」（集英社）主題歌　『心情呼吸』 近藤晃央(アリオラジャパン)プロデューサー：鈴木早苗　橘康仁  脚本：神山由美子  音楽：横山  克  演出：山崎統司▽番組HP  http://www.tbs.co.jp/petero2014/  ▽ツイッター  @petero_tbs   https://twitter.com/petero_tbs  再び「バスジャック"&amp;"」が起こる…『ペテロの葬列』第9話（9/1）小泉孝太郎・宮部みゆき　動画公開しました！  http://youtu.be/aqS3RAnZuYU清水富美加・細田善 彦と「フレッシュな感じで！」 「杉村三郎の今週の事件メモ」 9動画公開しました！  http://youtu.be/roN2SGh3O8Q制作協力 ： ドリマックス・テレビジョン  製作著作 ： TBS  番組の内容と放送時間は、変更になる場合があります。")</f>
        <v>奇妙なバスジャック事件に巻き込まれた主人公・杉村三郎（小泉孝太郎）らバスジャック被害者たちは犯人(長塚京三)の“慰謝料”を送った人物(冨士眞奈美)から、犯人・羽田光昭の過去、そして事件の真相を聞かされる。一方、間野(長谷川京子)は杉村の自分への態度が突然変わったことにショックを受ける。そんなある日、間野が森常務(柴俊夫)の家を訪ねた帰り、再びバスジャックが起きるのだった…。杉村三郎…小泉孝太郎  間野京子… 長谷川京子  杉村菜穂子…国仲涼子  手島雄一郎…ムロツヨシ  橋本真佐彦…高橋一生  坂本啓…細田善彦    老婦人…中尾ミエ  水田大造…本田博太郎    早川多恵…冨士眞奈美  園田瑛子…室井滋  暮木一光…長塚京三宮部みゆき　「ペテロの葬列」（集英社）主題歌　『心情呼吸』 近藤晃央(アリオラジャパン)プロデューサー：鈴木早苗　橘康仁  脚本：神山由美子  音楽：横山  克  演出：山崎統司▽番組HP  http://www.tbs.co.jp/petero2014/  ▽ツイッター  @petero_tbs   https://twitter.com/petero_tbs  再び「バスジャック」が起こる…『ペテロの葬列』第9話（9/1）小泉孝太郎・宮部みゆき　動画公開しました！  http://youtu.be/aqS3RAnZuYU清水富美加・細田善 彦と「フレッシュな感じで！」 「杉村三郎の今週の事件メモ」 9動画公開しました！  http://youtu.be/roN2SGh3O8Q制作協力 ： ドリマックス・テレビジョン  製作著作 ： TBS  番組の内容と放送時間は、変更になる場合があります。</v>
      </c>
      <c r="N5294" s="2"/>
      <c r="O5294" s="2"/>
      <c r="P5294" s="1"/>
      <c r="Q5294" s="1"/>
      <c r="R5294" s="1"/>
      <c r="S5294" s="1"/>
      <c r="T5294" s="1"/>
      <c r="U5294" s="1"/>
      <c r="V5294" s="1"/>
      <c r="W5294" s="1"/>
      <c r="X5294" s="1"/>
      <c r="Y5294" s="1"/>
      <c r="Z5294" s="1"/>
      <c r="AA5294" s="1"/>
      <c r="AB5294" s="1"/>
      <c r="AC5294" s="1"/>
      <c r="AD5294" s="1"/>
      <c r="AE5294" s="1"/>
      <c r="AF5294" s="1"/>
      <c r="AG5294" s="1"/>
      <c r="AH5294" s="1"/>
      <c r="AI5294" s="1"/>
      <c r="AJ5294" s="1"/>
      <c r="AK5294" s="1"/>
      <c r="AL5294" s="1"/>
      <c r="AM5294" s="1"/>
      <c r="AN5294" s="1"/>
      <c r="AO5294" s="1"/>
      <c r="AP5294" s="1"/>
      <c r="AQ5294" s="1"/>
      <c r="AR5294" s="1"/>
      <c r="AS5294" s="1"/>
      <c r="AT5294" s="1"/>
      <c r="AU5294" s="1"/>
      <c r="AV5294" s="1"/>
      <c r="AW5294" s="1"/>
      <c r="AX5294" s="1"/>
      <c r="AY5294" s="1"/>
      <c r="AZ5294" s="1"/>
      <c r="BA5294" s="1"/>
      <c r="BB5294" s="1"/>
    </row>
    <row r="5295" ht="204.75" customHeight="1">
      <c r="A5295" s="1">
        <v>2566.0</v>
      </c>
      <c r="B5295" s="2" t="s">
        <v>14672</v>
      </c>
      <c r="C5295" s="2">
        <f>IFERROR(__xludf.DUMMYFUNCTION("split(B5295,""_"")"),1407.0)</f>
        <v>1407</v>
      </c>
      <c r="D5295" s="2" t="str">
        <f>IFERROR(__xludf.DUMMYFUNCTION("""COMPUTED_VALUE"""),"TBS")</f>
        <v>TBS</v>
      </c>
      <c r="E5295" s="2" t="str">
        <f>IFERROR(__xludf.DUMMYFUNCTION("""COMPUTED_VALUE"""),"月20")</f>
        <v>月20</v>
      </c>
      <c r="F5295" s="2" t="s">
        <v>14673</v>
      </c>
      <c r="G5295" s="2" t="s">
        <v>14692</v>
      </c>
      <c r="H5295" s="1">
        <v>10.0</v>
      </c>
      <c r="J5295" s="1" t="s">
        <v>7151</v>
      </c>
      <c r="K5295" s="2" t="s">
        <v>14693</v>
      </c>
      <c r="L5295" s="2"/>
      <c r="M5295" s="2" t="str">
        <f>IFERROR(__xludf.DUMMYFUNCTION("split(split(K5295,""【"",false),""公式LINE"",false)"),"奇妙なバスジャック事件に巻き込まれた主人公・杉村三郎（小泉孝太郎）らバスジャック被害者たちは犯人(長塚京三)の“慰謝料”を送った人物(冨士眞奈美)から、犯人・羽田光昭の過去、そして事件の真相を聞かされた。その翌日、間野(長谷川京子)を乗せたバスがバスジャック被害者だった坂本(細田善彦)によってバスジャックされる。一方、広報室には間野に騙されたという男(野間口徹)が訪ねてくるのだった。杉村三郎…小泉孝太郎  間野京子…長谷川京子  杉村菜穂子…国仲涼子  手島雄一郎…ムロツヨシ  橋本真佐彦…高橋一生  坂"&amp;"本啓…細田善彦    水田大造…本田博太郎  早川多恵…冨士眞奈美  園田瑛子…室井滋  暮木一光…長塚京三宮部みゆき　「ペテロの葬列」（集英社）主題歌　『心情呼吸』 近藤晃央(アリオラジャパン)  プロデューサー：鈴木早苗　橘康仁  脚本：神山由美子  音楽：横山  克  演出：竹村謙太郎▽番組HP  http://www.tbs.co.jp/petero2014/  ▽ツイッター  @petero_tbs   https://twitter.com/petero_tbs  彼女は何かを知っている…『ペ"&amp;"テロの葬列』第10話（9/8）小泉孝太郎・宮部みゆき　動画公開しました！  http://youtu.be/3DeQMekZkjQ  制作協力 ： ドリマックス・テレビジョン  製作著作 ： TBS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奇妙なバスジャック事件に巻き込まれた主人公・杉村三郎（小泉孝太郎）らバスジャック被害者たちは犯人(長塚京三)の“慰謝料”を送った人物(冨士眞奈美)から、犯人・羽田光昭の過去、そして事件の真相を聞かされた。その翌日、間野(長谷川京子)を乗せたバスがバスジャック被害者だった坂本(細田善彦)によってバスジャックされる。一方、広報室には間野に騙されたという男(野間口徹)が訪ねてくるのだった。杉村三郎…小泉孝太郎  間野京子…長谷川京子  杉村菜穂子…国仲涼子  手島雄一郎…ムロツヨシ  橋本真佐彦…高橋一生  坂本啓…細田善彦    水田大造…本田博太郎  早川多恵…冨士眞奈美  園田瑛子…室井滋  暮木一光…長塚京三宮部みゆき　「ペテロの葬列」（集英社）主題歌　『心情呼吸』 近藤晃央(アリオラジャパン)  プロデューサー：鈴木早苗　橘康仁  脚本：神山由美子  音楽：横山  克  演出：竹村謙太郎▽番組HP  http://www.tbs.co.jp/petero2014/  ▽ツイッター  @petero_tbs   https://twitter.com/petero_tbs  彼女は何かを知っている…『ペテロの葬列』第10話（9/8）小泉孝太郎・宮部みゆき　動画公開しました！  http://youtu.be/3DeQMekZkjQ  制作協力 ： ドリマックス・テレビジョン  製作著作 ： TBS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295" s="2"/>
      <c r="O5295" s="2"/>
      <c r="P5295" s="1"/>
      <c r="Q5295" s="1"/>
      <c r="R5295" s="1"/>
      <c r="S5295" s="1"/>
      <c r="T5295" s="1"/>
      <c r="U5295" s="1"/>
      <c r="V5295" s="1"/>
      <c r="W5295" s="1"/>
      <c r="X5295" s="1"/>
      <c r="Y5295" s="1"/>
      <c r="Z5295" s="1"/>
      <c r="AA5295" s="1"/>
      <c r="AB5295" s="1"/>
      <c r="AC5295" s="1"/>
      <c r="AD5295" s="1"/>
      <c r="AE5295" s="1"/>
      <c r="AF5295" s="1"/>
      <c r="AG5295" s="1"/>
      <c r="AH5295" s="1"/>
      <c r="AI5295" s="1"/>
      <c r="AJ5295" s="1"/>
      <c r="AK5295" s="1"/>
      <c r="AL5295" s="1"/>
      <c r="AM5295" s="1"/>
      <c r="AN5295" s="1"/>
      <c r="AO5295" s="1"/>
      <c r="AP5295" s="1"/>
      <c r="AQ5295" s="1"/>
      <c r="AR5295" s="1"/>
      <c r="AS5295" s="1"/>
      <c r="AT5295" s="1"/>
      <c r="AU5295" s="1"/>
      <c r="AV5295" s="1"/>
      <c r="AW5295" s="1"/>
      <c r="AX5295" s="1"/>
      <c r="AY5295" s="1"/>
      <c r="AZ5295" s="1"/>
      <c r="BA5295" s="1"/>
      <c r="BB5295" s="1"/>
    </row>
    <row r="5296" ht="204.75" customHeight="1">
      <c r="A5296" s="1">
        <v>2567.0</v>
      </c>
      <c r="B5296" s="2" t="s">
        <v>14672</v>
      </c>
      <c r="C5296" s="2">
        <f>IFERROR(__xludf.DUMMYFUNCTION("split(B5296,""_"")"),1407.0)</f>
        <v>1407</v>
      </c>
      <c r="D5296" s="2" t="str">
        <f>IFERROR(__xludf.DUMMYFUNCTION("""COMPUTED_VALUE"""),"TBS")</f>
        <v>TBS</v>
      </c>
      <c r="E5296" s="2" t="str">
        <f>IFERROR(__xludf.DUMMYFUNCTION("""COMPUTED_VALUE"""),"月20")</f>
        <v>月20</v>
      </c>
      <c r="F5296" s="2" t="s">
        <v>14673</v>
      </c>
      <c r="G5296" s="2" t="s">
        <v>14694</v>
      </c>
      <c r="H5296" s="1">
        <v>11.0</v>
      </c>
      <c r="J5296" s="1" t="s">
        <v>82</v>
      </c>
      <c r="K5296" s="2" t="s">
        <v>14695</v>
      </c>
      <c r="L5296" s="2"/>
      <c r="M5296" s="2" t="str">
        <f>IFERROR(__xludf.DUMMYFUNCTION("split(split(K5296,""【"",false),""公式LINE"",false)"),"奇妙なバスジャック事件に巻き込まれた主人公・杉村三郎（小泉孝太郎）らバスジャック被害者たちはようやく事件の真相を知ることが出来たのだが、バスジャック被害者であった坂本(細田善彦)が再びバスジャック事件を起こしてしまったことで杉村たちは警察に呼ばれることに。一方、菜穂子(国仲涼子)と橋本(高橋一生)の関係をあやしく思った井手(千葉哲也)はある行動にでるのだった。はたして杉村の決断は・・・。杉村三郎…小泉孝太郎  間野京子…長谷川京子  杉村菜穂子…国仲涼子  手島雄一郎…ムロツヨシ  橋本真佐彦…高橋一生 "&amp;" 坂本啓…細田善彦    迫田とよ子…島かおり  森信宏…柴俊夫  森弥生…山口果林    水田大造…本田博太郎  田中雄一郎…峰竜太  園田瑛子…室井滋  今多嘉親…平幹二朗　山藤警部…金山一彦  今内警部補…西村元貴  野本敦弘…犬飼貴丈宮部みゆき　「ペテロの葬列」（集英社）主題歌　『心情呼吸』 近藤晃央(アリオラジャパン)  プロデューサー：鈴木早苗　橘康仁  脚本：神山由美子  音楽：横山  克  演出：金子文紀▽番組HP  http://www.tbs.co.jp/petero2014/  ▽ツ"&amp;"イッター  @petero_tbs   https://twitter.com/petero_tbs  最後に…誰が罪を犯すのか！？予想外の「真実」… 『ペテロの葬列』最終話 （9/15）小泉孝太郎・宮部 みゆき  http://youtu.be/Cem1iubsLok最終回は…「夫婦」で出演！国仲涼子登場！「杉村三郎の今週の事件メモ」動画公開しました！  http://youtu.be/Iw1g4Dse73Q  制作協力 ： ドリマックス・テレビジョン  製作著作 ： TBS  9月開幕、アジア40億人"&amp;"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奇妙なバスジャック事件に巻き込まれた主人公・杉村三郎（小泉孝太郎）らバスジャック被害者たちはようやく事件の真相を知ることが出来たのだが、バスジャック被害者であった坂本(細田善彦)が再びバスジャック事件を起こしてしまったことで杉村たちは警察に呼ばれることに。一方、菜穂子(国仲涼子)と橋本(高橋一生)の関係をあやしく思った井手(千葉哲也)はある行動にでるのだった。はたして杉村の決断は・・・。杉村三郎…小泉孝太郎  間野京子…長谷川京子  杉村菜穂子…国仲涼子  手島雄一郎…ムロツヨシ  橋本真佐彦…高橋一生  坂本啓…細田善彦    迫田とよ子…島かおり  森信宏…柴俊夫  森弥生…山口果林    水田大造…本田博太郎  田中雄一郎…峰竜太  園田瑛子…室井滋  今多嘉親…平幹二朗　山藤警部…金山一彦  今内警部補…西村元貴  野本敦弘…犬飼貴丈宮部みゆき　「ペテロの葬列」（集英社）主題歌　『心情呼吸』 近藤晃央(アリオラジャパン)  プロデューサー：鈴木早苗　橘康仁  脚本：神山由美子  音楽：横山  克  演出：金子文紀▽番組HP  http://www.tbs.co.jp/petero2014/  ▽ツイッター  @petero_tbs   https://twitter.com/petero_tbs  最後に…誰が罪を犯すのか！？予想外の「真実」… 『ペテロの葬列』最終話 （9/15）小泉孝太郎・宮部 みゆき  http://youtu.be/Cem1iubsLok最終回は…「夫婦」で出演！国仲涼子登場！「杉村三郎の今週の事件メモ」動画公開しました！  http://youtu.be/Iw1g4Dse73Q  制作協力 ： ドリマックス・テレビジョン  製作著作 ： TBS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296" s="2"/>
      <c r="O5296" s="2"/>
      <c r="P5296" s="1"/>
      <c r="Q5296" s="1"/>
      <c r="R5296" s="1"/>
      <c r="S5296" s="1"/>
      <c r="T5296" s="1"/>
      <c r="U5296" s="1"/>
      <c r="V5296" s="1"/>
      <c r="W5296" s="1"/>
      <c r="X5296" s="1"/>
      <c r="Y5296" s="1"/>
      <c r="Z5296" s="1"/>
      <c r="AA5296" s="1"/>
      <c r="AB5296" s="1"/>
      <c r="AC5296" s="1"/>
      <c r="AD5296" s="1"/>
      <c r="AE5296" s="1"/>
      <c r="AF5296" s="1"/>
      <c r="AG5296" s="1"/>
      <c r="AH5296" s="1"/>
      <c r="AI5296" s="1"/>
      <c r="AJ5296" s="1"/>
      <c r="AK5296" s="1"/>
      <c r="AL5296" s="1"/>
      <c r="AM5296" s="1"/>
      <c r="AN5296" s="1"/>
      <c r="AO5296" s="1"/>
      <c r="AP5296" s="1"/>
      <c r="AQ5296" s="1"/>
      <c r="AR5296" s="1"/>
      <c r="AS5296" s="1"/>
      <c r="AT5296" s="1"/>
      <c r="AU5296" s="1"/>
      <c r="AV5296" s="1"/>
      <c r="AW5296" s="1"/>
      <c r="AX5296" s="1"/>
      <c r="AY5296" s="1"/>
      <c r="AZ5296" s="1"/>
      <c r="BA5296" s="1"/>
      <c r="BB5296" s="1"/>
    </row>
    <row r="5297" ht="204.75" customHeight="1">
      <c r="A5297" s="1">
        <v>2579.0</v>
      </c>
      <c r="B5297" s="2" t="s">
        <v>14696</v>
      </c>
      <c r="C5297" s="2">
        <f>IFERROR(__xludf.DUMMYFUNCTION("split(B5297,""_"")"),1407.0)</f>
        <v>1407</v>
      </c>
      <c r="D5297" s="2" t="str">
        <f>IFERROR(__xludf.DUMMYFUNCTION("""COMPUTED_VALUE"""),"TBS")</f>
        <v>TBS</v>
      </c>
      <c r="E5297" s="2" t="str">
        <f>IFERROR(__xludf.DUMMYFUNCTION("""COMPUTED_VALUE"""),"火22")</f>
        <v>火22</v>
      </c>
      <c r="F5297" s="2" t="s">
        <v>14697</v>
      </c>
      <c r="G5297" s="2" t="s">
        <v>14698</v>
      </c>
      <c r="H5297" s="1">
        <v>1.0</v>
      </c>
      <c r="J5297" s="1" t="s">
        <v>82</v>
      </c>
      <c r="K5297" s="2" t="s">
        <v>14699</v>
      </c>
      <c r="L5297" s="2"/>
      <c r="M5297" s="2" t="str">
        <f>IFERROR(__xludf.DUMMYFUNCTION("split(split(K5297,""【"",false),""公式LINE"",false)"),"2020年に向けて世界の注目を集めるTOKYO。その治安を守る警視庁捜査一課長・岩井十三（中村雅俊）は、女性トップの新しい捜査係“NS係”を開設する。所轄署の刑事・鳴滝杏（水川あさみ）は、ひょんなことからNS係を手伝うことに。しかし、恋人の求婚で生き方に迷いがーー。同時に、不正疑惑のある刑事・阿藤宗介（生瀬勝久）もNS係に配属され、チグハグな部下達に、係長・出町いずみ（キムラ緑子）は手を焼く。都内湾岸で起きたホステス殺人事件。犯人の逃走経路には、超高級マンションがそびえ立っていたーー。門で閉ざされた安全な"&amp;"空間が、逆に密室となる！？　個性派刑事達が東京を駆ける、ヒューマン・ミステリー誕生！鳴滝　杏……水川あさみ  阿藤宗介……生瀬勝久  堀　徳美……菅原大吉  荒木田　満……近藤公園  芝浜勘太郎……ラサール石井  出町いずみ……キムラ緑子  岩井十三……中村雅俊赤松公彦……青山　勝  和久井弘志……松澤一之  森島裕也……内倉憲二  木村芽衣……奥村佳恵  坂本健太……内野謙太  三沢百合子……岩田さゆり  遠山佳織……東風万智子  小林トオル……黄川田将也")</f>
        <v>2020年に向けて世界の注目を集めるTOKYO。その治安を守る警視庁捜査一課長・岩井十三（中村雅俊）は、女性トップの新しい捜査係“NS係”を開設する。所轄署の刑事・鳴滝杏（水川あさみ）は、ひょんなことからNS係を手伝うことに。しかし、恋人の求婚で生き方に迷いがーー。同時に、不正疑惑のある刑事・阿藤宗介（生瀬勝久）もNS係に配属され、チグハグな部下達に、係長・出町いずみ（キムラ緑子）は手を焼く。都内湾岸で起きたホステス殺人事件。犯人の逃走経路には、超高級マンションがそびえ立っていたーー。門で閉ざされた安全な空間が、逆に密室となる！？　個性派刑事達が東京を駆ける、ヒューマン・ミステリー誕生！鳴滝　杏……水川あさみ  阿藤宗介……生瀬勝久  堀　徳美……菅原大吉  荒木田　満……近藤公園  芝浜勘太郎……ラサール石井  出町いずみ……キムラ緑子  岩井十三……中村雅俊赤松公彦……青山　勝  和久井弘志……松澤一之  森島裕也……内倉憲二  木村芽衣……奥村佳恵  坂本健太……内野謙太  三沢百合子……岩田さゆり  遠山佳織……東風万智子  小林トオル……黄川田将也</v>
      </c>
      <c r="N5297" s="2"/>
      <c r="O5297" s="2"/>
      <c r="P5297" s="1"/>
      <c r="Q5297" s="1"/>
      <c r="R5297" s="1"/>
      <c r="S5297" s="1"/>
      <c r="T5297" s="1"/>
      <c r="U5297" s="1"/>
      <c r="V5297" s="1"/>
      <c r="W5297" s="1"/>
      <c r="X5297" s="1"/>
      <c r="Y5297" s="1"/>
      <c r="Z5297" s="1"/>
      <c r="AA5297" s="1"/>
      <c r="AB5297" s="1"/>
      <c r="AC5297" s="1"/>
      <c r="AD5297" s="1"/>
      <c r="AE5297" s="1"/>
      <c r="AF5297" s="1"/>
      <c r="AG5297" s="1"/>
      <c r="AH5297" s="1"/>
      <c r="AI5297" s="1"/>
      <c r="AJ5297" s="1"/>
      <c r="AK5297" s="1"/>
      <c r="AL5297" s="1"/>
      <c r="AM5297" s="1"/>
      <c r="AN5297" s="1"/>
      <c r="AO5297" s="1"/>
      <c r="AP5297" s="1"/>
      <c r="AQ5297" s="1"/>
      <c r="AR5297" s="1"/>
      <c r="AS5297" s="1"/>
      <c r="AT5297" s="1"/>
      <c r="AU5297" s="1"/>
      <c r="AV5297" s="1"/>
      <c r="AW5297" s="1"/>
      <c r="AX5297" s="1"/>
      <c r="AY5297" s="1"/>
      <c r="AZ5297" s="1"/>
      <c r="BA5297" s="1"/>
      <c r="BB5297" s="1"/>
    </row>
    <row r="5298" ht="204.75" customHeight="1">
      <c r="A5298" s="1">
        <v>2580.0</v>
      </c>
      <c r="B5298" s="2" t="s">
        <v>14696</v>
      </c>
      <c r="C5298" s="2">
        <f>IFERROR(__xludf.DUMMYFUNCTION("split(B5298,""_"")"),1407.0)</f>
        <v>1407</v>
      </c>
      <c r="D5298" s="2" t="str">
        <f>IFERROR(__xludf.DUMMYFUNCTION("""COMPUTED_VALUE"""),"TBS")</f>
        <v>TBS</v>
      </c>
      <c r="E5298" s="2" t="str">
        <f>IFERROR(__xludf.DUMMYFUNCTION("""COMPUTED_VALUE"""),"火22")</f>
        <v>火22</v>
      </c>
      <c r="F5298" s="2" t="s">
        <v>14697</v>
      </c>
      <c r="G5298" s="2" t="s">
        <v>14700</v>
      </c>
      <c r="H5298" s="1">
        <v>2.0</v>
      </c>
      <c r="J5298" s="1" t="s">
        <v>86</v>
      </c>
      <c r="K5298" s="2" t="s">
        <v>14701</v>
      </c>
      <c r="L5298" s="2"/>
      <c r="M5298" s="2" t="str">
        <f>IFERROR(__xludf.DUMMYFUNCTION("split(split(K5298,""【"",false),""公式LINE"",false)"),"2020年に向けて、警視庁捜査一課長・岩井十三（中村雅俊）が新設した、女性トップの捜査係“NS係”。人手不足に手を焼く係長・出町いずみ（キムラ緑子）の下に、新人刑事の鳴滝杏（水川あさみ）が加入。謎の過去を持つ元敏腕刑事・阿藤宗介（生瀬勝久）、いずみの義弟の生き字引・堀徳美（菅原大吉）、元鑑識のイクメン・荒木田満（近藤公園）ら、個性派メンバーが活躍！NS係が挑む初の事件はバラバラ殺人！4年前の死体遺棄を自白した男・小田。さっそく杏が都内の山林で白骨を発見。いずみの捜査では、人気漫画家・夢野の関連性が浮上する"&amp;"。個性派刑事達が東京を駆けるヒューマン・ミステリー、第2話衝撃のラスト！　鳴滝　杏……水川あさみ  阿藤宗介……生瀬勝久  堀　徳美……菅原大吉  荒木田　満……近藤公園  芝浜勘太郎……ラサール石井  出町いずみ……キムラ緑子  岩井十三……中村雅俊")</f>
        <v>2020年に向けて、警視庁捜査一課長・岩井十三（中村雅俊）が新設した、女性トップの捜査係“NS係”。人手不足に手を焼く係長・出町いずみ（キムラ緑子）の下に、新人刑事の鳴滝杏（水川あさみ）が加入。謎の過去を持つ元敏腕刑事・阿藤宗介（生瀬勝久）、いずみの義弟の生き字引・堀徳美（菅原大吉）、元鑑識のイクメン・荒木田満（近藤公園）ら、個性派メンバーが活躍！NS係が挑む初の事件はバラバラ殺人！4年前の死体遺棄を自白した男・小田。さっそく杏が都内の山林で白骨を発見。いずみの捜査では、人気漫画家・夢野の関連性が浮上する。個性派刑事達が東京を駆けるヒューマン・ミステリー、第2話衝撃のラスト！　鳴滝　杏……水川あさみ  阿藤宗介……生瀬勝久  堀　徳美……菅原大吉  荒木田　満……近藤公園  芝浜勘太郎……ラサール石井  出町いずみ……キムラ緑子  岩井十三……中村雅俊</v>
      </c>
      <c r="N5298" s="2"/>
      <c r="O5298" s="2"/>
      <c r="P5298" s="1"/>
      <c r="Q5298" s="1"/>
      <c r="R5298" s="1"/>
      <c r="S5298" s="1"/>
      <c r="T5298" s="1"/>
      <c r="U5298" s="1"/>
      <c r="V5298" s="1"/>
      <c r="W5298" s="1"/>
      <c r="X5298" s="1"/>
      <c r="Y5298" s="1"/>
      <c r="Z5298" s="1"/>
      <c r="AA5298" s="1"/>
      <c r="AB5298" s="1"/>
      <c r="AC5298" s="1"/>
      <c r="AD5298" s="1"/>
      <c r="AE5298" s="1"/>
      <c r="AF5298" s="1"/>
      <c r="AG5298" s="1"/>
      <c r="AH5298" s="1"/>
      <c r="AI5298" s="1"/>
      <c r="AJ5298" s="1"/>
      <c r="AK5298" s="1"/>
      <c r="AL5298" s="1"/>
      <c r="AM5298" s="1"/>
      <c r="AN5298" s="1"/>
      <c r="AO5298" s="1"/>
      <c r="AP5298" s="1"/>
      <c r="AQ5298" s="1"/>
      <c r="AR5298" s="1"/>
      <c r="AS5298" s="1"/>
      <c r="AT5298" s="1"/>
      <c r="AU5298" s="1"/>
      <c r="AV5298" s="1"/>
      <c r="AW5298" s="1"/>
      <c r="AX5298" s="1"/>
      <c r="AY5298" s="1"/>
      <c r="AZ5298" s="1"/>
      <c r="BA5298" s="1"/>
      <c r="BB5298" s="1"/>
    </row>
    <row r="5299" ht="204.75" customHeight="1">
      <c r="A5299" s="1">
        <v>2581.0</v>
      </c>
      <c r="B5299" s="2" t="s">
        <v>14696</v>
      </c>
      <c r="C5299" s="2">
        <f>IFERROR(__xludf.DUMMYFUNCTION("split(B5299,""_"")"),1407.0)</f>
        <v>1407</v>
      </c>
      <c r="D5299" s="2" t="str">
        <f>IFERROR(__xludf.DUMMYFUNCTION("""COMPUTED_VALUE"""),"TBS")</f>
        <v>TBS</v>
      </c>
      <c r="E5299" s="2" t="str">
        <f>IFERROR(__xludf.DUMMYFUNCTION("""COMPUTED_VALUE"""),"火22")</f>
        <v>火22</v>
      </c>
      <c r="F5299" s="2" t="s">
        <v>14697</v>
      </c>
      <c r="G5299" s="2" t="s">
        <v>14702</v>
      </c>
      <c r="H5299" s="1">
        <v>3.0</v>
      </c>
      <c r="J5299" s="1" t="s">
        <v>86</v>
      </c>
      <c r="K5299" s="2" t="s">
        <v>14703</v>
      </c>
      <c r="L5299" s="2"/>
      <c r="M5299" s="2" t="str">
        <f>IFERROR(__xludf.DUMMYFUNCTION("split(split(K5299,""【"",false),""公式LINE"",false)"),"警視庁捜査一課長・岩井十三（中村雅俊）が新設した、女性トップの捜査係“NS係”。係長・出町いずみ（キムラ緑子）の下に、新人刑事の鳴滝杏（水川あさみ）、謎の過去を持つ元敏腕刑事・阿藤宗介（生瀬勝久）、いずみの義弟の生き字引・堀徳美（菅原大吉）、元鑑識のイクメン・荒木田満（近藤公園）ら、個性派メンバーが集結！[第3話]ブラック企業とされる居酒屋で殺人事件が発生！誰が悲劇を招いたのか！？衝撃の真相！！深夜の居酒屋チェーン店でアルバイトが殺害された。コスト削減によるお粗末なセキュリティが悲劇を招いた！？杏は社長を"&amp;"直撃する！個性派刑事達が東京を駆けるヒューマン・ミステリー第3話！衝撃の真相とは！？　鳴滝　杏……水川あさみ  阿藤宗介……生瀬勝久  堀　徳美……菅原大吉  荒木田　満……近藤公園  出町いずみ……キムラ緑子  岩井十三……中村雅俊")</f>
        <v>警視庁捜査一課長・岩井十三（中村雅俊）が新設した、女性トップの捜査係“NS係”。係長・出町いずみ（キムラ緑子）の下に、新人刑事の鳴滝杏（水川あさみ）、謎の過去を持つ元敏腕刑事・阿藤宗介（生瀬勝久）、いずみの義弟の生き字引・堀徳美（菅原大吉）、元鑑識のイクメン・荒木田満（近藤公園）ら、個性派メンバーが集結！[第3話]ブラック企業とされる居酒屋で殺人事件が発生！誰が悲劇を招いたのか！？衝撃の真相！！深夜の居酒屋チェーン店でアルバイトが殺害された。コスト削減によるお粗末なセキュリティが悲劇を招いた！？杏は社長を直撃する！個性派刑事達が東京を駆けるヒューマン・ミステリー第3話！衝撃の真相とは！？　鳴滝　杏……水川あさみ  阿藤宗介……生瀬勝久  堀　徳美……菅原大吉  荒木田　満……近藤公園  出町いずみ……キムラ緑子  岩井十三……中村雅俊</v>
      </c>
      <c r="N5299" s="2"/>
      <c r="O5299" s="2"/>
      <c r="P5299" s="1"/>
      <c r="Q5299" s="1"/>
      <c r="R5299" s="1"/>
      <c r="S5299" s="1"/>
      <c r="T5299" s="1"/>
      <c r="U5299" s="1"/>
      <c r="V5299" s="1"/>
      <c r="W5299" s="1"/>
      <c r="X5299" s="1"/>
      <c r="Y5299" s="1"/>
      <c r="Z5299" s="1"/>
      <c r="AA5299" s="1"/>
      <c r="AB5299" s="1"/>
      <c r="AC5299" s="1"/>
      <c r="AD5299" s="1"/>
      <c r="AE5299" s="1"/>
      <c r="AF5299" s="1"/>
      <c r="AG5299" s="1"/>
      <c r="AH5299" s="1"/>
      <c r="AI5299" s="1"/>
      <c r="AJ5299" s="1"/>
      <c r="AK5299" s="1"/>
      <c r="AL5299" s="1"/>
      <c r="AM5299" s="1"/>
      <c r="AN5299" s="1"/>
      <c r="AO5299" s="1"/>
      <c r="AP5299" s="1"/>
      <c r="AQ5299" s="1"/>
      <c r="AR5299" s="1"/>
      <c r="AS5299" s="1"/>
      <c r="AT5299" s="1"/>
      <c r="AU5299" s="1"/>
      <c r="AV5299" s="1"/>
      <c r="AW5299" s="1"/>
      <c r="AX5299" s="1"/>
      <c r="AY5299" s="1"/>
      <c r="AZ5299" s="1"/>
      <c r="BA5299" s="1"/>
      <c r="BB5299" s="1"/>
    </row>
    <row r="5300" ht="204.75" customHeight="1">
      <c r="A5300" s="1">
        <v>2582.0</v>
      </c>
      <c r="B5300" s="2" t="s">
        <v>14696</v>
      </c>
      <c r="C5300" s="2">
        <f>IFERROR(__xludf.DUMMYFUNCTION("split(B5300,""_"")"),1407.0)</f>
        <v>1407</v>
      </c>
      <c r="D5300" s="2" t="str">
        <f>IFERROR(__xludf.DUMMYFUNCTION("""COMPUTED_VALUE"""),"TBS")</f>
        <v>TBS</v>
      </c>
      <c r="E5300" s="2" t="str">
        <f>IFERROR(__xludf.DUMMYFUNCTION("""COMPUTED_VALUE"""),"火22")</f>
        <v>火22</v>
      </c>
      <c r="F5300" s="2" t="s">
        <v>14697</v>
      </c>
      <c r="G5300" s="2" t="s">
        <v>14704</v>
      </c>
      <c r="H5300" s="1">
        <v>4.0</v>
      </c>
      <c r="J5300" s="1" t="s">
        <v>86</v>
      </c>
      <c r="K5300" s="2" t="s">
        <v>14705</v>
      </c>
      <c r="L5300" s="2"/>
      <c r="M5300" s="2" t="str">
        <f>IFERROR(__xludf.DUMMYFUNCTION("split(split(K5300,""【"",false),""公式LINE"",false)"),"警視庁捜査一課長・岩井十三（中村雅俊）が新設した、女性トップの“NS係”。出町いずみ係長（キムラ緑子）の下に、新人刑事の鳴滝杏（水川あさみ）、謎の過去を持つ阿藤宗介（生瀬勝久）、事情通の堀徳美（菅原大吉）、元鑑識の荒木田満（近藤公園）が集結！[第4話]2020年に向けて視察団が来日。警護する杏と宗介に、殺人ウイルス盗難の知らせが入る！テロリストが近づく時、2人は視察団を、そして東京を守れるか！？都内研究所で発見された「ダイエットウイルス」。しかしウイルスには猛毒が……そして盗難事件発生。極秘捜査するNS係"&amp;"が犯人の足取りを追う！個性派刑事達はテロを防げるか！？ヒューマン・ミステリー第4話！鳴滝　杏……水川あさみ  阿藤宗介……生瀬勝久  堀　徳美……菅原大吉  荒木田　満……近藤公園  出町いずみ……キムラ緑子  岩井十三……中村雅俊  ")</f>
        <v>警視庁捜査一課長・岩井十三（中村雅俊）が新設した、女性トップの“NS係”。出町いずみ係長（キムラ緑子）の下に、新人刑事の鳴滝杏（水川あさみ）、謎の過去を持つ阿藤宗介（生瀬勝久）、事情通の堀徳美（菅原大吉）、元鑑識の荒木田満（近藤公園）が集結！[第4話]2020年に向けて視察団が来日。警護する杏と宗介に、殺人ウイルス盗難の知らせが入る！テロリストが近づく時、2人は視察団を、そして東京を守れるか！？都内研究所で発見された「ダイエットウイルス」。しかしウイルスには猛毒が……そして盗難事件発生。極秘捜査するNS係が犯人の足取りを追う！個性派刑事達はテロを防げるか！？ヒューマン・ミステリー第4話！鳴滝　杏……水川あさみ  阿藤宗介……生瀬勝久  堀　徳美……菅原大吉  荒木田　満……近藤公園  出町いずみ……キムラ緑子  岩井十三……中村雅俊  </v>
      </c>
      <c r="N5300" s="2"/>
      <c r="O5300" s="2"/>
      <c r="P5300" s="1"/>
      <c r="Q5300" s="1"/>
      <c r="R5300" s="1"/>
      <c r="S5300" s="1"/>
      <c r="T5300" s="1"/>
      <c r="U5300" s="1"/>
      <c r="V5300" s="1"/>
      <c r="W5300" s="1"/>
      <c r="X5300" s="1"/>
      <c r="Y5300" s="1"/>
      <c r="Z5300" s="1"/>
      <c r="AA5300" s="1"/>
      <c r="AB5300" s="1"/>
      <c r="AC5300" s="1"/>
      <c r="AD5300" s="1"/>
      <c r="AE5300" s="1"/>
      <c r="AF5300" s="1"/>
      <c r="AG5300" s="1"/>
      <c r="AH5300" s="1"/>
      <c r="AI5300" s="1"/>
      <c r="AJ5300" s="1"/>
      <c r="AK5300" s="1"/>
      <c r="AL5300" s="1"/>
      <c r="AM5300" s="1"/>
      <c r="AN5300" s="1"/>
      <c r="AO5300" s="1"/>
      <c r="AP5300" s="1"/>
      <c r="AQ5300" s="1"/>
      <c r="AR5300" s="1"/>
      <c r="AS5300" s="1"/>
      <c r="AT5300" s="1"/>
      <c r="AU5300" s="1"/>
      <c r="AV5300" s="1"/>
      <c r="AW5300" s="1"/>
      <c r="AX5300" s="1"/>
      <c r="AY5300" s="1"/>
      <c r="AZ5300" s="1"/>
      <c r="BA5300" s="1"/>
      <c r="BB5300" s="1"/>
    </row>
    <row r="5301" ht="204.75" customHeight="1">
      <c r="A5301" s="1">
        <v>2583.0</v>
      </c>
      <c r="B5301" s="2" t="s">
        <v>14696</v>
      </c>
      <c r="C5301" s="2">
        <f>IFERROR(__xludf.DUMMYFUNCTION("split(B5301,""_"")"),1407.0)</f>
        <v>1407</v>
      </c>
      <c r="D5301" s="2" t="str">
        <f>IFERROR(__xludf.DUMMYFUNCTION("""COMPUTED_VALUE"""),"TBS")</f>
        <v>TBS</v>
      </c>
      <c r="E5301" s="2" t="str">
        <f>IFERROR(__xludf.DUMMYFUNCTION("""COMPUTED_VALUE"""),"火22")</f>
        <v>火22</v>
      </c>
      <c r="F5301" s="2" t="s">
        <v>14697</v>
      </c>
      <c r="G5301" s="2" t="s">
        <v>14706</v>
      </c>
      <c r="H5301" s="1">
        <v>5.0</v>
      </c>
      <c r="J5301" s="1" t="s">
        <v>86</v>
      </c>
      <c r="K5301" s="2" t="s">
        <v>14707</v>
      </c>
      <c r="L5301" s="2"/>
      <c r="M5301" s="2" t="str">
        <f>IFERROR(__xludf.DUMMYFUNCTION("split(split(K5301,""【"",false),""公式LINE"",false)"),"NS係は死刑囚の妻・真由子（中村ゆり）の警護を命じられる。真由子には嫌がらせが相次いでいた。ところが、真由子の一生の恩人が、死んだ岡林刑事（村田雄浩）だったため、阿藤は真由子から警護を拒否される。5年前、阿藤と岡林に何があったのか？過去と現在が結びつく時、謎がついに明かされる！？一方、警護を続ける鳴滝杏は、大きな失態を犯してしまう。刑事の執念が悲劇に救いをもたらす…。ヒューマン・ミステリー第5話！捜査一課長・岩井（中村雅俊）が創設した女性トップの“NS係”。出町係長（キムラ緑子）の下に、“ダルタニアン”こ"&amp;"と鳴滝杏（水川あさみ）と、阿藤宗介（生瀬勝久）、堀（菅原大吉）、荒木田（近藤公園）が集結！鳴滝　杏……水川あさみ  阿藤宗介……生瀬勝久  堀　徳美……菅原大吉  荒木田　満……近藤公園  出町いずみ……キムラ緑子  岩井十三……中村雅俊")</f>
        <v>NS係は死刑囚の妻・真由子（中村ゆり）の警護を命じられる。真由子には嫌がらせが相次いでいた。ところが、真由子の一生の恩人が、死んだ岡林刑事（村田雄浩）だったため、阿藤は真由子から警護を拒否される。5年前、阿藤と岡林に何があったのか？過去と現在が結びつく時、謎がついに明かされる！？一方、警護を続ける鳴滝杏は、大きな失態を犯してしまう。刑事の執念が悲劇に救いをもたらす…。ヒューマン・ミステリー第5話！捜査一課長・岩井（中村雅俊）が創設した女性トップの“NS係”。出町係長（キムラ緑子）の下に、“ダルタニアン”こと鳴滝杏（水川あさみ）と、阿藤宗介（生瀬勝久）、堀（菅原大吉）、荒木田（近藤公園）が集結！鳴滝　杏……水川あさみ  阿藤宗介……生瀬勝久  堀　徳美……菅原大吉  荒木田　満……近藤公園  出町いずみ……キムラ緑子  岩井十三……中村雅俊</v>
      </c>
      <c r="N5301" s="2"/>
      <c r="O5301" s="2"/>
      <c r="P5301" s="1"/>
      <c r="Q5301" s="1"/>
      <c r="R5301" s="1"/>
      <c r="S5301" s="1"/>
      <c r="T5301" s="1"/>
      <c r="U5301" s="1"/>
      <c r="V5301" s="1"/>
      <c r="W5301" s="1"/>
      <c r="X5301" s="1"/>
      <c r="Y5301" s="1"/>
      <c r="Z5301" s="1"/>
      <c r="AA5301" s="1"/>
      <c r="AB5301" s="1"/>
      <c r="AC5301" s="1"/>
      <c r="AD5301" s="1"/>
      <c r="AE5301" s="1"/>
      <c r="AF5301" s="1"/>
      <c r="AG5301" s="1"/>
      <c r="AH5301" s="1"/>
      <c r="AI5301" s="1"/>
      <c r="AJ5301" s="1"/>
      <c r="AK5301" s="1"/>
      <c r="AL5301" s="1"/>
      <c r="AM5301" s="1"/>
      <c r="AN5301" s="1"/>
      <c r="AO5301" s="1"/>
      <c r="AP5301" s="1"/>
      <c r="AQ5301" s="1"/>
      <c r="AR5301" s="1"/>
      <c r="AS5301" s="1"/>
      <c r="AT5301" s="1"/>
      <c r="AU5301" s="1"/>
      <c r="AV5301" s="1"/>
      <c r="AW5301" s="1"/>
      <c r="AX5301" s="1"/>
      <c r="AY5301" s="1"/>
      <c r="AZ5301" s="1"/>
      <c r="BA5301" s="1"/>
      <c r="BB5301" s="1"/>
    </row>
    <row r="5302" ht="204.75" customHeight="1">
      <c r="A5302" s="1">
        <v>2584.0</v>
      </c>
      <c r="B5302" s="2" t="s">
        <v>14696</v>
      </c>
      <c r="C5302" s="2">
        <f>IFERROR(__xludf.DUMMYFUNCTION("split(B5302,""_"")"),1407.0)</f>
        <v>1407</v>
      </c>
      <c r="D5302" s="2" t="str">
        <f>IFERROR(__xludf.DUMMYFUNCTION("""COMPUTED_VALUE"""),"TBS")</f>
        <v>TBS</v>
      </c>
      <c r="E5302" s="2" t="str">
        <f>IFERROR(__xludf.DUMMYFUNCTION("""COMPUTED_VALUE"""),"火22")</f>
        <v>火22</v>
      </c>
      <c r="F5302" s="2" t="s">
        <v>14697</v>
      </c>
      <c r="G5302" s="2" t="s">
        <v>14708</v>
      </c>
      <c r="H5302" s="1">
        <v>6.0</v>
      </c>
      <c r="J5302" s="1" t="s">
        <v>86</v>
      </c>
      <c r="K5302" s="2" t="s">
        <v>14709</v>
      </c>
      <c r="L5302" s="2"/>
      <c r="M5302" s="2" t="str">
        <f>IFERROR(__xludf.DUMMYFUNCTION("split(split(K5302,""【"",false),""公式LINE"",false)"),"芝浜都知事が自宅前で狙撃された。芝浜が提唱する、ある条例案が原因らしい。が、犯人不明のまま、捜査は行き詰まる。ところが当の芝浜はのんきそのもの。NS係に、これから映画で女性刑事役を演じる若手女優・鈴木鈴（森カンナ）の指導を命じる。頭を抱える鳴滝杏と阿藤だが、鈴が詐欺犯逮捕に協力してしまったため、都知事はわざわざスタジオに来て鈴を表彰するという…。エンタメ度がパワーアップする第6話、お楽しみに！捜査一課長・岩井（中村雅俊）が創設した女性トップの“NS係”。出町係長（キムラ緑子）の下に、“ダルタニアン”こと鳴"&amp;"滝杏（水川あさみ）と、阿藤宗介（生瀬勝久）、堀（菅原大吉）、荒木田（近藤公園）が集結！鳴滝　杏……水川あさみ  阿藤宗介……生瀬勝久  堀　徳美……菅原大吉  荒木田満……近藤公園  芝浜勘太郎……ラサール石井  出町いずみ……キムラ緑子  岩井十三……中村雅俊")</f>
        <v>芝浜都知事が自宅前で狙撃された。芝浜が提唱する、ある条例案が原因らしい。が、犯人不明のまま、捜査は行き詰まる。ところが当の芝浜はのんきそのもの。NS係に、これから映画で女性刑事役を演じる若手女優・鈴木鈴（森カンナ）の指導を命じる。頭を抱える鳴滝杏と阿藤だが、鈴が詐欺犯逮捕に協力してしまったため、都知事はわざわざスタジオに来て鈴を表彰するという…。エンタメ度がパワーアップする第6話、お楽しみに！捜査一課長・岩井（中村雅俊）が創設した女性トップの“NS係”。出町係長（キムラ緑子）の下に、“ダルタニアン”こと鳴滝杏（水川あさみ）と、阿藤宗介（生瀬勝久）、堀（菅原大吉）、荒木田（近藤公園）が集結！鳴滝　杏……水川あさみ  阿藤宗介……生瀬勝久  堀　徳美……菅原大吉  荒木田満……近藤公園  芝浜勘太郎……ラサール石井  出町いずみ……キムラ緑子  岩井十三……中村雅俊</v>
      </c>
      <c r="N5302" s="2"/>
      <c r="O5302" s="2"/>
      <c r="P5302" s="1"/>
      <c r="Q5302" s="1"/>
      <c r="R5302" s="1"/>
      <c r="S5302" s="1"/>
      <c r="T5302" s="1"/>
      <c r="U5302" s="1"/>
      <c r="V5302" s="1"/>
      <c r="W5302" s="1"/>
      <c r="X5302" s="1"/>
      <c r="Y5302" s="1"/>
      <c r="Z5302" s="1"/>
      <c r="AA5302" s="1"/>
      <c r="AB5302" s="1"/>
      <c r="AC5302" s="1"/>
      <c r="AD5302" s="1"/>
      <c r="AE5302" s="1"/>
      <c r="AF5302" s="1"/>
      <c r="AG5302" s="1"/>
      <c r="AH5302" s="1"/>
      <c r="AI5302" s="1"/>
      <c r="AJ5302" s="1"/>
      <c r="AK5302" s="1"/>
      <c r="AL5302" s="1"/>
      <c r="AM5302" s="1"/>
      <c r="AN5302" s="1"/>
      <c r="AO5302" s="1"/>
      <c r="AP5302" s="1"/>
      <c r="AQ5302" s="1"/>
      <c r="AR5302" s="1"/>
      <c r="AS5302" s="1"/>
      <c r="AT5302" s="1"/>
      <c r="AU5302" s="1"/>
      <c r="AV5302" s="1"/>
      <c r="AW5302" s="1"/>
      <c r="AX5302" s="1"/>
      <c r="AY5302" s="1"/>
      <c r="AZ5302" s="1"/>
      <c r="BA5302" s="1"/>
      <c r="BB5302" s="1"/>
    </row>
    <row r="5303" ht="204.75" customHeight="1">
      <c r="A5303" s="1">
        <v>2585.0</v>
      </c>
      <c r="B5303" s="2" t="s">
        <v>14696</v>
      </c>
      <c r="C5303" s="2">
        <f>IFERROR(__xludf.DUMMYFUNCTION("split(B5303,""_"")"),1407.0)</f>
        <v>1407</v>
      </c>
      <c r="D5303" s="2" t="str">
        <f>IFERROR(__xludf.DUMMYFUNCTION("""COMPUTED_VALUE"""),"TBS")</f>
        <v>TBS</v>
      </c>
      <c r="E5303" s="2" t="str">
        <f>IFERROR(__xludf.DUMMYFUNCTION("""COMPUTED_VALUE"""),"火22")</f>
        <v>火22</v>
      </c>
      <c r="F5303" s="2" t="s">
        <v>14697</v>
      </c>
      <c r="G5303" s="2" t="s">
        <v>14710</v>
      </c>
      <c r="H5303" s="1">
        <v>7.0</v>
      </c>
      <c r="J5303" s="1" t="s">
        <v>86</v>
      </c>
      <c r="K5303" s="2" t="s">
        <v>14711</v>
      </c>
      <c r="L5303" s="2"/>
      <c r="M5303" s="2" t="str">
        <f>IFERROR(__xludf.DUMMYFUNCTION("split(split(K5303,""【"",false),""公式LINE"",false)"),"不動産会社社長の井上が殺された。井上は捜査一課長・岩井の旧友だった。岩井の無念を晴らすため、鳴滝杏と阿藤、そしてNS係の面々は独自の捜査を始める。杏が行き着いた容疑者は、ミュージシャンの若林（モト冬樹）。ところが彼も岩井の旧友だった。若林は昔出したレコードの再発売を巡り、権利を持つ井上と争っていたらしい。決め手は1枚のレコード？杏が気付き、阿藤が暴き出すトリックとは！？ヒューマンミステリー第7話！捜査一課長・岩井（中村雅俊）が創設した女性トップの“NS係”。出町係長（キムラ緑子）の下に、“ダルタニアン”こ"&amp;"と鳴滝杏（水川あさみ）と、阿藤宗介（生瀬勝久）、堀（菅原大吉）、荒木田（近藤公園）が集結！鳴滝　杏……水川あさみ  阿藤宗介……生瀬勝久  堀　徳美……菅原大吉  荒木田　満……近藤公園  芝浜勘太郎……ラサール石井  出町いずみ……キムラ緑子  岩井十三……中村雅俊  ")</f>
        <v>不動産会社社長の井上が殺された。井上は捜査一課長・岩井の旧友だった。岩井の無念を晴らすため、鳴滝杏と阿藤、そしてNS係の面々は独自の捜査を始める。杏が行き着いた容疑者は、ミュージシャンの若林（モト冬樹）。ところが彼も岩井の旧友だった。若林は昔出したレコードの再発売を巡り、権利を持つ井上と争っていたらしい。決め手は1枚のレコード？杏が気付き、阿藤が暴き出すトリックとは！？ヒューマンミステリー第7話！捜査一課長・岩井（中村雅俊）が創設した女性トップの“NS係”。出町係長（キムラ緑子）の下に、“ダルタニアン”こと鳴滝杏（水川あさみ）と、阿藤宗介（生瀬勝久）、堀（菅原大吉）、荒木田（近藤公園）が集結！鳴滝　杏……水川あさみ  阿藤宗介……生瀬勝久  堀　徳美……菅原大吉  荒木田　満……近藤公園  芝浜勘太郎……ラサール石井  出町いずみ……キムラ緑子  岩井十三……中村雅俊  </v>
      </c>
      <c r="N5303" s="2"/>
      <c r="O5303" s="2"/>
      <c r="P5303" s="1"/>
      <c r="Q5303" s="1"/>
      <c r="R5303" s="1"/>
      <c r="S5303" s="1"/>
      <c r="T5303" s="1"/>
      <c r="U5303" s="1"/>
      <c r="V5303" s="1"/>
      <c r="W5303" s="1"/>
      <c r="X5303" s="1"/>
      <c r="Y5303" s="1"/>
      <c r="Z5303" s="1"/>
      <c r="AA5303" s="1"/>
      <c r="AB5303" s="1"/>
      <c r="AC5303" s="1"/>
      <c r="AD5303" s="1"/>
      <c r="AE5303" s="1"/>
      <c r="AF5303" s="1"/>
      <c r="AG5303" s="1"/>
      <c r="AH5303" s="1"/>
      <c r="AI5303" s="1"/>
      <c r="AJ5303" s="1"/>
      <c r="AK5303" s="1"/>
      <c r="AL5303" s="1"/>
      <c r="AM5303" s="1"/>
      <c r="AN5303" s="1"/>
      <c r="AO5303" s="1"/>
      <c r="AP5303" s="1"/>
      <c r="AQ5303" s="1"/>
      <c r="AR5303" s="1"/>
      <c r="AS5303" s="1"/>
      <c r="AT5303" s="1"/>
      <c r="AU5303" s="1"/>
      <c r="AV5303" s="1"/>
      <c r="AW5303" s="1"/>
      <c r="AX5303" s="1"/>
      <c r="AY5303" s="1"/>
      <c r="AZ5303" s="1"/>
      <c r="BA5303" s="1"/>
      <c r="BB5303" s="1"/>
    </row>
    <row r="5304" ht="204.75" customHeight="1">
      <c r="A5304" s="1">
        <v>2586.0</v>
      </c>
      <c r="B5304" s="2" t="s">
        <v>14696</v>
      </c>
      <c r="C5304" s="2">
        <f>IFERROR(__xludf.DUMMYFUNCTION("split(B5304,""_"")"),1407.0)</f>
        <v>1407</v>
      </c>
      <c r="D5304" s="2" t="str">
        <f>IFERROR(__xludf.DUMMYFUNCTION("""COMPUTED_VALUE"""),"TBS")</f>
        <v>TBS</v>
      </c>
      <c r="E5304" s="2" t="str">
        <f>IFERROR(__xludf.DUMMYFUNCTION("""COMPUTED_VALUE"""),"火22")</f>
        <v>火22</v>
      </c>
      <c r="F5304" s="2" t="s">
        <v>14697</v>
      </c>
      <c r="G5304" s="2" t="s">
        <v>14712</v>
      </c>
      <c r="H5304" s="1">
        <v>8.0</v>
      </c>
      <c r="J5304" s="1" t="s">
        <v>86</v>
      </c>
      <c r="K5304" s="2" t="s">
        <v>14713</v>
      </c>
      <c r="L5304" s="2"/>
      <c r="M5304" s="2" t="str">
        <f>IFERROR(__xludf.DUMMYFUNCTION("split(split(K5304,""【"",false),""公式LINE"",false)"),"都内カレー店で強盗事件が発生。またもブラック企業・榊社長の店が狙われた。以前同社での事件を解決した実績から、NS係が捜査することに。しかし杏の姿はない。久々の休日に父が上京し、出町に親孝行を命じられたのだった…が、目ざとく強盗犯を発見、休日返上で追跡開始！犯人は川岸で生活するホームレスらしい。一方、川岸に来た阿藤は、なぜか住人達とカレーを作り始めた！？東京ヒューマンミステリー、個性際立つ第8話！捜査一課長・岩井（中村雅俊）が創設した女性トップの“NS係”。出町係長（キムラ緑子）の下に、“ダルタニアン”こと"&amp;"鳴滝杏（水川あさみ）と、阿藤宗介（生瀬勝久）、堀（菅原大吉）、荒木田（近藤公園）が集結！鳴滝　杏……水川あさみ  阿藤宗介……生瀬勝久  堀　徳美……菅原大吉  荒木田満……近藤公園  出町いずみ……キムラ緑子  岩井十三……中村雅俊  ")</f>
        <v>都内カレー店で強盗事件が発生。またもブラック企業・榊社長の店が狙われた。以前同社での事件を解決した実績から、NS係が捜査することに。しかし杏の姿はない。久々の休日に父が上京し、出町に親孝行を命じられたのだった…が、目ざとく強盗犯を発見、休日返上で追跡開始！犯人は川岸で生活するホームレスらしい。一方、川岸に来た阿藤は、なぜか住人達とカレーを作り始めた！？東京ヒューマンミステリー、個性際立つ第8話！捜査一課長・岩井（中村雅俊）が創設した女性トップの“NS係”。出町係長（キムラ緑子）の下に、“ダルタニアン”こと鳴滝杏（水川あさみ）と、阿藤宗介（生瀬勝久）、堀（菅原大吉）、荒木田（近藤公園）が集結！鳴滝　杏……水川あさみ  阿藤宗介……生瀬勝久  堀　徳美……菅原大吉  荒木田満……近藤公園  出町いずみ……キムラ緑子  岩井十三……中村雅俊  </v>
      </c>
      <c r="N5304" s="2"/>
      <c r="O5304" s="2"/>
      <c r="P5304" s="1"/>
      <c r="Q5304" s="1"/>
      <c r="R5304" s="1"/>
      <c r="S5304" s="1"/>
      <c r="T5304" s="1"/>
      <c r="U5304" s="1"/>
      <c r="V5304" s="1"/>
      <c r="W5304" s="1"/>
      <c r="X5304" s="1"/>
      <c r="Y5304" s="1"/>
      <c r="Z5304" s="1"/>
      <c r="AA5304" s="1"/>
      <c r="AB5304" s="1"/>
      <c r="AC5304" s="1"/>
      <c r="AD5304" s="1"/>
      <c r="AE5304" s="1"/>
      <c r="AF5304" s="1"/>
      <c r="AG5304" s="1"/>
      <c r="AH5304" s="1"/>
      <c r="AI5304" s="1"/>
      <c r="AJ5304" s="1"/>
      <c r="AK5304" s="1"/>
      <c r="AL5304" s="1"/>
      <c r="AM5304" s="1"/>
      <c r="AN5304" s="1"/>
      <c r="AO5304" s="1"/>
      <c r="AP5304" s="1"/>
      <c r="AQ5304" s="1"/>
      <c r="AR5304" s="1"/>
      <c r="AS5304" s="1"/>
      <c r="AT5304" s="1"/>
      <c r="AU5304" s="1"/>
      <c r="AV5304" s="1"/>
      <c r="AW5304" s="1"/>
      <c r="AX5304" s="1"/>
      <c r="AY5304" s="1"/>
      <c r="AZ5304" s="1"/>
      <c r="BA5304" s="1"/>
      <c r="BB5304" s="1"/>
    </row>
    <row r="5305" ht="204.75" customHeight="1">
      <c r="A5305" s="1">
        <v>2587.0</v>
      </c>
      <c r="B5305" s="2" t="s">
        <v>14696</v>
      </c>
      <c r="C5305" s="2">
        <f>IFERROR(__xludf.DUMMYFUNCTION("split(B5305,""_"")"),1407.0)</f>
        <v>1407</v>
      </c>
      <c r="D5305" s="2" t="str">
        <f>IFERROR(__xludf.DUMMYFUNCTION("""COMPUTED_VALUE"""),"TBS")</f>
        <v>TBS</v>
      </c>
      <c r="E5305" s="2" t="str">
        <f>IFERROR(__xludf.DUMMYFUNCTION("""COMPUTED_VALUE"""),"火22")</f>
        <v>火22</v>
      </c>
      <c r="F5305" s="2" t="s">
        <v>14697</v>
      </c>
      <c r="G5305" s="2" t="s">
        <v>14714</v>
      </c>
      <c r="H5305" s="1">
        <v>9.0</v>
      </c>
      <c r="J5305" s="1" t="s">
        <v>86</v>
      </c>
      <c r="K5305" s="2" t="s">
        <v>14715</v>
      </c>
      <c r="L5305" s="2"/>
      <c r="M5305" s="2" t="str">
        <f>IFERROR(__xludf.DUMMYFUNCTION("split(split(K5305,""【"",false),""公式LINE"",false)"),"ゲリラ豪雨の翌日、杏と阿藤は隅田川に浮かんだ死体を発見する。女性差別発言をした都議の刺殺体だった。都議のバッジが川から離れた場所で見つかり、NS係は、下水に捨てられた死体が川まで流されたと推測する。一方、杏が差別を肯定しているという中傷記事がネット上に出回る。書いたのは記者の由利恵。杏が訂正を求めると、由利恵は代わりに特ダネを漏らす。それは、下水の再開発を巡る、都議と開発業者との癒着の疑惑だった。捜査一課長・岩井（中村雅俊）が創設した女性トップの“NS係”。出町係長（キムラ緑子）の下に、“ダルタニアン”こ"&amp;"と鳴滝杏（水川あさみ）と、阿藤宗介（生瀬勝久）、堀（菅原大吉）、荒木田（近藤公園）が集結！鳴滝　杏……水川あさみ  阿藤宗介……生瀬勝久  堀　徳美……菅原大吉  荒木田　満……近藤公園  出町いずみ……キムラ緑子  岩井十三……中村雅俊  ")</f>
        <v>ゲリラ豪雨の翌日、杏と阿藤は隅田川に浮かんだ死体を発見する。女性差別発言をした都議の刺殺体だった。都議のバッジが川から離れた場所で見つかり、NS係は、下水に捨てられた死体が川まで流されたと推測する。一方、杏が差別を肯定しているという中傷記事がネット上に出回る。書いたのは記者の由利恵。杏が訂正を求めると、由利恵は代わりに特ダネを漏らす。それは、下水の再開発を巡る、都議と開発業者との癒着の疑惑だった。捜査一課長・岩井（中村雅俊）が創設した女性トップの“NS係”。出町係長（キムラ緑子）の下に、“ダルタニアン”こと鳴滝杏（水川あさみ）と、阿藤宗介（生瀬勝久）、堀（菅原大吉）、荒木田（近藤公園）が集結！鳴滝　杏……水川あさみ  阿藤宗介……生瀬勝久  堀　徳美……菅原大吉  荒木田　満……近藤公園  出町いずみ……キムラ緑子  岩井十三……中村雅俊  </v>
      </c>
      <c r="N5305" s="2"/>
      <c r="O5305" s="2"/>
      <c r="P5305" s="1"/>
      <c r="Q5305" s="1"/>
      <c r="R5305" s="1"/>
      <c r="S5305" s="1"/>
      <c r="T5305" s="1"/>
      <c r="U5305" s="1"/>
      <c r="V5305" s="1"/>
      <c r="W5305" s="1"/>
      <c r="X5305" s="1"/>
      <c r="Y5305" s="1"/>
      <c r="Z5305" s="1"/>
      <c r="AA5305" s="1"/>
      <c r="AB5305" s="1"/>
      <c r="AC5305" s="1"/>
      <c r="AD5305" s="1"/>
      <c r="AE5305" s="1"/>
      <c r="AF5305" s="1"/>
      <c r="AG5305" s="1"/>
      <c r="AH5305" s="1"/>
      <c r="AI5305" s="1"/>
      <c r="AJ5305" s="1"/>
      <c r="AK5305" s="1"/>
      <c r="AL5305" s="1"/>
      <c r="AM5305" s="1"/>
      <c r="AN5305" s="1"/>
      <c r="AO5305" s="1"/>
      <c r="AP5305" s="1"/>
      <c r="AQ5305" s="1"/>
      <c r="AR5305" s="1"/>
      <c r="AS5305" s="1"/>
      <c r="AT5305" s="1"/>
      <c r="AU5305" s="1"/>
      <c r="AV5305" s="1"/>
      <c r="AW5305" s="1"/>
      <c r="AX5305" s="1"/>
      <c r="AY5305" s="1"/>
      <c r="AZ5305" s="1"/>
      <c r="BA5305" s="1"/>
      <c r="BB5305" s="1"/>
    </row>
    <row r="5306" ht="204.75" customHeight="1">
      <c r="A5306" s="1">
        <v>2631.0</v>
      </c>
      <c r="B5306" s="2" t="s">
        <v>14716</v>
      </c>
      <c r="C5306" s="2">
        <f>IFERROR(__xludf.DUMMYFUNCTION("split(B5306,""_"")"),1407.0)</f>
        <v>1407</v>
      </c>
      <c r="D5306" s="2" t="str">
        <f>IFERROR(__xludf.DUMMYFUNCTION("""COMPUTED_VALUE"""),"TBS")</f>
        <v>TBS</v>
      </c>
      <c r="E5306" s="2" t="str">
        <f>IFERROR(__xludf.DUMMYFUNCTION("""COMPUTED_VALUE"""),"木21")</f>
        <v>木21</v>
      </c>
      <c r="F5306" s="2" t="s">
        <v>14717</v>
      </c>
      <c r="G5306" s="2" t="s">
        <v>14718</v>
      </c>
      <c r="H5306" s="1">
        <v>1.0</v>
      </c>
      <c r="J5306" s="1" t="s">
        <v>4</v>
      </c>
      <c r="K5306" s="2" t="s">
        <v>14719</v>
      </c>
      <c r="L5306" s="2"/>
      <c r="M5306" s="2" t="str">
        <f>IFERROR(__xludf.DUMMYFUNCTION("split(split(K5306,""【"",false),""公式LINE"",false)"),"柳健太（井浦新）、40歳。離婚し、一流企業を辞め、今は生まれ育った中野に戻り、実家のクリーニング店を継いでいた。そんな健太の日常はある日を堺に変わっていく。同窓会で再会した元恋人あけひ（稲森いずみ）、そして友人の遼介（松岡昌宏）と薫子（板谷由夏）。冷凍保存されていたそれぞれの想いが25年ぶりに動き出す。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amp;"す。自分と出会うには、まず自分への甘さも厳しさも含めた「愛」を持つこと。それは他者を愛することにもつながります。この作品に込めたいと考えている、私のメッセージのひとつです。　脚本家　田渕久美子井浦新　稲森いずみ　板谷由夏　市川実和子　三浦理恵子　蛯原友里　丸山敦史　川俣しのぶ　茅島成美　柄本明（特別出演）　鶴田忍　高林由紀子　岡本麗　市毛良枝　松本利夫（EXILE）　松岡昌宏長年勤めた大手化学メーカーを辞め、妻と離婚。現在、実家のクリーニング屋を継いでいる。純粋で不器用。あけひに心惹かれるも、不倫はダメだ"&amp;"ときっぱり言い切る。3人の子供を持つ美容師。底抜けに明るい性格だが、夫との関係には亀裂が…。初恋の相手、健太との再会に心が揺れる一級建築士の資格を持ち、大手ゼネコンに勤めるエリートで、根っからのプレイボーイ。本当の恋を薫子と始めようとしている。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zone）原作：柴門ふみ「同窓生～"&amp;"人は、三度、恋をする～」（小学館ビッグコミックス 刊）  脚本：田渕久美子  監督：吉田健（TBSテレビ）  プロデューサー：矢口久雄（テレパック）貴島誠一郎（TBSテレビ）◇番組HP http://www.tbs.co.jp/dousousei2014/  ◇公式Facebook:https://www.facebook.com/dousousei.tbs  ◇公式Twitter  https://twitter.com/dousousei_tbs  @dousousei_tbs  （7月ドラマ）豪華キ"&amp;"ャストクランクイン！板谷由夏サプライズバースデー！7/10スタート木曜21時『同窓生』動画公開しました！  http://youtu.be/bnRJf3iVLVw  （新ドラマ）2分まとめ！「私にキスして・・・」7/10スタート木曜21時『同窓生』柴門ふみ原作・待望のドラマ化！動画公開しました！  http://youtu.be/TAMBKBu8_sY  番組の内容と放送時間は変更になる場合があります。")</f>
        <v>柳健太（井浦新）、40歳。離婚し、一流企業を辞め、今は生まれ育った中野に戻り、実家のクリーニング店を継いでいた。そんな健太の日常はある日を堺に変わっていく。同窓会で再会した元恋人あけひ（稲森いずみ）、そして友人の遼介（松岡昌宏）と薫子（板谷由夏）。冷凍保存されていたそれぞれの想いが25年ぶりに動き出す。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　稲森いずみ　板谷由夏　市川実和子　三浦理恵子　蛯原友里　丸山敦史　川俣しのぶ　茅島成美　柄本明（特別出演）　鶴田忍　高林由紀子　岡本麗　市毛良枝　松本利夫（EXILE）　松岡昌宏長年勤めた大手化学メーカーを辞め、妻と離婚。現在、実家のクリーニング屋を継いでいる。純粋で不器用。あけひに心惹かれるも、不倫はダメだときっぱり言い切る。3人の子供を持つ美容師。底抜けに明るい性格だが、夫との関係には亀裂が…。初恋の相手、健太との再会に心が揺れる一級建築士の資格を持ち、大手ゼネコンに勤めるエリートで、根っからのプレイボーイ。本当の恋を薫子と始めようとしている。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プロデューサー：矢口久雄（テレパック）貴島誠一郎（TBSテレビ）◇番組HP http://www.tbs.co.jp/dousousei2014/  ◇公式Facebook:https://www.facebook.com/dousousei.tbs  ◇公式Twitter  https://twitter.com/dousousei_tbs  @dousousei_tbs  （7月ドラマ）豪華キャストクランクイン！板谷由夏サプライズバースデー！7/10スタート木曜21時『同窓生』動画公開しました！  http://youtu.be/bnRJf3iVLVw  （新ドラマ）2分まとめ！「私にキスして・・・」7/10スタート木曜21時『同窓生』柴門ふみ原作・待望のドラマ化！動画公開しました！  http://youtu.be/TAMBKBu8_sY  番組の内容と放送時間は変更になる場合があります。</v>
      </c>
      <c r="N5306" s="2"/>
      <c r="O5306" s="2"/>
      <c r="P5306" s="1"/>
      <c r="Q5306" s="1"/>
      <c r="R5306" s="1"/>
      <c r="S5306" s="1"/>
      <c r="T5306" s="1"/>
      <c r="U5306" s="1"/>
      <c r="V5306" s="1"/>
      <c r="W5306" s="1"/>
      <c r="X5306" s="1"/>
      <c r="Y5306" s="1"/>
      <c r="Z5306" s="1"/>
      <c r="AA5306" s="1"/>
      <c r="AB5306" s="1"/>
      <c r="AC5306" s="1"/>
      <c r="AD5306" s="1"/>
      <c r="AE5306" s="1"/>
      <c r="AF5306" s="1"/>
      <c r="AG5306" s="1"/>
      <c r="AH5306" s="1"/>
      <c r="AI5306" s="1"/>
      <c r="AJ5306" s="1"/>
      <c r="AK5306" s="1"/>
      <c r="AL5306" s="1"/>
      <c r="AM5306" s="1"/>
      <c r="AN5306" s="1"/>
      <c r="AO5306" s="1"/>
      <c r="AP5306" s="1"/>
      <c r="AQ5306" s="1"/>
      <c r="AR5306" s="1"/>
      <c r="AS5306" s="1"/>
      <c r="AT5306" s="1"/>
      <c r="AU5306" s="1"/>
      <c r="AV5306" s="1"/>
      <c r="AW5306" s="1"/>
      <c r="AX5306" s="1"/>
      <c r="AY5306" s="1"/>
      <c r="AZ5306" s="1"/>
      <c r="BA5306" s="1"/>
      <c r="BB5306" s="1"/>
    </row>
    <row r="5307" ht="204.75" customHeight="1">
      <c r="A5307" s="1">
        <v>2632.0</v>
      </c>
      <c r="B5307" s="2" t="s">
        <v>14716</v>
      </c>
      <c r="C5307" s="2">
        <f>IFERROR(__xludf.DUMMYFUNCTION("split(B5307,""_"")"),1407.0)</f>
        <v>1407</v>
      </c>
      <c r="D5307" s="2" t="str">
        <f>IFERROR(__xludf.DUMMYFUNCTION("""COMPUTED_VALUE"""),"TBS")</f>
        <v>TBS</v>
      </c>
      <c r="E5307" s="2" t="str">
        <f>IFERROR(__xludf.DUMMYFUNCTION("""COMPUTED_VALUE"""),"木21")</f>
        <v>木21</v>
      </c>
      <c r="F5307" s="2" t="s">
        <v>14717</v>
      </c>
      <c r="G5307" s="2" t="s">
        <v>14720</v>
      </c>
      <c r="H5307" s="1">
        <v>2.0</v>
      </c>
      <c r="J5307" s="1" t="s">
        <v>11</v>
      </c>
      <c r="K5307" s="2" t="s">
        <v>14721</v>
      </c>
      <c r="L5307" s="2"/>
      <c r="M5307" s="2" t="str">
        <f>IFERROR(__xludf.DUMMYFUNCTION("split(split(K5307,""【"",false),""公式LINE"",false)"),"健太（井浦新）は、あけひ（稲森いずみ）の過去を知り、かつての自分を責める。今の自分にいったい何ができるのか。あけひと向き合うため美容院を訪れるが…　一方、遼介（松岡昌宏）は、薫子（板谷由夏）へ猛アタックを開始！？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amp;"とにもつながります。この作品に込めたいと考えている、私のメッセージのひとつです。　脚本家　田渕久美子井浦新　稲森いずみ　板谷由夏　市川実和子　三浦理恵子　高知東生　丸山敦史　清水由紀柄本明（特別出演）　鶴田忍　高林由紀子　岡本麗　市毛良枝　松本利夫（EXILE）　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3人の子供を持つ美容師。底抜けに明るい性格だが、夫と"&amp;"の関係には亀裂が…。初恋の相手、健太との再会に心が揺れる[松岡昌宏]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zone）原作：柴門ふみ「同窓生～人は、三度、恋をする～」（小学館ビッグコ"&amp;"ミックス 刊）  脚本：田渕久美子  監督：吉田健（TBSテレビ）  プロデューサー：矢口久雄（テレパック）　貴島誠一郎（TBSテレビ）◇番組HP　http://www.tbs.co.jp/dousousei2014/  ◇公式Facebook　https://www.facebook.com/dousousei.tbs  ◇公式Twitter  @dousousei_tbs  https://twitter.com/dousousei_tbs  全ての始まりは同窓会だった…ダイジェスト&amp;次回予告  ht"&amp;"tp://youtu.be/PRYXesL0XzM  NG＆未公開映像！  http://youtu.be/2-vAolsbMGg  番組の内容と放送時間は変更になる場合があります。")</f>
        <v>健太（井浦新）は、あけひ（稲森いずみ）の過去を知り、かつての自分を責める。今の自分にいったい何ができるのか。あけひと向き合うため美容院を訪れるが…　一方、遼介（松岡昌宏）は、薫子（板谷由夏）へ猛アタックを開始！？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　稲森いずみ　板谷由夏　市川実和子　三浦理恵子　高知東生　丸山敦史　清水由紀柄本明（特別出演）　鶴田忍　高林由紀子　岡本麗　市毛良枝　松本利夫（EXILE）　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@dousousei_tbs  https://twitter.com/dousousei_tbs  全ての始まりは同窓会だった…ダイジェスト&amp;次回予告  http://youtu.be/PRYXesL0XzM  NG＆未公開映像！  http://youtu.be/2-vAolsbMGg  番組の内容と放送時間は変更になる場合があります。</v>
      </c>
      <c r="N5307" s="2"/>
      <c r="O5307" s="2"/>
      <c r="P5307" s="1"/>
      <c r="Q5307" s="1"/>
      <c r="R5307" s="1"/>
      <c r="S5307" s="1"/>
      <c r="T5307" s="1"/>
      <c r="U5307" s="1"/>
      <c r="V5307" s="1"/>
      <c r="W5307" s="1"/>
      <c r="X5307" s="1"/>
      <c r="Y5307" s="1"/>
      <c r="Z5307" s="1"/>
      <c r="AA5307" s="1"/>
      <c r="AB5307" s="1"/>
      <c r="AC5307" s="1"/>
      <c r="AD5307" s="1"/>
      <c r="AE5307" s="1"/>
      <c r="AF5307" s="1"/>
      <c r="AG5307" s="1"/>
      <c r="AH5307" s="1"/>
      <c r="AI5307" s="1"/>
      <c r="AJ5307" s="1"/>
      <c r="AK5307" s="1"/>
      <c r="AL5307" s="1"/>
      <c r="AM5307" s="1"/>
      <c r="AN5307" s="1"/>
      <c r="AO5307" s="1"/>
      <c r="AP5307" s="1"/>
      <c r="AQ5307" s="1"/>
      <c r="AR5307" s="1"/>
      <c r="AS5307" s="1"/>
      <c r="AT5307" s="1"/>
      <c r="AU5307" s="1"/>
      <c r="AV5307" s="1"/>
      <c r="AW5307" s="1"/>
      <c r="AX5307" s="1"/>
      <c r="AY5307" s="1"/>
      <c r="AZ5307" s="1"/>
      <c r="BA5307" s="1"/>
      <c r="BB5307" s="1"/>
    </row>
    <row r="5308" ht="204.75" customHeight="1">
      <c r="A5308" s="1">
        <v>2633.0</v>
      </c>
      <c r="B5308" s="2" t="s">
        <v>14716</v>
      </c>
      <c r="C5308" s="2">
        <f>IFERROR(__xludf.DUMMYFUNCTION("split(B5308,""_"")"),1407.0)</f>
        <v>1407</v>
      </c>
      <c r="D5308" s="2" t="str">
        <f>IFERROR(__xludf.DUMMYFUNCTION("""COMPUTED_VALUE"""),"TBS")</f>
        <v>TBS</v>
      </c>
      <c r="E5308" s="2" t="str">
        <f>IFERROR(__xludf.DUMMYFUNCTION("""COMPUTED_VALUE"""),"木21")</f>
        <v>木21</v>
      </c>
      <c r="F5308" s="2" t="s">
        <v>14717</v>
      </c>
      <c r="G5308" s="2" t="s">
        <v>14722</v>
      </c>
      <c r="H5308" s="1">
        <v>3.0</v>
      </c>
      <c r="J5308" s="1" t="s">
        <v>11</v>
      </c>
      <c r="K5308" s="2" t="s">
        <v>14723</v>
      </c>
      <c r="L5308" s="2"/>
      <c r="M5308" s="2" t="str">
        <f>IFERROR(__xludf.DUMMYFUNCTION("split(split(K5308,""【"",false),""公式LINE"",false)"),"あけひの夫と初対面した健太は、一気に現実に引き戻される。そして、あけひとの気まずい雰囲気を残したまま、4人で行ったカラオケで、元妻の冴子と偶然再会！冴子との過去を思い返し、改めて不倫はダメだと心に誓うのだが、あけひの涙に心が揺れる。一方、遼介はあることをきっかけに薫子への想いを募らせ、「薫子と人生をリセットしたい」と告げるのだが…、遼介を悲劇が襲う…。このドラマに登場する男女は自分の生き方に自信を持てない人たち。「本当の自分自身と出会う」ことからしか、幸せも満ち足りた人生も始まらない。その出会いをはばむも"&amp;"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田渕久美子井浦新、稲森いずみ、板谷由夏、市川実和子、三浦理恵子、高知東生、丸山敦史、清水由紀　柄本明（特別出演）、戸次重幸、清水紘治、岡本麗、松本利夫（EXILE）、松岡昌宏[井浦新]  長年勤めた大手化学メーカーを辞め、妻子と離婚。現在、実家のクリーニング屋を継いでいる。純粋"&amp;"で不器用。あけひに心惹かれるも、不倫はダメだときっぱり言い切る。[稲森いずみ]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（キューンミュージッ"&amp;"ク）  挿入歌：「本当の恋」　May J.　（rhythm zone）原作：柴門ふみ「同窓生～人は、三度、恋をする～」（小学館ビッグコミックス 刊）  脚本：田渕久美子  監督：吉田健（TBSテレビ）  プロデューサー：矢口久雄（テレパック）貴島誠一郎（TBSテレビ）◇番組HP http://www.tbs.co.jp/dousousei2014/  ◇公式Facebook https://www.facebook.com/dousousei.tbs  ◇公式Twitter  https://twitte"&amp;"r.com/dousousei_tbs  @dousousei_tbs  ◇『同窓生』第2話ダイジェスト&amp;次回 予告  http://youtu.be/aJelIMuGJTU  ◇名場面の「NGシーン」  http://youtu.be/wernrPQMJdQ  あけひの美容院を訪れた健太。あけひの 好きな女のイニシャルはA？ の質問に、ふいに イエス と答えた健太。そんな二人を睨む人影…それは、あけひの旦那・太郎だった。")</f>
        <v>あけひの夫と初対面した健太は、一気に現実に引き戻される。そして、あけひとの気まずい雰囲気を残したまま、4人で行ったカラオケで、元妻の冴子と偶然再会！冴子との過去を思い返し、改めて不倫はダメだと心に誓うのだが、あけひの涙に心が揺れる。一方、遼介はあることをきっかけに薫子への想いを募らせ、「薫子と人生をリセットしたい」と告げるのだが…、遼介を悲劇が襲う…。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田渕久美子井浦新、稲森いずみ、板谷由夏、市川実和子、三浦理恵子、高知東生、丸山敦史、清水由紀　柄本明（特別出演）、戸次重幸、清水紘治、岡本麗、松本利夫（EXILE）、松岡昌宏[井浦新]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プロデューサー：矢口久雄（テレパック）貴島誠一郎（TBSテレビ）◇番組HP http://www.tbs.co.jp/dousousei2014/  ◇公式Facebook https://www.facebook.com/dousousei.tbs  ◇公式Twitter  https://twitter.com/dousousei_tbs  @dousousei_tbs  ◇『同窓生』第2話ダイジェスト&amp;次回 予告  http://youtu.be/aJelIMuGJTU  ◇名場面の「NGシーン」  http://youtu.be/wernrPQMJdQ  あけひの美容院を訪れた健太。あけひの 好きな女のイニシャルはA？ の質問に、ふいに イエス と答えた健太。そんな二人を睨む人影…それは、あけひの旦那・太郎だった。</v>
      </c>
      <c r="N5308" s="2"/>
      <c r="O5308" s="2"/>
      <c r="P5308" s="1"/>
      <c r="Q5308" s="1"/>
      <c r="R5308" s="1"/>
      <c r="S5308" s="1"/>
      <c r="T5308" s="1"/>
      <c r="U5308" s="1"/>
      <c r="V5308" s="1"/>
      <c r="W5308" s="1"/>
      <c r="X5308" s="1"/>
      <c r="Y5308" s="1"/>
      <c r="Z5308" s="1"/>
      <c r="AA5308" s="1"/>
      <c r="AB5308" s="1"/>
      <c r="AC5308" s="1"/>
      <c r="AD5308" s="1"/>
      <c r="AE5308" s="1"/>
      <c r="AF5308" s="1"/>
      <c r="AG5308" s="1"/>
      <c r="AH5308" s="1"/>
      <c r="AI5308" s="1"/>
      <c r="AJ5308" s="1"/>
      <c r="AK5308" s="1"/>
      <c r="AL5308" s="1"/>
      <c r="AM5308" s="1"/>
      <c r="AN5308" s="1"/>
      <c r="AO5308" s="1"/>
      <c r="AP5308" s="1"/>
      <c r="AQ5308" s="1"/>
      <c r="AR5308" s="1"/>
      <c r="AS5308" s="1"/>
      <c r="AT5308" s="1"/>
      <c r="AU5308" s="1"/>
      <c r="AV5308" s="1"/>
      <c r="AW5308" s="1"/>
      <c r="AX5308" s="1"/>
      <c r="AY5308" s="1"/>
      <c r="AZ5308" s="1"/>
      <c r="BA5308" s="1"/>
      <c r="BB5308" s="1"/>
    </row>
    <row r="5309" ht="204.75" customHeight="1">
      <c r="A5309" s="1">
        <v>2634.0</v>
      </c>
      <c r="B5309" s="2" t="s">
        <v>14716</v>
      </c>
      <c r="C5309" s="2">
        <f>IFERROR(__xludf.DUMMYFUNCTION("split(B5309,""_"")"),1407.0)</f>
        <v>1407</v>
      </c>
      <c r="D5309" s="2" t="str">
        <f>IFERROR(__xludf.DUMMYFUNCTION("""COMPUTED_VALUE"""),"TBS")</f>
        <v>TBS</v>
      </c>
      <c r="E5309" s="2" t="str">
        <f>IFERROR(__xludf.DUMMYFUNCTION("""COMPUTED_VALUE"""),"木21")</f>
        <v>木21</v>
      </c>
      <c r="F5309" s="2" t="s">
        <v>14717</v>
      </c>
      <c r="G5309" s="2" t="s">
        <v>14724</v>
      </c>
      <c r="H5309" s="1">
        <v>4.0</v>
      </c>
      <c r="J5309" s="1" t="s">
        <v>11</v>
      </c>
      <c r="K5309" s="2" t="s">
        <v>14725</v>
      </c>
      <c r="L5309" s="2"/>
      <c r="M5309" s="2" t="str">
        <f>IFERROR(__xludf.DUMMYFUNCTION("split(split(K5309,""【"",false),""公式LINE"",false)"),"あけひの夫・太郎の暴力がエスカレート。あけひの苦しみに気づいた健太は、何とか救い出そうとするが…一方、遼介を突き飛ばし、怪我をさせてしまったことに引け目を感じる薫子。何度かお見舞いに行くうちに遼介に心を許しかける。が、そこへ薫子の元彼が出現。薫子は、一途な遼介と元彼に揺れる！？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amp;"自分への甘さも厳しさも含めた「愛」を持つこと。それは他者を愛することにもつながります。この作品に込めたいと考えている、私のメッセージのひとつです。　脚本家　田渕久美子井浦新　稲森いずみ　板谷由夏　市川実和子　三浦理恵子　高知東生　丸山敦史　清水由紀　戸次重幸　岡本麗　松本利夫（EXILE）　松岡昌宏[井浦新]  長年勤めた大手化学メーカーを辞め、妻子と離婚。現在、実家のクリーニング屋を継いでいる。純粋で不器用。あけひに心惹かれるも、不倫はダメだときっぱり言い切る。[稲森いずみ]  3人の子供を持つ美容師。"&amp;"底抜けに明るい性格だが、夫との関係には亀裂が…。初恋の相手、健太との再会に心が揺れる[松岡昌宏]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zone）原作：柴門ふみ「同窓生～人は、三度、"&amp;"恋をする～」（小学館ビッグコミックス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あけひの夫と初対面した健太。そ"&amp;"れに追い打ちをかけるように元妻にも再会。現実に引き戻され、あけひへの想い封印しようと心に決めるのだが、心は走り出していて…。◇ダイジェスト＆次回予告  http://youtu.be/gPMkNoeJG24  ◇板谷、爆笑カラオケ！井浦も・・・！名場面の「NGシーン」  http://youtu.be/HYVSrhzA8xk  番組の内容と放送時間は変更になる場合があります。")</f>
        <v>あけひの夫・太郎の暴力がエスカレート。あけひの苦しみに気づいた健太は、何とか救い出そうとするが…一方、遼介を突き飛ばし、怪我をさせてしまったことに引け目を感じる薫子。何度かお見舞いに行くうちに遼介に心を許しかける。が、そこへ薫子の元彼が出現。薫子は、一途な遼介と元彼に揺れる！？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　稲森いずみ　板谷由夏　市川実和子　三浦理恵子　高知東生　丸山敦史　清水由紀　戸次重幸　岡本麗　松本利夫（EXILE）　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あけひの夫と初対面した健太。それに追い打ちをかけるように元妻にも再会。現実に引き戻され、あけひへの想い封印しようと心に決めるのだが、心は走り出していて…。◇ダイジェスト＆次回予告  http://youtu.be/gPMkNoeJG24  ◇板谷、爆笑カラオケ！井浦も・・・！名場面の「NGシーン」  http://youtu.be/HYVSrhzA8xk  番組の内容と放送時間は変更になる場合があります。</v>
      </c>
      <c r="N5309" s="2"/>
      <c r="O5309" s="2"/>
      <c r="P5309" s="1"/>
      <c r="Q5309" s="1"/>
      <c r="R5309" s="1"/>
      <c r="S5309" s="1"/>
      <c r="T5309" s="1"/>
      <c r="U5309" s="1"/>
      <c r="V5309" s="1"/>
      <c r="W5309" s="1"/>
      <c r="X5309" s="1"/>
      <c r="Y5309" s="1"/>
      <c r="Z5309" s="1"/>
      <c r="AA5309" s="1"/>
      <c r="AB5309" s="1"/>
      <c r="AC5309" s="1"/>
      <c r="AD5309" s="1"/>
      <c r="AE5309" s="1"/>
      <c r="AF5309" s="1"/>
      <c r="AG5309" s="1"/>
      <c r="AH5309" s="1"/>
      <c r="AI5309" s="1"/>
      <c r="AJ5309" s="1"/>
      <c r="AK5309" s="1"/>
      <c r="AL5309" s="1"/>
      <c r="AM5309" s="1"/>
      <c r="AN5309" s="1"/>
      <c r="AO5309" s="1"/>
      <c r="AP5309" s="1"/>
      <c r="AQ5309" s="1"/>
      <c r="AR5309" s="1"/>
      <c r="AS5309" s="1"/>
      <c r="AT5309" s="1"/>
      <c r="AU5309" s="1"/>
      <c r="AV5309" s="1"/>
      <c r="AW5309" s="1"/>
      <c r="AX5309" s="1"/>
      <c r="AY5309" s="1"/>
      <c r="AZ5309" s="1"/>
      <c r="BA5309" s="1"/>
      <c r="BB5309" s="1"/>
    </row>
    <row r="5310" ht="204.75" customHeight="1">
      <c r="A5310" s="1">
        <v>2635.0</v>
      </c>
      <c r="B5310" s="2" t="s">
        <v>14716</v>
      </c>
      <c r="C5310" s="2">
        <f>IFERROR(__xludf.DUMMYFUNCTION("split(B5310,""_"")"),1407.0)</f>
        <v>1407</v>
      </c>
      <c r="D5310" s="2" t="str">
        <f>IFERROR(__xludf.DUMMYFUNCTION("""COMPUTED_VALUE"""),"TBS")</f>
        <v>TBS</v>
      </c>
      <c r="E5310" s="2" t="str">
        <f>IFERROR(__xludf.DUMMYFUNCTION("""COMPUTED_VALUE"""),"木21")</f>
        <v>木21</v>
      </c>
      <c r="F5310" s="2" t="s">
        <v>14717</v>
      </c>
      <c r="G5310" s="2" t="s">
        <v>14726</v>
      </c>
      <c r="H5310" s="1">
        <v>5.0</v>
      </c>
      <c r="J5310" s="1" t="s">
        <v>11</v>
      </c>
      <c r="K5310" s="2" t="s">
        <v>14727</v>
      </c>
      <c r="L5310" s="2"/>
      <c r="M5310" s="2" t="str">
        <f>IFERROR(__xludf.DUMMYFUNCTION("split(split(K5310,""【"",false),""公式LINE"",false)"),"元妻冴子が突然、健太の元を訪れる。4年ぶりの息子との再会に戸惑う健太。何とか打ち解けようとするが…そんな中、健太は高熱を出し倒れてしまう。心配でいてもたっても居られなくなったあけひは店を飛び出し走り出すー　一方薫子は元彼・青木と遼介の間で揺れていた。ストレートに好きだ！と想いを告げる遼介。薫子が出した答えは！？このドラマに登場する男女は自分の生き方に自信を持てない人たち。「本当の自分自身と出会う」ことからしか、幸せも満ち足りた人生も始まらない。その出会いをはばむものこそ、自己否定なのではないか。私はそう考"&amp;"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田渕久美子井浦新、稲森いずみ、板谷由夏、市川実和子、三浦理恵子、高知東生、丸山敦史、清水由紀　岡本麗、松本利夫（EXILE）、松岡昌宏[井浦新]  長年勤めた大手化学メーカーを辞め、妻子と離婚。現在、実家のクリーニング屋を継いでいる。純粋で不器用。あけひに心惹かれるも、不倫はダメだときっぱり言い切る。[稲森いずみ]  "&amp;"3人の子供を持つ美容師。底抜けに明るい性格だが、夫との関係には亀裂が…。初恋の相手、健太との再会に心が揺れる[松岡昌宏]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zone）原作：柴門ふ"&amp;"み「同窓生～人は、三度、恋をする～」（小学館ビッグコミックス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あけひ"&amp;"の夫・太郎の暴力はエスカレート。あけひの苦しみに気づいた健太は、何かと救い出そうとする。しかし、あけひは今幸せだと健太を見放す。一方、薫子は元彼と再会。遼介のライバル出現。◇ダイジェスト&amp;次回予告  http://youtu.be/V36iWaEAbsw  ◇セリフ飛ばしちゃった…名場面の「NGシーン」  http://youtu.be/THKdIH2f7mA")</f>
        <v>元妻冴子が突然、健太の元を訪れる。4年ぶりの息子との再会に戸惑う健太。何とか打ち解けようとするが…そんな中、健太は高熱を出し倒れてしまう。心配でいてもたっても居られなくなったあけひは店を飛び出し走り出すー　一方薫子は元彼・青木と遼介の間で揺れていた。ストレートに好きだ！と想いを告げる遼介。薫子が出した答えは！？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田渕久美子井浦新、稲森いずみ、板谷由夏、市川実和子、三浦理恵子、高知東生、丸山敦史、清水由紀　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あけひの夫・太郎の暴力はエスカレート。あけひの苦しみに気づいた健太は、何かと救い出そうとする。しかし、あけひは今幸せだと健太を見放す。一方、薫子は元彼と再会。遼介のライバル出現。◇ダイジェスト&amp;次回予告  http://youtu.be/V36iWaEAbsw  ◇セリフ飛ばしちゃった…名場面の「NGシーン」  http://youtu.be/THKdIH2f7mA</v>
      </c>
      <c r="N5310" s="2"/>
      <c r="O5310" s="2"/>
      <c r="P5310" s="1"/>
      <c r="Q5310" s="1"/>
      <c r="R5310" s="1"/>
      <c r="S5310" s="1"/>
      <c r="T5310" s="1"/>
      <c r="U5310" s="1"/>
      <c r="V5310" s="1"/>
      <c r="W5310" s="1"/>
      <c r="X5310" s="1"/>
      <c r="Y5310" s="1"/>
      <c r="Z5310" s="1"/>
      <c r="AA5310" s="1"/>
      <c r="AB5310" s="1"/>
      <c r="AC5310" s="1"/>
      <c r="AD5310" s="1"/>
      <c r="AE5310" s="1"/>
      <c r="AF5310" s="1"/>
      <c r="AG5310" s="1"/>
      <c r="AH5310" s="1"/>
      <c r="AI5310" s="1"/>
      <c r="AJ5310" s="1"/>
      <c r="AK5310" s="1"/>
      <c r="AL5310" s="1"/>
      <c r="AM5310" s="1"/>
      <c r="AN5310" s="1"/>
      <c r="AO5310" s="1"/>
      <c r="AP5310" s="1"/>
      <c r="AQ5310" s="1"/>
      <c r="AR5310" s="1"/>
      <c r="AS5310" s="1"/>
      <c r="AT5310" s="1"/>
      <c r="AU5310" s="1"/>
      <c r="AV5310" s="1"/>
      <c r="AW5310" s="1"/>
      <c r="AX5310" s="1"/>
      <c r="AY5310" s="1"/>
      <c r="AZ5310" s="1"/>
      <c r="BA5310" s="1"/>
      <c r="BB5310" s="1"/>
    </row>
    <row r="5311" ht="204.75" customHeight="1">
      <c r="A5311" s="1">
        <v>2636.0</v>
      </c>
      <c r="B5311" s="2" t="s">
        <v>14716</v>
      </c>
      <c r="C5311" s="2">
        <f>IFERROR(__xludf.DUMMYFUNCTION("split(B5311,""_"")"),1407.0)</f>
        <v>1407</v>
      </c>
      <c r="D5311" s="2" t="str">
        <f>IFERROR(__xludf.DUMMYFUNCTION("""COMPUTED_VALUE"""),"TBS")</f>
        <v>TBS</v>
      </c>
      <c r="E5311" s="2" t="str">
        <f>IFERROR(__xludf.DUMMYFUNCTION("""COMPUTED_VALUE"""),"木21")</f>
        <v>木21</v>
      </c>
      <c r="F5311" s="2" t="s">
        <v>14717</v>
      </c>
      <c r="G5311" s="2" t="s">
        <v>14728</v>
      </c>
      <c r="H5311" s="1">
        <v>6.0</v>
      </c>
      <c r="J5311" s="1" t="s">
        <v>11</v>
      </c>
      <c r="K5311" s="2" t="s">
        <v>14729</v>
      </c>
      <c r="L5311" s="2"/>
      <c r="M5311" s="2" t="str">
        <f>IFERROR(__xludf.DUMMYFUNCTION("split(split(K5311,""【"",false),""公式LINE"",false)"),"健太の看病のため、朝帰りしたあけひ。待っていたのは、鬼のような顔をした太郎だったー　そんな中、遼介はみんなでペンションに行こうと提案する。しかし、子供たちのため、健太への気持ちを押し殺し、会わないことを決意したあけひだったが…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amp;"他者を愛することにもつながります。この作品に込めたいと考えている、私のメッセージのひとつです。　脚本家　田渕久美子井浦新、稲森いずみ、板谷由夏、市川実和子、三浦理恵子、高知東生、眞島秀和、丸山敦史、清水由紀  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3人の子供を持つ美容師。底抜けに明るい性格だが、夫との関係には亀裂が…。初"&amp;"恋の相手、健太との再会に心が揺れる[松岡昌宏]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脚本"&amp;"：田渕久美子  監督：吉田健（TBSテレビ）  プロデューサー：矢口久雄（テレパック）　貴島誠一郎（TBSテレビ）◇番組HP http://www.tbs.co.jp/dousousei2014/  ◇公式Facebook https://www.facebook.com/dousousei.tbs  ◇公式Twitter  https://twitter.com/dousousei_tbs  @dousousei_tbs  ◇第5話（8/7）ダイジェスト&amp;次回予告  http://youtu.be/xG"&amp;"O_ZcG_aDA  ◇「NGシーン」  http://youtu.be/aiMb5wVQF8Y  4年ぶりに息子と再会した健太は、高熱を出し倒れてしまう。心配でいてもたって居られなくなったあけひは家を飛び出し走り出すーそこで、あけひは健太の元妻と鉢合わせ・・・番組の内容と放送時間は変更になる場合があります。")</f>
        <v>健太の看病のため、朝帰りしたあけひ。待っていたのは、鬼のような顔をした太郎だったー　そんな中、遼介はみんなでペンションに行こうと提案する。しかし、子供たちのため、健太への気持ちを押し殺し、会わないことを決意したあけひだったが…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田渕久美子井浦新、稲森いずみ、板谷由夏、市川実和子、三浦理恵子、高知東生、眞島秀和、丸山敦史、清水由紀  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◇第5話（8/7）ダイジェスト&amp;次回予告  http://youtu.be/xGO_ZcG_aDA  ◇「NGシーン」  http://youtu.be/aiMb5wVQF8Y  4年ぶりに息子と再会した健太は、高熱を出し倒れてしまう。心配でいてもたって居られなくなったあけひは家を飛び出し走り出すーそこで、あけひは健太の元妻と鉢合わせ・・・番組の内容と放送時間は変更になる場合があります。</v>
      </c>
      <c r="N5311" s="2"/>
      <c r="O5311" s="2"/>
      <c r="P5311" s="1"/>
      <c r="Q5311" s="1"/>
      <c r="R5311" s="1"/>
      <c r="S5311" s="1"/>
      <c r="T5311" s="1"/>
      <c r="U5311" s="1"/>
      <c r="V5311" s="1"/>
      <c r="W5311" s="1"/>
      <c r="X5311" s="1"/>
      <c r="Y5311" s="1"/>
      <c r="Z5311" s="1"/>
      <c r="AA5311" s="1"/>
      <c r="AB5311" s="1"/>
      <c r="AC5311" s="1"/>
      <c r="AD5311" s="1"/>
      <c r="AE5311" s="1"/>
      <c r="AF5311" s="1"/>
      <c r="AG5311" s="1"/>
      <c r="AH5311" s="1"/>
      <c r="AI5311" s="1"/>
      <c r="AJ5311" s="1"/>
      <c r="AK5311" s="1"/>
      <c r="AL5311" s="1"/>
      <c r="AM5311" s="1"/>
      <c r="AN5311" s="1"/>
      <c r="AO5311" s="1"/>
      <c r="AP5311" s="1"/>
      <c r="AQ5311" s="1"/>
      <c r="AR5311" s="1"/>
      <c r="AS5311" s="1"/>
      <c r="AT5311" s="1"/>
      <c r="AU5311" s="1"/>
      <c r="AV5311" s="1"/>
      <c r="AW5311" s="1"/>
      <c r="AX5311" s="1"/>
      <c r="AY5311" s="1"/>
      <c r="AZ5311" s="1"/>
      <c r="BA5311" s="1"/>
      <c r="BB5311" s="1"/>
    </row>
    <row r="5312" ht="204.75" customHeight="1">
      <c r="A5312" s="1">
        <v>2637.0</v>
      </c>
      <c r="B5312" s="2" t="s">
        <v>14716</v>
      </c>
      <c r="C5312" s="2">
        <f>IFERROR(__xludf.DUMMYFUNCTION("split(B5312,""_"")"),1407.0)</f>
        <v>1407</v>
      </c>
      <c r="D5312" s="2" t="str">
        <f>IFERROR(__xludf.DUMMYFUNCTION("""COMPUTED_VALUE"""),"TBS")</f>
        <v>TBS</v>
      </c>
      <c r="E5312" s="2" t="str">
        <f>IFERROR(__xludf.DUMMYFUNCTION("""COMPUTED_VALUE"""),"木21")</f>
        <v>木21</v>
      </c>
      <c r="F5312" s="2" t="s">
        <v>14717</v>
      </c>
      <c r="G5312" s="2" t="s">
        <v>14730</v>
      </c>
      <c r="H5312" s="1">
        <v>7.0</v>
      </c>
      <c r="J5312" s="1" t="s">
        <v>11</v>
      </c>
      <c r="K5312" s="2" t="s">
        <v>14731</v>
      </c>
      <c r="L5312" s="2"/>
      <c r="M5312" s="2" t="str">
        <f>IFERROR(__xludf.DUMMYFUNCTION("split(split(K5312,""【"",false),""公式LINE"",false)"),"とうとうお互いの気持ちを確かめ合った健太とあけひ。そして、健太はあけひを迎えにいくと約束する。一方遼介と薫子もどんどん深みにはまっていく。そして、そんな遼介に仕事上のトラブルが・・・。そんな中、太郎の決定的な浮気の証拠を見つけたあけひは、太郎を問い詰める。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amp;"含めた「愛」を持つこと。それは他者を愛することにもつながります。この作品に込めたいと考えている、私のメッセージのひとつです。　脚本家　田渕久美子井浦新、稲森いずみ、板谷由夏、市川実和子、三浦理恵子、眞島秀和、堀内正美、丸山敦史、清水由紀  戸次重幸、岡本麗、松本利夫（EXILE）、松岡昌宏[井浦新]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3人の子供を持つ美容師。底抜けに明"&amp;"るい性格だが、夫との関係には亀裂が…。初恋の相手、健太との再会に心が揺れる[松岡昌宏]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主題歌：「楽園」メレンゲ（キューンミュージック）  挿入歌：「本当の恋」　May J.　（rhythm zone）原作：柴門ふみ「同窓生～人は、三度、恋をする～」（"&amp;"小学館ビッグコミックス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子供たちのため健太への気持ちを押し殺し、会わ"&amp;"ないことを決意したあけひ。一方、健太は自分の本当の気持ちに気付き、あけひの元へと走る。お互いの気持ちを確かめ合う2人。◇ダイジェスト&amp;次回予告  http://youtu.be/Sm2RmM2IY4o    ◇「NGシーン」  http://youtu.be/8blfiIzbF_w  番組の内容と放送時間は変更になる場合があります。")</f>
        <v>とうとうお互いの気持ちを確かめ合った健太とあけひ。そして、健太はあけひを迎えにいくと約束する。一方遼介と薫子もどんどん深みにはまっていく。そして、そんな遼介に仕事上のトラブルが・・・。そんな中、太郎の決定的な浮気の証拠を見つけたあけひは、太郎を問い詰める。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田渕久美子井浦新、稲森いずみ、板谷由夏、市川実和子、三浦理恵子、眞島秀和、堀内正美、丸山敦史、清水由紀  戸次重幸、岡本麗、松本利夫（EXILE）、松岡昌宏[井浦新]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主題歌：「楽園」メレンゲ（キューンミュージック）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子供たちのため健太への気持ちを押し殺し、会わないことを決意したあけひ。一方、健太は自分の本当の気持ちに気付き、あけひの元へと走る。お互いの気持ちを確かめ合う2人。◇ダイジェスト&amp;次回予告  http://youtu.be/Sm2RmM2IY4o    ◇「NGシーン」  http://youtu.be/8blfiIzbF_w  番組の内容と放送時間は変更になる場合があります。</v>
      </c>
      <c r="N5312" s="2"/>
      <c r="O5312" s="2"/>
      <c r="P5312" s="1"/>
      <c r="Q5312" s="1"/>
      <c r="R5312" s="1"/>
      <c r="S5312" s="1"/>
      <c r="T5312" s="1"/>
      <c r="U5312" s="1"/>
      <c r="V5312" s="1"/>
      <c r="W5312" s="1"/>
      <c r="X5312" s="1"/>
      <c r="Y5312" s="1"/>
      <c r="Z5312" s="1"/>
      <c r="AA5312" s="1"/>
      <c r="AB5312" s="1"/>
      <c r="AC5312" s="1"/>
      <c r="AD5312" s="1"/>
      <c r="AE5312" s="1"/>
      <c r="AF5312" s="1"/>
      <c r="AG5312" s="1"/>
      <c r="AH5312" s="1"/>
      <c r="AI5312" s="1"/>
      <c r="AJ5312" s="1"/>
      <c r="AK5312" s="1"/>
      <c r="AL5312" s="1"/>
      <c r="AM5312" s="1"/>
      <c r="AN5312" s="1"/>
      <c r="AO5312" s="1"/>
      <c r="AP5312" s="1"/>
      <c r="AQ5312" s="1"/>
      <c r="AR5312" s="1"/>
      <c r="AS5312" s="1"/>
      <c r="AT5312" s="1"/>
      <c r="AU5312" s="1"/>
      <c r="AV5312" s="1"/>
      <c r="AW5312" s="1"/>
      <c r="AX5312" s="1"/>
      <c r="AY5312" s="1"/>
      <c r="AZ5312" s="1"/>
      <c r="BA5312" s="1"/>
      <c r="BB5312" s="1"/>
    </row>
    <row r="5313" ht="204.75" customHeight="1">
      <c r="A5313" s="1">
        <v>2638.0</v>
      </c>
      <c r="B5313" s="2" t="s">
        <v>14716</v>
      </c>
      <c r="C5313" s="2">
        <f>IFERROR(__xludf.DUMMYFUNCTION("split(B5313,""_"")"),1407.0)</f>
        <v>1407</v>
      </c>
      <c r="D5313" s="2" t="str">
        <f>IFERROR(__xludf.DUMMYFUNCTION("""COMPUTED_VALUE"""),"TBS")</f>
        <v>TBS</v>
      </c>
      <c r="E5313" s="2" t="str">
        <f>IFERROR(__xludf.DUMMYFUNCTION("""COMPUTED_VALUE"""),"木21")</f>
        <v>木21</v>
      </c>
      <c r="F5313" s="2" t="s">
        <v>14717</v>
      </c>
      <c r="G5313" s="2" t="s">
        <v>14732</v>
      </c>
      <c r="H5313" s="1">
        <v>8.0</v>
      </c>
      <c r="J5313" s="1" t="s">
        <v>11</v>
      </c>
      <c r="K5313" s="2" t="s">
        <v>14733</v>
      </c>
      <c r="L5313" s="2"/>
      <c r="M5313" s="2" t="str">
        <f>IFERROR(__xludf.DUMMYFUNCTION("split(split(K5313,""【"",false),""公式LINE"",false)"),"あけひは、健太と気持ちを確かめ合い、とうとう離婚届を手にする。　一方、遼介と薫子は二人で住める部屋を探し始めるが…　  そんな中、隠し持っていた離婚届を発見されてしまい、太郎の怒りは頂点に！？あけひのピンチに走り出す健太。ついに太郎との直接対決が！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amp;"愛」を持つこと。それは他者を愛することにもつながります。この作品に込めたいと考えている、私のメッセージのひとつです。　脚本家　田渕久美子井浦新、稲森いずみ、板谷由夏、市川実和子、三浦理恵子、高知東生、丸山敦史、清水由紀  市毛良枝、岡本麗、松本利夫（EXILE）、松岡昌宏[井浦新]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3人の子供を持つ美容師。底抜けに明るい性格だが、夫と"&amp;"の関係には亀裂が…。初恋の相手、健太との再会に心が揺れる[松岡昌宏]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zone）原作：柴門ふみ「同窓生～人は、三度、恋をする～」（小学館ビッグコ"&amp;"ミックス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◇ダイジェスト&amp;次回予告動画  http://youtu."&amp;"be/NJV2dbnGQ4E  ◇「みそきん」の説明は難しい！？名場面の「NGシーン」  http://youtu.be/pQDCH7RdK7s  とうとうお互いの気持ちを確かめ合った健太とあけひ。一方遼介と薫子もどんどん深みにはまっていく。そんな中、太郎の決定的な浮気の証拠を見つけたあけひは、太郎と距離を置くことに。番組の内容と放送時間は変更になる場合があります。")</f>
        <v>あけひは、健太と気持ちを確かめ合い、とうとう離婚届を手にする。　一方、遼介と薫子は二人で住める部屋を探し始めるが…　  そんな中、隠し持っていた離婚届を発見されてしまい、太郎の怒りは頂点に！？あけひのピンチに走り出す健太。ついに太郎との直接対決が！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田渕久美子井浦新、稲森いずみ、板谷由夏、市川実和子、三浦理恵子、高知東生、丸山敦史、清水由紀  市毛良枝、岡本麗、松本利夫（EXILE）、松岡昌宏[井浦新]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◇ダイジェスト&amp;次回予告動画  http://youtu.be/NJV2dbnGQ4E  ◇「みそきん」の説明は難しい！？名場面の「NGシーン」  http://youtu.be/pQDCH7RdK7s  とうとうお互いの気持ちを確かめ合った健太とあけひ。一方遼介と薫子もどんどん深みにはまっていく。そんな中、太郎の決定的な浮気の証拠を見つけたあけひは、太郎と距離を置くことに。番組の内容と放送時間は変更になる場合があります。</v>
      </c>
      <c r="N5313" s="2"/>
      <c r="O5313" s="2"/>
      <c r="P5313" s="1"/>
      <c r="Q5313" s="1"/>
      <c r="R5313" s="1"/>
      <c r="S5313" s="1"/>
      <c r="T5313" s="1"/>
      <c r="U5313" s="1"/>
      <c r="V5313" s="1"/>
      <c r="W5313" s="1"/>
      <c r="X5313" s="1"/>
      <c r="Y5313" s="1"/>
      <c r="Z5313" s="1"/>
      <c r="AA5313" s="1"/>
      <c r="AB5313" s="1"/>
      <c r="AC5313" s="1"/>
      <c r="AD5313" s="1"/>
      <c r="AE5313" s="1"/>
      <c r="AF5313" s="1"/>
      <c r="AG5313" s="1"/>
      <c r="AH5313" s="1"/>
      <c r="AI5313" s="1"/>
      <c r="AJ5313" s="1"/>
      <c r="AK5313" s="1"/>
      <c r="AL5313" s="1"/>
      <c r="AM5313" s="1"/>
      <c r="AN5313" s="1"/>
      <c r="AO5313" s="1"/>
      <c r="AP5313" s="1"/>
      <c r="AQ5313" s="1"/>
      <c r="AR5313" s="1"/>
      <c r="AS5313" s="1"/>
      <c r="AT5313" s="1"/>
      <c r="AU5313" s="1"/>
      <c r="AV5313" s="1"/>
      <c r="AW5313" s="1"/>
      <c r="AX5313" s="1"/>
      <c r="AY5313" s="1"/>
      <c r="AZ5313" s="1"/>
      <c r="BA5313" s="1"/>
      <c r="BB5313" s="1"/>
    </row>
    <row r="5314" ht="204.75" customHeight="1">
      <c r="A5314" s="1">
        <v>2639.0</v>
      </c>
      <c r="B5314" s="2" t="s">
        <v>14716</v>
      </c>
      <c r="C5314" s="2">
        <f>IFERROR(__xludf.DUMMYFUNCTION("split(B5314,""_"")"),1407.0)</f>
        <v>1407</v>
      </c>
      <c r="D5314" s="2" t="str">
        <f>IFERROR(__xludf.DUMMYFUNCTION("""COMPUTED_VALUE"""),"TBS")</f>
        <v>TBS</v>
      </c>
      <c r="E5314" s="2" t="str">
        <f>IFERROR(__xludf.DUMMYFUNCTION("""COMPUTED_VALUE"""),"木21")</f>
        <v>木21</v>
      </c>
      <c r="F5314" s="2" t="s">
        <v>14717</v>
      </c>
      <c r="G5314" s="2" t="s">
        <v>14734</v>
      </c>
      <c r="H5314" s="1">
        <v>9.0</v>
      </c>
      <c r="J5314" s="1" t="s">
        <v>11</v>
      </c>
      <c r="K5314" s="2" t="s">
        <v>14735</v>
      </c>
      <c r="L5314" s="2"/>
      <c r="M5314" s="2" t="str">
        <f>IFERROR(__xludf.DUMMYFUNCTION("split(split(K5314,""【"",false),""公式LINE"",false)"),"あけひは決意を固める。そんな時、健太にアメリカ行きの話が…健太は、あけひを連れ出すため太郎と決着をつけに行く。一方、薫子のもとにある人物が突然訪ねてきて…揺れ動く4人の恋が加速していくー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amp;"品に込めたいと考えている、私のメッセージのひとつです。　脚本家　田渕久美子井浦新、稲森いずみ、板谷由夏、市川実和子、三浦理恵子、丸山敦史、清水由紀  市毛良枝、戸次重幸、岡本麗、松本利夫（EXILE）、松岡昌宏[井浦新]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3人の子供を持つ美容師。底抜けに明るい性格だが、夫との関係には亀裂が…。初恋の相手、健太との再会に心が揺れる[松岡"&amp;"昌宏]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監督：吉田健（TBSテレ"&amp;"ビ）  プロデューサー：矢口久雄（テレパック）　貴島誠一郎（TBSテレビ）◇番組HP http://www.tbs.co.jp/dousousei2014/  ◇公式Facebook https://www.facebook.com/dousousei.tbs  ◇公式Twitter  https://twitter.com/dousousei_tbs  @dousousei_tbs  離婚届を手にしたあけひ。それを知った太郎の怒りは頂点に！家を追い出されたあけひのもとに走り出そうとした健太だったが、そこ"&amp;"に太郎が現れた！ついに直接対決か！？ダイジェスト&amp;次回予告動画  http://youtu.be/V6hVlzEgniA  「NGシーン」  http://youtu.be/km-k7uRp93Y  番組の内容と放送時間は変更になる場合があります。")</f>
        <v>あけひは決意を固める。そんな時、健太にアメリカ行きの話が…健太は、あけひを連れ出すため太郎と決着をつけに行く。一方、薫子のもとにある人物が突然訪ねてきて…揺れ動く4人の恋が加速していくー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田渕久美子井浦新、稲森いずみ、板谷由夏、市川実和子、三浦理恵子、丸山敦史、清水由紀  市毛良枝、戸次重幸、岡本麗、松本利夫（EXILE）、松岡昌宏[井浦新]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離婚届を手にしたあけひ。それを知った太郎の怒りは頂点に！家を追い出されたあけひのもとに走り出そうとした健太だったが、そこに太郎が現れた！ついに直接対決か！？ダイジェスト&amp;次回予告動画  http://youtu.be/V6hVlzEgniA  「NGシーン」  http://youtu.be/km-k7uRp93Y  番組の内容と放送時間は変更になる場合があります。</v>
      </c>
      <c r="N5314" s="2"/>
      <c r="O5314" s="2"/>
      <c r="P5314" s="1"/>
      <c r="Q5314" s="1"/>
      <c r="R5314" s="1"/>
      <c r="S5314" s="1"/>
      <c r="T5314" s="1"/>
      <c r="U5314" s="1"/>
      <c r="V5314" s="1"/>
      <c r="W5314" s="1"/>
      <c r="X5314" s="1"/>
      <c r="Y5314" s="1"/>
      <c r="Z5314" s="1"/>
      <c r="AA5314" s="1"/>
      <c r="AB5314" s="1"/>
      <c r="AC5314" s="1"/>
      <c r="AD5314" s="1"/>
      <c r="AE5314" s="1"/>
      <c r="AF5314" s="1"/>
      <c r="AG5314" s="1"/>
      <c r="AH5314" s="1"/>
      <c r="AI5314" s="1"/>
      <c r="AJ5314" s="1"/>
      <c r="AK5314" s="1"/>
      <c r="AL5314" s="1"/>
      <c r="AM5314" s="1"/>
      <c r="AN5314" s="1"/>
      <c r="AO5314" s="1"/>
      <c r="AP5314" s="1"/>
      <c r="AQ5314" s="1"/>
      <c r="AR5314" s="1"/>
      <c r="AS5314" s="1"/>
      <c r="AT5314" s="1"/>
      <c r="AU5314" s="1"/>
      <c r="AV5314" s="1"/>
      <c r="AW5314" s="1"/>
      <c r="AX5314" s="1"/>
      <c r="AY5314" s="1"/>
      <c r="AZ5314" s="1"/>
      <c r="BA5314" s="1"/>
      <c r="BB5314" s="1"/>
    </row>
    <row r="5315" ht="204.75" customHeight="1">
      <c r="A5315" s="1">
        <v>2640.0</v>
      </c>
      <c r="B5315" s="2" t="s">
        <v>14716</v>
      </c>
      <c r="C5315" s="2">
        <f>IFERROR(__xludf.DUMMYFUNCTION("split(B5315,""_"")"),1407.0)</f>
        <v>1407</v>
      </c>
      <c r="D5315" s="2" t="str">
        <f>IFERROR(__xludf.DUMMYFUNCTION("""COMPUTED_VALUE"""),"TBS")</f>
        <v>TBS</v>
      </c>
      <c r="E5315" s="2" t="str">
        <f>IFERROR(__xludf.DUMMYFUNCTION("""COMPUTED_VALUE"""),"木21")</f>
        <v>木21</v>
      </c>
      <c r="F5315" s="2" t="s">
        <v>14717</v>
      </c>
      <c r="G5315" s="2" t="s">
        <v>14736</v>
      </c>
      <c r="H5315" s="1">
        <v>10.0</v>
      </c>
      <c r="J5315" s="1" t="s">
        <v>11</v>
      </c>
      <c r="K5315" s="2" t="s">
        <v>14737</v>
      </c>
      <c r="L5315" s="2"/>
      <c r="M5315" s="2" t="str">
        <f>IFERROR(__xludf.DUMMYFUNCTION("split(split(K5315,""【"",false),""公式LINE"",false)"),"店をたたむ決意をした健太は、あけひと子供たちをアメリカに連れていきたいと太郎に頼み込む。しかし…　一方、遼介は加奈子に離婚を切り出す。そして、薫子が妊娠！？　4人が下す決断とは！？　三度目の恋を、信じますか？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amp;"もつながります。この作品に込めたいと考えている、私のメッセージのひとつです。　脚本家　田渕久美子井浦新、稲森いずみ、板谷由夏、市川実和子、三浦理恵子、丸山敦史、清水由紀  柄本明（特別出演）、岡本麗、松本利夫（EXILE）、松岡昌宏[井浦新]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3人の子供を持つ美容師。底抜けに明るい性格だが、夫との関係には亀裂が…。初恋の相手、健太との"&amp;"再会に心が揺れる[松岡昌宏]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監"&amp;"督：吉田健（TBSテレビ）  プロデューサー：矢口久雄（テレパック）　貴島誠一郎（TBSテレビ）◇番組HP http://www.tbs.co.jp/dousousei2014/  ◇公式Facebook https://www.facebook.com/dousousei.tbs  ◇公式Twitter  https://twitter.com/dousousei_tbs  @dousousei_tbs  ◇ダイジェスト&amp;次回予告  http://youtu.be/mi7ZeVXKoEQ  ◇颯爽と登場"&amp;"する「あけひ」に…！？名場面の「NGシーン」  http://youtu.be/rVW-JH9SIXI  あけひは太郎と離婚する決意を固める。そんな時、健太にアメリカ行きの話が…健太は、あけひを連れ出すため太郎と決着をつけに行く。一方、薫子のもとに遼介の妻・加奈子が突然訪ねてきて…番組の内容と放送時間は変更になる場合があります。")</f>
        <v>店をたたむ決意をした健太は、あけひと子供たちをアメリカに連れていきたいと太郎に頼み込む。しかし…　一方、遼介は加奈子に離婚を切り出す。そして、薫子が妊娠！？　4人が下す決断とは！？　三度目の恋を、信じますか？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田渕久美子井浦新、稲森いずみ、板谷由夏、市川実和子、三浦理恵子、丸山敦史、清水由紀  柄本明（特別出演）、岡本麗、松本利夫（EXILE）、松岡昌宏[井浦新]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◇ダイジェスト&amp;次回予告  http://youtu.be/mi7ZeVXKoEQ  ◇颯爽と登場する「あけひ」に…！？名場面の「NGシーン」  http://youtu.be/rVW-JH9SIXI  あけひは太郎と離婚する決意を固める。そんな時、健太にアメリカ行きの話が…健太は、あけひを連れ出すため太郎と決着をつけに行く。一方、薫子のもとに遼介の妻・加奈子が突然訪ねてきて…番組の内容と放送時間は変更になる場合があります。</v>
      </c>
      <c r="N5315" s="2"/>
      <c r="O5315" s="2"/>
      <c r="P5315" s="1"/>
      <c r="Q5315" s="1"/>
      <c r="R5315" s="1"/>
      <c r="S5315" s="1"/>
      <c r="T5315" s="1"/>
      <c r="U5315" s="1"/>
      <c r="V5315" s="1"/>
      <c r="W5315" s="1"/>
      <c r="X5315" s="1"/>
      <c r="Y5315" s="1"/>
      <c r="Z5315" s="1"/>
      <c r="AA5315" s="1"/>
      <c r="AB5315" s="1"/>
      <c r="AC5315" s="1"/>
      <c r="AD5315" s="1"/>
      <c r="AE5315" s="1"/>
      <c r="AF5315" s="1"/>
      <c r="AG5315" s="1"/>
      <c r="AH5315" s="1"/>
      <c r="AI5315" s="1"/>
      <c r="AJ5315" s="1"/>
      <c r="AK5315" s="1"/>
      <c r="AL5315" s="1"/>
      <c r="AM5315" s="1"/>
      <c r="AN5315" s="1"/>
      <c r="AO5315" s="1"/>
      <c r="AP5315" s="1"/>
      <c r="AQ5315" s="1"/>
      <c r="AR5315" s="1"/>
      <c r="AS5315" s="1"/>
      <c r="AT5315" s="1"/>
      <c r="AU5315" s="1"/>
      <c r="AV5315" s="1"/>
      <c r="AW5315" s="1"/>
      <c r="AX5315" s="1"/>
      <c r="AY5315" s="1"/>
      <c r="AZ5315" s="1"/>
      <c r="BA5315" s="1"/>
      <c r="BB5315" s="1"/>
    </row>
    <row r="5316" ht="204.75" customHeight="1">
      <c r="A5316" s="1">
        <v>2660.0</v>
      </c>
      <c r="B5316" s="2" t="s">
        <v>14738</v>
      </c>
      <c r="C5316" s="2">
        <f>IFERROR(__xludf.DUMMYFUNCTION("split(B5316,""_"")"),1407.0)</f>
        <v>1407</v>
      </c>
      <c r="D5316" s="2" t="str">
        <f>IFERROR(__xludf.DUMMYFUNCTION("""COMPUTED_VALUE"""),"TBS")</f>
        <v>TBS</v>
      </c>
      <c r="E5316" s="2" t="str">
        <f>IFERROR(__xludf.DUMMYFUNCTION("""COMPUTED_VALUE"""),"金22")</f>
        <v>金22</v>
      </c>
      <c r="F5316" s="2" t="s">
        <v>14739</v>
      </c>
      <c r="G5316" s="2" t="s">
        <v>14740</v>
      </c>
      <c r="H5316" s="1">
        <v>1.0</v>
      </c>
      <c r="J5316" s="1" t="s">
        <v>82</v>
      </c>
      <c r="K5316" s="2" t="s">
        <v>14741</v>
      </c>
      <c r="L5316" s="2"/>
      <c r="M5316" s="2" t="str">
        <f>IFERROR(__xludf.DUMMYFUNCTION("split(split(K5316,""【"",false),""公式LINE"",false)"),"都内で一家心中事件が頻発しているのを不審に思った刑事　馬見原（遠藤憲一）は現場に不思議な共通点に気づく。児童心理司の氷崎ゆう子（松雪泰子）進学校の美術教師　巣藤（伊藤淳史）三人の直面する家族の物語松雪泰子　伊藤淳史　北山宏光　水野美紀　篠田麻里子　山口紗弥加　平岡祐太　秋山菜津子　財前直見　遠藤憲一天童荒太（新潮文庫　刊）  脚本　大石静主題歌　androp「Shout」  ◇番組HP http://www.tbs.co.jp/kazokugari/  ◇ツイッター  @Kazokugari_tbs  h"&amp;"ttps://twitter.com/Kazokugari_tbs  7/4スタート金曜ドラマ『家族狩り』最新15秒スポット公開！天童荒太代表作　松雪泰子主演！  http://youtu.be/k02DkmqcvBE  金曜ドラマ『家族狩り』放送直前！1話 （7/4）予告公開！　松雪泰子主演・天童荒太ミステリーを映像化　動画公開しました！  http://youtu.be/kKQE-_DwUhs  「問題作」の全貌に迫る！7/4『家族狩り』放送直前スペシャルナビ公開！天童荒太代表作　松雪泰子主演！動画公"&amp;"開しました！http://youtu.be/7CHItlTrPk4  番組の内容と放送時間は、変更になる場合があります。")</f>
        <v>都内で一家心中事件が頻発しているのを不審に思った刑事　馬見原（遠藤憲一）は現場に不思議な共通点に気づく。児童心理司の氷崎ゆう子（松雪泰子）進学校の美術教師　巣藤（伊藤淳史）三人の直面する家族の物語松雪泰子　伊藤淳史　北山宏光　水野美紀　篠田麻里子　山口紗弥加　平岡祐太　秋山菜津子　財前直見　遠藤憲一天童荒太（新潮文庫　刊）  脚本　大石静主題歌　androp「Shout」  ◇番組HP http://www.tbs.co.jp/kazokugari/  ◇ツイッター  @Kazokugari_tbs  https://twitter.com/Kazokugari_tbs  7/4スタート金曜ドラマ『家族狩り』最新15秒スポット公開！天童荒太代表作　松雪泰子主演！  http://youtu.be/k02DkmqcvBE  金曜ドラマ『家族狩り』放送直前！1話 （7/4）予告公開！　松雪泰子主演・天童荒太ミステリーを映像化　動画公開しました！  http://youtu.be/kKQE-_DwUhs  「問題作」の全貌に迫る！7/4『家族狩り』放送直前スペシャルナビ公開！天童荒太代表作　松雪泰子主演！動画公開しました！http://youtu.be/7CHItlTrPk4  番組の内容と放送時間は、変更になる場合があります。</v>
      </c>
      <c r="N5316" s="2"/>
      <c r="O5316" s="2"/>
      <c r="P5316" s="1"/>
      <c r="Q5316" s="1"/>
      <c r="R5316" s="1"/>
      <c r="S5316" s="1"/>
      <c r="T5316" s="1"/>
      <c r="U5316" s="1"/>
      <c r="V5316" s="1"/>
      <c r="W5316" s="1"/>
      <c r="X5316" s="1"/>
      <c r="Y5316" s="1"/>
      <c r="Z5316" s="1"/>
      <c r="AA5316" s="1"/>
      <c r="AB5316" s="1"/>
      <c r="AC5316" s="1"/>
      <c r="AD5316" s="1"/>
      <c r="AE5316" s="1"/>
      <c r="AF5316" s="1"/>
      <c r="AG5316" s="1"/>
      <c r="AH5316" s="1"/>
      <c r="AI5316" s="1"/>
      <c r="AJ5316" s="1"/>
      <c r="AK5316" s="1"/>
      <c r="AL5316" s="1"/>
      <c r="AM5316" s="1"/>
      <c r="AN5316" s="1"/>
      <c r="AO5316" s="1"/>
      <c r="AP5316" s="1"/>
      <c r="AQ5316" s="1"/>
      <c r="AR5316" s="1"/>
      <c r="AS5316" s="1"/>
      <c r="AT5316" s="1"/>
      <c r="AU5316" s="1"/>
      <c r="AV5316" s="1"/>
      <c r="AW5316" s="1"/>
      <c r="AX5316" s="1"/>
      <c r="AY5316" s="1"/>
      <c r="AZ5316" s="1"/>
      <c r="BA5316" s="1"/>
      <c r="BB5316" s="1"/>
    </row>
    <row r="5317" ht="204.75" customHeight="1">
      <c r="A5317" s="1">
        <v>2661.0</v>
      </c>
      <c r="B5317" s="2" t="s">
        <v>14738</v>
      </c>
      <c r="C5317" s="2">
        <f>IFERROR(__xludf.DUMMYFUNCTION("split(B5317,""_"")"),1407.0)</f>
        <v>1407</v>
      </c>
      <c r="D5317" s="2" t="str">
        <f>IFERROR(__xludf.DUMMYFUNCTION("""COMPUTED_VALUE"""),"TBS")</f>
        <v>TBS</v>
      </c>
      <c r="E5317" s="2" t="str">
        <f>IFERROR(__xludf.DUMMYFUNCTION("""COMPUTED_VALUE"""),"金22")</f>
        <v>金22</v>
      </c>
      <c r="F5317" s="2" t="s">
        <v>14739</v>
      </c>
      <c r="G5317" s="2" t="s">
        <v>14742</v>
      </c>
      <c r="H5317" s="1">
        <v>2.0</v>
      </c>
      <c r="J5317" s="1" t="s">
        <v>86</v>
      </c>
      <c r="K5317" s="2" t="s">
        <v>14743</v>
      </c>
      <c r="L5317" s="2"/>
      <c r="M5317" s="2" t="str">
        <f>IFERROR(__xludf.DUMMYFUNCTION("split(split(K5317,""【"",false),""公式LINE"",false)"),"第二話　シュン介（伊藤淳史）の隣の一軒家で起こった一家心中事件。しかし刑事の馬見原（遠藤憲一）らは、これは殺人事件だという勘で独自に捜査に乗り出す。シュン介には馬見原に「怪しい女を見ませんでしたか」と事情聴取を受ける。「女？」シュン介は事件直後にみた氷崎ユウ子（松雪泰子）の顔を思い浮かべてしまう。一家心中事件は本当に殺人なのか？物語は加速する！！松雪泰子　伊藤淳史　北山宏光　水野美紀　篠田麻里子　山口紗弥加　平岡祐太　秋山菜津子　財前直見　遠藤憲一天童荒太（新潮文庫　刊）  脚本　大石静主題歌　andro"&amp;"p「Shout」  ◇番組HP http://www.tbs.co.jp/kazokugari/  ◇ツイッター  @Kazokugari_tbs  https://twitter.com/Kazokugari_tbs  衝撃の「問題作」第2話は・・・！金曜22時『家族狩り』7/11松雪泰子主演・天童荒太ミステリー 動画公開しました！  http://youtu.be/PxJL5a0vzV4  9月開幕、アジア40億人の頂点をかけたアジア最大スポーツの祭典。競技数はオリンピックを超える36。かつて高橋尚子"&amp;"がアジア新、競泳・北島が世界新を樹立。柔道・田村亮子、競泳・鈴木大地らが伝説を築いた。番組の内容と放送時間は、変更になる場合があります。")</f>
        <v>第二話　シュン介（伊藤淳史）の隣の一軒家で起こった一家心中事件。しかし刑事の馬見原（遠藤憲一）らは、これは殺人事件だという勘で独自に捜査に乗り出す。シュン介には馬見原に「怪しい女を見ませんでしたか」と事情聴取を受ける。「女？」シュン介は事件直後にみた氷崎ユウ子（松雪泰子）の顔を思い浮かべてしまう。一家心中事件は本当に殺人なのか？物語は加速する！！松雪泰子　伊藤淳史　北山宏光　水野美紀　篠田麻里子　山口紗弥加　平岡祐太　秋山菜津子　財前直見　遠藤憲一天童荒太（新潮文庫　刊）  脚本　大石静主題歌　androp「Shout」  ◇番組HP http://www.tbs.co.jp/kazokugari/  ◇ツイッター  @Kazokugari_tbs  https://twitter.com/Kazokugari_tbs  衝撃の「問題作」第2話は・・・！金曜22時『家族狩り』7/11松雪泰子主演・天童荒太ミステリー 動画公開しました！  http://youtu.be/PxJL5a0vzV4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17" s="2"/>
      <c r="O5317" s="2"/>
      <c r="P5317" s="1"/>
      <c r="Q5317" s="1"/>
      <c r="R5317" s="1"/>
      <c r="S5317" s="1"/>
      <c r="T5317" s="1"/>
      <c r="U5317" s="1"/>
      <c r="V5317" s="1"/>
      <c r="W5317" s="1"/>
      <c r="X5317" s="1"/>
      <c r="Y5317" s="1"/>
      <c r="Z5317" s="1"/>
      <c r="AA5317" s="1"/>
      <c r="AB5317" s="1"/>
      <c r="AC5317" s="1"/>
      <c r="AD5317" s="1"/>
      <c r="AE5317" s="1"/>
      <c r="AF5317" s="1"/>
      <c r="AG5317" s="1"/>
      <c r="AH5317" s="1"/>
      <c r="AI5317" s="1"/>
      <c r="AJ5317" s="1"/>
      <c r="AK5317" s="1"/>
      <c r="AL5317" s="1"/>
      <c r="AM5317" s="1"/>
      <c r="AN5317" s="1"/>
      <c r="AO5317" s="1"/>
      <c r="AP5317" s="1"/>
      <c r="AQ5317" s="1"/>
      <c r="AR5317" s="1"/>
      <c r="AS5317" s="1"/>
      <c r="AT5317" s="1"/>
      <c r="AU5317" s="1"/>
      <c r="AV5317" s="1"/>
      <c r="AW5317" s="1"/>
      <c r="AX5317" s="1"/>
      <c r="AY5317" s="1"/>
      <c r="AZ5317" s="1"/>
      <c r="BA5317" s="1"/>
      <c r="BB5317" s="1"/>
    </row>
    <row r="5318" ht="204.75" customHeight="1">
      <c r="A5318" s="1">
        <v>2662.0</v>
      </c>
      <c r="B5318" s="2" t="s">
        <v>14738</v>
      </c>
      <c r="C5318" s="2">
        <f>IFERROR(__xludf.DUMMYFUNCTION("split(B5318,""_"")"),1407.0)</f>
        <v>1407</v>
      </c>
      <c r="D5318" s="2" t="str">
        <f>IFERROR(__xludf.DUMMYFUNCTION("""COMPUTED_VALUE"""),"TBS")</f>
        <v>TBS</v>
      </c>
      <c r="E5318" s="2" t="str">
        <f>IFERROR(__xludf.DUMMYFUNCTION("""COMPUTED_VALUE"""),"金22")</f>
        <v>金22</v>
      </c>
      <c r="F5318" s="2" t="s">
        <v>14739</v>
      </c>
      <c r="G5318" s="2" t="s">
        <v>14744</v>
      </c>
      <c r="H5318" s="1">
        <v>3.0</v>
      </c>
      <c r="J5318" s="1" t="s">
        <v>86</v>
      </c>
      <c r="K5318" s="2" t="s">
        <v>14745</v>
      </c>
      <c r="L5318" s="2"/>
      <c r="M5318" s="2" t="str">
        <f>IFERROR(__xludf.DUMMYFUNCTION("split(split(K5318,""【"",false),""公式LINE"",false)"),"ゆう子（松雪泰子）の父、清太郎が「わしを捨てて自由に生きろ」と宣言したため母の民子（浅田美代子）は自宅を売却し、清太郎を要介護者用の施設に入れることを決断するが・・  しゅん介（伊藤淳史）は結婚を迫られている美保（山口紗弥加）の両親が突然自宅に押しかけてきて美保と大喧嘩になり家出するが・・  馬見原（遠藤憲一）の妻佐和子（秋山菜津子）は油井のわなにかかり綾女（水野美紀）の元をたずねる。怒涛の三話放送松雪泰子　伊藤淳史　北山宏光　水野美紀　篠田麻里子　山口紗弥加　平岡祐太　秋山菜津子　財前直見　遠藤憲一天童"&amp;"荒太（新潮文庫　刊）  脚本　大石静  演出　山本剛義主題歌　androp「Shout」  ◇番組HP http://www.tbs.co.jp/kazokugari/  ◇ツイッター  @Kazokugari_tbs  https://twitter.com/Kazokugari_tbs  「家族ごとピリオドを打った方がいい」金曜22時『家族狩り』第3話（7/18）予告動画公開しました！  http://youtu.be/MxDtlGTn-6k  異色のコラボ？問題作『家族狩り』「MOWOW版」スポット"&amp;"その1  http://youtu.be/vQKlZVzkwKU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ゆう子（松雪泰子）の父、清太郎が「わしを捨てて自由に生きろ」と宣言したため母の民子（浅田美代子）は自宅を売却し、清太郎を要介護者用の施設に入れることを決断するが・・  しゅん介（伊藤淳史）は結婚を迫られている美保（山口紗弥加）の両親が突然自宅に押しかけてきて美保と大喧嘩になり家出するが・・  馬見原（遠藤憲一）の妻佐和子（秋山菜津子）は油井のわなにかかり綾女（水野美紀）の元をたずねる。怒涛の三話放送松雪泰子　伊藤淳史　北山宏光　水野美紀　篠田麻里子　山口紗弥加　平岡祐太　秋山菜津子　財前直見　遠藤憲一天童荒太（新潮文庫　刊）  脚本　大石静  演出　山本剛義主題歌　androp「Shout」  ◇番組HP http://www.tbs.co.jp/kazokugari/  ◇ツイッター  @Kazokugari_tbs  https://twitter.com/Kazokugari_tbs  「家族ごとピリオドを打った方がいい」金曜22時『家族狩り』第3話（7/18）予告動画公開しました！  http://youtu.be/MxDtlGTn-6k  異色のコラボ？問題作『家族狩り』「MOWOW版」スポットその1  http://youtu.be/vQKlZVzkwKU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18" s="2"/>
      <c r="O5318" s="2"/>
      <c r="P5318" s="1"/>
      <c r="Q5318" s="1"/>
      <c r="R5318" s="1"/>
      <c r="S5318" s="1"/>
      <c r="T5318" s="1"/>
      <c r="U5318" s="1"/>
      <c r="V5318" s="1"/>
      <c r="W5318" s="1"/>
      <c r="X5318" s="1"/>
      <c r="Y5318" s="1"/>
      <c r="Z5318" s="1"/>
      <c r="AA5318" s="1"/>
      <c r="AB5318" s="1"/>
      <c r="AC5318" s="1"/>
      <c r="AD5318" s="1"/>
      <c r="AE5318" s="1"/>
      <c r="AF5318" s="1"/>
      <c r="AG5318" s="1"/>
      <c r="AH5318" s="1"/>
      <c r="AI5318" s="1"/>
      <c r="AJ5318" s="1"/>
      <c r="AK5318" s="1"/>
      <c r="AL5318" s="1"/>
      <c r="AM5318" s="1"/>
      <c r="AN5318" s="1"/>
      <c r="AO5318" s="1"/>
      <c r="AP5318" s="1"/>
      <c r="AQ5318" s="1"/>
      <c r="AR5318" s="1"/>
      <c r="AS5318" s="1"/>
      <c r="AT5318" s="1"/>
      <c r="AU5318" s="1"/>
      <c r="AV5318" s="1"/>
      <c r="AW5318" s="1"/>
      <c r="AX5318" s="1"/>
      <c r="AY5318" s="1"/>
      <c r="AZ5318" s="1"/>
      <c r="BA5318" s="1"/>
      <c r="BB5318" s="1"/>
    </row>
    <row r="5319" ht="204.75" customHeight="1">
      <c r="A5319" s="1">
        <v>2663.0</v>
      </c>
      <c r="B5319" s="2" t="s">
        <v>14738</v>
      </c>
      <c r="C5319" s="2">
        <f>IFERROR(__xludf.DUMMYFUNCTION("split(B5319,""_"")"),1407.0)</f>
        <v>1407</v>
      </c>
      <c r="D5319" s="2" t="str">
        <f>IFERROR(__xludf.DUMMYFUNCTION("""COMPUTED_VALUE"""),"TBS")</f>
        <v>TBS</v>
      </c>
      <c r="E5319" s="2" t="str">
        <f>IFERROR(__xludf.DUMMYFUNCTION("""COMPUTED_VALUE"""),"金22")</f>
        <v>金22</v>
      </c>
      <c r="F5319" s="2" t="s">
        <v>14739</v>
      </c>
      <c r="G5319" s="2" t="s">
        <v>14746</v>
      </c>
      <c r="H5319" s="1">
        <v>4.0</v>
      </c>
      <c r="J5319" s="1" t="s">
        <v>86</v>
      </c>
      <c r="K5319" s="2" t="s">
        <v>14747</v>
      </c>
      <c r="L5319" s="2"/>
      <c r="M5319" s="2" t="str">
        <f>IFERROR(__xludf.DUMMYFUNCTION("split(split(K5319,""【"",false),""公式LINE"",false)"),"ホームレス狩りにあった人を助けたばかりに巻き添えをくらい自らも放火されたシュン介は記憶を失う。失った記憶の中で求めていた人は婚約者の美歩ではなかったことで、逆に美歩と婚約することに。しかし美歩の担任する生徒の実森が家庭内暴力を激化させたことですべての事象が一転していく。激変する第四話松雪泰子　伊藤淳史　北山宏光　水野美紀　篠田麻里子　山口紗弥加　平岡祐太　秋山菜津子　財前直見　遠藤憲一天童荒太（新潮文庫　刊）  脚本　大石静  演出　山本剛義主題歌　androp「Shout」  ◇番組HP http://"&amp;"www.tbs.co.jp/kazokugari/  ◇ツイッター  @Kazokugari_tbs  https://twitter.com/Kazokugari_tbs  「私はもう人を殺してますから」金曜22時『家族狩 り』第4話（7/25）動画公開しました！  http://youtu.be/osv1McqCDy4  問題作『家族狩り』「MOWOW版」スポットその2動画公開しました！  http://youtu.be/EBt2L4OfZ0c  9月開幕、アジア40億人の頂点をかけたアジア最大スポー"&amp;"ツの祭典。競技数はオリンピックを超える36。かつて高橋尚子がアジア新、競泳・北島が世界新を樹立。柔道・田村亮子、競泳・鈴木大地らが伝説を築いた。番組の内容と放送時間は、変更になる場合があります。")</f>
        <v>ホームレス狩りにあった人を助けたばかりに巻き添えをくらい自らも放火されたシュン介は記憶を失う。失った記憶の中で求めていた人は婚約者の美歩ではなかったことで、逆に美歩と婚約することに。しかし美歩の担任する生徒の実森が家庭内暴力を激化させたことですべての事象が一転していく。激変する第四話松雪泰子　伊藤淳史　北山宏光　水野美紀　篠田麻里子　山口紗弥加　平岡祐太　秋山菜津子　財前直見　遠藤憲一天童荒太（新潮文庫　刊）  脚本　大石静  演出　山本剛義主題歌　androp「Shout」  ◇番組HP http://www.tbs.co.jp/kazokugari/  ◇ツイッター  @Kazokugari_tbs  https://twitter.com/Kazokugari_tbs  「私はもう人を殺してますから」金曜22時『家族狩 り』第4話（7/25）動画公開しました！  http://youtu.be/osv1McqCDy4  問題作『家族狩り』「MOWOW版」スポットその2動画公開しました！  http://youtu.be/EBt2L4OfZ0c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19" s="2"/>
      <c r="O5319" s="2"/>
      <c r="P5319" s="1"/>
      <c r="Q5319" s="1"/>
      <c r="R5319" s="1"/>
      <c r="S5319" s="1"/>
      <c r="T5319" s="1"/>
      <c r="U5319" s="1"/>
      <c r="V5319" s="1"/>
      <c r="W5319" s="1"/>
      <c r="X5319" s="1"/>
      <c r="Y5319" s="1"/>
      <c r="Z5319" s="1"/>
      <c r="AA5319" s="1"/>
      <c r="AB5319" s="1"/>
      <c r="AC5319" s="1"/>
      <c r="AD5319" s="1"/>
      <c r="AE5319" s="1"/>
      <c r="AF5319" s="1"/>
      <c r="AG5319" s="1"/>
      <c r="AH5319" s="1"/>
      <c r="AI5319" s="1"/>
      <c r="AJ5319" s="1"/>
      <c r="AK5319" s="1"/>
      <c r="AL5319" s="1"/>
      <c r="AM5319" s="1"/>
      <c r="AN5319" s="1"/>
      <c r="AO5319" s="1"/>
      <c r="AP5319" s="1"/>
      <c r="AQ5319" s="1"/>
      <c r="AR5319" s="1"/>
      <c r="AS5319" s="1"/>
      <c r="AT5319" s="1"/>
      <c r="AU5319" s="1"/>
      <c r="AV5319" s="1"/>
      <c r="AW5319" s="1"/>
      <c r="AX5319" s="1"/>
      <c r="AY5319" s="1"/>
      <c r="AZ5319" s="1"/>
      <c r="BA5319" s="1"/>
      <c r="BB5319" s="1"/>
    </row>
    <row r="5320" ht="204.75" customHeight="1">
      <c r="A5320" s="1">
        <v>2664.0</v>
      </c>
      <c r="B5320" s="2" t="s">
        <v>14738</v>
      </c>
      <c r="C5320" s="2">
        <f>IFERROR(__xludf.DUMMYFUNCTION("split(B5320,""_"")"),1407.0)</f>
        <v>1407</v>
      </c>
      <c r="D5320" s="2" t="str">
        <f>IFERROR(__xludf.DUMMYFUNCTION("""COMPUTED_VALUE"""),"TBS")</f>
        <v>TBS</v>
      </c>
      <c r="E5320" s="2" t="str">
        <f>IFERROR(__xludf.DUMMYFUNCTION("""COMPUTED_VALUE"""),"金22")</f>
        <v>金22</v>
      </c>
      <c r="F5320" s="2" t="s">
        <v>14739</v>
      </c>
      <c r="G5320" s="2" t="s">
        <v>14748</v>
      </c>
      <c r="H5320" s="1">
        <v>5.0</v>
      </c>
      <c r="J5320" s="1" t="s">
        <v>86</v>
      </c>
      <c r="K5320" s="2" t="s">
        <v>14749</v>
      </c>
      <c r="L5320" s="2"/>
      <c r="M5320" s="2" t="str">
        <f>IFERROR(__xludf.DUMMYFUNCTION("split(split(K5320,""【"",false),""公式LINE"",false)"),"婚約者の美歩山口紗弥加）の代わりに引きこもりの生徒、実森君とかかわりを持ってしまったために、しゅん介（伊藤淳史）とゆうこ（松雪泰子）は思わぬ事態に巻き込まれていく。そして馬見原（遠藤憲一）に向けられた疑惑。そして馬見原の家族にも獣のような悪意が向けられる。感動巨編の第五話松雪泰子　伊藤淳史　北山宏光　水野美紀　篠田麻里子　山口紗弥加　平岡祐太　秋山菜津子　財前直見　遠藤憲一天童荒太（新潮文庫　刊）  脚本　大石静  演出　伊藤雄介主題歌　androp「Shout」  ◇番組HP http://www.tb"&amp;"s.co.jp/kazokugari/  ◇ツイッター  @Kazokugari_tbs  https://twitter.com/Kazokugari_tbs  「私はこの世界に求められてないのかも…」金曜22時 『家族狩り』第5話（8/1）予告動画公開しました！  http://youtu.be/EJariZKvxNo  9月開幕、アジア40億人の頂点をかけたアジア最大スポーツの祭典。競技数はオリンピックを超える36。かつて高橋尚子がアジア新、競泳・北島が世界新を樹立。柔道・田村亮子、競泳・鈴木大地ら"&amp;"が伝説を築いた。番組の内容と放送時間は、変更になる場合があります。")</f>
        <v>婚約者の美歩山口紗弥加）の代わりに引きこもりの生徒、実森君とかかわりを持ってしまったために、しゅん介（伊藤淳史）とゆうこ（松雪泰子）は思わぬ事態に巻き込まれていく。そして馬見原（遠藤憲一）に向けられた疑惑。そして馬見原の家族にも獣のような悪意が向けられる。感動巨編の第五話松雪泰子　伊藤淳史　北山宏光　水野美紀　篠田麻里子　山口紗弥加　平岡祐太　秋山菜津子　財前直見　遠藤憲一天童荒太（新潮文庫　刊）  脚本　大石静  演出　伊藤雄介主題歌　androp「Shout」  ◇番組HP http://www.tbs.co.jp/kazokugari/  ◇ツイッター  @Kazokugari_tbs  https://twitter.com/Kazokugari_tbs  「私はこの世界に求められてないのかも…」金曜22時 『家族狩り』第5話（8/1）予告動画公開しました！  http://youtu.be/EJariZKvxNo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20" s="2"/>
      <c r="O5320" s="2"/>
      <c r="P5320" s="1"/>
      <c r="Q5320" s="1"/>
      <c r="R5320" s="1"/>
      <c r="S5320" s="1"/>
      <c r="T5320" s="1"/>
      <c r="U5320" s="1"/>
      <c r="V5320" s="1"/>
      <c r="W5320" s="1"/>
      <c r="X5320" s="1"/>
      <c r="Y5320" s="1"/>
      <c r="Z5320" s="1"/>
      <c r="AA5320" s="1"/>
      <c r="AB5320" s="1"/>
      <c r="AC5320" s="1"/>
      <c r="AD5320" s="1"/>
      <c r="AE5320" s="1"/>
      <c r="AF5320" s="1"/>
      <c r="AG5320" s="1"/>
      <c r="AH5320" s="1"/>
      <c r="AI5320" s="1"/>
      <c r="AJ5320" s="1"/>
      <c r="AK5320" s="1"/>
      <c r="AL5320" s="1"/>
      <c r="AM5320" s="1"/>
      <c r="AN5320" s="1"/>
      <c r="AO5320" s="1"/>
      <c r="AP5320" s="1"/>
      <c r="AQ5320" s="1"/>
      <c r="AR5320" s="1"/>
      <c r="AS5320" s="1"/>
      <c r="AT5320" s="1"/>
      <c r="AU5320" s="1"/>
      <c r="AV5320" s="1"/>
      <c r="AW5320" s="1"/>
      <c r="AX5320" s="1"/>
      <c r="AY5320" s="1"/>
      <c r="AZ5320" s="1"/>
      <c r="BA5320" s="1"/>
      <c r="BB5320" s="1"/>
    </row>
    <row r="5321" ht="204.75" customHeight="1">
      <c r="A5321" s="1">
        <v>2665.0</v>
      </c>
      <c r="B5321" s="2" t="s">
        <v>14738</v>
      </c>
      <c r="C5321" s="2">
        <f>IFERROR(__xludf.DUMMYFUNCTION("split(B5321,""_"")"),1407.0)</f>
        <v>1407</v>
      </c>
      <c r="D5321" s="2" t="str">
        <f>IFERROR(__xludf.DUMMYFUNCTION("""COMPUTED_VALUE"""),"TBS")</f>
        <v>TBS</v>
      </c>
      <c r="E5321" s="2" t="str">
        <f>IFERROR(__xludf.DUMMYFUNCTION("""COMPUTED_VALUE"""),"金22")</f>
        <v>金22</v>
      </c>
      <c r="F5321" s="2" t="s">
        <v>14739</v>
      </c>
      <c r="G5321" s="2" t="s">
        <v>14750</v>
      </c>
      <c r="H5321" s="1">
        <v>6.0</v>
      </c>
      <c r="J5321" s="1" t="s">
        <v>86</v>
      </c>
      <c r="K5321" s="2" t="s">
        <v>14751</v>
      </c>
      <c r="L5321" s="2"/>
      <c r="M5321" s="2" t="str">
        <f>IFERROR(__xludf.DUMMYFUNCTION("split(split(K5321,""【"",false),""公式LINE"",false)"),"心を開いてくれたはずの実森君が再び引きこもる。家族の助けを借りてなんとかもう一度、立ち直らせようと努力するゆう子としゅんすけだが、実森の父は「家族を続けていく気力がないと長年悩んでいた」と告白し家族が末期的な状態であることがわかる。あきらめきれないしゅんすけの携帯に実森君から謎のメッセージが残されていた。ついに事件は再び動き出す松雪泰子　伊藤淳史　北山宏光　水野美紀　篠田麻里子　山口紗弥加　平岡祐太　秋山菜津子　財前直見　遠藤憲一天童荒太（新潮文庫　刊）  脚本　大石静  演出　坪井敏雄　主題歌　andr"&amp;"op「Shout」  ◇番組HP http://www.tbs.co.jp/kazokugari/  ◇ツイッター  @Kazokugari_tbs  https://twitter.com/Kazokugari_tbs  「子どもを愛してる・・・？」金曜22時『家族狩り』第6話（8/8）予告　動画公開しました！  http://youtu.be/TK1QkCHctbw  9月開幕、アジア40億人の頂点をかけたアジア最大スポーツの祭典。競技数はオリンピックを超える36。かつて高橋尚子がアジア新、競泳・北島"&amp;"が世界新を樹立。柔道・田村亮子、競泳・鈴木大地らが伝説を築いた。番組の内容と放送時間は、変更になる場合があります。")</f>
        <v>心を開いてくれたはずの実森君が再び引きこもる。家族の助けを借りてなんとかもう一度、立ち直らせようと努力するゆう子としゅんすけだが、実森の父は「家族を続けていく気力がないと長年悩んでいた」と告白し家族が末期的な状態であることがわかる。あきらめきれないしゅんすけの携帯に実森君から謎のメッセージが残されていた。ついに事件は再び動き出す松雪泰子　伊藤淳史　北山宏光　水野美紀　篠田麻里子　山口紗弥加　平岡祐太　秋山菜津子　財前直見　遠藤憲一天童荒太（新潮文庫　刊）  脚本　大石静  演出　坪井敏雄　主題歌　androp「Shout」  ◇番組HP http://www.tbs.co.jp/kazokugari/  ◇ツイッター  @Kazokugari_tbs  https://twitter.com/Kazokugari_tbs  「子どもを愛してる・・・？」金曜22時『家族狩り』第6話（8/8）予告　動画公開しました！  http://youtu.be/TK1QkCHctbw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21" s="2"/>
      <c r="O5321" s="2"/>
      <c r="P5321" s="1"/>
      <c r="Q5321" s="1"/>
      <c r="R5321" s="1"/>
      <c r="S5321" s="1"/>
      <c r="T5321" s="1"/>
      <c r="U5321" s="1"/>
      <c r="V5321" s="1"/>
      <c r="W5321" s="1"/>
      <c r="X5321" s="1"/>
      <c r="Y5321" s="1"/>
      <c r="Z5321" s="1"/>
      <c r="AA5321" s="1"/>
      <c r="AB5321" s="1"/>
      <c r="AC5321" s="1"/>
      <c r="AD5321" s="1"/>
      <c r="AE5321" s="1"/>
      <c r="AF5321" s="1"/>
      <c r="AG5321" s="1"/>
      <c r="AH5321" s="1"/>
      <c r="AI5321" s="1"/>
      <c r="AJ5321" s="1"/>
      <c r="AK5321" s="1"/>
      <c r="AL5321" s="1"/>
      <c r="AM5321" s="1"/>
      <c r="AN5321" s="1"/>
      <c r="AO5321" s="1"/>
      <c r="AP5321" s="1"/>
      <c r="AQ5321" s="1"/>
      <c r="AR5321" s="1"/>
      <c r="AS5321" s="1"/>
      <c r="AT5321" s="1"/>
      <c r="AU5321" s="1"/>
      <c r="AV5321" s="1"/>
      <c r="AW5321" s="1"/>
      <c r="AX5321" s="1"/>
      <c r="AY5321" s="1"/>
      <c r="AZ5321" s="1"/>
      <c r="BA5321" s="1"/>
      <c r="BB5321" s="1"/>
    </row>
    <row r="5322" ht="204.75" customHeight="1">
      <c r="A5322" s="1">
        <v>2666.0</v>
      </c>
      <c r="B5322" s="2" t="s">
        <v>14738</v>
      </c>
      <c r="C5322" s="2">
        <f>IFERROR(__xludf.DUMMYFUNCTION("split(B5322,""_"")"),1407.0)</f>
        <v>1407</v>
      </c>
      <c r="D5322" s="2" t="str">
        <f>IFERROR(__xludf.DUMMYFUNCTION("""COMPUTED_VALUE"""),"TBS")</f>
        <v>TBS</v>
      </c>
      <c r="E5322" s="2" t="str">
        <f>IFERROR(__xludf.DUMMYFUNCTION("""COMPUTED_VALUE"""),"金22")</f>
        <v>金22</v>
      </c>
      <c r="F5322" s="2" t="s">
        <v>14739</v>
      </c>
      <c r="G5322" s="2" t="s">
        <v>14752</v>
      </c>
      <c r="H5322" s="1">
        <v>7.0</v>
      </c>
      <c r="J5322" s="1" t="s">
        <v>86</v>
      </c>
      <c r="K5322" s="2" t="s">
        <v>14753</v>
      </c>
      <c r="L5322" s="2"/>
      <c r="M5322" s="2" t="str">
        <f>IFERROR(__xludf.DUMMYFUNCTION("split(split(K5322,""【"",false),""公式LINE"",false)"),"実森家の家族がなくなった現場にたたずんでいたゆう子（松雪泰子）を見たしゅん介（伊藤淳史）。実森君が自殺したと思えないしゅん介に馬見原（遠藤憲一）は、ゆう子の血塗られた過去を告げる。一方、馬見原のライターが事件現場から発見される。いよいよ事件の全貌が見えてくる。松雪泰子　伊藤淳史　北山宏光　水野美紀　篠田麻里子　山口紗弥加　平岡祐太　秋山菜津子　財前直見　遠藤憲一天童荒太（新潮文庫　刊）  脚本　大石静  演出　山本剛義主題歌　androp「Shout」  ◇番組HP http://www.tbs.co.j"&amp;"p/kazokugari/  ◇ツイッター  @Kazokugari_tbs  https://twitter.com/Kazokugari_tbs  「犯人は氷崎游子だ」金曜22時『家族狩り』第7話（8/15）予告動画公開しました！  http://youtu.be/Xq_5k9LgMBE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amp;"時間は、変更になる場合があります。")</f>
        <v>実森家の家族がなくなった現場にたたずんでいたゆう子（松雪泰子）を見たしゅん介（伊藤淳史）。実森君が自殺したと思えないしゅん介に馬見原（遠藤憲一）は、ゆう子の血塗られた過去を告げる。一方、馬見原のライターが事件現場から発見される。いよいよ事件の全貌が見えてくる。松雪泰子　伊藤淳史　北山宏光　水野美紀　篠田麻里子　山口紗弥加　平岡祐太　秋山菜津子　財前直見　遠藤憲一天童荒太（新潮文庫　刊）  脚本　大石静  演出　山本剛義主題歌　androp「Shout」  ◇番組HP http://www.tbs.co.jp/kazokugari/  ◇ツイッター  @Kazokugari_tbs  https://twitter.com/Kazokugari_tbs  「犯人は氷崎游子だ」金曜22時『家族狩り』第7話（8/15）予告動画公開しました！  http://youtu.be/Xq_5k9LgMBE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22" s="2"/>
      <c r="O5322" s="2"/>
      <c r="P5322" s="1"/>
      <c r="Q5322" s="1"/>
      <c r="R5322" s="1"/>
      <c r="S5322" s="1"/>
      <c r="T5322" s="1"/>
      <c r="U5322" s="1"/>
      <c r="V5322" s="1"/>
      <c r="W5322" s="1"/>
      <c r="X5322" s="1"/>
      <c r="Y5322" s="1"/>
      <c r="Z5322" s="1"/>
      <c r="AA5322" s="1"/>
      <c r="AB5322" s="1"/>
      <c r="AC5322" s="1"/>
      <c r="AD5322" s="1"/>
      <c r="AE5322" s="1"/>
      <c r="AF5322" s="1"/>
      <c r="AG5322" s="1"/>
      <c r="AH5322" s="1"/>
      <c r="AI5322" s="1"/>
      <c r="AJ5322" s="1"/>
      <c r="AK5322" s="1"/>
      <c r="AL5322" s="1"/>
      <c r="AM5322" s="1"/>
      <c r="AN5322" s="1"/>
      <c r="AO5322" s="1"/>
      <c r="AP5322" s="1"/>
      <c r="AQ5322" s="1"/>
      <c r="AR5322" s="1"/>
      <c r="AS5322" s="1"/>
      <c r="AT5322" s="1"/>
      <c r="AU5322" s="1"/>
      <c r="AV5322" s="1"/>
      <c r="AW5322" s="1"/>
      <c r="AX5322" s="1"/>
      <c r="AY5322" s="1"/>
      <c r="AZ5322" s="1"/>
      <c r="BA5322" s="1"/>
      <c r="BB5322" s="1"/>
    </row>
    <row r="5323" ht="204.75" customHeight="1">
      <c r="A5323" s="1">
        <v>2667.0</v>
      </c>
      <c r="B5323" s="2" t="s">
        <v>14738</v>
      </c>
      <c r="C5323" s="2">
        <f>IFERROR(__xludf.DUMMYFUNCTION("split(B5323,""_"")"),1407.0)</f>
        <v>1407</v>
      </c>
      <c r="D5323" s="2" t="str">
        <f>IFERROR(__xludf.DUMMYFUNCTION("""COMPUTED_VALUE"""),"TBS")</f>
        <v>TBS</v>
      </c>
      <c r="E5323" s="2" t="str">
        <f>IFERROR(__xludf.DUMMYFUNCTION("""COMPUTED_VALUE"""),"金22")</f>
        <v>金22</v>
      </c>
      <c r="F5323" s="2" t="s">
        <v>14739</v>
      </c>
      <c r="G5323" s="2" t="s">
        <v>14754</v>
      </c>
      <c r="H5323" s="1">
        <v>8.0</v>
      </c>
      <c r="J5323" s="1" t="s">
        <v>86</v>
      </c>
      <c r="K5323" s="2" t="s">
        <v>14755</v>
      </c>
      <c r="L5323" s="2"/>
      <c r="M5323" s="2" t="str">
        <f>IFERROR(__xludf.DUMMYFUNCTION("split(split(K5323,""【"",false),""公式LINE"",false)"),"駒田がゆう子（松雪泰子）の家族を殺そうと忍び込んできたが、どうしても駒田の進入経路がわからず「密室事件かも」と警察も首をひねる。ゆう子は保護している駒田の娘の玲子のことが気になり、大事にしないでくれと警察に頼むが、とき遅くテレビのニュースになってしまう。駒田を自首させなんとか玲子のために事件を収拾しようとするゆう子だが・・・。そして事件は思わぬ方向へと進んでいく。いよいよ黒幕が動き出す松雪泰子　伊藤淳史　北山宏光　水野美紀　篠田麻里子　山口紗弥加　平岡祐太　秋山菜津子　財前直見　遠藤憲一天童荒太（新潮文庫"&amp;"　刊）  脚本　大石静  演出　山本剛義主題歌　androp「Shout」  ◇番組HP http://www.tbs.co.jp/kazokugari/  ◇ツイッター  @Kazokugari_tbs  https://twitter.com/Kazokugari_tbs  家族は再生できるのか…金曜22時『家族狩り』第8話（8/22）予告動画公開しました！  http://youtu.be/XtsjtI-bPpM  9月開幕、アジア40億人の頂点をかけたアジア最大スポーツの祭典。競技数はオリンピック"&amp;"を超える36。かつて高橋尚子がアジア新、競泳・北島が世界新を樹立。柔道・田村亮子、競泳・鈴木大地らが伝説を築いた。番組の内容と放送時間は、変更になる場合があります。")</f>
        <v>駒田がゆう子（松雪泰子）の家族を殺そうと忍び込んできたが、どうしても駒田の進入経路がわからず「密室事件かも」と警察も首をひねる。ゆう子は保護している駒田の娘の玲子のことが気になり、大事にしないでくれと警察に頼むが、とき遅くテレビのニュースになってしまう。駒田を自首させなんとか玲子のために事件を収拾しようとするゆう子だが・・・。そして事件は思わぬ方向へと進んでいく。いよいよ黒幕が動き出す松雪泰子　伊藤淳史　北山宏光　水野美紀　篠田麻里子　山口紗弥加　平岡祐太　秋山菜津子　財前直見　遠藤憲一天童荒太（新潮文庫　刊）  脚本　大石静  演出　山本剛義主題歌　androp「Shout」  ◇番組HP http://www.tbs.co.jp/kazokugari/  ◇ツイッター  @Kazokugari_tbs  https://twitter.com/Kazokugari_tbs  家族は再生できるのか…金曜22時『家族狩り』第8話（8/22）予告動画公開しました！  http://youtu.be/XtsjtI-bPpM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23" s="2"/>
      <c r="O5323" s="2"/>
      <c r="P5323" s="1"/>
      <c r="Q5323" s="1"/>
      <c r="R5323" s="1"/>
      <c r="S5323" s="1"/>
      <c r="T5323" s="1"/>
      <c r="U5323" s="1"/>
      <c r="V5323" s="1"/>
      <c r="W5323" s="1"/>
      <c r="X5323" s="1"/>
      <c r="Y5323" s="1"/>
      <c r="Z5323" s="1"/>
      <c r="AA5323" s="1"/>
      <c r="AB5323" s="1"/>
      <c r="AC5323" s="1"/>
      <c r="AD5323" s="1"/>
      <c r="AE5323" s="1"/>
      <c r="AF5323" s="1"/>
      <c r="AG5323" s="1"/>
      <c r="AH5323" s="1"/>
      <c r="AI5323" s="1"/>
      <c r="AJ5323" s="1"/>
      <c r="AK5323" s="1"/>
      <c r="AL5323" s="1"/>
      <c r="AM5323" s="1"/>
      <c r="AN5323" s="1"/>
      <c r="AO5323" s="1"/>
      <c r="AP5323" s="1"/>
      <c r="AQ5323" s="1"/>
      <c r="AR5323" s="1"/>
      <c r="AS5323" s="1"/>
      <c r="AT5323" s="1"/>
      <c r="AU5323" s="1"/>
      <c r="AV5323" s="1"/>
      <c r="AW5323" s="1"/>
      <c r="AX5323" s="1"/>
      <c r="AY5323" s="1"/>
      <c r="AZ5323" s="1"/>
      <c r="BA5323" s="1"/>
      <c r="BB5323" s="1"/>
    </row>
    <row r="5324" ht="204.75" customHeight="1">
      <c r="A5324" s="1">
        <v>2668.0</v>
      </c>
      <c r="B5324" s="2" t="s">
        <v>14738</v>
      </c>
      <c r="C5324" s="2">
        <f>IFERROR(__xludf.DUMMYFUNCTION("split(B5324,""_"")"),1407.0)</f>
        <v>1407</v>
      </c>
      <c r="D5324" s="2" t="str">
        <f>IFERROR(__xludf.DUMMYFUNCTION("""COMPUTED_VALUE"""),"TBS")</f>
        <v>TBS</v>
      </c>
      <c r="E5324" s="2" t="str">
        <f>IFERROR(__xludf.DUMMYFUNCTION("""COMPUTED_VALUE"""),"金22")</f>
        <v>金22</v>
      </c>
      <c r="F5324" s="2" t="s">
        <v>14739</v>
      </c>
      <c r="G5324" s="2" t="s">
        <v>14756</v>
      </c>
      <c r="H5324" s="1">
        <v>9.0</v>
      </c>
      <c r="J5324" s="1" t="s">
        <v>86</v>
      </c>
      <c r="K5324" s="2" t="s">
        <v>14757</v>
      </c>
      <c r="L5324" s="2"/>
      <c r="M5324" s="2" t="str">
        <f>IFERROR(__xludf.DUMMYFUNCTION("split(split(K5324,""【"",false),""公式LINE"",false)"),"二軒の家の謎に気づいてしまったゆう子は、犯人に捕らえられる。馬見原を罠にはめた油井はとある告白を始める。芳沢家では亜衣の暴走がついに限界を超えた。すべてが破滅に向かうのか。それとも？松雪泰子　伊藤淳史　北山宏光　水野美紀　篠田麻里子　山口紗弥加　平岡祐太　秋山菜津子　財前直見　遠藤憲一天童荒太（新潮文庫　刊）  脚本　大石静  演出　坪井敏雄主題歌　androp「Shout」  ◇番組HP http://www.tbs.co.jp/kazokugari/  ◇ツイッター  @Kazokugari_tbs "&amp;" https://twitter.com/Kazokugari_tbs  明らかになる「家族狩り」の真実…！金曜22時『家族狩り』第9話（8/29）予告動画公開しました！  http://youtu.be/Ke2Sae1kqDY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二軒の家の謎に気づいてしまったゆう子は、犯人に捕らえられる。馬見原を罠にはめた油井はとある告白を始める。芳沢家では亜衣の暴走がついに限界を超えた。すべてが破滅に向かうのか。それとも？松雪泰子　伊藤淳史　北山宏光　水野美紀　篠田麻里子　山口紗弥加　平岡祐太　秋山菜津子　財前直見　遠藤憲一天童荒太（新潮文庫　刊）  脚本　大石静  演出　坪井敏雄主題歌　androp「Shout」  ◇番組HP http://www.tbs.co.jp/kazokugari/  ◇ツイッター  @Kazokugari_tbs  https://twitter.com/Kazokugari_tbs  明らかになる「家族狩り」の真実…！金曜22時『家族狩り』第9話（8/29）予告動画公開しました！  http://youtu.be/Ke2Sae1kqDY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24" s="2"/>
      <c r="O5324" s="2"/>
      <c r="P5324" s="1"/>
      <c r="Q5324" s="1"/>
      <c r="R5324" s="1"/>
      <c r="S5324" s="1"/>
      <c r="T5324" s="1"/>
      <c r="U5324" s="1"/>
      <c r="V5324" s="1"/>
      <c r="W5324" s="1"/>
      <c r="X5324" s="1"/>
      <c r="Y5324" s="1"/>
      <c r="Z5324" s="1"/>
      <c r="AA5324" s="1"/>
      <c r="AB5324" s="1"/>
      <c r="AC5324" s="1"/>
      <c r="AD5324" s="1"/>
      <c r="AE5324" s="1"/>
      <c r="AF5324" s="1"/>
      <c r="AG5324" s="1"/>
      <c r="AH5324" s="1"/>
      <c r="AI5324" s="1"/>
      <c r="AJ5324" s="1"/>
      <c r="AK5324" s="1"/>
      <c r="AL5324" s="1"/>
      <c r="AM5324" s="1"/>
      <c r="AN5324" s="1"/>
      <c r="AO5324" s="1"/>
      <c r="AP5324" s="1"/>
      <c r="AQ5324" s="1"/>
      <c r="AR5324" s="1"/>
      <c r="AS5324" s="1"/>
      <c r="AT5324" s="1"/>
      <c r="AU5324" s="1"/>
      <c r="AV5324" s="1"/>
      <c r="AW5324" s="1"/>
      <c r="AX5324" s="1"/>
      <c r="AY5324" s="1"/>
      <c r="AZ5324" s="1"/>
      <c r="BA5324" s="1"/>
      <c r="BB5324" s="1"/>
    </row>
    <row r="5325" ht="204.75" customHeight="1">
      <c r="A5325" s="1">
        <v>2669.0</v>
      </c>
      <c r="B5325" s="2" t="s">
        <v>14738</v>
      </c>
      <c r="C5325" s="2">
        <f>IFERROR(__xludf.DUMMYFUNCTION("split(B5325,""_"")"),1407.0)</f>
        <v>1407</v>
      </c>
      <c r="D5325" s="2" t="str">
        <f>IFERROR(__xludf.DUMMYFUNCTION("""COMPUTED_VALUE"""),"TBS")</f>
        <v>TBS</v>
      </c>
      <c r="E5325" s="2" t="str">
        <f>IFERROR(__xludf.DUMMYFUNCTION("""COMPUTED_VALUE"""),"金22")</f>
        <v>金22</v>
      </c>
      <c r="F5325" s="2" t="s">
        <v>14739</v>
      </c>
      <c r="G5325" s="2" t="s">
        <v>14758</v>
      </c>
      <c r="H5325" s="1">
        <v>10.0</v>
      </c>
      <c r="J5325" s="1" t="s">
        <v>86</v>
      </c>
      <c r="K5325" s="2" t="s">
        <v>14759</v>
      </c>
      <c r="L5325" s="2"/>
      <c r="M5325" s="2" t="str">
        <f>IFERROR(__xludf.DUMMYFUNCTION("split(split(K5325,""【"",false),""公式LINE"",false)"),"最終回　天童荒太が、このドラマのために書き下ろしたラストシーンの台詞は必見。誰もが持つ心の欠損に、初めて光を当てたこの物語のラストは出演者も嗚咽がとまらなかった。松雪泰子　伊藤淳史　北山宏光　水野美紀　篠田麻里子　山口紗弥加　平岡祐太　秋山菜津子　財前直見　遠藤憲一天童荒太（新潮文庫　刊）  脚本　大石静  演出　坪井敏雄主題歌　androp「Shout」  ◇番組HP http://www.tbs.co.jp/kazokugari/  ◇ツイッター  @Kazokugari_tbs  https://t"&amp;"witter.com/Kazokugari_tbs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最終回　天童荒太が、このドラマのために書き下ろしたラストシーンの台詞は必見。誰もが持つ心の欠損に、初めて光を当てたこの物語のラストは出演者も嗚咽がとまらなかった。松雪泰子　伊藤淳史　北山宏光　水野美紀　篠田麻里子　山口紗弥加　平岡祐太　秋山菜津子　財前直見　遠藤憲一天童荒太（新潮文庫　刊）  脚本　大石静  演出　坪井敏雄主題歌　androp「Shout」  ◇番組HP http://www.tbs.co.jp/kazokugari/  ◇ツイッター  @Kazokugari_tbs  https://twitter.com/Kazokugari_tbs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25" s="2"/>
      <c r="O5325" s="2"/>
      <c r="P5325" s="1"/>
      <c r="Q5325" s="1"/>
      <c r="R5325" s="1"/>
      <c r="S5325" s="1"/>
      <c r="T5325" s="1"/>
      <c r="U5325" s="1"/>
      <c r="V5325" s="1"/>
      <c r="W5325" s="1"/>
      <c r="X5325" s="1"/>
      <c r="Y5325" s="1"/>
      <c r="Z5325" s="1"/>
      <c r="AA5325" s="1"/>
      <c r="AB5325" s="1"/>
      <c r="AC5325" s="1"/>
      <c r="AD5325" s="1"/>
      <c r="AE5325" s="1"/>
      <c r="AF5325" s="1"/>
      <c r="AG5325" s="1"/>
      <c r="AH5325" s="1"/>
      <c r="AI5325" s="1"/>
      <c r="AJ5325" s="1"/>
      <c r="AK5325" s="1"/>
      <c r="AL5325" s="1"/>
      <c r="AM5325" s="1"/>
      <c r="AN5325" s="1"/>
      <c r="AO5325" s="1"/>
      <c r="AP5325" s="1"/>
      <c r="AQ5325" s="1"/>
      <c r="AR5325" s="1"/>
      <c r="AS5325" s="1"/>
      <c r="AT5325" s="1"/>
      <c r="AU5325" s="1"/>
      <c r="AV5325" s="1"/>
      <c r="AW5325" s="1"/>
      <c r="AX5325" s="1"/>
      <c r="AY5325" s="1"/>
      <c r="AZ5325" s="1"/>
      <c r="BA5325" s="1"/>
      <c r="BB5325" s="1"/>
    </row>
    <row r="5326" ht="204.75" customHeight="1">
      <c r="A5326" s="1">
        <v>2689.0</v>
      </c>
      <c r="B5326" s="2" t="s">
        <v>14760</v>
      </c>
      <c r="C5326" s="2">
        <f>IFERROR(__xludf.DUMMYFUNCTION("split(B5326,""_"")"),1407.0)</f>
        <v>1407</v>
      </c>
      <c r="D5326" s="2" t="str">
        <f>IFERROR(__xludf.DUMMYFUNCTION("""COMPUTED_VALUE"""),"TBS")</f>
        <v>TBS</v>
      </c>
      <c r="E5326" s="2" t="str">
        <f>IFERROR(__xludf.DUMMYFUNCTION("""COMPUTED_VALUE"""),"日21")</f>
        <v>日21</v>
      </c>
      <c r="F5326" s="2" t="s">
        <v>14761</v>
      </c>
      <c r="G5326" s="2" t="s">
        <v>14762</v>
      </c>
      <c r="H5326" s="1">
        <v>1.0</v>
      </c>
      <c r="J5326" s="1" t="s">
        <v>11</v>
      </c>
      <c r="K5326" s="2" t="s">
        <v>14763</v>
      </c>
      <c r="L5326" s="2"/>
      <c r="M5326" s="2" t="str">
        <f>IFERROR(__xludf.DUMMYFUNCTION("split(split(K5326,""【"",false),""公式LINE"",false)"),"父・圭太郎(田村正和)と娘・瞳子（松たか子）は、二人で寄り添うように生きてきた。圭太郎は自分以外の人間と生きていこうとしない瞳子を心配していた。ある日、瞳子は同僚の奥住（バカリズム）に突然プロポーズされるが、「今が幸せだから」と断わる。その夜圭太郎が食中毒で病院に運ばれると、独りきりになった瞳子に恐怖が襲い、発作を起こしてしまう。目が覚めた圭太郎は瞳子を救う為、病院を抜け家へと急ぐ…。樋口圭太郎…田村正和  樋口瞳子…松　たか子  奥住…バカリズム  川崎悦子…キムラ緑子  茂原吾一…角野卓造  重松一臣"&amp;"…渡辺　大  塩田…鈴之助  樋口紫子…水谷理砂  幼い瞳子…内田　愛  中学生の瞳子…田中　明  向かいの家の人…夏川加奈子  女教師…鯉沼トキ  医師…岩本　淳  古本屋店主…矢崎　まなぶ  医師（情報番組内）　洲矢新吾  ミツコ（情報番組内）　松長ゆり子10人の脚本家と10組の名優で10の物語を紡ぐ『おやじの背中』第一話。脚本…岡田惠和　演出…山室大輔　プロデュース…八木康夫◇番組HP  http://www.tbs.co.jp/oyajinosenaka/    ◇Twitter  @oyaji_"&amp;"tbs  https://twitter.com/oyaji_tbs  （新ドラマ）田村正和と松たか子16年ぶり共演！脚本・岡田恵和　7/13日曜劇場『おやじの背中』予告動画公開しました！  http://youtu.be/xiy5m24BppM  あのノックアウトはお父さんの宝物だ・・・7/20日曜劇場『おやじの背中』2話　脚本・坂元裕二　動画公開しました！  http://youtu.be/NEaJIybYZKE  9月開幕、アジア40億人の頂点をかけたアジア最大スポーツの祭典。競技数はオリンピックを"&amp;"超える36。かつて高橋尚子がアジア新、競泳・北島が世界新を樹立。柔道・田村亮子、競泳・鈴木大地らが伝説を築いた。番組の内容と放送時間は、変更になる場合があります。")</f>
        <v>父・圭太郎(田村正和)と娘・瞳子（松たか子）は、二人で寄り添うように生きてきた。圭太郎は自分以外の人間と生きていこうとしない瞳子を心配していた。ある日、瞳子は同僚の奥住（バカリズム）に突然プロポーズされるが、「今が幸せだから」と断わる。その夜圭太郎が食中毒で病院に運ばれると、独りきりになった瞳子に恐怖が襲い、発作を起こしてしまう。目が覚めた圭太郎は瞳子を救う為、病院を抜け家へと急ぐ…。樋口圭太郎…田村正和  樋口瞳子…松　たか子  奥住…バカリズム  川崎悦子…キムラ緑子  茂原吾一…角野卓造  重松一臣…渡辺　大  塩田…鈴之助  樋口紫子…水谷理砂  幼い瞳子…内田　愛  中学生の瞳子…田中　明  向かいの家の人…夏川加奈子  女教師…鯉沼トキ  医師…岩本　淳  古本屋店主…矢崎　まなぶ  医師（情報番組内）　洲矢新吾  ミツコ（情報番組内）　松長ゆり子10人の脚本家と10組の名優で10の物語を紡ぐ『おやじの背中』第一話。脚本…岡田惠和　演出…山室大輔　プロデュース…八木康夫◇番組HP  http://www.tbs.co.jp/oyajinosenaka/    ◇Twitter  @oyaji_tbs  https://twitter.com/oyaji_tbs  （新ドラマ）田村正和と松たか子16年ぶり共演！脚本・岡田恵和　7/13日曜劇場『おやじの背中』予告動画公開しました！  http://youtu.be/xiy5m24BppM  あのノックアウトはお父さんの宝物だ・・・7/20日曜劇場『おやじの背中』2話　脚本・坂元裕二　動画公開しました！  http://youtu.be/NEaJIybYZKE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26" s="2"/>
      <c r="O5326" s="2"/>
      <c r="P5326" s="1"/>
      <c r="Q5326" s="1"/>
      <c r="R5326" s="1"/>
      <c r="S5326" s="1"/>
      <c r="T5326" s="1"/>
      <c r="U5326" s="1"/>
      <c r="V5326" s="1"/>
      <c r="W5326" s="1"/>
      <c r="X5326" s="1"/>
      <c r="Y5326" s="1"/>
      <c r="Z5326" s="1"/>
      <c r="AA5326" s="1"/>
      <c r="AB5326" s="1"/>
      <c r="AC5326" s="1"/>
      <c r="AD5326" s="1"/>
      <c r="AE5326" s="1"/>
      <c r="AF5326" s="1"/>
      <c r="AG5326" s="1"/>
      <c r="AH5326" s="1"/>
      <c r="AI5326" s="1"/>
      <c r="AJ5326" s="1"/>
      <c r="AK5326" s="1"/>
      <c r="AL5326" s="1"/>
      <c r="AM5326" s="1"/>
      <c r="AN5326" s="1"/>
      <c r="AO5326" s="1"/>
      <c r="AP5326" s="1"/>
      <c r="AQ5326" s="1"/>
      <c r="AR5326" s="1"/>
      <c r="AS5326" s="1"/>
      <c r="AT5326" s="1"/>
      <c r="AU5326" s="1"/>
      <c r="AV5326" s="1"/>
      <c r="AW5326" s="1"/>
      <c r="AX5326" s="1"/>
      <c r="AY5326" s="1"/>
      <c r="AZ5326" s="1"/>
      <c r="BA5326" s="1"/>
      <c r="BB5326" s="1"/>
    </row>
    <row r="5327" ht="204.75" customHeight="1">
      <c r="A5327" s="1">
        <v>2690.0</v>
      </c>
      <c r="B5327" s="2" t="s">
        <v>14760</v>
      </c>
      <c r="C5327" s="2">
        <f>IFERROR(__xludf.DUMMYFUNCTION("split(B5327,""_"")"),1407.0)</f>
        <v>1407</v>
      </c>
      <c r="D5327" s="2" t="str">
        <f>IFERROR(__xludf.DUMMYFUNCTION("""COMPUTED_VALUE"""),"TBS")</f>
        <v>TBS</v>
      </c>
      <c r="E5327" s="2" t="str">
        <f>IFERROR(__xludf.DUMMYFUNCTION("""COMPUTED_VALUE"""),"日21")</f>
        <v>日21</v>
      </c>
      <c r="F5327" s="2" t="s">
        <v>14761</v>
      </c>
      <c r="G5327" s="2" t="s">
        <v>14764</v>
      </c>
      <c r="H5327" s="1">
        <v>2.0</v>
      </c>
      <c r="J5327" s="1" t="s">
        <v>11</v>
      </c>
      <c r="K5327" s="2" t="s">
        <v>14765</v>
      </c>
      <c r="L5327" s="2"/>
      <c r="M5327" s="2" t="str">
        <f>IFERROR(__xludf.DUMMYFUNCTION("split(split(K5327,""【"",false),""公式LINE"",false)"),"元ボクサーの父・草輔（役所広司）と娘の誠（満島ひかり）は、トレーナーと選手としてボクシングの五輪出場を目指し、トレーニングを重ねてきた。誠は彼氏が出来ても草輔に別れさせられ、生まれて初めて買ったブラジャーも川に投げ捨てられた。厳しい減量やロードワークをこなし、恋愛も青春も全て父との夢に捧げ、遂に五輪選考会に挑戦するが…。　青木草輔…役所広司  青木誠…満島ひかり  高城亜利沙…山本美月  青木佐知子…浅田美代子  雄介…小関裕太  小口…蕨野友也  村越…井上肇  溝口…岩田丸  商店街のおばさん…藤本洋"&amp;"子  パチンコ屋の店員…鬼頭真也  三歳の誠…矢崎由紗　10人の脚本家と10組の名優で10の物語を紡ぐ『おやじの背中』第二話。　脚本…坂元裕二　監督…鶴橋康夫　プロデュース…八木康夫　◇番組HP  http://www.tbs.co.jp/oyajinosenaka/    ◇Twitter  @oyaji_tbs  https://twitter.com/oyaji_tbs  あのノックアウトはお父さんの宝物だ・・・7/20日曜劇場『おやじの背中』2話　脚本・坂元裕二　動画公開しました！  http:/"&amp;"/youtu.be/NEaJIybYZKE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元ボクサーの父・草輔（役所広司）と娘の誠（満島ひかり）は、トレーナーと選手としてボクシングの五輪出場を目指し、トレーニングを重ねてきた。誠は彼氏が出来ても草輔に別れさせられ、生まれて初めて買ったブラジャーも川に投げ捨てられた。厳しい減量やロードワークをこなし、恋愛も青春も全て父との夢に捧げ、遂に五輪選考会に挑戦するが…。　青木草輔…役所広司  青木誠…満島ひかり  高城亜利沙…山本美月  青木佐知子…浅田美代子  雄介…小関裕太  小口…蕨野友也  村越…井上肇  溝口…岩田丸  商店街のおばさん…藤本洋子  パチンコ屋の店員…鬼頭真也  三歳の誠…矢崎由紗　10人の脚本家と10組の名優で10の物語を紡ぐ『おやじの背中』第二話。　脚本…坂元裕二　監督…鶴橋康夫　プロデュース…八木康夫　◇番組HP  http://www.tbs.co.jp/oyajinosenaka/    ◇Twitter  @oyaji_tbs  https://twitter.com/oyaji_tbs  あのノックアウトはお父さんの宝物だ・・・7/20日曜劇場『おやじの背中』2話　脚本・坂元裕二　動画公開しました！  http://youtu.be/NEaJIybYZKE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27" s="2"/>
      <c r="O5327" s="2"/>
      <c r="P5327" s="1"/>
      <c r="Q5327" s="1"/>
      <c r="R5327" s="1"/>
      <c r="S5327" s="1"/>
      <c r="T5327" s="1"/>
      <c r="U5327" s="1"/>
      <c r="V5327" s="1"/>
      <c r="W5327" s="1"/>
      <c r="X5327" s="1"/>
      <c r="Y5327" s="1"/>
      <c r="Z5327" s="1"/>
      <c r="AA5327" s="1"/>
      <c r="AB5327" s="1"/>
      <c r="AC5327" s="1"/>
      <c r="AD5327" s="1"/>
      <c r="AE5327" s="1"/>
      <c r="AF5327" s="1"/>
      <c r="AG5327" s="1"/>
      <c r="AH5327" s="1"/>
      <c r="AI5327" s="1"/>
      <c r="AJ5327" s="1"/>
      <c r="AK5327" s="1"/>
      <c r="AL5327" s="1"/>
      <c r="AM5327" s="1"/>
      <c r="AN5327" s="1"/>
      <c r="AO5327" s="1"/>
      <c r="AP5327" s="1"/>
      <c r="AQ5327" s="1"/>
      <c r="AR5327" s="1"/>
      <c r="AS5327" s="1"/>
      <c r="AT5327" s="1"/>
      <c r="AU5327" s="1"/>
      <c r="AV5327" s="1"/>
      <c r="AW5327" s="1"/>
      <c r="AX5327" s="1"/>
      <c r="AY5327" s="1"/>
      <c r="AZ5327" s="1"/>
      <c r="BA5327" s="1"/>
      <c r="BB5327" s="1"/>
    </row>
    <row r="5328" ht="204.75" customHeight="1">
      <c r="A5328" s="1">
        <v>2691.0</v>
      </c>
      <c r="B5328" s="2" t="s">
        <v>14760</v>
      </c>
      <c r="C5328" s="2">
        <f>IFERROR(__xludf.DUMMYFUNCTION("split(B5328,""_"")"),1407.0)</f>
        <v>1407</v>
      </c>
      <c r="D5328" s="2" t="str">
        <f>IFERROR(__xludf.DUMMYFUNCTION("""COMPUTED_VALUE"""),"TBS")</f>
        <v>TBS</v>
      </c>
      <c r="E5328" s="2" t="str">
        <f>IFERROR(__xludf.DUMMYFUNCTION("""COMPUTED_VALUE"""),"日21")</f>
        <v>日21</v>
      </c>
      <c r="F5328" s="2" t="s">
        <v>14761</v>
      </c>
      <c r="G5328" s="2" t="s">
        <v>14766</v>
      </c>
      <c r="H5328" s="1">
        <v>3.0</v>
      </c>
      <c r="J5328" s="1" t="s">
        <v>11</v>
      </c>
      <c r="K5328" s="2" t="s">
        <v>14767</v>
      </c>
      <c r="L5328" s="2"/>
      <c r="M5328" s="2" t="str">
        <f>IFERROR(__xludf.DUMMYFUNCTION("split(split(K5328,""【"",false),""公式LINE"",false)"),"小泉金次郎（西田敏行）は金属加工会社を一代で築き上げたワンマン社長である。金次郎は、受勲者が周囲に配る記念メダルを長年懸命に作り続けていた。しかし今や会社の会議でも自分の案は全く通らない、工場の騒音のせいで耳が遠くなる、部下や家族にも蔑ろにされる…金次郎は不満がたまっていた…。そしてある夜、金次郎は新橋で旧友と飲んだ後、家に帰らず姿を消してしまう。すると小泉家に家族や幼馴染が大集合して…。小泉金次郎…西田敏行  小泉秋子…由紀さおり  大塚喜平…小林稔侍  小泉金一…光石　研  小泉歌子…中島ひろ子  小"&amp;"泉しのぶ…広瀬すず  武田一平…梨本謙次郎  武田エリ…木村多江  小泉夕子…MEGUMI  竹中玲子…市川実日子  加納茂吉…織本順吉  南　寛…大杉漣  向田春彦…田山涼成  村田　修…中西良太  社員…井川哲也  工員1…平尾　仁  工員2…寺井文孝  病院呼び出し…柳下季里ナレーター…徳光和夫  ほか10人の脚本家と10組の名優で10の物語を紡ぐ『おやじの背中』第三話。脚本…倉本聰　演出…石橋冠　プロデュース…八木康夫◇番組HP  http://www.tbs.co.jp/oyajinosenak"&amp;"a/    ◇Twitter  @oyaji_tbs  https://twitter.com/oyaji_tbs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小泉金次郎（西田敏行）は金属加工会社を一代で築き上げたワンマン社長である。金次郎は、受勲者が周囲に配る記念メダルを長年懸命に作り続けていた。しかし今や会社の会議でも自分の案は全く通らない、工場の騒音のせいで耳が遠くなる、部下や家族にも蔑ろにされる…金次郎は不満がたまっていた…。そしてある夜、金次郎は新橋で旧友と飲んだ後、家に帰らず姿を消してしまう。すると小泉家に家族や幼馴染が大集合して…。小泉金次郎…西田敏行  小泉秋子…由紀さおり  大塚喜平…小林稔侍  小泉金一…光石　研  小泉歌子…中島ひろ子  小泉しのぶ…広瀬すず  武田一平…梨本謙次郎  武田エリ…木村多江  小泉夕子…MEGUMI  竹中玲子…市川実日子  加納茂吉…織本順吉  南　寛…大杉漣  向田春彦…田山涼成  村田　修…中西良太  社員…井川哲也  工員1…平尾　仁  工員2…寺井文孝  病院呼び出し…柳下季里ナレーター…徳光和夫  ほか10人の脚本家と10組の名優で10の物語を紡ぐ『おやじの背中』第三話。脚本…倉本聰　演出…石橋冠　プロデュース…八木康夫◇番組HP  http://www.tbs.co.jp/oyajinosenaka/    ◇Twitter  @oyaji_tbs  https://twitter.com/oyaji_tbs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28" s="2"/>
      <c r="O5328" s="2"/>
      <c r="P5328" s="1"/>
      <c r="Q5328" s="1"/>
      <c r="R5328" s="1"/>
      <c r="S5328" s="1"/>
      <c r="T5328" s="1"/>
      <c r="U5328" s="1"/>
      <c r="V5328" s="1"/>
      <c r="W5328" s="1"/>
      <c r="X5328" s="1"/>
      <c r="Y5328" s="1"/>
      <c r="Z5328" s="1"/>
      <c r="AA5328" s="1"/>
      <c r="AB5328" s="1"/>
      <c r="AC5328" s="1"/>
      <c r="AD5328" s="1"/>
      <c r="AE5328" s="1"/>
      <c r="AF5328" s="1"/>
      <c r="AG5328" s="1"/>
      <c r="AH5328" s="1"/>
      <c r="AI5328" s="1"/>
      <c r="AJ5328" s="1"/>
      <c r="AK5328" s="1"/>
      <c r="AL5328" s="1"/>
      <c r="AM5328" s="1"/>
      <c r="AN5328" s="1"/>
      <c r="AO5328" s="1"/>
      <c r="AP5328" s="1"/>
      <c r="AQ5328" s="1"/>
      <c r="AR5328" s="1"/>
      <c r="AS5328" s="1"/>
      <c r="AT5328" s="1"/>
      <c r="AU5328" s="1"/>
      <c r="AV5328" s="1"/>
      <c r="AW5328" s="1"/>
      <c r="AX5328" s="1"/>
      <c r="AY5328" s="1"/>
      <c r="AZ5328" s="1"/>
      <c r="BA5328" s="1"/>
      <c r="BB5328" s="1"/>
    </row>
    <row r="5329" ht="204.75" customHeight="1">
      <c r="A5329" s="1">
        <v>2692.0</v>
      </c>
      <c r="B5329" s="2" t="s">
        <v>14760</v>
      </c>
      <c r="C5329" s="2">
        <f>IFERROR(__xludf.DUMMYFUNCTION("split(B5329,""_"")"),1407.0)</f>
        <v>1407</v>
      </c>
      <c r="D5329" s="2" t="str">
        <f>IFERROR(__xludf.DUMMYFUNCTION("""COMPUTED_VALUE"""),"TBS")</f>
        <v>TBS</v>
      </c>
      <c r="E5329" s="2" t="str">
        <f>IFERROR(__xludf.DUMMYFUNCTION("""COMPUTED_VALUE"""),"日21")</f>
        <v>日21</v>
      </c>
      <c r="F5329" s="2" t="s">
        <v>14761</v>
      </c>
      <c r="G5329" s="2" t="s">
        <v>14768</v>
      </c>
      <c r="H5329" s="1">
        <v>4.0</v>
      </c>
      <c r="J5329" s="1" t="s">
        <v>11</v>
      </c>
      <c r="K5329" s="2" t="s">
        <v>14769</v>
      </c>
      <c r="L5329" s="2"/>
      <c r="M5329" s="2" t="str">
        <f>IFERROR(__xludf.DUMMYFUNCTION("split(split(K5329,""【"",false),""公式LINE"",false)"),"慎介 (中村勘九郎) は父・賢三 (渡瀬恒彦)を心から認める事が出来なかった 。母・幸恵（神野三鈴）が亡くなってからは一度も会ってなかったが、ある日賢三は慎介を秩父札所参りに誘う。妻・加奈子 (ともさかりえ) の勧めもあって出かける慎介だったが、父の思惑が分からないまま山道を歩いていく…。今さら思い出話ばかりする賢三に慎介は憤りを感じるが、やがて幸恵の「あの日のこと」に話が及んで…。  麻倉賢三…渡瀬恒彦  麻倉慎介…中村勘九郎  麻倉加奈子…ともさかりえ  麻倉幸恵…神野三鈴  熟年女性1…山口みよ子 "&amp;" 熟年女性2…酒井麻吏男1…伊住聰志  男2…日下部千太郎  男3…師岡広明  仲居…島邑みか  慎介の息子…岩田遥  幼稚園児の慎介…杉園啓仁  小学生の慎介…三谷翔太  中学生の慎介…黒濱優至脚本…鎌田敏夫　演出…山室大輔　プロデュース…八木康夫10人の脚本家と10組の名優で10の物語を紡ぐ『おやじの背中』第四話。次週以降の脚本家と出演者は次週予告で発表します。お見逃しなく！◇番組HP  http://www.tbs.co.jp/oyajinosenaka/    ◇Twitter  @oyaji_t"&amp;"bs  https://twitter.com/oyaji_tbs  亡き母の想いを胸に旅に出た父子は…脚本・鎌田敏夫「母の秘密」　8/3日曜劇場『おやじの背中』動画公開しました！  http://youtu.be/ksF8IBweZic  西田敏行・渡瀬恒彦・中村勘九郎・遠藤憲一・・・名優 たちが語る「おやじの背中」スペシャルインタビュー動画公開しました！  http://youtu.be/QIhj7KPekUw  9月開幕、アジア40億人の頂点をかけたアジア最大スポーツの祭典。競技数はオリンピックを超"&amp;"える36。かつて高橋尚子がアジア新、競泳・北島が世界新を樹立。柔道・田村亮子、競泳・鈴木大地らが伝説を築いた。番組の内容と放送時間は、変更になる場合があります。")</f>
        <v>慎介 (中村勘九郎) は父・賢三 (渡瀬恒彦)を心から認める事が出来なかった 。母・幸恵（神野三鈴）が亡くなってからは一度も会ってなかったが、ある日賢三は慎介を秩父札所参りに誘う。妻・加奈子 (ともさかりえ) の勧めもあって出かける慎介だったが、父の思惑が分からないまま山道を歩いていく…。今さら思い出話ばかりする賢三に慎介は憤りを感じるが、やがて幸恵の「あの日のこと」に話が及んで…。  麻倉賢三…渡瀬恒彦  麻倉慎介…中村勘九郎  麻倉加奈子…ともさかりえ  麻倉幸恵…神野三鈴  熟年女性1…山口みよ子  熟年女性2…酒井麻吏男1…伊住聰志  男2…日下部千太郎  男3…師岡広明  仲居…島邑みか  慎介の息子…岩田遥  幼稚園児の慎介…杉園啓仁  小学生の慎介…三谷翔太  中学生の慎介…黒濱優至脚本…鎌田敏夫　演出…山室大輔　プロデュース…八木康夫10人の脚本家と10組の名優で10の物語を紡ぐ『おやじの背中』第四話。次週以降の脚本家と出演者は次週予告で発表します。お見逃しなく！◇番組HP  http://www.tbs.co.jp/oyajinosenaka/    ◇Twitter  @oyaji_tbs  https://twitter.com/oyaji_tbs  亡き母の想いを胸に旅に出た父子は…脚本・鎌田敏夫「母の秘密」　8/3日曜劇場『おやじの背中』動画公開しました！  http://youtu.be/ksF8IBweZic  西田敏行・渡瀬恒彦・中村勘九郎・遠藤憲一・・・名優 たちが語る「おやじの背中」スペシャルインタビュー動画公開しました！  http://youtu.be/QIhj7KPekUw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29" s="2"/>
      <c r="O5329" s="2"/>
      <c r="P5329" s="1"/>
      <c r="Q5329" s="1"/>
      <c r="R5329" s="1"/>
      <c r="S5329" s="1"/>
      <c r="T5329" s="1"/>
      <c r="U5329" s="1"/>
      <c r="V5329" s="1"/>
      <c r="W5329" s="1"/>
      <c r="X5329" s="1"/>
      <c r="Y5329" s="1"/>
      <c r="Z5329" s="1"/>
      <c r="AA5329" s="1"/>
      <c r="AB5329" s="1"/>
      <c r="AC5329" s="1"/>
      <c r="AD5329" s="1"/>
      <c r="AE5329" s="1"/>
      <c r="AF5329" s="1"/>
      <c r="AG5329" s="1"/>
      <c r="AH5329" s="1"/>
      <c r="AI5329" s="1"/>
      <c r="AJ5329" s="1"/>
      <c r="AK5329" s="1"/>
      <c r="AL5329" s="1"/>
      <c r="AM5329" s="1"/>
      <c r="AN5329" s="1"/>
      <c r="AO5329" s="1"/>
      <c r="AP5329" s="1"/>
      <c r="AQ5329" s="1"/>
      <c r="AR5329" s="1"/>
      <c r="AS5329" s="1"/>
      <c r="AT5329" s="1"/>
      <c r="AU5329" s="1"/>
      <c r="AV5329" s="1"/>
      <c r="AW5329" s="1"/>
      <c r="AX5329" s="1"/>
      <c r="AY5329" s="1"/>
      <c r="AZ5329" s="1"/>
      <c r="BA5329" s="1"/>
      <c r="BB5329" s="1"/>
    </row>
    <row r="5330" ht="204.75" customHeight="1">
      <c r="A5330" s="1">
        <v>2693.0</v>
      </c>
      <c r="B5330" s="2" t="s">
        <v>14760</v>
      </c>
      <c r="C5330" s="2">
        <f>IFERROR(__xludf.DUMMYFUNCTION("split(B5330,""_"")"),1407.0)</f>
        <v>1407</v>
      </c>
      <c r="D5330" s="2" t="str">
        <f>IFERROR(__xludf.DUMMYFUNCTION("""COMPUTED_VALUE"""),"TBS")</f>
        <v>TBS</v>
      </c>
      <c r="E5330" s="2" t="str">
        <f>IFERROR(__xludf.DUMMYFUNCTION("""COMPUTED_VALUE"""),"日21")</f>
        <v>日21</v>
      </c>
      <c r="F5330" s="2" t="s">
        <v>14761</v>
      </c>
      <c r="G5330" s="2" t="s">
        <v>14770</v>
      </c>
      <c r="H5330" s="1">
        <v>5.0</v>
      </c>
      <c r="J5330" s="1" t="s">
        <v>11</v>
      </c>
      <c r="K5330" s="2" t="s">
        <v>14771</v>
      </c>
      <c r="L5330" s="2"/>
      <c r="M5330" s="2" t="str">
        <f>IFERROR(__xludf.DUMMYFUNCTION("split(split(K5330,""【"",false),""公式LINE"",false)"),"警察官・三冬（堀北真希）の父・正（遠藤憲一）は悪役専門の役者。テレビの中で斬られて死ぬ正の姿を、三冬は幼い頃から見てきた。ある日、同僚で幼馴染のマサル（溝端淳平）から結婚式に出席しないでくれと言われる三冬。それを見かねて職場に乗り込んできた正に三冬は激怒する。その時、通りすがりの子供が正にヒーローごっこを仕掛けてきた。いつもの様に応えてやられて死んでみせる正。だが何故か倒れた正が立ち上がらない…。丸井 三冬…堀北 真希  佐々木 勝（マサル）…溝端 淳平  静香…谷村 美月  ヒーロー役…小柳 友  三冬"&amp;"の同僚…安藤 玉恵  丸井 弓子…薬師丸 ひろ子（特別出演）  丸井 正…遠藤 憲一  三冬の上司…河野 洋一郎  監督1…宮崎 吐夢  監督2…安井 順平  ヤクザ風の男…赤星 昇一郎  時代劇・斬り役…関根 大学  殺し屋…矢部 太郎  小三の三冬…須田 琥珀  ホナミ…内田未来子供1…神保 龍之介  子供2…阿由葉 朱凌  看護師1…白土 直子  看護師2…勝平 ともこ  花嫁…井端 珠里  子供の母親…羽鳥 名美子  AD1…龍輝  医者…重村 佳伸10人の脚本家と10組の名優で10の物語を紡ぐ『"&amp;"おやじの背中』第五話。脚本…木皿泉　演出…北川雅一　プロデュース…八木康夫◇番組HP  http://www.tbs.co.jp/oyajinosenaka/    ◇Twitter  @oyaji_tbs  https://twitter.com/oyaji_tbs  次週以降の脚本家と出演者は次週予告で発表します。お見逃しなく！9月開幕、アジア40億人の頂点をかけたアジア最大スポーツの祭典。競技数はオリンピックを超える36。かつて高橋尚子がアジア新、競泳・北島が世界新を樹立。柔道・田村亮子、競泳・鈴木"&amp;"大地らが伝説を築いた。番組の内容と放送時間は、変更になる場合があります。")</f>
        <v>警察官・三冬（堀北真希）の父・正（遠藤憲一）は悪役専門の役者。テレビの中で斬られて死ぬ正の姿を、三冬は幼い頃から見てきた。ある日、同僚で幼馴染のマサル（溝端淳平）から結婚式に出席しないでくれと言われる三冬。それを見かねて職場に乗り込んできた正に三冬は激怒する。その時、通りすがりの子供が正にヒーローごっこを仕掛けてきた。いつもの様に応えてやられて死んでみせる正。だが何故か倒れた正が立ち上がらない…。丸井 三冬…堀北 真希  佐々木 勝（マサル）…溝端 淳平  静香…谷村 美月  ヒーロー役…小柳 友  三冬の同僚…安藤 玉恵  丸井 弓子…薬師丸 ひろ子（特別出演）  丸井 正…遠藤 憲一  三冬の上司…河野 洋一郎  監督1…宮崎 吐夢  監督2…安井 順平  ヤクザ風の男…赤星 昇一郎  時代劇・斬り役…関根 大学  殺し屋…矢部 太郎  小三の三冬…須田 琥珀  ホナミ…内田未来子供1…神保 龍之介  子供2…阿由葉 朱凌  看護師1…白土 直子  看護師2…勝平 ともこ  花嫁…井端 珠里  子供の母親…羽鳥 名美子  AD1…龍輝  医者…重村 佳伸10人の脚本家と10組の名優で10の物語を紡ぐ『おやじの背中』第五話。脚本…木皿泉　演出…北川雅一　プロデュース…八木康夫◇番組HP  http://www.tbs.co.jp/oyajinosenaka/    ◇Twitter  @oyaji_tbs  https://twitter.com/oyaji_tbs  次週以降の脚本家と出演者は次週予告で発表します。お見逃しなく！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30" s="2"/>
      <c r="O5330" s="2"/>
      <c r="P5330" s="1"/>
      <c r="Q5330" s="1"/>
      <c r="R5330" s="1"/>
      <c r="S5330" s="1"/>
      <c r="T5330" s="1"/>
      <c r="U5330" s="1"/>
      <c r="V5330" s="1"/>
      <c r="W5330" s="1"/>
      <c r="X5330" s="1"/>
      <c r="Y5330" s="1"/>
      <c r="Z5330" s="1"/>
      <c r="AA5330" s="1"/>
      <c r="AB5330" s="1"/>
      <c r="AC5330" s="1"/>
      <c r="AD5330" s="1"/>
      <c r="AE5330" s="1"/>
      <c r="AF5330" s="1"/>
      <c r="AG5330" s="1"/>
      <c r="AH5330" s="1"/>
      <c r="AI5330" s="1"/>
      <c r="AJ5330" s="1"/>
      <c r="AK5330" s="1"/>
      <c r="AL5330" s="1"/>
      <c r="AM5330" s="1"/>
      <c r="AN5330" s="1"/>
      <c r="AO5330" s="1"/>
      <c r="AP5330" s="1"/>
      <c r="AQ5330" s="1"/>
      <c r="AR5330" s="1"/>
      <c r="AS5330" s="1"/>
      <c r="AT5330" s="1"/>
      <c r="AU5330" s="1"/>
      <c r="AV5330" s="1"/>
      <c r="AW5330" s="1"/>
      <c r="AX5330" s="1"/>
      <c r="AY5330" s="1"/>
      <c r="AZ5330" s="1"/>
      <c r="BA5330" s="1"/>
      <c r="BB5330" s="1"/>
    </row>
    <row r="5331" ht="204.75" customHeight="1">
      <c r="A5331" s="1">
        <v>2694.0</v>
      </c>
      <c r="B5331" s="2" t="s">
        <v>14760</v>
      </c>
      <c r="C5331" s="2">
        <f>IFERROR(__xludf.DUMMYFUNCTION("split(B5331,""_"")"),1407.0)</f>
        <v>1407</v>
      </c>
      <c r="D5331" s="2" t="str">
        <f>IFERROR(__xludf.DUMMYFUNCTION("""COMPUTED_VALUE"""),"TBS")</f>
        <v>TBS</v>
      </c>
      <c r="E5331" s="2" t="str">
        <f>IFERROR(__xludf.DUMMYFUNCTION("""COMPUTED_VALUE"""),"日21")</f>
        <v>日21</v>
      </c>
      <c r="F5331" s="2" t="s">
        <v>14761</v>
      </c>
      <c r="G5331" s="2" t="s">
        <v>14772</v>
      </c>
      <c r="H5331" s="1">
        <v>6.0</v>
      </c>
      <c r="J5331" s="1" t="s">
        <v>11</v>
      </c>
      <c r="K5331" s="2" t="s">
        <v>14773</v>
      </c>
      <c r="L5331" s="2"/>
      <c r="M5331" s="2" t="str">
        <f>IFERROR(__xludf.DUMMYFUNCTION("split(split(K5331,""【"",false),""公式LINE"",false)"),"妻を亡くした父・典久 (國村隼)は 定年退職で第一線からは退いていた。一方、典久の娘・七海 (尾野真千子) は夫（桐谷健太）との間に溝が生まれ、結婚生活に行き詰まっていた。孤独な父を心配する七海、旦那の稼ぎが少ないことを心配する典久。お互いを心配するあまり二人は激しく言い争う…。そんな中、典久が突然思いつきで「婚活」を宣言。意地でも娘に心配されたくない典久は生まれて初めて婚活パーティーに向かう。杉本七海…尾野真千子  吉崎典久…國村隼  杉本大悟…桐谷健太  岡宮芳子…中田喜子  青木久志…本田博太郎  "&amp;"伊達孝弘…伊藤正之  高山亮輔…管勇毅脚本…橋部敦子　演出…竹園元　プロデュース…八木康夫10人の脚本家と10組の名優で10の物語を紡ぐ『おやじの背中』第六話。次週以降の脚本家と出演者は次週予告で発表します。お見逃しなく！◇番組HP  http://www.tbs.co.jp/oyajinosenaka/    ◇Twitter  @oyaji_tbs  https://twitter.com/oyaji_tbs  父が娘の「婚活」！？國村隼・尾野真千子、脚本・橋部敦子8/17「父の再婚、娘の離婚」動画公"&amp;"開しました！  http://youtu.be/zv6hA_UdVoE  渡辺謙と東出昌大が初共演！脚本・山田太一8/24「よろしくな。息子」動画公開しました！  http://youtu.be/-_JlSMeFFxU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妻を亡くした父・典久 (國村隼)は 定年退職で第一線からは退いていた。一方、典久の娘・七海 (尾野真千子) は夫（桐谷健太）との間に溝が生まれ、結婚生活に行き詰まっていた。孤独な父を心配する七海、旦那の稼ぎが少ないことを心配する典久。お互いを心配するあまり二人は激しく言い争う…。そんな中、典久が突然思いつきで「婚活」を宣言。意地でも娘に心配されたくない典久は生まれて初めて婚活パーティーに向かう。杉本七海…尾野真千子  吉崎典久…國村隼  杉本大悟…桐谷健太  岡宮芳子…中田喜子  青木久志…本田博太郎  伊達孝弘…伊藤正之  高山亮輔…管勇毅脚本…橋部敦子　演出…竹園元　プロデュース…八木康夫10人の脚本家と10組の名優で10の物語を紡ぐ『おやじの背中』第六話。次週以降の脚本家と出演者は次週予告で発表します。お見逃しなく！◇番組HP  http://www.tbs.co.jp/oyajinosenaka/    ◇Twitter  @oyaji_tbs  https://twitter.com/oyaji_tbs  父が娘の「婚活」！？國村隼・尾野真千子、脚本・橋部敦子8/17「父の再婚、娘の離婚」動画公開しました！  http://youtu.be/zv6hA_UdVoE  渡辺謙と東出昌大が初共演！脚本・山田太一8/24「よろしくな。息子」動画公開しました！  http://youtu.be/-_JlSMeFFxU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31" s="2"/>
      <c r="O5331" s="2"/>
      <c r="P5331" s="1"/>
      <c r="Q5331" s="1"/>
      <c r="R5331" s="1"/>
      <c r="S5331" s="1"/>
      <c r="T5331" s="1"/>
      <c r="U5331" s="1"/>
      <c r="V5331" s="1"/>
      <c r="W5331" s="1"/>
      <c r="X5331" s="1"/>
      <c r="Y5331" s="1"/>
      <c r="Z5331" s="1"/>
      <c r="AA5331" s="1"/>
      <c r="AB5331" s="1"/>
      <c r="AC5331" s="1"/>
      <c r="AD5331" s="1"/>
      <c r="AE5331" s="1"/>
      <c r="AF5331" s="1"/>
      <c r="AG5331" s="1"/>
      <c r="AH5331" s="1"/>
      <c r="AI5331" s="1"/>
      <c r="AJ5331" s="1"/>
      <c r="AK5331" s="1"/>
      <c r="AL5331" s="1"/>
      <c r="AM5331" s="1"/>
      <c r="AN5331" s="1"/>
      <c r="AO5331" s="1"/>
      <c r="AP5331" s="1"/>
      <c r="AQ5331" s="1"/>
      <c r="AR5331" s="1"/>
      <c r="AS5331" s="1"/>
      <c r="AT5331" s="1"/>
      <c r="AU5331" s="1"/>
      <c r="AV5331" s="1"/>
      <c r="AW5331" s="1"/>
      <c r="AX5331" s="1"/>
      <c r="AY5331" s="1"/>
      <c r="AZ5331" s="1"/>
      <c r="BA5331" s="1"/>
      <c r="BB5331" s="1"/>
    </row>
    <row r="5332" ht="204.75" customHeight="1">
      <c r="A5332" s="1">
        <v>2695.0</v>
      </c>
      <c r="B5332" s="2" t="s">
        <v>14760</v>
      </c>
      <c r="C5332" s="2">
        <f>IFERROR(__xludf.DUMMYFUNCTION("split(B5332,""_"")"),1407.0)</f>
        <v>1407</v>
      </c>
      <c r="D5332" s="2" t="str">
        <f>IFERROR(__xludf.DUMMYFUNCTION("""COMPUTED_VALUE"""),"TBS")</f>
        <v>TBS</v>
      </c>
      <c r="E5332" s="2" t="str">
        <f>IFERROR(__xludf.DUMMYFUNCTION("""COMPUTED_VALUE"""),"日21")</f>
        <v>日21</v>
      </c>
      <c r="F5332" s="2" t="s">
        <v>14761</v>
      </c>
      <c r="G5332" s="2" t="s">
        <v>14774</v>
      </c>
      <c r="H5332" s="1">
        <v>7.0</v>
      </c>
      <c r="J5332" s="1" t="s">
        <v>11</v>
      </c>
      <c r="K5332" s="2" t="s">
        <v>14775</v>
      </c>
      <c r="L5332" s="2"/>
      <c r="M5332" s="2" t="str">
        <f>IFERROR(__xludf.DUMMYFUNCTION("split(split(K5332,""【"",false),""公式LINE"",false)"),"孤独な靴職人の高村（渡辺謙）は深夜のコンビニで強盗（柴田理恵）に遭遇し、警察を呼ぼうとした。だが、若い店員の祐介（東出昌大）は「警察は要らない」と言い、強盗を説得し退散させた。その見事な解決に惚れ込んでしまった高村は後日彼を呼び出した。そこで高村は告白する…。自分は祐介の母親（余貴美子）と見合いをして振られた男だと。だが、高村は彼女以上に祐介に惚れ込んでしまったと言い出して…。渡辺謙、東出昌大、笹野高史、柴田理恵、田島ゆみか、大方斐紗子、椎名泰三、平田薫、余貴美子脚本…山田太一　演出…清弘誠　プロデュース"&amp;"…八木康夫10人の脚本家と10組の名優で10の物語を紡ぐ『おやじの背中』第七話。次週以降の脚本家と出演者は次週予告で発表します。お見逃しなく！◇番組HP  http://www.tbs.co.jp/oyajinosenaka/    ◇Twitter  @oyaji_tbs  https://twitter.com/oyaji_tbs  渡辺謙と東出昌大が初共演！脚本・山田太一8/24「よろしくな。息子」動画公開しました！  http://youtu.be/-_JlSMeFFxU  9月開幕、アジア40億"&amp;"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孤独な靴職人の高村（渡辺謙）は深夜のコンビニで強盗（柴田理恵）に遭遇し、警察を呼ぼうとした。だが、若い店員の祐介（東出昌大）は「警察は要らない」と言い、強盗を説得し退散させた。その見事な解決に惚れ込んでしまった高村は後日彼を呼び出した。そこで高村は告白する…。自分は祐介の母親（余貴美子）と見合いをして振られた男だと。だが、高村は彼女以上に祐介に惚れ込んでしまったと言い出して…。渡辺謙、東出昌大、笹野高史、柴田理恵、田島ゆみか、大方斐紗子、椎名泰三、平田薫、余貴美子脚本…山田太一　演出…清弘誠　プロデュース…八木康夫10人の脚本家と10組の名優で10の物語を紡ぐ『おやじの背中』第七話。次週以降の脚本家と出演者は次週予告で発表します。お見逃しなく！◇番組HP  http://www.tbs.co.jp/oyajinosenaka/    ◇Twitter  @oyaji_tbs  https://twitter.com/oyaji_tbs  渡辺謙と東出昌大が初共演！脚本・山田太一8/24「よろしくな。息子」動画公開しました！  http://youtu.be/-_JlSMeFFxU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32" s="2"/>
      <c r="O5332" s="2"/>
      <c r="P5332" s="1"/>
      <c r="Q5332" s="1"/>
      <c r="R5332" s="1"/>
      <c r="S5332" s="1"/>
      <c r="T5332" s="1"/>
      <c r="U5332" s="1"/>
      <c r="V5332" s="1"/>
      <c r="W5332" s="1"/>
      <c r="X5332" s="1"/>
      <c r="Y5332" s="1"/>
      <c r="Z5332" s="1"/>
      <c r="AA5332" s="1"/>
      <c r="AB5332" s="1"/>
      <c r="AC5332" s="1"/>
      <c r="AD5332" s="1"/>
      <c r="AE5332" s="1"/>
      <c r="AF5332" s="1"/>
      <c r="AG5332" s="1"/>
      <c r="AH5332" s="1"/>
      <c r="AI5332" s="1"/>
      <c r="AJ5332" s="1"/>
      <c r="AK5332" s="1"/>
      <c r="AL5332" s="1"/>
      <c r="AM5332" s="1"/>
      <c r="AN5332" s="1"/>
      <c r="AO5332" s="1"/>
      <c r="AP5332" s="1"/>
      <c r="AQ5332" s="1"/>
      <c r="AR5332" s="1"/>
      <c r="AS5332" s="1"/>
      <c r="AT5332" s="1"/>
      <c r="AU5332" s="1"/>
      <c r="AV5332" s="1"/>
      <c r="AW5332" s="1"/>
      <c r="AX5332" s="1"/>
      <c r="AY5332" s="1"/>
      <c r="AZ5332" s="1"/>
      <c r="BA5332" s="1"/>
      <c r="BB5332" s="1"/>
    </row>
    <row r="5333" ht="204.75" customHeight="1">
      <c r="A5333" s="1">
        <v>2696.0</v>
      </c>
      <c r="B5333" s="2" t="s">
        <v>14760</v>
      </c>
      <c r="C5333" s="2">
        <f>IFERROR(__xludf.DUMMYFUNCTION("split(B5333,""_"")"),1407.0)</f>
        <v>1407</v>
      </c>
      <c r="D5333" s="2" t="str">
        <f>IFERROR(__xludf.DUMMYFUNCTION("""COMPUTED_VALUE"""),"TBS")</f>
        <v>TBS</v>
      </c>
      <c r="E5333" s="2" t="str">
        <f>IFERROR(__xludf.DUMMYFUNCTION("""COMPUTED_VALUE"""),"日21")</f>
        <v>日21</v>
      </c>
      <c r="F5333" s="2" t="s">
        <v>14761</v>
      </c>
      <c r="G5333" s="2" t="s">
        <v>14776</v>
      </c>
      <c r="H5333" s="1">
        <v>8.0</v>
      </c>
      <c r="J5333" s="1" t="s">
        <v>11</v>
      </c>
      <c r="K5333" s="2" t="s">
        <v>14777</v>
      </c>
      <c r="L5333" s="2"/>
      <c r="M5333" s="2" t="str">
        <f>IFERROR(__xludf.DUMMYFUNCTION("split(split(K5333,""【"",false),""公式LINE"",false)"),"駄菓子を愛してやまない春部真（大泉洋）は、駄菓子へのこだわりが原因で会社を転々とし、妻にも逃げられた半人前の父親だった。だが真が作った駄菓子は、息子の湊（田中奏生）の友達にはいつも好評で「お前の父さんは天才だ」と褒められる…。息子にとっては自慢の父親だった。ある日新しい就職先を探す真は、食べ比べをして一番美味しいと感じた駄菓子の会社を訪ねる事にした。そこで社長の羽柴浩太郎（塚本高史）と出会って…。大泉洋、田中哲司、塚本高史、田中奏生、高橋克実　日野陽仁、岩本多代、荻野友里、松尾諭、田中啓三、川島潤哉、我善"&amp;"導、岩澤晶範　五十嵐陽向、内川蓮生、山田日向、高橋琉晟、知念輝、阿部大輝、池端昂暉、藤本哉汰、佐藤詩音、黒澤宏貴、鏑木海智、増田怜雄脚本…池端俊策　演出…坪井敏雄　プロデュース…八木康夫10人の脚本家と10組の名優で10の物語を紡ぐ『おやじの背中』第八話。◇番組HP  http://www.tbs.co.jp/oyajinosenaka/    ◇Twitter  @oyaji_tbs  https://twitter.com/oyaji_tbs  息子に励まされながらロマンを貫く男のほろ苦い物語…脚本・"&amp;"池端俊策8/31「駄菓子」日曜劇場『おやじの背中』動画公開しました！http://youtu.be/7Rqj0iapzBw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駄菓子を愛してやまない春部真（大泉洋）は、駄菓子へのこだわりが原因で会社を転々とし、妻にも逃げられた半人前の父親だった。だが真が作った駄菓子は、息子の湊（田中奏生）の友達にはいつも好評で「お前の父さんは天才だ」と褒められる…。息子にとっては自慢の父親だった。ある日新しい就職先を探す真は、食べ比べをして一番美味しいと感じた駄菓子の会社を訪ねる事にした。そこで社長の羽柴浩太郎（塚本高史）と出会って…。大泉洋、田中哲司、塚本高史、田中奏生、高橋克実　日野陽仁、岩本多代、荻野友里、松尾諭、田中啓三、川島潤哉、我善導、岩澤晶範　五十嵐陽向、内川蓮生、山田日向、高橋琉晟、知念輝、阿部大輝、池端昂暉、藤本哉汰、佐藤詩音、黒澤宏貴、鏑木海智、増田怜雄脚本…池端俊策　演出…坪井敏雄　プロデュース…八木康夫10人の脚本家と10組の名優で10の物語を紡ぐ『おやじの背中』第八話。◇番組HP  http://www.tbs.co.jp/oyajinosenaka/    ◇Twitter  @oyaji_tbs  https://twitter.com/oyaji_tbs  息子に励まされながらロマンを貫く男のほろ苦い物語…脚本・池端俊策8/31「駄菓子」日曜劇場『おやじの背中』動画公開しました！http://youtu.be/7Rqj0iapzBw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33" s="2"/>
      <c r="O5333" s="2"/>
      <c r="P5333" s="1"/>
      <c r="Q5333" s="1"/>
      <c r="R5333" s="1"/>
      <c r="S5333" s="1"/>
      <c r="T5333" s="1"/>
      <c r="U5333" s="1"/>
      <c r="V5333" s="1"/>
      <c r="W5333" s="1"/>
      <c r="X5333" s="1"/>
      <c r="Y5333" s="1"/>
      <c r="Z5333" s="1"/>
      <c r="AA5333" s="1"/>
      <c r="AB5333" s="1"/>
      <c r="AC5333" s="1"/>
      <c r="AD5333" s="1"/>
      <c r="AE5333" s="1"/>
      <c r="AF5333" s="1"/>
      <c r="AG5333" s="1"/>
      <c r="AH5333" s="1"/>
      <c r="AI5333" s="1"/>
      <c r="AJ5333" s="1"/>
      <c r="AK5333" s="1"/>
      <c r="AL5333" s="1"/>
      <c r="AM5333" s="1"/>
      <c r="AN5333" s="1"/>
      <c r="AO5333" s="1"/>
      <c r="AP5333" s="1"/>
      <c r="AQ5333" s="1"/>
      <c r="AR5333" s="1"/>
      <c r="AS5333" s="1"/>
      <c r="AT5333" s="1"/>
      <c r="AU5333" s="1"/>
      <c r="AV5333" s="1"/>
      <c r="AW5333" s="1"/>
      <c r="AX5333" s="1"/>
      <c r="AY5333" s="1"/>
      <c r="AZ5333" s="1"/>
      <c r="BA5333" s="1"/>
      <c r="BB5333" s="1"/>
    </row>
    <row r="5334" ht="204.75" customHeight="1">
      <c r="A5334" s="1">
        <v>2697.0</v>
      </c>
      <c r="B5334" s="2" t="s">
        <v>14760</v>
      </c>
      <c r="C5334" s="2">
        <f>IFERROR(__xludf.DUMMYFUNCTION("split(B5334,""_"")"),1407.0)</f>
        <v>1407</v>
      </c>
      <c r="D5334" s="2" t="str">
        <f>IFERROR(__xludf.DUMMYFUNCTION("""COMPUTED_VALUE"""),"TBS")</f>
        <v>TBS</v>
      </c>
      <c r="E5334" s="2" t="str">
        <f>IFERROR(__xludf.DUMMYFUNCTION("""COMPUTED_VALUE"""),"日21")</f>
        <v>日21</v>
      </c>
      <c r="F5334" s="2" t="s">
        <v>14761</v>
      </c>
      <c r="G5334" s="2" t="s">
        <v>14778</v>
      </c>
      <c r="H5334" s="1">
        <v>9.0</v>
      </c>
      <c r="J5334" s="1" t="s">
        <v>11</v>
      </c>
      <c r="K5334" s="2" t="s">
        <v>14779</v>
      </c>
      <c r="L5334" s="2"/>
      <c r="M5334" s="2" t="str">
        <f>IFERROR(__xludf.DUMMYFUNCTION("split(split(K5334,""【"",false),""公式LINE"",false)"),"大企業に勤める仕事一筋の父(内野聖陽) が突然会社を辞め 「主夫になる」と宣言した。父のコネが頼みだった就活中の息子(神木隆之介) も、家の為に仕事の昇進を断った母(夏川結衣) もこの主夫宣言に呆然となった。楽ができると思い主夫になった父だったが、初めての料理洗濯や近所付き合いは全く上手くいかず悪戦苦闘の日々が始まった。一方、息子も就活に難航していたが、父の退職に理由があると気付き始めて…。内野聖陽、神木隆之介、久本雅美、岡本あずさ、飯田基祐、相島一之、蟹江一平、菜葉菜、高木星来、夏川結衣、西慶子、萩原利"&amp;"映、久ヶ沢徹、麻生淳子、於保佐代子、北見誠、中村有沙、松永渚、岡崎宏、西崎あや、しのへけい子、河合透真10人の脚本家と10組の名優で10の物語を紡ぐ『おやじの背中』第九話。脚本…井上由美子　演出…清弘誠　プロデュース…八木康夫◇番組HP  http://www.tbs.co.jp/oyajinosenaka/    ◇Twitter  @oyaji_tbs  https://twitter.com/oyaji_tbs  9月開幕、アジア40億人の頂点をかけたアジア最大スポーツの祭典。競技数はオリンピックを"&amp;"超える36。かつて高橋尚子がアジア新、競泳・北島が世界新を樹立。柔道・田村亮子、競泳・鈴木大地らが伝説を築いた。「父さん、母になる!?」脚本・井上由美子　9/7日曜劇場『おやじの背中』動画公開しました！  http://youtu.be/y8kOw88vl14  番組の内容と放送時間は、変更になる場合があります。")</f>
        <v>大企業に勤める仕事一筋の父(内野聖陽) が突然会社を辞め 「主夫になる」と宣言した。父のコネが頼みだった就活中の息子(神木隆之介) も、家の為に仕事の昇進を断った母(夏川結衣) もこの主夫宣言に呆然となった。楽ができると思い主夫になった父だったが、初めての料理洗濯や近所付き合いは全く上手くいかず悪戦苦闘の日々が始まった。一方、息子も就活に難航していたが、父の退職に理由があると気付き始めて…。内野聖陽、神木隆之介、久本雅美、岡本あずさ、飯田基祐、相島一之、蟹江一平、菜葉菜、高木星来、夏川結衣、西慶子、萩原利映、久ヶ沢徹、麻生淳子、於保佐代子、北見誠、中村有沙、松永渚、岡崎宏、西崎あや、しのへけい子、河合透真10人の脚本家と10組の名優で10の物語を紡ぐ『おやじの背中』第九話。脚本…井上由美子　演出…清弘誠　プロデュース…八木康夫◇番組HP  http://www.tbs.co.jp/oyajinosenaka/    ◇Twitter  @oyaji_tbs  https://twitter.com/oyaji_tbs  9月開幕、アジア40億人の頂点をかけたアジア最大スポーツの祭典。競技数はオリンピックを超える36。かつて高橋尚子がアジア新、競泳・北島が世界新を樹立。柔道・田村亮子、競泳・鈴木大地らが伝説を築いた。「父さん、母になる!?」脚本・井上由美子　9/7日曜劇場『おやじの背中』動画公開しました！  http://youtu.be/y8kOw88vl14  番組の内容と放送時間は、変更になる場合があります。</v>
      </c>
      <c r="N5334" s="2"/>
      <c r="O5334" s="2"/>
      <c r="P5334" s="1"/>
      <c r="Q5334" s="1"/>
      <c r="R5334" s="1"/>
      <c r="S5334" s="1"/>
      <c r="T5334" s="1"/>
      <c r="U5334" s="1"/>
      <c r="V5334" s="1"/>
      <c r="W5334" s="1"/>
      <c r="X5334" s="1"/>
      <c r="Y5334" s="1"/>
      <c r="Z5334" s="1"/>
      <c r="AA5334" s="1"/>
      <c r="AB5334" s="1"/>
      <c r="AC5334" s="1"/>
      <c r="AD5334" s="1"/>
      <c r="AE5334" s="1"/>
      <c r="AF5334" s="1"/>
      <c r="AG5334" s="1"/>
      <c r="AH5334" s="1"/>
      <c r="AI5334" s="1"/>
      <c r="AJ5334" s="1"/>
      <c r="AK5334" s="1"/>
      <c r="AL5334" s="1"/>
      <c r="AM5334" s="1"/>
      <c r="AN5334" s="1"/>
      <c r="AO5334" s="1"/>
      <c r="AP5334" s="1"/>
      <c r="AQ5334" s="1"/>
      <c r="AR5334" s="1"/>
      <c r="AS5334" s="1"/>
      <c r="AT5334" s="1"/>
      <c r="AU5334" s="1"/>
      <c r="AV5334" s="1"/>
      <c r="AW5334" s="1"/>
      <c r="AX5334" s="1"/>
      <c r="AY5334" s="1"/>
      <c r="AZ5334" s="1"/>
      <c r="BA5334" s="1"/>
      <c r="BB5334" s="1"/>
    </row>
    <row r="5335" ht="204.75" customHeight="1">
      <c r="A5335" s="1">
        <v>2698.0</v>
      </c>
      <c r="B5335" s="2" t="s">
        <v>14760</v>
      </c>
      <c r="C5335" s="2">
        <f>IFERROR(__xludf.DUMMYFUNCTION("split(B5335,""_"")"),1407.0)</f>
        <v>1407</v>
      </c>
      <c r="D5335" s="2" t="str">
        <f>IFERROR(__xludf.DUMMYFUNCTION("""COMPUTED_VALUE"""),"TBS")</f>
        <v>TBS</v>
      </c>
      <c r="E5335" s="2" t="str">
        <f>IFERROR(__xludf.DUMMYFUNCTION("""COMPUTED_VALUE"""),"日21")</f>
        <v>日21</v>
      </c>
      <c r="F5335" s="2" t="s">
        <v>14761</v>
      </c>
      <c r="G5335" s="2" t="s">
        <v>14780</v>
      </c>
      <c r="H5335" s="1">
        <v>10.0</v>
      </c>
      <c r="J5335" s="1" t="s">
        <v>4</v>
      </c>
      <c r="K5335" s="2" t="s">
        <v>14781</v>
      </c>
      <c r="L5335" s="2"/>
      <c r="M5335" s="2" t="str">
        <f>IFERROR(__xludf.DUMMYFUNCTION("split(split(K5335,""【"",false),""公式LINE"",false)"),"売れない役者の男（小林隆）は主治医（小日向文世）に自身の病状が良くない事を告げられる。その日の治療を終えた男は病院の廊下で偶然、息子（須田琉雅）を見つけると、見栄を張って自分の仕事は医者だとウソをついてしまう。息子から尊敬のまなざしを受けた男は調子に乗り、医者になりすまして息子と病院内を歩き回る。医者やナース（酒井若菜・木南晴夏）も巻き込んで大騒動となるが、そこに元妻（吉田羊）が現れて・・・。小林隆、吉田羊、堀内敬子、酒井若菜、木南晴夏、秋元才加、瀬戸カトリーヌ、須田琉雅、氏家恵、伊藤修子、坂田聡、黒田大"&amp;"輔、望月章男、前野朋哉、原慎一、森岡龍、野中隆光、八嶋智人、小日向文世10人の脚本家と10組の名優で10の物語を紡ぐ『おやじの背中』第十話。脚本…三谷幸喜　演出…土井裕泰　プロデュース…八木康夫◇番組HP  http://www.tbs.co.jp/oyajinosenaka/    ◇Twitter  @oyaji_tbs  https://twitter.com/oyaji_tbs  9月開幕、アジア40億人の頂点をかけたアジア最大スポーツの祭典。競技数はオリンピックを超える36。かつて高橋尚子がアジ"&amp;"ア新、競泳・北島が世界新を樹立。柔道・田村亮子、競泳・鈴木大地らが伝説を築いた。市村正親が熱烈応援メッセージ！日曜劇場『おやじの背中』動画公開しました！  http://youtu.be/Rd4MNF4FDUc  初の三谷幸喜ドラマ！売れない役者の父が息子に遺す大芝居…9/14日曜劇場 『おやじの背中』「北別府さん、どうぞ」動画公開しました！  http://youtu.be/q2FlAhw12FI  番組の内容と放送時間は、変更になる場合があります。")</f>
        <v>売れない役者の男（小林隆）は主治医（小日向文世）に自身の病状が良くない事を告げられる。その日の治療を終えた男は病院の廊下で偶然、息子（須田琉雅）を見つけると、見栄を張って自分の仕事は医者だとウソをついてしまう。息子から尊敬のまなざしを受けた男は調子に乗り、医者になりすまして息子と病院内を歩き回る。医者やナース（酒井若菜・木南晴夏）も巻き込んで大騒動となるが、そこに元妻（吉田羊）が現れて・・・。小林隆、吉田羊、堀内敬子、酒井若菜、木南晴夏、秋元才加、瀬戸カトリーヌ、須田琉雅、氏家恵、伊藤修子、坂田聡、黒田大輔、望月章男、前野朋哉、原慎一、森岡龍、野中隆光、八嶋智人、小日向文世10人の脚本家と10組の名優で10の物語を紡ぐ『おやじの背中』第十話。脚本…三谷幸喜　演出…土井裕泰　プロデュース…八木康夫◇番組HP  http://www.tbs.co.jp/oyajinosenaka/    ◇Twitter  @oyaji_tbs  https://twitter.com/oyaji_tbs  9月開幕、アジア40億人の頂点をかけたアジア最大スポーツの祭典。競技数はオリンピックを超える36。かつて高橋尚子がアジア新、競泳・北島が世界新を樹立。柔道・田村亮子、競泳・鈴木大地らが伝説を築いた。市村正親が熱烈応援メッセージ！日曜劇場『おやじの背中』動画公開しました！  http://youtu.be/Rd4MNF4FDUc  初の三谷幸喜ドラマ！売れない役者の父が息子に遺す大芝居…9/14日曜劇場 『おやじの背中』「北別府さん、どうぞ」動画公開しました！  http://youtu.be/q2FlAhw12FI  番組の内容と放送時間は、変更になる場合があります。</v>
      </c>
      <c r="N5335" s="2"/>
      <c r="O5335" s="2"/>
      <c r="P5335" s="1"/>
      <c r="Q5335" s="1"/>
      <c r="R5335" s="1"/>
      <c r="S5335" s="1"/>
      <c r="T5335" s="1"/>
      <c r="U5335" s="1"/>
      <c r="V5335" s="1"/>
      <c r="W5335" s="1"/>
      <c r="X5335" s="1"/>
      <c r="Y5335" s="1"/>
      <c r="Z5335" s="1"/>
      <c r="AA5335" s="1"/>
      <c r="AB5335" s="1"/>
      <c r="AC5335" s="1"/>
      <c r="AD5335" s="1"/>
      <c r="AE5335" s="1"/>
      <c r="AF5335" s="1"/>
      <c r="AG5335" s="1"/>
      <c r="AH5335" s="1"/>
      <c r="AI5335" s="1"/>
      <c r="AJ5335" s="1"/>
      <c r="AK5335" s="1"/>
      <c r="AL5335" s="1"/>
      <c r="AM5335" s="1"/>
      <c r="AN5335" s="1"/>
      <c r="AO5335" s="1"/>
      <c r="AP5335" s="1"/>
      <c r="AQ5335" s="1"/>
      <c r="AR5335" s="1"/>
      <c r="AS5335" s="1"/>
      <c r="AT5335" s="1"/>
      <c r="AU5335" s="1"/>
      <c r="AV5335" s="1"/>
      <c r="AW5335" s="1"/>
      <c r="AX5335" s="1"/>
      <c r="AY5335" s="1"/>
      <c r="AZ5335" s="1"/>
      <c r="BA5335" s="1"/>
      <c r="BB5335" s="1"/>
    </row>
    <row r="5336" ht="204.75" customHeight="1">
      <c r="A5336" s="1">
        <v>2699.0</v>
      </c>
      <c r="B5336" s="2" t="s">
        <v>14782</v>
      </c>
      <c r="C5336" s="2">
        <f>IFERROR(__xludf.DUMMYFUNCTION("split(B5336,""_"")"),1404.0)</f>
        <v>1404</v>
      </c>
      <c r="D5336" s="2" t="str">
        <f>IFERROR(__xludf.DUMMYFUNCTION("""COMPUTED_VALUE"""),"TBS")</f>
        <v>TBS</v>
      </c>
      <c r="E5336" s="2" t="str">
        <f>IFERROR(__xludf.DUMMYFUNCTION("""COMPUTED_VALUE"""),"月20")</f>
        <v>月20</v>
      </c>
      <c r="F5336" s="2" t="s">
        <v>14783</v>
      </c>
      <c r="G5336" s="2" t="s">
        <v>14784</v>
      </c>
      <c r="H5336" s="1">
        <v>1.0</v>
      </c>
      <c r="J5336" s="1" t="s">
        <v>2809</v>
      </c>
      <c r="K5336" s="2" t="s">
        <v>14785</v>
      </c>
      <c r="L5336" s="2"/>
      <c r="M5336" s="2" t="str">
        <f>IFERROR(__xludf.DUMMYFUNCTION("split(split(K5336,""【"",false),""公式LINE"",false)"),"大学教授の 小早川が研究室の窓から落下し死亡。窓枠には小早川の指紋が付着、しかも研究室の防犯カメラには彼女以外映っていない。カメラに映らずに研究室に入るのは不可能。捜査一課は自殺と判断。しかし、検視を終えた奥貫は他殺の可能性を指摘。自殺の場合、多くは足を負傷、しかし遺体は頭部を激しく損傷。誰かに突き落とされたと考える。カメラの監視をかいくぐり、殺した者がいる。小早川は“あるものをないように見せる”「メタスケルトン」という新素材を開発、話題を集めていた人物だった。小早川を殺す動機のある人物をそれぞれの方法で"&amp;"探す面々。一ノ瀬は小早川を殺すために研究室に入った者など存在しないと言い出す！一ノ瀬聡士…北村一輝  奥貫徹…宮迫博之  山根武彦…薮宏太  岸部永一…デビット伊東  淡島勝…森岡豊  黒田敬…大杉漣  本田真幸…谷原章介  神山恵子…和久井映見羽柴圭介…小市慢太郎  小早川明美…小島慶子  桃井遥…南明奈  金城博之…鈴木一真  石沢剛志…ケンドーコバヤシ『Destiny』エレファントカシマシ脚本：ますもとたくや  演出：石井康晴  チーフプロデューサー：片山剛  プロデューサー：武藤淳　ほか◇番組HP"&amp;"  http://www.tbs.co.jp/white-lab/  ◇フェイスブック  https://www.facebook.com/whitelab.tbs  ◇ツイッター  @whitelab_tbs  https://twitter.com/whitelab_tbs  1分プロモーション予告動画を公開しました！こちらからどうぞ！  http://youtu.be/4CMByIluc1c  2分でわかる！北村一輝が挑む""日本版CSI""予告動画を公開しました！こちらからどうぞ！  http:/"&amp;"/youtu.be/3weDjOSA5GQ  番組の内容と放送時間は変更になる場合があります。")</f>
        <v>大学教授の 小早川が研究室の窓から落下し死亡。窓枠には小早川の指紋が付着、しかも研究室の防犯カメラには彼女以外映っていない。カメラに映らずに研究室に入るのは不可能。捜査一課は自殺と判断。しかし、検視を終えた奥貫は他殺の可能性を指摘。自殺の場合、多くは足を負傷、しかし遺体は頭部を激しく損傷。誰かに突き落とされたと考える。カメラの監視をかいくぐり、殺した者がいる。小早川は“あるものをないように見せる”「メタスケルトン」という新素材を開発、話題を集めていた人物だった。小早川を殺す動機のある人物をそれぞれの方法で探す面々。一ノ瀬は小早川を殺すために研究室に入った者など存在しないと言い出す！一ノ瀬聡士…北村一輝  奥貫徹…宮迫博之  山根武彦…薮宏太  岸部永一…デビット伊東  淡島勝…森岡豊  黒田敬…大杉漣  本田真幸…谷原章介  神山恵子…和久井映見羽柴圭介…小市慢太郎  小早川明美…小島慶子  桃井遥…南明奈  金城博之…鈴木一真  石沢剛志…ケンドーコバヤシ『Destiny』エレファントカシマシ脚本：ますもとたくや  演出：石井康晴  チーフプロデューサー：片山剛  プロデューサー：武藤淳　ほか◇番組HP  http://www.tbs.co.jp/white-lab/  ◇フェイスブック  https://www.facebook.com/whitelab.tbs  ◇ツイッター  @whitelab_tbs  https://twitter.com/whitelab_tbs  1分プロモーション予告動画を公開しました！こちらからどうぞ！  http://youtu.be/4CMByIluc1c  2分でわかる！北村一輝が挑む"日本版CSI"予告動画を公開しました！こちらからどうぞ！  http://youtu.be/3weDjOSA5GQ  番組の内容と放送時間は変更になる場合があります。</v>
      </c>
      <c r="N5336" s="2"/>
      <c r="O5336" s="2"/>
      <c r="P5336" s="1"/>
      <c r="Q5336" s="1"/>
      <c r="R5336" s="1"/>
      <c r="S5336" s="1"/>
      <c r="T5336" s="1"/>
      <c r="U5336" s="1"/>
      <c r="V5336" s="1"/>
      <c r="W5336" s="1"/>
      <c r="X5336" s="1"/>
      <c r="Y5336" s="1"/>
      <c r="Z5336" s="1"/>
      <c r="AA5336" s="1"/>
      <c r="AB5336" s="1"/>
      <c r="AC5336" s="1"/>
      <c r="AD5336" s="1"/>
      <c r="AE5336" s="1"/>
      <c r="AF5336" s="1"/>
      <c r="AG5336" s="1"/>
      <c r="AH5336" s="1"/>
      <c r="AI5336" s="1"/>
      <c r="AJ5336" s="1"/>
      <c r="AK5336" s="1"/>
      <c r="AL5336" s="1"/>
      <c r="AM5336" s="1"/>
      <c r="AN5336" s="1"/>
      <c r="AO5336" s="1"/>
      <c r="AP5336" s="1"/>
      <c r="AQ5336" s="1"/>
      <c r="AR5336" s="1"/>
      <c r="AS5336" s="1"/>
      <c r="AT5336" s="1"/>
      <c r="AU5336" s="1"/>
      <c r="AV5336" s="1"/>
      <c r="AW5336" s="1"/>
      <c r="AX5336" s="1"/>
      <c r="AY5336" s="1"/>
      <c r="AZ5336" s="1"/>
      <c r="BA5336" s="1"/>
      <c r="BB5336" s="1"/>
    </row>
    <row r="5337" ht="204.75" customHeight="1">
      <c r="A5337" s="1">
        <v>2700.0</v>
      </c>
      <c r="B5337" s="2" t="s">
        <v>14782</v>
      </c>
      <c r="C5337" s="2">
        <f>IFERROR(__xludf.DUMMYFUNCTION("split(B5337,""_"")"),1404.0)</f>
        <v>1404</v>
      </c>
      <c r="D5337" s="2" t="str">
        <f>IFERROR(__xludf.DUMMYFUNCTION("""COMPUTED_VALUE"""),"TBS")</f>
        <v>TBS</v>
      </c>
      <c r="E5337" s="2" t="str">
        <f>IFERROR(__xludf.DUMMYFUNCTION("""COMPUTED_VALUE"""),"月20")</f>
        <v>月20</v>
      </c>
      <c r="F5337" s="2" t="s">
        <v>14783</v>
      </c>
      <c r="G5337" s="2" t="s">
        <v>14786</v>
      </c>
      <c r="H5337" s="1">
        <v>2.0</v>
      </c>
      <c r="J5337" s="1" t="s">
        <v>7151</v>
      </c>
      <c r="K5337" s="2" t="s">
        <v>14787</v>
      </c>
      <c r="L5337" s="2"/>
      <c r="M5337" s="2" t="str">
        <f>IFERROR(__xludf.DUMMYFUNCTION("split(split(K5337,""【"",false),""公式LINE"",false)"),"工場敷地内でバラバラの白骨が見つかる。人間が白骨になるには月日がかかるが、一ノ瀬はなんと「1週間で可能」と言う。奥貫は骨の欠片を集め「何かおかしい」とつぶやく。本田は工場長に聞き込み、追及すると、従業員の相沢が1週間前から行方不明になっており、彼と揉めていたことを認める。しかし、殺していないと主張。一方、1週間で遺体を白骨化させることが可能と実証した一ノ瀬は、骨の一部を相沢の写真と照合するが一致しない。相沢の骨ではないのか？白骨の身元はわからないまま。ホワイト・ラボではDNAの抽出にとりかかる…一ノ瀬聡士"&amp;"…北村一輝  奥貫徹…宮迫博之  山根武彦…薮宏太  岸部永一…デビット伊東  淡島勝…森岡豊  神山邦夫…山中聡  神山真美…谷花音  神山健太…高橋來  本田真幸…谷原章介  神山恵子…和久井映見石田隆弘…吹越満　  相沢実…阿部力  島村理恵子…宝積有香  島村宏輝…君野夢真  井上雅代…高林由紀子  小坂源造…諏訪太朗『Destiny』エレファントカシマシ  (ユニバーサル　シグマ）脚本：嶋田うれ葉  演出：石井康晴  チーフプロデューサー：片山剛  プロデューサー：武藤淳　ほか◇番組HP  ht"&amp;"tp://www.tbs.co.jp/white-lab/  ◇フェイスブック  https://www.facebook.com/whitelab.tbs  ◇ツイッター  @whitelab_tbs  https://twitter.com/whitelab_tbs  カッコいい科学オタクたちが遂に始動！動画公開しました！  http://youtu.be/Bo-kg7d803U  番組の内容と放送時間は変更になる場合があります。")</f>
        <v>工場敷地内でバラバラの白骨が見つかる。人間が白骨になるには月日がかかるが、一ノ瀬はなんと「1週間で可能」と言う。奥貫は骨の欠片を集め「何かおかしい」とつぶやく。本田は工場長に聞き込み、追及すると、従業員の相沢が1週間前から行方不明になっており、彼と揉めていたことを認める。しかし、殺していないと主張。一方、1週間で遺体を白骨化させることが可能と実証した一ノ瀬は、骨の一部を相沢の写真と照合するが一致しない。相沢の骨ではないのか？白骨の身元はわからないまま。ホワイト・ラボではDNAの抽出にとりかかる…一ノ瀬聡士…北村一輝  奥貫徹…宮迫博之  山根武彦…薮宏太  岸部永一…デビット伊東  淡島勝…森岡豊  神山邦夫…山中聡  神山真美…谷花音  神山健太…高橋來  本田真幸…谷原章介  神山恵子…和久井映見石田隆弘…吹越満　  相沢実…阿部力  島村理恵子…宝積有香  島村宏輝…君野夢真  井上雅代…高林由紀子  小坂源造…諏訪太朗『Destiny』エレファントカシマシ  (ユニバーサル　シグマ）脚本：嶋田うれ葉  演出：石井康晴  チーフプロデューサー：片山剛  プロデューサー：武藤淳　ほか◇番組HP  http://www.tbs.co.jp/white-lab/  ◇フェイスブック  https://www.facebook.com/whitelab.tbs  ◇ツイッター  @whitelab_tbs  https://twitter.com/whitelab_tbs  カッコいい科学オタクたちが遂に始動！動画公開しました！  http://youtu.be/Bo-kg7d803U  番組の内容と放送時間は変更になる場合があります。</v>
      </c>
      <c r="N5337" s="2"/>
      <c r="O5337" s="2"/>
      <c r="P5337" s="1"/>
      <c r="Q5337" s="1"/>
      <c r="R5337" s="1"/>
      <c r="S5337" s="1"/>
      <c r="T5337" s="1"/>
      <c r="U5337" s="1"/>
      <c r="V5337" s="1"/>
      <c r="W5337" s="1"/>
      <c r="X5337" s="1"/>
      <c r="Y5337" s="1"/>
      <c r="Z5337" s="1"/>
      <c r="AA5337" s="1"/>
      <c r="AB5337" s="1"/>
      <c r="AC5337" s="1"/>
      <c r="AD5337" s="1"/>
      <c r="AE5337" s="1"/>
      <c r="AF5337" s="1"/>
      <c r="AG5337" s="1"/>
      <c r="AH5337" s="1"/>
      <c r="AI5337" s="1"/>
      <c r="AJ5337" s="1"/>
      <c r="AK5337" s="1"/>
      <c r="AL5337" s="1"/>
      <c r="AM5337" s="1"/>
      <c r="AN5337" s="1"/>
      <c r="AO5337" s="1"/>
      <c r="AP5337" s="1"/>
      <c r="AQ5337" s="1"/>
      <c r="AR5337" s="1"/>
      <c r="AS5337" s="1"/>
      <c r="AT5337" s="1"/>
      <c r="AU5337" s="1"/>
      <c r="AV5337" s="1"/>
      <c r="AW5337" s="1"/>
      <c r="AX5337" s="1"/>
      <c r="AY5337" s="1"/>
      <c r="AZ5337" s="1"/>
      <c r="BA5337" s="1"/>
      <c r="BB5337" s="1"/>
    </row>
    <row r="5338" ht="204.75" customHeight="1">
      <c r="A5338" s="1">
        <v>2701.0</v>
      </c>
      <c r="B5338" s="2" t="s">
        <v>14782</v>
      </c>
      <c r="C5338" s="2">
        <f>IFERROR(__xludf.DUMMYFUNCTION("split(B5338,""_"")"),1404.0)</f>
        <v>1404</v>
      </c>
      <c r="D5338" s="2" t="str">
        <f>IFERROR(__xludf.DUMMYFUNCTION("""COMPUTED_VALUE"""),"TBS")</f>
        <v>TBS</v>
      </c>
      <c r="E5338" s="2" t="str">
        <f>IFERROR(__xludf.DUMMYFUNCTION("""COMPUTED_VALUE"""),"月20")</f>
        <v>月20</v>
      </c>
      <c r="F5338" s="2" t="s">
        <v>14783</v>
      </c>
      <c r="G5338" s="2" t="s">
        <v>14788</v>
      </c>
      <c r="H5338" s="1">
        <v>3.0</v>
      </c>
      <c r="J5338" s="1" t="s">
        <v>7151</v>
      </c>
      <c r="K5338" s="2" t="s">
        <v>14789</v>
      </c>
      <c r="L5338" s="2"/>
      <c r="M5338" s="2" t="str">
        <f>IFERROR(__xludf.DUMMYFUNCTION("split(split(K5338,""【"",false),""公式LINE"",false)"),"公園で変死体が発見された。殺されたのは、ホームレスを支援する「にこやか村」の職員、曽根崎。現場には一万円札がちらばり、曽根崎自身の口の中にも一万円札が押し込まれていた。死因は窒息死と見られたが、奥貫が現場で拳銃が使用された痕を発見、事件は謎を深める。一ノ瀬は現場にあった一万円札が気になり、調べを進める。一方、本田は「にこやか村」の実体が闇金業者であることを突き止める。代表の灰原は暴力団の元組員で、今回の事件で使用された拳銃と同じものを組員時代に取引していたことがあるという。神山と本田は灰原の事務所に乗り込"&amp;"み、話を聞く。その頃、一ノ瀬はホームレスたちの炊き出しを眺めていた  一ノ瀬聡士…北村一輝  奥貫徹…宮迫博之  山根武彦…薮宏太  岸部永一…デビット伊東  淡島勝…森岡豊  黒田敬…大杉漣  本田真幸…谷原章介  神山恵子…和久井映見真木繁雄…斉藤歩　  磯部…石垣佑磨  灰原雅也…梨本謙次郎  重田富雄…飯田孝男  甲本喜一…ドロンズ石本  曽根崎将司…篠原さとし『Destiny』エレファントカシマシ  (ユニバーサル　シグマ）脚本：ますもとたくや  演出：竹村謙太郎  チーフプロデューサー：片山剛"&amp;"  プロデューサー：武藤淳　ほか◇番組HP  http://www.tbs.co.jp/white-lab/  ◇フェイスブック  https://www.facebook.com/whitelab.tbs  ◇ツイッター  @whitelab_tbs  https://twitter.com/whitelab_tbs  1週間で人間が白骨化!？月曜20時『ホワイト・ラボ』第2話（4/21）ダイジェスト＆次回予告動画公開しました！  http://youtu.be/nSPKhRbg0Zs  番組の内容と放"&amp;"送時間は変更になる場合があります。")</f>
        <v>公園で変死体が発見された。殺されたのは、ホームレスを支援する「にこやか村」の職員、曽根崎。現場には一万円札がちらばり、曽根崎自身の口の中にも一万円札が押し込まれていた。死因は窒息死と見られたが、奥貫が現場で拳銃が使用された痕を発見、事件は謎を深める。一ノ瀬は現場にあった一万円札が気になり、調べを進める。一方、本田は「にこやか村」の実体が闇金業者であることを突き止める。代表の灰原は暴力団の元組員で、今回の事件で使用された拳銃と同じものを組員時代に取引していたことがあるという。神山と本田は灰原の事務所に乗り込み、話を聞く。その頃、一ノ瀬はホームレスたちの炊き出しを眺めていた  一ノ瀬聡士…北村一輝  奥貫徹…宮迫博之  山根武彦…薮宏太  岸部永一…デビット伊東  淡島勝…森岡豊  黒田敬…大杉漣  本田真幸…谷原章介  神山恵子…和久井映見真木繁雄…斉藤歩　  磯部…石垣佑磨  灰原雅也…梨本謙次郎  重田富雄…飯田孝男  甲本喜一…ドロンズ石本  曽根崎将司…篠原さとし『Destiny』エレファントカシマシ  (ユニバーサル　シグマ）脚本：ますもとたくや  演出：竹村謙太郎  チーフプロデューサー：片山剛  プロデューサー：武藤淳　ほか◇番組HP  http://www.tbs.co.jp/white-lab/  ◇フェイスブック  https://www.facebook.com/whitelab.tbs  ◇ツイッター  @whitelab_tbs  https://twitter.com/whitelab_tbs  1週間で人間が白骨化!？月曜20時『ホワイト・ラボ』第2話（4/21）ダイジェスト＆次回予告動画公開しました！  http://youtu.be/nSPKhRbg0Zs  番組の内容と放送時間は変更になる場合があります。</v>
      </c>
      <c r="N5338" s="2"/>
      <c r="O5338" s="2"/>
      <c r="P5338" s="1"/>
      <c r="Q5338" s="1"/>
      <c r="R5338" s="1"/>
      <c r="S5338" s="1"/>
      <c r="T5338" s="1"/>
      <c r="U5338" s="1"/>
      <c r="V5338" s="1"/>
      <c r="W5338" s="1"/>
      <c r="X5338" s="1"/>
      <c r="Y5338" s="1"/>
      <c r="Z5338" s="1"/>
      <c r="AA5338" s="1"/>
      <c r="AB5338" s="1"/>
      <c r="AC5338" s="1"/>
      <c r="AD5338" s="1"/>
      <c r="AE5338" s="1"/>
      <c r="AF5338" s="1"/>
      <c r="AG5338" s="1"/>
      <c r="AH5338" s="1"/>
      <c r="AI5338" s="1"/>
      <c r="AJ5338" s="1"/>
      <c r="AK5338" s="1"/>
      <c r="AL5338" s="1"/>
      <c r="AM5338" s="1"/>
      <c r="AN5338" s="1"/>
      <c r="AO5338" s="1"/>
      <c r="AP5338" s="1"/>
      <c r="AQ5338" s="1"/>
      <c r="AR5338" s="1"/>
      <c r="AS5338" s="1"/>
      <c r="AT5338" s="1"/>
      <c r="AU5338" s="1"/>
      <c r="AV5338" s="1"/>
      <c r="AW5338" s="1"/>
      <c r="AX5338" s="1"/>
      <c r="AY5338" s="1"/>
      <c r="AZ5338" s="1"/>
      <c r="BA5338" s="1"/>
      <c r="BB5338" s="1"/>
    </row>
    <row r="5339" ht="204.75" customHeight="1">
      <c r="A5339" s="1">
        <v>2702.0</v>
      </c>
      <c r="B5339" s="2" t="s">
        <v>14782</v>
      </c>
      <c r="C5339" s="2">
        <f>IFERROR(__xludf.DUMMYFUNCTION("split(B5339,""_"")"),1404.0)</f>
        <v>1404</v>
      </c>
      <c r="D5339" s="2" t="str">
        <f>IFERROR(__xludf.DUMMYFUNCTION("""COMPUTED_VALUE"""),"TBS")</f>
        <v>TBS</v>
      </c>
      <c r="E5339" s="2" t="str">
        <f>IFERROR(__xludf.DUMMYFUNCTION("""COMPUTED_VALUE"""),"月20")</f>
        <v>月20</v>
      </c>
      <c r="F5339" s="2" t="s">
        <v>14783</v>
      </c>
      <c r="G5339" s="2" t="s">
        <v>14790</v>
      </c>
      <c r="H5339" s="1">
        <v>4.0</v>
      </c>
      <c r="J5339" s="1" t="s">
        <v>7151</v>
      </c>
      <c r="K5339" s="2" t="s">
        <v>14791</v>
      </c>
      <c r="L5339" s="2"/>
      <c r="M5339" s="2" t="str">
        <f>IFERROR(__xludf.DUMMYFUNCTION("split(split(K5339,""【"",false),""公式LINE"",false)"),"繁華街で代議士・川田が遺体で発見。殺人か？といきり立つ捜査員たちに、現場を見た奥貫は心臓発作だと告げる。しかし心臓発作に到るまでになにかあったのかも知れず、本田は川田の担当医・華村に話を聞きに行く。そのとき、華村の携帯電話が鳴った。娘の美雪が何者かに襲われどこかに連れて行かれている、と助けを求めてきたのだ。GPSから美雪の居場所を特定する一方、姿をみせない一ノ瀬の居場所も追跡する山根。すると、一ノ瀬と美雪の居場所がぴったり重なった！一ノ瀬は連れ去り事件に関係しているのか、と絶句する神山。なんと一ノ瀬は美雪"&amp;"とともに何者かに連れ去られていた・・・。一ノ瀬聡士…北村一輝  奥貫徹…宮迫博之  山根武彦…薮宏太  岸部永一…デビット伊東  淡島勝…森岡豊  一ノ瀬晃…益岡徹  黒田敬…大杉漣  本田真幸…谷原章介  神山恵子…和久井映見牧野ゆい…吉田里琴  牧野健一…林泰文  野島賢治…山崎銀之丞  佐々木豊…尾崎右宗  近藤勇弥…恩田括『Destiny』エレファントカシマシ  (ユニバーサル　シグマ）脚本：中澤圭規  演出：酒井聖博  チーフプロデューサー：片山剛  プロデューサー：武藤淳　ほか◇番組HP  h"&amp;"ttp://www.tbs.co.jp/white-lab/  ◇フェイスブック  https://www.facebook.com/whitelab.tbs  ◇ツイッター  @whitelab_tbs  https://twitter.com/whitelab_tbs  一万円札で窒息死！？月曜20時『ホワイト・ラボ』第3話（4/28）ダイジェスト＆次回（5/5）予告動画公開しました！  http://youtu.be/TG2q_Sf-JVA  9月開幕、アジア40億人の頂点をかけたアジア最大スポーツ"&amp;"の祭典。競技数はオリンピックを超える36。かつて高橋尚子がアジア新、競泳・北島が世界新を樹立。柔道・田村亮子、競泳・鈴木大地らが伝説を築いた。番組の内容と放送時間は変更になる場合があります。")</f>
        <v>繁華街で代議士・川田が遺体で発見。殺人か？といきり立つ捜査員たちに、現場を見た奥貫は心臓発作だと告げる。しかし心臓発作に到るまでになにかあったのかも知れず、本田は川田の担当医・華村に話を聞きに行く。そのとき、華村の携帯電話が鳴った。娘の美雪が何者かに襲われどこかに連れて行かれている、と助けを求めてきたのだ。GPSから美雪の居場所を特定する一方、姿をみせない一ノ瀬の居場所も追跡する山根。すると、一ノ瀬と美雪の居場所がぴったり重なった！一ノ瀬は連れ去り事件に関係しているのか、と絶句する神山。なんと一ノ瀬は美雪とともに何者かに連れ去られていた・・・。一ノ瀬聡士…北村一輝  奥貫徹…宮迫博之  山根武彦…薮宏太  岸部永一…デビット伊東  淡島勝…森岡豊  一ノ瀬晃…益岡徹  黒田敬…大杉漣  本田真幸…谷原章介  神山恵子…和久井映見牧野ゆい…吉田里琴  牧野健一…林泰文  野島賢治…山崎銀之丞  佐々木豊…尾崎右宗  近藤勇弥…恩田括『Destiny』エレファントカシマシ  (ユニバーサル　シグマ）脚本：中澤圭規  演出：酒井聖博  チーフプロデューサー：片山剛  プロデューサー：武藤淳　ほか◇番組HP  http://www.tbs.co.jp/white-lab/  ◇フェイスブック  https://www.facebook.com/whitelab.tbs  ◇ツイッター  @whitelab_tbs  https://twitter.com/whitelab_tbs  一万円札で窒息死！？月曜20時『ホワイト・ラボ』第3話（4/28）ダイジェスト＆次回（5/5）予告動画公開しました！  http://youtu.be/TG2q_Sf-JVA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39" s="2"/>
      <c r="O5339" s="2"/>
      <c r="P5339" s="1"/>
      <c r="Q5339" s="1"/>
      <c r="R5339" s="1"/>
      <c r="S5339" s="1"/>
      <c r="T5339" s="1"/>
      <c r="U5339" s="1"/>
      <c r="V5339" s="1"/>
      <c r="W5339" s="1"/>
      <c r="X5339" s="1"/>
      <c r="Y5339" s="1"/>
      <c r="Z5339" s="1"/>
      <c r="AA5339" s="1"/>
      <c r="AB5339" s="1"/>
      <c r="AC5339" s="1"/>
      <c r="AD5339" s="1"/>
      <c r="AE5339" s="1"/>
      <c r="AF5339" s="1"/>
      <c r="AG5339" s="1"/>
      <c r="AH5339" s="1"/>
      <c r="AI5339" s="1"/>
      <c r="AJ5339" s="1"/>
      <c r="AK5339" s="1"/>
      <c r="AL5339" s="1"/>
      <c r="AM5339" s="1"/>
      <c r="AN5339" s="1"/>
      <c r="AO5339" s="1"/>
      <c r="AP5339" s="1"/>
      <c r="AQ5339" s="1"/>
      <c r="AR5339" s="1"/>
      <c r="AS5339" s="1"/>
      <c r="AT5339" s="1"/>
      <c r="AU5339" s="1"/>
      <c r="AV5339" s="1"/>
      <c r="AW5339" s="1"/>
      <c r="AX5339" s="1"/>
      <c r="AY5339" s="1"/>
      <c r="AZ5339" s="1"/>
      <c r="BA5339" s="1"/>
      <c r="BB5339" s="1"/>
    </row>
    <row r="5340" ht="204.75" customHeight="1">
      <c r="A5340" s="1">
        <v>2703.0</v>
      </c>
      <c r="B5340" s="2" t="s">
        <v>14782</v>
      </c>
      <c r="C5340" s="2">
        <f>IFERROR(__xludf.DUMMYFUNCTION("split(B5340,""_"")"),1404.0)</f>
        <v>1404</v>
      </c>
      <c r="D5340" s="2" t="str">
        <f>IFERROR(__xludf.DUMMYFUNCTION("""COMPUTED_VALUE"""),"TBS")</f>
        <v>TBS</v>
      </c>
      <c r="E5340" s="2" t="str">
        <f>IFERROR(__xludf.DUMMYFUNCTION("""COMPUTED_VALUE"""),"月20")</f>
        <v>月20</v>
      </c>
      <c r="F5340" s="2" t="s">
        <v>14783</v>
      </c>
      <c r="G5340" s="2" t="s">
        <v>14792</v>
      </c>
      <c r="H5340" s="1">
        <v>5.0</v>
      </c>
      <c r="J5340" s="1" t="s">
        <v>7151</v>
      </c>
      <c r="K5340" s="2" t="s">
        <v>14793</v>
      </c>
      <c r="L5340" s="2"/>
      <c r="M5340" s="2" t="str">
        <f>IFERROR(__xludf.DUMMYFUNCTION("split(split(K5340,""【"",false),""公式LINE"",false)"),"繁華街で代議士・川田が遺体で発見された。殺人か？といきり立つ捜査員たちに、現場を見た奥貫は心臓発作だと告げる。しかし心臓発作に到るまでになにかあったのかも知れず、本田は川田の担当医・華村に話を聞きに行く。そのとき、華村の携帯電話が鳴った。娘の美雪が何者かに襲われどこかに連れて行かれている、と助けを求めてきたのだ。GPSから美雪の居場所を特定する一方、姿を見せない一ノ瀬と美雪の居場所がぴったり重なった！一ノ瀬は連れ去り事件に関係しているのか、と絶句する神山。なんと一ノ瀬は美雪とともに何者かに連れ去られていた"&amp;"…。一ノ瀬聡士…北村一輝  奥貫徹…宮迫博之  山根武彦…薮宏太  淡島勝…森岡豊  一ノ瀬晃…益岡徹  朝比奈沙羅…矢田亜希子  本田真幸…谷原章介  神山恵子…和久井映見華村由紀子…吉田羊  華村美雪…鈴木梨央  朝岡隆之…大川ヒロキ  田端勇作…遠山俊也『Destiny』エレファントカシマシ  (ユニバーサル　シグマ）脚本：正岡謙一郎　丸茂周  演出：相沢淳  チーフプロデューサー：片山剛  プロデューサー：武藤淳　ほか◇番組HP  http://www.tbs.co.jp/white-lab/  "&amp;"◇フェイスブック  https://www.facebook.com/whitelab.tbs  ◇ツイッター  @whitelab_tbs  https://twitter.com/whitelab_tbs  最新科学で意識不明の女性から証言を引き出す!？月曜20時『ホワイト・ラボ』第4話（5/5）ダイジェスト動画公開しました！  http://youtu.be/xgy8xjNIVDU  9月開幕、アジア40億人の頂点をかけたアジア最大スポーツの祭典。競技数はオリンピックを超える36。かつて高橋尚子がア"&amp;"ジア新、競泳・北島が世界新を樹立。柔道・田村亮子、競泳・鈴木大地らが伝説を築いた。番組の内容と放送時間は変更になる場合があります。")</f>
        <v>繁華街で代議士・川田が遺体で発見された。殺人か？といきり立つ捜査員たちに、現場を見た奥貫は心臓発作だと告げる。しかし心臓発作に到るまでになにかあったのかも知れず、本田は川田の担当医・華村に話を聞きに行く。そのとき、華村の携帯電話が鳴った。娘の美雪が何者かに襲われどこかに連れて行かれている、と助けを求めてきたのだ。GPSから美雪の居場所を特定する一方、姿を見せない一ノ瀬と美雪の居場所がぴったり重なった！一ノ瀬は連れ去り事件に関係しているのか、と絶句する神山。なんと一ノ瀬は美雪とともに何者かに連れ去られていた…。一ノ瀬聡士…北村一輝  奥貫徹…宮迫博之  山根武彦…薮宏太  淡島勝…森岡豊  一ノ瀬晃…益岡徹  朝比奈沙羅…矢田亜希子  本田真幸…谷原章介  神山恵子…和久井映見華村由紀子…吉田羊  華村美雪…鈴木梨央  朝岡隆之…大川ヒロキ  田端勇作…遠山俊也『Destiny』エレファントカシマシ  (ユニバーサル　シグマ）脚本：正岡謙一郎　丸茂周  演出：相沢淳  チーフプロデューサー：片山剛  プロデューサー：武藤淳　ほか◇番組HP  http://www.tbs.co.jp/white-lab/  ◇フェイスブック  https://www.facebook.com/whitelab.tbs  ◇ツイッター  @whitelab_tbs  https://twitter.com/whitelab_tbs  最新科学で意識不明の女性から証言を引き出す!？月曜20時『ホワイト・ラボ』第4話（5/5）ダイジェスト動画公開しました！  http://youtu.be/xgy8xjNIVDU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40" s="2"/>
      <c r="O5340" s="2"/>
      <c r="P5340" s="1"/>
      <c r="Q5340" s="1"/>
      <c r="R5340" s="1"/>
      <c r="S5340" s="1"/>
      <c r="T5340" s="1"/>
      <c r="U5340" s="1"/>
      <c r="V5340" s="1"/>
      <c r="W5340" s="1"/>
      <c r="X5340" s="1"/>
      <c r="Y5340" s="1"/>
      <c r="Z5340" s="1"/>
      <c r="AA5340" s="1"/>
      <c r="AB5340" s="1"/>
      <c r="AC5340" s="1"/>
      <c r="AD5340" s="1"/>
      <c r="AE5340" s="1"/>
      <c r="AF5340" s="1"/>
      <c r="AG5340" s="1"/>
      <c r="AH5340" s="1"/>
      <c r="AI5340" s="1"/>
      <c r="AJ5340" s="1"/>
      <c r="AK5340" s="1"/>
      <c r="AL5340" s="1"/>
      <c r="AM5340" s="1"/>
      <c r="AN5340" s="1"/>
      <c r="AO5340" s="1"/>
      <c r="AP5340" s="1"/>
      <c r="AQ5340" s="1"/>
      <c r="AR5340" s="1"/>
      <c r="AS5340" s="1"/>
      <c r="AT5340" s="1"/>
      <c r="AU5340" s="1"/>
      <c r="AV5340" s="1"/>
      <c r="AW5340" s="1"/>
      <c r="AX5340" s="1"/>
      <c r="AY5340" s="1"/>
      <c r="AZ5340" s="1"/>
      <c r="BA5340" s="1"/>
      <c r="BB5340" s="1"/>
    </row>
    <row r="5341" ht="204.75" customHeight="1">
      <c r="A5341" s="1">
        <v>2704.0</v>
      </c>
      <c r="B5341" s="2" t="s">
        <v>14782</v>
      </c>
      <c r="C5341" s="2">
        <f>IFERROR(__xludf.DUMMYFUNCTION("split(B5341,""_"")"),1404.0)</f>
        <v>1404</v>
      </c>
      <c r="D5341" s="2" t="str">
        <f>IFERROR(__xludf.DUMMYFUNCTION("""COMPUTED_VALUE"""),"TBS")</f>
        <v>TBS</v>
      </c>
      <c r="E5341" s="2" t="str">
        <f>IFERROR(__xludf.DUMMYFUNCTION("""COMPUTED_VALUE"""),"月20")</f>
        <v>月20</v>
      </c>
      <c r="F5341" s="2" t="s">
        <v>14783</v>
      </c>
      <c r="G5341" s="2" t="s">
        <v>14794</v>
      </c>
      <c r="H5341" s="1">
        <v>6.0</v>
      </c>
      <c r="J5341" s="1" t="s">
        <v>7151</v>
      </c>
      <c r="K5341" s="2" t="s">
        <v>14795</v>
      </c>
      <c r="L5341" s="2"/>
      <c r="M5341" s="2" t="str">
        <f>IFERROR(__xludf.DUMMYFUNCTION("split(split(K5341,""【"",false),""公式LINE"",false)"),"アパレル会社社長・佐伯晴彦が殺害された。現場に残されていた指紋はすべて妻・恵津子や息子・良樹、社員たちのもの。ところが、奥貫が現場に残されていた血痕のDNA鑑定を進めたところ、自称・霊能師の神宮司澪のものと判明する。しかし彼女は現在南関東刑務所で服役中だった。まさか刑務所を抜け出して殺害に及んだのか？一ノ瀬はテレポーテーション説を持ち出すが、神山らが刑務所の映像を確認したところ意外な事実が判明する。受刑者に接見する人々のなかに、澪がいたのだ…。一ノ瀬聡士…北村一輝  奥貫徹…宮迫博之  山根武彦…薮宏太 "&amp;" 岸部永一…デビット伊東  淡島勝…森岡豊  平野俊二…水野直  一ノ瀬晃…益岡徹  朝比奈沙羅…矢田亜希子  本田真幸…谷原章介  神山恵子…和久井映見神宮寺澪・長澤美紗…市川実和子  佐伯良樹…加藤清史郎  佐伯恵津子…宮澤美保  佐伯晴彦…長谷川公彦  奥貫遥…熊田聖亜  島崎尚美…猫田直  高梨健吾…若杉宏二『Destiny』エレファントカシマシ  (ユニバーサル　シグマ）脚本：田中孝治　正岡謙一郎  演出：竹村謙太郎  チーフプロデューサー：片山剛  プロデューサー：武藤淳　ほか◇番組HP  h"&amp;"ttp://www.tbs.co.jp/white-lab/  ◇フェイスブック  https://www.facebook.com/whitelab.tbs  ◇ツイッター  @whitelab_tbs  https://twitter.com/whitelab_tbs  捜査官・一ノ瀬が誘拐される!？月曜20時『ホワイト・ラボ』第5話（5/12）ダイジェスト動画公開しました！  http://youtu.be/lGFzIoWgJr4  9月開幕、アジア40億人の頂点をかけたアジア最大スポーツの祭典。競"&amp;"技数はオリンピックを超える36。かつて高橋尚子がアジア新、競泳・北島が世界新を樹立。柔道・田村亮子、競泳・鈴木大地らが伝説を築いた。番組の内容と放送時間は変更になる場合があります。")</f>
        <v>アパレル会社社長・佐伯晴彦が殺害された。現場に残されていた指紋はすべて妻・恵津子や息子・良樹、社員たちのもの。ところが、奥貫が現場に残されていた血痕のDNA鑑定を進めたところ、自称・霊能師の神宮司澪のものと判明する。しかし彼女は現在南関東刑務所で服役中だった。まさか刑務所を抜け出して殺害に及んだのか？一ノ瀬はテレポーテーション説を持ち出すが、神山らが刑務所の映像を確認したところ意外な事実が判明する。受刑者に接見する人々のなかに、澪がいたのだ…。一ノ瀬聡士…北村一輝  奥貫徹…宮迫博之  山根武彦…薮宏太  岸部永一…デビット伊東  淡島勝…森岡豊  平野俊二…水野直  一ノ瀬晃…益岡徹  朝比奈沙羅…矢田亜希子  本田真幸…谷原章介  神山恵子…和久井映見神宮寺澪・長澤美紗…市川実和子  佐伯良樹…加藤清史郎  佐伯恵津子…宮澤美保  佐伯晴彦…長谷川公彦  奥貫遥…熊田聖亜  島崎尚美…猫田直  高梨健吾…若杉宏二『Destiny』エレファントカシマシ  (ユニバーサル　シグマ）脚本：田中孝治　正岡謙一郎  演出：竹村謙太郎  チーフプロデューサー：片山剛  プロデューサー：武藤淳　ほか◇番組HP  http://www.tbs.co.jp/white-lab/  ◇フェイスブック  https://www.facebook.com/whitelab.tbs  ◇ツイッター  @whitelab_tbs  https://twitter.com/whitelab_tbs  捜査官・一ノ瀬が誘拐される!？月曜20時『ホワイト・ラボ』第5話（5/12）ダイジェスト動画公開しました！  http://youtu.be/lGFzIoWgJr4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41" s="2"/>
      <c r="O5341" s="2"/>
      <c r="P5341" s="1"/>
      <c r="Q5341" s="1"/>
      <c r="R5341" s="1"/>
      <c r="S5341" s="1"/>
      <c r="T5341" s="1"/>
      <c r="U5341" s="1"/>
      <c r="V5341" s="1"/>
      <c r="W5341" s="1"/>
      <c r="X5341" s="1"/>
      <c r="Y5341" s="1"/>
      <c r="Z5341" s="1"/>
      <c r="AA5341" s="1"/>
      <c r="AB5341" s="1"/>
      <c r="AC5341" s="1"/>
      <c r="AD5341" s="1"/>
      <c r="AE5341" s="1"/>
      <c r="AF5341" s="1"/>
      <c r="AG5341" s="1"/>
      <c r="AH5341" s="1"/>
      <c r="AI5341" s="1"/>
      <c r="AJ5341" s="1"/>
      <c r="AK5341" s="1"/>
      <c r="AL5341" s="1"/>
      <c r="AM5341" s="1"/>
      <c r="AN5341" s="1"/>
      <c r="AO5341" s="1"/>
      <c r="AP5341" s="1"/>
      <c r="AQ5341" s="1"/>
      <c r="AR5341" s="1"/>
      <c r="AS5341" s="1"/>
      <c r="AT5341" s="1"/>
      <c r="AU5341" s="1"/>
      <c r="AV5341" s="1"/>
      <c r="AW5341" s="1"/>
      <c r="AX5341" s="1"/>
      <c r="AY5341" s="1"/>
      <c r="AZ5341" s="1"/>
      <c r="BA5341" s="1"/>
      <c r="BB5341" s="1"/>
    </row>
    <row r="5342" ht="204.75" customHeight="1">
      <c r="A5342" s="1">
        <v>2705.0</v>
      </c>
      <c r="B5342" s="2" t="s">
        <v>14782</v>
      </c>
      <c r="C5342" s="2">
        <f>IFERROR(__xludf.DUMMYFUNCTION("split(B5342,""_"")"),1404.0)</f>
        <v>1404</v>
      </c>
      <c r="D5342" s="2" t="str">
        <f>IFERROR(__xludf.DUMMYFUNCTION("""COMPUTED_VALUE"""),"TBS")</f>
        <v>TBS</v>
      </c>
      <c r="E5342" s="2" t="str">
        <f>IFERROR(__xludf.DUMMYFUNCTION("""COMPUTED_VALUE"""),"月20")</f>
        <v>月20</v>
      </c>
      <c r="F5342" s="2" t="s">
        <v>14783</v>
      </c>
      <c r="G5342" s="2" t="s">
        <v>14796</v>
      </c>
      <c r="H5342" s="1">
        <v>7.0</v>
      </c>
      <c r="J5342" s="1" t="s">
        <v>7151</v>
      </c>
      <c r="K5342" s="2" t="s">
        <v>14797</v>
      </c>
      <c r="L5342" s="2"/>
      <c r="M5342" s="2" t="str">
        <f>IFERROR(__xludf.DUMMYFUNCTION("split(split(K5342,""【"",false),""公式LINE"",false)"),"ホワイト・ラボのシステムが、ハッカーから攻撃を受けた。ノーネームという名の天才ハッカーで、これまでにも政治家の汚職や大企業の不祥事を数々ネット上で暴いていた。山根がどうにか撃退するが、なぜホワイト・ラボが突然攻撃を受けたのか、神山は疑問を持つ。一方、一ノ瀬がホワイト・ラボにおばあさんを連れてきた。突然家に訪ねてきたが一ノ瀬は面識がなく、おばあさんも自分の名前はおろかどこから来たのかもわからないようだ、と言うのだ。そんな折、男性の変死体が発見された。一ノ瀬と奥貫は、変死体の傷口に溶けた樹脂が付着していること"&amp;"に気が付く・・・。一ノ瀬聡士…北村一輝  奥貫徹…宮迫博之  山根武彦…薮宏太  淡島勝…森岡豊  山口雅年…阪田マサノブ  黒田敬…大杉漣  本田真幸…谷原章介  神山恵子…和久井映見長束八重子…草村礼子  長束直也…郭智博  椎名卓馬…矢野聖人  佐々木智美…藤本泉  堤誠治…山口祥行  梶川秀雄…前野朋哉  若林栄子…ちすん  若林栄子…おのののか『Destiny』エレファントカシマシ  (ユニバーサル　シグマ）脚本：ますもとたくや　ブラジリィー・アン・山田  演出：韓哲  チーフプロデューサー：片"&amp;"山剛  プロデューサー：武藤淳　ほか◇番組HP  http://www.tbs.co.jp/white-lab/  ◇フェイスブック  https://www.facebook.com/whitelab.tbs  ◇ツイッター  @whitelab_tbs  https://twitter.com/whitelab_tbs  おのののか コスプレでドラマ初挑戦！「メイキング」スペシャル公開!！5/26『ホワイト・ラボ』 動画公開しました！  http://youtu.be/VFCx3zEjZzE  9月開"&amp;"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ホワイト・ラボのシステムが、ハッカーから攻撃を受けた。ノーネームという名の天才ハッカーで、これまでにも政治家の汚職や大企業の不祥事を数々ネット上で暴いていた。山根がどうにか撃退するが、なぜホワイト・ラボが突然攻撃を受けたのか、神山は疑問を持つ。一方、一ノ瀬がホワイト・ラボにおばあさんを連れてきた。突然家に訪ねてきたが一ノ瀬は面識がなく、おばあさんも自分の名前はおろかどこから来たのかもわからないようだ、と言うのだ。そんな折、男性の変死体が発見された。一ノ瀬と奥貫は、変死体の傷口に溶けた樹脂が付着していることに気が付く・・・。一ノ瀬聡士…北村一輝  奥貫徹…宮迫博之  山根武彦…薮宏太  淡島勝…森岡豊  山口雅年…阪田マサノブ  黒田敬…大杉漣  本田真幸…谷原章介  神山恵子…和久井映見長束八重子…草村礼子  長束直也…郭智博  椎名卓馬…矢野聖人  佐々木智美…藤本泉  堤誠治…山口祥行  梶川秀雄…前野朋哉  若林栄子…ちすん  若林栄子…おのののか『Destiny』エレファントカシマシ  (ユニバーサル　シグマ）脚本：ますもとたくや　ブラジリィー・アン・山田  演出：韓哲  チーフプロデューサー：片山剛  プロデューサー：武藤淳　ほか◇番組HP  http://www.tbs.co.jp/white-lab/  ◇フェイスブック  https://www.facebook.com/whitelab.tbs  ◇ツイッター  @whitelab_tbs  https://twitter.com/whitelab_tbs  おのののか コスプレでドラマ初挑戦！「メイキング」スペシャル公開!！5/26『ホワイト・ラボ』 動画公開しました！  http://youtu.be/VFCx3zEjZzE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42" s="2"/>
      <c r="O5342" s="2"/>
      <c r="P5342" s="1"/>
      <c r="Q5342" s="1"/>
      <c r="R5342" s="1"/>
      <c r="S5342" s="1"/>
      <c r="T5342" s="1"/>
      <c r="U5342" s="1"/>
      <c r="V5342" s="1"/>
      <c r="W5342" s="1"/>
      <c r="X5342" s="1"/>
      <c r="Y5342" s="1"/>
      <c r="Z5342" s="1"/>
      <c r="AA5342" s="1"/>
      <c r="AB5342" s="1"/>
      <c r="AC5342" s="1"/>
      <c r="AD5342" s="1"/>
      <c r="AE5342" s="1"/>
      <c r="AF5342" s="1"/>
      <c r="AG5342" s="1"/>
      <c r="AH5342" s="1"/>
      <c r="AI5342" s="1"/>
      <c r="AJ5342" s="1"/>
      <c r="AK5342" s="1"/>
      <c r="AL5342" s="1"/>
      <c r="AM5342" s="1"/>
      <c r="AN5342" s="1"/>
      <c r="AO5342" s="1"/>
      <c r="AP5342" s="1"/>
      <c r="AQ5342" s="1"/>
      <c r="AR5342" s="1"/>
      <c r="AS5342" s="1"/>
      <c r="AT5342" s="1"/>
      <c r="AU5342" s="1"/>
      <c r="AV5342" s="1"/>
      <c r="AW5342" s="1"/>
      <c r="AX5342" s="1"/>
      <c r="AY5342" s="1"/>
      <c r="AZ5342" s="1"/>
      <c r="BA5342" s="1"/>
      <c r="BB5342" s="1"/>
    </row>
    <row r="5343" ht="204.75" customHeight="1">
      <c r="A5343" s="1">
        <v>2706.0</v>
      </c>
      <c r="B5343" s="2" t="s">
        <v>14782</v>
      </c>
      <c r="C5343" s="2">
        <f>IFERROR(__xludf.DUMMYFUNCTION("split(B5343,""_"")"),1404.0)</f>
        <v>1404</v>
      </c>
      <c r="D5343" s="2" t="str">
        <f>IFERROR(__xludf.DUMMYFUNCTION("""COMPUTED_VALUE"""),"TBS")</f>
        <v>TBS</v>
      </c>
      <c r="E5343" s="2" t="str">
        <f>IFERROR(__xludf.DUMMYFUNCTION("""COMPUTED_VALUE"""),"月20")</f>
        <v>月20</v>
      </c>
      <c r="F5343" s="2" t="s">
        <v>14783</v>
      </c>
      <c r="G5343" s="2" t="s">
        <v>14798</v>
      </c>
      <c r="H5343" s="1">
        <v>8.0</v>
      </c>
      <c r="J5343" s="1" t="s">
        <v>7151</v>
      </c>
      <c r="K5343" s="2" t="s">
        <v>14799</v>
      </c>
      <c r="L5343" s="2"/>
      <c r="M5343" s="2" t="str">
        <f>IFERROR(__xludf.DUMMYFUNCTION("split(split(K5343,""【"",false),""公式LINE"",false)"),"雑木林で女性の遺体が発見。胸を刺され、遺体の傍には「天罰」と書かれた紙切れが。凶器は見つからず、傷口から検出された物質が通常の刃物には用いられない物質であったことから、一ノ瀬は凶器の特定が出来ずにいた。岸部は、被害者と付き合いのあった永倉卓司という19歳の少年の存在を聞き込んでくる。永倉の部屋へ踏み込むと、胸を刺され殺されていた。傍には「天罰」の紙切れが。永倉は未成年ながらこれまでに薬物売買や美人局など犯罪を重ねており、週刊誌が書き立てる。現場に残されていた紙切れから微量の薬品が検出され、戸川敬三という大"&amp;"学教授が容疑者として浮上。戸川の娘は一年前に永倉に捨てられ、自殺していた。一ノ瀬聡士…北村一輝  奥貫徹…宮迫博之  山根武彦…薮宏太  岸部永一…デビット伊東  淡島勝…森岡豊  平野俊二…水野直  黒田敬…大杉漣  本田真幸…谷原章介  神山恵子…和久井映見戸川敬三…山崎一  長倉卓司…前田公輝  戸川麗子…緑友利恵  下山雄二…陣内将  小沢…尾関伸嗣  係員…山崎画大  好子…亜里沙  小坂美里…白石ゆきの『Destiny』エレファントカシマシ  (ユニバーサル　シグマ）脚本：蒔田光治  演出：酒"&amp;"井聖博  チーフプロデューサー：片山剛  プロデューサー：武藤淳　ほか◇番組HP  http://www.tbs.co.jp/white-lab/  ◇フェイスブック  https://www.facebook.com/whitelab.tbs  ◇ツイッター  @whitelab_tbs  https://twitter.com/whitelab_tbs  天才システムハッカーが侵入！月曜20時『ホワイト・ラボ』第7話（5/26）ダイジェスト動画公開しました！  http://youtu.be/UOvK"&amp;"4gIkArw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雑木林で女性の遺体が発見。胸を刺され、遺体の傍には「天罰」と書かれた紙切れが。凶器は見つからず、傷口から検出された物質が通常の刃物には用いられない物質であったことから、一ノ瀬は凶器の特定が出来ずにいた。岸部は、被害者と付き合いのあった永倉卓司という19歳の少年の存在を聞き込んでくる。永倉の部屋へ踏み込むと、胸を刺され殺されていた。傍には「天罰」の紙切れが。永倉は未成年ながらこれまでに薬物売買や美人局など犯罪を重ねており、週刊誌が書き立てる。現場に残されていた紙切れから微量の薬品が検出され、戸川敬三という大学教授が容疑者として浮上。戸川の娘は一年前に永倉に捨てられ、自殺していた。一ノ瀬聡士…北村一輝  奥貫徹…宮迫博之  山根武彦…薮宏太  岸部永一…デビット伊東  淡島勝…森岡豊  平野俊二…水野直  黒田敬…大杉漣  本田真幸…谷原章介  神山恵子…和久井映見戸川敬三…山崎一  長倉卓司…前田公輝  戸川麗子…緑友利恵  下山雄二…陣内将  小沢…尾関伸嗣  係員…山崎画大  好子…亜里沙  小坂美里…白石ゆきの『Destiny』エレファントカシマシ  (ユニバーサル　シグマ）脚本：蒔田光治  演出：酒井聖博  チーフプロデューサー：片山剛  プロデューサー：武藤淳　ほか◇番組HP  http://www.tbs.co.jp/white-lab/  ◇フェイスブック  https://www.facebook.com/whitelab.tbs  ◇ツイッター  @whitelab_tbs  https://twitter.com/whitelab_tbs  天才システムハッカーが侵入！月曜20時『ホワイト・ラボ』第7話（5/26）ダイジェスト動画公開しました！  http://youtu.be/UOvK4gIkArw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43" s="2"/>
      <c r="O5343" s="2"/>
      <c r="P5343" s="1"/>
      <c r="Q5343" s="1"/>
      <c r="R5343" s="1"/>
      <c r="S5343" s="1"/>
      <c r="T5343" s="1"/>
      <c r="U5343" s="1"/>
      <c r="V5343" s="1"/>
      <c r="W5343" s="1"/>
      <c r="X5343" s="1"/>
      <c r="Y5343" s="1"/>
      <c r="Z5343" s="1"/>
      <c r="AA5343" s="1"/>
      <c r="AB5343" s="1"/>
      <c r="AC5343" s="1"/>
      <c r="AD5343" s="1"/>
      <c r="AE5343" s="1"/>
      <c r="AF5343" s="1"/>
      <c r="AG5343" s="1"/>
      <c r="AH5343" s="1"/>
      <c r="AI5343" s="1"/>
      <c r="AJ5343" s="1"/>
      <c r="AK5343" s="1"/>
      <c r="AL5343" s="1"/>
      <c r="AM5343" s="1"/>
      <c r="AN5343" s="1"/>
      <c r="AO5343" s="1"/>
      <c r="AP5343" s="1"/>
      <c r="AQ5343" s="1"/>
      <c r="AR5343" s="1"/>
      <c r="AS5343" s="1"/>
      <c r="AT5343" s="1"/>
      <c r="AU5343" s="1"/>
      <c r="AV5343" s="1"/>
      <c r="AW5343" s="1"/>
      <c r="AX5343" s="1"/>
      <c r="AY5343" s="1"/>
      <c r="AZ5343" s="1"/>
      <c r="BA5343" s="1"/>
      <c r="BB5343" s="1"/>
    </row>
    <row r="5344" ht="204.75" customHeight="1">
      <c r="A5344" s="1">
        <v>2707.0</v>
      </c>
      <c r="B5344" s="2" t="s">
        <v>14782</v>
      </c>
      <c r="C5344" s="2">
        <f>IFERROR(__xludf.DUMMYFUNCTION("split(B5344,""_"")"),1404.0)</f>
        <v>1404</v>
      </c>
      <c r="D5344" s="2" t="str">
        <f>IFERROR(__xludf.DUMMYFUNCTION("""COMPUTED_VALUE"""),"TBS")</f>
        <v>TBS</v>
      </c>
      <c r="E5344" s="2" t="str">
        <f>IFERROR(__xludf.DUMMYFUNCTION("""COMPUTED_VALUE"""),"月20")</f>
        <v>月20</v>
      </c>
      <c r="F5344" s="2" t="s">
        <v>14783</v>
      </c>
      <c r="G5344" s="2" t="s">
        <v>14800</v>
      </c>
      <c r="H5344" s="1">
        <v>9.0</v>
      </c>
      <c r="J5344" s="1" t="s">
        <v>7151</v>
      </c>
      <c r="K5344" s="2" t="s">
        <v>14801</v>
      </c>
      <c r="L5344" s="2"/>
      <c r="M5344" s="2" t="str">
        <f>IFERROR(__xludf.DUMMYFUNCTION("split(split(K5344,""【"",false),""公式LINE"",false)"),"ホワイト・ラボに荷物が送られてきた。その時、箱が破裂し粉状のものが舞い上がる！生物兵器の可能性があるため、粉をまともに浴びた神山は病院に隔離され、一ノ瀬、奥貫、山根は検査結果が出るまでラボ内に留まるよう指示される。一ノ瀬らは自分たちの手で粉を分析、それが新種のペスト菌であることを突き止める。箱には「発病すると1時間以内に死亡する」との手紙が添えられていた。検査の結果、神山は感染が確認。ラボのメンバーで唯一無事だったのは、外出していた本田だけ。荷物を届けたバイク便を当たる本田に、犯人から接触が！新種のペスト"&amp;"菌用の抗生物質を持っているというのだ。犯人が本田に出した条件とは？一ノ瀬聡士…北村一輝  奥貫徹…宮迫博之  山根武彦…薮宏太  岸部永一…デビット伊東  淡島勝…森岡豊  神山邦夫…山中聡  神山真実…谷花音  神山健太…高橋來  黒田敬…大杉漣  本田真幸…谷原章介  神山恵子…和久井映見西野利治…小柳友  浦賀…中野剛  社長…田口主将  美村珠美…星名美津紀  南沢明人…神田直樹  医師…北見誠『Destiny』エレファントカシマシ  (ユニバーサル　シグマ）脚本：ますもとたくや  演出：加藤尚樹"&amp;"  チーフプロデューサー：片山剛  プロデューサー：武藤淳　ほか◇番組HP  http://www.tbs.co.jp/white-lab/  ◇フェイスブック  https://www.facebook.com/whitelab.tbs  ◇ツイッター  @whitelab_tbs  https://twitter.com/whitelab_tbs  凶器が消えた！？月曜20時『ホワイト・ラボ』第8話（6/2）ダイジェスト動画公開しました！  http://youtu.be/Vmf4HRMsdfk  9"&amp;"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ホワイト・ラボに荷物が送られてきた。その時、箱が破裂し粉状のものが舞い上がる！生物兵器の可能性があるため、粉をまともに浴びた神山は病院に隔離され、一ノ瀬、奥貫、山根は検査結果が出るまでラボ内に留まるよう指示される。一ノ瀬らは自分たちの手で粉を分析、それが新種のペスト菌であることを突き止める。箱には「発病すると1時間以内に死亡する」との手紙が添えられていた。検査の結果、神山は感染が確認。ラボのメンバーで唯一無事だったのは、外出していた本田だけ。荷物を届けたバイク便を当たる本田に、犯人から接触が！新種のペスト菌用の抗生物質を持っているというのだ。犯人が本田に出した条件とは？一ノ瀬聡士…北村一輝  奥貫徹…宮迫博之  山根武彦…薮宏太  岸部永一…デビット伊東  淡島勝…森岡豊  神山邦夫…山中聡  神山真実…谷花音  神山健太…高橋來  黒田敬…大杉漣  本田真幸…谷原章介  神山恵子…和久井映見西野利治…小柳友  浦賀…中野剛  社長…田口主将  美村珠美…星名美津紀  南沢明人…神田直樹  医師…北見誠『Destiny』エレファントカシマシ  (ユニバーサル　シグマ）脚本：ますもとたくや  演出：加藤尚樹  チーフプロデューサー：片山剛  プロデューサー：武藤淳　ほか◇番組HP  http://www.tbs.co.jp/white-lab/  ◇フェイスブック  https://www.facebook.com/whitelab.tbs  ◇ツイッター  @whitelab_tbs  https://twitter.com/whitelab_tbs  凶器が消えた！？月曜20時『ホワイト・ラボ』第8話（6/2）ダイジェスト動画公開しました！  http://youtu.be/Vmf4HRMsdfk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44" s="2"/>
      <c r="O5344" s="2"/>
      <c r="P5344" s="1"/>
      <c r="Q5344" s="1"/>
      <c r="R5344" s="1"/>
      <c r="S5344" s="1"/>
      <c r="T5344" s="1"/>
      <c r="U5344" s="1"/>
      <c r="V5344" s="1"/>
      <c r="W5344" s="1"/>
      <c r="X5344" s="1"/>
      <c r="Y5344" s="1"/>
      <c r="Z5344" s="1"/>
      <c r="AA5344" s="1"/>
      <c r="AB5344" s="1"/>
      <c r="AC5344" s="1"/>
      <c r="AD5344" s="1"/>
      <c r="AE5344" s="1"/>
      <c r="AF5344" s="1"/>
      <c r="AG5344" s="1"/>
      <c r="AH5344" s="1"/>
      <c r="AI5344" s="1"/>
      <c r="AJ5344" s="1"/>
      <c r="AK5344" s="1"/>
      <c r="AL5344" s="1"/>
      <c r="AM5344" s="1"/>
      <c r="AN5344" s="1"/>
      <c r="AO5344" s="1"/>
      <c r="AP5344" s="1"/>
      <c r="AQ5344" s="1"/>
      <c r="AR5344" s="1"/>
      <c r="AS5344" s="1"/>
      <c r="AT5344" s="1"/>
      <c r="AU5344" s="1"/>
      <c r="AV5344" s="1"/>
      <c r="AW5344" s="1"/>
      <c r="AX5344" s="1"/>
      <c r="AY5344" s="1"/>
      <c r="AZ5344" s="1"/>
      <c r="BA5344" s="1"/>
      <c r="BB5344" s="1"/>
    </row>
    <row r="5345" ht="204.75" customHeight="1">
      <c r="A5345" s="1">
        <v>2708.0</v>
      </c>
      <c r="B5345" s="2" t="s">
        <v>14782</v>
      </c>
      <c r="C5345" s="2">
        <f>IFERROR(__xludf.DUMMYFUNCTION("split(B5345,""_"")"),1404.0)</f>
        <v>1404</v>
      </c>
      <c r="D5345" s="2" t="str">
        <f>IFERROR(__xludf.DUMMYFUNCTION("""COMPUTED_VALUE"""),"TBS")</f>
        <v>TBS</v>
      </c>
      <c r="E5345" s="2" t="str">
        <f>IFERROR(__xludf.DUMMYFUNCTION("""COMPUTED_VALUE"""),"月20")</f>
        <v>月20</v>
      </c>
      <c r="F5345" s="2" t="s">
        <v>14783</v>
      </c>
      <c r="G5345" s="2" t="s">
        <v>14802</v>
      </c>
      <c r="H5345" s="1">
        <v>10.0</v>
      </c>
      <c r="J5345" s="1" t="s">
        <v>7151</v>
      </c>
      <c r="K5345" s="2" t="s">
        <v>14803</v>
      </c>
      <c r="L5345" s="2"/>
      <c r="M5345" s="2" t="str">
        <f>IFERROR(__xludf.DUMMYFUNCTION("split(split(K5345,""【"",false),""公式LINE"",false)"),"科学者の変死体が発見された。死亡したのは笠原という研究員で、突然苦しみだして死亡したという。奥貫の分析により、笠原はアコニチンによる中毒死と判明する。アコニチンはトリカブトに含まれる猛毒で、即効性がある。しかし本田が他の研究員に聞き込みをしても、笠原が亡くなる直前に何かを口にした形跡はなかった。一方、笠原の自宅を訪れた一ノ瀬はあるモノを発見する。また、防犯カメラの映像を分析していた山根が、記録された映像が何者かによって書き換えられた形跡があることに気が付いた。そして第2の殺人が起こる・・・。一ノ瀬聡士…北"&amp;"村一輝  奥貫徹…宮迫博之  山根武彦…薮宏太  岸部永一…デビット伊東  淡島勝…森岡豊  一ノ瀬晃…益岡徹  朝比奈沙羅…矢田亜希子  黒田敬…大杉漣  本田真幸…谷原章介  神山恵子…和久井映見泉田美知恵…かとうかず子　  高村サダオ…阿部進之介  織田慎一郎…大石吾朗  立花研究員…小松利昌  三鷹研究員…原勇弥  社員(1)…宮澤翔  社員(2)…野村修一『Destiny』エレファントカシマシ  (ユニバーサル　シグマ）脚本：正岡謙一郎  演出：竹村謙太郎  チーフプロデューサー：片山剛  プロ"&amp;"デューサー：武藤淳　ほか◇番組HP  http://www.tbs.co.jp/white-lab/  ◇フェイスブック  https://www.facebook.com/whitelab.tbs  ◇ツイッター  @whitelab_tbs  https://twitter.com/whitelab_tbs  神山が発病！迫り来る生物テロ！月曜よる8時『ホワイト・ラボ』第9話（6/9）ダイジェスト動画公開しました！  http://youtu.be/-iouPXvuiGA  9月開幕、アジア40億人の"&amp;"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科学者の変死体が発見された。死亡したのは笠原という研究員で、突然苦しみだして死亡したという。奥貫の分析により、笠原はアコニチンによる中毒死と判明する。アコニチンはトリカブトに含まれる猛毒で、即効性がある。しかし本田が他の研究員に聞き込みをしても、笠原が亡くなる直前に何かを口にした形跡はなかった。一方、笠原の自宅を訪れた一ノ瀬はあるモノを発見する。また、防犯カメラの映像を分析していた山根が、記録された映像が何者かによって書き換えられた形跡があることに気が付いた。そして第2の殺人が起こる・・・。一ノ瀬聡士…北村一輝  奥貫徹…宮迫博之  山根武彦…薮宏太  岸部永一…デビット伊東  淡島勝…森岡豊  一ノ瀬晃…益岡徹  朝比奈沙羅…矢田亜希子  黒田敬…大杉漣  本田真幸…谷原章介  神山恵子…和久井映見泉田美知恵…かとうかず子　  高村サダオ…阿部進之介  織田慎一郎…大石吾朗  立花研究員…小松利昌  三鷹研究員…原勇弥  社員(1)…宮澤翔  社員(2)…野村修一『Destiny』エレファントカシマシ  (ユニバーサル　シグマ）脚本：正岡謙一郎  演出：竹村謙太郎  チーフプロデューサー：片山剛  プロデューサー：武藤淳　ほか◇番組HP  http://www.tbs.co.jp/white-lab/  ◇フェイスブック  https://www.facebook.com/whitelab.tbs  ◇ツイッター  @whitelab_tbs  https://twitter.com/whitelab_tbs  神山が発病！迫り来る生物テロ！月曜よる8時『ホワイト・ラボ』第9話（6/9）ダイジェスト動画公開しました！  http://youtu.be/-iouPXvuiGA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45" s="2"/>
      <c r="O5345" s="2"/>
      <c r="P5345" s="1"/>
      <c r="Q5345" s="1"/>
      <c r="R5345" s="1"/>
      <c r="S5345" s="1"/>
      <c r="T5345" s="1"/>
      <c r="U5345" s="1"/>
      <c r="V5345" s="1"/>
      <c r="W5345" s="1"/>
      <c r="X5345" s="1"/>
      <c r="Y5345" s="1"/>
      <c r="Z5345" s="1"/>
      <c r="AA5345" s="1"/>
      <c r="AB5345" s="1"/>
      <c r="AC5345" s="1"/>
      <c r="AD5345" s="1"/>
      <c r="AE5345" s="1"/>
      <c r="AF5345" s="1"/>
      <c r="AG5345" s="1"/>
      <c r="AH5345" s="1"/>
      <c r="AI5345" s="1"/>
      <c r="AJ5345" s="1"/>
      <c r="AK5345" s="1"/>
      <c r="AL5345" s="1"/>
      <c r="AM5345" s="1"/>
      <c r="AN5345" s="1"/>
      <c r="AO5345" s="1"/>
      <c r="AP5345" s="1"/>
      <c r="AQ5345" s="1"/>
      <c r="AR5345" s="1"/>
      <c r="AS5345" s="1"/>
      <c r="AT5345" s="1"/>
      <c r="AU5345" s="1"/>
      <c r="AV5345" s="1"/>
      <c r="AW5345" s="1"/>
      <c r="AX5345" s="1"/>
      <c r="AY5345" s="1"/>
      <c r="AZ5345" s="1"/>
      <c r="BA5345" s="1"/>
      <c r="BB5345" s="1"/>
    </row>
    <row r="5346" ht="204.75" customHeight="1">
      <c r="A5346" s="1">
        <v>2709.0</v>
      </c>
      <c r="B5346" s="2" t="s">
        <v>14782</v>
      </c>
      <c r="C5346" s="2">
        <f>IFERROR(__xludf.DUMMYFUNCTION("split(B5346,""_"")"),1404.0)</f>
        <v>1404</v>
      </c>
      <c r="D5346" s="2" t="str">
        <f>IFERROR(__xludf.DUMMYFUNCTION("""COMPUTED_VALUE"""),"TBS")</f>
        <v>TBS</v>
      </c>
      <c r="E5346" s="2" t="str">
        <f>IFERROR(__xludf.DUMMYFUNCTION("""COMPUTED_VALUE"""),"月20")</f>
        <v>月20</v>
      </c>
      <c r="F5346" s="2" t="s">
        <v>14783</v>
      </c>
      <c r="G5346" s="2" t="s">
        <v>14804</v>
      </c>
      <c r="H5346" s="1">
        <v>11.0</v>
      </c>
      <c r="J5346" s="1" t="s">
        <v>7151</v>
      </c>
      <c r="K5346" s="2" t="s">
        <v>14805</v>
      </c>
      <c r="L5346" s="2"/>
      <c r="M5346" s="2" t="str">
        <f>IFERROR(__xludf.DUMMYFUNCTION("split(split(K5346,""【"",false),""公式LINE"",false)"),"二人の科学者が殺害された事件をめぐり、ホワイトラボのメンバーたちは朝比奈沙羅という科学者に注目する。彼女は一ノ瀬のアメリカ留学時代の知り合いであったが、14年前に日本で起こった一ノ瀬の父・晃に纏わる殺人事件以後、姿を消していた。その沙羅が二人の科学者の殺害に関与しているのではないかと、神山らはみていた。しかも、沙羅は長年かけてガンの特効薬「T5」を開発しており、すでに完成に向けて最終段階に入っていた。T5の存在と14年前の事件、そして今度の殺人事件・・・すべては関係があるのか？その鍵は朝比奈沙羅に！？一ノ"&amp;"瀬聡士…北村一輝  奥貫徹…宮迫博之  山根武彦…薮宏太  岸部永一…デビット伊東  淡島勝…森岡豊  一ノ瀬晃…益岡徹  朝比奈沙羅…矢田亜希子  黒田敬…大杉漣  本田真幸…谷原章介  神山恵子…和久井映見  泉田美知恵…かとうかず子　  高村サダオ…阿部進之介  織田慎一郎…大石吾朗  朝比奈裕子…笹山ゆき乃  平田敦也…猪又太一  中尾…久松信美『Destiny』エレファントカシマシ  (ユニバーサル　シグマ）脚本：正岡謙一郎  演出：酒井聖博  チーフプロデューサー：片山剛  プロデューサー：武"&amp;"藤淳　ほか◇番組HP  http://www.tbs.co.jp/white-lab/  ◇フェイスブック  https://www.facebook.com/whitelab.tbs  ◇ツイッター  @whitelab_tbs  https://twitter.com/whitelab_tbs  ラボ最後の事件へ！月曜よる8時『ホワイト・ラボ』第10話（6/16）ダイジェスト動画公開しました！  http://youtu.be/ZYp14Ye1R1U  9月開幕、アジア40億人の頂点をかけたアジア最大"&amp;"スポーツの祭典。競技数はオリンピックを超える36。かつて高橋尚子がアジア新、競泳・北島が世界新を樹立。柔道・田村亮子、競泳・鈴木大地らが伝説を築いた。番組の内容と放送時間は変更になる場合があります。")</f>
        <v>二人の科学者が殺害された事件をめぐり、ホワイトラボのメンバーたちは朝比奈沙羅という科学者に注目する。彼女は一ノ瀬のアメリカ留学時代の知り合いであったが、14年前に日本で起こった一ノ瀬の父・晃に纏わる殺人事件以後、姿を消していた。その沙羅が二人の科学者の殺害に関与しているのではないかと、神山らはみていた。しかも、沙羅は長年かけてガンの特効薬「T5」を開発しており、すでに完成に向けて最終段階に入っていた。T5の存在と14年前の事件、そして今度の殺人事件・・・すべては関係があるのか？その鍵は朝比奈沙羅に！？一ノ瀬聡士…北村一輝  奥貫徹…宮迫博之  山根武彦…薮宏太  岸部永一…デビット伊東  淡島勝…森岡豊  一ノ瀬晃…益岡徹  朝比奈沙羅…矢田亜希子  黒田敬…大杉漣  本田真幸…谷原章介  神山恵子…和久井映見  泉田美知恵…かとうかず子　  高村サダオ…阿部進之介  織田慎一郎…大石吾朗  朝比奈裕子…笹山ゆき乃  平田敦也…猪又太一  中尾…久松信美『Destiny』エレファントカシマシ  (ユニバーサル　シグマ）脚本：正岡謙一郎  演出：酒井聖博  チーフプロデューサー：片山剛  プロデューサー：武藤淳　ほか◇番組HP  http://www.tbs.co.jp/white-lab/  ◇フェイスブック  https://www.facebook.com/whitelab.tbs  ◇ツイッター  @whitelab_tbs  https://twitter.com/whitelab_tbs  ラボ最後の事件へ！月曜よる8時『ホワイト・ラボ』第10話（6/16）ダイジェスト動画公開しました！  http://youtu.be/ZYp14Ye1R1U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46" s="2"/>
      <c r="O5346" s="2"/>
      <c r="P5346" s="1"/>
      <c r="Q5346" s="1"/>
      <c r="R5346" s="1"/>
      <c r="S5346" s="1"/>
      <c r="T5346" s="1"/>
      <c r="U5346" s="1"/>
      <c r="V5346" s="1"/>
      <c r="W5346" s="1"/>
      <c r="X5346" s="1"/>
      <c r="Y5346" s="1"/>
      <c r="Z5346" s="1"/>
      <c r="AA5346" s="1"/>
      <c r="AB5346" s="1"/>
      <c r="AC5346" s="1"/>
      <c r="AD5346" s="1"/>
      <c r="AE5346" s="1"/>
      <c r="AF5346" s="1"/>
      <c r="AG5346" s="1"/>
      <c r="AH5346" s="1"/>
      <c r="AI5346" s="1"/>
      <c r="AJ5346" s="1"/>
      <c r="AK5346" s="1"/>
      <c r="AL5346" s="1"/>
      <c r="AM5346" s="1"/>
      <c r="AN5346" s="1"/>
      <c r="AO5346" s="1"/>
      <c r="AP5346" s="1"/>
      <c r="AQ5346" s="1"/>
      <c r="AR5346" s="1"/>
      <c r="AS5346" s="1"/>
      <c r="AT5346" s="1"/>
      <c r="AU5346" s="1"/>
      <c r="AV5346" s="1"/>
      <c r="AW5346" s="1"/>
      <c r="AX5346" s="1"/>
      <c r="AY5346" s="1"/>
      <c r="AZ5346" s="1"/>
      <c r="BA5346" s="1"/>
      <c r="BB5346" s="1"/>
    </row>
    <row r="5347" ht="204.75" customHeight="1">
      <c r="A5347" s="1">
        <v>2721.0</v>
      </c>
      <c r="B5347" s="2" t="s">
        <v>14806</v>
      </c>
      <c r="C5347" s="2">
        <f>IFERROR(__xludf.DUMMYFUNCTION("split(B5347,""_"")"),1404.0)</f>
        <v>1404</v>
      </c>
      <c r="D5347" s="2" t="str">
        <f>IFERROR(__xludf.DUMMYFUNCTION("""COMPUTED_VALUE"""),"TBS")</f>
        <v>TBS</v>
      </c>
      <c r="E5347" s="2" t="str">
        <f>IFERROR(__xludf.DUMMYFUNCTION("""COMPUTED_VALUE"""),"火22")</f>
        <v>火22</v>
      </c>
      <c r="F5347" s="2" t="s">
        <v>14807</v>
      </c>
      <c r="G5347" s="2" t="s">
        <v>14808</v>
      </c>
      <c r="H5347" s="1">
        <v>1.0</v>
      </c>
      <c r="J5347" s="1" t="s">
        <v>4</v>
      </c>
      <c r="K5347" s="2" t="s">
        <v>14809</v>
      </c>
      <c r="L5347" s="2"/>
      <c r="M5347" s="2" t="str">
        <f>IFERROR(__xludf.DUMMYFUNCTION("split(split(K5347,""【"",false),""公式LINE"",false)"),"平凡な主婦・長島綾（浅野温子）が始めた自宅レストラン。  カフェレストランあやは今日も大繁盛。  綾と夫・大悟（舘ひろし）のおかげで家族関係を修復した恵理（紺野まひる）が通いで来てくれているが、もう一人の従業員・香子（南沢奈央）は無愛想で一向に店になじまない。  そんなある日、店に無銭飲食の謎の老婆が…。  そして、かつての従業員・大竹昇（安田章大）が金髪の一見チャラ男（伊野尾慧）を連れて来る。長島大悟…舘ひろし  長島綾…浅野温子  内田陽子…志田未来  大竹昇…安田章大  千葉恵理…紺野まひる  中野"&amp;"香子…南沢奈央  奥村涼…伊野尾慧（Hey!Say!JUMP）  長島健…小澤亮太  恵理の息子・誠…大西利空  戸川たつ…渡辺美佐子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https://twitter.com/narunaru"&amp;"_tbs  番組の内容と放送時間は、変更になる場合があります。")</f>
        <v>平凡な主婦・長島綾（浅野温子）が始めた自宅レストラン。  カフェレストランあやは今日も大繁盛。  綾と夫・大悟（舘ひろし）のおかげで家族関係を修復した恵理（紺野まひる）が通いで来てくれているが、もう一人の従業員・香子（南沢奈央）は無愛想で一向に店になじまない。  そんなある日、店に無銭飲食の謎の老婆が…。  そして、かつての従業員・大竹昇（安田章大）が金髪の一見チャラ男（伊野尾慧）を連れて来る。長島大悟…舘ひろし  長島綾…浅野温子  内田陽子…志田未来  大竹昇…安田章大  千葉恵理…紺野まひる  中野香子…南沢奈央  奥村涼…伊野尾慧（Hey!Say!JUMP）  長島健…小澤亮太  恵理の息子・誠…大西利空  戸川たつ…渡辺美佐子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番組の内容と放送時間は、変更になる場合があります。</v>
      </c>
      <c r="N5347" s="2"/>
      <c r="O5347" s="2"/>
      <c r="P5347" s="1"/>
      <c r="Q5347" s="1"/>
      <c r="R5347" s="1"/>
      <c r="S5347" s="1"/>
      <c r="T5347" s="1"/>
      <c r="U5347" s="1"/>
      <c r="V5347" s="1"/>
      <c r="W5347" s="1"/>
      <c r="X5347" s="1"/>
      <c r="Y5347" s="1"/>
      <c r="Z5347" s="1"/>
      <c r="AA5347" s="1"/>
      <c r="AB5347" s="1"/>
      <c r="AC5347" s="1"/>
      <c r="AD5347" s="1"/>
      <c r="AE5347" s="1"/>
      <c r="AF5347" s="1"/>
      <c r="AG5347" s="1"/>
      <c r="AH5347" s="1"/>
      <c r="AI5347" s="1"/>
      <c r="AJ5347" s="1"/>
      <c r="AK5347" s="1"/>
      <c r="AL5347" s="1"/>
      <c r="AM5347" s="1"/>
      <c r="AN5347" s="1"/>
      <c r="AO5347" s="1"/>
      <c r="AP5347" s="1"/>
      <c r="AQ5347" s="1"/>
      <c r="AR5347" s="1"/>
      <c r="AS5347" s="1"/>
      <c r="AT5347" s="1"/>
      <c r="AU5347" s="1"/>
      <c r="AV5347" s="1"/>
      <c r="AW5347" s="1"/>
      <c r="AX5347" s="1"/>
      <c r="AY5347" s="1"/>
      <c r="AZ5347" s="1"/>
      <c r="BA5347" s="1"/>
      <c r="BB5347" s="1"/>
    </row>
    <row r="5348" ht="204.75" customHeight="1">
      <c r="A5348" s="1">
        <v>2722.0</v>
      </c>
      <c r="B5348" s="2" t="s">
        <v>14806</v>
      </c>
      <c r="C5348" s="2">
        <f>IFERROR(__xludf.DUMMYFUNCTION("split(B5348,""_"")"),1404.0)</f>
        <v>1404</v>
      </c>
      <c r="D5348" s="2" t="str">
        <f>IFERROR(__xludf.DUMMYFUNCTION("""COMPUTED_VALUE"""),"TBS")</f>
        <v>TBS</v>
      </c>
      <c r="E5348" s="2" t="str">
        <f>IFERROR(__xludf.DUMMYFUNCTION("""COMPUTED_VALUE"""),"火22")</f>
        <v>火22</v>
      </c>
      <c r="F5348" s="2" t="s">
        <v>14807</v>
      </c>
      <c r="G5348" s="2" t="s">
        <v>14810</v>
      </c>
      <c r="H5348" s="1">
        <v>2.0</v>
      </c>
      <c r="J5348" s="1" t="s">
        <v>86</v>
      </c>
      <c r="K5348" s="2" t="s">
        <v>14811</v>
      </c>
      <c r="L5348" s="2"/>
      <c r="M5348" s="2" t="str">
        <f>IFERROR(__xludf.DUMMYFUNCTION("split(split(K5348,""【"",false),""公式LINE"",false)"),"家を飛び出してきて、実家に戻る事を望む三男・健（小澤亮太）と、それを嫌がる綾（浅野温子）。  住み込みの従業員たちで部屋はいっぱいで、健の住む部屋はないと健を突っぱねていたが、涼や香子が店を出て行くことに！？  さらに、正体を明かさずに働く老女たつ（渡辺美佐子）をどこかで見たことがあると、健が綾たちに打ち明ける…。長島大悟…舘ひろし  長島綾…浅野温子  大竹昇…安田章大  千葉恵理…紺野まひる  中野香子…南沢奈央  奥村涼…伊野尾慧（Hey!Say!JUMP）  長島健…小澤亮太  恵理の息子・誠…大"&amp;"西利空  戸川たつ…渡辺美佐子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新たなワケあり同居人が...火曜ドラマ『なるようになるさ。』初回（4/22）ダイジェスト＆次"&amp;"回予告動画公開しました！  http://youtu.be/EtILbtrmnlA  番組の内容と放送時間は、変更になる場合があります。")</f>
        <v>家を飛び出してきて、実家に戻る事を望む三男・健（小澤亮太）と、それを嫌がる綾（浅野温子）。  住み込みの従業員たちで部屋はいっぱいで、健の住む部屋はないと健を突っぱねていたが、涼や香子が店を出て行くことに！？  さらに、正体を明かさずに働く老女たつ（渡辺美佐子）をどこかで見たことがあると、健が綾たちに打ち明ける…。長島大悟…舘ひろし  長島綾…浅野温子  大竹昇…安田章大  千葉恵理…紺野まひる  中野香子…南沢奈央  奥村涼…伊野尾慧（Hey!Say!JUMP）  長島健…小澤亮太  恵理の息子・誠…大西利空  戸川たつ…渡辺美佐子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新たなワケあり同居人が...火曜ドラマ『なるようになるさ。』初回（4/22）ダイジェスト＆次回予告動画公開しました！  http://youtu.be/EtILbtrmnlA  番組の内容と放送時間は、変更になる場合があります。</v>
      </c>
      <c r="N5348" s="2"/>
      <c r="O5348" s="2"/>
      <c r="P5348" s="1"/>
      <c r="Q5348" s="1"/>
      <c r="R5348" s="1"/>
      <c r="S5348" s="1"/>
      <c r="T5348" s="1"/>
      <c r="U5348" s="1"/>
      <c r="V5348" s="1"/>
      <c r="W5348" s="1"/>
      <c r="X5348" s="1"/>
      <c r="Y5348" s="1"/>
      <c r="Z5348" s="1"/>
      <c r="AA5348" s="1"/>
      <c r="AB5348" s="1"/>
      <c r="AC5348" s="1"/>
      <c r="AD5348" s="1"/>
      <c r="AE5348" s="1"/>
      <c r="AF5348" s="1"/>
      <c r="AG5348" s="1"/>
      <c r="AH5348" s="1"/>
      <c r="AI5348" s="1"/>
      <c r="AJ5348" s="1"/>
      <c r="AK5348" s="1"/>
      <c r="AL5348" s="1"/>
      <c r="AM5348" s="1"/>
      <c r="AN5348" s="1"/>
      <c r="AO5348" s="1"/>
      <c r="AP5348" s="1"/>
      <c r="AQ5348" s="1"/>
      <c r="AR5348" s="1"/>
      <c r="AS5348" s="1"/>
      <c r="AT5348" s="1"/>
      <c r="AU5348" s="1"/>
      <c r="AV5348" s="1"/>
      <c r="AW5348" s="1"/>
      <c r="AX5348" s="1"/>
      <c r="AY5348" s="1"/>
      <c r="AZ5348" s="1"/>
      <c r="BA5348" s="1"/>
      <c r="BB5348" s="1"/>
    </row>
    <row r="5349" ht="204.75" customHeight="1">
      <c r="A5349" s="1">
        <v>2723.0</v>
      </c>
      <c r="B5349" s="2" t="s">
        <v>14806</v>
      </c>
      <c r="C5349" s="2">
        <f>IFERROR(__xludf.DUMMYFUNCTION("split(B5349,""_"")"),1404.0)</f>
        <v>1404</v>
      </c>
      <c r="D5349" s="2" t="str">
        <f>IFERROR(__xludf.DUMMYFUNCTION("""COMPUTED_VALUE"""),"TBS")</f>
        <v>TBS</v>
      </c>
      <c r="E5349" s="2" t="str">
        <f>IFERROR(__xludf.DUMMYFUNCTION("""COMPUTED_VALUE"""),"火22")</f>
        <v>火22</v>
      </c>
      <c r="F5349" s="2" t="s">
        <v>14807</v>
      </c>
      <c r="G5349" s="2" t="s">
        <v>14812</v>
      </c>
      <c r="H5349" s="1">
        <v>3.0</v>
      </c>
      <c r="J5349" s="1" t="s">
        <v>86</v>
      </c>
      <c r="K5349" s="2" t="s">
        <v>14813</v>
      </c>
      <c r="L5349" s="2"/>
      <c r="M5349" s="2" t="str">
        <f>IFERROR(__xludf.DUMMYFUNCTION("split(split(K5349,""【"",false),""公式LINE"",false)"),"日曜日に思わぬ休みをもらった従業員の面々。  それぞれ自分らしい時間を過ごす。  珍しく息子たちが三人そろったため少し早いが綾の誕生日も兼ねて家族で食事をすることになった長島家。  その席で健が差し出したたつと思われる女性の写真は・・・！長島大悟・・・舘ひろし  長島綾・・・浅野温子  千葉恵理・・・紺野まひる  中野香子・・・南沢奈央  奥村涼・・・伊野尾慧（Hey!Say!JUMP）  長島悟・・・池田努  長島至・・・水上剣星  長島健・・・小澤亮太  千葉正夫・・・岡田義徳  大塚久紀・・・冨家規"&amp;"政  恵理の息子・誠・・・大西利空  戸川たつ・・・渡辺美佐子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新たなトラブル発生！動画公開しました！  http://"&amp;"youtu.be/k6dBU7lrmfo  番組の内容と放送時間は、変更になる場合があります。")</f>
        <v>日曜日に思わぬ休みをもらった従業員の面々。  それぞれ自分らしい時間を過ごす。  珍しく息子たちが三人そろったため少し早いが綾の誕生日も兼ねて家族で食事をすることになった長島家。  その席で健が差し出したたつと思われる女性の写真は・・・！長島大悟・・・舘ひろし  長島綾・・・浅野温子  千葉恵理・・・紺野まひる  中野香子・・・南沢奈央  奥村涼・・・伊野尾慧（Hey!Say!JUMP）  長島悟・・・池田努  長島至・・・水上剣星  長島健・・・小澤亮太  千葉正夫・・・岡田義徳  大塚久紀・・・冨家規政  恵理の息子・誠・・・大西利空  戸川たつ・・・渡辺美佐子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新たなトラブル発生！動画公開しました！  http://youtu.be/k6dBU7lrmfo  番組の内容と放送時間は、変更になる場合があります。</v>
      </c>
      <c r="N5349" s="2"/>
      <c r="O5349" s="2"/>
      <c r="P5349" s="1"/>
      <c r="Q5349" s="1"/>
      <c r="R5349" s="1"/>
      <c r="S5349" s="1"/>
      <c r="T5349" s="1"/>
      <c r="U5349" s="1"/>
      <c r="V5349" s="1"/>
      <c r="W5349" s="1"/>
      <c r="X5349" s="1"/>
      <c r="Y5349" s="1"/>
      <c r="Z5349" s="1"/>
      <c r="AA5349" s="1"/>
      <c r="AB5349" s="1"/>
      <c r="AC5349" s="1"/>
      <c r="AD5349" s="1"/>
      <c r="AE5349" s="1"/>
      <c r="AF5349" s="1"/>
      <c r="AG5349" s="1"/>
      <c r="AH5349" s="1"/>
      <c r="AI5349" s="1"/>
      <c r="AJ5349" s="1"/>
      <c r="AK5349" s="1"/>
      <c r="AL5349" s="1"/>
      <c r="AM5349" s="1"/>
      <c r="AN5349" s="1"/>
      <c r="AO5349" s="1"/>
      <c r="AP5349" s="1"/>
      <c r="AQ5349" s="1"/>
      <c r="AR5349" s="1"/>
      <c r="AS5349" s="1"/>
      <c r="AT5349" s="1"/>
      <c r="AU5349" s="1"/>
      <c r="AV5349" s="1"/>
      <c r="AW5349" s="1"/>
      <c r="AX5349" s="1"/>
      <c r="AY5349" s="1"/>
      <c r="AZ5349" s="1"/>
      <c r="BA5349" s="1"/>
      <c r="BB5349" s="1"/>
    </row>
    <row r="5350" ht="204.75" customHeight="1">
      <c r="A5350" s="1">
        <v>2724.0</v>
      </c>
      <c r="B5350" s="2" t="s">
        <v>14806</v>
      </c>
      <c r="C5350" s="2">
        <f>IFERROR(__xludf.DUMMYFUNCTION("split(B5350,""_"")"),1404.0)</f>
        <v>1404</v>
      </c>
      <c r="D5350" s="2" t="str">
        <f>IFERROR(__xludf.DUMMYFUNCTION("""COMPUTED_VALUE"""),"TBS")</f>
        <v>TBS</v>
      </c>
      <c r="E5350" s="2" t="str">
        <f>IFERROR(__xludf.DUMMYFUNCTION("""COMPUTED_VALUE"""),"火22")</f>
        <v>火22</v>
      </c>
      <c r="F5350" s="2" t="s">
        <v>14807</v>
      </c>
      <c r="G5350" s="2" t="s">
        <v>14814</v>
      </c>
      <c r="H5350" s="1">
        <v>4.0</v>
      </c>
      <c r="J5350" s="1" t="s">
        <v>86</v>
      </c>
      <c r="K5350" s="2" t="s">
        <v>14815</v>
      </c>
      <c r="L5350" s="2"/>
      <c r="M5350" s="2" t="str">
        <f>IFERROR(__xludf.DUMMYFUNCTION("split(split(K5350,""【"",false),""公式LINE"",false)"),"一難去ってまた一難。  綾（浅野温子）が始めて大悟（舘ひろし）が支えるカフェレストランあやは今日も大忙し。  たつ（渡辺美佐子）も家に帰ることになったのに、綾も至の家へ行くことに。  香子を連れ戻しに来た母・初子（斉藤慶子）に、香子はどんな決断を下すのか？  さらに、カフェレストランあやに大悟を訪ねて刑事がやって来る。長島大悟…舘ひろし  長島綾…浅野温子  千葉恵理…紺野まひる  中野香子…南沢奈央  奥村涼…伊野尾慧（Hey!Say!JUMP）  長島至…水上剣星  中野初子…斉藤慶子  大塚久紀…冨"&amp;"家規政  刑事…金児憲史  恵理の息子・誠…大西利空  戸川たつ…渡辺美佐子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息子たちがレストラン経営を反対!？火曜22時『"&amp;"なるようになるさ。』第3話（5/6）ダイジェスト動画公開しました！  http://youtu.be/MeBvzCJeIac  番組の内容と放送時間は、変更になる場合があります。")</f>
        <v>一難去ってまた一難。  綾（浅野温子）が始めて大悟（舘ひろし）が支えるカフェレストランあやは今日も大忙し。  たつ（渡辺美佐子）も家に帰ることになったのに、綾も至の家へ行くことに。  香子を連れ戻しに来た母・初子（斉藤慶子）に、香子はどんな決断を下すのか？  さらに、カフェレストランあやに大悟を訪ねて刑事がやって来る。長島大悟…舘ひろし  長島綾…浅野温子  千葉恵理…紺野まひる  中野香子…南沢奈央  奥村涼…伊野尾慧（Hey!Say!JUMP）  長島至…水上剣星  中野初子…斉藤慶子  大塚久紀…冨家規政  刑事…金児憲史  恵理の息子・誠…大西利空  戸川たつ…渡辺美佐子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息子たちがレストラン経営を反対!？火曜22時『なるようになるさ。』第3話（5/6）ダイジェスト動画公開しました！  http://youtu.be/MeBvzCJeIac  番組の内容と放送時間は、変更になる場合があります。</v>
      </c>
      <c r="N5350" s="2"/>
      <c r="O5350" s="2"/>
      <c r="P5350" s="1"/>
      <c r="Q5350" s="1"/>
      <c r="R5350" s="1"/>
      <c r="S5350" s="1"/>
      <c r="T5350" s="1"/>
      <c r="U5350" s="1"/>
      <c r="V5350" s="1"/>
      <c r="W5350" s="1"/>
      <c r="X5350" s="1"/>
      <c r="Y5350" s="1"/>
      <c r="Z5350" s="1"/>
      <c r="AA5350" s="1"/>
      <c r="AB5350" s="1"/>
      <c r="AC5350" s="1"/>
      <c r="AD5350" s="1"/>
      <c r="AE5350" s="1"/>
      <c r="AF5350" s="1"/>
      <c r="AG5350" s="1"/>
      <c r="AH5350" s="1"/>
      <c r="AI5350" s="1"/>
      <c r="AJ5350" s="1"/>
      <c r="AK5350" s="1"/>
      <c r="AL5350" s="1"/>
      <c r="AM5350" s="1"/>
      <c r="AN5350" s="1"/>
      <c r="AO5350" s="1"/>
      <c r="AP5350" s="1"/>
      <c r="AQ5350" s="1"/>
      <c r="AR5350" s="1"/>
      <c r="AS5350" s="1"/>
      <c r="AT5350" s="1"/>
      <c r="AU5350" s="1"/>
      <c r="AV5350" s="1"/>
      <c r="AW5350" s="1"/>
      <c r="AX5350" s="1"/>
      <c r="AY5350" s="1"/>
      <c r="AZ5350" s="1"/>
      <c r="BA5350" s="1"/>
      <c r="BB5350" s="1"/>
    </row>
    <row r="5351" ht="204.75" customHeight="1">
      <c r="A5351" s="1">
        <v>2725.0</v>
      </c>
      <c r="B5351" s="2" t="s">
        <v>14806</v>
      </c>
      <c r="C5351" s="2">
        <f>IFERROR(__xludf.DUMMYFUNCTION("split(B5351,""_"")"),1404.0)</f>
        <v>1404</v>
      </c>
      <c r="D5351" s="2" t="str">
        <f>IFERROR(__xludf.DUMMYFUNCTION("""COMPUTED_VALUE"""),"TBS")</f>
        <v>TBS</v>
      </c>
      <c r="E5351" s="2" t="str">
        <f>IFERROR(__xludf.DUMMYFUNCTION("""COMPUTED_VALUE"""),"火22")</f>
        <v>火22</v>
      </c>
      <c r="F5351" s="2" t="s">
        <v>14807</v>
      </c>
      <c r="G5351" s="2" t="s">
        <v>14816</v>
      </c>
      <c r="H5351" s="1">
        <v>5.0</v>
      </c>
      <c r="J5351" s="1" t="s">
        <v>86</v>
      </c>
      <c r="K5351" s="2" t="s">
        <v>14817</v>
      </c>
      <c r="L5351" s="2"/>
      <c r="M5351" s="2" t="str">
        <f>IFERROR(__xludf.DUMMYFUNCTION("split(split(K5351,""【"",false),""公式LINE"",false)"),"一難去ってまた一難。  綾（浅野温子）が始めて大悟（舘ひろし）が支えるカフェレストランあやは今日も大忙し。  綾が至の家に子供の世話をしに行って不在のため、大悟のお父さんシェフが腕を振るう。  そんな中、やって来た自殺未遂をした女の子・春菜（宮崎香蓮）をみんなは受け入れられるのか？  一方綾は、孫の世話で疲れ果てていた…。長島大悟・・・舘ひろし  長島綾・・・浅野温子  千葉恵理・・・紺野まひる  中野香子・・・南沢奈央  奥村涼・・・伊野尾慧（Hey!Say!JUMP）  山内春菜・・・宮崎香蓮  長島"&amp;"至・・・水上剣星  ケースワーカー・浦部・・・山崎樹範  恵理の息子・誠・・・大西利空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店を任された大悟。意外な事"&amp;"実が発覚...火曜22時『なるようになるさ。』第4話（5/13）ダイジェスト　動画公開しました！  http://youtu.be/MG2Yab-1Fcs  番組の内容と放送時間は、変更になる場合があります。")</f>
        <v>一難去ってまた一難。  綾（浅野温子）が始めて大悟（舘ひろし）が支えるカフェレストランあやは今日も大忙し。  綾が至の家に子供の世話をしに行って不在のため、大悟のお父さんシェフが腕を振るう。  そんな中、やって来た自殺未遂をした女の子・春菜（宮崎香蓮）をみんなは受け入れられるのか？  一方綾は、孫の世話で疲れ果てていた…。長島大悟・・・舘ひろし  長島綾・・・浅野温子  千葉恵理・・・紺野まひる  中野香子・・・南沢奈央  奥村涼・・・伊野尾慧（Hey!Say!JUMP）  山内春菜・・・宮崎香蓮  長島至・・・水上剣星  ケースワーカー・浦部・・・山崎樹範  恵理の息子・誠・・・大西利空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店を任された大悟。意外な事実が発覚...火曜22時『なるようになるさ。』第4話（5/13）ダイジェスト　動画公開しました！  http://youtu.be/MG2Yab-1Fcs  番組の内容と放送時間は、変更になる場合があります。</v>
      </c>
      <c r="N5351" s="2"/>
      <c r="O5351" s="2"/>
      <c r="P5351" s="1"/>
      <c r="Q5351" s="1"/>
      <c r="R5351" s="1"/>
      <c r="S5351" s="1"/>
      <c r="T5351" s="1"/>
      <c r="U5351" s="1"/>
      <c r="V5351" s="1"/>
      <c r="W5351" s="1"/>
      <c r="X5351" s="1"/>
      <c r="Y5351" s="1"/>
      <c r="Z5351" s="1"/>
      <c r="AA5351" s="1"/>
      <c r="AB5351" s="1"/>
      <c r="AC5351" s="1"/>
      <c r="AD5351" s="1"/>
      <c r="AE5351" s="1"/>
      <c r="AF5351" s="1"/>
      <c r="AG5351" s="1"/>
      <c r="AH5351" s="1"/>
      <c r="AI5351" s="1"/>
      <c r="AJ5351" s="1"/>
      <c r="AK5351" s="1"/>
      <c r="AL5351" s="1"/>
      <c r="AM5351" s="1"/>
      <c r="AN5351" s="1"/>
      <c r="AO5351" s="1"/>
      <c r="AP5351" s="1"/>
      <c r="AQ5351" s="1"/>
      <c r="AR5351" s="1"/>
      <c r="AS5351" s="1"/>
      <c r="AT5351" s="1"/>
      <c r="AU5351" s="1"/>
      <c r="AV5351" s="1"/>
      <c r="AW5351" s="1"/>
      <c r="AX5351" s="1"/>
      <c r="AY5351" s="1"/>
      <c r="AZ5351" s="1"/>
      <c r="BA5351" s="1"/>
      <c r="BB5351" s="1"/>
    </row>
    <row r="5352" ht="204.75" customHeight="1">
      <c r="A5352" s="1">
        <v>2726.0</v>
      </c>
      <c r="B5352" s="2" t="s">
        <v>14806</v>
      </c>
      <c r="C5352" s="2">
        <f>IFERROR(__xludf.DUMMYFUNCTION("split(B5352,""_"")"),1404.0)</f>
        <v>1404</v>
      </c>
      <c r="D5352" s="2" t="str">
        <f>IFERROR(__xludf.DUMMYFUNCTION("""COMPUTED_VALUE"""),"TBS")</f>
        <v>TBS</v>
      </c>
      <c r="E5352" s="2" t="str">
        <f>IFERROR(__xludf.DUMMYFUNCTION("""COMPUTED_VALUE"""),"火22")</f>
        <v>火22</v>
      </c>
      <c r="F5352" s="2" t="s">
        <v>14807</v>
      </c>
      <c r="G5352" s="2" t="s">
        <v>14818</v>
      </c>
      <c r="H5352" s="1">
        <v>6.0</v>
      </c>
      <c r="J5352" s="1" t="s">
        <v>86</v>
      </c>
      <c r="K5352" s="2" t="s">
        <v>14819</v>
      </c>
      <c r="L5352" s="2"/>
      <c r="M5352" s="2" t="str">
        <f>IFERROR(__xludf.DUMMYFUNCTION("split(split(K5352,""【"",false),""公式LINE"",false)"),"一難去ってまた一難。  綾（浅野温子）が始めて大悟（舘ひろし）が支えるカフェレストランあやは今日も大忙し。  綾は至の息子・太郎の世話に疲れ果て、太郎を連れて店に帰って来た。  店のみんなは忙しい中、太郎の面倒は春菜がみることに！  迎えに来た母・初子に香子は勢い余ってひどいことを言ってしまう。　長島大悟・・・舘ひろし  長島綾・・・浅野温子  大竹昇・・・安田章大  千葉恵理・・・紺野まひる  中野香子・・・南沢奈央  奥村涼・・・伊野尾慧（Hey!Say!JUMP）  山内春菜・・・宮崎香蓮  長島至"&amp;"・・・水上剣星  中野初子・・・斉藤慶子  恵理の息子・誠・・・大西利空  至の息子・太郎・・・遠藤颯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番組の内容と放送"&amp;"時間は、変更になる場合があります。")</f>
        <v>一難去ってまた一難。  綾（浅野温子）が始めて大悟（舘ひろし）が支えるカフェレストランあやは今日も大忙し。  綾は至の息子・太郎の世話に疲れ果て、太郎を連れて店に帰って来た。  店のみんなは忙しい中、太郎の面倒は春菜がみることに！  迎えに来た母・初子に香子は勢い余ってひどいことを言ってしまう。　長島大悟・・・舘ひろし  長島綾・・・浅野温子  大竹昇・・・安田章大  千葉恵理・・・紺野まひる  中野香子・・・南沢奈央  奥村涼・・・伊野尾慧（Hey!Say!JUMP）  山内春菜・・・宮崎香蓮  長島至・・・水上剣星  中野初子・・・斉藤慶子  恵理の息子・誠・・・大西利空  至の息子・太郎・・・遠藤颯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番組の内容と放送時間は、変更になる場合があります。</v>
      </c>
      <c r="N5352" s="2"/>
      <c r="O5352" s="2"/>
      <c r="P5352" s="1"/>
      <c r="Q5352" s="1"/>
      <c r="R5352" s="1"/>
      <c r="S5352" s="1"/>
      <c r="T5352" s="1"/>
      <c r="U5352" s="1"/>
      <c r="V5352" s="1"/>
      <c r="W5352" s="1"/>
      <c r="X5352" s="1"/>
      <c r="Y5352" s="1"/>
      <c r="Z5352" s="1"/>
      <c r="AA5352" s="1"/>
      <c r="AB5352" s="1"/>
      <c r="AC5352" s="1"/>
      <c r="AD5352" s="1"/>
      <c r="AE5352" s="1"/>
      <c r="AF5352" s="1"/>
      <c r="AG5352" s="1"/>
      <c r="AH5352" s="1"/>
      <c r="AI5352" s="1"/>
      <c r="AJ5352" s="1"/>
      <c r="AK5352" s="1"/>
      <c r="AL5352" s="1"/>
      <c r="AM5352" s="1"/>
      <c r="AN5352" s="1"/>
      <c r="AO5352" s="1"/>
      <c r="AP5352" s="1"/>
      <c r="AQ5352" s="1"/>
      <c r="AR5352" s="1"/>
      <c r="AS5352" s="1"/>
      <c r="AT5352" s="1"/>
      <c r="AU5352" s="1"/>
      <c r="AV5352" s="1"/>
      <c r="AW5352" s="1"/>
      <c r="AX5352" s="1"/>
      <c r="AY5352" s="1"/>
      <c r="AZ5352" s="1"/>
      <c r="BA5352" s="1"/>
      <c r="BB5352" s="1"/>
    </row>
    <row r="5353" ht="204.75" customHeight="1">
      <c r="A5353" s="1">
        <v>2727.0</v>
      </c>
      <c r="B5353" s="2" t="s">
        <v>14806</v>
      </c>
      <c r="C5353" s="2">
        <f>IFERROR(__xludf.DUMMYFUNCTION("split(B5353,""_"")"),1404.0)</f>
        <v>1404</v>
      </c>
      <c r="D5353" s="2" t="str">
        <f>IFERROR(__xludf.DUMMYFUNCTION("""COMPUTED_VALUE"""),"TBS")</f>
        <v>TBS</v>
      </c>
      <c r="E5353" s="2" t="str">
        <f>IFERROR(__xludf.DUMMYFUNCTION("""COMPUTED_VALUE"""),"火22")</f>
        <v>火22</v>
      </c>
      <c r="F5353" s="2" t="s">
        <v>14807</v>
      </c>
      <c r="G5353" s="2" t="s">
        <v>14820</v>
      </c>
      <c r="H5353" s="1">
        <v>7.0</v>
      </c>
      <c r="J5353" s="1" t="s">
        <v>86</v>
      </c>
      <c r="K5353" s="2" t="s">
        <v>14821</v>
      </c>
      <c r="L5353" s="2"/>
      <c r="M5353" s="2" t="str">
        <f>IFERROR(__xludf.DUMMYFUNCTION("split(split(K5353,""【"",false),""公式LINE"",false)"),"一難去ってまた一難。  綾（浅野温子）が始めて大悟（舘ひろし）が支えるカフェレストランあやは今日も大忙し。  夜の街を1人駆け回る大悟。  寝ずに春菜の帰りを待ち続けた綾をはじめとする従業員の面々は、何も聞かずに戻ってきた春菜を受け入れるが、自信をなくした春菜に出来ることはあるのか？  そんな折、たつが始める憩いの家のお世話係に急きょ欠員が出たらしく、香子（南沢奈央）にお願いしたいと言う。長島大悟…舘ひろし  長島綾…浅野温子  大竹昇…安田章大  千葉恵理…紺野まひる  中野香子…南沢奈央  奥村涼…伊"&amp;"野尾慧（Hey!Say!JUMP）  山内春菜…宮崎香蓮  恵理の息子・誠…大西利空  戸川たつ（大塚文子）…渡辺美佐子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綾"&amp;"と大悟が言い争う！孫の子守りは？火曜22時『なるようになるさ。』第6話（5/27）ダイジェスト動画公開しました！  http://youtu.be/OLpatiOw-bA  番組の内容と放送時間は、変更になる場合があります。")</f>
        <v>一難去ってまた一難。  綾（浅野温子）が始めて大悟（舘ひろし）が支えるカフェレストランあやは今日も大忙し。  夜の街を1人駆け回る大悟。  寝ずに春菜の帰りを待ち続けた綾をはじめとする従業員の面々は、何も聞かずに戻ってきた春菜を受け入れるが、自信をなくした春菜に出来ることはあるのか？  そんな折、たつが始める憩いの家のお世話係に急きょ欠員が出たらしく、香子（南沢奈央）にお願いしたいと言う。長島大悟…舘ひろし  長島綾…浅野温子  大竹昇…安田章大  千葉恵理…紺野まひる  中野香子…南沢奈央  奥村涼…伊野尾慧（Hey!Say!JUMP）  山内春菜…宮崎香蓮  恵理の息子・誠…大西利空  戸川たつ（大塚文子）…渡辺美佐子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綾と大悟が言い争う！孫の子守りは？火曜22時『なるようになるさ。』第6話（5/27）ダイジェスト動画公開しました！  http://youtu.be/OLpatiOw-bA  番組の内容と放送時間は、変更になる場合があります。</v>
      </c>
      <c r="N5353" s="2"/>
      <c r="O5353" s="2"/>
      <c r="P5353" s="1"/>
      <c r="Q5353" s="1"/>
      <c r="R5353" s="1"/>
      <c r="S5353" s="1"/>
      <c r="T5353" s="1"/>
      <c r="U5353" s="1"/>
      <c r="V5353" s="1"/>
      <c r="W5353" s="1"/>
      <c r="X5353" s="1"/>
      <c r="Y5353" s="1"/>
      <c r="Z5353" s="1"/>
      <c r="AA5353" s="1"/>
      <c r="AB5353" s="1"/>
      <c r="AC5353" s="1"/>
      <c r="AD5353" s="1"/>
      <c r="AE5353" s="1"/>
      <c r="AF5353" s="1"/>
      <c r="AG5353" s="1"/>
      <c r="AH5353" s="1"/>
      <c r="AI5353" s="1"/>
      <c r="AJ5353" s="1"/>
      <c r="AK5353" s="1"/>
      <c r="AL5353" s="1"/>
      <c r="AM5353" s="1"/>
      <c r="AN5353" s="1"/>
      <c r="AO5353" s="1"/>
      <c r="AP5353" s="1"/>
      <c r="AQ5353" s="1"/>
      <c r="AR5353" s="1"/>
      <c r="AS5353" s="1"/>
      <c r="AT5353" s="1"/>
      <c r="AU5353" s="1"/>
      <c r="AV5353" s="1"/>
      <c r="AW5353" s="1"/>
      <c r="AX5353" s="1"/>
      <c r="AY5353" s="1"/>
      <c r="AZ5353" s="1"/>
      <c r="BA5353" s="1"/>
      <c r="BB5353" s="1"/>
    </row>
    <row r="5354" ht="204.75" customHeight="1">
      <c r="A5354" s="1">
        <v>2728.0</v>
      </c>
      <c r="B5354" s="2" t="s">
        <v>14806</v>
      </c>
      <c r="C5354" s="2">
        <f>IFERROR(__xludf.DUMMYFUNCTION("split(B5354,""_"")"),1404.0)</f>
        <v>1404</v>
      </c>
      <c r="D5354" s="2" t="str">
        <f>IFERROR(__xludf.DUMMYFUNCTION("""COMPUTED_VALUE"""),"TBS")</f>
        <v>TBS</v>
      </c>
      <c r="E5354" s="2" t="str">
        <f>IFERROR(__xludf.DUMMYFUNCTION("""COMPUTED_VALUE"""),"火22")</f>
        <v>火22</v>
      </c>
      <c r="F5354" s="2" t="s">
        <v>14807</v>
      </c>
      <c r="G5354" s="2" t="s">
        <v>14822</v>
      </c>
      <c r="H5354" s="1">
        <v>8.0</v>
      </c>
      <c r="J5354" s="1" t="s">
        <v>86</v>
      </c>
      <c r="K5354" s="2" t="s">
        <v>14823</v>
      </c>
      <c r="L5354" s="2"/>
      <c r="M5354" s="2" t="str">
        <f>IFERROR(__xludf.DUMMYFUNCTION("split(split(K5354,""【"",false),""公式LINE"",false)"),"一難去ってまた一難。  綾（浅野温子）が始めて大悟（舘ひろし）が支えるカフェレストランあやは今日も大忙し。  たつ（渡辺美佐子）の憩いの家を手伝い始めた春菜の自立を考える昇は、春菜に保育士か介護福祉士の資格を  とることを勧めるのだが…。  一方、香子がお見合いをしたと知った涼は、気が気でない。  　長島大悟・・・舘ひろし  長島綾・・・浅野温子  大竹昇・・・安田章大  千葉恵理・・・紺野まひる  中野香子・・・南沢奈央  奥村涼・・・伊野尾慧（Hey!Say!JUMP）  山内春菜・・・宮崎香蓮  中"&amp;"野初子・・・斉藤慶子  川合剛・・・田中幸太朗  中野隆・・・石丸謙二郎  恵理の息子・誠・・・大西利空  戸川たつ（大塚文子）・・・渡辺美佐子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https://twitter.com/"&amp;"narunaru_tbs  番組の内容と放送時間は、変更になる場合があります。")</f>
        <v>一難去ってまた一難。  綾（浅野温子）が始めて大悟（舘ひろし）が支えるカフェレストランあやは今日も大忙し。  たつ（渡辺美佐子）の憩いの家を手伝い始めた春菜の自立を考える昇は、春菜に保育士か介護福祉士の資格を  とることを勧めるのだが…。  一方、香子がお見合いをしたと知った涼は、気が気でない。  　長島大悟・・・舘ひろし  長島綾・・・浅野温子  大竹昇・・・安田章大  千葉恵理・・・紺野まひる  中野香子・・・南沢奈央  奥村涼・・・伊野尾慧（Hey!Say!JUMP）  山内春菜・・・宮崎香蓮  中野初子・・・斉藤慶子  川合剛・・・田中幸太朗  中野隆・・・石丸謙二郎  恵理の息子・誠・・・大西利空  戸川たつ（大塚文子）・・・渡辺美佐子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番組の内容と放送時間は、変更になる場合があります。</v>
      </c>
      <c r="N5354" s="2"/>
      <c r="O5354" s="2"/>
      <c r="P5354" s="1"/>
      <c r="Q5354" s="1"/>
      <c r="R5354" s="1"/>
      <c r="S5354" s="1"/>
      <c r="T5354" s="1"/>
      <c r="U5354" s="1"/>
      <c r="V5354" s="1"/>
      <c r="W5354" s="1"/>
      <c r="X5354" s="1"/>
      <c r="Y5354" s="1"/>
      <c r="Z5354" s="1"/>
      <c r="AA5354" s="1"/>
      <c r="AB5354" s="1"/>
      <c r="AC5354" s="1"/>
      <c r="AD5354" s="1"/>
      <c r="AE5354" s="1"/>
      <c r="AF5354" s="1"/>
      <c r="AG5354" s="1"/>
      <c r="AH5354" s="1"/>
      <c r="AI5354" s="1"/>
      <c r="AJ5354" s="1"/>
      <c r="AK5354" s="1"/>
      <c r="AL5354" s="1"/>
      <c r="AM5354" s="1"/>
      <c r="AN5354" s="1"/>
      <c r="AO5354" s="1"/>
      <c r="AP5354" s="1"/>
      <c r="AQ5354" s="1"/>
      <c r="AR5354" s="1"/>
      <c r="AS5354" s="1"/>
      <c r="AT5354" s="1"/>
      <c r="AU5354" s="1"/>
      <c r="AV5354" s="1"/>
      <c r="AW5354" s="1"/>
      <c r="AX5354" s="1"/>
      <c r="AY5354" s="1"/>
      <c r="AZ5354" s="1"/>
      <c r="BA5354" s="1"/>
      <c r="BB5354" s="1"/>
    </row>
    <row r="5355" ht="204.75" customHeight="1">
      <c r="A5355" s="1">
        <v>2729.0</v>
      </c>
      <c r="B5355" s="2" t="s">
        <v>14806</v>
      </c>
      <c r="C5355" s="2">
        <f>IFERROR(__xludf.DUMMYFUNCTION("split(B5355,""_"")"),1404.0)</f>
        <v>1404</v>
      </c>
      <c r="D5355" s="2" t="str">
        <f>IFERROR(__xludf.DUMMYFUNCTION("""COMPUTED_VALUE"""),"TBS")</f>
        <v>TBS</v>
      </c>
      <c r="E5355" s="2" t="str">
        <f>IFERROR(__xludf.DUMMYFUNCTION("""COMPUTED_VALUE"""),"火22")</f>
        <v>火22</v>
      </c>
      <c r="F5355" s="2" t="s">
        <v>14807</v>
      </c>
      <c r="G5355" s="2" t="s">
        <v>14824</v>
      </c>
      <c r="H5355" s="1">
        <v>9.0</v>
      </c>
      <c r="J5355" s="1" t="s">
        <v>86</v>
      </c>
      <c r="K5355" s="2" t="s">
        <v>14825</v>
      </c>
      <c r="L5355" s="2"/>
      <c r="M5355" s="2" t="str">
        <f>IFERROR(__xludf.DUMMYFUNCTION("split(split(K5355,""【"",false),""公式LINE"",false)"),"一難去ってまた一難。  綾（浅野温子）が始めて大悟（舘ひろし）が支えるカフェレストランあやは今日も大忙し。  自分たちのやって来たことは驕りでしかなかった。春菜のことは諦めようとする大悟（舘ひろし）だが、  自分が春菜に負担をかけ過ぎたと感じる昇は、ひたすら春菜を探し続ける。  お見合い相手に見初められた香子（南沢奈央）を見て、涼は一念発起。  自分の思いを小説という形で表現する。　長島大悟・・・舘ひろし  長島綾・・・浅野温子  大竹昇・・・安田章大  千葉恵理・・・紺野まひる  中野香子・・・南沢奈央"&amp;"  奥村涼・・・伊野尾慧（Hey!Say!JUMP）  山内春菜・・・宮崎香蓮  川合剛・・・田中幸太朗  ケースワーカー・浦部・・・山崎樹範  恵理の息子・誠・・・大西利空  戸川たつ（大塚文子）・・・渡辺美佐子  西木邦・・・泉ピン子主題歌：「hello」指田郁也  （ワーナーミュージック・ジャパン）作：橋田壽賀子  プロデューサー：十二竜也　荒井光明  演出：吉田秋生　荒井光明　阿南昭宏◇番組HP  http://www.tbs.co.jp/naruyouninarusa/  ◇twitter  @"&amp;"narunaru_tbs  https://twitter.com/narunaru_tbs  大騒動が再び...火曜22時『なるようになるさ。』第8話（6/10）ダイジェスト動画公開しました！  http://youtu.be/i2sCoJTOpH0  番組の内容と放送時間は、変更になる場合があります。")</f>
        <v>一難去ってまた一難。  綾（浅野温子）が始めて大悟（舘ひろし）が支えるカフェレストランあやは今日も大忙し。  自分たちのやって来たことは驕りでしかなかった。春菜のことは諦めようとする大悟（舘ひろし）だが、  自分が春菜に負担をかけ過ぎたと感じる昇は、ひたすら春菜を探し続ける。  お見合い相手に見初められた香子（南沢奈央）を見て、涼は一念発起。  自分の思いを小説という形で表現する。　長島大悟・・・舘ひろし  長島綾・・・浅野温子  大竹昇・・・安田章大  千葉恵理・・・紺野まひる  中野香子・・・南沢奈央  奥村涼・・・伊野尾慧（Hey!Say!JUMP）  山内春菜・・・宮崎香蓮  川合剛・・・田中幸太朗  ケースワーカー・浦部・・・山崎樹範  恵理の息子・誠・・・大西利空  戸川たつ（大塚文子）・・・渡辺美佐子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大騒動が再び...火曜22時『なるようになるさ。』第8話（6/10）ダイジェスト動画公開しました！  http://youtu.be/i2sCoJTOpH0  番組の内容と放送時間は、変更になる場合があります。</v>
      </c>
      <c r="N5355" s="2"/>
      <c r="O5355" s="2"/>
      <c r="P5355" s="1"/>
      <c r="Q5355" s="1"/>
      <c r="R5355" s="1"/>
      <c r="S5355" s="1"/>
      <c r="T5355" s="1"/>
      <c r="U5355" s="1"/>
      <c r="V5355" s="1"/>
      <c r="W5355" s="1"/>
      <c r="X5355" s="1"/>
      <c r="Y5355" s="1"/>
      <c r="Z5355" s="1"/>
      <c r="AA5355" s="1"/>
      <c r="AB5355" s="1"/>
      <c r="AC5355" s="1"/>
      <c r="AD5355" s="1"/>
      <c r="AE5355" s="1"/>
      <c r="AF5355" s="1"/>
      <c r="AG5355" s="1"/>
      <c r="AH5355" s="1"/>
      <c r="AI5355" s="1"/>
      <c r="AJ5355" s="1"/>
      <c r="AK5355" s="1"/>
      <c r="AL5355" s="1"/>
      <c r="AM5355" s="1"/>
      <c r="AN5355" s="1"/>
      <c r="AO5355" s="1"/>
      <c r="AP5355" s="1"/>
      <c r="AQ5355" s="1"/>
      <c r="AR5355" s="1"/>
      <c r="AS5355" s="1"/>
      <c r="AT5355" s="1"/>
      <c r="AU5355" s="1"/>
      <c r="AV5355" s="1"/>
      <c r="AW5355" s="1"/>
      <c r="AX5355" s="1"/>
      <c r="AY5355" s="1"/>
      <c r="AZ5355" s="1"/>
      <c r="BA5355" s="1"/>
      <c r="BB5355" s="1"/>
    </row>
    <row r="5356" ht="204.75" customHeight="1">
      <c r="A5356" s="1">
        <v>2730.0</v>
      </c>
      <c r="B5356" s="2" t="s">
        <v>14806</v>
      </c>
      <c r="C5356" s="2">
        <f>IFERROR(__xludf.DUMMYFUNCTION("split(B5356,""_"")"),1404.0)</f>
        <v>1404</v>
      </c>
      <c r="D5356" s="2" t="str">
        <f>IFERROR(__xludf.DUMMYFUNCTION("""COMPUTED_VALUE"""),"TBS")</f>
        <v>TBS</v>
      </c>
      <c r="E5356" s="2" t="str">
        <f>IFERROR(__xludf.DUMMYFUNCTION("""COMPUTED_VALUE"""),"火22")</f>
        <v>火22</v>
      </c>
      <c r="F5356" s="2" t="s">
        <v>14807</v>
      </c>
      <c r="G5356" s="2" t="s">
        <v>14826</v>
      </c>
      <c r="H5356" s="1">
        <v>10.0</v>
      </c>
      <c r="J5356" s="1" t="s">
        <v>86</v>
      </c>
      <c r="K5356" s="2" t="s">
        <v>14827</v>
      </c>
      <c r="L5356" s="2"/>
      <c r="M5356" s="2" t="str">
        <f>IFERROR(__xludf.DUMMYFUNCTION("split(split(K5356,""【"",false),""公式LINE"",false)"),"一難去ってまた一難。  綾（浅野温子）が始めて大悟（舘ひろし）が支えるカフェレストランあやは今日も大忙し。  春菜への気持ちを認めつつも、自分は春菜と付き合うつもりはないと言う昇。  誰かその背中をおしてくれるのか？  一方、長男・悟（池田努）が、店をやめてほしいと言い出した。長島大悟・・・舘ひろし  長島綾・・・浅野温子  大竹昇・・・安田章大  千葉恵理・・・紺野まひる  中野香子・・・南沢奈央  奥村涼・・・伊野尾慧（Hey!Say!JUMP）  山内春菜・・・宮崎香蓮  大竹茂・・・金田明夫  大"&amp;"竹元子・・・あめくみちこ  恵理の息子・誠・・・大西利空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家出した春菜と、行方を追う昇が下した決意とは!？...火曜22"&amp;"時『なるようになるさ。』第9話（6/17）ダイジェスト　動画公開しました！  http://youtu.be/JhlhXG8pEAU  番組の内容と放送時間は、変更になる場合があります。")</f>
        <v>一難去ってまた一難。  綾（浅野温子）が始めて大悟（舘ひろし）が支えるカフェレストランあやは今日も大忙し。  春菜への気持ちを認めつつも、自分は春菜と付き合うつもりはないと言う昇。  誰かその背中をおしてくれるのか？  一方、長男・悟（池田努）が、店をやめてほしいと言い出した。長島大悟・・・舘ひろし  長島綾・・・浅野温子  大竹昇・・・安田章大  千葉恵理・・・紺野まひる  中野香子・・・南沢奈央  奥村涼・・・伊野尾慧（Hey!Say!JUMP）  山内春菜・・・宮崎香蓮  大竹茂・・・金田明夫  大竹元子・・・あめくみちこ  恵理の息子・誠・・・大西利空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家出した春菜と、行方を追う昇が下した決意とは!？...火曜22時『なるようになるさ。』第9話（6/17）ダイジェスト　動画公開しました！  http://youtu.be/JhlhXG8pEAU  番組の内容と放送時間は、変更になる場合があります。</v>
      </c>
      <c r="N5356" s="2"/>
      <c r="O5356" s="2"/>
      <c r="P5356" s="1"/>
      <c r="Q5356" s="1"/>
      <c r="R5356" s="1"/>
      <c r="S5356" s="1"/>
      <c r="T5356" s="1"/>
      <c r="U5356" s="1"/>
      <c r="V5356" s="1"/>
      <c r="W5356" s="1"/>
      <c r="X5356" s="1"/>
      <c r="Y5356" s="1"/>
      <c r="Z5356" s="1"/>
      <c r="AA5356" s="1"/>
      <c r="AB5356" s="1"/>
      <c r="AC5356" s="1"/>
      <c r="AD5356" s="1"/>
      <c r="AE5356" s="1"/>
      <c r="AF5356" s="1"/>
      <c r="AG5356" s="1"/>
      <c r="AH5356" s="1"/>
      <c r="AI5356" s="1"/>
      <c r="AJ5356" s="1"/>
      <c r="AK5356" s="1"/>
      <c r="AL5356" s="1"/>
      <c r="AM5356" s="1"/>
      <c r="AN5356" s="1"/>
      <c r="AO5356" s="1"/>
      <c r="AP5356" s="1"/>
      <c r="AQ5356" s="1"/>
      <c r="AR5356" s="1"/>
      <c r="AS5356" s="1"/>
      <c r="AT5356" s="1"/>
      <c r="AU5356" s="1"/>
      <c r="AV5356" s="1"/>
      <c r="AW5356" s="1"/>
      <c r="AX5356" s="1"/>
      <c r="AY5356" s="1"/>
      <c r="AZ5356" s="1"/>
      <c r="BA5356" s="1"/>
      <c r="BB5356" s="1"/>
    </row>
    <row r="5357" ht="204.75" customHeight="1">
      <c r="A5357" s="1">
        <v>2778.0</v>
      </c>
      <c r="B5357" s="2" t="s">
        <v>14828</v>
      </c>
      <c r="C5357" s="2">
        <f>IFERROR(__xludf.DUMMYFUNCTION("split(B5357,""_"")"),1404.0)</f>
        <v>1404</v>
      </c>
      <c r="D5357" s="2" t="str">
        <f>IFERROR(__xludf.DUMMYFUNCTION("""COMPUTED_VALUE"""),"TBS")</f>
        <v>TBS</v>
      </c>
      <c r="E5357" s="2" t="str">
        <f>IFERROR(__xludf.DUMMYFUNCTION("""COMPUTED_VALUE"""),"木21")</f>
        <v>木21</v>
      </c>
      <c r="F5357" s="2" t="s">
        <v>14829</v>
      </c>
      <c r="G5357" s="2" t="s">
        <v>14830</v>
      </c>
      <c r="H5357" s="1">
        <v>1.0</v>
      </c>
      <c r="J5357" s="1" t="s">
        <v>4</v>
      </c>
      <c r="K5357" s="2" t="s">
        <v>14831</v>
      </c>
      <c r="L5357" s="2"/>
      <c r="M5357" s="2" t="str">
        <f>IFERROR(__xludf.DUMMYFUNCTION("split(split(K5357,""【"",false),""公式LINE"",false)"),"都心の繁華街で起きた爆発事件をきっかけに、事件の真相を追う公安警察のエース・倉木が、愚直なたたき上げの刑事・大杉、公安警察官・美希らと、百舌と呼ばれる謎の殺し屋の運命の交錯を描く。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生瀬勝久  吉田鋼太郎  伊藤淳史  有村架純  池松壮亮  長谷川博己  石田ゆり子  小日向文世　他"&amp;"◇番組HP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菅野祐悟制作"&amp;"協力　ROBOT  製作著作　TBS・WOWOW  番組の内容と放送時間は、変更になる場合があります。")</f>
        <v>都心の繁華街で起きた爆発事件をきっかけに、事件の真相を追う公安警察のエース・倉木が、愚直なたたき上げの刑事・大杉、公安警察官・美希らと、百舌と呼ばれる謎の殺し屋の運命の交錯を描く。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生瀬勝久  吉田鋼太郎  伊藤淳史  有村架純  池松壮亮  長谷川博己  石田ゆり子  小日向文世　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番組の内容と放送時間は、変更になる場合があります。</v>
      </c>
      <c r="N5357" s="2"/>
      <c r="O5357" s="2"/>
      <c r="P5357" s="1"/>
      <c r="Q5357" s="1"/>
      <c r="R5357" s="1"/>
      <c r="S5357" s="1"/>
      <c r="T5357" s="1"/>
      <c r="U5357" s="1"/>
      <c r="V5357" s="1"/>
      <c r="W5357" s="1"/>
      <c r="X5357" s="1"/>
      <c r="Y5357" s="1"/>
      <c r="Z5357" s="1"/>
      <c r="AA5357" s="1"/>
      <c r="AB5357" s="1"/>
      <c r="AC5357" s="1"/>
      <c r="AD5357" s="1"/>
      <c r="AE5357" s="1"/>
      <c r="AF5357" s="1"/>
      <c r="AG5357" s="1"/>
      <c r="AH5357" s="1"/>
      <c r="AI5357" s="1"/>
      <c r="AJ5357" s="1"/>
      <c r="AK5357" s="1"/>
      <c r="AL5357" s="1"/>
      <c r="AM5357" s="1"/>
      <c r="AN5357" s="1"/>
      <c r="AO5357" s="1"/>
      <c r="AP5357" s="1"/>
      <c r="AQ5357" s="1"/>
      <c r="AR5357" s="1"/>
      <c r="AS5357" s="1"/>
      <c r="AT5357" s="1"/>
      <c r="AU5357" s="1"/>
      <c r="AV5357" s="1"/>
      <c r="AW5357" s="1"/>
      <c r="AX5357" s="1"/>
      <c r="AY5357" s="1"/>
      <c r="AZ5357" s="1"/>
      <c r="BA5357" s="1"/>
      <c r="BB5357" s="1"/>
    </row>
    <row r="5358" ht="204.75" customHeight="1">
      <c r="A5358" s="1">
        <v>2779.0</v>
      </c>
      <c r="B5358" s="2" t="s">
        <v>14828</v>
      </c>
      <c r="C5358" s="2">
        <f>IFERROR(__xludf.DUMMYFUNCTION("split(B5358,""_"")"),1404.0)</f>
        <v>1404</v>
      </c>
      <c r="D5358" s="2" t="str">
        <f>IFERROR(__xludf.DUMMYFUNCTION("""COMPUTED_VALUE"""),"TBS")</f>
        <v>TBS</v>
      </c>
      <c r="E5358" s="2" t="str">
        <f>IFERROR(__xludf.DUMMYFUNCTION("""COMPUTED_VALUE"""),"木21")</f>
        <v>木21</v>
      </c>
      <c r="F5358" s="2" t="s">
        <v>14829</v>
      </c>
      <c r="G5358" s="2" t="s">
        <v>14832</v>
      </c>
      <c r="H5358" s="1">
        <v>2.0</v>
      </c>
      <c r="J5358" s="1" t="s">
        <v>11</v>
      </c>
      <c r="K5358" s="2" t="s">
        <v>14831</v>
      </c>
      <c r="L5358" s="2"/>
      <c r="M5358" s="2" t="str">
        <f>IFERROR(__xludf.DUMMYFUNCTION("split(split(K5358,""【"",false),""公式LINE"",false)"),"都心の繁華街で起きた爆発事件をきっかけに、事件の真相を追う公安警察のエース・倉木が、愚直なたたき上げの刑事・大杉、公安警察官・美希らと、百舌と呼ばれる謎の殺し屋の運命の交錯を描く。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生瀬勝久  吉田鋼太郎  伊藤淳史  有村架純  池松壮亮  長谷川博己  石田ゆり子  小日向文世　他"&amp;"◇番組HP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菅野祐悟制作"&amp;"協力　ROBOT  製作著作　TBS・WOWOW  番組の内容と放送時間は、変更になる場合があります。")</f>
        <v>都心の繁華街で起きた爆発事件をきっかけに、事件の真相を追う公安警察のエース・倉木が、愚直なたたき上げの刑事・大杉、公安警察官・美希らと、百舌と呼ばれる謎の殺し屋の運命の交錯を描く。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生瀬勝久  吉田鋼太郎  伊藤淳史  有村架純  池松壮亮  長谷川博己  石田ゆり子  小日向文世　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番組の内容と放送時間は、変更になる場合があります。</v>
      </c>
      <c r="N5358" s="2"/>
      <c r="O5358" s="2"/>
      <c r="P5358" s="1"/>
      <c r="Q5358" s="1"/>
      <c r="R5358" s="1"/>
      <c r="S5358" s="1"/>
      <c r="T5358" s="1"/>
      <c r="U5358" s="1"/>
      <c r="V5358" s="1"/>
      <c r="W5358" s="1"/>
      <c r="X5358" s="1"/>
      <c r="Y5358" s="1"/>
      <c r="Z5358" s="1"/>
      <c r="AA5358" s="1"/>
      <c r="AB5358" s="1"/>
      <c r="AC5358" s="1"/>
      <c r="AD5358" s="1"/>
      <c r="AE5358" s="1"/>
      <c r="AF5358" s="1"/>
      <c r="AG5358" s="1"/>
      <c r="AH5358" s="1"/>
      <c r="AI5358" s="1"/>
      <c r="AJ5358" s="1"/>
      <c r="AK5358" s="1"/>
      <c r="AL5358" s="1"/>
      <c r="AM5358" s="1"/>
      <c r="AN5358" s="1"/>
      <c r="AO5358" s="1"/>
      <c r="AP5358" s="1"/>
      <c r="AQ5358" s="1"/>
      <c r="AR5358" s="1"/>
      <c r="AS5358" s="1"/>
      <c r="AT5358" s="1"/>
      <c r="AU5358" s="1"/>
      <c r="AV5358" s="1"/>
      <c r="AW5358" s="1"/>
      <c r="AX5358" s="1"/>
      <c r="AY5358" s="1"/>
      <c r="AZ5358" s="1"/>
      <c r="BA5358" s="1"/>
      <c r="BB5358" s="1"/>
    </row>
    <row r="5359" ht="204.75" customHeight="1">
      <c r="A5359" s="1">
        <v>2780.0</v>
      </c>
      <c r="B5359" s="2" t="s">
        <v>14828</v>
      </c>
      <c r="C5359" s="2">
        <f>IFERROR(__xludf.DUMMYFUNCTION("split(B5359,""_"")"),1404.0)</f>
        <v>1404</v>
      </c>
      <c r="D5359" s="2" t="str">
        <f>IFERROR(__xludf.DUMMYFUNCTION("""COMPUTED_VALUE"""),"TBS")</f>
        <v>TBS</v>
      </c>
      <c r="E5359" s="2" t="str">
        <f>IFERROR(__xludf.DUMMYFUNCTION("""COMPUTED_VALUE"""),"木21")</f>
        <v>木21</v>
      </c>
      <c r="F5359" s="2" t="s">
        <v>14829</v>
      </c>
      <c r="G5359" s="2" t="s">
        <v>14833</v>
      </c>
      <c r="H5359" s="1">
        <v>3.0</v>
      </c>
      <c r="J5359" s="1" t="s">
        <v>11</v>
      </c>
      <c r="K5359" s="2" t="s">
        <v>14834</v>
      </c>
      <c r="L5359" s="2"/>
      <c r="M5359" s="2" t="str">
        <f>IFERROR(__xludf.DUMMYFUNCTION("split(split(K5359,""【"",false),""公式LINE"",false)"),"新谷（池松壮亮）に接触したものの正体を見破られた美希（真木よう子）は、危険な所を倉木（西島秀俊）に助けられた。“新谷の妹”の存在を隠されていたと知った倉木は、今度こそすべての情報を教えるよう美希に迫る。  そして、人気のない資料庫で倉木、大杉（香川照之）、美希が会した。美希は新谷についての情報を2人に伝える。2012年に放送されて大反響を呼び東京ドラマアウォード2013単発ドラマグランプリなど各賞を受賞した「ダブルフェイス」のスタッフ・キャストが再集結して送る、かつてないスケールの連続ドラマ。西島秀俊  "&amp;"香川照之  真木よう子  生瀬勝久  吉田鋼太郎  伊藤淳史  有村架純  池松壮亮  長谷川博己  石田ゆり子  小日向文世　他◇番組HP http://www.tbs.co.jp/mozu_tbs/  ◇フェイスブック https://www.facebook.com/MOZU.TBS.WOWOW  ◇ツイッター  @MOZU2014  https://twitter.com/MOZU2014  ◇YouTube「MOZU.TV」  https://www.youtube.com/user/mozut"&amp;"v  監督  羽住英一郎    原作  逢坂剛「百舌の叫ぶ夜」（集英社文庫刊）    脚本  仁志光佑    音楽  菅野祐悟制作協力　ROBOT  製作著作　TBS・WOWOW  番組の内容と放送時間は、変更になる場合があります。")</f>
        <v>新谷（池松壮亮）に接触したものの正体を見破られた美希（真木よう子）は、危険な所を倉木（西島秀俊）に助けられた。“新谷の妹”の存在を隠されていたと知った倉木は、今度こそすべての情報を教えるよう美希に迫る。  そして、人気のない資料庫で倉木、大杉（香川照之）、美希が会した。美希は新谷についての情報を2人に伝え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生瀬勝久  吉田鋼太郎  伊藤淳史  有村架純  池松壮亮  長谷川博己  石田ゆり子  小日向文世　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番組の内容と放送時間は、変更になる場合があります。</v>
      </c>
      <c r="N5359" s="2"/>
      <c r="O5359" s="2"/>
      <c r="P5359" s="1"/>
      <c r="Q5359" s="1"/>
      <c r="R5359" s="1"/>
      <c r="S5359" s="1"/>
      <c r="T5359" s="1"/>
      <c r="U5359" s="1"/>
      <c r="V5359" s="1"/>
      <c r="W5359" s="1"/>
      <c r="X5359" s="1"/>
      <c r="Y5359" s="1"/>
      <c r="Z5359" s="1"/>
      <c r="AA5359" s="1"/>
      <c r="AB5359" s="1"/>
      <c r="AC5359" s="1"/>
      <c r="AD5359" s="1"/>
      <c r="AE5359" s="1"/>
      <c r="AF5359" s="1"/>
      <c r="AG5359" s="1"/>
      <c r="AH5359" s="1"/>
      <c r="AI5359" s="1"/>
      <c r="AJ5359" s="1"/>
      <c r="AK5359" s="1"/>
      <c r="AL5359" s="1"/>
      <c r="AM5359" s="1"/>
      <c r="AN5359" s="1"/>
      <c r="AO5359" s="1"/>
      <c r="AP5359" s="1"/>
      <c r="AQ5359" s="1"/>
      <c r="AR5359" s="1"/>
      <c r="AS5359" s="1"/>
      <c r="AT5359" s="1"/>
      <c r="AU5359" s="1"/>
      <c r="AV5359" s="1"/>
      <c r="AW5359" s="1"/>
      <c r="AX5359" s="1"/>
      <c r="AY5359" s="1"/>
      <c r="AZ5359" s="1"/>
      <c r="BA5359" s="1"/>
      <c r="BB5359" s="1"/>
    </row>
    <row r="5360" ht="204.75" customHeight="1">
      <c r="A5360" s="1">
        <v>2781.0</v>
      </c>
      <c r="B5360" s="2" t="s">
        <v>14828</v>
      </c>
      <c r="C5360" s="2">
        <f>IFERROR(__xludf.DUMMYFUNCTION("split(B5360,""_"")"),1404.0)</f>
        <v>1404</v>
      </c>
      <c r="D5360" s="2" t="str">
        <f>IFERROR(__xludf.DUMMYFUNCTION("""COMPUTED_VALUE"""),"TBS")</f>
        <v>TBS</v>
      </c>
      <c r="E5360" s="2" t="str">
        <f>IFERROR(__xludf.DUMMYFUNCTION("""COMPUTED_VALUE"""),"木21")</f>
        <v>木21</v>
      </c>
      <c r="F5360" s="2" t="s">
        <v>14829</v>
      </c>
      <c r="G5360" s="2" t="s">
        <v>14835</v>
      </c>
      <c r="H5360" s="1">
        <v>4.0</v>
      </c>
      <c r="J5360" s="1" t="s">
        <v>11</v>
      </c>
      <c r="K5360" s="2" t="s">
        <v>14836</v>
      </c>
      <c r="L5360" s="2"/>
      <c r="M5360" s="2" t="str">
        <f>IFERROR(__xludf.DUMMYFUNCTION("split(split(K5360,""【"",false),""公式LINE"",false)"),"眠らない街の喧騒が集まる、夜の六本木警察署。その一角で待たされている少女の前に、険しい表情の大杉（香川照之）が現れる。少女…めぐみ（杉咲花）は、大杉の一人娘だ。今は別居中の妻・恵子（堀内敬子）のもとで暮らしている。夜遊びを大声で叱りつけてくる大杉に、嫌悪感露わに反発するめぐみ。親子関係も決して良くはなかった。言い合いながら警察署から出る2人の前に、美希（真木よう子）が現れる。2012年に放送されて大反響を呼び東京ドラマアウォード2013単発ドラマグランプリなど各賞を受賞した「ダブルフェイス」のスタッフ・キ"&amp;"ャストが再集結して送る、かつてないスケールの連続ドラマ。西島秀俊  香川照之  真木よう子  　　○  吉田鋼太郎  有村架純  　　○  池松壮亮  　　○  戸田昌宏  鶴見辰吾  堀内敬子  杉咲　花  音月　桂  　　○  長谷川博己  　　○  石田ゆり子  小日向文世◇番組HP http://www.tbs.co.jp/mozu_tbs/  ◇フェイスブック https://www.facebook.com/MOZU.TBS.WOWOW  ◇ツイッター  @MOZU2014  https://"&amp;"twitter.com/MOZU2014  ◇YouTube「MOZU.TV」  https://www.youtube.com/user/mozutv  倉木に中神の魔の手が...第3話（4/24）ダイジェスト＆次回（5/1）予告動画公開しました！  #MOZU  http://youtu.be/M1U33yQF_ss  監督  羽住英一郎    原作  逢坂剛「百舌の叫ぶ夜」（集英社文庫刊）    脚本  仁志光佑    音楽  菅野祐悟制作協力　ROBOT  製作著作　TBS・WOWOW  番組の内"&amp;"容と放送時間は、変更になる場合があります。")</f>
        <v>眠らない街の喧騒が集まる、夜の六本木警察署。その一角で待たされている少女の前に、険しい表情の大杉（香川照之）が現れる。少女…めぐみ（杉咲花）は、大杉の一人娘だ。今は別居中の妻・恵子（堀内敬子）のもとで暮らしている。夜遊びを大声で叱りつけてくる大杉に、嫌悪感露わに反発するめぐみ。親子関係も決して良くはなかった。言い合いながら警察署から出る2人の前に、美希（真木よう子）が現れ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吉田鋼太郎  有村架純  　　○  池松壮亮  　　○  戸田昌宏  鶴見辰吾  堀内敬子  杉咲　花  音月　桂  　　○  長谷川博己  　　○  石田ゆり子  小日向文世◇番組HP http://www.tbs.co.jp/mozu_tbs/  ◇フェイスブック https://www.facebook.com/MOZU.TBS.WOWOW  ◇ツイッター  @MOZU2014  https://twitter.com/MOZU2014  ◇YouTube「MOZU.TV」  https://www.youtube.com/user/mozutv  倉木に中神の魔の手が...第3話（4/24）ダイジェスト＆次回（5/1）予告動画公開しました！  #MOZU  http://youtu.be/M1U33yQF_ss  監督  羽住英一郎    原作  逢坂剛「百舌の叫ぶ夜」（集英社文庫刊）    脚本  仁志光佑    音楽  菅野祐悟制作協力　ROBOT  製作著作　TBS・WOWOW  番組の内容と放送時間は、変更になる場合があります。</v>
      </c>
      <c r="N5360" s="2"/>
      <c r="O5360" s="2"/>
      <c r="P5360" s="1"/>
      <c r="Q5360" s="1"/>
      <c r="R5360" s="1"/>
      <c r="S5360" s="1"/>
      <c r="T5360" s="1"/>
      <c r="U5360" s="1"/>
      <c r="V5360" s="1"/>
      <c r="W5360" s="1"/>
      <c r="X5360" s="1"/>
      <c r="Y5360" s="1"/>
      <c r="Z5360" s="1"/>
      <c r="AA5360" s="1"/>
      <c r="AB5360" s="1"/>
      <c r="AC5360" s="1"/>
      <c r="AD5360" s="1"/>
      <c r="AE5360" s="1"/>
      <c r="AF5360" s="1"/>
      <c r="AG5360" s="1"/>
      <c r="AH5360" s="1"/>
      <c r="AI5360" s="1"/>
      <c r="AJ5360" s="1"/>
      <c r="AK5360" s="1"/>
      <c r="AL5360" s="1"/>
      <c r="AM5360" s="1"/>
      <c r="AN5360" s="1"/>
      <c r="AO5360" s="1"/>
      <c r="AP5360" s="1"/>
      <c r="AQ5360" s="1"/>
      <c r="AR5360" s="1"/>
      <c r="AS5360" s="1"/>
      <c r="AT5360" s="1"/>
      <c r="AU5360" s="1"/>
      <c r="AV5360" s="1"/>
      <c r="AW5360" s="1"/>
      <c r="AX5360" s="1"/>
      <c r="AY5360" s="1"/>
      <c r="AZ5360" s="1"/>
      <c r="BA5360" s="1"/>
      <c r="BB5360" s="1"/>
    </row>
    <row r="5361" ht="204.75" customHeight="1">
      <c r="A5361" s="1">
        <v>2782.0</v>
      </c>
      <c r="B5361" s="2" t="s">
        <v>14828</v>
      </c>
      <c r="C5361" s="2">
        <f>IFERROR(__xludf.DUMMYFUNCTION("split(B5361,""_"")"),1404.0)</f>
        <v>1404</v>
      </c>
      <c r="D5361" s="2" t="str">
        <f>IFERROR(__xludf.DUMMYFUNCTION("""COMPUTED_VALUE"""),"TBS")</f>
        <v>TBS</v>
      </c>
      <c r="E5361" s="2" t="str">
        <f>IFERROR(__xludf.DUMMYFUNCTION("""COMPUTED_VALUE"""),"木21")</f>
        <v>木21</v>
      </c>
      <c r="F5361" s="2" t="s">
        <v>14829</v>
      </c>
      <c r="G5361" s="2" t="s">
        <v>14837</v>
      </c>
      <c r="H5361" s="1">
        <v>5.0</v>
      </c>
      <c r="J5361" s="1" t="s">
        <v>4</v>
      </c>
      <c r="K5361" s="2" t="s">
        <v>14838</v>
      </c>
      <c r="L5361" s="2"/>
      <c r="M5361" s="2" t="str">
        <f>IFERROR(__xludf.DUMMYFUNCTION("split(split(K5361,""【"",false),""公式LINE"",false)"),"中神（吉田鋼太郎）の部下に拉致された新谷（池松壮亮）は、ICチップの在り処を吐くよう、厳しい拷問を受けていた。教えようにも記憶が戻らない新谷は、時間がほしいと懇願するが、中神は彼のアザだらけの体を容赦なく痛めつける。  一方、津城（小日向文世）たちと手を組んだ倉木（西島秀俊）と大杉（香川照之）は、爆発事件に居合わせた高校生・南貴之（染谷将太）を訪ねる。2012年に放送されて大反響を呼び東京ドラマアウォード2013単発ドラマグランプリなど各賞を受賞した「ダブルフェイス」のスタッフ・キャストが再集結して送る、"&amp;"かつてないスケールの連続ドラマ。西島秀俊  香川照之  真木よう子  　○  生瀬勝久  吉田鋼太郎  有村架純  　○  池松壮亮  　○  奥貫　薫  染谷将太  　○  長谷川博己  　○  石田ゆり子  小日向文世◇番組HP http://www.tbs.co.jp/mozu_tbs/  ◇フェイスブック https://www.facebook.com/MOZU.TBS.WOWOW  ◇ツイッター  @MOZU2014  https://twitter.com/MOZU2014  ◇YouTub"&amp;"e「MOZU.TV」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amp;"があります。")</f>
        <v>中神（吉田鋼太郎）の部下に拉致された新谷（池松壮亮）は、ICチップの在り処を吐くよう、厳しい拷問を受けていた。教えようにも記憶が戻らない新谷は、時間がほしいと懇願するが、中神は彼のアザだらけの体を容赦なく痛めつける。  一方、津城（小日向文世）たちと手を組んだ倉木（西島秀俊）と大杉（香川照之）は、爆発事件に居合わせた高校生・南貴之（染谷将太）を訪ね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生瀬勝久  吉田鋼太郎  有村架純  　○  池松壮亮  　○  奥貫　薫  染谷将太  　○  長谷川博己  　○  石田ゆり子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61" s="2"/>
      <c r="O5361" s="2"/>
      <c r="P5361" s="1"/>
      <c r="Q5361" s="1"/>
      <c r="R5361" s="1"/>
      <c r="S5361" s="1"/>
      <c r="T5361" s="1"/>
      <c r="U5361" s="1"/>
      <c r="V5361" s="1"/>
      <c r="W5361" s="1"/>
      <c r="X5361" s="1"/>
      <c r="Y5361" s="1"/>
      <c r="Z5361" s="1"/>
      <c r="AA5361" s="1"/>
      <c r="AB5361" s="1"/>
      <c r="AC5361" s="1"/>
      <c r="AD5361" s="1"/>
      <c r="AE5361" s="1"/>
      <c r="AF5361" s="1"/>
      <c r="AG5361" s="1"/>
      <c r="AH5361" s="1"/>
      <c r="AI5361" s="1"/>
      <c r="AJ5361" s="1"/>
      <c r="AK5361" s="1"/>
      <c r="AL5361" s="1"/>
      <c r="AM5361" s="1"/>
      <c r="AN5361" s="1"/>
      <c r="AO5361" s="1"/>
      <c r="AP5361" s="1"/>
      <c r="AQ5361" s="1"/>
      <c r="AR5361" s="1"/>
      <c r="AS5361" s="1"/>
      <c r="AT5361" s="1"/>
      <c r="AU5361" s="1"/>
      <c r="AV5361" s="1"/>
      <c r="AW5361" s="1"/>
      <c r="AX5361" s="1"/>
      <c r="AY5361" s="1"/>
      <c r="AZ5361" s="1"/>
      <c r="BA5361" s="1"/>
      <c r="BB5361" s="1"/>
    </row>
    <row r="5362" ht="204.75" customHeight="1">
      <c r="A5362" s="1">
        <v>2783.0</v>
      </c>
      <c r="B5362" s="2" t="s">
        <v>14828</v>
      </c>
      <c r="C5362" s="2">
        <f>IFERROR(__xludf.DUMMYFUNCTION("split(B5362,""_"")"),1404.0)</f>
        <v>1404</v>
      </c>
      <c r="D5362" s="2" t="str">
        <f>IFERROR(__xludf.DUMMYFUNCTION("""COMPUTED_VALUE"""),"TBS")</f>
        <v>TBS</v>
      </c>
      <c r="E5362" s="2" t="str">
        <f>IFERROR(__xludf.DUMMYFUNCTION("""COMPUTED_VALUE"""),"木21")</f>
        <v>木21</v>
      </c>
      <c r="F5362" s="2" t="s">
        <v>14829</v>
      </c>
      <c r="G5362" s="2" t="s">
        <v>14839</v>
      </c>
      <c r="H5362" s="1">
        <v>6.0</v>
      </c>
      <c r="J5362" s="1" t="s">
        <v>11</v>
      </c>
      <c r="K5362" s="2" t="s">
        <v>14840</v>
      </c>
      <c r="L5362" s="2"/>
      <c r="M5362" s="2" t="str">
        <f>IFERROR(__xludf.DUMMYFUNCTION("split(split(K5362,""【"",false),""公式LINE"",false)"),"ICチップの在り処を思い出せない新谷（池松壮亮）に対して、中神（吉田鋼太郎）たちの拷問が続く。葵美（有村架純）の前で激しいショックを受け続け、意識朦朧とする新谷。その目に、葵美が彼の実家から持ってきた絵本が映る。表紙に描かれている不思議なマーク…新谷の脳裏に、失われていた記憶が一気に蘇っていく。自らの生い立ち、新谷兄妹の関係、そして爆発事件の日の出来事…。2012年に放送されて大反響を呼び東京ドラマアウォード2013単発ドラマグランプリなど各賞を受賞した「ダブルフェイス」のスタッフ・キャストが再集結して送"&amp;"る、かつてないスケールの連続ドラマ。西島秀俊  香川照之  真木よう子  　○  吉田鋼太郎  有村架純  池松壮亮  奥貫　薫  田口浩正  田中要次  　○  長谷川博己  　○  石田ゆり子  小日向文世◇番組HP http://www.tbs.co.jp/mozu_tbs/  ◇フェイスブック https://www.facebook.com/MOZU.TBS.WOWOW  ◇ツイッター  @MOZU2014  https://twitter.com/MOZU2014  ◇YouTube「MOZU"&amp;".TV」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ICチップの在り処を思い出せない新谷（池松壮亮）に対して、中神（吉田鋼太郎）たちの拷問が続く。葵美（有村架純）の前で激しいショックを受け続け、意識朦朧とする新谷。その目に、葵美が彼の実家から持ってきた絵本が映る。表紙に描かれている不思議なマーク…新谷の脳裏に、失われていた記憶が一気に蘇っていく。自らの生い立ち、新谷兄妹の関係、そして爆発事件の日の出来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吉田鋼太郎  有村架純  池松壮亮  奥貫　薫  田口浩正  田中要次  　○  長谷川博己  　○  石田ゆり子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62" s="2"/>
      <c r="O5362" s="2"/>
      <c r="P5362" s="1"/>
      <c r="Q5362" s="1"/>
      <c r="R5362" s="1"/>
      <c r="S5362" s="1"/>
      <c r="T5362" s="1"/>
      <c r="U5362" s="1"/>
      <c r="V5362" s="1"/>
      <c r="W5362" s="1"/>
      <c r="X5362" s="1"/>
      <c r="Y5362" s="1"/>
      <c r="Z5362" s="1"/>
      <c r="AA5362" s="1"/>
      <c r="AB5362" s="1"/>
      <c r="AC5362" s="1"/>
      <c r="AD5362" s="1"/>
      <c r="AE5362" s="1"/>
      <c r="AF5362" s="1"/>
      <c r="AG5362" s="1"/>
      <c r="AH5362" s="1"/>
      <c r="AI5362" s="1"/>
      <c r="AJ5362" s="1"/>
      <c r="AK5362" s="1"/>
      <c r="AL5362" s="1"/>
      <c r="AM5362" s="1"/>
      <c r="AN5362" s="1"/>
      <c r="AO5362" s="1"/>
      <c r="AP5362" s="1"/>
      <c r="AQ5362" s="1"/>
      <c r="AR5362" s="1"/>
      <c r="AS5362" s="1"/>
      <c r="AT5362" s="1"/>
      <c r="AU5362" s="1"/>
      <c r="AV5362" s="1"/>
      <c r="AW5362" s="1"/>
      <c r="AX5362" s="1"/>
      <c r="AY5362" s="1"/>
      <c r="AZ5362" s="1"/>
      <c r="BA5362" s="1"/>
      <c r="BB5362" s="1"/>
    </row>
    <row r="5363" ht="204.75" customHeight="1">
      <c r="A5363" s="1">
        <v>2784.0</v>
      </c>
      <c r="B5363" s="2" t="s">
        <v>14828</v>
      </c>
      <c r="C5363" s="2">
        <f>IFERROR(__xludf.DUMMYFUNCTION("split(B5363,""_"")"),1404.0)</f>
        <v>1404</v>
      </c>
      <c r="D5363" s="2" t="str">
        <f>IFERROR(__xludf.DUMMYFUNCTION("""COMPUTED_VALUE"""),"TBS")</f>
        <v>TBS</v>
      </c>
      <c r="E5363" s="2" t="str">
        <f>IFERROR(__xludf.DUMMYFUNCTION("""COMPUTED_VALUE"""),"木21")</f>
        <v>木21</v>
      </c>
      <c r="F5363" s="2" t="s">
        <v>14829</v>
      </c>
      <c r="G5363" s="2" t="s">
        <v>14841</v>
      </c>
      <c r="H5363" s="1">
        <v>7.0</v>
      </c>
      <c r="J5363" s="1" t="s">
        <v>11</v>
      </c>
      <c r="K5363" s="2" t="s">
        <v>14842</v>
      </c>
      <c r="L5363" s="2"/>
      <c r="M5363" s="2" t="str">
        <f>IFERROR(__xludf.DUMMYFUNCTION("split(split(K5363,""【"",false),""公式LINE"",false)"),"百舌・新谷宏美（池松壮亮）がすべての記憶を取り戻し、覚醒した。倉木（西島秀俊）たちの前に転がる無残な死体の数々が、それを物語っていた。現場から逃走し身なりを整えた百舌は、かつて通っていた小学校を訪れる。殺された葵美（有村架純）が心残りにしていた、借りたままのアルバムを返すためだ。アルバムを受け取った管理作業員の寺門（品川徹）は、百舌のことを兄の和彦だと思い懐かしがる。2012年に放送されて大反響を呼び東京ドラマアウォード2013単発ドラマグランプリなど各賞を受賞した「ダブルフェイス」のスタッフ・キャストが"&amp;"再集結して送る、かつてないスケールの連続ドラマ。西島秀俊  香川照之  真木よう子  　○  生瀬勝久  伊藤淳史  有村架純  　○  池松壮亮  　○  戸田昌宏  　○  品川　徹  　○  長谷川博己  　○  石田ゆり子  小日向文世◇番組HP http://www.tbs.co.jp/mozu_tbs/  ◇フェイスブック https://www.facebook.com/MOZU.TBS.WOWOW  ◇ツイッター  @MOZU2014  https://twitter.com/MOZU20"&amp;"14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amp;"時間は、変更になる場合があります。")</f>
        <v>百舌・新谷宏美（池松壮亮）がすべての記憶を取り戻し、覚醒した。倉木（西島秀俊）たちの前に転がる無残な死体の数々が、それを物語っていた。現場から逃走し身なりを整えた百舌は、かつて通っていた小学校を訪れる。殺された葵美（有村架純）が心残りにしていた、借りたままのアルバムを返すためだ。アルバムを受け取った管理作業員の寺門（品川徹）は、百舌のことを兄の和彦だと思い懐かしが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生瀬勝久  伊藤淳史  有村架純  　○  池松壮亮  　○  戸田昌宏  　○  品川　徹  　○  長谷川博己  　○  石田ゆり子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63" s="2"/>
      <c r="O5363" s="2"/>
      <c r="P5363" s="1"/>
      <c r="Q5363" s="1"/>
      <c r="R5363" s="1"/>
      <c r="S5363" s="1"/>
      <c r="T5363" s="1"/>
      <c r="U5363" s="1"/>
      <c r="V5363" s="1"/>
      <c r="W5363" s="1"/>
      <c r="X5363" s="1"/>
      <c r="Y5363" s="1"/>
      <c r="Z5363" s="1"/>
      <c r="AA5363" s="1"/>
      <c r="AB5363" s="1"/>
      <c r="AC5363" s="1"/>
      <c r="AD5363" s="1"/>
      <c r="AE5363" s="1"/>
      <c r="AF5363" s="1"/>
      <c r="AG5363" s="1"/>
      <c r="AH5363" s="1"/>
      <c r="AI5363" s="1"/>
      <c r="AJ5363" s="1"/>
      <c r="AK5363" s="1"/>
      <c r="AL5363" s="1"/>
      <c r="AM5363" s="1"/>
      <c r="AN5363" s="1"/>
      <c r="AO5363" s="1"/>
      <c r="AP5363" s="1"/>
      <c r="AQ5363" s="1"/>
      <c r="AR5363" s="1"/>
      <c r="AS5363" s="1"/>
      <c r="AT5363" s="1"/>
      <c r="AU5363" s="1"/>
      <c r="AV5363" s="1"/>
      <c r="AW5363" s="1"/>
      <c r="AX5363" s="1"/>
      <c r="AY5363" s="1"/>
      <c r="AZ5363" s="1"/>
      <c r="BA5363" s="1"/>
      <c r="BB5363" s="1"/>
    </row>
    <row r="5364" ht="204.75" customHeight="1">
      <c r="A5364" s="1">
        <v>2785.0</v>
      </c>
      <c r="B5364" s="2" t="s">
        <v>14828</v>
      </c>
      <c r="C5364" s="2">
        <f>IFERROR(__xludf.DUMMYFUNCTION("split(B5364,""_"")"),1404.0)</f>
        <v>1404</v>
      </c>
      <c r="D5364" s="2" t="str">
        <f>IFERROR(__xludf.DUMMYFUNCTION("""COMPUTED_VALUE"""),"TBS")</f>
        <v>TBS</v>
      </c>
      <c r="E5364" s="2" t="str">
        <f>IFERROR(__xludf.DUMMYFUNCTION("""COMPUTED_VALUE"""),"木21")</f>
        <v>木21</v>
      </c>
      <c r="F5364" s="2" t="s">
        <v>14829</v>
      </c>
      <c r="G5364" s="2" t="s">
        <v>14843</v>
      </c>
      <c r="H5364" s="1">
        <v>8.0</v>
      </c>
      <c r="J5364" s="1" t="s">
        <v>11</v>
      </c>
      <c r="K5364" s="2" t="s">
        <v>14844</v>
      </c>
      <c r="L5364" s="2"/>
      <c r="M5364" s="2" t="str">
        <f>IFERROR(__xludf.DUMMYFUNCTION("split(split(K5364,""【"",false),""公式LINE"",false)"),"爆弾事件捜査の指揮を執る若松（戸田昌宏）を尾行中の大杉（香川照之）・美希（真木よう子）・津城（小日向文世）は、無人のスタジアムにたどり着く。物陰から若松の様子を見る大杉たち…若松は誰かといるようだが、その相手の姿は暗くて見えない。すると、若松と謎の人物の前にもう1人、大杉たちの知る人物が現れ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真"&amp;"木よう子  　○  生瀬勝久  　○  池松壮亮（2役）  　○  戸田昌宏  鶴見辰吾  　○  長谷川博己  　○  石田ゆり子  小日向文世◇番組HP http://www.tbs.co.jp/mozu_tbs/  ◇フェイスブック https://www.facebook.com/MOZU.TBS.WOWOW  ◇ツイッター  @MOZU2014  https://twitter.com/MOZU2014  ◇YouTube「MOZU.TV」  https://www.youtube.com/us"&amp;"er/mozutv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爆弾事件捜査の指揮を執る若松（戸田昌宏）を尾行中の大杉（香川照之）・美希（真木よう子）・津城（小日向文世）は、無人のスタジアムにたどり着く。物陰から若松の様子を見る大杉たち…若松は誰かといるようだが、その相手の姿は暗くて見えない。すると、若松と謎の人物の前にもう1人、大杉たちの知る人物が現れ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生瀬勝久  　○  池松壮亮（2役）  　○  戸田昌宏  鶴見辰吾  　○  長谷川博己  　○  石田ゆり子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64" s="2"/>
      <c r="O5364" s="2"/>
      <c r="P5364" s="1"/>
      <c r="Q5364" s="1"/>
      <c r="R5364" s="1"/>
      <c r="S5364" s="1"/>
      <c r="T5364" s="1"/>
      <c r="U5364" s="1"/>
      <c r="V5364" s="1"/>
      <c r="W5364" s="1"/>
      <c r="X5364" s="1"/>
      <c r="Y5364" s="1"/>
      <c r="Z5364" s="1"/>
      <c r="AA5364" s="1"/>
      <c r="AB5364" s="1"/>
      <c r="AC5364" s="1"/>
      <c r="AD5364" s="1"/>
      <c r="AE5364" s="1"/>
      <c r="AF5364" s="1"/>
      <c r="AG5364" s="1"/>
      <c r="AH5364" s="1"/>
      <c r="AI5364" s="1"/>
      <c r="AJ5364" s="1"/>
      <c r="AK5364" s="1"/>
      <c r="AL5364" s="1"/>
      <c r="AM5364" s="1"/>
      <c r="AN5364" s="1"/>
      <c r="AO5364" s="1"/>
      <c r="AP5364" s="1"/>
      <c r="AQ5364" s="1"/>
      <c r="AR5364" s="1"/>
      <c r="AS5364" s="1"/>
      <c r="AT5364" s="1"/>
      <c r="AU5364" s="1"/>
      <c r="AV5364" s="1"/>
      <c r="AW5364" s="1"/>
      <c r="AX5364" s="1"/>
      <c r="AY5364" s="1"/>
      <c r="AZ5364" s="1"/>
      <c r="BA5364" s="1"/>
      <c r="BB5364" s="1"/>
    </row>
    <row r="5365" ht="204.75" customHeight="1">
      <c r="A5365" s="1">
        <v>2786.0</v>
      </c>
      <c r="B5365" s="2" t="s">
        <v>14828</v>
      </c>
      <c r="C5365" s="2">
        <f>IFERROR(__xludf.DUMMYFUNCTION("split(B5365,""_"")"),1404.0)</f>
        <v>1404</v>
      </c>
      <c r="D5365" s="2" t="str">
        <f>IFERROR(__xludf.DUMMYFUNCTION("""COMPUTED_VALUE"""),"TBS")</f>
        <v>TBS</v>
      </c>
      <c r="E5365" s="2" t="str">
        <f>IFERROR(__xludf.DUMMYFUNCTION("""COMPUTED_VALUE"""),"木21")</f>
        <v>木21</v>
      </c>
      <c r="F5365" s="2" t="s">
        <v>14829</v>
      </c>
      <c r="G5365" s="2" t="s">
        <v>14845</v>
      </c>
      <c r="H5365" s="1">
        <v>9.0</v>
      </c>
      <c r="J5365" s="1" t="s">
        <v>11</v>
      </c>
      <c r="K5365" s="2" t="s">
        <v>14846</v>
      </c>
      <c r="L5365" s="2"/>
      <c r="M5365" s="2" t="str">
        <f>IFERROR(__xludf.DUMMYFUNCTION("split(split(K5365,""【"",false),""公式LINE"",false)"),"千尋（石田ゆり子）はなぜ爆弾を起動させたのか…その理由がわからず爆発現場を訪れた倉木（西島秀俊）は、物影にいる何者かに気づく。倉木を誘うように移動する何者かの影…それを追って倉木がたどり着いた先には、東（長谷川博己）が待ち受けていた。東は「助言」だと言って、ある小説に登場する理想郷“オメラス”について話し出す。「その町のどこかに、光の届かない固く閉ざされた地下室があった…」。2012年に放送されて大反響を呼び東京ドラマアウォード2013単発ドラマグランプリなど各賞を受賞した「ダブルフェイス」のスタッフ・キ"&amp;"ャストが再集結して送る、かつてないスケールの連続ドラマ。西島秀俊  香川照之  真木よう子  　○  生瀬勝久  　○  池松壮亮  　○  瑳川哲朗  　○  長谷川博己  　○  小日向文世◇番組HP http://www.tbs.co.jp/mozu_tbs/  ◇フェイスブック https://www.facebook.com/MOZU.TBS.WOWOW  ◇ツイッター  @MOZU2014  https://twitter.com/MOZU2014  ◇YouTube「MOZU.TV」  ht"&amp;"tps://www.youtube.com/user/mozutv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千尋（石田ゆり子）はなぜ爆弾を起動させたのか…その理由がわからず爆発現場を訪れた倉木（西島秀俊）は、物影にいる何者かに気づく。倉木を誘うように移動する何者かの影…それを追って倉木がたどり着いた先には、東（長谷川博己）が待ち受けていた。東は「助言」だと言って、ある小説に登場する理想郷“オメラス”について話し出す。「その町のどこかに、光の届かない固く閉ざされた地下室があった…」。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生瀬勝久  　○  池松壮亮  　○  瑳川哲朗  　○  長谷川博己  　○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65" s="2"/>
      <c r="O5365" s="2"/>
      <c r="P5365" s="1"/>
      <c r="Q5365" s="1"/>
      <c r="R5365" s="1"/>
      <c r="S5365" s="1"/>
      <c r="T5365" s="1"/>
      <c r="U5365" s="1"/>
      <c r="V5365" s="1"/>
      <c r="W5365" s="1"/>
      <c r="X5365" s="1"/>
      <c r="Y5365" s="1"/>
      <c r="Z5365" s="1"/>
      <c r="AA5365" s="1"/>
      <c r="AB5365" s="1"/>
      <c r="AC5365" s="1"/>
      <c r="AD5365" s="1"/>
      <c r="AE5365" s="1"/>
      <c r="AF5365" s="1"/>
      <c r="AG5365" s="1"/>
      <c r="AH5365" s="1"/>
      <c r="AI5365" s="1"/>
      <c r="AJ5365" s="1"/>
      <c r="AK5365" s="1"/>
      <c r="AL5365" s="1"/>
      <c r="AM5365" s="1"/>
      <c r="AN5365" s="1"/>
      <c r="AO5365" s="1"/>
      <c r="AP5365" s="1"/>
      <c r="AQ5365" s="1"/>
      <c r="AR5365" s="1"/>
      <c r="AS5365" s="1"/>
      <c r="AT5365" s="1"/>
      <c r="AU5365" s="1"/>
      <c r="AV5365" s="1"/>
      <c r="AW5365" s="1"/>
      <c r="AX5365" s="1"/>
      <c r="AY5365" s="1"/>
      <c r="AZ5365" s="1"/>
      <c r="BA5365" s="1"/>
      <c r="BB5365" s="1"/>
    </row>
    <row r="5366" ht="204.75" customHeight="1">
      <c r="A5366" s="1">
        <v>2787.0</v>
      </c>
      <c r="B5366" s="2" t="s">
        <v>14828</v>
      </c>
      <c r="C5366" s="2">
        <f>IFERROR(__xludf.DUMMYFUNCTION("split(B5366,""_"")"),1404.0)</f>
        <v>1404</v>
      </c>
      <c r="D5366" s="2" t="str">
        <f>IFERROR(__xludf.DUMMYFUNCTION("""COMPUTED_VALUE"""),"TBS")</f>
        <v>TBS</v>
      </c>
      <c r="E5366" s="2" t="str">
        <f>IFERROR(__xludf.DUMMYFUNCTION("""COMPUTED_VALUE"""),"木21")</f>
        <v>木21</v>
      </c>
      <c r="F5366" s="2" t="s">
        <v>14829</v>
      </c>
      <c r="G5366" s="2" t="s">
        <v>14847</v>
      </c>
      <c r="H5366" s="1">
        <v>10.0</v>
      </c>
      <c r="J5366" s="1" t="s">
        <v>11</v>
      </c>
      <c r="K5366" s="2" t="s">
        <v>14848</v>
      </c>
      <c r="L5366" s="2"/>
      <c r="M5366" s="2" t="str">
        <f>IFERROR(__xludf.DUMMYFUNCTION("split(split(K5366,""【"",false),""公式LINE"",false)"),"サルドニア共和国大統領の来日の日がやってきた。警護を指揮するのは、裏で大統領の暗殺を狙う公安部の室井（生瀬勝久）だ。室井は警備計画の変更に左右されない場所で爆弾テロを起こす…そう睨む倉木（西島秀俊）たち。しかし津城（小日向文世）は室井の策略で公安に拘束され、動くことが出来ない。  捜査第一課課長・村瀬（鶴見辰吾）を説得した大杉（香川照之）は、捜査一課の面々を引き連れ、大統領の到着する空港へ…2012年に放送されて大反響を呼び東京ドラマアウォード2013単発ドラマグランプリなど各賞を受賞した「ダブルフェイス"&amp;"」のスタッフ・キャストが再集結して送る、かつてないスケールの連続ドラマ。西島秀俊  香川照之  真木よう子  　○  生瀬勝久  伊藤淳史  　○  池松壮亮  　○  鶴見辰吾  阿部　力  　○  瑳川哲朗  　○  小日向文世◇番組HP http://www.tbs.co.jp/mozu_tbs/  ◇フェイスブック https://www.facebook.com/MOZU.TBS.WOWOW  ◇ツイッター  @MOZU2014  https://twitter.com/MOZU2014  ◇Y"&amp;"ouTube「MOZU.TV」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amp;"になる場合があります。")</f>
        <v>サルドニア共和国大統領の来日の日がやってきた。警護を指揮するのは、裏で大統領の暗殺を狙う公安部の室井（生瀬勝久）だ。室井は警備計画の変更に左右されない場所で爆弾テロを起こす…そう睨む倉木（西島秀俊）たち。しかし津城（小日向文世）は室井の策略で公安に拘束され、動くことが出来ない。  捜査第一課課長・村瀬（鶴見辰吾）を説得した大杉（香川照之）は、捜査一課の面々を引き連れ、大統領の到着する空港へ…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生瀬勝久  伊藤淳史  　○  池松壮亮  　○  鶴見辰吾  阿部　力  　○  瑳川哲朗  　○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66" s="2"/>
      <c r="O5366" s="2"/>
      <c r="P5366" s="1"/>
      <c r="Q5366" s="1"/>
      <c r="R5366" s="1"/>
      <c r="S5366" s="1"/>
      <c r="T5366" s="1"/>
      <c r="U5366" s="1"/>
      <c r="V5366" s="1"/>
      <c r="W5366" s="1"/>
      <c r="X5366" s="1"/>
      <c r="Y5366" s="1"/>
      <c r="Z5366" s="1"/>
      <c r="AA5366" s="1"/>
      <c r="AB5366" s="1"/>
      <c r="AC5366" s="1"/>
      <c r="AD5366" s="1"/>
      <c r="AE5366" s="1"/>
      <c r="AF5366" s="1"/>
      <c r="AG5366" s="1"/>
      <c r="AH5366" s="1"/>
      <c r="AI5366" s="1"/>
      <c r="AJ5366" s="1"/>
      <c r="AK5366" s="1"/>
      <c r="AL5366" s="1"/>
      <c r="AM5366" s="1"/>
      <c r="AN5366" s="1"/>
      <c r="AO5366" s="1"/>
      <c r="AP5366" s="1"/>
      <c r="AQ5366" s="1"/>
      <c r="AR5366" s="1"/>
      <c r="AS5366" s="1"/>
      <c r="AT5366" s="1"/>
      <c r="AU5366" s="1"/>
      <c r="AV5366" s="1"/>
      <c r="AW5366" s="1"/>
      <c r="AX5366" s="1"/>
      <c r="AY5366" s="1"/>
      <c r="AZ5366" s="1"/>
      <c r="BA5366" s="1"/>
      <c r="BB5366" s="1"/>
    </row>
    <row r="5367" ht="204.75" customHeight="1">
      <c r="A5367" s="1">
        <v>2819.0</v>
      </c>
      <c r="B5367" s="2" t="s">
        <v>14849</v>
      </c>
      <c r="C5367" s="2">
        <f>IFERROR(__xludf.DUMMYFUNCTION("split(B5367,""_"")"),1404.0)</f>
        <v>1404</v>
      </c>
      <c r="D5367" s="2" t="str">
        <f>IFERROR(__xludf.DUMMYFUNCTION("""COMPUTED_VALUE"""),"TBS")</f>
        <v>TBS</v>
      </c>
      <c r="E5367" s="2" t="str">
        <f>IFERROR(__xludf.DUMMYFUNCTION("""COMPUTED_VALUE"""),"金22")</f>
        <v>金22</v>
      </c>
      <c r="F5367" s="2" t="s">
        <v>14850</v>
      </c>
      <c r="G5367" s="2" t="s">
        <v>14851</v>
      </c>
      <c r="H5367" s="1">
        <v>1.0</v>
      </c>
      <c r="J5367" s="1" t="s">
        <v>82</v>
      </c>
      <c r="K5367" s="2" t="s">
        <v>14852</v>
      </c>
      <c r="L5367" s="2"/>
      <c r="M5367" s="2" t="str">
        <f>IFERROR(__xludf.DUMMYFUNCTION("split(split(K5367,""【"",false),""公式LINE"",false)"),"父を殺したのは、誰だ!?  15年前、大学病院の手術中に死んだ水野明日美（上野樹里）の父親。しかしその死の真相は、医療ミスだった!?謎を明らかにするため、自ら医師になり、大学病院に潜り込んだ明日美。人生の全てをかけて、これまで見たこともない方法で、不誠実な“二枚舌”看護師や、「医者は3人殺してからが一人前」と、患者を顧みない女医など、“許されざる医師たち”をぶった切る！爽快な復讐劇が幕を開ける!!水野 明日美…上野樹里  磐台 悠真…中村蒼  西門 優介…オダギリジョー  　　　　　○  水野 和史…中村"&amp;"梅雀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https://"&amp;"www.youtube.com/user/alicenotoge  脚本：高橋麻紀、池田奈津子など  プロデューサー：高橋正尚、高成麻畝子  音楽：横山克  シリーズ監修：西田征史  監督：塚原あゆ子、渡瀬暁彦、平野俊一番組の内容と放送時間は変更になる場合があります。")</f>
        <v>父を殺したのは、誰だ!?  15年前、大学病院の手術中に死んだ水野明日美（上野樹里）の父親。しかしその死の真相は、医療ミスだった!?謎を明らかにするため、自ら医師になり、大学病院に潜り込んだ明日美。人生の全てをかけて、これまで見たこともない方法で、不誠実な“二枚舌”看護師や、「医者は3人殺してからが一人前」と、患者を顧みない女医など、“許されざる医師たち”をぶった切る！爽快な復讐劇が幕を開ける!!水野 明日美…上野樹里  磐台 悠真…中村蒼  西門 優介…オダギリジョー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脚本：高橋麻紀、池田奈津子など  プロデューサー：高橋正尚、高成麻畝子  音楽：横山克  シリーズ監修：西田征史  監督：塚原あゆ子、渡瀬暁彦、平野俊一番組の内容と放送時間は変更になる場合があります。</v>
      </c>
      <c r="N5367" s="2"/>
      <c r="O5367" s="2"/>
      <c r="P5367" s="1"/>
      <c r="Q5367" s="1"/>
      <c r="R5367" s="1"/>
      <c r="S5367" s="1"/>
      <c r="T5367" s="1"/>
      <c r="U5367" s="1"/>
      <c r="V5367" s="1"/>
      <c r="W5367" s="1"/>
      <c r="X5367" s="1"/>
      <c r="Y5367" s="1"/>
      <c r="Z5367" s="1"/>
      <c r="AA5367" s="1"/>
      <c r="AB5367" s="1"/>
      <c r="AC5367" s="1"/>
      <c r="AD5367" s="1"/>
      <c r="AE5367" s="1"/>
      <c r="AF5367" s="1"/>
      <c r="AG5367" s="1"/>
      <c r="AH5367" s="1"/>
      <c r="AI5367" s="1"/>
      <c r="AJ5367" s="1"/>
      <c r="AK5367" s="1"/>
      <c r="AL5367" s="1"/>
      <c r="AM5367" s="1"/>
      <c r="AN5367" s="1"/>
      <c r="AO5367" s="1"/>
      <c r="AP5367" s="1"/>
      <c r="AQ5367" s="1"/>
      <c r="AR5367" s="1"/>
      <c r="AS5367" s="1"/>
      <c r="AT5367" s="1"/>
      <c r="AU5367" s="1"/>
      <c r="AV5367" s="1"/>
      <c r="AW5367" s="1"/>
      <c r="AX5367" s="1"/>
      <c r="AY5367" s="1"/>
      <c r="AZ5367" s="1"/>
      <c r="BA5367" s="1"/>
      <c r="BB5367" s="1"/>
    </row>
    <row r="5368" ht="204.75" customHeight="1">
      <c r="A5368" s="1">
        <v>2820.0</v>
      </c>
      <c r="B5368" s="2" t="s">
        <v>14849</v>
      </c>
      <c r="C5368" s="2">
        <f>IFERROR(__xludf.DUMMYFUNCTION("split(B5368,""_"")"),1404.0)</f>
        <v>1404</v>
      </c>
      <c r="D5368" s="2" t="str">
        <f>IFERROR(__xludf.DUMMYFUNCTION("""COMPUTED_VALUE"""),"TBS")</f>
        <v>TBS</v>
      </c>
      <c r="E5368" s="2" t="str">
        <f>IFERROR(__xludf.DUMMYFUNCTION("""COMPUTED_VALUE"""),"金22")</f>
        <v>金22</v>
      </c>
      <c r="F5368" s="2" t="s">
        <v>14850</v>
      </c>
      <c r="G5368" s="2" t="s">
        <v>14853</v>
      </c>
      <c r="H5368" s="1">
        <v>2.0</v>
      </c>
      <c r="J5368" s="1" t="s">
        <v>86</v>
      </c>
      <c r="K5368" s="2" t="s">
        <v>14854</v>
      </c>
      <c r="L5368" s="2"/>
      <c r="M5368" s="2" t="str">
        <f>IFERROR(__xludf.DUMMYFUNCTION("split(split(K5368,""【"",false),""公式LINE"",false)"),"明日美の復讐は加速する！患者のことを二の次にして、自分の研究のみに没頭する千原（田中直樹）。実は…千原は明日美の父の手術を執刀した伊達の指導医だった。伊達のミスにより容態が急変したにも関わらず、自身の評価を気にして、無理やり手術を続けた千原…明日美の見たこともない復讐が始まる！そして…明日美に『手術記録』を送り、真実を告げたのは誰なのか？どんな目的なのか？新たな謎が動き始める！一番の悪は誰だ？水野明日美…上野樹里  磐台悠真…中村蒼  西門優介…オダギリジョー  千原淳一…田中直樹  日向誠…尾美としのり"&amp;"  　　　　○  水野和史…中村梅雀  伊達理沙…藤原紀香(特別出演）  　　　　○  蛭子雅人…六平直政  磐台修一…岩城滉一  星野美羽…栗山千明  有馬毅…國村隼高橋優『太陽と花』■公式番組HP  http://www.tbs.co.jp/alice2014/    ■公式twitter  @alice_tbs  https://twitter.com/alice_tbs  ■公式facebook  https://www.facebook.com/alice2014.tbs  ■公式YouTube"&amp;"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f>
        <v>明日美の復讐は加速する！患者のことを二の次にして、自分の研究のみに没頭する千原（田中直樹）。実は…千原は明日美の父の手術を執刀した伊達の指導医だった。伊達のミスにより容態が急変したにも関わらず、自身の評価を気にして、無理やり手術を続けた千原…明日美の見たこともない復讐が始まる！そして…明日美に『手術記録』を送り、真実を告げたのは誰なのか？どんな目的なのか？新たな謎が動き始める！一番の悪は誰だ？水野明日美…上野樹里  磐台悠真…中村蒼  西門優介…オダギリジョー  千原淳一…田中直樹  日向誠…尾美としのり  　　　　○  水野和史…中村梅雀  伊達理沙…藤原紀香(特別出演）  　　　　○  蛭子雅人…六平直政  磐台修一…岩城滉一  星野美羽…栗山千明  有馬毅…國村隼高橋優『太陽と花』■公式番組HP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v>
      </c>
      <c r="N5368" s="2"/>
      <c r="O5368" s="2"/>
      <c r="P5368" s="1"/>
      <c r="Q5368" s="1"/>
      <c r="R5368" s="1"/>
      <c r="S5368" s="1"/>
      <c r="T5368" s="1"/>
      <c r="U5368" s="1"/>
      <c r="V5368" s="1"/>
      <c r="W5368" s="1"/>
      <c r="X5368" s="1"/>
      <c r="Y5368" s="1"/>
      <c r="Z5368" s="1"/>
      <c r="AA5368" s="1"/>
      <c r="AB5368" s="1"/>
      <c r="AC5368" s="1"/>
      <c r="AD5368" s="1"/>
      <c r="AE5368" s="1"/>
      <c r="AF5368" s="1"/>
      <c r="AG5368" s="1"/>
      <c r="AH5368" s="1"/>
      <c r="AI5368" s="1"/>
      <c r="AJ5368" s="1"/>
      <c r="AK5368" s="1"/>
      <c r="AL5368" s="1"/>
      <c r="AM5368" s="1"/>
      <c r="AN5368" s="1"/>
      <c r="AO5368" s="1"/>
      <c r="AP5368" s="1"/>
      <c r="AQ5368" s="1"/>
      <c r="AR5368" s="1"/>
      <c r="AS5368" s="1"/>
      <c r="AT5368" s="1"/>
      <c r="AU5368" s="1"/>
      <c r="AV5368" s="1"/>
      <c r="AW5368" s="1"/>
      <c r="AX5368" s="1"/>
      <c r="AY5368" s="1"/>
      <c r="AZ5368" s="1"/>
      <c r="BA5368" s="1"/>
      <c r="BB5368" s="1"/>
    </row>
    <row r="5369" ht="204.75" customHeight="1">
      <c r="A5369" s="1">
        <v>2821.0</v>
      </c>
      <c r="B5369" s="2" t="s">
        <v>14849</v>
      </c>
      <c r="C5369" s="2">
        <f>IFERROR(__xludf.DUMMYFUNCTION("split(B5369,""_"")"),1404.0)</f>
        <v>1404</v>
      </c>
      <c r="D5369" s="2" t="str">
        <f>IFERROR(__xludf.DUMMYFUNCTION("""COMPUTED_VALUE"""),"TBS")</f>
        <v>TBS</v>
      </c>
      <c r="E5369" s="2" t="str">
        <f>IFERROR(__xludf.DUMMYFUNCTION("""COMPUTED_VALUE"""),"金22")</f>
        <v>金22</v>
      </c>
      <c r="F5369" s="2" t="s">
        <v>14850</v>
      </c>
      <c r="G5369" s="2" t="s">
        <v>14855</v>
      </c>
      <c r="H5369" s="1">
        <v>3.0</v>
      </c>
      <c r="J5369" s="1" t="s">
        <v>86</v>
      </c>
      <c r="K5369" s="2" t="s">
        <v>14856</v>
      </c>
      <c r="L5369" s="2"/>
      <c r="M5369" s="2" t="str">
        <f>IFERROR(__xludf.DUMMYFUNCTION("split(split(K5369,""【"",false),""公式LINE"",false)"),"明日美の復讐計画に今までにないピンチが…。病院の利益のため、患者を踏みにじる顧問弁護士日向（尾美としのり）は、15年前、明日美の父親の手術で起きた医療ミスの隠蔽工作をし、さらに薬物横流しの冤罪まで着せた人物だった。『不敗の冷酷弁護士』に緻密な復讐計画を仕掛ける明日美。しかし、頭脳派の日向は巧妙な手口で明日美を陥れようとする。そして、明日美の味方だと宣言した西門（オダギリジョー）も怪しい動きをして…水野明日美…上野樹里  磐台悠真…中村蒼  西門優介…オダギリジョー  千原淳一…田中直樹  日向誠…尾美とし"&amp;"のり  　　　　○  水野和史…中村梅雀  伊達理沙…藤原紀香(特別出演）  　　　　○  蛭子雅人…六平直政  磐台修一…岩城滉一  星野美羽…栗山千明  有馬毅…國村隼高橋優『太陽と花』■公式番組HP  http://www.tbs.co.jp/alice2014/    ■公式twitter  @alice_tbs  https://twitter.com/alice_tbs  ■公式facebook  https://www.facebook.com/alice2014.tbs  ■公式YouTu"&amp;"be  https://www.youtube.com/user/alicenotoge  不敗の冷酷弁護士の運命は!？動画公開しました！  http://youtu.be/oPMG3-h-0r0  脚本：高橋麻紀、池田奈津子など  プロデューサー：高橋正尚、高成麻畝子  音楽：横山克  シリーズ監修：西田征史  監督：塚原あゆ子、渡瀬暁彦、平野俊一番組の内容と放送時間は変更になる場合があります。")</f>
        <v>明日美の復讐計画に今までにないピンチが…。病院の利益のため、患者を踏みにじる顧問弁護士日向（尾美としのり）は、15年前、明日美の父親の手術で起きた医療ミスの隠蔽工作をし、さらに薬物横流しの冤罪まで着せた人物だった。『不敗の冷酷弁護士』に緻密な復讐計画を仕掛ける明日美。しかし、頭脳派の日向は巧妙な手口で明日美を陥れようとする。そして、明日美の味方だと宣言した西門（オダギリジョー）も怪しい動きをして…水野明日美…上野樹里  磐台悠真…中村蒼  西門優介…オダギリジョー  千原淳一…田中直樹  日向誠…尾美としのり  　　　　○  水野和史…中村梅雀  伊達理沙…藤原紀香(特別出演）  　　　　○  蛭子雅人…六平直政  磐台修一…岩城滉一  星野美羽…栗山千明  有馬毅…國村隼高橋優『太陽と花』■公式番組HP  http://www.tbs.co.jp/alice2014/    ■公式twitter  @alice_tbs  https://twitter.com/alice_tbs  ■公式facebook  https://www.facebook.com/alice2014.tbs  ■公式YouTube  https://www.youtube.com/user/alicenotoge  不敗の冷酷弁護士の運命は!？動画公開しました！  http://youtu.be/oPMG3-h-0r0  脚本：高橋麻紀、池田奈津子など  プロデューサー：高橋正尚、高成麻畝子  音楽：横山克  シリーズ監修：西田征史  監督：塚原あゆ子、渡瀬暁彦、平野俊一番組の内容と放送時間は変更になる場合があります。</v>
      </c>
      <c r="N5369" s="2"/>
      <c r="O5369" s="2"/>
      <c r="P5369" s="1"/>
      <c r="Q5369" s="1"/>
      <c r="R5369" s="1"/>
      <c r="S5369" s="1"/>
      <c r="T5369" s="1"/>
      <c r="U5369" s="1"/>
      <c r="V5369" s="1"/>
      <c r="W5369" s="1"/>
      <c r="X5369" s="1"/>
      <c r="Y5369" s="1"/>
      <c r="Z5369" s="1"/>
      <c r="AA5369" s="1"/>
      <c r="AB5369" s="1"/>
      <c r="AC5369" s="1"/>
      <c r="AD5369" s="1"/>
      <c r="AE5369" s="1"/>
      <c r="AF5369" s="1"/>
      <c r="AG5369" s="1"/>
      <c r="AH5369" s="1"/>
      <c r="AI5369" s="1"/>
      <c r="AJ5369" s="1"/>
      <c r="AK5369" s="1"/>
      <c r="AL5369" s="1"/>
      <c r="AM5369" s="1"/>
      <c r="AN5369" s="1"/>
      <c r="AO5369" s="1"/>
      <c r="AP5369" s="1"/>
      <c r="AQ5369" s="1"/>
      <c r="AR5369" s="1"/>
      <c r="AS5369" s="1"/>
      <c r="AT5369" s="1"/>
      <c r="AU5369" s="1"/>
      <c r="AV5369" s="1"/>
      <c r="AW5369" s="1"/>
      <c r="AX5369" s="1"/>
      <c r="AY5369" s="1"/>
      <c r="AZ5369" s="1"/>
      <c r="BA5369" s="1"/>
      <c r="BB5369" s="1"/>
    </row>
    <row r="5370" ht="204.75" customHeight="1">
      <c r="A5370" s="1">
        <v>2822.0</v>
      </c>
      <c r="B5370" s="2" t="s">
        <v>14849</v>
      </c>
      <c r="C5370" s="2">
        <f>IFERROR(__xludf.DUMMYFUNCTION("split(B5370,""_"")"),1404.0)</f>
        <v>1404</v>
      </c>
      <c r="D5370" s="2" t="str">
        <f>IFERROR(__xludf.DUMMYFUNCTION("""COMPUTED_VALUE"""),"TBS")</f>
        <v>TBS</v>
      </c>
      <c r="E5370" s="2" t="str">
        <f>IFERROR(__xludf.DUMMYFUNCTION("""COMPUTED_VALUE"""),"金22")</f>
        <v>金22</v>
      </c>
      <c r="F5370" s="2" t="s">
        <v>14850</v>
      </c>
      <c r="G5370" s="2" t="s">
        <v>14857</v>
      </c>
      <c r="H5370" s="1">
        <v>4.0</v>
      </c>
      <c r="J5370" s="1" t="s">
        <v>86</v>
      </c>
      <c r="K5370" s="2" t="s">
        <v>14858</v>
      </c>
      <c r="L5370" s="2"/>
      <c r="M5370" s="2" t="str">
        <f>IFERROR(__xludf.DUMMYFUNCTION("split(split(K5370,""【"",false),""公式LINE"",false)"),"明日美は『最大で最後の強大な敵』磐台教授（岩城滉一）に挑む。有名人を広告塔にして“新薬”を患者に試そうとするなど、患者を食いものにして名声をあげることに余念がない磐台。西門（オダギリジョー）の協力により、磐台こそが15年前の明日美の父の手術に関わった重要人物であることが分かり…明日美は西門の制止を振り切って禁断の作戦を実行しようとするが、それを磐台教授と敵対する有馬教授（國村隼）が監視しており…水野 明日美…上野樹里  磐台 悠真…中村蒼  西門 優介…オダギリジョー  千原淳一…田中直樹  日向誠…尾美"&amp;"としのり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https://www.facebook.com/alice2014.tbs"&amp;"  ■公式YouTube  https://www.youtube.com/user/alicenotoge  最後にして最大の敵への復讐は！？金曜ドラマ『アリスの棘』第4話(5/2）予告動画公開しました！  http://youtu.be/el4Ww5sJHe0  脚本：池田奈津子、高橋麻紀など  プロデューサー：高橋正尚、高成麻畝子  音楽：横山克  シリーズ監修：西田征史  監督：塚原あゆ子、渡瀬暁彦、平野俊一番組の内容と放送時間は変更になる場合があります。")</f>
        <v>明日美は『最大で最後の強大な敵』磐台教授（岩城滉一）に挑む。有名人を広告塔にして“新薬”を患者に試そうとするなど、患者を食いものにして名声をあげることに余念がない磐台。西門（オダギリジョー）の協力により、磐台こそが15年前の明日美の父の手術に関わった重要人物であることが分かり…明日美は西門の制止を振り切って禁断の作戦を実行しようとするが、それを磐台教授と敵対する有馬教授（國村隼）が監視しており…水野 明日美…上野樹里  磐台 悠真…中村蒼  西門 優介…オダギリジョー  千原淳一…田中直樹  日向誠…尾美としのり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最後にして最大の敵への復讐は！？金曜ドラマ『アリスの棘』第4話(5/2）予告動画公開しました！  http://youtu.be/el4Ww5sJHe0  脚本：池田奈津子、高橋麻紀など  プロデューサー：高橋正尚、高成麻畝子  音楽：横山克  シリーズ監修：西田征史  監督：塚原あゆ子、渡瀬暁彦、平野俊一番組の内容と放送時間は変更になる場合があります。</v>
      </c>
      <c r="N5370" s="2"/>
      <c r="O5370" s="2"/>
      <c r="P5370" s="1"/>
      <c r="Q5370" s="1"/>
      <c r="R5370" s="1"/>
      <c r="S5370" s="1"/>
      <c r="T5370" s="1"/>
      <c r="U5370" s="1"/>
      <c r="V5370" s="1"/>
      <c r="W5370" s="1"/>
      <c r="X5370" s="1"/>
      <c r="Y5370" s="1"/>
      <c r="Z5370" s="1"/>
      <c r="AA5370" s="1"/>
      <c r="AB5370" s="1"/>
      <c r="AC5370" s="1"/>
      <c r="AD5370" s="1"/>
      <c r="AE5370" s="1"/>
      <c r="AF5370" s="1"/>
      <c r="AG5370" s="1"/>
      <c r="AH5370" s="1"/>
      <c r="AI5370" s="1"/>
      <c r="AJ5370" s="1"/>
      <c r="AK5370" s="1"/>
      <c r="AL5370" s="1"/>
      <c r="AM5370" s="1"/>
      <c r="AN5370" s="1"/>
      <c r="AO5370" s="1"/>
      <c r="AP5370" s="1"/>
      <c r="AQ5370" s="1"/>
      <c r="AR5370" s="1"/>
      <c r="AS5370" s="1"/>
      <c r="AT5370" s="1"/>
      <c r="AU5370" s="1"/>
      <c r="AV5370" s="1"/>
      <c r="AW5370" s="1"/>
      <c r="AX5370" s="1"/>
      <c r="AY5370" s="1"/>
      <c r="AZ5370" s="1"/>
      <c r="BA5370" s="1"/>
      <c r="BB5370" s="1"/>
    </row>
    <row r="5371" ht="204.75" customHeight="1">
      <c r="A5371" s="1">
        <v>2823.0</v>
      </c>
      <c r="B5371" s="2" t="s">
        <v>14849</v>
      </c>
      <c r="C5371" s="2">
        <f>IFERROR(__xludf.DUMMYFUNCTION("split(B5371,""_"")"),1404.0)</f>
        <v>1404</v>
      </c>
      <c r="D5371" s="2" t="str">
        <f>IFERROR(__xludf.DUMMYFUNCTION("""COMPUTED_VALUE"""),"TBS")</f>
        <v>TBS</v>
      </c>
      <c r="E5371" s="2" t="str">
        <f>IFERROR(__xludf.DUMMYFUNCTION("""COMPUTED_VALUE"""),"金22")</f>
        <v>金22</v>
      </c>
      <c r="F5371" s="2" t="s">
        <v>14850</v>
      </c>
      <c r="G5371" s="2" t="s">
        <v>14859</v>
      </c>
      <c r="H5371" s="1">
        <v>5.0</v>
      </c>
      <c r="J5371" s="1" t="s">
        <v>86</v>
      </c>
      <c r="K5371" s="2" t="s">
        <v>14860</v>
      </c>
      <c r="L5371" s="2"/>
      <c r="M5371" s="2" t="str">
        <f>IFERROR(__xludf.DUMMYFUNCTION("split(split(K5371,""【"",false),""公式LINE"",false)"),"医療ミスと思われた明日美の父親の死…それは磐台教授が仕組んだ殺人だった！父を死に追いやった決定的証拠を手に入れるために、明日美は磐台教授の息子悠真（中村蒼）を利用してその証拠が隠されている日向弁護士の別荘に侵入する…。そこで待ち構えていたのは想定外の謎…衝撃的すぎる新展開が明日美を襲う！一方、悠真に好意を寄せる美羽（栗山千明）が明日美の行動を不審に思い…明日美を取り巻く人間関係が複雑に交錯する！？水野 明日美…上野樹里  磐台 悠真…中村蒼  西門 優介…オダギリジョー  千原淳一…田中直樹  日向誠…尾"&amp;"美としのり  横山重雄…深水三章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https://www.facebook.com/a"&amp;"lice2014.tbs  ■公式YouTube  https://www.youtube.com/user/alicenotoge  想定外の謎...衝撃すぎる新展開！動画公開しました！  http://youtu.be/Bw1H1WLAfLw  脚本：池田奈津子　高橋麻紀など  プロデューサー：高橋正尚、高成麻畝子  音楽：横山克  シリーズ監修：西田征史  監督：塚原あゆ子、渡瀬暁彦、平野俊一番組の内容と放送時間は変更になる場合があります。")</f>
        <v>医療ミスと思われた明日美の父親の死…それは磐台教授が仕組んだ殺人だった！父を死に追いやった決定的証拠を手に入れるために、明日美は磐台教授の息子悠真（中村蒼）を利用してその証拠が隠されている日向弁護士の別荘に侵入する…。そこで待ち構えていたのは想定外の謎…衝撃的すぎる新展開が明日美を襲う！一方、悠真に好意を寄せる美羽（栗山千明）が明日美の行動を不審に思い…明日美を取り巻く人間関係が複雑に交錯する！？水野 明日美…上野樹里  磐台 悠真…中村蒼  西門 優介…オダギリジョー  千原淳一…田中直樹  日向誠…尾美としのり  横山重雄…深水三章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想定外の謎...衝撃すぎる新展開！動画公開しました！  http://youtu.be/Bw1H1WLAfLw  脚本：池田奈津子　高橋麻紀など  プロデューサー：高橋正尚、高成麻畝子  音楽：横山克  シリーズ監修：西田征史  監督：塚原あゆ子、渡瀬暁彦、平野俊一番組の内容と放送時間は変更になる場合があります。</v>
      </c>
      <c r="N5371" s="2"/>
      <c r="O5371" s="2"/>
      <c r="P5371" s="1"/>
      <c r="Q5371" s="1"/>
      <c r="R5371" s="1"/>
      <c r="S5371" s="1"/>
      <c r="T5371" s="1"/>
      <c r="U5371" s="1"/>
      <c r="V5371" s="1"/>
      <c r="W5371" s="1"/>
      <c r="X5371" s="1"/>
      <c r="Y5371" s="1"/>
      <c r="Z5371" s="1"/>
      <c r="AA5371" s="1"/>
      <c r="AB5371" s="1"/>
      <c r="AC5371" s="1"/>
      <c r="AD5371" s="1"/>
      <c r="AE5371" s="1"/>
      <c r="AF5371" s="1"/>
      <c r="AG5371" s="1"/>
      <c r="AH5371" s="1"/>
      <c r="AI5371" s="1"/>
      <c r="AJ5371" s="1"/>
      <c r="AK5371" s="1"/>
      <c r="AL5371" s="1"/>
      <c r="AM5371" s="1"/>
      <c r="AN5371" s="1"/>
      <c r="AO5371" s="1"/>
      <c r="AP5371" s="1"/>
      <c r="AQ5371" s="1"/>
      <c r="AR5371" s="1"/>
      <c r="AS5371" s="1"/>
      <c r="AT5371" s="1"/>
      <c r="AU5371" s="1"/>
      <c r="AV5371" s="1"/>
      <c r="AW5371" s="1"/>
      <c r="AX5371" s="1"/>
      <c r="AY5371" s="1"/>
      <c r="AZ5371" s="1"/>
      <c r="BA5371" s="1"/>
      <c r="BB5371" s="1"/>
    </row>
    <row r="5372" ht="204.75" customHeight="1">
      <c r="A5372" s="1">
        <v>2824.0</v>
      </c>
      <c r="B5372" s="2" t="s">
        <v>14849</v>
      </c>
      <c r="C5372" s="2">
        <f>IFERROR(__xludf.DUMMYFUNCTION("split(B5372,""_"")"),1404.0)</f>
        <v>1404</v>
      </c>
      <c r="D5372" s="2" t="str">
        <f>IFERROR(__xludf.DUMMYFUNCTION("""COMPUTED_VALUE"""),"TBS")</f>
        <v>TBS</v>
      </c>
      <c r="E5372" s="2" t="str">
        <f>IFERROR(__xludf.DUMMYFUNCTION("""COMPUTED_VALUE"""),"金22")</f>
        <v>金22</v>
      </c>
      <c r="F5372" s="2" t="s">
        <v>14850</v>
      </c>
      <c r="G5372" s="2" t="s">
        <v>14861</v>
      </c>
      <c r="H5372" s="1">
        <v>6.0</v>
      </c>
      <c r="J5372" s="1" t="s">
        <v>86</v>
      </c>
      <c r="K5372" s="2" t="s">
        <v>14862</v>
      </c>
      <c r="L5372" s="2"/>
      <c r="M5372" s="2" t="str">
        <f>IFERROR(__xludf.DUMMYFUNCTION("split(split(K5372,""【"",false),""公式LINE"",false)"),"父を死に追いやった薬を用意したのは、三浦直子（山本未來）というオペ看護師だった。彼女と磐台の15年に及ぶ秘められた関係…磐台による殺人の唯一の証拠を握る三浦に近づく明日美だが、直前でバレてしまい…焦る明日美は磐台の息子・悠真に接近。偽りのキスで彼の心を奪うが、悠真に好意を寄せる友人の美羽が目撃!!裏切られた彼女は、磐台の恐るべき陰謀に乗って…明日美の過去が暴かれる!!復讐計画、最大の危機ー!!!  水野 明日美…上野樹里  磐台 悠真…中村蒼  西門 優介…オダギリジョー  千原淳一…田中直樹  日向誠…"&amp;"尾美としのり  三浦直子…山本未來  　　　　○  水野 和史…中村梅雀  伊達 理沙…藤原紀香(特別出演）  　　　　○  蛭子雅人…六平直政  磐台 修一…岩城滉一  星野 美羽…栗山千明  有馬 毅…國村隼高橋優『太陽と花』■公式番組HP  http://www.tbs.co.jp/alice2014/    ■公式twitter  @alice_tbs  https://twitter.com/alice_tbs  ■公式facebook  https://www.facebook.com/ali"&amp;"ce2014.tbs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f>
        <v>父を死に追いやった薬を用意したのは、三浦直子（山本未來）というオペ看護師だった。彼女と磐台の15年に及ぶ秘められた関係…磐台による殺人の唯一の証拠を握る三浦に近づく明日美だが、直前でバレてしまい…焦る明日美は磐台の息子・悠真に接近。偽りのキスで彼の心を奪うが、悠真に好意を寄せる友人の美羽が目撃!!裏切られた彼女は、磐台の恐るべき陰謀に乗って…明日美の過去が暴かれる!!復讐計画、最大の危機ー!!!  水野 明日美…上野樹里  磐台 悠真…中村蒼  西門 優介…オダギリジョー  千原淳一…田中直樹  日向誠…尾美としのり  三浦直子…山本未來  　　　　○  水野 和史…中村梅雀  伊達 理沙…藤原紀香(特別出演）  　　　　○  蛭子雅人…六平直政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v>
      </c>
      <c r="N5372" s="2"/>
      <c r="O5372" s="2"/>
      <c r="P5372" s="1"/>
      <c r="Q5372" s="1"/>
      <c r="R5372" s="1"/>
      <c r="S5372" s="1"/>
      <c r="T5372" s="1"/>
      <c r="U5372" s="1"/>
      <c r="V5372" s="1"/>
      <c r="W5372" s="1"/>
      <c r="X5372" s="1"/>
      <c r="Y5372" s="1"/>
      <c r="Z5372" s="1"/>
      <c r="AA5372" s="1"/>
      <c r="AB5372" s="1"/>
      <c r="AC5372" s="1"/>
      <c r="AD5372" s="1"/>
      <c r="AE5372" s="1"/>
      <c r="AF5372" s="1"/>
      <c r="AG5372" s="1"/>
      <c r="AH5372" s="1"/>
      <c r="AI5372" s="1"/>
      <c r="AJ5372" s="1"/>
      <c r="AK5372" s="1"/>
      <c r="AL5372" s="1"/>
      <c r="AM5372" s="1"/>
      <c r="AN5372" s="1"/>
      <c r="AO5372" s="1"/>
      <c r="AP5372" s="1"/>
      <c r="AQ5372" s="1"/>
      <c r="AR5372" s="1"/>
      <c r="AS5372" s="1"/>
      <c r="AT5372" s="1"/>
      <c r="AU5372" s="1"/>
      <c r="AV5372" s="1"/>
      <c r="AW5372" s="1"/>
      <c r="AX5372" s="1"/>
      <c r="AY5372" s="1"/>
      <c r="AZ5372" s="1"/>
      <c r="BA5372" s="1"/>
      <c r="BB5372" s="1"/>
    </row>
    <row r="5373" ht="204.75" customHeight="1">
      <c r="A5373" s="1">
        <v>2825.0</v>
      </c>
      <c r="B5373" s="2" t="s">
        <v>14849</v>
      </c>
      <c r="C5373" s="2">
        <f>IFERROR(__xludf.DUMMYFUNCTION("split(B5373,""_"")"),1404.0)</f>
        <v>1404</v>
      </c>
      <c r="D5373" s="2" t="str">
        <f>IFERROR(__xludf.DUMMYFUNCTION("""COMPUTED_VALUE"""),"TBS")</f>
        <v>TBS</v>
      </c>
      <c r="E5373" s="2" t="str">
        <f>IFERROR(__xludf.DUMMYFUNCTION("""COMPUTED_VALUE"""),"金22")</f>
        <v>金22</v>
      </c>
      <c r="F5373" s="2" t="s">
        <v>14850</v>
      </c>
      <c r="G5373" s="2" t="s">
        <v>14863</v>
      </c>
      <c r="H5373" s="1">
        <v>7.0</v>
      </c>
      <c r="J5373" s="1" t="s">
        <v>86</v>
      </c>
      <c r="K5373" s="2" t="s">
        <v>14864</v>
      </c>
      <c r="L5373" s="2"/>
      <c r="M5373" s="2" t="str">
        <f>IFERROR(__xludf.DUMMYFUNCTION("split(split(K5373,""【"",false),""公式LINE"",false)"),"磐台に正体を暴かれ、父殺しの唯一の証拠も奪われた明日美。西門（オダギリジョー）の反対を振り切り、危険な賭けにー磐台と敵対関係にある移植外科の有馬教授（國村隼）に全てを打ち明け、協力を仰いだのだ。証拠を手に入れ、ついに明日美の復讐計画は完結するかーに思えた瞬間、明日美の元に追放したはずの女医・伊達（藤原紀香）が登場!!一つ一つが複雑に絡み合う怒涛の展開！瞬きする間もない大ドンデン返し!!水野 明日美…上野樹里  磐台 悠真…中村蒼  西門 優介…オダギリジョー  千原淳一…田中直樹  日向誠…尾美としのり "&amp;"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■公式"&amp;"YouTube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f>
        <v>磐台に正体を暴かれ、父殺しの唯一の証拠も奪われた明日美。西門（オダギリジョー）の反対を振り切り、危険な賭けにー磐台と敵対関係にある移植外科の有馬教授（國村隼）に全てを打ち明け、協力を仰いだのだ。証拠を手に入れ、ついに明日美の復讐計画は完結するかーに思えた瞬間、明日美の元に追放したはずの女医・伊達（藤原紀香）が登場!!一つ一つが複雑に絡み合う怒涛の展開！瞬きする間もない大ドンデン返し!!水野 明日美…上野樹里  磐台 悠真…中村蒼  西門 優介…オダギリジョー  千原淳一…田中直樹  日向誠…尾美としのり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v>
      </c>
      <c r="N5373" s="2"/>
      <c r="O5373" s="2"/>
      <c r="P5373" s="1"/>
      <c r="Q5373" s="1"/>
      <c r="R5373" s="1"/>
      <c r="S5373" s="1"/>
      <c r="T5373" s="1"/>
      <c r="U5373" s="1"/>
      <c r="V5373" s="1"/>
      <c r="W5373" s="1"/>
      <c r="X5373" s="1"/>
      <c r="Y5373" s="1"/>
      <c r="Z5373" s="1"/>
      <c r="AA5373" s="1"/>
      <c r="AB5373" s="1"/>
      <c r="AC5373" s="1"/>
      <c r="AD5373" s="1"/>
      <c r="AE5373" s="1"/>
      <c r="AF5373" s="1"/>
      <c r="AG5373" s="1"/>
      <c r="AH5373" s="1"/>
      <c r="AI5373" s="1"/>
      <c r="AJ5373" s="1"/>
      <c r="AK5373" s="1"/>
      <c r="AL5373" s="1"/>
      <c r="AM5373" s="1"/>
      <c r="AN5373" s="1"/>
      <c r="AO5373" s="1"/>
      <c r="AP5373" s="1"/>
      <c r="AQ5373" s="1"/>
      <c r="AR5373" s="1"/>
      <c r="AS5373" s="1"/>
      <c r="AT5373" s="1"/>
      <c r="AU5373" s="1"/>
      <c r="AV5373" s="1"/>
      <c r="AW5373" s="1"/>
      <c r="AX5373" s="1"/>
      <c r="AY5373" s="1"/>
      <c r="AZ5373" s="1"/>
      <c r="BA5373" s="1"/>
      <c r="BB5373" s="1"/>
    </row>
    <row r="5374" ht="204.75" customHeight="1">
      <c r="A5374" s="1">
        <v>2826.0</v>
      </c>
      <c r="B5374" s="2" t="s">
        <v>14849</v>
      </c>
      <c r="C5374" s="2">
        <f>IFERROR(__xludf.DUMMYFUNCTION("split(B5374,""_"")"),1404.0)</f>
        <v>1404</v>
      </c>
      <c r="D5374" s="2" t="str">
        <f>IFERROR(__xludf.DUMMYFUNCTION("""COMPUTED_VALUE"""),"TBS")</f>
        <v>TBS</v>
      </c>
      <c r="E5374" s="2" t="str">
        <f>IFERROR(__xludf.DUMMYFUNCTION("""COMPUTED_VALUE"""),"金22")</f>
        <v>金22</v>
      </c>
      <c r="F5374" s="2" t="s">
        <v>14850</v>
      </c>
      <c r="G5374" s="2" t="s">
        <v>14865</v>
      </c>
      <c r="H5374" s="1">
        <v>8.0</v>
      </c>
      <c r="J5374" s="1" t="s">
        <v>86</v>
      </c>
      <c r="K5374" s="2" t="s">
        <v>14866</v>
      </c>
      <c r="L5374" s="2"/>
      <c r="M5374" s="2" t="str">
        <f>IFERROR(__xludf.DUMMYFUNCTION("split(split(K5374,""【"",false),""公式LINE"",false)"),"明日美に復讐を企てた女医伊達（藤原紀香）から守るために犠牲になった悠真（中村蒼）。他人の人生を奪ってしまったことにショックを受けた明日美は復讐を断念する。一方、磐台からとある陰謀をリークしたいという連絡が西門に入るが…衝撃の事件が！そして、豹変した有馬が放つ、15年の時を越えた計画が明らかに！子供患者まで巻き込む残虐さに、明日美は再び復讐の炎を燃やす！！遂にシリーズ最大のクライマックス！！水野 明日美…上野樹里  磐台 悠真…中村蒼  西門 優介…オダギリジョー  千原淳一…田中直樹  日向誠…尾美としの"&amp;"り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■"&amp;"公式YouTube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f>
        <v>明日美に復讐を企てた女医伊達（藤原紀香）から守るために犠牲になった悠真（中村蒼）。他人の人生を奪ってしまったことにショックを受けた明日美は復讐を断念する。一方、磐台からとある陰謀をリークしたいという連絡が西門に入るが…衝撃の事件が！そして、豹変した有馬が放つ、15年の時を越えた計画が明らかに！子供患者まで巻き込む残虐さに、明日美は再び復讐の炎を燃やす！！遂にシリーズ最大のクライマックス！！水野 明日美…上野樹里  磐台 悠真…中村蒼  西門 優介…オダギリジョー  千原淳一…田中直樹  日向誠…尾美としのり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v>
      </c>
      <c r="N5374" s="2"/>
      <c r="O5374" s="2"/>
      <c r="P5374" s="1"/>
      <c r="Q5374" s="1"/>
      <c r="R5374" s="1"/>
      <c r="S5374" s="1"/>
      <c r="T5374" s="1"/>
      <c r="U5374" s="1"/>
      <c r="V5374" s="1"/>
      <c r="W5374" s="1"/>
      <c r="X5374" s="1"/>
      <c r="Y5374" s="1"/>
      <c r="Z5374" s="1"/>
      <c r="AA5374" s="1"/>
      <c r="AB5374" s="1"/>
      <c r="AC5374" s="1"/>
      <c r="AD5374" s="1"/>
      <c r="AE5374" s="1"/>
      <c r="AF5374" s="1"/>
      <c r="AG5374" s="1"/>
      <c r="AH5374" s="1"/>
      <c r="AI5374" s="1"/>
      <c r="AJ5374" s="1"/>
      <c r="AK5374" s="1"/>
      <c r="AL5374" s="1"/>
      <c r="AM5374" s="1"/>
      <c r="AN5374" s="1"/>
      <c r="AO5374" s="1"/>
      <c r="AP5374" s="1"/>
      <c r="AQ5374" s="1"/>
      <c r="AR5374" s="1"/>
      <c r="AS5374" s="1"/>
      <c r="AT5374" s="1"/>
      <c r="AU5374" s="1"/>
      <c r="AV5374" s="1"/>
      <c r="AW5374" s="1"/>
      <c r="AX5374" s="1"/>
      <c r="AY5374" s="1"/>
      <c r="AZ5374" s="1"/>
      <c r="BA5374" s="1"/>
      <c r="BB5374" s="1"/>
    </row>
    <row r="5375" ht="204.75" customHeight="1">
      <c r="A5375" s="1">
        <v>2827.0</v>
      </c>
      <c r="B5375" s="2" t="s">
        <v>14849</v>
      </c>
      <c r="C5375" s="2">
        <f>IFERROR(__xludf.DUMMYFUNCTION("split(B5375,""_"")"),1404.0)</f>
        <v>1404</v>
      </c>
      <c r="D5375" s="2" t="str">
        <f>IFERROR(__xludf.DUMMYFUNCTION("""COMPUTED_VALUE"""),"TBS")</f>
        <v>TBS</v>
      </c>
      <c r="E5375" s="2" t="str">
        <f>IFERROR(__xludf.DUMMYFUNCTION("""COMPUTED_VALUE"""),"金22")</f>
        <v>金22</v>
      </c>
      <c r="F5375" s="2" t="s">
        <v>14850</v>
      </c>
      <c r="G5375" s="2" t="s">
        <v>14867</v>
      </c>
      <c r="H5375" s="1">
        <v>9.0</v>
      </c>
      <c r="J5375" s="1" t="s">
        <v>86</v>
      </c>
      <c r="K5375" s="2" t="s">
        <v>14868</v>
      </c>
      <c r="L5375" s="2"/>
      <c r="M5375" s="2" t="str">
        <f>IFERROR(__xludf.DUMMYFUNCTION("split(split(K5375,""【"",false),""公式LINE"",false)"),"自分の娘を助けるため、幼い患者健太から腎臓を奪う恐怖の計画を立てる有馬（國村隼）。明日美は有馬の計画を阻止しようとするが、告発するための証拠が何一つなく、犯人に仕立て上げられてしまう。そこで、西門と協力して有馬の15年前の不正な移植手術について調べることにする。そこには、「衝撃の真実」が隠されていた!!誰も想像しなかったクライマックスーそれは、明日美と西門の絆を引き裂く最も残酷な終焉だった。娘に移植するため、幼い患者から腎臓を奪う恐怖の計画…有馬の15年前の不正な移植手術を調べる明日美と西門は、衝撃の真実"&amp;"に辿り着く！それは二人の絆を引き裂く残酷な過去ー水野 明日美・・・上野樹里  磐台 悠真・・・中村蒼  西門 優介・・・オダギリジョー  千原淳一・・・田中直樹  日向誠・・・尾美としのり  　　　　　　　○  水野 和史・・・中村梅雀  伊達 理沙・・・藤原紀香(特別出演）  　　　　　　　○  蛭子雅人・・・六平直政  磐台 修一・・・岩城滉一  星野 美羽・・・栗山千明  有馬 毅・・・國村隼高橋優『太陽と花』■公式番組HP  http://www.tbs.co.jp/alice2014/    ■"&amp;"公式twitter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監督：塚原あゆ子、渡瀬暁彦、平野俊一番組の内容と放送時間は変更になる場合"&amp;"があります。")</f>
        <v>自分の娘を助けるため、幼い患者健太から腎臓を奪う恐怖の計画を立てる有馬（國村隼）。明日美は有馬の計画を阻止しようとするが、告発するための証拠が何一つなく、犯人に仕立て上げられてしまう。そこで、西門と協力して有馬の15年前の不正な移植手術について調べることにする。そこには、「衝撃の真実」が隠されていた!!誰も想像しなかったクライマックスーそれは、明日美と西門の絆を引き裂く最も残酷な終焉だった。娘に移植するため、幼い患者から腎臓を奪う恐怖の計画…有馬の15年前の不正な移植手術を調べる明日美と西門は、衝撃の真実に辿り着く！それは二人の絆を引き裂く残酷な過去ー水野 明日美・・・上野樹里  磐台 悠真・・・中村蒼  西門 優介・・・オダギリジョー  千原淳一・・・田中直樹  日向誠・・・尾美としのり  　　　　　　　○  水野 和史・・・中村梅雀  伊達 理沙・・・藤原紀香(特別出演）  　　　　　　　○  蛭子雅人・・・六平直政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v>
      </c>
      <c r="N5375" s="2"/>
      <c r="O5375" s="2"/>
      <c r="P5375" s="1"/>
      <c r="Q5375" s="1"/>
      <c r="R5375" s="1"/>
      <c r="S5375" s="1"/>
      <c r="T5375" s="1"/>
      <c r="U5375" s="1"/>
      <c r="V5375" s="1"/>
      <c r="W5375" s="1"/>
      <c r="X5375" s="1"/>
      <c r="Y5375" s="1"/>
      <c r="Z5375" s="1"/>
      <c r="AA5375" s="1"/>
      <c r="AB5375" s="1"/>
      <c r="AC5375" s="1"/>
      <c r="AD5375" s="1"/>
      <c r="AE5375" s="1"/>
      <c r="AF5375" s="1"/>
      <c r="AG5375" s="1"/>
      <c r="AH5375" s="1"/>
      <c r="AI5375" s="1"/>
      <c r="AJ5375" s="1"/>
      <c r="AK5375" s="1"/>
      <c r="AL5375" s="1"/>
      <c r="AM5375" s="1"/>
      <c r="AN5375" s="1"/>
      <c r="AO5375" s="1"/>
      <c r="AP5375" s="1"/>
      <c r="AQ5375" s="1"/>
      <c r="AR5375" s="1"/>
      <c r="AS5375" s="1"/>
      <c r="AT5375" s="1"/>
      <c r="AU5375" s="1"/>
      <c r="AV5375" s="1"/>
      <c r="AW5375" s="1"/>
      <c r="AX5375" s="1"/>
      <c r="AY5375" s="1"/>
      <c r="AZ5375" s="1"/>
      <c r="BA5375" s="1"/>
      <c r="BB5375" s="1"/>
    </row>
    <row r="5376" ht="204.75" customHeight="1">
      <c r="A5376" s="1">
        <v>2828.0</v>
      </c>
      <c r="B5376" s="2" t="s">
        <v>14849</v>
      </c>
      <c r="C5376" s="2">
        <f>IFERROR(__xludf.DUMMYFUNCTION("split(B5376,""_"")"),1404.0)</f>
        <v>1404</v>
      </c>
      <c r="D5376" s="2" t="str">
        <f>IFERROR(__xludf.DUMMYFUNCTION("""COMPUTED_VALUE"""),"TBS")</f>
        <v>TBS</v>
      </c>
      <c r="E5376" s="2" t="str">
        <f>IFERROR(__xludf.DUMMYFUNCTION("""COMPUTED_VALUE"""),"金22")</f>
        <v>金22</v>
      </c>
      <c r="F5376" s="2" t="s">
        <v>14850</v>
      </c>
      <c r="G5376" s="2" t="s">
        <v>14869</v>
      </c>
      <c r="H5376" s="1">
        <v>10.0</v>
      </c>
      <c r="J5376" s="1" t="s">
        <v>86</v>
      </c>
      <c r="K5376" s="2" t="s">
        <v>14870</v>
      </c>
      <c r="L5376" s="2"/>
      <c r="M5376" s="2" t="str">
        <f>IFERROR(__xludf.DUMMYFUNCTION("split(split(K5376,""【"",false),""公式LINE"",false)"),"有馬を殺そうとする西門を止めるため、明日美は空港へ急いだが…番組スタート直後、予想外の展開が彼女を襲う！果たして父の死の裏にある「真実」と、全てを操る「黒幕」の正体とは！？そして…全ての謎を握る最後の復讐相手が明らかになった時ー知ってはいけない禍々しい真実に、明日美は！？父を殺したのは誰か？手術記録を送ったのは誰か？そして西門の本当の姿とは？15年間の時をかけた謎と史上最大の復讐計画が今夜、完結！水野 明日美…上野樹里  磐台 悠真…中村蒼  西門 優介…オダギリジョー  千原淳一…田中直樹  日向誠…尾"&amp;"美としのり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https://www.facebook.com/alice2014.tb"&amp;"s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f>
        <v>有馬を殺そうとする西門を止めるため、明日美は空港へ急いだが…番組スタート直後、予想外の展開が彼女を襲う！果たして父の死の裏にある「真実」と、全てを操る「黒幕」の正体とは！？そして…全ての謎を握る最後の復讐相手が明らかになった時ー知ってはいけない禍々しい真実に、明日美は！？父を殺したのは誰か？手術記録を送ったのは誰か？そして西門の本当の姿とは？15年間の時をかけた謎と史上最大の復讐計画が今夜、完結！水野 明日美…上野樹里  磐台 悠真…中村蒼  西門 優介…オダギリジョー  千原淳一…田中直樹  日向誠…尾美としのり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v>
      </c>
      <c r="N5376" s="2"/>
      <c r="O5376" s="2"/>
      <c r="P5376" s="1"/>
      <c r="Q5376" s="1"/>
      <c r="R5376" s="1"/>
      <c r="S5376" s="1"/>
      <c r="T5376" s="1"/>
      <c r="U5376" s="1"/>
      <c r="V5376" s="1"/>
      <c r="W5376" s="1"/>
      <c r="X5376" s="1"/>
      <c r="Y5376" s="1"/>
      <c r="Z5376" s="1"/>
      <c r="AA5376" s="1"/>
      <c r="AB5376" s="1"/>
      <c r="AC5376" s="1"/>
      <c r="AD5376" s="1"/>
      <c r="AE5376" s="1"/>
      <c r="AF5376" s="1"/>
      <c r="AG5376" s="1"/>
      <c r="AH5376" s="1"/>
      <c r="AI5376" s="1"/>
      <c r="AJ5376" s="1"/>
      <c r="AK5376" s="1"/>
      <c r="AL5376" s="1"/>
      <c r="AM5376" s="1"/>
      <c r="AN5376" s="1"/>
      <c r="AO5376" s="1"/>
      <c r="AP5376" s="1"/>
      <c r="AQ5376" s="1"/>
      <c r="AR5376" s="1"/>
      <c r="AS5376" s="1"/>
      <c r="AT5376" s="1"/>
      <c r="AU5376" s="1"/>
      <c r="AV5376" s="1"/>
      <c r="AW5376" s="1"/>
      <c r="AX5376" s="1"/>
      <c r="AY5376" s="1"/>
      <c r="AZ5376" s="1"/>
      <c r="BA5376" s="1"/>
      <c r="BB5376" s="1"/>
    </row>
    <row r="5377" ht="204.75" customHeight="1">
      <c r="A5377" s="1">
        <v>2859.0</v>
      </c>
      <c r="B5377" s="2" t="s">
        <v>14871</v>
      </c>
      <c r="C5377" s="2">
        <f>IFERROR(__xludf.DUMMYFUNCTION("split(B5377,""_"")"),1404.0)</f>
        <v>1404</v>
      </c>
      <c r="D5377" s="2" t="str">
        <f>IFERROR(__xludf.DUMMYFUNCTION("""COMPUTED_VALUE"""),"TBS")</f>
        <v>TBS</v>
      </c>
      <c r="E5377" s="2" t="str">
        <f>IFERROR(__xludf.DUMMYFUNCTION("""COMPUTED_VALUE"""),"日21")</f>
        <v>日21</v>
      </c>
      <c r="F5377" s="2" t="s">
        <v>14872</v>
      </c>
      <c r="G5377" s="2" t="s">
        <v>14873</v>
      </c>
      <c r="H5377" s="1">
        <v>1.0</v>
      </c>
      <c r="J5377" s="1" t="s">
        <v>4</v>
      </c>
      <c r="K5377" s="2" t="s">
        <v>14874</v>
      </c>
      <c r="L5377" s="2"/>
      <c r="M5377" s="2" t="str">
        <f>IFERROR(__xludf.DUMMYFUNCTION("split(split(K5377,""【"",false),""公式LINE"",false)"),"ヘッドハンティングされた社長・細川（唐沢寿明）と、生え抜きの専務・笹井（江口洋介）は対立！  そんな青島製作所は倒産の危機に陥っていた。青島製作所を買収しよと狙う・大手のジャパニクスの諸田社長（香川照之）は、イツワ電気者坂東社長（立川談春）と揺さぶりをかける。  銀行の融資を受けて倒産から会社を守るため、細川社長は社会人野球部の廃部を決断するが、その野球部は創業者の青島会長（山崎努）の肝入りだった…工藤公康（元プロ野球選手）の息子・工藤阿須加が、エース役として大抜擢！  元フジテレビアナウンサー・平井理央"&amp;"、本格女優デビュー！！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青島（会長）…山崎努唐沢寿明vs江口洋介10年ぶ"&amp;"りの対決！シーン映像初公開！動画公開しました！  http://youtu.be/T9cfPMmJP5Y  （春ドラマ）1分で分かる！4/27スタート　日曜劇場『ルーズヴェルト・ゲーム』動画公開しました！  http://youtu.be/eXBaISevXXw  和田正人が撮影裏を初レポート！日曜劇場『ルーズヴェルト・ゲーム』番外編スタート　動画公開しました！  http://youtu.be/a86-GSPYHg0  入社式に唐沢寿明登場！新入社員に贈った熱いエールとダメ出し！？動画公開しました！  "&amp;"http://youtu.be/TIpfiZcdQYo  和田正人が「球場」から1分リポート！「七転び八起き」2動画公開しました！  http://youtu.be/YEgqVm2ZME4  雑魚ダナ～！和田正人が試合直前の暴言レポ!？4/27日曜劇場『ルーズヴェルト・ゲーム』番外編　動画公開しました！  http://youtu.be/kzVZNEMzYLo  監督…福澤克雄  脚本…八津弘幸  音楽…服部隆之  ナレーション…山根基世  プロデューサー…伊與田英徳◇番組HP  http://www.t"&amp;"bs.co.jp/ROOSEVELT_GAME/  ◇ツイッター  @ROOSEVELT_GAME  https://twitter.com/ROOSEVELT_GAME◇フェイスブック  https://www.facebook.com/ROOSEVELT.GAME  番組の内容と放送時間は、変更になる場合があります。")</f>
        <v>ヘッドハンティングされた社長・細川（唐沢寿明）と、生え抜きの専務・笹井（江口洋介）は対立！  そんな青島製作所は倒産の危機に陥っていた。青島製作所を買収しよと狙う・大手のジャパニクスの諸田社長（香川照之）は、イツワ電気者坂東社長（立川談春）と揺さぶりをかける。  銀行の融資を受けて倒産から会社を守るため、細川社長は社会人野球部の廃部を決断するが、その野球部は創業者の青島会長（山崎努）の肝入りだった…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青島（会長）…山崎努唐沢寿明vs江口洋介10年ぶりの対決！シーン映像初公開！動画公開しました！  http://youtu.be/T9cfPMmJP5Y  （春ドラマ）1分で分かる！4/27スタート　日曜劇場『ルーズヴェルト・ゲーム』動画公開しました！  http://youtu.be/eXBaISevXXw  和田正人が撮影裏を初レポート！日曜劇場『ルーズヴェルト・ゲーム』番外編スタート　動画公開しました！  http://youtu.be/a86-GSPYHg0  入社式に唐沢寿明登場！新入社員に贈った熱いエールとダメ出し！？動画公開しました！  http://youtu.be/TIpfiZcdQYo  和田正人が「球場」から1分リポート！「七転び八起き」2動画公開しました！  http://youtu.be/YEgqVm2ZME4  雑魚ダナ～！和田正人が試合直前の暴言レポ!？4/27日曜劇場『ルーズヴェルト・ゲーム』番外編　動画公開しました！  http://youtu.be/kzVZNEMzYLo  監督…福澤克雄  脚本…八津弘幸  音楽…服部隆之  ナレーション…山根基世  プロデューサー…伊與田英徳◇番組HP  http://www.tbs.co.jp/ROOSEVELT_GAME/  ◇ツイッター  @ROOSEVELT_GAME  https://twitter.com/ROOSEVELT_GAME◇フェイスブック  https://www.facebook.com/ROOSEVELT.GAME  番組の内容と放送時間は、変更になる場合があります。</v>
      </c>
      <c r="N5377" s="2"/>
      <c r="O5377" s="2"/>
      <c r="P5377" s="1"/>
      <c r="Q5377" s="1"/>
      <c r="R5377" s="1"/>
      <c r="S5377" s="1"/>
      <c r="T5377" s="1"/>
      <c r="U5377" s="1"/>
      <c r="V5377" s="1"/>
      <c r="W5377" s="1"/>
      <c r="X5377" s="1"/>
      <c r="Y5377" s="1"/>
      <c r="Z5377" s="1"/>
      <c r="AA5377" s="1"/>
      <c r="AB5377" s="1"/>
      <c r="AC5377" s="1"/>
      <c r="AD5377" s="1"/>
      <c r="AE5377" s="1"/>
      <c r="AF5377" s="1"/>
      <c r="AG5377" s="1"/>
      <c r="AH5377" s="1"/>
      <c r="AI5377" s="1"/>
      <c r="AJ5377" s="1"/>
      <c r="AK5377" s="1"/>
      <c r="AL5377" s="1"/>
      <c r="AM5377" s="1"/>
      <c r="AN5377" s="1"/>
      <c r="AO5377" s="1"/>
      <c r="AP5377" s="1"/>
      <c r="AQ5377" s="1"/>
      <c r="AR5377" s="1"/>
      <c r="AS5377" s="1"/>
      <c r="AT5377" s="1"/>
      <c r="AU5377" s="1"/>
      <c r="AV5377" s="1"/>
      <c r="AW5377" s="1"/>
      <c r="AX5377" s="1"/>
      <c r="AY5377" s="1"/>
      <c r="AZ5377" s="1"/>
      <c r="BA5377" s="1"/>
      <c r="BB5377" s="1"/>
    </row>
    <row r="5378" ht="204.75" customHeight="1">
      <c r="A5378" s="1">
        <v>2860.0</v>
      </c>
      <c r="B5378" s="2" t="s">
        <v>14871</v>
      </c>
      <c r="C5378" s="2">
        <f>IFERROR(__xludf.DUMMYFUNCTION("split(B5378,""_"")"),1404.0)</f>
        <v>1404</v>
      </c>
      <c r="D5378" s="2" t="str">
        <f>IFERROR(__xludf.DUMMYFUNCTION("""COMPUTED_VALUE"""),"TBS")</f>
        <v>TBS</v>
      </c>
      <c r="E5378" s="2" t="str">
        <f>IFERROR(__xludf.DUMMYFUNCTION("""COMPUTED_VALUE"""),"日21")</f>
        <v>日21</v>
      </c>
      <c r="F5378" s="2" t="s">
        <v>14872</v>
      </c>
      <c r="G5378" s="2" t="s">
        <v>14875</v>
      </c>
      <c r="H5378" s="1">
        <v>2.0</v>
      </c>
      <c r="J5378" s="1" t="s">
        <v>11</v>
      </c>
      <c r="K5378" s="2" t="s">
        <v>14876</v>
      </c>
      <c r="L5378" s="2"/>
      <c r="M5378" s="2" t="str">
        <f>IFERROR(__xludf.DUMMYFUNCTION("split(split(K5378,""【"",false),""公式LINE"",false)"),"ヘッドハンティングされた社長・細川（唐沢寿明）と、生え抜きの専務・笹井（江口洋介）は対立！そんな青島製作所は倒産の危機に陥っていた。青島製作所を買収しようと狙う・大手のジャパニクスの諸田社長（香川照之）は、イツワ電気者坂東社長（立川談春）と揺さぶりをかける。  細川社長は社会人野球部の廃部を決断するが、野球部は創業者の青島会長（山崎努）の肝入りだった…そして社長を陥れるため足の引っ張り合いが始まる工藤公康（元プロ野球選手）の息子・工藤阿須加が、エース役として大抜擢！  元フジテレビアナウンサー・平井理央、"&amp;"本格女優デビュー！！  坂東三津五郎、テレビドラマで復帰！！！細川（社長）…唐沢寿明  有紗（秘書）…檀れい  三上（部長）…石丸幹二  朝比奈（部長）…六角精児  大道監督…手塚とおる  豊岡（部長）…児島一哉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脚本…八津弘"&amp;"幸  音楽…服部隆之  ナレーション…山根基世  プロデューサー…伊與田英徳◇番組HP  http://www.tbs.co.jp/ROOSEVELT_GAME/  ◇ツイッター  @ROOSEVELT_GAME  https://twitter.com/ROOSEVELT_GAME◇フェイスブック  https://www.facebook.com/ROOSEVELT.GAME  和田正人、「青島製作所」社屋から裏側リポート！4/27日曜劇場『ルーズヴェルト・ゲーム』番外編動画公開しました！  http"&amp;"://youtu.be/77aXOmZ9KnM  和田正人が「試写会」に乱入!？1分レポ動画公開しました！  http://youtu.be/qIe1KeyOyR4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ヘッドハンティングされた社長・細川（唐沢寿明）と、生え抜きの専務・笹井（江口洋介）は対立！そんな青島製作所は倒産の危機に陥っていた。青島製作所を買収しようと狙う・大手のジャパニクスの諸田社長（香川照之）は、イツワ電気者坂東社長（立川談春）と揺さぶりをかける。  細川社長は社会人野球部の廃部を決断するが、野球部は創業者の青島会長（山崎努）の肝入りだった…そして社長を陥れるため足の引っ張り合いが始まる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豊岡（部長）…児島一哉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和田正人、「青島製作所」社屋から裏側リポート！4/27日曜劇場『ルーズヴェルト・ゲーム』番外編動画公開しました！  http://youtu.be/77aXOmZ9KnM  和田正人が「試写会」に乱入!？1分レポ動画公開しました！  http://youtu.be/qIe1KeyOyR4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78" s="2"/>
      <c r="O5378" s="2"/>
      <c r="P5378" s="1"/>
      <c r="Q5378" s="1"/>
      <c r="R5378" s="1"/>
      <c r="S5378" s="1"/>
      <c r="T5378" s="1"/>
      <c r="U5378" s="1"/>
      <c r="V5378" s="1"/>
      <c r="W5378" s="1"/>
      <c r="X5378" s="1"/>
      <c r="Y5378" s="1"/>
      <c r="Z5378" s="1"/>
      <c r="AA5378" s="1"/>
      <c r="AB5378" s="1"/>
      <c r="AC5378" s="1"/>
      <c r="AD5378" s="1"/>
      <c r="AE5378" s="1"/>
      <c r="AF5378" s="1"/>
      <c r="AG5378" s="1"/>
      <c r="AH5378" s="1"/>
      <c r="AI5378" s="1"/>
      <c r="AJ5378" s="1"/>
      <c r="AK5378" s="1"/>
      <c r="AL5378" s="1"/>
      <c r="AM5378" s="1"/>
      <c r="AN5378" s="1"/>
      <c r="AO5378" s="1"/>
      <c r="AP5378" s="1"/>
      <c r="AQ5378" s="1"/>
      <c r="AR5378" s="1"/>
      <c r="AS5378" s="1"/>
      <c r="AT5378" s="1"/>
      <c r="AU5378" s="1"/>
      <c r="AV5378" s="1"/>
      <c r="AW5378" s="1"/>
      <c r="AX5378" s="1"/>
      <c r="AY5378" s="1"/>
      <c r="AZ5378" s="1"/>
      <c r="BA5378" s="1"/>
      <c r="BB5378" s="1"/>
    </row>
    <row r="5379" ht="204.75" customHeight="1">
      <c r="A5379" s="1">
        <v>2861.0</v>
      </c>
      <c r="B5379" s="2" t="s">
        <v>14871</v>
      </c>
      <c r="C5379" s="2">
        <f>IFERROR(__xludf.DUMMYFUNCTION("split(B5379,""_"")"),1404.0)</f>
        <v>1404</v>
      </c>
      <c r="D5379" s="2" t="str">
        <f>IFERROR(__xludf.DUMMYFUNCTION("""COMPUTED_VALUE"""),"TBS")</f>
        <v>TBS</v>
      </c>
      <c r="E5379" s="2" t="str">
        <f>IFERROR(__xludf.DUMMYFUNCTION("""COMPUTED_VALUE"""),"日21")</f>
        <v>日21</v>
      </c>
      <c r="F5379" s="2" t="s">
        <v>14872</v>
      </c>
      <c r="G5379" s="2" t="s">
        <v>14877</v>
      </c>
      <c r="H5379" s="1">
        <v>3.0</v>
      </c>
      <c r="J5379" s="1" t="s">
        <v>4</v>
      </c>
      <c r="K5379" s="2" t="s">
        <v>14878</v>
      </c>
      <c r="L5379" s="2"/>
      <c r="M5379" s="2" t="str">
        <f>IFERROR(__xludf.DUMMYFUNCTION("split(split(K5379,""【"",false),""公式LINE"",false)"),"ヘッドハンティングされた社長・細川（唐沢寿明）と、生え抜きの専務・笹井（江口洋介）は対立！  そんな青島製作所はついに倒産か…。青島製作所を買収しようと狙う・大手のジャパニクスの諸田社長（香川照之）は、イツワ電器の坂東社長（立川談春）と青島を訴えた！！  細川社長は社会人野球部の廃部を決断するが、野球部は創業者の青島会長（山崎努）の肝入りだった…そして、社長を陥れるため足の引っ張り合いが始まる…工藤公康（元プロ野球選手）の息子・工藤阿須加が、エース役として大抜擢！  元フジテレビアナウンサー・平井理央、本"&amp;"格女優デビュー！！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脚本…八津弘幸"&amp;"  音楽…服部隆之  ナレーション…山根基世  プロデューサー…伊與田英徳◇番組HP  http://www.tbs.co.jp/ROOSEVELT_GAME/  ◇ツイッター  @ROOSEVELT_GAME  https://twitter.com/ROOSEVELT_GAME◇フェイスブック  https://www.facebook.com/ROOSEVELT.GAME  崖っぷちの野球部の前に...新たな罠...『ルーズヴェルト・ゲーム』第1～2話（5/4）ダイジェスト動画公開しました！  ht"&amp;"tp://youtu.be/Hq7oS_4VyIg  和田正人がグラウンドで「走るレポ」!？日曜21時『ルーズヴェルト・ゲーム』番外編動画公開しました！  http://youtu.be/dVNEr4mm5xg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ヘッドハンティングされた社長・細川（唐沢寿明）と、生え抜きの専務・笹井（江口洋介）は対立！  そんな青島製作所はついに倒産か…。青島製作所を買収しようと狙う・大手のジャパニクスの諸田社長（香川照之）は、イツワ電器の坂東社長（立川談春）と青島を訴えた！！  細川社長は社会人野球部の廃部を決断するが、野球部は創業者の青島会長（山崎努）の肝入りだった…そして、社長を陥れるため足の引っ張り合いが始まる…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崖っぷちの野球部の前に...新たな罠...『ルーズヴェルト・ゲーム』第1～2話（5/4）ダイジェスト動画公開しました！  http://youtu.be/Hq7oS_4VyIg  和田正人がグラウンドで「走るレポ」!？日曜21時『ルーズヴェルト・ゲーム』番外編動画公開しました！  http://youtu.be/dVNEr4mm5xg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79" s="2"/>
      <c r="O5379" s="2"/>
      <c r="P5379" s="1"/>
      <c r="Q5379" s="1"/>
      <c r="R5379" s="1"/>
      <c r="S5379" s="1"/>
      <c r="T5379" s="1"/>
      <c r="U5379" s="1"/>
      <c r="V5379" s="1"/>
      <c r="W5379" s="1"/>
      <c r="X5379" s="1"/>
      <c r="Y5379" s="1"/>
      <c r="Z5379" s="1"/>
      <c r="AA5379" s="1"/>
      <c r="AB5379" s="1"/>
      <c r="AC5379" s="1"/>
      <c r="AD5379" s="1"/>
      <c r="AE5379" s="1"/>
      <c r="AF5379" s="1"/>
      <c r="AG5379" s="1"/>
      <c r="AH5379" s="1"/>
      <c r="AI5379" s="1"/>
      <c r="AJ5379" s="1"/>
      <c r="AK5379" s="1"/>
      <c r="AL5379" s="1"/>
      <c r="AM5379" s="1"/>
      <c r="AN5379" s="1"/>
      <c r="AO5379" s="1"/>
      <c r="AP5379" s="1"/>
      <c r="AQ5379" s="1"/>
      <c r="AR5379" s="1"/>
      <c r="AS5379" s="1"/>
      <c r="AT5379" s="1"/>
      <c r="AU5379" s="1"/>
      <c r="AV5379" s="1"/>
      <c r="AW5379" s="1"/>
      <c r="AX5379" s="1"/>
      <c r="AY5379" s="1"/>
      <c r="AZ5379" s="1"/>
      <c r="BA5379" s="1"/>
      <c r="BB5379" s="1"/>
    </row>
    <row r="5380" ht="204.75" customHeight="1">
      <c r="A5380" s="1">
        <v>2862.0</v>
      </c>
      <c r="B5380" s="2" t="s">
        <v>14871</v>
      </c>
      <c r="C5380" s="2">
        <f>IFERROR(__xludf.DUMMYFUNCTION("split(B5380,""_"")"),1404.0)</f>
        <v>1404</v>
      </c>
      <c r="D5380" s="2" t="str">
        <f>IFERROR(__xludf.DUMMYFUNCTION("""COMPUTED_VALUE"""),"TBS")</f>
        <v>TBS</v>
      </c>
      <c r="E5380" s="2" t="str">
        <f>IFERROR(__xludf.DUMMYFUNCTION("""COMPUTED_VALUE"""),"日21")</f>
        <v>日21</v>
      </c>
      <c r="F5380" s="2" t="s">
        <v>14872</v>
      </c>
      <c r="G5380" s="2" t="s">
        <v>14879</v>
      </c>
      <c r="H5380" s="1">
        <v>4.0</v>
      </c>
      <c r="J5380" s="1" t="s">
        <v>11</v>
      </c>
      <c r="K5380" s="2" t="s">
        <v>14880</v>
      </c>
      <c r="L5380" s="2"/>
      <c r="M5380" s="2" t="str">
        <f>IFERROR(__xludf.DUMMYFUNCTION("split(split(K5380,""【"",false),""公式LINE"",false)"),"倒産の危機に陥った社長・細川（唐沢寿明）と、青島製作所を買収しよと狙う・大手のジャパニクスの諸田社長（香川照之）の大バトルが繰り広げられる。絶対絶命にピンチの細川は大逆転できるのか？  一方、150キロピッチャーの沖原は、自分を陥れた先輩如月にまたしても苦しめられる。会社、野球、ともに、坂東社長（立川談春）のイツワ電器に苦しめられる。果たして青島の運命は？？？工藤公康（元プロ野球選手）の息子・工藤阿須加が、エース役として大抜擢！  元フジテレビアナウンサー・平井理央、本格女優デビュー！！  坂東三津五郎、"&amp;"テレビドラマで復帰！！！細川（社長）…唐沢寿明  有紗（秘書）…檀れい  三上（部長）…石丸幹二  朝比奈（部長）…六角精児  大道監督…手塚とおる  豊岡（部長）…児島一哉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ナレーション…"&amp;"山根基世  プロデューサー…伊與田英徳◇番組HP  http://www.tbs.co.jp/ROOSEVELT_GAME/  ◇ツイッター  @ROOSEVELT_GAME  https://twitter.com/ROOSEVELT_GAME◇フェイスブック  https://www.facebook.com/ROOSEVELT.GAME  更なる試練が襲い掛かる細川！野球部にも...！『ルーズヴェルト・ゲーム』第3話（5/11）までダイジェスト動画公開しました！  http://youtu.be/V"&amp;"qDX7AvK5uk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倒産の危機に陥った社長・細川（唐沢寿明）と、青島製作所を買収しよと狙う・大手のジャパニクスの諸田社長（香川照之）の大バトルが繰り広げられる。絶対絶命にピンチの細川は大逆転できるのか？  一方、150キロピッチャーの沖原は、自分を陥れた先輩如月にまたしても苦しめられる。会社、野球、ともに、坂東社長（立川談春）のイツワ電器に苦しめられる。果たして青島の運命は？？？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豊岡（部長）…児島一哉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更なる試練が襲い掛かる細川！野球部にも...！『ルーズヴェルト・ゲーム』第3話（5/11）までダイジェスト動画公開しました！  http://youtu.be/VqDX7AvK5uk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80" s="2"/>
      <c r="O5380" s="2"/>
      <c r="P5380" s="1"/>
      <c r="Q5380" s="1"/>
      <c r="R5380" s="1"/>
      <c r="S5380" s="1"/>
      <c r="T5380" s="1"/>
      <c r="U5380" s="1"/>
      <c r="V5380" s="1"/>
      <c r="W5380" s="1"/>
      <c r="X5380" s="1"/>
      <c r="Y5380" s="1"/>
      <c r="Z5380" s="1"/>
      <c r="AA5380" s="1"/>
      <c r="AB5380" s="1"/>
      <c r="AC5380" s="1"/>
      <c r="AD5380" s="1"/>
      <c r="AE5380" s="1"/>
      <c r="AF5380" s="1"/>
      <c r="AG5380" s="1"/>
      <c r="AH5380" s="1"/>
      <c r="AI5380" s="1"/>
      <c r="AJ5380" s="1"/>
      <c r="AK5380" s="1"/>
      <c r="AL5380" s="1"/>
      <c r="AM5380" s="1"/>
      <c r="AN5380" s="1"/>
      <c r="AO5380" s="1"/>
      <c r="AP5380" s="1"/>
      <c r="AQ5380" s="1"/>
      <c r="AR5380" s="1"/>
      <c r="AS5380" s="1"/>
      <c r="AT5380" s="1"/>
      <c r="AU5380" s="1"/>
      <c r="AV5380" s="1"/>
      <c r="AW5380" s="1"/>
      <c r="AX5380" s="1"/>
      <c r="AY5380" s="1"/>
      <c r="AZ5380" s="1"/>
      <c r="BA5380" s="1"/>
      <c r="BB5380" s="1"/>
    </row>
    <row r="5381" ht="204.75" customHeight="1">
      <c r="A5381" s="1">
        <v>2863.0</v>
      </c>
      <c r="B5381" s="2" t="s">
        <v>14871</v>
      </c>
      <c r="C5381" s="2">
        <f>IFERROR(__xludf.DUMMYFUNCTION("split(B5381,""_"")"),1404.0)</f>
        <v>1404</v>
      </c>
      <c r="D5381" s="2" t="str">
        <f>IFERROR(__xludf.DUMMYFUNCTION("""COMPUTED_VALUE"""),"TBS")</f>
        <v>TBS</v>
      </c>
      <c r="E5381" s="2" t="str">
        <f>IFERROR(__xludf.DUMMYFUNCTION("""COMPUTED_VALUE"""),"日21")</f>
        <v>日21</v>
      </c>
      <c r="F5381" s="2" t="s">
        <v>14872</v>
      </c>
      <c r="G5381" s="2" t="s">
        <v>14881</v>
      </c>
      <c r="H5381" s="1">
        <v>5.0</v>
      </c>
      <c r="I5381" s="1"/>
      <c r="J5381" s="1" t="s">
        <v>11</v>
      </c>
      <c r="K5381" s="2" t="s">
        <v>14882</v>
      </c>
      <c r="L5381" s="2"/>
      <c r="M5381" s="2" t="str">
        <f>IFERROR(__xludf.DUMMYFUNCTION("split(split(K5381,""【"",false),""公式LINE"",false)"),"青島製作所はついに倒産か…そんなどん底の青島に甘い囁きが。イツワ電器の坂東社長（立川談春）が青島との合併を申し出たのだ。今まで、価格競争をけしかけたり、訴えたりしてきたのは、この合併に導くための罠だった。  一方、野球部も予選でイツワ電器と戦うことになる！　経営と野球！奇しくも同じ相手と死闘を繰り広げる。果たして、勝利の女神はどちらに微笑むのか…？　150キロピッチャー沖原の勇気がドラマを変える！工藤公康（元プロ野球選手）の息子・工藤阿須加が、エース役として大抜擢！  元フジテレビアナウンサー・平井理央、"&amp;"本格女優デビュー！！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脚本…八津弘"&amp;"幸  音楽…服部隆之  ナレーション…山根基世  プロデューサー…伊與田英徳◇番組HP  http://www.tbs.co.jp/ROOSEVELT_GAME/  ◇ツイッター  @ROOSEVELT_GAME  https://twitter.com/ROOSEVELT_GAME◇フェイスブック  https://www.facebook.com/ROOSEVELT.GAME  生き残るためには...逆転なるか!？『ルーズヴェルト・ゲーム』第4話（5/18）ダイジェスト＆次回予告動画公開しました！  "&amp;"http://youtu.be/hZVzx5w0tdk  和田正人、居酒屋看板娘に「ホの字レポ」!？日曜21時『ルーズヴェルト・ゲーム』番外編#12　動画公開しました！  http://youtu.be/EZGusylLvTM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青島製作所はついに倒産か…そんなどん底の青島に甘い囁きが。イツワ電器の坂東社長（立川談春）が青島との合併を申し出たのだ。今まで、価格競争をけしかけたり、訴えたりしてきたのは、この合併に導くための罠だった。  一方、野球部も予選でイツワ電器と戦うことになる！　経営と野球！奇しくも同じ相手と死闘を繰り広げる。果たして、勝利の女神はどちらに微笑むのか…？　150キロピッチャー沖原の勇気がドラマを変える！工藤公康（元プロ野球選手）の息子・工藤阿須加が、エース役として大抜擢！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生き残るためには...逆転なるか!？『ルーズヴェルト・ゲーム』第4話（5/18）ダイジェスト＆次回予告動画公開しました！  http://youtu.be/hZVzx5w0tdk  和田正人、居酒屋看板娘に「ホの字レポ」!？日曜21時『ルーズヴェルト・ゲーム』番外編#12　動画公開しました！  http://youtu.be/EZGusylLvTM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81" s="2"/>
      <c r="O5381" s="2"/>
      <c r="P5381" s="1"/>
      <c r="Q5381" s="1"/>
      <c r="R5381" s="1"/>
      <c r="S5381" s="1"/>
      <c r="T5381" s="1"/>
      <c r="U5381" s="1"/>
      <c r="V5381" s="1"/>
      <c r="W5381" s="1"/>
      <c r="X5381" s="1"/>
      <c r="Y5381" s="1"/>
      <c r="Z5381" s="1"/>
      <c r="AA5381" s="1"/>
      <c r="AB5381" s="1"/>
      <c r="AC5381" s="1"/>
      <c r="AD5381" s="1"/>
      <c r="AE5381" s="1"/>
      <c r="AF5381" s="1"/>
      <c r="AG5381" s="1"/>
      <c r="AH5381" s="1"/>
      <c r="AI5381" s="1"/>
      <c r="AJ5381" s="1"/>
      <c r="AK5381" s="1"/>
      <c r="AL5381" s="1"/>
      <c r="AM5381" s="1"/>
      <c r="AN5381" s="1"/>
      <c r="AO5381" s="1"/>
      <c r="AP5381" s="1"/>
      <c r="AQ5381" s="1"/>
      <c r="AR5381" s="1"/>
      <c r="AS5381" s="1"/>
      <c r="AT5381" s="1"/>
      <c r="AU5381" s="1"/>
      <c r="AV5381" s="1"/>
      <c r="AW5381" s="1"/>
      <c r="AX5381" s="1"/>
      <c r="AY5381" s="1"/>
      <c r="AZ5381" s="1"/>
      <c r="BA5381" s="1"/>
      <c r="BB5381" s="1"/>
    </row>
    <row r="5382" ht="204.75" customHeight="1">
      <c r="A5382" s="1">
        <v>2864.0</v>
      </c>
      <c r="B5382" s="2" t="s">
        <v>14871</v>
      </c>
      <c r="C5382" s="2">
        <f>IFERROR(__xludf.DUMMYFUNCTION("split(B5382,""_"")"),1404.0)</f>
        <v>1404</v>
      </c>
      <c r="D5382" s="2" t="str">
        <f>IFERROR(__xludf.DUMMYFUNCTION("""COMPUTED_VALUE"""),"TBS")</f>
        <v>TBS</v>
      </c>
      <c r="E5382" s="2" t="str">
        <f>IFERROR(__xludf.DUMMYFUNCTION("""COMPUTED_VALUE"""),"日21")</f>
        <v>日21</v>
      </c>
      <c r="F5382" s="2" t="s">
        <v>14872</v>
      </c>
      <c r="G5382" s="2" t="s">
        <v>14883</v>
      </c>
      <c r="H5382" s="1">
        <v>6.0</v>
      </c>
      <c r="I5382" s="1"/>
      <c r="J5382" s="1" t="s">
        <v>11</v>
      </c>
      <c r="K5382" s="2" t="s">
        <v>14884</v>
      </c>
      <c r="L5382" s="2"/>
      <c r="M5382" s="2" t="str">
        <f>IFERROR(__xludf.DUMMYFUNCTION("split(split(K5382,""【"",false),""公式LINE"",false)"),"必死に戦いを挑んだ野球部に触発された社長の細川（唐沢寿明）。ライバル会社のイツワ電器から横槍を入れられ、青島製作所が東洋カメラの新機種に採用される予定で開発を進めていたイメージセンサーの取引を白紙に戻されてしまった細川。だが、青島製作所の野球部がイツワ電器を相手に繰り広げた激闘に触発された細川は、イツワ電器に横取りされた東洋カメラとの契約を取り戻すべく逆転の秘策に出た…工藤公康（元プロ野球選手）の息子・工藤阿須加が、エース役として大抜擢！  元フジテレビアナウンサー・平井理央、本格女優デビュー！！  坂東"&amp;"三津五郎、テレビドラマで復帰！！！細川（社長）…唐沢寿明  有紗（秘書）…檀れい  三上（部長）…石丸幹二  朝比奈（部長）…六角精児  大道監督…手塚とおる  豊岡（部長）…児島一哉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ナレ"&amp;"ーション…山根基世  プロデューサー…伊與田英徳◇番組HP  http://www.tbs.co.jp/ROOSEVELT_GAME/  ◇ツイッター  @ROOSEVELT_GAME  https://twitter.com/ROOSEVELT_GAME◇フェイスブック  https://www.facebook.com/ROOSEVELT.GAME  ライバルの陰謀...因縁の直接対決！『ルーズヴェルト・ゲーム』第5話（5/25）ダイジェスト＆次回予告動画公開しました！  http://youtu.b"&amp;"e/P623E0k_gu8  和田正人、始球式前に「帰ってきたアノ人登場レポ」！日曜21時『ルーズヴェルト・ゲーム』番外編#13　動画公開しました！  http://youtu.be/ALA-1B_OlFU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f>
        <v>必死に戦いを挑んだ野球部に触発された社長の細川（唐沢寿明）。ライバル会社のイツワ電器から横槍を入れられ、青島製作所が東洋カメラの新機種に採用される予定で開発を進めていたイメージセンサーの取引を白紙に戻されてしまった細川。だが、青島製作所の野球部がイツワ電器を相手に繰り広げた激闘に触発された細川は、イツワ電器に横取りされた東洋カメラとの契約を取り戻すべく逆転の秘策に出た…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豊岡（部長）…児島一哉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ライバルの陰謀...因縁の直接対決！『ルーズヴェルト・ゲーム』第5話（5/25）ダイジェスト＆次回予告動画公開しました！  http://youtu.be/P623E0k_gu8  和田正人、始球式前に「帰ってきたアノ人登場レポ」！日曜21時『ルーズヴェルト・ゲーム』番外編#13　動画公開しました！  http://youtu.be/ALA-1B_OlFU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82" s="2"/>
      <c r="O5382" s="2"/>
      <c r="P5382" s="1"/>
      <c r="Q5382" s="1"/>
      <c r="R5382" s="1"/>
      <c r="S5382" s="1"/>
      <c r="T5382" s="1"/>
      <c r="U5382" s="1"/>
      <c r="V5382" s="1"/>
      <c r="W5382" s="1"/>
      <c r="X5382" s="1"/>
      <c r="Y5382" s="1"/>
      <c r="Z5382" s="1"/>
      <c r="AA5382" s="1"/>
      <c r="AB5382" s="1"/>
      <c r="AC5382" s="1"/>
      <c r="AD5382" s="1"/>
      <c r="AE5382" s="1"/>
      <c r="AF5382" s="1"/>
      <c r="AG5382" s="1"/>
      <c r="AH5382" s="1"/>
      <c r="AI5382" s="1"/>
      <c r="AJ5382" s="1"/>
      <c r="AK5382" s="1"/>
      <c r="AL5382" s="1"/>
      <c r="AM5382" s="1"/>
      <c r="AN5382" s="1"/>
      <c r="AO5382" s="1"/>
      <c r="AP5382" s="1"/>
      <c r="AQ5382" s="1"/>
      <c r="AR5382" s="1"/>
      <c r="AS5382" s="1"/>
      <c r="AT5382" s="1"/>
      <c r="AU5382" s="1"/>
      <c r="AV5382" s="1"/>
      <c r="AW5382" s="1"/>
      <c r="AX5382" s="1"/>
      <c r="AY5382" s="1"/>
      <c r="AZ5382" s="1"/>
      <c r="BA5382" s="1"/>
      <c r="BB5382" s="1"/>
    </row>
    <row r="5383" ht="204.75" customHeight="1">
      <c r="A5383" s="1">
        <v>2865.0</v>
      </c>
      <c r="B5383" s="2" t="s">
        <v>14871</v>
      </c>
      <c r="C5383" s="2">
        <f>IFERROR(__xludf.DUMMYFUNCTION("split(B5383,""_"")"),1404.0)</f>
        <v>1404</v>
      </c>
      <c r="D5383" s="2" t="str">
        <f>IFERROR(__xludf.DUMMYFUNCTION("""COMPUTED_VALUE"""),"TBS")</f>
        <v>TBS</v>
      </c>
      <c r="E5383" s="2" t="str">
        <f>IFERROR(__xludf.DUMMYFUNCTION("""COMPUTED_VALUE"""),"日21")</f>
        <v>日21</v>
      </c>
      <c r="F5383" s="2" t="s">
        <v>14872</v>
      </c>
      <c r="G5383" s="2" t="s">
        <v>14885</v>
      </c>
      <c r="H5383" s="1">
        <v>7.0</v>
      </c>
      <c r="I5383" s="1"/>
      <c r="J5383" s="1" t="s">
        <v>11</v>
      </c>
      <c r="K5383" s="2" t="s">
        <v>14886</v>
      </c>
      <c r="L5383" s="2"/>
      <c r="M5383" s="2" t="str">
        <f>IFERROR(__xludf.DUMMYFUNCTION("split(split(K5383,""【"",false),""公式LINE"",false)"),"青島を手に入れたいイツワは、ついに、株主に悪の触手を伸ばした。経営統合後、株のキャピタルゲインで多額を得れることを餌に、イツワの坂東（立川）は、青島の株主（ジュディ・オング、北村有起哉）に接触！一方、細川（唐沢）のやり方についていけない笹井専務（江口）は、イツワ側に乗り移ることを決意！野球部は敗者復活戦で沖原以外ピッチャーがいなくなった。まだスタミナのない沖原は、投げ切ることができるのか…？工藤公康（元プロ野球選手）の息子・工藤阿須加が、エース役として大抜擢！  元フジテレビアナウンサー・平井理央、本格女"&amp;"優デビュー！！  坂東三津五郎、テレビドラマで復帰！！！細川（社長）…唐沢寿明  有紗（秘書）…檀れい  三上（部長）…石丸幹二  朝比奈（部長）…六角精児  大道監督…手塚とおる  豊岡（部長）…児島一哉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"&amp;"音楽…服部隆之  ナレーション…山根基世  プロデューサー…伊與田英徳◇番組HP  http://www.tbs.co.jp/ROOSEVELT_GAME/  ◇ツイッター  @ROOSEVELT_GAME  https://twitter.com/ROOSEVELT_GAME◇フェイスブック  https://www.facebook.com/ROOSEVELT.GAME  野球部共に敗者復活なるか！？『ルーズヴェルト・ゲーム』第6話（6/1）ダイジェスト＆次回予告動画公開しました！  http://y"&amp;"outu.be/9H7m0crOO1w  和田正人、「ごんた再び！」レポ！日曜21時『ルーズヴェルト・ゲーム』番外編動画公開しました！  http://youtu.be/EDHj_FRjcQM  和田正人、「エキストラ巨人軍と対戦」レポ！日曜21時『ルーズヴェルト・ゲーム』番外編#15　動画公開しました！  http://youtu.be/-vjXAbxRwUo  9月開幕、アジア40億人の頂点をかけたアジア最大スポーツの祭典。競技数はオリンピックを超える36。かつて高橋尚子がアジア新、競泳・北島が世界新"&amp;"を樹立。柔道・田村亮子、競泳・鈴木大地らが伝説を築いた。番組の内容と放送時間は、変更になる場合があります。")</f>
        <v>青島を手に入れたいイツワは、ついに、株主に悪の触手を伸ばした。経営統合後、株のキャピタルゲインで多額を得れることを餌に、イツワの坂東（立川）は、青島の株主（ジュディ・オング、北村有起哉）に接触！一方、細川（唐沢）のやり方についていけない笹井専務（江口）は、イツワ側に乗り移ることを決意！野球部は敗者復活戦で沖原以外ピッチャーがいなくなった。まだスタミナのない沖原は、投げ切ることができるのか…？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豊岡（部長）…児島一哉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野球部共に敗者復活なるか！？『ルーズヴェルト・ゲーム』第6話（6/1）ダイジェスト＆次回予告動画公開しました！  http://youtu.be/9H7m0crOO1w  和田正人、「ごんた再び！」レポ！日曜21時『ルーズヴェルト・ゲーム』番外編動画公開しました！  http://youtu.be/EDHj_FRjcQM  和田正人、「エキストラ巨人軍と対戦」レポ！日曜21時『ルーズヴェルト・ゲーム』番外編#15　動画公開しました！  http://youtu.be/-vjXAbxRwUo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83" s="2"/>
      <c r="O5383" s="2"/>
      <c r="P5383" s="1"/>
      <c r="Q5383" s="1"/>
      <c r="R5383" s="1"/>
      <c r="S5383" s="1"/>
      <c r="T5383" s="1"/>
      <c r="U5383" s="1"/>
      <c r="V5383" s="1"/>
      <c r="W5383" s="1"/>
      <c r="X5383" s="1"/>
      <c r="Y5383" s="1"/>
      <c r="Z5383" s="1"/>
      <c r="AA5383" s="1"/>
      <c r="AB5383" s="1"/>
      <c r="AC5383" s="1"/>
      <c r="AD5383" s="1"/>
      <c r="AE5383" s="1"/>
      <c r="AF5383" s="1"/>
      <c r="AG5383" s="1"/>
      <c r="AH5383" s="1"/>
      <c r="AI5383" s="1"/>
      <c r="AJ5383" s="1"/>
      <c r="AK5383" s="1"/>
      <c r="AL5383" s="1"/>
      <c r="AM5383" s="1"/>
      <c r="AN5383" s="1"/>
      <c r="AO5383" s="1"/>
      <c r="AP5383" s="1"/>
      <c r="AQ5383" s="1"/>
      <c r="AR5383" s="1"/>
      <c r="AS5383" s="1"/>
      <c r="AT5383" s="1"/>
      <c r="AU5383" s="1"/>
      <c r="AV5383" s="1"/>
      <c r="AW5383" s="1"/>
      <c r="AX5383" s="1"/>
      <c r="AY5383" s="1"/>
      <c r="AZ5383" s="1"/>
      <c r="BA5383" s="1"/>
      <c r="BB5383" s="1"/>
    </row>
    <row r="5384" ht="204.75" customHeight="1">
      <c r="A5384" s="1">
        <v>2866.0</v>
      </c>
      <c r="B5384" s="2" t="s">
        <v>14871</v>
      </c>
      <c r="C5384" s="2">
        <f>IFERROR(__xludf.DUMMYFUNCTION("split(B5384,""_"")"),1404.0)</f>
        <v>1404</v>
      </c>
      <c r="D5384" s="2" t="str">
        <f>IFERROR(__xludf.DUMMYFUNCTION("""COMPUTED_VALUE"""),"TBS")</f>
        <v>TBS</v>
      </c>
      <c r="E5384" s="2" t="str">
        <f>IFERROR(__xludf.DUMMYFUNCTION("""COMPUTED_VALUE"""),"日21")</f>
        <v>日21</v>
      </c>
      <c r="F5384" s="2" t="s">
        <v>14872</v>
      </c>
      <c r="G5384" s="2" t="s">
        <v>14887</v>
      </c>
      <c r="H5384" s="1">
        <v>8.0</v>
      </c>
      <c r="I5384" s="1"/>
      <c r="J5384" s="1" t="s">
        <v>4</v>
      </c>
      <c r="K5384" s="2" t="s">
        <v>14888</v>
      </c>
      <c r="L5384" s="2"/>
      <c r="M5384" s="2" t="str">
        <f>IFERROR(__xludf.DUMMYFUNCTION("split(split(K5384,""【"",false),""公式LINE"",false)"),"野球部の廃部を、三上部長(石丸幹二）が苦渋の決断！野球部は解散！それでも、宿敵イツワ戦に向け、沖原(工藤）は練習を黙々と続ける。そんな中、犬彦(和田正人)に、イツワから引き抜きの声がかかって…。一方、いよいよ、株主総会が繰り広げられる。青島はイツワに経営統合されてしまうのか？株主（ジュディ・オング、北村有起哉）との攻防の結果は？イツワに寝返った笹井専務（江口）に細川社長(唐沢）はどう挑む？工藤公康（元プロ野球選手）の息子・工藤阿須加が、エース役として大抜擢！  元フジテレビアナウンサー・平井理央、本格女優"&amp;"デビュー！！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音"&amp;"楽…服部隆之  ナレーション…山根基世  プロデューサー…伊與田英徳◇番組HP  http://www.tbs.co.jp/ROOSEVELT_GAME/  ◇ツイッター  @ROOSEVELT_GAME  https://twitter.com/ROOSEVELT_GAME◇フェイスブック  https://www.facebook.com/ROOSEVELT.GAME  専務の裏切り、野球部廃部の宣告...『ルーズヴェルト・ゲーム』第7話（6/8）ダイジェスト動画公開しました！  http://you"&amp;"tu.be/AaakTuwmaE0  和田正人、「西武ドームで守備のはずが...」レポ！日曜21時『ルーズヴェルト・ゲーム』番外編動画公開しました！#16  http://youtu.be/1KJWsiRSkig  和田正人「帰り際に名物助監督突撃！」レポ　日曜21時『ルーズヴェルト・ゲーム』番外編#17動画公開しました！  http://youtu.be/IFkGzePhxkg9月開幕、アジア40億人の頂点をかけたアジア最大スポーツの祭典。競技数はオリンピックを超える36。かつて高橋尚子がアジア新、競泳"&amp;"・北島が世界新を樹立。柔道・田村亮子、競泳・鈴木大地らが伝説を築いた。番組の内容と放送時間は、変更になる場合があります。")</f>
        <v>野球部の廃部を、三上部長(石丸幹二）が苦渋の決断！野球部は解散！それでも、宿敵イツワ戦に向け、沖原(工藤）は練習を黙々と続ける。そんな中、犬彦(和田正人)に、イツワから引き抜きの声がかかって…。一方、いよいよ、株主総会が繰り広げられる。青島はイツワに経営統合されてしまうのか？株主（ジュディ・オング、北村有起哉）との攻防の結果は？イツワに寝返った笹井専務（江口）に細川社長(唐沢）はどう挑む？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専務の裏切り、野球部廃部の宣告...『ルーズヴェルト・ゲーム』第7話（6/8）ダイジェスト動画公開しました！  http://youtu.be/AaakTuwmaE0  和田正人、「西武ドームで守備のはずが...」レポ！日曜21時『ルーズヴェルト・ゲーム』番外編動画公開しました！#16  http://youtu.be/1KJWsiRSkig  和田正人「帰り際に名物助監督突撃！」レポ　日曜21時『ルーズヴェルト・ゲーム』番外編#17動画公開しました！  http://youtu.be/IFkGzePhxkg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84" s="2"/>
      <c r="O5384" s="2"/>
      <c r="P5384" s="1"/>
      <c r="Q5384" s="1"/>
      <c r="R5384" s="1"/>
      <c r="S5384" s="1"/>
      <c r="T5384" s="1"/>
      <c r="U5384" s="1"/>
      <c r="V5384" s="1"/>
      <c r="W5384" s="1"/>
      <c r="X5384" s="1"/>
      <c r="Y5384" s="1"/>
      <c r="Z5384" s="1"/>
      <c r="AA5384" s="1"/>
      <c r="AB5384" s="1"/>
      <c r="AC5384" s="1"/>
      <c r="AD5384" s="1"/>
      <c r="AE5384" s="1"/>
      <c r="AF5384" s="1"/>
      <c r="AG5384" s="1"/>
      <c r="AH5384" s="1"/>
      <c r="AI5384" s="1"/>
      <c r="AJ5384" s="1"/>
      <c r="AK5384" s="1"/>
      <c r="AL5384" s="1"/>
      <c r="AM5384" s="1"/>
      <c r="AN5384" s="1"/>
      <c r="AO5384" s="1"/>
      <c r="AP5384" s="1"/>
      <c r="AQ5384" s="1"/>
      <c r="AR5384" s="1"/>
      <c r="AS5384" s="1"/>
      <c r="AT5384" s="1"/>
      <c r="AU5384" s="1"/>
      <c r="AV5384" s="1"/>
      <c r="AW5384" s="1"/>
      <c r="AX5384" s="1"/>
      <c r="AY5384" s="1"/>
      <c r="AZ5384" s="1"/>
      <c r="BA5384" s="1"/>
      <c r="BB5384" s="1"/>
    </row>
    <row r="5385" ht="204.75" customHeight="1">
      <c r="A5385" s="1">
        <v>2867.0</v>
      </c>
      <c r="B5385" s="2" t="s">
        <v>14871</v>
      </c>
      <c r="C5385" s="2">
        <f>IFERROR(__xludf.DUMMYFUNCTION("split(B5385,""_"")"),1404.0)</f>
        <v>1404</v>
      </c>
      <c r="D5385" s="2" t="str">
        <f>IFERROR(__xludf.DUMMYFUNCTION("""COMPUTED_VALUE"""),"TBS")</f>
        <v>TBS</v>
      </c>
      <c r="E5385" s="2" t="str">
        <f>IFERROR(__xludf.DUMMYFUNCTION("""COMPUTED_VALUE"""),"日21")</f>
        <v>日21</v>
      </c>
      <c r="F5385" s="2" t="s">
        <v>14872</v>
      </c>
      <c r="G5385" s="2" t="s">
        <v>14889</v>
      </c>
      <c r="H5385" s="1">
        <v>9.0</v>
      </c>
      <c r="I5385" s="1"/>
      <c r="J5385" s="1" t="s">
        <v>4</v>
      </c>
      <c r="K5385" s="2" t="s">
        <v>14890</v>
      </c>
      <c r="L5385" s="2"/>
      <c r="M5385" s="2" t="str">
        <f>IFERROR(__xludf.DUMMYFUNCTION("split(split(K5385,""【"",false),""公式LINE"",false)"),"株主総会で敗北を喫したイツワは、お金で優秀な技術者を引き抜いた。なりふり構わないイツワに、青島はコンペに勝つことができるのか？一方廃部が決まった野球部は、ラスト試合、宿敵イツワと対戦する！積年の恨みを晴らせるのか？勝てば奇跡がおきるかも！壮絶な戦いが…！沖原VS如月の結末は？青島製作所は、生き残りをかけ社員が一丸となって野球と、コンペに挑む！これぞ、日本の会社の理想の形だ！逆転につぐ逆転の結末は？工藤公康（元プロ野球選手）の息子・工藤阿須加が、エース役として大抜擢！  元フジテレビアナウンサー・平井理央、"&amp;"本格女優デビュー！！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脚本…八津弘"&amp;"幸  音楽…服部隆之  ナレーション…山根基世  プロデューサー…伊與田英徳◇番組HP  http://www.tbs.co.jp/ROOSEVELT_GAME/  ◇ツイッター  @ROOSEVELT_GAME  https://twitter.com/ROOSEVELT_GAME◇フェイスブック  https://www.facebook.com/ROOSEVELT.GAME  「イツワ」と最終決戦へ！『ルーズヴェルト・ゲーム』第8話（6/22）ダイジェスト＆最終回予告動画公開しました！  http:"&amp;"//youtu.be/d2yr8nMtSAY  奇跡の「大逆転」なるか！1分でわかる『ルーズヴェルト・ゲーム』最終回 （6/22）みどころ！！スペシャル動画公開  http://youtu.be/JcDnvRBi8VYえみるちゃんも応援！「俺たち青島が勝つ！！」番外編ラストレポ 日曜21時『ルーズヴェルト・ゲーム』#18  http://youtu.be/_-SI53FXFNw  9月開幕、アジア40億人の頂点をかけたアジア最大スポーツの祭典。競技数はオリンピックを超える36。かつて高橋尚子がアジア新、競"&amp;"泳・北島が世界新を樹立。柔道・田村亮子、競泳・鈴木大地らが伝説を築いた。番組の内容と放送時間は、変更になる場合があります。")</f>
        <v>株主総会で敗北を喫したイツワは、お金で優秀な技術者を引き抜いた。なりふり構わないイツワに、青島はコンペに勝つことができるのか？一方廃部が決まった野球部は、ラスト試合、宿敵イツワと対戦する！積年の恨みを晴らせるのか？勝てば奇跡がおきるかも！壮絶な戦いが…！沖原VS如月の結末は？青島製作所は、生き残りをかけ社員が一丸となって野球と、コンペに挑む！これぞ、日本の会社の理想の形だ！逆転につぐ逆転の結末は？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「イツワ」と最終決戦へ！『ルーズヴェルト・ゲーム』第8話（6/22）ダイジェスト＆最終回予告動画公開しました！  http://youtu.be/d2yr8nMtSAY  奇跡の「大逆転」なるか！1分でわかる『ルーズヴェルト・ゲーム』最終回 （6/22）みどころ！！スペシャル動画公開  http://youtu.be/JcDnvRBi8VYえみるちゃんも応援！「俺たち青島が勝つ！！」番外編ラストレポ 日曜21時『ルーズヴェルト・ゲーム』#18  http://youtu.be/_-SI53FXFNw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v>
      </c>
      <c r="N5385" s="2"/>
      <c r="O5385" s="2"/>
      <c r="P5385" s="1"/>
      <c r="Q5385" s="1"/>
      <c r="R5385" s="1"/>
      <c r="S5385" s="1"/>
      <c r="T5385" s="1"/>
      <c r="U5385" s="1"/>
      <c r="V5385" s="1"/>
      <c r="W5385" s="1"/>
      <c r="X5385" s="1"/>
      <c r="Y5385" s="1"/>
      <c r="Z5385" s="1"/>
      <c r="AA5385" s="1"/>
      <c r="AB5385" s="1"/>
      <c r="AC5385" s="1"/>
      <c r="AD5385" s="1"/>
      <c r="AE5385" s="1"/>
      <c r="AF5385" s="1"/>
      <c r="AG5385" s="1"/>
      <c r="AH5385" s="1"/>
      <c r="AI5385" s="1"/>
      <c r="AJ5385" s="1"/>
      <c r="AK5385" s="1"/>
      <c r="AL5385" s="1"/>
      <c r="AM5385" s="1"/>
      <c r="AN5385" s="1"/>
      <c r="AO5385" s="1"/>
      <c r="AP5385" s="1"/>
      <c r="AQ5385" s="1"/>
      <c r="AR5385" s="1"/>
      <c r="AS5385" s="1"/>
      <c r="AT5385" s="1"/>
      <c r="AU5385" s="1"/>
      <c r="AV5385" s="1"/>
      <c r="AW5385" s="1"/>
      <c r="AX5385" s="1"/>
      <c r="AY5385" s="1"/>
      <c r="AZ5385" s="1"/>
      <c r="BA5385" s="1"/>
      <c r="BB5385" s="1"/>
    </row>
    <row r="5386" ht="204.75" customHeight="1">
      <c r="A5386" s="1">
        <v>2868.0</v>
      </c>
      <c r="B5386" s="2" t="s">
        <v>14891</v>
      </c>
      <c r="C5386" s="2">
        <f>IFERROR(__xludf.DUMMYFUNCTION("split(B5386,""_"")"),1401.0)</f>
        <v>1401</v>
      </c>
      <c r="D5386" s="2" t="str">
        <f>IFERROR(__xludf.DUMMYFUNCTION("""COMPUTED_VALUE"""),"TBS")</f>
        <v>TBS</v>
      </c>
      <c r="E5386" s="2" t="str">
        <f>IFERROR(__xludf.DUMMYFUNCTION("""COMPUTED_VALUE"""),"月20")</f>
        <v>月20</v>
      </c>
      <c r="F5386" s="2" t="s">
        <v>14892</v>
      </c>
      <c r="G5386" s="2" t="s">
        <v>14893</v>
      </c>
      <c r="H5386" s="1">
        <v>1.0</v>
      </c>
      <c r="J5386" s="1" t="s">
        <v>2809</v>
      </c>
      <c r="K5386" s="2" t="s">
        <v>14894</v>
      </c>
      <c r="L5386" s="2"/>
      <c r="M5386" s="2" t="str">
        <f>IFERROR(__xludf.DUMMYFUNCTION("split(split(K5386,""【"",false),""公式LINE"",false)"),"竜崎伸也（杉本哲太）は警察庁に勤めるキャリア官僚。ある日、男性が拳銃で殺害される事件が発生。そこで竜崎は、幼馴染で同期の警視庁刑事部長・伊丹俊太郎（古田新太）の元を訪れる。伊丹から、情報が上がってこないのは、警察庁内の縄張り争いが原因だと言われ、憤る竜崎。一方家庭では、息子が思わぬ、問題を起こし、竜崎は決断を迫られる。警察内部では、殺人事件に関係する警察不祥事を隠蔽しようという動きが始まり・・・。警察官僚として、また父親として大きな決断を迫られる竜崎。果たして、竜崎は事件を隠蔽するのか。それとも・・・。 "&amp;" そして、真犯人の登場が、伊丹の立場も追い詰めることに・・・。竜崎伸也： 杉本哲太  伊丹俊太郎： 古田新太    戸高善信： 安田　顕  貝沼悦郎： 松澤一之  竜崎美紀： 三倉茉奈  斎藤　治： 八十田勇一  竜崎邦彦： 佐野玲於    竜崎冴子： 鈴木砂羽  上條貴仁： 生瀬勝久牛島陽介： 神保悟志　   谷岡香織： 青山倫子　   福本多吉： 中村育二  坂上栄太郎： 矢島健一音楽：窪田ミナ  主題歌：「東京」wacci （エピックレコードジャパン）脚本：中澤圭規  制作：那須田淳  チーフプロデ"&amp;"ューサー：橋本孝  プロデューサー：橘康仁  演出：岡本伸吾http://www.tbs.co.jp/inpei2014/index-j.html  番組の内容と放送時間は、変更になる可能性があります。")</f>
        <v>竜崎伸也（杉本哲太）は警察庁に勤めるキャリア官僚。ある日、男性が拳銃で殺害される事件が発生。そこで竜崎は、幼馴染で同期の警視庁刑事部長・伊丹俊太郎（古田新太）の元を訪れる。伊丹から、情報が上がってこないのは、警察庁内の縄張り争いが原因だと言われ、憤る竜崎。一方家庭では、息子が思わぬ、問題を起こし、竜崎は決断を迫られる。警察内部では、殺人事件に関係する警察不祥事を隠蔽しようという動きが始まり・・・。警察官僚として、また父親として大きな決断を迫られる竜崎。果たして、竜崎は事件を隠蔽するのか。それとも・・・。  そして、真犯人の登場が、伊丹の立場も追い詰めることに・・・。竜崎伸也： 杉本哲太  伊丹俊太郎： 古田新太    戸高善信： 安田　顕  貝沼悦郎： 松澤一之  竜崎美紀： 三倉茉奈  斎藤　治： 八十田勇一  竜崎邦彦： 佐野玲於    竜崎冴子： 鈴木砂羽  上條貴仁： 生瀬勝久牛島陽介： 神保悟志　   谷岡香織： 青山倫子　   福本多吉： 中村育二  坂上栄太郎： 矢島健一音楽：窪田ミナ  主題歌：「東京」wacci （エピックレコードジャパン）脚本：中澤圭規  制作：那須田淳  チーフプロデューサー：橋本孝  プロデューサー：橘康仁  演出：岡本伸吾http://www.tbs.co.jp/inpei2014/index-j.html  番組の内容と放送時間は、変更になる可能性があります。</v>
      </c>
      <c r="N5386" s="2"/>
      <c r="O5386" s="2"/>
      <c r="P5386" s="1"/>
      <c r="Q5386" s="1"/>
      <c r="R5386" s="1"/>
      <c r="S5386" s="1"/>
      <c r="T5386" s="1"/>
      <c r="U5386" s="1"/>
      <c r="V5386" s="1"/>
      <c r="W5386" s="1"/>
      <c r="X5386" s="1"/>
      <c r="Y5386" s="1"/>
      <c r="Z5386" s="1"/>
      <c r="AA5386" s="1"/>
      <c r="AB5386" s="1"/>
      <c r="AC5386" s="1"/>
      <c r="AD5386" s="1"/>
      <c r="AE5386" s="1"/>
      <c r="AF5386" s="1"/>
      <c r="AG5386" s="1"/>
      <c r="AH5386" s="1"/>
      <c r="AI5386" s="1"/>
      <c r="AJ5386" s="1"/>
      <c r="AK5386" s="1"/>
      <c r="AL5386" s="1"/>
      <c r="AM5386" s="1"/>
      <c r="AN5386" s="1"/>
      <c r="AO5386" s="1"/>
      <c r="AP5386" s="1"/>
      <c r="AQ5386" s="1"/>
      <c r="AR5386" s="1"/>
      <c r="AS5386" s="1"/>
      <c r="AT5386" s="1"/>
      <c r="AU5386" s="1"/>
      <c r="AV5386" s="1"/>
      <c r="AW5386" s="1"/>
      <c r="AX5386" s="1"/>
      <c r="AY5386" s="1"/>
      <c r="AZ5386" s="1"/>
      <c r="BA5386" s="1"/>
      <c r="BB5386" s="1"/>
    </row>
    <row r="5387" ht="204.75" customHeight="1">
      <c r="A5387" s="1">
        <v>2869.0</v>
      </c>
      <c r="B5387" s="2" t="s">
        <v>14891</v>
      </c>
      <c r="C5387" s="2">
        <f>IFERROR(__xludf.DUMMYFUNCTION("split(B5387,""_"")"),1401.0)</f>
        <v>1401</v>
      </c>
      <c r="D5387" s="2" t="str">
        <f>IFERROR(__xludf.DUMMYFUNCTION("""COMPUTED_VALUE"""),"TBS")</f>
        <v>TBS</v>
      </c>
      <c r="E5387" s="2" t="str">
        <f>IFERROR(__xludf.DUMMYFUNCTION("""COMPUTED_VALUE"""),"月20")</f>
        <v>月20</v>
      </c>
      <c r="F5387" s="2" t="s">
        <v>14892</v>
      </c>
      <c r="G5387" s="2" t="s">
        <v>14895</v>
      </c>
      <c r="H5387" s="1">
        <v>2.0</v>
      </c>
      <c r="J5387" s="1" t="s">
        <v>7151</v>
      </c>
      <c r="K5387" s="2" t="s">
        <v>14896</v>
      </c>
      <c r="L5387" s="2"/>
      <c r="M5387" s="2" t="str">
        <f>IFERROR(__xludf.DUMMYFUNCTION("split(split(K5387,""【"",false),""公式LINE"",false)"),"警察官僚の竜崎（杉本哲太）は、ヘロインに手を出した息子を自首させるべきかどうか、苦渋の決断に迫られていた。  一方、大森北署刑事・戸高（安田顕）は、連続殺人犯である現職の警察官・山田の取調べを行う。犯行を認める山田に対し、ある謀略を図ろうとする警察庁の上層部。そして、伊丹に、ある圧力がかけられていた。不穏な動きを感じ取った竜崎は、事実を確認するため、伊丹のもとを訪れる。意見が対立した二人は…。蠢く隠蔽の影。警察官の不祥事と息子の犯罪。国と家族を守るために、竜崎が下した決断とは…。伊丹の選択とは…。竜崎伸也"&amp;"： 杉本哲太  伊丹俊太郎： 古田新太     戸高善信： 安田　顕  貝沼悦郎： 松澤一之  竜崎美紀： 三倉茉奈  斎藤　治： 八十田勇一  竜崎邦彦： 佐野玲於    竜崎冴子： 鈴木砂羽  上條貴仁： 生瀬勝久牛島陽介： 神保悟志  谷岡香織： 青山倫子  福本多吉： 中村育二  坂上栄太郎： 矢島健一音楽：窪田ミナ  主題歌：「東京」wacci （エピックレコードジャパン）脚本：中澤圭規  制作：那須田淳  チーフプロデューサー：橋本孝  プロデューサー：橘康仁  演出：岡本伸吾ホームページ  "&amp;"http://www.tbs.co.jp/inpei2014/index-j.html  ツイッター  https://twitter.com/inpei2014フェイスブック  https://www.facebook.com/inpei2014杉本哲太＆古田新太W主演！月曜よる8時『隠蔽捜査』第1話（1/13）ダイジェスト＆次回予告動画公開しました！  http://youtu.be/Lc6gF_e7pPo  番組の内容と放送時間は、変更になる可能性があります。")</f>
        <v>警察官僚の竜崎（杉本哲太）は、ヘロインに手を出した息子を自首させるべきかどうか、苦渋の決断に迫られていた。  一方、大森北署刑事・戸高（安田顕）は、連続殺人犯である現職の警察官・山田の取調べを行う。犯行を認める山田に対し、ある謀略を図ろうとする警察庁の上層部。そして、伊丹に、ある圧力がかけられていた。不穏な動きを感じ取った竜崎は、事実を確認するため、伊丹のもとを訪れる。意見が対立した二人は…。蠢く隠蔽の影。警察官の不祥事と息子の犯罪。国と家族を守るために、竜崎が下した決断とは…。伊丹の選択とは…。竜崎伸也： 杉本哲太  伊丹俊太郎： 古田新太     戸高善信： 安田　顕  貝沼悦郎： 松澤一之  竜崎美紀： 三倉茉奈  斎藤　治： 八十田勇一  竜崎邦彦： 佐野玲於    竜崎冴子： 鈴木砂羽  上條貴仁： 生瀬勝久牛島陽介： 神保悟志  谷岡香織： 青山倫子  福本多吉： 中村育二  坂上栄太郎： 矢島健一音楽：窪田ミナ  主題歌：「東京」wacci （エピックレコードジャパン）脚本：中澤圭規  制作：那須田淳  チーフプロデューサー：橋本孝  プロデューサー：橘康仁  演出：岡本伸吾ホームページ  http://www.tbs.co.jp/inpei2014/index-j.html  ツイッター  https://twitter.com/inpei2014フェイスブック  https://www.facebook.com/inpei2014杉本哲太＆古田新太W主演！月曜よる8時『隠蔽捜査』第1話（1/13）ダイジェスト＆次回予告動画公開しました！  http://youtu.be/Lc6gF_e7pPo  番組の内容と放送時間は、変更になる可能性があります。</v>
      </c>
      <c r="N5387" s="2"/>
      <c r="O5387" s="2"/>
      <c r="P5387" s="1"/>
      <c r="Q5387" s="1"/>
      <c r="R5387" s="1"/>
      <c r="S5387" s="1"/>
      <c r="T5387" s="1"/>
      <c r="U5387" s="1"/>
      <c r="V5387" s="1"/>
      <c r="W5387" s="1"/>
      <c r="X5387" s="1"/>
      <c r="Y5387" s="1"/>
      <c r="Z5387" s="1"/>
      <c r="AA5387" s="1"/>
      <c r="AB5387" s="1"/>
      <c r="AC5387" s="1"/>
      <c r="AD5387" s="1"/>
      <c r="AE5387" s="1"/>
      <c r="AF5387" s="1"/>
      <c r="AG5387" s="1"/>
      <c r="AH5387" s="1"/>
      <c r="AI5387" s="1"/>
      <c r="AJ5387" s="1"/>
      <c r="AK5387" s="1"/>
      <c r="AL5387" s="1"/>
      <c r="AM5387" s="1"/>
      <c r="AN5387" s="1"/>
      <c r="AO5387" s="1"/>
      <c r="AP5387" s="1"/>
      <c r="AQ5387" s="1"/>
      <c r="AR5387" s="1"/>
      <c r="AS5387" s="1"/>
      <c r="AT5387" s="1"/>
      <c r="AU5387" s="1"/>
      <c r="AV5387" s="1"/>
      <c r="AW5387" s="1"/>
      <c r="AX5387" s="1"/>
      <c r="AY5387" s="1"/>
      <c r="AZ5387" s="1"/>
      <c r="BA5387" s="1"/>
      <c r="BB5387" s="1"/>
    </row>
    <row r="5388" ht="204.75" customHeight="1">
      <c r="A5388" s="1">
        <v>2870.0</v>
      </c>
      <c r="B5388" s="2" t="s">
        <v>14891</v>
      </c>
      <c r="C5388" s="2">
        <f>IFERROR(__xludf.DUMMYFUNCTION("split(B5388,""_"")"),1401.0)</f>
        <v>1401</v>
      </c>
      <c r="D5388" s="2" t="str">
        <f>IFERROR(__xludf.DUMMYFUNCTION("""COMPUTED_VALUE"""),"TBS")</f>
        <v>TBS</v>
      </c>
      <c r="E5388" s="2" t="str">
        <f>IFERROR(__xludf.DUMMYFUNCTION("""COMPUTED_VALUE"""),"月20")</f>
        <v>月20</v>
      </c>
      <c r="F5388" s="2" t="s">
        <v>14892</v>
      </c>
      <c r="G5388" s="2" t="s">
        <v>14897</v>
      </c>
      <c r="H5388" s="1">
        <v>3.0</v>
      </c>
      <c r="J5388" s="1" t="s">
        <v>7151</v>
      </c>
      <c r="K5388" s="2" t="s">
        <v>14898</v>
      </c>
      <c r="L5388" s="2"/>
      <c r="M5388" s="2" t="str">
        <f>IFERROR(__xludf.DUMMYFUNCTION("split(split(K5388,""【"",false),""公式LINE"",false)"),"降格人事により大森北署の署長に就任した竜崎（杉本哲太）は、所轄の不合理なやり方を変えようと模索していた。そんなある日、管内で強盗事件が発生する。緊急配備をかけ、犯人の逃走車両を捕まえようと署内が騒然となる中、一本の電話がなる。それは、管内のスナックで揉め事が起きているというものだった。緊配で手一杯の署員たちは、その電話を後回しにするが、竜崎は何かが引っかかり…。強盗犯らは捜査一課が逮捕。大森北署の緊配を抜けた事実に、方面本部の野間崎管理間（古舘寛治）は激怒。竜崎の下に乗り込んでくる。そんな中、拳銃の発砲事"&amp;"件が発生。揉め事のあったスナックに立てこもり…。竜崎伸也： 杉本哲太  伊丹俊太郎： 古田新太     戸高善信： 安田　顕  貝沼悦郎： 松澤一之  竜崎美紀： 三倉茉奈  斎藤　治： 八十田勇一  野間崎正嗣：古舘寛治  竜崎邦彦：佐野玲於    竜崎冴子： 鈴木砂羽   上條貴仁：生瀬勝久    下平栄介：斎藤歩　   石渡剛志：藤本隆宏　音楽：窪田ミナ  主題歌：「東京」wacci （エピックレコードジャパン）脚本：嶋田うれ葉  制作：那須田淳  チーフプロデューサー：橋本孝  プロデューサー：橘"&amp;"康仁  演出：酒井聖博ホームページ  http://www.tbs.co.jp/inpei2014/index-j.html  ツイッター  @inpei2014   https://twitter.com/inpei2014  フェイスブック  https://www.facebook.com/inpei2014  杉本哲太＆古田新太W主演！月曜よる8時『隠蔽捜査』第2話（1/20）ダイジェスト＆次回予告動画公開しました！  http://youtu.be/Tx80oC7shVs  番組の内容と放送時間"&amp;"は、変更になる可能性があります。")</f>
        <v>降格人事により大森北署の署長に就任した竜崎（杉本哲太）は、所轄の不合理なやり方を変えようと模索していた。そんなある日、管内で強盗事件が発生する。緊急配備をかけ、犯人の逃走車両を捕まえようと署内が騒然となる中、一本の電話がなる。それは、管内のスナックで揉め事が起きているというものだった。緊配で手一杯の署員たちは、その電話を後回しにするが、竜崎は何かが引っかかり…。強盗犯らは捜査一課が逮捕。大森北署の緊配を抜けた事実に、方面本部の野間崎管理間（古舘寛治）は激怒。竜崎の下に乗り込んでくる。そんな中、拳銃の発砲事件が発生。揉め事のあったスナックに立てこもり…。竜崎伸也： 杉本哲太  伊丹俊太郎： 古田新太     戸高善信： 安田　顕  貝沼悦郎： 松澤一之  竜崎美紀： 三倉茉奈  斎藤　治： 八十田勇一  野間崎正嗣：古舘寛治  竜崎邦彦：佐野玲於    竜崎冴子： 鈴木砂羽   上條貴仁：生瀬勝久    下平栄介：斎藤歩　   石渡剛志：藤本隆宏　音楽：窪田ミナ  主題歌：「東京」wacci （エピックレコードジャパン）脚本：嶋田うれ葉  制作：那須田淳  チーフプロデューサー：橋本孝  プロデューサー：橘康仁  演出：酒井聖博ホームページ  http://www.tbs.co.jp/inpei2014/index-j.html  ツイッター  @inpei2014   https://twitter.com/inpei2014  フェイスブック  https://www.facebook.com/inpei2014  杉本哲太＆古田新太W主演！月曜よる8時『隠蔽捜査』第2話（1/20）ダイジェスト＆次回予告動画公開しました！  http://youtu.be/Tx80oC7shVs  番組の内容と放送時間は、変更になる可能性があります。</v>
      </c>
      <c r="N5388" s="2"/>
      <c r="O5388" s="2"/>
      <c r="P5388" s="1"/>
      <c r="Q5388" s="1"/>
      <c r="R5388" s="1"/>
      <c r="S5388" s="1"/>
      <c r="T5388" s="1"/>
      <c r="U5388" s="1"/>
      <c r="V5388" s="1"/>
      <c r="W5388" s="1"/>
      <c r="X5388" s="1"/>
      <c r="Y5388" s="1"/>
      <c r="Z5388" s="1"/>
      <c r="AA5388" s="1"/>
      <c r="AB5388" s="1"/>
      <c r="AC5388" s="1"/>
      <c r="AD5388" s="1"/>
      <c r="AE5388" s="1"/>
      <c r="AF5388" s="1"/>
      <c r="AG5388" s="1"/>
      <c r="AH5388" s="1"/>
      <c r="AI5388" s="1"/>
      <c r="AJ5388" s="1"/>
      <c r="AK5388" s="1"/>
      <c r="AL5388" s="1"/>
      <c r="AM5388" s="1"/>
      <c r="AN5388" s="1"/>
      <c r="AO5388" s="1"/>
      <c r="AP5388" s="1"/>
      <c r="AQ5388" s="1"/>
      <c r="AR5388" s="1"/>
      <c r="AS5388" s="1"/>
      <c r="AT5388" s="1"/>
      <c r="AU5388" s="1"/>
      <c r="AV5388" s="1"/>
      <c r="AW5388" s="1"/>
      <c r="AX5388" s="1"/>
      <c r="AY5388" s="1"/>
      <c r="AZ5388" s="1"/>
      <c r="BA5388" s="1"/>
      <c r="BB5388" s="1"/>
    </row>
    <row r="5389" ht="204.75" customHeight="1">
      <c r="A5389" s="1">
        <v>2871.0</v>
      </c>
      <c r="B5389" s="2" t="s">
        <v>14891</v>
      </c>
      <c r="C5389" s="2">
        <f>IFERROR(__xludf.DUMMYFUNCTION("split(B5389,""_"")"),1401.0)</f>
        <v>1401</v>
      </c>
      <c r="D5389" s="2" t="str">
        <f>IFERROR(__xludf.DUMMYFUNCTION("""COMPUTED_VALUE"""),"TBS")</f>
        <v>TBS</v>
      </c>
      <c r="E5389" s="2" t="str">
        <f>IFERROR(__xludf.DUMMYFUNCTION("""COMPUTED_VALUE"""),"月20")</f>
        <v>月20</v>
      </c>
      <c r="F5389" s="2" t="s">
        <v>14892</v>
      </c>
      <c r="G5389" s="2" t="s">
        <v>14899</v>
      </c>
      <c r="H5389" s="1">
        <v>4.0</v>
      </c>
      <c r="J5389" s="1" t="s">
        <v>7151</v>
      </c>
      <c r="K5389" s="2" t="s">
        <v>14900</v>
      </c>
      <c r="L5389" s="2"/>
      <c r="M5389" s="2" t="str">
        <f>IFERROR(__xludf.DUMMYFUNCTION("split(split(K5389,""【"",false),""公式LINE"",false)"),"SATによる犯人射殺で収束した立てこもり事件。しかし、犯人の拳銃には弾が入っていなかった。事実を隠蔽するべきか悩む伊丹（古田新太）に、竜崎（杉本哲太）は一刻も早く公表するよう諭す。そんな中、翌朝の朝刊で事実が露見。竜崎は、戸高（安田顕）が、リークしたという噂を耳にし、戸高を追及する。一方、竜崎と伊丹に監察からの呼び出しがかかる。立てこもり事件の責任について追及された二人は、処分を覚悟するが・・・。事件の顛末に疑問が残るという戸高の意見を聞き、竜崎は再捜査に踏み切る。しかし、警察庁からは釘を刺される。戸高は"&amp;"、犯人を射殺したのはSATではないかもしれないという説を唱えるが…。竜崎伸也： 杉本哲太  伊丹俊太郎： 古田新太     戸高善信： 安田　顕  貝沼悦郎： 松澤一之  竜崎美紀： 三倉茉奈  斎藤　治： 八十田勇一  野間崎正嗣：古舘寛治  竜崎邦彦：佐野玲於    竜崎冴子： 鈴木砂羽  上條貴仁：生瀬勝久    小田切貞夫：池田成志  谷岡香織：青山倫子音楽：窪田ミナ  主題歌：「東京」wacci （エピックレコードジャパン）脚本：嶋田うれ葉  制作：那須田淳  チーフプロデューサー：橋本孝  プ"&amp;"ロデューサー：橘康仁  演出：田中健太ホームページ  http://www.tbs.co.jp/inpei2014/index-j.html  ツイッター  https://twitter.com/inpei2014  フェイスブック  https://www.facebook.com/inpei2014  第3話（1/27）ダイジェスト＆次回予告動画公開中！  http://youtu.be/5i8IGN5oLaE  番組の内容と放送時間は、変更になる可能性があります。")</f>
        <v>SATによる犯人射殺で収束した立てこもり事件。しかし、犯人の拳銃には弾が入っていなかった。事実を隠蔽するべきか悩む伊丹（古田新太）に、竜崎（杉本哲太）は一刻も早く公表するよう諭す。そんな中、翌朝の朝刊で事実が露見。竜崎は、戸高（安田顕）が、リークしたという噂を耳にし、戸高を追及する。一方、竜崎と伊丹に監察からの呼び出しがかかる。立てこもり事件の責任について追及された二人は、処分を覚悟するが・・・。事件の顛末に疑問が残るという戸高の意見を聞き、竜崎は再捜査に踏み切る。しかし、警察庁からは釘を刺される。戸高は、犯人を射殺したのはSATではないかもしれないという説を唱えるが…。竜崎伸也： 杉本哲太  伊丹俊太郎： 古田新太     戸高善信： 安田　顕  貝沼悦郎： 松澤一之  竜崎美紀： 三倉茉奈  斎藤　治： 八十田勇一  野間崎正嗣：古舘寛治  竜崎邦彦：佐野玲於    竜崎冴子： 鈴木砂羽  上條貴仁：生瀬勝久    小田切貞夫：池田成志  谷岡香織：青山倫子音楽：窪田ミナ  主題歌：「東京」wacci （エピックレコードジャパン）脚本：嶋田うれ葉  制作：那須田淳  チーフプロデューサー：橋本孝  プロデューサー：橘康仁  演出：田中健太ホームページ  http://www.tbs.co.jp/inpei2014/index-j.html  ツイッター  https://twitter.com/inpei2014  フェイスブック  https://www.facebook.com/inpei2014  第3話（1/27）ダイジェスト＆次回予告動画公開中！  http://youtu.be/5i8IGN5oLaE  番組の内容と放送時間は、変更になる可能性があります。</v>
      </c>
      <c r="N5389" s="2"/>
      <c r="O5389" s="2"/>
      <c r="P5389" s="1"/>
      <c r="Q5389" s="1"/>
      <c r="R5389" s="1"/>
      <c r="S5389" s="1"/>
      <c r="T5389" s="1"/>
      <c r="U5389" s="1"/>
      <c r="V5389" s="1"/>
      <c r="W5389" s="1"/>
      <c r="X5389" s="1"/>
      <c r="Y5389" s="1"/>
      <c r="Z5389" s="1"/>
      <c r="AA5389" s="1"/>
      <c r="AB5389" s="1"/>
      <c r="AC5389" s="1"/>
      <c r="AD5389" s="1"/>
      <c r="AE5389" s="1"/>
      <c r="AF5389" s="1"/>
      <c r="AG5389" s="1"/>
      <c r="AH5389" s="1"/>
      <c r="AI5389" s="1"/>
      <c r="AJ5389" s="1"/>
      <c r="AK5389" s="1"/>
      <c r="AL5389" s="1"/>
      <c r="AM5389" s="1"/>
      <c r="AN5389" s="1"/>
      <c r="AO5389" s="1"/>
      <c r="AP5389" s="1"/>
      <c r="AQ5389" s="1"/>
      <c r="AR5389" s="1"/>
      <c r="AS5389" s="1"/>
      <c r="AT5389" s="1"/>
      <c r="AU5389" s="1"/>
      <c r="AV5389" s="1"/>
      <c r="AW5389" s="1"/>
      <c r="AX5389" s="1"/>
      <c r="AY5389" s="1"/>
      <c r="AZ5389" s="1"/>
      <c r="BA5389" s="1"/>
      <c r="BB5389" s="1"/>
    </row>
    <row r="5390" ht="204.75" customHeight="1">
      <c r="A5390" s="1">
        <v>2872.0</v>
      </c>
      <c r="B5390" s="2" t="s">
        <v>14891</v>
      </c>
      <c r="C5390" s="2">
        <f>IFERROR(__xludf.DUMMYFUNCTION("split(B5390,""_"")"),1401.0)</f>
        <v>1401</v>
      </c>
      <c r="D5390" s="2" t="str">
        <f>IFERROR(__xludf.DUMMYFUNCTION("""COMPUTED_VALUE"""),"TBS")</f>
        <v>TBS</v>
      </c>
      <c r="E5390" s="2" t="str">
        <f>IFERROR(__xludf.DUMMYFUNCTION("""COMPUTED_VALUE"""),"月20")</f>
        <v>月20</v>
      </c>
      <c r="F5390" s="2" t="s">
        <v>14892</v>
      </c>
      <c r="G5390" s="2" t="s">
        <v>14901</v>
      </c>
      <c r="H5390" s="1">
        <v>5.0</v>
      </c>
      <c r="J5390" s="1" t="s">
        <v>7151</v>
      </c>
      <c r="K5390" s="2" t="s">
        <v>14902</v>
      </c>
      <c r="L5390" s="2"/>
      <c r="M5390" s="2" t="str">
        <f>IFERROR(__xludf.DUMMYFUNCTION("split(split(K5390,""【"",false),""公式LINE"",false)"),"立てこもり事件の再捜査を決意した竜崎（杉本哲太）と伊丹（古田新太）。しかし、そんな二人を邪魔するかのように、上條（生瀬勝久）から、再捜査中止の通達がなされる。警察庁の命令に背き、再捜査を続けた捜査員には、厳重な処分を科すという上條に、悩む竜崎。そんな竜崎に「ここでやめたら警察官ではない！」と、刑事の戸高（安田顕）は訴えるのだった。そんな中、竜崎は入院中の妻・冴子（鈴木砂羽）を見舞うのだが…。再捜査を進める戸高は、死亡した犯人の瀬島と、人質となっていた源田に思わぬ繋がりがあったことに気付く。戸高は、竜崎にS"&amp;"ITとSATに聞き込みに行くことを提案。二人は、事件の全貌を洗いなおすことにする。竜崎伸也： 杉本哲太  伊丹俊太郎： 古田新太    戸高善信： 安田　顕  貝沼悦郎： 松澤一之  竜崎美紀： 三倉茉奈  斎藤　治： 八十田勇一  野間崎正嗣：古舘寛治  竜崎邦彦：佐野玲於    竜崎冴子： 鈴木砂羽  上條貴仁：生瀬勝久小田切貞夫：池田成志  谷岡香織：青山倫子音楽：窪田ミナ  主題歌：「東京」wacci （エピックレコードジャパン）杉本哲太＆古田新太W主演！月曜よる8時『隠蔽捜査』第4話（2/3）ダ"&amp;"イジェスト＆次回予告　動画公開しました♪  http://youtu.be/V-LGyhqfHuc  脚本：嶋田うれ葉  制作：那須田淳  チーフプロデューサー：橋本孝  プロデューサー：橘康仁  演出：酒井聖博ホームページ  http://www.tbs.co.jp/inpei2014/index-j.html  ツイッター  https://twitter.com/inpei2014  フェイスブック  https://www.facebook.com/inpei2014  番組の内容と放送時間は、変"&amp;"更になる可能性があります。")</f>
        <v>立てこもり事件の再捜査を決意した竜崎（杉本哲太）と伊丹（古田新太）。しかし、そんな二人を邪魔するかのように、上條（生瀬勝久）から、再捜査中止の通達がなされる。警察庁の命令に背き、再捜査を続けた捜査員には、厳重な処分を科すという上條に、悩む竜崎。そんな竜崎に「ここでやめたら警察官ではない！」と、刑事の戸高（安田顕）は訴えるのだった。そんな中、竜崎は入院中の妻・冴子（鈴木砂羽）を見舞うのだが…。再捜査を進める戸高は、死亡した犯人の瀬島と、人質となっていた源田に思わぬ繋がりがあったことに気付く。戸高は、竜崎にSITとSATに聞き込みに行くことを提案。二人は、事件の全貌を洗いなおすことにする。竜崎伸也： 杉本哲太  伊丹俊太郎： 古田新太    戸高善信： 安田　顕  貝沼悦郎： 松澤一之  竜崎美紀： 三倉茉奈  斎藤　治： 八十田勇一  野間崎正嗣：古舘寛治  竜崎邦彦：佐野玲於    竜崎冴子： 鈴木砂羽  上條貴仁：生瀬勝久小田切貞夫：池田成志  谷岡香織：青山倫子音楽：窪田ミナ  主題歌：「東京」wacci （エピックレコードジャパン）杉本哲太＆古田新太W主演！月曜よる8時『隠蔽捜査』第4話（2/3）ダイジェスト＆次回予告　動画公開しました♪  http://youtu.be/V-LGyhqfHuc  脚本：嶋田うれ葉  制作：那須田淳  チーフプロデューサー：橋本孝  プロデューサー：橘康仁  演出：酒井聖博ホームページ  http://www.tbs.co.jp/inpei2014/index-j.html  ツイッター  https://twitter.com/inpei2014  フェイスブック  https://www.facebook.com/inpei2014  番組の内容と放送時間は、変更になる可能性があります。</v>
      </c>
      <c r="N5390" s="2"/>
      <c r="O5390" s="2"/>
      <c r="P5390" s="1"/>
      <c r="Q5390" s="1"/>
      <c r="R5390" s="1"/>
      <c r="S5390" s="1"/>
      <c r="T5390" s="1"/>
      <c r="U5390" s="1"/>
      <c r="V5390" s="1"/>
      <c r="W5390" s="1"/>
      <c r="X5390" s="1"/>
      <c r="Y5390" s="1"/>
      <c r="Z5390" s="1"/>
      <c r="AA5390" s="1"/>
      <c r="AB5390" s="1"/>
      <c r="AC5390" s="1"/>
      <c r="AD5390" s="1"/>
      <c r="AE5390" s="1"/>
      <c r="AF5390" s="1"/>
      <c r="AG5390" s="1"/>
      <c r="AH5390" s="1"/>
      <c r="AI5390" s="1"/>
      <c r="AJ5390" s="1"/>
      <c r="AK5390" s="1"/>
      <c r="AL5390" s="1"/>
      <c r="AM5390" s="1"/>
      <c r="AN5390" s="1"/>
      <c r="AO5390" s="1"/>
      <c r="AP5390" s="1"/>
      <c r="AQ5390" s="1"/>
      <c r="AR5390" s="1"/>
      <c r="AS5390" s="1"/>
      <c r="AT5390" s="1"/>
      <c r="AU5390" s="1"/>
      <c r="AV5390" s="1"/>
      <c r="AW5390" s="1"/>
      <c r="AX5390" s="1"/>
      <c r="AY5390" s="1"/>
      <c r="AZ5390" s="1"/>
      <c r="BA5390" s="1"/>
      <c r="BB5390" s="1"/>
    </row>
    <row r="5391" ht="204.75" customHeight="1">
      <c r="A5391" s="1">
        <v>2873.0</v>
      </c>
      <c r="B5391" s="2" t="s">
        <v>14891</v>
      </c>
      <c r="C5391" s="2">
        <f>IFERROR(__xludf.DUMMYFUNCTION("split(B5391,""_"")"),1401.0)</f>
        <v>1401</v>
      </c>
      <c r="D5391" s="2" t="str">
        <f>IFERROR(__xludf.DUMMYFUNCTION("""COMPUTED_VALUE"""),"TBS")</f>
        <v>TBS</v>
      </c>
      <c r="E5391" s="2" t="str">
        <f>IFERROR(__xludf.DUMMYFUNCTION("""COMPUTED_VALUE"""),"月20")</f>
        <v>月20</v>
      </c>
      <c r="F5391" s="2" t="s">
        <v>14892</v>
      </c>
      <c r="G5391" s="2" t="s">
        <v>14903</v>
      </c>
      <c r="H5391" s="1">
        <v>6.0</v>
      </c>
      <c r="J5391" s="1" t="s">
        <v>7151</v>
      </c>
      <c r="K5391" s="2" t="s">
        <v>14904</v>
      </c>
      <c r="L5391" s="2"/>
      <c r="M5391" s="2" t="str">
        <f>IFERROR(__xludf.DUMMYFUNCTION("split(split(K5391,""【"",false),""公式LINE"",false)"),"アメリカ大統領の来日に伴い、第二方面本部の警備本部長に任命された竜崎（杉本哲太）。同期の伊丹（古田新太）は、その異例の人事が上條（生瀬勝久）の仕業だと気づく。そんな中、警視庁から竜崎の補佐役として、女性キャリアの畠山美奈子（伊藤歩）がやってくる。新人研修以来の再会となった美奈子は、才色兼備な女性に成長していた。彼女のことが気になって仕方がない竜崎は、自分の感情に戸惑う。伊丹はそれを恋だといい・・・テロ計画が発覚し、シークレットサービスのハックマン（岡田浩暉）が常駐することになった大森北署は慌しい。一方、交"&amp;"通事故に居合わせたと戸高（安田顕）は、行方不明となった運転手を不審に思う。竜崎伸也： 杉本哲太  伊丹俊太郎： 古田新太     戸高善信： 安田　顕  貝沼悦郎： 松澤一之  竜崎美紀： 三倉茉奈  斎藤　治： 八十田勇一  野間崎正嗣：古舘寛治  竜崎邦彦：佐野玲於    竜崎冴子： 鈴木砂羽   上條貴仁：生瀬勝久    畠山美奈子：伊藤歩  ケン・ハックマン：岡田浩暉  藤本実：金田明夫音楽：窪田ミナ  主題歌：「東京」wacci （エピックレコードジャパン）脚本：松本美弥子  制作：那須田淳  "&amp;"チーフプロデューサー：橋本孝  プロデューサー：橘康仁  演出：岡本伸吾杉本哲太＆古田新太W主演！月曜よる8時『隠蔽捜査』第5話（2/10）ダイジェスト＆次回予告動画公開しました！  http://youtu.be/je-18yWUzNo  ホームページ  http://www.tbs.co.jp/inpei2014/index-j.html  ツイッター  https://twitter.com/inpei2014  フェイスブック  https://www.facebook.com/inpei2014"&amp;"  番組の内容と放送時間は、変更になる可能性があります。")</f>
        <v>アメリカ大統領の来日に伴い、第二方面本部の警備本部長に任命された竜崎（杉本哲太）。同期の伊丹（古田新太）は、その異例の人事が上條（生瀬勝久）の仕業だと気づく。そんな中、警視庁から竜崎の補佐役として、女性キャリアの畠山美奈子（伊藤歩）がやってくる。新人研修以来の再会となった美奈子は、才色兼備な女性に成長していた。彼女のことが気になって仕方がない竜崎は、自分の感情に戸惑う。伊丹はそれを恋だといい・・・テロ計画が発覚し、シークレットサービスのハックマン（岡田浩暉）が常駐することになった大森北署は慌しい。一方、交通事故に居合わせたと戸高（安田顕）は、行方不明となった運転手を不審に思う。竜崎伸也： 杉本哲太  伊丹俊太郎： 古田新太     戸高善信： 安田　顕  貝沼悦郎： 松澤一之  竜崎美紀： 三倉茉奈  斎藤　治： 八十田勇一  野間崎正嗣：古舘寛治  竜崎邦彦：佐野玲於    竜崎冴子： 鈴木砂羽   上條貴仁：生瀬勝久    畠山美奈子：伊藤歩  ケン・ハックマン：岡田浩暉  藤本実：金田明夫音楽：窪田ミナ  主題歌：「東京」wacci （エピックレコードジャパン）脚本：松本美弥子  制作：那須田淳  チーフプロデューサー：橋本孝  プロデューサー：橘康仁  演出：岡本伸吾杉本哲太＆古田新太W主演！月曜よる8時『隠蔽捜査』第5話（2/10）ダイジェスト＆次回予告動画公開しました！  http://youtu.be/je-18yWUzNo  ホームページ  http://www.tbs.co.jp/inpei2014/index-j.html  ツイッター  https://twitter.com/inpei2014  フェイスブック  https://www.facebook.com/inpei2014  番組の内容と放送時間は、変更になる可能性があります。</v>
      </c>
      <c r="N5391" s="2"/>
      <c r="O5391" s="2"/>
      <c r="P5391" s="1"/>
      <c r="Q5391" s="1"/>
      <c r="R5391" s="1"/>
      <c r="S5391" s="1"/>
      <c r="T5391" s="1"/>
      <c r="U5391" s="1"/>
      <c r="V5391" s="1"/>
      <c r="W5391" s="1"/>
      <c r="X5391" s="1"/>
      <c r="Y5391" s="1"/>
      <c r="Z5391" s="1"/>
      <c r="AA5391" s="1"/>
      <c r="AB5391" s="1"/>
      <c r="AC5391" s="1"/>
      <c r="AD5391" s="1"/>
      <c r="AE5391" s="1"/>
      <c r="AF5391" s="1"/>
      <c r="AG5391" s="1"/>
      <c r="AH5391" s="1"/>
      <c r="AI5391" s="1"/>
      <c r="AJ5391" s="1"/>
      <c r="AK5391" s="1"/>
      <c r="AL5391" s="1"/>
      <c r="AM5391" s="1"/>
      <c r="AN5391" s="1"/>
      <c r="AO5391" s="1"/>
      <c r="AP5391" s="1"/>
      <c r="AQ5391" s="1"/>
      <c r="AR5391" s="1"/>
      <c r="AS5391" s="1"/>
      <c r="AT5391" s="1"/>
      <c r="AU5391" s="1"/>
      <c r="AV5391" s="1"/>
      <c r="AW5391" s="1"/>
      <c r="AX5391" s="1"/>
      <c r="AY5391" s="1"/>
      <c r="AZ5391" s="1"/>
      <c r="BA5391" s="1"/>
      <c r="BB5391" s="1"/>
    </row>
    <row r="5392" ht="204.75" customHeight="1">
      <c r="A5392" s="1">
        <v>2874.0</v>
      </c>
      <c r="B5392" s="2" t="s">
        <v>14891</v>
      </c>
      <c r="C5392" s="2">
        <f>IFERROR(__xludf.DUMMYFUNCTION("split(B5392,""_"")"),1401.0)</f>
        <v>1401</v>
      </c>
      <c r="D5392" s="2" t="str">
        <f>IFERROR(__xludf.DUMMYFUNCTION("""COMPUTED_VALUE"""),"TBS")</f>
        <v>TBS</v>
      </c>
      <c r="E5392" s="2" t="str">
        <f>IFERROR(__xludf.DUMMYFUNCTION("""COMPUTED_VALUE"""),"月20")</f>
        <v>月20</v>
      </c>
      <c r="F5392" s="2" t="s">
        <v>14892</v>
      </c>
      <c r="G5392" s="2" t="s">
        <v>14905</v>
      </c>
      <c r="H5392" s="1">
        <v>7.0</v>
      </c>
      <c r="J5392" s="1" t="s">
        <v>7151</v>
      </c>
      <c r="K5392" s="2" t="s">
        <v>14906</v>
      </c>
      <c r="L5392" s="2"/>
      <c r="M5392" s="2" t="str">
        <f>IFERROR(__xludf.DUMMYFUNCTION("split(split(K5392,""【"",false),""公式LINE"",false)"),"米大統領来日に伴い、羽田空港でのテロ計画があることを知った竜崎（杉本哲太）は、米シークレットサービスのハックマン（岡田浩暉）らに、3日以内にテロリストを逮捕すると約束する。しかし、捜査は難航。戸高（安田顕）が追っていた交通事故、さらには殺人事件も絡まりあい、捜査は混迷を極める。一方、補佐官の畠山美奈子（伊藤歩）への恋心が打ち消せない竜崎に対し、伊丹（古田新太）は先人に学ぶよう諭すのだが…竜崎の妻・冴子（鈴木砂羽）は、夫のいつもと違う様子に気づき、大森北署を訪れる。冴子と会ったという美奈子に、動揺する竜崎は"&amp;"、あることに気づくのだが…。また、伊丹は妻の浮気の噂を聞き…。竜崎伸也： 杉本哲太  伊丹俊太郎： 古田新太    戸高善信： 安田　顕  貝沼悦郎： 松澤一之  竜崎美紀： 三倉茉奈  斎藤　治： 八十田勇一  野間崎正嗣：古舘寛治  竜崎邦彦：佐野玲於    竜崎冴子： 鈴木砂羽  上條貴仁：生瀬勝久畠山美奈子：伊藤歩  ケン・ハックマン：岡田浩暉  藤本実：金田明夫音楽：窪田ミナ  主題歌：「東京」wacci （エピックレコードジャパン）脚本：松本美弥子  制作：那須田淳  チーフプロデューサー：橋"&amp;"本孝  プロデューサー：橘康仁  演出：岡本伸吾ホームページ  http://www.tbs.co.jp/inpei2014/index-j.html  ツイッター  https://twitter.com/inpei2014  @inpei2014  フェイスブック  https://www.facebook.com/inpei2014  杉本哲太＆古田新太W主演！月曜よる8時『隠蔽捜査』第6話（2/17）ダイジェスト動画公開しました！  http://youtu.be/olGPgndCNBk  番組の"&amp;"内容と放送時間は、変更になる可能性があります。")</f>
        <v>米大統領来日に伴い、羽田空港でのテロ計画があることを知った竜崎（杉本哲太）は、米シークレットサービスのハックマン（岡田浩暉）らに、3日以内にテロリストを逮捕すると約束する。しかし、捜査は難航。戸高（安田顕）が追っていた交通事故、さらには殺人事件も絡まりあい、捜査は混迷を極める。一方、補佐官の畠山美奈子（伊藤歩）への恋心が打ち消せない竜崎に対し、伊丹（古田新太）は先人に学ぶよう諭すのだが…竜崎の妻・冴子（鈴木砂羽）は、夫のいつもと違う様子に気づき、大森北署を訪れる。冴子と会ったという美奈子に、動揺する竜崎は、あることに気づくのだが…。また、伊丹は妻の浮気の噂を聞き…。竜崎伸也： 杉本哲太  伊丹俊太郎： 古田新太    戸高善信： 安田　顕  貝沼悦郎： 松澤一之  竜崎美紀： 三倉茉奈  斎藤　治： 八十田勇一  野間崎正嗣：古舘寛治  竜崎邦彦：佐野玲於    竜崎冴子： 鈴木砂羽  上條貴仁：生瀬勝久畠山美奈子：伊藤歩  ケン・ハックマン：岡田浩暉  藤本実：金田明夫音楽：窪田ミナ  主題歌：「東京」wacci （エピックレコードジャパン）脚本：松本美弥子  制作：那須田淳  チーフプロデューサー：橋本孝  プロデューサー：橘康仁  演出：岡本伸吾ホームページ  http://www.tbs.co.jp/inpei2014/index-j.html  ツイッター  https://twitter.com/inpei2014  @inpei2014  フェイスブック  https://www.facebook.com/inpei2014  杉本哲太＆古田新太W主演！月曜よる8時『隠蔽捜査』第6話（2/17）ダイジェスト動画公開しました！  http://youtu.be/olGPgndCNBk  番組の内容と放送時間は、変更になる可能性があります。</v>
      </c>
      <c r="N5392" s="2"/>
      <c r="O5392" s="2"/>
      <c r="P5392" s="1"/>
      <c r="Q5392" s="1"/>
      <c r="R5392" s="1"/>
      <c r="S5392" s="1"/>
      <c r="T5392" s="1"/>
      <c r="U5392" s="1"/>
      <c r="V5392" s="1"/>
      <c r="W5392" s="1"/>
      <c r="X5392" s="1"/>
      <c r="Y5392" s="1"/>
      <c r="Z5392" s="1"/>
      <c r="AA5392" s="1"/>
      <c r="AB5392" s="1"/>
      <c r="AC5392" s="1"/>
      <c r="AD5392" s="1"/>
      <c r="AE5392" s="1"/>
      <c r="AF5392" s="1"/>
      <c r="AG5392" s="1"/>
      <c r="AH5392" s="1"/>
      <c r="AI5392" s="1"/>
      <c r="AJ5392" s="1"/>
      <c r="AK5392" s="1"/>
      <c r="AL5392" s="1"/>
      <c r="AM5392" s="1"/>
      <c r="AN5392" s="1"/>
      <c r="AO5392" s="1"/>
      <c r="AP5392" s="1"/>
      <c r="AQ5392" s="1"/>
      <c r="AR5392" s="1"/>
      <c r="AS5392" s="1"/>
      <c r="AT5392" s="1"/>
      <c r="AU5392" s="1"/>
      <c r="AV5392" s="1"/>
      <c r="AW5392" s="1"/>
      <c r="AX5392" s="1"/>
      <c r="AY5392" s="1"/>
      <c r="AZ5392" s="1"/>
      <c r="BA5392" s="1"/>
      <c r="BB5392" s="1"/>
    </row>
    <row r="5393" ht="204.75" customHeight="1">
      <c r="A5393" s="1">
        <v>2875.0</v>
      </c>
      <c r="B5393" s="2" t="s">
        <v>14891</v>
      </c>
      <c r="C5393" s="2">
        <f>IFERROR(__xludf.DUMMYFUNCTION("split(B5393,""_"")"),1401.0)</f>
        <v>1401</v>
      </c>
      <c r="D5393" s="2" t="str">
        <f>IFERROR(__xludf.DUMMYFUNCTION("""COMPUTED_VALUE"""),"TBS")</f>
        <v>TBS</v>
      </c>
      <c r="E5393" s="2" t="str">
        <f>IFERROR(__xludf.DUMMYFUNCTION("""COMPUTED_VALUE"""),"月20")</f>
        <v>月20</v>
      </c>
      <c r="F5393" s="2" t="s">
        <v>14892</v>
      </c>
      <c r="G5393" s="2" t="s">
        <v>14907</v>
      </c>
      <c r="H5393" s="1">
        <v>8.0</v>
      </c>
      <c r="J5393" s="1" t="s">
        <v>7151</v>
      </c>
      <c r="K5393" s="2" t="s">
        <v>14908</v>
      </c>
      <c r="L5393" s="2"/>
      <c r="M5393" s="2" t="str">
        <f>IFERROR(__xludf.DUMMYFUNCTION("split(split(K5393,""【"",false),""公式LINE"",false)"),"大森北署管内で、ひき逃げ事件が発生。被害者が元外務官僚だと聞き、何かが引っ掛かる竜崎（杉本哲太）。一方、伊丹（古田新太）は、大井で発生した殺人事件の捜査を、公安に妨害されて辟易していた。そんな中、竜崎のもとに厚生労働省の麻薬取締部から、猛烈な抗議の電話が入る。麻取りが泳がせていた麻薬密輸グループを、戸高が荒らしたというのだ。捜査妨害だと訴える麻取りの矢島（升毅）に対し、竜崎は思わぬ態度を取る。美紀の恋人の三村が乗ったと思われる飛行機が、墜落事故を起こした。三村の安否が気になる美紀は、竜崎に頼んで、外務省に"&amp;"問い合わせてくれるよう懇願する。竜崎は外務省の内山（堀部圭亮）に連絡を取るが竜崎伸也： 杉本哲太  伊丹俊太郎： 古田新太     戸高善信： 安田　顕  貝沼悦郎： 松澤一之  竜崎美紀： 三倉茉奈  斎藤　治： 八十田勇一  野間崎正嗣：古舘寛治  竜崎邦彦：佐野玲於    竜崎冴子： 鈴木砂羽   上條貴仁：生瀬勝久内山昭之：堀部圭亮  矢島滋：升毅  折口秀彦：飯田基祐音楽：窪田ミナ  主題歌：「東京」wacci （エピックレコードジャパン）脚本：熊本浩武  制作：那須田淳  チーフプロデューサー"&amp;"：橋本孝  プロデューサー：橘康仁  演出：田中健太恋の悩みで竜崎がダウン寸前！月曜よる8時『隠蔽捜査』第7話（2/24）ダイジェスト動画公開致しました！  http://youtu.be/P89RTz-biD8ホームページ  http://www.tbs.co.jp/inpei2014/index-j.html  ツイッター  https://twitter.com/inpei2014  @inpei2014  フェイスブック  https://www.facebook.com/inpei2014  番"&amp;"組の内容と放送時間は、変更になる可能性があります。")</f>
        <v>大森北署管内で、ひき逃げ事件が発生。被害者が元外務官僚だと聞き、何かが引っ掛かる竜崎（杉本哲太）。一方、伊丹（古田新太）は、大井で発生した殺人事件の捜査を、公安に妨害されて辟易していた。そんな中、竜崎のもとに厚生労働省の麻薬取締部から、猛烈な抗議の電話が入る。麻取りが泳がせていた麻薬密輸グループを、戸高が荒らしたというのだ。捜査妨害だと訴える麻取りの矢島（升毅）に対し、竜崎は思わぬ態度を取る。美紀の恋人の三村が乗ったと思われる飛行機が、墜落事故を起こした。三村の安否が気になる美紀は、竜崎に頼んで、外務省に問い合わせてくれるよう懇願する。竜崎は外務省の内山（堀部圭亮）に連絡を取るが竜崎伸也： 杉本哲太  伊丹俊太郎： 古田新太     戸高善信： 安田　顕  貝沼悦郎： 松澤一之  竜崎美紀： 三倉茉奈  斎藤　治： 八十田勇一  野間崎正嗣：古舘寛治  竜崎邦彦：佐野玲於    竜崎冴子： 鈴木砂羽   上條貴仁：生瀬勝久内山昭之：堀部圭亮  矢島滋：升毅  折口秀彦：飯田基祐音楽：窪田ミナ  主題歌：「東京」wacci （エピックレコードジャパン）脚本：熊本浩武  制作：那須田淳  チーフプロデューサー：橋本孝  プロデューサー：橘康仁  演出：田中健太恋の悩みで竜崎がダウン寸前！月曜よる8時『隠蔽捜査』第7話（2/24）ダイジェスト動画公開致しました！  http://youtu.be/P89RTz-biD8ホームページ  http://www.tbs.co.jp/inpei2014/index-j.html  ツイッター  https://twitter.com/inpei2014  @inpei2014  フェイスブック  https://www.facebook.com/inpei2014  番組の内容と放送時間は、変更になる可能性があります。</v>
      </c>
      <c r="N5393" s="2"/>
      <c r="O5393" s="2"/>
      <c r="P5393" s="1"/>
      <c r="Q5393" s="1"/>
      <c r="R5393" s="1"/>
      <c r="S5393" s="1"/>
      <c r="T5393" s="1"/>
      <c r="U5393" s="1"/>
      <c r="V5393" s="1"/>
      <c r="W5393" s="1"/>
      <c r="X5393" s="1"/>
      <c r="Y5393" s="1"/>
      <c r="Z5393" s="1"/>
      <c r="AA5393" s="1"/>
      <c r="AB5393" s="1"/>
      <c r="AC5393" s="1"/>
      <c r="AD5393" s="1"/>
      <c r="AE5393" s="1"/>
      <c r="AF5393" s="1"/>
      <c r="AG5393" s="1"/>
      <c r="AH5393" s="1"/>
      <c r="AI5393" s="1"/>
      <c r="AJ5393" s="1"/>
      <c r="AK5393" s="1"/>
      <c r="AL5393" s="1"/>
      <c r="AM5393" s="1"/>
      <c r="AN5393" s="1"/>
      <c r="AO5393" s="1"/>
      <c r="AP5393" s="1"/>
      <c r="AQ5393" s="1"/>
      <c r="AR5393" s="1"/>
      <c r="AS5393" s="1"/>
      <c r="AT5393" s="1"/>
      <c r="AU5393" s="1"/>
      <c r="AV5393" s="1"/>
      <c r="AW5393" s="1"/>
      <c r="AX5393" s="1"/>
      <c r="AY5393" s="1"/>
      <c r="AZ5393" s="1"/>
      <c r="BA5393" s="1"/>
      <c r="BB5393" s="1"/>
    </row>
    <row r="5394" ht="204.75" customHeight="1">
      <c r="A5394" s="1">
        <v>2876.0</v>
      </c>
      <c r="B5394" s="2" t="s">
        <v>14891</v>
      </c>
      <c r="C5394" s="2">
        <f>IFERROR(__xludf.DUMMYFUNCTION("split(B5394,""_"")"),1401.0)</f>
        <v>1401</v>
      </c>
      <c r="D5394" s="2" t="str">
        <f>IFERROR(__xludf.DUMMYFUNCTION("""COMPUTED_VALUE"""),"TBS")</f>
        <v>TBS</v>
      </c>
      <c r="E5394" s="2" t="str">
        <f>IFERROR(__xludf.DUMMYFUNCTION("""COMPUTED_VALUE"""),"月20")</f>
        <v>月20</v>
      </c>
      <c r="F5394" s="2" t="s">
        <v>14892</v>
      </c>
      <c r="G5394" s="2" t="s">
        <v>14909</v>
      </c>
      <c r="H5394" s="1">
        <v>9.0</v>
      </c>
      <c r="J5394" s="1" t="s">
        <v>7151</v>
      </c>
      <c r="K5394" s="2" t="s">
        <v>14910</v>
      </c>
      <c r="L5394" s="2"/>
      <c r="M5394" s="2" t="str">
        <f>IFERROR(__xludf.DUMMYFUNCTION("split(split(K5394,""【"",false),""公式LINE"",false)"),"外務官僚の連続殺人事件を捜査するうちに、警察庁の上條（生瀬勝久）が裏で暗躍していることに気付く竜崎（杉本哲太）と伊丹（古田新太）。殺害された外務官僚は、警察庁と外務省が共謀して実行していた、おとり捜査の捜査員であり、それを指示していたのが、上條の部下・折口（飯田基祐）だったのだ。外務官僚の死が、上條による違法な捜査だと知り、衝撃を受ける竜崎は、証拠を掴むために外務省の内山（堀部圭亮）に接触する。一方、厚生労働省の捜査妨害を受けながらも、麻薬の売人を追う戸高（安田顕）は、情報屋から外務官僚殺人の犯人の情報を"&amp;"得る。それが、自身の追う売人・であると知り…竜崎伸也：杉本哲太  伊丹俊太郎：古田新太     戸高善信：安田　顕  貝沼悦郎：松澤一之  竜崎美紀：三倉茉奈  斎藤　治：八十田勇一  野間崎正嗣：古舘寛治  竜崎邦彦：佐野玲於    竜崎冴子：鈴木砂羽  上條貴仁：生瀬勝久内山昭之：堀部圭亮  矢島滋：升毅  折口秀彦：飯田基祐音楽：窪田ミナ  主題歌：「東京」wacci （エピックレコードジャパン）脚本：嶋田うれ葉  制作：那須田淳  チーフプロデューサー：橋本孝  プロデューサー：橘康仁  演出：酒"&amp;"井聖博省庁の壁と娘の問題が複雑に絡み合う...月曜よる8時『隠蔽捜査』第8話（3/3）ダイジェスト動画公開しました♪  http://youtu.be/bY5hxnaMslc  ホームページ  http://www.tbs.co.jp/inpei2014/index-j.html  ツイッター  https://twitter.com/inpei2014  @inpei2014  フェイスブック  https://www.facebook.com/inpei2014  番組の内容と放送時間は、変更になる可"&amp;"能性があります。")</f>
        <v>外務官僚の連続殺人事件を捜査するうちに、警察庁の上條（生瀬勝久）が裏で暗躍していることに気付く竜崎（杉本哲太）と伊丹（古田新太）。殺害された外務官僚は、警察庁と外務省が共謀して実行していた、おとり捜査の捜査員であり、それを指示していたのが、上條の部下・折口（飯田基祐）だったのだ。外務官僚の死が、上條による違法な捜査だと知り、衝撃を受ける竜崎は、証拠を掴むために外務省の内山（堀部圭亮）に接触する。一方、厚生労働省の捜査妨害を受けながらも、麻薬の売人を追う戸高（安田顕）は、情報屋から外務官僚殺人の犯人の情報を得る。それが、自身の追う売人・であると知り…竜崎伸也：杉本哲太  伊丹俊太郎：古田新太     戸高善信：安田　顕  貝沼悦郎：松澤一之  竜崎美紀：三倉茉奈  斎藤　治：八十田勇一  野間崎正嗣：古舘寛治  竜崎邦彦：佐野玲於    竜崎冴子：鈴木砂羽  上條貴仁：生瀬勝久内山昭之：堀部圭亮  矢島滋：升毅  折口秀彦：飯田基祐音楽：窪田ミナ  主題歌：「東京」wacci （エピックレコードジャパン）脚本：嶋田うれ葉  制作：那須田淳  チーフプロデューサー：橋本孝  プロデューサー：橘康仁  演出：酒井聖博省庁の壁と娘の問題が複雑に絡み合う...月曜よる8時『隠蔽捜査』第8話（3/3）ダイジェスト動画公開しました♪  http://youtu.be/bY5hxnaMslc  ホームページ  http://www.tbs.co.jp/inpei2014/index-j.html  ツイッター  https://twitter.com/inpei2014  @inpei2014  フェイスブック  https://www.facebook.com/inpei2014  番組の内容と放送時間は、変更になる可能性があります。</v>
      </c>
      <c r="N5394" s="2"/>
      <c r="O5394" s="2"/>
      <c r="P5394" s="1"/>
      <c r="Q5394" s="1"/>
      <c r="R5394" s="1"/>
      <c r="S5394" s="1"/>
      <c r="T5394" s="1"/>
      <c r="U5394" s="1"/>
      <c r="V5394" s="1"/>
      <c r="W5394" s="1"/>
      <c r="X5394" s="1"/>
      <c r="Y5394" s="1"/>
      <c r="Z5394" s="1"/>
      <c r="AA5394" s="1"/>
      <c r="AB5394" s="1"/>
      <c r="AC5394" s="1"/>
      <c r="AD5394" s="1"/>
      <c r="AE5394" s="1"/>
      <c r="AF5394" s="1"/>
      <c r="AG5394" s="1"/>
      <c r="AH5394" s="1"/>
      <c r="AI5394" s="1"/>
      <c r="AJ5394" s="1"/>
      <c r="AK5394" s="1"/>
      <c r="AL5394" s="1"/>
      <c r="AM5394" s="1"/>
      <c r="AN5394" s="1"/>
      <c r="AO5394" s="1"/>
      <c r="AP5394" s="1"/>
      <c r="AQ5394" s="1"/>
      <c r="AR5394" s="1"/>
      <c r="AS5394" s="1"/>
      <c r="AT5394" s="1"/>
      <c r="AU5394" s="1"/>
      <c r="AV5394" s="1"/>
      <c r="AW5394" s="1"/>
      <c r="AX5394" s="1"/>
      <c r="AY5394" s="1"/>
      <c r="AZ5394" s="1"/>
      <c r="BA5394" s="1"/>
      <c r="BB5394" s="1"/>
    </row>
    <row r="5395" ht="204.75" customHeight="1">
      <c r="A5395" s="1">
        <v>2877.0</v>
      </c>
      <c r="B5395" s="2" t="s">
        <v>14891</v>
      </c>
      <c r="C5395" s="2">
        <f>IFERROR(__xludf.DUMMYFUNCTION("split(B5395,""_"")"),1401.0)</f>
        <v>1401</v>
      </c>
      <c r="D5395" s="2" t="str">
        <f>IFERROR(__xludf.DUMMYFUNCTION("""COMPUTED_VALUE"""),"TBS")</f>
        <v>TBS</v>
      </c>
      <c r="E5395" s="2" t="str">
        <f>IFERROR(__xludf.DUMMYFUNCTION("""COMPUTED_VALUE"""),"月20")</f>
        <v>月20</v>
      </c>
      <c r="F5395" s="2" t="s">
        <v>14892</v>
      </c>
      <c r="G5395" s="2" t="s">
        <v>14911</v>
      </c>
      <c r="H5395" s="1">
        <v>10.0</v>
      </c>
      <c r="J5395" s="1" t="s">
        <v>7151</v>
      </c>
      <c r="K5395" s="2" t="s">
        <v>14912</v>
      </c>
      <c r="L5395" s="2"/>
      <c r="M5395" s="2" t="str">
        <f>IFERROR(__xludf.DUMMYFUNCTION("split(split(K5395,""【"",false),""公式LINE"",false)"),"元警察官僚の田辺（加藤虎ノ介）から、国会議員の中丸（五王四郎）が失踪した件を調査してほしいと依頼された伊丹（古田新太）は、竜崎（杉本哲太）に助けを求める。すると中丸の運転手が刺殺体で発見され、事態は中丸代議士誘拐事件へと発展する。目的のわからない犯人に対し、竜崎らは混和するが、逆探知と戸高（安田顕）の捜査により、犯人が横須賀に潜伏している可能性が浮上。それを聞いた伊丹は困惑し…。一方、殺害された外務官僚のおとり捜査を指示し、監察の処分を待つ身となった上條（生瀬勝久）は、辞職を決意。そんな中、中丸議員の誘拐"&amp;"事件の報道を目にし、起死回生のキャンスを思いつく。竜崎伸也：杉本哲太  伊丹俊太郎：古田新太     戸高善信：安田　顕  貝沼悦郎：松澤一之  竜崎美紀：三倉茉奈  斎藤　治：八十田勇一  野間崎正嗣：古舘寛治  竜崎邦彦：佐野玲於    竜崎冴子： 鈴木砂羽   上條貴仁：生瀬勝久田辺勇作：加藤虎ノ介  板橋武：小木茂光  榊重臣：大石吾朗音楽：窪田ミナ  主題歌：「東京」wacci （エピックレコードジャパン）脚本：松本美弥子  制作：那須田淳  チーフプロデューサー：橋本孝  プロデューサー：橘康"&amp;"仁  演出：岡本伸吾「正義」で「隠蔽」を暴くことはできるのか？クライマックスへ！月曜よる8時『隠蔽捜査』第9話（3/10）ダイジェスト動画公開しました♪  http://youtu.be/705Pw3BQY0M  ホームページ  http://www.tbs.co.jp/inpei2014/index-j.html  ツイッター  https://twitter.com/inpei2014  @inpei2014  フェイスブック  https://www.facebook.com/inpei2014  "&amp;"番組の内容と放送時間は、変更になる可能性があります。")</f>
        <v>元警察官僚の田辺（加藤虎ノ介）から、国会議員の中丸（五王四郎）が失踪した件を調査してほしいと依頼された伊丹（古田新太）は、竜崎（杉本哲太）に助けを求める。すると中丸の運転手が刺殺体で発見され、事態は中丸代議士誘拐事件へと発展する。目的のわからない犯人に対し、竜崎らは混和するが、逆探知と戸高（安田顕）の捜査により、犯人が横須賀に潜伏している可能性が浮上。それを聞いた伊丹は困惑し…。一方、殺害された外務官僚のおとり捜査を指示し、監察の処分を待つ身となった上條（生瀬勝久）は、辞職を決意。そんな中、中丸議員の誘拐事件の報道を目にし、起死回生のキャンスを思いつく。竜崎伸也：杉本哲太  伊丹俊太郎：古田新太     戸高善信：安田　顕  貝沼悦郎：松澤一之  竜崎美紀：三倉茉奈  斎藤　治：八十田勇一  野間崎正嗣：古舘寛治  竜崎邦彦：佐野玲於    竜崎冴子： 鈴木砂羽   上條貴仁：生瀬勝久田辺勇作：加藤虎ノ介  板橋武：小木茂光  榊重臣：大石吾朗音楽：窪田ミナ  主題歌：「東京」wacci （エピックレコードジャパン）脚本：松本美弥子  制作：那須田淳  チーフプロデューサー：橋本孝  プロデューサー：橘康仁  演出：岡本伸吾「正義」で「隠蔽」を暴くことはできるのか？クライマックスへ！月曜よる8時『隠蔽捜査』第9話（3/10）ダイジェスト動画公開しました♪  http://youtu.be/705Pw3BQY0M  ホームページ  http://www.tbs.co.jp/inpei2014/index-j.html  ツイッター  https://twitter.com/inpei2014  @inpei2014  フェイスブック  https://www.facebook.com/inpei2014  番組の内容と放送時間は、変更になる可能性があります。</v>
      </c>
      <c r="N5395" s="2"/>
      <c r="O5395" s="2"/>
      <c r="P5395" s="1"/>
      <c r="Q5395" s="1"/>
      <c r="R5395" s="1"/>
      <c r="S5395" s="1"/>
      <c r="T5395" s="1"/>
      <c r="U5395" s="1"/>
      <c r="V5395" s="1"/>
      <c r="W5395" s="1"/>
      <c r="X5395" s="1"/>
      <c r="Y5395" s="1"/>
      <c r="Z5395" s="1"/>
      <c r="AA5395" s="1"/>
      <c r="AB5395" s="1"/>
      <c r="AC5395" s="1"/>
      <c r="AD5395" s="1"/>
      <c r="AE5395" s="1"/>
      <c r="AF5395" s="1"/>
      <c r="AG5395" s="1"/>
      <c r="AH5395" s="1"/>
      <c r="AI5395" s="1"/>
      <c r="AJ5395" s="1"/>
      <c r="AK5395" s="1"/>
      <c r="AL5395" s="1"/>
      <c r="AM5395" s="1"/>
      <c r="AN5395" s="1"/>
      <c r="AO5395" s="1"/>
      <c r="AP5395" s="1"/>
      <c r="AQ5395" s="1"/>
      <c r="AR5395" s="1"/>
      <c r="AS5395" s="1"/>
      <c r="AT5395" s="1"/>
      <c r="AU5395" s="1"/>
      <c r="AV5395" s="1"/>
      <c r="AW5395" s="1"/>
      <c r="AX5395" s="1"/>
      <c r="AY5395" s="1"/>
      <c r="AZ5395" s="1"/>
      <c r="BA5395" s="1"/>
      <c r="BB5395" s="1"/>
    </row>
    <row r="5396" ht="204.75" customHeight="1">
      <c r="A5396" s="1">
        <v>2878.0</v>
      </c>
      <c r="B5396" s="2" t="s">
        <v>14891</v>
      </c>
      <c r="C5396" s="2">
        <f>IFERROR(__xludf.DUMMYFUNCTION("split(B5396,""_"")"),1401.0)</f>
        <v>1401</v>
      </c>
      <c r="D5396" s="2" t="str">
        <f>IFERROR(__xludf.DUMMYFUNCTION("""COMPUTED_VALUE"""),"TBS")</f>
        <v>TBS</v>
      </c>
      <c r="E5396" s="2" t="str">
        <f>IFERROR(__xludf.DUMMYFUNCTION("""COMPUTED_VALUE"""),"月20")</f>
        <v>月20</v>
      </c>
      <c r="F5396" s="2" t="s">
        <v>14892</v>
      </c>
      <c r="G5396" s="2" t="s">
        <v>14913</v>
      </c>
      <c r="H5396" s="1">
        <v>11.0</v>
      </c>
      <c r="J5396" s="1" t="s">
        <v>7151</v>
      </c>
      <c r="K5396" s="2" t="s">
        <v>14914</v>
      </c>
      <c r="L5396" s="2"/>
      <c r="M5396" s="2" t="str">
        <f>IFERROR(__xludf.DUMMYFUNCTION("split(split(K5396,""【"",false),""公式LINE"",false)"),"国会議員の中丸（五王四郎）が誘拐され、竜崎（杉本哲太）は犯人追跡のために、神奈川県警で陣頭指揮を執る。しかし、竜崎の捜査方針に対立する神奈川県警の捜査一課長の板橋（小木茂光）は、非協力的だ。そんな中、犯人と思しき人物の居場所が特定され、竜崎は伊丹（古田新太）の反対を押し切って、神奈川県警の特殊班を要請。人質救出に乗り出す。犯人の携帯を入手した竜崎は、誘拐事件の裏に黒幕の存在を感じ・・・。一方、上條（生瀬勝久）は誘拐事件と官房長・榊（大石吾朗）の関わりに気づき、ある作戦を思いつく。辞職か降格か。追い詰めらて"&amp;"いた上條の逆襲が始まる？！竜崎伸也： 杉本哲太  伊丹俊太郎： 古田新太     戸高善信： 安田　顕  貝沼悦郎： 松澤一之  竜崎美紀： 三倉茉奈  斎藤　治： 八十田勇一  野間崎正嗣：古舘寛治  竜崎邦彦：佐野玲於    竜崎冴子： 鈴木砂羽   上條貴仁：生瀬勝久田辺勇作：加藤虎ノ介  板橋武：小木茂光  榊重臣：大石吾朗音楽：窪田ミナ  主題歌：「東京」wacci （エピックレコードジャパン）脚本：松本美弥子  制作：那須田淳  チーフプロデューサー：橋本孝  プロデューサー：橘康仁  演出："&amp;"岡本伸吾新たなる難関に、ライバル上條が再び暗躍する？月曜よる8時『隠蔽捜査』第10話（3/17）ダイジェスト動画公開しました！  http://youtu.be/nNcKJwAIou0  原理原則を貫いた竜崎と伊丹の運命は！？月曜よる8時『隠蔽捜査』遂に最終回（3/24）へ！動画公開しました！  http://youtu.be/1k4GK8_pqmk  ホームページ  http://www.tbs.co.jp/inpei2014/index-j.html  ツイッター  https://twitter.c"&amp;"om/inpei2014  @inpei2014  フェイスブック  https://www.facebook.com/inpei2014  番組の内容と放送時間は、変更になる可能性があります。")</f>
        <v>国会議員の中丸（五王四郎）が誘拐され、竜崎（杉本哲太）は犯人追跡のために、神奈川県警で陣頭指揮を執る。しかし、竜崎の捜査方針に対立する神奈川県警の捜査一課長の板橋（小木茂光）は、非協力的だ。そんな中、犯人と思しき人物の居場所が特定され、竜崎は伊丹（古田新太）の反対を押し切って、神奈川県警の特殊班を要請。人質救出に乗り出す。犯人の携帯を入手した竜崎は、誘拐事件の裏に黒幕の存在を感じ・・・。一方、上條（生瀬勝久）は誘拐事件と官房長・榊（大石吾朗）の関わりに気づき、ある作戦を思いつく。辞職か降格か。追い詰めらていた上條の逆襲が始まる？！竜崎伸也： 杉本哲太  伊丹俊太郎： 古田新太     戸高善信： 安田　顕  貝沼悦郎： 松澤一之  竜崎美紀： 三倉茉奈  斎藤　治： 八十田勇一  野間崎正嗣：古舘寛治  竜崎邦彦：佐野玲於    竜崎冴子： 鈴木砂羽   上條貴仁：生瀬勝久田辺勇作：加藤虎ノ介  板橋武：小木茂光  榊重臣：大石吾朗音楽：窪田ミナ  主題歌：「東京」wacci （エピックレコードジャパン）脚本：松本美弥子  制作：那須田淳  チーフプロデューサー：橋本孝  プロデューサー：橘康仁  演出：岡本伸吾新たなる難関に、ライバル上條が再び暗躍する？月曜よる8時『隠蔽捜査』第10話（3/17）ダイジェスト動画公開しました！  http://youtu.be/nNcKJwAIou0  原理原則を貫いた竜崎と伊丹の運命は！？月曜よる8時『隠蔽捜査』遂に最終回（3/24）へ！動画公開しました！  http://youtu.be/1k4GK8_pqmk  ホームページ  http://www.tbs.co.jp/inpei2014/index-j.html  ツイッター  https://twitter.com/inpei2014  @inpei2014  フェイスブック  https://www.facebook.com/inpei2014  番組の内容と放送時間は、変更になる可能性があります。</v>
      </c>
      <c r="N5396" s="2"/>
      <c r="O5396" s="2"/>
      <c r="P5396" s="1"/>
      <c r="Q5396" s="1"/>
      <c r="R5396" s="1"/>
      <c r="S5396" s="1"/>
      <c r="T5396" s="1"/>
      <c r="U5396" s="1"/>
      <c r="V5396" s="1"/>
      <c r="W5396" s="1"/>
      <c r="X5396" s="1"/>
      <c r="Y5396" s="1"/>
      <c r="Z5396" s="1"/>
      <c r="AA5396" s="1"/>
      <c r="AB5396" s="1"/>
      <c r="AC5396" s="1"/>
      <c r="AD5396" s="1"/>
      <c r="AE5396" s="1"/>
      <c r="AF5396" s="1"/>
      <c r="AG5396" s="1"/>
      <c r="AH5396" s="1"/>
      <c r="AI5396" s="1"/>
      <c r="AJ5396" s="1"/>
      <c r="AK5396" s="1"/>
      <c r="AL5396" s="1"/>
      <c r="AM5396" s="1"/>
      <c r="AN5396" s="1"/>
      <c r="AO5396" s="1"/>
      <c r="AP5396" s="1"/>
      <c r="AQ5396" s="1"/>
      <c r="AR5396" s="1"/>
      <c r="AS5396" s="1"/>
      <c r="AT5396" s="1"/>
      <c r="AU5396" s="1"/>
      <c r="AV5396" s="1"/>
      <c r="AW5396" s="1"/>
      <c r="AX5396" s="1"/>
      <c r="AY5396" s="1"/>
      <c r="AZ5396" s="1"/>
      <c r="BA5396" s="1"/>
      <c r="BB5396" s="1"/>
    </row>
    <row r="5397" ht="204.75" customHeight="1">
      <c r="A5397" s="1">
        <v>2932.0</v>
      </c>
      <c r="B5397" s="2" t="s">
        <v>14915</v>
      </c>
      <c r="C5397" s="2">
        <f>IFERROR(__xludf.DUMMYFUNCTION("split(B5397,""_"")"),1401.0)</f>
        <v>1401</v>
      </c>
      <c r="D5397" s="2" t="str">
        <f>IFERROR(__xludf.DUMMYFUNCTION("""COMPUTED_VALUE"""),"TBS")</f>
        <v>TBS</v>
      </c>
      <c r="E5397" s="2" t="str">
        <f>IFERROR(__xludf.DUMMYFUNCTION("""COMPUTED_VALUE"""),"木21")</f>
        <v>木21</v>
      </c>
      <c r="F5397" s="2" t="s">
        <v>14916</v>
      </c>
      <c r="G5397" s="2" t="s">
        <v>14917</v>
      </c>
      <c r="H5397" s="1">
        <v>1.0</v>
      </c>
      <c r="J5397" s="1" t="s">
        <v>12865</v>
      </c>
      <c r="K5397" s="2" t="s">
        <v>14918</v>
      </c>
      <c r="L5397" s="2"/>
      <c r="M5397" s="2" t="str">
        <f>IFERROR(__xludf.DUMMYFUNCTION("split(split(K5397,""【"",false),""公式LINE"",false)"),"10秒迷えば一つの命が消えてゆく…そんな極限状態の災害現場で自ら出向き命を繋ぐ者たちがいる…  Disaster Medical Assistance Team  その組織の名前は通称DMATと呼ばれている。誰を先に助けるのか？それを決めるのは一体誰なのか！？  その役を担った八雲響という若き医師の目を通して、命の重さ、絆の強さを問うー  究極の人間ドラマが今、始まります！DMATは実際に存在する組織で、発足は1995年の阪神淡路大震災がきっかけとなっています。  このドラマは東京DMAT　東京消防庁全面"&amp;"協力の元、作られております。八雲　響…大倉忠義  吉岡　凛…加藤あい  八雲　春子…瀧本美織  長谷川　久美子…麻生祐未  小曽根　達也…佐藤二朗  村上　和司…ほっしゃん。  花田　大吉朗…松尾諭  水野　幸子…滝沢沙織  小松　健二…高木雄也（Hey!Say!JUMP)  近藤　道子…未来  　　　○  八雲　雷蔵…左とん平  桜庭　周作…石黒賢  伊勢崎　勝一…國村隼永井　武司…三又又三（1話ゲスト）  宮本　孝一…岡本光太郎（1話ゲスト）『ひびき』　関ジャニ∞  （テイチクエンタテインメント）脚本"&amp;"…穴吹一朗　吉澤智子  企画…石丸彰彦  プロデューサー…加藤章一  演出…倉貫健二郎番組HP  http://www.tbs.co.jp/DrDMAT/  Twitter  https://twitter.com/DrDMAT  番組の内容と放送時間は、変更になる場合があります。")</f>
        <v>10秒迷えば一つの命が消えてゆく…そんな極限状態の災害現場で自ら出向き命を繋ぐ者たちがいる…  Disaster Medical Assistance Team  その組織の名前は通称DMATと呼ばれている。誰を先に助けるのか？それを決めるのは一体誰なのか！？  その役を担った八雲響という若き医師の目を通して、命の重さ、絆の強さを問うー  究極の人間ドラマが今、始まります！DMATは実際に存在する組織で、発足は1995年の阪神淡路大震災がきっかけとなっています。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小曽根　達也…佐藤二朗  村上　和司…ほっしゃん。  花田　大吉朗…松尾諭  水野　幸子…滝沢沙織  小松　健二…高木雄也（Hey!Say!JUMP)  近藤　道子…未来  　　　○  八雲　雷蔵…左とん平  桜庭　周作…石黒賢  伊勢崎　勝一…國村隼永井　武司…三又又三（1話ゲスト）  宮本　孝一…岡本光太郎（1話ゲスト）『ひびき』　関ジャニ∞  （テイチクエンタテインメント）脚本…穴吹一朗　吉澤智子  企画…石丸彰彦  プロデューサー…加藤章一  演出…倉貫健二郎番組HP  http://www.tbs.co.jp/DrDMAT/  Twitter  https://twitter.com/DrDMAT  番組の内容と放送時間は、変更になる場合があります。</v>
      </c>
      <c r="N5397" s="2"/>
      <c r="O5397" s="2"/>
      <c r="P5397" s="1"/>
      <c r="Q5397" s="1"/>
      <c r="R5397" s="1"/>
      <c r="S5397" s="1"/>
      <c r="T5397" s="1"/>
      <c r="U5397" s="1"/>
      <c r="V5397" s="1"/>
      <c r="W5397" s="1"/>
      <c r="X5397" s="1"/>
      <c r="Y5397" s="1"/>
      <c r="Z5397" s="1"/>
      <c r="AA5397" s="1"/>
      <c r="AB5397" s="1"/>
      <c r="AC5397" s="1"/>
      <c r="AD5397" s="1"/>
      <c r="AE5397" s="1"/>
      <c r="AF5397" s="1"/>
      <c r="AG5397" s="1"/>
      <c r="AH5397" s="1"/>
      <c r="AI5397" s="1"/>
      <c r="AJ5397" s="1"/>
      <c r="AK5397" s="1"/>
      <c r="AL5397" s="1"/>
      <c r="AM5397" s="1"/>
      <c r="AN5397" s="1"/>
      <c r="AO5397" s="1"/>
      <c r="AP5397" s="1"/>
      <c r="AQ5397" s="1"/>
      <c r="AR5397" s="1"/>
      <c r="AS5397" s="1"/>
      <c r="AT5397" s="1"/>
      <c r="AU5397" s="1"/>
      <c r="AV5397" s="1"/>
      <c r="AW5397" s="1"/>
      <c r="AX5397" s="1"/>
      <c r="AY5397" s="1"/>
      <c r="AZ5397" s="1"/>
      <c r="BA5397" s="1"/>
      <c r="BB5397" s="1"/>
    </row>
    <row r="5398" ht="204.75" customHeight="1">
      <c r="A5398" s="1">
        <v>2933.0</v>
      </c>
      <c r="B5398" s="2" t="s">
        <v>14915</v>
      </c>
      <c r="C5398" s="2">
        <f>IFERROR(__xludf.DUMMYFUNCTION("split(B5398,""_"")"),1401.0)</f>
        <v>1401</v>
      </c>
      <c r="D5398" s="2" t="str">
        <f>IFERROR(__xludf.DUMMYFUNCTION("""COMPUTED_VALUE"""),"TBS")</f>
        <v>TBS</v>
      </c>
      <c r="E5398" s="2" t="str">
        <f>IFERROR(__xludf.DUMMYFUNCTION("""COMPUTED_VALUE"""),"木21")</f>
        <v>木21</v>
      </c>
      <c r="F5398" s="2" t="s">
        <v>14916</v>
      </c>
      <c r="G5398" s="2" t="s">
        <v>14919</v>
      </c>
      <c r="H5398" s="1">
        <v>2.0</v>
      </c>
      <c r="J5398" s="1" t="s">
        <v>11</v>
      </c>
      <c r="K5398" s="2" t="s">
        <v>14920</v>
      </c>
      <c r="L5398" s="2"/>
      <c r="M5398" s="2" t="str">
        <f>IFERROR(__xludf.DUMMYFUNCTION("split(split(K5398,""【"",false),""公式LINE"",false)"),"自らの手で殺す命を選ばなくてはいけない…そんな局面にさらされた響の前に新たな選択が立ちはだかる。…助けたい人、助けるべき人。何を基準に判断する…？ビル火災の現場に向かう響。そこで子供たちと共に火災に巻き込まれた凛を発見する。  誰を先に救助すれば良いか？幼馴染に向けた感情とDMATとしての使命の間で再び究極の選択肢を迫られる中、響が出した結論とは！？DMATは実際に存在する組織で、発足は1995年の阪神淡路大震災がきっかけとなっています。  このドラマは東京DMAT　東京消防庁全面協力の元、作られておりま"&amp;"す。八雲　響…大倉忠義  吉岡　凛…加藤あい  八雲　春子…瀧本美織  長谷川　久美子…麻生祐未  小曽根　達也…佐藤二朗  村上　和司…ほっしゃん。  花田　大吉朗…松尾諭  水野　幸子…滝沢沙織  小松　健二…高木雄也（Hey!Say!JUMP)  近藤　道子…未来  　　　○  八雲　雷蔵…左とん平  桜庭　周作…石黒賢  伊勢崎　勝一…國村隼    川谷　茂…久保晶（2話ゲスト）  伸江…竹内都子（2話ゲスト）『ひびき』　関ジャニ∞  （テイチクエンタテインメント）脚本…穴吹一朗　吉澤智子  企画"&amp;"…石丸彰彦  プロデューサー…加藤章一  演出…松田礼人番組HP  http://www.tbs.co.jp/DrDMAT/  Twitter  https://twitter.com/DrDMAT  番組の内容と放送時間は、変更になる場合があります。")</f>
        <v>自らの手で殺す命を選ばなくてはいけない…そんな局面にさらされた響の前に新たな選択が立ちはだかる。…助けたい人、助けるべき人。何を基準に判断する…？ビル火災の現場に向かう響。そこで子供たちと共に火災に巻き込まれた凛を発見する。  誰を先に救助すれば良いか？幼馴染に向けた感情とDMATとしての使命の間で再び究極の選択肢を迫られる中、響が出した結論とは！？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小曽根　達也…佐藤二朗  村上　和司…ほっしゃん。  花田　大吉朗…松尾諭  水野　幸子…滝沢沙織  小松　健二…高木雄也（Hey!Say!JUMP)  近藤　道子…未来  　　　○  八雲　雷蔵…左とん平  桜庭　周作…石黒賢  伊勢崎　勝一…國村隼    川谷　茂…久保晶（2話ゲスト）  伸江…竹内都子（2話ゲスト）『ひびき』　関ジャニ∞  （テイチクエンタテインメント）脚本…穴吹一朗　吉澤智子  企画…石丸彰彦  プロデューサー…加藤章一  演出…松田礼人番組HP  http://www.tbs.co.jp/DrDMAT/  Twitter  https://twitter.com/DrDMAT  番組の内容と放送時間は、変更になる場合があります。</v>
      </c>
      <c r="N5398" s="2"/>
      <c r="O5398" s="2"/>
      <c r="P5398" s="1"/>
      <c r="Q5398" s="1"/>
      <c r="R5398" s="1"/>
      <c r="S5398" s="1"/>
      <c r="T5398" s="1"/>
      <c r="U5398" s="1"/>
      <c r="V5398" s="1"/>
      <c r="W5398" s="1"/>
      <c r="X5398" s="1"/>
      <c r="Y5398" s="1"/>
      <c r="Z5398" s="1"/>
      <c r="AA5398" s="1"/>
      <c r="AB5398" s="1"/>
      <c r="AC5398" s="1"/>
      <c r="AD5398" s="1"/>
      <c r="AE5398" s="1"/>
      <c r="AF5398" s="1"/>
      <c r="AG5398" s="1"/>
      <c r="AH5398" s="1"/>
      <c r="AI5398" s="1"/>
      <c r="AJ5398" s="1"/>
      <c r="AK5398" s="1"/>
      <c r="AL5398" s="1"/>
      <c r="AM5398" s="1"/>
      <c r="AN5398" s="1"/>
      <c r="AO5398" s="1"/>
      <c r="AP5398" s="1"/>
      <c r="AQ5398" s="1"/>
      <c r="AR5398" s="1"/>
      <c r="AS5398" s="1"/>
      <c r="AT5398" s="1"/>
      <c r="AU5398" s="1"/>
      <c r="AV5398" s="1"/>
      <c r="AW5398" s="1"/>
      <c r="AX5398" s="1"/>
      <c r="AY5398" s="1"/>
      <c r="AZ5398" s="1"/>
      <c r="BA5398" s="1"/>
      <c r="BB5398" s="1"/>
    </row>
    <row r="5399" ht="204.75" customHeight="1">
      <c r="A5399" s="1">
        <v>2934.0</v>
      </c>
      <c r="B5399" s="2" t="s">
        <v>14915</v>
      </c>
      <c r="C5399" s="2">
        <f>IFERROR(__xludf.DUMMYFUNCTION("split(B5399,""_"")"),1401.0)</f>
        <v>1401</v>
      </c>
      <c r="D5399" s="2" t="str">
        <f>IFERROR(__xludf.DUMMYFUNCTION("""COMPUTED_VALUE"""),"TBS")</f>
        <v>TBS</v>
      </c>
      <c r="E5399" s="2" t="str">
        <f>IFERROR(__xludf.DUMMYFUNCTION("""COMPUTED_VALUE"""),"木21")</f>
        <v>木21</v>
      </c>
      <c r="F5399" s="2" t="s">
        <v>14916</v>
      </c>
      <c r="G5399" s="2" t="s">
        <v>14921</v>
      </c>
      <c r="H5399" s="1">
        <v>3.0</v>
      </c>
      <c r="J5399" s="1" t="s">
        <v>11</v>
      </c>
      <c r="K5399" s="2" t="s">
        <v>14922</v>
      </c>
      <c r="L5399" s="2"/>
      <c r="M5399" s="2" t="str">
        <f>IFERROR(__xludf.DUMMYFUNCTION("split(split(K5399,""【"",false),""公式LINE"",false)"),"ビル火災の負傷から復帰した凛がDMATに入ると聞き驚く響。そんな響のもとに、“白衣のスーパーヒーロー”だと響のことを慕うパティシエ柏木が訪れる、柏木は表情の暗い響きに違和感を感じる。数日後、エレベーター事故が発生、被災者は柏木だった、一度救った元患者の両足を切断！？またもや響きに究極の選択が襲いかかる…DMATは実際に存在する組織で、発足は1995年の阪神淡路大震災がきっかけとなっています。  このドラマは東京DMAT　東京消防庁全面協力の元、作られております。八雲　響…大倉忠義  吉岡　凛…加藤あい  "&amp;"八雲　春子…瀧本美織  長谷川　久美子…麻生祐未  小曽根　達也…佐藤二朗  村上　和司…ほっしゃん。  花田　大吉朗…松尾諭  水野　幸子…滝沢沙織  小松　健二…高木雄也（Hey!S?y!JUMP)  近藤　道子…未来  　　　○  八雲　雷蔵…左とん平  桜庭　周作…石黒賢  伊勢崎　勝一…國村隼柏木亮………中村俊介（3話ゲスト）　　  柏木沙織………粟田麗（3話ゲスト）『ひびき』　関ジャニ∞  （テイチクエンタテインメント）脚本…吉澤智子  企画…石丸彰彦  プロデューサー…加藤章一  演出…倉貫"&amp;"健二郎番組HP  http://www.tbs.co.jp/DrDMAT/  Twitter  https://twitter.com/DrDMAT  番組の内容と放送時間は、変更になる場合があります。")</f>
        <v>ビル火災の負傷から復帰した凛がDMATに入ると聞き驚く響。そんな響のもとに、“白衣のスーパーヒーロー”だと響のことを慕うパティシエ柏木が訪れる、柏木は表情の暗い響きに違和感を感じる。数日後、エレベーター事故が発生、被災者は柏木だった、一度救った元患者の両足を切断！？またもや響きに究極の選択が襲いかかる…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小曽根　達也…佐藤二朗  村上　和司…ほっしゃん。  花田　大吉朗…松尾諭  水野　幸子…滝沢沙織  小松　健二…高木雄也（Hey!S?y!JUMP)  近藤　道子…未来  　　　○  八雲　雷蔵…左とん平  桜庭　周作…石黒賢  伊勢崎　勝一…國村隼柏木亮………中村俊介（3話ゲスト）　　  柏木沙織………粟田麗（3話ゲスト）『ひびき』　関ジャニ∞  （テイチクエンタテインメント）脚本…吉澤智子  企画…石丸彰彦  プロデューサー…加藤章一  演出…倉貫健二郎番組HP  http://www.tbs.co.jp/DrDMAT/  Twitter  https://twitter.com/DrDMAT  番組の内容と放送時間は、変更になる場合があります。</v>
      </c>
      <c r="N5399" s="2"/>
      <c r="O5399" s="2"/>
      <c r="P5399" s="1"/>
      <c r="Q5399" s="1"/>
      <c r="R5399" s="1"/>
      <c r="S5399" s="1"/>
      <c r="T5399" s="1"/>
      <c r="U5399" s="1"/>
      <c r="V5399" s="1"/>
      <c r="W5399" s="1"/>
      <c r="X5399" s="1"/>
      <c r="Y5399" s="1"/>
      <c r="Z5399" s="1"/>
      <c r="AA5399" s="1"/>
      <c r="AB5399" s="1"/>
      <c r="AC5399" s="1"/>
      <c r="AD5399" s="1"/>
      <c r="AE5399" s="1"/>
      <c r="AF5399" s="1"/>
      <c r="AG5399" s="1"/>
      <c r="AH5399" s="1"/>
      <c r="AI5399" s="1"/>
      <c r="AJ5399" s="1"/>
      <c r="AK5399" s="1"/>
      <c r="AL5399" s="1"/>
      <c r="AM5399" s="1"/>
      <c r="AN5399" s="1"/>
      <c r="AO5399" s="1"/>
      <c r="AP5399" s="1"/>
      <c r="AQ5399" s="1"/>
      <c r="AR5399" s="1"/>
      <c r="AS5399" s="1"/>
      <c r="AT5399" s="1"/>
      <c r="AU5399" s="1"/>
      <c r="AV5399" s="1"/>
      <c r="AW5399" s="1"/>
      <c r="AX5399" s="1"/>
      <c r="AY5399" s="1"/>
      <c r="AZ5399" s="1"/>
      <c r="BA5399" s="1"/>
      <c r="BB5399" s="1"/>
    </row>
    <row r="5400" ht="204.75" customHeight="1">
      <c r="A5400" s="1">
        <v>2935.0</v>
      </c>
      <c r="B5400" s="2" t="s">
        <v>14915</v>
      </c>
      <c r="C5400" s="2">
        <f>IFERROR(__xludf.DUMMYFUNCTION("split(B5400,""_"")"),1401.0)</f>
        <v>1401</v>
      </c>
      <c r="D5400" s="2" t="str">
        <f>IFERROR(__xludf.DUMMYFUNCTION("""COMPUTED_VALUE"""),"TBS")</f>
        <v>TBS</v>
      </c>
      <c r="E5400" s="2" t="str">
        <f>IFERROR(__xludf.DUMMYFUNCTION("""COMPUTED_VALUE"""),"木21")</f>
        <v>木21</v>
      </c>
      <c r="F5400" s="2" t="s">
        <v>14916</v>
      </c>
      <c r="G5400" s="2" t="s">
        <v>14923</v>
      </c>
      <c r="H5400" s="1">
        <v>4.0</v>
      </c>
      <c r="J5400" s="1" t="s">
        <v>11</v>
      </c>
      <c r="K5400" s="2" t="s">
        <v>14924</v>
      </c>
      <c r="L5400" s="2"/>
      <c r="M5400" s="2" t="str">
        <f>IFERROR(__xludf.DUMMYFUNCTION("split(split(K5400,""【"",false),""公式LINE"",false)"),"柏木を救えなかった後悔から響はERに戻り貧欲に外科の処置を学ぶようになった。そんな有栖川病院に“神の手”を自負する院長の娘伊勢崎紅美が赴任することになった。ある日、ビルの解体現場で外壁の崩落事故が起きる、響のチームに出動要請が、何故か紅美も同行することに、現場では身動きの取れない頭部に血腫の疑いのある老人が、制限の厳しい瓦礫の下で究極のオペが行われる。DMATは実際に存在する組織で、発足は1995年の阪神淡路大震災がきっかけとなっています。  このドラマは東京DMAT　東京消防庁全面協力の元、作られており"&amp;"ます。八雲　響…大倉忠義  吉岡　凛…加藤あい  八雲　春子…瀧本美織  長谷川　久美子…麻生祐未  伊勢崎紅美…市川実日子  小曽根　達也…佐藤二朗  村上　和司…ほっしゃん。  花田　大吉朗…松尾諭  水野　幸子…滝沢沙織  小松　健二…高木雄也（Hey!Say!JUMP)  近藤　道子…未来  　　　○  八雲　雷蔵…左とん平  桜庭　周作…石黒賢  伊勢崎　勝一…國村隼桐谷珠代…角替和枝（4話ゲスト）  桐谷秀次郎…斉藤洋介（4話ゲスト）『ひびき』　関ジャニ∞  （テイチクエンタテインメント）脚本"&amp;"…吉澤智子・穴吹一朗  企画…石丸彰彦  プロデューサー…加藤章一  演出…松田礼人番組HP  http://www.tbs.co.jp/DrDMAT/  Twitter  @DrDMAT  https://twitter.com/DrDMAT  番組の内容と放送時間は、変更になる場合があります。")</f>
        <v>柏木を救えなかった後悔から響はERに戻り貧欲に外科の処置を学ぶようになった。そんな有栖川病院に“神の手”を自負する院長の娘伊勢崎紅美が赴任することになった。ある日、ビルの解体現場で外壁の崩落事故が起きる、響のチームに出動要請が、何故か紅美も同行することに、現場では身動きの取れない頭部に血腫の疑いのある老人が、制限の厳しい瓦礫の下で究極のオペが行われる。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伊勢崎紅美…市川実日子  小曽根　達也…佐藤二朗  村上　和司…ほっしゃん。  花田　大吉朗…松尾諭  水野　幸子…滝沢沙織  小松　健二…高木雄也（Hey!Say!JUMP)  近藤　道子…未来  　　　○  八雲　雷蔵…左とん平  桜庭　周作…石黒賢  伊勢崎　勝一…國村隼桐谷珠代…角替和枝（4話ゲスト）  桐谷秀次郎…斉藤洋介（4話ゲスト）『ひびき』　関ジャニ∞  （テイチクエンタテインメント）脚本…吉澤智子・穴吹一朗  企画…石丸彰彦  プロデューサー…加藤章一  演出…松田礼人番組HP  http://www.tbs.co.jp/DrDMAT/  Twitter  @DrDMAT  https://twitter.com/DrDMAT  番組の内容と放送時間は、変更になる場合があります。</v>
      </c>
      <c r="N5400" s="2"/>
      <c r="O5400" s="2"/>
      <c r="P5400" s="1"/>
      <c r="Q5400" s="1"/>
      <c r="R5400" s="1"/>
      <c r="S5400" s="1"/>
      <c r="T5400" s="1"/>
      <c r="U5400" s="1"/>
      <c r="V5400" s="1"/>
      <c r="W5400" s="1"/>
      <c r="X5400" s="1"/>
      <c r="Y5400" s="1"/>
      <c r="Z5400" s="1"/>
      <c r="AA5400" s="1"/>
      <c r="AB5400" s="1"/>
      <c r="AC5400" s="1"/>
      <c r="AD5400" s="1"/>
      <c r="AE5400" s="1"/>
      <c r="AF5400" s="1"/>
      <c r="AG5400" s="1"/>
      <c r="AH5400" s="1"/>
      <c r="AI5400" s="1"/>
      <c r="AJ5400" s="1"/>
      <c r="AK5400" s="1"/>
      <c r="AL5400" s="1"/>
      <c r="AM5400" s="1"/>
      <c r="AN5400" s="1"/>
      <c r="AO5400" s="1"/>
      <c r="AP5400" s="1"/>
      <c r="AQ5400" s="1"/>
      <c r="AR5400" s="1"/>
      <c r="AS5400" s="1"/>
      <c r="AT5400" s="1"/>
      <c r="AU5400" s="1"/>
      <c r="AV5400" s="1"/>
      <c r="AW5400" s="1"/>
      <c r="AX5400" s="1"/>
      <c r="AY5400" s="1"/>
      <c r="AZ5400" s="1"/>
      <c r="BA5400" s="1"/>
      <c r="BB5400" s="1"/>
    </row>
    <row r="5401" ht="204.75" customHeight="1">
      <c r="A5401" s="1">
        <v>2936.0</v>
      </c>
      <c r="B5401" s="2" t="s">
        <v>14915</v>
      </c>
      <c r="C5401" s="2">
        <f>IFERROR(__xludf.DUMMYFUNCTION("split(B5401,""_"")"),1401.0)</f>
        <v>1401</v>
      </c>
      <c r="D5401" s="2" t="str">
        <f>IFERROR(__xludf.DUMMYFUNCTION("""COMPUTED_VALUE"""),"TBS")</f>
        <v>TBS</v>
      </c>
      <c r="E5401" s="2" t="str">
        <f>IFERROR(__xludf.DUMMYFUNCTION("""COMPUTED_VALUE"""),"木21")</f>
        <v>木21</v>
      </c>
      <c r="F5401" s="2" t="s">
        <v>14916</v>
      </c>
      <c r="G5401" s="2" t="s">
        <v>14925</v>
      </c>
      <c r="H5401" s="1">
        <v>5.0</v>
      </c>
      <c r="J5401" s="1" t="s">
        <v>11</v>
      </c>
      <c r="K5401" s="2" t="s">
        <v>14926</v>
      </c>
      <c r="L5401" s="2"/>
      <c r="M5401" s="2" t="str">
        <f>IFERROR(__xludf.DUMMYFUNCTION("split(split(K5401,""【"",false),""公式LINE"",false)"),"ERでの勤務を続ける響はふとしたことから、看護師長・長谷川がシングルマザーだと知る。そんな中、有栖川病院にDMAT出動要請が来る、乗用車同士の追突事故だった、被害にあったのはトラックの運転手と家族連れ、搬送用の救急車がない状況で、親と子どちらを先に助けるか選ぶという究極の選択が響を襲うDMATは実際に存在する組織で、発足は1995年の阪神淡路大震災がきっかけとなっています。  このドラマは東京DMAT　東京消防庁全面協力の元、作られております。八雲　響…大倉忠義  吉岡　凛…加藤あい  八雲　春子…瀧本美"&amp;"織  長谷川　久美子…麻生祐未  伊勢崎　紅美…市川実日子  小曽根　達也…佐藤二朗  村上　和司…ほっしゃん。  花田　大吉朗…松尾諭  水野　幸子…滝沢沙織  小松　健二…高木雄也（Hey!Say!JUMP)  近藤　道子…未来  　　　○  八雲　雷蔵…左とん平  桜庭　周作…石黒賢  伊勢崎　勝一…國村隼丸山佑子…長谷川真弓（5話ゲスト）　　　岸田勝子…大森暁子（5話ゲスト）『ひびき』　関ジャニ∞  （テイチクエンタテインメント）脚本…吉澤智子・穴吹一朗  企画…石丸彰彦  プロデューサー…加藤章"&amp;"一  演出…堀英樹番組HP  http://www.tbs.co.jp/DrDMAT/  Twitter  https://twitter.com/DrDMAT  番組の内容と放送時間は、変更になる場合があります。")</f>
        <v>ERでの勤務を続ける響はふとしたことから、看護師長・長谷川がシングルマザーだと知る。そんな中、有栖川病院にDMAT出動要請が来る、乗用車同士の追突事故だった、被害にあったのはトラックの運転手と家族連れ、搬送用の救急車がない状況で、親と子どちらを先に助けるか選ぶという究極の選択が響を襲う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伊勢崎　紅美…市川実日子  小曽根　達也…佐藤二朗  村上　和司…ほっしゃん。  花田　大吉朗…松尾諭  水野　幸子…滝沢沙織  小松　健二…高木雄也（Hey!Say!JUMP)  近藤　道子…未来  　　　○  八雲　雷蔵…左とん平  桜庭　周作…石黒賢  伊勢崎　勝一…國村隼丸山佑子…長谷川真弓（5話ゲスト）　　　岸田勝子…大森暁子（5話ゲスト）『ひびき』　関ジャニ∞  （テイチクエンタテインメント）脚本…吉澤智子・穴吹一朗  企画…石丸彰彦  プロデューサー…加藤章一  演出…堀英樹番組HP  http://www.tbs.co.jp/DrDMAT/  Twitter  https://twitter.com/DrDMAT  番組の内容と放送時間は、変更になる場合があります。</v>
      </c>
      <c r="N5401" s="2"/>
      <c r="O5401" s="2"/>
      <c r="P5401" s="1"/>
      <c r="Q5401" s="1"/>
      <c r="R5401" s="1"/>
      <c r="S5401" s="1"/>
      <c r="T5401" s="1"/>
      <c r="U5401" s="1"/>
      <c r="V5401" s="1"/>
      <c r="W5401" s="1"/>
      <c r="X5401" s="1"/>
      <c r="Y5401" s="1"/>
      <c r="Z5401" s="1"/>
      <c r="AA5401" s="1"/>
      <c r="AB5401" s="1"/>
      <c r="AC5401" s="1"/>
      <c r="AD5401" s="1"/>
      <c r="AE5401" s="1"/>
      <c r="AF5401" s="1"/>
      <c r="AG5401" s="1"/>
      <c r="AH5401" s="1"/>
      <c r="AI5401" s="1"/>
      <c r="AJ5401" s="1"/>
      <c r="AK5401" s="1"/>
      <c r="AL5401" s="1"/>
      <c r="AM5401" s="1"/>
      <c r="AN5401" s="1"/>
      <c r="AO5401" s="1"/>
      <c r="AP5401" s="1"/>
      <c r="AQ5401" s="1"/>
      <c r="AR5401" s="1"/>
      <c r="AS5401" s="1"/>
      <c r="AT5401" s="1"/>
      <c r="AU5401" s="1"/>
      <c r="AV5401" s="1"/>
      <c r="AW5401" s="1"/>
      <c r="AX5401" s="1"/>
      <c r="AY5401" s="1"/>
      <c r="AZ5401" s="1"/>
      <c r="BA5401" s="1"/>
      <c r="BB5401" s="1"/>
    </row>
    <row r="5402" ht="204.75" customHeight="1">
      <c r="A5402" s="1">
        <v>2937.0</v>
      </c>
      <c r="B5402" s="2" t="s">
        <v>14915</v>
      </c>
      <c r="C5402" s="2">
        <f>IFERROR(__xludf.DUMMYFUNCTION("split(B5402,""_"")"),1401.0)</f>
        <v>1401</v>
      </c>
      <c r="D5402" s="2" t="str">
        <f>IFERROR(__xludf.DUMMYFUNCTION("""COMPUTED_VALUE"""),"TBS")</f>
        <v>TBS</v>
      </c>
      <c r="E5402" s="2" t="str">
        <f>IFERROR(__xludf.DUMMYFUNCTION("""COMPUTED_VALUE"""),"木21")</f>
        <v>木21</v>
      </c>
      <c r="F5402" s="2" t="s">
        <v>14916</v>
      </c>
      <c r="G5402" s="2" t="s">
        <v>14927</v>
      </c>
      <c r="H5402" s="1">
        <v>6.0</v>
      </c>
      <c r="J5402" s="1" t="s">
        <v>11</v>
      </c>
      <c r="K5402" s="2" t="s">
        <v>14928</v>
      </c>
      <c r="L5402" s="2"/>
      <c r="M5402" s="2" t="str">
        <f>IFERROR(__xludf.DUMMYFUNCTION("split(split(K5402,""【"",false),""公式LINE"",false)"),"事故で腕を傷め、バイオリニストの夢を絶たれた江上明日香（徳永えり）と、倒産寸前の町工場経営に悩む末期ガン患者の土屋哲也（小倉一郎）。絶望の淵で心通わせた二人を新たな悲劇が襲う！工場の機械に足を挟まれた土屋の命を救うには、両足切断手術をするしかない。わずかな延命のための手術を拒む土屋。死なせてあげてと訴える明日香。しかし、八雲響（大倉忠義）は両足切断してでも延命するべきと手術する準備を始めるーー！DMATは実際に存在する組織で、発足は1995年の阪神淡路大震災がきっかけとなっています。  このドラマは東京D"&amp;"MAT　東京消防庁全面協力の元、作られております。八雲響…大倉忠義  吉岡凛…加藤あい  八雲春子…瀧本美織  長谷川久美子…麻生祐未  小曽根達也…佐藤二朗  村上和司…ほっしゃん。  花田大吉朗…松尾諭  水野幸子…滝沢沙織  小松健二…高木雄也（Hey!Say!JUMP)  近藤道子…未来  　　　○  八雲雷蔵…左とん平  桜庭周作…石黒賢  伊勢崎勝一…國村隼土屋哲也…小倉一郎（6話ゲスト）　　　　江上明日香…徳永えり（6話ゲスト）『ひびき』　関ジャニ∞  （テイチクエンタテインメント）脚本…吉"&amp;"澤智子  企画…石丸彰彦  プロデューサー…加藤章一  演出…松田礼人番組HP  http://www.tbs.co.jp/DrDMAT/  Twitter  https://twitter.com/DrDMAT  @DrDMAT  番組の内容と放送時間は、変更になる場合があります。")</f>
        <v>事故で腕を傷め、バイオリニストの夢を絶たれた江上明日香（徳永えり）と、倒産寸前の町工場経営に悩む末期ガン患者の土屋哲也（小倉一郎）。絶望の淵で心通わせた二人を新たな悲劇が襲う！工場の機械に足を挟まれた土屋の命を救うには、両足切断手術をするしかない。わずかな延命のための手術を拒む土屋。死なせてあげてと訴える明日香。しかし、八雲響（大倉忠義）は両足切断してでも延命するべきと手術する準備を始めるーー！DMATは実際に存在する組織で、発足は1995年の阪神淡路大震災がきっかけとなっています。  このドラマは東京DMAT　東京消防庁全面協力の元、作られております。八雲響…大倉忠義  吉岡凛…加藤あい  八雲春子…瀧本美織  長谷川久美子…麻生祐未  小曽根達也…佐藤二朗  村上和司…ほっしゃん。  花田大吉朗…松尾諭  水野幸子…滝沢沙織  小松健二…高木雄也（Hey!Say!JUMP)  近藤道子…未来  　　　○  八雲雷蔵…左とん平  桜庭周作…石黒賢  伊勢崎勝一…國村隼土屋哲也…小倉一郎（6話ゲスト）　　　　江上明日香…徳永えり（6話ゲスト）『ひびき』　関ジャニ∞  （テイチクエンタテインメント）脚本…吉澤智子  企画…石丸彰彦  プロデューサー…加藤章一  演出…松田礼人番組HP  http://www.tbs.co.jp/DrDMAT/  Twitter  https://twitter.com/DrDMAT  @DrDMAT  番組の内容と放送時間は、変更になる場合があります。</v>
      </c>
      <c r="N5402" s="2"/>
      <c r="O5402" s="2"/>
      <c r="P5402" s="1"/>
      <c r="Q5402" s="1"/>
      <c r="R5402" s="1"/>
      <c r="S5402" s="1"/>
      <c r="T5402" s="1"/>
      <c r="U5402" s="1"/>
      <c r="V5402" s="1"/>
      <c r="W5402" s="1"/>
      <c r="X5402" s="1"/>
      <c r="Y5402" s="1"/>
      <c r="Z5402" s="1"/>
      <c r="AA5402" s="1"/>
      <c r="AB5402" s="1"/>
      <c r="AC5402" s="1"/>
      <c r="AD5402" s="1"/>
      <c r="AE5402" s="1"/>
      <c r="AF5402" s="1"/>
      <c r="AG5402" s="1"/>
      <c r="AH5402" s="1"/>
      <c r="AI5402" s="1"/>
      <c r="AJ5402" s="1"/>
      <c r="AK5402" s="1"/>
      <c r="AL5402" s="1"/>
      <c r="AM5402" s="1"/>
      <c r="AN5402" s="1"/>
      <c r="AO5402" s="1"/>
      <c r="AP5402" s="1"/>
      <c r="AQ5402" s="1"/>
      <c r="AR5402" s="1"/>
      <c r="AS5402" s="1"/>
      <c r="AT5402" s="1"/>
      <c r="AU5402" s="1"/>
      <c r="AV5402" s="1"/>
      <c r="AW5402" s="1"/>
      <c r="AX5402" s="1"/>
      <c r="AY5402" s="1"/>
      <c r="AZ5402" s="1"/>
      <c r="BA5402" s="1"/>
      <c r="BB5402" s="1"/>
    </row>
    <row r="5403" ht="204.75" customHeight="1">
      <c r="A5403" s="1">
        <v>2938.0</v>
      </c>
      <c r="B5403" s="2" t="s">
        <v>14915</v>
      </c>
      <c r="C5403" s="2">
        <f>IFERROR(__xludf.DUMMYFUNCTION("split(B5403,""_"")"),1401.0)</f>
        <v>1401</v>
      </c>
      <c r="D5403" s="2" t="str">
        <f>IFERROR(__xludf.DUMMYFUNCTION("""COMPUTED_VALUE"""),"TBS")</f>
        <v>TBS</v>
      </c>
      <c r="E5403" s="2" t="str">
        <f>IFERROR(__xludf.DUMMYFUNCTION("""COMPUTED_VALUE"""),"木21")</f>
        <v>木21</v>
      </c>
      <c r="F5403" s="2" t="s">
        <v>14916</v>
      </c>
      <c r="G5403" s="2" t="s">
        <v>14929</v>
      </c>
      <c r="H5403" s="1">
        <v>7.0</v>
      </c>
      <c r="J5403" s="1" t="s">
        <v>4</v>
      </c>
      <c r="K5403" s="2" t="s">
        <v>14930</v>
      </c>
      <c r="L5403" s="2"/>
      <c r="M5403" s="2" t="str">
        <f>IFERROR(__xludf.DUMMYFUNCTION("split(split(K5403,""【"",false),""公式LINE"",false)"),"遊園地で火災が発生したためDMATの出動要請が来た。響（大倉忠義）たちは早速現場に向かう。しかし、実際に遊園地で起きていたのは、無差別に人を刺している通り魔事件だった！警察が安全区域を定められないためDMATに車内待機が命じられるが、響たちは目の前に要救護者がいるのに待てないと独断で処置を始める。被害者数に対し医師が足りず治療が間に合わない中、重傷者の一人が自らを刺した犯人であることがわかる。DMATは実際に存在する組織で、発足は1995年の阪神淡路大震災がきっかけとなっています。  このドラマは東京DM"&amp;"AT　東京消防庁協力の元、作られております。八雲響…大倉忠義  吉岡凛…加藤あい  八雲春子…瀧本美織  長谷川久美子…麻生祐未  伊勢崎紅美…市川実日子  小曽根達也…佐藤二朗  村上和司…ほっしゃん。  花田大吉朗…松尾諭  水野幸子…滝沢沙織  小松健二…高木雄也（Hey!Say!JUMP)  　　　○  八雲雷蔵…左とん平  桜庭周作…石黒賢  伊勢崎勝一…國村隼藤原麻美…岡本玲（7話ゲスト）  鈴川康平…永岡卓也（7話ゲスト）  川畑智也…相馬圭祐（7話ゲスト）『ひびき』　関ジャニ∞  （テイチ"&amp;"クエンタテインメント）脚本…穴吹一朗　吉澤智子  企画…石丸彰彦  プロデューサー…加藤章一  演出…松田礼人番組HP  http://www.tbs.co.jp/DrDMAT/  Twitter  @DrDMAT  https://twitter.com/DrDMAT  番組の内容と放送時間は、変更になる場合があります。")</f>
        <v>遊園地で火災が発生したためDMATの出動要請が来た。響（大倉忠義）たちは早速現場に向かう。しかし、実際に遊園地で起きていたのは、無差別に人を刺している通り魔事件だった！警察が安全区域を定められないためDMATに車内待機が命じられるが、響たちは目の前に要救護者がいるのに待てないと独断で処置を始める。被害者数に対し医師が足りず治療が間に合わない中、重傷者の一人が自らを刺した犯人であることがわかる。DMATは実際に存在する組織で、発足は1995年の阪神淡路大震災がきっかけとなっています。  このドラマは東京DMAT　東京消防庁協力の元、作られております。八雲響…大倉忠義  吉岡凛…加藤あい  八雲春子…瀧本美織  長谷川久美子…麻生祐未  伊勢崎紅美…市川実日子  小曽根達也…佐藤二朗  村上和司…ほっしゃん。  花田大吉朗…松尾諭  水野幸子…滝沢沙織  小松健二…高木雄也（Hey!Say!JUMP)  　　　○  八雲雷蔵…左とん平  桜庭周作…石黒賢  伊勢崎勝一…國村隼藤原麻美…岡本玲（7話ゲスト）  鈴川康平…永岡卓也（7話ゲスト）  川畑智也…相馬圭祐（7話ゲスト）『ひびき』　関ジャニ∞  （テイチクエンタテインメント）脚本…穴吹一朗　吉澤智子  企画…石丸彰彦  プロデューサー…加藤章一  演出…松田礼人番組HP  http://www.tbs.co.jp/DrDMAT/  Twitter  @DrDMAT  https://twitter.com/DrDMAT  番組の内容と放送時間は、変更になる場合があります。</v>
      </c>
      <c r="N5403" s="2"/>
      <c r="O5403" s="2"/>
      <c r="P5403" s="1"/>
      <c r="Q5403" s="1"/>
      <c r="R5403" s="1"/>
      <c r="S5403" s="1"/>
      <c r="T5403" s="1"/>
      <c r="U5403" s="1"/>
      <c r="V5403" s="1"/>
      <c r="W5403" s="1"/>
      <c r="X5403" s="1"/>
      <c r="Y5403" s="1"/>
      <c r="Z5403" s="1"/>
      <c r="AA5403" s="1"/>
      <c r="AB5403" s="1"/>
      <c r="AC5403" s="1"/>
      <c r="AD5403" s="1"/>
      <c r="AE5403" s="1"/>
      <c r="AF5403" s="1"/>
      <c r="AG5403" s="1"/>
      <c r="AH5403" s="1"/>
      <c r="AI5403" s="1"/>
      <c r="AJ5403" s="1"/>
      <c r="AK5403" s="1"/>
      <c r="AL5403" s="1"/>
      <c r="AM5403" s="1"/>
      <c r="AN5403" s="1"/>
      <c r="AO5403" s="1"/>
      <c r="AP5403" s="1"/>
      <c r="AQ5403" s="1"/>
      <c r="AR5403" s="1"/>
      <c r="AS5403" s="1"/>
      <c r="AT5403" s="1"/>
      <c r="AU5403" s="1"/>
      <c r="AV5403" s="1"/>
      <c r="AW5403" s="1"/>
      <c r="AX5403" s="1"/>
      <c r="AY5403" s="1"/>
      <c r="AZ5403" s="1"/>
      <c r="BA5403" s="1"/>
      <c r="BB5403" s="1"/>
    </row>
    <row r="5404" ht="204.75" customHeight="1">
      <c r="A5404" s="1">
        <v>2939.0</v>
      </c>
      <c r="B5404" s="2" t="s">
        <v>14915</v>
      </c>
      <c r="C5404" s="2">
        <f>IFERROR(__xludf.DUMMYFUNCTION("split(B5404,""_"")"),1401.0)</f>
        <v>1401</v>
      </c>
      <c r="D5404" s="2" t="str">
        <f>IFERROR(__xludf.DUMMYFUNCTION("""COMPUTED_VALUE"""),"TBS")</f>
        <v>TBS</v>
      </c>
      <c r="E5404" s="2" t="str">
        <f>IFERROR(__xludf.DUMMYFUNCTION("""COMPUTED_VALUE"""),"木21")</f>
        <v>木21</v>
      </c>
      <c r="F5404" s="2" t="s">
        <v>14916</v>
      </c>
      <c r="G5404" s="2" t="s">
        <v>14931</v>
      </c>
      <c r="H5404" s="1">
        <v>8.0</v>
      </c>
      <c r="J5404" s="1" t="s">
        <v>11</v>
      </c>
      <c r="K5404" s="2" t="s">
        <v>14932</v>
      </c>
      <c r="L5404" s="2"/>
      <c r="M5404" s="2" t="str">
        <f>IFERROR(__xludf.DUMMYFUNCTION("split(split(K5404,""【"",false),""公式LINE"",false)"),"ガス爆発事故が発生し、DMATが現場へ向かう。響（大倉忠義）は、脳挫傷の疑いがあるホームレスの男性（竹下宏太郎）を早急に救急車で搬送するよう指示を出すが、小曽根（佐藤二朗）は自分が処置していた大手商社の会長・重松（浜田晃）を割り込ませて救急車に乗せてしまう。「命の重さは平等ではない」という院長の言葉に反発を覚える響。そんなある日、次期総理大臣・一之瀬義昌（国広富之）が崩落事故に遭い・・・。DMATは実際に存在する組織で、発足は1995年の阪神淡路大震災がきっかけとなっています。  このドラマは東京DMAT"&amp;"　東京消防庁全面協力の元、作られております。八雲響…大倉忠義  吉岡凛…加藤あい  八雲春子…瀧本美織  長谷川久美子…麻生祐未  伊勢崎紅美…市川実日子  小曽根達也…佐藤二朗  村上和司…ほっしゃん。  花田大吉朗…松尾諭  水野幸子…滝沢沙織  小松健二…高木雄也（Hey!Say!JUMP)  　　　○  八雲雷蔵…左とん平  桜庭周作…石黒賢  伊勢崎勝一…國村隼一之瀬義昌…国広富之（8話ゲスト）  森田章夫…デビット伊東（8話ゲスト）  山口正明…佐野泰臣（8話ゲスト）  重松勝男…浜田晃（8話"&amp;"ゲスト）  岸本薫子…ふせえり（8話ゲスト）『ひびき』　関ジャニ∞  （テイチクエンタテインメント）脚本…吉澤智子　穴吹一朗  企画…石丸彰彦  プロデューサー…加藤章一  演出…福田亮介番組HP  http://www.tbs.co.jp/DrDMAT/  Twitter  @DrDMAT  https://twitter.com/DrDMAT  番組の内容と放送時間は、変更になる場合があります。")</f>
        <v>ガス爆発事故が発生し、DMATが現場へ向かう。響（大倉忠義）は、脳挫傷の疑いがあるホームレスの男性（竹下宏太郎）を早急に救急車で搬送するよう指示を出すが、小曽根（佐藤二朗）は自分が処置していた大手商社の会長・重松（浜田晃）を割り込ませて救急車に乗せてしまう。「命の重さは平等ではない」という院長の言葉に反発を覚える響。そんなある日、次期総理大臣・一之瀬義昌（国広富之）が崩落事故に遭い・・・。DMATは実際に存在する組織で、発足は1995年の阪神淡路大震災がきっかけとなっています。  このドラマは東京DMAT　東京消防庁全面協力の元、作られております。八雲響…大倉忠義  吉岡凛…加藤あい  八雲春子…瀧本美織  長谷川久美子…麻生祐未  伊勢崎紅美…市川実日子  小曽根達也…佐藤二朗  村上和司…ほっしゃん。  花田大吉朗…松尾諭  水野幸子…滝沢沙織  小松健二…高木雄也（Hey!Say!JUMP)  　　　○  八雲雷蔵…左とん平  桜庭周作…石黒賢  伊勢崎勝一…國村隼一之瀬義昌…国広富之（8話ゲスト）  森田章夫…デビット伊東（8話ゲスト）  山口正明…佐野泰臣（8話ゲスト）  重松勝男…浜田晃（8話ゲスト）  岸本薫子…ふせえり（8話ゲスト）『ひびき』　関ジャニ∞  （テイチクエンタテインメント）脚本…吉澤智子　穴吹一朗  企画…石丸彰彦  プロデューサー…加藤章一  演出…福田亮介番組HP  http://www.tbs.co.jp/DrDMAT/  Twitter  @DrDMAT  https://twitter.com/DrDMAT  番組の内容と放送時間は、変更になる場合があります。</v>
      </c>
      <c r="N5404" s="2"/>
      <c r="O5404" s="2"/>
      <c r="P5404" s="1"/>
      <c r="Q5404" s="1"/>
      <c r="R5404" s="1"/>
      <c r="S5404" s="1"/>
      <c r="T5404" s="1"/>
      <c r="U5404" s="1"/>
      <c r="V5404" s="1"/>
      <c r="W5404" s="1"/>
      <c r="X5404" s="1"/>
      <c r="Y5404" s="1"/>
      <c r="Z5404" s="1"/>
      <c r="AA5404" s="1"/>
      <c r="AB5404" s="1"/>
      <c r="AC5404" s="1"/>
      <c r="AD5404" s="1"/>
      <c r="AE5404" s="1"/>
      <c r="AF5404" s="1"/>
      <c r="AG5404" s="1"/>
      <c r="AH5404" s="1"/>
      <c r="AI5404" s="1"/>
      <c r="AJ5404" s="1"/>
      <c r="AK5404" s="1"/>
      <c r="AL5404" s="1"/>
      <c r="AM5404" s="1"/>
      <c r="AN5404" s="1"/>
      <c r="AO5404" s="1"/>
      <c r="AP5404" s="1"/>
      <c r="AQ5404" s="1"/>
      <c r="AR5404" s="1"/>
      <c r="AS5404" s="1"/>
      <c r="AT5404" s="1"/>
      <c r="AU5404" s="1"/>
      <c r="AV5404" s="1"/>
      <c r="AW5404" s="1"/>
      <c r="AX5404" s="1"/>
      <c r="AY5404" s="1"/>
      <c r="AZ5404" s="1"/>
      <c r="BA5404" s="1"/>
      <c r="BB5404" s="1"/>
    </row>
    <row r="5405" ht="204.75" customHeight="1">
      <c r="A5405" s="1">
        <v>2940.0</v>
      </c>
      <c r="B5405" s="2" t="s">
        <v>14915</v>
      </c>
      <c r="C5405" s="2">
        <f>IFERROR(__xludf.DUMMYFUNCTION("split(B5405,""_"")"),1401.0)</f>
        <v>1401</v>
      </c>
      <c r="D5405" s="2" t="str">
        <f>IFERROR(__xludf.DUMMYFUNCTION("""COMPUTED_VALUE"""),"TBS")</f>
        <v>TBS</v>
      </c>
      <c r="E5405" s="2" t="str">
        <f>IFERROR(__xludf.DUMMYFUNCTION("""COMPUTED_VALUE"""),"木21")</f>
        <v>木21</v>
      </c>
      <c r="F5405" s="2" t="s">
        <v>14916</v>
      </c>
      <c r="G5405" s="2" t="s">
        <v>14933</v>
      </c>
      <c r="H5405" s="1">
        <v>9.0</v>
      </c>
      <c r="J5405" s="1" t="s">
        <v>11</v>
      </c>
      <c r="K5405" s="2" t="s">
        <v>14934</v>
      </c>
      <c r="L5405" s="2"/>
      <c r="M5405" s="2" t="str">
        <f>IFERROR(__xludf.DUMMYFUNCTION("split(split(K5405,""【"",false),""公式LINE"",false)"),"ある日、脳外科医の紅美（市川実日子）は響（大倉忠義）に春子（瀧本美織）の意識を戻せるかもしれないと持ちかける。ファンクショナルMRIという先端技術を使えば血流の変化を通して脳の状況がわかり、状況がわかればより正しい治療方法がわかるというのだ。響は検査を受けさせるが春子は全く反応しない。紅美は継続して検査をしようと持ちかけるが…。DMATは実際に存在する組織で、発足は1995年の阪神淡路大震災がきっかけとなっています。  このドラマは東京DMAT　東京消防庁全面協力の元、作られております。八雲　響…大倉忠義"&amp;"  吉岡　凛…加藤あい  八雲　春子…瀧本美織  長谷川　久美子…麻生祐未  伊勢崎紅美…市川実日子  小曽根　達也…佐藤二朗  村上　和司…ほっしゃん。  花田　大吉朗…松尾諭  水野　幸子…滝沢沙織  小松　健二…高木雄也（Hey!Say!JUMP)  　　　○  八雲　雷蔵…左とん平  桜庭　周作…石黒賢  伊勢崎　勝一…國村隼五十嵐美貴…青山美郷（9話ゲスト）  黒川隼人…荒井敦史（9話ゲスト）『ひびき』　関ジャニ∞  （テイチクエンタテインメント）脚本…吉澤智子  企画…石丸彰彦  プロデューサ"&amp;"ー…加藤章一  演出…倉貫健二郎番組HP  http://www.tbs.co.jp/DrDMAT/  Twitter  @DrDMAT  https://twitter.com/DrDMAT  番組の内容と放送時間は、変更になる場合があります。")</f>
        <v>ある日、脳外科医の紅美（市川実日子）は響（大倉忠義）に春子（瀧本美織）の意識を戻せるかもしれないと持ちかける。ファンクショナルMRIという先端技術を使えば血流の変化を通して脳の状況がわかり、状況がわかればより正しい治療方法がわかるというのだ。響は検査を受けさせるが春子は全く反応しない。紅美は継続して検査をしようと持ちかけるが…。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伊勢崎紅美…市川実日子  小曽根　達也…佐藤二朗  村上　和司…ほっしゃん。  花田　大吉朗…松尾諭  水野　幸子…滝沢沙織  小松　健二…高木雄也（Hey!Say!JUMP)  　　　○  八雲　雷蔵…左とん平  桜庭　周作…石黒賢  伊勢崎　勝一…國村隼五十嵐美貴…青山美郷（9話ゲスト）  黒川隼人…荒井敦史（9話ゲスト）『ひびき』　関ジャニ∞  （テイチクエンタテインメント）脚本…吉澤智子  企画…石丸彰彦  プロデューサー…加藤章一  演出…倉貫健二郎番組HP  http://www.tbs.co.jp/DrDMAT/  Twitter  @DrDMAT  https://twitter.com/DrDMAT  番組の内容と放送時間は、変更になる場合があります。</v>
      </c>
      <c r="N5405" s="2"/>
      <c r="O5405" s="2"/>
      <c r="P5405" s="1"/>
      <c r="Q5405" s="1"/>
      <c r="R5405" s="1"/>
      <c r="S5405" s="1"/>
      <c r="T5405" s="1"/>
      <c r="U5405" s="1"/>
      <c r="V5405" s="1"/>
      <c r="W5405" s="1"/>
      <c r="X5405" s="1"/>
      <c r="Y5405" s="1"/>
      <c r="Z5405" s="1"/>
      <c r="AA5405" s="1"/>
      <c r="AB5405" s="1"/>
      <c r="AC5405" s="1"/>
      <c r="AD5405" s="1"/>
      <c r="AE5405" s="1"/>
      <c r="AF5405" s="1"/>
      <c r="AG5405" s="1"/>
      <c r="AH5405" s="1"/>
      <c r="AI5405" s="1"/>
      <c r="AJ5405" s="1"/>
      <c r="AK5405" s="1"/>
      <c r="AL5405" s="1"/>
      <c r="AM5405" s="1"/>
      <c r="AN5405" s="1"/>
      <c r="AO5405" s="1"/>
      <c r="AP5405" s="1"/>
      <c r="AQ5405" s="1"/>
      <c r="AR5405" s="1"/>
      <c r="AS5405" s="1"/>
      <c r="AT5405" s="1"/>
      <c r="AU5405" s="1"/>
      <c r="AV5405" s="1"/>
      <c r="AW5405" s="1"/>
      <c r="AX5405" s="1"/>
      <c r="AY5405" s="1"/>
      <c r="AZ5405" s="1"/>
      <c r="BA5405" s="1"/>
      <c r="BB5405" s="1"/>
    </row>
    <row r="5406" ht="204.75" customHeight="1">
      <c r="A5406" s="1">
        <v>2941.0</v>
      </c>
      <c r="B5406" s="2" t="s">
        <v>14915</v>
      </c>
      <c r="C5406" s="2">
        <f>IFERROR(__xludf.DUMMYFUNCTION("split(B5406,""_"")"),1401.0)</f>
        <v>1401</v>
      </c>
      <c r="D5406" s="2" t="str">
        <f>IFERROR(__xludf.DUMMYFUNCTION("""COMPUTED_VALUE"""),"TBS")</f>
        <v>TBS</v>
      </c>
      <c r="E5406" s="2" t="str">
        <f>IFERROR(__xludf.DUMMYFUNCTION("""COMPUTED_VALUE"""),"木21")</f>
        <v>木21</v>
      </c>
      <c r="F5406" s="2" t="s">
        <v>14916</v>
      </c>
      <c r="G5406" s="2" t="s">
        <v>14935</v>
      </c>
      <c r="H5406" s="1">
        <v>10.0</v>
      </c>
      <c r="J5406" s="1" t="s">
        <v>11</v>
      </c>
      <c r="K5406" s="2" t="s">
        <v>14936</v>
      </c>
      <c r="L5406" s="2"/>
      <c r="M5406" s="2" t="str">
        <f>IFERROR(__xludf.DUMMYFUNCTION("split(split(K5406,""【"",false),""公式LINE"",false)"),"首都圏で西多摩地区を震源とする大地震が発生。多くの負傷者が病院へ押し寄せ、医師たちはその対応に追われる。街では建物の倒壊が相次いでいた。再三に渡るDMATへの出場要請を受け入れ、響（大倉忠義）たちDMATが被災現場へ向かう。突然の大災害でパニックとなり混乱する人々を前に、DMAT統括責任者として冷静に対処しようとする響だったが…。DMATは実際に存在する組織で、発足は1995年の阪神淡路大震災がきっかけとなっています。  このドラマは東京DMAT　東京消防庁全面協力の元、作られております。八雲響…大倉忠義"&amp;"  吉岡凛…加藤あい  八雲春子…瀧本美織  長谷川久美子…麻生祐未  伊勢崎紅美…市川実日子  小曽根達也…佐藤二朗  村上和司…ほっしゃん。  花田大吉朗…松尾諭  水野幸子…滝沢沙織  小松健二…高木雄也（Hey!Say!JUMP)  　　　○  八雲雷蔵…左とん平  桜庭周作…石黒賢  伊勢崎勝一…國村隼大迫卓司…宮川一朗太（10話ゲスト）  荒川菊枝…藤田弓子（10話ゲスト）  荒川七三男…森下哲夫（10話ゲスト）  中井秀俊…おかやまはじめ（10話ゲスト）『ひびき』　関ジャニ∞  （テイチクエ"&amp;"ンタテインメント）脚本…吉澤智子・穴吹一朗  企画…石丸彰彦  プロデューサー…加藤章一  演出…松田礼人番組HP  http://www.tbs.co.jp/DrDMAT/  Twitter  @DrDMAT  https://twitter.com/DrDMAT  番組の内容と放送時間は、変更になる場合があります。")</f>
        <v>首都圏で西多摩地区を震源とする大地震が発生。多くの負傷者が病院へ押し寄せ、医師たちはその対応に追われる。街では建物の倒壊が相次いでいた。再三に渡るDMATへの出場要請を受け入れ、響（大倉忠義）たちDMATが被災現場へ向かう。突然の大災害でパニックとなり混乱する人々を前に、DMAT統括責任者として冷静に対処しようとする響だったが…。DMATは実際に存在する組織で、発足は1995年の阪神淡路大震災がきっかけとなっています。  このドラマは東京DMAT　東京消防庁全面協力の元、作られております。八雲響…大倉忠義  吉岡凛…加藤あい  八雲春子…瀧本美織  長谷川久美子…麻生祐未  伊勢崎紅美…市川実日子  小曽根達也…佐藤二朗  村上和司…ほっしゃん。  花田大吉朗…松尾諭  水野幸子…滝沢沙織  小松健二…高木雄也（Hey!Say!JUMP)  　　　○  八雲雷蔵…左とん平  桜庭周作…石黒賢  伊勢崎勝一…國村隼大迫卓司…宮川一朗太（10話ゲスト）  荒川菊枝…藤田弓子（10話ゲスト）  荒川七三男…森下哲夫（10話ゲスト）  中井秀俊…おかやまはじめ（10話ゲスト）『ひびき』　関ジャニ∞  （テイチクエンタテインメント）脚本…吉澤智子・穴吹一朗  企画…石丸彰彦  プロデューサー…加藤章一  演出…松田礼人番組HP  http://www.tbs.co.jp/DrDMAT/  Twitter  @DrDMAT  https://twitter.com/DrDMAT  番組の内容と放送時間は、変更になる場合があります。</v>
      </c>
      <c r="N5406" s="2"/>
      <c r="O5406" s="2"/>
      <c r="P5406" s="1"/>
      <c r="Q5406" s="1"/>
      <c r="R5406" s="1"/>
      <c r="S5406" s="1"/>
      <c r="T5406" s="1"/>
      <c r="U5406" s="1"/>
      <c r="V5406" s="1"/>
      <c r="W5406" s="1"/>
      <c r="X5406" s="1"/>
      <c r="Y5406" s="1"/>
      <c r="Z5406" s="1"/>
      <c r="AA5406" s="1"/>
      <c r="AB5406" s="1"/>
      <c r="AC5406" s="1"/>
      <c r="AD5406" s="1"/>
      <c r="AE5406" s="1"/>
      <c r="AF5406" s="1"/>
      <c r="AG5406" s="1"/>
      <c r="AH5406" s="1"/>
      <c r="AI5406" s="1"/>
      <c r="AJ5406" s="1"/>
      <c r="AK5406" s="1"/>
      <c r="AL5406" s="1"/>
      <c r="AM5406" s="1"/>
      <c r="AN5406" s="1"/>
      <c r="AO5406" s="1"/>
      <c r="AP5406" s="1"/>
      <c r="AQ5406" s="1"/>
      <c r="AR5406" s="1"/>
      <c r="AS5406" s="1"/>
      <c r="AT5406" s="1"/>
      <c r="AU5406" s="1"/>
      <c r="AV5406" s="1"/>
      <c r="AW5406" s="1"/>
      <c r="AX5406" s="1"/>
      <c r="AY5406" s="1"/>
      <c r="AZ5406" s="1"/>
      <c r="BA5406" s="1"/>
      <c r="BB5406" s="1"/>
    </row>
    <row r="5407" ht="204.75" customHeight="1">
      <c r="A5407" s="1">
        <v>2942.0</v>
      </c>
      <c r="B5407" s="2" t="s">
        <v>14915</v>
      </c>
      <c r="C5407" s="2">
        <f>IFERROR(__xludf.DUMMYFUNCTION("split(B5407,""_"")"),1401.0)</f>
        <v>1401</v>
      </c>
      <c r="D5407" s="2" t="str">
        <f>IFERROR(__xludf.DUMMYFUNCTION("""COMPUTED_VALUE"""),"TBS")</f>
        <v>TBS</v>
      </c>
      <c r="E5407" s="2" t="str">
        <f>IFERROR(__xludf.DUMMYFUNCTION("""COMPUTED_VALUE"""),"木21")</f>
        <v>木21</v>
      </c>
      <c r="F5407" s="2" t="s">
        <v>14916</v>
      </c>
      <c r="G5407" s="2" t="s">
        <v>14937</v>
      </c>
      <c r="H5407" s="1">
        <v>11.0</v>
      </c>
      <c r="J5407" s="1" t="s">
        <v>11</v>
      </c>
      <c r="K5407" s="2" t="s">
        <v>14938</v>
      </c>
      <c r="L5407" s="2"/>
      <c r="M5407" s="2" t="str">
        <f>IFERROR(__xludf.DUMMYFUNCTION("split(split(K5407,""【"",false),""公式LINE"",false)"),"大地震発生から24時間が経過し、響（大倉忠義）たちDMATは必死の救命活動を続けていた。そんな中、奥多摩で余震による大規模な土砂崩れが発生。響は祖父・雷蔵（左とん平）のもとにいる妹の春子（瀧本美織）と幼馴染みの凛（加藤あい）を心配するが、連絡がつかない。ヘリコプターで奥多摩へ向かうDMAT。避難所で雷蔵と春子を発見し安堵する響だったが、凛が雷蔵の診療所へ忘れ物を取りに行ったままだと聞かされ…。DMATは実際に存在する組織で、発足は1995年の阪神淡路大震災がきっかけとなっています。  このドラマは東京DM"&amp;"AT　東京消防庁協力の元、作られております。八雲響…大倉忠義  吉岡凛…加藤あい  八雲春子…瀧本美織  長谷川久美子…麻生祐未  伊勢崎紅美…市川実日子  小曽根達也…佐藤二朗  村上和司…ほっしゃん。  花田大吉朗…松尾諭  水野幸子…滝沢沙織  小松健二…高木雄也（Hey!Say!JUMP)  　　　○  八雲雷蔵…左とん平  桜庭周作…石黒賢  伊勢崎勝一…國村隼『ひびき』　関ジャニ∞  （テイチクエンタテインメント）脚本…吉澤智子・穴吹一朗  企画…石丸彰彦  プロデューサー…加藤章一  演出…"&amp;"倉貫健二郎番組HP  http://www.tbs.co.jp/DrDMAT/  Twitter  @DrDMAT  https://twitter.com/DrDMAT  番組の内容と放送時間は、変更になる場合があります。")</f>
        <v>大地震発生から24時間が経過し、響（大倉忠義）たちDMATは必死の救命活動を続けていた。そんな中、奥多摩で余震による大規模な土砂崩れが発生。響は祖父・雷蔵（左とん平）のもとにいる妹の春子（瀧本美織）と幼馴染みの凛（加藤あい）を心配するが、連絡がつかない。ヘリコプターで奥多摩へ向かうDMAT。避難所で雷蔵と春子を発見し安堵する響だったが、凛が雷蔵の診療所へ忘れ物を取りに行ったままだと聞かされ…。DMATは実際に存在する組織で、発足は1995年の阪神淡路大震災がきっかけとなっています。  このドラマは東京DMAT　東京消防庁協力の元、作られております。八雲響…大倉忠義  吉岡凛…加藤あい  八雲春子…瀧本美織  長谷川久美子…麻生祐未  伊勢崎紅美…市川実日子  小曽根達也…佐藤二朗  村上和司…ほっしゃん。  花田大吉朗…松尾諭  水野幸子…滝沢沙織  小松健二…高木雄也（Hey!Say!JUMP)  　　　○  八雲雷蔵…左とん平  桜庭周作…石黒賢  伊勢崎勝一…國村隼『ひびき』　関ジャニ∞  （テイチクエンタテインメント）脚本…吉澤智子・穴吹一朗  企画…石丸彰彦  プロデューサー…加藤章一  演出…倉貫健二郎番組HP  http://www.tbs.co.jp/DrDMAT/  Twitter  @DrDMAT  https://twitter.com/DrDMAT  番組の内容と放送時間は、変更になる場合があります。</v>
      </c>
      <c r="N5407" s="2"/>
      <c r="O5407" s="2"/>
      <c r="P5407" s="1"/>
      <c r="Q5407" s="1"/>
      <c r="R5407" s="1"/>
      <c r="S5407" s="1"/>
      <c r="T5407" s="1"/>
      <c r="U5407" s="1"/>
      <c r="V5407" s="1"/>
      <c r="W5407" s="1"/>
      <c r="X5407" s="1"/>
      <c r="Y5407" s="1"/>
      <c r="Z5407" s="1"/>
      <c r="AA5407" s="1"/>
      <c r="AB5407" s="1"/>
      <c r="AC5407" s="1"/>
      <c r="AD5407" s="1"/>
      <c r="AE5407" s="1"/>
      <c r="AF5407" s="1"/>
      <c r="AG5407" s="1"/>
      <c r="AH5407" s="1"/>
      <c r="AI5407" s="1"/>
      <c r="AJ5407" s="1"/>
      <c r="AK5407" s="1"/>
      <c r="AL5407" s="1"/>
      <c r="AM5407" s="1"/>
      <c r="AN5407" s="1"/>
      <c r="AO5407" s="1"/>
      <c r="AP5407" s="1"/>
      <c r="AQ5407" s="1"/>
      <c r="AR5407" s="1"/>
      <c r="AS5407" s="1"/>
      <c r="AT5407" s="1"/>
      <c r="AU5407" s="1"/>
      <c r="AV5407" s="1"/>
      <c r="AW5407" s="1"/>
      <c r="AX5407" s="1"/>
      <c r="AY5407" s="1"/>
      <c r="AZ5407" s="1"/>
      <c r="BA5407" s="1"/>
      <c r="BB5407" s="1"/>
    </row>
    <row r="5408" ht="204.75" customHeight="1">
      <c r="A5408" s="1">
        <v>2983.0</v>
      </c>
      <c r="B5408" s="2" t="s">
        <v>14939</v>
      </c>
      <c r="C5408" s="2">
        <f>IFERROR(__xludf.DUMMYFUNCTION("split(B5408,""_"")"),1401.0)</f>
        <v>1401</v>
      </c>
      <c r="D5408" s="2" t="str">
        <f>IFERROR(__xludf.DUMMYFUNCTION("""COMPUTED_VALUE"""),"TBS")</f>
        <v>TBS</v>
      </c>
      <c r="E5408" s="2" t="str">
        <f>IFERROR(__xludf.DUMMYFUNCTION("""COMPUTED_VALUE"""),"金22")</f>
        <v>金22</v>
      </c>
      <c r="F5408" s="2" t="s">
        <v>14940</v>
      </c>
      <c r="G5408" s="2" t="s">
        <v>14941</v>
      </c>
      <c r="H5408" s="1">
        <v>1.0</v>
      </c>
      <c r="J5408" s="1" t="s">
        <v>82</v>
      </c>
      <c r="K5408" s="2" t="s">
        <v>14942</v>
      </c>
      <c r="L5408" s="2"/>
      <c r="M5408" s="2" t="str">
        <f>IFERROR(__xludf.DUMMYFUNCTION("split(split(K5408,""【"",false),""公式LINE"",false)"),"スナック勤めのアラフォー女・夜野桜がひょんな事から定時制高校の教壇に立つことになる。しかし、彼女が受け持つ日の出学院定時制4年1組は訳あり生徒達の集まりだった。人生を諦めた生徒達を相手に、桜の奮闘が始まる。「こんな先生がいたら」「こんな友達がいたら」「こんなクラスがあったら」学校生活楽しいのに。そんな気持ちになれる学園ドラマをご期待ください！！観月ありさ　蓮佛美沙子　田中圭　大政絢　高橋一生　織本順吉　新川優愛　山本舞香　清水くるみ　太賀　岡山天音　滝裕可里　江原由夏　木戸邑弥　葉山奨之　布川隼汰　杏さゆ"&amp;"り　富田翔／光石研　矢柴俊博　中原丈雄／大倉孝二　堀内敬子　笹野高史　山本耕史")</f>
        <v>スナック勤めのアラフォー女・夜野桜がひょんな事から定時制高校の教壇に立つことになる。しかし、彼女が受け持つ日の出学院定時制4年1組は訳あり生徒達の集まりだった。人生を諦めた生徒達を相手に、桜の奮闘が始まる。「こんな先生がいたら」「こんな友達がいたら」「こんなクラスがあったら」学校生活楽しいのに。そんな気持ちになれる学園ドラマをご期待ください！！観月ありさ　蓮佛美沙子　田中圭　大政絢　高橋一生　織本順吉　新川優愛　山本舞香　清水くるみ　太賀　岡山天音　滝裕可里　江原由夏　木戸邑弥　葉山奨之　布川隼汰　杏さゆり　富田翔／光石研　矢柴俊博　中原丈雄／大倉孝二　堀内敬子　笹野高史　山本耕史</v>
      </c>
      <c r="N5408" s="2"/>
      <c r="O5408" s="2"/>
      <c r="P5408" s="1"/>
      <c r="Q5408" s="1"/>
      <c r="R5408" s="1"/>
      <c r="S5408" s="1"/>
      <c r="T5408" s="1"/>
      <c r="U5408" s="1"/>
      <c r="V5408" s="1"/>
      <c r="W5408" s="1"/>
      <c r="X5408" s="1"/>
      <c r="Y5408" s="1"/>
      <c r="Z5408" s="1"/>
      <c r="AA5408" s="1"/>
      <c r="AB5408" s="1"/>
      <c r="AC5408" s="1"/>
      <c r="AD5408" s="1"/>
      <c r="AE5408" s="1"/>
      <c r="AF5408" s="1"/>
      <c r="AG5408" s="1"/>
      <c r="AH5408" s="1"/>
      <c r="AI5408" s="1"/>
      <c r="AJ5408" s="1"/>
      <c r="AK5408" s="1"/>
      <c r="AL5408" s="1"/>
      <c r="AM5408" s="1"/>
      <c r="AN5408" s="1"/>
      <c r="AO5408" s="1"/>
      <c r="AP5408" s="1"/>
      <c r="AQ5408" s="1"/>
      <c r="AR5408" s="1"/>
      <c r="AS5408" s="1"/>
      <c r="AT5408" s="1"/>
      <c r="AU5408" s="1"/>
      <c r="AV5408" s="1"/>
      <c r="AW5408" s="1"/>
      <c r="AX5408" s="1"/>
      <c r="AY5408" s="1"/>
      <c r="AZ5408" s="1"/>
      <c r="BA5408" s="1"/>
      <c r="BB5408" s="1"/>
    </row>
    <row r="5409" ht="204.75" customHeight="1">
      <c r="A5409" s="1">
        <v>2984.0</v>
      </c>
      <c r="B5409" s="2" t="s">
        <v>14939</v>
      </c>
      <c r="C5409" s="2">
        <f>IFERROR(__xludf.DUMMYFUNCTION("split(B5409,""_"")"),1401.0)</f>
        <v>1401</v>
      </c>
      <c r="D5409" s="2" t="str">
        <f>IFERROR(__xludf.DUMMYFUNCTION("""COMPUTED_VALUE"""),"TBS")</f>
        <v>TBS</v>
      </c>
      <c r="E5409" s="2" t="str">
        <f>IFERROR(__xludf.DUMMYFUNCTION("""COMPUTED_VALUE"""),"金22")</f>
        <v>金22</v>
      </c>
      <c r="F5409" s="2" t="s">
        <v>14940</v>
      </c>
      <c r="G5409" s="2" t="s">
        <v>14943</v>
      </c>
      <c r="H5409" s="1">
        <v>2.0</v>
      </c>
      <c r="J5409" s="1" t="s">
        <v>86</v>
      </c>
      <c r="K5409" s="2" t="s">
        <v>14944</v>
      </c>
      <c r="L5409" s="2"/>
      <c r="M5409" s="2" t="str">
        <f>IFERROR(__xludf.DUMMYFUNCTION("split(split(K5409,""【"",false),""公式LINE"",false)"),"日の出学院4年1組の担任になった夜野桜は、ワケあり生徒達をまとめようと意気込んでいた。そんな中、白崎桃が地下アイドルとして活動している事が判明。退学処分に追い込もうとする校長に啖呵を切る桜！「売れればいいんでしょ！！」桃の為にバラバラのクラスは一丸となれるのか？そして、コンテスト当日、桜のとったとんでもない行動とは？驚きのクライマックスへ…観月ありさ　蓮佛美沙子　田中圭　大政絢　高橋一生　織本順吉　新川優愛　山本舞香　清水くるみ　太賀　岡山天音　滝裕可里　江原由夏　高橋洋　おさる　葉山奨之／光石研　矢柴俊"&amp;"博　中原丈雄／大倉孝二　堀内敬子　笹野高史　山本耕史妄想キャリブレーション（神堂未祐奈　胡桃沢まひる　 桜野羽咲　双葉苗　星野 にぁ）")</f>
        <v>日の出学院4年1組の担任になった夜野桜は、ワケあり生徒達をまとめようと意気込んでいた。そんな中、白崎桃が地下アイドルとして活動している事が判明。退学処分に追い込もうとする校長に啖呵を切る桜！「売れればいいんでしょ！！」桃の為にバラバラのクラスは一丸となれるのか？そして、コンテスト当日、桜のとったとんでもない行動とは？驚きのクライマックスへ…観月ありさ　蓮佛美沙子　田中圭　大政絢　高橋一生　織本順吉　新川優愛　山本舞香　清水くるみ　太賀　岡山天音　滝裕可里　江原由夏　高橋洋　おさる　葉山奨之／光石研　矢柴俊博　中原丈雄／大倉孝二　堀内敬子　笹野高史　山本耕史妄想キャリブレーション（神堂未祐奈　胡桃沢まひる　 桜野羽咲　双葉苗　星野 にぁ）</v>
      </c>
      <c r="N5409" s="2"/>
      <c r="O5409" s="2"/>
      <c r="P5409" s="1"/>
      <c r="Q5409" s="1"/>
      <c r="R5409" s="1"/>
      <c r="S5409" s="1"/>
      <c r="T5409" s="1"/>
      <c r="U5409" s="1"/>
      <c r="V5409" s="1"/>
      <c r="W5409" s="1"/>
      <c r="X5409" s="1"/>
      <c r="Y5409" s="1"/>
      <c r="Z5409" s="1"/>
      <c r="AA5409" s="1"/>
      <c r="AB5409" s="1"/>
      <c r="AC5409" s="1"/>
      <c r="AD5409" s="1"/>
      <c r="AE5409" s="1"/>
      <c r="AF5409" s="1"/>
      <c r="AG5409" s="1"/>
      <c r="AH5409" s="1"/>
      <c r="AI5409" s="1"/>
      <c r="AJ5409" s="1"/>
      <c r="AK5409" s="1"/>
      <c r="AL5409" s="1"/>
      <c r="AM5409" s="1"/>
      <c r="AN5409" s="1"/>
      <c r="AO5409" s="1"/>
      <c r="AP5409" s="1"/>
      <c r="AQ5409" s="1"/>
      <c r="AR5409" s="1"/>
      <c r="AS5409" s="1"/>
      <c r="AT5409" s="1"/>
      <c r="AU5409" s="1"/>
      <c r="AV5409" s="1"/>
      <c r="AW5409" s="1"/>
      <c r="AX5409" s="1"/>
      <c r="AY5409" s="1"/>
      <c r="AZ5409" s="1"/>
      <c r="BA5409" s="1"/>
      <c r="BB5409" s="1"/>
    </row>
    <row r="5410" ht="204.75" customHeight="1">
      <c r="A5410" s="1">
        <v>2985.0</v>
      </c>
      <c r="B5410" s="2" t="s">
        <v>14939</v>
      </c>
      <c r="C5410" s="2">
        <f>IFERROR(__xludf.DUMMYFUNCTION("split(B5410,""_"")"),1401.0)</f>
        <v>1401</v>
      </c>
      <c r="D5410" s="2" t="str">
        <f>IFERROR(__xludf.DUMMYFUNCTION("""COMPUTED_VALUE"""),"TBS")</f>
        <v>TBS</v>
      </c>
      <c r="E5410" s="2" t="str">
        <f>IFERROR(__xludf.DUMMYFUNCTION("""COMPUTED_VALUE"""),"金22")</f>
        <v>金22</v>
      </c>
      <c r="F5410" s="2" t="s">
        <v>14940</v>
      </c>
      <c r="G5410" s="2" t="s">
        <v>14945</v>
      </c>
      <c r="H5410" s="1">
        <v>3.0</v>
      </c>
      <c r="J5410" s="1" t="s">
        <v>86</v>
      </c>
      <c r="K5410" s="2" t="s">
        <v>14946</v>
      </c>
      <c r="L5410" s="2"/>
      <c r="M5410" s="2" t="str">
        <f>IFERROR(__xludf.DUMMYFUNCTION("split(split(K5410,""【"",false),""公式LINE"",false)"),"桜が担任を務める日の出学院定時制4年1組の中に、1000億円を稼ぐ社長がいるらしい。それは一体誰なのか？一方、夢に挑戦することもなく、漫画家のアシスタントをしている男。「夢」を追うことは大切だが・・・桜は驚きの持論を唱える。それは一体？クラスメイトの為に、生徒は動くのか？「なんでオレがやらなきゃなんねぇんだよ、関係ねぇだろ！！」衝撃のラストを迎える・・・観月ありさ　蓮佛美沙子　田中圭　大政絢　高橋一生　織本順吉　新川優愛　山本舞香　清水くるみ　太賀　岡山天音　滝裕可里　江原由夏　袴田吉彦　葉山奨之／光石研"&amp;"　矢柴俊博　中原丈雄／大倉孝二　堀内敬子　笹野高史　山本耕史")</f>
        <v>桜が担任を務める日の出学院定時制4年1組の中に、1000億円を稼ぐ社長がいるらしい。それは一体誰なのか？一方、夢に挑戦することもなく、漫画家のアシスタントをしている男。「夢」を追うことは大切だが・・・桜は驚きの持論を唱える。それは一体？クラスメイトの為に、生徒は動くのか？「なんでオレがやらなきゃなんねぇんだよ、関係ねぇだろ！！」衝撃のラストを迎える・・・観月ありさ　蓮佛美沙子　田中圭　大政絢　高橋一生　織本順吉　新川優愛　山本舞香　清水くるみ　太賀　岡山天音　滝裕可里　江原由夏　袴田吉彦　葉山奨之／光石研　矢柴俊博　中原丈雄／大倉孝二　堀内敬子　笹野高史　山本耕史</v>
      </c>
      <c r="N5410" s="2"/>
      <c r="O5410" s="2"/>
      <c r="P5410" s="1"/>
      <c r="Q5410" s="1"/>
      <c r="R5410" s="1"/>
      <c r="S5410" s="1"/>
      <c r="T5410" s="1"/>
      <c r="U5410" s="1"/>
      <c r="V5410" s="1"/>
      <c r="W5410" s="1"/>
      <c r="X5410" s="1"/>
      <c r="Y5410" s="1"/>
      <c r="Z5410" s="1"/>
      <c r="AA5410" s="1"/>
      <c r="AB5410" s="1"/>
      <c r="AC5410" s="1"/>
      <c r="AD5410" s="1"/>
      <c r="AE5410" s="1"/>
      <c r="AF5410" s="1"/>
      <c r="AG5410" s="1"/>
      <c r="AH5410" s="1"/>
      <c r="AI5410" s="1"/>
      <c r="AJ5410" s="1"/>
      <c r="AK5410" s="1"/>
      <c r="AL5410" s="1"/>
      <c r="AM5410" s="1"/>
      <c r="AN5410" s="1"/>
      <c r="AO5410" s="1"/>
      <c r="AP5410" s="1"/>
      <c r="AQ5410" s="1"/>
      <c r="AR5410" s="1"/>
      <c r="AS5410" s="1"/>
      <c r="AT5410" s="1"/>
      <c r="AU5410" s="1"/>
      <c r="AV5410" s="1"/>
      <c r="AW5410" s="1"/>
      <c r="AX5410" s="1"/>
      <c r="AY5410" s="1"/>
      <c r="AZ5410" s="1"/>
      <c r="BA5410" s="1"/>
      <c r="BB5410" s="1"/>
    </row>
    <row r="5411" ht="204.75" customHeight="1">
      <c r="A5411" s="1">
        <v>2986.0</v>
      </c>
      <c r="B5411" s="2" t="s">
        <v>14939</v>
      </c>
      <c r="C5411" s="2">
        <f>IFERROR(__xludf.DUMMYFUNCTION("split(B5411,""_"")"),1401.0)</f>
        <v>1401</v>
      </c>
      <c r="D5411" s="2" t="str">
        <f>IFERROR(__xludf.DUMMYFUNCTION("""COMPUTED_VALUE"""),"TBS")</f>
        <v>TBS</v>
      </c>
      <c r="E5411" s="2" t="str">
        <f>IFERROR(__xludf.DUMMYFUNCTION("""COMPUTED_VALUE"""),"金22")</f>
        <v>金22</v>
      </c>
      <c r="F5411" s="2" t="s">
        <v>14940</v>
      </c>
      <c r="G5411" s="2" t="s">
        <v>14947</v>
      </c>
      <c r="H5411" s="1">
        <v>4.0</v>
      </c>
      <c r="J5411" s="1" t="s">
        <v>86</v>
      </c>
      <c r="K5411" s="2" t="s">
        <v>14948</v>
      </c>
      <c r="L5411" s="2"/>
      <c r="M5411" s="2" t="str">
        <f>IFERROR(__xludf.DUMMYFUNCTION("split(split(K5411,""【"",false),""公式LINE"",false)"),"定時制のクラスに伝説の不良がいるらしい。その正体は・・・！？そして、壁の落書きの真犯人とは一体誰なのか？狙われた定時制の生徒たち。友達を守る為の、男の戦いが始まる。そして、新たなクラスメイトが登場する。その生徒とは一体！！勇気と友情の涙の第4話は、誰もが予想だにしない結末を迎える！！観月ありさ　蓮佛美沙子　田中圭　大政絢　高橋一生　織本順吉　新川優愛　山本舞香　清水くるみ　太賀　岡山天音　滝裕可里　江原由夏　葉山奨之　平埜生成／光石研　矢柴俊博　中原丈雄／大倉孝二　堀内敬子　大杉漣　笹野高史　山本耕史")</f>
        <v>定時制のクラスに伝説の不良がいるらしい。その正体は・・・！？そして、壁の落書きの真犯人とは一体誰なのか？狙われた定時制の生徒たち。友達を守る為の、男の戦いが始まる。そして、新たなクラスメイトが登場する。その生徒とは一体！！勇気と友情の涙の第4話は、誰もが予想だにしない結末を迎える！！観月ありさ　蓮佛美沙子　田中圭　大政絢　高橋一生　織本順吉　新川優愛　山本舞香　清水くるみ　太賀　岡山天音　滝裕可里　江原由夏　葉山奨之　平埜生成／光石研　矢柴俊博　中原丈雄／大倉孝二　堀内敬子　大杉漣　笹野高史　山本耕史</v>
      </c>
      <c r="N5411" s="2"/>
      <c r="O5411" s="2"/>
      <c r="P5411" s="1"/>
      <c r="Q5411" s="1"/>
      <c r="R5411" s="1"/>
      <c r="S5411" s="1"/>
      <c r="T5411" s="1"/>
      <c r="U5411" s="1"/>
      <c r="V5411" s="1"/>
      <c r="W5411" s="1"/>
      <c r="X5411" s="1"/>
      <c r="Y5411" s="1"/>
      <c r="Z5411" s="1"/>
      <c r="AA5411" s="1"/>
      <c r="AB5411" s="1"/>
      <c r="AC5411" s="1"/>
      <c r="AD5411" s="1"/>
      <c r="AE5411" s="1"/>
      <c r="AF5411" s="1"/>
      <c r="AG5411" s="1"/>
      <c r="AH5411" s="1"/>
      <c r="AI5411" s="1"/>
      <c r="AJ5411" s="1"/>
      <c r="AK5411" s="1"/>
      <c r="AL5411" s="1"/>
      <c r="AM5411" s="1"/>
      <c r="AN5411" s="1"/>
      <c r="AO5411" s="1"/>
      <c r="AP5411" s="1"/>
      <c r="AQ5411" s="1"/>
      <c r="AR5411" s="1"/>
      <c r="AS5411" s="1"/>
      <c r="AT5411" s="1"/>
      <c r="AU5411" s="1"/>
      <c r="AV5411" s="1"/>
      <c r="AW5411" s="1"/>
      <c r="AX5411" s="1"/>
      <c r="AY5411" s="1"/>
      <c r="AZ5411" s="1"/>
      <c r="BA5411" s="1"/>
      <c r="BB5411" s="1"/>
    </row>
    <row r="5412" ht="204.75" customHeight="1">
      <c r="A5412" s="1">
        <v>2987.0</v>
      </c>
      <c r="B5412" s="2" t="s">
        <v>14939</v>
      </c>
      <c r="C5412" s="2">
        <f>IFERROR(__xludf.DUMMYFUNCTION("split(B5412,""_"")"),1401.0)</f>
        <v>1401</v>
      </c>
      <c r="D5412" s="2" t="str">
        <f>IFERROR(__xludf.DUMMYFUNCTION("""COMPUTED_VALUE"""),"TBS")</f>
        <v>TBS</v>
      </c>
      <c r="E5412" s="2" t="str">
        <f>IFERROR(__xludf.DUMMYFUNCTION("""COMPUTED_VALUE"""),"金22")</f>
        <v>金22</v>
      </c>
      <c r="F5412" s="2" t="s">
        <v>14940</v>
      </c>
      <c r="G5412" s="2" t="s">
        <v>14949</v>
      </c>
      <c r="H5412" s="1">
        <v>5.0</v>
      </c>
      <c r="J5412" s="1" t="s">
        <v>86</v>
      </c>
      <c r="K5412" s="2" t="s">
        <v>14950</v>
      </c>
      <c r="L5412" s="2"/>
      <c r="M5412" s="2" t="str">
        <f>IFERROR(__xludf.DUMMYFUNCTION("split(split(K5412,""【"",false),""公式LINE"",false)"),"4年1組に戻ってきた仙波（大杉漣）には息子がいた。生き別れになった息子と現在の仙波の姿、何の関係があるのだろうか？桜たちは息子を探す為にフットサルをすることになる。そして、壁の落書きの犯人に襲われる玲（山本舞香）。玲を殴った真犯人とはあの人物だった！全ての謎が明らかになる。果たして、息子に対面することができるのだろうか！？観月ありさ　蓮佛美沙子　田中圭　大政絢　高橋一生　織本順吉　新川優愛　山本舞香　清水くるみ　太賀　岡山天音　滝裕可里　江原由夏　葉山奨之　平埜生成／光石研　矢柴俊博　中原丈雄／大倉孝二　"&amp;"堀内敬子　大杉漣　笹野高史　山本耕史")</f>
        <v>4年1組に戻ってきた仙波（大杉漣）には息子がいた。生き別れになった息子と現在の仙波の姿、何の関係があるのだろうか？桜たちは息子を探す為にフットサルをすることになる。そして、壁の落書きの犯人に襲われる玲（山本舞香）。玲を殴った真犯人とはあの人物だった！全ての謎が明らかになる。果たして、息子に対面することができるのだろうか！？観月ありさ　蓮佛美沙子　田中圭　大政絢　高橋一生　織本順吉　新川優愛　山本舞香　清水くるみ　太賀　岡山天音　滝裕可里　江原由夏　葉山奨之　平埜生成／光石研　矢柴俊博　中原丈雄／大倉孝二　堀内敬子　大杉漣　笹野高史　山本耕史</v>
      </c>
      <c r="N5412" s="2"/>
      <c r="O5412" s="2"/>
      <c r="P5412" s="1"/>
      <c r="Q5412" s="1"/>
      <c r="R5412" s="1"/>
      <c r="S5412" s="1"/>
      <c r="T5412" s="1"/>
      <c r="U5412" s="1"/>
      <c r="V5412" s="1"/>
      <c r="W5412" s="1"/>
      <c r="X5412" s="1"/>
      <c r="Y5412" s="1"/>
      <c r="Z5412" s="1"/>
      <c r="AA5412" s="1"/>
      <c r="AB5412" s="1"/>
      <c r="AC5412" s="1"/>
      <c r="AD5412" s="1"/>
      <c r="AE5412" s="1"/>
      <c r="AF5412" s="1"/>
      <c r="AG5412" s="1"/>
      <c r="AH5412" s="1"/>
      <c r="AI5412" s="1"/>
      <c r="AJ5412" s="1"/>
      <c r="AK5412" s="1"/>
      <c r="AL5412" s="1"/>
      <c r="AM5412" s="1"/>
      <c r="AN5412" s="1"/>
      <c r="AO5412" s="1"/>
      <c r="AP5412" s="1"/>
      <c r="AQ5412" s="1"/>
      <c r="AR5412" s="1"/>
      <c r="AS5412" s="1"/>
      <c r="AT5412" s="1"/>
      <c r="AU5412" s="1"/>
      <c r="AV5412" s="1"/>
      <c r="AW5412" s="1"/>
      <c r="AX5412" s="1"/>
      <c r="AY5412" s="1"/>
      <c r="AZ5412" s="1"/>
      <c r="BA5412" s="1"/>
      <c r="BB5412" s="1"/>
    </row>
    <row r="5413" ht="204.75" customHeight="1">
      <c r="A5413" s="1">
        <v>2988.0</v>
      </c>
      <c r="B5413" s="2" t="s">
        <v>14939</v>
      </c>
      <c r="C5413" s="2">
        <f>IFERROR(__xludf.DUMMYFUNCTION("split(B5413,""_"")"),1401.0)</f>
        <v>1401</v>
      </c>
      <c r="D5413" s="2" t="str">
        <f>IFERROR(__xludf.DUMMYFUNCTION("""COMPUTED_VALUE"""),"TBS")</f>
        <v>TBS</v>
      </c>
      <c r="E5413" s="2" t="str">
        <f>IFERROR(__xludf.DUMMYFUNCTION("""COMPUTED_VALUE"""),"金22")</f>
        <v>金22</v>
      </c>
      <c r="F5413" s="2" t="s">
        <v>14940</v>
      </c>
      <c r="G5413" s="2" t="s">
        <v>14951</v>
      </c>
      <c r="H5413" s="1">
        <v>6.0</v>
      </c>
      <c r="J5413" s="1" t="s">
        <v>86</v>
      </c>
      <c r="K5413" s="2" t="s">
        <v>14952</v>
      </c>
      <c r="L5413" s="2"/>
      <c r="M5413" s="2" t="str">
        <f>IFERROR(__xludf.DUMMYFUNCTION("split(split(K5413,""【"",false),""公式LINE"",false)"),"歌舞伎町の売れっ子ホストの一郎(高橋一生)と、40代専業主婦の真理が仲睦まじくホストクラブに入って行くところが目撃される。クラス中では一郎が真理を騙し大金をせしめようとしているという噂が流れ孤立して行く一郎。一方真理は夫や息子に相手にされない毎日から、一郎に本気で惹かれていく。しかし、純粋な大人の恋愛では片付けられない、謎が隠されていた。一郎の命運をかけた一世一代の大勝負、その時桜は…観月ありさ　蓮佛美沙子　田中圭　大政絢　高橋一生　織本順吉　新川優愛　山本舞香　清水くるみ　太賀　岡山天音　滝裕可里　江原"&amp;"由夏　菊田大輔  松島庄汰  山田ジェームス武／光石研　矢柴俊博　中原丈雄／大倉孝二　堀内敬子  大杉漣　笹野高史　山本耕史")</f>
        <v>歌舞伎町の売れっ子ホストの一郎(高橋一生)と、40代専業主婦の真理が仲睦まじくホストクラブに入って行くところが目撃される。クラス中では一郎が真理を騙し大金をせしめようとしているという噂が流れ孤立して行く一郎。一方真理は夫や息子に相手にされない毎日から、一郎に本気で惹かれていく。しかし、純粋な大人の恋愛では片付けられない、謎が隠されていた。一郎の命運をかけた一世一代の大勝負、その時桜は…観月ありさ　蓮佛美沙子　田中圭　大政絢　高橋一生　織本順吉　新川優愛　山本舞香　清水くるみ　太賀　岡山天音　滝裕可里　江原由夏　菊田大輔  松島庄汰  山田ジェームス武／光石研　矢柴俊博　中原丈雄／大倉孝二　堀内敬子  大杉漣　笹野高史　山本耕史</v>
      </c>
      <c r="N5413" s="2"/>
      <c r="O5413" s="2"/>
      <c r="P5413" s="1"/>
      <c r="Q5413" s="1"/>
      <c r="R5413" s="1"/>
      <c r="S5413" s="1"/>
      <c r="T5413" s="1"/>
      <c r="U5413" s="1"/>
      <c r="V5413" s="1"/>
      <c r="W5413" s="1"/>
      <c r="X5413" s="1"/>
      <c r="Y5413" s="1"/>
      <c r="Z5413" s="1"/>
      <c r="AA5413" s="1"/>
      <c r="AB5413" s="1"/>
      <c r="AC5413" s="1"/>
      <c r="AD5413" s="1"/>
      <c r="AE5413" s="1"/>
      <c r="AF5413" s="1"/>
      <c r="AG5413" s="1"/>
      <c r="AH5413" s="1"/>
      <c r="AI5413" s="1"/>
      <c r="AJ5413" s="1"/>
      <c r="AK5413" s="1"/>
      <c r="AL5413" s="1"/>
      <c r="AM5413" s="1"/>
      <c r="AN5413" s="1"/>
      <c r="AO5413" s="1"/>
      <c r="AP5413" s="1"/>
      <c r="AQ5413" s="1"/>
      <c r="AR5413" s="1"/>
      <c r="AS5413" s="1"/>
      <c r="AT5413" s="1"/>
      <c r="AU5413" s="1"/>
      <c r="AV5413" s="1"/>
      <c r="AW5413" s="1"/>
      <c r="AX5413" s="1"/>
      <c r="AY5413" s="1"/>
      <c r="AZ5413" s="1"/>
      <c r="BA5413" s="1"/>
      <c r="BB5413" s="1"/>
    </row>
    <row r="5414" ht="204.75" customHeight="1">
      <c r="A5414" s="1">
        <v>2989.0</v>
      </c>
      <c r="B5414" s="2" t="s">
        <v>14939</v>
      </c>
      <c r="C5414" s="2">
        <f>IFERROR(__xludf.DUMMYFUNCTION("split(B5414,""_"")"),1401.0)</f>
        <v>1401</v>
      </c>
      <c r="D5414" s="2" t="str">
        <f>IFERROR(__xludf.DUMMYFUNCTION("""COMPUTED_VALUE"""),"TBS")</f>
        <v>TBS</v>
      </c>
      <c r="E5414" s="2" t="str">
        <f>IFERROR(__xludf.DUMMYFUNCTION("""COMPUTED_VALUE"""),"金22")</f>
        <v>金22</v>
      </c>
      <c r="F5414" s="2" t="s">
        <v>14940</v>
      </c>
      <c r="G5414" s="2" t="s">
        <v>14953</v>
      </c>
      <c r="H5414" s="1">
        <v>7.0</v>
      </c>
      <c r="J5414" s="1" t="s">
        <v>86</v>
      </c>
      <c r="K5414" s="2" t="s">
        <v>14954</v>
      </c>
      <c r="L5414" s="2"/>
      <c r="M5414" s="2" t="str">
        <f>IFERROR(__xludf.DUMMYFUNCTION("split(split(K5414,""【"",false),""公式LINE"",false)"),"大神玲（山本舞香）のパソコンから「殺人サイト」への閲覧履歴が発見される。同時に華（蓮佛美沙子）は彼女のカバンの中に包丁を見つける。彼女の目的とは…？桜は無事に問題を解決できるのか？そして、外内（笹野高史）の正体が明らかになる。物語は終盤に差し掛かる。まだまだ謎に包まれた、上武（田中圭）、大澤（山本耕史）にも波乱の足音が迫っていた…観月ありさ　蓮佛美沙子　田中圭　大政絢　高橋一生　織本順吉　新川優愛　山本舞香　清水くるみ　太賀　岡山天音　滝裕可里　江原由夏　三宅弘城／光石研　矢柴俊博　中原丈雄／大倉孝二　堀"&amp;"内敬子　大杉漣　笹野高史　山本耕史")</f>
        <v>大神玲（山本舞香）のパソコンから「殺人サイト」への閲覧履歴が発見される。同時に華（蓮佛美沙子）は彼女のカバンの中に包丁を見つける。彼女の目的とは…？桜は無事に問題を解決できるのか？そして、外内（笹野高史）の正体が明らかになる。物語は終盤に差し掛かる。まだまだ謎に包まれた、上武（田中圭）、大澤（山本耕史）にも波乱の足音が迫っていた…観月ありさ　蓮佛美沙子　田中圭　大政絢　高橋一生　織本順吉　新川優愛　山本舞香　清水くるみ　太賀　岡山天音　滝裕可里　江原由夏　三宅弘城／光石研　矢柴俊博　中原丈雄／大倉孝二　堀内敬子　大杉漣　笹野高史　山本耕史</v>
      </c>
      <c r="N5414" s="2"/>
      <c r="O5414" s="2"/>
      <c r="P5414" s="1"/>
      <c r="Q5414" s="1"/>
      <c r="R5414" s="1"/>
      <c r="S5414" s="1"/>
      <c r="T5414" s="1"/>
      <c r="U5414" s="1"/>
      <c r="V5414" s="1"/>
      <c r="W5414" s="1"/>
      <c r="X5414" s="1"/>
      <c r="Y5414" s="1"/>
      <c r="Z5414" s="1"/>
      <c r="AA5414" s="1"/>
      <c r="AB5414" s="1"/>
      <c r="AC5414" s="1"/>
      <c r="AD5414" s="1"/>
      <c r="AE5414" s="1"/>
      <c r="AF5414" s="1"/>
      <c r="AG5414" s="1"/>
      <c r="AH5414" s="1"/>
      <c r="AI5414" s="1"/>
      <c r="AJ5414" s="1"/>
      <c r="AK5414" s="1"/>
      <c r="AL5414" s="1"/>
      <c r="AM5414" s="1"/>
      <c r="AN5414" s="1"/>
      <c r="AO5414" s="1"/>
      <c r="AP5414" s="1"/>
      <c r="AQ5414" s="1"/>
      <c r="AR5414" s="1"/>
      <c r="AS5414" s="1"/>
      <c r="AT5414" s="1"/>
      <c r="AU5414" s="1"/>
      <c r="AV5414" s="1"/>
      <c r="AW5414" s="1"/>
      <c r="AX5414" s="1"/>
      <c r="AY5414" s="1"/>
      <c r="AZ5414" s="1"/>
      <c r="BA5414" s="1"/>
      <c r="BB5414" s="1"/>
    </row>
    <row r="5415" ht="204.75" customHeight="1">
      <c r="A5415" s="1">
        <v>2990.0</v>
      </c>
      <c r="B5415" s="2" t="s">
        <v>14939</v>
      </c>
      <c r="C5415" s="2">
        <f>IFERROR(__xludf.DUMMYFUNCTION("split(B5415,""_"")"),1401.0)</f>
        <v>1401</v>
      </c>
      <c r="D5415" s="2" t="str">
        <f>IFERROR(__xludf.DUMMYFUNCTION("""COMPUTED_VALUE"""),"TBS")</f>
        <v>TBS</v>
      </c>
      <c r="E5415" s="2" t="str">
        <f>IFERROR(__xludf.DUMMYFUNCTION("""COMPUTED_VALUE"""),"金22")</f>
        <v>金22</v>
      </c>
      <c r="F5415" s="2" t="s">
        <v>14940</v>
      </c>
      <c r="G5415" s="2" t="s">
        <v>14955</v>
      </c>
      <c r="H5415" s="1">
        <v>8.0</v>
      </c>
      <c r="J5415" s="1" t="s">
        <v>86</v>
      </c>
      <c r="K5415" s="2" t="s">
        <v>14956</v>
      </c>
      <c r="L5415" s="2"/>
      <c r="M5415" s="2" t="str">
        <f>IFERROR(__xludf.DUMMYFUNCTION("split(split(K5415,""【"",false),""公式LINE"",false)"),"クラスメイトが駆け落ちしたという話が桜のもとに舞い込む。全員で捜索に出かけるのだが行方はわからず…もしかしたら心中を図ろうとしているとの噂も！？愛の逃避行の結末は！？定時制4年1組の中でも恋愛模様が…！？上武（田中圭）が華（蓮佛美紗子）に急接近？桜（観月ありさ）と大澤（山本耕史）の関係は？そして、一郎（高橋一生）と真理（堀内敬子）の関係も複雑になる。卒業間近の大事件勃発に桜は…！？観月ありさ　蓮佛美沙子　田中圭　大政絢　高橋一生　織本順吉　新川優愛　山本舞香　清水くるみ　太賀　岡山天音　滝裕可里　江原由夏"&amp;"　岩本多代　小須田康人　長野里美／光石研　矢柴俊博　中原丈雄／大倉孝二　堀内敬子　大杉漣　笹野高史　山本耕史")</f>
        <v>クラスメイトが駆け落ちしたという話が桜のもとに舞い込む。全員で捜索に出かけるのだが行方はわからず…もしかしたら心中を図ろうとしているとの噂も！？愛の逃避行の結末は！？定時制4年1組の中でも恋愛模様が…！？上武（田中圭）が華（蓮佛美紗子）に急接近？桜（観月ありさ）と大澤（山本耕史）の関係は？そして、一郎（高橋一生）と真理（堀内敬子）の関係も複雑になる。卒業間近の大事件勃発に桜は…！？観月ありさ　蓮佛美沙子　田中圭　大政絢　高橋一生　織本順吉　新川優愛　山本舞香　清水くるみ　太賀　岡山天音　滝裕可里　江原由夏　岩本多代　小須田康人　長野里美／光石研　矢柴俊博　中原丈雄／大倉孝二　堀内敬子　大杉漣　笹野高史　山本耕史</v>
      </c>
      <c r="N5415" s="2"/>
      <c r="O5415" s="2"/>
      <c r="P5415" s="1"/>
      <c r="Q5415" s="1"/>
      <c r="R5415" s="1"/>
      <c r="S5415" s="1"/>
      <c r="T5415" s="1"/>
      <c r="U5415" s="1"/>
      <c r="V5415" s="1"/>
      <c r="W5415" s="1"/>
      <c r="X5415" s="1"/>
      <c r="Y5415" s="1"/>
      <c r="Z5415" s="1"/>
      <c r="AA5415" s="1"/>
      <c r="AB5415" s="1"/>
      <c r="AC5415" s="1"/>
      <c r="AD5415" s="1"/>
      <c r="AE5415" s="1"/>
      <c r="AF5415" s="1"/>
      <c r="AG5415" s="1"/>
      <c r="AH5415" s="1"/>
      <c r="AI5415" s="1"/>
      <c r="AJ5415" s="1"/>
      <c r="AK5415" s="1"/>
      <c r="AL5415" s="1"/>
      <c r="AM5415" s="1"/>
      <c r="AN5415" s="1"/>
      <c r="AO5415" s="1"/>
      <c r="AP5415" s="1"/>
      <c r="AQ5415" s="1"/>
      <c r="AR5415" s="1"/>
      <c r="AS5415" s="1"/>
      <c r="AT5415" s="1"/>
      <c r="AU5415" s="1"/>
      <c r="AV5415" s="1"/>
      <c r="AW5415" s="1"/>
      <c r="AX5415" s="1"/>
      <c r="AY5415" s="1"/>
      <c r="AZ5415" s="1"/>
      <c r="BA5415" s="1"/>
      <c r="BB5415" s="1"/>
    </row>
    <row r="5416" ht="204.75" customHeight="1">
      <c r="A5416" s="1">
        <v>2991.0</v>
      </c>
      <c r="B5416" s="2" t="s">
        <v>14939</v>
      </c>
      <c r="C5416" s="2">
        <f>IFERROR(__xludf.DUMMYFUNCTION("split(B5416,""_"")"),1401.0)</f>
        <v>1401</v>
      </c>
      <c r="D5416" s="2" t="str">
        <f>IFERROR(__xludf.DUMMYFUNCTION("""COMPUTED_VALUE"""),"TBS")</f>
        <v>TBS</v>
      </c>
      <c r="E5416" s="2" t="str">
        <f>IFERROR(__xludf.DUMMYFUNCTION("""COMPUTED_VALUE"""),"金22")</f>
        <v>金22</v>
      </c>
      <c r="F5416" s="2" t="s">
        <v>14940</v>
      </c>
      <c r="G5416" s="2" t="s">
        <v>14957</v>
      </c>
      <c r="H5416" s="1">
        <v>9.0</v>
      </c>
      <c r="J5416" s="1" t="s">
        <v>86</v>
      </c>
      <c r="K5416" s="2" t="s">
        <v>14958</v>
      </c>
      <c r="L5416" s="2"/>
      <c r="M5416" s="2" t="str">
        <f>IFERROR(__xludf.DUMMYFUNCTION("split(split(K5416,""【"",false),""公式LINE"",false)"),"遂にドラマは最終章！卒業目前、桜先生の最後の教え！上武（田中圭）の会社にかけられた買収予告。生きるか死ぬかの瀬戸際で彼が選んだのは・・・？勝つ為に何もかも捨て去った男の過去が明らかになる。クラスメイトにも見放された男の為に勇気を振り絞ったのは・・・？そして、友から友への最後の言葉。悲しき永遠の別れが訪れる！観月ありさ　蓮佛美沙子　田中圭　大政絢　高橋一生　織本順吉　新川優愛　山本舞香　清水くるみ　太賀　岡山天音　滝裕可里　江原由夏　木戸邑弥　井上肇／光石研　矢柴俊博　中原丈雄／大倉孝二　堀内敬子　大杉漣　"&amp;"笹野高史　山本耕史")</f>
        <v>遂にドラマは最終章！卒業目前、桜先生の最後の教え！上武（田中圭）の会社にかけられた買収予告。生きるか死ぬかの瀬戸際で彼が選んだのは・・・？勝つ為に何もかも捨て去った男の過去が明らかになる。クラスメイトにも見放された男の為に勇気を振り絞ったのは・・・？そして、友から友への最後の言葉。悲しき永遠の別れが訪れる！観月ありさ　蓮佛美沙子　田中圭　大政絢　高橋一生　織本順吉　新川優愛　山本舞香　清水くるみ　太賀　岡山天音　滝裕可里　江原由夏　木戸邑弥　井上肇／光石研　矢柴俊博　中原丈雄／大倉孝二　堀内敬子　大杉漣　笹野高史　山本耕史</v>
      </c>
      <c r="N5416" s="2"/>
      <c r="O5416" s="2"/>
      <c r="P5416" s="1"/>
      <c r="Q5416" s="1"/>
      <c r="R5416" s="1"/>
      <c r="S5416" s="1"/>
      <c r="T5416" s="1"/>
      <c r="U5416" s="1"/>
      <c r="V5416" s="1"/>
      <c r="W5416" s="1"/>
      <c r="X5416" s="1"/>
      <c r="Y5416" s="1"/>
      <c r="Z5416" s="1"/>
      <c r="AA5416" s="1"/>
      <c r="AB5416" s="1"/>
      <c r="AC5416" s="1"/>
      <c r="AD5416" s="1"/>
      <c r="AE5416" s="1"/>
      <c r="AF5416" s="1"/>
      <c r="AG5416" s="1"/>
      <c r="AH5416" s="1"/>
      <c r="AI5416" s="1"/>
      <c r="AJ5416" s="1"/>
      <c r="AK5416" s="1"/>
      <c r="AL5416" s="1"/>
      <c r="AM5416" s="1"/>
      <c r="AN5416" s="1"/>
      <c r="AO5416" s="1"/>
      <c r="AP5416" s="1"/>
      <c r="AQ5416" s="1"/>
      <c r="AR5416" s="1"/>
      <c r="AS5416" s="1"/>
      <c r="AT5416" s="1"/>
      <c r="AU5416" s="1"/>
      <c r="AV5416" s="1"/>
      <c r="AW5416" s="1"/>
      <c r="AX5416" s="1"/>
      <c r="AY5416" s="1"/>
      <c r="AZ5416" s="1"/>
      <c r="BA5416" s="1"/>
      <c r="BB5416" s="1"/>
    </row>
    <row r="5417" ht="204.75" customHeight="1">
      <c r="A5417" s="1">
        <v>2992.0</v>
      </c>
      <c r="B5417" s="2" t="s">
        <v>14939</v>
      </c>
      <c r="C5417" s="2">
        <f>IFERROR(__xludf.DUMMYFUNCTION("split(B5417,""_"")"),1401.0)</f>
        <v>1401</v>
      </c>
      <c r="D5417" s="2" t="str">
        <f>IFERROR(__xludf.DUMMYFUNCTION("""COMPUTED_VALUE"""),"TBS")</f>
        <v>TBS</v>
      </c>
      <c r="E5417" s="2" t="str">
        <f>IFERROR(__xludf.DUMMYFUNCTION("""COMPUTED_VALUE"""),"金22")</f>
        <v>金22</v>
      </c>
      <c r="F5417" s="2" t="s">
        <v>14940</v>
      </c>
      <c r="G5417" s="2" t="s">
        <v>14959</v>
      </c>
      <c r="H5417" s="1">
        <v>10.0</v>
      </c>
      <c r="J5417" s="1" t="s">
        <v>86</v>
      </c>
      <c r="K5417" s="2" t="s">
        <v>14960</v>
      </c>
      <c r="L5417" s="2"/>
      <c r="M5417" s="2" t="str">
        <f>IFERROR(__xludf.DUMMYFUNCTION("split(split(K5417,""【"",false),""公式LINE"",false)"),"ついに最終回スペシャル！「まさか死ぬつもりでは？」姿を消した大澤(山本耕史)の身を案じる桜。永遠の別れになってしまうのか…？  そして、4年1組に語られる熱い想い、「絶対に全員で卒業する」大澤奪還計画が、今動き出す。涙なくしては見られない激動の最終回…全ての真実が今、明かされる。友情を超えた絆の物語、完結編！観月ありさ　蓮佛美沙子　田中圭　大政絢　高橋一生　織本順吉　新川優愛　山本舞香　清水くるみ　太賀　岡山天音　滝裕可里　江原由夏　木戸邑弥　岩本多代　葉山奨之　斎藤歩　中根徹／光石研　矢柴俊博　中原丈雄"&amp;"／大倉孝二　堀内敬子　大杉漣　笹野高史　山本耕史")</f>
        <v>ついに最終回スペシャル！「まさか死ぬつもりでは？」姿を消した大澤(山本耕史)の身を案じる桜。永遠の別れになってしまうのか…？  そして、4年1組に語られる熱い想い、「絶対に全員で卒業する」大澤奪還計画が、今動き出す。涙なくしては見られない激動の最終回…全ての真実が今、明かされる。友情を超えた絆の物語、完結編！観月ありさ　蓮佛美沙子　田中圭　大政絢　高橋一生　織本順吉　新川優愛　山本舞香　清水くるみ　太賀　岡山天音　滝裕可里　江原由夏　木戸邑弥　岩本多代　葉山奨之　斎藤歩　中根徹／光石研　矢柴俊博　中原丈雄／大倉孝二　堀内敬子　大杉漣　笹野高史　山本耕史</v>
      </c>
      <c r="N5417" s="2"/>
      <c r="O5417" s="2"/>
      <c r="P5417" s="1"/>
      <c r="Q5417" s="1"/>
      <c r="R5417" s="1"/>
      <c r="S5417" s="1"/>
      <c r="T5417" s="1"/>
      <c r="U5417" s="1"/>
      <c r="V5417" s="1"/>
      <c r="W5417" s="1"/>
      <c r="X5417" s="1"/>
      <c r="Y5417" s="1"/>
      <c r="Z5417" s="1"/>
      <c r="AA5417" s="1"/>
      <c r="AB5417" s="1"/>
      <c r="AC5417" s="1"/>
      <c r="AD5417" s="1"/>
      <c r="AE5417" s="1"/>
      <c r="AF5417" s="1"/>
      <c r="AG5417" s="1"/>
      <c r="AH5417" s="1"/>
      <c r="AI5417" s="1"/>
      <c r="AJ5417" s="1"/>
      <c r="AK5417" s="1"/>
      <c r="AL5417" s="1"/>
      <c r="AM5417" s="1"/>
      <c r="AN5417" s="1"/>
      <c r="AO5417" s="1"/>
      <c r="AP5417" s="1"/>
      <c r="AQ5417" s="1"/>
      <c r="AR5417" s="1"/>
      <c r="AS5417" s="1"/>
      <c r="AT5417" s="1"/>
      <c r="AU5417" s="1"/>
      <c r="AV5417" s="1"/>
      <c r="AW5417" s="1"/>
      <c r="AX5417" s="1"/>
      <c r="AY5417" s="1"/>
      <c r="AZ5417" s="1"/>
      <c r="BA5417" s="1"/>
      <c r="BB5417" s="1"/>
    </row>
    <row r="5418" ht="204.75" customHeight="1">
      <c r="A5418" s="1">
        <v>3021.0</v>
      </c>
      <c r="B5418" s="2" t="s">
        <v>14961</v>
      </c>
      <c r="C5418" s="2">
        <f>IFERROR(__xludf.DUMMYFUNCTION("split(B5418,""_"")"),1310.0)</f>
        <v>1310</v>
      </c>
      <c r="D5418" s="2" t="str">
        <f>IFERROR(__xludf.DUMMYFUNCTION("""COMPUTED_VALUE"""),"TBS")</f>
        <v>TBS</v>
      </c>
      <c r="E5418" s="2" t="str">
        <f>IFERROR(__xludf.DUMMYFUNCTION("""COMPUTED_VALUE"""),"月20")</f>
        <v>月20</v>
      </c>
      <c r="F5418" s="2" t="s">
        <v>14962</v>
      </c>
      <c r="G5418" s="2" t="s">
        <v>14963</v>
      </c>
      <c r="H5418" s="1">
        <v>1.0</v>
      </c>
      <c r="J5418" s="1" t="s">
        <v>7151</v>
      </c>
      <c r="K5418" s="2" t="s">
        <v>14964</v>
      </c>
      <c r="L5418" s="2"/>
      <c r="M5418" s="2" t="str">
        <f>IFERROR(__xludf.DUMMYFUNCTION("split(split(K5418,""【"",false),""公式LINE"",false)"),"幼い娘がある事件の被害者となり、植物状態になって10年……。少年鑑別所の法務技官だった夏目信人（椎名桔平）は、40歳を超える年齢にして警察官へと転身した“遅れてきた”新人刑事として、東池袋署の刑事課で殺人や強盗などの凶悪犯罪を担当する強行犯係で勤務していた。東池袋署が管轄する東池袋というと、高層ビルの裏手に歓楽街が広がる一方で、少し歩けば雑司ヶ谷や鬼子母神、護国寺といった下町の情緒ある街並みが広がる地域。この相反する二つの要素を擁した町は、まるで“社会の縮図”を見るような雑多な面があり、そんな地域で起こる"&amp;"さまざまな犯罪もまた“社会の縮図”を絵に描いたようだ。そんな町で夏目は、ベテラン刑事の福森誠一と、年下ながら刑事として先輩となる女性刑事の安達涼子らとチームを組み、事件と向き合いながらその真相を探り当てていく…。夏目 信人…椎名 桔平  菊池 大雅…要 潤  安達 涼子…小野 ゆり子  　　　　　◆  夏目 美奈代…吉田 羊  夏目 絵美…山田 杏奈  瀬戸 公平…中林 大樹    西 晴彦…吉家 章人  草野 楓…藤本 泉  　　　　◆  田辺 久美子…板谷 由夏  長峰 亘…北村 有起哉  福森 誠一"&amp;"…松重 豊  ほか")</f>
        <v>幼い娘がある事件の被害者となり、植物状態になって10年……。少年鑑別所の法務技官だった夏目信人（椎名桔平）は、40歳を超える年齢にして警察官へと転身した“遅れてきた”新人刑事として、東池袋署の刑事課で殺人や強盗などの凶悪犯罪を担当する強行犯係で勤務していた。東池袋署が管轄する東池袋というと、高層ビルの裏手に歓楽街が広がる一方で、少し歩けば雑司ヶ谷や鬼子母神、護国寺といった下町の情緒ある街並みが広がる地域。この相反する二つの要素を擁した町は、まるで“社会の縮図”を見るような雑多な面があり、そんな地域で起こるさまざまな犯罪もまた“社会の縮図”を絵に描いたようだ。そんな町で夏目は、ベテラン刑事の福森誠一と、年下ながら刑事として先輩となる女性刑事の安達涼子らとチームを組み、事件と向き合いながらその真相を探り当てていく…。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v>
      </c>
      <c r="N5418" s="2"/>
      <c r="O5418" s="2"/>
      <c r="P5418" s="1"/>
      <c r="Q5418" s="1"/>
      <c r="R5418" s="1"/>
      <c r="S5418" s="1"/>
      <c r="T5418" s="1"/>
      <c r="U5418" s="1"/>
      <c r="V5418" s="1"/>
      <c r="W5418" s="1"/>
      <c r="X5418" s="1"/>
      <c r="Y5418" s="1"/>
      <c r="Z5418" s="1"/>
      <c r="AA5418" s="1"/>
      <c r="AB5418" s="1"/>
      <c r="AC5418" s="1"/>
      <c r="AD5418" s="1"/>
      <c r="AE5418" s="1"/>
      <c r="AF5418" s="1"/>
      <c r="AG5418" s="1"/>
      <c r="AH5418" s="1"/>
      <c r="AI5418" s="1"/>
      <c r="AJ5418" s="1"/>
      <c r="AK5418" s="1"/>
      <c r="AL5418" s="1"/>
      <c r="AM5418" s="1"/>
      <c r="AN5418" s="1"/>
      <c r="AO5418" s="1"/>
      <c r="AP5418" s="1"/>
      <c r="AQ5418" s="1"/>
      <c r="AR5418" s="1"/>
      <c r="AS5418" s="1"/>
      <c r="AT5418" s="1"/>
      <c r="AU5418" s="1"/>
      <c r="AV5418" s="1"/>
      <c r="AW5418" s="1"/>
      <c r="AX5418" s="1"/>
      <c r="AY5418" s="1"/>
      <c r="AZ5418" s="1"/>
      <c r="BA5418" s="1"/>
      <c r="BB5418" s="1"/>
    </row>
    <row r="5419" ht="204.75" customHeight="1">
      <c r="A5419" s="1">
        <v>3022.0</v>
      </c>
      <c r="B5419" s="2" t="s">
        <v>14961</v>
      </c>
      <c r="C5419" s="2">
        <f>IFERROR(__xludf.DUMMYFUNCTION("split(B5419,""_"")"),1310.0)</f>
        <v>1310</v>
      </c>
      <c r="D5419" s="2" t="str">
        <f>IFERROR(__xludf.DUMMYFUNCTION("""COMPUTED_VALUE"""),"TBS")</f>
        <v>TBS</v>
      </c>
      <c r="E5419" s="2" t="str">
        <f>IFERROR(__xludf.DUMMYFUNCTION("""COMPUTED_VALUE"""),"月20")</f>
        <v>月20</v>
      </c>
      <c r="F5419" s="2" t="s">
        <v>14962</v>
      </c>
      <c r="G5419" s="2" t="s">
        <v>14965</v>
      </c>
      <c r="H5419" s="1">
        <v>2.0</v>
      </c>
      <c r="J5419" s="1" t="s">
        <v>7151</v>
      </c>
      <c r="K5419" s="2" t="s">
        <v>14966</v>
      </c>
      <c r="L5419" s="2"/>
      <c r="M5419" s="2" t="str">
        <f>IFERROR(__xludf.DUMMYFUNCTION("split(split(K5419,""【"",false),""公式LINE"",false)"),"幼い娘がある事件の被害者となり、意識を失って10年……。少年鑑別所の法務技官だった夏目信人（椎名桔平）は、43歳の“遅れてきた新人刑事”として、東池袋署に勤務していた。  “社会の縮図”のような東京・池袋で起こる様々な事件に、ベテラン刑事の福森誠一と、年下ながら刑事として先輩となる女性刑事の安達涼子らとチームを組み、事件と向き合いながらその真相を探り当てていく…。第二話では、ホームレスになってしまった元エリートサラリーマンのマサと、父親のような存在であるナカさんを中心に、家族の再生と崩壊、殺人事件の裏に隠"&amp;"されたもうひとつの事件の真相を暴いていく。夏目 信人…椎名 桔平  菊池 大雅…要 潤  安達 涼子…小野 ゆり子  夏目 美奈代…吉田 羊    瀬戸 公平…中林 大樹  西　晴彦…吉家章人  草野　楓…藤本　泉    田辺久美子…板谷由夏  長峰　亘…北村有起哉  福森誠一…松重　豊松下雅之（マサ）…須田邦裕  中島安太郎（ナカ）…蛍雪次朗  本木幸彦…松澤一之  ゲン…緋田康人")</f>
        <v>幼い娘がある事件の被害者となり、意識を失って10年……。少年鑑別所の法務技官だった夏目信人（椎名桔平）は、43歳の“遅れてきた新人刑事”として、東池袋署に勤務していた。  “社会の縮図”のような東京・池袋で起こる様々な事件に、ベテラン刑事の福森誠一と、年下ながら刑事として先輩となる女性刑事の安達涼子らとチームを組み、事件と向き合いながらその真相を探り当てていく…。第二話では、ホームレスになってしまった元エリートサラリーマンのマサと、父親のような存在であるナカさんを中心に、家族の再生と崩壊、殺人事件の裏に隠されたもうひとつの事件の真相を暴いていく。夏目 信人…椎名 桔平  菊池 大雅…要 潤  安達 涼子…小野 ゆり子  夏目 美奈代…吉田 羊    瀬戸 公平…中林 大樹  西　晴彦…吉家章人  草野　楓…藤本　泉    田辺久美子…板谷由夏  長峰　亘…北村有起哉  福森誠一…松重　豊松下雅之（マサ）…須田邦裕  中島安太郎（ナカ）…蛍雪次朗  本木幸彦…松澤一之  ゲン…緋田康人</v>
      </c>
      <c r="N5419" s="2"/>
      <c r="O5419" s="2"/>
      <c r="P5419" s="1"/>
      <c r="Q5419" s="1"/>
      <c r="R5419" s="1"/>
      <c r="S5419" s="1"/>
      <c r="T5419" s="1"/>
      <c r="U5419" s="1"/>
      <c r="V5419" s="1"/>
      <c r="W5419" s="1"/>
      <c r="X5419" s="1"/>
      <c r="Y5419" s="1"/>
      <c r="Z5419" s="1"/>
      <c r="AA5419" s="1"/>
      <c r="AB5419" s="1"/>
      <c r="AC5419" s="1"/>
      <c r="AD5419" s="1"/>
      <c r="AE5419" s="1"/>
      <c r="AF5419" s="1"/>
      <c r="AG5419" s="1"/>
      <c r="AH5419" s="1"/>
      <c r="AI5419" s="1"/>
      <c r="AJ5419" s="1"/>
      <c r="AK5419" s="1"/>
      <c r="AL5419" s="1"/>
      <c r="AM5419" s="1"/>
      <c r="AN5419" s="1"/>
      <c r="AO5419" s="1"/>
      <c r="AP5419" s="1"/>
      <c r="AQ5419" s="1"/>
      <c r="AR5419" s="1"/>
      <c r="AS5419" s="1"/>
      <c r="AT5419" s="1"/>
      <c r="AU5419" s="1"/>
      <c r="AV5419" s="1"/>
      <c r="AW5419" s="1"/>
      <c r="AX5419" s="1"/>
      <c r="AY5419" s="1"/>
      <c r="AZ5419" s="1"/>
      <c r="BA5419" s="1"/>
      <c r="BB5419" s="1"/>
    </row>
    <row r="5420" ht="204.75" customHeight="1">
      <c r="A5420" s="1">
        <v>3023.0</v>
      </c>
      <c r="B5420" s="2" t="s">
        <v>14961</v>
      </c>
      <c r="C5420" s="2">
        <f>IFERROR(__xludf.DUMMYFUNCTION("split(B5420,""_"")"),1310.0)</f>
        <v>1310</v>
      </c>
      <c r="D5420" s="2" t="str">
        <f>IFERROR(__xludf.DUMMYFUNCTION("""COMPUTED_VALUE"""),"TBS")</f>
        <v>TBS</v>
      </c>
      <c r="E5420" s="2" t="str">
        <f>IFERROR(__xludf.DUMMYFUNCTION("""COMPUTED_VALUE"""),"月20")</f>
        <v>月20</v>
      </c>
      <c r="F5420" s="2" t="s">
        <v>14962</v>
      </c>
      <c r="G5420" s="2" t="s">
        <v>14967</v>
      </c>
      <c r="H5420" s="1">
        <v>3.0</v>
      </c>
      <c r="J5420" s="1" t="s">
        <v>7151</v>
      </c>
      <c r="K5420" s="2" t="s">
        <v>14968</v>
      </c>
      <c r="L5420" s="2"/>
      <c r="M5420" s="2" t="str">
        <f>IFERROR(__xludf.DUMMYFUNCTION("split(split(K5420,""【"",false),""公式LINE"",false)"),"小学生女児通り魔事件が発生した。捜査にあたる東池袋署刑事課の面々だが、夏目だけは捜査から外される。過去に夏目の娘が被害にあった事件と同一犯の可能性も捨てきれず、関係者である夏目は事件に関わることを禁止されたのだ。そんな折、友人から夏目に個人的に持ちかけられた相談・・・友人の息子の行動を監視するうちに夏目はあることに気づく。「息子を信じている」という友人。その思いは届いていたのか？夏目は親子の絆を取り戻させるため、友人にある謎かけをする。夏目 信人…椎名 桔平  菊池 大雅…要 潤  安達 涼子…小野 ゆり"&amp;"子  　　　　　◆  夏目 美奈代…吉田 羊  夏目 絵美…山田 杏奈  瀬戸 公平…中林 大樹    西 晴彦…吉家 章人  草野 楓…藤本 泉  　　　　◆  田辺 久美子…板谷 由夏  長峰 亘…北村 有起哉  福森 誠一…松重 豊  勝村政信　平岡拓真　浅香航大  ")</f>
        <v>小学生女児通り魔事件が発生した。捜査にあたる東池袋署刑事課の面々だが、夏目だけは捜査から外される。過去に夏目の娘が被害にあった事件と同一犯の可能性も捨てきれず、関係者である夏目は事件に関わることを禁止されたのだ。そんな折、友人から夏目に個人的に持ちかけられた相談・・・友人の息子の行動を監視するうちに夏目はあることに気づく。「息子を信じている」という友人。その思いは届いていたのか？夏目は親子の絆を取り戻させるため、友人にある謎かけをする。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勝村政信　平岡拓真　浅香航大  </v>
      </c>
      <c r="N5420" s="2"/>
      <c r="O5420" s="2"/>
      <c r="P5420" s="1"/>
      <c r="Q5420" s="1"/>
      <c r="R5420" s="1"/>
      <c r="S5420" s="1"/>
      <c r="T5420" s="1"/>
      <c r="U5420" s="1"/>
      <c r="V5420" s="1"/>
      <c r="W5420" s="1"/>
      <c r="X5420" s="1"/>
      <c r="Y5420" s="1"/>
      <c r="Z5420" s="1"/>
      <c r="AA5420" s="1"/>
      <c r="AB5420" s="1"/>
      <c r="AC5420" s="1"/>
      <c r="AD5420" s="1"/>
      <c r="AE5420" s="1"/>
      <c r="AF5420" s="1"/>
      <c r="AG5420" s="1"/>
      <c r="AH5420" s="1"/>
      <c r="AI5420" s="1"/>
      <c r="AJ5420" s="1"/>
      <c r="AK5420" s="1"/>
      <c r="AL5420" s="1"/>
      <c r="AM5420" s="1"/>
      <c r="AN5420" s="1"/>
      <c r="AO5420" s="1"/>
      <c r="AP5420" s="1"/>
      <c r="AQ5420" s="1"/>
      <c r="AR5420" s="1"/>
      <c r="AS5420" s="1"/>
      <c r="AT5420" s="1"/>
      <c r="AU5420" s="1"/>
      <c r="AV5420" s="1"/>
      <c r="AW5420" s="1"/>
      <c r="AX5420" s="1"/>
      <c r="AY5420" s="1"/>
      <c r="AZ5420" s="1"/>
      <c r="BA5420" s="1"/>
      <c r="BB5420" s="1"/>
    </row>
    <row r="5421" ht="204.75" customHeight="1">
      <c r="A5421" s="1">
        <v>3024.0</v>
      </c>
      <c r="B5421" s="2" t="s">
        <v>14961</v>
      </c>
      <c r="C5421" s="2">
        <f>IFERROR(__xludf.DUMMYFUNCTION("split(B5421,""_"")"),1310.0)</f>
        <v>1310</v>
      </c>
      <c r="D5421" s="2" t="str">
        <f>IFERROR(__xludf.DUMMYFUNCTION("""COMPUTED_VALUE"""),"TBS")</f>
        <v>TBS</v>
      </c>
      <c r="E5421" s="2" t="str">
        <f>IFERROR(__xludf.DUMMYFUNCTION("""COMPUTED_VALUE"""),"月20")</f>
        <v>月20</v>
      </c>
      <c r="F5421" s="2" t="s">
        <v>14962</v>
      </c>
      <c r="G5421" s="2" t="s">
        <v>14969</v>
      </c>
      <c r="H5421" s="1">
        <v>4.0</v>
      </c>
      <c r="J5421" s="1" t="s">
        <v>7151</v>
      </c>
      <c r="K5421" s="2" t="s">
        <v>14970</v>
      </c>
      <c r="L5421" s="2"/>
      <c r="M5421" s="2" t="str">
        <f>IFERROR(__xludf.DUMMYFUNCTION("split(split(K5421,""【"",false),""公式LINE"",false)"),"写真集を万引きして捕まった少年は、自分の家族のことを何も話そうとしない。いったいこの男の子はどこの誰なのか？ 夏目が男の子の足取りを丁寧にたどる中、万引きしようとした写真集の“星のぞみ”は、数年前にひき逃げ事故で亡くなっていることが発覚。彼女には裕希という息子がいて、ひき逃げ事故の半年後に行方不明になっていたのだ。詳しい事情を調べるために、夏目と安達は裕希の父親・栗原裕久（吹越満）に会いに行く。夏目 信人…椎名 桔平  菊池 大雅…要 潤  安達 涼子…小野 ゆり子  　　　　　◆  夏目 美奈代…吉田 "&amp;"羊  夏目 絵美…山田 杏奈  瀬戸 公平…中林 大樹  西 晴彦…吉家 章人  草野 楓…藤本 泉  　　　　◆  田辺 久美子…板谷 由夏  長峰 亘…北村 有起哉  福森 誠一…松重 豊栗原裕久…吹越満  岡崎珠美…伊藤裕子    少年…黒澤宏貴  星のぞみ…小林恵美    ホームレスのゲン…緋田康人 ")</f>
        <v>写真集を万引きして捕まった少年は、自分の家族のことを何も話そうとしない。いったいこの男の子はどこの誰なのか？ 夏目が男の子の足取りを丁寧にたどる中、万引きしようとした写真集の“星のぞみ”は、数年前にひき逃げ事故で亡くなっていることが発覚。彼女には裕希という息子がいて、ひき逃げ事故の半年後に行方不明になっていたのだ。詳しい事情を調べるために、夏目と安達は裕希の父親・栗原裕久（吹越満）に会いに行く。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豊栗原裕久…吹越満  岡崎珠美…伊藤裕子    少年…黒澤宏貴  星のぞみ…小林恵美    ホームレスのゲン…緋田康人 </v>
      </c>
      <c r="N5421" s="2"/>
      <c r="O5421" s="2"/>
      <c r="P5421" s="1"/>
      <c r="Q5421" s="1"/>
      <c r="R5421" s="1"/>
      <c r="S5421" s="1"/>
      <c r="T5421" s="1"/>
      <c r="U5421" s="1"/>
      <c r="V5421" s="1"/>
      <c r="W5421" s="1"/>
      <c r="X5421" s="1"/>
      <c r="Y5421" s="1"/>
      <c r="Z5421" s="1"/>
      <c r="AA5421" s="1"/>
      <c r="AB5421" s="1"/>
      <c r="AC5421" s="1"/>
      <c r="AD5421" s="1"/>
      <c r="AE5421" s="1"/>
      <c r="AF5421" s="1"/>
      <c r="AG5421" s="1"/>
      <c r="AH5421" s="1"/>
      <c r="AI5421" s="1"/>
      <c r="AJ5421" s="1"/>
      <c r="AK5421" s="1"/>
      <c r="AL5421" s="1"/>
      <c r="AM5421" s="1"/>
      <c r="AN5421" s="1"/>
      <c r="AO5421" s="1"/>
      <c r="AP5421" s="1"/>
      <c r="AQ5421" s="1"/>
      <c r="AR5421" s="1"/>
      <c r="AS5421" s="1"/>
      <c r="AT5421" s="1"/>
      <c r="AU5421" s="1"/>
      <c r="AV5421" s="1"/>
      <c r="AW5421" s="1"/>
      <c r="AX5421" s="1"/>
      <c r="AY5421" s="1"/>
      <c r="AZ5421" s="1"/>
      <c r="BA5421" s="1"/>
      <c r="BB5421" s="1"/>
    </row>
    <row r="5422" ht="204.75" customHeight="1">
      <c r="A5422" s="1">
        <v>3025.0</v>
      </c>
      <c r="B5422" s="2" t="s">
        <v>14961</v>
      </c>
      <c r="C5422" s="2">
        <f>IFERROR(__xludf.DUMMYFUNCTION("split(B5422,""_"")"),1310.0)</f>
        <v>1310</v>
      </c>
      <c r="D5422" s="2" t="str">
        <f>IFERROR(__xludf.DUMMYFUNCTION("""COMPUTED_VALUE"""),"TBS")</f>
        <v>TBS</v>
      </c>
      <c r="E5422" s="2" t="str">
        <f>IFERROR(__xludf.DUMMYFUNCTION("""COMPUTED_VALUE"""),"月20")</f>
        <v>月20</v>
      </c>
      <c r="F5422" s="2" t="s">
        <v>14962</v>
      </c>
      <c r="G5422" s="2" t="s">
        <v>14971</v>
      </c>
      <c r="H5422" s="1">
        <v>5.0</v>
      </c>
      <c r="J5422" s="1" t="s">
        <v>7151</v>
      </c>
      <c r="K5422" s="2" t="s">
        <v>14972</v>
      </c>
      <c r="L5422" s="2"/>
      <c r="M5422" s="2" t="str">
        <f>IFERROR(__xludf.DUMMYFUNCTION("split(split(K5422,""【"",false),""公式LINE"",false)"),"マンションで男が殺された。第一発見者は被害者の10歳の娘。被害者は娘を虐待していたという噂があった。  捜査を進めていくうちに、かつて夏目が法務技官時代に担当していた青年・伸一(太賀)が第一容疑者に浮上する。伸一はかつて姉の奈緒子(星野真里)と共に叔父に虐待を受けており、その恨みで叔父を殺していた。  伸一は虐待を防ごうとして男を殺したのか!?  事件が事件を呼び、新たな事実があきらかに…!?  夏目 信人…椎名 桔平  菊池 大雅…要 潤  安達 涼子…小野 ゆり子  　　　　　◆  夏目 美奈代…吉田"&amp;" 羊  夏目 絵美…山田 杏奈  瀬戸 公平…中林 大樹  西 晴彦…吉家 章人  草野 楓…藤本 泉  　　　　◆  田辺 久美子…板谷 由夏  長峰 亘…北村 有起哉  福森 誠一…松重 豊    小出奈緒子…星野真里  小出伸一…太賀    コンビニの店長…田中要次  酒井…森下能幸")</f>
        <v>マンションで男が殺された。第一発見者は被害者の10歳の娘。被害者は娘を虐待していたという噂があった。  捜査を進めていくうちに、かつて夏目が法務技官時代に担当していた青年・伸一(太賀)が第一容疑者に浮上する。伸一はかつて姉の奈緒子(星野真里)と共に叔父に虐待を受けており、その恨みで叔父を殺していた。  伸一は虐待を防ごうとして男を殺したのか!?  事件が事件を呼び、新たな事実があきらかに…!?  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小出奈緒子…星野真里  小出伸一…太賀    コンビニの店長…田中要次  酒井…森下能幸</v>
      </c>
      <c r="N5422" s="2"/>
      <c r="O5422" s="2"/>
      <c r="P5422" s="1"/>
      <c r="Q5422" s="1"/>
      <c r="R5422" s="1"/>
      <c r="S5422" s="1"/>
      <c r="T5422" s="1"/>
      <c r="U5422" s="1"/>
      <c r="V5422" s="1"/>
      <c r="W5422" s="1"/>
      <c r="X5422" s="1"/>
      <c r="Y5422" s="1"/>
      <c r="Z5422" s="1"/>
      <c r="AA5422" s="1"/>
      <c r="AB5422" s="1"/>
      <c r="AC5422" s="1"/>
      <c r="AD5422" s="1"/>
      <c r="AE5422" s="1"/>
      <c r="AF5422" s="1"/>
      <c r="AG5422" s="1"/>
      <c r="AH5422" s="1"/>
      <c r="AI5422" s="1"/>
      <c r="AJ5422" s="1"/>
      <c r="AK5422" s="1"/>
      <c r="AL5422" s="1"/>
      <c r="AM5422" s="1"/>
      <c r="AN5422" s="1"/>
      <c r="AO5422" s="1"/>
      <c r="AP5422" s="1"/>
      <c r="AQ5422" s="1"/>
      <c r="AR5422" s="1"/>
      <c r="AS5422" s="1"/>
      <c r="AT5422" s="1"/>
      <c r="AU5422" s="1"/>
      <c r="AV5422" s="1"/>
      <c r="AW5422" s="1"/>
      <c r="AX5422" s="1"/>
      <c r="AY5422" s="1"/>
      <c r="AZ5422" s="1"/>
      <c r="BA5422" s="1"/>
      <c r="BB5422" s="1"/>
    </row>
    <row r="5423" ht="204.75" customHeight="1">
      <c r="A5423" s="1">
        <v>3026.0</v>
      </c>
      <c r="B5423" s="2" t="s">
        <v>14961</v>
      </c>
      <c r="C5423" s="2">
        <f>IFERROR(__xludf.DUMMYFUNCTION("split(B5423,""_"")"),1310.0)</f>
        <v>1310</v>
      </c>
      <c r="D5423" s="2" t="str">
        <f>IFERROR(__xludf.DUMMYFUNCTION("""COMPUTED_VALUE"""),"TBS")</f>
        <v>TBS</v>
      </c>
      <c r="E5423" s="2" t="str">
        <f>IFERROR(__xludf.DUMMYFUNCTION("""COMPUTED_VALUE"""),"月20")</f>
        <v>月20</v>
      </c>
      <c r="F5423" s="2" t="s">
        <v>14962</v>
      </c>
      <c r="G5423" s="2" t="s">
        <v>14973</v>
      </c>
      <c r="H5423" s="1">
        <v>6.0</v>
      </c>
      <c r="J5423" s="1" t="s">
        <v>7151</v>
      </c>
      <c r="K5423" s="2" t="s">
        <v>14974</v>
      </c>
      <c r="L5423" s="2"/>
      <c r="M5423" s="2" t="str">
        <f>IFERROR(__xludf.DUMMYFUNCTION("split(split(K5423,""【"",false),""公式LINE"",false)"),"繁華街で一人の男が殺された。被害者の身元を調べると、なんと一年前に東池袋公園で起こった殺人事件の犯人であることがわかる。  その後も、一年前の事件の関係者が襲われる事件が続く。復讐に燃える被害者遺族の報復殺人なのか…。夏目たちが捜査を進めるうちに、事件は思わぬ方向に展開し!?夏目 信人…椎名 桔平  菊池 大雅…要 潤  安達 涼子…小野 ゆり子  　　　　　◆  夏目 美奈代…吉田 羊  夏目 絵美…山田 杏奈  瀬戸 公平…中林 大樹  西 晴彦…吉家 章人  草野 楓…藤本 泉  　　　　◆  田辺"&amp;" 久美子…板谷 由夏  長峰 亘…北村 有起哉  福森 誠一…松重 豊  ほか      水野弥生…斉藤慶子  水野愛子…渋谷飛鳥  高木…柄本時生  小田律子…春木みさよ  小田浩貴…高橋來")</f>
        <v>繁華街で一人の男が殺された。被害者の身元を調べると、なんと一年前に東池袋公園で起こった殺人事件の犯人であることがわかる。  その後も、一年前の事件の関係者が襲われる事件が続く。復讐に燃える被害者遺族の報復殺人なのか…。夏目たちが捜査を進めるうちに、事件は思わぬ方向に展開し!?夏目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      水野弥生…斉藤慶子  水野愛子…渋谷飛鳥  高木…柄本時生  小田律子…春木みさよ  小田浩貴…高橋來</v>
      </c>
      <c r="N5423" s="2"/>
      <c r="O5423" s="2"/>
      <c r="P5423" s="1"/>
      <c r="Q5423" s="1"/>
      <c r="R5423" s="1"/>
      <c r="S5423" s="1"/>
      <c r="T5423" s="1"/>
      <c r="U5423" s="1"/>
      <c r="V5423" s="1"/>
      <c r="W5423" s="1"/>
      <c r="X5423" s="1"/>
      <c r="Y5423" s="1"/>
      <c r="Z5423" s="1"/>
      <c r="AA5423" s="1"/>
      <c r="AB5423" s="1"/>
      <c r="AC5423" s="1"/>
      <c r="AD5423" s="1"/>
      <c r="AE5423" s="1"/>
      <c r="AF5423" s="1"/>
      <c r="AG5423" s="1"/>
      <c r="AH5423" s="1"/>
      <c r="AI5423" s="1"/>
      <c r="AJ5423" s="1"/>
      <c r="AK5423" s="1"/>
      <c r="AL5423" s="1"/>
      <c r="AM5423" s="1"/>
      <c r="AN5423" s="1"/>
      <c r="AO5423" s="1"/>
      <c r="AP5423" s="1"/>
      <c r="AQ5423" s="1"/>
      <c r="AR5423" s="1"/>
      <c r="AS5423" s="1"/>
      <c r="AT5423" s="1"/>
      <c r="AU5423" s="1"/>
      <c r="AV5423" s="1"/>
      <c r="AW5423" s="1"/>
      <c r="AX5423" s="1"/>
      <c r="AY5423" s="1"/>
      <c r="AZ5423" s="1"/>
      <c r="BA5423" s="1"/>
      <c r="BB5423" s="1"/>
    </row>
    <row r="5424" ht="204.75" customHeight="1">
      <c r="A5424" s="1">
        <v>3027.0</v>
      </c>
      <c r="B5424" s="2" t="s">
        <v>14961</v>
      </c>
      <c r="C5424" s="2">
        <f>IFERROR(__xludf.DUMMYFUNCTION("split(B5424,""_"")"),1310.0)</f>
        <v>1310</v>
      </c>
      <c r="D5424" s="2" t="str">
        <f>IFERROR(__xludf.DUMMYFUNCTION("""COMPUTED_VALUE"""),"TBS")</f>
        <v>TBS</v>
      </c>
      <c r="E5424" s="2" t="str">
        <f>IFERROR(__xludf.DUMMYFUNCTION("""COMPUTED_VALUE"""),"月20")</f>
        <v>月20</v>
      </c>
      <c r="F5424" s="2" t="s">
        <v>14962</v>
      </c>
      <c r="G5424" s="2" t="s">
        <v>14975</v>
      </c>
      <c r="H5424" s="1">
        <v>7.0</v>
      </c>
      <c r="J5424" s="1" t="s">
        <v>7151</v>
      </c>
      <c r="K5424" s="2" t="s">
        <v>14976</v>
      </c>
      <c r="L5424" s="2"/>
      <c r="M5424" s="2" t="str">
        <f>IFERROR(__xludf.DUMMYFUNCTION("split(split(K5424,""【"",false),""公式LINE"",false)"),"幼い娘がある事件の被害者となり、植物状態になって10年……。少年鑑別所の法務技官だった夏目信人（椎名桔平）は、40歳を超える年齢にして警察官へと転身した“遅れてきた”新人刑事として、東池袋署の刑事課で殺人や強盗などの凶悪犯罪を担当する強行犯係で勤務していた。東池袋署が管轄する東池袋というと、高層ビルの裏手に歓楽街が広がる一方で、少し歩けば雑司ヶ谷や鬼子母神、護国寺といった下町の情緒ある街並みが広がる地域。この相反する二つの要素を擁した町は、まるで“社会の縮図”を見るような雑多な面があり、そんな地域で起こる"&amp;"さまざまな犯罪もまた“社会の縮図”を絵に描いたようだ。そんな町で夏目は、ベテラン刑事の福森誠一と、年下ながら刑事として先輩となる女性刑事の安達涼子らとチームを組み、事件と向き合いながらその真相を探り当てていく…。夏目 信人…椎名 桔平  菊池 大雅…要 潤  安達 涼子…小野 ゆり子  　　　　　◆  夏目 美奈代…吉田 羊  夏目 絵美…山田 杏奈  瀬戸 公平…中林 大樹  西 晴彦…吉家 章人  草野 楓…藤本 泉  　　　　◆  田辺 久美子…板谷 由夏  長峰 亘…北村 有起哉  福森 誠一…松"&amp;"重 豊  ほか藤川佐知代…朝加真由美  藤川雛子…徳永えり  野沢琢磨…忍成修吾  太田義一…村松利史")</f>
        <v>幼い娘がある事件の被害者となり、植物状態になって10年……。少年鑑別所の法務技官だった夏目信人（椎名桔平）は、40歳を超える年齢にして警察官へと転身した“遅れてきた”新人刑事として、東池袋署の刑事課で殺人や強盗などの凶悪犯罪を担当する強行犯係で勤務していた。東池袋署が管轄する東池袋というと、高層ビルの裏手に歓楽街が広がる一方で、少し歩けば雑司ヶ谷や鬼子母神、護国寺といった下町の情緒ある街並みが広がる地域。この相反する二つの要素を擁した町は、まるで“社会の縮図”を見るような雑多な面があり、そんな地域で起こるさまざまな犯罪もまた“社会の縮図”を絵に描いたようだ。そんな町で夏目は、ベテラン刑事の福森誠一と、年下ながら刑事として先輩となる女性刑事の安達涼子らとチームを組み、事件と向き合いながらその真相を探り当てていく…。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ほか藤川佐知代…朝加真由美  藤川雛子…徳永えり  野沢琢磨…忍成修吾  太田義一…村松利史</v>
      </c>
      <c r="N5424" s="2"/>
      <c r="O5424" s="2"/>
      <c r="P5424" s="1"/>
      <c r="Q5424" s="1"/>
      <c r="R5424" s="1"/>
      <c r="S5424" s="1"/>
      <c r="T5424" s="1"/>
      <c r="U5424" s="1"/>
      <c r="V5424" s="1"/>
      <c r="W5424" s="1"/>
      <c r="X5424" s="1"/>
      <c r="Y5424" s="1"/>
      <c r="Z5424" s="1"/>
      <c r="AA5424" s="1"/>
      <c r="AB5424" s="1"/>
      <c r="AC5424" s="1"/>
      <c r="AD5424" s="1"/>
      <c r="AE5424" s="1"/>
      <c r="AF5424" s="1"/>
      <c r="AG5424" s="1"/>
      <c r="AH5424" s="1"/>
      <c r="AI5424" s="1"/>
      <c r="AJ5424" s="1"/>
      <c r="AK5424" s="1"/>
      <c r="AL5424" s="1"/>
      <c r="AM5424" s="1"/>
      <c r="AN5424" s="1"/>
      <c r="AO5424" s="1"/>
      <c r="AP5424" s="1"/>
      <c r="AQ5424" s="1"/>
      <c r="AR5424" s="1"/>
      <c r="AS5424" s="1"/>
      <c r="AT5424" s="1"/>
      <c r="AU5424" s="1"/>
      <c r="AV5424" s="1"/>
      <c r="AW5424" s="1"/>
      <c r="AX5424" s="1"/>
      <c r="AY5424" s="1"/>
      <c r="AZ5424" s="1"/>
      <c r="BA5424" s="1"/>
      <c r="BB5424" s="1"/>
    </row>
    <row r="5425" ht="204.75" customHeight="1">
      <c r="A5425" s="1">
        <v>3028.0</v>
      </c>
      <c r="B5425" s="2" t="s">
        <v>14961</v>
      </c>
      <c r="C5425" s="2">
        <f>IFERROR(__xludf.DUMMYFUNCTION("split(B5425,""_"")"),1310.0)</f>
        <v>1310</v>
      </c>
      <c r="D5425" s="2" t="str">
        <f>IFERROR(__xludf.DUMMYFUNCTION("""COMPUTED_VALUE"""),"TBS")</f>
        <v>TBS</v>
      </c>
      <c r="E5425" s="2" t="str">
        <f>IFERROR(__xludf.DUMMYFUNCTION("""COMPUTED_VALUE"""),"月20")</f>
        <v>月20</v>
      </c>
      <c r="F5425" s="2" t="s">
        <v>14962</v>
      </c>
      <c r="G5425" s="2" t="s">
        <v>14977</v>
      </c>
      <c r="H5425" s="1">
        <v>8.0</v>
      </c>
      <c r="J5425" s="1" t="s">
        <v>7151</v>
      </c>
      <c r="K5425" s="2" t="s">
        <v>14978</v>
      </c>
      <c r="L5425" s="2"/>
      <c r="M5425" s="2" t="str">
        <f>IFERROR(__xludf.DUMMYFUNCTION("split(split(K5425,""【"",false),""公式LINE"",false)"),"池袋のマンションで男が殺された。容疑者として浮上したのは、久美子(板谷由夏)がカウンセリングをしている、自傷行為を続ける女子高生・有香(松岡茉優)だった。夏目(椎名桔平)たちが捜査を進めるうちに、有香が数ヶ月前に痴漢被害に遭っていたこと、加害者は中学教師の岩崎(平田満)であること、彼女の自傷行為はその頃はじまったことがわかり、事件は思わぬ方向へ展開していく…夏目 信人…椎名 桔平  菊池 大雅…要 潤  安達 涼子…小野 ゆり子  　　　　　◆  夏目 美奈代…吉田 羊  夏目 絵美…山田 杏奈  瀬戸 "&amp;"公平…中林 大樹  西 晴彦…吉家 章人  草野 楓…藤本 泉  　　　　◆  田辺 久美子…板谷 由夏  長峰 亘…北村 有起哉  福森 誠一…松重 豊  ほか岩崎光男…平田満  仲村有香…松岡茉優    仲村敏恵…大島蓉子")</f>
        <v>池袋のマンションで男が殺された。容疑者として浮上したのは、久美子(板谷由夏)がカウンセリングをしている、自傷行為を続ける女子高生・有香(松岡茉優)だった。夏目(椎名桔平)たちが捜査を進めるうちに、有香が数ヶ月前に痴漢被害に遭っていたこと、加害者は中学教師の岩崎(平田満)であること、彼女の自傷行為はその頃はじまったことがわかり、事件は思わぬ方向へ展開していく…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ほか岩崎光男…平田満  仲村有香…松岡茉優    仲村敏恵…大島蓉子</v>
      </c>
      <c r="N5425" s="2"/>
      <c r="O5425" s="2"/>
      <c r="P5425" s="1"/>
      <c r="Q5425" s="1"/>
      <c r="R5425" s="1"/>
      <c r="S5425" s="1"/>
      <c r="T5425" s="1"/>
      <c r="U5425" s="1"/>
      <c r="V5425" s="1"/>
      <c r="W5425" s="1"/>
      <c r="X5425" s="1"/>
      <c r="Y5425" s="1"/>
      <c r="Z5425" s="1"/>
      <c r="AA5425" s="1"/>
      <c r="AB5425" s="1"/>
      <c r="AC5425" s="1"/>
      <c r="AD5425" s="1"/>
      <c r="AE5425" s="1"/>
      <c r="AF5425" s="1"/>
      <c r="AG5425" s="1"/>
      <c r="AH5425" s="1"/>
      <c r="AI5425" s="1"/>
      <c r="AJ5425" s="1"/>
      <c r="AK5425" s="1"/>
      <c r="AL5425" s="1"/>
      <c r="AM5425" s="1"/>
      <c r="AN5425" s="1"/>
      <c r="AO5425" s="1"/>
      <c r="AP5425" s="1"/>
      <c r="AQ5425" s="1"/>
      <c r="AR5425" s="1"/>
      <c r="AS5425" s="1"/>
      <c r="AT5425" s="1"/>
      <c r="AU5425" s="1"/>
      <c r="AV5425" s="1"/>
      <c r="AW5425" s="1"/>
      <c r="AX5425" s="1"/>
      <c r="AY5425" s="1"/>
      <c r="AZ5425" s="1"/>
      <c r="BA5425" s="1"/>
      <c r="BB5425" s="1"/>
    </row>
    <row r="5426" ht="204.75" customHeight="1">
      <c r="A5426" s="1">
        <v>3029.0</v>
      </c>
      <c r="B5426" s="2" t="s">
        <v>14961</v>
      </c>
      <c r="C5426" s="2">
        <f>IFERROR(__xludf.DUMMYFUNCTION("split(B5426,""_"")"),1310.0)</f>
        <v>1310</v>
      </c>
      <c r="D5426" s="2" t="str">
        <f>IFERROR(__xludf.DUMMYFUNCTION("""COMPUTED_VALUE"""),"TBS")</f>
        <v>TBS</v>
      </c>
      <c r="E5426" s="2" t="str">
        <f>IFERROR(__xludf.DUMMYFUNCTION("""COMPUTED_VALUE"""),"月20")</f>
        <v>月20</v>
      </c>
      <c r="F5426" s="2" t="s">
        <v>14962</v>
      </c>
      <c r="G5426" s="2" t="s">
        <v>14979</v>
      </c>
      <c r="H5426" s="1">
        <v>9.0</v>
      </c>
      <c r="J5426" s="1" t="s">
        <v>7151</v>
      </c>
      <c r="K5426" s="2" t="s">
        <v>14980</v>
      </c>
      <c r="L5426" s="2"/>
      <c r="M5426" s="2" t="str">
        <f>IFERROR(__xludf.DUMMYFUNCTION("split(split(K5426,""【"",false),""公式LINE"",false)"),"5年前に突然失踪した福森(松重豊)の婚約者・大野麻里子(奥貫薫)が東池袋に戻ってきたという噂を耳にし、戸惑う福森。一方、夏目(椎名桔平)たちは振り込め詐欺事件を追うが、その首謀者は大野麻里子の兄・健介（山崎銀之丞）だった。  そこへ、麻里子が勤める病院の医師が殺される。容疑者はなんと、健介で…!?夏目 信人…椎名 桔平  菊池 大雅…要 潤  安達 涼子…小野 ゆり子  　　　　　◆  夏目 美奈代…吉田 羊  夏目 絵美…山田 杏奈  瀬戸 公平…中林 大樹  西 晴彦…吉家 章人  草野 楓…藤本 泉"&amp;"  　　　　◆  田辺 久美子…板谷 由夏  長峰 亘…北村 有起哉  福森 誠一…松重 豊大野麻里子…奥貫薫  大野健介…山崎銀之丞    ゲン…緋田康人")</f>
        <v>5年前に突然失踪した福森(松重豊)の婚約者・大野麻里子(奥貫薫)が東池袋に戻ってきたという噂を耳にし、戸惑う福森。一方、夏目(椎名桔平)たちは振り込め詐欺事件を追うが、その首謀者は大野麻里子の兄・健介（山崎銀之丞）だった。  そこへ、麻里子が勤める病院の医師が殺される。容疑者はなんと、健介で…!?夏目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豊大野麻里子…奥貫薫  大野健介…山崎銀之丞    ゲン…緋田康人</v>
      </c>
      <c r="N5426" s="2"/>
      <c r="O5426" s="2"/>
      <c r="P5426" s="1"/>
      <c r="Q5426" s="1"/>
      <c r="R5426" s="1"/>
      <c r="S5426" s="1"/>
      <c r="T5426" s="1"/>
      <c r="U5426" s="1"/>
      <c r="V5426" s="1"/>
      <c r="W5426" s="1"/>
      <c r="X5426" s="1"/>
      <c r="Y5426" s="1"/>
      <c r="Z5426" s="1"/>
      <c r="AA5426" s="1"/>
      <c r="AB5426" s="1"/>
      <c r="AC5426" s="1"/>
      <c r="AD5426" s="1"/>
      <c r="AE5426" s="1"/>
      <c r="AF5426" s="1"/>
      <c r="AG5426" s="1"/>
      <c r="AH5426" s="1"/>
      <c r="AI5426" s="1"/>
      <c r="AJ5426" s="1"/>
      <c r="AK5426" s="1"/>
      <c r="AL5426" s="1"/>
      <c r="AM5426" s="1"/>
      <c r="AN5426" s="1"/>
      <c r="AO5426" s="1"/>
      <c r="AP5426" s="1"/>
      <c r="AQ5426" s="1"/>
      <c r="AR5426" s="1"/>
      <c r="AS5426" s="1"/>
      <c r="AT5426" s="1"/>
      <c r="AU5426" s="1"/>
      <c r="AV5426" s="1"/>
      <c r="AW5426" s="1"/>
      <c r="AX5426" s="1"/>
      <c r="AY5426" s="1"/>
      <c r="AZ5426" s="1"/>
      <c r="BA5426" s="1"/>
      <c r="BB5426" s="1"/>
    </row>
    <row r="5427" ht="204.75" customHeight="1">
      <c r="A5427" s="1">
        <v>3030.0</v>
      </c>
      <c r="B5427" s="2" t="s">
        <v>14961</v>
      </c>
      <c r="C5427" s="2">
        <f>IFERROR(__xludf.DUMMYFUNCTION("split(B5427,""_"")"),1310.0)</f>
        <v>1310</v>
      </c>
      <c r="D5427" s="2" t="str">
        <f>IFERROR(__xludf.DUMMYFUNCTION("""COMPUTED_VALUE"""),"TBS")</f>
        <v>TBS</v>
      </c>
      <c r="E5427" s="2" t="str">
        <f>IFERROR(__xludf.DUMMYFUNCTION("""COMPUTED_VALUE"""),"月20")</f>
        <v>月20</v>
      </c>
      <c r="F5427" s="2" t="s">
        <v>14962</v>
      </c>
      <c r="G5427" s="2" t="s">
        <v>14981</v>
      </c>
      <c r="H5427" s="1">
        <v>10.0</v>
      </c>
      <c r="J5427" s="1" t="s">
        <v>7151</v>
      </c>
      <c r="K5427" s="2" t="s">
        <v>14982</v>
      </c>
      <c r="L5427" s="2"/>
      <c r="M5427" s="2" t="str">
        <f>IFERROR(__xludf.DUMMYFUNCTION("split(split(K5427,""【"",false),""公式LINE"",false)"),"池袋で連続通り魔事件が発生。一人目は大学生、二人目は高級住宅街に住む主婦だった。  捜査を進めるうちに被疑者として浮上したのは、10年前、父親を殺された元少年・山之内信吾(窪田正孝)で、かつて夏目が法務技官時代に、被害者ケアのために接していたこともある人物だった…。  しかも、山之内は自分の父親を殺した男である尾崎(柏原収史)に、被害者の身分証を送りつけていた。果たして彼の目的とは!?  夏目 信人…椎名 桔平  菊池 大雅…要 潤  安達 涼子…小野 ゆり子  　　　　　◆  夏目 美奈代…吉田 羊  "&amp;"夏目 絵美…山田 杏奈  瀬戸 公平…中林 大樹  西 晴彦…吉家 章人  草野 楓…藤本 泉  　　　　◆  田辺 久美子…板谷 由夏  長峰 亘…北村 有起哉  福森 誠一…松重 豊  ほか山之内信吾…窪田正孝    尾崎秋彦…柏原収史  尾崎悦子…須藤理彩    宗方善…平 幹二朗")</f>
        <v>池袋で連続通り魔事件が発生。一人目は大学生、二人目は高級住宅街に住む主婦だった。  捜査を進めるうちに被疑者として浮上したのは、10年前、父親を殺された元少年・山之内信吾(窪田正孝)で、かつて夏目が法務技官時代に、被害者ケアのために接していたこともある人物だった…。  しかも、山之内は自分の父親を殺した男である尾崎(柏原収史)に、被害者の身分証を送りつけていた。果たして彼の目的とは!?  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ほか山之内信吾…窪田正孝    尾崎秋彦…柏原収史  尾崎悦子…須藤理彩    宗方善…平 幹二朗</v>
      </c>
      <c r="N5427" s="2"/>
      <c r="O5427" s="2"/>
      <c r="P5427" s="1"/>
      <c r="Q5427" s="1"/>
      <c r="R5427" s="1"/>
      <c r="S5427" s="1"/>
      <c r="T5427" s="1"/>
      <c r="U5427" s="1"/>
      <c r="V5427" s="1"/>
      <c r="W5427" s="1"/>
      <c r="X5427" s="1"/>
      <c r="Y5427" s="1"/>
      <c r="Z5427" s="1"/>
      <c r="AA5427" s="1"/>
      <c r="AB5427" s="1"/>
      <c r="AC5427" s="1"/>
      <c r="AD5427" s="1"/>
      <c r="AE5427" s="1"/>
      <c r="AF5427" s="1"/>
      <c r="AG5427" s="1"/>
      <c r="AH5427" s="1"/>
      <c r="AI5427" s="1"/>
      <c r="AJ5427" s="1"/>
      <c r="AK5427" s="1"/>
      <c r="AL5427" s="1"/>
      <c r="AM5427" s="1"/>
      <c r="AN5427" s="1"/>
      <c r="AO5427" s="1"/>
      <c r="AP5427" s="1"/>
      <c r="AQ5427" s="1"/>
      <c r="AR5427" s="1"/>
      <c r="AS5427" s="1"/>
      <c r="AT5427" s="1"/>
      <c r="AU5427" s="1"/>
      <c r="AV5427" s="1"/>
      <c r="AW5427" s="1"/>
      <c r="AX5427" s="1"/>
      <c r="AY5427" s="1"/>
      <c r="AZ5427" s="1"/>
      <c r="BA5427" s="1"/>
      <c r="BB5427" s="1"/>
    </row>
    <row r="5428" ht="204.75" customHeight="1">
      <c r="A5428" s="1">
        <v>3031.0</v>
      </c>
      <c r="B5428" s="2" t="s">
        <v>14961</v>
      </c>
      <c r="C5428" s="2">
        <f>IFERROR(__xludf.DUMMYFUNCTION("split(B5428,""_"")"),1310.0)</f>
        <v>1310</v>
      </c>
      <c r="D5428" s="2" t="str">
        <f>IFERROR(__xludf.DUMMYFUNCTION("""COMPUTED_VALUE"""),"TBS")</f>
        <v>TBS</v>
      </c>
      <c r="E5428" s="2" t="str">
        <f>IFERROR(__xludf.DUMMYFUNCTION("""COMPUTED_VALUE"""),"月20")</f>
        <v>月20</v>
      </c>
      <c r="F5428" s="2" t="s">
        <v>14962</v>
      </c>
      <c r="G5428" s="2" t="s">
        <v>14983</v>
      </c>
      <c r="H5428" s="1">
        <v>11.0</v>
      </c>
      <c r="J5428" s="1" t="s">
        <v>7151</v>
      </c>
      <c r="K5428" s="2" t="s">
        <v>14984</v>
      </c>
      <c r="L5428" s="2"/>
      <c r="M5428" s="2" t="str">
        <f>IFERROR(__xludf.DUMMYFUNCTION("split(split(K5428,""【"",false),""公式LINE"",false)"),"池袋で次々に起こる連続通り魔事件。容疑者として浮上したのは、夏目がかつて法務技官として関わった、父親を殺された少年・山之内信吾(窪田正孝)だった。さらに、山之内は10年前に夏目の娘を襲った事件の容疑者であることもわかり、衝撃が走る。  そんな中、山之内の居所をつかむべく捜査に走り回る刑事たちに、山之内が電話をしてきてー!?  夏目 信人…椎名 桔平  菊池 大雅…要 潤  安達 涼子…小野 ゆり子  　　　　　◆  夏目 美奈代…吉田 羊  夏目 絵美…山田 杏奈  瀬戸 公平…中林 大樹  西 晴彦…吉"&amp;"家 章人  草野 楓…藤本 泉  　　　　◆  田辺 久美子…板谷 由夏  長峰 亘…北村 有起哉  福森 誠一…松重 豊  ほか山之内信吾…窪田正孝  尾崎秋彦…柏原収史  尾崎悦子…須藤理彩    藪沢管理官…升毅    宗方善…平幹二朗")</f>
        <v>池袋で次々に起こる連続通り魔事件。容疑者として浮上したのは、夏目がかつて法務技官として関わった、父親を殺された少年・山之内信吾(窪田正孝)だった。さらに、山之内は10年前に夏目の娘を襲った事件の容疑者であることもわかり、衝撃が走る。  そんな中、山之内の居所をつかむべく捜査に走り回る刑事たちに、山之内が電話をしてきてー!?  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ほか山之内信吾…窪田正孝  尾崎秋彦…柏原収史  尾崎悦子…須藤理彩    藪沢管理官…升毅    宗方善…平幹二朗</v>
      </c>
      <c r="N5428" s="2"/>
      <c r="O5428" s="2"/>
      <c r="P5428" s="1"/>
      <c r="Q5428" s="1"/>
      <c r="R5428" s="1"/>
      <c r="S5428" s="1"/>
      <c r="T5428" s="1"/>
      <c r="U5428" s="1"/>
      <c r="V5428" s="1"/>
      <c r="W5428" s="1"/>
      <c r="X5428" s="1"/>
      <c r="Y5428" s="1"/>
      <c r="Z5428" s="1"/>
      <c r="AA5428" s="1"/>
      <c r="AB5428" s="1"/>
      <c r="AC5428" s="1"/>
      <c r="AD5428" s="1"/>
      <c r="AE5428" s="1"/>
      <c r="AF5428" s="1"/>
      <c r="AG5428" s="1"/>
      <c r="AH5428" s="1"/>
      <c r="AI5428" s="1"/>
      <c r="AJ5428" s="1"/>
      <c r="AK5428" s="1"/>
      <c r="AL5428" s="1"/>
      <c r="AM5428" s="1"/>
      <c r="AN5428" s="1"/>
      <c r="AO5428" s="1"/>
      <c r="AP5428" s="1"/>
      <c r="AQ5428" s="1"/>
      <c r="AR5428" s="1"/>
      <c r="AS5428" s="1"/>
      <c r="AT5428" s="1"/>
      <c r="AU5428" s="1"/>
      <c r="AV5428" s="1"/>
      <c r="AW5428" s="1"/>
      <c r="AX5428" s="1"/>
      <c r="AY5428" s="1"/>
      <c r="AZ5428" s="1"/>
      <c r="BA5428" s="1"/>
      <c r="BB5428" s="1"/>
    </row>
    <row r="5429" ht="204.75" customHeight="1">
      <c r="A5429" s="1">
        <v>3086.0</v>
      </c>
      <c r="B5429" s="2" t="s">
        <v>14985</v>
      </c>
      <c r="C5429" s="2">
        <f>IFERROR(__xludf.DUMMYFUNCTION("split(B5429,""_"")"),1310.0)</f>
        <v>1310</v>
      </c>
      <c r="D5429" s="2" t="str">
        <f>IFERROR(__xludf.DUMMYFUNCTION("""COMPUTED_VALUE"""),"TBS")</f>
        <v>TBS</v>
      </c>
      <c r="E5429" s="2" t="str">
        <f>IFERROR(__xludf.DUMMYFUNCTION("""COMPUTED_VALUE"""),"木21")</f>
        <v>木21</v>
      </c>
      <c r="F5429" s="2" t="s">
        <v>14986</v>
      </c>
      <c r="G5429" s="2" t="s">
        <v>14987</v>
      </c>
      <c r="H5429" s="1">
        <v>1.0</v>
      </c>
      <c r="J5429" s="1" t="s">
        <v>4</v>
      </c>
      <c r="K5429" s="2" t="s">
        <v>14988</v>
      </c>
      <c r="L5429" s="2"/>
      <c r="M5429" s="2" t="str">
        <f>IFERROR(__xludf.DUMMYFUNCTION("split(split(K5429,""【"",false),""公式LINE"",false)"),"妻の勘違いから始まる痛快ホームコメディ。派遣社員の山岸星見（川口春奈）は、上司の営業部課長の小松原麦太郎（田辺誠一）や同僚の石黒靖（古川雄輝）に見守られながら“自由奔放”に働いていた。ある日、星見は麦太郎の妻菱子に呼び出され、夫にもう会わないでくれと詰め寄られる。(菱子は星見を夫のカノジョと勘違いしていた)そんな中、二人のカラダが入れ替わってしまう！！二人が様々な波紋と奇跡を起こす！！山岸星見：川口春奈  小松原菱子：鈴木砂羽  小松原真人：鈴木福  石黒靖：古川雄輝  小松原実花：大友花恋   ★  久"&amp;"米圭祐：柳沢慎吾  相川千代乃：山村紅葉   ★  山岸史子：片平なぎさ   ★  小松原麦太郎：田辺誠一主題歌 ： Serena「CHANGE!!」（アリオラジャパン） ★番組HP  http://www.tbs.co.jp/ottonokanojyo_tbs/  ★スマートフォン用  http://www.tbs.co.jp/smp/ottonokanojyo_tbs/★twitter  https://twitter.com/ottonokanojyo  原作 ： 垣谷美雨「夫のカノジョ」（双葉文庫"&amp;"）  脚本 ： 江頭美智留　横田理恵  音楽 ： 山下康介  編成 ： 加藤新プロデューサー ： 井上竜太（ホリプロ）  演出 ： 二宮崇　三木康一郎■予告動画を公開しました！  http://youtu.be/h9IqeY0N_BI  ■放送直前！スペシャルナビ映像！  http://youtu.be/pOxcy9Yyf74  番組の内容と放送時間は、変更になる場合があります。")</f>
        <v>妻の勘違いから始まる痛快ホームコメディ。派遣社員の山岸星見（川口春奈）は、上司の営業部課長の小松原麦太郎（田辺誠一）や同僚の石黒靖（古川雄輝）に見守られながら“自由奔放”に働いていた。ある日、星見は麦太郎の妻菱子に呼び出され、夫にもう会わないでくれと詰め寄られる。(菱子は星見を夫のカノジョと勘違いしていた)そんな中、二人のカラダが入れ替わってしまう！！二人が様々な波紋と奇跡を起こす！！山岸星見：川口春奈  小松原菱子：鈴木砂羽  小松原真人：鈴木福  石黒靖：古川雄輝  小松原実花：大友花恋   ★  久米圭祐：柳沢慎吾  相川千代乃：山村紅葉   ★  山岸史子：片平なぎさ   ★  小松原麦太郎：田辺誠一主題歌 ： Serena「CHANGE!!」（アリオラジャパン） ★番組HP  http://www.tbs.co.jp/ottonokanojyo_tbs/  ★スマートフォン用  http://www.tbs.co.jp/smp/ottonokanojyo_tbs/★twitter  https://twitter.com/ottonokanojyo  原作 ： 垣谷美雨「夫のカノジョ」（双葉文庫）  脚本 ： 江頭美智留　横田理恵  音楽 ： 山下康介  編成 ： 加藤新プロデューサー ： 井上竜太（ホリプロ）  演出 ： 二宮崇　三木康一郎■予告動画を公開しました！  http://youtu.be/h9IqeY0N_BI  ■放送直前！スペシャルナビ映像！  http://youtu.be/pOxcy9Yyf74  番組の内容と放送時間は、変更になる場合があります。</v>
      </c>
      <c r="N5429" s="2"/>
      <c r="O5429" s="2"/>
      <c r="P5429" s="1"/>
      <c r="Q5429" s="1"/>
      <c r="R5429" s="1"/>
      <c r="S5429" s="1"/>
      <c r="T5429" s="1"/>
      <c r="U5429" s="1"/>
      <c r="V5429" s="1"/>
      <c r="W5429" s="1"/>
      <c r="X5429" s="1"/>
      <c r="Y5429" s="1"/>
      <c r="Z5429" s="1"/>
      <c r="AA5429" s="1"/>
      <c r="AB5429" s="1"/>
      <c r="AC5429" s="1"/>
      <c r="AD5429" s="1"/>
      <c r="AE5429" s="1"/>
      <c r="AF5429" s="1"/>
      <c r="AG5429" s="1"/>
      <c r="AH5429" s="1"/>
      <c r="AI5429" s="1"/>
      <c r="AJ5429" s="1"/>
      <c r="AK5429" s="1"/>
      <c r="AL5429" s="1"/>
      <c r="AM5429" s="1"/>
      <c r="AN5429" s="1"/>
      <c r="AO5429" s="1"/>
      <c r="AP5429" s="1"/>
      <c r="AQ5429" s="1"/>
      <c r="AR5429" s="1"/>
      <c r="AS5429" s="1"/>
      <c r="AT5429" s="1"/>
      <c r="AU5429" s="1"/>
      <c r="AV5429" s="1"/>
      <c r="AW5429" s="1"/>
      <c r="AX5429" s="1"/>
      <c r="AY5429" s="1"/>
      <c r="AZ5429" s="1"/>
      <c r="BA5429" s="1"/>
      <c r="BB5429" s="1"/>
    </row>
    <row r="5430" ht="204.75" customHeight="1">
      <c r="A5430" s="1">
        <v>3087.0</v>
      </c>
      <c r="B5430" s="2" t="s">
        <v>14985</v>
      </c>
      <c r="C5430" s="2">
        <f>IFERROR(__xludf.DUMMYFUNCTION("split(B5430,""_"")"),1310.0)</f>
        <v>1310</v>
      </c>
      <c r="D5430" s="2" t="str">
        <f>IFERROR(__xludf.DUMMYFUNCTION("""COMPUTED_VALUE"""),"TBS")</f>
        <v>TBS</v>
      </c>
      <c r="E5430" s="2" t="str">
        <f>IFERROR(__xludf.DUMMYFUNCTION("""COMPUTED_VALUE"""),"木21")</f>
        <v>木21</v>
      </c>
      <c r="F5430" s="2" t="s">
        <v>14986</v>
      </c>
      <c r="G5430" s="2" t="s">
        <v>14989</v>
      </c>
      <c r="H5430" s="1">
        <v>2.0</v>
      </c>
      <c r="J5430" s="1" t="s">
        <v>11</v>
      </c>
      <c r="K5430" s="2" t="s">
        <v>14990</v>
      </c>
      <c r="L5430" s="2"/>
      <c r="M5430" s="2" t="str">
        <f>IFERROR(__xludf.DUMMYFUNCTION("split(split(K5430,""【"",false),""公式LINE"",false)"),"39歳の主婦とハタチのOLのカラダが入れ替わるハートフルコメディ。菱子(鈴木砂羽)と星見(川口春奈)の体が入れ替わったため、菱子はOLとして、星見は主婦として生活することになった。OLになった菱子（鈴木砂羽）は会社の問題を指摘し、波紋をおこすが主婦パワーで乗り越えていく！入れ替わった二人が様々な困難を乗り越え、家族や仲間を救う！！山岸星見：川口春奈  小松原菱子：鈴木砂羽  小松原真人：鈴木福  石黒靖：古川雄輝  小松原実花：大友花恋   ★  久米圭祐：柳沢慎吾  相川千代乃：山村紅葉  ★  杉下鉄"&amp;"男：石倉三郎  ★  山岸史子：片平なぎさ  ★  小松原麦太郎：田辺誠一主題歌 ： Serena「CHANGE!!」（アリオラジャパン） 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http://www.tbs.co.jp/smp/"&amp;"ottonokanojyo_tbs/  ★twitter  https://twitter.com/ottonokanojyo  第1話ダイジェスト＆第2話予告動画を公開しました！こちらからどうぞ！  http://youtu.be/NIHhF0KRwRM  番組の内容と放送時間は、変更になる場合があります。")</f>
        <v>39歳の主婦とハタチのOLのカラダが入れ替わるハートフルコメディ。菱子(鈴木砂羽)と星見(川口春奈)の体が入れ替わったため、菱子はOLとして、星見は主婦として生活することになった。OLになった菱子（鈴木砂羽）は会社の問題を指摘し、波紋をおこすが主婦パワーで乗り越えていく！入れ替わった二人が様々な困難を乗り越え、家族や仲間を救う！！山岸星見：川口春奈  小松原菱子：鈴木砂羽  小松原真人：鈴木福  石黒靖：古川雄輝  小松原実花：大友花恋   ★  久米圭祐：柳沢慎吾  相川千代乃：山村紅葉  ★  杉下鉄男：石倉三郎  ★  山岸史子：片平なぎさ  ★  小松原麦太郎：田辺誠一主題歌 ： Serena「CHANGE!!」（アリオラジャパン） 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http://www.tbs.co.jp/smp/ottonokanojyo_tbs/  ★twitter  https://twitter.com/ottonokanojyo  第1話ダイジェスト＆第2話予告動画を公開しました！こちらからどうぞ！  http://youtu.be/NIHhF0KRwRM  番組の内容と放送時間は、変更になる場合があります。</v>
      </c>
      <c r="N5430" s="2"/>
      <c r="O5430" s="2"/>
      <c r="P5430" s="1"/>
      <c r="Q5430" s="1"/>
      <c r="R5430" s="1"/>
      <c r="S5430" s="1"/>
      <c r="T5430" s="1"/>
      <c r="U5430" s="1"/>
      <c r="V5430" s="1"/>
      <c r="W5430" s="1"/>
      <c r="X5430" s="1"/>
      <c r="Y5430" s="1"/>
      <c r="Z5430" s="1"/>
      <c r="AA5430" s="1"/>
      <c r="AB5430" s="1"/>
      <c r="AC5430" s="1"/>
      <c r="AD5430" s="1"/>
      <c r="AE5430" s="1"/>
      <c r="AF5430" s="1"/>
      <c r="AG5430" s="1"/>
      <c r="AH5430" s="1"/>
      <c r="AI5430" s="1"/>
      <c r="AJ5430" s="1"/>
      <c r="AK5430" s="1"/>
      <c r="AL5430" s="1"/>
      <c r="AM5430" s="1"/>
      <c r="AN5430" s="1"/>
      <c r="AO5430" s="1"/>
      <c r="AP5430" s="1"/>
      <c r="AQ5430" s="1"/>
      <c r="AR5430" s="1"/>
      <c r="AS5430" s="1"/>
      <c r="AT5430" s="1"/>
      <c r="AU5430" s="1"/>
      <c r="AV5430" s="1"/>
      <c r="AW5430" s="1"/>
      <c r="AX5430" s="1"/>
      <c r="AY5430" s="1"/>
      <c r="AZ5430" s="1"/>
      <c r="BA5430" s="1"/>
      <c r="BB5430" s="1"/>
    </row>
    <row r="5431" ht="204.75" customHeight="1">
      <c r="A5431" s="1">
        <v>3088.0</v>
      </c>
      <c r="B5431" s="2" t="s">
        <v>14985</v>
      </c>
      <c r="C5431" s="2">
        <f>IFERROR(__xludf.DUMMYFUNCTION("split(B5431,""_"")"),1310.0)</f>
        <v>1310</v>
      </c>
      <c r="D5431" s="2" t="str">
        <f>IFERROR(__xludf.DUMMYFUNCTION("""COMPUTED_VALUE"""),"TBS")</f>
        <v>TBS</v>
      </c>
      <c r="E5431" s="2" t="str">
        <f>IFERROR(__xludf.DUMMYFUNCTION("""COMPUTED_VALUE"""),"木21")</f>
        <v>木21</v>
      </c>
      <c r="F5431" s="2" t="s">
        <v>14986</v>
      </c>
      <c r="G5431" s="2" t="s">
        <v>14991</v>
      </c>
      <c r="H5431" s="1">
        <v>3.0</v>
      </c>
      <c r="J5431" s="1" t="s">
        <v>11</v>
      </c>
      <c r="K5431" s="2" t="s">
        <v>14992</v>
      </c>
      <c r="L5431" s="2"/>
      <c r="M5431" s="2" t="str">
        <f>IFERROR(__xludf.DUMMYFUNCTION("split(split(K5431,""【"",false),""公式LINE"",false)"),"39歳の主婦とハタチのOLのカラダが入れ替わるハートフルコメディ。OLになった菱子(鈴木砂羽)はハイキングの幹事を担当する事になる。ハイキングの当日、千代乃の勝手な行動がもとで、アクシデントが発生。星見は迷わず、川に飛び込むのだが…。一方、星見(川口春奈)は会社のイベントに参加していた。初めての経験に戸惑う星見は失敗ばかり。落ち込むを星見を麦太郎が励まし、二人は急接近する！山岸星見：川口春奈   小松原菱子：鈴木砂羽   小松原真人：鈴木福   石黒靖：古川雄輝   小松原実花：大友花恋   ★  久米圭"&amp;"祐：柳沢慎吾   相川千代乃：山村紅葉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http://www.t"&amp;"bs.co.jp/smp/ottonokanojyo_tbs/  ★twitter  https://twitter.com/ottonokanojyo  第2話ダイジェスト＆次回予告動画を公開しました！こちらからどうぞ！  http://youtu.be/EsBaMHqy04g  番組の内容と放送時間は、変更になる場合があります。")</f>
        <v>39歳の主婦とハタチのOLのカラダが入れ替わるハートフルコメディ。OLになった菱子(鈴木砂羽)はハイキングの幹事を担当する事になる。ハイキングの当日、千代乃の勝手な行動がもとで、アクシデントが発生。星見は迷わず、川に飛び込むのだが…。一方、星見(川口春奈)は会社のイベントに参加していた。初めての経験に戸惑う星見は失敗ばかり。落ち込むを星見を麦太郎が励まし、二人は急接近する！山岸星見：川口春奈   小松原菱子：鈴木砂羽   小松原真人：鈴木福   石黒靖：古川雄輝   小松原実花：大友花恋   ★  久米圭祐：柳沢慎吾   相川千代乃：山村紅葉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http://www.tbs.co.jp/smp/ottonokanojyo_tbs/  ★twitter  https://twitter.com/ottonokanojyo  第2話ダイジェスト＆次回予告動画を公開しました！こちらからどうぞ！  http://youtu.be/EsBaMHqy04g  番組の内容と放送時間は、変更になる場合があります。</v>
      </c>
      <c r="N5431" s="2"/>
      <c r="O5431" s="2"/>
      <c r="P5431" s="1"/>
      <c r="Q5431" s="1"/>
      <c r="R5431" s="1"/>
      <c r="S5431" s="1"/>
      <c r="T5431" s="1"/>
      <c r="U5431" s="1"/>
      <c r="V5431" s="1"/>
      <c r="W5431" s="1"/>
      <c r="X5431" s="1"/>
      <c r="Y5431" s="1"/>
      <c r="Z5431" s="1"/>
      <c r="AA5431" s="1"/>
      <c r="AB5431" s="1"/>
      <c r="AC5431" s="1"/>
      <c r="AD5431" s="1"/>
      <c r="AE5431" s="1"/>
      <c r="AF5431" s="1"/>
      <c r="AG5431" s="1"/>
      <c r="AH5431" s="1"/>
      <c r="AI5431" s="1"/>
      <c r="AJ5431" s="1"/>
      <c r="AK5431" s="1"/>
      <c r="AL5431" s="1"/>
      <c r="AM5431" s="1"/>
      <c r="AN5431" s="1"/>
      <c r="AO5431" s="1"/>
      <c r="AP5431" s="1"/>
      <c r="AQ5431" s="1"/>
      <c r="AR5431" s="1"/>
      <c r="AS5431" s="1"/>
      <c r="AT5431" s="1"/>
      <c r="AU5431" s="1"/>
      <c r="AV5431" s="1"/>
      <c r="AW5431" s="1"/>
      <c r="AX5431" s="1"/>
      <c r="AY5431" s="1"/>
      <c r="AZ5431" s="1"/>
      <c r="BA5431" s="1"/>
      <c r="BB5431" s="1"/>
    </row>
    <row r="5432" ht="204.75" customHeight="1">
      <c r="A5432" s="1">
        <v>3089.0</v>
      </c>
      <c r="B5432" s="2" t="s">
        <v>14985</v>
      </c>
      <c r="C5432" s="2">
        <f>IFERROR(__xludf.DUMMYFUNCTION("split(B5432,""_"")"),1310.0)</f>
        <v>1310</v>
      </c>
      <c r="D5432" s="2" t="str">
        <f>IFERROR(__xludf.DUMMYFUNCTION("""COMPUTED_VALUE"""),"TBS")</f>
        <v>TBS</v>
      </c>
      <c r="E5432" s="2" t="str">
        <f>IFERROR(__xludf.DUMMYFUNCTION("""COMPUTED_VALUE"""),"木21")</f>
        <v>木21</v>
      </c>
      <c r="F5432" s="2" t="s">
        <v>14986</v>
      </c>
      <c r="G5432" s="2" t="s">
        <v>14993</v>
      </c>
      <c r="H5432" s="1">
        <v>4.0</v>
      </c>
      <c r="J5432" s="1" t="s">
        <v>11</v>
      </c>
      <c r="K5432" s="2" t="s">
        <v>14994</v>
      </c>
      <c r="L5432" s="2"/>
      <c r="M5432" s="2" t="str">
        <f>IFERROR(__xludf.DUMMYFUNCTION("split(split(K5432,""【"",false),""公式LINE"",false)"),"39歳の主婦とハタチのOLのカラダが入れ替わるハートフルコメディ。階段から落ちた麦太郎はしばらく入院することに。OLに入れ替わっている本当のママは、パパの看病が出来ず、不満爆発！全てをバラすと星見に宣言する。バレたら元に戻れない二人！そんな中、菱子は重大な事実を知る！波乱と感動を呼ぶ、第一章クライマックス！！山岸星見：川口春奈   小松原菱子：鈴木砂羽   小松原真人：鈴木福   石黒靖：古川雄輝   小松原実花：大友花恋   ★  久米圭祐：柳沢慎吾   相川千代乃：山村紅葉   ★  山岸史子：片平な"&amp;"ぎさ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http://www.tbs.co.jp/smp/ottonokanojyo_tbs/  "&amp;"★twitter  https://twitter.com/ottonokanojyo  第3話ダイジェスト＆次回予告動画公開です！  http://youtu.be/s_BCy7-X0F8  番組の内容と放送時間は、変更になる場合があります。")</f>
        <v>39歳の主婦とハタチのOLのカラダが入れ替わるハートフルコメディ。階段から落ちた麦太郎はしばらく入院することに。OLに入れ替わっている本当のママは、パパの看病が出来ず、不満爆発！全てをバラすと星見に宣言する。バレたら元に戻れない二人！そんな中、菱子は重大な事実を知る！波乱と感動を呼ぶ、第一章クライマックス！！山岸星見：川口春奈   小松原菱子：鈴木砂羽   小松原真人：鈴木福   石黒靖：古川雄輝   小松原実花：大友花恋   ★  久米圭祐：柳沢慎吾   相川千代乃：山村紅葉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http://www.tbs.co.jp/smp/ottonokanojyo_tbs/  ★twitter  https://twitter.com/ottonokanojyo  第3話ダイジェスト＆次回予告動画公開です！  http://youtu.be/s_BCy7-X0F8  番組の内容と放送時間は、変更になる場合があります。</v>
      </c>
      <c r="N5432" s="2"/>
      <c r="O5432" s="2"/>
      <c r="P5432" s="1"/>
      <c r="Q5432" s="1"/>
      <c r="R5432" s="1"/>
      <c r="S5432" s="1"/>
      <c r="T5432" s="1"/>
      <c r="U5432" s="1"/>
      <c r="V5432" s="1"/>
      <c r="W5432" s="1"/>
      <c r="X5432" s="1"/>
      <c r="Y5432" s="1"/>
      <c r="Z5432" s="1"/>
      <c r="AA5432" s="1"/>
      <c r="AB5432" s="1"/>
      <c r="AC5432" s="1"/>
      <c r="AD5432" s="1"/>
      <c r="AE5432" s="1"/>
      <c r="AF5432" s="1"/>
      <c r="AG5432" s="1"/>
      <c r="AH5432" s="1"/>
      <c r="AI5432" s="1"/>
      <c r="AJ5432" s="1"/>
      <c r="AK5432" s="1"/>
      <c r="AL5432" s="1"/>
      <c r="AM5432" s="1"/>
      <c r="AN5432" s="1"/>
      <c r="AO5432" s="1"/>
      <c r="AP5432" s="1"/>
      <c r="AQ5432" s="1"/>
      <c r="AR5432" s="1"/>
      <c r="AS5432" s="1"/>
      <c r="AT5432" s="1"/>
      <c r="AU5432" s="1"/>
      <c r="AV5432" s="1"/>
      <c r="AW5432" s="1"/>
      <c r="AX5432" s="1"/>
      <c r="AY5432" s="1"/>
      <c r="AZ5432" s="1"/>
      <c r="BA5432" s="1"/>
      <c r="BB5432" s="1"/>
    </row>
    <row r="5433" ht="204.75" customHeight="1">
      <c r="A5433" s="1">
        <v>3090.0</v>
      </c>
      <c r="B5433" s="2" t="s">
        <v>14985</v>
      </c>
      <c r="C5433" s="2">
        <f>IFERROR(__xludf.DUMMYFUNCTION("split(B5433,""_"")"),1310.0)</f>
        <v>1310</v>
      </c>
      <c r="D5433" s="2" t="str">
        <f>IFERROR(__xludf.DUMMYFUNCTION("""COMPUTED_VALUE"""),"TBS")</f>
        <v>TBS</v>
      </c>
      <c r="E5433" s="2" t="str">
        <f>IFERROR(__xludf.DUMMYFUNCTION("""COMPUTED_VALUE"""),"木21")</f>
        <v>木21</v>
      </c>
      <c r="F5433" s="2" t="s">
        <v>14986</v>
      </c>
      <c r="G5433" s="2" t="s">
        <v>14995</v>
      </c>
      <c r="H5433" s="1">
        <v>5.0</v>
      </c>
      <c r="J5433" s="1" t="s">
        <v>11</v>
      </c>
      <c r="K5433" s="2" t="s">
        <v>14996</v>
      </c>
      <c r="L5433" s="2"/>
      <c r="M5433" s="2" t="str">
        <f>IFERROR(__xludf.DUMMYFUNCTION("split(split(K5433,""【"",false),""公式LINE"",false)"),"39歳の主婦とハタチのOLのカラダが入れ替わるハートフルコメディ。病院でひょんなことから麦太郎と抱き合う格好になった星見はその場面を偶然居合わせた石黒と実花に目撃されてしまう。真相を確かめたい実花は麦太郎の会社のバーベキューに参加すると言いだす。実花の誤解を解きたい菱子と星見も参加を決めるが・・・誤解が解けて家族の絆は取り戻せるのか！？今夜、感動の第二章が幕を開ける！！山岸星見：川口春奈   小松原菱子：鈴木砂羽   小松原真人：鈴木福   石黒靖：古川雄輝   小松原実花：大友花恋   ★  久米圭祐："&amp;"柳沢慎吾   相川千代乃：山村紅葉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http://www.t"&amp;"bs.co.jp/smp/ottonokanojyo_tbs/  ★twitter  https://twitter.com/ottonokanojyo  第4話（11/14）ダイジェスト＆予告動画を公開しました！こちらからどうぞ！  http://youtu.be/xOZ1y7g8FFU  番組の内容と放送時間は、変更になる場合があります。")</f>
        <v>39歳の主婦とハタチのOLのカラダが入れ替わるハートフルコメディ。病院でひょんなことから麦太郎と抱き合う格好になった星見はその場面を偶然居合わせた石黒と実花に目撃されてしまう。真相を確かめたい実花は麦太郎の会社のバーベキューに参加すると言いだす。実花の誤解を解きたい菱子と星見も参加を決めるが・・・誤解が解けて家族の絆は取り戻せるのか！？今夜、感動の第二章が幕を開ける！！山岸星見：川口春奈   小松原菱子：鈴木砂羽   小松原真人：鈴木福   石黒靖：古川雄輝   小松原実花：大友花恋   ★  久米圭祐：柳沢慎吾   相川千代乃：山村紅葉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http://www.tbs.co.jp/smp/ottonokanojyo_tbs/  ★twitter  https://twitter.com/ottonokanojyo  第4話（11/14）ダイジェスト＆予告動画を公開しました！こちらからどうぞ！  http://youtu.be/xOZ1y7g8FFU  番組の内容と放送時間は、変更になる場合があります。</v>
      </c>
      <c r="N5433" s="2"/>
      <c r="O5433" s="2"/>
      <c r="P5433" s="1"/>
      <c r="Q5433" s="1"/>
      <c r="R5433" s="1"/>
      <c r="S5433" s="1"/>
      <c r="T5433" s="1"/>
      <c r="U5433" s="1"/>
      <c r="V5433" s="1"/>
      <c r="W5433" s="1"/>
      <c r="X5433" s="1"/>
      <c r="Y5433" s="1"/>
      <c r="Z5433" s="1"/>
      <c r="AA5433" s="1"/>
      <c r="AB5433" s="1"/>
      <c r="AC5433" s="1"/>
      <c r="AD5433" s="1"/>
      <c r="AE5433" s="1"/>
      <c r="AF5433" s="1"/>
      <c r="AG5433" s="1"/>
      <c r="AH5433" s="1"/>
      <c r="AI5433" s="1"/>
      <c r="AJ5433" s="1"/>
      <c r="AK5433" s="1"/>
      <c r="AL5433" s="1"/>
      <c r="AM5433" s="1"/>
      <c r="AN5433" s="1"/>
      <c r="AO5433" s="1"/>
      <c r="AP5433" s="1"/>
      <c r="AQ5433" s="1"/>
      <c r="AR5433" s="1"/>
      <c r="AS5433" s="1"/>
      <c r="AT5433" s="1"/>
      <c r="AU5433" s="1"/>
      <c r="AV5433" s="1"/>
      <c r="AW5433" s="1"/>
      <c r="AX5433" s="1"/>
      <c r="AY5433" s="1"/>
      <c r="AZ5433" s="1"/>
      <c r="BA5433" s="1"/>
      <c r="BB5433" s="1"/>
    </row>
    <row r="5434" ht="204.75" customHeight="1">
      <c r="A5434" s="1">
        <v>3091.0</v>
      </c>
      <c r="B5434" s="2" t="s">
        <v>14985</v>
      </c>
      <c r="C5434" s="2">
        <f>IFERROR(__xludf.DUMMYFUNCTION("split(B5434,""_"")"),1310.0)</f>
        <v>1310</v>
      </c>
      <c r="D5434" s="2" t="str">
        <f>IFERROR(__xludf.DUMMYFUNCTION("""COMPUTED_VALUE"""),"TBS")</f>
        <v>TBS</v>
      </c>
      <c r="E5434" s="2" t="str">
        <f>IFERROR(__xludf.DUMMYFUNCTION("""COMPUTED_VALUE"""),"木21")</f>
        <v>木21</v>
      </c>
      <c r="F5434" s="2" t="s">
        <v>14986</v>
      </c>
      <c r="G5434" s="2" t="s">
        <v>14997</v>
      </c>
      <c r="H5434" s="1">
        <v>6.0</v>
      </c>
      <c r="J5434" s="1" t="s">
        <v>11</v>
      </c>
      <c r="K5434" s="2" t="s">
        <v>14998</v>
      </c>
      <c r="L5434" s="2"/>
      <c r="M5434" s="2" t="str">
        <f>IFERROR(__xludf.DUMMYFUNCTION("split(split(K5434,""【"",false),""公式LINE"",false)"),"39歳の主婦とハタチのOLのカラダが入れ替わるハートフルコメディ。麦太郎は度々隠れて電話する菱子の浮気を疑っていた。だが部長の久米から夫婦円満の秘訣を聞き、星見をデートに誘う。戸惑う星見だが実花に後押しされ、二人きりでデートすることに。二人の仲直りを願う真人と複雑な思いの菱子はそれぞれ尾行するが…果たして夫婦の絆は取り戻せるのか？パパの愛が感動を巻き起こす！そして、星見と母親の過去が明らかに！？山岸星見：川口春奈   小松原菱子：鈴木砂羽   小松原真人：鈴木福   石黒靖：古川雄輝   小松原実花：大友"&amp;"花恋  ★  久米圭祐：柳沢慎吾   ★  山岸史子：片平なぎさ  ★  小松原麦太郎：田辺誠一主題歌 ： Serena「CHANGE!!」（アリオラジャパン）原作：垣谷美雨「夫のカノジョ」（双葉文庫）  脚本：江頭美智留　横田理恵  音楽： 山下康介  編成：加藤新  プロデューサー：井上竜太（ホリプロ）  演出：二宮崇　三木康一郎　塚本連平★PC用  http://www.tbs.co.jp/ottonokanojyo_tbs/  ★スマートフォン用  http://www.tbs.co.jp/smp"&amp;"/ottonokanojyo_tbs/  ★twitter  @ottonokanojyo  https://twitter.com/ottonokanojyo  第5話ダイジェスト＆次回予告  http://youtu.be/ZyLarWryUng  番組の内容と放送時間は、変更になる場合があります。")</f>
        <v>39歳の主婦とハタチのOLのカラダが入れ替わるハートフルコメディ。麦太郎は度々隠れて電話する菱子の浮気を疑っていた。だが部長の久米から夫婦円満の秘訣を聞き、星見をデートに誘う。戸惑う星見だが実花に後押しされ、二人きりでデートすることに。二人の仲直りを願う真人と複雑な思いの菱子はそれぞれ尾行するが…果たして夫婦の絆は取り戻せるのか？パパの愛が感動を巻き起こす！そして、星見と母親の過去が明らかに！？山岸星見：川口春奈   小松原菱子：鈴木砂羽   小松原真人：鈴木福   石黒靖：古川雄輝   小松原実花：大友花恋  ★  久米圭祐：柳沢慎吾   ★  山岸史子：片平なぎさ  ★  小松原麦太郎：田辺誠一主題歌 ： Serena「CHANGE!!」（アリオラジャパン）原作：垣谷美雨「夫のカノジョ」（双葉文庫）  脚本：江頭美智留　横田理恵  音楽： 山下康介  編成：加藤新  プロデューサー：井上竜太（ホリプロ）  演出：二宮崇　三木康一郎　塚本連平★PC用  http://www.tbs.co.jp/ottonokanojyo_tbs/  ★スマートフォン用  http://www.tbs.co.jp/smp/ottonokanojyo_tbs/  ★twitter  @ottonokanojyo  https://twitter.com/ottonokanojyo  第5話ダイジェスト＆次回予告  http://youtu.be/ZyLarWryUng  番組の内容と放送時間は、変更になる場合があります。</v>
      </c>
      <c r="N5434" s="2"/>
      <c r="O5434" s="2"/>
      <c r="P5434" s="1"/>
      <c r="Q5434" s="1"/>
      <c r="R5434" s="1"/>
      <c r="S5434" s="1"/>
      <c r="T5434" s="1"/>
      <c r="U5434" s="1"/>
      <c r="V5434" s="1"/>
      <c r="W5434" s="1"/>
      <c r="X5434" s="1"/>
      <c r="Y5434" s="1"/>
      <c r="Z5434" s="1"/>
      <c r="AA5434" s="1"/>
      <c r="AB5434" s="1"/>
      <c r="AC5434" s="1"/>
      <c r="AD5434" s="1"/>
      <c r="AE5434" s="1"/>
      <c r="AF5434" s="1"/>
      <c r="AG5434" s="1"/>
      <c r="AH5434" s="1"/>
      <c r="AI5434" s="1"/>
      <c r="AJ5434" s="1"/>
      <c r="AK5434" s="1"/>
      <c r="AL5434" s="1"/>
      <c r="AM5434" s="1"/>
      <c r="AN5434" s="1"/>
      <c r="AO5434" s="1"/>
      <c r="AP5434" s="1"/>
      <c r="AQ5434" s="1"/>
      <c r="AR5434" s="1"/>
      <c r="AS5434" s="1"/>
      <c r="AT5434" s="1"/>
      <c r="AU5434" s="1"/>
      <c r="AV5434" s="1"/>
      <c r="AW5434" s="1"/>
      <c r="AX5434" s="1"/>
      <c r="AY5434" s="1"/>
      <c r="AZ5434" s="1"/>
      <c r="BA5434" s="1"/>
      <c r="BB5434" s="1"/>
    </row>
    <row r="5435" ht="204.75" customHeight="1">
      <c r="A5435" s="1">
        <v>3092.0</v>
      </c>
      <c r="B5435" s="2" t="s">
        <v>14985</v>
      </c>
      <c r="C5435" s="2">
        <f>IFERROR(__xludf.DUMMYFUNCTION("split(B5435,""_"")"),1310.0)</f>
        <v>1310</v>
      </c>
      <c r="D5435" s="2" t="str">
        <f>IFERROR(__xludf.DUMMYFUNCTION("""COMPUTED_VALUE"""),"TBS")</f>
        <v>TBS</v>
      </c>
      <c r="E5435" s="2" t="str">
        <f>IFERROR(__xludf.DUMMYFUNCTION("""COMPUTED_VALUE"""),"木21")</f>
        <v>木21</v>
      </c>
      <c r="F5435" s="2" t="s">
        <v>14986</v>
      </c>
      <c r="G5435" s="2" t="s">
        <v>14999</v>
      </c>
      <c r="H5435" s="1">
        <v>7.0</v>
      </c>
      <c r="J5435" s="1" t="s">
        <v>11</v>
      </c>
      <c r="K5435" s="2" t="s">
        <v>15000</v>
      </c>
      <c r="L5435" s="2"/>
      <c r="M5435" s="2" t="str">
        <f>IFERROR(__xludf.DUMMYFUNCTION("split(split(K5435,""【"",false),""公式LINE"",false)"),"疲労で倒れた史子は病院にかけつけた星見と菱子に経営不振で会社を売ると打ち明ける。星見は史子に、父親との約束を破って簡単に会社を手放すのは勝手だと告げ、病室を出る。一方、麦太郎の同期、立花が新営業部長に就く。剛腕をふるってきた立花は星見との契約を切るように麦太郎に告げる。そんななか、真人のクラスには転校生がやってきた。そして、転校生のママが爆弾発言を！入れ替わった主婦とOLに新たな敵が登場する！！山岸星見：川口春奈  小松原菱子：鈴木砂羽  小松原真人：鈴木福  石黒靖：古川雄輝  小松原実花：大友花恋  "&amp;"★  久米圭祐：柳沢慎吾  相川千代乃：山村紅葉   ★  間宮由香里：高岡早紀  ★  立花勝：橋本じゅん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　塚本連平★PC用  http://www.tbs.co.jp/ottonokan"&amp;"ojyo_tbs/  ★スマートフォン用  http://www.tbs.co.jp/smp/ottonokanojyo_tbs/  ★twitter  @ottonokanojyo  https://twitter.com/ottonokanojyo  痛快ホームコメディ！木曜よる9時『夫のカノジョ』第6話（11/28）ダイジェスト＆次回予告　動画公開しました！  http://www.youtube.com/watch?v=HTekFco4AGA  番組の内容と放送時間は、変更になる場合があります。")</f>
        <v>疲労で倒れた史子は病院にかけつけた星見と菱子に経営不振で会社を売ると打ち明ける。星見は史子に、父親との約束を破って簡単に会社を手放すのは勝手だと告げ、病室を出る。一方、麦太郎の同期、立花が新営業部長に就く。剛腕をふるってきた立花は星見との契約を切るように麦太郎に告げる。そんななか、真人のクラスには転校生がやってきた。そして、転校生のママが爆弾発言を！入れ替わった主婦とOLに新たな敵が登場する！！山岸星見：川口春奈  小松原菱子：鈴木砂羽  小松原真人：鈴木福  石黒靖：古川雄輝  小松原実花：大友花恋  ★  久米圭祐：柳沢慎吾  相川千代乃：山村紅葉   ★  間宮由香里：高岡早紀  ★  立花勝：橋本じゅん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http://www.tbs.co.jp/smp/ottonokanojyo_tbs/  ★twitter  @ottonokanojyo  https://twitter.com/ottonokanojyo  痛快ホームコメディ！木曜よる9時『夫のカノジョ』第6話（11/28）ダイジェスト＆次回予告　動画公開しました！  http://www.youtube.com/watch?v=HTekFco4AGA  番組の内容と放送時間は、変更になる場合があります。</v>
      </c>
      <c r="N5435" s="2"/>
      <c r="O5435" s="2"/>
      <c r="P5435" s="1"/>
      <c r="Q5435" s="1"/>
      <c r="R5435" s="1"/>
      <c r="S5435" s="1"/>
      <c r="T5435" s="1"/>
      <c r="U5435" s="1"/>
      <c r="V5435" s="1"/>
      <c r="W5435" s="1"/>
      <c r="X5435" s="1"/>
      <c r="Y5435" s="1"/>
      <c r="Z5435" s="1"/>
      <c r="AA5435" s="1"/>
      <c r="AB5435" s="1"/>
      <c r="AC5435" s="1"/>
      <c r="AD5435" s="1"/>
      <c r="AE5435" s="1"/>
      <c r="AF5435" s="1"/>
      <c r="AG5435" s="1"/>
      <c r="AH5435" s="1"/>
      <c r="AI5435" s="1"/>
      <c r="AJ5435" s="1"/>
      <c r="AK5435" s="1"/>
      <c r="AL5435" s="1"/>
      <c r="AM5435" s="1"/>
      <c r="AN5435" s="1"/>
      <c r="AO5435" s="1"/>
      <c r="AP5435" s="1"/>
      <c r="AQ5435" s="1"/>
      <c r="AR5435" s="1"/>
      <c r="AS5435" s="1"/>
      <c r="AT5435" s="1"/>
      <c r="AU5435" s="1"/>
      <c r="AV5435" s="1"/>
      <c r="AW5435" s="1"/>
      <c r="AX5435" s="1"/>
      <c r="AY5435" s="1"/>
      <c r="AZ5435" s="1"/>
      <c r="BA5435" s="1"/>
      <c r="BB5435" s="1"/>
    </row>
    <row r="5436" ht="204.75" customHeight="1">
      <c r="A5436" s="1">
        <v>3093.0</v>
      </c>
      <c r="B5436" s="2" t="s">
        <v>14985</v>
      </c>
      <c r="C5436" s="2">
        <f>IFERROR(__xludf.DUMMYFUNCTION("split(B5436,""_"")"),1310.0)</f>
        <v>1310</v>
      </c>
      <c r="D5436" s="2" t="str">
        <f>IFERROR(__xludf.DUMMYFUNCTION("""COMPUTED_VALUE"""),"TBS")</f>
        <v>TBS</v>
      </c>
      <c r="E5436" s="2" t="str">
        <f>IFERROR(__xludf.DUMMYFUNCTION("""COMPUTED_VALUE"""),"木21")</f>
        <v>木21</v>
      </c>
      <c r="F5436" s="2" t="s">
        <v>14986</v>
      </c>
      <c r="G5436" s="2" t="s">
        <v>15001</v>
      </c>
      <c r="H5436" s="1">
        <v>8.0</v>
      </c>
      <c r="J5436" s="1" t="s">
        <v>11</v>
      </c>
      <c r="K5436" s="2" t="s">
        <v>15002</v>
      </c>
      <c r="L5436" s="2"/>
      <c r="M5436" s="2" t="str">
        <f>IFERROR(__xludf.DUMMYFUNCTION("split(split(K5436,""【"",false),""公式LINE"",false)"),"立花(橋本じゅん)に星見(川口春奈)との関係を疑われた麦太郎(田辺誠一)は異動を宣告されてしまう。代わりに星見が正社員登用されることに。一方、真人(鈴木福)の学校では、真人が転校生のさくらをいじめたと、母親の由香里(高岡早紀)が言いだし、クリスマス会の中止が検討される。真人は誤解を解くため、さくらに謝りに行くが由香里に追い出されてしまう。弁解したい菱子は学校へ向かうのだが…山岸星見：川口春奈  小松原菱子：鈴木砂羽  小松原真人：鈴木福  石黒靖：古川雄輝  小松原実花：大友花恋  ★  久米圭祐：柳沢慎"&amp;"吾  相川千代乃：山村紅葉  ★  間宮由香里：高岡早紀  ★  立花勝：橋本じゅん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三木康一郎★PC用  http://www.tbs.co.jp/ottonokanojyo_tbs/  ★スマートフ"&amp;"ォン用  http://www.tbs.co.jp/smp/ottonokanojyo_tbs/  ★twitter  @ottonokanojyo  https://twitter.com/ottonokanojyo  衝撃のクライマックスへ！『夫のカノジョ』第7話（12/5）ダイジェスト＆最終回予告動画公開しました！  http://youtu.be/Tj-mpKyoFyw  番組の内容と放送時間は、変更になる場合があります。")</f>
        <v>立花(橋本じゅん)に星見(川口春奈)との関係を疑われた麦太郎(田辺誠一)は異動を宣告されてしまう。代わりに星見が正社員登用されることに。一方、真人(鈴木福)の学校では、真人が転校生のさくらをいじめたと、母親の由香里(高岡早紀)が言いだし、クリスマス会の中止が検討される。真人は誤解を解くため、さくらに謝りに行くが由香里に追い出されてしまう。弁解したい菱子は学校へ向かうのだが…山岸星見：川口春奈  小松原菱子：鈴木砂羽  小松原真人：鈴木福  石黒靖：古川雄輝  小松原実花：大友花恋  ★  久米圭祐：柳沢慎吾  相川千代乃：山村紅葉  ★  間宮由香里：高岡早紀  ★  立花勝：橋本じゅん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三木康一郎★PC用  http://www.tbs.co.jp/ottonokanojyo_tbs/  ★スマートフォン用  http://www.tbs.co.jp/smp/ottonokanojyo_tbs/  ★twitter  @ottonokanojyo  https://twitter.com/ottonokanojyo  衝撃のクライマックスへ！『夫のカノジョ』第7話（12/5）ダイジェスト＆最終回予告動画公開しました！  http://youtu.be/Tj-mpKyoFyw  番組の内容と放送時間は、変更になる場合があります。</v>
      </c>
      <c r="N5436" s="2"/>
      <c r="O5436" s="2"/>
      <c r="P5436" s="1"/>
      <c r="Q5436" s="1"/>
      <c r="R5436" s="1"/>
      <c r="S5436" s="1"/>
      <c r="T5436" s="1"/>
      <c r="U5436" s="1"/>
      <c r="V5436" s="1"/>
      <c r="W5436" s="1"/>
      <c r="X5436" s="1"/>
      <c r="Y5436" s="1"/>
      <c r="Z5436" s="1"/>
      <c r="AA5436" s="1"/>
      <c r="AB5436" s="1"/>
      <c r="AC5436" s="1"/>
      <c r="AD5436" s="1"/>
      <c r="AE5436" s="1"/>
      <c r="AF5436" s="1"/>
      <c r="AG5436" s="1"/>
      <c r="AH5436" s="1"/>
      <c r="AI5436" s="1"/>
      <c r="AJ5436" s="1"/>
      <c r="AK5436" s="1"/>
      <c r="AL5436" s="1"/>
      <c r="AM5436" s="1"/>
      <c r="AN5436" s="1"/>
      <c r="AO5436" s="1"/>
      <c r="AP5436" s="1"/>
      <c r="AQ5436" s="1"/>
      <c r="AR5436" s="1"/>
      <c r="AS5436" s="1"/>
      <c r="AT5436" s="1"/>
      <c r="AU5436" s="1"/>
      <c r="AV5436" s="1"/>
      <c r="AW5436" s="1"/>
      <c r="AX5436" s="1"/>
      <c r="AY5436" s="1"/>
      <c r="AZ5436" s="1"/>
      <c r="BA5436" s="1"/>
      <c r="BB5436" s="1"/>
    </row>
    <row r="5437" ht="204.75" customHeight="1">
      <c r="A5437" s="1">
        <v>3132.0</v>
      </c>
      <c r="B5437" s="2" t="s">
        <v>15003</v>
      </c>
      <c r="C5437" s="2">
        <f>IFERROR(__xludf.DUMMYFUNCTION("split(B5437,""_"")"),1310.0)</f>
        <v>1310</v>
      </c>
      <c r="D5437" s="2" t="str">
        <f>IFERROR(__xludf.DUMMYFUNCTION("""COMPUTED_VALUE"""),"TBS")</f>
        <v>TBS</v>
      </c>
      <c r="E5437" s="2" t="str">
        <f>IFERROR(__xludf.DUMMYFUNCTION("""COMPUTED_VALUE"""),"金22")</f>
        <v>金22</v>
      </c>
      <c r="F5437" s="2" t="s">
        <v>15004</v>
      </c>
      <c r="G5437" s="2" t="s">
        <v>15005</v>
      </c>
      <c r="H5437" s="1">
        <v>1.0</v>
      </c>
      <c r="J5437" s="1" t="s">
        <v>1647</v>
      </c>
      <c r="K5437" s="2" t="s">
        <v>15006</v>
      </c>
      <c r="L5437" s="2"/>
      <c r="M5437" s="2" t="str">
        <f>IFERROR(__xludf.DUMMYFUNCTION("split(split(K5437,""【"",false),""公式LINE"",false)"),"警察庁より県警の捜査一課に赴任した 清家真代 (剛力彩芽)。彼女は県会議員・郷田 (石丸謙二郎) の愛人マンションで起きた殺人事件を担当することに。  その現場に現れたのは捜査二課の警部補・黒河内圭太 (長瀬智也) ーー  黒河内は捜査を通じて多くの政財界人のスキャンダルを握る、「 県警の怪物 」 と恐れられる人物だった。清家はそんな汚れた刑事を嫌悪するが、捜査を進めていくうちに黒河内が巨大にして崇高な目的を抱えていることを知り… !?  黒河内圭太…長瀬智也  清家真代…剛力彩芽  澤 眞智子…香椎由宇"&amp;"  柿崎清彦…利重　剛  牛井　孟…小市慢太郎  布袋善治郎…長谷川朝晴  磯村哲也…川村陽介  坪倉太一…遠藤　要  恬恬…河北麻友子  五島　要…東　幹久  嶋　光男…金子　賢  薬師寺 誠…大地康雄  堂島則行…風間杜夫  沢渡一成…渡部篤郎TOKIO 『 ホントんとこ 』◆番組HP  http://www.tbs.co.jp/kurokouchi/  ◆Twitter  http://twitter.com/kurokouchitbs  @kurokouchitbs  番組の内容と放送時間は変更に"&amp;"なる可能性があります。")</f>
        <v>警察庁より県警の捜査一課に赴任した 清家真代 (剛力彩芽)。彼女は県会議員・郷田 (石丸謙二郎) の愛人マンションで起きた殺人事件を担当することに。  その現場に現れたのは捜査二課の警部補・黒河内圭太 (長瀬智也) ーー  黒河内は捜査を通じて多くの政財界人のスキャンダルを握る、「 県警の怪物 」 と恐れられる人物だった。清家はそんな汚れた刑事を嫌悪するが、捜査を進めていくうちに黒河内が巨大にして崇高な目的を抱えていることを知り… !?  黒河内圭太…長瀬智也  清家真代…剛力彩芽  澤 眞智子…香椎由宇  柿崎清彦…利重　剛  牛井　孟…小市慢太郎  布袋善治郎…長谷川朝晴  磯村哲也…川村陽介  坪倉太一…遠藤　要  恬恬…河北麻友子  五島　要…東　幹久  嶋　光男…金子　賢  薬師寺 誠…大地康雄  堂島則行…風間杜夫  沢渡一成…渡部篤郎TOKIO 『 ホントんとこ 』◆番組HP  http://www.tbs.co.jp/kurokouchi/  ◆Twitter  http://twitter.com/kurokouchitbs  @kurokouchitbs  番組の内容と放送時間は変更になる可能性があります。</v>
      </c>
      <c r="N5437" s="2"/>
      <c r="O5437" s="2"/>
      <c r="P5437" s="1"/>
      <c r="Q5437" s="1"/>
      <c r="R5437" s="1"/>
      <c r="S5437" s="1"/>
      <c r="T5437" s="1"/>
      <c r="U5437" s="1"/>
      <c r="V5437" s="1"/>
      <c r="W5437" s="1"/>
      <c r="X5437" s="1"/>
      <c r="Y5437" s="1"/>
      <c r="Z5437" s="1"/>
      <c r="AA5437" s="1"/>
      <c r="AB5437" s="1"/>
      <c r="AC5437" s="1"/>
      <c r="AD5437" s="1"/>
      <c r="AE5437" s="1"/>
      <c r="AF5437" s="1"/>
      <c r="AG5437" s="1"/>
      <c r="AH5437" s="1"/>
      <c r="AI5437" s="1"/>
      <c r="AJ5437" s="1"/>
      <c r="AK5437" s="1"/>
      <c r="AL5437" s="1"/>
      <c r="AM5437" s="1"/>
      <c r="AN5437" s="1"/>
      <c r="AO5437" s="1"/>
      <c r="AP5437" s="1"/>
      <c r="AQ5437" s="1"/>
      <c r="AR5437" s="1"/>
      <c r="AS5437" s="1"/>
      <c r="AT5437" s="1"/>
      <c r="AU5437" s="1"/>
      <c r="AV5437" s="1"/>
      <c r="AW5437" s="1"/>
      <c r="AX5437" s="1"/>
      <c r="AY5437" s="1"/>
      <c r="AZ5437" s="1"/>
      <c r="BA5437" s="1"/>
      <c r="BB5437" s="1"/>
    </row>
    <row r="5438" ht="204.75" customHeight="1">
      <c r="A5438" s="1">
        <v>3133.0</v>
      </c>
      <c r="B5438" s="2" t="s">
        <v>15003</v>
      </c>
      <c r="C5438" s="2">
        <f>IFERROR(__xludf.DUMMYFUNCTION("split(B5438,""_"")"),1310.0)</f>
        <v>1310</v>
      </c>
      <c r="D5438" s="2" t="str">
        <f>IFERROR(__xludf.DUMMYFUNCTION("""COMPUTED_VALUE"""),"TBS")</f>
        <v>TBS</v>
      </c>
      <c r="E5438" s="2" t="str">
        <f>IFERROR(__xludf.DUMMYFUNCTION("""COMPUTED_VALUE"""),"金22")</f>
        <v>金22</v>
      </c>
      <c r="F5438" s="2" t="s">
        <v>15004</v>
      </c>
      <c r="G5438" s="2" t="s">
        <v>15007</v>
      </c>
      <c r="H5438" s="1">
        <v>2.0</v>
      </c>
      <c r="J5438" s="1" t="s">
        <v>86</v>
      </c>
      <c r="K5438" s="2" t="s">
        <v>15008</v>
      </c>
      <c r="L5438" s="2"/>
      <c r="M5438" s="2" t="str">
        <f>IFERROR(__xludf.DUMMYFUNCTION("split(split(K5438,""【"",false),""公式LINE"",false)"),"8年前の遠山一家皆殺し事件と女子高生強姦殺人事件の容疑者として勾留された 沢渡前知事 (渡部篤郎)。首を吊って自殺したとされる 郷田議員 (石丸謙二郎) の遺書を元に取調べを受けても、余裕の表情で微笑んでいるばかり。沢渡の勾留期間があと一週間になり、同じく取調べを受けている沢渡の元秘書で県会議員の 橋本 (小木茂光) からの自供が取れるかが重要な鍵となるのだが、橋本は 「話せば殺される！」と怯え調室で倒れてしまう。  同じ頃、新しい知事の 田宮 (池田政典) の元へ匿名の文書が送られてきた。  その中には"&amp;" 「郷田は自殺ではなく 黒河内 (長瀬智也) に殺された」 と書かれていた。黒河内圭太…長瀬智也  清家真代…剛力彩芽  澤 眞智子…香椎由宇  柿崎清彦…利重　剛  牛井　孟…小市慢太郎  布袋善治郎…長谷川朝晴  磯村哲也…川村陽介  坪倉太一…遠藤　要  恬恬…河北麻友子  五島　要…東　幹久  嶋　光男…金子　賢  薬師寺 誠…大地康雄  堂島則行…風間杜夫  沢渡一成…渡部篤郎TOKIO 『 ホントんとこ 』◆PC用はこちら  http://www.tbs.co.jp/kurokouchi/  "&amp;"◆スマートフォン用はこちら  http://www.tbs.co.jp/smp/kurokouchi/  ◆Twitter  http://twitter.com/kurokouchitbs  @kurokouchitbs  番組の内容と放送時間は変更になる可能性があります。")</f>
        <v>8年前の遠山一家皆殺し事件と女子高生強姦殺人事件の容疑者として勾留された 沢渡前知事 (渡部篤郎)。首を吊って自殺したとされる 郷田議員 (石丸謙二郎) の遺書を元に取調べを受けても、余裕の表情で微笑んでいるばかり。沢渡の勾留期間があと一週間になり、同じく取調べを受けている沢渡の元秘書で県会議員の 橋本 (小木茂光) からの自供が取れるかが重要な鍵となるのだが、橋本は 「話せば殺される！」と怯え調室で倒れてしまう。  同じ頃、新しい知事の 田宮 (池田政典) の元へ匿名の文書が送られてきた。  その中には 「郷田は自殺ではなく 黒河内 (長瀬智也) に殺された」 と書かれていた。黒河内圭太…長瀬智也  清家真代…剛力彩芽  澤 眞智子…香椎由宇  柿崎清彦…利重　剛  牛井　孟…小市慢太郎  布袋善治郎…長谷川朝晴  磯村哲也…川村陽介  坪倉太一…遠藤　要  恬恬…河北麻友子  五島　要…東　幹久  嶋　光男…金子　賢  薬師寺 誠…大地康雄  堂島則行…風間杜夫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v>
      </c>
      <c r="N5438" s="2"/>
      <c r="O5438" s="2"/>
      <c r="P5438" s="1"/>
      <c r="Q5438" s="1"/>
      <c r="R5438" s="1"/>
      <c r="S5438" s="1"/>
      <c r="T5438" s="1"/>
      <c r="U5438" s="1"/>
      <c r="V5438" s="1"/>
      <c r="W5438" s="1"/>
      <c r="X5438" s="1"/>
      <c r="Y5438" s="1"/>
      <c r="Z5438" s="1"/>
      <c r="AA5438" s="1"/>
      <c r="AB5438" s="1"/>
      <c r="AC5438" s="1"/>
      <c r="AD5438" s="1"/>
      <c r="AE5438" s="1"/>
      <c r="AF5438" s="1"/>
      <c r="AG5438" s="1"/>
      <c r="AH5438" s="1"/>
      <c r="AI5438" s="1"/>
      <c r="AJ5438" s="1"/>
      <c r="AK5438" s="1"/>
      <c r="AL5438" s="1"/>
      <c r="AM5438" s="1"/>
      <c r="AN5438" s="1"/>
      <c r="AO5438" s="1"/>
      <c r="AP5438" s="1"/>
      <c r="AQ5438" s="1"/>
      <c r="AR5438" s="1"/>
      <c r="AS5438" s="1"/>
      <c r="AT5438" s="1"/>
      <c r="AU5438" s="1"/>
      <c r="AV5438" s="1"/>
      <c r="AW5438" s="1"/>
      <c r="AX5438" s="1"/>
      <c r="AY5438" s="1"/>
      <c r="AZ5438" s="1"/>
      <c r="BA5438" s="1"/>
      <c r="BB5438" s="1"/>
    </row>
    <row r="5439" ht="204.75" customHeight="1">
      <c r="A5439" s="1">
        <v>3134.0</v>
      </c>
      <c r="B5439" s="2" t="s">
        <v>15003</v>
      </c>
      <c r="C5439" s="2">
        <f>IFERROR(__xludf.DUMMYFUNCTION("split(B5439,""_"")"),1310.0)</f>
        <v>1310</v>
      </c>
      <c r="D5439" s="2" t="str">
        <f>IFERROR(__xludf.DUMMYFUNCTION("""COMPUTED_VALUE"""),"TBS")</f>
        <v>TBS</v>
      </c>
      <c r="E5439" s="2" t="str">
        <f>IFERROR(__xludf.DUMMYFUNCTION("""COMPUTED_VALUE"""),"金22")</f>
        <v>金22</v>
      </c>
      <c r="F5439" s="2" t="s">
        <v>15004</v>
      </c>
      <c r="G5439" s="2" t="s">
        <v>15009</v>
      </c>
      <c r="H5439" s="1">
        <v>3.0</v>
      </c>
      <c r="J5439" s="1" t="s">
        <v>86</v>
      </c>
      <c r="K5439" s="2" t="s">
        <v>15010</v>
      </c>
      <c r="L5439" s="2"/>
      <c r="M5439" s="2" t="str">
        <f>IFERROR(__xludf.DUMMYFUNCTION("split(split(K5439,""【"",false),""公式LINE"",false)"),"土砂降りの雨の日。  県警捜査一課と所轄の捜査員たちが物々しい警戒態勢で沢渡の別荘を見つめる中、沢渡前知事 (渡部篤郎) の別荘で立てこもりをしているのはなんと 黒河内 (長瀬智也)。彼の元へ、清家 (剛力彩芽) が説得のため一人で向かった。  別荘の中に入った清家は、なぜ沢渡の別荘に立てこもりをしているのかと問うと、黒河内は、不起訴処分となった沢渡から始末されることを恐れて裏取引を持ちかけたことを話し始める…。  一方、同じく別荘で立てこもりを見つめる中に、元鑑識班で監察官の 薬師寺 (大地康雄) がい"&amp;"た。  彼は昔の部下たちに五島と嶋の遺体発見現場から黒河内が2人を殺したという証拠をさらに調べさせていたのだが…。黒河内圭太…長瀬智也  清家真代…剛力彩芽  澤 眞智子…香椎由宇  柿崎清彦…利重　剛  牛井　孟…小市慢太郎  布袋善治郎…長谷川朝晴  磯村哲也…川村陽介  坪倉太一…遠藤　要  恬恬…河北麻友子  五島　要…東　幹久  嶋　光男…金子　賢  薬師寺 誠…大地康雄  堂島則行…風間杜夫  沢渡一成…渡部篤郎TOKIO 『 ホントんとこ 』◆PC用はこちら  http://www.tbs."&amp;"co.jp/kurokouchi/  ◆スマートフォン用はこちら  http://www.tbs.co.jp/smp/kurokouchi/  ◆Twitter  http://twitter.com/kurokouchitbs  @kurokouchitbs  番組の内容と放送時間は変更になる可能性があります。")</f>
        <v>土砂降りの雨の日。  県警捜査一課と所轄の捜査員たちが物々しい警戒態勢で沢渡の別荘を見つめる中、沢渡前知事 (渡部篤郎) の別荘で立てこもりをしているのはなんと 黒河内 (長瀬智也)。彼の元へ、清家 (剛力彩芽) が説得のため一人で向かった。  別荘の中に入った清家は、なぜ沢渡の別荘に立てこもりをしているのかと問うと、黒河内は、不起訴処分となった沢渡から始末されることを恐れて裏取引を持ちかけたことを話し始める…。  一方、同じく別荘で立てこもりを見つめる中に、元鑑識班で監察官の 薬師寺 (大地康雄) がいた。  彼は昔の部下たちに五島と嶋の遺体発見現場から黒河内が2人を殺したという証拠をさらに調べさせていたのだが…。黒河内圭太…長瀬智也  清家真代…剛力彩芽  澤 眞智子…香椎由宇  柿崎清彦…利重　剛  牛井　孟…小市慢太郎  布袋善治郎…長谷川朝晴  磯村哲也…川村陽介  坪倉太一…遠藤　要  恬恬…河北麻友子  五島　要…東　幹久  嶋　光男…金子　賢  薬師寺 誠…大地康雄  堂島則行…風間杜夫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v>
      </c>
      <c r="N5439" s="2"/>
      <c r="O5439" s="2"/>
      <c r="P5439" s="1"/>
      <c r="Q5439" s="1"/>
      <c r="R5439" s="1"/>
      <c r="S5439" s="1"/>
      <c r="T5439" s="1"/>
      <c r="U5439" s="1"/>
      <c r="V5439" s="1"/>
      <c r="W5439" s="1"/>
      <c r="X5439" s="1"/>
      <c r="Y5439" s="1"/>
      <c r="Z5439" s="1"/>
      <c r="AA5439" s="1"/>
      <c r="AB5439" s="1"/>
      <c r="AC5439" s="1"/>
      <c r="AD5439" s="1"/>
      <c r="AE5439" s="1"/>
      <c r="AF5439" s="1"/>
      <c r="AG5439" s="1"/>
      <c r="AH5439" s="1"/>
      <c r="AI5439" s="1"/>
      <c r="AJ5439" s="1"/>
      <c r="AK5439" s="1"/>
      <c r="AL5439" s="1"/>
      <c r="AM5439" s="1"/>
      <c r="AN5439" s="1"/>
      <c r="AO5439" s="1"/>
      <c r="AP5439" s="1"/>
      <c r="AQ5439" s="1"/>
      <c r="AR5439" s="1"/>
      <c r="AS5439" s="1"/>
      <c r="AT5439" s="1"/>
      <c r="AU5439" s="1"/>
      <c r="AV5439" s="1"/>
      <c r="AW5439" s="1"/>
      <c r="AX5439" s="1"/>
      <c r="AY5439" s="1"/>
      <c r="AZ5439" s="1"/>
      <c r="BA5439" s="1"/>
      <c r="BB5439" s="1"/>
    </row>
    <row r="5440" ht="204.75" customHeight="1">
      <c r="A5440" s="1">
        <v>3135.0</v>
      </c>
      <c r="B5440" s="2" t="s">
        <v>15003</v>
      </c>
      <c r="C5440" s="2">
        <f>IFERROR(__xludf.DUMMYFUNCTION("split(B5440,""_"")"),1310.0)</f>
        <v>1310</v>
      </c>
      <c r="D5440" s="2" t="str">
        <f>IFERROR(__xludf.DUMMYFUNCTION("""COMPUTED_VALUE"""),"TBS")</f>
        <v>TBS</v>
      </c>
      <c r="E5440" s="2" t="str">
        <f>IFERROR(__xludf.DUMMYFUNCTION("""COMPUTED_VALUE"""),"金22")</f>
        <v>金22</v>
      </c>
      <c r="F5440" s="2" t="s">
        <v>15004</v>
      </c>
      <c r="G5440" s="2" t="s">
        <v>15011</v>
      </c>
      <c r="H5440" s="1">
        <v>4.0</v>
      </c>
      <c r="J5440" s="1" t="s">
        <v>86</v>
      </c>
      <c r="K5440" s="2" t="s">
        <v>15012</v>
      </c>
      <c r="L5440" s="2"/>
      <c r="M5440" s="2" t="str">
        <f>IFERROR(__xludf.DUMMYFUNCTION("split(split(K5440,""【"",false),""公式LINE"",false)"),"衆議院議員・伊地知伝助(名高達男)の公設秘書・浅沼兼次(矢柴俊博)が、伊地知の後援会事務所の屋上から飛び降りて亡くなった。その事件現場のやじ馬の中には、無表情で浅沼を見つめる黒河内（長瀬智也）の姿があった。  　翌日、現場に向かった捜査一課布袋班は、状況から考えても浅沼は自殺だと考えていた。しかし、兼次の父・浅沼兼男(志賀廣太郎)が強引に事件現場に入り込み、「息子は伊地知に殺された」と訴える。一方、黒河内は、柿崎(利重剛)から来月付けで留置管理課への異動を命ぜられる。それを受けて清家（剛力彩芽）も、牛井("&amp;"小市慢太郎)から黒河内とのコンビを解消していいと告げられる。黒河内圭太…長瀬智也  清家真代…剛力彩芽  柿崎清彦…利重　剛  牛井　孟…小市慢太郎  布袋善治郎…長谷川朝晴  磯村哲也…川村陽介  坪倉太一…遠藤　要  恬恬…河北麻友子  沢渡一成…渡部篤郎TOKIO 『 ホントんとこ 』◆PC用はこちら  http://www.tbs.co.jp/kurokouchi/  ◆スマートフォン用はこちら  http://www.tbs.co.jp/smp/kurokouchi/  ◆Twitter  ht"&amp;"tp://twitter.com/kurokouchitbs  @kurokouchitbs  番組の内容と放送時間は変更になる可能性があります。")</f>
        <v>衆議院議員・伊地知伝助(名高達男)の公設秘書・浅沼兼次(矢柴俊博)が、伊地知の後援会事務所の屋上から飛び降りて亡くなった。その事件現場のやじ馬の中には、無表情で浅沼を見つめる黒河内（長瀬智也）の姿があった。  　翌日、現場に向かった捜査一課布袋班は、状況から考えても浅沼は自殺だと考えていた。しかし、兼次の父・浅沼兼男(志賀廣太郎)が強引に事件現場に入り込み、「息子は伊地知に殺された」と訴える。一方、黒河内は、柿崎(利重剛)から来月付けで留置管理課への異動を命ぜられる。それを受けて清家（剛力彩芽）も、牛井(小市慢太郎)から黒河内とのコンビを解消していいと告げられる。黒河内圭太…長瀬智也  清家真代…剛力彩芽  柿崎清彦…利重　剛  牛井　孟…小市慢太郎  布袋善治郎…長谷川朝晴  磯村哲也…川村陽介  坪倉太一…遠藤　要  恬恬…河北麻友子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v>
      </c>
      <c r="N5440" s="2"/>
      <c r="O5440" s="2"/>
      <c r="P5440" s="1"/>
      <c r="Q5440" s="1"/>
      <c r="R5440" s="1"/>
      <c r="S5440" s="1"/>
      <c r="T5440" s="1"/>
      <c r="U5440" s="1"/>
      <c r="V5440" s="1"/>
      <c r="W5440" s="1"/>
      <c r="X5440" s="1"/>
      <c r="Y5440" s="1"/>
      <c r="Z5440" s="1"/>
      <c r="AA5440" s="1"/>
      <c r="AB5440" s="1"/>
      <c r="AC5440" s="1"/>
      <c r="AD5440" s="1"/>
      <c r="AE5440" s="1"/>
      <c r="AF5440" s="1"/>
      <c r="AG5440" s="1"/>
      <c r="AH5440" s="1"/>
      <c r="AI5440" s="1"/>
      <c r="AJ5440" s="1"/>
      <c r="AK5440" s="1"/>
      <c r="AL5440" s="1"/>
      <c r="AM5440" s="1"/>
      <c r="AN5440" s="1"/>
      <c r="AO5440" s="1"/>
      <c r="AP5440" s="1"/>
      <c r="AQ5440" s="1"/>
      <c r="AR5440" s="1"/>
      <c r="AS5440" s="1"/>
      <c r="AT5440" s="1"/>
      <c r="AU5440" s="1"/>
      <c r="AV5440" s="1"/>
      <c r="AW5440" s="1"/>
      <c r="AX5440" s="1"/>
      <c r="AY5440" s="1"/>
      <c r="AZ5440" s="1"/>
      <c r="BA5440" s="1"/>
      <c r="BB5440" s="1"/>
    </row>
    <row r="5441" ht="204.75" customHeight="1">
      <c r="A5441" s="1">
        <v>3136.0</v>
      </c>
      <c r="B5441" s="2" t="s">
        <v>15003</v>
      </c>
      <c r="C5441" s="2">
        <f>IFERROR(__xludf.DUMMYFUNCTION("split(B5441,""_"")"),1310.0)</f>
        <v>1310</v>
      </c>
      <c r="D5441" s="2" t="str">
        <f>IFERROR(__xludf.DUMMYFUNCTION("""COMPUTED_VALUE"""),"TBS")</f>
        <v>TBS</v>
      </c>
      <c r="E5441" s="2" t="str">
        <f>IFERROR(__xludf.DUMMYFUNCTION("""COMPUTED_VALUE"""),"金22")</f>
        <v>金22</v>
      </c>
      <c r="F5441" s="2" t="s">
        <v>15004</v>
      </c>
      <c r="G5441" s="2" t="s">
        <v>15013</v>
      </c>
      <c r="H5441" s="1">
        <v>5.0</v>
      </c>
      <c r="J5441" s="1" t="s">
        <v>86</v>
      </c>
      <c r="K5441" s="2" t="s">
        <v>15014</v>
      </c>
      <c r="L5441" s="2"/>
      <c r="M5441" s="2" t="str">
        <f>IFERROR(__xludf.DUMMYFUNCTION("split(split(K5441,""【"",false),""公式LINE"",false)"),"神奈川県内の山中で白骨化した遺体が発見される。  白骨化した遺体は、醜聞をネタに金をゆする脅迫屋（ゆすりや）で行方不明の灰谷竜次（隈部洋平）であり、死後10年が経過していると判明。その傍には凶器であるジュラルミンケースがあった。  同じ頃、10年前に県内で起きたパチンコ店の現金5千万円強奪事件の実行犯として服役していた赤刃組の元構成員・高宮健太(須田邦裕)が出所した。黒河内（長瀬智也）は高宮を待ち構え、強奪した5千万円の行方について聞くも高宮は知らないと主張する。しかし捜査の末、灰谷を殺した凶器であるジュ"&amp;"ラルミンケースは、パチンコ店の現金強奪事件で強奪されたものと一致していたことが分かる。灰谷を殺したのは高宮なのであろうか？そして、高宮が盗んだ5千万円の行方は！？黒河内圭太…長瀬智也  清家真代…剛力彩芽  柿崎清彦…利重　剛  牛井　孟…小市慢太郎  布袋善治郎…長谷川朝晴  磯村哲也…川村陽介  坪倉太一…遠藤　要  恬恬…河北麻友子  沢渡一成…渡部篤郎TOKIO 『 ホントんとこ 』◆PC用はこちら  http://www.tbs.co.jp/kurokouchi/  ◆スマートフォン用はこちら "&amp;" http://www.tbs.co.jp/smp/kurokouchi/  ◆Twitter  http://twitter.com/kurokouchitbs  @kurokouchitbs  番組の内容と放送時間は変更になる可能性があります。")</f>
        <v>神奈川県内の山中で白骨化した遺体が発見される。  白骨化した遺体は、醜聞をネタに金をゆする脅迫屋（ゆすりや）で行方不明の灰谷竜次（隈部洋平）であり、死後10年が経過していると判明。その傍には凶器であるジュラルミンケースがあった。  同じ頃、10年前に県内で起きたパチンコ店の現金5千万円強奪事件の実行犯として服役していた赤刃組の元構成員・高宮健太(須田邦裕)が出所した。黒河内（長瀬智也）は高宮を待ち構え、強奪した5千万円の行方について聞くも高宮は知らないと主張する。しかし捜査の末、灰谷を殺した凶器であるジュラルミンケースは、パチンコ店の現金強奪事件で強奪されたものと一致していたことが分かる。灰谷を殺したのは高宮なのであろうか？そして、高宮が盗んだ5千万円の行方は！？黒河内圭太…長瀬智也  清家真代…剛力彩芽  柿崎清彦…利重　剛  牛井　孟…小市慢太郎  布袋善治郎…長谷川朝晴  磯村哲也…川村陽介  坪倉太一…遠藤　要  恬恬…河北麻友子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v>
      </c>
      <c r="N5441" s="2"/>
      <c r="O5441" s="2"/>
      <c r="P5441" s="1"/>
      <c r="Q5441" s="1"/>
      <c r="R5441" s="1"/>
      <c r="S5441" s="1"/>
      <c r="T5441" s="1"/>
      <c r="U5441" s="1"/>
      <c r="V5441" s="1"/>
      <c r="W5441" s="1"/>
      <c r="X5441" s="1"/>
      <c r="Y5441" s="1"/>
      <c r="Z5441" s="1"/>
      <c r="AA5441" s="1"/>
      <c r="AB5441" s="1"/>
      <c r="AC5441" s="1"/>
      <c r="AD5441" s="1"/>
      <c r="AE5441" s="1"/>
      <c r="AF5441" s="1"/>
      <c r="AG5441" s="1"/>
      <c r="AH5441" s="1"/>
      <c r="AI5441" s="1"/>
      <c r="AJ5441" s="1"/>
      <c r="AK5441" s="1"/>
      <c r="AL5441" s="1"/>
      <c r="AM5441" s="1"/>
      <c r="AN5441" s="1"/>
      <c r="AO5441" s="1"/>
      <c r="AP5441" s="1"/>
      <c r="AQ5441" s="1"/>
      <c r="AR5441" s="1"/>
      <c r="AS5441" s="1"/>
      <c r="AT5441" s="1"/>
      <c r="AU5441" s="1"/>
      <c r="AV5441" s="1"/>
      <c r="AW5441" s="1"/>
      <c r="AX5441" s="1"/>
      <c r="AY5441" s="1"/>
      <c r="AZ5441" s="1"/>
      <c r="BA5441" s="1"/>
      <c r="BB5441" s="1"/>
    </row>
    <row r="5442" ht="204.75" customHeight="1">
      <c r="A5442" s="1">
        <v>3137.0</v>
      </c>
      <c r="B5442" s="2" t="s">
        <v>15003</v>
      </c>
      <c r="C5442" s="2">
        <f>IFERROR(__xludf.DUMMYFUNCTION("split(B5442,""_"")"),1310.0)</f>
        <v>1310</v>
      </c>
      <c r="D5442" s="2" t="str">
        <f>IFERROR(__xludf.DUMMYFUNCTION("""COMPUTED_VALUE"""),"TBS")</f>
        <v>TBS</v>
      </c>
      <c r="E5442" s="2" t="str">
        <f>IFERROR(__xludf.DUMMYFUNCTION("""COMPUTED_VALUE"""),"金22")</f>
        <v>金22</v>
      </c>
      <c r="F5442" s="2" t="s">
        <v>15004</v>
      </c>
      <c r="G5442" s="2" t="s">
        <v>15015</v>
      </c>
      <c r="H5442" s="1">
        <v>6.0</v>
      </c>
      <c r="J5442" s="1" t="s">
        <v>86</v>
      </c>
      <c r="K5442" s="2" t="s">
        <v>15016</v>
      </c>
      <c r="L5442" s="2"/>
      <c r="M5442" s="2" t="str">
        <f>IFERROR(__xludf.DUMMYFUNCTION("split(split(K5442,""【"",false),""公式LINE"",false)"),"拳銃で襲撃された黒河内(長瀬智也)。  銃弾摘出手術が終わるのを清家（剛力彩芽）が、一人でじっと待っていた。  警察官銃撃事件捜査本部が設けられ、柿崎(利重剛)や牛井(小市慢太郎)を中心に黒河内を銃撃した犯人の捜査をすることに。  その頃、桜吹雪会の存在を沢渡（渡部篤郎）から知らされた越後（板尾創路）は、沢渡からの嶋・五島殺害に使われた拳銃の再鑑定の要求を受ける。黒河内を銃撃した本当の黒幕とは？黒河内は意識を取り戻すことが出来るのか？  沢渡が動き出した今、三億円事件の真相にいよいよ迫る！黒河内圭太…長瀬"&amp;"智也  清家真代…剛力彩芽  柿崎清彦…利重　剛  牛井　孟…小市慢太郎  布袋善治郎…長谷川朝晴  磯村哲也…川村陽介  坪倉太一…遠藤　要  恬恬…河北麻友子  沢渡一成…渡部篤郎TOKIO 『 ホントんとこ 』◆PC用はこちら  http://www.tbs.co.jp/kurokouchi/  ◆スマートフォン用はこちら  http://www.tbs.co.jp/smp/kurokouchi/  ◆Twitter  http://twitter.com/kurokouchitbs  @kurok"&amp;"ouchitbs  番組の内容と放送時間は変更になる可能性があります。")</f>
        <v>拳銃で襲撃された黒河内(長瀬智也)。  銃弾摘出手術が終わるのを清家（剛力彩芽）が、一人でじっと待っていた。  警察官銃撃事件捜査本部が設けられ、柿崎(利重剛)や牛井(小市慢太郎)を中心に黒河内を銃撃した犯人の捜査をすることに。  その頃、桜吹雪会の存在を沢渡（渡部篤郎）から知らされた越後（板尾創路）は、沢渡からの嶋・五島殺害に使われた拳銃の再鑑定の要求を受ける。黒河内を銃撃した本当の黒幕とは？黒河内は意識を取り戻すことが出来るのか？  沢渡が動き出した今、三億円事件の真相にいよいよ迫る！黒河内圭太…長瀬智也  清家真代…剛力彩芽  柿崎清彦…利重　剛  牛井　孟…小市慢太郎  布袋善治郎…長谷川朝晴  磯村哲也…川村陽介  坪倉太一…遠藤　要  恬恬…河北麻友子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v>
      </c>
      <c r="N5442" s="2"/>
      <c r="O5442" s="2"/>
      <c r="P5442" s="1"/>
      <c r="Q5442" s="1"/>
      <c r="R5442" s="1"/>
      <c r="S5442" s="1"/>
      <c r="T5442" s="1"/>
      <c r="U5442" s="1"/>
      <c r="V5442" s="1"/>
      <c r="W5442" s="1"/>
      <c r="X5442" s="1"/>
      <c r="Y5442" s="1"/>
      <c r="Z5442" s="1"/>
      <c r="AA5442" s="1"/>
      <c r="AB5442" s="1"/>
      <c r="AC5442" s="1"/>
      <c r="AD5442" s="1"/>
      <c r="AE5442" s="1"/>
      <c r="AF5442" s="1"/>
      <c r="AG5442" s="1"/>
      <c r="AH5442" s="1"/>
      <c r="AI5442" s="1"/>
      <c r="AJ5442" s="1"/>
      <c r="AK5442" s="1"/>
      <c r="AL5442" s="1"/>
      <c r="AM5442" s="1"/>
      <c r="AN5442" s="1"/>
      <c r="AO5442" s="1"/>
      <c r="AP5442" s="1"/>
      <c r="AQ5442" s="1"/>
      <c r="AR5442" s="1"/>
      <c r="AS5442" s="1"/>
      <c r="AT5442" s="1"/>
      <c r="AU5442" s="1"/>
      <c r="AV5442" s="1"/>
      <c r="AW5442" s="1"/>
      <c r="AX5442" s="1"/>
      <c r="AY5442" s="1"/>
      <c r="AZ5442" s="1"/>
      <c r="BA5442" s="1"/>
      <c r="BB5442" s="1"/>
    </row>
    <row r="5443" ht="204.75" customHeight="1">
      <c r="A5443" s="1">
        <v>3138.0</v>
      </c>
      <c r="B5443" s="2" t="s">
        <v>15003</v>
      </c>
      <c r="C5443" s="2">
        <f>IFERROR(__xludf.DUMMYFUNCTION("split(B5443,""_"")"),1310.0)</f>
        <v>1310</v>
      </c>
      <c r="D5443" s="2" t="str">
        <f>IFERROR(__xludf.DUMMYFUNCTION("""COMPUTED_VALUE"""),"TBS")</f>
        <v>TBS</v>
      </c>
      <c r="E5443" s="2" t="str">
        <f>IFERROR(__xludf.DUMMYFUNCTION("""COMPUTED_VALUE"""),"金22")</f>
        <v>金22</v>
      </c>
      <c r="F5443" s="2" t="s">
        <v>15004</v>
      </c>
      <c r="G5443" s="2" t="s">
        <v>15017</v>
      </c>
      <c r="H5443" s="1">
        <v>7.0</v>
      </c>
      <c r="J5443" s="1" t="s">
        <v>86</v>
      </c>
      <c r="K5443" s="2" t="s">
        <v>15018</v>
      </c>
      <c r="L5443" s="2"/>
      <c r="M5443" s="2" t="str">
        <f>IFERROR(__xludf.DUMMYFUNCTION("split(split(K5443,""【"",false),""公式LINE"",false)"),"10年目の命日のため父親の墓地を訪れた 清家 (剛力彩芽) は、墓前で手を合わせている初老の男と出会う。  司法研究所の所長をしているという その男 (山本學) は、元警察官で45年前に清家の父とともに同じ捜査班にいたこともあったと話す。男は 「遠藤」 と名乗った。  何故かその場で話を聞いていた 黒河内 (長瀬智也) が、その男が45年前に三億円事件の捜査をしていた可能性があったのではと、当時のことを聞きだしてくるよう清家に話す。  遠藤に接触した清家は、当時の三億円事件の捜査の話をすると、初めて自分の"&amp;"父親が生前に三億円事件の捜査に参加していた事実を知る…。黒河内圭太…長瀬智也  清家真代…剛力彩芽  柿崎清彦…利重　剛  牛井　孟…小市慢太郎  布袋善治郎…長谷川朝晴  磯村哲也…川村陽介  坪倉太一…遠藤　要  恬恬…河北麻友子  沢渡一成…渡部篤郎TOKIO 『 ホントんとこ 』◆PC用はこちら  http://www.tbs.co.jp/kurokouchi/  ◆スマートフォン用はこちら  http://www.tbs.co.jp/smp/kurokouchi/  ◆Twitter  http"&amp;"://twitter.com/kurokouchitbs  @kurokouchitbs  番組の内容と放送時間は変更になる可能性があります。")</f>
        <v>10年目の命日のため父親の墓地を訪れた 清家 (剛力彩芽) は、墓前で手を合わせている初老の男と出会う。  司法研究所の所長をしているという その男 (山本學) は、元警察官で45年前に清家の父とともに同じ捜査班にいたこともあったと話す。男は 「遠藤」 と名乗った。  何故かその場で話を聞いていた 黒河内 (長瀬智也) が、その男が45年前に三億円事件の捜査をしていた可能性があったのではと、当時のことを聞きだしてくるよう清家に話す。  遠藤に接触した清家は、当時の三億円事件の捜査の話をすると、初めて自分の父親が生前に三億円事件の捜査に参加していた事実を知る…。黒河内圭太…長瀬智也  清家真代…剛力彩芽  柿崎清彦…利重　剛  牛井　孟…小市慢太郎  布袋善治郎…長谷川朝晴  磯村哲也…川村陽介  坪倉太一…遠藤　要  恬恬…河北麻友子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v>
      </c>
      <c r="N5443" s="2"/>
      <c r="O5443" s="2"/>
      <c r="P5443" s="1"/>
      <c r="Q5443" s="1"/>
      <c r="R5443" s="1"/>
      <c r="S5443" s="1"/>
      <c r="T5443" s="1"/>
      <c r="U5443" s="1"/>
      <c r="V5443" s="1"/>
      <c r="W5443" s="1"/>
      <c r="X5443" s="1"/>
      <c r="Y5443" s="1"/>
      <c r="Z5443" s="1"/>
      <c r="AA5443" s="1"/>
      <c r="AB5443" s="1"/>
      <c r="AC5443" s="1"/>
      <c r="AD5443" s="1"/>
      <c r="AE5443" s="1"/>
      <c r="AF5443" s="1"/>
      <c r="AG5443" s="1"/>
      <c r="AH5443" s="1"/>
      <c r="AI5443" s="1"/>
      <c r="AJ5443" s="1"/>
      <c r="AK5443" s="1"/>
      <c r="AL5443" s="1"/>
      <c r="AM5443" s="1"/>
      <c r="AN5443" s="1"/>
      <c r="AO5443" s="1"/>
      <c r="AP5443" s="1"/>
      <c r="AQ5443" s="1"/>
      <c r="AR5443" s="1"/>
      <c r="AS5443" s="1"/>
      <c r="AT5443" s="1"/>
      <c r="AU5443" s="1"/>
      <c r="AV5443" s="1"/>
      <c r="AW5443" s="1"/>
      <c r="AX5443" s="1"/>
      <c r="AY5443" s="1"/>
      <c r="AZ5443" s="1"/>
      <c r="BA5443" s="1"/>
      <c r="BB5443" s="1"/>
    </row>
    <row r="5444" ht="204.75" customHeight="1">
      <c r="A5444" s="1">
        <v>3139.0</v>
      </c>
      <c r="B5444" s="2" t="s">
        <v>15003</v>
      </c>
      <c r="C5444" s="2">
        <f>IFERROR(__xludf.DUMMYFUNCTION("split(B5444,""_"")"),1310.0)</f>
        <v>1310</v>
      </c>
      <c r="D5444" s="2" t="str">
        <f>IFERROR(__xludf.DUMMYFUNCTION("""COMPUTED_VALUE"""),"TBS")</f>
        <v>TBS</v>
      </c>
      <c r="E5444" s="2" t="str">
        <f>IFERROR(__xludf.DUMMYFUNCTION("""COMPUTED_VALUE"""),"金22")</f>
        <v>金22</v>
      </c>
      <c r="F5444" s="2" t="s">
        <v>15004</v>
      </c>
      <c r="G5444" s="2" t="s">
        <v>15019</v>
      </c>
      <c r="H5444" s="1">
        <v>8.0</v>
      </c>
      <c r="J5444" s="1" t="s">
        <v>86</v>
      </c>
      <c r="K5444" s="2" t="s">
        <v>15020</v>
      </c>
      <c r="L5444" s="2"/>
      <c r="M5444" s="2" t="str">
        <f>IFERROR(__xludf.DUMMYFUNCTION("split(split(K5444,""【"",false),""公式LINE"",false)"),"黒河内（長瀬智也）は、桜吹雪会の創立者の1人である遠藤（山本學）の死で、三億円事件に関する情報入手先をなくしたため、元赤刃組の組員・高宮（須田邦裕）に再び接触、先代の赤刃組組長が赤刃組の人間に殺された事を伝え、死んだ先代の組長のためにも力を貸して欲しいと話す。ともに訪れたのは「首都綜合警備保障」という警備会社であった。  一方、自宅に銃弾が撃ち込まれた清家（剛力彩芽）の元に、また同じ声の不穏な電話がかかってくる。そして撃ち込まれた銃弾がSAT(特殊急襲部隊)で使われている狙撃用ライフルの弾だと知った矢先、"&amp;"同じ管内の猟奇殺人事件の知らせを受ける。その犠牲者が元警察官でSATの杉隆太郎（阿部亮平）だと知る…。黒河内圭太…長瀬智也  清家真代…剛力彩芽  柿崎清彦…利重　剛  牛井　孟…小市慢太郎  布袋善治郎…長谷川朝晴  磯村哲也…川村陽介  坪倉太一…遠藤　要  沢渡一成…渡部篤郎TOKIO 『 ホントんとこ 』◆PC用はこちら  http://www.tbs.co.jp/kurokouchi/  ◆スマートフォン用はこちら  http://www.tbs.co.jp/smp/kurokouchi/  ◆"&amp;"Twitter  http://twitter.com/kurokouchitbs  @kurokouchitbs  番組の内容と放送時間は変更になる可能性があります。")</f>
        <v>黒河内（長瀬智也）は、桜吹雪会の創立者の1人である遠藤（山本學）の死で、三億円事件に関する情報入手先をなくしたため、元赤刃組の組員・高宮（須田邦裕）に再び接触、先代の赤刃組組長が赤刃組の人間に殺された事を伝え、死んだ先代の組長のためにも力を貸して欲しいと話す。ともに訪れたのは「首都綜合警備保障」という警備会社であった。  一方、自宅に銃弾が撃ち込まれた清家（剛力彩芽）の元に、また同じ声の不穏な電話がかかってくる。そして撃ち込まれた銃弾がSAT(特殊急襲部隊)で使われている狙撃用ライフルの弾だと知った矢先、同じ管内の猟奇殺人事件の知らせを受ける。その犠牲者が元警察官でSATの杉隆太郎（阿部亮平）だと知る…。黒河内圭太…長瀬智也  清家真代…剛力彩芽  柿崎清彦…利重　剛  牛井　孟…小市慢太郎  布袋善治郎…長谷川朝晴  磯村哲也…川村陽介  坪倉太一…遠藤　要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v>
      </c>
      <c r="N5444" s="2"/>
      <c r="O5444" s="2"/>
      <c r="P5444" s="1"/>
      <c r="Q5444" s="1"/>
      <c r="R5444" s="1"/>
      <c r="S5444" s="1"/>
      <c r="T5444" s="1"/>
      <c r="U5444" s="1"/>
      <c r="V5444" s="1"/>
      <c r="W5444" s="1"/>
      <c r="X5444" s="1"/>
      <c r="Y5444" s="1"/>
      <c r="Z5444" s="1"/>
      <c r="AA5444" s="1"/>
      <c r="AB5444" s="1"/>
      <c r="AC5444" s="1"/>
      <c r="AD5444" s="1"/>
      <c r="AE5444" s="1"/>
      <c r="AF5444" s="1"/>
      <c r="AG5444" s="1"/>
      <c r="AH5444" s="1"/>
      <c r="AI5444" s="1"/>
      <c r="AJ5444" s="1"/>
      <c r="AK5444" s="1"/>
      <c r="AL5444" s="1"/>
      <c r="AM5444" s="1"/>
      <c r="AN5444" s="1"/>
      <c r="AO5444" s="1"/>
      <c r="AP5444" s="1"/>
      <c r="AQ5444" s="1"/>
      <c r="AR5444" s="1"/>
      <c r="AS5444" s="1"/>
      <c r="AT5444" s="1"/>
      <c r="AU5444" s="1"/>
      <c r="AV5444" s="1"/>
      <c r="AW5444" s="1"/>
      <c r="AX5444" s="1"/>
      <c r="AY5444" s="1"/>
      <c r="AZ5444" s="1"/>
      <c r="BA5444" s="1"/>
      <c r="BB5444" s="1"/>
    </row>
    <row r="5445" ht="204.75" customHeight="1">
      <c r="A5445" s="1">
        <v>3140.0</v>
      </c>
      <c r="B5445" s="2" t="s">
        <v>15003</v>
      </c>
      <c r="C5445" s="2">
        <f>IFERROR(__xludf.DUMMYFUNCTION("split(B5445,""_"")"),1310.0)</f>
        <v>1310</v>
      </c>
      <c r="D5445" s="2" t="str">
        <f>IFERROR(__xludf.DUMMYFUNCTION("""COMPUTED_VALUE"""),"TBS")</f>
        <v>TBS</v>
      </c>
      <c r="E5445" s="2" t="str">
        <f>IFERROR(__xludf.DUMMYFUNCTION("""COMPUTED_VALUE"""),"金22")</f>
        <v>金22</v>
      </c>
      <c r="F5445" s="2" t="s">
        <v>15004</v>
      </c>
      <c r="G5445" s="2" t="s">
        <v>15021</v>
      </c>
      <c r="H5445" s="1">
        <v>9.0</v>
      </c>
      <c r="J5445" s="1" t="s">
        <v>86</v>
      </c>
      <c r="K5445" s="2" t="s">
        <v>15022</v>
      </c>
      <c r="L5445" s="2"/>
      <c r="M5445" s="2" t="str">
        <f>IFERROR(__xludf.DUMMYFUNCTION("split(split(K5445,""【"",false),""公式LINE"",false)"),"ひとつの仮説を立てスタートしたドラマ「クロコーチ」。なぜ三億円事件が未解決のままなのか…事件の全貌が明らかにはなったが、三億円を元に出来た影の組織が分裂し始め思いもよらぬ方向に動いていく。現在、350億円にも膨らんだ資金、桜吹雪会の分裂とも思われるそれぞれのトップにいる人物。いったいその金を何に使おうとしているのか？三億円事件に関して、執拗に追い続ける黒河内。いったい何が彼をそうさせているのか？黒河内圭太…長瀬智也  清家真代…剛力彩芽  ○  斑目八重子…芦名星  磯村哲也…川村陽介  恬恬…河北麻友子"&amp;"  清家真次…内倉憲二  城尾平蔵…眞島秀和  係官…いしだ壱成  高宮健太…須田邦裕  綾川眞之輔…加藤虎ノ介  井手聡子…白羽ゆり  ○  澤村英人…小出恵介  加賀広樹…戸次重幸  越後弥太郎… 板尾創路  高橋秀男…森本レオ  ○  沢渡一成…渡部篤郎TOKIO 『 ホントんとこ 』◆PC用はこちら  http://www.tbs.co.jp/kurokouchi/  ◆スマートフォン用はこちら  http://www.tbs.co.jp/smp/kurokouchi/  ◆Twitter  ht"&amp;"tp://twitter.com/kurokouchitbs  @kurokouchitbs  番組の内容と放送時間は変更になる可能性があります。")</f>
        <v>ひとつの仮説を立てスタートしたドラマ「クロコーチ」。なぜ三億円事件が未解決のままなのか…事件の全貌が明らかにはなったが、三億円を元に出来た影の組織が分裂し始め思いもよらぬ方向に動いていく。現在、350億円にも膨らんだ資金、桜吹雪会の分裂とも思われるそれぞれのトップにいる人物。いったいその金を何に使おうとしているのか？三億円事件に関して、執拗に追い続ける黒河内。いったい何が彼をそうさせているのか？黒河内圭太…長瀬智也  清家真代…剛力彩芽  ○  斑目八重子…芦名星  磯村哲也…川村陽介  恬恬…河北麻友子  清家真次…内倉憲二  城尾平蔵…眞島秀和  係官…いしだ壱成  高宮健太…須田邦裕  綾川眞之輔…加藤虎ノ介  井手聡子…白羽ゆり  ○  澤村英人…小出恵介  加賀広樹…戸次重幸  越後弥太郎… 板尾創路  高橋秀男…森本レオ  ○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v>
      </c>
      <c r="N5445" s="2"/>
      <c r="O5445" s="2"/>
      <c r="P5445" s="1"/>
      <c r="Q5445" s="1"/>
      <c r="R5445" s="1"/>
      <c r="S5445" s="1"/>
      <c r="T5445" s="1"/>
      <c r="U5445" s="1"/>
      <c r="V5445" s="1"/>
      <c r="W5445" s="1"/>
      <c r="X5445" s="1"/>
      <c r="Y5445" s="1"/>
      <c r="Z5445" s="1"/>
      <c r="AA5445" s="1"/>
      <c r="AB5445" s="1"/>
      <c r="AC5445" s="1"/>
      <c r="AD5445" s="1"/>
      <c r="AE5445" s="1"/>
      <c r="AF5445" s="1"/>
      <c r="AG5445" s="1"/>
      <c r="AH5445" s="1"/>
      <c r="AI5445" s="1"/>
      <c r="AJ5445" s="1"/>
      <c r="AK5445" s="1"/>
      <c r="AL5445" s="1"/>
      <c r="AM5445" s="1"/>
      <c r="AN5445" s="1"/>
      <c r="AO5445" s="1"/>
      <c r="AP5445" s="1"/>
      <c r="AQ5445" s="1"/>
      <c r="AR5445" s="1"/>
      <c r="AS5445" s="1"/>
      <c r="AT5445" s="1"/>
      <c r="AU5445" s="1"/>
      <c r="AV5445" s="1"/>
      <c r="AW5445" s="1"/>
      <c r="AX5445" s="1"/>
      <c r="AY5445" s="1"/>
      <c r="AZ5445" s="1"/>
      <c r="BA5445" s="1"/>
      <c r="BB5445" s="1"/>
    </row>
    <row r="5446" ht="204.75" customHeight="1">
      <c r="A5446" s="1">
        <v>3141.0</v>
      </c>
      <c r="B5446" s="2" t="s">
        <v>15003</v>
      </c>
      <c r="C5446" s="2">
        <f>IFERROR(__xludf.DUMMYFUNCTION("split(B5446,""_"")"),1310.0)</f>
        <v>1310</v>
      </c>
      <c r="D5446" s="2" t="str">
        <f>IFERROR(__xludf.DUMMYFUNCTION("""COMPUTED_VALUE"""),"TBS")</f>
        <v>TBS</v>
      </c>
      <c r="E5446" s="2" t="str">
        <f>IFERROR(__xludf.DUMMYFUNCTION("""COMPUTED_VALUE"""),"金22")</f>
        <v>金22</v>
      </c>
      <c r="F5446" s="2" t="s">
        <v>15004</v>
      </c>
      <c r="G5446" s="2" t="s">
        <v>15023</v>
      </c>
      <c r="H5446" s="1">
        <v>10.0</v>
      </c>
      <c r="J5446" s="1" t="s">
        <v>86</v>
      </c>
      <c r="K5446" s="2" t="s">
        <v>15024</v>
      </c>
      <c r="L5446" s="2"/>
      <c r="M5446" s="2" t="str">
        <f>IFERROR(__xludf.DUMMYFUNCTION("split(split(K5446,""【"",false),""公式LINE"",false)"),"逮捕された高橋(森本レオ)が護送中に逃げたことで、黒河内(長瀬智也)と沢渡(渡部篤郎)の状況が一変する。沢渡の元に再び渡ってしまった350億は、どのように使われてしまうのか！？黒河内は、すぐさま清家(剛力彩芽)の元へ行き、沢渡の計画していることを教える。そして、三億円事件から創立された桜吹雪会のことなど、すべて暴露して沢渡を終わらせると伝える。一方、逃げた高橋が行き着いたところには、ある大物人物の姿があった。何が善で何が悪か…黒河内の本当の狙いとは！？  黒河内圭太…長瀬智也  清家真代…剛力彩芽  柿崎"&amp;"清彦…利重　剛  牛井　孟…小市慢太郎  布袋善治郎…長谷川朝晴  斑目　八重子…芦名　星  磯村哲也…川村陽介  恬恬…河北麻友子  城尾　平蔵… 眞島秀和  澤村　英人…小出恵介  高橋　秀男…森本レオ  沢渡一成…渡部篤郎TOKIO 『 ホントんとこ 』◆PC用はこちら  http://www.tbs.co.jp/kurokouchi/  ◆スマートフォン用はこちら  http://www.tbs.co.jp/smp/kurokouchi/  ◆Twitter  http://twitter.com"&amp;"/kurokouchitbs  @kurokouchitbs  番組の内容と放送時間は変更になる可能性があります。")</f>
        <v>逮捕された高橋(森本レオ)が護送中に逃げたことで、黒河内(長瀬智也)と沢渡(渡部篤郎)の状況が一変する。沢渡の元に再び渡ってしまった350億は、どのように使われてしまうのか！？黒河内は、すぐさま清家(剛力彩芽)の元へ行き、沢渡の計画していることを教える。そして、三億円事件から創立された桜吹雪会のことなど、すべて暴露して沢渡を終わらせると伝える。一方、逃げた高橋が行き着いたところには、ある大物人物の姿があった。何が善で何が悪か…黒河内の本当の狙いとは！？  黒河内圭太…長瀬智也  清家真代…剛力彩芽  柿崎清彦…利重　剛  牛井　孟…小市慢太郎  布袋善治郎…長谷川朝晴  斑目　八重子…芦名　星  磯村哲也…川村陽介  恬恬…河北麻友子  城尾　平蔵… 眞島秀和  澤村　英人…小出恵介  高橋　秀男…森本レオ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v>
      </c>
      <c r="N5446" s="2"/>
      <c r="O5446" s="2"/>
      <c r="P5446" s="1"/>
      <c r="Q5446" s="1"/>
      <c r="R5446" s="1"/>
      <c r="S5446" s="1"/>
      <c r="T5446" s="1"/>
      <c r="U5446" s="1"/>
      <c r="V5446" s="1"/>
      <c r="W5446" s="1"/>
      <c r="X5446" s="1"/>
      <c r="Y5446" s="1"/>
      <c r="Z5446" s="1"/>
      <c r="AA5446" s="1"/>
      <c r="AB5446" s="1"/>
      <c r="AC5446" s="1"/>
      <c r="AD5446" s="1"/>
      <c r="AE5446" s="1"/>
      <c r="AF5446" s="1"/>
      <c r="AG5446" s="1"/>
      <c r="AH5446" s="1"/>
      <c r="AI5446" s="1"/>
      <c r="AJ5446" s="1"/>
      <c r="AK5446" s="1"/>
      <c r="AL5446" s="1"/>
      <c r="AM5446" s="1"/>
      <c r="AN5446" s="1"/>
      <c r="AO5446" s="1"/>
      <c r="AP5446" s="1"/>
      <c r="AQ5446" s="1"/>
      <c r="AR5446" s="1"/>
      <c r="AS5446" s="1"/>
      <c r="AT5446" s="1"/>
      <c r="AU5446" s="1"/>
      <c r="AV5446" s="1"/>
      <c r="AW5446" s="1"/>
      <c r="AX5446" s="1"/>
      <c r="AY5446" s="1"/>
      <c r="AZ5446" s="1"/>
      <c r="BA5446" s="1"/>
      <c r="BB5446" s="1"/>
    </row>
    <row r="5447" ht="204.75" customHeight="1">
      <c r="A5447" s="1">
        <v>3169.0</v>
      </c>
      <c r="B5447" s="2" t="s">
        <v>15025</v>
      </c>
      <c r="C5447" s="2">
        <f>IFERROR(__xludf.DUMMYFUNCTION("split(B5447,""_"")"),1310.0)</f>
        <v>1310</v>
      </c>
      <c r="D5447" s="2" t="str">
        <f>IFERROR(__xludf.DUMMYFUNCTION("""COMPUTED_VALUE"""),"TBS")</f>
        <v>TBS</v>
      </c>
      <c r="E5447" s="2" t="str">
        <f>IFERROR(__xludf.DUMMYFUNCTION("""COMPUTED_VALUE"""),"日21")</f>
        <v>日21</v>
      </c>
      <c r="F5447" s="2" t="s">
        <v>15026</v>
      </c>
      <c r="G5447" s="2" t="s">
        <v>15027</v>
      </c>
      <c r="H5447" s="1">
        <v>1.0</v>
      </c>
      <c r="J5447" s="1" t="s">
        <v>4</v>
      </c>
      <c r="K5447" s="2" t="s">
        <v>15028</v>
      </c>
      <c r="L5447" s="2"/>
      <c r="M5447" s="2" t="str">
        <f>IFERROR(__xludf.DUMMYFUNCTION("split(split(K5447,""【"",false),""公式LINE"",false)"),"2013年のある日、一人の天才物理学者・沫嶋黎士（木村拓哉）が殺された。  冴えない風貌ながらその世界では名の知られている大学教授で、ワームホール理論の最先端の研究者だった黎士。ワームホールとは、時空構造の位相幾何学として考えうる構造の一つで、時空のある一点から別の離れた一点へと直結する空間領域でトンネルのような抜け道の事である。  その研究が原因で殺されたのかは謎だが、彼には最愛の婚約者・安堂麻陽（柴咲コウ）がいた。  だが、そんな彼女に“最愛の人の死”という不幸が突如襲い掛かり、さらには彼女自身も理由"&amp;"の判らぬまま正体不明の相手から命を狙われる身となる…。そこに現れたのは！！安堂ロイド／沫嶋黎士…木村拓哉（二役）  安堂麻陽…柴咲コウ   ○  沫嶋七瀬…大島優子  星　新造…桐谷健太  サプリ…本田　翼  小松左京子…山口紗弥加  江戸川斗夢…ジェシー（ジャニーズJr.）  栗山　薫…山本美月  冨野好雪…日野陽仁  倉田朝晴…池田　大  ○  謎の美少女…桐谷美玲  角城　元…平岡祐太  ○  安堂景子…名取裕子（特別出演）  葦母衣朔…遠藤憲一  （1話ゲスト）  ラプラス…福田彩乃★番組HP  "&amp;"http://www.tbs.co.jp/ANDO-LLOYD/  ★Twitter  https://twitter.com/LloydAndo  @LloydAndo脚本：西荻弓絵  音楽：菅野祐悟  コンセプト/設定協力：庵野秀明　鶴巻和哉　前田真宏  制作プロデュース：長谷川晴彦　安田邦弘（ROBOT）　　　　　　  プロデュース：植田博樹　坪井敏雄  演出：波多野貴文番組の内容と放送時間は変更になる場合があります。")</f>
        <v>2013年のある日、一人の天才物理学者・沫嶋黎士（木村拓哉）が殺された。  冴えない風貌ながらその世界では名の知られている大学教授で、ワームホール理論の最先端の研究者だった黎士。ワームホールとは、時空構造の位相幾何学として考えうる構造の一つで、時空のある一点から別の離れた一点へと直結する空間領域でトンネルのような抜け道の事である。  その研究が原因で殺されたのかは謎だが、彼には最愛の婚約者・安堂麻陽（柴咲コウ）がいた。  だが、そんな彼女に“最愛の人の死”という不幸が突如襲い掛かり、さらには彼女自身も理由の判らぬまま正体不明の相手から命を狙われる身となる…。そこに現れたのは！！安堂ロイド／沫嶋黎士…木村拓哉（二役）  安堂麻陽…柴咲コウ   ○  沫嶋七瀬…大島優子  星　新造…桐谷健太  サプリ…本田　翼  小松左京子…山口紗弥加  江戸川斗夢…ジェシー（ジャニーズJr.）  栗山　薫…山本美月  冨野好雪…日野陽仁  倉田朝晴…池田　大  ○  謎の美少女…桐谷美玲  角城　元…平岡祐太  ○  安堂景子…名取裕子（特別出演）  葦母衣朔…遠藤憲一  （1話ゲスト）  ラプラス…福田彩乃★番組HP  http://www.tbs.co.jp/ANDO-LLOYD/  ★Twitter  https://twitter.com/LloydAndo  @LloydAndo脚本：西荻弓絵  音楽：菅野祐悟  コンセプト/設定協力：庵野秀明　鶴巻和哉　前田真宏  制作プロデュース：長谷川晴彦　安田邦弘（ROBOT）　　　　　　  プロデュース：植田博樹　坪井敏雄  演出：波多野貴文番組の内容と放送時間は変更になる場合があります。</v>
      </c>
      <c r="N5447" s="2"/>
      <c r="O5447" s="2"/>
      <c r="P5447" s="1"/>
      <c r="Q5447" s="1"/>
      <c r="R5447" s="1"/>
      <c r="S5447" s="1"/>
      <c r="T5447" s="1"/>
      <c r="U5447" s="1"/>
      <c r="V5447" s="1"/>
      <c r="W5447" s="1"/>
      <c r="X5447" s="1"/>
      <c r="Y5447" s="1"/>
      <c r="Z5447" s="1"/>
      <c r="AA5447" s="1"/>
      <c r="AB5447" s="1"/>
      <c r="AC5447" s="1"/>
      <c r="AD5447" s="1"/>
      <c r="AE5447" s="1"/>
      <c r="AF5447" s="1"/>
      <c r="AG5447" s="1"/>
      <c r="AH5447" s="1"/>
      <c r="AI5447" s="1"/>
      <c r="AJ5447" s="1"/>
      <c r="AK5447" s="1"/>
      <c r="AL5447" s="1"/>
      <c r="AM5447" s="1"/>
      <c r="AN5447" s="1"/>
      <c r="AO5447" s="1"/>
      <c r="AP5447" s="1"/>
      <c r="AQ5447" s="1"/>
      <c r="AR5447" s="1"/>
      <c r="AS5447" s="1"/>
      <c r="AT5447" s="1"/>
      <c r="AU5447" s="1"/>
      <c r="AV5447" s="1"/>
      <c r="AW5447" s="1"/>
      <c r="AX5447" s="1"/>
      <c r="AY5447" s="1"/>
      <c r="AZ5447" s="1"/>
      <c r="BA5447" s="1"/>
      <c r="BB5447" s="1"/>
    </row>
    <row r="5448" ht="204.75" customHeight="1">
      <c r="A5448" s="1">
        <v>3170.0</v>
      </c>
      <c r="B5448" s="2" t="s">
        <v>15025</v>
      </c>
      <c r="C5448" s="2">
        <f>IFERROR(__xludf.DUMMYFUNCTION("split(B5448,""_"")"),1310.0)</f>
        <v>1310</v>
      </c>
      <c r="D5448" s="2" t="str">
        <f>IFERROR(__xludf.DUMMYFUNCTION("""COMPUTED_VALUE"""),"TBS")</f>
        <v>TBS</v>
      </c>
      <c r="E5448" s="2" t="str">
        <f>IFERROR(__xludf.DUMMYFUNCTION("""COMPUTED_VALUE"""),"日21")</f>
        <v>日21</v>
      </c>
      <c r="F5448" s="2" t="s">
        <v>15026</v>
      </c>
      <c r="G5448" s="2" t="s">
        <v>15029</v>
      </c>
      <c r="H5448" s="1">
        <v>2.0</v>
      </c>
      <c r="J5448" s="1" t="s">
        <v>4</v>
      </c>
      <c r="K5448" s="2" t="s">
        <v>15030</v>
      </c>
      <c r="L5448" s="2"/>
      <c r="M5448" s="2" t="str">
        <f>IFERROR(__xludf.DUMMYFUNCTION("split(split(K5448,""【"",false),""公式LINE"",false)"),"婚約者の黎士（木村拓哉）を突然失ったショックから衝動的に地下鉄のホームで電車に飛び込んでしまった麻陽（柴咲コウ）だったが、間一髪のところで黎士に瓜二つの謎の男・ロイド（木村拓哉／2役）に救出される。麻陽は黎士の死とロイドの出現に心の整理が追いつかないまま自分を探して来た部下の星（桐谷健太）と共に会社に戻るが、そんな麻陽の元に早くも新たな暗殺者・キュリー（柿澤勇人）が麻陽の命を狙って会社に侵入して来る。社内の警報アラームにより不正侵入者の存在に気付いた麻陽はその侵入者が自分を襲ったラプラスと同様の暗殺者だと"&amp;"察する。麻陽は自分の元をちょうど訪ねて来ていた七瀬（大島優子）の身にも危険が及ぶと懸念し、七瀬を引き留めようとするが、時既に遅く、キュリーが二人に襲い掛かってくる。同じ頃、地下鉄のホームでは麻陽が電車に飛び込んだ姿を目撃していた刑事の葦母（遠藤憲一）が現場検証にあたっていた。目撃情報はあるものの死体が見つからず、捜査は混乱。結局、ホーム天井の一部が落下しての事故と結論付けられたが、1日のうちに2度も殺されかけた麻陽の姿を目撃した葦母は、麻陽に何か裏があると感じる。一方、麻陽をラプラスの攻撃と飛び込んだ電車"&amp;"から救出したロイドはサプリ（本田翼）の手当てを受け傷ついた体の回復に努めていたが、そんなロイドにもキュリーと共に放たれた暗殺者・バルス（柿澤勇人／2役）が襲い掛かる。安堂ロイド／沫嶋黎士…木村拓哉（二役）  安堂麻陽…柴咲コウ   ○  沫嶋七瀬…大島優子  星　新造…桐谷健太  サプリ…本田翼  小松左京子…山口紗弥加  江戸川斗夢…ジェシー（ジャニーズJr.）  栗山　薫…山本美月  冨野好雪…日野陽仁  倉田朝晴…池田大  ○  謎の美少女…桐谷美玲  角城　元…平岡祐太  ○  安堂景子…名取裕子"&amp;"（特別出演）  葦母衣朔…遠藤憲一")</f>
        <v>婚約者の黎士（木村拓哉）を突然失ったショックから衝動的に地下鉄のホームで電車に飛び込んでしまった麻陽（柴咲コウ）だったが、間一髪のところで黎士に瓜二つの謎の男・ロイド（木村拓哉／2役）に救出される。麻陽は黎士の死とロイドの出現に心の整理が追いつかないまま自分を探して来た部下の星（桐谷健太）と共に会社に戻るが、そんな麻陽の元に早くも新たな暗殺者・キュリー（柿澤勇人）が麻陽の命を狙って会社に侵入して来る。社内の警報アラームにより不正侵入者の存在に気付いた麻陽はその侵入者が自分を襲ったラプラスと同様の暗殺者だと察する。麻陽は自分の元をちょうど訪ねて来ていた七瀬（大島優子）の身にも危険が及ぶと懸念し、七瀬を引き留めようとするが、時既に遅く、キュリーが二人に襲い掛かってくる。同じ頃、地下鉄のホームでは麻陽が電車に飛び込んだ姿を目撃していた刑事の葦母（遠藤憲一）が現場検証にあたっていた。目撃情報はあるものの死体が見つからず、捜査は混乱。結局、ホーム天井の一部が落下しての事故と結論付けられたが、1日のうちに2度も殺されかけた麻陽の姿を目撃した葦母は、麻陽に何か裏があると感じる。一方、麻陽をラプラスの攻撃と飛び込んだ電車から救出したロイドはサプリ（本田翼）の手当てを受け傷ついた体の回復に努めていたが、そんなロイドにもキュリーと共に放たれた暗殺者・バルス（柿澤勇人／2役）が襲い掛かる。安堂ロイド／沫嶋黎士…木村拓哉（二役）  安堂麻陽…柴咲コウ   ○  沫嶋七瀬…大島優子  星　新造…桐谷健太  サプリ…本田翼  小松左京子…山口紗弥加  江戸川斗夢…ジェシー（ジャニーズJr.）  栗山　薫…山本美月  冨野好雪…日野陽仁  倉田朝晴…池田大  ○  謎の美少女…桐谷美玲  角城　元…平岡祐太  ○  安堂景子…名取裕子（特別出演）  葦母衣朔…遠藤憲一</v>
      </c>
      <c r="N5448" s="2"/>
      <c r="O5448" s="2"/>
      <c r="P5448" s="1"/>
      <c r="Q5448" s="1"/>
      <c r="R5448" s="1"/>
      <c r="S5448" s="1"/>
      <c r="T5448" s="1"/>
      <c r="U5448" s="1"/>
      <c r="V5448" s="1"/>
      <c r="W5448" s="1"/>
      <c r="X5448" s="1"/>
      <c r="Y5448" s="1"/>
      <c r="Z5448" s="1"/>
      <c r="AA5448" s="1"/>
      <c r="AB5448" s="1"/>
      <c r="AC5448" s="1"/>
      <c r="AD5448" s="1"/>
      <c r="AE5448" s="1"/>
      <c r="AF5448" s="1"/>
      <c r="AG5448" s="1"/>
      <c r="AH5448" s="1"/>
      <c r="AI5448" s="1"/>
      <c r="AJ5448" s="1"/>
      <c r="AK5448" s="1"/>
      <c r="AL5448" s="1"/>
      <c r="AM5448" s="1"/>
      <c r="AN5448" s="1"/>
      <c r="AO5448" s="1"/>
      <c r="AP5448" s="1"/>
      <c r="AQ5448" s="1"/>
      <c r="AR5448" s="1"/>
      <c r="AS5448" s="1"/>
      <c r="AT5448" s="1"/>
      <c r="AU5448" s="1"/>
      <c r="AV5448" s="1"/>
      <c r="AW5448" s="1"/>
      <c r="AX5448" s="1"/>
      <c r="AY5448" s="1"/>
      <c r="AZ5448" s="1"/>
      <c r="BA5448" s="1"/>
      <c r="BB5448" s="1"/>
    </row>
    <row r="5449" ht="204.75" customHeight="1">
      <c r="A5449" s="1">
        <v>3171.0</v>
      </c>
      <c r="B5449" s="2" t="s">
        <v>15025</v>
      </c>
      <c r="C5449" s="2">
        <f>IFERROR(__xludf.DUMMYFUNCTION("split(B5449,""_"")"),1310.0)</f>
        <v>1310</v>
      </c>
      <c r="D5449" s="2" t="str">
        <f>IFERROR(__xludf.DUMMYFUNCTION("""COMPUTED_VALUE"""),"TBS")</f>
        <v>TBS</v>
      </c>
      <c r="E5449" s="2" t="str">
        <f>IFERROR(__xludf.DUMMYFUNCTION("""COMPUTED_VALUE"""),"日21")</f>
        <v>日21</v>
      </c>
      <c r="F5449" s="2" t="s">
        <v>15026</v>
      </c>
      <c r="G5449" s="2" t="s">
        <v>15031</v>
      </c>
      <c r="H5449" s="1">
        <v>3.0</v>
      </c>
      <c r="J5449" s="1" t="s">
        <v>11</v>
      </c>
      <c r="K5449" s="2" t="s">
        <v>15032</v>
      </c>
      <c r="L5449" s="2"/>
      <c r="M5449" s="2" t="str">
        <f>IFERROR(__xludf.DUMMYFUNCTION("split(split(K5449,""【"",false),""公式LINE"",false)"),"刑事の葦母（遠藤憲一）の尋問がきっかけとなり、周囲にロイド（木村拓哉）を黎士（木村拓哉／二役）だと偽ることになってしまった麻陽（柴咲コウ）。だが、黎士の妹・七瀬（大島優子）にだけはどうしても嘘を突き通せないと麻陽はロイドのことを話してしまう。そんな麻陽にロイドは「（自分の秘密を知った）七瀬を殺す！」と言い放ち、麻陽の前から姿を消してしまう。瀬の身を案じた麻陽がすぐさま東京帝國大学に駆けつけると、案の定、ロイドは七瀬を抹殺すべくすでに構内に侵入し、七瀬に襲い掛かろうとしていた。その一方で麻陽とロイドは一つ屋"&amp;"根の下、一緒に暮らすことになり二人の奇妙な生活が始まる。充電に莫大な電力を費やすロイドに家中の電力を独占され、麻陽は日常生活に支障をきたし、ロイドの存在に苛立ってくる。麻陽は文句を言っても取り合わないロイドを破壊しようと襲い掛かるが、警察に踏み込まれ、婚約者へのDV容疑で警察へ連行されてしまい…。安堂ロイド／沫嶋黎士…木村拓哉（二役）  安堂麻陽…柴咲コウ   ○  沫嶋七瀬…大島優子  星　新造…桐谷健太  サプリ…本田翼  小松左京子…山口紗弥加  江戸川斗夢…ジェシー（ジャニーズJr.）  栗山　薫"&amp;"…山本美月  冨野好雪…日野陽仁  倉田朝晴…池田大  ○  葦母衣朔…遠藤憲一  （3話ゲスト）  ボルタ…三浦力脚本：泉澤陽子  音楽：菅野祐悟  コンセプト/設定協力：庵野秀明　鶴巻和哉　前田真宏  制作プロデュース：長谷川晴彦（ROBOT）　　安田邦弘　　　　　  プロデュース：植田博樹　坪井敏雄  演出：木村ひさし★番組HP  http://www.tbs.co.jp/ANDO-LLOYD/  ★PC用ホームページ  http://www.tbs.co.jp/smp/ANDO-LLOYD/  ★"&amp;"Twitter  https://twitter.com/LloydAndo  @LloydAndo  番組の内容と放送時間は変更になる場合があります。")</f>
        <v>刑事の葦母（遠藤憲一）の尋問がきっかけとなり、周囲にロイド（木村拓哉）を黎士（木村拓哉／二役）だと偽ることになってしまった麻陽（柴咲コウ）。だが、黎士の妹・七瀬（大島優子）にだけはどうしても嘘を突き通せないと麻陽はロイドのことを話してしまう。そんな麻陽にロイドは「（自分の秘密を知った）七瀬を殺す！」と言い放ち、麻陽の前から姿を消してしまう。瀬の身を案じた麻陽がすぐさま東京帝國大学に駆けつけると、案の定、ロイドは七瀬を抹殺すべくすでに構内に侵入し、七瀬に襲い掛かろうとしていた。その一方で麻陽とロイドは一つ屋根の下、一緒に暮らすことになり二人の奇妙な生活が始まる。充電に莫大な電力を費やすロイドに家中の電力を独占され、麻陽は日常生活に支障をきたし、ロイドの存在に苛立ってくる。麻陽は文句を言っても取り合わないロイドを破壊しようと襲い掛かるが、警察に踏み込まれ、婚約者へのDV容疑で警察へ連行されてしまい…。安堂ロイド／沫嶋黎士…木村拓哉（二役）  安堂麻陽…柴咲コウ   ○  沫嶋七瀬…大島優子  星　新造…桐谷健太  サプリ…本田翼  小松左京子…山口紗弥加  江戸川斗夢…ジェシー（ジャニーズJr.）  栗山　薫…山本美月  冨野好雪…日野陽仁  倉田朝晴…池田大  ○  葦母衣朔…遠藤憲一  （3話ゲスト）  ボルタ…三浦力脚本：泉澤陽子  音楽：菅野祐悟  コンセプト/設定協力：庵野秀明　鶴巻和哉　前田真宏  制作プロデュース：長谷川晴彦（ROBOT）　　安田邦弘　　　　　  プロデュース：植田博樹　坪井敏雄  演出：木村ひさし★番組HP  http://www.tbs.co.jp/ANDO-LLOYD/  ★PC用ホームページ  http://www.tbs.co.jp/smp/ANDO-LLOYD/  ★Twitter  https://twitter.com/LloydAndo  @LloydAndo  番組の内容と放送時間は変更になる場合があります。</v>
      </c>
      <c r="N5449" s="2"/>
      <c r="O5449" s="2"/>
      <c r="P5449" s="1"/>
      <c r="Q5449" s="1"/>
      <c r="R5449" s="1"/>
      <c r="S5449" s="1"/>
      <c r="T5449" s="1"/>
      <c r="U5449" s="1"/>
      <c r="V5449" s="1"/>
      <c r="W5449" s="1"/>
      <c r="X5449" s="1"/>
      <c r="Y5449" s="1"/>
      <c r="Z5449" s="1"/>
      <c r="AA5449" s="1"/>
      <c r="AB5449" s="1"/>
      <c r="AC5449" s="1"/>
      <c r="AD5449" s="1"/>
      <c r="AE5449" s="1"/>
      <c r="AF5449" s="1"/>
      <c r="AG5449" s="1"/>
      <c r="AH5449" s="1"/>
      <c r="AI5449" s="1"/>
      <c r="AJ5449" s="1"/>
      <c r="AK5449" s="1"/>
      <c r="AL5449" s="1"/>
      <c r="AM5449" s="1"/>
      <c r="AN5449" s="1"/>
      <c r="AO5449" s="1"/>
      <c r="AP5449" s="1"/>
      <c r="AQ5449" s="1"/>
      <c r="AR5449" s="1"/>
      <c r="AS5449" s="1"/>
      <c r="AT5449" s="1"/>
      <c r="AU5449" s="1"/>
      <c r="AV5449" s="1"/>
      <c r="AW5449" s="1"/>
      <c r="AX5449" s="1"/>
      <c r="AY5449" s="1"/>
      <c r="AZ5449" s="1"/>
      <c r="BA5449" s="1"/>
      <c r="BB5449" s="1"/>
    </row>
    <row r="5450" ht="204.75" customHeight="1">
      <c r="A5450" s="1">
        <v>3172.0</v>
      </c>
      <c r="B5450" s="2" t="s">
        <v>15025</v>
      </c>
      <c r="C5450" s="2">
        <f>IFERROR(__xludf.DUMMYFUNCTION("split(B5450,""_"")"),1310.0)</f>
        <v>1310</v>
      </c>
      <c r="D5450" s="2" t="str">
        <f>IFERROR(__xludf.DUMMYFUNCTION("""COMPUTED_VALUE"""),"TBS")</f>
        <v>TBS</v>
      </c>
      <c r="E5450" s="2" t="str">
        <f>IFERROR(__xludf.DUMMYFUNCTION("""COMPUTED_VALUE"""),"日21")</f>
        <v>日21</v>
      </c>
      <c r="F5450" s="2" t="s">
        <v>15026</v>
      </c>
      <c r="G5450" s="2" t="s">
        <v>15033</v>
      </c>
      <c r="H5450" s="1">
        <v>4.0</v>
      </c>
      <c r="J5450" s="1" t="s">
        <v>11</v>
      </c>
      <c r="K5450" s="2" t="s">
        <v>15034</v>
      </c>
      <c r="L5450" s="2"/>
      <c r="M5450" s="2" t="str">
        <f>IFERROR(__xludf.DUMMYFUNCTION("split(split(K5450,""【"",false),""公式LINE"",false)"),"自分の命を狙い次々と襲い掛かってくる暗殺者を淡々と殺していくロイド（木村拓哉）の姿に複雑な思いを抱く麻陽（柴咲コウ）。そんな麻陽の元に、黎士（木村拓哉／二役）のパソコンを解析していた七瀬（大島優子）から、黎士のメール履歴に100年先の誰かとやり取りしていたメールを見つけたとの連絡が入る。七瀬は送信主も中身もまだ解明出来ないが、黎士の唱えていた理論では100年先とのやり取りも可能だと麻陽に話す。そんな中、麻陽は黎士の親友で同じく次元物理学者の桐生貴志（藤本隆宏）がアメリカで行方不明になっているとのニュースを"&amp;"耳にする。もしや桐生も殺人スケジュールの標的なのではと麻陽が懸念した矢先、なんと行方不明のはずの桐生が突然麻陽とロイドの元に現れる。麻陽は自分たちとの再会を喜ぶ桐生に黎士を装うロイドのことを気付かれはしないかと心配する。そんな矢先、桐生も何者かに襲われてしまう。一方、麻陽と黎士を装うロイドの周辺を嗅ぎ回っていた刑事の葦母（遠藤憲一）は刑務所から出所した顔見知りのテロリスト・川島（津村知与支）に会い…。安堂ロイド／沫嶋黎士…木村拓哉（二役）  安堂麻陽…柴咲コウ   ○  沫嶋七瀬…大島優子  星　新造…桐"&amp;"谷健太  サプリ…本田　翼  小松左京子…山口紗弥加  江戸川斗夢…ジェシー（ジャニーズJr.）  栗山　薫…山本美月  冨野好雪…日野陽仁  倉田朝晴…池田　大  ○  謎の美少女…桐谷美玲  ○  葦母衣朔…遠藤憲一（3話ゲスト）  桐生貴志…藤本隆宏  ドルトン／川島…津村知与支脚本：泉澤陽子  音楽：菅野祐悟  コンセプト/設定協力：庵野秀明　鶴巻和哉　前田真宏  制作プロデュース：長谷川晴彦（ROBOT）　　安田邦弘　  プロデュース：植田博樹　坪井敏雄  演出：木村ひさし★番組HP  http"&amp;"://www.tbs.co.jp/ANDO-LLOYD/  ★PC用ホームページ  http://www.tbs.co.jp/smp/ANDO-LLOYD/  ★Twitter  https://twitter.com/LloydAndo  @LloydAndo  番組の内容と放送時間は変更になる場合があります。")</f>
        <v>自分の命を狙い次々と襲い掛かってくる暗殺者を淡々と殺していくロイド（木村拓哉）の姿に複雑な思いを抱く麻陽（柴咲コウ）。そんな麻陽の元に、黎士（木村拓哉／二役）のパソコンを解析していた七瀬（大島優子）から、黎士のメール履歴に100年先の誰かとやり取りしていたメールを見つけたとの連絡が入る。七瀬は送信主も中身もまだ解明出来ないが、黎士の唱えていた理論では100年先とのやり取りも可能だと麻陽に話す。そんな中、麻陽は黎士の親友で同じく次元物理学者の桐生貴志（藤本隆宏）がアメリカで行方不明になっているとのニュースを耳にする。もしや桐生も殺人スケジュールの標的なのではと麻陽が懸念した矢先、なんと行方不明のはずの桐生が突然麻陽とロイドの元に現れる。麻陽は自分たちとの再会を喜ぶ桐生に黎士を装うロイドのことを気付かれはしないかと心配する。そんな矢先、桐生も何者かに襲われてしまう。一方、麻陽と黎士を装うロイドの周辺を嗅ぎ回っていた刑事の葦母（遠藤憲一）は刑務所から出所した顔見知りのテロリスト・川島（津村知与支）に会い…。安堂ロイド／沫嶋黎士…木村拓哉（二役）  安堂麻陽…柴咲コウ   ○  沫嶋七瀬…大島優子  星　新造…桐谷健太  サプリ…本田　翼  小松左京子…山口紗弥加  江戸川斗夢…ジェシー（ジャニーズJr.）  栗山　薫…山本美月  冨野好雪…日野陽仁  倉田朝晴…池田　大  ○  謎の美少女…桐谷美玲  ○  葦母衣朔…遠藤憲一（3話ゲスト）  桐生貴志…藤本隆宏  ドルトン／川島…津村知与支脚本：泉澤陽子  音楽：菅野祐悟  コンセプト/設定協力：庵野秀明　鶴巻和哉　前田真宏  制作プロデュース：長谷川晴彦（ROBOT）　　安田邦弘　  プロデュース：植田博樹　坪井敏雄  演出：木村ひさし★番組HP  http://www.tbs.co.jp/ANDO-LLOYD/  ★PC用ホームページ  http://www.tbs.co.jp/smp/ANDO-LLOYD/  ★Twitter  https://twitter.com/LloydAndo  @LloydAndo  番組の内容と放送時間は変更になる場合があります。</v>
      </c>
      <c r="N5450" s="2"/>
      <c r="O5450" s="2"/>
      <c r="P5450" s="1"/>
      <c r="Q5450" s="1"/>
      <c r="R5450" s="1"/>
      <c r="S5450" s="1"/>
      <c r="T5450" s="1"/>
      <c r="U5450" s="1"/>
      <c r="V5450" s="1"/>
      <c r="W5450" s="1"/>
      <c r="X5450" s="1"/>
      <c r="Y5450" s="1"/>
      <c r="Z5450" s="1"/>
      <c r="AA5450" s="1"/>
      <c r="AB5450" s="1"/>
      <c r="AC5450" s="1"/>
      <c r="AD5450" s="1"/>
      <c r="AE5450" s="1"/>
      <c r="AF5450" s="1"/>
      <c r="AG5450" s="1"/>
      <c r="AH5450" s="1"/>
      <c r="AI5450" s="1"/>
      <c r="AJ5450" s="1"/>
      <c r="AK5450" s="1"/>
      <c r="AL5450" s="1"/>
      <c r="AM5450" s="1"/>
      <c r="AN5450" s="1"/>
      <c r="AO5450" s="1"/>
      <c r="AP5450" s="1"/>
      <c r="AQ5450" s="1"/>
      <c r="AR5450" s="1"/>
      <c r="AS5450" s="1"/>
      <c r="AT5450" s="1"/>
      <c r="AU5450" s="1"/>
      <c r="AV5450" s="1"/>
      <c r="AW5450" s="1"/>
      <c r="AX5450" s="1"/>
      <c r="AY5450" s="1"/>
      <c r="AZ5450" s="1"/>
      <c r="BA5450" s="1"/>
      <c r="BB5450" s="1"/>
    </row>
    <row r="5451" ht="204.75" customHeight="1">
      <c r="A5451" s="1">
        <v>3173.0</v>
      </c>
      <c r="B5451" s="2" t="s">
        <v>15025</v>
      </c>
      <c r="C5451" s="2">
        <f>IFERROR(__xludf.DUMMYFUNCTION("split(B5451,""_"")"),1310.0)</f>
        <v>1310</v>
      </c>
      <c r="D5451" s="2" t="str">
        <f>IFERROR(__xludf.DUMMYFUNCTION("""COMPUTED_VALUE"""),"TBS")</f>
        <v>TBS</v>
      </c>
      <c r="E5451" s="2" t="str">
        <f>IFERROR(__xludf.DUMMYFUNCTION("""COMPUTED_VALUE"""),"日21")</f>
        <v>日21</v>
      </c>
      <c r="F5451" s="2" t="s">
        <v>15026</v>
      </c>
      <c r="G5451" s="2" t="s">
        <v>15035</v>
      </c>
      <c r="H5451" s="1">
        <v>5.0</v>
      </c>
      <c r="J5451" s="1" t="s">
        <v>11</v>
      </c>
      <c r="K5451" s="2" t="s">
        <v>15036</v>
      </c>
      <c r="L5451" s="2"/>
      <c r="M5451" s="2" t="str">
        <f>IFERROR(__xludf.DUMMYFUNCTION("split(split(K5451,""【"",false),""公式LINE"",false)"),"親友だった暗殺者・ナビエ（藤本隆宏）との攻防を終えたロイド（木村拓哉）と麻陽（柴咲コウ）は、互いに消してはならない大切な記憶を抱えていることに共感し合う。そしてそんな二人の心の変化は奇妙な共同生活にも徐々に変化をもたらし、麻陽は親しみを込めて”ロイド”と呼び始める。そんな中、いつも通り会社に出社した麻陽は既に出勤していた部下の星（桐谷健太）から重傷を負って搬送されていた左京子（山口紗弥加）の父で刑事の葦母（遠藤憲一）が一命を取り留めたとの報告を受ける。だが、その報告と同時に麻陽は星から黎士の事故後の行動に"&amp;"関する矛盾点を指摘され、星が麻陽と黎士（木村拓哉／二役）を装うロイドの秘密に迫っていることも匂わされる。麻陽は星の身を案じ、これ以上自分の身辺を嗅ぎ回らないよう強く忠告するが、星は自分と同じように麻陽の身辺を探る葦母と接触を図る。一方、ロイドは黎士として大学の教壇に立ち講義を行うが、講義後、自分の体が徐々に異常をきたし始めていることを悟る。ロイドはサプライヤーのサプリ（本田翼）を呼び出し、修理を促すが、修復する為には初期化して記憶を全て消すしかないと言われ…。安堂ロイド／沫嶋黎士…木村拓哉（二役）  安堂"&amp;"麻陽…柴咲コウ   ○  沫嶋七瀬…大島優子  星　新造…桐谷健太  サプリ…本田翼  小松左京子…山口紗弥加  江戸川斗夢…ジェシー（ジャニーズJr.）  栗山　薫…山本美月  冨野好雪…日野陽仁  倉田朝晴…池田大  ○  謎の美少女…桐谷美玲  ○  葦母衣朔…遠藤憲一脚本：西荻弓絵  音楽：菅野祐悟  コンセプト/設定協力：庵野秀明　鶴巻和哉　前田真宏  制作プロデュース：長谷川晴彦（ROBOT）　　安田邦弘　　　　　  プロデュース：植田博樹　坪井敏雄  演出：坪井敏雄★番組HP  http:/"&amp;"/www.tbs.co.jp/ANDO-LLOYD/  ★PC用ホームページ  http://www.tbs.co.jp/smp/ANDO-LLOYD/  ★Twitter  https://twitter.com/LloydAndo  @LloydAndo  番組の内容と放送時間は変更になる場合があります。")</f>
        <v>親友だった暗殺者・ナビエ（藤本隆宏）との攻防を終えたロイド（木村拓哉）と麻陽（柴咲コウ）は、互いに消してはならない大切な記憶を抱えていることに共感し合う。そしてそんな二人の心の変化は奇妙な共同生活にも徐々に変化をもたらし、麻陽は親しみを込めて”ロイド”と呼び始める。そんな中、いつも通り会社に出社した麻陽は既に出勤していた部下の星（桐谷健太）から重傷を負って搬送されていた左京子（山口紗弥加）の父で刑事の葦母（遠藤憲一）が一命を取り留めたとの報告を受ける。だが、その報告と同時に麻陽は星から黎士の事故後の行動に関する矛盾点を指摘され、星が麻陽と黎士（木村拓哉／二役）を装うロイドの秘密に迫っていることも匂わされる。麻陽は星の身を案じ、これ以上自分の身辺を嗅ぎ回らないよう強く忠告するが、星は自分と同じように麻陽の身辺を探る葦母と接触を図る。一方、ロイドは黎士として大学の教壇に立ち講義を行うが、講義後、自分の体が徐々に異常をきたし始めていることを悟る。ロイドはサプライヤーのサプリ（本田翼）を呼び出し、修理を促すが、修復する為には初期化して記憶を全て消すしかないと言われ…。安堂ロイド／沫嶋黎士…木村拓哉（二役）  安堂麻陽…柴咲コウ   ○  沫嶋七瀬…大島優子  星　新造…桐谷健太  サプリ…本田翼  小松左京子…山口紗弥加  江戸川斗夢…ジェシー（ジャニーズJr.）  栗山　薫…山本美月  冨野好雪…日野陽仁  倉田朝晴…池田大  ○  謎の美少女…桐谷美玲  ○  葦母衣朔…遠藤憲一脚本：西荻弓絵  音楽：菅野祐悟  コンセプト/設定協力：庵野秀明　鶴巻和哉　前田真宏  制作プロデュース：長谷川晴彦（ROBOT）　　安田邦弘　　　　　  プロデュース：植田博樹　坪井敏雄  演出：坪井敏雄★番組HP  http://www.tbs.co.jp/ANDO-LLOYD/  ★PC用ホームページ  http://www.tbs.co.jp/smp/ANDO-LLOYD/  ★Twitter  https://twitter.com/LloydAndo  @LloydAndo  番組の内容と放送時間は変更になる場合があります。</v>
      </c>
      <c r="N5451" s="2"/>
      <c r="O5451" s="2"/>
      <c r="P5451" s="1"/>
      <c r="Q5451" s="1"/>
      <c r="R5451" s="1"/>
      <c r="S5451" s="1"/>
      <c r="T5451" s="1"/>
      <c r="U5451" s="1"/>
      <c r="V5451" s="1"/>
      <c r="W5451" s="1"/>
      <c r="X5451" s="1"/>
      <c r="Y5451" s="1"/>
      <c r="Z5451" s="1"/>
      <c r="AA5451" s="1"/>
      <c r="AB5451" s="1"/>
      <c r="AC5451" s="1"/>
      <c r="AD5451" s="1"/>
      <c r="AE5451" s="1"/>
      <c r="AF5451" s="1"/>
      <c r="AG5451" s="1"/>
      <c r="AH5451" s="1"/>
      <c r="AI5451" s="1"/>
      <c r="AJ5451" s="1"/>
      <c r="AK5451" s="1"/>
      <c r="AL5451" s="1"/>
      <c r="AM5451" s="1"/>
      <c r="AN5451" s="1"/>
      <c r="AO5451" s="1"/>
      <c r="AP5451" s="1"/>
      <c r="AQ5451" s="1"/>
      <c r="AR5451" s="1"/>
      <c r="AS5451" s="1"/>
      <c r="AT5451" s="1"/>
      <c r="AU5451" s="1"/>
      <c r="AV5451" s="1"/>
      <c r="AW5451" s="1"/>
      <c r="AX5451" s="1"/>
      <c r="AY5451" s="1"/>
      <c r="AZ5451" s="1"/>
      <c r="BA5451" s="1"/>
      <c r="BB5451" s="1"/>
    </row>
    <row r="5452" ht="204.75" customHeight="1">
      <c r="A5452" s="1">
        <v>3174.0</v>
      </c>
      <c r="B5452" s="2" t="s">
        <v>15025</v>
      </c>
      <c r="C5452" s="2">
        <f>IFERROR(__xludf.DUMMYFUNCTION("split(B5452,""_"")"),1310.0)</f>
        <v>1310</v>
      </c>
      <c r="D5452" s="2" t="str">
        <f>IFERROR(__xludf.DUMMYFUNCTION("""COMPUTED_VALUE"""),"TBS")</f>
        <v>TBS</v>
      </c>
      <c r="E5452" s="2" t="str">
        <f>IFERROR(__xludf.DUMMYFUNCTION("""COMPUTED_VALUE"""),"日21")</f>
        <v>日21</v>
      </c>
      <c r="F5452" s="2" t="s">
        <v>15026</v>
      </c>
      <c r="G5452" s="2" t="s">
        <v>15037</v>
      </c>
      <c r="H5452" s="1">
        <v>6.0</v>
      </c>
      <c r="J5452" s="1" t="s">
        <v>11</v>
      </c>
      <c r="K5452" s="2" t="s">
        <v>15038</v>
      </c>
      <c r="L5452" s="2"/>
      <c r="M5452" s="2" t="str">
        <f>IFERROR(__xludf.DUMMYFUNCTION("split(split(K5452,""【"",false),""公式LINE"",false)"),"自分たちのために命を落としたサプリ（本田翼）に思いを馳せるロイド（木村拓哉）と麻陽（柴咲コウ）。そんな二人のもとに麻陽の母・景子（名取裕子）が突然電話をかけてくる。景子は最近受けた健康診断で胸に白い影が見つかったと麻陽に報告。驚く麻陽に景子は余命幾ばくもないようなので、延期している黎士との結婚式を近日中にして欲しいと言い出す。当然、麻陽は無理だと即答するが、景子からとりあえず家族写真を撮るだけでもいいので花嫁姿を見せ欲しいと強引に押し切られてしまう。麻陽は仕方なくロイドに黎士（木村拓哉／二役）の振りをして"&amp;"一緒に結婚写真を撮るよう頼み、上京してきた景子を伴って、結婚式場でロイドと写真撮影に望む。安堂ロイド／沫嶋黎士…木村拓哉（二役）  安堂麻陽…柴咲コウ  ○  沫嶋七瀬…大島優子  星　新造…桐谷健太  小松左京子…山口紗弥加  江戸川斗夢…ジェシー（ジャニーズJr.）  栗山　薫…山本美月  冨野好雪…日野陽仁  倉田朝晴…池田大  ○  謎の美少女…桐谷美玲  ○  安堂景子…名取裕子（特別出演）  葦母衣朔…遠藤憲一  （6話ゲスト）  フレミング…岩井秀人  盛田守…高橋努脚本：西荻弓絵  音楽："&amp;"菅野祐悟  コンセプト/設定協力：庵野秀明　鶴巻和哉　前田真宏  制作プロデュース：長谷川晴彦（ROBOT）　　安田邦弘　　　　　  プロデュース：植田博樹　坪井敏雄  演出：波多野貴文★番組HP  http://www.tbs.co.jp/ANDO-LLOYD/  ★PC用ホームページ  http://www.tbs.co.jp/smp/ANDO-LLOYD/  ★Twitter  https://twitter.com/LloydAndo  @LloydAndo  番組の内容と放送時間は変更になる場合"&amp;"があります。")</f>
        <v>自分たちのために命を落としたサプリ（本田翼）に思いを馳せるロイド（木村拓哉）と麻陽（柴咲コウ）。そんな二人のもとに麻陽の母・景子（名取裕子）が突然電話をかけてくる。景子は最近受けた健康診断で胸に白い影が見つかったと麻陽に報告。驚く麻陽に景子は余命幾ばくもないようなので、延期している黎士との結婚式を近日中にして欲しいと言い出す。当然、麻陽は無理だと即答するが、景子からとりあえず家族写真を撮るだけでもいいので花嫁姿を見せ欲しいと強引に押し切られてしまう。麻陽は仕方なくロイドに黎士（木村拓哉／二役）の振りをして一緒に結婚写真を撮るよう頼み、上京してきた景子を伴って、結婚式場でロイドと写真撮影に望む。安堂ロイド／沫嶋黎士…木村拓哉（二役）  安堂麻陽…柴咲コウ  ○  沫嶋七瀬…大島優子  星　新造…桐谷健太  小松左京子…山口紗弥加  江戸川斗夢…ジェシー（ジャニーズJr.）  栗山　薫…山本美月  冨野好雪…日野陽仁  倉田朝晴…池田大  ○  謎の美少女…桐谷美玲  ○  安堂景子…名取裕子（特別出演）  葦母衣朔…遠藤憲一  （6話ゲスト）  フレミング…岩井秀人  盛田守…高橋努脚本：西荻弓絵  音楽：菅野祐悟  コンセプト/設定協力：庵野秀明　鶴巻和哉　前田真宏  制作プロデュース：長谷川晴彦（ROBOT）　　安田邦弘　　　　　  プロデュース：植田博樹　坪井敏雄  演出：波多野貴文★番組HP  http://www.tbs.co.jp/ANDO-LLOYD/  ★PC用ホームページ  http://www.tbs.co.jp/smp/ANDO-LLOYD/  ★Twitter  https://twitter.com/LloydAndo  @LloydAndo  番組の内容と放送時間は変更になる場合があります。</v>
      </c>
      <c r="N5452" s="2"/>
      <c r="O5452" s="2"/>
      <c r="P5452" s="1"/>
      <c r="Q5452" s="1"/>
      <c r="R5452" s="1"/>
      <c r="S5452" s="1"/>
      <c r="T5452" s="1"/>
      <c r="U5452" s="1"/>
      <c r="V5452" s="1"/>
      <c r="W5452" s="1"/>
      <c r="X5452" s="1"/>
      <c r="Y5452" s="1"/>
      <c r="Z5452" s="1"/>
      <c r="AA5452" s="1"/>
      <c r="AB5452" s="1"/>
      <c r="AC5452" s="1"/>
      <c r="AD5452" s="1"/>
      <c r="AE5452" s="1"/>
      <c r="AF5452" s="1"/>
      <c r="AG5452" s="1"/>
      <c r="AH5452" s="1"/>
      <c r="AI5452" s="1"/>
      <c r="AJ5452" s="1"/>
      <c r="AK5452" s="1"/>
      <c r="AL5452" s="1"/>
      <c r="AM5452" s="1"/>
      <c r="AN5452" s="1"/>
      <c r="AO5452" s="1"/>
      <c r="AP5452" s="1"/>
      <c r="AQ5452" s="1"/>
      <c r="AR5452" s="1"/>
      <c r="AS5452" s="1"/>
      <c r="AT5452" s="1"/>
      <c r="AU5452" s="1"/>
      <c r="AV5452" s="1"/>
      <c r="AW5452" s="1"/>
      <c r="AX5452" s="1"/>
      <c r="AY5452" s="1"/>
      <c r="AZ5452" s="1"/>
      <c r="BA5452" s="1"/>
      <c r="BB5452" s="1"/>
    </row>
    <row r="5453" ht="204.75" customHeight="1">
      <c r="A5453" s="1">
        <v>3175.0</v>
      </c>
      <c r="B5453" s="2" t="s">
        <v>15025</v>
      </c>
      <c r="C5453" s="2">
        <f>IFERROR(__xludf.DUMMYFUNCTION("split(B5453,""_"")"),1310.0)</f>
        <v>1310</v>
      </c>
      <c r="D5453" s="2" t="str">
        <f>IFERROR(__xludf.DUMMYFUNCTION("""COMPUTED_VALUE"""),"TBS")</f>
        <v>TBS</v>
      </c>
      <c r="E5453" s="2" t="str">
        <f>IFERROR(__xludf.DUMMYFUNCTION("""COMPUTED_VALUE"""),"日21")</f>
        <v>日21</v>
      </c>
      <c r="F5453" s="2" t="s">
        <v>15026</v>
      </c>
      <c r="G5453" s="2" t="s">
        <v>15039</v>
      </c>
      <c r="H5453" s="1">
        <v>7.0</v>
      </c>
      <c r="J5453" s="1" t="s">
        <v>11</v>
      </c>
      <c r="K5453" s="2" t="s">
        <v>15040</v>
      </c>
      <c r="L5453" s="2"/>
      <c r="M5453" s="2" t="str">
        <f>IFERROR(__xludf.DUMMYFUNCTION("split(split(K5453,""【"",false),""公式LINE"",false)"),"麻陽(柴咲コウ）を護るべく自分の意思で戦い始めたロイド（木村拓哉）だが、その矢先に内蔵システムが致命的なダメージを受け、麻陽の目の前で動かなくなってしまう。そこへ現れた刑事の葦母（遠藤憲一）は、家族が悲しむからと自分を撃たなかったロイドを助けてやりたいと、麻陽と共にロイドを麻陽のマンションへ運ぶ。  一方、葦母の新たな相棒で麻陽の部下の星（桐谷健太）は、公安上層部と面会し、故障したロイドを修理するふりをして殺すよう依頼されるのだが…。  ロイドの修理を行っていたサプリが消滅しまった状況下で、果たして麻陽は"&amp;"ロイドを修復することは出来るのか？安堂ロイド／沫嶋黎士…木村拓哉（二役）  安堂麻陽…柴咲コウ   ○  沫嶋七瀬…大島優子  星　新造…桐谷健太  江戸川斗夢…ジェシー（ジャニーズJr.）  栗山　薫…山本美月  倉田朝晴…池田大  ○  謎の美少女…桐谷美玲  ○  葦母衣朔…遠藤憲一  （7話ゲスト）  幹谷総一…鶴見辰吾  ケプラ…伊達暁  メンデル…谷田歩  石川…神尾佑脚本：西荻弓絵  音楽：菅野祐悟  コンセプト/設定協力：庵野秀明　鶴巻和哉　前田真宏  制作プロデュース：長谷川晴彦（ROB"&amp;"OT）　　安田邦弘  プロデュース：植田博樹　坪井敏雄  演出：坪井敏雄★番組HP  http://www.tbs.co.jp/ANDO-LLOYD/  ★スマートフォン・フィーチャーフォンの方はこちら  http://www.tbs.co.jp/smp/ANDO-LLOYD/★Twitter  https://twitter.com/LloydAndo  @LloydAndo  番組の内容と放送時間は変更になる場合があります。")</f>
        <v>麻陽(柴咲コウ）を護るべく自分の意思で戦い始めたロイド（木村拓哉）だが、その矢先に内蔵システムが致命的なダメージを受け、麻陽の目の前で動かなくなってしまう。そこへ現れた刑事の葦母（遠藤憲一）は、家族が悲しむからと自分を撃たなかったロイドを助けてやりたいと、麻陽と共にロイドを麻陽のマンションへ運ぶ。  一方、葦母の新たな相棒で麻陽の部下の星（桐谷健太）は、公安上層部と面会し、故障したロイドを修理するふりをして殺すよう依頼されるのだが…。  ロイドの修理を行っていたサプリが消滅しまった状況下で、果たして麻陽はロイドを修復することは出来るのか？安堂ロイド／沫嶋黎士…木村拓哉（二役）  安堂麻陽…柴咲コウ   ○  沫嶋七瀬…大島優子  星　新造…桐谷健太  江戸川斗夢…ジェシー（ジャニーズJr.）  栗山　薫…山本美月  倉田朝晴…池田大  ○  謎の美少女…桐谷美玲  ○  葦母衣朔…遠藤憲一  （7話ゲスト）  幹谷総一…鶴見辰吾  ケプラ…伊達暁  メンデル…谷田歩  石川…神尾佑脚本：西荻弓絵  音楽：菅野祐悟  コンセプト/設定協力：庵野秀明　鶴巻和哉　前田真宏  制作プロデュース：長谷川晴彦（ROBOT）　　安田邦弘  プロデュース：植田博樹　坪井敏雄  演出：坪井敏雄★番組HP  http://www.tbs.co.jp/ANDO-LLOYD/  ★スマートフォン・フィーチャーフォンの方はこちら  http://www.tbs.co.jp/smp/ANDO-LLOYD/★Twitter  https://twitter.com/LloydAndo  @LloydAndo  番組の内容と放送時間は変更になる場合があります。</v>
      </c>
      <c r="N5453" s="2"/>
      <c r="O5453" s="2"/>
      <c r="P5453" s="1"/>
      <c r="Q5453" s="1"/>
      <c r="R5453" s="1"/>
      <c r="S5453" s="1"/>
      <c r="T5453" s="1"/>
      <c r="U5453" s="1"/>
      <c r="V5453" s="1"/>
      <c r="W5453" s="1"/>
      <c r="X5453" s="1"/>
      <c r="Y5453" s="1"/>
      <c r="Z5453" s="1"/>
      <c r="AA5453" s="1"/>
      <c r="AB5453" s="1"/>
      <c r="AC5453" s="1"/>
      <c r="AD5453" s="1"/>
      <c r="AE5453" s="1"/>
      <c r="AF5453" s="1"/>
      <c r="AG5453" s="1"/>
      <c r="AH5453" s="1"/>
      <c r="AI5453" s="1"/>
      <c r="AJ5453" s="1"/>
      <c r="AK5453" s="1"/>
      <c r="AL5453" s="1"/>
      <c r="AM5453" s="1"/>
      <c r="AN5453" s="1"/>
      <c r="AO5453" s="1"/>
      <c r="AP5453" s="1"/>
      <c r="AQ5453" s="1"/>
      <c r="AR5453" s="1"/>
      <c r="AS5453" s="1"/>
      <c r="AT5453" s="1"/>
      <c r="AU5453" s="1"/>
      <c r="AV5453" s="1"/>
      <c r="AW5453" s="1"/>
      <c r="AX5453" s="1"/>
      <c r="AY5453" s="1"/>
      <c r="AZ5453" s="1"/>
      <c r="BA5453" s="1"/>
      <c r="BB5453" s="1"/>
    </row>
    <row r="5454" ht="204.75" customHeight="1">
      <c r="A5454" s="1">
        <v>3176.0</v>
      </c>
      <c r="B5454" s="2" t="s">
        <v>15025</v>
      </c>
      <c r="C5454" s="2">
        <f>IFERROR(__xludf.DUMMYFUNCTION("split(B5454,""_"")"),1310.0)</f>
        <v>1310</v>
      </c>
      <c r="D5454" s="2" t="str">
        <f>IFERROR(__xludf.DUMMYFUNCTION("""COMPUTED_VALUE"""),"TBS")</f>
        <v>TBS</v>
      </c>
      <c r="E5454" s="2" t="str">
        <f>IFERROR(__xludf.DUMMYFUNCTION("""COMPUTED_VALUE"""),"日21")</f>
        <v>日21</v>
      </c>
      <c r="F5454" s="2" t="s">
        <v>15026</v>
      </c>
      <c r="G5454" s="2" t="s">
        <v>15041</v>
      </c>
      <c r="H5454" s="1">
        <v>8.0</v>
      </c>
      <c r="J5454" s="1" t="s">
        <v>11</v>
      </c>
      <c r="K5454" s="2" t="s">
        <v>15042</v>
      </c>
      <c r="L5454" s="2"/>
      <c r="M5454" s="2" t="str">
        <f>IFERROR(__xludf.DUMMYFUNCTION("split(split(K5454,""【"",false),""公式LINE"",false)"),"内蔵システムが回復し、ようやく意識を取り戻したロイド（木村拓哉）。しかし、麻陽（柴咲コウ）と過ごした記憶は全て失っていた！！  　初めて会った時のように冷酷な態度のロイドに愕然となる麻陽だったが、それでも記憶は消えていないと信じる麻陽は、心強い味方となった刑事の葦母（遠藤憲一）と麻陽の部下の星（桐谷健太）と共にロイドの記憶が戻る方法を探し始める。果たしてロイドは麻陽と築いてきた今までの記憶や未来での記憶を取り戻すことは出来るのだろうか…。  　ロイドの前についにあの謎の美少女が姿を現すが果たして彼女は何者"&amp;"なのか…。安堂ロイド／沫嶋黎士…木村拓哉（二役）  安堂麻陽…柴咲コウ   ○  沫嶋七瀬…大島優子  星　新造…桐谷健太  サプリ…本田翼  小松左京子…山口紗弥加  江戸川斗夢…ジェシー（ジャニーズJr.）  栗山　薫…山本美月  倉田朝晴…池田大  ○  謎の美少女…桐谷美玲  角城　元…平岡祐太  ○  葦母衣朔…遠藤憲一    （8話ゲスト）  幹谷総一…鶴見辰吾  大物政治家…井上真樹夫  医者…嶋田久作脚本：泉澤陽子  音楽：菅野祐悟  コンセプト/設定協力：庵野秀明　鶴巻和哉　前田真宏  "&amp;"制作プロデュース：長谷川晴彦（ROBOT）　　安田邦弘  プロデュース：植田博樹　坪井敏雄  演出：波多野貴文★番組HP  http://www.tbs.co.jp/ANDO-LLOYD/  ★スマートフォン・フィーチャーフォンの方はこちら  http://www.tbs.co.jp/smp/ANDO-LLOYD/★Twitter  https://twitter.com/LloydAndo  @LloydAndo  番組の内容と放送時間は変更になる場合があります。")</f>
        <v>内蔵システムが回復し、ようやく意識を取り戻したロイド（木村拓哉）。しかし、麻陽（柴咲コウ）と過ごした記憶は全て失っていた！！  　初めて会った時のように冷酷な態度のロイドに愕然となる麻陽だったが、それでも記憶は消えていないと信じる麻陽は、心強い味方となった刑事の葦母（遠藤憲一）と麻陽の部下の星（桐谷健太）と共にロイドの記憶が戻る方法を探し始める。果たしてロイドは麻陽と築いてきた今までの記憶や未来での記憶を取り戻すことは出来るのだろうか…。  　ロイドの前についにあの謎の美少女が姿を現すが果たして彼女は何者なのか…。安堂ロイド／沫嶋黎士…木村拓哉（二役）  安堂麻陽…柴咲コウ   ○  沫嶋七瀬…大島優子  星　新造…桐谷健太  サプリ…本田翼  小松左京子…山口紗弥加  江戸川斗夢…ジェシー（ジャニーズJr.）  栗山　薫…山本美月  倉田朝晴…池田大  ○  謎の美少女…桐谷美玲  角城　元…平岡祐太  ○  葦母衣朔…遠藤憲一    （8話ゲスト）  幹谷総一…鶴見辰吾  大物政治家…井上真樹夫  医者…嶋田久作脚本：泉澤陽子  音楽：菅野祐悟  コンセプト/設定協力：庵野秀明　鶴巻和哉　前田真宏  制作プロデュース：長谷川晴彦（ROBOT）　　安田邦弘  プロデュース：植田博樹　坪井敏雄  演出：波多野貴文★番組HP  http://www.tbs.co.jp/ANDO-LLOYD/  ★スマートフォン・フィーチャーフォンの方はこちら  http://www.tbs.co.jp/smp/ANDO-LLOYD/★Twitter  https://twitter.com/LloydAndo  @LloydAndo  番組の内容と放送時間は変更になる場合があります。</v>
      </c>
      <c r="N5454" s="2"/>
      <c r="O5454" s="2"/>
      <c r="P5454" s="1"/>
      <c r="Q5454" s="1"/>
      <c r="R5454" s="1"/>
      <c r="S5454" s="1"/>
      <c r="T5454" s="1"/>
      <c r="U5454" s="1"/>
      <c r="V5454" s="1"/>
      <c r="W5454" s="1"/>
      <c r="X5454" s="1"/>
      <c r="Y5454" s="1"/>
      <c r="Z5454" s="1"/>
      <c r="AA5454" s="1"/>
      <c r="AB5454" s="1"/>
      <c r="AC5454" s="1"/>
      <c r="AD5454" s="1"/>
      <c r="AE5454" s="1"/>
      <c r="AF5454" s="1"/>
      <c r="AG5454" s="1"/>
      <c r="AH5454" s="1"/>
      <c r="AI5454" s="1"/>
      <c r="AJ5454" s="1"/>
      <c r="AK5454" s="1"/>
      <c r="AL5454" s="1"/>
      <c r="AM5454" s="1"/>
      <c r="AN5454" s="1"/>
      <c r="AO5454" s="1"/>
      <c r="AP5454" s="1"/>
      <c r="AQ5454" s="1"/>
      <c r="AR5454" s="1"/>
      <c r="AS5454" s="1"/>
      <c r="AT5454" s="1"/>
      <c r="AU5454" s="1"/>
      <c r="AV5454" s="1"/>
      <c r="AW5454" s="1"/>
      <c r="AX5454" s="1"/>
      <c r="AY5454" s="1"/>
      <c r="AZ5454" s="1"/>
      <c r="BA5454" s="1"/>
      <c r="BB5454" s="1"/>
    </row>
    <row r="5455" ht="204.75" customHeight="1">
      <c r="A5455" s="1">
        <v>3177.0</v>
      </c>
      <c r="B5455" s="2" t="s">
        <v>15025</v>
      </c>
      <c r="C5455" s="2">
        <f>IFERROR(__xludf.DUMMYFUNCTION("split(B5455,""_"")"),1310.0)</f>
        <v>1310</v>
      </c>
      <c r="D5455" s="2" t="str">
        <f>IFERROR(__xludf.DUMMYFUNCTION("""COMPUTED_VALUE"""),"TBS")</f>
        <v>TBS</v>
      </c>
      <c r="E5455" s="2" t="str">
        <f>IFERROR(__xludf.DUMMYFUNCTION("""COMPUTED_VALUE"""),"日21")</f>
        <v>日21</v>
      </c>
      <c r="F5455" s="2" t="s">
        <v>15026</v>
      </c>
      <c r="G5455" s="2" t="s">
        <v>15043</v>
      </c>
      <c r="H5455" s="1">
        <v>9.0</v>
      </c>
      <c r="J5455" s="1" t="s">
        <v>11</v>
      </c>
      <c r="K5455" s="2" t="s">
        <v>15044</v>
      </c>
      <c r="L5455" s="2"/>
      <c r="M5455" s="2" t="str">
        <f>IFERROR(__xludf.DUMMYFUNCTION("split(split(K5455,""【"",false),""公式LINE"",false)"),"もう一つの人格“レイコ”に体を乗っ取られた七瀬が、入院していた精神病院から逃亡。麻陽はロイドや沫嶋研究室の助手たちと手分けして七瀬を探す。  しかし、そんな麻陽をまたしても暗殺者・ケプラとメンデルが襲う。麻陽を護るべく、最後の注射器で“アスラシステム”を起動させて戦うロイドだが、とどめを刺す前に敵に逃げられ、ロイド自身も重傷を負ってしまう。一方、沫嶋研究室では、手がかりを得るため助手たちが七瀬のパソコンを開いていたが、その中に3人が見たものとは……。安堂ロイド／沫嶋黎士…木村拓哉（二役）  安堂麻陽…柴咲"&amp;"コウ   ○  沫嶋七瀬…大島優子  星　新造…桐谷健太  サプリ…本田　翼  小松左京子…山口紗弥加  江戸川斗夢…ジェシー（ジャニーズJr.）  栗山　薫…山本美月  倉田朝晴…池田　大  ○  謎の美少女…桐谷美玲  角城　元…平岡祐太  ○  葦母衣朔…遠藤憲一（9話ゲスト）  幹谷総一…鶴見辰吾  大物政治家…井上真樹夫  ケプラ…伊達暁  メンデル…谷田歩脚本：泉澤陽子  音楽：菅野祐悟  コンセプト/設定協力：庵野秀明　鶴巻和哉　前田真宏  制作プロデュース：長谷川晴彦（ROBOT）　　安田"&amp;"邦弘  プロデュース：植田博樹　坪井敏雄  演出：木村ひさし★番組HP  http://www.tbs.co.jp/ANDO-LLOYD/  ★スマートフォン・フィーチャーフォンの方はこちら  http://www.tbs.co.jp/smp/ANDO-LLOYD/★Twitter  https://twitter.com/LloydAndo  @LloydAndo  番組の内容と放送時間は変更になる場合があります。")</f>
        <v>もう一つの人格“レイコ”に体を乗っ取られた七瀬が、入院していた精神病院から逃亡。麻陽はロイドや沫嶋研究室の助手たちと手分けして七瀬を探す。  しかし、そんな麻陽をまたしても暗殺者・ケプラとメンデルが襲う。麻陽を護るべく、最後の注射器で“アスラシステム”を起動させて戦うロイドだが、とどめを刺す前に敵に逃げられ、ロイド自身も重傷を負ってしまう。一方、沫嶋研究室では、手がかりを得るため助手たちが七瀬のパソコンを開いていたが、その中に3人が見たものとは……。安堂ロイド／沫嶋黎士…木村拓哉（二役）  安堂麻陽…柴咲コウ   ○  沫嶋七瀬…大島優子  星　新造…桐谷健太  サプリ…本田　翼  小松左京子…山口紗弥加  江戸川斗夢…ジェシー（ジャニーズJr.）  栗山　薫…山本美月  倉田朝晴…池田　大  ○  謎の美少女…桐谷美玲  角城　元…平岡祐太  ○  葦母衣朔…遠藤憲一（9話ゲスト）  幹谷総一…鶴見辰吾  大物政治家…井上真樹夫  ケプラ…伊達暁  メンデル…谷田歩脚本：泉澤陽子  音楽：菅野祐悟  コンセプト/設定協力：庵野秀明　鶴巻和哉　前田真宏  制作プロデュース：長谷川晴彦（ROBOT）　　安田邦弘  プロデュース：植田博樹　坪井敏雄  演出：木村ひさし★番組HP  http://www.tbs.co.jp/ANDO-LLOYD/  ★スマートフォン・フィーチャーフォンの方はこちら  http://www.tbs.co.jp/smp/ANDO-LLOYD/★Twitter  https://twitter.com/LloydAndo  @LloydAndo  番組の内容と放送時間は変更になる場合があります。</v>
      </c>
      <c r="N5455" s="2"/>
      <c r="O5455" s="2"/>
      <c r="P5455" s="1"/>
      <c r="Q5455" s="1"/>
      <c r="R5455" s="1"/>
      <c r="S5455" s="1"/>
      <c r="T5455" s="1"/>
      <c r="U5455" s="1"/>
      <c r="V5455" s="1"/>
      <c r="W5455" s="1"/>
      <c r="X5455" s="1"/>
      <c r="Y5455" s="1"/>
      <c r="Z5455" s="1"/>
      <c r="AA5455" s="1"/>
      <c r="AB5455" s="1"/>
      <c r="AC5455" s="1"/>
      <c r="AD5455" s="1"/>
      <c r="AE5455" s="1"/>
      <c r="AF5455" s="1"/>
      <c r="AG5455" s="1"/>
      <c r="AH5455" s="1"/>
      <c r="AI5455" s="1"/>
      <c r="AJ5455" s="1"/>
      <c r="AK5455" s="1"/>
      <c r="AL5455" s="1"/>
      <c r="AM5455" s="1"/>
      <c r="AN5455" s="1"/>
      <c r="AO5455" s="1"/>
      <c r="AP5455" s="1"/>
      <c r="AQ5455" s="1"/>
      <c r="AR5455" s="1"/>
      <c r="AS5455" s="1"/>
      <c r="AT5455" s="1"/>
      <c r="AU5455" s="1"/>
      <c r="AV5455" s="1"/>
      <c r="AW5455" s="1"/>
      <c r="AX5455" s="1"/>
      <c r="AY5455" s="1"/>
      <c r="AZ5455" s="1"/>
      <c r="BA5455" s="1"/>
      <c r="BB5455" s="1"/>
    </row>
    <row r="5456" ht="204.75" customHeight="1">
      <c r="A5456" s="1">
        <v>3178.0</v>
      </c>
      <c r="B5456" s="2" t="s">
        <v>15025</v>
      </c>
      <c r="C5456" s="2">
        <f>IFERROR(__xludf.DUMMYFUNCTION("split(B5456,""_"")"),1310.0)</f>
        <v>1310</v>
      </c>
      <c r="D5456" s="2" t="str">
        <f>IFERROR(__xludf.DUMMYFUNCTION("""COMPUTED_VALUE"""),"TBS")</f>
        <v>TBS</v>
      </c>
      <c r="E5456" s="2" t="str">
        <f>IFERROR(__xludf.DUMMYFUNCTION("""COMPUTED_VALUE"""),"日21")</f>
        <v>日21</v>
      </c>
      <c r="F5456" s="2" t="s">
        <v>15026</v>
      </c>
      <c r="G5456" s="2" t="s">
        <v>15045</v>
      </c>
      <c r="H5456" s="1">
        <v>10.0</v>
      </c>
      <c r="J5456" s="1" t="s">
        <v>11</v>
      </c>
      <c r="K5456" s="2" t="s">
        <v>15046</v>
      </c>
      <c r="L5456" s="2"/>
      <c r="M5456" s="2" t="str">
        <f>IFERROR(__xludf.DUMMYFUNCTION("split(split(K5456,""【"",false),""公式LINE"",false)"),"未来からのポリスクラウドのアンドロイドたちを操り、更には現代の公安上層部や政治家たちをも翻弄して自らの野望を実現しようと目論む謎の美少女こと“ARXIX－THE　LAST　QUEEN”(以降“LQ”)（桐谷美玲）。沫嶋黎士（木村拓哉）の妹・七瀬（大島優子）の凶悪な別人格“沫嶋黎子”が生み出したとされるLQはついに自ら牙を剥き、安堂麻陽（柴咲コウ）の味方である七瀬、葦母（遠藤憲一）、星（桐谷健太）らを立て続けに襲撃。そんなLQの野望を阻止すべく、ロイド（木村拓哉／二役）はLQに戦いを挑むが、ロイドより全ての"&amp;"能力が上回るとされる最強のアンドロイドLQを相手に戦闘OS“アスラシステム”を起動させる術を失ったロイドはどう戦いを挑んでいくのか・・・。安堂ロイド／沫嶋黎士…木村拓哉（二役）  安堂麻陽…柴咲コウ   ○  沫嶋七瀬…大島優子  星　新造…桐谷健太  サプリ…本田翼  小松左京子…山口紗弥加  江戸川斗夢…ジェシー（ジャニーズJr.）  栗山　薫…山本美月  倉田朝晴…池田大  ○  謎の美少女…桐谷美玲  角城　元…平岡祐太  ○  葦母衣朔…遠藤憲一  安堂景子…名取裕子（最終話ゲスト）  幹谷総一"&amp;"…鶴見辰吾  大物政治家…井上真樹夫  メンデル…谷田歩脚本：泉澤陽子  音楽：菅野祐悟  コンセプト/設定協力：庵野秀明　鶴巻和哉　前田真宏  制作プロデュース：長谷川晴彦（ROBOT）　　安田邦弘　　　　　  プロデュース：植田博樹　坪井敏雄  演出：波多野貴文★番組HP  http://www.tbs.co.jp/ANDO-LLOYD/  ★スマートフォン・フィーチャーフォンの方はこちら  http://www.tbs.co.jp/smp/ANDO-LLOYD/★Twitter  https://t"&amp;"witter.com/LloydAndo  @LloydAndo  番組の内容と放送時間は変更になる場合があります。")</f>
        <v>未来からのポリスクラウドのアンドロイドたちを操り、更には現代の公安上層部や政治家たちをも翻弄して自らの野望を実現しようと目論む謎の美少女こと“ARXIX－THE　LAST　QUEEN”(以降“LQ”)（桐谷美玲）。沫嶋黎士（木村拓哉）の妹・七瀬（大島優子）の凶悪な別人格“沫嶋黎子”が生み出したとされるLQはついに自ら牙を剥き、安堂麻陽（柴咲コウ）の味方である七瀬、葦母（遠藤憲一）、星（桐谷健太）らを立て続けに襲撃。そんなLQの野望を阻止すべく、ロイド（木村拓哉／二役）はLQに戦いを挑むが、ロイドより全ての能力が上回るとされる最強のアンドロイドLQを相手に戦闘OS“アスラシステム”を起動させる術を失ったロイドはどう戦いを挑んでいくのか・・・。安堂ロイド／沫嶋黎士…木村拓哉（二役）  安堂麻陽…柴咲コウ   ○  沫嶋七瀬…大島優子  星　新造…桐谷健太  サプリ…本田翼  小松左京子…山口紗弥加  江戸川斗夢…ジェシー（ジャニーズJr.）  栗山　薫…山本美月  倉田朝晴…池田大  ○  謎の美少女…桐谷美玲  角城　元…平岡祐太  ○  葦母衣朔…遠藤憲一  安堂景子…名取裕子（最終話ゲスト）  幹谷総一…鶴見辰吾  大物政治家…井上真樹夫  メンデル…谷田歩脚本：泉澤陽子  音楽：菅野祐悟  コンセプト/設定協力：庵野秀明　鶴巻和哉　前田真宏  制作プロデュース：長谷川晴彦（ROBOT）　　安田邦弘　　　　　  プロデュース：植田博樹　坪井敏雄  演出：波多野貴文★番組HP  http://www.tbs.co.jp/ANDO-LLOYD/  ★スマートフォン・フィーチャーフォンの方はこちら  http://www.tbs.co.jp/smp/ANDO-LLOYD/★Twitter  https://twitter.com/LloydAndo  @LloydAndo  番組の内容と放送時間は変更になる場合があります。</v>
      </c>
      <c r="N5456" s="2"/>
      <c r="O5456" s="2"/>
      <c r="P5456" s="1"/>
      <c r="Q5456" s="1"/>
      <c r="R5456" s="1"/>
      <c r="S5456" s="1"/>
      <c r="T5456" s="1"/>
      <c r="U5456" s="1"/>
      <c r="V5456" s="1"/>
      <c r="W5456" s="1"/>
      <c r="X5456" s="1"/>
      <c r="Y5456" s="1"/>
      <c r="Z5456" s="1"/>
      <c r="AA5456" s="1"/>
      <c r="AB5456" s="1"/>
      <c r="AC5456" s="1"/>
      <c r="AD5456" s="1"/>
      <c r="AE5456" s="1"/>
      <c r="AF5456" s="1"/>
      <c r="AG5456" s="1"/>
      <c r="AH5456" s="1"/>
      <c r="AI5456" s="1"/>
      <c r="AJ5456" s="1"/>
      <c r="AK5456" s="1"/>
      <c r="AL5456" s="1"/>
      <c r="AM5456" s="1"/>
      <c r="AN5456" s="1"/>
      <c r="AO5456" s="1"/>
      <c r="AP5456" s="1"/>
      <c r="AQ5456" s="1"/>
      <c r="AR5456" s="1"/>
      <c r="AS5456" s="1"/>
      <c r="AT5456" s="1"/>
      <c r="AU5456" s="1"/>
      <c r="AV5456" s="1"/>
      <c r="AW5456" s="1"/>
      <c r="AX5456" s="1"/>
      <c r="AY5456" s="1"/>
      <c r="AZ5456" s="1"/>
      <c r="BA5456" s="1"/>
      <c r="BB5456" s="1"/>
    </row>
    <row r="5457" ht="204.75" customHeight="1">
      <c r="A5457" s="1">
        <v>3179.0</v>
      </c>
      <c r="B5457" s="2" t="s">
        <v>15047</v>
      </c>
      <c r="C5457" s="2">
        <f>IFERROR(__xludf.DUMMYFUNCTION("split(B5457,""_"")"),1307.0)</f>
        <v>1307</v>
      </c>
      <c r="D5457" s="2" t="str">
        <f>IFERROR(__xludf.DUMMYFUNCTION("""COMPUTED_VALUE"""),"TBS")</f>
        <v>TBS</v>
      </c>
      <c r="E5457" s="2" t="str">
        <f>IFERROR(__xludf.DUMMYFUNCTION("""COMPUTED_VALUE"""),"月20")</f>
        <v>月20</v>
      </c>
      <c r="F5457" s="2" t="s">
        <v>15048</v>
      </c>
      <c r="G5457" s="2" t="s">
        <v>15049</v>
      </c>
      <c r="H5457" s="1">
        <v>1.0</v>
      </c>
      <c r="J5457" s="1" t="s">
        <v>7151</v>
      </c>
      <c r="K5457" s="2" t="s">
        <v>15050</v>
      </c>
      <c r="L5457" s="2"/>
      <c r="M5457" s="2" t="str">
        <f>IFERROR(__xludf.DUMMYFUNCTION("split(split(K5457,""【"",false),""公式LINE"",false)"),"杉村（小泉孝太郎）は、ひょんなことから、梶田聡美（深田恭子）の父が死んだ事件に巻き込まれていく。果たして父が死んだのは事故か殺人か！杉村の調査が始まるが、次第に新たな事実も出てきて・・・。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amp;"村三郎…小泉孝太郎    ◆   梶田聡美…深田恭子   ◆    杉村菜穂子…国仲涼子  梶田梨子…南沢奈央  手島雄一郎…ムロツヨシ   浜田利和…高橋光臣  椎名遥…岡本玲   加西新…森崎ウィン   杉村正子…木野花   水田（睡蓮マスター）…本田博太郎   梶田信夫…平田満  園田瑛子…室井滋   今多嘉親…平幹二朗月曜20時『名もなき毒』WEB限定オフショット企画「森崎ウィンの""あるある""毒の人！」(1)  http://youtu.be/FZ6JrBBvf8s  原作…宮部みゆき  「誰"&amp;"か　Somebody」「名もなき毒」（文春文庫）  脚本…神山由美子  （『大奥』『美しい隣人』ほか）   制作…那須田淳チーフプロデューサー…橋本孝  プロデューサー…鈴木早苗　橘康仁  演出…塚原あゆ子　金子文紀　山本剛義　竹村謙太郎")</f>
        <v>杉村（小泉孝太郎）は、ひょんなことから、梶田聡美（深田恭子）の父が死んだ事件に巻き込まれていく。果たして父が死んだのは事故か殺人か！杉村の調査が始まるが、次第に新たな事実も出てきて・・・。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   梶田聡美…深田恭子   ◆    杉村菜穂子…国仲涼子  梶田梨子…南沢奈央  手島雄一郎…ムロツヨシ   浜田利和…高橋光臣  椎名遥…岡本玲   加西新…森崎ウィン   杉村正子…木野花   水田（睡蓮マスター）…本田博太郎   梶田信夫…平田満  園田瑛子…室井滋   今多嘉親…平幹二朗月曜20時『名もなき毒』WEB限定オフショット企画「森崎ウィンの"あるある"毒の人！」(1)  http://youtu.be/FZ6JrBBvf8s  原作…宮部みゆき  「誰か　Somebody」「名もなき毒」（文春文庫）  脚本…神山由美子  （『大奥』『美しい隣人』ほか）   制作…那須田淳チーフプロデューサー…橋本孝  プロデューサー…鈴木早苗　橘康仁  演出…塚原あゆ子　金子文紀　山本剛義　竹村謙太郎</v>
      </c>
      <c r="N5457" s="2"/>
      <c r="O5457" s="2"/>
      <c r="P5457" s="1"/>
      <c r="Q5457" s="1"/>
      <c r="R5457" s="1"/>
      <c r="S5457" s="1"/>
      <c r="T5457" s="1"/>
      <c r="U5457" s="1"/>
      <c r="V5457" s="1"/>
      <c r="W5457" s="1"/>
      <c r="X5457" s="1"/>
      <c r="Y5457" s="1"/>
      <c r="Z5457" s="1"/>
      <c r="AA5457" s="1"/>
      <c r="AB5457" s="1"/>
      <c r="AC5457" s="1"/>
      <c r="AD5457" s="1"/>
      <c r="AE5457" s="1"/>
      <c r="AF5457" s="1"/>
      <c r="AG5457" s="1"/>
      <c r="AH5457" s="1"/>
      <c r="AI5457" s="1"/>
      <c r="AJ5457" s="1"/>
      <c r="AK5457" s="1"/>
      <c r="AL5457" s="1"/>
      <c r="AM5457" s="1"/>
      <c r="AN5457" s="1"/>
      <c r="AO5457" s="1"/>
      <c r="AP5457" s="1"/>
      <c r="AQ5457" s="1"/>
      <c r="AR5457" s="1"/>
      <c r="AS5457" s="1"/>
      <c r="AT5457" s="1"/>
      <c r="AU5457" s="1"/>
      <c r="AV5457" s="1"/>
      <c r="AW5457" s="1"/>
      <c r="AX5457" s="1"/>
      <c r="AY5457" s="1"/>
      <c r="AZ5457" s="1"/>
      <c r="BA5457" s="1"/>
      <c r="BB5457" s="1"/>
    </row>
    <row r="5458" ht="204.75" customHeight="1">
      <c r="A5458" s="1">
        <v>3180.0</v>
      </c>
      <c r="B5458" s="2" t="s">
        <v>15047</v>
      </c>
      <c r="C5458" s="2">
        <f>IFERROR(__xludf.DUMMYFUNCTION("split(B5458,""_"")"),1307.0)</f>
        <v>1307</v>
      </c>
      <c r="D5458" s="2" t="str">
        <f>IFERROR(__xludf.DUMMYFUNCTION("""COMPUTED_VALUE"""),"TBS")</f>
        <v>TBS</v>
      </c>
      <c r="E5458" s="2" t="str">
        <f>IFERROR(__xludf.DUMMYFUNCTION("""COMPUTED_VALUE"""),"月20")</f>
        <v>月20</v>
      </c>
      <c r="F5458" s="2" t="s">
        <v>15048</v>
      </c>
      <c r="G5458" s="2" t="s">
        <v>15051</v>
      </c>
      <c r="H5458" s="1">
        <v>2.0</v>
      </c>
      <c r="J5458" s="1" t="s">
        <v>7151</v>
      </c>
      <c r="K5458" s="2" t="s">
        <v>15052</v>
      </c>
      <c r="L5458" s="2"/>
      <c r="M5458" s="2" t="str">
        <f>IFERROR(__xludf.DUMMYFUNCTION("split(split(K5458,""【"",false),""公式LINE"",false)"),"杉村（小泉孝太郎）は、聡美（深田恭子）から「父は殺されたのかもしれない」と打ち明けられる。聡美の「幼い頃誘拐された」という記憶を辿り、調査を進める杉村だが…。杉村三郎…小泉孝太郎    ◆   梶田聡美…深田恭子   ◆    杉村菜穂子…国仲涼子  梶田梨子…南沢奈央  手島雄一郎…ムロツヨシ  浜田利和…高橋光臣  椎名遥…岡本玲   加西新…森崎ウィン    友野栄次郎…織本順吉  卯月刑事…菅原大吉  梶田弥生…相築あきこ    水田（睡蓮マスター）…本田博太郎   梶田信夫…平田満  園田瑛子…"&amp;"室井滋   今多嘉親…平幹二朗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原作…宮部みゆき  「誰か　Somebody」「名もなき毒」（文春文庫）  脚本…神山由美子  （『大奥』『美しい隣人』ほか）   制作…那須田淳チーフプロデュ"&amp;"ーサー…橋本孝  プロデューサー…鈴木早苗　橘康仁  演出…塚原あゆ子")</f>
        <v>杉村（小泉孝太郎）は、聡美（深田恭子）から「父は殺されたのかもしれない」と打ち明けられる。聡美の「幼い頃誘拐された」という記憶を辿り、調査を進める杉村だが…。杉村三郎…小泉孝太郎    ◆   梶田聡美…深田恭子   ◆    杉村菜穂子…国仲涼子  梶田梨子…南沢奈央  手島雄一郎…ムロツヨシ  浜田利和…高橋光臣  椎名遥…岡本玲   加西新…森崎ウィン    友野栄次郎…織本順吉  卯月刑事…菅原大吉  梶田弥生…相築あきこ    水田（睡蓮マスター）…本田博太郎   梶田信夫…平田満  園田瑛子…室井滋   今多嘉親…平幹二朗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原作…宮部みゆき  「誰か　Somebody」「名もなき毒」（文春文庫）  脚本…神山由美子  （『大奥』『美しい隣人』ほか）   制作…那須田淳チーフプロデューサー…橋本孝  プロデューサー…鈴木早苗　橘康仁  演出…塚原あゆ子</v>
      </c>
      <c r="N5458" s="2"/>
      <c r="O5458" s="2"/>
      <c r="P5458" s="1"/>
      <c r="Q5458" s="1"/>
      <c r="R5458" s="1"/>
      <c r="S5458" s="1"/>
      <c r="T5458" s="1"/>
      <c r="U5458" s="1"/>
      <c r="V5458" s="1"/>
      <c r="W5458" s="1"/>
      <c r="X5458" s="1"/>
      <c r="Y5458" s="1"/>
      <c r="Z5458" s="1"/>
      <c r="AA5458" s="1"/>
      <c r="AB5458" s="1"/>
      <c r="AC5458" s="1"/>
      <c r="AD5458" s="1"/>
      <c r="AE5458" s="1"/>
      <c r="AF5458" s="1"/>
      <c r="AG5458" s="1"/>
      <c r="AH5458" s="1"/>
      <c r="AI5458" s="1"/>
      <c r="AJ5458" s="1"/>
      <c r="AK5458" s="1"/>
      <c r="AL5458" s="1"/>
      <c r="AM5458" s="1"/>
      <c r="AN5458" s="1"/>
      <c r="AO5458" s="1"/>
      <c r="AP5458" s="1"/>
      <c r="AQ5458" s="1"/>
      <c r="AR5458" s="1"/>
      <c r="AS5458" s="1"/>
      <c r="AT5458" s="1"/>
      <c r="AU5458" s="1"/>
      <c r="AV5458" s="1"/>
      <c r="AW5458" s="1"/>
      <c r="AX5458" s="1"/>
      <c r="AY5458" s="1"/>
      <c r="AZ5458" s="1"/>
      <c r="BA5458" s="1"/>
      <c r="BB5458" s="1"/>
    </row>
    <row r="5459" ht="204.75" customHeight="1">
      <c r="A5459" s="1">
        <v>3181.0</v>
      </c>
      <c r="B5459" s="2" t="s">
        <v>15047</v>
      </c>
      <c r="C5459" s="2">
        <f>IFERROR(__xludf.DUMMYFUNCTION("split(B5459,""_"")"),1307.0)</f>
        <v>1307</v>
      </c>
      <c r="D5459" s="2" t="str">
        <f>IFERROR(__xludf.DUMMYFUNCTION("""COMPUTED_VALUE"""),"TBS")</f>
        <v>TBS</v>
      </c>
      <c r="E5459" s="2" t="str">
        <f>IFERROR(__xludf.DUMMYFUNCTION("""COMPUTED_VALUE"""),"月20")</f>
        <v>月20</v>
      </c>
      <c r="F5459" s="2" t="s">
        <v>15048</v>
      </c>
      <c r="G5459" s="2" t="s">
        <v>15053</v>
      </c>
      <c r="H5459" s="1">
        <v>3.0</v>
      </c>
      <c r="J5459" s="1" t="s">
        <v>7151</v>
      </c>
      <c r="K5459" s="2" t="s">
        <v>15054</v>
      </c>
      <c r="L5459" s="2"/>
      <c r="M5459" s="2" t="str">
        <f>IFERROR(__xludf.DUMMYFUNCTION("split(split(K5459,""【"",false),""公式LINE"",false)"),"杉村（小泉孝太郎）は、聡美（深田恭子）の父の死をあくまで事故死だと証明して、聡美が無事に結婚できればと思うが、その思いとは裏腹に新しい事実がでてきて…。杉村三郎…小泉孝太郎    ◆   梶田聡美…深田恭子   ◆    杉村菜穂子…国仲涼子  梶田梨子…南沢奈央  手島雄一郎…ムロツヨシ   浜田利和…高橋光臣  椎名遥…岡本玲   加西新…森崎ウィン   杉村正子…木野花   水田（睡蓮マスター）…本田博太郎   梶田信夫…平田満  園田瑛子…室井滋   今多嘉親…平幹二朗ごく普通の人間が心の奥に信じ"&amp;"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主演の小泉孝太郎さんがレギュラー出演する「人間観察バラエティ モニタリング！」は、毎週木曜よる7時55分から放送！「名もなき毒」とあわせて、ぜひご覧ください！横山克（『夜行観覧車』『35歳の高校生』ほか）  原作…宮部"&amp;"みゆき  「誰か　Somebody」「名もなき毒」（文春文庫）  脚本…神山由美子  （『大奥』『美しい隣人』ほか）   制作…那須田淳チーフプロデューサー…橋本孝  プロデューサー…鈴木早苗　橘康仁  演出…塚原あゆ子　金子文紀　山本剛義　竹村謙太郎■番組HP  http://www.tbs.co.jp/namonakidoku/    ■公式Twitter  https://twitter.com/namonakidoku「世界陸上モスクワ」8月10日開幕！世界最高峰の陸上競技大会がこの夏再び。初日い"&amp;"きなり女子マラソン・野口みずき復活なるか＆男子100m・世界最速ボルト登場。2013年夏、人類が再び進化してしまう！番組の内容と放送時間は変更になる場合があります。")</f>
        <v>杉村（小泉孝太郎）は、聡美（深田恭子）の父の死をあくまで事故死だと証明して、聡美が無事に結婚できればと思うが、その思いとは裏腹に新しい事実がでてきて…。杉村三郎…小泉孝太郎    ◆   梶田聡美…深田恭子   ◆    杉村菜穂子…国仲涼子  梶田梨子…南沢奈央  手島雄一郎…ムロツヨシ   浜田利和…高橋光臣  椎名遥…岡本玲   加西新…森崎ウィン   杉村正子…木野花   水田（睡蓮マスター）…本田博太郎   梶田信夫…平田満  園田瑛子…室井滋   今多嘉親…平幹二朗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主演の小泉孝太郎さんがレギュラー出演する「人間観察バラエティ モニタリング！」は、毎週木曜よる7時55分から放送！「名もなき毒」とあわせて、ぜひご覧ください！横山克（『夜行観覧車』『35歳の高校生』ほか）  原作…宮部みゆき  「誰か　Somebody」「名もなき毒」（文春文庫）  脚本…神山由美子  （『大奥』『美しい隣人』ほか）   制作…那須田淳チーフプロデューサー…橋本孝  プロデューサー…鈴木早苗　橘康仁  演出…塚原あゆ子　金子文紀　山本剛義　竹村謙太郎■番組HP  http://www.tbs.co.jp/namonakidoku/    ■公式Twitter  https://twitter.com/namonakidoku「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v>
      </c>
      <c r="N5459" s="2"/>
      <c r="O5459" s="2"/>
      <c r="P5459" s="1"/>
      <c r="Q5459" s="1"/>
      <c r="R5459" s="1"/>
      <c r="S5459" s="1"/>
      <c r="T5459" s="1"/>
      <c r="U5459" s="1"/>
      <c r="V5459" s="1"/>
      <c r="W5459" s="1"/>
      <c r="X5459" s="1"/>
      <c r="Y5459" s="1"/>
      <c r="Z5459" s="1"/>
      <c r="AA5459" s="1"/>
      <c r="AB5459" s="1"/>
      <c r="AC5459" s="1"/>
      <c r="AD5459" s="1"/>
      <c r="AE5459" s="1"/>
      <c r="AF5459" s="1"/>
      <c r="AG5459" s="1"/>
      <c r="AH5459" s="1"/>
      <c r="AI5459" s="1"/>
      <c r="AJ5459" s="1"/>
      <c r="AK5459" s="1"/>
      <c r="AL5459" s="1"/>
      <c r="AM5459" s="1"/>
      <c r="AN5459" s="1"/>
      <c r="AO5459" s="1"/>
      <c r="AP5459" s="1"/>
      <c r="AQ5459" s="1"/>
      <c r="AR5459" s="1"/>
      <c r="AS5459" s="1"/>
      <c r="AT5459" s="1"/>
      <c r="AU5459" s="1"/>
      <c r="AV5459" s="1"/>
      <c r="AW5459" s="1"/>
      <c r="AX5459" s="1"/>
      <c r="AY5459" s="1"/>
      <c r="AZ5459" s="1"/>
      <c r="BA5459" s="1"/>
      <c r="BB5459" s="1"/>
    </row>
    <row r="5460" ht="204.75" customHeight="1">
      <c r="A5460" s="1">
        <v>3182.0</v>
      </c>
      <c r="B5460" s="2" t="s">
        <v>15047</v>
      </c>
      <c r="C5460" s="2">
        <f>IFERROR(__xludf.DUMMYFUNCTION("split(B5460,""_"")"),1307.0)</f>
        <v>1307</v>
      </c>
      <c r="D5460" s="2" t="str">
        <f>IFERROR(__xludf.DUMMYFUNCTION("""COMPUTED_VALUE"""),"TBS")</f>
        <v>TBS</v>
      </c>
      <c r="E5460" s="2" t="str">
        <f>IFERROR(__xludf.DUMMYFUNCTION("""COMPUTED_VALUE"""),"月20")</f>
        <v>月20</v>
      </c>
      <c r="F5460" s="2" t="s">
        <v>15048</v>
      </c>
      <c r="G5460" s="2" t="s">
        <v>15055</v>
      </c>
      <c r="H5460" s="1">
        <v>4.0</v>
      </c>
      <c r="J5460" s="1" t="s">
        <v>7151</v>
      </c>
      <c r="K5460" s="2" t="s">
        <v>15056</v>
      </c>
      <c r="L5460" s="2"/>
      <c r="M5460" s="2" t="str">
        <f>IFERROR(__xludf.DUMMYFUNCTION("split(split(K5460,""【"",false),""公式LINE"",false)"),"一命をとりとめた杉村（小泉孝太郎）は、引き続き聡美（深田恭子）の父の死について調査するが、そこに刑事がやってきて、犯人について思いもよらぬ事実を告げる。杉村にかかってくる無言の正体もわかり・・・杉村三郎…小泉孝太郎    ◆   梶田聡美…深田恭子   ◆    杉村菜穂子…国仲涼子  梶田梨子…南沢奈央  手島雄一郎…ムロツヨシ  浜田利和…高橋光臣  椎名遥…岡本玲  加西新…森崎ウィン    トモノ玩具の女…伊藤かずえ  卯月刑事…菅原大吉  工藤…日野陽仁  関口…柳家小さん    水田（睡蓮マス"&amp;"ター）…本田博太郎  梶田信夫…平田満  園田瑛子…室井滋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主演の小泉孝太郎さんがレギュラー出演する「人間観察バラエティ モニタリング！」は、毎週木曜よる7時55分から放送！「名もなき毒」とあ"&amp;"わせて、ぜひご覧ください！原作…宮部みゆき  「誰か　Somebody」「名もなき毒」（文春文庫）  脚本…神山由美子  （『大奥』『美しい隣人』ほか）制作…那須田淳  チーフプロデューサー…橋本孝  プロデューサー…鈴木早苗　橘康仁  演出…金子文紀■番組HP  http://www.tbs.co.jp/namonakidoku/    ■公式Twitter  @namonakidoku  https://twitter.com/namonakidoku  WEB限定オフショット企画「森崎ウィンの“ある"&amp;"ある”毒の人!」4　動画公開しました！  http://youtu.be/4TUrsCYwCdI  第3話(7/22)見逃しダイジェスト&amp;第4話(7/29)予告  http://youtu.be/Cbb3-cjwm2o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f>
        <v>一命をとりとめた杉村（小泉孝太郎）は、引き続き聡美（深田恭子）の父の死について調査するが、そこに刑事がやってきて、犯人について思いもよらぬ事実を告げる。杉村にかかってくる無言の正体もわかり・・・杉村三郎…小泉孝太郎    ◆   梶田聡美…深田恭子   ◆    杉村菜穂子…国仲涼子  梶田梨子…南沢奈央  手島雄一郎…ムロツヨシ  浜田利和…高橋光臣  椎名遥…岡本玲  加西新…森崎ウィン    トモノ玩具の女…伊藤かずえ  卯月刑事…菅原大吉  工藤…日野陽仁  関口…柳家小さん    水田（睡蓮マスター）…本田博太郎  梶田信夫…平田満  園田瑛子…室井滋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主演の小泉孝太郎さんがレギュラー出演する「人間観察バラエティ モニタリング！」は、毎週木曜よる7時55分から放送！「名もなき毒」とあわせて、ぜひご覧ください！原作…宮部みゆき  「誰か　Somebody」「名もなき毒」（文春文庫）  脚本…神山由美子  （『大奥』『美しい隣人』ほか）制作…那須田淳  チーフプロデューサー…橋本孝  プロデューサー…鈴木早苗　橘康仁  演出…金子文紀■番組HP  http://www.tbs.co.jp/namonakidoku/    ■公式Twitter  @namonakidoku  https://twitter.com/namonakidoku  WEB限定オフショット企画「森崎ウィンの“あるある”毒の人!」4　動画公開しました！  http://youtu.be/4TUrsCYwCdI  第3話(7/22)見逃しダイジェスト&amp;第4話(7/29)予告  http://youtu.be/Cbb3-cjwm2o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v>
      </c>
      <c r="N5460" s="2"/>
      <c r="O5460" s="2"/>
      <c r="P5460" s="1"/>
      <c r="Q5460" s="1"/>
      <c r="R5460" s="1"/>
      <c r="S5460" s="1"/>
      <c r="T5460" s="1"/>
      <c r="U5460" s="1"/>
      <c r="V5460" s="1"/>
      <c r="W5460" s="1"/>
      <c r="X5460" s="1"/>
      <c r="Y5460" s="1"/>
      <c r="Z5460" s="1"/>
      <c r="AA5460" s="1"/>
      <c r="AB5460" s="1"/>
      <c r="AC5460" s="1"/>
      <c r="AD5460" s="1"/>
      <c r="AE5460" s="1"/>
      <c r="AF5460" s="1"/>
      <c r="AG5460" s="1"/>
      <c r="AH5460" s="1"/>
      <c r="AI5460" s="1"/>
      <c r="AJ5460" s="1"/>
      <c r="AK5460" s="1"/>
      <c r="AL5460" s="1"/>
      <c r="AM5460" s="1"/>
      <c r="AN5460" s="1"/>
      <c r="AO5460" s="1"/>
      <c r="AP5460" s="1"/>
      <c r="AQ5460" s="1"/>
      <c r="AR5460" s="1"/>
      <c r="AS5460" s="1"/>
      <c r="AT5460" s="1"/>
      <c r="AU5460" s="1"/>
      <c r="AV5460" s="1"/>
      <c r="AW5460" s="1"/>
      <c r="AX5460" s="1"/>
      <c r="AY5460" s="1"/>
      <c r="AZ5460" s="1"/>
      <c r="BA5460" s="1"/>
      <c r="BB5460" s="1"/>
    </row>
    <row r="5461" ht="204.75" customHeight="1">
      <c r="A5461" s="1">
        <v>3183.0</v>
      </c>
      <c r="B5461" s="2" t="s">
        <v>15047</v>
      </c>
      <c r="C5461" s="2">
        <f>IFERROR(__xludf.DUMMYFUNCTION("split(B5461,""_"")"),1307.0)</f>
        <v>1307</v>
      </c>
      <c r="D5461" s="2" t="str">
        <f>IFERROR(__xludf.DUMMYFUNCTION("""COMPUTED_VALUE"""),"TBS")</f>
        <v>TBS</v>
      </c>
      <c r="E5461" s="2" t="str">
        <f>IFERROR(__xludf.DUMMYFUNCTION("""COMPUTED_VALUE"""),"月20")</f>
        <v>月20</v>
      </c>
      <c r="F5461" s="2" t="s">
        <v>15048</v>
      </c>
      <c r="G5461" s="2" t="s">
        <v>15057</v>
      </c>
      <c r="H5461" s="1">
        <v>5.0</v>
      </c>
      <c r="J5461" s="1" t="s">
        <v>7151</v>
      </c>
      <c r="K5461" s="2" t="s">
        <v>15058</v>
      </c>
      <c r="L5461" s="2"/>
      <c r="M5461" s="2" t="str">
        <f>IFERROR(__xludf.DUMMYFUNCTION("split(split(K5461,""【"",false),""公式LINE"",false)"),"杉村（小泉孝太郎）は、ついに聡美（深田恭子）の父の死の真実にたどり着く。そこには想像を超えた真実と、悲しい過去が待っていた。すべての毒を解き明かした杉村は何を思うのか…!?ついに第一部完結編。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amp;"。杉村三郎…小泉孝太郎    ◆  梶田聡美…深田恭子   ◆  杉村菜穂子…国仲涼子  梶田梨子…南沢奈央  浜田利和…高橋光臣  椎名遥…岡本玲   加西新…森崎ウィン    原田いずみ…江口のりこ  野瀬祐子…伊藤かずえ  卯月勝敏…菅原大吉    手島雄一郎…ムロツヨシ  水田（睡蓮マスター）…本田博太郎   梶田信夫…平田満  園田瑛子…室井滋  今多嘉親…平幹二朗主演の小泉孝太郎さんがレギュラー出演する「人間観察バラエティ モニタリング！」は、毎週木曜よる7時55分から放送！「名もなき毒」とあ"&amp;"わせて、ぜひご覧ください！原作…宮部みゆき  「誰か　Somebody」「名もなき毒」（文春文庫）  脚本…神山由美子  （『大奥』『美しい隣人』ほか）制作…那須田淳  チーフプロデューサー…橋本孝  プロデューサー…鈴木早苗　橘康仁  演出…竹村謙太郎■番組HP  http://www.tbs.co.jp/namonakidoku/    ■公式Twitter  @namonakidoku  https://twitter.com/namonakidoku  見逃しダイジェスト＆第5話(8/5)予告動画"&amp;"公開しました！  http://youtu.be/jKxY950b8ic  WEB限定オフショット企画「森崎ウィンの""あるある""毒の人!」5  http://youtu.be/AEwoAfeX0Lc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f>
        <v>杉村（小泉孝太郎）は、ついに聡美（深田恭子）の父の死の真実にたどり着く。そこには想像を超えた真実と、悲しい過去が待っていた。すべての毒を解き明かした杉村は何を思うのか…!?ついに第一部完結編。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  梶田聡美…深田恭子   ◆  杉村菜穂子…国仲涼子  梶田梨子…南沢奈央  浜田利和…高橋光臣  椎名遥…岡本玲   加西新…森崎ウィン    原田いずみ…江口のりこ  野瀬祐子…伊藤かずえ  卯月勝敏…菅原大吉    手島雄一郎…ムロツヨシ  水田（睡蓮マスター）…本田博太郎   梶田信夫…平田満  園田瑛子…室井滋  今多嘉親…平幹二朗主演の小泉孝太郎さんがレギュラー出演する「人間観察バラエティ モニタリング！」は、毎週木曜よる7時55分から放送！「名もなき毒」とあわせて、ぜひご覧ください！原作…宮部みゆき  「誰か　Somebody」「名もなき毒」（文春文庫）  脚本…神山由美子  （『大奥』『美しい隣人』ほか）制作…那須田淳  チーフプロデューサー…橋本孝  プロデューサー…鈴木早苗　橘康仁  演出…竹村謙太郎■番組HP  http://www.tbs.co.jp/namonakidoku/    ■公式Twitter  @namonakidoku  https://twitter.com/namonakidoku  見逃しダイジェスト＆第5話(8/5)予告動画公開しました！  http://youtu.be/jKxY950b8ic  WEB限定オフショット企画「森崎ウィンの"あるある"毒の人!」5  http://youtu.be/AEwoAfeX0Lc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v>
      </c>
      <c r="N5461" s="2"/>
      <c r="O5461" s="2"/>
      <c r="P5461" s="1"/>
      <c r="Q5461" s="1"/>
      <c r="R5461" s="1"/>
      <c r="S5461" s="1"/>
      <c r="T5461" s="1"/>
      <c r="U5461" s="1"/>
      <c r="V5461" s="1"/>
      <c r="W5461" s="1"/>
      <c r="X5461" s="1"/>
      <c r="Y5461" s="1"/>
      <c r="Z5461" s="1"/>
      <c r="AA5461" s="1"/>
      <c r="AB5461" s="1"/>
      <c r="AC5461" s="1"/>
      <c r="AD5461" s="1"/>
      <c r="AE5461" s="1"/>
      <c r="AF5461" s="1"/>
      <c r="AG5461" s="1"/>
      <c r="AH5461" s="1"/>
      <c r="AI5461" s="1"/>
      <c r="AJ5461" s="1"/>
      <c r="AK5461" s="1"/>
      <c r="AL5461" s="1"/>
      <c r="AM5461" s="1"/>
      <c r="AN5461" s="1"/>
      <c r="AO5461" s="1"/>
      <c r="AP5461" s="1"/>
      <c r="AQ5461" s="1"/>
      <c r="AR5461" s="1"/>
      <c r="AS5461" s="1"/>
      <c r="AT5461" s="1"/>
      <c r="AU5461" s="1"/>
      <c r="AV5461" s="1"/>
      <c r="AW5461" s="1"/>
      <c r="AX5461" s="1"/>
      <c r="AY5461" s="1"/>
      <c r="AZ5461" s="1"/>
      <c r="BA5461" s="1"/>
      <c r="BB5461" s="1"/>
    </row>
    <row r="5462" ht="204.75" customHeight="1">
      <c r="A5462" s="1">
        <v>3184.0</v>
      </c>
      <c r="B5462" s="2" t="s">
        <v>15047</v>
      </c>
      <c r="C5462" s="2">
        <f>IFERROR(__xludf.DUMMYFUNCTION("split(B5462,""_"")"),1307.0)</f>
        <v>1307</v>
      </c>
      <c r="D5462" s="2" t="str">
        <f>IFERROR(__xludf.DUMMYFUNCTION("""COMPUTED_VALUE"""),"TBS")</f>
        <v>TBS</v>
      </c>
      <c r="E5462" s="2" t="str">
        <f>IFERROR(__xludf.DUMMYFUNCTION("""COMPUTED_VALUE"""),"月20")</f>
        <v>月20</v>
      </c>
      <c r="F5462" s="2" t="s">
        <v>15048</v>
      </c>
      <c r="G5462" s="2" t="s">
        <v>15059</v>
      </c>
      <c r="H5462" s="1">
        <v>6.0</v>
      </c>
      <c r="J5462" s="1" t="s">
        <v>7151</v>
      </c>
      <c r="K5462" s="2" t="s">
        <v>15060</v>
      </c>
      <c r="L5462" s="2"/>
      <c r="M5462" s="2" t="str">
        <f>IFERROR(__xludf.DUMMYFUNCTION("split(split(K5462,""【"",false),""公式LINE"",false)"),"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いよいよ、衝撃の二部がスタート！杉村（小泉孝太郎）は、原田いずみ（江口のり子）の暴走にも頭を悩まされつつ、ひょんなことから新たな事件に関わることになり、古屋暁子（真矢みき）、美知香（杉咲花）"&amp;"と出会う。杉村三郎…小泉孝太郎    ◆  古屋暁子…真矢みき   ◆  杉村菜穂子…国仲涼子  古屋美知香…杉咲花  加西新…森崎ウィン    原田いずみ…江口のりこ  萩原弘…斎藤歩  外立研治…君嶋麻耶    手島雄一郎…ムロツヨシ  水田（睡蓮マスター）…本田博太郎   北見一郎…大杉漣  園田瑛子…室井滋主演の小泉孝太郎さんがレギュラー出演する「人間観察バラエティ モニタリング！」は、毎週木曜よる7時55分から放送！「名もなき毒」とあわせて、ぜひご覧ください！")</f>
        <v>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いよいよ、衝撃の二部がスタート！杉村（小泉孝太郎）は、原田いずみ（江口のり子）の暴走にも頭を悩まされつつ、ひょんなことから新たな事件に関わることになり、古屋暁子（真矢みき）、美知香（杉咲花）と出会う。杉村三郎…小泉孝太郎    ◆  古屋暁子…真矢みき   ◆  杉村菜穂子…国仲涼子  古屋美知香…杉咲花  加西新…森崎ウィン    原田いずみ…江口のりこ  萩原弘…斎藤歩  外立研治…君嶋麻耶    手島雄一郎…ムロツヨシ  水田（睡蓮マスター）…本田博太郎   北見一郎…大杉漣  園田瑛子…室井滋主演の小泉孝太郎さんがレギュラー出演する「人間観察バラエティ モニタリング！」は、毎週木曜よる7時55分から放送！「名もなき毒」とあわせて、ぜひご覧ください！</v>
      </c>
      <c r="N5462" s="2"/>
      <c r="O5462" s="2"/>
      <c r="P5462" s="1"/>
      <c r="Q5462" s="1"/>
      <c r="R5462" s="1"/>
      <c r="S5462" s="1"/>
      <c r="T5462" s="1"/>
      <c r="U5462" s="1"/>
      <c r="V5462" s="1"/>
      <c r="W5462" s="1"/>
      <c r="X5462" s="1"/>
      <c r="Y5462" s="1"/>
      <c r="Z5462" s="1"/>
      <c r="AA5462" s="1"/>
      <c r="AB5462" s="1"/>
      <c r="AC5462" s="1"/>
      <c r="AD5462" s="1"/>
      <c r="AE5462" s="1"/>
      <c r="AF5462" s="1"/>
      <c r="AG5462" s="1"/>
      <c r="AH5462" s="1"/>
      <c r="AI5462" s="1"/>
      <c r="AJ5462" s="1"/>
      <c r="AK5462" s="1"/>
      <c r="AL5462" s="1"/>
      <c r="AM5462" s="1"/>
      <c r="AN5462" s="1"/>
      <c r="AO5462" s="1"/>
      <c r="AP5462" s="1"/>
      <c r="AQ5462" s="1"/>
      <c r="AR5462" s="1"/>
      <c r="AS5462" s="1"/>
      <c r="AT5462" s="1"/>
      <c r="AU5462" s="1"/>
      <c r="AV5462" s="1"/>
      <c r="AW5462" s="1"/>
      <c r="AX5462" s="1"/>
      <c r="AY5462" s="1"/>
      <c r="AZ5462" s="1"/>
      <c r="BA5462" s="1"/>
      <c r="BB5462" s="1"/>
    </row>
    <row r="5463" ht="204.75" customHeight="1">
      <c r="A5463" s="1">
        <v>3185.0</v>
      </c>
      <c r="B5463" s="2" t="s">
        <v>15047</v>
      </c>
      <c r="C5463" s="2">
        <f>IFERROR(__xludf.DUMMYFUNCTION("split(B5463,""_"")"),1307.0)</f>
        <v>1307</v>
      </c>
      <c r="D5463" s="2" t="str">
        <f>IFERROR(__xludf.DUMMYFUNCTION("""COMPUTED_VALUE"""),"TBS")</f>
        <v>TBS</v>
      </c>
      <c r="E5463" s="2" t="str">
        <f>IFERROR(__xludf.DUMMYFUNCTION("""COMPUTED_VALUE"""),"月20")</f>
        <v>月20</v>
      </c>
      <c r="F5463" s="2" t="s">
        <v>15048</v>
      </c>
      <c r="G5463" s="2" t="s">
        <v>15061</v>
      </c>
      <c r="H5463" s="1">
        <v>7.0</v>
      </c>
      <c r="J5463" s="1" t="s">
        <v>7151</v>
      </c>
      <c r="K5463" s="2" t="s">
        <v>15062</v>
      </c>
      <c r="L5463" s="2"/>
      <c r="M5463" s="2" t="str">
        <f>IFERROR(__xludf.DUMMYFUNCTION("split(split(K5463,""【"",false),""公式LINE"",false)"),"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   古屋暁子…真矢みき   ◆    杉村菜穂子…国仲涼子  古屋美知香…杉咲花  原田いずみ…江口のりこ   手島雄一郎…ムロツヨシ   秋山省吾…平山浩行"&amp;"  椎名遥…岡本玲   加西新…森崎ウィン   杉村正子…木野花   水田（睡蓮マスター）…本田博太郎   園田瑛子…室井滋   今多嘉親…平幹二朗主演の小泉孝太郎さんがレギュラー出演する「人間観察バラエティ モニタリング！」は、毎週木曜よる7時55分から放送！「名もなき毒」とあわせて、ぜひご覧ください！横山克（『夜行観覧車』『35歳の高校生』ほか）  原作…宮部みゆき  「誰か　Somebody」「名もなき毒」（文春文庫）  脚本…神山由美子  （『大奥』『美しい隣人』ほか）   制作…那須田淳制作…那"&amp;"須田淳  チーフプロデューサー…橋本孝  プロデューサー…鈴木早苗　橘康仁  演出…竹村謙太郎■番組HP  http://www.tbs.co.jp/namonakidoku/    ■公式Twitter  @namonakidoku  https://twitter.com/namonakidoku  小泉孝太郎主演・月曜よる8時『名もなき毒』第6話(8/12)見逃しダイジェスト&amp;第7話(8/19)予告  http://youtu.be/n_NYM_zzHAw月曜よる8時『名もなき毒』WEB限定オフショ"&amp;"ット企画「森崎ウィンの""あるある""毒の人!」7   http://youtu.be/F-00LMTQt80  番組の内容と放送時間は変更になる場合があります。")</f>
        <v>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   古屋暁子…真矢みき   ◆    杉村菜穂子…国仲涼子  古屋美知香…杉咲花  原田いずみ…江口のりこ   手島雄一郎…ムロツヨシ   秋山省吾…平山浩行  椎名遥…岡本玲   加西新…森崎ウィン   杉村正子…木野花   水田（睡蓮マスター）…本田博太郎   園田瑛子…室井滋   今多嘉親…平幹二朗主演の小泉孝太郎さんがレギュラー出演する「人間観察バラエティ モニタリング！」は、毎週木曜よる7時55分から放送！「名もなき毒」とあわせて、ぜひご覧ください！横山克（『夜行観覧車』『35歳の高校生』ほか）  原作…宮部みゆき  「誰か　Somebody」「名もなき毒」（文春文庫）  脚本…神山由美子  （『大奥』『美しい隣人』ほか）   制作…那須田淳制作…那須田淳  チーフプロデューサー…橋本孝  プロデューサー…鈴木早苗　橘康仁  演出…竹村謙太郎■番組HP  http://www.tbs.co.jp/namonakidoku/    ■公式Twitter  @namonakidoku  https://twitter.com/namonakidoku  小泉孝太郎主演・月曜よる8時『名もなき毒』第6話(8/12)見逃しダイジェスト&amp;第7話(8/19)予告  http://youtu.be/n_NYM_zzHAw月曜よる8時『名もなき毒』WEB限定オフショット企画「森崎ウィンの"あるある"毒の人!」7   http://youtu.be/F-00LMTQt80  番組の内容と放送時間は変更になる場合があります。</v>
      </c>
      <c r="N5463" s="2"/>
      <c r="O5463" s="2"/>
      <c r="P5463" s="1"/>
      <c r="Q5463" s="1"/>
      <c r="R5463" s="1"/>
      <c r="S5463" s="1"/>
      <c r="T5463" s="1"/>
      <c r="U5463" s="1"/>
      <c r="V5463" s="1"/>
      <c r="W5463" s="1"/>
      <c r="X5463" s="1"/>
      <c r="Y5463" s="1"/>
      <c r="Z5463" s="1"/>
      <c r="AA5463" s="1"/>
      <c r="AB5463" s="1"/>
      <c r="AC5463" s="1"/>
      <c r="AD5463" s="1"/>
      <c r="AE5463" s="1"/>
      <c r="AF5463" s="1"/>
      <c r="AG5463" s="1"/>
      <c r="AH5463" s="1"/>
      <c r="AI5463" s="1"/>
      <c r="AJ5463" s="1"/>
      <c r="AK5463" s="1"/>
      <c r="AL5463" s="1"/>
      <c r="AM5463" s="1"/>
      <c r="AN5463" s="1"/>
      <c r="AO5463" s="1"/>
      <c r="AP5463" s="1"/>
      <c r="AQ5463" s="1"/>
      <c r="AR5463" s="1"/>
      <c r="AS5463" s="1"/>
      <c r="AT5463" s="1"/>
      <c r="AU5463" s="1"/>
      <c r="AV5463" s="1"/>
      <c r="AW5463" s="1"/>
      <c r="AX5463" s="1"/>
      <c r="AY5463" s="1"/>
      <c r="AZ5463" s="1"/>
      <c r="BA5463" s="1"/>
      <c r="BB5463" s="1"/>
    </row>
    <row r="5464" ht="204.75" customHeight="1">
      <c r="A5464" s="1">
        <v>3186.0</v>
      </c>
      <c r="B5464" s="2" t="s">
        <v>15047</v>
      </c>
      <c r="C5464" s="2">
        <f>IFERROR(__xludf.DUMMYFUNCTION("split(B5464,""_"")"),1307.0)</f>
        <v>1307</v>
      </c>
      <c r="D5464" s="2" t="str">
        <f>IFERROR(__xludf.DUMMYFUNCTION("""COMPUTED_VALUE"""),"TBS")</f>
        <v>TBS</v>
      </c>
      <c r="E5464" s="2" t="str">
        <f>IFERROR(__xludf.DUMMYFUNCTION("""COMPUTED_VALUE"""),"月20")</f>
        <v>月20</v>
      </c>
      <c r="F5464" s="2" t="s">
        <v>15048</v>
      </c>
      <c r="G5464" s="2" t="s">
        <v>15063</v>
      </c>
      <c r="H5464" s="1">
        <v>8.0</v>
      </c>
      <c r="J5464" s="1" t="s">
        <v>7151</v>
      </c>
      <c r="K5464" s="2" t="s">
        <v>15064</v>
      </c>
      <c r="L5464" s="2"/>
      <c r="M5464" s="2" t="str">
        <f>IFERROR(__xludf.DUMMYFUNCTION("split(split(K5464,""【"",false),""公式LINE"",false)"),"連続毒殺事件の犯人が自首したが、暁子（真矢みき）の父の死については無関係だった。杉村（小泉孝太郎）が事件の真相を探る中、暁子の娘美知香（杉咲花）は、父の遺言状がなくなっていることに気づく。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amp;"村三郎…小泉孝太郎   古屋暁子…真矢みき  杉村菜穂子…国仲涼子    古屋美知香…杉咲花  秋山省吾…平山浩行  原田いずみ…江口のりこ  椎名遥…岡本玲  加西新…森崎ウィン  五味淵まゆみ…中西美帆    水田（睡蓮マスター）…本田博太郎  奈良和子…烏丸せつこ   萩原弘…斎藤歩  外立研治…君嶋麻耶  古屋明俊…森次晃嗣    手島雄一郎…ムロツヨシ  北見一郎…大杉漣  園田瑛子…室井滋主演の小泉孝太郎さんがレギュラー出演する「人間観察バラエティ モニタリング！」は、毎週木曜よる7時55分か"&amp;"ら放送！「名もなき毒」とあわせて、ぜひご覧ください！横山克（『夜行観覧車』『35歳の高校生』ほか）  原作…宮部みゆき  「誰か　Somebody」「名もなき毒」（文春文庫）  脚本…神山由美子  （『大奥』『美しい隣人』ほか）   制作…那須田淳制作…那須田淳  チーフプロデューサー…橋本孝  プロデューサー…鈴木早苗　橘康仁  演出…竹村謙太郎■番組HP  http://www.tbs.co.jp/namonakidoku/    ■公式Twitter  @namonakidoku  https://"&amp;"twitter.com/namonakidoku  『名もなき毒』第7話(8/19)見逃しダイジェスト＆第8話(8/26)予告動画を公開しました！こちらからどうぞ！  http://youtu.be/Z-BAYWXV9OY    WEB限定オフショット企画「森崎ウィンの""あるある""毒の人!」8　動画を公開しました！こちらからどうぞ！  http://youtu.be/uVETFCWFmd0  番組の内容と放送時間は変更になる場合があります。")</f>
        <v>連続毒殺事件の犯人が自首したが、暁子（真矢みき）の父の死については無関係だった。杉村（小泉孝太郎）が事件の真相を探る中、暁子の娘美知香（杉咲花）は、父の遺言状がなくなっていることに気づく。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古屋暁子…真矢みき  杉村菜穂子…国仲涼子    古屋美知香…杉咲花  秋山省吾…平山浩行  原田いずみ…江口のりこ  椎名遥…岡本玲  加西新…森崎ウィン  五味淵まゆみ…中西美帆    水田（睡蓮マスター）…本田博太郎  奈良和子…烏丸せつこ   萩原弘…斎藤歩  外立研治…君嶋麻耶  古屋明俊…森次晃嗣    手島雄一郎…ムロツヨシ  北見一郎…大杉漣  園田瑛子…室井滋主演の小泉孝太郎さんがレギュラー出演する「人間観察バラエティ モニタリング！」は、毎週木曜よる7時55分から放送！「名もなき毒」とあわせて、ぜひご覧ください！横山克（『夜行観覧車』『35歳の高校生』ほか）  原作…宮部みゆき  「誰か　Somebody」「名もなき毒」（文春文庫）  脚本…神山由美子  （『大奥』『美しい隣人』ほか）   制作…那須田淳制作…那須田淳  チーフプロデューサー…橋本孝  プロデューサー…鈴木早苗　橘康仁  演出…竹村謙太郎■番組HP  http://www.tbs.co.jp/namonakidoku/    ■公式Twitter  @namonakidoku  https://twitter.com/namonakidoku  『名もなき毒』第7話(8/19)見逃しダイジェスト＆第8話(8/26)予告動画を公開しました！こちらからどうぞ！  http://youtu.be/Z-BAYWXV9OY    WEB限定オフショット企画「森崎ウィンの"あるある"毒の人!」8　動画を公開しました！こちらからどうぞ！  http://youtu.be/uVETFCWFmd0  番組の内容と放送時間は変更になる場合があります。</v>
      </c>
      <c r="N5464" s="2"/>
      <c r="O5464" s="2"/>
      <c r="P5464" s="1"/>
      <c r="Q5464" s="1"/>
      <c r="R5464" s="1"/>
      <c r="S5464" s="1"/>
      <c r="T5464" s="1"/>
      <c r="U5464" s="1"/>
      <c r="V5464" s="1"/>
      <c r="W5464" s="1"/>
      <c r="X5464" s="1"/>
      <c r="Y5464" s="1"/>
      <c r="Z5464" s="1"/>
      <c r="AA5464" s="1"/>
      <c r="AB5464" s="1"/>
      <c r="AC5464" s="1"/>
      <c r="AD5464" s="1"/>
      <c r="AE5464" s="1"/>
      <c r="AF5464" s="1"/>
      <c r="AG5464" s="1"/>
      <c r="AH5464" s="1"/>
      <c r="AI5464" s="1"/>
      <c r="AJ5464" s="1"/>
      <c r="AK5464" s="1"/>
      <c r="AL5464" s="1"/>
      <c r="AM5464" s="1"/>
      <c r="AN5464" s="1"/>
      <c r="AO5464" s="1"/>
      <c r="AP5464" s="1"/>
      <c r="AQ5464" s="1"/>
      <c r="AR5464" s="1"/>
      <c r="AS5464" s="1"/>
      <c r="AT5464" s="1"/>
      <c r="AU5464" s="1"/>
      <c r="AV5464" s="1"/>
      <c r="AW5464" s="1"/>
      <c r="AX5464" s="1"/>
      <c r="AY5464" s="1"/>
      <c r="AZ5464" s="1"/>
      <c r="BA5464" s="1"/>
      <c r="BB5464" s="1"/>
    </row>
    <row r="5465" ht="204.75" customHeight="1">
      <c r="A5465" s="1">
        <v>3187.0</v>
      </c>
      <c r="B5465" s="2" t="s">
        <v>15047</v>
      </c>
      <c r="C5465" s="2">
        <f>IFERROR(__xludf.DUMMYFUNCTION("split(B5465,""_"")"),1307.0)</f>
        <v>1307</v>
      </c>
      <c r="D5465" s="2" t="str">
        <f>IFERROR(__xludf.DUMMYFUNCTION("""COMPUTED_VALUE"""),"TBS")</f>
        <v>TBS</v>
      </c>
      <c r="E5465" s="2" t="str">
        <f>IFERROR(__xludf.DUMMYFUNCTION("""COMPUTED_VALUE"""),"月20")</f>
        <v>月20</v>
      </c>
      <c r="F5465" s="2" t="s">
        <v>15048</v>
      </c>
      <c r="G5465" s="2" t="s">
        <v>15065</v>
      </c>
      <c r="H5465" s="1">
        <v>9.0</v>
      </c>
      <c r="J5465" s="1" t="s">
        <v>7151</v>
      </c>
      <c r="K5465" s="2" t="s">
        <v>15066</v>
      </c>
      <c r="L5465" s="2"/>
      <c r="M5465" s="2" t="str">
        <f>IFERROR(__xludf.DUMMYFUNCTION("split(split(K5465,""【"",false),""公式LINE"",false)"),"意識を失い倒れた杉村（小泉孝太郎）ら広報室一同はなんとか一命をとりとめる。だが原田いずみ（江口のりこ）の暴走は止まらない。一方で、古屋暁子（真矢みき）の父が死んだ事件はあらたな展開を見せる。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amp;"杉村三郎…小泉孝太郎   古屋暁子…真矢みき  杉村菜穂子…国仲涼子    古屋美知香…杉咲花  秋山省吾…平山浩行  原田いずみ…江口のりこ  椎名遥…岡本玲  加西新…森崎ウィン  五味淵まゆみ…中西美帆    水田（睡蓮マスター）…本田博太郎  奈良和子…烏丸せつこ   松井刑事…近江谷太朗  外立研治…君嶋麻耶    手島雄一郎…ムロツヨシ  原田克也…前田吟  園田瑛子…室井滋主演の小泉孝太郎さんがレギュラー出演する「人間観察バラエティ モニタリング！」は、毎週木曜よる7時55分から放送！「名も"&amp;"なき毒」とあわせて、ぜひご覧ください！原作…宮部みゆき  「誰か　Somebody」「名もなき毒」（文春文庫）  脚本…神山由美子  （『大奥』『美しい隣人』ほか）制作…那須田淳  チーフプロデューサー…橋本孝  プロデューサー…鈴木早苗　橘康仁  演出…塚原あゆ子■番組HP  http://www.tbs.co.jp/namonakidoku/    ■公式Twitter  @namonakidoku  https://twitter.com/namonakidoku  第8話見逃しダイジェスト＆第9話"&amp;"予告動画を公開しました！こちらからどうぞ！  http://youtu.be/N8-z5VzvH24  WEB限定オフショット企画「森崎ウィンの""あるある""毒の人!」9　動画を公開しました！こちらからどうぞ！  http://youtu.be/0sh7ZUXdVu0  アジア最終予選9/4～9/8まで生放送「4年に一度の世界一決定戦の出場権をかけ最終決戦」女子:日本,チャイニーズタイペイ、ベトナム、オーストラリア、タイ　男子:日本、カタール、ニュージーランド、韓国番組の内容と放送時間は変更になる場合が"&amp;"あります。")</f>
        <v>意識を失い倒れた杉村（小泉孝太郎）ら広報室一同はなんとか一命をとりとめる。だが原田いずみ（江口のりこ）の暴走は止まらない。一方で、古屋暁子（真矢みき）の父が死んだ事件はあらたな展開を見せる。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古屋暁子…真矢みき  杉村菜穂子…国仲涼子    古屋美知香…杉咲花  秋山省吾…平山浩行  原田いずみ…江口のりこ  椎名遥…岡本玲  加西新…森崎ウィン  五味淵まゆみ…中西美帆    水田（睡蓮マスター）…本田博太郎  奈良和子…烏丸せつこ   松井刑事…近江谷太朗  外立研治…君嶋麻耶    手島雄一郎…ムロツヨシ  原田克也…前田吟  園田瑛子…室井滋主演の小泉孝太郎さんがレギュラー出演する「人間観察バラエティ モニタリング！」は、毎週木曜よる7時55分から放送！「名もなき毒」とあわせて、ぜひご覧ください！原作…宮部みゆき  「誰か　Somebody」「名もなき毒」（文春文庫）  脚本…神山由美子  （『大奥』『美しい隣人』ほか）制作…那須田淳  チーフプロデューサー…橋本孝  プロデューサー…鈴木早苗　橘康仁  演出…塚原あゆ子■番組HP  http://www.tbs.co.jp/namonakidoku/    ■公式Twitter  @namonakidoku  https://twitter.com/namonakidoku  第8話見逃しダイジェスト＆第9話予告動画を公開しました！こちらからどうぞ！  http://youtu.be/N8-z5VzvH24  WEB限定オフショット企画「森崎ウィンの"あるある"毒の人!」9　動画を公開しました！こちらからどうぞ！  http://youtu.be/0sh7ZUXdVu0  アジア最終予選9/4～9/8まで生放送「4年に一度の世界一決定戦の出場権をかけ最終決戦」女子:日本,チャイニーズタイペイ、ベトナム、オーストラリア、タイ　男子:日本、カタール、ニュージーランド、韓国番組の内容と放送時間は変更になる場合があります。</v>
      </c>
      <c r="N5465" s="2"/>
      <c r="O5465" s="2"/>
      <c r="P5465" s="1"/>
      <c r="Q5465" s="1"/>
      <c r="R5465" s="1"/>
      <c r="S5465" s="1"/>
      <c r="T5465" s="1"/>
      <c r="U5465" s="1"/>
      <c r="V5465" s="1"/>
      <c r="W5465" s="1"/>
      <c r="X5465" s="1"/>
      <c r="Y5465" s="1"/>
      <c r="Z5465" s="1"/>
      <c r="AA5465" s="1"/>
      <c r="AB5465" s="1"/>
      <c r="AC5465" s="1"/>
      <c r="AD5465" s="1"/>
      <c r="AE5465" s="1"/>
      <c r="AF5465" s="1"/>
      <c r="AG5465" s="1"/>
      <c r="AH5465" s="1"/>
      <c r="AI5465" s="1"/>
      <c r="AJ5465" s="1"/>
      <c r="AK5465" s="1"/>
      <c r="AL5465" s="1"/>
      <c r="AM5465" s="1"/>
      <c r="AN5465" s="1"/>
      <c r="AO5465" s="1"/>
      <c r="AP5465" s="1"/>
      <c r="AQ5465" s="1"/>
      <c r="AR5465" s="1"/>
      <c r="AS5465" s="1"/>
      <c r="AT5465" s="1"/>
      <c r="AU5465" s="1"/>
      <c r="AV5465" s="1"/>
      <c r="AW5465" s="1"/>
      <c r="AX5465" s="1"/>
      <c r="AY5465" s="1"/>
      <c r="AZ5465" s="1"/>
      <c r="BA5465" s="1"/>
      <c r="BB5465" s="1"/>
    </row>
    <row r="5466" ht="204.75" customHeight="1">
      <c r="A5466" s="1">
        <v>3188.0</v>
      </c>
      <c r="B5466" s="2" t="s">
        <v>15047</v>
      </c>
      <c r="C5466" s="2">
        <f>IFERROR(__xludf.DUMMYFUNCTION("split(B5466,""_"")"),1307.0)</f>
        <v>1307</v>
      </c>
      <c r="D5466" s="2" t="str">
        <f>IFERROR(__xludf.DUMMYFUNCTION("""COMPUTED_VALUE"""),"TBS")</f>
        <v>TBS</v>
      </c>
      <c r="E5466" s="2" t="str">
        <f>IFERROR(__xludf.DUMMYFUNCTION("""COMPUTED_VALUE"""),"月20")</f>
        <v>月20</v>
      </c>
      <c r="F5466" s="2" t="s">
        <v>15048</v>
      </c>
      <c r="G5466" s="2" t="s">
        <v>15067</v>
      </c>
      <c r="H5466" s="1">
        <v>10.0</v>
      </c>
      <c r="J5466" s="1" t="s">
        <v>7151</v>
      </c>
      <c r="K5466" s="2" t="s">
        <v>15068</v>
      </c>
      <c r="L5466" s="2"/>
      <c r="M5466" s="2" t="str">
        <f>IFERROR(__xludf.DUMMYFUNCTION("split(split(K5466,""【"",false),""公式LINE"",false)"),"奈良和子（烏丸せつこ）が自殺したことで暁子（真矢みき）の嫌疑は晴れた。しかし娘の美知香とはうまくいかずに喧嘩してしまう。相談を受けた杉村（小泉孝太郎）は再び事件の真相を探るため、ある人物に会いに行く。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amp;"リーです。杉村三郎…小泉孝太郎   古屋暁子…真矢みき  杉村菜穂子…国仲涼子    古屋美知香…杉咲花  秋山省吾…平山浩行  原田いずみ…江口のりこ  椎名遥…岡本玲  加西新…森崎ウィン  五味淵まゆみ…中西美帆    水田（睡蓮マスター）…本田博太郎  奈良和子…烏丸せつこ   萩原弘…斎藤歩  松井刑事…近江谷太朗  外立研治…君嶋麻耶  古屋明俊…森次晃嗣手島雄一郎…ムロツヨシ  萩原社長…でんでん  園田瑛子…室井滋主演の小泉孝太郎さんがレギュラー出演する「人間観察バラエティ モニタリング！"&amp;"」は、毎週木曜よる7時55分から放送！「名もなき毒」とあわせて、ぜひご覧ください！原作…宮部みゆき  「誰か　Somebody」「名もなき毒」（文春文庫）  脚本…神山由美子  （『大奥』『美しい隣人』ほか）制作…那須田淳  チーフプロデューサー…橋本孝  プロデューサー…鈴木早苗　橘康仁  演出…竹村謙太郎■番組HP  http://www.tbs.co.jp/namonakidoku/    ■公式Twitter  @namonakidoku  https://twitter.com/namonaki"&amp;"doku  第9話(9/2)見逃しダイジェスト＆第10話(9/9)予告　動画公開しました！  http://youtu.be/TYssxfX8XBE  WEB限定オフショット企画「森崎ウィンの""あるある""毒の人!」10  http://youtu.be/eyIwoaIMOEk  番組の内容と放送時間は変更になる場合があります。")</f>
        <v>奈良和子（烏丸せつこ）が自殺したことで暁子（真矢みき）の嫌疑は晴れた。しかし娘の美知香とはうまくいかずに喧嘩してしまう。相談を受けた杉村（小泉孝太郎）は再び事件の真相を探るため、ある人物に会いに行く。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古屋暁子…真矢みき  杉村菜穂子…国仲涼子    古屋美知香…杉咲花  秋山省吾…平山浩行  原田いずみ…江口のりこ  椎名遥…岡本玲  加西新…森崎ウィン  五味淵まゆみ…中西美帆    水田（睡蓮マスター）…本田博太郎  奈良和子…烏丸せつこ   萩原弘…斎藤歩  松井刑事…近江谷太朗  外立研治…君嶋麻耶  古屋明俊…森次晃嗣手島雄一郎…ムロツヨシ  萩原社長…でんでん  園田瑛子…室井滋主演の小泉孝太郎さんがレギュラー出演する「人間観察バラエティ モニタリング！」は、毎週木曜よる7時55分から放送！「名もなき毒」とあわせて、ぜひご覧ください！原作…宮部みゆき  「誰か　Somebody」「名もなき毒」（文春文庫）  脚本…神山由美子  （『大奥』『美しい隣人』ほか）制作…那須田淳  チーフプロデューサー…橋本孝  プロデューサー…鈴木早苗　橘康仁  演出…竹村謙太郎■番組HP  http://www.tbs.co.jp/namonakidoku/    ■公式Twitter  @namonakidoku  https://twitter.com/namonakidoku  第9話(9/2)見逃しダイジェスト＆第10話(9/9)予告　動画公開しました！  http://youtu.be/TYssxfX8XBE  WEB限定オフショット企画「森崎ウィンの"あるある"毒の人!」10  http://youtu.be/eyIwoaIMOEk  番組の内容と放送時間は変更になる場合があります。</v>
      </c>
      <c r="N5466" s="2"/>
      <c r="O5466" s="2"/>
      <c r="P5466" s="1"/>
      <c r="Q5466" s="1"/>
      <c r="R5466" s="1"/>
      <c r="S5466" s="1"/>
      <c r="T5466" s="1"/>
      <c r="U5466" s="1"/>
      <c r="V5466" s="1"/>
      <c r="W5466" s="1"/>
      <c r="X5466" s="1"/>
      <c r="Y5466" s="1"/>
      <c r="Z5466" s="1"/>
      <c r="AA5466" s="1"/>
      <c r="AB5466" s="1"/>
      <c r="AC5466" s="1"/>
      <c r="AD5466" s="1"/>
      <c r="AE5466" s="1"/>
      <c r="AF5466" s="1"/>
      <c r="AG5466" s="1"/>
      <c r="AH5466" s="1"/>
      <c r="AI5466" s="1"/>
      <c r="AJ5466" s="1"/>
      <c r="AK5466" s="1"/>
      <c r="AL5466" s="1"/>
      <c r="AM5466" s="1"/>
      <c r="AN5466" s="1"/>
      <c r="AO5466" s="1"/>
      <c r="AP5466" s="1"/>
      <c r="AQ5466" s="1"/>
      <c r="AR5466" s="1"/>
      <c r="AS5466" s="1"/>
      <c r="AT5466" s="1"/>
      <c r="AU5466" s="1"/>
      <c r="AV5466" s="1"/>
      <c r="AW5466" s="1"/>
      <c r="AX5466" s="1"/>
      <c r="AY5466" s="1"/>
      <c r="AZ5466" s="1"/>
      <c r="BA5466" s="1"/>
      <c r="BB5466" s="1"/>
    </row>
    <row r="5467" ht="204.75" customHeight="1">
      <c r="A5467" s="1">
        <v>3189.0</v>
      </c>
      <c r="B5467" s="2" t="s">
        <v>15047</v>
      </c>
      <c r="C5467" s="2">
        <f>IFERROR(__xludf.DUMMYFUNCTION("split(B5467,""_"")"),1307.0)</f>
        <v>1307</v>
      </c>
      <c r="D5467" s="2" t="str">
        <f>IFERROR(__xludf.DUMMYFUNCTION("""COMPUTED_VALUE"""),"TBS")</f>
        <v>TBS</v>
      </c>
      <c r="E5467" s="2" t="str">
        <f>IFERROR(__xludf.DUMMYFUNCTION("""COMPUTED_VALUE"""),"月20")</f>
        <v>月20</v>
      </c>
      <c r="F5467" s="2" t="s">
        <v>15048</v>
      </c>
      <c r="G5467" s="2" t="s">
        <v>15069</v>
      </c>
      <c r="H5467" s="1">
        <v>11.0</v>
      </c>
      <c r="J5467" s="1" t="s">
        <v>7151</v>
      </c>
      <c r="K5467" s="2" t="s">
        <v>15070</v>
      </c>
      <c r="L5467" s="2"/>
      <c r="M5467" s="2" t="str">
        <f>IFERROR(__xludf.DUMMYFUNCTION("split(split(K5467,""【"",false),""公式LINE"",false)"),"杉村(小泉孝太郎）は秋山（平山浩行）と毒殺事件を自供した外立を警察に連れて行く。その時、菜穂子（国仲涼子）から原田（江口）が家で立てこもっていると連絡が入る？家族の危機に杉村は・・・!!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amp;"三郎…小泉孝太郎  古屋暁子…真矢みき  杉村菜穂子…国仲涼子    古屋美知香…杉咲花  秋山省吾…平山浩行  原田いずみ…江口のりこ  椎名遥…岡本玲  加西新…森崎ウィン  五味淵まゆみ…中西美帆    水田（睡蓮マスター）…本田博太郎  奈良和子…烏丸せつこ  外立研治…君嶋麻耶  古屋明俊…森次晃嗣    手島雄一郎…ムロツヨシ  杉村正子…木野花  萩原社長…でんでん  園田瑛子…室井滋今多嘉親…平幹二朗主演の小泉孝太郎さんがレギュラー出演する「人間観察バラエティ モニタリング！」は、毎週木曜"&amp;"よる7時55分から放送！「名もなき毒」とあわせて、ぜひご覧ください！原作…宮部みゆき  「誰か　Somebody」「名もなき毒」（文春文庫）  脚本…神山由美子  （『大奥』『美しい隣人』ほか） 制作…那須田淳  チーフプロデューサー…橋本孝  プロデューサー…鈴木早苗　橘康仁  演出…金子文紀■番組HP  http://www.tbs.co.jp/namonakidoku/    ■公式Twitter  @namonakidoku  https://twitter.com/namonakidoku  ■"&amp;"遂に衝撃のラストへ！『名もなき毒』ダイジェスト＆最終話予告動画公開！  http://youtu.be/I8epf5AfqKU  ■「解毒」法を紹介！『名もなき毒』オフショット企画11  http://youtu.be/2udP25iOlvA  番組の内容と放送時間は変更になる場合があります。")</f>
        <v>杉村(小泉孝太郎）は秋山（平山浩行）と毒殺事件を自供した外立を警察に連れて行く。その時、菜穂子（国仲涼子）から原田（江口）が家で立てこもっていると連絡が入る？家族の危機に杉村は・・・!!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古屋暁子…真矢みき  杉村菜穂子…国仲涼子    古屋美知香…杉咲花  秋山省吾…平山浩行  原田いずみ…江口のりこ  椎名遥…岡本玲  加西新…森崎ウィン  五味淵まゆみ…中西美帆    水田（睡蓮マスター）…本田博太郎  奈良和子…烏丸せつこ  外立研治…君嶋麻耶  古屋明俊…森次晃嗣    手島雄一郎…ムロツヨシ  杉村正子…木野花  萩原社長…でんでん  園田瑛子…室井滋今多嘉親…平幹二朗主演の小泉孝太郎さんがレギュラー出演する「人間観察バラエティ モニタリング！」は、毎週木曜よる7時55分から放送！「名もなき毒」とあわせて、ぜひご覧ください！原作…宮部みゆき  「誰か　Somebody」「名もなき毒」（文春文庫）  脚本…神山由美子  （『大奥』『美しい隣人』ほか） 制作…那須田淳  チーフプロデューサー…橋本孝  プロデューサー…鈴木早苗　橘康仁  演出…金子文紀■番組HP  http://www.tbs.co.jp/namonakidoku/    ■公式Twitter  @namonakidoku  https://twitter.com/namonakidoku  ■遂に衝撃のラストへ！『名もなき毒』ダイジェスト＆最終話予告動画公開！  http://youtu.be/I8epf5AfqKU  ■「解毒」法を紹介！『名もなき毒』オフショット企画11  http://youtu.be/2udP25iOlvA  番組の内容と放送時間は変更になる場合があります。</v>
      </c>
      <c r="N5467" s="2"/>
      <c r="O5467" s="2"/>
      <c r="P5467" s="1"/>
      <c r="Q5467" s="1"/>
      <c r="R5467" s="1"/>
      <c r="S5467" s="1"/>
      <c r="T5467" s="1"/>
      <c r="U5467" s="1"/>
      <c r="V5467" s="1"/>
      <c r="W5467" s="1"/>
      <c r="X5467" s="1"/>
      <c r="Y5467" s="1"/>
      <c r="Z5467" s="1"/>
      <c r="AA5467" s="1"/>
      <c r="AB5467" s="1"/>
      <c r="AC5467" s="1"/>
      <c r="AD5467" s="1"/>
      <c r="AE5467" s="1"/>
      <c r="AF5467" s="1"/>
      <c r="AG5467" s="1"/>
      <c r="AH5467" s="1"/>
      <c r="AI5467" s="1"/>
      <c r="AJ5467" s="1"/>
      <c r="AK5467" s="1"/>
      <c r="AL5467" s="1"/>
      <c r="AM5467" s="1"/>
      <c r="AN5467" s="1"/>
      <c r="AO5467" s="1"/>
      <c r="AP5467" s="1"/>
      <c r="AQ5467" s="1"/>
      <c r="AR5467" s="1"/>
      <c r="AS5467" s="1"/>
      <c r="AT5467" s="1"/>
      <c r="AU5467" s="1"/>
      <c r="AV5467" s="1"/>
      <c r="AW5467" s="1"/>
      <c r="AX5467" s="1"/>
      <c r="AY5467" s="1"/>
      <c r="AZ5467" s="1"/>
      <c r="BA5467" s="1"/>
      <c r="BB5467" s="1"/>
    </row>
    <row r="5468" ht="204.75" customHeight="1">
      <c r="A5468" s="1">
        <v>3231.0</v>
      </c>
      <c r="B5468" s="2" t="s">
        <v>15071</v>
      </c>
      <c r="C5468" s="2">
        <f>IFERROR(__xludf.DUMMYFUNCTION("split(B5468,""_"")"),1307.0)</f>
        <v>1307</v>
      </c>
      <c r="D5468" s="2" t="str">
        <f>IFERROR(__xludf.DUMMYFUNCTION("""COMPUTED_VALUE"""),"TBS")</f>
        <v>TBS</v>
      </c>
      <c r="E5468" s="2" t="str">
        <f>IFERROR(__xludf.DUMMYFUNCTION("""COMPUTED_VALUE"""),"木21")</f>
        <v>木21</v>
      </c>
      <c r="F5468" s="2" t="s">
        <v>15072</v>
      </c>
      <c r="G5468" s="2" t="s">
        <v>15073</v>
      </c>
      <c r="H5468" s="1">
        <v>1.0</v>
      </c>
      <c r="J5468" s="1" t="s">
        <v>1647</v>
      </c>
      <c r="K5468" s="2" t="s">
        <v>15074</v>
      </c>
      <c r="L5468" s="2"/>
      <c r="M5468" s="2" t="str">
        <f>IFERROR(__xludf.DUMMYFUNCTION("split(split(K5468,""【"",false),""公式LINE"",false)"),"河村恭之助（玉森裕太）は歌舞伎の名門に生まれながら、ヤル気も実力もいまひとつ。父・世左衛門（岸谷五朗）にも認められず投げやりな日々を送っていた。ところがある日、歌舞伎が大好きな千葉あやめ（川島海荷）と出会ったことで世界は一変!!恭之助はたちまち恋に落ちる…！だがあやめには、既に思いを寄せる相手がいた。それは歌舞伎と無縁の家に生まれながら、実力で成り上がろうとする野心家の澤山一弥（中山優馬）で…!?河村 恭之助…玉森裕太（Kis-My-Ft2）  澤山 一弥…中山優馬   千葉 あやめ…川島海荷（9nine"&amp;"）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trax）▽HP  http://www.tbs.co.jp/pintokona/    ■「ぴんとこな」限定企"&amp;"画・川島海荷の「放送局」1  http://youtu.be/twyi6rujpcw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f>
        <v>河村恭之助（玉森裕太）は歌舞伎の名門に生まれながら、ヤル気も実力もいまひとつ。父・世左衛門（岸谷五朗）にも認められず投げやりな日々を送っていた。ところがある日、歌舞伎が大好きな千葉あやめ（川島海荷）と出会ったことで世界は一変!!恭之助はたちまち恋に落ちる…！だがあやめには、既に思いを寄せる相手がいた。それは歌舞伎と無縁の家に生まれながら、実力で成り上がろうとする野心家の澤山一弥（中山優馬）で…!?河村 恭之助…玉森裕太（Kis-My-Ft2）  澤山 一弥…中山優馬   千葉 あやめ…川島海荷（9nine）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trax）▽HP  http://www.tbs.co.jp/pintokona/    ■「ぴんとこな」限定企画・川島海荷の「放送局」1  http://youtu.be/twyi6rujpcw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v>
      </c>
      <c r="N5468" s="2"/>
      <c r="O5468" s="2"/>
      <c r="P5468" s="1"/>
      <c r="Q5468" s="1"/>
      <c r="R5468" s="1"/>
      <c r="S5468" s="1"/>
      <c r="T5468" s="1"/>
      <c r="U5468" s="1"/>
      <c r="V5468" s="1"/>
      <c r="W5468" s="1"/>
      <c r="X5468" s="1"/>
      <c r="Y5468" s="1"/>
      <c r="Z5468" s="1"/>
      <c r="AA5468" s="1"/>
      <c r="AB5468" s="1"/>
      <c r="AC5468" s="1"/>
      <c r="AD5468" s="1"/>
      <c r="AE5468" s="1"/>
      <c r="AF5468" s="1"/>
      <c r="AG5468" s="1"/>
      <c r="AH5468" s="1"/>
      <c r="AI5468" s="1"/>
      <c r="AJ5468" s="1"/>
      <c r="AK5468" s="1"/>
      <c r="AL5468" s="1"/>
      <c r="AM5468" s="1"/>
      <c r="AN5468" s="1"/>
      <c r="AO5468" s="1"/>
      <c r="AP5468" s="1"/>
      <c r="AQ5468" s="1"/>
      <c r="AR5468" s="1"/>
      <c r="AS5468" s="1"/>
      <c r="AT5468" s="1"/>
      <c r="AU5468" s="1"/>
      <c r="AV5468" s="1"/>
      <c r="AW5468" s="1"/>
      <c r="AX5468" s="1"/>
      <c r="AY5468" s="1"/>
      <c r="AZ5468" s="1"/>
      <c r="BA5468" s="1"/>
      <c r="BB5468" s="1"/>
    </row>
    <row r="5469" ht="204.75" customHeight="1">
      <c r="A5469" s="1">
        <v>3232.0</v>
      </c>
      <c r="B5469" s="2" t="s">
        <v>15071</v>
      </c>
      <c r="C5469" s="2">
        <f>IFERROR(__xludf.DUMMYFUNCTION("split(B5469,""_"")"),1307.0)</f>
        <v>1307</v>
      </c>
      <c r="D5469" s="2" t="str">
        <f>IFERROR(__xludf.DUMMYFUNCTION("""COMPUTED_VALUE"""),"TBS")</f>
        <v>TBS</v>
      </c>
      <c r="E5469" s="2" t="str">
        <f>IFERROR(__xludf.DUMMYFUNCTION("""COMPUTED_VALUE"""),"木21")</f>
        <v>木21</v>
      </c>
      <c r="F5469" s="2" t="s">
        <v>15072</v>
      </c>
      <c r="G5469" s="2" t="s">
        <v>15075</v>
      </c>
      <c r="H5469" s="1">
        <v>2.0</v>
      </c>
      <c r="J5469" s="1" t="s">
        <v>11</v>
      </c>
      <c r="K5469" s="2" t="s">
        <v>15076</v>
      </c>
      <c r="L5469" s="2"/>
      <c r="M5469" s="2" t="str">
        <f>IFERROR(__xludf.DUMMYFUNCTION("split(split(K5469,""【"",false),""公式LINE"",false)"),"一弥（中山優馬）から打ち明けられたあやめ（川島海荷）への思い。二人が両思いと知り、恭之助（玉森裕太）はショック！そんな中、あやめが風邪で倒れてしまう!!必死に看病する恭之助。全ては、あやめの笑顔のために…。一方、一弥はあやめのアパートにー!!接近する二人を目の当たりにし、全てから逃げ出す恭之助。そして追い討ちをかけるかのような、父からの破門宣告!!御曹司、人生最大のピンチ!!Kis-My-Ft2の玉森裕太が必死の猛稽古を積み、400年もの伝統を誇る歌舞伎の舞台に挑む！！河村 恭之助…玉森裕太  澤山 一弥"&amp;"…中山優馬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http://www.tbs.co.jp/pinto"&amp;"kona/  WEB限定オフショット企画「川島海荷の放送局」2動画を公開しました！こちらからどうぞ！  http://youtu.be/xz4Mero-g1U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f>
        <v>一弥（中山優馬）から打ち明けられたあやめ（川島海荷）への思い。二人が両思いと知り、恭之助（玉森裕太）はショック！そんな中、あやめが風邪で倒れてしまう!!必死に看病する恭之助。全ては、あやめの笑顔のために…。一方、一弥はあやめのアパートにー!!接近する二人を目の当たりにし、全てから逃げ出す恭之助。そして追い討ちをかけるかのような、父からの破門宣告!!御曹司、人生最大のピンチ!!Kis-My-Ft2の玉森裕太が必死の猛稽古を積み、400年もの伝統を誇る歌舞伎の舞台に挑む！！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  WEB限定オフショット企画「川島海荷の放送局」2動画を公開しました！こちらからどうぞ！  http://youtu.be/xz4Mero-g1U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v>
      </c>
      <c r="N5469" s="2"/>
      <c r="O5469" s="2"/>
      <c r="P5469" s="1"/>
      <c r="Q5469" s="1"/>
      <c r="R5469" s="1"/>
      <c r="S5469" s="1"/>
      <c r="T5469" s="1"/>
      <c r="U5469" s="1"/>
      <c r="V5469" s="1"/>
      <c r="W5469" s="1"/>
      <c r="X5469" s="1"/>
      <c r="Y5469" s="1"/>
      <c r="Z5469" s="1"/>
      <c r="AA5469" s="1"/>
      <c r="AB5469" s="1"/>
      <c r="AC5469" s="1"/>
      <c r="AD5469" s="1"/>
      <c r="AE5469" s="1"/>
      <c r="AF5469" s="1"/>
      <c r="AG5469" s="1"/>
      <c r="AH5469" s="1"/>
      <c r="AI5469" s="1"/>
      <c r="AJ5469" s="1"/>
      <c r="AK5469" s="1"/>
      <c r="AL5469" s="1"/>
      <c r="AM5469" s="1"/>
      <c r="AN5469" s="1"/>
      <c r="AO5469" s="1"/>
      <c r="AP5469" s="1"/>
      <c r="AQ5469" s="1"/>
      <c r="AR5469" s="1"/>
      <c r="AS5469" s="1"/>
      <c r="AT5469" s="1"/>
      <c r="AU5469" s="1"/>
      <c r="AV5469" s="1"/>
      <c r="AW5469" s="1"/>
      <c r="AX5469" s="1"/>
      <c r="AY5469" s="1"/>
      <c r="AZ5469" s="1"/>
      <c r="BA5469" s="1"/>
      <c r="BB5469" s="1"/>
    </row>
    <row r="5470" ht="204.75" customHeight="1">
      <c r="A5470" s="1">
        <v>3233.0</v>
      </c>
      <c r="B5470" s="2" t="s">
        <v>15071</v>
      </c>
      <c r="C5470" s="2">
        <f>IFERROR(__xludf.DUMMYFUNCTION("split(B5470,""_"")"),1307.0)</f>
        <v>1307</v>
      </c>
      <c r="D5470" s="2" t="str">
        <f>IFERROR(__xludf.DUMMYFUNCTION("""COMPUTED_VALUE"""),"TBS")</f>
        <v>TBS</v>
      </c>
      <c r="E5470" s="2" t="str">
        <f>IFERROR(__xludf.DUMMYFUNCTION("""COMPUTED_VALUE"""),"木21")</f>
        <v>木21</v>
      </c>
      <c r="F5470" s="2" t="s">
        <v>15072</v>
      </c>
      <c r="G5470" s="2" t="s">
        <v>15077</v>
      </c>
      <c r="H5470" s="1">
        <v>3.0</v>
      </c>
      <c r="J5470" s="1" t="s">
        <v>11</v>
      </c>
      <c r="K5470" s="2" t="s">
        <v>15078</v>
      </c>
      <c r="L5470" s="2"/>
      <c r="M5470" s="2" t="str">
        <f>IFERROR(__xludf.DUMMYFUNCTION("split(split(K5470,""【"",false),""公式LINE"",false)"),"歌舞伎への情熱を取り戻した恭之助（玉森裕太）。しかし一弥（中山優馬）とあやめ（川島海荷）がデートすることを知り、心が揺れる。そのため一弥と踊りの息が合わず松吉（高嶋政宏）の怒りをかって公演は中止に!!初めての水族館デートを楽しみにするあやめだったが、あやめと一弥の関係に気付いた優奈は自ら手を傷つけ一弥を呼び戻すー！失意のあやめを励ますため、恭之助は水族館の案内役を買って出る。恋する気持ちを隠して…Kis-My-Ft2の玉森裕太が必死の猛稽古を積み、400年もの伝統を誇る歌舞伎の舞台に挑む！！河村 恭之助…"&amp;"玉森裕太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  ゲスト…柳沢慎吾（友情出演）『キミとのキセキ』Kis-My-Ft2  （avex trax）■番組HP "&amp;" http://www.tbs.co.jp/pintokona/  大好評!WEB限定オフショット企画「川島海荷の放送局」3  http://youtu.be/eSGfYeWwicI  「世界陸上モスクワ」8月10日開幕！世界最高峰の陸上競技大会がこの夏再び。初日いきなり女子マラソン・野口みずき復活なるか＆男子100m・世界最速ボルト登場。2013年夏、人類が再び進化してしまう！20時より放送の「ボクシング亀田和毅　WBO世界バンタム級タイトルマッチ」の試合状況により、放送時間が変更になる場合があります。")</f>
        <v>歌舞伎への情熱を取り戻した恭之助（玉森裕太）。しかし一弥（中山優馬）とあやめ（川島海荷）がデートすることを知り、心が揺れる。そのため一弥と踊りの息が合わず松吉（高嶋政宏）の怒りをかって公演は中止に!!初めての水族館デートを楽しみにするあやめだったが、あやめと一弥の関係に気付いた優奈は自ら手を傷つけ一弥を呼び戻すー！失意のあやめを励ますため、恭之助は水族館の案内役を買って出る。恋する気持ちを隠して…Kis-My-Ft2の玉森裕太が必死の猛稽古を積み、400年もの伝統を誇る歌舞伎の舞台に挑む！！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  ゲスト…柳沢慎吾（友情出演）『キミとのキセキ』Kis-My-Ft2  （avex trax）■番組HP  http://www.tbs.co.jp/pintokona/  大好評!WEB限定オフショット企画「川島海荷の放送局」3  http://youtu.be/eSGfYeWwicI  「世界陸上モスクワ」8月10日開幕！世界最高峰の陸上競技大会がこの夏再び。初日いきなり女子マラソン・野口みずき復活なるか＆男子100m・世界最速ボルト登場。2013年夏、人類が再び進化してしまう！20時より放送の「ボクシング亀田和毅　WBO世界バンタム級タイトルマッチ」の試合状況により、放送時間が変更になる場合があります。</v>
      </c>
      <c r="N5470" s="2"/>
      <c r="O5470" s="2"/>
      <c r="P5470" s="1"/>
      <c r="Q5470" s="1"/>
      <c r="R5470" s="1"/>
      <c r="S5470" s="1"/>
      <c r="T5470" s="1"/>
      <c r="U5470" s="1"/>
      <c r="V5470" s="1"/>
      <c r="W5470" s="1"/>
      <c r="X5470" s="1"/>
      <c r="Y5470" s="1"/>
      <c r="Z5470" s="1"/>
      <c r="AA5470" s="1"/>
      <c r="AB5470" s="1"/>
      <c r="AC5470" s="1"/>
      <c r="AD5470" s="1"/>
      <c r="AE5470" s="1"/>
      <c r="AF5470" s="1"/>
      <c r="AG5470" s="1"/>
      <c r="AH5470" s="1"/>
      <c r="AI5470" s="1"/>
      <c r="AJ5470" s="1"/>
      <c r="AK5470" s="1"/>
      <c r="AL5470" s="1"/>
      <c r="AM5470" s="1"/>
      <c r="AN5470" s="1"/>
      <c r="AO5470" s="1"/>
      <c r="AP5470" s="1"/>
      <c r="AQ5470" s="1"/>
      <c r="AR5470" s="1"/>
      <c r="AS5470" s="1"/>
      <c r="AT5470" s="1"/>
      <c r="AU5470" s="1"/>
      <c r="AV5470" s="1"/>
      <c r="AW5470" s="1"/>
      <c r="AX5470" s="1"/>
      <c r="AY5470" s="1"/>
      <c r="AZ5470" s="1"/>
      <c r="BA5470" s="1"/>
      <c r="BB5470" s="1"/>
    </row>
    <row r="5471" ht="204.75" customHeight="1">
      <c r="A5471" s="1">
        <v>3234.0</v>
      </c>
      <c r="B5471" s="2" t="s">
        <v>15071</v>
      </c>
      <c r="C5471" s="2">
        <f>IFERROR(__xludf.DUMMYFUNCTION("split(B5471,""_"")"),1307.0)</f>
        <v>1307</v>
      </c>
      <c r="D5471" s="2" t="str">
        <f>IFERROR(__xludf.DUMMYFUNCTION("""COMPUTED_VALUE"""),"TBS")</f>
        <v>TBS</v>
      </c>
      <c r="E5471" s="2" t="str">
        <f>IFERROR(__xludf.DUMMYFUNCTION("""COMPUTED_VALUE"""),"木21")</f>
        <v>木21</v>
      </c>
      <c r="F5471" s="2" t="s">
        <v>15072</v>
      </c>
      <c r="G5471" s="2" t="s">
        <v>15079</v>
      </c>
      <c r="H5471" s="1">
        <v>4.0</v>
      </c>
      <c r="J5471" s="1" t="s">
        <v>11</v>
      </c>
      <c r="K5471" s="2" t="s">
        <v>15080</v>
      </c>
      <c r="L5471" s="2"/>
      <c r="M5471" s="2" t="str">
        <f>IFERROR(__xludf.DUMMYFUNCTION("split(split(K5471,""【"",false),""公式LINE"",false)"),"10年に渡って積み重ねた努力むなしく、舞台上で恭之助の“華”に圧倒された一弥。「一番の歌舞伎役者になる」という約束が重圧となり、あやめに別れを告げる…一方海の泊まり合宿で、恋の妄想が膨らむ恭之助は、彼にしかできない、恋愛ドラマ史上類を見ない最高の告白を!?しかし一弥は、完二郎の一風変わった励ましで、あやめへの愛情を取り戻し、思いをこめてキスをする。しかしそこには、嫉妬に燃える婚約者・優奈の姿が!!Kis-My-Ft2の玉森裕太が必死の猛稽古を積み、400年もの伝統を誇る歌舞伎の舞台に挑む！！河村 恭之助…"&amp;"玉森裕太  澤山 一弥…中山優馬   千葉 あやめ…川島海荷  澤山 梢平…松村北斗（ジャニーズJr.）  坂本 春彦…ジェシー（ジャニーズJr.）  澤山 優奈…吉倉あおい  三島 千晶…草刈麻有  ヤス…清水 優    ○  佐賀田 完二郎…山本耕史    ○澤山 多佳子…前田典子  澤山 咲五郎…榎木孝明  三田 シズ…江波杏子  河村 世左衛門…岸谷五朗『キミとのキセキ』Kis-My-Ft2  （avex trax）■番組HP  http://www.tbs.co.jp/pintokona/  「"&amp;"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f>
        <v>10年に渡って積み重ねた努力むなしく、舞台上で恭之助の“華”に圧倒された一弥。「一番の歌舞伎役者になる」という約束が重圧となり、あやめに別れを告げる…一方海の泊まり合宿で、恋の妄想が膨らむ恭之助は、彼にしかできない、恋愛ドラマ史上類を見ない最高の告白を!?しかし一弥は、完二郎の一風変わった励ましで、あやめへの愛情を取り戻し、思いをこめてキスをする。しかしそこには、嫉妬に燃える婚約者・優奈の姿が!!Kis-My-Ft2の玉森裕太が必死の猛稽古を積み、400年もの伝統を誇る歌舞伎の舞台に挑む！！河村 恭之助…玉森裕太  澤山 一弥…中山優馬   千葉 あやめ…川島海荷  澤山 梢平…松村北斗（ジャニーズJr.）  坂本 春彦…ジェシー（ジャニーズJr.）  澤山 優奈…吉倉あおい  三島 千晶…草刈麻有  ヤス…清水 優    ○  佐賀田 完二郎…山本耕史    ○澤山 多佳子…前田典子  澤山 咲五郎…榎木孝明  三田 シズ…江波杏子  河村 世左衛門…岸谷五朗『キミとのキセキ』Kis-My-Ft2  （avex trax）■番組HP  http://www.tbs.co.jp/pintokona/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v>
      </c>
      <c r="N5471" s="2"/>
      <c r="O5471" s="2"/>
      <c r="P5471" s="1"/>
      <c r="Q5471" s="1"/>
      <c r="R5471" s="1"/>
      <c r="S5471" s="1"/>
      <c r="T5471" s="1"/>
      <c r="U5471" s="1"/>
      <c r="V5471" s="1"/>
      <c r="W5471" s="1"/>
      <c r="X5471" s="1"/>
      <c r="Y5471" s="1"/>
      <c r="Z5471" s="1"/>
      <c r="AA5471" s="1"/>
      <c r="AB5471" s="1"/>
      <c r="AC5471" s="1"/>
      <c r="AD5471" s="1"/>
      <c r="AE5471" s="1"/>
      <c r="AF5471" s="1"/>
      <c r="AG5471" s="1"/>
      <c r="AH5471" s="1"/>
      <c r="AI5471" s="1"/>
      <c r="AJ5471" s="1"/>
      <c r="AK5471" s="1"/>
      <c r="AL5471" s="1"/>
      <c r="AM5471" s="1"/>
      <c r="AN5471" s="1"/>
      <c r="AO5471" s="1"/>
      <c r="AP5471" s="1"/>
      <c r="AQ5471" s="1"/>
      <c r="AR5471" s="1"/>
      <c r="AS5471" s="1"/>
      <c r="AT5471" s="1"/>
      <c r="AU5471" s="1"/>
      <c r="AV5471" s="1"/>
      <c r="AW5471" s="1"/>
      <c r="AX5471" s="1"/>
      <c r="AY5471" s="1"/>
      <c r="AZ5471" s="1"/>
      <c r="BA5471" s="1"/>
      <c r="BB5471" s="1"/>
    </row>
    <row r="5472" ht="204.75" customHeight="1">
      <c r="A5472" s="1">
        <v>3235.0</v>
      </c>
      <c r="B5472" s="2" t="s">
        <v>15071</v>
      </c>
      <c r="C5472" s="2">
        <f>IFERROR(__xludf.DUMMYFUNCTION("split(B5472,""_"")"),1307.0)</f>
        <v>1307</v>
      </c>
      <c r="D5472" s="2" t="str">
        <f>IFERROR(__xludf.DUMMYFUNCTION("""COMPUTED_VALUE"""),"TBS")</f>
        <v>TBS</v>
      </c>
      <c r="E5472" s="2" t="str">
        <f>IFERROR(__xludf.DUMMYFUNCTION("""COMPUTED_VALUE"""),"木21")</f>
        <v>木21</v>
      </c>
      <c r="F5472" s="2" t="s">
        <v>15072</v>
      </c>
      <c r="G5472" s="2" t="s">
        <v>15081</v>
      </c>
      <c r="H5472" s="1">
        <v>5.0</v>
      </c>
      <c r="J5472" s="1" t="s">
        <v>4</v>
      </c>
      <c r="K5472" s="2" t="s">
        <v>15082</v>
      </c>
      <c r="L5472" s="2"/>
      <c r="M5472" s="2" t="str">
        <f>IFERROR(__xludf.DUMMYFUNCTION("split(split(K5472,""【"",false),""公式LINE"",false)"),"一弥が二股をかけていることを知った恭之助。あやめのために、二人を引き離すしかない！と奮闘するが、二人の仲は近づくばかり…遂に一弥はあやめに「一緒に暮らさないか？」と告げる！そこへ狙いすましたように梢平が現れ、決定的な一言を放つ！否定できない一弥に、愕然とするあやめ。悲しみにくれる彼女に寄り添う恭之助。10年の恋を捨ててまで手に入れた舞台で、一弥を待っていたのは…予想もできない“絶望”の涙だったーKis-My-Ft2の玉森裕太が必死の猛稽古を積み、400年もの伝統を誇る歌舞伎の舞台に挑む！！河村 恭之助…玉"&amp;"森裕太  澤山 一弥…中山優馬   千葉 あやめ…川島海荷  澤山 梢平…松村北斗（ジャニーズJr.）  坂本 春彦…ジェシー（ジャニーズJr.）  澤山 優奈…吉倉あおい  三島 千晶…草刈麻有  ヤス…清水 優    ○  佐賀田 完二郎…山本耕史    ○澤山 多佳子…前田典子  澤山 咲五郎…榎木孝明  三田 シズ…江波杏子  河村 世左衛門…岸谷五朗『キミとのキセキ』Kis-My-Ft2  （avex trax）■番組HP  http://www.tbs.co.jp/pintokona/木曜よる"&amp;"9時『ぴんとこな』大好評!WEB限定オフショット企画「川島海荷の放送局」5   http://youtu.be/mX6jJdQ7zic  「世界陸上モスクワ」陸上競技世界最高峰の戦い、8月18日(日)まで連日放送中。   人類が再び進化する瞬間を目撃せよ。  番組HP　http://www.tbs.co.jp/seriku/番組の内容と放送時間は変更になる場合があります。")</f>
        <v>一弥が二股をかけていることを知った恭之助。あやめのために、二人を引き離すしかない！と奮闘するが、二人の仲は近づくばかり…遂に一弥はあやめに「一緒に暮らさないか？」と告げる！そこへ狙いすましたように梢平が現れ、決定的な一言を放つ！否定できない一弥に、愕然とするあやめ。悲しみにくれる彼女に寄り添う恭之助。10年の恋を捨ててまで手に入れた舞台で、一弥を待っていたのは…予想もできない“絶望”の涙だったーKis-My-Ft2の玉森裕太が必死の猛稽古を積み、400年もの伝統を誇る歌舞伎の舞台に挑む！！河村 恭之助…玉森裕太  澤山 一弥…中山優馬   千葉 あやめ…川島海荷  澤山 梢平…松村北斗（ジャニーズJr.）  坂本 春彦…ジェシー（ジャニーズJr.）  澤山 優奈…吉倉あおい  三島 千晶…草刈麻有  ヤス…清水 優    ○  佐賀田 完二郎…山本耕史    ○澤山 多佳子…前田典子  澤山 咲五郎…榎木孝明  三田 シズ…江波杏子  河村 世左衛門…岸谷五朗『キミとのキセキ』Kis-My-Ft2  （avex trax）■番組HP  http://www.tbs.co.jp/pintokona/木曜よる9時『ぴんとこな』大好評!WEB限定オフショット企画「川島海荷の放送局」5   http://youtu.be/mX6jJdQ7zic  「世界陸上モスクワ」陸上競技世界最高峰の戦い、8月18日(日)まで連日放送中。   人類が再び進化する瞬間を目撃せよ。  番組HP　http://www.tbs.co.jp/seriku/番組の内容と放送時間は変更になる場合があります。</v>
      </c>
      <c r="N5472" s="2"/>
      <c r="O5472" s="2"/>
      <c r="P5472" s="1"/>
      <c r="Q5472" s="1"/>
      <c r="R5472" s="1"/>
      <c r="S5472" s="1"/>
      <c r="T5472" s="1"/>
      <c r="U5472" s="1"/>
      <c r="V5472" s="1"/>
      <c r="W5472" s="1"/>
      <c r="X5472" s="1"/>
      <c r="Y5472" s="1"/>
      <c r="Z5472" s="1"/>
      <c r="AA5472" s="1"/>
      <c r="AB5472" s="1"/>
      <c r="AC5472" s="1"/>
      <c r="AD5472" s="1"/>
      <c r="AE5472" s="1"/>
      <c r="AF5472" s="1"/>
      <c r="AG5472" s="1"/>
      <c r="AH5472" s="1"/>
      <c r="AI5472" s="1"/>
      <c r="AJ5472" s="1"/>
      <c r="AK5472" s="1"/>
      <c r="AL5472" s="1"/>
      <c r="AM5472" s="1"/>
      <c r="AN5472" s="1"/>
      <c r="AO5472" s="1"/>
      <c r="AP5472" s="1"/>
      <c r="AQ5472" s="1"/>
      <c r="AR5472" s="1"/>
      <c r="AS5472" s="1"/>
      <c r="AT5472" s="1"/>
      <c r="AU5472" s="1"/>
      <c r="AV5472" s="1"/>
      <c r="AW5472" s="1"/>
      <c r="AX5472" s="1"/>
      <c r="AY5472" s="1"/>
      <c r="AZ5472" s="1"/>
      <c r="BA5472" s="1"/>
      <c r="BB5472" s="1"/>
    </row>
    <row r="5473" ht="204.75" customHeight="1">
      <c r="A5473" s="1">
        <v>3236.0</v>
      </c>
      <c r="B5473" s="2" t="s">
        <v>15071</v>
      </c>
      <c r="C5473" s="2">
        <f>IFERROR(__xludf.DUMMYFUNCTION("split(B5473,""_"")"),1307.0)</f>
        <v>1307</v>
      </c>
      <c r="D5473" s="2" t="str">
        <f>IFERROR(__xludf.DUMMYFUNCTION("""COMPUTED_VALUE"""),"TBS")</f>
        <v>TBS</v>
      </c>
      <c r="E5473" s="2" t="str">
        <f>IFERROR(__xludf.DUMMYFUNCTION("""COMPUTED_VALUE"""),"木21")</f>
        <v>木21</v>
      </c>
      <c r="F5473" s="2" t="s">
        <v>15072</v>
      </c>
      <c r="G5473" s="2" t="s">
        <v>15083</v>
      </c>
      <c r="H5473" s="1">
        <v>6.0</v>
      </c>
      <c r="J5473" s="1" t="s">
        <v>11</v>
      </c>
      <c r="K5473" s="2" t="s">
        <v>15084</v>
      </c>
      <c r="L5473" s="2"/>
      <c r="M5473" s="2" t="str">
        <f>IFERROR(__xludf.DUMMYFUNCTION("split(split(K5473,""【"",false),""公式LINE"",false)"),"舞台で号泣するという失態をおかし、姿を消した一弥。再び歌舞伎に挑ませるため必死に奔走する恭之助だったが、彼の決意は固く…完二郎の粋な計らいで、最後にもう一度だけ舞台に上がる決意をするも、梢平のどす黒い企みに操られた優奈に学校へ呼び出された一弥は、本番直前、倉庫に閉じ込められる！時間は刻々と迫り、劇場ではまんまと一弥の代役として梢平が準備を始める…そして遂に開演の時が！一弥の未来が今、閉ざされるー河村 恭之助…玉森裕太  澤山 一弥…中山優馬   千葉 あやめ…川島海荷  澤山 梢平…松村北斗（ジャニーズJ"&amp;"r.）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http://www.tbs.co.jp/pintokona/『ぴんとこな』大好評!WEB限定オフショット企画「川島海荷の放送局"&amp;"」6  http://youtu.be/FVlWZ4UcuOo  番組の内容と放送時間は変更になる場合があります。")</f>
        <v>舞台で号泣するという失態をおかし、姿を消した一弥。再び歌舞伎に挑ませるため必死に奔走する恭之助だったが、彼の決意は固く…完二郎の粋な計らいで、最後にもう一度だけ舞台に上がる決意をするも、梢平のどす黒い企みに操られた優奈に学校へ呼び出された一弥は、本番直前、倉庫に閉じ込められる！時間は刻々と迫り、劇場ではまんまと一弥の代役として梢平が準備を始める…そして遂に開演の時が！一弥の未来が今、閉ざされるー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http://www.tbs.co.jp/pintokona/『ぴんとこな』大好評!WEB限定オフショット企画「川島海荷の放送局」6  http://youtu.be/FVlWZ4UcuOo  番組の内容と放送時間は変更になる場合があります。</v>
      </c>
      <c r="N5473" s="2"/>
      <c r="O5473" s="2"/>
      <c r="P5473" s="1"/>
      <c r="Q5473" s="1"/>
      <c r="R5473" s="1"/>
      <c r="S5473" s="1"/>
      <c r="T5473" s="1"/>
      <c r="U5473" s="1"/>
      <c r="V5473" s="1"/>
      <c r="W5473" s="1"/>
      <c r="X5473" s="1"/>
      <c r="Y5473" s="1"/>
      <c r="Z5473" s="1"/>
      <c r="AA5473" s="1"/>
      <c r="AB5473" s="1"/>
      <c r="AC5473" s="1"/>
      <c r="AD5473" s="1"/>
      <c r="AE5473" s="1"/>
      <c r="AF5473" s="1"/>
      <c r="AG5473" s="1"/>
      <c r="AH5473" s="1"/>
      <c r="AI5473" s="1"/>
      <c r="AJ5473" s="1"/>
      <c r="AK5473" s="1"/>
      <c r="AL5473" s="1"/>
      <c r="AM5473" s="1"/>
      <c r="AN5473" s="1"/>
      <c r="AO5473" s="1"/>
      <c r="AP5473" s="1"/>
      <c r="AQ5473" s="1"/>
      <c r="AR5473" s="1"/>
      <c r="AS5473" s="1"/>
      <c r="AT5473" s="1"/>
      <c r="AU5473" s="1"/>
      <c r="AV5473" s="1"/>
      <c r="AW5473" s="1"/>
      <c r="AX5473" s="1"/>
      <c r="AY5473" s="1"/>
      <c r="AZ5473" s="1"/>
      <c r="BA5473" s="1"/>
      <c r="BB5473" s="1"/>
    </row>
    <row r="5474" ht="204.75" customHeight="1">
      <c r="A5474" s="1">
        <v>3237.0</v>
      </c>
      <c r="B5474" s="2" t="s">
        <v>15071</v>
      </c>
      <c r="C5474" s="2">
        <f>IFERROR(__xludf.DUMMYFUNCTION("split(B5474,""_"")"),1307.0)</f>
        <v>1307</v>
      </c>
      <c r="D5474" s="2" t="str">
        <f>IFERROR(__xludf.DUMMYFUNCTION("""COMPUTED_VALUE"""),"TBS")</f>
        <v>TBS</v>
      </c>
      <c r="E5474" s="2" t="str">
        <f>IFERROR(__xludf.DUMMYFUNCTION("""COMPUTED_VALUE"""),"木21")</f>
        <v>木21</v>
      </c>
      <c r="F5474" s="2" t="s">
        <v>15072</v>
      </c>
      <c r="G5474" s="2" t="s">
        <v>15085</v>
      </c>
      <c r="H5474" s="1">
        <v>7.0</v>
      </c>
      <c r="J5474" s="1" t="s">
        <v>11</v>
      </c>
      <c r="K5474" s="2" t="s">
        <v>15086</v>
      </c>
      <c r="L5474" s="2"/>
      <c r="M5474" s="2" t="str">
        <f>IFERROR(__xludf.DUMMYFUNCTION("split(split(K5474,""【"",false),""公式LINE"",false)"),"あやめとの急接近に成功する恭之助！日舞の家元の祝賀パーティーという豪華なイベントにあやめを誘い、ポイントアップを狙ったのだが…まさかの人物の登場で、衝撃の事件が！さらに、一弥のことを忘れようと必死で明るく振る舞うあやめを、優奈の残酷な“悪意”が次々と襲いーエスカレートする優奈の最終手段は何と『婚約発表』！？余りのみじめさに号泣するあやめ。その時、あやめのそばにいるのは一弥か、それとも恭之助かー？河村 恭之助…玉森裕太  澤山 一弥…中山優馬   千葉 あやめ…川島海荷  澤山 梢平…松村北斗（ジャニーズJ"&amp;"r.）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http://www.tbs.co.jp/pintokona/今週はキモノでご案内！大好評WEB限定オフショット企画「川島海荷の"&amp;"放送局」7 動画を公開しました！こちらからどうぞ！  http://youtu.be/lgSa6lmcyfk  番組の内容と放送時間は変更になる場合があります。")</f>
        <v>あやめとの急接近に成功する恭之助！日舞の家元の祝賀パーティーという豪華なイベントにあやめを誘い、ポイントアップを狙ったのだが…まさかの人物の登場で、衝撃の事件が！さらに、一弥のことを忘れようと必死で明るく振る舞うあやめを、優奈の残酷な“悪意”が次々と襲いーエスカレートする優奈の最終手段は何と『婚約発表』！？余りのみじめさに号泣するあやめ。その時、あやめのそばにいるのは一弥か、それとも恭之助かー？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http://www.tbs.co.jp/pintokona/今週はキモノでご案内！大好評WEB限定オフショット企画「川島海荷の放送局」7 動画を公開しました！こちらからどうぞ！  http://youtu.be/lgSa6lmcyfk  番組の内容と放送時間は変更になる場合があります。</v>
      </c>
      <c r="N5474" s="2"/>
      <c r="O5474" s="2"/>
      <c r="P5474" s="1"/>
      <c r="Q5474" s="1"/>
      <c r="R5474" s="1"/>
      <c r="S5474" s="1"/>
      <c r="T5474" s="1"/>
      <c r="U5474" s="1"/>
      <c r="V5474" s="1"/>
      <c r="W5474" s="1"/>
      <c r="X5474" s="1"/>
      <c r="Y5474" s="1"/>
      <c r="Z5474" s="1"/>
      <c r="AA5474" s="1"/>
      <c r="AB5474" s="1"/>
      <c r="AC5474" s="1"/>
      <c r="AD5474" s="1"/>
      <c r="AE5474" s="1"/>
      <c r="AF5474" s="1"/>
      <c r="AG5474" s="1"/>
      <c r="AH5474" s="1"/>
      <c r="AI5474" s="1"/>
      <c r="AJ5474" s="1"/>
      <c r="AK5474" s="1"/>
      <c r="AL5474" s="1"/>
      <c r="AM5474" s="1"/>
      <c r="AN5474" s="1"/>
      <c r="AO5474" s="1"/>
      <c r="AP5474" s="1"/>
      <c r="AQ5474" s="1"/>
      <c r="AR5474" s="1"/>
      <c r="AS5474" s="1"/>
      <c r="AT5474" s="1"/>
      <c r="AU5474" s="1"/>
      <c r="AV5474" s="1"/>
      <c r="AW5474" s="1"/>
      <c r="AX5474" s="1"/>
      <c r="AY5474" s="1"/>
      <c r="AZ5474" s="1"/>
      <c r="BA5474" s="1"/>
      <c r="BB5474" s="1"/>
    </row>
    <row r="5475" ht="204.75" customHeight="1">
      <c r="A5475" s="1">
        <v>3238.0</v>
      </c>
      <c r="B5475" s="2" t="s">
        <v>15071</v>
      </c>
      <c r="C5475" s="2">
        <f>IFERROR(__xludf.DUMMYFUNCTION("split(B5475,""_"")"),1307.0)</f>
        <v>1307</v>
      </c>
      <c r="D5475" s="2" t="str">
        <f>IFERROR(__xludf.DUMMYFUNCTION("""COMPUTED_VALUE"""),"TBS")</f>
        <v>TBS</v>
      </c>
      <c r="E5475" s="2" t="str">
        <f>IFERROR(__xludf.DUMMYFUNCTION("""COMPUTED_VALUE"""),"木21")</f>
        <v>木21</v>
      </c>
      <c r="F5475" s="2" t="s">
        <v>15072</v>
      </c>
      <c r="G5475" s="2" t="s">
        <v>15087</v>
      </c>
      <c r="H5475" s="1">
        <v>8.0</v>
      </c>
      <c r="J5475" s="1" t="s">
        <v>11</v>
      </c>
      <c r="K5475" s="2" t="s">
        <v>15088</v>
      </c>
      <c r="L5475" s="2"/>
      <c r="M5475" s="2" t="str">
        <f>IFERROR(__xludf.DUMMYFUNCTION("split(split(K5475,""【"",false),""公式LINE"",false)"),"遂にあやめへの想いを伝えた恭之助。しかしパーティーで再会した初恋の相手・美月が、恭之助に急接近！  二人きりの部屋でまさかのキス！？  大阪での公演にも現れ「泊まっていくから」！？  動揺しまくる恭之助！  シズに頼まれ大阪を訪れたあやめには「あなたみたいな地味な子、本気で相手にするわけない」と痛烈な一言…果たして二人の恋の行方は！？河村 恭之助…玉森裕太  澤山 一弥…中山優馬   千葉 あやめ…川島海荷  澤山 梢平…松村北斗（ジャニーズJr.）  坂本 春彦…ジェシー（ジャニーズJr.）  澤山 優"&amp;"奈…吉倉あおい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http://www.tbs.co.jp/pintokona/遂にプライベートルームへ！大好評WEB限定オフショット企画「川島海荷の放送局」8　動画を公開しました！こちらからどうぞ！  ht"&amp;"tp://youtu.be/2IhSbighRRo  アジア最終予選9/4～9/8まで生放送「4年に一度の世界一決定戦の出場権をかけ最終決戦」女子:日本,チャイニーズタイペイ、ベトナム、オーストラリア、タイ　男子:日本、カタール、ニュージーランド、韓国※19時から放送の、「世界バレー　アジア最終予選女子」の試合状況により、放送時間が変更になる場合があります。※")</f>
        <v>遂にあやめへの想いを伝えた恭之助。しかしパーティーで再会した初恋の相手・美月が、恭之助に急接近！  二人きりの部屋でまさかのキス！？  大阪での公演にも現れ「泊まっていくから」！？  動揺しまくる恭之助！  シズに頼まれ大阪を訪れたあやめには「あなたみたいな地味な子、本気で相手にするわけない」と痛烈な一言…果たして二人の恋の行方は！？河村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http://www.tbs.co.jp/pintokona/遂にプライベートルームへ！大好評WEB限定オフショット企画「川島海荷の放送局」8　動画を公開しました！こちらからどうぞ！  http://youtu.be/2IhSbighRRo  アジア最終予選9/4～9/8まで生放送「4年に一度の世界一決定戦の出場権をかけ最終決戦」女子:日本,チャイニーズタイペイ、ベトナム、オーストラリア、タイ　男子:日本、カタール、ニュージーランド、韓国※19時から放送の、「世界バレー　アジア最終予選女子」の試合状況により、放送時間が変更になる場合があります。※</v>
      </c>
      <c r="N5475" s="2"/>
      <c r="O5475" s="2"/>
      <c r="P5475" s="1"/>
      <c r="Q5475" s="1"/>
      <c r="R5475" s="1"/>
      <c r="S5475" s="1"/>
      <c r="T5475" s="1"/>
      <c r="U5475" s="1"/>
      <c r="V5475" s="1"/>
      <c r="W5475" s="1"/>
      <c r="X5475" s="1"/>
      <c r="Y5475" s="1"/>
      <c r="Z5475" s="1"/>
      <c r="AA5475" s="1"/>
      <c r="AB5475" s="1"/>
      <c r="AC5475" s="1"/>
      <c r="AD5475" s="1"/>
      <c r="AE5475" s="1"/>
      <c r="AF5475" s="1"/>
      <c r="AG5475" s="1"/>
      <c r="AH5475" s="1"/>
      <c r="AI5475" s="1"/>
      <c r="AJ5475" s="1"/>
      <c r="AK5475" s="1"/>
      <c r="AL5475" s="1"/>
      <c r="AM5475" s="1"/>
      <c r="AN5475" s="1"/>
      <c r="AO5475" s="1"/>
      <c r="AP5475" s="1"/>
      <c r="AQ5475" s="1"/>
      <c r="AR5475" s="1"/>
      <c r="AS5475" s="1"/>
      <c r="AT5475" s="1"/>
      <c r="AU5475" s="1"/>
      <c r="AV5475" s="1"/>
      <c r="AW5475" s="1"/>
      <c r="AX5475" s="1"/>
      <c r="AY5475" s="1"/>
      <c r="AZ5475" s="1"/>
      <c r="BA5475" s="1"/>
      <c r="BB5475" s="1"/>
    </row>
    <row r="5476" ht="204.75" customHeight="1">
      <c r="A5476" s="1">
        <v>3239.0</v>
      </c>
      <c r="B5476" s="2" t="s">
        <v>15071</v>
      </c>
      <c r="C5476" s="2">
        <f>IFERROR(__xludf.DUMMYFUNCTION("split(B5476,""_"")"),1307.0)</f>
        <v>1307</v>
      </c>
      <c r="D5476" s="2" t="str">
        <f>IFERROR(__xludf.DUMMYFUNCTION("""COMPUTED_VALUE"""),"TBS")</f>
        <v>TBS</v>
      </c>
      <c r="E5476" s="2" t="str">
        <f>IFERROR(__xludf.DUMMYFUNCTION("""COMPUTED_VALUE"""),"木21")</f>
        <v>木21</v>
      </c>
      <c r="F5476" s="2" t="s">
        <v>15072</v>
      </c>
      <c r="G5476" s="2" t="s">
        <v>15089</v>
      </c>
      <c r="H5476" s="1">
        <v>9.0</v>
      </c>
      <c r="J5476" s="1" t="s">
        <v>11</v>
      </c>
      <c r="K5476" s="2" t="s">
        <v>15090</v>
      </c>
      <c r="L5476" s="2"/>
      <c r="M5476" s="2" t="str">
        <f>IFERROR(__xludf.DUMMYFUNCTION("split(split(K5476,""【"",false),""公式LINE"",false)"),"ついに一つ屋根の下！ウキウキの恭之助は、あやめに急接近！そんな中…突然あやめの父親が現れる。かつて借金から逃げ、あやめを置いて失踪した父・啓介。「恭之助とのゴシップ写真を撮らせれば金になる」と言う啓介。あやめは激しく拒絶するが…一儲けを企むスポーツ新聞社編集長・大川は「できないならヌード写真集を出そう」と言い出す。父の借金返済のため…そして何より恭之助を守るため…あやめが下した最後の決断とはー！？河村 恭之助…玉森裕太  澤山 一弥…中山優馬   千葉 あやめ…川島海荷  澤山 梢平…松村北斗（ジャニーズ"&amp;"Jr.）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  ■動画公開中  「川島海荷の放送局」9  http://yo"&amp;"utu.be/AFKovL5cRAI  番組の内容と放送時間は変更になる場合があります。")</f>
        <v>ついに一つ屋根の下！ウキウキの恭之助は、あやめに急接近！そんな中…突然あやめの父親が現れる。かつて借金から逃げ、あやめを置いて失踪した父・啓介。「恭之助とのゴシップ写真を撮らせれば金になる」と言う啓介。あやめは激しく拒絶するが…一儲けを企むスポーツ新聞社編集長・大川は「できないならヌード写真集を出そう」と言い出す。父の借金返済のため…そして何より恭之助を守るため…あやめが下した最後の決断とはー！？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  ■動画公開中  「川島海荷の放送局」9  http://youtu.be/AFKovL5cRAI  番組の内容と放送時間は変更になる場合があります。</v>
      </c>
      <c r="N5476" s="2"/>
      <c r="O5476" s="2"/>
      <c r="P5476" s="1"/>
      <c r="Q5476" s="1"/>
      <c r="R5476" s="1"/>
      <c r="S5476" s="1"/>
      <c r="T5476" s="1"/>
      <c r="U5476" s="1"/>
      <c r="V5476" s="1"/>
      <c r="W5476" s="1"/>
      <c r="X5476" s="1"/>
      <c r="Y5476" s="1"/>
      <c r="Z5476" s="1"/>
      <c r="AA5476" s="1"/>
      <c r="AB5476" s="1"/>
      <c r="AC5476" s="1"/>
      <c r="AD5476" s="1"/>
      <c r="AE5476" s="1"/>
      <c r="AF5476" s="1"/>
      <c r="AG5476" s="1"/>
      <c r="AH5476" s="1"/>
      <c r="AI5476" s="1"/>
      <c r="AJ5476" s="1"/>
      <c r="AK5476" s="1"/>
      <c r="AL5476" s="1"/>
      <c r="AM5476" s="1"/>
      <c r="AN5476" s="1"/>
      <c r="AO5476" s="1"/>
      <c r="AP5476" s="1"/>
      <c r="AQ5476" s="1"/>
      <c r="AR5476" s="1"/>
      <c r="AS5476" s="1"/>
      <c r="AT5476" s="1"/>
      <c r="AU5476" s="1"/>
      <c r="AV5476" s="1"/>
      <c r="AW5476" s="1"/>
      <c r="AX5476" s="1"/>
      <c r="AY5476" s="1"/>
      <c r="AZ5476" s="1"/>
      <c r="BA5476" s="1"/>
      <c r="BB5476" s="1"/>
    </row>
    <row r="5477" ht="204.75" customHeight="1">
      <c r="A5477" s="1">
        <v>3240.0</v>
      </c>
      <c r="B5477" s="2" t="s">
        <v>15071</v>
      </c>
      <c r="C5477" s="2">
        <f>IFERROR(__xludf.DUMMYFUNCTION("split(B5477,""_"")"),1307.0)</f>
        <v>1307</v>
      </c>
      <c r="D5477" s="2" t="str">
        <f>IFERROR(__xludf.DUMMYFUNCTION("""COMPUTED_VALUE"""),"TBS")</f>
        <v>TBS</v>
      </c>
      <c r="E5477" s="2" t="str">
        <f>IFERROR(__xludf.DUMMYFUNCTION("""COMPUTED_VALUE"""),"木21")</f>
        <v>木21</v>
      </c>
      <c r="F5477" s="2" t="s">
        <v>15072</v>
      </c>
      <c r="G5477" s="2" t="s">
        <v>15091</v>
      </c>
      <c r="H5477" s="1">
        <v>10.0</v>
      </c>
      <c r="J5477" s="1" t="s">
        <v>11</v>
      </c>
      <c r="K5477" s="2" t="s">
        <v>15092</v>
      </c>
      <c r="L5477" s="2"/>
      <c r="M5477" s="2" t="str">
        <f>IFERROR(__xludf.DUMMYFUNCTION("split(split(K5477,""【"",false),""公式LINE"",false)"),"世左衛門は一刻を争う危機的な病状…恭之助は父への心配と思うように進まない稽古にいらだち、あやめとの間もギクシャクしてしまう。澤山の家を出された一弥は、世左衛門の見舞いに来た病院であやめと再会。しかしその瞬間を恭之助が目撃！一弥はあやめを水族館に誘って…ボタンの掛け違いが重なり、運命の恋は今、終わりを迎えようとしていたー河村 恭之助…玉森裕太  澤山 一弥…中山優馬   千葉 あやめ…川島海荷  澤山 梢平…松村北斗（ジャニーズJr.）  坂本 春彦…ジェシー（ジャニーズJr.）  澤山 優奈…吉倉あおい "&amp;"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  『ぴんとこな』大好評WEB限定オフショット企画「川島海荷の放送局」10  http://youtu.be/NyeR9ERLv0g番組の内容と"&amp;"放送時間は変更になる場合があります。")</f>
        <v>世左衛門は一刻を争う危機的な病状…恭之助は父への心配と思うように進まない稽古にいらだち、あやめとの間もギクシャクしてしまう。澤山の家を出された一弥は、世左衛門の見舞いに来た病院であやめと再会。しかしその瞬間を恭之助が目撃！一弥はあやめを水族館に誘って…ボタンの掛け違いが重なり、運命の恋は今、終わりを迎えようとしていたー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  『ぴんとこな』大好評WEB限定オフショット企画「川島海荷の放送局」10  http://youtu.be/NyeR9ERLv0g番組の内容と放送時間は変更になる場合があります。</v>
      </c>
      <c r="N5477" s="2"/>
      <c r="O5477" s="2"/>
      <c r="P5477" s="1"/>
      <c r="Q5477" s="1"/>
      <c r="R5477" s="1"/>
      <c r="S5477" s="1"/>
      <c r="T5477" s="1"/>
      <c r="U5477" s="1"/>
      <c r="V5477" s="1"/>
      <c r="W5477" s="1"/>
      <c r="X5477" s="1"/>
      <c r="Y5477" s="1"/>
      <c r="Z5477" s="1"/>
      <c r="AA5477" s="1"/>
      <c r="AB5477" s="1"/>
      <c r="AC5477" s="1"/>
      <c r="AD5477" s="1"/>
      <c r="AE5477" s="1"/>
      <c r="AF5477" s="1"/>
      <c r="AG5477" s="1"/>
      <c r="AH5477" s="1"/>
      <c r="AI5477" s="1"/>
      <c r="AJ5477" s="1"/>
      <c r="AK5477" s="1"/>
      <c r="AL5477" s="1"/>
      <c r="AM5477" s="1"/>
      <c r="AN5477" s="1"/>
      <c r="AO5477" s="1"/>
      <c r="AP5477" s="1"/>
      <c r="AQ5477" s="1"/>
      <c r="AR5477" s="1"/>
      <c r="AS5477" s="1"/>
      <c r="AT5477" s="1"/>
      <c r="AU5477" s="1"/>
      <c r="AV5477" s="1"/>
      <c r="AW5477" s="1"/>
      <c r="AX5477" s="1"/>
      <c r="AY5477" s="1"/>
      <c r="AZ5477" s="1"/>
      <c r="BA5477" s="1"/>
      <c r="BB5477" s="1"/>
    </row>
    <row r="5478" ht="204.75" customHeight="1">
      <c r="A5478" s="1">
        <v>3250.0</v>
      </c>
      <c r="B5478" s="2" t="s">
        <v>15093</v>
      </c>
      <c r="C5478" s="2">
        <f>IFERROR(__xludf.DUMMYFUNCTION("split(B5478,""_"")"),1307.0)</f>
        <v>1307</v>
      </c>
      <c r="D5478" s="2" t="str">
        <f>IFERROR(__xludf.DUMMYFUNCTION("""COMPUTED_VALUE"""),"TBS")</f>
        <v>TBS</v>
      </c>
      <c r="E5478" s="2" t="str">
        <f>IFERROR(__xludf.DUMMYFUNCTION("""COMPUTED_VALUE"""),"金22")</f>
        <v>金22</v>
      </c>
      <c r="F5478" s="2" t="s">
        <v>14807</v>
      </c>
      <c r="G5478" s="2" t="s">
        <v>15094</v>
      </c>
      <c r="H5478" s="1">
        <v>1.0</v>
      </c>
      <c r="J5478" s="1" t="s">
        <v>4</v>
      </c>
      <c r="K5478" s="2" t="s">
        <v>15095</v>
      </c>
      <c r="L5478" s="2"/>
      <c r="M5478" s="2" t="str">
        <f>IFERROR(__xludf.DUMMYFUNCTION("split(split(K5478,""【"",false),""公式LINE"",false)"),"子どもがみんな巣立っていった普通の家。  家族の世話役から解き放たれた主婦が始めた「自宅レストラン」には、居場所を失い問題を抱えた縁もゆかりもない若者たちが集まって…。彼らを住み込みで働かせることを決意する妻。平穏な定年を過ごそうとしていた夫はあっという間に巻き込まれていきます。  2013年の今、最もリアルな「擬似家族」の物語。  長島大悟…舘ひろし  長島綾…浅野温子  内田陽子…志田未来  大竹昇…安田章大（関ジャニ∞）  中津恵理…紺野まひる  長島悟…池田努  長島至…水上剣星  長島健…小澤亮"&amp;"太  長島百合…早織  西木邦…泉ピン子橋田壽賀子主題歌：「バラッド」指田郁也  （ワーナーミュージック・ジャパン）企画編成：十二竜也  プロデューサー：荒井光明  演出：吉田秋生　酒井聖博☆番組HP  http://www.tbs.co.jp/naruyouninarusa/  ☆番組Twitter  https://twitter.com/narunaru_tbs脚本の橋田壽賀子さんが7月13日よる7時「ジョブチューン～アノ職業のヒミツぶっちゃけます！」に出演！番組では橋田さんの衝撃発言もあり！「ジョ"&amp;"ブチューン」を見て「なるようになるさ。」をもっと楽しもう！「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f>
        <v>子どもがみんな巣立っていった普通の家。  家族の世話役から解き放たれた主婦が始めた「自宅レストラン」には、居場所を失い問題を抱えた縁もゆかりもない若者たちが集まって…。彼らを住み込みで働かせることを決意する妻。平穏な定年を過ごそうとしていた夫はあっという間に巻き込まれていきます。  2013年の今、最もリアルな「擬似家族」の物語。  長島大悟…舘ひろし  長島綾…浅野温子  内田陽子…志田未来  大竹昇…安田章大（関ジャニ∞）  中津恵理…紺野まひる  長島悟…池田努  長島至…水上剣星  長島健…小澤亮太  長島百合…早織  西木邦…泉ピン子橋田壽賀子主題歌：「バラッド」指田郁也  （ワーナーミュージック・ジャパン）企画編成：十二竜也  プロデューサー：荒井光明  演出：吉田秋生　酒井聖博☆番組HP  http://www.tbs.co.jp/naruyouninarusa/  ☆番組Twitter  https://twitter.com/narunaru_tbs脚本の橋田壽賀子さんが7月13日よる7時「ジョブチューン～アノ職業のヒミツぶっちゃけます！」に出演！番組では橋田さんの衝撃発言もあり！「ジョブチューン」を見て「なるようになるさ。」をもっと楽しもう！「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v>
      </c>
      <c r="N5478" s="2"/>
      <c r="O5478" s="2"/>
      <c r="P5478" s="1"/>
      <c r="Q5478" s="1"/>
      <c r="R5478" s="1"/>
      <c r="S5478" s="1"/>
      <c r="T5478" s="1"/>
      <c r="U5478" s="1"/>
      <c r="V5478" s="1"/>
      <c r="W5478" s="1"/>
      <c r="X5478" s="1"/>
      <c r="Y5478" s="1"/>
      <c r="Z5478" s="1"/>
      <c r="AA5478" s="1"/>
      <c r="AB5478" s="1"/>
      <c r="AC5478" s="1"/>
      <c r="AD5478" s="1"/>
      <c r="AE5478" s="1"/>
      <c r="AF5478" s="1"/>
      <c r="AG5478" s="1"/>
      <c r="AH5478" s="1"/>
      <c r="AI5478" s="1"/>
      <c r="AJ5478" s="1"/>
      <c r="AK5478" s="1"/>
      <c r="AL5478" s="1"/>
      <c r="AM5478" s="1"/>
      <c r="AN5478" s="1"/>
      <c r="AO5478" s="1"/>
      <c r="AP5478" s="1"/>
      <c r="AQ5478" s="1"/>
      <c r="AR5478" s="1"/>
      <c r="AS5478" s="1"/>
      <c r="AT5478" s="1"/>
      <c r="AU5478" s="1"/>
      <c r="AV5478" s="1"/>
      <c r="AW5478" s="1"/>
      <c r="AX5478" s="1"/>
      <c r="AY5478" s="1"/>
      <c r="AZ5478" s="1"/>
      <c r="BA5478" s="1"/>
      <c r="BB5478" s="1"/>
    </row>
    <row r="5479" ht="204.75" customHeight="1">
      <c r="A5479" s="1">
        <v>3251.0</v>
      </c>
      <c r="B5479" s="2" t="s">
        <v>15093</v>
      </c>
      <c r="C5479" s="2">
        <f>IFERROR(__xludf.DUMMYFUNCTION("split(B5479,""_"")"),1307.0)</f>
        <v>1307</v>
      </c>
      <c r="D5479" s="2" t="str">
        <f>IFERROR(__xludf.DUMMYFUNCTION("""COMPUTED_VALUE"""),"TBS")</f>
        <v>TBS</v>
      </c>
      <c r="E5479" s="2" t="str">
        <f>IFERROR(__xludf.DUMMYFUNCTION("""COMPUTED_VALUE"""),"金22")</f>
        <v>金22</v>
      </c>
      <c r="F5479" s="2" t="s">
        <v>14807</v>
      </c>
      <c r="G5479" s="2" t="s">
        <v>15094</v>
      </c>
      <c r="H5479" s="1">
        <v>2.0</v>
      </c>
      <c r="J5479" s="1" t="s">
        <v>86</v>
      </c>
      <c r="K5479" s="2" t="s">
        <v>15096</v>
      </c>
      <c r="L5479" s="2"/>
      <c r="M5479" s="2" t="str">
        <f>IFERROR(__xludf.DUMMYFUNCTION("split(split(K5479,""【"",false),""公式LINE"",false)"),"恵理（紺野まひる）、陽子（志田未来）に続いて、綾（浅野温子）の姉・邦（泉ピン子）に連れられてレストランにやって来た大竹昇（安田章大）。  大悟（舘ひろし）は、昇にも巣立った息子の部屋を与える。  部屋に閉じこもって心を開こうとしない引きこもり青年・昇が、綾のレストランでどう変わっていくのか？  見守るそれぞれの変化も描きます。長島大悟…舘ひろし  長島綾…浅野温子  内田陽子…志田未来  大竹昇…安田章大  中津恵理…紺野まひる  長島健…小澤亮太  大竹茂…金田明夫  大竹元子…あめくみちこ  西木邦…"&amp;"泉ピン子橋田壽賀子主題歌：「バラッド」指田郁也  （ワーナーミュージック・ジャパン）企画編成：十二竜也  プロデューサー：荒井光明  演出：吉田秋生　酒井聖博☆番組HP  http://www.tbs.co.jp/naruyouninarusa/  ☆番組Twitter  https://twitter.com/narunaru_tbs1話見逃しスペシャルダイジェスト＆2話予告動画を公開しました！こちらからどうぞ！  http://youtu.be/RXTjsH1uNQ8「世界陸上モスクワ」8月10日開幕"&amp;"！世界最高峰の陸上競技大会がこの夏再び。初日いきなり女子マラソン＆男子100m。2013年夏、人類が再び進化してしまう！番組の内容と放送時間は変更になる場合があります。")</f>
        <v>恵理（紺野まひる）、陽子（志田未来）に続いて、綾（浅野温子）の姉・邦（泉ピン子）に連れられてレストランにやって来た大竹昇（安田章大）。  大悟（舘ひろし）は、昇にも巣立った息子の部屋を与える。  部屋に閉じこもって心を開こうとしない引きこもり青年・昇が、綾のレストランでどう変わっていくのか？  見守るそれぞれの変化も描きます。長島大悟…舘ひろし  長島綾…浅野温子  内田陽子…志田未来  大竹昇…安田章大  中津恵理…紺野まひる  長島健…小澤亮太  大竹茂…金田明夫  大竹元子…あめくみちこ  西木邦…泉ピン子橋田壽賀子主題歌：「バラッド」指田郁也  （ワーナーミュージック・ジャパン）企画編成：十二竜也  プロデューサー：荒井光明  演出：吉田秋生　酒井聖博☆番組HP  http://www.tbs.co.jp/naruyouninarusa/  ☆番組Twitter  https://twitter.com/narunaru_tbs1話見逃しスペシャルダイジェスト＆2話予告動画を公開しました！こちらからどうぞ！  http://youtu.be/RXTjsH1uNQ8「世界陸上モスクワ」8月10日開幕！世界最高峰の陸上競技大会がこの夏再び。初日いきなり女子マラソン＆男子100m。2013年夏、人類が再び進化してしまう！番組の内容と放送時間は変更になる場合があります。</v>
      </c>
      <c r="N5479" s="2"/>
      <c r="O5479" s="2"/>
      <c r="P5479" s="1"/>
      <c r="Q5479" s="1"/>
      <c r="R5479" s="1"/>
      <c r="S5479" s="1"/>
      <c r="T5479" s="1"/>
      <c r="U5479" s="1"/>
      <c r="V5479" s="1"/>
      <c r="W5479" s="1"/>
      <c r="X5479" s="1"/>
      <c r="Y5479" s="1"/>
      <c r="Z5479" s="1"/>
      <c r="AA5479" s="1"/>
      <c r="AB5479" s="1"/>
      <c r="AC5479" s="1"/>
      <c r="AD5479" s="1"/>
      <c r="AE5479" s="1"/>
      <c r="AF5479" s="1"/>
      <c r="AG5479" s="1"/>
      <c r="AH5479" s="1"/>
      <c r="AI5479" s="1"/>
      <c r="AJ5479" s="1"/>
      <c r="AK5479" s="1"/>
      <c r="AL5479" s="1"/>
      <c r="AM5479" s="1"/>
      <c r="AN5479" s="1"/>
      <c r="AO5479" s="1"/>
      <c r="AP5479" s="1"/>
      <c r="AQ5479" s="1"/>
      <c r="AR5479" s="1"/>
      <c r="AS5479" s="1"/>
      <c r="AT5479" s="1"/>
      <c r="AU5479" s="1"/>
      <c r="AV5479" s="1"/>
      <c r="AW5479" s="1"/>
      <c r="AX5479" s="1"/>
      <c r="AY5479" s="1"/>
      <c r="AZ5479" s="1"/>
      <c r="BA5479" s="1"/>
      <c r="BB5479" s="1"/>
    </row>
    <row r="5480" ht="204.75" customHeight="1">
      <c r="A5480" s="1">
        <v>3252.0</v>
      </c>
      <c r="B5480" s="2" t="s">
        <v>15093</v>
      </c>
      <c r="C5480" s="2">
        <f>IFERROR(__xludf.DUMMYFUNCTION("split(B5480,""_"")"),1307.0)</f>
        <v>1307</v>
      </c>
      <c r="D5480" s="2" t="str">
        <f>IFERROR(__xludf.DUMMYFUNCTION("""COMPUTED_VALUE"""),"TBS")</f>
        <v>TBS</v>
      </c>
      <c r="E5480" s="2" t="str">
        <f>IFERROR(__xludf.DUMMYFUNCTION("""COMPUTED_VALUE"""),"金22")</f>
        <v>金22</v>
      </c>
      <c r="F5480" s="2" t="s">
        <v>14807</v>
      </c>
      <c r="G5480" s="2" t="s">
        <v>15094</v>
      </c>
      <c r="H5480" s="1">
        <v>3.0</v>
      </c>
      <c r="J5480" s="1" t="s">
        <v>86</v>
      </c>
      <c r="K5480" s="2" t="s">
        <v>15097</v>
      </c>
      <c r="L5480" s="2"/>
      <c r="M5480" s="2" t="str">
        <f>IFERROR(__xludf.DUMMYFUNCTION("split(split(K5480,""【"",false),""公式LINE"",false)"),"邦（泉ピン子）と二人きりで話した昇（安田章大）が、突然、店を出て行くと言い出す。  必死で引き止める綾（浅野温子）や陽子（志田未来）に昇が出した結論は？  一方、大悟（舘ひろし）は、ひとりぼっちでお店を覗いている男の子に遭遇。  果たして少年の正体は？長島大悟…舘ひろし  長島綾…浅野温子  内田陽子…志田未来  大竹昇…安田章大  中津恵理…紺野まひる  恵理の息子・誠…大西利空  小田由美子…黒坂真美  西木邦…泉ピン子橋田壽賀子主題歌：「バラッド」指田郁也  （ワーナーミュージック・ジャパン）企画編"&amp;"成：十二竜也  プロデューサー：荒井光明  演出：吉田秋生　酒井聖博☆番組HP  http://www.tbs.co.jp/naruyouninarusa/  ☆番組Twitter  @narunaru_tbs  https://twitter.com/narunaru_tbs  2話ダイジェスト＆3話予告の動画を公開しました！こちらからどうぞ  http://youtu.be/fclhA7nZY4s  「世界陸上モスクワ」8月10日開幕！世界最高峰の陸上競技大会がこの夏再び。初日いきなり女子マラソン・野"&amp;"口みずき復活なるか＆男子100m・世界最速ボルト登場。2013年夏、人類が再び進化してしまう！番組の内容と放送時間は変更になる場合があります。")</f>
        <v>邦（泉ピン子）と二人きりで話した昇（安田章大）が、突然、店を出て行くと言い出す。  必死で引き止める綾（浅野温子）や陽子（志田未来）に昇が出した結論は？  一方、大悟（舘ひろし）は、ひとりぼっちでお店を覗いている男の子に遭遇。  果たして少年の正体は？長島大悟…舘ひろし  長島綾…浅野温子  内田陽子…志田未来  大竹昇…安田章大  中津恵理…紺野まひる  恵理の息子・誠…大西利空  小田由美子…黒坂真美  西木邦…泉ピン子橋田壽賀子主題歌：「バラッド」指田郁也  （ワーナーミュージック・ジャパン）企画編成：十二竜也  プロデューサー：荒井光明  演出：吉田秋生　酒井聖博☆番組HP  http://www.tbs.co.jp/naruyouninarusa/  ☆番組Twitter  @narunaru_tbs  https://twitter.com/narunaru_tbs  2話ダイジェスト＆3話予告の動画を公開しました！こちらからどうぞ  http://youtu.be/fclhA7nZY4s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v>
      </c>
      <c r="N5480" s="2"/>
      <c r="O5480" s="2"/>
      <c r="P5480" s="1"/>
      <c r="Q5480" s="1"/>
      <c r="R5480" s="1"/>
      <c r="S5480" s="1"/>
      <c r="T5480" s="1"/>
      <c r="U5480" s="1"/>
      <c r="V5480" s="1"/>
      <c r="W5480" s="1"/>
      <c r="X5480" s="1"/>
      <c r="Y5480" s="1"/>
      <c r="Z5480" s="1"/>
      <c r="AA5480" s="1"/>
      <c r="AB5480" s="1"/>
      <c r="AC5480" s="1"/>
      <c r="AD5480" s="1"/>
      <c r="AE5480" s="1"/>
      <c r="AF5480" s="1"/>
      <c r="AG5480" s="1"/>
      <c r="AH5480" s="1"/>
      <c r="AI5480" s="1"/>
      <c r="AJ5480" s="1"/>
      <c r="AK5480" s="1"/>
      <c r="AL5480" s="1"/>
      <c r="AM5480" s="1"/>
      <c r="AN5480" s="1"/>
      <c r="AO5480" s="1"/>
      <c r="AP5480" s="1"/>
      <c r="AQ5480" s="1"/>
      <c r="AR5480" s="1"/>
      <c r="AS5480" s="1"/>
      <c r="AT5480" s="1"/>
      <c r="AU5480" s="1"/>
      <c r="AV5480" s="1"/>
      <c r="AW5480" s="1"/>
      <c r="AX5480" s="1"/>
      <c r="AY5480" s="1"/>
      <c r="AZ5480" s="1"/>
      <c r="BA5480" s="1"/>
      <c r="BB5480" s="1"/>
    </row>
    <row r="5481" ht="204.75" customHeight="1">
      <c r="A5481" s="1">
        <v>3253.0</v>
      </c>
      <c r="B5481" s="2" t="s">
        <v>15093</v>
      </c>
      <c r="C5481" s="2">
        <f>IFERROR(__xludf.DUMMYFUNCTION("split(B5481,""_"")"),1307.0)</f>
        <v>1307</v>
      </c>
      <c r="D5481" s="2" t="str">
        <f>IFERROR(__xludf.DUMMYFUNCTION("""COMPUTED_VALUE"""),"TBS")</f>
        <v>TBS</v>
      </c>
      <c r="E5481" s="2" t="str">
        <f>IFERROR(__xludf.DUMMYFUNCTION("""COMPUTED_VALUE"""),"金22")</f>
        <v>金22</v>
      </c>
      <c r="F5481" s="2" t="s">
        <v>14807</v>
      </c>
      <c r="G5481" s="2" t="s">
        <v>15094</v>
      </c>
      <c r="H5481" s="1">
        <v>4.0</v>
      </c>
      <c r="J5481" s="1" t="s">
        <v>86</v>
      </c>
      <c r="K5481" s="2" t="s">
        <v>15098</v>
      </c>
      <c r="L5481" s="2"/>
      <c r="M5481" s="2" t="str">
        <f>IFERROR(__xludf.DUMMYFUNCTION("split(split(K5481,""【"",false),""公式LINE"",false)"),"恵理（紺野まひる）の息子・誠（大西利空）も一緒に暮らすべきだと提案する大悟（舘ひろし）。  自分の身の上を語り出す恵理（紺野まひる）。  一緒に暮らすべきだと綾（浅野温子）も考えていた。  昇（安田章大）にはチラシのイラストを見た広告代理店の担当者からアプローチが…。  陽子（志田未来）には警察官が訪ねて来る。長島大悟…舘ひろし  長島綾…浅野温子  内田陽子…志田未来  大竹昇…安田章大（関ジャニ∞）  中津恵理…紺野まひる  恵理の息子・誠…大西利空  小田由美子…黒坂真美  警察官…宮下裕治  西木"&amp;"邦…泉ピン子作：橋田壽賀子  主題歌：「バラッド」指田郁也  （ワーナーミュージック・ジャパン）企画編成：十二竜也  プロデューサー：荒井光明  演出：吉田秋生　酒井聖博☆番組HP  http://www.tbs.co.jp/naruyouninarusa/  ☆番組Twitter  @narunaru_tbs  https://twitter.com/narunaru_tbs  「世界陸上モスクワ」8月10日開幕！世界最高峰の陸上競技大会がこの夏再び。初日いきなり女子マラソン・野口みずき復活なるか＆男子"&amp;"100m・世界最速ボルト登場。2013年夏、人類が再び進化してしまう！番組の内容と放送時間は変更になる場合があります。")</f>
        <v>恵理（紺野まひる）の息子・誠（大西利空）も一緒に暮らすべきだと提案する大悟（舘ひろし）。  自分の身の上を語り出す恵理（紺野まひる）。  一緒に暮らすべきだと綾（浅野温子）も考えていた。  昇（安田章大）にはチラシのイラストを見た広告代理店の担当者からアプローチが…。  陽子（志田未来）には警察官が訪ねて来る。長島大悟…舘ひろし  長島綾…浅野温子  内田陽子…志田未来  大竹昇…安田章大（関ジャニ∞）  中津恵理…紺野まひる  恵理の息子・誠…大西利空  小田由美子…黒坂真美  警察官…宮下裕治  西木邦…泉ピン子作：橋田壽賀子  主題歌：「バラッド」指田郁也  （ワーナーミュージック・ジャパン）企画編成：十二竜也  プロデューサー：荒井光明  演出：吉田秋生　酒井聖博☆番組HP  http://www.tbs.co.jp/naruyouninarusa/  ☆番組Twitter  @narunaru_tbs  https://twitter.com/narunaru_tbs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v>
      </c>
      <c r="N5481" s="2"/>
      <c r="O5481" s="2"/>
      <c r="P5481" s="1"/>
      <c r="Q5481" s="1"/>
      <c r="R5481" s="1"/>
      <c r="S5481" s="1"/>
      <c r="T5481" s="1"/>
      <c r="U5481" s="1"/>
      <c r="V5481" s="1"/>
      <c r="W5481" s="1"/>
      <c r="X5481" s="1"/>
      <c r="Y5481" s="1"/>
      <c r="Z5481" s="1"/>
      <c r="AA5481" s="1"/>
      <c r="AB5481" s="1"/>
      <c r="AC5481" s="1"/>
      <c r="AD5481" s="1"/>
      <c r="AE5481" s="1"/>
      <c r="AF5481" s="1"/>
      <c r="AG5481" s="1"/>
      <c r="AH5481" s="1"/>
      <c r="AI5481" s="1"/>
      <c r="AJ5481" s="1"/>
      <c r="AK5481" s="1"/>
      <c r="AL5481" s="1"/>
      <c r="AM5481" s="1"/>
      <c r="AN5481" s="1"/>
      <c r="AO5481" s="1"/>
      <c r="AP5481" s="1"/>
      <c r="AQ5481" s="1"/>
      <c r="AR5481" s="1"/>
      <c r="AS5481" s="1"/>
      <c r="AT5481" s="1"/>
      <c r="AU5481" s="1"/>
      <c r="AV5481" s="1"/>
      <c r="AW5481" s="1"/>
      <c r="AX5481" s="1"/>
      <c r="AY5481" s="1"/>
      <c r="AZ5481" s="1"/>
      <c r="BA5481" s="1"/>
      <c r="BB5481" s="1"/>
    </row>
    <row r="5482" ht="204.75" customHeight="1">
      <c r="A5482" s="1">
        <v>3254.0</v>
      </c>
      <c r="B5482" s="2" t="s">
        <v>15093</v>
      </c>
      <c r="C5482" s="2">
        <f>IFERROR(__xludf.DUMMYFUNCTION("split(B5482,""_"")"),1307.0)</f>
        <v>1307</v>
      </c>
      <c r="D5482" s="2" t="str">
        <f>IFERROR(__xludf.DUMMYFUNCTION("""COMPUTED_VALUE"""),"TBS")</f>
        <v>TBS</v>
      </c>
      <c r="E5482" s="2" t="str">
        <f>IFERROR(__xludf.DUMMYFUNCTION("""COMPUTED_VALUE"""),"金22")</f>
        <v>金22</v>
      </c>
      <c r="F5482" s="2" t="s">
        <v>14807</v>
      </c>
      <c r="G5482" s="2" t="s">
        <v>15094</v>
      </c>
      <c r="H5482" s="1">
        <v>5.0</v>
      </c>
      <c r="J5482" s="1" t="s">
        <v>86</v>
      </c>
      <c r="K5482" s="2" t="s">
        <v>15099</v>
      </c>
      <c r="L5482" s="2"/>
      <c r="M5482" s="2" t="str">
        <f>IFERROR(__xludf.DUMMYFUNCTION("split(split(K5482,""【"",false),""公式LINE"",false)"),"真実が明らかにされた陽子（志田未来）を見守る大悟（舘ひろし）たち。  大悟のいない時に訪ねてきた陽子の母親（有森也実）。  家に帰るようにさとす綾（浅野温子）。  続いて、保護司・村山（志賀廣太郎）が店を訪ねてくる。長島大悟…舘ひろし  長島綾…浅野温子  内田陽子…志田未来  大竹昇…安田章大  中津恵理…紺野まひる  恵理の息子・誠…大西利空  沢木克子…有森也実  保護司・村山…志賀廣太郎  西木邦…泉ピン子橋田壽賀子主題歌：「バラッド」指田郁也  （ワーナーミュージック・ジャパン）企画編成：十二竜"&amp;"也  プロデューサー：荒井光明  演出：吉田秋生　酒井聖博☆番組HP  http://www.tbs.co.jp/naruyouninarusa/  ☆番組Twitter  @narunaru_tbs  https://twitter.com/narunaru_tbs  ◆4話ダイジェスト&amp;5話予告公開中！  http://youtu.be/-J4kZVnGfHs    「世界陸上モスクワ」8月10日開幕！世界最高峰の陸上競技大会がこの夏再び。初日いきなり女子マラソン・野口みずき復活なるか＆男子100m・"&amp;"世界最速ボルト登場。2013年夏、人類が再び進化してしまう！番組の内容と放送時間は変更になる場合があります。")</f>
        <v>真実が明らかにされた陽子（志田未来）を見守る大悟（舘ひろし）たち。  大悟のいない時に訪ねてきた陽子の母親（有森也実）。  家に帰るようにさとす綾（浅野温子）。  続いて、保護司・村山（志賀廣太郎）が店を訪ねてくる。長島大悟…舘ひろし  長島綾…浅野温子  内田陽子…志田未来  大竹昇…安田章大  中津恵理…紺野まひる  恵理の息子・誠…大西利空  沢木克子…有森也実  保護司・村山…志賀廣太郎  西木邦…泉ピン子橋田壽賀子主題歌：「バラッド」指田郁也  （ワーナーミュージック・ジャパン）企画編成：十二竜也  プロデューサー：荒井光明  演出：吉田秋生　酒井聖博☆番組HP  http://www.tbs.co.jp/naruyouninarusa/  ☆番組Twitter  @narunaru_tbs  https://twitter.com/narunaru_tbs  ◆4話ダイジェスト&amp;5話予告公開中！  http://youtu.be/-J4kZVnGfHs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v>
      </c>
      <c r="N5482" s="2"/>
      <c r="O5482" s="2"/>
      <c r="P5482" s="1"/>
      <c r="Q5482" s="1"/>
      <c r="R5482" s="1"/>
      <c r="S5482" s="1"/>
      <c r="T5482" s="1"/>
      <c r="U5482" s="1"/>
      <c r="V5482" s="1"/>
      <c r="W5482" s="1"/>
      <c r="X5482" s="1"/>
      <c r="Y5482" s="1"/>
      <c r="Z5482" s="1"/>
      <c r="AA5482" s="1"/>
      <c r="AB5482" s="1"/>
      <c r="AC5482" s="1"/>
      <c r="AD5482" s="1"/>
      <c r="AE5482" s="1"/>
      <c r="AF5482" s="1"/>
      <c r="AG5482" s="1"/>
      <c r="AH5482" s="1"/>
      <c r="AI5482" s="1"/>
      <c r="AJ5482" s="1"/>
      <c r="AK5482" s="1"/>
      <c r="AL5482" s="1"/>
      <c r="AM5482" s="1"/>
      <c r="AN5482" s="1"/>
      <c r="AO5482" s="1"/>
      <c r="AP5482" s="1"/>
      <c r="AQ5482" s="1"/>
      <c r="AR5482" s="1"/>
      <c r="AS5482" s="1"/>
      <c r="AT5482" s="1"/>
      <c r="AU5482" s="1"/>
      <c r="AV5482" s="1"/>
      <c r="AW5482" s="1"/>
      <c r="AX5482" s="1"/>
      <c r="AY5482" s="1"/>
      <c r="AZ5482" s="1"/>
      <c r="BA5482" s="1"/>
      <c r="BB5482" s="1"/>
    </row>
    <row r="5483" ht="204.75" customHeight="1">
      <c r="A5483" s="1">
        <v>3255.0</v>
      </c>
      <c r="B5483" s="2" t="s">
        <v>15093</v>
      </c>
      <c r="C5483" s="2">
        <f>IFERROR(__xludf.DUMMYFUNCTION("split(B5483,""_"")"),1307.0)</f>
        <v>1307</v>
      </c>
      <c r="D5483" s="2" t="str">
        <f>IFERROR(__xludf.DUMMYFUNCTION("""COMPUTED_VALUE"""),"TBS")</f>
        <v>TBS</v>
      </c>
      <c r="E5483" s="2" t="str">
        <f>IFERROR(__xludf.DUMMYFUNCTION("""COMPUTED_VALUE"""),"金22")</f>
        <v>金22</v>
      </c>
      <c r="F5483" s="2" t="s">
        <v>14807</v>
      </c>
      <c r="G5483" s="2" t="s">
        <v>15094</v>
      </c>
      <c r="H5483" s="1">
        <v>6.0</v>
      </c>
      <c r="J5483" s="1" t="s">
        <v>86</v>
      </c>
      <c r="K5483" s="2" t="s">
        <v>15100</v>
      </c>
      <c r="L5483" s="2"/>
      <c r="M5483" s="2" t="str">
        <f>IFERROR(__xludf.DUMMYFUNCTION("split(split(K5483,""【"",false),""公式LINE"",false)"),"母親と共に自宅へ帰った陽子（志田未来）。  店には、担当の保護司・村山（志賀廣太郎）や父親・耕造（野村宏伸）など、陽子を心配してやまない人々が訪ねて来る。対応する大悟（舘ひろし）と綾（浅野温子）。大悟は、昇（安田章大）には、仕事のチャンスを。誠（大西利空）には、勉強の機会を与える努力をする。長島大悟…舘ひろし  長島綾…浅野温子  内田陽子…志田未来  大竹昇…安田章大  中津恵理…紺野まひる  恵理の息子・誠…大西利空  沢木克子…有森也実  沢木耕造…野村宏伸  保護司・村山…志賀廣太郎橋田壽賀子主題"&amp;"歌：「バラッド」指田郁也  （ワーナーミュージック・ジャパン）企画編成：十二竜也  プロデューサー：荒井光明  演出：吉田秋生　酒井聖博☆番組HP  http://www.tbs.co.jp/naruyouninarusa/  ☆番組Twitter  @narunaru_tbs  https://twitter.com/narunaru_tbs  金曜22時『なるようになるさ。』第5話（8/9）ダイジェスト＆第6話（8/16）予告  http://youtu.be/HkXAGF5hBN4  「世界陸上モス"&amp;"クワ」陸上競技世界最高峰の戦い、8月18日(日)まで連日放送中。   人類が再び進化する瞬間を目撃せよ。  番組HP　http://www.tbs.co.jp/seriku/番組の内容と放送時間は変更になる場合があります。")</f>
        <v>母親と共に自宅へ帰った陽子（志田未来）。  店には、担当の保護司・村山（志賀廣太郎）や父親・耕造（野村宏伸）など、陽子を心配してやまない人々が訪ねて来る。対応する大悟（舘ひろし）と綾（浅野温子）。大悟は、昇（安田章大）には、仕事のチャンスを。誠（大西利空）には、勉強の機会を与える努力をする。長島大悟…舘ひろし  長島綾…浅野温子  内田陽子…志田未来  大竹昇…安田章大  中津恵理…紺野まひる  恵理の息子・誠…大西利空  沢木克子…有森也実  沢木耕造…野村宏伸  保護司・村山…志賀廣太郎橋田壽賀子主題歌：「バラッド」指田郁也  （ワーナーミュージック・ジャパン）企画編成：十二竜也  プロデューサー：荒井光明  演出：吉田秋生　酒井聖博☆番組HP  http://www.tbs.co.jp/naruyouninarusa/  ☆番組Twitter  @narunaru_tbs  https://twitter.com/narunaru_tbs  金曜22時『なるようになるさ。』第5話（8/9）ダイジェスト＆第6話（8/16）予告  http://youtu.be/HkXAGF5hBN4  「世界陸上モスクワ」陸上競技世界最高峰の戦い、8月18日(日)まで連日放送中。   人類が再び進化する瞬間を目撃せよ。  番組HP　http://www.tbs.co.jp/seriku/番組の内容と放送時間は変更になる場合があります。</v>
      </c>
      <c r="N5483" s="2"/>
      <c r="O5483" s="2"/>
      <c r="P5483" s="1"/>
      <c r="Q5483" s="1"/>
      <c r="R5483" s="1"/>
      <c r="S5483" s="1"/>
      <c r="T5483" s="1"/>
      <c r="U5483" s="1"/>
      <c r="V5483" s="1"/>
      <c r="W5483" s="1"/>
      <c r="X5483" s="1"/>
      <c r="Y5483" s="1"/>
      <c r="Z5483" s="1"/>
      <c r="AA5483" s="1"/>
      <c r="AB5483" s="1"/>
      <c r="AC5483" s="1"/>
      <c r="AD5483" s="1"/>
      <c r="AE5483" s="1"/>
      <c r="AF5483" s="1"/>
      <c r="AG5483" s="1"/>
      <c r="AH5483" s="1"/>
      <c r="AI5483" s="1"/>
      <c r="AJ5483" s="1"/>
      <c r="AK5483" s="1"/>
      <c r="AL5483" s="1"/>
      <c r="AM5483" s="1"/>
      <c r="AN5483" s="1"/>
      <c r="AO5483" s="1"/>
      <c r="AP5483" s="1"/>
      <c r="AQ5483" s="1"/>
      <c r="AR5483" s="1"/>
      <c r="AS5483" s="1"/>
      <c r="AT5483" s="1"/>
      <c r="AU5483" s="1"/>
      <c r="AV5483" s="1"/>
      <c r="AW5483" s="1"/>
      <c r="AX5483" s="1"/>
      <c r="AY5483" s="1"/>
      <c r="AZ5483" s="1"/>
      <c r="BA5483" s="1"/>
      <c r="BB5483" s="1"/>
    </row>
    <row r="5484" ht="204.75" customHeight="1">
      <c r="A5484" s="1">
        <v>3256.0</v>
      </c>
      <c r="B5484" s="2" t="s">
        <v>15093</v>
      </c>
      <c r="C5484" s="2">
        <f>IFERROR(__xludf.DUMMYFUNCTION("split(B5484,""_"")"),1307.0)</f>
        <v>1307</v>
      </c>
      <c r="D5484" s="2" t="str">
        <f>IFERROR(__xludf.DUMMYFUNCTION("""COMPUTED_VALUE"""),"TBS")</f>
        <v>TBS</v>
      </c>
      <c r="E5484" s="2" t="str">
        <f>IFERROR(__xludf.DUMMYFUNCTION("""COMPUTED_VALUE"""),"金22")</f>
        <v>金22</v>
      </c>
      <c r="F5484" s="2" t="s">
        <v>14807</v>
      </c>
      <c r="G5484" s="2" t="s">
        <v>15094</v>
      </c>
      <c r="H5484" s="1">
        <v>7.0</v>
      </c>
      <c r="J5484" s="1" t="s">
        <v>86</v>
      </c>
      <c r="K5484" s="2" t="s">
        <v>15101</v>
      </c>
      <c r="L5484" s="2"/>
      <c r="M5484" s="2" t="str">
        <f>IFERROR(__xludf.DUMMYFUNCTION("split(split(K5484,""【"",false),""公式LINE"",false)"),"お店は綾（浅野温子）の努力のもと住み込みの3人に手当てをあげられるくらい軌道にのって来た。  一方、お節介ともとられかねない大悟の行動力は止まらない。  素直になりきれない陽子。  次に現れたのは小学生の子供だけでスパゲティを食べにくる兄妹・福（坂口湧久）と夢（奥田いろは）だった。  長島大悟…舘ひろし  長島綾…浅野温子  内田陽子…志田未来  大竹昇…安田章大  中津恵理…紺野まひる  恵理の息子・誠…大西利空  清原…山口翔悟  大木福…坂口湧久  大木夢…奥田いろは  西木邦…泉ピン子橋田壽賀子主"&amp;"題歌：「バラッド」指田郁也  （ワーナーミュージック・ジャパン）企画編成：十二竜也  プロデューサー：荒井光明  演出：吉田秋生　酒井聖博☆番組HP  http://www.tbs.co.jp/naruyouninarusa/  ☆番組Twitter  @narunaru_tbs  https://twitter.com/narunaru_tbs  金曜ドラマ『なるようになるさ。』第6話(8/16)見逃しダイジェスト&amp;第7話(8/23)予告動画を公開しました！こちらからどうぞ！  http://youtu"&amp;".be/UuSOOcwPUd0  指田郁也「バラッド」『なるようになるさ。』主題歌8/15（木）赤坂サカスステージライブ  http://youtu.be/D83vCyRVndc  番組の内容と放送時間は変更になる場合があります。")</f>
        <v>お店は綾（浅野温子）の努力のもと住み込みの3人に手当てをあげられるくらい軌道にのって来た。  一方、お節介ともとられかねない大悟の行動力は止まらない。  素直になりきれない陽子。  次に現れたのは小学生の子供だけでスパゲティを食べにくる兄妹・福（坂口湧久）と夢（奥田いろは）だった。  長島大悟…舘ひろし  長島綾…浅野温子  内田陽子…志田未来  大竹昇…安田章大  中津恵理…紺野まひる  恵理の息子・誠…大西利空  清原…山口翔悟  大木福…坂口湧久  大木夢…奥田いろは  西木邦…泉ピン子橋田壽賀子主題歌：「バラッド」指田郁也  （ワーナーミュージック・ジャパン）企画編成：十二竜也  プロデューサー：荒井光明  演出：吉田秋生　酒井聖博☆番組HP  http://www.tbs.co.jp/naruyouninarusa/  ☆番組Twitter  @narunaru_tbs  https://twitter.com/narunaru_tbs  金曜ドラマ『なるようになるさ。』第6話(8/16)見逃しダイジェスト&amp;第7話(8/23)予告動画を公開しました！こちらからどうぞ！  http://youtu.be/UuSOOcwPUd0  指田郁也「バラッド」『なるようになるさ。』主題歌8/15（木）赤坂サカスステージライブ  http://youtu.be/D83vCyRVndc  番組の内容と放送時間は変更になる場合があります。</v>
      </c>
      <c r="N5484" s="2"/>
      <c r="O5484" s="2"/>
      <c r="P5484" s="1"/>
      <c r="Q5484" s="1"/>
      <c r="R5484" s="1"/>
      <c r="S5484" s="1"/>
      <c r="T5484" s="1"/>
      <c r="U5484" s="1"/>
      <c r="V5484" s="1"/>
      <c r="W5484" s="1"/>
      <c r="X5484" s="1"/>
      <c r="Y5484" s="1"/>
      <c r="Z5484" s="1"/>
      <c r="AA5484" s="1"/>
      <c r="AB5484" s="1"/>
      <c r="AC5484" s="1"/>
      <c r="AD5484" s="1"/>
      <c r="AE5484" s="1"/>
      <c r="AF5484" s="1"/>
      <c r="AG5484" s="1"/>
      <c r="AH5484" s="1"/>
      <c r="AI5484" s="1"/>
      <c r="AJ5484" s="1"/>
      <c r="AK5484" s="1"/>
      <c r="AL5484" s="1"/>
      <c r="AM5484" s="1"/>
      <c r="AN5484" s="1"/>
      <c r="AO5484" s="1"/>
      <c r="AP5484" s="1"/>
      <c r="AQ5484" s="1"/>
      <c r="AR5484" s="1"/>
      <c r="AS5484" s="1"/>
      <c r="AT5484" s="1"/>
      <c r="AU5484" s="1"/>
      <c r="AV5484" s="1"/>
      <c r="AW5484" s="1"/>
      <c r="AX5484" s="1"/>
      <c r="AY5484" s="1"/>
      <c r="AZ5484" s="1"/>
      <c r="BA5484" s="1"/>
      <c r="BB5484" s="1"/>
    </row>
    <row r="5485" ht="204.75" customHeight="1">
      <c r="A5485" s="1">
        <v>3257.0</v>
      </c>
      <c r="B5485" s="2" t="s">
        <v>15093</v>
      </c>
      <c r="C5485" s="2">
        <f>IFERROR(__xludf.DUMMYFUNCTION("split(B5485,""_"")"),1307.0)</f>
        <v>1307</v>
      </c>
      <c r="D5485" s="2" t="str">
        <f>IFERROR(__xludf.DUMMYFUNCTION("""COMPUTED_VALUE"""),"TBS")</f>
        <v>TBS</v>
      </c>
      <c r="E5485" s="2" t="str">
        <f>IFERROR(__xludf.DUMMYFUNCTION("""COMPUTED_VALUE"""),"金22")</f>
        <v>金22</v>
      </c>
      <c r="F5485" s="2" t="s">
        <v>14807</v>
      </c>
      <c r="G5485" s="2" t="s">
        <v>15094</v>
      </c>
      <c r="H5485" s="1">
        <v>8.0</v>
      </c>
      <c r="J5485" s="1" t="s">
        <v>86</v>
      </c>
      <c r="K5485" s="2" t="s">
        <v>15102</v>
      </c>
      <c r="L5485" s="2"/>
      <c r="M5485" s="2" t="str">
        <f>IFERROR(__xludf.DUMMYFUNCTION("split(split(K5485,""【"",false),""公式LINE"",false)"),"福（坂口湧久）と夢（奥田いろは）の母親・律子（雛形あきこ）は、大悟（舘ひろし）の子供たちへの好意を否定する。  綾（浅野温子）は、陽子（志田未来）の“高認”合格のため、息子たちの指導もお願いした家庭教師の佐竹（石井正則）を招く。  そんな中、大阪に住む長男・悟（池田努）から、嫁が入院したという電話が！長島大悟…舘ひろし  長島綾…浅野温子  内田陽子…志田未来  大竹昇…安田章大  中津恵理…紺野まひる  長島悟…池田努  大木律子…雛形あきこ  佐竹伸人…石井正則  恵理の息子・誠…大西利空  大木福…"&amp;"坂口湧久  大木夢…奥田いろは  西木邦…泉ピン子橋田壽賀子主題歌：「バラッド」指田郁也  （ワーナーミュージック・ジャパン）企画編成：十二竜也  プロデューサー：荒井光明  演出：吉田秋生　酒井聖博☆番組HP  http://www.tbs.co.jp/naruyouninarusa/  ☆番組Twitter  @narunaru_tbs  https://twitter.com/narunaru_tbs  第7話見逃しダイジェスト＆第8話予告動画を公開しました！こちらからどうぞ！  http://yo"&amp;"utu.be/1yihyRFPMww  番組の内容と放送時間は変更になる場合があります。")</f>
        <v>福（坂口湧久）と夢（奥田いろは）の母親・律子（雛形あきこ）は、大悟（舘ひろし）の子供たちへの好意を否定する。  綾（浅野温子）は、陽子（志田未来）の“高認”合格のため、息子たちの指導もお願いした家庭教師の佐竹（石井正則）を招く。  そんな中、大阪に住む長男・悟（池田努）から、嫁が入院したという電話が！長島大悟…舘ひろし  長島綾…浅野温子  内田陽子…志田未来  大竹昇…安田章大  中津恵理…紺野まひる  長島悟…池田努  大木律子…雛形あきこ  佐竹伸人…石井正則  恵理の息子・誠…大西利空  大木福…坂口湧久  大木夢…奥田いろは  西木邦…泉ピン子橋田壽賀子主題歌：「バラッド」指田郁也  （ワーナーミュージック・ジャパン）企画編成：十二竜也  プロデューサー：荒井光明  演出：吉田秋生　酒井聖博☆番組HP  http://www.tbs.co.jp/naruyouninarusa/  ☆番組Twitter  @narunaru_tbs  https://twitter.com/narunaru_tbs  第7話見逃しダイジェスト＆第8話予告動画を公開しました！こちらからどうぞ！  http://youtu.be/1yihyRFPMww  番組の内容と放送時間は変更になる場合があります。</v>
      </c>
      <c r="N5485" s="2"/>
      <c r="O5485" s="2"/>
      <c r="P5485" s="1"/>
      <c r="Q5485" s="1"/>
      <c r="R5485" s="1"/>
      <c r="S5485" s="1"/>
      <c r="T5485" s="1"/>
      <c r="U5485" s="1"/>
      <c r="V5485" s="1"/>
      <c r="W5485" s="1"/>
      <c r="X5485" s="1"/>
      <c r="Y5485" s="1"/>
      <c r="Z5485" s="1"/>
      <c r="AA5485" s="1"/>
      <c r="AB5485" s="1"/>
      <c r="AC5485" s="1"/>
      <c r="AD5485" s="1"/>
      <c r="AE5485" s="1"/>
      <c r="AF5485" s="1"/>
      <c r="AG5485" s="1"/>
      <c r="AH5485" s="1"/>
      <c r="AI5485" s="1"/>
      <c r="AJ5485" s="1"/>
      <c r="AK5485" s="1"/>
      <c r="AL5485" s="1"/>
      <c r="AM5485" s="1"/>
      <c r="AN5485" s="1"/>
      <c r="AO5485" s="1"/>
      <c r="AP5485" s="1"/>
      <c r="AQ5485" s="1"/>
      <c r="AR5485" s="1"/>
      <c r="AS5485" s="1"/>
      <c r="AT5485" s="1"/>
      <c r="AU5485" s="1"/>
      <c r="AV5485" s="1"/>
      <c r="AW5485" s="1"/>
      <c r="AX5485" s="1"/>
      <c r="AY5485" s="1"/>
      <c r="AZ5485" s="1"/>
      <c r="BA5485" s="1"/>
      <c r="BB5485" s="1"/>
    </row>
    <row r="5486" ht="204.75" customHeight="1">
      <c r="A5486" s="1">
        <v>3258.0</v>
      </c>
      <c r="B5486" s="2" t="s">
        <v>15093</v>
      </c>
      <c r="C5486" s="2">
        <f>IFERROR(__xludf.DUMMYFUNCTION("split(B5486,""_"")"),1307.0)</f>
        <v>1307</v>
      </c>
      <c r="D5486" s="2" t="str">
        <f>IFERROR(__xludf.DUMMYFUNCTION("""COMPUTED_VALUE"""),"TBS")</f>
        <v>TBS</v>
      </c>
      <c r="E5486" s="2" t="str">
        <f>IFERROR(__xludf.DUMMYFUNCTION("""COMPUTED_VALUE"""),"金22")</f>
        <v>金22</v>
      </c>
      <c r="F5486" s="2" t="s">
        <v>14807</v>
      </c>
      <c r="G5486" s="2" t="s">
        <v>15094</v>
      </c>
      <c r="H5486" s="1">
        <v>9.0</v>
      </c>
      <c r="J5486" s="1" t="s">
        <v>86</v>
      </c>
      <c r="K5486" s="2" t="s">
        <v>15103</v>
      </c>
      <c r="L5486" s="2"/>
      <c r="M5486" s="2" t="str">
        <f>IFERROR(__xludf.DUMMYFUNCTION("split(split(K5486,""【"",false),""公式LINE"",false)"),"長男・悟（池田努）の子供たちの世話をするため大阪に向かった綾（浅野温子）は、言うことを聞かない孫たちに翻弄されっぱなし。  一方留守を預かる大悟（舘ひろし）は、実は料理が得意で、それなりに代理シェフ？生活をエンジョイしていたのだった。  陽子（志田未来）、昇（安田章大）もそれぞれ自分の目指す道を進み始める。長島大悟…舘ひろし  長島綾…浅野温子  内田陽子…志田未来  大竹昇…安田章大  中津恵理…紺野まひる  長島悟…池田努  佐竹伸人…石井正則  広告代理店・中山…デビット伊東  恵理の息子・誠…大西"&amp;"利空  大木福…坂口湧久  大木夢…奥田いろは  西木邦…泉ピン子橋田壽賀子主題歌：「バラッド」指田郁也  （ワーナーミュージック・ジャパン）企画編成：十二竜也  プロデューサー：荒井光明  演出：吉田秋生　酒井聖博☆番組HP  http://www.tbs.co.jp/naruyouninarusa/  ☆番組Twitter  @narunaru_tbs  https://twitter.com/narunaru_tbs  第8話(8/30)見逃しダイジェスト＆第9話(9/6)予告動画公開しました！  "&amp;"http://youtu.be/Zp-4n5aUNX0  アジア最終予選9/4～9/8まで生放送「4年に一度の世界一決定戦の出場権をかけ最終決戦」女子:日本,チャイニーズタイペイ、ベトナム、オーストラリア、タイ　男子:日本、カタール、ニュージーランド、韓国番組の内容と放送時間は変更になる場合があります。")</f>
        <v>長男・悟（池田努）の子供たちの世話をするため大阪に向かった綾（浅野温子）は、言うことを聞かない孫たちに翻弄されっぱなし。  一方留守を預かる大悟（舘ひろし）は、実は料理が得意で、それなりに代理シェフ？生活をエンジョイしていたのだった。  陽子（志田未来）、昇（安田章大）もそれぞれ自分の目指す道を進み始める。長島大悟…舘ひろし  長島綾…浅野温子  内田陽子…志田未来  大竹昇…安田章大  中津恵理…紺野まひる  長島悟…池田努  佐竹伸人…石井正則  広告代理店・中山…デビット伊東  恵理の息子・誠…大西利空  大木福…坂口湧久  大木夢…奥田いろは  西木邦…泉ピン子橋田壽賀子主題歌：「バラッド」指田郁也  （ワーナーミュージック・ジャパン）企画編成：十二竜也  プロデューサー：荒井光明  演出：吉田秋生　酒井聖博☆番組HP  http://www.tbs.co.jp/naruyouninarusa/  ☆番組Twitter  @narunaru_tbs  https://twitter.com/narunaru_tbs  第8話(8/30)見逃しダイジェスト＆第9話(9/6)予告動画公開しました！  http://youtu.be/Zp-4n5aUNX0  アジア最終予選9/4～9/8まで生放送「4年に一度の世界一決定戦の出場権をかけ最終決戦」女子:日本,チャイニーズタイペイ、ベトナム、オーストラリア、タイ　男子:日本、カタール、ニュージーランド、韓国番組の内容と放送時間は変更になる場合があります。</v>
      </c>
      <c r="N5486" s="2"/>
      <c r="O5486" s="2"/>
      <c r="P5486" s="1"/>
      <c r="Q5486" s="1"/>
      <c r="R5486" s="1"/>
      <c r="S5486" s="1"/>
      <c r="T5486" s="1"/>
      <c r="U5486" s="1"/>
      <c r="V5486" s="1"/>
      <c r="W5486" s="1"/>
      <c r="X5486" s="1"/>
      <c r="Y5486" s="1"/>
      <c r="Z5486" s="1"/>
      <c r="AA5486" s="1"/>
      <c r="AB5486" s="1"/>
      <c r="AC5486" s="1"/>
      <c r="AD5486" s="1"/>
      <c r="AE5486" s="1"/>
      <c r="AF5486" s="1"/>
      <c r="AG5486" s="1"/>
      <c r="AH5486" s="1"/>
      <c r="AI5486" s="1"/>
      <c r="AJ5486" s="1"/>
      <c r="AK5486" s="1"/>
      <c r="AL5486" s="1"/>
      <c r="AM5486" s="1"/>
      <c r="AN5486" s="1"/>
      <c r="AO5486" s="1"/>
      <c r="AP5486" s="1"/>
      <c r="AQ5486" s="1"/>
      <c r="AR5486" s="1"/>
      <c r="AS5486" s="1"/>
      <c r="AT5486" s="1"/>
      <c r="AU5486" s="1"/>
      <c r="AV5486" s="1"/>
      <c r="AW5486" s="1"/>
      <c r="AX5486" s="1"/>
      <c r="AY5486" s="1"/>
      <c r="AZ5486" s="1"/>
      <c r="BA5486" s="1"/>
      <c r="BB5486" s="1"/>
    </row>
    <row r="5487" ht="204.75" customHeight="1">
      <c r="A5487" s="1">
        <v>3259.0</v>
      </c>
      <c r="B5487" s="2" t="s">
        <v>15093</v>
      </c>
      <c r="C5487" s="2">
        <f>IFERROR(__xludf.DUMMYFUNCTION("split(B5487,""_"")"),1307.0)</f>
        <v>1307</v>
      </c>
      <c r="D5487" s="2" t="str">
        <f>IFERROR(__xludf.DUMMYFUNCTION("""COMPUTED_VALUE"""),"TBS")</f>
        <v>TBS</v>
      </c>
      <c r="E5487" s="2" t="str">
        <f>IFERROR(__xludf.DUMMYFUNCTION("""COMPUTED_VALUE"""),"金22")</f>
        <v>金22</v>
      </c>
      <c r="F5487" s="2" t="s">
        <v>14807</v>
      </c>
      <c r="G5487" s="2" t="s">
        <v>15104</v>
      </c>
      <c r="H5487" s="1">
        <v>10.0</v>
      </c>
      <c r="J5487" s="1" t="s">
        <v>86</v>
      </c>
      <c r="K5487" s="2" t="s">
        <v>15105</v>
      </c>
      <c r="L5487" s="2"/>
      <c r="M5487" s="2" t="str">
        <f>IFERROR(__xludf.DUMMYFUNCTION("split(split(K5487,""【"",false),""公式LINE"",false)"),"昇（安田章大）のイラストが新聞広告一面に採用されることに。  当然、今は居場所を告げていない父・茂（金田明夫）や母・元子（あめくみちこ）の目にも触れることになる。  見守り応援する大悟（舘ひろし）と綾（浅野温子）たち。  昇のもとへ邦（泉ピン子）が連れて来たのは？長島大悟…舘ひろし  長島綾…浅野温子  内田陽子…志田未来  大竹昇…安田章大  中津恵理…紺野まひる  長島健…小澤亮太  大竹茂…金田明夫  大竹元子…あめくみちこ  佐竹伸人…石井正則  広告代理店・中山…デビット伊東  恵理の息子・誠…"&amp;"大西利空  大木福…坂口湧久  大木夢…奥田いろは  西木邦…泉ピン子作：橋田壽賀子主題歌：「バラッド」指田郁也  （ワーナーミュージック・ジャパン）企画編成：十二竜也  プロデューサー：荒井光明  演出：吉田秋生　酒井聖博　阿南昭宏☆番組HP  http://www.tbs.co.jp/naruyouninarusa/  ☆番組Twitter  @narunaru_tbs  https://twitter.com/narunaru_tbs  ☆第9話見逃しダイジェスト&amp;第10話予告動画  http://"&amp;"youtu.be/ChYqDkjtKx8  番組の内容と放送時間は変更になる場合があります。")</f>
        <v>昇（安田章大）のイラストが新聞広告一面に採用されることに。  当然、今は居場所を告げていない父・茂（金田明夫）や母・元子（あめくみちこ）の目にも触れることになる。  見守り応援する大悟（舘ひろし）と綾（浅野温子）たち。  昇のもとへ邦（泉ピン子）が連れて来たのは？長島大悟…舘ひろし  長島綾…浅野温子  内田陽子…志田未来  大竹昇…安田章大  中津恵理…紺野まひる  長島健…小澤亮太  大竹茂…金田明夫  大竹元子…あめくみちこ  佐竹伸人…石井正則  広告代理店・中山…デビット伊東  恵理の息子・誠…大西利空  大木福…坂口湧久  大木夢…奥田いろは  西木邦…泉ピン子作：橋田壽賀子主題歌：「バラッド」指田郁也  （ワーナーミュージック・ジャパン）企画編成：十二竜也  プロデューサー：荒井光明  演出：吉田秋生　酒井聖博　阿南昭宏☆番組HP  http://www.tbs.co.jp/naruyouninarusa/  ☆番組Twitter  @narunaru_tbs  https://twitter.com/narunaru_tbs  ☆第9話見逃しダイジェスト&amp;第10話予告動画  http://youtu.be/ChYqDkjtKx8  番組の内容と放送時間は変更になる場合があります。</v>
      </c>
      <c r="N5487" s="2"/>
      <c r="O5487" s="2"/>
      <c r="P5487" s="1"/>
      <c r="Q5487" s="1"/>
      <c r="R5487" s="1"/>
      <c r="S5487" s="1"/>
      <c r="T5487" s="1"/>
      <c r="U5487" s="1"/>
      <c r="V5487" s="1"/>
      <c r="W5487" s="1"/>
      <c r="X5487" s="1"/>
      <c r="Y5487" s="1"/>
      <c r="Z5487" s="1"/>
      <c r="AA5487" s="1"/>
      <c r="AB5487" s="1"/>
      <c r="AC5487" s="1"/>
      <c r="AD5487" s="1"/>
      <c r="AE5487" s="1"/>
      <c r="AF5487" s="1"/>
      <c r="AG5487" s="1"/>
      <c r="AH5487" s="1"/>
      <c r="AI5487" s="1"/>
      <c r="AJ5487" s="1"/>
      <c r="AK5487" s="1"/>
      <c r="AL5487" s="1"/>
      <c r="AM5487" s="1"/>
      <c r="AN5487" s="1"/>
      <c r="AO5487" s="1"/>
      <c r="AP5487" s="1"/>
      <c r="AQ5487" s="1"/>
      <c r="AR5487" s="1"/>
      <c r="AS5487" s="1"/>
      <c r="AT5487" s="1"/>
      <c r="AU5487" s="1"/>
      <c r="AV5487" s="1"/>
      <c r="AW5487" s="1"/>
      <c r="AX5487" s="1"/>
      <c r="AY5487" s="1"/>
      <c r="AZ5487" s="1"/>
      <c r="BA5487" s="1"/>
      <c r="BB5487" s="1"/>
    </row>
    <row r="5488" ht="204.75" customHeight="1">
      <c r="A5488" s="1">
        <v>3260.0</v>
      </c>
      <c r="B5488" s="2" t="s">
        <v>15093</v>
      </c>
      <c r="C5488" s="2">
        <f>IFERROR(__xludf.DUMMYFUNCTION("split(B5488,""_"")"),1307.0)</f>
        <v>1307</v>
      </c>
      <c r="D5488" s="2" t="str">
        <f>IFERROR(__xludf.DUMMYFUNCTION("""COMPUTED_VALUE"""),"TBS")</f>
        <v>TBS</v>
      </c>
      <c r="E5488" s="2" t="str">
        <f>IFERROR(__xludf.DUMMYFUNCTION("""COMPUTED_VALUE"""),"金22")</f>
        <v>金22</v>
      </c>
      <c r="F5488" s="2" t="s">
        <v>14807</v>
      </c>
      <c r="G5488" s="2" t="s">
        <v>15106</v>
      </c>
      <c r="H5488" s="1">
        <v>11.0</v>
      </c>
      <c r="J5488" s="1" t="s">
        <v>86</v>
      </c>
      <c r="K5488" s="2" t="s">
        <v>15107</v>
      </c>
      <c r="L5488" s="2"/>
      <c r="M5488" s="2" t="str">
        <f>IFERROR(__xludf.DUMMYFUNCTION("split(split(K5488,""【"",false),""公式LINE"",false)"),"店を出て行くと言い出した恵理を大悟は優しくさとす。  一方、昇の元には母に続き父・茂（金田明夫）が。  陽子（志田未来）の元には母・克子（有森也実）が現れる。  見守る大悟と綾の思いは交錯する。長島大悟…舘ひろし  長島綾…浅野温子  内田陽子…志田未来  大竹昇…安田章大  中津恵理…紺野まひる  大竹茂…金田明夫  大竹元子…あめくみちこ  沢木克子…有森也実  千葉正夫…岡田義徳  佐竹伸人…石井正則  広告代理店・中山…デビット伊東  恵理の息子・誠…大西利空  大木福…坂口湧久  大木夢…奥田い"&amp;"ろは  西木邦…泉ピン子作：橋田壽賀子主題歌：「バラッド」指田郁也  （ワーナーミュージック・ジャパン）企画編成：十二竜也  プロデューサー：荒井光明  演出：吉田秋生　酒井聖博　阿南昭宏☆番組HP  http://www.tbs.co.jp/naruyouninarusa/  ☆番組Twitter  @narunaru_tbs  https://twitter.com/narunaru_tbs  『なるようになるさ。』第10話ダイジェスト＆最終話予告  http://youtu.be/KnfIeIrxs"&amp;"p8番組の内容と放送時間は変更になる場合があります。")</f>
        <v>店を出て行くと言い出した恵理を大悟は優しくさとす。  一方、昇の元には母に続き父・茂（金田明夫）が。  陽子（志田未来）の元には母・克子（有森也実）が現れる。  見守る大悟と綾の思いは交錯する。長島大悟…舘ひろし  長島綾…浅野温子  内田陽子…志田未来  大竹昇…安田章大  中津恵理…紺野まひる  大竹茂…金田明夫  大竹元子…あめくみちこ  沢木克子…有森也実  千葉正夫…岡田義徳  佐竹伸人…石井正則  広告代理店・中山…デビット伊東  恵理の息子・誠…大西利空  大木福…坂口湧久  大木夢…奥田いろは  西木邦…泉ピン子作：橋田壽賀子主題歌：「バラッド」指田郁也  （ワーナーミュージック・ジャパン）企画編成：十二竜也  プロデューサー：荒井光明  演出：吉田秋生　酒井聖博　阿南昭宏☆番組HP  http://www.tbs.co.jp/naruyouninarusa/  ☆番組Twitter  @narunaru_tbs  https://twitter.com/narunaru_tbs  『なるようになるさ。』第10話ダイジェスト＆最終話予告  http://youtu.be/KnfIeIrxsp8番組の内容と放送時間は変更になる場合があります。</v>
      </c>
      <c r="N5488" s="2"/>
      <c r="O5488" s="2"/>
      <c r="P5488" s="1"/>
      <c r="Q5488" s="1"/>
      <c r="R5488" s="1"/>
      <c r="S5488" s="1"/>
      <c r="T5488" s="1"/>
      <c r="U5488" s="1"/>
      <c r="V5488" s="1"/>
      <c r="W5488" s="1"/>
      <c r="X5488" s="1"/>
      <c r="Y5488" s="1"/>
      <c r="Z5488" s="1"/>
      <c r="AA5488" s="1"/>
      <c r="AB5488" s="1"/>
      <c r="AC5488" s="1"/>
      <c r="AD5488" s="1"/>
      <c r="AE5488" s="1"/>
      <c r="AF5488" s="1"/>
      <c r="AG5488" s="1"/>
      <c r="AH5488" s="1"/>
      <c r="AI5488" s="1"/>
      <c r="AJ5488" s="1"/>
      <c r="AK5488" s="1"/>
      <c r="AL5488" s="1"/>
      <c r="AM5488" s="1"/>
      <c r="AN5488" s="1"/>
      <c r="AO5488" s="1"/>
      <c r="AP5488" s="1"/>
      <c r="AQ5488" s="1"/>
      <c r="AR5488" s="1"/>
      <c r="AS5488" s="1"/>
      <c r="AT5488" s="1"/>
      <c r="AU5488" s="1"/>
      <c r="AV5488" s="1"/>
      <c r="AW5488" s="1"/>
      <c r="AX5488" s="1"/>
      <c r="AY5488" s="1"/>
      <c r="AZ5488" s="1"/>
      <c r="BA5488" s="1"/>
      <c r="BB5488" s="1"/>
    </row>
    <row r="5489" ht="204.75" customHeight="1">
      <c r="A5489" s="1">
        <v>3279.0</v>
      </c>
      <c r="B5489" s="2" t="s">
        <v>15108</v>
      </c>
      <c r="C5489" s="2">
        <f>IFERROR(__xludf.DUMMYFUNCTION("split(B5489,""_"")"),1307.0)</f>
        <v>1307</v>
      </c>
      <c r="D5489" s="2" t="str">
        <f>IFERROR(__xludf.DUMMYFUNCTION("""COMPUTED_VALUE"""),"TBS")</f>
        <v>TBS</v>
      </c>
      <c r="E5489" s="2" t="str">
        <f>IFERROR(__xludf.DUMMYFUNCTION("""COMPUTED_VALUE"""),"日21")</f>
        <v>日21</v>
      </c>
      <c r="F5489" s="2" t="s">
        <v>15109</v>
      </c>
      <c r="G5489" s="2" t="s">
        <v>15110</v>
      </c>
      <c r="H5489" s="1">
        <v>1.0</v>
      </c>
      <c r="J5489" s="1" t="s">
        <v>4</v>
      </c>
      <c r="K5489" s="2" t="s">
        <v>15111</v>
      </c>
      <c r="L5489" s="2"/>
      <c r="M5489" s="2" t="str">
        <f>IFERROR(__xludf.DUMMYFUNCTION("split(split(K5489,""【"",false),""公式LINE"",false)"),"東京中央銀行、大阪西支店・融資課長の半沢直樹（堺雅人）は、半ば強引な浅野支店長の指示に従い、西大阪スチールから5億円の融資契約を取り付けた。しかも「無担保」で。しかし、表面上は優良企業に見えた同社は、陰で莫大な負債を抱えており、それを隠すための粉飾決算が発覚。融資からたった3カ月後、西大阪スチールはあっけなく倒産した。結果として半沢たちは5億円の融資を騙し取られてしまい……。半沢直樹…堺 雅人  半沢 花…上戸 彩  渡真利忍…及川光博  黒崎駿一…片岡愛之助  近藤直弼…滝藤賢一  半沢の父…笑福亭鶴瓶"&amp;"  中野渡謙…北大路欣也〈特別出演〉  大和田常務…香川照之中西英治…中島裕翔［Hey!Say!JUMP]  江島 浩…宮川一朗太  岸川慎吾…森田順平  垣内…須田邦裕  角田周…モロ師岡  小木曽…緋田康人  東田 満…宇梶剛士  藤沢未樹…壇蜜  竹下清彦…赤井英和  近藤由紀子…山崎直子  相模…石黒英雄  大塚…永岡佑  脇屋…岡あゆみ  浅野匡…石丸幹二")</f>
        <v>東京中央銀行、大阪西支店・融資課長の半沢直樹（堺雅人）は、半ば強引な浅野支店長の指示に従い、西大阪スチールから5億円の融資契約を取り付けた。しかも「無担保」で。しかし、表面上は優良企業に見えた同社は、陰で莫大な負債を抱えており、それを隠すための粉飾決算が発覚。融資からたった3カ月後、西大阪スチールはあっけなく倒産した。結果として半沢たちは5億円の融資を騙し取られてしまい……。半沢直樹…堺 雅人  半沢 花…上戸 彩  渡真利忍…及川光博  黒崎駿一…片岡愛之助  近藤直弼…滝藤賢一  半沢の父…笑福亭鶴瓶  中野渡謙…北大路欣也〈特別出演〉  大和田常務…香川照之中西英治…中島裕翔［Hey!Say!JUMP]  江島 浩…宮川一朗太  岸川慎吾…森田順平  垣内…須田邦裕  角田周…モロ師岡  小木曽…緋田康人  東田 満…宇梶剛士  藤沢未樹…壇蜜  竹下清彦…赤井英和  近藤由紀子…山崎直子  相模…石黒英雄  大塚…永岡佑  脇屋…岡あゆみ  浅野匡…石丸幹二</v>
      </c>
      <c r="N5489" s="2"/>
      <c r="O5489" s="2"/>
      <c r="P5489" s="1"/>
      <c r="Q5489" s="1"/>
      <c r="R5489" s="1"/>
      <c r="S5489" s="1"/>
      <c r="T5489" s="1"/>
      <c r="U5489" s="1"/>
      <c r="V5489" s="1"/>
      <c r="W5489" s="1"/>
      <c r="X5489" s="1"/>
      <c r="Y5489" s="1"/>
      <c r="Z5489" s="1"/>
      <c r="AA5489" s="1"/>
      <c r="AB5489" s="1"/>
      <c r="AC5489" s="1"/>
      <c r="AD5489" s="1"/>
      <c r="AE5489" s="1"/>
      <c r="AF5489" s="1"/>
      <c r="AG5489" s="1"/>
      <c r="AH5489" s="1"/>
      <c r="AI5489" s="1"/>
      <c r="AJ5489" s="1"/>
      <c r="AK5489" s="1"/>
      <c r="AL5489" s="1"/>
      <c r="AM5489" s="1"/>
      <c r="AN5489" s="1"/>
      <c r="AO5489" s="1"/>
      <c r="AP5489" s="1"/>
      <c r="AQ5489" s="1"/>
      <c r="AR5489" s="1"/>
      <c r="AS5489" s="1"/>
      <c r="AT5489" s="1"/>
      <c r="AU5489" s="1"/>
      <c r="AV5489" s="1"/>
      <c r="AW5489" s="1"/>
      <c r="AX5489" s="1"/>
      <c r="AY5489" s="1"/>
      <c r="AZ5489" s="1"/>
      <c r="BA5489" s="1"/>
      <c r="BB5489" s="1"/>
    </row>
    <row r="5490" ht="204.75" customHeight="1">
      <c r="A5490" s="1">
        <v>3280.0</v>
      </c>
      <c r="B5490" s="2" t="s">
        <v>15108</v>
      </c>
      <c r="C5490" s="2">
        <f>IFERROR(__xludf.DUMMYFUNCTION("split(B5490,""_"")"),1307.0)</f>
        <v>1307</v>
      </c>
      <c r="D5490" s="2" t="str">
        <f>IFERROR(__xludf.DUMMYFUNCTION("""COMPUTED_VALUE"""),"TBS")</f>
        <v>TBS</v>
      </c>
      <c r="E5490" s="2" t="str">
        <f>IFERROR(__xludf.DUMMYFUNCTION("""COMPUTED_VALUE"""),"日21")</f>
        <v>日21</v>
      </c>
      <c r="F5490" s="2" t="s">
        <v>15109</v>
      </c>
      <c r="G5490" s="2" t="s">
        <v>15112</v>
      </c>
      <c r="H5490" s="1">
        <v>2.0</v>
      </c>
      <c r="J5490" s="1" t="s">
        <v>11</v>
      </c>
      <c r="K5490" s="2" t="s">
        <v>15113</v>
      </c>
      <c r="L5490" s="2"/>
      <c r="M5490" s="2" t="str">
        <f>IFERROR(__xludf.DUMMYFUNCTION("split(split(K5490,""【"",false),""公式LINE"",false)"),"半沢の勤める東京中央銀行は、西大阪スチールへの融資で5億円の不良債権を抱え込むことになり、半沢は自身の命運を賭けて融資金の回収に動く。そんな中、残された資料から同社の倒産が「計画倒産」であった疑いが浮上。  　半沢は西大阪スチール倒産の影響で連鎖倒産を余儀なくされた竹下金属の社長、竹下清彦（赤井英和）に協力を仰ぎ、苦労の末、ついに東田社長（宇梶剛士）が海外に所有している時価5千万円の別荘の存在を突き止める。半沢直樹…堺雅人  半沢花…上戸彩  渡真利忍…及川光博  黒崎駿一…片岡愛之助  近藤直弼…滝藤賢"&amp;"一  近藤由紀子…山崎直子    ●  中西英治…中島裕翔（Hey! Say! JUMP）  江島浩…宮川一朗太  岸川慎吾…森田順平  小木曽…緋田康人  東田満…宇梶剛士  未樹みき…壇蜜  竹下清彦…赤井英和  浅野匡…石丸幹二  ●半沢慎之助…笑福亭鶴瓶  ●  中野渡頭取…北大路欣也（特別出演）  大和田常務…香川照之  ")</f>
        <v>半沢の勤める東京中央銀行は、西大阪スチールへの融資で5億円の不良債権を抱え込むことになり、半沢は自身の命運を賭けて融資金の回収に動く。そんな中、残された資料から同社の倒産が「計画倒産」であった疑いが浮上。  　半沢は西大阪スチール倒産の影響で連鎖倒産を余儀なくされた竹下金属の社長、竹下清彦（赤井英和）に協力を仰ぎ、苦労の末、ついに東田社長（宇梶剛士）が海外に所有している時価5千万円の別荘の存在を突き止める。半沢直樹…堺雅人  半沢花…上戸彩  渡真利忍…及川光博  黒崎駿一…片岡愛之助  近藤直弼…滝藤賢一  近藤由紀子…山崎直子    ●  中西英治…中島裕翔（Hey! Say! JUMP）  江島浩…宮川一朗太  岸川慎吾…森田順平  小木曽…緋田康人  東田満…宇梶剛士  未樹みき…壇蜜  竹下清彦…赤井英和  浅野匡…石丸幹二  ●半沢慎之助…笑福亭鶴瓶  ●  中野渡頭取…北大路欣也（特別出演）  大和田常務…香川照之  </v>
      </c>
      <c r="N5490" s="2"/>
      <c r="O5490" s="2"/>
      <c r="P5490" s="1"/>
      <c r="Q5490" s="1"/>
      <c r="R5490" s="1"/>
      <c r="S5490" s="1"/>
      <c r="T5490" s="1"/>
      <c r="U5490" s="1"/>
      <c r="V5490" s="1"/>
      <c r="W5490" s="1"/>
      <c r="X5490" s="1"/>
      <c r="Y5490" s="1"/>
      <c r="Z5490" s="1"/>
      <c r="AA5490" s="1"/>
      <c r="AB5490" s="1"/>
      <c r="AC5490" s="1"/>
      <c r="AD5490" s="1"/>
      <c r="AE5490" s="1"/>
      <c r="AF5490" s="1"/>
      <c r="AG5490" s="1"/>
      <c r="AH5490" s="1"/>
      <c r="AI5490" s="1"/>
      <c r="AJ5490" s="1"/>
      <c r="AK5490" s="1"/>
      <c r="AL5490" s="1"/>
      <c r="AM5490" s="1"/>
      <c r="AN5490" s="1"/>
      <c r="AO5490" s="1"/>
      <c r="AP5490" s="1"/>
      <c r="AQ5490" s="1"/>
      <c r="AR5490" s="1"/>
      <c r="AS5490" s="1"/>
      <c r="AT5490" s="1"/>
      <c r="AU5490" s="1"/>
      <c r="AV5490" s="1"/>
      <c r="AW5490" s="1"/>
      <c r="AX5490" s="1"/>
      <c r="AY5490" s="1"/>
      <c r="AZ5490" s="1"/>
      <c r="BA5490" s="1"/>
      <c r="BB5490" s="1"/>
    </row>
    <row r="5491" ht="204.75" customHeight="1">
      <c r="A5491" s="1">
        <v>3281.0</v>
      </c>
      <c r="B5491" s="2" t="s">
        <v>15108</v>
      </c>
      <c r="C5491" s="2">
        <f>IFERROR(__xludf.DUMMYFUNCTION("split(B5491,""_"")"),1307.0)</f>
        <v>1307</v>
      </c>
      <c r="D5491" s="2" t="str">
        <f>IFERROR(__xludf.DUMMYFUNCTION("""COMPUTED_VALUE"""),"TBS")</f>
        <v>TBS</v>
      </c>
      <c r="E5491" s="2" t="str">
        <f>IFERROR(__xludf.DUMMYFUNCTION("""COMPUTED_VALUE"""),"日21")</f>
        <v>日21</v>
      </c>
      <c r="F5491" s="2" t="s">
        <v>15109</v>
      </c>
      <c r="G5491" s="2" t="s">
        <v>15114</v>
      </c>
      <c r="H5491" s="1">
        <v>3.0</v>
      </c>
      <c r="J5491" s="1" t="s">
        <v>4</v>
      </c>
      <c r="K5491" s="2" t="s">
        <v>15115</v>
      </c>
      <c r="L5491" s="2"/>
      <c r="M5491" s="2" t="str">
        <f>IFERROR(__xludf.DUMMYFUNCTION("split(split(K5491,""【"",false),""公式LINE"",false)"),"西大阪スチールへの融資で焦げ付いた5億円もの金額を、全額回収すべく奔走する半沢（堺雅人）だが、東田（宇梶剛士）が海外に所有する5千万円の別荘は差し押さえ寸前で国税局の黒崎（片岡愛之助）に横取りされる結果となってしまった。  そんな半沢を次に待ち受けていたのは、裁量臨店（さいりょうりんてん）と呼ばれる本部からの内部検査。しかしその検査は、融資事故の全責任を半沢に押し付けようとする浅野支店長（石丸幹二）が意図的に仕組んだもので、浅野の息のかかった人事部の小木曽（緋田康人）を中心としたメンバーで構成されていた…"&amp;"。半沢直樹…堺雅人  半沢花…上戸彩  渡真利忍…及川光博  黒崎駿一…片岡愛之助  近藤直弼…滝藤賢一  近藤由紀子…山崎直子    ●  中西英治…中島裕翔（Hey! Say! JUMP）  江島浩…宮川一朗太  岸川慎吾…森田順平  小木曽…緋田康人  東田満…宇梶剛士  未樹みき…壇蜜  竹下清彦…赤井英和  浅野匡…石丸幹二")</f>
        <v>西大阪スチールへの融資で焦げ付いた5億円もの金額を、全額回収すべく奔走する半沢（堺雅人）だが、東田（宇梶剛士）が海外に所有する5千万円の別荘は差し押さえ寸前で国税局の黒崎（片岡愛之助）に横取りされる結果となってしまった。  そんな半沢を次に待ち受けていたのは、裁量臨店（さいりょうりんてん）と呼ばれる本部からの内部検査。しかしその検査は、融資事故の全責任を半沢に押し付けようとする浅野支店長（石丸幹二）が意図的に仕組んだもので、浅野の息のかかった人事部の小木曽（緋田康人）を中心としたメンバーで構成されていた…。半沢直樹…堺雅人  半沢花…上戸彩  渡真利忍…及川光博  黒崎駿一…片岡愛之助  近藤直弼…滝藤賢一  近藤由紀子…山崎直子    ●  中西英治…中島裕翔（Hey! Say! JUMP）  江島浩…宮川一朗太  岸川慎吾…森田順平  小木曽…緋田康人  東田満…宇梶剛士  未樹みき…壇蜜  竹下清彦…赤井英和  浅野匡…石丸幹二</v>
      </c>
      <c r="N5491" s="2"/>
      <c r="O5491" s="2"/>
      <c r="P5491" s="1"/>
      <c r="Q5491" s="1"/>
      <c r="R5491" s="1"/>
      <c r="S5491" s="1"/>
      <c r="T5491" s="1"/>
      <c r="U5491" s="1"/>
      <c r="V5491" s="1"/>
      <c r="W5491" s="1"/>
      <c r="X5491" s="1"/>
      <c r="Y5491" s="1"/>
      <c r="Z5491" s="1"/>
      <c r="AA5491" s="1"/>
      <c r="AB5491" s="1"/>
      <c r="AC5491" s="1"/>
      <c r="AD5491" s="1"/>
      <c r="AE5491" s="1"/>
      <c r="AF5491" s="1"/>
      <c r="AG5491" s="1"/>
      <c r="AH5491" s="1"/>
      <c r="AI5491" s="1"/>
      <c r="AJ5491" s="1"/>
      <c r="AK5491" s="1"/>
      <c r="AL5491" s="1"/>
      <c r="AM5491" s="1"/>
      <c r="AN5491" s="1"/>
      <c r="AO5491" s="1"/>
      <c r="AP5491" s="1"/>
      <c r="AQ5491" s="1"/>
      <c r="AR5491" s="1"/>
      <c r="AS5491" s="1"/>
      <c r="AT5491" s="1"/>
      <c r="AU5491" s="1"/>
      <c r="AV5491" s="1"/>
      <c r="AW5491" s="1"/>
      <c r="AX5491" s="1"/>
      <c r="AY5491" s="1"/>
      <c r="AZ5491" s="1"/>
      <c r="BA5491" s="1"/>
      <c r="BB5491" s="1"/>
    </row>
    <row r="5492" ht="204.75" customHeight="1">
      <c r="A5492" s="1">
        <v>3282.0</v>
      </c>
      <c r="B5492" s="2" t="s">
        <v>15108</v>
      </c>
      <c r="C5492" s="2">
        <f>IFERROR(__xludf.DUMMYFUNCTION("split(B5492,""_"")"),1307.0)</f>
        <v>1307</v>
      </c>
      <c r="D5492" s="2" t="str">
        <f>IFERROR(__xludf.DUMMYFUNCTION("""COMPUTED_VALUE"""),"TBS")</f>
        <v>TBS</v>
      </c>
      <c r="E5492" s="2" t="str">
        <f>IFERROR(__xludf.DUMMYFUNCTION("""COMPUTED_VALUE"""),"日21")</f>
        <v>日21</v>
      </c>
      <c r="F5492" s="2" t="s">
        <v>15109</v>
      </c>
      <c r="G5492" s="2" t="s">
        <v>15116</v>
      </c>
      <c r="H5492" s="1">
        <v>4.0</v>
      </c>
      <c r="J5492" s="1" t="s">
        <v>11</v>
      </c>
      <c r="K5492" s="2" t="s">
        <v>15117</v>
      </c>
      <c r="L5492" s="2"/>
      <c r="M5492" s="2" t="str">
        <f>IFERROR(__xludf.DUMMYFUNCTION("split(split(K5492,""【"",false),""公式LINE"",false)"),"融資事故の情報をマスコミにリークすることと引き換えに、ついに東田（宇梶剛士）の潜伏先を突き止めた半沢（堺雅人）。しかし、その場所に張り込んだ竹下（赤井英和）が送ってきた写真に、東田と一緒に写っていたのは何と浅野支店長（石丸幹二）だった。調べると、東田と浅野支店長にはお互いを結び付ける過去があることが判明。そこで半沢は、浅野が東田から何らかの見返りを得ていないか、その証拠を探し始めることに。半沢直樹…堺雅人  半沢花…上戸彩  渡真利忍…及川光博  黒崎駿一…片岡愛之助  近藤直弼…滝藤賢一  近藤由紀子…"&amp;"山崎直子  　●  江島浩…宮川一朗太  岸川慎吾…森田順平  小木曽…緋田康人  東田満…宇梶剛士  未樹…壇蜜  竹下清彦…赤井英和  浅野匡…石丸幹二  　●  半沢慎之助…笑福亭鶴瓶  　●  中野渡頭取…北大路欣也（特別出演）  大和田常務…香川照之")</f>
        <v>融資事故の情報をマスコミにリークすることと引き換えに、ついに東田（宇梶剛士）の潜伏先を突き止めた半沢（堺雅人）。しかし、その場所に張り込んだ竹下（赤井英和）が送ってきた写真に、東田と一緒に写っていたのは何と浅野支店長（石丸幹二）だった。調べると、東田と浅野支店長にはお互いを結び付ける過去があることが判明。そこで半沢は、浅野が東田から何らかの見返りを得ていないか、その証拠を探し始めることに。半沢直樹…堺雅人  半沢花…上戸彩  渡真利忍…及川光博  黒崎駿一…片岡愛之助  近藤直弼…滝藤賢一  近藤由紀子…山崎直子  　●  江島浩…宮川一朗太  岸川慎吾…森田順平  小木曽…緋田康人  東田満…宇梶剛士  未樹…壇蜜  竹下清彦…赤井英和  浅野匡…石丸幹二  　●  半沢慎之助…笑福亭鶴瓶  　●  中野渡頭取…北大路欣也（特別出演）  大和田常務…香川照之</v>
      </c>
      <c r="N5492" s="2"/>
      <c r="O5492" s="2"/>
      <c r="P5492" s="1"/>
      <c r="Q5492" s="1"/>
      <c r="R5492" s="1"/>
      <c r="S5492" s="1"/>
      <c r="T5492" s="1"/>
      <c r="U5492" s="1"/>
      <c r="V5492" s="1"/>
      <c r="W5492" s="1"/>
      <c r="X5492" s="1"/>
      <c r="Y5492" s="1"/>
      <c r="Z5492" s="1"/>
      <c r="AA5492" s="1"/>
      <c r="AB5492" s="1"/>
      <c r="AC5492" s="1"/>
      <c r="AD5492" s="1"/>
      <c r="AE5492" s="1"/>
      <c r="AF5492" s="1"/>
      <c r="AG5492" s="1"/>
      <c r="AH5492" s="1"/>
      <c r="AI5492" s="1"/>
      <c r="AJ5492" s="1"/>
      <c r="AK5492" s="1"/>
      <c r="AL5492" s="1"/>
      <c r="AM5492" s="1"/>
      <c r="AN5492" s="1"/>
      <c r="AO5492" s="1"/>
      <c r="AP5492" s="1"/>
      <c r="AQ5492" s="1"/>
      <c r="AR5492" s="1"/>
      <c r="AS5492" s="1"/>
      <c r="AT5492" s="1"/>
      <c r="AU5492" s="1"/>
      <c r="AV5492" s="1"/>
      <c r="AW5492" s="1"/>
      <c r="AX5492" s="1"/>
      <c r="AY5492" s="1"/>
      <c r="AZ5492" s="1"/>
      <c r="BA5492" s="1"/>
      <c r="BB5492" s="1"/>
    </row>
    <row r="5493" ht="204.75" customHeight="1">
      <c r="A5493" s="1">
        <v>3283.0</v>
      </c>
      <c r="B5493" s="2" t="s">
        <v>15108</v>
      </c>
      <c r="C5493" s="2">
        <f>IFERROR(__xludf.DUMMYFUNCTION("split(B5493,""_"")"),1307.0)</f>
        <v>1307</v>
      </c>
      <c r="D5493" s="2" t="str">
        <f>IFERROR(__xludf.DUMMYFUNCTION("""COMPUTED_VALUE"""),"TBS")</f>
        <v>TBS</v>
      </c>
      <c r="E5493" s="2" t="str">
        <f>IFERROR(__xludf.DUMMYFUNCTION("""COMPUTED_VALUE"""),"日21")</f>
        <v>日21</v>
      </c>
      <c r="F5493" s="2" t="s">
        <v>15109</v>
      </c>
      <c r="G5493" s="2" t="s">
        <v>15118</v>
      </c>
      <c r="H5493" s="1">
        <v>5.0</v>
      </c>
      <c r="J5493" s="1" t="s">
        <v>11</v>
      </c>
      <c r="K5493" s="2" t="s">
        <v>15119</v>
      </c>
      <c r="L5493" s="2"/>
      <c r="M5493" s="2" t="str">
        <f>IFERROR(__xludf.DUMMYFUNCTION("split(split(K5493,""【"",false),""公式LINE"",false)"),"国税局に寝返った未樹（壇蜜）は黒崎（片岡愛之助）と取引をし、東田が自らに貢いだ店の開店資金の摘発を見逃してもらう代わりに、捜査への協力を約束する。実際に捜査が入ると、未樹は東田から渡された印鑑や通帳を持ってベランダから逃走。その後向かったのは、東田から指示された潜伏先ではなく、近くで待機していた黒崎のもとであった。一部始終を近くで見ていた竹下（赤井英和）は、「万事休すだ。」と半沢（堺雅人）に伝えるその直前半沢は、支店内の部下も同席する会議で浅野（石丸幹二）から実質的な出向の内示を言い渡されたばかりだった。"&amp;"出向が決定的になるなかで、それでも半沢は最後の抵抗を試みる。そして最後に半沢は驚きの行動を取ることに…。半沢直樹…堺雅人  半沢花…上戸彩  渡真利忍…及川光博  黒崎駿一…片岡愛之助  近藤直弼…滝藤賢一  近藤由紀子…山崎直子    ●  江島浩…宮川一朗太  岸川慎吾…森田順平  小木曽…緋田康人  東田満…宇梶剛士  未樹みき…壇蜜  竹下清彦…赤井英和  浅野匡…石丸幹二  ●  半沢慎之助…笑福亭鶴瓶  ●  中野渡頭取…北大路欣也（特別出演）  大和田常務…香川照之")</f>
        <v>国税局に寝返った未樹（壇蜜）は黒崎（片岡愛之助）と取引をし、東田が自らに貢いだ店の開店資金の摘発を見逃してもらう代わりに、捜査への協力を約束する。実際に捜査が入ると、未樹は東田から渡された印鑑や通帳を持ってベランダから逃走。その後向かったのは、東田から指示された潜伏先ではなく、近くで待機していた黒崎のもとであった。一部始終を近くで見ていた竹下（赤井英和）は、「万事休すだ。」と半沢（堺雅人）に伝えるその直前半沢は、支店内の部下も同席する会議で浅野（石丸幹二）から実質的な出向の内示を言い渡されたばかりだった。出向が決定的になるなかで、それでも半沢は最後の抵抗を試みる。そして最後に半沢は驚きの行動を取ることに…。半沢直樹…堺雅人  半沢花…上戸彩  渡真利忍…及川光博  黒崎駿一…片岡愛之助  近藤直弼…滝藤賢一  近藤由紀子…山崎直子    ●  江島浩…宮川一朗太  岸川慎吾…森田順平  小木曽…緋田康人  東田満…宇梶剛士  未樹みき…壇蜜  竹下清彦…赤井英和  浅野匡…石丸幹二  ●  半沢慎之助…笑福亭鶴瓶  ●  中野渡頭取…北大路欣也（特別出演）  大和田常務…香川照之</v>
      </c>
      <c r="N5493" s="2"/>
      <c r="O5493" s="2"/>
      <c r="P5493" s="1"/>
      <c r="Q5493" s="1"/>
      <c r="R5493" s="1"/>
      <c r="S5493" s="1"/>
      <c r="T5493" s="1"/>
      <c r="U5493" s="1"/>
      <c r="V5493" s="1"/>
      <c r="W5493" s="1"/>
      <c r="X5493" s="1"/>
      <c r="Y5493" s="1"/>
      <c r="Z5493" s="1"/>
      <c r="AA5493" s="1"/>
      <c r="AB5493" s="1"/>
      <c r="AC5493" s="1"/>
      <c r="AD5493" s="1"/>
      <c r="AE5493" s="1"/>
      <c r="AF5493" s="1"/>
      <c r="AG5493" s="1"/>
      <c r="AH5493" s="1"/>
      <c r="AI5493" s="1"/>
      <c r="AJ5493" s="1"/>
      <c r="AK5493" s="1"/>
      <c r="AL5493" s="1"/>
      <c r="AM5493" s="1"/>
      <c r="AN5493" s="1"/>
      <c r="AO5493" s="1"/>
      <c r="AP5493" s="1"/>
      <c r="AQ5493" s="1"/>
      <c r="AR5493" s="1"/>
      <c r="AS5493" s="1"/>
      <c r="AT5493" s="1"/>
      <c r="AU5493" s="1"/>
      <c r="AV5493" s="1"/>
      <c r="AW5493" s="1"/>
      <c r="AX5493" s="1"/>
      <c r="AY5493" s="1"/>
      <c r="AZ5493" s="1"/>
      <c r="BA5493" s="1"/>
      <c r="BB5493" s="1"/>
    </row>
    <row r="5494" ht="204.75" customHeight="1">
      <c r="A5494" s="1">
        <v>3284.0</v>
      </c>
      <c r="B5494" s="2" t="s">
        <v>15108</v>
      </c>
      <c r="C5494" s="2">
        <f>IFERROR(__xludf.DUMMYFUNCTION("split(B5494,""_"")"),1307.0)</f>
        <v>1307</v>
      </c>
      <c r="D5494" s="2" t="str">
        <f>IFERROR(__xludf.DUMMYFUNCTION("""COMPUTED_VALUE"""),"TBS")</f>
        <v>TBS</v>
      </c>
      <c r="E5494" s="2" t="str">
        <f>IFERROR(__xludf.DUMMYFUNCTION("""COMPUTED_VALUE"""),"日21")</f>
        <v>日21</v>
      </c>
      <c r="F5494" s="2" t="s">
        <v>15109</v>
      </c>
      <c r="G5494" s="2" t="s">
        <v>15120</v>
      </c>
      <c r="H5494" s="1">
        <v>6.0</v>
      </c>
      <c r="J5494" s="1" t="s">
        <v>4</v>
      </c>
      <c r="K5494" s="2" t="s">
        <v>15121</v>
      </c>
      <c r="L5494" s="2"/>
      <c r="M5494" s="2" t="str">
        <f>IFERROR(__xludf.DUMMYFUNCTION("split(split(K5494,""【"",false),""公式LINE"",false)"),"半沢（堺雅人）が東京中央銀行本部の営業第二部次長に栄転し、既に1年が経とうとしていたある日、部長の内藤（吉田鋼太郎）に呼び出され、突如大きな仕事を背負わせれることになる。それは、老舗ホテルである伊勢島ホテルの経営再建と、近く金融庁が東京中央銀行に対して行う「金融庁検査」への対応だった。  伊勢島ホテルは長く業績が低迷し、東京中央銀行が200億円もの融資をしたばかりであったが、その直後、資金の運用失敗で120億もの損失が出ることが明るみになったばかりであった。  大阪で回収不能と思われた5億の不良債権を回収"&amp;"した半沢だが、120億となると次元が違う。「自分には無理だ」と言う半沢だが…。半沢直樹…堺雅人  半沢花…上戸彩  渡真利忍…及川光博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f>
        <v>半沢（堺雅人）が東京中央銀行本部の営業第二部次長に栄転し、既に1年が経とうとしていたある日、部長の内藤（吉田鋼太郎）に呼び出され、突如大きな仕事を背負わせれることになる。それは、老舗ホテルである伊勢島ホテルの経営再建と、近く金融庁が東京中央銀行に対して行う「金融庁検査」への対応だった。  伊勢島ホテルは長く業績が低迷し、東京中央銀行が200億円もの融資をしたばかりであったが、その直後、資金の運用失敗で120億もの損失が出ることが明るみになったばかりであった。  大阪で回収不能と思われた5億の不良債権を回収した半沢だが、120億となると次元が違う。「自分には無理だ」と言う半沢だが…。半沢直樹…堺雅人  半沢花…上戸彩  渡真利忍…及川光博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v>
      </c>
      <c r="N5494" s="2"/>
      <c r="O5494" s="2"/>
      <c r="P5494" s="1"/>
      <c r="Q5494" s="1"/>
      <c r="R5494" s="1"/>
      <c r="S5494" s="1"/>
      <c r="T5494" s="1"/>
      <c r="U5494" s="1"/>
      <c r="V5494" s="1"/>
      <c r="W5494" s="1"/>
      <c r="X5494" s="1"/>
      <c r="Y5494" s="1"/>
      <c r="Z5494" s="1"/>
      <c r="AA5494" s="1"/>
      <c r="AB5494" s="1"/>
      <c r="AC5494" s="1"/>
      <c r="AD5494" s="1"/>
      <c r="AE5494" s="1"/>
      <c r="AF5494" s="1"/>
      <c r="AG5494" s="1"/>
      <c r="AH5494" s="1"/>
      <c r="AI5494" s="1"/>
      <c r="AJ5494" s="1"/>
      <c r="AK5494" s="1"/>
      <c r="AL5494" s="1"/>
      <c r="AM5494" s="1"/>
      <c r="AN5494" s="1"/>
      <c r="AO5494" s="1"/>
      <c r="AP5494" s="1"/>
      <c r="AQ5494" s="1"/>
      <c r="AR5494" s="1"/>
      <c r="AS5494" s="1"/>
      <c r="AT5494" s="1"/>
      <c r="AU5494" s="1"/>
      <c r="AV5494" s="1"/>
      <c r="AW5494" s="1"/>
      <c r="AX5494" s="1"/>
      <c r="AY5494" s="1"/>
      <c r="AZ5494" s="1"/>
      <c r="BA5494" s="1"/>
      <c r="BB5494" s="1"/>
    </row>
    <row r="5495" ht="204.75" customHeight="1">
      <c r="A5495" s="1">
        <v>3285.0</v>
      </c>
      <c r="B5495" s="2" t="s">
        <v>15108</v>
      </c>
      <c r="C5495" s="2">
        <f>IFERROR(__xludf.DUMMYFUNCTION("split(B5495,""_"")"),1307.0)</f>
        <v>1307</v>
      </c>
      <c r="D5495" s="2" t="str">
        <f>IFERROR(__xludf.DUMMYFUNCTION("""COMPUTED_VALUE"""),"TBS")</f>
        <v>TBS</v>
      </c>
      <c r="E5495" s="2" t="str">
        <f>IFERROR(__xludf.DUMMYFUNCTION("""COMPUTED_VALUE"""),"日21")</f>
        <v>日21</v>
      </c>
      <c r="F5495" s="2" t="s">
        <v>15109</v>
      </c>
      <c r="G5495" s="2" t="s">
        <v>15122</v>
      </c>
      <c r="H5495" s="1">
        <v>7.0</v>
      </c>
      <c r="J5495" s="1" t="s">
        <v>11</v>
      </c>
      <c r="K5495" s="2" t="s">
        <v>15123</v>
      </c>
      <c r="L5495" s="2"/>
      <c r="M5495" s="2" t="str">
        <f>IFERROR(__xludf.DUMMYFUNCTION("split(split(K5495,""【"",false),""公式LINE"",false)"),"金融庁検査への対応と伊勢島ホテルの経営再建という、2つの大きな課題を突きつけられた半沢（堺雅人）。  金融庁検査を先頭で率いるのは、何と大阪西支店へ国税局査察部統括官として査察に入り、半沢と凌ぎを削った黒崎（片岡愛之助）であった。  黒崎は国税局から金融庁に戻り、東京中央銀行に対する検査の主任検査官として任命されたのである。 半沢は、伊勢島ホテルが200億円の融資を得るために、資金運用による損失の事実を隠ぺいする工作を行ったことを突き止め、その黒幕を探し始める…。半沢直樹…堺雅人  半沢花…上戸彩  渡真"&amp;"利忍…及川光博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f>
        <v>金融庁検査への対応と伊勢島ホテルの経営再建という、2つの大きな課題を突きつけられた半沢（堺雅人）。  金融庁検査を先頭で率いるのは、何と大阪西支店へ国税局査察部統括官として査察に入り、半沢と凌ぎを削った黒崎（片岡愛之助）であった。  黒崎は国税局から金融庁に戻り、東京中央銀行に対する検査の主任検査官として任命されたのである。 半沢は、伊勢島ホテルが200億円の融資を得るために、資金運用による損失の事実を隠ぺいする工作を行ったことを突き止め、その黒幕を探し始める…。半沢直樹…堺雅人  半沢花…上戸彩  渡真利忍…及川光博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v>
      </c>
      <c r="N5495" s="2"/>
      <c r="O5495" s="2"/>
      <c r="P5495" s="1"/>
      <c r="Q5495" s="1"/>
      <c r="R5495" s="1"/>
      <c r="S5495" s="1"/>
      <c r="T5495" s="1"/>
      <c r="U5495" s="1"/>
      <c r="V5495" s="1"/>
      <c r="W5495" s="1"/>
      <c r="X5495" s="1"/>
      <c r="Y5495" s="1"/>
      <c r="Z5495" s="1"/>
      <c r="AA5495" s="1"/>
      <c r="AB5495" s="1"/>
      <c r="AC5495" s="1"/>
      <c r="AD5495" s="1"/>
      <c r="AE5495" s="1"/>
      <c r="AF5495" s="1"/>
      <c r="AG5495" s="1"/>
      <c r="AH5495" s="1"/>
      <c r="AI5495" s="1"/>
      <c r="AJ5495" s="1"/>
      <c r="AK5495" s="1"/>
      <c r="AL5495" s="1"/>
      <c r="AM5495" s="1"/>
      <c r="AN5495" s="1"/>
      <c r="AO5495" s="1"/>
      <c r="AP5495" s="1"/>
      <c r="AQ5495" s="1"/>
      <c r="AR5495" s="1"/>
      <c r="AS5495" s="1"/>
      <c r="AT5495" s="1"/>
      <c r="AU5495" s="1"/>
      <c r="AV5495" s="1"/>
      <c r="AW5495" s="1"/>
      <c r="AX5495" s="1"/>
      <c r="AY5495" s="1"/>
      <c r="AZ5495" s="1"/>
      <c r="BA5495" s="1"/>
      <c r="BB5495" s="1"/>
    </row>
    <row r="5496" ht="204.75" customHeight="1">
      <c r="A5496" s="1">
        <v>3286.0</v>
      </c>
      <c r="B5496" s="2" t="s">
        <v>15108</v>
      </c>
      <c r="C5496" s="2">
        <f>IFERROR(__xludf.DUMMYFUNCTION("split(B5496,""_"")"),1307.0)</f>
        <v>1307</v>
      </c>
      <c r="D5496" s="2" t="str">
        <f>IFERROR(__xludf.DUMMYFUNCTION("""COMPUTED_VALUE"""),"TBS")</f>
        <v>TBS</v>
      </c>
      <c r="E5496" s="2" t="str">
        <f>IFERROR(__xludf.DUMMYFUNCTION("""COMPUTED_VALUE"""),"日21")</f>
        <v>日21</v>
      </c>
      <c r="F5496" s="2" t="s">
        <v>15109</v>
      </c>
      <c r="G5496" s="2" t="s">
        <v>15124</v>
      </c>
      <c r="H5496" s="1">
        <v>8.0</v>
      </c>
      <c r="J5496" s="1" t="s">
        <v>11</v>
      </c>
      <c r="K5496" s="2" t="s">
        <v>15125</v>
      </c>
      <c r="L5496" s="2"/>
      <c r="M5496" s="2" t="str">
        <f>IFERROR(__xludf.DUMMYFUNCTION("split(split(K5496,""【"",false),""公式LINE"",false)"),"金融庁検査を乗り切るため、伊勢島ホテル社長の湯浅（駿河太郎）を説得し、自身の父である会長の更迭と資産の売却を実現させた半沢（堺雅人）。これで伊勢島ホテルが出した120億円にも及ぶ運用損失の穴埋めが実現し、不良融資先として分類されるのを回避出来たかに思えた。しかし金融庁検査の最中に、再建の柱ともなるITシステムを構築中の外注先、「ナルセン」が破綻するとの情報が黒崎（片岡愛之助）からもたらされた。ナルセンが破綻すると、これまで費やしてきた110億円以上もの投資が損失となってしまい、伊勢島ホテルは再び窮地に追い"&amp;"込まれる…。半沢直樹…堺雅人  半沢花…上戸彩  渡真利忍…及川光博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f>
        <v>金融庁検査を乗り切るため、伊勢島ホテル社長の湯浅（駿河太郎）を説得し、自身の父である会長の更迭と資産の売却を実現させた半沢（堺雅人）。これで伊勢島ホテルが出した120億円にも及ぶ運用損失の穴埋めが実現し、不良融資先として分類されるのを回避出来たかに思えた。しかし金融庁検査の最中に、再建の柱ともなるITシステムを構築中の外注先、「ナルセン」が破綻するとの情報が黒崎（片岡愛之助）からもたらされた。ナルセンが破綻すると、これまで費やしてきた110億円以上もの投資が損失となってしまい、伊勢島ホテルは再び窮地に追い込まれる…。半沢直樹…堺雅人  半沢花…上戸彩  渡真利忍…及川光博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v>
      </c>
      <c r="N5496" s="2"/>
      <c r="O5496" s="2"/>
      <c r="P5496" s="1"/>
      <c r="Q5496" s="1"/>
      <c r="R5496" s="1"/>
      <c r="S5496" s="1"/>
      <c r="T5496" s="1"/>
      <c r="U5496" s="1"/>
      <c r="V5496" s="1"/>
      <c r="W5496" s="1"/>
      <c r="X5496" s="1"/>
      <c r="Y5496" s="1"/>
      <c r="Z5496" s="1"/>
      <c r="AA5496" s="1"/>
      <c r="AB5496" s="1"/>
      <c r="AC5496" s="1"/>
      <c r="AD5496" s="1"/>
      <c r="AE5496" s="1"/>
      <c r="AF5496" s="1"/>
      <c r="AG5496" s="1"/>
      <c r="AH5496" s="1"/>
      <c r="AI5496" s="1"/>
      <c r="AJ5496" s="1"/>
      <c r="AK5496" s="1"/>
      <c r="AL5496" s="1"/>
      <c r="AM5496" s="1"/>
      <c r="AN5496" s="1"/>
      <c r="AO5496" s="1"/>
      <c r="AP5496" s="1"/>
      <c r="AQ5496" s="1"/>
      <c r="AR5496" s="1"/>
      <c r="AS5496" s="1"/>
      <c r="AT5496" s="1"/>
      <c r="AU5496" s="1"/>
      <c r="AV5496" s="1"/>
      <c r="AW5496" s="1"/>
      <c r="AX5496" s="1"/>
      <c r="AY5496" s="1"/>
      <c r="AZ5496" s="1"/>
      <c r="BA5496" s="1"/>
      <c r="BB5496" s="1"/>
    </row>
    <row r="5497" ht="204.75" customHeight="1">
      <c r="A5497" s="1">
        <v>3287.0</v>
      </c>
      <c r="B5497" s="2" t="s">
        <v>15108</v>
      </c>
      <c r="C5497" s="2">
        <f>IFERROR(__xludf.DUMMYFUNCTION("split(B5497,""_"")"),1307.0)</f>
        <v>1307</v>
      </c>
      <c r="D5497" s="2" t="str">
        <f>IFERROR(__xludf.DUMMYFUNCTION("""COMPUTED_VALUE"""),"TBS")</f>
        <v>TBS</v>
      </c>
      <c r="E5497" s="2" t="str">
        <f>IFERROR(__xludf.DUMMYFUNCTION("""COMPUTED_VALUE"""),"日21")</f>
        <v>日21</v>
      </c>
      <c r="F5497" s="2" t="s">
        <v>15109</v>
      </c>
      <c r="G5497" s="2" t="s">
        <v>15126</v>
      </c>
      <c r="H5497" s="1">
        <v>9.0</v>
      </c>
      <c r="J5497" s="1" t="s">
        <v>4</v>
      </c>
      <c r="K5497" s="2" t="s">
        <v>15127</v>
      </c>
      <c r="L5497" s="2"/>
      <c r="M5497" s="2" t="str">
        <f>IFERROR(__xludf.DUMMYFUNCTION("split(split(K5497,""【"",false),""公式LINE"",false)"),"近藤（滝藤賢一）が知ることになったタミヤ電機を舞台にした迂回融資事件。タミヤ電機を隠れ蓑にし、3千万円もの融資を受けていたのは、何と大和田常務（香川照之）の妻、棚橋貴子（相築あきこ）が経営する会社だった。半沢（堺雅人）は大和田を追い詰めるため、田宮社長（前川泰之）の証言を取るよう、近藤に依頼をする。一方の金融庁検査。2日後に迫った最終聞き取り調査を前に、半沢は驚きの秘策を用意し、湯浅社長（駿河太郎）の説得を試みることに…。半沢直樹…堺雅人  半沢花…上戸彩  渡真利忍…及川光博  黒崎駿一…片岡愛之助  "&amp;"近藤直弼…滝藤賢一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f>
        <v>近藤（滝藤賢一）が知ることになったタミヤ電機を舞台にした迂回融資事件。タミヤ電機を隠れ蓑にし、3千万円もの融資を受けていたのは、何と大和田常務（香川照之）の妻、棚橋貴子（相築あきこ）が経営する会社だった。半沢（堺雅人）は大和田を追い詰めるため、田宮社長（前川泰之）の証言を取るよう、近藤に依頼をする。一方の金融庁検査。2日後に迫った最終聞き取り調査を前に、半沢は驚きの秘策を用意し、湯浅社長（駿河太郎）の説得を試みることに…。半沢直樹…堺雅人  半沢花…上戸彩  渡真利忍…及川光博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v>
      </c>
      <c r="N5497" s="2"/>
      <c r="O5497" s="2"/>
      <c r="P5497" s="1"/>
      <c r="Q5497" s="1"/>
      <c r="R5497" s="1"/>
      <c r="S5497" s="1"/>
      <c r="T5497" s="1"/>
      <c r="U5497" s="1"/>
      <c r="V5497" s="1"/>
      <c r="W5497" s="1"/>
      <c r="X5497" s="1"/>
      <c r="Y5497" s="1"/>
      <c r="Z5497" s="1"/>
      <c r="AA5497" s="1"/>
      <c r="AB5497" s="1"/>
      <c r="AC5497" s="1"/>
      <c r="AD5497" s="1"/>
      <c r="AE5497" s="1"/>
      <c r="AF5497" s="1"/>
      <c r="AG5497" s="1"/>
      <c r="AH5497" s="1"/>
      <c r="AI5497" s="1"/>
      <c r="AJ5497" s="1"/>
      <c r="AK5497" s="1"/>
      <c r="AL5497" s="1"/>
      <c r="AM5497" s="1"/>
      <c r="AN5497" s="1"/>
      <c r="AO5497" s="1"/>
      <c r="AP5497" s="1"/>
      <c r="AQ5497" s="1"/>
      <c r="AR5497" s="1"/>
      <c r="AS5497" s="1"/>
      <c r="AT5497" s="1"/>
      <c r="AU5497" s="1"/>
      <c r="AV5497" s="1"/>
      <c r="AW5497" s="1"/>
      <c r="AX5497" s="1"/>
      <c r="AY5497" s="1"/>
      <c r="AZ5497" s="1"/>
      <c r="BA5497" s="1"/>
      <c r="BB5497" s="1"/>
    </row>
    <row r="5498" ht="204.75" customHeight="1">
      <c r="A5498" s="1">
        <v>3288.0</v>
      </c>
      <c r="B5498" s="2" t="s">
        <v>15108</v>
      </c>
      <c r="C5498" s="2">
        <f>IFERROR(__xludf.DUMMYFUNCTION("split(B5498,""_"")"),1307.0)</f>
        <v>1307</v>
      </c>
      <c r="D5498" s="2" t="str">
        <f>IFERROR(__xludf.DUMMYFUNCTION("""COMPUTED_VALUE"""),"TBS")</f>
        <v>TBS</v>
      </c>
      <c r="E5498" s="2" t="str">
        <f>IFERROR(__xludf.DUMMYFUNCTION("""COMPUTED_VALUE"""),"日21")</f>
        <v>日21</v>
      </c>
      <c r="F5498" s="2" t="s">
        <v>15109</v>
      </c>
      <c r="G5498" s="2" t="s">
        <v>15128</v>
      </c>
      <c r="H5498" s="1">
        <v>10.0</v>
      </c>
      <c r="J5498" s="1" t="s">
        <v>4</v>
      </c>
      <c r="K5498" s="2" t="s">
        <v>15129</v>
      </c>
      <c r="L5498" s="2"/>
      <c r="M5498" s="2" t="str">
        <f>IFERROR(__xludf.DUMMYFUNCTION("split(split(K5498,""【"",false),""公式LINE"",false)"),"近藤（滝藤賢一）は大和田常務（香川照之）から提案された取引に応じ、出向から銀行に戻ることと引き換えに、手に入れた田宮社長（前川泰之）の証言を表に出さないという決断をした。  　その結果、半沢（堺雅人）が大和田を追い詰めるため取締役会に提出する予定であった資料は、不正の事実を決定的にする重要な証拠がない不完全なものとなってしまう。そんな中、渡真利（及川光博）は人事部の後輩からの極秘情報によって、近藤が銀行の広報部に戻って来るとの情報を掴む。半沢直樹…堺雅人  半沢花…上戸彩  渡真利忍…及川光博  黒崎駿一"&amp;"…片岡愛之助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f>
        <v>近藤（滝藤賢一）は大和田常務（香川照之）から提案された取引に応じ、出向から銀行に戻ることと引き換えに、手に入れた田宮社長（前川泰之）の証言を表に出さないという決断をした。  　その結果、半沢（堺雅人）が大和田を追い詰めるため取締役会に提出する予定であった資料は、不正の事実を決定的にする重要な証拠がない不完全なものとなってしまう。そんな中、渡真利（及川光博）は人事部の後輩からの極秘情報によって、近藤が銀行の広報部に戻って来るとの情報を掴む。半沢直樹…堺雅人  半沢花…上戸彩  渡真利忍…及川光博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v>
      </c>
      <c r="N5498" s="2"/>
      <c r="O5498" s="2"/>
      <c r="P5498" s="1"/>
      <c r="Q5498" s="1"/>
      <c r="R5498" s="1"/>
      <c r="S5498" s="1"/>
      <c r="T5498" s="1"/>
      <c r="U5498" s="1"/>
      <c r="V5498" s="1"/>
      <c r="W5498" s="1"/>
      <c r="X5498" s="1"/>
      <c r="Y5498" s="1"/>
      <c r="Z5498" s="1"/>
      <c r="AA5498" s="1"/>
      <c r="AB5498" s="1"/>
      <c r="AC5498" s="1"/>
      <c r="AD5498" s="1"/>
      <c r="AE5498" s="1"/>
      <c r="AF5498" s="1"/>
      <c r="AG5498" s="1"/>
      <c r="AH5498" s="1"/>
      <c r="AI5498" s="1"/>
      <c r="AJ5498" s="1"/>
      <c r="AK5498" s="1"/>
      <c r="AL5498" s="1"/>
      <c r="AM5498" s="1"/>
      <c r="AN5498" s="1"/>
      <c r="AO5498" s="1"/>
      <c r="AP5498" s="1"/>
      <c r="AQ5498" s="1"/>
      <c r="AR5498" s="1"/>
      <c r="AS5498" s="1"/>
      <c r="AT5498" s="1"/>
      <c r="AU5498" s="1"/>
      <c r="AV5498" s="1"/>
      <c r="AW5498" s="1"/>
      <c r="AX5498" s="1"/>
      <c r="AY5498" s="1"/>
      <c r="AZ5498" s="1"/>
      <c r="BA5498" s="1"/>
      <c r="BB5498" s="1"/>
    </row>
    <row r="5499" ht="204.75" customHeight="1">
      <c r="A5499" s="1">
        <v>3289.0</v>
      </c>
      <c r="B5499" s="2" t="s">
        <v>15130</v>
      </c>
      <c r="C5499" s="2">
        <f>IFERROR(__xludf.DUMMYFUNCTION("split(B5499,""_"")"),1304.0)</f>
        <v>1304</v>
      </c>
      <c r="D5499" s="2" t="str">
        <f>IFERROR(__xludf.DUMMYFUNCTION("""COMPUTED_VALUE"""),"TBS")</f>
        <v>TBS</v>
      </c>
      <c r="E5499" s="2" t="str">
        <f>IFERROR(__xludf.DUMMYFUNCTION("""COMPUTED_VALUE"""),"月20")</f>
        <v>月20</v>
      </c>
      <c r="F5499" s="2" t="s">
        <v>15131</v>
      </c>
      <c r="G5499" s="2" t="s">
        <v>15132</v>
      </c>
      <c r="H5499" s="1">
        <v>1.0</v>
      </c>
      <c r="J5499" s="1" t="s">
        <v>7151</v>
      </c>
      <c r="K5499" s="2" t="s">
        <v>15133</v>
      </c>
      <c r="L5499" s="2"/>
      <c r="M5499" s="2" t="str">
        <f>IFERROR(__xludf.DUMMYFUNCTION("split(split(K5499,""【"",false),""公式LINE"",false)"),"警視庁捜査3課に配属された武田秋穂（榮倉奈々）の出勤初日、渋谷の宝飾店で強盗事件が発生。もともと捜査1課志望の武田は気がはやるが、強盗事件は捜査1課の仕事と猪野係長（山本龍二）から釘を刺される。しかし、こっそり職場を抜け出し事件現場へと向かうと、野次馬の中に眼光鋭い一人の男がいることに気づく。その男こそ武田の上司となる萩尾秀一（高橋克実）だった。萩尾は捜査3課一筋のベテラン刑事。武田は萩尾の相棒となり、盗犯刑事としてのイロハを教え込まれることになる。  その後、六本木の宝石店で金庫破りがあり、萩尾は「確証"&amp;"がない」と言いつつも、ある金庫破りに会いに行く・・・。萩尾秀一…高橋克実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六郷美由紀…吉田羊  六郷文也…ベンガル  本多稔…宮川一朗太  狩場摂夫…下條アトム  ほか「Message」家入レオ（ビクターエ"&amp;"ンタテインメント）原作…今野敏「確証」（双葉社）  脚本…森下直制作　那須田淳  チーフプロデューサー　橋本孝  プロデューサー　倉貫健二郎、加藤章一、齊藤彩奈吉田健確証初スポット公開中です！  http://youtu.be/a-7kY6myfRM    『確証～警視庁捜査3課』限定スペシャル映像  http://youtu.be/vaM4MOqX9go  ☆番組HP  http://www.tbs.co.jp/sousa3/  ☆Twitter  https://twitter.com/kakusho"&amp;"_tbs  TBS  ドリマックス・テレビジョン  番組の内容と放送時間は変更になる場合があります。")</f>
        <v>警視庁捜査3課に配属された武田秋穂（榮倉奈々）の出勤初日、渋谷の宝飾店で強盗事件が発生。もともと捜査1課志望の武田は気がはやるが、強盗事件は捜査1課の仕事と猪野係長（山本龍二）から釘を刺される。しかし、こっそり職場を抜け出し事件現場へと向かうと、野次馬の中に眼光鋭い一人の男がいることに気づく。その男こそ武田の上司となる萩尾秀一（高橋克実）だった。萩尾は捜査3課一筋のベテラン刑事。武田は萩尾の相棒となり、盗犯刑事としてのイロハを教え込まれることになる。  その後、六本木の宝石店で金庫破りがあり、萩尾は「確証がない」と言いつつも、ある金庫破りに会いに行く・・・。萩尾秀一…高橋克実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六郷美由紀…吉田羊  六郷文也…ベンガル  本多稔…宮川一朗太  狩場摂夫…下條アトム  ほか「Message」家入レオ（ビクターエンタテインメント）原作…今野敏「確証」（双葉社）  脚本…森下直制作　那須田淳  チーフプロデューサー　橋本孝  プロデューサー　倉貫健二郎、加藤章一、齊藤彩奈吉田健確証初スポット公開中です！  http://youtu.be/a-7kY6myfRM    『確証～警視庁捜査3課』限定スペシャル映像  http://youtu.be/vaM4MOqX9go  ☆番組HP  http://www.tbs.co.jp/sousa3/  ☆Twitter  https://twitter.com/kakusho_tbs  TBS  ドリマックス・テレビジョン  番組の内容と放送時間は変更になる場合があります。</v>
      </c>
      <c r="N5499" s="2"/>
      <c r="O5499" s="2"/>
      <c r="P5499" s="1"/>
      <c r="Q5499" s="1"/>
      <c r="R5499" s="1"/>
      <c r="S5499" s="1"/>
      <c r="T5499" s="1"/>
      <c r="U5499" s="1"/>
      <c r="V5499" s="1"/>
      <c r="W5499" s="1"/>
      <c r="X5499" s="1"/>
      <c r="Y5499" s="1"/>
      <c r="Z5499" s="1"/>
      <c r="AA5499" s="1"/>
      <c r="AB5499" s="1"/>
      <c r="AC5499" s="1"/>
      <c r="AD5499" s="1"/>
      <c r="AE5499" s="1"/>
      <c r="AF5499" s="1"/>
      <c r="AG5499" s="1"/>
      <c r="AH5499" s="1"/>
      <c r="AI5499" s="1"/>
      <c r="AJ5499" s="1"/>
      <c r="AK5499" s="1"/>
      <c r="AL5499" s="1"/>
      <c r="AM5499" s="1"/>
      <c r="AN5499" s="1"/>
      <c r="AO5499" s="1"/>
      <c r="AP5499" s="1"/>
      <c r="AQ5499" s="1"/>
      <c r="AR5499" s="1"/>
      <c r="AS5499" s="1"/>
      <c r="AT5499" s="1"/>
      <c r="AU5499" s="1"/>
      <c r="AV5499" s="1"/>
      <c r="AW5499" s="1"/>
      <c r="AX5499" s="1"/>
      <c r="AY5499" s="1"/>
      <c r="AZ5499" s="1"/>
      <c r="BA5499" s="1"/>
      <c r="BB5499" s="1"/>
    </row>
    <row r="5500" ht="204.75" customHeight="1">
      <c r="A5500" s="1">
        <v>3290.0</v>
      </c>
      <c r="B5500" s="2" t="s">
        <v>15130</v>
      </c>
      <c r="C5500" s="2">
        <f>IFERROR(__xludf.DUMMYFUNCTION("split(B5500,""_"")"),1304.0)</f>
        <v>1304</v>
      </c>
      <c r="D5500" s="2" t="str">
        <f>IFERROR(__xludf.DUMMYFUNCTION("""COMPUTED_VALUE"""),"TBS")</f>
        <v>TBS</v>
      </c>
      <c r="E5500" s="2" t="str">
        <f>IFERROR(__xludf.DUMMYFUNCTION("""COMPUTED_VALUE"""),"月20")</f>
        <v>月20</v>
      </c>
      <c r="F5500" s="2" t="s">
        <v>15131</v>
      </c>
      <c r="G5500" s="2" t="s">
        <v>15134</v>
      </c>
      <c r="H5500" s="1">
        <v>2.0</v>
      </c>
      <c r="J5500" s="1" t="s">
        <v>7151</v>
      </c>
      <c r="K5500" s="2" t="s">
        <v>15135</v>
      </c>
      <c r="L5500" s="2"/>
      <c r="M5500" s="2" t="str">
        <f>IFERROR(__xludf.DUMMYFUNCTION("split(split(K5500,""【"",false),""公式LINE"",false)"),"解決編。「クライダー家の三姉妹」と呼ばれる由緒ある3つのダイヤが立て続けに盗まれ、そのうちの一件では殺人まで起こった。連続強盗殺人事件として捜査本部が立ち上がり、3件目の強盗殺人の現場で「金庫と死体が余計だ」とつぶやいた萩尾（高橋克実）も秋穂（榮倉奈々）とともに召集される。会議では捜査1課の刑事・菅井（設楽統）と激しく対立する萩尾。しかし、田端1課長（角野卓造）に一任され、萩尾と秋穂は金庫破りのテツこと迫田の身辺捜査に乗り出す。萩尾と秋穂は迫田が昔、町工場を経営していた時の従業員・本多（宮川一朗太）に話を"&amp;"聞きに行く。そんな最中、迫田は尾行していた刑事の拳銃を奪おうとし、任意同行されてしまう…。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六郷美由紀…吉田羊  六郷文也…ベンガル  本多稔…宮川一朗太  狩場摂夫…下條アトム  ほか「"&amp;"Message」家入レオ（ビクターエンタテインメント）原作…今野敏「確証」（双葉社）  脚本…森下直制作　那須田淳  チーフプロデューサー　橋本孝  プロデューサー　倉貫健二郎、加藤章一、齊藤彩奈吉田健☆番組HP  http://www.tbs.co.jp/sousa3/  ☆Twitter  https://twitter.com/kakusho_tbs  第1話ダイジェスト&amp;第2話予告動画公開中！  http://youtu.be/M4O_ABnmVdc        『確証～警視庁捜査3課』WEB限"&amp;"定企画動画を公開しました！こちらからどうぞ！  http://youtu.be/HX2qYiqQUrU  http://youtu.be/PqTu55OI328      TBS  ドリマックス・テレビジョン番組の内容と放送時間は変更になる場合があります。")</f>
        <v>解決編。「クライダー家の三姉妹」と呼ばれる由緒ある3つのダイヤが立て続けに盗まれ、そのうちの一件では殺人まで起こった。連続強盗殺人事件として捜査本部が立ち上がり、3件目の強盗殺人の現場で「金庫と死体が余計だ」とつぶやいた萩尾（高橋克実）も秋穂（榮倉奈々）とともに召集される。会議では捜査1課の刑事・菅井（設楽統）と激しく対立する萩尾。しかし、田端1課長（角野卓造）に一任され、萩尾と秋穂は金庫破りのテツこと迫田の身辺捜査に乗り出す。萩尾と秋穂は迫田が昔、町工場を経営していた時の従業員・本多（宮川一朗太）に話を聞きに行く。そんな最中、迫田は尾行していた刑事の拳銃を奪おうとし、任意同行されてしまう…。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六郷美由紀…吉田羊  六郷文也…ベンガル  本多稔…宮川一朗太  狩場摂夫…下條アトム  ほか「Message」家入レオ（ビクターエンタテインメント）原作…今野敏「確証」（双葉社）  脚本…森下直制作　那須田淳  チーフプロデューサー　橋本孝  プロデューサー　倉貫健二郎、加藤章一、齊藤彩奈吉田健☆番組HP  http://www.tbs.co.jp/sousa3/  ☆Twitter  https://twitter.com/kakusho_tbs  第1話ダイジェスト&amp;第2話予告動画公開中！  http://youtu.be/M4O_ABnmVdc        『確証～警視庁捜査3課』WEB限定企画動画を公開しました！こちらからどうぞ！  http://youtu.be/HX2qYiqQUrU  http://youtu.be/PqTu55OI328      TBS  ドリマックス・テレビジョン番組の内容と放送時間は変更になる場合があります。</v>
      </c>
      <c r="N5500" s="2"/>
      <c r="O5500" s="2"/>
      <c r="P5500" s="1"/>
      <c r="Q5500" s="1"/>
      <c r="R5500" s="1"/>
      <c r="S5500" s="1"/>
      <c r="T5500" s="1"/>
      <c r="U5500" s="1"/>
      <c r="V5500" s="1"/>
      <c r="W5500" s="1"/>
      <c r="X5500" s="1"/>
      <c r="Y5500" s="1"/>
      <c r="Z5500" s="1"/>
      <c r="AA5500" s="1"/>
      <c r="AB5500" s="1"/>
      <c r="AC5500" s="1"/>
      <c r="AD5500" s="1"/>
      <c r="AE5500" s="1"/>
      <c r="AF5500" s="1"/>
      <c r="AG5500" s="1"/>
      <c r="AH5500" s="1"/>
      <c r="AI5500" s="1"/>
      <c r="AJ5500" s="1"/>
      <c r="AK5500" s="1"/>
      <c r="AL5500" s="1"/>
      <c r="AM5500" s="1"/>
      <c r="AN5500" s="1"/>
      <c r="AO5500" s="1"/>
      <c r="AP5500" s="1"/>
      <c r="AQ5500" s="1"/>
      <c r="AR5500" s="1"/>
      <c r="AS5500" s="1"/>
      <c r="AT5500" s="1"/>
      <c r="AU5500" s="1"/>
      <c r="AV5500" s="1"/>
      <c r="AW5500" s="1"/>
      <c r="AX5500" s="1"/>
      <c r="AY5500" s="1"/>
      <c r="AZ5500" s="1"/>
      <c r="BA5500" s="1"/>
      <c r="BB5500" s="1"/>
    </row>
    <row r="5501" ht="204.75" customHeight="1">
      <c r="A5501" s="1">
        <v>3291.0</v>
      </c>
      <c r="B5501" s="2" t="s">
        <v>15130</v>
      </c>
      <c r="C5501" s="2">
        <f>IFERROR(__xludf.DUMMYFUNCTION("split(B5501,""_"")"),1304.0)</f>
        <v>1304</v>
      </c>
      <c r="D5501" s="2" t="str">
        <f>IFERROR(__xludf.DUMMYFUNCTION("""COMPUTED_VALUE"""),"TBS")</f>
        <v>TBS</v>
      </c>
      <c r="E5501" s="2" t="str">
        <f>IFERROR(__xludf.DUMMYFUNCTION("""COMPUTED_VALUE"""),"月20")</f>
        <v>月20</v>
      </c>
      <c r="F5501" s="2" t="s">
        <v>15131</v>
      </c>
      <c r="G5501" s="2" t="s">
        <v>15136</v>
      </c>
      <c r="H5501" s="1">
        <v>3.0</v>
      </c>
      <c r="J5501" s="1" t="s">
        <v>7151</v>
      </c>
      <c r="K5501" s="2" t="s">
        <v>15137</v>
      </c>
      <c r="L5501" s="2"/>
      <c r="M5501" s="2" t="str">
        <f>IFERROR(__xludf.DUMMYFUNCTION("split(split(K5501,""【"",false),""公式LINE"",false)"),"秋穂（榮倉奈々）が警視庁捜査3課に配属になって早2週間。3課一筋21年の萩尾（高橋克実）は、同じ手口の窃盗事件が頻発していた為、秋穂とともに捜査本部を立ち上げる。そんな中、あるレストランオーナーが死体で発見される。彼がいたのは鍵のかかったワインセラーの中であり、さらに発見時には自宅も施錠されていたため、「二重の密室」だった…。その家は萩尾が窃盗事件の捜査の際に気にしていた家であったが、オーナーの妻は盗まれた物はないと偽証。さらには萩尾が追っていた金ヶ谷（忍成修吾）がワインセラーの鍵を開けられるとの理由から"&amp;"、1課に逮捕されてしまう。しかし窃盗犯は殺しはしないと萩尾と菅井（設楽統）は対立する…。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金ヶ谷雅人…忍成修吾  真田喜代…草村礼子  ほか「Message」家入レオ（ビクターエンタテイン"&amp;"メント）原作…今野敏「確証」（双葉社）  脚本…武田有起制作　那須田淳  チーフプロデューサー　橋本孝  プロデューサー　倉貫健二郎、加藤章一、齊藤彩奈竹村謙太郎☆番組HP  http://www.tbs.co.jp/sousa3/  ☆Twitter  https://twitter.com/kakusho_tbs  ■第2話ダイジェスト&amp;次回予告  http://youtu.be/BiquymrmxEA  ■WEB限定企画「今週もひとつよろぴく」  http://youtu.be/9CmAbh01qu"&amp;"0  製作著作：TBS  制作協力：ドリマックス・テレビジョン番組の内容と放送時間は変更になる場合があります。")</f>
        <v>秋穂（榮倉奈々）が警視庁捜査3課に配属になって早2週間。3課一筋21年の萩尾（高橋克実）は、同じ手口の窃盗事件が頻発していた為、秋穂とともに捜査本部を立ち上げる。そんな中、あるレストランオーナーが死体で発見される。彼がいたのは鍵のかかったワインセラーの中であり、さらに発見時には自宅も施錠されていたため、「二重の密室」だった…。その家は萩尾が窃盗事件の捜査の際に気にしていた家であったが、オーナーの妻は盗まれた物はないと偽証。さらには萩尾が追っていた金ヶ谷（忍成修吾）がワインセラーの鍵を開けられるとの理由から、1課に逮捕されてしまう。しかし窃盗犯は殺しはしないと萩尾と菅井（設楽統）は対立する…。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金ヶ谷雅人…忍成修吾  真田喜代…草村礼子  ほか「Message」家入レオ（ビクターエンタテインメント）原作…今野敏「確証」（双葉社）  脚本…武田有起制作　那須田淳  チーフプロデューサー　橋本孝  プロデューサー　倉貫健二郎、加藤章一、齊藤彩奈竹村謙太郎☆番組HP  http://www.tbs.co.jp/sousa3/  ☆Twitter  https://twitter.com/kakusho_tbs  ■第2話ダイジェスト&amp;次回予告  http://youtu.be/BiquymrmxEA  ■WEB限定企画「今週もひとつよろぴく」  http://youtu.be/9CmAbh01qu0  製作著作：TBS  制作協力：ドリマックス・テレビジョン番組の内容と放送時間は変更になる場合があります。</v>
      </c>
      <c r="N5501" s="2"/>
      <c r="O5501" s="2"/>
      <c r="P5501" s="1"/>
      <c r="Q5501" s="1"/>
      <c r="R5501" s="1"/>
      <c r="S5501" s="1"/>
      <c r="T5501" s="1"/>
      <c r="U5501" s="1"/>
      <c r="V5501" s="1"/>
      <c r="W5501" s="1"/>
      <c r="X5501" s="1"/>
      <c r="Y5501" s="1"/>
      <c r="Z5501" s="1"/>
      <c r="AA5501" s="1"/>
      <c r="AB5501" s="1"/>
      <c r="AC5501" s="1"/>
      <c r="AD5501" s="1"/>
      <c r="AE5501" s="1"/>
      <c r="AF5501" s="1"/>
      <c r="AG5501" s="1"/>
      <c r="AH5501" s="1"/>
      <c r="AI5501" s="1"/>
      <c r="AJ5501" s="1"/>
      <c r="AK5501" s="1"/>
      <c r="AL5501" s="1"/>
      <c r="AM5501" s="1"/>
      <c r="AN5501" s="1"/>
      <c r="AO5501" s="1"/>
      <c r="AP5501" s="1"/>
      <c r="AQ5501" s="1"/>
      <c r="AR5501" s="1"/>
      <c r="AS5501" s="1"/>
      <c r="AT5501" s="1"/>
      <c r="AU5501" s="1"/>
      <c r="AV5501" s="1"/>
      <c r="AW5501" s="1"/>
      <c r="AX5501" s="1"/>
      <c r="AY5501" s="1"/>
      <c r="AZ5501" s="1"/>
      <c r="BA5501" s="1"/>
      <c r="BB5501" s="1"/>
    </row>
    <row r="5502" ht="204.75" customHeight="1">
      <c r="A5502" s="1">
        <v>3292.0</v>
      </c>
      <c r="B5502" s="2" t="s">
        <v>15130</v>
      </c>
      <c r="C5502" s="2">
        <f>IFERROR(__xludf.DUMMYFUNCTION("split(B5502,""_"")"),1304.0)</f>
        <v>1304</v>
      </c>
      <c r="D5502" s="2" t="str">
        <f>IFERROR(__xludf.DUMMYFUNCTION("""COMPUTED_VALUE"""),"TBS")</f>
        <v>TBS</v>
      </c>
      <c r="E5502" s="2" t="str">
        <f>IFERROR(__xludf.DUMMYFUNCTION("""COMPUTED_VALUE"""),"月20")</f>
        <v>月20</v>
      </c>
      <c r="F5502" s="2" t="s">
        <v>15131</v>
      </c>
      <c r="G5502" s="2" t="s">
        <v>15138</v>
      </c>
      <c r="H5502" s="1">
        <v>4.0</v>
      </c>
      <c r="J5502" s="1" t="s">
        <v>7151</v>
      </c>
      <c r="K5502" s="2" t="s">
        <v>15139</v>
      </c>
      <c r="L5502" s="2"/>
      <c r="M5502" s="2" t="str">
        <f>IFERROR(__xludf.DUMMYFUNCTION("split(split(K5502,""【"",false),""公式LINE"",false)"),"立て続けに起きた事務所荒らし。人の頭分のスペースから屋内へ侵入、経路には何かが這って移動した痕跡と、微かなファンデーションの付着があった。その手口を見た萩尾（高橋克実）は「黒蛇」という二つ名のついた女泥棒を思い出していた。彼女は3年前に100件以上の飲食店を荒らし、捜査本部が立った途端に姿を消していた。当時被害に遭った飲食店を再捜査中の秋穂（榮倉奈々）の言葉をきっかけに、工藤鏡子（青山倫子）というライターの存在が浮上。3年前にバツイチのシェフ・工藤翔太（津田寛治）と結婚し、現在は専業主婦。夫婦関係はおろか"&amp;"、翔太の連れ子・優馬との仲もうまくいっておらず、しかも優馬は不登校になっていた…。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工藤鏡子…青山倫子  工藤翔太…津田寛治  ほか「Message」家入レオ（ビクターエンタテインメント）"&amp;"原作…今野敏「確証」（双葉社）  脚本…森下直制作　那須田淳  チーフプロデューサー　橋本孝  プロデューサー　倉貫健二郎、加藤章一、齊藤彩奈吉田健☆番組HP  http://www.tbs.co.jp/sousa3/  ☆Twitter  https://twitter.com/kakusho_tbs  TBS  ドリマックス・テレビジョン  番組の内容と放送時間は変更になる場合があります。")</f>
        <v>立て続けに起きた事務所荒らし。人の頭分のスペースから屋内へ侵入、経路には何かが這って移動した痕跡と、微かなファンデーションの付着があった。その手口を見た萩尾（高橋克実）は「黒蛇」という二つ名のついた女泥棒を思い出していた。彼女は3年前に100件以上の飲食店を荒らし、捜査本部が立った途端に姿を消していた。当時被害に遭った飲食店を再捜査中の秋穂（榮倉奈々）の言葉をきっかけに、工藤鏡子（青山倫子）というライターの存在が浮上。3年前にバツイチのシェフ・工藤翔太（津田寛治）と結婚し、現在は専業主婦。夫婦関係はおろか、翔太の連れ子・優馬との仲もうまくいっておらず、しかも優馬は不登校になっていた…。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工藤鏡子…青山倫子  工藤翔太…津田寛治  ほか「Message」家入レオ（ビクターエンタテインメント）原作…今野敏「確証」（双葉社）  脚本…森下直制作　那須田淳  チーフプロデューサー　橋本孝  プロデューサー　倉貫健二郎、加藤章一、齊藤彩奈吉田健☆番組HP  http://www.tbs.co.jp/sousa3/  ☆Twitter  https://twitter.com/kakusho_tbs  TBS  ドリマックス・テレビジョン  番組の内容と放送時間は変更になる場合があります。</v>
      </c>
      <c r="N5502" s="2"/>
      <c r="O5502" s="2"/>
      <c r="P5502" s="1"/>
      <c r="Q5502" s="1"/>
      <c r="R5502" s="1"/>
      <c r="S5502" s="1"/>
      <c r="T5502" s="1"/>
      <c r="U5502" s="1"/>
      <c r="V5502" s="1"/>
      <c r="W5502" s="1"/>
      <c r="X5502" s="1"/>
      <c r="Y5502" s="1"/>
      <c r="Z5502" s="1"/>
      <c r="AA5502" s="1"/>
      <c r="AB5502" s="1"/>
      <c r="AC5502" s="1"/>
      <c r="AD5502" s="1"/>
      <c r="AE5502" s="1"/>
      <c r="AF5502" s="1"/>
      <c r="AG5502" s="1"/>
      <c r="AH5502" s="1"/>
      <c r="AI5502" s="1"/>
      <c r="AJ5502" s="1"/>
      <c r="AK5502" s="1"/>
      <c r="AL5502" s="1"/>
      <c r="AM5502" s="1"/>
      <c r="AN5502" s="1"/>
      <c r="AO5502" s="1"/>
      <c r="AP5502" s="1"/>
      <c r="AQ5502" s="1"/>
      <c r="AR5502" s="1"/>
      <c r="AS5502" s="1"/>
      <c r="AT5502" s="1"/>
      <c r="AU5502" s="1"/>
      <c r="AV5502" s="1"/>
      <c r="AW5502" s="1"/>
      <c r="AX5502" s="1"/>
      <c r="AY5502" s="1"/>
      <c r="AZ5502" s="1"/>
      <c r="BA5502" s="1"/>
      <c r="BB5502" s="1"/>
    </row>
    <row r="5503" ht="204.75" customHeight="1">
      <c r="A5503" s="1">
        <v>3293.0</v>
      </c>
      <c r="B5503" s="2" t="s">
        <v>15130</v>
      </c>
      <c r="C5503" s="2">
        <f>IFERROR(__xludf.DUMMYFUNCTION("split(B5503,""_"")"),1304.0)</f>
        <v>1304</v>
      </c>
      <c r="D5503" s="2" t="str">
        <f>IFERROR(__xludf.DUMMYFUNCTION("""COMPUTED_VALUE"""),"TBS")</f>
        <v>TBS</v>
      </c>
      <c r="E5503" s="2" t="str">
        <f>IFERROR(__xludf.DUMMYFUNCTION("""COMPUTED_VALUE"""),"月20")</f>
        <v>月20</v>
      </c>
      <c r="F5503" s="2" t="s">
        <v>15131</v>
      </c>
      <c r="G5503" s="2" t="s">
        <v>15140</v>
      </c>
      <c r="H5503" s="1">
        <v>5.0</v>
      </c>
      <c r="J5503" s="1" t="s">
        <v>7151</v>
      </c>
      <c r="K5503" s="2" t="s">
        <v>15141</v>
      </c>
      <c r="L5503" s="2"/>
      <c r="M5503" s="2" t="str">
        <f>IFERROR(__xludf.DUMMYFUNCTION("split(split(K5503,""【"",false),""公式LINE"",false)"),"現金輸送車を襲った強盗犯が閑静な住宅街に逃げ込み、人質を取って民家に立てこもった。3課のヤマではないとニュースを見ていた萩尾（高橋克実）だが、気になる事があり1課に報告。田端1課長（角野卓造）から現場に呼ばれる事に。事件に興味津々である相棒の秋穂（榮倉奈々）も同行する。現場は1課だけでなく、所轄署、SAT、SITと入り乱れ、どこが主導権を握るかで揉めていた。そんな中、萩尾は立てこもりの家にいるのは常習窃盗犯の安原（滝藤賢一）だと見抜くが・・・。萩尾秀一…高橋克実  武田秋穂…榮倉奈々       菅井直隆"&amp;"…設楽統（バナナマン）  猪野勝也…山本龍二  小渕貴大…柳下大  友坂美奈代…黒川智花  牧村シズ…西尾まり  上村早苗…鷲尾真知子  苅田浩…松田悟志  桑名光…中村靖日       福田大吉…泉谷しげる  萩尾ゆり子…中嶋朋子  田端守雄…角野卓造    安原圭太…滝藤賢一  佐久間真…渡辺裕之  矢野昭正…山崎銀之丞  ほか「Message」家入レオ（ビクターエンタテインメント）原作…今野敏「確証」（双葉社）  脚本…松本美弥子制作　那須田淳  チーフプロデューサー　橋本孝  プロデューサー　倉貫"&amp;"健二郎、加藤章一、齊藤彩奈竹村謙太郎☆番組HP  http://www.tbs.co.jp/sousa3/  ☆Twitter  https://twitter.com/kakusho_tbs  ☆第4話ダイジェスト＆次回予告動画公開！  http://youtu.be/_QTvkr8XUeM  ☆WEB限定企画「今週もひとつよろぴく!」5  http://youtu.be/XAJEhjcTh5M  TBS  ドリマックス・テレビジョン  番組の内容と放送時間は変更になる場合があります。")</f>
        <v>現金輸送車を襲った強盗犯が閑静な住宅街に逃げ込み、人質を取って民家に立てこもった。3課のヤマではないとニュースを見ていた萩尾（高橋克実）だが、気になる事があり1課に報告。田端1課長（角野卓造）から現場に呼ばれる事に。事件に興味津々である相棒の秋穂（榮倉奈々）も同行する。現場は1課だけでなく、所轄署、SAT、SITと入り乱れ、どこが主導権を握るかで揉めていた。そんな中、萩尾は立てこもりの家にいるのは常習窃盗犯の安原（滝藤賢一）だと見抜くが・・・。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安原圭太…滝藤賢一  佐久間真…渡辺裕之  矢野昭正…山崎銀之丞  ほか「Message」家入レオ（ビクターエンタテインメント）原作…今野敏「確証」（双葉社）  脚本…松本美弥子制作　那須田淳  チーフプロデューサー　橋本孝  プロデューサー　倉貫健二郎、加藤章一、齊藤彩奈竹村謙太郎☆番組HP  http://www.tbs.co.jp/sousa3/  ☆Twitter  https://twitter.com/kakusho_tbs  ☆第4話ダイジェスト＆次回予告動画公開！  http://youtu.be/_QTvkr8XUeM  ☆WEB限定企画「今週もひとつよろぴく!」5  http://youtu.be/XAJEhjcTh5M  TBS  ドリマックス・テレビジョン  番組の内容と放送時間は変更になる場合があります。</v>
      </c>
      <c r="N5503" s="2"/>
      <c r="O5503" s="2"/>
      <c r="P5503" s="1"/>
      <c r="Q5503" s="1"/>
      <c r="R5503" s="1"/>
      <c r="S5503" s="1"/>
      <c r="T5503" s="1"/>
      <c r="U5503" s="1"/>
      <c r="V5503" s="1"/>
      <c r="W5503" s="1"/>
      <c r="X5503" s="1"/>
      <c r="Y5503" s="1"/>
      <c r="Z5503" s="1"/>
      <c r="AA5503" s="1"/>
      <c r="AB5503" s="1"/>
      <c r="AC5503" s="1"/>
      <c r="AD5503" s="1"/>
      <c r="AE5503" s="1"/>
      <c r="AF5503" s="1"/>
      <c r="AG5503" s="1"/>
      <c r="AH5503" s="1"/>
      <c r="AI5503" s="1"/>
      <c r="AJ5503" s="1"/>
      <c r="AK5503" s="1"/>
      <c r="AL5503" s="1"/>
      <c r="AM5503" s="1"/>
      <c r="AN5503" s="1"/>
      <c r="AO5503" s="1"/>
      <c r="AP5503" s="1"/>
      <c r="AQ5503" s="1"/>
      <c r="AR5503" s="1"/>
      <c r="AS5503" s="1"/>
      <c r="AT5503" s="1"/>
      <c r="AU5503" s="1"/>
      <c r="AV5503" s="1"/>
      <c r="AW5503" s="1"/>
      <c r="AX5503" s="1"/>
      <c r="AY5503" s="1"/>
      <c r="AZ5503" s="1"/>
      <c r="BA5503" s="1"/>
      <c r="BB5503" s="1"/>
    </row>
    <row r="5504" ht="204.75" customHeight="1">
      <c r="A5504" s="1">
        <v>3294.0</v>
      </c>
      <c r="B5504" s="2" t="s">
        <v>15130</v>
      </c>
      <c r="C5504" s="2">
        <f>IFERROR(__xludf.DUMMYFUNCTION("split(B5504,""_"")"),1304.0)</f>
        <v>1304</v>
      </c>
      <c r="D5504" s="2" t="str">
        <f>IFERROR(__xludf.DUMMYFUNCTION("""COMPUTED_VALUE"""),"TBS")</f>
        <v>TBS</v>
      </c>
      <c r="E5504" s="2" t="str">
        <f>IFERROR(__xludf.DUMMYFUNCTION("""COMPUTED_VALUE"""),"月20")</f>
        <v>月20</v>
      </c>
      <c r="F5504" s="2" t="s">
        <v>15131</v>
      </c>
      <c r="G5504" s="2" t="s">
        <v>15142</v>
      </c>
      <c r="H5504" s="1">
        <v>6.0</v>
      </c>
      <c r="J5504" s="1" t="s">
        <v>7151</v>
      </c>
      <c r="K5504" s="2" t="s">
        <v>15143</v>
      </c>
      <c r="L5504" s="2"/>
      <c r="M5504" s="2" t="str">
        <f>IFERROR(__xludf.DUMMYFUNCTION("split(split(K5504,""【"",false),""公式LINE"",false)"),"現金輸送車を襲った強盗犯の立てこもり事件が発生。その家は家主の倉田も出かけており無人のはずだったが、離婚した倉田の娘・晴菜（熊田聖亜）がいることが判明し、SATの突入は急きょ中止となる。萩尾（高橋克実）の機転で、人質になっていた常習窃盗犯・安原圭太（滝藤賢一）とのやりとりの中で、晴菜がいることがまだ犯人にはバレていないことが分かる。しかし、晴菜は小児性の糖尿病を患っており、あと2時間以内に薬を打たないと生命の危機に陥ってしまうのだった・・・！萩尾秀一…高橋克実  武田秋穂…榮倉奈々       菅井直隆…"&amp;"設楽統（バナナマン）  猪野勝也…山本龍二  小渕貴大…柳下大  友坂美奈代…黒川智花  牧村シズ…西尾まり  上村早苗…鷲尾真知子  苅田浩…松田悟志  桑名光…中村靖日       福田大吉…泉谷しげる  萩尾ゆり子…中嶋朋子  田端守雄…角野卓造    安原圭太…滝藤賢一  佐久間真…渡辺裕之  矢野昭正…山崎銀之丞  ほか「Message」家入レオ（ビクターエンタテインメント）原作…今野敏「確証」（双葉社）  脚本…松本美弥子制作　那須田淳  チーフプロデューサー　橋本孝  プロデューサー　倉貫健"&amp;"二郎、加藤章一、齊藤彩奈竹村謙太郎☆番組HP  http://www.tbs.co.jp/sousa3/  ☆Twitter  https://twitter.com/kakusho_tbs  ■確証6話予告  http://youtu.be/HJLwswWWRv4  ■「確証」限定企画6  http://youtu.be/C5fLS80Ra2Q  TBS  ドリマックス・テレビジョン  番組の内容と放送時間は変更になる場合があります。")</f>
        <v>現金輸送車を襲った強盗犯の立てこもり事件が発生。その家は家主の倉田も出かけており無人のはずだったが、離婚した倉田の娘・晴菜（熊田聖亜）がいることが判明し、SATの突入は急きょ中止となる。萩尾（高橋克実）の機転で、人質になっていた常習窃盗犯・安原圭太（滝藤賢一）とのやりとりの中で、晴菜がいることがまだ犯人にはバレていないことが分かる。しかし、晴菜は小児性の糖尿病を患っており、あと2時間以内に薬を打たないと生命の危機に陥ってしまうのだった・・・！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安原圭太…滝藤賢一  佐久間真…渡辺裕之  矢野昭正…山崎銀之丞  ほか「Message」家入レオ（ビクターエンタテインメント）原作…今野敏「確証」（双葉社）  脚本…松本美弥子制作　那須田淳  チーフプロデューサー　橋本孝  プロデューサー　倉貫健二郎、加藤章一、齊藤彩奈竹村謙太郎☆番組HP  http://www.tbs.co.jp/sousa3/  ☆Twitter  https://twitter.com/kakusho_tbs  ■確証6話予告  http://youtu.be/HJLwswWWRv4  ■「確証」限定企画6  http://youtu.be/C5fLS80Ra2Q  TBS  ドリマックス・テレビジョン  番組の内容と放送時間は変更になる場合があります。</v>
      </c>
      <c r="N5504" s="2"/>
      <c r="O5504" s="2"/>
      <c r="P5504" s="1"/>
      <c r="Q5504" s="1"/>
      <c r="R5504" s="1"/>
      <c r="S5504" s="1"/>
      <c r="T5504" s="1"/>
      <c r="U5504" s="1"/>
      <c r="V5504" s="1"/>
      <c r="W5504" s="1"/>
      <c r="X5504" s="1"/>
      <c r="Y5504" s="1"/>
      <c r="Z5504" s="1"/>
      <c r="AA5504" s="1"/>
      <c r="AB5504" s="1"/>
      <c r="AC5504" s="1"/>
      <c r="AD5504" s="1"/>
      <c r="AE5504" s="1"/>
      <c r="AF5504" s="1"/>
      <c r="AG5504" s="1"/>
      <c r="AH5504" s="1"/>
      <c r="AI5504" s="1"/>
      <c r="AJ5504" s="1"/>
      <c r="AK5504" s="1"/>
      <c r="AL5504" s="1"/>
      <c r="AM5504" s="1"/>
      <c r="AN5504" s="1"/>
      <c r="AO5504" s="1"/>
      <c r="AP5504" s="1"/>
      <c r="AQ5504" s="1"/>
      <c r="AR5504" s="1"/>
      <c r="AS5504" s="1"/>
      <c r="AT5504" s="1"/>
      <c r="AU5504" s="1"/>
      <c r="AV5504" s="1"/>
      <c r="AW5504" s="1"/>
      <c r="AX5504" s="1"/>
      <c r="AY5504" s="1"/>
      <c r="AZ5504" s="1"/>
      <c r="BA5504" s="1"/>
      <c r="BB5504" s="1"/>
    </row>
    <row r="5505" ht="204.75" customHeight="1">
      <c r="A5505" s="1">
        <v>3295.0</v>
      </c>
      <c r="B5505" s="2" t="s">
        <v>15130</v>
      </c>
      <c r="C5505" s="2">
        <f>IFERROR(__xludf.DUMMYFUNCTION("split(B5505,""_"")"),1304.0)</f>
        <v>1304</v>
      </c>
      <c r="D5505" s="2" t="str">
        <f>IFERROR(__xludf.DUMMYFUNCTION("""COMPUTED_VALUE"""),"TBS")</f>
        <v>TBS</v>
      </c>
      <c r="E5505" s="2" t="str">
        <f>IFERROR(__xludf.DUMMYFUNCTION("""COMPUTED_VALUE"""),"月20")</f>
        <v>月20</v>
      </c>
      <c r="F5505" s="2" t="s">
        <v>15131</v>
      </c>
      <c r="G5505" s="2" t="s">
        <v>15144</v>
      </c>
      <c r="H5505" s="1">
        <v>7.0</v>
      </c>
      <c r="J5505" s="1" t="s">
        <v>7151</v>
      </c>
      <c r="K5505" s="2" t="s">
        <v>15145</v>
      </c>
      <c r="L5505" s="2"/>
      <c r="M5505" s="2" t="str">
        <f>IFERROR(__xludf.DUMMYFUNCTION("split(split(K5505,""【"",false),""公式LINE"",false)"),"寮仲間の美奈代（黒川智花）に誘われて人数合わせの合コンに出席する秋穂（榮倉奈々）だったが、その場に居合わせた窃盗犯を逮捕し、合コンは失敗に終わる。  後日、その合コン相手の1人である藤堂（戸次重幸）が萩尾（高橋克実）と秋穂を訪ねてくる。実は彼は東京地検特捜部の検事であり、萩尾と秋穂が追っている河合幹事長（小木茂光）の事務所で起きた窃盗事件にある疑惑を抱いていた。河合幹事長には2億の闇献金疑惑がありその家宅捜索直前に窃盗事件に遭遇。2億が盗まれたのではないかというのだ。窃盗犯を捕まえれば、強制捜査に踏み切れ"&amp;"る。かくして、政治の闇に3課×特捜部が立ち向かうことになる！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藤堂隆之…戸次重幸  河合賢治…小木茂光  伊東和義…阪田マサノブ  篠原道夫…三又又三  ほか「Message」家入レオ（ビ"&amp;"クターエンタテインメント）原作…今野敏「確証」（双葉社）  脚本…武田有起制作　那須田淳  チーフプロデューサー　橋本孝  プロデューサー　倉貫健二郎、加藤章一、齊藤彩奈北川雅一☆番組HP  http://www.tbs.co.jp/sousa3/  ☆Twitter  https://twitter.com/kakusho_tbs  TBS  ドリマックス・テレビジョン  第7話(5/27）予告   http://youtu.be/Go79A3V5yIU    WEB限定企画「今週もひとつよろぴく!」 "&amp;" http://youtu.be/TqFdnf0IG68  番組の内容と放送時間は変更になる場合があります。")</f>
        <v>寮仲間の美奈代（黒川智花）に誘われて人数合わせの合コンに出席する秋穂（榮倉奈々）だったが、その場に居合わせた窃盗犯を逮捕し、合コンは失敗に終わる。  後日、その合コン相手の1人である藤堂（戸次重幸）が萩尾（高橋克実）と秋穂を訪ねてくる。実は彼は東京地検特捜部の検事であり、萩尾と秋穂が追っている河合幹事長（小木茂光）の事務所で起きた窃盗事件にある疑惑を抱いていた。河合幹事長には2億の闇献金疑惑がありその家宅捜索直前に窃盗事件に遭遇。2億が盗まれたのではないかというのだ。窃盗犯を捕まえれば、強制捜査に踏み切れる。かくして、政治の闇に3課×特捜部が立ち向かうことになる！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藤堂隆之…戸次重幸  河合賢治…小木茂光  伊東和義…阪田マサノブ  篠原道夫…三又又三  ほか「Message」家入レオ（ビクターエンタテインメント）原作…今野敏「確証」（双葉社）  脚本…武田有起制作　那須田淳  チーフプロデューサー　橋本孝  プロデューサー　倉貫健二郎、加藤章一、齊藤彩奈北川雅一☆番組HP  http://www.tbs.co.jp/sousa3/  ☆Twitter  https://twitter.com/kakusho_tbs  TBS  ドリマックス・テレビジョン  第7話(5/27）予告   http://youtu.be/Go79A3V5yIU    WEB限定企画「今週もひとつよろぴく!」  http://youtu.be/TqFdnf0IG68  番組の内容と放送時間は変更になる場合があります。</v>
      </c>
      <c r="N5505" s="2"/>
      <c r="O5505" s="2"/>
      <c r="P5505" s="1"/>
      <c r="Q5505" s="1"/>
      <c r="R5505" s="1"/>
      <c r="S5505" s="1"/>
      <c r="T5505" s="1"/>
      <c r="U5505" s="1"/>
      <c r="V5505" s="1"/>
      <c r="W5505" s="1"/>
      <c r="X5505" s="1"/>
      <c r="Y5505" s="1"/>
      <c r="Z5505" s="1"/>
      <c r="AA5505" s="1"/>
      <c r="AB5505" s="1"/>
      <c r="AC5505" s="1"/>
      <c r="AD5505" s="1"/>
      <c r="AE5505" s="1"/>
      <c r="AF5505" s="1"/>
      <c r="AG5505" s="1"/>
      <c r="AH5505" s="1"/>
      <c r="AI5505" s="1"/>
      <c r="AJ5505" s="1"/>
      <c r="AK5505" s="1"/>
      <c r="AL5505" s="1"/>
      <c r="AM5505" s="1"/>
      <c r="AN5505" s="1"/>
      <c r="AO5505" s="1"/>
      <c r="AP5505" s="1"/>
      <c r="AQ5505" s="1"/>
      <c r="AR5505" s="1"/>
      <c r="AS5505" s="1"/>
      <c r="AT5505" s="1"/>
      <c r="AU5505" s="1"/>
      <c r="AV5505" s="1"/>
      <c r="AW5505" s="1"/>
      <c r="AX5505" s="1"/>
      <c r="AY5505" s="1"/>
      <c r="AZ5505" s="1"/>
      <c r="BA5505" s="1"/>
      <c r="BB5505" s="1"/>
    </row>
    <row r="5506" ht="204.75" customHeight="1">
      <c r="A5506" s="1">
        <v>3296.0</v>
      </c>
      <c r="B5506" s="2" t="s">
        <v>15130</v>
      </c>
      <c r="C5506" s="2">
        <f>IFERROR(__xludf.DUMMYFUNCTION("split(B5506,""_"")"),1304.0)</f>
        <v>1304</v>
      </c>
      <c r="D5506" s="2" t="str">
        <f>IFERROR(__xludf.DUMMYFUNCTION("""COMPUTED_VALUE"""),"TBS")</f>
        <v>TBS</v>
      </c>
      <c r="E5506" s="2" t="str">
        <f>IFERROR(__xludf.DUMMYFUNCTION("""COMPUTED_VALUE"""),"月20")</f>
        <v>月20</v>
      </c>
      <c r="F5506" s="2" t="s">
        <v>15131</v>
      </c>
      <c r="G5506" s="2" t="s">
        <v>15146</v>
      </c>
      <c r="H5506" s="1">
        <v>8.0</v>
      </c>
      <c r="J5506" s="1" t="s">
        <v>7151</v>
      </c>
      <c r="K5506" s="2" t="s">
        <v>15147</v>
      </c>
      <c r="L5506" s="2"/>
      <c r="M5506" s="2" t="str">
        <f>IFERROR(__xludf.DUMMYFUNCTION("split(split(K5506,""【"",false),""公式LINE"",false)"),"萩尾（高橋克実）と秋穂（榮倉奈々）ら3課は入国管理局とともに、盗難車両を解体して海外に売りさばく闇ルートの拠点になっている“ヤード”への一斉摘発を行うことに。摘発時、ヤードを仕切っていた大久保（橋本じゅん）の逮捕には成功するが、大久保と一緒に逃げていた若い男（菊田大輔）が秋穂に追われる中、車道に飛び出し、車に轢かれてしまう。大久保は取り調べの中で、警察に男の身元が分かれば、闇ルートを白状すると言い萩尾はその賭けに乗ることにする。一方秋穂は重体となった若い男が運び込まれた病院から一歩も動かず、もう刑事を続け"&amp;"る事ができないと言い出す…。そこに萩尾の妻ゆりこ（中嶋朋子）が現れ、萩尾との過去を明かす…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大久保英輔…橋本じゅん  アルベルト…菊田大輔  ほか「Message」家入レオ（ビクターエンタ"&amp;"テインメント）原作…今野敏「確証」（双葉社）  脚本…森下直制作　那須田淳  チーフプロデューサー　橋本孝  プロデューサー　倉貫健二郎、加藤章一、齊藤彩奈吉田健☆番組HP  http://www.tbs.co.jp/sousa3/  ☆Twitter  https://twitter.com/kakusho_tbs  ■確証6/3予告動画公開中！  http://youtu.be/RdA3Rth0bdA  WEB限定企画「今週もひとつよろぴく!」8 動画を公開しました！こちらからどうぞ！  http:/"&amp;"/youtu.be/2TIW2mJPT18  TBS  ドリマックス・テレビジョン  番組の内容と放送時間は変更になる場合があります。")</f>
        <v>萩尾（高橋克実）と秋穂（榮倉奈々）ら3課は入国管理局とともに、盗難車両を解体して海外に売りさばく闇ルートの拠点になっている“ヤード”への一斉摘発を行うことに。摘発時、ヤードを仕切っていた大久保（橋本じゅん）の逮捕には成功するが、大久保と一緒に逃げていた若い男（菊田大輔）が秋穂に追われる中、車道に飛び出し、車に轢かれてしまう。大久保は取り調べの中で、警察に男の身元が分かれば、闇ルートを白状すると言い萩尾はその賭けに乗ることにする。一方秋穂は重体となった若い男が運び込まれた病院から一歩も動かず、もう刑事を続ける事ができないと言い出す…。そこに萩尾の妻ゆりこ（中嶋朋子）が現れ、萩尾との過去を明かす…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大久保英輔…橋本じゅん  アルベルト…菊田大輔  ほか「Message」家入レオ（ビクターエンタテインメント）原作…今野敏「確証」（双葉社）  脚本…森下直制作　那須田淳  チーフプロデューサー　橋本孝  プロデューサー　倉貫健二郎、加藤章一、齊藤彩奈吉田健☆番組HP  http://www.tbs.co.jp/sousa3/  ☆Twitter  https://twitter.com/kakusho_tbs  ■確証6/3予告動画公開中！  http://youtu.be/RdA3Rth0bdA  WEB限定企画「今週もひとつよろぴく!」8 動画を公開しました！こちらからどうぞ！  http://youtu.be/2TIW2mJPT18  TBS  ドリマックス・テレビジョン  番組の内容と放送時間は変更になる場合があります。</v>
      </c>
      <c r="N5506" s="2"/>
      <c r="O5506" s="2"/>
      <c r="P5506" s="1"/>
      <c r="Q5506" s="1"/>
      <c r="R5506" s="1"/>
      <c r="S5506" s="1"/>
      <c r="T5506" s="1"/>
      <c r="U5506" s="1"/>
      <c r="V5506" s="1"/>
      <c r="W5506" s="1"/>
      <c r="X5506" s="1"/>
      <c r="Y5506" s="1"/>
      <c r="Z5506" s="1"/>
      <c r="AA5506" s="1"/>
      <c r="AB5506" s="1"/>
      <c r="AC5506" s="1"/>
      <c r="AD5506" s="1"/>
      <c r="AE5506" s="1"/>
      <c r="AF5506" s="1"/>
      <c r="AG5506" s="1"/>
      <c r="AH5506" s="1"/>
      <c r="AI5506" s="1"/>
      <c r="AJ5506" s="1"/>
      <c r="AK5506" s="1"/>
      <c r="AL5506" s="1"/>
      <c r="AM5506" s="1"/>
      <c r="AN5506" s="1"/>
      <c r="AO5506" s="1"/>
      <c r="AP5506" s="1"/>
      <c r="AQ5506" s="1"/>
      <c r="AR5506" s="1"/>
      <c r="AS5506" s="1"/>
      <c r="AT5506" s="1"/>
      <c r="AU5506" s="1"/>
      <c r="AV5506" s="1"/>
      <c r="AW5506" s="1"/>
      <c r="AX5506" s="1"/>
      <c r="AY5506" s="1"/>
      <c r="AZ5506" s="1"/>
      <c r="BA5506" s="1"/>
      <c r="BB5506" s="1"/>
    </row>
    <row r="5507" ht="204.75" customHeight="1">
      <c r="A5507" s="1">
        <v>3297.0</v>
      </c>
      <c r="B5507" s="2" t="s">
        <v>15130</v>
      </c>
      <c r="C5507" s="2">
        <f>IFERROR(__xludf.DUMMYFUNCTION("split(B5507,""_"")"),1304.0)</f>
        <v>1304</v>
      </c>
      <c r="D5507" s="2" t="str">
        <f>IFERROR(__xludf.DUMMYFUNCTION("""COMPUTED_VALUE"""),"TBS")</f>
        <v>TBS</v>
      </c>
      <c r="E5507" s="2" t="str">
        <f>IFERROR(__xludf.DUMMYFUNCTION("""COMPUTED_VALUE"""),"月20")</f>
        <v>月20</v>
      </c>
      <c r="F5507" s="2" t="s">
        <v>15131</v>
      </c>
      <c r="G5507" s="2" t="s">
        <v>15148</v>
      </c>
      <c r="H5507" s="1">
        <v>9.0</v>
      </c>
      <c r="J5507" s="1" t="s">
        <v>7151</v>
      </c>
      <c r="K5507" s="2" t="s">
        <v>15149</v>
      </c>
      <c r="L5507" s="2"/>
      <c r="M5507" s="2" t="str">
        <f>IFERROR(__xludf.DUMMYFUNCTION("split(split(K5507,""【"",false),""公式LINE"",false)"),"3件連続して起きた窃盗事件。部屋の荒らし方は素人だが、金庫を開ける技術は玄人のもの…。現場を見た萩尾（高橋克実）は、自分の情報屋である鍵福こと福田大吉（泉谷しげる）が金庫を開けたのではないかと疑い、秋穂（榮倉奈々）とともに鍵福に会いに行く。そこで鍵福から実は余命1年だと告白され、2人は衝撃を受ける。数日後同じ窃盗団が警備員に怪我をさせ、ついに強盗犯になってしまう鍵福。捜査を続けるうち、鍵福は和也（金井勇太）という青年を不良グループから抜けさせたいと言っていたことが分かり、萩尾はその為に不良グループに協力し"&amp;"ているのではないかと推測する。なんとかして犯行をやめさせたい秋穂に鍵福から電話がくるが…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下田和也…金井勇太  ほか「Message」家入レオ（ビクターエンタテインメント）原作…今野敏「確"&amp;"証」（双葉社）  脚本…武田有起制作　那須田淳  チーフプロデューサー　橋本孝  プロデューサー　倉貫健二郎、加藤章一、齊藤彩奈竹村謙太郎☆番組HP  http://www.tbs.co.jp/sousa3/  ☆Twitter  https://twitter.com/kakusho_tbs  鍵福（泉谷しげる）が現役復帰！？  予告動画を公開中！  http://youtu.be/vULNWmZK-fA  限定企画9動画公開中！  http://youtu.be/7ssxlad8pu0  TBS  ド"&amp;"リマックス・テレビジョン  番組の内容と放送時間は変更になる場合があります。")</f>
        <v>3件連続して起きた窃盗事件。部屋の荒らし方は素人だが、金庫を開ける技術は玄人のもの…。現場を見た萩尾（高橋克実）は、自分の情報屋である鍵福こと福田大吉（泉谷しげる）が金庫を開けたのではないかと疑い、秋穂（榮倉奈々）とともに鍵福に会いに行く。そこで鍵福から実は余命1年だと告白され、2人は衝撃を受ける。数日後同じ窃盗団が警備員に怪我をさせ、ついに強盗犯になってしまう鍵福。捜査を続けるうち、鍵福は和也（金井勇太）という青年を不良グループから抜けさせたいと言っていたことが分かり、萩尾はその為に不良グループに協力しているのではないかと推測する。なんとかして犯行をやめさせたい秋穂に鍵福から電話がくるが…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下田和也…金井勇太  ほか「Message」家入レオ（ビクターエンタテインメント）原作…今野敏「確証」（双葉社）  脚本…武田有起制作　那須田淳  チーフプロデューサー　橋本孝  プロデューサー　倉貫健二郎、加藤章一、齊藤彩奈竹村謙太郎☆番組HP  http://www.tbs.co.jp/sousa3/  ☆Twitter  https://twitter.com/kakusho_tbs  鍵福（泉谷しげる）が現役復帰！？  予告動画を公開中！  http://youtu.be/vULNWmZK-fA  限定企画9動画公開中！  http://youtu.be/7ssxlad8pu0  TBS  ドリマックス・テレビジョン  番組の内容と放送時間は変更になる場合があります。</v>
      </c>
      <c r="N5507" s="2"/>
      <c r="O5507" s="2"/>
      <c r="P5507" s="1"/>
      <c r="Q5507" s="1"/>
      <c r="R5507" s="1"/>
      <c r="S5507" s="1"/>
      <c r="T5507" s="1"/>
      <c r="U5507" s="1"/>
      <c r="V5507" s="1"/>
      <c r="W5507" s="1"/>
      <c r="X5507" s="1"/>
      <c r="Y5507" s="1"/>
      <c r="Z5507" s="1"/>
      <c r="AA5507" s="1"/>
      <c r="AB5507" s="1"/>
      <c r="AC5507" s="1"/>
      <c r="AD5507" s="1"/>
      <c r="AE5507" s="1"/>
      <c r="AF5507" s="1"/>
      <c r="AG5507" s="1"/>
      <c r="AH5507" s="1"/>
      <c r="AI5507" s="1"/>
      <c r="AJ5507" s="1"/>
      <c r="AK5507" s="1"/>
      <c r="AL5507" s="1"/>
      <c r="AM5507" s="1"/>
      <c r="AN5507" s="1"/>
      <c r="AO5507" s="1"/>
      <c r="AP5507" s="1"/>
      <c r="AQ5507" s="1"/>
      <c r="AR5507" s="1"/>
      <c r="AS5507" s="1"/>
      <c r="AT5507" s="1"/>
      <c r="AU5507" s="1"/>
      <c r="AV5507" s="1"/>
      <c r="AW5507" s="1"/>
      <c r="AX5507" s="1"/>
      <c r="AY5507" s="1"/>
      <c r="AZ5507" s="1"/>
      <c r="BA5507" s="1"/>
      <c r="BB5507" s="1"/>
    </row>
    <row r="5508" ht="204.75" customHeight="1">
      <c r="A5508" s="1">
        <v>3298.0</v>
      </c>
      <c r="B5508" s="2" t="s">
        <v>15130</v>
      </c>
      <c r="C5508" s="2">
        <f>IFERROR(__xludf.DUMMYFUNCTION("split(B5508,""_"")"),1304.0)</f>
        <v>1304</v>
      </c>
      <c r="D5508" s="2" t="str">
        <f>IFERROR(__xludf.DUMMYFUNCTION("""COMPUTED_VALUE"""),"TBS")</f>
        <v>TBS</v>
      </c>
      <c r="E5508" s="2" t="str">
        <f>IFERROR(__xludf.DUMMYFUNCTION("""COMPUTED_VALUE"""),"月20")</f>
        <v>月20</v>
      </c>
      <c r="F5508" s="2" t="s">
        <v>15131</v>
      </c>
      <c r="G5508" s="2" t="s">
        <v>15150</v>
      </c>
      <c r="H5508" s="1">
        <v>10.0</v>
      </c>
      <c r="J5508" s="1" t="s">
        <v>7151</v>
      </c>
      <c r="K5508" s="2" t="s">
        <v>15151</v>
      </c>
      <c r="L5508" s="2"/>
      <c r="M5508" s="2" t="str">
        <f>IFERROR(__xludf.DUMMYFUNCTION("split(split(K5508,""【"",false),""公式LINE"",false)"),"質屋巡りの最中、萩尾（高橋克実）と秋穂（榮倉奈々）は車上荒らしにあった内丸（小市漫太郎）と出会う。萩尾の指摘通りに窃盗犯の柳田（井戸田潤）はすぐに見つかるが、財布が見つからない。柳田は電車での移動中に女子高生に盗まれたに違いないと証言する。財布の中には現金以外に内丸が3年越しで開発したたんぱく質のデータが入っており、萩尾はそのスリの女子高生を捕まえる為に7係の槙原（菅原大吉）に協力を依頼する。そのスリの発生日に隣の車両で痴漢騒ぎがあり、捜査を進めていくと読者モデルの美晴（早見あかり）のグループに行き着く。"&amp;"萩尾は美晴のグループがスリをしているのではないかと疑うが、美晴は内丸の娘だった・・・。萩尾秀一…高橋克実  武田秋穂…榮倉奈々       菅井直隆…設楽統（バナナマン）  猪野勝也…山本龍二  小渕貴大…柳下大  友坂美奈代…黒川智花  牧村シズ…西尾まり  上村早苗…鷲尾真知子  苅田浩…松田悟志  桑名光…中村靖日       萩尾ゆり子…中嶋朋子  田端守雄…角野卓造    内丸博之…小市漫太郎  内丸美晴…早見あかり  槙原和重…菅原大吉  峰岸涼子…北川弘美  柳田泰司…井戸田潤  ほか「Me"&amp;"ssage」家入レオ（ビクターエンタテインメント）原作…今野敏「確証」（双葉社）  脚本…松本美弥子制作　那須田淳  チーフプロデューサー　橋本孝  プロデューサー　倉貫健二郎、加藤章一、齊藤彩奈北川雅一☆番組HP  http://www.tbs.co.jp/sousa3/  ☆Twitter  https://twitter.com/kakusho_tbs  女子高生スリ集団が登場！？　動画を公開しました！  http://youtu.be/5BmkRkiWeIE  TBS  ドリマックス・テレビジョン"&amp;"  番組の内容と放送時間は変更になる場合があります。")</f>
        <v>質屋巡りの最中、萩尾（高橋克実）と秋穂（榮倉奈々）は車上荒らしにあった内丸（小市漫太郎）と出会う。萩尾の指摘通りに窃盗犯の柳田（井戸田潤）はすぐに見つかるが、財布が見つからない。柳田は電車での移動中に女子高生に盗まれたに違いないと証言する。財布の中には現金以外に内丸が3年越しで開発したたんぱく質のデータが入っており、萩尾はそのスリの女子高生を捕まえる為に7係の槙原（菅原大吉）に協力を依頼する。そのスリの発生日に隣の車両で痴漢騒ぎがあり、捜査を進めていくと読者モデルの美晴（早見あかり）のグループに行き着く。萩尾は美晴のグループがスリをしているのではないかと疑うが、美晴は内丸の娘だった・・・。萩尾秀一…高橋克実  武田秋穂…榮倉奈々       菅井直隆…設楽統（バナナマン）  猪野勝也…山本龍二  小渕貴大…柳下大  友坂美奈代…黒川智花  牧村シズ…西尾まり  上村早苗…鷲尾真知子  苅田浩…松田悟志  桑名光…中村靖日       萩尾ゆり子…中嶋朋子  田端守雄…角野卓造    内丸博之…小市漫太郎  内丸美晴…早見あかり  槙原和重…菅原大吉  峰岸涼子…北川弘美  柳田泰司…井戸田潤  ほか「Message」家入レオ（ビクターエンタテインメント）原作…今野敏「確証」（双葉社）  脚本…松本美弥子制作　那須田淳  チーフプロデューサー　橋本孝  プロデューサー　倉貫健二郎、加藤章一、齊藤彩奈北川雅一☆番組HP  http://www.tbs.co.jp/sousa3/  ☆Twitter  https://twitter.com/kakusho_tbs  女子高生スリ集団が登場！？　動画を公開しました！  http://youtu.be/5BmkRkiWeIE  TBS  ドリマックス・テレビジョン  番組の内容と放送時間は変更になる場合があります。</v>
      </c>
      <c r="N5508" s="2"/>
      <c r="O5508" s="2"/>
      <c r="P5508" s="1"/>
      <c r="Q5508" s="1"/>
      <c r="R5508" s="1"/>
      <c r="S5508" s="1"/>
      <c r="T5508" s="1"/>
      <c r="U5508" s="1"/>
      <c r="V5508" s="1"/>
      <c r="W5508" s="1"/>
      <c r="X5508" s="1"/>
      <c r="Y5508" s="1"/>
      <c r="Z5508" s="1"/>
      <c r="AA5508" s="1"/>
      <c r="AB5508" s="1"/>
      <c r="AC5508" s="1"/>
      <c r="AD5508" s="1"/>
      <c r="AE5508" s="1"/>
      <c r="AF5508" s="1"/>
      <c r="AG5508" s="1"/>
      <c r="AH5508" s="1"/>
      <c r="AI5508" s="1"/>
      <c r="AJ5508" s="1"/>
      <c r="AK5508" s="1"/>
      <c r="AL5508" s="1"/>
      <c r="AM5508" s="1"/>
      <c r="AN5508" s="1"/>
      <c r="AO5508" s="1"/>
      <c r="AP5508" s="1"/>
      <c r="AQ5508" s="1"/>
      <c r="AR5508" s="1"/>
      <c r="AS5508" s="1"/>
      <c r="AT5508" s="1"/>
      <c r="AU5508" s="1"/>
      <c r="AV5508" s="1"/>
      <c r="AW5508" s="1"/>
      <c r="AX5508" s="1"/>
      <c r="AY5508" s="1"/>
      <c r="AZ5508" s="1"/>
      <c r="BA5508" s="1"/>
      <c r="BB5508" s="1"/>
    </row>
    <row r="5509" ht="204.75" customHeight="1">
      <c r="A5509" s="1">
        <v>3299.0</v>
      </c>
      <c r="B5509" s="2" t="s">
        <v>15130</v>
      </c>
      <c r="C5509" s="2">
        <f>IFERROR(__xludf.DUMMYFUNCTION("split(B5509,""_"")"),1304.0)</f>
        <v>1304</v>
      </c>
      <c r="D5509" s="2" t="str">
        <f>IFERROR(__xludf.DUMMYFUNCTION("""COMPUTED_VALUE"""),"TBS")</f>
        <v>TBS</v>
      </c>
      <c r="E5509" s="2" t="str">
        <f>IFERROR(__xludf.DUMMYFUNCTION("""COMPUTED_VALUE"""),"月20")</f>
        <v>月20</v>
      </c>
      <c r="F5509" s="2" t="s">
        <v>15131</v>
      </c>
      <c r="G5509" s="2" t="s">
        <v>15152</v>
      </c>
      <c r="H5509" s="1">
        <v>11.0</v>
      </c>
      <c r="J5509" s="1" t="s">
        <v>7151</v>
      </c>
      <c r="K5509" s="2" t="s">
        <v>15153</v>
      </c>
      <c r="L5509" s="2"/>
      <c r="M5509" s="2" t="str">
        <f>IFERROR(__xludf.DUMMYFUNCTION("split(split(K5509,""【"",false),""公式LINE"",false)"),"萩尾（高橋克実）と秋穂（榮倉奈々）がゆりこ（中嶋朋子）の病室にやってくるが、彼女の姿がない。胸騒ぎを覚えた萩尾は院内を探すが、沢口いずみ（高橋ひとみ）という看護師がゆりこを連れ出したことが分かる。捜査を進めていくうちに、彼女は沢口いずみという人物ではなく、国際指名手配犯の百面相、またの名がファントムシャドウだと判明する。百面相はマフィアや大富豪から依頼を受け、顔や体を整形、指紋を移植し実在の人物になりすまし、国宝級の美術品を盗む大泥棒。しかし今まで誘拐をしたことはなく、金銭の要求も無い中、萩尾は自分への怨"&amp;"恨で「ゆりこが盗まれた」のではないかと考えるが、百面相との接点がなく、謎は深まるばかりで…萩尾秀一…高橋克実  武田秋穂…榮倉奈々       菅井直隆…設楽統（バナナマン）  猪野勝也…山本龍二  小渕貴大…柳下大  友坂美奈代…黒川智花  牧村シズ…西尾まり  上村早苗…鷲尾真知子  苅田浩…松田悟志  桑名光…中村靖日       萩尾ゆり子…中嶋朋子  田端守雄…角野卓造    沢口いずみ…高橋ひとみ  川端良助…宇梶剛士  ほか「Message」家入レオ（ビクターエンタテインメント）原作…今野敏"&amp;"「確証」（双葉社）  脚本…森下直制作　那須田淳  チーフプロデューサー　橋本孝  プロデューサー　倉貫健二郎、加藤章一、齊藤彩奈吉田健☆番組HP  http://www.tbs.co.jp/sousa3/  ☆Twitter  https://twitter.com/kakusho_tbs  確証・最終回予告動画公開！  http://youtu.be/3Vgd6-U4zvc  榮倉奈々登場「確証」限定企画・終  http://youtu.be/GA7fK-oNmZM  TBS  ドリマックス・テレビジ"&amp;"ョン  番組の内容と放送時間は変更になる場合があります。")</f>
        <v>萩尾（高橋克実）と秋穂（榮倉奈々）がゆりこ（中嶋朋子）の病室にやってくるが、彼女の姿がない。胸騒ぎを覚えた萩尾は院内を探すが、沢口いずみ（高橋ひとみ）という看護師がゆりこを連れ出したことが分かる。捜査を進めていくうちに、彼女は沢口いずみという人物ではなく、国際指名手配犯の百面相、またの名がファントムシャドウだと判明する。百面相はマフィアや大富豪から依頼を受け、顔や体を整形、指紋を移植し実在の人物になりすまし、国宝級の美術品を盗む大泥棒。しかし今まで誘拐をしたことはなく、金銭の要求も無い中、萩尾は自分への怨恨で「ゆりこが盗まれた」のではないかと考えるが、百面相との接点がなく、謎は深まるばかりで…萩尾秀一…高橋克実  武田秋穂…榮倉奈々       菅井直隆…設楽統（バナナマン）  猪野勝也…山本龍二  小渕貴大…柳下大  友坂美奈代…黒川智花  牧村シズ…西尾まり  上村早苗…鷲尾真知子  苅田浩…松田悟志  桑名光…中村靖日       萩尾ゆり子…中嶋朋子  田端守雄…角野卓造    沢口いずみ…高橋ひとみ  川端良助…宇梶剛士  ほか「Message」家入レオ（ビクターエンタテインメント）原作…今野敏「確証」（双葉社）  脚本…森下直制作　那須田淳  チーフプロデューサー　橋本孝  プロデューサー　倉貫健二郎、加藤章一、齊藤彩奈吉田健☆番組HP  http://www.tbs.co.jp/sousa3/  ☆Twitter  https://twitter.com/kakusho_tbs  確証・最終回予告動画公開！  http://youtu.be/3Vgd6-U4zvc  榮倉奈々登場「確証」限定企画・終  http://youtu.be/GA7fK-oNmZM  TBS  ドリマックス・テレビジョン  番組の内容と放送時間は変更になる場合があります。</v>
      </c>
      <c r="N5509" s="2"/>
      <c r="O5509" s="2"/>
      <c r="P5509" s="1"/>
      <c r="Q5509" s="1"/>
      <c r="R5509" s="1"/>
      <c r="S5509" s="1"/>
      <c r="T5509" s="1"/>
      <c r="U5509" s="1"/>
      <c r="V5509" s="1"/>
      <c r="W5509" s="1"/>
      <c r="X5509" s="1"/>
      <c r="Y5509" s="1"/>
      <c r="Z5509" s="1"/>
      <c r="AA5509" s="1"/>
      <c r="AB5509" s="1"/>
      <c r="AC5509" s="1"/>
      <c r="AD5509" s="1"/>
      <c r="AE5509" s="1"/>
      <c r="AF5509" s="1"/>
      <c r="AG5509" s="1"/>
      <c r="AH5509" s="1"/>
      <c r="AI5509" s="1"/>
      <c r="AJ5509" s="1"/>
      <c r="AK5509" s="1"/>
      <c r="AL5509" s="1"/>
      <c r="AM5509" s="1"/>
      <c r="AN5509" s="1"/>
      <c r="AO5509" s="1"/>
      <c r="AP5509" s="1"/>
      <c r="AQ5509" s="1"/>
      <c r="AR5509" s="1"/>
      <c r="AS5509" s="1"/>
      <c r="AT5509" s="1"/>
      <c r="AU5509" s="1"/>
      <c r="AV5509" s="1"/>
      <c r="AW5509" s="1"/>
      <c r="AX5509" s="1"/>
      <c r="AY5509" s="1"/>
      <c r="AZ5509" s="1"/>
      <c r="BA5509" s="1"/>
      <c r="BB5509" s="1"/>
    </row>
    <row r="5510" ht="204.75" customHeight="1">
      <c r="A5510" s="1">
        <v>3360.0</v>
      </c>
      <c r="B5510" s="2" t="s">
        <v>15154</v>
      </c>
      <c r="C5510" s="2">
        <f>IFERROR(__xludf.DUMMYFUNCTION("split(B5510,""_"")"),1304.0)</f>
        <v>1304</v>
      </c>
      <c r="D5510" s="2" t="str">
        <f>IFERROR(__xludf.DUMMYFUNCTION("""COMPUTED_VALUE"""),"TBS")</f>
        <v>TBS</v>
      </c>
      <c r="E5510" s="2" t="str">
        <f>IFERROR(__xludf.DUMMYFUNCTION("""COMPUTED_VALUE"""),"木21")</f>
        <v>木21</v>
      </c>
      <c r="F5510" s="2" t="s">
        <v>15155</v>
      </c>
      <c r="G5510" s="2" t="s">
        <v>15156</v>
      </c>
      <c r="H5510" s="1">
        <v>1.0</v>
      </c>
      <c r="J5510" s="1" t="s">
        <v>4</v>
      </c>
      <c r="K5510" s="2" t="s">
        <v>15157</v>
      </c>
      <c r="L5510" s="2"/>
      <c r="M5510" s="2" t="str">
        <f>IFERROR(__xludf.DUMMYFUNCTION("split(split(K5510,""【"",false),""公式LINE"",false)"),"主人公・トカゲ（松田翔太）は、元刑事の探偵。冷酷で協調性皆無の嫌われ者だが、超人的な“映像記憶”能力と並外れた身体能力を持つ。潜入探偵として捜査に復帰したトカゲは、アニメのヒーローのような活躍で、数々の難事件を嵐のように解決していく。まさに新しいミステリー＆サスペンス!!  第一話の舞台は豪華客船！子供の臓器が売買されるという情報を元にトカゲが潜入捜査に入る。そこで彼が取った驚くべき行動とは…!?  トカゲ…松田翔太  寺島秀司…松岡昌宏  望月香里…蓮佛美沙子    ○  槙原洋子…ミムラ  槙原聖人…"&amp;"山本涼介  宮間隼人…君嶋麻耶  茂手木蒼太…君野夢真  織部道男…光石研    ○  山根憲二…吹越満  岸森幹雄…遠藤憲一    ○  柳田雅彦…伊東四朗    ＜ゲスト＞  村井俊夫…竹中直人  伊坂光市…鈴木一真  片山満…デビット伊東  徳永武士…榊英雄  池谷大樹…須田邦裕  柏原潤造…升毅脚本／橋本裕志  音楽／木村秀彬  主題歌／SPYAIR「虹」  （ソニー・ミュージック アソシエイテッドレコーズ）  演出／石井康晴・坪井敏雄　ほか  プロデュース／佐野亜裕美ファンメッセージを送ってね！"&amp;"  公式HP  http://www.tbs.co.jp/tantei_tokag    拡散希望！  公式twitterアカウント  https://twitter.com/tanteitokage『潜入探偵トカゲ』シーン初公開  http://youtu.be/BltqAh5-wQM    『潜入探偵トカゲ』ネット限定スペシャル映像  http://youtu.be/8HFqV1tgDpY番組の内容と放送時間は変更になる場合があります。")</f>
        <v>主人公・トカゲ（松田翔太）は、元刑事の探偵。冷酷で協調性皆無の嫌われ者だが、超人的な“映像記憶”能力と並外れた身体能力を持つ。潜入探偵として捜査に復帰したトカゲは、アニメのヒーローのような活躍で、数々の難事件を嵐のように解決していく。まさに新しいミステリー＆サスペンス!!  第一話の舞台は豪華客船！子供の臓器が売買されるという情報を元にトカゲが潜入捜査に入る。そこで彼が取った驚くべき行動とは…!?  トカゲ…松田翔太  寺島秀司…松岡昌宏  望月香里…蓮佛美沙子    ○  槙原洋子…ミムラ  槙原聖人…山本涼介  宮間隼人…君嶋麻耶  茂手木蒼太…君野夢真  織部道男…光石研    ○  山根憲二…吹越満  岸森幹雄…遠藤憲一    ○  柳田雅彦…伊東四朗    ＜ゲスト＞  村井俊夫…竹中直人  伊坂光市…鈴木一真  片山満…デビット伊東  徳永武士…榊英雄  池谷大樹…須田邦裕  柏原潤造…升毅脚本／橋本裕志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https://twitter.com/tanteitokage『潜入探偵トカゲ』シーン初公開  http://youtu.be/BltqAh5-wQM    『潜入探偵トカゲ』ネット限定スペシャル映像  http://youtu.be/8HFqV1tgDpY番組の内容と放送時間は変更になる場合があります。</v>
      </c>
      <c r="N5510" s="2"/>
      <c r="O5510" s="2"/>
      <c r="P5510" s="1"/>
      <c r="Q5510" s="1"/>
      <c r="R5510" s="1"/>
      <c r="S5510" s="1"/>
      <c r="T5510" s="1"/>
      <c r="U5510" s="1"/>
      <c r="V5510" s="1"/>
      <c r="W5510" s="1"/>
      <c r="X5510" s="1"/>
      <c r="Y5510" s="1"/>
      <c r="Z5510" s="1"/>
      <c r="AA5510" s="1"/>
      <c r="AB5510" s="1"/>
      <c r="AC5510" s="1"/>
      <c r="AD5510" s="1"/>
      <c r="AE5510" s="1"/>
      <c r="AF5510" s="1"/>
      <c r="AG5510" s="1"/>
      <c r="AH5510" s="1"/>
      <c r="AI5510" s="1"/>
      <c r="AJ5510" s="1"/>
      <c r="AK5510" s="1"/>
      <c r="AL5510" s="1"/>
      <c r="AM5510" s="1"/>
      <c r="AN5510" s="1"/>
      <c r="AO5510" s="1"/>
      <c r="AP5510" s="1"/>
      <c r="AQ5510" s="1"/>
      <c r="AR5510" s="1"/>
      <c r="AS5510" s="1"/>
      <c r="AT5510" s="1"/>
      <c r="AU5510" s="1"/>
      <c r="AV5510" s="1"/>
      <c r="AW5510" s="1"/>
      <c r="AX5510" s="1"/>
      <c r="AY5510" s="1"/>
      <c r="AZ5510" s="1"/>
      <c r="BA5510" s="1"/>
      <c r="BB5510" s="1"/>
    </row>
    <row r="5511" ht="204.75" customHeight="1">
      <c r="A5511" s="1">
        <v>3361.0</v>
      </c>
      <c r="B5511" s="2" t="s">
        <v>15154</v>
      </c>
      <c r="C5511" s="2">
        <f>IFERROR(__xludf.DUMMYFUNCTION("split(B5511,""_"")"),1304.0)</f>
        <v>1304</v>
      </c>
      <c r="D5511" s="2" t="str">
        <f>IFERROR(__xludf.DUMMYFUNCTION("""COMPUTED_VALUE"""),"TBS")</f>
        <v>TBS</v>
      </c>
      <c r="E5511" s="2" t="str">
        <f>IFERROR(__xludf.DUMMYFUNCTION("""COMPUTED_VALUE"""),"木21")</f>
        <v>木21</v>
      </c>
      <c r="F5511" s="2" t="s">
        <v>15155</v>
      </c>
      <c r="G5511" s="2" t="s">
        <v>15158</v>
      </c>
      <c r="H5511" s="1">
        <v>2.0</v>
      </c>
      <c r="J5511" s="1" t="s">
        <v>11</v>
      </c>
      <c r="K5511" s="2" t="s">
        <v>15159</v>
      </c>
      <c r="L5511" s="2"/>
      <c r="M5511" s="2" t="str">
        <f>IFERROR(__xludf.DUMMYFUNCTION("split(split(K5511,""【"",false),""公式LINE"",false)"),"主人公・トカゲ（松田翔太）は、元警視庁捜査一課の刑事。協調性は皆無で他人に心を許さず、周囲からは煙たがられていたが、超人的な“映像記憶”能力と並外れた身体能力で数々の難事件を解決し、一目置かれていた。しかし、とある事件で致命的なミスをし、唯一の相棒を亡くしてしまう。自らは奇跡的に一命をとりとめたものの、責任をとって刑事を辞職。探偵事務所の調査員として働いていたが…。トカゲ…松田翔太  寺島秀司…松岡昌宏  望月香里…蓮佛美沙子    ○  槙原洋子…ミムラ  槙原聖人…山本涼介  宮間隼人…君嶋麻耶  茂"&amp;"手木蒼太…君野夢真  織部道男…光石研    ○  山根憲二…吹越満  岸森幹雄…遠藤憲一    ＜ゲスト＞  雨宮麻紀…西田尚美  三雲龍介…岩松了  二宮健吾…笠原秀幸  柳田雅彦…伊東四朗脚本／橋本裕志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公式twi"&amp;"tterアカウント  https://twitter.com/tanteitokage番組の内容と放送時間は変更になる場合があります。")</f>
        <v>主人公・トカゲ（松田翔太）は、元警視庁捜査一課の刑事。協調性は皆無で他人に心を許さず、周囲からは煙たがられていたが、超人的な“映像記憶”能力と並外れた身体能力で数々の難事件を解決し、一目置かれていた。しかし、とある事件で致命的なミスをし、唯一の相棒を亡くしてしまう。自らは奇跡的に一命をとりとめたものの、責任をとって刑事を辞職。探偵事務所の調査員として働いていたが…。トカゲ…松田翔太  寺島秀司…松岡昌宏  望月香里…蓮佛美沙子    ○  槙原洋子…ミムラ  槙原聖人…山本涼介  宮間隼人…君嶋麻耶  茂手木蒼太…君野夢真  織部道男…光石研    ○  山根憲二…吹越満  岸森幹雄…遠藤憲一    ＜ゲスト＞  雨宮麻紀…西田尚美  三雲龍介…岩松了  二宮健吾…笠原秀幸  柳田雅彦…伊東四朗脚本／橋本裕志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v>
      </c>
      <c r="N5511" s="2"/>
      <c r="O5511" s="2"/>
      <c r="P5511" s="1"/>
      <c r="Q5511" s="1"/>
      <c r="R5511" s="1"/>
      <c r="S5511" s="1"/>
      <c r="T5511" s="1"/>
      <c r="U5511" s="1"/>
      <c r="V5511" s="1"/>
      <c r="W5511" s="1"/>
      <c r="X5511" s="1"/>
      <c r="Y5511" s="1"/>
      <c r="Z5511" s="1"/>
      <c r="AA5511" s="1"/>
      <c r="AB5511" s="1"/>
      <c r="AC5511" s="1"/>
      <c r="AD5511" s="1"/>
      <c r="AE5511" s="1"/>
      <c r="AF5511" s="1"/>
      <c r="AG5511" s="1"/>
      <c r="AH5511" s="1"/>
      <c r="AI5511" s="1"/>
      <c r="AJ5511" s="1"/>
      <c r="AK5511" s="1"/>
      <c r="AL5511" s="1"/>
      <c r="AM5511" s="1"/>
      <c r="AN5511" s="1"/>
      <c r="AO5511" s="1"/>
      <c r="AP5511" s="1"/>
      <c r="AQ5511" s="1"/>
      <c r="AR5511" s="1"/>
      <c r="AS5511" s="1"/>
      <c r="AT5511" s="1"/>
      <c r="AU5511" s="1"/>
      <c r="AV5511" s="1"/>
      <c r="AW5511" s="1"/>
      <c r="AX5511" s="1"/>
      <c r="AY5511" s="1"/>
      <c r="AZ5511" s="1"/>
      <c r="BA5511" s="1"/>
      <c r="BB5511" s="1"/>
    </row>
    <row r="5512" ht="204.75" customHeight="1">
      <c r="A5512" s="1">
        <v>3362.0</v>
      </c>
      <c r="B5512" s="2" t="s">
        <v>15154</v>
      </c>
      <c r="C5512" s="2">
        <f>IFERROR(__xludf.DUMMYFUNCTION("split(B5512,""_"")"),1304.0)</f>
        <v>1304</v>
      </c>
      <c r="D5512" s="2" t="str">
        <f>IFERROR(__xludf.DUMMYFUNCTION("""COMPUTED_VALUE"""),"TBS")</f>
        <v>TBS</v>
      </c>
      <c r="E5512" s="2" t="str">
        <f>IFERROR(__xludf.DUMMYFUNCTION("""COMPUTED_VALUE"""),"木21")</f>
        <v>木21</v>
      </c>
      <c r="F5512" s="2" t="s">
        <v>15155</v>
      </c>
      <c r="G5512" s="2" t="s">
        <v>15160</v>
      </c>
      <c r="H5512" s="1">
        <v>3.0</v>
      </c>
      <c r="J5512" s="1" t="s">
        <v>11</v>
      </c>
      <c r="K5512" s="2" t="s">
        <v>15161</v>
      </c>
      <c r="L5512" s="2"/>
      <c r="M5512" s="2" t="str">
        <f>IFERROR(__xludf.DUMMYFUNCTION("split(split(K5512,""【"",false),""公式LINE"",false)"),"主人公・トカゲ（松田翔太）は、警視庁捜査一課の密命を受け、助手の香里(蓮佛美沙子)と共に事件現場に潜入し、嵐のように事件を解決する私立探偵。  第三話は、人気モデル美月(大政絢)をボディガードすることになったトカゲ(松田翔太)。一方寺島(松岡昌宏)と洋子（ミムラ）は資産家殺人事件の容疑者として美月を追う。  果たして犯人は…!?トカゲ…松田翔太  寺島秀司…松岡昌宏  望月香里…蓮佛美沙子    ○  槙原洋子…ミムラ  槙原聖人…山本涼介  宮間隼人…君嶋麻耶  茂手木蒼太…君野夢真  織部道男…光石研"&amp;"    ○  山根憲二…吹越満  岸森幹雄…遠藤憲一  柳田雅彦…伊東四朗    ＜ゲスト＞  永田美月…大政絢  鈴木玲奈…伊藤かずえ  鮎川波瑠…垣内彩未  栗原類（本人役）  奈良警視総監…国広富之脚本／橋本裕志  音楽／木村秀彬  主題歌／SPYAIR「虹」  （ソニー・ミュージック アソシエイテッドレコーズ）  演出／石井康晴・坪井敏雄　ほか  プロデュース／佐野亜裕美『潜入探偵トカゲ』第3話　ネット限定スペシャル予告動画を公開しました！こちらからどうぞ！  http://youtu.be/OX"&amp;"a69ecjevE  ファンメッセージを送ってね！  公式HP  http://www.tbs.co.jp/tantei_tokag  拡散希望！  公式twitterアカウント  https://twitter.com/tanteitokage番組の内容と放送時間は変更になる場合があります。")</f>
        <v>主人公・トカゲ（松田翔太）は、警視庁捜査一課の密命を受け、助手の香里(蓮佛美沙子)と共に事件現場に潜入し、嵐のように事件を解決する私立探偵。  第三話は、人気モデル美月(大政絢)をボディガードすることになったトカゲ(松田翔太)。一方寺島(松岡昌宏)と洋子（ミムラ）は資産家殺人事件の容疑者として美月を追う。  果たして犯人は…!?トカゲ…松田翔太  寺島秀司…松岡昌宏  望月香里…蓮佛美沙子    ○  槙原洋子…ミムラ  槙原聖人…山本涼介  宮間隼人…君嶋麻耶  茂手木蒼太…君野夢真  織部道男…光石研    ○  山根憲二…吹越満  岸森幹雄…遠藤憲一  柳田雅彦…伊東四朗    ＜ゲスト＞  永田美月…大政絢  鈴木玲奈…伊藤かずえ  鮎川波瑠…垣内彩未  栗原類（本人役）  奈良警視総監…国広富之脚本／橋本裕志  音楽／木村秀彬  主題歌／SPYAIR「虹」  （ソニー・ミュージック アソシエイテッドレコーズ）  演出／石井康晴・坪井敏雄　ほか  プロデュース／佐野亜裕美『潜入探偵トカゲ』第3話　ネット限定スペシャル予告動画を公開しました！こちらからどうぞ！  http://youtu.be/OXa69ecjevE  ファンメッセージを送ってね！  公式HP  http://www.tbs.co.jp/tantei_tokag  拡散希望！  公式twitterアカウント  https://twitter.com/tanteitokage番組の内容と放送時間は変更になる場合があります。</v>
      </c>
      <c r="N5512" s="2"/>
      <c r="O5512" s="2"/>
      <c r="P5512" s="1"/>
      <c r="Q5512" s="1"/>
      <c r="R5512" s="1"/>
      <c r="S5512" s="1"/>
      <c r="T5512" s="1"/>
      <c r="U5512" s="1"/>
      <c r="V5512" s="1"/>
      <c r="W5512" s="1"/>
      <c r="X5512" s="1"/>
      <c r="Y5512" s="1"/>
      <c r="Z5512" s="1"/>
      <c r="AA5512" s="1"/>
      <c r="AB5512" s="1"/>
      <c r="AC5512" s="1"/>
      <c r="AD5512" s="1"/>
      <c r="AE5512" s="1"/>
      <c r="AF5512" s="1"/>
      <c r="AG5512" s="1"/>
      <c r="AH5512" s="1"/>
      <c r="AI5512" s="1"/>
      <c r="AJ5512" s="1"/>
      <c r="AK5512" s="1"/>
      <c r="AL5512" s="1"/>
      <c r="AM5512" s="1"/>
      <c r="AN5512" s="1"/>
      <c r="AO5512" s="1"/>
      <c r="AP5512" s="1"/>
      <c r="AQ5512" s="1"/>
      <c r="AR5512" s="1"/>
      <c r="AS5512" s="1"/>
      <c r="AT5512" s="1"/>
      <c r="AU5512" s="1"/>
      <c r="AV5512" s="1"/>
      <c r="AW5512" s="1"/>
      <c r="AX5512" s="1"/>
      <c r="AY5512" s="1"/>
      <c r="AZ5512" s="1"/>
      <c r="BA5512" s="1"/>
      <c r="BB5512" s="1"/>
    </row>
    <row r="5513" ht="204.75" customHeight="1">
      <c r="A5513" s="1">
        <v>3363.0</v>
      </c>
      <c r="B5513" s="2" t="s">
        <v>15154</v>
      </c>
      <c r="C5513" s="2">
        <f>IFERROR(__xludf.DUMMYFUNCTION("split(B5513,""_"")"),1304.0)</f>
        <v>1304</v>
      </c>
      <c r="D5513" s="2" t="str">
        <f>IFERROR(__xludf.DUMMYFUNCTION("""COMPUTED_VALUE"""),"TBS")</f>
        <v>TBS</v>
      </c>
      <c r="E5513" s="2" t="str">
        <f>IFERROR(__xludf.DUMMYFUNCTION("""COMPUTED_VALUE"""),"木21")</f>
        <v>木21</v>
      </c>
      <c r="F5513" s="2" t="s">
        <v>15155</v>
      </c>
      <c r="G5513" s="2" t="s">
        <v>15162</v>
      </c>
      <c r="H5513" s="1">
        <v>4.0</v>
      </c>
      <c r="J5513" s="1" t="s">
        <v>11</v>
      </c>
      <c r="K5513" s="2" t="s">
        <v>15163</v>
      </c>
      <c r="L5513" s="2"/>
      <c r="M5513" s="2" t="str">
        <f>IFERROR(__xludf.DUMMYFUNCTION("split(split(K5513,""【"",false),""公式LINE"",false)"),"主人公・トカゲ（松田翔太）はアニメのヒーローのような身体能力と映像記憶能力を持つ探偵。天才外科医・浜崎（北村有起哉）の隠した医療ミスを暴くため、研修医として病院に潜入するトカゲ。寺島（松岡昌宏）は、殺された記者の行動を追い、事件に近付いていく。  一方、香里（蓮佛美沙子）は、潜入先で思わぬ人物と遭遇し…!?  そしてなかなか証拠がつかめないトカゲがとった驚くべき行動とは!?  トカゲ…松田翔太  寺島秀司…松岡昌宏  望月香里…蓮佛美沙子    ○  槙原洋子…ミムラ  槙原聖人…山本涼介  宮間隼人…君"&amp;"嶋麻耶  茂手木蒼太…君野夢真  織部道男…光石研    ○  山根憲二…吹越満  岸森幹雄…遠藤憲一    ○  柳田雅彦…伊東四朗    ＜ゲスト＞  浜崎進次郎…北村有起哉  佐藤陽介…郭智博  沢村美沙…市川由衣脚本／橋本裕志  音楽／木村秀彬  主題歌／SPYAIR「虹」  （ソニー・ミュージック アソシエイテッドレコーズ）  演出／石井康晴・坪井敏雄　ほか  プロデュース／佐野亜裕美ファンメッセージを送ってね！  公式HP  http://www.tbs.co.jp/tantei_tokag "&amp;" 拡散希望！  公式twitterアカウント  https://twitter.com/tanteitokage  番組の内容と放送時間は変更になる場合があります。")</f>
        <v>主人公・トカゲ（松田翔太）はアニメのヒーローのような身体能力と映像記憶能力を持つ探偵。天才外科医・浜崎（北村有起哉）の隠した医療ミスを暴くため、研修医として病院に潜入するトカゲ。寺島（松岡昌宏）は、殺された記者の行動を追い、事件に近付いていく。  一方、香里（蓮佛美沙子）は、潜入先で思わぬ人物と遭遇し…!?  そしてなかなか証拠がつかめないトカゲがとった驚くべき行動とは!?  トカゲ…松田翔太  寺島秀司…松岡昌宏  望月香里…蓮佛美沙子    ○  槙原洋子…ミムラ  槙原聖人…山本涼介  宮間隼人…君嶋麻耶  茂手木蒼太…君野夢真  織部道男…光石研    ○  山根憲二…吹越満  岸森幹雄…遠藤憲一    ○  柳田雅彦…伊東四朗    ＜ゲスト＞  浜崎進次郎…北村有起哉  佐藤陽介…郭智博  沢村美沙…市川由衣脚本／橋本裕志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  番組の内容と放送時間は変更になる場合があります。</v>
      </c>
      <c r="N5513" s="2"/>
      <c r="O5513" s="2"/>
      <c r="P5513" s="1"/>
      <c r="Q5513" s="1"/>
      <c r="R5513" s="1"/>
      <c r="S5513" s="1"/>
      <c r="T5513" s="1"/>
      <c r="U5513" s="1"/>
      <c r="V5513" s="1"/>
      <c r="W5513" s="1"/>
      <c r="X5513" s="1"/>
      <c r="Y5513" s="1"/>
      <c r="Z5513" s="1"/>
      <c r="AA5513" s="1"/>
      <c r="AB5513" s="1"/>
      <c r="AC5513" s="1"/>
      <c r="AD5513" s="1"/>
      <c r="AE5513" s="1"/>
      <c r="AF5513" s="1"/>
      <c r="AG5513" s="1"/>
      <c r="AH5513" s="1"/>
      <c r="AI5513" s="1"/>
      <c r="AJ5513" s="1"/>
      <c r="AK5513" s="1"/>
      <c r="AL5513" s="1"/>
      <c r="AM5513" s="1"/>
      <c r="AN5513" s="1"/>
      <c r="AO5513" s="1"/>
      <c r="AP5513" s="1"/>
      <c r="AQ5513" s="1"/>
      <c r="AR5513" s="1"/>
      <c r="AS5513" s="1"/>
      <c r="AT5513" s="1"/>
      <c r="AU5513" s="1"/>
      <c r="AV5513" s="1"/>
      <c r="AW5513" s="1"/>
      <c r="AX5513" s="1"/>
      <c r="AY5513" s="1"/>
      <c r="AZ5513" s="1"/>
      <c r="BA5513" s="1"/>
      <c r="BB5513" s="1"/>
    </row>
    <row r="5514" ht="204.75" customHeight="1">
      <c r="A5514" s="1">
        <v>3364.0</v>
      </c>
      <c r="B5514" s="2" t="s">
        <v>15154</v>
      </c>
      <c r="C5514" s="2">
        <f>IFERROR(__xludf.DUMMYFUNCTION("split(B5514,""_"")"),1304.0)</f>
        <v>1304</v>
      </c>
      <c r="D5514" s="2" t="str">
        <f>IFERROR(__xludf.DUMMYFUNCTION("""COMPUTED_VALUE"""),"TBS")</f>
        <v>TBS</v>
      </c>
      <c r="E5514" s="2" t="str">
        <f>IFERROR(__xludf.DUMMYFUNCTION("""COMPUTED_VALUE"""),"木21")</f>
        <v>木21</v>
      </c>
      <c r="F5514" s="2" t="s">
        <v>15155</v>
      </c>
      <c r="G5514" s="2" t="s">
        <v>15164</v>
      </c>
      <c r="H5514" s="1">
        <v>5.0</v>
      </c>
      <c r="J5514" s="1" t="s">
        <v>11</v>
      </c>
      <c r="K5514" s="2" t="s">
        <v>15165</v>
      </c>
      <c r="L5514" s="2"/>
      <c r="M5514" s="2" t="str">
        <f>IFERROR(__xludf.DUMMYFUNCTION("split(split(K5514,""【"",false),""公式LINE"",false)"),"振り込め詐欺グループの一員が次々と殺される事件が発生。詐欺の被害に遭った老人・徳次郎（品川徹）の調査を担当した寺島（松岡昌宏）と洋子（ミムラ）は、徳次郎が金を渡した知世（小出ミカ）が詐欺グループの中で、お金を受け取る“受け子”と呼ばれる一員であったことを知る。しかし知世もまた遺体で発見されていたのだった。  　ある日、寺島は殺された“受け子”の共通点が、六本木のホストクラブにある事を突き止める…。トカゲ…松田翔太  寺島秀司…松岡昌宏  望月香里…蓮佛美沙子    ○  槙原洋子…ミムラ  槙原聖人…山本"&amp;"涼介  宮間隼人…君嶋麻耶  茂手木蒼太…君野夢真  篠崎肇…田中哲司  織部道男…光石研    ○  山根憲二…吹越満  岸森幹雄…遠藤憲一    ○  柳田雅彦…伊東四朗    ＜ゲスト＞  須藤善樹…市川猿之助  曽根聖矢…徳山秀典  柴田徳次郎…品川徹脚本／橋本裕志  音楽／木村秀彬  主題歌／SPYAIR「虹」  （ソニー・ミュージック アソシエイテッドレコーズ）  演出／石井康晴・坪井敏雄　ほか  プロデュース／佐野亜裕美ファンメッセージを送ってね！  公式HP  http://www.tbs"&amp;".co.jp/tantei_tokag  拡散希望！  公式twitterアカウント  https://twitter.com/tanteitokage番組の内容と放送時間は変更になる場合があります。")</f>
        <v>振り込め詐欺グループの一員が次々と殺される事件が発生。詐欺の被害に遭った老人・徳次郎（品川徹）の調査を担当した寺島（松岡昌宏）と洋子（ミムラ）は、徳次郎が金を渡した知世（小出ミカ）が詐欺グループの中で、お金を受け取る“受け子”と呼ばれる一員であったことを知る。しかし知世もまた遺体で発見されていたのだった。  　ある日、寺島は殺された“受け子”の共通点が、六本木のホストクラブにある事を突き止める…。トカゲ…松田翔太  寺島秀司…松岡昌宏  望月香里…蓮佛美沙子    ○  槙原洋子…ミムラ  槙原聖人…山本涼介  宮間隼人…君嶋麻耶  茂手木蒼太…君野夢真  篠崎肇…田中哲司  織部道男…光石研    ○  山根憲二…吹越満  岸森幹雄…遠藤憲一    ○  柳田雅彦…伊東四朗    ＜ゲスト＞  須藤善樹…市川猿之助  曽根聖矢…徳山秀典  柴田徳次郎…品川徹脚本／橋本裕志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v>
      </c>
      <c r="N5514" s="2"/>
      <c r="O5514" s="2"/>
      <c r="P5514" s="1"/>
      <c r="Q5514" s="1"/>
      <c r="R5514" s="1"/>
      <c r="S5514" s="1"/>
      <c r="T5514" s="1"/>
      <c r="U5514" s="1"/>
      <c r="V5514" s="1"/>
      <c r="W5514" s="1"/>
      <c r="X5514" s="1"/>
      <c r="Y5514" s="1"/>
      <c r="Z5514" s="1"/>
      <c r="AA5514" s="1"/>
      <c r="AB5514" s="1"/>
      <c r="AC5514" s="1"/>
      <c r="AD5514" s="1"/>
      <c r="AE5514" s="1"/>
      <c r="AF5514" s="1"/>
      <c r="AG5514" s="1"/>
      <c r="AH5514" s="1"/>
      <c r="AI5514" s="1"/>
      <c r="AJ5514" s="1"/>
      <c r="AK5514" s="1"/>
      <c r="AL5514" s="1"/>
      <c r="AM5514" s="1"/>
      <c r="AN5514" s="1"/>
      <c r="AO5514" s="1"/>
      <c r="AP5514" s="1"/>
      <c r="AQ5514" s="1"/>
      <c r="AR5514" s="1"/>
      <c r="AS5514" s="1"/>
      <c r="AT5514" s="1"/>
      <c r="AU5514" s="1"/>
      <c r="AV5514" s="1"/>
      <c r="AW5514" s="1"/>
      <c r="AX5514" s="1"/>
      <c r="AY5514" s="1"/>
      <c r="AZ5514" s="1"/>
      <c r="BA5514" s="1"/>
      <c r="BB5514" s="1"/>
    </row>
    <row r="5515" ht="204.75" customHeight="1">
      <c r="A5515" s="1">
        <v>3365.0</v>
      </c>
      <c r="B5515" s="2" t="s">
        <v>15154</v>
      </c>
      <c r="C5515" s="2">
        <f>IFERROR(__xludf.DUMMYFUNCTION("split(B5515,""_"")"),1304.0)</f>
        <v>1304</v>
      </c>
      <c r="D5515" s="2" t="str">
        <f>IFERROR(__xludf.DUMMYFUNCTION("""COMPUTED_VALUE"""),"TBS")</f>
        <v>TBS</v>
      </c>
      <c r="E5515" s="2" t="str">
        <f>IFERROR(__xludf.DUMMYFUNCTION("""COMPUTED_VALUE"""),"木21")</f>
        <v>木21</v>
      </c>
      <c r="F5515" s="2" t="s">
        <v>15155</v>
      </c>
      <c r="G5515" s="2" t="s">
        <v>15166</v>
      </c>
      <c r="H5515" s="1">
        <v>6.0</v>
      </c>
      <c r="J5515" s="1" t="s">
        <v>11</v>
      </c>
      <c r="K5515" s="2" t="s">
        <v>15167</v>
      </c>
      <c r="L5515" s="2"/>
      <c r="M5515" s="2" t="str">
        <f>IFERROR(__xludf.DUMMYFUNCTION("split(split(K5515,""【"",false),""公式LINE"",false)"),"お受験幼稚園に通う園児のママが毒殺された事件を解決するため、トカゲ（松田翔太）は幼稚園教諭として潜入する。  大原雅美（小島聖）を頂点とするママ友グループの裏の顔を知っていくトカゲ。グループの一員である清水沙耶（奥菜恵）と親しくなり、実情を探っていく…。  一方寺島は、二年前の事件に関わっている「クモ」について捜査をしていくうちに、トカゲが追っている事件との繋がりに気付き…!?トカゲ…松田翔太  寺島秀司…松岡昌宏  望月香里…蓮佛美沙子    ○  槙原洋子…ミムラ  槙原聖人…山本涼介  宮間隼人…君"&amp;"嶋麻耶  茂手木蒼太…君野夢真  篠崎肇…田中哲司  織部道男…光石研    ○  山根憲二…吹越満  岸森幹雄…遠藤憲一    ○  柳田雅彦…伊東四朗    ＜第6話ゲスト＞  清水沙耶…奥菜恵  大原雅美…小島聖脚本／橋本裕志  音楽／木村秀彬  主題歌／SPYAIR「虹」  （ソニー・ミュージック アソシエイテッドレコーズ）  演出／石井康晴・坪井敏雄　ほか  プロデュース／佐野亜裕美ファンメッセージを送ってね！  公式HP  http://www.tbs.co.jp/tantei_tokag  "&amp;"拡散希望！  公式twitterアカウント  https://twitter.com/tanteitokage番組の内容と放送時間は変更になる場合があります。")</f>
        <v>お受験幼稚園に通う園児のママが毒殺された事件を解決するため、トカゲ（松田翔太）は幼稚園教諭として潜入する。  大原雅美（小島聖）を頂点とするママ友グループの裏の顔を知っていくトカゲ。グループの一員である清水沙耶（奥菜恵）と親しくなり、実情を探っていく…。  一方寺島は、二年前の事件に関わっている「クモ」について捜査をしていくうちに、トカゲが追っている事件との繋がりに気付き…!?トカゲ…松田翔太  寺島秀司…松岡昌宏  望月香里…蓮佛美沙子    ○  槙原洋子…ミムラ  槙原聖人…山本涼介  宮間隼人…君嶋麻耶  茂手木蒼太…君野夢真  篠崎肇…田中哲司  織部道男…光石研    ○  山根憲二…吹越満  岸森幹雄…遠藤憲一    ○  柳田雅彦…伊東四朗    ＜第6話ゲスト＞  清水沙耶…奥菜恵  大原雅美…小島聖脚本／橋本裕志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v>
      </c>
      <c r="N5515" s="2"/>
      <c r="O5515" s="2"/>
      <c r="P5515" s="1"/>
      <c r="Q5515" s="1"/>
      <c r="R5515" s="1"/>
      <c r="S5515" s="1"/>
      <c r="T5515" s="1"/>
      <c r="U5515" s="1"/>
      <c r="V5515" s="1"/>
      <c r="W5515" s="1"/>
      <c r="X5515" s="1"/>
      <c r="Y5515" s="1"/>
      <c r="Z5515" s="1"/>
      <c r="AA5515" s="1"/>
      <c r="AB5515" s="1"/>
      <c r="AC5515" s="1"/>
      <c r="AD5515" s="1"/>
      <c r="AE5515" s="1"/>
      <c r="AF5515" s="1"/>
      <c r="AG5515" s="1"/>
      <c r="AH5515" s="1"/>
      <c r="AI5515" s="1"/>
      <c r="AJ5515" s="1"/>
      <c r="AK5515" s="1"/>
      <c r="AL5515" s="1"/>
      <c r="AM5515" s="1"/>
      <c r="AN5515" s="1"/>
      <c r="AO5515" s="1"/>
      <c r="AP5515" s="1"/>
      <c r="AQ5515" s="1"/>
      <c r="AR5515" s="1"/>
      <c r="AS5515" s="1"/>
      <c r="AT5515" s="1"/>
      <c r="AU5515" s="1"/>
      <c r="AV5515" s="1"/>
      <c r="AW5515" s="1"/>
      <c r="AX5515" s="1"/>
      <c r="AY5515" s="1"/>
      <c r="AZ5515" s="1"/>
      <c r="BA5515" s="1"/>
      <c r="BB5515" s="1"/>
    </row>
    <row r="5516" ht="204.75" customHeight="1">
      <c r="A5516" s="1">
        <v>3366.0</v>
      </c>
      <c r="B5516" s="2" t="s">
        <v>15154</v>
      </c>
      <c r="C5516" s="2">
        <f>IFERROR(__xludf.DUMMYFUNCTION("split(B5516,""_"")"),1304.0)</f>
        <v>1304</v>
      </c>
      <c r="D5516" s="2" t="str">
        <f>IFERROR(__xludf.DUMMYFUNCTION("""COMPUTED_VALUE"""),"TBS")</f>
        <v>TBS</v>
      </c>
      <c r="E5516" s="2" t="str">
        <f>IFERROR(__xludf.DUMMYFUNCTION("""COMPUTED_VALUE"""),"木21")</f>
        <v>木21</v>
      </c>
      <c r="F5516" s="2" t="s">
        <v>15155</v>
      </c>
      <c r="G5516" s="2" t="s">
        <v>15168</v>
      </c>
      <c r="H5516" s="1">
        <v>7.0</v>
      </c>
      <c r="J5516" s="1" t="s">
        <v>11</v>
      </c>
      <c r="K5516" s="2" t="s">
        <v>15169</v>
      </c>
      <c r="L5516" s="2"/>
      <c r="M5516" s="2" t="str">
        <f>IFERROR(__xludf.DUMMYFUNCTION("split(split(K5516,""【"",false),""公式LINE"",false)"),"ボクシングジムのトレーナーが転落死した。世界チャンピオンの窪塚（石田卓也）の専属トレーナーが転落死した事件を追ってトカゲ（松田翔太）はジムに潜入する。会長である益子（六平直政）と被害者は意見の食い違いがあったことが、記者に扮した香里（蓮佛美沙子）の捜査で判明する。  一方寺島（松岡昌宏）は、茂手木事件の真相をつかむためある人物を追うが、そこで意外な人と出会い…!?  トカゲ…松田翔太  寺島秀司…松岡昌宏  望月香里…蓮佛美沙子    ○  槙原洋子…ミムラ  槙原聖人…山本涼介  宮間隼人…君嶋麻耶  "&amp;"茂手木蒼太…君野夢真  篠崎肇…田中哲司  織部道男…光石研    ○  茂手木圭太…豊原功補  山根憲二…吹越満  岸森幹雄…遠藤憲一    ○  柳田雅彦…伊東四朗  ＜ゲスト＞  益子会長…六平直政  窪塚統一郎…石田卓也  斎藤和馬…太賀脚本／橋本裕志  音楽／木村秀彬  主題歌／SPYAIR「虹」  （ソニー・ミュージック アソシエイテッドレコーズ）  演出／石井康晴・坪井敏雄　ほか  プロデュース／佐野亜裕美ファンメッセージを送ってね！  公式HP  http://www.tbs.co.jp/"&amp;"tantei_tokag  拡散希望！  公式twitterアカウント  https://twitter.com/tanteitokage番組の内容と放送時間は変更になる場合があります。")</f>
        <v>ボクシングジムのトレーナーが転落死した。世界チャンピオンの窪塚（石田卓也）の専属トレーナーが転落死した事件を追ってトカゲ（松田翔太）はジムに潜入する。会長である益子（六平直政）と被害者は意見の食い違いがあったことが、記者に扮した香里（蓮佛美沙子）の捜査で判明する。  一方寺島（松岡昌宏）は、茂手木事件の真相をつかむためある人物を追うが、そこで意外な人と出会い…!?  トカゲ…松田翔太  寺島秀司…松岡昌宏  望月香里…蓮佛美沙子    ○  槙原洋子…ミムラ  槙原聖人…山本涼介  宮間隼人…君嶋麻耶  茂手木蒼太…君野夢真  篠崎肇…田中哲司  織部道男…光石研    ○  茂手木圭太…豊原功補  山根憲二…吹越満  岸森幹雄…遠藤憲一    ○  柳田雅彦…伊東四朗  ＜ゲスト＞  益子会長…六平直政  窪塚統一郎…石田卓也  斎藤和馬…太賀脚本／橋本裕志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v>
      </c>
      <c r="N5516" s="2"/>
      <c r="O5516" s="2"/>
      <c r="P5516" s="1"/>
      <c r="Q5516" s="1"/>
      <c r="R5516" s="1"/>
      <c r="S5516" s="1"/>
      <c r="T5516" s="1"/>
      <c r="U5516" s="1"/>
      <c r="V5516" s="1"/>
      <c r="W5516" s="1"/>
      <c r="X5516" s="1"/>
      <c r="Y5516" s="1"/>
      <c r="Z5516" s="1"/>
      <c r="AA5516" s="1"/>
      <c r="AB5516" s="1"/>
      <c r="AC5516" s="1"/>
      <c r="AD5516" s="1"/>
      <c r="AE5516" s="1"/>
      <c r="AF5516" s="1"/>
      <c r="AG5516" s="1"/>
      <c r="AH5516" s="1"/>
      <c r="AI5516" s="1"/>
      <c r="AJ5516" s="1"/>
      <c r="AK5516" s="1"/>
      <c r="AL5516" s="1"/>
      <c r="AM5516" s="1"/>
      <c r="AN5516" s="1"/>
      <c r="AO5516" s="1"/>
      <c r="AP5516" s="1"/>
      <c r="AQ5516" s="1"/>
      <c r="AR5516" s="1"/>
      <c r="AS5516" s="1"/>
      <c r="AT5516" s="1"/>
      <c r="AU5516" s="1"/>
      <c r="AV5516" s="1"/>
      <c r="AW5516" s="1"/>
      <c r="AX5516" s="1"/>
      <c r="AY5516" s="1"/>
      <c r="AZ5516" s="1"/>
      <c r="BA5516" s="1"/>
      <c r="BB5516" s="1"/>
    </row>
    <row r="5517" ht="204.75" customHeight="1">
      <c r="A5517" s="1">
        <v>3367.0</v>
      </c>
      <c r="B5517" s="2" t="s">
        <v>15154</v>
      </c>
      <c r="C5517" s="2">
        <f>IFERROR(__xludf.DUMMYFUNCTION("split(B5517,""_"")"),1304.0)</f>
        <v>1304</v>
      </c>
      <c r="D5517" s="2" t="str">
        <f>IFERROR(__xludf.DUMMYFUNCTION("""COMPUTED_VALUE"""),"TBS")</f>
        <v>TBS</v>
      </c>
      <c r="E5517" s="2" t="str">
        <f>IFERROR(__xludf.DUMMYFUNCTION("""COMPUTED_VALUE"""),"木21")</f>
        <v>木21</v>
      </c>
      <c r="F5517" s="2" t="s">
        <v>15155</v>
      </c>
      <c r="G5517" s="2" t="s">
        <v>15170</v>
      </c>
      <c r="H5517" s="1">
        <v>8.0</v>
      </c>
      <c r="J5517" s="1" t="s">
        <v>11</v>
      </c>
      <c r="K5517" s="2" t="s">
        <v>15171</v>
      </c>
      <c r="L5517" s="2"/>
      <c r="M5517" s="2" t="str">
        <f>IFERROR(__xludf.DUMMYFUNCTION("split(split(K5517,""【"",false),""公式LINE"",false)"),"パリ帰りの一流ホテルマンに扮し、豪華ホテルに潜入したトカゲ（松田翔太）は、関口支配人（大和田獏）に接近し、クモとの繋がりを探る。寺島も独自にクモの捜査をするため、ある行動に出る。  ホテルでの捜査を続けるうちに、思わぬ人物が捜査線に浮上し…!?  トカゲ…松田翔太  寺島秀司…松岡昌宏  望月香里…蓮佛美沙子    ○  槙原洋子…ミムラ  槙原聖人…山本涼介  宮間隼人…君嶋麻耶  茂手木蒼太…君野夢真  織部道男…光石研    ○  山根憲二…吹越満  岸森幹雄…遠藤憲一    ○  柳田雅彦…伊東四"&amp;"朗    ＜ゲスト＞  関口支配人…大和田獏  村上琴乃…梅澤昌代脚本／橋本裕志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https://twitter.com/tanteitokage番組の内容と放送時間は変更になる場合があり"&amp;"ます。")</f>
        <v>パリ帰りの一流ホテルマンに扮し、豪華ホテルに潜入したトカゲ（松田翔太）は、関口支配人（大和田獏）に接近し、クモとの繋がりを探る。寺島も独自にクモの捜査をするため、ある行動に出る。  ホテルでの捜査を続けるうちに、思わぬ人物が捜査線に浮上し…!?  トカゲ…松田翔太  寺島秀司…松岡昌宏  望月香里…蓮佛美沙子    ○  槙原洋子…ミムラ  槙原聖人…山本涼介  宮間隼人…君嶋麻耶  茂手木蒼太…君野夢真  織部道男…光石研    ○  山根憲二…吹越満  岸森幹雄…遠藤憲一    ○  柳田雅彦…伊東四朗    ＜ゲスト＞  関口支配人…大和田獏  村上琴乃…梅澤昌代脚本／橋本裕志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v>
      </c>
      <c r="N5517" s="2"/>
      <c r="O5517" s="2"/>
      <c r="P5517" s="1"/>
      <c r="Q5517" s="1"/>
      <c r="R5517" s="1"/>
      <c r="S5517" s="1"/>
      <c r="T5517" s="1"/>
      <c r="U5517" s="1"/>
      <c r="V5517" s="1"/>
      <c r="W5517" s="1"/>
      <c r="X5517" s="1"/>
      <c r="Y5517" s="1"/>
      <c r="Z5517" s="1"/>
      <c r="AA5517" s="1"/>
      <c r="AB5517" s="1"/>
      <c r="AC5517" s="1"/>
      <c r="AD5517" s="1"/>
      <c r="AE5517" s="1"/>
      <c r="AF5517" s="1"/>
      <c r="AG5517" s="1"/>
      <c r="AH5517" s="1"/>
      <c r="AI5517" s="1"/>
      <c r="AJ5517" s="1"/>
      <c r="AK5517" s="1"/>
      <c r="AL5517" s="1"/>
      <c r="AM5517" s="1"/>
      <c r="AN5517" s="1"/>
      <c r="AO5517" s="1"/>
      <c r="AP5517" s="1"/>
      <c r="AQ5517" s="1"/>
      <c r="AR5517" s="1"/>
      <c r="AS5517" s="1"/>
      <c r="AT5517" s="1"/>
      <c r="AU5517" s="1"/>
      <c r="AV5517" s="1"/>
      <c r="AW5517" s="1"/>
      <c r="AX5517" s="1"/>
      <c r="AY5517" s="1"/>
      <c r="AZ5517" s="1"/>
      <c r="BA5517" s="1"/>
      <c r="BB5517" s="1"/>
    </row>
    <row r="5518" ht="204.75" customHeight="1">
      <c r="A5518" s="1">
        <v>3368.0</v>
      </c>
      <c r="B5518" s="2" t="s">
        <v>15154</v>
      </c>
      <c r="C5518" s="2">
        <f>IFERROR(__xludf.DUMMYFUNCTION("split(B5518,""_"")"),1304.0)</f>
        <v>1304</v>
      </c>
      <c r="D5518" s="2" t="str">
        <f>IFERROR(__xludf.DUMMYFUNCTION("""COMPUTED_VALUE"""),"TBS")</f>
        <v>TBS</v>
      </c>
      <c r="E5518" s="2" t="str">
        <f>IFERROR(__xludf.DUMMYFUNCTION("""COMPUTED_VALUE"""),"木21")</f>
        <v>木21</v>
      </c>
      <c r="F5518" s="2" t="s">
        <v>15155</v>
      </c>
      <c r="G5518" s="2" t="s">
        <v>15172</v>
      </c>
      <c r="H5518" s="1">
        <v>9.0</v>
      </c>
      <c r="J5518" s="1" t="s">
        <v>11</v>
      </c>
      <c r="K5518" s="2" t="s">
        <v>15173</v>
      </c>
      <c r="L5518" s="2"/>
      <c r="M5518" s="2" t="str">
        <f>IFERROR(__xludf.DUMMYFUNCTION("split(split(K5518,""【"",false),""公式LINE"",false)"),"黒幕である「クモ」と、クモにつながる警察内のスパイを炙り出すため、トカゲ（松田翔太）は現金輸送車のドライバーになりすまし、10億円を運搬する。その道中、トカゲの前に現れたのは驚くべき人物で…!?  一方、スパイ容疑をかけられた寺島は、罪をなすりつけた人物をつきとめるため独自捜査を続けるが、なかなか手がかりがつかめず…トカゲ…松田翔太  寺島秀司…松岡昌宏  望月香里…蓮佛美沙子    ○  槙原洋子…ミムラ  槙原聖人…山本涼介  宮間隼人…君嶋麻耶  茂手木蒼太…君野夢真  織部道男…光石研    ○ "&amp;" 山根憲二…吹越満  岸森幹雄…遠藤憲一    ○  柳田雅彦…伊東四朗    ＜ゲスト＞  黒澤…鈴之助  岸森真知子…舟木幸  岸森愛梨…青山美郷脚本／橋本裕志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https://twi"&amp;"tter.com/tanteitokage番組の内容と放送時間は変更になる場合があります。")</f>
        <v>黒幕である「クモ」と、クモにつながる警察内のスパイを炙り出すため、トカゲ（松田翔太）は現金輸送車のドライバーになりすまし、10億円を運搬する。その道中、トカゲの前に現れたのは驚くべき人物で…!?  一方、スパイ容疑をかけられた寺島は、罪をなすりつけた人物をつきとめるため独自捜査を続けるが、なかなか手がかりがつかめず…トカゲ…松田翔太  寺島秀司…松岡昌宏  望月香里…蓮佛美沙子    ○  槙原洋子…ミムラ  槙原聖人…山本涼介  宮間隼人…君嶋麻耶  茂手木蒼太…君野夢真  織部道男…光石研    ○  山根憲二…吹越満  岸森幹雄…遠藤憲一    ○  柳田雅彦…伊東四朗    ＜ゲスト＞  黒澤…鈴之助  岸森真知子…舟木幸  岸森愛梨…青山美郷脚本／橋本裕志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v>
      </c>
      <c r="N5518" s="2"/>
      <c r="O5518" s="2"/>
      <c r="P5518" s="1"/>
      <c r="Q5518" s="1"/>
      <c r="R5518" s="1"/>
      <c r="S5518" s="1"/>
      <c r="T5518" s="1"/>
      <c r="U5518" s="1"/>
      <c r="V5518" s="1"/>
      <c r="W5518" s="1"/>
      <c r="X5518" s="1"/>
      <c r="Y5518" s="1"/>
      <c r="Z5518" s="1"/>
      <c r="AA5518" s="1"/>
      <c r="AB5518" s="1"/>
      <c r="AC5518" s="1"/>
      <c r="AD5518" s="1"/>
      <c r="AE5518" s="1"/>
      <c r="AF5518" s="1"/>
      <c r="AG5518" s="1"/>
      <c r="AH5518" s="1"/>
      <c r="AI5518" s="1"/>
      <c r="AJ5518" s="1"/>
      <c r="AK5518" s="1"/>
      <c r="AL5518" s="1"/>
      <c r="AM5518" s="1"/>
      <c r="AN5518" s="1"/>
      <c r="AO5518" s="1"/>
      <c r="AP5518" s="1"/>
      <c r="AQ5518" s="1"/>
      <c r="AR5518" s="1"/>
      <c r="AS5518" s="1"/>
      <c r="AT5518" s="1"/>
      <c r="AU5518" s="1"/>
      <c r="AV5518" s="1"/>
      <c r="AW5518" s="1"/>
      <c r="AX5518" s="1"/>
      <c r="AY5518" s="1"/>
      <c r="AZ5518" s="1"/>
      <c r="BA5518" s="1"/>
      <c r="BB5518" s="1"/>
    </row>
    <row r="5519" ht="204.75" customHeight="1">
      <c r="A5519" s="1">
        <v>3369.0</v>
      </c>
      <c r="B5519" s="2" t="s">
        <v>15154</v>
      </c>
      <c r="C5519" s="2">
        <f>IFERROR(__xludf.DUMMYFUNCTION("split(B5519,""_"")"),1304.0)</f>
        <v>1304</v>
      </c>
      <c r="D5519" s="2" t="str">
        <f>IFERROR(__xludf.DUMMYFUNCTION("""COMPUTED_VALUE"""),"TBS")</f>
        <v>TBS</v>
      </c>
      <c r="E5519" s="2" t="str">
        <f>IFERROR(__xludf.DUMMYFUNCTION("""COMPUTED_VALUE"""),"木21")</f>
        <v>木21</v>
      </c>
      <c r="F5519" s="2" t="s">
        <v>15155</v>
      </c>
      <c r="G5519" s="2" t="s">
        <v>15174</v>
      </c>
      <c r="H5519" s="1">
        <v>10.0</v>
      </c>
      <c r="J5519" s="1" t="s">
        <v>11</v>
      </c>
      <c r="K5519" s="2" t="s">
        <v>15175</v>
      </c>
      <c r="L5519" s="2"/>
      <c r="M5519" s="2" t="str">
        <f>IFERROR(__xludf.DUMMYFUNCTION("split(split(K5519,""【"",false),""公式LINE"",false)"),"クモの正体は篠崎であることを知ったトカゲ(松田翔太)と寺島(松岡昌宏)だが、絶対絶命の状況に陥る。状況を打開するためにトカゲがとった驚くべき方法とは…!?  いよいよ最終話!!すべての謎が明らかに!!  トカゲ…松田翔太  寺島秀司…松岡昌宏  望月香里…蓮佛美沙子    ○  槙原洋子…ミムラ  槙原聖人…山本涼介  宮間隼人…君嶋麻耶  茂手木蒼太…君野夢真  篠崎肇…田中哲司  織部道男…光石研    ○  茂手木圭太…豊原功補  山根憲二…吹越満  岸森幹雄…遠藤憲一    ○  柳田雅彦…伊東四"&amp;"朗  ＜ゲスト＞  黒澤…鈴之助  岸森愛梨…青山美郷脚本／橋本裕志  音楽／木村秀彬  主題歌／SPYAIR「虹」  （ソニー・ミュージック アソシエイテッドレコーズ）  演出／石井康晴・坪井敏雄　ほか  プロデュース／佐野亜裕美ファンメッセージを送ってね！  公式HP  http://www.tbs.co.jp/tantei_tokage/  拡散希望！  公式twitterアカウント  https://twitter.com/tanteitokage  番組の内容と放送時間は変更になる場合があります"&amp;"。")</f>
        <v>クモの正体は篠崎であることを知ったトカゲ(松田翔太)と寺島(松岡昌宏)だが、絶対絶命の状況に陥る。状況を打開するためにトカゲがとった驚くべき方法とは…!?  いよいよ最終話!!すべての謎が明らかに!!  トカゲ…松田翔太  寺島秀司…松岡昌宏  望月香里…蓮佛美沙子    ○  槙原洋子…ミムラ  槙原聖人…山本涼介  宮間隼人…君嶋麻耶  茂手木蒼太…君野夢真  篠崎肇…田中哲司  織部道男…光石研    ○  茂手木圭太…豊原功補  山根憲二…吹越満  岸森幹雄…遠藤憲一    ○  柳田雅彦…伊東四朗  ＜ゲスト＞  黒澤…鈴之助  岸森愛梨…青山美郷脚本／橋本裕志  音楽／木村秀彬  主題歌／SPYAIR「虹」  （ソニー・ミュージック アソシエイテッドレコーズ）  演出／石井康晴・坪井敏雄　ほか  プロデュース／佐野亜裕美ファンメッセージを送ってね！  公式HP  http://www.tbs.co.jp/tantei_tokage/  拡散希望！  公式twitterアカウント  https://twitter.com/tanteitokage  番組の内容と放送時間は変更になる場合があります。</v>
      </c>
      <c r="N5519" s="2"/>
      <c r="O5519" s="2"/>
      <c r="P5519" s="1"/>
      <c r="Q5519" s="1"/>
      <c r="R5519" s="1"/>
      <c r="S5519" s="1"/>
      <c r="T5519" s="1"/>
      <c r="U5519" s="1"/>
      <c r="V5519" s="1"/>
      <c r="W5519" s="1"/>
      <c r="X5519" s="1"/>
      <c r="Y5519" s="1"/>
      <c r="Z5519" s="1"/>
      <c r="AA5519" s="1"/>
      <c r="AB5519" s="1"/>
      <c r="AC5519" s="1"/>
      <c r="AD5519" s="1"/>
      <c r="AE5519" s="1"/>
      <c r="AF5519" s="1"/>
      <c r="AG5519" s="1"/>
      <c r="AH5519" s="1"/>
      <c r="AI5519" s="1"/>
      <c r="AJ5519" s="1"/>
      <c r="AK5519" s="1"/>
      <c r="AL5519" s="1"/>
      <c r="AM5519" s="1"/>
      <c r="AN5519" s="1"/>
      <c r="AO5519" s="1"/>
      <c r="AP5519" s="1"/>
      <c r="AQ5519" s="1"/>
      <c r="AR5519" s="1"/>
      <c r="AS5519" s="1"/>
      <c r="AT5519" s="1"/>
      <c r="AU5519" s="1"/>
      <c r="AV5519" s="1"/>
      <c r="AW5519" s="1"/>
      <c r="AX5519" s="1"/>
      <c r="AY5519" s="1"/>
      <c r="AZ5519" s="1"/>
      <c r="BA5519" s="1"/>
      <c r="BB5519" s="1"/>
    </row>
    <row r="5520" ht="204.75" customHeight="1">
      <c r="A5520" s="1">
        <v>3408.0</v>
      </c>
      <c r="B5520" s="2" t="s">
        <v>15176</v>
      </c>
      <c r="C5520" s="2">
        <f>IFERROR(__xludf.DUMMYFUNCTION("split(B5520,""_"")"),1304.0)</f>
        <v>1304</v>
      </c>
      <c r="D5520" s="2" t="str">
        <f>IFERROR(__xludf.DUMMYFUNCTION("""COMPUTED_VALUE"""),"TBS")</f>
        <v>TBS</v>
      </c>
      <c r="E5520" s="2" t="str">
        <f>IFERROR(__xludf.DUMMYFUNCTION("""COMPUTED_VALUE"""),"日21")</f>
        <v>日21</v>
      </c>
      <c r="F5520" s="2" t="s">
        <v>15177</v>
      </c>
      <c r="G5520" s="2" t="s">
        <v>15178</v>
      </c>
      <c r="H5520" s="1">
        <v>1.0</v>
      </c>
      <c r="J5520" s="1" t="s">
        <v>4</v>
      </c>
      <c r="K5520" s="2" t="s">
        <v>15179</v>
      </c>
      <c r="L5520" s="2"/>
      <c r="M5520" s="2" t="str">
        <f>IFERROR(__xludf.DUMMYFUNCTION("split(split(K5520,""【"",false),""公式LINE"",false)"),"稲葉リカ：新垣結衣  空井大祐：綾野剛  柚木典子：水野美紀  片山和宣：要潤  槙博巳：高橋努  比嘉哲広：ムロツヨシ  藤枝敏生：桐山漣    キリー：桐谷健太  阿久津守：生瀬勝久  鷺坂正司：柴田恭兵大ヒットドラマ「フリーター、家を買う」など数々のヒット作を生み出してきた人気作家・有川浩の話題作をいちはやく映像化！  報道記者になる夢を絶たれた、美人テレビディレクターが、不慮の事故で足を怪我し、免許を取り消された元戦闘機パイロットと出会う。考え方も立場も違う二人だが、幼いころからの夢を絶たれ、人生"&amp;"の壁にぶつかっているという共通点が二人の仲を次第に深め、互いに惹かれていく、青春ラブストーリー。また、そんな二人を軸としながら、ひと癖もふた癖もある「チーム広報室」の個性の強いメンバーが、ある時は衝突したり、ある時は感化されながら、自分たちの仕事への姿勢を見直し、新しい目標を見つけて、プロとしても人間としても成長していくという、チームとしての群像劇も描いていく。  人生は思い通りになることばかりではない。むしろ思い通りにならないことのほうが多い。思い通りにならなかった時に、どう動くかで人間の真価は決まる。"&amp;"「なりたいものになれなくても別の何かになれる」…現実社会で生きるすべての人々の背中を押す、応援歌ドラマである。  土井裕泰  磯山晶    演出：土井裕泰    原作：有川浩    脚本：野木亜紀子    主題歌：安室奈美恵    音楽：河野伸▽番組HP  http://www.tbs.co.jp/soratobu-tbs/  ▽twitter  https://twitter.com/soratobu_tbs  シーン映像初公開！　動画を公開しました！こちらからどうぞ！  http://youtu.be"&amp;"/FIpn60gmpIs  日曜劇場『空飛ぶ広報室』ネット限定スペシャル映像    http://youtu.be/2UAldLcix7U番組の内容と放送時間は、変更になる場合があります。")</f>
        <v>稲葉リカ：新垣結衣  空井大祐：綾野剛  柚木典子：水野美紀  片山和宣：要潤  槙博巳：高橋努  比嘉哲広：ムロツヨシ  藤枝敏生：桐山漣    キリー：桐谷健太  阿久津守：生瀬勝久  鷺坂正司：柴田恭兵大ヒットドラマ「フリーター、家を買う」など数々のヒット作を生み出してきた人気作家・有川浩の話題作をいちはやく映像化！  報道記者になる夢を絶たれた、美人テレビディレクターが、不慮の事故で足を怪我し、免許を取り消された元戦闘機パイロットと出会う。考え方も立場も違う二人だが、幼いころからの夢を絶たれ、人生の壁にぶつかっているという共通点が二人の仲を次第に深め、互いに惹かれていく、青春ラブストーリー。また、そんな二人を軸としながら、ひと癖もふた癖もある「チーム広報室」の個性の強いメンバーが、ある時は衝突したり、ある時は感化されながら、自分たちの仕事への姿勢を見直し、新しい目標を見つけて、プロとしても人間としても成長していくという、チームとしての群像劇も描いていく。  人生は思い通りになることばかりではない。むしろ思い通りにならないことのほうが多い。思い通りにならなかった時に、どう動くかで人間の真価は決まる。「なりたいものになれなくても別の何かになれる」…現実社会で生きるすべての人々の背中を押す、応援歌ドラマである。  土井裕泰  磯山晶    演出：土井裕泰    原作：有川浩    脚本：野木亜紀子    主題歌：安室奈美恵    音楽：河野伸▽番組HP  http://www.tbs.co.jp/soratobu-tbs/  ▽twitter  https://twitter.com/soratobu_tbs  シーン映像初公開！　動画を公開しました！こちらからどうぞ！  http://youtu.be/FIpn60gmpIs  日曜劇場『空飛ぶ広報室』ネット限定スペシャル映像    http://youtu.be/2UAldLcix7U番組の内容と放送時間は、変更になる場合があります。</v>
      </c>
      <c r="N5520" s="2"/>
      <c r="O5520" s="2"/>
      <c r="P5520" s="1"/>
      <c r="Q5520" s="1"/>
      <c r="R5520" s="1"/>
      <c r="S5520" s="1"/>
      <c r="T5520" s="1"/>
      <c r="U5520" s="1"/>
      <c r="V5520" s="1"/>
      <c r="W5520" s="1"/>
      <c r="X5520" s="1"/>
      <c r="Y5520" s="1"/>
      <c r="Z5520" s="1"/>
      <c r="AA5520" s="1"/>
      <c r="AB5520" s="1"/>
      <c r="AC5520" s="1"/>
      <c r="AD5520" s="1"/>
      <c r="AE5520" s="1"/>
      <c r="AF5520" s="1"/>
      <c r="AG5520" s="1"/>
      <c r="AH5520" s="1"/>
      <c r="AI5520" s="1"/>
      <c r="AJ5520" s="1"/>
      <c r="AK5520" s="1"/>
      <c r="AL5520" s="1"/>
      <c r="AM5520" s="1"/>
      <c r="AN5520" s="1"/>
      <c r="AO5520" s="1"/>
      <c r="AP5520" s="1"/>
      <c r="AQ5520" s="1"/>
      <c r="AR5520" s="1"/>
      <c r="AS5520" s="1"/>
      <c r="AT5520" s="1"/>
      <c r="AU5520" s="1"/>
      <c r="AV5520" s="1"/>
      <c r="AW5520" s="1"/>
      <c r="AX5520" s="1"/>
      <c r="AY5520" s="1"/>
      <c r="AZ5520" s="1"/>
      <c r="BA5520" s="1"/>
      <c r="BB5520" s="1"/>
    </row>
    <row r="5521" ht="204.75" customHeight="1">
      <c r="A5521" s="1">
        <v>3409.0</v>
      </c>
      <c r="B5521" s="2" t="s">
        <v>15176</v>
      </c>
      <c r="C5521" s="2">
        <f>IFERROR(__xludf.DUMMYFUNCTION("split(B5521,""_"")"),1304.0)</f>
        <v>1304</v>
      </c>
      <c r="D5521" s="2" t="str">
        <f>IFERROR(__xludf.DUMMYFUNCTION("""COMPUTED_VALUE"""),"TBS")</f>
        <v>TBS</v>
      </c>
      <c r="E5521" s="2" t="str">
        <f>IFERROR(__xludf.DUMMYFUNCTION("""COMPUTED_VALUE"""),"日21")</f>
        <v>日21</v>
      </c>
      <c r="F5521" s="2" t="s">
        <v>15177</v>
      </c>
      <c r="G5521" s="2" t="s">
        <v>15180</v>
      </c>
      <c r="H5521" s="1">
        <v>2.0</v>
      </c>
      <c r="J5521" s="1" t="s">
        <v>11</v>
      </c>
      <c r="K5521" s="2" t="s">
        <v>15181</v>
      </c>
      <c r="L5521" s="2"/>
      <c r="M5521" s="2" t="str">
        <f>IFERROR(__xludf.DUMMYFUNCTION("split(split(K5521,""【"",false),""公式LINE"",false)"),"航空自衛隊広報室での取材を続けるリカ（新垣結衣）だが、ある日偶然に、空幕で緊急記者会見が開かれることを知る。報道記者だった頃の血が騒いだリカは強引に会見場に入り込み、詳しく取材を始めるが…。  また、不慮の事故でパイロットへの道を絶たれ広報官となった空井（綾野剛）が、初めて閉じていた心を開き、自分の前で涙する姿を見たリカは、テレビ局に空井が訪ねて来た時に、報道記者時代の自分の失敗を空井に話す。「運が悪かっただけ」と嘯くリカだが、空井はそんなリカ自身がまだ壁にぶつかって倒れたままだと感じる。担当している情報"&amp;"番組「帝都イブニング」の街角グルメコーナーでは、リカは上司の阿久津（生瀬勝久）になかなか認めてもらえずにいた。そんななか、ナポリタン特集でのリカの取材を知った空井は…。稲葉リカ：新垣結衣  空井大祐：綾野剛  柚木典子：水野美紀  片山和宣：要潤  槙博巳：高橋努  比嘉哲広：ムロツヨシ  藤枝敏生：桐山漣  浅野空幕長：モト冬樹  阿久津守：生瀬勝久  鷺坂正司：柴田恭兵安室奈美恵 『 Contrail 』 (avex trax)☆番組ホームページ  http://www.tbs.co.jp/sorat"&amp;"obu-tbs/  ☆Twitterはコチラ！  http://twitter.com/soratobu_tbs  『空飛ぶ広報室』第2話SP予告動画を公開しました！  http://youtu.be/REN60ebb9m0  「広報室から配信中2」動画はこちら  http://youtu.be/6_EVeB-eO7Y  ")</f>
        <v>航空自衛隊広報室での取材を続けるリカ（新垣結衣）だが、ある日偶然に、空幕で緊急記者会見が開かれることを知る。報道記者だった頃の血が騒いだリカは強引に会見場に入り込み、詳しく取材を始めるが…。  また、不慮の事故でパイロットへの道を絶たれ広報官となった空井（綾野剛）が、初めて閉じていた心を開き、自分の前で涙する姿を見たリカは、テレビ局に空井が訪ねて来た時に、報道記者時代の自分の失敗を空井に話す。「運が悪かっただけ」と嘯くリカだが、空井はそんなリカ自身がまだ壁にぶつかって倒れたままだと感じる。担当している情報番組「帝都イブニング」の街角グルメコーナーでは、リカは上司の阿久津（生瀬勝久）になかなか認めてもらえずにいた。そんななか、ナポリタン特集でのリカの取材を知った空井は…。稲葉リカ：新垣結衣  空井大祐：綾野剛  柚木典子：水野美紀  片山和宣：要潤  槙博巳：高橋努  比嘉哲広：ムロツヨシ  藤枝敏生：桐山漣  浅野空幕長：モト冬樹  阿久津守：生瀬勝久  鷺坂正司：柴田恭兵安室奈美恵 『 Contrail 』 (avex trax)☆番組ホームページ  http://www.tbs.co.jp/soratobu-tbs/  ☆Twitterはコチラ！  http://twitter.com/soratobu_tbs  『空飛ぶ広報室』第2話SP予告動画を公開しました！  http://youtu.be/REN60ebb9m0  「広報室から配信中2」動画はこちら  http://youtu.be/6_EVeB-eO7Y  </v>
      </c>
      <c r="N5521" s="2"/>
      <c r="O5521" s="2"/>
      <c r="P5521" s="1"/>
      <c r="Q5521" s="1"/>
      <c r="R5521" s="1"/>
      <c r="S5521" s="1"/>
      <c r="T5521" s="1"/>
      <c r="U5521" s="1"/>
      <c r="V5521" s="1"/>
      <c r="W5521" s="1"/>
      <c r="X5521" s="1"/>
      <c r="Y5521" s="1"/>
      <c r="Z5521" s="1"/>
      <c r="AA5521" s="1"/>
      <c r="AB5521" s="1"/>
      <c r="AC5521" s="1"/>
      <c r="AD5521" s="1"/>
      <c r="AE5521" s="1"/>
      <c r="AF5521" s="1"/>
      <c r="AG5521" s="1"/>
      <c r="AH5521" s="1"/>
      <c r="AI5521" s="1"/>
      <c r="AJ5521" s="1"/>
      <c r="AK5521" s="1"/>
      <c r="AL5521" s="1"/>
      <c r="AM5521" s="1"/>
      <c r="AN5521" s="1"/>
      <c r="AO5521" s="1"/>
      <c r="AP5521" s="1"/>
      <c r="AQ5521" s="1"/>
      <c r="AR5521" s="1"/>
      <c r="AS5521" s="1"/>
      <c r="AT5521" s="1"/>
      <c r="AU5521" s="1"/>
      <c r="AV5521" s="1"/>
      <c r="AW5521" s="1"/>
      <c r="AX5521" s="1"/>
      <c r="AY5521" s="1"/>
      <c r="AZ5521" s="1"/>
      <c r="BA5521" s="1"/>
      <c r="BB5521" s="1"/>
    </row>
    <row r="5522" ht="204.75" customHeight="1">
      <c r="A5522" s="1">
        <v>3441.0</v>
      </c>
      <c r="B5522" s="2" t="s">
        <v>15182</v>
      </c>
      <c r="C5522" s="2">
        <f>IFERROR(__xludf.DUMMYFUNCTION("split(B5522,""_"")"),1301.0)</f>
        <v>1301</v>
      </c>
      <c r="D5522" s="2" t="str">
        <f>IFERROR(__xludf.DUMMYFUNCTION("""COMPUTED_VALUE"""),"TBS")</f>
        <v>TBS</v>
      </c>
      <c r="E5522" s="2" t="str">
        <f>IFERROR(__xludf.DUMMYFUNCTION("""COMPUTED_VALUE"""),"木21")</f>
        <v>木21</v>
      </c>
      <c r="F5522" s="2" t="s">
        <v>15183</v>
      </c>
      <c r="G5522" s="2" t="s">
        <v>15184</v>
      </c>
      <c r="H5522" s="1">
        <v>1.0</v>
      </c>
      <c r="J5522" s="1" t="s">
        <v>4</v>
      </c>
      <c r="K5522" s="2" t="s">
        <v>15185</v>
      </c>
      <c r="L5522" s="2"/>
      <c r="M5522" s="2" t="str">
        <f>IFERROR(__xludf.DUMMYFUNCTION("split(split(K5522,""【"",false),""公式LINE"",false)"),"ジャルパック本社社員の遠藤（伊藤淳史）は、突然の成田空港勤務を命じられ意気消沈。待っていたのは頼りない上司（柳葉敏郎）と、腰掛け気分の遠藤を敵視する森尾（桐谷美玲）を始めとする女子軍団。馬場（貫地谷しほり）だけがかばってくれるが、慣れない仕事でミスを連発して怒鳴られる日々。そんな時チャンスが来た。自分の企画したツアーに参加するお客様を迎えることになったのだが、当日とんでもない事態が発生する史上初の成田空港・長期間撮影！「あぽやん」は旅行業界用語。発券ミスや予約重複など、空港カウンターで起こるトラブルを解決"&amp;"する旅行代理店のエキスパートを差す。「あぽ」は空港＝Airportの略（APO）遠藤慶太…伊藤淳史    森尾晴子…桐谷美玲    枝元久雄…山本裕典    田波浩一…眞島秀和  堀之内隆…戸田昌宏    古賀 恵…中村ゆり  藤崎桜子…陽月 華    須永俊和…青柳 翔  岡浜美波…李 千鶴  柳沢真理子…野口聖古  篠田愛…近野成美    馬場英恵…貫地谷しほり    今泉利夫…柳葉敏郎森尾幸造…大河内浩  桂福太郎…平賀雅臣  森尾千秋…宮武美桜  伊佐山健治…二瓶鮫一    オオマエミツヨ…中田喜"&amp;"子（第1話ゲスト）主題歌：Rake  「ランナーズ愛」  （アリオラ・ジャパン）")</f>
        <v>ジャルパック本社社員の遠藤（伊藤淳史）は、突然の成田空港勤務を命じられ意気消沈。待っていたのは頼りない上司（柳葉敏郎）と、腰掛け気分の遠藤を敵視する森尾（桐谷美玲）を始めとする女子軍団。馬場（貫地谷しほり）だけがかばってくれるが、慣れない仕事でミスを連発して怒鳴られる日々。そんな時チャンスが来た。自分の企画したツアーに参加するお客様を迎えることになったのだが、当日とんでもない事態が発生する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古賀 恵…中村ゆり  藤崎桜子…陽月 華    須永俊和…青柳 翔  岡浜美波…李 千鶴  柳沢真理子…野口聖古  篠田愛…近野成美    馬場英恵…貫地谷しほり    今泉利夫…柳葉敏郎森尾幸造…大河内浩  桂福太郎…平賀雅臣  森尾千秋…宮武美桜  伊佐山健治…二瓶鮫一    オオマエミツヨ…中田喜子（第1話ゲスト）主題歌：Rake  「ランナーズ愛」  （アリオラ・ジャパン）</v>
      </c>
      <c r="N5522" s="2"/>
      <c r="O5522" s="2"/>
      <c r="P5522" s="1"/>
      <c r="Q5522" s="1"/>
      <c r="R5522" s="1"/>
      <c r="S5522" s="1"/>
      <c r="T5522" s="1"/>
      <c r="U5522" s="1"/>
      <c r="V5522" s="1"/>
      <c r="W5522" s="1"/>
      <c r="X5522" s="1"/>
      <c r="Y5522" s="1"/>
      <c r="Z5522" s="1"/>
      <c r="AA5522" s="1"/>
      <c r="AB5522" s="1"/>
      <c r="AC5522" s="1"/>
      <c r="AD5522" s="1"/>
      <c r="AE5522" s="1"/>
      <c r="AF5522" s="1"/>
      <c r="AG5522" s="1"/>
      <c r="AH5522" s="1"/>
      <c r="AI5522" s="1"/>
      <c r="AJ5522" s="1"/>
      <c r="AK5522" s="1"/>
      <c r="AL5522" s="1"/>
      <c r="AM5522" s="1"/>
      <c r="AN5522" s="1"/>
      <c r="AO5522" s="1"/>
      <c r="AP5522" s="1"/>
      <c r="AQ5522" s="1"/>
      <c r="AR5522" s="1"/>
      <c r="AS5522" s="1"/>
      <c r="AT5522" s="1"/>
      <c r="AU5522" s="1"/>
      <c r="AV5522" s="1"/>
      <c r="AW5522" s="1"/>
      <c r="AX5522" s="1"/>
      <c r="AY5522" s="1"/>
      <c r="AZ5522" s="1"/>
      <c r="BA5522" s="1"/>
      <c r="BB5522" s="1"/>
    </row>
    <row r="5523" ht="204.75" customHeight="1">
      <c r="A5523" s="1">
        <v>3442.0</v>
      </c>
      <c r="B5523" s="2" t="s">
        <v>15182</v>
      </c>
      <c r="C5523" s="2">
        <f>IFERROR(__xludf.DUMMYFUNCTION("split(B5523,""_"")"),1301.0)</f>
        <v>1301</v>
      </c>
      <c r="D5523" s="2" t="str">
        <f>IFERROR(__xludf.DUMMYFUNCTION("""COMPUTED_VALUE"""),"TBS")</f>
        <v>TBS</v>
      </c>
      <c r="E5523" s="2" t="str">
        <f>IFERROR(__xludf.DUMMYFUNCTION("""COMPUTED_VALUE"""),"木21")</f>
        <v>木21</v>
      </c>
      <c r="F5523" s="2" t="s">
        <v>15183</v>
      </c>
      <c r="G5523" s="2" t="s">
        <v>15186</v>
      </c>
      <c r="H5523" s="1">
        <v>2.0</v>
      </c>
      <c r="J5523" s="1" t="s">
        <v>11</v>
      </c>
      <c r="K5523" s="2" t="s">
        <v>15187</v>
      </c>
      <c r="L5523" s="2"/>
      <c r="M5523" s="2" t="str">
        <f>IFERROR(__xludf.DUMMYFUNCTION("split(split(K5523,""【"",false),""公式LINE"",false)"),"成田空港に左遷された遠藤（伊藤淳史）は、本社に仕事ぶりをアピールするため、無理な仕事を二つ同時に引き受けてしまう。周囲が遠藤に反対する中、今泉（柳葉敏郎）は遠藤に内緒で班員に提案する。「二組のお客様を無事にお送りできるかを、遠藤くんの昇格試験にしよう！」。森尾（桐谷美玲）、馬場（貫地谷しほり）らが注目する中、試験日を迎える。試験に合格して、意中のJALスタッフ古賀（中村ゆり）をデートに誘えるのか？史上初の成田空港・長期間撮影！「あぽやん」は旅行業界用語。発券ミスや予約重複など、空港カウンターで起こるトラブ"&amp;"ルを解決する旅行代理店のエキスパートを差す。「あぽ」は空港＝Airportの略（APO）遠藤慶太…伊藤淳史    森尾晴子…桐谷美玲    枝元久雄…山本裕典    田波浩一…眞島秀和  堀之内隆…戸田昌宏    古賀 恵…中村ゆり  藤崎桜子…陽月 華    須永俊和…青柳 翔  岡浜美波…李 千鶴  柳沢真理子…野口聖古  篠田愛…近野成美    馬場英恵…貫地谷しほり    今泉利夫…柳葉敏郎森尾幸造…大河内浩  桂福太郎…平賀雅臣  森尾千秋…宮武美桜  伊佐山健治…二瓶鮫一    ")</f>
        <v>成田空港に左遷された遠藤（伊藤淳史）は、本社に仕事ぶりをアピールするため、無理な仕事を二つ同時に引き受けてしまう。周囲が遠藤に反対する中、今泉（柳葉敏郎）は遠藤に内緒で班員に提案する。「二組のお客様を無事にお送りできるかを、遠藤くんの昇格試験にしよう！」。森尾（桐谷美玲）、馬場（貫地谷しほり）らが注目する中、試験日を迎える。試験に合格して、意中のJALスタッフ古賀（中村ゆり）をデートに誘えるのか？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古賀 恵…中村ゆり  藤崎桜子…陽月 華    須永俊和…青柳 翔  岡浜美波…李 千鶴  柳沢真理子…野口聖古  篠田愛…近野成美    馬場英恵…貫地谷しほり    今泉利夫…柳葉敏郎森尾幸造…大河内浩  桂福太郎…平賀雅臣  森尾千秋…宮武美桜  伊佐山健治…二瓶鮫一    </v>
      </c>
      <c r="N5523" s="2"/>
      <c r="O5523" s="2"/>
      <c r="P5523" s="1"/>
      <c r="Q5523" s="1"/>
      <c r="R5523" s="1"/>
      <c r="S5523" s="1"/>
      <c r="T5523" s="1"/>
      <c r="U5523" s="1"/>
      <c r="V5523" s="1"/>
      <c r="W5523" s="1"/>
      <c r="X5523" s="1"/>
      <c r="Y5523" s="1"/>
      <c r="Z5523" s="1"/>
      <c r="AA5523" s="1"/>
      <c r="AB5523" s="1"/>
      <c r="AC5523" s="1"/>
      <c r="AD5523" s="1"/>
      <c r="AE5523" s="1"/>
      <c r="AF5523" s="1"/>
      <c r="AG5523" s="1"/>
      <c r="AH5523" s="1"/>
      <c r="AI5523" s="1"/>
      <c r="AJ5523" s="1"/>
      <c r="AK5523" s="1"/>
      <c r="AL5523" s="1"/>
      <c r="AM5523" s="1"/>
      <c r="AN5523" s="1"/>
      <c r="AO5523" s="1"/>
      <c r="AP5523" s="1"/>
      <c r="AQ5523" s="1"/>
      <c r="AR5523" s="1"/>
      <c r="AS5523" s="1"/>
      <c r="AT5523" s="1"/>
      <c r="AU5523" s="1"/>
      <c r="AV5523" s="1"/>
      <c r="AW5523" s="1"/>
      <c r="AX5523" s="1"/>
      <c r="AY5523" s="1"/>
      <c r="AZ5523" s="1"/>
      <c r="BA5523" s="1"/>
      <c r="BB5523" s="1"/>
    </row>
    <row r="5524" ht="204.75" customHeight="1">
      <c r="A5524" s="1">
        <v>3443.0</v>
      </c>
      <c r="B5524" s="2" t="s">
        <v>15182</v>
      </c>
      <c r="C5524" s="2">
        <f>IFERROR(__xludf.DUMMYFUNCTION("split(B5524,""_"")"),1301.0)</f>
        <v>1301</v>
      </c>
      <c r="D5524" s="2" t="str">
        <f>IFERROR(__xludf.DUMMYFUNCTION("""COMPUTED_VALUE"""),"TBS")</f>
        <v>TBS</v>
      </c>
      <c r="E5524" s="2" t="str">
        <f>IFERROR(__xludf.DUMMYFUNCTION("""COMPUTED_VALUE"""),"木21")</f>
        <v>木21</v>
      </c>
      <c r="F5524" s="2" t="s">
        <v>15183</v>
      </c>
      <c r="G5524" s="2" t="s">
        <v>15188</v>
      </c>
      <c r="H5524" s="1">
        <v>3.0</v>
      </c>
      <c r="J5524" s="1" t="s">
        <v>11</v>
      </c>
      <c r="K5524" s="2" t="s">
        <v>15189</v>
      </c>
      <c r="L5524" s="2"/>
      <c r="M5524" s="2" t="str">
        <f>IFERROR(__xludf.DUMMYFUNCTION("split(split(K5524,""【"",false),""公式LINE"",false)"),"昇格テストに合格し、班長となった遠藤（伊藤淳史）は、JALスタッフ古賀（中村ゆり）との誕生日デートの約束を取り付けた。しかし、なぜか遠藤が一番苦手とする森尾（桐谷美玲）も同席する事が条件であった。デート当日、無口で何を考えているかわからない別班の班長・田波（眞島秀和）が遠藤の部下として助っ人で入る中、パスポートに穴をあけた問題児が巻き起こすトラブル発生！仕事か、デートか。遠藤がとる意外な行動とは？史上初の成田空港・長期間撮影！「あぽやん」は旅行業界用語。発券ミスや予約重複など、空港カウンターで起こるトラブ"&amp;"ルを解決する旅行代理店のエキスパートを差す。「あぽ」は空港＝Airportの略（APO）遠藤慶太…伊藤淳史    森尾晴子…桐谷美玲    枝元久雄…山本裕典    田波浩一…眞島秀和  堀之内隆…戸田昌宏    古賀 恵…中村ゆり  藤崎桜子…陽月 華    須永俊和…青柳 翔  岡浜美波…李 千鶴  柳沢真理子…野口聖古  篠田愛…近野成美    馬場英恵…貫地谷しほり    今泉利夫…柳葉敏郎森尾幸造…大河内浩  桂福太郎…平賀雅臣  森尾千秋…宮武美桜  伊佐山健治…二瓶鮫一主題歌：Rake  「"&amp;"ランナーズ愛」  （アリオラ・ジャパン）新野剛志 ・著  「あぽやん」「恋する空港　あぽやん2」  （文春文庫）")</f>
        <v>昇格テストに合格し、班長となった遠藤（伊藤淳史）は、JALスタッフ古賀（中村ゆり）との誕生日デートの約束を取り付けた。しかし、なぜか遠藤が一番苦手とする森尾（桐谷美玲）も同席する事が条件であった。デート当日、無口で何を考えているかわからない別班の班長・田波（眞島秀和）が遠藤の部下として助っ人で入る中、パスポートに穴をあけた問題児が巻き起こすトラブル発生！仕事か、デートか。遠藤がとる意外な行動とは？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古賀 恵…中村ゆり  藤崎桜子…陽月 華    須永俊和…青柳 翔  岡浜美波…李 千鶴  柳沢真理子…野口聖古  篠田愛…近野成美    馬場英恵…貫地谷しほり    今泉利夫…柳葉敏郎森尾幸造…大河内浩  桂福太郎…平賀雅臣  森尾千秋…宮武美桜  伊佐山健治…二瓶鮫一主題歌：Rake  「ランナーズ愛」  （アリオラ・ジャパン）新野剛志 ・著  「あぽやん」「恋する空港　あぽやん2」  （文春文庫）</v>
      </c>
      <c r="N5524" s="2"/>
      <c r="O5524" s="2"/>
      <c r="P5524" s="1"/>
      <c r="Q5524" s="1"/>
      <c r="R5524" s="1"/>
      <c r="S5524" s="1"/>
      <c r="T5524" s="1"/>
      <c r="U5524" s="1"/>
      <c r="V5524" s="1"/>
      <c r="W5524" s="1"/>
      <c r="X5524" s="1"/>
      <c r="Y5524" s="1"/>
      <c r="Z5524" s="1"/>
      <c r="AA5524" s="1"/>
      <c r="AB5524" s="1"/>
      <c r="AC5524" s="1"/>
      <c r="AD5524" s="1"/>
      <c r="AE5524" s="1"/>
      <c r="AF5524" s="1"/>
      <c r="AG5524" s="1"/>
      <c r="AH5524" s="1"/>
      <c r="AI5524" s="1"/>
      <c r="AJ5524" s="1"/>
      <c r="AK5524" s="1"/>
      <c r="AL5524" s="1"/>
      <c r="AM5524" s="1"/>
      <c r="AN5524" s="1"/>
      <c r="AO5524" s="1"/>
      <c r="AP5524" s="1"/>
      <c r="AQ5524" s="1"/>
      <c r="AR5524" s="1"/>
      <c r="AS5524" s="1"/>
      <c r="AT5524" s="1"/>
      <c r="AU5524" s="1"/>
      <c r="AV5524" s="1"/>
      <c r="AW5524" s="1"/>
      <c r="AX5524" s="1"/>
      <c r="AY5524" s="1"/>
      <c r="AZ5524" s="1"/>
      <c r="BA5524" s="1"/>
      <c r="BB5524" s="1"/>
    </row>
    <row r="5525" ht="204.75" customHeight="1">
      <c r="A5525" s="1">
        <v>3444.0</v>
      </c>
      <c r="B5525" s="2" t="s">
        <v>15182</v>
      </c>
      <c r="C5525" s="2">
        <f>IFERROR(__xludf.DUMMYFUNCTION("split(B5525,""_"")"),1301.0)</f>
        <v>1301</v>
      </c>
      <c r="D5525" s="2" t="str">
        <f>IFERROR(__xludf.DUMMYFUNCTION("""COMPUTED_VALUE"""),"TBS")</f>
        <v>TBS</v>
      </c>
      <c r="E5525" s="2" t="str">
        <f>IFERROR(__xludf.DUMMYFUNCTION("""COMPUTED_VALUE"""),"木21")</f>
        <v>木21</v>
      </c>
      <c r="F5525" s="2" t="s">
        <v>15183</v>
      </c>
      <c r="G5525" s="2" t="s">
        <v>15190</v>
      </c>
      <c r="H5525" s="1">
        <v>4.0</v>
      </c>
      <c r="J5525" s="1" t="s">
        <v>11</v>
      </c>
      <c r="K5525" s="2" t="s">
        <v>15191</v>
      </c>
      <c r="L5525" s="2"/>
      <c r="M5525" s="2" t="str">
        <f>IFERROR(__xludf.DUMMYFUNCTION("split(split(K5525,""【"",false),""公式LINE"",false)"),"警察からの通達で、凶悪逃亡犯と同姓同名のツアー客がチェックインすることが発覚！犯人かどうか判断できるまで時間稼ぎをして欲しいと警察から依頼がくる。遠藤（伊藤淳史）班に緊張が走る。担当を買って出る枝元（山本裕典）と彼の仕事ぶりが心配で、任せたくない遠藤が全面対決！さらに、計器トラブルで出発したはずの飛行機が戻ってくる緊急事態が発生！予定が台無しになったツアー客のクレームの嵐を、笑顔に変えられるのか？ 史上初の成田空港・長期間撮影！「あぽやん」は旅行業界用語。発券ミスや予約重複など、空港カウンターで起こるトラ"&amp;"ブルを解決する旅行代理店のエキスパートを差す。「あぽ」は空港＝Airportの略（APO） 遠藤慶太…伊藤淳史森尾晴子…桐谷美玲枝元久雄…山本裕典田波浩一…眞島秀和堀之内隆…戸田昌宏古賀 恵…中村ゆり藤崎桜子…陽月 華須永俊和…青柳 翔岡浜美波…李 千鶴柳沢真理子…野口聖古篠田愛…近野成美馬場英恵…貫地谷しほり今泉利夫…柳葉敏郎 森尾幸造…大河内浩桂福太郎…平賀雅臣森尾千秋…宮武美桜伊佐山健治…二瓶鮫一（第4話ゲスト）サトウカズオ……近藤公園 主題歌：Rake「ランナーズ愛」（アリオラ・ジャパン） 新野剛"&amp;"志 ・著「あぽやん」「恋する空港　あぽやん2」（文春文庫） ")</f>
        <v>警察からの通達で、凶悪逃亡犯と同姓同名のツアー客がチェックインすることが発覚！犯人かどうか判断できるまで時間稼ぎをして欲しいと警察から依頼がくる。遠藤（伊藤淳史）班に緊張が走る。担当を買って出る枝元（山本裕典）と彼の仕事ぶりが心配で、任せたくない遠藤が全面対決！さらに、計器トラブルで出発したはずの飛行機が戻ってくる緊急事態が発生！予定が台無しになったツアー客のクレームの嵐を、笑顔に変えられるのか？ 史上初の成田空港・長期間撮影！「あぽやん」は旅行業界用語。発券ミスや予約重複など、空港カウンターで起こるトラブルを解決する旅行代理店のエキスパートを差す。「あぽ」は空港＝Airportの略（APO） 遠藤慶太…伊藤淳史森尾晴子…桐谷美玲枝元久雄…山本裕典田波浩一…眞島秀和堀之内隆…戸田昌宏古賀 恵…中村ゆり藤崎桜子…陽月 華須永俊和…青柳 翔岡浜美波…李 千鶴柳沢真理子…野口聖古篠田愛…近野成美馬場英恵…貫地谷しほり今泉利夫…柳葉敏郎 森尾幸造…大河内浩桂福太郎…平賀雅臣森尾千秋…宮武美桜伊佐山健治…二瓶鮫一（第4話ゲスト）サトウカズオ……近藤公園 主題歌：Rake「ランナーズ愛」（アリオラ・ジャパン） 新野剛志 ・著「あぽやん」「恋する空港　あぽやん2」（文春文庫） </v>
      </c>
      <c r="N5525" s="2"/>
      <c r="O5525" s="2"/>
      <c r="P5525" s="1"/>
      <c r="Q5525" s="1"/>
      <c r="R5525" s="1"/>
      <c r="S5525" s="1"/>
      <c r="T5525" s="1"/>
      <c r="U5525" s="1"/>
      <c r="V5525" s="1"/>
      <c r="W5525" s="1"/>
      <c r="X5525" s="1"/>
      <c r="Y5525" s="1"/>
      <c r="Z5525" s="1"/>
      <c r="AA5525" s="1"/>
      <c r="AB5525" s="1"/>
      <c r="AC5525" s="1"/>
      <c r="AD5525" s="1"/>
      <c r="AE5525" s="1"/>
      <c r="AF5525" s="1"/>
      <c r="AG5525" s="1"/>
      <c r="AH5525" s="1"/>
      <c r="AI5525" s="1"/>
      <c r="AJ5525" s="1"/>
      <c r="AK5525" s="1"/>
      <c r="AL5525" s="1"/>
      <c r="AM5525" s="1"/>
      <c r="AN5525" s="1"/>
      <c r="AO5525" s="1"/>
      <c r="AP5525" s="1"/>
      <c r="AQ5525" s="1"/>
      <c r="AR5525" s="1"/>
      <c r="AS5525" s="1"/>
      <c r="AT5525" s="1"/>
      <c r="AU5525" s="1"/>
      <c r="AV5525" s="1"/>
      <c r="AW5525" s="1"/>
      <c r="AX5525" s="1"/>
      <c r="AY5525" s="1"/>
      <c r="AZ5525" s="1"/>
      <c r="BA5525" s="1"/>
      <c r="BB5525" s="1"/>
    </row>
    <row r="5526" ht="204.75" customHeight="1">
      <c r="A5526" s="1">
        <v>3445.0</v>
      </c>
      <c r="B5526" s="2" t="s">
        <v>15182</v>
      </c>
      <c r="C5526" s="2">
        <f>IFERROR(__xludf.DUMMYFUNCTION("split(B5526,""_"")"),1301.0)</f>
        <v>1301</v>
      </c>
      <c r="D5526" s="2" t="str">
        <f>IFERROR(__xludf.DUMMYFUNCTION("""COMPUTED_VALUE"""),"TBS")</f>
        <v>TBS</v>
      </c>
      <c r="E5526" s="2" t="str">
        <f>IFERROR(__xludf.DUMMYFUNCTION("""COMPUTED_VALUE"""),"木21")</f>
        <v>木21</v>
      </c>
      <c r="F5526" s="2" t="s">
        <v>15183</v>
      </c>
      <c r="G5526" s="2" t="s">
        <v>15192</v>
      </c>
      <c r="H5526" s="1">
        <v>5.0</v>
      </c>
      <c r="J5526" s="1" t="s">
        <v>11</v>
      </c>
      <c r="K5526" s="2" t="s">
        <v>15193</v>
      </c>
      <c r="L5526" s="2"/>
      <c r="M5526" s="2" t="str">
        <f>IFERROR(__xludf.DUMMYFUNCTION("split(split(K5526,""【"",false),""公式LINE"",false)"),"お客様のトラブルをきっかけに女性部下軍団と対立してしまう遠藤（伊藤淳史）は、チーム内で孤立する。そんな時、遠藤は大物作家 円城寺ミサエ（かとうかず子）の世話を引き受けるが、チームの手助けを拒み、「一人で出来る」と強がってしまう…。円城寺のワガママな要求に一人奮闘する遠藤を想定外の大トラブルが追い討ちをかけ、遂には今泉（柳葉敏郎）が遠藤を本気で怒る事態に！？チームは果たしてまた一つに戻れるのか？遠藤慶太…伊藤淳史    森尾晴子…桐谷美玲    枝元久雄…山本裕典    田波浩一…眞島秀和  堀之内隆…戸田"&amp;"昌宏    古賀 恵…中村ゆり  藤崎桜子…陽月 華    須永俊和…青柳 翔  岡浜美波…李千鶴  柳沢真理子…野口聖古  篠田愛…近野成美    馬場英恵…貫地谷しほり    今泉利夫…柳葉敏郎森尾幸造…大河内浩  桂福太郎…平賀雅臣  森尾千秋…宮武美桜  伊佐山健治…二瓶鮫一    （第5話ゲスト）  円城寺ミサエ……かとうかず子  清掃人 達川……ミッキー・カーチス史上初の成田空港・長期間撮影！「あぽやん」は旅行業界用語。発券ミスや予約重複など、空港カウンターで起こるトラブルを解決する旅行代理店"&amp;"のエキスパートを差す。「あぽ」は空港＝Airportの略（APO）主題歌：Rake  「ランナーズ愛」  （アリオラ・ジャパン）新野剛志 ・著  「あぽやん」「恋する空港　あぽやん2」  （文春文庫）")</f>
        <v>お客様のトラブルをきっかけに女性部下軍団と対立してしまう遠藤（伊藤淳史）は、チーム内で孤立する。そんな時、遠藤は大物作家 円城寺ミサエ（かとうかず子）の世話を引き受けるが、チームの手助けを拒み、「一人で出来る」と強がってしまう…。円城寺のワガママな要求に一人奮闘する遠藤を想定外の大トラブルが追い討ちをかけ、遂には今泉（柳葉敏郎）が遠藤を本気で怒る事態に！？チームは果たしてまた一つに戻れるのか？遠藤慶太…伊藤淳史    森尾晴子…桐谷美玲    枝元久雄…山本裕典    田波浩一…眞島秀和  堀之内隆…戸田昌宏    古賀 恵…中村ゆり  藤崎桜子…陽月 華    須永俊和…青柳 翔  岡浜美波…李千鶴  柳沢真理子…野口聖古  篠田愛…近野成美    馬場英恵…貫地谷しほり    今泉利夫…柳葉敏郎森尾幸造…大河内浩  桂福太郎…平賀雅臣  森尾千秋…宮武美桜  伊佐山健治…二瓶鮫一    （第5話ゲスト）  円城寺ミサエ……かとうかず子  清掃人 達川……ミッキー・カーチス史上初の成田空港・長期間撮影！「あぽやん」は旅行業界用語。発券ミスや予約重複など、空港カウンターで起こるトラブルを解決する旅行代理店のエキスパートを差す。「あぽ」は空港＝Airportの略（APO）主題歌：Rake  「ランナーズ愛」  （アリオラ・ジャパン）新野剛志 ・著  「あぽやん」「恋する空港　あぽやん2」  （文春文庫）</v>
      </c>
      <c r="N5526" s="2"/>
      <c r="O5526" s="2"/>
      <c r="P5526" s="1"/>
      <c r="Q5526" s="1"/>
      <c r="R5526" s="1"/>
      <c r="S5526" s="1"/>
      <c r="T5526" s="1"/>
      <c r="U5526" s="1"/>
      <c r="V5526" s="1"/>
      <c r="W5526" s="1"/>
      <c r="X5526" s="1"/>
      <c r="Y5526" s="1"/>
      <c r="Z5526" s="1"/>
      <c r="AA5526" s="1"/>
      <c r="AB5526" s="1"/>
      <c r="AC5526" s="1"/>
      <c r="AD5526" s="1"/>
      <c r="AE5526" s="1"/>
      <c r="AF5526" s="1"/>
      <c r="AG5526" s="1"/>
      <c r="AH5526" s="1"/>
      <c r="AI5526" s="1"/>
      <c r="AJ5526" s="1"/>
      <c r="AK5526" s="1"/>
      <c r="AL5526" s="1"/>
      <c r="AM5526" s="1"/>
      <c r="AN5526" s="1"/>
      <c r="AO5526" s="1"/>
      <c r="AP5526" s="1"/>
      <c r="AQ5526" s="1"/>
      <c r="AR5526" s="1"/>
      <c r="AS5526" s="1"/>
      <c r="AT5526" s="1"/>
      <c r="AU5526" s="1"/>
      <c r="AV5526" s="1"/>
      <c r="AW5526" s="1"/>
      <c r="AX5526" s="1"/>
      <c r="AY5526" s="1"/>
      <c r="AZ5526" s="1"/>
      <c r="BA5526" s="1"/>
      <c r="BB5526" s="1"/>
    </row>
    <row r="5527" ht="204.75" customHeight="1">
      <c r="A5527" s="1">
        <v>3446.0</v>
      </c>
      <c r="B5527" s="2" t="s">
        <v>15182</v>
      </c>
      <c r="C5527" s="2">
        <f>IFERROR(__xludf.DUMMYFUNCTION("split(B5527,""_"")"),1301.0)</f>
        <v>1301</v>
      </c>
      <c r="D5527" s="2" t="str">
        <f>IFERROR(__xludf.DUMMYFUNCTION("""COMPUTED_VALUE"""),"TBS")</f>
        <v>TBS</v>
      </c>
      <c r="E5527" s="2" t="str">
        <f>IFERROR(__xludf.DUMMYFUNCTION("""COMPUTED_VALUE"""),"木21")</f>
        <v>木21</v>
      </c>
      <c r="F5527" s="2" t="s">
        <v>15183</v>
      </c>
      <c r="G5527" s="2" t="s">
        <v>15194</v>
      </c>
      <c r="H5527" s="1">
        <v>6.0</v>
      </c>
      <c r="J5527" s="1" t="s">
        <v>11</v>
      </c>
      <c r="K5527" s="2" t="s">
        <v>15195</v>
      </c>
      <c r="L5527" s="2"/>
      <c r="M5527" s="2" t="str">
        <f>IFERROR(__xludf.DUMMYFUNCTION("split(split(K5527,""【"",false),""公式LINE"",false)"),"ボストンへの音楽留学を志す青年・ソウタ（上遠野 太洸）の予約記録が消えた!?今日中に出発しないと、留学試験が受けられない！ソウタの夢をつなぐため、ついに遠藤（伊藤淳史）は禁断の手段に手を伸ばすことに…。この日は、博多デート中に「仕事を辞めて、海外へ行く」ことを遠藤に告白をした古賀（中村ゆり）がバンクーバーに飛び立つ日でもあった。果たして、ソウタのトラブルを解決し、古賀の出発に駆けつけられるのか！？ 史上初の成田空港・長期間撮影！「あぽやん」は旅行業界用語。発券ミスや予約重複など、空港カウンターで起こるトラ"&amp;"ブルを解決する旅行代理店のエキスパートを差す。「あぽ」は空港＝Airportの略（APO） 遠藤慶太・・・伊藤淳史森尾晴子・・・桐谷美玲枝元久雄・・・山本裕典田波浩一・・・眞島秀和堀之内隆・・・戸田昌宏古賀 恵・・・中村ゆり藤崎桜子・・・陽月 華須永俊和・・・青柳 翔岡浜美波・・・李 千鶴柳沢真理子・・・野口聖古篠田愛・・・近野成美?馬場英恵・・・貫地谷しほり今泉利夫・・・柳葉敏郎 森尾幸造・・・大河内浩桂福太郎・・・平賀雅臣森尾千秋・・・宮武美桜伊佐山健治・・・二瓶鮫一")</f>
        <v>ボストンへの音楽留学を志す青年・ソウタ（上遠野 太洸）の予約記録が消えた!?今日中に出発しないと、留学試験が受けられない！ソウタの夢をつなぐため、ついに遠藤（伊藤淳史）は禁断の手段に手を伸ばすことに…。この日は、博多デート中に「仕事を辞めて、海外へ行く」ことを遠藤に告白をした古賀（中村ゆり）がバンクーバーに飛び立つ日でもあった。果たして、ソウタのトラブルを解決し、古賀の出発に駆けつけられるのか！？ 史上初の成田空港・長期間撮影！「あぽやん」は旅行業界用語。発券ミスや予約重複など、空港カウンターで起こるトラブルを解決する旅行代理店のエキスパートを差す。「あぽ」は空港＝Airportの略（APO） 遠藤慶太・・・伊藤淳史森尾晴子・・・桐谷美玲枝元久雄・・・山本裕典田波浩一・・・眞島秀和堀之内隆・・・戸田昌宏古賀 恵・・・中村ゆり藤崎桜子・・・陽月 華須永俊和・・・青柳 翔岡浜美波・・・李 千鶴柳沢真理子・・・野口聖古篠田愛・・・近野成美?馬場英恵・・・貫地谷しほり今泉利夫・・・柳葉敏郎 森尾幸造・・・大河内浩桂福太郎・・・平賀雅臣森尾千秋・・・宮武美桜伊佐山健治・・・二瓶鮫一</v>
      </c>
      <c r="N5527" s="2"/>
      <c r="O5527" s="2"/>
      <c r="P5527" s="1"/>
      <c r="Q5527" s="1"/>
      <c r="R5527" s="1"/>
      <c r="S5527" s="1"/>
      <c r="T5527" s="1"/>
      <c r="U5527" s="1"/>
      <c r="V5527" s="1"/>
      <c r="W5527" s="1"/>
      <c r="X5527" s="1"/>
      <c r="Y5527" s="1"/>
      <c r="Z5527" s="1"/>
      <c r="AA5527" s="1"/>
      <c r="AB5527" s="1"/>
      <c r="AC5527" s="1"/>
      <c r="AD5527" s="1"/>
      <c r="AE5527" s="1"/>
      <c r="AF5527" s="1"/>
      <c r="AG5527" s="1"/>
      <c r="AH5527" s="1"/>
      <c r="AI5527" s="1"/>
      <c r="AJ5527" s="1"/>
      <c r="AK5527" s="1"/>
      <c r="AL5527" s="1"/>
      <c r="AM5527" s="1"/>
      <c r="AN5527" s="1"/>
      <c r="AO5527" s="1"/>
      <c r="AP5527" s="1"/>
      <c r="AQ5527" s="1"/>
      <c r="AR5527" s="1"/>
      <c r="AS5527" s="1"/>
      <c r="AT5527" s="1"/>
      <c r="AU5527" s="1"/>
      <c r="AV5527" s="1"/>
      <c r="AW5527" s="1"/>
      <c r="AX5527" s="1"/>
      <c r="AY5527" s="1"/>
      <c r="AZ5527" s="1"/>
      <c r="BA5527" s="1"/>
      <c r="BB5527" s="1"/>
    </row>
    <row r="5528" ht="204.75" customHeight="1">
      <c r="A5528" s="1">
        <v>3447.0</v>
      </c>
      <c r="B5528" s="2" t="s">
        <v>15182</v>
      </c>
      <c r="C5528" s="2">
        <f>IFERROR(__xludf.DUMMYFUNCTION("split(B5528,""_"")"),1301.0)</f>
        <v>1301</v>
      </c>
      <c r="D5528" s="2" t="str">
        <f>IFERROR(__xludf.DUMMYFUNCTION("""COMPUTED_VALUE"""),"TBS")</f>
        <v>TBS</v>
      </c>
      <c r="E5528" s="2" t="str">
        <f>IFERROR(__xludf.DUMMYFUNCTION("""COMPUTED_VALUE"""),"木21")</f>
        <v>木21</v>
      </c>
      <c r="F5528" s="2" t="s">
        <v>15183</v>
      </c>
      <c r="G5528" s="2" t="s">
        <v>15196</v>
      </c>
      <c r="H5528" s="1">
        <v>7.0</v>
      </c>
      <c r="J5528" s="1" t="s">
        <v>4</v>
      </c>
      <c r="K5528" s="2" t="s">
        <v>15197</v>
      </c>
      <c r="L5528" s="2"/>
      <c r="M5528" s="2" t="str">
        <f>IFERROR(__xludf.DUMMYFUNCTION("split(split(K5528,""【"",false),""公式LINE"",false)"),"野球中継のため、第7話はよる9時30分から放送！（野球中継の延長状況により9時30分以降、放送時間は5分ずつ繰り下がります） 母親を探すため、日々空港に現れる少女ユイ。ユイのために躍起になる森尾（桐谷美玲）にいつもの冷静さは見られない。森尾をなだめる遠藤（伊藤淳史）は、上司の今泉（柳葉敏郎）から彼女の意外な過去を知ることになる…。また、毎年大規模な社員旅行を申し込む大企業の会長が訪れ、森尾に「孫とお見合いをしてほしい」と迫る。普段は平然と断るはずの森尾は何故かお見合いを引き受けることに…。森尾が心に秘めた"&amp;"その想いとは！？ 史上初の成田空港・長期間撮影！「あぽやん」は旅行業界用語。発券ミスや予約重複など、空港カウンターで起こるトラブルを解決する旅行代理店のエキスパートを差す。「あぽ」は空港＝Airportの略（APO） 遠藤慶太…伊藤淳史森尾晴子…桐谷美玲枝元久雄…山本裕典田波浩一…眞島秀和堀之内隆…戸田昌宏古賀 恵…中村ゆり藤崎桜子…陽月 華須永俊和…青柳 翔岡浜美波…李 千鶴柳沢真理子…野口聖古篠田愛…近野成美馬場英恵…貫地谷しほり今泉利夫…柳葉敏郎 森尾幸造…大河内浩桂福太郎…平賀雅臣森尾千秋…宮武美"&amp;"桜伊佐山健治…二瓶鮫一")</f>
        <v>野球中継のため、第7話はよる9時30分から放送！（野球中継の延長状況により9時30分以降、放送時間は5分ずつ繰り下がります） 母親を探すため、日々空港に現れる少女ユイ。ユイのために躍起になる森尾（桐谷美玲）にいつもの冷静さは見られない。森尾をなだめる遠藤（伊藤淳史）は、上司の今泉（柳葉敏郎）から彼女の意外な過去を知ることになる…。また、毎年大規模な社員旅行を申し込む大企業の会長が訪れ、森尾に「孫とお見合いをしてほしい」と迫る。普段は平然と断るはずの森尾は何故かお見合いを引き受けることに…。森尾が心に秘めたその想いとは！？ 史上初の成田空港・長期間撮影！「あぽやん」は旅行業界用語。発券ミスや予約重複など、空港カウンターで起こるトラブルを解決する旅行代理店のエキスパートを差す。「あぽ」は空港＝Airportの略（APO） 遠藤慶太…伊藤淳史森尾晴子…桐谷美玲枝元久雄…山本裕典田波浩一…眞島秀和堀之内隆…戸田昌宏古賀 恵…中村ゆり藤崎桜子…陽月 華須永俊和…青柳 翔岡浜美波…李 千鶴柳沢真理子…野口聖古篠田愛…近野成美馬場英恵…貫地谷しほり今泉利夫…柳葉敏郎 森尾幸造…大河内浩桂福太郎…平賀雅臣森尾千秋…宮武美桜伊佐山健治…二瓶鮫一</v>
      </c>
      <c r="N5528" s="2"/>
      <c r="O5528" s="2"/>
      <c r="P5528" s="1"/>
      <c r="Q5528" s="1"/>
      <c r="R5528" s="1"/>
      <c r="S5528" s="1"/>
      <c r="T5528" s="1"/>
      <c r="U5528" s="1"/>
      <c r="V5528" s="1"/>
      <c r="W5528" s="1"/>
      <c r="X5528" s="1"/>
      <c r="Y5528" s="1"/>
      <c r="Z5528" s="1"/>
      <c r="AA5528" s="1"/>
      <c r="AB5528" s="1"/>
      <c r="AC5528" s="1"/>
      <c r="AD5528" s="1"/>
      <c r="AE5528" s="1"/>
      <c r="AF5528" s="1"/>
      <c r="AG5528" s="1"/>
      <c r="AH5528" s="1"/>
      <c r="AI5528" s="1"/>
      <c r="AJ5528" s="1"/>
      <c r="AK5528" s="1"/>
      <c r="AL5528" s="1"/>
      <c r="AM5528" s="1"/>
      <c r="AN5528" s="1"/>
      <c r="AO5528" s="1"/>
      <c r="AP5528" s="1"/>
      <c r="AQ5528" s="1"/>
      <c r="AR5528" s="1"/>
      <c r="AS5528" s="1"/>
      <c r="AT5528" s="1"/>
      <c r="AU5528" s="1"/>
      <c r="AV5528" s="1"/>
      <c r="AW5528" s="1"/>
      <c r="AX5528" s="1"/>
      <c r="AY5528" s="1"/>
      <c r="AZ5528" s="1"/>
      <c r="BA5528" s="1"/>
      <c r="BB5528" s="1"/>
    </row>
    <row r="5529" ht="204.75" customHeight="1">
      <c r="A5529" s="1">
        <v>3448.0</v>
      </c>
      <c r="B5529" s="2" t="s">
        <v>15182</v>
      </c>
      <c r="C5529" s="2">
        <f>IFERROR(__xludf.DUMMYFUNCTION("split(B5529,""_"")"),1301.0)</f>
        <v>1301</v>
      </c>
      <c r="D5529" s="2" t="str">
        <f>IFERROR(__xludf.DUMMYFUNCTION("""COMPUTED_VALUE"""),"TBS")</f>
        <v>TBS</v>
      </c>
      <c r="E5529" s="2" t="str">
        <f>IFERROR(__xludf.DUMMYFUNCTION("""COMPUTED_VALUE"""),"木21")</f>
        <v>木21</v>
      </c>
      <c r="F5529" s="2" t="s">
        <v>15183</v>
      </c>
      <c r="G5529" s="2" t="s">
        <v>15198</v>
      </c>
      <c r="H5529" s="1">
        <v>8.0</v>
      </c>
      <c r="J5529" s="1" t="s">
        <v>11</v>
      </c>
      <c r="K5529" s="2" t="s">
        <v>15199</v>
      </c>
      <c r="L5529" s="2"/>
      <c r="M5529" s="2" t="str">
        <f>IFERROR(__xludf.DUMMYFUNCTION("split(split(K5529,""【"",false),""公式LINE"",false)"),"重い病を患う妻（釈由美子）との約束を果すため、病状を隠してハワイへ出発しようとする夫（野間口徹）。しかし、病気が発覚してしまい、夫婦に搭乗許可が下りなくなる…。困り果てた夫婦を出発させるため、遠藤（伊藤淳史）と森尾（桐谷美玲）は最後まで諦めず、あらゆる手段を探る！また、本社に呼びだされた今泉（柳葉敏郎）は、空港で働くスタッフの非情なリストラ計画を言い渡される。部下を守るため今泉は会社に立ち向うが…史上初の成田空港・長期間撮影！「あぽやん」は旅行業界用語。発券ミスや予約重複など、空港カウンターで起こるトラブ"&amp;"ルを解決する旅行代理店のエキスパートを差す。「あぽ」は空港＝Airportの略（APO）遠藤慶太…伊藤淳史    森尾晴子…桐谷美玲    枝元久雄…山本裕典    田波浩一…眞島秀和  堀之内隆…戸田昌宏    藤崎桜子…陽月 華    須永俊和…青柳 翔  岡浜美波…李 千鶴  柳沢真理子…野口聖古  篠田愛…近野成美    馬場英恵…貫地谷しほり    今泉利夫…柳葉敏郎森尾幸造…大河内浩  桂福太郎…平賀雅臣  森尾千秋…宮武美桜    （第8話ゲスト）  タケモトミユキ…釈由美子  タケモトトモ"&amp;"ノリ…野間口徹主題歌：Rake  「ランナーズ愛」  （アリオラ・ジャパン）新野剛志 ・著  「あぽやん」「恋する空港　あぽやん2」  （文春文庫）")</f>
        <v>重い病を患う妻（釈由美子）との約束を果すため、病状を隠してハワイへ出発しようとする夫（野間口徹）。しかし、病気が発覚してしまい、夫婦に搭乗許可が下りなくなる…。困り果てた夫婦を出発させるため、遠藤（伊藤淳史）と森尾（桐谷美玲）は最後まで諦めず、あらゆる手段を探る！また、本社に呼びだされた今泉（柳葉敏郎）は、空港で働くスタッフの非情なリストラ計画を言い渡される。部下を守るため今泉は会社に立ち向うが…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藤崎桜子…陽月 華    須永俊和…青柳 翔  岡浜美波…李 千鶴  柳沢真理子…野口聖古  篠田愛…近野成美    馬場英恵…貫地谷しほり    今泉利夫…柳葉敏郎森尾幸造…大河内浩  桂福太郎…平賀雅臣  森尾千秋…宮武美桜    （第8話ゲスト）  タケモトミユキ…釈由美子  タケモトトモノリ…野間口徹主題歌：Rake  「ランナーズ愛」  （アリオラ・ジャパン）新野剛志 ・著  「あぽやん」「恋する空港　あぽやん2」  （文春文庫）</v>
      </c>
      <c r="N5529" s="2"/>
      <c r="O5529" s="2"/>
      <c r="P5529" s="1"/>
      <c r="Q5529" s="1"/>
      <c r="R5529" s="1"/>
      <c r="S5529" s="1"/>
      <c r="T5529" s="1"/>
      <c r="U5529" s="1"/>
      <c r="V5529" s="1"/>
      <c r="W5529" s="1"/>
      <c r="X5529" s="1"/>
      <c r="Y5529" s="1"/>
      <c r="Z5529" s="1"/>
      <c r="AA5529" s="1"/>
      <c r="AB5529" s="1"/>
      <c r="AC5529" s="1"/>
      <c r="AD5529" s="1"/>
      <c r="AE5529" s="1"/>
      <c r="AF5529" s="1"/>
      <c r="AG5529" s="1"/>
      <c r="AH5529" s="1"/>
      <c r="AI5529" s="1"/>
      <c r="AJ5529" s="1"/>
      <c r="AK5529" s="1"/>
      <c r="AL5529" s="1"/>
      <c r="AM5529" s="1"/>
      <c r="AN5529" s="1"/>
      <c r="AO5529" s="1"/>
      <c r="AP5529" s="1"/>
      <c r="AQ5529" s="1"/>
      <c r="AR5529" s="1"/>
      <c r="AS5529" s="1"/>
      <c r="AT5529" s="1"/>
      <c r="AU5529" s="1"/>
      <c r="AV5529" s="1"/>
      <c r="AW5529" s="1"/>
      <c r="AX5529" s="1"/>
      <c r="AY5529" s="1"/>
      <c r="AZ5529" s="1"/>
      <c r="BA5529" s="1"/>
      <c r="BB5529" s="1"/>
    </row>
    <row r="5530" ht="204.75" customHeight="1">
      <c r="A5530" s="1">
        <v>3449.0</v>
      </c>
      <c r="B5530" s="2" t="s">
        <v>15182</v>
      </c>
      <c r="C5530" s="2">
        <f>IFERROR(__xludf.DUMMYFUNCTION("split(B5530,""_"")"),1301.0)</f>
        <v>1301</v>
      </c>
      <c r="D5530" s="2" t="str">
        <f>IFERROR(__xludf.DUMMYFUNCTION("""COMPUTED_VALUE"""),"TBS")</f>
        <v>TBS</v>
      </c>
      <c r="E5530" s="2" t="str">
        <f>IFERROR(__xludf.DUMMYFUNCTION("""COMPUTED_VALUE"""),"木21")</f>
        <v>木21</v>
      </c>
      <c r="F5530" s="2" t="s">
        <v>15183</v>
      </c>
      <c r="G5530" s="2" t="s">
        <v>15200</v>
      </c>
      <c r="H5530" s="1">
        <v>9.0</v>
      </c>
      <c r="J5530" s="1" t="s">
        <v>11</v>
      </c>
      <c r="K5530" s="2" t="s">
        <v>15201</v>
      </c>
      <c r="L5530" s="2"/>
      <c r="M5530" s="2" t="str">
        <f>IFERROR(__xludf.DUMMYFUNCTION("split(split(K5530,""【"",false),""公式LINE"",false)"),"本社から突然言い渡された空港スタッフのリストラ。自分の班から誰を辞めさせるかは遠藤（伊藤淳史）に委ねられ、職場で日々思い悩む事になる。リストラの対象となったスタッフ達は仕事が手につかず、普段の明るさもない。そんな中、いつも遠藤をサポートしてくれる頼れる先輩スタッフ馬場（貫地谷しほり）が、お客様の予約記録を消してしまう重大なミスを犯してしまう。しかし、そのミスの裏には馬場が独りで抱える秘密があった…史上初の成田空港・長期間撮影！「あぽやん」は旅行業界用語。発券ミスや予約重複など、空港カウンターで起こるトラブ"&amp;"ルを解決する旅行代理店のエキスパートを差す。「あぽ」は空港＝Airportの略（APO）遠藤慶太・・・伊藤淳史    森尾晴子・・・桐谷美玲    枝元久雄・・・山本裕典    田波浩一・・・眞島秀和  堀之内隆・・・戸田昌宏    藤崎桜子・・・陽月 華    須永俊和・・・青柳 翔  岡浜美波・・・李 千鶴  柳沢真理子・・・野口聖古  篠田愛・・・近野成美    馬場英恵・・・貫地谷しほり    今泉利夫・・・柳葉敏郎森尾幸造・・・大河内浩  桂福太郎・・・平賀雅臣  森尾千秋・・・宮武美桜『あぽや"&amp;"ん』第9話　予告動画を公開しました！こちらからどうぞ！  http://youtu.be/HeafmGlkgLo  主題歌：Rake  「ランナーズ愛」  （アリオラ・ジャパン）新野剛志 ・著  「あぽやん」「恋する空港　あぽやん2」  （文春文庫）")</f>
        <v>本社から突然言い渡された空港スタッフのリストラ。自分の班から誰を辞めさせるかは遠藤（伊藤淳史）に委ねられ、職場で日々思い悩む事になる。リストラの対象となったスタッフ達は仕事が手につかず、普段の明るさもない。そんな中、いつも遠藤をサポートしてくれる頼れる先輩スタッフ馬場（貫地谷しほり）が、お客様の予約記録を消してしまう重大なミスを犯してしまう。しかし、そのミスの裏には馬場が独りで抱える秘密があった…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藤崎桜子・・・陽月 華    須永俊和・・・青柳 翔  岡浜美波・・・李 千鶴  柳沢真理子・・・野口聖古  篠田愛・・・近野成美    馬場英恵・・・貫地谷しほり    今泉利夫・・・柳葉敏郎森尾幸造・・・大河内浩  桂福太郎・・・平賀雅臣  森尾千秋・・・宮武美桜『あぽやん』第9話　予告動画を公開しました！こちらからどうぞ！  http://youtu.be/HeafmGlkgLo  主題歌：Rake  「ランナーズ愛」  （アリオラ・ジャパン）新野剛志 ・著  「あぽやん」「恋する空港　あぽやん2」  （文春文庫）</v>
      </c>
      <c r="N5530" s="2"/>
      <c r="O5530" s="2"/>
      <c r="P5530" s="1"/>
      <c r="Q5530" s="1"/>
      <c r="R5530" s="1"/>
      <c r="S5530" s="1"/>
      <c r="T5530" s="1"/>
      <c r="U5530" s="1"/>
      <c r="V5530" s="1"/>
      <c r="W5530" s="1"/>
      <c r="X5530" s="1"/>
      <c r="Y5530" s="1"/>
      <c r="Z5530" s="1"/>
      <c r="AA5530" s="1"/>
      <c r="AB5530" s="1"/>
      <c r="AC5530" s="1"/>
      <c r="AD5530" s="1"/>
      <c r="AE5530" s="1"/>
      <c r="AF5530" s="1"/>
      <c r="AG5530" s="1"/>
      <c r="AH5530" s="1"/>
      <c r="AI5530" s="1"/>
      <c r="AJ5530" s="1"/>
      <c r="AK5530" s="1"/>
      <c r="AL5530" s="1"/>
      <c r="AM5530" s="1"/>
      <c r="AN5530" s="1"/>
      <c r="AO5530" s="1"/>
      <c r="AP5530" s="1"/>
      <c r="AQ5530" s="1"/>
      <c r="AR5530" s="1"/>
      <c r="AS5530" s="1"/>
      <c r="AT5530" s="1"/>
      <c r="AU5530" s="1"/>
      <c r="AV5530" s="1"/>
      <c r="AW5530" s="1"/>
      <c r="AX5530" s="1"/>
      <c r="AY5530" s="1"/>
      <c r="AZ5530" s="1"/>
      <c r="BA5530" s="1"/>
      <c r="BB5530" s="1"/>
    </row>
    <row r="5531" ht="204.75" customHeight="1">
      <c r="A5531" s="1">
        <v>3450.0</v>
      </c>
      <c r="B5531" s="2" t="s">
        <v>15182</v>
      </c>
      <c r="C5531" s="2">
        <f>IFERROR(__xludf.DUMMYFUNCTION("split(B5531,""_"")"),1301.0)</f>
        <v>1301</v>
      </c>
      <c r="D5531" s="2" t="str">
        <f>IFERROR(__xludf.DUMMYFUNCTION("""COMPUTED_VALUE"""),"TBS")</f>
        <v>TBS</v>
      </c>
      <c r="E5531" s="2" t="str">
        <f>IFERROR(__xludf.DUMMYFUNCTION("""COMPUTED_VALUE"""),"木21")</f>
        <v>木21</v>
      </c>
      <c r="F5531" s="2" t="s">
        <v>15183</v>
      </c>
      <c r="G5531" s="2" t="s">
        <v>15202</v>
      </c>
      <c r="H5531" s="1">
        <v>10.0</v>
      </c>
      <c r="J5531" s="1" t="s">
        <v>11</v>
      </c>
      <c r="K5531" s="2" t="s">
        <v>15203</v>
      </c>
      <c r="L5531" s="2"/>
      <c r="M5531" s="2" t="str">
        <f>IFERROR(__xludf.DUMMYFUNCTION("split(split(K5531,""【"",false),""公式LINE"",false)"),"空港での仕事に自分の居場所を見つけた遠藤（伊藤淳史）に、突然本社への異動命令が下る！チームの柱となった遠藤がいなくなる事に、今泉（柳葉敏郎）や森尾（桐谷美玲）らチームの仲間は動揺するが、遠藤の将来の事を考えて本社勤務を後押しする。空港での勤務最終日、100人の団体ツアーのお客様をお送りするのが遠藤の最後の仕事となるが、最後の最後で思わぬトラブルが発生！ツアーキャンセルの危機に遠藤班が立ち向かう！！史上初の成田空港・長期間撮影！「あぽやん」は旅行業界用語。発券ミスや予約重複など、空港カウンターで起こるトラブ"&amp;"ルを解決する旅行代理店のエキスパートを差す。「あぽ」は空港＝Airportの略（APO）遠藤慶太…伊藤淳史    森尾晴子…桐谷美玲    枝元久雄…山本裕典    田波浩一…眞島秀和  堀之内隆…戸田昌宏    藤崎桜子…陽月華    須永俊和…青柳翔  岡浜美波…李千鶴  柳沢真理子…野口聖古  篠田愛…近野成美    馬場英恵…貫地谷しほり    今泉利夫…柳葉敏郎森尾幸造…大河内浩  桂福太郎…平賀雅臣  森尾千秋…宮武美桜  伊佐山健治…二瓶鮫一主題歌：Rake  「ランナーズ愛」  （アリオラ"&amp;"・ジャパン）『あぽやん』最終話予告動画を公開しました！こちらからどうぞ！  http://youtu.be/2Ayt2Aa3Se8  新野剛志 ・著  「あぽやん」「恋する空港　あぽやん2」  （文春文庫）")</f>
        <v>空港での仕事に自分の居場所を見つけた遠藤（伊藤淳史）に、突然本社への異動命令が下る！チームの柱となった遠藤がいなくなる事に、今泉（柳葉敏郎）や森尾（桐谷美玲）らチームの仲間は動揺するが、遠藤の将来の事を考えて本社勤務を後押しする。空港での勤務最終日、100人の団体ツアーのお客様をお送りするのが遠藤の最後の仕事となるが、最後の最後で思わぬトラブルが発生！ツアーキャンセルの危機に遠藤班が立ち向かう！！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藤崎桜子…陽月華    須永俊和…青柳翔  岡浜美波…李千鶴  柳沢真理子…野口聖古  篠田愛…近野成美    馬場英恵…貫地谷しほり    今泉利夫…柳葉敏郎森尾幸造…大河内浩  桂福太郎…平賀雅臣  森尾千秋…宮武美桜  伊佐山健治…二瓶鮫一主題歌：Rake  「ランナーズ愛」  （アリオラ・ジャパン）『あぽやん』最終話予告動画を公開しました！こちらからどうぞ！  http://youtu.be/2Ayt2Aa3Se8  新野剛志 ・著  「あぽやん」「恋する空港　あぽやん2」  （文春文庫）</v>
      </c>
      <c r="N5531" s="2"/>
      <c r="O5531" s="2"/>
      <c r="P5531" s="1"/>
      <c r="Q5531" s="1"/>
      <c r="R5531" s="1"/>
      <c r="S5531" s="1"/>
      <c r="T5531" s="1"/>
      <c r="U5531" s="1"/>
      <c r="V5531" s="1"/>
      <c r="W5531" s="1"/>
      <c r="X5531" s="1"/>
      <c r="Y5531" s="1"/>
      <c r="Z5531" s="1"/>
      <c r="AA5531" s="1"/>
      <c r="AB5531" s="1"/>
      <c r="AC5531" s="1"/>
      <c r="AD5531" s="1"/>
      <c r="AE5531" s="1"/>
      <c r="AF5531" s="1"/>
      <c r="AG5531" s="1"/>
      <c r="AH5531" s="1"/>
      <c r="AI5531" s="1"/>
      <c r="AJ5531" s="1"/>
      <c r="AK5531" s="1"/>
      <c r="AL5531" s="1"/>
      <c r="AM5531" s="1"/>
      <c r="AN5531" s="1"/>
      <c r="AO5531" s="1"/>
      <c r="AP5531" s="1"/>
      <c r="AQ5531" s="1"/>
      <c r="AR5531" s="1"/>
      <c r="AS5531" s="1"/>
      <c r="AT5531" s="1"/>
      <c r="AU5531" s="1"/>
      <c r="AV5531" s="1"/>
      <c r="AW5531" s="1"/>
      <c r="AX5531" s="1"/>
      <c r="AY5531" s="1"/>
      <c r="AZ5531" s="1"/>
      <c r="BA5531" s="1"/>
      <c r="BB5531" s="1"/>
    </row>
    <row r="5532" ht="204.75" customHeight="1">
      <c r="A5532" s="1">
        <v>3471.0</v>
      </c>
      <c r="B5532" s="2" t="s">
        <v>15204</v>
      </c>
      <c r="C5532" s="2">
        <f>IFERROR(__xludf.DUMMYFUNCTION("split(B5532,""_"")"),1301.0)</f>
        <v>1301</v>
      </c>
      <c r="D5532" s="2" t="str">
        <f>IFERROR(__xludf.DUMMYFUNCTION("""COMPUTED_VALUE"""),"TBS")</f>
        <v>TBS</v>
      </c>
      <c r="E5532" s="2" t="str">
        <f>IFERROR(__xludf.DUMMYFUNCTION("""COMPUTED_VALUE"""),"金22")</f>
        <v>金22</v>
      </c>
      <c r="F5532" s="2" t="s">
        <v>15205</v>
      </c>
      <c r="G5532" s="2" t="s">
        <v>15206</v>
      </c>
      <c r="H5532" s="1">
        <v>1.0</v>
      </c>
      <c r="J5532" s="1" t="s">
        <v>82</v>
      </c>
      <c r="K5532" s="2" t="s">
        <v>15207</v>
      </c>
      <c r="L5532" s="2"/>
      <c r="M5532" s="2" t="str">
        <f>IFERROR(__xludf.DUMMYFUNCTION("split(split(K5532,""【"",false),""公式LINE"",false)"),"坂の上にある「ひばりヶ丘」は、誰もが憧れる高級住宅街。そこへ、小さいながらも念願だった一軒家を建てた遠藤真弓（鈴木京香）は、高橋淳子（石田ゆり子）とも友達になり夢が叶ったはずだった。しかし数年後、中学受験に失敗した娘・彩花（杉咲花）は毎日のように家庭内暴力を繰り返し、夫の啓介（宮迫博之）は帰宅拒否症になっていた。そんなある日、向かいの高橋家で淳子の夫：弘幸（田中哲司）が殺される事件が起きる。そして事件当日、家にいたはずの高橋家の次男：慎司（中川大志）が失踪。担当刑事の結城（高橋克典）は、犯人は身近な人間だ"&amp;"と推測し、捜査を進めるが・・・。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脚本／奥寺佐渡子プロデュース／新井順子  演出／塚原あゆ子http://www"&amp;".tbs.co.jp/yakoukanransya/ドリマックス・テレビジョン■『夜行観覧車』第1話予告動画を公開中です！  http://youtu.be/rzSKx7QarAI  ■『夜行観覧車』番外編動画を公開中です！  http://youtu.be/XH1asb2aj5A番組の内容と放送時間は変更になる場合があります。")</f>
        <v>坂の上にある「ひばりヶ丘」は、誰もが憧れる高級住宅街。そこへ、小さいながらも念願だった一軒家を建てた遠藤真弓（鈴木京香）は、高橋淳子（石田ゆり子）とも友達になり夢が叶ったはずだった。しかし数年後、中学受験に失敗した娘・彩花（杉咲花）は毎日のように家庭内暴力を繰り返し、夫の啓介（宮迫博之）は帰宅拒否症になっていた。そんなある日、向かいの高橋家で淳子の夫：弘幸（田中哲司）が殺される事件が起きる。そして事件当日、家にいたはずの高橋家の次男：慎司（中川大志）が失踪。担当刑事の結城（高橋克典）は、犯人は身近な人間だと推測し、捜査を進めるが・・・。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脚本／奥寺佐渡子プロデュース／新井順子  演出／塚原あゆ子http://www.tbs.co.jp/yakoukanransya/ドリマックス・テレビジョン■『夜行観覧車』第1話予告動画を公開中です！  http://youtu.be/rzSKx7QarAI  ■『夜行観覧車』番外編動画を公開中です！  http://youtu.be/XH1asb2aj5A番組の内容と放送時間は変更になる場合があります。</v>
      </c>
      <c r="N5532" s="2"/>
      <c r="O5532" s="2"/>
      <c r="P5532" s="1"/>
      <c r="Q5532" s="1"/>
      <c r="R5532" s="1"/>
      <c r="S5532" s="1"/>
      <c r="T5532" s="1"/>
      <c r="U5532" s="1"/>
      <c r="V5532" s="1"/>
      <c r="W5532" s="1"/>
      <c r="X5532" s="1"/>
      <c r="Y5532" s="1"/>
      <c r="Z5532" s="1"/>
      <c r="AA5532" s="1"/>
      <c r="AB5532" s="1"/>
      <c r="AC5532" s="1"/>
      <c r="AD5532" s="1"/>
      <c r="AE5532" s="1"/>
      <c r="AF5532" s="1"/>
      <c r="AG5532" s="1"/>
      <c r="AH5532" s="1"/>
      <c r="AI5532" s="1"/>
      <c r="AJ5532" s="1"/>
      <c r="AK5532" s="1"/>
      <c r="AL5532" s="1"/>
      <c r="AM5532" s="1"/>
      <c r="AN5532" s="1"/>
      <c r="AO5532" s="1"/>
      <c r="AP5532" s="1"/>
      <c r="AQ5532" s="1"/>
      <c r="AR5532" s="1"/>
      <c r="AS5532" s="1"/>
      <c r="AT5532" s="1"/>
      <c r="AU5532" s="1"/>
      <c r="AV5532" s="1"/>
      <c r="AW5532" s="1"/>
      <c r="AX5532" s="1"/>
      <c r="AY5532" s="1"/>
      <c r="AZ5532" s="1"/>
      <c r="BA5532" s="1"/>
      <c r="BB5532" s="1"/>
    </row>
    <row r="5533" ht="204.75" customHeight="1">
      <c r="A5533" s="1">
        <v>3472.0</v>
      </c>
      <c r="B5533" s="2" t="s">
        <v>15204</v>
      </c>
      <c r="C5533" s="2">
        <f>IFERROR(__xludf.DUMMYFUNCTION("split(B5533,""_"")"),1301.0)</f>
        <v>1301</v>
      </c>
      <c r="D5533" s="2" t="str">
        <f>IFERROR(__xludf.DUMMYFUNCTION("""COMPUTED_VALUE"""),"TBS")</f>
        <v>TBS</v>
      </c>
      <c r="E5533" s="2" t="str">
        <f>IFERROR(__xludf.DUMMYFUNCTION("""COMPUTED_VALUE"""),"金22")</f>
        <v>金22</v>
      </c>
      <c r="F5533" s="2" t="s">
        <v>15205</v>
      </c>
      <c r="G5533" s="2" t="s">
        <v>15208</v>
      </c>
      <c r="H5533" s="1">
        <v>2.0</v>
      </c>
      <c r="J5533" s="1" t="s">
        <v>86</v>
      </c>
      <c r="K5533" s="2" t="s">
        <v>15209</v>
      </c>
      <c r="L5533" s="2"/>
      <c r="M5533" s="2" t="str">
        <f>IFERROR(__xludf.DUMMYFUNCTION("split(split(K5533,""【"",false),""公式LINE"",false)"),"坂の上にある高級住宅街「ひばりヶ丘」で、高橋弘幸（田中哲司）が殺害された。坂留署の刑事・結城哲也（高橋克典）は、身近な人間の犯行を疑うが、その矢先に弘幸の妻・淳子（石田ゆり子）が失踪する。高橋家の向かいに住む遠藤真弓（鈴木京香）は、淳子の身を案じる一方で、近隣の嫌がらせや家庭内暴力を誰にも打ち明けることが出来ずに苦しんでいた。そんな中、事件の捜査を続ける結城は、遠藤家に目をつけるが・・・。遠藤真弓…鈴木京香  高橋淳子…石田ゆり子  遠藤啓介…宮迫博之（雨上がり決死隊）  高橋良幸…安田章大（関ジャニ∞）"&amp;"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脚本／奥寺佐渡子☆番組HP  http://www.tbs.co.jp/yakoukanransya/  ☆1話ダイジェスト＆2話予告動画  http://youtu.be/RflNK2jLM0s☆「杉咲花のひばりが丘みどころ案"&amp;"内」2動画  http://youtu.be/1xJE6wurWFoプロデュース／新井順子  演出／山本剛義ドリマックス・テレビジョン番組の内容と放送時間は変更になる場合があります。")</f>
        <v>坂の上にある高級住宅街「ひばりヶ丘」で、高橋弘幸（田中哲司）が殺害された。坂留署の刑事・結城哲也（高橋克典）は、身近な人間の犯行を疑うが、その矢先に弘幸の妻・淳子（石田ゆり子）が失踪する。高橋家の向かいに住む遠藤真弓（鈴木京香）は、淳子の身を案じる一方で、近隣の嫌がらせや家庭内暴力を誰にも打ち明けることが出来ずに苦しんでいた。そんな中、事件の捜査を続ける結城は、遠藤家に目をつけるが・・・。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脚本／奥寺佐渡子☆番組HP  http://www.tbs.co.jp/yakoukanransya/  ☆1話ダイジェスト＆2話予告動画  http://youtu.be/RflNK2jLM0s☆「杉咲花のひばりが丘みどころ案内」2動画  http://youtu.be/1xJE6wurWFoプロデュース／新井順子  演出／山本剛義ドリマックス・テレビジョン番組の内容と放送時間は変更になる場合があります。</v>
      </c>
      <c r="N5533" s="2"/>
      <c r="O5533" s="2"/>
      <c r="P5533" s="1"/>
      <c r="Q5533" s="1"/>
      <c r="R5533" s="1"/>
      <c r="S5533" s="1"/>
      <c r="T5533" s="1"/>
      <c r="U5533" s="1"/>
      <c r="V5533" s="1"/>
      <c r="W5533" s="1"/>
      <c r="X5533" s="1"/>
      <c r="Y5533" s="1"/>
      <c r="Z5533" s="1"/>
      <c r="AA5533" s="1"/>
      <c r="AB5533" s="1"/>
      <c r="AC5533" s="1"/>
      <c r="AD5533" s="1"/>
      <c r="AE5533" s="1"/>
      <c r="AF5533" s="1"/>
      <c r="AG5533" s="1"/>
      <c r="AH5533" s="1"/>
      <c r="AI5533" s="1"/>
      <c r="AJ5533" s="1"/>
      <c r="AK5533" s="1"/>
      <c r="AL5533" s="1"/>
      <c r="AM5533" s="1"/>
      <c r="AN5533" s="1"/>
      <c r="AO5533" s="1"/>
      <c r="AP5533" s="1"/>
      <c r="AQ5533" s="1"/>
      <c r="AR5533" s="1"/>
      <c r="AS5533" s="1"/>
      <c r="AT5533" s="1"/>
      <c r="AU5533" s="1"/>
      <c r="AV5533" s="1"/>
      <c r="AW5533" s="1"/>
      <c r="AX5533" s="1"/>
      <c r="AY5533" s="1"/>
      <c r="AZ5533" s="1"/>
      <c r="BA5533" s="1"/>
      <c r="BB5533" s="1"/>
    </row>
    <row r="5534" ht="204.75" customHeight="1">
      <c r="A5534" s="1">
        <v>3473.0</v>
      </c>
      <c r="B5534" s="2" t="s">
        <v>15204</v>
      </c>
      <c r="C5534" s="2">
        <f>IFERROR(__xludf.DUMMYFUNCTION("split(B5534,""_"")"),1301.0)</f>
        <v>1301</v>
      </c>
      <c r="D5534" s="2" t="str">
        <f>IFERROR(__xludf.DUMMYFUNCTION("""COMPUTED_VALUE"""),"TBS")</f>
        <v>TBS</v>
      </c>
      <c r="E5534" s="2" t="str">
        <f>IFERROR(__xludf.DUMMYFUNCTION("""COMPUTED_VALUE"""),"金22")</f>
        <v>金22</v>
      </c>
      <c r="F5534" s="2" t="s">
        <v>15205</v>
      </c>
      <c r="G5534" s="2" t="s">
        <v>15210</v>
      </c>
      <c r="H5534" s="1">
        <v>3.0</v>
      </c>
      <c r="J5534" s="1" t="s">
        <v>86</v>
      </c>
      <c r="K5534" s="2" t="s">
        <v>15211</v>
      </c>
      <c r="L5534" s="2"/>
      <c r="M5534" s="2" t="str">
        <f>IFERROR(__xludf.DUMMYFUNCTION("split(split(K5534,""【"",false),""公式LINE"",false)"),"高級住宅街「ひばりヶ丘」に住む開業医・高橋弘幸（田中哲司）が殺害された事件で、高橋家の向かいに住む遠藤真弓（鈴木京香）は、坂留署の刑事・結城哲也（高橋克典）に尋問を受けていた。「犯人を見たかもしれない」という真弓は、事件当日のことを思い返す。この日も、娘・彩花（杉咲花）は些細なことで暴れ始める。その数時間後の深夜、真弓は淳子（石田ゆり子）の助けを求める叫び声を耳にする。遠藤真弓…鈴木京香  高橋淳子…石田ゆり子  遠藤啓介…宮迫博之（雨上がり決死隊）  高橋良幸…安田章大（関ジャニ∞）  ○  遠藤彩花…"&amp;"杉咲花  高橋比奈子…宮崎香蓮  高橋慎司…中川大志  ・  高橋弘幸…田中哲司  ○  小島さと子…夏木マリ  結城哲也…高橋克典音楽／横山克  主題歌／「VOICE」 AI　(EMIミュージック・ジャパン）原作／湊かなえ  「夜行観覧車」（双葉社刊）    脚本／奥寺佐渡子http://www.tbs.co.jp/yakoukanransya/  ☆2話ダイジェスト＆3話予告  http://youtu.be/cAxF_qH-T9I  ☆番外編3「杉咲花のひばりが丘みどころ案内」  http://yo"&amp;"utu.be/Kiua5mJWZT4  プロデュース／新井順子  演出／塚原あゆ子ドリマックス・テレビジョン番組の内容と放送時間は変更になる場合があります。")</f>
        <v>高級住宅街「ひばりヶ丘」に住む開業医・高橋弘幸（田中哲司）が殺害された事件で、高橋家の向かいに住む遠藤真弓（鈴木京香）は、坂留署の刑事・結城哲也（高橋克典）に尋問を受けていた。「犯人を見たかもしれない」という真弓は、事件当日のことを思い返す。この日も、娘・彩花（杉咲花）は些細なことで暴れ始める。その数時間後の深夜、真弓は淳子（石田ゆり子）の助けを求める叫び声を耳にする。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脚本／奥寺佐渡子http://www.tbs.co.jp/yakoukanransya/  ☆2話ダイジェスト＆3話予告  http://youtu.be/cAxF_qH-T9I  ☆番外編3「杉咲花のひばりが丘みどころ案内」  http://youtu.be/Kiua5mJWZT4  プロデュース／新井順子  演出／塚原あゆ子ドリマックス・テレビジョン番組の内容と放送時間は変更になる場合があります。</v>
      </c>
      <c r="N5534" s="2"/>
      <c r="O5534" s="2"/>
      <c r="P5534" s="1"/>
      <c r="Q5534" s="1"/>
      <c r="R5534" s="1"/>
      <c r="S5534" s="1"/>
      <c r="T5534" s="1"/>
      <c r="U5534" s="1"/>
      <c r="V5534" s="1"/>
      <c r="W5534" s="1"/>
      <c r="X5534" s="1"/>
      <c r="Y5534" s="1"/>
      <c r="Z5534" s="1"/>
      <c r="AA5534" s="1"/>
      <c r="AB5534" s="1"/>
      <c r="AC5534" s="1"/>
      <c r="AD5534" s="1"/>
      <c r="AE5534" s="1"/>
      <c r="AF5534" s="1"/>
      <c r="AG5534" s="1"/>
      <c r="AH5534" s="1"/>
      <c r="AI5534" s="1"/>
      <c r="AJ5534" s="1"/>
      <c r="AK5534" s="1"/>
      <c r="AL5534" s="1"/>
      <c r="AM5534" s="1"/>
      <c r="AN5534" s="1"/>
      <c r="AO5534" s="1"/>
      <c r="AP5534" s="1"/>
      <c r="AQ5534" s="1"/>
      <c r="AR5534" s="1"/>
      <c r="AS5534" s="1"/>
      <c r="AT5534" s="1"/>
      <c r="AU5534" s="1"/>
      <c r="AV5534" s="1"/>
      <c r="AW5534" s="1"/>
      <c r="AX5534" s="1"/>
      <c r="AY5534" s="1"/>
      <c r="AZ5534" s="1"/>
      <c r="BA5534" s="1"/>
      <c r="BB5534" s="1"/>
    </row>
    <row r="5535" ht="204.75" customHeight="1">
      <c r="A5535" s="1">
        <v>3474.0</v>
      </c>
      <c r="B5535" s="2" t="s">
        <v>15204</v>
      </c>
      <c r="C5535" s="2">
        <f>IFERROR(__xludf.DUMMYFUNCTION("split(B5535,""_"")"),1301.0)</f>
        <v>1301</v>
      </c>
      <c r="D5535" s="2" t="str">
        <f>IFERROR(__xludf.DUMMYFUNCTION("""COMPUTED_VALUE"""),"TBS")</f>
        <v>TBS</v>
      </c>
      <c r="E5535" s="2" t="str">
        <f>IFERROR(__xludf.DUMMYFUNCTION("""COMPUTED_VALUE"""),"金22")</f>
        <v>金22</v>
      </c>
      <c r="F5535" s="2" t="s">
        <v>15205</v>
      </c>
      <c r="G5535" s="2" t="s">
        <v>15212</v>
      </c>
      <c r="H5535" s="1">
        <v>4.0</v>
      </c>
      <c r="J5535" s="1" t="s">
        <v>86</v>
      </c>
      <c r="K5535" s="2" t="s">
        <v>15213</v>
      </c>
      <c r="L5535" s="2"/>
      <c r="M5535" s="2" t="str">
        <f>IFERROR(__xludf.DUMMYFUNCTION("split(split(K5535,""【"",false),""公式LINE"",false)"),"高級住宅街で起きた医師殺害事件。事件現場である高橋家の向かいに住む遠藤真弓（鈴木京香）は、事件の夜に夫・啓介（宮迫博之）が高橋家から出てきたことを小島さと子（夏木マリ）から教えられ、不安を抱く。一方、啓介のもとには、坂留署の刑事・結城哲也（高橋克典）が事情聴取に訪れていた。結城からの尋問に、ある事情から素直に答えることができない啓介。実は、啓介は事件の夜から、誰にも言えない秘密を抱えており…。結城やさと子に聞かされた話から、夫への疑惑を抱き始めた真弓は、パートの合間に啓介の会社へ向かうが、そこで真弓が見た"&amp;"のは、思わぬ人物だった。ショックを受けた真弓は…。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脚本／奥寺佐渡子▽番組HP  http://www.tbs."&amp;"co.jp/yakoukanransya/  ▽3話ダイジェスト＆4話予告動画公開中！  http://youtu.be/pLJz3fF-sFw  ☆番外編4「杉咲花のひばりが丘みどころ案内」動画公開中！  http://youtu.be/hZicx3kAkuk  プロデュース／新井順子  演出／塚原あゆ子ドリマックス・テレビジョン番組の内容と放送時間は変更になる場合があります。")</f>
        <v>高級住宅街で起きた医師殺害事件。事件現場である高橋家の向かいに住む遠藤真弓（鈴木京香）は、事件の夜に夫・啓介（宮迫博之）が高橋家から出てきたことを小島さと子（夏木マリ）から教えられ、不安を抱く。一方、啓介のもとには、坂留署の刑事・結城哲也（高橋克典）が事情聴取に訪れていた。結城からの尋問に、ある事情から素直に答えることができない啓介。実は、啓介は事件の夜から、誰にも言えない秘密を抱えており…。結城やさと子に聞かされた話から、夫への疑惑を抱き始めた真弓は、パートの合間に啓介の会社へ向かうが、そこで真弓が見たのは、思わぬ人物だった。ショックを受けた真弓は…。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脚本／奥寺佐渡子▽番組HP  http://www.tbs.co.jp/yakoukanransya/  ▽3話ダイジェスト＆4話予告動画公開中！  http://youtu.be/pLJz3fF-sFw  ☆番外編4「杉咲花のひばりが丘みどころ案内」動画公開中！  http://youtu.be/hZicx3kAkuk  プロデュース／新井順子  演出／塚原あゆ子ドリマックス・テレビジョン番組の内容と放送時間は変更になる場合があります。</v>
      </c>
      <c r="N5535" s="2"/>
      <c r="O5535" s="2"/>
      <c r="P5535" s="1"/>
      <c r="Q5535" s="1"/>
      <c r="R5535" s="1"/>
      <c r="S5535" s="1"/>
      <c r="T5535" s="1"/>
      <c r="U5535" s="1"/>
      <c r="V5535" s="1"/>
      <c r="W5535" s="1"/>
      <c r="X5535" s="1"/>
      <c r="Y5535" s="1"/>
      <c r="Z5535" s="1"/>
      <c r="AA5535" s="1"/>
      <c r="AB5535" s="1"/>
      <c r="AC5535" s="1"/>
      <c r="AD5535" s="1"/>
      <c r="AE5535" s="1"/>
      <c r="AF5535" s="1"/>
      <c r="AG5535" s="1"/>
      <c r="AH5535" s="1"/>
      <c r="AI5535" s="1"/>
      <c r="AJ5535" s="1"/>
      <c r="AK5535" s="1"/>
      <c r="AL5535" s="1"/>
      <c r="AM5535" s="1"/>
      <c r="AN5535" s="1"/>
      <c r="AO5535" s="1"/>
      <c r="AP5535" s="1"/>
      <c r="AQ5535" s="1"/>
      <c r="AR5535" s="1"/>
      <c r="AS5535" s="1"/>
      <c r="AT5535" s="1"/>
      <c r="AU5535" s="1"/>
      <c r="AV5535" s="1"/>
      <c r="AW5535" s="1"/>
      <c r="AX5535" s="1"/>
      <c r="AY5535" s="1"/>
      <c r="AZ5535" s="1"/>
      <c r="BA5535" s="1"/>
      <c r="BB5535" s="1"/>
    </row>
    <row r="5536" ht="204.75" customHeight="1">
      <c r="A5536" s="1">
        <v>3475.0</v>
      </c>
      <c r="B5536" s="2" t="s">
        <v>15204</v>
      </c>
      <c r="C5536" s="2">
        <f>IFERROR(__xludf.DUMMYFUNCTION("split(B5536,""_"")"),1301.0)</f>
        <v>1301</v>
      </c>
      <c r="D5536" s="2" t="str">
        <f>IFERROR(__xludf.DUMMYFUNCTION("""COMPUTED_VALUE"""),"TBS")</f>
        <v>TBS</v>
      </c>
      <c r="E5536" s="2" t="str">
        <f>IFERROR(__xludf.DUMMYFUNCTION("""COMPUTED_VALUE"""),"金22")</f>
        <v>金22</v>
      </c>
      <c r="F5536" s="2" t="s">
        <v>15205</v>
      </c>
      <c r="G5536" s="2" t="s">
        <v>15214</v>
      </c>
      <c r="H5536" s="1">
        <v>5.0</v>
      </c>
      <c r="J5536" s="1" t="s">
        <v>86</v>
      </c>
      <c r="K5536" s="2" t="s">
        <v>15215</v>
      </c>
      <c r="L5536" s="2"/>
      <c r="M5536" s="2" t="str">
        <f>IFERROR(__xludf.DUMMYFUNCTION("split(split(K5536,""【"",false),""公式LINE"",false)"),"高級住宅街で起きた医師殺害事件。遠藤真弓（鈴木京香）は、被害者の妻・高橋淳子（石田ゆり子）と隠れて会っている夫・啓介（宮迫博之）への不信感と、事件当日の現場にいたという小島さと子（夏木マリ）への疑惑から、事件の真相を計りかねていた。同じ頃、坂留署の刑事・結城哲也（高橋克典）は、さと子の供述から、啓介と淳子の繋がりと事件への関与を確信する。そんな中、真弓の娘・彩花（杉咲花）がある事件を起こし・・・。 遠藤真弓…鈴木京香高橋淳子…石田ゆり子遠藤啓介…宮迫博之（雨上がり決死隊）高橋良幸…安田章大（関ジャニ∞）○"&amp;"遠藤彩花…杉咲花高橋比奈子…宮崎香蓮高橋慎司…中川大志・高橋弘幸…田中哲司○小島さと子…夏木マリ結城哲也…高橋克典 音楽／横山克主題歌／「VOICE」 AI　(EMIミュージック・ジャパン） 原作／湊かなえ「夜行観覧車」（双葉社刊）脚本／奥寺佐渡子 プロデュース／新井順子演出／塚原あゆ子 http://www.tbs.co.jp/yakoukanransya/▽「杉咲花のひばりが丘みどころ案内」http://youtu.be/kC-uJ0EJ214▽4話ダイジェスト5話予告http://youtu.be/"&amp;"gopuZ8cN1W4▽スペシャルオフショット『夜行観覧車』3女優“女子トーク”http://youtu.be/tQkr9dMVwi0ドリマックス・テレビジョン 番組の内容と放送時間は変更になる場合があります。")</f>
        <v>高級住宅街で起きた医師殺害事件。遠藤真弓（鈴木京香）は、被害者の妻・高橋淳子（石田ゆり子）と隠れて会っている夫・啓介（宮迫博之）への不信感と、事件当日の現場にいたという小島さと子（夏木マリ）への疑惑から、事件の真相を計りかねていた。同じ頃、坂留署の刑事・結城哲也（高橋克典）は、さと子の供述から、啓介と淳子の繋がりと事件への関与を確信する。そんな中、真弓の娘・彩花（杉咲花）がある事件を起こし・・・。 遠藤真弓…鈴木京香高橋淳子…石田ゆり子遠藤啓介…宮迫博之（雨上がり決死隊）高橋良幸…安田章大（関ジャニ∞）○遠藤彩花…杉咲花高橋比奈子…宮崎香蓮高橋慎司…中川大志・高橋弘幸…田中哲司○小島さと子…夏木マリ結城哲也…高橋克典 音楽／横山克主題歌／「VOICE」 AI　(EMIミュージック・ジャパン） 原作／湊かなえ「夜行観覧車」（双葉社刊）脚本／奥寺佐渡子 プロデュース／新井順子演出／塚原あゆ子 http://www.tbs.co.jp/yakoukanransya/▽「杉咲花のひばりが丘みどころ案内」http://youtu.be/kC-uJ0EJ214▽4話ダイジェスト5話予告http://youtu.be/gopuZ8cN1W4▽スペシャルオフショット『夜行観覧車』3女優“女子トーク”http://youtu.be/tQkr9dMVwi0ドリマックス・テレビジョン 番組の内容と放送時間は変更になる場合があります。</v>
      </c>
      <c r="N5536" s="2"/>
      <c r="O5536" s="2"/>
      <c r="P5536" s="1"/>
      <c r="Q5536" s="1"/>
      <c r="R5536" s="1"/>
      <c r="S5536" s="1"/>
      <c r="T5536" s="1"/>
      <c r="U5536" s="1"/>
      <c r="V5536" s="1"/>
      <c r="W5536" s="1"/>
      <c r="X5536" s="1"/>
      <c r="Y5536" s="1"/>
      <c r="Z5536" s="1"/>
      <c r="AA5536" s="1"/>
      <c r="AB5536" s="1"/>
      <c r="AC5536" s="1"/>
      <c r="AD5536" s="1"/>
      <c r="AE5536" s="1"/>
      <c r="AF5536" s="1"/>
      <c r="AG5536" s="1"/>
      <c r="AH5536" s="1"/>
      <c r="AI5536" s="1"/>
      <c r="AJ5536" s="1"/>
      <c r="AK5536" s="1"/>
      <c r="AL5536" s="1"/>
      <c r="AM5536" s="1"/>
      <c r="AN5536" s="1"/>
      <c r="AO5536" s="1"/>
      <c r="AP5536" s="1"/>
      <c r="AQ5536" s="1"/>
      <c r="AR5536" s="1"/>
      <c r="AS5536" s="1"/>
      <c r="AT5536" s="1"/>
      <c r="AU5536" s="1"/>
      <c r="AV5536" s="1"/>
      <c r="AW5536" s="1"/>
      <c r="AX5536" s="1"/>
      <c r="AY5536" s="1"/>
      <c r="AZ5536" s="1"/>
      <c r="BA5536" s="1"/>
      <c r="BB5536" s="1"/>
    </row>
    <row r="5537" ht="204.75" customHeight="1">
      <c r="A5537" s="1">
        <v>3476.0</v>
      </c>
      <c r="B5537" s="2" t="s">
        <v>15204</v>
      </c>
      <c r="C5537" s="2">
        <f>IFERROR(__xludf.DUMMYFUNCTION("split(B5537,""_"")"),1301.0)</f>
        <v>1301</v>
      </c>
      <c r="D5537" s="2" t="str">
        <f>IFERROR(__xludf.DUMMYFUNCTION("""COMPUTED_VALUE"""),"TBS")</f>
        <v>TBS</v>
      </c>
      <c r="E5537" s="2" t="str">
        <f>IFERROR(__xludf.DUMMYFUNCTION("""COMPUTED_VALUE"""),"金22")</f>
        <v>金22</v>
      </c>
      <c r="F5537" s="2" t="s">
        <v>15205</v>
      </c>
      <c r="G5537" s="2" t="s">
        <v>15216</v>
      </c>
      <c r="H5537" s="1">
        <v>6.0</v>
      </c>
      <c r="J5537" s="1" t="s">
        <v>86</v>
      </c>
      <c r="K5537" s="2" t="s">
        <v>15217</v>
      </c>
      <c r="L5537" s="2"/>
      <c r="M5537" s="2" t="str">
        <f>IFERROR(__xludf.DUMMYFUNCTION("split(split(K5537,""【"",false),""公式LINE"",false)"),"殺害事件の現場となった高橋家に、悪意に満ちた膨大な誹謗中傷の貼り紙が貼られる。遠藤真弓（鈴木京香）はショックを受けるが、何者の仕業なのかはわからない。そんな中、真弓は、行方不明中の被害者の妻・高橋淳子（石田ゆり子）と再会。事件について聞こうとするが、警察の姿を見て、淳子は再び行方をくらませる。一方、淳子の息子・慎司（中川大志）も行方がわからないままだった。しかし、ついに犯人逮捕の瞬間がきて…。 遠藤真弓…鈴木京香高橋淳子…石田ゆり子遠藤啓介…宮迫博之（雨上がり決死隊）高橋良幸…安田章大（関ジャニ∞）○遠藤"&amp;"彩花…杉咲花高橋比奈子…宮崎香蓮高橋慎司…中川大志・高橋弘幸…田中哲司○小島さと子…夏木マリ結城哲也…高橋克典 音楽／横山克主題歌／「VOICE」 AI　(EMIミュージック・ジャパン） 原作／湊かなえ「夜行観覧車」（双葉文庫）脚本／清水友佳子 ▽番組HPhttp://www.tbs.co.jp/yakoukanransya/■5話ダイジェスト&amp;6話予告動画公開中！http://youtu.be/bfftdZDQgcs■番外編6http://youtu.be/ptEAxz07nK8プロデュース／新井順子演"&amp;"出／山本剛義 ドリマックス・テレビジョン 番組の内容と放送時間は変更になる場合があります。")</f>
        <v>殺害事件の現場となった高橋家に、悪意に満ちた膨大な誹謗中傷の貼り紙が貼られる。遠藤真弓（鈴木京香）はショックを受けるが、何者の仕業なのかはわからない。そんな中、真弓は、行方不明中の被害者の妻・高橋淳子（石田ゆり子）と再会。事件について聞こうとするが、警察の姿を見て、淳子は再び行方をくらませる。一方、淳子の息子・慎司（中川大志）も行方がわからないままだった。しかし、ついに犯人逮捕の瞬間がきて…。 遠藤真弓…鈴木京香高橋淳子…石田ゆり子遠藤啓介…宮迫博之（雨上がり決死隊）高橋良幸…安田章大（関ジャニ∞）○遠藤彩花…杉咲花高橋比奈子…宮崎香蓮高橋慎司…中川大志・高橋弘幸…田中哲司○小島さと子…夏木マリ結城哲也…高橋克典 音楽／横山克主題歌／「VOICE」 AI　(EMIミュージック・ジャパン） 原作／湊かなえ「夜行観覧車」（双葉文庫）脚本／清水友佳子 ▽番組HPhttp://www.tbs.co.jp/yakoukanransya/■5話ダイジェスト&amp;6話予告動画公開中！http://youtu.be/bfftdZDQgcs■番外編6http://youtu.be/ptEAxz07nK8プロデュース／新井順子演出／山本剛義 ドリマックス・テレビジョン 番組の内容と放送時間は変更になる場合があります。</v>
      </c>
      <c r="N5537" s="2"/>
      <c r="O5537" s="2"/>
      <c r="P5537" s="1"/>
      <c r="Q5537" s="1"/>
      <c r="R5537" s="1"/>
      <c r="S5537" s="1"/>
      <c r="T5537" s="1"/>
      <c r="U5537" s="1"/>
      <c r="V5537" s="1"/>
      <c r="W5537" s="1"/>
      <c r="X5537" s="1"/>
      <c r="Y5537" s="1"/>
      <c r="Z5537" s="1"/>
      <c r="AA5537" s="1"/>
      <c r="AB5537" s="1"/>
      <c r="AC5537" s="1"/>
      <c r="AD5537" s="1"/>
      <c r="AE5537" s="1"/>
      <c r="AF5537" s="1"/>
      <c r="AG5537" s="1"/>
      <c r="AH5537" s="1"/>
      <c r="AI5537" s="1"/>
      <c r="AJ5537" s="1"/>
      <c r="AK5537" s="1"/>
      <c r="AL5537" s="1"/>
      <c r="AM5537" s="1"/>
      <c r="AN5537" s="1"/>
      <c r="AO5537" s="1"/>
      <c r="AP5537" s="1"/>
      <c r="AQ5537" s="1"/>
      <c r="AR5537" s="1"/>
      <c r="AS5537" s="1"/>
      <c r="AT5537" s="1"/>
      <c r="AU5537" s="1"/>
      <c r="AV5537" s="1"/>
      <c r="AW5537" s="1"/>
      <c r="AX5537" s="1"/>
      <c r="AY5537" s="1"/>
      <c r="AZ5537" s="1"/>
      <c r="BA5537" s="1"/>
      <c r="BB5537" s="1"/>
    </row>
    <row r="5538" ht="204.75" customHeight="1">
      <c r="A5538" s="1">
        <v>3477.0</v>
      </c>
      <c r="B5538" s="2" t="s">
        <v>15204</v>
      </c>
      <c r="C5538" s="2">
        <f>IFERROR(__xludf.DUMMYFUNCTION("split(B5538,""_"")"),1301.0)</f>
        <v>1301</v>
      </c>
      <c r="D5538" s="2" t="str">
        <f>IFERROR(__xludf.DUMMYFUNCTION("""COMPUTED_VALUE"""),"TBS")</f>
        <v>TBS</v>
      </c>
      <c r="E5538" s="2" t="str">
        <f>IFERROR(__xludf.DUMMYFUNCTION("""COMPUTED_VALUE"""),"金22")</f>
        <v>金22</v>
      </c>
      <c r="F5538" s="2" t="s">
        <v>15205</v>
      </c>
      <c r="G5538" s="2" t="s">
        <v>15218</v>
      </c>
      <c r="H5538" s="1">
        <v>7.0</v>
      </c>
      <c r="J5538" s="1" t="s">
        <v>86</v>
      </c>
      <c r="K5538" s="2" t="s">
        <v>15219</v>
      </c>
      <c r="L5538" s="2"/>
      <c r="M5538" s="2" t="str">
        <f>IFERROR(__xludf.DUMMYFUNCTION("split(split(K5538,""【"",false),""公式LINE"",false)"),"高級住宅地で起きた医師殺人事件で、妻の高橋淳子（石田ゆり子）が逮捕され取調べが始まるが、淳子は「自分がやった」と言い張るばかりで、何も語ろうとしない。一方、逮捕のニュースを聞いた遠藤啓介（宮迫博之）は、事件当夜に遭遇した出来事を思い出しながら、ある秘密を隠そうと山奥で穴を掘り続ける。そんな夫の様子を知る由もない真弓（鈴木京香）は、娘・彩花の度重なる家庭内暴力に次第に追い詰められ、ついに・・・。 遠藤真弓…鈴木京香高橋淳子…石田ゆり子遠藤啓介…宮迫博之（雨上がり決死隊）高橋良幸…安田章大（関ジャニ∞）○遠藤"&amp;"彩花…杉咲花高橋比奈子…宮崎香蓮高橋慎司…中川大志・高橋弘幸…田中哲司○小島さと子…夏木マリ結城哲也…高橋克典 音楽／横山克主題歌／「VOICE」 AI　(EMIミュージック・ジャパン） 原作／湊かなえ「夜行観覧車」（双葉社刊）脚本／奥寺佐渡子 ▽番組HPhttp://www.tbs.co.jp/yakoukanransya/▽「杉咲花のひばりが丘みどころ案内」動画公開中！http://youtu.be/pej9eRZ2VBMプロデュース／新井順子演出／棚澤孝義 ドリマックス・テレビジョン 番組の内容と放"&amp;"送時間は変更になる場合があります。")</f>
        <v>高級住宅地で起きた医師殺人事件で、妻の高橋淳子（石田ゆり子）が逮捕され取調べが始まるが、淳子は「自分がやった」と言い張るばかりで、何も語ろうとしない。一方、逮捕のニュースを聞いた遠藤啓介（宮迫博之）は、事件当夜に遭遇した出来事を思い出しながら、ある秘密を隠そうと山奥で穴を掘り続ける。そんな夫の様子を知る由もない真弓（鈴木京香）は、娘・彩花の度重なる家庭内暴力に次第に追い詰められ、ついに・・・。 遠藤真弓…鈴木京香高橋淳子…石田ゆり子遠藤啓介…宮迫博之（雨上がり決死隊）高橋良幸…安田章大（関ジャニ∞）○遠藤彩花…杉咲花高橋比奈子…宮崎香蓮高橋慎司…中川大志・高橋弘幸…田中哲司○小島さと子…夏木マリ結城哲也…高橋克典 音楽／横山克主題歌／「VOICE」 AI　(EMIミュージック・ジャパン） 原作／湊かなえ「夜行観覧車」（双葉社刊）脚本／奥寺佐渡子 ▽番組HPhttp://www.tbs.co.jp/yakoukanransya/▽「杉咲花のひばりが丘みどころ案内」動画公開中！http://youtu.be/pej9eRZ2VBMプロデュース／新井順子演出／棚澤孝義 ドリマックス・テレビジョン 番組の内容と放送時間は変更になる場合があります。</v>
      </c>
      <c r="N5538" s="2"/>
      <c r="O5538" s="2"/>
      <c r="P5538" s="1"/>
      <c r="Q5538" s="1"/>
      <c r="R5538" s="1"/>
      <c r="S5538" s="1"/>
      <c r="T5538" s="1"/>
      <c r="U5538" s="1"/>
      <c r="V5538" s="1"/>
      <c r="W5538" s="1"/>
      <c r="X5538" s="1"/>
      <c r="Y5538" s="1"/>
      <c r="Z5538" s="1"/>
      <c r="AA5538" s="1"/>
      <c r="AB5538" s="1"/>
      <c r="AC5538" s="1"/>
      <c r="AD5538" s="1"/>
      <c r="AE5538" s="1"/>
      <c r="AF5538" s="1"/>
      <c r="AG5538" s="1"/>
      <c r="AH5538" s="1"/>
      <c r="AI5538" s="1"/>
      <c r="AJ5538" s="1"/>
      <c r="AK5538" s="1"/>
      <c r="AL5538" s="1"/>
      <c r="AM5538" s="1"/>
      <c r="AN5538" s="1"/>
      <c r="AO5538" s="1"/>
      <c r="AP5538" s="1"/>
      <c r="AQ5538" s="1"/>
      <c r="AR5538" s="1"/>
      <c r="AS5538" s="1"/>
      <c r="AT5538" s="1"/>
      <c r="AU5538" s="1"/>
      <c r="AV5538" s="1"/>
      <c r="AW5538" s="1"/>
      <c r="AX5538" s="1"/>
      <c r="AY5538" s="1"/>
      <c r="AZ5538" s="1"/>
      <c r="BA5538" s="1"/>
      <c r="BB5538" s="1"/>
    </row>
    <row r="5539" ht="204.75" customHeight="1">
      <c r="A5539" s="1">
        <v>3478.0</v>
      </c>
      <c r="B5539" s="2" t="s">
        <v>15204</v>
      </c>
      <c r="C5539" s="2">
        <f>IFERROR(__xludf.DUMMYFUNCTION("split(B5539,""_"")"),1301.0)</f>
        <v>1301</v>
      </c>
      <c r="D5539" s="2" t="str">
        <f>IFERROR(__xludf.DUMMYFUNCTION("""COMPUTED_VALUE"""),"TBS")</f>
        <v>TBS</v>
      </c>
      <c r="E5539" s="2" t="str">
        <f>IFERROR(__xludf.DUMMYFUNCTION("""COMPUTED_VALUE"""),"金22")</f>
        <v>金22</v>
      </c>
      <c r="F5539" s="2" t="s">
        <v>15205</v>
      </c>
      <c r="G5539" s="2" t="s">
        <v>15220</v>
      </c>
      <c r="H5539" s="1">
        <v>8.0</v>
      </c>
      <c r="J5539" s="1" t="s">
        <v>86</v>
      </c>
      <c r="K5539" s="2" t="s">
        <v>15221</v>
      </c>
      <c r="L5539" s="2"/>
      <c r="M5539" s="2" t="str">
        <f>IFERROR(__xludf.DUMMYFUNCTION("split(split(K5539,""【"",false),""公式LINE"",false)"),"娘の家庭内暴力、近所からの嫌がらせ、そして、友人・高橋淳子（石田ゆり子）の逮捕。精神的に追い詰められた遠藤真弓（鈴木京香）は、暴れる娘を押えようと、殺意を抱く。その事態に気付いた小島さと子（夏木マリ）は、止めようと声をかけるが、真弓には届かない。一方、殺人事件以降逃亡を続けていた被害者の息子・高橋慎司（中川大志）が見つかる。慎司が語りだす事件の真相に、兄たちは衝撃を受け・・・遠藤真弓…鈴木京香  高橋淳子…石田ゆり子  遠藤啓介…宮迫博之（雨上がり決死隊）  高橋良幸…安田章大（関ジャニ∞）  ○  遠藤"&amp;"彩花…杉咲花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脚本／奥寺佐渡子http://www.tbs.co.jp/yakoukanransya/番外編8「杉咲花のひばりが丘みどころ案内」動画を公開しました！こちらからどうぞ！  http://youtu.be/zvOFlHsGjgwプロデュース／新"&amp;"井順子  演出／塚原あゆ子ドリマックス・テレビジョン番組の内容と放送時間は変更になる場合があります。")</f>
        <v>娘の家庭内暴力、近所からの嫌がらせ、そして、友人・高橋淳子（石田ゆり子）の逮捕。精神的に追い詰められた遠藤真弓（鈴木京香）は、暴れる娘を押えようと、殺意を抱く。その事態に気付いた小島さと子（夏木マリ）は、止めようと声をかけるが、真弓には届かない。一方、殺人事件以降逃亡を続けていた被害者の息子・高橋慎司（中川大志）が見つかる。慎司が語りだす事件の真相に、兄たちは衝撃を受け・・・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脚本／奥寺佐渡子http://www.tbs.co.jp/yakoukanransya/番外編8「杉咲花のひばりが丘みどころ案内」動画を公開しました！こちらからどうぞ！  http://youtu.be/zvOFlHsGjgwプロデュース／新井順子  演出／塚原あゆ子ドリマックス・テレビジョン番組の内容と放送時間は変更になる場合があります。</v>
      </c>
      <c r="N5539" s="2"/>
      <c r="O5539" s="2"/>
      <c r="P5539" s="1"/>
      <c r="Q5539" s="1"/>
      <c r="R5539" s="1"/>
      <c r="S5539" s="1"/>
      <c r="T5539" s="1"/>
      <c r="U5539" s="1"/>
      <c r="V5539" s="1"/>
      <c r="W5539" s="1"/>
      <c r="X5539" s="1"/>
      <c r="Y5539" s="1"/>
      <c r="Z5539" s="1"/>
      <c r="AA5539" s="1"/>
      <c r="AB5539" s="1"/>
      <c r="AC5539" s="1"/>
      <c r="AD5539" s="1"/>
      <c r="AE5539" s="1"/>
      <c r="AF5539" s="1"/>
      <c r="AG5539" s="1"/>
      <c r="AH5539" s="1"/>
      <c r="AI5539" s="1"/>
      <c r="AJ5539" s="1"/>
      <c r="AK5539" s="1"/>
      <c r="AL5539" s="1"/>
      <c r="AM5539" s="1"/>
      <c r="AN5539" s="1"/>
      <c r="AO5539" s="1"/>
      <c r="AP5539" s="1"/>
      <c r="AQ5539" s="1"/>
      <c r="AR5539" s="1"/>
      <c r="AS5539" s="1"/>
      <c r="AT5539" s="1"/>
      <c r="AU5539" s="1"/>
      <c r="AV5539" s="1"/>
      <c r="AW5539" s="1"/>
      <c r="AX5539" s="1"/>
      <c r="AY5539" s="1"/>
      <c r="AZ5539" s="1"/>
      <c r="BA5539" s="1"/>
      <c r="BB5539" s="1"/>
    </row>
    <row r="5540" ht="204.75" customHeight="1">
      <c r="A5540" s="1">
        <v>3479.0</v>
      </c>
      <c r="B5540" s="2" t="s">
        <v>15204</v>
      </c>
      <c r="C5540" s="2">
        <f>IFERROR(__xludf.DUMMYFUNCTION("split(B5540,""_"")"),1301.0)</f>
        <v>1301</v>
      </c>
      <c r="D5540" s="2" t="str">
        <f>IFERROR(__xludf.DUMMYFUNCTION("""COMPUTED_VALUE"""),"TBS")</f>
        <v>TBS</v>
      </c>
      <c r="E5540" s="2" t="str">
        <f>IFERROR(__xludf.DUMMYFUNCTION("""COMPUTED_VALUE"""),"金22")</f>
        <v>金22</v>
      </c>
      <c r="F5540" s="2" t="s">
        <v>15205</v>
      </c>
      <c r="G5540" s="2" t="s">
        <v>15222</v>
      </c>
      <c r="H5540" s="1">
        <v>9.0</v>
      </c>
      <c r="J5540" s="1" t="s">
        <v>86</v>
      </c>
      <c r="K5540" s="2" t="s">
        <v>15223</v>
      </c>
      <c r="L5540" s="2"/>
      <c r="M5540" s="2" t="str">
        <f>IFERROR(__xludf.DUMMYFUNCTION("split(split(K5540,""【"",false),""公式LINE"",false)"),"弟・慎司（中川大志）の殺人自供を目の当たりにし、良幸（安田章大）はショックが隠せない。なんとか真実を聞き出そうとするが、口を閉ざし、一人児童養護施設に引き取られていく。そんな高橋家の兄弟を見て、胸を痛める遠藤真弓（鈴木京香）。一方、執拗なイジメに苦しむ真弓の娘・彩花（杉咲花）は、川に落ちた鞄を取ってくるよう命じられ、冷たい水の中に入っていく。それを目撃した真弓は、自らも川へ飛び込み・・・。遠藤真弓…鈴木京香  高橋淳子…石田ゆり子  遠藤啓介…宮迫博之（雨上がり決死隊）  高橋良幸…安田章大（関ジャニ∞）"&amp;"  ○  遠藤彩花…杉咲花  高橋比奈子…宮崎香蓮  高橋慎司…中川大志  ・  高橋弘幸…田中哲司  ○  小島さと子…夏木マリ  結城哲也…高橋克典音楽／横山克  主題歌／「VOICE」 AI　(EMIミュージック・ジャパン）『夜行観覧車』番外編9　動画を公開しました！「杉咲花のひばりが丘みどころ案内」こちらからどうぞ！  http://youtu.be/PSiVizuhGko  原作／湊かなえ  「夜行観覧車」（双葉社刊）    脚本／奥寺佐渡子http://www.tbs.co.jp/yakouk"&amp;"anransya/プロデュース／新井順子  演出／塚原あゆ子ドリマックス・テレビジョン番組の内容と放送時間は変更になる場合があります。")</f>
        <v>弟・慎司（中川大志）の殺人自供を目の当たりにし、良幸（安田章大）はショックが隠せない。なんとか真実を聞き出そうとするが、口を閉ざし、一人児童養護施設に引き取られていく。そんな高橋家の兄弟を見て、胸を痛める遠藤真弓（鈴木京香）。一方、執拗なイジメに苦しむ真弓の娘・彩花（杉咲花）は、川に落ちた鞄を取ってくるよう命じられ、冷たい水の中に入っていく。それを目撃した真弓は、自らも川へ飛び込み・・・。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(EMIミュージック・ジャパン）『夜行観覧車』番外編9　動画を公開しました！「杉咲花のひばりが丘みどころ案内」こちらからどうぞ！  http://youtu.be/PSiVizuhGko  原作／湊かなえ  「夜行観覧車」（双葉社刊）    脚本／奥寺佐渡子http://www.tbs.co.jp/yakoukanransya/プロデュース／新井順子  演出／塚原あゆ子ドリマックス・テレビジョン番組の内容と放送時間は変更になる場合があります。</v>
      </c>
      <c r="N5540" s="2"/>
      <c r="O5540" s="2"/>
      <c r="P5540" s="1"/>
      <c r="Q5540" s="1"/>
      <c r="R5540" s="1"/>
      <c r="S5540" s="1"/>
      <c r="T5540" s="1"/>
      <c r="U5540" s="1"/>
      <c r="V5540" s="1"/>
      <c r="W5540" s="1"/>
      <c r="X5540" s="1"/>
      <c r="Y5540" s="1"/>
      <c r="Z5540" s="1"/>
      <c r="AA5540" s="1"/>
      <c r="AB5540" s="1"/>
      <c r="AC5540" s="1"/>
      <c r="AD5540" s="1"/>
      <c r="AE5540" s="1"/>
      <c r="AF5540" s="1"/>
      <c r="AG5540" s="1"/>
      <c r="AH5540" s="1"/>
      <c r="AI5540" s="1"/>
      <c r="AJ5540" s="1"/>
      <c r="AK5540" s="1"/>
      <c r="AL5540" s="1"/>
      <c r="AM5540" s="1"/>
      <c r="AN5540" s="1"/>
      <c r="AO5540" s="1"/>
      <c r="AP5540" s="1"/>
      <c r="AQ5540" s="1"/>
      <c r="AR5540" s="1"/>
      <c r="AS5540" s="1"/>
      <c r="AT5540" s="1"/>
      <c r="AU5540" s="1"/>
      <c r="AV5540" s="1"/>
      <c r="AW5540" s="1"/>
      <c r="AX5540" s="1"/>
      <c r="AY5540" s="1"/>
      <c r="AZ5540" s="1"/>
      <c r="BA5540" s="1"/>
      <c r="BB5540" s="1"/>
    </row>
    <row r="5541" ht="204.75" customHeight="1">
      <c r="A5541" s="1">
        <v>3480.0</v>
      </c>
      <c r="B5541" s="2" t="s">
        <v>15204</v>
      </c>
      <c r="C5541" s="2">
        <f>IFERROR(__xludf.DUMMYFUNCTION("split(B5541,""_"")"),1301.0)</f>
        <v>1301</v>
      </c>
      <c r="D5541" s="2" t="str">
        <f>IFERROR(__xludf.DUMMYFUNCTION("""COMPUTED_VALUE"""),"TBS")</f>
        <v>TBS</v>
      </c>
      <c r="E5541" s="2" t="str">
        <f>IFERROR(__xludf.DUMMYFUNCTION("""COMPUTED_VALUE"""),"金22")</f>
        <v>金22</v>
      </c>
      <c r="F5541" s="2" t="s">
        <v>15205</v>
      </c>
      <c r="G5541" s="2" t="s">
        <v>15224</v>
      </c>
      <c r="H5541" s="1">
        <v>10.0</v>
      </c>
      <c r="J5541" s="1" t="s">
        <v>86</v>
      </c>
      <c r="K5541" s="2" t="s">
        <v>15225</v>
      </c>
      <c r="L5541" s="2"/>
      <c r="M5541" s="2" t="str">
        <f>IFERROR(__xludf.DUMMYFUNCTION("split(split(K5541,""【"",false),""公式LINE"",false)"),"良幸（安田章大）の記者会見は、誰もが予想だにしない事件の内容だった。真実とは思えない話に、ショックを受ける真弓（鈴木京香）たち。しかし、それは良幸が高橋家の未来のために選んだ苦渋の選択だった。そんな中、慎司（中川大志）が高橋家に帰ってくる。兄姉、そして真弓を前に、事件当夜のことを語り始める慎司。なぜ事件は起きたのか。どうして父は殺されなければいけなかったのか。ついに、事件の真相が明らかになるー。遠藤真弓…鈴木京香  高橋淳子…石田ゆり子  遠藤啓介…宮迫博之（雨上がり決死隊）  高橋良幸…安田章大（関ジャ"&amp;"ニ∞）  ○  遠藤彩花…杉咲花  高橋比奈子…宮崎香蓮  高橋慎司…中川大志  ・  高橋弘幸…田中哲司  ○  小島さと子…夏木マリ  結城哲也…高橋克典音楽／横山克  主題歌／「VOICE」 AI　(EMIミュージック・ジャパン）BleuRay＆DVDプレゼントあり  原作／湊かなえ  「夜行観覧車」（双葉社刊）    脚本／奥寺佐渡子http://www.tbs.co.jp/yakoukanransya/  プロデュース／新井順子  演出／塚原あゆ子番外編10「杉咲花のひばりが丘みどころ案内」　予"&amp;"告動画を公開しました！こちらからどうぞ！  http://youtu.be/Ijarhi4GVgU  ドリマックス・テレビジョン番組の内容と放送時間は変更になる場合があります。")</f>
        <v>良幸（安田章大）の記者会見は、誰もが予想だにしない事件の内容だった。真実とは思えない話に、ショックを受ける真弓（鈴木京香）たち。しかし、それは良幸が高橋家の未来のために選んだ苦渋の選択だった。そんな中、慎司（中川大志）が高橋家に帰ってくる。兄姉、そして真弓を前に、事件当夜のことを語り始める慎司。なぜ事件は起きたのか。どうして父は殺されなければいけなかったのか。ついに、事件の真相が明らかになるー。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(EMIミュージック・ジャパン）BleuRay＆DVDプレゼントあり  原作／湊かなえ  「夜行観覧車」（双葉社刊）    脚本／奥寺佐渡子http://www.tbs.co.jp/yakoukanransya/  プロデュース／新井順子  演出／塚原あゆ子番外編10「杉咲花のひばりが丘みどころ案内」　予告動画を公開しました！こちらからどうぞ！  http://youtu.be/Ijarhi4GVgU  ドリマックス・テレビジョン番組の内容と放送時間は変更になる場合があります。</v>
      </c>
      <c r="N5541" s="2"/>
      <c r="O5541" s="2"/>
      <c r="P5541" s="1"/>
      <c r="Q5541" s="1"/>
      <c r="R5541" s="1"/>
      <c r="S5541" s="1"/>
      <c r="T5541" s="1"/>
      <c r="U5541" s="1"/>
      <c r="V5541" s="1"/>
      <c r="W5541" s="1"/>
      <c r="X5541" s="1"/>
      <c r="Y5541" s="1"/>
      <c r="Z5541" s="1"/>
      <c r="AA5541" s="1"/>
      <c r="AB5541" s="1"/>
      <c r="AC5541" s="1"/>
      <c r="AD5541" s="1"/>
      <c r="AE5541" s="1"/>
      <c r="AF5541" s="1"/>
      <c r="AG5541" s="1"/>
      <c r="AH5541" s="1"/>
      <c r="AI5541" s="1"/>
      <c r="AJ5541" s="1"/>
      <c r="AK5541" s="1"/>
      <c r="AL5541" s="1"/>
      <c r="AM5541" s="1"/>
      <c r="AN5541" s="1"/>
      <c r="AO5541" s="1"/>
      <c r="AP5541" s="1"/>
      <c r="AQ5541" s="1"/>
      <c r="AR5541" s="1"/>
      <c r="AS5541" s="1"/>
      <c r="AT5541" s="1"/>
      <c r="AU5541" s="1"/>
      <c r="AV5541" s="1"/>
      <c r="AW5541" s="1"/>
      <c r="AX5541" s="1"/>
      <c r="AY5541" s="1"/>
      <c r="AZ5541" s="1"/>
      <c r="BA5541" s="1"/>
      <c r="BB5541" s="1"/>
    </row>
    <row r="5542" ht="204.75" customHeight="1">
      <c r="A5542" s="1">
        <v>3511.0</v>
      </c>
      <c r="B5542" s="2" t="s">
        <v>15226</v>
      </c>
      <c r="C5542" s="2">
        <f>IFERROR(__xludf.DUMMYFUNCTION("split(B5542,""_"")"),1301.0)</f>
        <v>1301</v>
      </c>
      <c r="D5542" s="2" t="str">
        <f>IFERROR(__xludf.DUMMYFUNCTION("""COMPUTED_VALUE"""),"TBS")</f>
        <v>TBS</v>
      </c>
      <c r="E5542" s="2" t="str">
        <f>IFERROR(__xludf.DUMMYFUNCTION("""COMPUTED_VALUE"""),"日21")</f>
        <v>日21</v>
      </c>
      <c r="F5542" s="2" t="s">
        <v>15227</v>
      </c>
      <c r="G5542" s="2" t="s">
        <v>15228</v>
      </c>
      <c r="H5542" s="1">
        <v>1.0</v>
      </c>
      <c r="J5542" s="1" t="s">
        <v>4</v>
      </c>
      <c r="K5542" s="2" t="s">
        <v>15229</v>
      </c>
      <c r="L5542" s="2"/>
      <c r="M5542" s="2" t="str">
        <f>IFERROR(__xludf.DUMMYFUNCTION("split(split(K5542,""【"",false),""公式LINE"",false)"),"平成10年（1998年）。出版社の徳田書店で働くアキラ（佐藤健）は、小学生学年誌の付録のプレゼンを行うもうまくいかない。隣の学年誌の付録担当編集に話を聞くと、親に聞いてヒントをもらったという。アキラは机上にある父親・ヤス（内野聖陽）の写真に向かってヒントをくれないかと投げかけるが、もちろんその写真から返答はない。ふと窓の外に目を移すと2羽のとんびが連れ立って飛んでいたーー。市川安男…内野聖陽  市川旭…佐藤健  坂本由美…吹石一恵  幸恵ゆきえ…加藤貴子  ○   市川美佐子…常盤貴子  ○  照雲…野村"&amp;"宏伸  たえ子…麻生祐未  海雲…柄本明  ほか福山雅治  「誕生日には真白な百合を」 (ユニバーサルJ)原作：重松清  「とんび」(角川文庫刊)  脚本：森下佳子音楽：羽毛田丈史  音楽プロデュース：志田博英プロデュース：石丸彰彦  演出：平川雄一朗／山室大輔／中前勇児http://www.tbs.co.jp/TONBI/  番組の内容と放送時間は変更になる場合があります。")</f>
        <v>平成10年（1998年）。出版社の徳田書店で働くアキラ（佐藤健）は、小学生学年誌の付録のプレゼンを行うもうまくいかない。隣の学年誌の付録担当編集に話を聞くと、親に聞いてヒントをもらったという。アキラは机上にある父親・ヤス（内野聖陽）の写真に向かってヒントをくれないかと投げかけるが、もちろんその写真から返答はない。ふと窓の外に目を移すと2羽のとんびが連れ立って飛んでいたーー。市川安男…内野聖陽  市川旭…佐藤健  坂本由美…吹石一恵  幸恵ゆきえ…加藤貴子  ○   市川美佐子…常盤貴子  ○  照雲…野村宏伸  たえ子…麻生祐未  海雲…柄本明  ほか福山雅治  「誕生日には真白な百合を」 (ユニバーサルJ)原作：重松清  「とんび」(角川文庫刊)  脚本：森下佳子音楽：羽毛田丈史  音楽プロデュース：志田博英プロデュース：石丸彰彦  演出：平川雄一朗／山室大輔／中前勇児http://www.tbs.co.jp/TONBI/  番組の内容と放送時間は変更になる場合があります。</v>
      </c>
      <c r="N5542" s="2"/>
      <c r="O5542" s="2"/>
      <c r="P5542" s="1"/>
      <c r="Q5542" s="1"/>
      <c r="R5542" s="1"/>
      <c r="S5542" s="1"/>
      <c r="T5542" s="1"/>
      <c r="U5542" s="1"/>
      <c r="V5542" s="1"/>
      <c r="W5542" s="1"/>
      <c r="X5542" s="1"/>
      <c r="Y5542" s="1"/>
      <c r="Z5542" s="1"/>
      <c r="AA5542" s="1"/>
      <c r="AB5542" s="1"/>
      <c r="AC5542" s="1"/>
      <c r="AD5542" s="1"/>
      <c r="AE5542" s="1"/>
      <c r="AF5542" s="1"/>
      <c r="AG5542" s="1"/>
      <c r="AH5542" s="1"/>
      <c r="AI5542" s="1"/>
      <c r="AJ5542" s="1"/>
      <c r="AK5542" s="1"/>
      <c r="AL5542" s="1"/>
      <c r="AM5542" s="1"/>
      <c r="AN5542" s="1"/>
      <c r="AO5542" s="1"/>
      <c r="AP5542" s="1"/>
      <c r="AQ5542" s="1"/>
      <c r="AR5542" s="1"/>
      <c r="AS5542" s="1"/>
      <c r="AT5542" s="1"/>
      <c r="AU5542" s="1"/>
      <c r="AV5542" s="1"/>
      <c r="AW5542" s="1"/>
      <c r="AX5542" s="1"/>
      <c r="AY5542" s="1"/>
      <c r="AZ5542" s="1"/>
      <c r="BA5542" s="1"/>
      <c r="BB5542" s="1"/>
    </row>
    <row r="5543" ht="204.75" customHeight="1">
      <c r="A5543" s="1">
        <v>3512.0</v>
      </c>
      <c r="B5543" s="2" t="s">
        <v>15226</v>
      </c>
      <c r="C5543" s="2">
        <f>IFERROR(__xludf.DUMMYFUNCTION("split(B5543,""_"")"),1301.0)</f>
        <v>1301</v>
      </c>
      <c r="D5543" s="2" t="str">
        <f>IFERROR(__xludf.DUMMYFUNCTION("""COMPUTED_VALUE"""),"TBS")</f>
        <v>TBS</v>
      </c>
      <c r="E5543" s="2" t="str">
        <f>IFERROR(__xludf.DUMMYFUNCTION("""COMPUTED_VALUE"""),"日21")</f>
        <v>日21</v>
      </c>
      <c r="F5543" s="2" t="s">
        <v>15227</v>
      </c>
      <c r="G5543" s="2" t="s">
        <v>15230</v>
      </c>
      <c r="H5543" s="1">
        <v>2.0</v>
      </c>
      <c r="J5543" s="1" t="s">
        <v>11</v>
      </c>
      <c r="K5543" s="2" t="s">
        <v>15231</v>
      </c>
      <c r="L5543" s="2"/>
      <c r="M5543" s="2" t="str">
        <f>IFERROR(__xludf.DUMMYFUNCTION("split(split(K5543,""【"",false),""公式LINE"",false)"),"昭和54年（1979年）。保育園に通うアキラは家族の絵を書くことに。母親の顔を覚えていないから写真を持っていっていいかとヤス（内野聖陽）に頼む…。男手一つで育ててきたヤスは、アキラが抱える寂しさにまだ気づけないでいた。ある日、ヤスにお見合いの話が持ち上がる。妻・美佐子（常盤貴子）を亡くし、家事や子育てに疲れていたヤスは周囲の強い勧めでお見合い相手と会うことに…市川安男…内野聖陽  市川旭…佐藤健  坂本由美…吹石一恵  幸恵ゆきえ…加藤貴子  ○   市川美佐子…常盤貴子  ○  照雲…野村宏伸  たえ子"&amp;"…麻生祐未  海雲…柄本明  ほか福山雅治  「誕生日には真白な百合を」 (ユニバーサルJ)原作：重松清  「とんび」(角川文庫刊)  脚本：森下佳子音楽：羽毛田丈史  音楽プロデュース：志田博英プロデュース：石丸彰彦  演出：平川雄一朗／山室大輔／中前勇児▽番組HP  http://www.tbs.co.jp/TONBI/  ▽第2話予告動画はこちらからどうぞ！  http://youtu.be/5WyqkcCWTrA番組の内容と放送時間は変更になる場合があります。")</f>
        <v>昭和54年（1979年）。保育園に通うアキラは家族の絵を書くことに。母親の顔を覚えていないから写真を持っていっていいかとヤス（内野聖陽）に頼む…。男手一つで育ててきたヤスは、アキラが抱える寂しさにまだ気づけないでいた。ある日、ヤスにお見合いの話が持ち上がる。妻・美佐子（常盤貴子）を亡くし、家事や子育てに疲れていたヤスは周囲の強い勧めでお見合い相手と会うことに…市川安男…内野聖陽  市川旭…佐藤健  坂本由美…吹石一恵  幸恵ゆきえ…加藤貴子  ○   市川美佐子…常盤貴子  ○  照雲…野村宏伸  たえ子…麻生祐未  海雲…柄本明  ほか福山雅治  「誕生日には真白な百合を」 (ユニバーサルJ)原作：重松清  「とんび」(角川文庫刊)  脚本：森下佳子音楽：羽毛田丈史  音楽プロデュース：志田博英プロデュース：石丸彰彦  演出：平川雄一朗／山室大輔／中前勇児▽番組HP  http://www.tbs.co.jp/TONBI/  ▽第2話予告動画はこちらからどうぞ！  http://youtu.be/5WyqkcCWTrA番組の内容と放送時間は変更になる場合があります。</v>
      </c>
      <c r="N5543" s="2"/>
      <c r="O5543" s="2"/>
      <c r="P5543" s="1"/>
      <c r="Q5543" s="1"/>
      <c r="R5543" s="1"/>
      <c r="S5543" s="1"/>
      <c r="T5543" s="1"/>
      <c r="U5543" s="1"/>
      <c r="V5543" s="1"/>
      <c r="W5543" s="1"/>
      <c r="X5543" s="1"/>
      <c r="Y5543" s="1"/>
      <c r="Z5543" s="1"/>
      <c r="AA5543" s="1"/>
      <c r="AB5543" s="1"/>
      <c r="AC5543" s="1"/>
      <c r="AD5543" s="1"/>
      <c r="AE5543" s="1"/>
      <c r="AF5543" s="1"/>
      <c r="AG5543" s="1"/>
      <c r="AH5543" s="1"/>
      <c r="AI5543" s="1"/>
      <c r="AJ5543" s="1"/>
      <c r="AK5543" s="1"/>
      <c r="AL5543" s="1"/>
      <c r="AM5543" s="1"/>
      <c r="AN5543" s="1"/>
      <c r="AO5543" s="1"/>
      <c r="AP5543" s="1"/>
      <c r="AQ5543" s="1"/>
      <c r="AR5543" s="1"/>
      <c r="AS5543" s="1"/>
      <c r="AT5543" s="1"/>
      <c r="AU5543" s="1"/>
      <c r="AV5543" s="1"/>
      <c r="AW5543" s="1"/>
      <c r="AX5543" s="1"/>
      <c r="AY5543" s="1"/>
      <c r="AZ5543" s="1"/>
      <c r="BA5543" s="1"/>
      <c r="BB5543" s="1"/>
    </row>
    <row r="5544" ht="204.75" customHeight="1">
      <c r="A5544" s="1">
        <v>3513.0</v>
      </c>
      <c r="B5544" s="2" t="s">
        <v>15226</v>
      </c>
      <c r="C5544" s="2">
        <f>IFERROR(__xludf.DUMMYFUNCTION("split(B5544,""_"")"),1301.0)</f>
        <v>1301</v>
      </c>
      <c r="D5544" s="2" t="str">
        <f>IFERROR(__xludf.DUMMYFUNCTION("""COMPUTED_VALUE"""),"TBS")</f>
        <v>TBS</v>
      </c>
      <c r="E5544" s="2" t="str">
        <f>IFERROR(__xludf.DUMMYFUNCTION("""COMPUTED_VALUE"""),"日21")</f>
        <v>日21</v>
      </c>
      <c r="F5544" s="2" t="s">
        <v>15227</v>
      </c>
      <c r="G5544" s="2" t="s">
        <v>15232</v>
      </c>
      <c r="H5544" s="1">
        <v>3.0</v>
      </c>
      <c r="J5544" s="1" t="s">
        <v>11</v>
      </c>
      <c r="K5544" s="2" t="s">
        <v>15233</v>
      </c>
      <c r="L5544" s="2"/>
      <c r="M5544" s="2" t="str">
        <f>IFERROR(__xludf.DUMMYFUNCTION("split(split(K5544,""【"",false),""公式LINE"",false)"),"昭和59年（1984年）。11歳になったアキラはクラス委員で学校の野球チームではエースで4番、ヤス（内野聖陽）の自慢の息子になっていた。しかし父の日を目前に控えた頃、アキラの野球チームに体格のいい転校生がやってくる。野球ができないヤスはアキラのピンチと知り親らしくミット片手に駆け出すが、照雲（野村宏伸）とキャッチボールをするアキラの姿を目撃する…。市川安男…内野聖陽  市川旭…佐藤健  坂本由美…吹石一恵  幸恵ゆきえ…加藤貴子  ○   市川美佐子…常盤貴子  ○  照雲…野村宏伸  たえ子…麻生祐未 "&amp;" 海雲…柄本明  ほか福山雅治  「誕生日には真白な百合を」 (ユニバーサルJ)原作：重松清  「とんび」(角川文庫刊)  脚本：森下佳子音楽：羽毛田丈史  音楽プロデュース：志田博英プロデュース：石丸彰彦  演出：平川雄一朗／山室大輔／中前勇児番組HP  http://www.tbs.co.jp/TONBI/  3話予告動画公開中！  http://youtu.be/AeT-JuUDM2A  番組の内容と放送時間は変更になる場合があります。")</f>
        <v>昭和59年（1984年）。11歳になったアキラはクラス委員で学校の野球チームではエースで4番、ヤス（内野聖陽）の自慢の息子になっていた。しかし父の日を目前に控えた頃、アキラの野球チームに体格のいい転校生がやってくる。野球ができないヤスはアキラのピンチと知り親らしくミット片手に駆け出すが、照雲（野村宏伸）とキャッチボールをするアキラの姿を目撃する…。市川安男…内野聖陽  市川旭…佐藤健  坂本由美…吹石一恵  幸恵ゆきえ…加藤貴子  ○   市川美佐子…常盤貴子  ○  照雲…野村宏伸  たえ子…麻生祐未  海雲…柄本明  ほか福山雅治  「誕生日には真白な百合を」 (ユニバーサルJ)原作：重松清  「とんび」(角川文庫刊)  脚本：森下佳子音楽：羽毛田丈史  音楽プロデュース：志田博英プロデュース：石丸彰彦  演出：平川雄一朗／山室大輔／中前勇児番組HP  http://www.tbs.co.jp/TONBI/  3話予告動画公開中！  http://youtu.be/AeT-JuUDM2A  番組の内容と放送時間は変更になる場合があります。</v>
      </c>
      <c r="N5544" s="2"/>
      <c r="O5544" s="2"/>
      <c r="P5544" s="1"/>
      <c r="Q5544" s="1"/>
      <c r="R5544" s="1"/>
      <c r="S5544" s="1"/>
      <c r="T5544" s="1"/>
      <c r="U5544" s="1"/>
      <c r="V5544" s="1"/>
      <c r="W5544" s="1"/>
      <c r="X5544" s="1"/>
      <c r="Y5544" s="1"/>
      <c r="Z5544" s="1"/>
      <c r="AA5544" s="1"/>
      <c r="AB5544" s="1"/>
      <c r="AC5544" s="1"/>
      <c r="AD5544" s="1"/>
      <c r="AE5544" s="1"/>
      <c r="AF5544" s="1"/>
      <c r="AG5544" s="1"/>
      <c r="AH5544" s="1"/>
      <c r="AI5544" s="1"/>
      <c r="AJ5544" s="1"/>
      <c r="AK5544" s="1"/>
      <c r="AL5544" s="1"/>
      <c r="AM5544" s="1"/>
      <c r="AN5544" s="1"/>
      <c r="AO5544" s="1"/>
      <c r="AP5544" s="1"/>
      <c r="AQ5544" s="1"/>
      <c r="AR5544" s="1"/>
      <c r="AS5544" s="1"/>
      <c r="AT5544" s="1"/>
      <c r="AU5544" s="1"/>
      <c r="AV5544" s="1"/>
      <c r="AW5544" s="1"/>
      <c r="AX5544" s="1"/>
      <c r="AY5544" s="1"/>
      <c r="AZ5544" s="1"/>
      <c r="BA5544" s="1"/>
      <c r="BB5544" s="1"/>
    </row>
    <row r="5545" ht="204.75" customHeight="1">
      <c r="A5545" s="1">
        <v>3514.0</v>
      </c>
      <c r="B5545" s="2" t="s">
        <v>15226</v>
      </c>
      <c r="C5545" s="2">
        <f>IFERROR(__xludf.DUMMYFUNCTION("split(B5545,""_"")"),1301.0)</f>
        <v>1301</v>
      </c>
      <c r="D5545" s="2" t="str">
        <f>IFERROR(__xludf.DUMMYFUNCTION("""COMPUTED_VALUE"""),"TBS")</f>
        <v>TBS</v>
      </c>
      <c r="E5545" s="2" t="str">
        <f>IFERROR(__xludf.DUMMYFUNCTION("""COMPUTED_VALUE"""),"日21")</f>
        <v>日21</v>
      </c>
      <c r="F5545" s="2" t="s">
        <v>15227</v>
      </c>
      <c r="G5545" s="2" t="s">
        <v>15234</v>
      </c>
      <c r="H5545" s="1">
        <v>4.0</v>
      </c>
      <c r="J5545" s="1" t="s">
        <v>11</v>
      </c>
      <c r="K5545" s="2" t="s">
        <v>15235</v>
      </c>
      <c r="L5545" s="2"/>
      <c r="M5545" s="2" t="str">
        <f>IFERROR(__xludf.DUMMYFUNCTION("split(split(K5545,""【"",false),""公式LINE"",false)"),"昭和60年（1985年）3月。アキラはお母さんの事故の真相を照雲や幸恵に聞いてまわっていた。それを知ったヤス（内野聖陽）は本当の事は言わないで欲しいと皆に頼む。ある日、葛原の嫁が見知らぬ男に「嫁入り前に娘と会って欲しい」と言われているたえ子（麻生祐未）を目撃する。 市川安男…内野聖陽市川旭…佐藤健坂本由美…吹石一恵幸恵ゆきえ…加藤貴子○ 市川美佐子…常盤貴子○照雲…野村宏伸たえ子…麻生祐未海雲…柄本明ほか 福山雅治「誕生日には真白な百合を」 (ユニバーサルJ)原作：重松清「とんび」(角川文庫刊)脚本：森下"&amp;"佳子 音楽：羽毛田丈史音楽プロデュース：志田博英 プロデュース：石丸彰彦演出：平川雄一朗／山室大輔／中前勇児 http://www.tbs.co.jp/TONBI/4話予告動画公開中！http://youtu.be/rh8G4k_ufFM番組の内容と放送時間は変更になる場合があります。")</f>
        <v>昭和60年（1985年）3月。アキラはお母さんの事故の真相を照雲や幸恵に聞いてまわっていた。それを知ったヤス（内野聖陽）は本当の事は言わないで欲しいと皆に頼む。ある日、葛原の嫁が見知らぬ男に「嫁入り前に娘と会って欲しい」と言われているたえ子（麻生祐未）を目撃する。 市川安男…内野聖陽市川旭…佐藤健坂本由美…吹石一恵幸恵ゆきえ…加藤貴子○ 市川美佐子…常盤貴子○照雲…野村宏伸たえ子…麻生祐未海雲…柄本明ほか 福山雅治「誕生日には真白な百合を」 (ユニバーサルJ)原作：重松清「とんび」(角川文庫刊)脚本：森下佳子 音楽：羽毛田丈史音楽プロデュース：志田博英 プロデュース：石丸彰彦演出：平川雄一朗／山室大輔／中前勇児 http://www.tbs.co.jp/TONBI/4話予告動画公開中！http://youtu.be/rh8G4k_ufFM番組の内容と放送時間は変更になる場合があります。</v>
      </c>
      <c r="N5545" s="2"/>
      <c r="O5545" s="2"/>
      <c r="P5545" s="1"/>
      <c r="Q5545" s="1"/>
      <c r="R5545" s="1"/>
      <c r="S5545" s="1"/>
      <c r="T5545" s="1"/>
      <c r="U5545" s="1"/>
      <c r="V5545" s="1"/>
      <c r="W5545" s="1"/>
      <c r="X5545" s="1"/>
      <c r="Y5545" s="1"/>
      <c r="Z5545" s="1"/>
      <c r="AA5545" s="1"/>
      <c r="AB5545" s="1"/>
      <c r="AC5545" s="1"/>
      <c r="AD5545" s="1"/>
      <c r="AE5545" s="1"/>
      <c r="AF5545" s="1"/>
      <c r="AG5545" s="1"/>
      <c r="AH5545" s="1"/>
      <c r="AI5545" s="1"/>
      <c r="AJ5545" s="1"/>
      <c r="AK5545" s="1"/>
      <c r="AL5545" s="1"/>
      <c r="AM5545" s="1"/>
      <c r="AN5545" s="1"/>
      <c r="AO5545" s="1"/>
      <c r="AP5545" s="1"/>
      <c r="AQ5545" s="1"/>
      <c r="AR5545" s="1"/>
      <c r="AS5545" s="1"/>
      <c r="AT5545" s="1"/>
      <c r="AU5545" s="1"/>
      <c r="AV5545" s="1"/>
      <c r="AW5545" s="1"/>
      <c r="AX5545" s="1"/>
      <c r="AY5545" s="1"/>
      <c r="AZ5545" s="1"/>
      <c r="BA5545" s="1"/>
      <c r="BB5545" s="1"/>
    </row>
    <row r="5546" ht="204.75" customHeight="1">
      <c r="A5546" s="1">
        <v>3515.0</v>
      </c>
      <c r="B5546" s="2" t="s">
        <v>15226</v>
      </c>
      <c r="C5546" s="2">
        <f>IFERROR(__xludf.DUMMYFUNCTION("split(B5546,""_"")"),1301.0)</f>
        <v>1301</v>
      </c>
      <c r="D5546" s="2" t="str">
        <f>IFERROR(__xludf.DUMMYFUNCTION("""COMPUTED_VALUE"""),"TBS")</f>
        <v>TBS</v>
      </c>
      <c r="E5546" s="2" t="str">
        <f>IFERROR(__xludf.DUMMYFUNCTION("""COMPUTED_VALUE"""),"日21")</f>
        <v>日21</v>
      </c>
      <c r="F5546" s="2" t="s">
        <v>15227</v>
      </c>
      <c r="G5546" s="2" t="s">
        <v>15236</v>
      </c>
      <c r="H5546" s="1">
        <v>5.0</v>
      </c>
      <c r="J5546" s="1" t="s">
        <v>11</v>
      </c>
      <c r="K5546" s="2" t="s">
        <v>15237</v>
      </c>
      <c r="L5546" s="2"/>
      <c r="M5546" s="2" t="str">
        <f>IFERROR(__xludf.DUMMYFUNCTION("split(split(K5546,""【"",false),""公式LINE"",false)"),"平成元年。入院している海雲（柄本明）の見舞いにヤス（内野聖陽）は毎日のように病院に通う一方でアキラ（佐藤健）は高校の野球部でレギュラーを決めるテストを控え、一度も顔を出せずにいた。ある日、ヤスは照雲（野村宏伸）から実は海雲が癌で先が長くないために、アキラに意識のあるうちに会いに来るよう頼まれる。ヤスは見舞いに行くよう頼むのだが、「今は野球の練習が大事だから」と断るアキラの一方的な態度に腹を立てる。 悩んだヤスは、アキラを見舞いに連れて行こうと野球部の練習を訪れると、偶然に後輩・山本（大内田悠平）らの尻をバ"&amp;"ットで叩くアキラの姿を目撃してしまい…。 市川安男…内野聖陽市川旭…佐藤健坂本由美…吹石一恵幸恵…加藤貴子葛原鉄矢…音尾琢真○ 市川美佐子…常盤貴子○照雲…野村宏伸尾藤社長…ベンガルたえ子…麻生祐未海雲…柄本明ほか 福山雅治「誕生日には真白な百合を」 (ユニバーサルJ)原作：重松清「とんび」(角川文庫刊)脚本：森下佳子 音楽：羽毛田丈史音楽プロデュース：志田博英 プロデュース：石丸彰彦演出：平川雄一朗／山室大輔／中前勇児 http://www.tbs.co.jp/TONBI/5話予告動画公開中！http:"&amp;"//youtu.be/9DSm0JE1qp0番組の内容と放送時間は変更になる場合があります。")</f>
        <v>平成元年。入院している海雲（柄本明）の見舞いにヤス（内野聖陽）は毎日のように病院に通う一方でアキラ（佐藤健）は高校の野球部でレギュラーを決めるテストを控え、一度も顔を出せずにいた。ある日、ヤスは照雲（野村宏伸）から実は海雲が癌で先が長くないために、アキラに意識のあるうちに会いに来るよう頼まれる。ヤスは見舞いに行くよう頼むのだが、「今は野球の練習が大事だから」と断るアキラの一方的な態度に腹を立てる。 悩んだヤスは、アキラを見舞いに連れて行こうと野球部の練習を訪れると、偶然に後輩・山本（大内田悠平）らの尻をバットで叩くアキラの姿を目撃してしまい…。 市川安男…内野聖陽市川旭…佐藤健坂本由美…吹石一恵幸恵…加藤貴子葛原鉄矢…音尾琢真○ 市川美佐子…常盤貴子○照雲…野村宏伸尾藤社長…ベンガルたえ子…麻生祐未海雲…柄本明ほか 福山雅治「誕生日には真白な百合を」 (ユニバーサルJ)原作：重松清「とんび」(角川文庫刊)脚本：森下佳子 音楽：羽毛田丈史音楽プロデュース：志田博英 プロデュース：石丸彰彦演出：平川雄一朗／山室大輔／中前勇児 http://www.tbs.co.jp/TONBI/5話予告動画公開中！http://youtu.be/9DSm0JE1qp0番組の内容と放送時間は変更になる場合があります。</v>
      </c>
      <c r="N5546" s="2"/>
      <c r="O5546" s="2"/>
      <c r="P5546" s="1"/>
      <c r="Q5546" s="1"/>
      <c r="R5546" s="1"/>
      <c r="S5546" s="1"/>
      <c r="T5546" s="1"/>
      <c r="U5546" s="1"/>
      <c r="V5546" s="1"/>
      <c r="W5546" s="1"/>
      <c r="X5546" s="1"/>
      <c r="Y5546" s="1"/>
      <c r="Z5546" s="1"/>
      <c r="AA5546" s="1"/>
      <c r="AB5546" s="1"/>
      <c r="AC5546" s="1"/>
      <c r="AD5546" s="1"/>
      <c r="AE5546" s="1"/>
      <c r="AF5546" s="1"/>
      <c r="AG5546" s="1"/>
      <c r="AH5546" s="1"/>
      <c r="AI5546" s="1"/>
      <c r="AJ5546" s="1"/>
      <c r="AK5546" s="1"/>
      <c r="AL5546" s="1"/>
      <c r="AM5546" s="1"/>
      <c r="AN5546" s="1"/>
      <c r="AO5546" s="1"/>
      <c r="AP5546" s="1"/>
      <c r="AQ5546" s="1"/>
      <c r="AR5546" s="1"/>
      <c r="AS5546" s="1"/>
      <c r="AT5546" s="1"/>
      <c r="AU5546" s="1"/>
      <c r="AV5546" s="1"/>
      <c r="AW5546" s="1"/>
      <c r="AX5546" s="1"/>
      <c r="AY5546" s="1"/>
      <c r="AZ5546" s="1"/>
      <c r="BA5546" s="1"/>
      <c r="BB5546" s="1"/>
    </row>
    <row r="5547" ht="204.75" customHeight="1">
      <c r="A5547" s="1">
        <v>3516.0</v>
      </c>
      <c r="B5547" s="2" t="s">
        <v>15226</v>
      </c>
      <c r="C5547" s="2">
        <f>IFERROR(__xludf.DUMMYFUNCTION("split(B5547,""_"")"),1301.0)</f>
        <v>1301</v>
      </c>
      <c r="D5547" s="2" t="str">
        <f>IFERROR(__xludf.DUMMYFUNCTION("""COMPUTED_VALUE"""),"TBS")</f>
        <v>TBS</v>
      </c>
      <c r="E5547" s="2" t="str">
        <f>IFERROR(__xludf.DUMMYFUNCTION("""COMPUTED_VALUE"""),"日21")</f>
        <v>日21</v>
      </c>
      <c r="F5547" s="2" t="s">
        <v>15227</v>
      </c>
      <c r="G5547" s="2" t="s">
        <v>15238</v>
      </c>
      <c r="H5547" s="1">
        <v>6.0</v>
      </c>
      <c r="J5547" s="1" t="s">
        <v>11</v>
      </c>
      <c r="K5547" s="2" t="s">
        <v>15239</v>
      </c>
      <c r="L5547" s="2"/>
      <c r="M5547" s="2" t="str">
        <f>IFERROR(__xludf.DUMMYFUNCTION("split(split(K5547,""【"",false),""公式LINE"",false)"),"平成2年、冬。大学受験を控えたアキラ（佐藤健）は東京の早稲田大学を受験したいとヤス（内野聖陽）に相談する。自分の息子が早稲田を受けると自慢するヤスだったが、東京に行ったら戻って来ないのではないかという葛原（音尾琢真）の言葉にショックを受け酒を飲み歩き、アキラに「行きたければ家出でもして勝手に行け！」と暴言を吐いてしまう。翌朝、家にアキラの姿はなかったー。 市川安男…内野聖陽市川旭…佐藤健坂本由美…吹石一恵幸恵ゆきえ…加藤貴子○ 市川美佐子…常盤貴子○照雲…野村宏伸たえ子…麻生祐未海雲…柄本明ほか 福山雅治"&amp;"「誕生日には真白な百合を」 (ユニバーサルJ) 原作：重松清「とんび」(角川文庫刊)脚本：森下佳子 音楽：羽毛田丈史音楽プロデュース：志田博英 プロデュース：石丸彰彦演出：平川雄一朗／山室大輔／中前勇児 ▽番組HPhttp://www.tbs.co.jp/TONBI/▽第6話予告動画公開中！http://youtu.be/EYp_VbkdkXg番組の内容と放送時間は変更になる場合があります。")</f>
        <v>平成2年、冬。大学受験を控えたアキラ（佐藤健）は東京の早稲田大学を受験したいとヤス（内野聖陽）に相談する。自分の息子が早稲田を受けると自慢するヤスだったが、東京に行ったら戻って来ないのではないかという葛原（音尾琢真）の言葉にショックを受け酒を飲み歩き、アキラに「行きたければ家出でもして勝手に行け！」と暴言を吐いてしまう。翌朝、家にアキラの姿はなかったー。 市川安男…内野聖陽市川旭…佐藤健坂本由美…吹石一恵幸恵ゆきえ…加藤貴子○ 市川美佐子…常盤貴子○照雲…野村宏伸たえ子…麻生祐未海雲…柄本明ほか 福山雅治「誕生日には真白な百合を」 (ユニバーサルJ) 原作：重松清「とんび」(角川文庫刊)脚本：森下佳子 音楽：羽毛田丈史音楽プロデュース：志田博英 プロデュース：石丸彰彦演出：平川雄一朗／山室大輔／中前勇児 ▽番組HPhttp://www.tbs.co.jp/TONBI/▽第6話予告動画公開中！http://youtu.be/EYp_VbkdkXg番組の内容と放送時間は変更になる場合があります。</v>
      </c>
      <c r="N5547" s="2"/>
      <c r="O5547" s="2"/>
      <c r="P5547" s="1"/>
      <c r="Q5547" s="1"/>
      <c r="R5547" s="1"/>
      <c r="S5547" s="1"/>
      <c r="T5547" s="1"/>
      <c r="U5547" s="1"/>
      <c r="V5547" s="1"/>
      <c r="W5547" s="1"/>
      <c r="X5547" s="1"/>
      <c r="Y5547" s="1"/>
      <c r="Z5547" s="1"/>
      <c r="AA5547" s="1"/>
      <c r="AB5547" s="1"/>
      <c r="AC5547" s="1"/>
      <c r="AD5547" s="1"/>
      <c r="AE5547" s="1"/>
      <c r="AF5547" s="1"/>
      <c r="AG5547" s="1"/>
      <c r="AH5547" s="1"/>
      <c r="AI5547" s="1"/>
      <c r="AJ5547" s="1"/>
      <c r="AK5547" s="1"/>
      <c r="AL5547" s="1"/>
      <c r="AM5547" s="1"/>
      <c r="AN5547" s="1"/>
      <c r="AO5547" s="1"/>
      <c r="AP5547" s="1"/>
      <c r="AQ5547" s="1"/>
      <c r="AR5547" s="1"/>
      <c r="AS5547" s="1"/>
      <c r="AT5547" s="1"/>
      <c r="AU5547" s="1"/>
      <c r="AV5547" s="1"/>
      <c r="AW5547" s="1"/>
      <c r="AX5547" s="1"/>
      <c r="AY5547" s="1"/>
      <c r="AZ5547" s="1"/>
      <c r="BA5547" s="1"/>
      <c r="BB5547" s="1"/>
    </row>
    <row r="5548" ht="204.75" customHeight="1">
      <c r="A5548" s="1">
        <v>3517.0</v>
      </c>
      <c r="B5548" s="2" t="s">
        <v>15226</v>
      </c>
      <c r="C5548" s="2">
        <f>IFERROR(__xludf.DUMMYFUNCTION("split(B5548,""_"")"),1301.0)</f>
        <v>1301</v>
      </c>
      <c r="D5548" s="2" t="str">
        <f>IFERROR(__xludf.DUMMYFUNCTION("""COMPUTED_VALUE"""),"TBS")</f>
        <v>TBS</v>
      </c>
      <c r="E5548" s="2" t="str">
        <f>IFERROR(__xludf.DUMMYFUNCTION("""COMPUTED_VALUE"""),"日21")</f>
        <v>日21</v>
      </c>
      <c r="F5548" s="2" t="s">
        <v>15227</v>
      </c>
      <c r="G5548" s="2" t="s">
        <v>15240</v>
      </c>
      <c r="H5548" s="1">
        <v>7.0</v>
      </c>
      <c r="J5548" s="1" t="s">
        <v>4</v>
      </c>
      <c r="K5548" s="2" t="s">
        <v>15241</v>
      </c>
      <c r="L5548" s="2"/>
      <c r="M5548" s="2" t="str">
        <f>IFERROR(__xludf.DUMMYFUNCTION("split(split(K5548,""【"",false),""公式LINE"",false)"),"平成4年。東京で大学生活を送るアキラ（佐藤健）から電話で「雑誌の編集部でアルバイトをしていて、将来的には雑誌の編集者になりたい」とはじめて明かされたヤス（内野聖陽）。法学部で法律を学んでいるアキラは弁護士になるものだと思っていたヤスは、編集者になることを認めないと激怒して電話を切ってしまう。その矢先、アキラが仕事中に怪我をしたという謝罪の電話が入る。市川安男…内野聖陽市川旭…佐藤健坂本由美…吹石一恵幸恵ゆきえ…加藤貴子○ 市川美佐子…常盤貴子○照雲…野村宏伸たえ子…麻生祐未海雲…柄本明ほか 福山雅治「誕生"&amp;"日には真白な百合を」 (ユニバーサルJ)原作：重松清「とんび」(角川文庫刊)脚本：森下佳子 音楽：羽毛田丈史音楽プロデュース：志田博英 プロデュース：石丸彰彦演出：平川雄一朗／山室大輔／中前勇児 ▽番組HPhttp://www.tbs.co.jp/TONBI/▽とんび　第7話予告動画公開中！http://youtu.be/HSU8bNbsnB4 18：30から放送の、「2013WBC壮行試合」の試合状況により、放送時間が変更になる可能性があります。")</f>
        <v>平成4年。東京で大学生活を送るアキラ（佐藤健）から電話で「雑誌の編集部でアルバイトをしていて、将来的には雑誌の編集者になりたい」とはじめて明かされたヤス（内野聖陽）。法学部で法律を学んでいるアキラは弁護士になるものだと思っていたヤスは、編集者になることを認めないと激怒して電話を切ってしまう。その矢先、アキラが仕事中に怪我をしたという謝罪の電話が入る。市川安男…内野聖陽市川旭…佐藤健坂本由美…吹石一恵幸恵ゆきえ…加藤貴子○ 市川美佐子…常盤貴子○照雲…野村宏伸たえ子…麻生祐未海雲…柄本明ほか 福山雅治「誕生日には真白な百合を」 (ユニバーサルJ)原作：重松清「とんび」(角川文庫刊)脚本：森下佳子 音楽：羽毛田丈史音楽プロデュース：志田博英 プロデュース：石丸彰彦演出：平川雄一朗／山室大輔／中前勇児 ▽番組HPhttp://www.tbs.co.jp/TONBI/▽とんび　第7話予告動画公開中！http://youtu.be/HSU8bNbsnB4 18：30から放送の、「2013WBC壮行試合」の試合状況により、放送時間が変更になる可能性があります。</v>
      </c>
      <c r="N5548" s="2"/>
      <c r="O5548" s="2"/>
      <c r="P5548" s="1"/>
      <c r="Q5548" s="1"/>
      <c r="R5548" s="1"/>
      <c r="S5548" s="1"/>
      <c r="T5548" s="1"/>
      <c r="U5548" s="1"/>
      <c r="V5548" s="1"/>
      <c r="W5548" s="1"/>
      <c r="X5548" s="1"/>
      <c r="Y5548" s="1"/>
      <c r="Z5548" s="1"/>
      <c r="AA5548" s="1"/>
      <c r="AB5548" s="1"/>
      <c r="AC5548" s="1"/>
      <c r="AD5548" s="1"/>
      <c r="AE5548" s="1"/>
      <c r="AF5548" s="1"/>
      <c r="AG5548" s="1"/>
      <c r="AH5548" s="1"/>
      <c r="AI5548" s="1"/>
      <c r="AJ5548" s="1"/>
      <c r="AK5548" s="1"/>
      <c r="AL5548" s="1"/>
      <c r="AM5548" s="1"/>
      <c r="AN5548" s="1"/>
      <c r="AO5548" s="1"/>
      <c r="AP5548" s="1"/>
      <c r="AQ5548" s="1"/>
      <c r="AR5548" s="1"/>
      <c r="AS5548" s="1"/>
      <c r="AT5548" s="1"/>
      <c r="AU5548" s="1"/>
      <c r="AV5548" s="1"/>
      <c r="AW5548" s="1"/>
      <c r="AX5548" s="1"/>
      <c r="AY5548" s="1"/>
      <c r="AZ5548" s="1"/>
      <c r="BA5548" s="1"/>
      <c r="BB5548" s="1"/>
    </row>
    <row r="5549" ht="204.75" customHeight="1">
      <c r="A5549" s="1">
        <v>3518.0</v>
      </c>
      <c r="B5549" s="2" t="s">
        <v>15226</v>
      </c>
      <c r="C5549" s="2">
        <f>IFERROR(__xludf.DUMMYFUNCTION("split(B5549,""_"")"),1301.0)</f>
        <v>1301</v>
      </c>
      <c r="D5549" s="2" t="str">
        <f>IFERROR(__xludf.DUMMYFUNCTION("""COMPUTED_VALUE"""),"TBS")</f>
        <v>TBS</v>
      </c>
      <c r="E5549" s="2" t="str">
        <f>IFERROR(__xludf.DUMMYFUNCTION("""COMPUTED_VALUE"""),"日21")</f>
        <v>日21</v>
      </c>
      <c r="F5549" s="2" t="s">
        <v>15227</v>
      </c>
      <c r="G5549" s="2" t="s">
        <v>15242</v>
      </c>
      <c r="H5549" s="1">
        <v>8.0</v>
      </c>
      <c r="J5549" s="1" t="s">
        <v>11</v>
      </c>
      <c r="K5549" s="2" t="s">
        <v>15243</v>
      </c>
      <c r="L5549" s="2"/>
      <c r="M5549" s="2" t="str">
        <f>IFERROR(__xludf.DUMMYFUNCTION("split(split(K5549,""【"",false),""公式LINE"",false)"),"ヤス（内野聖陽）は、ヤスの父親の息子と名乗る島野（内倉憲二）から突然、「父親が会って詫びたいと言っているので、東京に来てくれないか？」と相談される。父親とは50年近く音信不通で、まさか生きているとも思っていなかったヤス。アキラ（佐藤健）とは自分からは決して東京には行かないと約束をしていたが…。 市川安男…内野聖陽市川旭…佐藤健坂本由美…吹石一恵幸恵…加藤貴子○ 市川美佐子…常盤貴子○照雲…野村宏伸たえ子…麻生祐未海雲…柄本明ほか 福山雅治「誕生日には真白な百合を」 (ユニバーサルJ) 原作：重松清「とんび"&amp;"」(角川文庫刊)脚本：森下佳子 音楽：羽毛田丈史音楽プロデュース：志田博英 プロデュース：石丸彰彦演出：平川雄一朗／山室大輔／中前勇児 ▽番組HPhttp://www.tbs.co.jp/TONBI/▽第8話予告動画公開中！http://youtu.be/nVCyTBdfnfQ番組の内容と放送時間は変更になる場合があります。")</f>
        <v>ヤス（内野聖陽）は、ヤスの父親の息子と名乗る島野（内倉憲二）から突然、「父親が会って詫びたいと言っているので、東京に来てくれないか？」と相談される。父親とは50年近く音信不通で、まさか生きているとも思っていなかったヤス。アキラ（佐藤健）とは自分からは決して東京には行かないと約束をしていたが…。 市川安男…内野聖陽市川旭…佐藤健坂本由美…吹石一恵幸恵…加藤貴子○ 市川美佐子…常盤貴子○照雲…野村宏伸たえ子…麻生祐未海雲…柄本明ほか 福山雅治「誕生日には真白な百合を」 (ユニバーサルJ) 原作：重松清「とんび」(角川文庫刊)脚本：森下佳子 音楽：羽毛田丈史音楽プロデュース：志田博英 プロデュース：石丸彰彦演出：平川雄一朗／山室大輔／中前勇児 ▽番組HPhttp://www.tbs.co.jp/TONBI/▽第8話予告動画公開中！http://youtu.be/nVCyTBdfnfQ番組の内容と放送時間は変更になる場合があります。</v>
      </c>
      <c r="N5549" s="2"/>
      <c r="O5549" s="2"/>
      <c r="P5549" s="1"/>
      <c r="Q5549" s="1"/>
      <c r="R5549" s="1"/>
      <c r="S5549" s="1"/>
      <c r="T5549" s="1"/>
      <c r="U5549" s="1"/>
      <c r="V5549" s="1"/>
      <c r="W5549" s="1"/>
      <c r="X5549" s="1"/>
      <c r="Y5549" s="1"/>
      <c r="Z5549" s="1"/>
      <c r="AA5549" s="1"/>
      <c r="AB5549" s="1"/>
      <c r="AC5549" s="1"/>
      <c r="AD5549" s="1"/>
      <c r="AE5549" s="1"/>
      <c r="AF5549" s="1"/>
      <c r="AG5549" s="1"/>
      <c r="AH5549" s="1"/>
      <c r="AI5549" s="1"/>
      <c r="AJ5549" s="1"/>
      <c r="AK5549" s="1"/>
      <c r="AL5549" s="1"/>
      <c r="AM5549" s="1"/>
      <c r="AN5549" s="1"/>
      <c r="AO5549" s="1"/>
      <c r="AP5549" s="1"/>
      <c r="AQ5549" s="1"/>
      <c r="AR5549" s="1"/>
      <c r="AS5549" s="1"/>
      <c r="AT5549" s="1"/>
      <c r="AU5549" s="1"/>
      <c r="AV5549" s="1"/>
      <c r="AW5549" s="1"/>
      <c r="AX5549" s="1"/>
      <c r="AY5549" s="1"/>
      <c r="AZ5549" s="1"/>
      <c r="BA5549" s="1"/>
      <c r="BB5549" s="1"/>
    </row>
    <row r="5550" ht="204.75" customHeight="1">
      <c r="A5550" s="1">
        <v>3519.0</v>
      </c>
      <c r="B5550" s="2" t="s">
        <v>15226</v>
      </c>
      <c r="C5550" s="2">
        <f>IFERROR(__xludf.DUMMYFUNCTION("split(B5550,""_"")"),1301.0)</f>
        <v>1301</v>
      </c>
      <c r="D5550" s="2" t="str">
        <f>IFERROR(__xludf.DUMMYFUNCTION("""COMPUTED_VALUE"""),"TBS")</f>
        <v>TBS</v>
      </c>
      <c r="E5550" s="2" t="str">
        <f>IFERROR(__xludf.DUMMYFUNCTION("""COMPUTED_VALUE"""),"日21")</f>
        <v>日21</v>
      </c>
      <c r="F5550" s="2" t="s">
        <v>15227</v>
      </c>
      <c r="G5550" s="2" t="s">
        <v>15244</v>
      </c>
      <c r="H5550" s="1">
        <v>9.0</v>
      </c>
      <c r="J5550" s="1" t="s">
        <v>4</v>
      </c>
      <c r="K5550" s="2" t="s">
        <v>15245</v>
      </c>
      <c r="L5550" s="2"/>
      <c r="M5550" s="2" t="str">
        <f>IFERROR(__xludf.DUMMYFUNCTION("split(split(K5550,""【"",false),""公式LINE"",false)"),"ヤス（内野聖陽）はアキラ（佐藤健）から「結婚したい人がいるから会って欲しい」と相談される。さらにその女性が年上でしっかり者の美人と聞き、町中の人に自慢する。帰省当日、アキラとともに現れた由美（吹石一恵）を見て、予想以上に年上であることに気づく。  さらに離婚経験があり子供もいることを打ち明けられると、ヤスは結婚に猛反対。言い争いになったアキラは由美を連れて東京に帰ってしまうー。市川安男…内野聖陽  市川旭…佐藤健  坂本由美…吹石一恵  幸恵…加藤貴子  ○   市川美佐子…常盤貴子  ○  照雲…野村宏"&amp;"伸  たえ子…麻生祐未  海雲…柄本明  ほか福山雅治  「誕生日には真白な百合を」 (ユニバーサルJ)原作：重松清  「とんび」(角川文庫刊)  脚本：森下佳子音楽：羽毛田丈史  音楽プロデュース：志田博英プロデュース：石丸彰彦  演出：平川雄一朗／山室大輔／中前勇児http://www.tbs.co.jp/TONBI/  第9話予告動画を公開しました！こちらからどうぞ！  http://youtu.be/r9PMS91CRj418：30～放送の、「2013ワールドベースボールクラシック　2次ラウンド　"&amp;"日本進出試合」の試合状況により、放送時間が変更になる可能性があります。")</f>
        <v>ヤス（内野聖陽）はアキラ（佐藤健）から「結婚したい人がいるから会って欲しい」と相談される。さらにその女性が年上でしっかり者の美人と聞き、町中の人に自慢する。帰省当日、アキラとともに現れた由美（吹石一恵）を見て、予想以上に年上であることに気づく。  さらに離婚経験があり子供もいることを打ち明けられると、ヤスは結婚に猛反対。言い争いになったアキラは由美を連れて東京に帰ってしまうー。市川安男…内野聖陽  市川旭…佐藤健  坂本由美…吹石一恵  幸恵…加藤貴子  ○   市川美佐子…常盤貴子  ○  照雲…野村宏伸  たえ子…麻生祐未  海雲…柄本明  ほか福山雅治  「誕生日には真白な百合を」 (ユニバーサルJ)原作：重松清  「とんび」(角川文庫刊)  脚本：森下佳子音楽：羽毛田丈史  音楽プロデュース：志田博英プロデュース：石丸彰彦  演出：平川雄一朗／山室大輔／中前勇児http://www.tbs.co.jp/TONBI/  第9話予告動画を公開しました！こちらからどうぞ！  http://youtu.be/r9PMS91CRj418：30～放送の、「2013ワールドベースボールクラシック　2次ラウンド　日本進出試合」の試合状況により、放送時間が変更になる可能性があります。</v>
      </c>
      <c r="N5550" s="2"/>
      <c r="O5550" s="2"/>
      <c r="P5550" s="1"/>
      <c r="Q5550" s="1"/>
      <c r="R5550" s="1"/>
      <c r="S5550" s="1"/>
      <c r="T5550" s="1"/>
      <c r="U5550" s="1"/>
      <c r="V5550" s="1"/>
      <c r="W5550" s="1"/>
      <c r="X5550" s="1"/>
      <c r="Y5550" s="1"/>
      <c r="Z5550" s="1"/>
      <c r="AA5550" s="1"/>
      <c r="AB5550" s="1"/>
      <c r="AC5550" s="1"/>
      <c r="AD5550" s="1"/>
      <c r="AE5550" s="1"/>
      <c r="AF5550" s="1"/>
      <c r="AG5550" s="1"/>
      <c r="AH5550" s="1"/>
      <c r="AI5550" s="1"/>
      <c r="AJ5550" s="1"/>
      <c r="AK5550" s="1"/>
      <c r="AL5550" s="1"/>
      <c r="AM5550" s="1"/>
      <c r="AN5550" s="1"/>
      <c r="AO5550" s="1"/>
      <c r="AP5550" s="1"/>
      <c r="AQ5550" s="1"/>
      <c r="AR5550" s="1"/>
      <c r="AS5550" s="1"/>
      <c r="AT5550" s="1"/>
      <c r="AU5550" s="1"/>
      <c r="AV5550" s="1"/>
      <c r="AW5550" s="1"/>
      <c r="AX5550" s="1"/>
      <c r="AY5550" s="1"/>
      <c r="AZ5550" s="1"/>
      <c r="BA5550" s="1"/>
      <c r="BB5550" s="1"/>
    </row>
    <row r="5551" ht="204.75" customHeight="1">
      <c r="A5551" s="1">
        <v>3520.0</v>
      </c>
      <c r="B5551" s="2" t="s">
        <v>15226</v>
      </c>
      <c r="C5551" s="2">
        <f>IFERROR(__xludf.DUMMYFUNCTION("split(B5551,""_"")"),1301.0)</f>
        <v>1301</v>
      </c>
      <c r="D5551" s="2" t="str">
        <f>IFERROR(__xludf.DUMMYFUNCTION("""COMPUTED_VALUE"""),"TBS")</f>
        <v>TBS</v>
      </c>
      <c r="E5551" s="2" t="str">
        <f>IFERROR(__xludf.DUMMYFUNCTION("""COMPUTED_VALUE"""),"日21")</f>
        <v>日21</v>
      </c>
      <c r="F5551" s="2" t="s">
        <v>15227</v>
      </c>
      <c r="G5551" s="2" t="s">
        <v>15246</v>
      </c>
      <c r="H5551" s="1">
        <v>10.0</v>
      </c>
      <c r="J5551" s="1" t="s">
        <v>4</v>
      </c>
      <c r="K5551" s="2" t="s">
        <v>15247</v>
      </c>
      <c r="L5551" s="2"/>
      <c r="M5551" s="2" t="str">
        <f>IFERROR(__xludf.DUMMYFUNCTION("split(split(K5551,""【"",false),""公式LINE"",false)"),"平成11年（1999年）冬。ヤス（内野聖陽）は走っているフォークリフトの積荷の下敷きになりそうになった葛原の嫁（橋本真実）の孫を助けようとして、代わりに下敷きになってしまう。茫然とする葛原の嫁、社員たちは必死に荷物を退かし、ヤスは救急車で病院に運ばれる。事故の知らせを受けたアキラ（佐藤健）やたえ子（麻生祐未）は急いで搬送された病院へ向かう。  父と子、「とんび」の30年間の物語が終わるー。市川安男…内野聖陽  市川旭…佐藤健  坂本由美…吹石一恵  幸恵…加藤貴子  ○   市川美佐子…常盤貴子  ○  "&amp;"照雲…野村宏伸  たえ子…麻生祐未  海雲…柄本明  ほか福山雅治  「誕生日には真白な百合を」 (ユニバーサルJ)『とんび』最終話スペシャル予告動画を公開しました！こちらからどうぞ！  http://youtu.be/y9encvfmwko    家族の愛の物語...『とんび』最終話(3月17日)スペシャル予告  http://youtu.be/y9encvfmwko原作：重松清  「とんび」(角川文庫刊)  脚本：森下佳子音楽：羽毛田丈史  音楽プロデュース：志田博英プロデュース：石丸彰彦  演出：平"&amp;"川雄一朗／山室大輔／中前勇児http://www.tbs.co.jp/TONBI/  番組の内容と放送時間は変更になる場合があります。")</f>
        <v>平成11年（1999年）冬。ヤス（内野聖陽）は走っているフォークリフトの積荷の下敷きになりそうになった葛原の嫁（橋本真実）の孫を助けようとして、代わりに下敷きになってしまう。茫然とする葛原の嫁、社員たちは必死に荷物を退かし、ヤスは救急車で病院に運ばれる。事故の知らせを受けたアキラ（佐藤健）やたえ子（麻生祐未）は急いで搬送された病院へ向かう。  父と子、「とんび」の30年間の物語が終わるー。市川安男…内野聖陽  市川旭…佐藤健  坂本由美…吹石一恵  幸恵…加藤貴子  ○   市川美佐子…常盤貴子  ○  照雲…野村宏伸  たえ子…麻生祐未  海雲…柄本明  ほか福山雅治  「誕生日には真白な百合を」 (ユニバーサルJ)『とんび』最終話スペシャル予告動画を公開しました！こちらからどうぞ！  http://youtu.be/y9encvfmwko    家族の愛の物語...『とんび』最終話(3月17日)スペシャル予告  http://youtu.be/y9encvfmwko原作：重松清  「とんび」(角川文庫刊)  脚本：森下佳子音楽：羽毛田丈史  音楽プロデュース：志田博英プロデュース：石丸彰彦  演出：平川雄一朗／山室大輔／中前勇児http://www.tbs.co.jp/TONBI/  番組の内容と放送時間は変更になる場合があります。</v>
      </c>
      <c r="N5551" s="2"/>
      <c r="O5551" s="2"/>
      <c r="P5551" s="1"/>
      <c r="Q5551" s="1"/>
      <c r="R5551" s="1"/>
      <c r="S5551" s="1"/>
      <c r="T5551" s="1"/>
      <c r="U5551" s="1"/>
      <c r="V5551" s="1"/>
      <c r="W5551" s="1"/>
      <c r="X5551" s="1"/>
      <c r="Y5551" s="1"/>
      <c r="Z5551" s="1"/>
      <c r="AA5551" s="1"/>
      <c r="AB5551" s="1"/>
      <c r="AC5551" s="1"/>
      <c r="AD5551" s="1"/>
      <c r="AE5551" s="1"/>
      <c r="AF5551" s="1"/>
      <c r="AG5551" s="1"/>
      <c r="AH5551" s="1"/>
      <c r="AI5551" s="1"/>
      <c r="AJ5551" s="1"/>
      <c r="AK5551" s="1"/>
      <c r="AL5551" s="1"/>
      <c r="AM5551" s="1"/>
      <c r="AN5551" s="1"/>
      <c r="AO5551" s="1"/>
      <c r="AP5551" s="1"/>
      <c r="AQ5551" s="1"/>
      <c r="AR5551" s="1"/>
      <c r="AS5551" s="1"/>
      <c r="AT5551" s="1"/>
      <c r="AU5551" s="1"/>
      <c r="AV5551" s="1"/>
      <c r="AW5551" s="1"/>
      <c r="AX5551" s="1"/>
      <c r="AY5551" s="1"/>
      <c r="AZ5551" s="1"/>
      <c r="BA5551" s="1"/>
      <c r="BB5551" s="1"/>
    </row>
    <row r="5552" ht="204.75" customHeight="1">
      <c r="A5552" s="1">
        <v>3532.0</v>
      </c>
      <c r="B5552" s="2" t="s">
        <v>15248</v>
      </c>
      <c r="C5552" s="2">
        <f>IFERROR(__xludf.DUMMYFUNCTION("split(B5552,""_"")"),1210.0)</f>
        <v>1210</v>
      </c>
      <c r="D5552" s="2" t="str">
        <f>IFERROR(__xludf.DUMMYFUNCTION("""COMPUTED_VALUE"""),"TBS")</f>
        <v>TBS</v>
      </c>
      <c r="E5552" s="2" t="str">
        <f>IFERROR(__xludf.DUMMYFUNCTION("""COMPUTED_VALUE"""),"月20")</f>
        <v>月20</v>
      </c>
      <c r="F5552" s="2" t="s">
        <v>15249</v>
      </c>
      <c r="G5552" s="2" t="s">
        <v>15250</v>
      </c>
      <c r="H5552" s="1">
        <v>1.0</v>
      </c>
      <c r="J5552" s="1" t="s">
        <v>7151</v>
      </c>
      <c r="K5552" s="2" t="s">
        <v>15251</v>
      </c>
      <c r="L5552" s="2"/>
      <c r="M5552" s="2" t="str">
        <f>IFERROR(__xludf.DUMMYFUNCTION("split(split(K5552,""【"",false),""公式LINE"",false)"),"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根"&amp;"岸季衣　渡辺哲　寺脇康文　財前直見星野真里　窪田正孝　大沢健ほか『My Perfect　Blue 』柴崎コウ原作：宮部みゆき『パーフェクト ブルー』『心とろかすようなーマサの事件簿』（創元推理文庫）  脚本：山崎淳也  プロデューサー：白石統一郎、晴野善博  音楽：寺田志保  演出:唐木希浩  編成:永山由紀子http://www.tbs.co.jp/perfect-blue  番組のホームページでは、番組の情報や可愛らしいグッズを紹介しています。  ぜひ、ごらんになってください。『パーフェクト・ブルー』"&amp;"第1話予告動画公開中！  http://youtu.be/2XJYoq72NDI  番外編「糸子のいーとこどり」1 も！  http://youtu.be/9ugHrs_pZ1Q  C．A．L番組の内容と放送時間は変更になる場合があります。")</f>
        <v>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根岸季衣　渡辺哲　寺脇康文　財前直見星野真里　窪田正孝　大沢健ほか『My Perfect　Blue 』柴崎コウ原作：宮部みゆき『パーフェクト ブルー』『心とろかすようなーマサの事件簿』（創元推理文庫）  脚本：山崎淳也  プロデューサー：白石統一郎、晴野善博  音楽：寺田志保  演出:唐木希浩  編成:永山由紀子http://www.tbs.co.jp/perfect-blue  番組のホームページでは、番組の情報や可愛らしいグッズを紹介しています。  ぜひ、ごらんになってください。『パーフェクト・ブルー』第1話予告動画公開中！  http://youtu.be/2XJYoq72NDI  番外編「糸子のいーとこどり」1 も！  http://youtu.be/9ugHrs_pZ1Q  C．A．L番組の内容と放送時間は変更になる場合があります。</v>
      </c>
      <c r="N5552" s="2"/>
      <c r="O5552" s="2"/>
      <c r="P5552" s="1"/>
      <c r="Q5552" s="1"/>
      <c r="R5552" s="1"/>
      <c r="S5552" s="1"/>
      <c r="T5552" s="1"/>
      <c r="U5552" s="1"/>
      <c r="V5552" s="1"/>
      <c r="W5552" s="1"/>
      <c r="X5552" s="1"/>
      <c r="Y5552" s="1"/>
      <c r="Z5552" s="1"/>
      <c r="AA5552" s="1"/>
      <c r="AB5552" s="1"/>
      <c r="AC5552" s="1"/>
      <c r="AD5552" s="1"/>
      <c r="AE5552" s="1"/>
      <c r="AF5552" s="1"/>
      <c r="AG5552" s="1"/>
      <c r="AH5552" s="1"/>
      <c r="AI5552" s="1"/>
      <c r="AJ5552" s="1"/>
      <c r="AK5552" s="1"/>
      <c r="AL5552" s="1"/>
      <c r="AM5552" s="1"/>
      <c r="AN5552" s="1"/>
      <c r="AO5552" s="1"/>
      <c r="AP5552" s="1"/>
      <c r="AQ5552" s="1"/>
      <c r="AR5552" s="1"/>
      <c r="AS5552" s="1"/>
      <c r="AT5552" s="1"/>
      <c r="AU5552" s="1"/>
      <c r="AV5552" s="1"/>
      <c r="AW5552" s="1"/>
      <c r="AX5552" s="1"/>
      <c r="AY5552" s="1"/>
      <c r="AZ5552" s="1"/>
      <c r="BA5552" s="1"/>
      <c r="BB5552" s="1"/>
    </row>
    <row r="5553" ht="204.75" customHeight="1">
      <c r="A5553" s="1">
        <v>3533.0</v>
      </c>
      <c r="B5553" s="2" t="s">
        <v>15248</v>
      </c>
      <c r="C5553" s="2">
        <f>IFERROR(__xludf.DUMMYFUNCTION("split(B5553,""_"")"),1210.0)</f>
        <v>1210</v>
      </c>
      <c r="D5553" s="2" t="str">
        <f>IFERROR(__xludf.DUMMYFUNCTION("""COMPUTED_VALUE"""),"TBS")</f>
        <v>TBS</v>
      </c>
      <c r="E5553" s="2" t="str">
        <f>IFERROR(__xludf.DUMMYFUNCTION("""COMPUTED_VALUE"""),"月20")</f>
        <v>月20</v>
      </c>
      <c r="F5553" s="2" t="s">
        <v>15249</v>
      </c>
      <c r="G5553" s="2" t="s">
        <v>15252</v>
      </c>
      <c r="H5553" s="1">
        <v>2.0</v>
      </c>
      <c r="J5553" s="1" t="s">
        <v>7151</v>
      </c>
      <c r="K5553" s="2" t="s">
        <v>15253</v>
      </c>
      <c r="L5553" s="2"/>
      <c r="M5553" s="2" t="str">
        <f>IFERROR(__xludf.DUMMYFUNCTION("split(split(K5553,""【"",false),""公式LINE"",false)"),"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根"&amp;"岸季衣　渡辺哲　寺脇康文　財前直見平岡拓真　根岸泰樹　山崎一(他)『My Perfect　Blue 』柴咲コウ原作：宮部みゆき『パーフェクト ブルー』『心とろかすようなーマサの事件簿』（創元推理文庫）  脚本：山崎淳也  プロデューサー：白石統一郎、晴野善博  音楽：寺田志保  演出:唐木希浩  編成:永山由紀子第2話予告動画公開中！  こちらからどうぞ♪  http://youtu.be/1rXt5na_wII  http://www.tbs.co.jp/perfect-blue  番組のホームページで"&amp;"は、番組の情報や可愛らしいグッズを紹介しています。  ぜひ、ごらんになってください。C．A．L番組の内容と放送時間は変更になる場合があります。")</f>
        <v>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根岸季衣　渡辺哲　寺脇康文　財前直見平岡拓真　根岸泰樹　山崎一(他)『My Perfect　Blue 』柴咲コウ原作：宮部みゆき『パーフェクト ブルー』『心とろかすようなーマサの事件簿』（創元推理文庫）  脚本：山崎淳也  プロデューサー：白石統一郎、晴野善博  音楽：寺田志保  演出:唐木希浩  編成:永山由紀子第2話予告動画公開中！  こちらからどうぞ♪  http://youtu.be/1rXt5na_wII  http://www.tbs.co.jp/perfect-blue  番組のホームページでは、番組の情報や可愛らしいグッズを紹介しています。  ぜひ、ごらんになってください。C．A．L番組の内容と放送時間は変更になる場合があります。</v>
      </c>
      <c r="N5553" s="2"/>
      <c r="O5553" s="2"/>
      <c r="P5553" s="1"/>
      <c r="Q5553" s="1"/>
      <c r="R5553" s="1"/>
      <c r="S5553" s="1"/>
      <c r="T5553" s="1"/>
      <c r="U5553" s="1"/>
      <c r="V5553" s="1"/>
      <c r="W5553" s="1"/>
      <c r="X5553" s="1"/>
      <c r="Y5553" s="1"/>
      <c r="Z5553" s="1"/>
      <c r="AA5553" s="1"/>
      <c r="AB5553" s="1"/>
      <c r="AC5553" s="1"/>
      <c r="AD5553" s="1"/>
      <c r="AE5553" s="1"/>
      <c r="AF5553" s="1"/>
      <c r="AG5553" s="1"/>
      <c r="AH5553" s="1"/>
      <c r="AI5553" s="1"/>
      <c r="AJ5553" s="1"/>
      <c r="AK5553" s="1"/>
      <c r="AL5553" s="1"/>
      <c r="AM5553" s="1"/>
      <c r="AN5553" s="1"/>
      <c r="AO5553" s="1"/>
      <c r="AP5553" s="1"/>
      <c r="AQ5553" s="1"/>
      <c r="AR5553" s="1"/>
      <c r="AS5553" s="1"/>
      <c r="AT5553" s="1"/>
      <c r="AU5553" s="1"/>
      <c r="AV5553" s="1"/>
      <c r="AW5553" s="1"/>
      <c r="AX5553" s="1"/>
      <c r="AY5553" s="1"/>
      <c r="AZ5553" s="1"/>
      <c r="BA5553" s="1"/>
      <c r="BB5553" s="1"/>
    </row>
    <row r="5554" ht="204.75" customHeight="1">
      <c r="A5554" s="1">
        <v>3534.0</v>
      </c>
      <c r="B5554" s="2" t="s">
        <v>15248</v>
      </c>
      <c r="C5554" s="2">
        <f>IFERROR(__xludf.DUMMYFUNCTION("split(B5554,""_"")"),1210.0)</f>
        <v>1210</v>
      </c>
      <c r="D5554" s="2" t="str">
        <f>IFERROR(__xludf.DUMMYFUNCTION("""COMPUTED_VALUE"""),"TBS")</f>
        <v>TBS</v>
      </c>
      <c r="E5554" s="2" t="str">
        <f>IFERROR(__xludf.DUMMYFUNCTION("""COMPUTED_VALUE"""),"月20")</f>
        <v>月20</v>
      </c>
      <c r="F5554" s="2" t="s">
        <v>15249</v>
      </c>
      <c r="G5554" s="2" t="s">
        <v>15254</v>
      </c>
      <c r="H5554" s="1">
        <v>3.0</v>
      </c>
      <c r="J5554" s="1" t="s">
        <v>7151</v>
      </c>
      <c r="K5554" s="2" t="s">
        <v>15255</v>
      </c>
      <c r="L5554" s="2"/>
      <c r="M5554" s="2" t="str">
        <f>IFERROR(__xludf.DUMMYFUNCTION("split(split(K5554,""【"",false),""公式LINE"",false)"),"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根"&amp;"岸季衣　渡辺哲　寺脇康文　財前直見手塚里美　愛華みれ　歌川椎子　水谷妃里(他)『My Perfect　Blue 』柴咲コウ原作：宮部みゆき『パーフェクト ブルー』『心とろかすようなーマサの事件簿』（創元推理文庫）  脚本：山崎淳也  プロデューサー：白石統一郎、晴野善博  音楽：寺田志保  演出:唐木希浩  編成:永山由紀子http://www.tbs.co.jp/perfect-blue  番組のホームページでは、番組の情報や可愛らしいグッズを紹介しています。  ぜひ、ごらんになってください。下記動画を"&amp;"公開中です！こちらからどうぞ♪  ■『パーフェクト・ブルー』番外編「糸子のいーとこどり」3  http://youtu.be/KT86W5knMDI  C．A．L番組の内容と放送時間は変更になる場合があります。")</f>
        <v>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根岸季衣　渡辺哲　寺脇康文　財前直見手塚里美　愛華みれ　歌川椎子　水谷妃里(他)『My Perfect　Blue 』柴咲コウ原作：宮部みゆき『パーフェクト ブルー』『心とろかすようなーマサの事件簿』（創元推理文庫）  脚本：山崎淳也  プロデューサー：白石統一郎、晴野善博  音楽：寺田志保  演出:唐木希浩  編成:永山由紀子http://www.tbs.co.jp/perfect-blue  番組のホームページでは、番組の情報や可愛らしいグッズを紹介しています。  ぜひ、ごらんになってください。下記動画を公開中です！こちらからどうぞ♪  ■『パーフェクト・ブルー』番外編「糸子のいーとこどり」3  http://youtu.be/KT86W5knMDI  C．A．L番組の内容と放送時間は変更になる場合があります。</v>
      </c>
      <c r="N5554" s="2"/>
      <c r="O5554" s="2"/>
      <c r="P5554" s="1"/>
      <c r="Q5554" s="1"/>
      <c r="R5554" s="1"/>
      <c r="S5554" s="1"/>
      <c r="T5554" s="1"/>
      <c r="U5554" s="1"/>
      <c r="V5554" s="1"/>
      <c r="W5554" s="1"/>
      <c r="X5554" s="1"/>
      <c r="Y5554" s="1"/>
      <c r="Z5554" s="1"/>
      <c r="AA5554" s="1"/>
      <c r="AB5554" s="1"/>
      <c r="AC5554" s="1"/>
      <c r="AD5554" s="1"/>
      <c r="AE5554" s="1"/>
      <c r="AF5554" s="1"/>
      <c r="AG5554" s="1"/>
      <c r="AH5554" s="1"/>
      <c r="AI5554" s="1"/>
      <c r="AJ5554" s="1"/>
      <c r="AK5554" s="1"/>
      <c r="AL5554" s="1"/>
      <c r="AM5554" s="1"/>
      <c r="AN5554" s="1"/>
      <c r="AO5554" s="1"/>
      <c r="AP5554" s="1"/>
      <c r="AQ5554" s="1"/>
      <c r="AR5554" s="1"/>
      <c r="AS5554" s="1"/>
      <c r="AT5554" s="1"/>
      <c r="AU5554" s="1"/>
      <c r="AV5554" s="1"/>
      <c r="AW5554" s="1"/>
      <c r="AX5554" s="1"/>
      <c r="AY5554" s="1"/>
      <c r="AZ5554" s="1"/>
      <c r="BA5554" s="1"/>
      <c r="BB5554" s="1"/>
    </row>
    <row r="5555" ht="204.75" customHeight="1">
      <c r="A5555" s="1">
        <v>3535.0</v>
      </c>
      <c r="B5555" s="2" t="s">
        <v>15248</v>
      </c>
      <c r="C5555" s="2">
        <f>IFERROR(__xludf.DUMMYFUNCTION("split(B5555,""_"")"),1210.0)</f>
        <v>1210</v>
      </c>
      <c r="D5555" s="2" t="str">
        <f>IFERROR(__xludf.DUMMYFUNCTION("""COMPUTED_VALUE"""),"TBS")</f>
        <v>TBS</v>
      </c>
      <c r="E5555" s="2" t="str">
        <f>IFERROR(__xludf.DUMMYFUNCTION("""COMPUTED_VALUE"""),"月20")</f>
        <v>月20</v>
      </c>
      <c r="F5555" s="2" t="s">
        <v>15249</v>
      </c>
      <c r="G5555" s="2" t="s">
        <v>15256</v>
      </c>
      <c r="H5555" s="1">
        <v>4.0</v>
      </c>
      <c r="J5555" s="1" t="s">
        <v>7151</v>
      </c>
      <c r="K5555" s="2" t="s">
        <v>15257</v>
      </c>
      <c r="L5555" s="2"/>
      <c r="M5555" s="2" t="str">
        <f>IFERROR(__xludf.DUMMYFUNCTION("split(split(K5555,""【"",false),""公式LINE"",false)"),"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平山あや、水上剣星、白鳥久美子（たんぽぽ）、中川大志、高橋春織、麻生かほ里、船越英一郎（友情出演）、根"&amp;"岸季衣、渡辺哲、寺脇康文、財前直見葛山信吾、早織、利重剛、戸谷公人『My Perfect　Blue 』柴咲コウ原作：宮部みゆき『心とろかすようなーマサの事件簿』（創元推理文庫）  脚本：高橋悠也  プロデューサー：白石統一郎、晴野善博  音楽：寺田志保  演出:浅見真史  編成:永山由紀子  http://www.tbs.co.jp/perfect-blue  番組のホームページでは、番組の情報や可愛らしいグッズを紹介しています。  ぜひ、ごらんになってください。C．A．L  番組のホームページでは、番組"&amp;"の情報や可愛らしいグッズを紹介しています。  ぜひ、ごらんになってください。番組の内容と放送時間は変更になる場合があります。")</f>
        <v>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平山あや、水上剣星、白鳥久美子（たんぽぽ）、中川大志、高橋春織、麻生かほ里、船越英一郎（友情出演）、根岸季衣、渡辺哲、寺脇康文、財前直見葛山信吾、早織、利重剛、戸谷公人『My Perfect　Blue 』柴咲コウ原作：宮部みゆき『心とろかすようなーマサの事件簿』（創元推理文庫）  脚本：高橋悠也  プロデューサー：白石統一郎、晴野善博  音楽：寺田志保  演出:浅見真史  編成:永山由紀子  http://www.tbs.co.jp/perfect-blue  番組のホームページでは、番組の情報や可愛らしいグッズを紹介しています。  ぜひ、ごらんになってください。C．A．L  番組のホームページでは、番組の情報や可愛らしいグッズを紹介しています。  ぜひ、ごらんになってください。番組の内容と放送時間は変更になる場合があります。</v>
      </c>
      <c r="N5555" s="2"/>
      <c r="O5555" s="2"/>
      <c r="P5555" s="1"/>
      <c r="Q5555" s="1"/>
      <c r="R5555" s="1"/>
      <c r="S5555" s="1"/>
      <c r="T5555" s="1"/>
      <c r="U5555" s="1"/>
      <c r="V5555" s="1"/>
      <c r="W5555" s="1"/>
      <c r="X5555" s="1"/>
      <c r="Y5555" s="1"/>
      <c r="Z5555" s="1"/>
      <c r="AA5555" s="1"/>
      <c r="AB5555" s="1"/>
      <c r="AC5555" s="1"/>
      <c r="AD5555" s="1"/>
      <c r="AE5555" s="1"/>
      <c r="AF5555" s="1"/>
      <c r="AG5555" s="1"/>
      <c r="AH5555" s="1"/>
      <c r="AI5555" s="1"/>
      <c r="AJ5555" s="1"/>
      <c r="AK5555" s="1"/>
      <c r="AL5555" s="1"/>
      <c r="AM5555" s="1"/>
      <c r="AN5555" s="1"/>
      <c r="AO5555" s="1"/>
      <c r="AP5555" s="1"/>
      <c r="AQ5555" s="1"/>
      <c r="AR5555" s="1"/>
      <c r="AS5555" s="1"/>
      <c r="AT5555" s="1"/>
      <c r="AU5555" s="1"/>
      <c r="AV5555" s="1"/>
      <c r="AW5555" s="1"/>
      <c r="AX5555" s="1"/>
      <c r="AY5555" s="1"/>
      <c r="AZ5555" s="1"/>
      <c r="BA5555" s="1"/>
      <c r="BB5555" s="1"/>
    </row>
    <row r="5556" ht="204.75" customHeight="1">
      <c r="A5556" s="1">
        <v>3536.0</v>
      </c>
      <c r="B5556" s="2" t="s">
        <v>15248</v>
      </c>
      <c r="C5556" s="2">
        <f>IFERROR(__xludf.DUMMYFUNCTION("split(B5556,""_"")"),1210.0)</f>
        <v>1210</v>
      </c>
      <c r="D5556" s="2" t="str">
        <f>IFERROR(__xludf.DUMMYFUNCTION("""COMPUTED_VALUE"""),"TBS")</f>
        <v>TBS</v>
      </c>
      <c r="E5556" s="2" t="str">
        <f>IFERROR(__xludf.DUMMYFUNCTION("""COMPUTED_VALUE"""),"月20")</f>
        <v>月20</v>
      </c>
      <c r="F5556" s="2" t="s">
        <v>15249</v>
      </c>
      <c r="G5556" s="2" t="s">
        <v>15258</v>
      </c>
      <c r="H5556" s="1">
        <v>5.0</v>
      </c>
      <c r="J5556" s="1" t="s">
        <v>7151</v>
      </c>
      <c r="K5556" s="2" t="s">
        <v>15259</v>
      </c>
      <c r="L5556" s="2"/>
      <c r="M5556" s="2" t="str">
        <f>IFERROR(__xludf.DUMMYFUNCTION("split(split(K5556,""【"",false),""公式LINE"",false)"),"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平山あや、水上剣星、白鳥久美子（たんぽぽ）、中川大志、高橋春織、麻生かほ里、船越英一郎（友情出演）、根"&amp;"岸季衣、渡辺哲、寺脇康文、財前直見杉田かおる、菅原大吉、モロ師岡ほか『My Perfect　Blue 』柴咲コウ原作：宮部みゆき『心とろかすようなーマサの事件簿』（創元推理文庫）  脚本：高橋悠也  プロデューサー：白石統一郎、晴野善博  音楽：寺田志保  演出:浅見真史  編成:永山由紀子http://www.tbs.co.jp/perfect-blue  番組のホームページでは、番組の情報や可愛らしいグッズを紹介しています。  ぜひ、ごらんになってください。■番外編「糸子のいーとこどり」5公開中！こち"&amp;"らからどうぞ♪  http://youtu.be/uFUqNupiz-o  C．A．L  番組の内容と放送時間は変更になる場合があります。")</f>
        <v>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平山あや、水上剣星、白鳥久美子（たんぽぽ）、中川大志、高橋春織、麻生かほ里、船越英一郎（友情出演）、根岸季衣、渡辺哲、寺脇康文、財前直見杉田かおる、菅原大吉、モロ師岡ほか『My Perfect　Blue 』柴咲コウ原作：宮部みゆき『心とろかすようなーマサの事件簿』（創元推理文庫）  脚本：高橋悠也  プロデューサー：白石統一郎、晴野善博  音楽：寺田志保  演出:浅見真史  編成:永山由紀子http://www.tbs.co.jp/perfect-blue  番組のホームページでは、番組の情報や可愛らしいグッズを紹介しています。  ぜひ、ごらんになってください。■番外編「糸子のいーとこどり」5公開中！こちらからどうぞ♪  http://youtu.be/uFUqNupiz-o  C．A．L  番組の内容と放送時間は変更になる場合があります。</v>
      </c>
      <c r="N5556" s="2"/>
      <c r="O5556" s="2"/>
      <c r="P5556" s="1"/>
      <c r="Q5556" s="1"/>
      <c r="R5556" s="1"/>
      <c r="S5556" s="1"/>
      <c r="T5556" s="1"/>
      <c r="U5556" s="1"/>
      <c r="V5556" s="1"/>
      <c r="W5556" s="1"/>
      <c r="X5556" s="1"/>
      <c r="Y5556" s="1"/>
      <c r="Z5556" s="1"/>
      <c r="AA5556" s="1"/>
      <c r="AB5556" s="1"/>
      <c r="AC5556" s="1"/>
      <c r="AD5556" s="1"/>
      <c r="AE5556" s="1"/>
      <c r="AF5556" s="1"/>
      <c r="AG5556" s="1"/>
      <c r="AH5556" s="1"/>
      <c r="AI5556" s="1"/>
      <c r="AJ5556" s="1"/>
      <c r="AK5556" s="1"/>
      <c r="AL5556" s="1"/>
      <c r="AM5556" s="1"/>
      <c r="AN5556" s="1"/>
      <c r="AO5556" s="1"/>
      <c r="AP5556" s="1"/>
      <c r="AQ5556" s="1"/>
      <c r="AR5556" s="1"/>
      <c r="AS5556" s="1"/>
      <c r="AT5556" s="1"/>
      <c r="AU5556" s="1"/>
      <c r="AV5556" s="1"/>
      <c r="AW5556" s="1"/>
      <c r="AX5556" s="1"/>
      <c r="AY5556" s="1"/>
      <c r="AZ5556" s="1"/>
      <c r="BA5556" s="1"/>
      <c r="BB5556" s="1"/>
    </row>
    <row r="5557" ht="204.75" customHeight="1">
      <c r="A5557" s="1">
        <v>3537.0</v>
      </c>
      <c r="B5557" s="2" t="s">
        <v>15248</v>
      </c>
      <c r="C5557" s="2">
        <f>IFERROR(__xludf.DUMMYFUNCTION("split(B5557,""_"")"),1210.0)</f>
        <v>1210</v>
      </c>
      <c r="D5557" s="2" t="str">
        <f>IFERROR(__xludf.DUMMYFUNCTION("""COMPUTED_VALUE"""),"TBS")</f>
        <v>TBS</v>
      </c>
      <c r="E5557" s="2" t="str">
        <f>IFERROR(__xludf.DUMMYFUNCTION("""COMPUTED_VALUE"""),"月20")</f>
        <v>月20</v>
      </c>
      <c r="F5557" s="2" t="s">
        <v>15249</v>
      </c>
      <c r="G5557" s="2" t="s">
        <v>15260</v>
      </c>
      <c r="H5557" s="1">
        <v>6.0</v>
      </c>
      <c r="J5557" s="1" t="s">
        <v>7151</v>
      </c>
      <c r="K5557" s="2" t="s">
        <v>15261</v>
      </c>
      <c r="L5557" s="2"/>
      <c r="M5557" s="2" t="str">
        <f>IFERROR(__xludf.DUMMYFUNCTION("split(split(K5557,""【"",false),""公式LINE"",false)"),"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平山あや、水上剣星、白鳥久美子（たんぽぽ）、中川大志、高橋春織、麻生かほ里、船越英一郎（友情出演）、根"&amp;"岸季衣、渡辺哲、寺脇康文、財前直見MEGUMI、細田よしひこ、浜田晃、風祭ゆき ほか『My Perfect　Blue 』柴咲コウ原作：宮部みゆき『パーフェクト ブルー』『心とろかすようなーマサの事件簿』（創元推理文庫）  脚本：高橋悠也  プロデューサー：白石統一郎、晴野善博  音楽：寺田志保  演出:唐木希浩  編成:永山由紀子http://www.tbs.co.jp/perfect-blue  番組のホームページでは、番組の情報や可愛らしいグッズを紹介しています。  ぜひ、ごらんになってください。C．"&amp;"A．L番組の内容と放送時間は変更になる場合があります。")</f>
        <v>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平山あや、水上剣星、白鳥久美子（たんぽぽ）、中川大志、高橋春織、麻生かほ里、船越英一郎（友情出演）、根岸季衣、渡辺哲、寺脇康文、財前直見MEGUMI、細田よしひこ、浜田晃、風祭ゆき ほか『My Perfect　Blue 』柴咲コウ原作：宮部みゆき『パーフェクト ブルー』『心とろかすようなーマサの事件簿』（創元推理文庫）  脚本：高橋悠也  プロデューサー：白石統一郎、晴野善博  音楽：寺田志保  演出:唐木希浩  編成:永山由紀子http://www.tbs.co.jp/perfect-blue  番組のホームページでは、番組の情報や可愛らしいグッズを紹介しています。  ぜひ、ごらんになってください。C．A．L番組の内容と放送時間は変更になる場合があります。</v>
      </c>
      <c r="N5557" s="2"/>
      <c r="O5557" s="2"/>
      <c r="P5557" s="1"/>
      <c r="Q5557" s="1"/>
      <c r="R5557" s="1"/>
      <c r="S5557" s="1"/>
      <c r="T5557" s="1"/>
      <c r="U5557" s="1"/>
      <c r="V5557" s="1"/>
      <c r="W5557" s="1"/>
      <c r="X5557" s="1"/>
      <c r="Y5557" s="1"/>
      <c r="Z5557" s="1"/>
      <c r="AA5557" s="1"/>
      <c r="AB5557" s="1"/>
      <c r="AC5557" s="1"/>
      <c r="AD5557" s="1"/>
      <c r="AE5557" s="1"/>
      <c r="AF5557" s="1"/>
      <c r="AG5557" s="1"/>
      <c r="AH5557" s="1"/>
      <c r="AI5557" s="1"/>
      <c r="AJ5557" s="1"/>
      <c r="AK5557" s="1"/>
      <c r="AL5557" s="1"/>
      <c r="AM5557" s="1"/>
      <c r="AN5557" s="1"/>
      <c r="AO5557" s="1"/>
      <c r="AP5557" s="1"/>
      <c r="AQ5557" s="1"/>
      <c r="AR5557" s="1"/>
      <c r="AS5557" s="1"/>
      <c r="AT5557" s="1"/>
      <c r="AU5557" s="1"/>
      <c r="AV5557" s="1"/>
      <c r="AW5557" s="1"/>
      <c r="AX5557" s="1"/>
      <c r="AY5557" s="1"/>
      <c r="AZ5557" s="1"/>
      <c r="BA5557" s="1"/>
      <c r="BB5557" s="1"/>
    </row>
    <row r="5558" ht="204.75" customHeight="1">
      <c r="A5558" s="1">
        <v>3538.0</v>
      </c>
      <c r="B5558" s="2" t="s">
        <v>15248</v>
      </c>
      <c r="C5558" s="2">
        <f>IFERROR(__xludf.DUMMYFUNCTION("split(B5558,""_"")"),1210.0)</f>
        <v>1210</v>
      </c>
      <c r="D5558" s="2" t="str">
        <f>IFERROR(__xludf.DUMMYFUNCTION("""COMPUTED_VALUE"""),"TBS")</f>
        <v>TBS</v>
      </c>
      <c r="E5558" s="2" t="str">
        <f>IFERROR(__xludf.DUMMYFUNCTION("""COMPUTED_VALUE"""),"月20")</f>
        <v>月20</v>
      </c>
      <c r="F5558" s="2" t="s">
        <v>15249</v>
      </c>
      <c r="G5558" s="2" t="s">
        <v>15262</v>
      </c>
      <c r="H5558" s="1">
        <v>7.0</v>
      </c>
      <c r="J5558" s="1" t="s">
        <v>7151</v>
      </c>
      <c r="K5558" s="2" t="s">
        <v>15263</v>
      </c>
      <c r="L5558" s="2"/>
      <c r="M5558" s="2" t="str">
        <f>IFERROR(__xludf.DUMMYFUNCTION("split(split(K5558,""【"",false),""公式LINE"",false)"),"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根"&amp;"岸季衣　渡辺哲　寺脇康文　財前直見鶴見辰吾　田島令子　堀内正美『My Perfect　Blue 』柴咲コウ原作：宮部みゆき『心とろかすようなーマサの事件簿』（創元推理文庫）  脚本：高橋悠也  プロデューサー：白石統一郎　晴野善博　  音楽：寺田志保  演出:浅見真史  編成:永山由紀子http://www.tbs.co.jp/perfect-blue  番組のホームページでは、番組の情報や可愛らしいグッズを紹介しています。  ぜひ、ごらんになってください。第7話予告動画を公開中！  こちらからどうぞ♪ "&amp;" http://youtu.be/jqv1x1W76go  C．A．L番組の内容と放送時間は変更になる場合があります。")</f>
        <v>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根岸季衣　渡辺哲　寺脇康文　財前直見鶴見辰吾　田島令子　堀内正美『My Perfect　Blue 』柴咲コウ原作：宮部みゆき『心とろかすようなーマサの事件簿』（創元推理文庫）  脚本：高橋悠也  プロデューサー：白石統一郎　晴野善博　  音楽：寺田志保  演出:浅見真史  編成:永山由紀子http://www.tbs.co.jp/perfect-blue  番組のホームページでは、番組の情報や可愛らしいグッズを紹介しています。  ぜひ、ごらんになってください。第7話予告動画を公開中！  こちらからどうぞ♪  http://youtu.be/jqv1x1W76go  C．A．L番組の内容と放送時間は変更になる場合があります。</v>
      </c>
      <c r="N5558" s="2"/>
      <c r="O5558" s="2"/>
      <c r="P5558" s="1"/>
      <c r="Q5558" s="1"/>
      <c r="R5558" s="1"/>
      <c r="S5558" s="1"/>
      <c r="T5558" s="1"/>
      <c r="U5558" s="1"/>
      <c r="V5558" s="1"/>
      <c r="W5558" s="1"/>
      <c r="X5558" s="1"/>
      <c r="Y5558" s="1"/>
      <c r="Z5558" s="1"/>
      <c r="AA5558" s="1"/>
      <c r="AB5558" s="1"/>
      <c r="AC5558" s="1"/>
      <c r="AD5558" s="1"/>
      <c r="AE5558" s="1"/>
      <c r="AF5558" s="1"/>
      <c r="AG5558" s="1"/>
      <c r="AH5558" s="1"/>
      <c r="AI5558" s="1"/>
      <c r="AJ5558" s="1"/>
      <c r="AK5558" s="1"/>
      <c r="AL5558" s="1"/>
      <c r="AM5558" s="1"/>
      <c r="AN5558" s="1"/>
      <c r="AO5558" s="1"/>
      <c r="AP5558" s="1"/>
      <c r="AQ5558" s="1"/>
      <c r="AR5558" s="1"/>
      <c r="AS5558" s="1"/>
      <c r="AT5558" s="1"/>
      <c r="AU5558" s="1"/>
      <c r="AV5558" s="1"/>
      <c r="AW5558" s="1"/>
      <c r="AX5558" s="1"/>
      <c r="AY5558" s="1"/>
      <c r="AZ5558" s="1"/>
      <c r="BA5558" s="1"/>
      <c r="BB5558" s="1"/>
    </row>
    <row r="5559" ht="204.75" customHeight="1">
      <c r="A5559" s="1">
        <v>3539.0</v>
      </c>
      <c r="B5559" s="2" t="s">
        <v>15248</v>
      </c>
      <c r="C5559" s="2">
        <f>IFERROR(__xludf.DUMMYFUNCTION("split(B5559,""_"")"),1210.0)</f>
        <v>1210</v>
      </c>
      <c r="D5559" s="2" t="str">
        <f>IFERROR(__xludf.DUMMYFUNCTION("""COMPUTED_VALUE"""),"TBS")</f>
        <v>TBS</v>
      </c>
      <c r="E5559" s="2" t="str">
        <f>IFERROR(__xludf.DUMMYFUNCTION("""COMPUTED_VALUE"""),"月20")</f>
        <v>月20</v>
      </c>
      <c r="F5559" s="2" t="s">
        <v>15249</v>
      </c>
      <c r="G5559" s="2" t="s">
        <v>15264</v>
      </c>
      <c r="H5559" s="1">
        <v>8.0</v>
      </c>
      <c r="J5559" s="1" t="s">
        <v>7151</v>
      </c>
      <c r="K5559" s="2" t="s">
        <v>15265</v>
      </c>
      <c r="L5559" s="2"/>
      <c r="M5559" s="2" t="str">
        <f>IFERROR(__xludf.DUMMYFUNCTION("split(split(K5559,""【"",false),""公式LINE"",false)"),"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根"&amp;"岸季衣　渡辺哲　寺脇康文　財前直見横山めぐみ　堀部圭亮　中島ひろ子『My Perfect　Blue 』柴咲コウ原作：宮部みゆき『パーフェクト ブルー』『心とろかすようなーマサの事件簿』（創元推理文庫）  脚本：高橋悠也  プロデューサー：白石統一郎、晴野善博  音楽：寺田志保  演出:唐木希浩  編成:永山由紀子http://www.tbs.co.jp/perfect-blue  番組のホームページでは、番組の情報や可愛らしいグッズを紹介しています。  ぜひ、ごらんになってください。下記動画を公開中です！"&amp;"こちらからどうぞ♪  ■『パーフェクト ブルー』第8話予告  http://youtu.be/qk3Y5zAZDZI  ■『パーフェクト・ブルー』番外編「糸子のいーとこどり」8  http://youtu.be/TgBI4sf8Jas    C．A．L番組の内容と放送時間は変更になる場合があります。")</f>
        <v>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根岸季衣　渡辺哲　寺脇康文　財前直見横山めぐみ　堀部圭亮　中島ひろ子『My Perfect　Blue 』柴咲コウ原作：宮部みゆき『パーフェクト ブルー』『心とろかすようなーマサの事件簿』（創元推理文庫）  脚本：高橋悠也  プロデューサー：白石統一郎、晴野善博  音楽：寺田志保  演出:唐木希浩  編成:永山由紀子http://www.tbs.co.jp/perfect-blue  番組のホームページでは、番組の情報や可愛らしいグッズを紹介しています。  ぜひ、ごらんになってください。下記動画を公開中です！こちらからどうぞ♪  ■『パーフェクト ブルー』第8話予告  http://youtu.be/qk3Y5zAZDZI  ■『パーフェクト・ブルー』番外編「糸子のいーとこどり」8  http://youtu.be/TgBI4sf8Jas    C．A．L番組の内容と放送時間は変更になる場合があります。</v>
      </c>
      <c r="N5559" s="2"/>
      <c r="O5559" s="2"/>
      <c r="P5559" s="1"/>
      <c r="Q5559" s="1"/>
      <c r="R5559" s="1"/>
      <c r="S5559" s="1"/>
      <c r="T5559" s="1"/>
      <c r="U5559" s="1"/>
      <c r="V5559" s="1"/>
      <c r="W5559" s="1"/>
      <c r="X5559" s="1"/>
      <c r="Y5559" s="1"/>
      <c r="Z5559" s="1"/>
      <c r="AA5559" s="1"/>
      <c r="AB5559" s="1"/>
      <c r="AC5559" s="1"/>
      <c r="AD5559" s="1"/>
      <c r="AE5559" s="1"/>
      <c r="AF5559" s="1"/>
      <c r="AG5559" s="1"/>
      <c r="AH5559" s="1"/>
      <c r="AI5559" s="1"/>
      <c r="AJ5559" s="1"/>
      <c r="AK5559" s="1"/>
      <c r="AL5559" s="1"/>
      <c r="AM5559" s="1"/>
      <c r="AN5559" s="1"/>
      <c r="AO5559" s="1"/>
      <c r="AP5559" s="1"/>
      <c r="AQ5559" s="1"/>
      <c r="AR5559" s="1"/>
      <c r="AS5559" s="1"/>
      <c r="AT5559" s="1"/>
      <c r="AU5559" s="1"/>
      <c r="AV5559" s="1"/>
      <c r="AW5559" s="1"/>
      <c r="AX5559" s="1"/>
      <c r="AY5559" s="1"/>
      <c r="AZ5559" s="1"/>
      <c r="BA5559" s="1"/>
      <c r="BB5559" s="1"/>
    </row>
    <row r="5560" ht="204.75" customHeight="1">
      <c r="A5560" s="1">
        <v>3540.0</v>
      </c>
      <c r="B5560" s="2" t="s">
        <v>15248</v>
      </c>
      <c r="C5560" s="2">
        <f>IFERROR(__xludf.DUMMYFUNCTION("split(B5560,""_"")"),1210.0)</f>
        <v>1210</v>
      </c>
      <c r="D5560" s="2" t="str">
        <f>IFERROR(__xludf.DUMMYFUNCTION("""COMPUTED_VALUE"""),"TBS")</f>
        <v>TBS</v>
      </c>
      <c r="E5560" s="2" t="str">
        <f>IFERROR(__xludf.DUMMYFUNCTION("""COMPUTED_VALUE"""),"月20")</f>
        <v>月20</v>
      </c>
      <c r="F5560" s="2" t="s">
        <v>15249</v>
      </c>
      <c r="G5560" s="2" t="s">
        <v>15266</v>
      </c>
      <c r="H5560" s="1">
        <v>9.0</v>
      </c>
      <c r="J5560" s="1" t="s">
        <v>7151</v>
      </c>
      <c r="K5560" s="2" t="s">
        <v>15267</v>
      </c>
      <c r="L5560" s="2"/>
      <c r="M5560" s="2" t="str">
        <f>IFERROR(__xludf.DUMMYFUNCTION("split(split(K5560,""【"",false),""公式LINE"",false)"),"テレビで打者人形（野球のピッチャーが投球練習で打者の代わりに使用する人形）が燃やされる事件が頻繁に報道される最中、BAR「ラ・シーナ」のアルバイト・諸岡進也（中川大志）の母・諸岡久子（菊池麻衣子）が、進也の兄・克彦（野村周平）が脅迫されていると蓮見探偵事務所に相談に現れた。  克彦は球界からも注目されているピッチャーだが、「春の甲子園には出るな、（打者人形のように）燃やされるのはお前だ」と脅迫されているという。  しかし、克彦への脅迫を警察に訴え出れば、スキャンダルと騒がれ、甲子園の出場停止を言い渡されて"&amp;"しまう可能性もあると、蓮見探偵事務所に調査を依頼して来たのだ…。瀧本美織　平山あや　水上剣星　白鳥久美子（たんぽぽ）　中川大志　高橋春織　麻生かほ里　船越英一郎（友情出演）　根岸季衣　渡辺哲　寺脇康文　財前直見菊池麻衣子　野村周平　山埼銀之丞　奥貫薫『My Perfect　Blue 』柴咲コウ原作：宮部みゆき『パーフェクト ブルー』『心とろかすようなーマサの事件簿』（創元推理文庫）  脚本：高橋悠也  プロデューサー：白石統一郎、晴野善博  音楽：寺田志保  演出:唐木希浩  編成:永山由紀子http:/"&amp;"/www.tbs.co.jp/perfect-blue  番組のホームページでは、番組の情報や可愛らしいグッズを紹介しています。  ぜひ、ごらんになってください。▽9話の予告動画を公開中です！  http://youtu.be/u0y2PVY7edE  ▽「糸子のいーとこどり」9 も！  http://youtu.be/NTkUvZPVcho  C．A．L番組の内容と放送時間は変更になる場合があります。")</f>
        <v>テレビで打者人形（野球のピッチャーが投球練習で打者の代わりに使用する人形）が燃やされる事件が頻繁に報道される最中、BAR「ラ・シーナ」のアルバイト・諸岡進也（中川大志）の母・諸岡久子（菊池麻衣子）が、進也の兄・克彦（野村周平）が脅迫されていると蓮見探偵事務所に相談に現れた。  克彦は球界からも注目されているピッチャーだが、「春の甲子園には出るな、（打者人形のように）燃やされるのはお前だ」と脅迫されているという。  しかし、克彦への脅迫を警察に訴え出れば、スキャンダルと騒がれ、甲子園の出場停止を言い渡されてしまう可能性もあると、蓮見探偵事務所に調査を依頼して来たのだ…。瀧本美織　平山あや　水上剣星　白鳥久美子（たんぽぽ）　中川大志　高橋春織　麻生かほ里　船越英一郎（友情出演）　根岸季衣　渡辺哲　寺脇康文　財前直見菊池麻衣子　野村周平　山埼銀之丞　奥貫薫『My Perfect　Blue 』柴咲コウ原作：宮部みゆき『パーフェクト ブルー』『心とろかすようなーマサの事件簿』（創元推理文庫）  脚本：高橋悠也  プロデューサー：白石統一郎、晴野善博  音楽：寺田志保  演出:唐木希浩  編成:永山由紀子http://www.tbs.co.jp/perfect-blue  番組のホームページでは、番組の情報や可愛らしいグッズを紹介しています。  ぜひ、ごらんになってください。▽9話の予告動画を公開中です！  http://youtu.be/u0y2PVY7edE  ▽「糸子のいーとこどり」9 も！  http://youtu.be/NTkUvZPVcho  C．A．L番組の内容と放送時間は変更になる場合があります。</v>
      </c>
      <c r="N5560" s="2"/>
      <c r="O5560" s="2"/>
      <c r="P5560" s="1"/>
      <c r="Q5560" s="1"/>
      <c r="R5560" s="1"/>
      <c r="S5560" s="1"/>
      <c r="T5560" s="1"/>
      <c r="U5560" s="1"/>
      <c r="V5560" s="1"/>
      <c r="W5560" s="1"/>
      <c r="X5560" s="1"/>
      <c r="Y5560" s="1"/>
      <c r="Z5560" s="1"/>
      <c r="AA5560" s="1"/>
      <c r="AB5560" s="1"/>
      <c r="AC5560" s="1"/>
      <c r="AD5560" s="1"/>
      <c r="AE5560" s="1"/>
      <c r="AF5560" s="1"/>
      <c r="AG5560" s="1"/>
      <c r="AH5560" s="1"/>
      <c r="AI5560" s="1"/>
      <c r="AJ5560" s="1"/>
      <c r="AK5560" s="1"/>
      <c r="AL5560" s="1"/>
      <c r="AM5560" s="1"/>
      <c r="AN5560" s="1"/>
      <c r="AO5560" s="1"/>
      <c r="AP5560" s="1"/>
      <c r="AQ5560" s="1"/>
      <c r="AR5560" s="1"/>
      <c r="AS5560" s="1"/>
      <c r="AT5560" s="1"/>
      <c r="AU5560" s="1"/>
      <c r="AV5560" s="1"/>
      <c r="AW5560" s="1"/>
      <c r="AX5560" s="1"/>
      <c r="AY5560" s="1"/>
      <c r="AZ5560" s="1"/>
      <c r="BA5560" s="1"/>
      <c r="BB5560" s="1"/>
    </row>
    <row r="5561" ht="204.75" customHeight="1">
      <c r="A5561" s="1">
        <v>3541.0</v>
      </c>
      <c r="B5561" s="2" t="s">
        <v>15248</v>
      </c>
      <c r="C5561" s="2">
        <f>IFERROR(__xludf.DUMMYFUNCTION("split(B5561,""_"")"),1210.0)</f>
        <v>1210</v>
      </c>
      <c r="D5561" s="2" t="str">
        <f>IFERROR(__xludf.DUMMYFUNCTION("""COMPUTED_VALUE"""),"TBS")</f>
        <v>TBS</v>
      </c>
      <c r="E5561" s="2" t="str">
        <f>IFERROR(__xludf.DUMMYFUNCTION("""COMPUTED_VALUE"""),"月20")</f>
        <v>月20</v>
      </c>
      <c r="F5561" s="2" t="s">
        <v>15249</v>
      </c>
      <c r="G5561" s="2" t="s">
        <v>15268</v>
      </c>
      <c r="H5561" s="1">
        <v>10.0</v>
      </c>
      <c r="J5561" s="1" t="s">
        <v>7151</v>
      </c>
      <c r="K5561" s="2" t="s">
        <v>15269</v>
      </c>
      <c r="L5561" s="2"/>
      <c r="M5561" s="2" t="str">
        <f>IFERROR(__xludf.DUMMYFUNCTION("split(split(K5561,""【"",false),""公式LINE"",false)"),"主人公は、女性による女性のための「蓮見探偵事務所」に調査員として務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根岸季衣　白鳥久美子（たんぽぽ）　麻生かほ里　渡辺哲　水上剣星　中川大志　高橋春織　船越英一"&amp;"郎（友情出演）　寺脇康文　財前直見")</f>
        <v>主人公は、女性による女性のための「蓮見探偵事務所」に調査員として務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根岸季衣　白鳥久美子（たんぽぽ）　麻生かほ里　渡辺哲　水上剣星　中川大志　高橋春織　船越英一郎（友情出演）　寺脇康文　財前直見</v>
      </c>
      <c r="N5561" s="2"/>
      <c r="O5561" s="2"/>
      <c r="P5561" s="1"/>
      <c r="Q5561" s="1"/>
      <c r="R5561" s="1"/>
      <c r="S5561" s="1"/>
      <c r="T5561" s="1"/>
      <c r="U5561" s="1"/>
      <c r="V5561" s="1"/>
      <c r="W5561" s="1"/>
      <c r="X5561" s="1"/>
      <c r="Y5561" s="1"/>
      <c r="Z5561" s="1"/>
      <c r="AA5561" s="1"/>
      <c r="AB5561" s="1"/>
      <c r="AC5561" s="1"/>
      <c r="AD5561" s="1"/>
      <c r="AE5561" s="1"/>
      <c r="AF5561" s="1"/>
      <c r="AG5561" s="1"/>
      <c r="AH5561" s="1"/>
      <c r="AI5561" s="1"/>
      <c r="AJ5561" s="1"/>
      <c r="AK5561" s="1"/>
      <c r="AL5561" s="1"/>
      <c r="AM5561" s="1"/>
      <c r="AN5561" s="1"/>
      <c r="AO5561" s="1"/>
      <c r="AP5561" s="1"/>
      <c r="AQ5561" s="1"/>
      <c r="AR5561" s="1"/>
      <c r="AS5561" s="1"/>
      <c r="AT5561" s="1"/>
      <c r="AU5561" s="1"/>
      <c r="AV5561" s="1"/>
      <c r="AW5561" s="1"/>
      <c r="AX5561" s="1"/>
      <c r="AY5561" s="1"/>
      <c r="AZ5561" s="1"/>
      <c r="BA5561" s="1"/>
      <c r="BB5561" s="1"/>
    </row>
    <row r="5562" ht="204.75" customHeight="1">
      <c r="A5562" s="1">
        <v>3542.0</v>
      </c>
      <c r="B5562" s="2" t="s">
        <v>15248</v>
      </c>
      <c r="C5562" s="2">
        <f>IFERROR(__xludf.DUMMYFUNCTION("split(B5562,""_"")"),1210.0)</f>
        <v>1210</v>
      </c>
      <c r="D5562" s="2" t="str">
        <f>IFERROR(__xludf.DUMMYFUNCTION("""COMPUTED_VALUE"""),"TBS")</f>
        <v>TBS</v>
      </c>
      <c r="E5562" s="2" t="str">
        <f>IFERROR(__xludf.DUMMYFUNCTION("""COMPUTED_VALUE"""),"月20")</f>
        <v>月20</v>
      </c>
      <c r="F5562" s="2" t="s">
        <v>15249</v>
      </c>
      <c r="G5562" s="2" t="s">
        <v>15270</v>
      </c>
      <c r="H5562" s="1">
        <v>11.0</v>
      </c>
      <c r="J5562" s="1" t="s">
        <v>7151</v>
      </c>
      <c r="K5562" s="2" t="s">
        <v>15271</v>
      </c>
      <c r="L5562" s="2"/>
      <c r="M5562" s="2" t="str">
        <f>IFERROR(__xludf.DUMMYFUNCTION("split(split(K5562,""【"",false),""公式LINE"",false)"),"8年前、危機管理コンサルタントをしていたBAR「ラ・シーナ」のマスター椎名（寺脇康文）は、加代子（瀧本美織）の亡き父で新聞記者の浩一郎（船越英一郎）に医療ミスの情報を流していた。  その後、重大な事実を掴んだかに見えた浩一郎だが多くを語らず「もしもの事があったら娘たちを頼む」と椎名に言い残していたのだ。  果たして、医療ミスと「パーフェクト・ブルー」は関係があるのか…？瀧本美織　平山あや　根岸季衣　白鳥久美子（たんぽぽ）　麻生かほ里　渡辺哲　水上剣星　中川大志　高橋春織　船越英一郎（友情出演）　寺脇康文　"&amp;"財前直見野村周平　菊池麻衣子　近藤芳正　山崎銀之丞　団時朗　古手川祐子  (他)『My Perfect　Blue 』柴咲コウ原作：宮部みゆき『心とろかすようなーマサの事件簿』（創元推理文庫）  脚本：高橋悠也  プロデューサー：白石統一郎　晴野善博  音楽：寺田志保  演出:唐木希浩  編成:永山由紀子http://www.tbs.co.jp/perfect-blue  番組のホームページでは、番組の情報や可愛らしいグッズを紹介しています。  ぜひ、ごらんになってください。パーフェクトブルー最終話予告動画"&amp;"を公開しました！こちらからどうぞ♪  http://youtu.be/pOQf29v5UAk  瀧本美織登場!クランクアップ!『パーフェクト・ブルー』番外編　動画を公開しました！こちらからどうぞ♪  http://youtu.be/av3gBTi8DlY  C．A．L  番組の内容と放送時間は変更になる場合があります。")</f>
        <v>8年前、危機管理コンサルタントをしていたBAR「ラ・シーナ」のマスター椎名（寺脇康文）は、加代子（瀧本美織）の亡き父で新聞記者の浩一郎（船越英一郎）に医療ミスの情報を流していた。  その後、重大な事実を掴んだかに見えた浩一郎だが多くを語らず「もしもの事があったら娘たちを頼む」と椎名に言い残していたのだ。  果たして、医療ミスと「パーフェクト・ブルー」は関係があるのか…？瀧本美織　平山あや　根岸季衣　白鳥久美子（たんぽぽ）　麻生かほ里　渡辺哲　水上剣星　中川大志　高橋春織　船越英一郎（友情出演）　寺脇康文　財前直見野村周平　菊池麻衣子　近藤芳正　山崎銀之丞　団時朗　古手川祐子  (他)『My Perfect　Blue 』柴咲コウ原作：宮部みゆき『心とろかすようなーマサの事件簿』（創元推理文庫）  脚本：高橋悠也  プロデューサー：白石統一郎　晴野善博  音楽：寺田志保  演出:唐木希浩  編成:永山由紀子http://www.tbs.co.jp/perfect-blue  番組のホームページでは、番組の情報や可愛らしいグッズを紹介しています。  ぜひ、ごらんになってください。パーフェクトブルー最終話予告動画を公開しました！こちらからどうぞ♪  http://youtu.be/pOQf29v5UAk  瀧本美織登場!クランクアップ!『パーフェクト・ブルー』番外編　動画を公開しました！こちらからどうぞ♪  http://youtu.be/av3gBTi8DlY  C．A．L  番組の内容と放送時間は変更になる場合があります。</v>
      </c>
      <c r="N5562" s="2"/>
      <c r="O5562" s="2"/>
      <c r="P5562" s="1"/>
      <c r="Q5562" s="1"/>
      <c r="R5562" s="1"/>
      <c r="S5562" s="1"/>
      <c r="T5562" s="1"/>
      <c r="U5562" s="1"/>
      <c r="V5562" s="1"/>
      <c r="W5562" s="1"/>
      <c r="X5562" s="1"/>
      <c r="Y5562" s="1"/>
      <c r="Z5562" s="1"/>
      <c r="AA5562" s="1"/>
      <c r="AB5562" s="1"/>
      <c r="AC5562" s="1"/>
      <c r="AD5562" s="1"/>
      <c r="AE5562" s="1"/>
      <c r="AF5562" s="1"/>
      <c r="AG5562" s="1"/>
      <c r="AH5562" s="1"/>
      <c r="AI5562" s="1"/>
      <c r="AJ5562" s="1"/>
      <c r="AK5562" s="1"/>
      <c r="AL5562" s="1"/>
      <c r="AM5562" s="1"/>
      <c r="AN5562" s="1"/>
      <c r="AO5562" s="1"/>
      <c r="AP5562" s="1"/>
      <c r="AQ5562" s="1"/>
      <c r="AR5562" s="1"/>
      <c r="AS5562" s="1"/>
      <c r="AT5562" s="1"/>
      <c r="AU5562" s="1"/>
      <c r="AV5562" s="1"/>
      <c r="AW5562" s="1"/>
      <c r="AX5562" s="1"/>
      <c r="AY5562" s="1"/>
      <c r="AZ5562" s="1"/>
      <c r="BA5562" s="1"/>
      <c r="BB5562" s="1"/>
    </row>
    <row r="5563" ht="204.75" customHeight="1">
      <c r="A5563" s="1">
        <v>3582.0</v>
      </c>
      <c r="B5563" s="2" t="s">
        <v>15272</v>
      </c>
      <c r="C5563" s="2">
        <f>IFERROR(__xludf.DUMMYFUNCTION("split(B5563,""_"")"),1210.0)</f>
        <v>1210</v>
      </c>
      <c r="D5563" s="2" t="str">
        <f>IFERROR(__xludf.DUMMYFUNCTION("""COMPUTED_VALUE"""),"TBS")</f>
        <v>TBS</v>
      </c>
      <c r="E5563" s="2" t="str">
        <f>IFERROR(__xludf.DUMMYFUNCTION("""COMPUTED_VALUE"""),"木21")</f>
        <v>木21</v>
      </c>
      <c r="F5563" s="2" t="s">
        <v>15273</v>
      </c>
      <c r="G5563" s="2" t="s">
        <v>15274</v>
      </c>
      <c r="H5563" s="1">
        <v>1.0</v>
      </c>
      <c r="J5563" s="1" t="s">
        <v>4</v>
      </c>
      <c r="K5563" s="2" t="s">
        <v>15275</v>
      </c>
      <c r="L5563" s="2"/>
      <c r="M5563" s="2" t="str">
        <f>IFERROR(__xludf.DUMMYFUNCTION("split(split(K5563,""【"",false),""公式LINE"",false)"),"美山しずく(仲里依紗)は、青林大学付属病院に勤務する1年目の研修医。しずくは、同期で同じく研修医の矢沢圭(林遣都)、真中潤一(増田貴久)、小岩井陽菜子(大政絢)、新城紗知(石橋杏奈)ら4人と共に、救急医療の最前線である救命センターに配属される。そこでは、研修医を医者とは思っていない宮島一樹(小澤征悦)、田淵育男(古田新太)、香澄弥生(須藤理沙)ら、腕も経験も豊富な指導医たちが待ち構えていた。しずくたちは、研修初日から激しい洗礼を受ける。自殺未遂の救急常連患者・夏希(山下リオ)、腹痛を訴える頑固患者・沢田("&amp;"平泉成)など、次々と容赦なく運ばれてくる患者たち。絶対に失敗できない研修が始まった。美山しずく…仲里依紗  矢沢圭…林遣都  真中潤一…増田貴久（NEWS）  小岩井陽奈子…大政絢  新城紗知…石橋杏奈    香澄弥生…須藤理彩  前田一平…荒川良々  迫田恵子…光浦靖子（オアシズ）  (香澄研二…皆川猿時)    内海翔…波岡一喜  美山勝己…寺島進    田淵育男…古田新太  宮島一樹…小澤征悦千葉洋子…山田真歩  長谷川誠…松島庄汰  相田遥…志保  馬場恵…青谷優衣  飯田浩輔…奥野瑛太    ")</f>
        <v>美山しずく(仲里依紗)は、青林大学付属病院に勤務する1年目の研修医。しずくは、同期で同じく研修医の矢沢圭(林遣都)、真中潤一(増田貴久)、小岩井陽菜子(大政絢)、新城紗知(石橋杏奈)ら4人と共に、救急医療の最前線である救命センターに配属される。そこでは、研修医を医者とは思っていない宮島一樹(小澤征悦)、田淵育男(古田新太)、香澄弥生(須藤理沙)ら、腕も経験も豊富な指導医たちが待ち構えていた。しずくたちは、研修初日から激しい洗礼を受ける。自殺未遂の救急常連患者・夏希(山下リオ)、腹痛を訴える頑固患者・沢田(平泉成)など、次々と容赦なく運ばれてくる患者たち。絶対に失敗できない研修が始まった。美山しずく…仲里依紗  矢沢圭…林遣都  真中潤一…増田貴久（NEWS）  小岩井陽奈子…大政絢  新城紗知…石橋杏奈    香澄弥生…須藤理彩  前田一平…荒川良々  迫田恵子…光浦靖子（オアシズ）  (香澄研二…皆川猿時)    内海翔…波岡一喜  美山勝己…寺島進    田淵育男…古田新太  宮島一樹…小澤征悦千葉洋子…山田真歩  長谷川誠…松島庄汰  相田遥…志保  馬場恵…青谷優衣  飯田浩輔…奥野瑛太    </v>
      </c>
      <c r="N5563" s="2"/>
      <c r="O5563" s="2"/>
      <c r="P5563" s="1"/>
      <c r="Q5563" s="1"/>
      <c r="R5563" s="1"/>
      <c r="S5563" s="1"/>
      <c r="T5563" s="1"/>
      <c r="U5563" s="1"/>
      <c r="V5563" s="1"/>
      <c r="W5563" s="1"/>
      <c r="X5563" s="1"/>
      <c r="Y5563" s="1"/>
      <c r="Z5563" s="1"/>
      <c r="AA5563" s="1"/>
      <c r="AB5563" s="1"/>
      <c r="AC5563" s="1"/>
      <c r="AD5563" s="1"/>
      <c r="AE5563" s="1"/>
      <c r="AF5563" s="1"/>
      <c r="AG5563" s="1"/>
      <c r="AH5563" s="1"/>
      <c r="AI5563" s="1"/>
      <c r="AJ5563" s="1"/>
      <c r="AK5563" s="1"/>
      <c r="AL5563" s="1"/>
      <c r="AM5563" s="1"/>
      <c r="AN5563" s="1"/>
      <c r="AO5563" s="1"/>
      <c r="AP5563" s="1"/>
      <c r="AQ5563" s="1"/>
      <c r="AR5563" s="1"/>
      <c r="AS5563" s="1"/>
      <c r="AT5563" s="1"/>
      <c r="AU5563" s="1"/>
      <c r="AV5563" s="1"/>
      <c r="AW5563" s="1"/>
      <c r="AX5563" s="1"/>
      <c r="AY5563" s="1"/>
      <c r="AZ5563" s="1"/>
      <c r="BA5563" s="1"/>
      <c r="BB5563" s="1"/>
    </row>
    <row r="5564" ht="204.75" customHeight="1">
      <c r="A5564" s="1">
        <v>3583.0</v>
      </c>
      <c r="B5564" s="2" t="s">
        <v>15272</v>
      </c>
      <c r="C5564" s="2">
        <f>IFERROR(__xludf.DUMMYFUNCTION("split(B5564,""_"")"),1210.0)</f>
        <v>1210</v>
      </c>
      <c r="D5564" s="2" t="str">
        <f>IFERROR(__xludf.DUMMYFUNCTION("""COMPUTED_VALUE"""),"TBS")</f>
        <v>TBS</v>
      </c>
      <c r="E5564" s="2" t="str">
        <f>IFERROR(__xludf.DUMMYFUNCTION("""COMPUTED_VALUE"""),"木21")</f>
        <v>木21</v>
      </c>
      <c r="F5564" s="2" t="s">
        <v>15273</v>
      </c>
      <c r="G5564" s="2" t="s">
        <v>15276</v>
      </c>
      <c r="H5564" s="1">
        <v>2.0</v>
      </c>
      <c r="J5564" s="1" t="s">
        <v>11</v>
      </c>
      <c r="K5564" s="2" t="s">
        <v>15277</v>
      </c>
      <c r="L5564" s="2"/>
      <c r="M5564" s="2" t="str">
        <f>IFERROR(__xludf.DUMMYFUNCTION("split(split(K5564,""【"",false),""公式LINE"",false)"),"しずく(仲里依紗)たちのもとに患者が救急搬送されてくる。彼は真中(増田貴久)が1度帰宅を許した患者、沢田(平泉成)であった。弥生(須藤理彩)に自らの失敗を責め立てられる真中。しかし、息つく間もなく救命センターには次々と患者が搬送される。間違って磁石を飲んでしまったと主張する神田(野間口徹)、訳ありなカップル、ケンジ(鈴木亮平)とキヨミ(水崎綾女)。そんな患者たちに、5人の研修医ができることとは…美山しずく…仲里依紗  矢沢圭…林遣都  真中潤一…増田貴久（NEWS）  小岩井陽奈子…大政絢  新城紗知…石"&amp;"橋杏奈    香澄弥生…須藤理彩  前田一平…荒川良々  迫田恵子…光浦靖子（オアシズ）  香澄研二…皆川猿時    田淵育男…古田新太  宮島一樹…小澤征悦千葉洋子…山田真歩  長谷川誠…松島庄汰  相田遥…志保  馬場恵…青谷優衣  飯田浩輔…奥野瑛太    ")</f>
        <v>しずく(仲里依紗)たちのもとに患者が救急搬送されてくる。彼は真中(増田貴久)が1度帰宅を許した患者、沢田(平泉成)であった。弥生(須藤理彩)に自らの失敗を責め立てられる真中。しかし、息つく間もなく救命センターには次々と患者が搬送される。間違って磁石を飲んでしまったと主張する神田(野間口徹)、訳ありなカップル、ケンジ(鈴木亮平)とキヨミ(水崎綾女)。そんな患者たちに、5人の研修医ができることとは…美山しずく…仲里依紗  矢沢圭…林遣都  真中潤一…増田貴久（NEWS）  小岩井陽奈子…大政絢  新城紗知…石橋杏奈    香澄弥生…須藤理彩  前田一平…荒川良々  迫田恵子…光浦靖子（オアシズ）  香澄研二…皆川猿時    田淵育男…古田新太  宮島一樹…小澤征悦千葉洋子…山田真歩  長谷川誠…松島庄汰  相田遥…志保  馬場恵…青谷優衣  飯田浩輔…奥野瑛太    </v>
      </c>
      <c r="N5564" s="2"/>
      <c r="O5564" s="2"/>
      <c r="P5564" s="1"/>
      <c r="Q5564" s="1"/>
      <c r="R5564" s="1"/>
      <c r="S5564" s="1"/>
      <c r="T5564" s="1"/>
      <c r="U5564" s="1"/>
      <c r="V5564" s="1"/>
      <c r="W5564" s="1"/>
      <c r="X5564" s="1"/>
      <c r="Y5564" s="1"/>
      <c r="Z5564" s="1"/>
      <c r="AA5564" s="1"/>
      <c r="AB5564" s="1"/>
      <c r="AC5564" s="1"/>
      <c r="AD5564" s="1"/>
      <c r="AE5564" s="1"/>
      <c r="AF5564" s="1"/>
      <c r="AG5564" s="1"/>
      <c r="AH5564" s="1"/>
      <c r="AI5564" s="1"/>
      <c r="AJ5564" s="1"/>
      <c r="AK5564" s="1"/>
      <c r="AL5564" s="1"/>
      <c r="AM5564" s="1"/>
      <c r="AN5564" s="1"/>
      <c r="AO5564" s="1"/>
      <c r="AP5564" s="1"/>
      <c r="AQ5564" s="1"/>
      <c r="AR5564" s="1"/>
      <c r="AS5564" s="1"/>
      <c r="AT5564" s="1"/>
      <c r="AU5564" s="1"/>
      <c r="AV5564" s="1"/>
      <c r="AW5564" s="1"/>
      <c r="AX5564" s="1"/>
      <c r="AY5564" s="1"/>
      <c r="AZ5564" s="1"/>
      <c r="BA5564" s="1"/>
      <c r="BB5564" s="1"/>
    </row>
    <row r="5565" ht="204.75" customHeight="1">
      <c r="A5565" s="1">
        <v>3584.0</v>
      </c>
      <c r="B5565" s="2" t="s">
        <v>15272</v>
      </c>
      <c r="C5565" s="2">
        <f>IFERROR(__xludf.DUMMYFUNCTION("split(B5565,""_"")"),1210.0)</f>
        <v>1210</v>
      </c>
      <c r="D5565" s="2" t="str">
        <f>IFERROR(__xludf.DUMMYFUNCTION("""COMPUTED_VALUE"""),"TBS")</f>
        <v>TBS</v>
      </c>
      <c r="E5565" s="2" t="str">
        <f>IFERROR(__xludf.DUMMYFUNCTION("""COMPUTED_VALUE"""),"木21")</f>
        <v>木21</v>
      </c>
      <c r="F5565" s="2" t="s">
        <v>15273</v>
      </c>
      <c r="G5565" s="2" t="s">
        <v>15278</v>
      </c>
      <c r="H5565" s="1">
        <v>3.0</v>
      </c>
      <c r="J5565" s="1" t="s">
        <v>11</v>
      </c>
      <c r="K5565" s="2" t="s">
        <v>15279</v>
      </c>
      <c r="L5565" s="2"/>
      <c r="M5565" s="2" t="str">
        <f>IFERROR(__xludf.DUMMYFUNCTION("split(split(K5565,""【"",false),""公式LINE"",false)"),"救命センターに搬送されてきた老女。駆けつけた息子夫婦、川上哲治(小野武彦)と順子(木内みどり)は責任のなすり合いを始め、離婚話にまで発展する。順子は哲治の性格が突然変わったとしずく(仲里依紗)にもらす。哲治の様子に疑問を持ったしずくは、熟年離婚の危機の裏に隠された思わぬ病気を発見する。  そんな中、腎臓移植の順番を待つ患者マヤ(吉田里琴)が搬送され、救命センターの緊張は頂点に達する。一方、紗知(石橋杏奈)の目の前に、過去に因縁のある少女リカ(相葉香凛)が現れる。紗知に憎しみを抱くリカ。しかし、リカは突然呼"&amp;"吸困難に襲われ倒れてしまう。紗知は意を決してリカを救おうとするが…美山しずく…仲里依紗  矢沢圭…林遣都  真中潤一…増田貴久（NEWS）  小岩井陽奈子…大政絢  新城紗知…石橋杏奈    香澄弥生…須藤理彩  前田一平…荒川良々  迫田恵子…光浦靖子  香澄研二…皆川猿時    田淵育男…古田新太  宮島一樹…小澤征悦千葉洋子…山田真歩  長谷川誠…松島庄汰  相田遥…志保  馬場恵…青谷優衣  飯田浩輔…奥野瑛太")</f>
        <v>救命センターに搬送されてきた老女。駆けつけた息子夫婦、川上哲治(小野武彦)と順子(木内みどり)は責任のなすり合いを始め、離婚話にまで発展する。順子は哲治の性格が突然変わったとしずく(仲里依紗)にもらす。哲治の様子に疑問を持ったしずくは、熟年離婚の危機の裏に隠された思わぬ病気を発見する。  そんな中、腎臓移植の順番を待つ患者マヤ(吉田里琴)が搬送され、救命センターの緊張は頂点に達する。一方、紗知(石橋杏奈)の目の前に、過去に因縁のある少女リカ(相葉香凛)が現れる。紗知に憎しみを抱くリカ。しかし、リカは突然呼吸困難に襲われ倒れてしまう。紗知は意を決してリカを救おうとするが…美山しずく…仲里依紗  矢沢圭…林遣都  真中潤一…増田貴久（NEWS）  小岩井陽奈子…大政絢  新城紗知…石橋杏奈    香澄弥生…須藤理彩  前田一平…荒川良々  迫田恵子…光浦靖子  香澄研二…皆川猿時    田淵育男…古田新太  宮島一樹…小澤征悦千葉洋子…山田真歩  長谷川誠…松島庄汰  相田遥…志保  馬場恵…青谷優衣  飯田浩輔…奥野瑛太</v>
      </c>
      <c r="N5565" s="2"/>
      <c r="O5565" s="2"/>
      <c r="P5565" s="1"/>
      <c r="Q5565" s="1"/>
      <c r="R5565" s="1"/>
      <c r="S5565" s="1"/>
      <c r="T5565" s="1"/>
      <c r="U5565" s="1"/>
      <c r="V5565" s="1"/>
      <c r="W5565" s="1"/>
      <c r="X5565" s="1"/>
      <c r="Y5565" s="1"/>
      <c r="Z5565" s="1"/>
      <c r="AA5565" s="1"/>
      <c r="AB5565" s="1"/>
      <c r="AC5565" s="1"/>
      <c r="AD5565" s="1"/>
      <c r="AE5565" s="1"/>
      <c r="AF5565" s="1"/>
      <c r="AG5565" s="1"/>
      <c r="AH5565" s="1"/>
      <c r="AI5565" s="1"/>
      <c r="AJ5565" s="1"/>
      <c r="AK5565" s="1"/>
      <c r="AL5565" s="1"/>
      <c r="AM5565" s="1"/>
      <c r="AN5565" s="1"/>
      <c r="AO5565" s="1"/>
      <c r="AP5565" s="1"/>
      <c r="AQ5565" s="1"/>
      <c r="AR5565" s="1"/>
      <c r="AS5565" s="1"/>
      <c r="AT5565" s="1"/>
      <c r="AU5565" s="1"/>
      <c r="AV5565" s="1"/>
      <c r="AW5565" s="1"/>
      <c r="AX5565" s="1"/>
      <c r="AY5565" s="1"/>
      <c r="AZ5565" s="1"/>
      <c r="BA5565" s="1"/>
      <c r="BB5565" s="1"/>
    </row>
    <row r="5566" ht="204.75" customHeight="1">
      <c r="A5566" s="1">
        <v>3585.0</v>
      </c>
      <c r="B5566" s="2" t="s">
        <v>15272</v>
      </c>
      <c r="C5566" s="2">
        <f>IFERROR(__xludf.DUMMYFUNCTION("split(B5566,""_"")"),1210.0)</f>
        <v>1210</v>
      </c>
      <c r="D5566" s="2" t="str">
        <f>IFERROR(__xludf.DUMMYFUNCTION("""COMPUTED_VALUE"""),"TBS")</f>
        <v>TBS</v>
      </c>
      <c r="E5566" s="2" t="str">
        <f>IFERROR(__xludf.DUMMYFUNCTION("""COMPUTED_VALUE"""),"木21")</f>
        <v>木21</v>
      </c>
      <c r="F5566" s="2" t="s">
        <v>15273</v>
      </c>
      <c r="G5566" s="2" t="s">
        <v>15280</v>
      </c>
      <c r="H5566" s="1">
        <v>4.0</v>
      </c>
      <c r="J5566" s="1" t="s">
        <v>11</v>
      </c>
      <c r="K5566" s="2" t="s">
        <v>15281</v>
      </c>
      <c r="L5566" s="2"/>
      <c r="M5566" s="2" t="str">
        <f>IFERROR(__xludf.DUMMYFUNCTION("split(split(K5566,""【"",false),""公式LINE"",false)"),"しずく(仲里依紗)は街中で一人の少女、上野ルカ(杉咲花)が倒れる現場に出くわす。すぐさま、救急搬送されるルカ。しかし、駆けつけた母親、上野薫(若村麻由美)はルカが仮病だと主張する。薫のルカへの異常な教育に宮島(小澤征悦)たち指導医も困惑してしまう…  一方、矢沢(林遣都)のもとには、さまざまな症状をうったえる老女、高村志津(加賀まりこ)が何度も通っていた。しかし、その原因は一向に特定できない。病気ではないと志津を突き放す矢沢だが、志津は矢沢に意外な頼みごとをする。「水族館に連れて行って欲しい」。ためらう矢"&amp;"沢をよそに、紗知(石橋杏奈)は志津の頼みを快く受け入れてしまう…美山しずく…仲里依紗  矢沢圭…林遣都  真中潤一…増田貴久（NEWS）  小岩井陽奈子…大政絢  新城紗知…石橋杏奈    香澄弥生…須藤理彩  前田一平…荒川良々  迫田恵子…光浦靖子（オアシズ）  香澄研二…皆川猿時    内海翔…波岡一喜  美山勝己…寺島進    田淵育男…古田新太  宮島一樹…小澤征悦千葉洋子…山田真歩  長谷川誠…松島庄汰  相田遥…志保  馬場恵…青谷優衣  飯田浩輔…奥野瑛太")</f>
        <v>しずく(仲里依紗)は街中で一人の少女、上野ルカ(杉咲花)が倒れる現場に出くわす。すぐさま、救急搬送されるルカ。しかし、駆けつけた母親、上野薫(若村麻由美)はルカが仮病だと主張する。薫のルカへの異常な教育に宮島(小澤征悦)たち指導医も困惑してしまう…  一方、矢沢(林遣都)のもとには、さまざまな症状をうったえる老女、高村志津(加賀まりこ)が何度も通っていた。しかし、その原因は一向に特定できない。病気ではないと志津を突き放す矢沢だが、志津は矢沢に意外な頼みごとをする。「水族館に連れて行って欲しい」。ためらう矢沢をよそに、紗知(石橋杏奈)は志津の頼みを快く受け入れてしまう…美山しずく…仲里依紗  矢沢圭…林遣都  真中潤一…増田貴久（NEWS）  小岩井陽奈子…大政絢  新城紗知…石橋杏奈    香澄弥生…須藤理彩  前田一平…荒川良々  迫田恵子…光浦靖子（オアシズ）  香澄研二…皆川猿時    内海翔…波岡一喜  美山勝己…寺島進    田淵育男…古田新太  宮島一樹…小澤征悦千葉洋子…山田真歩  長谷川誠…松島庄汰  相田遥…志保  馬場恵…青谷優衣  飯田浩輔…奥野瑛太</v>
      </c>
      <c r="N5566" s="2"/>
      <c r="O5566" s="2"/>
      <c r="P5566" s="1"/>
      <c r="Q5566" s="1"/>
      <c r="R5566" s="1"/>
      <c r="S5566" s="1"/>
      <c r="T5566" s="1"/>
      <c r="U5566" s="1"/>
      <c r="V5566" s="1"/>
      <c r="W5566" s="1"/>
      <c r="X5566" s="1"/>
      <c r="Y5566" s="1"/>
      <c r="Z5566" s="1"/>
      <c r="AA5566" s="1"/>
      <c r="AB5566" s="1"/>
      <c r="AC5566" s="1"/>
      <c r="AD5566" s="1"/>
      <c r="AE5566" s="1"/>
      <c r="AF5566" s="1"/>
      <c r="AG5566" s="1"/>
      <c r="AH5566" s="1"/>
      <c r="AI5566" s="1"/>
      <c r="AJ5566" s="1"/>
      <c r="AK5566" s="1"/>
      <c r="AL5566" s="1"/>
      <c r="AM5566" s="1"/>
      <c r="AN5566" s="1"/>
      <c r="AO5566" s="1"/>
      <c r="AP5566" s="1"/>
      <c r="AQ5566" s="1"/>
      <c r="AR5566" s="1"/>
      <c r="AS5566" s="1"/>
      <c r="AT5566" s="1"/>
      <c r="AU5566" s="1"/>
      <c r="AV5566" s="1"/>
      <c r="AW5566" s="1"/>
      <c r="AX5566" s="1"/>
      <c r="AY5566" s="1"/>
      <c r="AZ5566" s="1"/>
      <c r="BA5566" s="1"/>
      <c r="BB5566" s="1"/>
    </row>
    <row r="5567" ht="204.75" customHeight="1">
      <c r="A5567" s="1">
        <v>3586.0</v>
      </c>
      <c r="B5567" s="2" t="s">
        <v>15272</v>
      </c>
      <c r="C5567" s="2">
        <f>IFERROR(__xludf.DUMMYFUNCTION("split(B5567,""_"")"),1210.0)</f>
        <v>1210</v>
      </c>
      <c r="D5567" s="2" t="str">
        <f>IFERROR(__xludf.DUMMYFUNCTION("""COMPUTED_VALUE"""),"TBS")</f>
        <v>TBS</v>
      </c>
      <c r="E5567" s="2" t="str">
        <f>IFERROR(__xludf.DUMMYFUNCTION("""COMPUTED_VALUE"""),"木21")</f>
        <v>木21</v>
      </c>
      <c r="F5567" s="2" t="s">
        <v>15273</v>
      </c>
      <c r="G5567" s="2" t="s">
        <v>15282</v>
      </c>
      <c r="H5567" s="1">
        <v>5.0</v>
      </c>
      <c r="J5567" s="1" t="s">
        <v>11</v>
      </c>
      <c r="K5567" s="2" t="s">
        <v>15283</v>
      </c>
      <c r="L5567" s="2"/>
      <c r="M5567" s="2" t="str">
        <f>IFERROR(__xludf.DUMMYFUNCTION("split(split(K5567,""【"",false),""公式LINE"",false)"),"病院内で不審者騒動が起こる。しずく(仲里依紗)たちが不審な男を捕まえると、男は病院を寿退社する看護師、水野あおい(原田夏希)の父親、佐久間(本田博太郎)であった。佐久間はかつてあおいを捨て、家を出て行ったが、あおいの花嫁姿を見るために現れた。しかし、結婚式を前に、佐久間から危険な病気が発見される。どうしても、結婚式に出たいという佐久間を止められないしずくは、指導医、宮島(小澤征悦)と衝突する。一方、病院には指導医、田淵(古田新太)の旧友、田村敏夫(津田寛治)が入院していた。余命3カ月という末期癌を抱えなが"&amp;"ら田村は息子、ハル(土師野隆之介)と野球の試合を見に行く約束をするが…美山しずく…仲里依紗  矢沢圭…林遣都  真中潤一…増田貴久（NEWS）  小岩井陽奈子…大政絢  新城紗知…石橋杏奈    香澄弥生…須藤理彩  前田一平…荒川良々  迫田恵子…光浦靖子（オアシズ）  (香澄研二…皆川猿時)  田淵育男…古田新太  宮島一樹…小澤征悦    千葉洋子…山田真歩  長谷川誠…松島庄汰  相田遥…志保  馬場恵…青谷優衣  飯田浩輔…奥野瑛太田村敏夫…津田寛治  田村雪子…澤口夏奈子  田村ハル…土師野隆"&amp;"之介    佐久間…本田博太郎  水野あおい…原田夏希  藤井翼…藤本哉汰「Answer」/flumpool(A-Sketch)  ")</f>
        <v>病院内で不審者騒動が起こる。しずく(仲里依紗)たちが不審な男を捕まえると、男は病院を寿退社する看護師、水野あおい(原田夏希)の父親、佐久間(本田博太郎)であった。佐久間はかつてあおいを捨て、家を出て行ったが、あおいの花嫁姿を見るために現れた。しかし、結婚式を前に、佐久間から危険な病気が発見される。どうしても、結婚式に出たいという佐久間を止められないしずくは、指導医、宮島(小澤征悦)と衝突する。一方、病院には指導医、田淵(古田新太)の旧友、田村敏夫(津田寛治)が入院していた。余命3カ月という末期癌を抱えながら田村は息子、ハル(土師野隆之介)と野球の試合を見に行く約束をするが…美山しずく…仲里依紗  矢沢圭…林遣都  真中潤一…増田貴久（NEWS）  小岩井陽奈子…大政絢  新城紗知…石橋杏奈    香澄弥生…須藤理彩  前田一平…荒川良々  迫田恵子…光浦靖子（オアシズ）  (香澄研二…皆川猿時)  田淵育男…古田新太  宮島一樹…小澤征悦    千葉洋子…山田真歩  長谷川誠…松島庄汰  相田遥…志保  馬場恵…青谷優衣  飯田浩輔…奥野瑛太田村敏夫…津田寛治  田村雪子…澤口夏奈子  田村ハル…土師野隆之介    佐久間…本田博太郎  水野あおい…原田夏希  藤井翼…藤本哉汰「Answer」/flumpool(A-Sketch)  </v>
      </c>
      <c r="N5567" s="2"/>
      <c r="O5567" s="2"/>
      <c r="P5567" s="1"/>
      <c r="Q5567" s="1"/>
      <c r="R5567" s="1"/>
      <c r="S5567" s="1"/>
      <c r="T5567" s="1"/>
      <c r="U5567" s="1"/>
      <c r="V5567" s="1"/>
      <c r="W5567" s="1"/>
      <c r="X5567" s="1"/>
      <c r="Y5567" s="1"/>
      <c r="Z5567" s="1"/>
      <c r="AA5567" s="1"/>
      <c r="AB5567" s="1"/>
      <c r="AC5567" s="1"/>
      <c r="AD5567" s="1"/>
      <c r="AE5567" s="1"/>
      <c r="AF5567" s="1"/>
      <c r="AG5567" s="1"/>
      <c r="AH5567" s="1"/>
      <c r="AI5567" s="1"/>
      <c r="AJ5567" s="1"/>
      <c r="AK5567" s="1"/>
      <c r="AL5567" s="1"/>
      <c r="AM5567" s="1"/>
      <c r="AN5567" s="1"/>
      <c r="AO5567" s="1"/>
      <c r="AP5567" s="1"/>
      <c r="AQ5567" s="1"/>
      <c r="AR5567" s="1"/>
      <c r="AS5567" s="1"/>
      <c r="AT5567" s="1"/>
      <c r="AU5567" s="1"/>
      <c r="AV5567" s="1"/>
      <c r="AW5567" s="1"/>
      <c r="AX5567" s="1"/>
      <c r="AY5567" s="1"/>
      <c r="AZ5567" s="1"/>
      <c r="BA5567" s="1"/>
      <c r="BB5567" s="1"/>
    </row>
    <row r="5568" ht="204.75" customHeight="1">
      <c r="A5568" s="1">
        <v>3587.0</v>
      </c>
      <c r="B5568" s="2" t="s">
        <v>15272</v>
      </c>
      <c r="C5568" s="2">
        <f>IFERROR(__xludf.DUMMYFUNCTION("split(B5568,""_"")"),1210.0)</f>
        <v>1210</v>
      </c>
      <c r="D5568" s="2" t="str">
        <f>IFERROR(__xludf.DUMMYFUNCTION("""COMPUTED_VALUE"""),"TBS")</f>
        <v>TBS</v>
      </c>
      <c r="E5568" s="2" t="str">
        <f>IFERROR(__xludf.DUMMYFUNCTION("""COMPUTED_VALUE"""),"木21")</f>
        <v>木21</v>
      </c>
      <c r="F5568" s="2" t="s">
        <v>15273</v>
      </c>
      <c r="G5568" s="2" t="s">
        <v>15284</v>
      </c>
      <c r="H5568" s="1">
        <v>6.0</v>
      </c>
      <c r="J5568" s="1" t="s">
        <v>11</v>
      </c>
      <c r="K5568" s="2" t="s">
        <v>15285</v>
      </c>
      <c r="L5568" s="2"/>
      <c r="M5568" s="2" t="str">
        <f>IFERROR(__xludf.DUMMYFUNCTION("split(split(K5568,""【"",false),""公式LINE"",false)"),"しずく(仲里依紗)が通うボクシングジムで陽菜子(大政絢)は、元プロボクサー、赤城雄太(宮尾俊太郎)と出会う。常日頃、何かにつけて自信満々な陽菜子だが、雄太から生まれて初めてバカ呼ばわりされ、そのプライドを傷つけられてしまう。お互い正反対の性格の二人だが、素直な言葉を交わすうちに次第に惹かれ合っていく。ある日、青林大学病院で雄太を見かけた陽菜子は、彼が不治の病に侵されていることを知り…一方、しずくたちの先輩にあたる専修医、一平(荒川良々)は何度も失敗を繰り返し、指導医たちから「研修医以下」と責められていた。"&amp;"自信を喪失する一平の前に、彼の尊敬する外科医、山村武(篠田三郎)が現れる。美山しずく…仲里依紗  矢沢圭…林遣都  真中潤一…増田貴久（NEWS）  小岩井陽奈子…大政絢  新城紗知…石橋杏奈    香澄弥生…須藤理彩  前田一平…荒川良々  迫田恵子…光浦靖子（オアシズ）  香澄研二…皆川猿時  内海翔…波岡一喜    田淵育男…古田新太  宮島一樹…小澤征悦    千葉洋子…山田真歩  長谷川誠…松島庄汰  相田遥…志保  馬場恵…青谷優衣  飯田浩輔…奥野瑛太")</f>
        <v>しずく(仲里依紗)が通うボクシングジムで陽菜子(大政絢)は、元プロボクサー、赤城雄太(宮尾俊太郎)と出会う。常日頃、何かにつけて自信満々な陽菜子だが、雄太から生まれて初めてバカ呼ばわりされ、そのプライドを傷つけられてしまう。お互い正反対の性格の二人だが、素直な言葉を交わすうちに次第に惹かれ合っていく。ある日、青林大学病院で雄太を見かけた陽菜子は、彼が不治の病に侵されていることを知り…一方、しずくたちの先輩にあたる専修医、一平(荒川良々)は何度も失敗を繰り返し、指導医たちから「研修医以下」と責められていた。自信を喪失する一平の前に、彼の尊敬する外科医、山村武(篠田三郎)が現れる。美山しずく…仲里依紗  矢沢圭…林遣都  真中潤一…増田貴久（NEWS）  小岩井陽奈子…大政絢  新城紗知…石橋杏奈    香澄弥生…須藤理彩  前田一平…荒川良々  迫田恵子…光浦靖子（オアシズ）  香澄研二…皆川猿時  内海翔…波岡一喜    田淵育男…古田新太  宮島一樹…小澤征悦    千葉洋子…山田真歩  長谷川誠…松島庄汰  相田遥…志保  馬場恵…青谷優衣  飯田浩輔…奥野瑛太</v>
      </c>
      <c r="N5568" s="2"/>
      <c r="O5568" s="2"/>
      <c r="P5568" s="1"/>
      <c r="Q5568" s="1"/>
      <c r="R5568" s="1"/>
      <c r="S5568" s="1"/>
      <c r="T5568" s="1"/>
      <c r="U5568" s="1"/>
      <c r="V5568" s="1"/>
      <c r="W5568" s="1"/>
      <c r="X5568" s="1"/>
      <c r="Y5568" s="1"/>
      <c r="Z5568" s="1"/>
      <c r="AA5568" s="1"/>
      <c r="AB5568" s="1"/>
      <c r="AC5568" s="1"/>
      <c r="AD5568" s="1"/>
      <c r="AE5568" s="1"/>
      <c r="AF5568" s="1"/>
      <c r="AG5568" s="1"/>
      <c r="AH5568" s="1"/>
      <c r="AI5568" s="1"/>
      <c r="AJ5568" s="1"/>
      <c r="AK5568" s="1"/>
      <c r="AL5568" s="1"/>
      <c r="AM5568" s="1"/>
      <c r="AN5568" s="1"/>
      <c r="AO5568" s="1"/>
      <c r="AP5568" s="1"/>
      <c r="AQ5568" s="1"/>
      <c r="AR5568" s="1"/>
      <c r="AS5568" s="1"/>
      <c r="AT5568" s="1"/>
      <c r="AU5568" s="1"/>
      <c r="AV5568" s="1"/>
      <c r="AW5568" s="1"/>
      <c r="AX5568" s="1"/>
      <c r="AY5568" s="1"/>
      <c r="AZ5568" s="1"/>
      <c r="BA5568" s="1"/>
      <c r="BB5568" s="1"/>
    </row>
    <row r="5569" ht="204.75" customHeight="1">
      <c r="A5569" s="1">
        <v>3588.0</v>
      </c>
      <c r="B5569" s="2" t="s">
        <v>15272</v>
      </c>
      <c r="C5569" s="2">
        <f>IFERROR(__xludf.DUMMYFUNCTION("split(B5569,""_"")"),1210.0)</f>
        <v>1210</v>
      </c>
      <c r="D5569" s="2" t="str">
        <f>IFERROR(__xludf.DUMMYFUNCTION("""COMPUTED_VALUE"""),"TBS")</f>
        <v>TBS</v>
      </c>
      <c r="E5569" s="2" t="str">
        <f>IFERROR(__xludf.DUMMYFUNCTION("""COMPUTED_VALUE"""),"木21")</f>
        <v>木21</v>
      </c>
      <c r="F5569" s="2" t="s">
        <v>15273</v>
      </c>
      <c r="G5569" s="2" t="s">
        <v>15286</v>
      </c>
      <c r="H5569" s="1">
        <v>7.0</v>
      </c>
      <c r="J5569" s="1" t="s">
        <v>11</v>
      </c>
      <c r="K5569" s="2" t="s">
        <v>15287</v>
      </c>
      <c r="L5569" s="2"/>
      <c r="M5569" s="2" t="str">
        <f>IFERROR(__xludf.DUMMYFUNCTION("split(split(K5569,""【"",false),""公式LINE"",false)"),"しずく(仲里依紗)は疎遠になっていた双子の弟、皆人(千葉雄大)と偶然出会う。しっかり者の姉しずくにコンプレックスを抱えて来た皆人は両親に無断で大学の医学部を辞めていた。初めて皆人の気持ちを知り、戸惑うしずく。一方、救急センターには新村絵里子(松田沙紀)が腹痛で搬送されてくる。絵里子の妊娠が発覚し、妹汐里(黒川芽以)との姉妹の確執が露わになる。そんな姉妹の様子に、しずくは自分たちを重ねてしまう…また、矢沢(林遣都)のもとには虐待の疑いのある少年、大輝(君野夢真)が搬送されてくる。大輝を迎えに来た両親を見て驚"&amp;"く矢沢…大輝の父親は矢沢の幼馴染、橋本リョウジ(菅田将暉)であった。美山しずく…仲里依紗  矢沢圭…林遣都  真中潤一…増田貴久（NEWS）  小岩井陽奈子…大政絢  新城紗知…石橋杏奈    香澄弥生…須藤理彩  前田一平…荒川良々  迫田恵子…光浦靖子（オアシズ）  香澄研二…皆川猿時  美山皆人…千葉雄大    田淵育男…古田新太  宮島一樹…小澤征悦  千葉洋子…山田真歩  長谷川誠…松島庄汰  相田遥…志保  馬場恵…青谷優衣  飯田浩輔…奥野瑛太")</f>
        <v>しずく(仲里依紗)は疎遠になっていた双子の弟、皆人(千葉雄大)と偶然出会う。しっかり者の姉しずくにコンプレックスを抱えて来た皆人は両親に無断で大学の医学部を辞めていた。初めて皆人の気持ちを知り、戸惑うしずく。一方、救急センターには新村絵里子(松田沙紀)が腹痛で搬送されてくる。絵里子の妊娠が発覚し、妹汐里(黒川芽以)との姉妹の確執が露わになる。そんな姉妹の様子に、しずくは自分たちを重ねてしまう…また、矢沢(林遣都)のもとには虐待の疑いのある少年、大輝(君野夢真)が搬送されてくる。大輝を迎えに来た両親を見て驚く矢沢…大輝の父親は矢沢の幼馴染、橋本リョウジ(菅田将暉)であった。美山しずく…仲里依紗  矢沢圭…林遣都  真中潤一…増田貴久（NEWS）  小岩井陽奈子…大政絢  新城紗知…石橋杏奈    香澄弥生…須藤理彩  前田一平…荒川良々  迫田恵子…光浦靖子（オアシズ）  香澄研二…皆川猿時  美山皆人…千葉雄大    田淵育男…古田新太  宮島一樹…小澤征悦  千葉洋子…山田真歩  長谷川誠…松島庄汰  相田遥…志保  馬場恵…青谷優衣  飯田浩輔…奥野瑛太</v>
      </c>
      <c r="N5569" s="2"/>
      <c r="O5569" s="2"/>
      <c r="P5569" s="1"/>
      <c r="Q5569" s="1"/>
      <c r="R5569" s="1"/>
      <c r="S5569" s="1"/>
      <c r="T5569" s="1"/>
      <c r="U5569" s="1"/>
      <c r="V5569" s="1"/>
      <c r="W5569" s="1"/>
      <c r="X5569" s="1"/>
      <c r="Y5569" s="1"/>
      <c r="Z5569" s="1"/>
      <c r="AA5569" s="1"/>
      <c r="AB5569" s="1"/>
      <c r="AC5569" s="1"/>
      <c r="AD5569" s="1"/>
      <c r="AE5569" s="1"/>
      <c r="AF5569" s="1"/>
      <c r="AG5569" s="1"/>
      <c r="AH5569" s="1"/>
      <c r="AI5569" s="1"/>
      <c r="AJ5569" s="1"/>
      <c r="AK5569" s="1"/>
      <c r="AL5569" s="1"/>
      <c r="AM5569" s="1"/>
      <c r="AN5569" s="1"/>
      <c r="AO5569" s="1"/>
      <c r="AP5569" s="1"/>
      <c r="AQ5569" s="1"/>
      <c r="AR5569" s="1"/>
      <c r="AS5569" s="1"/>
      <c r="AT5569" s="1"/>
      <c r="AU5569" s="1"/>
      <c r="AV5569" s="1"/>
      <c r="AW5569" s="1"/>
      <c r="AX5569" s="1"/>
      <c r="AY5569" s="1"/>
      <c r="AZ5569" s="1"/>
      <c r="BA5569" s="1"/>
      <c r="BB5569" s="1"/>
    </row>
    <row r="5570" ht="204.75" customHeight="1">
      <c r="A5570" s="1">
        <v>3589.0</v>
      </c>
      <c r="B5570" s="2" t="s">
        <v>15272</v>
      </c>
      <c r="C5570" s="2">
        <f>IFERROR(__xludf.DUMMYFUNCTION("split(B5570,""_"")"),1210.0)</f>
        <v>1210</v>
      </c>
      <c r="D5570" s="2" t="str">
        <f>IFERROR(__xludf.DUMMYFUNCTION("""COMPUTED_VALUE"""),"TBS")</f>
        <v>TBS</v>
      </c>
      <c r="E5570" s="2" t="str">
        <f>IFERROR(__xludf.DUMMYFUNCTION("""COMPUTED_VALUE"""),"木21")</f>
        <v>木21</v>
      </c>
      <c r="F5570" s="2" t="s">
        <v>15273</v>
      </c>
      <c r="G5570" s="2" t="s">
        <v>15288</v>
      </c>
      <c r="H5570" s="1">
        <v>8.0</v>
      </c>
      <c r="J5570" s="1" t="s">
        <v>11</v>
      </c>
      <c r="K5570" s="2" t="s">
        <v>15289</v>
      </c>
      <c r="L5570" s="2"/>
      <c r="M5570" s="2" t="str">
        <f>IFERROR(__xludf.DUMMYFUNCTION("split(split(K5570,""【"",false),""公式LINE"",false)"),"救命センターに脊髄腫瘍の患者、新井友久(古舘寛治)が搬送されてくる。患者の妻は、指導医、宮島(小澤征悦)の元妻、新井美帆子(吉田羊)であった。新井は手術で命は助かったとしても、車いす生活を強いられる状態。手術を拒む夫を救って欲しいと、美帆子は宮島に訴える。  一方、弥生(須藤理沙)は自らが助けた患者が寝たきり状態になり、息子の佐藤充(中村有志)から責め立てられていた。その姿にしずく(仲里依紗)たち研修医は医師という仕事の現実を改めて思い知る。  そんな中、矢沢(林遣都)の前に自分を捨てた母親、久美(高岡早"&amp;"紀)が現れる。矢沢は動揺を隠し、必死に久美を避けようとするが…美山しずく…仲里依紗  矢沢圭…林遣都  真中潤一…増田貴久（NEWS）  小岩井陽奈子…大政絢  新城紗知…石橋杏奈    香澄弥生…須藤理彩  前田一平…荒川良々  迫田恵子…光浦靖子（オアシズ）  香澄研二…皆川猿時    美山皆人…千葉雄大  美山涼子…山下容莉枝    美山勝己…寺島進    田淵育男…古田新太  宮島一樹…小澤征悦千葉洋子…山田真歩  長谷川誠…松島庄汰  相田遥…志保  馬場恵…青谷優衣  飯田浩輔…奥野瑛太矢沢久"&amp;"美…高岡早紀    新井美帆子…吉田羊  新井友久…古舘寛治    佐藤充…中村有志  佐藤悦子…高田敏江「Answer」/flumpool(A-Sketch)  ")</f>
        <v>救命センターに脊髄腫瘍の患者、新井友久(古舘寛治)が搬送されてくる。患者の妻は、指導医、宮島(小澤征悦)の元妻、新井美帆子(吉田羊)であった。新井は手術で命は助かったとしても、車いす生活を強いられる状態。手術を拒む夫を救って欲しいと、美帆子は宮島に訴える。  一方、弥生(須藤理沙)は自らが助けた患者が寝たきり状態になり、息子の佐藤充(中村有志)から責め立てられていた。その姿にしずく(仲里依紗)たち研修医は医師という仕事の現実を改めて思い知る。  そんな中、矢沢(林遣都)の前に自分を捨てた母親、久美(高岡早紀)が現れる。矢沢は動揺を隠し、必死に久美を避けようとするが…美山しずく…仲里依紗  矢沢圭…林遣都  真中潤一…増田貴久（NEWS）  小岩井陽奈子…大政絢  新城紗知…石橋杏奈    香澄弥生…須藤理彩  前田一平…荒川良々  迫田恵子…光浦靖子（オアシズ）  香澄研二…皆川猿時    美山皆人…千葉雄大  美山涼子…山下容莉枝    美山勝己…寺島進    田淵育男…古田新太  宮島一樹…小澤征悦千葉洋子…山田真歩  長谷川誠…松島庄汰  相田遥…志保  馬場恵…青谷優衣  飯田浩輔…奥野瑛太矢沢久美…高岡早紀    新井美帆子…吉田羊  新井友久…古舘寛治    佐藤充…中村有志  佐藤悦子…高田敏江「Answer」/flumpool(A-Sketch)  </v>
      </c>
      <c r="N5570" s="2"/>
      <c r="O5570" s="2"/>
      <c r="P5570" s="1"/>
      <c r="Q5570" s="1"/>
      <c r="R5570" s="1"/>
      <c r="S5570" s="1"/>
      <c r="T5570" s="1"/>
      <c r="U5570" s="1"/>
      <c r="V5570" s="1"/>
      <c r="W5570" s="1"/>
      <c r="X5570" s="1"/>
      <c r="Y5570" s="1"/>
      <c r="Z5570" s="1"/>
      <c r="AA5570" s="1"/>
      <c r="AB5570" s="1"/>
      <c r="AC5570" s="1"/>
      <c r="AD5570" s="1"/>
      <c r="AE5570" s="1"/>
      <c r="AF5570" s="1"/>
      <c r="AG5570" s="1"/>
      <c r="AH5570" s="1"/>
      <c r="AI5570" s="1"/>
      <c r="AJ5570" s="1"/>
      <c r="AK5570" s="1"/>
      <c r="AL5570" s="1"/>
      <c r="AM5570" s="1"/>
      <c r="AN5570" s="1"/>
      <c r="AO5570" s="1"/>
      <c r="AP5570" s="1"/>
      <c r="AQ5570" s="1"/>
      <c r="AR5570" s="1"/>
      <c r="AS5570" s="1"/>
      <c r="AT5570" s="1"/>
      <c r="AU5570" s="1"/>
      <c r="AV5570" s="1"/>
      <c r="AW5570" s="1"/>
      <c r="AX5570" s="1"/>
      <c r="AY5570" s="1"/>
      <c r="AZ5570" s="1"/>
      <c r="BA5570" s="1"/>
      <c r="BB5570" s="1"/>
    </row>
    <row r="5571" ht="204.75" customHeight="1">
      <c r="A5571" s="1">
        <v>3590.0</v>
      </c>
      <c r="B5571" s="2" t="s">
        <v>15272</v>
      </c>
      <c r="C5571" s="2">
        <f>IFERROR(__xludf.DUMMYFUNCTION("split(B5571,""_"")"),1210.0)</f>
        <v>1210</v>
      </c>
      <c r="D5571" s="2" t="str">
        <f>IFERROR(__xludf.DUMMYFUNCTION("""COMPUTED_VALUE"""),"TBS")</f>
        <v>TBS</v>
      </c>
      <c r="E5571" s="2" t="str">
        <f>IFERROR(__xludf.DUMMYFUNCTION("""COMPUTED_VALUE"""),"木21")</f>
        <v>木21</v>
      </c>
      <c r="F5571" s="2" t="s">
        <v>15273</v>
      </c>
      <c r="G5571" s="2" t="s">
        <v>15290</v>
      </c>
      <c r="H5571" s="1">
        <v>9.0</v>
      </c>
      <c r="J5571" s="1" t="s">
        <v>11</v>
      </c>
      <c r="K5571" s="2" t="s">
        <v>15291</v>
      </c>
      <c r="L5571" s="2"/>
      <c r="M5571" s="2" t="str">
        <f>IFERROR(__xludf.DUMMYFUNCTION("split(split(K5571,""【"",false),""公式LINE"",false)"),"しずく(仲里依紗)の双子の弟、皆人(千葉雄大)が救急搬送されてくる。感染症により壊死状態の皆人の右腕…宮島(小澤征悦)は緊急手術が必要だと判断する。しかし、皆人の命を救うには腕を切断しなければならない。しずくは重大な決断を迫られる…  また、自殺未遂で救急搬送されてきた悦子(高田敏江)にショックを隠せない真中(増田貴久)。息子の充(中村有志)に責め立てられ、真中は医師という仕事の現実を痛感する。一方、矢沢(林遣都)のもとには母親の久美(高岡早紀)がしつこく訪れていた。酒に酔った勢いで「あんたを産んだせいで"&amp;"人生がめちゃくちゃだ」と矢沢に言い放つ久美。その反動から、矢沢は大量の酒を呷ってしまう…美山しずく…仲里依紗  矢沢圭…林遣都  真中潤一…増田貴久（NEWS）  小岩井陽奈子…大政絢  新城紗知…石橋杏奈    香澄弥生…須藤理彩  前田一平…荒川良々  迫田恵子…光浦靖子（オアシズ）  (香澄研二…皆川猿時)  田淵育男…古田新太  宮島一樹…小澤征悦    千葉洋子…山田真歩  長谷川誠…松島庄汰  相田遥…志保  馬場恵…青谷優衣  飯田浩輔…奥野瑛太矢沢久美…高岡早紀    佐藤充…中村有志  "&amp;"佐藤悦子…高田敏江「Answer」/flumpool(A-Sketch)  ")</f>
        <v>しずく(仲里依紗)の双子の弟、皆人(千葉雄大)が救急搬送されてくる。感染症により壊死状態の皆人の右腕…宮島(小澤征悦)は緊急手術が必要だと判断する。しかし、皆人の命を救うには腕を切断しなければならない。しずくは重大な決断を迫られる…  また、自殺未遂で救急搬送されてきた悦子(高田敏江)にショックを隠せない真中(増田貴久)。息子の充(中村有志)に責め立てられ、真中は医師という仕事の現実を痛感する。一方、矢沢(林遣都)のもとには母親の久美(高岡早紀)がしつこく訪れていた。酒に酔った勢いで「あんたを産んだせいで人生がめちゃくちゃだ」と矢沢に言い放つ久美。その反動から、矢沢は大量の酒を呷ってしまう…美山しずく…仲里依紗  矢沢圭…林遣都  真中潤一…増田貴久（NEWS）  小岩井陽奈子…大政絢  新城紗知…石橋杏奈    香澄弥生…須藤理彩  前田一平…荒川良々  迫田恵子…光浦靖子（オアシズ）  (香澄研二…皆川猿時)  田淵育男…古田新太  宮島一樹…小澤征悦    千葉洋子…山田真歩  長谷川誠…松島庄汰  相田遥…志保  馬場恵…青谷優衣  飯田浩輔…奥野瑛太矢沢久美…高岡早紀    佐藤充…中村有志  佐藤悦子…高田敏江「Answer」/flumpool(A-Sketch)  </v>
      </c>
      <c r="N5571" s="2"/>
      <c r="O5571" s="2"/>
      <c r="P5571" s="1"/>
      <c r="Q5571" s="1"/>
      <c r="R5571" s="1"/>
      <c r="S5571" s="1"/>
      <c r="T5571" s="1"/>
      <c r="U5571" s="1"/>
      <c r="V5571" s="1"/>
      <c r="W5571" s="1"/>
      <c r="X5571" s="1"/>
      <c r="Y5571" s="1"/>
      <c r="Z5571" s="1"/>
      <c r="AA5571" s="1"/>
      <c r="AB5571" s="1"/>
      <c r="AC5571" s="1"/>
      <c r="AD5571" s="1"/>
      <c r="AE5571" s="1"/>
      <c r="AF5571" s="1"/>
      <c r="AG5571" s="1"/>
      <c r="AH5571" s="1"/>
      <c r="AI5571" s="1"/>
      <c r="AJ5571" s="1"/>
      <c r="AK5571" s="1"/>
      <c r="AL5571" s="1"/>
      <c r="AM5571" s="1"/>
      <c r="AN5571" s="1"/>
      <c r="AO5571" s="1"/>
      <c r="AP5571" s="1"/>
      <c r="AQ5571" s="1"/>
      <c r="AR5571" s="1"/>
      <c r="AS5571" s="1"/>
      <c r="AT5571" s="1"/>
      <c r="AU5571" s="1"/>
      <c r="AV5571" s="1"/>
      <c r="AW5571" s="1"/>
      <c r="AX5571" s="1"/>
      <c r="AY5571" s="1"/>
      <c r="AZ5571" s="1"/>
      <c r="BA5571" s="1"/>
      <c r="BB5571" s="1"/>
    </row>
    <row r="5572" ht="204.75" customHeight="1">
      <c r="A5572" s="1">
        <v>3591.0</v>
      </c>
      <c r="B5572" s="2" t="s">
        <v>15272</v>
      </c>
      <c r="C5572" s="2">
        <f>IFERROR(__xludf.DUMMYFUNCTION("split(B5572,""_"")"),1210.0)</f>
        <v>1210</v>
      </c>
      <c r="D5572" s="2" t="str">
        <f>IFERROR(__xludf.DUMMYFUNCTION("""COMPUTED_VALUE"""),"TBS")</f>
        <v>TBS</v>
      </c>
      <c r="E5572" s="2" t="str">
        <f>IFERROR(__xludf.DUMMYFUNCTION("""COMPUTED_VALUE"""),"木21")</f>
        <v>木21</v>
      </c>
      <c r="F5572" s="2" t="s">
        <v>15273</v>
      </c>
      <c r="G5572" s="2" t="s">
        <v>15292</v>
      </c>
      <c r="H5572" s="1">
        <v>10.0</v>
      </c>
      <c r="J5572" s="1" t="s">
        <v>11</v>
      </c>
      <c r="K5572" s="2" t="s">
        <v>15293</v>
      </c>
      <c r="L5572" s="2"/>
      <c r="M5572" s="2" t="str">
        <f>IFERROR(__xludf.DUMMYFUNCTION("split(split(K5572,""【"",false),""公式LINE"",false)"),"アルコールと薬物の過量摂取により意識不明となった矢沢(林遣都)は、間一髪のところを真中(増田貴久)、陽菜子(大政絢)、紗知(石橋杏奈)たちによって救出される。だが、意識を取り戻した矢沢は、母親のトラウマで生きる気力を失っていた。真中たちは必死に矢沢を救おうとするが…  一方、しずく(仲里依紗)は、右腕を切断し失意の弟、皆人(千葉雄大)の退院を見送っていた。医者としての自信を失いかけるしずく。そんなとき、病院の目の前で、大規模な地下鉄の脱線事故が起こる。膨大な数の犠牲者たち。しずく(仲里依紗)たち研修医は息"&amp;"つく間もなく、宮島(小澤征悦)たち指導医と共に、犠牲者の救助に向かう…美山しずく…仲里依紗  矢沢圭…林遣都  真中潤一…増田貴久（NEWS）  小岩井陽奈子…大政絢  新城紗知…石橋杏奈    香澄弥生…須藤理彩  前田一平…荒川良々  迫田恵子…光浦靖子（オアシズ）  香澄研二…皆川猿時    美山皆人…千葉雄大  美山涼子…山下容莉枝    美山勝己…寺島進    田淵育男…古田新太  宮島一樹…小澤征悦千葉洋子…山田真歩  長谷川誠…松島庄汰  相田遥…志保  馬場恵…青谷優衣  飯田浩輔…奥野瑛"&amp;"太  ")</f>
        <v>アルコールと薬物の過量摂取により意識不明となった矢沢(林遣都)は、間一髪のところを真中(増田貴久)、陽菜子(大政絢)、紗知(石橋杏奈)たちによって救出される。だが、意識を取り戻した矢沢は、母親のトラウマで生きる気力を失っていた。真中たちは必死に矢沢を救おうとするが…  一方、しずく(仲里依紗)は、右腕を切断し失意の弟、皆人(千葉雄大)の退院を見送っていた。医者としての自信を失いかけるしずく。そんなとき、病院の目の前で、大規模な地下鉄の脱線事故が起こる。膨大な数の犠牲者たち。しずく(仲里依紗)たち研修医は息つく間もなく、宮島(小澤征悦)たち指導医と共に、犠牲者の救助に向かう…美山しずく…仲里依紗  矢沢圭…林遣都  真中潤一…増田貴久（NEWS）  小岩井陽奈子…大政絢  新城紗知…石橋杏奈    香澄弥生…須藤理彩  前田一平…荒川良々  迫田恵子…光浦靖子（オアシズ）  香澄研二…皆川猿時    美山皆人…千葉雄大  美山涼子…山下容莉枝    美山勝己…寺島進    田淵育男…古田新太  宮島一樹…小澤征悦千葉洋子…山田真歩  長谷川誠…松島庄汰  相田遥…志保  馬場恵…青谷優衣  飯田浩輔…奥野瑛太  </v>
      </c>
      <c r="N5572" s="2"/>
      <c r="O5572" s="2"/>
      <c r="P5572" s="1"/>
      <c r="Q5572" s="1"/>
      <c r="R5572" s="1"/>
      <c r="S5572" s="1"/>
      <c r="T5572" s="1"/>
      <c r="U5572" s="1"/>
      <c r="V5572" s="1"/>
      <c r="W5572" s="1"/>
      <c r="X5572" s="1"/>
      <c r="Y5572" s="1"/>
      <c r="Z5572" s="1"/>
      <c r="AA5572" s="1"/>
      <c r="AB5572" s="1"/>
      <c r="AC5572" s="1"/>
      <c r="AD5572" s="1"/>
      <c r="AE5572" s="1"/>
      <c r="AF5572" s="1"/>
      <c r="AG5572" s="1"/>
      <c r="AH5572" s="1"/>
      <c r="AI5572" s="1"/>
      <c r="AJ5572" s="1"/>
      <c r="AK5572" s="1"/>
      <c r="AL5572" s="1"/>
      <c r="AM5572" s="1"/>
      <c r="AN5572" s="1"/>
      <c r="AO5572" s="1"/>
      <c r="AP5572" s="1"/>
      <c r="AQ5572" s="1"/>
      <c r="AR5572" s="1"/>
      <c r="AS5572" s="1"/>
      <c r="AT5572" s="1"/>
      <c r="AU5572" s="1"/>
      <c r="AV5572" s="1"/>
      <c r="AW5572" s="1"/>
      <c r="AX5572" s="1"/>
      <c r="AY5572" s="1"/>
      <c r="AZ5572" s="1"/>
      <c r="BA5572" s="1"/>
      <c r="BB5572" s="1"/>
    </row>
    <row r="5573" ht="204.75" customHeight="1">
      <c r="A5573" s="1">
        <v>3636.0</v>
      </c>
      <c r="B5573" s="2" t="s">
        <v>15294</v>
      </c>
      <c r="C5573" s="2">
        <f>IFERROR(__xludf.DUMMYFUNCTION("split(B5573,""_"")"),1210.0)</f>
        <v>1210</v>
      </c>
      <c r="D5573" s="2" t="str">
        <f>IFERROR(__xludf.DUMMYFUNCTION("""COMPUTED_VALUE"""),"TBS")</f>
        <v>TBS</v>
      </c>
      <c r="E5573" s="2" t="str">
        <f>IFERROR(__xludf.DUMMYFUNCTION("""COMPUTED_VALUE"""),"日21")</f>
        <v>日21</v>
      </c>
      <c r="F5573" s="2" t="s">
        <v>15295</v>
      </c>
      <c r="G5573" s="2" t="s">
        <v>15296</v>
      </c>
      <c r="H5573" s="1">
        <v>1.0</v>
      </c>
      <c r="J5573" s="1" t="s">
        <v>12865</v>
      </c>
      <c r="K5573" s="2" t="s">
        <v>15297</v>
      </c>
      <c r="L5573" s="2"/>
      <c r="M5573" s="2" t="str">
        <f>IFERROR(__xludf.DUMMYFUNCTION("split(split(K5573,""【"",false),""公式LINE"",false)"),"大財閥の会長が、まさかのトリックで殺害された！そして消えた80億円…！次々と浮かぶ容疑者たち。  香取慎吾演じる平塚平八刑事は、山下智久演じる新人刑事・西園寺公輔というパートナーとともに、この難事件に立ち向かう！平八のするどい推理と西園寺の汗かきまくるド根性が、大財閥という華麗なる一族の裏側を暴く！  豪華なゲストを迎えて送る初回2時間SP！慇懃無礼だが実は他人の気持ちには興味がない…  特に犯罪者に対しては、爪を隠した猛獣のようにニタニタしながらもてあそび、最後にちゃんと逮捕する！  正義のために邁進す"&amp;"る…というよりは知的な狩りを楽しむ変人刑事！  善とも悪とも判別不能のニューヒーロー誕生！平塚平八…香取慎吾（SMAP）／西園寺公輔…山下智久／高野恵美…柳原可奈子／剣持亘…大竹まこと／金田一…遠藤憲一／金田班…蕨野友也、菊田大輔、肥野竜也、白石朋也、日中泰景")</f>
        <v>大財閥の会長が、まさかのトリックで殺害された！そして消えた80億円…！次々と浮かぶ容疑者たち。  香取慎吾演じる平塚平八刑事は、山下智久演じる新人刑事・西園寺公輔というパートナーとともに、この難事件に立ち向かう！平八のするどい推理と西園寺の汗かきまくるド根性が、大財閥という華麗なる一族の裏側を暴く！  豪華なゲストを迎えて送る初回2時間SP！慇懃無礼だが実は他人の気持ちには興味がない…  特に犯罪者に対しては、爪を隠した猛獣のようにニタニタしながらもてあそび、最後にちゃんと逮捕する！  正義のために邁進する…というよりは知的な狩りを楽しむ変人刑事！  善とも悪とも判別不能のニューヒーロー誕生！平塚平八…香取慎吾（SMAP）／西園寺公輔…山下智久／高野恵美…柳原可奈子／剣持亘…大竹まこと／金田一…遠藤憲一／金田班…蕨野友也、菊田大輔、肥野竜也、白石朋也、日中泰景</v>
      </c>
      <c r="N5573" s="2"/>
      <c r="O5573" s="2"/>
      <c r="P5573" s="1"/>
      <c r="Q5573" s="1"/>
      <c r="R5573" s="1"/>
      <c r="S5573" s="1"/>
      <c r="T5573" s="1"/>
      <c r="U5573" s="1"/>
      <c r="V5573" s="1"/>
      <c r="W5573" s="1"/>
      <c r="X5573" s="1"/>
      <c r="Y5573" s="1"/>
      <c r="Z5573" s="1"/>
      <c r="AA5573" s="1"/>
      <c r="AB5573" s="1"/>
      <c r="AC5573" s="1"/>
      <c r="AD5573" s="1"/>
      <c r="AE5573" s="1"/>
      <c r="AF5573" s="1"/>
      <c r="AG5573" s="1"/>
      <c r="AH5573" s="1"/>
      <c r="AI5573" s="1"/>
      <c r="AJ5573" s="1"/>
      <c r="AK5573" s="1"/>
      <c r="AL5573" s="1"/>
      <c r="AM5573" s="1"/>
      <c r="AN5573" s="1"/>
      <c r="AO5573" s="1"/>
      <c r="AP5573" s="1"/>
      <c r="AQ5573" s="1"/>
      <c r="AR5573" s="1"/>
      <c r="AS5573" s="1"/>
      <c r="AT5573" s="1"/>
      <c r="AU5573" s="1"/>
      <c r="AV5573" s="1"/>
      <c r="AW5573" s="1"/>
      <c r="AX5573" s="1"/>
      <c r="AY5573" s="1"/>
      <c r="AZ5573" s="1"/>
      <c r="BA5573" s="1"/>
      <c r="BB5573" s="1"/>
    </row>
    <row r="5574" ht="204.75" customHeight="1">
      <c r="A5574" s="1">
        <v>3637.0</v>
      </c>
      <c r="B5574" s="2" t="s">
        <v>15294</v>
      </c>
      <c r="C5574" s="2">
        <f>IFERROR(__xludf.DUMMYFUNCTION("split(B5574,""_"")"),1210.0)</f>
        <v>1210</v>
      </c>
      <c r="D5574" s="2" t="str">
        <f>IFERROR(__xludf.DUMMYFUNCTION("""COMPUTED_VALUE"""),"TBS")</f>
        <v>TBS</v>
      </c>
      <c r="E5574" s="2" t="str">
        <f>IFERROR(__xludf.DUMMYFUNCTION("""COMPUTED_VALUE"""),"日21")</f>
        <v>日21</v>
      </c>
      <c r="F5574" s="2" t="s">
        <v>15295</v>
      </c>
      <c r="G5574" s="2" t="s">
        <v>15298</v>
      </c>
      <c r="H5574" s="1">
        <v>2.0</v>
      </c>
      <c r="J5574" s="1" t="s">
        <v>11</v>
      </c>
      <c r="K5574" s="2" t="s">
        <v>15299</v>
      </c>
      <c r="L5574" s="2"/>
      <c r="M5574" s="2" t="str">
        <f>IFERROR(__xludf.DUMMYFUNCTION("split(split(K5574,""【"",false),""公式LINE"",false)"),"白熱する衆議院選挙のさなか、野党・大畑幸三（浅野和之）の妻が殺害された！金田（遠藤憲一）班の捜査により、妻をつけ狙っていたと見られる暴力団構成員・田川一成（渡部豪太）を逮捕。対立する与党・鷺沼晋太郎（岩松了）の差し金かと思われたが…。一方、平八（香取慎吾）と西園寺（山下智久）には、選挙戦の裏に潜む驚くべき真実と陰謀の渦が襲いかかる！！そして何と…平八が殺人の容疑者に！？いきなり絶対絶命のピンチ！！巧妙に仕組まれたトリックに平八と西園寺はどう立ち向かうのか！！謎の殺人事件の裏には思いがけない動機が隠されてい"&amp;"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彼史上初の熱血新人刑事という役に挑戦！！平塚平八…香取慎吾（SMAP）／西園寺公輔…山下智久／高野恵美…柳原可奈子／金田一…遠藤憲一／金田班…蕨野友也、菊田大輔、肥野竜也、白石朋也、日中泰景")</f>
        <v>白熱する衆議院選挙のさなか、野党・大畑幸三（浅野和之）の妻が殺害された！金田（遠藤憲一）班の捜査により、妻をつけ狙っていたと見られる暴力団構成員・田川一成（渡部豪太）を逮捕。対立する与党・鷺沼晋太郎（岩松了）の差し金かと思われたが…。一方、平八（香取慎吾）と西園寺（山下智久）には、選挙戦の裏に潜む驚くべき真実と陰謀の渦が襲いかかる！！そして何と…平八が殺人の容疑者に！？いきなり絶対絶命のピンチ！！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彼史上初の熱血新人刑事という役に挑戦！！平塚平八…香取慎吾（SMAP）／西園寺公輔…山下智久／高野恵美…柳原可奈子／金田一…遠藤憲一／金田班…蕨野友也、菊田大輔、肥野竜也、白石朋也、日中泰景</v>
      </c>
      <c r="N5574" s="2"/>
      <c r="O5574" s="2"/>
      <c r="P5574" s="1"/>
      <c r="Q5574" s="1"/>
      <c r="R5574" s="1"/>
      <c r="S5574" s="1"/>
      <c r="T5574" s="1"/>
      <c r="U5574" s="1"/>
      <c r="V5574" s="1"/>
      <c r="W5574" s="1"/>
      <c r="X5574" s="1"/>
      <c r="Y5574" s="1"/>
      <c r="Z5574" s="1"/>
      <c r="AA5574" s="1"/>
      <c r="AB5574" s="1"/>
      <c r="AC5574" s="1"/>
      <c r="AD5574" s="1"/>
      <c r="AE5574" s="1"/>
      <c r="AF5574" s="1"/>
      <c r="AG5574" s="1"/>
      <c r="AH5574" s="1"/>
      <c r="AI5574" s="1"/>
      <c r="AJ5574" s="1"/>
      <c r="AK5574" s="1"/>
      <c r="AL5574" s="1"/>
      <c r="AM5574" s="1"/>
      <c r="AN5574" s="1"/>
      <c r="AO5574" s="1"/>
      <c r="AP5574" s="1"/>
      <c r="AQ5574" s="1"/>
      <c r="AR5574" s="1"/>
      <c r="AS5574" s="1"/>
      <c r="AT5574" s="1"/>
      <c r="AU5574" s="1"/>
      <c r="AV5574" s="1"/>
      <c r="AW5574" s="1"/>
      <c r="AX5574" s="1"/>
      <c r="AY5574" s="1"/>
      <c r="AZ5574" s="1"/>
      <c r="BA5574" s="1"/>
      <c r="BB5574" s="1"/>
    </row>
    <row r="5575" ht="204.75" customHeight="1">
      <c r="A5575" s="1">
        <v>3638.0</v>
      </c>
      <c r="B5575" s="2" t="s">
        <v>15294</v>
      </c>
      <c r="C5575" s="2">
        <f>IFERROR(__xludf.DUMMYFUNCTION("split(B5575,""_"")"),1210.0)</f>
        <v>1210</v>
      </c>
      <c r="D5575" s="2" t="str">
        <f>IFERROR(__xludf.DUMMYFUNCTION("""COMPUTED_VALUE"""),"TBS")</f>
        <v>TBS</v>
      </c>
      <c r="E5575" s="2" t="str">
        <f>IFERROR(__xludf.DUMMYFUNCTION("""COMPUTED_VALUE"""),"日21")</f>
        <v>日21</v>
      </c>
      <c r="F5575" s="2" t="s">
        <v>15295</v>
      </c>
      <c r="G5575" s="2" t="s">
        <v>15300</v>
      </c>
      <c r="H5575" s="1">
        <v>3.0</v>
      </c>
      <c r="J5575" s="1" t="s">
        <v>11</v>
      </c>
      <c r="K5575" s="2" t="s">
        <v>15301</v>
      </c>
      <c r="L5575" s="2"/>
      <c r="M5575" s="2" t="str">
        <f>IFERROR(__xludf.DUMMYFUNCTION("split(split(K5575,""【"",false),""公式LINE"",false)"),"人里はなれた山荘で殺人事件発生！かつての売れっ子推理作家・島村勉（小林隆）が遺体で発見された！残された血塗られたダイイングメッセージの意味とは！容疑者に浮上したのは、文学賞レースを争う推理作家・篠田恭四郎（中村橋之助）と矢崎健吾（白井晃）。推理小説を超える驚愕のリアルミステリー！平八（香取慎吾）と西園寺（山下智久）が挑むのは、ミステリーのプロが作り上げた完璧な時間トリック！！巧妙に仕組まれたトリックに平八と西園寺はどう立ち向かうのか！！謎の殺人事件の裏には思いがけない動機が隠されていた！！かつてないほど「"&amp;"愉快」で「痛快」な”推理エンターテイメント”！！  香取・山下の初共演コンビが挑むのは、ともに初体験の”刑事”役！  香取は今までにないミステリアスな変人刑事。天才的なひらめきでまさかのトリックを暴く！！  一方山下も、彼史上初の熱血新人刑事という役に挑戦！！平塚平八…香取慎吾（SMAP）／西園寺公輔…山下智久／高野恵美…柳原可奈子／金田一…遠藤憲一／金田班…蕨野友也、菊田大輔、肥野竜也、白石朋也、日中泰景篠田恭四郎…中村橋之助／矢崎健吾…白井晃／島村勉…小林隆／相沢新一…内倉憲二今週、香取慎吾が挑戦する"&amp;"長台詞は・・・なんと台本約16ページ！！219行！！  果たしてどんな謎解きが繰り広げられるのか！？  進化し続ける香取慎吾から目が離せない！！The MONSTERS  「MONSTERS」（ビクターエンタテインメント）")</f>
        <v>人里はなれた山荘で殺人事件発生！かつての売れっ子推理作家・島村勉（小林隆）が遺体で発見された！残された血塗られたダイイングメッセージの意味とは！容疑者に浮上したのは、文学賞レースを争う推理作家・篠田恭四郎（中村橋之助）と矢崎健吾（白井晃）。推理小説を超える驚愕のリアルミステリー！平八（香取慎吾）と西園寺（山下智久）が挑むのは、ミステリーのプロが作り上げた完璧な時間トリック！！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彼史上初の熱血新人刑事という役に挑戦！！平塚平八…香取慎吾（SMAP）／西園寺公輔…山下智久／高野恵美…柳原可奈子／金田一…遠藤憲一／金田班…蕨野友也、菊田大輔、肥野竜也、白石朋也、日中泰景篠田恭四郎…中村橋之助／矢崎健吾…白井晃／島村勉…小林隆／相沢新一…内倉憲二今週、香取慎吾が挑戦する長台詞は・・・なんと台本約16ページ！！219行！！  果たしてどんな謎解きが繰り広げられるのか！？  進化し続ける香取慎吾から目が離せない！！The MONSTERS  「MONSTERS」（ビクターエンタテインメント）</v>
      </c>
      <c r="N5575" s="2"/>
      <c r="O5575" s="2"/>
      <c r="P5575" s="1"/>
      <c r="Q5575" s="1"/>
      <c r="R5575" s="1"/>
      <c r="S5575" s="1"/>
      <c r="T5575" s="1"/>
      <c r="U5575" s="1"/>
      <c r="V5575" s="1"/>
      <c r="W5575" s="1"/>
      <c r="X5575" s="1"/>
      <c r="Y5575" s="1"/>
      <c r="Z5575" s="1"/>
      <c r="AA5575" s="1"/>
      <c r="AB5575" s="1"/>
      <c r="AC5575" s="1"/>
      <c r="AD5575" s="1"/>
      <c r="AE5575" s="1"/>
      <c r="AF5575" s="1"/>
      <c r="AG5575" s="1"/>
      <c r="AH5575" s="1"/>
      <c r="AI5575" s="1"/>
      <c r="AJ5575" s="1"/>
      <c r="AK5575" s="1"/>
      <c r="AL5575" s="1"/>
      <c r="AM5575" s="1"/>
      <c r="AN5575" s="1"/>
      <c r="AO5575" s="1"/>
      <c r="AP5575" s="1"/>
      <c r="AQ5575" s="1"/>
      <c r="AR5575" s="1"/>
      <c r="AS5575" s="1"/>
      <c r="AT5575" s="1"/>
      <c r="AU5575" s="1"/>
      <c r="AV5575" s="1"/>
      <c r="AW5575" s="1"/>
      <c r="AX5575" s="1"/>
      <c r="AY5575" s="1"/>
      <c r="AZ5575" s="1"/>
      <c r="BA5575" s="1"/>
      <c r="BB5575" s="1"/>
    </row>
    <row r="5576" ht="204.75" customHeight="1">
      <c r="A5576" s="1">
        <v>3639.0</v>
      </c>
      <c r="B5576" s="2" t="s">
        <v>15294</v>
      </c>
      <c r="C5576" s="2">
        <f>IFERROR(__xludf.DUMMYFUNCTION("split(B5576,""_"")"),1210.0)</f>
        <v>1210</v>
      </c>
      <c r="D5576" s="2" t="str">
        <f>IFERROR(__xludf.DUMMYFUNCTION("""COMPUTED_VALUE"""),"TBS")</f>
        <v>TBS</v>
      </c>
      <c r="E5576" s="2" t="str">
        <f>IFERROR(__xludf.DUMMYFUNCTION("""COMPUTED_VALUE"""),"日21")</f>
        <v>日21</v>
      </c>
      <c r="F5576" s="2" t="s">
        <v>15295</v>
      </c>
      <c r="G5576" s="2" t="s">
        <v>15302</v>
      </c>
      <c r="H5576" s="1">
        <v>4.0</v>
      </c>
      <c r="J5576" s="1" t="s">
        <v>11</v>
      </c>
      <c r="K5576" s="2" t="s">
        <v>15303</v>
      </c>
      <c r="L5576" s="2"/>
      <c r="M5576" s="2" t="str">
        <f>IFERROR(__xludf.DUMMYFUNCTION("split(split(K5576,""【"",false),""公式LINE"",false)"),"次期教授選を前に、医局に届いた衝撃の殺人予告と、血まみれのナイフ…すると、屋外で門倉教授（佐々木勝彦）の遺体が発見された！平八（香取慎吾）と入院中の西園寺（山下智久）は、見通しの良すぎる犯行現場に疑問を抱く。犯人は”透明人間”なのか！？製薬会社との癒着を疑われていた安東准教授（吉田栄作）が怪しいと思われたが、安東には完璧なアリバイが…！！一方、医師の村川（佐藤二朗）は過去の医療ミスを隠していて…巧妙に仕組まれたトリックに平八と西園寺はどう立ち向かうのか！！謎の殺人事件の裏には思いがけない動機が隠されていた"&amp;"！！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金田一…遠藤憲一／金田班…蕨野友也、菊田大輔、肥野竜也、白石朋也、日中泰景")</f>
        <v>次期教授選を前に、医局に届いた衝撃の殺人予告と、血まみれのナイフ…すると、屋外で門倉教授（佐々木勝彦）の遺体が発見された！平八（香取慎吾）と入院中の西園寺（山下智久）は、見通しの良すぎる犯行現場に疑問を抱く。犯人は”透明人間”なのか！？製薬会社との癒着を疑われていた安東准教授（吉田栄作）が怪しいと思われたが、安東には完璧なアリバイが…！！一方、医師の村川（佐藤二朗）は過去の医療ミスを隠していて…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金田一…遠藤憲一／金田班…蕨野友也、菊田大輔、肥野竜也、白石朋也、日中泰景</v>
      </c>
      <c r="N5576" s="2"/>
      <c r="O5576" s="2"/>
      <c r="P5576" s="1"/>
      <c r="Q5576" s="1"/>
      <c r="R5576" s="1"/>
      <c r="S5576" s="1"/>
      <c r="T5576" s="1"/>
      <c r="U5576" s="1"/>
      <c r="V5576" s="1"/>
      <c r="W5576" s="1"/>
      <c r="X5576" s="1"/>
      <c r="Y5576" s="1"/>
      <c r="Z5576" s="1"/>
      <c r="AA5576" s="1"/>
      <c r="AB5576" s="1"/>
      <c r="AC5576" s="1"/>
      <c r="AD5576" s="1"/>
      <c r="AE5576" s="1"/>
      <c r="AF5576" s="1"/>
      <c r="AG5576" s="1"/>
      <c r="AH5576" s="1"/>
      <c r="AI5576" s="1"/>
      <c r="AJ5576" s="1"/>
      <c r="AK5576" s="1"/>
      <c r="AL5576" s="1"/>
      <c r="AM5576" s="1"/>
      <c r="AN5576" s="1"/>
      <c r="AO5576" s="1"/>
      <c r="AP5576" s="1"/>
      <c r="AQ5576" s="1"/>
      <c r="AR5576" s="1"/>
      <c r="AS5576" s="1"/>
      <c r="AT5576" s="1"/>
      <c r="AU5576" s="1"/>
      <c r="AV5576" s="1"/>
      <c r="AW5576" s="1"/>
      <c r="AX5576" s="1"/>
      <c r="AY5576" s="1"/>
      <c r="AZ5576" s="1"/>
      <c r="BA5576" s="1"/>
      <c r="BB5576" s="1"/>
    </row>
    <row r="5577" ht="204.75" customHeight="1">
      <c r="A5577" s="1">
        <v>3640.0</v>
      </c>
      <c r="B5577" s="2" t="s">
        <v>15294</v>
      </c>
      <c r="C5577" s="2">
        <f>IFERROR(__xludf.DUMMYFUNCTION("split(B5577,""_"")"),1210.0)</f>
        <v>1210</v>
      </c>
      <c r="D5577" s="2" t="str">
        <f>IFERROR(__xludf.DUMMYFUNCTION("""COMPUTED_VALUE"""),"TBS")</f>
        <v>TBS</v>
      </c>
      <c r="E5577" s="2" t="str">
        <f>IFERROR(__xludf.DUMMYFUNCTION("""COMPUTED_VALUE"""),"日21")</f>
        <v>日21</v>
      </c>
      <c r="F5577" s="2" t="s">
        <v>15295</v>
      </c>
      <c r="G5577" s="2" t="s">
        <v>15304</v>
      </c>
      <c r="H5577" s="1">
        <v>5.0</v>
      </c>
      <c r="J5577" s="1" t="s">
        <v>11</v>
      </c>
      <c r="K5577" s="2" t="s">
        <v>15305</v>
      </c>
      <c r="L5577" s="2"/>
      <c r="M5577" s="2" t="str">
        <f>IFERROR(__xludf.DUMMYFUNCTION("split(split(K5577,""【"",false),""公式LINE"",false)"),"伝統か最先端の科学か…料理界初の永世王座をかけた丸岡龍次郎（榎木孝明）と挑戦者・四条敦彦（中村俊介）、注目の料理対決を二日後に控え、審査委員長・大河原六郎（奥田達士）が殺された！！遺体の下から発見された携帯電話からは、何のものともつかない奇妙な匂いが…カリスマ料理人たちが仕掛ける”まさかの料理トリック”！！平八（香取慎吾）＆西園寺（山下智久）が推理した、完全犯罪の意外な隠し味…巧妙に仕組まれたトリックに平八と西園寺はどう立ち向かうのか！！謎の殺人事件の裏には思いがけない動機が隠されていた！！かつてないほど"&amp;"「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剣持亘…大竹まこと／金田一…遠藤憲一／金田班…蕨野友也、菊田大輔、肥野竜也、白石朋也、日中泰景丸岡龍次郎…榎木孝明／四条敦彦…中村俊介／大河原六郎…奥田達士／大河原美津子…生田智"&amp;"子／青山春夫…内野謙太／ホテルの総支配人…伊藤正之あの名門サスペンスの主人公が、奇跡の新旧対決！！  そして今週、香取慎吾が挑戦する長台詞は・・・なんと台本約18ページ！！248行！！  果たしてどんな謎解きが繰り広げられるのか！？The MONSTERS  「MONSTERS」（ビクターエンタテインメント）")</f>
        <v>伝統か最先端の科学か…料理界初の永世王座をかけた丸岡龍次郎（榎木孝明）と挑戦者・四条敦彦（中村俊介）、注目の料理対決を二日後に控え、審査委員長・大河原六郎（奥田達士）が殺された！！遺体の下から発見された携帯電話からは、何のものともつかない奇妙な匂いが…カリスマ料理人たちが仕掛ける”まさかの料理トリック”！！平八（香取慎吾）＆西園寺（山下智久）が推理した、完全犯罪の意外な隠し味…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剣持亘…大竹まこと／金田一…遠藤憲一／金田班…蕨野友也、菊田大輔、肥野竜也、白石朋也、日中泰景丸岡龍次郎…榎木孝明／四条敦彦…中村俊介／大河原六郎…奥田達士／大河原美津子…生田智子／青山春夫…内野謙太／ホテルの総支配人…伊藤正之あの名門サスペンスの主人公が、奇跡の新旧対決！！  そして今週、香取慎吾が挑戦する長台詞は・・・なんと台本約18ページ！！248行！！  果たしてどんな謎解きが繰り広げられるのか！？The MONSTERS  「MONSTERS」（ビクターエンタテインメント）</v>
      </c>
      <c r="N5577" s="2"/>
      <c r="O5577" s="2"/>
      <c r="P5577" s="1"/>
      <c r="Q5577" s="1"/>
      <c r="R5577" s="1"/>
      <c r="S5577" s="1"/>
      <c r="T5577" s="1"/>
      <c r="U5577" s="1"/>
      <c r="V5577" s="1"/>
      <c r="W5577" s="1"/>
      <c r="X5577" s="1"/>
      <c r="Y5577" s="1"/>
      <c r="Z5577" s="1"/>
      <c r="AA5577" s="1"/>
      <c r="AB5577" s="1"/>
      <c r="AC5577" s="1"/>
      <c r="AD5577" s="1"/>
      <c r="AE5577" s="1"/>
      <c r="AF5577" s="1"/>
      <c r="AG5577" s="1"/>
      <c r="AH5577" s="1"/>
      <c r="AI5577" s="1"/>
      <c r="AJ5577" s="1"/>
      <c r="AK5577" s="1"/>
      <c r="AL5577" s="1"/>
      <c r="AM5577" s="1"/>
      <c r="AN5577" s="1"/>
      <c r="AO5577" s="1"/>
      <c r="AP5577" s="1"/>
      <c r="AQ5577" s="1"/>
      <c r="AR5577" s="1"/>
      <c r="AS5577" s="1"/>
      <c r="AT5577" s="1"/>
      <c r="AU5577" s="1"/>
      <c r="AV5577" s="1"/>
      <c r="AW5577" s="1"/>
      <c r="AX5577" s="1"/>
      <c r="AY5577" s="1"/>
      <c r="AZ5577" s="1"/>
      <c r="BA5577" s="1"/>
      <c r="BB5577" s="1"/>
    </row>
    <row r="5578" ht="204.75" customHeight="1">
      <c r="A5578" s="1">
        <v>3641.0</v>
      </c>
      <c r="B5578" s="2" t="s">
        <v>15294</v>
      </c>
      <c r="C5578" s="2">
        <f>IFERROR(__xludf.DUMMYFUNCTION("split(B5578,""_"")"),1210.0)</f>
        <v>1210</v>
      </c>
      <c r="D5578" s="2" t="str">
        <f>IFERROR(__xludf.DUMMYFUNCTION("""COMPUTED_VALUE"""),"TBS")</f>
        <v>TBS</v>
      </c>
      <c r="E5578" s="2" t="str">
        <f>IFERROR(__xludf.DUMMYFUNCTION("""COMPUTED_VALUE"""),"日21")</f>
        <v>日21</v>
      </c>
      <c r="F5578" s="2" t="s">
        <v>15295</v>
      </c>
      <c r="G5578" s="2" t="s">
        <v>15306</v>
      </c>
      <c r="H5578" s="1">
        <v>6.0</v>
      </c>
      <c r="J5578" s="1" t="s">
        <v>11</v>
      </c>
      <c r="K5578" s="2" t="s">
        <v>15307</v>
      </c>
      <c r="L5578" s="2"/>
      <c r="M5578" s="2" t="str">
        <f>IFERROR(__xludf.DUMMYFUNCTION("split(split(K5578,""【"",false),""公式LINE"",false)"),"価値数百億円の新素材の開発に成功した科学者の本間実（中村獅童）。しかしその最高機密がまさかの流出！さらに「犯人を知っている」という研究員・香川修一（眞島秀和）が殺されるという事件に発展！！エリート科学者が紡ぎだす完全無欠の密室トリック！！所轄に戻された西園寺（山下智久）が、捜査一課復帰をかけて解決の糸口を手繰り寄せる！一方平八（香取慎吾）には、警察上層部との裏の繋がりが発覚！！遂にその正体が…！？巧妙に仕組まれたトリックに平八と西園寺はどう立ち向かうのか！！謎の殺人事件の裏には思いがけない動機が隠されてい"&amp;"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剣持亘…大竹まこと／金田一…遠藤憲一／金田班…蕨野友也、菊田大輔、肥野竜也、白石朋也、日中泰景本間実…中村獅童／野口秀彦…西岡徳馬／香川修一…眞島秀和／松原健"&amp;"吉…小木茂光／安岡仁…植木紀世彦／島田昭雄…菊池均也／香川敦子…遊井亮子今週、香取慎吾が挑戦する長台詞は・・・なんと台本約18ページ！！249行！！  果たしてどんな謎解きが繰り広げられるのか！？The MONSTERS  「MONSTERS」（ビクターエンタテインメント）")</f>
        <v>価値数百億円の新素材の開発に成功した科学者の本間実（中村獅童）。しかしその最高機密がまさかの流出！さらに「犯人を知っている」という研究員・香川修一（眞島秀和）が殺されるという事件に発展！！エリート科学者が紡ぎだす完全無欠の密室トリック！！所轄に戻された西園寺（山下智久）が、捜査一課復帰をかけて解決の糸口を手繰り寄せる！一方平八（香取慎吾）には、警察上層部との裏の繋がりが発覚！！遂にその正体が…！？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剣持亘…大竹まこと／金田一…遠藤憲一／金田班…蕨野友也、菊田大輔、肥野竜也、白石朋也、日中泰景本間実…中村獅童／野口秀彦…西岡徳馬／香川修一…眞島秀和／松原健吉…小木茂光／安岡仁…植木紀世彦／島田昭雄…菊池均也／香川敦子…遊井亮子今週、香取慎吾が挑戦する長台詞は・・・なんと台本約18ページ！！249行！！  果たしてどんな謎解きが繰り広げられるのか！？The MONSTERS  「MONSTERS」（ビクターエンタテインメント）</v>
      </c>
      <c r="N5578" s="2"/>
      <c r="O5578" s="2"/>
      <c r="P5578" s="1"/>
      <c r="Q5578" s="1"/>
      <c r="R5578" s="1"/>
      <c r="S5578" s="1"/>
      <c r="T5578" s="1"/>
      <c r="U5578" s="1"/>
      <c r="V5578" s="1"/>
      <c r="W5578" s="1"/>
      <c r="X5578" s="1"/>
      <c r="Y5578" s="1"/>
      <c r="Z5578" s="1"/>
      <c r="AA5578" s="1"/>
      <c r="AB5578" s="1"/>
      <c r="AC5578" s="1"/>
      <c r="AD5578" s="1"/>
      <c r="AE5578" s="1"/>
      <c r="AF5578" s="1"/>
      <c r="AG5578" s="1"/>
      <c r="AH5578" s="1"/>
      <c r="AI5578" s="1"/>
      <c r="AJ5578" s="1"/>
      <c r="AK5578" s="1"/>
      <c r="AL5578" s="1"/>
      <c r="AM5578" s="1"/>
      <c r="AN5578" s="1"/>
      <c r="AO5578" s="1"/>
      <c r="AP5578" s="1"/>
      <c r="AQ5578" s="1"/>
      <c r="AR5578" s="1"/>
      <c r="AS5578" s="1"/>
      <c r="AT5578" s="1"/>
      <c r="AU5578" s="1"/>
      <c r="AV5578" s="1"/>
      <c r="AW5578" s="1"/>
      <c r="AX5578" s="1"/>
      <c r="AY5578" s="1"/>
      <c r="AZ5578" s="1"/>
      <c r="BA5578" s="1"/>
      <c r="BB5578" s="1"/>
    </row>
    <row r="5579" ht="204.75" customHeight="1">
      <c r="A5579" s="1">
        <v>3642.0</v>
      </c>
      <c r="B5579" s="2" t="s">
        <v>15294</v>
      </c>
      <c r="C5579" s="2">
        <f>IFERROR(__xludf.DUMMYFUNCTION("split(B5579,""_"")"),1210.0)</f>
        <v>1210</v>
      </c>
      <c r="D5579" s="2" t="str">
        <f>IFERROR(__xludf.DUMMYFUNCTION("""COMPUTED_VALUE"""),"TBS")</f>
        <v>TBS</v>
      </c>
      <c r="E5579" s="2" t="str">
        <f>IFERROR(__xludf.DUMMYFUNCTION("""COMPUTED_VALUE"""),"日21")</f>
        <v>日21</v>
      </c>
      <c r="F5579" s="2" t="s">
        <v>15295</v>
      </c>
      <c r="G5579" s="2" t="s">
        <v>15308</v>
      </c>
      <c r="H5579" s="1">
        <v>7.0</v>
      </c>
      <c r="J5579" s="1" t="s">
        <v>11</v>
      </c>
      <c r="K5579" s="2" t="s">
        <v>15309</v>
      </c>
      <c r="L5579" s="2"/>
      <c r="M5579" s="2" t="str">
        <f>IFERROR(__xludf.DUMMYFUNCTION("split(split(K5579,""【"",false),""公式LINE"",false)"),"怪しいジャーナリスト・二階堂太（榊英雄）が殺害された！キーホルダーが現場に落ちていたことから、若き政治家・沢村誠一（大沢健）が逮捕される。彼の恋人で、無敗の女弁護士・藤川美紗子（水野美紀）は沢村の無実を証明する為、愛をかけた弁護に挑む！そしてなぜか平八（香取慎吾）は、裁判に巻き込まれ法廷に立つ……絶対に負けない女弁護士との愛とプライドをかけた激突！！巧妙に仕組まれたトリックに平八と西園寺はどう立ち向かうのか！！謎の殺人事件の裏には思いがけない動機が隠されていた！！かつてないほど「愉快」で「痛快」な“推理エ"&amp;"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金田一…遠藤憲一／金田班…蕨野友也、菊田大輔、肥野竜也、白石朋也、日中泰景")</f>
        <v>怪しいジャーナリスト・二階堂太（榊英雄）が殺害された！キーホルダーが現場に落ちていたことから、若き政治家・沢村誠一（大沢健）が逮捕される。彼の恋人で、無敗の女弁護士・藤川美紗子（水野美紀）は沢村の無実を証明する為、愛をかけた弁護に挑む！そしてなぜか平八（香取慎吾）は、裁判に巻き込まれ法廷に立つ……絶対に負けない女弁護士との愛とプライドをかけた激突！！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金田一…遠藤憲一／金田班…蕨野友也、菊田大輔、肥野竜也、白石朋也、日中泰景</v>
      </c>
      <c r="N5579" s="2"/>
      <c r="O5579" s="2"/>
      <c r="P5579" s="1"/>
      <c r="Q5579" s="1"/>
      <c r="R5579" s="1"/>
      <c r="S5579" s="1"/>
      <c r="T5579" s="1"/>
      <c r="U5579" s="1"/>
      <c r="V5579" s="1"/>
      <c r="W5579" s="1"/>
      <c r="X5579" s="1"/>
      <c r="Y5579" s="1"/>
      <c r="Z5579" s="1"/>
      <c r="AA5579" s="1"/>
      <c r="AB5579" s="1"/>
      <c r="AC5579" s="1"/>
      <c r="AD5579" s="1"/>
      <c r="AE5579" s="1"/>
      <c r="AF5579" s="1"/>
      <c r="AG5579" s="1"/>
      <c r="AH5579" s="1"/>
      <c r="AI5579" s="1"/>
      <c r="AJ5579" s="1"/>
      <c r="AK5579" s="1"/>
      <c r="AL5579" s="1"/>
      <c r="AM5579" s="1"/>
      <c r="AN5579" s="1"/>
      <c r="AO5579" s="1"/>
      <c r="AP5579" s="1"/>
      <c r="AQ5579" s="1"/>
      <c r="AR5579" s="1"/>
      <c r="AS5579" s="1"/>
      <c r="AT5579" s="1"/>
      <c r="AU5579" s="1"/>
      <c r="AV5579" s="1"/>
      <c r="AW5579" s="1"/>
      <c r="AX5579" s="1"/>
      <c r="AY5579" s="1"/>
      <c r="AZ5579" s="1"/>
      <c r="BA5579" s="1"/>
      <c r="BB5579" s="1"/>
    </row>
    <row r="5580" ht="204.75" customHeight="1">
      <c r="A5580" s="1">
        <v>3643.0</v>
      </c>
      <c r="B5580" s="2" t="s">
        <v>15294</v>
      </c>
      <c r="C5580" s="2">
        <f>IFERROR(__xludf.DUMMYFUNCTION("split(B5580,""_"")"),1210.0)</f>
        <v>1210</v>
      </c>
      <c r="D5580" s="2" t="str">
        <f>IFERROR(__xludf.DUMMYFUNCTION("""COMPUTED_VALUE"""),"TBS")</f>
        <v>TBS</v>
      </c>
      <c r="E5580" s="2" t="str">
        <f>IFERROR(__xludf.DUMMYFUNCTION("""COMPUTED_VALUE"""),"日21")</f>
        <v>日21</v>
      </c>
      <c r="F5580" s="2" t="s">
        <v>15295</v>
      </c>
      <c r="G5580" s="2" t="s">
        <v>15310</v>
      </c>
      <c r="H5580" s="1">
        <v>8.0</v>
      </c>
      <c r="J5580" s="1" t="s">
        <v>4</v>
      </c>
      <c r="K5580" s="2" t="s">
        <v>15311</v>
      </c>
      <c r="L5580" s="2"/>
      <c r="M5580" s="2" t="str">
        <f>IFERROR(__xludf.DUMMYFUNCTION("split(split(K5580,""【"",false),""公式LINE"",false)"),"ピアニスト・高林佳菜のもとに送られてきた謎の脅迫状…山深い故郷での公演前夜、村の迎賓館でパーティーの最中に、佳菜のパトロン・小田切が殺された！凶器のナイフには20年も前の未解決事件で盗まれた毒物が塗られていた…捜査に奔走する平八と西園寺だが…完全に裏をかかれ、全く同じ方法で、あらたな殺人が起きてしまうー!!20年に及ぶ殺害計画！それは果たして人間の仕業なのか、それとも怨念に取り付かれた幽霊なのか…巧妙に仕組まれたトリックに平八と西園寺はどう立ち向かうのか！！謎の殺人事件の裏には思いがけない動機が隠されてい"&amp;"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剣持亘…大竹まこと／金田一…遠藤憲一／金田班…蕨野友也、菊田大輔、肥野竜也、白石朋也、日中泰景関根純平…中村蒼／高林佳菜…佐津川愛美／諏訪敦史…西村和彦／鎌田"&amp;"吾一…六平直政／松原健吉…小木茂光／杉山ハツ子…広岡由里子／小田切龍三…芹澤名人／神田たみ子…いとうまい子今週、香取慎吾が挑戦する長台詞は・・・なんと台本23ページ！！318行！！  果たしてどんな謎解きが繰り広げられるのか！？The MONSTERS  「MONSTERS」（ビクターエンタテインメント）")</f>
        <v>ピアニスト・高林佳菜のもとに送られてきた謎の脅迫状…山深い故郷での公演前夜、村の迎賓館でパーティーの最中に、佳菜のパトロン・小田切が殺された！凶器のナイフには20年も前の未解決事件で盗まれた毒物が塗られていた…捜査に奔走する平八と西園寺だが…完全に裏をかかれ、全く同じ方法で、あらたな殺人が起きてしまうー!!20年に及ぶ殺害計画！それは果たして人間の仕業なのか、それとも怨念に取り付かれた幽霊なのか…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剣持亘…大竹まこと／金田一…遠藤憲一／金田班…蕨野友也、菊田大輔、肥野竜也、白石朋也、日中泰景関根純平…中村蒼／高林佳菜…佐津川愛美／諏訪敦史…西村和彦／鎌田吾一…六平直政／松原健吉…小木茂光／杉山ハツ子…広岡由里子／小田切龍三…芹澤名人／神田たみ子…いとうまい子今週、香取慎吾が挑戦する長台詞は・・・なんと台本23ページ！！318行！！  果たしてどんな謎解きが繰り広げられるのか！？The MONSTERS  「MONSTERS」（ビクターエンタテインメント）</v>
      </c>
      <c r="N5580" s="2"/>
      <c r="O5580" s="2"/>
      <c r="P5580" s="1"/>
      <c r="Q5580" s="1"/>
      <c r="R5580" s="1"/>
      <c r="S5580" s="1"/>
      <c r="T5580" s="1"/>
      <c r="U5580" s="1"/>
      <c r="V5580" s="1"/>
      <c r="W5580" s="1"/>
      <c r="X5580" s="1"/>
      <c r="Y5580" s="1"/>
      <c r="Z5580" s="1"/>
      <c r="AA5580" s="1"/>
      <c r="AB5580" s="1"/>
      <c r="AC5580" s="1"/>
      <c r="AD5580" s="1"/>
      <c r="AE5580" s="1"/>
      <c r="AF5580" s="1"/>
      <c r="AG5580" s="1"/>
      <c r="AH5580" s="1"/>
      <c r="AI5580" s="1"/>
      <c r="AJ5580" s="1"/>
      <c r="AK5580" s="1"/>
      <c r="AL5580" s="1"/>
      <c r="AM5580" s="1"/>
      <c r="AN5580" s="1"/>
      <c r="AO5580" s="1"/>
      <c r="AP5580" s="1"/>
      <c r="AQ5580" s="1"/>
      <c r="AR5580" s="1"/>
      <c r="AS5580" s="1"/>
      <c r="AT5580" s="1"/>
      <c r="AU5580" s="1"/>
      <c r="AV5580" s="1"/>
      <c r="AW5580" s="1"/>
      <c r="AX5580" s="1"/>
      <c r="AY5580" s="1"/>
      <c r="AZ5580" s="1"/>
      <c r="BA5580" s="1"/>
      <c r="BB5580" s="1"/>
    </row>
    <row r="5581" ht="204.75" customHeight="1">
      <c r="A5581" s="1">
        <v>3654.0</v>
      </c>
      <c r="B5581" s="2" t="s">
        <v>15312</v>
      </c>
      <c r="C5581" s="2">
        <f>IFERROR(__xludf.DUMMYFUNCTION("split(B5581,""_"")"),1207.0)</f>
        <v>1207</v>
      </c>
      <c r="D5581" s="2" t="str">
        <f>IFERROR(__xludf.DUMMYFUNCTION("""COMPUTED_VALUE"""),"TBS")</f>
        <v>TBS</v>
      </c>
      <c r="E5581" s="2" t="str">
        <f>IFERROR(__xludf.DUMMYFUNCTION("""COMPUTED_VALUE"""),"月20")</f>
        <v>月20</v>
      </c>
      <c r="F5581" s="2" t="s">
        <v>15313</v>
      </c>
      <c r="G5581" s="2" t="s">
        <v>15314</v>
      </c>
      <c r="H5581" s="1">
        <v>1.0</v>
      </c>
      <c r="J5581" s="1" t="s">
        <v>2809</v>
      </c>
      <c r="K5581" s="2" t="s">
        <v>15315</v>
      </c>
      <c r="L5581" s="2"/>
      <c r="M5581" s="2" t="str">
        <f>IFERROR(__xludf.DUMMYFUNCTION("split(split(K5581,""【"",false),""公式LINE"",false)"),"大阪・大路小学校に、嵐を呼ぶ女・竹内しのぶ（多部未華子）が常任講師として着任。早速事件が起こる。しのぶの生徒の父親が殺害されたという！被害者と同じアパートで暮らす山田徳子（久本雅美）は事件の夜、被害者が軽自動車で出かけたと証言し、死亡推定時刻を確証。  警察は妻や友人など怪しい人物を調べるが、それぞれに鉄壁のアリバイがあり、大阪府警の捜査は難航。しのぶは、可愛い教え子の為に一肌脱ごうと決意。しのぶは気落ちした生徒のアパートを訪れ力づける、さらに少年探偵団の活躍もあり、情報を整理するうちに、警察も見落として"&amp;"いた意外な真実を発見。それはウルトラCとも言える、驚愕のトリックであった…多部未華子  小池徹平  山本耕史  木村文乃  斎藤由貴  温水洋一  段田安則  小日向文世  松阪慶子  まえだまえだ（前田航基・前田旺志郎）  濱田龍臣  高橋晃  八木優希  二宮星  吉井一肇  浜辺美波  伊澤柾樹  吉岡竜輝  橋本一輝  吉沢海音  ")</f>
        <v>大阪・大路小学校に、嵐を呼ぶ女・竹内しのぶ（多部未華子）が常任講師として着任。早速事件が起こる。しのぶの生徒の父親が殺害されたという！被害者と同じアパートで暮らす山田徳子（久本雅美）は事件の夜、被害者が軽自動車で出かけたと証言し、死亡推定時刻を確証。  警察は妻や友人など怪しい人物を調べるが、それぞれに鉄壁のアリバイがあり、大阪府警の捜査は難航。しのぶは、可愛い教え子の為に一肌脱ごうと決意。しのぶは気落ちした生徒のアパートを訪れ力づける、さらに少年探偵団の活躍もあり、情報を整理するうちに、警察も見落としていた意外な真実を発見。それはウルトラCとも言える、驚愕のトリックであった…多部未華子  小池徹平  山本耕史  木村文乃  斎藤由貴  温水洋一  段田安則  小日向文世  松阪慶子  まえだまえだ（前田航基・前田旺志郎）  濱田龍臣  高橋晃  八木優希  二宮星  吉井一肇  浜辺美波  伊澤柾樹  吉岡竜輝  橋本一輝  吉沢海音  </v>
      </c>
      <c r="N5581" s="2"/>
      <c r="O5581" s="2"/>
      <c r="P5581" s="1"/>
      <c r="Q5581" s="1"/>
      <c r="R5581" s="1"/>
      <c r="S5581" s="1"/>
      <c r="T5581" s="1"/>
      <c r="U5581" s="1"/>
      <c r="V5581" s="1"/>
      <c r="W5581" s="1"/>
      <c r="X5581" s="1"/>
      <c r="Y5581" s="1"/>
      <c r="Z5581" s="1"/>
      <c r="AA5581" s="1"/>
      <c r="AB5581" s="1"/>
      <c r="AC5581" s="1"/>
      <c r="AD5581" s="1"/>
      <c r="AE5581" s="1"/>
      <c r="AF5581" s="1"/>
      <c r="AG5581" s="1"/>
      <c r="AH5581" s="1"/>
      <c r="AI5581" s="1"/>
      <c r="AJ5581" s="1"/>
      <c r="AK5581" s="1"/>
      <c r="AL5581" s="1"/>
      <c r="AM5581" s="1"/>
      <c r="AN5581" s="1"/>
      <c r="AO5581" s="1"/>
      <c r="AP5581" s="1"/>
      <c r="AQ5581" s="1"/>
      <c r="AR5581" s="1"/>
      <c r="AS5581" s="1"/>
      <c r="AT5581" s="1"/>
      <c r="AU5581" s="1"/>
      <c r="AV5581" s="1"/>
      <c r="AW5581" s="1"/>
      <c r="AX5581" s="1"/>
      <c r="AY5581" s="1"/>
      <c r="AZ5581" s="1"/>
      <c r="BA5581" s="1"/>
      <c r="BB5581" s="1"/>
    </row>
    <row r="5582" ht="204.75" customHeight="1">
      <c r="A5582" s="1">
        <v>3655.0</v>
      </c>
      <c r="B5582" s="2" t="s">
        <v>15312</v>
      </c>
      <c r="C5582" s="2">
        <f>IFERROR(__xludf.DUMMYFUNCTION("split(B5582,""_"")"),1207.0)</f>
        <v>1207</v>
      </c>
      <c r="D5582" s="2" t="str">
        <f>IFERROR(__xludf.DUMMYFUNCTION("""COMPUTED_VALUE"""),"TBS")</f>
        <v>TBS</v>
      </c>
      <c r="E5582" s="2" t="str">
        <f>IFERROR(__xludf.DUMMYFUNCTION("""COMPUTED_VALUE"""),"月20")</f>
        <v>月20</v>
      </c>
      <c r="F5582" s="2" t="s">
        <v>15313</v>
      </c>
      <c r="G5582" s="2" t="s">
        <v>15316</v>
      </c>
      <c r="H5582" s="1">
        <v>2.0</v>
      </c>
      <c r="J5582" s="1" t="s">
        <v>7151</v>
      </c>
      <c r="K5582" s="2" t="s">
        <v>15317</v>
      </c>
      <c r="L5582" s="2"/>
      <c r="M5582" s="2" t="str">
        <f>IFERROR(__xludf.DUMMYFUNCTION("split(split(K5582,""【"",false),""公式LINE"",false)"),"しのぶが通う教習所では原田兄弟の母、日出子（斉藤由貴）が練習に励んでいる。ヨン様似の教官・若本が個人レッスンをしてくれるという。しのぶもそのレッスンに便乗。その頃、町の大地主の家に強盗が押し入り、現金と宝石などが盗まれた。レッスンの朝、しのぶのアパートの前に何と犬のフンが…。しのぶはレッスンを休んで犬を見張る。その頃、日出子たちが乗った車に暴走車が衝突、若本は意識不明の重体に！母親が罪人になるのではと心配な郁夫と修。大阪府警の新藤に相談しながら、しのぶは事故に不自然な点を発見。現場に残された二本のハンマー"&amp;"…。交通事故と強盗事件に意外な接点があることも、しのぶは見抜く…多部未華子  小池徹平  山本耕史  木村文乃  斎藤由貴  温水洋一  段田安則  小日向文世  松阪慶子  まえだまえだ（前田航基・前田旺志郎）  濱田龍臣  高橋晃  八木優希  二宮星  吉井一肇  浜辺美波  伊澤柾樹  吉岡竜輝  橋本一輝  ")</f>
        <v>しのぶが通う教習所では原田兄弟の母、日出子（斉藤由貴）が練習に励んでいる。ヨン様似の教官・若本が個人レッスンをしてくれるという。しのぶもそのレッスンに便乗。その頃、町の大地主の家に強盗が押し入り、現金と宝石などが盗まれた。レッスンの朝、しのぶのアパートの前に何と犬のフンが…。しのぶはレッスンを休んで犬を見張る。その頃、日出子たちが乗った車に暴走車が衝突、若本は意識不明の重体に！母親が罪人になるのではと心配な郁夫と修。大阪府警の新藤に相談しながら、しのぶは事故に不自然な点を発見。現場に残された二本のハンマー…。交通事故と強盗事件に意外な接点があることも、しのぶは見抜く…多部未華子  小池徹平  山本耕史  木村文乃  斎藤由貴  温水洋一  段田安則  小日向文世  松阪慶子  まえだまえだ（前田航基・前田旺志郎）  濱田龍臣  高橋晃  八木優希  二宮星  吉井一肇  浜辺美波  伊澤柾樹  吉岡竜輝  橋本一輝  </v>
      </c>
      <c r="N5582" s="2"/>
      <c r="O5582" s="2"/>
      <c r="P5582" s="1"/>
      <c r="Q5582" s="1"/>
      <c r="R5582" s="1"/>
      <c r="S5582" s="1"/>
      <c r="T5582" s="1"/>
      <c r="U5582" s="1"/>
      <c r="V5582" s="1"/>
      <c r="W5582" s="1"/>
      <c r="X5582" s="1"/>
      <c r="Y5582" s="1"/>
      <c r="Z5582" s="1"/>
      <c r="AA5582" s="1"/>
      <c r="AB5582" s="1"/>
      <c r="AC5582" s="1"/>
      <c r="AD5582" s="1"/>
      <c r="AE5582" s="1"/>
      <c r="AF5582" s="1"/>
      <c r="AG5582" s="1"/>
      <c r="AH5582" s="1"/>
      <c r="AI5582" s="1"/>
      <c r="AJ5582" s="1"/>
      <c r="AK5582" s="1"/>
      <c r="AL5582" s="1"/>
      <c r="AM5582" s="1"/>
      <c r="AN5582" s="1"/>
      <c r="AO5582" s="1"/>
      <c r="AP5582" s="1"/>
      <c r="AQ5582" s="1"/>
      <c r="AR5582" s="1"/>
      <c r="AS5582" s="1"/>
      <c r="AT5582" s="1"/>
      <c r="AU5582" s="1"/>
      <c r="AV5582" s="1"/>
      <c r="AW5582" s="1"/>
      <c r="AX5582" s="1"/>
      <c r="AY5582" s="1"/>
      <c r="AZ5582" s="1"/>
      <c r="BA5582" s="1"/>
      <c r="BB5582" s="1"/>
    </row>
    <row r="5583" ht="204.75" customHeight="1">
      <c r="A5583" s="1">
        <v>3656.0</v>
      </c>
      <c r="B5583" s="2" t="s">
        <v>15312</v>
      </c>
      <c r="C5583" s="2">
        <f>IFERROR(__xludf.DUMMYFUNCTION("split(B5583,""_"")"),1207.0)</f>
        <v>1207</v>
      </c>
      <c r="D5583" s="2" t="str">
        <f>IFERROR(__xludf.DUMMYFUNCTION("""COMPUTED_VALUE"""),"TBS")</f>
        <v>TBS</v>
      </c>
      <c r="E5583" s="2" t="str">
        <f>IFERROR(__xludf.DUMMYFUNCTION("""COMPUTED_VALUE"""),"月20")</f>
        <v>月20</v>
      </c>
      <c r="F5583" s="2" t="s">
        <v>15313</v>
      </c>
      <c r="G5583" s="2" t="s">
        <v>15318</v>
      </c>
      <c r="H5583" s="1">
        <v>3.0</v>
      </c>
      <c r="J5583" s="1" t="s">
        <v>7151</v>
      </c>
      <c r="K5583" s="2" t="s">
        <v>15319</v>
      </c>
      <c r="L5583" s="2"/>
      <c r="M5583" s="2" t="str">
        <f>IFERROR(__xludf.DUMMYFUNCTION("split(split(K5583,""【"",false),""公式LINE"",false)"),"しのぶ（多部未華子）が見合いをすることになった。相手はエリートサラリーマン本間（山本耕史）。妙子（松坂慶子）は娘の良縁を喜んでいる。見合いのことを知った少年探偵団は、そのことを新藤刑事（小池徹平）に報告する。新藤は探偵団のメンバーと共に見合い会場に陣取る。嬉しそうなしのぶの表情を見て新藤は内心穏やかでない。と、本間と新藤の携帯電話が同時に鳴った。元山社長が撲殺されたという。息子の武夫、下請け戸村、工場長田辺ら容疑者には鉄壁のアリバイがある。新藤は恋敵の本間を問い詰める。そんな中、本間の容疑を実証する遺留品"&amp;"が発見され、さらに彼の発言の矛盾にしのぶは気づいてしまう。多部未華子  小池徹平  山本耕史  木村文乃  斎藤由貴  温水洋一  段田安則  小日向文世  松阪慶子  まえだまえだ（前田航基・前田旺志郎）  濱田龍臣  高橋晃  八木優希  二宮星  吉井一肇  浜辺美波  伊澤柾樹  吉岡竜輝  橋本一輝  吉沢海音  ")</f>
        <v>しのぶ（多部未華子）が見合いをすることになった。相手はエリートサラリーマン本間（山本耕史）。妙子（松坂慶子）は娘の良縁を喜んでいる。見合いのことを知った少年探偵団は、そのことを新藤刑事（小池徹平）に報告する。新藤は探偵団のメンバーと共に見合い会場に陣取る。嬉しそうなしのぶの表情を見て新藤は内心穏やかでない。と、本間と新藤の携帯電話が同時に鳴った。元山社長が撲殺されたという。息子の武夫、下請け戸村、工場長田辺ら容疑者には鉄壁のアリバイがある。新藤は恋敵の本間を問い詰める。そんな中、本間の容疑を実証する遺留品が発見され、さらに彼の発言の矛盾にしのぶは気づいてしまう。多部未華子  小池徹平  山本耕史  木村文乃  斎藤由貴  温水洋一  段田安則  小日向文世  松阪慶子  まえだまえだ（前田航基・前田旺志郎）  濱田龍臣  高橋晃  八木優希  二宮星  吉井一肇  浜辺美波  伊澤柾樹  吉岡竜輝  橋本一輝  吉沢海音  </v>
      </c>
      <c r="N5583" s="2"/>
      <c r="O5583" s="2"/>
      <c r="P5583" s="1"/>
      <c r="Q5583" s="1"/>
      <c r="R5583" s="1"/>
      <c r="S5583" s="1"/>
      <c r="T5583" s="1"/>
      <c r="U5583" s="1"/>
      <c r="V5583" s="1"/>
      <c r="W5583" s="1"/>
      <c r="X5583" s="1"/>
      <c r="Y5583" s="1"/>
      <c r="Z5583" s="1"/>
      <c r="AA5583" s="1"/>
      <c r="AB5583" s="1"/>
      <c r="AC5583" s="1"/>
      <c r="AD5583" s="1"/>
      <c r="AE5583" s="1"/>
      <c r="AF5583" s="1"/>
      <c r="AG5583" s="1"/>
      <c r="AH5583" s="1"/>
      <c r="AI5583" s="1"/>
      <c r="AJ5583" s="1"/>
      <c r="AK5583" s="1"/>
      <c r="AL5583" s="1"/>
      <c r="AM5583" s="1"/>
      <c r="AN5583" s="1"/>
      <c r="AO5583" s="1"/>
      <c r="AP5583" s="1"/>
      <c r="AQ5583" s="1"/>
      <c r="AR5583" s="1"/>
      <c r="AS5583" s="1"/>
      <c r="AT5583" s="1"/>
      <c r="AU5583" s="1"/>
      <c r="AV5583" s="1"/>
      <c r="AW5583" s="1"/>
      <c r="AX5583" s="1"/>
      <c r="AY5583" s="1"/>
      <c r="AZ5583" s="1"/>
      <c r="BA5583" s="1"/>
      <c r="BB5583" s="1"/>
    </row>
    <row r="5584" ht="204.75" customHeight="1">
      <c r="A5584" s="1">
        <v>3657.0</v>
      </c>
      <c r="B5584" s="2" t="s">
        <v>15312</v>
      </c>
      <c r="C5584" s="2">
        <f>IFERROR(__xludf.DUMMYFUNCTION("split(B5584,""_"")"),1207.0)</f>
        <v>1207</v>
      </c>
      <c r="D5584" s="2" t="str">
        <f>IFERROR(__xludf.DUMMYFUNCTION("""COMPUTED_VALUE"""),"TBS")</f>
        <v>TBS</v>
      </c>
      <c r="E5584" s="2" t="str">
        <f>IFERROR(__xludf.DUMMYFUNCTION("""COMPUTED_VALUE"""),"月20")</f>
        <v>月20</v>
      </c>
      <c r="F5584" s="2" t="s">
        <v>15313</v>
      </c>
      <c r="G5584" s="2" t="s">
        <v>15320</v>
      </c>
      <c r="H5584" s="1">
        <v>4.0</v>
      </c>
      <c r="J5584" s="1" t="s">
        <v>7151</v>
      </c>
      <c r="K5584" s="2" t="s">
        <v>15321</v>
      </c>
      <c r="L5584" s="2"/>
      <c r="M5584" s="2" t="str">
        <f>IFERROR(__xludf.DUMMYFUNCTION("split(split(K5584,""【"",false),""公式LINE"",false)"),"しのぶは西丸商店の会長、どケチで有名な西丸仙兵衛（蟹江敬三）に、ご馳走すると誘われて仙兵衛宅を訪れる。  と、大きな物音にしのぶたちが駆けつけると、社員、米岡伸治が倒れていた。仙兵衛は自殺だと嘆くが、不審な点もある。事務所は密室で窓のブラインドが壊れていた。現場にあった脚立とファイルは何者かが移動させたように見える。  事件に興味津々のしのぶは、「密室殺人ではないか」と自説を披露する。仙兵衛はしのぶに、息子で社長の昭一の秘書になって欲しいと言うが、しのぶは、強引な昭一を社員たちが恐れていることを見抜く。事"&amp;"件の真相は、社風やブラインドの構造にもヒントが隠れているとしのぶは察知。　多部未華子  小池徹平  山本耕史  木村文乃  斎藤由貴  温水洋一  段田安則  小日向文世  松阪慶子  まえだまえだ（前田航基・前田旺志郎）  濱田龍臣  高橋晃  八木優希  二宮星  吉井一肇  浜辺美波  伊澤柾樹  吉岡竜輝  橋本一輝  吉沢海音  ")</f>
        <v>しのぶは西丸商店の会長、どケチで有名な西丸仙兵衛（蟹江敬三）に、ご馳走すると誘われて仙兵衛宅を訪れる。  と、大きな物音にしのぶたちが駆けつけると、社員、米岡伸治が倒れていた。仙兵衛は自殺だと嘆くが、不審な点もある。事務所は密室で窓のブラインドが壊れていた。現場にあった脚立とファイルは何者かが移動させたように見える。  事件に興味津々のしのぶは、「密室殺人ではないか」と自説を披露する。仙兵衛はしのぶに、息子で社長の昭一の秘書になって欲しいと言うが、しのぶは、強引な昭一を社員たちが恐れていることを見抜く。事件の真相は、社風やブラインドの構造にもヒントが隠れているとしのぶは察知。　多部未華子  小池徹平  山本耕史  木村文乃  斎藤由貴  温水洋一  段田安則  小日向文世  松阪慶子  まえだまえだ（前田航基・前田旺志郎）  濱田龍臣  高橋晃  八木優希  二宮星  吉井一肇  浜辺美波  伊澤柾樹  吉岡竜輝  橋本一輝  吉沢海音  </v>
      </c>
      <c r="N5584" s="2"/>
      <c r="O5584" s="2"/>
      <c r="P5584" s="1"/>
      <c r="Q5584" s="1"/>
      <c r="R5584" s="1"/>
      <c r="S5584" s="1"/>
      <c r="T5584" s="1"/>
      <c r="U5584" s="1"/>
      <c r="V5584" s="1"/>
      <c r="W5584" s="1"/>
      <c r="X5584" s="1"/>
      <c r="Y5584" s="1"/>
      <c r="Z5584" s="1"/>
      <c r="AA5584" s="1"/>
      <c r="AB5584" s="1"/>
      <c r="AC5584" s="1"/>
      <c r="AD5584" s="1"/>
      <c r="AE5584" s="1"/>
      <c r="AF5584" s="1"/>
      <c r="AG5584" s="1"/>
      <c r="AH5584" s="1"/>
      <c r="AI5584" s="1"/>
      <c r="AJ5584" s="1"/>
      <c r="AK5584" s="1"/>
      <c r="AL5584" s="1"/>
      <c r="AM5584" s="1"/>
      <c r="AN5584" s="1"/>
      <c r="AO5584" s="1"/>
      <c r="AP5584" s="1"/>
      <c r="AQ5584" s="1"/>
      <c r="AR5584" s="1"/>
      <c r="AS5584" s="1"/>
      <c r="AT5584" s="1"/>
      <c r="AU5584" s="1"/>
      <c r="AV5584" s="1"/>
      <c r="AW5584" s="1"/>
      <c r="AX5584" s="1"/>
      <c r="AY5584" s="1"/>
      <c r="AZ5584" s="1"/>
      <c r="BA5584" s="1"/>
      <c r="BB5584" s="1"/>
    </row>
    <row r="5585" ht="204.75" customHeight="1">
      <c r="A5585" s="1">
        <v>3658.0</v>
      </c>
      <c r="B5585" s="2" t="s">
        <v>15312</v>
      </c>
      <c r="C5585" s="2">
        <f>IFERROR(__xludf.DUMMYFUNCTION("split(B5585,""_"")"),1207.0)</f>
        <v>1207</v>
      </c>
      <c r="D5585" s="2" t="str">
        <f>IFERROR(__xludf.DUMMYFUNCTION("""COMPUTED_VALUE"""),"TBS")</f>
        <v>TBS</v>
      </c>
      <c r="E5585" s="2" t="str">
        <f>IFERROR(__xludf.DUMMYFUNCTION("""COMPUTED_VALUE"""),"月20")</f>
        <v>月20</v>
      </c>
      <c r="F5585" s="2" t="s">
        <v>15313</v>
      </c>
      <c r="G5585" s="2" t="s">
        <v>15322</v>
      </c>
      <c r="H5585" s="1">
        <v>5.0</v>
      </c>
      <c r="J5585" s="1" t="s">
        <v>7151</v>
      </c>
      <c r="K5585" s="2" t="s">
        <v>15323</v>
      </c>
      <c r="L5585" s="2"/>
      <c r="M5585" s="2" t="str">
        <f>IFERROR(__xludf.DUMMYFUNCTION("split(split(K5585,""【"",false),""公式LINE"",false)"),"教員採用試験一週間前、本採用を目指すしのぶは中田教頭に面接の特訓を受けていたが、盲腸を発症し入院。同じ町内に住むたばこ屋の藤野ツル子と同室。ツル子の家に空き巣が入り、病室でもツル子の鞄が盗まれる等、事件が相次ぐ。  一方この数日、畑中の不審な言動が目立つ。郁夫たちが尾行すると、畑中はなぜか無人の交番に立ち寄り、十万円の現金を机に置いて立ち去った。そこに警官が出て来て大騒動に。最近羽振りのいい畑中は、お金をネコババしてしまったことに悩んでいた。そして、ツル子夫婦にもその疑いが出てきた。それぞれの怪しい大金に"&amp;"は、”ある共通点”があることに、しのぶを見舞った本間が気づく。多部未華子  小池徹平  山本耕史  木村文乃  笛木優子  戸田昌宏  段田安則  小日向文世  松阪慶子  ○  前田航基・前田旺志郎（まえだまえだ）  濱田龍臣  高橋晃  八木優希  二宮星  吉井一肇  浜辺美波  伊澤柾樹  橋本一輝  ")</f>
        <v>教員採用試験一週間前、本採用を目指すしのぶは中田教頭に面接の特訓を受けていたが、盲腸を発症し入院。同じ町内に住むたばこ屋の藤野ツル子と同室。ツル子の家に空き巣が入り、病室でもツル子の鞄が盗まれる等、事件が相次ぐ。  一方この数日、畑中の不審な言動が目立つ。郁夫たちが尾行すると、畑中はなぜか無人の交番に立ち寄り、十万円の現金を机に置いて立ち去った。そこに警官が出て来て大騒動に。最近羽振りのいい畑中は、お金をネコババしてしまったことに悩んでいた。そして、ツル子夫婦にもその疑いが出てきた。それぞれの怪しい大金には、”ある共通点”があることに、しのぶを見舞った本間が気づく。多部未華子  小池徹平  山本耕史  木村文乃  笛木優子  戸田昌宏  段田安則  小日向文世  松阪慶子  ○  前田航基・前田旺志郎（まえだまえだ）  濱田龍臣  高橋晃  八木優希  二宮星  吉井一肇  浜辺美波  伊澤柾樹  橋本一輝  </v>
      </c>
      <c r="N5585" s="2"/>
      <c r="O5585" s="2"/>
      <c r="P5585" s="1"/>
      <c r="Q5585" s="1"/>
      <c r="R5585" s="1"/>
      <c r="S5585" s="1"/>
      <c r="T5585" s="1"/>
      <c r="U5585" s="1"/>
      <c r="V5585" s="1"/>
      <c r="W5585" s="1"/>
      <c r="X5585" s="1"/>
      <c r="Y5585" s="1"/>
      <c r="Z5585" s="1"/>
      <c r="AA5585" s="1"/>
      <c r="AB5585" s="1"/>
      <c r="AC5585" s="1"/>
      <c r="AD5585" s="1"/>
      <c r="AE5585" s="1"/>
      <c r="AF5585" s="1"/>
      <c r="AG5585" s="1"/>
      <c r="AH5585" s="1"/>
      <c r="AI5585" s="1"/>
      <c r="AJ5585" s="1"/>
      <c r="AK5585" s="1"/>
      <c r="AL5585" s="1"/>
      <c r="AM5585" s="1"/>
      <c r="AN5585" s="1"/>
      <c r="AO5585" s="1"/>
      <c r="AP5585" s="1"/>
      <c r="AQ5585" s="1"/>
      <c r="AR5585" s="1"/>
      <c r="AS5585" s="1"/>
      <c r="AT5585" s="1"/>
      <c r="AU5585" s="1"/>
      <c r="AV5585" s="1"/>
      <c r="AW5585" s="1"/>
      <c r="AX5585" s="1"/>
      <c r="AY5585" s="1"/>
      <c r="AZ5585" s="1"/>
      <c r="BA5585" s="1"/>
      <c r="BB5585" s="1"/>
    </row>
    <row r="5586" ht="204.75" customHeight="1">
      <c r="A5586" s="1">
        <v>3659.0</v>
      </c>
      <c r="B5586" s="2" t="s">
        <v>15312</v>
      </c>
      <c r="C5586" s="2">
        <f>IFERROR(__xludf.DUMMYFUNCTION("split(B5586,""_"")"),1207.0)</f>
        <v>1207</v>
      </c>
      <c r="D5586" s="2" t="str">
        <f>IFERROR(__xludf.DUMMYFUNCTION("""COMPUTED_VALUE"""),"TBS")</f>
        <v>TBS</v>
      </c>
      <c r="E5586" s="2" t="str">
        <f>IFERROR(__xludf.DUMMYFUNCTION("""COMPUTED_VALUE"""),"月20")</f>
        <v>月20</v>
      </c>
      <c r="F5586" s="2" t="s">
        <v>15313</v>
      </c>
      <c r="G5586" s="2" t="s">
        <v>15324</v>
      </c>
      <c r="H5586" s="1">
        <v>6.0</v>
      </c>
      <c r="J5586" s="1" t="s">
        <v>7151</v>
      </c>
      <c r="K5586" s="2" t="s">
        <v>15325</v>
      </c>
      <c r="L5586" s="2"/>
      <c r="M5586" s="2" t="str">
        <f>IFERROR(__xludf.DUMMYFUNCTION("split(split(K5586,""【"",false),""公式LINE"",false)"),"しのぶのクラスの、芹沢が渋谷をいじめているという。しのぶの前任の山下先生（高橋一生）が渋谷に飛び箱の練習をさせていた時に事故が置き、渋谷は大怪我した。渋谷の母はクレーマーと化し、山下を転勤させたのだ。山下を慕っていた芹沢はそれ以来、渋谷を恨んでいた。芹沢と渋谷を仲良くさせたい一心で、しのぶは山下を訪ねる。それをきっかけに、“ある人物”がその事故に関わっていたのではないかと、疑惑を抱く。その背景には、哀しい女の過去と、“衝撃の人間関係”があった！芹沢と、その人物と、そして…。真相に辿りついたしのぶは、この罪"&amp;"は法律でも裁判でも解決できないと考え、ある方法を選択する…。多部未華子  小池徹平  山本耕史  木村文乃  斉藤由貴  温水洋一  段田安則  小日向文世  松阪慶子  ○  前田航基・前田旺志郎（まえだまえだ）  濱田龍臣  高橋晃  八木優希  二宮星  吉井一肇  浜辺美波  伊澤柾樹  橋本一輝  ")</f>
        <v>しのぶのクラスの、芹沢が渋谷をいじめているという。しのぶの前任の山下先生（高橋一生）が渋谷に飛び箱の練習をさせていた時に事故が置き、渋谷は大怪我した。渋谷の母はクレーマーと化し、山下を転勤させたのだ。山下を慕っていた芹沢はそれ以来、渋谷を恨んでいた。芹沢と渋谷を仲良くさせたい一心で、しのぶは山下を訪ねる。それをきっかけに、“ある人物”がその事故に関わっていたのではないかと、疑惑を抱く。その背景には、哀しい女の過去と、“衝撃の人間関係”があった！芹沢と、その人物と、そして…。真相に辿りついたしのぶは、この罪は法律でも裁判でも解決できないと考え、ある方法を選択する…。多部未華子  小池徹平  山本耕史  木村文乃  斉藤由貴  温水洋一  段田安則  小日向文世  松阪慶子  ○  前田航基・前田旺志郎（まえだまえだ）  濱田龍臣  高橋晃  八木優希  二宮星  吉井一肇  浜辺美波  伊澤柾樹  橋本一輝  </v>
      </c>
      <c r="N5586" s="2"/>
      <c r="O5586" s="2"/>
      <c r="P5586" s="1"/>
      <c r="Q5586" s="1"/>
      <c r="R5586" s="1"/>
      <c r="S5586" s="1"/>
      <c r="T5586" s="1"/>
      <c r="U5586" s="1"/>
      <c r="V5586" s="1"/>
      <c r="W5586" s="1"/>
      <c r="X5586" s="1"/>
      <c r="Y5586" s="1"/>
      <c r="Z5586" s="1"/>
      <c r="AA5586" s="1"/>
      <c r="AB5586" s="1"/>
      <c r="AC5586" s="1"/>
      <c r="AD5586" s="1"/>
      <c r="AE5586" s="1"/>
      <c r="AF5586" s="1"/>
      <c r="AG5586" s="1"/>
      <c r="AH5586" s="1"/>
      <c r="AI5586" s="1"/>
      <c r="AJ5586" s="1"/>
      <c r="AK5586" s="1"/>
      <c r="AL5586" s="1"/>
      <c r="AM5586" s="1"/>
      <c r="AN5586" s="1"/>
      <c r="AO5586" s="1"/>
      <c r="AP5586" s="1"/>
      <c r="AQ5586" s="1"/>
      <c r="AR5586" s="1"/>
      <c r="AS5586" s="1"/>
      <c r="AT5586" s="1"/>
      <c r="AU5586" s="1"/>
      <c r="AV5586" s="1"/>
      <c r="AW5586" s="1"/>
      <c r="AX5586" s="1"/>
      <c r="AY5586" s="1"/>
      <c r="AZ5586" s="1"/>
      <c r="BA5586" s="1"/>
      <c r="BB5586" s="1"/>
    </row>
    <row r="5587" ht="204.75" customHeight="1">
      <c r="A5587" s="1">
        <v>3660.0</v>
      </c>
      <c r="B5587" s="2" t="s">
        <v>15312</v>
      </c>
      <c r="C5587" s="2">
        <f>IFERROR(__xludf.DUMMYFUNCTION("split(B5587,""_"")"),1207.0)</f>
        <v>1207</v>
      </c>
      <c r="D5587" s="2" t="str">
        <f>IFERROR(__xludf.DUMMYFUNCTION("""COMPUTED_VALUE"""),"TBS")</f>
        <v>TBS</v>
      </c>
      <c r="E5587" s="2" t="str">
        <f>IFERROR(__xludf.DUMMYFUNCTION("""COMPUTED_VALUE"""),"月20")</f>
        <v>月20</v>
      </c>
      <c r="F5587" s="2" t="s">
        <v>15313</v>
      </c>
      <c r="G5587" s="2" t="s">
        <v>15326</v>
      </c>
      <c r="H5587" s="1">
        <v>7.0</v>
      </c>
      <c r="J5587" s="1" t="s">
        <v>7151</v>
      </c>
      <c r="K5587" s="2" t="s">
        <v>15327</v>
      </c>
      <c r="L5587" s="2"/>
      <c r="M5587" s="2" t="str">
        <f>IFERROR(__xludf.DUMMYFUNCTION("split(split(K5587,""【"",false),""公式LINE"",false)"),"鉄平と本間が手に入れた新作ゲームが、見知らぬ少年にひったくられた。一方、しのぶのクラスの上原美奈子の両親が経営する長家で死体が発見。男の名は荒川利夫、刃物で刺されていた。荒川は家賃を滞納しており、同居していた小学生の息子は行方が分からなくなっていた。大家である、生徒・美奈子の父が筆頭容疑者となる。  行方不明の息子が重要な事実を知っているに違いないと、新藤と漆崎は写真を手に聞きこむ。息子の写真を見てしのぶたちは驚く。ひったくりの少年だったからだ。6年2組は総動員、美奈子の為に必死で少年を探す。つかまえた少"&amp;"年は父が死んだことを知り、泣き崩れる。しのぶは真犯人捜索に乗り出す！多部未華子  小池徹平  山本耕史  木村文乃  斎藤由貴  温水洋一  段田安則  小日向文世  松阪慶子  まえだまえだ（前田航基・前田旺志郎）  濱田龍臣  高橋晃  八木優希  二宮星  吉井一肇  浜辺美波  伊澤柾樹  橋本一輝  ")</f>
        <v>鉄平と本間が手に入れた新作ゲームが、見知らぬ少年にひったくられた。一方、しのぶのクラスの上原美奈子の両親が経営する長家で死体が発見。男の名は荒川利夫、刃物で刺されていた。荒川は家賃を滞納しており、同居していた小学生の息子は行方が分からなくなっていた。大家である、生徒・美奈子の父が筆頭容疑者となる。  行方不明の息子が重要な事実を知っているに違いないと、新藤と漆崎は写真を手に聞きこむ。息子の写真を見てしのぶたちは驚く。ひったくりの少年だったからだ。6年2組は総動員、美奈子の為に必死で少年を探す。つかまえた少年は父が死んだことを知り、泣き崩れる。しのぶは真犯人捜索に乗り出す！多部未華子  小池徹平  山本耕史  木村文乃  斎藤由貴  温水洋一  段田安則  小日向文世  松阪慶子  まえだまえだ（前田航基・前田旺志郎）  濱田龍臣  高橋晃  八木優希  二宮星  吉井一肇  浜辺美波  伊澤柾樹  橋本一輝  </v>
      </c>
      <c r="N5587" s="2"/>
      <c r="O5587" s="2"/>
      <c r="P5587" s="1"/>
      <c r="Q5587" s="1"/>
      <c r="R5587" s="1"/>
      <c r="S5587" s="1"/>
      <c r="T5587" s="1"/>
      <c r="U5587" s="1"/>
      <c r="V5587" s="1"/>
      <c r="W5587" s="1"/>
      <c r="X5587" s="1"/>
      <c r="Y5587" s="1"/>
      <c r="Z5587" s="1"/>
      <c r="AA5587" s="1"/>
      <c r="AB5587" s="1"/>
      <c r="AC5587" s="1"/>
      <c r="AD5587" s="1"/>
      <c r="AE5587" s="1"/>
      <c r="AF5587" s="1"/>
      <c r="AG5587" s="1"/>
      <c r="AH5587" s="1"/>
      <c r="AI5587" s="1"/>
      <c r="AJ5587" s="1"/>
      <c r="AK5587" s="1"/>
      <c r="AL5587" s="1"/>
      <c r="AM5587" s="1"/>
      <c r="AN5587" s="1"/>
      <c r="AO5587" s="1"/>
      <c r="AP5587" s="1"/>
      <c r="AQ5587" s="1"/>
      <c r="AR5587" s="1"/>
      <c r="AS5587" s="1"/>
      <c r="AT5587" s="1"/>
      <c r="AU5587" s="1"/>
      <c r="AV5587" s="1"/>
      <c r="AW5587" s="1"/>
      <c r="AX5587" s="1"/>
      <c r="AY5587" s="1"/>
      <c r="AZ5587" s="1"/>
      <c r="BA5587" s="1"/>
      <c r="BB5587" s="1"/>
    </row>
    <row r="5588" ht="204.75" customHeight="1">
      <c r="A5588" s="1">
        <v>3661.0</v>
      </c>
      <c r="B5588" s="2" t="s">
        <v>15312</v>
      </c>
      <c r="C5588" s="2">
        <f>IFERROR(__xludf.DUMMYFUNCTION("split(B5588,""_"")"),1207.0)</f>
        <v>1207</v>
      </c>
      <c r="D5588" s="2" t="str">
        <f>IFERROR(__xludf.DUMMYFUNCTION("""COMPUTED_VALUE"""),"TBS")</f>
        <v>TBS</v>
      </c>
      <c r="E5588" s="2" t="str">
        <f>IFERROR(__xludf.DUMMYFUNCTION("""COMPUTED_VALUE"""),"月20")</f>
        <v>月20</v>
      </c>
      <c r="F5588" s="2" t="s">
        <v>15313</v>
      </c>
      <c r="G5588" s="2" t="s">
        <v>15328</v>
      </c>
      <c r="H5588" s="1">
        <v>8.0</v>
      </c>
      <c r="J5588" s="1" t="s">
        <v>7151</v>
      </c>
      <c r="K5588" s="2" t="s">
        <v>15329</v>
      </c>
      <c r="L5588" s="2"/>
      <c r="M5588" s="2" t="str">
        <f>IFERROR(__xludf.DUMMYFUNCTION("split(split(K5588,""【"",false),""公式LINE"",false)"),"東京に転校した中西雄太からクラスに手紙が届いた。寂しそうな心情が綴られている。心配なので東京へ行きたいという郁夫と修に付き添い、しのぶも上京。三人はスカイツリーや浅草を観光した後、中西家に到着するが、様子が変。雄太の父母は落ち着きがない。しのぶが問いつめると観念したように、雄太の弟・利広が誘拐されたと打ち明け「身代金は用意したので警察には連絡しないでくれ」と語る。次の日、犯人から連絡があり、浅草の花やしきへ姉・景子が身代金をもってくるよう指示がある。母はしのぶに電話で、静観して欲しいと念を押す。だがしのぶ"&amp;"は心配が募り、こっそりと遊園地に向かう…")</f>
        <v>東京に転校した中西雄太からクラスに手紙が届いた。寂しそうな心情が綴られている。心配なので東京へ行きたいという郁夫と修に付き添い、しのぶも上京。三人はスカイツリーや浅草を観光した後、中西家に到着するが、様子が変。雄太の父母は落ち着きがない。しのぶが問いつめると観念したように、雄太の弟・利広が誘拐されたと打ち明け「身代金は用意したので警察には連絡しないでくれ」と語る。次の日、犯人から連絡があり、浅草の花やしきへ姉・景子が身代金をもってくるよう指示がある。母はしのぶに電話で、静観して欲しいと念を押す。だがしのぶは心配が募り、こっそりと遊園地に向かう…</v>
      </c>
      <c r="N5588" s="2"/>
      <c r="O5588" s="2"/>
      <c r="P5588" s="1"/>
      <c r="Q5588" s="1"/>
      <c r="R5588" s="1"/>
      <c r="S5588" s="1"/>
      <c r="T5588" s="1"/>
      <c r="U5588" s="1"/>
      <c r="V5588" s="1"/>
      <c r="W5588" s="1"/>
      <c r="X5588" s="1"/>
      <c r="Y5588" s="1"/>
      <c r="Z5588" s="1"/>
      <c r="AA5588" s="1"/>
      <c r="AB5588" s="1"/>
      <c r="AC5588" s="1"/>
      <c r="AD5588" s="1"/>
      <c r="AE5588" s="1"/>
      <c r="AF5588" s="1"/>
      <c r="AG5588" s="1"/>
      <c r="AH5588" s="1"/>
      <c r="AI5588" s="1"/>
      <c r="AJ5588" s="1"/>
      <c r="AK5588" s="1"/>
      <c r="AL5588" s="1"/>
      <c r="AM5588" s="1"/>
      <c r="AN5588" s="1"/>
      <c r="AO5588" s="1"/>
      <c r="AP5588" s="1"/>
      <c r="AQ5588" s="1"/>
      <c r="AR5588" s="1"/>
      <c r="AS5588" s="1"/>
      <c r="AT5588" s="1"/>
      <c r="AU5588" s="1"/>
      <c r="AV5588" s="1"/>
      <c r="AW5588" s="1"/>
      <c r="AX5588" s="1"/>
      <c r="AY5588" s="1"/>
      <c r="AZ5588" s="1"/>
      <c r="BA5588" s="1"/>
      <c r="BB5588" s="1"/>
    </row>
    <row r="5589" ht="204.75" customHeight="1">
      <c r="A5589" s="1">
        <v>3662.0</v>
      </c>
      <c r="B5589" s="2" t="s">
        <v>15312</v>
      </c>
      <c r="C5589" s="2">
        <f>IFERROR(__xludf.DUMMYFUNCTION("split(B5589,""_"")"),1207.0)</f>
        <v>1207</v>
      </c>
      <c r="D5589" s="2" t="str">
        <f>IFERROR(__xludf.DUMMYFUNCTION("""COMPUTED_VALUE"""),"TBS")</f>
        <v>TBS</v>
      </c>
      <c r="E5589" s="2" t="str">
        <f>IFERROR(__xludf.DUMMYFUNCTION("""COMPUTED_VALUE"""),"月20")</f>
        <v>月20</v>
      </c>
      <c r="F5589" s="2" t="s">
        <v>15313</v>
      </c>
      <c r="G5589" s="2" t="s">
        <v>15330</v>
      </c>
      <c r="H5589" s="1">
        <v>9.0</v>
      </c>
      <c r="J5589" s="1" t="s">
        <v>7151</v>
      </c>
      <c r="K5589" s="2" t="s">
        <v>15331</v>
      </c>
      <c r="L5589" s="2"/>
      <c r="M5589" s="2" t="str">
        <f>IFERROR(__xludf.DUMMYFUNCTION("split(split(K5589,""【"",false),""公式LINE"",false)"),"多部未華子  小池徹平  山本耕史  木村文乃  斎藤由貴  温水洋一  戸田昌宏  段田安則  小日向文世  松阪慶子    前田航基（まえだまえだ）  前田旺志郎（まえだまえだ）  濱田龍臣  高橋晃  八木優希  二宮星  吉井一肇  浜辺美波  伊澤柾樹  橋本一輝    ")</f>
        <v>多部未華子  小池徹平  山本耕史  木村文乃  斎藤由貴  温水洋一  戸田昌宏  段田安則  小日向文世  松阪慶子    前田航基（まえだまえだ）  前田旺志郎（まえだまえだ）  濱田龍臣  高橋晃  八木優希  二宮星  吉井一肇  浜辺美波  伊澤柾樹  橋本一輝    </v>
      </c>
      <c r="N5589" s="2"/>
      <c r="O5589" s="2"/>
      <c r="P5589" s="1"/>
      <c r="Q5589" s="1"/>
      <c r="R5589" s="1"/>
      <c r="S5589" s="1"/>
      <c r="T5589" s="1"/>
      <c r="U5589" s="1"/>
      <c r="V5589" s="1"/>
      <c r="W5589" s="1"/>
      <c r="X5589" s="1"/>
      <c r="Y5589" s="1"/>
      <c r="Z5589" s="1"/>
      <c r="AA5589" s="1"/>
      <c r="AB5589" s="1"/>
      <c r="AC5589" s="1"/>
      <c r="AD5589" s="1"/>
      <c r="AE5589" s="1"/>
      <c r="AF5589" s="1"/>
      <c r="AG5589" s="1"/>
      <c r="AH5589" s="1"/>
      <c r="AI5589" s="1"/>
      <c r="AJ5589" s="1"/>
      <c r="AK5589" s="1"/>
      <c r="AL5589" s="1"/>
      <c r="AM5589" s="1"/>
      <c r="AN5589" s="1"/>
      <c r="AO5589" s="1"/>
      <c r="AP5589" s="1"/>
      <c r="AQ5589" s="1"/>
      <c r="AR5589" s="1"/>
      <c r="AS5589" s="1"/>
      <c r="AT5589" s="1"/>
      <c r="AU5589" s="1"/>
      <c r="AV5589" s="1"/>
      <c r="AW5589" s="1"/>
      <c r="AX5589" s="1"/>
      <c r="AY5589" s="1"/>
      <c r="AZ5589" s="1"/>
      <c r="BA5589" s="1"/>
      <c r="BB5589" s="1"/>
    </row>
    <row r="5590" ht="204.75" customHeight="1">
      <c r="A5590" s="1">
        <v>3663.0</v>
      </c>
      <c r="B5590" s="2" t="s">
        <v>15312</v>
      </c>
      <c r="C5590" s="2">
        <f>IFERROR(__xludf.DUMMYFUNCTION("split(B5590,""_"")"),1207.0)</f>
        <v>1207</v>
      </c>
      <c r="D5590" s="2" t="str">
        <f>IFERROR(__xludf.DUMMYFUNCTION("""COMPUTED_VALUE"""),"TBS")</f>
        <v>TBS</v>
      </c>
      <c r="E5590" s="2" t="str">
        <f>IFERROR(__xludf.DUMMYFUNCTION("""COMPUTED_VALUE"""),"月20")</f>
        <v>月20</v>
      </c>
      <c r="F5590" s="2" t="s">
        <v>15313</v>
      </c>
      <c r="G5590" s="2" t="s">
        <v>15332</v>
      </c>
      <c r="H5590" s="1">
        <v>10.0</v>
      </c>
      <c r="J5590" s="1" t="s">
        <v>7151</v>
      </c>
      <c r="K5590" s="2" t="s">
        <v>15333</v>
      </c>
      <c r="L5590" s="2"/>
      <c r="M5590" s="2" t="str">
        <f>IFERROR(__xludf.DUMMYFUNCTION("split(split(K5590,""【"",false),""公式LINE"",false)"),"多部未華子  小池徹平  山本耕史  木村文乃  斉藤由貴  笛木優子  温水洋一  段田安則  小日向文世  松阪慶子  前田航基・前田旺志郎（まえだまえだ）  濱田龍臣  高橋晃  八木優希  二宮星  吉井一肇  浜辺美波  伊澤柾樹  橋本一輝  ")</f>
        <v>多部未華子  小池徹平  山本耕史  木村文乃  斉藤由貴  笛木優子  温水洋一  段田安則  小日向文世  松阪慶子  前田航基・前田旺志郎（まえだまえだ）  濱田龍臣  高橋晃  八木優希  二宮星  吉井一肇  浜辺美波  伊澤柾樹  橋本一輝  </v>
      </c>
      <c r="N5590" s="2"/>
      <c r="O5590" s="2"/>
      <c r="P5590" s="1"/>
      <c r="Q5590" s="1"/>
      <c r="R5590" s="1"/>
      <c r="S5590" s="1"/>
      <c r="T5590" s="1"/>
      <c r="U5590" s="1"/>
      <c r="V5590" s="1"/>
      <c r="W5590" s="1"/>
      <c r="X5590" s="1"/>
      <c r="Y5590" s="1"/>
      <c r="Z5590" s="1"/>
      <c r="AA5590" s="1"/>
      <c r="AB5590" s="1"/>
      <c r="AC5590" s="1"/>
      <c r="AD5590" s="1"/>
      <c r="AE5590" s="1"/>
      <c r="AF5590" s="1"/>
      <c r="AG5590" s="1"/>
      <c r="AH5590" s="1"/>
      <c r="AI5590" s="1"/>
      <c r="AJ5590" s="1"/>
      <c r="AK5590" s="1"/>
      <c r="AL5590" s="1"/>
      <c r="AM5590" s="1"/>
      <c r="AN5590" s="1"/>
      <c r="AO5590" s="1"/>
      <c r="AP5590" s="1"/>
      <c r="AQ5590" s="1"/>
      <c r="AR5590" s="1"/>
      <c r="AS5590" s="1"/>
      <c r="AT5590" s="1"/>
      <c r="AU5590" s="1"/>
      <c r="AV5590" s="1"/>
      <c r="AW5590" s="1"/>
      <c r="AX5590" s="1"/>
      <c r="AY5590" s="1"/>
      <c r="AZ5590" s="1"/>
      <c r="BA5590" s="1"/>
      <c r="BB5590" s="1"/>
    </row>
    <row r="5591" ht="204.75" customHeight="1">
      <c r="A5591" s="1">
        <v>3664.0</v>
      </c>
      <c r="B5591" s="2" t="s">
        <v>15312</v>
      </c>
      <c r="C5591" s="2">
        <f>IFERROR(__xludf.DUMMYFUNCTION("split(B5591,""_"")"),1207.0)</f>
        <v>1207</v>
      </c>
      <c r="D5591" s="2" t="str">
        <f>IFERROR(__xludf.DUMMYFUNCTION("""COMPUTED_VALUE"""),"TBS")</f>
        <v>TBS</v>
      </c>
      <c r="E5591" s="2" t="str">
        <f>IFERROR(__xludf.DUMMYFUNCTION("""COMPUTED_VALUE"""),"月20")</f>
        <v>月20</v>
      </c>
      <c r="F5591" s="2" t="s">
        <v>15313</v>
      </c>
      <c r="G5591" s="2" t="s">
        <v>15334</v>
      </c>
      <c r="H5591" s="1">
        <v>11.0</v>
      </c>
      <c r="J5591" s="1" t="s">
        <v>7151</v>
      </c>
      <c r="K5591" s="2" t="s">
        <v>15335</v>
      </c>
      <c r="L5591" s="2"/>
      <c r="M5591" s="2" t="str">
        <f>IFERROR(__xludf.DUMMYFUNCTION("split(split(K5591,""【"",false),""公式LINE"",false)"),"若い女性が死体で発見され、新藤と漆崎が捜査を開始。女性は電子部品会社の社員、宮本清子。性格がよく働き者の清子は人に恨まれるようなこともなく、犯人探しは難航。  卒業式が近付く中、東京へ転校する鉄平は奈々から「好きでした」と告白される。  そんな折、奈々の母親・町子がマンション3階から墜落。事故前後の町子の記憶があいまいで、真相は分からない。しのぶは、誰かに落とされたのではないかと推理。推理が的中したように、卒業式の朝、鉄平と奈々の目の前で町子が再び襲われる。  トラックで逃走する犯人を追い、荷台に忍び込む"&amp;"鉄平と奈々。しのぶが運転する車に郁夫が同乗してトラックを追うが…。多部未華子　小池徹平　山本耕史　木村文乃  斉藤由貴　温水洋一　笛木優子　戸田昌宏　段田安則　小日向文世　松阪慶子  ○  前田航基・前田旺志郎（まえだまえだ）  濱田龍臣　高橋晃　八木優希　二宮星　吉井一肇　浜辺美波　伊澤柾樹　橋本一輝  ")</f>
        <v>若い女性が死体で発見され、新藤と漆崎が捜査を開始。女性は電子部品会社の社員、宮本清子。性格がよく働き者の清子は人に恨まれるようなこともなく、犯人探しは難航。  卒業式が近付く中、東京へ転校する鉄平は奈々から「好きでした」と告白される。  そんな折、奈々の母親・町子がマンション3階から墜落。事故前後の町子の記憶があいまいで、真相は分からない。しのぶは、誰かに落とされたのではないかと推理。推理が的中したように、卒業式の朝、鉄平と奈々の目の前で町子が再び襲われる。  トラックで逃走する犯人を追い、荷台に忍び込む鉄平と奈々。しのぶが運転する車に郁夫が同乗してトラックを追うが…。多部未華子　小池徹平　山本耕史　木村文乃  斉藤由貴　温水洋一　笛木優子　戸田昌宏　段田安則　小日向文世　松阪慶子  ○  前田航基・前田旺志郎（まえだまえだ）  濱田龍臣　高橋晃　八木優希　二宮星　吉井一肇　浜辺美波　伊澤柾樹　橋本一輝  </v>
      </c>
      <c r="N5591" s="2"/>
      <c r="O5591" s="2"/>
      <c r="P5591" s="1"/>
      <c r="Q5591" s="1"/>
      <c r="R5591" s="1"/>
      <c r="S5591" s="1"/>
      <c r="T5591" s="1"/>
      <c r="U5591" s="1"/>
      <c r="V5591" s="1"/>
      <c r="W5591" s="1"/>
      <c r="X5591" s="1"/>
      <c r="Y5591" s="1"/>
      <c r="Z5591" s="1"/>
      <c r="AA5591" s="1"/>
      <c r="AB5591" s="1"/>
      <c r="AC5591" s="1"/>
      <c r="AD5591" s="1"/>
      <c r="AE5591" s="1"/>
      <c r="AF5591" s="1"/>
      <c r="AG5591" s="1"/>
      <c r="AH5591" s="1"/>
      <c r="AI5591" s="1"/>
      <c r="AJ5591" s="1"/>
      <c r="AK5591" s="1"/>
      <c r="AL5591" s="1"/>
      <c r="AM5591" s="1"/>
      <c r="AN5591" s="1"/>
      <c r="AO5591" s="1"/>
      <c r="AP5591" s="1"/>
      <c r="AQ5591" s="1"/>
      <c r="AR5591" s="1"/>
      <c r="AS5591" s="1"/>
      <c r="AT5591" s="1"/>
      <c r="AU5591" s="1"/>
      <c r="AV5591" s="1"/>
      <c r="AW5591" s="1"/>
      <c r="AX5591" s="1"/>
      <c r="AY5591" s="1"/>
      <c r="AZ5591" s="1"/>
      <c r="BA5591" s="1"/>
      <c r="BB5591" s="1"/>
    </row>
    <row r="5592" ht="204.75" customHeight="1">
      <c r="A5592" s="1">
        <v>3665.0</v>
      </c>
      <c r="B5592" s="2" t="s">
        <v>15312</v>
      </c>
      <c r="C5592" s="2">
        <f>IFERROR(__xludf.DUMMYFUNCTION("split(B5592,""_"")"),1207.0)</f>
        <v>1207</v>
      </c>
      <c r="D5592" s="2" t="str">
        <f>IFERROR(__xludf.DUMMYFUNCTION("""COMPUTED_VALUE"""),"TBS")</f>
        <v>TBS</v>
      </c>
      <c r="E5592" s="2" t="str">
        <f>IFERROR(__xludf.DUMMYFUNCTION("""COMPUTED_VALUE"""),"月20")</f>
        <v>月20</v>
      </c>
      <c r="F5592" s="2" t="s">
        <v>15313</v>
      </c>
      <c r="G5592" s="2" t="s">
        <v>15336</v>
      </c>
      <c r="H5592" s="1">
        <v>12.0</v>
      </c>
      <c r="J5592" s="1" t="s">
        <v>7151</v>
      </c>
      <c r="K5592" s="2" t="s">
        <v>15337</v>
      </c>
      <c r="L5592" s="2"/>
      <c r="M5592" s="2" t="str">
        <f>IFERROR(__xludf.DUMMYFUNCTION("split(split(K5592,""【"",false),""公式LINE"",false)"),"多部未華子　小池徹平　山本耕史　木村文乃  斎藤由貴　温水洋一　笛木優子　戸田昌宏　段田安則　小日向文世　松坂慶子　/　前田航基　前田旺志郎（まえだまえだ）　濱田龍臣　高橋晃　八木優希　二宮星　吉井一肇　浜辺美波　伊澤柾樹　橋本一輝　吉岡竜輝　平松來馬  ")</f>
        <v>多部未華子　小池徹平　山本耕史　木村文乃  斎藤由貴　温水洋一　笛木優子　戸田昌宏　段田安則　小日向文世　松坂慶子　/　前田航基　前田旺志郎（まえだまえだ）　濱田龍臣　高橋晃　八木優希　二宮星　吉井一肇　浜辺美波　伊澤柾樹　橋本一輝　吉岡竜輝　平松來馬  </v>
      </c>
      <c r="N5592" s="2"/>
      <c r="O5592" s="2"/>
      <c r="P5592" s="1"/>
      <c r="Q5592" s="1"/>
      <c r="R5592" s="1"/>
      <c r="S5592" s="1"/>
      <c r="T5592" s="1"/>
      <c r="U5592" s="1"/>
      <c r="V5592" s="1"/>
      <c r="W5592" s="1"/>
      <c r="X5592" s="1"/>
      <c r="Y5592" s="1"/>
      <c r="Z5592" s="1"/>
      <c r="AA5592" s="1"/>
      <c r="AB5592" s="1"/>
      <c r="AC5592" s="1"/>
      <c r="AD5592" s="1"/>
      <c r="AE5592" s="1"/>
      <c r="AF5592" s="1"/>
      <c r="AG5592" s="1"/>
      <c r="AH5592" s="1"/>
      <c r="AI5592" s="1"/>
      <c r="AJ5592" s="1"/>
      <c r="AK5592" s="1"/>
      <c r="AL5592" s="1"/>
      <c r="AM5592" s="1"/>
      <c r="AN5592" s="1"/>
      <c r="AO5592" s="1"/>
      <c r="AP5592" s="1"/>
      <c r="AQ5592" s="1"/>
      <c r="AR5592" s="1"/>
      <c r="AS5592" s="1"/>
      <c r="AT5592" s="1"/>
      <c r="AU5592" s="1"/>
      <c r="AV5592" s="1"/>
      <c r="AW5592" s="1"/>
      <c r="AX5592" s="1"/>
      <c r="AY5592" s="1"/>
      <c r="AZ5592" s="1"/>
      <c r="BA5592" s="1"/>
      <c r="BB5592" s="1"/>
    </row>
    <row r="5593" ht="204.75" customHeight="1">
      <c r="A5593" s="1">
        <v>3717.0</v>
      </c>
      <c r="B5593" s="2" t="s">
        <v>15338</v>
      </c>
      <c r="C5593" s="2">
        <f>IFERROR(__xludf.DUMMYFUNCTION("split(B5593,""_"")"),1207.0)</f>
        <v>1207</v>
      </c>
      <c r="D5593" s="2" t="str">
        <f>IFERROR(__xludf.DUMMYFUNCTION("""COMPUTED_VALUE"""),"TBS")</f>
        <v>TBS</v>
      </c>
      <c r="E5593" s="2" t="str">
        <f>IFERROR(__xludf.DUMMYFUNCTION("""COMPUTED_VALUE"""),"木21")</f>
        <v>木21</v>
      </c>
      <c r="F5593" s="2" t="s">
        <v>15339</v>
      </c>
      <c r="G5593" s="2" t="s">
        <v>15340</v>
      </c>
      <c r="H5593" s="1">
        <v>1.0</v>
      </c>
      <c r="J5593" s="1" t="s">
        <v>4</v>
      </c>
      <c r="K5593" s="2" t="s">
        <v>15341</v>
      </c>
      <c r="L5593" s="2"/>
      <c r="M5593" s="2" t="str">
        <f>IFERROR(__xludf.DUMMYFUNCTION("split(split(K5593,""【"",false),""公式LINE"",false)"),"24時間絶対服従！外出禁止！携帯没収！！恋愛禁止！！！  全寮制の「警察学校」を舞台に、おちこぼれ「Sクラス」に編入させられた若者たちが「警察官」になるべく、信じられない校則と、鬼のような教官たちのシゴキをくぐりぬけ、10か月後の卒業を目指す！時にバカバカしく、時に必死な彼らは、果たして無事に卒業…いや、無事に一日を過ごすことができるのか！？夏らしい、そしてバカバカしい青春ド・コメディドラマです！藤ヶ谷太輔（Kis-My-Ft2)  北山宏光（Kis-My-Ft2）  剛力彩芽  柄本時生  小柳友  石"&amp;"井智也  岡本あずさ  水沢エレナ  ・  森廉  青山倫子  河合美智子  松永玲子  伊達暁  森高愛・  鹿賀丈史（特別出演）  ・  堀内敬子  宮川一朗太  ・  国広富之  柳沢慎吾  石田ひかり  杉本哲太")</f>
        <v>24時間絶対服従！外出禁止！携帯没収！！恋愛禁止！！！  全寮制の「警察学校」を舞台に、おちこぼれ「Sクラス」に編入させられた若者たちが「警察官」になるべく、信じられない校則と、鬼のような教官たちのシゴキをくぐりぬけ、10か月後の卒業を目指す！時にバカバカしく、時に必死な彼らは、果たして無事に卒業…いや、無事に一日を過ごすことができるのか！？夏らしい、そしてバカバカしい青春ド・コメディドラマです！藤ヶ谷太輔（Kis-My-Ft2)  北山宏光（Kis-My-Ft2）  剛力彩芽  柄本時生  小柳友  石井智也  岡本あずさ  水沢エレナ  ・  森廉  青山倫子  河合美智子  松永玲子  伊達暁  森高愛・  鹿賀丈史（特別出演）  ・  堀内敬子  宮川一朗太  ・  国広富之  柳沢慎吾  石田ひかり  杉本哲太</v>
      </c>
      <c r="N5593" s="2"/>
      <c r="O5593" s="2"/>
      <c r="P5593" s="1"/>
      <c r="Q5593" s="1"/>
      <c r="R5593" s="1"/>
      <c r="S5593" s="1"/>
      <c r="T5593" s="1"/>
      <c r="U5593" s="1"/>
      <c r="V5593" s="1"/>
      <c r="W5593" s="1"/>
      <c r="X5593" s="1"/>
      <c r="Y5593" s="1"/>
      <c r="Z5593" s="1"/>
      <c r="AA5593" s="1"/>
      <c r="AB5593" s="1"/>
      <c r="AC5593" s="1"/>
      <c r="AD5593" s="1"/>
      <c r="AE5593" s="1"/>
      <c r="AF5593" s="1"/>
      <c r="AG5593" s="1"/>
      <c r="AH5593" s="1"/>
      <c r="AI5593" s="1"/>
      <c r="AJ5593" s="1"/>
      <c r="AK5593" s="1"/>
      <c r="AL5593" s="1"/>
      <c r="AM5593" s="1"/>
      <c r="AN5593" s="1"/>
      <c r="AO5593" s="1"/>
      <c r="AP5593" s="1"/>
      <c r="AQ5593" s="1"/>
      <c r="AR5593" s="1"/>
      <c r="AS5593" s="1"/>
      <c r="AT5593" s="1"/>
      <c r="AU5593" s="1"/>
      <c r="AV5593" s="1"/>
      <c r="AW5593" s="1"/>
      <c r="AX5593" s="1"/>
      <c r="AY5593" s="1"/>
      <c r="AZ5593" s="1"/>
      <c r="BA5593" s="1"/>
      <c r="BB5593" s="1"/>
    </row>
    <row r="5594" ht="204.75" customHeight="1">
      <c r="A5594" s="1">
        <v>3718.0</v>
      </c>
      <c r="B5594" s="2" t="s">
        <v>15338</v>
      </c>
      <c r="C5594" s="2">
        <f>IFERROR(__xludf.DUMMYFUNCTION("split(B5594,""_"")"),1207.0)</f>
        <v>1207</v>
      </c>
      <c r="D5594" s="2" t="str">
        <f>IFERROR(__xludf.DUMMYFUNCTION("""COMPUTED_VALUE"""),"TBS")</f>
        <v>TBS</v>
      </c>
      <c r="E5594" s="2" t="str">
        <f>IFERROR(__xludf.DUMMYFUNCTION("""COMPUTED_VALUE"""),"木21")</f>
        <v>木21</v>
      </c>
      <c r="F5594" s="2" t="s">
        <v>15339</v>
      </c>
      <c r="G5594" s="2" t="s">
        <v>15342</v>
      </c>
      <c r="H5594" s="1">
        <v>2.0</v>
      </c>
      <c r="J5594" s="1" t="s">
        <v>11</v>
      </c>
      <c r="K5594" s="2" t="s">
        <v>15343</v>
      </c>
      <c r="L5594" s="2"/>
      <c r="M5594" s="2" t="str">
        <f>IFERROR(__xludf.DUMMYFUNCTION("split(split(K5594,""【"",false),""公式LINE"",false)"),"24時間絶対服従！外出禁止！携帯没収！！恋愛禁止！！！  全寮制の「警察学校」を舞台に、おちこぼれ「Sクラス」に編入させられた若者たちが「警察官」になるべく、信じられない校則と、鬼のような教官たちのシゴキをくぐりぬけ、10か月後の卒業を目指す！時にバカバカしく、時に必死な彼らは、果たして無事に卒業…いや、無事に一日を過ごすことができるのか！？藤ヶ谷太輔（Kis-My-Ft2)　  北山宏光（Kis-My-Ft2）  剛力彩芽  柄本時生  小柳友  石井智也  岡本あずさ  水沢エレナ  　・　  森廉 "&amp;" 青山倫子  河合美智子  松永玲子  伊達暁  森高愛  　・　  鹿賀丈史（特別出演）  　・　  堀内敬子  宮川一朗太  　・　  国広富之  柳沢慎吾  石田ひかり  杉本哲太")</f>
        <v>24時間絶対服従！外出禁止！携帯没収！！恋愛禁止！！！  全寮制の「警察学校」を舞台に、おちこぼれ「Sクラス」に編入させられた若者たちが「警察官」になるべく、信じられない校則と、鬼のような教官たちのシゴキをくぐりぬけ、10か月後の卒業を目指す！時にバカバカしく、時に必死な彼らは、果たして無事に卒業…いや、無事に一日を過ごすことができるのか！？藤ヶ谷太輔（Kis-My-Ft2)　  北山宏光（Kis-My-Ft2）  剛力彩芽  柄本時生  小柳友  石井智也  岡本あずさ  水沢エレナ  　・　  森廉  青山倫子  河合美智子  松永玲子  伊達暁  森高愛  　・　  鹿賀丈史（特別出演）  　・　  堀内敬子  宮川一朗太  　・　  国広富之  柳沢慎吾  石田ひかり  杉本哲太</v>
      </c>
      <c r="N5594" s="2"/>
      <c r="O5594" s="2"/>
      <c r="P5594" s="1"/>
      <c r="Q5594" s="1"/>
      <c r="R5594" s="1"/>
      <c r="S5594" s="1"/>
      <c r="T5594" s="1"/>
      <c r="U5594" s="1"/>
      <c r="V5594" s="1"/>
      <c r="W5594" s="1"/>
      <c r="X5594" s="1"/>
      <c r="Y5594" s="1"/>
      <c r="Z5594" s="1"/>
      <c r="AA5594" s="1"/>
      <c r="AB5594" s="1"/>
      <c r="AC5594" s="1"/>
      <c r="AD5594" s="1"/>
      <c r="AE5594" s="1"/>
      <c r="AF5594" s="1"/>
      <c r="AG5594" s="1"/>
      <c r="AH5594" s="1"/>
      <c r="AI5594" s="1"/>
      <c r="AJ5594" s="1"/>
      <c r="AK5594" s="1"/>
      <c r="AL5594" s="1"/>
      <c r="AM5594" s="1"/>
      <c r="AN5594" s="1"/>
      <c r="AO5594" s="1"/>
      <c r="AP5594" s="1"/>
      <c r="AQ5594" s="1"/>
      <c r="AR5594" s="1"/>
      <c r="AS5594" s="1"/>
      <c r="AT5594" s="1"/>
      <c r="AU5594" s="1"/>
      <c r="AV5594" s="1"/>
      <c r="AW5594" s="1"/>
      <c r="AX5594" s="1"/>
      <c r="AY5594" s="1"/>
      <c r="AZ5594" s="1"/>
      <c r="BA5594" s="1"/>
      <c r="BB5594" s="1"/>
    </row>
    <row r="5595" ht="204.75" customHeight="1">
      <c r="A5595" s="1">
        <v>3719.0</v>
      </c>
      <c r="B5595" s="2" t="s">
        <v>15338</v>
      </c>
      <c r="C5595" s="2">
        <f>IFERROR(__xludf.DUMMYFUNCTION("split(B5595,""_"")"),1207.0)</f>
        <v>1207</v>
      </c>
      <c r="D5595" s="2" t="str">
        <f>IFERROR(__xludf.DUMMYFUNCTION("""COMPUTED_VALUE"""),"TBS")</f>
        <v>TBS</v>
      </c>
      <c r="E5595" s="2" t="str">
        <f>IFERROR(__xludf.DUMMYFUNCTION("""COMPUTED_VALUE"""),"木21")</f>
        <v>木21</v>
      </c>
      <c r="F5595" s="2" t="s">
        <v>15339</v>
      </c>
      <c r="G5595" s="2" t="s">
        <v>15344</v>
      </c>
      <c r="H5595" s="1">
        <v>3.0</v>
      </c>
      <c r="J5595" s="1" t="s">
        <v>11</v>
      </c>
      <c r="K5595" s="2" t="s">
        <v>15345</v>
      </c>
      <c r="L5595" s="2"/>
      <c r="M5595" s="2" t="str">
        <f>IFERROR(__xludf.DUMMYFUNCTION("split(split(K5595,""【"",false),""公式LINE"",false)"),"24時間絶対服従！外出禁止！携帯没収！！恋愛禁止！！！  全寮制の「警察学校」を舞台に、おちこぼれ「Sクラス」に編入させられた若者たちが「警察官」になるべく、信じられない校則と、鬼のような教官たちのシゴキをくぐりぬけ、10か月後の卒業を目指す！時にバカバカしく、時に必死な彼らは、果たして無事に卒業…いや、無事に一日を過ごすことができるのか！？藤ヶ谷太輔（Kis-My-Ft2)  北山宏光（Kis-My-Ft2）  剛力彩芽  柄本時生  小柳友  石井智也  岡本あずさ  水沢エレナ  　・　  森廉  "&amp;"青山倫子  河合美智子  宮川一朗太  　・　  鹿賀丈史（特別出演）  　・　  国広富之  奥貫薫  石田ひかり  杉本哲太")</f>
        <v>24時間絶対服従！外出禁止！携帯没収！！恋愛禁止！！！  全寮制の「警察学校」を舞台に、おちこぼれ「Sクラス」に編入させられた若者たちが「警察官」になるべく、信じられない校則と、鬼のような教官たちのシゴキをくぐりぬけ、10か月後の卒業を目指す！時にバカバカしく、時に必死な彼らは、果たして無事に卒業…いや、無事に一日を過ごすことができるのか！？藤ヶ谷太輔（Kis-My-Ft2)  北山宏光（Kis-My-Ft2）  剛力彩芽  柄本時生  小柳友  石井智也  岡本あずさ  水沢エレナ  　・　  森廉  青山倫子  河合美智子  宮川一朗太  　・　  鹿賀丈史（特別出演）  　・　  国広富之  奥貫薫  石田ひかり  杉本哲太</v>
      </c>
      <c r="N5595" s="2"/>
      <c r="O5595" s="2"/>
      <c r="P5595" s="1"/>
      <c r="Q5595" s="1"/>
      <c r="R5595" s="1"/>
      <c r="S5595" s="1"/>
      <c r="T5595" s="1"/>
      <c r="U5595" s="1"/>
      <c r="V5595" s="1"/>
      <c r="W5595" s="1"/>
      <c r="X5595" s="1"/>
      <c r="Y5595" s="1"/>
      <c r="Z5595" s="1"/>
      <c r="AA5595" s="1"/>
      <c r="AB5595" s="1"/>
      <c r="AC5595" s="1"/>
      <c r="AD5595" s="1"/>
      <c r="AE5595" s="1"/>
      <c r="AF5595" s="1"/>
      <c r="AG5595" s="1"/>
      <c r="AH5595" s="1"/>
      <c r="AI5595" s="1"/>
      <c r="AJ5595" s="1"/>
      <c r="AK5595" s="1"/>
      <c r="AL5595" s="1"/>
      <c r="AM5595" s="1"/>
      <c r="AN5595" s="1"/>
      <c r="AO5595" s="1"/>
      <c r="AP5595" s="1"/>
      <c r="AQ5595" s="1"/>
      <c r="AR5595" s="1"/>
      <c r="AS5595" s="1"/>
      <c r="AT5595" s="1"/>
      <c r="AU5595" s="1"/>
      <c r="AV5595" s="1"/>
      <c r="AW5595" s="1"/>
      <c r="AX5595" s="1"/>
      <c r="AY5595" s="1"/>
      <c r="AZ5595" s="1"/>
      <c r="BA5595" s="1"/>
      <c r="BB5595" s="1"/>
    </row>
    <row r="5596" ht="204.75" customHeight="1">
      <c r="A5596" s="1">
        <v>3720.0</v>
      </c>
      <c r="B5596" s="2" t="s">
        <v>15338</v>
      </c>
      <c r="C5596" s="2">
        <f>IFERROR(__xludf.DUMMYFUNCTION("split(B5596,""_"")"),1207.0)</f>
        <v>1207</v>
      </c>
      <c r="D5596" s="2" t="str">
        <f>IFERROR(__xludf.DUMMYFUNCTION("""COMPUTED_VALUE"""),"TBS")</f>
        <v>TBS</v>
      </c>
      <c r="E5596" s="2" t="str">
        <f>IFERROR(__xludf.DUMMYFUNCTION("""COMPUTED_VALUE"""),"木21")</f>
        <v>木21</v>
      </c>
      <c r="F5596" s="2" t="s">
        <v>15339</v>
      </c>
      <c r="G5596" s="2" t="s">
        <v>15346</v>
      </c>
      <c r="H5596" s="1">
        <v>4.0</v>
      </c>
      <c r="J5596" s="1" t="s">
        <v>11</v>
      </c>
      <c r="K5596" s="2" t="s">
        <v>15347</v>
      </c>
      <c r="L5596" s="2"/>
      <c r="M5596" s="2" t="str">
        <f>IFERROR(__xludf.DUMMYFUNCTION("split(split(K5596,""【"",false),""公式LINE"",false)"),"おちこぼれクラス「桜庭教場」から「通常教場」へ2名の生徒の選抜人事を命じられた助教の竜崎美咲（石田ひかり）は、中間試験の結果によって生徒を決めようとするが…。合格者は成績優秀の立花団司（北山宏光）とあと一人が誰が合格するのかが焦点となっていた。そんな中で雄一に会ったことを告げられた徹平（藤ヶ谷太輔）は警察官になることを改めて思い直し、試験合格を目指すも…。藤ヶ谷太輔（Kis-My-Ft2)  北山宏光（Kis-My-Ft2）  剛力彩芽  柄本時生  小柳友  石井智也  岡本あずさ  水沢エレナ  ・ "&amp;" 森廉  青山倫子  伊達暁  ・  鹿賀丈史（特別出演）  ・  国広富之  奥貫薫  石田ひかり  杉本哲太24時間絶対服従！外出禁止！携帯没収！！恋愛禁止！！！  全寮制「神奈川県警察学校」を舞台に、おちこぼれ「Sクラス」に編入させられた若者たちが「警察官」になるべく、信じられない校則と、鬼のような教官たちによる訓練を潜り抜けて、10か月後の卒業を目指す！必死な彼らは、果たして無事に卒業することができるか！？")</f>
        <v>おちこぼれクラス「桜庭教場」から「通常教場」へ2名の生徒の選抜人事を命じられた助教の竜崎美咲（石田ひかり）は、中間試験の結果によって生徒を決めようとするが…。合格者は成績優秀の立花団司（北山宏光）とあと一人が誰が合格するのかが焦点となっていた。そんな中で雄一に会ったことを告げられた徹平（藤ヶ谷太輔）は警察官になることを改めて思い直し、試験合格を目指すも…。藤ヶ谷太輔（Kis-My-Ft2)  北山宏光（Kis-My-Ft2）  剛力彩芽  柄本時生  小柳友  石井智也  岡本あずさ  水沢エレナ  ・  森廉  青山倫子  伊達暁  ・  鹿賀丈史（特別出演）  ・  国広富之  奥貫薫  石田ひかり  杉本哲太24時間絶対服従！外出禁止！携帯没収！！恋愛禁止！！！  全寮制「神奈川県警察学校」を舞台に、おちこぼれ「Sクラス」に編入させられた若者たちが「警察官」になるべく、信じられない校則と、鬼のような教官たちによる訓練を潜り抜けて、10か月後の卒業を目指す！必死な彼らは、果たして無事に卒業することができるか！？</v>
      </c>
      <c r="N5596" s="2"/>
      <c r="O5596" s="2"/>
      <c r="P5596" s="1"/>
      <c r="Q5596" s="1"/>
      <c r="R5596" s="1"/>
      <c r="S5596" s="1"/>
      <c r="T5596" s="1"/>
      <c r="U5596" s="1"/>
      <c r="V5596" s="1"/>
      <c r="W5596" s="1"/>
      <c r="X5596" s="1"/>
      <c r="Y5596" s="1"/>
      <c r="Z5596" s="1"/>
      <c r="AA5596" s="1"/>
      <c r="AB5596" s="1"/>
      <c r="AC5596" s="1"/>
      <c r="AD5596" s="1"/>
      <c r="AE5596" s="1"/>
      <c r="AF5596" s="1"/>
      <c r="AG5596" s="1"/>
      <c r="AH5596" s="1"/>
      <c r="AI5596" s="1"/>
      <c r="AJ5596" s="1"/>
      <c r="AK5596" s="1"/>
      <c r="AL5596" s="1"/>
      <c r="AM5596" s="1"/>
      <c r="AN5596" s="1"/>
      <c r="AO5596" s="1"/>
      <c r="AP5596" s="1"/>
      <c r="AQ5596" s="1"/>
      <c r="AR5596" s="1"/>
      <c r="AS5596" s="1"/>
      <c r="AT5596" s="1"/>
      <c r="AU5596" s="1"/>
      <c r="AV5596" s="1"/>
      <c r="AW5596" s="1"/>
      <c r="AX5596" s="1"/>
      <c r="AY5596" s="1"/>
      <c r="AZ5596" s="1"/>
      <c r="BA5596" s="1"/>
      <c r="BB5596" s="1"/>
    </row>
    <row r="5597" ht="204.75" customHeight="1">
      <c r="A5597" s="1">
        <v>3721.0</v>
      </c>
      <c r="B5597" s="2" t="s">
        <v>15338</v>
      </c>
      <c r="C5597" s="2">
        <f>IFERROR(__xludf.DUMMYFUNCTION("split(B5597,""_"")"),1207.0)</f>
        <v>1207</v>
      </c>
      <c r="D5597" s="2" t="str">
        <f>IFERROR(__xludf.DUMMYFUNCTION("""COMPUTED_VALUE"""),"TBS")</f>
        <v>TBS</v>
      </c>
      <c r="E5597" s="2" t="str">
        <f>IFERROR(__xludf.DUMMYFUNCTION("""COMPUTED_VALUE"""),"木21")</f>
        <v>木21</v>
      </c>
      <c r="F5597" s="2" t="s">
        <v>15339</v>
      </c>
      <c r="G5597" s="2" t="s">
        <v>15348</v>
      </c>
      <c r="H5597" s="1">
        <v>5.0</v>
      </c>
      <c r="J5597" s="1" t="s">
        <v>11</v>
      </c>
      <c r="K5597" s="2" t="s">
        <v>15349</v>
      </c>
      <c r="L5597" s="2"/>
      <c r="M5597" s="2" t="str">
        <f>IFERROR(__xludf.DUMMYFUNCTION("split(split(K5597,""【"",false),""公式LINE"",false)"),"おちこぼれの桜庭教場から通常教場へと編入した徹平（藤ヶ谷太輔）と団司（北山宏光）は、異様なまでに厳格に統率された五十嵐教場に圧倒される。  そんな中、五十嵐教官は団司に、お前の過去を知っていると告げ、「おまえは警察官を辞めるべきだ」と詰めよる。  悩む団司の目の前で、教場の生徒が暴行される事件が起き、団司に疑いがかけられるのだが…。藤ヶ谷太輔（Kis-My-Ft2)  北山宏光（Kis-My-Ft2）  剛力彩芽  柄本時生  小柳友  石井智也  岡本あずさ  水沢エレナ  ・  青山倫子  森高愛  "&amp;"・  鹿賀丈史（特別出演）  ・  国広富之  柳沢慎吾  石田ひかり  杉本哲太  ほか24時間絶対服従！外出禁止！携帯没収！！恋愛禁止！！！全寮制「神奈川県警察学校」を舞台に、おちこぼれ「Sクラス」に編入させられた若者たちが「警察官」になるべく、信じられない校則と、鬼のような教官たちによる訓練を潜り抜けて、10か月後の卒業を目指す！必死な彼らは、果たして無事に卒業することができるか！？")</f>
        <v>おちこぼれの桜庭教場から通常教場へと編入した徹平（藤ヶ谷太輔）と団司（北山宏光）は、異様なまでに厳格に統率された五十嵐教場に圧倒される。  そんな中、五十嵐教官は団司に、お前の過去を知っていると告げ、「おまえは警察官を辞めるべきだ」と詰めよる。  悩む団司の目の前で、教場の生徒が暴行される事件が起き、団司に疑いがかけられるのだが…。藤ヶ谷太輔（Kis-My-Ft2)  北山宏光（Kis-My-Ft2）  剛力彩芽  柄本時生  小柳友  石井智也  岡本あずさ  水沢エレナ  ・  青山倫子  森高愛  ・  鹿賀丈史（特別出演）  ・  国広富之  柳沢慎吾  石田ひかり  杉本哲太  ほか24時間絶対服従！外出禁止！携帯没収！！恋愛禁止！！！全寮制「神奈川県警察学校」を舞台に、おちこぼれ「Sクラス」に編入させられた若者たちが「警察官」になるべく、信じられない校則と、鬼のような教官たちによる訓練を潜り抜けて、10か月後の卒業を目指す！必死な彼らは、果たして無事に卒業することができるか！？</v>
      </c>
      <c r="N5597" s="2"/>
      <c r="O5597" s="2"/>
      <c r="P5597" s="1"/>
      <c r="Q5597" s="1"/>
      <c r="R5597" s="1"/>
      <c r="S5597" s="1"/>
      <c r="T5597" s="1"/>
      <c r="U5597" s="1"/>
      <c r="V5597" s="1"/>
      <c r="W5597" s="1"/>
      <c r="X5597" s="1"/>
      <c r="Y5597" s="1"/>
      <c r="Z5597" s="1"/>
      <c r="AA5597" s="1"/>
      <c r="AB5597" s="1"/>
      <c r="AC5597" s="1"/>
      <c r="AD5597" s="1"/>
      <c r="AE5597" s="1"/>
      <c r="AF5597" s="1"/>
      <c r="AG5597" s="1"/>
      <c r="AH5597" s="1"/>
      <c r="AI5597" s="1"/>
      <c r="AJ5597" s="1"/>
      <c r="AK5597" s="1"/>
      <c r="AL5597" s="1"/>
      <c r="AM5597" s="1"/>
      <c r="AN5597" s="1"/>
      <c r="AO5597" s="1"/>
      <c r="AP5597" s="1"/>
      <c r="AQ5597" s="1"/>
      <c r="AR5597" s="1"/>
      <c r="AS5597" s="1"/>
      <c r="AT5597" s="1"/>
      <c r="AU5597" s="1"/>
      <c r="AV5597" s="1"/>
      <c r="AW5597" s="1"/>
      <c r="AX5597" s="1"/>
      <c r="AY5597" s="1"/>
      <c r="AZ5597" s="1"/>
      <c r="BA5597" s="1"/>
      <c r="BB5597" s="1"/>
    </row>
    <row r="5598" ht="204.75" customHeight="1">
      <c r="A5598" s="1">
        <v>3722.0</v>
      </c>
      <c r="B5598" s="2" t="s">
        <v>15338</v>
      </c>
      <c r="C5598" s="2">
        <f>IFERROR(__xludf.DUMMYFUNCTION("split(B5598,""_"")"),1207.0)</f>
        <v>1207</v>
      </c>
      <c r="D5598" s="2" t="str">
        <f>IFERROR(__xludf.DUMMYFUNCTION("""COMPUTED_VALUE"""),"TBS")</f>
        <v>TBS</v>
      </c>
      <c r="E5598" s="2" t="str">
        <f>IFERROR(__xludf.DUMMYFUNCTION("""COMPUTED_VALUE"""),"木21")</f>
        <v>木21</v>
      </c>
      <c r="F5598" s="2" t="s">
        <v>15339</v>
      </c>
      <c r="G5598" s="2" t="s">
        <v>15350</v>
      </c>
      <c r="H5598" s="1">
        <v>6.0</v>
      </c>
      <c r="J5598" s="1" t="s">
        <v>11</v>
      </c>
      <c r="K5598" s="2" t="s">
        <v>15351</v>
      </c>
      <c r="L5598" s="2"/>
      <c r="M5598" s="2" t="str">
        <f>IFERROR(__xludf.DUMMYFUNCTION("split(split(K5598,""【"",false),""公式LINE"",false)"),"幼い頃、白バイでマラソンの伴走をする警察官だった父の姿を見て育った志村徹平（藤ヶ谷太輔）は、マラソンランナーになる事が夢だったが、父親の失職・失踪と自身のケガをきっかけに自堕落な生活の一途をたどり、地元では名の知れた不良になってしまう。  そんな徹平が幼馴染の雄一の強い誘いも影響して、高校卒業後、なんと警察官になる道を選ぶ。  奇跡的に採用試験に合格した徹平はこの夏警察学校に入校することになるが…藤ヶ谷太輔（Kis-My-Ft2)  北山宏光（Kis-My-Ft2）  剛力彩芽  柄本時生  小柳友  石"&amp;"井智也  岡本あずさ  水沢エレナ  ・  森廉  青山倫子  河合美智子  松永玲子  伊達暁  森高愛  ・  鹿賀丈史（特別出演）  ・  堀内敬子  宮川一朗太  ・  国広富之  柳沢慎吾  石田ひかり  杉本哲太")</f>
        <v>幼い頃、白バイでマラソンの伴走をする警察官だった父の姿を見て育った志村徹平（藤ヶ谷太輔）は、マラソンランナーになる事が夢だったが、父親の失職・失踪と自身のケガをきっかけに自堕落な生活の一途をたどり、地元では名の知れた不良になってしまう。  そんな徹平が幼馴染の雄一の強い誘いも影響して、高校卒業後、なんと警察官になる道を選ぶ。  奇跡的に採用試験に合格した徹平はこの夏警察学校に入校することになるが…藤ヶ谷太輔（Kis-My-Ft2)  北山宏光（Kis-My-Ft2）  剛力彩芽  柄本時生  小柳友  石井智也  岡本あずさ  水沢エレナ  ・  森廉  青山倫子  河合美智子  松永玲子  伊達暁  森高愛  ・  鹿賀丈史（特別出演）  ・  堀内敬子  宮川一朗太  ・  国広富之  柳沢慎吾  石田ひかり  杉本哲太</v>
      </c>
      <c r="N5598" s="2"/>
      <c r="O5598" s="2"/>
      <c r="P5598" s="1"/>
      <c r="Q5598" s="1"/>
      <c r="R5598" s="1"/>
      <c r="S5598" s="1"/>
      <c r="T5598" s="1"/>
      <c r="U5598" s="1"/>
      <c r="V5598" s="1"/>
      <c r="W5598" s="1"/>
      <c r="X5598" s="1"/>
      <c r="Y5598" s="1"/>
      <c r="Z5598" s="1"/>
      <c r="AA5598" s="1"/>
      <c r="AB5598" s="1"/>
      <c r="AC5598" s="1"/>
      <c r="AD5598" s="1"/>
      <c r="AE5598" s="1"/>
      <c r="AF5598" s="1"/>
      <c r="AG5598" s="1"/>
      <c r="AH5598" s="1"/>
      <c r="AI5598" s="1"/>
      <c r="AJ5598" s="1"/>
      <c r="AK5598" s="1"/>
      <c r="AL5598" s="1"/>
      <c r="AM5598" s="1"/>
      <c r="AN5598" s="1"/>
      <c r="AO5598" s="1"/>
      <c r="AP5598" s="1"/>
      <c r="AQ5598" s="1"/>
      <c r="AR5598" s="1"/>
      <c r="AS5598" s="1"/>
      <c r="AT5598" s="1"/>
      <c r="AU5598" s="1"/>
      <c r="AV5598" s="1"/>
      <c r="AW5598" s="1"/>
      <c r="AX5598" s="1"/>
      <c r="AY5598" s="1"/>
      <c r="AZ5598" s="1"/>
      <c r="BA5598" s="1"/>
      <c r="BB5598" s="1"/>
    </row>
    <row r="5599" ht="204.75" customHeight="1">
      <c r="A5599" s="1">
        <v>3723.0</v>
      </c>
      <c r="B5599" s="2" t="s">
        <v>15338</v>
      </c>
      <c r="C5599" s="2">
        <f>IFERROR(__xludf.DUMMYFUNCTION("split(B5599,""_"")"),1207.0)</f>
        <v>1207</v>
      </c>
      <c r="D5599" s="2" t="str">
        <f>IFERROR(__xludf.DUMMYFUNCTION("""COMPUTED_VALUE"""),"TBS")</f>
        <v>TBS</v>
      </c>
      <c r="E5599" s="2" t="str">
        <f>IFERROR(__xludf.DUMMYFUNCTION("""COMPUTED_VALUE"""),"木21")</f>
        <v>木21</v>
      </c>
      <c r="F5599" s="2" t="s">
        <v>15339</v>
      </c>
      <c r="G5599" s="2" t="s">
        <v>15352</v>
      </c>
      <c r="H5599" s="1">
        <v>7.0</v>
      </c>
      <c r="J5599" s="1" t="s">
        <v>11</v>
      </c>
      <c r="K5599" s="2" t="s">
        <v>15353</v>
      </c>
      <c r="L5599" s="2"/>
      <c r="M5599" s="2" t="str">
        <f>IFERROR(__xludf.DUMMYFUNCTION("split(split(K5599,""【"",false),""公式LINE"",false)"),"24時間絶対服従！外出禁止！携帯没収！！恋愛禁止！！！  全寮制「神奈川県警察学校」を舞台に、おちこぼれ「Sクラス」に編入させられた若者たちが「警察官」になるべく、信じられない校則と、鬼のような教官たちによる訓練を潜り抜けて、10か月後の卒業を目指す！必死な彼らは、果たして無事に卒業することができるか！？藤ヶ谷太輔（Kis-My-Ft2)  北山宏光（Kis-My-Ft2）  剛力彩芽  柄本時生  小柳友  石井智也  岡本あずさ  水沢エレナ  ・  青山倫子  伊達暁  ・  鹿賀丈史（特別出演） "&amp;" ・  石田ひかり  杉本哲太")</f>
        <v>24時間絶対服従！外出禁止！携帯没収！！恋愛禁止！！！  全寮制「神奈川県警察学校」を舞台に、おちこぼれ「Sクラス」に編入させられた若者たちが「警察官」になるべく、信じられない校則と、鬼のような教官たちによる訓練を潜り抜けて、10か月後の卒業を目指す！必死な彼らは、果たして無事に卒業することができるか！？藤ヶ谷太輔（Kis-My-Ft2)  北山宏光（Kis-My-Ft2）  剛力彩芽  柄本時生  小柳友  石井智也  岡本あずさ  水沢エレナ  ・  青山倫子  伊達暁  ・  鹿賀丈史（特別出演）  ・  石田ひかり  杉本哲太</v>
      </c>
      <c r="N5599" s="2"/>
      <c r="O5599" s="2"/>
      <c r="P5599" s="1"/>
      <c r="Q5599" s="1"/>
      <c r="R5599" s="1"/>
      <c r="S5599" s="1"/>
      <c r="T5599" s="1"/>
      <c r="U5599" s="1"/>
      <c r="V5599" s="1"/>
      <c r="W5599" s="1"/>
      <c r="X5599" s="1"/>
      <c r="Y5599" s="1"/>
      <c r="Z5599" s="1"/>
      <c r="AA5599" s="1"/>
      <c r="AB5599" s="1"/>
      <c r="AC5599" s="1"/>
      <c r="AD5599" s="1"/>
      <c r="AE5599" s="1"/>
      <c r="AF5599" s="1"/>
      <c r="AG5599" s="1"/>
      <c r="AH5599" s="1"/>
      <c r="AI5599" s="1"/>
      <c r="AJ5599" s="1"/>
      <c r="AK5599" s="1"/>
      <c r="AL5599" s="1"/>
      <c r="AM5599" s="1"/>
      <c r="AN5599" s="1"/>
      <c r="AO5599" s="1"/>
      <c r="AP5599" s="1"/>
      <c r="AQ5599" s="1"/>
      <c r="AR5599" s="1"/>
      <c r="AS5599" s="1"/>
      <c r="AT5599" s="1"/>
      <c r="AU5599" s="1"/>
      <c r="AV5599" s="1"/>
      <c r="AW5599" s="1"/>
      <c r="AX5599" s="1"/>
      <c r="AY5599" s="1"/>
      <c r="AZ5599" s="1"/>
      <c r="BA5599" s="1"/>
      <c r="BB5599" s="1"/>
    </row>
    <row r="5600" ht="204.75" customHeight="1">
      <c r="A5600" s="1">
        <v>3724.0</v>
      </c>
      <c r="B5600" s="2" t="s">
        <v>15338</v>
      </c>
      <c r="C5600" s="2">
        <f>IFERROR(__xludf.DUMMYFUNCTION("split(B5600,""_"")"),1207.0)</f>
        <v>1207</v>
      </c>
      <c r="D5600" s="2" t="str">
        <f>IFERROR(__xludf.DUMMYFUNCTION("""COMPUTED_VALUE"""),"TBS")</f>
        <v>TBS</v>
      </c>
      <c r="E5600" s="2" t="str">
        <f>IFERROR(__xludf.DUMMYFUNCTION("""COMPUTED_VALUE"""),"木21")</f>
        <v>木21</v>
      </c>
      <c r="F5600" s="2" t="s">
        <v>15339</v>
      </c>
      <c r="G5600" s="2" t="s">
        <v>15354</v>
      </c>
      <c r="H5600" s="1">
        <v>8.0</v>
      </c>
      <c r="J5600" s="1" t="s">
        <v>11</v>
      </c>
      <c r="K5600" s="2" t="s">
        <v>15355</v>
      </c>
      <c r="L5600" s="2"/>
      <c r="M5600" s="2" t="str">
        <f>IFERROR(__xludf.DUMMYFUNCTION("split(split(K5600,""【"",false),""公式LINE"",false)"),"警察学校恒例の現場訓練が始まり、Sクラスの生徒のうち徹平（藤ヶ谷太輔）らは、犯罪発生率ゼロの離島への赴任を命じられてすっかりやる気をなくしていた。そんな中、島内の家々を荒らす空き巣事件が発生する。犯人逮捕を目指して初めての捜査に意欲を燃やす徹平たちに対し、比呂（剛力彩芽）は、捜査に参加するのをためらってしまう。そんな中、比呂は島に住む認知症の清子（岩本多代）が「空き巣に盗られた」と被害届を出すブローチの存在が気になり始める。その一方で、団司（北山宏光）や陽子（水沢エレナ）たちは犯罪発生率の高い繁華街への赴"&amp;"任を命じられ、日常的に犯罪が起きる現実を突きつけられる。志村徹平…藤ヶ谷太輔（Kis-My-Ft2)  立花団司…北山宏光（Kis-My-Ft2）　  桃江比呂…剛力彩芽  　　　　　○　  山根省吾…柄本時生　  杉山清貴…小柳友  石岡太一…石井智也　  新島千晶…岡本あずさ　  福原陽子…水沢エレナ  　　　　　○  高村光太郎…鹿賀丈史（特別出演）  　　　　　○  竜崎美咲…石田ひかり　  桜庭直樹…杉本哲太")</f>
        <v>警察学校恒例の現場訓練が始まり、Sクラスの生徒のうち徹平（藤ヶ谷太輔）らは、犯罪発生率ゼロの離島への赴任を命じられてすっかりやる気をなくしていた。そんな中、島内の家々を荒らす空き巣事件が発生する。犯人逮捕を目指して初めての捜査に意欲を燃やす徹平たちに対し、比呂（剛力彩芽）は、捜査に参加するのをためらってしまう。そんな中、比呂は島に住む認知症の清子（岩本多代）が「空き巣に盗られた」と被害届を出すブローチの存在が気になり始める。その一方で、団司（北山宏光）や陽子（水沢エレナ）たちは犯罪発生率の高い繁華街への赴任を命じられ、日常的に犯罪が起きる現実を突きつけられる。志村徹平…藤ヶ谷太輔（Kis-My-Ft2)  立花団司…北山宏光（Kis-My-Ft2）　  桃江比呂…剛力彩芽  　　　　　○　  山根省吾…柄本時生　  杉山清貴…小柳友  石岡太一…石井智也　  新島千晶…岡本あずさ　  福原陽子…水沢エレナ  　　　　　○  高村光太郎…鹿賀丈史（特別出演）  　　　　　○  竜崎美咲…石田ひかり　  桜庭直樹…杉本哲太</v>
      </c>
      <c r="N5600" s="2"/>
      <c r="O5600" s="2"/>
      <c r="P5600" s="1"/>
      <c r="Q5600" s="1"/>
      <c r="R5600" s="1"/>
      <c r="S5600" s="1"/>
      <c r="T5600" s="1"/>
      <c r="U5600" s="1"/>
      <c r="V5600" s="1"/>
      <c r="W5600" s="1"/>
      <c r="X5600" s="1"/>
      <c r="Y5600" s="1"/>
      <c r="Z5600" s="1"/>
      <c r="AA5600" s="1"/>
      <c r="AB5600" s="1"/>
      <c r="AC5600" s="1"/>
      <c r="AD5600" s="1"/>
      <c r="AE5600" s="1"/>
      <c r="AF5600" s="1"/>
      <c r="AG5600" s="1"/>
      <c r="AH5600" s="1"/>
      <c r="AI5600" s="1"/>
      <c r="AJ5600" s="1"/>
      <c r="AK5600" s="1"/>
      <c r="AL5600" s="1"/>
      <c r="AM5600" s="1"/>
      <c r="AN5600" s="1"/>
      <c r="AO5600" s="1"/>
      <c r="AP5600" s="1"/>
      <c r="AQ5600" s="1"/>
      <c r="AR5600" s="1"/>
      <c r="AS5600" s="1"/>
      <c r="AT5600" s="1"/>
      <c r="AU5600" s="1"/>
      <c r="AV5600" s="1"/>
      <c r="AW5600" s="1"/>
      <c r="AX5600" s="1"/>
      <c r="AY5600" s="1"/>
      <c r="AZ5600" s="1"/>
      <c r="BA5600" s="1"/>
      <c r="BB5600" s="1"/>
    </row>
    <row r="5601" ht="204.75" customHeight="1">
      <c r="A5601" s="1">
        <v>3725.0</v>
      </c>
      <c r="B5601" s="2" t="s">
        <v>15338</v>
      </c>
      <c r="C5601" s="2">
        <f>IFERROR(__xludf.DUMMYFUNCTION("split(B5601,""_"")"),1207.0)</f>
        <v>1207</v>
      </c>
      <c r="D5601" s="2" t="str">
        <f>IFERROR(__xludf.DUMMYFUNCTION("""COMPUTED_VALUE"""),"TBS")</f>
        <v>TBS</v>
      </c>
      <c r="E5601" s="2" t="str">
        <f>IFERROR(__xludf.DUMMYFUNCTION("""COMPUTED_VALUE"""),"木21")</f>
        <v>木21</v>
      </c>
      <c r="F5601" s="2" t="s">
        <v>15339</v>
      </c>
      <c r="G5601" s="2" t="s">
        <v>15356</v>
      </c>
      <c r="H5601" s="1">
        <v>9.0</v>
      </c>
      <c r="J5601" s="1" t="s">
        <v>11</v>
      </c>
      <c r="K5601" s="2" t="s">
        <v>15357</v>
      </c>
      <c r="L5601" s="2"/>
      <c r="M5601" s="2" t="str">
        <f>IFERROR(__xludf.DUMMYFUNCTION("split(split(K5601,""【"",false),""公式LINE"",false)"),"その一方で、桜庭教場の杉山（小柳友）は実家の父親が倒れたという連絡を受けて実家へ帰ろうとする。  その容態が自分が思うよりも良くないことを知った杉山は、実家の家業を継ぐために警察学校を辞める事を決意する。  その辞意を事前に報告を受けた徹平は、杉山が辞めることを止められずにいた。  そして杉山が辞める日の朝を迎えるも、徹平は…。藤ヶ谷太輔（Kis-My-Ft2)　北山宏光（Kis-My-Ft2）　剛力彩芽　柄本時生　小柳友  石井智也　岡本あずさ　水沢エレナ  ・  鹿賀丈史（特別出演）  ・  石田ひか"&amp;"り　杉本哲太")</f>
        <v>その一方で、桜庭教場の杉山（小柳友）は実家の父親が倒れたという連絡を受けて実家へ帰ろうとする。  その容態が自分が思うよりも良くないことを知った杉山は、実家の家業を継ぐために警察学校を辞める事を決意する。  その辞意を事前に報告を受けた徹平は、杉山が辞めることを止められずにいた。  そして杉山が辞める日の朝を迎えるも、徹平は…。藤ヶ谷太輔（Kis-My-Ft2)　北山宏光（Kis-My-Ft2）　剛力彩芽　柄本時生　小柳友  石井智也　岡本あずさ　水沢エレナ  ・  鹿賀丈史（特別出演）  ・  石田ひかり　杉本哲太</v>
      </c>
      <c r="N5601" s="2"/>
      <c r="O5601" s="2"/>
      <c r="P5601" s="1"/>
      <c r="Q5601" s="1"/>
      <c r="R5601" s="1"/>
      <c r="S5601" s="1"/>
      <c r="T5601" s="1"/>
      <c r="U5601" s="1"/>
      <c r="V5601" s="1"/>
      <c r="W5601" s="1"/>
      <c r="X5601" s="1"/>
      <c r="Y5601" s="1"/>
      <c r="Z5601" s="1"/>
      <c r="AA5601" s="1"/>
      <c r="AB5601" s="1"/>
      <c r="AC5601" s="1"/>
      <c r="AD5601" s="1"/>
      <c r="AE5601" s="1"/>
      <c r="AF5601" s="1"/>
      <c r="AG5601" s="1"/>
      <c r="AH5601" s="1"/>
      <c r="AI5601" s="1"/>
      <c r="AJ5601" s="1"/>
      <c r="AK5601" s="1"/>
      <c r="AL5601" s="1"/>
      <c r="AM5601" s="1"/>
      <c r="AN5601" s="1"/>
      <c r="AO5601" s="1"/>
      <c r="AP5601" s="1"/>
      <c r="AQ5601" s="1"/>
      <c r="AR5601" s="1"/>
      <c r="AS5601" s="1"/>
      <c r="AT5601" s="1"/>
      <c r="AU5601" s="1"/>
      <c r="AV5601" s="1"/>
      <c r="AW5601" s="1"/>
      <c r="AX5601" s="1"/>
      <c r="AY5601" s="1"/>
      <c r="AZ5601" s="1"/>
      <c r="BA5601" s="1"/>
      <c r="BB5601" s="1"/>
    </row>
    <row r="5602" ht="204.75" customHeight="1">
      <c r="A5602" s="1">
        <v>3726.0</v>
      </c>
      <c r="B5602" s="2" t="s">
        <v>15338</v>
      </c>
      <c r="C5602" s="2">
        <f>IFERROR(__xludf.DUMMYFUNCTION("split(B5602,""_"")"),1207.0)</f>
        <v>1207</v>
      </c>
      <c r="D5602" s="2" t="str">
        <f>IFERROR(__xludf.DUMMYFUNCTION("""COMPUTED_VALUE"""),"TBS")</f>
        <v>TBS</v>
      </c>
      <c r="E5602" s="2" t="str">
        <f>IFERROR(__xludf.DUMMYFUNCTION("""COMPUTED_VALUE"""),"木21")</f>
        <v>木21</v>
      </c>
      <c r="F5602" s="2" t="s">
        <v>15339</v>
      </c>
      <c r="G5602" s="2" t="s">
        <v>15358</v>
      </c>
      <c r="H5602" s="1">
        <v>10.0</v>
      </c>
      <c r="J5602" s="1" t="s">
        <v>11</v>
      </c>
      <c r="K5602" s="2" t="s">
        <v>15359</v>
      </c>
      <c r="L5602" s="2"/>
      <c r="M5602" s="2" t="str">
        <f>IFERROR(__xludf.DUMMYFUNCTION("split(split(K5602,""【"",false),""公式LINE"",false)"),"いよいよマラソン大会当日、警察学校を出る徹平を送る仲間の姿はなかった。たった一人でマラソン大会に出場しようとしていたのだが…。志村徹平…藤ヶ谷太輔（Kis-My-Ft2)  立花団司…北山宏光（Kis-My-Ft2）  桃江比呂…剛力彩芽  　　　　　○　  山根省吾…柄本時生  杉山清貴…小柳友  石岡太一…石井智也  恩田雄一…森　廉  新島千晶…岡本あずさ  福原陽子…水沢エレナ  　　　　　○  高村光太郎…鹿賀丈史（特別出演）  　　　　　○  竜崎美咲…石田ひかり  桜庭直樹…杉本哲太")</f>
        <v>いよいよマラソン大会当日、警察学校を出る徹平を送る仲間の姿はなかった。たった一人でマラソン大会に出場しようとしていたのだが…。志村徹平…藤ヶ谷太輔（Kis-My-Ft2)  立花団司…北山宏光（Kis-My-Ft2）  桃江比呂…剛力彩芽  　　　　　○　  山根省吾…柄本時生  杉山清貴…小柳友  石岡太一…石井智也  恩田雄一…森　廉  新島千晶…岡本あずさ  福原陽子…水沢エレナ  　　　　　○  高村光太郎…鹿賀丈史（特別出演）  　　　　　○  竜崎美咲…石田ひかり  桜庭直樹…杉本哲太</v>
      </c>
      <c r="N5602" s="2"/>
      <c r="O5602" s="2"/>
      <c r="P5602" s="1"/>
      <c r="Q5602" s="1"/>
      <c r="R5602" s="1"/>
      <c r="S5602" s="1"/>
      <c r="T5602" s="1"/>
      <c r="U5602" s="1"/>
      <c r="V5602" s="1"/>
      <c r="W5602" s="1"/>
      <c r="X5602" s="1"/>
      <c r="Y5602" s="1"/>
      <c r="Z5602" s="1"/>
      <c r="AA5602" s="1"/>
      <c r="AB5602" s="1"/>
      <c r="AC5602" s="1"/>
      <c r="AD5602" s="1"/>
      <c r="AE5602" s="1"/>
      <c r="AF5602" s="1"/>
      <c r="AG5602" s="1"/>
      <c r="AH5602" s="1"/>
      <c r="AI5602" s="1"/>
      <c r="AJ5602" s="1"/>
      <c r="AK5602" s="1"/>
      <c r="AL5602" s="1"/>
      <c r="AM5602" s="1"/>
      <c r="AN5602" s="1"/>
      <c r="AO5602" s="1"/>
      <c r="AP5602" s="1"/>
      <c r="AQ5602" s="1"/>
      <c r="AR5602" s="1"/>
      <c r="AS5602" s="1"/>
      <c r="AT5602" s="1"/>
      <c r="AU5602" s="1"/>
      <c r="AV5602" s="1"/>
      <c r="AW5602" s="1"/>
      <c r="AX5602" s="1"/>
      <c r="AY5602" s="1"/>
      <c r="AZ5602" s="1"/>
      <c r="BA5602" s="1"/>
      <c r="BB5602" s="1"/>
    </row>
    <row r="5603" ht="204.75" customHeight="1">
      <c r="A5603" s="1">
        <v>3748.0</v>
      </c>
      <c r="B5603" s="2" t="s">
        <v>15360</v>
      </c>
      <c r="C5603" s="2">
        <f>IFERROR(__xludf.DUMMYFUNCTION("split(B5603,""_"")"),1207.0)</f>
        <v>1207</v>
      </c>
      <c r="D5603" s="2" t="str">
        <f>IFERROR(__xludf.DUMMYFUNCTION("""COMPUTED_VALUE"""),"TBS")</f>
        <v>TBS</v>
      </c>
      <c r="E5603" s="2" t="str">
        <f>IFERROR(__xludf.DUMMYFUNCTION("""COMPUTED_VALUE"""),"金22")</f>
        <v>金22</v>
      </c>
      <c r="F5603" s="2" t="s">
        <v>15361</v>
      </c>
      <c r="G5603" s="2" t="s">
        <v>15362</v>
      </c>
      <c r="H5603" s="1">
        <v>1.0</v>
      </c>
      <c r="J5603" s="1" t="s">
        <v>82</v>
      </c>
      <c r="K5603" s="2" t="s">
        <v>15363</v>
      </c>
      <c r="L5603" s="2"/>
      <c r="M5603" s="2" t="str">
        <f>IFERROR(__xludf.DUMMYFUNCTION("split(split(K5603,""【"",false),""公式LINE"",false)"),"必殺仕置人の教師版がついに登場！都立の名門、國文館高校の生物教師、高倉夕子（榮倉奈々）は、脱法ハーブの売人、達也（早乙女太一）の罠にハマった教え子、リオ（竹富聖花）の救出と引き換えに大金を要求する。夕子の考えに憤りを感じた新任教師の遥（木村文乃）は単身、リオを救出に向かうが、失敗。お金を受け取った夕子は、古典教師・すみれ（市川実日子）、美術教師・彩（小林聡美）と3人で、リオの救出に向かう。榮倉奈々  ○  松村北斗  千葉雄大  大野いと  西井幸人  土屋太鳳  山崎賢人  竹富聖花  広瀬アリス  太"&amp;"賀  杉咲花  藤原令子  上遠野太洸  中条あやみ  ○  早乙女太一  ○  木村文乃  トリンドル怜奈  モロ師岡  鈴木亮平  駿河太郎  光石研  市川実日子  ○  南果歩  ○  小林聡美UVERworld 　「THE　OVER」  ")</f>
        <v>必殺仕置人の教師版がついに登場！都立の名門、國文館高校の生物教師、高倉夕子（榮倉奈々）は、脱法ハーブの売人、達也（早乙女太一）の罠にハマった教え子、リオ（竹富聖花）の救出と引き換えに大金を要求する。夕子の考えに憤りを感じた新任教師の遥（木村文乃）は単身、リオを救出に向かうが、失敗。お金を受け取った夕子は、古典教師・すみれ（市川実日子）、美術教師・彩（小林聡美）と3人で、リオの救出に向かう。榮倉奈々  ○  松村北斗  千葉雄大  大野いと  西井幸人  土屋太鳳  山崎賢人  竹富聖花  広瀬アリス  太賀  杉咲花  藤原令子  上遠野太洸  中条あやみ  ○  早乙女太一  ○  木村文乃  トリンドル怜奈  モロ師岡  鈴木亮平  駿河太郎  光石研  市川実日子  ○  南果歩  ○  小林聡美UVERworld 　「THE　OVER」  </v>
      </c>
      <c r="N5603" s="2"/>
      <c r="O5603" s="2"/>
      <c r="P5603" s="1"/>
      <c r="Q5603" s="1"/>
      <c r="R5603" s="1"/>
      <c r="S5603" s="1"/>
      <c r="T5603" s="1"/>
      <c r="U5603" s="1"/>
      <c r="V5603" s="1"/>
      <c r="W5603" s="1"/>
      <c r="X5603" s="1"/>
      <c r="Y5603" s="1"/>
      <c r="Z5603" s="1"/>
      <c r="AA5603" s="1"/>
      <c r="AB5603" s="1"/>
      <c r="AC5603" s="1"/>
      <c r="AD5603" s="1"/>
      <c r="AE5603" s="1"/>
      <c r="AF5603" s="1"/>
      <c r="AG5603" s="1"/>
      <c r="AH5603" s="1"/>
      <c r="AI5603" s="1"/>
      <c r="AJ5603" s="1"/>
      <c r="AK5603" s="1"/>
      <c r="AL5603" s="1"/>
      <c r="AM5603" s="1"/>
      <c r="AN5603" s="1"/>
      <c r="AO5603" s="1"/>
      <c r="AP5603" s="1"/>
      <c r="AQ5603" s="1"/>
      <c r="AR5603" s="1"/>
      <c r="AS5603" s="1"/>
      <c r="AT5603" s="1"/>
      <c r="AU5603" s="1"/>
      <c r="AV5603" s="1"/>
      <c r="AW5603" s="1"/>
      <c r="AX5603" s="1"/>
      <c r="AY5603" s="1"/>
      <c r="AZ5603" s="1"/>
      <c r="BA5603" s="1"/>
      <c r="BB5603" s="1"/>
    </row>
    <row r="5604" ht="204.75" customHeight="1">
      <c r="A5604" s="1">
        <v>3749.0</v>
      </c>
      <c r="B5604" s="2" t="s">
        <v>15360</v>
      </c>
      <c r="C5604" s="2">
        <f>IFERROR(__xludf.DUMMYFUNCTION("split(B5604,""_"")"),1207.0)</f>
        <v>1207</v>
      </c>
      <c r="D5604" s="2" t="str">
        <f>IFERROR(__xludf.DUMMYFUNCTION("""COMPUTED_VALUE"""),"TBS")</f>
        <v>TBS</v>
      </c>
      <c r="E5604" s="2" t="str">
        <f>IFERROR(__xludf.DUMMYFUNCTION("""COMPUTED_VALUE"""),"金22")</f>
        <v>金22</v>
      </c>
      <c r="F5604" s="2" t="s">
        <v>15361</v>
      </c>
      <c r="G5604" s="2" t="s">
        <v>15364</v>
      </c>
      <c r="H5604" s="1">
        <v>2.0</v>
      </c>
      <c r="J5604" s="1" t="s">
        <v>86</v>
      </c>
      <c r="K5604" s="2" t="s">
        <v>15365</v>
      </c>
      <c r="L5604" s="2"/>
      <c r="M5604" s="2" t="str">
        <f>IFERROR(__xludf.DUMMYFUNCTION("split(split(K5604,""【"",false),""公式LINE"",false)"),"驚愕の「必殺!学園ドラマ」がついに登場！名門高校の生物教師、高倉夕子（榮倉奈々）は、教え子、下村明日香（大野いと）を退学へと追いやった人物が、エリート教師として人気の及川（柏原収史）であることを突き止める。「禁断の交際」を隠蔽するため、明日香にストーカーの濡れ衣を着せて保身を計る及川。夕子は大金と引き換えに復讐を請け負い、彩（小林聡美）、すみれ（市川実日子）とともに、悪徳教師の成敗に乗り出す。榮倉奈々  ○  松村北斗  千葉雄大  大野いと  西井幸人  土屋太鳳  山崎賢人  竹富聖花  広瀬アリス "&amp;" 太賀  杉咲花  藤原令子  上遠野太洸  中条あやみ  ○  柏原収史  原田夏希  加納竜  ○  木村文乃  トリンドル怜奈  モロ師岡  鈴木亮平  駿河太郎  光石研  市川実日子  ○  南果歩  ○  小林聡美UVERworld 　「THE　OVER」  ")</f>
        <v>驚愕の「必殺!学園ドラマ」がついに登場！名門高校の生物教師、高倉夕子（榮倉奈々）は、教え子、下村明日香（大野いと）を退学へと追いやった人物が、エリート教師として人気の及川（柏原収史）であることを突き止める。「禁断の交際」を隠蔽するため、明日香にストーカーの濡れ衣を着せて保身を計る及川。夕子は大金と引き換えに復讐を請け負い、彩（小林聡美）、すみれ（市川実日子）とともに、悪徳教師の成敗に乗り出す。榮倉奈々  ○  松村北斗  千葉雄大  大野いと  西井幸人  土屋太鳳  山崎賢人  竹富聖花  広瀬アリス  太賀  杉咲花  藤原令子  上遠野太洸  中条あやみ  ○  柏原収史  原田夏希  加納竜  ○  木村文乃  トリンドル怜奈  モロ師岡  鈴木亮平  駿河太郎  光石研  市川実日子  ○  南果歩  ○  小林聡美UVERworld 　「THE　OVER」  </v>
      </c>
      <c r="N5604" s="2"/>
      <c r="O5604" s="2"/>
      <c r="P5604" s="1"/>
      <c r="Q5604" s="1"/>
      <c r="R5604" s="1"/>
      <c r="S5604" s="1"/>
      <c r="T5604" s="1"/>
      <c r="U5604" s="1"/>
      <c r="V5604" s="1"/>
      <c r="W5604" s="1"/>
      <c r="X5604" s="1"/>
      <c r="Y5604" s="1"/>
      <c r="Z5604" s="1"/>
      <c r="AA5604" s="1"/>
      <c r="AB5604" s="1"/>
      <c r="AC5604" s="1"/>
      <c r="AD5604" s="1"/>
      <c r="AE5604" s="1"/>
      <c r="AF5604" s="1"/>
      <c r="AG5604" s="1"/>
      <c r="AH5604" s="1"/>
      <c r="AI5604" s="1"/>
      <c r="AJ5604" s="1"/>
      <c r="AK5604" s="1"/>
      <c r="AL5604" s="1"/>
      <c r="AM5604" s="1"/>
      <c r="AN5604" s="1"/>
      <c r="AO5604" s="1"/>
      <c r="AP5604" s="1"/>
      <c r="AQ5604" s="1"/>
      <c r="AR5604" s="1"/>
      <c r="AS5604" s="1"/>
      <c r="AT5604" s="1"/>
      <c r="AU5604" s="1"/>
      <c r="AV5604" s="1"/>
      <c r="AW5604" s="1"/>
      <c r="AX5604" s="1"/>
      <c r="AY5604" s="1"/>
      <c r="AZ5604" s="1"/>
      <c r="BA5604" s="1"/>
      <c r="BB5604" s="1"/>
    </row>
    <row r="5605" ht="204.75" customHeight="1">
      <c r="A5605" s="1">
        <v>3750.0</v>
      </c>
      <c r="B5605" s="2" t="s">
        <v>15360</v>
      </c>
      <c r="C5605" s="2">
        <f>IFERROR(__xludf.DUMMYFUNCTION("split(B5605,""_"")"),1207.0)</f>
        <v>1207</v>
      </c>
      <c r="D5605" s="2" t="str">
        <f>IFERROR(__xludf.DUMMYFUNCTION("""COMPUTED_VALUE"""),"TBS")</f>
        <v>TBS</v>
      </c>
      <c r="E5605" s="2" t="str">
        <f>IFERROR(__xludf.DUMMYFUNCTION("""COMPUTED_VALUE"""),"金22")</f>
        <v>金22</v>
      </c>
      <c r="F5605" s="2" t="s">
        <v>15361</v>
      </c>
      <c r="G5605" s="2" t="s">
        <v>15366</v>
      </c>
      <c r="H5605" s="1">
        <v>3.0</v>
      </c>
      <c r="J5605" s="1" t="s">
        <v>86</v>
      </c>
      <c r="K5605" s="2" t="s">
        <v>15367</v>
      </c>
      <c r="L5605" s="2"/>
      <c r="M5605" s="2" t="str">
        <f>IFERROR(__xludf.DUMMYFUNCTION("split(split(K5605,""【"",false),""公式LINE"",false)"),"「必殺!学園ドラマ」～今夜も「愚か者！」が炸裂する!!高倉夕子（榮倉奈々）は、学園ナンバーワンの秀才、杉本順平（西井幸人）が痴漢の濡れ絹を着せられ、脅迫されていることを知る。順平を脅したのは、女子高校生の杏と莉子。二人は痴漢詐欺グループを結成し、男性たちから金品を巻き上げる常習犯だった。夕子は、教師仲間の藤井彩（小林聡美）、内田すみれ（市川実日子）らとともに痴漢詐欺グループの成敗に乗り出す。榮倉奈々  ○  松村北斗  千葉雄大  大野いと  西井幸人  土屋太鳳  山崎賢人  竹富聖花  広瀬アリス  "&amp;"太賀  杉咲花  藤原令子  上遠野太洸  中条あやみ  ○  工藤綾乃  西野実見  ○  木村文乃  トリンドル怜奈  モロ師岡  鈴木亮平  駿河太郎  光石研  市川実日子  ○  南果歩  ○  小林聡美UVERworld 　「THE　OVER」  ")</f>
        <v>「必殺!学園ドラマ」～今夜も「愚か者！」が炸裂する!!高倉夕子（榮倉奈々）は、学園ナンバーワンの秀才、杉本順平（西井幸人）が痴漢の濡れ絹を着せられ、脅迫されていることを知る。順平を脅したのは、女子高校生の杏と莉子。二人は痴漢詐欺グループを結成し、男性たちから金品を巻き上げる常習犯だった。夕子は、教師仲間の藤井彩（小林聡美）、内田すみれ（市川実日子）らとともに痴漢詐欺グループの成敗に乗り出す。榮倉奈々  ○  松村北斗  千葉雄大  大野いと  西井幸人  土屋太鳳  山崎賢人  竹富聖花  広瀬アリス  太賀  杉咲花  藤原令子  上遠野太洸  中条あやみ  ○  工藤綾乃  西野実見  ○  木村文乃  トリンドル怜奈  モロ師岡  鈴木亮平  駿河太郎  光石研  市川実日子  ○  南果歩  ○  小林聡美UVERworld 　「THE　OVER」  </v>
      </c>
      <c r="N5605" s="2"/>
      <c r="O5605" s="2"/>
      <c r="P5605" s="1"/>
      <c r="Q5605" s="1"/>
      <c r="R5605" s="1"/>
      <c r="S5605" s="1"/>
      <c r="T5605" s="1"/>
      <c r="U5605" s="1"/>
      <c r="V5605" s="1"/>
      <c r="W5605" s="1"/>
      <c r="X5605" s="1"/>
      <c r="Y5605" s="1"/>
      <c r="Z5605" s="1"/>
      <c r="AA5605" s="1"/>
      <c r="AB5605" s="1"/>
      <c r="AC5605" s="1"/>
      <c r="AD5605" s="1"/>
      <c r="AE5605" s="1"/>
      <c r="AF5605" s="1"/>
      <c r="AG5605" s="1"/>
      <c r="AH5605" s="1"/>
      <c r="AI5605" s="1"/>
      <c r="AJ5605" s="1"/>
      <c r="AK5605" s="1"/>
      <c r="AL5605" s="1"/>
      <c r="AM5605" s="1"/>
      <c r="AN5605" s="1"/>
      <c r="AO5605" s="1"/>
      <c r="AP5605" s="1"/>
      <c r="AQ5605" s="1"/>
      <c r="AR5605" s="1"/>
      <c r="AS5605" s="1"/>
      <c r="AT5605" s="1"/>
      <c r="AU5605" s="1"/>
      <c r="AV5605" s="1"/>
      <c r="AW5605" s="1"/>
      <c r="AX5605" s="1"/>
      <c r="AY5605" s="1"/>
      <c r="AZ5605" s="1"/>
      <c r="BA5605" s="1"/>
      <c r="BB5605" s="1"/>
    </row>
    <row r="5606" ht="204.75" customHeight="1">
      <c r="A5606" s="1">
        <v>3751.0</v>
      </c>
      <c r="B5606" s="2" t="s">
        <v>15360</v>
      </c>
      <c r="C5606" s="2">
        <f>IFERROR(__xludf.DUMMYFUNCTION("split(B5606,""_"")"),1207.0)</f>
        <v>1207</v>
      </c>
      <c r="D5606" s="2" t="str">
        <f>IFERROR(__xludf.DUMMYFUNCTION("""COMPUTED_VALUE"""),"TBS")</f>
        <v>TBS</v>
      </c>
      <c r="E5606" s="2" t="str">
        <f>IFERROR(__xludf.DUMMYFUNCTION("""COMPUTED_VALUE"""),"金22")</f>
        <v>金22</v>
      </c>
      <c r="F5606" s="2" t="s">
        <v>15361</v>
      </c>
      <c r="G5606" s="2" t="s">
        <v>15368</v>
      </c>
      <c r="H5606" s="1">
        <v>4.0</v>
      </c>
      <c r="J5606" s="1" t="s">
        <v>86</v>
      </c>
      <c r="K5606" s="2" t="s">
        <v>15369</v>
      </c>
      <c r="L5606" s="2"/>
      <c r="M5606" s="2" t="str">
        <f>IFERROR(__xludf.DUMMYFUNCTION("split(split(K5606,""【"",false),""公式LINE"",false)"),"「必殺！学園ドラマ」～今夜も「愚か者！」が炸裂する!!バレー部のエース、安田俊介（山崎賢人）の母、PTA会長の留美子（キムラ緑子）は、学園を私物化するモンスターマザー。息子に代わってエースの座を勝ち取った友人を逆恨みし、実家を倒産に追い込もうと画策する。母親と仲間の間で揺れる俊介。それを知った夕子は、教師仲間の藤井彩（小林聡美）、内田すみれ（市川実日子）らとともに、留美子の成敗に乗り出す。榮倉奈々  ○  松村北斗  千葉雄大  大野いと  西井幸人  土屋太鳳  山崎賢人  竹富聖花  広瀬アリス  太"&amp;"賀  杉咲花  藤原令子  上遠野太洸  中条あやみ  ○  キムラ緑子  神保悟志  ○  木村文乃  トリンドル怜奈  モロ師岡  鈴木亮平  駿河太郎  光石研  市川実日子  ○  南果歩  ○  小林聡美UVERworld 　「THE　OVER」  ")</f>
        <v>「必殺！学園ドラマ」～今夜も「愚か者！」が炸裂する!!バレー部のエース、安田俊介（山崎賢人）の母、PTA会長の留美子（キムラ緑子）は、学園を私物化するモンスターマザー。息子に代わってエースの座を勝ち取った友人を逆恨みし、実家を倒産に追い込もうと画策する。母親と仲間の間で揺れる俊介。それを知った夕子は、教師仲間の藤井彩（小林聡美）、内田すみれ（市川実日子）らとともに、留美子の成敗に乗り出す。榮倉奈々  ○  松村北斗  千葉雄大  大野いと  西井幸人  土屋太鳳  山崎賢人  竹富聖花  広瀬アリス  太賀  杉咲花  藤原令子  上遠野太洸  中条あやみ  ○  キムラ緑子  神保悟志  ○  木村文乃  トリンドル怜奈  モロ師岡  鈴木亮平  駿河太郎  光石研  市川実日子  ○  南果歩  ○  小林聡美UVERworld 　「THE　OVER」  </v>
      </c>
      <c r="N5606" s="2"/>
      <c r="O5606" s="2"/>
      <c r="P5606" s="1"/>
      <c r="Q5606" s="1"/>
      <c r="R5606" s="1"/>
      <c r="S5606" s="1"/>
      <c r="T5606" s="1"/>
      <c r="U5606" s="1"/>
      <c r="V5606" s="1"/>
      <c r="W5606" s="1"/>
      <c r="X5606" s="1"/>
      <c r="Y5606" s="1"/>
      <c r="Z5606" s="1"/>
      <c r="AA5606" s="1"/>
      <c r="AB5606" s="1"/>
      <c r="AC5606" s="1"/>
      <c r="AD5606" s="1"/>
      <c r="AE5606" s="1"/>
      <c r="AF5606" s="1"/>
      <c r="AG5606" s="1"/>
      <c r="AH5606" s="1"/>
      <c r="AI5606" s="1"/>
      <c r="AJ5606" s="1"/>
      <c r="AK5606" s="1"/>
      <c r="AL5606" s="1"/>
      <c r="AM5606" s="1"/>
      <c r="AN5606" s="1"/>
      <c r="AO5606" s="1"/>
      <c r="AP5606" s="1"/>
      <c r="AQ5606" s="1"/>
      <c r="AR5606" s="1"/>
      <c r="AS5606" s="1"/>
      <c r="AT5606" s="1"/>
      <c r="AU5606" s="1"/>
      <c r="AV5606" s="1"/>
      <c r="AW5606" s="1"/>
      <c r="AX5606" s="1"/>
      <c r="AY5606" s="1"/>
      <c r="AZ5606" s="1"/>
      <c r="BA5606" s="1"/>
      <c r="BB5606" s="1"/>
    </row>
    <row r="5607" ht="204.75" customHeight="1">
      <c r="A5607" s="1">
        <v>3752.0</v>
      </c>
      <c r="B5607" s="2" t="s">
        <v>15360</v>
      </c>
      <c r="C5607" s="2">
        <f>IFERROR(__xludf.DUMMYFUNCTION("split(B5607,""_"")"),1207.0)</f>
        <v>1207</v>
      </c>
      <c r="D5607" s="2" t="str">
        <f>IFERROR(__xludf.DUMMYFUNCTION("""COMPUTED_VALUE"""),"TBS")</f>
        <v>TBS</v>
      </c>
      <c r="E5607" s="2" t="str">
        <f>IFERROR(__xludf.DUMMYFUNCTION("""COMPUTED_VALUE"""),"金22")</f>
        <v>金22</v>
      </c>
      <c r="F5607" s="2" t="s">
        <v>15361</v>
      </c>
      <c r="G5607" s="2" t="s">
        <v>15370</v>
      </c>
      <c r="H5607" s="1">
        <v>5.0</v>
      </c>
      <c r="J5607" s="1" t="s">
        <v>86</v>
      </c>
      <c r="K5607" s="2" t="s">
        <v>15371</v>
      </c>
      <c r="L5607" s="2"/>
      <c r="M5607" s="2" t="str">
        <f>IFERROR(__xludf.DUMMYFUNCTION("split(split(K5607,""【"",false),""公式LINE"",false)"),"「愚か者！」今夜は悪徳ガールズバーを成敗！大反響「必殺!学園ドラマ!!」　ガールズバーでバイトをしていた松本栞（土屋太凰）は、経営者の河合（加藤虎ノ助）に脅され、売春を強要される。異変に気付いたクラスメイトの聡（上遠野太洸）が単身救出に乗り込むが失敗。教え子の危機を知った高倉夕子（榮倉奈々）は、教師仲間の藤井彩（小林聡美）、内田すみれ（市川実日子）と、風俗店の悪徳経営者、河合の成敗に乗り出す。榮倉奈々  ○  松村北斗  千葉雄大  大野いと  西井幸人  土屋太鳳  山崎賢人  竹富聖花  広瀬アリス "&amp;" 太賀  杉咲花  藤原令子  上遠野太洸  中条あやみ  ○  加藤虎之助  ○  木村文乃  トリンドル怜奈  モロ師岡  鈴木亮平  駿河太郎  光石研  市川実日子  ○  南果歩  ○  小林聡美UVERworld 　「THE　OVER」  ◆原案　山下友弘（連ドラシナリオ大賞）　  ◆脚本　大林利江子　吉澤智子　池田奈津子  ◆音楽　出羽良彰  ◆音楽プロデュース　志田博英◆演出　岡本伸吾　石井康晴　川嶋龍太郎  ◆プロデュース　伊與田英徳http://www.tbs.co.jp/kuro-n"&amp;"o-onna/バレー部のエース、安田俊介（山崎賢人）の母、PTA会長の留美子（キムラ緑子）は、  新たにエースになった生徒の家を倒産に追い込み、息子がエースでないならとバレー部の都大会の出場を辞退させようと画策。それを知った俊介は、夕子に課外授業を依頼。夕子は留美子の悪事を暴露し、俊介は再びバレーを始めることに。  そしてトシオは、ある夜、夕子がずぶ濡れになり一軒の家の前に立っている様子をじっと眺めていた…。番組の内容と放送時間は変更になる場合があります。")</f>
        <v>「愚か者！」今夜は悪徳ガールズバーを成敗！大反響「必殺!学園ドラマ!!」　ガールズバーでバイトをしていた松本栞（土屋太凰）は、経営者の河合（加藤虎ノ助）に脅され、売春を強要される。異変に気付いたクラスメイトの聡（上遠野太洸）が単身救出に乗り込むが失敗。教え子の危機を知った高倉夕子（榮倉奈々）は、教師仲間の藤井彩（小林聡美）、内田すみれ（市川実日子）と、風俗店の悪徳経営者、河合の成敗に乗り出す。榮倉奈々  ○  松村北斗  千葉雄大  大野いと  西井幸人  土屋太鳳  山崎賢人  竹富聖花  広瀬アリス  太賀  杉咲花  藤原令子  上遠野太洸  中条あやみ  ○  加藤虎之助  ○  木村文乃  トリンドル怜奈  モロ師岡  鈴木亮平  駿河太郎  光石研  市川実日子  ○  南果歩  ○  小林聡美UVERworld 　「THE　OVER」  ◆原案　山下友弘（連ドラシナリオ大賞）　  ◆脚本　大林利江子　吉澤智子　池田奈津子  ◆音楽　出羽良彰  ◆音楽プロデュース　志田博英◆演出　岡本伸吾　石井康晴　川嶋龍太郎  ◆プロデュース　伊與田英徳http://www.tbs.co.jp/kuro-no-onna/バレー部のエース、安田俊介（山崎賢人）の母、PTA会長の留美子（キムラ緑子）は、  新たにエースになった生徒の家を倒産に追い込み、息子がエースでないならとバレー部の都大会の出場を辞退させようと画策。それを知った俊介は、夕子に課外授業を依頼。夕子は留美子の悪事を暴露し、俊介は再びバレーを始めることに。  そしてトシオは、ある夜、夕子がずぶ濡れになり一軒の家の前に立っている様子をじっと眺めていた…。番組の内容と放送時間は変更になる場合があります。</v>
      </c>
      <c r="N5607" s="2"/>
      <c r="O5607" s="2"/>
      <c r="P5607" s="1"/>
      <c r="Q5607" s="1"/>
      <c r="R5607" s="1"/>
      <c r="S5607" s="1"/>
      <c r="T5607" s="1"/>
      <c r="U5607" s="1"/>
      <c r="V5607" s="1"/>
      <c r="W5607" s="1"/>
      <c r="X5607" s="1"/>
      <c r="Y5607" s="1"/>
      <c r="Z5607" s="1"/>
      <c r="AA5607" s="1"/>
      <c r="AB5607" s="1"/>
      <c r="AC5607" s="1"/>
      <c r="AD5607" s="1"/>
      <c r="AE5607" s="1"/>
      <c r="AF5607" s="1"/>
      <c r="AG5607" s="1"/>
      <c r="AH5607" s="1"/>
      <c r="AI5607" s="1"/>
      <c r="AJ5607" s="1"/>
      <c r="AK5607" s="1"/>
      <c r="AL5607" s="1"/>
      <c r="AM5607" s="1"/>
      <c r="AN5607" s="1"/>
      <c r="AO5607" s="1"/>
      <c r="AP5607" s="1"/>
      <c r="AQ5607" s="1"/>
      <c r="AR5607" s="1"/>
      <c r="AS5607" s="1"/>
      <c r="AT5607" s="1"/>
      <c r="AU5607" s="1"/>
      <c r="AV5607" s="1"/>
      <c r="AW5607" s="1"/>
      <c r="AX5607" s="1"/>
      <c r="AY5607" s="1"/>
      <c r="AZ5607" s="1"/>
      <c r="BA5607" s="1"/>
      <c r="BB5607" s="1"/>
    </row>
    <row r="5608" ht="204.75" customHeight="1">
      <c r="A5608" s="1">
        <v>3753.0</v>
      </c>
      <c r="B5608" s="2" t="s">
        <v>15360</v>
      </c>
      <c r="C5608" s="2">
        <f>IFERROR(__xludf.DUMMYFUNCTION("split(B5608,""_"")"),1207.0)</f>
        <v>1207</v>
      </c>
      <c r="D5608" s="2" t="str">
        <f>IFERROR(__xludf.DUMMYFUNCTION("""COMPUTED_VALUE"""),"TBS")</f>
        <v>TBS</v>
      </c>
      <c r="E5608" s="2" t="str">
        <f>IFERROR(__xludf.DUMMYFUNCTION("""COMPUTED_VALUE"""),"金22")</f>
        <v>金22</v>
      </c>
      <c r="F5608" s="2" t="s">
        <v>15361</v>
      </c>
      <c r="G5608" s="2" t="s">
        <v>15372</v>
      </c>
      <c r="H5608" s="1">
        <v>6.0</v>
      </c>
      <c r="J5608" s="1" t="s">
        <v>86</v>
      </c>
      <c r="K5608" s="2" t="s">
        <v>15373</v>
      </c>
      <c r="L5608" s="2"/>
      <c r="M5608" s="2" t="str">
        <f>IFERROR(__xludf.DUMMYFUNCTION("split(split(K5608,""【"",false),""公式LINE"",false)"),"「愚か者！」極悪DV音大教授（杉田かおる）を成敗！「必殺!学園ドラマ!!」　ピアニストを夢見る三島恭子（藤原令子）は、音大教授の石川かなえ（杉田）に、自ら作曲した作品を盗作される。かなえはその曲を、娘の愛（小池里奈）が作ったものと偽り、愛は国際コンクールで受賞。恭子を絶望させる。事情を知った夕子（榮倉奈々）は、教師仲間の藤井彩（小林聡美）、内田すみれ（市川実日子）と、かなえの成敗に乗り出す。榮倉奈々  ○  松村北斗  千葉雄大  大野いと  西井幸人  土屋太鳳  山崎賢人  竹富聖花  広瀬アリス  "&amp;"太賀  杉咲花  藤原令子  上遠野太洸  中条あやみ  ○  杉田かおる  ○  小池里奈  ○  木村文乃  トリンドル怜奈  モロ師岡  鈴木亮平  駿河太郎  光石研  市川実日子  ○  南果歩  ○  小林聡美UVERworld 　「THE　OVER」  ")</f>
        <v>「愚か者！」極悪DV音大教授（杉田かおる）を成敗！「必殺!学園ドラマ!!」　ピアニストを夢見る三島恭子（藤原令子）は、音大教授の石川かなえ（杉田）に、自ら作曲した作品を盗作される。かなえはその曲を、娘の愛（小池里奈）が作ったものと偽り、愛は国際コンクールで受賞。恭子を絶望させる。事情を知った夕子（榮倉奈々）は、教師仲間の藤井彩（小林聡美）、内田すみれ（市川実日子）と、かなえの成敗に乗り出す。榮倉奈々  ○  松村北斗  千葉雄大  大野いと  西井幸人  土屋太鳳  山崎賢人  竹富聖花  広瀬アリス  太賀  杉咲花  藤原令子  上遠野太洸  中条あやみ  ○  杉田かおる  ○  小池里奈  ○  木村文乃  トリンドル怜奈  モロ師岡  鈴木亮平  駿河太郎  光石研  市川実日子  ○  南果歩  ○  小林聡美UVERworld 　「THE　OVER」  </v>
      </c>
      <c r="N5608" s="2"/>
      <c r="O5608" s="2"/>
      <c r="P5608" s="1"/>
      <c r="Q5608" s="1"/>
      <c r="R5608" s="1"/>
      <c r="S5608" s="1"/>
      <c r="T5608" s="1"/>
      <c r="U5608" s="1"/>
      <c r="V5608" s="1"/>
      <c r="W5608" s="1"/>
      <c r="X5608" s="1"/>
      <c r="Y5608" s="1"/>
      <c r="Z5608" s="1"/>
      <c r="AA5608" s="1"/>
      <c r="AB5608" s="1"/>
      <c r="AC5608" s="1"/>
      <c r="AD5608" s="1"/>
      <c r="AE5608" s="1"/>
      <c r="AF5608" s="1"/>
      <c r="AG5608" s="1"/>
      <c r="AH5608" s="1"/>
      <c r="AI5608" s="1"/>
      <c r="AJ5608" s="1"/>
      <c r="AK5608" s="1"/>
      <c r="AL5608" s="1"/>
      <c r="AM5608" s="1"/>
      <c r="AN5608" s="1"/>
      <c r="AO5608" s="1"/>
      <c r="AP5608" s="1"/>
      <c r="AQ5608" s="1"/>
      <c r="AR5608" s="1"/>
      <c r="AS5608" s="1"/>
      <c r="AT5608" s="1"/>
      <c r="AU5608" s="1"/>
      <c r="AV5608" s="1"/>
      <c r="AW5608" s="1"/>
      <c r="AX5608" s="1"/>
      <c r="AY5608" s="1"/>
      <c r="AZ5608" s="1"/>
      <c r="BA5608" s="1"/>
      <c r="BB5608" s="1"/>
    </row>
    <row r="5609" ht="204.75" customHeight="1">
      <c r="A5609" s="1">
        <v>3754.0</v>
      </c>
      <c r="B5609" s="2" t="s">
        <v>15360</v>
      </c>
      <c r="C5609" s="2">
        <f>IFERROR(__xludf.DUMMYFUNCTION("split(B5609,""_"")"),1207.0)</f>
        <v>1207</v>
      </c>
      <c r="D5609" s="2" t="str">
        <f>IFERROR(__xludf.DUMMYFUNCTION("""COMPUTED_VALUE"""),"TBS")</f>
        <v>TBS</v>
      </c>
      <c r="E5609" s="2" t="str">
        <f>IFERROR(__xludf.DUMMYFUNCTION("""COMPUTED_VALUE"""),"金22")</f>
        <v>金22</v>
      </c>
      <c r="F5609" s="2" t="s">
        <v>15361</v>
      </c>
      <c r="G5609" s="2" t="s">
        <v>15374</v>
      </c>
      <c r="H5609" s="1">
        <v>7.0</v>
      </c>
      <c r="J5609" s="1" t="s">
        <v>86</v>
      </c>
      <c r="K5609" s="2" t="s">
        <v>15375</v>
      </c>
      <c r="L5609" s="2"/>
      <c r="M5609" s="2" t="str">
        <f>IFERROR(__xludf.DUMMYFUNCTION("split(split(K5609,""【"",false),""公式LINE"",false)"),"「愚か者！」女教師の秘密が明らかに！「必殺!学園ドラマ!!」　クラスのリーダー的存在、望月亮平（千葉雄大）は、かつての野球部の親友、飯塚（野村周平）と再会。しかし彼は、恋心を寄せていた佐伯江衣花（広瀬アリス）が亮平と付き合っていることを知り、激怒。中学時代のトラブルをネタに亮平を恐喝。事情を知った夕子（榮倉奈々）ら黒の女教師は飯塚の成敗に乗り出す。さらに夕子の知られざる過去がついに明かされる！榮倉奈々  ○  松村北斗  千葉雄大  大野いと  西井幸人  土屋太鳳  山崎賢人  竹富聖花  広瀬アリス "&amp;" 太賀  杉咲花  藤原令子  上遠野太洸  中条あやみ  ○  野村周平  ○  木村文乃  トリンドル怜奈  モロ師岡  鈴木亮平  駿河太郎  光石研  市川実日子  ○  南果歩  ○  小林聡美UVERworld 　「THE　OVER」  ")</f>
        <v>「愚か者！」女教師の秘密が明らかに！「必殺!学園ドラマ!!」　クラスのリーダー的存在、望月亮平（千葉雄大）は、かつての野球部の親友、飯塚（野村周平）と再会。しかし彼は、恋心を寄せていた佐伯江衣花（広瀬アリス）が亮平と付き合っていることを知り、激怒。中学時代のトラブルをネタに亮平を恐喝。事情を知った夕子（榮倉奈々）ら黒の女教師は飯塚の成敗に乗り出す。さらに夕子の知られざる過去がついに明かされる！榮倉奈々  ○  松村北斗  千葉雄大  大野いと  西井幸人  土屋太鳳  山崎賢人  竹富聖花  広瀬アリス  太賀  杉咲花  藤原令子  上遠野太洸  中条あやみ  ○  野村周平  ○  木村文乃  トリンドル怜奈  モロ師岡  鈴木亮平  駿河太郎  光石研  市川実日子  ○  南果歩  ○  小林聡美UVERworld 　「THE　OVER」  </v>
      </c>
      <c r="N5609" s="2"/>
      <c r="O5609" s="2"/>
      <c r="P5609" s="1"/>
      <c r="Q5609" s="1"/>
      <c r="R5609" s="1"/>
      <c r="S5609" s="1"/>
      <c r="T5609" s="1"/>
      <c r="U5609" s="1"/>
      <c r="V5609" s="1"/>
      <c r="W5609" s="1"/>
      <c r="X5609" s="1"/>
      <c r="Y5609" s="1"/>
      <c r="Z5609" s="1"/>
      <c r="AA5609" s="1"/>
      <c r="AB5609" s="1"/>
      <c r="AC5609" s="1"/>
      <c r="AD5609" s="1"/>
      <c r="AE5609" s="1"/>
      <c r="AF5609" s="1"/>
      <c r="AG5609" s="1"/>
      <c r="AH5609" s="1"/>
      <c r="AI5609" s="1"/>
      <c r="AJ5609" s="1"/>
      <c r="AK5609" s="1"/>
      <c r="AL5609" s="1"/>
      <c r="AM5609" s="1"/>
      <c r="AN5609" s="1"/>
      <c r="AO5609" s="1"/>
      <c r="AP5609" s="1"/>
      <c r="AQ5609" s="1"/>
      <c r="AR5609" s="1"/>
      <c r="AS5609" s="1"/>
      <c r="AT5609" s="1"/>
      <c r="AU5609" s="1"/>
      <c r="AV5609" s="1"/>
      <c r="AW5609" s="1"/>
      <c r="AX5609" s="1"/>
      <c r="AY5609" s="1"/>
      <c r="AZ5609" s="1"/>
      <c r="BA5609" s="1"/>
      <c r="BB5609" s="1"/>
    </row>
    <row r="5610" ht="204.75" customHeight="1">
      <c r="A5610" s="1">
        <v>3755.0</v>
      </c>
      <c r="B5610" s="2" t="s">
        <v>15360</v>
      </c>
      <c r="C5610" s="2">
        <f>IFERROR(__xludf.DUMMYFUNCTION("split(B5610,""_"")"),1207.0)</f>
        <v>1207</v>
      </c>
      <c r="D5610" s="2" t="str">
        <f>IFERROR(__xludf.DUMMYFUNCTION("""COMPUTED_VALUE"""),"TBS")</f>
        <v>TBS</v>
      </c>
      <c r="E5610" s="2" t="str">
        <f>IFERROR(__xludf.DUMMYFUNCTION("""COMPUTED_VALUE"""),"金22")</f>
        <v>金22</v>
      </c>
      <c r="F5610" s="2" t="s">
        <v>15361</v>
      </c>
      <c r="G5610" s="2" t="s">
        <v>15376</v>
      </c>
      <c r="H5610" s="1">
        <v>8.0</v>
      </c>
      <c r="J5610" s="1" t="s">
        <v>86</v>
      </c>
      <c r="K5610" s="2" t="s">
        <v>15377</v>
      </c>
      <c r="L5610" s="2"/>
      <c r="M5610" s="2" t="str">
        <f>IFERROR(__xludf.DUMMYFUNCTION("split(split(K5610,""【"",false),""公式LINE"",false)"),"「愚か者！」ついに副校長を成敗！「必殺!学園ドラマ!!」　指定校推薦が決まった佐伯江衣花（広瀬アリス）は、急病で苦しむ老人を見捨てた事で、窮地に立たされる。それを知った副校長の堀田（光石研）は、日頃から優等生の江衣花を守るため、不祥事の責任を別の生徒梅原優（中条あやみ）に押し付け、学園の名誉を守り、自らの保身を計ろうとする。事情を知った夕子（榮倉奈々）は、上司でもある副校長との対決を決意する。榮倉奈々  ○  松村北斗  千葉雄大  大野いと  西井幸人  土屋太鳳  山崎賢人  竹富聖花  広瀬アリス "&amp;" 太賀  杉咲花  藤原令子  上遠野太洸  中条あやみ  ○  品川徹  ○  木村文乃  トリンドル怜奈  モロ師岡  鈴木亮平  駿河太郎  光石研  市川実日子  ○  南果歩  ○  小林聡美UVERworld 　「THE　OVER」  ")</f>
        <v>「愚か者！」ついに副校長を成敗！「必殺!学園ドラマ!!」　指定校推薦が決まった佐伯江衣花（広瀬アリス）は、急病で苦しむ老人を見捨てた事で、窮地に立たされる。それを知った副校長の堀田（光石研）は、日頃から優等生の江衣花を守るため、不祥事の責任を別の生徒梅原優（中条あやみ）に押し付け、学園の名誉を守り、自らの保身を計ろうとする。事情を知った夕子（榮倉奈々）は、上司でもある副校長との対決を決意する。榮倉奈々  ○  松村北斗  千葉雄大  大野いと  西井幸人  土屋太鳳  山崎賢人  竹富聖花  広瀬アリス  太賀  杉咲花  藤原令子  上遠野太洸  中条あやみ  ○  品川徹  ○  木村文乃  トリンドル怜奈  モロ師岡  鈴木亮平  駿河太郎  光石研  市川実日子  ○  南果歩  ○  小林聡美UVERworld 　「THE　OVER」  </v>
      </c>
      <c r="N5610" s="2"/>
      <c r="O5610" s="2"/>
      <c r="P5610" s="1"/>
      <c r="Q5610" s="1"/>
      <c r="R5610" s="1"/>
      <c r="S5610" s="1"/>
      <c r="T5610" s="1"/>
      <c r="U5610" s="1"/>
      <c r="V5610" s="1"/>
      <c r="W5610" s="1"/>
      <c r="X5610" s="1"/>
      <c r="Y5610" s="1"/>
      <c r="Z5610" s="1"/>
      <c r="AA5610" s="1"/>
      <c r="AB5610" s="1"/>
      <c r="AC5610" s="1"/>
      <c r="AD5610" s="1"/>
      <c r="AE5610" s="1"/>
      <c r="AF5610" s="1"/>
      <c r="AG5610" s="1"/>
      <c r="AH5610" s="1"/>
      <c r="AI5610" s="1"/>
      <c r="AJ5610" s="1"/>
      <c r="AK5610" s="1"/>
      <c r="AL5610" s="1"/>
      <c r="AM5610" s="1"/>
      <c r="AN5610" s="1"/>
      <c r="AO5610" s="1"/>
      <c r="AP5610" s="1"/>
      <c r="AQ5610" s="1"/>
      <c r="AR5610" s="1"/>
      <c r="AS5610" s="1"/>
      <c r="AT5610" s="1"/>
      <c r="AU5610" s="1"/>
      <c r="AV5610" s="1"/>
      <c r="AW5610" s="1"/>
      <c r="AX5610" s="1"/>
      <c r="AY5610" s="1"/>
      <c r="AZ5610" s="1"/>
      <c r="BA5610" s="1"/>
      <c r="BB5610" s="1"/>
    </row>
    <row r="5611" ht="204.75" customHeight="1">
      <c r="A5611" s="1">
        <v>3756.0</v>
      </c>
      <c r="B5611" s="2" t="s">
        <v>15360</v>
      </c>
      <c r="C5611" s="2">
        <f>IFERROR(__xludf.DUMMYFUNCTION("split(B5611,""_"")"),1207.0)</f>
        <v>1207</v>
      </c>
      <c r="D5611" s="2" t="str">
        <f>IFERROR(__xludf.DUMMYFUNCTION("""COMPUTED_VALUE"""),"TBS")</f>
        <v>TBS</v>
      </c>
      <c r="E5611" s="2" t="str">
        <f>IFERROR(__xludf.DUMMYFUNCTION("""COMPUTED_VALUE"""),"金22")</f>
        <v>金22</v>
      </c>
      <c r="F5611" s="2" t="s">
        <v>15361</v>
      </c>
      <c r="G5611" s="2" t="s">
        <v>15378</v>
      </c>
      <c r="H5611" s="1">
        <v>9.0</v>
      </c>
      <c r="J5611" s="1" t="s">
        <v>86</v>
      </c>
      <c r="K5611" s="2" t="s">
        <v>15379</v>
      </c>
      <c r="L5611" s="2"/>
      <c r="M5611" s="2" t="str">
        <f>IFERROR(__xludf.DUMMYFUNCTION("split(split(K5611,""【"",false),""公式LINE"",false)"),"「愚か者！」ついに最終章！衝撃の真実!!「必殺!学園ドラマ!!」　謎のFAXによって「課外授業」の実態が、学校中に知れ渡ってしまう。高倉夕子（榮倉奈々）たち黒の女教師は3－Dの生徒を緊急に招集。全員の前で衝撃の過去を告白する。一連の行動の裏には、かつて教え子だった、水野葵（上間美緒）の死が深く関わっていた。生徒の中で唯一真相を知っていた戸田トシオ（松村北斗）からは、驚くべき事実が暴露される！榮倉奈々  松村北斗　千葉雄大　大野いと　西井幸人　土屋太鳳　山崎賢人　竹富聖花　広瀬アリス　太賀　杉咲花　藤原令子"&amp;"　上遠野太洸　中条あやみ　中西美帆　上間美緒　/  麻生淳子　榎本孝明　 /  木村文乃　トリンドル怜奈　モロ師岡　鈴木亮平　駿河太郎　光石研  市川実日子/ 南果歩  小林聡美UVERworld 　「THE　OVER」  ")</f>
        <v>「愚か者！」ついに最終章！衝撃の真実!!「必殺!学園ドラマ!!」　謎のFAXによって「課外授業」の実態が、学校中に知れ渡ってしまう。高倉夕子（榮倉奈々）たち黒の女教師は3－Dの生徒を緊急に招集。全員の前で衝撃の過去を告白する。一連の行動の裏には、かつて教え子だった、水野葵（上間美緒）の死が深く関わっていた。生徒の中で唯一真相を知っていた戸田トシオ（松村北斗）からは、驚くべき事実が暴露される！榮倉奈々  松村北斗　千葉雄大　大野いと　西井幸人　土屋太鳳　山崎賢人　竹富聖花　広瀬アリス　太賀　杉咲花　藤原令子　上遠野太洸　中条あやみ　中西美帆　上間美緒　/  麻生淳子　榎本孝明　 /  木村文乃　トリンドル怜奈　モロ師岡　鈴木亮平　駿河太郎　光石研  市川実日子/ 南果歩  小林聡美UVERworld 　「THE　OVER」  </v>
      </c>
      <c r="N5611" s="2"/>
      <c r="O5611" s="2"/>
      <c r="P5611" s="1"/>
      <c r="Q5611" s="1"/>
      <c r="R5611" s="1"/>
      <c r="S5611" s="1"/>
      <c r="T5611" s="1"/>
      <c r="U5611" s="1"/>
      <c r="V5611" s="1"/>
      <c r="W5611" s="1"/>
      <c r="X5611" s="1"/>
      <c r="Y5611" s="1"/>
      <c r="Z5611" s="1"/>
      <c r="AA5611" s="1"/>
      <c r="AB5611" s="1"/>
      <c r="AC5611" s="1"/>
      <c r="AD5611" s="1"/>
      <c r="AE5611" s="1"/>
      <c r="AF5611" s="1"/>
      <c r="AG5611" s="1"/>
      <c r="AH5611" s="1"/>
      <c r="AI5611" s="1"/>
      <c r="AJ5611" s="1"/>
      <c r="AK5611" s="1"/>
      <c r="AL5611" s="1"/>
      <c r="AM5611" s="1"/>
      <c r="AN5611" s="1"/>
      <c r="AO5611" s="1"/>
      <c r="AP5611" s="1"/>
      <c r="AQ5611" s="1"/>
      <c r="AR5611" s="1"/>
      <c r="AS5611" s="1"/>
      <c r="AT5611" s="1"/>
      <c r="AU5611" s="1"/>
      <c r="AV5611" s="1"/>
      <c r="AW5611" s="1"/>
      <c r="AX5611" s="1"/>
      <c r="AY5611" s="1"/>
      <c r="AZ5611" s="1"/>
      <c r="BA5611" s="1"/>
      <c r="BB5611" s="1"/>
    </row>
    <row r="5612" ht="204.75" customHeight="1">
      <c r="A5612" s="1">
        <v>3757.0</v>
      </c>
      <c r="B5612" s="2" t="s">
        <v>15360</v>
      </c>
      <c r="C5612" s="2">
        <f>IFERROR(__xludf.DUMMYFUNCTION("split(B5612,""_"")"),1207.0)</f>
        <v>1207</v>
      </c>
      <c r="D5612" s="2" t="str">
        <f>IFERROR(__xludf.DUMMYFUNCTION("""COMPUTED_VALUE"""),"TBS")</f>
        <v>TBS</v>
      </c>
      <c r="E5612" s="2" t="str">
        <f>IFERROR(__xludf.DUMMYFUNCTION("""COMPUTED_VALUE"""),"金22")</f>
        <v>金22</v>
      </c>
      <c r="F5612" s="2" t="s">
        <v>15361</v>
      </c>
      <c r="G5612" s="2" t="s">
        <v>15380</v>
      </c>
      <c r="H5612" s="1">
        <v>10.0</v>
      </c>
      <c r="J5612" s="1" t="s">
        <v>86</v>
      </c>
      <c r="K5612" s="2" t="s">
        <v>15381</v>
      </c>
      <c r="L5612" s="2"/>
      <c r="M5612" s="2" t="str">
        <f>IFERROR(__xludf.DUMMYFUNCTION("split(split(K5612,""【"",false),""公式LINE"",false)"),"衝撃の最終回!!「私が殺した！」高倉夕子（榮倉奈々）は、かつての教え子、水野葵の死の真相を激白。復讐に燃える葵の弟、トシオ（松村北斗）は次々と明らかになる事実に激怒。課外授業の実態をバラすと夕子たちを脅す。事態を重く見た校長の芹沢（南果歩）は、トシオに退学を、女教師たちにも休職を命じ、呪われた過去を隠ぺい。夕子たちはついに学園を去る。その時、生徒たちは…！すべての謎が今夜ついに明らかになる！榮倉奈々    松村北斗　千葉雄大　大野いと　西井幸人　土屋太鳳　山崎賢人　竹富聖花　広瀬アリス　太賀　杉咲花　藤原"&amp;"令子　上遠野太洸　中条あやみ　中西美帆　上間美緒    麻生淳子　榎本孝明    木村文乃　トリンドル玲奈　モロ師岡　鈴木亮平　駿河太郎　光石研    市川実日子    南果歩    小林聡美UVERworld 　「THE　OVER」  ")</f>
        <v>衝撃の最終回!!「私が殺した！」高倉夕子（榮倉奈々）は、かつての教え子、水野葵の死の真相を激白。復讐に燃える葵の弟、トシオ（松村北斗）は次々と明らかになる事実に激怒。課外授業の実態をバラすと夕子たちを脅す。事態を重く見た校長の芹沢（南果歩）は、トシオに退学を、女教師たちにも休職を命じ、呪われた過去を隠ぺい。夕子たちはついに学園を去る。その時、生徒たちは…！すべての謎が今夜ついに明らかになる！榮倉奈々    松村北斗　千葉雄大　大野いと　西井幸人　土屋太鳳　山崎賢人　竹富聖花　広瀬アリス　太賀　杉咲花　藤原令子　上遠野太洸　中条あやみ　中西美帆　上間美緒    麻生淳子　榎本孝明    木村文乃　トリンドル玲奈　モロ師岡　鈴木亮平　駿河太郎　光石研    市川実日子    南果歩    小林聡美UVERworld 　「THE　OVER」  </v>
      </c>
      <c r="N5612" s="2"/>
      <c r="O5612" s="2"/>
      <c r="P5612" s="1"/>
      <c r="Q5612" s="1"/>
      <c r="R5612" s="1"/>
      <c r="S5612" s="1"/>
      <c r="T5612" s="1"/>
      <c r="U5612" s="1"/>
      <c r="V5612" s="1"/>
      <c r="W5612" s="1"/>
      <c r="X5612" s="1"/>
      <c r="Y5612" s="1"/>
      <c r="Z5612" s="1"/>
      <c r="AA5612" s="1"/>
      <c r="AB5612" s="1"/>
      <c r="AC5612" s="1"/>
      <c r="AD5612" s="1"/>
      <c r="AE5612" s="1"/>
      <c r="AF5612" s="1"/>
      <c r="AG5612" s="1"/>
      <c r="AH5612" s="1"/>
      <c r="AI5612" s="1"/>
      <c r="AJ5612" s="1"/>
      <c r="AK5612" s="1"/>
      <c r="AL5612" s="1"/>
      <c r="AM5612" s="1"/>
      <c r="AN5612" s="1"/>
      <c r="AO5612" s="1"/>
      <c r="AP5612" s="1"/>
      <c r="AQ5612" s="1"/>
      <c r="AR5612" s="1"/>
      <c r="AS5612" s="1"/>
      <c r="AT5612" s="1"/>
      <c r="AU5612" s="1"/>
      <c r="AV5612" s="1"/>
      <c r="AW5612" s="1"/>
      <c r="AX5612" s="1"/>
      <c r="AY5612" s="1"/>
      <c r="AZ5612" s="1"/>
      <c r="BA5612" s="1"/>
      <c r="BB5612" s="1"/>
    </row>
    <row r="5613" ht="204.75" customHeight="1">
      <c r="A5613" s="1">
        <v>3784.0</v>
      </c>
      <c r="B5613" s="2" t="s">
        <v>15382</v>
      </c>
      <c r="C5613" s="2">
        <f>IFERROR(__xludf.DUMMYFUNCTION("split(B5613,""_"")"),1207.0)</f>
        <v>1207</v>
      </c>
      <c r="D5613" s="2" t="str">
        <f>IFERROR(__xludf.DUMMYFUNCTION("""COMPUTED_VALUE"""),"TBS")</f>
        <v>TBS</v>
      </c>
      <c r="E5613" s="2" t="str">
        <f>IFERROR(__xludf.DUMMYFUNCTION("""COMPUTED_VALUE"""),"日21")</f>
        <v>日21</v>
      </c>
      <c r="F5613" s="2" t="s">
        <v>15383</v>
      </c>
      <c r="G5613" s="2" t="s">
        <v>15384</v>
      </c>
      <c r="H5613" s="1">
        <v>1.0</v>
      </c>
      <c r="J5613" s="1" t="s">
        <v>4</v>
      </c>
      <c r="K5613" s="2" t="s">
        <v>15385</v>
      </c>
      <c r="L5613" s="2"/>
      <c r="M5613" s="2" t="str">
        <f>IFERROR(__xludf.DUMMYFUNCTION("split(split(K5613,""【"",false),""公式LINE"",false)"),"速水圭吾（向井理）は、大学病院で将来を嘱望されているクールな若き心臓外科医だが、上司からの命令で、夏の間、とある山の診療所で患者を診ることになる。標高2514mという厳しい環境では、検査機器や薬はごく僅か。最新鋭機器を使いこなし、先端医療で活躍する速水は、存在意義のわからない山の診療所でカルチャーショックと挫折を経験する。進歩した現代医療から切り離され、患者に手で触れ、目で見て、会話をし、そこからすべての診断をつけてゆく。そこには「医療の原点」があった。そしてある女性、小山遥（尾野真千子）と出会うことによ"&amp;"って…。速水圭吾…向井理  小山 遥…尾野真千子    平原あかり…小池栄子    小山雪乃…三浦理恵子  井上幸治…山崎樹範  沢口光香…市川由衣    木野憲太…菅田将暉  村田佳秀…小澤亮太  鈴木真子…能年玲奈    平原桃花…本田望結  野村恭介…戸次重幸    速水悦子…中田喜子　　　　◯  小山雄一…笹野高史  岡村忠志…相島一之  高橋 恵…映美くらら    高井聡志…佐藤二朗  沢口哲夫…松重 豊    倉木泰典…時任三郎  (他)主題歌：Superfly  「輝く月のように」  （ワー"&amp;"ナーミュージック・ジャパン）")</f>
        <v>速水圭吾（向井理）は、大学病院で将来を嘱望されているクールな若き心臓外科医だが、上司からの命令で、夏の間、とある山の診療所で患者を診ることになる。標高2514mという厳しい環境では、検査機器や薬はごく僅か。最新鋭機器を使いこなし、先端医療で活躍する速水は、存在意義のわからない山の診療所でカルチャーショックと挫折を経験する。進歩した現代医療から切り離され、患者に手で触れ、目で見て、会話をし、そこからすべての診断をつけてゆく。そこには「医療の原点」があった。そしてある女性、小山遥（尾野真千子）と出会うことによって…。速水圭吾…向井理  小山 遥…尾野真千子    平原あかり…小池栄子    小山雪乃…三浦理恵子  井上幸治…山崎樹範  沢口光香…市川由衣    木野憲太…菅田将暉  村田佳秀…小澤亮太  鈴木真子…能年玲奈    平原桃花…本田望結  野村恭介…戸次重幸    速水悦子…中田喜子　　　　◯  小山雄一…笹野高史  岡村忠志…相島一之  高橋 恵…映美くらら    高井聡志…佐藤二朗  沢口哲夫…松重 豊    倉木泰典…時任三郎  (他)主題歌：Superfly  「輝く月のように」  （ワーナーミュージック・ジャパン）</v>
      </c>
      <c r="N5613" s="2"/>
      <c r="O5613" s="2"/>
      <c r="P5613" s="1"/>
      <c r="Q5613" s="1"/>
      <c r="R5613" s="1"/>
      <c r="S5613" s="1"/>
      <c r="T5613" s="1"/>
      <c r="U5613" s="1"/>
      <c r="V5613" s="1"/>
      <c r="W5613" s="1"/>
      <c r="X5613" s="1"/>
      <c r="Y5613" s="1"/>
      <c r="Z5613" s="1"/>
      <c r="AA5613" s="1"/>
      <c r="AB5613" s="1"/>
      <c r="AC5613" s="1"/>
      <c r="AD5613" s="1"/>
      <c r="AE5613" s="1"/>
      <c r="AF5613" s="1"/>
      <c r="AG5613" s="1"/>
      <c r="AH5613" s="1"/>
      <c r="AI5613" s="1"/>
      <c r="AJ5613" s="1"/>
      <c r="AK5613" s="1"/>
      <c r="AL5613" s="1"/>
      <c r="AM5613" s="1"/>
      <c r="AN5613" s="1"/>
      <c r="AO5613" s="1"/>
      <c r="AP5613" s="1"/>
      <c r="AQ5613" s="1"/>
      <c r="AR5613" s="1"/>
      <c r="AS5613" s="1"/>
      <c r="AT5613" s="1"/>
      <c r="AU5613" s="1"/>
      <c r="AV5613" s="1"/>
      <c r="AW5613" s="1"/>
      <c r="AX5613" s="1"/>
      <c r="AY5613" s="1"/>
      <c r="AZ5613" s="1"/>
      <c r="BA5613" s="1"/>
      <c r="BB5613" s="1"/>
    </row>
    <row r="5614" ht="204.75" customHeight="1">
      <c r="A5614" s="1">
        <v>3785.0</v>
      </c>
      <c r="B5614" s="2" t="s">
        <v>15382</v>
      </c>
      <c r="C5614" s="2">
        <f>IFERROR(__xludf.DUMMYFUNCTION("split(B5614,""_"")"),1207.0)</f>
        <v>1207</v>
      </c>
      <c r="D5614" s="2" t="str">
        <f>IFERROR(__xludf.DUMMYFUNCTION("""COMPUTED_VALUE"""),"TBS")</f>
        <v>TBS</v>
      </c>
      <c r="E5614" s="2" t="str">
        <f>IFERROR(__xludf.DUMMYFUNCTION("""COMPUTED_VALUE"""),"日21")</f>
        <v>日21</v>
      </c>
      <c r="F5614" s="2" t="s">
        <v>15383</v>
      </c>
      <c r="G5614" s="2" t="s">
        <v>15386</v>
      </c>
      <c r="H5614" s="1">
        <v>2.0</v>
      </c>
      <c r="J5614" s="1" t="s">
        <v>11</v>
      </c>
      <c r="K5614" s="2" t="s">
        <v>15387</v>
      </c>
      <c r="L5614" s="2"/>
      <c r="M5614" s="2" t="str">
        <f>IFERROR(__xludf.DUMMYFUNCTION("split(split(K5614,""【"",false),""公式LINE"",false)"),"山に着くなり壮絶な一日を過ごした速水（向井理）は、山岳の診療所の存在意義に疑問を持っていた…。ある日、ガイド1人の山岳ツアーがやってくる。ツアー客の1人、朋子（内山理名）は、体調の変化に気付き、速水の診察を受ける。速水は朋子の喉に腫れを認めるが、風邪薬を出すのみの安易な診察をしてしまう。翌朝、ツアー客たちは山荘を出発。しかし昨日の診察を知った遥（尾野真千子）は、「山をなめている」と速水を罵倒する。その頃、体調が悪化し歩けなくなった朋子を置いて一行は登頂するが戻ると、朋子の姿は見当たらない！山荘のメンバーは"&amp;"、朋子を捜索。速水も遥と一緒に探すのだが…。速水圭吾…向井　理  小山　遥…尾野真千子    平原あかり…小池栄子    小山雪乃…三浦理恵子  井上幸治…山崎樹範  沢口光香…市川由衣    木野憲太…菅田将暉  村田佳秀…小澤亮太  鈴木真子…能年玲奈    平原桃花…本田望結  野村恭介…戸次重幸    速水悦子…中田喜子  　　　　◯小山雄一…笹野高史    岡村忠志…相島一之  高橋　恵…映美くらら    高井聡志…佐藤二朗  沢口哲夫…松重　豊    倉木泰典…時任三郎主題歌：Superfly"&amp;"  「輝く月のように」  （ワーナーミュージック・ジャパン）")</f>
        <v>山に着くなり壮絶な一日を過ごした速水（向井理）は、山岳の診療所の存在意義に疑問を持っていた…。ある日、ガイド1人の山岳ツアーがやってくる。ツアー客の1人、朋子（内山理名）は、体調の変化に気付き、速水の診察を受ける。速水は朋子の喉に腫れを認めるが、風邪薬を出すのみの安易な診察をしてしまう。翌朝、ツアー客たちは山荘を出発。しかし昨日の診察を知った遥（尾野真千子）は、「山をなめている」と速水を罵倒する。その頃、体調が悪化し歩けなくなった朋子を置いて一行は登頂するが戻ると、朋子の姿は見当たらない！山荘のメンバーは、朋子を捜索。速水も遥と一緒に探すのだが…。速水圭吾…向井　理  小山　遥…尾野真千子    平原あかり…小池栄子    小山雪乃…三浦理恵子  井上幸治…山崎樹範  沢口光香…市川由衣    木野憲太…菅田将暉  村田佳秀…小澤亮太  鈴木真子…能年玲奈    平原桃花…本田望結  野村恭介…戸次重幸    速水悦子…中田喜子  　　　　◯小山雄一…笹野高史    岡村忠志…相島一之  高橋　恵…映美くらら    高井聡志…佐藤二朗  沢口哲夫…松重　豊    倉木泰典…時任三郎主題歌：Superfly  「輝く月のように」  （ワーナーミュージック・ジャパン）</v>
      </c>
      <c r="N5614" s="2"/>
      <c r="O5614" s="2"/>
      <c r="P5614" s="1"/>
      <c r="Q5614" s="1"/>
      <c r="R5614" s="1"/>
      <c r="S5614" s="1"/>
      <c r="T5614" s="1"/>
      <c r="U5614" s="1"/>
      <c r="V5614" s="1"/>
      <c r="W5614" s="1"/>
      <c r="X5614" s="1"/>
      <c r="Y5614" s="1"/>
      <c r="Z5614" s="1"/>
      <c r="AA5614" s="1"/>
      <c r="AB5614" s="1"/>
      <c r="AC5614" s="1"/>
      <c r="AD5614" s="1"/>
      <c r="AE5614" s="1"/>
      <c r="AF5614" s="1"/>
      <c r="AG5614" s="1"/>
      <c r="AH5614" s="1"/>
      <c r="AI5614" s="1"/>
      <c r="AJ5614" s="1"/>
      <c r="AK5614" s="1"/>
      <c r="AL5614" s="1"/>
      <c r="AM5614" s="1"/>
      <c r="AN5614" s="1"/>
      <c r="AO5614" s="1"/>
      <c r="AP5614" s="1"/>
      <c r="AQ5614" s="1"/>
      <c r="AR5614" s="1"/>
      <c r="AS5614" s="1"/>
      <c r="AT5614" s="1"/>
      <c r="AU5614" s="1"/>
      <c r="AV5614" s="1"/>
      <c r="AW5614" s="1"/>
      <c r="AX5614" s="1"/>
      <c r="AY5614" s="1"/>
      <c r="AZ5614" s="1"/>
      <c r="BA5614" s="1"/>
      <c r="BB5614" s="1"/>
    </row>
    <row r="5615" ht="204.75" customHeight="1">
      <c r="A5615" s="1">
        <v>3786.0</v>
      </c>
      <c r="B5615" s="2" t="s">
        <v>15382</v>
      </c>
      <c r="C5615" s="2">
        <f>IFERROR(__xludf.DUMMYFUNCTION("split(B5615,""_"")"),1207.0)</f>
        <v>1207</v>
      </c>
      <c r="D5615" s="2" t="str">
        <f>IFERROR(__xludf.DUMMYFUNCTION("""COMPUTED_VALUE"""),"TBS")</f>
        <v>TBS</v>
      </c>
      <c r="E5615" s="2" t="str">
        <f>IFERROR(__xludf.DUMMYFUNCTION("""COMPUTED_VALUE"""),"日21")</f>
        <v>日21</v>
      </c>
      <c r="F5615" s="2" t="s">
        <v>15383</v>
      </c>
      <c r="G5615" s="2" t="s">
        <v>15388</v>
      </c>
      <c r="H5615" s="1">
        <v>3.0</v>
      </c>
      <c r="J5615" s="1" t="s">
        <v>11</v>
      </c>
      <c r="K5615" s="2" t="s">
        <v>15389</v>
      </c>
      <c r="L5615" s="2"/>
      <c r="M5615" s="2" t="str">
        <f>IFERROR(__xludf.DUMMYFUNCTION("split(split(K5615,""【"",false),""公式LINE"",false)"),"速水（向井理）は倉木（時任三郎）から、母親・悦子（中田喜子）が受けていた人間ドックの検査で、大動脈瘤が見つかり切迫破裂という厳しい状況だということを知らされ慌てて山を降りる。東京の明慶大病院に着いた速水は、沢口（松重豊）と倉木から詳しい検査結果を聞き「手術させてほしい。僕が執刀したい」と願い出る。そして、悦子の手術が始まるのだが…。  一方、医師のいない診療所に遥(尾野真千子)は不安を隠せない。そこへ野田と、体調が悪いという妻・洋子の2人がやって来る。「わざわざルートを変更して診療所まで来たのに、先生がい"&amp;"ないなら意味がない」と怒る野田。しかし洋子は「下山するのはしんどいから」と診療所に宿泊することに。そこで、看護師のあかり（小池栄子）が一晩、看病していると…。速水圭吾…向井　理  小山　遥…尾野真千子    平原あかり…小池栄子    小山雪乃…三浦理恵子  井上幸治…山崎樹範  沢口光香…市川由衣    木野憲太…菅田将暉  村田佳秀…小澤亮太  鈴木真子…能年玲奈    平原桃花…本田望結  野村恭介：戸次重幸    速水悦子…中田喜子  　　　　◯岡村忠志…相島一之  高橋　恵…映美くらら    高"&amp;"井聡志…佐藤二朗  沢口哲夫…松重　豊    倉木泰典…時任三郎主題歌：Superfly  「輝く月のように」  （ワーナーミュージック・ジャパン）")</f>
        <v>速水（向井理）は倉木（時任三郎）から、母親・悦子（中田喜子）が受けていた人間ドックの検査で、大動脈瘤が見つかり切迫破裂という厳しい状況だということを知らされ慌てて山を降りる。東京の明慶大病院に着いた速水は、沢口（松重豊）と倉木から詳しい検査結果を聞き「手術させてほしい。僕が執刀したい」と願い出る。そして、悦子の手術が始まるのだが…。  一方、医師のいない診療所に遥(尾野真千子)は不安を隠せない。そこへ野田と、体調が悪いという妻・洋子の2人がやって来る。「わざわざルートを変更して診療所まで来たのに、先生がいないなら意味がない」と怒る野田。しかし洋子は「下山するのはしんどいから」と診療所に宿泊することに。そこで、看護師のあかり（小池栄子）が一晩、看病していると…。速水圭吾…向井　理  小山　遥…尾野真千子    平原あかり…小池栄子    小山雪乃…三浦理恵子  井上幸治…山崎樹範  沢口光香…市川由衣    木野憲太…菅田将暉  村田佳秀…小澤亮太  鈴木真子…能年玲奈    平原桃花…本田望結  野村恭介：戸次重幸    速水悦子…中田喜子  　　　　◯岡村忠志…相島一之  高橋　恵…映美くらら    高井聡志…佐藤二朗  沢口哲夫…松重　豊    倉木泰典…時任三郎主題歌：Superfly  「輝く月のように」  （ワーナーミュージック・ジャパン）</v>
      </c>
      <c r="N5615" s="2"/>
      <c r="O5615" s="2"/>
      <c r="P5615" s="1"/>
      <c r="Q5615" s="1"/>
      <c r="R5615" s="1"/>
      <c r="S5615" s="1"/>
      <c r="T5615" s="1"/>
      <c r="U5615" s="1"/>
      <c r="V5615" s="1"/>
      <c r="W5615" s="1"/>
      <c r="X5615" s="1"/>
      <c r="Y5615" s="1"/>
      <c r="Z5615" s="1"/>
      <c r="AA5615" s="1"/>
      <c r="AB5615" s="1"/>
      <c r="AC5615" s="1"/>
      <c r="AD5615" s="1"/>
      <c r="AE5615" s="1"/>
      <c r="AF5615" s="1"/>
      <c r="AG5615" s="1"/>
      <c r="AH5615" s="1"/>
      <c r="AI5615" s="1"/>
      <c r="AJ5615" s="1"/>
      <c r="AK5615" s="1"/>
      <c r="AL5615" s="1"/>
      <c r="AM5615" s="1"/>
      <c r="AN5615" s="1"/>
      <c r="AO5615" s="1"/>
      <c r="AP5615" s="1"/>
      <c r="AQ5615" s="1"/>
      <c r="AR5615" s="1"/>
      <c r="AS5615" s="1"/>
      <c r="AT5615" s="1"/>
      <c r="AU5615" s="1"/>
      <c r="AV5615" s="1"/>
      <c r="AW5615" s="1"/>
      <c r="AX5615" s="1"/>
      <c r="AY5615" s="1"/>
      <c r="AZ5615" s="1"/>
      <c r="BA5615" s="1"/>
      <c r="BB5615" s="1"/>
    </row>
    <row r="5616" ht="204.75" customHeight="1">
      <c r="A5616" s="1">
        <v>3787.0</v>
      </c>
      <c r="B5616" s="2" t="s">
        <v>15382</v>
      </c>
      <c r="C5616" s="2">
        <f>IFERROR(__xludf.DUMMYFUNCTION("split(B5616,""_"")"),1207.0)</f>
        <v>1207</v>
      </c>
      <c r="D5616" s="2" t="str">
        <f>IFERROR(__xludf.DUMMYFUNCTION("""COMPUTED_VALUE"""),"TBS")</f>
        <v>TBS</v>
      </c>
      <c r="E5616" s="2" t="str">
        <f>IFERROR(__xludf.DUMMYFUNCTION("""COMPUTED_VALUE"""),"日21")</f>
        <v>日21</v>
      </c>
      <c r="F5616" s="2" t="s">
        <v>15383</v>
      </c>
      <c r="G5616" s="2" t="s">
        <v>15390</v>
      </c>
      <c r="H5616" s="1">
        <v>4.0</v>
      </c>
      <c r="J5616" s="1" t="s">
        <v>11</v>
      </c>
      <c r="K5616" s="2" t="s">
        <v>15391</v>
      </c>
      <c r="L5616" s="2"/>
      <c r="M5616" s="2" t="str">
        <f>IFERROR(__xludf.DUMMYFUNCTION("split(split(K5616,""【"",false),""公式LINE"",false)"),"速水（向井理）は山に慣れようと、井上（山崎樹範）と登山する。  井上の山への想いに感心する速水。山荘に戻り、普段の仕事を聞かれた井上は、  不動産販売のトップセールスマンだと豪語。  皆から尊敬の目で見られ、意気揚々とする。  そこへ井上と同じ会社の神田（堀部圭亮）と上原（夕輝壽太）が現れ、井上は凍り付く。実はリストラされていたのだ。井上は、嘘がバレて気まずくなる。  速水と遥は励ますが、落ち込む井上。  翌朝、神田たちは遥（尾野真千子）のガイドのもと、登山する。カメラに夢中になった神田が滑落し大怪我を負"&amp;"う。すぐに縫合しなければいけないが、薬のアレルギー反応が出て麻酔が使えず、速水は…速水圭吾…向井理  小山　遥…尾野真千子    平原あかり…小池栄子    小山雪乃…三浦理恵子  井上幸治…山崎樹範  沢口光香…市川由衣    木野憲太…菅田将暉  村田佳秀…小澤亮太  鈴木真子…能年玲奈    平原桃花…本田望結  田中謙介…前田公輝  宮下エミリ…折山みゆ  ◯  小山雄一…笹野高史    神田祥平…堀部圭亮  上原伸宏…夕輝壽太    沢口哲夫…松重豊    倉木泰典…時任三郎主題歌：Superf"&amp;"ly  「輝く月のように」  （ワーナーミュージック・ジャパン）")</f>
        <v>速水（向井理）は山に慣れようと、井上（山崎樹範）と登山する。  井上の山への想いに感心する速水。山荘に戻り、普段の仕事を聞かれた井上は、  不動産販売のトップセールスマンだと豪語。  皆から尊敬の目で見られ、意気揚々とする。  そこへ井上と同じ会社の神田（堀部圭亮）と上原（夕輝壽太）が現れ、井上は凍り付く。実はリストラされていたのだ。井上は、嘘がバレて気まずくなる。  速水と遥は励ますが、落ち込む井上。  翌朝、神田たちは遥（尾野真千子）のガイドのもと、登山する。カメラに夢中になった神田が滑落し大怪我を負う。すぐに縫合しなければいけないが、薬のアレルギー反応が出て麻酔が使えず、速水は…速水圭吾…向井理  小山　遥…尾野真千子    平原あかり…小池栄子    小山雪乃…三浦理恵子  井上幸治…山崎樹範  沢口光香…市川由衣    木野憲太…菅田将暉  村田佳秀…小澤亮太  鈴木真子…能年玲奈    平原桃花…本田望結  田中謙介…前田公輝  宮下エミリ…折山みゆ  ◯  小山雄一…笹野高史    神田祥平…堀部圭亮  上原伸宏…夕輝壽太    沢口哲夫…松重豊    倉木泰典…時任三郎主題歌：Superfly  「輝く月のように」  （ワーナーミュージック・ジャパン）</v>
      </c>
      <c r="N5616" s="2"/>
      <c r="O5616" s="2"/>
      <c r="P5616" s="1"/>
      <c r="Q5616" s="1"/>
      <c r="R5616" s="1"/>
      <c r="S5616" s="1"/>
      <c r="T5616" s="1"/>
      <c r="U5616" s="1"/>
      <c r="V5616" s="1"/>
      <c r="W5616" s="1"/>
      <c r="X5616" s="1"/>
      <c r="Y5616" s="1"/>
      <c r="Z5616" s="1"/>
      <c r="AA5616" s="1"/>
      <c r="AB5616" s="1"/>
      <c r="AC5616" s="1"/>
      <c r="AD5616" s="1"/>
      <c r="AE5616" s="1"/>
      <c r="AF5616" s="1"/>
      <c r="AG5616" s="1"/>
      <c r="AH5616" s="1"/>
      <c r="AI5616" s="1"/>
      <c r="AJ5616" s="1"/>
      <c r="AK5616" s="1"/>
      <c r="AL5616" s="1"/>
      <c r="AM5616" s="1"/>
      <c r="AN5616" s="1"/>
      <c r="AO5616" s="1"/>
      <c r="AP5616" s="1"/>
      <c r="AQ5616" s="1"/>
      <c r="AR5616" s="1"/>
      <c r="AS5616" s="1"/>
      <c r="AT5616" s="1"/>
      <c r="AU5616" s="1"/>
      <c r="AV5616" s="1"/>
      <c r="AW5616" s="1"/>
      <c r="AX5616" s="1"/>
      <c r="AY5616" s="1"/>
      <c r="AZ5616" s="1"/>
      <c r="BA5616" s="1"/>
      <c r="BB5616" s="1"/>
    </row>
    <row r="5617" ht="204.75" customHeight="1">
      <c r="A5617" s="1">
        <v>3788.0</v>
      </c>
      <c r="B5617" s="2" t="s">
        <v>15382</v>
      </c>
      <c r="C5617" s="2">
        <f>IFERROR(__xludf.DUMMYFUNCTION("split(B5617,""_"")"),1207.0)</f>
        <v>1207</v>
      </c>
      <c r="D5617" s="2" t="str">
        <f>IFERROR(__xludf.DUMMYFUNCTION("""COMPUTED_VALUE"""),"TBS")</f>
        <v>TBS</v>
      </c>
      <c r="E5617" s="2" t="str">
        <f>IFERROR(__xludf.DUMMYFUNCTION("""COMPUTED_VALUE"""),"日21")</f>
        <v>日21</v>
      </c>
      <c r="F5617" s="2" t="s">
        <v>15383</v>
      </c>
      <c r="G5617" s="2" t="s">
        <v>15392</v>
      </c>
      <c r="H5617" s="1">
        <v>5.0</v>
      </c>
      <c r="J5617" s="1" t="s">
        <v>4</v>
      </c>
      <c r="K5617" s="2" t="s">
        <v>15393</v>
      </c>
      <c r="L5617" s="2"/>
      <c r="M5617" s="2" t="str">
        <f>IFERROR(__xludf.DUMMYFUNCTION("split(split(K5617,""【"",false),""公式LINE"",false)"),"速水（向井理）の婚約者・光香（市川由衣）が高山病で診療所に運び込まれた。光香は、速水が以前断ったドイツ留学の資料を渡すために来たと明かす。速水は診療所が閉まる秋から前向きに考えると伝え、明日には下山するよう光香に優しく諭す。野村（戸次重幸）から何度も電話がきた遥（尾野真千子）が光香に付き添うことになった。遥は野村と再会する。桃花（本田望結）は、父親の誕生日にあげる「星の石」を探しに山へ。速水圭吾…向井　理  小山　遥…尾野真千子    平原あかり…小池栄子    小山雪乃…三浦理恵子  井上幸治…山崎樹範"&amp;"    木野憲太…菅田将暉  村田佳秀…小澤亮太  鈴木真子…能年玲奈    平原桃花…本田望結  田中謙介…前田公輝  宮下エミリ…折山みゆ    沢口光香…市川由衣  野村恭介…戸次重幸  　　　　◯  小山雄一…笹野高史    高井聡志…佐藤二朗    沢口哲夫…松重　豊    倉木泰典…時任三郎Superfly  「輝く月のように」（ワーナーミュージック・ジャパン）")</f>
        <v>速水（向井理）の婚約者・光香（市川由衣）が高山病で診療所に運び込まれた。光香は、速水が以前断ったドイツ留学の資料を渡すために来たと明かす。速水は診療所が閉まる秋から前向きに考えると伝え、明日には下山するよう光香に優しく諭す。野村（戸次重幸）から何度も電話がきた遥（尾野真千子）が光香に付き添うことになった。遥は野村と再会する。桃花（本田望結）は、父親の誕生日にあげる「星の石」を探しに山へ。速水圭吾…向井　理  小山　遥…尾野真千子    平原あかり…小池栄子    小山雪乃…三浦理恵子  井上幸治…山崎樹範    木野憲太…菅田将暉  村田佳秀…小澤亮太  鈴木真子…能年玲奈    平原桃花…本田望結  田中謙介…前田公輝  宮下エミリ…折山みゆ    沢口光香…市川由衣  野村恭介…戸次重幸  　　　　◯  小山雄一…笹野高史    高井聡志…佐藤二朗    沢口哲夫…松重　豊    倉木泰典…時任三郎Superfly  「輝く月のように」（ワーナーミュージック・ジャパン）</v>
      </c>
      <c r="N5617" s="2"/>
      <c r="O5617" s="2"/>
      <c r="P5617" s="1"/>
      <c r="Q5617" s="1"/>
      <c r="R5617" s="1"/>
      <c r="S5617" s="1"/>
      <c r="T5617" s="1"/>
      <c r="U5617" s="1"/>
      <c r="V5617" s="1"/>
      <c r="W5617" s="1"/>
      <c r="X5617" s="1"/>
      <c r="Y5617" s="1"/>
      <c r="Z5617" s="1"/>
      <c r="AA5617" s="1"/>
      <c r="AB5617" s="1"/>
      <c r="AC5617" s="1"/>
      <c r="AD5617" s="1"/>
      <c r="AE5617" s="1"/>
      <c r="AF5617" s="1"/>
      <c r="AG5617" s="1"/>
      <c r="AH5617" s="1"/>
      <c r="AI5617" s="1"/>
      <c r="AJ5617" s="1"/>
      <c r="AK5617" s="1"/>
      <c r="AL5617" s="1"/>
      <c r="AM5617" s="1"/>
      <c r="AN5617" s="1"/>
      <c r="AO5617" s="1"/>
      <c r="AP5617" s="1"/>
      <c r="AQ5617" s="1"/>
      <c r="AR5617" s="1"/>
      <c r="AS5617" s="1"/>
      <c r="AT5617" s="1"/>
      <c r="AU5617" s="1"/>
      <c r="AV5617" s="1"/>
      <c r="AW5617" s="1"/>
      <c r="AX5617" s="1"/>
      <c r="AY5617" s="1"/>
      <c r="AZ5617" s="1"/>
      <c r="BA5617" s="1"/>
      <c r="BB5617" s="1"/>
    </row>
    <row r="5618" ht="204.75" customHeight="1">
      <c r="A5618" s="1">
        <v>3789.0</v>
      </c>
      <c r="B5618" s="2" t="s">
        <v>15382</v>
      </c>
      <c r="C5618" s="2">
        <f>IFERROR(__xludf.DUMMYFUNCTION("split(B5618,""_"")"),1207.0)</f>
        <v>1207</v>
      </c>
      <c r="D5618" s="2" t="str">
        <f>IFERROR(__xludf.DUMMYFUNCTION("""COMPUTED_VALUE"""),"TBS")</f>
        <v>TBS</v>
      </c>
      <c r="E5618" s="2" t="str">
        <f>IFERROR(__xludf.DUMMYFUNCTION("""COMPUTED_VALUE"""),"日21")</f>
        <v>日21</v>
      </c>
      <c r="F5618" s="2" t="s">
        <v>15383</v>
      </c>
      <c r="G5618" s="2" t="s">
        <v>15394</v>
      </c>
      <c r="H5618" s="1">
        <v>6.0</v>
      </c>
      <c r="J5618" s="1" t="s">
        <v>11</v>
      </c>
      <c r="K5618" s="2" t="s">
        <v>15395</v>
      </c>
      <c r="L5618" s="2"/>
      <c r="M5618" s="2" t="str">
        <f>IFERROR(__xludf.DUMMYFUNCTION("split(split(K5618,""【"",false),""公式LINE"",false)"),"診療所閉鎖か、存続か決断を託された倉木（時任三郎）は山に戻る。診療所で一人で作業していた医学生の木野（菅田将暉）の元に、膝を擦りむいた登山客が来る。速水（向井理）を呼びに行こうとするが、患者に押し切られ木野が処置をする。そこへ速水らがきて、無免許での治療は違法行為だと注意すると、診療所に疑問を持ち始めていた木野は、「都会の病院で多くの命を救った方がいい。下山して父親の病院を手伝う」と言い放つ。そんな木野に遥（尾野真千子）は「あの山の景色を見てから決めたほうがいい」と話す。翌朝、小山（笹野高史）から風が強い"&amp;"からと止められるが、木野は村田(小澤亮太）と真子（能年玲奈）を誘い遥の言う山へ向かう。しかし、突風が吹き木野は崖下に滑落。速水たちが現場へと向かうと、木野の体には枝が貫通していた。  速水圭吾…向井　理  小山　遥…尾野真千子    平原あかり…小池栄子    小山雪乃…三浦理恵子  井上幸治…山崎樹範  沢口光香…市川由衣    木野憲太…菅田将暉  村田佳秀…小澤亮太  鈴木真子…能年玲奈    平原桃花…本田望結  野村恭介：戸次重幸    速水悦子…中田喜子  　　　　◯岡村忠志…相島一之  高橋"&amp;"　恵…映美くらら    高井聡志…佐藤二朗  沢口哲夫…松重　豊    倉木泰典…時任三郎主題歌：Superfly  「輝く月のように」  （ワーナーミュージック・ジャパン）")</f>
        <v>診療所閉鎖か、存続か決断を託された倉木（時任三郎）は山に戻る。診療所で一人で作業していた医学生の木野（菅田将暉）の元に、膝を擦りむいた登山客が来る。速水（向井理）を呼びに行こうとするが、患者に押し切られ木野が処置をする。そこへ速水らがきて、無免許での治療は違法行為だと注意すると、診療所に疑問を持ち始めていた木野は、「都会の病院で多くの命を救った方がいい。下山して父親の病院を手伝う」と言い放つ。そんな木野に遥（尾野真千子）は「あの山の景色を見てから決めたほうがいい」と話す。翌朝、小山（笹野高史）から風が強いからと止められるが、木野は村田(小澤亮太）と真子（能年玲奈）を誘い遥の言う山へ向かう。しかし、突風が吹き木野は崖下に滑落。速水たちが現場へと向かうと、木野の体には枝が貫通していた。  速水圭吾…向井　理  小山　遥…尾野真千子    平原あかり…小池栄子    小山雪乃…三浦理恵子  井上幸治…山崎樹範  沢口光香…市川由衣    木野憲太…菅田将暉  村田佳秀…小澤亮太  鈴木真子…能年玲奈    平原桃花…本田望結  野村恭介：戸次重幸    速水悦子…中田喜子  　　　　◯岡村忠志…相島一之  高橋　恵…映美くらら    高井聡志…佐藤二朗  沢口哲夫…松重　豊    倉木泰典…時任三郎主題歌：Superfly  「輝く月のように」  （ワーナーミュージック・ジャパン）</v>
      </c>
      <c r="N5618" s="2"/>
      <c r="O5618" s="2"/>
      <c r="P5618" s="1"/>
      <c r="Q5618" s="1"/>
      <c r="R5618" s="1"/>
      <c r="S5618" s="1"/>
      <c r="T5618" s="1"/>
      <c r="U5618" s="1"/>
      <c r="V5618" s="1"/>
      <c r="W5618" s="1"/>
      <c r="X5618" s="1"/>
      <c r="Y5618" s="1"/>
      <c r="Z5618" s="1"/>
      <c r="AA5618" s="1"/>
      <c r="AB5618" s="1"/>
      <c r="AC5618" s="1"/>
      <c r="AD5618" s="1"/>
      <c r="AE5618" s="1"/>
      <c r="AF5618" s="1"/>
      <c r="AG5618" s="1"/>
      <c r="AH5618" s="1"/>
      <c r="AI5618" s="1"/>
      <c r="AJ5618" s="1"/>
      <c r="AK5618" s="1"/>
      <c r="AL5618" s="1"/>
      <c r="AM5618" s="1"/>
      <c r="AN5618" s="1"/>
      <c r="AO5618" s="1"/>
      <c r="AP5618" s="1"/>
      <c r="AQ5618" s="1"/>
      <c r="AR5618" s="1"/>
      <c r="AS5618" s="1"/>
      <c r="AT5618" s="1"/>
      <c r="AU5618" s="1"/>
      <c r="AV5618" s="1"/>
      <c r="AW5618" s="1"/>
      <c r="AX5618" s="1"/>
      <c r="AY5618" s="1"/>
      <c r="AZ5618" s="1"/>
      <c r="BA5618" s="1"/>
      <c r="BB5618" s="1"/>
    </row>
    <row r="5619" ht="204.75" customHeight="1">
      <c r="A5619" s="1">
        <v>3790.0</v>
      </c>
      <c r="B5619" s="2" t="s">
        <v>15382</v>
      </c>
      <c r="C5619" s="2">
        <f>IFERROR(__xludf.DUMMYFUNCTION("split(B5619,""_"")"),1207.0)</f>
        <v>1207</v>
      </c>
      <c r="D5619" s="2" t="str">
        <f>IFERROR(__xludf.DUMMYFUNCTION("""COMPUTED_VALUE"""),"TBS")</f>
        <v>TBS</v>
      </c>
      <c r="E5619" s="2" t="str">
        <f>IFERROR(__xludf.DUMMYFUNCTION("""COMPUTED_VALUE"""),"日21")</f>
        <v>日21</v>
      </c>
      <c r="F5619" s="2" t="s">
        <v>15383</v>
      </c>
      <c r="G5619" s="2" t="s">
        <v>15396</v>
      </c>
      <c r="H5619" s="1">
        <v>7.0</v>
      </c>
      <c r="J5619" s="1" t="s">
        <v>11</v>
      </c>
      <c r="K5619" s="2" t="s">
        <v>15397</v>
      </c>
      <c r="L5619" s="2"/>
      <c r="M5619" s="2" t="str">
        <f>IFERROR(__xludf.DUMMYFUNCTION("split(split(K5619,""【"",false),""公式LINE"",false)"),"速水（向井理）と遥（尾野真千子）に、山の診療所を閉鎖すると話した倉木（時任三郎）。沢口（松重豊）にはメールで報告し、小山（笹野高史）にも話そうとするが言い出せない。あかり（小池栄子）の夫・優太（長谷川朝晴）が、フラフラしながら山荘にやってきた。父親に会いたかった娘の桃花（本田望結）は喜ぶが、離婚を考えているあかりは、夫を拒絶する。翌日に、ピクニックを控えていた2人だったが、桃花の訴えを理解したあかりは、優太とガイド役の小山を加えた4人でピクニックへ行くことに。山中で優太がおどけてスキップをすると、足が絡ま"&amp;"りよろめき…。高井（佐藤二朗）から稜ヶ岳診療所の閉鎖を聞いた山荘のメンバーと医学生たちは、速水に意見を求める。そこで速水は、ある決意をする。速水圭吾…向井　理    小山　遥…尾野真千子  平原あかり…小池栄子    小山雪乃…三浦理恵子  井上幸治…山崎樹範  沢口光香…市川由衣    木野憲太…菅田将暉  村田佳秀…小澤亮太  鈴木真子…能年玲奈    田中謙介…前田公輝  宮下エミリ…折山みゆ    平原桃花…本田望結    小山雄一…笹野高史    平原優太…長谷川朝晴    高井聡志…佐藤二朗 "&amp;"   沢口哲夫…松重　豊    倉木泰典…時任三郎  主題歌：Superfly  「輝く月のように」  （ワーナーミュージック・ジャパン）")</f>
        <v>速水（向井理）と遥（尾野真千子）に、山の診療所を閉鎖すると話した倉木（時任三郎）。沢口（松重豊）にはメールで報告し、小山（笹野高史）にも話そうとするが言い出せない。あかり（小池栄子）の夫・優太（長谷川朝晴）が、フラフラしながら山荘にやってきた。父親に会いたかった娘の桃花（本田望結）は喜ぶが、離婚を考えているあかりは、夫を拒絶する。翌日に、ピクニックを控えていた2人だったが、桃花の訴えを理解したあかりは、優太とガイド役の小山を加えた4人でピクニックへ行くことに。山中で優太がおどけてスキップをすると、足が絡まりよろめき…。高井（佐藤二朗）から稜ヶ岳診療所の閉鎖を聞いた山荘のメンバーと医学生たちは、速水に意見を求める。そこで速水は、ある決意をする。速水圭吾…向井　理    小山　遥…尾野真千子  平原あかり…小池栄子    小山雪乃…三浦理恵子  井上幸治…山崎樹範  沢口光香…市川由衣    木野憲太…菅田将暉  村田佳秀…小澤亮太  鈴木真子…能年玲奈    田中謙介…前田公輝  宮下エミリ…折山みゆ    平原桃花…本田望結    小山雄一…笹野高史    平原優太…長谷川朝晴    高井聡志…佐藤二朗    沢口哲夫…松重　豊    倉木泰典…時任三郎  主題歌：Superfly  「輝く月のように」  （ワーナーミュージック・ジャパン）</v>
      </c>
      <c r="N5619" s="2"/>
      <c r="O5619" s="2"/>
      <c r="P5619" s="1"/>
      <c r="Q5619" s="1"/>
      <c r="R5619" s="1"/>
      <c r="S5619" s="1"/>
      <c r="T5619" s="1"/>
      <c r="U5619" s="1"/>
      <c r="V5619" s="1"/>
      <c r="W5619" s="1"/>
      <c r="X5619" s="1"/>
      <c r="Y5619" s="1"/>
      <c r="Z5619" s="1"/>
      <c r="AA5619" s="1"/>
      <c r="AB5619" s="1"/>
      <c r="AC5619" s="1"/>
      <c r="AD5619" s="1"/>
      <c r="AE5619" s="1"/>
      <c r="AF5619" s="1"/>
      <c r="AG5619" s="1"/>
      <c r="AH5619" s="1"/>
      <c r="AI5619" s="1"/>
      <c r="AJ5619" s="1"/>
      <c r="AK5619" s="1"/>
      <c r="AL5619" s="1"/>
      <c r="AM5619" s="1"/>
      <c r="AN5619" s="1"/>
      <c r="AO5619" s="1"/>
      <c r="AP5619" s="1"/>
      <c r="AQ5619" s="1"/>
      <c r="AR5619" s="1"/>
      <c r="AS5619" s="1"/>
      <c r="AT5619" s="1"/>
      <c r="AU5619" s="1"/>
      <c r="AV5619" s="1"/>
      <c r="AW5619" s="1"/>
      <c r="AX5619" s="1"/>
      <c r="AY5619" s="1"/>
      <c r="AZ5619" s="1"/>
      <c r="BA5619" s="1"/>
      <c r="BB5619" s="1"/>
    </row>
    <row r="5620" ht="204.75" customHeight="1">
      <c r="A5620" s="1">
        <v>3791.0</v>
      </c>
      <c r="B5620" s="2" t="s">
        <v>15382</v>
      </c>
      <c r="C5620" s="2">
        <f>IFERROR(__xludf.DUMMYFUNCTION("split(B5620,""_"")"),1207.0)</f>
        <v>1207</v>
      </c>
      <c r="D5620" s="2" t="str">
        <f>IFERROR(__xludf.DUMMYFUNCTION("""COMPUTED_VALUE"""),"TBS")</f>
        <v>TBS</v>
      </c>
      <c r="E5620" s="2" t="str">
        <f>IFERROR(__xludf.DUMMYFUNCTION("""COMPUTED_VALUE"""),"日21")</f>
        <v>日21</v>
      </c>
      <c r="F5620" s="2" t="s">
        <v>15383</v>
      </c>
      <c r="G5620" s="2" t="s">
        <v>15398</v>
      </c>
      <c r="H5620" s="1">
        <v>8.0</v>
      </c>
      <c r="J5620" s="1" t="s">
        <v>11</v>
      </c>
      <c r="K5620" s="2" t="s">
        <v>15399</v>
      </c>
      <c r="L5620" s="2"/>
      <c r="M5620" s="2" t="str">
        <f>IFERROR(__xludf.DUMMYFUNCTION("split(split(K5620,""【"",false),""公式LINE"",false)"),"山の診療所を潰そうとする人たちと戦うと決意した速水（向井理）は、明慶大学病院にいる沢口（松重豊）と話し合うため、早朝から倉木（時任三郎）に挨拶をして下山する。遥も速水を手伝うため、一緒に東京へと向かう。倉木は、小山（笹野高史）に速水が下山したことと、診療所を閉鎖する予定だと告げる。  速水は沢口に、閉鎖を考え直して欲しいと訴えるが、最新の医療を学んで多くの命を救えと跳ね返される。そこへ倉木が現れて明慶の医療に関わる全ての人間による臨時総会を提案。沢口はそれを受け入れる。  速水と遥は、あかり（小池栄子）の"&amp;"もとを訪れ、これまでに山の診療所で治療を受けた患者に署名をもらうことを計画する。そして、運命の臨時総会を迎えるがー。  一方、臨時総会の結果を待つ稜ヶ岳では、小山が1人で山へ行っていた。小山がお祈りをしていると、胸に激痛が走り倒れこんでしまう。速水圭吾…向井　理  小山　遥…尾野真千子    平原あかり…小池栄子    小山雪乃…三浦理恵子  井上幸治…山崎樹範    木野憲太…菅田将暉  村田佳秀…小澤亮太  鈴木真子…能年玲奈    平原桃花…本田望結  田中謙介…前田公輝  宮下エミリ…折山みゆ  "&amp;"　　◯  沢口光香…市川由衣  野村恭介…戸次重幸    小山雄一…笹野高史    高井聡志…佐藤二朗    沢口哲夫…松重　豊    倉木泰典…時任三郎主題歌：Superfly  「輝く月のように」  （ワーナーミュージック・ジャパン）")</f>
        <v>山の診療所を潰そうとする人たちと戦うと決意した速水（向井理）は、明慶大学病院にいる沢口（松重豊）と話し合うため、早朝から倉木（時任三郎）に挨拶をして下山する。遥も速水を手伝うため、一緒に東京へと向かう。倉木は、小山（笹野高史）に速水が下山したことと、診療所を閉鎖する予定だと告げる。  速水は沢口に、閉鎖を考え直して欲しいと訴えるが、最新の医療を学んで多くの命を救えと跳ね返される。そこへ倉木が現れて明慶の医療に関わる全ての人間による臨時総会を提案。沢口はそれを受け入れる。  速水と遥は、あかり（小池栄子）のもとを訪れ、これまでに山の診療所で治療を受けた患者に署名をもらうことを計画する。そして、運命の臨時総会を迎えるがー。  一方、臨時総会の結果を待つ稜ヶ岳では、小山が1人で山へ行っていた。小山がお祈りをしていると、胸に激痛が走り倒れこんでしまう。速水圭吾…向井　理  小山　遥…尾野真千子    平原あかり…小池栄子    小山雪乃…三浦理恵子  井上幸治…山崎樹範    木野憲太…菅田将暉  村田佳秀…小澤亮太  鈴木真子…能年玲奈    平原桃花…本田望結  田中謙介…前田公輝  宮下エミリ…折山みゆ  　　◯  沢口光香…市川由衣  野村恭介…戸次重幸    小山雄一…笹野高史    高井聡志…佐藤二朗    沢口哲夫…松重　豊    倉木泰典…時任三郎主題歌：Superfly  「輝く月のように」  （ワーナーミュージック・ジャパン）</v>
      </c>
      <c r="N5620" s="2"/>
      <c r="O5620" s="2"/>
      <c r="P5620" s="1"/>
      <c r="Q5620" s="1"/>
      <c r="R5620" s="1"/>
      <c r="S5620" s="1"/>
      <c r="T5620" s="1"/>
      <c r="U5620" s="1"/>
      <c r="V5620" s="1"/>
      <c r="W5620" s="1"/>
      <c r="X5620" s="1"/>
      <c r="Y5620" s="1"/>
      <c r="Z5620" s="1"/>
      <c r="AA5620" s="1"/>
      <c r="AB5620" s="1"/>
      <c r="AC5620" s="1"/>
      <c r="AD5620" s="1"/>
      <c r="AE5620" s="1"/>
      <c r="AF5620" s="1"/>
      <c r="AG5620" s="1"/>
      <c r="AH5620" s="1"/>
      <c r="AI5620" s="1"/>
      <c r="AJ5620" s="1"/>
      <c r="AK5620" s="1"/>
      <c r="AL5620" s="1"/>
      <c r="AM5620" s="1"/>
      <c r="AN5620" s="1"/>
      <c r="AO5620" s="1"/>
      <c r="AP5620" s="1"/>
      <c r="AQ5620" s="1"/>
      <c r="AR5620" s="1"/>
      <c r="AS5620" s="1"/>
      <c r="AT5620" s="1"/>
      <c r="AU5620" s="1"/>
      <c r="AV5620" s="1"/>
      <c r="AW5620" s="1"/>
      <c r="AX5620" s="1"/>
      <c r="AY5620" s="1"/>
      <c r="AZ5620" s="1"/>
      <c r="BA5620" s="1"/>
      <c r="BB5620" s="1"/>
    </row>
    <row r="5621" ht="204.75" customHeight="1">
      <c r="A5621" s="1">
        <v>3792.0</v>
      </c>
      <c r="B5621" s="2" t="s">
        <v>15382</v>
      </c>
      <c r="C5621" s="2">
        <f>IFERROR(__xludf.DUMMYFUNCTION("split(B5621,""_"")"),1207.0)</f>
        <v>1207</v>
      </c>
      <c r="D5621" s="2" t="str">
        <f>IFERROR(__xludf.DUMMYFUNCTION("""COMPUTED_VALUE"""),"TBS")</f>
        <v>TBS</v>
      </c>
      <c r="E5621" s="2" t="str">
        <f>IFERROR(__xludf.DUMMYFUNCTION("""COMPUTED_VALUE"""),"日21")</f>
        <v>日21</v>
      </c>
      <c r="F5621" s="2" t="s">
        <v>15383</v>
      </c>
      <c r="G5621" s="2" t="s">
        <v>15400</v>
      </c>
      <c r="H5621" s="1">
        <v>9.0</v>
      </c>
      <c r="J5621" s="1" t="s">
        <v>11</v>
      </c>
      <c r="K5621" s="2" t="s">
        <v>15401</v>
      </c>
      <c r="L5621" s="2"/>
      <c r="M5621" s="2" t="str">
        <f>IFERROR(__xludf.DUMMYFUNCTION("split(split(K5621,""【"",false),""公式LINE"",false)"),"明慶大学病院では、速水（向井理）、遥（尾野真千子）、あかり（小池栄子）、沢口（松重豊）、倉木（時任三郎）らが見守る中、稜ヶ岳山荘の閉鎖についての投票が行われる。結果は・・・。そんな中、山で倒れて動けなくなっている小山（笹野高史）を雪乃（三浦理恵子）が見つけ出す。病状を聞いた倉木は、ヘリで東京の明慶大学病院に運ぶように指示。それを聞いていた速水は、オペを執刀したいと名乗り出る。沢口はヘリでの搬送ルールを破り、小山を明慶大学病院に搬送することへの反対を倉木に訴えるが、倉木は遥の母親の事故の詳細を明かし、協力し"&amp;"て欲しいと頼む。そして、小山のオペが始まるー速水圭吾…向井　理  小山　遥…尾野真千子    平原あかり…小池栄子    小山雪乃…三浦理恵子  井上幸治…山崎樹範  沢口光香…市川由衣    木野憲太…菅田将暉  村田佳秀…小澤亮太  鈴木真子…能年玲奈    平原桃花…本田望結  田中謙介…前田公輝  宮下エミリ…折山みゆ  　　　◯小山雄一…笹野高史    事務長…山崎　一    高井聡志…佐藤二朗    沢口哲夫…松重　豊    倉木泰典…時任三郎主題歌：Superfly  「輝く月のように」  "&amp;"（ワーナーミュージック・ジャパン）")</f>
        <v>明慶大学病院では、速水（向井理）、遥（尾野真千子）、あかり（小池栄子）、沢口（松重豊）、倉木（時任三郎）らが見守る中、稜ヶ岳山荘の閉鎖についての投票が行われる。結果は・・・。そんな中、山で倒れて動けなくなっている小山（笹野高史）を雪乃（三浦理恵子）が見つけ出す。病状を聞いた倉木は、ヘリで東京の明慶大学病院に運ぶように指示。それを聞いていた速水は、オペを執刀したいと名乗り出る。沢口はヘリでの搬送ルールを破り、小山を明慶大学病院に搬送することへの反対を倉木に訴えるが、倉木は遥の母親の事故の詳細を明かし、協力して欲しいと頼む。そして、小山のオペが始まるー速水圭吾…向井　理  小山　遥…尾野真千子    平原あかり…小池栄子    小山雪乃…三浦理恵子  井上幸治…山崎樹範  沢口光香…市川由衣    木野憲太…菅田将暉  村田佳秀…小澤亮太  鈴木真子…能年玲奈    平原桃花…本田望結  田中謙介…前田公輝  宮下エミリ…折山みゆ  　　　◯小山雄一…笹野高史    事務長…山崎　一    高井聡志…佐藤二朗    沢口哲夫…松重　豊    倉木泰典…時任三郎主題歌：Superfly  「輝く月のように」  （ワーナーミュージック・ジャパン）</v>
      </c>
      <c r="N5621" s="2"/>
      <c r="O5621" s="2"/>
      <c r="P5621" s="1"/>
      <c r="Q5621" s="1"/>
      <c r="R5621" s="1"/>
      <c r="S5621" s="1"/>
      <c r="T5621" s="1"/>
      <c r="U5621" s="1"/>
      <c r="V5621" s="1"/>
      <c r="W5621" s="1"/>
      <c r="X5621" s="1"/>
      <c r="Y5621" s="1"/>
      <c r="Z5621" s="1"/>
      <c r="AA5621" s="1"/>
      <c r="AB5621" s="1"/>
      <c r="AC5621" s="1"/>
      <c r="AD5621" s="1"/>
      <c r="AE5621" s="1"/>
      <c r="AF5621" s="1"/>
      <c r="AG5621" s="1"/>
      <c r="AH5621" s="1"/>
      <c r="AI5621" s="1"/>
      <c r="AJ5621" s="1"/>
      <c r="AK5621" s="1"/>
      <c r="AL5621" s="1"/>
      <c r="AM5621" s="1"/>
      <c r="AN5621" s="1"/>
      <c r="AO5621" s="1"/>
      <c r="AP5621" s="1"/>
      <c r="AQ5621" s="1"/>
      <c r="AR5621" s="1"/>
      <c r="AS5621" s="1"/>
      <c r="AT5621" s="1"/>
      <c r="AU5621" s="1"/>
      <c r="AV5621" s="1"/>
      <c r="AW5621" s="1"/>
      <c r="AX5621" s="1"/>
      <c r="AY5621" s="1"/>
      <c r="AZ5621" s="1"/>
      <c r="BA5621" s="1"/>
      <c r="BB5621" s="1"/>
    </row>
    <row r="5622" ht="204.75" customHeight="1">
      <c r="A5622" s="1">
        <v>3793.0</v>
      </c>
      <c r="B5622" s="2" t="s">
        <v>15382</v>
      </c>
      <c r="C5622" s="2">
        <f>IFERROR(__xludf.DUMMYFUNCTION("split(B5622,""_"")"),1207.0)</f>
        <v>1207</v>
      </c>
      <c r="D5622" s="2" t="str">
        <f>IFERROR(__xludf.DUMMYFUNCTION("""COMPUTED_VALUE"""),"TBS")</f>
        <v>TBS</v>
      </c>
      <c r="E5622" s="2" t="str">
        <f>IFERROR(__xludf.DUMMYFUNCTION("""COMPUTED_VALUE"""),"日21")</f>
        <v>日21</v>
      </c>
      <c r="F5622" s="2" t="s">
        <v>15383</v>
      </c>
      <c r="G5622" s="2" t="s">
        <v>15402</v>
      </c>
      <c r="H5622" s="1">
        <v>10.0</v>
      </c>
      <c r="J5622" s="1" t="s">
        <v>11</v>
      </c>
      <c r="K5622" s="2" t="s">
        <v>15403</v>
      </c>
      <c r="L5622" s="2"/>
      <c r="M5622" s="2" t="str">
        <f>IFERROR(__xludf.DUMMYFUNCTION("split(split(K5622,""【"",false),""公式LINE"",false)"),"小山（笹野高史）のオペを進める速水（向井理）、倉木（時任三郎）、あかり（小池栄子）ら。遥（尾野真千子）と沢口（松重豊）は、別の部屋で見守る。そんな中、小山の状態が急変し、心停止してしまう。速水は、必死に心臓マッサージを始めるが…。  稜ヶ岳診療所の閉鎖前日。速水が、稜ヶ岳山荘に到着するとあかりが、集合写真を撮ろうと提案。倉木は、速水に明慶大学病院を辞めたことを明かす。そんな中、沢口がやってくる。。設立時、看板を取り付けたから外すところも見届けたいと話す。稜ヶ岳診療所の最終日。倉木と沢口は遥の母親が事故にあ"&amp;"った日に行こうとしていた山へと向かう。するとそこには、速水がいた。遥に願い事が叶う場所と聞いていた速水は、診療所のことを願いに来ていた。一方、山荘で小山の荷物をまとめていた遥は亡くなった母親の日記を見つける。そこに書かれていた内容とは…。速水圭吾…向井　理  小山　遥…尾野真千子    平原あかり…小池栄子    小山雪乃…三浦理恵子  井上幸治…山崎樹範  沢口光香…市川由衣    木野憲太…菅田将暉  村田佳秀…小澤亮太  鈴木真子…能年玲奈    平原桃花…本田望結  田中謙介…前田公輝  宮下エミ"&amp;"リ…折山みゆ  　　　　○  小山雄一…笹野高史    登山客…阿南健治    高井聡志…佐藤二朗  沢口哲夫…松重　豊    倉木泰典…時任三郎主題歌：Superfly  「輝く月のように」  （ワーナーミュージック・ジャパン）")</f>
        <v>小山（笹野高史）のオペを進める速水（向井理）、倉木（時任三郎）、あかり（小池栄子）ら。遥（尾野真千子）と沢口（松重豊）は、別の部屋で見守る。そんな中、小山の状態が急変し、心停止してしまう。速水は、必死に心臓マッサージを始めるが…。  稜ヶ岳診療所の閉鎖前日。速水が、稜ヶ岳山荘に到着するとあかりが、集合写真を撮ろうと提案。倉木は、速水に明慶大学病院を辞めたことを明かす。そんな中、沢口がやってくる。。設立時、看板を取り付けたから外すところも見届けたいと話す。稜ヶ岳診療所の最終日。倉木と沢口は遥の母親が事故にあった日に行こうとしていた山へと向かう。するとそこには、速水がいた。遥に願い事が叶う場所と聞いていた速水は、診療所のことを願いに来ていた。一方、山荘で小山の荷物をまとめていた遥は亡くなった母親の日記を見つける。そこに書かれていた内容とは…。速水圭吾…向井　理  小山　遥…尾野真千子    平原あかり…小池栄子    小山雪乃…三浦理恵子  井上幸治…山崎樹範  沢口光香…市川由衣    木野憲太…菅田将暉  村田佳秀…小澤亮太  鈴木真子…能年玲奈    平原桃花…本田望結  田中謙介…前田公輝  宮下エミリ…折山みゆ  　　　　○  小山雄一…笹野高史    登山客…阿南健治    高井聡志…佐藤二朗  沢口哲夫…松重　豊    倉木泰典…時任三郎主題歌：Superfly  「輝く月のように」  （ワーナーミュージック・ジャパン）</v>
      </c>
      <c r="N5622" s="2"/>
      <c r="O5622" s="2"/>
      <c r="P5622" s="1"/>
      <c r="Q5622" s="1"/>
      <c r="R5622" s="1"/>
      <c r="S5622" s="1"/>
      <c r="T5622" s="1"/>
      <c r="U5622" s="1"/>
      <c r="V5622" s="1"/>
      <c r="W5622" s="1"/>
      <c r="X5622" s="1"/>
      <c r="Y5622" s="1"/>
      <c r="Z5622" s="1"/>
      <c r="AA5622" s="1"/>
      <c r="AB5622" s="1"/>
      <c r="AC5622" s="1"/>
      <c r="AD5622" s="1"/>
      <c r="AE5622" s="1"/>
      <c r="AF5622" s="1"/>
      <c r="AG5622" s="1"/>
      <c r="AH5622" s="1"/>
      <c r="AI5622" s="1"/>
      <c r="AJ5622" s="1"/>
      <c r="AK5622" s="1"/>
      <c r="AL5622" s="1"/>
      <c r="AM5622" s="1"/>
      <c r="AN5622" s="1"/>
      <c r="AO5622" s="1"/>
      <c r="AP5622" s="1"/>
      <c r="AQ5622" s="1"/>
      <c r="AR5622" s="1"/>
      <c r="AS5622" s="1"/>
      <c r="AT5622" s="1"/>
      <c r="AU5622" s="1"/>
      <c r="AV5622" s="1"/>
      <c r="AW5622" s="1"/>
      <c r="AX5622" s="1"/>
      <c r="AY5622" s="1"/>
      <c r="AZ5622" s="1"/>
      <c r="BA5622" s="1"/>
      <c r="BB5622" s="1"/>
    </row>
    <row r="5623" ht="204.75" customHeight="1">
      <c r="A5623" s="1">
        <v>3855.0</v>
      </c>
      <c r="B5623" s="2" t="s">
        <v>15404</v>
      </c>
      <c r="C5623" s="2">
        <f>IFERROR(__xludf.DUMMYFUNCTION("split(B5623,""_"")"),1204.0)</f>
        <v>1204</v>
      </c>
      <c r="D5623" s="2" t="str">
        <f>IFERROR(__xludf.DUMMYFUNCTION("""COMPUTED_VALUE"""),"TBS")</f>
        <v>TBS</v>
      </c>
      <c r="E5623" s="2" t="str">
        <f>IFERROR(__xludf.DUMMYFUNCTION("""COMPUTED_VALUE"""),"木21")</f>
        <v>木21</v>
      </c>
      <c r="F5623" s="2" t="s">
        <v>15405</v>
      </c>
      <c r="G5623" s="2" t="s">
        <v>15406</v>
      </c>
      <c r="H5623" s="1">
        <v>1.0</v>
      </c>
      <c r="J5623" s="1" t="s">
        <v>4</v>
      </c>
      <c r="K5623" s="2" t="s">
        <v>15407</v>
      </c>
      <c r="L5623" s="2"/>
      <c r="M5623" s="2" t="str">
        <f>IFERROR(__xludf.DUMMYFUNCTION("split(split(K5623,""【"",false),""公式LINE"",false)"),"ある住宅街に緊張の面持ちで佇む関ジャニ∞の錦戸亮（錦戸亮）。遥（優香）との結婚を家族に許してもらおうと挨拶にやってきていたのだ。遥の母・奈津（高畑淳子）は興味を示すも、遥の長女・芽衣（川島海荷）、長男・悠斗（今井悠貴）、次女・佳奈（谷花音）は結婚に賛成ではなかった。更に、錦戸のマネージャーの3人・朝比奈元子（財前直見）、間宮義春（八嶋智人）、脇坂正平（えなりかずき）にその事実を知られてしまう！錦戸　亮…錦戸亮（関ジャニ∞）  花村　遥…優香  花村芽衣…川島海荷（9nine）  花村悠斗…今井悠貴  花村"&amp;"佳奈…谷花音  脇坂正平…えなりかずき  刈谷隆博…佐藤二朗  竹富典子…島谷ひとみ  多田弘道…山田親太朗  花村奈津…高畑淳子  間宮義春…八嶋智人  岡嶋　充…城島茂（TOKIO）    ")</f>
        <v>ある住宅街に緊張の面持ちで佇む関ジャニ∞の錦戸亮（錦戸亮）。遥（優香）との結婚を家族に許してもらおうと挨拶にやってきていたのだ。遥の母・奈津（高畑淳子）は興味を示すも、遥の長女・芽衣（川島海荷）、長男・悠斗（今井悠貴）、次女・佳奈（谷花音）は結婚に賛成ではなかった。更に、錦戸のマネージャーの3人・朝比奈元子（財前直見）、間宮義春（八嶋智人）、脇坂正平（えなりかずき）にその事実を知られてしまう！錦戸　亮…錦戸亮（関ジャニ∞）  花村　遥…優香  花村芽衣…川島海荷（9nine）  花村悠斗…今井悠貴  花村佳奈…谷花音  脇坂正平…えなりかずき  刈谷隆博…佐藤二朗  竹富典子…島谷ひとみ  多田弘道…山田親太朗  花村奈津…高畑淳子  間宮義春…八嶋智人  岡嶋　充…城島茂（TOKIO）    </v>
      </c>
      <c r="N5623" s="2"/>
      <c r="O5623" s="2"/>
      <c r="P5623" s="1"/>
      <c r="Q5623" s="1"/>
      <c r="R5623" s="1"/>
      <c r="S5623" s="1"/>
      <c r="T5623" s="1"/>
      <c r="U5623" s="1"/>
      <c r="V5623" s="1"/>
      <c r="W5623" s="1"/>
      <c r="X5623" s="1"/>
      <c r="Y5623" s="1"/>
      <c r="Z5623" s="1"/>
      <c r="AA5623" s="1"/>
      <c r="AB5623" s="1"/>
      <c r="AC5623" s="1"/>
      <c r="AD5623" s="1"/>
      <c r="AE5623" s="1"/>
      <c r="AF5623" s="1"/>
      <c r="AG5623" s="1"/>
      <c r="AH5623" s="1"/>
      <c r="AI5623" s="1"/>
      <c r="AJ5623" s="1"/>
      <c r="AK5623" s="1"/>
      <c r="AL5623" s="1"/>
      <c r="AM5623" s="1"/>
      <c r="AN5623" s="1"/>
      <c r="AO5623" s="1"/>
      <c r="AP5623" s="1"/>
      <c r="AQ5623" s="1"/>
      <c r="AR5623" s="1"/>
      <c r="AS5623" s="1"/>
      <c r="AT5623" s="1"/>
      <c r="AU5623" s="1"/>
      <c r="AV5623" s="1"/>
      <c r="AW5623" s="1"/>
      <c r="AX5623" s="1"/>
      <c r="AY5623" s="1"/>
      <c r="AZ5623" s="1"/>
      <c r="BA5623" s="1"/>
      <c r="BB5623" s="1"/>
    </row>
    <row r="5624" ht="204.75" customHeight="1">
      <c r="A5624" s="1">
        <v>3856.0</v>
      </c>
      <c r="B5624" s="2" t="s">
        <v>15404</v>
      </c>
      <c r="C5624" s="2">
        <f>IFERROR(__xludf.DUMMYFUNCTION("split(B5624,""_"")"),1204.0)</f>
        <v>1204</v>
      </c>
      <c r="D5624" s="2" t="str">
        <f>IFERROR(__xludf.DUMMYFUNCTION("""COMPUTED_VALUE"""),"TBS")</f>
        <v>TBS</v>
      </c>
      <c r="E5624" s="2" t="str">
        <f>IFERROR(__xludf.DUMMYFUNCTION("""COMPUTED_VALUE"""),"木21")</f>
        <v>木21</v>
      </c>
      <c r="F5624" s="2" t="s">
        <v>15405</v>
      </c>
      <c r="G5624" s="2" t="s">
        <v>15408</v>
      </c>
      <c r="H5624" s="1">
        <v>2.0</v>
      </c>
      <c r="J5624" s="1" t="s">
        <v>11</v>
      </c>
      <c r="K5624" s="2" t="s">
        <v>15409</v>
      </c>
      <c r="L5624" s="2"/>
      <c r="M5624" s="2" t="str">
        <f>IFERROR(__xludf.DUMMYFUNCTION("split(split(K5624,""【"",false),""公式LINE"",false)"),"遥（優香）と極秘結婚した錦戸（錦戸亮）は、花村家で遥、芽衣（川島海荷）、悠斗（今井悠貴）、佳奈（谷花音）、奈津（高畑淳子）と一緒に暮らすことになるが、子供たちは渋い顔。しかし遥の希望もあり、マネージャーの脇坂（えなりかずき）から細かい注意を受けながらも、夫として、パパとして、新しい生活を始める。子供たちと仲良くなるためにも、さっそく家族サービスをしようと張り切る錦戸だったが…。錦戸　亮…錦戸亮（関ジャニ∞）  花村　遥…優香  花村芽衣…川島海荷  花村悠斗…今井悠貴  花村佳奈…谷花音  脇坂正平…えな"&amp;"りかずき  刈谷隆博…佐藤二朗  竹富典子…島谷ひとみ  多田弘道…山田親太朗  花村奈津…高畑淳子  間宮義春…八嶋智人  岡嶋　充…城島茂（TOKIO）    ")</f>
        <v>遥（優香）と極秘結婚した錦戸（錦戸亮）は、花村家で遥、芽衣（川島海荷）、悠斗（今井悠貴）、佳奈（谷花音）、奈津（高畑淳子）と一緒に暮らすことになるが、子供たちは渋い顔。しかし遥の希望もあり、マネージャーの脇坂（えなりかずき）から細かい注意を受けながらも、夫として、パパとして、新しい生活を始める。子供たちと仲良くなるためにも、さっそく家族サービスをしようと張り切る錦戸だったが…。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v>
      </c>
      <c r="N5624" s="2"/>
      <c r="O5624" s="2"/>
      <c r="P5624" s="1"/>
      <c r="Q5624" s="1"/>
      <c r="R5624" s="1"/>
      <c r="S5624" s="1"/>
      <c r="T5624" s="1"/>
      <c r="U5624" s="1"/>
      <c r="V5624" s="1"/>
      <c r="W5624" s="1"/>
      <c r="X5624" s="1"/>
      <c r="Y5624" s="1"/>
      <c r="Z5624" s="1"/>
      <c r="AA5624" s="1"/>
      <c r="AB5624" s="1"/>
      <c r="AC5624" s="1"/>
      <c r="AD5624" s="1"/>
      <c r="AE5624" s="1"/>
      <c r="AF5624" s="1"/>
      <c r="AG5624" s="1"/>
      <c r="AH5624" s="1"/>
      <c r="AI5624" s="1"/>
      <c r="AJ5624" s="1"/>
      <c r="AK5624" s="1"/>
      <c r="AL5624" s="1"/>
      <c r="AM5624" s="1"/>
      <c r="AN5624" s="1"/>
      <c r="AO5624" s="1"/>
      <c r="AP5624" s="1"/>
      <c r="AQ5624" s="1"/>
      <c r="AR5624" s="1"/>
      <c r="AS5624" s="1"/>
      <c r="AT5624" s="1"/>
      <c r="AU5624" s="1"/>
      <c r="AV5624" s="1"/>
      <c r="AW5624" s="1"/>
      <c r="AX5624" s="1"/>
      <c r="AY5624" s="1"/>
      <c r="AZ5624" s="1"/>
      <c r="BA5624" s="1"/>
      <c r="BB5624" s="1"/>
    </row>
    <row r="5625" ht="204.75" customHeight="1">
      <c r="A5625" s="1">
        <v>3857.0</v>
      </c>
      <c r="B5625" s="2" t="s">
        <v>15404</v>
      </c>
      <c r="C5625" s="2">
        <f>IFERROR(__xludf.DUMMYFUNCTION("split(B5625,""_"")"),1204.0)</f>
        <v>1204</v>
      </c>
      <c r="D5625" s="2" t="str">
        <f>IFERROR(__xludf.DUMMYFUNCTION("""COMPUTED_VALUE"""),"TBS")</f>
        <v>TBS</v>
      </c>
      <c r="E5625" s="2" t="str">
        <f>IFERROR(__xludf.DUMMYFUNCTION("""COMPUTED_VALUE"""),"木21")</f>
        <v>木21</v>
      </c>
      <c r="F5625" s="2" t="s">
        <v>15405</v>
      </c>
      <c r="G5625" s="2" t="s">
        <v>15410</v>
      </c>
      <c r="H5625" s="1">
        <v>3.0</v>
      </c>
      <c r="J5625" s="1" t="s">
        <v>11</v>
      </c>
      <c r="K5625" s="2" t="s">
        <v>15411</v>
      </c>
      <c r="L5625" s="2"/>
      <c r="M5625" s="2" t="str">
        <f>IFERROR(__xludf.DUMMYFUNCTION("split(split(K5625,""【"",false),""公式LINE"",false)"),"写真週刊誌に共演者・なゆみ（高梨臨）との写真を撮られてしまった錦戸（錦戸亮）。「熱愛発覚!!」と世間は大騒ぎするが、もちろん事実無根。錦戸としては妻・遥（優香）の反応が気になるところ。遥は「大丈夫」「気にしてない」と言うが、その言葉にまた物足りなさを感じてしまう・・・。そんな時、佳奈の発案で遥たちは錦戸の撮影現場にやってくる。もちろん錦戸には内緒でー。錦戸　亮…錦戸亮（関ジャニ∞）  花村　遥…優香  花村芽衣…川島海荷  花村悠斗…今井悠貴  花村佳奈…谷花音  脇坂正平…えなりかずき  刈谷隆博…佐藤"&amp;"二朗  竹富典子…島谷ひとみ  多田弘道…山田親太朗  花村奈津…高畑淳子  間宮義春…八嶋智人  岡嶋　充…城島茂（TOKIO）")</f>
        <v>写真週刊誌に共演者・なゆみ（高梨臨）との写真を撮られてしまった錦戸（錦戸亮）。「熱愛発覚!!」と世間は大騒ぎするが、もちろん事実無根。錦戸としては妻・遥（優香）の反応が気になるところ。遥は「大丈夫」「気にしてない」と言うが、その言葉にまた物足りなさを感じてしまう・・・。そんな時、佳奈の発案で遥たちは錦戸の撮影現場にやってくる。もちろん錦戸には内緒でー。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v>
      </c>
      <c r="N5625" s="2"/>
      <c r="O5625" s="2"/>
      <c r="P5625" s="1"/>
      <c r="Q5625" s="1"/>
      <c r="R5625" s="1"/>
      <c r="S5625" s="1"/>
      <c r="T5625" s="1"/>
      <c r="U5625" s="1"/>
      <c r="V5625" s="1"/>
      <c r="W5625" s="1"/>
      <c r="X5625" s="1"/>
      <c r="Y5625" s="1"/>
      <c r="Z5625" s="1"/>
      <c r="AA5625" s="1"/>
      <c r="AB5625" s="1"/>
      <c r="AC5625" s="1"/>
      <c r="AD5625" s="1"/>
      <c r="AE5625" s="1"/>
      <c r="AF5625" s="1"/>
      <c r="AG5625" s="1"/>
      <c r="AH5625" s="1"/>
      <c r="AI5625" s="1"/>
      <c r="AJ5625" s="1"/>
      <c r="AK5625" s="1"/>
      <c r="AL5625" s="1"/>
      <c r="AM5625" s="1"/>
      <c r="AN5625" s="1"/>
      <c r="AO5625" s="1"/>
      <c r="AP5625" s="1"/>
      <c r="AQ5625" s="1"/>
      <c r="AR5625" s="1"/>
      <c r="AS5625" s="1"/>
      <c r="AT5625" s="1"/>
      <c r="AU5625" s="1"/>
      <c r="AV5625" s="1"/>
      <c r="AW5625" s="1"/>
      <c r="AX5625" s="1"/>
      <c r="AY5625" s="1"/>
      <c r="AZ5625" s="1"/>
      <c r="BA5625" s="1"/>
      <c r="BB5625" s="1"/>
    </row>
    <row r="5626" ht="204.75" customHeight="1">
      <c r="A5626" s="1">
        <v>3858.0</v>
      </c>
      <c r="B5626" s="2" t="s">
        <v>15404</v>
      </c>
      <c r="C5626" s="2">
        <f>IFERROR(__xludf.DUMMYFUNCTION("split(B5626,""_"")"),1204.0)</f>
        <v>1204</v>
      </c>
      <c r="D5626" s="2" t="str">
        <f>IFERROR(__xludf.DUMMYFUNCTION("""COMPUTED_VALUE"""),"TBS")</f>
        <v>TBS</v>
      </c>
      <c r="E5626" s="2" t="str">
        <f>IFERROR(__xludf.DUMMYFUNCTION("""COMPUTED_VALUE"""),"木21")</f>
        <v>木21</v>
      </c>
      <c r="F5626" s="2" t="s">
        <v>15405</v>
      </c>
      <c r="G5626" s="2" t="s">
        <v>15412</v>
      </c>
      <c r="H5626" s="1">
        <v>4.0</v>
      </c>
      <c r="J5626" s="1" t="s">
        <v>11</v>
      </c>
      <c r="K5626" s="2" t="s">
        <v>15413</v>
      </c>
      <c r="L5626" s="2"/>
      <c r="M5626" s="2" t="str">
        <f>IFERROR(__xludf.DUMMYFUNCTION("split(split(K5626,""【"",false),""公式LINE"",false)"),"錦戸（錦戸亮）の個人情報がネットに流れ出した。間宮（八嶋智人）と脇坂（えなりかずき）は錦戸が遥（優香）たちと住む家を訪れ、悠斗（今井悠貴）を問い詰める…。   あまり会話をせず、パソコンにばかり向かっている悠斗のことがよくわからない、と戸惑う遥。錦戸が「パパとして頼ってもらいたい」と積極的にはたらきかけようとすると、悠斗は「芸能人にどうやったらなれるのか？」と言い出す。錦戸　亮…錦戸亮（関ジャニ∞）  花村　遥…優香  花村芽衣…川島海荷  花村悠斗…今井悠貴  花村佳奈…谷花音  脇坂正平…えなりかずき"&amp;"  刈谷隆博…佐藤二朗  竹富典子…島谷ひとみ  多田弘道…山田親太朗  花村奈津…高畑淳子  間宮義春…八嶋智人  岡嶋　充…城島茂（TOKIO）  ")</f>
        <v>錦戸（錦戸亮）の個人情報がネットに流れ出した。間宮（八嶋智人）と脇坂（えなりかずき）は錦戸が遥（優香）たちと住む家を訪れ、悠斗（今井悠貴）を問い詰める…。   あまり会話をせず、パソコンにばかり向かっている悠斗のことがよくわからない、と戸惑う遥。錦戸が「パパとして頼ってもらいたい」と積極的にはたらきかけようとすると、悠斗は「芸能人にどうやったらなれるのか？」と言い出す。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v>
      </c>
      <c r="N5626" s="2"/>
      <c r="O5626" s="2"/>
      <c r="P5626" s="1"/>
      <c r="Q5626" s="1"/>
      <c r="R5626" s="1"/>
      <c r="S5626" s="1"/>
      <c r="T5626" s="1"/>
      <c r="U5626" s="1"/>
      <c r="V5626" s="1"/>
      <c r="W5626" s="1"/>
      <c r="X5626" s="1"/>
      <c r="Y5626" s="1"/>
      <c r="Z5626" s="1"/>
      <c r="AA5626" s="1"/>
      <c r="AB5626" s="1"/>
      <c r="AC5626" s="1"/>
      <c r="AD5626" s="1"/>
      <c r="AE5626" s="1"/>
      <c r="AF5626" s="1"/>
      <c r="AG5626" s="1"/>
      <c r="AH5626" s="1"/>
      <c r="AI5626" s="1"/>
      <c r="AJ5626" s="1"/>
      <c r="AK5626" s="1"/>
      <c r="AL5626" s="1"/>
      <c r="AM5626" s="1"/>
      <c r="AN5626" s="1"/>
      <c r="AO5626" s="1"/>
      <c r="AP5626" s="1"/>
      <c r="AQ5626" s="1"/>
      <c r="AR5626" s="1"/>
      <c r="AS5626" s="1"/>
      <c r="AT5626" s="1"/>
      <c r="AU5626" s="1"/>
      <c r="AV5626" s="1"/>
      <c r="AW5626" s="1"/>
      <c r="AX5626" s="1"/>
      <c r="AY5626" s="1"/>
      <c r="AZ5626" s="1"/>
      <c r="BA5626" s="1"/>
      <c r="BB5626" s="1"/>
    </row>
    <row r="5627" ht="204.75" customHeight="1">
      <c r="A5627" s="1">
        <v>3859.0</v>
      </c>
      <c r="B5627" s="2" t="s">
        <v>15404</v>
      </c>
      <c r="C5627" s="2">
        <f>IFERROR(__xludf.DUMMYFUNCTION("split(B5627,""_"")"),1204.0)</f>
        <v>1204</v>
      </c>
      <c r="D5627" s="2" t="str">
        <f>IFERROR(__xludf.DUMMYFUNCTION("""COMPUTED_VALUE"""),"TBS")</f>
        <v>TBS</v>
      </c>
      <c r="E5627" s="2" t="str">
        <f>IFERROR(__xludf.DUMMYFUNCTION("""COMPUTED_VALUE"""),"木21")</f>
        <v>木21</v>
      </c>
      <c r="F5627" s="2" t="s">
        <v>15405</v>
      </c>
      <c r="G5627" s="2" t="s">
        <v>15414</v>
      </c>
      <c r="H5627" s="1">
        <v>5.0</v>
      </c>
      <c r="J5627" s="1" t="s">
        <v>11</v>
      </c>
      <c r="K5627" s="2" t="s">
        <v>15415</v>
      </c>
      <c r="L5627" s="2"/>
      <c r="M5627" s="2" t="str">
        <f>IFERROR(__xludf.DUMMYFUNCTION("split(split(K5627,""【"",false),""公式LINE"",false)"),"錦戸（錦戸亮）と遥（優香）の結婚が関ジャニ∞のメンバー・安田（安田章大）にバレた！これを機に、錦戸は結婚のことをメンバーみんなに話そうと決心する。  一方、撮影のオフを利用して遥たちと大阪へ、初めての家族旅行を計画した錦戸。張り切って大阪を案内する錦戸だったが、急なミーティングがあると言われメンバーたちに東京に呼びもどされる・・・。錦戸亮…錦戸亮（関ジャニ∞）  花村遥…優香  花村芽衣…川島海荷  花村悠斗…今井悠貴  花村佳奈…谷花音  脇坂正平…えなりかずき  刈谷隆博…佐藤二朗  竹富典子…島谷ひ"&amp;"とみ  多田弘道…山田親太朗  花村奈津…高畑淳子  間宮義春…八嶋智人  岡嶋充…城島茂（TOKIO）  ")</f>
        <v>錦戸（錦戸亮）と遥（優香）の結婚が関ジャニ∞のメンバー・安田（安田章大）にバレた！これを機に、錦戸は結婚のことをメンバーみんなに話そうと決心する。  一方、撮影のオフを利用して遥たちと大阪へ、初めての家族旅行を計画した錦戸。張り切って大阪を案内する錦戸だったが、急なミーティングがあると言われメンバーたちに東京に呼びもどされる・・・。錦戸亮…錦戸亮（関ジャニ∞）  花村遥…優香  花村芽衣…川島海荷  花村悠斗…今井悠貴  花村佳奈…谷花音  脇坂正平…えなりかずき  刈谷隆博…佐藤二朗  竹富典子…島谷ひとみ  多田弘道…山田親太朗  花村奈津…高畑淳子  間宮義春…八嶋智人  岡嶋充…城島茂（TOKIO）  </v>
      </c>
      <c r="N5627" s="2"/>
      <c r="O5627" s="2"/>
      <c r="P5627" s="1"/>
      <c r="Q5627" s="1"/>
      <c r="R5627" s="1"/>
      <c r="S5627" s="1"/>
      <c r="T5627" s="1"/>
      <c r="U5627" s="1"/>
      <c r="V5627" s="1"/>
      <c r="W5627" s="1"/>
      <c r="X5627" s="1"/>
      <c r="Y5627" s="1"/>
      <c r="Z5627" s="1"/>
      <c r="AA5627" s="1"/>
      <c r="AB5627" s="1"/>
      <c r="AC5627" s="1"/>
      <c r="AD5627" s="1"/>
      <c r="AE5627" s="1"/>
      <c r="AF5627" s="1"/>
      <c r="AG5627" s="1"/>
      <c r="AH5627" s="1"/>
      <c r="AI5627" s="1"/>
      <c r="AJ5627" s="1"/>
      <c r="AK5627" s="1"/>
      <c r="AL5627" s="1"/>
      <c r="AM5627" s="1"/>
      <c r="AN5627" s="1"/>
      <c r="AO5627" s="1"/>
      <c r="AP5627" s="1"/>
      <c r="AQ5627" s="1"/>
      <c r="AR5627" s="1"/>
      <c r="AS5627" s="1"/>
      <c r="AT5627" s="1"/>
      <c r="AU5627" s="1"/>
      <c r="AV5627" s="1"/>
      <c r="AW5627" s="1"/>
      <c r="AX5627" s="1"/>
      <c r="AY5627" s="1"/>
      <c r="AZ5627" s="1"/>
      <c r="BA5627" s="1"/>
      <c r="BB5627" s="1"/>
    </row>
    <row r="5628" ht="204.75" customHeight="1">
      <c r="A5628" s="1">
        <v>3860.0</v>
      </c>
      <c r="B5628" s="2" t="s">
        <v>15404</v>
      </c>
      <c r="C5628" s="2">
        <f>IFERROR(__xludf.DUMMYFUNCTION("split(B5628,""_"")"),1204.0)</f>
        <v>1204</v>
      </c>
      <c r="D5628" s="2" t="str">
        <f>IFERROR(__xludf.DUMMYFUNCTION("""COMPUTED_VALUE"""),"TBS")</f>
        <v>TBS</v>
      </c>
      <c r="E5628" s="2" t="str">
        <f>IFERROR(__xludf.DUMMYFUNCTION("""COMPUTED_VALUE"""),"木21")</f>
        <v>木21</v>
      </c>
      <c r="F5628" s="2" t="s">
        <v>15405</v>
      </c>
      <c r="G5628" s="2" t="s">
        <v>15416</v>
      </c>
      <c r="H5628" s="1">
        <v>6.0</v>
      </c>
      <c r="J5628" s="1" t="s">
        <v>11</v>
      </c>
      <c r="K5628" s="2" t="s">
        <v>15417</v>
      </c>
      <c r="L5628" s="2"/>
      <c r="M5628" s="2" t="str">
        <f>IFERROR(__xludf.DUMMYFUNCTION("split(split(K5628,""【"",false),""公式LINE"",false)"),"芽衣（川島海荷）と彼氏・矢崎（白又敦）のキスを目撃してしまった錦戸（錦戸亮）。錦戸は男親として複雑な心境だが、ひとまず応援しようと心に決める。ところが、錦戸は矢崎が別の女の子とキスしているところも見てしまった！遥（優香）は「親が言うことじゃない」と楽天的だが、錦戸は芽衣に伝えるべきか思い悩む。そんな時、芽衣と矢崎が遊園地にデートに行くことになり、どうしても芽衣のことが心配な錦戸も…。錦戸　亮…錦戸亮（関ジャニ∞）  花村　遥…優香  花村芽衣…川島海荷  花村悠斗…今井悠貴  花村佳奈…谷花音  脇坂正平"&amp;"…えなりかずき  刈谷隆博…佐藤二朗  竹富典子…島谷ひとみ  多田弘道…山田親太朗  花村奈津…高畑淳子  間宮義春…八嶋智人  岡嶋　充…城島茂（TOKIO）    ")</f>
        <v>芽衣（川島海荷）と彼氏・矢崎（白又敦）のキスを目撃してしまった錦戸（錦戸亮）。錦戸は男親として複雑な心境だが、ひとまず応援しようと心に決める。ところが、錦戸は矢崎が別の女の子とキスしているところも見てしまった！遥（優香）は「親が言うことじゃない」と楽天的だが、錦戸は芽衣に伝えるべきか思い悩む。そんな時、芽衣と矢崎が遊園地にデートに行くことになり、どうしても芽衣のことが心配な錦戸も…。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v>
      </c>
      <c r="N5628" s="2"/>
      <c r="O5628" s="2"/>
      <c r="P5628" s="1"/>
      <c r="Q5628" s="1"/>
      <c r="R5628" s="1"/>
      <c r="S5628" s="1"/>
      <c r="T5628" s="1"/>
      <c r="U5628" s="1"/>
      <c r="V5628" s="1"/>
      <c r="W5628" s="1"/>
      <c r="X5628" s="1"/>
      <c r="Y5628" s="1"/>
      <c r="Z5628" s="1"/>
      <c r="AA5628" s="1"/>
      <c r="AB5628" s="1"/>
      <c r="AC5628" s="1"/>
      <c r="AD5628" s="1"/>
      <c r="AE5628" s="1"/>
      <c r="AF5628" s="1"/>
      <c r="AG5628" s="1"/>
      <c r="AH5628" s="1"/>
      <c r="AI5628" s="1"/>
      <c r="AJ5628" s="1"/>
      <c r="AK5628" s="1"/>
      <c r="AL5628" s="1"/>
      <c r="AM5628" s="1"/>
      <c r="AN5628" s="1"/>
      <c r="AO5628" s="1"/>
      <c r="AP5628" s="1"/>
      <c r="AQ5628" s="1"/>
      <c r="AR5628" s="1"/>
      <c r="AS5628" s="1"/>
      <c r="AT5628" s="1"/>
      <c r="AU5628" s="1"/>
      <c r="AV5628" s="1"/>
      <c r="AW5628" s="1"/>
      <c r="AX5628" s="1"/>
      <c r="AY5628" s="1"/>
      <c r="AZ5628" s="1"/>
      <c r="BA5628" s="1"/>
      <c r="BB5628" s="1"/>
    </row>
    <row r="5629" ht="204.75" customHeight="1">
      <c r="A5629" s="1">
        <v>3861.0</v>
      </c>
      <c r="B5629" s="2" t="s">
        <v>15404</v>
      </c>
      <c r="C5629" s="2">
        <f>IFERROR(__xludf.DUMMYFUNCTION("split(B5629,""_"")"),1204.0)</f>
        <v>1204</v>
      </c>
      <c r="D5629" s="2" t="str">
        <f>IFERROR(__xludf.DUMMYFUNCTION("""COMPUTED_VALUE"""),"TBS")</f>
        <v>TBS</v>
      </c>
      <c r="E5629" s="2" t="str">
        <f>IFERROR(__xludf.DUMMYFUNCTION("""COMPUTED_VALUE"""),"木21")</f>
        <v>木21</v>
      </c>
      <c r="F5629" s="2" t="s">
        <v>15405</v>
      </c>
      <c r="G5629" s="2" t="s">
        <v>15418</v>
      </c>
      <c r="H5629" s="1">
        <v>7.0</v>
      </c>
      <c r="J5629" s="1" t="s">
        <v>11</v>
      </c>
      <c r="K5629" s="2" t="s">
        <v>15419</v>
      </c>
      <c r="L5629" s="2"/>
      <c r="M5629" s="2" t="str">
        <f>IFERROR(__xludf.DUMMYFUNCTION("split(split(K5629,""【"",false),""公式LINE"",false)"),"錦戸（錦戸亮）たちの前に突然現れた男・佐倉鉄平（塚本高史）は、なんと遥（優香）の元ダンナで子供たちの父親だった！借金と浮気が原因で家を出たきりだった鉄平の出現に遥や子供たちは心なしか嬉しそう。鉄平に錦戸は嫉妬を覚える。錦戸と遥は鉄平に「アイドル・錦戸亮が結婚していることはヒミツ」と念を押すが、鉄平はそれを逆手に取り、ぐいぐいと錦戸にも接近を始める。どうやら鉄平にもヒミツがあるようで…。錦戸　亮…錦戸亮（関ジャニ∞）  花村　遥…優香  花村芽衣…川島海荷  花村悠斗…今井悠貴  花村佳奈…谷花音  脇坂正"&amp;"平…えなりかずき  刈谷隆博…佐藤二朗  竹富典子…島谷ひとみ  多田弘道…山田親太朗  花村奈津…高畑淳子  間宮義春…八嶋智人  岡嶋　充…城島茂（TOKIO）    ")</f>
        <v>錦戸（錦戸亮）たちの前に突然現れた男・佐倉鉄平（塚本高史）は、なんと遥（優香）の元ダンナで子供たちの父親だった！借金と浮気が原因で家を出たきりだった鉄平の出現に遥や子供たちは心なしか嬉しそう。鉄平に錦戸は嫉妬を覚える。錦戸と遥は鉄平に「アイドル・錦戸亮が結婚していることはヒミツ」と念を押すが、鉄平はそれを逆手に取り、ぐいぐいと錦戸にも接近を始める。どうやら鉄平にもヒミツがあるようで…。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v>
      </c>
      <c r="N5629" s="2"/>
      <c r="O5629" s="2"/>
      <c r="P5629" s="1"/>
      <c r="Q5629" s="1"/>
      <c r="R5629" s="1"/>
      <c r="S5629" s="1"/>
      <c r="T5629" s="1"/>
      <c r="U5629" s="1"/>
      <c r="V5629" s="1"/>
      <c r="W5629" s="1"/>
      <c r="X5629" s="1"/>
      <c r="Y5629" s="1"/>
      <c r="Z5629" s="1"/>
      <c r="AA5629" s="1"/>
      <c r="AB5629" s="1"/>
      <c r="AC5629" s="1"/>
      <c r="AD5629" s="1"/>
      <c r="AE5629" s="1"/>
      <c r="AF5629" s="1"/>
      <c r="AG5629" s="1"/>
      <c r="AH5629" s="1"/>
      <c r="AI5629" s="1"/>
      <c r="AJ5629" s="1"/>
      <c r="AK5629" s="1"/>
      <c r="AL5629" s="1"/>
      <c r="AM5629" s="1"/>
      <c r="AN5629" s="1"/>
      <c r="AO5629" s="1"/>
      <c r="AP5629" s="1"/>
      <c r="AQ5629" s="1"/>
      <c r="AR5629" s="1"/>
      <c r="AS5629" s="1"/>
      <c r="AT5629" s="1"/>
      <c r="AU5629" s="1"/>
      <c r="AV5629" s="1"/>
      <c r="AW5629" s="1"/>
      <c r="AX5629" s="1"/>
      <c r="AY5629" s="1"/>
      <c r="AZ5629" s="1"/>
      <c r="BA5629" s="1"/>
      <c r="BB5629" s="1"/>
    </row>
    <row r="5630" ht="204.75" customHeight="1">
      <c r="A5630" s="1">
        <v>3862.0</v>
      </c>
      <c r="B5630" s="2" t="s">
        <v>15404</v>
      </c>
      <c r="C5630" s="2">
        <f>IFERROR(__xludf.DUMMYFUNCTION("split(B5630,""_"")"),1204.0)</f>
        <v>1204</v>
      </c>
      <c r="D5630" s="2" t="str">
        <f>IFERROR(__xludf.DUMMYFUNCTION("""COMPUTED_VALUE"""),"TBS")</f>
        <v>TBS</v>
      </c>
      <c r="E5630" s="2" t="str">
        <f>IFERROR(__xludf.DUMMYFUNCTION("""COMPUTED_VALUE"""),"木21")</f>
        <v>木21</v>
      </c>
      <c r="F5630" s="2" t="s">
        <v>15405</v>
      </c>
      <c r="G5630" s="2" t="s">
        <v>15420</v>
      </c>
      <c r="H5630" s="1">
        <v>8.0</v>
      </c>
      <c r="J5630" s="1" t="s">
        <v>11</v>
      </c>
      <c r="K5630" s="2" t="s">
        <v>15421</v>
      </c>
      <c r="L5630" s="2"/>
      <c r="M5630" s="2" t="str">
        <f>IFERROR(__xludf.DUMMYFUNCTION("split(split(K5630,""【"",false),""公式LINE"",false)"),"写真週刊誌の記者・多田（山田親太朗）に結婚のことを嗅ぎ付けられそうになった錦戸（錦戸亮）は、家を出ざるをえなくなってしまった。カムフラージュとして錦戸の代わりに、遥の前夫の鉄平（塚本高史）が一緒に住むことに…。錦戸の胸中は複雑だった。鉄平が子供たちの父親に戻りたいといい始めたのだ。   　一方芽衣（川島海荷）や悠斗（今井悠貴）、佳奈（谷花音）は寂しさを感じ、錦戸に会いに仕事先に向かうが…。錦戸　亮…錦戸亮（関ジャニ∞）  花村　遥…優香  花村芽衣…川島海荷  花村悠斗…今井悠貴  花村佳奈…谷花音  脇"&amp;"坂正平…えなりかずき  刈谷隆博…佐藤二朗  竹富典子…島谷ひとみ  多田弘道…山田親太朗  花村奈津…高畑淳子  間宮義春…八嶋智人  岡嶋　充…城島茂（TOKIO）    ")</f>
        <v>写真週刊誌の記者・多田（山田親太朗）に結婚のことを嗅ぎ付けられそうになった錦戸（錦戸亮）は、家を出ざるをえなくなってしまった。カムフラージュとして錦戸の代わりに、遥の前夫の鉄平（塚本高史）が一緒に住むことに…。錦戸の胸中は複雑だった。鉄平が子供たちの父親に戻りたいといい始めたのだ。   　一方芽衣（川島海荷）や悠斗（今井悠貴）、佳奈（谷花音）は寂しさを感じ、錦戸に会いに仕事先に向かうが…。錦戸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v>
      </c>
      <c r="N5630" s="2"/>
      <c r="O5630" s="2"/>
      <c r="P5630" s="1"/>
      <c r="Q5630" s="1"/>
      <c r="R5630" s="1"/>
      <c r="S5630" s="1"/>
      <c r="T5630" s="1"/>
      <c r="U5630" s="1"/>
      <c r="V5630" s="1"/>
      <c r="W5630" s="1"/>
      <c r="X5630" s="1"/>
      <c r="Y5630" s="1"/>
      <c r="Z5630" s="1"/>
      <c r="AA5630" s="1"/>
      <c r="AB5630" s="1"/>
      <c r="AC5630" s="1"/>
      <c r="AD5630" s="1"/>
      <c r="AE5630" s="1"/>
      <c r="AF5630" s="1"/>
      <c r="AG5630" s="1"/>
      <c r="AH5630" s="1"/>
      <c r="AI5630" s="1"/>
      <c r="AJ5630" s="1"/>
      <c r="AK5630" s="1"/>
      <c r="AL5630" s="1"/>
      <c r="AM5630" s="1"/>
      <c r="AN5630" s="1"/>
      <c r="AO5630" s="1"/>
      <c r="AP5630" s="1"/>
      <c r="AQ5630" s="1"/>
      <c r="AR5630" s="1"/>
      <c r="AS5630" s="1"/>
      <c r="AT5630" s="1"/>
      <c r="AU5630" s="1"/>
      <c r="AV5630" s="1"/>
      <c r="AW5630" s="1"/>
      <c r="AX5630" s="1"/>
      <c r="AY5630" s="1"/>
      <c r="AZ5630" s="1"/>
      <c r="BA5630" s="1"/>
      <c r="BB5630" s="1"/>
    </row>
    <row r="5631" ht="204.75" customHeight="1">
      <c r="A5631" s="1">
        <v>3863.0</v>
      </c>
      <c r="B5631" s="2" t="s">
        <v>15404</v>
      </c>
      <c r="C5631" s="2">
        <f>IFERROR(__xludf.DUMMYFUNCTION("split(B5631,""_"")"),1204.0)</f>
        <v>1204</v>
      </c>
      <c r="D5631" s="2" t="str">
        <f>IFERROR(__xludf.DUMMYFUNCTION("""COMPUTED_VALUE"""),"TBS")</f>
        <v>TBS</v>
      </c>
      <c r="E5631" s="2" t="str">
        <f>IFERROR(__xludf.DUMMYFUNCTION("""COMPUTED_VALUE"""),"木21")</f>
        <v>木21</v>
      </c>
      <c r="F5631" s="2" t="s">
        <v>15405</v>
      </c>
      <c r="G5631" s="2" t="s">
        <v>15422</v>
      </c>
      <c r="H5631" s="1">
        <v>9.0</v>
      </c>
      <c r="J5631" s="1" t="s">
        <v>11</v>
      </c>
      <c r="K5631" s="2" t="s">
        <v>15423</v>
      </c>
      <c r="L5631" s="2"/>
      <c r="M5631" s="2" t="str">
        <f>IFERROR(__xludf.DUMMYFUNCTION("split(split(K5631,""【"",false),""公式LINE"",false)"),"極秘結婚の証拠を岡本なゆみ（高梨臨）のマネージャー・竹富（島谷ひとみ）に握られ、近いうちにファンや世間に結婚のことを話さなければならないと覚悟する錦戸。しかし、「その時」は最悪のカタチでやってきた・・・。あまりにもしつこい週刊誌記者・多田（山田親太朗）をテレビカメラの前で問い詰めてしまったのだ・・・。錦戸　亮…錦戸亮（関ジャニ∞）  花村　遥…優香  花村芽衣…川島海荷  花村悠斗…今井悠貴  花村佳奈…谷花音  脇坂正平…えなりかずき  刈谷隆博…佐藤二朗  竹富典子…島谷ひとみ  多田弘道…山田親太朗"&amp;"  花村奈津…高畑淳子  間宮義春…八嶋智人  岡嶋　充…城島茂（TOKIO）    ")</f>
        <v>極秘結婚の証拠を岡本なゆみ（高梨臨）のマネージャー・竹富（島谷ひとみ）に握られ、近いうちにファンや世間に結婚のことを話さなければならないと覚悟する錦戸。しかし、「その時」は最悪のカタチでやってきた・・・。あまりにもしつこい週刊誌記者・多田（山田親太朗）をテレビカメラの前で問い詰めてしまったのだ・・・。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v>
      </c>
      <c r="N5631" s="2"/>
      <c r="O5631" s="2"/>
      <c r="P5631" s="1"/>
      <c r="Q5631" s="1"/>
      <c r="R5631" s="1"/>
      <c r="S5631" s="1"/>
      <c r="T5631" s="1"/>
      <c r="U5631" s="1"/>
      <c r="V5631" s="1"/>
      <c r="W5631" s="1"/>
      <c r="X5631" s="1"/>
      <c r="Y5631" s="1"/>
      <c r="Z5631" s="1"/>
      <c r="AA5631" s="1"/>
      <c r="AB5631" s="1"/>
      <c r="AC5631" s="1"/>
      <c r="AD5631" s="1"/>
      <c r="AE5631" s="1"/>
      <c r="AF5631" s="1"/>
      <c r="AG5631" s="1"/>
      <c r="AH5631" s="1"/>
      <c r="AI5631" s="1"/>
      <c r="AJ5631" s="1"/>
      <c r="AK5631" s="1"/>
      <c r="AL5631" s="1"/>
      <c r="AM5631" s="1"/>
      <c r="AN5631" s="1"/>
      <c r="AO5631" s="1"/>
      <c r="AP5631" s="1"/>
      <c r="AQ5631" s="1"/>
      <c r="AR5631" s="1"/>
      <c r="AS5631" s="1"/>
      <c r="AT5631" s="1"/>
      <c r="AU5631" s="1"/>
      <c r="AV5631" s="1"/>
      <c r="AW5631" s="1"/>
      <c r="AX5631" s="1"/>
      <c r="AY5631" s="1"/>
      <c r="AZ5631" s="1"/>
      <c r="BA5631" s="1"/>
      <c r="BB5631" s="1"/>
    </row>
    <row r="5632" ht="204.75" customHeight="1">
      <c r="A5632" s="1">
        <v>3864.0</v>
      </c>
      <c r="B5632" s="2" t="s">
        <v>15404</v>
      </c>
      <c r="C5632" s="2">
        <f>IFERROR(__xludf.DUMMYFUNCTION("split(B5632,""_"")"),1204.0)</f>
        <v>1204</v>
      </c>
      <c r="D5632" s="2" t="str">
        <f>IFERROR(__xludf.DUMMYFUNCTION("""COMPUTED_VALUE"""),"TBS")</f>
        <v>TBS</v>
      </c>
      <c r="E5632" s="2" t="str">
        <f>IFERROR(__xludf.DUMMYFUNCTION("""COMPUTED_VALUE"""),"木21")</f>
        <v>木21</v>
      </c>
      <c r="F5632" s="2" t="s">
        <v>15405</v>
      </c>
      <c r="G5632" s="2" t="s">
        <v>15424</v>
      </c>
      <c r="H5632" s="1">
        <v>10.0</v>
      </c>
      <c r="J5632" s="1" t="s">
        <v>11</v>
      </c>
      <c r="K5632" s="2" t="s">
        <v>15425</v>
      </c>
      <c r="L5632" s="2"/>
      <c r="M5632" s="2" t="str">
        <f>IFERROR(__xludf.DUMMYFUNCTION("split(split(K5632,""【"",false),""公式LINE"",false)"),"遥（優香）や子供たちのために、グループのために、アイドルを引退することを決心した錦戸（錦戸亮）。しかしその決意を知った遥たちは身を引くことにし、離婚届を置いて姿を隠す。義母・奈津（高畑淳子）から遥たちの思いを聞いた錦戸は、辛い気持ちの一方で、関ジャニ∞としてやっていく決意を新たにする。ところがそんな折、錦戸が結婚・離婚したという記事がすっぱ抜かれ、世間は大騒ぎに！錦戸　亮…錦戸亮（関ジャニ∞）  花村　遥…優香  花村芽衣…川島海荷  花村悠斗…今井悠貴  花村佳奈…谷花音  脇坂正平…えなりかずき  刈"&amp;"谷隆博…佐藤二朗  竹富典子…島谷ひとみ  多田弘道…山田親太朗  花村奈津…高畑淳子  間宮義春…八嶋智人  岡嶋　充…城島茂（TOKIO）恵俊彰  八代英輝  桝田絵理奈(TBSアナウンサー)  田中みな実(TBSアナウンサー)  ")</f>
        <v>遥（優香）や子供たちのために、グループのために、アイドルを引退することを決心した錦戸（錦戸亮）。しかしその決意を知った遥たちは身を引くことにし、離婚届を置いて姿を隠す。義母・奈津（高畑淳子）から遥たちの思いを聞いた錦戸は、辛い気持ちの一方で、関ジャニ∞としてやっていく決意を新たにする。ところがそんな折、錦戸が結婚・離婚したという記事がすっぱ抜かれ、世間は大騒ぎに！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充…城島茂（TOKIO）恵俊彰  八代英輝  桝田絵理奈(TBSアナウンサー)  田中みな実(TBSアナウンサー)  </v>
      </c>
      <c r="N5632" s="2"/>
      <c r="O5632" s="2"/>
      <c r="P5632" s="1"/>
      <c r="Q5632" s="1"/>
      <c r="R5632" s="1"/>
      <c r="S5632" s="1"/>
      <c r="T5632" s="1"/>
      <c r="U5632" s="1"/>
      <c r="V5632" s="1"/>
      <c r="W5632" s="1"/>
      <c r="X5632" s="1"/>
      <c r="Y5632" s="1"/>
      <c r="Z5632" s="1"/>
      <c r="AA5632" s="1"/>
      <c r="AB5632" s="1"/>
      <c r="AC5632" s="1"/>
      <c r="AD5632" s="1"/>
      <c r="AE5632" s="1"/>
      <c r="AF5632" s="1"/>
      <c r="AG5632" s="1"/>
      <c r="AH5632" s="1"/>
      <c r="AI5632" s="1"/>
      <c r="AJ5632" s="1"/>
      <c r="AK5632" s="1"/>
      <c r="AL5632" s="1"/>
      <c r="AM5632" s="1"/>
      <c r="AN5632" s="1"/>
      <c r="AO5632" s="1"/>
      <c r="AP5632" s="1"/>
      <c r="AQ5632" s="1"/>
      <c r="AR5632" s="1"/>
      <c r="AS5632" s="1"/>
      <c r="AT5632" s="1"/>
      <c r="AU5632" s="1"/>
      <c r="AV5632" s="1"/>
      <c r="AW5632" s="1"/>
      <c r="AX5632" s="1"/>
      <c r="AY5632" s="1"/>
      <c r="AZ5632" s="1"/>
      <c r="BA5632" s="1"/>
      <c r="BB5632" s="1"/>
    </row>
    <row r="5633" ht="204.75" customHeight="1">
      <c r="A5633" s="1">
        <v>3882.0</v>
      </c>
      <c r="B5633" s="2" t="s">
        <v>15426</v>
      </c>
      <c r="C5633" s="2">
        <f>IFERROR(__xludf.DUMMYFUNCTION("split(B5633,""_"")"),1204.0)</f>
        <v>1204</v>
      </c>
      <c r="D5633" s="2" t="str">
        <f>IFERROR(__xludf.DUMMYFUNCTION("""COMPUTED_VALUE"""),"TBS")</f>
        <v>TBS</v>
      </c>
      <c r="E5633" s="2" t="str">
        <f>IFERROR(__xludf.DUMMYFUNCTION("""COMPUTED_VALUE"""),"金22")</f>
        <v>金22</v>
      </c>
      <c r="F5633" s="2" t="s">
        <v>15427</v>
      </c>
      <c r="G5633" s="2" t="s">
        <v>15428</v>
      </c>
      <c r="H5633" s="1">
        <v>1.0</v>
      </c>
      <c r="J5633" s="1" t="s">
        <v>82</v>
      </c>
      <c r="K5633" s="2" t="s">
        <v>15429</v>
      </c>
      <c r="L5633" s="2"/>
      <c r="M5633" s="2" t="str">
        <f>IFERROR(__xludf.DUMMYFUNCTION("split(split(K5633,""【"",false),""公式LINE"",false)"),"車の整備工場に勤める整備士の宮本波留（竹野内豊）と妻の可南子（和久井映見）は結婚4年目。すべてが順調で幸福だと思えたある日、可南子がくも膜下出血で突然倒れてしまう。幸い手術は成功したが、波留と2人で過ごした日々を全て忘れてしまった可南子。夫婦なのに今までのようには一緒に過ごせない……と落ち込む波留。しかし、彼はそれでも妻を失いたくないという強い思いを抱き、再び彼女とゼロから恋を始めようと決意する。今期一番の注目作『もう一度君に、プロポーズ』は金ドラで久々の本格的ラブストーリー！！  主演は、竹野内豊。4年"&amp;"ぶりのTBSの連続ドラマ出演でピュアでハートフルな全く新しいラブストーリーに挑みます。宮本波留…竹野内豊  宮本可南子…和久井映見  谷村裕樹…山本裕典  吉城 桂…倉科カナ  増山志乃…市川由衣  　◆  水嶋哲夫…光石研  宮本太助…小野寺昭  谷村万里子…真野響子主題歌……JUJU「ただいま」（ソニー・ミュージックアソシエイテッドレコーズ）  音楽……村松崇継")</f>
        <v>車の整備工場に勤める整備士の宮本波留（竹野内豊）と妻の可南子（和久井映見）は結婚4年目。すべてが順調で幸福だと思えたある日、可南子がくも膜下出血で突然倒れてしまう。幸い手術は成功したが、波留と2人で過ごした日々を全て忘れてしまった可南子。夫婦なのに今までのようには一緒に過ごせない……と落ち込む波留。しかし、彼はそれでも妻を失いたくないという強い思いを抱き、再び彼女とゼロから恋を始めようと決意する。今期一番の注目作『もう一度君に、プロポーズ』は金ドラで久々の本格的ラブストーリー！！  主演は、竹野内豊。4年ぶりのTBSの連続ドラマ出演でピュアでハートフルな全く新しいラブストーリーに挑みます。宮本波留…竹野内豊  宮本可南子…和久井映見  谷村裕樹…山本裕典  吉城 桂…倉科カナ  増山志乃…市川由衣  　◆  水嶋哲夫…光石研  宮本太助…小野寺昭  谷村万里子…真野響子主題歌……JUJU「ただいま」（ソニー・ミュージックアソシエイテッドレコーズ）  音楽……村松崇継</v>
      </c>
      <c r="N5633" s="2"/>
      <c r="O5633" s="2"/>
      <c r="P5633" s="1"/>
      <c r="Q5633" s="1"/>
      <c r="R5633" s="1"/>
      <c r="S5633" s="1"/>
      <c r="T5633" s="1"/>
      <c r="U5633" s="1"/>
      <c r="V5633" s="1"/>
      <c r="W5633" s="1"/>
      <c r="X5633" s="1"/>
      <c r="Y5633" s="1"/>
      <c r="Z5633" s="1"/>
      <c r="AA5633" s="1"/>
      <c r="AB5633" s="1"/>
      <c r="AC5633" s="1"/>
      <c r="AD5633" s="1"/>
      <c r="AE5633" s="1"/>
      <c r="AF5633" s="1"/>
      <c r="AG5633" s="1"/>
      <c r="AH5633" s="1"/>
      <c r="AI5633" s="1"/>
      <c r="AJ5633" s="1"/>
      <c r="AK5633" s="1"/>
      <c r="AL5633" s="1"/>
      <c r="AM5633" s="1"/>
      <c r="AN5633" s="1"/>
      <c r="AO5633" s="1"/>
      <c r="AP5633" s="1"/>
      <c r="AQ5633" s="1"/>
      <c r="AR5633" s="1"/>
      <c r="AS5633" s="1"/>
      <c r="AT5633" s="1"/>
      <c r="AU5633" s="1"/>
      <c r="AV5633" s="1"/>
      <c r="AW5633" s="1"/>
      <c r="AX5633" s="1"/>
      <c r="AY5633" s="1"/>
      <c r="AZ5633" s="1"/>
      <c r="BA5633" s="1"/>
      <c r="BB5633" s="1"/>
    </row>
    <row r="5634" ht="204.75" customHeight="1">
      <c r="A5634" s="1">
        <v>3883.0</v>
      </c>
      <c r="B5634" s="2" t="s">
        <v>15426</v>
      </c>
      <c r="C5634" s="2">
        <f>IFERROR(__xludf.DUMMYFUNCTION("split(B5634,""_"")"),1204.0)</f>
        <v>1204</v>
      </c>
      <c r="D5634" s="2" t="str">
        <f>IFERROR(__xludf.DUMMYFUNCTION("""COMPUTED_VALUE"""),"TBS")</f>
        <v>TBS</v>
      </c>
      <c r="E5634" s="2" t="str">
        <f>IFERROR(__xludf.DUMMYFUNCTION("""COMPUTED_VALUE"""),"金22")</f>
        <v>金22</v>
      </c>
      <c r="F5634" s="2" t="s">
        <v>15427</v>
      </c>
      <c r="G5634" s="2" t="s">
        <v>15430</v>
      </c>
      <c r="H5634" s="1">
        <v>2.0</v>
      </c>
      <c r="J5634" s="1" t="s">
        <v>86</v>
      </c>
      <c r="K5634" s="2" t="s">
        <v>15431</v>
      </c>
      <c r="L5634" s="2"/>
      <c r="M5634" s="2" t="str">
        <f>IFERROR(__xludf.DUMMYFUNCTION("split(split(K5634,""【"",false),""公式LINE"",false)"),"波留（竹野内豊）は実家に帰った妻・可南子（和久井映見）に会いに行くが、会ってもらえない。  波留とも会わず、一日中家からも出ない日々を送る可南子に母の万里子（真野響子）は心療内科で診察を受けることを勧める。そんな中、可南子は働いていた図書館へ。館長の大橋（杉本哲太）に現状を説明し、退職を考えていることを明かす。一方、万里子から可南子が図書館を辞めるつもりだと聞いた波留は、図書館へ向かう。宮本波留…竹野内豊  宮本可南子…和久井映見  谷村裕樹…山本裕典  吉城 桂…倉科カナ  増山志乃…市川由衣  蓮沼茂"&amp;"利…渡辺哲  進藤松二…松下洸平  佐伯美奈…橋本真実  橘 雅斗…入江甚儀  水嶋さとこ…山野海  川崎良太郎…久松龍一  三田 力…三浦力  水嶋哲夫…光石 研  宮本太助…小野寺昭   ◆   谷村万里子……真野響子今期一番の注目作『もう一度君に、プロポーズ』は金ドラで久々の本格的ラブストーリー！！  ピュアでハートフルな全く新しいラブストーリーを主演・竹野内豊でお送りします。")</f>
        <v>波留（竹野内豊）は実家に帰った妻・可南子（和久井映見）に会いに行くが、会ってもらえない。  波留とも会わず、一日中家からも出ない日々を送る可南子に母の万里子（真野響子）は心療内科で診察を受けることを勧める。そんな中、可南子は働いていた図書館へ。館長の大橋（杉本哲太）に現状を説明し、退職を考えていることを明かす。一方、万里子から可南子が図書館を辞めるつもりだと聞いた波留は、図書館へ向かう。宮本波留…竹野内豊  宮本可南子…和久井映見  谷村裕樹…山本裕典  吉城 桂…倉科カナ  増山志乃…市川由衣  蓮沼茂利…渡辺哲  進藤松二…松下洸平  佐伯美奈…橋本真実  橘 雅斗…入江甚儀  水嶋さとこ…山野海  川崎良太郎…久松龍一  三田 力…三浦力  水嶋哲夫…光石 研  宮本太助…小野寺昭   ◆   谷村万里子……真野響子今期一番の注目作『もう一度君に、プロポーズ』は金ドラで久々の本格的ラブストーリー！！  ピュアでハートフルな全く新しいラブストーリーを主演・竹野内豊でお送りします。</v>
      </c>
      <c r="N5634" s="2"/>
      <c r="O5634" s="2"/>
      <c r="P5634" s="1"/>
      <c r="Q5634" s="1"/>
      <c r="R5634" s="1"/>
      <c r="S5634" s="1"/>
      <c r="T5634" s="1"/>
      <c r="U5634" s="1"/>
      <c r="V5634" s="1"/>
      <c r="W5634" s="1"/>
      <c r="X5634" s="1"/>
      <c r="Y5634" s="1"/>
      <c r="Z5634" s="1"/>
      <c r="AA5634" s="1"/>
      <c r="AB5634" s="1"/>
      <c r="AC5634" s="1"/>
      <c r="AD5634" s="1"/>
      <c r="AE5634" s="1"/>
      <c r="AF5634" s="1"/>
      <c r="AG5634" s="1"/>
      <c r="AH5634" s="1"/>
      <c r="AI5634" s="1"/>
      <c r="AJ5634" s="1"/>
      <c r="AK5634" s="1"/>
      <c r="AL5634" s="1"/>
      <c r="AM5634" s="1"/>
      <c r="AN5634" s="1"/>
      <c r="AO5634" s="1"/>
      <c r="AP5634" s="1"/>
      <c r="AQ5634" s="1"/>
      <c r="AR5634" s="1"/>
      <c r="AS5634" s="1"/>
      <c r="AT5634" s="1"/>
      <c r="AU5634" s="1"/>
      <c r="AV5634" s="1"/>
      <c r="AW5634" s="1"/>
      <c r="AX5634" s="1"/>
      <c r="AY5634" s="1"/>
      <c r="AZ5634" s="1"/>
      <c r="BA5634" s="1"/>
      <c r="BB5634" s="1"/>
    </row>
    <row r="5635" ht="204.75" customHeight="1">
      <c r="A5635" s="1">
        <v>3884.0</v>
      </c>
      <c r="B5635" s="2" t="s">
        <v>15426</v>
      </c>
      <c r="C5635" s="2">
        <f>IFERROR(__xludf.DUMMYFUNCTION("split(B5635,""_"")"),1204.0)</f>
        <v>1204</v>
      </c>
      <c r="D5635" s="2" t="str">
        <f>IFERROR(__xludf.DUMMYFUNCTION("""COMPUTED_VALUE"""),"TBS")</f>
        <v>TBS</v>
      </c>
      <c r="E5635" s="2" t="str">
        <f>IFERROR(__xludf.DUMMYFUNCTION("""COMPUTED_VALUE"""),"金22")</f>
        <v>金22</v>
      </c>
      <c r="F5635" s="2" t="s">
        <v>15427</v>
      </c>
      <c r="G5635" s="2" t="s">
        <v>15432</v>
      </c>
      <c r="H5635" s="1">
        <v>3.0</v>
      </c>
      <c r="J5635" s="1" t="s">
        <v>86</v>
      </c>
      <c r="K5635" s="2" t="s">
        <v>15433</v>
      </c>
      <c r="L5635" s="2"/>
      <c r="M5635" s="2" t="str">
        <f>IFERROR(__xludf.DUMMYFUNCTION("split(split(K5635,""【"",false),""公式LINE"",false)"),"波留（竹野内豊）は、可南子（和久井映見）との思い出のデートに使った車の修理に熱中。  波留に後押しされて図書館の仕事に復帰した可南子も、後輩らに支えられながら懸命に働き始める。  一方、波留の職場で唯一可南子の記憶喪失を知る桂（倉科カナ）は、2人の仲が少し進展したと知り、オンラインゲームでの恋人探しに気合を入れる。そして、波留にも可南子をデートに誘うよう勧める。桂の言葉で、記憶を失う前の可南子とのデートの約束を思い出した波留は、可南子が働く図書館へ。映画のチケットを差し出し、可南子をデートに誘う。宮本波留"&amp;"…竹野内豊  宮本可南子…和久井映見  谷村裕樹…山本裕典  吉城 桂…倉科カナ  増山志乃…市川由衣  水嶋哲夫…光石 研  大橋知典…杉本哲太  宮本太助…小野寺 昭  谷村万里子…真野響子")</f>
        <v>波留（竹野内豊）は、可南子（和久井映見）との思い出のデートに使った車の修理に熱中。  波留に後押しされて図書館の仕事に復帰した可南子も、後輩らに支えられながら懸命に働き始める。  一方、波留の職場で唯一可南子の記憶喪失を知る桂（倉科カナ）は、2人の仲が少し進展したと知り、オンラインゲームでの恋人探しに気合を入れる。そして、波留にも可南子をデートに誘うよう勧める。桂の言葉で、記憶を失う前の可南子とのデートの約束を思い出した波留は、可南子が働く図書館へ。映画のチケットを差し出し、可南子をデートに誘う。宮本波留…竹野内豊  宮本可南子…和久井映見  谷村裕樹…山本裕典  吉城 桂…倉科カナ  増山志乃…市川由衣  水嶋哲夫…光石 研  大橋知典…杉本哲太  宮本太助…小野寺 昭  谷村万里子…真野響子</v>
      </c>
      <c r="N5635" s="2"/>
      <c r="O5635" s="2"/>
      <c r="P5635" s="1"/>
      <c r="Q5635" s="1"/>
      <c r="R5635" s="1"/>
      <c r="S5635" s="1"/>
      <c r="T5635" s="1"/>
      <c r="U5635" s="1"/>
      <c r="V5635" s="1"/>
      <c r="W5635" s="1"/>
      <c r="X5635" s="1"/>
      <c r="Y5635" s="1"/>
      <c r="Z5635" s="1"/>
      <c r="AA5635" s="1"/>
      <c r="AB5635" s="1"/>
      <c r="AC5635" s="1"/>
      <c r="AD5635" s="1"/>
      <c r="AE5635" s="1"/>
      <c r="AF5635" s="1"/>
      <c r="AG5635" s="1"/>
      <c r="AH5635" s="1"/>
      <c r="AI5635" s="1"/>
      <c r="AJ5635" s="1"/>
      <c r="AK5635" s="1"/>
      <c r="AL5635" s="1"/>
      <c r="AM5635" s="1"/>
      <c r="AN5635" s="1"/>
      <c r="AO5635" s="1"/>
      <c r="AP5635" s="1"/>
      <c r="AQ5635" s="1"/>
      <c r="AR5635" s="1"/>
      <c r="AS5635" s="1"/>
      <c r="AT5635" s="1"/>
      <c r="AU5635" s="1"/>
      <c r="AV5635" s="1"/>
      <c r="AW5635" s="1"/>
      <c r="AX5635" s="1"/>
      <c r="AY5635" s="1"/>
      <c r="AZ5635" s="1"/>
      <c r="BA5635" s="1"/>
      <c r="BB5635" s="1"/>
    </row>
    <row r="5636" ht="204.75" customHeight="1">
      <c r="A5636" s="1">
        <v>3885.0</v>
      </c>
      <c r="B5636" s="2" t="s">
        <v>15426</v>
      </c>
      <c r="C5636" s="2">
        <f>IFERROR(__xludf.DUMMYFUNCTION("split(B5636,""_"")"),1204.0)</f>
        <v>1204</v>
      </c>
      <c r="D5636" s="2" t="str">
        <f>IFERROR(__xludf.DUMMYFUNCTION("""COMPUTED_VALUE"""),"TBS")</f>
        <v>TBS</v>
      </c>
      <c r="E5636" s="2" t="str">
        <f>IFERROR(__xludf.DUMMYFUNCTION("""COMPUTED_VALUE"""),"金22")</f>
        <v>金22</v>
      </c>
      <c r="F5636" s="2" t="s">
        <v>15427</v>
      </c>
      <c r="G5636" s="2" t="s">
        <v>15434</v>
      </c>
      <c r="H5636" s="1">
        <v>4.0</v>
      </c>
      <c r="J5636" s="1" t="s">
        <v>86</v>
      </c>
      <c r="K5636" s="2" t="s">
        <v>15435</v>
      </c>
      <c r="L5636" s="2"/>
      <c r="M5636" s="2" t="str">
        <f>IFERROR(__xludf.DUMMYFUNCTION("split(split(K5636,""【"",false),""公式LINE"",false)"),"波留（竹野内豊）は、蓮沼（渡辺哲）の姪っ子を一晩預かることになる。偶然居合わせた可南子（和久井映見）は、波留宅に泊まって子供の面倒をみることに。楽しそうに子供と接する可南子。そんな可南子の様子を見て戸惑う波留。その後、あることから波留宅に押しかけようと計画するミズシマオートの面々だが、それを阻止しようと桂（倉科カナ）はつい波留と可南子の抱える事情を皆に明かしてしまう…。桂から波留と可南子の抱える事情を聞いたミズシマオートの面々は、波留を励まそうと波留宅を訪れる。賑やかな場の空気に、気分が和らぐ波留。が、酔"&amp;"って調子に乗った面々は波留の携帯電話を奪い、可南子に電話を掛けてしまいーー宮本波留…竹野内豊  宮本可南子…和久井映見  谷村裕樹…山本裕典  吉城 桂…倉科カナ  増山志乃…市川由衣  水嶋哲夫…光石研  大橋知典…杉本哲太  宮本太助…小野寺昭  谷村万里子…真野響子")</f>
        <v>波留（竹野内豊）は、蓮沼（渡辺哲）の姪っ子を一晩預かることになる。偶然居合わせた可南子（和久井映見）は、波留宅に泊まって子供の面倒をみることに。楽しそうに子供と接する可南子。そんな可南子の様子を見て戸惑う波留。その後、あることから波留宅に押しかけようと計画するミズシマオートの面々だが、それを阻止しようと桂（倉科カナ）はつい波留と可南子の抱える事情を皆に明かしてしまう…。桂から波留と可南子の抱える事情を聞いたミズシマオートの面々は、波留を励まそうと波留宅を訪れる。賑やかな場の空気に、気分が和らぐ波留。が、酔って調子に乗った面々は波留の携帯電話を奪い、可南子に電話を掛けてしまいーー宮本波留…竹野内豊  宮本可南子…和久井映見  谷村裕樹…山本裕典  吉城 桂…倉科カナ  増山志乃…市川由衣  水嶋哲夫…光石研  大橋知典…杉本哲太  宮本太助…小野寺昭  谷村万里子…真野響子</v>
      </c>
      <c r="N5636" s="2"/>
      <c r="O5636" s="2"/>
      <c r="P5636" s="1"/>
      <c r="Q5636" s="1"/>
      <c r="R5636" s="1"/>
      <c r="S5636" s="1"/>
      <c r="T5636" s="1"/>
      <c r="U5636" s="1"/>
      <c r="V5636" s="1"/>
      <c r="W5636" s="1"/>
      <c r="X5636" s="1"/>
      <c r="Y5636" s="1"/>
      <c r="Z5636" s="1"/>
      <c r="AA5636" s="1"/>
      <c r="AB5636" s="1"/>
      <c r="AC5636" s="1"/>
      <c r="AD5636" s="1"/>
      <c r="AE5636" s="1"/>
      <c r="AF5636" s="1"/>
      <c r="AG5636" s="1"/>
      <c r="AH5636" s="1"/>
      <c r="AI5636" s="1"/>
      <c r="AJ5636" s="1"/>
      <c r="AK5636" s="1"/>
      <c r="AL5636" s="1"/>
      <c r="AM5636" s="1"/>
      <c r="AN5636" s="1"/>
      <c r="AO5636" s="1"/>
      <c r="AP5636" s="1"/>
      <c r="AQ5636" s="1"/>
      <c r="AR5636" s="1"/>
      <c r="AS5636" s="1"/>
      <c r="AT5636" s="1"/>
      <c r="AU5636" s="1"/>
      <c r="AV5636" s="1"/>
      <c r="AW5636" s="1"/>
      <c r="AX5636" s="1"/>
      <c r="AY5636" s="1"/>
      <c r="AZ5636" s="1"/>
      <c r="BA5636" s="1"/>
      <c r="BB5636" s="1"/>
    </row>
    <row r="5637" ht="204.75" customHeight="1">
      <c r="A5637" s="1">
        <v>3886.0</v>
      </c>
      <c r="B5637" s="2" t="s">
        <v>15426</v>
      </c>
      <c r="C5637" s="2">
        <f>IFERROR(__xludf.DUMMYFUNCTION("split(B5637,""_"")"),1204.0)</f>
        <v>1204</v>
      </c>
      <c r="D5637" s="2" t="str">
        <f>IFERROR(__xludf.DUMMYFUNCTION("""COMPUTED_VALUE"""),"TBS")</f>
        <v>TBS</v>
      </c>
      <c r="E5637" s="2" t="str">
        <f>IFERROR(__xludf.DUMMYFUNCTION("""COMPUTED_VALUE"""),"金22")</f>
        <v>金22</v>
      </c>
      <c r="F5637" s="2" t="s">
        <v>15427</v>
      </c>
      <c r="G5637" s="2" t="s">
        <v>15436</v>
      </c>
      <c r="H5637" s="1">
        <v>5.0</v>
      </c>
      <c r="J5637" s="1" t="s">
        <v>86</v>
      </c>
      <c r="K5637" s="2" t="s">
        <v>15437</v>
      </c>
      <c r="L5637" s="2"/>
      <c r="M5637" s="2" t="str">
        <f>IFERROR(__xludf.DUMMYFUNCTION("split(split(K5637,""【"",false),""公式LINE"",false)"),"同窓会に行き、昔付き合っていた一哉（袴田吉彦）と再会した可南子（和久井映見）。昔話に花が咲き、楽しい一時を過ごした可南子だが、ある種の罪悪感から、そのことをつい波留（竹野内豊）に隠してしまう。そんな中、自宅に届いた可南子宛の荷物を届けるため、可南子の実家を訪ねた波留は、裕樹（山本裕典）に誘われて来た一哉と鉢合わせする。波留は一哉と過去の話をする可南子を遠い存在に感じてしまう…。宮本波留…竹野内豊  宮本可南子…和久井映見  谷村裕樹…山本裕典  吉城 桂…倉科カナ  増山志乃…市川由衣  水嶋哲夫…光石 "&amp;"研  大橋知典…杉本哲太  宮本太助…小野寺 昭  谷村万里子…真野響子")</f>
        <v>同窓会に行き、昔付き合っていた一哉（袴田吉彦）と再会した可南子（和久井映見）。昔話に花が咲き、楽しい一時を過ごした可南子だが、ある種の罪悪感から、そのことをつい波留（竹野内豊）に隠してしまう。そんな中、自宅に届いた可南子宛の荷物を届けるため、可南子の実家を訪ねた波留は、裕樹（山本裕典）に誘われて来た一哉と鉢合わせする。波留は一哉と過去の話をする可南子を遠い存在に感じてしまう…。宮本波留…竹野内豊  宮本可南子…和久井映見  谷村裕樹…山本裕典  吉城 桂…倉科カナ  増山志乃…市川由衣  水嶋哲夫…光石 研  大橋知典…杉本哲太  宮本太助…小野寺 昭  谷村万里子…真野響子</v>
      </c>
      <c r="N5637" s="2"/>
      <c r="O5637" s="2"/>
      <c r="P5637" s="1"/>
      <c r="Q5637" s="1"/>
      <c r="R5637" s="1"/>
      <c r="S5637" s="1"/>
      <c r="T5637" s="1"/>
      <c r="U5637" s="1"/>
      <c r="V5637" s="1"/>
      <c r="W5637" s="1"/>
      <c r="X5637" s="1"/>
      <c r="Y5637" s="1"/>
      <c r="Z5637" s="1"/>
      <c r="AA5637" s="1"/>
      <c r="AB5637" s="1"/>
      <c r="AC5637" s="1"/>
      <c r="AD5637" s="1"/>
      <c r="AE5637" s="1"/>
      <c r="AF5637" s="1"/>
      <c r="AG5637" s="1"/>
      <c r="AH5637" s="1"/>
      <c r="AI5637" s="1"/>
      <c r="AJ5637" s="1"/>
      <c r="AK5637" s="1"/>
      <c r="AL5637" s="1"/>
      <c r="AM5637" s="1"/>
      <c r="AN5637" s="1"/>
      <c r="AO5637" s="1"/>
      <c r="AP5637" s="1"/>
      <c r="AQ5637" s="1"/>
      <c r="AR5637" s="1"/>
      <c r="AS5637" s="1"/>
      <c r="AT5637" s="1"/>
      <c r="AU5637" s="1"/>
      <c r="AV5637" s="1"/>
      <c r="AW5637" s="1"/>
      <c r="AX5637" s="1"/>
      <c r="AY5637" s="1"/>
      <c r="AZ5637" s="1"/>
      <c r="BA5637" s="1"/>
      <c r="BB5637" s="1"/>
    </row>
    <row r="5638" ht="204.75" customHeight="1">
      <c r="A5638" s="1">
        <v>3887.0</v>
      </c>
      <c r="B5638" s="2" t="s">
        <v>15426</v>
      </c>
      <c r="C5638" s="2">
        <f>IFERROR(__xludf.DUMMYFUNCTION("split(B5638,""_"")"),1204.0)</f>
        <v>1204</v>
      </c>
      <c r="D5638" s="2" t="str">
        <f>IFERROR(__xludf.DUMMYFUNCTION("""COMPUTED_VALUE"""),"TBS")</f>
        <v>TBS</v>
      </c>
      <c r="E5638" s="2" t="str">
        <f>IFERROR(__xludf.DUMMYFUNCTION("""COMPUTED_VALUE"""),"金22")</f>
        <v>金22</v>
      </c>
      <c r="F5638" s="2" t="s">
        <v>15427</v>
      </c>
      <c r="G5638" s="2" t="s">
        <v>15438</v>
      </c>
      <c r="H5638" s="1">
        <v>6.0</v>
      </c>
      <c r="J5638" s="1" t="s">
        <v>86</v>
      </c>
      <c r="K5638" s="2" t="s">
        <v>15439</v>
      </c>
      <c r="L5638" s="2"/>
      <c r="M5638" s="2" t="str">
        <f>IFERROR(__xludf.DUMMYFUNCTION("split(split(K5638,""【"",false),""公式LINE"",false)"),"波留（竹野内豊）は、可南子（和久井映見）の家で元恋人の一哉（袴田吉彦）と鉢合わせになり、動揺する。そんな中、万里子（真野響子）が波留の元を訪れ、可南子のことだけでなく、波留自身の未来のことも考えて欲しいと告げる。一方、可南子は昔なじみの食堂で一哉と遭遇し、心の中に芽生えた波留への罪悪感を口にする。宮本波留…竹野内豊  宮本可南子…和久井映見  谷村裕樹…山本裕典  吉城 桂…倉科カナ  増山志乃…市川由衣  蓮沼茂利…渡辺哲  進藤松二…松下洸平  佐伯美奈…橋本真実  橘 雅斗…入江甚儀  水嶋さとこ…"&amp;"山野海  川崎良太郎…久松龍一  三田 力…三浦力  水嶋哲夫…光石 研  宮本太助…小野寺昭   ◆   谷村万里子……真野響子")</f>
        <v>波留（竹野内豊）は、可南子（和久井映見）の家で元恋人の一哉（袴田吉彦）と鉢合わせになり、動揺する。そんな中、万里子（真野響子）が波留の元を訪れ、可南子のことだけでなく、波留自身の未来のことも考えて欲しいと告げる。一方、可南子は昔なじみの食堂で一哉と遭遇し、心の中に芽生えた波留への罪悪感を口にする。宮本波留…竹野内豊  宮本可南子…和久井映見  谷村裕樹…山本裕典  吉城 桂…倉科カナ  増山志乃…市川由衣  蓮沼茂利…渡辺哲  進藤松二…松下洸平  佐伯美奈…橋本真実  橘 雅斗…入江甚儀  水嶋さとこ…山野海  川崎良太郎…久松龍一  三田 力…三浦力  水嶋哲夫…光石 研  宮本太助…小野寺昭   ◆   谷村万里子……真野響子</v>
      </c>
      <c r="N5638" s="2"/>
      <c r="O5638" s="2"/>
      <c r="P5638" s="1"/>
      <c r="Q5638" s="1"/>
      <c r="R5638" s="1"/>
      <c r="S5638" s="1"/>
      <c r="T5638" s="1"/>
      <c r="U5638" s="1"/>
      <c r="V5638" s="1"/>
      <c r="W5638" s="1"/>
      <c r="X5638" s="1"/>
      <c r="Y5638" s="1"/>
      <c r="Z5638" s="1"/>
      <c r="AA5638" s="1"/>
      <c r="AB5638" s="1"/>
      <c r="AC5638" s="1"/>
      <c r="AD5638" s="1"/>
      <c r="AE5638" s="1"/>
      <c r="AF5638" s="1"/>
      <c r="AG5638" s="1"/>
      <c r="AH5638" s="1"/>
      <c r="AI5638" s="1"/>
      <c r="AJ5638" s="1"/>
      <c r="AK5638" s="1"/>
      <c r="AL5638" s="1"/>
      <c r="AM5638" s="1"/>
      <c r="AN5638" s="1"/>
      <c r="AO5638" s="1"/>
      <c r="AP5638" s="1"/>
      <c r="AQ5638" s="1"/>
      <c r="AR5638" s="1"/>
      <c r="AS5638" s="1"/>
      <c r="AT5638" s="1"/>
      <c r="AU5638" s="1"/>
      <c r="AV5638" s="1"/>
      <c r="AW5638" s="1"/>
      <c r="AX5638" s="1"/>
      <c r="AY5638" s="1"/>
      <c r="AZ5638" s="1"/>
      <c r="BA5638" s="1"/>
      <c r="BB5638" s="1"/>
    </row>
    <row r="5639" ht="204.75" customHeight="1">
      <c r="A5639" s="1">
        <v>3888.0</v>
      </c>
      <c r="B5639" s="2" t="s">
        <v>15426</v>
      </c>
      <c r="C5639" s="2">
        <f>IFERROR(__xludf.DUMMYFUNCTION("split(B5639,""_"")"),1204.0)</f>
        <v>1204</v>
      </c>
      <c r="D5639" s="2" t="str">
        <f>IFERROR(__xludf.DUMMYFUNCTION("""COMPUTED_VALUE"""),"TBS")</f>
        <v>TBS</v>
      </c>
      <c r="E5639" s="2" t="str">
        <f>IFERROR(__xludf.DUMMYFUNCTION("""COMPUTED_VALUE"""),"金22")</f>
        <v>金22</v>
      </c>
      <c r="F5639" s="2" t="s">
        <v>15427</v>
      </c>
      <c r="G5639" s="2" t="s">
        <v>15440</v>
      </c>
      <c r="H5639" s="1">
        <v>7.0</v>
      </c>
      <c r="J5639" s="1" t="s">
        <v>86</v>
      </c>
      <c r="K5639" s="2" t="s">
        <v>15441</v>
      </c>
      <c r="L5639" s="2"/>
      <c r="M5639" s="2" t="str">
        <f>IFERROR(__xludf.DUMMYFUNCTION("split(split(K5639,""【"",false),""公式LINE"",false)"),"離婚を決意し、可南子（和久井映見）に伝えた波留（竹野内豊）。可南子は受け入れるものの、戸惑いを隠しきれない。翌日、波留はミズシマオートの面々に離婚する旨を伝える。それを聞いた桂（倉科カナ）は複雑な想いを抱く。一方、可南子は一哉（袴田吉彦）を含めた学生時代の同級生と会う。やけにテンションの高い可南子の様子を見た一哉は、可南子に何かあったことをすぐに見抜く。そんな中、志乃（市川由衣）が谷村家に押しかけ、万里子（真野響子）と夕飯をつくって裕樹（山本裕典）を出迎える。驚く裕樹に志乃は、絶対に別れたくないという気持"&amp;"ちを強くぶつける。一方、自分自身の波留への気持ちに混乱した桂は、裕樹に相談を持ちかける。そこで桂は、波留と可南子が離婚することを裕樹に話してしまう。宮本波留…竹野内豊  宮本可南子…和久井映見  谷村裕樹…山本裕典  吉城 桂…倉科カナ  増山志乃…市川由衣  水嶋哲夫…光石研  大橋知典…杉本哲太  宮本太助…小野寺昭  谷村万里子…真野響子")</f>
        <v>離婚を決意し、可南子（和久井映見）に伝えた波留（竹野内豊）。可南子は受け入れるものの、戸惑いを隠しきれない。翌日、波留はミズシマオートの面々に離婚する旨を伝える。それを聞いた桂（倉科カナ）は複雑な想いを抱く。一方、可南子は一哉（袴田吉彦）を含めた学生時代の同級生と会う。やけにテンションの高い可南子の様子を見た一哉は、可南子に何かあったことをすぐに見抜く。そんな中、志乃（市川由衣）が谷村家に押しかけ、万里子（真野響子）と夕飯をつくって裕樹（山本裕典）を出迎える。驚く裕樹に志乃は、絶対に別れたくないという気持ちを強くぶつける。一方、自分自身の波留への気持ちに混乱した桂は、裕樹に相談を持ちかける。そこで桂は、波留と可南子が離婚することを裕樹に話してしまう。宮本波留…竹野内豊  宮本可南子…和久井映見  谷村裕樹…山本裕典  吉城 桂…倉科カナ  増山志乃…市川由衣  水嶋哲夫…光石研  大橋知典…杉本哲太  宮本太助…小野寺昭  谷村万里子…真野響子</v>
      </c>
      <c r="N5639" s="2"/>
      <c r="O5639" s="2"/>
      <c r="P5639" s="1"/>
      <c r="Q5639" s="1"/>
      <c r="R5639" s="1"/>
      <c r="S5639" s="1"/>
      <c r="T5639" s="1"/>
      <c r="U5639" s="1"/>
      <c r="V5639" s="1"/>
      <c r="W5639" s="1"/>
      <c r="X5639" s="1"/>
      <c r="Y5639" s="1"/>
      <c r="Z5639" s="1"/>
      <c r="AA5639" s="1"/>
      <c r="AB5639" s="1"/>
      <c r="AC5639" s="1"/>
      <c r="AD5639" s="1"/>
      <c r="AE5639" s="1"/>
      <c r="AF5639" s="1"/>
      <c r="AG5639" s="1"/>
      <c r="AH5639" s="1"/>
      <c r="AI5639" s="1"/>
      <c r="AJ5639" s="1"/>
      <c r="AK5639" s="1"/>
      <c r="AL5639" s="1"/>
      <c r="AM5639" s="1"/>
      <c r="AN5639" s="1"/>
      <c r="AO5639" s="1"/>
      <c r="AP5639" s="1"/>
      <c r="AQ5639" s="1"/>
      <c r="AR5639" s="1"/>
      <c r="AS5639" s="1"/>
      <c r="AT5639" s="1"/>
      <c r="AU5639" s="1"/>
      <c r="AV5639" s="1"/>
      <c r="AW5639" s="1"/>
      <c r="AX5639" s="1"/>
      <c r="AY5639" s="1"/>
      <c r="AZ5639" s="1"/>
      <c r="BA5639" s="1"/>
      <c r="BB5639" s="1"/>
    </row>
    <row r="5640" ht="204.75" customHeight="1">
      <c r="A5640" s="1">
        <v>3889.0</v>
      </c>
      <c r="B5640" s="2" t="s">
        <v>15426</v>
      </c>
      <c r="C5640" s="2">
        <f>IFERROR(__xludf.DUMMYFUNCTION("split(B5640,""_"")"),1204.0)</f>
        <v>1204</v>
      </c>
      <c r="D5640" s="2" t="str">
        <f>IFERROR(__xludf.DUMMYFUNCTION("""COMPUTED_VALUE"""),"TBS")</f>
        <v>TBS</v>
      </c>
      <c r="E5640" s="2" t="str">
        <f>IFERROR(__xludf.DUMMYFUNCTION("""COMPUTED_VALUE"""),"金22")</f>
        <v>金22</v>
      </c>
      <c r="F5640" s="2" t="s">
        <v>15427</v>
      </c>
      <c r="G5640" s="2" t="s">
        <v>15442</v>
      </c>
      <c r="H5640" s="1">
        <v>8.0</v>
      </c>
      <c r="J5640" s="1" t="s">
        <v>86</v>
      </c>
      <c r="K5640" s="2" t="s">
        <v>15443</v>
      </c>
      <c r="L5640" s="2"/>
      <c r="M5640" s="2" t="str">
        <f>IFERROR(__xludf.DUMMYFUNCTION("split(split(K5640,""【"",false),""公式LINE"",false)"),"波留（竹野内豊）の家を訪れた桂（倉科カナ）は、傷心の波留がいたたまれなくなり、思わずその背中にすがりつく。翌日、会社で波留と会った桂はぎこちない態度になるが、いつも通りに接する波留に、自分の出来ることを考え、梅津（モロ師岡）の車の修理を手伝うことを申し出る。波留は、梅津の車の修理に力を入れる。そんな中、太助（小野寺昭）が倒れたと連絡が入り、波留は急いで病院に駆けつけるが、太助はすでに帰宅していた。実家を訪ねた波留は泊まっていくことになり、親子水入らず、久々に太助と布団を並べる。  一方、可南子（和久井映見"&amp;"）は、万里子（真野響子）にプロポーズの前に波留が父のお墓に挨拶に言ったという話を聞き、父の墓参りに訪れる。そこには、つい先ほど波留がお参りした様子が残っていた。可南子は、もう一度波留と話をすべく波留の部屋に訪れる。一方、太助に呼ばれた波留が、家を訪ねていくとーーー宮本波留…竹野内豊  宮本可南子…和久井映見  谷村裕樹…山本裕典  吉城 桂…倉科カナ  増山志乃…市川由衣  水嶋哲夫…光石 研  大橋知典…杉本哲太  宮本太助…小野寺 昭  谷村万里子…真野響子")</f>
        <v>波留（竹野内豊）の家を訪れた桂（倉科カナ）は、傷心の波留がいたたまれなくなり、思わずその背中にすがりつく。翌日、会社で波留と会った桂はぎこちない態度になるが、いつも通りに接する波留に、自分の出来ることを考え、梅津（モロ師岡）の車の修理を手伝うことを申し出る。波留は、梅津の車の修理に力を入れる。そんな中、太助（小野寺昭）が倒れたと連絡が入り、波留は急いで病院に駆けつけるが、太助はすでに帰宅していた。実家を訪ねた波留は泊まっていくことになり、親子水入らず、久々に太助と布団を並べる。  一方、可南子（和久井映見）は、万里子（真野響子）にプロポーズの前に波留が父のお墓に挨拶に言ったという話を聞き、父の墓参りに訪れる。そこには、つい先ほど波留がお参りした様子が残っていた。可南子は、もう一度波留と話をすべく波留の部屋に訪れる。一方、太助に呼ばれた波留が、家を訪ねていくとーーー宮本波留…竹野内豊  宮本可南子…和久井映見  谷村裕樹…山本裕典  吉城 桂…倉科カナ  増山志乃…市川由衣  水嶋哲夫…光石 研  大橋知典…杉本哲太  宮本太助…小野寺 昭  谷村万里子…真野響子</v>
      </c>
      <c r="N5640" s="2"/>
      <c r="O5640" s="2"/>
      <c r="P5640" s="1"/>
      <c r="Q5640" s="1"/>
      <c r="R5640" s="1"/>
      <c r="S5640" s="1"/>
      <c r="T5640" s="1"/>
      <c r="U5640" s="1"/>
      <c r="V5640" s="1"/>
      <c r="W5640" s="1"/>
      <c r="X5640" s="1"/>
      <c r="Y5640" s="1"/>
      <c r="Z5640" s="1"/>
      <c r="AA5640" s="1"/>
      <c r="AB5640" s="1"/>
      <c r="AC5640" s="1"/>
      <c r="AD5640" s="1"/>
      <c r="AE5640" s="1"/>
      <c r="AF5640" s="1"/>
      <c r="AG5640" s="1"/>
      <c r="AH5640" s="1"/>
      <c r="AI5640" s="1"/>
      <c r="AJ5640" s="1"/>
      <c r="AK5640" s="1"/>
      <c r="AL5640" s="1"/>
      <c r="AM5640" s="1"/>
      <c r="AN5640" s="1"/>
      <c r="AO5640" s="1"/>
      <c r="AP5640" s="1"/>
      <c r="AQ5640" s="1"/>
      <c r="AR5640" s="1"/>
      <c r="AS5640" s="1"/>
      <c r="AT5640" s="1"/>
      <c r="AU5640" s="1"/>
      <c r="AV5640" s="1"/>
      <c r="AW5640" s="1"/>
      <c r="AX5640" s="1"/>
      <c r="AY5640" s="1"/>
      <c r="AZ5640" s="1"/>
      <c r="BA5640" s="1"/>
      <c r="BB5640" s="1"/>
    </row>
    <row r="5641" ht="204.75" customHeight="1">
      <c r="A5641" s="1">
        <v>3890.0</v>
      </c>
      <c r="B5641" s="2" t="s">
        <v>15426</v>
      </c>
      <c r="C5641" s="2">
        <f>IFERROR(__xludf.DUMMYFUNCTION("split(B5641,""_"")"),1204.0)</f>
        <v>1204</v>
      </c>
      <c r="D5641" s="2" t="str">
        <f>IFERROR(__xludf.DUMMYFUNCTION("""COMPUTED_VALUE"""),"TBS")</f>
        <v>TBS</v>
      </c>
      <c r="E5641" s="2" t="str">
        <f>IFERROR(__xludf.DUMMYFUNCTION("""COMPUTED_VALUE"""),"金22")</f>
        <v>金22</v>
      </c>
      <c r="F5641" s="2" t="s">
        <v>15427</v>
      </c>
      <c r="G5641" s="2" t="s">
        <v>15444</v>
      </c>
      <c r="H5641" s="1">
        <v>9.0</v>
      </c>
      <c r="J5641" s="1" t="s">
        <v>86</v>
      </c>
      <c r="K5641" s="2" t="s">
        <v>15445</v>
      </c>
      <c r="L5641" s="2"/>
      <c r="M5641" s="2" t="str">
        <f>IFERROR(__xludf.DUMMYFUNCTION("split(split(K5641,""【"",false),""公式LINE"",false)"),"可南子（和久井映見）は波留（竹野内豊）の家で、日記を発見する。それは記憶を失う前の5年間について自らの言葉で綴られた日々の記録。読むのが怖くなり、思わず日記を閉じてそのまま部屋から立ち去る可南子。一方、波留は余命僅かだという父・太助（小野寺昭）の面倒をみるために、実家で生活することに。ひょんなことからそれを知った裕樹（山本裕典）は、可南子にそれを伝え、「行ってきたら？」と進言する。後日、可南子は波留の実家を訪ねる。歓迎する太助と波留。可南子が振る舞う料理を食べながら、楽しい時間を過ごす3人。そして数日後、"&amp;"3人は息を吹き返した梅津（モロ師岡）の車で海へドライブに出掛ける。宮本波留…竹野内豊  宮本可南子…和久井映見  谷村裕樹…山本裕典  吉城 桂…倉科カナ  増山志乃…市川由衣  水嶋哲夫…光石 研  大橋知典…杉本哲太  宮本太助…小野寺 昭  谷村万里子…真野響子")</f>
        <v>可南子（和久井映見）は波留（竹野内豊）の家で、日記を発見する。それは記憶を失う前の5年間について自らの言葉で綴られた日々の記録。読むのが怖くなり、思わず日記を閉じてそのまま部屋から立ち去る可南子。一方、波留は余命僅かだという父・太助（小野寺昭）の面倒をみるために、実家で生活することに。ひょんなことからそれを知った裕樹（山本裕典）は、可南子にそれを伝え、「行ってきたら？」と進言する。後日、可南子は波留の実家を訪ねる。歓迎する太助と波留。可南子が振る舞う料理を食べながら、楽しい時間を過ごす3人。そして数日後、3人は息を吹き返した梅津（モロ師岡）の車で海へドライブに出掛ける。宮本波留…竹野内豊  宮本可南子…和久井映見  谷村裕樹…山本裕典  吉城 桂…倉科カナ  増山志乃…市川由衣  水嶋哲夫…光石 研  大橋知典…杉本哲太  宮本太助…小野寺 昭  谷村万里子…真野響子</v>
      </c>
      <c r="N5641" s="2"/>
      <c r="O5641" s="2"/>
      <c r="P5641" s="1"/>
      <c r="Q5641" s="1"/>
      <c r="R5641" s="1"/>
      <c r="S5641" s="1"/>
      <c r="T5641" s="1"/>
      <c r="U5641" s="1"/>
      <c r="V5641" s="1"/>
      <c r="W5641" s="1"/>
      <c r="X5641" s="1"/>
      <c r="Y5641" s="1"/>
      <c r="Z5641" s="1"/>
      <c r="AA5641" s="1"/>
      <c r="AB5641" s="1"/>
      <c r="AC5641" s="1"/>
      <c r="AD5641" s="1"/>
      <c r="AE5641" s="1"/>
      <c r="AF5641" s="1"/>
      <c r="AG5641" s="1"/>
      <c r="AH5641" s="1"/>
      <c r="AI5641" s="1"/>
      <c r="AJ5641" s="1"/>
      <c r="AK5641" s="1"/>
      <c r="AL5641" s="1"/>
      <c r="AM5641" s="1"/>
      <c r="AN5641" s="1"/>
      <c r="AO5641" s="1"/>
      <c r="AP5641" s="1"/>
      <c r="AQ5641" s="1"/>
      <c r="AR5641" s="1"/>
      <c r="AS5641" s="1"/>
      <c r="AT5641" s="1"/>
      <c r="AU5641" s="1"/>
      <c r="AV5641" s="1"/>
      <c r="AW5641" s="1"/>
      <c r="AX5641" s="1"/>
      <c r="AY5641" s="1"/>
      <c r="AZ5641" s="1"/>
      <c r="BA5641" s="1"/>
      <c r="BB5641" s="1"/>
    </row>
    <row r="5642" ht="204.75" customHeight="1">
      <c r="A5642" s="1">
        <v>3891.0</v>
      </c>
      <c r="B5642" s="2" t="s">
        <v>15426</v>
      </c>
      <c r="C5642" s="2">
        <f>IFERROR(__xludf.DUMMYFUNCTION("split(B5642,""_"")"),1204.0)</f>
        <v>1204</v>
      </c>
      <c r="D5642" s="2" t="str">
        <f>IFERROR(__xludf.DUMMYFUNCTION("""COMPUTED_VALUE"""),"TBS")</f>
        <v>TBS</v>
      </c>
      <c r="E5642" s="2" t="str">
        <f>IFERROR(__xludf.DUMMYFUNCTION("""COMPUTED_VALUE"""),"金22")</f>
        <v>金22</v>
      </c>
      <c r="F5642" s="2" t="s">
        <v>15427</v>
      </c>
      <c r="G5642" s="2" t="s">
        <v>15446</v>
      </c>
      <c r="H5642" s="1">
        <v>10.0</v>
      </c>
      <c r="J5642" s="1" t="s">
        <v>86</v>
      </c>
      <c r="K5642" s="2" t="s">
        <v>15447</v>
      </c>
      <c r="L5642" s="2"/>
      <c r="M5642" s="2" t="str">
        <f>IFERROR(__xludf.DUMMYFUNCTION("split(split(K5642,""【"",false),""公式LINE"",false)"),"太助（小野寺昭）が残したメモに従い、知人に太助が亡くなった連絡をする波留（竹野内豊）。そこに、見ず知らずの西園晶子（朝加真由美）の名前があった。太助への手紙から、波留は晶子が自分の実の母親だと知る。波留から太助の訃報の連絡を受けた晶子は、波留と会うことに。可南子（和久井映見）は、気丈にふるまうものの父の死に落ち込んでいるに違いない波留のために、自分に出来ることはないかと懸命に考え、支えようとする。告別式での波留の姿を見た裕樹（山本裕典）は、波留の強さを実感し、これまでの見方を改める。そして、裕樹自身もある"&amp;"決断をする。桂（倉科カナ）は、新しい修理の依頼を、自分がやりたいと申し出る。早く一人前になりたいという桂にミズシマオートの面々も喜び、刺激される。それぞれが、それぞれの道を一歩ずつ進み出す中……波留と可南子の離婚届は、提出されぬまま。“もう一度君に、プロポーズ”の結末は…宮本波留…竹野内豊  宮本可南子…和久井映見  谷村裕樹…山本裕典  吉城 桂…倉科カナ  増山志乃…市川由衣  蓮沼茂利…渡辺哲  進藤松二…松下洸平  佐伯美奈…橋本真実  橘 雅斗…入江甚儀  水嶋さとこ…山野海  川崎良太郎…久松"&amp;"龍一  三田 力…三浦力  水嶋哲夫…光石 研  宮本太助…小野寺昭   ◆   谷村万里子……真野響子")</f>
        <v>太助（小野寺昭）が残したメモに従い、知人に太助が亡くなった連絡をする波留（竹野内豊）。そこに、見ず知らずの西園晶子（朝加真由美）の名前があった。太助への手紙から、波留は晶子が自分の実の母親だと知る。波留から太助の訃報の連絡を受けた晶子は、波留と会うことに。可南子（和久井映見）は、気丈にふるまうものの父の死に落ち込んでいるに違いない波留のために、自分に出来ることはないかと懸命に考え、支えようとする。告別式での波留の姿を見た裕樹（山本裕典）は、波留の強さを実感し、これまでの見方を改める。そして、裕樹自身もある決断をする。桂（倉科カナ）は、新しい修理の依頼を、自分がやりたいと申し出る。早く一人前になりたいという桂にミズシマオートの面々も喜び、刺激される。それぞれが、それぞれの道を一歩ずつ進み出す中……波留と可南子の離婚届は、提出されぬまま。“もう一度君に、プロポーズ”の結末は…宮本波留…竹野内豊  宮本可南子…和久井映見  谷村裕樹…山本裕典  吉城 桂…倉科カナ  増山志乃…市川由衣  蓮沼茂利…渡辺哲  進藤松二…松下洸平  佐伯美奈…橋本真実  橘 雅斗…入江甚儀  水嶋さとこ…山野海  川崎良太郎…久松龍一  三田 力…三浦力  水嶋哲夫…光石 研  宮本太助…小野寺昭   ◆   谷村万里子……真野響子</v>
      </c>
      <c r="N5642" s="2"/>
      <c r="O5642" s="2"/>
      <c r="P5642" s="1"/>
      <c r="Q5642" s="1"/>
      <c r="R5642" s="1"/>
      <c r="S5642" s="1"/>
      <c r="T5642" s="1"/>
      <c r="U5642" s="1"/>
      <c r="V5642" s="1"/>
      <c r="W5642" s="1"/>
      <c r="X5642" s="1"/>
      <c r="Y5642" s="1"/>
      <c r="Z5642" s="1"/>
      <c r="AA5642" s="1"/>
      <c r="AB5642" s="1"/>
      <c r="AC5642" s="1"/>
      <c r="AD5642" s="1"/>
      <c r="AE5642" s="1"/>
      <c r="AF5642" s="1"/>
      <c r="AG5642" s="1"/>
      <c r="AH5642" s="1"/>
      <c r="AI5642" s="1"/>
      <c r="AJ5642" s="1"/>
      <c r="AK5642" s="1"/>
      <c r="AL5642" s="1"/>
      <c r="AM5642" s="1"/>
      <c r="AN5642" s="1"/>
      <c r="AO5642" s="1"/>
      <c r="AP5642" s="1"/>
      <c r="AQ5642" s="1"/>
      <c r="AR5642" s="1"/>
      <c r="AS5642" s="1"/>
      <c r="AT5642" s="1"/>
      <c r="AU5642" s="1"/>
      <c r="AV5642" s="1"/>
      <c r="AW5642" s="1"/>
      <c r="AX5642" s="1"/>
      <c r="AY5642" s="1"/>
      <c r="AZ5642" s="1"/>
      <c r="BA5642" s="1"/>
      <c r="BB5642" s="1"/>
    </row>
    <row r="5643" ht="204.75" customHeight="1">
      <c r="A5643" s="1">
        <v>3923.0</v>
      </c>
      <c r="B5643" s="2" t="s">
        <v>15448</v>
      </c>
      <c r="C5643" s="2">
        <f>IFERROR(__xludf.DUMMYFUNCTION("split(B5643,""_"")"),1204.0)</f>
        <v>1204</v>
      </c>
      <c r="D5643" s="2" t="str">
        <f>IFERROR(__xludf.DUMMYFUNCTION("""COMPUTED_VALUE"""),"TBS")</f>
        <v>TBS</v>
      </c>
      <c r="E5643" s="2" t="str">
        <f>IFERROR(__xludf.DUMMYFUNCTION("""COMPUTED_VALUE"""),"日21")</f>
        <v>日21</v>
      </c>
      <c r="F5643" s="2" t="s">
        <v>15449</v>
      </c>
      <c r="G5643" s="2" t="s">
        <v>15450</v>
      </c>
      <c r="H5643" s="1">
        <v>1.0</v>
      </c>
      <c r="J5643" s="1" t="s">
        <v>4</v>
      </c>
      <c r="K5643" s="2" t="s">
        <v>15451</v>
      </c>
      <c r="L5643" s="2"/>
      <c r="M5643" s="2" t="str">
        <f>IFERROR(__xludf.DUMMYFUNCTION("split(split(K5643,""【"",false),""公式LINE"",false)"),"不思議な能力を持った青年　チョコザイ（中居正広）彼の時折呟く単語が、事件をとくキーワードになっていた。刑事の沢（北村一輝）と舞子（栗山千明）はチョコザイの単語を元に事件の真相を突き止めていく中居正広（SMAP）  北村一輝  栗山千明  玉森裕太（Kis－My－Ft2）  利重剛  奥貫薫  嶋田久作  田中哲司  千原せいじ（千原兄弟）  中村靖日  庄野崎謙  光宗薫（AKB48研究生）  市村正親（特別出演）  村上弘明  (他)    ")</f>
        <v>不思議な能力を持った青年　チョコザイ（中居正広）彼の時折呟く単語が、事件をとくキーワードになっていた。刑事の沢（北村一輝）と舞子（栗山千明）はチョコザイの単語を元に事件の真相を突き止めていく中居正広（SMAP）  北村一輝  栗山千明  玉森裕太（Kis－My－Ft2）  利重剛  奥貫薫  嶋田久作  田中哲司  千原せいじ（千原兄弟）  中村靖日  庄野崎謙  光宗薫（AKB48研究生）  市村正親（特別出演）  村上弘明  (他)    </v>
      </c>
      <c r="N5643" s="2"/>
      <c r="O5643" s="2"/>
      <c r="P5643" s="1"/>
      <c r="Q5643" s="1"/>
      <c r="R5643" s="1"/>
      <c r="S5643" s="1"/>
      <c r="T5643" s="1"/>
      <c r="U5643" s="1"/>
      <c r="V5643" s="1"/>
      <c r="W5643" s="1"/>
      <c r="X5643" s="1"/>
      <c r="Y5643" s="1"/>
      <c r="Z5643" s="1"/>
      <c r="AA5643" s="1"/>
      <c r="AB5643" s="1"/>
      <c r="AC5643" s="1"/>
      <c r="AD5643" s="1"/>
      <c r="AE5643" s="1"/>
      <c r="AF5643" s="1"/>
      <c r="AG5643" s="1"/>
      <c r="AH5643" s="1"/>
      <c r="AI5643" s="1"/>
      <c r="AJ5643" s="1"/>
      <c r="AK5643" s="1"/>
      <c r="AL5643" s="1"/>
      <c r="AM5643" s="1"/>
      <c r="AN5643" s="1"/>
      <c r="AO5643" s="1"/>
      <c r="AP5643" s="1"/>
      <c r="AQ5643" s="1"/>
      <c r="AR5643" s="1"/>
      <c r="AS5643" s="1"/>
      <c r="AT5643" s="1"/>
      <c r="AU5643" s="1"/>
      <c r="AV5643" s="1"/>
      <c r="AW5643" s="1"/>
      <c r="AX5643" s="1"/>
      <c r="AY5643" s="1"/>
      <c r="AZ5643" s="1"/>
      <c r="BA5643" s="1"/>
      <c r="BB5643" s="1"/>
    </row>
    <row r="5644" ht="204.75" customHeight="1">
      <c r="A5644" s="1">
        <v>3924.0</v>
      </c>
      <c r="B5644" s="2" t="s">
        <v>15448</v>
      </c>
      <c r="C5644" s="2">
        <f>IFERROR(__xludf.DUMMYFUNCTION("split(B5644,""_"")"),1204.0)</f>
        <v>1204</v>
      </c>
      <c r="D5644" s="2" t="str">
        <f>IFERROR(__xludf.DUMMYFUNCTION("""COMPUTED_VALUE"""),"TBS")</f>
        <v>TBS</v>
      </c>
      <c r="E5644" s="2" t="str">
        <f>IFERROR(__xludf.DUMMYFUNCTION("""COMPUTED_VALUE"""),"日21")</f>
        <v>日21</v>
      </c>
      <c r="F5644" s="2" t="s">
        <v>15449</v>
      </c>
      <c r="G5644" s="2" t="s">
        <v>15452</v>
      </c>
      <c r="H5644" s="1">
        <v>2.0</v>
      </c>
      <c r="J5644" s="1" t="s">
        <v>11</v>
      </c>
      <c r="K5644" s="2" t="s">
        <v>15453</v>
      </c>
      <c r="L5644" s="2"/>
      <c r="M5644" s="2" t="str">
        <f>IFERROR(__xludf.DUMMYFUNCTION("split(split(K5644,""【"",false),""公式LINE"",false)"),"第二話は「青いバラ」と謎の言葉を残して心臓麻痺で死んだ男を見て、チョコザイが突然捜査を開始したところから物語は始まる。  死体には何の不可解な点もない。  そしてそこに青いバラもなかった…。    不思議な能力を持った青年、チョコザイ（中居正広）。  彼の時折呟く単語が、事件をとくキーワードになっていた。  刑事の沢（北村一輝）と舞子（栗山千明）はチョコザイの単語を元に事件の真相を突き止めていく…。中居正広（SMAP）  北村一輝  栗山千明  玉森裕太（Kis－My－Ft2）  利重剛  奥貫薫  嶋田"&amp;"久作  田中哲司  千原せいじ（千原兄弟）  中村靖日  庄野崎謙  光宗薫（AKB48研究生）  市村正親（特別出演）  村上弘明  (他)  ")</f>
        <v>第二話は「青いバラ」と謎の言葉を残して心臓麻痺で死んだ男を見て、チョコザイが突然捜査を開始したところから物語は始まる。  死体には何の不可解な点もない。  そしてそこに青いバラもなかった…。    不思議な能力を持った青年、チョコザイ（中居正広）。  彼の時折呟く単語が、事件をとくキーワードになっていた。  刑事の沢（北村一輝）と舞子（栗山千明）はチョコザイの単語を元に事件の真相を突き止めていく…。中居正広（SMAP）  北村一輝  栗山千明  玉森裕太（Kis－My－Ft2）  利重剛  奥貫薫  嶋田久作  田中哲司  千原せいじ（千原兄弟）  中村靖日  庄野崎謙  光宗薫（AKB48研究生）  市村正親（特別出演）  村上弘明  (他)  </v>
      </c>
      <c r="N5644" s="2"/>
      <c r="O5644" s="2"/>
      <c r="P5644" s="1"/>
      <c r="Q5644" s="1"/>
      <c r="R5644" s="1"/>
      <c r="S5644" s="1"/>
      <c r="T5644" s="1"/>
      <c r="U5644" s="1"/>
      <c r="V5644" s="1"/>
      <c r="W5644" s="1"/>
      <c r="X5644" s="1"/>
      <c r="Y5644" s="1"/>
      <c r="Z5644" s="1"/>
      <c r="AA5644" s="1"/>
      <c r="AB5644" s="1"/>
      <c r="AC5644" s="1"/>
      <c r="AD5644" s="1"/>
      <c r="AE5644" s="1"/>
      <c r="AF5644" s="1"/>
      <c r="AG5644" s="1"/>
      <c r="AH5644" s="1"/>
      <c r="AI5644" s="1"/>
      <c r="AJ5644" s="1"/>
      <c r="AK5644" s="1"/>
      <c r="AL5644" s="1"/>
      <c r="AM5644" s="1"/>
      <c r="AN5644" s="1"/>
      <c r="AO5644" s="1"/>
      <c r="AP5644" s="1"/>
      <c r="AQ5644" s="1"/>
      <c r="AR5644" s="1"/>
      <c r="AS5644" s="1"/>
      <c r="AT5644" s="1"/>
      <c r="AU5644" s="1"/>
      <c r="AV5644" s="1"/>
      <c r="AW5644" s="1"/>
      <c r="AX5644" s="1"/>
      <c r="AY5644" s="1"/>
      <c r="AZ5644" s="1"/>
      <c r="BA5644" s="1"/>
      <c r="BB5644" s="1"/>
    </row>
    <row r="5645" ht="204.75" customHeight="1">
      <c r="A5645" s="1">
        <v>3925.0</v>
      </c>
      <c r="B5645" s="2" t="s">
        <v>15448</v>
      </c>
      <c r="C5645" s="2">
        <f>IFERROR(__xludf.DUMMYFUNCTION("split(B5645,""_"")"),1204.0)</f>
        <v>1204</v>
      </c>
      <c r="D5645" s="2" t="str">
        <f>IFERROR(__xludf.DUMMYFUNCTION("""COMPUTED_VALUE"""),"TBS")</f>
        <v>TBS</v>
      </c>
      <c r="E5645" s="2" t="str">
        <f>IFERROR(__xludf.DUMMYFUNCTION("""COMPUTED_VALUE"""),"日21")</f>
        <v>日21</v>
      </c>
      <c r="F5645" s="2" t="s">
        <v>15449</v>
      </c>
      <c r="G5645" s="2" t="s">
        <v>15454</v>
      </c>
      <c r="H5645" s="1">
        <v>3.0</v>
      </c>
      <c r="J5645" s="1" t="s">
        <v>11</v>
      </c>
      <c r="K5645" s="2" t="s">
        <v>15455</v>
      </c>
      <c r="L5645" s="2"/>
      <c r="M5645" s="2" t="str">
        <f>IFERROR(__xludf.DUMMYFUNCTION("split(split(K5645,""【"",false),""公式LINE"",false)"),"身元不明のチョコザイ(中居正広)を生活安全課に保護してもらうこととなり、病院の検査に立ち会う沢(北村一輝)と舞子(栗山千明)。するとそこへ、「医大生としてチョコザイが気になる」と舞子の弟・昇（玉森裕太)がやって来た。検査の結果、IQは驚くほど高いが、得意な事と苦手な事の差が激しく、発達障がいの可能性があると判明。そんな時、有明港に頭部に不審な陥没痕がある水死体が上がり…。中居正広（SMAP）  北村一輝  栗山千明  玉森裕太（Kis－My－Ft2）  利重剛  千原せいじ（千原兄弟）  田中哲司  中村"&amp;"靖日  庄野崎謙  光宗薫（AKB48研究生）  中村昌也  三好博道  菅原大吉  村上弘明  (他)  ")</f>
        <v>身元不明のチョコザイ(中居正広)を生活安全課に保護してもらうこととなり、病院の検査に立ち会う沢(北村一輝)と舞子(栗山千明)。するとそこへ、「医大生としてチョコザイが気になる」と舞子の弟・昇（玉森裕太)がやって来た。検査の結果、IQは驚くほど高いが、得意な事と苦手な事の差が激しく、発達障がいの可能性があると判明。そんな時、有明港に頭部に不審な陥没痕がある水死体が上がり…。中居正広（SMAP）  北村一輝  栗山千明  玉森裕太（Kis－My－Ft2）  利重剛  千原せいじ（千原兄弟）  田中哲司  中村靖日  庄野崎謙  光宗薫（AKB48研究生）  中村昌也  三好博道  菅原大吉  村上弘明  (他)  </v>
      </c>
      <c r="N5645" s="2"/>
      <c r="O5645" s="2"/>
      <c r="P5645" s="1"/>
      <c r="Q5645" s="1"/>
      <c r="R5645" s="1"/>
      <c r="S5645" s="1"/>
      <c r="T5645" s="1"/>
      <c r="U5645" s="1"/>
      <c r="V5645" s="1"/>
      <c r="W5645" s="1"/>
      <c r="X5645" s="1"/>
      <c r="Y5645" s="1"/>
      <c r="Z5645" s="1"/>
      <c r="AA5645" s="1"/>
      <c r="AB5645" s="1"/>
      <c r="AC5645" s="1"/>
      <c r="AD5645" s="1"/>
      <c r="AE5645" s="1"/>
      <c r="AF5645" s="1"/>
      <c r="AG5645" s="1"/>
      <c r="AH5645" s="1"/>
      <c r="AI5645" s="1"/>
      <c r="AJ5645" s="1"/>
      <c r="AK5645" s="1"/>
      <c r="AL5645" s="1"/>
      <c r="AM5645" s="1"/>
      <c r="AN5645" s="1"/>
      <c r="AO5645" s="1"/>
      <c r="AP5645" s="1"/>
      <c r="AQ5645" s="1"/>
      <c r="AR5645" s="1"/>
      <c r="AS5645" s="1"/>
      <c r="AT5645" s="1"/>
      <c r="AU5645" s="1"/>
      <c r="AV5645" s="1"/>
      <c r="AW5645" s="1"/>
      <c r="AX5645" s="1"/>
      <c r="AY5645" s="1"/>
      <c r="AZ5645" s="1"/>
      <c r="BA5645" s="1"/>
      <c r="BB5645" s="1"/>
    </row>
    <row r="5646" ht="204.75" customHeight="1">
      <c r="A5646" s="1">
        <v>3926.0</v>
      </c>
      <c r="B5646" s="2" t="s">
        <v>15448</v>
      </c>
      <c r="C5646" s="2">
        <f>IFERROR(__xludf.DUMMYFUNCTION("split(B5646,""_"")"),1204.0)</f>
        <v>1204</v>
      </c>
      <c r="D5646" s="2" t="str">
        <f>IFERROR(__xludf.DUMMYFUNCTION("""COMPUTED_VALUE"""),"TBS")</f>
        <v>TBS</v>
      </c>
      <c r="E5646" s="2" t="str">
        <f>IFERROR(__xludf.DUMMYFUNCTION("""COMPUTED_VALUE"""),"日21")</f>
        <v>日21</v>
      </c>
      <c r="F5646" s="2" t="s">
        <v>15449</v>
      </c>
      <c r="G5646" s="2" t="s">
        <v>15456</v>
      </c>
      <c r="H5646" s="1">
        <v>4.0</v>
      </c>
      <c r="J5646" s="1" t="s">
        <v>11</v>
      </c>
      <c r="K5646" s="2" t="s">
        <v>15457</v>
      </c>
      <c r="L5646" s="2"/>
      <c r="M5646" s="2" t="str">
        <f>IFERROR(__xludf.DUMMYFUNCTION("split(split(K5646,""【"",false),""公式LINE"",false)"),"チョコザイ（中居正広）の施設入院が決まった。舞子はチョコザイに別れを告げることになる。その隙をついて、ラリーはチョコザイを確保しアメリカに連れ帰ることにする。そのころ、沢と舞子はセスナ機を使った事件に巻き込まれる。どう見ても自殺にしか見えない事件に捨て山と決断する警察に、遺族の婚約者を名乗る女性鈴原理子（木村文乃）が納得できないと外国帰りの優秀な私立事故鑑定士　公原（平岡祐太）をつれてくる。中居正広（SMAP）  北村一輝  栗山千明  玉森裕太（Kis－My－Ft2）  利重剛  奥貫薫  嶋田久作  "&amp;"田中哲司  千原せいじ（千原兄弟）  中村靖日  庄野崎謙  光宗薫（AKB48研究生）  市村正親（特別出演）  村上弘明  (他)  ")</f>
        <v>チョコザイ（中居正広）の施設入院が決まった。舞子はチョコザイに別れを告げることになる。その隙をついて、ラリーはチョコザイを確保しアメリカに連れ帰ることにする。そのころ、沢と舞子はセスナ機を使った事件に巻き込まれる。どう見ても自殺にしか見えない事件に捨て山と決断する警察に、遺族の婚約者を名乗る女性鈴原理子（木村文乃）が納得できないと外国帰りの優秀な私立事故鑑定士　公原（平岡祐太）をつれてくる。中居正広（SMAP）  北村一輝  栗山千明  玉森裕太（Kis－My－Ft2）  利重剛  奥貫薫  嶋田久作  田中哲司  千原せいじ（千原兄弟）  中村靖日  庄野崎謙  光宗薫（AKB48研究生）  市村正親（特別出演）  村上弘明  (他)  </v>
      </c>
      <c r="N5646" s="2"/>
      <c r="O5646" s="2"/>
      <c r="P5646" s="1"/>
      <c r="Q5646" s="1"/>
      <c r="R5646" s="1"/>
      <c r="S5646" s="1"/>
      <c r="T5646" s="1"/>
      <c r="U5646" s="1"/>
      <c r="V5646" s="1"/>
      <c r="W5646" s="1"/>
      <c r="X5646" s="1"/>
      <c r="Y5646" s="1"/>
      <c r="Z5646" s="1"/>
      <c r="AA5646" s="1"/>
      <c r="AB5646" s="1"/>
      <c r="AC5646" s="1"/>
      <c r="AD5646" s="1"/>
      <c r="AE5646" s="1"/>
      <c r="AF5646" s="1"/>
      <c r="AG5646" s="1"/>
      <c r="AH5646" s="1"/>
      <c r="AI5646" s="1"/>
      <c r="AJ5646" s="1"/>
      <c r="AK5646" s="1"/>
      <c r="AL5646" s="1"/>
      <c r="AM5646" s="1"/>
      <c r="AN5646" s="1"/>
      <c r="AO5646" s="1"/>
      <c r="AP5646" s="1"/>
      <c r="AQ5646" s="1"/>
      <c r="AR5646" s="1"/>
      <c r="AS5646" s="1"/>
      <c r="AT5646" s="1"/>
      <c r="AU5646" s="1"/>
      <c r="AV5646" s="1"/>
      <c r="AW5646" s="1"/>
      <c r="AX5646" s="1"/>
      <c r="AY5646" s="1"/>
      <c r="AZ5646" s="1"/>
      <c r="BA5646" s="1"/>
      <c r="BB5646" s="1"/>
    </row>
    <row r="5647" ht="204.75" customHeight="1">
      <c r="A5647" s="1">
        <v>3927.0</v>
      </c>
      <c r="B5647" s="2" t="s">
        <v>15448</v>
      </c>
      <c r="C5647" s="2">
        <f>IFERROR(__xludf.DUMMYFUNCTION("split(B5647,""_"")"),1204.0)</f>
        <v>1204</v>
      </c>
      <c r="D5647" s="2" t="str">
        <f>IFERROR(__xludf.DUMMYFUNCTION("""COMPUTED_VALUE"""),"TBS")</f>
        <v>TBS</v>
      </c>
      <c r="E5647" s="2" t="str">
        <f>IFERROR(__xludf.DUMMYFUNCTION("""COMPUTED_VALUE"""),"日21")</f>
        <v>日21</v>
      </c>
      <c r="F5647" s="2" t="s">
        <v>15449</v>
      </c>
      <c r="G5647" s="2" t="s">
        <v>15458</v>
      </c>
      <c r="H5647" s="1">
        <v>5.0</v>
      </c>
      <c r="J5647" s="1" t="s">
        <v>11</v>
      </c>
      <c r="K5647" s="2" t="s">
        <v>15459</v>
      </c>
      <c r="L5647" s="2"/>
      <c r="M5647" s="2" t="str">
        <f>IFERROR(__xludf.DUMMYFUNCTION("split(split(K5647,""【"",false),""公式LINE"",false)"),"舞子の弟・昇が通う医大の教授が、階段から転落して亡くなった。事故なのか事件なのか…その現場に居合わせた昇と助手の浅尾二人の証言に、食い違いが生じた。  真相を究明するため、警視庁の面々が動き始め“捨て山”と判断する方向になりかけた時、チョコザイが呟くキーワードで、沢・舞子が捜査を開始する。  また「ナカカマタ」という言葉に反応するチョコザイや彼を追う謎の組織…チョコザイの謎が少しずつ明らかに。中居正広（SMAP）  北村一輝  栗山千明  玉森裕太（Kis－My－Ft2）  利重剛  奥貫薫  嶋田久作 "&amp;" 田中哲司  千原せいじ（千原兄弟）  中村靖日  庄野崎謙  光宗薫（AKB48研究生）  市村正親（特別出演）  村上弘明  (他)  ")</f>
        <v>舞子の弟・昇が通う医大の教授が、階段から転落して亡くなった。事故なのか事件なのか…その現場に居合わせた昇と助手の浅尾二人の証言に、食い違いが生じた。  真相を究明するため、警視庁の面々が動き始め“捨て山”と判断する方向になりかけた時、チョコザイが呟くキーワードで、沢・舞子が捜査を開始する。  また「ナカカマタ」という言葉に反応するチョコザイや彼を追う謎の組織…チョコザイの謎が少しずつ明らかに。中居正広（SMAP）  北村一輝  栗山千明  玉森裕太（Kis－My－Ft2）  利重剛  奥貫薫  嶋田久作  田中哲司  千原せいじ（千原兄弟）  中村靖日  庄野崎謙  光宗薫（AKB48研究生）  市村正親（特別出演）  村上弘明  (他)  </v>
      </c>
      <c r="N5647" s="2"/>
      <c r="O5647" s="2"/>
      <c r="P5647" s="1"/>
      <c r="Q5647" s="1"/>
      <c r="R5647" s="1"/>
      <c r="S5647" s="1"/>
      <c r="T5647" s="1"/>
      <c r="U5647" s="1"/>
      <c r="V5647" s="1"/>
      <c r="W5647" s="1"/>
      <c r="X5647" s="1"/>
      <c r="Y5647" s="1"/>
      <c r="Z5647" s="1"/>
      <c r="AA5647" s="1"/>
      <c r="AB5647" s="1"/>
      <c r="AC5647" s="1"/>
      <c r="AD5647" s="1"/>
      <c r="AE5647" s="1"/>
      <c r="AF5647" s="1"/>
      <c r="AG5647" s="1"/>
      <c r="AH5647" s="1"/>
      <c r="AI5647" s="1"/>
      <c r="AJ5647" s="1"/>
      <c r="AK5647" s="1"/>
      <c r="AL5647" s="1"/>
      <c r="AM5647" s="1"/>
      <c r="AN5647" s="1"/>
      <c r="AO5647" s="1"/>
      <c r="AP5647" s="1"/>
      <c r="AQ5647" s="1"/>
      <c r="AR5647" s="1"/>
      <c r="AS5647" s="1"/>
      <c r="AT5647" s="1"/>
      <c r="AU5647" s="1"/>
      <c r="AV5647" s="1"/>
      <c r="AW5647" s="1"/>
      <c r="AX5647" s="1"/>
      <c r="AY5647" s="1"/>
      <c r="AZ5647" s="1"/>
      <c r="BA5647" s="1"/>
      <c r="BB5647" s="1"/>
    </row>
    <row r="5648" ht="204.75" customHeight="1">
      <c r="A5648" s="1">
        <v>3928.0</v>
      </c>
      <c r="B5648" s="2" t="s">
        <v>15448</v>
      </c>
      <c r="C5648" s="2">
        <f>IFERROR(__xludf.DUMMYFUNCTION("split(B5648,""_"")"),1204.0)</f>
        <v>1204</v>
      </c>
      <c r="D5648" s="2" t="str">
        <f>IFERROR(__xludf.DUMMYFUNCTION("""COMPUTED_VALUE"""),"TBS")</f>
        <v>TBS</v>
      </c>
      <c r="E5648" s="2" t="str">
        <f>IFERROR(__xludf.DUMMYFUNCTION("""COMPUTED_VALUE"""),"日21")</f>
        <v>日21</v>
      </c>
      <c r="F5648" s="2" t="s">
        <v>15449</v>
      </c>
      <c r="G5648" s="2" t="s">
        <v>15460</v>
      </c>
      <c r="H5648" s="1">
        <v>6.0</v>
      </c>
      <c r="J5648" s="1" t="s">
        <v>11</v>
      </c>
      <c r="K5648" s="2" t="s">
        <v>15461</v>
      </c>
      <c r="L5648" s="2"/>
      <c r="M5648" s="2" t="str">
        <f>IFERROR(__xludf.DUMMYFUNCTION("split(split(K5648,""【"",false),""公式LINE"",false)"),"チョコザイの身元引受人となった沢が、チョコザイの仮住まいにしていたアパートで同居を始めることになった。理由は分からないが、舞子とチョコザイの間には、信頼関係さえ生まれているようで、舞子の言うことに反応しつつ少しだけ従うようになったチョコザイ。そして、チョコザイの生活ペースを掴み始めた舞子は、チョコザイが発する謎のワードが、事件の大きな手掛かりになっているということを確信し始めていた。そんな時、絶対音感を持った女性を助けた舞子と、自宅で死亡していた男性の捜査をしていた沢はじめ捜査一課の面々が、同じアパートで"&amp;"遭遇し…。中居正広（SMAP）  北村一輝  栗山千明  玉森裕太（Kis－My－Ft2）  利重剛  奥貫薫  嶋田久作  田中哲司  千原せいじ（千原兄弟）  中村靖日  庄野崎謙  光宗薫（AKB48研究生）  市村正親（特別出演）  村上弘明    ")</f>
        <v>チョコザイの身元引受人となった沢が、チョコザイの仮住まいにしていたアパートで同居を始めることになった。理由は分からないが、舞子とチョコザイの間には、信頼関係さえ生まれているようで、舞子の言うことに反応しつつ少しだけ従うようになったチョコザイ。そして、チョコザイの生活ペースを掴み始めた舞子は、チョコザイが発する謎のワードが、事件の大きな手掛かりになっているということを確信し始めていた。そんな時、絶対音感を持った女性を助けた舞子と、自宅で死亡していた男性の捜査をしていた沢はじめ捜査一課の面々が、同じアパートで遭遇し…。中居正広（SMAP）  北村一輝  栗山千明  玉森裕太（Kis－My－Ft2）  利重剛  奥貫薫  嶋田久作  田中哲司  千原せいじ（千原兄弟）  中村靖日  庄野崎謙  光宗薫（AKB48研究生）  市村正親（特別出演）  村上弘明    </v>
      </c>
      <c r="N5648" s="2"/>
      <c r="O5648" s="2"/>
      <c r="P5648" s="1"/>
      <c r="Q5648" s="1"/>
      <c r="R5648" s="1"/>
      <c r="S5648" s="1"/>
      <c r="T5648" s="1"/>
      <c r="U5648" s="1"/>
      <c r="V5648" s="1"/>
      <c r="W5648" s="1"/>
      <c r="X5648" s="1"/>
      <c r="Y5648" s="1"/>
      <c r="Z5648" s="1"/>
      <c r="AA5648" s="1"/>
      <c r="AB5648" s="1"/>
      <c r="AC5648" s="1"/>
      <c r="AD5648" s="1"/>
      <c r="AE5648" s="1"/>
      <c r="AF5648" s="1"/>
      <c r="AG5648" s="1"/>
      <c r="AH5648" s="1"/>
      <c r="AI5648" s="1"/>
      <c r="AJ5648" s="1"/>
      <c r="AK5648" s="1"/>
      <c r="AL5648" s="1"/>
      <c r="AM5648" s="1"/>
      <c r="AN5648" s="1"/>
      <c r="AO5648" s="1"/>
      <c r="AP5648" s="1"/>
      <c r="AQ5648" s="1"/>
      <c r="AR5648" s="1"/>
      <c r="AS5648" s="1"/>
      <c r="AT5648" s="1"/>
      <c r="AU5648" s="1"/>
      <c r="AV5648" s="1"/>
      <c r="AW5648" s="1"/>
      <c r="AX5648" s="1"/>
      <c r="AY5648" s="1"/>
      <c r="AZ5648" s="1"/>
      <c r="BA5648" s="1"/>
      <c r="BB5648" s="1"/>
    </row>
    <row r="5649" ht="204.75" customHeight="1">
      <c r="A5649" s="1">
        <v>3929.0</v>
      </c>
      <c r="B5649" s="2" t="s">
        <v>15448</v>
      </c>
      <c r="C5649" s="2">
        <f>IFERROR(__xludf.DUMMYFUNCTION("split(B5649,""_"")"),1204.0)</f>
        <v>1204</v>
      </c>
      <c r="D5649" s="2" t="str">
        <f>IFERROR(__xludf.DUMMYFUNCTION("""COMPUTED_VALUE"""),"TBS")</f>
        <v>TBS</v>
      </c>
      <c r="E5649" s="2" t="str">
        <f>IFERROR(__xludf.DUMMYFUNCTION("""COMPUTED_VALUE"""),"日21")</f>
        <v>日21</v>
      </c>
      <c r="F5649" s="2" t="s">
        <v>15449</v>
      </c>
      <c r="G5649" s="2" t="s">
        <v>15462</v>
      </c>
      <c r="H5649" s="1">
        <v>7.0</v>
      </c>
      <c r="J5649" s="1" t="s">
        <v>11</v>
      </c>
      <c r="K5649" s="2" t="s">
        <v>15463</v>
      </c>
      <c r="L5649" s="2"/>
      <c r="M5649" s="2" t="str">
        <f>IFERROR(__xludf.DUMMYFUNCTION("split(split(K5649,""【"",false),""公式LINE"",false)"),"チョコザイ（中居正広）と共同生活を始めた沢（北村一輝）は、「洗濯は午後九時に」というチョコザイルールを守るため、チョコザイ・舞子（栗山千明）と共に近くのコインランドリーにいた。すると、そこに2発の銃声が響いた。「M37」と呟くチョコザイ…M37は制服警官の銃であることを瞬時に察した沢たちは、コインランドリーの裏にある交番に急いだ。途中、かつて上司であった福留班長（升毅）とすれ違った沢は、気になりつつもそのまま現場へと走った。交番の2階には、手袋制服姿の和田（神保悟志）が、左胸から流血して倒れていた…。 中"&amp;"居正広（SMAP）  北村一輝  栗山千明  玉森裕太（Kis－My－Ft2）  利重剛  奥貫薫  嶋田久作  田中哲司  千原せいじ（千原兄弟）  中村靖日  庄野崎謙  光宗薫（AKB48研究生）  市村正親（特別出演）  村上弘明  (他)  ")</f>
        <v>チョコザイ（中居正広）と共同生活を始めた沢（北村一輝）は、「洗濯は午後九時に」というチョコザイルールを守るため、チョコザイ・舞子（栗山千明）と共に近くのコインランドリーにいた。すると、そこに2発の銃声が響いた。「M37」と呟くチョコザイ…M37は制服警官の銃であることを瞬時に察した沢たちは、コインランドリーの裏にある交番に急いだ。途中、かつて上司であった福留班長（升毅）とすれ違った沢は、気になりつつもそのまま現場へと走った。交番の2階には、手袋制服姿の和田（神保悟志）が、左胸から流血して倒れていた…。 中居正広（SMAP）  北村一輝  栗山千明  玉森裕太（Kis－My－Ft2）  利重剛  奥貫薫  嶋田久作  田中哲司  千原せいじ（千原兄弟）  中村靖日  庄野崎謙  光宗薫（AKB48研究生）  市村正親（特別出演）  村上弘明  (他)  </v>
      </c>
      <c r="N5649" s="2"/>
      <c r="O5649" s="2"/>
      <c r="P5649" s="1"/>
      <c r="Q5649" s="1"/>
      <c r="R5649" s="1"/>
      <c r="S5649" s="1"/>
      <c r="T5649" s="1"/>
      <c r="U5649" s="1"/>
      <c r="V5649" s="1"/>
      <c r="W5649" s="1"/>
      <c r="X5649" s="1"/>
      <c r="Y5649" s="1"/>
      <c r="Z5649" s="1"/>
      <c r="AA5649" s="1"/>
      <c r="AB5649" s="1"/>
      <c r="AC5649" s="1"/>
      <c r="AD5649" s="1"/>
      <c r="AE5649" s="1"/>
      <c r="AF5649" s="1"/>
      <c r="AG5649" s="1"/>
      <c r="AH5649" s="1"/>
      <c r="AI5649" s="1"/>
      <c r="AJ5649" s="1"/>
      <c r="AK5649" s="1"/>
      <c r="AL5649" s="1"/>
      <c r="AM5649" s="1"/>
      <c r="AN5649" s="1"/>
      <c r="AO5649" s="1"/>
      <c r="AP5649" s="1"/>
      <c r="AQ5649" s="1"/>
      <c r="AR5649" s="1"/>
      <c r="AS5649" s="1"/>
      <c r="AT5649" s="1"/>
      <c r="AU5649" s="1"/>
      <c r="AV5649" s="1"/>
      <c r="AW5649" s="1"/>
      <c r="AX5649" s="1"/>
      <c r="AY5649" s="1"/>
      <c r="AZ5649" s="1"/>
      <c r="BA5649" s="1"/>
      <c r="BB5649" s="1"/>
    </row>
    <row r="5650" ht="204.75" customHeight="1">
      <c r="A5650" s="1">
        <v>3930.0</v>
      </c>
      <c r="B5650" s="2" t="s">
        <v>15448</v>
      </c>
      <c r="C5650" s="2">
        <f>IFERROR(__xludf.DUMMYFUNCTION("split(B5650,""_"")"),1204.0)</f>
        <v>1204</v>
      </c>
      <c r="D5650" s="2" t="str">
        <f>IFERROR(__xludf.DUMMYFUNCTION("""COMPUTED_VALUE"""),"TBS")</f>
        <v>TBS</v>
      </c>
      <c r="E5650" s="2" t="str">
        <f>IFERROR(__xludf.DUMMYFUNCTION("""COMPUTED_VALUE"""),"日21")</f>
        <v>日21</v>
      </c>
      <c r="F5650" s="2" t="s">
        <v>15449</v>
      </c>
      <c r="G5650" s="2" t="s">
        <v>15464</v>
      </c>
      <c r="H5650" s="1">
        <v>8.0</v>
      </c>
      <c r="J5650" s="1" t="s">
        <v>4</v>
      </c>
      <c r="K5650" s="2" t="s">
        <v>15465</v>
      </c>
      <c r="L5650" s="2"/>
      <c r="M5650" s="2" t="str">
        <f>IFERROR(__xludf.DUMMYFUNCTION("split(split(K5650,""【"",false),""公式LINE"",false)"),"最近、ほとんど睡眠をとっていないチョコザイ(中居正広)を連れ、検査のために病院に出かけた舞子(栗山千明)。検査を終え表に出ると、チョコザイは見知らぬ車に乗り込んでしまい、慌てて降ろそうとした舞子は、ラリー井上(村上弘明)と名乗る人物と出会う。チョコザイをアタルと呼ぶラリーは、ずっとアタルを探していたといい、アタルはFBIの捜査官候補生で、SPB＝サヴァ・プログラム・ブランチという、医学的に証明されたサヴァン症候群の能力を捜査に生かすための訓練を受けていたという。それを聞き愕然となる舞子に、ラリーはある提案"&amp;"をして…。中居正広（SMAP）  北村一輝  栗山千明  玉森裕太（Kis－My－Ft2）  利重剛  奥貫薫  嶋田久作  田中哲司  千原せいじ（千原兄弟）  中村靖日  庄野崎謙  光宗薫（AKB48研究生）  中村昌也  三好博道  市村正親（特別出演）  村上弘明  ")</f>
        <v>最近、ほとんど睡眠をとっていないチョコザイ(中居正広)を連れ、検査のために病院に出かけた舞子(栗山千明)。検査を終え表に出ると、チョコザイは見知らぬ車に乗り込んでしまい、慌てて降ろそうとした舞子は、ラリー井上(村上弘明)と名乗る人物と出会う。チョコザイをアタルと呼ぶラリーは、ずっとアタルを探していたといい、アタルはFBIの捜査官候補生で、SPB＝サヴァ・プログラム・ブランチという、医学的に証明されたサヴァン症候群の能力を捜査に生かすための訓練を受けていたという。それを聞き愕然となる舞子に、ラリーはある提案をして…。中居正広（SMAP）  北村一輝  栗山千明  玉森裕太（Kis－My－Ft2）  利重剛  奥貫薫  嶋田久作  田中哲司  千原せいじ（千原兄弟）  中村靖日  庄野崎謙  光宗薫（AKB48研究生）  中村昌也  三好博道  市村正親（特別出演）  村上弘明  </v>
      </c>
      <c r="N5650" s="2"/>
      <c r="O5650" s="2"/>
      <c r="P5650" s="1"/>
      <c r="Q5650" s="1"/>
      <c r="R5650" s="1"/>
      <c r="S5650" s="1"/>
      <c r="T5650" s="1"/>
      <c r="U5650" s="1"/>
      <c r="V5650" s="1"/>
      <c r="W5650" s="1"/>
      <c r="X5650" s="1"/>
      <c r="Y5650" s="1"/>
      <c r="Z5650" s="1"/>
      <c r="AA5650" s="1"/>
      <c r="AB5650" s="1"/>
      <c r="AC5650" s="1"/>
      <c r="AD5650" s="1"/>
      <c r="AE5650" s="1"/>
      <c r="AF5650" s="1"/>
      <c r="AG5650" s="1"/>
      <c r="AH5650" s="1"/>
      <c r="AI5650" s="1"/>
      <c r="AJ5650" s="1"/>
      <c r="AK5650" s="1"/>
      <c r="AL5650" s="1"/>
      <c r="AM5650" s="1"/>
      <c r="AN5650" s="1"/>
      <c r="AO5650" s="1"/>
      <c r="AP5650" s="1"/>
      <c r="AQ5650" s="1"/>
      <c r="AR5650" s="1"/>
      <c r="AS5650" s="1"/>
      <c r="AT5650" s="1"/>
      <c r="AU5650" s="1"/>
      <c r="AV5650" s="1"/>
      <c r="AW5650" s="1"/>
      <c r="AX5650" s="1"/>
      <c r="AY5650" s="1"/>
      <c r="AZ5650" s="1"/>
      <c r="BA5650" s="1"/>
      <c r="BB5650" s="1"/>
    </row>
    <row r="5651" ht="204.75" customHeight="1">
      <c r="A5651" s="1">
        <v>3931.0</v>
      </c>
      <c r="B5651" s="2" t="s">
        <v>15448</v>
      </c>
      <c r="C5651" s="2">
        <f>IFERROR(__xludf.DUMMYFUNCTION("split(B5651,""_"")"),1204.0)</f>
        <v>1204</v>
      </c>
      <c r="D5651" s="2" t="str">
        <f>IFERROR(__xludf.DUMMYFUNCTION("""COMPUTED_VALUE"""),"TBS")</f>
        <v>TBS</v>
      </c>
      <c r="E5651" s="2" t="str">
        <f>IFERROR(__xludf.DUMMYFUNCTION("""COMPUTED_VALUE"""),"日21")</f>
        <v>日21</v>
      </c>
      <c r="F5651" s="2" t="s">
        <v>15449</v>
      </c>
      <c r="G5651" s="2" t="s">
        <v>15466</v>
      </c>
      <c r="H5651" s="1">
        <v>9.0</v>
      </c>
      <c r="J5651" s="1" t="s">
        <v>11</v>
      </c>
      <c r="K5651" s="2" t="s">
        <v>15467</v>
      </c>
      <c r="L5651" s="2"/>
      <c r="M5651" s="2" t="str">
        <f>IFERROR(__xludf.DUMMYFUNCTION("split(split(K5651,""【"",false),""公式LINE"",false)"),"チョコザイことアタルが両親と再会。沢や舞子は、父親からアタルの生い立ちや渡米した理由など知ることになる。だが、母親の様子に違和感を持つ舞子だった。  そんな時、沢の元に幼児の遺体発見という知らせが入る。虐待とも思われる痣や傷のある遺体に謎が深まる。  一方、アタルが両親との感動的な再会を果たし、親子水入らずの時間を過ごすことを望んでいた舞子だったが、アタルは舞子のところへ戻ってきてしまい…。中居正広（SMAP）  北村一輝  栗山千明  玉森裕太（Kis－My－Ft2）  利重剛  奥貫薫  嶋田久作  "&amp;"田中哲司  千原せいじ（千原兄弟）  中村靖日  庄野崎謙  光宗薫（AKB48研究生）  中村昌也  三好博道  市村正親（特別出演）  村上弘明  ")</f>
        <v>チョコザイことアタルが両親と再会。沢や舞子は、父親からアタルの生い立ちや渡米した理由など知ることになる。だが、母親の様子に違和感を持つ舞子だった。  そんな時、沢の元に幼児の遺体発見という知らせが入る。虐待とも思われる痣や傷のある遺体に謎が深まる。  一方、アタルが両親との感動的な再会を果たし、親子水入らずの時間を過ごすことを望んでいた舞子だったが、アタルは舞子のところへ戻ってきてしまい…。中居正広（SMAP）  北村一輝  栗山千明  玉森裕太（Kis－My－Ft2）  利重剛  奥貫薫  嶋田久作  田中哲司  千原せいじ（千原兄弟）  中村靖日  庄野崎謙  光宗薫（AKB48研究生）  中村昌也  三好博道  市村正親（特別出演）  村上弘明  </v>
      </c>
      <c r="N5651" s="2"/>
      <c r="O5651" s="2"/>
      <c r="P5651" s="1"/>
      <c r="Q5651" s="1"/>
      <c r="R5651" s="1"/>
      <c r="S5651" s="1"/>
      <c r="T5651" s="1"/>
      <c r="U5651" s="1"/>
      <c r="V5651" s="1"/>
      <c r="W5651" s="1"/>
      <c r="X5651" s="1"/>
      <c r="Y5651" s="1"/>
      <c r="Z5651" s="1"/>
      <c r="AA5651" s="1"/>
      <c r="AB5651" s="1"/>
      <c r="AC5651" s="1"/>
      <c r="AD5651" s="1"/>
      <c r="AE5651" s="1"/>
      <c r="AF5651" s="1"/>
      <c r="AG5651" s="1"/>
      <c r="AH5651" s="1"/>
      <c r="AI5651" s="1"/>
      <c r="AJ5651" s="1"/>
      <c r="AK5651" s="1"/>
      <c r="AL5651" s="1"/>
      <c r="AM5651" s="1"/>
      <c r="AN5651" s="1"/>
      <c r="AO5651" s="1"/>
      <c r="AP5651" s="1"/>
      <c r="AQ5651" s="1"/>
      <c r="AR5651" s="1"/>
      <c r="AS5651" s="1"/>
      <c r="AT5651" s="1"/>
      <c r="AU5651" s="1"/>
      <c r="AV5651" s="1"/>
      <c r="AW5651" s="1"/>
      <c r="AX5651" s="1"/>
      <c r="AY5651" s="1"/>
      <c r="AZ5651" s="1"/>
      <c r="BA5651" s="1"/>
      <c r="BB5651" s="1"/>
    </row>
    <row r="5652" ht="204.75" customHeight="1">
      <c r="A5652" s="1">
        <v>3932.0</v>
      </c>
      <c r="B5652" s="2" t="s">
        <v>15448</v>
      </c>
      <c r="C5652" s="2">
        <f>IFERROR(__xludf.DUMMYFUNCTION("split(B5652,""_"")"),1204.0)</f>
        <v>1204</v>
      </c>
      <c r="D5652" s="2" t="str">
        <f>IFERROR(__xludf.DUMMYFUNCTION("""COMPUTED_VALUE"""),"TBS")</f>
        <v>TBS</v>
      </c>
      <c r="E5652" s="2" t="str">
        <f>IFERROR(__xludf.DUMMYFUNCTION("""COMPUTED_VALUE"""),"日21")</f>
        <v>日21</v>
      </c>
      <c r="F5652" s="2" t="s">
        <v>15449</v>
      </c>
      <c r="G5652" s="2" t="s">
        <v>15468</v>
      </c>
      <c r="H5652" s="1">
        <v>10.0</v>
      </c>
      <c r="J5652" s="1" t="s">
        <v>11</v>
      </c>
      <c r="K5652" s="2" t="s">
        <v>15469</v>
      </c>
      <c r="L5652" s="2"/>
      <c r="M5652" s="2" t="str">
        <f>IFERROR(__xludf.DUMMYFUNCTION("split(split(K5652,""【"",false),""公式LINE"",false)"),"昏睡状態で病院に運ばれたアタル（中居正広）を心配する沢（北村一輝）、舞子（栗山千明）、アタルの父・誠（市村正親）、ラリー井上（村上弘明）らが病院に詰めかけた。母・ゆり子（原日出子）は、アタルのために思い出のおにぎりを持ってきたがアタルに変化はなく、このまま目覚めなかったらと心配は募るばかり。  病院にいる間に舞子は、アタルの両親から小さい頃のアタルの様子、ラリーとの出会い、何故アメリカに渡ったかなど詳しく知る。  そんな時、小暮桃香（安倍なつみ）という女性が運転していた車が電柱に衝突し炎上、車内で死亡した"&amp;"という連絡が入って…。中居正広（SMAP）  北村一輝  栗山千明  玉森裕太（Kis－My－Ft2）  利重剛  奥貫薫  嶋田久作  田中哲司  千原せいじ（千原兄弟）  中村靖日  庄野崎謙  光宗薫（AKB48研究生）  中村昌也  三好博道  市村正親（特別出演）  村上弘明  ")</f>
        <v>昏睡状態で病院に運ばれたアタル（中居正広）を心配する沢（北村一輝）、舞子（栗山千明）、アタルの父・誠（市村正親）、ラリー井上（村上弘明）らが病院に詰めかけた。母・ゆり子（原日出子）は、アタルのために思い出のおにぎりを持ってきたがアタルに変化はなく、このまま目覚めなかったらと心配は募るばかり。  病院にいる間に舞子は、アタルの両親から小さい頃のアタルの様子、ラリーとの出会い、何故アメリカに渡ったかなど詳しく知る。  そんな時、小暮桃香（安倍なつみ）という女性が運転していた車が電柱に衝突し炎上、車内で死亡したという連絡が入って…。中居正広（SMAP）  北村一輝  栗山千明  玉森裕太（Kis－My－Ft2）  利重剛  奥貫薫  嶋田久作  田中哲司  千原せいじ（千原兄弟）  中村靖日  庄野崎謙  光宗薫（AKB48研究生）  中村昌也  三好博道  市村正親（特別出演）  村上弘明  </v>
      </c>
      <c r="N5652" s="2"/>
      <c r="O5652" s="2"/>
      <c r="P5652" s="1"/>
      <c r="Q5652" s="1"/>
      <c r="R5652" s="1"/>
      <c r="S5652" s="1"/>
      <c r="T5652" s="1"/>
      <c r="U5652" s="1"/>
      <c r="V5652" s="1"/>
      <c r="W5652" s="1"/>
      <c r="X5652" s="1"/>
      <c r="Y5652" s="1"/>
      <c r="Z5652" s="1"/>
      <c r="AA5652" s="1"/>
      <c r="AB5652" s="1"/>
      <c r="AC5652" s="1"/>
      <c r="AD5652" s="1"/>
      <c r="AE5652" s="1"/>
      <c r="AF5652" s="1"/>
      <c r="AG5652" s="1"/>
      <c r="AH5652" s="1"/>
      <c r="AI5652" s="1"/>
      <c r="AJ5652" s="1"/>
      <c r="AK5652" s="1"/>
      <c r="AL5652" s="1"/>
      <c r="AM5652" s="1"/>
      <c r="AN5652" s="1"/>
      <c r="AO5652" s="1"/>
      <c r="AP5652" s="1"/>
      <c r="AQ5652" s="1"/>
      <c r="AR5652" s="1"/>
      <c r="AS5652" s="1"/>
      <c r="AT5652" s="1"/>
      <c r="AU5652" s="1"/>
      <c r="AV5652" s="1"/>
      <c r="AW5652" s="1"/>
      <c r="AX5652" s="1"/>
      <c r="AY5652" s="1"/>
      <c r="AZ5652" s="1"/>
      <c r="BA5652" s="1"/>
      <c r="BB5652" s="1"/>
    </row>
    <row r="5653" ht="204.75" customHeight="1">
      <c r="A5653" s="1">
        <v>3933.0</v>
      </c>
      <c r="B5653" s="2" t="s">
        <v>15448</v>
      </c>
      <c r="C5653" s="2">
        <f>IFERROR(__xludf.DUMMYFUNCTION("split(B5653,""_"")"),1204.0)</f>
        <v>1204</v>
      </c>
      <c r="D5653" s="2" t="str">
        <f>IFERROR(__xludf.DUMMYFUNCTION("""COMPUTED_VALUE"""),"TBS")</f>
        <v>TBS</v>
      </c>
      <c r="E5653" s="2" t="str">
        <f>IFERROR(__xludf.DUMMYFUNCTION("""COMPUTED_VALUE"""),"日21")</f>
        <v>日21</v>
      </c>
      <c r="F5653" s="2" t="s">
        <v>15449</v>
      </c>
      <c r="G5653" s="2" t="s">
        <v>15470</v>
      </c>
      <c r="H5653" s="1">
        <v>11.0</v>
      </c>
      <c r="J5653" s="1" t="s">
        <v>4</v>
      </c>
      <c r="K5653" s="2" t="s">
        <v>15471</v>
      </c>
      <c r="L5653" s="2"/>
      <c r="M5653" s="2" t="str">
        <f>IFERROR(__xludf.DUMMYFUNCTION("split(split(K5653,""【"",false),""公式LINE"",false)"),"自殺だと言われてきた舞子の母・真理子の死。チョコザイことアタルに出会ってから事件が起こるたびにアタルに助けてもらい、捨て山になりそうな事件を解決してきた沢や舞子だったが、ある車の衝突事故から15年前の舞子の母親の死に関する重大な事実が明かになっていく。アタルが何を見て何を呟くのか…！？そして、驚きの結末とは…！？中居正広（SMAP）  北村一輝  栗山千明  玉森裕太（Kis－My－Ft2）  利重剛  奥貫薫  嶋田久作  田中哲司  千原せいじ（千原兄弟）  中村靖日  庄野崎謙  光宗薫（AKB48"&amp;"研究生）  中村昌也  三好博道  市村正親（特別出演）  村上弘明  ")</f>
        <v>自殺だと言われてきた舞子の母・真理子の死。チョコザイことアタルに出会ってから事件が起こるたびにアタルに助けてもらい、捨て山になりそうな事件を解決してきた沢や舞子だったが、ある車の衝突事故から15年前の舞子の母親の死に関する重大な事実が明かになっていく。アタルが何を見て何を呟くのか…！？そして、驚きの結末とは…！？中居正広（SMAP）  北村一輝  栗山千明  玉森裕太（Kis－My－Ft2）  利重剛  奥貫薫  嶋田久作  田中哲司  千原せいじ（千原兄弟）  中村靖日  庄野崎謙  光宗薫（AKB48研究生）  中村昌也  三好博道  市村正親（特別出演）  村上弘明  </v>
      </c>
      <c r="N5653" s="2"/>
      <c r="O5653" s="2"/>
      <c r="P5653" s="1"/>
      <c r="Q5653" s="1"/>
      <c r="R5653" s="1"/>
      <c r="S5653" s="1"/>
      <c r="T5653" s="1"/>
      <c r="U5653" s="1"/>
      <c r="V5653" s="1"/>
      <c r="W5653" s="1"/>
      <c r="X5653" s="1"/>
      <c r="Y5653" s="1"/>
      <c r="Z5653" s="1"/>
      <c r="AA5653" s="1"/>
      <c r="AB5653" s="1"/>
      <c r="AC5653" s="1"/>
      <c r="AD5653" s="1"/>
      <c r="AE5653" s="1"/>
      <c r="AF5653" s="1"/>
      <c r="AG5653" s="1"/>
      <c r="AH5653" s="1"/>
      <c r="AI5653" s="1"/>
      <c r="AJ5653" s="1"/>
      <c r="AK5653" s="1"/>
      <c r="AL5653" s="1"/>
      <c r="AM5653" s="1"/>
      <c r="AN5653" s="1"/>
      <c r="AO5653" s="1"/>
      <c r="AP5653" s="1"/>
      <c r="AQ5653" s="1"/>
      <c r="AR5653" s="1"/>
      <c r="AS5653" s="1"/>
      <c r="AT5653" s="1"/>
      <c r="AU5653" s="1"/>
      <c r="AV5653" s="1"/>
      <c r="AW5653" s="1"/>
      <c r="AX5653" s="1"/>
      <c r="AY5653" s="1"/>
      <c r="AZ5653" s="1"/>
      <c r="BA5653" s="1"/>
      <c r="BB5653" s="1"/>
    </row>
    <row r="5654" ht="204.75" customHeight="1">
      <c r="A5654" s="1">
        <v>3942.0</v>
      </c>
      <c r="B5654" s="2" t="s">
        <v>15472</v>
      </c>
      <c r="C5654" s="2">
        <f>IFERROR(__xludf.DUMMYFUNCTION("split(B5654,""_"")"),1201.0)</f>
        <v>1201</v>
      </c>
      <c r="D5654" s="2" t="str">
        <f>IFERROR(__xludf.DUMMYFUNCTION("""COMPUTED_VALUE"""),"TBS")</f>
        <v>TBS</v>
      </c>
      <c r="E5654" s="2" t="str">
        <f>IFERROR(__xludf.DUMMYFUNCTION("""COMPUTED_VALUE"""),"月20")</f>
        <v>月20</v>
      </c>
      <c r="F5654" s="2" t="s">
        <v>15473</v>
      </c>
      <c r="G5654" s="2" t="s">
        <v>15474</v>
      </c>
      <c r="H5654" s="1">
        <v>1.0</v>
      </c>
      <c r="J5654" s="1" t="s">
        <v>2809</v>
      </c>
      <c r="K5654" s="2" t="s">
        <v>15475</v>
      </c>
      <c r="L5654" s="2"/>
      <c r="M5654" s="2" t="str">
        <f>IFERROR(__xludf.DUMMYFUNCTION("split(split(K5654,""【"",false),""公式LINE"",false)"),"孤高の泥棒“俺”は仕事中にドジをし、双子の兄弟に助けられる。  そしてこともあろうか、双子に「パパになって！」と頼まれるのだ。なんと、双子の両親は二人を置いて、同じ日に別々の相手と駆け落ちをしてしまったのだという。こうして父親代わりをする羽目になってしまった俺の周りで事件が起きる！ぶつかりながらも前へと進んでいこうとする俺と双子。  ニセモノ親子に本物の絆は生まれるのか？俺…上川隆也  灘尾礼子…小西真奈美  秋山ナオ…平山あや  宗野直・哲…渋谷龍生・樹生  脇坂芳江…須藤理彩  脇坂信之介…渡辺いっけ"&amp;"い  柳瀬豪造…伊東四朗  ")</f>
        <v>孤高の泥棒“俺”は仕事中にドジをし、双子の兄弟に助けられる。  そしてこともあろうか、双子に「パパになって！」と頼まれるのだ。なんと、双子の両親は二人を置いて、同じ日に別々の相手と駆け落ちをしてしまったのだという。こうして父親代わりをする羽目になってしまった俺の周りで事件が起きる！ぶつかりながらも前へと進んでいこうとする俺と双子。  ニセモノ親子に本物の絆は生まれるのか？俺…上川隆也  灘尾礼子…小西真奈美  秋山ナオ…平山あや  宗野直・哲…渋谷龍生・樹生  脇坂芳江…須藤理彩  脇坂信之介…渡辺いっけい  柳瀬豪造…伊東四朗  </v>
      </c>
      <c r="N5654" s="2"/>
      <c r="O5654" s="2"/>
      <c r="P5654" s="1"/>
      <c r="Q5654" s="1"/>
      <c r="R5654" s="1"/>
      <c r="S5654" s="1"/>
      <c r="T5654" s="1"/>
      <c r="U5654" s="1"/>
      <c r="V5654" s="1"/>
      <c r="W5654" s="1"/>
      <c r="X5654" s="1"/>
      <c r="Y5654" s="1"/>
      <c r="Z5654" s="1"/>
      <c r="AA5654" s="1"/>
      <c r="AB5654" s="1"/>
      <c r="AC5654" s="1"/>
      <c r="AD5654" s="1"/>
      <c r="AE5654" s="1"/>
      <c r="AF5654" s="1"/>
      <c r="AG5654" s="1"/>
      <c r="AH5654" s="1"/>
      <c r="AI5654" s="1"/>
      <c r="AJ5654" s="1"/>
      <c r="AK5654" s="1"/>
      <c r="AL5654" s="1"/>
      <c r="AM5654" s="1"/>
      <c r="AN5654" s="1"/>
      <c r="AO5654" s="1"/>
      <c r="AP5654" s="1"/>
      <c r="AQ5654" s="1"/>
      <c r="AR5654" s="1"/>
      <c r="AS5654" s="1"/>
      <c r="AT5654" s="1"/>
      <c r="AU5654" s="1"/>
      <c r="AV5654" s="1"/>
      <c r="AW5654" s="1"/>
      <c r="AX5654" s="1"/>
      <c r="AY5654" s="1"/>
      <c r="AZ5654" s="1"/>
      <c r="BA5654" s="1"/>
      <c r="BB5654" s="1"/>
    </row>
    <row r="5655" ht="204.75" customHeight="1">
      <c r="A5655" s="1">
        <v>3943.0</v>
      </c>
      <c r="B5655" s="2" t="s">
        <v>15472</v>
      </c>
      <c r="C5655" s="2">
        <f>IFERROR(__xludf.DUMMYFUNCTION("split(B5655,""_"")"),1201.0)</f>
        <v>1201</v>
      </c>
      <c r="D5655" s="2" t="str">
        <f>IFERROR(__xludf.DUMMYFUNCTION("""COMPUTED_VALUE"""),"TBS")</f>
        <v>TBS</v>
      </c>
      <c r="E5655" s="2" t="str">
        <f>IFERROR(__xludf.DUMMYFUNCTION("""COMPUTED_VALUE"""),"月20")</f>
        <v>月20</v>
      </c>
      <c r="F5655" s="2" t="s">
        <v>15473</v>
      </c>
      <c r="G5655" s="2" t="s">
        <v>15476</v>
      </c>
      <c r="H5655" s="1">
        <v>2.0</v>
      </c>
      <c r="J5655" s="1" t="s">
        <v>7151</v>
      </c>
      <c r="K5655" s="2" t="s">
        <v>15477</v>
      </c>
      <c r="L5655" s="2"/>
      <c r="M5655" s="2" t="str">
        <f>IFERROR(__xludf.DUMMYFUNCTION("split(split(K5655,""【"",false),""公式LINE"",false)"),"ついに「ステップファザー契約」を結ばされた“俺”は、仕方なく双子を連れて湖に遊びに行く。すると、その湖でなんと白骨遺体が発見される！白骨遺体の話を聞いた双子は、どこか落ち着かない様子。そんな中、双子の父親が駆け落ちしていないという事実が発覚する！！もしかして白骨遺体の正体は双子の…！？真相を明らかにするため調査を開始する俺の前に浮かび上がった真実とは…？俺…上川隆也  灘尾礼子…小西真奈美  秋山ナオ…平山あや  宗野直・哲…渋谷龍生・樹生  脇坂芳江…須藤理彩  脇坂信之介…渡辺いっけい  柳瀬豪造…伊"&amp;"東四朗  ")</f>
        <v>ついに「ステップファザー契約」を結ばされた“俺”は、仕方なく双子を連れて湖に遊びに行く。すると、その湖でなんと白骨遺体が発見される！白骨遺体の話を聞いた双子は、どこか落ち着かない様子。そんな中、双子の父親が駆け落ちしていないという事実が発覚する！！もしかして白骨遺体の正体は双子の…！？真相を明らかにするため調査を開始する俺の前に浮かび上がった真実とは…？俺…上川隆也  灘尾礼子…小西真奈美  秋山ナオ…平山あや  宗野直・哲…渋谷龍生・樹生  脇坂芳江…須藤理彩  脇坂信之介…渡辺いっけい  柳瀬豪造…伊東四朗  </v>
      </c>
      <c r="N5655" s="2"/>
      <c r="O5655" s="2"/>
      <c r="P5655" s="1"/>
      <c r="Q5655" s="1"/>
      <c r="R5655" s="1"/>
      <c r="S5655" s="1"/>
      <c r="T5655" s="1"/>
      <c r="U5655" s="1"/>
      <c r="V5655" s="1"/>
      <c r="W5655" s="1"/>
      <c r="X5655" s="1"/>
      <c r="Y5655" s="1"/>
      <c r="Z5655" s="1"/>
      <c r="AA5655" s="1"/>
      <c r="AB5655" s="1"/>
      <c r="AC5655" s="1"/>
      <c r="AD5655" s="1"/>
      <c r="AE5655" s="1"/>
      <c r="AF5655" s="1"/>
      <c r="AG5655" s="1"/>
      <c r="AH5655" s="1"/>
      <c r="AI5655" s="1"/>
      <c r="AJ5655" s="1"/>
      <c r="AK5655" s="1"/>
      <c r="AL5655" s="1"/>
      <c r="AM5655" s="1"/>
      <c r="AN5655" s="1"/>
      <c r="AO5655" s="1"/>
      <c r="AP5655" s="1"/>
      <c r="AQ5655" s="1"/>
      <c r="AR5655" s="1"/>
      <c r="AS5655" s="1"/>
      <c r="AT5655" s="1"/>
      <c r="AU5655" s="1"/>
      <c r="AV5655" s="1"/>
      <c r="AW5655" s="1"/>
      <c r="AX5655" s="1"/>
      <c r="AY5655" s="1"/>
      <c r="AZ5655" s="1"/>
      <c r="BA5655" s="1"/>
      <c r="BB5655" s="1"/>
    </row>
    <row r="5656" ht="204.75" customHeight="1">
      <c r="A5656" s="1">
        <v>3944.0</v>
      </c>
      <c r="B5656" s="2" t="s">
        <v>15472</v>
      </c>
      <c r="C5656" s="2">
        <f>IFERROR(__xludf.DUMMYFUNCTION("split(B5656,""_"")"),1201.0)</f>
        <v>1201</v>
      </c>
      <c r="D5656" s="2" t="str">
        <f>IFERROR(__xludf.DUMMYFUNCTION("""COMPUTED_VALUE"""),"TBS")</f>
        <v>TBS</v>
      </c>
      <c r="E5656" s="2" t="str">
        <f>IFERROR(__xludf.DUMMYFUNCTION("""COMPUTED_VALUE"""),"月20")</f>
        <v>月20</v>
      </c>
      <c r="F5656" s="2" t="s">
        <v>15473</v>
      </c>
      <c r="G5656" s="2" t="s">
        <v>15478</v>
      </c>
      <c r="H5656" s="1">
        <v>3.0</v>
      </c>
      <c r="J5656" s="1" t="s">
        <v>7151</v>
      </c>
      <c r="K5656" s="2" t="s">
        <v>15479</v>
      </c>
      <c r="L5656" s="2"/>
      <c r="M5656" s="2" t="str">
        <f>IFERROR(__xludf.DUMMYFUNCTION("split(split(K5656,""【"",false),""公式LINE"",false)"),"双子の住む街で連続空き巣事件発生！  そしてこともあろうか、泥棒パパがついていながらも双子の家に空き巣が侵入！？  双子の母のネックレスの入った宝石箱が盗まれてしまう！  双子はその事実を”俺”に隠して泥棒を捕まえようとするが…。  そして空き巣事件に隠されたある家族の物語。  意識不明になる直、俺の正体に疑問を持ち始める礼子…一体どうなってしまうのか！？俺…上川隆也  灘尾礼子…小西真奈美  秋山ナオ…平山あや  宗野直・哲…渋谷龍生・樹生  脇坂芳江…須藤理彩  脇坂信之介…渡辺いっけい  柳瀬豪造…"&amp;"伊東四朗  ")</f>
        <v>双子の住む街で連続空き巣事件発生！  そしてこともあろうか、泥棒パパがついていながらも双子の家に空き巣が侵入！？  双子の母のネックレスの入った宝石箱が盗まれてしまう！  双子はその事実を”俺”に隠して泥棒を捕まえようとするが…。  そして空き巣事件に隠されたある家族の物語。  意識不明になる直、俺の正体に疑問を持ち始める礼子…一体どうなってしまうのか！？俺…上川隆也  灘尾礼子…小西真奈美  秋山ナオ…平山あや  宗野直・哲…渋谷龍生・樹生  脇坂芳江…須藤理彩  脇坂信之介…渡辺いっけい  柳瀬豪造…伊東四朗  </v>
      </c>
      <c r="N5656" s="2"/>
      <c r="O5656" s="2"/>
      <c r="P5656" s="1"/>
      <c r="Q5656" s="1"/>
      <c r="R5656" s="1"/>
      <c r="S5656" s="1"/>
      <c r="T5656" s="1"/>
      <c r="U5656" s="1"/>
      <c r="V5656" s="1"/>
      <c r="W5656" s="1"/>
      <c r="X5656" s="1"/>
      <c r="Y5656" s="1"/>
      <c r="Z5656" s="1"/>
      <c r="AA5656" s="1"/>
      <c r="AB5656" s="1"/>
      <c r="AC5656" s="1"/>
      <c r="AD5656" s="1"/>
      <c r="AE5656" s="1"/>
      <c r="AF5656" s="1"/>
      <c r="AG5656" s="1"/>
      <c r="AH5656" s="1"/>
      <c r="AI5656" s="1"/>
      <c r="AJ5656" s="1"/>
      <c r="AK5656" s="1"/>
      <c r="AL5656" s="1"/>
      <c r="AM5656" s="1"/>
      <c r="AN5656" s="1"/>
      <c r="AO5656" s="1"/>
      <c r="AP5656" s="1"/>
      <c r="AQ5656" s="1"/>
      <c r="AR5656" s="1"/>
      <c r="AS5656" s="1"/>
      <c r="AT5656" s="1"/>
      <c r="AU5656" s="1"/>
      <c r="AV5656" s="1"/>
      <c r="AW5656" s="1"/>
      <c r="AX5656" s="1"/>
      <c r="AY5656" s="1"/>
      <c r="AZ5656" s="1"/>
      <c r="BA5656" s="1"/>
      <c r="BB5656" s="1"/>
    </row>
    <row r="5657" ht="204.75" customHeight="1">
      <c r="A5657" s="1">
        <v>3945.0</v>
      </c>
      <c r="B5657" s="2" t="s">
        <v>15472</v>
      </c>
      <c r="C5657" s="2">
        <f>IFERROR(__xludf.DUMMYFUNCTION("split(B5657,""_"")"),1201.0)</f>
        <v>1201</v>
      </c>
      <c r="D5657" s="2" t="str">
        <f>IFERROR(__xludf.DUMMYFUNCTION("""COMPUTED_VALUE"""),"TBS")</f>
        <v>TBS</v>
      </c>
      <c r="E5657" s="2" t="str">
        <f>IFERROR(__xludf.DUMMYFUNCTION("""COMPUTED_VALUE"""),"月20")</f>
        <v>月20</v>
      </c>
      <c r="F5657" s="2" t="s">
        <v>15473</v>
      </c>
      <c r="G5657" s="2" t="s">
        <v>15480</v>
      </c>
      <c r="H5657" s="1">
        <v>4.0</v>
      </c>
      <c r="J5657" s="1" t="s">
        <v>7151</v>
      </c>
      <c r="K5657" s="2" t="s">
        <v>15481</v>
      </c>
      <c r="L5657" s="2"/>
      <c r="M5657" s="2" t="str">
        <f>IFERROR(__xludf.DUMMYFUNCTION("split(split(K5657,""【"",false),""公式LINE"",false)"),"ついに正体を礼子に知られてしまった俺。「仕方がない」と宗野家を去ることに。しかし、パパを追い出したと礼子を責める双子。そんな時、一匹の迷い犬を発見する。親に捨てられた二人はこの犬を自分たちと重ね、家族の一員として迎えようとする。俺も捨て犬と双子の境遇を重ね、“ニセモノの家族”では意味がないと飼い主探しを始めるが、そこには礼子の心を揺さぶる真実が・・・。“自首”を決めた俺に、礼子と双子は・・・？俺…上川隆也  灘尾礼子…小西真奈美  秋山ナオ…平山あや  宗野直・哲…渋谷龍生・樹生  脇坂芳江…須藤理彩  "&amp;"脇坂信之介…渡辺いっけい  柳瀬豪造…伊東四朗  ")</f>
        <v>ついに正体を礼子に知られてしまった俺。「仕方がない」と宗野家を去ることに。しかし、パパを追い出したと礼子を責める双子。そんな時、一匹の迷い犬を発見する。親に捨てられた二人はこの犬を自分たちと重ね、家族の一員として迎えようとする。俺も捨て犬と双子の境遇を重ね、“ニセモノの家族”では意味がないと飼い主探しを始めるが、そこには礼子の心を揺さぶる真実が・・・。“自首”を決めた俺に、礼子と双子は・・・？俺…上川隆也  灘尾礼子…小西真奈美  秋山ナオ…平山あや  宗野直・哲…渋谷龍生・樹生  脇坂芳江…須藤理彩  脇坂信之介…渡辺いっけい  柳瀬豪造…伊東四朗  </v>
      </c>
      <c r="N5657" s="2"/>
      <c r="O5657" s="2"/>
      <c r="P5657" s="1"/>
      <c r="Q5657" s="1"/>
      <c r="R5657" s="1"/>
      <c r="S5657" s="1"/>
      <c r="T5657" s="1"/>
      <c r="U5657" s="1"/>
      <c r="V5657" s="1"/>
      <c r="W5657" s="1"/>
      <c r="X5657" s="1"/>
      <c r="Y5657" s="1"/>
      <c r="Z5657" s="1"/>
      <c r="AA5657" s="1"/>
      <c r="AB5657" s="1"/>
      <c r="AC5657" s="1"/>
      <c r="AD5657" s="1"/>
      <c r="AE5657" s="1"/>
      <c r="AF5657" s="1"/>
      <c r="AG5657" s="1"/>
      <c r="AH5657" s="1"/>
      <c r="AI5657" s="1"/>
      <c r="AJ5657" s="1"/>
      <c r="AK5657" s="1"/>
      <c r="AL5657" s="1"/>
      <c r="AM5657" s="1"/>
      <c r="AN5657" s="1"/>
      <c r="AO5657" s="1"/>
      <c r="AP5657" s="1"/>
      <c r="AQ5657" s="1"/>
      <c r="AR5657" s="1"/>
      <c r="AS5657" s="1"/>
      <c r="AT5657" s="1"/>
      <c r="AU5657" s="1"/>
      <c r="AV5657" s="1"/>
      <c r="AW5657" s="1"/>
      <c r="AX5657" s="1"/>
      <c r="AY5657" s="1"/>
      <c r="AZ5657" s="1"/>
      <c r="BA5657" s="1"/>
      <c r="BB5657" s="1"/>
    </row>
    <row r="5658" ht="204.75" customHeight="1">
      <c r="A5658" s="1">
        <v>3946.0</v>
      </c>
      <c r="B5658" s="2" t="s">
        <v>15472</v>
      </c>
      <c r="C5658" s="2">
        <f>IFERROR(__xludf.DUMMYFUNCTION("split(B5658,""_"")"),1201.0)</f>
        <v>1201</v>
      </c>
      <c r="D5658" s="2" t="str">
        <f>IFERROR(__xludf.DUMMYFUNCTION("""COMPUTED_VALUE"""),"TBS")</f>
        <v>TBS</v>
      </c>
      <c r="E5658" s="2" t="str">
        <f>IFERROR(__xludf.DUMMYFUNCTION("""COMPUTED_VALUE"""),"月20")</f>
        <v>月20</v>
      </c>
      <c r="F5658" s="2" t="s">
        <v>15473</v>
      </c>
      <c r="G5658" s="2" t="s">
        <v>15482</v>
      </c>
      <c r="H5658" s="1">
        <v>5.0</v>
      </c>
      <c r="J5658" s="1" t="s">
        <v>7151</v>
      </c>
      <c r="K5658" s="2" t="s">
        <v>15483</v>
      </c>
      <c r="L5658" s="2"/>
      <c r="M5658" s="2" t="str">
        <f>IFERROR(__xludf.DUMMYFUNCTION("split(split(K5658,""【"",false),""公式LINE"",false)"),"宗野家の近隣では「“俺”と礼子が不倫関係にあるのでは？」という噂が立ち始めた。  そんなある日、直が高熱を出して寝込んでしまうが、“俺”には子供の看病の仕方がわからず、役に立たない。  慌ててやってきた礼子は、徹夜で直の看病をし、翌朝、礼子と“俺”が宗野家から出てきたところを芳江に見つかり、不倫疑惑が再燃してしまう。  不倫疑惑が書かれた怪文書の存在を聞いた“俺”は、密かに差出人を探し始める…。俺…上川隆也  灘尾礼子…小西真奈美  秋山ナオ…平山あや  宗野直・哲…渋谷龍生・樹生  脇坂芳江…須藤理彩 "&amp;" 脇坂信之介…渡辺いっけい  柳瀬豪造…伊東四朗")</f>
        <v>宗野家の近隣では「“俺”と礼子が不倫関係にあるのでは？」という噂が立ち始めた。  そんなある日、直が高熱を出して寝込んでしまうが、“俺”には子供の看病の仕方がわからず、役に立たない。  慌ててやってきた礼子は、徹夜で直の看病をし、翌朝、礼子と“俺”が宗野家から出てきたところを芳江に見つかり、不倫疑惑が再燃してしまう。  不倫疑惑が書かれた怪文書の存在を聞いた“俺”は、密かに差出人を探し始める…。俺…上川隆也  灘尾礼子…小西真奈美  秋山ナオ…平山あや  宗野直・哲…渋谷龍生・樹生  脇坂芳江…須藤理彩  脇坂信之介…渡辺いっけい  柳瀬豪造…伊東四朗</v>
      </c>
      <c r="N5658" s="2"/>
      <c r="O5658" s="2"/>
      <c r="P5658" s="1"/>
      <c r="Q5658" s="1"/>
      <c r="R5658" s="1"/>
      <c r="S5658" s="1"/>
      <c r="T5658" s="1"/>
      <c r="U5658" s="1"/>
      <c r="V5658" s="1"/>
      <c r="W5658" s="1"/>
      <c r="X5658" s="1"/>
      <c r="Y5658" s="1"/>
      <c r="Z5658" s="1"/>
      <c r="AA5658" s="1"/>
      <c r="AB5658" s="1"/>
      <c r="AC5658" s="1"/>
      <c r="AD5658" s="1"/>
      <c r="AE5658" s="1"/>
      <c r="AF5658" s="1"/>
      <c r="AG5658" s="1"/>
      <c r="AH5658" s="1"/>
      <c r="AI5658" s="1"/>
      <c r="AJ5658" s="1"/>
      <c r="AK5658" s="1"/>
      <c r="AL5658" s="1"/>
      <c r="AM5658" s="1"/>
      <c r="AN5658" s="1"/>
      <c r="AO5658" s="1"/>
      <c r="AP5658" s="1"/>
      <c r="AQ5658" s="1"/>
      <c r="AR5658" s="1"/>
      <c r="AS5658" s="1"/>
      <c r="AT5658" s="1"/>
      <c r="AU5658" s="1"/>
      <c r="AV5658" s="1"/>
      <c r="AW5658" s="1"/>
      <c r="AX5658" s="1"/>
      <c r="AY5658" s="1"/>
      <c r="AZ5658" s="1"/>
      <c r="BA5658" s="1"/>
      <c r="BB5658" s="1"/>
    </row>
    <row r="5659" ht="204.75" customHeight="1">
      <c r="A5659" s="1">
        <v>3947.0</v>
      </c>
      <c r="B5659" s="2" t="s">
        <v>15472</v>
      </c>
      <c r="C5659" s="2">
        <f>IFERROR(__xludf.DUMMYFUNCTION("split(B5659,""_"")"),1201.0)</f>
        <v>1201</v>
      </c>
      <c r="D5659" s="2" t="str">
        <f>IFERROR(__xludf.DUMMYFUNCTION("""COMPUTED_VALUE"""),"TBS")</f>
        <v>TBS</v>
      </c>
      <c r="E5659" s="2" t="str">
        <f>IFERROR(__xludf.DUMMYFUNCTION("""COMPUTED_VALUE"""),"月20")</f>
        <v>月20</v>
      </c>
      <c r="F5659" s="2" t="s">
        <v>15473</v>
      </c>
      <c r="G5659" s="2" t="s">
        <v>15484</v>
      </c>
      <c r="H5659" s="1">
        <v>6.0</v>
      </c>
      <c r="J5659" s="1" t="s">
        <v>7151</v>
      </c>
      <c r="K5659" s="2" t="s">
        <v>15485</v>
      </c>
      <c r="L5659" s="2"/>
      <c r="M5659" s="2" t="str">
        <f>IFERROR(__xludf.DUMMYFUNCTION("split(split(K5659,""【"",false),""公式LINE"",false)"),"双子の宗野直（渋谷龍生）と哲（渋谷樹生）の誕生日が近づいてきた。  未だに双子への接し方がよくわからない“俺”（上川隆也）は礼子先生（小西真奈美）に祝い方を相談し、楽しい誕生日になるはずが…。  さらに“俺”の仕事仲間であるナオ（平山あや）が宗野家にやってきて、ひと騒動もふた騒動も巻き起こす…！  自己中心的な振る舞いの裏にはどんな理由があるのか！？俺…上川隆也  灘尾礼子…小西真奈美  秋山ナオ…平山あや  宗野直・哲…渋谷龍生・樹生  脇坂芳江…須藤理彩  脇坂信之介…渡辺いっけい  柳瀬豪造…伊東四"&amp;"朗  ")</f>
        <v>双子の宗野直（渋谷龍生）と哲（渋谷樹生）の誕生日が近づいてきた。  未だに双子への接し方がよくわからない“俺”（上川隆也）は礼子先生（小西真奈美）に祝い方を相談し、楽しい誕生日になるはずが…。  さらに“俺”の仕事仲間であるナオ（平山あや）が宗野家にやってきて、ひと騒動もふた騒動も巻き起こす…！  自己中心的な振る舞いの裏にはどんな理由があるのか！？俺…上川隆也  灘尾礼子…小西真奈美  秋山ナオ…平山あや  宗野直・哲…渋谷龍生・樹生  脇坂芳江…須藤理彩  脇坂信之介…渡辺いっけい  柳瀬豪造…伊東四朗  </v>
      </c>
      <c r="N5659" s="2"/>
      <c r="O5659" s="2"/>
      <c r="P5659" s="1"/>
      <c r="Q5659" s="1"/>
      <c r="R5659" s="1"/>
      <c r="S5659" s="1"/>
      <c r="T5659" s="1"/>
      <c r="U5659" s="1"/>
      <c r="V5659" s="1"/>
      <c r="W5659" s="1"/>
      <c r="X5659" s="1"/>
      <c r="Y5659" s="1"/>
      <c r="Z5659" s="1"/>
      <c r="AA5659" s="1"/>
      <c r="AB5659" s="1"/>
      <c r="AC5659" s="1"/>
      <c r="AD5659" s="1"/>
      <c r="AE5659" s="1"/>
      <c r="AF5659" s="1"/>
      <c r="AG5659" s="1"/>
      <c r="AH5659" s="1"/>
      <c r="AI5659" s="1"/>
      <c r="AJ5659" s="1"/>
      <c r="AK5659" s="1"/>
      <c r="AL5659" s="1"/>
      <c r="AM5659" s="1"/>
      <c r="AN5659" s="1"/>
      <c r="AO5659" s="1"/>
      <c r="AP5659" s="1"/>
      <c r="AQ5659" s="1"/>
      <c r="AR5659" s="1"/>
      <c r="AS5659" s="1"/>
      <c r="AT5659" s="1"/>
      <c r="AU5659" s="1"/>
      <c r="AV5659" s="1"/>
      <c r="AW5659" s="1"/>
      <c r="AX5659" s="1"/>
      <c r="AY5659" s="1"/>
      <c r="AZ5659" s="1"/>
      <c r="BA5659" s="1"/>
      <c r="BB5659" s="1"/>
    </row>
    <row r="5660" ht="204.75" customHeight="1">
      <c r="A5660" s="1">
        <v>3948.0</v>
      </c>
      <c r="B5660" s="2" t="s">
        <v>15472</v>
      </c>
      <c r="C5660" s="2">
        <f>IFERROR(__xludf.DUMMYFUNCTION("split(B5660,""_"")"),1201.0)</f>
        <v>1201</v>
      </c>
      <c r="D5660" s="2" t="str">
        <f>IFERROR(__xludf.DUMMYFUNCTION("""COMPUTED_VALUE"""),"TBS")</f>
        <v>TBS</v>
      </c>
      <c r="E5660" s="2" t="str">
        <f>IFERROR(__xludf.DUMMYFUNCTION("""COMPUTED_VALUE"""),"月20")</f>
        <v>月20</v>
      </c>
      <c r="F5660" s="2" t="s">
        <v>15473</v>
      </c>
      <c r="G5660" s="2" t="s">
        <v>15486</v>
      </c>
      <c r="H5660" s="1">
        <v>7.0</v>
      </c>
      <c r="J5660" s="1" t="s">
        <v>7151</v>
      </c>
      <c r="K5660" s="2" t="s">
        <v>15487</v>
      </c>
      <c r="L5660" s="2"/>
      <c r="M5660" s="2" t="str">
        <f>IFERROR(__xludf.DUMMYFUNCTION("split(split(K5660,""【"",false),""公式LINE"",false)"),"いつもどおり宗野家にやってきた“俺”（上川隆也）は、家の中から出てきた男が自ら宗野直（渋谷龍生）と哲（渋谷樹生）の父親だと言ったことで狼狽する。しょうがなく父親を演じていたはずなのに、本物の父親が帰ってきた途端にやるせない思いがこみ上げる。しかしこの男は本物の双子の父親ではなく、佐久間という誘拐犯だった…！俺…上川隆也  灘尾礼子…小西真奈美  秋山ナオ…平山あや  宗野直・哲…渋谷龍生・樹生  脇坂芳江…須藤理彩  脇坂信之介…渡辺いっけい  柳瀬豪造…伊東四朗  ")</f>
        <v>いつもどおり宗野家にやってきた“俺”（上川隆也）は、家の中から出てきた男が自ら宗野直（渋谷龍生）と哲（渋谷樹生）の父親だと言ったことで狼狽する。しょうがなく父親を演じていたはずなのに、本物の父親が帰ってきた途端にやるせない思いがこみ上げる。しかしこの男は本物の双子の父親ではなく、佐久間という誘拐犯だった…！俺…上川隆也  灘尾礼子…小西真奈美  秋山ナオ…平山あや  宗野直・哲…渋谷龍生・樹生  脇坂芳江…須藤理彩  脇坂信之介…渡辺いっけい  柳瀬豪造…伊東四朗  </v>
      </c>
      <c r="N5660" s="2"/>
      <c r="O5660" s="2"/>
      <c r="P5660" s="1"/>
      <c r="Q5660" s="1"/>
      <c r="R5660" s="1"/>
      <c r="S5660" s="1"/>
      <c r="T5660" s="1"/>
      <c r="U5660" s="1"/>
      <c r="V5660" s="1"/>
      <c r="W5660" s="1"/>
      <c r="X5660" s="1"/>
      <c r="Y5660" s="1"/>
      <c r="Z5660" s="1"/>
      <c r="AA5660" s="1"/>
      <c r="AB5660" s="1"/>
      <c r="AC5660" s="1"/>
      <c r="AD5660" s="1"/>
      <c r="AE5660" s="1"/>
      <c r="AF5660" s="1"/>
      <c r="AG5660" s="1"/>
      <c r="AH5660" s="1"/>
      <c r="AI5660" s="1"/>
      <c r="AJ5660" s="1"/>
      <c r="AK5660" s="1"/>
      <c r="AL5660" s="1"/>
      <c r="AM5660" s="1"/>
      <c r="AN5660" s="1"/>
      <c r="AO5660" s="1"/>
      <c r="AP5660" s="1"/>
      <c r="AQ5660" s="1"/>
      <c r="AR5660" s="1"/>
      <c r="AS5660" s="1"/>
      <c r="AT5660" s="1"/>
      <c r="AU5660" s="1"/>
      <c r="AV5660" s="1"/>
      <c r="AW5660" s="1"/>
      <c r="AX5660" s="1"/>
      <c r="AY5660" s="1"/>
      <c r="AZ5660" s="1"/>
      <c r="BA5660" s="1"/>
      <c r="BB5660" s="1"/>
    </row>
    <row r="5661" ht="204.75" customHeight="1">
      <c r="A5661" s="1">
        <v>3949.0</v>
      </c>
      <c r="B5661" s="2" t="s">
        <v>15472</v>
      </c>
      <c r="C5661" s="2">
        <f>IFERROR(__xludf.DUMMYFUNCTION("split(B5661,""_"")"),1201.0)</f>
        <v>1201</v>
      </c>
      <c r="D5661" s="2" t="str">
        <f>IFERROR(__xludf.DUMMYFUNCTION("""COMPUTED_VALUE"""),"TBS")</f>
        <v>TBS</v>
      </c>
      <c r="E5661" s="2" t="str">
        <f>IFERROR(__xludf.DUMMYFUNCTION("""COMPUTED_VALUE"""),"月20")</f>
        <v>月20</v>
      </c>
      <c r="F5661" s="2" t="s">
        <v>15473</v>
      </c>
      <c r="G5661" s="2" t="s">
        <v>15488</v>
      </c>
      <c r="H5661" s="1">
        <v>8.0</v>
      </c>
      <c r="J5661" s="1" t="s">
        <v>7151</v>
      </c>
      <c r="K5661" s="2" t="s">
        <v>15489</v>
      </c>
      <c r="L5661" s="2"/>
      <c r="M5661" s="2" t="str">
        <f>IFERROR(__xludf.DUMMYFUNCTION("split(split(K5661,""【"",false),""公式LINE"",false)"),"脇坂家に謎の新聞が投げ込まれるというイタズラが続き、双子にその犯人探しを頼まれた元ドロボウの”俺”。なぜ新聞が投げ込まれるのか？投げ込まれた新聞に隠された犯人からのメッセージを読み解こうとする俺。しかし、そこには思いもよらない事実が隠されていた！！泥棒の俺の前に突きつけられた罪と罰ー。新聞投げ込み事件の意外な犯人と真相とは！？俺…上川隆也  灘尾礼子…小西真奈美  秋山ナオ…平山あや  宗野直・哲…渋谷龍生・樹生  脇坂芳江…須藤理彩  脇坂信之介…渡辺いっけい  柳瀬豪造…伊東四朗    田島浩一…石井"&amp;"正則 ")</f>
        <v>脇坂家に謎の新聞が投げ込まれるというイタズラが続き、双子にその犯人探しを頼まれた元ドロボウの”俺”。なぜ新聞が投げ込まれるのか？投げ込まれた新聞に隠された犯人からのメッセージを読み解こうとする俺。しかし、そこには思いもよらない事実が隠されていた！！泥棒の俺の前に突きつけられた罪と罰ー。新聞投げ込み事件の意外な犯人と真相とは！？俺…上川隆也  灘尾礼子…小西真奈美  秋山ナオ…平山あや  宗野直・哲…渋谷龍生・樹生  脇坂芳江…須藤理彩  脇坂信之介…渡辺いっけい  柳瀬豪造…伊東四朗    田島浩一…石井正則 </v>
      </c>
      <c r="N5661" s="2"/>
      <c r="O5661" s="2"/>
      <c r="P5661" s="1"/>
      <c r="Q5661" s="1"/>
      <c r="R5661" s="1"/>
      <c r="S5661" s="1"/>
      <c r="T5661" s="1"/>
      <c r="U5661" s="1"/>
      <c r="V5661" s="1"/>
      <c r="W5661" s="1"/>
      <c r="X5661" s="1"/>
      <c r="Y5661" s="1"/>
      <c r="Z5661" s="1"/>
      <c r="AA5661" s="1"/>
      <c r="AB5661" s="1"/>
      <c r="AC5661" s="1"/>
      <c r="AD5661" s="1"/>
      <c r="AE5661" s="1"/>
      <c r="AF5661" s="1"/>
      <c r="AG5661" s="1"/>
      <c r="AH5661" s="1"/>
      <c r="AI5661" s="1"/>
      <c r="AJ5661" s="1"/>
      <c r="AK5661" s="1"/>
      <c r="AL5661" s="1"/>
      <c r="AM5661" s="1"/>
      <c r="AN5661" s="1"/>
      <c r="AO5661" s="1"/>
      <c r="AP5661" s="1"/>
      <c r="AQ5661" s="1"/>
      <c r="AR5661" s="1"/>
      <c r="AS5661" s="1"/>
      <c r="AT5661" s="1"/>
      <c r="AU5661" s="1"/>
      <c r="AV5661" s="1"/>
      <c r="AW5661" s="1"/>
      <c r="AX5661" s="1"/>
      <c r="AY5661" s="1"/>
      <c r="AZ5661" s="1"/>
      <c r="BA5661" s="1"/>
      <c r="BB5661" s="1"/>
    </row>
    <row r="5662" ht="204.75" customHeight="1">
      <c r="A5662" s="1">
        <v>3950.0</v>
      </c>
      <c r="B5662" s="2" t="s">
        <v>15472</v>
      </c>
      <c r="C5662" s="2">
        <f>IFERROR(__xludf.DUMMYFUNCTION("split(B5662,""_"")"),1201.0)</f>
        <v>1201</v>
      </c>
      <c r="D5662" s="2" t="str">
        <f>IFERROR(__xludf.DUMMYFUNCTION("""COMPUTED_VALUE"""),"TBS")</f>
        <v>TBS</v>
      </c>
      <c r="E5662" s="2" t="str">
        <f>IFERROR(__xludf.DUMMYFUNCTION("""COMPUTED_VALUE"""),"月20")</f>
        <v>月20</v>
      </c>
      <c r="F5662" s="2" t="s">
        <v>15473</v>
      </c>
      <c r="G5662" s="2" t="s">
        <v>15490</v>
      </c>
      <c r="H5662" s="1">
        <v>9.0</v>
      </c>
      <c r="J5662" s="1" t="s">
        <v>7151</v>
      </c>
      <c r="K5662" s="2" t="s">
        <v>15491</v>
      </c>
      <c r="L5662" s="2"/>
      <c r="M5662" s="2" t="str">
        <f>IFERROR(__xludf.DUMMYFUNCTION("split(split(K5662,""【"",false),""公式LINE"",false)"),"“俺”（上川隆也）は最近機嫌が悪い。ステップファザー契約のため泥棒稼業は休業中だが、街にはニセ怪盗キングが現れ、失敗ばかりしているのだ。柳瀬（伊東四朗）はニセモノについて何かを知っているようだが、話そうとしない。それどころか、稼げない泥棒はいらないと“俺”を事務所から追い出そうとする。  プライドを傷つけられた“俺”は、ナオ（平山あや）にニセ怪盗キングの被害者の情報を集めるよう頼む…。俺…上川隆也  灘尾礼子…小西真奈美  秋山ナオ…平山あや  宗野直・哲…渋谷龍生・樹生  脇坂芳江…須藤理彩  脇坂信之"&amp;"介…渡辺いっけい  柳瀬豪造…伊東四朗画聖（ピカソ）…平泉成    郷田和男…マギー  ")</f>
        <v>“俺”（上川隆也）は最近機嫌が悪い。ステップファザー契約のため泥棒稼業は休業中だが、街にはニセ怪盗キングが現れ、失敗ばかりしているのだ。柳瀬（伊東四朗）はニセモノについて何かを知っているようだが、話そうとしない。それどころか、稼げない泥棒はいらないと“俺”を事務所から追い出そうとする。  プライドを傷つけられた“俺”は、ナオ（平山あや）にニセ怪盗キングの被害者の情報を集めるよう頼む…。俺…上川隆也  灘尾礼子…小西真奈美  秋山ナオ…平山あや  宗野直・哲…渋谷龍生・樹生  脇坂芳江…須藤理彩  脇坂信之介…渡辺いっけい  柳瀬豪造…伊東四朗画聖（ピカソ）…平泉成    郷田和男…マギー  </v>
      </c>
      <c r="N5662" s="2"/>
      <c r="O5662" s="2"/>
      <c r="P5662" s="1"/>
      <c r="Q5662" s="1"/>
      <c r="R5662" s="1"/>
      <c r="S5662" s="1"/>
      <c r="T5662" s="1"/>
      <c r="U5662" s="1"/>
      <c r="V5662" s="1"/>
      <c r="W5662" s="1"/>
      <c r="X5662" s="1"/>
      <c r="Y5662" s="1"/>
      <c r="Z5662" s="1"/>
      <c r="AA5662" s="1"/>
      <c r="AB5662" s="1"/>
      <c r="AC5662" s="1"/>
      <c r="AD5662" s="1"/>
      <c r="AE5662" s="1"/>
      <c r="AF5662" s="1"/>
      <c r="AG5662" s="1"/>
      <c r="AH5662" s="1"/>
      <c r="AI5662" s="1"/>
      <c r="AJ5662" s="1"/>
      <c r="AK5662" s="1"/>
      <c r="AL5662" s="1"/>
      <c r="AM5662" s="1"/>
      <c r="AN5662" s="1"/>
      <c r="AO5662" s="1"/>
      <c r="AP5662" s="1"/>
      <c r="AQ5662" s="1"/>
      <c r="AR5662" s="1"/>
      <c r="AS5662" s="1"/>
      <c r="AT5662" s="1"/>
      <c r="AU5662" s="1"/>
      <c r="AV5662" s="1"/>
      <c r="AW5662" s="1"/>
      <c r="AX5662" s="1"/>
      <c r="AY5662" s="1"/>
      <c r="AZ5662" s="1"/>
      <c r="BA5662" s="1"/>
      <c r="BB5662" s="1"/>
    </row>
    <row r="5663" ht="204.75" customHeight="1">
      <c r="A5663" s="1">
        <v>3951.0</v>
      </c>
      <c r="B5663" s="2" t="s">
        <v>15472</v>
      </c>
      <c r="C5663" s="2">
        <f>IFERROR(__xludf.DUMMYFUNCTION("split(B5663,""_"")"),1201.0)</f>
        <v>1201</v>
      </c>
      <c r="D5663" s="2" t="str">
        <f>IFERROR(__xludf.DUMMYFUNCTION("""COMPUTED_VALUE"""),"TBS")</f>
        <v>TBS</v>
      </c>
      <c r="E5663" s="2" t="str">
        <f>IFERROR(__xludf.DUMMYFUNCTION("""COMPUTED_VALUE"""),"月20")</f>
        <v>月20</v>
      </c>
      <c r="F5663" s="2" t="s">
        <v>15473</v>
      </c>
      <c r="G5663" s="2" t="s">
        <v>15492</v>
      </c>
      <c r="H5663" s="1">
        <v>10.0</v>
      </c>
      <c r="J5663" s="1" t="s">
        <v>7151</v>
      </c>
      <c r="K5663" s="2" t="s">
        <v>15493</v>
      </c>
      <c r="L5663" s="2"/>
      <c r="M5663" s="2" t="str">
        <f>IFERROR(__xludf.DUMMYFUNCTION("split(split(K5663,""【"",false),""公式LINE"",false)"),"ある日、柳瀬（伊東四朗）の事務所に、佐藤（柏原収史）という男が訪ねてきた。写真の切れ端に写っている時計を探して欲しいという。“俺”（上川隆也）は、探偵事務所ではないと反発するが、多額の成功報酬目当てに請け負うことに。“俺”は双子の父親・宗野正雄の行方を個人的に追っており、金が必要なのだ。同じ頃、直（渋谷龍生）と哲（渋谷樹生）も残り少なくなった生活費に悩んでいた。そして“俺”から時計探しと報酬の話を聞いた双子は、柳瀬にアルバイトを申し出る。双子は柳瀬に“俺”そっくりの衣装を買ってもらい、やる気満々だ。俺…上"&amp;"川隆也  灘尾礼子…小西真奈美  秋山ナオ…平山あや  宗野直・哲…渋谷龍生・樹生  脇坂芳江…須藤理彩  脇坂信之介…渡辺いっけい  柳瀬豪造…伊東四朗")</f>
        <v>ある日、柳瀬（伊東四朗）の事務所に、佐藤（柏原収史）という男が訪ねてきた。写真の切れ端に写っている時計を探して欲しいという。“俺”（上川隆也）は、探偵事務所ではないと反発するが、多額の成功報酬目当てに請け負うことに。“俺”は双子の父親・宗野正雄の行方を個人的に追っており、金が必要なのだ。同じ頃、直（渋谷龍生）と哲（渋谷樹生）も残り少なくなった生活費に悩んでいた。そして“俺”から時計探しと報酬の話を聞いた双子は、柳瀬にアルバイトを申し出る。双子は柳瀬に“俺”そっくりの衣装を買ってもらい、やる気満々だ。俺…上川隆也  灘尾礼子…小西真奈美  秋山ナオ…平山あや  宗野直・哲…渋谷龍生・樹生  脇坂芳江…須藤理彩  脇坂信之介…渡辺いっけい  柳瀬豪造…伊東四朗</v>
      </c>
      <c r="N5663" s="2"/>
      <c r="O5663" s="2"/>
      <c r="P5663" s="1"/>
      <c r="Q5663" s="1"/>
      <c r="R5663" s="1"/>
      <c r="S5663" s="1"/>
      <c r="T5663" s="1"/>
      <c r="U5663" s="1"/>
      <c r="V5663" s="1"/>
      <c r="W5663" s="1"/>
      <c r="X5663" s="1"/>
      <c r="Y5663" s="1"/>
      <c r="Z5663" s="1"/>
      <c r="AA5663" s="1"/>
      <c r="AB5663" s="1"/>
      <c r="AC5663" s="1"/>
      <c r="AD5663" s="1"/>
      <c r="AE5663" s="1"/>
      <c r="AF5663" s="1"/>
      <c r="AG5663" s="1"/>
      <c r="AH5663" s="1"/>
      <c r="AI5663" s="1"/>
      <c r="AJ5663" s="1"/>
      <c r="AK5663" s="1"/>
      <c r="AL5663" s="1"/>
      <c r="AM5663" s="1"/>
      <c r="AN5663" s="1"/>
      <c r="AO5663" s="1"/>
      <c r="AP5663" s="1"/>
      <c r="AQ5663" s="1"/>
      <c r="AR5663" s="1"/>
      <c r="AS5663" s="1"/>
      <c r="AT5663" s="1"/>
      <c r="AU5663" s="1"/>
      <c r="AV5663" s="1"/>
      <c r="AW5663" s="1"/>
      <c r="AX5663" s="1"/>
      <c r="AY5663" s="1"/>
      <c r="AZ5663" s="1"/>
      <c r="BA5663" s="1"/>
      <c r="BB5663" s="1"/>
    </row>
    <row r="5664" ht="204.75" customHeight="1">
      <c r="A5664" s="1">
        <v>3952.0</v>
      </c>
      <c r="B5664" s="2" t="s">
        <v>15472</v>
      </c>
      <c r="C5664" s="2">
        <f>IFERROR(__xludf.DUMMYFUNCTION("split(B5664,""_"")"),1201.0)</f>
        <v>1201</v>
      </c>
      <c r="D5664" s="2" t="str">
        <f>IFERROR(__xludf.DUMMYFUNCTION("""COMPUTED_VALUE"""),"TBS")</f>
        <v>TBS</v>
      </c>
      <c r="E5664" s="2" t="str">
        <f>IFERROR(__xludf.DUMMYFUNCTION("""COMPUTED_VALUE"""),"月20")</f>
        <v>月20</v>
      </c>
      <c r="F5664" s="2" t="s">
        <v>15473</v>
      </c>
      <c r="G5664" s="2" t="s">
        <v>15494</v>
      </c>
      <c r="H5664" s="1">
        <v>11.0</v>
      </c>
      <c r="J5664" s="1" t="s">
        <v>7151</v>
      </c>
      <c r="K5664" s="2" t="s">
        <v>15495</v>
      </c>
      <c r="L5664" s="2"/>
      <c r="M5664" s="2" t="str">
        <f>IFERROR(__xludf.DUMMYFUNCTION("split(split(K5664,""【"",false),""公式LINE"",false)"),"ある夜、“俺”は宗野正雄（東根作寿英）の部屋から暮志木市（くらしきし）にある小原（こはら）美術館の入場券を見つけた。  この美術館は暮志木市長の小原（山田剛明）が市役所の一部を改造して作ったもので名画の贋作ばかりを展示している。  しかし柳瀬（伊東四朗）によるとひとつだけ本物の絵があるという。絵画に興味のない宗野が連日美術館通いとは、何か怪しく思い…。俺…上川隆也  灘尾礼子…小西真奈美  秋山ナオ…平山あや  宗野直・哲…渋谷龍生・樹生  脇坂芳江…須藤理彩  脇坂信之介…渡辺いっけい  柳瀬豪造…伊東"&amp;"四朗    画聖…平泉成  宗野正雄…東根作寿英  溝口香苗…小沢真珠  小原市長…山田剛明")</f>
        <v>ある夜、“俺”は宗野正雄（東根作寿英）の部屋から暮志木市（くらしきし）にある小原（こはら）美術館の入場券を見つけた。  この美術館は暮志木市長の小原（山田剛明）が市役所の一部を改造して作ったもので名画の贋作ばかりを展示している。  しかし柳瀬（伊東四朗）によるとひとつだけ本物の絵があるという。絵画に興味のない宗野が連日美術館通いとは、何か怪しく思い…。俺…上川隆也  灘尾礼子…小西真奈美  秋山ナオ…平山あや  宗野直・哲…渋谷龍生・樹生  脇坂芳江…須藤理彩  脇坂信之介…渡辺いっけい  柳瀬豪造…伊東四朗    画聖…平泉成  宗野正雄…東根作寿英  溝口香苗…小沢真珠  小原市長…山田剛明</v>
      </c>
      <c r="N5664" s="2"/>
      <c r="O5664" s="2"/>
      <c r="P5664" s="1"/>
      <c r="Q5664" s="1"/>
      <c r="R5664" s="1"/>
      <c r="S5664" s="1"/>
      <c r="T5664" s="1"/>
      <c r="U5664" s="1"/>
      <c r="V5664" s="1"/>
      <c r="W5664" s="1"/>
      <c r="X5664" s="1"/>
      <c r="Y5664" s="1"/>
      <c r="Z5664" s="1"/>
      <c r="AA5664" s="1"/>
      <c r="AB5664" s="1"/>
      <c r="AC5664" s="1"/>
      <c r="AD5664" s="1"/>
      <c r="AE5664" s="1"/>
      <c r="AF5664" s="1"/>
      <c r="AG5664" s="1"/>
      <c r="AH5664" s="1"/>
      <c r="AI5664" s="1"/>
      <c r="AJ5664" s="1"/>
      <c r="AK5664" s="1"/>
      <c r="AL5664" s="1"/>
      <c r="AM5664" s="1"/>
      <c r="AN5664" s="1"/>
      <c r="AO5664" s="1"/>
      <c r="AP5664" s="1"/>
      <c r="AQ5664" s="1"/>
      <c r="AR5664" s="1"/>
      <c r="AS5664" s="1"/>
      <c r="AT5664" s="1"/>
      <c r="AU5664" s="1"/>
      <c r="AV5664" s="1"/>
      <c r="AW5664" s="1"/>
      <c r="AX5664" s="1"/>
      <c r="AY5664" s="1"/>
      <c r="AZ5664" s="1"/>
      <c r="BA5664" s="1"/>
      <c r="BB5664" s="1"/>
    </row>
    <row r="5665" ht="204.75" customHeight="1">
      <c r="A5665" s="1">
        <v>4003.0</v>
      </c>
      <c r="B5665" s="2" t="s">
        <v>15496</v>
      </c>
      <c r="C5665" s="2">
        <f>IFERROR(__xludf.DUMMYFUNCTION("split(B5665,""_"")"),1201.0)</f>
        <v>1201</v>
      </c>
      <c r="D5665" s="2" t="str">
        <f>IFERROR(__xludf.DUMMYFUNCTION("""COMPUTED_VALUE"""),"TBS")</f>
        <v>TBS</v>
      </c>
      <c r="E5665" s="2" t="str">
        <f>IFERROR(__xludf.DUMMYFUNCTION("""COMPUTED_VALUE"""),"木21")</f>
        <v>木21</v>
      </c>
      <c r="F5665" s="2" t="s">
        <v>15497</v>
      </c>
      <c r="G5665" s="2" t="s">
        <v>15498</v>
      </c>
      <c r="H5665" s="1">
        <v>1.0</v>
      </c>
      <c r="J5665" s="1" t="s">
        <v>4</v>
      </c>
      <c r="K5665" s="2" t="s">
        <v>15499</v>
      </c>
      <c r="L5665" s="2"/>
      <c r="M5665" s="2" t="str">
        <f>IFERROR(__xludf.DUMMYFUNCTION("split(split(K5665,""【"",false),""公式LINE"",false)"),"物語の主人公・井原真人（山下智久）は毎日を平凡に暮らしていた。そんな彼の前に現れた女性、坂巻優樹（榮倉奈々）との出会いは地下鉄のホームだった。彼女を必死に抱きとめ彼は言った。「諦めなければよかったって思える日が、必ず来るから・・・」その日から真人の人生は変わり始めた。居酒屋チェーン店に勤務する真人の部下、長田（設楽統）の突然の死、父親（蟹江敬三）の死。そして葬儀屋をやろうと決意する真人。不可解な長田の死を追うミステリー、前田敦子、知念侑李、大野いと、反町隆史演じる井原家5人兄弟の家庭問題。謎の男岩田（山崎"&amp;"努）の正体。優樹とのラブストーリー。全てが目が話せない80分の拡大スペシャル！！山下智久  榮倉奈々  前田敦子（AKB48）  知念侑李（Hey！Say！JUMP）  大野いと  水上剣星  橋本真実  藤本哉汰  田中理勇  大友康平  磯野貴理子  黄川田将也  塩見三省  蟹江敬三  反町隆史  山崎努  (他)  ")</f>
        <v>物語の主人公・井原真人（山下智久）は毎日を平凡に暮らしていた。そんな彼の前に現れた女性、坂巻優樹（榮倉奈々）との出会いは地下鉄のホームだった。彼女を必死に抱きとめ彼は言った。「諦めなければよかったって思える日が、必ず来るから・・・」その日から真人の人生は変わり始めた。居酒屋チェーン店に勤務する真人の部下、長田（設楽統）の突然の死、父親（蟹江敬三）の死。そして葬儀屋をやろうと決意する真人。不可解な長田の死を追うミステリー、前田敦子、知念侑李、大野いと、反町隆史演じる井原家5人兄弟の家庭問題。謎の男岩田（山崎努）の正体。優樹とのラブストーリー。全てが目が話せない80分の拡大スペシャル！！山下智久  榮倉奈々  前田敦子（AKB48）  知念侑李（Hey！Say！JUMP）  大野いと  水上剣星  橋本真実  藤本哉汰  田中理勇  大友康平  磯野貴理子  黄川田将也  塩見三省  蟹江敬三  反町隆史  山崎努  (他)  </v>
      </c>
      <c r="N5665" s="2"/>
      <c r="O5665" s="2"/>
      <c r="P5665" s="1"/>
      <c r="Q5665" s="1"/>
      <c r="R5665" s="1"/>
      <c r="S5665" s="1"/>
      <c r="T5665" s="1"/>
      <c r="U5665" s="1"/>
      <c r="V5665" s="1"/>
      <c r="W5665" s="1"/>
      <c r="X5665" s="1"/>
      <c r="Y5665" s="1"/>
      <c r="Z5665" s="1"/>
      <c r="AA5665" s="1"/>
      <c r="AB5665" s="1"/>
      <c r="AC5665" s="1"/>
      <c r="AD5665" s="1"/>
      <c r="AE5665" s="1"/>
      <c r="AF5665" s="1"/>
      <c r="AG5665" s="1"/>
      <c r="AH5665" s="1"/>
      <c r="AI5665" s="1"/>
      <c r="AJ5665" s="1"/>
      <c r="AK5665" s="1"/>
      <c r="AL5665" s="1"/>
      <c r="AM5665" s="1"/>
      <c r="AN5665" s="1"/>
      <c r="AO5665" s="1"/>
      <c r="AP5665" s="1"/>
      <c r="AQ5665" s="1"/>
      <c r="AR5665" s="1"/>
      <c r="AS5665" s="1"/>
      <c r="AT5665" s="1"/>
      <c r="AU5665" s="1"/>
      <c r="AV5665" s="1"/>
      <c r="AW5665" s="1"/>
      <c r="AX5665" s="1"/>
      <c r="AY5665" s="1"/>
      <c r="AZ5665" s="1"/>
      <c r="BA5665" s="1"/>
      <c r="BB5665" s="1"/>
    </row>
    <row r="5666" ht="204.75" customHeight="1">
      <c r="A5666" s="1">
        <v>4004.0</v>
      </c>
      <c r="B5666" s="2" t="s">
        <v>15496</v>
      </c>
      <c r="C5666" s="2">
        <f>IFERROR(__xludf.DUMMYFUNCTION("split(B5666,""_"")"),1201.0)</f>
        <v>1201</v>
      </c>
      <c r="D5666" s="2" t="str">
        <f>IFERROR(__xludf.DUMMYFUNCTION("""COMPUTED_VALUE"""),"TBS")</f>
        <v>TBS</v>
      </c>
      <c r="E5666" s="2" t="str">
        <f>IFERROR(__xludf.DUMMYFUNCTION("""COMPUTED_VALUE"""),"木21")</f>
        <v>木21</v>
      </c>
      <c r="F5666" s="2" t="s">
        <v>15497</v>
      </c>
      <c r="G5666" s="2" t="s">
        <v>15500</v>
      </c>
      <c r="H5666" s="1">
        <v>2.0</v>
      </c>
      <c r="J5666" s="1" t="s">
        <v>11</v>
      </c>
      <c r="K5666" s="2" t="s">
        <v>15501</v>
      </c>
      <c r="L5666" s="2"/>
      <c r="M5666" s="2" t="str">
        <f>IFERROR(__xludf.DUMMYFUNCTION("split(split(K5666,""【"",false),""公式LINE"",false)"),"葬儀・井原屋を告ぐことを決心した真人（山下智久）が目にしたのは、居酒屋に面接に来た男性（玉森裕太）の遺体だった。そして彼は、身元のわからない無縁仏だった。何とか彼の人生に花を添えたいと願う真人は、優樹と共に男性の人生を追うことになる。そんな中現れた女・谷沢怜奈（杏）。怜奈と男性の意外な関係が紐解かれる事になる。そして2人の関係は思いも寄らぬ、人生の絆だった。山下智久  榮倉奈々  前田敦子（AKB48）  知念侑李（Hey！Say！JUMP）  大野いと  水上剣星  橋本真実  岡本玲  藤本哉汰  大"&amp;"友康平  磯野貴理子  黄川田将也  反町隆史  山崎努  ")</f>
        <v>葬儀・井原屋を告ぐことを決心した真人（山下智久）が目にしたのは、居酒屋に面接に来た男性（玉森裕太）の遺体だった。そして彼は、身元のわからない無縁仏だった。何とか彼の人生に花を添えたいと願う真人は、優樹と共に男性の人生を追うことになる。そんな中現れた女・谷沢怜奈（杏）。怜奈と男性の意外な関係が紐解かれる事になる。そして2人の関係は思いも寄らぬ、人生の絆だった。山下智久  榮倉奈々  前田敦子（AKB48）  知念侑李（Hey！Say！JUMP）  大野いと  水上剣星  橋本真実  岡本玲  藤本哉汰  大友康平  磯野貴理子  黄川田将也  反町隆史  山崎努  </v>
      </c>
      <c r="N5666" s="2"/>
      <c r="O5666" s="2"/>
      <c r="P5666" s="1"/>
      <c r="Q5666" s="1"/>
      <c r="R5666" s="1"/>
      <c r="S5666" s="1"/>
      <c r="T5666" s="1"/>
      <c r="U5666" s="1"/>
      <c r="V5666" s="1"/>
      <c r="W5666" s="1"/>
      <c r="X5666" s="1"/>
      <c r="Y5666" s="1"/>
      <c r="Z5666" s="1"/>
      <c r="AA5666" s="1"/>
      <c r="AB5666" s="1"/>
      <c r="AC5666" s="1"/>
      <c r="AD5666" s="1"/>
      <c r="AE5666" s="1"/>
      <c r="AF5666" s="1"/>
      <c r="AG5666" s="1"/>
      <c r="AH5666" s="1"/>
      <c r="AI5666" s="1"/>
      <c r="AJ5666" s="1"/>
      <c r="AK5666" s="1"/>
      <c r="AL5666" s="1"/>
      <c r="AM5666" s="1"/>
      <c r="AN5666" s="1"/>
      <c r="AO5666" s="1"/>
      <c r="AP5666" s="1"/>
      <c r="AQ5666" s="1"/>
      <c r="AR5666" s="1"/>
      <c r="AS5666" s="1"/>
      <c r="AT5666" s="1"/>
      <c r="AU5666" s="1"/>
      <c r="AV5666" s="1"/>
      <c r="AW5666" s="1"/>
      <c r="AX5666" s="1"/>
      <c r="AY5666" s="1"/>
      <c r="AZ5666" s="1"/>
      <c r="BA5666" s="1"/>
      <c r="BB5666" s="1"/>
    </row>
    <row r="5667" ht="204.75" customHeight="1">
      <c r="A5667" s="1">
        <v>4005.0</v>
      </c>
      <c r="B5667" s="2" t="s">
        <v>15496</v>
      </c>
      <c r="C5667" s="2">
        <f>IFERROR(__xludf.DUMMYFUNCTION("split(B5667,""_"")"),1201.0)</f>
        <v>1201</v>
      </c>
      <c r="D5667" s="2" t="str">
        <f>IFERROR(__xludf.DUMMYFUNCTION("""COMPUTED_VALUE"""),"TBS")</f>
        <v>TBS</v>
      </c>
      <c r="E5667" s="2" t="str">
        <f>IFERROR(__xludf.DUMMYFUNCTION("""COMPUTED_VALUE"""),"木21")</f>
        <v>木21</v>
      </c>
      <c r="F5667" s="2" t="s">
        <v>15497</v>
      </c>
      <c r="G5667" s="2" t="s">
        <v>15502</v>
      </c>
      <c r="H5667" s="1">
        <v>3.0</v>
      </c>
      <c r="J5667" s="1" t="s">
        <v>11</v>
      </c>
      <c r="K5667" s="2" t="s">
        <v>15503</v>
      </c>
      <c r="L5667" s="2"/>
      <c r="M5667" s="2" t="str">
        <f>IFERROR(__xludf.DUMMYFUNCTION("split(split(K5667,""【"",false),""公式LINE"",false)"),"冬の河原。そこにははっぴ姿の真人（山下智久）がいた。町内会恒例の裸祭り。神輿を担ぎ奮闘する真人。そんな中、花屋の夕子と姑澄子（草笛光子）のケンカを目撃する。香川家では日常茶飯事だそうだ。結婚して20年、いまだ嫁として認めてもらえないと、夕子は不満を漏らす。ちょっとしたいさかいから澄子は家出をしてしまう。そして物言わぬ姿で発見されるのである。発覚していく信じられない事実、困惑する夕子。真人、優樹は、真相を掴む事ができるのだろうか。驚きのラストを迎える第3話。軽井沢、裸祭り、バラ一面の園、とにかく盛りだくさん"&amp;"の感動ストーリーは木曜よる9時！！山下智久  榮倉奈々  前田敦子（AKB48）  知念侑李（Hey！Say！JUMP）  大野いと  水上剣星  橋本真実  駿河太郎  藤本哉汰  大友康平  磯野貴理子  黄川田将也  反町隆史  山崎努  ")</f>
        <v>冬の河原。そこにははっぴ姿の真人（山下智久）がいた。町内会恒例の裸祭り。神輿を担ぎ奮闘する真人。そんな中、花屋の夕子と姑澄子（草笛光子）のケンカを目撃する。香川家では日常茶飯事だそうだ。結婚して20年、いまだ嫁として認めてもらえないと、夕子は不満を漏らす。ちょっとしたいさかいから澄子は家出をしてしまう。そして物言わぬ姿で発見されるのである。発覚していく信じられない事実、困惑する夕子。真人、優樹は、真相を掴む事ができるのだろうか。驚きのラストを迎える第3話。軽井沢、裸祭り、バラ一面の園、とにかく盛りだくさんの感動ストーリーは木曜よる9時！！山下智久  榮倉奈々  前田敦子（AKB48）  知念侑李（Hey！Say！JUMP）  大野いと  水上剣星  橋本真実  駿河太郎  藤本哉汰  大友康平  磯野貴理子  黄川田将也  反町隆史  山崎努  </v>
      </c>
      <c r="N5667" s="2"/>
      <c r="O5667" s="2"/>
      <c r="P5667" s="1"/>
      <c r="Q5667" s="1"/>
      <c r="R5667" s="1"/>
      <c r="S5667" s="1"/>
      <c r="T5667" s="1"/>
      <c r="U5667" s="1"/>
      <c r="V5667" s="1"/>
      <c r="W5667" s="1"/>
      <c r="X5667" s="1"/>
      <c r="Y5667" s="1"/>
      <c r="Z5667" s="1"/>
      <c r="AA5667" s="1"/>
      <c r="AB5667" s="1"/>
      <c r="AC5667" s="1"/>
      <c r="AD5667" s="1"/>
      <c r="AE5667" s="1"/>
      <c r="AF5667" s="1"/>
      <c r="AG5667" s="1"/>
      <c r="AH5667" s="1"/>
      <c r="AI5667" s="1"/>
      <c r="AJ5667" s="1"/>
      <c r="AK5667" s="1"/>
      <c r="AL5667" s="1"/>
      <c r="AM5667" s="1"/>
      <c r="AN5667" s="1"/>
      <c r="AO5667" s="1"/>
      <c r="AP5667" s="1"/>
      <c r="AQ5667" s="1"/>
      <c r="AR5667" s="1"/>
      <c r="AS5667" s="1"/>
      <c r="AT5667" s="1"/>
      <c r="AU5667" s="1"/>
      <c r="AV5667" s="1"/>
      <c r="AW5667" s="1"/>
      <c r="AX5667" s="1"/>
      <c r="AY5667" s="1"/>
      <c r="AZ5667" s="1"/>
      <c r="BA5667" s="1"/>
      <c r="BB5667" s="1"/>
    </row>
    <row r="5668" ht="204.75" customHeight="1">
      <c r="A5668" s="1">
        <v>4006.0</v>
      </c>
      <c r="B5668" s="2" t="s">
        <v>15496</v>
      </c>
      <c r="C5668" s="2">
        <f>IFERROR(__xludf.DUMMYFUNCTION("split(B5668,""_"")"),1201.0)</f>
        <v>1201</v>
      </c>
      <c r="D5668" s="2" t="str">
        <f>IFERROR(__xludf.DUMMYFUNCTION("""COMPUTED_VALUE"""),"TBS")</f>
        <v>TBS</v>
      </c>
      <c r="E5668" s="2" t="str">
        <f>IFERROR(__xludf.DUMMYFUNCTION("""COMPUTED_VALUE"""),"木21")</f>
        <v>木21</v>
      </c>
      <c r="F5668" s="2" t="s">
        <v>15497</v>
      </c>
      <c r="G5668" s="2" t="s">
        <v>15504</v>
      </c>
      <c r="H5668" s="1">
        <v>4.0</v>
      </c>
      <c r="J5668" s="1" t="s">
        <v>11</v>
      </c>
      <c r="K5668" s="2" t="s">
        <v>15505</v>
      </c>
      <c r="L5668" s="2"/>
      <c r="M5668" s="2" t="str">
        <f>IFERROR(__xludf.DUMMYFUNCTION("split(split(K5668,""【"",false),""公式LINE"",false)"),"町のとある建設会社の社長の遺体が発見された。  彼は岡部啓介（織本順吉）。岡部建設の社長である。真人（山下智久）は以前、啓介と長男・秀喜（哀川翔）の会話を聞いていた。  井原屋始まって以来、数を見ない社葬の依頼に、戸惑う晴香（前田敦子）をよそに、息上がる真人。  果たして、成功させる事ができるのだろうか？そして気になる晴香の恋の行方も・・・様々な愛の形が存在する第4話。井原真人…山下智久  坂巻優樹…榮倉奈々  井原晴香…前田敦子 (AKB48)  井原隼人…知念侑李 (Hey！　Say！　JUMP)  "&amp;"井原桃子…大野いと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岩田逸郎…山崎努哀川翔  小市慢太郎  織本順吉")</f>
        <v>町のとある建設会社の社長の遺体が発見された。  彼は岡部啓介（織本順吉）。岡部建設の社長である。真人（山下智久）は以前、啓介と長男・秀喜（哀川翔）の会話を聞いていた。  井原屋始まって以来、数を見ない社葬の依頼に、戸惑う晴香（前田敦子）をよそに、息上がる真人。  果たして、成功させる事ができるのだろうか？そして気になる晴香の恋の行方も・・・様々な愛の形が存在する第4話。井原真人…山下智久  坂巻優樹…榮倉奈々  井原晴香…前田敦子 (AKB48)  井原隼人…知念侑李 (Hey！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岩田逸郎…山崎努哀川翔  小市慢太郎  織本順吉</v>
      </c>
      <c r="N5668" s="2"/>
      <c r="O5668" s="2"/>
      <c r="P5668" s="1"/>
      <c r="Q5668" s="1"/>
      <c r="R5668" s="1"/>
      <c r="S5668" s="1"/>
      <c r="T5668" s="1"/>
      <c r="U5668" s="1"/>
      <c r="V5668" s="1"/>
      <c r="W5668" s="1"/>
      <c r="X5668" s="1"/>
      <c r="Y5668" s="1"/>
      <c r="Z5668" s="1"/>
      <c r="AA5668" s="1"/>
      <c r="AB5668" s="1"/>
      <c r="AC5668" s="1"/>
      <c r="AD5668" s="1"/>
      <c r="AE5668" s="1"/>
      <c r="AF5668" s="1"/>
      <c r="AG5668" s="1"/>
      <c r="AH5668" s="1"/>
      <c r="AI5668" s="1"/>
      <c r="AJ5668" s="1"/>
      <c r="AK5668" s="1"/>
      <c r="AL5668" s="1"/>
      <c r="AM5668" s="1"/>
      <c r="AN5668" s="1"/>
      <c r="AO5668" s="1"/>
      <c r="AP5668" s="1"/>
      <c r="AQ5668" s="1"/>
      <c r="AR5668" s="1"/>
      <c r="AS5668" s="1"/>
      <c r="AT5668" s="1"/>
      <c r="AU5668" s="1"/>
      <c r="AV5668" s="1"/>
      <c r="AW5668" s="1"/>
      <c r="AX5668" s="1"/>
      <c r="AY5668" s="1"/>
      <c r="AZ5668" s="1"/>
      <c r="BA5668" s="1"/>
      <c r="BB5668" s="1"/>
    </row>
    <row r="5669" ht="204.75" customHeight="1">
      <c r="A5669" s="1">
        <v>4007.0</v>
      </c>
      <c r="B5669" s="2" t="s">
        <v>15496</v>
      </c>
      <c r="C5669" s="2">
        <f>IFERROR(__xludf.DUMMYFUNCTION("split(B5669,""_"")"),1201.0)</f>
        <v>1201</v>
      </c>
      <c r="D5669" s="2" t="str">
        <f>IFERROR(__xludf.DUMMYFUNCTION("""COMPUTED_VALUE"""),"TBS")</f>
        <v>TBS</v>
      </c>
      <c r="E5669" s="2" t="str">
        <f>IFERROR(__xludf.DUMMYFUNCTION("""COMPUTED_VALUE"""),"木21")</f>
        <v>木21</v>
      </c>
      <c r="F5669" s="2" t="s">
        <v>15497</v>
      </c>
      <c r="G5669" s="2" t="s">
        <v>15506</v>
      </c>
      <c r="H5669" s="1">
        <v>5.0</v>
      </c>
      <c r="J5669" s="1" t="s">
        <v>11</v>
      </c>
      <c r="K5669" s="2" t="s">
        <v>15507</v>
      </c>
      <c r="L5669" s="2"/>
      <c r="M5669" s="2" t="str">
        <f>IFERROR(__xludf.DUMMYFUNCTION("split(split(K5669,""【"",false),""公式LINE"",false)"),"井原真人（山下智久）の弟・隼人（知念侑李）は、思わぬ容疑をかけられ警察で事情聴取を受ける。その背後には、隼人が接触している女性水野可南子（岡本玲）の存在があった。果たして、容疑を晴らす事ができるのだろうか。そしてそこには、隼人が注ぐ全力の愛の形があった。井原家最大の危機を山下智久が救う事が出来るのだろうか？  ゲストは鈴木一真、平愛梨、本上まなみなど多彩。いよいよ後半戦突入、最高の人生の終り方！！山下智久  榮倉奈々  前田敦子 (AKB48)  知念侑李 (Hey！　Say！　JUMP)  大野いと  "&amp;"水上剣星  橋本真実  駿河太郎  藤本哉汰  大友康平  磯野貴理子  黄川田将也  反町隆史  山崎努  ")</f>
        <v>井原真人（山下智久）の弟・隼人（知念侑李）は、思わぬ容疑をかけられ警察で事情聴取を受ける。その背後には、隼人が接触している女性水野可南子（岡本玲）の存在があった。果たして、容疑を晴らす事ができるのだろうか。そしてそこには、隼人が注ぐ全力の愛の形があった。井原家最大の危機を山下智久が救う事が出来るのだろうか？  ゲストは鈴木一真、平愛梨、本上まなみなど多彩。いよいよ後半戦突入、最高の人生の終り方！！山下智久  榮倉奈々  前田敦子 (AKB48)  知念侑李 (Hey！　Say！　JUMP)  大野いと  水上剣星  橋本真実  駿河太郎  藤本哉汰  大友康平  磯野貴理子  黄川田将也  反町隆史  山崎努  </v>
      </c>
      <c r="N5669" s="2"/>
      <c r="O5669" s="2"/>
      <c r="P5669" s="1"/>
      <c r="Q5669" s="1"/>
      <c r="R5669" s="1"/>
      <c r="S5669" s="1"/>
      <c r="T5669" s="1"/>
      <c r="U5669" s="1"/>
      <c r="V5669" s="1"/>
      <c r="W5669" s="1"/>
      <c r="X5669" s="1"/>
      <c r="Y5669" s="1"/>
      <c r="Z5669" s="1"/>
      <c r="AA5669" s="1"/>
      <c r="AB5669" s="1"/>
      <c r="AC5669" s="1"/>
      <c r="AD5669" s="1"/>
      <c r="AE5669" s="1"/>
      <c r="AF5669" s="1"/>
      <c r="AG5669" s="1"/>
      <c r="AH5669" s="1"/>
      <c r="AI5669" s="1"/>
      <c r="AJ5669" s="1"/>
      <c r="AK5669" s="1"/>
      <c r="AL5669" s="1"/>
      <c r="AM5669" s="1"/>
      <c r="AN5669" s="1"/>
      <c r="AO5669" s="1"/>
      <c r="AP5669" s="1"/>
      <c r="AQ5669" s="1"/>
      <c r="AR5669" s="1"/>
      <c r="AS5669" s="1"/>
      <c r="AT5669" s="1"/>
      <c r="AU5669" s="1"/>
      <c r="AV5669" s="1"/>
      <c r="AW5669" s="1"/>
      <c r="AX5669" s="1"/>
      <c r="AY5669" s="1"/>
      <c r="AZ5669" s="1"/>
      <c r="BA5669" s="1"/>
      <c r="BB5669" s="1"/>
    </row>
    <row r="5670" ht="204.75" customHeight="1">
      <c r="A5670" s="1">
        <v>4008.0</v>
      </c>
      <c r="B5670" s="2" t="s">
        <v>15496</v>
      </c>
      <c r="C5670" s="2">
        <f>IFERROR(__xludf.DUMMYFUNCTION("split(B5670,""_"")"),1201.0)</f>
        <v>1201</v>
      </c>
      <c r="D5670" s="2" t="str">
        <f>IFERROR(__xludf.DUMMYFUNCTION("""COMPUTED_VALUE"""),"TBS")</f>
        <v>TBS</v>
      </c>
      <c r="E5670" s="2" t="str">
        <f>IFERROR(__xludf.DUMMYFUNCTION("""COMPUTED_VALUE"""),"木21")</f>
        <v>木21</v>
      </c>
      <c r="F5670" s="2" t="s">
        <v>15497</v>
      </c>
      <c r="G5670" s="2" t="s">
        <v>15508</v>
      </c>
      <c r="H5670" s="1">
        <v>6.0</v>
      </c>
      <c r="J5670" s="1" t="s">
        <v>11</v>
      </c>
      <c r="K5670" s="2" t="s">
        <v>15509</v>
      </c>
      <c r="L5670" s="2"/>
      <c r="M5670" s="2" t="str">
        <f>IFERROR(__xludf.DUMMYFUNCTION("split(split(K5670,""【"",false),""公式LINE"",false)"),"真人は、自分が葬儀屋として初めて葬儀を執り行った長田の実の子供だった友也のことを光江が気にかけていると知り、友也と母親のみづきに会いに行く。  光江が自分の孫だとわかった友也に会いたがっているのではと考えるのだが、みづきの態度は頑なで、真人は両者のためにどうしたら良いのか思い悩む。  そんな中、桃子が友達と外泊をすると出かけていったが、そこで思わぬ人物と出会う…。井原真人…山下智久  坂巻優樹…榮倉奈々  井原晴香…前田敦子 (AKB48)  井原隼人…知念侑李 (Hey！　Say！　JUMP)  井原桃"&amp;"子…大野いと  長峰　潤…水上剣星  田中英輔…大友康平  川原達法…黄川田将也  木野原義男…塩見三省  井原浩太郎…蟹江敬三  井原健人…反町隆史  岩田逸郎…山崎努  ")</f>
        <v>真人は、自分が葬儀屋として初めて葬儀を執り行った長田の実の子供だった友也のことを光江が気にかけていると知り、友也と母親のみづきに会いに行く。  光江が自分の孫だとわかった友也に会いたがっているのではと考えるのだが、みづきの態度は頑なで、真人は両者のためにどうしたら良いのか思い悩む。  そんな中、桃子が友達と外泊をすると出かけていったが、そこで思わぬ人物と出会う…。井原真人…山下智久  坂巻優樹…榮倉奈々  井原晴香…前田敦子 (AKB48)  井原隼人…知念侑李 (Hey！　Say！　JUMP)  井原桃子…大野いと  長峰　潤…水上剣星  田中英輔…大友康平  川原達法…黄川田将也  木野原義男…塩見三省  井原浩太郎…蟹江敬三  井原健人…反町隆史  岩田逸郎…山崎努  </v>
      </c>
      <c r="N5670" s="2"/>
      <c r="O5670" s="2"/>
      <c r="P5670" s="1"/>
      <c r="Q5670" s="1"/>
      <c r="R5670" s="1"/>
      <c r="S5670" s="1"/>
      <c r="T5670" s="1"/>
      <c r="U5670" s="1"/>
      <c r="V5670" s="1"/>
      <c r="W5670" s="1"/>
      <c r="X5670" s="1"/>
      <c r="Y5670" s="1"/>
      <c r="Z5670" s="1"/>
      <c r="AA5670" s="1"/>
      <c r="AB5670" s="1"/>
      <c r="AC5670" s="1"/>
      <c r="AD5670" s="1"/>
      <c r="AE5670" s="1"/>
      <c r="AF5670" s="1"/>
      <c r="AG5670" s="1"/>
      <c r="AH5670" s="1"/>
      <c r="AI5670" s="1"/>
      <c r="AJ5670" s="1"/>
      <c r="AK5670" s="1"/>
      <c r="AL5670" s="1"/>
      <c r="AM5670" s="1"/>
      <c r="AN5670" s="1"/>
      <c r="AO5670" s="1"/>
      <c r="AP5670" s="1"/>
      <c r="AQ5670" s="1"/>
      <c r="AR5670" s="1"/>
      <c r="AS5670" s="1"/>
      <c r="AT5670" s="1"/>
      <c r="AU5670" s="1"/>
      <c r="AV5670" s="1"/>
      <c r="AW5670" s="1"/>
      <c r="AX5670" s="1"/>
      <c r="AY5670" s="1"/>
      <c r="AZ5670" s="1"/>
      <c r="BA5670" s="1"/>
      <c r="BB5670" s="1"/>
    </row>
    <row r="5671" ht="204.75" customHeight="1">
      <c r="A5671" s="1">
        <v>4009.0</v>
      </c>
      <c r="B5671" s="2" t="s">
        <v>15496</v>
      </c>
      <c r="C5671" s="2">
        <f>IFERROR(__xludf.DUMMYFUNCTION("split(B5671,""_"")"),1201.0)</f>
        <v>1201</v>
      </c>
      <c r="D5671" s="2" t="str">
        <f>IFERROR(__xludf.DUMMYFUNCTION("""COMPUTED_VALUE"""),"TBS")</f>
        <v>TBS</v>
      </c>
      <c r="E5671" s="2" t="str">
        <f>IFERROR(__xludf.DUMMYFUNCTION("""COMPUTED_VALUE"""),"木21")</f>
        <v>木21</v>
      </c>
      <c r="F5671" s="2" t="s">
        <v>15497</v>
      </c>
      <c r="G5671" s="2" t="s">
        <v>15510</v>
      </c>
      <c r="H5671" s="1">
        <v>7.0</v>
      </c>
      <c r="J5671" s="1" t="s">
        <v>11</v>
      </c>
      <c r="K5671" s="2" t="s">
        <v>15511</v>
      </c>
      <c r="L5671" s="2"/>
      <c r="M5671" s="2" t="str">
        <f>IFERROR(__xludf.DUMMYFUNCTION("split(split(K5671,""【"",false),""公式LINE"",false)"),"晴香が小学生の頃、学校の校長だった 白井幸造 (竜雷太) が井原屋の葬儀説明会にやって来た。  久しぶりの再会にお互い喜ぶ晴香と幸造。  幸造は妻に先立たれ、子供もいない一人暮らしのため自分がもし亡くなったら葬儀は簡単なお別れ会でかまわないと言い、その時は教え子である晴香に見送ってもらいたいと話して帰っていく。  ところが幸造が強盗殺人の被害に遭い亡くなったことを知り…。井原真人…山下智久  坂巻優樹…榮倉奈々  井原晴香…前田敦子 (AKB48)  井原隼人…知念侑李 (Hey！　Say！　JUMP) "&amp;"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岩田逸郎…山崎努白井幸造…竜雷太  村内緑…松本じゅん")</f>
        <v>晴香が小学生の頃、学校の校長だった 白井幸造 (竜雷太) が井原屋の葬儀説明会にやって来た。  久しぶりの再会にお互い喜ぶ晴香と幸造。  幸造は妻に先立たれ、子供もいない一人暮らしのため自分がもし亡くなったら葬儀は簡単なお別れ会でかまわないと言い、その時は教え子である晴香に見送ってもらいたいと話して帰っていく。  ところが幸造が強盗殺人の被害に遭い亡くなったことを知り…。井原真人…山下智久  坂巻優樹…榮倉奈々  井原晴香…前田敦子 (AKB48)  井原隼人…知念侑李 (Hey！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岩田逸郎…山崎努白井幸造…竜雷太  村内緑…松本じゅん</v>
      </c>
      <c r="N5671" s="2"/>
      <c r="O5671" s="2"/>
      <c r="P5671" s="1"/>
      <c r="Q5671" s="1"/>
      <c r="R5671" s="1"/>
      <c r="S5671" s="1"/>
      <c r="T5671" s="1"/>
      <c r="U5671" s="1"/>
      <c r="V5671" s="1"/>
      <c r="W5671" s="1"/>
      <c r="X5671" s="1"/>
      <c r="Y5671" s="1"/>
      <c r="Z5671" s="1"/>
      <c r="AA5671" s="1"/>
      <c r="AB5671" s="1"/>
      <c r="AC5671" s="1"/>
      <c r="AD5671" s="1"/>
      <c r="AE5671" s="1"/>
      <c r="AF5671" s="1"/>
      <c r="AG5671" s="1"/>
      <c r="AH5671" s="1"/>
      <c r="AI5671" s="1"/>
      <c r="AJ5671" s="1"/>
      <c r="AK5671" s="1"/>
      <c r="AL5671" s="1"/>
      <c r="AM5671" s="1"/>
      <c r="AN5671" s="1"/>
      <c r="AO5671" s="1"/>
      <c r="AP5671" s="1"/>
      <c r="AQ5671" s="1"/>
      <c r="AR5671" s="1"/>
      <c r="AS5671" s="1"/>
      <c r="AT5671" s="1"/>
      <c r="AU5671" s="1"/>
      <c r="AV5671" s="1"/>
      <c r="AW5671" s="1"/>
      <c r="AX5671" s="1"/>
      <c r="AY5671" s="1"/>
      <c r="AZ5671" s="1"/>
      <c r="BA5671" s="1"/>
      <c r="BB5671" s="1"/>
    </row>
    <row r="5672" ht="204.75" customHeight="1">
      <c r="A5672" s="1">
        <v>4010.0</v>
      </c>
      <c r="B5672" s="2" t="s">
        <v>15496</v>
      </c>
      <c r="C5672" s="2">
        <f>IFERROR(__xludf.DUMMYFUNCTION("split(B5672,""_"")"),1201.0)</f>
        <v>1201</v>
      </c>
      <c r="D5672" s="2" t="str">
        <f>IFERROR(__xludf.DUMMYFUNCTION("""COMPUTED_VALUE"""),"TBS")</f>
        <v>TBS</v>
      </c>
      <c r="E5672" s="2" t="str">
        <f>IFERROR(__xludf.DUMMYFUNCTION("""COMPUTED_VALUE"""),"木21")</f>
        <v>木21</v>
      </c>
      <c r="F5672" s="2" t="s">
        <v>15497</v>
      </c>
      <c r="G5672" s="2" t="s">
        <v>15512</v>
      </c>
      <c r="H5672" s="1">
        <v>8.0</v>
      </c>
      <c r="J5672" s="1" t="s">
        <v>11</v>
      </c>
      <c r="K5672" s="2" t="s">
        <v>15513</v>
      </c>
      <c r="L5672" s="2"/>
      <c r="M5672" s="2" t="str">
        <f>IFERROR(__xludf.DUMMYFUNCTION("split(split(K5672,""【"",false),""公式LINE"",false)"),"父の墓参りに出掛けたきり行方が分からなくなっていた長兄・健人（反町隆史）が、またしてもふらりと突然帰って来る！  だが、真人（山下智久）は健人が家族に内緒で病を抱えていると気付き激しく動揺。  頼りにしていた兄・健人の問題に直面した真人は一体どうするのか？  一方、優樹（榮倉奈々）は先輩の長峰（水上剣星）と共に管内で発見された白骨遺体の捜査に当たるが、予期せぬ出来事が優樹を悲しみへと突き落とす…。井原真人…山下智久  坂巻優樹…榮倉奈々  井原晴香…前田敦子 (AKB48)  井原隼人…知念侑李 (Hey"&amp;"！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f>
        <v>父の墓参りに出掛けたきり行方が分からなくなっていた長兄・健人（反町隆史）が、またしてもふらりと突然帰って来る！  だが、真人（山下智久）は健人が家族に内緒で病を抱えていると気付き激しく動揺。  頼りにしていた兄・健人の問題に直面した真人は一体どうするのか？  一方、優樹（榮倉奈々）は先輩の長峰（水上剣星）と共に管内で発見された白骨遺体の捜査に当たるが、予期せぬ出来事が優樹を悲しみへと突き落とす…。井原真人…山下智久  坂巻優樹…榮倉奈々  井原晴香…前田敦子 (AKB48)  井原隼人…知念侑李 (Hey！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v>
      </c>
      <c r="N5672" s="2"/>
      <c r="O5672" s="2"/>
      <c r="P5672" s="1"/>
      <c r="Q5672" s="1"/>
      <c r="R5672" s="1"/>
      <c r="S5672" s="1"/>
      <c r="T5672" s="1"/>
      <c r="U5672" s="1"/>
      <c r="V5672" s="1"/>
      <c r="W5672" s="1"/>
      <c r="X5672" s="1"/>
      <c r="Y5672" s="1"/>
      <c r="Z5672" s="1"/>
      <c r="AA5672" s="1"/>
      <c r="AB5672" s="1"/>
      <c r="AC5672" s="1"/>
      <c r="AD5672" s="1"/>
      <c r="AE5672" s="1"/>
      <c r="AF5672" s="1"/>
      <c r="AG5672" s="1"/>
      <c r="AH5672" s="1"/>
      <c r="AI5672" s="1"/>
      <c r="AJ5672" s="1"/>
      <c r="AK5672" s="1"/>
      <c r="AL5672" s="1"/>
      <c r="AM5672" s="1"/>
      <c r="AN5672" s="1"/>
      <c r="AO5672" s="1"/>
      <c r="AP5672" s="1"/>
      <c r="AQ5672" s="1"/>
      <c r="AR5672" s="1"/>
      <c r="AS5672" s="1"/>
      <c r="AT5672" s="1"/>
      <c r="AU5672" s="1"/>
      <c r="AV5672" s="1"/>
      <c r="AW5672" s="1"/>
      <c r="AX5672" s="1"/>
      <c r="AY5672" s="1"/>
      <c r="AZ5672" s="1"/>
      <c r="BA5672" s="1"/>
      <c r="BB5672" s="1"/>
    </row>
    <row r="5673" ht="204.75" customHeight="1">
      <c r="A5673" s="1">
        <v>4011.0</v>
      </c>
      <c r="B5673" s="2" t="s">
        <v>15496</v>
      </c>
      <c r="C5673" s="2">
        <f>IFERROR(__xludf.DUMMYFUNCTION("split(B5673,""_"")"),1201.0)</f>
        <v>1201</v>
      </c>
      <c r="D5673" s="2" t="str">
        <f>IFERROR(__xludf.DUMMYFUNCTION("""COMPUTED_VALUE"""),"TBS")</f>
        <v>TBS</v>
      </c>
      <c r="E5673" s="2" t="str">
        <f>IFERROR(__xludf.DUMMYFUNCTION("""COMPUTED_VALUE"""),"木21")</f>
        <v>木21</v>
      </c>
      <c r="F5673" s="2" t="s">
        <v>15497</v>
      </c>
      <c r="G5673" s="2" t="s">
        <v>15514</v>
      </c>
      <c r="H5673" s="1">
        <v>9.0</v>
      </c>
      <c r="J5673" s="1" t="s">
        <v>11</v>
      </c>
      <c r="K5673" s="2" t="s">
        <v>15515</v>
      </c>
      <c r="L5673" s="2"/>
      <c r="M5673" s="2" t="str">
        <f>IFERROR(__xludf.DUMMYFUNCTION("split(split(K5673,""【"",false),""公式LINE"",false)"),"先輩の長峰(水上剣星)が殺害された事件を追う優樹(榮倉奈々)は真人(山下智久)の協力で長峰の殺害が白骨遺体で発見された大林恭子の事件の捜査と繋がっていることに気付く。真人はそんな優樹に父の友人と名乗り自分と会っていた岩田(山崎努)が優樹の亡くなった祖父だったことを話したいが上手く言い出せない。  そんな中、井原家では健人(反町隆史)の生みの親で亡き父・浩太郎の先妻だった美奈子(長山藍子)が突然現れ…井原真人…山下智久  坂巻優樹…榮倉奈々  井原晴香…前田敦子 (AKB48)  井原隼人…知念侑李 (He"&amp;"y！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  ")</f>
        <v>先輩の長峰(水上剣星)が殺害された事件を追う優樹(榮倉奈々)は真人(山下智久)の協力で長峰の殺害が白骨遺体で発見された大林恭子の事件の捜査と繋がっていることに気付く。真人はそんな優樹に父の友人と名乗り自分と会っていた岩田(山崎努)が優樹の亡くなった祖父だったことを話したいが上手く言い出せない。  そんな中、井原家では健人(反町隆史)の生みの親で亡き父・浩太郎の先妻だった美奈子(長山藍子)が突然現れ…井原真人…山下智久  坂巻優樹…榮倉奈々  井原晴香…前田敦子 (AKB48)  井原隼人…知念侑李 (Hey！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  </v>
      </c>
      <c r="N5673" s="2"/>
      <c r="O5673" s="2"/>
      <c r="P5673" s="1"/>
      <c r="Q5673" s="1"/>
      <c r="R5673" s="1"/>
      <c r="S5673" s="1"/>
      <c r="T5673" s="1"/>
      <c r="U5673" s="1"/>
      <c r="V5673" s="1"/>
      <c r="W5673" s="1"/>
      <c r="X5673" s="1"/>
      <c r="Y5673" s="1"/>
      <c r="Z5673" s="1"/>
      <c r="AA5673" s="1"/>
      <c r="AB5673" s="1"/>
      <c r="AC5673" s="1"/>
      <c r="AD5673" s="1"/>
      <c r="AE5673" s="1"/>
      <c r="AF5673" s="1"/>
      <c r="AG5673" s="1"/>
      <c r="AH5673" s="1"/>
      <c r="AI5673" s="1"/>
      <c r="AJ5673" s="1"/>
      <c r="AK5673" s="1"/>
      <c r="AL5673" s="1"/>
      <c r="AM5673" s="1"/>
      <c r="AN5673" s="1"/>
      <c r="AO5673" s="1"/>
      <c r="AP5673" s="1"/>
      <c r="AQ5673" s="1"/>
      <c r="AR5673" s="1"/>
      <c r="AS5673" s="1"/>
      <c r="AT5673" s="1"/>
      <c r="AU5673" s="1"/>
      <c r="AV5673" s="1"/>
      <c r="AW5673" s="1"/>
      <c r="AX5673" s="1"/>
      <c r="AY5673" s="1"/>
      <c r="AZ5673" s="1"/>
      <c r="BA5673" s="1"/>
      <c r="BB5673" s="1"/>
    </row>
    <row r="5674" ht="204.75" customHeight="1">
      <c r="A5674" s="1">
        <v>4012.0</v>
      </c>
      <c r="B5674" s="2" t="s">
        <v>15496</v>
      </c>
      <c r="C5674" s="2">
        <f>IFERROR(__xludf.DUMMYFUNCTION("split(B5674,""_"")"),1201.0)</f>
        <v>1201</v>
      </c>
      <c r="D5674" s="2" t="str">
        <f>IFERROR(__xludf.DUMMYFUNCTION("""COMPUTED_VALUE"""),"TBS")</f>
        <v>TBS</v>
      </c>
      <c r="E5674" s="2" t="str">
        <f>IFERROR(__xludf.DUMMYFUNCTION("""COMPUTED_VALUE"""),"木21")</f>
        <v>木21</v>
      </c>
      <c r="F5674" s="2" t="s">
        <v>15497</v>
      </c>
      <c r="G5674" s="2" t="s">
        <v>15516</v>
      </c>
      <c r="H5674" s="1">
        <v>10.0</v>
      </c>
      <c r="J5674" s="1" t="s">
        <v>11</v>
      </c>
      <c r="K5674" s="2" t="s">
        <v>15517</v>
      </c>
      <c r="L5674" s="2"/>
      <c r="M5674" s="2" t="str">
        <f>IFERROR(__xludf.DUMMYFUNCTION("split(split(K5674,""【"",false),""公式LINE"",false)"),"真人(山下智久)は優樹(榮倉奈々)に霊として自分の前に現れている優樹の祖父・岩田(山崎努)の言葉を伝えるが、優樹は混乱してなかなか受け入れられない。署では捜査員たちの会話から相変わらず岩田が容疑者として有力なまま捜査が進められており、優樹は一層気まずい思いに駆られる。そんな中ある日署に出勤して来た優樹は岩田の後輩刑事だった木野原(塩見三省)の娘で幼い頃一緒に遊んだりした絵津子(吉田羊)と遭遇する。井原真人…山下智久  坂巻優樹…榮倉奈々  井原晴香…前田敦子 (AKB48)  井原隼人…知念侑李 (Hey"&amp;"！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  ")</f>
        <v>真人(山下智久)は優樹(榮倉奈々)に霊として自分の前に現れている優樹の祖父・岩田(山崎努)の言葉を伝えるが、優樹は混乱してなかなか受け入れられない。署では捜査員たちの会話から相変わらず岩田が容疑者として有力なまま捜査が進められており、優樹は一層気まずい思いに駆られる。そんな中ある日署に出勤して来た優樹は岩田の後輩刑事だった木野原(塩見三省)の娘で幼い頃一緒に遊んだりした絵津子(吉田羊)と遭遇する。井原真人…山下智久  坂巻優樹…榮倉奈々  井原晴香…前田敦子 (AKB48)  井原隼人…知念侑李 (Hey！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  </v>
      </c>
      <c r="N5674" s="2"/>
      <c r="O5674" s="2"/>
      <c r="P5674" s="1"/>
      <c r="Q5674" s="1"/>
      <c r="R5674" s="1"/>
      <c r="S5674" s="1"/>
      <c r="T5674" s="1"/>
      <c r="U5674" s="1"/>
      <c r="V5674" s="1"/>
      <c r="W5674" s="1"/>
      <c r="X5674" s="1"/>
      <c r="Y5674" s="1"/>
      <c r="Z5674" s="1"/>
      <c r="AA5674" s="1"/>
      <c r="AB5674" s="1"/>
      <c r="AC5674" s="1"/>
      <c r="AD5674" s="1"/>
      <c r="AE5674" s="1"/>
      <c r="AF5674" s="1"/>
      <c r="AG5674" s="1"/>
      <c r="AH5674" s="1"/>
      <c r="AI5674" s="1"/>
      <c r="AJ5674" s="1"/>
      <c r="AK5674" s="1"/>
      <c r="AL5674" s="1"/>
      <c r="AM5674" s="1"/>
      <c r="AN5674" s="1"/>
      <c r="AO5674" s="1"/>
      <c r="AP5674" s="1"/>
      <c r="AQ5674" s="1"/>
      <c r="AR5674" s="1"/>
      <c r="AS5674" s="1"/>
      <c r="AT5674" s="1"/>
      <c r="AU5674" s="1"/>
      <c r="AV5674" s="1"/>
      <c r="AW5674" s="1"/>
      <c r="AX5674" s="1"/>
      <c r="AY5674" s="1"/>
      <c r="AZ5674" s="1"/>
      <c r="BA5674" s="1"/>
      <c r="BB5674" s="1"/>
    </row>
    <row r="5675" ht="204.75" customHeight="1">
      <c r="A5675" s="1">
        <v>4024.0</v>
      </c>
      <c r="B5675" s="2" t="s">
        <v>15518</v>
      </c>
      <c r="C5675" s="2">
        <f>IFERROR(__xludf.DUMMYFUNCTION("split(B5675,""_"")"),1201.0)</f>
        <v>1201</v>
      </c>
      <c r="D5675" s="2" t="str">
        <f>IFERROR(__xludf.DUMMYFUNCTION("""COMPUTED_VALUE"""),"TBS")</f>
        <v>TBS</v>
      </c>
      <c r="E5675" s="2" t="str">
        <f>IFERROR(__xludf.DUMMYFUNCTION("""COMPUTED_VALUE"""),"金22")</f>
        <v>金22</v>
      </c>
      <c r="F5675" s="2" t="s">
        <v>15519</v>
      </c>
      <c r="G5675" s="2" t="s">
        <v>15520</v>
      </c>
      <c r="H5675" s="1">
        <v>1.0</v>
      </c>
      <c r="J5675" s="1" t="s">
        <v>82</v>
      </c>
      <c r="K5675" s="2" t="s">
        <v>15521</v>
      </c>
      <c r="L5675" s="2"/>
      <c r="M5675" s="2" t="str">
        <f>IFERROR(__xludf.DUMMYFUNCTION("split(split(K5675,""【"",false),""公式LINE"",false)"),"出版社に勤める木下凛（仲間由紀恵）は、美人でその上すべての仕事を自分でこなすキャリアウーマン。しかし、周囲とのギクシャクしたやり取りから、上司や部下からは敬遠されていた。ある日、凛は親友の相沢菜々子（りょう）と共に親友の渡辺美帆（市川実日子）の「離婚式」に出席する。ほどなく、その会場で“恋愛至上主義”の菜々子が、美帆の元ダンナの友人で、人気歯科医の松本直哉（佐々木蔵之介）、一流食品会社でフレーバリストとして働く多田耕太（田中裕二）、イケメンフリーターの槙野駿平（永山絢斗）に目をつける。美帆の紹介により、一"&amp;"緒に飲むことになった6名。だが、会話が弾む中、凛が仕事一筋の人生を送っていることや、「8年、Hしていない」と平然と答える様子に、松本らはドン引きする。だがしかし、松本、多田、槙野たちも、実は「結婚したくない男」「恋愛に臆病な男」「女を信用しない男」という“恋愛ニート”たちで……。木下 凛（32歳）…仲間由紀恵  松本直哉（43歳）…佐々木蔵之介  渡辺美帆（32歳）…市川実日子  槙野駿平（24歳）…永山絢斗  神山純一郎（40歳）…橋本じゅん  木下結衣（17歳）…本田翼  木下樹（14歳）…西山潤  "&amp;"山田拓也（17歳）…永瀬匡  小早川隆志（34歳）…森山栄治   川島サオリ（30歳）…能世あんな雨宮博美（52歳）…室井滋  多田耕太（43歳）…田中裕二（爆笑問題）  相沢菜々子（42歳）…りょう  (他)『Be...』Ms．OOJA  ")</f>
        <v>出版社に勤める木下凛（仲間由紀恵）は、美人でその上すべての仕事を自分でこなすキャリアウーマン。しかし、周囲とのギクシャクしたやり取りから、上司や部下からは敬遠されていた。ある日、凛は親友の相沢菜々子（りょう）と共に親友の渡辺美帆（市川実日子）の「離婚式」に出席する。ほどなく、その会場で“恋愛至上主義”の菜々子が、美帆の元ダンナの友人で、人気歯科医の松本直哉（佐々木蔵之介）、一流食品会社でフレーバリストとして働く多田耕太（田中裕二）、イケメンフリーターの槙野駿平（永山絢斗）に目をつける。美帆の紹介により、一緒に飲むことになった6名。だが、会話が弾む中、凛が仕事一筋の人生を送っていることや、「8年、Hしていない」と平然と答える様子に、松本らはドン引きする。だがしかし、松本、多田、槙野たちも、実は「結婚したくない男」「恋愛に臆病な男」「女を信用しない男」という“恋愛ニート”たちで……。木下 凛（32歳）…仲間由紀恵  松本直哉（43歳）…佐々木蔵之介  渡辺美帆（32歳）…市川実日子  槙野駿平（24歳）…永山絢斗  神山純一郎（40歳）…橋本じゅん  木下結衣（17歳）…本田翼  木下樹（14歳）…西山潤  山田拓也（17歳）…永瀬匡  小早川隆志（34歳）…森山栄治   川島サオリ（30歳）…能世あんな雨宮博美（52歳）…室井滋  多田耕太（43歳）…田中裕二（爆笑問題）  相沢菜々子（42歳）…りょう  (他)『Be...』Ms．OOJA  </v>
      </c>
      <c r="N5675" s="2"/>
      <c r="O5675" s="2"/>
      <c r="P5675" s="1"/>
      <c r="Q5675" s="1"/>
      <c r="R5675" s="1"/>
      <c r="S5675" s="1"/>
      <c r="T5675" s="1"/>
      <c r="U5675" s="1"/>
      <c r="V5675" s="1"/>
      <c r="W5675" s="1"/>
      <c r="X5675" s="1"/>
      <c r="Y5675" s="1"/>
      <c r="Z5675" s="1"/>
      <c r="AA5675" s="1"/>
      <c r="AB5675" s="1"/>
      <c r="AC5675" s="1"/>
      <c r="AD5675" s="1"/>
      <c r="AE5675" s="1"/>
      <c r="AF5675" s="1"/>
      <c r="AG5675" s="1"/>
      <c r="AH5675" s="1"/>
      <c r="AI5675" s="1"/>
      <c r="AJ5675" s="1"/>
      <c r="AK5675" s="1"/>
      <c r="AL5675" s="1"/>
      <c r="AM5675" s="1"/>
      <c r="AN5675" s="1"/>
      <c r="AO5675" s="1"/>
      <c r="AP5675" s="1"/>
      <c r="AQ5675" s="1"/>
      <c r="AR5675" s="1"/>
      <c r="AS5675" s="1"/>
      <c r="AT5675" s="1"/>
      <c r="AU5675" s="1"/>
      <c r="AV5675" s="1"/>
      <c r="AW5675" s="1"/>
      <c r="AX5675" s="1"/>
      <c r="AY5675" s="1"/>
      <c r="AZ5675" s="1"/>
      <c r="BA5675" s="1"/>
      <c r="BB5675" s="1"/>
    </row>
    <row r="5676" ht="204.75" customHeight="1">
      <c r="A5676" s="1">
        <v>4025.0</v>
      </c>
      <c r="B5676" s="2" t="s">
        <v>15518</v>
      </c>
      <c r="C5676" s="2">
        <f>IFERROR(__xludf.DUMMYFUNCTION("split(B5676,""_"")"),1201.0)</f>
        <v>1201</v>
      </c>
      <c r="D5676" s="2" t="str">
        <f>IFERROR(__xludf.DUMMYFUNCTION("""COMPUTED_VALUE"""),"TBS")</f>
        <v>TBS</v>
      </c>
      <c r="E5676" s="2" t="str">
        <f>IFERROR(__xludf.DUMMYFUNCTION("""COMPUTED_VALUE"""),"金22")</f>
        <v>金22</v>
      </c>
      <c r="F5676" s="2" t="s">
        <v>15519</v>
      </c>
      <c r="G5676" s="2" t="s">
        <v>15522</v>
      </c>
      <c r="H5676" s="1">
        <v>2.0</v>
      </c>
      <c r="J5676" s="1" t="s">
        <v>86</v>
      </c>
      <c r="K5676" s="2" t="s">
        <v>15523</v>
      </c>
      <c r="L5676" s="2"/>
      <c r="M5676" s="2" t="str">
        <f>IFERROR(__xludf.DUMMYFUNCTION("split(split(K5676,""【"",false),""公式LINE"",false)"),"親友の菜々子（りょう）と、美帆（市川実日子）に、はやしたてられた凛（仲間由紀恵）は、松本（佐々木蔵之介）、多田（田中裕二）、駿平（永山絢斗）の3人とそれぞれデートをしてみるが、久々のデートに疲れた凛は、努力や我慢をしてまで恋愛なんてしたくないと言い放つ。しかし、突然キスをしてきた駿平に「可愛い」と言われ、凛の気持ちは揺れ始める。  そんなある日、凛はもやもやを吹き飛ばすために卓球場を訪れると、真剣に卓球勝負をしている松本と偶然出会い、卓球で一戦交えることに…。そんな中、普段の様に身構えていない状態の方が好"&amp;"きだと言う凛に、松本はこれまでと違う感情を抱く。  一方、彼氏に振られた菜々子は、結婚相談所で理想の結婚相手を探すが、なかなか条件に合う男が見つからない。  担当者に「高望み」とされ、条件を下げて検索すると、そこには多田のプロフィールが表示され愕然とする。そんなとき、美帆は、松本と多田、駿平たちのある秘密を知ることに…！？木下 凛（32歳）…仲間由紀恵  松本直哉（43歳）…佐々木蔵之介  渡辺美帆（32歳）…市川実日子  槙野駿平（24歳）…永山絢斗    神山純一郎（40歳）…橋本じゅん  木下結衣（"&amp;"17歳）…本田翼  木下樹（14歳）…西山潤  山田拓也（17歳）…永瀬匡小早川隆志（34歳）…森山栄治   川島サオリ（30歳）…能世あんな    雨宮博美（52歳）…室井滋    多田耕太（43歳）…田中裕二（爆笑問題）  相沢菜々子（42歳）…りょう  (他)『Be...』Ms．OOJA  ")</f>
        <v>親友の菜々子（りょう）と、美帆（市川実日子）に、はやしたてられた凛（仲間由紀恵）は、松本（佐々木蔵之介）、多田（田中裕二）、駿平（永山絢斗）の3人とそれぞれデートをしてみるが、久々のデートに疲れた凛は、努力や我慢をしてまで恋愛なんてしたくないと言い放つ。しかし、突然キスをしてきた駿平に「可愛い」と言われ、凛の気持ちは揺れ始める。  そんなある日、凛はもやもやを吹き飛ばすために卓球場を訪れると、真剣に卓球勝負をしている松本と偶然出会い、卓球で一戦交えることに…。そんな中、普段の様に身構えていない状態の方が好きだと言う凛に、松本はこれまでと違う感情を抱く。  一方、彼氏に振られた菜々子は、結婚相談所で理想の結婚相手を探すが、なかなか条件に合う男が見つからない。  担当者に「高望み」とされ、条件を下げて検索すると、そこには多田のプロフィールが表示され愕然とする。そんなとき、美帆は、松本と多田、駿平たちのある秘密を知ることに…！？木下 凛（32歳）…仲間由紀恵  松本直哉（43歳）…佐々木蔵之介  渡辺美帆（32歳）…市川実日子  槙野駿平（24歳）…永山絢斗    神山純一郎（40歳）…橋本じゅん  木下結衣（17歳）…本田翼  木下樹（14歳）…西山潤  山田拓也（17歳）…永瀬匡小早川隆志（34歳）…森山栄治   川島サオリ（30歳）…能世あんな    雨宮博美（52歳）…室井滋    多田耕太（43歳）…田中裕二（爆笑問題）  相沢菜々子（42歳）…りょう  (他)『Be...』Ms．OOJA  </v>
      </c>
      <c r="N5676" s="2"/>
      <c r="O5676" s="2"/>
      <c r="P5676" s="1"/>
      <c r="Q5676" s="1"/>
      <c r="R5676" s="1"/>
      <c r="S5676" s="1"/>
      <c r="T5676" s="1"/>
      <c r="U5676" s="1"/>
      <c r="V5676" s="1"/>
      <c r="W5676" s="1"/>
      <c r="X5676" s="1"/>
      <c r="Y5676" s="1"/>
      <c r="Z5676" s="1"/>
      <c r="AA5676" s="1"/>
      <c r="AB5676" s="1"/>
      <c r="AC5676" s="1"/>
      <c r="AD5676" s="1"/>
      <c r="AE5676" s="1"/>
      <c r="AF5676" s="1"/>
      <c r="AG5676" s="1"/>
      <c r="AH5676" s="1"/>
      <c r="AI5676" s="1"/>
      <c r="AJ5676" s="1"/>
      <c r="AK5676" s="1"/>
      <c r="AL5676" s="1"/>
      <c r="AM5676" s="1"/>
      <c r="AN5676" s="1"/>
      <c r="AO5676" s="1"/>
      <c r="AP5676" s="1"/>
      <c r="AQ5676" s="1"/>
      <c r="AR5676" s="1"/>
      <c r="AS5676" s="1"/>
      <c r="AT5676" s="1"/>
      <c r="AU5676" s="1"/>
      <c r="AV5676" s="1"/>
      <c r="AW5676" s="1"/>
      <c r="AX5676" s="1"/>
      <c r="AY5676" s="1"/>
      <c r="AZ5676" s="1"/>
      <c r="BA5676" s="1"/>
      <c r="BB5676" s="1"/>
    </row>
    <row r="5677" ht="204.75" customHeight="1">
      <c r="A5677" s="1">
        <v>4026.0</v>
      </c>
      <c r="B5677" s="2" t="s">
        <v>15518</v>
      </c>
      <c r="C5677" s="2">
        <f>IFERROR(__xludf.DUMMYFUNCTION("split(B5677,""_"")"),1201.0)</f>
        <v>1201</v>
      </c>
      <c r="D5677" s="2" t="str">
        <f>IFERROR(__xludf.DUMMYFUNCTION("""COMPUTED_VALUE"""),"TBS")</f>
        <v>TBS</v>
      </c>
      <c r="E5677" s="2" t="str">
        <f>IFERROR(__xludf.DUMMYFUNCTION("""COMPUTED_VALUE"""),"金22")</f>
        <v>金22</v>
      </c>
      <c r="F5677" s="2" t="s">
        <v>15519</v>
      </c>
      <c r="G5677" s="2" t="s">
        <v>15524</v>
      </c>
      <c r="H5677" s="1">
        <v>3.0</v>
      </c>
      <c r="J5677" s="1" t="s">
        <v>86</v>
      </c>
      <c r="K5677" s="2" t="s">
        <v>15525</v>
      </c>
      <c r="L5677" s="2"/>
      <c r="M5677" s="2" t="str">
        <f>IFERROR(__xludf.DUMMYFUNCTION("split(split(K5677,""【"",false),""公式LINE"",false)"),"ストレートに「好きだ」と伝える駿平に、凛の心は傾き始める。  一方、足を痛めた凛を家まで送り届けた松本は、凛の気の強さや、恋愛をしようとしない理由を垣間見る…。  菜々子は結婚相談所の帰りに、偶然会った多田と二人で食事に行くことになる。  騙されていることを凛に伝えようとする菜々子と、必死に止めようとする美帆の本心は…？  そんな中、6人は離婚式以来、再び顔を合わせることになる。木下 凛（32歳）…仲間由紀恵  松本直哉（43歳）…佐々木蔵之介  渡辺美帆（32歳）…市川実日子  槙野駿平（24歳）…永山"&amp;"絢斗    神山純一郎（40歳）…橋本じゅん  木下結衣（17歳）…本田翼  木下樹（14歳）…西山潤  山田拓也（17歳）…永瀬匡小早川隆志（34歳）…森山栄治   川島サオリ（30歳）…能世あんな    雨宮博美（52歳）…室井滋    多田耕太（43歳）…田中裕二（爆笑問題）  相沢菜々子（42歳）…りょう  (他)『Be...』Ms．OOJA  ")</f>
        <v>ストレートに「好きだ」と伝える駿平に、凛の心は傾き始める。  一方、足を痛めた凛を家まで送り届けた松本は、凛の気の強さや、恋愛をしようとしない理由を垣間見る…。  菜々子は結婚相談所の帰りに、偶然会った多田と二人で食事に行くことになる。  騙されていることを凛に伝えようとする菜々子と、必死に止めようとする美帆の本心は…？  そんな中、6人は離婚式以来、再び顔を合わせることになる。木下 凛（32歳）…仲間由紀恵  松本直哉（43歳）…佐々木蔵之介  渡辺美帆（32歳）…市川実日子  槙野駿平（24歳）…永山絢斗    神山純一郎（40歳）…橋本じゅん  木下結衣（17歳）…本田翼  木下樹（14歳）…西山潤  山田拓也（17歳）…永瀬匡小早川隆志（34歳）…森山栄治   川島サオリ（30歳）…能世あんな    雨宮博美（52歳）…室井滋    多田耕太（43歳）…田中裕二（爆笑問題）  相沢菜々子（42歳）…りょう  (他)『Be...』Ms．OOJA  </v>
      </c>
      <c r="N5677" s="2"/>
      <c r="O5677" s="2"/>
      <c r="P5677" s="1"/>
      <c r="Q5677" s="1"/>
      <c r="R5677" s="1"/>
      <c r="S5677" s="1"/>
      <c r="T5677" s="1"/>
      <c r="U5677" s="1"/>
      <c r="V5677" s="1"/>
      <c r="W5677" s="1"/>
      <c r="X5677" s="1"/>
      <c r="Y5677" s="1"/>
      <c r="Z5677" s="1"/>
      <c r="AA5677" s="1"/>
      <c r="AB5677" s="1"/>
      <c r="AC5677" s="1"/>
      <c r="AD5677" s="1"/>
      <c r="AE5677" s="1"/>
      <c r="AF5677" s="1"/>
      <c r="AG5677" s="1"/>
      <c r="AH5677" s="1"/>
      <c r="AI5677" s="1"/>
      <c r="AJ5677" s="1"/>
      <c r="AK5677" s="1"/>
      <c r="AL5677" s="1"/>
      <c r="AM5677" s="1"/>
      <c r="AN5677" s="1"/>
      <c r="AO5677" s="1"/>
      <c r="AP5677" s="1"/>
      <c r="AQ5677" s="1"/>
      <c r="AR5677" s="1"/>
      <c r="AS5677" s="1"/>
      <c r="AT5677" s="1"/>
      <c r="AU5677" s="1"/>
      <c r="AV5677" s="1"/>
      <c r="AW5677" s="1"/>
      <c r="AX5677" s="1"/>
      <c r="AY5677" s="1"/>
      <c r="AZ5677" s="1"/>
      <c r="BA5677" s="1"/>
      <c r="BB5677" s="1"/>
    </row>
    <row r="5678" ht="204.75" customHeight="1">
      <c r="A5678" s="1">
        <v>4027.0</v>
      </c>
      <c r="B5678" s="2" t="s">
        <v>15518</v>
      </c>
      <c r="C5678" s="2">
        <f>IFERROR(__xludf.DUMMYFUNCTION("split(B5678,""_"")"),1201.0)</f>
        <v>1201</v>
      </c>
      <c r="D5678" s="2" t="str">
        <f>IFERROR(__xludf.DUMMYFUNCTION("""COMPUTED_VALUE"""),"TBS")</f>
        <v>TBS</v>
      </c>
      <c r="E5678" s="2" t="str">
        <f>IFERROR(__xludf.DUMMYFUNCTION("""COMPUTED_VALUE"""),"金22")</f>
        <v>金22</v>
      </c>
      <c r="F5678" s="2" t="s">
        <v>15519</v>
      </c>
      <c r="G5678" s="2" t="s">
        <v>15526</v>
      </c>
      <c r="H5678" s="1">
        <v>4.0</v>
      </c>
      <c r="J5678" s="1" t="s">
        <v>86</v>
      </c>
      <c r="K5678" s="2" t="s">
        <v>15527</v>
      </c>
      <c r="L5678" s="2"/>
      <c r="M5678" s="2" t="str">
        <f>IFERROR(__xludf.DUMMYFUNCTION("split(split(K5678,""【"",false),""公式LINE"",false)"),"松本に告白された凛。しかし駿平のことで、ますます恋愛に対して不信感が強くなっていく。一方、勢いで凛に告白したことで、自分の気持ちと向き合い始める松本。その松本に想いを寄せる美帆は、積極的にアプローチを始め…。  菜々子と多田は、お見合いパーティーの場で偶然会い再び2人で飲みに行くことに。そんななか、美帆と駿平の作戦で再び6人で会うことになり、それぞれの想いを抱え、運命のバレンタインを迎える！木下 凛（32歳）…仲間由紀恵  松本直哉（43歳）…佐々木蔵之介  渡辺美帆（32歳）…市川実日子  槙野駿平（2"&amp;"4歳）…永山絢斗    神山純一郎（40歳）…橋本じゅん  木下結衣（17歳）…本田翼  木下樹（14歳）…西山潤  山田拓也（17歳）…永瀬匡  　小早川隆志（34歳）…森山栄治   川島サオリ（30歳）…能世あんな    雨宮博美（52歳）…室井滋    多田耕太（43歳）…田中裕二（爆笑問題）  相沢菜々子（42歳）…りょう  (他)『Be...』Ms．OOJA  ")</f>
        <v>松本に告白された凛。しかし駿平のことで、ますます恋愛に対して不信感が強くなっていく。一方、勢いで凛に告白したことで、自分の気持ちと向き合い始める松本。その松本に想いを寄せる美帆は、積極的にアプローチを始め…。  菜々子と多田は、お見合いパーティーの場で偶然会い再び2人で飲みに行くことに。そんななか、美帆と駿平の作戦で再び6人で会うことになり、それぞれの想いを抱え、運命のバレンタインを迎える！木下 凛（32歳）…仲間由紀恵  松本直哉（43歳）…佐々木蔵之介  渡辺美帆（32歳）…市川実日子  槙野駿平（24歳）…永山絢斗    神山純一郎（40歳）…橋本じゅん  木下結衣（17歳）…本田翼  木下樹（14歳）…西山潤  山田拓也（17歳）…永瀬匡  　小早川隆志（34歳）…森山栄治   川島サオリ（30歳）…能世あんな    雨宮博美（52歳）…室井滋    多田耕太（43歳）…田中裕二（爆笑問題）  相沢菜々子（42歳）…りょう  (他)『Be...』Ms．OOJA  </v>
      </c>
      <c r="N5678" s="2"/>
      <c r="O5678" s="2"/>
      <c r="P5678" s="1"/>
      <c r="Q5678" s="1"/>
      <c r="R5678" s="1"/>
      <c r="S5678" s="1"/>
      <c r="T5678" s="1"/>
      <c r="U5678" s="1"/>
      <c r="V5678" s="1"/>
      <c r="W5678" s="1"/>
      <c r="X5678" s="1"/>
      <c r="Y5678" s="1"/>
      <c r="Z5678" s="1"/>
      <c r="AA5678" s="1"/>
      <c r="AB5678" s="1"/>
      <c r="AC5678" s="1"/>
      <c r="AD5678" s="1"/>
      <c r="AE5678" s="1"/>
      <c r="AF5678" s="1"/>
      <c r="AG5678" s="1"/>
      <c r="AH5678" s="1"/>
      <c r="AI5678" s="1"/>
      <c r="AJ5678" s="1"/>
      <c r="AK5678" s="1"/>
      <c r="AL5678" s="1"/>
      <c r="AM5678" s="1"/>
      <c r="AN5678" s="1"/>
      <c r="AO5678" s="1"/>
      <c r="AP5678" s="1"/>
      <c r="AQ5678" s="1"/>
      <c r="AR5678" s="1"/>
      <c r="AS5678" s="1"/>
      <c r="AT5678" s="1"/>
      <c r="AU5678" s="1"/>
      <c r="AV5678" s="1"/>
      <c r="AW5678" s="1"/>
      <c r="AX5678" s="1"/>
      <c r="AY5678" s="1"/>
      <c r="AZ5678" s="1"/>
      <c r="BA5678" s="1"/>
      <c r="BB5678" s="1"/>
    </row>
    <row r="5679" ht="204.75" customHeight="1">
      <c r="A5679" s="1">
        <v>4028.0</v>
      </c>
      <c r="B5679" s="2" t="s">
        <v>15518</v>
      </c>
      <c r="C5679" s="2">
        <f>IFERROR(__xludf.DUMMYFUNCTION("split(B5679,""_"")"),1201.0)</f>
        <v>1201</v>
      </c>
      <c r="D5679" s="2" t="str">
        <f>IFERROR(__xludf.DUMMYFUNCTION("""COMPUTED_VALUE"""),"TBS")</f>
        <v>TBS</v>
      </c>
      <c r="E5679" s="2" t="str">
        <f>IFERROR(__xludf.DUMMYFUNCTION("""COMPUTED_VALUE"""),"金22")</f>
        <v>金22</v>
      </c>
      <c r="F5679" s="2" t="s">
        <v>15519</v>
      </c>
      <c r="G5679" s="2" t="s">
        <v>15528</v>
      </c>
      <c r="H5679" s="1">
        <v>5.0</v>
      </c>
      <c r="J5679" s="1" t="s">
        <v>86</v>
      </c>
      <c r="K5679" s="2" t="s">
        <v>15529</v>
      </c>
      <c r="L5679" s="2"/>
      <c r="M5679" s="2" t="str">
        <f>IFERROR(__xludf.DUMMYFUNCTION("split(split(K5679,""【"",false),""公式LINE"",false)"),"凛は、松本、多田、駿平の3人が、誰が凛を落とすかというゲームで自分にアプローチをしてきたことをついに知ってしまう。深く傷ついた凛は、「もう恋なんかしない！」と固く決意をする。その決意を聞いた凛の親友の美帆が、松本へアプローチすることを宣言。  それを聞いた凛は複雑な気持ちになってしまう。一方、松本は、凛にふられたことで、自分の気持ちに正面から向き合うことをやめてしまい…。木下 凛（32歳）…仲間由紀恵  松本直哉（43歳）…佐々木蔵之介  渡辺美帆（32歳）…市川実日子  槙野駿平（24歳）…永山絢斗  "&amp;"  神山純一郎（40歳）…橋本じゅん  木下結衣（17歳）…本田翼  木下樹（14歳）…西山潤  山田拓也（17歳）…永瀬匡小早川隆志（34歳）…森山栄治   川島サオリ（30歳）…能世あんな    雨宮博美（52歳）…室井滋    多田耕太（43歳）…田中裕二（爆笑問題）  相沢菜々子（42歳）…りょう  (他)『Be...』Ms．OOJA  ")</f>
        <v>凛は、松本、多田、駿平の3人が、誰が凛を落とすかというゲームで自分にアプローチをしてきたことをついに知ってしまう。深く傷ついた凛は、「もう恋なんかしない！」と固く決意をする。その決意を聞いた凛の親友の美帆が、松本へアプローチすることを宣言。  それを聞いた凛は複雑な気持ちになってしまう。一方、松本は、凛にふられたことで、自分の気持ちに正面から向き合うことをやめてしまい…。木下 凛（32歳）…仲間由紀恵  松本直哉（43歳）…佐々木蔵之介  渡辺美帆（32歳）…市川実日子  槙野駿平（24歳）…永山絢斗    神山純一郎（40歳）…橋本じゅん  木下結衣（17歳）…本田翼  木下樹（14歳）…西山潤  山田拓也（17歳）…永瀬匡小早川隆志（34歳）…森山栄治   川島サオリ（30歳）…能世あんな    雨宮博美（52歳）…室井滋    多田耕太（43歳）…田中裕二（爆笑問題）  相沢菜々子（42歳）…りょう  (他)『Be...』Ms．OOJA  </v>
      </c>
      <c r="N5679" s="2"/>
      <c r="O5679" s="2"/>
      <c r="P5679" s="1"/>
      <c r="Q5679" s="1"/>
      <c r="R5679" s="1"/>
      <c r="S5679" s="1"/>
      <c r="T5679" s="1"/>
      <c r="U5679" s="1"/>
      <c r="V5679" s="1"/>
      <c r="W5679" s="1"/>
      <c r="X5679" s="1"/>
      <c r="Y5679" s="1"/>
      <c r="Z5679" s="1"/>
      <c r="AA5679" s="1"/>
      <c r="AB5679" s="1"/>
      <c r="AC5679" s="1"/>
      <c r="AD5679" s="1"/>
      <c r="AE5679" s="1"/>
      <c r="AF5679" s="1"/>
      <c r="AG5679" s="1"/>
      <c r="AH5679" s="1"/>
      <c r="AI5679" s="1"/>
      <c r="AJ5679" s="1"/>
      <c r="AK5679" s="1"/>
      <c r="AL5679" s="1"/>
      <c r="AM5679" s="1"/>
      <c r="AN5679" s="1"/>
      <c r="AO5679" s="1"/>
      <c r="AP5679" s="1"/>
      <c r="AQ5679" s="1"/>
      <c r="AR5679" s="1"/>
      <c r="AS5679" s="1"/>
      <c r="AT5679" s="1"/>
      <c r="AU5679" s="1"/>
      <c r="AV5679" s="1"/>
      <c r="AW5679" s="1"/>
      <c r="AX5679" s="1"/>
      <c r="AY5679" s="1"/>
      <c r="AZ5679" s="1"/>
      <c r="BA5679" s="1"/>
      <c r="BB5679" s="1"/>
    </row>
    <row r="5680" ht="204.75" customHeight="1">
      <c r="A5680" s="1">
        <v>4029.0</v>
      </c>
      <c r="B5680" s="2" t="s">
        <v>15518</v>
      </c>
      <c r="C5680" s="2">
        <f>IFERROR(__xludf.DUMMYFUNCTION("split(B5680,""_"")"),1201.0)</f>
        <v>1201</v>
      </c>
      <c r="D5680" s="2" t="str">
        <f>IFERROR(__xludf.DUMMYFUNCTION("""COMPUTED_VALUE"""),"TBS")</f>
        <v>TBS</v>
      </c>
      <c r="E5680" s="2" t="str">
        <f>IFERROR(__xludf.DUMMYFUNCTION("""COMPUTED_VALUE"""),"金22")</f>
        <v>金22</v>
      </c>
      <c r="F5680" s="2" t="s">
        <v>15519</v>
      </c>
      <c r="G5680" s="2" t="s">
        <v>15530</v>
      </c>
      <c r="H5680" s="1">
        <v>6.0</v>
      </c>
      <c r="J5680" s="1" t="s">
        <v>86</v>
      </c>
      <c r="K5680" s="2" t="s">
        <v>15531</v>
      </c>
      <c r="L5680" s="2"/>
      <c r="M5680" s="2" t="str">
        <f>IFERROR(__xludf.DUMMYFUNCTION("split(split(K5680,""【"",false),""公式LINE"",false)"),"ついに、松本（佐々木蔵之介）と付き合い始めた凛（仲間由紀恵）。  8年ぶりの交際に凛は、菜々子（りょう）や美帆（市川実日子）のアドバイスの中、恋愛の感覚を思い出そうとする。  しかし、何度かデートを重ねるものの、2人はなかなか先に進むことが出来ないでいた。そんな中、菜々子は多田（田中裕二）に、ついに妊娠していることを言う。  菜々子の告白を受けた多田だが、驚いて何も言うことが出来ない…。木下 凛（32歳）…仲間由紀恵  松本直哉（43歳）…佐々木蔵之介  渡辺美帆（32歳）…市川実日子  槙野駿平（24歳"&amp;"）…永山絢斗    神山純一郎（40歳）…橋本じゅん  木下結衣（17歳）…本田翼  木下樹（14歳）…西山潤  山田拓也（17歳）…永瀬匡  小早川隆志（34歳）…森山栄治   川島サオリ（30歳）…能世あんな    雨宮博美（52歳）…室井滋多田耕太（43歳）…田中裕二（爆笑問題）  相沢菜々子（42歳）…りょう    斉藤妙子…横山めぐみ    『Be...』Ms．OOJA  ")</f>
        <v>ついに、松本（佐々木蔵之介）と付き合い始めた凛（仲間由紀恵）。  8年ぶりの交際に凛は、菜々子（りょう）や美帆（市川実日子）のアドバイスの中、恋愛の感覚を思い出そうとする。  しかし、何度かデートを重ねるものの、2人はなかなか先に進むことが出来ないでいた。そんな中、菜々子は多田（田中裕二）に、ついに妊娠していることを言う。  菜々子の告白を受けた多田だが、驚いて何も言うことが出来ない…。木下 凛（32歳）…仲間由紀恵  松本直哉（43歳）…佐々木蔵之介  渡辺美帆（32歳）…市川実日子  槙野駿平（24歳）…永山絢斗    神山純一郎（40歳）…橋本じゅん  木下結衣（17歳）…本田翼  木下樹（14歳）…西山潤  山田拓也（17歳）…永瀬匡  小早川隆志（34歳）…森山栄治   川島サオリ（30歳）…能世あんな    雨宮博美（52歳）…室井滋多田耕太（43歳）…田中裕二（爆笑問題）  相沢菜々子（42歳）…りょう    斉藤妙子…横山めぐみ    『Be...』Ms．OOJA  </v>
      </c>
      <c r="N5680" s="2"/>
      <c r="O5680" s="2"/>
      <c r="P5680" s="1"/>
      <c r="Q5680" s="1"/>
      <c r="R5680" s="1"/>
      <c r="S5680" s="1"/>
      <c r="T5680" s="1"/>
      <c r="U5680" s="1"/>
      <c r="V5680" s="1"/>
      <c r="W5680" s="1"/>
      <c r="X5680" s="1"/>
      <c r="Y5680" s="1"/>
      <c r="Z5680" s="1"/>
      <c r="AA5680" s="1"/>
      <c r="AB5680" s="1"/>
      <c r="AC5680" s="1"/>
      <c r="AD5680" s="1"/>
      <c r="AE5680" s="1"/>
      <c r="AF5680" s="1"/>
      <c r="AG5680" s="1"/>
      <c r="AH5680" s="1"/>
      <c r="AI5680" s="1"/>
      <c r="AJ5680" s="1"/>
      <c r="AK5680" s="1"/>
      <c r="AL5680" s="1"/>
      <c r="AM5680" s="1"/>
      <c r="AN5680" s="1"/>
      <c r="AO5680" s="1"/>
      <c r="AP5680" s="1"/>
      <c r="AQ5680" s="1"/>
      <c r="AR5680" s="1"/>
      <c r="AS5680" s="1"/>
      <c r="AT5680" s="1"/>
      <c r="AU5680" s="1"/>
      <c r="AV5680" s="1"/>
      <c r="AW5680" s="1"/>
      <c r="AX5680" s="1"/>
      <c r="AY5680" s="1"/>
      <c r="AZ5680" s="1"/>
      <c r="BA5680" s="1"/>
      <c r="BB5680" s="1"/>
    </row>
    <row r="5681" ht="204.75" customHeight="1">
      <c r="A5681" s="1">
        <v>4030.0</v>
      </c>
      <c r="B5681" s="2" t="s">
        <v>15518</v>
      </c>
      <c r="C5681" s="2">
        <f>IFERROR(__xludf.DUMMYFUNCTION("split(B5681,""_"")"),1201.0)</f>
        <v>1201</v>
      </c>
      <c r="D5681" s="2" t="str">
        <f>IFERROR(__xludf.DUMMYFUNCTION("""COMPUTED_VALUE"""),"TBS")</f>
        <v>TBS</v>
      </c>
      <c r="E5681" s="2" t="str">
        <f>IFERROR(__xludf.DUMMYFUNCTION("""COMPUTED_VALUE"""),"金22")</f>
        <v>金22</v>
      </c>
      <c r="F5681" s="2" t="s">
        <v>15519</v>
      </c>
      <c r="G5681" s="2" t="s">
        <v>15532</v>
      </c>
      <c r="H5681" s="1">
        <v>7.0</v>
      </c>
      <c r="J5681" s="1" t="s">
        <v>86</v>
      </c>
      <c r="K5681" s="2" t="s">
        <v>15533</v>
      </c>
      <c r="L5681" s="2"/>
      <c r="M5681" s="2" t="str">
        <f>IFERROR(__xludf.DUMMYFUNCTION("split(split(K5681,""【"",false),""公式LINE"",false)"),"凛（仲間由紀恵）と松本（佐々木蔵之介）は、初めてふたりきりの朝を迎える。そこに「ここにしばらく置いて」と駿平（永山絢斗）が現れる。凛との仲を確かなものにしたい松本は、駿平が邪魔でならないが、何か理由があるようで駿平はなかなか出て行かない。おまけに「凛ちゃんに興味をなくしたわけじゃないから」と発言、松本を挑発する。8年ぶりの朝帰りをした凛を、結衣（本田翼）と樹（西山潤）は大歓迎、菜々子（りょう）と美帆（市川実日子）も喜ぶ。菜々子は妊娠とシングルマザー宣言を報告するが、美帆が「それは菜々子のエゴだ。生まれてく"&amp;"る子のことを考えてよ」と反対、口論になる。凛との関係を確かなものにしたいと思った松本は、  凛を京都旅行に誘う。喜んでOKする凛。一方、駿平に「お金がない」と呼び出され、何の疑いもなく行く凛。そこに現れた斉藤妙子（横山めぐみ）が駿平の母親と知る。「いまさら現れて母親面すんな！」と語気を荒げる駿平にただならぬものを感じる凛。  美帆から「あまり首をつっこまない方がいい」と言われるが、事故で両親をなくした自分の身の上を重ねて、つい駿平が気になってしまうのだった・・・。いよいよ京都へ出発という日、「明日海外へ発"&amp;"つ」という妙子から「駿平にどうしても渡して欲しい」とあるものを渡される。  その必死な様子にほだされた凛は、駿平に会い、妙子の見送りに行くように説得する。「一晩一緒に過ごしてくれたら言うこと聞いてもいい」とうそぶく駿平。戸惑う凛だったが駿平に深い孤独を感じてしまい、OKする。京都で待つ松本に「信じて待っていて欲しい」と告げる凛。「信じます」と言うものの、その心中穏やかでなく…。一方、駿平は凛の優しさを利用して、ふたりきりになった瞬間、凛に迫り始めるのだった…。駿平に翻弄される凛、凛に試される松本、凛に最後"&amp;"の救いを求める駿平…究極の三角関係に陥った三人の行き着く先は…？？木下 凛（32歳）…仲間由紀恵  松本直哉（43歳）…佐々木蔵之介  渡辺美帆（32歳）…市川実日子  槙野駿平（24歳）…永山絢斗神山純一郎（40歳）…橋本じゅん  木下結衣（17歳）…本田翼    木下樹（14歳）…西山潤  山田拓也（17歳）…永瀬匡    小早川隆志（34歳）…森山栄治   川島サオリ（30歳）…能世あんな  雨宮博美（52歳）…室井滋    多田耕太（43歳）…田中裕二（爆笑問題）  相沢菜々子（42歳）…りょう "&amp;" (他)    ")</f>
        <v>凛（仲間由紀恵）と松本（佐々木蔵之介）は、初めてふたりきりの朝を迎える。そこに「ここにしばらく置いて」と駿平（永山絢斗）が現れる。凛との仲を確かなものにしたい松本は、駿平が邪魔でならないが、何か理由があるようで駿平はなかなか出て行かない。おまけに「凛ちゃんに興味をなくしたわけじゃないから」と発言、松本を挑発する。8年ぶりの朝帰りをした凛を、結衣（本田翼）と樹（西山潤）は大歓迎、菜々子（りょう）と美帆（市川実日子）も喜ぶ。菜々子は妊娠とシングルマザー宣言を報告するが、美帆が「それは菜々子のエゴだ。生まれてくる子のことを考えてよ」と反対、口論になる。凛との関係を確かなものにしたいと思った松本は、  凛を京都旅行に誘う。喜んでOKする凛。一方、駿平に「お金がない」と呼び出され、何の疑いもなく行く凛。そこに現れた斉藤妙子（横山めぐみ）が駿平の母親と知る。「いまさら現れて母親面すんな！」と語気を荒げる駿平にただならぬものを感じる凛。  美帆から「あまり首をつっこまない方がいい」と言われるが、事故で両親をなくした自分の身の上を重ねて、つい駿平が気になってしまうのだった・・・。いよいよ京都へ出発という日、「明日海外へ発つ」という妙子から「駿平にどうしても渡して欲しい」とあるものを渡される。  その必死な様子にほだされた凛は、駿平に会い、妙子の見送りに行くように説得する。「一晩一緒に過ごしてくれたら言うこと聞いてもいい」とうそぶく駿平。戸惑う凛だったが駿平に深い孤独を感じてしまい、OKする。京都で待つ松本に「信じて待っていて欲しい」と告げる凛。「信じます」と言うものの、その心中穏やかでなく…。一方、駿平は凛の優しさを利用して、ふたりきりになった瞬間、凛に迫り始めるのだった…。駿平に翻弄される凛、凛に試される松本、凛に最後の救いを求める駿平…究極の三角関係に陥った三人の行き着く先は…？？木下 凛（32歳）…仲間由紀恵  松本直哉（43歳）…佐々木蔵之介  渡辺美帆（32歳）…市川実日子  槙野駿平（24歳）…永山絢斗神山純一郎（40歳）…橋本じゅん  木下結衣（17歳）…本田翼    木下樹（14歳）…西山潤  山田拓也（17歳）…永瀬匡    小早川隆志（34歳）…森山栄治   川島サオリ（30歳）…能世あんな  雨宮博美（52歳）…室井滋    多田耕太（43歳）…田中裕二（爆笑問題）  相沢菜々子（42歳）…りょう  (他)    </v>
      </c>
      <c r="N5681" s="2"/>
      <c r="O5681" s="2"/>
      <c r="P5681" s="1"/>
      <c r="Q5681" s="1"/>
      <c r="R5681" s="1"/>
      <c r="S5681" s="1"/>
      <c r="T5681" s="1"/>
      <c r="U5681" s="1"/>
      <c r="V5681" s="1"/>
      <c r="W5681" s="1"/>
      <c r="X5681" s="1"/>
      <c r="Y5681" s="1"/>
      <c r="Z5681" s="1"/>
      <c r="AA5681" s="1"/>
      <c r="AB5681" s="1"/>
      <c r="AC5681" s="1"/>
      <c r="AD5681" s="1"/>
      <c r="AE5681" s="1"/>
      <c r="AF5681" s="1"/>
      <c r="AG5681" s="1"/>
      <c r="AH5681" s="1"/>
      <c r="AI5681" s="1"/>
      <c r="AJ5681" s="1"/>
      <c r="AK5681" s="1"/>
      <c r="AL5681" s="1"/>
      <c r="AM5681" s="1"/>
      <c r="AN5681" s="1"/>
      <c r="AO5681" s="1"/>
      <c r="AP5681" s="1"/>
      <c r="AQ5681" s="1"/>
      <c r="AR5681" s="1"/>
      <c r="AS5681" s="1"/>
      <c r="AT5681" s="1"/>
      <c r="AU5681" s="1"/>
      <c r="AV5681" s="1"/>
      <c r="AW5681" s="1"/>
      <c r="AX5681" s="1"/>
      <c r="AY5681" s="1"/>
      <c r="AZ5681" s="1"/>
      <c r="BA5681" s="1"/>
      <c r="BB5681" s="1"/>
    </row>
    <row r="5682" ht="204.75" customHeight="1">
      <c r="A5682" s="1">
        <v>4031.0</v>
      </c>
      <c r="B5682" s="2" t="s">
        <v>15518</v>
      </c>
      <c r="C5682" s="2">
        <f>IFERROR(__xludf.DUMMYFUNCTION("split(B5682,""_"")"),1201.0)</f>
        <v>1201</v>
      </c>
      <c r="D5682" s="2" t="str">
        <f>IFERROR(__xludf.DUMMYFUNCTION("""COMPUTED_VALUE"""),"TBS")</f>
        <v>TBS</v>
      </c>
      <c r="E5682" s="2" t="str">
        <f>IFERROR(__xludf.DUMMYFUNCTION("""COMPUTED_VALUE"""),"金22")</f>
        <v>金22</v>
      </c>
      <c r="F5682" s="2" t="s">
        <v>15519</v>
      </c>
      <c r="G5682" s="2" t="s">
        <v>15534</v>
      </c>
      <c r="H5682" s="1">
        <v>8.0</v>
      </c>
      <c r="J5682" s="1" t="s">
        <v>86</v>
      </c>
      <c r="K5682" s="2" t="s">
        <v>15535</v>
      </c>
      <c r="L5682" s="2"/>
      <c r="M5682" s="2" t="str">
        <f>IFERROR(__xludf.DUMMYFUNCTION("split(split(K5682,""【"",false),""公式LINE"",false)"),"凛（仲間由紀恵）を信じられず、京都から帰ってきてしまった松本（佐々木蔵之介）。凛は、自分を信じなかった松本に怒りを露にするが、松本も凛が一度は気持ちが傾いた男・駿平と一晩過ごそうとしたことに冷静でいられず、松本はマンションから凛を追い返してしまう。  翌日、松本は元カノの岡野ゆかり（小島聖）から「久しぶりに会いたい」というメールを受け取る。レストランで食事をすることになった松本とゆかり。ゆかりから、「あなたと別れたことを後悔してる」と言われ動揺する松本。一方、さおり（能世あんな）と別れた駿平は、凛にアプロ"&amp;"ーチを始める。だが、凛に「愛だの恋だの言う前に、ひとりの人間として、きちんと自分の人生に向き合いなさい」と言われた駿平は、凛の会社でバイトを決め、凛を驚かせる。  仕事を終えた二人が歩いていると、松本とゆかりに出くわしてしまう。木下 凛（32歳）…仲間由紀恵  松本直哉（43歳）…佐々木蔵之介  渡辺美帆（32歳）…市川実日子  槙野駿平（24歳）…永山絢斗    神山純一郎（40歳）…橋本じゅん  木下結衣（17歳）…本田翼  木下樹（14歳）…西山潤  山田拓也（17歳）…永瀬匡小早川隆志（34歳）…"&amp;"森山栄治   川島サオリ（30歳）…能世あんな    雨宮博美（52歳）…室井滋    多田耕太（43歳）…田中裕二（爆笑問題）  相沢菜々子（42歳）…りょう  (他)『Be...』Ms．OOJA  ")</f>
        <v>凛（仲間由紀恵）を信じられず、京都から帰ってきてしまった松本（佐々木蔵之介）。凛は、自分を信じなかった松本に怒りを露にするが、松本も凛が一度は気持ちが傾いた男・駿平と一晩過ごそうとしたことに冷静でいられず、松本はマンションから凛を追い返してしまう。  翌日、松本は元カノの岡野ゆかり（小島聖）から「久しぶりに会いたい」というメールを受け取る。レストランで食事をすることになった松本とゆかり。ゆかりから、「あなたと別れたことを後悔してる」と言われ動揺する松本。一方、さおり（能世あんな）と別れた駿平は、凛にアプローチを始める。だが、凛に「愛だの恋だの言う前に、ひとりの人間として、きちんと自分の人生に向き合いなさい」と言われた駿平は、凛の会社でバイトを決め、凛を驚かせる。  仕事を終えた二人が歩いていると、松本とゆかりに出くわしてしまう。木下 凛（32歳）…仲間由紀恵  松本直哉（43歳）…佐々木蔵之介  渡辺美帆（32歳）…市川実日子  槙野駿平（24歳）…永山絢斗    神山純一郎（40歳）…橋本じゅん  木下結衣（17歳）…本田翼  木下樹（14歳）…西山潤  山田拓也（17歳）…永瀬匡小早川隆志（34歳）…森山栄治   川島サオリ（30歳）…能世あんな    雨宮博美（52歳）…室井滋    多田耕太（43歳）…田中裕二（爆笑問題）  相沢菜々子（42歳）…りょう  (他)『Be...』Ms．OOJA  </v>
      </c>
      <c r="N5682" s="2"/>
      <c r="O5682" s="2"/>
      <c r="P5682" s="1"/>
      <c r="Q5682" s="1"/>
      <c r="R5682" s="1"/>
      <c r="S5682" s="1"/>
      <c r="T5682" s="1"/>
      <c r="U5682" s="1"/>
      <c r="V5682" s="1"/>
      <c r="W5682" s="1"/>
      <c r="X5682" s="1"/>
      <c r="Y5682" s="1"/>
      <c r="Z5682" s="1"/>
      <c r="AA5682" s="1"/>
      <c r="AB5682" s="1"/>
      <c r="AC5682" s="1"/>
      <c r="AD5682" s="1"/>
      <c r="AE5682" s="1"/>
      <c r="AF5682" s="1"/>
      <c r="AG5682" s="1"/>
      <c r="AH5682" s="1"/>
      <c r="AI5682" s="1"/>
      <c r="AJ5682" s="1"/>
      <c r="AK5682" s="1"/>
      <c r="AL5682" s="1"/>
      <c r="AM5682" s="1"/>
      <c r="AN5682" s="1"/>
      <c r="AO5682" s="1"/>
      <c r="AP5682" s="1"/>
      <c r="AQ5682" s="1"/>
      <c r="AR5682" s="1"/>
      <c r="AS5682" s="1"/>
      <c r="AT5682" s="1"/>
      <c r="AU5682" s="1"/>
      <c r="AV5682" s="1"/>
      <c r="AW5682" s="1"/>
      <c r="AX5682" s="1"/>
      <c r="AY5682" s="1"/>
      <c r="AZ5682" s="1"/>
      <c r="BA5682" s="1"/>
      <c r="BB5682" s="1"/>
    </row>
    <row r="5683" ht="204.75" customHeight="1">
      <c r="A5683" s="1">
        <v>4032.0</v>
      </c>
      <c r="B5683" s="2" t="s">
        <v>15518</v>
      </c>
      <c r="C5683" s="2">
        <f>IFERROR(__xludf.DUMMYFUNCTION("split(B5683,""_"")"),1201.0)</f>
        <v>1201</v>
      </c>
      <c r="D5683" s="2" t="str">
        <f>IFERROR(__xludf.DUMMYFUNCTION("""COMPUTED_VALUE"""),"TBS")</f>
        <v>TBS</v>
      </c>
      <c r="E5683" s="2" t="str">
        <f>IFERROR(__xludf.DUMMYFUNCTION("""COMPUTED_VALUE"""),"金22")</f>
        <v>金22</v>
      </c>
      <c r="F5683" s="2" t="s">
        <v>15519</v>
      </c>
      <c r="G5683" s="2" t="s">
        <v>15536</v>
      </c>
      <c r="H5683" s="1">
        <v>9.0</v>
      </c>
      <c r="J5683" s="1" t="s">
        <v>86</v>
      </c>
      <c r="K5683" s="2" t="s">
        <v>15537</v>
      </c>
      <c r="L5683" s="2"/>
      <c r="M5683" s="2" t="str">
        <f>IFERROR(__xludf.DUMMYFUNCTION("split(split(K5683,""【"",false),""公式LINE"",false)"),"凛（仲間由紀恵）と松本（佐々木蔵之介）は、松本の元カノ・ゆかり（小島聖）が現れたことにより、2人の関係はギクシャクしてしまう。そんな時、凛は仕事で『結婚』を題材にした本の出版に向け、『結婚』にまつわる質問を松本に浴びせる。  　結婚を重荷と感じている松本は、凛が結婚をしたがっていると思い込み、凛にたいして距離を置きはじめてしまう。  一方、美帆（市川日実子）は、元旦那の一史（竹財輝之助）から仕事のミスで子会社に出向になり給料が下がるため、慰謝料を払えなくなったと相談される。その場では、怒って立ち去るのだが"&amp;"…。また、多田（田中裕二）の気持ちを知った菜々子（りょう）は、多田の幸せのために、二度と会わないと決意する。  凛は、自分を避ける理由を松本に聞きたいと連絡をとろうとするが、「あなたと付き合って行く自信がない」と言われ、ショックを受ける。そこに駿平（永山絢斗）が現れ…。木下 凛（32歳）…仲間由紀恵  松本直哉（43歳）…佐々木蔵之介  渡辺美帆（32歳）…市川実日子  槙野駿平（24歳）…永山絢斗    神山純一郎（40歳）…橋本じゅん  木下結衣（17歳）…本田翼  木下樹（14歳）…西山潤  山田拓"&amp;"也（17歳）…永瀬匡小早川隆志（34歳）…森山栄治   川島サオリ（30歳）…能世あんな    雨宮博美（52歳）…室井滋    多田耕太（43歳）…田中裕二（爆笑問題）  相沢菜々子（42歳）…りょう    一史…竹財輝之助  『Be...』Ms．OOJA  ")</f>
        <v>凛（仲間由紀恵）と松本（佐々木蔵之介）は、松本の元カノ・ゆかり（小島聖）が現れたことにより、2人の関係はギクシャクしてしまう。そんな時、凛は仕事で『結婚』を題材にした本の出版に向け、『結婚』にまつわる質問を松本に浴びせる。  　結婚を重荷と感じている松本は、凛が結婚をしたがっていると思い込み、凛にたいして距離を置きはじめてしまう。  一方、美帆（市川日実子）は、元旦那の一史（竹財輝之助）から仕事のミスで子会社に出向になり給料が下がるため、慰謝料を払えなくなったと相談される。その場では、怒って立ち去るのだが…。また、多田（田中裕二）の気持ちを知った菜々子（りょう）は、多田の幸せのために、二度と会わないと決意する。  凛は、自分を避ける理由を松本に聞きたいと連絡をとろうとするが、「あなたと付き合って行く自信がない」と言われ、ショックを受ける。そこに駿平（永山絢斗）が現れ…。木下 凛（32歳）…仲間由紀恵  松本直哉（43歳）…佐々木蔵之介  渡辺美帆（32歳）…市川実日子  槙野駿平（24歳）…永山絢斗    神山純一郎（40歳）…橋本じゅん  木下結衣（17歳）…本田翼  木下樹（14歳）…西山潤  山田拓也（17歳）…永瀬匡小早川隆志（34歳）…森山栄治   川島サオリ（30歳）…能世あんな    雨宮博美（52歳）…室井滋    多田耕太（43歳）…田中裕二（爆笑問題）  相沢菜々子（42歳）…りょう    一史…竹財輝之助  『Be...』Ms．OOJA  </v>
      </c>
      <c r="N5683" s="2"/>
      <c r="O5683" s="2"/>
      <c r="P5683" s="1"/>
      <c r="Q5683" s="1"/>
      <c r="R5683" s="1"/>
      <c r="S5683" s="1"/>
      <c r="T5683" s="1"/>
      <c r="U5683" s="1"/>
      <c r="V5683" s="1"/>
      <c r="W5683" s="1"/>
      <c r="X5683" s="1"/>
      <c r="Y5683" s="1"/>
      <c r="Z5683" s="1"/>
      <c r="AA5683" s="1"/>
      <c r="AB5683" s="1"/>
      <c r="AC5683" s="1"/>
      <c r="AD5683" s="1"/>
      <c r="AE5683" s="1"/>
      <c r="AF5683" s="1"/>
      <c r="AG5683" s="1"/>
      <c r="AH5683" s="1"/>
      <c r="AI5683" s="1"/>
      <c r="AJ5683" s="1"/>
      <c r="AK5683" s="1"/>
      <c r="AL5683" s="1"/>
      <c r="AM5683" s="1"/>
      <c r="AN5683" s="1"/>
      <c r="AO5683" s="1"/>
      <c r="AP5683" s="1"/>
      <c r="AQ5683" s="1"/>
      <c r="AR5683" s="1"/>
      <c r="AS5683" s="1"/>
      <c r="AT5683" s="1"/>
      <c r="AU5683" s="1"/>
      <c r="AV5683" s="1"/>
      <c r="AW5683" s="1"/>
      <c r="AX5683" s="1"/>
      <c r="AY5683" s="1"/>
      <c r="AZ5683" s="1"/>
      <c r="BA5683" s="1"/>
      <c r="BB5683" s="1"/>
    </row>
    <row r="5684" ht="204.75" customHeight="1">
      <c r="A5684" s="1">
        <v>4033.0</v>
      </c>
      <c r="B5684" s="2" t="s">
        <v>15518</v>
      </c>
      <c r="C5684" s="2">
        <f>IFERROR(__xludf.DUMMYFUNCTION("split(B5684,""_"")"),1201.0)</f>
        <v>1201</v>
      </c>
      <c r="D5684" s="2" t="str">
        <f>IFERROR(__xludf.DUMMYFUNCTION("""COMPUTED_VALUE"""),"TBS")</f>
        <v>TBS</v>
      </c>
      <c r="E5684" s="2" t="str">
        <f>IFERROR(__xludf.DUMMYFUNCTION("""COMPUTED_VALUE"""),"金22")</f>
        <v>金22</v>
      </c>
      <c r="F5684" s="2" t="s">
        <v>15519</v>
      </c>
      <c r="G5684" s="2" t="s">
        <v>15538</v>
      </c>
      <c r="H5684" s="1">
        <v>10.0</v>
      </c>
      <c r="J5684" s="1" t="s">
        <v>86</v>
      </c>
      <c r="K5684" s="2" t="s">
        <v>15539</v>
      </c>
      <c r="L5684" s="2"/>
      <c r="M5684" s="2" t="str">
        <f>IFERROR(__xludf.DUMMYFUNCTION("split(split(K5684,""【"",false),""公式LINE"",false)"),"凛（仲間由紀恵）は松本（佐々木蔵之介）に別れを告げ、これからは結衣（本田翼）と樹（西山潤）を一番に考えて生きていく決意をする。失恋の痛手を忘れようとするかのように、「忘れた恋のはじめ方」著者ゆあんのトークショーの準備に精を出す。  一方、松本は、母親の具合が悪くなったため富山に戻る荷造りを始めるのだった。  　その頃、菜々子（りょう）の体を気遣い、高級食材をちょくちょく買ってくる美帆（市川実日子）を訝しく思った菜々子は、美帆を問い詰める。それは実は多田（田中裕二）が美帆に頼んでいた物だった。菜々子は多田に"&amp;"迷惑だと言い放つ。多田が謝り、その場を出て行く姿を見た美帆は、「菜々子さんに幸せになってほしい」という多田の気持ちを菜々子に伝えるのだが…。  　数日後、菜々子、多田、美帆、そして松本の元に『忘れた恋のはじめ方～ゆあん先生トークショー＆サイン会』の招待状が届く。初めて明かされたゆあんの正体。  それはーーーー？  そして「忘れた恋のはじめ方」に隠された秘密が、凛、松本、駿平、美帆、菜々子、多田、それぞれの運命を動かす。  事態は衝撃の結末へーーーー!!木下 凛（32歳）…仲間由紀恵  松本直哉（43歳）…"&amp;"佐々木蔵之介  渡辺美帆（32歳）…市川実日子  槙野駿平（24歳）…永山絢斗    神山純一郎（40歳）…橋本じゅん  木下結衣（17歳）…本田翼  木下樹（14歳）…西山潤  山田拓也（17歳）…永瀬匡    小早川隆志（34歳）…森山栄治   川島サオリ（30歳）…能世あんな中里圭吾…草刈正雄（特別出演）    雨宮博美（52歳）…室井滋    多田耕太（43歳）…田中裕二（爆笑問題）  相沢菜々子（42歳）…りょう  (他)『Be...』Ms．OOJA  凛（仲間由紀恵）への気持ちに自信をなくして"&amp;"しまった松本（佐々木蔵之介）。  結婚を重荷と感じていた松本は、凛が結婚をしたがっていると思い込んでしまい、凛に対して距離を置きはじめてしまう。また、多田（田中裕二）の気持ちを知った菜々子（りょう）は、多田の幸せのためにも、多田とは二度と会わないと決意。  残業中の駿平（永山絢斗）と会った凛は、松本が自分に重みを感じていることを知り、「恋なんか、するんじゃなかった…」と、駿平に涙を見せ、駿平は優しく凛を抱きしめるのだった。")</f>
        <v>凛（仲間由紀恵）は松本（佐々木蔵之介）に別れを告げ、これからは結衣（本田翼）と樹（西山潤）を一番に考えて生きていく決意をする。失恋の痛手を忘れようとするかのように、「忘れた恋のはじめ方」著者ゆあんのトークショーの準備に精を出す。  一方、松本は、母親の具合が悪くなったため富山に戻る荷造りを始めるのだった。  　その頃、菜々子（りょう）の体を気遣い、高級食材をちょくちょく買ってくる美帆（市川実日子）を訝しく思った菜々子は、美帆を問い詰める。それは実は多田（田中裕二）が美帆に頼んでいた物だった。菜々子は多田に迷惑だと言い放つ。多田が謝り、その場を出て行く姿を見た美帆は、「菜々子さんに幸せになってほしい」という多田の気持ちを菜々子に伝えるのだが…。  　数日後、菜々子、多田、美帆、そして松本の元に『忘れた恋のはじめ方～ゆあん先生トークショー＆サイン会』の招待状が届く。初めて明かされたゆあんの正体。  それはーーーー？  そして「忘れた恋のはじめ方」に隠された秘密が、凛、松本、駿平、美帆、菜々子、多田、それぞれの運命を動かす。  事態は衝撃の結末へーーーー!!木下 凛（32歳）…仲間由紀恵  松本直哉（43歳）…佐々木蔵之介  渡辺美帆（32歳）…市川実日子  槙野駿平（24歳）…永山絢斗    神山純一郎（40歳）…橋本じゅん  木下結衣（17歳）…本田翼  木下樹（14歳）…西山潤  山田拓也（17歳）…永瀬匡    小早川隆志（34歳）…森山栄治   川島サオリ（30歳）…能世あんな中里圭吾…草刈正雄（特別出演）    雨宮博美（52歳）…室井滋    多田耕太（43歳）…田中裕二（爆笑問題）  相沢菜々子（42歳）…りょう  (他)『Be...』Ms．OOJA  凛（仲間由紀恵）への気持ちに自信をなくしてしまった松本（佐々木蔵之介）。  結婚を重荷と感じていた松本は、凛が結婚をしたがっていると思い込んでしまい、凛に対して距離を置きはじめてしまう。また、多田（田中裕二）の気持ちを知った菜々子（りょう）は、多田の幸せのためにも、多田とは二度と会わないと決意。  残業中の駿平（永山絢斗）と会った凛は、松本が自分に重みを感じていることを知り、「恋なんか、するんじゃなかった…」と、駿平に涙を見せ、駿平は優しく凛を抱きしめるのだった。</v>
      </c>
      <c r="N5684" s="2"/>
      <c r="O5684" s="2"/>
      <c r="P5684" s="1"/>
      <c r="Q5684" s="1"/>
      <c r="R5684" s="1"/>
      <c r="S5684" s="1"/>
      <c r="T5684" s="1"/>
      <c r="U5684" s="1"/>
      <c r="V5684" s="1"/>
      <c r="W5684" s="1"/>
      <c r="X5684" s="1"/>
      <c r="Y5684" s="1"/>
      <c r="Z5684" s="1"/>
      <c r="AA5684" s="1"/>
      <c r="AB5684" s="1"/>
      <c r="AC5684" s="1"/>
      <c r="AD5684" s="1"/>
      <c r="AE5684" s="1"/>
      <c r="AF5684" s="1"/>
      <c r="AG5684" s="1"/>
      <c r="AH5684" s="1"/>
      <c r="AI5684" s="1"/>
      <c r="AJ5684" s="1"/>
      <c r="AK5684" s="1"/>
      <c r="AL5684" s="1"/>
      <c r="AM5684" s="1"/>
      <c r="AN5684" s="1"/>
      <c r="AO5684" s="1"/>
      <c r="AP5684" s="1"/>
      <c r="AQ5684" s="1"/>
      <c r="AR5684" s="1"/>
      <c r="AS5684" s="1"/>
      <c r="AT5684" s="1"/>
      <c r="AU5684" s="1"/>
      <c r="AV5684" s="1"/>
      <c r="AW5684" s="1"/>
      <c r="AX5684" s="1"/>
      <c r="AY5684" s="1"/>
      <c r="AZ5684" s="1"/>
      <c r="BA5684" s="1"/>
      <c r="BB5684" s="1"/>
    </row>
    <row r="5685" ht="204.75" customHeight="1">
      <c r="A5685" s="1">
        <v>4053.0</v>
      </c>
      <c r="B5685" s="2" t="s">
        <v>15540</v>
      </c>
      <c r="C5685" s="2">
        <f>IFERROR(__xludf.DUMMYFUNCTION("split(B5685,""_"")"),1201.0)</f>
        <v>1201</v>
      </c>
      <c r="D5685" s="2" t="str">
        <f>IFERROR(__xludf.DUMMYFUNCTION("""COMPUTED_VALUE"""),"TBS")</f>
        <v>TBS</v>
      </c>
      <c r="E5685" s="2" t="str">
        <f>IFERROR(__xludf.DUMMYFUNCTION("""COMPUTED_VALUE"""),"日21")</f>
        <v>日21</v>
      </c>
      <c r="F5685" s="2" t="s">
        <v>15541</v>
      </c>
      <c r="G5685" s="2" t="s">
        <v>15542</v>
      </c>
      <c r="H5685" s="1">
        <v>1.0</v>
      </c>
      <c r="J5685" s="1" t="s">
        <v>4</v>
      </c>
      <c r="K5685" s="2" t="s">
        <v>15543</v>
      </c>
      <c r="L5685" s="2"/>
      <c r="M5685" s="2" t="str">
        <f>IFERROR(__xludf.DUMMYFUNCTION("split(split(K5685,""【"",false),""公式LINE"",false)"),"“沖縄返還密約事件”と呼ばれる約40年前に実際に起こった事件を基にした物語。  理想と欲望がせめぎあう新聞業界において、政治部のエース記者・弓成が、理想と信念で“沖縄返還”の裏側に潜む国家権力の欺瞞を暴いていく。  しかし権力の逆鱗にふれた弓成は、ほんのわずかな綻びがきっかけでスキを巧みにつかれる。激しい巻き返しにあい、やがて一大スキャンダルの渦中の人となる…。本木雅弘  松たか子  真木よう子    大森南朋  　◆  松重豊  北村有起哉  遠藤雄弥  杉本哲太    石橋凌  升毅    長谷川博己"&amp;"  原田泰造    柄本明  北大路欣也")</f>
        <v>“沖縄返還密約事件”と呼ばれる約40年前に実際に起こった事件を基にした物語。  理想と欲望がせめぎあう新聞業界において、政治部のエース記者・弓成が、理想と信念で“沖縄返還”の裏側に潜む国家権力の欺瞞を暴いていく。  しかし権力の逆鱗にふれた弓成は、ほんのわずかな綻びがきっかけでスキを巧みにつかれる。激しい巻き返しにあい、やがて一大スキャンダルの渦中の人となる…。本木雅弘  松たか子  真木よう子    大森南朋  　◆  松重豊  北村有起哉  遠藤雄弥  杉本哲太    石橋凌  升毅    長谷川博己  原田泰造    柄本明  北大路欣也</v>
      </c>
      <c r="N5685" s="2"/>
      <c r="O5685" s="2"/>
      <c r="P5685" s="1"/>
      <c r="Q5685" s="1"/>
      <c r="R5685" s="1"/>
      <c r="S5685" s="1"/>
      <c r="T5685" s="1"/>
      <c r="U5685" s="1"/>
      <c r="V5685" s="1"/>
      <c r="W5685" s="1"/>
      <c r="X5685" s="1"/>
      <c r="Y5685" s="1"/>
      <c r="Z5685" s="1"/>
      <c r="AA5685" s="1"/>
      <c r="AB5685" s="1"/>
      <c r="AC5685" s="1"/>
      <c r="AD5685" s="1"/>
      <c r="AE5685" s="1"/>
      <c r="AF5685" s="1"/>
      <c r="AG5685" s="1"/>
      <c r="AH5685" s="1"/>
      <c r="AI5685" s="1"/>
      <c r="AJ5685" s="1"/>
      <c r="AK5685" s="1"/>
      <c r="AL5685" s="1"/>
      <c r="AM5685" s="1"/>
      <c r="AN5685" s="1"/>
      <c r="AO5685" s="1"/>
      <c r="AP5685" s="1"/>
      <c r="AQ5685" s="1"/>
      <c r="AR5685" s="1"/>
      <c r="AS5685" s="1"/>
      <c r="AT5685" s="1"/>
      <c r="AU5685" s="1"/>
      <c r="AV5685" s="1"/>
      <c r="AW5685" s="1"/>
      <c r="AX5685" s="1"/>
      <c r="AY5685" s="1"/>
      <c r="AZ5685" s="1"/>
      <c r="BA5685" s="1"/>
      <c r="BB5685" s="1"/>
    </row>
    <row r="5686" ht="204.75" customHeight="1">
      <c r="A5686" s="1">
        <v>4054.0</v>
      </c>
      <c r="B5686" s="2" t="s">
        <v>15540</v>
      </c>
      <c r="C5686" s="2">
        <f>IFERROR(__xludf.DUMMYFUNCTION("split(B5686,""_"")"),1201.0)</f>
        <v>1201</v>
      </c>
      <c r="D5686" s="2" t="str">
        <f>IFERROR(__xludf.DUMMYFUNCTION("""COMPUTED_VALUE"""),"TBS")</f>
        <v>TBS</v>
      </c>
      <c r="E5686" s="2" t="str">
        <f>IFERROR(__xludf.DUMMYFUNCTION("""COMPUTED_VALUE"""),"日21")</f>
        <v>日21</v>
      </c>
      <c r="F5686" s="2" t="s">
        <v>15541</v>
      </c>
      <c r="G5686" s="2" t="s">
        <v>15544</v>
      </c>
      <c r="H5686" s="1">
        <v>2.0</v>
      </c>
      <c r="J5686" s="1" t="s">
        <v>11</v>
      </c>
      <c r="K5686" s="2" t="s">
        <v>15545</v>
      </c>
      <c r="L5686" s="2"/>
      <c r="M5686" s="2" t="str">
        <f>IFERROR(__xludf.DUMMYFUNCTION("split(split(K5686,""【"",false),""公式LINE"",false)"),"“沖縄返還密約事件”と呼ばれる約40年前に実際に起こった事件を基にした物語。  ある夜をきっかけに弓成に特別な感情を抱いた昭子は、沖縄返還の裏に密約があった事を示す機密文書を弓成に託す。それはやがて、国家権力との激しい攻防戦へと発展していくが、攻めあぐねる弓成の前に一人の男（市川亀治郎）が現れる。しかし、その男の予想だにしなかった行動から事態は急転し・・・。本木雅弘  松たか子  真木よう子  大森南朋  　◆  松重豊  北村有起哉  遠藤雄弥  杉本哲太    石橋凌  升毅    市川亀治郎  橋爪"&amp;"功    長谷川博己    原田泰造    笹野高史  柄本明  北大路欣也")</f>
        <v>“沖縄返還密約事件”と呼ばれる約40年前に実際に起こった事件を基にした物語。  ある夜をきっかけに弓成に特別な感情を抱いた昭子は、沖縄返還の裏に密約があった事を示す機密文書を弓成に託す。それはやがて、国家権力との激しい攻防戦へと発展していくが、攻めあぐねる弓成の前に一人の男（市川亀治郎）が現れる。しかし、その男の予想だにしなかった行動から事態は急転し・・・。本木雅弘  松たか子  真木よう子  大森南朋  　◆  松重豊  北村有起哉  遠藤雄弥  杉本哲太    石橋凌  升毅    市川亀治郎  橋爪功    長谷川博己    原田泰造    笹野高史  柄本明  北大路欣也</v>
      </c>
      <c r="N5686" s="2"/>
      <c r="O5686" s="2"/>
      <c r="P5686" s="1"/>
      <c r="Q5686" s="1"/>
      <c r="R5686" s="1"/>
      <c r="S5686" s="1"/>
      <c r="T5686" s="1"/>
      <c r="U5686" s="1"/>
      <c r="V5686" s="1"/>
      <c r="W5686" s="1"/>
      <c r="X5686" s="1"/>
      <c r="Y5686" s="1"/>
      <c r="Z5686" s="1"/>
      <c r="AA5686" s="1"/>
      <c r="AB5686" s="1"/>
      <c r="AC5686" s="1"/>
      <c r="AD5686" s="1"/>
      <c r="AE5686" s="1"/>
      <c r="AF5686" s="1"/>
      <c r="AG5686" s="1"/>
      <c r="AH5686" s="1"/>
      <c r="AI5686" s="1"/>
      <c r="AJ5686" s="1"/>
      <c r="AK5686" s="1"/>
      <c r="AL5686" s="1"/>
      <c r="AM5686" s="1"/>
      <c r="AN5686" s="1"/>
      <c r="AO5686" s="1"/>
      <c r="AP5686" s="1"/>
      <c r="AQ5686" s="1"/>
      <c r="AR5686" s="1"/>
      <c r="AS5686" s="1"/>
      <c r="AT5686" s="1"/>
      <c r="AU5686" s="1"/>
      <c r="AV5686" s="1"/>
      <c r="AW5686" s="1"/>
      <c r="AX5686" s="1"/>
      <c r="AY5686" s="1"/>
      <c r="AZ5686" s="1"/>
      <c r="BA5686" s="1"/>
      <c r="BB5686" s="1"/>
    </row>
    <row r="5687" ht="204.75" customHeight="1">
      <c r="A5687" s="1">
        <v>4055.0</v>
      </c>
      <c r="B5687" s="2" t="s">
        <v>15540</v>
      </c>
      <c r="C5687" s="2">
        <f>IFERROR(__xludf.DUMMYFUNCTION("split(B5687,""_"")"),1201.0)</f>
        <v>1201</v>
      </c>
      <c r="D5687" s="2" t="str">
        <f>IFERROR(__xludf.DUMMYFUNCTION("""COMPUTED_VALUE"""),"TBS")</f>
        <v>TBS</v>
      </c>
      <c r="E5687" s="2" t="str">
        <f>IFERROR(__xludf.DUMMYFUNCTION("""COMPUTED_VALUE"""),"日21")</f>
        <v>日21</v>
      </c>
      <c r="F5687" s="2" t="s">
        <v>15541</v>
      </c>
      <c r="G5687" s="2" t="s">
        <v>15546</v>
      </c>
      <c r="H5687" s="1">
        <v>3.0</v>
      </c>
      <c r="J5687" s="1" t="s">
        <v>11</v>
      </c>
      <c r="K5687" s="2" t="s">
        <v>15547</v>
      </c>
      <c r="L5687" s="2"/>
      <c r="M5687" s="2" t="str">
        <f>IFERROR(__xludf.DUMMYFUNCTION("split(split(K5687,""【"",false),""公式LINE"",false)"),"国会で密約文書の存在を追及した横溝議員（市川亀治郎）は、弓成（本木雅弘）から預かった文書そのものを衆目に晒してしまう。出所の発覚を恐れる弓成は、横溝から文書を取り返そうと走り回るがなかなか接触できない。一方、外務省では一斉に機密漏洩の犯人探しが始まり、昭子は徐々に追い込まれていく。焦った昭子から電話を受けた由里子は、切り際に舌打ちをされ不安が募る。数日後の深夜、弓成は一本の不穏な電話を受ける。本木雅弘  松たか子  真木よう子   ◆   大森南朋  松重豊  北村有起哉  遠藤雄弥  梶原善  でんでん"&amp;"  杉本哲太  石橋凌  升毅  小松和重  石丸謙二郎  橋爪功  吉村実子  今井悠貴  山崎竜太郎  山本圭  高林由紀子  柴本幸  長谷川博己  原田泰造（ネプチューン）  斎藤歩  眞島秀和  伊武雅刀  小市慢太郎  浅野和之  柳葉敏郎  吹越満  市川亀治郎  大和田伸也本田博太郎  不破万作  笹野高史  柄本明   ◆   北大路欣也")</f>
        <v>国会で密約文書の存在を追及した横溝議員（市川亀治郎）は、弓成（本木雅弘）から預かった文書そのものを衆目に晒してしまう。出所の発覚を恐れる弓成は、横溝から文書を取り返そうと走り回るがなかなか接触できない。一方、外務省では一斉に機密漏洩の犯人探しが始まり、昭子は徐々に追い込まれていく。焦った昭子から電話を受けた由里子は、切り際に舌打ちをされ不安が募る。数日後の深夜、弓成は一本の不穏な電話を受ける。本木雅弘  松たか子  真木よう子   ◆   大森南朋  松重豊  北村有起哉  遠藤雄弥  梶原善  でんでん  杉本哲太  石橋凌  升毅  小松和重  石丸謙二郎  橋爪功  吉村実子  今井悠貴  山崎竜太郎  山本圭  高林由紀子  柴本幸  長谷川博己  原田泰造（ネプチューン）  斎藤歩  眞島秀和  伊武雅刀  小市慢太郎  浅野和之  柳葉敏郎  吹越満  市川亀治郎  大和田伸也本田博太郎  不破万作  笹野高史  柄本明   ◆   北大路欣也</v>
      </c>
      <c r="N5687" s="2"/>
      <c r="O5687" s="2"/>
      <c r="P5687" s="1"/>
      <c r="Q5687" s="1"/>
      <c r="R5687" s="1"/>
      <c r="S5687" s="1"/>
      <c r="T5687" s="1"/>
      <c r="U5687" s="1"/>
      <c r="V5687" s="1"/>
      <c r="W5687" s="1"/>
      <c r="X5687" s="1"/>
      <c r="Y5687" s="1"/>
      <c r="Z5687" s="1"/>
      <c r="AA5687" s="1"/>
      <c r="AB5687" s="1"/>
      <c r="AC5687" s="1"/>
      <c r="AD5687" s="1"/>
      <c r="AE5687" s="1"/>
      <c r="AF5687" s="1"/>
      <c r="AG5687" s="1"/>
      <c r="AH5687" s="1"/>
      <c r="AI5687" s="1"/>
      <c r="AJ5687" s="1"/>
      <c r="AK5687" s="1"/>
      <c r="AL5687" s="1"/>
      <c r="AM5687" s="1"/>
      <c r="AN5687" s="1"/>
      <c r="AO5687" s="1"/>
      <c r="AP5687" s="1"/>
      <c r="AQ5687" s="1"/>
      <c r="AR5687" s="1"/>
      <c r="AS5687" s="1"/>
      <c r="AT5687" s="1"/>
      <c r="AU5687" s="1"/>
      <c r="AV5687" s="1"/>
      <c r="AW5687" s="1"/>
      <c r="AX5687" s="1"/>
      <c r="AY5687" s="1"/>
      <c r="AZ5687" s="1"/>
      <c r="BA5687" s="1"/>
      <c r="BB5687" s="1"/>
    </row>
    <row r="5688" ht="204.75" customHeight="1">
      <c r="A5688" s="1">
        <v>4056.0</v>
      </c>
      <c r="B5688" s="2" t="s">
        <v>15540</v>
      </c>
      <c r="C5688" s="2">
        <f>IFERROR(__xludf.DUMMYFUNCTION("split(B5688,""_"")"),1201.0)</f>
        <v>1201</v>
      </c>
      <c r="D5688" s="2" t="str">
        <f>IFERROR(__xludf.DUMMYFUNCTION("""COMPUTED_VALUE"""),"TBS")</f>
        <v>TBS</v>
      </c>
      <c r="E5688" s="2" t="str">
        <f>IFERROR(__xludf.DUMMYFUNCTION("""COMPUTED_VALUE"""),"日21")</f>
        <v>日21</v>
      </c>
      <c r="F5688" s="2" t="s">
        <v>15541</v>
      </c>
      <c r="G5688" s="2" t="s">
        <v>15548</v>
      </c>
      <c r="H5688" s="1">
        <v>4.0</v>
      </c>
      <c r="J5688" s="1" t="s">
        <v>11</v>
      </c>
      <c r="K5688" s="2" t="s">
        <v>15549</v>
      </c>
      <c r="L5688" s="2"/>
      <c r="M5688" s="2" t="str">
        <f>IFERROR(__xludf.DUMMYFUNCTION("split(split(K5688,""【"",false),""公式LINE"",false)"),"弓成と昭子の屈辱の取調べが始まった。新聞各紙は政府の不当逮捕と主張、一大キャンペーンが展開され始める。一方、由里子は家宅捜査にも気丈に対応。不安を抱えながら夫の帰りを待ち続けていた。弓成を責める供述をしない昭子に、検察が責めあぐねる中、弁護人の坂元は、「悪いのは弓成で、貴方は被害者だ」と巧みに吹き込んでいく。その頃、黙秘を貫く弓成に検察はあるモノを差し出す。それは弓成を揺さぶる衝撃的なモノで…。本木雅弘  松たか子  真木よう子   ◆   大森南朋  松重豊  北村有起哉  遠藤雄弥  梶原善  でんで"&amp;"ん  杉本哲太  石橋凌  升毅  小松和重  石丸謙二郎  橋爪功  吉村実子  今井悠貴  山崎竜太郎  山本圭  高林由紀子  柴本幸  長谷川博己  原田泰造（ネプチューン）  斎藤歩  眞島秀和  伊武雅刀  小市慢太郎  浅野和之  柳葉敏郎  吹越満  市川亀治郎  大和田伸也本田博太郎  不破万作  笹野高史  柄本明   ◆   北大路欣也")</f>
        <v>弓成と昭子の屈辱の取調べが始まった。新聞各紙は政府の不当逮捕と主張、一大キャンペーンが展開され始める。一方、由里子は家宅捜査にも気丈に対応。不安を抱えながら夫の帰りを待ち続けていた。弓成を責める供述をしない昭子に、検察が責めあぐねる中、弁護人の坂元は、「悪いのは弓成で、貴方は被害者だ」と巧みに吹き込んでいく。その頃、黙秘を貫く弓成に検察はあるモノを差し出す。それは弓成を揺さぶる衝撃的なモノで…。本木雅弘  松たか子  真木よう子   ◆   大森南朋  松重豊  北村有起哉  遠藤雄弥  梶原善  でんでん  杉本哲太  石橋凌  升毅  小松和重  石丸謙二郎  橋爪功  吉村実子  今井悠貴  山崎竜太郎  山本圭  高林由紀子  柴本幸  長谷川博己  原田泰造（ネプチューン）  斎藤歩  眞島秀和  伊武雅刀  小市慢太郎  浅野和之  柳葉敏郎  吹越満  市川亀治郎  大和田伸也本田博太郎  不破万作  笹野高史  柄本明   ◆   北大路欣也</v>
      </c>
      <c r="N5688" s="2"/>
      <c r="O5688" s="2"/>
      <c r="P5688" s="1"/>
      <c r="Q5688" s="1"/>
      <c r="R5688" s="1"/>
      <c r="S5688" s="1"/>
      <c r="T5688" s="1"/>
      <c r="U5688" s="1"/>
      <c r="V5688" s="1"/>
      <c r="W5688" s="1"/>
      <c r="X5688" s="1"/>
      <c r="Y5688" s="1"/>
      <c r="Z5688" s="1"/>
      <c r="AA5688" s="1"/>
      <c r="AB5688" s="1"/>
      <c r="AC5688" s="1"/>
      <c r="AD5688" s="1"/>
      <c r="AE5688" s="1"/>
      <c r="AF5688" s="1"/>
      <c r="AG5688" s="1"/>
      <c r="AH5688" s="1"/>
      <c r="AI5688" s="1"/>
      <c r="AJ5688" s="1"/>
      <c r="AK5688" s="1"/>
      <c r="AL5688" s="1"/>
      <c r="AM5688" s="1"/>
      <c r="AN5688" s="1"/>
      <c r="AO5688" s="1"/>
      <c r="AP5688" s="1"/>
      <c r="AQ5688" s="1"/>
      <c r="AR5688" s="1"/>
      <c r="AS5688" s="1"/>
      <c r="AT5688" s="1"/>
      <c r="AU5688" s="1"/>
      <c r="AV5688" s="1"/>
      <c r="AW5688" s="1"/>
      <c r="AX5688" s="1"/>
      <c r="AY5688" s="1"/>
      <c r="AZ5688" s="1"/>
      <c r="BA5688" s="1"/>
      <c r="BB5688" s="1"/>
    </row>
    <row r="5689" ht="204.75" customHeight="1">
      <c r="A5689" s="1">
        <v>4057.0</v>
      </c>
      <c r="B5689" s="2" t="s">
        <v>15540</v>
      </c>
      <c r="C5689" s="2">
        <f>IFERROR(__xludf.DUMMYFUNCTION("split(B5689,""_"")"),1201.0)</f>
        <v>1201</v>
      </c>
      <c r="D5689" s="2" t="str">
        <f>IFERROR(__xludf.DUMMYFUNCTION("""COMPUTED_VALUE"""),"TBS")</f>
        <v>TBS</v>
      </c>
      <c r="E5689" s="2" t="str">
        <f>IFERROR(__xludf.DUMMYFUNCTION("""COMPUTED_VALUE"""),"日21")</f>
        <v>日21</v>
      </c>
      <c r="F5689" s="2" t="s">
        <v>15541</v>
      </c>
      <c r="G5689" s="2" t="s">
        <v>15550</v>
      </c>
      <c r="H5689" s="1">
        <v>5.0</v>
      </c>
      <c r="J5689" s="1" t="s">
        <v>11</v>
      </c>
      <c r="K5689" s="2" t="s">
        <v>15551</v>
      </c>
      <c r="L5689" s="2"/>
      <c r="M5689" s="2" t="str">
        <f>IFERROR(__xludf.DUMMYFUNCTION("split(split(K5689,""【"",false),""公式LINE"",false)"),"「被告人 弓成亮太（本木雅弘）は、被告人 三木昭子（真木よう子）と密かに情を通じ…」争点を密約問題から男女問題に巧みにすり替えた起訴状は各方面に多大な衝撃を与えた。  マスコミは手のひらを返したように弓成を責め始め一大スキャンダルに発展、夫の裏切りに傷ついた由里子（松たか子）は、子供達を連れて家を出て行く。  そんな時、マスコミに追いかけられる由里子を助け出したのは従兄弟の鯉沼玲（長谷川博己）だった。本木雅弘  松たか子  真木よう子   ◆   大森南朋  ーーーー  松重豊  北村有起哉  遠藤雄弥 "&amp;" 杉本哲太    長谷川博己  原田泰造    柳葉敏郎  吹越満  浅野和之  伊武雅刀    本田博太郎  笹野高史  柄本明   ◆   北大路欣也")</f>
        <v>「被告人 弓成亮太（本木雅弘）は、被告人 三木昭子（真木よう子）と密かに情を通じ…」争点を密約問題から男女問題に巧みにすり替えた起訴状は各方面に多大な衝撃を与えた。  マスコミは手のひらを返したように弓成を責め始め一大スキャンダルに発展、夫の裏切りに傷ついた由里子（松たか子）は、子供達を連れて家を出て行く。  そんな時、マスコミに追いかけられる由里子を助け出したのは従兄弟の鯉沼玲（長谷川博己）だった。本木雅弘  松たか子  真木よう子   ◆   大森南朋  ーーーー  松重豊  北村有起哉  遠藤雄弥  杉本哲太    長谷川博己  原田泰造    柳葉敏郎  吹越満  浅野和之  伊武雅刀    本田博太郎  笹野高史  柄本明   ◆   北大路欣也</v>
      </c>
      <c r="N5689" s="2"/>
      <c r="O5689" s="2"/>
      <c r="P5689" s="1"/>
      <c r="Q5689" s="1"/>
      <c r="R5689" s="1"/>
      <c r="S5689" s="1"/>
      <c r="T5689" s="1"/>
      <c r="U5689" s="1"/>
      <c r="V5689" s="1"/>
      <c r="W5689" s="1"/>
      <c r="X5689" s="1"/>
      <c r="Y5689" s="1"/>
      <c r="Z5689" s="1"/>
      <c r="AA5689" s="1"/>
      <c r="AB5689" s="1"/>
      <c r="AC5689" s="1"/>
      <c r="AD5689" s="1"/>
      <c r="AE5689" s="1"/>
      <c r="AF5689" s="1"/>
      <c r="AG5689" s="1"/>
      <c r="AH5689" s="1"/>
      <c r="AI5689" s="1"/>
      <c r="AJ5689" s="1"/>
      <c r="AK5689" s="1"/>
      <c r="AL5689" s="1"/>
      <c r="AM5689" s="1"/>
      <c r="AN5689" s="1"/>
      <c r="AO5689" s="1"/>
      <c r="AP5689" s="1"/>
      <c r="AQ5689" s="1"/>
      <c r="AR5689" s="1"/>
      <c r="AS5689" s="1"/>
      <c r="AT5689" s="1"/>
      <c r="AU5689" s="1"/>
      <c r="AV5689" s="1"/>
      <c r="AW5689" s="1"/>
      <c r="AX5689" s="1"/>
      <c r="AY5689" s="1"/>
      <c r="AZ5689" s="1"/>
      <c r="BA5689" s="1"/>
      <c r="BB5689" s="1"/>
    </row>
    <row r="5690" ht="204.75" customHeight="1">
      <c r="A5690" s="1">
        <v>4058.0</v>
      </c>
      <c r="B5690" s="2" t="s">
        <v>15540</v>
      </c>
      <c r="C5690" s="2">
        <f>IFERROR(__xludf.DUMMYFUNCTION("split(B5690,""_"")"),1201.0)</f>
        <v>1201</v>
      </c>
      <c r="D5690" s="2" t="str">
        <f>IFERROR(__xludf.DUMMYFUNCTION("""COMPUTED_VALUE"""),"TBS")</f>
        <v>TBS</v>
      </c>
      <c r="E5690" s="2" t="str">
        <f>IFERROR(__xludf.DUMMYFUNCTION("""COMPUTED_VALUE"""),"日21")</f>
        <v>日21</v>
      </c>
      <c r="F5690" s="2" t="s">
        <v>15541</v>
      </c>
      <c r="G5690" s="2" t="s">
        <v>15552</v>
      </c>
      <c r="H5690" s="1">
        <v>6.0</v>
      </c>
      <c r="J5690" s="1" t="s">
        <v>11</v>
      </c>
      <c r="K5690" s="2" t="s">
        <v>15553</v>
      </c>
      <c r="L5690" s="2"/>
      <c r="M5690" s="2" t="str">
        <f>IFERROR(__xludf.DUMMYFUNCTION("split(split(K5690,""【"",false),""公式LINE"",false)"),"弓成（本木雅弘）と昭子（真木よう子）の裁判が始まった。両者は真っ向から対立する。しかし法廷に現れた昭子のあまりに痛々しくやつれ果てた様子に、男女関係こそがこの事件の本質であるかのように世間に印象付けられていった。  弓成と由里子（松たか子）は、次男の純二が学校で「ハレンチ記者だ」と同級生に言われたことが原因で喧嘩をしたことを聞き、謝罪にいく。  原因が自分にあると感じた弓成が向かった先は…。本木雅弘  松たか子  真木よう子   ◆   大森南朋  ーーーー  松重豊  北村有起哉    長谷川博己  原"&amp;"田泰造    石橋凌  升 毅    柳葉敏郎  吹越満  浅野和之  伊武雅刀    本田博太郎  笹野高史  柄本明   ◆   北大路欣也")</f>
        <v>弓成（本木雅弘）と昭子（真木よう子）の裁判が始まった。両者は真っ向から対立する。しかし法廷に現れた昭子のあまりに痛々しくやつれ果てた様子に、男女関係こそがこの事件の本質であるかのように世間に印象付けられていった。  弓成と由里子（松たか子）は、次男の純二が学校で「ハレンチ記者だ」と同級生に言われたことが原因で喧嘩をしたことを聞き、謝罪にいく。  原因が自分にあると感じた弓成が向かった先は…。本木雅弘  松たか子  真木よう子   ◆   大森南朋  ーーーー  松重豊  北村有起哉    長谷川博己  原田泰造    石橋凌  升 毅    柳葉敏郎  吹越満  浅野和之  伊武雅刀    本田博太郎  笹野高史  柄本明   ◆   北大路欣也</v>
      </c>
      <c r="N5690" s="2"/>
      <c r="O5690" s="2"/>
      <c r="P5690" s="1"/>
      <c r="Q5690" s="1"/>
      <c r="R5690" s="1"/>
      <c r="S5690" s="1"/>
      <c r="T5690" s="1"/>
      <c r="U5690" s="1"/>
      <c r="V5690" s="1"/>
      <c r="W5690" s="1"/>
      <c r="X5690" s="1"/>
      <c r="Y5690" s="1"/>
      <c r="Z5690" s="1"/>
      <c r="AA5690" s="1"/>
      <c r="AB5690" s="1"/>
      <c r="AC5690" s="1"/>
      <c r="AD5690" s="1"/>
      <c r="AE5690" s="1"/>
      <c r="AF5690" s="1"/>
      <c r="AG5690" s="1"/>
      <c r="AH5690" s="1"/>
      <c r="AI5690" s="1"/>
      <c r="AJ5690" s="1"/>
      <c r="AK5690" s="1"/>
      <c r="AL5690" s="1"/>
      <c r="AM5690" s="1"/>
      <c r="AN5690" s="1"/>
      <c r="AO5690" s="1"/>
      <c r="AP5690" s="1"/>
      <c r="AQ5690" s="1"/>
      <c r="AR5690" s="1"/>
      <c r="AS5690" s="1"/>
      <c r="AT5690" s="1"/>
      <c r="AU5690" s="1"/>
      <c r="AV5690" s="1"/>
      <c r="AW5690" s="1"/>
      <c r="AX5690" s="1"/>
      <c r="AY5690" s="1"/>
      <c r="AZ5690" s="1"/>
      <c r="BA5690" s="1"/>
      <c r="BB5690" s="1"/>
    </row>
    <row r="5691" ht="204.75" customHeight="1">
      <c r="A5691" s="1">
        <v>4059.0</v>
      </c>
      <c r="B5691" s="2" t="s">
        <v>15540</v>
      </c>
      <c r="C5691" s="2">
        <f>IFERROR(__xludf.DUMMYFUNCTION("split(B5691,""_"")"),1201.0)</f>
        <v>1201</v>
      </c>
      <c r="D5691" s="2" t="str">
        <f>IFERROR(__xludf.DUMMYFUNCTION("""COMPUTED_VALUE"""),"TBS")</f>
        <v>TBS</v>
      </c>
      <c r="E5691" s="2" t="str">
        <f>IFERROR(__xludf.DUMMYFUNCTION("""COMPUTED_VALUE"""),"日21")</f>
        <v>日21</v>
      </c>
      <c r="F5691" s="2" t="s">
        <v>15541</v>
      </c>
      <c r="G5691" s="2" t="s">
        <v>15554</v>
      </c>
      <c r="H5691" s="1">
        <v>7.0</v>
      </c>
      <c r="J5691" s="1" t="s">
        <v>11</v>
      </c>
      <c r="K5691" s="2" t="s">
        <v>15555</v>
      </c>
      <c r="L5691" s="2"/>
      <c r="M5691" s="2" t="str">
        <f>IFERROR(__xludf.DUMMYFUNCTION("split(split(K5691,""【"",false),""公式LINE"",false)"),"弓成（本木雅弘）と三木昭子（真木よう子）の裁判は佳境に入っていた。  由里子（松たか子）は悲壮な決意で、昭子のウソを暴く証拠を大野木(柳葉敏郎)に託し、夫の裁判に立ち会う。裁判所前で出会い、言葉を交わすことなく激しく見つめあう由里子と昭子。鯉沼（長谷川博己）はそんな由里子をひたすら見守っていた。  そして、ついに判決の時が訪れる。弓成、そして昭子に下された、運命を分ける判決とは！！本木雅弘  松たか子  真木よう子  ◆  大森南朋    松重豊  北村有起哉  長谷川博己  原田泰造  柳葉敏郎  吹越"&amp;"満  浅野和之  伊武雅刀  本田博太郎  笹野高史  柄本明  ◆  北大路欣也")</f>
        <v>弓成（本木雅弘）と三木昭子（真木よう子）の裁判は佳境に入っていた。  由里子（松たか子）は悲壮な決意で、昭子のウソを暴く証拠を大野木(柳葉敏郎)に託し、夫の裁判に立ち会う。裁判所前で出会い、言葉を交わすことなく激しく見つめあう由里子と昭子。鯉沼（長谷川博己）はそんな由里子をひたすら見守っていた。  そして、ついに判決の時が訪れる。弓成、そして昭子に下された、運命を分ける判決とは！！本木雅弘  松たか子  真木よう子  ◆  大森南朋    松重豊  北村有起哉  長谷川博己  原田泰造  柳葉敏郎  吹越満  浅野和之  伊武雅刀  本田博太郎  笹野高史  柄本明  ◆  北大路欣也</v>
      </c>
      <c r="N5691" s="2"/>
      <c r="O5691" s="2"/>
      <c r="P5691" s="1"/>
      <c r="Q5691" s="1"/>
      <c r="R5691" s="1"/>
      <c r="S5691" s="1"/>
      <c r="T5691" s="1"/>
      <c r="U5691" s="1"/>
      <c r="V5691" s="1"/>
      <c r="W5691" s="1"/>
      <c r="X5691" s="1"/>
      <c r="Y5691" s="1"/>
      <c r="Z5691" s="1"/>
      <c r="AA5691" s="1"/>
      <c r="AB5691" s="1"/>
      <c r="AC5691" s="1"/>
      <c r="AD5691" s="1"/>
      <c r="AE5691" s="1"/>
      <c r="AF5691" s="1"/>
      <c r="AG5691" s="1"/>
      <c r="AH5691" s="1"/>
      <c r="AI5691" s="1"/>
      <c r="AJ5691" s="1"/>
      <c r="AK5691" s="1"/>
      <c r="AL5691" s="1"/>
      <c r="AM5691" s="1"/>
      <c r="AN5691" s="1"/>
      <c r="AO5691" s="1"/>
      <c r="AP5691" s="1"/>
      <c r="AQ5691" s="1"/>
      <c r="AR5691" s="1"/>
      <c r="AS5691" s="1"/>
      <c r="AT5691" s="1"/>
      <c r="AU5691" s="1"/>
      <c r="AV5691" s="1"/>
      <c r="AW5691" s="1"/>
      <c r="AX5691" s="1"/>
      <c r="AY5691" s="1"/>
      <c r="AZ5691" s="1"/>
      <c r="BA5691" s="1"/>
      <c r="BB5691" s="1"/>
    </row>
    <row r="5692" ht="204.75" customHeight="1">
      <c r="A5692" s="1">
        <v>4060.0</v>
      </c>
      <c r="B5692" s="2" t="s">
        <v>15540</v>
      </c>
      <c r="C5692" s="2">
        <f>IFERROR(__xludf.DUMMYFUNCTION("split(B5692,""_"")"),1201.0)</f>
        <v>1201</v>
      </c>
      <c r="D5692" s="2" t="str">
        <f>IFERROR(__xludf.DUMMYFUNCTION("""COMPUTED_VALUE"""),"TBS")</f>
        <v>TBS</v>
      </c>
      <c r="E5692" s="2" t="str">
        <f>IFERROR(__xludf.DUMMYFUNCTION("""COMPUTED_VALUE"""),"日21")</f>
        <v>日21</v>
      </c>
      <c r="F5692" s="2" t="s">
        <v>15541</v>
      </c>
      <c r="G5692" s="2" t="s">
        <v>15556</v>
      </c>
      <c r="H5692" s="1">
        <v>8.0</v>
      </c>
      <c r="J5692" s="1" t="s">
        <v>11</v>
      </c>
      <c r="K5692" s="2" t="s">
        <v>15557</v>
      </c>
      <c r="L5692" s="2"/>
      <c r="M5692" s="2" t="str">
        <f>IFERROR(__xludf.DUMMYFUNCTION("split(split(K5692,""【"",false),""公式LINE"",false)"),"一審判決に不満を持つ昭子（真木よう子）は暴走し、週刊誌に弓成との赤裸々な告白手記を発表する。それは嘘と誇張、悪意に溢れたものだった。弓成を見る周囲の目は手のひらを返したように侮蔑に変わり、夫を信じようと懸命に耐えてきた由里子（松たか子）は絶望的な気分になる。由里子の様子を見かねた鯉沼（長谷川博己）は弓成に抗議する。  女の執念が逆転有罪へ導くのか…!?本木雅弘  松たか子  真木よう子   ◆   大森南朋  ーーーー  松重豊  北村有起哉  綿引勝彦    長谷川博己  原田泰造    鶴見辰吾  浅"&amp;"野和之  吹越満  柳葉敏郎    橋爪功   ◆   北大路欣也")</f>
        <v>一審判決に不満を持つ昭子（真木よう子）は暴走し、週刊誌に弓成との赤裸々な告白手記を発表する。それは嘘と誇張、悪意に溢れたものだった。弓成を見る周囲の目は手のひらを返したように侮蔑に変わり、夫を信じようと懸命に耐えてきた由里子（松たか子）は絶望的な気分になる。由里子の様子を見かねた鯉沼（長谷川博己）は弓成に抗議する。  女の執念が逆転有罪へ導くのか…!?本木雅弘  松たか子  真木よう子   ◆   大森南朋  ーーーー  松重豊  北村有起哉  綿引勝彦    長谷川博己  原田泰造    鶴見辰吾  浅野和之  吹越満  柳葉敏郎    橋爪功   ◆   北大路欣也</v>
      </c>
      <c r="N5692" s="2"/>
      <c r="O5692" s="2"/>
      <c r="P5692" s="1"/>
      <c r="Q5692" s="1"/>
      <c r="R5692" s="1"/>
      <c r="S5692" s="1"/>
      <c r="T5692" s="1"/>
      <c r="U5692" s="1"/>
      <c r="V5692" s="1"/>
      <c r="W5692" s="1"/>
      <c r="X5692" s="1"/>
      <c r="Y5692" s="1"/>
      <c r="Z5692" s="1"/>
      <c r="AA5692" s="1"/>
      <c r="AB5692" s="1"/>
      <c r="AC5692" s="1"/>
      <c r="AD5692" s="1"/>
      <c r="AE5692" s="1"/>
      <c r="AF5692" s="1"/>
      <c r="AG5692" s="1"/>
      <c r="AH5692" s="1"/>
      <c r="AI5692" s="1"/>
      <c r="AJ5692" s="1"/>
      <c r="AK5692" s="1"/>
      <c r="AL5692" s="1"/>
      <c r="AM5692" s="1"/>
      <c r="AN5692" s="1"/>
      <c r="AO5692" s="1"/>
      <c r="AP5692" s="1"/>
      <c r="AQ5692" s="1"/>
      <c r="AR5692" s="1"/>
      <c r="AS5692" s="1"/>
      <c r="AT5692" s="1"/>
      <c r="AU5692" s="1"/>
      <c r="AV5692" s="1"/>
      <c r="AW5692" s="1"/>
      <c r="AX5692" s="1"/>
      <c r="AY5692" s="1"/>
      <c r="AZ5692" s="1"/>
      <c r="BA5692" s="1"/>
      <c r="BB5692" s="1"/>
    </row>
    <row r="5693" ht="204.75" customHeight="1">
      <c r="A5693" s="1">
        <v>4061.0</v>
      </c>
      <c r="B5693" s="2" t="s">
        <v>15540</v>
      </c>
      <c r="C5693" s="2">
        <f>IFERROR(__xludf.DUMMYFUNCTION("split(B5693,""_"")"),1201.0)</f>
        <v>1201</v>
      </c>
      <c r="D5693" s="2" t="str">
        <f>IFERROR(__xludf.DUMMYFUNCTION("""COMPUTED_VALUE"""),"TBS")</f>
        <v>TBS</v>
      </c>
      <c r="E5693" s="2" t="str">
        <f>IFERROR(__xludf.DUMMYFUNCTION("""COMPUTED_VALUE"""),"日21")</f>
        <v>日21</v>
      </c>
      <c r="F5693" s="2" t="s">
        <v>15541</v>
      </c>
      <c r="G5693" s="2" t="s">
        <v>15558</v>
      </c>
      <c r="H5693" s="1">
        <v>9.0</v>
      </c>
      <c r="J5693" s="1" t="s">
        <v>11</v>
      </c>
      <c r="K5693" s="2" t="s">
        <v>15559</v>
      </c>
      <c r="L5693" s="2"/>
      <c r="M5693" s="2" t="str">
        <f>IFERROR(__xludf.DUMMYFUNCTION("split(split(K5693,""【"",false),""公式LINE"",false)"),"ついに終幕へー  控訴審の逆転有罪判決に到底納得のいかない大野木弁護士（柳葉敏郎）は最高裁に上告する。最高裁がどう判断するのか心配した山部（大森南朋）は昭子に会い、真実を話して欲しいと説得を試みる。その後、昭子が足を向けた先は、弓成の自宅だった。由里子と対峙する昭子。二人が秘めてきた思いが、押さえ切れずにぶつかり合う。そして、ついに最高裁の決定の日が訪れる。弓成に下された最後の審判とは！？本木雅弘  松たか子  真木よう子   ◆   大森南朋  ーーーー  松重豊  北村有起哉  綿引勝彦    長谷川"&amp;"博己  原田泰造    菅田将暉    吹越満  柳葉敏郎    橋爪　功")</f>
        <v>ついに終幕へー  控訴審の逆転有罪判決に到底納得のいかない大野木弁護士（柳葉敏郎）は最高裁に上告する。最高裁がどう判断するのか心配した山部（大森南朋）は昭子に会い、真実を話して欲しいと説得を試みる。その後、昭子が足を向けた先は、弓成の自宅だった。由里子と対峙する昭子。二人が秘めてきた思いが、押さえ切れずにぶつかり合う。そして、ついに最高裁の決定の日が訪れる。弓成に下された最後の審判とは！？本木雅弘  松たか子  真木よう子   ◆   大森南朋  ーーーー  松重豊  北村有起哉  綿引勝彦    長谷川博己  原田泰造    菅田将暉    吹越満  柳葉敏郎    橋爪　功</v>
      </c>
      <c r="N5693" s="2"/>
      <c r="O5693" s="2"/>
      <c r="P5693" s="1"/>
      <c r="Q5693" s="1"/>
      <c r="R5693" s="1"/>
      <c r="S5693" s="1"/>
      <c r="T5693" s="1"/>
      <c r="U5693" s="1"/>
      <c r="V5693" s="1"/>
      <c r="W5693" s="1"/>
      <c r="X5693" s="1"/>
      <c r="Y5693" s="1"/>
      <c r="Z5693" s="1"/>
      <c r="AA5693" s="1"/>
      <c r="AB5693" s="1"/>
      <c r="AC5693" s="1"/>
      <c r="AD5693" s="1"/>
      <c r="AE5693" s="1"/>
      <c r="AF5693" s="1"/>
      <c r="AG5693" s="1"/>
      <c r="AH5693" s="1"/>
      <c r="AI5693" s="1"/>
      <c r="AJ5693" s="1"/>
      <c r="AK5693" s="1"/>
      <c r="AL5693" s="1"/>
      <c r="AM5693" s="1"/>
      <c r="AN5693" s="1"/>
      <c r="AO5693" s="1"/>
      <c r="AP5693" s="1"/>
      <c r="AQ5693" s="1"/>
      <c r="AR5693" s="1"/>
      <c r="AS5693" s="1"/>
      <c r="AT5693" s="1"/>
      <c r="AU5693" s="1"/>
      <c r="AV5693" s="1"/>
      <c r="AW5693" s="1"/>
      <c r="AX5693" s="1"/>
      <c r="AY5693" s="1"/>
      <c r="AZ5693" s="1"/>
      <c r="BA5693" s="1"/>
      <c r="BB5693" s="1"/>
    </row>
    <row r="5694" ht="204.75" customHeight="1">
      <c r="A5694" s="1">
        <v>4062.0</v>
      </c>
      <c r="B5694" s="2" t="s">
        <v>15540</v>
      </c>
      <c r="C5694" s="2">
        <f>IFERROR(__xludf.DUMMYFUNCTION("split(B5694,""_"")"),1201.0)</f>
        <v>1201</v>
      </c>
      <c r="D5694" s="2" t="str">
        <f>IFERROR(__xludf.DUMMYFUNCTION("""COMPUTED_VALUE"""),"TBS")</f>
        <v>TBS</v>
      </c>
      <c r="E5694" s="2" t="str">
        <f>IFERROR(__xludf.DUMMYFUNCTION("""COMPUTED_VALUE"""),"日21")</f>
        <v>日21</v>
      </c>
      <c r="F5694" s="2" t="s">
        <v>15541</v>
      </c>
      <c r="G5694" s="2" t="s">
        <v>15560</v>
      </c>
      <c r="H5694" s="1">
        <v>10.0</v>
      </c>
      <c r="J5694" s="1" t="s">
        <v>4</v>
      </c>
      <c r="K5694" s="2" t="s">
        <v>15561</v>
      </c>
      <c r="L5694" s="2"/>
      <c r="M5694" s="2" t="str">
        <f>IFERROR(__xludf.DUMMYFUNCTION("split(split(K5694,""【"",false),""公式LINE"",false)"),"あれから5年…すべての過去と決別した弓成（本木雅弘）は、沖縄でただ時の流れに身を任せて暮らしていた。  そんな中、基地がある故に起きる理不尽な事件を目の当たりにするー米兵による強盗事件、米軍ヘリ墜落事故、さらには小学生への婦女暴行事件…。  「沖縄の本当の姿を知っていたのか？」と自問する弓成は、やがて大いなる決意の元、ある行動に出る…。本木雅弘  松たか子  真木よう子   ◆   大森南朋  ーーーー  原田泰造  柳葉敏郎   ◆   美波  津田寛治  三浦貴大  平泉成  津嘉山正種  リリー・フ"&amp;"ランキー  泉谷しげる")</f>
        <v>あれから5年…すべての過去と決別した弓成（本木雅弘）は、沖縄でただ時の流れに身を任せて暮らしていた。  そんな中、基地がある故に起きる理不尽な事件を目の当たりにするー米兵による強盗事件、米軍ヘリ墜落事故、さらには小学生への婦女暴行事件…。  「沖縄の本当の姿を知っていたのか？」と自問する弓成は、やがて大いなる決意の元、ある行動に出る…。本木雅弘  松たか子  真木よう子   ◆   大森南朋  ーーーー  原田泰造  柳葉敏郎   ◆   美波  津田寛治  三浦貴大  平泉成  津嘉山正種  リリー・フランキー  泉谷しげる</v>
      </c>
      <c r="N5694" s="2"/>
      <c r="O5694" s="2"/>
      <c r="P5694" s="1"/>
      <c r="Q5694" s="1"/>
      <c r="R5694" s="1"/>
      <c r="S5694" s="1"/>
      <c r="T5694" s="1"/>
      <c r="U5694" s="1"/>
      <c r="V5694" s="1"/>
      <c r="W5694" s="1"/>
      <c r="X5694" s="1"/>
      <c r="Y5694" s="1"/>
      <c r="Z5694" s="1"/>
      <c r="AA5694" s="1"/>
      <c r="AB5694" s="1"/>
      <c r="AC5694" s="1"/>
      <c r="AD5694" s="1"/>
      <c r="AE5694" s="1"/>
      <c r="AF5694" s="1"/>
      <c r="AG5694" s="1"/>
      <c r="AH5694" s="1"/>
      <c r="AI5694" s="1"/>
      <c r="AJ5694" s="1"/>
      <c r="AK5694" s="1"/>
      <c r="AL5694" s="1"/>
      <c r="AM5694" s="1"/>
      <c r="AN5694" s="1"/>
      <c r="AO5694" s="1"/>
      <c r="AP5694" s="1"/>
      <c r="AQ5694" s="1"/>
      <c r="AR5694" s="1"/>
      <c r="AS5694" s="1"/>
      <c r="AT5694" s="1"/>
      <c r="AU5694" s="1"/>
      <c r="AV5694" s="1"/>
      <c r="AW5694" s="1"/>
      <c r="AX5694" s="1"/>
      <c r="AY5694" s="1"/>
      <c r="AZ5694" s="1"/>
      <c r="BA5694" s="1"/>
      <c r="BB5694" s="1"/>
    </row>
    <row r="5695" ht="204.75" customHeight="1">
      <c r="A5695" s="1">
        <v>4130.0</v>
      </c>
      <c r="B5695" s="2" t="s">
        <v>15562</v>
      </c>
      <c r="C5695" s="2">
        <f>IFERROR(__xludf.DUMMYFUNCTION("split(B5695,""_"")"),1110.0)</f>
        <v>1110</v>
      </c>
      <c r="D5695" s="2" t="str">
        <f>IFERROR(__xludf.DUMMYFUNCTION("""COMPUTED_VALUE"""),"TBS")</f>
        <v>TBS</v>
      </c>
      <c r="E5695" s="2" t="str">
        <f>IFERROR(__xludf.DUMMYFUNCTION("""COMPUTED_VALUE"""),"木21")</f>
        <v>木21</v>
      </c>
      <c r="F5695" s="2" t="s">
        <v>15563</v>
      </c>
      <c r="G5695" s="2" t="s">
        <v>15564</v>
      </c>
      <c r="H5695" s="1">
        <v>1.0</v>
      </c>
      <c r="J5695" s="1" t="s">
        <v>4</v>
      </c>
      <c r="K5695" s="2" t="s">
        <v>15565</v>
      </c>
      <c r="L5695" s="2"/>
      <c r="M5695" s="2" t="str">
        <f>IFERROR(__xludf.DUMMYFUNCTION("split(split(K5695,""【"",false),""公式LINE"",false)"),"“ある事件”がきっかけで、無実の罪で九州北刑務所に収監された主人公・葛城アタル（市原隼人）。  恋人・由紀（福田沙紀）からの連絡で、由紀との間に生まれた娘・千春が重い心臓病に侵されたと知り、彼は脱走を決意する。  そして、ひょんなことから河島龍之介（塚本高史）・滝本空哉（上田竜也）・加賀美瞬（菅田将暉）の3人の仲間が脱走計画に加わることに。若者たちは度重なる試練を乗り越え、一路東京を目指す！葛城アタル…市原隼人  河島龍之介…塚本高史  滝本空哉…上田竜也（KAT－TUN)  加賀美瞬…菅田将暉  　　 "&amp;" 佐々岡由紀…福田沙紀  乾利夫…千葉雄大  PANDA…山崎賢人  宮本サクラ…熊田聖亜  　　　　○  佐々岡千代子…石野真子  鬼塚修造…嶋田久作  　　　　○  柳川孝太郎…渡哲也")</f>
        <v>“ある事件”がきっかけで、無実の罪で九州北刑務所に収監された主人公・葛城アタル（市原隼人）。  恋人・由紀（福田沙紀）からの連絡で、由紀との間に生まれた娘・千春が重い心臓病に侵されたと知り、彼は脱走を決意する。  そして、ひょんなことから河島龍之介（塚本高史）・滝本空哉（上田竜也）・加賀美瞬（菅田将暉）の3人の仲間が脱走計画に加わることに。若者たちは度重なる試練を乗り越え、一路東京を目指す！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v>
      </c>
      <c r="N5695" s="2"/>
      <c r="O5695" s="2"/>
      <c r="P5695" s="1"/>
      <c r="Q5695" s="1"/>
      <c r="R5695" s="1"/>
      <c r="S5695" s="1"/>
      <c r="T5695" s="1"/>
      <c r="U5695" s="1"/>
      <c r="V5695" s="1"/>
      <c r="W5695" s="1"/>
      <c r="X5695" s="1"/>
      <c r="Y5695" s="1"/>
      <c r="Z5695" s="1"/>
      <c r="AA5695" s="1"/>
      <c r="AB5695" s="1"/>
      <c r="AC5695" s="1"/>
      <c r="AD5695" s="1"/>
      <c r="AE5695" s="1"/>
      <c r="AF5695" s="1"/>
      <c r="AG5695" s="1"/>
      <c r="AH5695" s="1"/>
      <c r="AI5695" s="1"/>
      <c r="AJ5695" s="1"/>
      <c r="AK5695" s="1"/>
      <c r="AL5695" s="1"/>
      <c r="AM5695" s="1"/>
      <c r="AN5695" s="1"/>
      <c r="AO5695" s="1"/>
      <c r="AP5695" s="1"/>
      <c r="AQ5695" s="1"/>
      <c r="AR5695" s="1"/>
      <c r="AS5695" s="1"/>
      <c r="AT5695" s="1"/>
      <c r="AU5695" s="1"/>
      <c r="AV5695" s="1"/>
      <c r="AW5695" s="1"/>
      <c r="AX5695" s="1"/>
      <c r="AY5695" s="1"/>
      <c r="AZ5695" s="1"/>
      <c r="BA5695" s="1"/>
      <c r="BB5695" s="1"/>
    </row>
    <row r="5696" ht="204.75" customHeight="1">
      <c r="A5696" s="1">
        <v>4131.0</v>
      </c>
      <c r="B5696" s="2" t="s">
        <v>15562</v>
      </c>
      <c r="C5696" s="2">
        <f>IFERROR(__xludf.DUMMYFUNCTION("split(B5696,""_"")"),1110.0)</f>
        <v>1110</v>
      </c>
      <c r="D5696" s="2" t="str">
        <f>IFERROR(__xludf.DUMMYFUNCTION("""COMPUTED_VALUE"""),"TBS")</f>
        <v>TBS</v>
      </c>
      <c r="E5696" s="2" t="str">
        <f>IFERROR(__xludf.DUMMYFUNCTION("""COMPUTED_VALUE"""),"木21")</f>
        <v>木21</v>
      </c>
      <c r="F5696" s="2" t="s">
        <v>15563</v>
      </c>
      <c r="G5696" s="2" t="s">
        <v>15566</v>
      </c>
      <c r="H5696" s="1">
        <v>2.0</v>
      </c>
      <c r="J5696" s="1" t="s">
        <v>11</v>
      </c>
      <c r="K5696" s="2" t="s">
        <v>15567</v>
      </c>
      <c r="L5696" s="2"/>
      <c r="M5696" s="2" t="str">
        <f>IFERROR(__xludf.DUMMYFUNCTION("split(split(K5696,""【"",false),""公式LINE"",false)"),"九州北刑務所を脱獄した葛城アタルらは、警察の目を欺いて、四国の松山に降り立つ。逃亡の疲れと汚れを落とすため、温泉に入りたいというリュウに、反発するサクラ。サクラの思いに気付いたアタルは、サクラを擁護する。アタル・サクラとリュウの対立が深まる中、テレビのニュースでは、アタルらがサクラを誘拐して逃走中との報道が流れ・・・。葛城アタル…市原隼人  河島龍之介…塚本高史  滝本空哉…上田竜也（KAT－TUN)  加賀美瞬…菅田将暉  　　  佐々岡由紀…福田沙紀  乾利夫…千葉雄大  PANDA…山崎賢人  宮本"&amp;"サクラ…熊田聖亜  　　　　○  佐々岡千代子…石野真子  鬼塚修造…嶋田久作  　　　　○  柳川孝太郎…渡哲也")</f>
        <v>九州北刑務所を脱獄した葛城アタルらは、警察の目を欺いて、四国の松山に降り立つ。逃亡の疲れと汚れを落とすため、温泉に入りたいというリュウに、反発するサクラ。サクラの思いに気付いたアタルは、サクラを擁護する。アタル・サクラとリュウの対立が深まる中、テレビのニュースでは、アタルらがサクラを誘拐して逃走中との報道が流れ・・・。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v>
      </c>
      <c r="N5696" s="2"/>
      <c r="O5696" s="2"/>
      <c r="P5696" s="1"/>
      <c r="Q5696" s="1"/>
      <c r="R5696" s="1"/>
      <c r="S5696" s="1"/>
      <c r="T5696" s="1"/>
      <c r="U5696" s="1"/>
      <c r="V5696" s="1"/>
      <c r="W5696" s="1"/>
      <c r="X5696" s="1"/>
      <c r="Y5696" s="1"/>
      <c r="Z5696" s="1"/>
      <c r="AA5696" s="1"/>
      <c r="AB5696" s="1"/>
      <c r="AC5696" s="1"/>
      <c r="AD5696" s="1"/>
      <c r="AE5696" s="1"/>
      <c r="AF5696" s="1"/>
      <c r="AG5696" s="1"/>
      <c r="AH5696" s="1"/>
      <c r="AI5696" s="1"/>
      <c r="AJ5696" s="1"/>
      <c r="AK5696" s="1"/>
      <c r="AL5696" s="1"/>
      <c r="AM5696" s="1"/>
      <c r="AN5696" s="1"/>
      <c r="AO5696" s="1"/>
      <c r="AP5696" s="1"/>
      <c r="AQ5696" s="1"/>
      <c r="AR5696" s="1"/>
      <c r="AS5696" s="1"/>
      <c r="AT5696" s="1"/>
      <c r="AU5696" s="1"/>
      <c r="AV5696" s="1"/>
      <c r="AW5696" s="1"/>
      <c r="AX5696" s="1"/>
      <c r="AY5696" s="1"/>
      <c r="AZ5696" s="1"/>
      <c r="BA5696" s="1"/>
      <c r="BB5696" s="1"/>
    </row>
    <row r="5697" ht="204.75" customHeight="1">
      <c r="A5697" s="1">
        <v>4132.0</v>
      </c>
      <c r="B5697" s="2" t="s">
        <v>15562</v>
      </c>
      <c r="C5697" s="2">
        <f>IFERROR(__xludf.DUMMYFUNCTION("split(B5697,""_"")"),1110.0)</f>
        <v>1110</v>
      </c>
      <c r="D5697" s="2" t="str">
        <f>IFERROR(__xludf.DUMMYFUNCTION("""COMPUTED_VALUE"""),"TBS")</f>
        <v>TBS</v>
      </c>
      <c r="E5697" s="2" t="str">
        <f>IFERROR(__xludf.DUMMYFUNCTION("""COMPUTED_VALUE"""),"木21")</f>
        <v>木21</v>
      </c>
      <c r="F5697" s="2" t="s">
        <v>15563</v>
      </c>
      <c r="G5697" s="2" t="s">
        <v>15568</v>
      </c>
      <c r="H5697" s="1">
        <v>3.0</v>
      </c>
      <c r="J5697" s="1" t="s">
        <v>11</v>
      </c>
      <c r="K5697" s="2" t="s">
        <v>15569</v>
      </c>
      <c r="L5697" s="2"/>
      <c r="M5697" s="2" t="str">
        <f>IFERROR(__xludf.DUMMYFUNCTION("split(split(K5697,""【"",false),""公式LINE"",false)"),"空哉の裏切りにあい、せっかくの大金を奪われてしまったリュウは、怒り心頭。しかし、次のお金を掘り出したいアタルらは、リュウをなだめて、次の目的地・大阪へ向かう。一方、リュウの金を奪った空哉も、実家のある大阪に向かっていた。大阪に着いた空哉は、一目散で実家に向かうが、そこに母の姿はなく・・・。葛城アタル…市原隼人  河島龍之介…塚本高史  滝本空哉…上田竜也（KAT－TUN)  加賀美瞬…菅田将暉  　　  佐々岡由紀…福田沙紀  乾利夫…千葉雄大  PANDA…山崎賢人  宮本サクラ…熊田聖亜  　　　　○"&amp;"  佐々岡千代子…石野真子  鬼塚修造…嶋田久作  　　　　○  柳川孝太郎…渡哲也")</f>
        <v>空哉の裏切りにあい、せっかくの大金を奪われてしまったリュウは、怒り心頭。しかし、次のお金を掘り出したいアタルらは、リュウをなだめて、次の目的地・大阪へ向かう。一方、リュウの金を奪った空哉も、実家のある大阪に向かっていた。大阪に着いた空哉は、一目散で実家に向かうが、そこに母の姿はなく・・・。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v>
      </c>
      <c r="N5697" s="2"/>
      <c r="O5697" s="2"/>
      <c r="P5697" s="1"/>
      <c r="Q5697" s="1"/>
      <c r="R5697" s="1"/>
      <c r="S5697" s="1"/>
      <c r="T5697" s="1"/>
      <c r="U5697" s="1"/>
      <c r="V5697" s="1"/>
      <c r="W5697" s="1"/>
      <c r="X5697" s="1"/>
      <c r="Y5697" s="1"/>
      <c r="Z5697" s="1"/>
      <c r="AA5697" s="1"/>
      <c r="AB5697" s="1"/>
      <c r="AC5697" s="1"/>
      <c r="AD5697" s="1"/>
      <c r="AE5697" s="1"/>
      <c r="AF5697" s="1"/>
      <c r="AG5697" s="1"/>
      <c r="AH5697" s="1"/>
      <c r="AI5697" s="1"/>
      <c r="AJ5697" s="1"/>
      <c r="AK5697" s="1"/>
      <c r="AL5697" s="1"/>
      <c r="AM5697" s="1"/>
      <c r="AN5697" s="1"/>
      <c r="AO5697" s="1"/>
      <c r="AP5697" s="1"/>
      <c r="AQ5697" s="1"/>
      <c r="AR5697" s="1"/>
      <c r="AS5697" s="1"/>
      <c r="AT5697" s="1"/>
      <c r="AU5697" s="1"/>
      <c r="AV5697" s="1"/>
      <c r="AW5697" s="1"/>
      <c r="AX5697" s="1"/>
      <c r="AY5697" s="1"/>
      <c r="AZ5697" s="1"/>
      <c r="BA5697" s="1"/>
      <c r="BB5697" s="1"/>
    </row>
    <row r="5698" ht="204.75" customHeight="1">
      <c r="A5698" s="1">
        <v>4133.0</v>
      </c>
      <c r="B5698" s="2" t="s">
        <v>15562</v>
      </c>
      <c r="C5698" s="2">
        <f>IFERROR(__xludf.DUMMYFUNCTION("split(B5698,""_"")"),1110.0)</f>
        <v>1110</v>
      </c>
      <c r="D5698" s="2" t="str">
        <f>IFERROR(__xludf.DUMMYFUNCTION("""COMPUTED_VALUE"""),"TBS")</f>
        <v>TBS</v>
      </c>
      <c r="E5698" s="2" t="str">
        <f>IFERROR(__xludf.DUMMYFUNCTION("""COMPUTED_VALUE"""),"木21")</f>
        <v>木21</v>
      </c>
      <c r="F5698" s="2" t="s">
        <v>15563</v>
      </c>
      <c r="G5698" s="2" t="s">
        <v>15570</v>
      </c>
      <c r="H5698" s="1">
        <v>4.0</v>
      </c>
      <c r="J5698" s="1" t="s">
        <v>11</v>
      </c>
      <c r="K5698" s="2" t="s">
        <v>15571</v>
      </c>
      <c r="L5698" s="2"/>
      <c r="M5698" s="2" t="str">
        <f>IFERROR(__xludf.DUMMYFUNCTION("split(split(K5698,""【"",false),""公式LINE"",false)"),"葛城アタル…市原隼人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柳川孝太郎…渡哲也大阪に埋めた金を掘り起こし、一億円を手にしたアタル（市原隼人）たちだが、互いに裏切りを警戒し、信じ合えないまま次の目的地へ。  警察の追手を逃れ京都に着いたものの、高熱を出し苦しんでいるサクラ（熊田聖亜）を"&amp;"助けるため小さな病院で診察を受けさせた。だが、サクラの虐待の傷跡を見た医師と看護婦はすぐに警察に通報、それを察したアタルたちはサクラを連れ病院を飛び出した。リュウ（塚本高史）の手引きで、祇園にある芸子置屋の女将（田中美奈子）に匿ってもらうことになったアタルたち。そこで、リュウは美咲（藤澤恵麻）に会いに行くが、婚約者の野中（高杉瑞穂）に阻まれ彼女に会うことが出来なかった。  さらに、リュウは、女将から聞いた父親代わりでもある風間組の組長のウワサの真意を確かめに会いに行くが、警察に連れ戻されそうになって…。")</f>
        <v>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柳川孝太郎…渡哲也大阪に埋めた金を掘り起こし、一億円を手にしたアタル（市原隼人）たちだが、互いに裏切りを警戒し、信じ合えないまま次の目的地へ。  警察の追手を逃れ京都に着いたものの、高熱を出し苦しんでいるサクラ（熊田聖亜）を助けるため小さな病院で診察を受けさせた。だが、サクラの虐待の傷跡を見た医師と看護婦はすぐに警察に通報、それを察したアタルたちはサクラを連れ病院を飛び出した。リュウ（塚本高史）の手引きで、祇園にある芸子置屋の女将（田中美奈子）に匿ってもらうことになったアタルたち。そこで、リュウは美咲（藤澤恵麻）に会いに行くが、婚約者の野中（高杉瑞穂）に阻まれ彼女に会うことが出来なかった。  さらに、リュウは、女将から聞いた父親代わりでもある風間組の組長のウワサの真意を確かめに会いに行くが、警察に連れ戻されそうになって…。</v>
      </c>
      <c r="N5698" s="2"/>
      <c r="O5698" s="2"/>
      <c r="P5698" s="1"/>
      <c r="Q5698" s="1"/>
      <c r="R5698" s="1"/>
      <c r="S5698" s="1"/>
      <c r="T5698" s="1"/>
      <c r="U5698" s="1"/>
      <c r="V5698" s="1"/>
      <c r="W5698" s="1"/>
      <c r="X5698" s="1"/>
      <c r="Y5698" s="1"/>
      <c r="Z5698" s="1"/>
      <c r="AA5698" s="1"/>
      <c r="AB5698" s="1"/>
      <c r="AC5698" s="1"/>
      <c r="AD5698" s="1"/>
      <c r="AE5698" s="1"/>
      <c r="AF5698" s="1"/>
      <c r="AG5698" s="1"/>
      <c r="AH5698" s="1"/>
      <c r="AI5698" s="1"/>
      <c r="AJ5698" s="1"/>
      <c r="AK5698" s="1"/>
      <c r="AL5698" s="1"/>
      <c r="AM5698" s="1"/>
      <c r="AN5698" s="1"/>
      <c r="AO5698" s="1"/>
      <c r="AP5698" s="1"/>
      <c r="AQ5698" s="1"/>
      <c r="AR5698" s="1"/>
      <c r="AS5698" s="1"/>
      <c r="AT5698" s="1"/>
      <c r="AU5698" s="1"/>
      <c r="AV5698" s="1"/>
      <c r="AW5698" s="1"/>
      <c r="AX5698" s="1"/>
      <c r="AY5698" s="1"/>
      <c r="AZ5698" s="1"/>
      <c r="BA5698" s="1"/>
      <c r="BB5698" s="1"/>
    </row>
    <row r="5699" ht="204.75" customHeight="1">
      <c r="A5699" s="1">
        <v>4134.0</v>
      </c>
      <c r="B5699" s="2" t="s">
        <v>15562</v>
      </c>
      <c r="C5699" s="2">
        <f>IFERROR(__xludf.DUMMYFUNCTION("split(B5699,""_"")"),1110.0)</f>
        <v>1110</v>
      </c>
      <c r="D5699" s="2" t="str">
        <f>IFERROR(__xludf.DUMMYFUNCTION("""COMPUTED_VALUE"""),"TBS")</f>
        <v>TBS</v>
      </c>
      <c r="E5699" s="2" t="str">
        <f>IFERROR(__xludf.DUMMYFUNCTION("""COMPUTED_VALUE"""),"木21")</f>
        <v>木21</v>
      </c>
      <c r="F5699" s="2" t="s">
        <v>15563</v>
      </c>
      <c r="G5699" s="2" t="s">
        <v>15572</v>
      </c>
      <c r="H5699" s="1">
        <v>5.0</v>
      </c>
      <c r="J5699" s="1" t="s">
        <v>11</v>
      </c>
      <c r="K5699" s="2" t="s">
        <v>15573</v>
      </c>
      <c r="L5699" s="2"/>
      <c r="M5699" s="2" t="str">
        <f>IFERROR(__xludf.DUMMYFUNCTION("split(split(K5699,""【"",false),""公式LINE"",false)"),"シュンが金を埋めた最後の場所・名古屋を目指したアタルたち。  だが、公園だった場所は住宅地となり、埋めた場所には竹内家が建っていた。  そこで、アタルたちは清掃業者に変装し、何とか竹内家に潜入することに成功するが、なんとその家主は愛知県警の警察官だった。 警察官である夫は仕事で明後日まで戻らないと聞き、空哉の気転で妻の佳奈子を外出させ、アタルを自分の夫と思い込んでいる祖母・菊代をアタルが外に連れ出し、リュウ・シュン・空哉で作業を始める。  しかし、まもなく警察の手が迫りアタルたちは窮地に追い込まれることに"&amp;"ー 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f>
        <v>シュンが金を埋めた最後の場所・名古屋を目指したアタルたち。  だが、公園だった場所は住宅地となり、埋めた場所には竹内家が建っていた。  そこで、アタルたちは清掃業者に変装し、何とか竹内家に潜入することに成功するが、なんとその家主は愛知県警の警察官だった。 警察官である夫は仕事で明後日まで戻らないと聞き、空哉の気転で妻の佳奈子を外出させ、アタルを自分の夫と思い込んでいる祖母・菊代をアタルが外に連れ出し、リュウ・シュン・空哉で作業を始める。  しかし、まもなく警察の手が迫りアタルたちは窮地に追い込まれることにー 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v>
      </c>
      <c r="N5699" s="2"/>
      <c r="O5699" s="2"/>
      <c r="P5699" s="1"/>
      <c r="Q5699" s="1"/>
      <c r="R5699" s="1"/>
      <c r="S5699" s="1"/>
      <c r="T5699" s="1"/>
      <c r="U5699" s="1"/>
      <c r="V5699" s="1"/>
      <c r="W5699" s="1"/>
      <c r="X5699" s="1"/>
      <c r="Y5699" s="1"/>
      <c r="Z5699" s="1"/>
      <c r="AA5699" s="1"/>
      <c r="AB5699" s="1"/>
      <c r="AC5699" s="1"/>
      <c r="AD5699" s="1"/>
      <c r="AE5699" s="1"/>
      <c r="AF5699" s="1"/>
      <c r="AG5699" s="1"/>
      <c r="AH5699" s="1"/>
      <c r="AI5699" s="1"/>
      <c r="AJ5699" s="1"/>
      <c r="AK5699" s="1"/>
      <c r="AL5699" s="1"/>
      <c r="AM5699" s="1"/>
      <c r="AN5699" s="1"/>
      <c r="AO5699" s="1"/>
      <c r="AP5699" s="1"/>
      <c r="AQ5699" s="1"/>
      <c r="AR5699" s="1"/>
      <c r="AS5699" s="1"/>
      <c r="AT5699" s="1"/>
      <c r="AU5699" s="1"/>
      <c r="AV5699" s="1"/>
      <c r="AW5699" s="1"/>
      <c r="AX5699" s="1"/>
      <c r="AY5699" s="1"/>
      <c r="AZ5699" s="1"/>
      <c r="BA5699" s="1"/>
      <c r="BB5699" s="1"/>
    </row>
    <row r="5700" ht="204.75" customHeight="1">
      <c r="A5700" s="1">
        <v>4135.0</v>
      </c>
      <c r="B5700" s="2" t="s">
        <v>15562</v>
      </c>
      <c r="C5700" s="2">
        <f>IFERROR(__xludf.DUMMYFUNCTION("split(B5700,""_"")"),1110.0)</f>
        <v>1110</v>
      </c>
      <c r="D5700" s="2" t="str">
        <f>IFERROR(__xludf.DUMMYFUNCTION("""COMPUTED_VALUE"""),"TBS")</f>
        <v>TBS</v>
      </c>
      <c r="E5700" s="2" t="str">
        <f>IFERROR(__xludf.DUMMYFUNCTION("""COMPUTED_VALUE"""),"木21")</f>
        <v>木21</v>
      </c>
      <c r="F5700" s="2" t="s">
        <v>15563</v>
      </c>
      <c r="G5700" s="2" t="s">
        <v>15574</v>
      </c>
      <c r="H5700" s="1">
        <v>6.0</v>
      </c>
      <c r="J5700" s="1" t="s">
        <v>11</v>
      </c>
      <c r="K5700" s="2" t="s">
        <v>15575</v>
      </c>
      <c r="L5700" s="2"/>
      <c r="M5700" s="2" t="str">
        <f>IFERROR(__xludf.DUMMYFUNCTION("split(split(K5700,""【"",false),""公式LINE"",false)"),"葛城アタル…市原隼人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柳川孝太郎…渡哲也シュン（菅田将暉）の埋めた金を、アタル（市原隼人）、リュウ（塚本高史）、空哉（上田竜也）と共に掘り起こし、2億円の現金を手に入れることに成功。  娘を助けるため、やっとの思いで由紀（福田沙紀）と会い、手術の"&amp;"デポジット料の5千万円を渡そうとしたが、シュンから渡されたカバンの中は現金ではなく紙切れが入っているだけだった…。  リュウ、空哉のカバンの中身も同様に紙切れだけ。もう時間がないと焦るアタル…シュンの裏切りなのか…再び合流したアタル・リュウ・空哉そしてサクラ（熊田聖亜）は、シュンの出身地・山梨県勝沼へ向かった。しかし、シュンの実家の加賀美ワイナリーは五年前に閉鎖されてしまっていた。")</f>
        <v>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柳川孝太郎…渡哲也シュン（菅田将暉）の埋めた金を、アタル（市原隼人）、リュウ（塚本高史）、空哉（上田竜也）と共に掘り起こし、2億円の現金を手に入れることに成功。  娘を助けるため、やっとの思いで由紀（福田沙紀）と会い、手術のデポジット料の5千万円を渡そうとしたが、シュンから渡されたカバンの中は現金ではなく紙切れが入っているだけだった…。  リュウ、空哉のカバンの中身も同様に紙切れだけ。もう時間がないと焦るアタル…シュンの裏切りなのか…再び合流したアタル・リュウ・空哉そしてサクラ（熊田聖亜）は、シュンの出身地・山梨県勝沼へ向かった。しかし、シュンの実家の加賀美ワイナリーは五年前に閉鎖されてしまっていた。</v>
      </c>
      <c r="N5700" s="2"/>
      <c r="O5700" s="2"/>
      <c r="P5700" s="1"/>
      <c r="Q5700" s="1"/>
      <c r="R5700" s="1"/>
      <c r="S5700" s="1"/>
      <c r="T5700" s="1"/>
      <c r="U5700" s="1"/>
      <c r="V5700" s="1"/>
      <c r="W5700" s="1"/>
      <c r="X5700" s="1"/>
      <c r="Y5700" s="1"/>
      <c r="Z5700" s="1"/>
      <c r="AA5700" s="1"/>
      <c r="AB5700" s="1"/>
      <c r="AC5700" s="1"/>
      <c r="AD5700" s="1"/>
      <c r="AE5700" s="1"/>
      <c r="AF5700" s="1"/>
      <c r="AG5700" s="1"/>
      <c r="AH5700" s="1"/>
      <c r="AI5700" s="1"/>
      <c r="AJ5700" s="1"/>
      <c r="AK5700" s="1"/>
      <c r="AL5700" s="1"/>
      <c r="AM5700" s="1"/>
      <c r="AN5700" s="1"/>
      <c r="AO5700" s="1"/>
      <c r="AP5700" s="1"/>
      <c r="AQ5700" s="1"/>
      <c r="AR5700" s="1"/>
      <c r="AS5700" s="1"/>
      <c r="AT5700" s="1"/>
      <c r="AU5700" s="1"/>
      <c r="AV5700" s="1"/>
      <c r="AW5700" s="1"/>
      <c r="AX5700" s="1"/>
      <c r="AY5700" s="1"/>
      <c r="AZ5700" s="1"/>
      <c r="BA5700" s="1"/>
      <c r="BB5700" s="1"/>
    </row>
    <row r="5701" ht="204.75" customHeight="1">
      <c r="A5701" s="1">
        <v>4136.0</v>
      </c>
      <c r="B5701" s="2" t="s">
        <v>15562</v>
      </c>
      <c r="C5701" s="2">
        <f>IFERROR(__xludf.DUMMYFUNCTION("split(B5701,""_"")"),1110.0)</f>
        <v>1110</v>
      </c>
      <c r="D5701" s="2" t="str">
        <f>IFERROR(__xludf.DUMMYFUNCTION("""COMPUTED_VALUE"""),"TBS")</f>
        <v>TBS</v>
      </c>
      <c r="E5701" s="2" t="str">
        <f>IFERROR(__xludf.DUMMYFUNCTION("""COMPUTED_VALUE"""),"木21")</f>
        <v>木21</v>
      </c>
      <c r="F5701" s="2" t="s">
        <v>15563</v>
      </c>
      <c r="G5701" s="2" t="s">
        <v>15576</v>
      </c>
      <c r="H5701" s="1">
        <v>7.0</v>
      </c>
      <c r="J5701" s="1" t="s">
        <v>11</v>
      </c>
      <c r="K5701" s="2" t="s">
        <v>15577</v>
      </c>
      <c r="L5701" s="2"/>
      <c r="M5701" s="2" t="str">
        <f>IFERROR(__xludf.DUMMYFUNCTION("split(split(K5701,""【"",false),""公式LINE"",false)"),"現金を手に入れたアタル（市原隼人）は、娘の移植手術のために5千万円を届けなければならない。残された時間はあと4日…。  アタル逮捕のため由紀（福田沙紀）の代わりに金を受け取りに来た利夫（千葉雄大）は、アタルに刑事であることを告白し手錠をかけようとしたが、利夫は自分を突き飛ばして逃げろと指示する。  一目散に逃げるアタルの前に、リュウ（塚本高史）・空哉（上田竜也）・シュン（菅田将暉）・サクラ（熊田聖亜）が、助けにやってきた。  一方、少しでも早く金を渡したいアタルはいろいろな手段を駆使してみたが、警察の張り"&amp;"込みなどに邪魔され由紀のもとへ届けることが出来ないでいた…葛城アタル…市原隼人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f>
        <v>現金を手に入れたアタル（市原隼人）は、娘の移植手術のために5千万円を届けなければならない。残された時間はあと4日…。  アタル逮捕のため由紀（福田沙紀）の代わりに金を受け取りに来た利夫（千葉雄大）は、アタルに刑事であることを告白し手錠をかけようとしたが、利夫は自分を突き飛ばして逃げろと指示する。  一目散に逃げるアタルの前に、リュウ（塚本高史）・空哉（上田竜也）・シュン（菅田将暉）・サクラ（熊田聖亜）が、助けにやってきた。  一方、少しでも早く金を渡したいアタルはいろいろな手段を駆使してみたが、警察の張り込みなどに邪魔され由紀のもとへ届けることが出来ないでいた…葛城アタル…市原隼人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v>
      </c>
      <c r="N5701" s="2"/>
      <c r="O5701" s="2"/>
      <c r="P5701" s="1"/>
      <c r="Q5701" s="1"/>
      <c r="R5701" s="1"/>
      <c r="S5701" s="1"/>
      <c r="T5701" s="1"/>
      <c r="U5701" s="1"/>
      <c r="V5701" s="1"/>
      <c r="W5701" s="1"/>
      <c r="X5701" s="1"/>
      <c r="Y5701" s="1"/>
      <c r="Z5701" s="1"/>
      <c r="AA5701" s="1"/>
      <c r="AB5701" s="1"/>
      <c r="AC5701" s="1"/>
      <c r="AD5701" s="1"/>
      <c r="AE5701" s="1"/>
      <c r="AF5701" s="1"/>
      <c r="AG5701" s="1"/>
      <c r="AH5701" s="1"/>
      <c r="AI5701" s="1"/>
      <c r="AJ5701" s="1"/>
      <c r="AK5701" s="1"/>
      <c r="AL5701" s="1"/>
      <c r="AM5701" s="1"/>
      <c r="AN5701" s="1"/>
      <c r="AO5701" s="1"/>
      <c r="AP5701" s="1"/>
      <c r="AQ5701" s="1"/>
      <c r="AR5701" s="1"/>
      <c r="AS5701" s="1"/>
      <c r="AT5701" s="1"/>
      <c r="AU5701" s="1"/>
      <c r="AV5701" s="1"/>
      <c r="AW5701" s="1"/>
      <c r="AX5701" s="1"/>
      <c r="AY5701" s="1"/>
      <c r="AZ5701" s="1"/>
      <c r="BA5701" s="1"/>
      <c r="BB5701" s="1"/>
    </row>
    <row r="5702" ht="204.75" customHeight="1">
      <c r="A5702" s="1">
        <v>4137.0</v>
      </c>
      <c r="B5702" s="2" t="s">
        <v>15562</v>
      </c>
      <c r="C5702" s="2">
        <f>IFERROR(__xludf.DUMMYFUNCTION("split(B5702,""_"")"),1110.0)</f>
        <v>1110</v>
      </c>
      <c r="D5702" s="2" t="str">
        <f>IFERROR(__xludf.DUMMYFUNCTION("""COMPUTED_VALUE"""),"TBS")</f>
        <v>TBS</v>
      </c>
      <c r="E5702" s="2" t="str">
        <f>IFERROR(__xludf.DUMMYFUNCTION("""COMPUTED_VALUE"""),"木21")</f>
        <v>木21</v>
      </c>
      <c r="F5702" s="2" t="s">
        <v>15563</v>
      </c>
      <c r="G5702" s="2" t="s">
        <v>15578</v>
      </c>
      <c r="H5702" s="1">
        <v>8.0</v>
      </c>
      <c r="J5702" s="1" t="s">
        <v>11</v>
      </c>
      <c r="K5702" s="2" t="s">
        <v>15579</v>
      </c>
      <c r="L5702" s="2"/>
      <c r="M5702" s="2" t="str">
        <f>IFERROR(__xludf.DUMMYFUNCTION("split(split(K5702,""【"",false),""公式LINE"",false)"),"警察で事情聴取されるサクラは、誘拐されたのではなく自分でついて行ったと答え、急いで金を渡さなければならないことをいくら訴えても刑事は取り合ってくれなかった。  翌朝、中島が自殺したことが発覚。やっと5年前の真犯人を突き止めたと思った矢先の出来事で、これでアタルの無実を証明できる人間はいなくなってしまった。  一方、病院では、募金で集まった金ではデポジット料にはまだほど遠く、今回はあきらめざるを得ない状況になっていた。憔悴する由紀（福田沙紀）の携帯にアタルからすまないという電話が入る。千代子（石野真子）が "&amp;"その電話をとり、感謝の気持ちを伝えるが…。葛城アタル…市原隼人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f>
        <v>警察で事情聴取されるサクラは、誘拐されたのではなく自分でついて行ったと答え、急いで金を渡さなければならないことをいくら訴えても刑事は取り合ってくれなかった。  翌朝、中島が自殺したことが発覚。やっと5年前の真犯人を突き止めたと思った矢先の出来事で、これでアタルの無実を証明できる人間はいなくなってしまった。  一方、病院では、募金で集まった金ではデポジット料にはまだほど遠く、今回はあきらめざるを得ない状況になっていた。憔悴する由紀（福田沙紀）の携帯にアタルからすまないという電話が入る。千代子（石野真子）が その電話をとり、感謝の気持ちを伝えるが…。葛城アタル…市原隼人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v>
      </c>
      <c r="N5702" s="2"/>
      <c r="O5702" s="2"/>
      <c r="P5702" s="1"/>
      <c r="Q5702" s="1"/>
      <c r="R5702" s="1"/>
      <c r="S5702" s="1"/>
      <c r="T5702" s="1"/>
      <c r="U5702" s="1"/>
      <c r="V5702" s="1"/>
      <c r="W5702" s="1"/>
      <c r="X5702" s="1"/>
      <c r="Y5702" s="1"/>
      <c r="Z5702" s="1"/>
      <c r="AA5702" s="1"/>
      <c r="AB5702" s="1"/>
      <c r="AC5702" s="1"/>
      <c r="AD5702" s="1"/>
      <c r="AE5702" s="1"/>
      <c r="AF5702" s="1"/>
      <c r="AG5702" s="1"/>
      <c r="AH5702" s="1"/>
      <c r="AI5702" s="1"/>
      <c r="AJ5702" s="1"/>
      <c r="AK5702" s="1"/>
      <c r="AL5702" s="1"/>
      <c r="AM5702" s="1"/>
      <c r="AN5702" s="1"/>
      <c r="AO5702" s="1"/>
      <c r="AP5702" s="1"/>
      <c r="AQ5702" s="1"/>
      <c r="AR5702" s="1"/>
      <c r="AS5702" s="1"/>
      <c r="AT5702" s="1"/>
      <c r="AU5702" s="1"/>
      <c r="AV5702" s="1"/>
      <c r="AW5702" s="1"/>
      <c r="AX5702" s="1"/>
      <c r="AY5702" s="1"/>
      <c r="AZ5702" s="1"/>
      <c r="BA5702" s="1"/>
      <c r="BB5702" s="1"/>
    </row>
    <row r="5703" ht="204.75" customHeight="1">
      <c r="A5703" s="1">
        <v>4138.0</v>
      </c>
      <c r="B5703" s="2" t="s">
        <v>15562</v>
      </c>
      <c r="C5703" s="2">
        <f>IFERROR(__xludf.DUMMYFUNCTION("split(B5703,""_"")"),1110.0)</f>
        <v>1110</v>
      </c>
      <c r="D5703" s="2" t="str">
        <f>IFERROR(__xludf.DUMMYFUNCTION("""COMPUTED_VALUE"""),"TBS")</f>
        <v>TBS</v>
      </c>
      <c r="E5703" s="2" t="str">
        <f>IFERROR(__xludf.DUMMYFUNCTION("""COMPUTED_VALUE"""),"木21")</f>
        <v>木21</v>
      </c>
      <c r="F5703" s="2" t="s">
        <v>15563</v>
      </c>
      <c r="G5703" s="2" t="s">
        <v>15580</v>
      </c>
      <c r="H5703" s="1">
        <v>9.0</v>
      </c>
      <c r="J5703" s="1" t="s">
        <v>11</v>
      </c>
      <c r="K5703" s="2" t="s">
        <v>15581</v>
      </c>
      <c r="L5703" s="2"/>
      <c r="M5703" s="2" t="str">
        <f>IFERROR(__xludf.DUMMYFUNCTION("split(split(K5703,""【"",false),""公式LINE"",false)"),"アタルを助けてくれる仲間は一人もいなくなった。残された時間は、あと1日ー アタルは、唯一頼ることが出来る柳川（渡哲也）に助けを求めるが、そこにもすでに警察の追手が迫っていた。  娘の心臓は、耐える限界に来ている。娘とアタル、2人を心配し苦悩する由紀（福田沙紀）。  一方、5年前の事件の核心を掴んだ柳川は…。葛城アタル…市原隼人  河島龍之介…塚本高史  滝本空哉…上田竜也（KAT－TUN)  加賀美瞬…菅田将暉  　　  佐々岡由紀…福田沙紀  乾利夫…千葉雄大  PANDA…山崎賢人  宮本サクラ…熊田"&amp;"聖亜  　　　　○  佐々岡千代子…石野真子  鬼塚修造…嶋田久作  　　　　○  柳川孝太郎…渡哲也")</f>
        <v>アタルを助けてくれる仲間は一人もいなくなった。残された時間は、あと1日ー アタルは、唯一頼ることが出来る柳川（渡哲也）に助けを求めるが、そこにもすでに警察の追手が迫っていた。  娘の心臓は、耐える限界に来ている。娘とアタル、2人を心配し苦悩する由紀（福田沙紀）。  一方、5年前の事件の核心を掴んだ柳川は…。葛城アタル…市原隼人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v>
      </c>
      <c r="N5703" s="2"/>
      <c r="O5703" s="2"/>
      <c r="P5703" s="1"/>
      <c r="Q5703" s="1"/>
      <c r="R5703" s="1"/>
      <c r="S5703" s="1"/>
      <c r="T5703" s="1"/>
      <c r="U5703" s="1"/>
      <c r="V5703" s="1"/>
      <c r="W5703" s="1"/>
      <c r="X5703" s="1"/>
      <c r="Y5703" s="1"/>
      <c r="Z5703" s="1"/>
      <c r="AA5703" s="1"/>
      <c r="AB5703" s="1"/>
      <c r="AC5703" s="1"/>
      <c r="AD5703" s="1"/>
      <c r="AE5703" s="1"/>
      <c r="AF5703" s="1"/>
      <c r="AG5703" s="1"/>
      <c r="AH5703" s="1"/>
      <c r="AI5703" s="1"/>
      <c r="AJ5703" s="1"/>
      <c r="AK5703" s="1"/>
      <c r="AL5703" s="1"/>
      <c r="AM5703" s="1"/>
      <c r="AN5703" s="1"/>
      <c r="AO5703" s="1"/>
      <c r="AP5703" s="1"/>
      <c r="AQ5703" s="1"/>
      <c r="AR5703" s="1"/>
      <c r="AS5703" s="1"/>
      <c r="AT5703" s="1"/>
      <c r="AU5703" s="1"/>
      <c r="AV5703" s="1"/>
      <c r="AW5703" s="1"/>
      <c r="AX5703" s="1"/>
      <c r="AY5703" s="1"/>
      <c r="AZ5703" s="1"/>
      <c r="BA5703" s="1"/>
      <c r="BB5703" s="1"/>
    </row>
    <row r="5704" ht="204.75" customHeight="1">
      <c r="A5704" s="1">
        <v>4150.0</v>
      </c>
      <c r="B5704" s="2" t="s">
        <v>15582</v>
      </c>
      <c r="C5704" s="2">
        <f>IFERROR(__xludf.DUMMYFUNCTION("split(B5704,""_"")"),1110.0)</f>
        <v>1110</v>
      </c>
      <c r="D5704" s="2" t="str">
        <f>IFERROR(__xludf.DUMMYFUNCTION("""COMPUTED_VALUE"""),"TBS")</f>
        <v>TBS</v>
      </c>
      <c r="E5704" s="2" t="str">
        <f>IFERROR(__xludf.DUMMYFUNCTION("""COMPUTED_VALUE"""),"金22")</f>
        <v>金22</v>
      </c>
      <c r="F5704" s="2" t="s">
        <v>15583</v>
      </c>
      <c r="G5704" s="2" t="s">
        <v>15584</v>
      </c>
      <c r="H5704" s="1">
        <v>1.0</v>
      </c>
      <c r="J5704" s="1" t="s">
        <v>82</v>
      </c>
      <c r="K5704" s="2" t="s">
        <v>15585</v>
      </c>
      <c r="L5704" s="2"/>
      <c r="M5704" s="2" t="str">
        <f>IFERROR(__xludf.DUMMYFUNCTION("split(split(K5704,""【"",false),""公式LINE"",false)"),"浅葱芹菜…深田恭子　  浅葱武文…藤木直人  陣内春樹…桐谷健太  十島丈二…古田新太  戸倉もと子…芦名星  新山晃…遠藤憲一  新山千早…石田ゆり子  藤元泰介…小日向文世  ")</f>
        <v>浅葱芹菜…深田恭子　  浅葱武文…藤木直人  陣内春樹…桐谷健太  十島丈二…古田新太  戸倉もと子…芦名星  新山晃…遠藤憲一  新山千早…石田ゆり子  藤元泰介…小日向文世  </v>
      </c>
      <c r="N5704" s="2"/>
      <c r="O5704" s="2"/>
      <c r="P5704" s="1"/>
      <c r="Q5704" s="1"/>
      <c r="R5704" s="1"/>
      <c r="S5704" s="1"/>
      <c r="T5704" s="1"/>
      <c r="U5704" s="1"/>
      <c r="V5704" s="1"/>
      <c r="W5704" s="1"/>
      <c r="X5704" s="1"/>
      <c r="Y5704" s="1"/>
      <c r="Z5704" s="1"/>
      <c r="AA5704" s="1"/>
      <c r="AB5704" s="1"/>
      <c r="AC5704" s="1"/>
      <c r="AD5704" s="1"/>
      <c r="AE5704" s="1"/>
      <c r="AF5704" s="1"/>
      <c r="AG5704" s="1"/>
      <c r="AH5704" s="1"/>
      <c r="AI5704" s="1"/>
      <c r="AJ5704" s="1"/>
      <c r="AK5704" s="1"/>
      <c r="AL5704" s="1"/>
      <c r="AM5704" s="1"/>
      <c r="AN5704" s="1"/>
      <c r="AO5704" s="1"/>
      <c r="AP5704" s="1"/>
      <c r="AQ5704" s="1"/>
      <c r="AR5704" s="1"/>
      <c r="AS5704" s="1"/>
      <c r="AT5704" s="1"/>
      <c r="AU5704" s="1"/>
      <c r="AV5704" s="1"/>
      <c r="AW5704" s="1"/>
      <c r="AX5704" s="1"/>
      <c r="AY5704" s="1"/>
      <c r="AZ5704" s="1"/>
      <c r="BA5704" s="1"/>
      <c r="BB5704" s="1"/>
    </row>
    <row r="5705" ht="204.75" customHeight="1">
      <c r="A5705" s="1">
        <v>4151.0</v>
      </c>
      <c r="B5705" s="2" t="s">
        <v>15582</v>
      </c>
      <c r="C5705" s="2">
        <f>IFERROR(__xludf.DUMMYFUNCTION("split(B5705,""_"")"),1110.0)</f>
        <v>1110</v>
      </c>
      <c r="D5705" s="2" t="str">
        <f>IFERROR(__xludf.DUMMYFUNCTION("""COMPUTED_VALUE"""),"TBS")</f>
        <v>TBS</v>
      </c>
      <c r="E5705" s="2" t="str">
        <f>IFERROR(__xludf.DUMMYFUNCTION("""COMPUTED_VALUE"""),"金22")</f>
        <v>金22</v>
      </c>
      <c r="F5705" s="2" t="s">
        <v>15583</v>
      </c>
      <c r="G5705" s="2" t="s">
        <v>15586</v>
      </c>
      <c r="H5705" s="1">
        <v>2.0</v>
      </c>
      <c r="J5705" s="1" t="s">
        <v>86</v>
      </c>
      <c r="K5705" s="2" t="s">
        <v>15587</v>
      </c>
      <c r="L5705" s="2"/>
      <c r="M5705" s="2" t="str">
        <f>IFERROR(__xludf.DUMMYFUNCTION("split(split(K5705,""【"",false),""公式LINE"",false)"),"浅葱芹菜…深田恭子　  浅葱武文…藤木直人  陣内春樹…桐谷健太  十島丈二…古田新太  戸倉もと子…芦名星  新山晃…遠藤憲一  新山千早…石田ゆり子  藤元泰介…小日向文世    ")</f>
        <v>浅葱芹菜…深田恭子　  浅葱武文…藤木直人  陣内春樹…桐谷健太  十島丈二…古田新太  戸倉もと子…芦名星  新山晃…遠藤憲一  新山千早…石田ゆり子  藤元泰介…小日向文世    </v>
      </c>
      <c r="N5705" s="2"/>
      <c r="O5705" s="2"/>
      <c r="P5705" s="1"/>
      <c r="Q5705" s="1"/>
      <c r="R5705" s="1"/>
      <c r="S5705" s="1"/>
      <c r="T5705" s="1"/>
      <c r="U5705" s="1"/>
      <c r="V5705" s="1"/>
      <c r="W5705" s="1"/>
      <c r="X5705" s="1"/>
      <c r="Y5705" s="1"/>
      <c r="Z5705" s="1"/>
      <c r="AA5705" s="1"/>
      <c r="AB5705" s="1"/>
      <c r="AC5705" s="1"/>
      <c r="AD5705" s="1"/>
      <c r="AE5705" s="1"/>
      <c r="AF5705" s="1"/>
      <c r="AG5705" s="1"/>
      <c r="AH5705" s="1"/>
      <c r="AI5705" s="1"/>
      <c r="AJ5705" s="1"/>
      <c r="AK5705" s="1"/>
      <c r="AL5705" s="1"/>
      <c r="AM5705" s="1"/>
      <c r="AN5705" s="1"/>
      <c r="AO5705" s="1"/>
      <c r="AP5705" s="1"/>
      <c r="AQ5705" s="1"/>
      <c r="AR5705" s="1"/>
      <c r="AS5705" s="1"/>
      <c r="AT5705" s="1"/>
      <c r="AU5705" s="1"/>
      <c r="AV5705" s="1"/>
      <c r="AW5705" s="1"/>
      <c r="AX5705" s="1"/>
      <c r="AY5705" s="1"/>
      <c r="AZ5705" s="1"/>
      <c r="BA5705" s="1"/>
      <c r="BB5705" s="1"/>
    </row>
    <row r="5706" ht="204.75" customHeight="1">
      <c r="A5706" s="1">
        <v>4152.0</v>
      </c>
      <c r="B5706" s="2" t="s">
        <v>15582</v>
      </c>
      <c r="C5706" s="2">
        <f>IFERROR(__xludf.DUMMYFUNCTION("split(B5706,""_"")"),1110.0)</f>
        <v>1110</v>
      </c>
      <c r="D5706" s="2" t="str">
        <f>IFERROR(__xludf.DUMMYFUNCTION("""COMPUTED_VALUE"""),"TBS")</f>
        <v>TBS</v>
      </c>
      <c r="E5706" s="2" t="str">
        <f>IFERROR(__xludf.DUMMYFUNCTION("""COMPUTED_VALUE"""),"金22")</f>
        <v>金22</v>
      </c>
      <c r="F5706" s="2" t="s">
        <v>15583</v>
      </c>
      <c r="G5706" s="2" t="s">
        <v>15588</v>
      </c>
      <c r="H5706" s="1">
        <v>3.0</v>
      </c>
      <c r="J5706" s="1" t="s">
        <v>86</v>
      </c>
      <c r="K5706" s="2" t="s">
        <v>15589</v>
      </c>
      <c r="L5706" s="2"/>
      <c r="M5706" s="2" t="str">
        <f>IFERROR(__xludf.DUMMYFUNCTION("split(split(K5706,""【"",false),""公式LINE"",false)"),"浅葱芹菜…深田恭子　  浅葱武文…藤木直人  陣内春樹…桐谷健太  十島丈二…古田新太  戸倉もと子…芦名星  梶木圭吾…丸山智巳  新山晃…遠藤憲一  新山千早…石田ゆり子  藤元泰介…小日向文世    ")</f>
        <v>浅葱芹菜…深田恭子　  浅葱武文…藤木直人  陣内春樹…桐谷健太  十島丈二…古田新太  戸倉もと子…芦名星  梶木圭吾…丸山智巳  新山晃…遠藤憲一  新山千早…石田ゆり子  藤元泰介…小日向文世    </v>
      </c>
      <c r="N5706" s="2"/>
      <c r="O5706" s="2"/>
      <c r="P5706" s="1"/>
      <c r="Q5706" s="1"/>
      <c r="R5706" s="1"/>
      <c r="S5706" s="1"/>
      <c r="T5706" s="1"/>
      <c r="U5706" s="1"/>
      <c r="V5706" s="1"/>
      <c r="W5706" s="1"/>
      <c r="X5706" s="1"/>
      <c r="Y5706" s="1"/>
      <c r="Z5706" s="1"/>
      <c r="AA5706" s="1"/>
      <c r="AB5706" s="1"/>
      <c r="AC5706" s="1"/>
      <c r="AD5706" s="1"/>
      <c r="AE5706" s="1"/>
      <c r="AF5706" s="1"/>
      <c r="AG5706" s="1"/>
      <c r="AH5706" s="1"/>
      <c r="AI5706" s="1"/>
      <c r="AJ5706" s="1"/>
      <c r="AK5706" s="1"/>
      <c r="AL5706" s="1"/>
      <c r="AM5706" s="1"/>
      <c r="AN5706" s="1"/>
      <c r="AO5706" s="1"/>
      <c r="AP5706" s="1"/>
      <c r="AQ5706" s="1"/>
      <c r="AR5706" s="1"/>
      <c r="AS5706" s="1"/>
      <c r="AT5706" s="1"/>
      <c r="AU5706" s="1"/>
      <c r="AV5706" s="1"/>
      <c r="AW5706" s="1"/>
      <c r="AX5706" s="1"/>
      <c r="AY5706" s="1"/>
      <c r="AZ5706" s="1"/>
      <c r="BA5706" s="1"/>
      <c r="BB5706" s="1"/>
    </row>
    <row r="5707" ht="204.75" customHeight="1">
      <c r="A5707" s="1">
        <v>4153.0</v>
      </c>
      <c r="B5707" s="2" t="s">
        <v>15582</v>
      </c>
      <c r="C5707" s="2">
        <f>IFERROR(__xludf.DUMMYFUNCTION("split(B5707,""_"")"),1110.0)</f>
        <v>1110</v>
      </c>
      <c r="D5707" s="2" t="str">
        <f>IFERROR(__xludf.DUMMYFUNCTION("""COMPUTED_VALUE"""),"TBS")</f>
        <v>TBS</v>
      </c>
      <c r="E5707" s="2" t="str">
        <f>IFERROR(__xludf.DUMMYFUNCTION("""COMPUTED_VALUE"""),"金22")</f>
        <v>金22</v>
      </c>
      <c r="F5707" s="2" t="s">
        <v>15583</v>
      </c>
      <c r="G5707" s="2" t="s">
        <v>15590</v>
      </c>
      <c r="H5707" s="1">
        <v>4.0</v>
      </c>
      <c r="J5707" s="1" t="s">
        <v>86</v>
      </c>
      <c r="K5707" s="2" t="s">
        <v>15591</v>
      </c>
      <c r="L5707" s="2"/>
      <c r="M5707" s="2" t="str">
        <f>IFERROR(__xludf.DUMMYFUNCTION("split(split(K5707,""【"",false),""公式LINE"",false)"),"浅葱芹菜…深田恭子　  浅葱武文…藤木直人  陣内春樹…桐谷健太  十島丈二…古田新太  戸倉もと子…芦名星    幸田文則…日野陽仁  福寿幸太郎…長谷川朝晴  梶木圭吾…丸山智巳    新山晃…遠藤憲一  新山千早…石田ゆり子  藤元泰介…小日向文世    ")</f>
        <v>浅葱芹菜…深田恭子　  浅葱武文…藤木直人  陣内春樹…桐谷健太  十島丈二…古田新太  戸倉もと子…芦名星    幸田文則…日野陽仁  福寿幸太郎…長谷川朝晴  梶木圭吾…丸山智巳    新山晃…遠藤憲一  新山千早…石田ゆり子  藤元泰介…小日向文世    </v>
      </c>
      <c r="N5707" s="2"/>
      <c r="O5707" s="2"/>
      <c r="P5707" s="1"/>
      <c r="Q5707" s="1"/>
      <c r="R5707" s="1"/>
      <c r="S5707" s="1"/>
      <c r="T5707" s="1"/>
      <c r="U5707" s="1"/>
      <c r="V5707" s="1"/>
      <c r="W5707" s="1"/>
      <c r="X5707" s="1"/>
      <c r="Y5707" s="1"/>
      <c r="Z5707" s="1"/>
      <c r="AA5707" s="1"/>
      <c r="AB5707" s="1"/>
      <c r="AC5707" s="1"/>
      <c r="AD5707" s="1"/>
      <c r="AE5707" s="1"/>
      <c r="AF5707" s="1"/>
      <c r="AG5707" s="1"/>
      <c r="AH5707" s="1"/>
      <c r="AI5707" s="1"/>
      <c r="AJ5707" s="1"/>
      <c r="AK5707" s="1"/>
      <c r="AL5707" s="1"/>
      <c r="AM5707" s="1"/>
      <c r="AN5707" s="1"/>
      <c r="AO5707" s="1"/>
      <c r="AP5707" s="1"/>
      <c r="AQ5707" s="1"/>
      <c r="AR5707" s="1"/>
      <c r="AS5707" s="1"/>
      <c r="AT5707" s="1"/>
      <c r="AU5707" s="1"/>
      <c r="AV5707" s="1"/>
      <c r="AW5707" s="1"/>
      <c r="AX5707" s="1"/>
      <c r="AY5707" s="1"/>
      <c r="AZ5707" s="1"/>
      <c r="BA5707" s="1"/>
      <c r="BB5707" s="1"/>
    </row>
    <row r="5708" ht="204.75" customHeight="1">
      <c r="A5708" s="1">
        <v>4154.0</v>
      </c>
      <c r="B5708" s="2" t="s">
        <v>15582</v>
      </c>
      <c r="C5708" s="2">
        <f>IFERROR(__xludf.DUMMYFUNCTION("split(B5708,""_"")"),1110.0)</f>
        <v>1110</v>
      </c>
      <c r="D5708" s="2" t="str">
        <f>IFERROR(__xludf.DUMMYFUNCTION("""COMPUTED_VALUE"""),"TBS")</f>
        <v>TBS</v>
      </c>
      <c r="E5708" s="2" t="str">
        <f>IFERROR(__xludf.DUMMYFUNCTION("""COMPUTED_VALUE"""),"金22")</f>
        <v>金22</v>
      </c>
      <c r="F5708" s="2" t="s">
        <v>15583</v>
      </c>
      <c r="G5708" s="2" t="s">
        <v>15592</v>
      </c>
      <c r="H5708" s="1">
        <v>5.0</v>
      </c>
      <c r="J5708" s="1" t="s">
        <v>86</v>
      </c>
      <c r="K5708" s="2" t="s">
        <v>15593</v>
      </c>
      <c r="L5708" s="2"/>
      <c r="M5708" s="2" t="str">
        <f>IFERROR(__xludf.DUMMYFUNCTION("split(split(K5708,""【"",false),""公式LINE"",false)"),"浅葱芹菜…深田恭子　  浅葱武文…藤木直人  陣内春樹…桐谷健太  十島丈二…古田新太  戸倉もと子…芦名星  梶木圭吾…丸山智己  新山晃…遠藤憲一  新山千早…石田ゆり子  藤元泰介…小日向文世    ")</f>
        <v>浅葱芹菜…深田恭子　  浅葱武文…藤木直人  陣内春樹…桐谷健太  十島丈二…古田新太  戸倉もと子…芦名星  梶木圭吾…丸山智己  新山晃…遠藤憲一  新山千早…石田ゆり子  藤元泰介…小日向文世    </v>
      </c>
      <c r="N5708" s="2"/>
      <c r="O5708" s="2"/>
      <c r="P5708" s="1"/>
      <c r="Q5708" s="1"/>
      <c r="R5708" s="1"/>
      <c r="S5708" s="1"/>
      <c r="T5708" s="1"/>
      <c r="U5708" s="1"/>
      <c r="V5708" s="1"/>
      <c r="W5708" s="1"/>
      <c r="X5708" s="1"/>
      <c r="Y5708" s="1"/>
      <c r="Z5708" s="1"/>
      <c r="AA5708" s="1"/>
      <c r="AB5708" s="1"/>
      <c r="AC5708" s="1"/>
      <c r="AD5708" s="1"/>
      <c r="AE5708" s="1"/>
      <c r="AF5708" s="1"/>
      <c r="AG5708" s="1"/>
      <c r="AH5708" s="1"/>
      <c r="AI5708" s="1"/>
      <c r="AJ5708" s="1"/>
      <c r="AK5708" s="1"/>
      <c r="AL5708" s="1"/>
      <c r="AM5708" s="1"/>
      <c r="AN5708" s="1"/>
      <c r="AO5708" s="1"/>
      <c r="AP5708" s="1"/>
      <c r="AQ5708" s="1"/>
      <c r="AR5708" s="1"/>
      <c r="AS5708" s="1"/>
      <c r="AT5708" s="1"/>
      <c r="AU5708" s="1"/>
      <c r="AV5708" s="1"/>
      <c r="AW5708" s="1"/>
      <c r="AX5708" s="1"/>
      <c r="AY5708" s="1"/>
      <c r="AZ5708" s="1"/>
      <c r="BA5708" s="1"/>
      <c r="BB5708" s="1"/>
    </row>
    <row r="5709" ht="204.75" customHeight="1">
      <c r="A5709" s="1">
        <v>4155.0</v>
      </c>
      <c r="B5709" s="2" t="s">
        <v>15582</v>
      </c>
      <c r="C5709" s="2">
        <f>IFERROR(__xludf.DUMMYFUNCTION("split(B5709,""_"")"),1110.0)</f>
        <v>1110</v>
      </c>
      <c r="D5709" s="2" t="str">
        <f>IFERROR(__xludf.DUMMYFUNCTION("""COMPUTED_VALUE"""),"TBS")</f>
        <v>TBS</v>
      </c>
      <c r="E5709" s="2" t="str">
        <f>IFERROR(__xludf.DUMMYFUNCTION("""COMPUTED_VALUE"""),"金22")</f>
        <v>金22</v>
      </c>
      <c r="F5709" s="2" t="s">
        <v>15583</v>
      </c>
      <c r="G5709" s="2" t="s">
        <v>15594</v>
      </c>
      <c r="H5709" s="1">
        <v>6.0</v>
      </c>
      <c r="J5709" s="1" t="s">
        <v>86</v>
      </c>
      <c r="K5709" s="2" t="s">
        <v>15595</v>
      </c>
      <c r="L5709" s="2"/>
      <c r="M5709" s="2" t="str">
        <f>IFERROR(__xludf.DUMMYFUNCTION("split(split(K5709,""【"",false),""公式LINE"",false)"),"浅葱芹菜…深田恭子　  浅葱武文…藤木直人  陣内春樹…桐谷健太  十島丈二…古田新太  戸倉もと子…芦名星  梶木圭吾…丸山智己  新山晃…遠藤憲一  新山千早…石田ゆり子  藤元泰介…小日向文世    ")</f>
        <v>浅葱芹菜…深田恭子　  浅葱武文…藤木直人  陣内春樹…桐谷健太  十島丈二…古田新太  戸倉もと子…芦名星  梶木圭吾…丸山智己  新山晃…遠藤憲一  新山千早…石田ゆり子  藤元泰介…小日向文世    </v>
      </c>
      <c r="N5709" s="2"/>
      <c r="O5709" s="2"/>
      <c r="P5709" s="1"/>
      <c r="Q5709" s="1"/>
      <c r="R5709" s="1"/>
      <c r="S5709" s="1"/>
      <c r="T5709" s="1"/>
      <c r="U5709" s="1"/>
      <c r="V5709" s="1"/>
      <c r="W5709" s="1"/>
      <c r="X5709" s="1"/>
      <c r="Y5709" s="1"/>
      <c r="Z5709" s="1"/>
      <c r="AA5709" s="1"/>
      <c r="AB5709" s="1"/>
      <c r="AC5709" s="1"/>
      <c r="AD5709" s="1"/>
      <c r="AE5709" s="1"/>
      <c r="AF5709" s="1"/>
      <c r="AG5709" s="1"/>
      <c r="AH5709" s="1"/>
      <c r="AI5709" s="1"/>
      <c r="AJ5709" s="1"/>
      <c r="AK5709" s="1"/>
      <c r="AL5709" s="1"/>
      <c r="AM5709" s="1"/>
      <c r="AN5709" s="1"/>
      <c r="AO5709" s="1"/>
      <c r="AP5709" s="1"/>
      <c r="AQ5709" s="1"/>
      <c r="AR5709" s="1"/>
      <c r="AS5709" s="1"/>
      <c r="AT5709" s="1"/>
      <c r="AU5709" s="1"/>
      <c r="AV5709" s="1"/>
      <c r="AW5709" s="1"/>
      <c r="AX5709" s="1"/>
      <c r="AY5709" s="1"/>
      <c r="AZ5709" s="1"/>
      <c r="BA5709" s="1"/>
      <c r="BB5709" s="1"/>
    </row>
    <row r="5710" ht="204.75" customHeight="1">
      <c r="A5710" s="1">
        <v>4156.0</v>
      </c>
      <c r="B5710" s="2" t="s">
        <v>15582</v>
      </c>
      <c r="C5710" s="2">
        <f>IFERROR(__xludf.DUMMYFUNCTION("split(B5710,""_"")"),1110.0)</f>
        <v>1110</v>
      </c>
      <c r="D5710" s="2" t="str">
        <f>IFERROR(__xludf.DUMMYFUNCTION("""COMPUTED_VALUE"""),"TBS")</f>
        <v>TBS</v>
      </c>
      <c r="E5710" s="2" t="str">
        <f>IFERROR(__xludf.DUMMYFUNCTION("""COMPUTED_VALUE"""),"金22")</f>
        <v>金22</v>
      </c>
      <c r="F5710" s="2" t="s">
        <v>15583</v>
      </c>
      <c r="G5710" s="2" t="s">
        <v>15596</v>
      </c>
      <c r="H5710" s="1">
        <v>7.0</v>
      </c>
      <c r="J5710" s="1" t="s">
        <v>86</v>
      </c>
      <c r="K5710" s="2" t="s">
        <v>15597</v>
      </c>
      <c r="L5710" s="2"/>
      <c r="M5710" s="2" t="str">
        <f>IFERROR(__xludf.DUMMYFUNCTION("split(split(K5710,""【"",false),""公式LINE"",false)"),"夫・武文(藤木)と千早(石田)の不倫を知った芹菜(深田)は、ケリをつけたいと男装して武文を尾行することに…。そこで武文に「愛している」と告げる千早の言葉を聞いてしまう。そして武文からは驚きの言葉が…。  そんな武文は、合併後に多くの人員削減をすると計画している新山常務(遠藤)のことも、さらに新山を失脚に追い込むための証拠集めを自分に強要する泰介(小日向)にも、それぞれ強い不信感を持っていた…。さらに別れた妻への気持ちを引きずる丈二(古田)は、芹菜に勇気付けられ、ある決断をする…。後日、ひばり証券で働く芹菜"&amp;"の前に、スーツ姿の陣内が現れた。臨時職員として働くことになったという。その真意とは…浅葱芹菜…深田恭子　  浅葱武文…藤木直人  陣内春樹…桐谷健太  十島丈二…古田新太  戸倉もと子…芦名星  梶木圭吾…丸山智己  新山晃…遠藤憲一  新山千早…石田ゆり子  藤元泰介…小日向文世    ")</f>
        <v>夫・武文(藤木)と千早(石田)の不倫を知った芹菜(深田)は、ケリをつけたいと男装して武文を尾行することに…。そこで武文に「愛している」と告げる千早の言葉を聞いてしまう。そして武文からは驚きの言葉が…。  そんな武文は、合併後に多くの人員削減をすると計画している新山常務(遠藤)のことも、さらに新山を失脚に追い込むための証拠集めを自分に強要する泰介(小日向)にも、それぞれ強い不信感を持っていた…。さらに別れた妻への気持ちを引きずる丈二(古田)は、芹菜に勇気付けられ、ある決断をする…。後日、ひばり証券で働く芹菜の前に、スーツ姿の陣内が現れた。臨時職員として働くことになったという。その真意とは…浅葱芹菜…深田恭子　  浅葱武文…藤木直人  陣内春樹…桐谷健太  十島丈二…古田新太  戸倉もと子…芦名星  梶木圭吾…丸山智己  新山晃…遠藤憲一  新山千早…石田ゆり子  藤元泰介…小日向文世    </v>
      </c>
      <c r="N5710" s="2"/>
      <c r="O5710" s="2"/>
      <c r="P5710" s="1"/>
      <c r="Q5710" s="1"/>
      <c r="R5710" s="1"/>
      <c r="S5710" s="1"/>
      <c r="T5710" s="1"/>
      <c r="U5710" s="1"/>
      <c r="V5710" s="1"/>
      <c r="W5710" s="1"/>
      <c r="X5710" s="1"/>
      <c r="Y5710" s="1"/>
      <c r="Z5710" s="1"/>
      <c r="AA5710" s="1"/>
      <c r="AB5710" s="1"/>
      <c r="AC5710" s="1"/>
      <c r="AD5710" s="1"/>
      <c r="AE5710" s="1"/>
      <c r="AF5710" s="1"/>
      <c r="AG5710" s="1"/>
      <c r="AH5710" s="1"/>
      <c r="AI5710" s="1"/>
      <c r="AJ5710" s="1"/>
      <c r="AK5710" s="1"/>
      <c r="AL5710" s="1"/>
      <c r="AM5710" s="1"/>
      <c r="AN5710" s="1"/>
      <c r="AO5710" s="1"/>
      <c r="AP5710" s="1"/>
      <c r="AQ5710" s="1"/>
      <c r="AR5710" s="1"/>
      <c r="AS5710" s="1"/>
      <c r="AT5710" s="1"/>
      <c r="AU5710" s="1"/>
      <c r="AV5710" s="1"/>
      <c r="AW5710" s="1"/>
      <c r="AX5710" s="1"/>
      <c r="AY5710" s="1"/>
      <c r="AZ5710" s="1"/>
      <c r="BA5710" s="1"/>
      <c r="BB5710" s="1"/>
    </row>
    <row r="5711" ht="204.75" customHeight="1">
      <c r="A5711" s="1">
        <v>4157.0</v>
      </c>
      <c r="B5711" s="2" t="s">
        <v>15582</v>
      </c>
      <c r="C5711" s="2">
        <f>IFERROR(__xludf.DUMMYFUNCTION("split(B5711,""_"")"),1110.0)</f>
        <v>1110</v>
      </c>
      <c r="D5711" s="2" t="str">
        <f>IFERROR(__xludf.DUMMYFUNCTION("""COMPUTED_VALUE"""),"TBS")</f>
        <v>TBS</v>
      </c>
      <c r="E5711" s="2" t="str">
        <f>IFERROR(__xludf.DUMMYFUNCTION("""COMPUTED_VALUE"""),"金22")</f>
        <v>金22</v>
      </c>
      <c r="F5711" s="2" t="s">
        <v>15583</v>
      </c>
      <c r="G5711" s="2" t="s">
        <v>15598</v>
      </c>
      <c r="H5711" s="1">
        <v>8.0</v>
      </c>
      <c r="J5711" s="1" t="s">
        <v>86</v>
      </c>
      <c r="K5711" s="2" t="s">
        <v>15599</v>
      </c>
      <c r="L5711" s="2"/>
      <c r="M5711" s="2" t="str">
        <f>IFERROR(__xludf.DUMMYFUNCTION("split(split(K5711,""【"",false),""公式LINE"",false)"),"芹菜(深田)は陣内(桐谷)の指示で武文(藤木)のスーツに盗聴マイクを仕掛けるが、いい加減なつけ方が原因でマイクが外れ、事態は思わぬ方向へ。そんな中、武文は新山常務(遠藤)に利用されていると知った芹菜は、千早(石田)に自分が妻であることを明かし、武文をこれ以上苦しめないでくれと頼む。一方、新山から新たな仕事として、吸収合併の条件として要求されているリストラの人選をしろと言われた武文は困惑する。さらに泰介から新山の背任行為の証拠を掴めと言われる。武文が断ると態度を豹変させる泰介。武文のあとをつけていた芹菜は、"&amp;"これまで見たことの無い父親の姿に愕然とする。そして自分のせいで武文を苦しめていた事実を知った芹菜は探偵を辞めると泣いて自分を責める。芹菜を想う陣内はそんな姿を見て切ない気持ちが募り…。翌日、芹菜は武文の前からも陣内の前からも姿を消してしまう…浅葱芹菜…深田恭子　  浅葱武文…藤木直人  陣内春樹…桐谷健太  十島丈二…古田新太  戸倉もと子…芦名星  梶木圭吾…丸山智己  新山晃…遠藤憲一  新山千早…石田ゆり子  藤元泰介…小日向文世    ")</f>
        <v>芹菜(深田)は陣内(桐谷)の指示で武文(藤木)のスーツに盗聴マイクを仕掛けるが、いい加減なつけ方が原因でマイクが外れ、事態は思わぬ方向へ。そんな中、武文は新山常務(遠藤)に利用されていると知った芹菜は、千早(石田)に自分が妻であることを明かし、武文をこれ以上苦しめないでくれと頼む。一方、新山から新たな仕事として、吸収合併の条件として要求されているリストラの人選をしろと言われた武文は困惑する。さらに泰介から新山の背任行為の証拠を掴めと言われる。武文が断ると態度を豹変させる泰介。武文のあとをつけていた芹菜は、これまで見たことの無い父親の姿に愕然とする。そして自分のせいで武文を苦しめていた事実を知った芹菜は探偵を辞めると泣いて自分を責める。芹菜を想う陣内はそんな姿を見て切ない気持ちが募り…。翌日、芹菜は武文の前からも陣内の前からも姿を消してしまう…浅葱芹菜…深田恭子　  浅葱武文…藤木直人  陣内春樹…桐谷健太  十島丈二…古田新太  戸倉もと子…芦名星  梶木圭吾…丸山智己  新山晃…遠藤憲一  新山千早…石田ゆり子  藤元泰介…小日向文世    </v>
      </c>
      <c r="N5711" s="2"/>
      <c r="O5711" s="2"/>
      <c r="P5711" s="1"/>
      <c r="Q5711" s="1"/>
      <c r="R5711" s="1"/>
      <c r="S5711" s="1"/>
      <c r="T5711" s="1"/>
      <c r="U5711" s="1"/>
      <c r="V5711" s="1"/>
      <c r="W5711" s="1"/>
      <c r="X5711" s="1"/>
      <c r="Y5711" s="1"/>
      <c r="Z5711" s="1"/>
      <c r="AA5711" s="1"/>
      <c r="AB5711" s="1"/>
      <c r="AC5711" s="1"/>
      <c r="AD5711" s="1"/>
      <c r="AE5711" s="1"/>
      <c r="AF5711" s="1"/>
      <c r="AG5711" s="1"/>
      <c r="AH5711" s="1"/>
      <c r="AI5711" s="1"/>
      <c r="AJ5711" s="1"/>
      <c r="AK5711" s="1"/>
      <c r="AL5711" s="1"/>
      <c r="AM5711" s="1"/>
      <c r="AN5711" s="1"/>
      <c r="AO5711" s="1"/>
      <c r="AP5711" s="1"/>
      <c r="AQ5711" s="1"/>
      <c r="AR5711" s="1"/>
      <c r="AS5711" s="1"/>
      <c r="AT5711" s="1"/>
      <c r="AU5711" s="1"/>
      <c r="AV5711" s="1"/>
      <c r="AW5711" s="1"/>
      <c r="AX5711" s="1"/>
      <c r="AY5711" s="1"/>
      <c r="AZ5711" s="1"/>
      <c r="BA5711" s="1"/>
      <c r="BB5711" s="1"/>
    </row>
    <row r="5712" ht="204.75" customHeight="1">
      <c r="A5712" s="1">
        <v>4158.0</v>
      </c>
      <c r="B5712" s="2" t="s">
        <v>15582</v>
      </c>
      <c r="C5712" s="2">
        <f>IFERROR(__xludf.DUMMYFUNCTION("split(B5712,""_"")"),1110.0)</f>
        <v>1110</v>
      </c>
      <c r="D5712" s="2" t="str">
        <f>IFERROR(__xludf.DUMMYFUNCTION("""COMPUTED_VALUE"""),"TBS")</f>
        <v>TBS</v>
      </c>
      <c r="E5712" s="2" t="str">
        <f>IFERROR(__xludf.DUMMYFUNCTION("""COMPUTED_VALUE"""),"金22")</f>
        <v>金22</v>
      </c>
      <c r="F5712" s="2" t="s">
        <v>15583</v>
      </c>
      <c r="G5712" s="2" t="s">
        <v>15600</v>
      </c>
      <c r="H5712" s="1">
        <v>9.0</v>
      </c>
      <c r="J5712" s="1" t="s">
        <v>86</v>
      </c>
      <c r="K5712" s="2" t="s">
        <v>15601</v>
      </c>
      <c r="L5712" s="2"/>
      <c r="M5712" s="2" t="str">
        <f>IFERROR(__xludf.DUMMYFUNCTION("split(split(K5712,""【"",false),""公式LINE"",false)"),"浅葱芹菜…深田恭子　  浅葱武文…藤木直人  陣内春樹…桐谷健太  十島丈二…古田新太  戸倉もと子…芦名星  梶木圭吾…丸山智己  新山晃…遠藤憲一  新山千早…石田ゆり子  藤元泰介…小日向文世    ")</f>
        <v>浅葱芹菜…深田恭子　  浅葱武文…藤木直人  陣内春樹…桐谷健太  十島丈二…古田新太  戸倉もと子…芦名星  梶木圭吾…丸山智己  新山晃…遠藤憲一  新山千早…石田ゆり子  藤元泰介…小日向文世    </v>
      </c>
      <c r="N5712" s="2"/>
      <c r="O5712" s="2"/>
      <c r="P5712" s="1"/>
      <c r="Q5712" s="1"/>
      <c r="R5712" s="1"/>
      <c r="S5712" s="1"/>
      <c r="T5712" s="1"/>
      <c r="U5712" s="1"/>
      <c r="V5712" s="1"/>
      <c r="W5712" s="1"/>
      <c r="X5712" s="1"/>
      <c r="Y5712" s="1"/>
      <c r="Z5712" s="1"/>
      <c r="AA5712" s="1"/>
      <c r="AB5712" s="1"/>
      <c r="AC5712" s="1"/>
      <c r="AD5712" s="1"/>
      <c r="AE5712" s="1"/>
      <c r="AF5712" s="1"/>
      <c r="AG5712" s="1"/>
      <c r="AH5712" s="1"/>
      <c r="AI5712" s="1"/>
      <c r="AJ5712" s="1"/>
      <c r="AK5712" s="1"/>
      <c r="AL5712" s="1"/>
      <c r="AM5712" s="1"/>
      <c r="AN5712" s="1"/>
      <c r="AO5712" s="1"/>
      <c r="AP5712" s="1"/>
      <c r="AQ5712" s="1"/>
      <c r="AR5712" s="1"/>
      <c r="AS5712" s="1"/>
      <c r="AT5712" s="1"/>
      <c r="AU5712" s="1"/>
      <c r="AV5712" s="1"/>
      <c r="AW5712" s="1"/>
      <c r="AX5712" s="1"/>
      <c r="AY5712" s="1"/>
      <c r="AZ5712" s="1"/>
      <c r="BA5712" s="1"/>
      <c r="BB5712" s="1"/>
    </row>
    <row r="5713" ht="204.75" customHeight="1">
      <c r="A5713" s="1">
        <v>4178.0</v>
      </c>
      <c r="B5713" s="2" t="s">
        <v>15602</v>
      </c>
      <c r="C5713" s="2">
        <f>IFERROR(__xludf.DUMMYFUNCTION("split(B5713,""_"")"),1110.0)</f>
        <v>1110</v>
      </c>
      <c r="D5713" s="2" t="str">
        <f>IFERROR(__xludf.DUMMYFUNCTION("""COMPUTED_VALUE"""),"TBS")</f>
        <v>TBS</v>
      </c>
      <c r="E5713" s="2" t="str">
        <f>IFERROR(__xludf.DUMMYFUNCTION("""COMPUTED_VALUE"""),"日21")</f>
        <v>日21</v>
      </c>
      <c r="F5713" s="2" t="s">
        <v>15603</v>
      </c>
      <c r="G5713" s="2" t="s">
        <v>15604</v>
      </c>
      <c r="H5713" s="1">
        <v>1.0</v>
      </c>
      <c r="J5713" s="1" t="s">
        <v>1647</v>
      </c>
      <c r="K5713" s="2" t="s">
        <v>15605</v>
      </c>
      <c r="L5713" s="2"/>
      <c r="M5713" s="2" t="str">
        <f>IFERROR(__xludf.DUMMYFUNCTION("split(split(K5713,""【"",false),""公式LINE"",false)"),"戦後10年が過ぎ復興の一途を辿っていた日本。人々は必死に働いた。一面の焼け野原から、瓦礫を拾い、道を作り、家を建てた。しかし日本人の心には「敗戦」の2文字が残った。そんな中世界的に、地球を研究しようという動きが起こった。「南極観測」。中心となって動いたのが倉持岳志（木村拓哉）だった。負け犬と馬鹿にされたブリュッセルでの国際会議に始まり、何より諦めていたのは日本国だった。今日の飯を食うので精一杯。そんな落ち込んだ国を動かしたのは小さな力だった。南極観測が国家事業として承認され、1年後の出航に向けて奮闘する倉"&amp;"持達、熱き日本人の生き様を描く第一話。愛と絆の感動物語がここに始まる。倉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星野英太郎…香川照之  古館綾子…木村多江  古館遥…芦田愛菜  古館亮…井上瑞稀（ジャニーズJr．）古館智大…山本學  倉持の妻…仲間由紀恵  倉持の"&amp;"父…渡瀬恒彦")</f>
        <v>戦後10年が過ぎ復興の一途を辿っていた日本。人々は必死に働いた。一面の焼け野原から、瓦礫を拾い、道を作り、家を建てた。しかし日本人の心には「敗戦」の2文字が残った。そんな中世界的に、地球を研究しようという動きが起こった。「南極観測」。中心となって動いたのが倉持岳志（木村拓哉）だった。負け犬と馬鹿にされたブリュッセルでの国際会議に始まり、何より諦めていたのは日本国だった。今日の飯を食うので精一杯。そんな落ち込んだ国を動かしたのは小さな力だった。南極観測が国家事業として承認され、1年後の出航に向けて奮闘する倉持達、熱き日本人の生き様を描く第一話。愛と絆の感動物語がここに始まる。倉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星野英太郎…香川照之  古館綾子…木村多江  古館遥…芦田愛菜  古館亮…井上瑞稀（ジャニーズJr．）古館智大…山本學  倉持の妻…仲間由紀恵  倉持の父…渡瀬恒彦</v>
      </c>
      <c r="N5713" s="2"/>
      <c r="O5713" s="2"/>
      <c r="P5713" s="1"/>
      <c r="Q5713" s="1"/>
      <c r="R5713" s="1"/>
      <c r="S5713" s="1"/>
      <c r="T5713" s="1"/>
      <c r="U5713" s="1"/>
      <c r="V5713" s="1"/>
      <c r="W5713" s="1"/>
      <c r="X5713" s="1"/>
      <c r="Y5713" s="1"/>
      <c r="Z5713" s="1"/>
      <c r="AA5713" s="1"/>
      <c r="AB5713" s="1"/>
      <c r="AC5713" s="1"/>
      <c r="AD5713" s="1"/>
      <c r="AE5713" s="1"/>
      <c r="AF5713" s="1"/>
      <c r="AG5713" s="1"/>
      <c r="AH5713" s="1"/>
      <c r="AI5713" s="1"/>
      <c r="AJ5713" s="1"/>
      <c r="AK5713" s="1"/>
      <c r="AL5713" s="1"/>
      <c r="AM5713" s="1"/>
      <c r="AN5713" s="1"/>
      <c r="AO5713" s="1"/>
      <c r="AP5713" s="1"/>
      <c r="AQ5713" s="1"/>
      <c r="AR5713" s="1"/>
      <c r="AS5713" s="1"/>
      <c r="AT5713" s="1"/>
      <c r="AU5713" s="1"/>
      <c r="AV5713" s="1"/>
      <c r="AW5713" s="1"/>
      <c r="AX5713" s="1"/>
      <c r="AY5713" s="1"/>
      <c r="AZ5713" s="1"/>
      <c r="BA5713" s="1"/>
      <c r="BB5713" s="1"/>
    </row>
    <row r="5714" ht="204.75" customHeight="1">
      <c r="A5714" s="1">
        <v>4179.0</v>
      </c>
      <c r="B5714" s="2" t="s">
        <v>15602</v>
      </c>
      <c r="C5714" s="2">
        <f>IFERROR(__xludf.DUMMYFUNCTION("split(B5714,""_"")"),1110.0)</f>
        <v>1110</v>
      </c>
      <c r="D5714" s="2" t="str">
        <f>IFERROR(__xludf.DUMMYFUNCTION("""COMPUTED_VALUE"""),"TBS")</f>
        <v>TBS</v>
      </c>
      <c r="E5714" s="2" t="str">
        <f>IFERROR(__xludf.DUMMYFUNCTION("""COMPUTED_VALUE"""),"日21")</f>
        <v>日21</v>
      </c>
      <c r="F5714" s="2" t="s">
        <v>15603</v>
      </c>
      <c r="G5714" s="2" t="s">
        <v>15606</v>
      </c>
      <c r="H5714" s="1">
        <v>2.0</v>
      </c>
      <c r="J5714" s="1" t="s">
        <v>4</v>
      </c>
      <c r="K5714" s="2" t="s">
        <v>15607</v>
      </c>
      <c r="L5714" s="2"/>
      <c r="M5714" s="2" t="str">
        <f>IFERROR(__xludf.DUMMYFUNCTION("split(split(K5714,""【"",false),""公式LINE"",false)"),"倉持岳志…木村拓哉（SMAP）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1956年11月8日、日本人の夢と希望と誇りを背負い、南極観測船宗谷は2万キロの航海へと旅立った。しかし、彼らを待ち受けていたのは、壮絶な船旅だった。吠える60度と呼ばれる暴風圏、灼熱のインド洋、苛酷な環"&amp;"境の中、隊員達の意見は対立を始める。また大嵐により、大勢の負傷者、火災が勃発。倉持達は生き残る事ができるのだろうか。そして無事南極へたどり着く事ができるのだろうか？南極への想いはみな違う形だった。夢、誇り、愛する人の為、家族との約束。様々な感情が交錯する第2話。第二話10分拡大スペシャル！！")</f>
        <v>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1956年11月8日、日本人の夢と希望と誇りを背負い、南極観測船宗谷は2万キロの航海へと旅立った。しかし、彼らを待ち受けていたのは、壮絶な船旅だった。吠える60度と呼ばれる暴風圏、灼熱のインド洋、苛酷な環境の中、隊員達の意見は対立を始める。また大嵐により、大勢の負傷者、火災が勃発。倉持達は生き残る事ができるのだろうか。そして無事南極へたどり着く事ができるのだろうか？南極への想いはみな違う形だった。夢、誇り、愛する人の為、家族との約束。様々な感情が交錯する第2話。第二話10分拡大スペシャル！！</v>
      </c>
      <c r="N5714" s="2"/>
      <c r="O5714" s="2"/>
      <c r="P5714" s="1"/>
      <c r="Q5714" s="1"/>
      <c r="R5714" s="1"/>
      <c r="S5714" s="1"/>
      <c r="T5714" s="1"/>
      <c r="U5714" s="1"/>
      <c r="V5714" s="1"/>
      <c r="W5714" s="1"/>
      <c r="X5714" s="1"/>
      <c r="Y5714" s="1"/>
      <c r="Z5714" s="1"/>
      <c r="AA5714" s="1"/>
      <c r="AB5714" s="1"/>
      <c r="AC5714" s="1"/>
      <c r="AD5714" s="1"/>
      <c r="AE5714" s="1"/>
      <c r="AF5714" s="1"/>
      <c r="AG5714" s="1"/>
      <c r="AH5714" s="1"/>
      <c r="AI5714" s="1"/>
      <c r="AJ5714" s="1"/>
      <c r="AK5714" s="1"/>
      <c r="AL5714" s="1"/>
      <c r="AM5714" s="1"/>
      <c r="AN5714" s="1"/>
      <c r="AO5714" s="1"/>
      <c r="AP5714" s="1"/>
      <c r="AQ5714" s="1"/>
      <c r="AR5714" s="1"/>
      <c r="AS5714" s="1"/>
      <c r="AT5714" s="1"/>
      <c r="AU5714" s="1"/>
      <c r="AV5714" s="1"/>
      <c r="AW5714" s="1"/>
      <c r="AX5714" s="1"/>
      <c r="AY5714" s="1"/>
      <c r="AZ5714" s="1"/>
      <c r="BA5714" s="1"/>
      <c r="BB5714" s="1"/>
    </row>
    <row r="5715" ht="204.75" customHeight="1">
      <c r="A5715" s="1">
        <v>4180.0</v>
      </c>
      <c r="B5715" s="2" t="s">
        <v>15602</v>
      </c>
      <c r="C5715" s="2">
        <f>IFERROR(__xludf.DUMMYFUNCTION("split(B5715,""_"")"),1110.0)</f>
        <v>1110</v>
      </c>
      <c r="D5715" s="2" t="str">
        <f>IFERROR(__xludf.DUMMYFUNCTION("""COMPUTED_VALUE"""),"TBS")</f>
        <v>TBS</v>
      </c>
      <c r="E5715" s="2" t="str">
        <f>IFERROR(__xludf.DUMMYFUNCTION("""COMPUTED_VALUE"""),"日21")</f>
        <v>日21</v>
      </c>
      <c r="F5715" s="2" t="s">
        <v>15603</v>
      </c>
      <c r="G5715" s="2" t="s">
        <v>15608</v>
      </c>
      <c r="H5715" s="1">
        <v>3.0</v>
      </c>
      <c r="J5715" s="1" t="s">
        <v>4</v>
      </c>
      <c r="K5715" s="2" t="s">
        <v>15609</v>
      </c>
      <c r="L5715" s="2"/>
      <c r="M5715" s="2" t="str">
        <f>IFERROR(__xludf.DUMMYFUNCTION("split(split(K5715,""【"",false),""公式LINE"",false)"),"日本を出航して2ヶ月、いよいよ南極圏へ到達した観測船「宗谷」。しかし、南極の分厚い氷を前に身動きが取れなくなってしまう。そんな中偵察飛行の結果オングル島への上陸が可能とわかる。ついに南極の景色を目の当たりにする倉持達。しかし、本当の試練はこれからだった。未知の大陸が引き起こす脅威になす術のない倉持達。そして、夢と希望を背負った犬ぞりも・・・ついに南極大陸上陸！！物語は動き出す。南極に運命を託した男たち、帰りを信じる女たちの愛と感動の第3話。倉持岳志…木村拓哉（SMAP）  高岡美雪…綾瀬はるか  氷室晴彦"&amp;"…堺雅人  犬塚夏男…山本裕典  横峰新吉…吉沢悠  船木幾蔵…岡田義徳  谷健之助…志賀廣太郎  嵐山肇…川村陽介  山里万平…ドロンズ石本  白崎優…柴田恭兵（特別出演）  鮫島直人…寺島進  内海典章…緒形直人  星野栄太郎…香川照之第三話10分拡大スペシャル！！")</f>
        <v>日本を出航して2ヶ月、いよいよ南極圏へ到達した観測船「宗谷」。しかし、南極の分厚い氷を前に身動きが取れなくなってしまう。そんな中偵察飛行の結果オングル島への上陸が可能とわかる。ついに南極の景色を目の当たりにする倉持達。しかし、本当の試練はこれからだった。未知の大陸が引き起こす脅威になす術のない倉持達。そして、夢と希望を背負った犬ぞりも・・・ついに南極大陸上陸！！物語は動き出す。南極に運命を託した男たち、帰りを信じる女たちの愛と感動の第3話。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星野栄太郎…香川照之第三話10分拡大スペシャル！！</v>
      </c>
      <c r="N5715" s="2"/>
      <c r="O5715" s="2"/>
      <c r="P5715" s="1"/>
      <c r="Q5715" s="1"/>
      <c r="R5715" s="1"/>
      <c r="S5715" s="1"/>
      <c r="T5715" s="1"/>
      <c r="U5715" s="1"/>
      <c r="V5715" s="1"/>
      <c r="W5715" s="1"/>
      <c r="X5715" s="1"/>
      <c r="Y5715" s="1"/>
      <c r="Z5715" s="1"/>
      <c r="AA5715" s="1"/>
      <c r="AB5715" s="1"/>
      <c r="AC5715" s="1"/>
      <c r="AD5715" s="1"/>
      <c r="AE5715" s="1"/>
      <c r="AF5715" s="1"/>
      <c r="AG5715" s="1"/>
      <c r="AH5715" s="1"/>
      <c r="AI5715" s="1"/>
      <c r="AJ5715" s="1"/>
      <c r="AK5715" s="1"/>
      <c r="AL5715" s="1"/>
      <c r="AM5715" s="1"/>
      <c r="AN5715" s="1"/>
      <c r="AO5715" s="1"/>
      <c r="AP5715" s="1"/>
      <c r="AQ5715" s="1"/>
      <c r="AR5715" s="1"/>
      <c r="AS5715" s="1"/>
      <c r="AT5715" s="1"/>
      <c r="AU5715" s="1"/>
      <c r="AV5715" s="1"/>
      <c r="AW5715" s="1"/>
      <c r="AX5715" s="1"/>
      <c r="AY5715" s="1"/>
      <c r="AZ5715" s="1"/>
      <c r="BA5715" s="1"/>
      <c r="BB5715" s="1"/>
    </row>
    <row r="5716" ht="204.75" customHeight="1">
      <c r="A5716" s="1">
        <v>4181.0</v>
      </c>
      <c r="B5716" s="2" t="s">
        <v>15602</v>
      </c>
      <c r="C5716" s="2">
        <f>IFERROR(__xludf.DUMMYFUNCTION("split(B5716,""_"")"),1110.0)</f>
        <v>1110</v>
      </c>
      <c r="D5716" s="2" t="str">
        <f>IFERROR(__xludf.DUMMYFUNCTION("""COMPUTED_VALUE"""),"TBS")</f>
        <v>TBS</v>
      </c>
      <c r="E5716" s="2" t="str">
        <f>IFERROR(__xludf.DUMMYFUNCTION("""COMPUTED_VALUE"""),"日21")</f>
        <v>日21</v>
      </c>
      <c r="F5716" s="2" t="s">
        <v>15603</v>
      </c>
      <c r="G5716" s="2" t="s">
        <v>15610</v>
      </c>
      <c r="H5716" s="1">
        <v>4.0</v>
      </c>
      <c r="J5716" s="1" t="s">
        <v>11</v>
      </c>
      <c r="K5716" s="2" t="s">
        <v>15611</v>
      </c>
      <c r="L5716" s="2"/>
      <c r="M5716" s="2" t="str">
        <f>IFERROR(__xludf.DUMMYFUNCTION("split(split(K5716,""【"",false),""公式LINE"",false)"),"倉持岳志…木村拓哉（SMAP）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1957年2月15日、11人の越冬隊を残して、観測船宗谷は帰国の途についた。希望に満ちた越冬生活が始まるはずだった。しかし、またも食料を海に流されてしまった倉持達。それはこれから始まる苦難の幕開けだった。"&amp;"南極での生活を始める、越冬隊員達はそれぞれに研究テーマを課した。最年少の犬塚が選んだのは大学でも研究しているというオーロラ観測だった。しかし・・・宗谷離岸。ついに苦難の越冬生活が開始される。そして犬達にも困難が訪れる。")</f>
        <v>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1957年2月15日、11人の越冬隊を残して、観測船宗谷は帰国の途についた。希望に満ちた越冬生活が始まるはずだった。しかし、またも食料を海に流されてしまった倉持達。それはこれから始まる苦難の幕開けだった。南極での生活を始める、越冬隊員達はそれぞれに研究テーマを課した。最年少の犬塚が選んだのは大学でも研究しているというオーロラ観測だった。しかし・・・宗谷離岸。ついに苦難の越冬生活が開始される。そして犬達にも困難が訪れる。</v>
      </c>
      <c r="N5716" s="2"/>
      <c r="O5716" s="2"/>
      <c r="P5716" s="1"/>
      <c r="Q5716" s="1"/>
      <c r="R5716" s="1"/>
      <c r="S5716" s="1"/>
      <c r="T5716" s="1"/>
      <c r="U5716" s="1"/>
      <c r="V5716" s="1"/>
      <c r="W5716" s="1"/>
      <c r="X5716" s="1"/>
      <c r="Y5716" s="1"/>
      <c r="Z5716" s="1"/>
      <c r="AA5716" s="1"/>
      <c r="AB5716" s="1"/>
      <c r="AC5716" s="1"/>
      <c r="AD5716" s="1"/>
      <c r="AE5716" s="1"/>
      <c r="AF5716" s="1"/>
      <c r="AG5716" s="1"/>
      <c r="AH5716" s="1"/>
      <c r="AI5716" s="1"/>
      <c r="AJ5716" s="1"/>
      <c r="AK5716" s="1"/>
      <c r="AL5716" s="1"/>
      <c r="AM5716" s="1"/>
      <c r="AN5716" s="1"/>
      <c r="AO5716" s="1"/>
      <c r="AP5716" s="1"/>
      <c r="AQ5716" s="1"/>
      <c r="AR5716" s="1"/>
      <c r="AS5716" s="1"/>
      <c r="AT5716" s="1"/>
      <c r="AU5716" s="1"/>
      <c r="AV5716" s="1"/>
      <c r="AW5716" s="1"/>
      <c r="AX5716" s="1"/>
      <c r="AY5716" s="1"/>
      <c r="AZ5716" s="1"/>
      <c r="BA5716" s="1"/>
      <c r="BB5716" s="1"/>
    </row>
    <row r="5717" ht="204.75" customHeight="1">
      <c r="A5717" s="1">
        <v>4182.0</v>
      </c>
      <c r="B5717" s="2" t="s">
        <v>15602</v>
      </c>
      <c r="C5717" s="2">
        <f>IFERROR(__xludf.DUMMYFUNCTION("split(B5717,""_"")"),1110.0)</f>
        <v>1110</v>
      </c>
      <c r="D5717" s="2" t="str">
        <f>IFERROR(__xludf.DUMMYFUNCTION("""COMPUTED_VALUE"""),"TBS")</f>
        <v>TBS</v>
      </c>
      <c r="E5717" s="2" t="str">
        <f>IFERROR(__xludf.DUMMYFUNCTION("""COMPUTED_VALUE"""),"日21")</f>
        <v>日21</v>
      </c>
      <c r="F5717" s="2" t="s">
        <v>15603</v>
      </c>
      <c r="G5717" s="2" t="s">
        <v>15612</v>
      </c>
      <c r="H5717" s="1">
        <v>5.0</v>
      </c>
      <c r="J5717" s="1" t="s">
        <v>11</v>
      </c>
      <c r="K5717" s="2" t="s">
        <v>15613</v>
      </c>
      <c r="L5717" s="2"/>
      <c r="M5717" s="2" t="str">
        <f>IFERROR(__xludf.DUMMYFUNCTION("split(split(K5717,""【"",false),""公式LINE"",false)"),"越冬生活も半年を迎えた頃、倉持は自らの運命に立ち向かおうとしていた。父の夢でもあった世界初のボツンヌーテン登頂。往復400キロの道のりを進む倉持達。それは正に南極最大の試練の始まりだった。吹き荒れるブリザードの中、果たしてボツンヌーテンにたどり着くことが出来るのだろうか？そして氷室を襲う試練とは？  彼らを導く小さな光。それは一体？人間と樺太犬の絆がつむぎだす感動のドラマが明らかになる！！倉持岳志…木村拓哉（SMAP）  高岡美雪…綾瀬はるか  氷室晴彦…堺雅人  犬塚夏男…山本裕典  横峰新吉…吉沢悠 "&amp;" 船木幾蔵…岡田義徳  谷健之助…志賀廣太郎  嵐山肇…川村陽介  山里万平…ドロンズ石本  白崎優…柴田恭兵（特別出演）  鮫島直人…寺島進  内海典章…緒形直人  星野栄太郎…香川照之  古館綾子…木村多江  古館遥…芦田愛菜  倉持の父…渡瀬恒彦")</f>
        <v>越冬生活も半年を迎えた頃、倉持は自らの運命に立ち向かおうとしていた。父の夢でもあった世界初のボツンヌーテン登頂。往復400キロの道のりを進む倉持達。それは正に南極最大の試練の始まりだった。吹き荒れるブリザードの中、果たしてボツンヌーテンにたどり着くことが出来るのだろうか？そして氷室を襲う試練とは？  彼らを導く小さな光。それは一体？人間と樺太犬の絆がつむぎだす感動のドラマが明らかになる！！倉持岳志…木村拓哉（SMAP）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  古館綾子…木村多江  古館遥…芦田愛菜  倉持の父…渡瀬恒彦</v>
      </c>
      <c r="N5717" s="2"/>
      <c r="O5717" s="2"/>
      <c r="P5717" s="1"/>
      <c r="Q5717" s="1"/>
      <c r="R5717" s="1"/>
      <c r="S5717" s="1"/>
      <c r="T5717" s="1"/>
      <c r="U5717" s="1"/>
      <c r="V5717" s="1"/>
      <c r="W5717" s="1"/>
      <c r="X5717" s="1"/>
      <c r="Y5717" s="1"/>
      <c r="Z5717" s="1"/>
      <c r="AA5717" s="1"/>
      <c r="AB5717" s="1"/>
      <c r="AC5717" s="1"/>
      <c r="AD5717" s="1"/>
      <c r="AE5717" s="1"/>
      <c r="AF5717" s="1"/>
      <c r="AG5717" s="1"/>
      <c r="AH5717" s="1"/>
      <c r="AI5717" s="1"/>
      <c r="AJ5717" s="1"/>
      <c r="AK5717" s="1"/>
      <c r="AL5717" s="1"/>
      <c r="AM5717" s="1"/>
      <c r="AN5717" s="1"/>
      <c r="AO5717" s="1"/>
      <c r="AP5717" s="1"/>
      <c r="AQ5717" s="1"/>
      <c r="AR5717" s="1"/>
      <c r="AS5717" s="1"/>
      <c r="AT5717" s="1"/>
      <c r="AU5717" s="1"/>
      <c r="AV5717" s="1"/>
      <c r="AW5717" s="1"/>
      <c r="AX5717" s="1"/>
      <c r="AY5717" s="1"/>
      <c r="AZ5717" s="1"/>
      <c r="BA5717" s="1"/>
      <c r="BB5717" s="1"/>
    </row>
    <row r="5718" ht="204.75" customHeight="1">
      <c r="A5718" s="1">
        <v>4183.0</v>
      </c>
      <c r="B5718" s="2" t="s">
        <v>15602</v>
      </c>
      <c r="C5718" s="2">
        <f>IFERROR(__xludf.DUMMYFUNCTION("split(B5718,""_"")"),1110.0)</f>
        <v>1110</v>
      </c>
      <c r="D5718" s="2" t="str">
        <f>IFERROR(__xludf.DUMMYFUNCTION("""COMPUTED_VALUE"""),"TBS")</f>
        <v>TBS</v>
      </c>
      <c r="E5718" s="2" t="str">
        <f>IFERROR(__xludf.DUMMYFUNCTION("""COMPUTED_VALUE"""),"日21")</f>
        <v>日21</v>
      </c>
      <c r="F5718" s="2" t="s">
        <v>15603</v>
      </c>
      <c r="G5718" s="2" t="s">
        <v>15614</v>
      </c>
      <c r="H5718" s="1">
        <v>6.0</v>
      </c>
      <c r="J5718" s="1" t="s">
        <v>11</v>
      </c>
      <c r="K5718" s="2" t="s">
        <v>15615</v>
      </c>
      <c r="L5718" s="2"/>
      <c r="M5718" s="2" t="str">
        <f>IFERROR(__xludf.DUMMYFUNCTION("split(split(K5718,""【"",false),""公式LINE"",false)"),"ボツンヌーテン登頂を果たした倉持たちを待ち受けていたのは、非常な運命だった。薄れゆく意識の中で、奇跡を託したのは彼らと命を預けあってきた樺太犬のリキとタロ・ジロだった。仲間の元へ必死に走る犬たち。倉持たちの思いは届くのだろうか。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内海典章…緒形直人"&amp;"  星野栄太郎…香川照之  古館綾子…木村多江  古館遥…芦田愛菜  倉持の父…渡瀬恒彦")</f>
        <v>ボツンヌーテン登頂を果たした倉持たちを待ち受けていたのは、非常な運命だった。薄れゆく意識の中で、奇跡を託したのは彼らと命を預けあってきた樺太犬のリキとタロ・ジロだった。仲間の元へ必死に走る犬たち。倉持たちの思いは届くのだろうか。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  古館綾子…木村多江  古館遥…芦田愛菜  倉持の父…渡瀬恒彦</v>
      </c>
      <c r="N5718" s="2"/>
      <c r="O5718" s="2"/>
      <c r="P5718" s="1"/>
      <c r="Q5718" s="1"/>
      <c r="R5718" s="1"/>
      <c r="S5718" s="1"/>
      <c r="T5718" s="1"/>
      <c r="U5718" s="1"/>
      <c r="V5718" s="1"/>
      <c r="W5718" s="1"/>
      <c r="X5718" s="1"/>
      <c r="Y5718" s="1"/>
      <c r="Z5718" s="1"/>
      <c r="AA5718" s="1"/>
      <c r="AB5718" s="1"/>
      <c r="AC5718" s="1"/>
      <c r="AD5718" s="1"/>
      <c r="AE5718" s="1"/>
      <c r="AF5718" s="1"/>
      <c r="AG5718" s="1"/>
      <c r="AH5718" s="1"/>
      <c r="AI5718" s="1"/>
      <c r="AJ5718" s="1"/>
      <c r="AK5718" s="1"/>
      <c r="AL5718" s="1"/>
      <c r="AM5718" s="1"/>
      <c r="AN5718" s="1"/>
      <c r="AO5718" s="1"/>
      <c r="AP5718" s="1"/>
      <c r="AQ5718" s="1"/>
      <c r="AR5718" s="1"/>
      <c r="AS5718" s="1"/>
      <c r="AT5718" s="1"/>
      <c r="AU5718" s="1"/>
      <c r="AV5718" s="1"/>
      <c r="AW5718" s="1"/>
      <c r="AX5718" s="1"/>
      <c r="AY5718" s="1"/>
      <c r="AZ5718" s="1"/>
      <c r="BA5718" s="1"/>
      <c r="BB5718" s="1"/>
    </row>
    <row r="5719" ht="204.75" customHeight="1">
      <c r="A5719" s="1">
        <v>4184.0</v>
      </c>
      <c r="B5719" s="2" t="s">
        <v>15602</v>
      </c>
      <c r="C5719" s="2">
        <f>IFERROR(__xludf.DUMMYFUNCTION("split(B5719,""_"")"),1110.0)</f>
        <v>1110</v>
      </c>
      <c r="D5719" s="2" t="str">
        <f>IFERROR(__xludf.DUMMYFUNCTION("""COMPUTED_VALUE"""),"TBS")</f>
        <v>TBS</v>
      </c>
      <c r="E5719" s="2" t="str">
        <f>IFERROR(__xludf.DUMMYFUNCTION("""COMPUTED_VALUE"""),"日21")</f>
        <v>日21</v>
      </c>
      <c r="F5719" s="2" t="s">
        <v>15603</v>
      </c>
      <c r="G5719" s="2" t="s">
        <v>15616</v>
      </c>
      <c r="H5719" s="1">
        <v>7.0</v>
      </c>
      <c r="J5719" s="1" t="s">
        <v>11</v>
      </c>
      <c r="K5719" s="2" t="s">
        <v>15617</v>
      </c>
      <c r="L5719" s="2"/>
      <c r="M5719" s="2" t="str">
        <f>IFERROR(__xludf.DUMMYFUNCTION("split(split(K5719,""【"",false),""公式LINE"",false)"),"犬達を残して、一旦宗谷に引き揚げた倉持たち。ブリザードが吹き荒れる中、基地に戻るタイミングをうかがっていた。その中で対立する倉持ら第一次越冬隊と第二次越冬隊隊岩城（宮沢和史）。そして犬達もまた過酷な状況下に置かれていた。一週間分の食糧を残してきた倉持達。しかし、刻一刻と時間は過ぎ去っていく。以前吹き止まぬブリザード。人間と犬達の生き残りをかけた真実の物語が明かされる。倉持岳志…木村拓哉（SMAP）  高岡美雪…綾瀬はるか  氷室晴彦…堺雅人  犬塚夏男…山本裕典  横峰新吉…吉沢悠  船木幾蔵…岡田義徳 "&amp;" 谷健之助…志賀廣太郎  嵐山肇…川村陽介  山里万平…ドロンズ石本  白崎優…柴田恭兵（特別出演）  鮫島直人…寺島進  内海典章…緒形直人  星野栄太郎…香川照之  古館綾子…木村多江  古館遥…芦田愛菜  倉持の父…渡瀬恒彦")</f>
        <v>犬達を残して、一旦宗谷に引き揚げた倉持たち。ブリザードが吹き荒れる中、基地に戻るタイミングをうかがっていた。その中で対立する倉持ら第一次越冬隊と第二次越冬隊隊岩城（宮沢和史）。そして犬達もまた過酷な状況下に置かれていた。一週間分の食糧を残してきた倉持達。しかし、刻一刻と時間は過ぎ去っていく。以前吹き止まぬブリザード。人間と犬達の生き残りをかけた真実の物語が明かされる。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  古館綾子…木村多江  古館遥…芦田愛菜  倉持の父…渡瀬恒彦</v>
      </c>
      <c r="N5719" s="2"/>
      <c r="O5719" s="2"/>
      <c r="P5719" s="1"/>
      <c r="Q5719" s="1"/>
      <c r="R5719" s="1"/>
      <c r="S5719" s="1"/>
      <c r="T5719" s="1"/>
      <c r="U5719" s="1"/>
      <c r="V5719" s="1"/>
      <c r="W5719" s="1"/>
      <c r="X5719" s="1"/>
      <c r="Y5719" s="1"/>
      <c r="Z5719" s="1"/>
      <c r="AA5719" s="1"/>
      <c r="AB5719" s="1"/>
      <c r="AC5719" s="1"/>
      <c r="AD5719" s="1"/>
      <c r="AE5719" s="1"/>
      <c r="AF5719" s="1"/>
      <c r="AG5719" s="1"/>
      <c r="AH5719" s="1"/>
      <c r="AI5719" s="1"/>
      <c r="AJ5719" s="1"/>
      <c r="AK5719" s="1"/>
      <c r="AL5719" s="1"/>
      <c r="AM5719" s="1"/>
      <c r="AN5719" s="1"/>
      <c r="AO5719" s="1"/>
      <c r="AP5719" s="1"/>
      <c r="AQ5719" s="1"/>
      <c r="AR5719" s="1"/>
      <c r="AS5719" s="1"/>
      <c r="AT5719" s="1"/>
      <c r="AU5719" s="1"/>
      <c r="AV5719" s="1"/>
      <c r="AW5719" s="1"/>
      <c r="AX5719" s="1"/>
      <c r="AY5719" s="1"/>
      <c r="AZ5719" s="1"/>
      <c r="BA5719" s="1"/>
      <c r="BB5719" s="1"/>
    </row>
    <row r="5720" ht="204.75" customHeight="1">
      <c r="A5720" s="1">
        <v>4185.0</v>
      </c>
      <c r="B5720" s="2" t="s">
        <v>15602</v>
      </c>
      <c r="C5720" s="2">
        <f>IFERROR(__xludf.DUMMYFUNCTION("split(B5720,""_"")"),1110.0)</f>
        <v>1110</v>
      </c>
      <c r="D5720" s="2" t="str">
        <f>IFERROR(__xludf.DUMMYFUNCTION("""COMPUTED_VALUE"""),"TBS")</f>
        <v>TBS</v>
      </c>
      <c r="E5720" s="2" t="str">
        <f>IFERROR(__xludf.DUMMYFUNCTION("""COMPUTED_VALUE"""),"日21")</f>
        <v>日21</v>
      </c>
      <c r="F5720" s="2" t="s">
        <v>15603</v>
      </c>
      <c r="G5720" s="2" t="s">
        <v>15618</v>
      </c>
      <c r="H5720" s="1">
        <v>8.0</v>
      </c>
      <c r="J5720" s="1" t="s">
        <v>4</v>
      </c>
      <c r="K5720" s="2" t="s">
        <v>15619</v>
      </c>
      <c r="L5720" s="2"/>
      <c r="M5720" s="2" t="str">
        <f>IFERROR(__xludf.DUMMYFUNCTION("split(split(K5720,""【"",false),""公式LINE"",false)"),"南極大陸に犬たちを残して、宗谷は離岸した。様々な思いを胸に日本へと向かう倉持達。彼らを待ち受けていたのは、観測隊に対する賞賛の声ではなかった。そして犬達もまた、厳しい状況を強いられていた。飢えと戦いながら、必死で生きようとする犬達。彼らの運命は…54年前、本当に起こった悲劇が今蘇る。倉持岳志…木村拓哉（SMAP）  高岡美雪…綾瀬はるか  氷室晴彦…堺雅人  犬塚夏男…山本裕典  横峰新吉…吉沢悠  船木幾造…岡田義徳  谷健之助…志賀廣太郎  嵐山肇…川村陽介  山里万平…ドロンズ石本  白崎優…柴田恭"&amp;"兵（特別出演）  鮫島直人…寺島進  内海典章…緒形直人  星野英太郎…香川照之  古館綾子…木村多江  古館遥香…芦田愛菜  倉持の父…渡瀬恒彦")</f>
        <v>南極大陸に犬たちを残して、宗谷は離岸した。様々な思いを胸に日本へと向かう倉持達。彼らを待ち受けていたのは、観測隊に対する賞賛の声ではなかった。そして犬達もまた、厳しい状況を強いられていた。飢えと戦いながら、必死で生きようとする犬達。彼らの運命は…54年前、本当に起こった悲劇が今蘇る。倉持岳志…木村拓哉（SMAP）  高岡美雪…綾瀬はるか  氷室晴彦…堺雅人  犬塚夏男…山本裕典  横峰新吉…吉沢悠  船木幾造…岡田義徳  谷健之助…志賀廣太郎  嵐山肇…川村陽介  山里万平…ドロンズ石本  白崎優…柴田恭兵（特別出演）  鮫島直人…寺島進  内海典章…緒形直人  星野英太郎…香川照之  古館綾子…木村多江  古館遥香…芦田愛菜  倉持の父…渡瀬恒彦</v>
      </c>
      <c r="N5720" s="2"/>
      <c r="O5720" s="2"/>
      <c r="P5720" s="1"/>
      <c r="Q5720" s="1"/>
      <c r="R5720" s="1"/>
      <c r="S5720" s="1"/>
      <c r="T5720" s="1"/>
      <c r="U5720" s="1"/>
      <c r="V5720" s="1"/>
      <c r="W5720" s="1"/>
      <c r="X5720" s="1"/>
      <c r="Y5720" s="1"/>
      <c r="Z5720" s="1"/>
      <c r="AA5720" s="1"/>
      <c r="AB5720" s="1"/>
      <c r="AC5720" s="1"/>
      <c r="AD5720" s="1"/>
      <c r="AE5720" s="1"/>
      <c r="AF5720" s="1"/>
      <c r="AG5720" s="1"/>
      <c r="AH5720" s="1"/>
      <c r="AI5720" s="1"/>
      <c r="AJ5720" s="1"/>
      <c r="AK5720" s="1"/>
      <c r="AL5720" s="1"/>
      <c r="AM5720" s="1"/>
      <c r="AN5720" s="1"/>
      <c r="AO5720" s="1"/>
      <c r="AP5720" s="1"/>
      <c r="AQ5720" s="1"/>
      <c r="AR5720" s="1"/>
      <c r="AS5720" s="1"/>
      <c r="AT5720" s="1"/>
      <c r="AU5720" s="1"/>
      <c r="AV5720" s="1"/>
      <c r="AW5720" s="1"/>
      <c r="AX5720" s="1"/>
      <c r="AY5720" s="1"/>
      <c r="AZ5720" s="1"/>
      <c r="BA5720" s="1"/>
      <c r="BB5720" s="1"/>
    </row>
    <row r="5721" ht="204.75" customHeight="1">
      <c r="A5721" s="1">
        <v>4186.0</v>
      </c>
      <c r="B5721" s="2" t="s">
        <v>15602</v>
      </c>
      <c r="C5721" s="2">
        <f>IFERROR(__xludf.DUMMYFUNCTION("split(B5721,""_"")"),1110.0)</f>
        <v>1110</v>
      </c>
      <c r="D5721" s="2" t="str">
        <f>IFERROR(__xludf.DUMMYFUNCTION("""COMPUTED_VALUE"""),"TBS")</f>
        <v>TBS</v>
      </c>
      <c r="E5721" s="2" t="str">
        <f>IFERROR(__xludf.DUMMYFUNCTION("""COMPUTED_VALUE"""),"日21")</f>
        <v>日21</v>
      </c>
      <c r="F5721" s="2" t="s">
        <v>15603</v>
      </c>
      <c r="G5721" s="2" t="s">
        <v>15620</v>
      </c>
      <c r="H5721" s="1">
        <v>9.0</v>
      </c>
      <c r="J5721" s="1" t="s">
        <v>4</v>
      </c>
      <c r="K5721" s="2" t="s">
        <v>15621</v>
      </c>
      <c r="L5721" s="2"/>
      <c r="M5721" s="2" t="str">
        <f>IFERROR(__xludf.DUMMYFUNCTION("split(split(K5721,""【"",false),""公式LINE"",false)"),"犬たちが生きていることを信じ、第三次隊になり、再び南極へ行く決意をする倉持。  その時、第三次観測隊が正式に決まった知らせを受ける。  倉持は、“もう一度、南極に行きたい”という思いを伝えるため、星野 (香川照之)、氷室 (堺雅人) らのいる日本学術会議ビルに戻ってきた。  しかし、第三次隊の選考基準の中に『第一次及び第二次越冬隊に参加した者は除く』項目があり、愕然とする。白崎（柴田恭兵）は、第一次隊からも希望者を募らせてもらえるよう、選考基準を作った文部省の事務次官を説得する。  一方、氷室も独自で大蔵"&amp;"省の次官に掛け合うのだが…。倉持岳志…木村拓哉（SMAP）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  古館綾子…木村多江  古館遥…芦田愛菜  古館亮…井上瑞稀（ジャニーズJr．）古館智大…山本學  倉持の妻…仲間由紀恵  倉持の父…渡瀬恒彦")</f>
        <v>犬たちが生きていることを信じ、第三次隊になり、再び南極へ行く決意をする倉持。  その時、第三次観測隊が正式に決まった知らせを受ける。  倉持は、“もう一度、南極に行きたい”という思いを伝えるため、星野 (香川照之)、氷室 (堺雅人) らのいる日本学術会議ビルに戻ってきた。  しかし、第三次隊の選考基準の中に『第一次及び第二次越冬隊に参加した者は除く』項目があり、愕然とする。白崎（柴田恭兵）は、第一次隊からも希望者を募らせてもらえるよう、選考基準を作った文部省の事務次官を説得する。  一方、氷室も独自で大蔵省の次官に掛け合うのだが…。倉持岳志…木村拓哉（SMAP）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  古館綾子…木村多江  古館遥…芦田愛菜  古館亮…井上瑞稀（ジャニーズJr．）古館智大…山本學  倉持の妻…仲間由紀恵  倉持の父…渡瀬恒彦</v>
      </c>
      <c r="N5721" s="2"/>
      <c r="O5721" s="2"/>
      <c r="P5721" s="1"/>
      <c r="Q5721" s="1"/>
      <c r="R5721" s="1"/>
      <c r="S5721" s="1"/>
      <c r="T5721" s="1"/>
      <c r="U5721" s="1"/>
      <c r="V5721" s="1"/>
      <c r="W5721" s="1"/>
      <c r="X5721" s="1"/>
      <c r="Y5721" s="1"/>
      <c r="Z5721" s="1"/>
      <c r="AA5721" s="1"/>
      <c r="AB5721" s="1"/>
      <c r="AC5721" s="1"/>
      <c r="AD5721" s="1"/>
      <c r="AE5721" s="1"/>
      <c r="AF5721" s="1"/>
      <c r="AG5721" s="1"/>
      <c r="AH5721" s="1"/>
      <c r="AI5721" s="1"/>
      <c r="AJ5721" s="1"/>
      <c r="AK5721" s="1"/>
      <c r="AL5721" s="1"/>
      <c r="AM5721" s="1"/>
      <c r="AN5721" s="1"/>
      <c r="AO5721" s="1"/>
      <c r="AP5721" s="1"/>
      <c r="AQ5721" s="1"/>
      <c r="AR5721" s="1"/>
      <c r="AS5721" s="1"/>
      <c r="AT5721" s="1"/>
      <c r="AU5721" s="1"/>
      <c r="AV5721" s="1"/>
      <c r="AW5721" s="1"/>
      <c r="AX5721" s="1"/>
      <c r="AY5721" s="1"/>
      <c r="AZ5721" s="1"/>
      <c r="BA5721" s="1"/>
      <c r="BB5721" s="1"/>
    </row>
    <row r="5722" ht="204.75" customHeight="1">
      <c r="A5722" s="1">
        <v>4187.0</v>
      </c>
      <c r="B5722" s="2" t="s">
        <v>15602</v>
      </c>
      <c r="C5722" s="2">
        <f>IFERROR(__xludf.DUMMYFUNCTION("split(B5722,""_"")"),1110.0)</f>
        <v>1110</v>
      </c>
      <c r="D5722" s="2" t="str">
        <f>IFERROR(__xludf.DUMMYFUNCTION("""COMPUTED_VALUE"""),"TBS")</f>
        <v>TBS</v>
      </c>
      <c r="E5722" s="2" t="str">
        <f>IFERROR(__xludf.DUMMYFUNCTION("""COMPUTED_VALUE"""),"日21")</f>
        <v>日21</v>
      </c>
      <c r="F5722" s="2" t="s">
        <v>15603</v>
      </c>
      <c r="G5722" s="2" t="s">
        <v>15622</v>
      </c>
      <c r="H5722" s="1">
        <v>10.0</v>
      </c>
      <c r="J5722" s="1" t="s">
        <v>4</v>
      </c>
      <c r="K5722" s="2" t="s">
        <v>15623</v>
      </c>
      <c r="L5722" s="2"/>
      <c r="M5722" s="2" t="str">
        <f>IFERROR(__xludf.DUMMYFUNCTION("split(split(K5722,""【"",false),""公式LINE"",false)"),"南極へ向け荒波を切り裂いて進む「宗谷」は改良されても激しい揺れに苛まれる。  暴風圏をなんとか抜け、南極圏に入ることはできたが、本当の闘いはここから始まった。大陸までは180キロ。  前回の反省を踏まえ、「宗谷」での上陸を目指しながらも、空輸で越冬隊と必要物資を運搬する作戦をたてる。  そして、白崎は天候が回復し、安全な距離になったら一足先に昭和基地に偵察に行く役目を倉持に任命するのだが…。その頃、リキは強いブリザードの中、倒れながらも“ある場所”へ必死に進んでいた…。倉持岳志…木村拓哉（SMAP）  高"&amp;"岡美雪…綾瀬はるか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  古館綾子…木村多江  古館遥…芦田愛菜  古館亮…井上瑞稀（ジャニーズJr．）古館智大…山本學  倉持の妻…仲間由紀恵  倉持の父…渡瀬恒彦")</f>
        <v>南極へ向け荒波を切り裂いて進む「宗谷」は改良されても激しい揺れに苛まれる。  暴風圏をなんとか抜け、南極圏に入ることはできたが、本当の闘いはここから始まった。大陸までは180キロ。  前回の反省を踏まえ、「宗谷」での上陸を目指しながらも、空輸で越冬隊と必要物資を運搬する作戦をたてる。  そして、白崎は天候が回復し、安全な距離になったら一足先に昭和基地に偵察に行く役目を倉持に任命するのだが…。その頃、リキは強いブリザードの中、倒れながらも“ある場所”へ必死に進んでいた…。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  古館綾子…木村多江  古館遥…芦田愛菜  古館亮…井上瑞稀（ジャニーズJr．）古館智大…山本學  倉持の妻…仲間由紀恵  倉持の父…渡瀬恒彦</v>
      </c>
      <c r="N5722" s="2"/>
      <c r="O5722" s="2"/>
      <c r="P5722" s="1"/>
      <c r="Q5722" s="1"/>
      <c r="R5722" s="1"/>
      <c r="S5722" s="1"/>
      <c r="T5722" s="1"/>
      <c r="U5722" s="1"/>
      <c r="V5722" s="1"/>
      <c r="W5722" s="1"/>
      <c r="X5722" s="1"/>
      <c r="Y5722" s="1"/>
      <c r="Z5722" s="1"/>
      <c r="AA5722" s="1"/>
      <c r="AB5722" s="1"/>
      <c r="AC5722" s="1"/>
      <c r="AD5722" s="1"/>
      <c r="AE5722" s="1"/>
      <c r="AF5722" s="1"/>
      <c r="AG5722" s="1"/>
      <c r="AH5722" s="1"/>
      <c r="AI5722" s="1"/>
      <c r="AJ5722" s="1"/>
      <c r="AK5722" s="1"/>
      <c r="AL5722" s="1"/>
      <c r="AM5722" s="1"/>
      <c r="AN5722" s="1"/>
      <c r="AO5722" s="1"/>
      <c r="AP5722" s="1"/>
      <c r="AQ5722" s="1"/>
      <c r="AR5722" s="1"/>
      <c r="AS5722" s="1"/>
      <c r="AT5722" s="1"/>
      <c r="AU5722" s="1"/>
      <c r="AV5722" s="1"/>
      <c r="AW5722" s="1"/>
      <c r="AX5722" s="1"/>
      <c r="AY5722" s="1"/>
      <c r="AZ5722" s="1"/>
      <c r="BA5722" s="1"/>
      <c r="BB5722" s="1"/>
    </row>
    <row r="5723" ht="204.75" customHeight="1">
      <c r="A5723" s="1">
        <v>4275.0</v>
      </c>
      <c r="B5723" s="2" t="s">
        <v>15624</v>
      </c>
      <c r="C5723" s="2">
        <f>IFERROR(__xludf.DUMMYFUNCTION("split(B5723,""_"")"),1107.0)</f>
        <v>1107</v>
      </c>
      <c r="D5723" s="2" t="str">
        <f>IFERROR(__xludf.DUMMYFUNCTION("""COMPUTED_VALUE"""),"TBS")</f>
        <v>TBS</v>
      </c>
      <c r="E5723" s="2" t="str">
        <f>IFERROR(__xludf.DUMMYFUNCTION("""COMPUTED_VALUE"""),"金22")</f>
        <v>金22</v>
      </c>
      <c r="F5723" s="2" t="s">
        <v>15625</v>
      </c>
      <c r="G5723" s="2" t="s">
        <v>15626</v>
      </c>
      <c r="H5723" s="1">
        <v>1.0</v>
      </c>
      <c r="J5723" s="1" t="s">
        <v>1647</v>
      </c>
      <c r="K5723" s="2" t="s">
        <v>15627</v>
      </c>
      <c r="L5723" s="2"/>
      <c r="M5723" s="2" t="str">
        <f>IFERROR(__xludf.DUMMYFUNCTION("split(split(K5723,""【"",false),""公式LINE"",false)"),"瀧本美織   玉森裕太（Kis－My－Ft2）   藤ヶ谷太輔（Kis－My－Ft2）   八乙女光（Hey！Say！JUMP）     小嶋陽菜（AKB48）   六角精児   山崎樹範   清水　優     楽しんご   能世あんな  高橋真依子  葵  愛純もえり    梶芽衣子    倖田來未    石坂浩ニ    片瀬那奈  井森美幸  柳沢慎吾  高嶋政伸   萬田久子超人気イケメンバンドの新メンバーは女の子！？TSUTAYA2010年度韓流レンタルランキング断トツ1位！全アジアを熱狂の渦に包"&amp;"んだ、今世紀最高のラブストーリーを世界初のリメイク！キラキラした夏の青春アリ！親子の愛アリ！更に恋の四角関係アリ！金曜夜は胸キュンしすぎて眠れない!?主演はイケメンの総本山ジャニーズ事務所期待の若手、Kis－My－Ft2の玉森裕太、藤ヶ谷太輔、Hey！Say！JUMPの八乙女光、そして、さわやかな朝の顔として、朝のテレビ小説「てっぱん」で話題を呼んだ瀧本美織！さらに超豪華キャスト陣を加えて贈るこの夏最大の注目作!!初回は超超盛りだくさんな2時間3分スペシャル！")</f>
        <v>瀧本美織   玉森裕太（Kis－My－Ft2）   藤ヶ谷太輔（Kis－My－Ft2）   八乙女光（Hey！Say！JUMP）     小嶋陽菜（AKB48）   六角精児   山崎樹範   清水　優     楽しんご   能世あんな  高橋真依子  葵  愛純もえり    梶芽衣子    倖田來未    石坂浩ニ    片瀬那奈  井森美幸  柳沢慎吾  高嶋政伸   萬田久子超人気イケメンバンドの新メンバーは女の子！？TSUTAYA2010年度韓流レンタルランキング断トツ1位！全アジアを熱狂の渦に包んだ、今世紀最高のラブストーリーを世界初のリメイク！キラキラした夏の青春アリ！親子の愛アリ！更に恋の四角関係アリ！金曜夜は胸キュンしすぎて眠れない!?主演はイケメンの総本山ジャニーズ事務所期待の若手、Kis－My－Ft2の玉森裕太、藤ヶ谷太輔、Hey！Say！JUMPの八乙女光、そして、さわやかな朝の顔として、朝のテレビ小説「てっぱん」で話題を呼んだ瀧本美織！さらに超豪華キャスト陣を加えて贈るこの夏最大の注目作!!初回は超超盛りだくさんな2時間3分スペシャル！</v>
      </c>
      <c r="N5723" s="2"/>
      <c r="O5723" s="2"/>
      <c r="P5723" s="1"/>
      <c r="Q5723" s="1"/>
      <c r="R5723" s="1"/>
      <c r="S5723" s="1"/>
      <c r="T5723" s="1"/>
      <c r="U5723" s="1"/>
      <c r="V5723" s="1"/>
      <c r="W5723" s="1"/>
      <c r="X5723" s="1"/>
      <c r="Y5723" s="1"/>
      <c r="Z5723" s="1"/>
      <c r="AA5723" s="1"/>
      <c r="AB5723" s="1"/>
      <c r="AC5723" s="1"/>
      <c r="AD5723" s="1"/>
      <c r="AE5723" s="1"/>
      <c r="AF5723" s="1"/>
      <c r="AG5723" s="1"/>
      <c r="AH5723" s="1"/>
      <c r="AI5723" s="1"/>
      <c r="AJ5723" s="1"/>
      <c r="AK5723" s="1"/>
      <c r="AL5723" s="1"/>
      <c r="AM5723" s="1"/>
      <c r="AN5723" s="1"/>
      <c r="AO5723" s="1"/>
      <c r="AP5723" s="1"/>
      <c r="AQ5723" s="1"/>
      <c r="AR5723" s="1"/>
      <c r="AS5723" s="1"/>
      <c r="AT5723" s="1"/>
      <c r="AU5723" s="1"/>
      <c r="AV5723" s="1"/>
      <c r="AW5723" s="1"/>
      <c r="AX5723" s="1"/>
      <c r="AY5723" s="1"/>
      <c r="AZ5723" s="1"/>
      <c r="BA5723" s="1"/>
      <c r="BB5723" s="1"/>
    </row>
    <row r="5724" ht="204.75" customHeight="1">
      <c r="A5724" s="1">
        <v>4276.0</v>
      </c>
      <c r="B5724" s="2" t="s">
        <v>15624</v>
      </c>
      <c r="C5724" s="2">
        <f>IFERROR(__xludf.DUMMYFUNCTION("split(B5724,""_"")"),1107.0)</f>
        <v>1107</v>
      </c>
      <c r="D5724" s="2" t="str">
        <f>IFERROR(__xludf.DUMMYFUNCTION("""COMPUTED_VALUE"""),"TBS")</f>
        <v>TBS</v>
      </c>
      <c r="E5724" s="2" t="str">
        <f>IFERROR(__xludf.DUMMYFUNCTION("""COMPUTED_VALUE"""),"金22")</f>
        <v>金22</v>
      </c>
      <c r="F5724" s="2" t="s">
        <v>15625</v>
      </c>
      <c r="G5724" s="2" t="s">
        <v>15628</v>
      </c>
      <c r="H5724" s="1">
        <v>2.0</v>
      </c>
      <c r="J5724" s="1" t="s">
        <v>86</v>
      </c>
      <c r="K5724" s="2" t="s">
        <v>15629</v>
      </c>
      <c r="L5724" s="2"/>
      <c r="M5724" s="2" t="str">
        <f>IFERROR(__xludf.DUMMYFUNCTION("split(split(K5724,""【"",false),""公式LINE"",false)"),"イケメンバンドの新メンバーは女だった！？隠していたはずなのに、A.N.JELLに加入早々、あろうことかリーダーの廉に女だということがバレてしまった美男！絶対絶命の大ピンチに、美男がとった行動とは・・・。  キラキラした夏の青春アリ！親子の愛アリ！ついに恋の4角関係が動き出す！？やっぱり金曜夜は胸キュンしすぎて眠れない！？瀧本美織   玉森裕太（Kis－My－Ft2）   藤ヶ谷太輔（Kis－My－Ft2）   八乙女光（Hey！Say！JUMP）     小嶋陽菜（AKB48）  六角精児   山崎樹範 "&amp;"  清水　優     楽しんご   能世あんな  高橋真依子  葵  愛純もえり    梶芽衣子片瀬那奈  井森美幸  柳沢慎吾  高嶋政伸   萬田久子")</f>
        <v>イケメンバンドの新メンバーは女だった！？隠していたはずなのに、A.N.JELLに加入早々、あろうことかリーダーの廉に女だということがバレてしまった美男！絶対絶命の大ピンチに、美男がとった行動とは・・・。  キラキラした夏の青春アリ！親子の愛アリ！ついに恋の4角関係が動き出す！？やっぱり金曜夜は胸キュンしすぎて眠れない！？瀧本美織   玉森裕太（Kis－My－Ft2）   藤ヶ谷太輔（Kis－My－Ft2）   八乙女光（Hey！Say！JUMP）     小嶋陽菜（AKB48）  六角精児   山崎樹範   清水　優     楽しんご   能世あんな  高橋真依子  葵  愛純もえり    梶芽衣子片瀬那奈  井森美幸  柳沢慎吾  高嶋政伸   萬田久子</v>
      </c>
      <c r="N5724" s="2"/>
      <c r="O5724" s="2"/>
      <c r="P5724" s="1"/>
      <c r="Q5724" s="1"/>
      <c r="R5724" s="1"/>
      <c r="S5724" s="1"/>
      <c r="T5724" s="1"/>
      <c r="U5724" s="1"/>
      <c r="V5724" s="1"/>
      <c r="W5724" s="1"/>
      <c r="X5724" s="1"/>
      <c r="Y5724" s="1"/>
      <c r="Z5724" s="1"/>
      <c r="AA5724" s="1"/>
      <c r="AB5724" s="1"/>
      <c r="AC5724" s="1"/>
      <c r="AD5724" s="1"/>
      <c r="AE5724" s="1"/>
      <c r="AF5724" s="1"/>
      <c r="AG5724" s="1"/>
      <c r="AH5724" s="1"/>
      <c r="AI5724" s="1"/>
      <c r="AJ5724" s="1"/>
      <c r="AK5724" s="1"/>
      <c r="AL5724" s="1"/>
      <c r="AM5724" s="1"/>
      <c r="AN5724" s="1"/>
      <c r="AO5724" s="1"/>
      <c r="AP5724" s="1"/>
      <c r="AQ5724" s="1"/>
      <c r="AR5724" s="1"/>
      <c r="AS5724" s="1"/>
      <c r="AT5724" s="1"/>
      <c r="AU5724" s="1"/>
      <c r="AV5724" s="1"/>
      <c r="AW5724" s="1"/>
      <c r="AX5724" s="1"/>
      <c r="AY5724" s="1"/>
      <c r="AZ5724" s="1"/>
      <c r="BA5724" s="1"/>
      <c r="BB5724" s="1"/>
    </row>
    <row r="5725" ht="204.75" customHeight="1">
      <c r="A5725" s="1">
        <v>4277.0</v>
      </c>
      <c r="B5725" s="2" t="s">
        <v>15624</v>
      </c>
      <c r="C5725" s="2">
        <f>IFERROR(__xludf.DUMMYFUNCTION("split(B5725,""_"")"),1107.0)</f>
        <v>1107</v>
      </c>
      <c r="D5725" s="2" t="str">
        <f>IFERROR(__xludf.DUMMYFUNCTION("""COMPUTED_VALUE"""),"TBS")</f>
        <v>TBS</v>
      </c>
      <c r="E5725" s="2" t="str">
        <f>IFERROR(__xludf.DUMMYFUNCTION("""COMPUTED_VALUE"""),"金22")</f>
        <v>金22</v>
      </c>
      <c r="F5725" s="2" t="s">
        <v>15625</v>
      </c>
      <c r="G5725" s="2" t="s">
        <v>15630</v>
      </c>
      <c r="H5725" s="1">
        <v>3.0</v>
      </c>
      <c r="J5725" s="1" t="s">
        <v>86</v>
      </c>
      <c r="K5725" s="2" t="s">
        <v>15631</v>
      </c>
      <c r="L5725" s="2"/>
      <c r="M5725" s="2" t="str">
        <f>IFERROR(__xludf.DUMMYFUNCTION("split(split(K5725,""【"",false),""公式LINE"",false)"),"瀧本美織   玉森裕太（Kis－My－Ft2）   藤ヶ谷太輔（Kis－My－Ft2）   八乙女光（Hey！Say！JUMP）     小嶋陽菜（AKB48）   六角精児   山崎樹範   清水　優     楽しんご   能世あんな  高橋真依子  葵  愛純もえり    梶芽衣子    片瀬那奈  井森美幸  柳沢慎吾  高嶋政伸   萬田久子母との突然の別れに、ただ泣き崩れる美男…。深く傷つく美男に廉、柊、勇気がしてあげたこと。それは、美男の新メンバー加入パーティーだった。美男を元気づけるため、ひ"&amp;"たむきに盛り上げる3人の優しさに美男からは笑顔が…。悲しみの涙がうれし涙に変わる瞬間…。真夏の夜に咲いた、それぞれの恋！キラキラした夏の青春アリ！親子の愛アリ！ついに恋の4角関係が動き出す！？やっぱり今年の夏は胸キュンしすぎて眠れない！？")</f>
        <v>瀧本美織   玉森裕太（Kis－My－Ft2）   藤ヶ谷太輔（Kis－My－Ft2）   八乙女光（Hey！Say！JUMP）     小嶋陽菜（AKB48）   六角精児   山崎樹範   清水　優     楽しんご   能世あんな  高橋真依子  葵  愛純もえり    梶芽衣子    片瀬那奈  井森美幸  柳沢慎吾  高嶋政伸   萬田久子母との突然の別れに、ただ泣き崩れる美男…。深く傷つく美男に廉、柊、勇気がしてあげたこと。それは、美男の新メンバー加入パーティーだった。美男を元気づけるため、ひたむきに盛り上げる3人の優しさに美男からは笑顔が…。悲しみの涙がうれし涙に変わる瞬間…。真夏の夜に咲いた、それぞれの恋！キラキラした夏の青春アリ！親子の愛アリ！ついに恋の4角関係が動き出す！？やっぱり今年の夏は胸キュンしすぎて眠れない！？</v>
      </c>
      <c r="N5725" s="2"/>
      <c r="O5725" s="2"/>
      <c r="P5725" s="1"/>
      <c r="Q5725" s="1"/>
      <c r="R5725" s="1"/>
      <c r="S5725" s="1"/>
      <c r="T5725" s="1"/>
      <c r="U5725" s="1"/>
      <c r="V5725" s="1"/>
      <c r="W5725" s="1"/>
      <c r="X5725" s="1"/>
      <c r="Y5725" s="1"/>
      <c r="Z5725" s="1"/>
      <c r="AA5725" s="1"/>
      <c r="AB5725" s="1"/>
      <c r="AC5725" s="1"/>
      <c r="AD5725" s="1"/>
      <c r="AE5725" s="1"/>
      <c r="AF5725" s="1"/>
      <c r="AG5725" s="1"/>
      <c r="AH5725" s="1"/>
      <c r="AI5725" s="1"/>
      <c r="AJ5725" s="1"/>
      <c r="AK5725" s="1"/>
      <c r="AL5725" s="1"/>
      <c r="AM5725" s="1"/>
      <c r="AN5725" s="1"/>
      <c r="AO5725" s="1"/>
      <c r="AP5725" s="1"/>
      <c r="AQ5725" s="1"/>
      <c r="AR5725" s="1"/>
      <c r="AS5725" s="1"/>
      <c r="AT5725" s="1"/>
      <c r="AU5725" s="1"/>
      <c r="AV5725" s="1"/>
      <c r="AW5725" s="1"/>
      <c r="AX5725" s="1"/>
      <c r="AY5725" s="1"/>
      <c r="AZ5725" s="1"/>
      <c r="BA5725" s="1"/>
      <c r="BB5725" s="1"/>
    </row>
    <row r="5726" ht="204.75" customHeight="1">
      <c r="A5726" s="1">
        <v>4278.0</v>
      </c>
      <c r="B5726" s="2" t="s">
        <v>15624</v>
      </c>
      <c r="C5726" s="2">
        <f>IFERROR(__xludf.DUMMYFUNCTION("split(B5726,""_"")"),1107.0)</f>
        <v>1107</v>
      </c>
      <c r="D5726" s="2" t="str">
        <f>IFERROR(__xludf.DUMMYFUNCTION("""COMPUTED_VALUE"""),"TBS")</f>
        <v>TBS</v>
      </c>
      <c r="E5726" s="2" t="str">
        <f>IFERROR(__xludf.DUMMYFUNCTION("""COMPUTED_VALUE"""),"金22")</f>
        <v>金22</v>
      </c>
      <c r="F5726" s="2" t="s">
        <v>15625</v>
      </c>
      <c r="G5726" s="2" t="s">
        <v>15632</v>
      </c>
      <c r="H5726" s="1">
        <v>4.0</v>
      </c>
      <c r="J5726" s="1" t="s">
        <v>86</v>
      </c>
      <c r="K5726" s="2" t="s">
        <v>15633</v>
      </c>
      <c r="L5726" s="2"/>
      <c r="M5726" s="2" t="str">
        <f>IFERROR(__xludf.DUMMYFUNCTION("split(split(K5726,""【"",false),""公式LINE"",false)"),"廉とNANAの姿を見て、涙が止まらない美男…。そんな美男を前に、ついに動き出した柊！そして、一人苦悩する勇気…。そんな中、廉が遭難！？廉を救うため、美男がとった行動とは…。そして、ついにライバル出現！まさかの5角関係へと発展！？キラキラした夏の青春アリ！親子の愛アリ！やっぱり今年の夏は胸キュンしすぎて眠れない！？瀧本美織  玉森裕太（Kis－My－Ft2）  藤ヶ谷太輔（Kis－My－Ft2）  八乙女光（Hey！Say！JUMP）    小嶋陽菜（AKB48）  六角精児  山崎樹範  清水優    楽"&amp;"しんご   能世あんな  高橋真依子  葵  愛純もえり    片瀬那奈  井森美幸  柳沢慎吾  高嶋政伸  萬田久子")</f>
        <v>廉とNANAの姿を見て、涙が止まらない美男…。そんな美男を前に、ついに動き出した柊！そして、一人苦悩する勇気…。そんな中、廉が遭難！？廉を救うため、美男がとった行動とは…。そして、ついにライバル出現！まさかの5角関係へと発展！？キラキラした夏の青春アリ！親子の愛アリ！やっぱり今年の夏は胸キュンしすぎて眠れない！？瀧本美織  玉森裕太（Kis－My－Ft2）  藤ヶ谷太輔（Kis－My－Ft2）  八乙女光（Hey！Say！JUMP）    小嶋陽菜（AKB48）  六角精児  山崎樹範  清水優    楽しんご   能世あんな  高橋真依子  葵  愛純もえり    片瀬那奈  井森美幸  柳沢慎吾  高嶋政伸  萬田久子</v>
      </c>
      <c r="N5726" s="2"/>
      <c r="O5726" s="2"/>
      <c r="P5726" s="1"/>
      <c r="Q5726" s="1"/>
      <c r="R5726" s="1"/>
      <c r="S5726" s="1"/>
      <c r="T5726" s="1"/>
      <c r="U5726" s="1"/>
      <c r="V5726" s="1"/>
      <c r="W5726" s="1"/>
      <c r="X5726" s="1"/>
      <c r="Y5726" s="1"/>
      <c r="Z5726" s="1"/>
      <c r="AA5726" s="1"/>
      <c r="AB5726" s="1"/>
      <c r="AC5726" s="1"/>
      <c r="AD5726" s="1"/>
      <c r="AE5726" s="1"/>
      <c r="AF5726" s="1"/>
      <c r="AG5726" s="1"/>
      <c r="AH5726" s="1"/>
      <c r="AI5726" s="1"/>
      <c r="AJ5726" s="1"/>
      <c r="AK5726" s="1"/>
      <c r="AL5726" s="1"/>
      <c r="AM5726" s="1"/>
      <c r="AN5726" s="1"/>
      <c r="AO5726" s="1"/>
      <c r="AP5726" s="1"/>
      <c r="AQ5726" s="1"/>
      <c r="AR5726" s="1"/>
      <c r="AS5726" s="1"/>
      <c r="AT5726" s="1"/>
      <c r="AU5726" s="1"/>
      <c r="AV5726" s="1"/>
      <c r="AW5726" s="1"/>
      <c r="AX5726" s="1"/>
      <c r="AY5726" s="1"/>
      <c r="AZ5726" s="1"/>
      <c r="BA5726" s="1"/>
      <c r="BB5726" s="1"/>
    </row>
    <row r="5727" ht="204.75" customHeight="1">
      <c r="A5727" s="1">
        <v>4279.0</v>
      </c>
      <c r="B5727" s="2" t="s">
        <v>15624</v>
      </c>
      <c r="C5727" s="2">
        <f>IFERROR(__xludf.DUMMYFUNCTION("split(B5727,""_"")"),1107.0)</f>
        <v>1107</v>
      </c>
      <c r="D5727" s="2" t="str">
        <f>IFERROR(__xludf.DUMMYFUNCTION("""COMPUTED_VALUE"""),"TBS")</f>
        <v>TBS</v>
      </c>
      <c r="E5727" s="2" t="str">
        <f>IFERROR(__xludf.DUMMYFUNCTION("""COMPUTED_VALUE"""),"金22")</f>
        <v>金22</v>
      </c>
      <c r="F5727" s="2" t="s">
        <v>15625</v>
      </c>
      <c r="G5727" s="2" t="s">
        <v>15634</v>
      </c>
      <c r="H5727" s="1">
        <v>5.0</v>
      </c>
      <c r="J5727" s="1" t="s">
        <v>86</v>
      </c>
      <c r="K5727" s="2" t="s">
        <v>15635</v>
      </c>
      <c r="L5727" s="2"/>
      <c r="M5727" s="2" t="str">
        <f>IFERROR(__xludf.DUMMYFUNCTION("split(split(K5727,""【"",false),""公式LINE"",false)"),"瀧本美織   玉森裕太（Kis－My－Ft2）   藤ヶ谷太輔（Kis－My－Ft2）   八乙女光（Hey！Say！JUMP）     小嶋陽菜（AKB48）   六角精児   山崎樹範   清水優     楽しんご   能世あんな  高橋真依子  葵  愛純もえり    片瀬那奈  井森美幸  柳沢慎吾  高嶋政伸  萬田久子ついに動き出した勇気の切ない思い…。いよいよ4人の恋は本格的に燃え上がる！！そして、傷ついた廉の心に灯をともす、美男の行動とは…。女のジェラシー全開で美男を追い詰めるNANAに、"&amp;"美男絶対絶命の大ピンチ！！キラキラした夏の青春アリ！親子の深い愛アリ！やっぱり今年の夏は胸キュンしすぎて眠れない！？")</f>
        <v>瀧本美織   玉森裕太（Kis－My－Ft2）   藤ヶ谷太輔（Kis－My－Ft2）   八乙女光（Hey！Say！JUMP）     小嶋陽菜（AKB48）   六角精児   山崎樹範   清水優     楽しんご   能世あんな  高橋真依子  葵  愛純もえり    片瀬那奈  井森美幸  柳沢慎吾  高嶋政伸  萬田久子ついに動き出した勇気の切ない思い…。いよいよ4人の恋は本格的に燃え上がる！！そして、傷ついた廉の心に灯をともす、美男の行動とは…。女のジェラシー全開で美男を追い詰めるNANAに、美男絶対絶命の大ピンチ！！キラキラした夏の青春アリ！親子の深い愛アリ！やっぱり今年の夏は胸キュンしすぎて眠れない！？</v>
      </c>
      <c r="N5727" s="2"/>
      <c r="O5727" s="2"/>
      <c r="P5727" s="1"/>
      <c r="Q5727" s="1"/>
      <c r="R5727" s="1"/>
      <c r="S5727" s="1"/>
      <c r="T5727" s="1"/>
      <c r="U5727" s="1"/>
      <c r="V5727" s="1"/>
      <c r="W5727" s="1"/>
      <c r="X5727" s="1"/>
      <c r="Y5727" s="1"/>
      <c r="Z5727" s="1"/>
      <c r="AA5727" s="1"/>
      <c r="AB5727" s="1"/>
      <c r="AC5727" s="1"/>
      <c r="AD5727" s="1"/>
      <c r="AE5727" s="1"/>
      <c r="AF5727" s="1"/>
      <c r="AG5727" s="1"/>
      <c r="AH5727" s="1"/>
      <c r="AI5727" s="1"/>
      <c r="AJ5727" s="1"/>
      <c r="AK5727" s="1"/>
      <c r="AL5727" s="1"/>
      <c r="AM5727" s="1"/>
      <c r="AN5727" s="1"/>
      <c r="AO5727" s="1"/>
      <c r="AP5727" s="1"/>
      <c r="AQ5727" s="1"/>
      <c r="AR5727" s="1"/>
      <c r="AS5727" s="1"/>
      <c r="AT5727" s="1"/>
      <c r="AU5727" s="1"/>
      <c r="AV5727" s="1"/>
      <c r="AW5727" s="1"/>
      <c r="AX5727" s="1"/>
      <c r="AY5727" s="1"/>
      <c r="AZ5727" s="1"/>
      <c r="BA5727" s="1"/>
      <c r="BB5727" s="1"/>
    </row>
    <row r="5728" ht="204.75" customHeight="1">
      <c r="A5728" s="1">
        <v>4280.0</v>
      </c>
      <c r="B5728" s="2" t="s">
        <v>15624</v>
      </c>
      <c r="C5728" s="2">
        <f>IFERROR(__xludf.DUMMYFUNCTION("split(B5728,""_"")"),1107.0)</f>
        <v>1107</v>
      </c>
      <c r="D5728" s="2" t="str">
        <f>IFERROR(__xludf.DUMMYFUNCTION("""COMPUTED_VALUE"""),"TBS")</f>
        <v>TBS</v>
      </c>
      <c r="E5728" s="2" t="str">
        <f>IFERROR(__xludf.DUMMYFUNCTION("""COMPUTED_VALUE"""),"金22")</f>
        <v>金22</v>
      </c>
      <c r="F5728" s="2" t="s">
        <v>15625</v>
      </c>
      <c r="G5728" s="2" t="s">
        <v>15636</v>
      </c>
      <c r="H5728" s="1">
        <v>6.0</v>
      </c>
      <c r="J5728" s="1" t="s">
        <v>86</v>
      </c>
      <c r="K5728" s="2" t="s">
        <v>15637</v>
      </c>
      <c r="L5728" s="2"/>
      <c r="M5728" s="2" t="str">
        <f>IFERROR(__xludf.DUMMYFUNCTION("split(split(K5728,""【"",false),""公式LINE"",false)"),"NANAの暴走するジェラシーは止まらない！！「廉に近づかないで！じゃなきゃ全部バラしてやる！」その言葉に行き場を失った美男は、迷惑をかけまいとA．N．JELLから姿を消すことに。胸が張り裂けそうな思いの美男は、最後の夜ーついに気持ちを抑えきれず、廉に愛の告白を…!?また柊は、渾身の愛で美男を抱きしめ宣言する…「俺の彼女です」！そして新たな恋敵!?香取慎吾の登場で、まさかの“トリプルシンゴ”結成！瀧本美織   玉森裕太（Kis－My－Ft2）   藤ヶ谷太輔（Kis－My－Ft2）   八乙女光（Hey！S"&amp;"ay！JUMP）     小嶋陽菜（AKB48）  六角精児   山崎樹範   清水　優     楽しんご   能世あんな  高橋真依子  葵  愛純もえり    香取慎吾（SMAP）    片瀬那奈  井森美幸  柳沢慎吾  高嶋政伸   萬田久子")</f>
        <v>NANAの暴走するジェラシーは止まらない！！「廉に近づかないで！じゃなきゃ全部バラしてやる！」その言葉に行き場を失った美男は、迷惑をかけまいとA．N．JELLから姿を消すことに。胸が張り裂けそうな思いの美男は、最後の夜ーついに気持ちを抑えきれず、廉に愛の告白を…!?また柊は、渾身の愛で美男を抱きしめ宣言する…「俺の彼女です」！そして新たな恋敵!?香取慎吾の登場で、まさかの“トリプルシンゴ”結成！瀧本美織   玉森裕太（Kis－My－Ft2）   藤ヶ谷太輔（Kis－My－Ft2）   八乙女光（Hey！Say！JUMP）     小嶋陽菜（AKB48）  六角精児   山崎樹範   清水　優     楽しんご   能世あんな  高橋真依子  葵  愛純もえり    香取慎吾（SMAP）    片瀬那奈  井森美幸  柳沢慎吾  高嶋政伸   萬田久子</v>
      </c>
      <c r="N5728" s="2"/>
      <c r="O5728" s="2"/>
      <c r="P5728" s="1"/>
      <c r="Q5728" s="1"/>
      <c r="R5728" s="1"/>
      <c r="S5728" s="1"/>
      <c r="T5728" s="1"/>
      <c r="U5728" s="1"/>
      <c r="V5728" s="1"/>
      <c r="W5728" s="1"/>
      <c r="X5728" s="1"/>
      <c r="Y5728" s="1"/>
      <c r="Z5728" s="1"/>
      <c r="AA5728" s="1"/>
      <c r="AB5728" s="1"/>
      <c r="AC5728" s="1"/>
      <c r="AD5728" s="1"/>
      <c r="AE5728" s="1"/>
      <c r="AF5728" s="1"/>
      <c r="AG5728" s="1"/>
      <c r="AH5728" s="1"/>
      <c r="AI5728" s="1"/>
      <c r="AJ5728" s="1"/>
      <c r="AK5728" s="1"/>
      <c r="AL5728" s="1"/>
      <c r="AM5728" s="1"/>
      <c r="AN5728" s="1"/>
      <c r="AO5728" s="1"/>
      <c r="AP5728" s="1"/>
      <c r="AQ5728" s="1"/>
      <c r="AR5728" s="1"/>
      <c r="AS5728" s="1"/>
      <c r="AT5728" s="1"/>
      <c r="AU5728" s="1"/>
      <c r="AV5728" s="1"/>
      <c r="AW5728" s="1"/>
      <c r="AX5728" s="1"/>
      <c r="AY5728" s="1"/>
      <c r="AZ5728" s="1"/>
      <c r="BA5728" s="1"/>
      <c r="BB5728" s="1"/>
    </row>
    <row r="5729" ht="204.75" customHeight="1">
      <c r="A5729" s="1">
        <v>4281.0</v>
      </c>
      <c r="B5729" s="2" t="s">
        <v>15624</v>
      </c>
      <c r="C5729" s="2">
        <f>IFERROR(__xludf.DUMMYFUNCTION("split(B5729,""_"")"),1107.0)</f>
        <v>1107</v>
      </c>
      <c r="D5729" s="2" t="str">
        <f>IFERROR(__xludf.DUMMYFUNCTION("""COMPUTED_VALUE"""),"TBS")</f>
        <v>TBS</v>
      </c>
      <c r="E5729" s="2" t="str">
        <f>IFERROR(__xludf.DUMMYFUNCTION("""COMPUTED_VALUE"""),"金22")</f>
        <v>金22</v>
      </c>
      <c r="F5729" s="2" t="s">
        <v>15625</v>
      </c>
      <c r="G5729" s="2" t="s">
        <v>15638</v>
      </c>
      <c r="H5729" s="1">
        <v>7.0</v>
      </c>
      <c r="J5729" s="1" t="s">
        <v>86</v>
      </c>
      <c r="K5729" s="2" t="s">
        <v>15639</v>
      </c>
      <c r="L5729" s="2"/>
      <c r="M5729" s="2" t="str">
        <f>IFERROR(__xludf.DUMMYFUNCTION("split(split(K5729,""【"",false),""公式LINE"",false)"),"“美男は女”ついに秘密が、A.N.JELLのメンバー全員にバレた！？真実を知り、困惑する勇気…絶対絶命の美男！一方、美男に想いを告白しようとする柊の想いが…ついに爆発する！抑えきれない柊の想いに美男は！？一人の女性として美男を想いはじめる勇気は…。そして「俺を好きになってもいい。許可してやる！」廉の言葉が美男の心に響き渡る！そんな中…美男と廉は兄弟！？…美男の出生の秘密が明らかになる！瀧本美織   玉森裕太（Kis－My－Ft2）   藤ヶ谷太輔（Kis－My－Ft2）   八乙女光（Hey！Say！JU"&amp;"MP）     小嶋陽菜（AKB48）   六角精児   山崎樹範   清水　優     楽しんご   能世あんな  高橋真依子  葵  愛純もえり    片瀬那奈  井森美幸  柳沢慎吾  高嶋政伸   萬田久子")</f>
        <v>“美男は女”ついに秘密が、A.N.JELLのメンバー全員にバレた！？真実を知り、困惑する勇気…絶対絶命の美男！一方、美男に想いを告白しようとする柊の想いが…ついに爆発する！抑えきれない柊の想いに美男は！？一人の女性として美男を想いはじめる勇気は…。そして「俺を好きになってもいい。許可してやる！」廉の言葉が美男の心に響き渡る！そんな中…美男と廉は兄弟！？…美男の出生の秘密が明らかになる！瀧本美織   玉森裕太（Kis－My－Ft2）   藤ヶ谷太輔（Kis－My－Ft2）   八乙女光（Hey！Say！JUMP）     小嶋陽菜（AKB48）   六角精児   山崎樹範   清水　優     楽しんご   能世あんな  高橋真依子  葵  愛純もえり    片瀬那奈  井森美幸  柳沢慎吾  高嶋政伸   萬田久子</v>
      </c>
      <c r="N5729" s="2"/>
      <c r="O5729" s="2"/>
      <c r="P5729" s="1"/>
      <c r="Q5729" s="1"/>
      <c r="R5729" s="1"/>
      <c r="S5729" s="1"/>
      <c r="T5729" s="1"/>
      <c r="U5729" s="1"/>
      <c r="V5729" s="1"/>
      <c r="W5729" s="1"/>
      <c r="X5729" s="1"/>
      <c r="Y5729" s="1"/>
      <c r="Z5729" s="1"/>
      <c r="AA5729" s="1"/>
      <c r="AB5729" s="1"/>
      <c r="AC5729" s="1"/>
      <c r="AD5729" s="1"/>
      <c r="AE5729" s="1"/>
      <c r="AF5729" s="1"/>
      <c r="AG5729" s="1"/>
      <c r="AH5729" s="1"/>
      <c r="AI5729" s="1"/>
      <c r="AJ5729" s="1"/>
      <c r="AK5729" s="1"/>
      <c r="AL5729" s="1"/>
      <c r="AM5729" s="1"/>
      <c r="AN5729" s="1"/>
      <c r="AO5729" s="1"/>
      <c r="AP5729" s="1"/>
      <c r="AQ5729" s="1"/>
      <c r="AR5729" s="1"/>
      <c r="AS5729" s="1"/>
      <c r="AT5729" s="1"/>
      <c r="AU5729" s="1"/>
      <c r="AV5729" s="1"/>
      <c r="AW5729" s="1"/>
      <c r="AX5729" s="1"/>
      <c r="AY5729" s="1"/>
      <c r="AZ5729" s="1"/>
      <c r="BA5729" s="1"/>
      <c r="BB5729" s="1"/>
    </row>
    <row r="5730" ht="204.75" customHeight="1">
      <c r="A5730" s="1">
        <v>4282.0</v>
      </c>
      <c r="B5730" s="2" t="s">
        <v>15624</v>
      </c>
      <c r="C5730" s="2">
        <f>IFERROR(__xludf.DUMMYFUNCTION("split(B5730,""_"")"),1107.0)</f>
        <v>1107</v>
      </c>
      <c r="D5730" s="2" t="str">
        <f>IFERROR(__xludf.DUMMYFUNCTION("""COMPUTED_VALUE"""),"TBS")</f>
        <v>TBS</v>
      </c>
      <c r="E5730" s="2" t="str">
        <f>IFERROR(__xludf.DUMMYFUNCTION("""COMPUTED_VALUE"""),"金22")</f>
        <v>金22</v>
      </c>
      <c r="F5730" s="2" t="s">
        <v>15625</v>
      </c>
      <c r="G5730" s="2" t="s">
        <v>15640</v>
      </c>
      <c r="H5730" s="1">
        <v>8.0</v>
      </c>
      <c r="J5730" s="1" t="s">
        <v>86</v>
      </c>
      <c r="K5730" s="2" t="s">
        <v>15641</v>
      </c>
      <c r="L5730" s="2"/>
      <c r="M5730" s="2" t="str">
        <f>IFERROR(__xludf.DUMMYFUNCTION("split(split(K5730,""【"",false),""公式LINE"",false)"),"日本ドラマ初出演！韓国NO．1スター、チャン・グンソクがA．N．JELLに緊急参戦！史上最強！恋のライバルの猛アタックに照れる美男！アジア最強のグンソクスマイルに日本の女性ファン”キュン死”確実！さらに！「いい人で終わっちゃうって、一番悲しいパターンですね」NANAの一言が柊の心に火をつけた！そして…ついに美男へ決意の告白！その時廉と勇気は？原作を超える驚きの結末が待っている！恋の最終章突入！瀧本美織   玉森裕太（Kis－My－Ft2）   藤ヶ谷太輔（Kis－My－Ft2）   八乙女光（Hey！Sa"&amp;"y！JUMP）     小嶋陽菜（AKB48）  六角精児   山崎樹範   清水　優     楽しんご   能世あんな  高橋真依子  葵  愛純もえり    チャン・グンソク    片瀬那奈  井森美幸  柳沢慎吾  高嶋政伸   萬田久子")</f>
        <v>日本ドラマ初出演！韓国NO．1スター、チャン・グンソクがA．N．JELLに緊急参戦！史上最強！恋のライバルの猛アタックに照れる美男！アジア最強のグンソクスマイルに日本の女性ファン”キュン死”確実！さらに！「いい人で終わっちゃうって、一番悲しいパターンですね」NANAの一言が柊の心に火をつけた！そして…ついに美男へ決意の告白！その時廉と勇気は？原作を超える驚きの結末が待っている！恋の最終章突入！瀧本美織   玉森裕太（Kis－My－Ft2）   藤ヶ谷太輔（Kis－My－Ft2）   八乙女光（Hey！Say！JUMP）     小嶋陽菜（AKB48）  六角精児   山崎樹範   清水　優     楽しんご   能世あんな  高橋真依子  葵  愛純もえり    チャン・グンソク    片瀬那奈  井森美幸  柳沢慎吾  高嶋政伸   萬田久子</v>
      </c>
      <c r="N5730" s="2"/>
      <c r="O5730" s="2"/>
      <c r="P5730" s="1"/>
      <c r="Q5730" s="1"/>
      <c r="R5730" s="1"/>
      <c r="S5730" s="1"/>
      <c r="T5730" s="1"/>
      <c r="U5730" s="1"/>
      <c r="V5730" s="1"/>
      <c r="W5730" s="1"/>
      <c r="X5730" s="1"/>
      <c r="Y5730" s="1"/>
      <c r="Z5730" s="1"/>
      <c r="AA5730" s="1"/>
      <c r="AB5730" s="1"/>
      <c r="AC5730" s="1"/>
      <c r="AD5730" s="1"/>
      <c r="AE5730" s="1"/>
      <c r="AF5730" s="1"/>
      <c r="AG5730" s="1"/>
      <c r="AH5730" s="1"/>
      <c r="AI5730" s="1"/>
      <c r="AJ5730" s="1"/>
      <c r="AK5730" s="1"/>
      <c r="AL5730" s="1"/>
      <c r="AM5730" s="1"/>
      <c r="AN5730" s="1"/>
      <c r="AO5730" s="1"/>
      <c r="AP5730" s="1"/>
      <c r="AQ5730" s="1"/>
      <c r="AR5730" s="1"/>
      <c r="AS5730" s="1"/>
      <c r="AT5730" s="1"/>
      <c r="AU5730" s="1"/>
      <c r="AV5730" s="1"/>
      <c r="AW5730" s="1"/>
      <c r="AX5730" s="1"/>
      <c r="AY5730" s="1"/>
      <c r="AZ5730" s="1"/>
      <c r="BA5730" s="1"/>
      <c r="BB5730" s="1"/>
    </row>
    <row r="5731" ht="204.75" customHeight="1">
      <c r="A5731" s="1">
        <v>4283.0</v>
      </c>
      <c r="B5731" s="2" t="s">
        <v>15624</v>
      </c>
      <c r="C5731" s="2">
        <f>IFERROR(__xludf.DUMMYFUNCTION("split(B5731,""_"")"),1107.0)</f>
        <v>1107</v>
      </c>
      <c r="D5731" s="2" t="str">
        <f>IFERROR(__xludf.DUMMYFUNCTION("""COMPUTED_VALUE"""),"TBS")</f>
        <v>TBS</v>
      </c>
      <c r="E5731" s="2" t="str">
        <f>IFERROR(__xludf.DUMMYFUNCTION("""COMPUTED_VALUE"""),"金22")</f>
        <v>金22</v>
      </c>
      <c r="F5731" s="2" t="s">
        <v>15625</v>
      </c>
      <c r="G5731" s="2" t="s">
        <v>15642</v>
      </c>
      <c r="H5731" s="1">
        <v>9.0</v>
      </c>
      <c r="J5731" s="1" t="s">
        <v>86</v>
      </c>
      <c r="K5731" s="2" t="s">
        <v>15643</v>
      </c>
      <c r="L5731" s="2"/>
      <c r="M5731" s="2" t="str">
        <f>IFERROR(__xludf.DUMMYFUNCTION("split(split(K5731,""【"",false),""公式LINE"",false)"),"「オレはお前が好きだ」廉の奇跡の告白から、美男と廉の距離は急接近！ 互いの気持ちを確認し合った2人は、ラブラブムード全開！しかし、2人を取り巻く残酷な過去が明らかになり…。「もう、お前の顔は見たくない…」廉から突きつけられた、あまりにも悲しい別れの言葉に美男は…。そんな中、柊が渾身の想いをぶつける！”絶対に譲れない！美男だけは”更に！勇気も美男に、秘め続けた愛を告白…ついに4人の恋は、最終章突入！瀧本美織   玉森裕太（Kis－My－Ft2）   藤ヶ谷太輔（Kis－My－Ft2）   八乙女光（Hey！"&amp;"Say！JUMP）     小嶋陽菜（AKB48）   六角精児   山崎樹範   清水　優     楽しんご   能世あんな  高橋真依子  葵  愛純もえり    片瀬那奈  井森美幸  柳沢慎吾  高嶋政伸   萬田久子")</f>
        <v>「オレはお前が好きだ」廉の奇跡の告白から、美男と廉の距離は急接近！ 互いの気持ちを確認し合った2人は、ラブラブムード全開！しかし、2人を取り巻く残酷な過去が明らかになり…。「もう、お前の顔は見たくない…」廉から突きつけられた、あまりにも悲しい別れの言葉に美男は…。そんな中、柊が渾身の想いをぶつける！”絶対に譲れない！美男だけは”更に！勇気も美男に、秘め続けた愛を告白…ついに4人の恋は、最終章突入！瀧本美織   玉森裕太（Kis－My－Ft2）   藤ヶ谷太輔（Kis－My－Ft2）   八乙女光（Hey！Say！JUMP）     小嶋陽菜（AKB48）   六角精児   山崎樹範   清水　優     楽しんご   能世あんな  高橋真依子  葵  愛純もえり    片瀬那奈  井森美幸  柳沢慎吾  高嶋政伸   萬田久子</v>
      </c>
      <c r="N5731" s="2"/>
      <c r="O5731" s="2"/>
      <c r="P5731" s="1"/>
      <c r="Q5731" s="1"/>
      <c r="R5731" s="1"/>
      <c r="S5731" s="1"/>
      <c r="T5731" s="1"/>
      <c r="U5731" s="1"/>
      <c r="V5731" s="1"/>
      <c r="W5731" s="1"/>
      <c r="X5731" s="1"/>
      <c r="Y5731" s="1"/>
      <c r="Z5731" s="1"/>
      <c r="AA5731" s="1"/>
      <c r="AB5731" s="1"/>
      <c r="AC5731" s="1"/>
      <c r="AD5731" s="1"/>
      <c r="AE5731" s="1"/>
      <c r="AF5731" s="1"/>
      <c r="AG5731" s="1"/>
      <c r="AH5731" s="1"/>
      <c r="AI5731" s="1"/>
      <c r="AJ5731" s="1"/>
      <c r="AK5731" s="1"/>
      <c r="AL5731" s="1"/>
      <c r="AM5731" s="1"/>
      <c r="AN5731" s="1"/>
      <c r="AO5731" s="1"/>
      <c r="AP5731" s="1"/>
      <c r="AQ5731" s="1"/>
      <c r="AR5731" s="1"/>
      <c r="AS5731" s="1"/>
      <c r="AT5731" s="1"/>
      <c r="AU5731" s="1"/>
      <c r="AV5731" s="1"/>
      <c r="AW5731" s="1"/>
      <c r="AX5731" s="1"/>
      <c r="AY5731" s="1"/>
      <c r="AZ5731" s="1"/>
      <c r="BA5731" s="1"/>
      <c r="BB5731" s="1"/>
    </row>
    <row r="5732" ht="204.75" customHeight="1">
      <c r="A5732" s="1">
        <v>4284.0</v>
      </c>
      <c r="B5732" s="2" t="s">
        <v>15624</v>
      </c>
      <c r="C5732" s="2">
        <f>IFERROR(__xludf.DUMMYFUNCTION("split(B5732,""_"")"),1107.0)</f>
        <v>1107</v>
      </c>
      <c r="D5732" s="2" t="str">
        <f>IFERROR(__xludf.DUMMYFUNCTION("""COMPUTED_VALUE"""),"TBS")</f>
        <v>TBS</v>
      </c>
      <c r="E5732" s="2" t="str">
        <f>IFERROR(__xludf.DUMMYFUNCTION("""COMPUTED_VALUE"""),"金22")</f>
        <v>金22</v>
      </c>
      <c r="F5732" s="2" t="s">
        <v>15625</v>
      </c>
      <c r="G5732" s="2" t="s">
        <v>15644</v>
      </c>
      <c r="H5732" s="1">
        <v>10.0</v>
      </c>
      <c r="J5732" s="1" t="s">
        <v>86</v>
      </c>
      <c r="K5732" s="2" t="s">
        <v>15645</v>
      </c>
      <c r="L5732" s="2"/>
      <c r="M5732" s="2" t="str">
        <f>IFERROR(__xludf.DUMMYFUNCTION("split(split(K5732,""【"",false),""公式LINE"",false)"),"いよいよ最終話・前編！沖縄のエメラルドグリーンの海で、柊の最後の告白！「俺じゃ、廉の代わりになれないか」－そして、ついに登場！本物の美男が帰ってきた！自らの役目を終えたことを悟り、A．N．JELLから去っていく美子。更に、美子の母にさらなる真実が…。そして、廉との恋にも終わりの時が…！？“私はもう、廉さんのそばで笑えない…さようなら”ー原作にはないエピソードを交え、物語は衝撃の結末へ…。瀧本美織   玉森裕太（Kis－My－Ft2）   藤ヶ谷太輔（Kis－My－Ft2）   八乙女光（Hey！Say！J"&amp;"UMP）     小嶋陽菜（AKB48）   六角精児  山崎樹範  清水　優    楽しんご  能世あんな  高橋真依子  葵  愛純もえり    片瀬那奈  井森美幸  柳沢慎吾  高嶋政伸  萬田久子")</f>
        <v>いよいよ最終話・前編！沖縄のエメラルドグリーンの海で、柊の最後の告白！「俺じゃ、廉の代わりになれないか」－そして、ついに登場！本物の美男が帰ってきた！自らの役目を終えたことを悟り、A．N．JELLから去っていく美子。更に、美子の母にさらなる真実が…。そして、廉との恋にも終わりの時が…！？“私はもう、廉さんのそばで笑えない…さようなら”ー原作にはないエピソードを交え、物語は衝撃の結末へ…。瀧本美織   玉森裕太（Kis－My－Ft2）   藤ヶ谷太輔（Kis－My－Ft2）   八乙女光（Hey！Say！JUMP）     小嶋陽菜（AKB48）   六角精児  山崎樹範  清水　優    楽しんご  能世あんな  高橋真依子  葵  愛純もえり    片瀬那奈  井森美幸  柳沢慎吾  高嶋政伸  萬田久子</v>
      </c>
      <c r="N5732" s="2"/>
      <c r="O5732" s="2"/>
      <c r="P5732" s="1"/>
      <c r="Q5732" s="1"/>
      <c r="R5732" s="1"/>
      <c r="S5732" s="1"/>
      <c r="T5732" s="1"/>
      <c r="U5732" s="1"/>
      <c r="V5732" s="1"/>
      <c r="W5732" s="1"/>
      <c r="X5732" s="1"/>
      <c r="Y5732" s="1"/>
      <c r="Z5732" s="1"/>
      <c r="AA5732" s="1"/>
      <c r="AB5732" s="1"/>
      <c r="AC5732" s="1"/>
      <c r="AD5732" s="1"/>
      <c r="AE5732" s="1"/>
      <c r="AF5732" s="1"/>
      <c r="AG5732" s="1"/>
      <c r="AH5732" s="1"/>
      <c r="AI5732" s="1"/>
      <c r="AJ5732" s="1"/>
      <c r="AK5732" s="1"/>
      <c r="AL5732" s="1"/>
      <c r="AM5732" s="1"/>
      <c r="AN5732" s="1"/>
      <c r="AO5732" s="1"/>
      <c r="AP5732" s="1"/>
      <c r="AQ5732" s="1"/>
      <c r="AR5732" s="1"/>
      <c r="AS5732" s="1"/>
      <c r="AT5732" s="1"/>
      <c r="AU5732" s="1"/>
      <c r="AV5732" s="1"/>
      <c r="AW5732" s="1"/>
      <c r="AX5732" s="1"/>
      <c r="AY5732" s="1"/>
      <c r="AZ5732" s="1"/>
      <c r="BA5732" s="1"/>
      <c r="BB5732" s="1"/>
    </row>
    <row r="5733" ht="204.75" customHeight="1">
      <c r="A5733" s="1">
        <v>4285.0</v>
      </c>
      <c r="B5733" s="2" t="s">
        <v>15624</v>
      </c>
      <c r="C5733" s="2">
        <f>IFERROR(__xludf.DUMMYFUNCTION("split(B5733,""_"")"),1107.0)</f>
        <v>1107</v>
      </c>
      <c r="D5733" s="2" t="str">
        <f>IFERROR(__xludf.DUMMYFUNCTION("""COMPUTED_VALUE"""),"TBS")</f>
        <v>TBS</v>
      </c>
      <c r="E5733" s="2" t="str">
        <f>IFERROR(__xludf.DUMMYFUNCTION("""COMPUTED_VALUE"""),"金22")</f>
        <v>金22</v>
      </c>
      <c r="F5733" s="2" t="s">
        <v>15625</v>
      </c>
      <c r="G5733" s="2" t="s">
        <v>15646</v>
      </c>
      <c r="H5733" s="1">
        <v>11.0</v>
      </c>
      <c r="J5733" s="1" t="s">
        <v>86</v>
      </c>
      <c r="K5733" s="2" t="s">
        <v>15647</v>
      </c>
      <c r="L5733" s="2"/>
      <c r="M5733" s="2" t="str">
        <f>IFERROR(__xludf.DUMMYFUNCTION("split(split(K5733,""【"",false),""公式LINE"",false)"),"ついに完結ー感動の最終話！日本ドラマ史上、空前の規模で描く感動のラストシーン！柊と勇気が見守る中で繰り広げられる…廉の最後の告白ー『美子！お前の姿が見たいんだ…許可してくれ』　美子と廉、二人の恋にハッピーエンドは訪れるのか！？さようならA．N．JELL…物語は、衝撃の結末へ…全ての謎が明らかに！！金曜10時ー日本中が、感動の涙に包まれる…。瀧本美織  玉森裕太（Kis－My－Ft2）  藤ヶ谷太輔（Kis－My－Ft2）  八乙女光（Hey！Say！JUMP）    小嶋陽菜（AKB48）  六角精児  "&amp;"山崎樹範  清水　優    北山宏光（Kis－My－Ft2）  楽しんご  能世あんな  高橋真依子  葵  愛純もえり  桜井聖  西村右    片瀬那奈  井森美幸  柳沢慎吾  高嶋政伸  萬田久子")</f>
        <v>ついに完結ー感動の最終話！日本ドラマ史上、空前の規模で描く感動のラストシーン！柊と勇気が見守る中で繰り広げられる…廉の最後の告白ー『美子！お前の姿が見たいんだ…許可してくれ』　美子と廉、二人の恋にハッピーエンドは訪れるのか！？さようならA．N．JELL…物語は、衝撃の結末へ…全ての謎が明らかに！！金曜10時ー日本中が、感動の涙に包まれる…。瀧本美織  玉森裕太（Kis－My－Ft2）  藤ヶ谷太輔（Kis－My－Ft2）  八乙女光（Hey！Say！JUMP）    小嶋陽菜（AKB48）  六角精児  山崎樹範  清水　優    北山宏光（Kis－My－Ft2）  楽しんご  能世あんな  高橋真依子  葵  愛純もえり  桜井聖  西村右    片瀬那奈  井森美幸  柳沢慎吾  高嶋政伸  萬田久子</v>
      </c>
      <c r="N5733" s="2"/>
      <c r="O5733" s="2"/>
      <c r="P5733" s="1"/>
      <c r="Q5733" s="1"/>
      <c r="R5733" s="1"/>
      <c r="S5733" s="1"/>
      <c r="T5733" s="1"/>
      <c r="U5733" s="1"/>
      <c r="V5733" s="1"/>
      <c r="W5733" s="1"/>
      <c r="X5733" s="1"/>
      <c r="Y5733" s="1"/>
      <c r="Z5733" s="1"/>
      <c r="AA5733" s="1"/>
      <c r="AB5733" s="1"/>
      <c r="AC5733" s="1"/>
      <c r="AD5733" s="1"/>
      <c r="AE5733" s="1"/>
      <c r="AF5733" s="1"/>
      <c r="AG5733" s="1"/>
      <c r="AH5733" s="1"/>
      <c r="AI5733" s="1"/>
      <c r="AJ5733" s="1"/>
      <c r="AK5733" s="1"/>
      <c r="AL5733" s="1"/>
      <c r="AM5733" s="1"/>
      <c r="AN5733" s="1"/>
      <c r="AO5733" s="1"/>
      <c r="AP5733" s="1"/>
      <c r="AQ5733" s="1"/>
      <c r="AR5733" s="1"/>
      <c r="AS5733" s="1"/>
      <c r="AT5733" s="1"/>
      <c r="AU5733" s="1"/>
      <c r="AV5733" s="1"/>
      <c r="AW5733" s="1"/>
      <c r="AX5733" s="1"/>
      <c r="AY5733" s="1"/>
      <c r="AZ5733" s="1"/>
      <c r="BA5733" s="1"/>
      <c r="BB5733" s="1"/>
    </row>
    <row r="5734" ht="204.75" customHeight="1">
      <c r="A5734" s="1">
        <v>4305.0</v>
      </c>
      <c r="B5734" s="2" t="s">
        <v>15648</v>
      </c>
      <c r="C5734" s="2">
        <f>IFERROR(__xludf.DUMMYFUNCTION("split(B5734,""_"")"),1107.0)</f>
        <v>1107</v>
      </c>
      <c r="D5734" s="2" t="str">
        <f>IFERROR(__xludf.DUMMYFUNCTION("""COMPUTED_VALUE"""),"TBS")</f>
        <v>TBS</v>
      </c>
      <c r="E5734" s="2" t="str">
        <f>IFERROR(__xludf.DUMMYFUNCTION("""COMPUTED_VALUE"""),"日21")</f>
        <v>日21</v>
      </c>
      <c r="F5734" s="2" t="s">
        <v>15649</v>
      </c>
      <c r="G5734" s="2" t="s">
        <v>15650</v>
      </c>
      <c r="H5734" s="1">
        <v>1.0</v>
      </c>
      <c r="J5734" s="1" t="s">
        <v>4</v>
      </c>
      <c r="K5734" s="2" t="s">
        <v>15651</v>
      </c>
      <c r="L5734" s="2"/>
      <c r="M5734" s="2" t="str">
        <f>IFERROR(__xludf.DUMMYFUNCTION("split(split(K5734,""【"",false),""公式LINE"",false)"),"柴門ふみの原作をドラマ化“華和家の四姉妹”は、未婚に離婚、婚活、彼氏ナシと、なぜか呪われた男運の四姉妹。その中でも、次女の竹美は、離婚を繰り返して出戻り、かつ3人の子持ちという“問題児”だった。  自分に正直に生きるがゆえに、いつも周囲から浮いてしまい、“恋多き魔性の女”“問題児”“悪魔”と呼ばれる竹美が、いつも笑えるトラブルを巻き起こす!?  華和竹美…観月ありさ  ☆  華和桜子…貫地谷しほり  華和うめ…川島海荷  ☆  華和藤子…吉瀬美智子  ☆  益子正三郎…加藤成亮（NEWS）  ☆  山根克"&amp;"彦…田中哲司  ☆  華和大悟…遠藤憲一  華和幸子…宮崎美子  ☆  ")</f>
        <v>柴門ふみの原作をドラマ化“華和家の四姉妹”は、未婚に離婚、婚活、彼氏ナシと、なぜか呪われた男運の四姉妹。その中でも、次女の竹美は、離婚を繰り返して出戻り、かつ3人の子持ちという“問題児”だった。  自分に正直に生きるがゆえに、いつも周囲から浮いてしまい、“恋多き魔性の女”“問題児”“悪魔”と呼ばれる竹美が、いつも笑えるトラブルを巻き起こす!?  華和竹美…観月ありさ  ☆  華和桜子…貫地谷しほり  華和うめ…川島海荷  ☆  華和藤子…吉瀬美智子  ☆  益子正三郎…加藤成亮（NEWS）  ☆  山根克彦…田中哲司  ☆  華和大悟…遠藤憲一  華和幸子…宮崎美子  ☆  </v>
      </c>
      <c r="N5734" s="2"/>
      <c r="O5734" s="2"/>
      <c r="P5734" s="1"/>
      <c r="Q5734" s="1"/>
      <c r="R5734" s="1"/>
      <c r="S5734" s="1"/>
      <c r="T5734" s="1"/>
      <c r="U5734" s="1"/>
      <c r="V5734" s="1"/>
      <c r="W5734" s="1"/>
      <c r="X5734" s="1"/>
      <c r="Y5734" s="1"/>
      <c r="Z5734" s="1"/>
      <c r="AA5734" s="1"/>
      <c r="AB5734" s="1"/>
      <c r="AC5734" s="1"/>
      <c r="AD5734" s="1"/>
      <c r="AE5734" s="1"/>
      <c r="AF5734" s="1"/>
      <c r="AG5734" s="1"/>
      <c r="AH5734" s="1"/>
      <c r="AI5734" s="1"/>
      <c r="AJ5734" s="1"/>
      <c r="AK5734" s="1"/>
      <c r="AL5734" s="1"/>
      <c r="AM5734" s="1"/>
      <c r="AN5734" s="1"/>
      <c r="AO5734" s="1"/>
      <c r="AP5734" s="1"/>
      <c r="AQ5734" s="1"/>
      <c r="AR5734" s="1"/>
      <c r="AS5734" s="1"/>
      <c r="AT5734" s="1"/>
      <c r="AU5734" s="1"/>
      <c r="AV5734" s="1"/>
      <c r="AW5734" s="1"/>
      <c r="AX5734" s="1"/>
      <c r="AY5734" s="1"/>
      <c r="AZ5734" s="1"/>
      <c r="BA5734" s="1"/>
      <c r="BB5734" s="1"/>
    </row>
    <row r="5735" ht="204.75" customHeight="1">
      <c r="A5735" s="1">
        <v>4306.0</v>
      </c>
      <c r="B5735" s="2" t="s">
        <v>15648</v>
      </c>
      <c r="C5735" s="2">
        <f>IFERROR(__xludf.DUMMYFUNCTION("split(B5735,""_"")"),1107.0)</f>
        <v>1107</v>
      </c>
      <c r="D5735" s="2" t="str">
        <f>IFERROR(__xludf.DUMMYFUNCTION("""COMPUTED_VALUE"""),"TBS")</f>
        <v>TBS</v>
      </c>
      <c r="E5735" s="2" t="str">
        <f>IFERROR(__xludf.DUMMYFUNCTION("""COMPUTED_VALUE"""),"日21")</f>
        <v>日21</v>
      </c>
      <c r="F5735" s="2" t="s">
        <v>15649</v>
      </c>
      <c r="G5735" s="2" t="s">
        <v>15652</v>
      </c>
      <c r="H5735" s="1">
        <v>2.0</v>
      </c>
      <c r="J5735" s="1" t="s">
        <v>11</v>
      </c>
      <c r="K5735" s="2" t="s">
        <v>15653</v>
      </c>
      <c r="L5735" s="2"/>
      <c r="M5735" s="2" t="str">
        <f>IFERROR(__xludf.DUMMYFUNCTION("split(split(K5735,""【"",false),""公式LINE"",false)"),"柴門ふみの原作をドラマ化“華和家の四姉妹”は、未婚に離婚、婚活、彼氏ナシと、なぜか呪われた男運の四姉妹。その中でも、次女の竹美は、離婚を繰り返して出戻り、かつ3人の子持ちという“問題児”だった。  自分に正直に生きるがゆえに、いつも周囲から浮いてしまい、“恋多き魔性の女”“問題児”“悪魔”と呼ばれる竹美が、いつも笑えるトラブルを巻き起こす!?華和竹美…観月ありさ  ☆  華和桜子…貫地谷しほり  華和うめ…川島海荷  ☆  華和藤子…吉瀬美智子  ☆  益子正三郎…加藤成亮（NEWS）  ☆  山根克彦…"&amp;"田中哲司  ☆  華和大悟…遠藤憲一  華和幸子…宮崎美子  ☆  ")</f>
        <v>柴門ふみの原作をドラマ化“華和家の四姉妹”は、未婚に離婚、婚活、彼氏ナシと、なぜか呪われた男運の四姉妹。その中でも、次女の竹美は、離婚を繰り返して出戻り、かつ3人の子持ちという“問題児”だった。  自分に正直に生きるがゆえに、いつも周囲から浮いてしまい、“恋多き魔性の女”“問題児”“悪魔”と呼ばれる竹美が、いつも笑えるトラブルを巻き起こす!?華和竹美…観月ありさ  ☆  華和桜子…貫地谷しほり  華和うめ…川島海荷  ☆  華和藤子…吉瀬美智子  ☆  益子正三郎…加藤成亮（NEWS）  ☆  山根克彦…田中哲司  ☆  華和大悟…遠藤憲一  華和幸子…宮崎美子  ☆  </v>
      </c>
      <c r="N5735" s="2"/>
      <c r="O5735" s="2"/>
      <c r="P5735" s="1"/>
      <c r="Q5735" s="1"/>
      <c r="R5735" s="1"/>
      <c r="S5735" s="1"/>
      <c r="T5735" s="1"/>
      <c r="U5735" s="1"/>
      <c r="V5735" s="1"/>
      <c r="W5735" s="1"/>
      <c r="X5735" s="1"/>
      <c r="Y5735" s="1"/>
      <c r="Z5735" s="1"/>
      <c r="AA5735" s="1"/>
      <c r="AB5735" s="1"/>
      <c r="AC5735" s="1"/>
      <c r="AD5735" s="1"/>
      <c r="AE5735" s="1"/>
      <c r="AF5735" s="1"/>
      <c r="AG5735" s="1"/>
      <c r="AH5735" s="1"/>
      <c r="AI5735" s="1"/>
      <c r="AJ5735" s="1"/>
      <c r="AK5735" s="1"/>
      <c r="AL5735" s="1"/>
      <c r="AM5735" s="1"/>
      <c r="AN5735" s="1"/>
      <c r="AO5735" s="1"/>
      <c r="AP5735" s="1"/>
      <c r="AQ5735" s="1"/>
      <c r="AR5735" s="1"/>
      <c r="AS5735" s="1"/>
      <c r="AT5735" s="1"/>
      <c r="AU5735" s="1"/>
      <c r="AV5735" s="1"/>
      <c r="AW5735" s="1"/>
      <c r="AX5735" s="1"/>
      <c r="AY5735" s="1"/>
      <c r="AZ5735" s="1"/>
      <c r="BA5735" s="1"/>
      <c r="BB5735" s="1"/>
    </row>
    <row r="5736" ht="204.75" customHeight="1">
      <c r="A5736" s="1">
        <v>4307.0</v>
      </c>
      <c r="B5736" s="2" t="s">
        <v>15648</v>
      </c>
      <c r="C5736" s="2">
        <f>IFERROR(__xludf.DUMMYFUNCTION("split(B5736,""_"")"),1107.0)</f>
        <v>1107</v>
      </c>
      <c r="D5736" s="2" t="str">
        <f>IFERROR(__xludf.DUMMYFUNCTION("""COMPUTED_VALUE"""),"TBS")</f>
        <v>TBS</v>
      </c>
      <c r="E5736" s="2" t="str">
        <f>IFERROR(__xludf.DUMMYFUNCTION("""COMPUTED_VALUE"""),"日21")</f>
        <v>日21</v>
      </c>
      <c r="F5736" s="2" t="s">
        <v>15649</v>
      </c>
      <c r="G5736" s="2" t="s">
        <v>15654</v>
      </c>
      <c r="H5736" s="1">
        <v>3.0</v>
      </c>
      <c r="J5736" s="1" t="s">
        <v>11</v>
      </c>
      <c r="K5736" s="2" t="s">
        <v>15655</v>
      </c>
      <c r="L5736" s="2"/>
      <c r="M5736" s="2" t="str">
        <f>IFERROR(__xludf.DUMMYFUNCTION("split(split(K5736,""【"",false),""公式LINE"",false)"),"結婚することは大変だけど、結婚を続けることも大変。軽い浮気がママの怒りを買って離婚するハメになったパパだが、ママの本音は？しかし、そんなママに思いがけない悲劇がおそいかかる。華和竹美…観月ありさ    華和桜子…貫地谷しほり  華和うめ…川島海荷    華和藤子…吉瀬美智子    益子正三郎…加藤成亮（NEWS）    山根克彦…田中哲司    華和大悟…遠藤憲一  華和幸子…宮崎美子    ")</f>
        <v>結婚することは大変だけど、結婚を続けることも大変。軽い浮気がママの怒りを買って離婚するハメになったパパだが、ママの本音は？しかし、そんなママに思いがけない悲劇がおそいかかる。華和竹美…観月ありさ    華和桜子…貫地谷しほり  華和うめ…川島海荷    華和藤子…吉瀬美智子    益子正三郎…加藤成亮（NEWS）    山根克彦…田中哲司    華和大悟…遠藤憲一  華和幸子…宮崎美子    </v>
      </c>
      <c r="N5736" s="2"/>
      <c r="O5736" s="2"/>
      <c r="P5736" s="1"/>
      <c r="Q5736" s="1"/>
      <c r="R5736" s="1"/>
      <c r="S5736" s="1"/>
      <c r="T5736" s="1"/>
      <c r="U5736" s="1"/>
      <c r="V5736" s="1"/>
      <c r="W5736" s="1"/>
      <c r="X5736" s="1"/>
      <c r="Y5736" s="1"/>
      <c r="Z5736" s="1"/>
      <c r="AA5736" s="1"/>
      <c r="AB5736" s="1"/>
      <c r="AC5736" s="1"/>
      <c r="AD5736" s="1"/>
      <c r="AE5736" s="1"/>
      <c r="AF5736" s="1"/>
      <c r="AG5736" s="1"/>
      <c r="AH5736" s="1"/>
      <c r="AI5736" s="1"/>
      <c r="AJ5736" s="1"/>
      <c r="AK5736" s="1"/>
      <c r="AL5736" s="1"/>
      <c r="AM5736" s="1"/>
      <c r="AN5736" s="1"/>
      <c r="AO5736" s="1"/>
      <c r="AP5736" s="1"/>
      <c r="AQ5736" s="1"/>
      <c r="AR5736" s="1"/>
      <c r="AS5736" s="1"/>
      <c r="AT5736" s="1"/>
      <c r="AU5736" s="1"/>
      <c r="AV5736" s="1"/>
      <c r="AW5736" s="1"/>
      <c r="AX5736" s="1"/>
      <c r="AY5736" s="1"/>
      <c r="AZ5736" s="1"/>
      <c r="BA5736" s="1"/>
      <c r="BB5736" s="1"/>
    </row>
    <row r="5737" ht="204.75" customHeight="1">
      <c r="A5737" s="1">
        <v>4308.0</v>
      </c>
      <c r="B5737" s="2" t="s">
        <v>15648</v>
      </c>
      <c r="C5737" s="2">
        <f>IFERROR(__xludf.DUMMYFUNCTION("split(B5737,""_"")"),1107.0)</f>
        <v>1107</v>
      </c>
      <c r="D5737" s="2" t="str">
        <f>IFERROR(__xludf.DUMMYFUNCTION("""COMPUTED_VALUE"""),"TBS")</f>
        <v>TBS</v>
      </c>
      <c r="E5737" s="2" t="str">
        <f>IFERROR(__xludf.DUMMYFUNCTION("""COMPUTED_VALUE"""),"日21")</f>
        <v>日21</v>
      </c>
      <c r="F5737" s="2" t="s">
        <v>15649</v>
      </c>
      <c r="G5737" s="2" t="s">
        <v>15656</v>
      </c>
      <c r="H5737" s="1">
        <v>4.0</v>
      </c>
      <c r="J5737" s="1" t="s">
        <v>11</v>
      </c>
      <c r="K5737" s="2" t="s">
        <v>15657</v>
      </c>
      <c r="L5737" s="2"/>
      <c r="M5737" s="2" t="str">
        <f>IFERROR(__xludf.DUMMYFUNCTION("split(split(K5737,""【"",false),""公式LINE"",false)"),"ママがいつも見ていた家族の風景は何だったのだろう？ママを失った四姉妹の心はバラバラに   自暴自棄になった四女・うめに危機が襲いかかる。そんなうめをバラバラになった四姉妹は助けることが出来るのか？華和竹美…観月ありさ    華和桜子…貫地谷しほり  華和うめ…川島海荷    華和藤子…吉瀬美智子    益子正三郎…加藤成亮（NEWS）    山根克彦…田中哲司    華和大悟…遠藤憲一  華和幸子…宮崎美子    ")</f>
        <v>ママがいつも見ていた家族の風景は何だったのだろう？ママを失った四姉妹の心はバラバラに   自暴自棄になった四女・うめに危機が襲いかかる。そんなうめをバラバラになった四姉妹は助けることが出来るのか？華和竹美…観月ありさ    華和桜子…貫地谷しほり  華和うめ…川島海荷    華和藤子…吉瀬美智子    益子正三郎…加藤成亮（NEWS）    山根克彦…田中哲司    華和大悟…遠藤憲一  華和幸子…宮崎美子    </v>
      </c>
      <c r="N5737" s="2"/>
      <c r="O5737" s="2"/>
      <c r="P5737" s="1"/>
      <c r="Q5737" s="1"/>
      <c r="R5737" s="1"/>
      <c r="S5737" s="1"/>
      <c r="T5737" s="1"/>
      <c r="U5737" s="1"/>
      <c r="V5737" s="1"/>
      <c r="W5737" s="1"/>
      <c r="X5737" s="1"/>
      <c r="Y5737" s="1"/>
      <c r="Z5737" s="1"/>
      <c r="AA5737" s="1"/>
      <c r="AB5737" s="1"/>
      <c r="AC5737" s="1"/>
      <c r="AD5737" s="1"/>
      <c r="AE5737" s="1"/>
      <c r="AF5737" s="1"/>
      <c r="AG5737" s="1"/>
      <c r="AH5737" s="1"/>
      <c r="AI5737" s="1"/>
      <c r="AJ5737" s="1"/>
      <c r="AK5737" s="1"/>
      <c r="AL5737" s="1"/>
      <c r="AM5737" s="1"/>
      <c r="AN5737" s="1"/>
      <c r="AO5737" s="1"/>
      <c r="AP5737" s="1"/>
      <c r="AQ5737" s="1"/>
      <c r="AR5737" s="1"/>
      <c r="AS5737" s="1"/>
      <c r="AT5737" s="1"/>
      <c r="AU5737" s="1"/>
      <c r="AV5737" s="1"/>
      <c r="AW5737" s="1"/>
      <c r="AX5737" s="1"/>
      <c r="AY5737" s="1"/>
      <c r="AZ5737" s="1"/>
      <c r="BA5737" s="1"/>
      <c r="BB5737" s="1"/>
    </row>
    <row r="5738" ht="204.75" customHeight="1">
      <c r="A5738" s="1">
        <v>4309.0</v>
      </c>
      <c r="B5738" s="2" t="s">
        <v>15648</v>
      </c>
      <c r="C5738" s="2">
        <f>IFERROR(__xludf.DUMMYFUNCTION("split(B5738,""_"")"),1107.0)</f>
        <v>1107</v>
      </c>
      <c r="D5738" s="2" t="str">
        <f>IFERROR(__xludf.DUMMYFUNCTION("""COMPUTED_VALUE"""),"TBS")</f>
        <v>TBS</v>
      </c>
      <c r="E5738" s="2" t="str">
        <f>IFERROR(__xludf.DUMMYFUNCTION("""COMPUTED_VALUE"""),"日21")</f>
        <v>日21</v>
      </c>
      <c r="F5738" s="2" t="s">
        <v>15649</v>
      </c>
      <c r="G5738" s="2" t="s">
        <v>15658</v>
      </c>
      <c r="H5738" s="1">
        <v>5.0</v>
      </c>
      <c r="J5738" s="1" t="s">
        <v>11</v>
      </c>
      <c r="K5738" s="2" t="s">
        <v>15659</v>
      </c>
      <c r="L5738" s="2"/>
      <c r="M5738" s="2" t="str">
        <f>IFERROR(__xludf.DUMMYFUNCTION("split(split(K5738,""【"",false),""公式LINE"",false)"),"今の竹美の強さには、過去の大きな心の傷が影響している。その傷を癒すことが出来る男はいったい誰なのか？そして魔性の男・正三郎の本当の狙いとは？！華和竹美…観月ありさ  ☆  華和桜子…貫地谷しほり  華和うめ…川島海荷  ☆  華和藤子…吉瀬美智子  ☆  益子正三郎…加藤成亮（NEWS）  ☆  秋元太一…石黒賢  ☆  山根克彦…田中哲司  ☆  華和大悟…遠藤憲一  華和幸子…宮崎美子")</f>
        <v>今の竹美の強さには、過去の大きな心の傷が影響している。その傷を癒すことが出来る男はいったい誰なのか？そして魔性の男・正三郎の本当の狙いとは？！華和竹美…観月ありさ  ☆  華和桜子…貫地谷しほり  華和うめ…川島海荷  ☆  華和藤子…吉瀬美智子  ☆  益子正三郎…加藤成亮（NEWS）  ☆  秋元太一…石黒賢  ☆  山根克彦…田中哲司  ☆  華和大悟…遠藤憲一  華和幸子…宮崎美子</v>
      </c>
      <c r="N5738" s="2"/>
      <c r="O5738" s="2"/>
      <c r="P5738" s="1"/>
      <c r="Q5738" s="1"/>
      <c r="R5738" s="1"/>
      <c r="S5738" s="1"/>
      <c r="T5738" s="1"/>
      <c r="U5738" s="1"/>
      <c r="V5738" s="1"/>
      <c r="W5738" s="1"/>
      <c r="X5738" s="1"/>
      <c r="Y5738" s="1"/>
      <c r="Z5738" s="1"/>
      <c r="AA5738" s="1"/>
      <c r="AB5738" s="1"/>
      <c r="AC5738" s="1"/>
      <c r="AD5738" s="1"/>
      <c r="AE5738" s="1"/>
      <c r="AF5738" s="1"/>
      <c r="AG5738" s="1"/>
      <c r="AH5738" s="1"/>
      <c r="AI5738" s="1"/>
      <c r="AJ5738" s="1"/>
      <c r="AK5738" s="1"/>
      <c r="AL5738" s="1"/>
      <c r="AM5738" s="1"/>
      <c r="AN5738" s="1"/>
      <c r="AO5738" s="1"/>
      <c r="AP5738" s="1"/>
      <c r="AQ5738" s="1"/>
      <c r="AR5738" s="1"/>
      <c r="AS5738" s="1"/>
      <c r="AT5738" s="1"/>
      <c r="AU5738" s="1"/>
      <c r="AV5738" s="1"/>
      <c r="AW5738" s="1"/>
      <c r="AX5738" s="1"/>
      <c r="AY5738" s="1"/>
      <c r="AZ5738" s="1"/>
      <c r="BA5738" s="1"/>
      <c r="BB5738" s="1"/>
    </row>
    <row r="5739" ht="204.75" customHeight="1">
      <c r="A5739" s="1">
        <v>4310.0</v>
      </c>
      <c r="B5739" s="2" t="s">
        <v>15648</v>
      </c>
      <c r="C5739" s="2">
        <f>IFERROR(__xludf.DUMMYFUNCTION("split(B5739,""_"")"),1107.0)</f>
        <v>1107</v>
      </c>
      <c r="D5739" s="2" t="str">
        <f>IFERROR(__xludf.DUMMYFUNCTION("""COMPUTED_VALUE"""),"TBS")</f>
        <v>TBS</v>
      </c>
      <c r="E5739" s="2" t="str">
        <f>IFERROR(__xludf.DUMMYFUNCTION("""COMPUTED_VALUE"""),"日21")</f>
        <v>日21</v>
      </c>
      <c r="F5739" s="2" t="s">
        <v>15649</v>
      </c>
      <c r="G5739" s="2" t="s">
        <v>15660</v>
      </c>
      <c r="H5739" s="1">
        <v>6.0</v>
      </c>
      <c r="J5739" s="1" t="s">
        <v>11</v>
      </c>
      <c r="K5739" s="2" t="s">
        <v>15661</v>
      </c>
      <c r="L5739" s="2"/>
      <c r="M5739" s="2" t="str">
        <f>IFERROR(__xludf.DUMMYFUNCTION("split(split(K5739,""【"",false),""公式LINE"",false)"),"最愛の幸子ママを亡くした華和家。大悟パパは姿を消してしまい、四姉妹はそれぞれの問題を抱えたまま心がすれ違い、バラバラに・・・そして竹美の前に突如現れた、元夫・山根の秘書、綾子。山根と綾子の関係は？  女の敵は女・・・女同士の戦いを制するものが、恋愛を制す！竹美の号泣の理由は？華和竹美…観月ありさ  ☆  華和桜子…貫地谷しほり  華和うめ…川島海荷  ☆  華和藤子…吉瀬美智子  ☆  益子正三郎…加藤成亮（NEWS）  ☆  秋元太一…石黒賢  ☆  山根克彦…田中哲司  ☆  華和幸子…宮崎美子  ☆"&amp;"    ")</f>
        <v>最愛の幸子ママを亡くした華和家。大悟パパは姿を消してしまい、四姉妹はそれぞれの問題を抱えたまま心がすれ違い、バラバラに・・・そして竹美の前に突如現れた、元夫・山根の秘書、綾子。山根と綾子の関係は？  女の敵は女・・・女同士の戦いを制するものが、恋愛を制す！竹美の号泣の理由は？華和竹美…観月ありさ  ☆  華和桜子…貫地谷しほり  華和うめ…川島海荷  ☆  華和藤子…吉瀬美智子  ☆  益子正三郎…加藤成亮（NEWS）  ☆  秋元太一…石黒賢  ☆  山根克彦…田中哲司  ☆  華和幸子…宮崎美子  ☆    </v>
      </c>
      <c r="N5739" s="2"/>
      <c r="O5739" s="2"/>
      <c r="P5739" s="1"/>
      <c r="Q5739" s="1"/>
      <c r="R5739" s="1"/>
      <c r="S5739" s="1"/>
      <c r="T5739" s="1"/>
      <c r="U5739" s="1"/>
      <c r="V5739" s="1"/>
      <c r="W5739" s="1"/>
      <c r="X5739" s="1"/>
      <c r="Y5739" s="1"/>
      <c r="Z5739" s="1"/>
      <c r="AA5739" s="1"/>
      <c r="AB5739" s="1"/>
      <c r="AC5739" s="1"/>
      <c r="AD5739" s="1"/>
      <c r="AE5739" s="1"/>
      <c r="AF5739" s="1"/>
      <c r="AG5739" s="1"/>
      <c r="AH5739" s="1"/>
      <c r="AI5739" s="1"/>
      <c r="AJ5739" s="1"/>
      <c r="AK5739" s="1"/>
      <c r="AL5739" s="1"/>
      <c r="AM5739" s="1"/>
      <c r="AN5739" s="1"/>
      <c r="AO5739" s="1"/>
      <c r="AP5739" s="1"/>
      <c r="AQ5739" s="1"/>
      <c r="AR5739" s="1"/>
      <c r="AS5739" s="1"/>
      <c r="AT5739" s="1"/>
      <c r="AU5739" s="1"/>
      <c r="AV5739" s="1"/>
      <c r="AW5739" s="1"/>
      <c r="AX5739" s="1"/>
      <c r="AY5739" s="1"/>
      <c r="AZ5739" s="1"/>
      <c r="BA5739" s="1"/>
      <c r="BB5739" s="1"/>
    </row>
    <row r="5740" ht="204.75" customHeight="1">
      <c r="A5740" s="1">
        <v>4311.0</v>
      </c>
      <c r="B5740" s="2" t="s">
        <v>15648</v>
      </c>
      <c r="C5740" s="2">
        <f>IFERROR(__xludf.DUMMYFUNCTION("split(B5740,""_"")"),1107.0)</f>
        <v>1107</v>
      </c>
      <c r="D5740" s="2" t="str">
        <f>IFERROR(__xludf.DUMMYFUNCTION("""COMPUTED_VALUE"""),"TBS")</f>
        <v>TBS</v>
      </c>
      <c r="E5740" s="2" t="str">
        <f>IFERROR(__xludf.DUMMYFUNCTION("""COMPUTED_VALUE"""),"日21")</f>
        <v>日21</v>
      </c>
      <c r="F5740" s="2" t="s">
        <v>15649</v>
      </c>
      <c r="G5740" s="2" t="s">
        <v>15662</v>
      </c>
      <c r="H5740" s="1">
        <v>7.0</v>
      </c>
      <c r="J5740" s="1" t="s">
        <v>11</v>
      </c>
      <c r="K5740" s="2" t="s">
        <v>15663</v>
      </c>
      <c r="L5740" s="2"/>
      <c r="M5740" s="2" t="str">
        <f>IFERROR(__xludf.DUMMYFUNCTION("split(split(K5740,""【"",false),""公式LINE"",false)"),"号泣する竹美の前に現れた正三郎。それを目撃する桜子   姉妹がライバルという複雑な恋の三角関係が動き出す。そして長女・藤子は元上司であり以前関係のあった秋元との再会で心が揺らぐも、『結婚』という肩書きを手に入れるため、取材先で知り合った外科医の小野寺と婚約を決意する。華和竹美…観月ありさ  ☆  華和桜子…貫地谷しほり  華和うめ…川島海荷  ☆  華和藤子…吉瀬美智子  ☆  益子正三郎…加藤成亮（NEWS）  ☆  秋元太一…石黒賢  ☆  山根克彦…田中哲司  ☆  華和大悟…遠藤憲一  ☆  ")</f>
        <v>号泣する竹美の前に現れた正三郎。それを目撃する桜子   姉妹がライバルという複雑な恋の三角関係が動き出す。そして長女・藤子は元上司であり以前関係のあった秋元との再会で心が揺らぐも、『結婚』という肩書きを手に入れるため、取材先で知り合った外科医の小野寺と婚約を決意する。華和竹美…観月ありさ  ☆  華和桜子…貫地谷しほり  華和うめ…川島海荷  ☆  華和藤子…吉瀬美智子  ☆  益子正三郎…加藤成亮（NEWS）  ☆  秋元太一…石黒賢  ☆  山根克彦…田中哲司  ☆  華和大悟…遠藤憲一  ☆  </v>
      </c>
      <c r="N5740" s="2"/>
      <c r="O5740" s="2"/>
      <c r="P5740" s="1"/>
      <c r="Q5740" s="1"/>
      <c r="R5740" s="1"/>
      <c r="S5740" s="1"/>
      <c r="T5740" s="1"/>
      <c r="U5740" s="1"/>
      <c r="V5740" s="1"/>
      <c r="W5740" s="1"/>
      <c r="X5740" s="1"/>
      <c r="Y5740" s="1"/>
      <c r="Z5740" s="1"/>
      <c r="AA5740" s="1"/>
      <c r="AB5740" s="1"/>
      <c r="AC5740" s="1"/>
      <c r="AD5740" s="1"/>
      <c r="AE5740" s="1"/>
      <c r="AF5740" s="1"/>
      <c r="AG5740" s="1"/>
      <c r="AH5740" s="1"/>
      <c r="AI5740" s="1"/>
      <c r="AJ5740" s="1"/>
      <c r="AK5740" s="1"/>
      <c r="AL5740" s="1"/>
      <c r="AM5740" s="1"/>
      <c r="AN5740" s="1"/>
      <c r="AO5740" s="1"/>
      <c r="AP5740" s="1"/>
      <c r="AQ5740" s="1"/>
      <c r="AR5740" s="1"/>
      <c r="AS5740" s="1"/>
      <c r="AT5740" s="1"/>
      <c r="AU5740" s="1"/>
      <c r="AV5740" s="1"/>
      <c r="AW5740" s="1"/>
      <c r="AX5740" s="1"/>
      <c r="AY5740" s="1"/>
      <c r="AZ5740" s="1"/>
      <c r="BA5740" s="1"/>
      <c r="BB5740" s="1"/>
    </row>
    <row r="5741" ht="204.75" customHeight="1">
      <c r="A5741" s="1">
        <v>4312.0</v>
      </c>
      <c r="B5741" s="2" t="s">
        <v>15648</v>
      </c>
      <c r="C5741" s="2">
        <f>IFERROR(__xludf.DUMMYFUNCTION("split(B5741,""_"")"),1107.0)</f>
        <v>1107</v>
      </c>
      <c r="D5741" s="2" t="str">
        <f>IFERROR(__xludf.DUMMYFUNCTION("""COMPUTED_VALUE"""),"TBS")</f>
        <v>TBS</v>
      </c>
      <c r="E5741" s="2" t="str">
        <f>IFERROR(__xludf.DUMMYFUNCTION("""COMPUTED_VALUE"""),"日21")</f>
        <v>日21</v>
      </c>
      <c r="F5741" s="2" t="s">
        <v>15649</v>
      </c>
      <c r="G5741" s="2" t="s">
        <v>15664</v>
      </c>
      <c r="H5741" s="1">
        <v>8.0</v>
      </c>
      <c r="J5741" s="1" t="s">
        <v>4</v>
      </c>
      <c r="K5741" s="2" t="s">
        <v>15665</v>
      </c>
      <c r="L5741" s="2"/>
      <c r="M5741" s="2" t="str">
        <f>IFERROR(__xludf.DUMMYFUNCTION("split(split(K5741,""【"",false),""公式LINE"",false)"),"元夫の山根から、再婚相手との間に子供が出来たと告げられた竹美。しかも、竹美の子供達とは成人するまで会わないと言われてしまう。最後にパパとの最高の思い出を作って欲しいとお願いした竹美は、約束の当日、子供たちと遊園地の前で待っていた。しかし、そこに現れたのは……。  父・大悟は娘たちに冷たくされながらも、最愛の亡き妻・幸子の大切なモノを守るため、華和家に戻ることを決意する。華和竹美…観月ありさ  ☆  華和桜子…貫地谷しほり  華和うめ…川島海荷  ☆  華和藤子…吉瀬美智子  ☆  益子正三郎…加藤成亮（N"&amp;"EWS）  ☆  秋元太一…石黒賢  ☆  山根克彦…田中哲司  ☆  華和大悟…遠藤憲一  ☆  ")</f>
        <v>元夫の山根から、再婚相手との間に子供が出来たと告げられた竹美。しかも、竹美の子供達とは成人するまで会わないと言われてしまう。最後にパパとの最高の思い出を作って欲しいとお願いした竹美は、約束の当日、子供たちと遊園地の前で待っていた。しかし、そこに現れたのは……。  父・大悟は娘たちに冷たくされながらも、最愛の亡き妻・幸子の大切なモノを守るため、華和家に戻ることを決意する。華和竹美…観月ありさ  ☆  華和桜子…貫地谷しほり  華和うめ…川島海荷  ☆  華和藤子…吉瀬美智子  ☆  益子正三郎…加藤成亮（NEWS）  ☆  秋元太一…石黒賢  ☆  山根克彦…田中哲司  ☆  華和大悟…遠藤憲一  ☆  </v>
      </c>
      <c r="N5741" s="2"/>
      <c r="O5741" s="2"/>
      <c r="P5741" s="1"/>
      <c r="Q5741" s="1"/>
      <c r="R5741" s="1"/>
      <c r="S5741" s="1"/>
      <c r="T5741" s="1"/>
      <c r="U5741" s="1"/>
      <c r="V5741" s="1"/>
      <c r="W5741" s="1"/>
      <c r="X5741" s="1"/>
      <c r="Y5741" s="1"/>
      <c r="Z5741" s="1"/>
      <c r="AA5741" s="1"/>
      <c r="AB5741" s="1"/>
      <c r="AC5741" s="1"/>
      <c r="AD5741" s="1"/>
      <c r="AE5741" s="1"/>
      <c r="AF5741" s="1"/>
      <c r="AG5741" s="1"/>
      <c r="AH5741" s="1"/>
      <c r="AI5741" s="1"/>
      <c r="AJ5741" s="1"/>
      <c r="AK5741" s="1"/>
      <c r="AL5741" s="1"/>
      <c r="AM5741" s="1"/>
      <c r="AN5741" s="1"/>
      <c r="AO5741" s="1"/>
      <c r="AP5741" s="1"/>
      <c r="AQ5741" s="1"/>
      <c r="AR5741" s="1"/>
      <c r="AS5741" s="1"/>
      <c r="AT5741" s="1"/>
      <c r="AU5741" s="1"/>
      <c r="AV5741" s="1"/>
      <c r="AW5741" s="1"/>
      <c r="AX5741" s="1"/>
      <c r="AY5741" s="1"/>
      <c r="AZ5741" s="1"/>
      <c r="BA5741" s="1"/>
      <c r="BB5741" s="1"/>
    </row>
    <row r="5742" ht="204.75" customHeight="1">
      <c r="A5742" s="1">
        <v>4313.0</v>
      </c>
      <c r="B5742" s="2" t="s">
        <v>15648</v>
      </c>
      <c r="C5742" s="2">
        <f>IFERROR(__xludf.DUMMYFUNCTION("split(B5742,""_"")"),1107.0)</f>
        <v>1107</v>
      </c>
      <c r="D5742" s="2" t="str">
        <f>IFERROR(__xludf.DUMMYFUNCTION("""COMPUTED_VALUE"""),"TBS")</f>
        <v>TBS</v>
      </c>
      <c r="E5742" s="2" t="str">
        <f>IFERROR(__xludf.DUMMYFUNCTION("""COMPUTED_VALUE"""),"日21")</f>
        <v>日21</v>
      </c>
      <c r="F5742" s="2" t="s">
        <v>15649</v>
      </c>
      <c r="G5742" s="2" t="s">
        <v>15666</v>
      </c>
      <c r="H5742" s="1">
        <v>9.0</v>
      </c>
      <c r="J5742" s="1" t="s">
        <v>4</v>
      </c>
      <c r="K5742" s="2" t="s">
        <v>15667</v>
      </c>
      <c r="L5742" s="2"/>
      <c r="M5742" s="2" t="str">
        <f>IFERROR(__xludf.DUMMYFUNCTION("split(split(K5742,""【"",false),""公式LINE"",false)"),"涙のキスをした竹美と正三郎。桜子への裏切りだとわかっていても、気持ちをストレートにぶつけてくる正三郎に戸惑う竹美。一方桜子も正三郎との二人の関係に苦悩する。しかし、竹美は最初の旦那から、プロポーズされたことで大阪へ行くことをあっさり決意する。藤子は秋元への気持ちに気づき想いを伝えようとした矢先に事件が起きる。そんな最中、大悟が倒れたという連絡を受け、四姉妹は大悟の元へ走るのだが…。華和竹美…観月ありさ  ☆  華和桜子…貫地谷しほり  華和うめ…川島海荷  ☆  華和藤子…吉瀬美智子  ☆  益子正三郎…"&amp;"加藤成亮（NEWS）  ☆  秋元太一…石黒賢  ☆  山根克彦…田中哲司  ☆  華和大悟…遠藤憲一  ☆  ")</f>
        <v>涙のキスをした竹美と正三郎。桜子への裏切りだとわかっていても、気持ちをストレートにぶつけてくる正三郎に戸惑う竹美。一方桜子も正三郎との二人の関係に苦悩する。しかし、竹美は最初の旦那から、プロポーズされたことで大阪へ行くことをあっさり決意する。藤子は秋元への気持ちに気づき想いを伝えようとした矢先に事件が起きる。そんな最中、大悟が倒れたという連絡を受け、四姉妹は大悟の元へ走るのだが…。華和竹美…観月ありさ  ☆  華和桜子…貫地谷しほり  華和うめ…川島海荷  ☆  華和藤子…吉瀬美智子  ☆  益子正三郎…加藤成亮（NEWS）  ☆  秋元太一…石黒賢  ☆  山根克彦…田中哲司  ☆  華和大悟…遠藤憲一  ☆  </v>
      </c>
      <c r="N5742" s="2"/>
      <c r="O5742" s="2"/>
      <c r="P5742" s="1"/>
      <c r="Q5742" s="1"/>
      <c r="R5742" s="1"/>
      <c r="S5742" s="1"/>
      <c r="T5742" s="1"/>
      <c r="U5742" s="1"/>
      <c r="V5742" s="1"/>
      <c r="W5742" s="1"/>
      <c r="X5742" s="1"/>
      <c r="Y5742" s="1"/>
      <c r="Z5742" s="1"/>
      <c r="AA5742" s="1"/>
      <c r="AB5742" s="1"/>
      <c r="AC5742" s="1"/>
      <c r="AD5742" s="1"/>
      <c r="AE5742" s="1"/>
      <c r="AF5742" s="1"/>
      <c r="AG5742" s="1"/>
      <c r="AH5742" s="1"/>
      <c r="AI5742" s="1"/>
      <c r="AJ5742" s="1"/>
      <c r="AK5742" s="1"/>
      <c r="AL5742" s="1"/>
      <c r="AM5742" s="1"/>
      <c r="AN5742" s="1"/>
      <c r="AO5742" s="1"/>
      <c r="AP5742" s="1"/>
      <c r="AQ5742" s="1"/>
      <c r="AR5742" s="1"/>
      <c r="AS5742" s="1"/>
      <c r="AT5742" s="1"/>
      <c r="AU5742" s="1"/>
      <c r="AV5742" s="1"/>
      <c r="AW5742" s="1"/>
      <c r="AX5742" s="1"/>
      <c r="AY5742" s="1"/>
      <c r="AZ5742" s="1"/>
      <c r="BA5742" s="1"/>
      <c r="BB5742" s="1"/>
    </row>
    <row r="5743" ht="204.75" customHeight="1">
      <c r="A5743" s="1">
        <v>4314.0</v>
      </c>
      <c r="B5743" s="2" t="s">
        <v>15648</v>
      </c>
      <c r="C5743" s="2">
        <f>IFERROR(__xludf.DUMMYFUNCTION("split(B5743,""_"")"),1107.0)</f>
        <v>1107</v>
      </c>
      <c r="D5743" s="2" t="str">
        <f>IFERROR(__xludf.DUMMYFUNCTION("""COMPUTED_VALUE"""),"TBS")</f>
        <v>TBS</v>
      </c>
      <c r="E5743" s="2" t="str">
        <f>IFERROR(__xludf.DUMMYFUNCTION("""COMPUTED_VALUE"""),"日21")</f>
        <v>日21</v>
      </c>
      <c r="F5743" s="2" t="s">
        <v>15649</v>
      </c>
      <c r="G5743" s="2" t="s">
        <v>15668</v>
      </c>
      <c r="H5743" s="1">
        <v>10.0</v>
      </c>
      <c r="J5743" s="1" t="s">
        <v>11</v>
      </c>
      <c r="K5743" s="2" t="s">
        <v>15669</v>
      </c>
      <c r="L5743" s="2"/>
      <c r="M5743" s="2" t="str">
        <f>IFERROR(__xludf.DUMMYFUNCTION("split(split(K5743,""【"",false),""公式LINE"",false)"),"大悟パパが倒れ、四姉妹は不安な日々を過ごす。倒れる前、大悟と正三郎がなぜ一緒にいたのかが気になって仕方ない桜子。大悟が桜子についたやさしい嘘は桜子の心に届くのか？  竹美も家族のため、華和家を去る決意をする。それは、最初の夫・なべやんと結婚し大阪へついて行くというのだが   。  そんな最中、大悟の借金が発覚し、家を売却すること！家族バラバラになった華和家が窮地に追いやられる。華和竹美…観月ありさ  ☆  華和桜子…貫地谷しほり  華和うめ…川島海荷  ☆  華和藤子…吉瀬美智子  ☆  益子正三郎…加藤"&amp;"成亮（NEWS）  ☆  山根克彦…田中哲司  ☆  華和大悟…遠藤憲一  華和幸子…宮崎美子  ☆")</f>
        <v>大悟パパが倒れ、四姉妹は不安な日々を過ごす。倒れる前、大悟と正三郎がなぜ一緒にいたのかが気になって仕方ない桜子。大悟が桜子についたやさしい嘘は桜子の心に届くのか？  竹美も家族のため、華和家を去る決意をする。それは、最初の夫・なべやんと結婚し大阪へついて行くというのだが   。  そんな最中、大悟の借金が発覚し、家を売却すること！家族バラバラになった華和家が窮地に追いやられる。華和竹美…観月ありさ  ☆  華和桜子…貫地谷しほり  華和うめ…川島海荷  ☆  華和藤子…吉瀬美智子  ☆  益子正三郎…加藤成亮（NEWS）  ☆  山根克彦…田中哲司  ☆  華和大悟…遠藤憲一  華和幸子…宮崎美子  ☆</v>
      </c>
      <c r="N5743" s="2"/>
      <c r="O5743" s="2"/>
      <c r="P5743" s="1"/>
      <c r="Q5743" s="1"/>
      <c r="R5743" s="1"/>
      <c r="S5743" s="1"/>
      <c r="T5743" s="1"/>
      <c r="U5743" s="1"/>
      <c r="V5743" s="1"/>
      <c r="W5743" s="1"/>
      <c r="X5743" s="1"/>
      <c r="Y5743" s="1"/>
      <c r="Z5743" s="1"/>
      <c r="AA5743" s="1"/>
      <c r="AB5743" s="1"/>
      <c r="AC5743" s="1"/>
      <c r="AD5743" s="1"/>
      <c r="AE5743" s="1"/>
      <c r="AF5743" s="1"/>
      <c r="AG5743" s="1"/>
      <c r="AH5743" s="1"/>
      <c r="AI5743" s="1"/>
      <c r="AJ5743" s="1"/>
      <c r="AK5743" s="1"/>
      <c r="AL5743" s="1"/>
      <c r="AM5743" s="1"/>
      <c r="AN5743" s="1"/>
      <c r="AO5743" s="1"/>
      <c r="AP5743" s="1"/>
      <c r="AQ5743" s="1"/>
      <c r="AR5743" s="1"/>
      <c r="AS5743" s="1"/>
      <c r="AT5743" s="1"/>
      <c r="AU5743" s="1"/>
      <c r="AV5743" s="1"/>
      <c r="AW5743" s="1"/>
      <c r="AX5743" s="1"/>
      <c r="AY5743" s="1"/>
      <c r="AZ5743" s="1"/>
      <c r="BA5743" s="1"/>
      <c r="BB5743" s="1"/>
    </row>
    <row r="5744" ht="204.75" customHeight="1">
      <c r="A5744" s="1">
        <v>4315.0</v>
      </c>
      <c r="B5744" s="2" t="s">
        <v>15648</v>
      </c>
      <c r="C5744" s="2">
        <f>IFERROR(__xludf.DUMMYFUNCTION("split(B5744,""_"")"),1107.0)</f>
        <v>1107</v>
      </c>
      <c r="D5744" s="2" t="str">
        <f>IFERROR(__xludf.DUMMYFUNCTION("""COMPUTED_VALUE"""),"TBS")</f>
        <v>TBS</v>
      </c>
      <c r="E5744" s="2" t="str">
        <f>IFERROR(__xludf.DUMMYFUNCTION("""COMPUTED_VALUE"""),"日21")</f>
        <v>日21</v>
      </c>
      <c r="F5744" s="2" t="s">
        <v>15649</v>
      </c>
      <c r="G5744" s="2" t="s">
        <v>15670</v>
      </c>
      <c r="H5744" s="1">
        <v>11.0</v>
      </c>
      <c r="J5744" s="1" t="s">
        <v>11</v>
      </c>
      <c r="K5744" s="2" t="s">
        <v>15671</v>
      </c>
      <c r="L5744" s="2"/>
      <c r="M5744" s="2" t="str">
        <f>IFERROR(__xludf.DUMMYFUNCTION("split(split(K5744,""【"",false),""公式LINE"",false)"),"華和家は人手に渡り、マンションに建て替えられることが決まった。家族全員がそれぞれの道を歩み始めていた。竹美は大悟と共に見知らぬ土地で新生活をスタートさせ、藤子は秋元が辞めてしまった講談社で編集長に大抜擢された。桜子は正三郎との別れ、ひとりで生きる道を選んでいた。そしてうめは家族に届けと大作を作り上げたが、思いは虚しく家族はバラバラになってしまった。そんな華和家に再び笑顔が戻ることはあるのだろうか？華和竹美…観月ありさ  ☆  華和桜子…貫地谷しほり  華和うめ…川島海荷  ☆  華和藤子…吉瀬美智子  ☆"&amp;"  益子正三郎…加藤成亮（NEWS）  ☆  秋元太一…石黒賢  ☆  山根克彦…田中哲司  ☆  華和大悟…遠藤憲一  華和幸子…宮崎美子  ☆  ")</f>
        <v>華和家は人手に渡り、マンションに建て替えられることが決まった。家族全員がそれぞれの道を歩み始めていた。竹美は大悟と共に見知らぬ土地で新生活をスタートさせ、藤子は秋元が辞めてしまった講談社で編集長に大抜擢された。桜子は正三郎との別れ、ひとりで生きる道を選んでいた。そしてうめは家族に届けと大作を作り上げたが、思いは虚しく家族はバラバラになってしまった。そんな華和家に再び笑顔が戻ることはあるのだろうか？華和竹美…観月ありさ  ☆  華和桜子…貫地谷しほり  華和うめ…川島海荷  ☆  華和藤子…吉瀬美智子  ☆  益子正三郎…加藤成亮（NEWS）  ☆  秋元太一…石黒賢  ☆  山根克彦…田中哲司  ☆  華和大悟…遠藤憲一  華和幸子…宮崎美子  ☆  </v>
      </c>
      <c r="N5744" s="2"/>
      <c r="O5744" s="2"/>
      <c r="P5744" s="1"/>
      <c r="Q5744" s="1"/>
      <c r="R5744" s="1"/>
      <c r="S5744" s="1"/>
      <c r="T5744" s="1"/>
      <c r="U5744" s="1"/>
      <c r="V5744" s="1"/>
      <c r="W5744" s="1"/>
      <c r="X5744" s="1"/>
      <c r="Y5744" s="1"/>
      <c r="Z5744" s="1"/>
      <c r="AA5744" s="1"/>
      <c r="AB5744" s="1"/>
      <c r="AC5744" s="1"/>
      <c r="AD5744" s="1"/>
      <c r="AE5744" s="1"/>
      <c r="AF5744" s="1"/>
      <c r="AG5744" s="1"/>
      <c r="AH5744" s="1"/>
      <c r="AI5744" s="1"/>
      <c r="AJ5744" s="1"/>
      <c r="AK5744" s="1"/>
      <c r="AL5744" s="1"/>
      <c r="AM5744" s="1"/>
      <c r="AN5744" s="1"/>
      <c r="AO5744" s="1"/>
      <c r="AP5744" s="1"/>
      <c r="AQ5744" s="1"/>
      <c r="AR5744" s="1"/>
      <c r="AS5744" s="1"/>
      <c r="AT5744" s="1"/>
      <c r="AU5744" s="1"/>
      <c r="AV5744" s="1"/>
      <c r="AW5744" s="1"/>
      <c r="AX5744" s="1"/>
      <c r="AY5744" s="1"/>
      <c r="AZ5744" s="1"/>
      <c r="BA5744" s="1"/>
      <c r="BB5744" s="1"/>
    </row>
    <row r="5745" ht="204.75" customHeight="1">
      <c r="A5745" s="1">
        <v>4396.0</v>
      </c>
      <c r="B5745" s="2" t="s">
        <v>15672</v>
      </c>
      <c r="C5745" s="2">
        <f>IFERROR(__xludf.DUMMYFUNCTION("split(B5745,""_"")"),1104.0)</f>
        <v>1104</v>
      </c>
      <c r="D5745" s="2" t="str">
        <f>IFERROR(__xludf.DUMMYFUNCTION("""COMPUTED_VALUE"""),"TBS")</f>
        <v>TBS</v>
      </c>
      <c r="E5745" s="2" t="str">
        <f>IFERROR(__xludf.DUMMYFUNCTION("""COMPUTED_VALUE"""),"金22")</f>
        <v>金22</v>
      </c>
      <c r="F5745" s="2" t="s">
        <v>15673</v>
      </c>
      <c r="G5745" s="2" t="s">
        <v>15674</v>
      </c>
      <c r="H5745" s="1">
        <v>1.0</v>
      </c>
      <c r="J5745" s="1" t="s">
        <v>82</v>
      </c>
      <c r="K5745" s="2" t="s">
        <v>15675</v>
      </c>
      <c r="L5745" s="2"/>
      <c r="M5745" s="2" t="str">
        <f>IFERROR(__xludf.DUMMYFUNCTION("split(split(K5745,""【"",false),""公式LINE"",false)"),"一見、どこにでもいそうな普通の家族。  ところが、父親である新平が急死し、状況は一変する。突然の夫の死で途方に暮れる愛子…。  そんな母親を見て、愛美は家族を懸命に支えようとするが、それぞれの立場で勝手な意見を言う兄弟たちとぶつかる。  父親の死の悲しみも癒えぬ中、愛美は愛子から突然妊娠したと告げられる…。林田愛美…堀北真希   林田太一…大倉忠義 (関ジャニ∞)   林田浩二…中島健人 (ジャニーズ Jr．)   林田美子…竹富聖花　  内田留美…西村知美  大川洋一…鈴木亮平  中野瑛太…斎藤歩  小"&amp;"池春馬…淵上泰史  林田新平…三宅裕司（特別出演）  長澤剛…金田明夫  水川真帆…酒井若菜   国木美和…戸田恵子   近藤卓巳…大杉漣   林田愛子…田中美佐子 鈴木おさむ金子文紀鈴木早苗番組の内容と放送時間は変更になる場合があります。")</f>
        <v>一見、どこにでもいそうな普通の家族。  ところが、父親である新平が急死し、状況は一変する。突然の夫の死で途方に暮れる愛子…。  そんな母親を見て、愛美は家族を懸命に支えようとするが、それぞれの立場で勝手な意見を言う兄弟たちとぶつかる。  父親の死の悲しみも癒えぬ中、愛美は愛子から突然妊娠したと告げられる…。林田愛美…堀北真希   林田太一…大倉忠義 (関ジャニ∞)   林田浩二…中島健人 (ジャニーズ Jr．)   林田美子…竹富聖花　  内田留美…西村知美  大川洋一…鈴木亮平  中野瑛太…斎藤歩  小池春馬…淵上泰史  林田新平…三宅裕司（特別出演）  長澤剛…金田明夫  水川真帆…酒井若菜   国木美和…戸田恵子   近藤卓巳…大杉漣   林田愛子…田中美佐子 鈴木おさむ金子文紀鈴木早苗番組の内容と放送時間は変更になる場合があります。</v>
      </c>
      <c r="N5745" s="2"/>
      <c r="O5745" s="2"/>
      <c r="P5745" s="1"/>
      <c r="Q5745" s="1"/>
      <c r="R5745" s="1"/>
      <c r="S5745" s="1"/>
      <c r="T5745" s="1"/>
      <c r="U5745" s="1"/>
      <c r="V5745" s="1"/>
      <c r="W5745" s="1"/>
      <c r="X5745" s="1"/>
      <c r="Y5745" s="1"/>
      <c r="Z5745" s="1"/>
      <c r="AA5745" s="1"/>
      <c r="AB5745" s="1"/>
      <c r="AC5745" s="1"/>
      <c r="AD5745" s="1"/>
      <c r="AE5745" s="1"/>
      <c r="AF5745" s="1"/>
      <c r="AG5745" s="1"/>
      <c r="AH5745" s="1"/>
      <c r="AI5745" s="1"/>
      <c r="AJ5745" s="1"/>
      <c r="AK5745" s="1"/>
      <c r="AL5745" s="1"/>
      <c r="AM5745" s="1"/>
      <c r="AN5745" s="1"/>
      <c r="AO5745" s="1"/>
      <c r="AP5745" s="1"/>
      <c r="AQ5745" s="1"/>
      <c r="AR5745" s="1"/>
      <c r="AS5745" s="1"/>
      <c r="AT5745" s="1"/>
      <c r="AU5745" s="1"/>
      <c r="AV5745" s="1"/>
      <c r="AW5745" s="1"/>
      <c r="AX5745" s="1"/>
      <c r="AY5745" s="1"/>
      <c r="AZ5745" s="1"/>
      <c r="BA5745" s="1"/>
      <c r="BB5745" s="1"/>
    </row>
    <row r="5746" ht="204.75" customHeight="1">
      <c r="A5746" s="1">
        <v>4397.0</v>
      </c>
      <c r="B5746" s="2" t="s">
        <v>15672</v>
      </c>
      <c r="C5746" s="2">
        <f>IFERROR(__xludf.DUMMYFUNCTION("split(B5746,""_"")"),1104.0)</f>
        <v>1104</v>
      </c>
      <c r="D5746" s="2" t="str">
        <f>IFERROR(__xludf.DUMMYFUNCTION("""COMPUTED_VALUE"""),"TBS")</f>
        <v>TBS</v>
      </c>
      <c r="E5746" s="2" t="str">
        <f>IFERROR(__xludf.DUMMYFUNCTION("""COMPUTED_VALUE"""),"金22")</f>
        <v>金22</v>
      </c>
      <c r="F5746" s="2" t="s">
        <v>15673</v>
      </c>
      <c r="G5746" s="2" t="s">
        <v>15676</v>
      </c>
      <c r="H5746" s="1">
        <v>2.0</v>
      </c>
      <c r="J5746" s="1" t="s">
        <v>86</v>
      </c>
      <c r="K5746" s="2" t="s">
        <v>15677</v>
      </c>
      <c r="L5746" s="2"/>
      <c r="M5746" s="2" t="str">
        <f>IFERROR(__xludf.DUMMYFUNCTION("split(split(K5746,""【"",false),""公式LINE"",false)"),"中絶しに行った愛子が心配になり、様子を見に行った愛美だが、母親の様子がおかしいのが気になる。  太一は本当の父親である中野に付きまとわれ、お金を渡すこととなる。さらに姉が自分たちが兄弟でないことを知っているのではないかと不信感を持つ。  ある日、愛子が切迫流産となり、愛美は中絶していなかったことを知り、兄弟たちは母の入院の理由を知りたがる。愛美はとっさに腫瘍ができたと嘘をつくのだが・・・。林田愛美…堀北真希   林田太一…大倉忠義 (関ジャニ∞)   林田浩二…中島健人 (ジャニーズ Jr．)   林田美"&amp;"子…竹富聖花   内田留美…西村知美  大川洋一…鈴木亮平  中野瑛太…斎藤歩  小池春馬…淵上泰史  水川真帆…酒井若菜   国木美和…戸田恵子   近藤卓巳…大杉漣   林田愛子…田中美佐子 鈴木おさむ金子文紀鈴木早苗番組の内容と放送時間は変更になる場合があります。")</f>
        <v>中絶しに行った愛子が心配になり、様子を見に行った愛美だが、母親の様子がおかしいのが気になる。  太一は本当の父親である中野に付きまとわれ、お金を渡すこととなる。さらに姉が自分たちが兄弟でないことを知っているのではないかと不信感を持つ。  ある日、愛子が切迫流産となり、愛美は中絶していなかったことを知り、兄弟たちは母の入院の理由を知りたがる。愛美はとっさに腫瘍ができたと嘘をつくのだが・・・。林田愛美…堀北真希   林田太一…大倉忠義 (関ジャニ∞)   林田浩二…中島健人 (ジャニーズ Jr．)   林田美子…竹富聖花   内田留美…西村知美  大川洋一…鈴木亮平  中野瑛太…斎藤歩  小池春馬…淵上泰史  水川真帆…酒井若菜   国木美和…戸田恵子   近藤卓巳…大杉漣   林田愛子…田中美佐子 鈴木おさむ金子文紀鈴木早苗番組の内容と放送時間は変更になる場合があります。</v>
      </c>
      <c r="N5746" s="2"/>
      <c r="O5746" s="2"/>
      <c r="P5746" s="1"/>
      <c r="Q5746" s="1"/>
      <c r="R5746" s="1"/>
      <c r="S5746" s="1"/>
      <c r="T5746" s="1"/>
      <c r="U5746" s="1"/>
      <c r="V5746" s="1"/>
      <c r="W5746" s="1"/>
      <c r="X5746" s="1"/>
      <c r="Y5746" s="1"/>
      <c r="Z5746" s="1"/>
      <c r="AA5746" s="1"/>
      <c r="AB5746" s="1"/>
      <c r="AC5746" s="1"/>
      <c r="AD5746" s="1"/>
      <c r="AE5746" s="1"/>
      <c r="AF5746" s="1"/>
      <c r="AG5746" s="1"/>
      <c r="AH5746" s="1"/>
      <c r="AI5746" s="1"/>
      <c r="AJ5746" s="1"/>
      <c r="AK5746" s="1"/>
      <c r="AL5746" s="1"/>
      <c r="AM5746" s="1"/>
      <c r="AN5746" s="1"/>
      <c r="AO5746" s="1"/>
      <c r="AP5746" s="1"/>
      <c r="AQ5746" s="1"/>
      <c r="AR5746" s="1"/>
      <c r="AS5746" s="1"/>
      <c r="AT5746" s="1"/>
      <c r="AU5746" s="1"/>
      <c r="AV5746" s="1"/>
      <c r="AW5746" s="1"/>
      <c r="AX5746" s="1"/>
      <c r="AY5746" s="1"/>
      <c r="AZ5746" s="1"/>
      <c r="BA5746" s="1"/>
      <c r="BB5746" s="1"/>
    </row>
    <row r="5747" ht="204.75" customHeight="1">
      <c r="A5747" s="1">
        <v>4398.0</v>
      </c>
      <c r="B5747" s="2" t="s">
        <v>15672</v>
      </c>
      <c r="C5747" s="2">
        <f>IFERROR(__xludf.DUMMYFUNCTION("split(B5747,""_"")"),1104.0)</f>
        <v>1104</v>
      </c>
      <c r="D5747" s="2" t="str">
        <f>IFERROR(__xludf.DUMMYFUNCTION("""COMPUTED_VALUE"""),"TBS")</f>
        <v>TBS</v>
      </c>
      <c r="E5747" s="2" t="str">
        <f>IFERROR(__xludf.DUMMYFUNCTION("""COMPUTED_VALUE"""),"金22")</f>
        <v>金22</v>
      </c>
      <c r="F5747" s="2" t="s">
        <v>15673</v>
      </c>
      <c r="G5747" s="2" t="s">
        <v>15678</v>
      </c>
      <c r="H5747" s="1">
        <v>3.0</v>
      </c>
      <c r="J5747" s="1" t="s">
        <v>86</v>
      </c>
      <c r="K5747" s="2" t="s">
        <v>15679</v>
      </c>
      <c r="L5747" s="2"/>
      <c r="M5747" s="2" t="str">
        <f>IFERROR(__xludf.DUMMYFUNCTION("split(split(K5747,""【"",false),""公式LINE"",false)"),"太一と一緒にいた男・中野の言動にに不安が募る愛美。さらに子供を産む覚悟を決めた愛子のことも気がかりだ。  仕事では、卵子提供によって妊娠した下着メーカー社長の川上を取材することになる愛美。しかし彼女の自分勝手な言い分に納得がいかない。プライベートでは愛子が子供達に妊娠したことを告げる。産むことに賛成したのは、次男・浩二だけだった。そんな中、愛美の目の前で川上が倒れてしまう。林田愛美…堀北真希   林田太一…大倉忠義 (関ジャニ∞)   林田浩二…中島健人 (ジャニーズ Jr．)   林田美子…竹富聖花　 "&amp;" 内田留美…西村知美  大川洋一…鈴木亮平  中野瑛太…斎藤歩  小池春馬…淵上泰史  川上千恵…若村麻由美  水川真帆…酒井若菜   国木美和…戸田恵子   近藤卓巳…大杉漣   林田愛子…田中美佐子 鈴木おさむ武藤淳鈴木早苗http://www.tbs.co.jp/umareru2011/  番組の内容と放送時間は変更になる場合があります。")</f>
        <v>太一と一緒にいた男・中野の言動にに不安が募る愛美。さらに子供を産む覚悟を決めた愛子のことも気がかりだ。  仕事では、卵子提供によって妊娠した下着メーカー社長の川上を取材することになる愛美。しかし彼女の自分勝手な言い分に納得がいかない。プライベートでは愛子が子供達に妊娠したことを告げる。産むことに賛成したのは、次男・浩二だけだった。そんな中、愛美の目の前で川上が倒れてしまう。林田愛美…堀北真希   林田太一…大倉忠義 (関ジャニ∞)   林田浩二…中島健人 (ジャニーズ Jr．)   林田美子…竹富聖花　  内田留美…西村知美  大川洋一…鈴木亮平  中野瑛太…斎藤歩  小池春馬…淵上泰史  川上千恵…若村麻由美  水川真帆…酒井若菜   国木美和…戸田恵子   近藤卓巳…大杉漣   林田愛子…田中美佐子 鈴木おさむ武藤淳鈴木早苗http://www.tbs.co.jp/umareru2011/  番組の内容と放送時間は変更になる場合があります。</v>
      </c>
      <c r="N5747" s="2"/>
      <c r="O5747" s="2"/>
      <c r="P5747" s="1"/>
      <c r="Q5747" s="1"/>
      <c r="R5747" s="1"/>
      <c r="S5747" s="1"/>
      <c r="T5747" s="1"/>
      <c r="U5747" s="1"/>
      <c r="V5747" s="1"/>
      <c r="W5747" s="1"/>
      <c r="X5747" s="1"/>
      <c r="Y5747" s="1"/>
      <c r="Z5747" s="1"/>
      <c r="AA5747" s="1"/>
      <c r="AB5747" s="1"/>
      <c r="AC5747" s="1"/>
      <c r="AD5747" s="1"/>
      <c r="AE5747" s="1"/>
      <c r="AF5747" s="1"/>
      <c r="AG5747" s="1"/>
      <c r="AH5747" s="1"/>
      <c r="AI5747" s="1"/>
      <c r="AJ5747" s="1"/>
      <c r="AK5747" s="1"/>
      <c r="AL5747" s="1"/>
      <c r="AM5747" s="1"/>
      <c r="AN5747" s="1"/>
      <c r="AO5747" s="1"/>
      <c r="AP5747" s="1"/>
      <c r="AQ5747" s="1"/>
      <c r="AR5747" s="1"/>
      <c r="AS5747" s="1"/>
      <c r="AT5747" s="1"/>
      <c r="AU5747" s="1"/>
      <c r="AV5747" s="1"/>
      <c r="AW5747" s="1"/>
      <c r="AX5747" s="1"/>
      <c r="AY5747" s="1"/>
      <c r="AZ5747" s="1"/>
      <c r="BA5747" s="1"/>
      <c r="BB5747" s="1"/>
    </row>
    <row r="5748" ht="204.75" customHeight="1">
      <c r="A5748" s="1">
        <v>4399.0</v>
      </c>
      <c r="B5748" s="2" t="s">
        <v>15672</v>
      </c>
      <c r="C5748" s="2">
        <f>IFERROR(__xludf.DUMMYFUNCTION("split(B5748,""_"")"),1104.0)</f>
        <v>1104</v>
      </c>
      <c r="D5748" s="2" t="str">
        <f>IFERROR(__xludf.DUMMYFUNCTION("""COMPUTED_VALUE"""),"TBS")</f>
        <v>TBS</v>
      </c>
      <c r="E5748" s="2" t="str">
        <f>IFERROR(__xludf.DUMMYFUNCTION("""COMPUTED_VALUE"""),"金22")</f>
        <v>金22</v>
      </c>
      <c r="F5748" s="2" t="s">
        <v>15673</v>
      </c>
      <c r="G5748" s="2" t="s">
        <v>15680</v>
      </c>
      <c r="H5748" s="1">
        <v>4.0</v>
      </c>
      <c r="J5748" s="1" t="s">
        <v>86</v>
      </c>
      <c r="K5748" s="2" t="s">
        <v>15681</v>
      </c>
      <c r="L5748" s="2"/>
      <c r="M5748" s="2" t="str">
        <f>IFERROR(__xludf.DUMMYFUNCTION("split(split(K5748,""【"",false),""公式LINE"",false)"),"卵子提供で子供を産んだ川上(若村麻由美) を取材することで、生まれてくる「命」について改めて気づかされた愛美(堀北真希) は、母・愛子(田中美佐子)の出産に、反対していた自分の気持ちに迷いが生じ始めるー。  愛美は、社長の長澤 (金田明夫) から「高年齢出産」の出版本に関して「羊水検査」 について掘り下げることを懇願され、妊娠中の北条（浅香唯）達に取材することになるのだ  が…。林田愛美…堀北真希   林田太一…大倉忠義    林田浩二…中島健人   林田美子…竹富聖花　  内田留美…西村知美  大川洋一"&amp;"…鈴木亮平  中野瑛太…斎藤歩  小池春馬…淵上泰史  北条仁美…浅香唯  八坂知子…生稲晃子  鶴野理子…伊藤つかさ  寺田一朗…きたろう  沢田隆…ムロツヨシ  長澤剛…金田明夫  水川真帆…酒井若菜   国木美和…戸田恵子   近藤卓巳…大杉漣   林田愛子…田中美佐子 鈴木おさむ吉田秋生鈴木早苗番組の内容と放送時間は変更になる場合があります。")</f>
        <v>卵子提供で子供を産んだ川上(若村麻由美) を取材することで、生まれてくる「命」について改めて気づかされた愛美(堀北真希) は、母・愛子(田中美佐子)の出産に、反対していた自分の気持ちに迷いが生じ始めるー。  愛美は、社長の長澤 (金田明夫) から「高年齢出産」の出版本に関して「羊水検査」 について掘り下げることを懇願され、妊娠中の北条（浅香唯）達に取材することになるのだ  が…。林田愛美…堀北真希   林田太一…大倉忠義    林田浩二…中島健人   林田美子…竹富聖花　  内田留美…西村知美  大川洋一…鈴木亮平  中野瑛太…斎藤歩  小池春馬…淵上泰史  北条仁美…浅香唯  八坂知子…生稲晃子  鶴野理子…伊藤つかさ  寺田一朗…きたろう  沢田隆…ムロツヨシ  長澤剛…金田明夫  水川真帆…酒井若菜   国木美和…戸田恵子   近藤卓巳…大杉漣   林田愛子…田中美佐子 鈴木おさむ吉田秋生鈴木早苗番組の内容と放送時間は変更になる場合があります。</v>
      </c>
      <c r="N5748" s="2"/>
      <c r="O5748" s="2"/>
      <c r="P5748" s="1"/>
      <c r="Q5748" s="1"/>
      <c r="R5748" s="1"/>
      <c r="S5748" s="1"/>
      <c r="T5748" s="1"/>
      <c r="U5748" s="1"/>
      <c r="V5748" s="1"/>
      <c r="W5748" s="1"/>
      <c r="X5748" s="1"/>
      <c r="Y5748" s="1"/>
      <c r="Z5748" s="1"/>
      <c r="AA5748" s="1"/>
      <c r="AB5748" s="1"/>
      <c r="AC5748" s="1"/>
      <c r="AD5748" s="1"/>
      <c r="AE5748" s="1"/>
      <c r="AF5748" s="1"/>
      <c r="AG5748" s="1"/>
      <c r="AH5748" s="1"/>
      <c r="AI5748" s="1"/>
      <c r="AJ5748" s="1"/>
      <c r="AK5748" s="1"/>
      <c r="AL5748" s="1"/>
      <c r="AM5748" s="1"/>
      <c r="AN5748" s="1"/>
      <c r="AO5748" s="1"/>
      <c r="AP5748" s="1"/>
      <c r="AQ5748" s="1"/>
      <c r="AR5748" s="1"/>
      <c r="AS5748" s="1"/>
      <c r="AT5748" s="1"/>
      <c r="AU5748" s="1"/>
      <c r="AV5748" s="1"/>
      <c r="AW5748" s="1"/>
      <c r="AX5748" s="1"/>
      <c r="AY5748" s="1"/>
      <c r="AZ5748" s="1"/>
      <c r="BA5748" s="1"/>
      <c r="BB5748" s="1"/>
    </row>
    <row r="5749" ht="204.75" customHeight="1">
      <c r="A5749" s="1">
        <v>4400.0</v>
      </c>
      <c r="B5749" s="2" t="s">
        <v>15672</v>
      </c>
      <c r="C5749" s="2">
        <f>IFERROR(__xludf.DUMMYFUNCTION("split(B5749,""_"")"),1104.0)</f>
        <v>1104</v>
      </c>
      <c r="D5749" s="2" t="str">
        <f>IFERROR(__xludf.DUMMYFUNCTION("""COMPUTED_VALUE"""),"TBS")</f>
        <v>TBS</v>
      </c>
      <c r="E5749" s="2" t="str">
        <f>IFERROR(__xludf.DUMMYFUNCTION("""COMPUTED_VALUE"""),"金22")</f>
        <v>金22</v>
      </c>
      <c r="F5749" s="2" t="s">
        <v>15673</v>
      </c>
      <c r="G5749" s="2" t="s">
        <v>15682</v>
      </c>
      <c r="H5749" s="1">
        <v>5.0</v>
      </c>
      <c r="J5749" s="1" t="s">
        <v>86</v>
      </c>
      <c r="K5749" s="2" t="s">
        <v>15683</v>
      </c>
      <c r="L5749" s="2"/>
      <c r="M5749" s="2" t="str">
        <f>IFERROR(__xludf.DUMMYFUNCTION("split(split(K5749,""【"",false),""公式LINE"",false)"),"羊水検査を受けることに決めた愛子（田中美佐子）だが、留美（西村知美）に妊娠していることがばれてしまう。  愛美（堀北真希）は、浩二（中島健人）に呼び出され、PANNTENの客・丸子とその弟・萌生（ほうせい）と遊ぶことになる。ダウン症である萌生と、その母・沙紀（西田ひかる）と触れ合ううちに、愛美は自分の気持ちが分からなくなる。  太一（大倉忠義）は真帆（酒井若菜）の気持ちを考えない小池に対し、ついにー。林田愛美…堀北真希   林田太一…大倉忠義   林田浩二…中島健人  林田美子…竹富聖花　  内田留美…西"&amp;"村知美  大川洋一…鈴木亮平  中野瑛太…斎藤歩  小池春馬…淵上泰史  沢田隆…ムロツヨシ  寺田一朗…きたろう  西嶋沙紀…西田ひかる  長澤剛…金田明夫  水川真帆…酒井若菜   国木美和…戸田恵子   近藤卓巳…大杉漣   林田愛子…田中美佐子 鈴木おさむ吉田秋生鈴木早苗番組の内容と放送時間は変更になる場合があります。")</f>
        <v>羊水検査を受けることに決めた愛子（田中美佐子）だが、留美（西村知美）に妊娠していることがばれてしまう。  愛美（堀北真希）は、浩二（中島健人）に呼び出され、PANNTENの客・丸子とその弟・萌生（ほうせい）と遊ぶことになる。ダウン症である萌生と、その母・沙紀（西田ひかる）と触れ合ううちに、愛美は自分の気持ちが分からなくなる。  太一（大倉忠義）は真帆（酒井若菜）の気持ちを考えない小池に対し、ついにー。林田愛美…堀北真希   林田太一…大倉忠義   林田浩二…中島健人  林田美子…竹富聖花　  内田留美…西村知美  大川洋一…鈴木亮平  中野瑛太…斎藤歩  小池春馬…淵上泰史  沢田隆…ムロツヨシ  寺田一朗…きたろう  西嶋沙紀…西田ひかる  長澤剛…金田明夫  水川真帆…酒井若菜   国木美和…戸田恵子   近藤卓巳…大杉漣   林田愛子…田中美佐子 鈴木おさむ吉田秋生鈴木早苗番組の内容と放送時間は変更になる場合があります。</v>
      </c>
      <c r="N5749" s="2"/>
      <c r="O5749" s="2"/>
      <c r="P5749" s="1"/>
      <c r="Q5749" s="1"/>
      <c r="R5749" s="1"/>
      <c r="S5749" s="1"/>
      <c r="T5749" s="1"/>
      <c r="U5749" s="1"/>
      <c r="V5749" s="1"/>
      <c r="W5749" s="1"/>
      <c r="X5749" s="1"/>
      <c r="Y5749" s="1"/>
      <c r="Z5749" s="1"/>
      <c r="AA5749" s="1"/>
      <c r="AB5749" s="1"/>
      <c r="AC5749" s="1"/>
      <c r="AD5749" s="1"/>
      <c r="AE5749" s="1"/>
      <c r="AF5749" s="1"/>
      <c r="AG5749" s="1"/>
      <c r="AH5749" s="1"/>
      <c r="AI5749" s="1"/>
      <c r="AJ5749" s="1"/>
      <c r="AK5749" s="1"/>
      <c r="AL5749" s="1"/>
      <c r="AM5749" s="1"/>
      <c r="AN5749" s="1"/>
      <c r="AO5749" s="1"/>
      <c r="AP5749" s="1"/>
      <c r="AQ5749" s="1"/>
      <c r="AR5749" s="1"/>
      <c r="AS5749" s="1"/>
      <c r="AT5749" s="1"/>
      <c r="AU5749" s="1"/>
      <c r="AV5749" s="1"/>
      <c r="AW5749" s="1"/>
      <c r="AX5749" s="1"/>
      <c r="AY5749" s="1"/>
      <c r="AZ5749" s="1"/>
      <c r="BA5749" s="1"/>
      <c r="BB5749" s="1"/>
    </row>
    <row r="5750" ht="204.75" customHeight="1">
      <c r="A5750" s="1">
        <v>4401.0</v>
      </c>
      <c r="B5750" s="2" t="s">
        <v>15672</v>
      </c>
      <c r="C5750" s="2">
        <f>IFERROR(__xludf.DUMMYFUNCTION("split(B5750,""_"")"),1104.0)</f>
        <v>1104</v>
      </c>
      <c r="D5750" s="2" t="str">
        <f>IFERROR(__xludf.DUMMYFUNCTION("""COMPUTED_VALUE"""),"TBS")</f>
        <v>TBS</v>
      </c>
      <c r="E5750" s="2" t="str">
        <f>IFERROR(__xludf.DUMMYFUNCTION("""COMPUTED_VALUE"""),"金22")</f>
        <v>金22</v>
      </c>
      <c r="F5750" s="2" t="s">
        <v>15673</v>
      </c>
      <c r="G5750" s="2" t="s">
        <v>15684</v>
      </c>
      <c r="H5750" s="1">
        <v>6.0</v>
      </c>
      <c r="J5750" s="1" t="s">
        <v>86</v>
      </c>
      <c r="K5750" s="2" t="s">
        <v>15685</v>
      </c>
      <c r="L5750" s="2"/>
      <c r="M5750" s="2" t="str">
        <f>IFERROR(__xludf.DUMMYFUNCTION("split(split(K5750,""【"",false),""公式LINE"",false)"),"ダウン症の子供・西嶋萌生（高井萌生）と一緒に過ごすことにより、愛美（堀北真希）の心は大きく揺さぶられ、羊水検査を受けることを愛子（田中美佐子）に進めた自分を後悔し始めるー。そして何かが吹っ切れた愛美は、それまで反対だった愛子の妊娠についても、出来る限り応援するということを愛子に伝えるー。一番の理解者である、長女の愛美からの応援を、愛子は素直に喜んだー。しかし、愛子には気がかりなことが…林田愛美…堀北真希   林田太一…大倉忠義 (関ジャニ∞)   林田浩二…中島健人 (ジャニーズ Jr．)   林田美子…"&amp;"竹富聖花　  内田留美…西村知美  大川洋一…鈴木亮平  中野瑛太…斎藤歩  小池春馬…淵上泰史  西嶋丸子…宮武祭  西嶋萌生…高井萌生  寺田一朗…きたろう  長澤剛…金田明夫  水川真帆…酒井若菜   国木美和…戸田恵子   近藤卓巳…大杉漣   林田愛子…田中美佐子鈴木おさむ金子文紀鈴木早苗番組の内容と放送時間は変更になる場合があります。")</f>
        <v>ダウン症の子供・西嶋萌生（高井萌生）と一緒に過ごすことにより、愛美（堀北真希）の心は大きく揺さぶられ、羊水検査を受けることを愛子（田中美佐子）に進めた自分を後悔し始めるー。そして何かが吹っ切れた愛美は、それまで反対だった愛子の妊娠についても、出来る限り応援するということを愛子に伝えるー。一番の理解者である、長女の愛美からの応援を、愛子は素直に喜んだー。しかし、愛子には気がかりなことが…林田愛美…堀北真希   林田太一…大倉忠義 (関ジャニ∞)   林田浩二…中島健人 (ジャニーズ Jr．)   林田美子…竹富聖花　  内田留美…西村知美  大川洋一…鈴木亮平  中野瑛太…斎藤歩  小池春馬…淵上泰史  西嶋丸子…宮武祭  西嶋萌生…高井萌生  寺田一朗…きたろう  長澤剛…金田明夫  水川真帆…酒井若菜   国木美和…戸田恵子   近藤卓巳…大杉漣   林田愛子…田中美佐子鈴木おさむ金子文紀鈴木早苗番組の内容と放送時間は変更になる場合があります。</v>
      </c>
      <c r="N5750" s="2"/>
      <c r="O5750" s="2"/>
      <c r="P5750" s="1"/>
      <c r="Q5750" s="1"/>
      <c r="R5750" s="1"/>
      <c r="S5750" s="1"/>
      <c r="T5750" s="1"/>
      <c r="U5750" s="1"/>
      <c r="V5750" s="1"/>
      <c r="W5750" s="1"/>
      <c r="X5750" s="1"/>
      <c r="Y5750" s="1"/>
      <c r="Z5750" s="1"/>
      <c r="AA5750" s="1"/>
      <c r="AB5750" s="1"/>
      <c r="AC5750" s="1"/>
      <c r="AD5750" s="1"/>
      <c r="AE5750" s="1"/>
      <c r="AF5750" s="1"/>
      <c r="AG5750" s="1"/>
      <c r="AH5750" s="1"/>
      <c r="AI5750" s="1"/>
      <c r="AJ5750" s="1"/>
      <c r="AK5750" s="1"/>
      <c r="AL5750" s="1"/>
      <c r="AM5750" s="1"/>
      <c r="AN5750" s="1"/>
      <c r="AO5750" s="1"/>
      <c r="AP5750" s="1"/>
      <c r="AQ5750" s="1"/>
      <c r="AR5750" s="1"/>
      <c r="AS5750" s="1"/>
      <c r="AT5750" s="1"/>
      <c r="AU5750" s="1"/>
      <c r="AV5750" s="1"/>
      <c r="AW5750" s="1"/>
      <c r="AX5750" s="1"/>
      <c r="AY5750" s="1"/>
      <c r="AZ5750" s="1"/>
      <c r="BA5750" s="1"/>
      <c r="BB5750" s="1"/>
    </row>
    <row r="5751" ht="204.75" customHeight="1">
      <c r="A5751" s="1">
        <v>4402.0</v>
      </c>
      <c r="B5751" s="2" t="s">
        <v>15672</v>
      </c>
      <c r="C5751" s="2">
        <f>IFERROR(__xludf.DUMMYFUNCTION("split(B5751,""_"")"),1104.0)</f>
        <v>1104</v>
      </c>
      <c r="D5751" s="2" t="str">
        <f>IFERROR(__xludf.DUMMYFUNCTION("""COMPUTED_VALUE"""),"TBS")</f>
        <v>TBS</v>
      </c>
      <c r="E5751" s="2" t="str">
        <f>IFERROR(__xludf.DUMMYFUNCTION("""COMPUTED_VALUE"""),"金22")</f>
        <v>金22</v>
      </c>
      <c r="F5751" s="2" t="s">
        <v>15673</v>
      </c>
      <c r="G5751" s="2" t="s">
        <v>15686</v>
      </c>
      <c r="H5751" s="1">
        <v>7.0</v>
      </c>
      <c r="J5751" s="1" t="s">
        <v>86</v>
      </c>
      <c r="K5751" s="2" t="s">
        <v>15687</v>
      </c>
      <c r="L5751" s="2"/>
      <c r="M5751" s="2" t="str">
        <f>IFERROR(__xludf.DUMMYFUNCTION("split(split(K5751,""【"",false),""公式LINE"",false)"),"自分が養子であることを愛美 (堀北真希) に告げた太一 (大倉忠義)。そんな太一を愛子 (田中美佐子) と愛美が必死に説得するが、太一は家を出て行ってしまう。そして太一が向かった先は中野 (斎藤歩) が待つとある場所だった。そこで太一に与えられた新しい仕事、その怪しい内容に太一は戸惑いを隠せないが、言うとおりにするしかなく…。そんな中、浩二（中島健人）をも予想だにしない悲劇が襲う…。林田愛美…堀北真希   林田太一…大倉忠義 (関ジャニ∞)   林田浩二…中島健人 (ジャニーズ Jr．)   林田美子…竹"&amp;"富聖花　  内田留美…西村知美  大川洋一…鈴木亮平  中野瑛太…斎藤歩  小池春馬…淵上泰史  林田新平…三宅裕司（特別出演）  長澤剛…金田明夫  水川真帆…酒井若菜   国木美和…戸田恵子   近藤卓巳…大杉漣   林田愛子…田中美佐子 鈴木おさむ金子文紀鈴木早苗番組の内容と放送時間は変更になる場合があります。")</f>
        <v>自分が養子であることを愛美 (堀北真希) に告げた太一 (大倉忠義)。そんな太一を愛子 (田中美佐子) と愛美が必死に説得するが、太一は家を出て行ってしまう。そして太一が向かった先は中野 (斎藤歩) が待つとある場所だった。そこで太一に与えられた新しい仕事、その怪しい内容に太一は戸惑いを隠せないが、言うとおりにするしかなく…。そんな中、浩二（中島健人）をも予想だにしない悲劇が襲う…。林田愛美…堀北真希   林田太一…大倉忠義 (関ジャニ∞)   林田浩二…中島健人 (ジャニーズ Jr．)   林田美子…竹富聖花　  内田留美…西村知美  大川洋一…鈴木亮平  中野瑛太…斎藤歩  小池春馬…淵上泰史  林田新平…三宅裕司（特別出演）  長澤剛…金田明夫  水川真帆…酒井若菜   国木美和…戸田恵子   近藤卓巳…大杉漣   林田愛子…田中美佐子 鈴木おさむ金子文紀鈴木早苗番組の内容と放送時間は変更になる場合があります。</v>
      </c>
      <c r="N5751" s="2"/>
      <c r="O5751" s="2"/>
      <c r="P5751" s="1"/>
      <c r="Q5751" s="1"/>
      <c r="R5751" s="1"/>
      <c r="S5751" s="1"/>
      <c r="T5751" s="1"/>
      <c r="U5751" s="1"/>
      <c r="V5751" s="1"/>
      <c r="W5751" s="1"/>
      <c r="X5751" s="1"/>
      <c r="Y5751" s="1"/>
      <c r="Z5751" s="1"/>
      <c r="AA5751" s="1"/>
      <c r="AB5751" s="1"/>
      <c r="AC5751" s="1"/>
      <c r="AD5751" s="1"/>
      <c r="AE5751" s="1"/>
      <c r="AF5751" s="1"/>
      <c r="AG5751" s="1"/>
      <c r="AH5751" s="1"/>
      <c r="AI5751" s="1"/>
      <c r="AJ5751" s="1"/>
      <c r="AK5751" s="1"/>
      <c r="AL5751" s="1"/>
      <c r="AM5751" s="1"/>
      <c r="AN5751" s="1"/>
      <c r="AO5751" s="1"/>
      <c r="AP5751" s="1"/>
      <c r="AQ5751" s="1"/>
      <c r="AR5751" s="1"/>
      <c r="AS5751" s="1"/>
      <c r="AT5751" s="1"/>
      <c r="AU5751" s="1"/>
      <c r="AV5751" s="1"/>
      <c r="AW5751" s="1"/>
      <c r="AX5751" s="1"/>
      <c r="AY5751" s="1"/>
      <c r="AZ5751" s="1"/>
      <c r="BA5751" s="1"/>
      <c r="BB5751" s="1"/>
    </row>
    <row r="5752" ht="204.75" customHeight="1">
      <c r="A5752" s="1">
        <v>4403.0</v>
      </c>
      <c r="B5752" s="2" t="s">
        <v>15672</v>
      </c>
      <c r="C5752" s="2">
        <f>IFERROR(__xludf.DUMMYFUNCTION("split(B5752,""_"")"),1104.0)</f>
        <v>1104</v>
      </c>
      <c r="D5752" s="2" t="str">
        <f>IFERROR(__xludf.DUMMYFUNCTION("""COMPUTED_VALUE"""),"TBS")</f>
        <v>TBS</v>
      </c>
      <c r="E5752" s="2" t="str">
        <f>IFERROR(__xludf.DUMMYFUNCTION("""COMPUTED_VALUE"""),"金22")</f>
        <v>金22</v>
      </c>
      <c r="F5752" s="2" t="s">
        <v>15673</v>
      </c>
      <c r="G5752" s="2" t="s">
        <v>15688</v>
      </c>
      <c r="H5752" s="1">
        <v>8.0</v>
      </c>
      <c r="J5752" s="1" t="s">
        <v>86</v>
      </c>
      <c r="K5752" s="2" t="s">
        <v>15689</v>
      </c>
      <c r="L5752" s="2"/>
      <c r="M5752" s="2" t="str">
        <f>IFERROR(__xludf.DUMMYFUNCTION("split(split(K5752,""【"",false),""公式LINE"",false)"),"浩二 (中島健人) の白血病が再発し、その事実を一人知ってしまった愛美 (堀北真希)。母である愛子 (田中美佐子) のことを気遣う浩二は、再発の事実を口外しないことを愛美に懇願するが、愛美は悩みに悩んだ末、浩二を説得し、愛子に再発の事実を告げる選択をするー。そして愛美によって告げられた、浩二の白血病再発の事実ー。そのことを知った愛子は浩二の前では気丈に振舞っていたが…林田愛美…堀北真希   林田太一…大倉忠義 (関ジャニ∞)   林田浩二…中島健人 (ジャニーズ Jr．)   林田美子…竹富聖花　  内田"&amp;"留美…西村知美  大川洋一…鈴木亮平  中野瑛太…斎藤歩  小池春馬…淵上泰史  林田新平…三宅裕司（特別出演）  長澤剛…金田明夫  水川真帆…酒井若菜   国木美和…戸田恵子   近藤卓巳…大杉漣   林田愛子…田中美佐子 鈴木おさむ金子文紀鈴木早苗番組の内容と放送時間は変更になる場合があります。")</f>
        <v>浩二 (中島健人) の白血病が再発し、その事実を一人知ってしまった愛美 (堀北真希)。母である愛子 (田中美佐子) のことを気遣う浩二は、再発の事実を口外しないことを愛美に懇願するが、愛美は悩みに悩んだ末、浩二を説得し、愛子に再発の事実を告げる選択をするー。そして愛美によって告げられた、浩二の白血病再発の事実ー。そのことを知った愛子は浩二の前では気丈に振舞っていたが…林田愛美…堀北真希   林田太一…大倉忠義 (関ジャニ∞)   林田浩二…中島健人 (ジャニーズ Jr．)   林田美子…竹富聖花　  内田留美…西村知美  大川洋一…鈴木亮平  中野瑛太…斎藤歩  小池春馬…淵上泰史  林田新平…三宅裕司（特別出演）  長澤剛…金田明夫  水川真帆…酒井若菜   国木美和…戸田恵子   近藤卓巳…大杉漣   林田愛子…田中美佐子 鈴木おさむ金子文紀鈴木早苗番組の内容と放送時間は変更になる場合があります。</v>
      </c>
      <c r="N5752" s="2"/>
      <c r="O5752" s="2"/>
      <c r="P5752" s="1"/>
      <c r="Q5752" s="1"/>
      <c r="R5752" s="1"/>
      <c r="S5752" s="1"/>
      <c r="T5752" s="1"/>
      <c r="U5752" s="1"/>
      <c r="V5752" s="1"/>
      <c r="W5752" s="1"/>
      <c r="X5752" s="1"/>
      <c r="Y5752" s="1"/>
      <c r="Z5752" s="1"/>
      <c r="AA5752" s="1"/>
      <c r="AB5752" s="1"/>
      <c r="AC5752" s="1"/>
      <c r="AD5752" s="1"/>
      <c r="AE5752" s="1"/>
      <c r="AF5752" s="1"/>
      <c r="AG5752" s="1"/>
      <c r="AH5752" s="1"/>
      <c r="AI5752" s="1"/>
      <c r="AJ5752" s="1"/>
      <c r="AK5752" s="1"/>
      <c r="AL5752" s="1"/>
      <c r="AM5752" s="1"/>
      <c r="AN5752" s="1"/>
      <c r="AO5752" s="1"/>
      <c r="AP5752" s="1"/>
      <c r="AQ5752" s="1"/>
      <c r="AR5752" s="1"/>
      <c r="AS5752" s="1"/>
      <c r="AT5752" s="1"/>
      <c r="AU5752" s="1"/>
      <c r="AV5752" s="1"/>
      <c r="AW5752" s="1"/>
      <c r="AX5752" s="1"/>
      <c r="AY5752" s="1"/>
      <c r="AZ5752" s="1"/>
      <c r="BA5752" s="1"/>
      <c r="BB5752" s="1"/>
    </row>
    <row r="5753" ht="204.75" customHeight="1">
      <c r="A5753" s="1">
        <v>4404.0</v>
      </c>
      <c r="B5753" s="2" t="s">
        <v>15672</v>
      </c>
      <c r="C5753" s="2">
        <f>IFERROR(__xludf.DUMMYFUNCTION("split(B5753,""_"")"),1104.0)</f>
        <v>1104</v>
      </c>
      <c r="D5753" s="2" t="str">
        <f>IFERROR(__xludf.DUMMYFUNCTION("""COMPUTED_VALUE"""),"TBS")</f>
        <v>TBS</v>
      </c>
      <c r="E5753" s="2" t="str">
        <f>IFERROR(__xludf.DUMMYFUNCTION("""COMPUTED_VALUE"""),"金22")</f>
        <v>金22</v>
      </c>
      <c r="F5753" s="2" t="s">
        <v>15673</v>
      </c>
      <c r="G5753" s="2" t="s">
        <v>15690</v>
      </c>
      <c r="H5753" s="1">
        <v>9.0</v>
      </c>
      <c r="J5753" s="1" t="s">
        <v>86</v>
      </c>
      <c r="K5753" s="2" t="s">
        <v>15691</v>
      </c>
      <c r="L5753" s="2"/>
      <c r="M5753" s="2" t="str">
        <f>IFERROR(__xludf.DUMMYFUNCTION("split(split(K5753,""【"",false),""公式LINE"",false)"),"白血病の合併症を引き起こし、生死の境を彷徨う 浩二 (中島健人)。  そんな状況の中、愛美 (堀北真希) の必死の説得、そして浩二の絶体絶命の状態を聞いた長男の 太一 (大倉忠義) が駆けつけ、やっと全員が揃った林田家であったが浩二の容態は刻一刻と悪くなり…。  そんな状況下、愛美は自らがチーフを務める 「 高年齢出産 」 の本の出版が佳境を迎え、何とか気持ちを切り替えようと仕事に邁進するー。林田愛美…堀北真希   林田太一…大倉忠義 (関ジャニ∞)   林田浩二…中島健人 (ジャニーズ Jr．)   林"&amp;"田美子…竹富聖花　  内田留美…西村知美  大川洋一…鈴木亮平  中野瑛太…斎藤歩  小池春馬…淵上泰史  林田新平…三宅裕司（特別出演）  長澤剛…金田明夫  水川真帆…酒井若菜   国木美和…戸田恵子   近藤卓巳…大杉漣   林田愛子…田中美佐子 鈴木おさむ金子文紀鈴木早苗番組の内容と放送時間は変更になる場合があります。")</f>
        <v>白血病の合併症を引き起こし、生死の境を彷徨う 浩二 (中島健人)。  そんな状況の中、愛美 (堀北真希) の必死の説得、そして浩二の絶体絶命の状態を聞いた長男の 太一 (大倉忠義) が駆けつけ、やっと全員が揃った林田家であったが浩二の容態は刻一刻と悪くなり…。  そんな状況下、愛美は自らがチーフを務める 「 高年齢出産 」 の本の出版が佳境を迎え、何とか気持ちを切り替えようと仕事に邁進するー。林田愛美…堀北真希   林田太一…大倉忠義 (関ジャニ∞)   林田浩二…中島健人 (ジャニーズ Jr．)   林田美子…竹富聖花　  内田留美…西村知美  大川洋一…鈴木亮平  中野瑛太…斎藤歩  小池春馬…淵上泰史  林田新平…三宅裕司（特別出演）  長澤剛…金田明夫  水川真帆…酒井若菜   国木美和…戸田恵子   近藤卓巳…大杉漣   林田愛子…田中美佐子 鈴木おさむ金子文紀鈴木早苗番組の内容と放送時間は変更になる場合があります。</v>
      </c>
      <c r="N5753" s="2"/>
      <c r="O5753" s="2"/>
      <c r="P5753" s="1"/>
      <c r="Q5753" s="1"/>
      <c r="R5753" s="1"/>
      <c r="S5753" s="1"/>
      <c r="T5753" s="1"/>
      <c r="U5753" s="1"/>
      <c r="V5753" s="1"/>
      <c r="W5753" s="1"/>
      <c r="X5753" s="1"/>
      <c r="Y5753" s="1"/>
      <c r="Z5753" s="1"/>
      <c r="AA5753" s="1"/>
      <c r="AB5753" s="1"/>
      <c r="AC5753" s="1"/>
      <c r="AD5753" s="1"/>
      <c r="AE5753" s="1"/>
      <c r="AF5753" s="1"/>
      <c r="AG5753" s="1"/>
      <c r="AH5753" s="1"/>
      <c r="AI5753" s="1"/>
      <c r="AJ5753" s="1"/>
      <c r="AK5753" s="1"/>
      <c r="AL5753" s="1"/>
      <c r="AM5753" s="1"/>
      <c r="AN5753" s="1"/>
      <c r="AO5753" s="1"/>
      <c r="AP5753" s="1"/>
      <c r="AQ5753" s="1"/>
      <c r="AR5753" s="1"/>
      <c r="AS5753" s="1"/>
      <c r="AT5753" s="1"/>
      <c r="AU5753" s="1"/>
      <c r="AV5753" s="1"/>
      <c r="AW5753" s="1"/>
      <c r="AX5753" s="1"/>
      <c r="AY5753" s="1"/>
      <c r="AZ5753" s="1"/>
      <c r="BA5753" s="1"/>
      <c r="BB5753" s="1"/>
    </row>
    <row r="5754" ht="204.75" customHeight="1">
      <c r="A5754" s="1">
        <v>4405.0</v>
      </c>
      <c r="B5754" s="2" t="s">
        <v>15672</v>
      </c>
      <c r="C5754" s="2">
        <f>IFERROR(__xludf.DUMMYFUNCTION("split(B5754,""_"")"),1104.0)</f>
        <v>1104</v>
      </c>
      <c r="D5754" s="2" t="str">
        <f>IFERROR(__xludf.DUMMYFUNCTION("""COMPUTED_VALUE"""),"TBS")</f>
        <v>TBS</v>
      </c>
      <c r="E5754" s="2" t="str">
        <f>IFERROR(__xludf.DUMMYFUNCTION("""COMPUTED_VALUE"""),"金22")</f>
        <v>金22</v>
      </c>
      <c r="F5754" s="2" t="s">
        <v>15673</v>
      </c>
      <c r="G5754" s="2" t="s">
        <v>15692</v>
      </c>
      <c r="H5754" s="1">
        <v>10.0</v>
      </c>
      <c r="J5754" s="1" t="s">
        <v>86</v>
      </c>
      <c r="K5754" s="2" t="s">
        <v>15693</v>
      </c>
      <c r="L5754" s="2"/>
      <c r="M5754" s="2" t="str">
        <f>IFERROR(__xludf.DUMMYFUNCTION("split(split(K5754,""【"",false),""公式LINE"",false)"),"林田愛美…堀北真希   林田太一…大倉忠義 (関ジャニ∞)   林田浩二…中島健人 (ジャニーズ Jr．)   林田美子…竹富聖花　  内田留美…西村知美  大川洋一…鈴木亮平  中野瑛太…斎藤歩  小池春馬…淵上泰史  林田新平…三宅裕司（特別出演）  長澤剛…金田明夫  水川真帆…酒井若菜   国木美和…戸田恵子   近藤卓巳…大杉漣   林田愛子…田中美佐子 愛子 (田中美佐子) のお腹にある命が産声をあげようとしていた。しかし愛子は切迫早産の可能性があり、緊張状態が続くー。  愛美 (堀北真希) "&amp;"を中心とした林田家は、そんな愛子のためにそれぞれが必死に林田家を支えていたー。  そして、愛子にはこれから生まれてくる“命”ともう一つ、今そこにある“命”が託されていたー それは、浩二 (中島健人) を救う唯一の希望である「臍帯血移植」。一旦は峠を越えたものの、浩二の状態は予断を許さない状況であることには変わりなく、そんな時再び浩二を襲う病魔の影…。  そんな中ついに愛子の陣痛が始まったー。  鈴木おさむ金子文紀鈴木早苗番組の内容と放送時間は変更になる場合があります。")</f>
        <v>林田愛美…堀北真希   林田太一…大倉忠義 (関ジャニ∞)   林田浩二…中島健人 (ジャニーズ Jr．)   林田美子…竹富聖花　  内田留美…西村知美  大川洋一…鈴木亮平  中野瑛太…斎藤歩  小池春馬…淵上泰史  林田新平…三宅裕司（特別出演）  長澤剛…金田明夫  水川真帆…酒井若菜   国木美和…戸田恵子   近藤卓巳…大杉漣   林田愛子…田中美佐子 愛子 (田中美佐子) のお腹にある命が産声をあげようとしていた。しかし愛子は切迫早産の可能性があり、緊張状態が続くー。  愛美 (堀北真希) を中心とした林田家は、そんな愛子のためにそれぞれが必死に林田家を支えていたー。  そして、愛子にはこれから生まれてくる“命”ともう一つ、今そこにある“命”が託されていたー それは、浩二 (中島健人) を救う唯一の希望である「臍帯血移植」。一旦は峠を越えたものの、浩二の状態は予断を許さない状況であることには変わりなく、そんな時再び浩二を襲う病魔の影…。  そんな中ついに愛子の陣痛が始まったー。  鈴木おさむ金子文紀鈴木早苗番組の内容と放送時間は変更になる場合があります。</v>
      </c>
      <c r="N5754" s="2"/>
      <c r="O5754" s="2"/>
      <c r="P5754" s="1"/>
      <c r="Q5754" s="1"/>
      <c r="R5754" s="1"/>
      <c r="S5754" s="1"/>
      <c r="T5754" s="1"/>
      <c r="U5754" s="1"/>
      <c r="V5754" s="1"/>
      <c r="W5754" s="1"/>
      <c r="X5754" s="1"/>
      <c r="Y5754" s="1"/>
      <c r="Z5754" s="1"/>
      <c r="AA5754" s="1"/>
      <c r="AB5754" s="1"/>
      <c r="AC5754" s="1"/>
      <c r="AD5754" s="1"/>
      <c r="AE5754" s="1"/>
      <c r="AF5754" s="1"/>
      <c r="AG5754" s="1"/>
      <c r="AH5754" s="1"/>
      <c r="AI5754" s="1"/>
      <c r="AJ5754" s="1"/>
      <c r="AK5754" s="1"/>
      <c r="AL5754" s="1"/>
      <c r="AM5754" s="1"/>
      <c r="AN5754" s="1"/>
      <c r="AO5754" s="1"/>
      <c r="AP5754" s="1"/>
      <c r="AQ5754" s="1"/>
      <c r="AR5754" s="1"/>
      <c r="AS5754" s="1"/>
      <c r="AT5754" s="1"/>
      <c r="AU5754" s="1"/>
      <c r="AV5754" s="1"/>
      <c r="AW5754" s="1"/>
      <c r="AX5754" s="1"/>
      <c r="AY5754" s="1"/>
      <c r="AZ5754" s="1"/>
      <c r="BA5754" s="1"/>
      <c r="BB5754" s="1"/>
    </row>
    <row r="5755" ht="204.75" customHeight="1">
      <c r="A5755" s="1">
        <v>4503.0</v>
      </c>
      <c r="B5755" s="2" t="s">
        <v>15694</v>
      </c>
      <c r="C5755" s="2">
        <f>IFERROR(__xludf.DUMMYFUNCTION("split(B5755,""_"")"),1101.0)</f>
        <v>1101</v>
      </c>
      <c r="D5755" s="2" t="str">
        <f>IFERROR(__xludf.DUMMYFUNCTION("""COMPUTED_VALUE"""),"TBS")</f>
        <v>TBS</v>
      </c>
      <c r="E5755" s="2" t="str">
        <f>IFERROR(__xludf.DUMMYFUNCTION("""COMPUTED_VALUE"""),"金22")</f>
        <v>金22</v>
      </c>
      <c r="F5755" s="2" t="s">
        <v>15695</v>
      </c>
      <c r="G5755" s="2" t="s">
        <v>15696</v>
      </c>
      <c r="H5755" s="1">
        <v>1.0</v>
      </c>
      <c r="J5755" s="1" t="s">
        <v>1647</v>
      </c>
      <c r="K5755" s="2" t="s">
        <v>15697</v>
      </c>
      <c r="L5755" s="2"/>
      <c r="M5755" s="2" t="str">
        <f>IFERROR(__xludf.DUMMYFUNCTION("split(split(K5755,""【"",false),""公式LINE"",false)"),"連続一家殺人事件発生。夫妻が惨殺され、子供はいずれも行方不明。この事件の捜査要請を受け、警視庁に新設された犯罪行動分析室＝CPSのプロファイラーたちが犯人の頭の中を覗き込む。しかし、犯人に辿り着く前に次々と被害者が出てしまう。犯人の妄想・動機＝ファンタジーは一体何なのか？初回2時間15分スペシャル。北川景子  木村多江  平岡祐太  要潤  小澤征悦  竹中直人  須藤理彩  ユースケ・サンタマリア「無形スピリット」柴咲コウ  （NAYUTAWAVE RECORDS）")</f>
        <v>連続一家殺人事件発生。夫妻が惨殺され、子供はいずれも行方不明。この事件の捜査要請を受け、警視庁に新設された犯罪行動分析室＝CPSのプロファイラーたちが犯人の頭の中を覗き込む。しかし、犯人に辿り着く前に次々と被害者が出てしまう。犯人の妄想・動機＝ファンタジーは一体何なのか？初回2時間15分スペシャル。北川景子  木村多江  平岡祐太  要潤  小澤征悦  竹中直人  須藤理彩  ユースケ・サンタマリア「無形スピリット」柴咲コウ  （NAYUTAWAVE RECORDS）</v>
      </c>
      <c r="N5755" s="2"/>
      <c r="O5755" s="2"/>
      <c r="P5755" s="1"/>
      <c r="Q5755" s="1"/>
      <c r="R5755" s="1"/>
      <c r="S5755" s="1"/>
      <c r="T5755" s="1"/>
      <c r="U5755" s="1"/>
      <c r="V5755" s="1"/>
      <c r="W5755" s="1"/>
      <c r="X5755" s="1"/>
      <c r="Y5755" s="1"/>
      <c r="Z5755" s="1"/>
      <c r="AA5755" s="1"/>
      <c r="AB5755" s="1"/>
      <c r="AC5755" s="1"/>
      <c r="AD5755" s="1"/>
      <c r="AE5755" s="1"/>
      <c r="AF5755" s="1"/>
      <c r="AG5755" s="1"/>
      <c r="AH5755" s="1"/>
      <c r="AI5755" s="1"/>
      <c r="AJ5755" s="1"/>
      <c r="AK5755" s="1"/>
      <c r="AL5755" s="1"/>
      <c r="AM5755" s="1"/>
      <c r="AN5755" s="1"/>
      <c r="AO5755" s="1"/>
      <c r="AP5755" s="1"/>
      <c r="AQ5755" s="1"/>
      <c r="AR5755" s="1"/>
      <c r="AS5755" s="1"/>
      <c r="AT5755" s="1"/>
      <c r="AU5755" s="1"/>
      <c r="AV5755" s="1"/>
      <c r="AW5755" s="1"/>
      <c r="AX5755" s="1"/>
      <c r="AY5755" s="1"/>
      <c r="AZ5755" s="1"/>
      <c r="BA5755" s="1"/>
      <c r="BB5755" s="1"/>
    </row>
    <row r="5756" ht="204.75" customHeight="1">
      <c r="A5756" s="1">
        <v>4504.0</v>
      </c>
      <c r="B5756" s="2" t="s">
        <v>15694</v>
      </c>
      <c r="C5756" s="2">
        <f>IFERROR(__xludf.DUMMYFUNCTION("split(B5756,""_"")"),1101.0)</f>
        <v>1101</v>
      </c>
      <c r="D5756" s="2" t="str">
        <f>IFERROR(__xludf.DUMMYFUNCTION("""COMPUTED_VALUE"""),"TBS")</f>
        <v>TBS</v>
      </c>
      <c r="E5756" s="2" t="str">
        <f>IFERROR(__xludf.DUMMYFUNCTION("""COMPUTED_VALUE"""),"金22")</f>
        <v>金22</v>
      </c>
      <c r="F5756" s="2" t="s">
        <v>15695</v>
      </c>
      <c r="G5756" s="2" t="s">
        <v>15698</v>
      </c>
      <c r="H5756" s="1">
        <v>2.0</v>
      </c>
      <c r="J5756" s="1" t="s">
        <v>86</v>
      </c>
      <c r="K5756" s="2" t="s">
        <v>15699</v>
      </c>
      <c r="L5756" s="2"/>
      <c r="M5756" s="2" t="str">
        <f>IFERROR(__xludf.DUMMYFUNCTION("split(split(K5756,""【"",false),""公式LINE"",false)"),"連続ストーカー殺人事件発生。遺体は赤いダッフルコートを着せられ、クローゼットに吊るされていた。事件現場に残された半分に引き裂かれたぬいぐるみ…。犯人のファンタジー（動機・妄想）は一体何なのか？次の被害者が出る前に犯人に辿り着きたい翔子（北川景子）たちだが、CPSは意見が合わず別々にプロファイリングすることに。プロファイラーとしてのプライドがぶつかりあい、 バラバラになってしまうCPS。  北川景子  木村多江  平岡祐太  要潤  小澤征悦  須藤理彩  ユースケ・サンタマリア　  塚地武雅（ドランクドラ"&amp;"ゴン）  佐藤江梨子「無形スピリット」柴咲コウ  （NAYUTAWAVE RECORDS）")</f>
        <v>連続ストーカー殺人事件発生。遺体は赤いダッフルコートを着せられ、クローゼットに吊るされていた。事件現場に残された半分に引き裂かれたぬいぐるみ…。犯人のファンタジー（動機・妄想）は一体何なのか？次の被害者が出る前に犯人に辿り着きたい翔子（北川景子）たちだが、CPSは意見が合わず別々にプロファイリングすることに。プロファイラーとしてのプライドがぶつかりあい、 バラバラになってしまうCPS。  北川景子  木村多江  平岡祐太  要潤  小澤征悦  須藤理彩  ユースケ・サンタマリア　  塚地武雅（ドランクドラゴン）  佐藤江梨子「無形スピリット」柴咲コウ  （NAYUTAWAVE RECORDS）</v>
      </c>
      <c r="N5756" s="2"/>
      <c r="O5756" s="2"/>
      <c r="P5756" s="1"/>
      <c r="Q5756" s="1"/>
      <c r="R5756" s="1"/>
      <c r="S5756" s="1"/>
      <c r="T5756" s="1"/>
      <c r="U5756" s="1"/>
      <c r="V5756" s="1"/>
      <c r="W5756" s="1"/>
      <c r="X5756" s="1"/>
      <c r="Y5756" s="1"/>
      <c r="Z5756" s="1"/>
      <c r="AA5756" s="1"/>
      <c r="AB5756" s="1"/>
      <c r="AC5756" s="1"/>
      <c r="AD5756" s="1"/>
      <c r="AE5756" s="1"/>
      <c r="AF5756" s="1"/>
      <c r="AG5756" s="1"/>
      <c r="AH5756" s="1"/>
      <c r="AI5756" s="1"/>
      <c r="AJ5756" s="1"/>
      <c r="AK5756" s="1"/>
      <c r="AL5756" s="1"/>
      <c r="AM5756" s="1"/>
      <c r="AN5756" s="1"/>
      <c r="AO5756" s="1"/>
      <c r="AP5756" s="1"/>
      <c r="AQ5756" s="1"/>
      <c r="AR5756" s="1"/>
      <c r="AS5756" s="1"/>
      <c r="AT5756" s="1"/>
      <c r="AU5756" s="1"/>
      <c r="AV5756" s="1"/>
      <c r="AW5756" s="1"/>
      <c r="AX5756" s="1"/>
      <c r="AY5756" s="1"/>
      <c r="AZ5756" s="1"/>
      <c r="BA5756" s="1"/>
      <c r="BB5756" s="1"/>
    </row>
    <row r="5757" ht="204.75" customHeight="1">
      <c r="A5757" s="1">
        <v>4505.0</v>
      </c>
      <c r="B5757" s="2" t="s">
        <v>15694</v>
      </c>
      <c r="C5757" s="2">
        <f>IFERROR(__xludf.DUMMYFUNCTION("split(B5757,""_"")"),1101.0)</f>
        <v>1101</v>
      </c>
      <c r="D5757" s="2" t="str">
        <f>IFERROR(__xludf.DUMMYFUNCTION("""COMPUTED_VALUE"""),"TBS")</f>
        <v>TBS</v>
      </c>
      <c r="E5757" s="2" t="str">
        <f>IFERROR(__xludf.DUMMYFUNCTION("""COMPUTED_VALUE"""),"金22")</f>
        <v>金22</v>
      </c>
      <c r="F5757" s="2" t="s">
        <v>15695</v>
      </c>
      <c r="G5757" s="2" t="s">
        <v>15700</v>
      </c>
      <c r="H5757" s="1">
        <v>3.0</v>
      </c>
      <c r="J5757" s="1" t="s">
        <v>86</v>
      </c>
      <c r="K5757" s="2" t="s">
        <v>15701</v>
      </c>
      <c r="L5757" s="2"/>
      <c r="M5757" s="2" t="str">
        <f>IFERROR(__xludf.DUMMYFUNCTION("split(split(K5757,""【"",false),""公式LINE"",false)"),"寺田（要潤）の法医学時代の恩師、三宅の娘が殺されたと知り、寺田は知り合いということを隠して神奈川県警に事件解決の協力を申し出る。なんとか捜査協力が認められたものの、CPSのことをよく思わない神奈川県警は事件の情報をおろしてくれない。焦るCPS。そんな時、聞き込みをする寺田の前で重要参考人が・・・。翔子たちは犯人のファンタジーを見つけ、事件を解決することができるのか？北川景子  木村多江  平岡祐太  要潤  小澤征悦  須藤理彩  ユースケ・サンタマリア　  片岡鶴太郎  長谷川朝晴  小木茂光  (他)"&amp;"「無形スピリット」柴咲コウ  （NAYUTAWAVE RECORDS）")</f>
        <v>寺田（要潤）の法医学時代の恩師、三宅の娘が殺されたと知り、寺田は知り合いということを隠して神奈川県警に事件解決の協力を申し出る。なんとか捜査協力が認められたものの、CPSのことをよく思わない神奈川県警は事件の情報をおろしてくれない。焦るCPS。そんな時、聞き込みをする寺田の前で重要参考人が・・・。翔子たちは犯人のファンタジーを見つけ、事件を解決することができるのか？北川景子  木村多江  平岡祐太  要潤  小澤征悦  須藤理彩  ユースケ・サンタマリア　  片岡鶴太郎  長谷川朝晴  小木茂光  (他)「無形スピリット」柴咲コウ  （NAYUTAWAVE RECORDS）</v>
      </c>
      <c r="N5757" s="2"/>
      <c r="O5757" s="2"/>
      <c r="P5757" s="1"/>
      <c r="Q5757" s="1"/>
      <c r="R5757" s="1"/>
      <c r="S5757" s="1"/>
      <c r="T5757" s="1"/>
      <c r="U5757" s="1"/>
      <c r="V5757" s="1"/>
      <c r="W5757" s="1"/>
      <c r="X5757" s="1"/>
      <c r="Y5757" s="1"/>
      <c r="Z5757" s="1"/>
      <c r="AA5757" s="1"/>
      <c r="AB5757" s="1"/>
      <c r="AC5757" s="1"/>
      <c r="AD5757" s="1"/>
      <c r="AE5757" s="1"/>
      <c r="AF5757" s="1"/>
      <c r="AG5757" s="1"/>
      <c r="AH5757" s="1"/>
      <c r="AI5757" s="1"/>
      <c r="AJ5757" s="1"/>
      <c r="AK5757" s="1"/>
      <c r="AL5757" s="1"/>
      <c r="AM5757" s="1"/>
      <c r="AN5757" s="1"/>
      <c r="AO5757" s="1"/>
      <c r="AP5757" s="1"/>
      <c r="AQ5757" s="1"/>
      <c r="AR5757" s="1"/>
      <c r="AS5757" s="1"/>
      <c r="AT5757" s="1"/>
      <c r="AU5757" s="1"/>
      <c r="AV5757" s="1"/>
      <c r="AW5757" s="1"/>
      <c r="AX5757" s="1"/>
      <c r="AY5757" s="1"/>
      <c r="AZ5757" s="1"/>
      <c r="BA5757" s="1"/>
      <c r="BB5757" s="1"/>
    </row>
    <row r="5758" ht="204.75" customHeight="1">
      <c r="A5758" s="1">
        <v>4506.0</v>
      </c>
      <c r="B5758" s="2" t="s">
        <v>15694</v>
      </c>
      <c r="C5758" s="2">
        <f>IFERROR(__xludf.DUMMYFUNCTION("split(B5758,""_"")"),1101.0)</f>
        <v>1101</v>
      </c>
      <c r="D5758" s="2" t="str">
        <f>IFERROR(__xludf.DUMMYFUNCTION("""COMPUTED_VALUE"""),"TBS")</f>
        <v>TBS</v>
      </c>
      <c r="E5758" s="2" t="str">
        <f>IFERROR(__xludf.DUMMYFUNCTION("""COMPUTED_VALUE"""),"金22")</f>
        <v>金22</v>
      </c>
      <c r="F5758" s="2" t="s">
        <v>15695</v>
      </c>
      <c r="G5758" s="2" t="s">
        <v>15702</v>
      </c>
      <c r="H5758" s="1">
        <v>4.0</v>
      </c>
      <c r="J5758" s="1" t="s">
        <v>86</v>
      </c>
      <c r="K5758" s="2" t="s">
        <v>15703</v>
      </c>
      <c r="L5758" s="2"/>
      <c r="M5758" s="2" t="str">
        <f>IFERROR(__xludf.DUMMYFUNCTION("split(split(K5758,""【"",false),""公式LINE"",false)"),"CPS（犯罪行動分析室）の元に死刑囚・巽からの面談の申し込みが入る。巽は日本中を震撼させた少年犯罪者。しかし、この面談は巽が翔子に会うために仕組んだものだった。翔子の過去を穿り返す巽…。そんな中、現在捜査一課が捜査している殺人事件の次の犯行を巽は予測してしまう。巽は犯人を知っているのか？犯人を操っているのか？これ以上巽に頭の中を覗かれたくない翔子だったが、事件解決のため、再び巽に会いに行く。北川景子  木村多江  平岡祐太  要潤  小澤征悦  竹中直人  須藤理彩  ユースケ・サンタマリア  柳楽優弥 "&amp;" (他)「無形スピリット」柴咲コウ  （NAYUTAWAVE RECORDS）")</f>
        <v>CPS（犯罪行動分析室）の元に死刑囚・巽からの面談の申し込みが入る。巽は日本中を震撼させた少年犯罪者。しかし、この面談は巽が翔子に会うために仕組んだものだった。翔子の過去を穿り返す巽…。そんな中、現在捜査一課が捜査している殺人事件の次の犯行を巽は予測してしまう。巽は犯人を知っているのか？犯人を操っているのか？これ以上巽に頭の中を覗かれたくない翔子だったが、事件解決のため、再び巽に会いに行く。北川景子  木村多江  平岡祐太  要潤  小澤征悦  竹中直人  須藤理彩  ユースケ・サンタマリア  柳楽優弥  (他)「無形スピリット」柴咲コウ  （NAYUTAWAVE RECORDS）</v>
      </c>
      <c r="N5758" s="2"/>
      <c r="O5758" s="2"/>
      <c r="P5758" s="1"/>
      <c r="Q5758" s="1"/>
      <c r="R5758" s="1"/>
      <c r="S5758" s="1"/>
      <c r="T5758" s="1"/>
      <c r="U5758" s="1"/>
      <c r="V5758" s="1"/>
      <c r="W5758" s="1"/>
      <c r="X5758" s="1"/>
      <c r="Y5758" s="1"/>
      <c r="Z5758" s="1"/>
      <c r="AA5758" s="1"/>
      <c r="AB5758" s="1"/>
      <c r="AC5758" s="1"/>
      <c r="AD5758" s="1"/>
      <c r="AE5758" s="1"/>
      <c r="AF5758" s="1"/>
      <c r="AG5758" s="1"/>
      <c r="AH5758" s="1"/>
      <c r="AI5758" s="1"/>
      <c r="AJ5758" s="1"/>
      <c r="AK5758" s="1"/>
      <c r="AL5758" s="1"/>
      <c r="AM5758" s="1"/>
      <c r="AN5758" s="1"/>
      <c r="AO5758" s="1"/>
      <c r="AP5758" s="1"/>
      <c r="AQ5758" s="1"/>
      <c r="AR5758" s="1"/>
      <c r="AS5758" s="1"/>
      <c r="AT5758" s="1"/>
      <c r="AU5758" s="1"/>
      <c r="AV5758" s="1"/>
      <c r="AW5758" s="1"/>
      <c r="AX5758" s="1"/>
      <c r="AY5758" s="1"/>
      <c r="AZ5758" s="1"/>
      <c r="BA5758" s="1"/>
      <c r="BB5758" s="1"/>
    </row>
    <row r="5759" ht="204.75" customHeight="1">
      <c r="A5759" s="1">
        <v>4507.0</v>
      </c>
      <c r="B5759" s="2" t="s">
        <v>15694</v>
      </c>
      <c r="C5759" s="2">
        <f>IFERROR(__xludf.DUMMYFUNCTION("split(B5759,""_"")"),1101.0)</f>
        <v>1101</v>
      </c>
      <c r="D5759" s="2" t="str">
        <f>IFERROR(__xludf.DUMMYFUNCTION("""COMPUTED_VALUE"""),"TBS")</f>
        <v>TBS</v>
      </c>
      <c r="E5759" s="2" t="str">
        <f>IFERROR(__xludf.DUMMYFUNCTION("""COMPUTED_VALUE"""),"金22")</f>
        <v>金22</v>
      </c>
      <c r="F5759" s="2" t="s">
        <v>15695</v>
      </c>
      <c r="G5759" s="2" t="s">
        <v>15704</v>
      </c>
      <c r="H5759" s="1">
        <v>5.0</v>
      </c>
      <c r="J5759" s="1" t="s">
        <v>86</v>
      </c>
      <c r="K5759" s="2" t="s">
        <v>15705</v>
      </c>
      <c r="L5759" s="2"/>
      <c r="M5759" s="2" t="str">
        <f>IFERROR(__xludf.DUMMYFUNCTION("split(split(K5759,""【"",false),""公式LINE"",false)"),"巽との面談を終え、事件も解決した矢先、誘拐事件が発生する。犯人の要求は「巽の犯行を全て明らかにすること」。自分はまだ明らかにされていない巽の犯行の被害者遺族だと言うのだ。誘拐された少女を救うため、翔子たちCPSは再び巽の元へと向かう。  そしてついに巽の頭の中を覗くが…。生まれながらのモンスターと自称する巽のファンタジーが明らかになる。北川景子  木村多江  平岡祐太  要潤  小澤征悦  竹中直人  須藤理彩  ユースケ・サンタマリア  柳楽優弥  哀川翔  (他)「無形スピリット」柴咲コウ  （NAY"&amp;"UTAWAVE RECORDS）")</f>
        <v>巽との面談を終え、事件も解決した矢先、誘拐事件が発生する。犯人の要求は「巽の犯行を全て明らかにすること」。自分はまだ明らかにされていない巽の犯行の被害者遺族だと言うのだ。誘拐された少女を救うため、翔子たちCPSは再び巽の元へと向かう。  そしてついに巽の頭の中を覗くが…。生まれながらのモンスターと自称する巽のファンタジーが明らかになる。北川景子  木村多江  平岡祐太  要潤  小澤征悦  竹中直人  須藤理彩  ユースケ・サンタマリア  柳楽優弥  哀川翔  (他)「無形スピリット」柴咲コウ  （NAYUTAWAVE RECORDS）</v>
      </c>
      <c r="N5759" s="2"/>
      <c r="O5759" s="2"/>
      <c r="P5759" s="1"/>
      <c r="Q5759" s="1"/>
      <c r="R5759" s="1"/>
      <c r="S5759" s="1"/>
      <c r="T5759" s="1"/>
      <c r="U5759" s="1"/>
      <c r="V5759" s="1"/>
      <c r="W5759" s="1"/>
      <c r="X5759" s="1"/>
      <c r="Y5759" s="1"/>
      <c r="Z5759" s="1"/>
      <c r="AA5759" s="1"/>
      <c r="AB5759" s="1"/>
      <c r="AC5759" s="1"/>
      <c r="AD5759" s="1"/>
      <c r="AE5759" s="1"/>
      <c r="AF5759" s="1"/>
      <c r="AG5759" s="1"/>
      <c r="AH5759" s="1"/>
      <c r="AI5759" s="1"/>
      <c r="AJ5759" s="1"/>
      <c r="AK5759" s="1"/>
      <c r="AL5759" s="1"/>
      <c r="AM5759" s="1"/>
      <c r="AN5759" s="1"/>
      <c r="AO5759" s="1"/>
      <c r="AP5759" s="1"/>
      <c r="AQ5759" s="1"/>
      <c r="AR5759" s="1"/>
      <c r="AS5759" s="1"/>
      <c r="AT5759" s="1"/>
      <c r="AU5759" s="1"/>
      <c r="AV5759" s="1"/>
      <c r="AW5759" s="1"/>
      <c r="AX5759" s="1"/>
      <c r="AY5759" s="1"/>
      <c r="AZ5759" s="1"/>
      <c r="BA5759" s="1"/>
      <c r="BB5759" s="1"/>
    </row>
    <row r="5760" ht="204.75" customHeight="1">
      <c r="A5760" s="1">
        <v>4508.0</v>
      </c>
      <c r="B5760" s="2" t="s">
        <v>15694</v>
      </c>
      <c r="C5760" s="2">
        <f>IFERROR(__xludf.DUMMYFUNCTION("split(B5760,""_"")"),1101.0)</f>
        <v>1101</v>
      </c>
      <c r="D5760" s="2" t="str">
        <f>IFERROR(__xludf.DUMMYFUNCTION("""COMPUTED_VALUE"""),"TBS")</f>
        <v>TBS</v>
      </c>
      <c r="E5760" s="2" t="str">
        <f>IFERROR(__xludf.DUMMYFUNCTION("""COMPUTED_VALUE"""),"金22")</f>
        <v>金22</v>
      </c>
      <c r="F5760" s="2" t="s">
        <v>15695</v>
      </c>
      <c r="G5760" s="2" t="s">
        <v>15706</v>
      </c>
      <c r="H5760" s="1">
        <v>6.0</v>
      </c>
      <c r="J5760" s="1" t="s">
        <v>86</v>
      </c>
      <c r="K5760" s="2" t="s">
        <v>15707</v>
      </c>
      <c r="L5760" s="2"/>
      <c r="M5760" s="2" t="str">
        <f>IFERROR(__xludf.DUMMYFUNCTION("split(split(K5760,""【"",false),""公式LINE"",false)"),"裁判所へ移送中の容疑者が脱走！プロファイリングで犯人の居場所を突き止めようとする翔子たちは、脱走犯の人間像から犯人の行動を予測しようとするが、新堀は一人目撃情報などのデータのみで行動予測を試みる。その結果、一人の警官が犠牲になってしまう。自分のミスを取り戻そうと考えた新堀は、誰の力も借りずに脱走犯を探しに出る。そして居場所を突き止めた新堀の前に、脱走犯38号が立ちはだかり、新堀に命の危険が迫る！北川景子  木村多江  平岡祐太  要潤  小澤征悦  須藤理彩  ユースケ・サンタマリア　  忍成修吾  紺野"&amp;"まひる  (他)「無形スピリット」柴咲コウ  （NAYUTAWAVE RECORDS）")</f>
        <v>裁判所へ移送中の容疑者が脱走！プロファイリングで犯人の居場所を突き止めようとする翔子たちは、脱走犯の人間像から犯人の行動を予測しようとするが、新堀は一人目撃情報などのデータのみで行動予測を試みる。その結果、一人の警官が犠牲になってしまう。自分のミスを取り戻そうと考えた新堀は、誰の力も借りずに脱走犯を探しに出る。そして居場所を突き止めた新堀の前に、脱走犯38号が立ちはだかり、新堀に命の危険が迫る！北川景子  木村多江  平岡祐太  要潤  小澤征悦  須藤理彩  ユースケ・サンタマリア　  忍成修吾  紺野まひる  (他)「無形スピリット」柴咲コウ  （NAYUTAWAVE RECORDS）</v>
      </c>
      <c r="N5760" s="2"/>
      <c r="O5760" s="2"/>
      <c r="P5760" s="1"/>
      <c r="Q5760" s="1"/>
      <c r="R5760" s="1"/>
      <c r="S5760" s="1"/>
      <c r="T5760" s="1"/>
      <c r="U5760" s="1"/>
      <c r="V5760" s="1"/>
      <c r="W5760" s="1"/>
      <c r="X5760" s="1"/>
      <c r="Y5760" s="1"/>
      <c r="Z5760" s="1"/>
      <c r="AA5760" s="1"/>
      <c r="AB5760" s="1"/>
      <c r="AC5760" s="1"/>
      <c r="AD5760" s="1"/>
      <c r="AE5760" s="1"/>
      <c r="AF5760" s="1"/>
      <c r="AG5760" s="1"/>
      <c r="AH5760" s="1"/>
      <c r="AI5760" s="1"/>
      <c r="AJ5760" s="1"/>
      <c r="AK5760" s="1"/>
      <c r="AL5760" s="1"/>
      <c r="AM5760" s="1"/>
      <c r="AN5760" s="1"/>
      <c r="AO5760" s="1"/>
      <c r="AP5760" s="1"/>
      <c r="AQ5760" s="1"/>
      <c r="AR5760" s="1"/>
      <c r="AS5760" s="1"/>
      <c r="AT5760" s="1"/>
      <c r="AU5760" s="1"/>
      <c r="AV5760" s="1"/>
      <c r="AW5760" s="1"/>
      <c r="AX5760" s="1"/>
      <c r="AY5760" s="1"/>
      <c r="AZ5760" s="1"/>
      <c r="BA5760" s="1"/>
      <c r="BB5760" s="1"/>
    </row>
    <row r="5761" ht="204.75" customHeight="1">
      <c r="A5761" s="1">
        <v>4509.0</v>
      </c>
      <c r="B5761" s="2" t="s">
        <v>15694</v>
      </c>
      <c r="C5761" s="2">
        <f>IFERROR(__xludf.DUMMYFUNCTION("split(B5761,""_"")"),1101.0)</f>
        <v>1101</v>
      </c>
      <c r="D5761" s="2" t="str">
        <f>IFERROR(__xludf.DUMMYFUNCTION("""COMPUTED_VALUE"""),"TBS")</f>
        <v>TBS</v>
      </c>
      <c r="E5761" s="2" t="str">
        <f>IFERROR(__xludf.DUMMYFUNCTION("""COMPUTED_VALUE"""),"金22")</f>
        <v>金22</v>
      </c>
      <c r="F5761" s="2" t="s">
        <v>15695</v>
      </c>
      <c r="G5761" s="2" t="s">
        <v>15708</v>
      </c>
      <c r="H5761" s="1">
        <v>7.0</v>
      </c>
      <c r="J5761" s="1" t="s">
        <v>86</v>
      </c>
      <c r="K5761" s="2" t="s">
        <v>15709</v>
      </c>
      <c r="L5761" s="2"/>
      <c r="M5761" s="2" t="str">
        <f>IFERROR(__xludf.DUMMYFUNCTION("split(split(K5761,""【"",false),""公式LINE"",false)"),"5年前に柘植が捜査を担当していた誘拐監禁殺人事件。犯人グループ4人に女性3人が殺害され、一人しか救出できなかった。事件から5年、現在も逃亡していた犯人3人が次々と射殺体として発見される。凶器は、5年前に紛失した柘植の銃。柘植から失われた事件当時の記憶…。  本当に柘植が殺したのだろうか？警察を離れ、一人真犯人を探す柘植。CPSは柘植の5年前の真実を明らかにするべく、柘植のプロファイリングを始める。北川景子  木村多江  平岡祐太  要潤  小澤征悦  竹中直人  須藤理彩  ユースケ・サンタマリア  市川"&amp;"由衣  井坂俊哉  (他)「無形スピリット」柴咲コウ  （NAYUTAWAVE RECORDS）")</f>
        <v>5年前に柘植が捜査を担当していた誘拐監禁殺人事件。犯人グループ4人に女性3人が殺害され、一人しか救出できなかった。事件から5年、現在も逃亡していた犯人3人が次々と射殺体として発見される。凶器は、5年前に紛失した柘植の銃。柘植から失われた事件当時の記憶…。  本当に柘植が殺したのだろうか？警察を離れ、一人真犯人を探す柘植。CPSは柘植の5年前の真実を明らかにするべく、柘植のプロファイリングを始める。北川景子  木村多江  平岡祐太  要潤  小澤征悦  竹中直人  須藤理彩  ユースケ・サンタマリア  市川由衣  井坂俊哉  (他)「無形スピリット」柴咲コウ  （NAYUTAWAVE RECORDS）</v>
      </c>
      <c r="N5761" s="2"/>
      <c r="O5761" s="2"/>
      <c r="P5761" s="1"/>
      <c r="Q5761" s="1"/>
      <c r="R5761" s="1"/>
      <c r="S5761" s="1"/>
      <c r="T5761" s="1"/>
      <c r="U5761" s="1"/>
      <c r="V5761" s="1"/>
      <c r="W5761" s="1"/>
      <c r="X5761" s="1"/>
      <c r="Y5761" s="1"/>
      <c r="Z5761" s="1"/>
      <c r="AA5761" s="1"/>
      <c r="AB5761" s="1"/>
      <c r="AC5761" s="1"/>
      <c r="AD5761" s="1"/>
      <c r="AE5761" s="1"/>
      <c r="AF5761" s="1"/>
      <c r="AG5761" s="1"/>
      <c r="AH5761" s="1"/>
      <c r="AI5761" s="1"/>
      <c r="AJ5761" s="1"/>
      <c r="AK5761" s="1"/>
      <c r="AL5761" s="1"/>
      <c r="AM5761" s="1"/>
      <c r="AN5761" s="1"/>
      <c r="AO5761" s="1"/>
      <c r="AP5761" s="1"/>
      <c r="AQ5761" s="1"/>
      <c r="AR5761" s="1"/>
      <c r="AS5761" s="1"/>
      <c r="AT5761" s="1"/>
      <c r="AU5761" s="1"/>
      <c r="AV5761" s="1"/>
      <c r="AW5761" s="1"/>
      <c r="AX5761" s="1"/>
      <c r="AY5761" s="1"/>
      <c r="AZ5761" s="1"/>
      <c r="BA5761" s="1"/>
      <c r="BB5761" s="1"/>
    </row>
    <row r="5762" ht="204.75" customHeight="1">
      <c r="A5762" s="1">
        <v>4510.0</v>
      </c>
      <c r="B5762" s="2" t="s">
        <v>15694</v>
      </c>
      <c r="C5762" s="2">
        <f>IFERROR(__xludf.DUMMYFUNCTION("split(B5762,""_"")"),1101.0)</f>
        <v>1101</v>
      </c>
      <c r="D5762" s="2" t="str">
        <f>IFERROR(__xludf.DUMMYFUNCTION("""COMPUTED_VALUE"""),"TBS")</f>
        <v>TBS</v>
      </c>
      <c r="E5762" s="2" t="str">
        <f>IFERROR(__xludf.DUMMYFUNCTION("""COMPUTED_VALUE"""),"金22")</f>
        <v>金22</v>
      </c>
      <c r="F5762" s="2" t="s">
        <v>15695</v>
      </c>
      <c r="G5762" s="2" t="s">
        <v>15710</v>
      </c>
      <c r="H5762" s="1">
        <v>8.0</v>
      </c>
      <c r="J5762" s="1" t="s">
        <v>86</v>
      </c>
      <c r="K5762" s="2" t="s">
        <v>15711</v>
      </c>
      <c r="L5762" s="2"/>
      <c r="M5762" s="2" t="str">
        <f>IFERROR(__xludf.DUMMYFUNCTION("split(split(K5762,""【"",false),""公式LINE"",false)"),"北川景子  木村多江  平岡祐太  要潤  小澤征悦  須藤理彩  ユースケ・サンタマリア  戸次重幸  遠藤要  久世星佳  (他)映画祭に届いた映画の予告のような犯行予告映像。それは、本物の犯行を映した映像だった。映っている3人の女性の内2人は遺体となって発見されていたが、最後の1人は1ヶ月前に行方不明になっていた。しかし犯人は1年前に逮捕されている。翔子たちは冤罪を晴らそうと真犯人のプロファイリングを進める。被害者女性の特徴と合致しているマリエ（須藤理彩）が囮となり、犯人をおびき出そうとする。しかし"&amp;"、その捜査でマリエは犯人に襲われてしまう…。自分のせいだと責める翔子…。「無形スピリット」柴咲コウ  （NAYUTAWAVE RECORDS）")</f>
        <v>北川景子  木村多江  平岡祐太  要潤  小澤征悦  須藤理彩  ユースケ・サンタマリア  戸次重幸  遠藤要  久世星佳  (他)映画祭に届いた映画の予告のような犯行予告映像。それは、本物の犯行を映した映像だった。映っている3人の女性の内2人は遺体となって発見されていたが、最後の1人は1ヶ月前に行方不明になっていた。しかし犯人は1年前に逮捕されている。翔子たちは冤罪を晴らそうと真犯人のプロファイリングを進める。被害者女性の特徴と合致しているマリエ（須藤理彩）が囮となり、犯人をおびき出そうとする。しかし、その捜査でマリエは犯人に襲われてしまう…。自分のせいだと責める翔子…。「無形スピリット」柴咲コウ  （NAYUTAWAVE RECORDS）</v>
      </c>
      <c r="N5762" s="2"/>
      <c r="O5762" s="2"/>
      <c r="P5762" s="1"/>
      <c r="Q5762" s="1"/>
      <c r="R5762" s="1"/>
      <c r="S5762" s="1"/>
      <c r="T5762" s="1"/>
      <c r="U5762" s="1"/>
      <c r="V5762" s="1"/>
      <c r="W5762" s="1"/>
      <c r="X5762" s="1"/>
      <c r="Y5762" s="1"/>
      <c r="Z5762" s="1"/>
      <c r="AA5762" s="1"/>
      <c r="AB5762" s="1"/>
      <c r="AC5762" s="1"/>
      <c r="AD5762" s="1"/>
      <c r="AE5762" s="1"/>
      <c r="AF5762" s="1"/>
      <c r="AG5762" s="1"/>
      <c r="AH5762" s="1"/>
      <c r="AI5762" s="1"/>
      <c r="AJ5762" s="1"/>
      <c r="AK5762" s="1"/>
      <c r="AL5762" s="1"/>
      <c r="AM5762" s="1"/>
      <c r="AN5762" s="1"/>
      <c r="AO5762" s="1"/>
      <c r="AP5762" s="1"/>
      <c r="AQ5762" s="1"/>
      <c r="AR5762" s="1"/>
      <c r="AS5762" s="1"/>
      <c r="AT5762" s="1"/>
      <c r="AU5762" s="1"/>
      <c r="AV5762" s="1"/>
      <c r="AW5762" s="1"/>
      <c r="AX5762" s="1"/>
      <c r="AY5762" s="1"/>
      <c r="AZ5762" s="1"/>
      <c r="BA5762" s="1"/>
      <c r="BB5762" s="1"/>
    </row>
    <row r="5763" ht="204.75" customHeight="1">
      <c r="A5763" s="1">
        <v>4511.0</v>
      </c>
      <c r="B5763" s="2" t="s">
        <v>15694</v>
      </c>
      <c r="C5763" s="2">
        <f>IFERROR(__xludf.DUMMYFUNCTION("split(B5763,""_"")"),1101.0)</f>
        <v>1101</v>
      </c>
      <c r="D5763" s="2" t="str">
        <f>IFERROR(__xludf.DUMMYFUNCTION("""COMPUTED_VALUE"""),"TBS")</f>
        <v>TBS</v>
      </c>
      <c r="E5763" s="2" t="str">
        <f>IFERROR(__xludf.DUMMYFUNCTION("""COMPUTED_VALUE"""),"金22")</f>
        <v>金22</v>
      </c>
      <c r="F5763" s="2" t="s">
        <v>15695</v>
      </c>
      <c r="G5763" s="2" t="s">
        <v>15712</v>
      </c>
      <c r="H5763" s="1">
        <v>9.0</v>
      </c>
      <c r="J5763" s="1" t="s">
        <v>86</v>
      </c>
      <c r="K5763" s="2" t="s">
        <v>15713</v>
      </c>
      <c r="L5763" s="2"/>
      <c r="M5763" s="2" t="str">
        <f>IFERROR(__xludf.DUMMYFUNCTION("split(split(K5763,""【"",false),""公式LINE"",false)"),"真鍋理事官が殺され、妹を誘拐された翔子。電話の指示に従い、一人の男と出会う。その男が妹の居場所を知っているというのだが、その男は記憶を失くし、自分が誰かもわからなくなっていた。男の記憶をプロファイリングして記憶を甦らせ、妹の居場所を聞き出すというゲームを真犯人に提案される翔子。誰の手も借りず、警察にも捕まらずに行動するというルールの下、翔子は男と記憶を探す。しかし、その男は凶悪殺人犯だった！そして真犯人を操る黒幕・レディーキラーがついに姿を現す！北川景子  木村多江  平岡祐太  要潤  小澤征悦  須藤"&amp;"理彩  ユースケ・サンタマリア  風間俊介  池田鉄洋  鶴見辰吾  哀川翔  (他)「無形スピリット」柴咲コウ  （NAYUTAWAVE RECORDS）")</f>
        <v>真鍋理事官が殺され、妹を誘拐された翔子。電話の指示に従い、一人の男と出会う。その男が妹の居場所を知っているというのだが、その男は記憶を失くし、自分が誰かもわからなくなっていた。男の記憶をプロファイリングして記憶を甦らせ、妹の居場所を聞き出すというゲームを真犯人に提案される翔子。誰の手も借りず、警察にも捕まらずに行動するというルールの下、翔子は男と記憶を探す。しかし、その男は凶悪殺人犯だった！そして真犯人を操る黒幕・レディーキラーがついに姿を現す！北川景子  木村多江  平岡祐太  要潤  小澤征悦  須藤理彩  ユースケ・サンタマリア  風間俊介  池田鉄洋  鶴見辰吾  哀川翔  (他)「無形スピリット」柴咲コウ  （NAYUTAWAVE RECORDS）</v>
      </c>
      <c r="N5763" s="2"/>
      <c r="O5763" s="2"/>
      <c r="P5763" s="1"/>
      <c r="Q5763" s="1"/>
      <c r="R5763" s="1"/>
      <c r="S5763" s="1"/>
      <c r="T5763" s="1"/>
      <c r="U5763" s="1"/>
      <c r="V5763" s="1"/>
      <c r="W5763" s="1"/>
      <c r="X5763" s="1"/>
      <c r="Y5763" s="1"/>
      <c r="Z5763" s="1"/>
      <c r="AA5763" s="1"/>
      <c r="AB5763" s="1"/>
      <c r="AC5763" s="1"/>
      <c r="AD5763" s="1"/>
      <c r="AE5763" s="1"/>
      <c r="AF5763" s="1"/>
      <c r="AG5763" s="1"/>
      <c r="AH5763" s="1"/>
      <c r="AI5763" s="1"/>
      <c r="AJ5763" s="1"/>
      <c r="AK5763" s="1"/>
      <c r="AL5763" s="1"/>
      <c r="AM5763" s="1"/>
      <c r="AN5763" s="1"/>
      <c r="AO5763" s="1"/>
      <c r="AP5763" s="1"/>
      <c r="AQ5763" s="1"/>
      <c r="AR5763" s="1"/>
      <c r="AS5763" s="1"/>
      <c r="AT5763" s="1"/>
      <c r="AU5763" s="1"/>
      <c r="AV5763" s="1"/>
      <c r="AW5763" s="1"/>
      <c r="AX5763" s="1"/>
      <c r="AY5763" s="1"/>
      <c r="AZ5763" s="1"/>
      <c r="BA5763" s="1"/>
      <c r="BB5763" s="1"/>
    </row>
    <row r="5764" ht="204.75" customHeight="1">
      <c r="A5764" s="1">
        <v>4512.0</v>
      </c>
      <c r="B5764" s="2" t="s">
        <v>15694</v>
      </c>
      <c r="C5764" s="2">
        <f>IFERROR(__xludf.DUMMYFUNCTION("split(B5764,""_"")"),1101.0)</f>
        <v>1101</v>
      </c>
      <c r="D5764" s="2" t="str">
        <f>IFERROR(__xludf.DUMMYFUNCTION("""COMPUTED_VALUE"""),"TBS")</f>
        <v>TBS</v>
      </c>
      <c r="E5764" s="2" t="str">
        <f>IFERROR(__xludf.DUMMYFUNCTION("""COMPUTED_VALUE"""),"金22")</f>
        <v>金22</v>
      </c>
      <c r="F5764" s="2" t="s">
        <v>15695</v>
      </c>
      <c r="G5764" s="2" t="s">
        <v>15714</v>
      </c>
      <c r="H5764" s="1">
        <v>10.0</v>
      </c>
      <c r="J5764" s="1" t="s">
        <v>86</v>
      </c>
      <c r="K5764" s="2" t="s">
        <v>15715</v>
      </c>
      <c r="L5764" s="2"/>
      <c r="M5764" s="2" t="str">
        <f>IFERROR(__xludf.DUMMYFUNCTION("split(split(K5764,""【"",false),""公式LINE"",false)"),"翔子の父・直也の死の真相をめぐって仲間割れしてしまうCPS。しかし、レディーキラーを前に、徐々にチームワークを取り戻していく。そして明らかになるレディーキラーの正体・・・。翔子は運命の敵・レディーキラーと戦うため、一人レディーキラーに会いに行く。翔子がたどり着いたレディーキラーのファンタジーとは？そして、父・直也の死の真相とは・・・？北川景子  木村多江  平岡祐太  要潤  小澤征悦  須藤理彩  ユースケ・サンタマリア  哀川翔  池田鉄洋  鶴見辰吾  (他)「無形スピリット」柴咲コウ  （NAYU"&amp;"TAWAVE RECORDS）")</f>
        <v>翔子の父・直也の死の真相をめぐって仲間割れしてしまうCPS。しかし、レディーキラーを前に、徐々にチームワークを取り戻していく。そして明らかになるレディーキラーの正体・・・。翔子は運命の敵・レディーキラーと戦うため、一人レディーキラーに会いに行く。翔子がたどり着いたレディーキラーのファンタジーとは？そして、父・直也の死の真相とは・・・？北川景子  木村多江  平岡祐太  要潤  小澤征悦  須藤理彩  ユースケ・サンタマリア  哀川翔  池田鉄洋  鶴見辰吾  (他)「無形スピリット」柴咲コウ  （NAYUTAWAVE RECORDS）</v>
      </c>
      <c r="N5764" s="2"/>
      <c r="O5764" s="2"/>
      <c r="P5764" s="1"/>
      <c r="Q5764" s="1"/>
      <c r="R5764" s="1"/>
      <c r="S5764" s="1"/>
      <c r="T5764" s="1"/>
      <c r="U5764" s="1"/>
      <c r="V5764" s="1"/>
      <c r="W5764" s="1"/>
      <c r="X5764" s="1"/>
      <c r="Y5764" s="1"/>
      <c r="Z5764" s="1"/>
      <c r="AA5764" s="1"/>
      <c r="AB5764" s="1"/>
      <c r="AC5764" s="1"/>
      <c r="AD5764" s="1"/>
      <c r="AE5764" s="1"/>
      <c r="AF5764" s="1"/>
      <c r="AG5764" s="1"/>
      <c r="AH5764" s="1"/>
      <c r="AI5764" s="1"/>
      <c r="AJ5764" s="1"/>
      <c r="AK5764" s="1"/>
      <c r="AL5764" s="1"/>
      <c r="AM5764" s="1"/>
      <c r="AN5764" s="1"/>
      <c r="AO5764" s="1"/>
      <c r="AP5764" s="1"/>
      <c r="AQ5764" s="1"/>
      <c r="AR5764" s="1"/>
      <c r="AS5764" s="1"/>
      <c r="AT5764" s="1"/>
      <c r="AU5764" s="1"/>
      <c r="AV5764" s="1"/>
      <c r="AW5764" s="1"/>
      <c r="AX5764" s="1"/>
      <c r="AY5764" s="1"/>
      <c r="AZ5764" s="1"/>
      <c r="BA5764" s="1"/>
      <c r="BB5764" s="1"/>
    </row>
    <row r="5765" ht="204.75" customHeight="1">
      <c r="A5765" s="1">
        <v>4532.0</v>
      </c>
      <c r="B5765" s="2" t="s">
        <v>15716</v>
      </c>
      <c r="C5765" s="2">
        <f>IFERROR(__xludf.DUMMYFUNCTION("split(B5765,""_"")"),1101.0)</f>
        <v>1101</v>
      </c>
      <c r="D5765" s="2" t="str">
        <f>IFERROR(__xludf.DUMMYFUNCTION("""COMPUTED_VALUE"""),"TBS")</f>
        <v>TBS</v>
      </c>
      <c r="E5765" s="2" t="str">
        <f>IFERROR(__xludf.DUMMYFUNCTION("""COMPUTED_VALUE"""),"日21")</f>
        <v>日21</v>
      </c>
      <c r="F5765" s="2" t="s">
        <v>15717</v>
      </c>
      <c r="G5765" s="2" t="s">
        <v>15718</v>
      </c>
      <c r="H5765" s="1">
        <v>1.0</v>
      </c>
      <c r="J5765" s="1" t="s">
        <v>4</v>
      </c>
      <c r="K5765" s="2" t="s">
        <v>15719</v>
      </c>
      <c r="L5765" s="2"/>
      <c r="M5765" s="2" t="str">
        <f>IFERROR(__xludf.DUMMYFUNCTION("split(split(K5765,""【"",false),""公式LINE"",false)"),"雪の降り積もる山形で、母親の介護をしながらガラス職人をしている男・稲葉祐（草ナギ剛）は、今まで一度も恋をしたことがなかった。雪の降り積もる山形に、一人旅に出た女・石川萌奈美（今井美樹）。彼女は""冬に咲くサクラ""を見るため旅をしていた。  母の介護だけがすべてだった男と、自分が誰かさえもわからなくなった女…静かに雪が降り積もる真っ白な世界で、運命の2人は出会った……。草ナギ剛   今井美樹   佐藤健   加藤ローサ   山崎樹範   でんでん   大島蓉子   白羽ゆり   吉田日出子   江波杏子 "&amp;"  高嶋政伸「愛してるって言えなくたって」山下達郎TBSテレビ  番組の内容と放送時間は変更になる場合があります。")</f>
        <v>雪の降り積もる山形で、母親の介護をしながらガラス職人をしている男・稲葉祐（草ナギ剛）は、今まで一度も恋をしたことがなかった。雪の降り積もる山形に、一人旅に出た女・石川萌奈美（今井美樹）。彼女は"冬に咲くサクラ"を見るため旅をしていた。  母の介護だけがすべてだった男と、自分が誰かさえもわからなくなった女…静かに雪が降り積もる真っ白な世界で、運命の2人は出会った……。草ナギ剛   今井美樹   佐藤健   加藤ローサ   山崎樹範   でんでん   大島蓉子   白羽ゆり   吉田日出子   江波杏子   高嶋政伸「愛してるって言えなくたって」山下達郎TBSテレビ  番組の内容と放送時間は変更になる場合があります。</v>
      </c>
      <c r="N5765" s="2"/>
      <c r="O5765" s="2"/>
      <c r="P5765" s="1"/>
      <c r="Q5765" s="1"/>
      <c r="R5765" s="1"/>
      <c r="S5765" s="1"/>
      <c r="T5765" s="1"/>
      <c r="U5765" s="1"/>
      <c r="V5765" s="1"/>
      <c r="W5765" s="1"/>
      <c r="X5765" s="1"/>
      <c r="Y5765" s="1"/>
      <c r="Z5765" s="1"/>
      <c r="AA5765" s="1"/>
      <c r="AB5765" s="1"/>
      <c r="AC5765" s="1"/>
      <c r="AD5765" s="1"/>
      <c r="AE5765" s="1"/>
      <c r="AF5765" s="1"/>
      <c r="AG5765" s="1"/>
      <c r="AH5765" s="1"/>
      <c r="AI5765" s="1"/>
      <c r="AJ5765" s="1"/>
      <c r="AK5765" s="1"/>
      <c r="AL5765" s="1"/>
      <c r="AM5765" s="1"/>
      <c r="AN5765" s="1"/>
      <c r="AO5765" s="1"/>
      <c r="AP5765" s="1"/>
      <c r="AQ5765" s="1"/>
      <c r="AR5765" s="1"/>
      <c r="AS5765" s="1"/>
      <c r="AT5765" s="1"/>
      <c r="AU5765" s="1"/>
      <c r="AV5765" s="1"/>
      <c r="AW5765" s="1"/>
      <c r="AX5765" s="1"/>
      <c r="AY5765" s="1"/>
      <c r="AZ5765" s="1"/>
      <c r="BA5765" s="1"/>
      <c r="BB5765" s="1"/>
    </row>
    <row r="5766" ht="204.75" customHeight="1">
      <c r="A5766" s="1">
        <v>4533.0</v>
      </c>
      <c r="B5766" s="2" t="s">
        <v>15716</v>
      </c>
      <c r="C5766" s="2">
        <f>IFERROR(__xludf.DUMMYFUNCTION("split(B5766,""_"")"),1101.0)</f>
        <v>1101</v>
      </c>
      <c r="D5766" s="2" t="str">
        <f>IFERROR(__xludf.DUMMYFUNCTION("""COMPUTED_VALUE"""),"TBS")</f>
        <v>TBS</v>
      </c>
      <c r="E5766" s="2" t="str">
        <f>IFERROR(__xludf.DUMMYFUNCTION("""COMPUTED_VALUE"""),"日21")</f>
        <v>日21</v>
      </c>
      <c r="F5766" s="2" t="s">
        <v>15717</v>
      </c>
      <c r="G5766" s="2" t="s">
        <v>15720</v>
      </c>
      <c r="H5766" s="1">
        <v>2.0</v>
      </c>
      <c r="J5766" s="1" t="s">
        <v>11</v>
      </c>
      <c r="K5766" s="2" t="s">
        <v>15721</v>
      </c>
      <c r="L5766" s="2"/>
      <c r="M5766" s="2" t="str">
        <f>IFERROR(__xludf.DUMMYFUNCTION("split(split(K5766,""【"",false),""公式LINE"",false)"),"萌奈美(今井美樹)の病状を知らされた祐(草ナギ剛)は、萌奈美に会って伝えたいという思いに駆られ、電話することに。だが、祐が会って欲しいと切り出すと…航一(高嶋政伸)の冷たい視線が気になり、すぐ電話を切ってしまった萌奈美。しかし祐は一刻も早く会って、病気のことを伝えたいという想いだけで東京に向かう…  一方記憶が戻った萌奈美は…姑・章子(江波杏子)の陰湿な言葉と、愛のない夫の態度に悩んでいた…草ナギ剛   今井美樹   佐藤健   加藤ローサ   山崎樹範   でんでん  大島蓉子   白羽ゆり  江波杏子"&amp;"   高嶋政伸「愛してるって言えなくたって」山下達郎TBSテレビ  番組の内容と放送時間は変更になる場合があります。")</f>
        <v>萌奈美(今井美樹)の病状を知らされた祐(草ナギ剛)は、萌奈美に会って伝えたいという思いに駆られ、電話することに。だが、祐が会って欲しいと切り出すと…航一(高嶋政伸)の冷たい視線が気になり、すぐ電話を切ってしまった萌奈美。しかし祐は一刻も早く会って、病気のことを伝えたいという想いだけで東京に向かう…  一方記憶が戻った萌奈美は…姑・章子(江波杏子)の陰湿な言葉と、愛のない夫の態度に悩んでいた…草ナギ剛   今井美樹   佐藤健   加藤ローサ   山崎樹範   でんでん  大島蓉子   白羽ゆり  江波杏子   高嶋政伸「愛してるって言えなくたって」山下達郎TBSテレビ  番組の内容と放送時間は変更になる場合があります。</v>
      </c>
      <c r="N5766" s="2"/>
      <c r="O5766" s="2"/>
      <c r="P5766" s="1"/>
      <c r="Q5766" s="1"/>
      <c r="R5766" s="1"/>
      <c r="S5766" s="1"/>
      <c r="T5766" s="1"/>
      <c r="U5766" s="1"/>
      <c r="V5766" s="1"/>
      <c r="W5766" s="1"/>
      <c r="X5766" s="1"/>
      <c r="Y5766" s="1"/>
      <c r="Z5766" s="1"/>
      <c r="AA5766" s="1"/>
      <c r="AB5766" s="1"/>
      <c r="AC5766" s="1"/>
      <c r="AD5766" s="1"/>
      <c r="AE5766" s="1"/>
      <c r="AF5766" s="1"/>
      <c r="AG5766" s="1"/>
      <c r="AH5766" s="1"/>
      <c r="AI5766" s="1"/>
      <c r="AJ5766" s="1"/>
      <c r="AK5766" s="1"/>
      <c r="AL5766" s="1"/>
      <c r="AM5766" s="1"/>
      <c r="AN5766" s="1"/>
      <c r="AO5766" s="1"/>
      <c r="AP5766" s="1"/>
      <c r="AQ5766" s="1"/>
      <c r="AR5766" s="1"/>
      <c r="AS5766" s="1"/>
      <c r="AT5766" s="1"/>
      <c r="AU5766" s="1"/>
      <c r="AV5766" s="1"/>
      <c r="AW5766" s="1"/>
      <c r="AX5766" s="1"/>
      <c r="AY5766" s="1"/>
      <c r="AZ5766" s="1"/>
      <c r="BA5766" s="1"/>
      <c r="BB5766" s="1"/>
    </row>
    <row r="5767" ht="204.75" customHeight="1">
      <c r="A5767" s="1">
        <v>4534.0</v>
      </c>
      <c r="B5767" s="2" t="s">
        <v>15716</v>
      </c>
      <c r="C5767" s="2">
        <f>IFERROR(__xludf.DUMMYFUNCTION("split(B5767,""_"")"),1101.0)</f>
        <v>1101</v>
      </c>
      <c r="D5767" s="2" t="str">
        <f>IFERROR(__xludf.DUMMYFUNCTION("""COMPUTED_VALUE"""),"TBS")</f>
        <v>TBS</v>
      </c>
      <c r="E5767" s="2" t="str">
        <f>IFERROR(__xludf.DUMMYFUNCTION("""COMPUTED_VALUE"""),"日21")</f>
        <v>日21</v>
      </c>
      <c r="F5767" s="2" t="s">
        <v>15717</v>
      </c>
      <c r="G5767" s="2" t="s">
        <v>15722</v>
      </c>
      <c r="H5767" s="1">
        <v>3.0</v>
      </c>
      <c r="J5767" s="1" t="s">
        <v>11</v>
      </c>
      <c r="K5767" s="2" t="s">
        <v>15723</v>
      </c>
      <c r="L5767" s="2"/>
      <c r="M5767" s="2" t="str">
        <f>IFERROR(__xludf.DUMMYFUNCTION("split(split(K5767,""【"",false),""公式LINE"",false)"),"山形に帰り、普段の生活に戻ろうとした祐(草ナギ剛)だが、どうしても萌奈美(今井美樹)のことが頭から離れず仕事も手につかない状態だった。東京の家族のもとで、日常の生活を取り戻そうとしている萌奈美は、病気のことを夫・航一(高嶋政伸)に話そうとしても忙しさを理由に取り合ってももらえず、孤独感に苛まれていた。一方、萌奈美の行動が腑に落ちないでいた航一は、山形での萌奈美の行動を調べ始める…草ナギ剛  今井美樹  佐藤健  加藤ローサ  山崎樹範  でんでん  大島蓉子  白羽ゆり  吉田日出子  江波杏子  高嶋政"&amp;"伸「愛してるって言えなくたって」山下達郎TBSテレビ  http://www.tbs.co.jp/fuyuno-sakura/  番組の内容と放送時間は変更になる場合があります。")</f>
        <v>山形に帰り、普段の生活に戻ろうとした祐(草ナギ剛)だが、どうしても萌奈美(今井美樹)のことが頭から離れず仕事も手につかない状態だった。東京の家族のもとで、日常の生活を取り戻そうとしている萌奈美は、病気のことを夫・航一(高嶋政伸)に話そうとしても忙しさを理由に取り合ってももらえず、孤独感に苛まれていた。一方、萌奈美の行動が腑に落ちないでいた航一は、山形での萌奈美の行動を調べ始める…草ナギ剛  今井美樹  佐藤健  加藤ローサ  山崎樹範  でんでん  大島蓉子  白羽ゆり  吉田日出子  江波杏子  高嶋政伸「愛してるって言えなくたって」山下達郎TBSテレビ  http://www.tbs.co.jp/fuyuno-sakura/  番組の内容と放送時間は変更になる場合があります。</v>
      </c>
      <c r="N5767" s="2"/>
      <c r="O5767" s="2"/>
      <c r="P5767" s="1"/>
      <c r="Q5767" s="1"/>
      <c r="R5767" s="1"/>
      <c r="S5767" s="1"/>
      <c r="T5767" s="1"/>
      <c r="U5767" s="1"/>
      <c r="V5767" s="1"/>
      <c r="W5767" s="1"/>
      <c r="X5767" s="1"/>
      <c r="Y5767" s="1"/>
      <c r="Z5767" s="1"/>
      <c r="AA5767" s="1"/>
      <c r="AB5767" s="1"/>
      <c r="AC5767" s="1"/>
      <c r="AD5767" s="1"/>
      <c r="AE5767" s="1"/>
      <c r="AF5767" s="1"/>
      <c r="AG5767" s="1"/>
      <c r="AH5767" s="1"/>
      <c r="AI5767" s="1"/>
      <c r="AJ5767" s="1"/>
      <c r="AK5767" s="1"/>
      <c r="AL5767" s="1"/>
      <c r="AM5767" s="1"/>
      <c r="AN5767" s="1"/>
      <c r="AO5767" s="1"/>
      <c r="AP5767" s="1"/>
      <c r="AQ5767" s="1"/>
      <c r="AR5767" s="1"/>
      <c r="AS5767" s="1"/>
      <c r="AT5767" s="1"/>
      <c r="AU5767" s="1"/>
      <c r="AV5767" s="1"/>
      <c r="AW5767" s="1"/>
      <c r="AX5767" s="1"/>
      <c r="AY5767" s="1"/>
      <c r="AZ5767" s="1"/>
      <c r="BA5767" s="1"/>
      <c r="BB5767" s="1"/>
    </row>
    <row r="5768" ht="204.75" customHeight="1">
      <c r="A5768" s="1">
        <v>4535.0</v>
      </c>
      <c r="B5768" s="2" t="s">
        <v>15716</v>
      </c>
      <c r="C5768" s="2">
        <f>IFERROR(__xludf.DUMMYFUNCTION("split(B5768,""_"")"),1101.0)</f>
        <v>1101</v>
      </c>
      <c r="D5768" s="2" t="str">
        <f>IFERROR(__xludf.DUMMYFUNCTION("""COMPUTED_VALUE"""),"TBS")</f>
        <v>TBS</v>
      </c>
      <c r="E5768" s="2" t="str">
        <f>IFERROR(__xludf.DUMMYFUNCTION("""COMPUTED_VALUE"""),"日21")</f>
        <v>日21</v>
      </c>
      <c r="F5768" s="2" t="s">
        <v>15717</v>
      </c>
      <c r="G5768" s="2" t="s">
        <v>15724</v>
      </c>
      <c r="H5768" s="1">
        <v>4.0</v>
      </c>
      <c r="J5768" s="1" t="s">
        <v>11</v>
      </c>
      <c r="K5768" s="2" t="s">
        <v>15725</v>
      </c>
      <c r="L5768" s="2"/>
      <c r="M5768" s="2" t="str">
        <f>IFERROR(__xludf.DUMMYFUNCTION("split(split(K5768,""【"",false),""公式LINE"",false)"),"手術を受けるべきかどうか悩む萌奈美(今井美樹)は、残りの人生を自分自身の手で選び取ることを決心する。一方で、祐(草ナギ剛)は萌奈美のために上京することを決めていた。そんな時、萌奈美は、航一(高嶋政伸)と理恵(白羽ゆり)の策略で、単身山形に行く羽目になる。そして、偶然にも祐と再会するが、そこに突然航一が姿を現す… 。草ナギ剛  今井美樹  佐藤健  加藤ローサ  山崎樹範  でんでん  大島蓉子  白羽ゆり  遊井亮子  江波杏子  高嶋政伸「愛してるって言えなくたって」山下達郎TBSテレビ  番組の内容と"&amp;"放送時間は変更になる場合があります。吉田健")</f>
        <v>手術を受けるべきかどうか悩む萌奈美(今井美樹)は、残りの人生を自分自身の手で選び取ることを決心する。一方で、祐(草ナギ剛)は萌奈美のために上京することを決めていた。そんな時、萌奈美は、航一(高嶋政伸)と理恵(白羽ゆり)の策略で、単身山形に行く羽目になる。そして、偶然にも祐と再会するが、そこに突然航一が姿を現す… 。草ナギ剛  今井美樹  佐藤健  加藤ローサ  山崎樹範  でんでん  大島蓉子  白羽ゆり  遊井亮子  江波杏子  高嶋政伸「愛してるって言えなくたって」山下達郎TBSテレビ  番組の内容と放送時間は変更になる場合があります。吉田健</v>
      </c>
      <c r="N5768" s="2"/>
      <c r="O5768" s="2"/>
      <c r="P5768" s="1"/>
      <c r="Q5768" s="1"/>
      <c r="R5768" s="1"/>
      <c r="S5768" s="1"/>
      <c r="T5768" s="1"/>
      <c r="U5768" s="1"/>
      <c r="V5768" s="1"/>
      <c r="W5768" s="1"/>
      <c r="X5768" s="1"/>
      <c r="Y5768" s="1"/>
      <c r="Z5768" s="1"/>
      <c r="AA5768" s="1"/>
      <c r="AB5768" s="1"/>
      <c r="AC5768" s="1"/>
      <c r="AD5768" s="1"/>
      <c r="AE5768" s="1"/>
      <c r="AF5768" s="1"/>
      <c r="AG5768" s="1"/>
      <c r="AH5768" s="1"/>
      <c r="AI5768" s="1"/>
      <c r="AJ5768" s="1"/>
      <c r="AK5768" s="1"/>
      <c r="AL5768" s="1"/>
      <c r="AM5768" s="1"/>
      <c r="AN5768" s="1"/>
      <c r="AO5768" s="1"/>
      <c r="AP5768" s="1"/>
      <c r="AQ5768" s="1"/>
      <c r="AR5768" s="1"/>
      <c r="AS5768" s="1"/>
      <c r="AT5768" s="1"/>
      <c r="AU5768" s="1"/>
      <c r="AV5768" s="1"/>
      <c r="AW5768" s="1"/>
      <c r="AX5768" s="1"/>
      <c r="AY5768" s="1"/>
      <c r="AZ5768" s="1"/>
      <c r="BA5768" s="1"/>
      <c r="BB5768" s="1"/>
    </row>
    <row r="5769" ht="204.75" customHeight="1">
      <c r="A5769" s="1">
        <v>4536.0</v>
      </c>
      <c r="B5769" s="2" t="s">
        <v>15716</v>
      </c>
      <c r="C5769" s="2">
        <f>IFERROR(__xludf.DUMMYFUNCTION("split(B5769,""_"")"),1101.0)</f>
        <v>1101</v>
      </c>
      <c r="D5769" s="2" t="str">
        <f>IFERROR(__xludf.DUMMYFUNCTION("""COMPUTED_VALUE"""),"TBS")</f>
        <v>TBS</v>
      </c>
      <c r="E5769" s="2" t="str">
        <f>IFERROR(__xludf.DUMMYFUNCTION("""COMPUTED_VALUE"""),"日21")</f>
        <v>日21</v>
      </c>
      <c r="F5769" s="2" t="s">
        <v>15717</v>
      </c>
      <c r="G5769" s="2" t="s">
        <v>15726</v>
      </c>
      <c r="H5769" s="1">
        <v>5.0</v>
      </c>
      <c r="J5769" s="1" t="s">
        <v>11</v>
      </c>
      <c r="K5769" s="2" t="s">
        <v>15727</v>
      </c>
      <c r="L5769" s="2"/>
      <c r="M5769" s="2" t="str">
        <f>IFERROR(__xludf.DUMMYFUNCTION("split(split(K5769,""【"",false),""公式LINE"",false)"),"草ナギ剛   今井美樹   佐藤健   加藤ローサ   山崎樹範   でんでん   大島蓉子   白羽ゆり   吉田日出子   江波杏子   高嶋政伸「大切なもののために生きたい」と、萌奈美(今井美樹)のそばで支えになるために上京を決意した祐(草ナギ剛)。祐を心配する肇(佐藤健)は、祐を自分のアパートに迎え入れることにする。一方、夫の病院（石川病院）へ検査に来なかったことを責められた萌奈美は、最後くらいは後悔しないよう、自分のことは自分で決めると、航一(高嶋政伸)に断言するが、航一は「妻としても娘の母親と"&amp;"しても君は絶対に必要なんだ」といい、自分が必ず助けると萌奈美を説得する。脳外科の名医でもある航一の言葉に、一度決めた決心が揺さぶられる萌奈美…。後日、航一は祐の元を訪れると「萌奈美を助けたいなら」と、祐にある交換条件を提示してきた。そんなある日、萌奈美が「会いたい」と祐を呼び出す。手術を受けるか受けまいか、迷っている心情を打ち明ける萌奈美の言葉に、やりきれない想いで聞くことしかできない祐。と、そのとき、また萌奈美の容態が悪くなり……。「愛してるって言えなくたって」山下達郎TBSテレビ  番組の内容と放送時"&amp;"間は変更になる場合があります。")</f>
        <v>草ナギ剛   今井美樹   佐藤健   加藤ローサ   山崎樹範   でんでん   大島蓉子   白羽ゆり   吉田日出子   江波杏子   高嶋政伸「大切なもののために生きたい」と、萌奈美(今井美樹)のそばで支えになるために上京を決意した祐(草ナギ剛)。祐を心配する肇(佐藤健)は、祐を自分のアパートに迎え入れることにする。一方、夫の病院（石川病院）へ検査に来なかったことを責められた萌奈美は、最後くらいは後悔しないよう、自分のことは自分で決めると、航一(高嶋政伸)に断言するが、航一は「妻としても娘の母親としても君は絶対に必要なんだ」といい、自分が必ず助けると萌奈美を説得する。脳外科の名医でもある航一の言葉に、一度決めた決心が揺さぶられる萌奈美…。後日、航一は祐の元を訪れると「萌奈美を助けたいなら」と、祐にある交換条件を提示してきた。そんなある日、萌奈美が「会いたい」と祐を呼び出す。手術を受けるか受けまいか、迷っている心情を打ち明ける萌奈美の言葉に、やりきれない想いで聞くことしかできない祐。と、そのとき、また萌奈美の容態が悪くなり……。「愛してるって言えなくたって」山下達郎TBSテレビ  番組の内容と放送時間は変更になる場合があります。</v>
      </c>
      <c r="N5769" s="2"/>
      <c r="O5769" s="2"/>
      <c r="P5769" s="1"/>
      <c r="Q5769" s="1"/>
      <c r="R5769" s="1"/>
      <c r="S5769" s="1"/>
      <c r="T5769" s="1"/>
      <c r="U5769" s="1"/>
      <c r="V5769" s="1"/>
      <c r="W5769" s="1"/>
      <c r="X5769" s="1"/>
      <c r="Y5769" s="1"/>
      <c r="Z5769" s="1"/>
      <c r="AA5769" s="1"/>
      <c r="AB5769" s="1"/>
      <c r="AC5769" s="1"/>
      <c r="AD5769" s="1"/>
      <c r="AE5769" s="1"/>
      <c r="AF5769" s="1"/>
      <c r="AG5769" s="1"/>
      <c r="AH5769" s="1"/>
      <c r="AI5769" s="1"/>
      <c r="AJ5769" s="1"/>
      <c r="AK5769" s="1"/>
      <c r="AL5769" s="1"/>
      <c r="AM5769" s="1"/>
      <c r="AN5769" s="1"/>
      <c r="AO5769" s="1"/>
      <c r="AP5769" s="1"/>
      <c r="AQ5769" s="1"/>
      <c r="AR5769" s="1"/>
      <c r="AS5769" s="1"/>
      <c r="AT5769" s="1"/>
      <c r="AU5769" s="1"/>
      <c r="AV5769" s="1"/>
      <c r="AW5769" s="1"/>
      <c r="AX5769" s="1"/>
      <c r="AY5769" s="1"/>
      <c r="AZ5769" s="1"/>
      <c r="BA5769" s="1"/>
      <c r="BB5769" s="1"/>
    </row>
    <row r="5770" ht="204.75" customHeight="1">
      <c r="A5770" s="1">
        <v>4537.0</v>
      </c>
      <c r="B5770" s="2" t="s">
        <v>15716</v>
      </c>
      <c r="C5770" s="2">
        <f>IFERROR(__xludf.DUMMYFUNCTION("split(B5770,""_"")"),1101.0)</f>
        <v>1101</v>
      </c>
      <c r="D5770" s="2" t="str">
        <f>IFERROR(__xludf.DUMMYFUNCTION("""COMPUTED_VALUE"""),"TBS")</f>
        <v>TBS</v>
      </c>
      <c r="E5770" s="2" t="str">
        <f>IFERROR(__xludf.DUMMYFUNCTION("""COMPUTED_VALUE"""),"日21")</f>
        <v>日21</v>
      </c>
      <c r="F5770" s="2" t="s">
        <v>15717</v>
      </c>
      <c r="G5770" s="2" t="s">
        <v>15728</v>
      </c>
      <c r="H5770" s="1">
        <v>6.0</v>
      </c>
      <c r="J5770" s="1" t="s">
        <v>11</v>
      </c>
      <c r="K5770" s="2" t="s">
        <v>15729</v>
      </c>
      <c r="L5770" s="2"/>
      <c r="M5770" s="2" t="str">
        <f>IFERROR(__xludf.DUMMYFUNCTION("split(split(K5770,""【"",false),""公式LINE"",false)"),"萌奈美の気持ちを考え、二度と会わないことを条件に手術をしてもらえるよう航一に頼んだ祐。だが、手術をしても記憶を失うリスクは低いと言った航一の言葉はウソだった。  祐は、萌奈美の気持ちを想うがあまり航一の元へ向うが、そこで思いもかけない行動に   。手術をすれば全て解決すると不気味な笑みをを浮かべる航一…。  そして、祐の存在が、航一の家族も祐の弟も全てを不幸にしていると追い詰める。草ナギ剛   今井美樹   佐藤健   加藤ローサ   山崎樹範   でんでん   大島蓉子   白羽ゆり   吉田日出子  "&amp;" 江波杏子   高嶋政伸「愛してるって言えなくたって」山下達郎TBSテレビ  番組の内容と放送時間は変更になる場合があります。")</f>
        <v>萌奈美の気持ちを考え、二度と会わないことを条件に手術をしてもらえるよう航一に頼んだ祐。だが、手術をしても記憶を失うリスクは低いと言った航一の言葉はウソだった。  祐は、萌奈美の気持ちを想うがあまり航一の元へ向うが、そこで思いもかけない行動に   。手術をすれば全て解決すると不気味な笑みをを浮かべる航一…。  そして、祐の存在が、航一の家族も祐の弟も全てを不幸にしていると追い詰める。草ナギ剛   今井美樹   佐藤健   加藤ローサ   山崎樹範   でんでん   大島蓉子   白羽ゆり   吉田日出子   江波杏子   高嶋政伸「愛してるって言えなくたって」山下達郎TBSテレビ  番組の内容と放送時間は変更になる場合があります。</v>
      </c>
      <c r="N5770" s="2"/>
      <c r="O5770" s="2"/>
      <c r="P5770" s="1"/>
      <c r="Q5770" s="1"/>
      <c r="R5770" s="1"/>
      <c r="S5770" s="1"/>
      <c r="T5770" s="1"/>
      <c r="U5770" s="1"/>
      <c r="V5770" s="1"/>
      <c r="W5770" s="1"/>
      <c r="X5770" s="1"/>
      <c r="Y5770" s="1"/>
      <c r="Z5770" s="1"/>
      <c r="AA5770" s="1"/>
      <c r="AB5770" s="1"/>
      <c r="AC5770" s="1"/>
      <c r="AD5770" s="1"/>
      <c r="AE5770" s="1"/>
      <c r="AF5770" s="1"/>
      <c r="AG5770" s="1"/>
      <c r="AH5770" s="1"/>
      <c r="AI5770" s="1"/>
      <c r="AJ5770" s="1"/>
      <c r="AK5770" s="1"/>
      <c r="AL5770" s="1"/>
      <c r="AM5770" s="1"/>
      <c r="AN5770" s="1"/>
      <c r="AO5770" s="1"/>
      <c r="AP5770" s="1"/>
      <c r="AQ5770" s="1"/>
      <c r="AR5770" s="1"/>
      <c r="AS5770" s="1"/>
      <c r="AT5770" s="1"/>
      <c r="AU5770" s="1"/>
      <c r="AV5770" s="1"/>
      <c r="AW5770" s="1"/>
      <c r="AX5770" s="1"/>
      <c r="AY5770" s="1"/>
      <c r="AZ5770" s="1"/>
      <c r="BA5770" s="1"/>
      <c r="BB5770" s="1"/>
    </row>
    <row r="5771" ht="204.75" customHeight="1">
      <c r="A5771" s="1">
        <v>4538.0</v>
      </c>
      <c r="B5771" s="2" t="s">
        <v>15716</v>
      </c>
      <c r="C5771" s="2">
        <f>IFERROR(__xludf.DUMMYFUNCTION("split(B5771,""_"")"),1101.0)</f>
        <v>1101</v>
      </c>
      <c r="D5771" s="2" t="str">
        <f>IFERROR(__xludf.DUMMYFUNCTION("""COMPUTED_VALUE"""),"TBS")</f>
        <v>TBS</v>
      </c>
      <c r="E5771" s="2" t="str">
        <f>IFERROR(__xludf.DUMMYFUNCTION("""COMPUTED_VALUE"""),"日21")</f>
        <v>日21</v>
      </c>
      <c r="F5771" s="2" t="s">
        <v>15717</v>
      </c>
      <c r="G5771" s="2" t="s">
        <v>15730</v>
      </c>
      <c r="H5771" s="1">
        <v>7.0</v>
      </c>
      <c r="J5771" s="1" t="s">
        <v>11</v>
      </c>
      <c r="K5771" s="2" t="s">
        <v>15731</v>
      </c>
      <c r="L5771" s="2"/>
      <c r="M5771" s="2" t="str">
        <f>IFERROR(__xludf.DUMMYFUNCTION("split(split(K5771,""【"",false),""公式LINE"",false)"),"萌奈美に残された時間は、刻一刻と減ってきている。母として娘に思いを伝えたい、ただそれだけで書き始めたレシピノート。母の気持ちを、娘の琴音に伝えることが出来るのか。そして、祐と一緒に自分の元を去った萌奈美を許せない航一は、苛立ちを押さえられなくなっていた。人前でも取り繕えなくなっている航一に、周囲は唖然とする。草ナギ剛   今井美樹   佐藤健   加藤ローサ   山崎樹範   でんでん   大島蓉子   白羽ゆり   吉田日出子   江波杏子   高嶋政伸「愛してるって言えなくたって」山下達郎TBSテレビ"&amp;"  番組の内容と放送時間は変更になる場合があります。")</f>
        <v>萌奈美に残された時間は、刻一刻と減ってきている。母として娘に思いを伝えたい、ただそれだけで書き始めたレシピノート。母の気持ちを、娘の琴音に伝えることが出来るのか。そして、祐と一緒に自分の元を去った萌奈美を許せない航一は、苛立ちを押さえられなくなっていた。人前でも取り繕えなくなっている航一に、周囲は唖然とする。草ナギ剛   今井美樹   佐藤健   加藤ローサ   山崎樹範   でんでん   大島蓉子   白羽ゆり   吉田日出子   江波杏子   高嶋政伸「愛してるって言えなくたって」山下達郎TBSテレビ  番組の内容と放送時間は変更になる場合があります。</v>
      </c>
      <c r="N5771" s="2"/>
      <c r="O5771" s="2"/>
      <c r="P5771" s="1"/>
      <c r="Q5771" s="1"/>
      <c r="R5771" s="1"/>
      <c r="S5771" s="1"/>
      <c r="T5771" s="1"/>
      <c r="U5771" s="1"/>
      <c r="V5771" s="1"/>
      <c r="W5771" s="1"/>
      <c r="X5771" s="1"/>
      <c r="Y5771" s="1"/>
      <c r="Z5771" s="1"/>
      <c r="AA5771" s="1"/>
      <c r="AB5771" s="1"/>
      <c r="AC5771" s="1"/>
      <c r="AD5771" s="1"/>
      <c r="AE5771" s="1"/>
      <c r="AF5771" s="1"/>
      <c r="AG5771" s="1"/>
      <c r="AH5771" s="1"/>
      <c r="AI5771" s="1"/>
      <c r="AJ5771" s="1"/>
      <c r="AK5771" s="1"/>
      <c r="AL5771" s="1"/>
      <c r="AM5771" s="1"/>
      <c r="AN5771" s="1"/>
      <c r="AO5771" s="1"/>
      <c r="AP5771" s="1"/>
      <c r="AQ5771" s="1"/>
      <c r="AR5771" s="1"/>
      <c r="AS5771" s="1"/>
      <c r="AT5771" s="1"/>
      <c r="AU5771" s="1"/>
      <c r="AV5771" s="1"/>
      <c r="AW5771" s="1"/>
      <c r="AX5771" s="1"/>
      <c r="AY5771" s="1"/>
      <c r="AZ5771" s="1"/>
      <c r="BA5771" s="1"/>
      <c r="BB5771" s="1"/>
    </row>
    <row r="5772" ht="204.75" customHeight="1">
      <c r="A5772" s="1">
        <v>4539.0</v>
      </c>
      <c r="B5772" s="2" t="s">
        <v>15716</v>
      </c>
      <c r="C5772" s="2">
        <f>IFERROR(__xludf.DUMMYFUNCTION("split(B5772,""_"")"),1101.0)</f>
        <v>1101</v>
      </c>
      <c r="D5772" s="2" t="str">
        <f>IFERROR(__xludf.DUMMYFUNCTION("""COMPUTED_VALUE"""),"TBS")</f>
        <v>TBS</v>
      </c>
      <c r="E5772" s="2" t="str">
        <f>IFERROR(__xludf.DUMMYFUNCTION("""COMPUTED_VALUE"""),"日21")</f>
        <v>日21</v>
      </c>
      <c r="F5772" s="2" t="s">
        <v>15717</v>
      </c>
      <c r="G5772" s="2" t="s">
        <v>15732</v>
      </c>
      <c r="H5772" s="1">
        <v>8.0</v>
      </c>
      <c r="J5772" s="1" t="s">
        <v>11</v>
      </c>
      <c r="K5772" s="2" t="s">
        <v>15733</v>
      </c>
      <c r="L5772" s="2"/>
      <c r="M5772" s="2" t="str">
        <f>IFERROR(__xludf.DUMMYFUNCTION("split(split(K5772,""【"",false),""公式LINE"",false)"),"山形で祐(草ナギ剛 )と再会した萌奈美(今井美樹)は、琴音(森迫永依)の理解もあり、山形の病院で治療を受けることになった。「ママはここに入院するんだよ」という琴音の言葉と、萌奈美の強い意志に圧された航一(高嶋政伸)は、琴音とともに東京へと引き返した。  一安心する萌奈美だが、病状はさらに進んでいて、やりたい事があれば今のうちにしておくよう、担当医から伝えられる。草ナギ剛  今井美樹  佐藤健  加藤ローサ  山崎樹範  でんでん  大島蓉子  白羽ゆり  吉田日出子  江波杏子  高嶋政伸「愛してるって言"&amp;"えなくたって」山下達郎TBSテレビ  番組の内容と放送時間は変更になる場合があります。")</f>
        <v>山形で祐(草ナギ剛 )と再会した萌奈美(今井美樹)は、琴音(森迫永依)の理解もあり、山形の病院で治療を受けることになった。「ママはここに入院するんだよ」という琴音の言葉と、萌奈美の強い意志に圧された航一(高嶋政伸)は、琴音とともに東京へと引き返した。  一安心する萌奈美だが、病状はさらに進んでいて、やりたい事があれば今のうちにしておくよう、担当医から伝えられる。草ナギ剛  今井美樹  佐藤健  加藤ローサ  山崎樹範  でんでん  大島蓉子  白羽ゆり  吉田日出子  江波杏子  高嶋政伸「愛してるって言えなくたって」山下達郎TBSテレビ  番組の内容と放送時間は変更になる場合があります。</v>
      </c>
      <c r="N5772" s="2"/>
      <c r="O5772" s="2"/>
      <c r="P5772" s="1"/>
      <c r="Q5772" s="1"/>
      <c r="R5772" s="1"/>
      <c r="S5772" s="1"/>
      <c r="T5772" s="1"/>
      <c r="U5772" s="1"/>
      <c r="V5772" s="1"/>
      <c r="W5772" s="1"/>
      <c r="X5772" s="1"/>
      <c r="Y5772" s="1"/>
      <c r="Z5772" s="1"/>
      <c r="AA5772" s="1"/>
      <c r="AB5772" s="1"/>
      <c r="AC5772" s="1"/>
      <c r="AD5772" s="1"/>
      <c r="AE5772" s="1"/>
      <c r="AF5772" s="1"/>
      <c r="AG5772" s="1"/>
      <c r="AH5772" s="1"/>
      <c r="AI5772" s="1"/>
      <c r="AJ5772" s="1"/>
      <c r="AK5772" s="1"/>
      <c r="AL5772" s="1"/>
      <c r="AM5772" s="1"/>
      <c r="AN5772" s="1"/>
      <c r="AO5772" s="1"/>
      <c r="AP5772" s="1"/>
      <c r="AQ5772" s="1"/>
      <c r="AR5772" s="1"/>
      <c r="AS5772" s="1"/>
      <c r="AT5772" s="1"/>
      <c r="AU5772" s="1"/>
      <c r="AV5772" s="1"/>
      <c r="AW5772" s="1"/>
      <c r="AX5772" s="1"/>
      <c r="AY5772" s="1"/>
      <c r="AZ5772" s="1"/>
      <c r="BA5772" s="1"/>
      <c r="BB5772" s="1"/>
    </row>
    <row r="5773" ht="204.75" customHeight="1">
      <c r="A5773" s="1">
        <v>4540.0</v>
      </c>
      <c r="B5773" s="2" t="s">
        <v>15716</v>
      </c>
      <c r="C5773" s="2">
        <f>IFERROR(__xludf.DUMMYFUNCTION("split(B5773,""_"")"),1101.0)</f>
        <v>1101</v>
      </c>
      <c r="D5773" s="2" t="str">
        <f>IFERROR(__xludf.DUMMYFUNCTION("""COMPUTED_VALUE"""),"TBS")</f>
        <v>TBS</v>
      </c>
      <c r="E5773" s="2" t="str">
        <f>IFERROR(__xludf.DUMMYFUNCTION("""COMPUTED_VALUE"""),"日21")</f>
        <v>日21</v>
      </c>
      <c r="F5773" s="2" t="s">
        <v>15717</v>
      </c>
      <c r="G5773" s="2" t="s">
        <v>15734</v>
      </c>
      <c r="H5773" s="1">
        <v>9.0</v>
      </c>
      <c r="J5773" s="1" t="s">
        <v>1647</v>
      </c>
      <c r="K5773" s="2" t="s">
        <v>15735</v>
      </c>
      <c r="L5773" s="2"/>
      <c r="M5773" s="2" t="str">
        <f>IFERROR(__xludf.DUMMYFUNCTION("split(split(K5773,""【"",false),""公式LINE"",false)"),"草ナギ剛   今井美樹   佐藤健   加藤ローサ   山崎樹範   でんでん   大島蓉子   白羽ゆり   江波杏子   高嶋政伸萌奈美(今井美樹)の意識がやっと戻り安堵する祐(草ナギ剛)だったが、担当医より、春を迎えるのは難しいと告げられる。あとは、萌奈美に生きる希望を持たせること……。肇(佐藤健)からも「兄ちゃんなら何か見つけられる」と励まされ、祐は萌奈美のために自分が出来ることを探し始める。そんなある日、東京から義母の章子(江波杏子)と琴音(森迫永依)が見舞いに訪れた。章子は、航一(高嶋政伸)が"&amp;"してきたことを謝罪し、これこれからは出来る限りのことをすると約束してくれた。だが、言葉の意味を理解できなくなる「失語症」の症状が出てきている萌奈美は、琴音に病状を知られるのが怖くて電話も出来なくなっていると章子に漏らす。「愛してるって言えなくたって」山下達郎TBSテレビ  番組の内容と放送時間は変更になる場合があります。")</f>
        <v>草ナギ剛   今井美樹   佐藤健   加藤ローサ   山崎樹範   でんでん   大島蓉子   白羽ゆり   江波杏子   高嶋政伸萌奈美(今井美樹)の意識がやっと戻り安堵する祐(草ナギ剛)だったが、担当医より、春を迎えるのは難しいと告げられる。あとは、萌奈美に生きる希望を持たせること……。肇(佐藤健)からも「兄ちゃんなら何か見つけられる」と励まされ、祐は萌奈美のために自分が出来ることを探し始める。そんなある日、東京から義母の章子(江波杏子)と琴音(森迫永依)が見舞いに訪れた。章子は、航一(高嶋政伸)がしてきたことを謝罪し、これこれからは出来る限りのことをすると約束してくれた。だが、言葉の意味を理解できなくなる「失語症」の症状が出てきている萌奈美は、琴音に病状を知られるのが怖くて電話も出来なくなっていると章子に漏らす。「愛してるって言えなくたって」山下達郎TBSテレビ  番組の内容と放送時間は変更になる場合があります。</v>
      </c>
      <c r="N5773" s="2"/>
      <c r="O5773" s="2"/>
      <c r="P5773" s="1"/>
      <c r="Q5773" s="1"/>
      <c r="R5773" s="1"/>
      <c r="S5773" s="1"/>
      <c r="T5773" s="1"/>
      <c r="U5773" s="1"/>
      <c r="V5773" s="1"/>
      <c r="W5773" s="1"/>
      <c r="X5773" s="1"/>
      <c r="Y5773" s="1"/>
      <c r="Z5773" s="1"/>
      <c r="AA5773" s="1"/>
      <c r="AB5773" s="1"/>
      <c r="AC5773" s="1"/>
      <c r="AD5773" s="1"/>
      <c r="AE5773" s="1"/>
      <c r="AF5773" s="1"/>
      <c r="AG5773" s="1"/>
      <c r="AH5773" s="1"/>
      <c r="AI5773" s="1"/>
      <c r="AJ5773" s="1"/>
      <c r="AK5773" s="1"/>
      <c r="AL5773" s="1"/>
      <c r="AM5773" s="1"/>
      <c r="AN5773" s="1"/>
      <c r="AO5773" s="1"/>
      <c r="AP5773" s="1"/>
      <c r="AQ5773" s="1"/>
      <c r="AR5773" s="1"/>
      <c r="AS5773" s="1"/>
      <c r="AT5773" s="1"/>
      <c r="AU5773" s="1"/>
      <c r="AV5773" s="1"/>
      <c r="AW5773" s="1"/>
      <c r="AX5773" s="1"/>
      <c r="AY5773" s="1"/>
      <c r="AZ5773" s="1"/>
      <c r="BA5773" s="1"/>
      <c r="BB5773" s="1"/>
    </row>
    <row r="5774" ht="204.75" customHeight="1">
      <c r="A5774" s="1">
        <v>4610.0</v>
      </c>
      <c r="B5774" s="2" t="s">
        <v>15736</v>
      </c>
      <c r="C5774" s="2">
        <f>IFERROR(__xludf.DUMMYFUNCTION("split(B5774,""_"")"),1010.0)</f>
        <v>1010</v>
      </c>
      <c r="D5774" s="2" t="str">
        <f>IFERROR(__xludf.DUMMYFUNCTION("""COMPUTED_VALUE"""),"TBS")</f>
        <v>TBS</v>
      </c>
      <c r="E5774" s="2" t="str">
        <f>IFERROR(__xludf.DUMMYFUNCTION("""COMPUTED_VALUE"""),"金22")</f>
        <v>金22</v>
      </c>
      <c r="F5774" s="2" t="s">
        <v>15737</v>
      </c>
      <c r="G5774" s="2" t="s">
        <v>15738</v>
      </c>
      <c r="H5774" s="1">
        <v>1.0</v>
      </c>
      <c r="J5774" s="1" t="s">
        <v>82</v>
      </c>
      <c r="K5774" s="2" t="s">
        <v>15739</v>
      </c>
      <c r="L5774" s="2"/>
      <c r="M5774" s="2" t="str">
        <f>IFERROR(__xludf.DUMMYFUNCTION("split(split(K5774,""【"",false),""公式LINE"",false)"),"第一話（甲の回）　絶対にあたる預言者と噂の占い師、冷泉俊明が、IT企業社長の五木谷春樹が毒殺されると預言。未詳の当麻と瀬文は、この殺人事件を阻止できるか。当麻紗綾（とうまさや)…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津田助広(つだすけひろ)…椎名桔"&amp;"平（特別出演）  野々村光太郎（ののむらこうたろう）…竜雷太    ")</f>
        <v>第一話（甲の回）　絶対にあたる預言者と噂の占い師、冷泉俊明が、IT企業社長の五木谷春樹が毒殺されると預言。未詳の当麻と瀬文は、この殺人事件を阻止できるか。当麻紗綾（とうまさや)…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    </v>
      </c>
      <c r="N5774" s="2"/>
      <c r="O5774" s="2"/>
      <c r="P5774" s="1"/>
      <c r="Q5774" s="1"/>
      <c r="R5774" s="1"/>
      <c r="S5774" s="1"/>
      <c r="T5774" s="1"/>
      <c r="U5774" s="1"/>
      <c r="V5774" s="1"/>
      <c r="W5774" s="1"/>
      <c r="X5774" s="1"/>
      <c r="Y5774" s="1"/>
      <c r="Z5774" s="1"/>
      <c r="AA5774" s="1"/>
      <c r="AB5774" s="1"/>
      <c r="AC5774" s="1"/>
      <c r="AD5774" s="1"/>
      <c r="AE5774" s="1"/>
      <c r="AF5774" s="1"/>
      <c r="AG5774" s="1"/>
      <c r="AH5774" s="1"/>
      <c r="AI5774" s="1"/>
      <c r="AJ5774" s="1"/>
      <c r="AK5774" s="1"/>
      <c r="AL5774" s="1"/>
      <c r="AM5774" s="1"/>
      <c r="AN5774" s="1"/>
      <c r="AO5774" s="1"/>
      <c r="AP5774" s="1"/>
      <c r="AQ5774" s="1"/>
      <c r="AR5774" s="1"/>
      <c r="AS5774" s="1"/>
      <c r="AT5774" s="1"/>
      <c r="AU5774" s="1"/>
      <c r="AV5774" s="1"/>
      <c r="AW5774" s="1"/>
      <c r="AX5774" s="1"/>
      <c r="AY5774" s="1"/>
      <c r="AZ5774" s="1"/>
      <c r="BA5774" s="1"/>
      <c r="BB5774" s="1"/>
    </row>
    <row r="5775" ht="204.75" customHeight="1">
      <c r="A5775" s="1">
        <v>4611.0</v>
      </c>
      <c r="B5775" s="2" t="s">
        <v>15736</v>
      </c>
      <c r="C5775" s="2">
        <f>IFERROR(__xludf.DUMMYFUNCTION("split(B5775,""_"")"),1010.0)</f>
        <v>1010</v>
      </c>
      <c r="D5775" s="2" t="str">
        <f>IFERROR(__xludf.DUMMYFUNCTION("""COMPUTED_VALUE"""),"TBS")</f>
        <v>TBS</v>
      </c>
      <c r="E5775" s="2" t="str">
        <f>IFERROR(__xludf.DUMMYFUNCTION("""COMPUTED_VALUE"""),"金22")</f>
        <v>金22</v>
      </c>
      <c r="F5775" s="2" t="s">
        <v>15737</v>
      </c>
      <c r="G5775" s="2" t="s">
        <v>15740</v>
      </c>
      <c r="H5775" s="1">
        <v>2.0</v>
      </c>
      <c r="J5775" s="1" t="s">
        <v>86</v>
      </c>
      <c r="K5775" s="2" t="s">
        <v>15741</v>
      </c>
      <c r="L5775" s="2"/>
      <c r="M5775" s="2" t="str">
        <f>IFERROR(__xludf.DUMMYFUNCTION("split(split(K5775,""【"",false),""公式LINE"",false)"),"死刑囚　桂小次郎の使いの教誨師　大島が未詳にやってくる。桂は死刑と向かい合う日々の中で、千里眼を身に付け、今後、神の子として、迷宮入り事件の犯人を次々殺していくと言う。当麻はその挑戦を受けてたつ。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一十一(にのまえじゅういち)…神木隆"&amp;"之介   津田助広(つだすけひろ)…椎名桔平（特別出演）  野々村光太郎（ののむらこうたろう）…竜雷太    ")</f>
        <v>死刑囚　桂小次郎の使いの教誨師　大島が未詳にやってくる。桂は死刑と向かい合う日々の中で、千里眼を身に付け、今後、神の子として、迷宮入り事件の犯人を次々殺していくと言う。当麻はその挑戦を受けてたつ。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    </v>
      </c>
      <c r="N5775" s="2"/>
      <c r="O5775" s="2"/>
      <c r="P5775" s="1"/>
      <c r="Q5775" s="1"/>
      <c r="R5775" s="1"/>
      <c r="S5775" s="1"/>
      <c r="T5775" s="1"/>
      <c r="U5775" s="1"/>
      <c r="V5775" s="1"/>
      <c r="W5775" s="1"/>
      <c r="X5775" s="1"/>
      <c r="Y5775" s="1"/>
      <c r="Z5775" s="1"/>
      <c r="AA5775" s="1"/>
      <c r="AB5775" s="1"/>
      <c r="AC5775" s="1"/>
      <c r="AD5775" s="1"/>
      <c r="AE5775" s="1"/>
      <c r="AF5775" s="1"/>
      <c r="AG5775" s="1"/>
      <c r="AH5775" s="1"/>
      <c r="AI5775" s="1"/>
      <c r="AJ5775" s="1"/>
      <c r="AK5775" s="1"/>
      <c r="AL5775" s="1"/>
      <c r="AM5775" s="1"/>
      <c r="AN5775" s="1"/>
      <c r="AO5775" s="1"/>
      <c r="AP5775" s="1"/>
      <c r="AQ5775" s="1"/>
      <c r="AR5775" s="1"/>
      <c r="AS5775" s="1"/>
      <c r="AT5775" s="1"/>
      <c r="AU5775" s="1"/>
      <c r="AV5775" s="1"/>
      <c r="AW5775" s="1"/>
      <c r="AX5775" s="1"/>
      <c r="AY5775" s="1"/>
      <c r="AZ5775" s="1"/>
      <c r="BA5775" s="1"/>
      <c r="BB5775" s="1"/>
    </row>
    <row r="5776" ht="204.75" customHeight="1">
      <c r="A5776" s="1">
        <v>4612.0</v>
      </c>
      <c r="B5776" s="2" t="s">
        <v>15736</v>
      </c>
      <c r="C5776" s="2">
        <f>IFERROR(__xludf.DUMMYFUNCTION("split(B5776,""_"")"),1010.0)</f>
        <v>1010</v>
      </c>
      <c r="D5776" s="2" t="str">
        <f>IFERROR(__xludf.DUMMYFUNCTION("""COMPUTED_VALUE"""),"TBS")</f>
        <v>TBS</v>
      </c>
      <c r="E5776" s="2" t="str">
        <f>IFERROR(__xludf.DUMMYFUNCTION("""COMPUTED_VALUE"""),"金22")</f>
        <v>金22</v>
      </c>
      <c r="F5776" s="2" t="s">
        <v>15737</v>
      </c>
      <c r="G5776" s="2" t="s">
        <v>15742</v>
      </c>
      <c r="H5776" s="1">
        <v>3.0</v>
      </c>
      <c r="J5776" s="1" t="s">
        <v>86</v>
      </c>
      <c r="K5776" s="2" t="s">
        <v>15743</v>
      </c>
      <c r="L5776" s="2"/>
      <c r="M5776" s="2" t="str">
        <f>IFERROR(__xludf.DUMMYFUNCTION("split(split(K5776,""【"",false),""公式LINE"",false)"),"日本中のあちこちで京女の托鉢僧に「憑依」されたという事件が頻発する。もちろん捜査一課は相手にしないが、そのことが気に入らなかったらしく、全国の「林実さん」に次から次へと憑依してみせると宣言されてしまう。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一十一(にのまえじゅういち)…"&amp;"神木隆之介   津田助広(つだすけひろ)…椎名桔平（特別出演）  野々村光太郎（ののむらこうたろう）…竜雷太")</f>
        <v>日本中のあちこちで京女の托鉢僧に「憑依」されたという事件が頻発する。もちろん捜査一課は相手にしないが、そのことが気に入らなかったらしく、全国の「林実さん」に次から次へと憑依してみせると宣言されてしまう。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v>
      </c>
      <c r="N5776" s="2"/>
      <c r="O5776" s="2"/>
      <c r="P5776" s="1"/>
      <c r="Q5776" s="1"/>
      <c r="R5776" s="1"/>
      <c r="S5776" s="1"/>
      <c r="T5776" s="1"/>
      <c r="U5776" s="1"/>
      <c r="V5776" s="1"/>
      <c r="W5776" s="1"/>
      <c r="X5776" s="1"/>
      <c r="Y5776" s="1"/>
      <c r="Z5776" s="1"/>
      <c r="AA5776" s="1"/>
      <c r="AB5776" s="1"/>
      <c r="AC5776" s="1"/>
      <c r="AD5776" s="1"/>
      <c r="AE5776" s="1"/>
      <c r="AF5776" s="1"/>
      <c r="AG5776" s="1"/>
      <c r="AH5776" s="1"/>
      <c r="AI5776" s="1"/>
      <c r="AJ5776" s="1"/>
      <c r="AK5776" s="1"/>
      <c r="AL5776" s="1"/>
      <c r="AM5776" s="1"/>
      <c r="AN5776" s="1"/>
      <c r="AO5776" s="1"/>
      <c r="AP5776" s="1"/>
      <c r="AQ5776" s="1"/>
      <c r="AR5776" s="1"/>
      <c r="AS5776" s="1"/>
      <c r="AT5776" s="1"/>
      <c r="AU5776" s="1"/>
      <c r="AV5776" s="1"/>
      <c r="AW5776" s="1"/>
      <c r="AX5776" s="1"/>
      <c r="AY5776" s="1"/>
      <c r="AZ5776" s="1"/>
      <c r="BA5776" s="1"/>
      <c r="BB5776" s="1"/>
    </row>
    <row r="5777" ht="204.75" customHeight="1">
      <c r="A5777" s="1">
        <v>4613.0</v>
      </c>
      <c r="B5777" s="2" t="s">
        <v>15736</v>
      </c>
      <c r="C5777" s="2">
        <f>IFERROR(__xludf.DUMMYFUNCTION("split(B5777,""_"")"),1010.0)</f>
        <v>1010</v>
      </c>
      <c r="D5777" s="2" t="str">
        <f>IFERROR(__xludf.DUMMYFUNCTION("""COMPUTED_VALUE"""),"TBS")</f>
        <v>TBS</v>
      </c>
      <c r="E5777" s="2" t="str">
        <f>IFERROR(__xludf.DUMMYFUNCTION("""COMPUTED_VALUE"""),"金22")</f>
        <v>金22</v>
      </c>
      <c r="F5777" s="2" t="s">
        <v>15737</v>
      </c>
      <c r="G5777" s="2" t="s">
        <v>15744</v>
      </c>
      <c r="H5777" s="1">
        <v>4.0</v>
      </c>
      <c r="J5777" s="1" t="s">
        <v>86</v>
      </c>
      <c r="K5777" s="2" t="s">
        <v>15745</v>
      </c>
      <c r="L5777" s="2"/>
      <c r="M5777" s="2" t="str">
        <f>IFERROR(__xludf.DUMMYFUNCTION("split(split(K5777,""【"",false),""公式LINE"",false)"),"未詳に「自殺者遺族ネットワーク」の顧問弁護士、古戸久子がやってくる。一年前に自殺したはずの娘から、昨夜「助けて」とメールが届いた。自殺サークルにいる殺人マニアから逃げているのではないかというのだ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一十一(にのまえじゅういち)…神木隆之"&amp;"介   津田助広(つだすけひろ)…椎名桔平（特別出演）  野々村光太郎（ののむらこうたろう）…竜雷太")</f>
        <v>未詳に「自殺者遺族ネットワーク」の顧問弁護士、古戸久子がやってくる。一年前に自殺したはずの娘から、昨夜「助けて」とメールが届いた。自殺サークルにいる殺人マニアから逃げているのではないかというのだ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v>
      </c>
      <c r="N5777" s="2"/>
      <c r="O5777" s="2"/>
      <c r="P5777" s="1"/>
      <c r="Q5777" s="1"/>
      <c r="R5777" s="1"/>
      <c r="S5777" s="1"/>
      <c r="T5777" s="1"/>
      <c r="U5777" s="1"/>
      <c r="V5777" s="1"/>
      <c r="W5777" s="1"/>
      <c r="X5777" s="1"/>
      <c r="Y5777" s="1"/>
      <c r="Z5777" s="1"/>
      <c r="AA5777" s="1"/>
      <c r="AB5777" s="1"/>
      <c r="AC5777" s="1"/>
      <c r="AD5777" s="1"/>
      <c r="AE5777" s="1"/>
      <c r="AF5777" s="1"/>
      <c r="AG5777" s="1"/>
      <c r="AH5777" s="1"/>
      <c r="AI5777" s="1"/>
      <c r="AJ5777" s="1"/>
      <c r="AK5777" s="1"/>
      <c r="AL5777" s="1"/>
      <c r="AM5777" s="1"/>
      <c r="AN5777" s="1"/>
      <c r="AO5777" s="1"/>
      <c r="AP5777" s="1"/>
      <c r="AQ5777" s="1"/>
      <c r="AR5777" s="1"/>
      <c r="AS5777" s="1"/>
      <c r="AT5777" s="1"/>
      <c r="AU5777" s="1"/>
      <c r="AV5777" s="1"/>
      <c r="AW5777" s="1"/>
      <c r="AX5777" s="1"/>
      <c r="AY5777" s="1"/>
      <c r="AZ5777" s="1"/>
      <c r="BA5777" s="1"/>
      <c r="BB5777" s="1"/>
    </row>
    <row r="5778" ht="204.75" customHeight="1">
      <c r="A5778" s="1">
        <v>4614.0</v>
      </c>
      <c r="B5778" s="2" t="s">
        <v>15736</v>
      </c>
      <c r="C5778" s="2">
        <f>IFERROR(__xludf.DUMMYFUNCTION("split(B5778,""_"")"),1010.0)</f>
        <v>1010</v>
      </c>
      <c r="D5778" s="2" t="str">
        <f>IFERROR(__xludf.DUMMYFUNCTION("""COMPUTED_VALUE"""),"TBS")</f>
        <v>TBS</v>
      </c>
      <c r="E5778" s="2" t="str">
        <f>IFERROR(__xludf.DUMMYFUNCTION("""COMPUTED_VALUE"""),"金22")</f>
        <v>金22</v>
      </c>
      <c r="F5778" s="2" t="s">
        <v>15737</v>
      </c>
      <c r="G5778" s="2" t="s">
        <v>15746</v>
      </c>
      <c r="H5778" s="1">
        <v>5.0</v>
      </c>
      <c r="J5778" s="1" t="s">
        <v>86</v>
      </c>
      <c r="K5778" s="2" t="s">
        <v>15747</v>
      </c>
      <c r="L5778" s="2"/>
      <c r="M5778" s="2" t="str">
        <f>IFERROR(__xludf.DUMMYFUNCTION("split(split(K5778,""【"",false),""公式LINE"",false)"),"瀬文はSIT時代の上司、里中と再会する。里中は今警察を辞め、小さな貿易会社に就職し、奥さんと娘と三人で幸せな生活を送っているという。  そんなある日、未詳に潜入捜査官の連続死について、調査せよと命令が下る。当麻紗綾（とうまさや)…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一十一(にのまえじゅういち"&amp;")…神木隆之介   津田助広(つだすけひろ)…椎名桔平（特別出演）  野々村光太郎（ののむらこうたろう）…竜雷太")</f>
        <v>瀬文はSIT時代の上司、里中と再会する。里中は今警察を辞め、小さな貿易会社に就職し、奥さんと娘と三人で幸せな生活を送っているという。  そんなある日、未詳に潜入捜査官の連続死について、調査せよと命令が下る。当麻紗綾（とうまさや)…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v>
      </c>
      <c r="N5778" s="2"/>
      <c r="O5778" s="2"/>
      <c r="P5778" s="1"/>
      <c r="Q5778" s="1"/>
      <c r="R5778" s="1"/>
      <c r="S5778" s="1"/>
      <c r="T5778" s="1"/>
      <c r="U5778" s="1"/>
      <c r="V5778" s="1"/>
      <c r="W5778" s="1"/>
      <c r="X5778" s="1"/>
      <c r="Y5778" s="1"/>
      <c r="Z5778" s="1"/>
      <c r="AA5778" s="1"/>
      <c r="AB5778" s="1"/>
      <c r="AC5778" s="1"/>
      <c r="AD5778" s="1"/>
      <c r="AE5778" s="1"/>
      <c r="AF5778" s="1"/>
      <c r="AG5778" s="1"/>
      <c r="AH5778" s="1"/>
      <c r="AI5778" s="1"/>
      <c r="AJ5778" s="1"/>
      <c r="AK5778" s="1"/>
      <c r="AL5778" s="1"/>
      <c r="AM5778" s="1"/>
      <c r="AN5778" s="1"/>
      <c r="AO5778" s="1"/>
      <c r="AP5778" s="1"/>
      <c r="AQ5778" s="1"/>
      <c r="AR5778" s="1"/>
      <c r="AS5778" s="1"/>
      <c r="AT5778" s="1"/>
      <c r="AU5778" s="1"/>
      <c r="AV5778" s="1"/>
      <c r="AW5778" s="1"/>
      <c r="AX5778" s="1"/>
      <c r="AY5778" s="1"/>
      <c r="AZ5778" s="1"/>
      <c r="BA5778" s="1"/>
      <c r="BB5778" s="1"/>
    </row>
    <row r="5779" ht="204.75" customHeight="1">
      <c r="A5779" s="1">
        <v>4615.0</v>
      </c>
      <c r="B5779" s="2" t="s">
        <v>15736</v>
      </c>
      <c r="C5779" s="2">
        <f>IFERROR(__xludf.DUMMYFUNCTION("split(B5779,""_"")"),1010.0)</f>
        <v>1010</v>
      </c>
      <c r="D5779" s="2" t="str">
        <f>IFERROR(__xludf.DUMMYFUNCTION("""COMPUTED_VALUE"""),"TBS")</f>
        <v>TBS</v>
      </c>
      <c r="E5779" s="2" t="str">
        <f>IFERROR(__xludf.DUMMYFUNCTION("""COMPUTED_VALUE"""),"金22")</f>
        <v>金22</v>
      </c>
      <c r="F5779" s="2" t="s">
        <v>15737</v>
      </c>
      <c r="G5779" s="2" t="s">
        <v>15748</v>
      </c>
      <c r="H5779" s="1">
        <v>6.0</v>
      </c>
      <c r="J5779" s="1" t="s">
        <v>86</v>
      </c>
      <c r="K5779" s="2" t="s">
        <v>15749</v>
      </c>
      <c r="L5779" s="2"/>
      <c r="M5779" s="2" t="str">
        <f>IFERROR(__xludf.DUMMYFUNCTION("split(split(K5779,""【"",false),""公式LINE"",false)"),"当麻と瀬文は、里中の妻、小百合が検診中に目撃した白いひげの老人の正体を探ろうとする。すると、意外な事実が判明する。果たして当麻と瀬文は、里中の娘、梨花の命を救うことができるのか？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津田助広"&amp;"(つだすけひろ)…椎名桔平（特別出演）  野々村光太郎（ののむらこうたろう）…竜雷太    ")</f>
        <v>当麻と瀬文は、里中の妻、小百合が検診中に目撃した白いひげの老人の正体を探ろうとする。すると、意外な事実が判明する。果たして当麻と瀬文は、里中の娘、梨花の命を救うことができるのか？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    </v>
      </c>
      <c r="N5779" s="2"/>
      <c r="O5779" s="2"/>
      <c r="P5779" s="1"/>
      <c r="Q5779" s="1"/>
      <c r="R5779" s="1"/>
      <c r="S5779" s="1"/>
      <c r="T5779" s="1"/>
      <c r="U5779" s="1"/>
      <c r="V5779" s="1"/>
      <c r="W5779" s="1"/>
      <c r="X5779" s="1"/>
      <c r="Y5779" s="1"/>
      <c r="Z5779" s="1"/>
      <c r="AA5779" s="1"/>
      <c r="AB5779" s="1"/>
      <c r="AC5779" s="1"/>
      <c r="AD5779" s="1"/>
      <c r="AE5779" s="1"/>
      <c r="AF5779" s="1"/>
      <c r="AG5779" s="1"/>
      <c r="AH5779" s="1"/>
      <c r="AI5779" s="1"/>
      <c r="AJ5779" s="1"/>
      <c r="AK5779" s="1"/>
      <c r="AL5779" s="1"/>
      <c r="AM5779" s="1"/>
      <c r="AN5779" s="1"/>
      <c r="AO5779" s="1"/>
      <c r="AP5779" s="1"/>
      <c r="AQ5779" s="1"/>
      <c r="AR5779" s="1"/>
      <c r="AS5779" s="1"/>
      <c r="AT5779" s="1"/>
      <c r="AU5779" s="1"/>
      <c r="AV5779" s="1"/>
      <c r="AW5779" s="1"/>
      <c r="AX5779" s="1"/>
      <c r="AY5779" s="1"/>
      <c r="AZ5779" s="1"/>
      <c r="BA5779" s="1"/>
      <c r="BB5779" s="1"/>
    </row>
    <row r="5780" ht="204.75" customHeight="1">
      <c r="A5780" s="1">
        <v>4616.0</v>
      </c>
      <c r="B5780" s="2" t="s">
        <v>15736</v>
      </c>
      <c r="C5780" s="2">
        <f>IFERROR(__xludf.DUMMYFUNCTION("split(B5780,""_"")"),1010.0)</f>
        <v>1010</v>
      </c>
      <c r="D5780" s="2" t="str">
        <f>IFERROR(__xludf.DUMMYFUNCTION("""COMPUTED_VALUE"""),"TBS")</f>
        <v>TBS</v>
      </c>
      <c r="E5780" s="2" t="str">
        <f>IFERROR(__xludf.DUMMYFUNCTION("""COMPUTED_VALUE"""),"金22")</f>
        <v>金22</v>
      </c>
      <c r="F5780" s="2" t="s">
        <v>15737</v>
      </c>
      <c r="G5780" s="2" t="s">
        <v>15750</v>
      </c>
      <c r="H5780" s="1">
        <v>7.0</v>
      </c>
      <c r="J5780" s="1" t="s">
        <v>86</v>
      </c>
      <c r="K5780" s="2" t="s">
        <v>15751</v>
      </c>
      <c r="L5780" s="2"/>
      <c r="M5780" s="2" t="str">
        <f>IFERROR(__xludf.DUMMYFUNCTION("split(split(K5780,""【"",false),""公式LINE"",false)"),"瀬文（加瀬亮）の元部下である志村（伊藤毅）は、長い間植物状態にいた。ある夜、瀬文は美鈴（福田沙紀）から、志村が強制尊厳死されることになったと聞かされる。  瀬文は“ 病を治す能力を持つ人物 ”なら志村を救えると思い、居場所を見つけようと必死。当麻（戸田恵梨香）と共に、スペックホルダーのデータを調べ始める。当麻紗綾（とうまさや)… 戸田恵梨香   瀬文焚流（せぶみたける）…加瀬亮   志村美鈴(しむらみれい)…福田沙紀   冷泉俊明(れいせんとしあき)…田中哲司   近藤昭男（こんどうあきお）…徳井優   "&amp;"  地居聖(ちいさとし)…城田優 海野亮太(うんのりょうた)…安田顕   一十一(にのまえじゅういち)…神木隆之介   津田助広(つだすけひろ)…椎名桔平（特別出演）  野々村光太郎（ののむらこうたろう）…竜雷太    ")</f>
        <v>瀬文（加瀬亮）の元部下である志村（伊藤毅）は、長い間植物状態にいた。ある夜、瀬文は美鈴（福田沙紀）から、志村が強制尊厳死されることになったと聞かされる。  瀬文は“ 病を治す能力を持つ人物 ”なら志村を救えると思い、居場所を見つけようと必死。当麻（戸田恵梨香）と共に、スペックホルダーのデータを調べ始める。当麻紗綾（とうまさや)…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    </v>
      </c>
      <c r="N5780" s="2"/>
      <c r="O5780" s="2"/>
      <c r="P5780" s="1"/>
      <c r="Q5780" s="1"/>
      <c r="R5780" s="1"/>
      <c r="S5780" s="1"/>
      <c r="T5780" s="1"/>
      <c r="U5780" s="1"/>
      <c r="V5780" s="1"/>
      <c r="W5780" s="1"/>
      <c r="X5780" s="1"/>
      <c r="Y5780" s="1"/>
      <c r="Z5780" s="1"/>
      <c r="AA5780" s="1"/>
      <c r="AB5780" s="1"/>
      <c r="AC5780" s="1"/>
      <c r="AD5780" s="1"/>
      <c r="AE5780" s="1"/>
      <c r="AF5780" s="1"/>
      <c r="AG5780" s="1"/>
      <c r="AH5780" s="1"/>
      <c r="AI5780" s="1"/>
      <c r="AJ5780" s="1"/>
      <c r="AK5780" s="1"/>
      <c r="AL5780" s="1"/>
      <c r="AM5780" s="1"/>
      <c r="AN5780" s="1"/>
      <c r="AO5780" s="1"/>
      <c r="AP5780" s="1"/>
      <c r="AQ5780" s="1"/>
      <c r="AR5780" s="1"/>
      <c r="AS5780" s="1"/>
      <c r="AT5780" s="1"/>
      <c r="AU5780" s="1"/>
      <c r="AV5780" s="1"/>
      <c r="AW5780" s="1"/>
      <c r="AX5780" s="1"/>
      <c r="AY5780" s="1"/>
      <c r="AZ5780" s="1"/>
      <c r="BA5780" s="1"/>
      <c r="BB5780" s="1"/>
    </row>
    <row r="5781" ht="204.75" customHeight="1">
      <c r="A5781" s="1">
        <v>4617.0</v>
      </c>
      <c r="B5781" s="2" t="s">
        <v>15736</v>
      </c>
      <c r="C5781" s="2">
        <f>IFERROR(__xludf.DUMMYFUNCTION("split(B5781,""_"")"),1010.0)</f>
        <v>1010</v>
      </c>
      <c r="D5781" s="2" t="str">
        <f>IFERROR(__xludf.DUMMYFUNCTION("""COMPUTED_VALUE"""),"TBS")</f>
        <v>TBS</v>
      </c>
      <c r="E5781" s="2" t="str">
        <f>IFERROR(__xludf.DUMMYFUNCTION("""COMPUTED_VALUE"""),"金22")</f>
        <v>金22</v>
      </c>
      <c r="F5781" s="2" t="s">
        <v>15737</v>
      </c>
      <c r="G5781" s="2" t="s">
        <v>15752</v>
      </c>
      <c r="H5781" s="1">
        <v>8.0</v>
      </c>
      <c r="J5781" s="1" t="s">
        <v>86</v>
      </c>
      <c r="K5781" s="2" t="s">
        <v>15753</v>
      </c>
      <c r="L5781" s="2"/>
      <c r="M5781" s="2" t="str">
        <f>IFERROR(__xludf.DUMMYFUNCTION("split(split(K5781,""【"",false),""公式LINE"",false)"),"瀬文の元に現れた謎の美女。  彼女の条件は「津田をこちらに引き渡せば、どんな怪我も治すヒーラーを貸してやる」いうもの。  狂気に取り付かれた瀬文は志村を救うために、津田を狙う。  当麻は瀬文を救おうとするが・・・。当麻紗綾（とうまさや)…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一十一(にのまえじ"&amp;"ゅういち)…神木隆之介   津田助広(つだすけひろ)…椎名桔平（特別出演）  野々村光太郎（ののむらこうたろう）…竜雷太")</f>
        <v>瀬文の元に現れた謎の美女。  彼女の条件は「津田をこちらに引き渡せば、どんな怪我も治すヒーラーを貸してやる」いうもの。  狂気に取り付かれた瀬文は志村を救うために、津田を狙う。  当麻は瀬文を救おうとするが・・・。当麻紗綾（とうまさや)…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v>
      </c>
      <c r="N5781" s="2"/>
      <c r="O5781" s="2"/>
      <c r="P5781" s="1"/>
      <c r="Q5781" s="1"/>
      <c r="R5781" s="1"/>
      <c r="S5781" s="1"/>
      <c r="T5781" s="1"/>
      <c r="U5781" s="1"/>
      <c r="V5781" s="1"/>
      <c r="W5781" s="1"/>
      <c r="X5781" s="1"/>
      <c r="Y5781" s="1"/>
      <c r="Z5781" s="1"/>
      <c r="AA5781" s="1"/>
      <c r="AB5781" s="1"/>
      <c r="AC5781" s="1"/>
      <c r="AD5781" s="1"/>
      <c r="AE5781" s="1"/>
      <c r="AF5781" s="1"/>
      <c r="AG5781" s="1"/>
      <c r="AH5781" s="1"/>
      <c r="AI5781" s="1"/>
      <c r="AJ5781" s="1"/>
      <c r="AK5781" s="1"/>
      <c r="AL5781" s="1"/>
      <c r="AM5781" s="1"/>
      <c r="AN5781" s="1"/>
      <c r="AO5781" s="1"/>
      <c r="AP5781" s="1"/>
      <c r="AQ5781" s="1"/>
      <c r="AR5781" s="1"/>
      <c r="AS5781" s="1"/>
      <c r="AT5781" s="1"/>
      <c r="AU5781" s="1"/>
      <c r="AV5781" s="1"/>
      <c r="AW5781" s="1"/>
      <c r="AX5781" s="1"/>
      <c r="AY5781" s="1"/>
      <c r="AZ5781" s="1"/>
      <c r="BA5781" s="1"/>
      <c r="BB5781" s="1"/>
    </row>
    <row r="5782" ht="204.75" customHeight="1">
      <c r="A5782" s="1">
        <v>4618.0</v>
      </c>
      <c r="B5782" s="2" t="s">
        <v>15736</v>
      </c>
      <c r="C5782" s="2">
        <f>IFERROR(__xludf.DUMMYFUNCTION("split(B5782,""_"")"),1010.0)</f>
        <v>1010</v>
      </c>
      <c r="D5782" s="2" t="str">
        <f>IFERROR(__xludf.DUMMYFUNCTION("""COMPUTED_VALUE"""),"TBS")</f>
        <v>TBS</v>
      </c>
      <c r="E5782" s="2" t="str">
        <f>IFERROR(__xludf.DUMMYFUNCTION("""COMPUTED_VALUE"""),"金22")</f>
        <v>金22</v>
      </c>
      <c r="F5782" s="2" t="s">
        <v>15737</v>
      </c>
      <c r="G5782" s="2" t="s">
        <v>15754</v>
      </c>
      <c r="H5782" s="1">
        <v>9.0</v>
      </c>
      <c r="J5782" s="1" t="s">
        <v>86</v>
      </c>
      <c r="K5782" s="2" t="s">
        <v>15755</v>
      </c>
      <c r="L5782" s="2"/>
      <c r="M5782" s="2" t="str">
        <f>IFERROR(__xludf.DUMMYFUNCTION("split(split(K5782,""【"",false),""公式LINE"",false)"),"ニノマエは組織から裏切られたと感じ、自分の能力を暴走させ、次々に要人を殺害し、自らこの世界の王を名乗る。そして非常線がはられ、未詳にもニノマエ殺害の命令が下る。当麻と瀬文、ニノマエの宿命の戦いが始まる…当麻紗綾（とうまさや)… 戸田恵梨香  瀬文焚流（せぶみたける）…加瀬亮  志村美鈴(しむらみれい)…福田沙紀  冷泉俊明(れいせんとしあき)…田中哲司  近藤昭男（こんどうあきお）…徳井優    地居聖(ちいさとし)…城田優海野亮太(うんのりょうた)…安田顕   一十一(にのまえじゅういち)…神木隆之介 "&amp;"  津田助広(つだすけひろ)…椎名桔平（特別出演）  野々村光太郎（ののむらこうたろう）…竜雷太")</f>
        <v>ニノマエは組織から裏切られたと感じ、自分の能力を暴走させ、次々に要人を殺害し、自らこの世界の王を名乗る。そして非常線がはられ、未詳にもニノマエ殺害の命令が下る。当麻と瀬文、ニノマエの宿命の戦いが始まる…当麻紗綾（とうまさや)… 戸田恵梨香  瀬文焚流（せぶみたける）…加瀬亮  志村美鈴(しむらみれい)…福田沙紀  冷泉俊明(れいせんとしあき)…田中哲司  近藤昭男（こんどうあきお）…徳井優    地居聖(ちいさとし)…城田優海野亮太(うんのりょうた)…安田顕   一十一(にのまえじゅういち)…神木隆之介   津田助広(つだすけひろ)…椎名桔平（特別出演）  野々村光太郎（ののむらこうたろう）…竜雷太</v>
      </c>
      <c r="N5782" s="2"/>
      <c r="O5782" s="2"/>
      <c r="P5782" s="1"/>
      <c r="Q5782" s="1"/>
      <c r="R5782" s="1"/>
      <c r="S5782" s="1"/>
      <c r="T5782" s="1"/>
      <c r="U5782" s="1"/>
      <c r="V5782" s="1"/>
      <c r="W5782" s="1"/>
      <c r="X5782" s="1"/>
      <c r="Y5782" s="1"/>
      <c r="Z5782" s="1"/>
      <c r="AA5782" s="1"/>
      <c r="AB5782" s="1"/>
      <c r="AC5782" s="1"/>
      <c r="AD5782" s="1"/>
      <c r="AE5782" s="1"/>
      <c r="AF5782" s="1"/>
      <c r="AG5782" s="1"/>
      <c r="AH5782" s="1"/>
      <c r="AI5782" s="1"/>
      <c r="AJ5782" s="1"/>
      <c r="AK5782" s="1"/>
      <c r="AL5782" s="1"/>
      <c r="AM5782" s="1"/>
      <c r="AN5782" s="1"/>
      <c r="AO5782" s="1"/>
      <c r="AP5782" s="1"/>
      <c r="AQ5782" s="1"/>
      <c r="AR5782" s="1"/>
      <c r="AS5782" s="1"/>
      <c r="AT5782" s="1"/>
      <c r="AU5782" s="1"/>
      <c r="AV5782" s="1"/>
      <c r="AW5782" s="1"/>
      <c r="AX5782" s="1"/>
      <c r="AY5782" s="1"/>
      <c r="AZ5782" s="1"/>
      <c r="BA5782" s="1"/>
      <c r="BB5782" s="1"/>
    </row>
    <row r="5783" ht="204.75" customHeight="1">
      <c r="A5783" s="1">
        <v>4619.0</v>
      </c>
      <c r="B5783" s="2" t="s">
        <v>15736</v>
      </c>
      <c r="C5783" s="2">
        <f>IFERROR(__xludf.DUMMYFUNCTION("split(B5783,""_"")"),1010.0)</f>
        <v>1010</v>
      </c>
      <c r="D5783" s="2" t="str">
        <f>IFERROR(__xludf.DUMMYFUNCTION("""COMPUTED_VALUE"""),"TBS")</f>
        <v>TBS</v>
      </c>
      <c r="E5783" s="2" t="str">
        <f>IFERROR(__xludf.DUMMYFUNCTION("""COMPUTED_VALUE"""),"金22")</f>
        <v>金22</v>
      </c>
      <c r="F5783" s="2" t="s">
        <v>15737</v>
      </c>
      <c r="G5783" s="2" t="s">
        <v>15756</v>
      </c>
      <c r="H5783" s="1">
        <v>10.0</v>
      </c>
      <c r="J5783" s="1" t="s">
        <v>86</v>
      </c>
      <c r="K5783" s="2" t="s">
        <v>15757</v>
      </c>
      <c r="L5783" s="2"/>
      <c r="M5783" s="2" t="str">
        <f>IFERROR(__xludf.DUMMYFUNCTION("split(split(K5783,""【"",false),""公式LINE"",false)"),"瀬文（加瀬亮）は、一人でニノマエ（神木隆之介）に戦いを挑むが、ニノマエのスペックを前に満身創痍。絶体絶命のピンチに陥る。するとそこへ、当麻（戸田恵梨香）が現れた！  当麻の命を懸けた作戦は、ニノマエのスペックを逆手に取り、追い詰めることに成功するが、当麻はもちろん瀬文、ニノマエと共に生死の境をさまよう事となる。  3日間眠り続け、ようやく目を覚ました当麻は…。当麻紗綾（とうまさや)… 戸田恵梨香   瀬文焚流（せぶみたける）…加瀬亮   志村美鈴(しむらみれい)…福田沙紀     地居聖(ちいさとし)…城"&amp;"田優 一十一(にのまえじゅういち)…神木隆之介   津田助広(つだすけひろ)…椎名桔平（特別出演）  野々村光太郎（ののむらこうたろう）…竜雷太    当麻天（とうまそら）…佐野元春  当麻流夏（とうまるな）…石田えり  当麻葉子（とうまようこ）…大森暁美")</f>
        <v>瀬文（加瀬亮）は、一人でニノマエ（神木隆之介）に戦いを挑むが、ニノマエのスペックを前に満身創痍。絶体絶命のピンチに陥る。するとそこへ、当麻（戸田恵梨香）が現れた！  当麻の命を懸けた作戦は、ニノマエのスペックを逆手に取り、追い詰めることに成功するが、当麻はもちろん瀬文、ニノマエと共に生死の境をさまよう事となる。  3日間眠り続け、ようやく目を覚ました当麻は…。当麻紗綾（とうまさや)… 戸田恵梨香   瀬文焚流（せぶみたける）…加瀬亮   志村美鈴(しむらみれい)…福田沙紀     地居聖(ちいさとし)…城田優 一十一(にのまえじゅういち)…神木隆之介   津田助広(つだすけひろ)…椎名桔平（特別出演）  野々村光太郎（ののむらこうたろう）…竜雷太    当麻天（とうまそら）…佐野元春  当麻流夏（とうまるな）…石田えり  当麻葉子（とうまようこ）…大森暁美</v>
      </c>
      <c r="N5783" s="2"/>
      <c r="O5783" s="2"/>
      <c r="P5783" s="1"/>
      <c r="Q5783" s="1"/>
      <c r="R5783" s="1"/>
      <c r="S5783" s="1"/>
      <c r="T5783" s="1"/>
      <c r="U5783" s="1"/>
      <c r="V5783" s="1"/>
      <c r="W5783" s="1"/>
      <c r="X5783" s="1"/>
      <c r="Y5783" s="1"/>
      <c r="Z5783" s="1"/>
      <c r="AA5783" s="1"/>
      <c r="AB5783" s="1"/>
      <c r="AC5783" s="1"/>
      <c r="AD5783" s="1"/>
      <c r="AE5783" s="1"/>
      <c r="AF5783" s="1"/>
      <c r="AG5783" s="1"/>
      <c r="AH5783" s="1"/>
      <c r="AI5783" s="1"/>
      <c r="AJ5783" s="1"/>
      <c r="AK5783" s="1"/>
      <c r="AL5783" s="1"/>
      <c r="AM5783" s="1"/>
      <c r="AN5783" s="1"/>
      <c r="AO5783" s="1"/>
      <c r="AP5783" s="1"/>
      <c r="AQ5783" s="1"/>
      <c r="AR5783" s="1"/>
      <c r="AS5783" s="1"/>
      <c r="AT5783" s="1"/>
      <c r="AU5783" s="1"/>
      <c r="AV5783" s="1"/>
      <c r="AW5783" s="1"/>
      <c r="AX5783" s="1"/>
      <c r="AY5783" s="1"/>
      <c r="AZ5783" s="1"/>
      <c r="BA5783" s="1"/>
      <c r="BB5783" s="1"/>
    </row>
    <row r="5784" ht="204.75" customHeight="1">
      <c r="A5784" s="1">
        <v>4638.0</v>
      </c>
      <c r="B5784" s="2" t="s">
        <v>15758</v>
      </c>
      <c r="C5784" s="2">
        <f>IFERROR(__xludf.DUMMYFUNCTION("split(B5784,""_"")"),1010.0)</f>
        <v>1010</v>
      </c>
      <c r="D5784" s="2" t="str">
        <f>IFERROR(__xludf.DUMMYFUNCTION("""COMPUTED_VALUE"""),"TBS")</f>
        <v>TBS</v>
      </c>
      <c r="E5784" s="2" t="str">
        <f>IFERROR(__xludf.DUMMYFUNCTION("""COMPUTED_VALUE"""),"日21")</f>
        <v>日21</v>
      </c>
      <c r="F5784" s="2" t="s">
        <v>15759</v>
      </c>
      <c r="G5784" s="2" t="s">
        <v>15760</v>
      </c>
      <c r="H5784" s="1">
        <v>1.0</v>
      </c>
      <c r="J5784" s="1" t="s">
        <v>4</v>
      </c>
      <c r="K5784" s="2" t="s">
        <v>15761</v>
      </c>
      <c r="L5784" s="2"/>
      <c r="M5784" s="2" t="str">
        <f>IFERROR(__xludf.DUMMYFUNCTION("split(split(K5784,""【"",false),""公式LINE"",false)"),"「獣医はビジネス」が口癖で口が汚く金と飼い主に厳しい、悪徳敏腕獣医と評判の鳥取健一（通称・ドリトル）が、飼い主の知識や注意が足りず、病気やケガに遭いながら苦しみを伝えられない“声なき動物たち”を救うだけでなく、問題を抱えた飼い主の心までをも華麗に治療していく。  「命の大切さ」を考えさせられる極上のヒューマンドラマをお楽しみください！ 鳥取健一（通称・ドリトル）…小栗　旬   多島あすか…井上真央   花菱　優…成宮寛貴   ☆  不動ルミ…藤澤恵麻＊友情出演  土門勇蔵…笠原秀幸   土門順平…菅田将暉"&amp;"   ☆  富沢教授…石坂浩二   ☆  土門大蔵…國村　隼")</f>
        <v>「獣医はビジネス」が口癖で口が汚く金と飼い主に厳しい、悪徳敏腕獣医と評判の鳥取健一（通称・ドリトル）が、飼い主の知識や注意が足りず、病気やケガに遭いながら苦しみを伝えられない“声なき動物たち”を救うだけでなく、問題を抱えた飼い主の心までをも華麗に治療していく。  「命の大切さ」を考えさせられる極上のヒューマンドラマをお楽しみください！ 鳥取健一（通称・ドリトル）…小栗　旬   多島あすか…井上真央   花菱　優…成宮寛貴   ☆  不動ルミ…藤澤恵麻＊友情出演  土門勇蔵…笠原秀幸   土門順平…菅田将暉   ☆  富沢教授…石坂浩二   ☆  土門大蔵…國村　隼</v>
      </c>
      <c r="N5784" s="2"/>
      <c r="O5784" s="2"/>
      <c r="P5784" s="1"/>
      <c r="Q5784" s="1"/>
      <c r="R5784" s="1"/>
      <c r="S5784" s="1"/>
      <c r="T5784" s="1"/>
      <c r="U5784" s="1"/>
      <c r="V5784" s="1"/>
      <c r="W5784" s="1"/>
      <c r="X5784" s="1"/>
      <c r="Y5784" s="1"/>
      <c r="Z5784" s="1"/>
      <c r="AA5784" s="1"/>
      <c r="AB5784" s="1"/>
      <c r="AC5784" s="1"/>
      <c r="AD5784" s="1"/>
      <c r="AE5784" s="1"/>
      <c r="AF5784" s="1"/>
      <c r="AG5784" s="1"/>
      <c r="AH5784" s="1"/>
      <c r="AI5784" s="1"/>
      <c r="AJ5784" s="1"/>
      <c r="AK5784" s="1"/>
      <c r="AL5784" s="1"/>
      <c r="AM5784" s="1"/>
      <c r="AN5784" s="1"/>
      <c r="AO5784" s="1"/>
      <c r="AP5784" s="1"/>
      <c r="AQ5784" s="1"/>
      <c r="AR5784" s="1"/>
      <c r="AS5784" s="1"/>
      <c r="AT5784" s="1"/>
      <c r="AU5784" s="1"/>
      <c r="AV5784" s="1"/>
      <c r="AW5784" s="1"/>
      <c r="AX5784" s="1"/>
      <c r="AY5784" s="1"/>
      <c r="AZ5784" s="1"/>
      <c r="BA5784" s="1"/>
      <c r="BB5784" s="1"/>
    </row>
    <row r="5785" ht="204.75" customHeight="1">
      <c r="A5785" s="1">
        <v>4639.0</v>
      </c>
      <c r="B5785" s="2" t="s">
        <v>15758</v>
      </c>
      <c r="C5785" s="2">
        <f>IFERROR(__xludf.DUMMYFUNCTION("split(B5785,""_"")"),1010.0)</f>
        <v>1010</v>
      </c>
      <c r="D5785" s="2" t="str">
        <f>IFERROR(__xludf.DUMMYFUNCTION("""COMPUTED_VALUE"""),"TBS")</f>
        <v>TBS</v>
      </c>
      <c r="E5785" s="2" t="str">
        <f>IFERROR(__xludf.DUMMYFUNCTION("""COMPUTED_VALUE"""),"日21")</f>
        <v>日21</v>
      </c>
      <c r="F5785" s="2" t="s">
        <v>15759</v>
      </c>
      <c r="G5785" s="2" t="s">
        <v>15762</v>
      </c>
      <c r="H5785" s="1">
        <v>2.0</v>
      </c>
      <c r="J5785" s="1" t="s">
        <v>11</v>
      </c>
      <c r="K5785" s="2" t="s">
        <v>15763</v>
      </c>
      <c r="L5785" s="2"/>
      <c r="M5785" s="2" t="str">
        <f>IFERROR(__xludf.DUMMYFUNCTION("split(split(K5785,""【"",false),""公式LINE"",false)"),"迷子のイルカが水族館で保護された。隔離プールで弱っているイルカを見つめながら新人飼育員・坂東大吾（増田貴久）は、ドリトル（小栗旬）に治療を依頼する。さらに激しいクラクションの音が鳴り響く中、トラックの前に猫が飛び出し、樋口（蟹江敬三）が間一髪で救出す。治療に訪れたそれぞれの飼い主の抱える問題に、鳥取健一が出す答えとは・・・。  鳥取健一（通称・ドリトル）…小栗　旬   多島あすか…井上真央   花菱　優…成宮寛貴   ☆  不動ルミ…藤澤恵麻＊友情出演  土門勇蔵…笠原秀幸   土門順平…菅田将暉   ☆"&amp;"  富沢教授…石坂浩二   ☆  土門大蔵…國村　隼    ")</f>
        <v>迷子のイルカが水族館で保護された。隔離プールで弱っているイルカを見つめながら新人飼育員・坂東大吾（増田貴久）は、ドリトル（小栗旬）に治療を依頼する。さらに激しいクラクションの音が鳴り響く中、トラックの前に猫が飛び出し、樋口（蟹江敬三）が間一髪で救出す。治療に訪れたそれぞれの飼い主の抱える問題に、鳥取健一が出す答えとは・・・。  鳥取健一（通称・ドリトル）…小栗　旬   多島あすか…井上真央   花菱　優…成宮寛貴   ☆  不動ルミ…藤澤恵麻＊友情出演  土門勇蔵…笠原秀幸   土門順平…菅田将暉   ☆  富沢教授…石坂浩二   ☆  土門大蔵…國村　隼    </v>
      </c>
      <c r="N5785" s="2"/>
      <c r="O5785" s="2"/>
      <c r="P5785" s="1"/>
      <c r="Q5785" s="1"/>
      <c r="R5785" s="1"/>
      <c r="S5785" s="1"/>
      <c r="T5785" s="1"/>
      <c r="U5785" s="1"/>
      <c r="V5785" s="1"/>
      <c r="W5785" s="1"/>
      <c r="X5785" s="1"/>
      <c r="Y5785" s="1"/>
      <c r="Z5785" s="1"/>
      <c r="AA5785" s="1"/>
      <c r="AB5785" s="1"/>
      <c r="AC5785" s="1"/>
      <c r="AD5785" s="1"/>
      <c r="AE5785" s="1"/>
      <c r="AF5785" s="1"/>
      <c r="AG5785" s="1"/>
      <c r="AH5785" s="1"/>
      <c r="AI5785" s="1"/>
      <c r="AJ5785" s="1"/>
      <c r="AK5785" s="1"/>
      <c r="AL5785" s="1"/>
      <c r="AM5785" s="1"/>
      <c r="AN5785" s="1"/>
      <c r="AO5785" s="1"/>
      <c r="AP5785" s="1"/>
      <c r="AQ5785" s="1"/>
      <c r="AR5785" s="1"/>
      <c r="AS5785" s="1"/>
      <c r="AT5785" s="1"/>
      <c r="AU5785" s="1"/>
      <c r="AV5785" s="1"/>
      <c r="AW5785" s="1"/>
      <c r="AX5785" s="1"/>
      <c r="AY5785" s="1"/>
      <c r="AZ5785" s="1"/>
      <c r="BA5785" s="1"/>
      <c r="BB5785" s="1"/>
    </row>
    <row r="5786" ht="204.75" customHeight="1">
      <c r="A5786" s="1">
        <v>4640.0</v>
      </c>
      <c r="B5786" s="2" t="s">
        <v>15758</v>
      </c>
      <c r="C5786" s="2">
        <f>IFERROR(__xludf.DUMMYFUNCTION("split(B5786,""_"")"),1010.0)</f>
        <v>1010</v>
      </c>
      <c r="D5786" s="2" t="str">
        <f>IFERROR(__xludf.DUMMYFUNCTION("""COMPUTED_VALUE"""),"TBS")</f>
        <v>TBS</v>
      </c>
      <c r="E5786" s="2" t="str">
        <f>IFERROR(__xludf.DUMMYFUNCTION("""COMPUTED_VALUE"""),"日21")</f>
        <v>日21</v>
      </c>
      <c r="F5786" s="2" t="s">
        <v>15759</v>
      </c>
      <c r="G5786" s="2" t="s">
        <v>15764</v>
      </c>
      <c r="H5786" s="1">
        <v>3.0</v>
      </c>
      <c r="J5786" s="1" t="s">
        <v>11</v>
      </c>
      <c r="K5786" s="2" t="s">
        <v>15765</v>
      </c>
      <c r="L5786" s="2"/>
      <c r="M5786" s="2" t="str">
        <f>IFERROR(__xludf.DUMMYFUNCTION("split(split(K5786,""【"",false),""公式LINE"",false)"),"ケガをした捨て犬の治療の為、鳥取動物病院を訪れるマユ（大橋のぞみ）。  だが、ドリトル（小栗旬）は「家で飼えるよう親を説得して、30万円用意しろ。」と突き放してしまう。あすか（井上真央）は、鳥取を説得するが聞く耳を持たない。   その頃、日本最大チェーン・エンペラー動物病院の総院長・土門（國村隼）のところに、柴山農水大臣（佐々木勝彦）が孫の詩織（信太真妃）のペット（ハムスター）を連れてきたが…。鳥取健一（通称・ドリトル）…小栗　旬   多島あすか…井上真央   花菱　優…成宮寛貴   ☆  不動ルミ…藤澤"&amp;"恵麻＊友情出演  土門勇蔵…笠原秀幸   土門順平…菅田将暉   ☆  富沢教授…石坂浩二   ☆  土門大蔵…國村　隼    ")</f>
        <v>ケガをした捨て犬の治療の為、鳥取動物病院を訪れるマユ（大橋のぞみ）。  だが、ドリトル（小栗旬）は「家で飼えるよう親を説得して、30万円用意しろ。」と突き放してしまう。あすか（井上真央）は、鳥取を説得するが聞く耳を持たない。   その頃、日本最大チェーン・エンペラー動物病院の総院長・土門（國村隼）のところに、柴山農水大臣（佐々木勝彦）が孫の詩織（信太真妃）のペット（ハムスター）を連れてきたが…。鳥取健一（通称・ドリトル）…小栗　旬   多島あすか…井上真央   花菱　優…成宮寛貴   ☆  不動ルミ…藤澤恵麻＊友情出演  土門勇蔵…笠原秀幸   土門順平…菅田将暉   ☆  富沢教授…石坂浩二   ☆  土門大蔵…國村　隼    </v>
      </c>
      <c r="N5786" s="2"/>
      <c r="O5786" s="2"/>
      <c r="P5786" s="1"/>
      <c r="Q5786" s="1"/>
      <c r="R5786" s="1"/>
      <c r="S5786" s="1"/>
      <c r="T5786" s="1"/>
      <c r="U5786" s="1"/>
      <c r="V5786" s="1"/>
      <c r="W5786" s="1"/>
      <c r="X5786" s="1"/>
      <c r="Y5786" s="1"/>
      <c r="Z5786" s="1"/>
      <c r="AA5786" s="1"/>
      <c r="AB5786" s="1"/>
      <c r="AC5786" s="1"/>
      <c r="AD5786" s="1"/>
      <c r="AE5786" s="1"/>
      <c r="AF5786" s="1"/>
      <c r="AG5786" s="1"/>
      <c r="AH5786" s="1"/>
      <c r="AI5786" s="1"/>
      <c r="AJ5786" s="1"/>
      <c r="AK5786" s="1"/>
      <c r="AL5786" s="1"/>
      <c r="AM5786" s="1"/>
      <c r="AN5786" s="1"/>
      <c r="AO5786" s="1"/>
      <c r="AP5786" s="1"/>
      <c r="AQ5786" s="1"/>
      <c r="AR5786" s="1"/>
      <c r="AS5786" s="1"/>
      <c r="AT5786" s="1"/>
      <c r="AU5786" s="1"/>
      <c r="AV5786" s="1"/>
      <c r="AW5786" s="1"/>
      <c r="AX5786" s="1"/>
      <c r="AY5786" s="1"/>
      <c r="AZ5786" s="1"/>
      <c r="BA5786" s="1"/>
      <c r="BB5786" s="1"/>
    </row>
    <row r="5787" ht="204.75" customHeight="1">
      <c r="A5787" s="1">
        <v>4641.0</v>
      </c>
      <c r="B5787" s="2" t="s">
        <v>15758</v>
      </c>
      <c r="C5787" s="2">
        <f>IFERROR(__xludf.DUMMYFUNCTION("split(B5787,""_"")"),1010.0)</f>
        <v>1010</v>
      </c>
      <c r="D5787" s="2" t="str">
        <f>IFERROR(__xludf.DUMMYFUNCTION("""COMPUTED_VALUE"""),"TBS")</f>
        <v>TBS</v>
      </c>
      <c r="E5787" s="2" t="str">
        <f>IFERROR(__xludf.DUMMYFUNCTION("""COMPUTED_VALUE"""),"日21")</f>
        <v>日21</v>
      </c>
      <c r="F5787" s="2" t="s">
        <v>15759</v>
      </c>
      <c r="G5787" s="2" t="s">
        <v>15766</v>
      </c>
      <c r="H5787" s="1">
        <v>4.0</v>
      </c>
      <c r="J5787" s="1" t="s">
        <v>11</v>
      </c>
      <c r="K5787" s="2" t="s">
        <v>15767</v>
      </c>
      <c r="L5787" s="2"/>
      <c r="M5787" s="2" t="str">
        <f>IFERROR(__xludf.DUMMYFUNCTION("split(split(K5787,""【"",false),""公式LINE"",false)"),"ウサギのミミを抱えた芽衣（石井萌々果）が鳥取の病院にやってくる。ミミはCMにも出ているペット界のスター。金払いが良さそうだと診療を引き受け検査をすると、ミミには緊急手術の必要性があることが判明し、芽衣の母親・月野（国仲涼子）に連絡する。一方、国際ドッグショーでグランプリ犬になったエリが体調が悪いと飼い主・堀内（中村敦夫）が、花菱の病院を訪れる。病気の原因は野良犬にあるらしいのだが・・・。鳥取健一（通称・ドリトル）…小栗　旬   多島あすか…井上真央   花菱　優…成宮寛貴   ☆  不動ルミ…藤澤恵麻＊友"&amp;"情出演  土門勇蔵…笠原秀幸   土門順平…菅田将暉   ☆  富沢教授…石坂浩二   ☆  土門大蔵…國村　隼    ")</f>
        <v>ウサギのミミを抱えた芽衣（石井萌々果）が鳥取の病院にやってくる。ミミはCMにも出ているペット界のスター。金払いが良さそうだと診療を引き受け検査をすると、ミミには緊急手術の必要性があることが判明し、芽衣の母親・月野（国仲涼子）に連絡する。一方、国際ドッグショーでグランプリ犬になったエリが体調が悪いと飼い主・堀内（中村敦夫）が、花菱の病院を訪れる。病気の原因は野良犬にあるらしいのだが・・・。鳥取健一（通称・ドリトル）…小栗　旬   多島あすか…井上真央   花菱　優…成宮寛貴   ☆  不動ルミ…藤澤恵麻＊友情出演  土門勇蔵…笠原秀幸   土門順平…菅田将暉   ☆  富沢教授…石坂浩二   ☆  土門大蔵…國村　隼    </v>
      </c>
      <c r="N5787" s="2"/>
      <c r="O5787" s="2"/>
      <c r="P5787" s="1"/>
      <c r="Q5787" s="1"/>
      <c r="R5787" s="1"/>
      <c r="S5787" s="1"/>
      <c r="T5787" s="1"/>
      <c r="U5787" s="1"/>
      <c r="V5787" s="1"/>
      <c r="W5787" s="1"/>
      <c r="X5787" s="1"/>
      <c r="Y5787" s="1"/>
      <c r="Z5787" s="1"/>
      <c r="AA5787" s="1"/>
      <c r="AB5787" s="1"/>
      <c r="AC5787" s="1"/>
      <c r="AD5787" s="1"/>
      <c r="AE5787" s="1"/>
      <c r="AF5787" s="1"/>
      <c r="AG5787" s="1"/>
      <c r="AH5787" s="1"/>
      <c r="AI5787" s="1"/>
      <c r="AJ5787" s="1"/>
      <c r="AK5787" s="1"/>
      <c r="AL5787" s="1"/>
      <c r="AM5787" s="1"/>
      <c r="AN5787" s="1"/>
      <c r="AO5787" s="1"/>
      <c r="AP5787" s="1"/>
      <c r="AQ5787" s="1"/>
      <c r="AR5787" s="1"/>
      <c r="AS5787" s="1"/>
      <c r="AT5787" s="1"/>
      <c r="AU5787" s="1"/>
      <c r="AV5787" s="1"/>
      <c r="AW5787" s="1"/>
      <c r="AX5787" s="1"/>
      <c r="AY5787" s="1"/>
      <c r="AZ5787" s="1"/>
      <c r="BA5787" s="1"/>
      <c r="BB5787" s="1"/>
    </row>
    <row r="5788" ht="204.75" customHeight="1">
      <c r="A5788" s="1">
        <v>4642.0</v>
      </c>
      <c r="B5788" s="2" t="s">
        <v>15758</v>
      </c>
      <c r="C5788" s="2">
        <f>IFERROR(__xludf.DUMMYFUNCTION("split(B5788,""_"")"),1010.0)</f>
        <v>1010</v>
      </c>
      <c r="D5788" s="2" t="str">
        <f>IFERROR(__xludf.DUMMYFUNCTION("""COMPUTED_VALUE"""),"TBS")</f>
        <v>TBS</v>
      </c>
      <c r="E5788" s="2" t="str">
        <f>IFERROR(__xludf.DUMMYFUNCTION("""COMPUTED_VALUE"""),"日21")</f>
        <v>日21</v>
      </c>
      <c r="F5788" s="2" t="s">
        <v>15759</v>
      </c>
      <c r="G5788" s="2" t="s">
        <v>15768</v>
      </c>
      <c r="H5788" s="1">
        <v>5.0</v>
      </c>
      <c r="J5788" s="1" t="s">
        <v>11</v>
      </c>
      <c r="K5788" s="2" t="s">
        <v>15769</v>
      </c>
      <c r="L5788" s="2"/>
      <c r="M5788" s="2" t="str">
        <f>IFERROR(__xludf.DUMMYFUNCTION("split(split(K5788,""【"",false),""公式LINE"",false)"),"深夜、玄関をノックする音を聞いたあすか。ドアを開けるとズブ濡れの女性・瞳（りょう）が、瀕死の猫を抱いて立っていた。顔を合わせ名前を呼び合う鳥取と瞳に、あすかは驚く。しかし猫を渡した瞬間、瞳はその場に倒れこんでしまう。翌日、弥生（加藤治子）が庭に迷い込んだレース鳩の診察のため、鳥取病院を訪ねてきたのだが・・・。鳥取健一（通称・ドリトル）…小栗　旬   多島あすか…井上真央   花菱　優…成宮寛貴   ☆  不動ルミ…藤澤恵麻＊友情出演  土門勇蔵…笠原秀幸   土門順平…菅田将暉   ☆  富沢教授…石坂浩"&amp;"二   ☆  土門大蔵…國村　隼    　")</f>
        <v>深夜、玄関をノックする音を聞いたあすか。ドアを開けるとズブ濡れの女性・瞳（りょう）が、瀕死の猫を抱いて立っていた。顔を合わせ名前を呼び合う鳥取と瞳に、あすかは驚く。しかし猫を渡した瞬間、瞳はその場に倒れこんでしまう。翌日、弥生（加藤治子）が庭に迷い込んだレース鳩の診察のため、鳥取病院を訪ねてきたのだが・・・。鳥取健一（通称・ドリトル）…小栗　旬   多島あすか…井上真央   花菱　優…成宮寛貴   ☆  不動ルミ…藤澤恵麻＊友情出演  土門勇蔵…笠原秀幸   土門順平…菅田将暉   ☆  富沢教授…石坂浩二   ☆  土門大蔵…國村　隼    　</v>
      </c>
      <c r="N5788" s="2"/>
      <c r="O5788" s="2"/>
      <c r="P5788" s="1"/>
      <c r="Q5788" s="1"/>
      <c r="R5788" s="1"/>
      <c r="S5788" s="1"/>
      <c r="T5788" s="1"/>
      <c r="U5788" s="1"/>
      <c r="V5788" s="1"/>
      <c r="W5788" s="1"/>
      <c r="X5788" s="1"/>
      <c r="Y5788" s="1"/>
      <c r="Z5788" s="1"/>
      <c r="AA5788" s="1"/>
      <c r="AB5788" s="1"/>
      <c r="AC5788" s="1"/>
      <c r="AD5788" s="1"/>
      <c r="AE5788" s="1"/>
      <c r="AF5788" s="1"/>
      <c r="AG5788" s="1"/>
      <c r="AH5788" s="1"/>
      <c r="AI5788" s="1"/>
      <c r="AJ5788" s="1"/>
      <c r="AK5788" s="1"/>
      <c r="AL5788" s="1"/>
      <c r="AM5788" s="1"/>
      <c r="AN5788" s="1"/>
      <c r="AO5788" s="1"/>
      <c r="AP5788" s="1"/>
      <c r="AQ5788" s="1"/>
      <c r="AR5788" s="1"/>
      <c r="AS5788" s="1"/>
      <c r="AT5788" s="1"/>
      <c r="AU5788" s="1"/>
      <c r="AV5788" s="1"/>
      <c r="AW5788" s="1"/>
      <c r="AX5788" s="1"/>
      <c r="AY5788" s="1"/>
      <c r="AZ5788" s="1"/>
      <c r="BA5788" s="1"/>
      <c r="BB5788" s="1"/>
    </row>
    <row r="5789" ht="204.75" customHeight="1">
      <c r="A5789" s="1">
        <v>4643.0</v>
      </c>
      <c r="B5789" s="2" t="s">
        <v>15758</v>
      </c>
      <c r="C5789" s="2">
        <f>IFERROR(__xludf.DUMMYFUNCTION("split(B5789,""_"")"),1010.0)</f>
        <v>1010</v>
      </c>
      <c r="D5789" s="2" t="str">
        <f>IFERROR(__xludf.DUMMYFUNCTION("""COMPUTED_VALUE"""),"TBS")</f>
        <v>TBS</v>
      </c>
      <c r="E5789" s="2" t="str">
        <f>IFERROR(__xludf.DUMMYFUNCTION("""COMPUTED_VALUE"""),"日21")</f>
        <v>日21</v>
      </c>
      <c r="F5789" s="2" t="s">
        <v>15759</v>
      </c>
      <c r="G5789" s="2" t="s">
        <v>15770</v>
      </c>
      <c r="H5789" s="1">
        <v>6.0</v>
      </c>
      <c r="J5789" s="1" t="s">
        <v>11</v>
      </c>
      <c r="K5789" s="2" t="s">
        <v>15771</v>
      </c>
      <c r="L5789" s="2"/>
      <c r="M5789" s="2" t="str">
        <f>IFERROR(__xludf.DUMMYFUNCTION("split(split(K5789,""【"",false),""公式LINE"",false)"),"鳥取健一（通称・ドリトル）…小栗　旬   多島あすか…井上真央   花菱　優…成宮寛貴   ☆  不動ルミ…藤澤恵麻＊友情出演  土門勇蔵…笠原秀幸   土門順平…菅田将暉   ☆  富沢教授…石坂浩二   ☆  土門大蔵…國村　隼    ")</f>
        <v>鳥取健一（通称・ドリトル）…小栗　旬   多島あすか…井上真央   花菱　優…成宮寛貴   ☆  不動ルミ…藤澤恵麻＊友情出演  土門勇蔵…笠原秀幸   土門順平…菅田将暉   ☆  富沢教授…石坂浩二   ☆  土門大蔵…國村　隼    </v>
      </c>
      <c r="N5789" s="2"/>
      <c r="O5789" s="2"/>
      <c r="P5789" s="1"/>
      <c r="Q5789" s="1"/>
      <c r="R5789" s="1"/>
      <c r="S5789" s="1"/>
      <c r="T5789" s="1"/>
      <c r="U5789" s="1"/>
      <c r="V5789" s="1"/>
      <c r="W5789" s="1"/>
      <c r="X5789" s="1"/>
      <c r="Y5789" s="1"/>
      <c r="Z5789" s="1"/>
      <c r="AA5789" s="1"/>
      <c r="AB5789" s="1"/>
      <c r="AC5789" s="1"/>
      <c r="AD5789" s="1"/>
      <c r="AE5789" s="1"/>
      <c r="AF5789" s="1"/>
      <c r="AG5789" s="1"/>
      <c r="AH5789" s="1"/>
      <c r="AI5789" s="1"/>
      <c r="AJ5789" s="1"/>
      <c r="AK5789" s="1"/>
      <c r="AL5789" s="1"/>
      <c r="AM5789" s="1"/>
      <c r="AN5789" s="1"/>
      <c r="AO5789" s="1"/>
      <c r="AP5789" s="1"/>
      <c r="AQ5789" s="1"/>
      <c r="AR5789" s="1"/>
      <c r="AS5789" s="1"/>
      <c r="AT5789" s="1"/>
      <c r="AU5789" s="1"/>
      <c r="AV5789" s="1"/>
      <c r="AW5789" s="1"/>
      <c r="AX5789" s="1"/>
      <c r="AY5789" s="1"/>
      <c r="AZ5789" s="1"/>
      <c r="BA5789" s="1"/>
      <c r="BB5789" s="1"/>
    </row>
    <row r="5790" ht="204.75" customHeight="1">
      <c r="A5790" s="1">
        <v>4644.0</v>
      </c>
      <c r="B5790" s="2" t="s">
        <v>15758</v>
      </c>
      <c r="C5790" s="2">
        <f>IFERROR(__xludf.DUMMYFUNCTION("split(B5790,""_"")"),1010.0)</f>
        <v>1010</v>
      </c>
      <c r="D5790" s="2" t="str">
        <f>IFERROR(__xludf.DUMMYFUNCTION("""COMPUTED_VALUE"""),"TBS")</f>
        <v>TBS</v>
      </c>
      <c r="E5790" s="2" t="str">
        <f>IFERROR(__xludf.DUMMYFUNCTION("""COMPUTED_VALUE"""),"日21")</f>
        <v>日21</v>
      </c>
      <c r="F5790" s="2" t="s">
        <v>15759</v>
      </c>
      <c r="G5790" s="2" t="s">
        <v>15772</v>
      </c>
      <c r="H5790" s="1">
        <v>7.0</v>
      </c>
      <c r="J5790" s="1" t="s">
        <v>11</v>
      </c>
      <c r="K5790" s="2" t="s">
        <v>15773</v>
      </c>
      <c r="L5790" s="2"/>
      <c r="M5790" s="2" t="str">
        <f>IFERROR(__xludf.DUMMYFUNCTION("split(split(K5790,""【"",false),""公式LINE"",false)"),"ようやく鳥取動物病院での仕事も慣れてきた頃、薬の補充ミスをして鳥取（小栗旬）に怒られたあすか（井上真央）は落胆していた。  同じ頃、獣医を目指す高校生・広樹（早乙女太一）は、車道で倒れていた子猫を見つけるのだが、試験の時間が差し迫っていた。  広樹は、近くの鳥取動物病院の前に「猫の治療をお願いします。」と書いた手紙を置いて立ち去ってしまう…。鳥取健一（通称・ドリトル）…小栗　旬   多島あすか…井上真央   花菱　優…成宮寛貴   ☆  不動ルミ…藤澤恵麻＊友情出演  土門勇蔵…笠原秀幸   土門順平…菅"&amp;"田将暉   ☆  富沢教授…石坂浩二   ☆  土門大蔵…國村　隼    ")</f>
        <v>ようやく鳥取動物病院での仕事も慣れてきた頃、薬の補充ミスをして鳥取（小栗旬）に怒られたあすか（井上真央）は落胆していた。  同じ頃、獣医を目指す高校生・広樹（早乙女太一）は、車道で倒れていた子猫を見つけるのだが、試験の時間が差し迫っていた。  広樹は、近くの鳥取動物病院の前に「猫の治療をお願いします。」と書いた手紙を置いて立ち去ってしまう…。鳥取健一（通称・ドリトル）…小栗　旬   多島あすか…井上真央   花菱　優…成宮寛貴   ☆  不動ルミ…藤澤恵麻＊友情出演  土門勇蔵…笠原秀幸   土門順平…菅田将暉   ☆  富沢教授…石坂浩二   ☆  土門大蔵…國村　隼    </v>
      </c>
      <c r="N5790" s="2"/>
      <c r="O5790" s="2"/>
      <c r="P5790" s="1"/>
      <c r="Q5790" s="1"/>
      <c r="R5790" s="1"/>
      <c r="S5790" s="1"/>
      <c r="T5790" s="1"/>
      <c r="U5790" s="1"/>
      <c r="V5790" s="1"/>
      <c r="W5790" s="1"/>
      <c r="X5790" s="1"/>
      <c r="Y5790" s="1"/>
      <c r="Z5790" s="1"/>
      <c r="AA5790" s="1"/>
      <c r="AB5790" s="1"/>
      <c r="AC5790" s="1"/>
      <c r="AD5790" s="1"/>
      <c r="AE5790" s="1"/>
      <c r="AF5790" s="1"/>
      <c r="AG5790" s="1"/>
      <c r="AH5790" s="1"/>
      <c r="AI5790" s="1"/>
      <c r="AJ5790" s="1"/>
      <c r="AK5790" s="1"/>
      <c r="AL5790" s="1"/>
      <c r="AM5790" s="1"/>
      <c r="AN5790" s="1"/>
      <c r="AO5790" s="1"/>
      <c r="AP5790" s="1"/>
      <c r="AQ5790" s="1"/>
      <c r="AR5790" s="1"/>
      <c r="AS5790" s="1"/>
      <c r="AT5790" s="1"/>
      <c r="AU5790" s="1"/>
      <c r="AV5790" s="1"/>
      <c r="AW5790" s="1"/>
      <c r="AX5790" s="1"/>
      <c r="AY5790" s="1"/>
      <c r="AZ5790" s="1"/>
      <c r="BA5790" s="1"/>
      <c r="BB5790" s="1"/>
    </row>
    <row r="5791" ht="204.75" customHeight="1">
      <c r="A5791" s="1">
        <v>4645.0</v>
      </c>
      <c r="B5791" s="2" t="s">
        <v>15758</v>
      </c>
      <c r="C5791" s="2">
        <f>IFERROR(__xludf.DUMMYFUNCTION("split(B5791,""_"")"),1010.0)</f>
        <v>1010</v>
      </c>
      <c r="D5791" s="2" t="str">
        <f>IFERROR(__xludf.DUMMYFUNCTION("""COMPUTED_VALUE"""),"TBS")</f>
        <v>TBS</v>
      </c>
      <c r="E5791" s="2" t="str">
        <f>IFERROR(__xludf.DUMMYFUNCTION("""COMPUTED_VALUE"""),"日21")</f>
        <v>日21</v>
      </c>
      <c r="F5791" s="2" t="s">
        <v>15759</v>
      </c>
      <c r="G5791" s="2" t="s">
        <v>15774</v>
      </c>
      <c r="H5791" s="1">
        <v>8.0</v>
      </c>
      <c r="J5791" s="1" t="s">
        <v>11</v>
      </c>
      <c r="K5791" s="2" t="s">
        <v>15775</v>
      </c>
      <c r="L5791" s="2"/>
      <c r="M5791" s="2" t="str">
        <f>IFERROR(__xludf.DUMMYFUNCTION("split(split(K5791,""【"",false),""公式LINE"",false)"),"人気女優の三島ユイ（夏帆）は、1か月前に拾った愛猫ライムがなかなか上手に排泄出来ないと、鳥取（小栗旬）の元を訪れる。  そこで、念願のフランスで1年間仕事をすることになったから、ライムを安楽死させて欲しいと申し出るユイ。  あすか（井上真央）は、自分の都合で安楽死をさせるなんてと反発するが、その時、鳥取は…。 鳥取健一（通称・ドリトル）…小栗旬   多島あすか…井上真央   花菱　優…成宮寛貴   ☆  不動ルミ…藤澤恵麻＊友情出演  土門勇蔵…笠原秀幸   土門順平…菅田将暉   ☆  富沢教授…石坂浩"&amp;"二   ☆  土門大蔵…國村隼    ")</f>
        <v>人気女優の三島ユイ（夏帆）は、1か月前に拾った愛猫ライムがなかなか上手に排泄出来ないと、鳥取（小栗旬）の元を訪れる。  そこで、念願のフランスで1年間仕事をすることになったから、ライムを安楽死させて欲しいと申し出るユイ。  あすか（井上真央）は、自分の都合で安楽死をさせるなんてと反発するが、その時、鳥取は…。 鳥取健一（通称・ドリトル）…小栗旬   多島あすか…井上真央   花菱　優…成宮寛貴   ☆  不動ルミ…藤澤恵麻＊友情出演  土門勇蔵…笠原秀幸   土門順平…菅田将暉   ☆  富沢教授…石坂浩二   ☆  土門大蔵…國村隼    </v>
      </c>
      <c r="N5791" s="2"/>
      <c r="O5791" s="2"/>
      <c r="P5791" s="1"/>
      <c r="Q5791" s="1"/>
      <c r="R5791" s="1"/>
      <c r="S5791" s="1"/>
      <c r="T5791" s="1"/>
      <c r="U5791" s="1"/>
      <c r="V5791" s="1"/>
      <c r="W5791" s="1"/>
      <c r="X5791" s="1"/>
      <c r="Y5791" s="1"/>
      <c r="Z5791" s="1"/>
      <c r="AA5791" s="1"/>
      <c r="AB5791" s="1"/>
      <c r="AC5791" s="1"/>
      <c r="AD5791" s="1"/>
      <c r="AE5791" s="1"/>
      <c r="AF5791" s="1"/>
      <c r="AG5791" s="1"/>
      <c r="AH5791" s="1"/>
      <c r="AI5791" s="1"/>
      <c r="AJ5791" s="1"/>
      <c r="AK5791" s="1"/>
      <c r="AL5791" s="1"/>
      <c r="AM5791" s="1"/>
      <c r="AN5791" s="1"/>
      <c r="AO5791" s="1"/>
      <c r="AP5791" s="1"/>
      <c r="AQ5791" s="1"/>
      <c r="AR5791" s="1"/>
      <c r="AS5791" s="1"/>
      <c r="AT5791" s="1"/>
      <c r="AU5791" s="1"/>
      <c r="AV5791" s="1"/>
      <c r="AW5791" s="1"/>
      <c r="AX5791" s="1"/>
      <c r="AY5791" s="1"/>
      <c r="AZ5791" s="1"/>
      <c r="BA5791" s="1"/>
      <c r="BB5791" s="1"/>
    </row>
    <row r="5792" ht="204.75" customHeight="1">
      <c r="A5792" s="1">
        <v>4646.0</v>
      </c>
      <c r="B5792" s="2" t="s">
        <v>15758</v>
      </c>
      <c r="C5792" s="2">
        <f>IFERROR(__xludf.DUMMYFUNCTION("split(B5792,""_"")"),1010.0)</f>
        <v>1010</v>
      </c>
      <c r="D5792" s="2" t="str">
        <f>IFERROR(__xludf.DUMMYFUNCTION("""COMPUTED_VALUE"""),"TBS")</f>
        <v>TBS</v>
      </c>
      <c r="E5792" s="2" t="str">
        <f>IFERROR(__xludf.DUMMYFUNCTION("""COMPUTED_VALUE"""),"日21")</f>
        <v>日21</v>
      </c>
      <c r="F5792" s="2" t="s">
        <v>15759</v>
      </c>
      <c r="G5792" s="2" t="s">
        <v>15776</v>
      </c>
      <c r="H5792" s="1">
        <v>9.0</v>
      </c>
      <c r="J5792" s="1" t="s">
        <v>4</v>
      </c>
      <c r="K5792" s="2" t="s">
        <v>15777</v>
      </c>
      <c r="L5792" s="2"/>
      <c r="M5792" s="2" t="str">
        <f>IFERROR(__xludf.DUMMYFUNCTION("split(split(K5792,""【"",false),""公式LINE"",false)"),"鳥取健一（通称・ドリトル）…小栗旬   多島あすか…井上真央   花菱　優…成宮寛貴   ☆  不動ルミ…藤澤恵麻＊友情出演  土門勇蔵…笠原秀幸   土門順平…菅田将暉   ☆  富沢教授…石坂浩二   ☆  土門大蔵…國村隼土門家の愛犬・バルザックを抱え、順平（菅田将暉）が鳥取動物病院に駆け込んでくる。  土門親子の揉め事に巻き込まれ、大怪我を負ったバルザックのオペは難易度の高いものだった。  鳥取（小栗旬）は、順平に手術費を払うよう父・土門総院長（國村隼）に確認をさせるが、土門はバルザックの安楽死を"&amp;"順平に勧める。父の言葉に落胆してしまう順平。そこに、順平と土門の会話を聞いていた勇蔵（笠原秀幸）が鳥取動物病院にやってくるが…。   ")</f>
        <v>鳥取健一（通称・ドリトル）…小栗旬   多島あすか…井上真央   花菱　優…成宮寛貴   ☆  不動ルミ…藤澤恵麻＊友情出演  土門勇蔵…笠原秀幸   土門順平…菅田将暉   ☆  富沢教授…石坂浩二   ☆  土門大蔵…國村隼土門家の愛犬・バルザックを抱え、順平（菅田将暉）が鳥取動物病院に駆け込んでくる。  土門親子の揉め事に巻き込まれ、大怪我を負ったバルザックのオペは難易度の高いものだった。  鳥取（小栗旬）は、順平に手術費を払うよう父・土門総院長（國村隼）に確認をさせるが、土門はバルザックの安楽死を順平に勧める。父の言葉に落胆してしまう順平。そこに、順平と土門の会話を聞いていた勇蔵（笠原秀幸）が鳥取動物病院にやってくるが…。   </v>
      </c>
      <c r="N5792" s="2"/>
      <c r="O5792" s="2"/>
      <c r="P5792" s="1"/>
      <c r="Q5792" s="1"/>
      <c r="R5792" s="1"/>
      <c r="S5792" s="1"/>
      <c r="T5792" s="1"/>
      <c r="U5792" s="1"/>
      <c r="V5792" s="1"/>
      <c r="W5792" s="1"/>
      <c r="X5792" s="1"/>
      <c r="Y5792" s="1"/>
      <c r="Z5792" s="1"/>
      <c r="AA5792" s="1"/>
      <c r="AB5792" s="1"/>
      <c r="AC5792" s="1"/>
      <c r="AD5792" s="1"/>
      <c r="AE5792" s="1"/>
      <c r="AF5792" s="1"/>
      <c r="AG5792" s="1"/>
      <c r="AH5792" s="1"/>
      <c r="AI5792" s="1"/>
      <c r="AJ5792" s="1"/>
      <c r="AK5792" s="1"/>
      <c r="AL5792" s="1"/>
      <c r="AM5792" s="1"/>
      <c r="AN5792" s="1"/>
      <c r="AO5792" s="1"/>
      <c r="AP5792" s="1"/>
      <c r="AQ5792" s="1"/>
      <c r="AR5792" s="1"/>
      <c r="AS5792" s="1"/>
      <c r="AT5792" s="1"/>
      <c r="AU5792" s="1"/>
      <c r="AV5792" s="1"/>
      <c r="AW5792" s="1"/>
      <c r="AX5792" s="1"/>
      <c r="AY5792" s="1"/>
      <c r="AZ5792" s="1"/>
      <c r="BA5792" s="1"/>
      <c r="BB5792" s="1"/>
    </row>
    <row r="5793" ht="204.75" customHeight="1">
      <c r="A5793" s="1">
        <v>4729.0</v>
      </c>
      <c r="B5793" s="2" t="s">
        <v>15778</v>
      </c>
      <c r="C5793" s="2">
        <f>IFERROR(__xludf.DUMMYFUNCTION("split(B5793,""_"")"),1007.0)</f>
        <v>1007</v>
      </c>
      <c r="D5793" s="2" t="str">
        <f>IFERROR(__xludf.DUMMYFUNCTION("""COMPUTED_VALUE"""),"TBS")</f>
        <v>TBS</v>
      </c>
      <c r="E5793" s="2" t="str">
        <f>IFERROR(__xludf.DUMMYFUNCTION("""COMPUTED_VALUE"""),"金22")</f>
        <v>金22</v>
      </c>
      <c r="F5793" s="2" t="s">
        <v>15779</v>
      </c>
      <c r="G5793" s="2" t="s">
        <v>15780</v>
      </c>
      <c r="H5793" s="1">
        <v>1.0</v>
      </c>
      <c r="J5793" s="1" t="s">
        <v>82</v>
      </c>
      <c r="K5793" s="2" t="s">
        <v>15781</v>
      </c>
      <c r="L5793" s="2"/>
      <c r="M5793" s="2" t="str">
        <f>IFERROR(__xludf.DUMMYFUNCTION("split(split(K5793,""【"",false),""公式LINE"",false)"),"宮藤官九郎の脚本・演出のオリジナル刑事ドラマ。長瀬智也演じる、通称「うぬぼれ」は超恋愛体質。いつも容疑者と思しき女性に一目惚れしてしまう。事件を解決したいというよりは、彼女に会いたい一心でまとわりついているうちに、ついつい証拠を掴んでしまう。いつも間違った意見をアドバイスするうぬぼれ5や元刑事の父親や嫉妬深い元彼女など、うぬぼれの周りにはミスリードでいっぱい。それでも彼は犯人を愛情で逮捕する！長瀬智也…うぬぼれ  生田斗真…本城サダメ  中島美嘉…日暮里恵  荒川良々…冴木優  要潤…松岡征士郎  矢作兼"&amp;"…穴井貴一  坂東三津五郎…栗橋誠  西田敏行…葉造    ")</f>
        <v>宮藤官九郎の脚本・演出のオリジナル刑事ドラマ。長瀬智也演じる、通称「うぬぼれ」は超恋愛体質。いつも容疑者と思しき女性に一目惚れしてしまう。事件を解決したいというよりは、彼女に会いたい一心でまとわりついているうちに、ついつい証拠を掴んでしまう。いつも間違った意見をアドバイスするうぬぼれ5や元刑事の父親や嫉妬深い元彼女など、うぬぼれの周りにはミスリードでいっぱい。それでも彼は犯人を愛情で逮捕する！長瀬智也…うぬぼれ  生田斗真…本城サダメ  中島美嘉…日暮里恵  荒川良々…冴木優  要潤…松岡征士郎  矢作兼…穴井貴一  坂東三津五郎…栗橋誠  西田敏行…葉造    </v>
      </c>
      <c r="N5793" s="2"/>
      <c r="O5793" s="2"/>
      <c r="P5793" s="1"/>
      <c r="Q5793" s="1"/>
      <c r="R5793" s="1"/>
      <c r="S5793" s="1"/>
      <c r="T5793" s="1"/>
      <c r="U5793" s="1"/>
      <c r="V5793" s="1"/>
      <c r="W5793" s="1"/>
      <c r="X5793" s="1"/>
      <c r="Y5793" s="1"/>
      <c r="Z5793" s="1"/>
      <c r="AA5793" s="1"/>
      <c r="AB5793" s="1"/>
      <c r="AC5793" s="1"/>
      <c r="AD5793" s="1"/>
      <c r="AE5793" s="1"/>
      <c r="AF5793" s="1"/>
      <c r="AG5793" s="1"/>
      <c r="AH5793" s="1"/>
      <c r="AI5793" s="1"/>
      <c r="AJ5793" s="1"/>
      <c r="AK5793" s="1"/>
      <c r="AL5793" s="1"/>
      <c r="AM5793" s="1"/>
      <c r="AN5793" s="1"/>
      <c r="AO5793" s="1"/>
      <c r="AP5793" s="1"/>
      <c r="AQ5793" s="1"/>
      <c r="AR5793" s="1"/>
      <c r="AS5793" s="1"/>
      <c r="AT5793" s="1"/>
      <c r="AU5793" s="1"/>
      <c r="AV5793" s="1"/>
      <c r="AW5793" s="1"/>
      <c r="AX5793" s="1"/>
      <c r="AY5793" s="1"/>
      <c r="AZ5793" s="1"/>
      <c r="BA5793" s="1"/>
      <c r="BB5793" s="1"/>
    </row>
    <row r="5794" ht="204.75" customHeight="1">
      <c r="A5794" s="1">
        <v>4730.0</v>
      </c>
      <c r="B5794" s="2" t="s">
        <v>15778</v>
      </c>
      <c r="C5794" s="2">
        <f>IFERROR(__xludf.DUMMYFUNCTION("split(B5794,""_"")"),1007.0)</f>
        <v>1007</v>
      </c>
      <c r="D5794" s="2" t="str">
        <f>IFERROR(__xludf.DUMMYFUNCTION("""COMPUTED_VALUE"""),"TBS")</f>
        <v>TBS</v>
      </c>
      <c r="E5794" s="2" t="str">
        <f>IFERROR(__xludf.DUMMYFUNCTION("""COMPUTED_VALUE"""),"金22")</f>
        <v>金22</v>
      </c>
      <c r="F5794" s="2" t="s">
        <v>15779</v>
      </c>
      <c r="G5794" s="2" t="s">
        <v>15782</v>
      </c>
      <c r="H5794" s="1">
        <v>2.0</v>
      </c>
      <c r="J5794" s="1" t="s">
        <v>86</v>
      </c>
      <c r="K5794" s="2" t="s">
        <v>15783</v>
      </c>
      <c r="L5794" s="2"/>
      <c r="M5794" s="2" t="str">
        <f>IFERROR(__xludf.DUMMYFUNCTION("split(split(K5794,""【"",false),""公式LINE"",false)"),"宮藤官九郎の脚本・演出のオリジナル刑事ドラマ。長瀬智也演じる、うぬぼれ刑事は超恋愛体質。いつも容疑者と思しき女性に一目惚れしてしまう。第2話「癒し系」では、マッサージ師・小沼（蒼井優）と出会い、恋に落ちる。しかしこの女、実は婚活サギの常習犯で保険金殺人の疑いもある希代の悪女だった。彼女に会いたい一心で居所をつきとめたうぬぼれだったが、逆にお金を無心されてしまい…。長瀬智也…うぬぼれ  生田斗真…本城サダメ  中島美嘉…日暮里恵  荒川良々…冴木優  要潤…松岡征士郎  矢作兼…穴井貴一  坂東三津五郎…栗"&amp;"橋誠  西田敏行…葉造    「癒し系」ゲスト…蒼井優")</f>
        <v>宮藤官九郎の脚本・演出のオリジナル刑事ドラマ。長瀬智也演じる、うぬぼれ刑事は超恋愛体質。いつも容疑者と思しき女性に一目惚れしてしまう。第2話「癒し系」では、マッサージ師・小沼（蒼井優）と出会い、恋に落ちる。しかしこの女、実は婚活サギの常習犯で保険金殺人の疑いもある希代の悪女だった。彼女に会いたい一心で居所をつきとめたうぬぼれだったが、逆にお金を無心されてしまい…。長瀬智也…うぬぼれ  生田斗真…本城サダメ  中島美嘉…日暮里恵  荒川良々…冴木優  要潤…松岡征士郎  矢作兼…穴井貴一  坂東三津五郎…栗橋誠  西田敏行…葉造    「癒し系」ゲスト…蒼井優</v>
      </c>
      <c r="N5794" s="2"/>
      <c r="O5794" s="2"/>
      <c r="P5794" s="1"/>
      <c r="Q5794" s="1"/>
      <c r="R5794" s="1"/>
      <c r="S5794" s="1"/>
      <c r="T5794" s="1"/>
      <c r="U5794" s="1"/>
      <c r="V5794" s="1"/>
      <c r="W5794" s="1"/>
      <c r="X5794" s="1"/>
      <c r="Y5794" s="1"/>
      <c r="Z5794" s="1"/>
      <c r="AA5794" s="1"/>
      <c r="AB5794" s="1"/>
      <c r="AC5794" s="1"/>
      <c r="AD5794" s="1"/>
      <c r="AE5794" s="1"/>
      <c r="AF5794" s="1"/>
      <c r="AG5794" s="1"/>
      <c r="AH5794" s="1"/>
      <c r="AI5794" s="1"/>
      <c r="AJ5794" s="1"/>
      <c r="AK5794" s="1"/>
      <c r="AL5794" s="1"/>
      <c r="AM5794" s="1"/>
      <c r="AN5794" s="1"/>
      <c r="AO5794" s="1"/>
      <c r="AP5794" s="1"/>
      <c r="AQ5794" s="1"/>
      <c r="AR5794" s="1"/>
      <c r="AS5794" s="1"/>
      <c r="AT5794" s="1"/>
      <c r="AU5794" s="1"/>
      <c r="AV5794" s="1"/>
      <c r="AW5794" s="1"/>
      <c r="AX5794" s="1"/>
      <c r="AY5794" s="1"/>
      <c r="AZ5794" s="1"/>
      <c r="BA5794" s="1"/>
      <c r="BB5794" s="1"/>
    </row>
    <row r="5795" ht="204.75" customHeight="1">
      <c r="A5795" s="1">
        <v>4731.0</v>
      </c>
      <c r="B5795" s="2" t="s">
        <v>15778</v>
      </c>
      <c r="C5795" s="2">
        <f>IFERROR(__xludf.DUMMYFUNCTION("split(B5795,""_"")"),1007.0)</f>
        <v>1007</v>
      </c>
      <c r="D5795" s="2" t="str">
        <f>IFERROR(__xludf.DUMMYFUNCTION("""COMPUTED_VALUE"""),"TBS")</f>
        <v>TBS</v>
      </c>
      <c r="E5795" s="2" t="str">
        <f>IFERROR(__xludf.DUMMYFUNCTION("""COMPUTED_VALUE"""),"金22")</f>
        <v>金22</v>
      </c>
      <c r="F5795" s="2" t="s">
        <v>15779</v>
      </c>
      <c r="G5795" s="2" t="s">
        <v>15784</v>
      </c>
      <c r="H5795" s="1">
        <v>3.0</v>
      </c>
      <c r="J5795" s="1" t="s">
        <v>86</v>
      </c>
      <c r="K5795" s="2" t="s">
        <v>15785</v>
      </c>
      <c r="L5795" s="2"/>
      <c r="M5795" s="2" t="str">
        <f>IFERROR(__xludf.DUMMYFUNCTION("split(split(K5795,""【"",false),""公式LINE"",false)"),"宮藤官九郎の脚本のオリジナル刑事ドラマ。長瀬智也演じる「うぬぼれ」は超恋愛体質。いつも容疑者と思しき女性に一目惚れしてしまい、彼女にまとわりついているうちに事件を解決する。第3話は、選挙活動中の国会議員候補・青木たまえ（樋口可南子）の声に惹かれて恋に落ちる。献金疑惑を理由に自殺した夫との関係を追求していくうぬぼれだが、彼女にもやはり秘密があった…。家に通いつめるうぬぼれと人妻の道ならぬ恋の行方は？長瀬智也…うぬぼれ  生田斗真…本城サダメ  中島美嘉…日暮里恵  荒川良々…冴木優  要潤…松岡征士郎  矢"&amp;"作兼…穴井貴一  坂東三津五郎…栗橋誠  西田敏行…葉造    「野心派」ゲスト…樋口可南子")</f>
        <v>宮藤官九郎の脚本のオリジナル刑事ドラマ。長瀬智也演じる「うぬぼれ」は超恋愛体質。いつも容疑者と思しき女性に一目惚れしてしまい、彼女にまとわりついているうちに事件を解決する。第3話は、選挙活動中の国会議員候補・青木たまえ（樋口可南子）の声に惹かれて恋に落ちる。献金疑惑を理由に自殺した夫との関係を追求していくうぬぼれだが、彼女にもやはり秘密があった…。家に通いつめるうぬぼれと人妻の道ならぬ恋の行方は？長瀬智也…うぬぼれ  生田斗真…本城サダメ  中島美嘉…日暮里恵  荒川良々…冴木優  要潤…松岡征士郎  矢作兼…穴井貴一  坂東三津五郎…栗橋誠  西田敏行…葉造    「野心派」ゲスト…樋口可南子</v>
      </c>
      <c r="N5795" s="2"/>
      <c r="O5795" s="2"/>
      <c r="P5795" s="1"/>
      <c r="Q5795" s="1"/>
      <c r="R5795" s="1"/>
      <c r="S5795" s="1"/>
      <c r="T5795" s="1"/>
      <c r="U5795" s="1"/>
      <c r="V5795" s="1"/>
      <c r="W5795" s="1"/>
      <c r="X5795" s="1"/>
      <c r="Y5795" s="1"/>
      <c r="Z5795" s="1"/>
      <c r="AA5795" s="1"/>
      <c r="AB5795" s="1"/>
      <c r="AC5795" s="1"/>
      <c r="AD5795" s="1"/>
      <c r="AE5795" s="1"/>
      <c r="AF5795" s="1"/>
      <c r="AG5795" s="1"/>
      <c r="AH5795" s="1"/>
      <c r="AI5795" s="1"/>
      <c r="AJ5795" s="1"/>
      <c r="AK5795" s="1"/>
      <c r="AL5795" s="1"/>
      <c r="AM5795" s="1"/>
      <c r="AN5795" s="1"/>
      <c r="AO5795" s="1"/>
      <c r="AP5795" s="1"/>
      <c r="AQ5795" s="1"/>
      <c r="AR5795" s="1"/>
      <c r="AS5795" s="1"/>
      <c r="AT5795" s="1"/>
      <c r="AU5795" s="1"/>
      <c r="AV5795" s="1"/>
      <c r="AW5795" s="1"/>
      <c r="AX5795" s="1"/>
      <c r="AY5795" s="1"/>
      <c r="AZ5795" s="1"/>
      <c r="BA5795" s="1"/>
      <c r="BB5795" s="1"/>
    </row>
    <row r="5796" ht="204.75" customHeight="1">
      <c r="A5796" s="1">
        <v>4732.0</v>
      </c>
      <c r="B5796" s="2" t="s">
        <v>15778</v>
      </c>
      <c r="C5796" s="2">
        <f>IFERROR(__xludf.DUMMYFUNCTION("split(B5796,""_"")"),1007.0)</f>
        <v>1007</v>
      </c>
      <c r="D5796" s="2" t="str">
        <f>IFERROR(__xludf.DUMMYFUNCTION("""COMPUTED_VALUE"""),"TBS")</f>
        <v>TBS</v>
      </c>
      <c r="E5796" s="2" t="str">
        <f>IFERROR(__xludf.DUMMYFUNCTION("""COMPUTED_VALUE"""),"金22")</f>
        <v>金22</v>
      </c>
      <c r="F5796" s="2" t="s">
        <v>15779</v>
      </c>
      <c r="G5796" s="2" t="s">
        <v>15786</v>
      </c>
      <c r="H5796" s="1">
        <v>4.0</v>
      </c>
      <c r="J5796" s="1" t="s">
        <v>86</v>
      </c>
      <c r="K5796" s="2" t="s">
        <v>15787</v>
      </c>
      <c r="L5796" s="2"/>
      <c r="M5796" s="2" t="str">
        <f>IFERROR(__xludf.DUMMYFUNCTION("split(split(K5796,""【"",false),""公式LINE"",false)"),"宮藤官九郎の脚本・演出のオリジナル刑事ドラマ。長瀬智也演じる、通称「うぬぼれ」は超恋愛体質。いつも容疑者と思しき女性に一目惚れしてしまい、彼女にまとわりついているうちに事件を解決する。第4話は、所沢で発見された変死体・羽柴祐子（戸田恵梨香）。すでにこの世にいない相手との恋の妄想を繰り広げながら、捜査をしていく中で彼女のもうひとつの顔が見えてくる。一方で、穴井はGSの女、ユリに一目惚れするが…。長瀬智也…うぬぼれ  生田斗真…本城サダメ  中島美嘉…日暮里恵  荒川良々…冴木優  要潤…松岡征士郎  矢作兼"&amp;"…穴井貴一  坂東三津五郎…栗橋誠  西田敏行…葉造    「地元流」ゲスト…戸田恵梨香")</f>
        <v>宮藤官九郎の脚本・演出のオリジナル刑事ドラマ。長瀬智也演じる、通称「うぬぼれ」は超恋愛体質。いつも容疑者と思しき女性に一目惚れしてしまい、彼女にまとわりついているうちに事件を解決する。第4話は、所沢で発見された変死体・羽柴祐子（戸田恵梨香）。すでにこの世にいない相手との恋の妄想を繰り広げながら、捜査をしていく中で彼女のもうひとつの顔が見えてくる。一方で、穴井はGSの女、ユリに一目惚れするが…。長瀬智也…うぬぼれ  生田斗真…本城サダメ  中島美嘉…日暮里恵  荒川良々…冴木優  要潤…松岡征士郎  矢作兼…穴井貴一  坂東三津五郎…栗橋誠  西田敏行…葉造    「地元流」ゲスト…戸田恵梨香</v>
      </c>
      <c r="N5796" s="2"/>
      <c r="O5796" s="2"/>
      <c r="P5796" s="1"/>
      <c r="Q5796" s="1"/>
      <c r="R5796" s="1"/>
      <c r="S5796" s="1"/>
      <c r="T5796" s="1"/>
      <c r="U5796" s="1"/>
      <c r="V5796" s="1"/>
      <c r="W5796" s="1"/>
      <c r="X5796" s="1"/>
      <c r="Y5796" s="1"/>
      <c r="Z5796" s="1"/>
      <c r="AA5796" s="1"/>
      <c r="AB5796" s="1"/>
      <c r="AC5796" s="1"/>
      <c r="AD5796" s="1"/>
      <c r="AE5796" s="1"/>
      <c r="AF5796" s="1"/>
      <c r="AG5796" s="1"/>
      <c r="AH5796" s="1"/>
      <c r="AI5796" s="1"/>
      <c r="AJ5796" s="1"/>
      <c r="AK5796" s="1"/>
      <c r="AL5796" s="1"/>
      <c r="AM5796" s="1"/>
      <c r="AN5796" s="1"/>
      <c r="AO5796" s="1"/>
      <c r="AP5796" s="1"/>
      <c r="AQ5796" s="1"/>
      <c r="AR5796" s="1"/>
      <c r="AS5796" s="1"/>
      <c r="AT5796" s="1"/>
      <c r="AU5796" s="1"/>
      <c r="AV5796" s="1"/>
      <c r="AW5796" s="1"/>
      <c r="AX5796" s="1"/>
      <c r="AY5796" s="1"/>
      <c r="AZ5796" s="1"/>
      <c r="BA5796" s="1"/>
      <c r="BB5796" s="1"/>
    </row>
    <row r="5797" ht="204.75" customHeight="1">
      <c r="A5797" s="1">
        <v>4733.0</v>
      </c>
      <c r="B5797" s="2" t="s">
        <v>15778</v>
      </c>
      <c r="C5797" s="2">
        <f>IFERROR(__xludf.DUMMYFUNCTION("split(B5797,""_"")"),1007.0)</f>
        <v>1007</v>
      </c>
      <c r="D5797" s="2" t="str">
        <f>IFERROR(__xludf.DUMMYFUNCTION("""COMPUTED_VALUE"""),"TBS")</f>
        <v>TBS</v>
      </c>
      <c r="E5797" s="2" t="str">
        <f>IFERROR(__xludf.DUMMYFUNCTION("""COMPUTED_VALUE"""),"金22")</f>
        <v>金22</v>
      </c>
      <c r="F5797" s="2" t="s">
        <v>15779</v>
      </c>
      <c r="G5797" s="2" t="s">
        <v>15788</v>
      </c>
      <c r="H5797" s="1">
        <v>5.0</v>
      </c>
      <c r="J5797" s="1" t="s">
        <v>86</v>
      </c>
      <c r="K5797" s="2" t="s">
        <v>15789</v>
      </c>
      <c r="L5797" s="2"/>
      <c r="M5797" s="2" t="str">
        <f>IFERROR(__xludf.DUMMYFUNCTION("split(split(K5797,""【"",false),""公式LINE"",false)"),"宮藤官九郎の脚本のオリジナル刑事ドラマ。長瀬智也演じる通称「うぬぼれ」は超恋愛体質。「甘党」の今夜は、うぬぼれが事件の被害者二人の葬式で出会った謎の女性（薬師丸ひろ子）に一目ぼれする。しかも変死した被害者の妻たちは松岡（要潤）のスイーツ教室の生徒だった。清純な人妻をそそのかし、亭主を殺させた罪で逮捕される松岡。うぬぼれは松岡を助けるべく捜査を続けるが、突然謎の女性がバーで待ってると連絡を受ける…長瀬智也…うぬぼれ  生田斗真…本城サダメ  中島美嘉…日暮里恵  荒川良々…冴木優  要潤…松岡征士郎  矢作"&amp;"兼…穴井貴一  坂東三津五郎…栗橋誠  西田敏行…葉造    「甘党」ゲスト…薬師丸ひろ子")</f>
        <v>宮藤官九郎の脚本のオリジナル刑事ドラマ。長瀬智也演じる通称「うぬぼれ」は超恋愛体質。「甘党」の今夜は、うぬぼれが事件の被害者二人の葬式で出会った謎の女性（薬師丸ひろ子）に一目ぼれする。しかも変死した被害者の妻たちは松岡（要潤）のスイーツ教室の生徒だった。清純な人妻をそそのかし、亭主を殺させた罪で逮捕される松岡。うぬぼれは松岡を助けるべく捜査を続けるが、突然謎の女性がバーで待ってると連絡を受ける…長瀬智也…うぬぼれ  生田斗真…本城サダメ  中島美嘉…日暮里恵  荒川良々…冴木優  要潤…松岡征士郎  矢作兼…穴井貴一  坂東三津五郎…栗橋誠  西田敏行…葉造    「甘党」ゲスト…薬師丸ひろ子</v>
      </c>
      <c r="N5797" s="2"/>
      <c r="O5797" s="2"/>
      <c r="P5797" s="1"/>
      <c r="Q5797" s="1"/>
      <c r="R5797" s="1"/>
      <c r="S5797" s="1"/>
      <c r="T5797" s="1"/>
      <c r="U5797" s="1"/>
      <c r="V5797" s="1"/>
      <c r="W5797" s="1"/>
      <c r="X5797" s="1"/>
      <c r="Y5797" s="1"/>
      <c r="Z5797" s="1"/>
      <c r="AA5797" s="1"/>
      <c r="AB5797" s="1"/>
      <c r="AC5797" s="1"/>
      <c r="AD5797" s="1"/>
      <c r="AE5797" s="1"/>
      <c r="AF5797" s="1"/>
      <c r="AG5797" s="1"/>
      <c r="AH5797" s="1"/>
      <c r="AI5797" s="1"/>
      <c r="AJ5797" s="1"/>
      <c r="AK5797" s="1"/>
      <c r="AL5797" s="1"/>
      <c r="AM5797" s="1"/>
      <c r="AN5797" s="1"/>
      <c r="AO5797" s="1"/>
      <c r="AP5797" s="1"/>
      <c r="AQ5797" s="1"/>
      <c r="AR5797" s="1"/>
      <c r="AS5797" s="1"/>
      <c r="AT5797" s="1"/>
      <c r="AU5797" s="1"/>
      <c r="AV5797" s="1"/>
      <c r="AW5797" s="1"/>
      <c r="AX5797" s="1"/>
      <c r="AY5797" s="1"/>
      <c r="AZ5797" s="1"/>
      <c r="BA5797" s="1"/>
      <c r="BB5797" s="1"/>
    </row>
    <row r="5798" ht="204.75" customHeight="1">
      <c r="A5798" s="1">
        <v>4734.0</v>
      </c>
      <c r="B5798" s="2" t="s">
        <v>15778</v>
      </c>
      <c r="C5798" s="2">
        <f>IFERROR(__xludf.DUMMYFUNCTION("split(B5798,""_"")"),1007.0)</f>
        <v>1007</v>
      </c>
      <c r="D5798" s="2" t="str">
        <f>IFERROR(__xludf.DUMMYFUNCTION("""COMPUTED_VALUE"""),"TBS")</f>
        <v>TBS</v>
      </c>
      <c r="E5798" s="2" t="str">
        <f>IFERROR(__xludf.DUMMYFUNCTION("""COMPUTED_VALUE"""),"金22")</f>
        <v>金22</v>
      </c>
      <c r="F5798" s="2" t="s">
        <v>15779</v>
      </c>
      <c r="G5798" s="2" t="s">
        <v>15790</v>
      </c>
      <c r="H5798" s="1">
        <v>6.0</v>
      </c>
      <c r="J5798" s="1" t="s">
        <v>86</v>
      </c>
      <c r="K5798" s="2" t="s">
        <v>15791</v>
      </c>
      <c r="L5798" s="2"/>
      <c r="M5798" s="2" t="str">
        <f>IFERROR(__xludf.DUMMYFUNCTION("split(split(K5798,""【"",false),""公式LINE"",false)"),"宮藤官九郎の脚本のオリジナル刑事ドラマ。「くされ縁」…萩尾ゆみ（小雪）と田尻えみ（小原正子）は、「ハギシリ」コンビとして人気のあった元バドミントンの日本代表選手。サダメ（生田斗真）は萩尾と駅前で劇的な出会いをし、即同棲を決めるが、実は萩尾は田尻に対する傷害事件の容疑者だった。萩尾の身辺を洗ううちに、いつものように恋をしてしまううぬぼれ（長瀬智也）。萩尾は外見とは裏腹に頭が悪くて不器用な女だった…。長瀬智也…うぬぼれ  生田斗真…本城サダメ  中島美嘉…日暮里恵  荒川良々…冴木優  要潤…松岡征士郎  矢"&amp;"作兼…穴井貴一  坂東三津五郎…栗橋誠  西田敏行…葉造    「くされ縁」ゲスト…小雪")</f>
        <v>宮藤官九郎の脚本のオリジナル刑事ドラマ。「くされ縁」…萩尾ゆみ（小雪）と田尻えみ（小原正子）は、「ハギシリ」コンビとして人気のあった元バドミントンの日本代表選手。サダメ（生田斗真）は萩尾と駅前で劇的な出会いをし、即同棲を決めるが、実は萩尾は田尻に対する傷害事件の容疑者だった。萩尾の身辺を洗ううちに、いつものように恋をしてしまううぬぼれ（長瀬智也）。萩尾は外見とは裏腹に頭が悪くて不器用な女だった…。長瀬智也…うぬぼれ  生田斗真…本城サダメ  中島美嘉…日暮里恵  荒川良々…冴木優  要潤…松岡征士郎  矢作兼…穴井貴一  坂東三津五郎…栗橋誠  西田敏行…葉造    「くされ縁」ゲスト…小雪</v>
      </c>
      <c r="N5798" s="2"/>
      <c r="O5798" s="2"/>
      <c r="P5798" s="1"/>
      <c r="Q5798" s="1"/>
      <c r="R5798" s="1"/>
      <c r="S5798" s="1"/>
      <c r="T5798" s="1"/>
      <c r="U5798" s="1"/>
      <c r="V5798" s="1"/>
      <c r="W5798" s="1"/>
      <c r="X5798" s="1"/>
      <c r="Y5798" s="1"/>
      <c r="Z5798" s="1"/>
      <c r="AA5798" s="1"/>
      <c r="AB5798" s="1"/>
      <c r="AC5798" s="1"/>
      <c r="AD5798" s="1"/>
      <c r="AE5798" s="1"/>
      <c r="AF5798" s="1"/>
      <c r="AG5798" s="1"/>
      <c r="AH5798" s="1"/>
      <c r="AI5798" s="1"/>
      <c r="AJ5798" s="1"/>
      <c r="AK5798" s="1"/>
      <c r="AL5798" s="1"/>
      <c r="AM5798" s="1"/>
      <c r="AN5798" s="1"/>
      <c r="AO5798" s="1"/>
      <c r="AP5798" s="1"/>
      <c r="AQ5798" s="1"/>
      <c r="AR5798" s="1"/>
      <c r="AS5798" s="1"/>
      <c r="AT5798" s="1"/>
      <c r="AU5798" s="1"/>
      <c r="AV5798" s="1"/>
      <c r="AW5798" s="1"/>
      <c r="AX5798" s="1"/>
      <c r="AY5798" s="1"/>
      <c r="AZ5798" s="1"/>
      <c r="BA5798" s="1"/>
      <c r="BB5798" s="1"/>
    </row>
    <row r="5799" ht="204.75" customHeight="1">
      <c r="A5799" s="1">
        <v>4735.0</v>
      </c>
      <c r="B5799" s="2" t="s">
        <v>15778</v>
      </c>
      <c r="C5799" s="2">
        <f>IFERROR(__xludf.DUMMYFUNCTION("split(B5799,""_"")"),1007.0)</f>
        <v>1007</v>
      </c>
      <c r="D5799" s="2" t="str">
        <f>IFERROR(__xludf.DUMMYFUNCTION("""COMPUTED_VALUE"""),"TBS")</f>
        <v>TBS</v>
      </c>
      <c r="E5799" s="2" t="str">
        <f>IFERROR(__xludf.DUMMYFUNCTION("""COMPUTED_VALUE"""),"金22")</f>
        <v>金22</v>
      </c>
      <c r="F5799" s="2" t="s">
        <v>15779</v>
      </c>
      <c r="G5799" s="2" t="s">
        <v>15792</v>
      </c>
      <c r="H5799" s="1">
        <v>7.0</v>
      </c>
      <c r="J5799" s="1" t="s">
        <v>86</v>
      </c>
      <c r="K5799" s="2" t="s">
        <v>15793</v>
      </c>
      <c r="L5799" s="2"/>
      <c r="M5799" s="2" t="str">
        <f>IFERROR(__xludf.DUMMYFUNCTION("split(split(K5799,""【"",false),""公式LINE"",false)"),"宮藤官九郎の脚本のオリジナル刑事ドラマ。「マラカスの詩」…バーI am Iで知り合った板倉里奈（小泉今日子）にひとめぼれしてしまったうぬぼれ。一方、仕事では、15年間変装をしながら逃げつづけている医師絞殺事件の犯人の行方を追うが、捜査を続けるうちに、一目ぼれした女がその犯人ではないかという疑いをもつ。長瀬智也…うぬぼれ  生田斗真…本城サダメ  中島美嘉…日暮里恵  荒川良々…冴木優  要潤…松岡征士郎  矢作兼…穴井貴一  坂東三津五郎…栗橋誠  西田敏行…葉造    ")</f>
        <v>宮藤官九郎の脚本のオリジナル刑事ドラマ。「マラカスの詩」…バーI am Iで知り合った板倉里奈（小泉今日子）にひとめぼれしてしまったうぬぼれ。一方、仕事では、15年間変装をしながら逃げつづけている医師絞殺事件の犯人の行方を追うが、捜査を続けるうちに、一目ぼれした女がその犯人ではないかという疑いをもつ。長瀬智也…うぬぼれ  生田斗真…本城サダメ  中島美嘉…日暮里恵  荒川良々…冴木優  要潤…松岡征士郎  矢作兼…穴井貴一  坂東三津五郎…栗橋誠  西田敏行…葉造    </v>
      </c>
      <c r="N5799" s="2"/>
      <c r="O5799" s="2"/>
      <c r="P5799" s="1"/>
      <c r="Q5799" s="1"/>
      <c r="R5799" s="1"/>
      <c r="S5799" s="1"/>
      <c r="T5799" s="1"/>
      <c r="U5799" s="1"/>
      <c r="V5799" s="1"/>
      <c r="W5799" s="1"/>
      <c r="X5799" s="1"/>
      <c r="Y5799" s="1"/>
      <c r="Z5799" s="1"/>
      <c r="AA5799" s="1"/>
      <c r="AB5799" s="1"/>
      <c r="AC5799" s="1"/>
      <c r="AD5799" s="1"/>
      <c r="AE5799" s="1"/>
      <c r="AF5799" s="1"/>
      <c r="AG5799" s="1"/>
      <c r="AH5799" s="1"/>
      <c r="AI5799" s="1"/>
      <c r="AJ5799" s="1"/>
      <c r="AK5799" s="1"/>
      <c r="AL5799" s="1"/>
      <c r="AM5799" s="1"/>
      <c r="AN5799" s="1"/>
      <c r="AO5799" s="1"/>
      <c r="AP5799" s="1"/>
      <c r="AQ5799" s="1"/>
      <c r="AR5799" s="1"/>
      <c r="AS5799" s="1"/>
      <c r="AT5799" s="1"/>
      <c r="AU5799" s="1"/>
      <c r="AV5799" s="1"/>
      <c r="AW5799" s="1"/>
      <c r="AX5799" s="1"/>
      <c r="AY5799" s="1"/>
      <c r="AZ5799" s="1"/>
      <c r="BA5799" s="1"/>
      <c r="BB5799" s="1"/>
    </row>
    <row r="5800" ht="204.75" customHeight="1">
      <c r="A5800" s="1">
        <v>4736.0</v>
      </c>
      <c r="B5800" s="2" t="s">
        <v>15778</v>
      </c>
      <c r="C5800" s="2">
        <f>IFERROR(__xludf.DUMMYFUNCTION("split(B5800,""_"")"),1007.0)</f>
        <v>1007</v>
      </c>
      <c r="D5800" s="2" t="str">
        <f>IFERROR(__xludf.DUMMYFUNCTION("""COMPUTED_VALUE"""),"TBS")</f>
        <v>TBS</v>
      </c>
      <c r="E5800" s="2" t="str">
        <f>IFERROR(__xludf.DUMMYFUNCTION("""COMPUTED_VALUE"""),"金22")</f>
        <v>金22</v>
      </c>
      <c r="F5800" s="2" t="s">
        <v>15779</v>
      </c>
      <c r="G5800" s="2" t="s">
        <v>15794</v>
      </c>
      <c r="H5800" s="1">
        <v>8.0</v>
      </c>
      <c r="J5800" s="1" t="s">
        <v>86</v>
      </c>
      <c r="K5800" s="2" t="s">
        <v>15795</v>
      </c>
      <c r="L5800" s="2"/>
      <c r="M5800" s="2" t="str">
        <f>IFERROR(__xludf.DUMMYFUNCTION("split(split(K5800,""【"",false),""公式LINE"",false)"),"宮藤官九郎の脚本のオリジナル刑事ドラマ。長瀬智也演じる、通称「うぬぼれ」は超恋愛体質。いつも容疑者の女性に一目惚れしてしまう。第8話「大物感」では父・葉造（西田敏行）が、文学新人賞の受賞式で知り合ったベストセラー作家・九十九千里（三田佳子）に一目惚れしてしまう。同じ日、九十九が書いた小説とそっくりな殺人事件が起きる。坂の上に捨てられたトランクから、大男の死体が発見されたのだ。うぬぼれは彼女を疑う。長瀬智也…うぬぼれ  生田斗真…本城サダメ  中島美嘉…日暮里恵  荒川良々…冴木優  要潤…松岡征士郎  矢"&amp;"作兼…穴井貴一  坂東三津五郎…栗橋誠  西田敏行…葉造    「大物感」ゲスト…三田佳子")</f>
        <v>宮藤官九郎の脚本のオリジナル刑事ドラマ。長瀬智也演じる、通称「うぬぼれ」は超恋愛体質。いつも容疑者の女性に一目惚れしてしまう。第8話「大物感」では父・葉造（西田敏行）が、文学新人賞の受賞式で知り合ったベストセラー作家・九十九千里（三田佳子）に一目惚れしてしまう。同じ日、九十九が書いた小説とそっくりな殺人事件が起きる。坂の上に捨てられたトランクから、大男の死体が発見されたのだ。うぬぼれは彼女を疑う。長瀬智也…うぬぼれ  生田斗真…本城サダメ  中島美嘉…日暮里恵  荒川良々…冴木優  要潤…松岡征士郎  矢作兼…穴井貴一  坂東三津五郎…栗橋誠  西田敏行…葉造    「大物感」ゲスト…三田佳子</v>
      </c>
      <c r="N5800" s="2"/>
      <c r="O5800" s="2"/>
      <c r="P5800" s="1"/>
      <c r="Q5800" s="1"/>
      <c r="R5800" s="1"/>
      <c r="S5800" s="1"/>
      <c r="T5800" s="1"/>
      <c r="U5800" s="1"/>
      <c r="V5800" s="1"/>
      <c r="W5800" s="1"/>
      <c r="X5800" s="1"/>
      <c r="Y5800" s="1"/>
      <c r="Z5800" s="1"/>
      <c r="AA5800" s="1"/>
      <c r="AB5800" s="1"/>
      <c r="AC5800" s="1"/>
      <c r="AD5800" s="1"/>
      <c r="AE5800" s="1"/>
      <c r="AF5800" s="1"/>
      <c r="AG5800" s="1"/>
      <c r="AH5800" s="1"/>
      <c r="AI5800" s="1"/>
      <c r="AJ5800" s="1"/>
      <c r="AK5800" s="1"/>
      <c r="AL5800" s="1"/>
      <c r="AM5800" s="1"/>
      <c r="AN5800" s="1"/>
      <c r="AO5800" s="1"/>
      <c r="AP5800" s="1"/>
      <c r="AQ5800" s="1"/>
      <c r="AR5800" s="1"/>
      <c r="AS5800" s="1"/>
      <c r="AT5800" s="1"/>
      <c r="AU5800" s="1"/>
      <c r="AV5800" s="1"/>
      <c r="AW5800" s="1"/>
      <c r="AX5800" s="1"/>
      <c r="AY5800" s="1"/>
      <c r="AZ5800" s="1"/>
      <c r="BA5800" s="1"/>
      <c r="BB5800" s="1"/>
    </row>
    <row r="5801" ht="204.75" customHeight="1">
      <c r="A5801" s="1">
        <v>4737.0</v>
      </c>
      <c r="B5801" s="2" t="s">
        <v>15778</v>
      </c>
      <c r="C5801" s="2">
        <f>IFERROR(__xludf.DUMMYFUNCTION("split(B5801,""_"")"),1007.0)</f>
        <v>1007</v>
      </c>
      <c r="D5801" s="2" t="str">
        <f>IFERROR(__xludf.DUMMYFUNCTION("""COMPUTED_VALUE"""),"TBS")</f>
        <v>TBS</v>
      </c>
      <c r="E5801" s="2" t="str">
        <f>IFERROR(__xludf.DUMMYFUNCTION("""COMPUTED_VALUE"""),"金22")</f>
        <v>金22</v>
      </c>
      <c r="F5801" s="2" t="s">
        <v>15779</v>
      </c>
      <c r="G5801" s="2" t="s">
        <v>15796</v>
      </c>
      <c r="H5801" s="1">
        <v>9.0</v>
      </c>
      <c r="J5801" s="1" t="s">
        <v>86</v>
      </c>
      <c r="K5801" s="2" t="s">
        <v>15797</v>
      </c>
      <c r="L5801" s="2"/>
      <c r="M5801" s="2" t="str">
        <f>IFERROR(__xludf.DUMMYFUNCTION("split(split(K5801,""【"",false),""公式LINE"",false)"),"宮藤官九郎の脚本のオリジナル刑事ドラマ。長瀬智也演じる、「うぬぼれ」は超恋愛体質。いつも容疑者と思しき女性に一目惚れしてしまう。第9話「強火」…初めての見合いでうぬぼれは図書館司書の知世（光浦靖子）と出会う。福島から母の千鶴子（竹下景子）も上京し、父母の間では退職金をめぐって大喧嘩が始まる。一方、うぬぼれは地味な知世が気になって仕方がない。しかし知世には心に決めた相手がいるらしく…。長瀬智也…うぬぼれ  生田斗真…本城サダメ  中島美嘉…日暮里恵  荒川良々…冴木優  要潤…松岡征士郎  矢作兼…穴井貴一"&amp;"  坂東三津五郎…栗橋誠  西田敏行…葉造    ")</f>
        <v>宮藤官九郎の脚本のオリジナル刑事ドラマ。長瀬智也演じる、「うぬぼれ」は超恋愛体質。いつも容疑者と思しき女性に一目惚れしてしまう。第9話「強火」…初めての見合いでうぬぼれは図書館司書の知世（光浦靖子）と出会う。福島から母の千鶴子（竹下景子）も上京し、父母の間では退職金をめぐって大喧嘩が始まる。一方、うぬぼれは地味な知世が気になって仕方がない。しかし知世には心に決めた相手がいるらしく…。長瀬智也…うぬぼれ  生田斗真…本城サダメ  中島美嘉…日暮里恵  荒川良々…冴木優  要潤…松岡征士郎  矢作兼…穴井貴一  坂東三津五郎…栗橋誠  西田敏行…葉造    </v>
      </c>
      <c r="N5801" s="2"/>
      <c r="O5801" s="2"/>
      <c r="P5801" s="1"/>
      <c r="Q5801" s="1"/>
      <c r="R5801" s="1"/>
      <c r="S5801" s="1"/>
      <c r="T5801" s="1"/>
      <c r="U5801" s="1"/>
      <c r="V5801" s="1"/>
      <c r="W5801" s="1"/>
      <c r="X5801" s="1"/>
      <c r="Y5801" s="1"/>
      <c r="Z5801" s="1"/>
      <c r="AA5801" s="1"/>
      <c r="AB5801" s="1"/>
      <c r="AC5801" s="1"/>
      <c r="AD5801" s="1"/>
      <c r="AE5801" s="1"/>
      <c r="AF5801" s="1"/>
      <c r="AG5801" s="1"/>
      <c r="AH5801" s="1"/>
      <c r="AI5801" s="1"/>
      <c r="AJ5801" s="1"/>
      <c r="AK5801" s="1"/>
      <c r="AL5801" s="1"/>
      <c r="AM5801" s="1"/>
      <c r="AN5801" s="1"/>
      <c r="AO5801" s="1"/>
      <c r="AP5801" s="1"/>
      <c r="AQ5801" s="1"/>
      <c r="AR5801" s="1"/>
      <c r="AS5801" s="1"/>
      <c r="AT5801" s="1"/>
      <c r="AU5801" s="1"/>
      <c r="AV5801" s="1"/>
      <c r="AW5801" s="1"/>
      <c r="AX5801" s="1"/>
      <c r="AY5801" s="1"/>
      <c r="AZ5801" s="1"/>
      <c r="BA5801" s="1"/>
      <c r="BB5801" s="1"/>
    </row>
    <row r="5802" ht="204.75" customHeight="1">
      <c r="A5802" s="1">
        <v>4738.0</v>
      </c>
      <c r="B5802" s="2" t="s">
        <v>15778</v>
      </c>
      <c r="C5802" s="2">
        <f>IFERROR(__xludf.DUMMYFUNCTION("split(B5802,""_"")"),1007.0)</f>
        <v>1007</v>
      </c>
      <c r="D5802" s="2" t="str">
        <f>IFERROR(__xludf.DUMMYFUNCTION("""COMPUTED_VALUE"""),"TBS")</f>
        <v>TBS</v>
      </c>
      <c r="E5802" s="2" t="str">
        <f>IFERROR(__xludf.DUMMYFUNCTION("""COMPUTED_VALUE"""),"金22")</f>
        <v>金22</v>
      </c>
      <c r="F5802" s="2" t="s">
        <v>15779</v>
      </c>
      <c r="G5802" s="2" t="s">
        <v>15798</v>
      </c>
      <c r="H5802" s="1">
        <v>10.0</v>
      </c>
      <c r="J5802" s="1" t="s">
        <v>86</v>
      </c>
      <c r="K5802" s="2" t="s">
        <v>15799</v>
      </c>
      <c r="L5802" s="2"/>
      <c r="M5802" s="2" t="str">
        <f>IFERROR(__xludf.DUMMYFUNCTION("split(split(K5802,""【"",false),""公式LINE"",false)"),"宮藤官九郎の脚本・演出のオリジナル刑事ドラマ。長瀬智也演じる、通称「うぬぼれ」は超恋愛体質。いつも容疑者と思しき女性に一目惚れしてしまう。第10話「姉妹坂」…プールで発見された女子高生の死体をめぐる捜査で、うぬぼれは第一発見者のあかね（岡本杏理）の家を訪ね、そこで姉とみまちがえるほど若い服装の母・明日香（石田ゆり子）と出会う。姉妹のような2人に、うぬぼれはどちらに恋をしてしまったのか分からない。長瀬智也…うぬぼれ  生田斗真…本城サダメ  中島美嘉…日暮里恵  荒川良々…冴木優  要潤…松岡征士郎  矢作"&amp;"兼…穴井貴一  坂東三津五郎…栗橋誠  西田敏行…葉造    ")</f>
        <v>宮藤官九郎の脚本・演出のオリジナル刑事ドラマ。長瀬智也演じる、通称「うぬぼれ」は超恋愛体質。いつも容疑者と思しき女性に一目惚れしてしまう。第10話「姉妹坂」…プールで発見された女子高生の死体をめぐる捜査で、うぬぼれは第一発見者のあかね（岡本杏理）の家を訪ね、そこで姉とみまちがえるほど若い服装の母・明日香（石田ゆり子）と出会う。姉妹のような2人に、うぬぼれはどちらに恋をしてしまったのか分からない。長瀬智也…うぬぼれ  生田斗真…本城サダメ  中島美嘉…日暮里恵  荒川良々…冴木優  要潤…松岡征士郎  矢作兼…穴井貴一  坂東三津五郎…栗橋誠  西田敏行…葉造    </v>
      </c>
      <c r="N5802" s="2"/>
      <c r="O5802" s="2"/>
      <c r="P5802" s="1"/>
      <c r="Q5802" s="1"/>
      <c r="R5802" s="1"/>
      <c r="S5802" s="1"/>
      <c r="T5802" s="1"/>
      <c r="U5802" s="1"/>
      <c r="V5802" s="1"/>
      <c r="W5802" s="1"/>
      <c r="X5802" s="1"/>
      <c r="Y5802" s="1"/>
      <c r="Z5802" s="1"/>
      <c r="AA5802" s="1"/>
      <c r="AB5802" s="1"/>
      <c r="AC5802" s="1"/>
      <c r="AD5802" s="1"/>
      <c r="AE5802" s="1"/>
      <c r="AF5802" s="1"/>
      <c r="AG5802" s="1"/>
      <c r="AH5802" s="1"/>
      <c r="AI5802" s="1"/>
      <c r="AJ5802" s="1"/>
      <c r="AK5802" s="1"/>
      <c r="AL5802" s="1"/>
      <c r="AM5802" s="1"/>
      <c r="AN5802" s="1"/>
      <c r="AO5802" s="1"/>
      <c r="AP5802" s="1"/>
      <c r="AQ5802" s="1"/>
      <c r="AR5802" s="1"/>
      <c r="AS5802" s="1"/>
      <c r="AT5802" s="1"/>
      <c r="AU5802" s="1"/>
      <c r="AV5802" s="1"/>
      <c r="AW5802" s="1"/>
      <c r="AX5802" s="1"/>
      <c r="AY5802" s="1"/>
      <c r="AZ5802" s="1"/>
      <c r="BA5802" s="1"/>
      <c r="BB5802" s="1"/>
    </row>
    <row r="5803" ht="204.75" customHeight="1">
      <c r="A5803" s="1">
        <v>4739.0</v>
      </c>
      <c r="B5803" s="2" t="s">
        <v>15778</v>
      </c>
      <c r="C5803" s="2">
        <f>IFERROR(__xludf.DUMMYFUNCTION("split(B5803,""_"")"),1007.0)</f>
        <v>1007</v>
      </c>
      <c r="D5803" s="2" t="str">
        <f>IFERROR(__xludf.DUMMYFUNCTION("""COMPUTED_VALUE"""),"TBS")</f>
        <v>TBS</v>
      </c>
      <c r="E5803" s="2" t="str">
        <f>IFERROR(__xludf.DUMMYFUNCTION("""COMPUTED_VALUE"""),"金22")</f>
        <v>金22</v>
      </c>
      <c r="F5803" s="2" t="s">
        <v>15779</v>
      </c>
      <c r="G5803" s="2" t="s">
        <v>15800</v>
      </c>
      <c r="H5803" s="1">
        <v>11.0</v>
      </c>
      <c r="J5803" s="1" t="s">
        <v>86</v>
      </c>
      <c r="K5803" s="2" t="s">
        <v>15801</v>
      </c>
      <c r="L5803" s="2"/>
      <c r="M5803" s="2" t="str">
        <f>IFERROR(__xludf.DUMMYFUNCTION("split(split(K5803,""【"",false),""公式LINE"",false)"),"宮藤官九郎の脚本・演出のオリジナル刑事ドラマ。長瀬智也演じる、通称「うぬぼれ」は超恋愛体質。いつも容疑者と思しき女性に一目惚れしてしまう。今回は大衆演劇の女形スターに一目ぼれ。実は、その男こそ未解決の「ひばり銀行現金強奪事件」の主犯格・神と同一人物だった。うぬぼれ5の力も借りて神を追い詰めることに成功したうぬぼれだったが、捜査の途中で驚愕の事実を知ることになる…。うぬぼれの愛はどこに向かうのか…。長瀬智也…うぬぼれ  生田斗真…本城サダメ  中島美嘉…日暮里恵  荒川良々…冴木優  要潤…松岡征士郎  矢"&amp;"作兼…穴井貴一  坂東三津五郎…栗橋誠  西田敏行…葉造    最終回「赤い彗星」ゲスト…中村七之助")</f>
        <v>宮藤官九郎の脚本・演出のオリジナル刑事ドラマ。長瀬智也演じる、通称「うぬぼれ」は超恋愛体質。いつも容疑者と思しき女性に一目惚れしてしまう。今回は大衆演劇の女形スターに一目ぼれ。実は、その男こそ未解決の「ひばり銀行現金強奪事件」の主犯格・神と同一人物だった。うぬぼれ5の力も借りて神を追い詰めることに成功したうぬぼれだったが、捜査の途中で驚愕の事実を知ることになる…。うぬぼれの愛はどこに向かうのか…。長瀬智也…うぬぼれ  生田斗真…本城サダメ  中島美嘉…日暮里恵  荒川良々…冴木優  要潤…松岡征士郎  矢作兼…穴井貴一  坂東三津五郎…栗橋誠  西田敏行…葉造    最終回「赤い彗星」ゲスト…中村七之助</v>
      </c>
      <c r="N5803" s="2"/>
      <c r="O5803" s="2"/>
      <c r="P5803" s="1"/>
      <c r="Q5803" s="1"/>
      <c r="R5803" s="1"/>
      <c r="S5803" s="1"/>
      <c r="T5803" s="1"/>
      <c r="U5803" s="1"/>
      <c r="V5803" s="1"/>
      <c r="W5803" s="1"/>
      <c r="X5803" s="1"/>
      <c r="Y5803" s="1"/>
      <c r="Z5803" s="1"/>
      <c r="AA5803" s="1"/>
      <c r="AB5803" s="1"/>
      <c r="AC5803" s="1"/>
      <c r="AD5803" s="1"/>
      <c r="AE5803" s="1"/>
      <c r="AF5803" s="1"/>
      <c r="AG5803" s="1"/>
      <c r="AH5803" s="1"/>
      <c r="AI5803" s="1"/>
      <c r="AJ5803" s="1"/>
      <c r="AK5803" s="1"/>
      <c r="AL5803" s="1"/>
      <c r="AM5803" s="1"/>
      <c r="AN5803" s="1"/>
      <c r="AO5803" s="1"/>
      <c r="AP5803" s="1"/>
      <c r="AQ5803" s="1"/>
      <c r="AR5803" s="1"/>
      <c r="AS5803" s="1"/>
      <c r="AT5803" s="1"/>
      <c r="AU5803" s="1"/>
      <c r="AV5803" s="1"/>
      <c r="AW5803" s="1"/>
      <c r="AX5803" s="1"/>
      <c r="AY5803" s="1"/>
      <c r="AZ5803" s="1"/>
      <c r="BA5803" s="1"/>
      <c r="BB5803" s="1"/>
    </row>
    <row r="5804" ht="204.75" customHeight="1">
      <c r="A5804" s="1">
        <v>4748.0</v>
      </c>
      <c r="B5804" s="2" t="s">
        <v>15802</v>
      </c>
      <c r="C5804" s="2">
        <f>IFERROR(__xludf.DUMMYFUNCTION("split(B5804,""_"")"),1007.0)</f>
        <v>1007</v>
      </c>
      <c r="D5804" s="2" t="str">
        <f>IFERROR(__xludf.DUMMYFUNCTION("""COMPUTED_VALUE"""),"TBS")</f>
        <v>TBS</v>
      </c>
      <c r="E5804" s="2" t="str">
        <f>IFERROR(__xludf.DUMMYFUNCTION("""COMPUTED_VALUE"""),"土20")</f>
        <v>土20</v>
      </c>
      <c r="F5804" s="2" t="s">
        <v>15803</v>
      </c>
      <c r="G5804" s="2" t="s">
        <v>15804</v>
      </c>
      <c r="H5804" s="1">
        <v>1.0</v>
      </c>
      <c r="J5804" s="1" t="s">
        <v>7778</v>
      </c>
      <c r="K5804" s="2" t="s">
        <v>15805</v>
      </c>
      <c r="L5804" s="2"/>
      <c r="M5804" s="2" t="str">
        <f>IFERROR(__xludf.DUMMYFUNCTION("split(split(K5804,""【"",false),""公式LINE"",false)"),"世界を股にかけてヤマを踏んできた伝説の詐欺師を乗せた護送車が、海に転落する事故が起きた。護送車に乗っていたその第一級詐欺師・音羽4号（速水もこみち）は、ヤクザの今村昌平（六平直政）と共に逃亡する。暗闇の中逃げ込んだ先で、二人は建物に放火しようとする男（村上健志）を発見!居合わせた光学園校長・水城（小日向文世）と捕まえるが、その男は“蜂須賀悟郎”という教師で、水城が期待を寄せていた新任だった。そして、蜂須賀は得体の知れない生徒らに怖じ気づいて、学校を燃やそうとしていたのだった。どうやらこの学園では、成績優秀"&amp;"な生徒達が、表向きは何の問題もなく見えるその裏で陰湿な事件を起こしているようで、教師達もそんな生徒の心をつかめず自信喪失し、無気力になっていた。水城はこの状況をどうにかし、学園を守りたいと思っているのだった…。校長の心を掴んだ音羽4号は“新任教師”を演じるよう懇願されるが…。速水もこみち　  志田未来  ・  比嘉愛未  ・   石黒英雄   入江甚儀   佐野和真  竹内寿   菅田将暉   阪本奨悟  竜星涼   野村周平   延山信弘   ・山下リオ  逢沢りな  松山メアリ  高山侑子  紗綾  "&amp;"増元裕子  ・  宮坂絵美理  村上健志（フルーツポンチ）  濱田マリ  六平直政  小日向文世SPYAIR「LIAR」  （ソニーミュージック　アソシエイテッド　レコーズ）")</f>
        <v>世界を股にかけてヤマを踏んできた伝説の詐欺師を乗せた護送車が、海に転落する事故が起きた。護送車に乗っていたその第一級詐欺師・音羽4号（速水もこみち）は、ヤクザの今村昌平（六平直政）と共に逃亡する。暗闇の中逃げ込んだ先で、二人は建物に放火しようとする男（村上健志）を発見!居合わせた光学園校長・水城（小日向文世）と捕まえるが、その男は“蜂須賀悟郎”という教師で、水城が期待を寄せていた新任だった。そして、蜂須賀は得体の知れない生徒らに怖じ気づいて、学校を燃やそうとしていたのだった。どうやらこの学園では、成績優秀な生徒達が、表向きは何の問題もなく見えるその裏で陰湿な事件を起こしているようで、教師達もそんな生徒の心をつかめず自信喪失し、無気力になっていた。水城はこの状況をどうにかし、学園を守りたいと思っているのだった…。校長の心を掴んだ音羽4号は“新任教師”を演じるよう懇願されるが…。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小日向文世SPYAIR「LIAR」  （ソニーミュージック　アソシエイテッド　レコーズ）</v>
      </c>
      <c r="N5804" s="2"/>
      <c r="O5804" s="2"/>
      <c r="P5804" s="1"/>
      <c r="Q5804" s="1"/>
      <c r="R5804" s="1"/>
      <c r="S5804" s="1"/>
      <c r="T5804" s="1"/>
      <c r="U5804" s="1"/>
      <c r="V5804" s="1"/>
      <c r="W5804" s="1"/>
      <c r="X5804" s="1"/>
      <c r="Y5804" s="1"/>
      <c r="Z5804" s="1"/>
      <c r="AA5804" s="1"/>
      <c r="AB5804" s="1"/>
      <c r="AC5804" s="1"/>
      <c r="AD5804" s="1"/>
      <c r="AE5804" s="1"/>
      <c r="AF5804" s="1"/>
      <c r="AG5804" s="1"/>
      <c r="AH5804" s="1"/>
      <c r="AI5804" s="1"/>
      <c r="AJ5804" s="1"/>
      <c r="AK5804" s="1"/>
      <c r="AL5804" s="1"/>
      <c r="AM5804" s="1"/>
      <c r="AN5804" s="1"/>
      <c r="AO5804" s="1"/>
      <c r="AP5804" s="1"/>
      <c r="AQ5804" s="1"/>
      <c r="AR5804" s="1"/>
      <c r="AS5804" s="1"/>
      <c r="AT5804" s="1"/>
      <c r="AU5804" s="1"/>
      <c r="AV5804" s="1"/>
      <c r="AW5804" s="1"/>
      <c r="AX5804" s="1"/>
      <c r="AY5804" s="1"/>
      <c r="AZ5804" s="1"/>
      <c r="BA5804" s="1"/>
      <c r="BB5804" s="1"/>
    </row>
    <row r="5805" ht="204.75" customHeight="1">
      <c r="A5805" s="1">
        <v>4749.0</v>
      </c>
      <c r="B5805" s="2" t="s">
        <v>15802</v>
      </c>
      <c r="C5805" s="2">
        <f>IFERROR(__xludf.DUMMYFUNCTION("split(B5805,""_"")"),1007.0)</f>
        <v>1007</v>
      </c>
      <c r="D5805" s="2" t="str">
        <f>IFERROR(__xludf.DUMMYFUNCTION("""COMPUTED_VALUE"""),"TBS")</f>
        <v>TBS</v>
      </c>
      <c r="E5805" s="2" t="str">
        <f>IFERROR(__xludf.DUMMYFUNCTION("""COMPUTED_VALUE"""),"土20")</f>
        <v>土20</v>
      </c>
      <c r="F5805" s="2" t="s">
        <v>15803</v>
      </c>
      <c r="G5805" s="2" t="s">
        <v>15806</v>
      </c>
      <c r="H5805" s="1">
        <v>2.0</v>
      </c>
      <c r="J5805" s="1" t="s">
        <v>2809</v>
      </c>
      <c r="K5805" s="2" t="s">
        <v>15807</v>
      </c>
      <c r="L5805" s="2"/>
      <c r="M5805" s="2" t="str">
        <f>IFERROR(__xludf.DUMMYFUNCTION("split(split(K5805,""【"",false),""公式LINE"",false)"),"最初のハンマーセッションを成功させた“蜂須賀吾郎”こと音羽4号（速水もこみち）。  平穏無事な学園生活を送りたいと思っていた矢先、校内で「オークション」をやっている新田真潮（高山侑子）に遭遇。ディスカウントショップを経営している親戚に安く譲りうけてオークションをやっているというが、犯罪の匂いを感じ取る蜂須賀。跡をつけてみると、やはりショップで商品を万引している真潮が・・・。ショップに居合わせた立花楓（志田未来）は、真潮を引きとめるが店長に捕まってしまう。その店長は、万引きを学校に言わないことを条件に2人に"&amp;"いやらしいことを要求してくる・・・、寸でのところで蜂須賀に助けられた楓と真潮だったが、懲りずに万引きを続ける真潮。お金をてっとり早く稼ぎたい理由がバンド仲間との関係にあることに気付いた蜂須賀は真潮に対して“ハンマーセッション”を開始する！速水もこみち　  志田未来  ・  比嘉愛未  ・   石黒英雄   入江甚儀   佐野和真  竹内寿   菅田将暉   阪本奨悟  竜星涼   野村周平   延山信弘山下リオ  逢沢りな  松山メアリ  高山侑子  紗綾  増元裕子  ・  宮坂絵美理  村上健志（フル"&amp;"ーツポンチ）  濱田マリ  六平直政  小日向文世SPYAIR「LIAR」  （ソニーミュージック　アソシエイテッド　レコーズ）")</f>
        <v>最初のハンマーセッションを成功させた“蜂須賀吾郎”こと音羽4号（速水もこみち）。  平穏無事な学園生活を送りたいと思っていた矢先、校内で「オークション」をやっている新田真潮（高山侑子）に遭遇。ディスカウントショップを経営している親戚に安く譲りうけてオークションをやっているというが、犯罪の匂いを感じ取る蜂須賀。跡をつけてみると、やはりショップで商品を万引している真潮が・・・。ショップに居合わせた立花楓（志田未来）は、真潮を引きとめるが店長に捕まってしまう。その店長は、万引きを学校に言わないことを条件に2人にいやらしいことを要求してくる・・・、寸でのところで蜂須賀に助けられた楓と真潮だったが、懲りずに万引きを続ける真潮。お金をてっとり早く稼ぎたい理由がバンド仲間との関係にあることに気付いた蜂須賀は真潮に対して“ハンマーセッション”を開始する！速水もこみち　  志田未来  ・  比嘉愛未  ・   石黒英雄   入江甚儀   佐野和真  竹内寿   菅田将暉   阪本奨悟  竜星涼   野村周平   延山信弘山下リオ  逢沢りな  松山メアリ  高山侑子  紗綾  増元裕子  ・  宮坂絵美理  村上健志（フルーツポンチ）  濱田マリ  六平直政  小日向文世SPYAIR「LIAR」  （ソニーミュージック　アソシエイテッド　レコーズ）</v>
      </c>
      <c r="N5805" s="2"/>
      <c r="O5805" s="2"/>
      <c r="P5805" s="1"/>
      <c r="Q5805" s="1"/>
      <c r="R5805" s="1"/>
      <c r="S5805" s="1"/>
      <c r="T5805" s="1"/>
      <c r="U5805" s="1"/>
      <c r="V5805" s="1"/>
      <c r="W5805" s="1"/>
      <c r="X5805" s="1"/>
      <c r="Y5805" s="1"/>
      <c r="Z5805" s="1"/>
      <c r="AA5805" s="1"/>
      <c r="AB5805" s="1"/>
      <c r="AC5805" s="1"/>
      <c r="AD5805" s="1"/>
      <c r="AE5805" s="1"/>
      <c r="AF5805" s="1"/>
      <c r="AG5805" s="1"/>
      <c r="AH5805" s="1"/>
      <c r="AI5805" s="1"/>
      <c r="AJ5805" s="1"/>
      <c r="AK5805" s="1"/>
      <c r="AL5805" s="1"/>
      <c r="AM5805" s="1"/>
      <c r="AN5805" s="1"/>
      <c r="AO5805" s="1"/>
      <c r="AP5805" s="1"/>
      <c r="AQ5805" s="1"/>
      <c r="AR5805" s="1"/>
      <c r="AS5805" s="1"/>
      <c r="AT5805" s="1"/>
      <c r="AU5805" s="1"/>
      <c r="AV5805" s="1"/>
      <c r="AW5805" s="1"/>
      <c r="AX5805" s="1"/>
      <c r="AY5805" s="1"/>
      <c r="AZ5805" s="1"/>
      <c r="BA5805" s="1"/>
      <c r="BB5805" s="1"/>
    </row>
    <row r="5806" ht="204.75" customHeight="1">
      <c r="A5806" s="1">
        <v>4750.0</v>
      </c>
      <c r="B5806" s="2" t="s">
        <v>15802</v>
      </c>
      <c r="C5806" s="2">
        <f>IFERROR(__xludf.DUMMYFUNCTION("split(B5806,""_"")"),1007.0)</f>
        <v>1007</v>
      </c>
      <c r="D5806" s="2" t="str">
        <f>IFERROR(__xludf.DUMMYFUNCTION("""COMPUTED_VALUE"""),"TBS")</f>
        <v>TBS</v>
      </c>
      <c r="E5806" s="2" t="str">
        <f>IFERROR(__xludf.DUMMYFUNCTION("""COMPUTED_VALUE"""),"土20")</f>
        <v>土20</v>
      </c>
      <c r="F5806" s="2" t="s">
        <v>15803</v>
      </c>
      <c r="G5806" s="2" t="s">
        <v>15808</v>
      </c>
      <c r="H5806" s="1">
        <v>3.0</v>
      </c>
      <c r="J5806" s="1" t="s">
        <v>2809</v>
      </c>
      <c r="K5806" s="2" t="s">
        <v>15809</v>
      </c>
      <c r="L5806" s="2"/>
      <c r="M5806" s="2" t="str">
        <f>IFERROR(__xludf.DUMMYFUNCTION("split(split(K5806,""【"",false),""公式LINE"",false)"),"特別授業としてビーチバレーに行った蜂須賀（速水もこみち）は、生徒と接触して怪我をした黒沢正宗（竹内寿）の様子がおかしいことに気付く。怪我をさせてしまった生徒が怯えている原因は、黒沢の母・静子（荻野目慶子）が学校では有名なモンスターペアレントで、退職に追い込まれた教師が多数いるとのことだった。。そして、新たな事件が勃発！！交際していた後輩とのデート現場を教師に目撃された黒沢は、母親に強要され「後輩から無理やり誘ってきた」とウソを言ってしまう。その意気地のなさに、黒沢を殴りつける蜂須賀。モンスターペアレントの"&amp;"逆襲が始まり、蜂須賀は追いつめられるが、黒沢の「親離れしたい、男になりたい」と思う気持ちを助けるため、命をかけた衝撃的授業を開始する！！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    ")</f>
        <v>特別授業としてビーチバレーに行った蜂須賀（速水もこみち）は、生徒と接触して怪我をした黒沢正宗（竹内寿）の様子がおかしいことに気付く。怪我をさせてしまった生徒が怯えている原因は、黒沢の母・静子（荻野目慶子）が学校では有名なモンスターペアレントで、退職に追い込まれた教師が多数いるとのことだった。。そして、新たな事件が勃発！！交際していた後輩とのデート現場を教師に目撃された黒沢は、母親に強要され「後輩から無理やり誘ってきた」とウソを言ってしまう。その意気地のなさに、黒沢を殴りつける蜂須賀。モンスターペアレントの逆襲が始まり、蜂須賀は追いつめられるが、黒沢の「親離れしたい、男になりたい」と思う気持ちを助けるため、命をかけた衝撃的授業を開始する！！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    </v>
      </c>
      <c r="N5806" s="2"/>
      <c r="O5806" s="2"/>
      <c r="P5806" s="1"/>
      <c r="Q5806" s="1"/>
      <c r="R5806" s="1"/>
      <c r="S5806" s="1"/>
      <c r="T5806" s="1"/>
      <c r="U5806" s="1"/>
      <c r="V5806" s="1"/>
      <c r="W5806" s="1"/>
      <c r="X5806" s="1"/>
      <c r="Y5806" s="1"/>
      <c r="Z5806" s="1"/>
      <c r="AA5806" s="1"/>
      <c r="AB5806" s="1"/>
      <c r="AC5806" s="1"/>
      <c r="AD5806" s="1"/>
      <c r="AE5806" s="1"/>
      <c r="AF5806" s="1"/>
      <c r="AG5806" s="1"/>
      <c r="AH5806" s="1"/>
      <c r="AI5806" s="1"/>
      <c r="AJ5806" s="1"/>
      <c r="AK5806" s="1"/>
      <c r="AL5806" s="1"/>
      <c r="AM5806" s="1"/>
      <c r="AN5806" s="1"/>
      <c r="AO5806" s="1"/>
      <c r="AP5806" s="1"/>
      <c r="AQ5806" s="1"/>
      <c r="AR5806" s="1"/>
      <c r="AS5806" s="1"/>
      <c r="AT5806" s="1"/>
      <c r="AU5806" s="1"/>
      <c r="AV5806" s="1"/>
      <c r="AW5806" s="1"/>
      <c r="AX5806" s="1"/>
      <c r="AY5806" s="1"/>
      <c r="AZ5806" s="1"/>
      <c r="BA5806" s="1"/>
      <c r="BB5806" s="1"/>
    </row>
    <row r="5807" ht="204.75" customHeight="1">
      <c r="A5807" s="1">
        <v>4751.0</v>
      </c>
      <c r="B5807" s="2" t="s">
        <v>15802</v>
      </c>
      <c r="C5807" s="2">
        <f>IFERROR(__xludf.DUMMYFUNCTION("split(B5807,""_"")"),1007.0)</f>
        <v>1007</v>
      </c>
      <c r="D5807" s="2" t="str">
        <f>IFERROR(__xludf.DUMMYFUNCTION("""COMPUTED_VALUE"""),"TBS")</f>
        <v>TBS</v>
      </c>
      <c r="E5807" s="2" t="str">
        <f>IFERROR(__xludf.DUMMYFUNCTION("""COMPUTED_VALUE"""),"土20")</f>
        <v>土20</v>
      </c>
      <c r="F5807" s="2" t="s">
        <v>15803</v>
      </c>
      <c r="G5807" s="2" t="s">
        <v>15810</v>
      </c>
      <c r="H5807" s="1">
        <v>4.0</v>
      </c>
      <c r="J5807" s="1" t="s">
        <v>2809</v>
      </c>
      <c r="K5807" s="2" t="s">
        <v>15811</v>
      </c>
      <c r="L5807" s="2"/>
      <c r="M5807" s="2" t="str">
        <f>IFERROR(__xludf.DUMMYFUNCTION("split(split(K5807,""【"",false),""公式LINE"",false)"),"夏は恋の季節！恋愛話に花が咲く3年B組の生徒たちであったが、水野繭（逢沢りな）だけは浮かない顔。実は妻子のある男性・高田（鈴木一真）と付き合っており、その関係を終わらせたいと考えていた。そんな折、立花楓（志田未来）はクラスメイトの海老原健（野村周平）から、繭と付き合いと思っていると相談を受けていた。海老原の気持ちを知った繭は、海老原と付き合いたいと思い、高田に別れを告げようとしたのだが・・・。繭は高田から以前取られた写真で脅され、別れられないと告げられてしまった。しかも、高田とホテルに入る現場を光学園の生"&amp;"徒に見られ、学校裏サイトでも「繭はアバズレ」「援交してる」など、ありもしない噂をかきたてられ、登校拒否になってしまう。すべての事情を知った蜂須賀先生（速水もこみち）は、涼子先生（比嘉愛未）を利用しながら、繭や海老原、そして高田など、すべてをハンマーセッション！する作戦を開始する！  速水もこみち　  志田未来  ・  比嘉愛未  ・   石黒英雄   入江甚儀   佐野和真  竹内寿   菅田将暉   阪本奨悟  竜星涼   野村周平   延山信弘山下リオ  逢沢りな  松山メアリ  高山侑子  紗綾  "&amp;"増元裕子  ・  宮坂絵美理  村上健志（フルーツポンチ）  濱田マリ  六平直政  小日向文世SPYAIR「LIAR」  （ソニーミュージック　アソシエイテッド　レコーズ）")</f>
        <v>夏は恋の季節！恋愛話に花が咲く3年B組の生徒たちであったが、水野繭（逢沢りな）だけは浮かない顔。実は妻子のある男性・高田（鈴木一真）と付き合っており、その関係を終わらせたいと考えていた。そんな折、立花楓（志田未来）はクラスメイトの海老原健（野村周平）から、繭と付き合いと思っていると相談を受けていた。海老原の気持ちを知った繭は、海老原と付き合いたいと思い、高田に別れを告げようとしたのだが・・・。繭は高田から以前取られた写真で脅され、別れられないと告げられてしまった。しかも、高田とホテルに入る現場を光学園の生徒に見られ、学校裏サイトでも「繭はアバズレ」「援交してる」など、ありもしない噂をかきたてられ、登校拒否になってしまう。すべての事情を知った蜂須賀先生（速水もこみち）は、涼子先生（比嘉愛未）を利用しながら、繭や海老原、そして高田など、すべてをハンマーセッション！する作戦を開始する！  速水もこみち　  志田未来  ・  比嘉愛未  ・   石黒英雄   入江甚儀   佐野和真  竹内寿   菅田将暉   阪本奨悟  竜星涼   野村周平   延山信弘山下リオ  逢沢りな  松山メアリ  高山侑子  紗綾  増元裕子  ・  宮坂絵美理  村上健志（フルーツポンチ）  濱田マリ  六平直政  小日向文世SPYAIR「LIAR」  （ソニーミュージック　アソシエイテッド　レコーズ）</v>
      </c>
      <c r="N5807" s="2"/>
      <c r="O5807" s="2"/>
      <c r="P5807" s="1"/>
      <c r="Q5807" s="1"/>
      <c r="R5807" s="1"/>
      <c r="S5807" s="1"/>
      <c r="T5807" s="1"/>
      <c r="U5807" s="1"/>
      <c r="V5807" s="1"/>
      <c r="W5807" s="1"/>
      <c r="X5807" s="1"/>
      <c r="Y5807" s="1"/>
      <c r="Z5807" s="1"/>
      <c r="AA5807" s="1"/>
      <c r="AB5807" s="1"/>
      <c r="AC5807" s="1"/>
      <c r="AD5807" s="1"/>
      <c r="AE5807" s="1"/>
      <c r="AF5807" s="1"/>
      <c r="AG5807" s="1"/>
      <c r="AH5807" s="1"/>
      <c r="AI5807" s="1"/>
      <c r="AJ5807" s="1"/>
      <c r="AK5807" s="1"/>
      <c r="AL5807" s="1"/>
      <c r="AM5807" s="1"/>
      <c r="AN5807" s="1"/>
      <c r="AO5807" s="1"/>
      <c r="AP5807" s="1"/>
      <c r="AQ5807" s="1"/>
      <c r="AR5807" s="1"/>
      <c r="AS5807" s="1"/>
      <c r="AT5807" s="1"/>
      <c r="AU5807" s="1"/>
      <c r="AV5807" s="1"/>
      <c r="AW5807" s="1"/>
      <c r="AX5807" s="1"/>
      <c r="AY5807" s="1"/>
      <c r="AZ5807" s="1"/>
      <c r="BA5807" s="1"/>
      <c r="BB5807" s="1"/>
    </row>
    <row r="5808" ht="204.75" customHeight="1">
      <c r="A5808" s="1">
        <v>4752.0</v>
      </c>
      <c r="B5808" s="2" t="s">
        <v>15802</v>
      </c>
      <c r="C5808" s="2">
        <f>IFERROR(__xludf.DUMMYFUNCTION("split(B5808,""_"")"),1007.0)</f>
        <v>1007</v>
      </c>
      <c r="D5808" s="2" t="str">
        <f>IFERROR(__xludf.DUMMYFUNCTION("""COMPUTED_VALUE"""),"TBS")</f>
        <v>TBS</v>
      </c>
      <c r="E5808" s="2" t="str">
        <f>IFERROR(__xludf.DUMMYFUNCTION("""COMPUTED_VALUE"""),"土20")</f>
        <v>土20</v>
      </c>
      <c r="F5808" s="2" t="s">
        <v>15803</v>
      </c>
      <c r="G5808" s="2" t="s">
        <v>15812</v>
      </c>
      <c r="H5808" s="1">
        <v>5.0</v>
      </c>
      <c r="J5808" s="1" t="s">
        <v>2809</v>
      </c>
      <c r="K5808" s="2" t="s">
        <v>15813</v>
      </c>
      <c r="L5808" s="2"/>
      <c r="M5808" s="2" t="str">
        <f>IFERROR(__xludf.DUMMYFUNCTION("split(split(K5808,""【"",false),""公式LINE"",false)"),"3年B組の生徒、咲山エリカ（山下リオ）の様子がオカシイ。最近、派手になり高級ブランド品を身につけている・・・。担任の蜂須賀（速見もこみち）は、副担任である涼子先生（比嘉愛未）と夏は開放的になる生徒たちの夜遊びを見回るため夜の街に出たが、そこでエリカがキャバクラ店に入っていくのを見かける。あとを追いかける蜂須賀であったがエリカが「ルイ」という名で働いているのを知るが・・・。  すぐにキャバクラを辞めさせた蜂須賀であったが、エリカに懲りる様子はなく、クラスメイトの楓（志田未来）が止めるのも無視してキャバクラに"&amp;"また勤め始めた。蜂須賀はエリカの周辺を探るが、美容院を何店舗も経営している厳しい母親・百合子（手塚里美）との間に何か確執があることを突き止める。クラブで襲われたエリカを助け出した蜂須賀は、母親との間にあった知られてはいけない真実に驚愕する・・・速水もこみち　  志田未来  ・  比嘉愛未  ・   石黒英雄   入江甚儀   佐野和真  竹内寿   菅田将暉   阪本奨悟  竜星涼   野村周平   延山信弘 山下リオ  逢沢りな  松山メアリ  高山侑子  紗綾  増元裕子  ・  宮坂絵美理  村上健"&amp;"志（フルーツポンチ）  濱田マリ  六平直政  小日向文世    ")</f>
        <v>3年B組の生徒、咲山エリカ（山下リオ）の様子がオカシイ。最近、派手になり高級ブランド品を身につけている・・・。担任の蜂須賀（速見もこみち）は、副担任である涼子先生（比嘉愛未）と夏は開放的になる生徒たちの夜遊びを見回るため夜の街に出たが、そこでエリカがキャバクラ店に入っていくのを見かける。あとを追いかける蜂須賀であったがエリカが「ルイ」という名で働いているのを知るが・・・。  すぐにキャバクラを辞めさせた蜂須賀であったが、エリカに懲りる様子はなく、クラスメイトの楓（志田未来）が止めるのも無視してキャバクラにまた勤め始めた。蜂須賀はエリカの周辺を探るが、美容院を何店舗も経営している厳しい母親・百合子（手塚里美）との間に何か確執があることを突き止める。クラブで襲われたエリカを助け出した蜂須賀は、母親との間にあった知られてはいけない真実に驚愕する・・・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    </v>
      </c>
      <c r="N5808" s="2"/>
      <c r="O5808" s="2"/>
      <c r="P5808" s="1"/>
      <c r="Q5808" s="1"/>
      <c r="R5808" s="1"/>
      <c r="S5808" s="1"/>
      <c r="T5808" s="1"/>
      <c r="U5808" s="1"/>
      <c r="V5808" s="1"/>
      <c r="W5808" s="1"/>
      <c r="X5808" s="1"/>
      <c r="Y5808" s="1"/>
      <c r="Z5808" s="1"/>
      <c r="AA5808" s="1"/>
      <c r="AB5808" s="1"/>
      <c r="AC5808" s="1"/>
      <c r="AD5808" s="1"/>
      <c r="AE5808" s="1"/>
      <c r="AF5808" s="1"/>
      <c r="AG5808" s="1"/>
      <c r="AH5808" s="1"/>
      <c r="AI5808" s="1"/>
      <c r="AJ5808" s="1"/>
      <c r="AK5808" s="1"/>
      <c r="AL5808" s="1"/>
      <c r="AM5808" s="1"/>
      <c r="AN5808" s="1"/>
      <c r="AO5808" s="1"/>
      <c r="AP5808" s="1"/>
      <c r="AQ5808" s="1"/>
      <c r="AR5808" s="1"/>
      <c r="AS5808" s="1"/>
      <c r="AT5808" s="1"/>
      <c r="AU5808" s="1"/>
      <c r="AV5808" s="1"/>
      <c r="AW5808" s="1"/>
      <c r="AX5808" s="1"/>
      <c r="AY5808" s="1"/>
      <c r="AZ5808" s="1"/>
      <c r="BA5808" s="1"/>
      <c r="BB5808" s="1"/>
    </row>
    <row r="5809" ht="204.75" customHeight="1">
      <c r="A5809" s="1">
        <v>4753.0</v>
      </c>
      <c r="B5809" s="2" t="s">
        <v>15802</v>
      </c>
      <c r="C5809" s="2">
        <f>IFERROR(__xludf.DUMMYFUNCTION("split(B5809,""_"")"),1007.0)</f>
        <v>1007</v>
      </c>
      <c r="D5809" s="2" t="str">
        <f>IFERROR(__xludf.DUMMYFUNCTION("""COMPUTED_VALUE"""),"TBS")</f>
        <v>TBS</v>
      </c>
      <c r="E5809" s="2" t="str">
        <f>IFERROR(__xludf.DUMMYFUNCTION("""COMPUTED_VALUE"""),"土20")</f>
        <v>土20</v>
      </c>
      <c r="F5809" s="2" t="s">
        <v>15803</v>
      </c>
      <c r="G5809" s="2" t="s">
        <v>15814</v>
      </c>
      <c r="H5809" s="1">
        <v>6.0</v>
      </c>
      <c r="J5809" s="1" t="s">
        <v>2809</v>
      </c>
      <c r="K5809" s="2" t="s">
        <v>15815</v>
      </c>
      <c r="L5809" s="2"/>
      <c r="M5809" s="2" t="str">
        <f>IFERROR(__xludf.DUMMYFUNCTION("split(split(K5809,""【"",false),""公式LINE"",false)"),"パシリからの決別！盆踊り大会を成功させろ！！野島健太（阪本奨悟）は、クラスで「パシリ」扱い。昼休みにパンを買わされに行ったり、光学園主催の盆踊り大会の実行委員を誰もやりたがらないからという理由で押しつけられたりしている。しかし、野島は、その盆踊り大会を成功させることでクラスでの「パシリ」の位置から決別できるのではないかと考えていた。しかし、普段は絶対に実行委員などをやりたがらない早乙女耀子（松山メアリ）が立候補したのだった。早乙女は、大田からの「校長、蜂須賀を陥れるために盆踊り大会を潰せ」との密命を受けて"&amp;"いた。蜂須賀（速水もこみち）は楓（志田未来）とともに、大会の準備の邪魔されながらも、野島の手助けをするが、無事に迎えた大会当日、早乙女は会場の電源を切り落とし会場を真っ暗にしてしまう。万事休すの野島に、蜂須賀は一世一代の大勝負を仕掛けさせる・・・！！速水もこみち　  志田未来  ・  比嘉愛未  ・   石黒英雄   入江甚儀   佐野和真  竹内寿   菅田将暉   阪本奨悟  竜星涼   野村周平   延山信弘 山下リオ  逢沢りな  松山メアリ  高山侑子  紗綾  増元裕子  ・  宮坂絵美理  "&amp;"村上健志（フルーツポンチ）  濱田マリ  六平直政  小日向文世SPYAIR「LIAR」  （ソニーミュージック　アソシエイテッド　レコーズ）")</f>
        <v>パシリからの決別！盆踊り大会を成功させろ！！野島健太（阪本奨悟）は、クラスで「パシリ」扱い。昼休みにパンを買わされに行ったり、光学園主催の盆踊り大会の実行委員を誰もやりたがらないからという理由で押しつけられたりしている。しかし、野島は、その盆踊り大会を成功させることでクラスでの「パシリ」の位置から決別できるのではないかと考えていた。しかし、普段は絶対に実行委員などをやりたがらない早乙女耀子（松山メアリ）が立候補したのだった。早乙女は、大田からの「校長、蜂須賀を陥れるために盆踊り大会を潰せ」との密命を受けていた。蜂須賀（速水もこみち）は楓（志田未来）とともに、大会の準備の邪魔されながらも、野島の手助けをするが、無事に迎えた大会当日、早乙女は会場の電源を切り落とし会場を真っ暗にしてしまう。万事休すの野島に、蜂須賀は一世一代の大勝負を仕掛けさせる・・・！！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小日向文世SPYAIR「LIAR」  （ソニーミュージック　アソシエイテッド　レコーズ）</v>
      </c>
      <c r="N5809" s="2"/>
      <c r="O5809" s="2"/>
      <c r="P5809" s="1"/>
      <c r="Q5809" s="1"/>
      <c r="R5809" s="1"/>
      <c r="S5809" s="1"/>
      <c r="T5809" s="1"/>
      <c r="U5809" s="1"/>
      <c r="V5809" s="1"/>
      <c r="W5809" s="1"/>
      <c r="X5809" s="1"/>
      <c r="Y5809" s="1"/>
      <c r="Z5809" s="1"/>
      <c r="AA5809" s="1"/>
      <c r="AB5809" s="1"/>
      <c r="AC5809" s="1"/>
      <c r="AD5809" s="1"/>
      <c r="AE5809" s="1"/>
      <c r="AF5809" s="1"/>
      <c r="AG5809" s="1"/>
      <c r="AH5809" s="1"/>
      <c r="AI5809" s="1"/>
      <c r="AJ5809" s="1"/>
      <c r="AK5809" s="1"/>
      <c r="AL5809" s="1"/>
      <c r="AM5809" s="1"/>
      <c r="AN5809" s="1"/>
      <c r="AO5809" s="1"/>
      <c r="AP5809" s="1"/>
      <c r="AQ5809" s="1"/>
      <c r="AR5809" s="1"/>
      <c r="AS5809" s="1"/>
      <c r="AT5809" s="1"/>
      <c r="AU5809" s="1"/>
      <c r="AV5809" s="1"/>
      <c r="AW5809" s="1"/>
      <c r="AX5809" s="1"/>
      <c r="AY5809" s="1"/>
      <c r="AZ5809" s="1"/>
      <c r="BA5809" s="1"/>
      <c r="BB5809" s="1"/>
    </row>
    <row r="5810" ht="204.75" customHeight="1">
      <c r="A5810" s="1">
        <v>4754.0</v>
      </c>
      <c r="B5810" s="2" t="s">
        <v>15802</v>
      </c>
      <c r="C5810" s="2">
        <f>IFERROR(__xludf.DUMMYFUNCTION("split(B5810,""_"")"),1007.0)</f>
        <v>1007</v>
      </c>
      <c r="D5810" s="2" t="str">
        <f>IFERROR(__xludf.DUMMYFUNCTION("""COMPUTED_VALUE"""),"TBS")</f>
        <v>TBS</v>
      </c>
      <c r="E5810" s="2" t="str">
        <f>IFERROR(__xludf.DUMMYFUNCTION("""COMPUTED_VALUE"""),"土20")</f>
        <v>土20</v>
      </c>
      <c r="F5810" s="2" t="s">
        <v>15803</v>
      </c>
      <c r="G5810" s="2" t="s">
        <v>15816</v>
      </c>
      <c r="H5810" s="1">
        <v>7.0</v>
      </c>
      <c r="J5810" s="1" t="s">
        <v>2809</v>
      </c>
      <c r="K5810" s="2" t="s">
        <v>15817</v>
      </c>
      <c r="L5810" s="2"/>
      <c r="M5810" s="2" t="str">
        <f>IFERROR(__xludf.DUMMYFUNCTION("split(split(K5810,""【"",false),""公式LINE"",false)"),"光学園生徒の坂本洋平（菅田将暉）は、ダンサーになることを夢見ていた。ダンスコンテストに参加するも落ちてしまい、蜂須賀先生（速水もこみち）や立花楓（志田未来）らクラスメイトに慰められるものの、ダンスにかける夢は本物であった。それには、坂本の彼女・中里美帆（足立梨花）が絡んでいた。坂本が原因で美帆が大怪我を負いリハビリ生活となり、ダンサーになる夢を共に追いかけてきた道を諦めかけていたのだった。そんな折、坂本は美帆に勇姿を見せるため、そして夢を実現させるために有名ダンサーが講師のダンススクールに入るのだったが、"&amp;"その学校の学長・関谷（沢村一樹）は、実は蜂須賀が幼きころ詐欺のテクニックなどを教わった詐欺師の兄貴分だったのだ。スクール詐欺を見抜いた蜂須賀は、生徒の夢を守るため、そして因縁のアニキと決着をつけるため、大きなオーディション詐欺にのぞんでいく！！速水もこみち　  志田未来  ・  比嘉愛未  ・   石黒英雄   入江甚儀   佐野和真  竹内寿   菅田将暉   阪本奨悟  竜星涼   野村周平   延山信弘 山下リオ  逢沢りな  松山メアリ  高山侑子  紗綾  増元裕子  ・  宮坂絵美理  村上健"&amp;"志（フルーツポンチ）  濱田マリ  六平直政  小日向文世    ")</f>
        <v>光学園生徒の坂本洋平（菅田将暉）は、ダンサーになることを夢見ていた。ダンスコンテストに参加するも落ちてしまい、蜂須賀先生（速水もこみち）や立花楓（志田未来）らクラスメイトに慰められるものの、ダンスにかける夢は本物であった。それには、坂本の彼女・中里美帆（足立梨花）が絡んでいた。坂本が原因で美帆が大怪我を負いリハビリ生活となり、ダンサーになる夢を共に追いかけてきた道を諦めかけていたのだった。そんな折、坂本は美帆に勇姿を見せるため、そして夢を実現させるために有名ダンサーが講師のダンススクールに入るのだったが、その学校の学長・関谷（沢村一樹）は、実は蜂須賀が幼きころ詐欺のテクニックなどを教わった詐欺師の兄貴分だったのだ。スクール詐欺を見抜いた蜂須賀は、生徒の夢を守るため、そして因縁のアニキと決着をつけるため、大きなオーディション詐欺にのぞんでいく！！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    </v>
      </c>
      <c r="N5810" s="2"/>
      <c r="O5810" s="2"/>
      <c r="P5810" s="1"/>
      <c r="Q5810" s="1"/>
      <c r="R5810" s="1"/>
      <c r="S5810" s="1"/>
      <c r="T5810" s="1"/>
      <c r="U5810" s="1"/>
      <c r="V5810" s="1"/>
      <c r="W5810" s="1"/>
      <c r="X5810" s="1"/>
      <c r="Y5810" s="1"/>
      <c r="Z5810" s="1"/>
      <c r="AA5810" s="1"/>
      <c r="AB5810" s="1"/>
      <c r="AC5810" s="1"/>
      <c r="AD5810" s="1"/>
      <c r="AE5810" s="1"/>
      <c r="AF5810" s="1"/>
      <c r="AG5810" s="1"/>
      <c r="AH5810" s="1"/>
      <c r="AI5810" s="1"/>
      <c r="AJ5810" s="1"/>
      <c r="AK5810" s="1"/>
      <c r="AL5810" s="1"/>
      <c r="AM5810" s="1"/>
      <c r="AN5810" s="1"/>
      <c r="AO5810" s="1"/>
      <c r="AP5810" s="1"/>
      <c r="AQ5810" s="1"/>
      <c r="AR5810" s="1"/>
      <c r="AS5810" s="1"/>
      <c r="AT5810" s="1"/>
      <c r="AU5810" s="1"/>
      <c r="AV5810" s="1"/>
      <c r="AW5810" s="1"/>
      <c r="AX5810" s="1"/>
      <c r="AY5810" s="1"/>
      <c r="AZ5810" s="1"/>
      <c r="BA5810" s="1"/>
      <c r="BB5810" s="1"/>
    </row>
    <row r="5811" ht="204.75" customHeight="1">
      <c r="A5811" s="1">
        <v>4755.0</v>
      </c>
      <c r="B5811" s="2" t="s">
        <v>15802</v>
      </c>
      <c r="C5811" s="2">
        <f>IFERROR(__xludf.DUMMYFUNCTION("split(B5811,""_"")"),1007.0)</f>
        <v>1007</v>
      </c>
      <c r="D5811" s="2" t="str">
        <f>IFERROR(__xludf.DUMMYFUNCTION("""COMPUTED_VALUE"""),"TBS")</f>
        <v>TBS</v>
      </c>
      <c r="E5811" s="2" t="str">
        <f>IFERROR(__xludf.DUMMYFUNCTION("""COMPUTED_VALUE"""),"土20")</f>
        <v>土20</v>
      </c>
      <c r="F5811" s="2" t="s">
        <v>15803</v>
      </c>
      <c r="G5811" s="2" t="s">
        <v>15818</v>
      </c>
      <c r="H5811" s="1">
        <v>8.0</v>
      </c>
      <c r="J5811" s="1" t="s">
        <v>2809</v>
      </c>
      <c r="K5811" s="2" t="s">
        <v>15819</v>
      </c>
      <c r="L5811" s="2"/>
      <c r="M5811" s="2" t="str">
        <f>IFERROR(__xludf.DUMMYFUNCTION("split(split(K5811,""【"",false),""公式LINE"",false)"),"広瀬拓海（竜星涼）の自慢は、最近できた年上の彼女・白石理恵（片瀬那奈）。運命の出会いをし、そして恋に落ちたのだと広瀬は語るが、クラスメイトは10歳も年が離れいることで懐疑的。広瀬は、理恵と対等に付き合いたいとバイトなど無理をしてお金を稼ぎ、プレゼントを買ったり食事などを奢ったりするが、そんな様子を見ていた蜂須賀（速水もこみち）は理恵の存在に疑いの目を向ける。楓（志田未来）は広瀬と幼馴染だったこともあり、広瀬が恋をして急に大人になろうとしている姿が眩しくもあり、無理をしている姿に痛々しくも感じるのであった。"&amp;"そんな折、理恵が望んでいない結婚を病気の母の為にしなければならないと言い出し、彼女と一緒にいたいがために、広瀬は学校を辞めて理恵のために働くと言い出したのだ。蜂須賀は理恵の周辺を調べると、やはり理恵は男をカモにする悪女だった…。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村上健志（フルーツポン"&amp;"チ）  濱田マリ  六平直政  小日向文世    ")</f>
        <v>広瀬拓海（竜星涼）の自慢は、最近できた年上の彼女・白石理恵（片瀬那奈）。運命の出会いをし、そして恋に落ちたのだと広瀬は語るが、クラスメイトは10歳も年が離れいることで懐疑的。広瀬は、理恵と対等に付き合いたいとバイトなど無理をしてお金を稼ぎ、プレゼントを買ったり食事などを奢ったりするが、そんな様子を見ていた蜂須賀（速水もこみち）は理恵の存在に疑いの目を向ける。楓（志田未来）は広瀬と幼馴染だったこともあり、広瀬が恋をして急に大人になろうとしている姿が眩しくもあり、無理をしている姿に痛々しくも感じるのであった。そんな折、理恵が望んでいない結婚を病気の母の為にしなければならないと言い出し、彼女と一緒にいたいがために、広瀬は学校を辞めて理恵のために働くと言い出したのだ。蜂須賀は理恵の周辺を調べると、やはり理恵は男をカモにする悪女だった…。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    </v>
      </c>
      <c r="N5811" s="2"/>
      <c r="O5811" s="2"/>
      <c r="P5811" s="1"/>
      <c r="Q5811" s="1"/>
      <c r="R5811" s="1"/>
      <c r="S5811" s="1"/>
      <c r="T5811" s="1"/>
      <c r="U5811" s="1"/>
      <c r="V5811" s="1"/>
      <c r="W5811" s="1"/>
      <c r="X5811" s="1"/>
      <c r="Y5811" s="1"/>
      <c r="Z5811" s="1"/>
      <c r="AA5811" s="1"/>
      <c r="AB5811" s="1"/>
      <c r="AC5811" s="1"/>
      <c r="AD5811" s="1"/>
      <c r="AE5811" s="1"/>
      <c r="AF5811" s="1"/>
      <c r="AG5811" s="1"/>
      <c r="AH5811" s="1"/>
      <c r="AI5811" s="1"/>
      <c r="AJ5811" s="1"/>
      <c r="AK5811" s="1"/>
      <c r="AL5811" s="1"/>
      <c r="AM5811" s="1"/>
      <c r="AN5811" s="1"/>
      <c r="AO5811" s="1"/>
      <c r="AP5811" s="1"/>
      <c r="AQ5811" s="1"/>
      <c r="AR5811" s="1"/>
      <c r="AS5811" s="1"/>
      <c r="AT5811" s="1"/>
      <c r="AU5811" s="1"/>
      <c r="AV5811" s="1"/>
      <c r="AW5811" s="1"/>
      <c r="AX5811" s="1"/>
      <c r="AY5811" s="1"/>
      <c r="AZ5811" s="1"/>
      <c r="BA5811" s="1"/>
      <c r="BB5811" s="1"/>
    </row>
    <row r="5812" ht="204.75" customHeight="1">
      <c r="A5812" s="1">
        <v>4756.0</v>
      </c>
      <c r="B5812" s="2" t="s">
        <v>15802</v>
      </c>
      <c r="C5812" s="2">
        <f>IFERROR(__xludf.DUMMYFUNCTION("split(B5812,""_"")"),1007.0)</f>
        <v>1007</v>
      </c>
      <c r="D5812" s="2" t="str">
        <f>IFERROR(__xludf.DUMMYFUNCTION("""COMPUTED_VALUE"""),"TBS")</f>
        <v>TBS</v>
      </c>
      <c r="E5812" s="2" t="str">
        <f>IFERROR(__xludf.DUMMYFUNCTION("""COMPUTED_VALUE"""),"土20")</f>
        <v>土20</v>
      </c>
      <c r="F5812" s="2" t="s">
        <v>15803</v>
      </c>
      <c r="G5812" s="2" t="s">
        <v>15820</v>
      </c>
      <c r="H5812" s="1">
        <v>9.0</v>
      </c>
      <c r="J5812" s="1" t="s">
        <v>2809</v>
      </c>
      <c r="K5812" s="2" t="s">
        <v>15821</v>
      </c>
      <c r="L5812" s="2"/>
      <c r="M5812" s="2" t="str">
        <f>IFERROR(__xludf.DUMMYFUNCTION("split(split(K5812,""【"",false),""公式LINE"",false)"),"甲斐保（入江甚儀）は、クラスメイトが盗撮されている事に気付いていながら「助けても自分にメリットがない」と誰とも接しようとはしない。そんな勉強ばかりで心を閉ざしている甲斐に、蜂須賀（速水もこみち）は疑念を抱いていく。そんな中、極東高校のバイクを傷つけてしまう甲斐。それを知った司馬祐生（石黒英雄）は甲斐をかばい怪我を負ってしまう。楓（志田未来）たちは仇を取るために、甲斐の頭脳を使って極東高校に勝負を挑んでいく！そして、蜂須賀の正体を知ってしまった涼子先生（比嘉愛未）は次第に蜂須賀の素性に迫っていく！速水もこみ"&amp;"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小日向文世SPYAIR「LIAR」  （ソニーミュージック　アソシエイテッド　レコーズ）")</f>
        <v>甲斐保（入江甚儀）は、クラスメイトが盗撮されている事に気付いていながら「助けても自分にメリットがない」と誰とも接しようとはしない。そんな勉強ばかりで心を閉ざしている甲斐に、蜂須賀（速水もこみち）は疑念を抱いていく。そんな中、極東高校のバイクを傷つけてしまう甲斐。それを知った司馬祐生（石黒英雄）は甲斐をかばい怪我を負ってしまう。楓（志田未来）たちは仇を取るために、甲斐の頭脳を使って極東高校に勝負を挑んでいく！そして、蜂須賀の正体を知ってしまった涼子先生（比嘉愛未）は次第に蜂須賀の素性に迫っていく！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小日向文世SPYAIR「LIAR」  （ソニーミュージック　アソシエイテッド　レコーズ）</v>
      </c>
      <c r="N5812" s="2"/>
      <c r="O5812" s="2"/>
      <c r="P5812" s="1"/>
      <c r="Q5812" s="1"/>
      <c r="R5812" s="1"/>
      <c r="S5812" s="1"/>
      <c r="T5812" s="1"/>
      <c r="U5812" s="1"/>
      <c r="V5812" s="1"/>
      <c r="W5812" s="1"/>
      <c r="X5812" s="1"/>
      <c r="Y5812" s="1"/>
      <c r="Z5812" s="1"/>
      <c r="AA5812" s="1"/>
      <c r="AB5812" s="1"/>
      <c r="AC5812" s="1"/>
      <c r="AD5812" s="1"/>
      <c r="AE5812" s="1"/>
      <c r="AF5812" s="1"/>
      <c r="AG5812" s="1"/>
      <c r="AH5812" s="1"/>
      <c r="AI5812" s="1"/>
      <c r="AJ5812" s="1"/>
      <c r="AK5812" s="1"/>
      <c r="AL5812" s="1"/>
      <c r="AM5812" s="1"/>
      <c r="AN5812" s="1"/>
      <c r="AO5812" s="1"/>
      <c r="AP5812" s="1"/>
      <c r="AQ5812" s="1"/>
      <c r="AR5812" s="1"/>
      <c r="AS5812" s="1"/>
      <c r="AT5812" s="1"/>
      <c r="AU5812" s="1"/>
      <c r="AV5812" s="1"/>
      <c r="AW5812" s="1"/>
      <c r="AX5812" s="1"/>
      <c r="AY5812" s="1"/>
      <c r="AZ5812" s="1"/>
      <c r="BA5812" s="1"/>
      <c r="BB5812" s="1"/>
    </row>
    <row r="5813" ht="204.75" customHeight="1">
      <c r="A5813" s="1">
        <v>4757.0</v>
      </c>
      <c r="B5813" s="2" t="s">
        <v>15802</v>
      </c>
      <c r="C5813" s="2">
        <f>IFERROR(__xludf.DUMMYFUNCTION("split(B5813,""_"")"),1007.0)</f>
        <v>1007</v>
      </c>
      <c r="D5813" s="2" t="str">
        <f>IFERROR(__xludf.DUMMYFUNCTION("""COMPUTED_VALUE"""),"TBS")</f>
        <v>TBS</v>
      </c>
      <c r="E5813" s="2" t="str">
        <f>IFERROR(__xludf.DUMMYFUNCTION("""COMPUTED_VALUE"""),"土20")</f>
        <v>土20</v>
      </c>
      <c r="F5813" s="2" t="s">
        <v>15803</v>
      </c>
      <c r="G5813" s="2" t="s">
        <v>15822</v>
      </c>
      <c r="H5813" s="1">
        <v>10.0</v>
      </c>
      <c r="J5813" s="1" t="s">
        <v>2809</v>
      </c>
      <c r="K5813" s="2" t="s">
        <v>15823</v>
      </c>
      <c r="L5813" s="2"/>
      <c r="M5813" s="2" t="str">
        <f>IFERROR(__xludf.DUMMYFUNCTION("split(split(K5813,""【"",false),""公式LINE"",false)"),"ついに詐欺師の正体が暴かれた…！！お別れのキャンプファイヤーで涙の告白！最後の授業となってしまうのか！？生徒に伝えるラストメッセージ！蜂須賀（速水もこみち）は、本当の蜂須賀吾郎の履歴書を見てしまった涼子先生（比嘉愛未）に正体を明かしてしまう。そして光学園を去る決意をするが、そんな折、生徒の藤井（佐野和真）はアメリカ留学が決まり、保健医の玲奈先生（宮坂絵美理）をストーカーから守ったことで藤井は玲奈先生に恋心を抱くようになっていた。立花楓（志田未来）は、思いを伝えないまま留学してしまおうとする藤井に告白するよ"&amp;"うに勧めるが・・・。楓は、幼いころに母親を亡くし、思いを伝えないまま別れを迎えることは寂しすぎると、勉強合宿の最後のイベント「キャンプファイヤー」で告白するように藤井の背中を押していた。そんな姿を見た蜂須賀は、イベントを妨害しようとする太田教頭を交しながら、思いを伝えようとする藤井を手助けする。それは、自分自身の最後のメッセージをそのイベントの成功に込めながら・・・。速水もこみち　  志田未来  ・  比嘉愛未  ・   石黒英雄   入江甚儀   佐野和真  竹内寿   菅田将暉   阪本奨悟  竜星涼"&amp;"   野村周平   延山信弘 山下リオ  逢沢りな  松山メアリ  高山侑子  紗綾  増元裕子  ・  宮坂絵美理  村上健志（フルーツポンチ）  濱田マリ  六平直政  小日向文世SPYAIR「LIAR」  （ソニーミュージック　アソシエイテッド　レコーズ）")</f>
        <v>ついに詐欺師の正体が暴かれた…！！お別れのキャンプファイヤーで涙の告白！最後の授業となってしまうのか！？生徒に伝えるラストメッセージ！蜂須賀（速水もこみち）は、本当の蜂須賀吾郎の履歴書を見てしまった涼子先生（比嘉愛未）に正体を明かしてしまう。そして光学園を去る決意をするが、そんな折、生徒の藤井（佐野和真）はアメリカ留学が決まり、保健医の玲奈先生（宮坂絵美理）をストーカーから守ったことで藤井は玲奈先生に恋心を抱くようになっていた。立花楓（志田未来）は、思いを伝えないまま留学してしまおうとする藤井に告白するように勧めるが・・・。楓は、幼いころに母親を亡くし、思いを伝えないまま別れを迎えることは寂しすぎると、勉強合宿の最後のイベント「キャンプファイヤー」で告白するように藤井の背中を押していた。そんな姿を見た蜂須賀は、イベントを妨害しようとする太田教頭を交しながら、思いを伝えようとする藤井を手助けする。それは、自分自身の最後のメッセージをそのイベントの成功に込めながら・・・。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小日向文世SPYAIR「LIAR」  （ソニーミュージック　アソシエイテッド　レコーズ）</v>
      </c>
      <c r="N5813" s="2"/>
      <c r="O5813" s="2"/>
      <c r="P5813" s="1"/>
      <c r="Q5813" s="1"/>
      <c r="R5813" s="1"/>
      <c r="S5813" s="1"/>
      <c r="T5813" s="1"/>
      <c r="U5813" s="1"/>
      <c r="V5813" s="1"/>
      <c r="W5813" s="1"/>
      <c r="X5813" s="1"/>
      <c r="Y5813" s="1"/>
      <c r="Z5813" s="1"/>
      <c r="AA5813" s="1"/>
      <c r="AB5813" s="1"/>
      <c r="AC5813" s="1"/>
      <c r="AD5813" s="1"/>
      <c r="AE5813" s="1"/>
      <c r="AF5813" s="1"/>
      <c r="AG5813" s="1"/>
      <c r="AH5813" s="1"/>
      <c r="AI5813" s="1"/>
      <c r="AJ5813" s="1"/>
      <c r="AK5813" s="1"/>
      <c r="AL5813" s="1"/>
      <c r="AM5813" s="1"/>
      <c r="AN5813" s="1"/>
      <c r="AO5813" s="1"/>
      <c r="AP5813" s="1"/>
      <c r="AQ5813" s="1"/>
      <c r="AR5813" s="1"/>
      <c r="AS5813" s="1"/>
      <c r="AT5813" s="1"/>
      <c r="AU5813" s="1"/>
      <c r="AV5813" s="1"/>
      <c r="AW5813" s="1"/>
      <c r="AX5813" s="1"/>
      <c r="AY5813" s="1"/>
      <c r="AZ5813" s="1"/>
      <c r="BA5813" s="1"/>
      <c r="BB5813" s="1"/>
    </row>
    <row r="5814" ht="204.75" customHeight="1">
      <c r="A5814" s="1">
        <v>4758.0</v>
      </c>
      <c r="B5814" s="2" t="s">
        <v>15802</v>
      </c>
      <c r="C5814" s="2">
        <f>IFERROR(__xludf.DUMMYFUNCTION("split(B5814,""_"")"),1007.0)</f>
        <v>1007</v>
      </c>
      <c r="D5814" s="2" t="str">
        <f>IFERROR(__xludf.DUMMYFUNCTION("""COMPUTED_VALUE"""),"TBS")</f>
        <v>TBS</v>
      </c>
      <c r="E5814" s="2" t="str">
        <f>IFERROR(__xludf.DUMMYFUNCTION("""COMPUTED_VALUE"""),"土20")</f>
        <v>土20</v>
      </c>
      <c r="F5814" s="2" t="s">
        <v>15803</v>
      </c>
      <c r="G5814" s="2" t="s">
        <v>15824</v>
      </c>
      <c r="H5814" s="1">
        <v>11.0</v>
      </c>
      <c r="J5814" s="1" t="s">
        <v>2809</v>
      </c>
      <c r="K5814" s="2" t="s">
        <v>15825</v>
      </c>
      <c r="L5814" s="2"/>
      <c r="M5814" s="2" t="str">
        <f>IFERROR(__xludf.DUMMYFUNCTION("split(split(K5814,""【"",false),""公式LINE"",false)"),"ついに最終回！！詐欺師のニセ教師、ついに光学園を去る・・・警察の追っ手が迫る中、生徒のために、光学園のために最後にできることとは何か・・・！！衝撃の結末！！光学園を去ることを決めた蜂須賀先生こと音羽4号（速水もこみち）。そんな折、立花楓（志田未来）も、刑事の父親の捜査資料から、父親の追い続けている詐欺師が、蜂須賀であることに気づく。いつも通りの学園生活が始まるかと思ったのだが、蜂須賀は、ある言葉を残して、光学園を去っていってしまう、生徒たちに気づかれないように・・・。楓はあとを追っかけるが、寸でのところで"&amp;"音羽4号と会えずに去っていってしまった。警察の追っ手が迫るなか、音羽4号は自分が生まれ育った児童養護施設に立ち寄るが、きちんと生徒とお別れできていないこと、伝え忘れていることがあることに気づき、光学園に戻って一日だけの最後の授業をしようと決意する。それは自分自身が窮地に追い込まれることも意味するのだが、蜂須賀は光学園3年B組に戻ってくる。そして生徒に語りかける。「俺は教師じゃなくて・・・詐欺師なんだ」蜂須賀の最後の衝撃的授業が始まる！速水もこみち　  志田未来  ・  比嘉愛未  ・   石黒英雄   入"&amp;"江甚儀   佐野和真  竹内寿   菅田将暉   阪本奨悟  竜星涼   野村周平   延山信弘 山下リオ  逢沢りな  松山メアリ  高山侑子  紗綾  増元裕子  ・  宮坂絵美理  村上健志（フルーツポンチ）  濱田マリ  六平直政  小日向文世SPYAIR「LIAR」  （ソニーミュージック　アソシエイテッド　レコーズ）")</f>
        <v>ついに最終回！！詐欺師のニセ教師、ついに光学園を去る・・・警察の追っ手が迫る中、生徒のために、光学園のために最後にできることとは何か・・・！！衝撃の結末！！光学園を去ることを決めた蜂須賀先生こと音羽4号（速水もこみち）。そんな折、立花楓（志田未来）も、刑事の父親の捜査資料から、父親の追い続けている詐欺師が、蜂須賀であることに気づく。いつも通りの学園生活が始まるかと思ったのだが、蜂須賀は、ある言葉を残して、光学園を去っていってしまう、生徒たちに気づかれないように・・・。楓はあとを追っかけるが、寸でのところで音羽4号と会えずに去っていってしまった。警察の追っ手が迫るなか、音羽4号は自分が生まれ育った児童養護施設に立ち寄るが、きちんと生徒とお別れできていないこと、伝え忘れていることがあることに気づき、光学園に戻って一日だけの最後の授業をしようと決意する。それは自分自身が窮地に追い込まれることも意味するのだが、蜂須賀は光学園3年B組に戻ってくる。そして生徒に語りかける。「俺は教師じゃなくて・・・詐欺師なんだ」蜂須賀の最後の衝撃的授業が始まる！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小日向文世SPYAIR「LIAR」  （ソニーミュージック　アソシエイテッド　レコーズ）</v>
      </c>
      <c r="N5814" s="2"/>
      <c r="O5814" s="2"/>
      <c r="P5814" s="1"/>
      <c r="Q5814" s="1"/>
      <c r="R5814" s="1"/>
      <c r="S5814" s="1"/>
      <c r="T5814" s="1"/>
      <c r="U5814" s="1"/>
      <c r="V5814" s="1"/>
      <c r="W5814" s="1"/>
      <c r="X5814" s="1"/>
      <c r="Y5814" s="1"/>
      <c r="Z5814" s="1"/>
      <c r="AA5814" s="1"/>
      <c r="AB5814" s="1"/>
      <c r="AC5814" s="1"/>
      <c r="AD5814" s="1"/>
      <c r="AE5814" s="1"/>
      <c r="AF5814" s="1"/>
      <c r="AG5814" s="1"/>
      <c r="AH5814" s="1"/>
      <c r="AI5814" s="1"/>
      <c r="AJ5814" s="1"/>
      <c r="AK5814" s="1"/>
      <c r="AL5814" s="1"/>
      <c r="AM5814" s="1"/>
      <c r="AN5814" s="1"/>
      <c r="AO5814" s="1"/>
      <c r="AP5814" s="1"/>
      <c r="AQ5814" s="1"/>
      <c r="AR5814" s="1"/>
      <c r="AS5814" s="1"/>
      <c r="AT5814" s="1"/>
      <c r="AU5814" s="1"/>
      <c r="AV5814" s="1"/>
      <c r="AW5814" s="1"/>
      <c r="AX5814" s="1"/>
      <c r="AY5814" s="1"/>
      <c r="AZ5814" s="1"/>
      <c r="BA5814" s="1"/>
      <c r="BB5814" s="1"/>
    </row>
    <row r="5815" ht="204.75" customHeight="1">
      <c r="A5815" s="1">
        <v>4851.0</v>
      </c>
      <c r="B5815" s="2" t="s">
        <v>15826</v>
      </c>
      <c r="C5815" s="2">
        <f>IFERROR(__xludf.DUMMYFUNCTION("split(B5815,""_"")"),1004.0)</f>
        <v>1004</v>
      </c>
      <c r="D5815" s="2" t="str">
        <f>IFERROR(__xludf.DUMMYFUNCTION("""COMPUTED_VALUE"""),"TBS")</f>
        <v>TBS</v>
      </c>
      <c r="E5815" s="2" t="str">
        <f>IFERROR(__xludf.DUMMYFUNCTION("""COMPUTED_VALUE"""),"金22")</f>
        <v>金22</v>
      </c>
      <c r="F5815" s="2" t="s">
        <v>15827</v>
      </c>
      <c r="G5815" s="2" t="s">
        <v>15828</v>
      </c>
      <c r="H5815" s="1">
        <v>1.0</v>
      </c>
      <c r="J5815" s="1" t="s">
        <v>82</v>
      </c>
      <c r="K5815" s="2" t="s">
        <v>15829</v>
      </c>
      <c r="L5815" s="2"/>
      <c r="M5815" s="2" t="str">
        <f>IFERROR(__xludf.DUMMYFUNCTION("split(split(K5815,""【"",false),""公式LINE"",false)"),"品川大地（成宮寛貴）はバリバリのヤンキー。高校でも周囲から一人浮いている。そんな彼に、三つ編みにメガネの足立花（仲里依紗）だけは臆することなくつきまとう。家族で楽しめる学園ホームコメディドラ誕生！成宮寛貴  仲里依紗  本郷奏多  鈴木亮平  皆川猿時  古田新太  堀ちえみ  伊東四朗")</f>
        <v>品川大地（成宮寛貴）はバリバリのヤンキー。高校でも周囲から一人浮いている。そんな彼に、三つ編みにメガネの足立花（仲里依紗）だけは臆することなくつきまとう。家族で楽しめる学園ホームコメディドラ誕生！成宮寛貴  仲里依紗  本郷奏多  鈴木亮平  皆川猿時  古田新太  堀ちえみ  伊東四朗</v>
      </c>
      <c r="N5815" s="2"/>
      <c r="O5815" s="2"/>
      <c r="P5815" s="1"/>
      <c r="Q5815" s="1"/>
      <c r="R5815" s="1"/>
      <c r="S5815" s="1"/>
      <c r="T5815" s="1"/>
      <c r="U5815" s="1"/>
      <c r="V5815" s="1"/>
      <c r="W5815" s="1"/>
      <c r="X5815" s="1"/>
      <c r="Y5815" s="1"/>
      <c r="Z5815" s="1"/>
      <c r="AA5815" s="1"/>
      <c r="AB5815" s="1"/>
      <c r="AC5815" s="1"/>
      <c r="AD5815" s="1"/>
      <c r="AE5815" s="1"/>
      <c r="AF5815" s="1"/>
      <c r="AG5815" s="1"/>
      <c r="AH5815" s="1"/>
      <c r="AI5815" s="1"/>
      <c r="AJ5815" s="1"/>
      <c r="AK5815" s="1"/>
      <c r="AL5815" s="1"/>
      <c r="AM5815" s="1"/>
      <c r="AN5815" s="1"/>
      <c r="AO5815" s="1"/>
      <c r="AP5815" s="1"/>
      <c r="AQ5815" s="1"/>
      <c r="AR5815" s="1"/>
      <c r="AS5815" s="1"/>
      <c r="AT5815" s="1"/>
      <c r="AU5815" s="1"/>
      <c r="AV5815" s="1"/>
      <c r="AW5815" s="1"/>
      <c r="AX5815" s="1"/>
      <c r="AY5815" s="1"/>
      <c r="AZ5815" s="1"/>
      <c r="BA5815" s="1"/>
      <c r="BB5815" s="1"/>
    </row>
    <row r="5816" ht="204.75" customHeight="1">
      <c r="A5816" s="1">
        <v>4852.0</v>
      </c>
      <c r="B5816" s="2" t="s">
        <v>15826</v>
      </c>
      <c r="C5816" s="2">
        <f>IFERROR(__xludf.DUMMYFUNCTION("split(B5816,""_"")"),1004.0)</f>
        <v>1004</v>
      </c>
      <c r="D5816" s="2" t="str">
        <f>IFERROR(__xludf.DUMMYFUNCTION("""COMPUTED_VALUE"""),"TBS")</f>
        <v>TBS</v>
      </c>
      <c r="E5816" s="2" t="str">
        <f>IFERROR(__xludf.DUMMYFUNCTION("""COMPUTED_VALUE"""),"金22")</f>
        <v>金22</v>
      </c>
      <c r="F5816" s="2" t="s">
        <v>15827</v>
      </c>
      <c r="G5816" s="2" t="s">
        <v>15830</v>
      </c>
      <c r="H5816" s="1">
        <v>2.0</v>
      </c>
      <c r="J5816" s="1" t="s">
        <v>86</v>
      </c>
      <c r="K5816" s="2" t="s">
        <v>15831</v>
      </c>
      <c r="L5816" s="2"/>
      <c r="M5816" s="2" t="str">
        <f>IFERROR(__xludf.DUMMYFUNCTION("split(split(K5816,""【"",false),""公式LINE"",false)"),"大地（成宮寛貴）は花（仲里依紗）から、欠席を続けている同級生の千葉（小柳友）の家に行こうと誘われる。断る大地だったが、千葉が学校に来なくなったのは大地に原因があると言われ・・・。話題の最強コンビが巻き起こす、痛快学園ホームコメディの第2話！成宮寛貴  仲里依紗  本郷奏多  小柳友  川口春奈  鈴木亮平  水野真紀  皆川猿時  浪岡一喜  古田新太  大和田美帆  堀ちえみ  伊東四朗番組HPで、出演者からのメッセージ動画が御覧いただけます。見逃した「ヤンキー君とメガネちゃん」はこちらで！  TBSオ"&amp;"ンデマンドで見逃し配信中！  詳しくは公式ホームページhttp://tod.tbs.co.jpをご覧ください！")</f>
        <v>大地（成宮寛貴）は花（仲里依紗）から、欠席を続けている同級生の千葉（小柳友）の家に行こうと誘われる。断る大地だったが、千葉が学校に来なくなったのは大地に原因があると言われ・・・。話題の最強コンビが巻き起こす、痛快学園ホームコメディの第2話！成宮寛貴  仲里依紗  本郷奏多  小柳友  川口春奈  鈴木亮平  水野真紀  皆川猿時  浪岡一喜  古田新太  大和田美帆  堀ちえみ  伊東四朗番組HPで、出演者からのメッセージ動画が御覧いただけます。見逃した「ヤンキー君とメガネちゃん」はこちらで！  TBSオンデマンドで見逃し配信中！  詳しくは公式ホームページhttp://tod.tbs.co.jpをご覧ください！</v>
      </c>
      <c r="N5816" s="2"/>
      <c r="O5816" s="2"/>
      <c r="P5816" s="1"/>
      <c r="Q5816" s="1"/>
      <c r="R5816" s="1"/>
      <c r="S5816" s="1"/>
      <c r="T5816" s="1"/>
      <c r="U5816" s="1"/>
      <c r="V5816" s="1"/>
      <c r="W5816" s="1"/>
      <c r="X5816" s="1"/>
      <c r="Y5816" s="1"/>
      <c r="Z5816" s="1"/>
      <c r="AA5816" s="1"/>
      <c r="AB5816" s="1"/>
      <c r="AC5816" s="1"/>
      <c r="AD5816" s="1"/>
      <c r="AE5816" s="1"/>
      <c r="AF5816" s="1"/>
      <c r="AG5816" s="1"/>
      <c r="AH5816" s="1"/>
      <c r="AI5816" s="1"/>
      <c r="AJ5816" s="1"/>
      <c r="AK5816" s="1"/>
      <c r="AL5816" s="1"/>
      <c r="AM5816" s="1"/>
      <c r="AN5816" s="1"/>
      <c r="AO5816" s="1"/>
      <c r="AP5816" s="1"/>
      <c r="AQ5816" s="1"/>
      <c r="AR5816" s="1"/>
      <c r="AS5816" s="1"/>
      <c r="AT5816" s="1"/>
      <c r="AU5816" s="1"/>
      <c r="AV5816" s="1"/>
      <c r="AW5816" s="1"/>
      <c r="AX5816" s="1"/>
      <c r="AY5816" s="1"/>
      <c r="AZ5816" s="1"/>
      <c r="BA5816" s="1"/>
      <c r="BB5816" s="1"/>
    </row>
    <row r="5817" ht="204.75" customHeight="1">
      <c r="A5817" s="1">
        <v>4853.0</v>
      </c>
      <c r="B5817" s="2" t="s">
        <v>15826</v>
      </c>
      <c r="C5817" s="2">
        <f>IFERROR(__xludf.DUMMYFUNCTION("split(B5817,""_"")"),1004.0)</f>
        <v>1004</v>
      </c>
      <c r="D5817" s="2" t="str">
        <f>IFERROR(__xludf.DUMMYFUNCTION("""COMPUTED_VALUE"""),"TBS")</f>
        <v>TBS</v>
      </c>
      <c r="E5817" s="2" t="str">
        <f>IFERROR(__xludf.DUMMYFUNCTION("""COMPUTED_VALUE"""),"金22")</f>
        <v>金22</v>
      </c>
      <c r="F5817" s="2" t="s">
        <v>15827</v>
      </c>
      <c r="G5817" s="2" t="s">
        <v>15832</v>
      </c>
      <c r="H5817" s="1">
        <v>3.0</v>
      </c>
      <c r="J5817" s="1" t="s">
        <v>86</v>
      </c>
      <c r="K5817" s="2" t="s">
        <v>15833</v>
      </c>
      <c r="L5817" s="2"/>
      <c r="M5817" s="2" t="str">
        <f>IFERROR(__xludf.DUMMYFUNCTION("split(split(K5817,""【"",false),""公式LINE"",false)"),"大地（成宮寛貴）と花（仲里依紗）のクラスに謎のヤンキー美少女・凛風（川口春奈）が乱入してくる。どうやら花と訳ありらしいが、花は完全無視。大地はそんな二人の関係に巻き込まれ・・・。さらに大地に恨みを持つ  ヤンキー難波（加藤歩）が現れる。    鮮血の女豹・姫路凛風が遂に登場！ますます  面白くなる痛快学園ホームコメディの第3話！！成宮寛貴  仲里依紗  本郷奏多  小柳友  川口春奈  鈴木亮平  皆川猿時  加藤歩（ザブングル）  古田新太  堀ちえみ  大和田美帆  伊東四朗")</f>
        <v>大地（成宮寛貴）と花（仲里依紗）のクラスに謎のヤンキー美少女・凛風（川口春奈）が乱入してくる。どうやら花と訳ありらしいが、花は完全無視。大地はそんな二人の関係に巻き込まれ・・・。さらに大地に恨みを持つ  ヤンキー難波（加藤歩）が現れる。    鮮血の女豹・姫路凛風が遂に登場！ますます  面白くなる痛快学園ホームコメディの第3話！！成宮寛貴  仲里依紗  本郷奏多  小柳友  川口春奈  鈴木亮平  皆川猿時  加藤歩（ザブングル）  古田新太  堀ちえみ  大和田美帆  伊東四朗</v>
      </c>
      <c r="N5817" s="2"/>
      <c r="O5817" s="2"/>
      <c r="P5817" s="1"/>
      <c r="Q5817" s="1"/>
      <c r="R5817" s="1"/>
      <c r="S5817" s="1"/>
      <c r="T5817" s="1"/>
      <c r="U5817" s="1"/>
      <c r="V5817" s="1"/>
      <c r="W5817" s="1"/>
      <c r="X5817" s="1"/>
      <c r="Y5817" s="1"/>
      <c r="Z5817" s="1"/>
      <c r="AA5817" s="1"/>
      <c r="AB5817" s="1"/>
      <c r="AC5817" s="1"/>
      <c r="AD5817" s="1"/>
      <c r="AE5817" s="1"/>
      <c r="AF5817" s="1"/>
      <c r="AG5817" s="1"/>
      <c r="AH5817" s="1"/>
      <c r="AI5817" s="1"/>
      <c r="AJ5817" s="1"/>
      <c r="AK5817" s="1"/>
      <c r="AL5817" s="1"/>
      <c r="AM5817" s="1"/>
      <c r="AN5817" s="1"/>
      <c r="AO5817" s="1"/>
      <c r="AP5817" s="1"/>
      <c r="AQ5817" s="1"/>
      <c r="AR5817" s="1"/>
      <c r="AS5817" s="1"/>
      <c r="AT5817" s="1"/>
      <c r="AU5817" s="1"/>
      <c r="AV5817" s="1"/>
      <c r="AW5817" s="1"/>
      <c r="AX5817" s="1"/>
      <c r="AY5817" s="1"/>
      <c r="AZ5817" s="1"/>
      <c r="BA5817" s="1"/>
      <c r="BB5817" s="1"/>
    </row>
    <row r="5818" ht="204.75" customHeight="1">
      <c r="A5818" s="1">
        <v>4854.0</v>
      </c>
      <c r="B5818" s="2" t="s">
        <v>15826</v>
      </c>
      <c r="C5818" s="2">
        <f>IFERROR(__xludf.DUMMYFUNCTION("split(B5818,""_"")"),1004.0)</f>
        <v>1004</v>
      </c>
      <c r="D5818" s="2" t="str">
        <f>IFERROR(__xludf.DUMMYFUNCTION("""COMPUTED_VALUE"""),"TBS")</f>
        <v>TBS</v>
      </c>
      <c r="E5818" s="2" t="str">
        <f>IFERROR(__xludf.DUMMYFUNCTION("""COMPUTED_VALUE"""),"金22")</f>
        <v>金22</v>
      </c>
      <c r="F5818" s="2" t="s">
        <v>15827</v>
      </c>
      <c r="G5818" s="2" t="s">
        <v>15834</v>
      </c>
      <c r="H5818" s="1">
        <v>4.0</v>
      </c>
      <c r="J5818" s="1" t="s">
        <v>86</v>
      </c>
      <c r="K5818" s="2" t="s">
        <v>15835</v>
      </c>
      <c r="L5818" s="2"/>
      <c r="M5818" s="2" t="str">
        <f>IFERROR(__xludf.DUMMYFUNCTION("split(split(K5818,""【"",false),""公式LINE"",false)"),"生徒会長選挙が本格的にスタート。花（仲里依紗）の対立候補の和泉（本郷奏多）はヤンキーの撲滅を訴えて、圧倒的に優位に立つ。  一方、大地（成宮寛貴）の母・聖（堀ちえみ）は、父（古田新太）のキャバクラ通いが許せず家出してしまう・・・。  生徒会長選の行方は？そして聖の行方は？  クールな優等生・和泉岳の正体が明らかになる痛快学園ホームコメディの第4話！！成宮寛貴  仲里依紗  本郷奏多  小柳友  川口春奈  鈴木亮平  皆川猿時  染谷将太  古田新太  堀ちえみ  大和田美帆  伊東四朗")</f>
        <v>生徒会長選挙が本格的にスタート。花（仲里依紗）の対立候補の和泉（本郷奏多）はヤンキーの撲滅を訴えて、圧倒的に優位に立つ。  一方、大地（成宮寛貴）の母・聖（堀ちえみ）は、父（古田新太）のキャバクラ通いが許せず家出してしまう・・・。  生徒会長選の行方は？そして聖の行方は？  クールな優等生・和泉岳の正体が明らかになる痛快学園ホームコメディの第4話！！成宮寛貴  仲里依紗  本郷奏多  小柳友  川口春奈  鈴木亮平  皆川猿時  染谷将太  古田新太  堀ちえみ  大和田美帆  伊東四朗</v>
      </c>
      <c r="N5818" s="2"/>
      <c r="O5818" s="2"/>
      <c r="P5818" s="1"/>
      <c r="Q5818" s="1"/>
      <c r="R5818" s="1"/>
      <c r="S5818" s="1"/>
      <c r="T5818" s="1"/>
      <c r="U5818" s="1"/>
      <c r="V5818" s="1"/>
      <c r="W5818" s="1"/>
      <c r="X5818" s="1"/>
      <c r="Y5818" s="1"/>
      <c r="Z5818" s="1"/>
      <c r="AA5818" s="1"/>
      <c r="AB5818" s="1"/>
      <c r="AC5818" s="1"/>
      <c r="AD5818" s="1"/>
      <c r="AE5818" s="1"/>
      <c r="AF5818" s="1"/>
      <c r="AG5818" s="1"/>
      <c r="AH5818" s="1"/>
      <c r="AI5818" s="1"/>
      <c r="AJ5818" s="1"/>
      <c r="AK5818" s="1"/>
      <c r="AL5818" s="1"/>
      <c r="AM5818" s="1"/>
      <c r="AN5818" s="1"/>
      <c r="AO5818" s="1"/>
      <c r="AP5818" s="1"/>
      <c r="AQ5818" s="1"/>
      <c r="AR5818" s="1"/>
      <c r="AS5818" s="1"/>
      <c r="AT5818" s="1"/>
      <c r="AU5818" s="1"/>
      <c r="AV5818" s="1"/>
      <c r="AW5818" s="1"/>
      <c r="AX5818" s="1"/>
      <c r="AY5818" s="1"/>
      <c r="AZ5818" s="1"/>
      <c r="BA5818" s="1"/>
      <c r="BB5818" s="1"/>
    </row>
    <row r="5819" ht="204.75" customHeight="1">
      <c r="A5819" s="1">
        <v>4855.0</v>
      </c>
      <c r="B5819" s="2" t="s">
        <v>15826</v>
      </c>
      <c r="C5819" s="2">
        <f>IFERROR(__xludf.DUMMYFUNCTION("split(B5819,""_"")"),1004.0)</f>
        <v>1004</v>
      </c>
      <c r="D5819" s="2" t="str">
        <f>IFERROR(__xludf.DUMMYFUNCTION("""COMPUTED_VALUE"""),"TBS")</f>
        <v>TBS</v>
      </c>
      <c r="E5819" s="2" t="str">
        <f>IFERROR(__xludf.DUMMYFUNCTION("""COMPUTED_VALUE"""),"金22")</f>
        <v>金22</v>
      </c>
      <c r="F5819" s="2" t="s">
        <v>15827</v>
      </c>
      <c r="G5819" s="2" t="s">
        <v>15836</v>
      </c>
      <c r="H5819" s="1">
        <v>5.0</v>
      </c>
      <c r="J5819" s="1" t="s">
        <v>86</v>
      </c>
      <c r="K5819" s="2" t="s">
        <v>15837</v>
      </c>
      <c r="L5819" s="2"/>
      <c r="M5819" s="2" t="str">
        <f>IFERROR(__xludf.DUMMYFUNCTION("split(split(K5819,""【"",false),""公式LINE"",false)"),"大地（成宮寛貴）と花（仲里依紗）は同級生の工藤（田村健太郎）とサオリ（夏目鈴）がもめている場面を目撃。花は二人のために生徒会主催で、ベストカップルコンテストを開こうと言い出す。一方、大地の母・聖（堀ちえみ）は、父（古田新太）のキャバクラ通いに怒って家出をしてしまう・・・。  恋の嵐が吹き荒れる、大人気ドラマの第5回！！成宮寛貴  仲里依紗  本郷奏多  小柳友  川口春奈  鈴木亮平  皆川猿時  古田新太  堀ちえみ  大和田美帆  伊東四朗")</f>
        <v>大地（成宮寛貴）と花（仲里依紗）は同級生の工藤（田村健太郎）とサオリ（夏目鈴）がもめている場面を目撃。花は二人のために生徒会主催で、ベストカップルコンテストを開こうと言い出す。一方、大地の母・聖（堀ちえみ）は、父（古田新太）のキャバクラ通いに怒って家出をしてしまう・・・。  恋の嵐が吹き荒れる、大人気ドラマの第5回！！成宮寛貴  仲里依紗  本郷奏多  小柳友  川口春奈  鈴木亮平  皆川猿時  古田新太  堀ちえみ  大和田美帆  伊東四朗</v>
      </c>
      <c r="N5819" s="2"/>
      <c r="O5819" s="2"/>
      <c r="P5819" s="1"/>
      <c r="Q5819" s="1"/>
      <c r="R5819" s="1"/>
      <c r="S5819" s="1"/>
      <c r="T5819" s="1"/>
      <c r="U5819" s="1"/>
      <c r="V5819" s="1"/>
      <c r="W5819" s="1"/>
      <c r="X5819" s="1"/>
      <c r="Y5819" s="1"/>
      <c r="Z5819" s="1"/>
      <c r="AA5819" s="1"/>
      <c r="AB5819" s="1"/>
      <c r="AC5819" s="1"/>
      <c r="AD5819" s="1"/>
      <c r="AE5819" s="1"/>
      <c r="AF5819" s="1"/>
      <c r="AG5819" s="1"/>
      <c r="AH5819" s="1"/>
      <c r="AI5819" s="1"/>
      <c r="AJ5819" s="1"/>
      <c r="AK5819" s="1"/>
      <c r="AL5819" s="1"/>
      <c r="AM5819" s="1"/>
      <c r="AN5819" s="1"/>
      <c r="AO5819" s="1"/>
      <c r="AP5819" s="1"/>
      <c r="AQ5819" s="1"/>
      <c r="AR5819" s="1"/>
      <c r="AS5819" s="1"/>
      <c r="AT5819" s="1"/>
      <c r="AU5819" s="1"/>
      <c r="AV5819" s="1"/>
      <c r="AW5819" s="1"/>
      <c r="AX5819" s="1"/>
      <c r="AY5819" s="1"/>
      <c r="AZ5819" s="1"/>
      <c r="BA5819" s="1"/>
      <c r="BB5819" s="1"/>
    </row>
    <row r="5820" ht="204.75" customHeight="1">
      <c r="A5820" s="1">
        <v>4856.0</v>
      </c>
      <c r="B5820" s="2" t="s">
        <v>15826</v>
      </c>
      <c r="C5820" s="2">
        <f>IFERROR(__xludf.DUMMYFUNCTION("split(B5820,""_"")"),1004.0)</f>
        <v>1004</v>
      </c>
      <c r="D5820" s="2" t="str">
        <f>IFERROR(__xludf.DUMMYFUNCTION("""COMPUTED_VALUE"""),"TBS")</f>
        <v>TBS</v>
      </c>
      <c r="E5820" s="2" t="str">
        <f>IFERROR(__xludf.DUMMYFUNCTION("""COMPUTED_VALUE"""),"金22")</f>
        <v>金22</v>
      </c>
      <c r="F5820" s="2" t="s">
        <v>15827</v>
      </c>
      <c r="G5820" s="2" t="s">
        <v>15838</v>
      </c>
      <c r="H5820" s="1">
        <v>6.0</v>
      </c>
      <c r="J5820" s="1" t="s">
        <v>86</v>
      </c>
      <c r="K5820" s="2" t="s">
        <v>15839</v>
      </c>
      <c r="L5820" s="2"/>
      <c r="M5820" s="2" t="str">
        <f>IFERROR(__xludf.DUMMYFUNCTION("split(split(K5820,""【"",false),""公式LINE"",false)"),"大地（成宮寛貴）は追試の教室で宮城純（石橋杏奈）に出会い、彼女こそ自分の探していた初恋の女性ではないかと思う。花（仲里依紗）は、純を勉強に誘うが、彼女は校則で禁止されているバイトをしたことがバレて、停学になってしまう。そんな時、担任の堺（皆川猿時）が何の前ぶれもなく大地の家に家庭訪問に訪れ、品川家は大騒ぎに・・・。成宮寛貴  仲里依紗  本郷奏多  小柳友  川口春奈  皆川猿時  石橋杏奈  浪岡一喜  古田新太  堀ちえみ  大和田美帆  伊東四朗")</f>
        <v>大地（成宮寛貴）は追試の教室で宮城純（石橋杏奈）に出会い、彼女こそ自分の探していた初恋の女性ではないかと思う。花（仲里依紗）は、純を勉強に誘うが、彼女は校則で禁止されているバイトをしたことがバレて、停学になってしまう。そんな時、担任の堺（皆川猿時）が何の前ぶれもなく大地の家に家庭訪問に訪れ、品川家は大騒ぎに・・・。成宮寛貴  仲里依紗  本郷奏多  小柳友  川口春奈  皆川猿時  石橋杏奈  浪岡一喜  古田新太  堀ちえみ  大和田美帆  伊東四朗</v>
      </c>
      <c r="N5820" s="2"/>
      <c r="O5820" s="2"/>
      <c r="P5820" s="1"/>
      <c r="Q5820" s="1"/>
      <c r="R5820" s="1"/>
      <c r="S5820" s="1"/>
      <c r="T5820" s="1"/>
      <c r="U5820" s="1"/>
      <c r="V5820" s="1"/>
      <c r="W5820" s="1"/>
      <c r="X5820" s="1"/>
      <c r="Y5820" s="1"/>
      <c r="Z5820" s="1"/>
      <c r="AA5820" s="1"/>
      <c r="AB5820" s="1"/>
      <c r="AC5820" s="1"/>
      <c r="AD5820" s="1"/>
      <c r="AE5820" s="1"/>
      <c r="AF5820" s="1"/>
      <c r="AG5820" s="1"/>
      <c r="AH5820" s="1"/>
      <c r="AI5820" s="1"/>
      <c r="AJ5820" s="1"/>
      <c r="AK5820" s="1"/>
      <c r="AL5820" s="1"/>
      <c r="AM5820" s="1"/>
      <c r="AN5820" s="1"/>
      <c r="AO5820" s="1"/>
      <c r="AP5820" s="1"/>
      <c r="AQ5820" s="1"/>
      <c r="AR5820" s="1"/>
      <c r="AS5820" s="1"/>
      <c r="AT5820" s="1"/>
      <c r="AU5820" s="1"/>
      <c r="AV5820" s="1"/>
      <c r="AW5820" s="1"/>
      <c r="AX5820" s="1"/>
      <c r="AY5820" s="1"/>
      <c r="AZ5820" s="1"/>
      <c r="BA5820" s="1"/>
      <c r="BB5820" s="1"/>
    </row>
    <row r="5821" ht="204.75" customHeight="1">
      <c r="A5821" s="1">
        <v>4857.0</v>
      </c>
      <c r="B5821" s="2" t="s">
        <v>15826</v>
      </c>
      <c r="C5821" s="2">
        <f>IFERROR(__xludf.DUMMYFUNCTION("split(B5821,""_"")"),1004.0)</f>
        <v>1004</v>
      </c>
      <c r="D5821" s="2" t="str">
        <f>IFERROR(__xludf.DUMMYFUNCTION("""COMPUTED_VALUE"""),"TBS")</f>
        <v>TBS</v>
      </c>
      <c r="E5821" s="2" t="str">
        <f>IFERROR(__xludf.DUMMYFUNCTION("""COMPUTED_VALUE"""),"金22")</f>
        <v>金22</v>
      </c>
      <c r="F5821" s="2" t="s">
        <v>15827</v>
      </c>
      <c r="G5821" s="2" t="s">
        <v>15840</v>
      </c>
      <c r="H5821" s="1">
        <v>7.0</v>
      </c>
      <c r="J5821" s="1" t="s">
        <v>82</v>
      </c>
      <c r="K5821" s="2" t="s">
        <v>15841</v>
      </c>
      <c r="L5821" s="2"/>
      <c r="M5821" s="2" t="str">
        <f>IFERROR(__xludf.DUMMYFUNCTION("split(split(K5821,""【"",false),""公式LINE"",false)"),"大地（成宮寛貴）たち2年A組は、実力テストに備えて“クラス合宿”を行うことになった。合宿先の温泉地に到着した一同は早速テストを受けるが、花（仲里依紗）だけが担任の堺（皆川猿時）の補習授業を受けることになる。補習のない大地は、千葉（小柳友）や凛風（川口春奈）の目から逃れ、一人で自由時間を過ごそうと外出。すると、通りがかった神社の境内で、父親を待つ幼い少年・壮太（田中理勇）と出会う。一人でいる壮太が気になり声をかける大地。すると、壮太を探しにやって来た母親・律子（坂井真紀）に紋白高校の生徒だと気づかれ、なぜか"&amp;"慌てて立ち去られてしまう。その夜、大地は花から「“頭の良くなる足湯”に行こう」と誘われるも、「一人で行け」とそっけない態度。夜中、寝付けない大地が外出すると、高校入試の際に出逢って以来、ずっと想い続けていた女の子と遭遇。大地は思い切って声をかけ、翌日の自由時間に逢う約束を取り付ける。翌朝、すっかり気分を良くして勉強にも意欲を見せる大地が授業を受けようとすると、そこには壮太が紛れ込んでいた。なんと壮太は堺の息子だったのだ！  担任の堺の家族の騒動にも巻き込まれる大地と花。大地の想い人との約束を守ることが出来"&amp;"るのか？花の誘いは…！？成宮寛貴  仲里依紗  本郷奏多  小柳友  川口春奈    皆川猿時  坂井真紀    古田新太  堀ちえみ")</f>
        <v>大地（成宮寛貴）たち2年A組は、実力テストに備えて“クラス合宿”を行うことになった。合宿先の温泉地に到着した一同は早速テストを受けるが、花（仲里依紗）だけが担任の堺（皆川猿時）の補習授業を受けることになる。補習のない大地は、千葉（小柳友）や凛風（川口春奈）の目から逃れ、一人で自由時間を過ごそうと外出。すると、通りがかった神社の境内で、父親を待つ幼い少年・壮太（田中理勇）と出会う。一人でいる壮太が気になり声をかける大地。すると、壮太を探しにやって来た母親・律子（坂井真紀）に紋白高校の生徒だと気づかれ、なぜか慌てて立ち去られてしまう。その夜、大地は花から「“頭の良くなる足湯”に行こう」と誘われるも、「一人で行け」とそっけない態度。夜中、寝付けない大地が外出すると、高校入試の際に出逢って以来、ずっと想い続けていた女の子と遭遇。大地は思い切って声をかけ、翌日の自由時間に逢う約束を取り付ける。翌朝、すっかり気分を良くして勉強にも意欲を見せる大地が授業を受けようとすると、そこには壮太が紛れ込んでいた。なんと壮太は堺の息子だったのだ！  担任の堺の家族の騒動にも巻き込まれる大地と花。大地の想い人との約束を守ることが出来るのか？花の誘いは…！？成宮寛貴  仲里依紗  本郷奏多  小柳友  川口春奈    皆川猿時  坂井真紀    古田新太  堀ちえみ</v>
      </c>
      <c r="N5821" s="2"/>
      <c r="O5821" s="2"/>
      <c r="P5821" s="1"/>
      <c r="Q5821" s="1"/>
      <c r="R5821" s="1"/>
      <c r="S5821" s="1"/>
      <c r="T5821" s="1"/>
      <c r="U5821" s="1"/>
      <c r="V5821" s="1"/>
      <c r="W5821" s="1"/>
      <c r="X5821" s="1"/>
      <c r="Y5821" s="1"/>
      <c r="Z5821" s="1"/>
      <c r="AA5821" s="1"/>
      <c r="AB5821" s="1"/>
      <c r="AC5821" s="1"/>
      <c r="AD5821" s="1"/>
      <c r="AE5821" s="1"/>
      <c r="AF5821" s="1"/>
      <c r="AG5821" s="1"/>
      <c r="AH5821" s="1"/>
      <c r="AI5821" s="1"/>
      <c r="AJ5821" s="1"/>
      <c r="AK5821" s="1"/>
      <c r="AL5821" s="1"/>
      <c r="AM5821" s="1"/>
      <c r="AN5821" s="1"/>
      <c r="AO5821" s="1"/>
      <c r="AP5821" s="1"/>
      <c r="AQ5821" s="1"/>
      <c r="AR5821" s="1"/>
      <c r="AS5821" s="1"/>
      <c r="AT5821" s="1"/>
      <c r="AU5821" s="1"/>
      <c r="AV5821" s="1"/>
      <c r="AW5821" s="1"/>
      <c r="AX5821" s="1"/>
      <c r="AY5821" s="1"/>
      <c r="AZ5821" s="1"/>
      <c r="BA5821" s="1"/>
      <c r="BB5821" s="1"/>
    </row>
    <row r="5822" ht="204.75" customHeight="1">
      <c r="A5822" s="1">
        <v>4858.0</v>
      </c>
      <c r="B5822" s="2" t="s">
        <v>15826</v>
      </c>
      <c r="C5822" s="2">
        <f>IFERROR(__xludf.DUMMYFUNCTION("split(B5822,""_"")"),1004.0)</f>
        <v>1004</v>
      </c>
      <c r="D5822" s="2" t="str">
        <f>IFERROR(__xludf.DUMMYFUNCTION("""COMPUTED_VALUE"""),"TBS")</f>
        <v>TBS</v>
      </c>
      <c r="E5822" s="2" t="str">
        <f>IFERROR(__xludf.DUMMYFUNCTION("""COMPUTED_VALUE"""),"金22")</f>
        <v>金22</v>
      </c>
      <c r="F5822" s="2" t="s">
        <v>15827</v>
      </c>
      <c r="G5822" s="2" t="s">
        <v>15842</v>
      </c>
      <c r="H5822" s="1">
        <v>8.0</v>
      </c>
      <c r="J5822" s="1" t="s">
        <v>86</v>
      </c>
      <c r="K5822" s="2" t="s">
        <v>15843</v>
      </c>
      <c r="L5822" s="2"/>
      <c r="M5822" s="2" t="str">
        <f>IFERROR(__xludf.DUMMYFUNCTION("split(split(K5822,""【"",false),""公式LINE"",false)"),"幼い頃、父親・宙太（古田新太）の仕事をしている姿に尊敬を抱き、父親と同じ医師になりたいと考えている大地（成宮寛貴）。だが、医学部に通う優秀な姉がいるため自分は家族から期待されていないと感じ続けていたため、進学したいという思いを周囲に言い出せず、進路希望について話し合う担任・堺（皆川猿時）との三者面談をうやむやにしてしまう。一方、千葉（小柳友）も、宇宙に関わる勉強がしたいと“理系”への進学を考えていたが、母・エリコ（水野真紀）から法律事務所を営む父と同じ弁護士になるよう“文系”へ進路変更され、堺からもう一度"&amp;"三者面談をし直すよう促される。  自分の目指したいものを周囲に言い出す自信が持てず苛立つ大地と、親からの期待に応えるため自分の希望する進路変更するべきか悩む千葉。お互いに抱えている悩みに気付いた大地と千葉は、ふとしたことから激しい言い争いになる。  ふてくされた大地に花（仲里依紗）は…。成宮寛貴  仲里依紗  本郷奏多  鈴木亮平  皆川猿時  古田新太  堀ちえみ  伊東四朗")</f>
        <v>幼い頃、父親・宙太（古田新太）の仕事をしている姿に尊敬を抱き、父親と同じ医師になりたいと考えている大地（成宮寛貴）。だが、医学部に通う優秀な姉がいるため自分は家族から期待されていないと感じ続けていたため、進学したいという思いを周囲に言い出せず、進路希望について話し合う担任・堺（皆川猿時）との三者面談をうやむやにしてしまう。一方、千葉（小柳友）も、宇宙に関わる勉強がしたいと“理系”への進学を考えていたが、母・エリコ（水野真紀）から法律事務所を営む父と同じ弁護士になるよう“文系”へ進路変更され、堺からもう一度三者面談をし直すよう促される。  自分の目指したいものを周囲に言い出す自信が持てず苛立つ大地と、親からの期待に応えるため自分の希望する進路変更するべきか悩む千葉。お互いに抱えている悩みに気付いた大地と千葉は、ふとしたことから激しい言い争いになる。  ふてくされた大地に花（仲里依紗）は…。成宮寛貴  仲里依紗  本郷奏多  鈴木亮平  皆川猿時  古田新太  堀ちえみ  伊東四朗</v>
      </c>
      <c r="N5822" s="2"/>
      <c r="O5822" s="2"/>
      <c r="P5822" s="1"/>
      <c r="Q5822" s="1"/>
      <c r="R5822" s="1"/>
      <c r="S5822" s="1"/>
      <c r="T5822" s="1"/>
      <c r="U5822" s="1"/>
      <c r="V5822" s="1"/>
      <c r="W5822" s="1"/>
      <c r="X5822" s="1"/>
      <c r="Y5822" s="1"/>
      <c r="Z5822" s="1"/>
      <c r="AA5822" s="1"/>
      <c r="AB5822" s="1"/>
      <c r="AC5822" s="1"/>
      <c r="AD5822" s="1"/>
      <c r="AE5822" s="1"/>
      <c r="AF5822" s="1"/>
      <c r="AG5822" s="1"/>
      <c r="AH5822" s="1"/>
      <c r="AI5822" s="1"/>
      <c r="AJ5822" s="1"/>
      <c r="AK5822" s="1"/>
      <c r="AL5822" s="1"/>
      <c r="AM5822" s="1"/>
      <c r="AN5822" s="1"/>
      <c r="AO5822" s="1"/>
      <c r="AP5822" s="1"/>
      <c r="AQ5822" s="1"/>
      <c r="AR5822" s="1"/>
      <c r="AS5822" s="1"/>
      <c r="AT5822" s="1"/>
      <c r="AU5822" s="1"/>
      <c r="AV5822" s="1"/>
      <c r="AW5822" s="1"/>
      <c r="AX5822" s="1"/>
      <c r="AY5822" s="1"/>
      <c r="AZ5822" s="1"/>
      <c r="BA5822" s="1"/>
      <c r="BB5822" s="1"/>
    </row>
    <row r="5823" ht="204.75" customHeight="1">
      <c r="A5823" s="1">
        <v>4859.0</v>
      </c>
      <c r="B5823" s="2" t="s">
        <v>15826</v>
      </c>
      <c r="C5823" s="2">
        <f>IFERROR(__xludf.DUMMYFUNCTION("split(B5823,""_"")"),1004.0)</f>
        <v>1004</v>
      </c>
      <c r="D5823" s="2" t="str">
        <f>IFERROR(__xludf.DUMMYFUNCTION("""COMPUTED_VALUE"""),"TBS")</f>
        <v>TBS</v>
      </c>
      <c r="E5823" s="2" t="str">
        <f>IFERROR(__xludf.DUMMYFUNCTION("""COMPUTED_VALUE"""),"金22")</f>
        <v>金22</v>
      </c>
      <c r="F5823" s="2" t="s">
        <v>15827</v>
      </c>
      <c r="G5823" s="2" t="s">
        <v>15844</v>
      </c>
      <c r="H5823" s="1">
        <v>9.0</v>
      </c>
      <c r="J5823" s="1" t="s">
        <v>86</v>
      </c>
      <c r="K5823" s="2" t="s">
        <v>15845</v>
      </c>
      <c r="L5823" s="2"/>
      <c r="M5823" s="2" t="str">
        <f>IFERROR(__xludf.DUMMYFUNCTION("split(split(K5823,""【"",false),""公式LINE"",false)"),"大地（成宮寛貴）、花（仲里依紗）たち生徒会の尽力で、紋白高校創立以来はじめての文化祭が開かれることになる。花はおばけ屋敷をやると大張り切り。  一方でハリケーン・アダを探す謎のヤンキー集団が出没。大地や花の仲間が、次々と襲われる。  果たして無事に文化祭は行われるのか？  ハリケーン・アダ（＝足立花）の正体はバレてしまうのか？  生徒会が最大のピンチを迎える、人気シリーズの第9話！！成宮寛貴  仲里依紗  本郷奏多  小柳友  川口春奈  鈴木亮平  浪岡一喜  皆川猿時  古田新太  堀ちえみ  大和田"&amp;"美帆  伊東四朗")</f>
        <v>大地（成宮寛貴）、花（仲里依紗）たち生徒会の尽力で、紋白高校創立以来はじめての文化祭が開かれることになる。花はおばけ屋敷をやると大張り切り。  一方でハリケーン・アダを探す謎のヤンキー集団が出没。大地や花の仲間が、次々と襲われる。  果たして無事に文化祭は行われるのか？  ハリケーン・アダ（＝足立花）の正体はバレてしまうのか？  生徒会が最大のピンチを迎える、人気シリーズの第9話！！成宮寛貴  仲里依紗  本郷奏多  小柳友  川口春奈  鈴木亮平  浪岡一喜  皆川猿時  古田新太  堀ちえみ  大和田美帆  伊東四朗</v>
      </c>
      <c r="N5823" s="2"/>
      <c r="O5823" s="2"/>
      <c r="P5823" s="1"/>
      <c r="Q5823" s="1"/>
      <c r="R5823" s="1"/>
      <c r="S5823" s="1"/>
      <c r="T5823" s="1"/>
      <c r="U5823" s="1"/>
      <c r="V5823" s="1"/>
      <c r="W5823" s="1"/>
      <c r="X5823" s="1"/>
      <c r="Y5823" s="1"/>
      <c r="Z5823" s="1"/>
      <c r="AA5823" s="1"/>
      <c r="AB5823" s="1"/>
      <c r="AC5823" s="1"/>
      <c r="AD5823" s="1"/>
      <c r="AE5823" s="1"/>
      <c r="AF5823" s="1"/>
      <c r="AG5823" s="1"/>
      <c r="AH5823" s="1"/>
      <c r="AI5823" s="1"/>
      <c r="AJ5823" s="1"/>
      <c r="AK5823" s="1"/>
      <c r="AL5823" s="1"/>
      <c r="AM5823" s="1"/>
      <c r="AN5823" s="1"/>
      <c r="AO5823" s="1"/>
      <c r="AP5823" s="1"/>
      <c r="AQ5823" s="1"/>
      <c r="AR5823" s="1"/>
      <c r="AS5823" s="1"/>
      <c r="AT5823" s="1"/>
      <c r="AU5823" s="1"/>
      <c r="AV5823" s="1"/>
      <c r="AW5823" s="1"/>
      <c r="AX5823" s="1"/>
      <c r="AY5823" s="1"/>
      <c r="AZ5823" s="1"/>
      <c r="BA5823" s="1"/>
      <c r="BB5823" s="1"/>
    </row>
    <row r="5824" ht="204.75" customHeight="1">
      <c r="A5824" s="1">
        <v>4860.0</v>
      </c>
      <c r="B5824" s="2" t="s">
        <v>15826</v>
      </c>
      <c r="C5824" s="2">
        <f>IFERROR(__xludf.DUMMYFUNCTION("split(B5824,""_"")"),1004.0)</f>
        <v>1004</v>
      </c>
      <c r="D5824" s="2" t="str">
        <f>IFERROR(__xludf.DUMMYFUNCTION("""COMPUTED_VALUE"""),"TBS")</f>
        <v>TBS</v>
      </c>
      <c r="E5824" s="2" t="str">
        <f>IFERROR(__xludf.DUMMYFUNCTION("""COMPUTED_VALUE"""),"金22")</f>
        <v>金22</v>
      </c>
      <c r="F5824" s="2" t="s">
        <v>15827</v>
      </c>
      <c r="G5824" s="2" t="s">
        <v>15846</v>
      </c>
      <c r="H5824" s="1">
        <v>10.0</v>
      </c>
      <c r="J5824" s="1" t="s">
        <v>86</v>
      </c>
      <c r="K5824" s="2" t="s">
        <v>15847</v>
      </c>
      <c r="L5824" s="2"/>
      <c r="M5824" s="2" t="str">
        <f>IFERROR(__xludf.DUMMYFUNCTION("split(split(K5824,""【"",false),""公式LINE"",false)"),"大地（成宮寛貴）は、花（仲里依紗）に報復するため紋白高校にやってきたヤンキーの長崎（古川雄大）たちと、花を庇って乱闘。大地は退学処分を覚悟するが、担任の堺（皆川猿時）の指示で正式な処分が決まるまで自宅謹慎することになる。  一方、花は大地が退学処分にならないよう千葉（小柳友）や凛風（川口春奈）とクラスメイトたちに嘆願署名を募るが、反応は冷たく誰も署名に応じてくれない。自分がヤンキー時代に買った恨みのせいで大地がケンカに巻き込まれたとクラスメイトに話そうとする花を、和泉（本郷奏多）は「大地の気持ちを無駄にす"&amp;"るな」とたしなめる。大地の思いを組んで長崎の挑発に乗らない花。すると長崎は、和泉にケンカを仕掛け、和泉までも自宅謹慎となる。副会長の大地と和泉が暴力事件を起こしたことで、花、千葉、凛風の三人は堺から生徒会役員を改選することになるかもしれないと告げられる…成宮寛貴  仲里依紗  本郷奏多  小柳友  川口春奈  鈴木亮平  皆川猿時  染谷将太  古川雄大  古田新太  堀ちえみ  大和田美帆  伊東四朗")</f>
        <v>大地（成宮寛貴）は、花（仲里依紗）に報復するため紋白高校にやってきたヤンキーの長崎（古川雄大）たちと、花を庇って乱闘。大地は退学処分を覚悟するが、担任の堺（皆川猿時）の指示で正式な処分が決まるまで自宅謹慎することになる。  一方、花は大地が退学処分にならないよう千葉（小柳友）や凛風（川口春奈）とクラスメイトたちに嘆願署名を募るが、反応は冷たく誰も署名に応じてくれない。自分がヤンキー時代に買った恨みのせいで大地がケンカに巻き込まれたとクラスメイトに話そうとする花を、和泉（本郷奏多）は「大地の気持ちを無駄にするな」とたしなめる。大地の思いを組んで長崎の挑発に乗らない花。すると長崎は、和泉にケンカを仕掛け、和泉までも自宅謹慎となる。副会長の大地と和泉が暴力事件を起こしたことで、花、千葉、凛風の三人は堺から生徒会役員を改選することになるかもしれないと告げられる…成宮寛貴  仲里依紗  本郷奏多  小柳友  川口春奈  鈴木亮平  皆川猿時  染谷将太  古川雄大  古田新太  堀ちえみ  大和田美帆  伊東四朗</v>
      </c>
      <c r="N5824" s="2"/>
      <c r="O5824" s="2"/>
      <c r="P5824" s="1"/>
      <c r="Q5824" s="1"/>
      <c r="R5824" s="1"/>
      <c r="S5824" s="1"/>
      <c r="T5824" s="1"/>
      <c r="U5824" s="1"/>
      <c r="V5824" s="1"/>
      <c r="W5824" s="1"/>
      <c r="X5824" s="1"/>
      <c r="Y5824" s="1"/>
      <c r="Z5824" s="1"/>
      <c r="AA5824" s="1"/>
      <c r="AB5824" s="1"/>
      <c r="AC5824" s="1"/>
      <c r="AD5824" s="1"/>
      <c r="AE5824" s="1"/>
      <c r="AF5824" s="1"/>
      <c r="AG5824" s="1"/>
      <c r="AH5824" s="1"/>
      <c r="AI5824" s="1"/>
      <c r="AJ5824" s="1"/>
      <c r="AK5824" s="1"/>
      <c r="AL5824" s="1"/>
      <c r="AM5824" s="1"/>
      <c r="AN5824" s="1"/>
      <c r="AO5824" s="1"/>
      <c r="AP5824" s="1"/>
      <c r="AQ5824" s="1"/>
      <c r="AR5824" s="1"/>
      <c r="AS5824" s="1"/>
      <c r="AT5824" s="1"/>
      <c r="AU5824" s="1"/>
      <c r="AV5824" s="1"/>
      <c r="AW5824" s="1"/>
      <c r="AX5824" s="1"/>
      <c r="AY5824" s="1"/>
      <c r="AZ5824" s="1"/>
      <c r="BA5824" s="1"/>
      <c r="BB5824" s="1"/>
    </row>
    <row r="5825" ht="204.75" customHeight="1">
      <c r="A5825" s="1">
        <v>4861.0</v>
      </c>
      <c r="B5825" s="2" t="s">
        <v>15848</v>
      </c>
      <c r="C5825" s="2">
        <f>IFERROR(__xludf.DUMMYFUNCTION("split(B5825,""_"")"),1004.0)</f>
        <v>1004</v>
      </c>
      <c r="D5825" s="2" t="str">
        <f>IFERROR(__xludf.DUMMYFUNCTION("""COMPUTED_VALUE"""),"TBS")</f>
        <v>TBS</v>
      </c>
      <c r="E5825" s="2" t="str">
        <f>IFERROR(__xludf.DUMMYFUNCTION("""COMPUTED_VALUE"""),"土20")</f>
        <v>土20</v>
      </c>
      <c r="F5825" s="2" t="s">
        <v>15849</v>
      </c>
      <c r="G5825" s="2" t="s">
        <v>15850</v>
      </c>
      <c r="H5825" s="1">
        <v>1.0</v>
      </c>
      <c r="J5825" s="1" t="s">
        <v>15851</v>
      </c>
      <c r="K5825" s="2" t="s">
        <v>15852</v>
      </c>
      <c r="L5825" s="2"/>
      <c r="M5825" s="2" t="str">
        <f>IFERROR(__xludf.DUMMYFUNCTION("split(split(K5825,""【"",false),""公式LINE"",false)"),"烏森高校のヤンキー東航（山本裕典）は単位不足を補うため部活をやることに。だが、気が短い航は何をやっても続かない。そんな時、美人転校生・里中茉莉（岡本あずさ）が男子新体操部のエース火野（西島隆弘）のタンブリング（＝宙返り）を褒めたことで、男子新体操部に仮入部することになる。乱暴な航の仮入部に悠太（瀬戸康史）たちは戸惑うばかりだった。そんなある日、悠太たちは街でヤンキーたちに絡まれる。助けに入った航だったが・・・・。山本裕典  瀬戸康史  三浦翔平  大東俊介  西島隆弘  冨浦智嗣  柳下大  賀来賢人  "&amp;"タモト清嵐    国仲涼子    AKIRA  大塚寧々「まなざし」　Honey　L　Days（avex　trax）放送後にプレゼントの告知があります！！")</f>
        <v>烏森高校のヤンキー東航（山本裕典）は単位不足を補うため部活をやることに。だが、気が短い航は何をやっても続かない。そんな時、美人転校生・里中茉莉（岡本あずさ）が男子新体操部のエース火野（西島隆弘）のタンブリング（＝宙返り）を褒めたことで、男子新体操部に仮入部することになる。乱暴な航の仮入部に悠太（瀬戸康史）たちは戸惑うばかりだった。そんなある日、悠太たちは街でヤンキーたちに絡まれる。助けに入った航だったが・・・・。山本裕典  瀬戸康史  三浦翔平  大東俊介  西島隆弘  冨浦智嗣  柳下大  賀来賢人  タモト清嵐    国仲涼子    AKIRA  大塚寧々「まなざし」　Honey　L　Days（avex　trax）放送後にプレゼントの告知があります！！</v>
      </c>
      <c r="N5825" s="2"/>
      <c r="O5825" s="2"/>
      <c r="P5825" s="1"/>
      <c r="Q5825" s="1"/>
      <c r="R5825" s="1"/>
      <c r="S5825" s="1"/>
      <c r="T5825" s="1"/>
      <c r="U5825" s="1"/>
      <c r="V5825" s="1"/>
      <c r="W5825" s="1"/>
      <c r="X5825" s="1"/>
      <c r="Y5825" s="1"/>
      <c r="Z5825" s="1"/>
      <c r="AA5825" s="1"/>
      <c r="AB5825" s="1"/>
      <c r="AC5825" s="1"/>
      <c r="AD5825" s="1"/>
      <c r="AE5825" s="1"/>
      <c r="AF5825" s="1"/>
      <c r="AG5825" s="1"/>
      <c r="AH5825" s="1"/>
      <c r="AI5825" s="1"/>
      <c r="AJ5825" s="1"/>
      <c r="AK5825" s="1"/>
      <c r="AL5825" s="1"/>
      <c r="AM5825" s="1"/>
      <c r="AN5825" s="1"/>
      <c r="AO5825" s="1"/>
      <c r="AP5825" s="1"/>
      <c r="AQ5825" s="1"/>
      <c r="AR5825" s="1"/>
      <c r="AS5825" s="1"/>
      <c r="AT5825" s="1"/>
      <c r="AU5825" s="1"/>
      <c r="AV5825" s="1"/>
      <c r="AW5825" s="1"/>
      <c r="AX5825" s="1"/>
      <c r="AY5825" s="1"/>
      <c r="AZ5825" s="1"/>
      <c r="BA5825" s="1"/>
      <c r="BB5825" s="1"/>
    </row>
    <row r="5826" ht="204.75" customHeight="1">
      <c r="A5826" s="1">
        <v>4862.0</v>
      </c>
      <c r="B5826" s="2" t="s">
        <v>15848</v>
      </c>
      <c r="C5826" s="2">
        <f>IFERROR(__xludf.DUMMYFUNCTION("split(B5826,""_"")"),1004.0)</f>
        <v>1004</v>
      </c>
      <c r="D5826" s="2" t="str">
        <f>IFERROR(__xludf.DUMMYFUNCTION("""COMPUTED_VALUE"""),"TBS")</f>
        <v>TBS</v>
      </c>
      <c r="E5826" s="2" t="str">
        <f>IFERROR(__xludf.DUMMYFUNCTION("""COMPUTED_VALUE"""),"土20")</f>
        <v>土20</v>
      </c>
      <c r="F5826" s="2" t="s">
        <v>15849</v>
      </c>
      <c r="G5826" s="2" t="s">
        <v>15853</v>
      </c>
      <c r="H5826" s="1">
        <v>2.0</v>
      </c>
      <c r="J5826" s="1" t="s">
        <v>2809</v>
      </c>
      <c r="K5826" s="2" t="s">
        <v>15854</v>
      </c>
      <c r="L5826" s="2"/>
      <c r="M5826" s="2" t="str">
        <f>IFERROR(__xludf.DUMMYFUNCTION("split(split(K5826,""【"",false),""公式LINE"",false)"),"交流会を機に悠太が新体操から距離を置き、体操部がバラバラになりかける。そんな部員たちを立ち直らせようと、航はより一層新体操に熱中していく。しかしいつしか亮介と行動する時間が減り二人の間に壁が出来てしまう…。山本裕典  瀬戸康史  三浦翔平  大東俊介  西島隆弘  冨浦智嗣  柳下大  賀来賢人  タモト清嵐    国仲涼子  AKIRA    大塚寧々  放送後にプレゼントの告知があります！！")</f>
        <v>交流会を機に悠太が新体操から距離を置き、体操部がバラバラになりかける。そんな部員たちを立ち直らせようと、航はより一層新体操に熱中していく。しかしいつしか亮介と行動する時間が減り二人の間に壁が出来てしまう…。山本裕典  瀬戸康史  三浦翔平  大東俊介  西島隆弘  冨浦智嗣  柳下大  賀来賢人  タモト清嵐    国仲涼子  AKIRA    大塚寧々  放送後にプレゼントの告知があります！！</v>
      </c>
      <c r="N5826" s="2"/>
      <c r="O5826" s="2"/>
      <c r="P5826" s="1"/>
      <c r="Q5826" s="1"/>
      <c r="R5826" s="1"/>
      <c r="S5826" s="1"/>
      <c r="T5826" s="1"/>
      <c r="U5826" s="1"/>
      <c r="V5826" s="1"/>
      <c r="W5826" s="1"/>
      <c r="X5826" s="1"/>
      <c r="Y5826" s="1"/>
      <c r="Z5826" s="1"/>
      <c r="AA5826" s="1"/>
      <c r="AB5826" s="1"/>
      <c r="AC5826" s="1"/>
      <c r="AD5826" s="1"/>
      <c r="AE5826" s="1"/>
      <c r="AF5826" s="1"/>
      <c r="AG5826" s="1"/>
      <c r="AH5826" s="1"/>
      <c r="AI5826" s="1"/>
      <c r="AJ5826" s="1"/>
      <c r="AK5826" s="1"/>
      <c r="AL5826" s="1"/>
      <c r="AM5826" s="1"/>
      <c r="AN5826" s="1"/>
      <c r="AO5826" s="1"/>
      <c r="AP5826" s="1"/>
      <c r="AQ5826" s="1"/>
      <c r="AR5826" s="1"/>
      <c r="AS5826" s="1"/>
      <c r="AT5826" s="1"/>
      <c r="AU5826" s="1"/>
      <c r="AV5826" s="1"/>
      <c r="AW5826" s="1"/>
      <c r="AX5826" s="1"/>
      <c r="AY5826" s="1"/>
      <c r="AZ5826" s="1"/>
      <c r="BA5826" s="1"/>
      <c r="BB5826" s="1"/>
    </row>
    <row r="5827" ht="204.75" customHeight="1">
      <c r="A5827" s="1">
        <v>4863.0</v>
      </c>
      <c r="B5827" s="2" t="s">
        <v>15848</v>
      </c>
      <c r="C5827" s="2">
        <f>IFERROR(__xludf.DUMMYFUNCTION("split(B5827,""_"")"),1004.0)</f>
        <v>1004</v>
      </c>
      <c r="D5827" s="2" t="str">
        <f>IFERROR(__xludf.DUMMYFUNCTION("""COMPUTED_VALUE"""),"TBS")</f>
        <v>TBS</v>
      </c>
      <c r="E5827" s="2" t="str">
        <f>IFERROR(__xludf.DUMMYFUNCTION("""COMPUTED_VALUE"""),"土20")</f>
        <v>土20</v>
      </c>
      <c r="F5827" s="2" t="s">
        <v>15849</v>
      </c>
      <c r="G5827" s="2" t="s">
        <v>15855</v>
      </c>
      <c r="H5827" s="1">
        <v>3.0</v>
      </c>
      <c r="J5827" s="1" t="s">
        <v>2809</v>
      </c>
      <c r="K5827" s="2" t="s">
        <v>15856</v>
      </c>
      <c r="L5827" s="2"/>
      <c r="M5827" s="2" t="str">
        <f>IFERROR(__xludf.DUMMYFUNCTION("split(split(K5827,""【"",false),""公式LINE"",false)"),"亮介・日暮里も新体操部に加わり、より一層活気づく新体操部。新しいマットを購入すべく賞金10万円が貰えるという祭りに参加することに。しかし皆が一生懸命練習する中、日暮里が練習をサボる様になっていく。航が理由を説いても日暮里は答えない。いつしか部員たちから日暮里への信頼が薄れていくように…。山本裕典  瀬戸康史  三浦翔平  大東俊介  西島隆弘  冨浦智嗣  柳下大  賀来賢人  タモト清嵐    国仲涼子  AKIRA    大塚寧々「まなざし」　Honey　L　Days（avex　trax）放送後にプレ"&amp;"ゼントの告知があります！！")</f>
        <v>亮介・日暮里も新体操部に加わり、より一層活気づく新体操部。新しいマットを購入すべく賞金10万円が貰えるという祭りに参加することに。しかし皆が一生懸命練習する中、日暮里が練習をサボる様になっていく。航が理由を説いても日暮里は答えない。いつしか部員たちから日暮里への信頼が薄れていくように…。山本裕典  瀬戸康史  三浦翔平  大東俊介  西島隆弘  冨浦智嗣  柳下大  賀来賢人  タモト清嵐    国仲涼子  AKIRA    大塚寧々「まなざし」　Honey　L　Days（avex　trax）放送後にプレゼントの告知があります！！</v>
      </c>
      <c r="N5827" s="2"/>
      <c r="O5827" s="2"/>
      <c r="P5827" s="1"/>
      <c r="Q5827" s="1"/>
      <c r="R5827" s="1"/>
      <c r="S5827" s="1"/>
      <c r="T5827" s="1"/>
      <c r="U5827" s="1"/>
      <c r="V5827" s="1"/>
      <c r="W5827" s="1"/>
      <c r="X5827" s="1"/>
      <c r="Y5827" s="1"/>
      <c r="Z5827" s="1"/>
      <c r="AA5827" s="1"/>
      <c r="AB5827" s="1"/>
      <c r="AC5827" s="1"/>
      <c r="AD5827" s="1"/>
      <c r="AE5827" s="1"/>
      <c r="AF5827" s="1"/>
      <c r="AG5827" s="1"/>
      <c r="AH5827" s="1"/>
      <c r="AI5827" s="1"/>
      <c r="AJ5827" s="1"/>
      <c r="AK5827" s="1"/>
      <c r="AL5827" s="1"/>
      <c r="AM5827" s="1"/>
      <c r="AN5827" s="1"/>
      <c r="AO5827" s="1"/>
      <c r="AP5827" s="1"/>
      <c r="AQ5827" s="1"/>
      <c r="AR5827" s="1"/>
      <c r="AS5827" s="1"/>
      <c r="AT5827" s="1"/>
      <c r="AU5827" s="1"/>
      <c r="AV5827" s="1"/>
      <c r="AW5827" s="1"/>
      <c r="AX5827" s="1"/>
      <c r="AY5827" s="1"/>
      <c r="AZ5827" s="1"/>
      <c r="BA5827" s="1"/>
      <c r="BB5827" s="1"/>
    </row>
    <row r="5828" ht="204.75" customHeight="1">
      <c r="A5828" s="1">
        <v>4864.0</v>
      </c>
      <c r="B5828" s="2" t="s">
        <v>15848</v>
      </c>
      <c r="C5828" s="2">
        <f>IFERROR(__xludf.DUMMYFUNCTION("split(B5828,""_"")"),1004.0)</f>
        <v>1004</v>
      </c>
      <c r="D5828" s="2" t="str">
        <f>IFERROR(__xludf.DUMMYFUNCTION("""COMPUTED_VALUE"""),"TBS")</f>
        <v>TBS</v>
      </c>
      <c r="E5828" s="2" t="str">
        <f>IFERROR(__xludf.DUMMYFUNCTION("""COMPUTED_VALUE"""),"土20")</f>
        <v>土20</v>
      </c>
      <c r="F5828" s="2" t="s">
        <v>15849</v>
      </c>
      <c r="G5828" s="2" t="s">
        <v>15857</v>
      </c>
      <c r="H5828" s="1">
        <v>4.0</v>
      </c>
      <c r="J5828" s="1" t="s">
        <v>2809</v>
      </c>
      <c r="K5828" s="2" t="s">
        <v>15858</v>
      </c>
      <c r="L5828" s="2"/>
      <c r="M5828" s="2" t="str">
        <f>IFERROR(__xludf.DUMMYFUNCTION("split(split(K5828,""【"",false),""公式LINE"",false)"),"航たちに因縁をつけ始めた赤羽たち。その怒りの矛先は木山にまで向けられる。ある噂を赤羽に流され、木山は学校中から白い目で見られるように…。唯一航だけは木山を信じるが皆の疑いは晴れない。そんな時、土屋は木山に命を救われる。明らかになった土屋の病気、そして暴かれていく木山の過去。果たして新体操部は彼ら二人の真実をどう受け止め部活動に取り組んでいくのか・・・？山本裕典  瀬戸康史  三浦翔平  大東俊介  西島隆弘  冨浦智嗣  柳下大  賀来賢人  タモト清嵐    国仲涼子  AKIRA    大塚寧々「まな"&amp;"ざし」　Honey　L　Days（avex　trax）放送後にプレゼントの告知があります！！")</f>
        <v>航たちに因縁をつけ始めた赤羽たち。その怒りの矛先は木山にまで向けられる。ある噂を赤羽に流され、木山は学校中から白い目で見られるように…。唯一航だけは木山を信じるが皆の疑いは晴れない。そんな時、土屋は木山に命を救われる。明らかになった土屋の病気、そして暴かれていく木山の過去。果たして新体操部は彼ら二人の真実をどう受け止め部活動に取り組んでいくのか・・・？山本裕典  瀬戸康史  三浦翔平  大東俊介  西島隆弘  冨浦智嗣  柳下大  賀来賢人  タモト清嵐    国仲涼子  AKIRA    大塚寧々「まなざし」　Honey　L　Days（avex　trax）放送後にプレゼントの告知があります！！</v>
      </c>
      <c r="N5828" s="2"/>
      <c r="O5828" s="2"/>
      <c r="P5828" s="1"/>
      <c r="Q5828" s="1"/>
      <c r="R5828" s="1"/>
      <c r="S5828" s="1"/>
      <c r="T5828" s="1"/>
      <c r="U5828" s="1"/>
      <c r="V5828" s="1"/>
      <c r="W5828" s="1"/>
      <c r="X5828" s="1"/>
      <c r="Y5828" s="1"/>
      <c r="Z5828" s="1"/>
      <c r="AA5828" s="1"/>
      <c r="AB5828" s="1"/>
      <c r="AC5828" s="1"/>
      <c r="AD5828" s="1"/>
      <c r="AE5828" s="1"/>
      <c r="AF5828" s="1"/>
      <c r="AG5828" s="1"/>
      <c r="AH5828" s="1"/>
      <c r="AI5828" s="1"/>
      <c r="AJ5828" s="1"/>
      <c r="AK5828" s="1"/>
      <c r="AL5828" s="1"/>
      <c r="AM5828" s="1"/>
      <c r="AN5828" s="1"/>
      <c r="AO5828" s="1"/>
      <c r="AP5828" s="1"/>
      <c r="AQ5828" s="1"/>
      <c r="AR5828" s="1"/>
      <c r="AS5828" s="1"/>
      <c r="AT5828" s="1"/>
      <c r="AU5828" s="1"/>
      <c r="AV5828" s="1"/>
      <c r="AW5828" s="1"/>
      <c r="AX5828" s="1"/>
      <c r="AY5828" s="1"/>
      <c r="AZ5828" s="1"/>
      <c r="BA5828" s="1"/>
      <c r="BB5828" s="1"/>
    </row>
    <row r="5829" ht="204.75" customHeight="1">
      <c r="A5829" s="1">
        <v>4865.0</v>
      </c>
      <c r="B5829" s="2" t="s">
        <v>15848</v>
      </c>
      <c r="C5829" s="2">
        <f>IFERROR(__xludf.DUMMYFUNCTION("split(B5829,""_"")"),1004.0)</f>
        <v>1004</v>
      </c>
      <c r="D5829" s="2" t="str">
        <f>IFERROR(__xludf.DUMMYFUNCTION("""COMPUTED_VALUE"""),"TBS")</f>
        <v>TBS</v>
      </c>
      <c r="E5829" s="2" t="str">
        <f>IFERROR(__xludf.DUMMYFUNCTION("""COMPUTED_VALUE"""),"土20")</f>
        <v>土20</v>
      </c>
      <c r="F5829" s="2" t="s">
        <v>15849</v>
      </c>
      <c r="G5829" s="2" t="s">
        <v>15859</v>
      </c>
      <c r="H5829" s="1">
        <v>5.0</v>
      </c>
      <c r="J5829" s="1" t="s">
        <v>2809</v>
      </c>
      <c r="K5829" s="2" t="s">
        <v>15860</v>
      </c>
      <c r="L5829" s="2"/>
      <c r="M5829" s="2" t="str">
        <f>IFERROR(__xludf.DUMMYFUNCTION("split(split(K5829,""【"",false),""公式LINE"",false)"),"帝都大学に合宿に行くことになった烏森新体操部。そこで待ち受けていた帝都大学のコーチ高杉はとても厳しく航たちに倉庫の片付けや窓拭きをさせ、新体操の練習をさせない。それ所かマットにも上げさせてくれない。そんな高杉にイライラしつつも言われた通りに作業をこなして行く。そんな時、水沢のある秘密が部員逹に知られてしまう…。山本裕典  瀬戸康史  三浦翔平  大東俊介  西島隆弘  冨浦智嗣  柳下大  賀来賢人  タモト清嵐    国仲涼子  AKIRA    大塚寧々「まなざし」　Honey　L　Days（avex"&amp;"　trax）放送後にプレゼントの告知があります！！")</f>
        <v>帝都大学に合宿に行くことになった烏森新体操部。そこで待ち受けていた帝都大学のコーチ高杉はとても厳しく航たちに倉庫の片付けや窓拭きをさせ、新体操の練習をさせない。それ所かマットにも上げさせてくれない。そんな高杉にイライラしつつも言われた通りに作業をこなして行く。そんな時、水沢のある秘密が部員逹に知られてしまう…。山本裕典  瀬戸康史  三浦翔平  大東俊介  西島隆弘  冨浦智嗣  柳下大  賀来賢人  タモト清嵐    国仲涼子  AKIRA    大塚寧々「まなざし」　Honey　L　Days（avex　trax）放送後にプレゼントの告知があります！！</v>
      </c>
      <c r="N5829" s="2"/>
      <c r="O5829" s="2"/>
      <c r="P5829" s="1"/>
      <c r="Q5829" s="1"/>
      <c r="R5829" s="1"/>
      <c r="S5829" s="1"/>
      <c r="T5829" s="1"/>
      <c r="U5829" s="1"/>
      <c r="V5829" s="1"/>
      <c r="W5829" s="1"/>
      <c r="X5829" s="1"/>
      <c r="Y5829" s="1"/>
      <c r="Z5829" s="1"/>
      <c r="AA5829" s="1"/>
      <c r="AB5829" s="1"/>
      <c r="AC5829" s="1"/>
      <c r="AD5829" s="1"/>
      <c r="AE5829" s="1"/>
      <c r="AF5829" s="1"/>
      <c r="AG5829" s="1"/>
      <c r="AH5829" s="1"/>
      <c r="AI5829" s="1"/>
      <c r="AJ5829" s="1"/>
      <c r="AK5829" s="1"/>
      <c r="AL5829" s="1"/>
      <c r="AM5829" s="1"/>
      <c r="AN5829" s="1"/>
      <c r="AO5829" s="1"/>
      <c r="AP5829" s="1"/>
      <c r="AQ5829" s="1"/>
      <c r="AR5829" s="1"/>
      <c r="AS5829" s="1"/>
      <c r="AT5829" s="1"/>
      <c r="AU5829" s="1"/>
      <c r="AV5829" s="1"/>
      <c r="AW5829" s="1"/>
      <c r="AX5829" s="1"/>
      <c r="AY5829" s="1"/>
      <c r="AZ5829" s="1"/>
      <c r="BA5829" s="1"/>
      <c r="BB5829" s="1"/>
    </row>
    <row r="5830" ht="204.75" customHeight="1">
      <c r="A5830" s="1">
        <v>4866.0</v>
      </c>
      <c r="B5830" s="2" t="s">
        <v>15848</v>
      </c>
      <c r="C5830" s="2">
        <f>IFERROR(__xludf.DUMMYFUNCTION("split(B5830,""_"")"),1004.0)</f>
        <v>1004</v>
      </c>
      <c r="D5830" s="2" t="str">
        <f>IFERROR(__xludf.DUMMYFUNCTION("""COMPUTED_VALUE"""),"TBS")</f>
        <v>TBS</v>
      </c>
      <c r="E5830" s="2" t="str">
        <f>IFERROR(__xludf.DUMMYFUNCTION("""COMPUTED_VALUE"""),"土20")</f>
        <v>土20</v>
      </c>
      <c r="F5830" s="2" t="s">
        <v>15849</v>
      </c>
      <c r="G5830" s="2" t="s">
        <v>15861</v>
      </c>
      <c r="H5830" s="1">
        <v>6.0</v>
      </c>
      <c r="J5830" s="1" t="s">
        <v>2809</v>
      </c>
      <c r="K5830" s="2" t="s">
        <v>15862</v>
      </c>
      <c r="L5830" s="2"/>
      <c r="M5830" s="2" t="str">
        <f>IFERROR(__xludf.DUMMYFUNCTION("split(split(K5830,""【"",false),""公式LINE"",false)"),"大会を勝ち抜くために新たに「交差技」を取り入れることにした男子新体操部。その交差技の練習中にアクシデントが起きる。ある夜の公園。航は悠太が一人段ボールに向かって走っていく姿を目にする。一体何のために…？一方、突如として明らかになったある男の存在。その男と航との関係とは・・・？山本裕典  瀬戸康史  三浦翔平  大東俊介  西島隆弘  冨浦智嗣  柳下大  賀来賢人  タモト清嵐    国仲涼子  AKIRA    大塚寧々「まなざし」　Honey　L　Days（avex　trax）放送後にプレゼントの告知"&amp;"があります！！")</f>
        <v>大会を勝ち抜くために新たに「交差技」を取り入れることにした男子新体操部。その交差技の練習中にアクシデントが起きる。ある夜の公園。航は悠太が一人段ボールに向かって走っていく姿を目にする。一体何のために…？一方、突如として明らかになったある男の存在。その男と航との関係とは・・・？山本裕典  瀬戸康史  三浦翔平  大東俊介  西島隆弘  冨浦智嗣  柳下大  賀来賢人  タモト清嵐    国仲涼子  AKIRA    大塚寧々「まなざし」　Honey　L　Days（avex　trax）放送後にプレゼントの告知があります！！</v>
      </c>
      <c r="N5830" s="2"/>
      <c r="O5830" s="2"/>
      <c r="P5830" s="1"/>
      <c r="Q5830" s="1"/>
      <c r="R5830" s="1"/>
      <c r="S5830" s="1"/>
      <c r="T5830" s="1"/>
      <c r="U5830" s="1"/>
      <c r="V5830" s="1"/>
      <c r="W5830" s="1"/>
      <c r="X5830" s="1"/>
      <c r="Y5830" s="1"/>
      <c r="Z5830" s="1"/>
      <c r="AA5830" s="1"/>
      <c r="AB5830" s="1"/>
      <c r="AC5830" s="1"/>
      <c r="AD5830" s="1"/>
      <c r="AE5830" s="1"/>
      <c r="AF5830" s="1"/>
      <c r="AG5830" s="1"/>
      <c r="AH5830" s="1"/>
      <c r="AI5830" s="1"/>
      <c r="AJ5830" s="1"/>
      <c r="AK5830" s="1"/>
      <c r="AL5830" s="1"/>
      <c r="AM5830" s="1"/>
      <c r="AN5830" s="1"/>
      <c r="AO5830" s="1"/>
      <c r="AP5830" s="1"/>
      <c r="AQ5830" s="1"/>
      <c r="AR5830" s="1"/>
      <c r="AS5830" s="1"/>
      <c r="AT5830" s="1"/>
      <c r="AU5830" s="1"/>
      <c r="AV5830" s="1"/>
      <c r="AW5830" s="1"/>
      <c r="AX5830" s="1"/>
      <c r="AY5830" s="1"/>
      <c r="AZ5830" s="1"/>
      <c r="BA5830" s="1"/>
      <c r="BB5830" s="1"/>
    </row>
    <row r="5831" ht="204.75" customHeight="1">
      <c r="A5831" s="1">
        <v>4867.0</v>
      </c>
      <c r="B5831" s="2" t="s">
        <v>15848</v>
      </c>
      <c r="C5831" s="2">
        <f>IFERROR(__xludf.DUMMYFUNCTION("split(B5831,""_"")"),1004.0)</f>
        <v>1004</v>
      </c>
      <c r="D5831" s="2" t="str">
        <f>IFERROR(__xludf.DUMMYFUNCTION("""COMPUTED_VALUE"""),"TBS")</f>
        <v>TBS</v>
      </c>
      <c r="E5831" s="2" t="str">
        <f>IFERROR(__xludf.DUMMYFUNCTION("""COMPUTED_VALUE"""),"土20")</f>
        <v>土20</v>
      </c>
      <c r="F5831" s="2" t="s">
        <v>15849</v>
      </c>
      <c r="G5831" s="2" t="s">
        <v>15863</v>
      </c>
      <c r="H5831" s="1">
        <v>7.0</v>
      </c>
      <c r="J5831" s="1" t="s">
        <v>2809</v>
      </c>
      <c r="K5831" s="2" t="s">
        <v>15864</v>
      </c>
      <c r="L5831" s="2"/>
      <c r="M5831" s="2" t="str">
        <f>IFERROR(__xludf.DUMMYFUNCTION("split(split(K5831,""【"",false),""公式LINE"",false)"),"父との再会を果たした航だがその事実を受け入れられないでいる。しかし奈都子から過去のことを聞き、航は今の自分を見に来てほしいと父に告げ県予選会のチラシを渡す。一方火野は父との関係が上手くいっておらず新体操を続けるなら烏森から転向させると言われ、その反抗から予選会には出ないと言い出す。それを聞いた航が火野親子に向けて言った言葉とは・・・。山本裕典　  瀬戸康史　  三浦翔平　  大東俊介　  西島隆弘　  冨浦智嗣　  柳下大　  賀来賢人　  タモト清嵐    国仲涼子    AKIRA  大塚寧々「まなざ"&amp;"し」　Honey　L　Days（avex　trax）放送後にプレゼントの告知があります！！")</f>
        <v>父との再会を果たした航だがその事実を受け入れられないでいる。しかし奈都子から過去のことを聞き、航は今の自分を見に来てほしいと父に告げ県予選会のチラシを渡す。一方火野は父との関係が上手くいっておらず新体操を続けるなら烏森から転向させると言われ、その反抗から予選会には出ないと言い出す。それを聞いた航が火野親子に向けて言った言葉とは・・・。山本裕典　  瀬戸康史　  三浦翔平　  大東俊介　  西島隆弘　  冨浦智嗣　  柳下大　  賀来賢人　  タモト清嵐    国仲涼子    AKIRA  大塚寧々「まなざし」　Honey　L　Days（avex　trax）放送後にプレゼントの告知があります！！</v>
      </c>
      <c r="N5831" s="2"/>
      <c r="O5831" s="2"/>
      <c r="P5831" s="1"/>
      <c r="Q5831" s="1"/>
      <c r="R5831" s="1"/>
      <c r="S5831" s="1"/>
      <c r="T5831" s="1"/>
      <c r="U5831" s="1"/>
      <c r="V5831" s="1"/>
      <c r="W5831" s="1"/>
      <c r="X5831" s="1"/>
      <c r="Y5831" s="1"/>
      <c r="Z5831" s="1"/>
      <c r="AA5831" s="1"/>
      <c r="AB5831" s="1"/>
      <c r="AC5831" s="1"/>
      <c r="AD5831" s="1"/>
      <c r="AE5831" s="1"/>
      <c r="AF5831" s="1"/>
      <c r="AG5831" s="1"/>
      <c r="AH5831" s="1"/>
      <c r="AI5831" s="1"/>
      <c r="AJ5831" s="1"/>
      <c r="AK5831" s="1"/>
      <c r="AL5831" s="1"/>
      <c r="AM5831" s="1"/>
      <c r="AN5831" s="1"/>
      <c r="AO5831" s="1"/>
      <c r="AP5831" s="1"/>
      <c r="AQ5831" s="1"/>
      <c r="AR5831" s="1"/>
      <c r="AS5831" s="1"/>
      <c r="AT5831" s="1"/>
      <c r="AU5831" s="1"/>
      <c r="AV5831" s="1"/>
      <c r="AW5831" s="1"/>
      <c r="AX5831" s="1"/>
      <c r="AY5831" s="1"/>
      <c r="AZ5831" s="1"/>
      <c r="BA5831" s="1"/>
      <c r="BB5831" s="1"/>
    </row>
    <row r="5832" ht="204.75" customHeight="1">
      <c r="A5832" s="1">
        <v>4868.0</v>
      </c>
      <c r="B5832" s="2" t="s">
        <v>15848</v>
      </c>
      <c r="C5832" s="2">
        <f>IFERROR(__xludf.DUMMYFUNCTION("split(B5832,""_"")"),1004.0)</f>
        <v>1004</v>
      </c>
      <c r="D5832" s="2" t="str">
        <f>IFERROR(__xludf.DUMMYFUNCTION("""COMPUTED_VALUE"""),"TBS")</f>
        <v>TBS</v>
      </c>
      <c r="E5832" s="2" t="str">
        <f>IFERROR(__xludf.DUMMYFUNCTION("""COMPUTED_VALUE"""),"土20")</f>
        <v>土20</v>
      </c>
      <c r="F5832" s="2" t="s">
        <v>15849</v>
      </c>
      <c r="G5832" s="2" t="s">
        <v>15865</v>
      </c>
      <c r="H5832" s="1">
        <v>8.0</v>
      </c>
      <c r="J5832" s="1" t="s">
        <v>2809</v>
      </c>
      <c r="K5832" s="2" t="s">
        <v>15866</v>
      </c>
      <c r="L5832" s="2"/>
      <c r="M5832" s="2" t="str">
        <f>IFERROR(__xludf.DUMMYFUNCTION("split(split(K5832,""【"",false),""公式LINE"",false)"),"関東大会を勝ち抜くためにダンス・曲制作など様々な要素を取り入れようと試行錯誤する。そこで新たな新体操コーチを呼び振りと曲を考えてもらうことにした航たち。そんなことも知らず新体操部のためにと色々な資料集めに勤しむ柏木。そんなコーチに教えてもらっていた演目にはある事実があった。それを知った航たち、そして柏木は・・・。山本裕典  瀬戸康史  三浦翔平  大東俊介  西島隆弘  冨浦智嗣  柳下大  賀来賢人  タモト清嵐    国仲涼子  AKIRA    大塚寧々「まなざし」　Honey　L　Days（ave"&amp;"x　trax）放送後にプレゼントの告知があります！！")</f>
        <v>関東大会を勝ち抜くためにダンス・曲制作など様々な要素を取り入れようと試行錯誤する。そこで新たな新体操コーチを呼び振りと曲を考えてもらうことにした航たち。そんなことも知らず新体操部のためにと色々な資料集めに勤しむ柏木。そんなコーチに教えてもらっていた演目にはある事実があった。それを知った航たち、そして柏木は・・・。山本裕典  瀬戸康史  三浦翔平  大東俊介  西島隆弘  冨浦智嗣  柳下大  賀来賢人  タモト清嵐    国仲涼子  AKIRA    大塚寧々「まなざし」　Honey　L　Days（avex　trax）放送後にプレゼントの告知があります！！</v>
      </c>
      <c r="N5832" s="2"/>
      <c r="O5832" s="2"/>
      <c r="P5832" s="1"/>
      <c r="Q5832" s="1"/>
      <c r="R5832" s="1"/>
      <c r="S5832" s="1"/>
      <c r="T5832" s="1"/>
      <c r="U5832" s="1"/>
      <c r="V5832" s="1"/>
      <c r="W5832" s="1"/>
      <c r="X5832" s="1"/>
      <c r="Y5832" s="1"/>
      <c r="Z5832" s="1"/>
      <c r="AA5832" s="1"/>
      <c r="AB5832" s="1"/>
      <c r="AC5832" s="1"/>
      <c r="AD5832" s="1"/>
      <c r="AE5832" s="1"/>
      <c r="AF5832" s="1"/>
      <c r="AG5832" s="1"/>
      <c r="AH5832" s="1"/>
      <c r="AI5832" s="1"/>
      <c r="AJ5832" s="1"/>
      <c r="AK5832" s="1"/>
      <c r="AL5832" s="1"/>
      <c r="AM5832" s="1"/>
      <c r="AN5832" s="1"/>
      <c r="AO5832" s="1"/>
      <c r="AP5832" s="1"/>
      <c r="AQ5832" s="1"/>
      <c r="AR5832" s="1"/>
      <c r="AS5832" s="1"/>
      <c r="AT5832" s="1"/>
      <c r="AU5832" s="1"/>
      <c r="AV5832" s="1"/>
      <c r="AW5832" s="1"/>
      <c r="AX5832" s="1"/>
      <c r="AY5832" s="1"/>
      <c r="AZ5832" s="1"/>
      <c r="BA5832" s="1"/>
      <c r="BB5832" s="1"/>
    </row>
    <row r="5833" ht="204.75" customHeight="1">
      <c r="A5833" s="1">
        <v>4869.0</v>
      </c>
      <c r="B5833" s="2" t="s">
        <v>15848</v>
      </c>
      <c r="C5833" s="2">
        <f>IFERROR(__xludf.DUMMYFUNCTION("split(B5833,""_"")"),1004.0)</f>
        <v>1004</v>
      </c>
      <c r="D5833" s="2" t="str">
        <f>IFERROR(__xludf.DUMMYFUNCTION("""COMPUTED_VALUE"""),"TBS")</f>
        <v>TBS</v>
      </c>
      <c r="E5833" s="2" t="str">
        <f>IFERROR(__xludf.DUMMYFUNCTION("""COMPUTED_VALUE"""),"土20")</f>
        <v>土20</v>
      </c>
      <c r="F5833" s="2" t="s">
        <v>15849</v>
      </c>
      <c r="G5833" s="2" t="s">
        <v>15867</v>
      </c>
      <c r="H5833" s="1">
        <v>9.0</v>
      </c>
      <c r="J5833" s="1" t="s">
        <v>2809</v>
      </c>
      <c r="K5833" s="2" t="s">
        <v>15868</v>
      </c>
      <c r="L5833" s="2"/>
      <c r="M5833" s="2" t="str">
        <f>IFERROR(__xludf.DUMMYFUNCTION("split(split(K5833,""【"",false),""公式LINE"",false)"),"航（山本裕典）たちのクラスに転校生・矢代（佐野和真）がやってきた。  転校早々に航を殴り「俺がカラ高のアタマだ」と宣言した矢代。  悠太（瀬戸康史）を始めとした男子新体操部員たちは矢代に不気味さを感じるが、小学校のころに矢代と親しかったという金子（タモト清嵐）だけは彼を男子新体操部に誘う。関東大会に向けて着々と準備を進める部員たち。難しい組技を取り入れ、打倒鷲津学院を誓う。  そんな時、部室でボヤ騒ぎが起こる。  タバコの火の不始末が原因とされ一同は教頭（小林すすむ）から詰問されるが、航たちには身に覚えが"&amp;"ない。山本裕典  瀬戸康史  三浦翔平  大東俊介  西島隆弘  冨浦智嗣  柳下大  賀来賢人  タモト清嵐    国仲涼子  AKIRA    大塚寧々「まなざし」　Honey　L　Days（avex　trax）放送後にプレゼントの告知があります！！")</f>
        <v>航（山本裕典）たちのクラスに転校生・矢代（佐野和真）がやってきた。  転校早々に航を殴り「俺がカラ高のアタマだ」と宣言した矢代。  悠太（瀬戸康史）を始めとした男子新体操部員たちは矢代に不気味さを感じるが、小学校のころに矢代と親しかったという金子（タモト清嵐）だけは彼を男子新体操部に誘う。関東大会に向けて着々と準備を進める部員たち。難しい組技を取り入れ、打倒鷲津学院を誓う。  そんな時、部室でボヤ騒ぎが起こる。  タバコの火の不始末が原因とされ一同は教頭（小林すすむ）から詰問されるが、航たちには身に覚えがない。山本裕典  瀬戸康史  三浦翔平  大東俊介  西島隆弘  冨浦智嗣  柳下大  賀来賢人  タモト清嵐    国仲涼子  AKIRA    大塚寧々「まなざし」　Honey　L　Days（avex　trax）放送後にプレゼントの告知があります！！</v>
      </c>
      <c r="N5833" s="2"/>
      <c r="O5833" s="2"/>
      <c r="P5833" s="1"/>
      <c r="Q5833" s="1"/>
      <c r="R5833" s="1"/>
      <c r="S5833" s="1"/>
      <c r="T5833" s="1"/>
      <c r="U5833" s="1"/>
      <c r="V5833" s="1"/>
      <c r="W5833" s="1"/>
      <c r="X5833" s="1"/>
      <c r="Y5833" s="1"/>
      <c r="Z5833" s="1"/>
      <c r="AA5833" s="1"/>
      <c r="AB5833" s="1"/>
      <c r="AC5833" s="1"/>
      <c r="AD5833" s="1"/>
      <c r="AE5833" s="1"/>
      <c r="AF5833" s="1"/>
      <c r="AG5833" s="1"/>
      <c r="AH5833" s="1"/>
      <c r="AI5833" s="1"/>
      <c r="AJ5833" s="1"/>
      <c r="AK5833" s="1"/>
      <c r="AL5833" s="1"/>
      <c r="AM5833" s="1"/>
      <c r="AN5833" s="1"/>
      <c r="AO5833" s="1"/>
      <c r="AP5833" s="1"/>
      <c r="AQ5833" s="1"/>
      <c r="AR5833" s="1"/>
      <c r="AS5833" s="1"/>
      <c r="AT5833" s="1"/>
      <c r="AU5833" s="1"/>
      <c r="AV5833" s="1"/>
      <c r="AW5833" s="1"/>
      <c r="AX5833" s="1"/>
      <c r="AY5833" s="1"/>
      <c r="AZ5833" s="1"/>
      <c r="BA5833" s="1"/>
      <c r="BB5833" s="1"/>
    </row>
    <row r="5834" ht="204.75" customHeight="1">
      <c r="A5834" s="1">
        <v>4870.0</v>
      </c>
      <c r="B5834" s="2" t="s">
        <v>15848</v>
      </c>
      <c r="C5834" s="2">
        <f>IFERROR(__xludf.DUMMYFUNCTION("split(B5834,""_"")"),1004.0)</f>
        <v>1004</v>
      </c>
      <c r="D5834" s="2" t="str">
        <f>IFERROR(__xludf.DUMMYFUNCTION("""COMPUTED_VALUE"""),"TBS")</f>
        <v>TBS</v>
      </c>
      <c r="E5834" s="2" t="str">
        <f>IFERROR(__xludf.DUMMYFUNCTION("""COMPUTED_VALUE"""),"土20")</f>
        <v>土20</v>
      </c>
      <c r="F5834" s="2" t="s">
        <v>15849</v>
      </c>
      <c r="G5834" s="2" t="s">
        <v>15869</v>
      </c>
      <c r="H5834" s="1">
        <v>10.0</v>
      </c>
      <c r="J5834" s="1" t="s">
        <v>2809</v>
      </c>
      <c r="K5834" s="2" t="s">
        <v>15870</v>
      </c>
      <c r="L5834" s="2"/>
      <c r="M5834" s="2" t="str">
        <f>IFERROR(__xludf.DUMMYFUNCTION("split(split(K5834,""【"",false),""公式LINE"",false)"),"ようやく関東大会に向けて男子新体操の結束が固まり始めたわけだが蓋を開けてみたら問題ばかり起こしている烏森新体操部に出場を辞退するよう新体操協会は勧告してきた。なんとか自分たちの生徒を出場させようと柏木は走り回る。一方でその大会でレギュラーを選ぶことにした体操部。それぞれ共に汗を流したメンバーがライバルになる。果たして結果はどうなるのか・・・？山本裕典  瀬戸康史  三浦翔平  大東俊介  西島隆弘  冨浦智嗣  柳下大  賀来賢人  タモト清嵐  国仲涼子  AKIRA  大塚寧々「まなざし」　Honey"&amp;"　L　Days（avex　trax）放送後にプレゼントの告知があります！！")</f>
        <v>ようやく関東大会に向けて男子新体操の結束が固まり始めたわけだが蓋を開けてみたら問題ばかり起こしている烏森新体操部に出場を辞退するよう新体操協会は勧告してきた。なんとか自分たちの生徒を出場させようと柏木は走り回る。一方でその大会でレギュラーを選ぶことにした体操部。それぞれ共に汗を流したメンバーがライバルになる。果たして結果はどうなるのか・・・？山本裕典  瀬戸康史  三浦翔平  大東俊介  西島隆弘  冨浦智嗣  柳下大  賀来賢人  タモト清嵐  国仲涼子  AKIRA  大塚寧々「まなざし」　Honey　L　Days（avex　trax）放送後にプレゼントの告知があります！！</v>
      </c>
      <c r="N5834" s="2"/>
      <c r="O5834" s="2"/>
      <c r="P5834" s="1"/>
      <c r="Q5834" s="1"/>
      <c r="R5834" s="1"/>
      <c r="S5834" s="1"/>
      <c r="T5834" s="1"/>
      <c r="U5834" s="1"/>
      <c r="V5834" s="1"/>
      <c r="W5834" s="1"/>
      <c r="X5834" s="1"/>
      <c r="Y5834" s="1"/>
      <c r="Z5834" s="1"/>
      <c r="AA5834" s="1"/>
      <c r="AB5834" s="1"/>
      <c r="AC5834" s="1"/>
      <c r="AD5834" s="1"/>
      <c r="AE5834" s="1"/>
      <c r="AF5834" s="1"/>
      <c r="AG5834" s="1"/>
      <c r="AH5834" s="1"/>
      <c r="AI5834" s="1"/>
      <c r="AJ5834" s="1"/>
      <c r="AK5834" s="1"/>
      <c r="AL5834" s="1"/>
      <c r="AM5834" s="1"/>
      <c r="AN5834" s="1"/>
      <c r="AO5834" s="1"/>
      <c r="AP5834" s="1"/>
      <c r="AQ5834" s="1"/>
      <c r="AR5834" s="1"/>
      <c r="AS5834" s="1"/>
      <c r="AT5834" s="1"/>
      <c r="AU5834" s="1"/>
      <c r="AV5834" s="1"/>
      <c r="AW5834" s="1"/>
      <c r="AX5834" s="1"/>
      <c r="AY5834" s="1"/>
      <c r="AZ5834" s="1"/>
      <c r="BA5834" s="1"/>
      <c r="BB5834" s="1"/>
    </row>
    <row r="5835" ht="204.75" customHeight="1">
      <c r="A5835" s="1">
        <v>4871.0</v>
      </c>
      <c r="B5835" s="2" t="s">
        <v>15848</v>
      </c>
      <c r="C5835" s="2">
        <f>IFERROR(__xludf.DUMMYFUNCTION("split(B5835,""_"")"),1004.0)</f>
        <v>1004</v>
      </c>
      <c r="D5835" s="2" t="str">
        <f>IFERROR(__xludf.DUMMYFUNCTION("""COMPUTED_VALUE"""),"TBS")</f>
        <v>TBS</v>
      </c>
      <c r="E5835" s="2" t="str">
        <f>IFERROR(__xludf.DUMMYFUNCTION("""COMPUTED_VALUE"""),"土20")</f>
        <v>土20</v>
      </c>
      <c r="F5835" s="2" t="s">
        <v>15849</v>
      </c>
      <c r="G5835" s="2" t="s">
        <v>15871</v>
      </c>
      <c r="H5835" s="1">
        <v>11.0</v>
      </c>
      <c r="J5835" s="1" t="s">
        <v>2809</v>
      </c>
      <c r="K5835" s="2" t="s">
        <v>15872</v>
      </c>
      <c r="L5835" s="2"/>
      <c r="M5835" s="2" t="str">
        <f>IFERROR(__xludf.DUMMYFUNCTION("split(split(K5835,""【"",false),""公式LINE"",false)"),"赤羽のもとに向かった航。どんなに熱くなれたスポーツでも友情を選んだ。みんなが試合に出られるように自分が犠牲になるという思いも込めて・・・。航がきっかけで新体操を始めた亮介・日暮里。期限付きで入部を許した悠太たち新体操部。気が付けば皆ひとつの目標に向かって突っ走っていた。残された新体操部たちは「全員での出場」を果たせずに試合に出てしまうのか…？山本裕典  瀬戸康史  三浦翔平  大東俊介  西島隆弘  冨浦智嗣  柳下大  賀来賢人  タモト清嵐    国仲涼子  AKIRA    大塚寧々「まなざし」　H"&amp;"oney　L　Days（avex　trax）放送後にプレゼントの告知があります！！")</f>
        <v>赤羽のもとに向かった航。どんなに熱くなれたスポーツでも友情を選んだ。みんなが試合に出られるように自分が犠牲になるという思いも込めて・・・。航がきっかけで新体操を始めた亮介・日暮里。期限付きで入部を許した悠太たち新体操部。気が付けば皆ひとつの目標に向かって突っ走っていた。残された新体操部たちは「全員での出場」を果たせずに試合に出てしまうのか…？山本裕典  瀬戸康史  三浦翔平  大東俊介  西島隆弘  冨浦智嗣  柳下大  賀来賢人  タモト清嵐    国仲涼子  AKIRA    大塚寧々「まなざし」　Honey　L　Days（avex　trax）放送後にプレゼントの告知があります！！</v>
      </c>
      <c r="N5835" s="2"/>
      <c r="O5835" s="2"/>
      <c r="P5835" s="1"/>
      <c r="Q5835" s="1"/>
      <c r="R5835" s="1"/>
      <c r="S5835" s="1"/>
      <c r="T5835" s="1"/>
      <c r="U5835" s="1"/>
      <c r="V5835" s="1"/>
      <c r="W5835" s="1"/>
      <c r="X5835" s="1"/>
      <c r="Y5835" s="1"/>
      <c r="Z5835" s="1"/>
      <c r="AA5835" s="1"/>
      <c r="AB5835" s="1"/>
      <c r="AC5835" s="1"/>
      <c r="AD5835" s="1"/>
      <c r="AE5835" s="1"/>
      <c r="AF5835" s="1"/>
      <c r="AG5835" s="1"/>
      <c r="AH5835" s="1"/>
      <c r="AI5835" s="1"/>
      <c r="AJ5835" s="1"/>
      <c r="AK5835" s="1"/>
      <c r="AL5835" s="1"/>
      <c r="AM5835" s="1"/>
      <c r="AN5835" s="1"/>
      <c r="AO5835" s="1"/>
      <c r="AP5835" s="1"/>
      <c r="AQ5835" s="1"/>
      <c r="AR5835" s="1"/>
      <c r="AS5835" s="1"/>
      <c r="AT5835" s="1"/>
      <c r="AU5835" s="1"/>
      <c r="AV5835" s="1"/>
      <c r="AW5835" s="1"/>
      <c r="AX5835" s="1"/>
      <c r="AY5835" s="1"/>
      <c r="AZ5835" s="1"/>
      <c r="BA5835" s="1"/>
      <c r="BB5835" s="1"/>
    </row>
    <row r="5836" ht="204.75" customHeight="1">
      <c r="A5836" s="1">
        <v>4882.0</v>
      </c>
      <c r="B5836" s="2" t="s">
        <v>15873</v>
      </c>
      <c r="C5836" s="2">
        <f>IFERROR(__xludf.DUMMYFUNCTION("split(B5836,""_"")"),1004.0)</f>
        <v>1004</v>
      </c>
      <c r="D5836" s="2" t="str">
        <f>IFERROR(__xludf.DUMMYFUNCTION("""COMPUTED_VALUE"""),"TBS")</f>
        <v>TBS</v>
      </c>
      <c r="E5836" s="2" t="str">
        <f>IFERROR(__xludf.DUMMYFUNCTION("""COMPUTED_VALUE"""),"日21")</f>
        <v>日21</v>
      </c>
      <c r="F5836" s="2" t="s">
        <v>15874</v>
      </c>
      <c r="G5836" s="2" t="s">
        <v>15875</v>
      </c>
      <c r="H5836" s="1">
        <v>1.0</v>
      </c>
      <c r="J5836" s="1" t="s">
        <v>4</v>
      </c>
      <c r="K5836" s="2" t="s">
        <v>15876</v>
      </c>
      <c r="L5836" s="2"/>
      <c r="M5836" s="2" t="str">
        <f>IFERROR(__xludf.DUMMYFUNCTION("split(split(K5836,""【"",false),""公式LINE"",false)"),"物語の舞台は日本橋・人形町。一人の女性が殺害され、その事件担当になったのが、日本橋署に異動してきたばかりの“ニューカマー”加賀恭一郎（阿部寛）。容疑者は人形町を行き交う人々全員。新参者・加賀は人形町の複雑に入り組んだ人間関係を紐解いていくうちに、ある煎餅屋に行きあたる。その煎餅屋に出入りしていた営業マン・田倉慎一（香川照之）は被害者宅に出入りしており、しかも犯行時刻にアリバイがなかった。  煎餅屋の娘・菜穂（杏）や祖母・聡子（市原悦子）は、田倉のことを全く疑っていないが、捜査が進むにつれ、田倉への疑惑は深"&amp;"まるばかりだった。阿部寛  黒木メイサ  向井理  溝端淳平  マイコ  木村祐一  草刈民代  泉谷しげる  笹野高史  原田美枝子  三浦友和    ")</f>
        <v>物語の舞台は日本橋・人形町。一人の女性が殺害され、その事件担当になったのが、日本橋署に異動してきたばかりの“ニューカマー”加賀恭一郎（阿部寛）。容疑者は人形町を行き交う人々全員。新参者・加賀は人形町の複雑に入り組んだ人間関係を紐解いていくうちに、ある煎餅屋に行きあたる。その煎餅屋に出入りしていた営業マン・田倉慎一（香川照之）は被害者宅に出入りしており、しかも犯行時刻にアリバイがなかった。  煎餅屋の娘・菜穂（杏）や祖母・聡子（市原悦子）は、田倉のことを全く疑っていないが、捜査が進むにつれ、田倉への疑惑は深まるばかりだった。阿部寛  黒木メイサ  向井理  溝端淳平  マイコ  木村祐一  草刈民代  泉谷しげる  笹野高史  原田美枝子  三浦友和    </v>
      </c>
      <c r="N5836" s="2"/>
      <c r="O5836" s="2"/>
      <c r="P5836" s="1"/>
      <c r="Q5836" s="1"/>
      <c r="R5836" s="1"/>
      <c r="S5836" s="1"/>
      <c r="T5836" s="1"/>
      <c r="U5836" s="1"/>
      <c r="V5836" s="1"/>
      <c r="W5836" s="1"/>
      <c r="X5836" s="1"/>
      <c r="Y5836" s="1"/>
      <c r="Z5836" s="1"/>
      <c r="AA5836" s="1"/>
      <c r="AB5836" s="1"/>
      <c r="AC5836" s="1"/>
      <c r="AD5836" s="1"/>
      <c r="AE5836" s="1"/>
      <c r="AF5836" s="1"/>
      <c r="AG5836" s="1"/>
      <c r="AH5836" s="1"/>
      <c r="AI5836" s="1"/>
      <c r="AJ5836" s="1"/>
      <c r="AK5836" s="1"/>
      <c r="AL5836" s="1"/>
      <c r="AM5836" s="1"/>
      <c r="AN5836" s="1"/>
      <c r="AO5836" s="1"/>
      <c r="AP5836" s="1"/>
      <c r="AQ5836" s="1"/>
      <c r="AR5836" s="1"/>
      <c r="AS5836" s="1"/>
      <c r="AT5836" s="1"/>
      <c r="AU5836" s="1"/>
      <c r="AV5836" s="1"/>
      <c r="AW5836" s="1"/>
      <c r="AX5836" s="1"/>
      <c r="AY5836" s="1"/>
      <c r="AZ5836" s="1"/>
      <c r="BA5836" s="1"/>
      <c r="BB5836" s="1"/>
    </row>
    <row r="5837" ht="204.75" customHeight="1">
      <c r="A5837" s="1">
        <v>4883.0</v>
      </c>
      <c r="B5837" s="2" t="s">
        <v>15873</v>
      </c>
      <c r="C5837" s="2">
        <f>IFERROR(__xludf.DUMMYFUNCTION("split(B5837,""_"")"),1004.0)</f>
        <v>1004</v>
      </c>
      <c r="D5837" s="2" t="str">
        <f>IFERROR(__xludf.DUMMYFUNCTION("""COMPUTED_VALUE"""),"TBS")</f>
        <v>TBS</v>
      </c>
      <c r="E5837" s="2" t="str">
        <f>IFERROR(__xludf.DUMMYFUNCTION("""COMPUTED_VALUE"""),"日21")</f>
        <v>日21</v>
      </c>
      <c r="F5837" s="2" t="s">
        <v>15874</v>
      </c>
      <c r="G5837" s="2" t="s">
        <v>15877</v>
      </c>
      <c r="H5837" s="1">
        <v>2.0</v>
      </c>
      <c r="J5837" s="1" t="s">
        <v>11</v>
      </c>
      <c r="K5837" s="2" t="s">
        <v>15878</v>
      </c>
      <c r="L5837" s="2"/>
      <c r="M5837" s="2" t="str">
        <f>IFERROR(__xludf.DUMMYFUNCTION("split(split(K5837,""【"",false),""公式LINE"",false)"),"第2章「料亭の小僧」。小伝馬町に越してきたばかりの女性・三井峯子の殺害現場にあった人形焼は特注品だった。その特注品と同じものを買った佐々木修平（石黒英雄）が勤める料亭「まつ矢」への捜査が始まる。その料亭の女将・頼子（夏川結衣）は、女にうつつを抜かし、主人としても特に働かない夫・泰治（寺島進）に愛想を尽かしているようだった。修平は加賀（阿部寛）の執拗な聞き込みにも関わらず、人形焼は全部自分で食べたと証言し、誰かをかばっているようだった。その人形焼の容器には指紋がついており、3つのうち1つだけ誰のものか分から"&amp;"なかった。人形焼の容器についた指紋は誰のもので、修平がかばっているのは誰なのか・・・。阿部寛  黒木メイサ  向井理  溝端淳平  マイコ  木村祐一  草刈民代  泉谷しげる  笹野高史  原田美枝子  三浦友和    ")</f>
        <v>第2章「料亭の小僧」。小伝馬町に越してきたばかりの女性・三井峯子の殺害現場にあった人形焼は特注品だった。その特注品と同じものを買った佐々木修平（石黒英雄）が勤める料亭「まつ矢」への捜査が始まる。その料亭の女将・頼子（夏川結衣）は、女にうつつを抜かし、主人としても特に働かない夫・泰治（寺島進）に愛想を尽かしているようだった。修平は加賀（阿部寛）の執拗な聞き込みにも関わらず、人形焼は全部自分で食べたと証言し、誰かをかばっているようだった。その人形焼の容器には指紋がついており、3つのうち1つだけ誰のものか分からなかった。人形焼の容器についた指紋は誰のもので、修平がかばっているのは誰なのか・・・。阿部寛  黒木メイサ  向井理  溝端淳平  マイコ  木村祐一  草刈民代  泉谷しげる  笹野高史  原田美枝子  三浦友和    </v>
      </c>
      <c r="N5837" s="2"/>
      <c r="O5837" s="2"/>
      <c r="P5837" s="1"/>
      <c r="Q5837" s="1"/>
      <c r="R5837" s="1"/>
      <c r="S5837" s="1"/>
      <c r="T5837" s="1"/>
      <c r="U5837" s="1"/>
      <c r="V5837" s="1"/>
      <c r="W5837" s="1"/>
      <c r="X5837" s="1"/>
      <c r="Y5837" s="1"/>
      <c r="Z5837" s="1"/>
      <c r="AA5837" s="1"/>
      <c r="AB5837" s="1"/>
      <c r="AC5837" s="1"/>
      <c r="AD5837" s="1"/>
      <c r="AE5837" s="1"/>
      <c r="AF5837" s="1"/>
      <c r="AG5837" s="1"/>
      <c r="AH5837" s="1"/>
      <c r="AI5837" s="1"/>
      <c r="AJ5837" s="1"/>
      <c r="AK5837" s="1"/>
      <c r="AL5837" s="1"/>
      <c r="AM5837" s="1"/>
      <c r="AN5837" s="1"/>
      <c r="AO5837" s="1"/>
      <c r="AP5837" s="1"/>
      <c r="AQ5837" s="1"/>
      <c r="AR5837" s="1"/>
      <c r="AS5837" s="1"/>
      <c r="AT5837" s="1"/>
      <c r="AU5837" s="1"/>
      <c r="AV5837" s="1"/>
      <c r="AW5837" s="1"/>
      <c r="AX5837" s="1"/>
      <c r="AY5837" s="1"/>
      <c r="AZ5837" s="1"/>
      <c r="BA5837" s="1"/>
      <c r="BB5837" s="1"/>
    </row>
    <row r="5838" ht="204.75" customHeight="1">
      <c r="A5838" s="1">
        <v>4884.0</v>
      </c>
      <c r="B5838" s="2" t="s">
        <v>15873</v>
      </c>
      <c r="C5838" s="2">
        <f>IFERROR(__xludf.DUMMYFUNCTION("split(B5838,""_"")"),1004.0)</f>
        <v>1004</v>
      </c>
      <c r="D5838" s="2" t="str">
        <f>IFERROR(__xludf.DUMMYFUNCTION("""COMPUTED_VALUE"""),"TBS")</f>
        <v>TBS</v>
      </c>
      <c r="E5838" s="2" t="str">
        <f>IFERROR(__xludf.DUMMYFUNCTION("""COMPUTED_VALUE"""),"日21")</f>
        <v>日21</v>
      </c>
      <c r="F5838" s="2" t="s">
        <v>15874</v>
      </c>
      <c r="G5838" s="2" t="s">
        <v>15879</v>
      </c>
      <c r="H5838" s="1">
        <v>3.0</v>
      </c>
      <c r="J5838" s="1" t="s">
        <v>11</v>
      </c>
      <c r="K5838" s="2" t="s">
        <v>15880</v>
      </c>
      <c r="L5838" s="2"/>
      <c r="M5838" s="2" t="str">
        <f>IFERROR(__xludf.DUMMYFUNCTION("split(split(K5838,""【"",false),""公式LINE"",false)"),"三井峯子（原田美枝子）が殺害される直前に、パソコンからメールを送っていたことがわかった。宛先は瀬戸物屋「柳沢商店」に、半年前に嫁いできた麻紀（柴本幸）。麻紀と姑の鈴江（倍賞美津子）は、ある事件以来、お互いに口もきかないほどの不仲だった。柳沢商店を訪ねた加賀（阿部寛）に、麻紀は峯子のことを「お客」であるというだけで、個人的な関係までは明かさなかった。そこに何かあると感じた加賀はあえてメールの内容に触れず、独自に動き始める。  相変わらず峯子の息子である弘毅を見つけられない捜査本部は苛立っていた。峯子の葬儀当"&amp;"日。そこに現れたのは・・・。阿部寛  黒木メイサ  向井理  溝端淳平  マイコ  木村祐一  草刈民代  泉谷しげる  笹野高史  原田美枝子  三浦友和    ")</f>
        <v>三井峯子（原田美枝子）が殺害される直前に、パソコンからメールを送っていたことがわかった。宛先は瀬戸物屋「柳沢商店」に、半年前に嫁いできた麻紀（柴本幸）。麻紀と姑の鈴江（倍賞美津子）は、ある事件以来、お互いに口もきかないほどの不仲だった。柳沢商店を訪ねた加賀（阿部寛）に、麻紀は峯子のことを「お客」であるというだけで、個人的な関係までは明かさなかった。そこに何かあると感じた加賀はあえてメールの内容に触れず、独自に動き始める。  相変わらず峯子の息子である弘毅を見つけられない捜査本部は苛立っていた。峯子の葬儀当日。そこに現れたのは・・・。阿部寛  黒木メイサ  向井理  溝端淳平  マイコ  木村祐一  草刈民代  泉谷しげる  笹野高史  原田美枝子  三浦友和    </v>
      </c>
      <c r="N5838" s="2"/>
      <c r="O5838" s="2"/>
      <c r="P5838" s="1"/>
      <c r="Q5838" s="1"/>
      <c r="R5838" s="1"/>
      <c r="S5838" s="1"/>
      <c r="T5838" s="1"/>
      <c r="U5838" s="1"/>
      <c r="V5838" s="1"/>
      <c r="W5838" s="1"/>
      <c r="X5838" s="1"/>
      <c r="Y5838" s="1"/>
      <c r="Z5838" s="1"/>
      <c r="AA5838" s="1"/>
      <c r="AB5838" s="1"/>
      <c r="AC5838" s="1"/>
      <c r="AD5838" s="1"/>
      <c r="AE5838" s="1"/>
      <c r="AF5838" s="1"/>
      <c r="AG5838" s="1"/>
      <c r="AH5838" s="1"/>
      <c r="AI5838" s="1"/>
      <c r="AJ5838" s="1"/>
      <c r="AK5838" s="1"/>
      <c r="AL5838" s="1"/>
      <c r="AM5838" s="1"/>
      <c r="AN5838" s="1"/>
      <c r="AO5838" s="1"/>
      <c r="AP5838" s="1"/>
      <c r="AQ5838" s="1"/>
      <c r="AR5838" s="1"/>
      <c r="AS5838" s="1"/>
      <c r="AT5838" s="1"/>
      <c r="AU5838" s="1"/>
      <c r="AV5838" s="1"/>
      <c r="AW5838" s="1"/>
      <c r="AX5838" s="1"/>
      <c r="AY5838" s="1"/>
      <c r="AZ5838" s="1"/>
      <c r="BA5838" s="1"/>
      <c r="BB5838" s="1"/>
    </row>
    <row r="5839" ht="204.75" customHeight="1">
      <c r="A5839" s="1">
        <v>4885.0</v>
      </c>
      <c r="B5839" s="2" t="s">
        <v>15873</v>
      </c>
      <c r="C5839" s="2">
        <f>IFERROR(__xludf.DUMMYFUNCTION("split(B5839,""_"")"),1004.0)</f>
        <v>1004</v>
      </c>
      <c r="D5839" s="2" t="str">
        <f>IFERROR(__xludf.DUMMYFUNCTION("""COMPUTED_VALUE"""),"TBS")</f>
        <v>TBS</v>
      </c>
      <c r="E5839" s="2" t="str">
        <f>IFERROR(__xludf.DUMMYFUNCTION("""COMPUTED_VALUE"""),"日21")</f>
        <v>日21</v>
      </c>
      <c r="F5839" s="2" t="s">
        <v>15874</v>
      </c>
      <c r="G5839" s="2" t="s">
        <v>15881</v>
      </c>
      <c r="H5839" s="1">
        <v>4.0</v>
      </c>
      <c r="J5839" s="1" t="s">
        <v>11</v>
      </c>
      <c r="K5839" s="2" t="s">
        <v>15882</v>
      </c>
      <c r="L5839" s="2"/>
      <c r="M5839" s="2" t="str">
        <f>IFERROR(__xludf.DUMMYFUNCTION("split(split(K5839,""【"",false),""公式LINE"",false)"),"「いつもの広場で、子犬の頭を撫でていたら、今日も小舟町の時計屋さんと会いました。お互いマメですね、と笑い合いました」。  三井峯子（原田美枝子）が殺害される直前に書いていたメールには、こう記されていた。当日の峯子の足取りを探っていた加賀恭一郎（阿部寛）と松宮脩平（溝端淳平）は、早速「小舟町の時計屋」こと寺田時計店店主・寺田玄一（原田芳雄）のところに赴く。玄一は、当日愛犬のドン吉の散歩をしていたところ、峯子と出会ったと話す。しかし、肝心の場所を問われると「…浜町公園だ」と証言。しかし、玄一のいう公園で峯子を"&amp;"目撃したという人間はいなかった。加賀は再び玄一を訪れ、峯子と会った場所を確認したが「いつもの公園で会った」の一点張り。一方峯子は、メールに「子犬の頭をなでていた」とも書いていた。しかし、当日公園で子犬を見たという証言も取れない。それなのに自分だけは峯子に会い、子犬も見たと言い張る玄一に、加賀は不信感をぬぐえない。  玄一は何かを隠しているのだろうか…？玄一の証言に納得しない加賀は、時計店の従業員・米岡彰文（恵俊彰）に頼んで、ドン吉の散歩に同行させてもらう。「いつもと同じコースを歩くだけ」という米岡だが、ド"&amp;"ン吉は道をはずれて、とある方向に向かい出した。    ドン吉の向かった先には何があるのか？玄一の隠し事とは？加賀が追う、三井峯子の足取りとは… 阿部寛  黒木メイサ  向井理  溝端淳平  マイコ  木村祐一  草刈民代  泉谷しげる  笹野高史  原田美枝子  三浦友和    ")</f>
        <v>「いつもの広場で、子犬の頭を撫でていたら、今日も小舟町の時計屋さんと会いました。お互いマメですね、と笑い合いました」。  三井峯子（原田美枝子）が殺害される直前に書いていたメールには、こう記されていた。当日の峯子の足取りを探っていた加賀恭一郎（阿部寛）と松宮脩平（溝端淳平）は、早速「小舟町の時計屋」こと寺田時計店店主・寺田玄一（原田芳雄）のところに赴く。玄一は、当日愛犬のドン吉の散歩をしていたところ、峯子と出会ったと話す。しかし、肝心の場所を問われると「…浜町公園だ」と証言。しかし、玄一のいう公園で峯子を目撃したという人間はいなかった。加賀は再び玄一を訪れ、峯子と会った場所を確認したが「いつもの公園で会った」の一点張り。一方峯子は、メールに「子犬の頭をなでていた」とも書いていた。しかし、当日公園で子犬を見たという証言も取れない。それなのに自分だけは峯子に会い、子犬も見たと言い張る玄一に、加賀は不信感をぬぐえない。  玄一は何かを隠しているのだろうか…？玄一の証言に納得しない加賀は、時計店の従業員・米岡彰文（恵俊彰）に頼んで、ドン吉の散歩に同行させてもらう。「いつもと同じコースを歩くだけ」という米岡だが、ドン吉は道をはずれて、とある方向に向かい出した。    ドン吉の向かった先には何があるのか？玄一の隠し事とは？加賀が追う、三井峯子の足取りとは… 阿部寛  黒木メイサ  向井理  溝端淳平  マイコ  木村祐一  草刈民代  泉谷しげる  笹野高史  原田美枝子  三浦友和    </v>
      </c>
      <c r="N5839" s="2"/>
      <c r="O5839" s="2"/>
      <c r="P5839" s="1"/>
      <c r="Q5839" s="1"/>
      <c r="R5839" s="1"/>
      <c r="S5839" s="1"/>
      <c r="T5839" s="1"/>
      <c r="U5839" s="1"/>
      <c r="V5839" s="1"/>
      <c r="W5839" s="1"/>
      <c r="X5839" s="1"/>
      <c r="Y5839" s="1"/>
      <c r="Z5839" s="1"/>
      <c r="AA5839" s="1"/>
      <c r="AB5839" s="1"/>
      <c r="AC5839" s="1"/>
      <c r="AD5839" s="1"/>
      <c r="AE5839" s="1"/>
      <c r="AF5839" s="1"/>
      <c r="AG5839" s="1"/>
      <c r="AH5839" s="1"/>
      <c r="AI5839" s="1"/>
      <c r="AJ5839" s="1"/>
      <c r="AK5839" s="1"/>
      <c r="AL5839" s="1"/>
      <c r="AM5839" s="1"/>
      <c r="AN5839" s="1"/>
      <c r="AO5839" s="1"/>
      <c r="AP5839" s="1"/>
      <c r="AQ5839" s="1"/>
      <c r="AR5839" s="1"/>
      <c r="AS5839" s="1"/>
      <c r="AT5839" s="1"/>
      <c r="AU5839" s="1"/>
      <c r="AV5839" s="1"/>
      <c r="AW5839" s="1"/>
      <c r="AX5839" s="1"/>
      <c r="AY5839" s="1"/>
      <c r="AZ5839" s="1"/>
      <c r="BA5839" s="1"/>
      <c r="BB5839" s="1"/>
    </row>
    <row r="5840" ht="204.75" customHeight="1">
      <c r="A5840" s="1">
        <v>4886.0</v>
      </c>
      <c r="B5840" s="2" t="s">
        <v>15873</v>
      </c>
      <c r="C5840" s="2">
        <f>IFERROR(__xludf.DUMMYFUNCTION("split(B5840,""_"")"),1004.0)</f>
        <v>1004</v>
      </c>
      <c r="D5840" s="2" t="str">
        <f>IFERROR(__xludf.DUMMYFUNCTION("""COMPUTED_VALUE"""),"TBS")</f>
        <v>TBS</v>
      </c>
      <c r="E5840" s="2" t="str">
        <f>IFERROR(__xludf.DUMMYFUNCTION("""COMPUTED_VALUE"""),"日21")</f>
        <v>日21</v>
      </c>
      <c r="F5840" s="2" t="s">
        <v>15874</v>
      </c>
      <c r="G5840" s="2" t="s">
        <v>15883</v>
      </c>
      <c r="H5840" s="1">
        <v>5.0</v>
      </c>
      <c r="J5840" s="1" t="s">
        <v>11</v>
      </c>
      <c r="K5840" s="2" t="s">
        <v>15884</v>
      </c>
      <c r="L5840" s="2"/>
      <c r="M5840" s="2" t="str">
        <f>IFERROR(__xludf.DUMMYFUNCTION("split(split(K5840,""【"",false),""公式LINE"",false)"),"加賀恭一郎（阿部寛）と松宮脩平（溝端淳平）らは、三井峯子（原田美枝子）のパソコンメールの履歴を洗い出し、犯行に関係あるものがないか、相手先の確認を急いでいた。最後に残ったのが友人の真知子（綾戸智恵）に宛てていたものだった。「しばらく見守ることにしました。店には何度も通っているから怪しまれているかも」という不思議な内容のメール。「しばらく見守る」とはどういうことか？「足繁く通う店」とは一体どこか？    その後連絡が取れた真知子からそのメールの真意を説明すると、ある事実が浮かんできた。それは以前、真知子は峯"&amp;"子の息子・弘毅（向井理）とその恋人・亜美（黒木メイサ）をこの小伝馬町で見かけたことがあり、その恋人が入っていった勤務先のお店を教えたという。加賀と松宮は殺害された峯子が持っていたレシートから、彼女が洋菓子店「クアトロ」を頻繁に利用していたと推測する。加賀がその店を訪れると、店員の美雪（紺野まひる）は峯子をよく覚えているという。「ただのお客さんです。」美雪はそう言うが、加賀には引っかかるものがあった。どうやら美雪は何かを隠しているようだった…。美雪と峯子の本当の関係は？美雪は何を隠しているのだろうか？ 阿部"&amp;"寛  黒木メイサ  向井理  溝端淳平  マイコ  木村祐一  草刈民代  泉谷しげる  笹野高史  原田美枝子  三浦友和    ")</f>
        <v>加賀恭一郎（阿部寛）と松宮脩平（溝端淳平）らは、三井峯子（原田美枝子）のパソコンメールの履歴を洗い出し、犯行に関係あるものがないか、相手先の確認を急いでいた。最後に残ったのが友人の真知子（綾戸智恵）に宛てていたものだった。「しばらく見守ることにしました。店には何度も通っているから怪しまれているかも」という不思議な内容のメール。「しばらく見守る」とはどういうことか？「足繁く通う店」とは一体どこか？    その後連絡が取れた真知子からそのメールの真意を説明すると、ある事実が浮かんできた。それは以前、真知子は峯子の息子・弘毅（向井理）とその恋人・亜美（黒木メイサ）をこの小伝馬町で見かけたことがあり、その恋人が入っていった勤務先のお店を教えたという。加賀と松宮は殺害された峯子が持っていたレシートから、彼女が洋菓子店「クアトロ」を頻繁に利用していたと推測する。加賀がその店を訪れると、店員の美雪（紺野まひる）は峯子をよく覚えているという。「ただのお客さんです。」美雪はそう言うが、加賀には引っかかるものがあった。どうやら美雪は何かを隠しているようだった…。美雪と峯子の本当の関係は？美雪は何を隠しているのだろうか？ 阿部寛  黒木メイサ  向井理  溝端淳平  マイコ  木村祐一  草刈民代  泉谷しげる  笹野高史  原田美枝子  三浦友和    </v>
      </c>
      <c r="N5840" s="2"/>
      <c r="O5840" s="2"/>
      <c r="P5840" s="1"/>
      <c r="Q5840" s="1"/>
      <c r="R5840" s="1"/>
      <c r="S5840" s="1"/>
      <c r="T5840" s="1"/>
      <c r="U5840" s="1"/>
      <c r="V5840" s="1"/>
      <c r="W5840" s="1"/>
      <c r="X5840" s="1"/>
      <c r="Y5840" s="1"/>
      <c r="Z5840" s="1"/>
      <c r="AA5840" s="1"/>
      <c r="AB5840" s="1"/>
      <c r="AC5840" s="1"/>
      <c r="AD5840" s="1"/>
      <c r="AE5840" s="1"/>
      <c r="AF5840" s="1"/>
      <c r="AG5840" s="1"/>
      <c r="AH5840" s="1"/>
      <c r="AI5840" s="1"/>
      <c r="AJ5840" s="1"/>
      <c r="AK5840" s="1"/>
      <c r="AL5840" s="1"/>
      <c r="AM5840" s="1"/>
      <c r="AN5840" s="1"/>
      <c r="AO5840" s="1"/>
      <c r="AP5840" s="1"/>
      <c r="AQ5840" s="1"/>
      <c r="AR5840" s="1"/>
      <c r="AS5840" s="1"/>
      <c r="AT5840" s="1"/>
      <c r="AU5840" s="1"/>
      <c r="AV5840" s="1"/>
      <c r="AW5840" s="1"/>
      <c r="AX5840" s="1"/>
      <c r="AY5840" s="1"/>
      <c r="AZ5840" s="1"/>
      <c r="BA5840" s="1"/>
      <c r="BB5840" s="1"/>
    </row>
    <row r="5841" ht="204.75" customHeight="1">
      <c r="A5841" s="1">
        <v>4887.0</v>
      </c>
      <c r="B5841" s="2" t="s">
        <v>15873</v>
      </c>
      <c r="C5841" s="2">
        <f>IFERROR(__xludf.DUMMYFUNCTION("split(B5841,""_"")"),1004.0)</f>
        <v>1004</v>
      </c>
      <c r="D5841" s="2" t="str">
        <f>IFERROR(__xludf.DUMMYFUNCTION("""COMPUTED_VALUE"""),"TBS")</f>
        <v>TBS</v>
      </c>
      <c r="E5841" s="2" t="str">
        <f>IFERROR(__xludf.DUMMYFUNCTION("""COMPUTED_VALUE"""),"日21")</f>
        <v>日21</v>
      </c>
      <c r="F5841" s="2" t="s">
        <v>15874</v>
      </c>
      <c r="G5841" s="2" t="s">
        <v>15885</v>
      </c>
      <c r="H5841" s="1">
        <v>6.0</v>
      </c>
      <c r="J5841" s="1" t="s">
        <v>11</v>
      </c>
      <c r="K5841" s="2" t="s">
        <v>15886</v>
      </c>
      <c r="L5841" s="2"/>
      <c r="M5841" s="2" t="str">
        <f>IFERROR(__xludf.DUMMYFUNCTION("split(split(K5841,""【"",false),""公式LINE"",false)"),"三井峯子（原田美枝子）殺害事件の日、彼女はある友人と約束を交わしていた。それは峯子殺害の第一発見者となってしまった親友・多美子（草刈民代）。その約束の時間を引き延ばした間に峯子は殺されてしまった。「自分が約束の時間を変えなければ…」。多美子は罪の意識にかられていた。クアトロの美雪（紺野まひる）の証言から、クアトロでケーキを選んでいた峯子の携帯に、ある公衆電話から電話をかけてきた人間がいたようだ。刑事の加賀（阿部寛）と松宮（溝端淳平）は、峯子の遺体を最初に発見した多美子を訪ね、周りに携帯電話をなくしている知"&amp;"人がいるかどうか尋ねた。多美子は心当たりがないと答えるが、実際には日系イギリス人で映像作家の恋人コウジ・タチバナ（谷原章介）が公衆電話から電話をかけてきていて、とっさに嘘をついたのだ。まさか自分の恋人が…！？親友の殺害に関係があるというのだろうか？阿部寛  黒木メイサ  向井理  溝端淳平  マイコ  木村祐一  草刈民代  泉谷しげる  笹野高史  原田美枝子  三浦友和    ")</f>
        <v>三井峯子（原田美枝子）殺害事件の日、彼女はある友人と約束を交わしていた。それは峯子殺害の第一発見者となってしまった親友・多美子（草刈民代）。その約束の時間を引き延ばした間に峯子は殺されてしまった。「自分が約束の時間を変えなければ…」。多美子は罪の意識にかられていた。クアトロの美雪（紺野まひる）の証言から、クアトロでケーキを選んでいた峯子の携帯に、ある公衆電話から電話をかけてきた人間がいたようだ。刑事の加賀（阿部寛）と松宮（溝端淳平）は、峯子の遺体を最初に発見した多美子を訪ね、周りに携帯電話をなくしている知人がいるかどうか尋ねた。多美子は心当たりがないと答えるが、実際には日系イギリス人で映像作家の恋人コウジ・タチバナ（谷原章介）が公衆電話から電話をかけてきていて、とっさに嘘をついたのだ。まさか自分の恋人が…！？親友の殺害に関係があるというのだろうか？阿部寛  黒木メイサ  向井理  溝端淳平  マイコ  木村祐一  草刈民代  泉谷しげる  笹野高史  原田美枝子  三浦友和    </v>
      </c>
      <c r="N5841" s="2"/>
      <c r="O5841" s="2"/>
      <c r="P5841" s="1"/>
      <c r="Q5841" s="1"/>
      <c r="R5841" s="1"/>
      <c r="S5841" s="1"/>
      <c r="T5841" s="1"/>
      <c r="U5841" s="1"/>
      <c r="V5841" s="1"/>
      <c r="W5841" s="1"/>
      <c r="X5841" s="1"/>
      <c r="Y5841" s="1"/>
      <c r="Z5841" s="1"/>
      <c r="AA5841" s="1"/>
      <c r="AB5841" s="1"/>
      <c r="AC5841" s="1"/>
      <c r="AD5841" s="1"/>
      <c r="AE5841" s="1"/>
      <c r="AF5841" s="1"/>
      <c r="AG5841" s="1"/>
      <c r="AH5841" s="1"/>
      <c r="AI5841" s="1"/>
      <c r="AJ5841" s="1"/>
      <c r="AK5841" s="1"/>
      <c r="AL5841" s="1"/>
      <c r="AM5841" s="1"/>
      <c r="AN5841" s="1"/>
      <c r="AO5841" s="1"/>
      <c r="AP5841" s="1"/>
      <c r="AQ5841" s="1"/>
      <c r="AR5841" s="1"/>
      <c r="AS5841" s="1"/>
      <c r="AT5841" s="1"/>
      <c r="AU5841" s="1"/>
      <c r="AV5841" s="1"/>
      <c r="AW5841" s="1"/>
      <c r="AX5841" s="1"/>
      <c r="AY5841" s="1"/>
      <c r="AZ5841" s="1"/>
      <c r="BA5841" s="1"/>
      <c r="BB5841" s="1"/>
    </row>
    <row r="5842" ht="204.75" customHeight="1">
      <c r="A5842" s="1">
        <v>4888.0</v>
      </c>
      <c r="B5842" s="2" t="s">
        <v>15873</v>
      </c>
      <c r="C5842" s="2">
        <f>IFERROR(__xludf.DUMMYFUNCTION("split(B5842,""_"")"),1004.0)</f>
        <v>1004</v>
      </c>
      <c r="D5842" s="2" t="str">
        <f>IFERROR(__xludf.DUMMYFUNCTION("""COMPUTED_VALUE"""),"TBS")</f>
        <v>TBS</v>
      </c>
      <c r="E5842" s="2" t="str">
        <f>IFERROR(__xludf.DUMMYFUNCTION("""COMPUTED_VALUE"""),"日21")</f>
        <v>日21</v>
      </c>
      <c r="F5842" s="2" t="s">
        <v>15874</v>
      </c>
      <c r="G5842" s="2" t="s">
        <v>15887</v>
      </c>
      <c r="H5842" s="1">
        <v>7.0</v>
      </c>
      <c r="J5842" s="1" t="s">
        <v>11</v>
      </c>
      <c r="K5842" s="2" t="s">
        <v>15888</v>
      </c>
      <c r="L5842" s="2"/>
      <c r="M5842" s="2" t="str">
        <f>IFERROR(__xludf.DUMMYFUNCTION("split(split(K5842,""【"",false),""公式LINE"",false)"),"親友の吉岡多美子（草刈民代）の証言から推察するに、殺人事件の被害者・峯子（原田美枝子）は生前、離婚による財産分与について後悔しているようだったことが分かる。夫の清瀬直弘（三浦友和）の会社では、直弘は浮気をしており、その相手は社長秘書の祐理（マイコ）ではないかと噂がでていた。捜査本部でも彼女のことが原因で二人は離婚、果ては浮気の発覚を恐れて清瀬が峯子を殺害したという疑いを持つ。上杉刑事（泉谷しげる）は、清瀬を追い詰めようと主張し、小嶋（木村祐一）は証拠が挙がってからと慎重な構えだが…。加賀（阿部寛）は清瀬の"&amp;"息子・弘毅（向井理）に、父親の女性関係について尋ねるが、浮気など考えられないという。清瀬の身辺を探る加賀と上杉が次に向かったのは、清瀬が経営している会社の税理士・岸田要作（笹野高史）だった。清瀬とは30年来の付き合いだというが、岸田は彼の周りに女性の影はないと断言した。阿部寛  黒木メイサ  向井理  溝端淳平  マイコ  木村祐一  草刈民代  泉谷しげる  笹野高史  原田美枝子  三浦友和ドラマ「新参者」原作本が、抽選で50名様に当たります！プレゼントへの応募はTBS公式携帯サイトから！  メニュー"&amp;"→テレビ→TBS→新参者  締切：5月31日(月)  当選は発表をもってかえさせて頂きます")</f>
        <v>親友の吉岡多美子（草刈民代）の証言から推察するに、殺人事件の被害者・峯子（原田美枝子）は生前、離婚による財産分与について後悔しているようだったことが分かる。夫の清瀬直弘（三浦友和）の会社では、直弘は浮気をしており、その相手は社長秘書の祐理（マイコ）ではないかと噂がでていた。捜査本部でも彼女のことが原因で二人は離婚、果ては浮気の発覚を恐れて清瀬が峯子を殺害したという疑いを持つ。上杉刑事（泉谷しげる）は、清瀬を追い詰めようと主張し、小嶋（木村祐一）は証拠が挙がってからと慎重な構えだが…。加賀（阿部寛）は清瀬の息子・弘毅（向井理）に、父親の女性関係について尋ねるが、浮気など考えられないという。清瀬の身辺を探る加賀と上杉が次に向かったのは、清瀬が経営している会社の税理士・岸田要作（笹野高史）だった。清瀬とは30年来の付き合いだというが、岸田は彼の周りに女性の影はないと断言した。阿部寛  黒木メイサ  向井理  溝端淳平  マイコ  木村祐一  草刈民代  泉谷しげる  笹野高史  原田美枝子  三浦友和ドラマ「新参者」原作本が、抽選で50名様に当たります！プレゼントへの応募はTBS公式携帯サイトから！  メニュー→テレビ→TBS→新参者  締切：5月31日(月)  当選は発表をもってかえさせて頂きます</v>
      </c>
      <c r="N5842" s="2"/>
      <c r="O5842" s="2"/>
      <c r="P5842" s="1"/>
      <c r="Q5842" s="1"/>
      <c r="R5842" s="1"/>
      <c r="S5842" s="1"/>
      <c r="T5842" s="1"/>
      <c r="U5842" s="1"/>
      <c r="V5842" s="1"/>
      <c r="W5842" s="1"/>
      <c r="X5842" s="1"/>
      <c r="Y5842" s="1"/>
      <c r="Z5842" s="1"/>
      <c r="AA5842" s="1"/>
      <c r="AB5842" s="1"/>
      <c r="AC5842" s="1"/>
      <c r="AD5842" s="1"/>
      <c r="AE5842" s="1"/>
      <c r="AF5842" s="1"/>
      <c r="AG5842" s="1"/>
      <c r="AH5842" s="1"/>
      <c r="AI5842" s="1"/>
      <c r="AJ5842" s="1"/>
      <c r="AK5842" s="1"/>
      <c r="AL5842" s="1"/>
      <c r="AM5842" s="1"/>
      <c r="AN5842" s="1"/>
      <c r="AO5842" s="1"/>
      <c r="AP5842" s="1"/>
      <c r="AQ5842" s="1"/>
      <c r="AR5842" s="1"/>
      <c r="AS5842" s="1"/>
      <c r="AT5842" s="1"/>
      <c r="AU5842" s="1"/>
      <c r="AV5842" s="1"/>
      <c r="AW5842" s="1"/>
      <c r="AX5842" s="1"/>
      <c r="AY5842" s="1"/>
      <c r="AZ5842" s="1"/>
      <c r="BA5842" s="1"/>
      <c r="BB5842" s="1"/>
    </row>
    <row r="5843" ht="204.75" customHeight="1">
      <c r="A5843" s="1">
        <v>4889.0</v>
      </c>
      <c r="B5843" s="2" t="s">
        <v>15873</v>
      </c>
      <c r="C5843" s="2">
        <f>IFERROR(__xludf.DUMMYFUNCTION("split(B5843,""_"")"),1004.0)</f>
        <v>1004</v>
      </c>
      <c r="D5843" s="2" t="str">
        <f>IFERROR(__xludf.DUMMYFUNCTION("""COMPUTED_VALUE"""),"TBS")</f>
        <v>TBS</v>
      </c>
      <c r="E5843" s="2" t="str">
        <f>IFERROR(__xludf.DUMMYFUNCTION("""COMPUTED_VALUE"""),"日21")</f>
        <v>日21</v>
      </c>
      <c r="F5843" s="2" t="s">
        <v>15874</v>
      </c>
      <c r="G5843" s="2" t="s">
        <v>15889</v>
      </c>
      <c r="H5843" s="1">
        <v>8.0</v>
      </c>
      <c r="J5843" s="1" t="s">
        <v>11</v>
      </c>
      <c r="K5843" s="2" t="s">
        <v>15890</v>
      </c>
      <c r="L5843" s="2"/>
      <c r="M5843" s="2" t="str">
        <f>IFERROR(__xludf.DUMMYFUNCTION("split(split(K5843,""【"",false),""公式LINE"",false)"),"残された手がかりから峯子（原田美枝子）殺害事件の動機が最も大きいと考えられる最重要人物として、元夫の清瀬直弘（三浦友和）と秘書の祐理（マイコ）が捜査線上に浮かび上がった。「2人は不倫発覚を恐れて峯子を殺害した」というシナリオを裏付けるために、捜査本部は清瀬たちの見張りを開始した。事件当日のアリバイ証言も曖昧で、2人が口裏を合わせているだけかもしれない。共犯を疑われる清瀬と祐理は、24時間態勢で徹底的にマークされた。  そんな中、加賀（阿部寛）はしばらく泳がせておこうという捜査本部の方針に反し、疑いをかけら"&amp;"れている清瀬と祐理に直接ぶつかった。清瀬は祐理のことを単なる秘書だと言い張るが、加賀は祐理のネックレスと指輪に注目していた。高級なダイヤのネックレスに比べて、左手の小指にはめられた指輪はかなり古そうな印象だ。加賀は誰からのプレゼントだと聞くが祐理は答えず、清瀬も知らないと話をそらした。  次に加賀が向かったのは、清瀬とは30年来の間柄という税理士の岸田（笹野高史）だった。そこで加賀は、清瀬が以前通っていた銀座のクラブの存在を知る。  加賀は清瀬と祐理の事件当日のアリバイを崩し、犯行を実証できるのか？阿部寛"&amp;"  黒木メイサ  向井理  溝端淳平  マイコ  木村祐一  泉谷しげる  笹野高史  原田美枝子  三浦友和    ")</f>
        <v>残された手がかりから峯子（原田美枝子）殺害事件の動機が最も大きいと考えられる最重要人物として、元夫の清瀬直弘（三浦友和）と秘書の祐理（マイコ）が捜査線上に浮かび上がった。「2人は不倫発覚を恐れて峯子を殺害した」というシナリオを裏付けるために、捜査本部は清瀬たちの見張りを開始した。事件当日のアリバイ証言も曖昧で、2人が口裏を合わせているだけかもしれない。共犯を疑われる清瀬と祐理は、24時間態勢で徹底的にマークされた。  そんな中、加賀（阿部寛）はしばらく泳がせておこうという捜査本部の方針に反し、疑いをかけられている清瀬と祐理に直接ぶつかった。清瀬は祐理のことを単なる秘書だと言い張るが、加賀は祐理のネックレスと指輪に注目していた。高級なダイヤのネックレスに比べて、左手の小指にはめられた指輪はかなり古そうな印象だ。加賀は誰からのプレゼントだと聞くが祐理は答えず、清瀬も知らないと話をそらした。  次に加賀が向かったのは、清瀬とは30年来の間柄という税理士の岸田（笹野高史）だった。そこで加賀は、清瀬が以前通っていた銀座のクラブの存在を知る。  加賀は清瀬と祐理の事件当日のアリバイを崩し、犯行を実証できるのか？阿部寛  黒木メイサ  向井理  溝端淳平  マイコ  木村祐一  泉谷しげる  笹野高史  原田美枝子  三浦友和    </v>
      </c>
      <c r="N5843" s="2"/>
      <c r="O5843" s="2"/>
      <c r="P5843" s="1"/>
      <c r="Q5843" s="1"/>
      <c r="R5843" s="1"/>
      <c r="S5843" s="1"/>
      <c r="T5843" s="1"/>
      <c r="U5843" s="1"/>
      <c r="V5843" s="1"/>
      <c r="W5843" s="1"/>
      <c r="X5843" s="1"/>
      <c r="Y5843" s="1"/>
      <c r="Z5843" s="1"/>
      <c r="AA5843" s="1"/>
      <c r="AB5843" s="1"/>
      <c r="AC5843" s="1"/>
      <c r="AD5843" s="1"/>
      <c r="AE5843" s="1"/>
      <c r="AF5843" s="1"/>
      <c r="AG5843" s="1"/>
      <c r="AH5843" s="1"/>
      <c r="AI5843" s="1"/>
      <c r="AJ5843" s="1"/>
      <c r="AK5843" s="1"/>
      <c r="AL5843" s="1"/>
      <c r="AM5843" s="1"/>
      <c r="AN5843" s="1"/>
      <c r="AO5843" s="1"/>
      <c r="AP5843" s="1"/>
      <c r="AQ5843" s="1"/>
      <c r="AR5843" s="1"/>
      <c r="AS5843" s="1"/>
      <c r="AT5843" s="1"/>
      <c r="AU5843" s="1"/>
      <c r="AV5843" s="1"/>
      <c r="AW5843" s="1"/>
      <c r="AX5843" s="1"/>
      <c r="AY5843" s="1"/>
      <c r="AZ5843" s="1"/>
      <c r="BA5843" s="1"/>
      <c r="BB5843" s="1"/>
    </row>
    <row r="5844" ht="204.75" customHeight="1">
      <c r="A5844" s="1">
        <v>4890.0</v>
      </c>
      <c r="B5844" s="2" t="s">
        <v>15873</v>
      </c>
      <c r="C5844" s="2">
        <f>IFERROR(__xludf.DUMMYFUNCTION("split(B5844,""_"")"),1004.0)</f>
        <v>1004</v>
      </c>
      <c r="D5844" s="2" t="str">
        <f>IFERROR(__xludf.DUMMYFUNCTION("""COMPUTED_VALUE"""),"TBS")</f>
        <v>TBS</v>
      </c>
      <c r="E5844" s="2" t="str">
        <f>IFERROR(__xludf.DUMMYFUNCTION("""COMPUTED_VALUE"""),"日21")</f>
        <v>日21</v>
      </c>
      <c r="F5844" s="2" t="s">
        <v>15874</v>
      </c>
      <c r="G5844" s="2" t="s">
        <v>15891</v>
      </c>
      <c r="H5844" s="1">
        <v>9.0</v>
      </c>
      <c r="J5844" s="1" t="s">
        <v>11</v>
      </c>
      <c r="K5844" s="2" t="s">
        <v>15892</v>
      </c>
      <c r="L5844" s="2"/>
      <c r="M5844" s="2" t="str">
        <f>IFERROR(__xludf.DUMMYFUNCTION("split(split(K5844,""【"",false),""公式LINE"",false)"),"清瀬直弘（三浦友和）と祐理（マイコ）の関係が親子だとわかり、峯子（原田美枝子）殺害について二人の共犯説は消えたものの、清瀬のアリバイが怪しくなってきた。犯行時刻には自分の会社にいたというが、その時間に電話をしたが誰も出なかったと証言した人間が現れたのだ。清瀬の会社の税理士・岸田要作（笹野高史）の息子・克哉（速水もこみち）だ。清瀬はその時間、事務所でなく倉庫にいたので電話は聞こえなかったと加賀（阿部寛）に説明する。  加賀は克哉の自宅を訪ね、さらに詳しく電話の件を探った。すると、ひょんなことから克哉自身の犯"&amp;"行当日の行動が曖昧なことが判明し、加賀の矛先は克哉にも向くことになる。さらにその克哉が、峯子とは6年前に会ったのが最後と言うものの、峯子が引っ越した最新の住所が記された転居通知を持っていた。ということは、克哉は殺害現場である彼女のマンションに行くこともできるし、それを清瀬に知らせることもできたわけだ。克哉は本当に峯子を殺したのであろうか？克哉の隠していることは一体？  ついに、峯子殺人事件の本命容疑者の登場か！？阿部寛  黒木メイサ  向井理  溝端淳平  マイコ  木村祐一  草刈民代  泉谷しげる  "&amp;"笹野高史  原田美枝子  三浦友和    ")</f>
        <v>清瀬直弘（三浦友和）と祐理（マイコ）の関係が親子だとわかり、峯子（原田美枝子）殺害について二人の共犯説は消えたものの、清瀬のアリバイが怪しくなってきた。犯行時刻には自分の会社にいたというが、その時間に電話をしたが誰も出なかったと証言した人間が現れたのだ。清瀬の会社の税理士・岸田要作（笹野高史）の息子・克哉（速水もこみち）だ。清瀬はその時間、事務所でなく倉庫にいたので電話は聞こえなかったと加賀（阿部寛）に説明する。  加賀は克哉の自宅を訪ね、さらに詳しく電話の件を探った。すると、ひょんなことから克哉自身の犯行当日の行動が曖昧なことが判明し、加賀の矛先は克哉にも向くことになる。さらにその克哉が、峯子とは6年前に会ったのが最後と言うものの、峯子が引っ越した最新の住所が記された転居通知を持っていた。ということは、克哉は殺害現場である彼女のマンションに行くこともできるし、それを清瀬に知らせることもできたわけだ。克哉は本当に峯子を殺したのであろうか？克哉の隠していることは一体？  ついに、峯子殺人事件の本命容疑者の登場か！？阿部寛  黒木メイサ  向井理  溝端淳平  マイコ  木村祐一  草刈民代  泉谷しげる  笹野高史  原田美枝子  三浦友和    </v>
      </c>
      <c r="N5844" s="2"/>
      <c r="O5844" s="2"/>
      <c r="P5844" s="1"/>
      <c r="Q5844" s="1"/>
      <c r="R5844" s="1"/>
      <c r="S5844" s="1"/>
      <c r="T5844" s="1"/>
      <c r="U5844" s="1"/>
      <c r="V5844" s="1"/>
      <c r="W5844" s="1"/>
      <c r="X5844" s="1"/>
      <c r="Y5844" s="1"/>
      <c r="Z5844" s="1"/>
      <c r="AA5844" s="1"/>
      <c r="AB5844" s="1"/>
      <c r="AC5844" s="1"/>
      <c r="AD5844" s="1"/>
      <c r="AE5844" s="1"/>
      <c r="AF5844" s="1"/>
      <c r="AG5844" s="1"/>
      <c r="AH5844" s="1"/>
      <c r="AI5844" s="1"/>
      <c r="AJ5844" s="1"/>
      <c r="AK5844" s="1"/>
      <c r="AL5844" s="1"/>
      <c r="AM5844" s="1"/>
      <c r="AN5844" s="1"/>
      <c r="AO5844" s="1"/>
      <c r="AP5844" s="1"/>
      <c r="AQ5844" s="1"/>
      <c r="AR5844" s="1"/>
      <c r="AS5844" s="1"/>
      <c r="AT5844" s="1"/>
      <c r="AU5844" s="1"/>
      <c r="AV5844" s="1"/>
      <c r="AW5844" s="1"/>
      <c r="AX5844" s="1"/>
      <c r="AY5844" s="1"/>
      <c r="AZ5844" s="1"/>
      <c r="BA5844" s="1"/>
      <c r="BB5844" s="1"/>
    </row>
    <row r="5845" ht="204.75" customHeight="1">
      <c r="A5845" s="1">
        <v>4891.0</v>
      </c>
      <c r="B5845" s="2" t="s">
        <v>15873</v>
      </c>
      <c r="C5845" s="2">
        <f>IFERROR(__xludf.DUMMYFUNCTION("split(B5845,""_"")"),1004.0)</f>
        <v>1004</v>
      </c>
      <c r="D5845" s="2" t="str">
        <f>IFERROR(__xludf.DUMMYFUNCTION("""COMPUTED_VALUE"""),"TBS")</f>
        <v>TBS</v>
      </c>
      <c r="E5845" s="2" t="str">
        <f>IFERROR(__xludf.DUMMYFUNCTION("""COMPUTED_VALUE"""),"日21")</f>
        <v>日21</v>
      </c>
      <c r="F5845" s="2" t="s">
        <v>15874</v>
      </c>
      <c r="G5845" s="2" t="s">
        <v>15893</v>
      </c>
      <c r="H5845" s="1">
        <v>10.0</v>
      </c>
      <c r="J5845" s="1" t="s">
        <v>4</v>
      </c>
      <c r="K5845" s="2" t="s">
        <v>15894</v>
      </c>
      <c r="L5845" s="2"/>
      <c r="M5845" s="2" t="str">
        <f>IFERROR(__xludf.DUMMYFUNCTION("split(split(K5845,""【"",false),""公式LINE"",false)"),"峯子殺人事件の重要参考人として、松宮と加賀は、動機があり、しかもアリバイのない元夫の清瀬に日本橋署まで同行を求めた。同時に、事件当日に被害者と一緒にいるところを目撃されている克哉も署に呼ばれる。清瀬が克哉に金を渡していたという証言もあり、二人は共犯かもしれないというのが警察の見方だった。共犯の疑いがある克哉は「峯子さんとは6年前に会ったのが最後だ」と言っていたが、それは嘘だった。しかも自分の息子のためにフィギュア専門店に行っていたのに、そこにも行っていないと偽っている。加賀は克哉の数々の嘘を見抜き、事実を"&amp;"証言するよう迫った。克哉の贅沢な生活、清瀬から受け取った現金、事件当日の峯子への訪問…。なぜ、克哉は嘘をついているのか。清瀬の隠し事とはいったい何か。  峯子殺人事件とのつながりはどこにあるのだろうか？  真犯人は元夫の清瀬か？  それとも顔見知りの克哉なのか？阿部寛  黒木メイサ  向井理  溝端淳平  マイコ  木村祐一  泉谷しげる  笹野高史  原田美枝子  三浦友和    ")</f>
        <v>峯子殺人事件の重要参考人として、松宮と加賀は、動機があり、しかもアリバイのない元夫の清瀬に日本橋署まで同行を求めた。同時に、事件当日に被害者と一緒にいるところを目撃されている克哉も署に呼ばれる。清瀬が克哉に金を渡していたという証言もあり、二人は共犯かもしれないというのが警察の見方だった。共犯の疑いがある克哉は「峯子さんとは6年前に会ったのが最後だ」と言っていたが、それは嘘だった。しかも自分の息子のためにフィギュア専門店に行っていたのに、そこにも行っていないと偽っている。加賀は克哉の数々の嘘を見抜き、事実を証言するよう迫った。克哉の贅沢な生活、清瀬から受け取った現金、事件当日の峯子への訪問…。なぜ、克哉は嘘をついているのか。清瀬の隠し事とはいったい何か。  峯子殺人事件とのつながりはどこにあるのだろうか？  真犯人は元夫の清瀬か？  それとも顔見知りの克哉なのか？阿部寛  黒木メイサ  向井理  溝端淳平  マイコ  木村祐一  泉谷しげる  笹野高史  原田美枝子  三浦友和    </v>
      </c>
      <c r="N5845" s="2"/>
      <c r="O5845" s="2"/>
      <c r="P5845" s="1"/>
      <c r="Q5845" s="1"/>
      <c r="R5845" s="1"/>
      <c r="S5845" s="1"/>
      <c r="T5845" s="1"/>
      <c r="U5845" s="1"/>
      <c r="V5845" s="1"/>
      <c r="W5845" s="1"/>
      <c r="X5845" s="1"/>
      <c r="Y5845" s="1"/>
      <c r="Z5845" s="1"/>
      <c r="AA5845" s="1"/>
      <c r="AB5845" s="1"/>
      <c r="AC5845" s="1"/>
      <c r="AD5845" s="1"/>
      <c r="AE5845" s="1"/>
      <c r="AF5845" s="1"/>
      <c r="AG5845" s="1"/>
      <c r="AH5845" s="1"/>
      <c r="AI5845" s="1"/>
      <c r="AJ5845" s="1"/>
      <c r="AK5845" s="1"/>
      <c r="AL5845" s="1"/>
      <c r="AM5845" s="1"/>
      <c r="AN5845" s="1"/>
      <c r="AO5845" s="1"/>
      <c r="AP5845" s="1"/>
      <c r="AQ5845" s="1"/>
      <c r="AR5845" s="1"/>
      <c r="AS5845" s="1"/>
      <c r="AT5845" s="1"/>
      <c r="AU5845" s="1"/>
      <c r="AV5845" s="1"/>
      <c r="AW5845" s="1"/>
      <c r="AX5845" s="1"/>
      <c r="AY5845" s="1"/>
      <c r="AZ5845" s="1"/>
      <c r="BA5845" s="1"/>
      <c r="BB5845" s="1"/>
    </row>
    <row r="5846" ht="204.75" customHeight="1">
      <c r="A5846" s="1">
        <v>4944.0</v>
      </c>
      <c r="B5846" s="2" t="s">
        <v>15895</v>
      </c>
      <c r="C5846" s="2">
        <f>IFERROR(__xludf.DUMMYFUNCTION("split(B5846,""_"")"),1001.0)</f>
        <v>1001</v>
      </c>
      <c r="D5846" s="2" t="str">
        <f>IFERROR(__xludf.DUMMYFUNCTION("""COMPUTED_VALUE"""),"TBS")</f>
        <v>TBS</v>
      </c>
      <c r="E5846" s="2" t="str">
        <f>IFERROR(__xludf.DUMMYFUNCTION("""COMPUTED_VALUE"""),"金22")</f>
        <v>金22</v>
      </c>
      <c r="F5846" s="2" t="s">
        <v>15896</v>
      </c>
      <c r="G5846" s="2" t="s">
        <v>15897</v>
      </c>
      <c r="H5846" s="1">
        <v>1.0</v>
      </c>
      <c r="J5846" s="1" t="s">
        <v>82</v>
      </c>
      <c r="K5846" s="2" t="s">
        <v>15898</v>
      </c>
      <c r="L5846" s="2"/>
      <c r="M5846" s="2" t="str">
        <f>IFERROR(__xludf.DUMMYFUNCTION("split(split(K5846,""【"",false),""公式LINE"",false)"),"「顔か心か？」絶世のイケメン4人が住むメゾンに、大家の姪でホラー好きの引篭もり少女スナコがやって来た。彼女をレディにすれば家賃タダという命題に、貧乏大学生の恭平は挑もうとした矢先、スナコが何者かに誘拐される。嫉妬深い恭平たちのストーカーの仕業か？捜索に北海道まで飛んだ恭平は、スナコの幼馴染の雪女（ゆきめ）に出会い、驚愕の事実を聞く。再び、恭平は東京に舞い戻り、女装した仲間たちと悪徳ホストまさおの元に乗り込むが…亀梨和也　手越祐也　大政絢　内博貴　宮尾俊太郎　加藤清史郎　神戸蘭子　志保　花形綾沙　小林涼子　"&amp;"内田朝陽　デビット伊東　星野亜希　大杉漣　高島礼子")</f>
        <v>「顔か心か？」絶世のイケメン4人が住むメゾンに、大家の姪でホラー好きの引篭もり少女スナコがやって来た。彼女をレディにすれば家賃タダという命題に、貧乏大学生の恭平は挑もうとした矢先、スナコが何者かに誘拐される。嫉妬深い恭平たちのストーカーの仕業か？捜索に北海道まで飛んだ恭平は、スナコの幼馴染の雪女（ゆきめ）に出会い、驚愕の事実を聞く。再び、恭平は東京に舞い戻り、女装した仲間たちと悪徳ホストまさおの元に乗り込むが…亀梨和也　手越祐也　大政絢　内博貴　宮尾俊太郎　加藤清史郎　神戸蘭子　志保　花形綾沙　小林涼子　内田朝陽　デビット伊東　星野亜希　大杉漣　高島礼子</v>
      </c>
      <c r="N5846" s="2"/>
      <c r="O5846" s="2"/>
      <c r="P5846" s="1"/>
      <c r="Q5846" s="1"/>
      <c r="R5846" s="1"/>
      <c r="S5846" s="1"/>
      <c r="T5846" s="1"/>
      <c r="U5846" s="1"/>
      <c r="V5846" s="1"/>
      <c r="W5846" s="1"/>
      <c r="X5846" s="1"/>
      <c r="Y5846" s="1"/>
      <c r="Z5846" s="1"/>
      <c r="AA5846" s="1"/>
      <c r="AB5846" s="1"/>
      <c r="AC5846" s="1"/>
      <c r="AD5846" s="1"/>
      <c r="AE5846" s="1"/>
      <c r="AF5846" s="1"/>
      <c r="AG5846" s="1"/>
      <c r="AH5846" s="1"/>
      <c r="AI5846" s="1"/>
      <c r="AJ5846" s="1"/>
      <c r="AK5846" s="1"/>
      <c r="AL5846" s="1"/>
      <c r="AM5846" s="1"/>
      <c r="AN5846" s="1"/>
      <c r="AO5846" s="1"/>
      <c r="AP5846" s="1"/>
      <c r="AQ5846" s="1"/>
      <c r="AR5846" s="1"/>
      <c r="AS5846" s="1"/>
      <c r="AT5846" s="1"/>
      <c r="AU5846" s="1"/>
      <c r="AV5846" s="1"/>
      <c r="AW5846" s="1"/>
      <c r="AX5846" s="1"/>
      <c r="AY5846" s="1"/>
      <c r="AZ5846" s="1"/>
      <c r="BA5846" s="1"/>
      <c r="BB5846" s="1"/>
    </row>
    <row r="5847" ht="204.75" customHeight="1">
      <c r="A5847" s="1">
        <v>4945.0</v>
      </c>
      <c r="B5847" s="2" t="s">
        <v>15895</v>
      </c>
      <c r="C5847" s="2">
        <f>IFERROR(__xludf.DUMMYFUNCTION("split(B5847,""_"")"),1001.0)</f>
        <v>1001</v>
      </c>
      <c r="D5847" s="2" t="str">
        <f>IFERROR(__xludf.DUMMYFUNCTION("""COMPUTED_VALUE"""),"TBS")</f>
        <v>TBS</v>
      </c>
      <c r="E5847" s="2" t="str">
        <f>IFERROR(__xludf.DUMMYFUNCTION("""COMPUTED_VALUE"""),"金22")</f>
        <v>金22</v>
      </c>
      <c r="F5847" s="2" t="s">
        <v>15896</v>
      </c>
      <c r="G5847" s="2" t="s">
        <v>15897</v>
      </c>
      <c r="H5847" s="1">
        <v>2.0</v>
      </c>
      <c r="J5847" s="1" t="s">
        <v>86</v>
      </c>
      <c r="K5847" s="2" t="s">
        <v>15899</v>
      </c>
      <c r="L5847" s="2"/>
      <c r="M5847" s="2" t="str">
        <f>IFERROR(__xludf.DUMMYFUNCTION("split(split(K5847,""【"",false),""公式LINE"",false)"),"「初キス」恭平（亀梨）を愛するあまりスナコ（大政）を消そうと企むまり（星野）は驚くべき作戦を練る。一方、美音（高島）が突然帰国するとの知らせを受け喜ぶタケル（清史郎）をよそに雪之丞（手越）、蘭丸（宮尾）、恭平はレディになっていないスナコを隠せと大慌て！冷静な武長（内）が玄関まで迎えに行くとそこに現れたのは…  今週はスナコが七変化！お人形のようにキュートになったスナコに恭平はキスを!?  亀梨和也　手越祐也　大政絢　内博貴　宮尾俊太郎　加藤清史郎　神戸蘭子　志保　花形綾沙　小林涼子　内田朝陽　デビット伊東"&amp;"　星野亜希　大杉漣　高島礼子")</f>
        <v>「初キス」恭平（亀梨）を愛するあまりスナコ（大政）を消そうと企むまり（星野）は驚くべき作戦を練る。一方、美音（高島）が突然帰国するとの知らせを受け喜ぶタケル（清史郎）をよそに雪之丞（手越）、蘭丸（宮尾）、恭平はレディになっていないスナコを隠せと大慌て！冷静な武長（内）が玄関まで迎えに行くとそこに現れたのは…  今週はスナコが七変化！お人形のようにキュートになったスナコに恭平はキスを!?  亀梨和也　手越祐也　大政絢　内博貴　宮尾俊太郎　加藤清史郎　神戸蘭子　志保　花形綾沙　小林涼子　内田朝陽　デビット伊東　星野亜希　大杉漣　高島礼子</v>
      </c>
      <c r="N5847" s="2"/>
      <c r="O5847" s="2"/>
      <c r="P5847" s="1"/>
      <c r="Q5847" s="1"/>
      <c r="R5847" s="1"/>
      <c r="S5847" s="1"/>
      <c r="T5847" s="1"/>
      <c r="U5847" s="1"/>
      <c r="V5847" s="1"/>
      <c r="W5847" s="1"/>
      <c r="X5847" s="1"/>
      <c r="Y5847" s="1"/>
      <c r="Z5847" s="1"/>
      <c r="AA5847" s="1"/>
      <c r="AB5847" s="1"/>
      <c r="AC5847" s="1"/>
      <c r="AD5847" s="1"/>
      <c r="AE5847" s="1"/>
      <c r="AF5847" s="1"/>
      <c r="AG5847" s="1"/>
      <c r="AH5847" s="1"/>
      <c r="AI5847" s="1"/>
      <c r="AJ5847" s="1"/>
      <c r="AK5847" s="1"/>
      <c r="AL5847" s="1"/>
      <c r="AM5847" s="1"/>
      <c r="AN5847" s="1"/>
      <c r="AO5847" s="1"/>
      <c r="AP5847" s="1"/>
      <c r="AQ5847" s="1"/>
      <c r="AR5847" s="1"/>
      <c r="AS5847" s="1"/>
      <c r="AT5847" s="1"/>
      <c r="AU5847" s="1"/>
      <c r="AV5847" s="1"/>
      <c r="AW5847" s="1"/>
      <c r="AX5847" s="1"/>
      <c r="AY5847" s="1"/>
      <c r="AZ5847" s="1"/>
      <c r="BA5847" s="1"/>
      <c r="BB5847" s="1"/>
    </row>
    <row r="5848" ht="204.75" customHeight="1">
      <c r="A5848" s="1">
        <v>4946.0</v>
      </c>
      <c r="B5848" s="2" t="s">
        <v>15895</v>
      </c>
      <c r="C5848" s="2">
        <f>IFERROR(__xludf.DUMMYFUNCTION("split(B5848,""_"")"),1001.0)</f>
        <v>1001</v>
      </c>
      <c r="D5848" s="2" t="str">
        <f>IFERROR(__xludf.DUMMYFUNCTION("""COMPUTED_VALUE"""),"TBS")</f>
        <v>TBS</v>
      </c>
      <c r="E5848" s="2" t="str">
        <f>IFERROR(__xludf.DUMMYFUNCTION("""COMPUTED_VALUE"""),"金22")</f>
        <v>金22</v>
      </c>
      <c r="F5848" s="2" t="s">
        <v>15896</v>
      </c>
      <c r="G5848" s="2" t="s">
        <v>15897</v>
      </c>
      <c r="H5848" s="1">
        <v>3.0</v>
      </c>
      <c r="J5848" s="1" t="s">
        <v>86</v>
      </c>
      <c r="K5848" s="2" t="s">
        <v>15900</v>
      </c>
      <c r="L5848" s="2"/>
      <c r="M5848" s="2" t="str">
        <f>IFERROR(__xludf.DUMMYFUNCTION("split(split(K5848,""【"",false),""公式LINE"",false)"),"「愛…？」何としてでも恭平たちを物にしようとするアラサーのまり達の工作は悉く失敗、逆にストーカーであることが知られてしまう始末。逆ギレしたまりはスナコが命の次に大事にしている人体模型のひろし君をモノジチに奪い去ってしまう。行方不明になったひろしを捜し、さまよい歩くスナコ…恭平たちの必死の捜索によって行き倒れになっていたスナコは救われる。「ちょっとは俺たちを頼れ」と言い残し、恭平は一人まりの家へと向かうが亀梨和也　手越祐也　大政絢　内博貴　宮尾俊太郎　加藤清史郎　神戸蘭子　志保　花形綾沙　奥田恵梨華　伊藤麻"&amp;"実子　鈴木美恵　星野亜希　大杉漣　高島礼子")</f>
        <v>「愛…？」何としてでも恭平たちを物にしようとするアラサーのまり達の工作は悉く失敗、逆にストーカーであることが知られてしまう始末。逆ギレしたまりはスナコが命の次に大事にしている人体模型のひろし君をモノジチに奪い去ってしまう。行方不明になったひろしを捜し、さまよい歩くスナコ…恭平たちの必死の捜索によって行き倒れになっていたスナコは救われる。「ちょっとは俺たちを頼れ」と言い残し、恭平は一人まりの家へと向かうが亀梨和也　手越祐也　大政絢　内博貴　宮尾俊太郎　加藤清史郎　神戸蘭子　志保　花形綾沙　奥田恵梨華　伊藤麻実子　鈴木美恵　星野亜希　大杉漣　高島礼子</v>
      </c>
      <c r="N5848" s="2"/>
      <c r="O5848" s="2"/>
      <c r="P5848" s="1"/>
      <c r="Q5848" s="1"/>
      <c r="R5848" s="1"/>
      <c r="S5848" s="1"/>
      <c r="T5848" s="1"/>
      <c r="U5848" s="1"/>
      <c r="V5848" s="1"/>
      <c r="W5848" s="1"/>
      <c r="X5848" s="1"/>
      <c r="Y5848" s="1"/>
      <c r="Z5848" s="1"/>
      <c r="AA5848" s="1"/>
      <c r="AB5848" s="1"/>
      <c r="AC5848" s="1"/>
      <c r="AD5848" s="1"/>
      <c r="AE5848" s="1"/>
      <c r="AF5848" s="1"/>
      <c r="AG5848" s="1"/>
      <c r="AH5848" s="1"/>
      <c r="AI5848" s="1"/>
      <c r="AJ5848" s="1"/>
      <c r="AK5848" s="1"/>
      <c r="AL5848" s="1"/>
      <c r="AM5848" s="1"/>
      <c r="AN5848" s="1"/>
      <c r="AO5848" s="1"/>
      <c r="AP5848" s="1"/>
      <c r="AQ5848" s="1"/>
      <c r="AR5848" s="1"/>
      <c r="AS5848" s="1"/>
      <c r="AT5848" s="1"/>
      <c r="AU5848" s="1"/>
      <c r="AV5848" s="1"/>
      <c r="AW5848" s="1"/>
      <c r="AX5848" s="1"/>
      <c r="AY5848" s="1"/>
      <c r="AZ5848" s="1"/>
      <c r="BA5848" s="1"/>
      <c r="BB5848" s="1"/>
    </row>
    <row r="5849" ht="204.75" customHeight="1">
      <c r="A5849" s="1">
        <v>4947.0</v>
      </c>
      <c r="B5849" s="2" t="s">
        <v>15895</v>
      </c>
      <c r="C5849" s="2">
        <f>IFERROR(__xludf.DUMMYFUNCTION("split(B5849,""_"")"),1001.0)</f>
        <v>1001</v>
      </c>
      <c r="D5849" s="2" t="str">
        <f>IFERROR(__xludf.DUMMYFUNCTION("""COMPUTED_VALUE"""),"TBS")</f>
        <v>TBS</v>
      </c>
      <c r="E5849" s="2" t="str">
        <f>IFERROR(__xludf.DUMMYFUNCTION("""COMPUTED_VALUE"""),"金22")</f>
        <v>金22</v>
      </c>
      <c r="F5849" s="2" t="s">
        <v>15896</v>
      </c>
      <c r="G5849" s="2" t="s">
        <v>15897</v>
      </c>
      <c r="H5849" s="1">
        <v>4.0</v>
      </c>
      <c r="J5849" s="1" t="s">
        <v>86</v>
      </c>
      <c r="K5849" s="2" t="s">
        <v>15901</v>
      </c>
      <c r="L5849" s="2"/>
      <c r="M5849" s="2" t="str">
        <f>IFERROR(__xludf.DUMMYFUNCTION("split(split(K5849,""【"",false),""公式LINE"",false)"),"「結婚なんてさせねェ」スナコが美音の薦めでお金持ちのイケメンとお見合い！お見合い会場には恭平たちも駆けつけるが、そこに現れた相手は、お見合い写真とは似ても似つかない人物。ところがスナコと彼には意外な共通点があって…。  スナコとお見合い相手である久留米との結婚話がどんどん進む一方で、恭平は胸のもやもやの原因がつかめないでいた。亀梨和也　手越祐也　大政絢　内博貴　宮尾俊太郎　加藤清史郎　神戸蘭子　志保　花形綾沙　温水洋一　蓮ハルク　長谷川初範　  茅島成美　大杉漣　高島礼子")</f>
        <v>「結婚なんてさせねェ」スナコが美音の薦めでお金持ちのイケメンとお見合い！お見合い会場には恭平たちも駆けつけるが、そこに現れた相手は、お見合い写真とは似ても似つかない人物。ところがスナコと彼には意外な共通点があって…。  スナコとお見合い相手である久留米との結婚話がどんどん進む一方で、恭平は胸のもやもやの原因がつかめないでいた。亀梨和也　手越祐也　大政絢　内博貴　宮尾俊太郎　加藤清史郎　神戸蘭子　志保　花形綾沙　温水洋一　蓮ハルク　長谷川初範　  茅島成美　大杉漣　高島礼子</v>
      </c>
      <c r="N5849" s="2"/>
      <c r="O5849" s="2"/>
      <c r="P5849" s="1"/>
      <c r="Q5849" s="1"/>
      <c r="R5849" s="1"/>
      <c r="S5849" s="1"/>
      <c r="T5849" s="1"/>
      <c r="U5849" s="1"/>
      <c r="V5849" s="1"/>
      <c r="W5849" s="1"/>
      <c r="X5849" s="1"/>
      <c r="Y5849" s="1"/>
      <c r="Z5849" s="1"/>
      <c r="AA5849" s="1"/>
      <c r="AB5849" s="1"/>
      <c r="AC5849" s="1"/>
      <c r="AD5849" s="1"/>
      <c r="AE5849" s="1"/>
      <c r="AF5849" s="1"/>
      <c r="AG5849" s="1"/>
      <c r="AH5849" s="1"/>
      <c r="AI5849" s="1"/>
      <c r="AJ5849" s="1"/>
      <c r="AK5849" s="1"/>
      <c r="AL5849" s="1"/>
      <c r="AM5849" s="1"/>
      <c r="AN5849" s="1"/>
      <c r="AO5849" s="1"/>
      <c r="AP5849" s="1"/>
      <c r="AQ5849" s="1"/>
      <c r="AR5849" s="1"/>
      <c r="AS5849" s="1"/>
      <c r="AT5849" s="1"/>
      <c r="AU5849" s="1"/>
      <c r="AV5849" s="1"/>
      <c r="AW5849" s="1"/>
      <c r="AX5849" s="1"/>
      <c r="AY5849" s="1"/>
      <c r="AZ5849" s="1"/>
      <c r="BA5849" s="1"/>
      <c r="BB5849" s="1"/>
    </row>
    <row r="5850" ht="204.75" customHeight="1">
      <c r="A5850" s="1">
        <v>4948.0</v>
      </c>
      <c r="B5850" s="2" t="s">
        <v>15895</v>
      </c>
      <c r="C5850" s="2">
        <f>IFERROR(__xludf.DUMMYFUNCTION("split(B5850,""_"")"),1001.0)</f>
        <v>1001</v>
      </c>
      <c r="D5850" s="2" t="str">
        <f>IFERROR(__xludf.DUMMYFUNCTION("""COMPUTED_VALUE"""),"TBS")</f>
        <v>TBS</v>
      </c>
      <c r="E5850" s="2" t="str">
        <f>IFERROR(__xludf.DUMMYFUNCTION("""COMPUTED_VALUE"""),"金22")</f>
        <v>金22</v>
      </c>
      <c r="F5850" s="2" t="s">
        <v>15896</v>
      </c>
      <c r="G5850" s="2" t="s">
        <v>15897</v>
      </c>
      <c r="H5850" s="1">
        <v>5.0</v>
      </c>
      <c r="J5850" s="1" t="s">
        <v>86</v>
      </c>
      <c r="K5850" s="2" t="s">
        <v>15902</v>
      </c>
      <c r="L5850" s="2"/>
      <c r="M5850" s="2" t="str">
        <f>IFERROR(__xludf.DUMMYFUNCTION("split(split(K5850,""【"",false),""公式LINE"",false)"),"「対決！恭平vs雪之丞」恭平たちにとって史上最悪の日、バレンタインデー！混乱を避けるため、カーテンも締め切り篭城する。それでも届けられるチョコの仕分けをしていた雪之丞の様子が次第におかしくなっていく。アメリカに留学した恋人のまちこちゃんからのチョコが届いていないのだ。すれ違い気味の遠恋に悩む雪之丞は、いたいけなスナコに共感し、素直に心を開かない恭平に苛立ち衝突する。そんな中バレンタインに恨みを残す亡霊がスナコにとり憑く！亀梨和也　手越祐也　大政絢　内博貴　宮尾俊太郎　加藤清史郎　神戸蘭子　志保　花形綾沙　"&amp;"本仮屋ユイカ　佐藤江梨子　大杉漣　高島礼子")</f>
        <v>「対決！恭平vs雪之丞」恭平たちにとって史上最悪の日、バレンタインデー！混乱を避けるため、カーテンも締め切り篭城する。それでも届けられるチョコの仕分けをしていた雪之丞の様子が次第におかしくなっていく。アメリカに留学した恋人のまちこちゃんからのチョコが届いていないのだ。すれ違い気味の遠恋に悩む雪之丞は、いたいけなスナコに共感し、素直に心を開かない恭平に苛立ち衝突する。そんな中バレンタインに恨みを残す亡霊がスナコにとり憑く！亀梨和也　手越祐也　大政絢　内博貴　宮尾俊太郎　加藤清史郎　神戸蘭子　志保　花形綾沙　本仮屋ユイカ　佐藤江梨子　大杉漣　高島礼子</v>
      </c>
      <c r="N5850" s="2"/>
      <c r="O5850" s="2"/>
      <c r="P5850" s="1"/>
      <c r="Q5850" s="1"/>
      <c r="R5850" s="1"/>
      <c r="S5850" s="1"/>
      <c r="T5850" s="1"/>
      <c r="U5850" s="1"/>
      <c r="V5850" s="1"/>
      <c r="W5850" s="1"/>
      <c r="X5850" s="1"/>
      <c r="Y5850" s="1"/>
      <c r="Z5850" s="1"/>
      <c r="AA5850" s="1"/>
      <c r="AB5850" s="1"/>
      <c r="AC5850" s="1"/>
      <c r="AD5850" s="1"/>
      <c r="AE5850" s="1"/>
      <c r="AF5850" s="1"/>
      <c r="AG5850" s="1"/>
      <c r="AH5850" s="1"/>
      <c r="AI5850" s="1"/>
      <c r="AJ5850" s="1"/>
      <c r="AK5850" s="1"/>
      <c r="AL5850" s="1"/>
      <c r="AM5850" s="1"/>
      <c r="AN5850" s="1"/>
      <c r="AO5850" s="1"/>
      <c r="AP5850" s="1"/>
      <c r="AQ5850" s="1"/>
      <c r="AR5850" s="1"/>
      <c r="AS5850" s="1"/>
      <c r="AT5850" s="1"/>
      <c r="AU5850" s="1"/>
      <c r="AV5850" s="1"/>
      <c r="AW5850" s="1"/>
      <c r="AX5850" s="1"/>
      <c r="AY5850" s="1"/>
      <c r="AZ5850" s="1"/>
      <c r="BA5850" s="1"/>
      <c r="BB5850" s="1"/>
    </row>
    <row r="5851" ht="204.75" customHeight="1">
      <c r="A5851" s="1">
        <v>4949.0</v>
      </c>
      <c r="B5851" s="2" t="s">
        <v>15895</v>
      </c>
      <c r="C5851" s="2">
        <f>IFERROR(__xludf.DUMMYFUNCTION("split(B5851,""_"")"),1001.0)</f>
        <v>1001</v>
      </c>
      <c r="D5851" s="2" t="str">
        <f>IFERROR(__xludf.DUMMYFUNCTION("""COMPUTED_VALUE"""),"TBS")</f>
        <v>TBS</v>
      </c>
      <c r="E5851" s="2" t="str">
        <f>IFERROR(__xludf.DUMMYFUNCTION("""COMPUTED_VALUE"""),"金22")</f>
        <v>金22</v>
      </c>
      <c r="F5851" s="2" t="s">
        <v>15896</v>
      </c>
      <c r="G5851" s="2" t="s">
        <v>15897</v>
      </c>
      <c r="H5851" s="1">
        <v>6.0</v>
      </c>
      <c r="J5851" s="1" t="s">
        <v>86</v>
      </c>
      <c r="K5851" s="2" t="s">
        <v>15903</v>
      </c>
      <c r="L5851" s="2"/>
      <c r="M5851" s="2" t="str">
        <f>IFERROR(__xludf.DUMMYFUNCTION("split(split(K5851,""【"",false),""公式LINE"",false)"),"「涙の告白！裸の誓い」スナコに対して素直になれ！と迫る雪之丞に素知らぬ振りの恭平。三角関係か？と蘭丸が茶化すと二人は殴り合いの喧嘩に。止めに入る武長はいつもの冷静さも無く怒りをぶちまけ、翌朝下宿から姿を消してしまう。実は、武長は華道の家元を継ぐために急遽、呼び戻されていたのたのだ。すっかり、友情の冷め切った4人組、雪之丞も蘭丸も下宿を飛び出してしまう。仲間を失い、一人食堂で酒を呷る恭平…その痛々しい姿を見たスナコは…。亀梨和也  手越祐也  大政絢  内博貴  宮尾俊太郎  加藤清史郎  神戸蘭子  志保"&amp;"  花形綾沙  本仮屋ユイカ  榎木孝明  真野裕子  大杉漣  高島礼子")</f>
        <v>「涙の告白！裸の誓い」スナコに対して素直になれ！と迫る雪之丞に素知らぬ振りの恭平。三角関係か？と蘭丸が茶化すと二人は殴り合いの喧嘩に。止めに入る武長はいつもの冷静さも無く怒りをぶちまけ、翌朝下宿から姿を消してしまう。実は、武長は華道の家元を継ぐために急遽、呼び戻されていたのたのだ。すっかり、友情の冷め切った4人組、雪之丞も蘭丸も下宿を飛び出してしまう。仲間を失い、一人食堂で酒を呷る恭平…その痛々しい姿を見たスナコは…。亀梨和也  手越祐也  大政絢  内博貴  宮尾俊太郎  加藤清史郎  神戸蘭子  志保  花形綾沙  本仮屋ユイカ  榎木孝明  真野裕子  大杉漣  高島礼子</v>
      </c>
      <c r="N5851" s="2"/>
      <c r="O5851" s="2"/>
      <c r="P5851" s="1"/>
      <c r="Q5851" s="1"/>
      <c r="R5851" s="1"/>
      <c r="S5851" s="1"/>
      <c r="T5851" s="1"/>
      <c r="U5851" s="1"/>
      <c r="V5851" s="1"/>
      <c r="W5851" s="1"/>
      <c r="X5851" s="1"/>
      <c r="Y5851" s="1"/>
      <c r="Z5851" s="1"/>
      <c r="AA5851" s="1"/>
      <c r="AB5851" s="1"/>
      <c r="AC5851" s="1"/>
      <c r="AD5851" s="1"/>
      <c r="AE5851" s="1"/>
      <c r="AF5851" s="1"/>
      <c r="AG5851" s="1"/>
      <c r="AH5851" s="1"/>
      <c r="AI5851" s="1"/>
      <c r="AJ5851" s="1"/>
      <c r="AK5851" s="1"/>
      <c r="AL5851" s="1"/>
      <c r="AM5851" s="1"/>
      <c r="AN5851" s="1"/>
      <c r="AO5851" s="1"/>
      <c r="AP5851" s="1"/>
      <c r="AQ5851" s="1"/>
      <c r="AR5851" s="1"/>
      <c r="AS5851" s="1"/>
      <c r="AT5851" s="1"/>
      <c r="AU5851" s="1"/>
      <c r="AV5851" s="1"/>
      <c r="AW5851" s="1"/>
      <c r="AX5851" s="1"/>
      <c r="AY5851" s="1"/>
      <c r="AZ5851" s="1"/>
      <c r="BA5851" s="1"/>
      <c r="BB5851" s="1"/>
    </row>
    <row r="5852" ht="204.75" customHeight="1">
      <c r="A5852" s="1">
        <v>4950.0</v>
      </c>
      <c r="B5852" s="2" t="s">
        <v>15895</v>
      </c>
      <c r="C5852" s="2">
        <f>IFERROR(__xludf.DUMMYFUNCTION("split(B5852,""_"")"),1001.0)</f>
        <v>1001</v>
      </c>
      <c r="D5852" s="2" t="str">
        <f>IFERROR(__xludf.DUMMYFUNCTION("""COMPUTED_VALUE"""),"TBS")</f>
        <v>TBS</v>
      </c>
      <c r="E5852" s="2" t="str">
        <f>IFERROR(__xludf.DUMMYFUNCTION("""COMPUTED_VALUE"""),"金22")</f>
        <v>金22</v>
      </c>
      <c r="F5852" s="2" t="s">
        <v>15896</v>
      </c>
      <c r="G5852" s="2" t="s">
        <v>15897</v>
      </c>
      <c r="H5852" s="1">
        <v>7.0</v>
      </c>
      <c r="J5852" s="1" t="s">
        <v>86</v>
      </c>
      <c r="K5852" s="2" t="s">
        <v>15904</v>
      </c>
      <c r="L5852" s="2"/>
      <c r="M5852" s="2" t="str">
        <f>IFERROR(__xludf.DUMMYFUNCTION("split(split(K5852,""【"",false),""公式LINE"",false)"),"「ウラギリの同窓会」同窓会の案内状を手に、激しく動揺するスナコ。辛い過去を思い出し、部屋にこもってしまう。そんな中、同窓生のすず（近野成美）がやって来て、当時いじめたことを皆で詫びたいので、是非来てほしいと言う。むしろ、引きこもって迷惑をかけたのは自分と謝るため、同窓会に行くとスナコは勇気を振り絞る。思いっきり綺麗になって皆を、見返してやれとスナコを指導する雪之丞、蘭丸、武長たちだったが、恭平はそれがしっくりいかず…亀梨和也  手越祐也  大政絢  内博貴  宮尾俊太郎  加藤清史郎  神戸蘭子  志保 "&amp;" 花形綾沙  近野成美  大杉漣  高島礼子")</f>
        <v>「ウラギリの同窓会」同窓会の案内状を手に、激しく動揺するスナコ。辛い過去を思い出し、部屋にこもってしまう。そんな中、同窓生のすず（近野成美）がやって来て、当時いじめたことを皆で詫びたいので、是非来てほしいと言う。むしろ、引きこもって迷惑をかけたのは自分と謝るため、同窓会に行くとスナコは勇気を振り絞る。思いっきり綺麗になって皆を、見返してやれとスナコを指導する雪之丞、蘭丸、武長たちだったが、恭平はそれがしっくりいかず…亀梨和也  手越祐也  大政絢  内博貴  宮尾俊太郎  加藤清史郎  神戸蘭子  志保  花形綾沙  近野成美  大杉漣  高島礼子</v>
      </c>
      <c r="N5852" s="2"/>
      <c r="O5852" s="2"/>
      <c r="P5852" s="1"/>
      <c r="Q5852" s="1"/>
      <c r="R5852" s="1"/>
      <c r="S5852" s="1"/>
      <c r="T5852" s="1"/>
      <c r="U5852" s="1"/>
      <c r="V5852" s="1"/>
      <c r="W5852" s="1"/>
      <c r="X5852" s="1"/>
      <c r="Y5852" s="1"/>
      <c r="Z5852" s="1"/>
      <c r="AA5852" s="1"/>
      <c r="AB5852" s="1"/>
      <c r="AC5852" s="1"/>
      <c r="AD5852" s="1"/>
      <c r="AE5852" s="1"/>
      <c r="AF5852" s="1"/>
      <c r="AG5852" s="1"/>
      <c r="AH5852" s="1"/>
      <c r="AI5852" s="1"/>
      <c r="AJ5852" s="1"/>
      <c r="AK5852" s="1"/>
      <c r="AL5852" s="1"/>
      <c r="AM5852" s="1"/>
      <c r="AN5852" s="1"/>
      <c r="AO5852" s="1"/>
      <c r="AP5852" s="1"/>
      <c r="AQ5852" s="1"/>
      <c r="AR5852" s="1"/>
      <c r="AS5852" s="1"/>
      <c r="AT5852" s="1"/>
      <c r="AU5852" s="1"/>
      <c r="AV5852" s="1"/>
      <c r="AW5852" s="1"/>
      <c r="AX5852" s="1"/>
      <c r="AY5852" s="1"/>
      <c r="AZ5852" s="1"/>
      <c r="BA5852" s="1"/>
      <c r="BB5852" s="1"/>
    </row>
    <row r="5853" ht="204.75" customHeight="1">
      <c r="A5853" s="1">
        <v>4951.0</v>
      </c>
      <c r="B5853" s="2" t="s">
        <v>15895</v>
      </c>
      <c r="C5853" s="2">
        <f>IFERROR(__xludf.DUMMYFUNCTION("split(B5853,""_"")"),1001.0)</f>
        <v>1001</v>
      </c>
      <c r="D5853" s="2" t="str">
        <f>IFERROR(__xludf.DUMMYFUNCTION("""COMPUTED_VALUE"""),"TBS")</f>
        <v>TBS</v>
      </c>
      <c r="E5853" s="2" t="str">
        <f>IFERROR(__xludf.DUMMYFUNCTION("""COMPUTED_VALUE"""),"金22")</f>
        <v>金22</v>
      </c>
      <c r="F5853" s="2" t="s">
        <v>15896</v>
      </c>
      <c r="G5853" s="2" t="s">
        <v>15897</v>
      </c>
      <c r="H5853" s="1">
        <v>8.0</v>
      </c>
      <c r="J5853" s="1" t="s">
        <v>86</v>
      </c>
      <c r="K5853" s="2" t="s">
        <v>15905</v>
      </c>
      <c r="L5853" s="2"/>
      <c r="M5853" s="2" t="str">
        <f>IFERROR(__xludf.DUMMYFUNCTION("split(split(K5853,""【"",false),""公式LINE"",false)"),"勇気が出る丘下宿に、蘭丸の許婚という玉緒（浅見れいな）が突然やってくる。一人の女性と真剣交際をするのが嫌な蘭丸は、あの手この手で彼女に嫌われるよう策を講じるが…一方、恭平はスナコを母との思い出の地「勇気が出る丘」に連れて行く、同窓会で逃げずに頑張ったスナコに対して、自分も今まで避けていた母親とキチンと向き合うと誓うのだった。そして、母（麻生祐未）のもとに向かう恭平。家の扉を開けるとそこには…亀梨和也  手越祐也  大政絢  内博貴  宮尾俊太郎  加藤清史郎  神戸蘭子  麻生祐未  浅見れいな  中根徹"&amp;"  岸本慎太郎  濱田龍臣  大杉漣  高島礼子")</f>
        <v>勇気が出る丘下宿に、蘭丸の許婚という玉緒（浅見れいな）が突然やってくる。一人の女性と真剣交際をするのが嫌な蘭丸は、あの手この手で彼女に嫌われるよう策を講じるが…一方、恭平はスナコを母との思い出の地「勇気が出る丘」に連れて行く、同窓会で逃げずに頑張ったスナコに対して、自分も今まで避けていた母親とキチンと向き合うと誓うのだった。そして、母（麻生祐未）のもとに向かう恭平。家の扉を開けるとそこには…亀梨和也  手越祐也  大政絢  内博貴  宮尾俊太郎  加藤清史郎  神戸蘭子  麻生祐未  浅見れいな  中根徹  岸本慎太郎  濱田龍臣  大杉漣  高島礼子</v>
      </c>
      <c r="N5853" s="2"/>
      <c r="O5853" s="2"/>
      <c r="P5853" s="1"/>
      <c r="Q5853" s="1"/>
      <c r="R5853" s="1"/>
      <c r="S5853" s="1"/>
      <c r="T5853" s="1"/>
      <c r="U5853" s="1"/>
      <c r="V5853" s="1"/>
      <c r="W5853" s="1"/>
      <c r="X5853" s="1"/>
      <c r="Y5853" s="1"/>
      <c r="Z5853" s="1"/>
      <c r="AA5853" s="1"/>
      <c r="AB5853" s="1"/>
      <c r="AC5853" s="1"/>
      <c r="AD5853" s="1"/>
      <c r="AE5853" s="1"/>
      <c r="AF5853" s="1"/>
      <c r="AG5853" s="1"/>
      <c r="AH5853" s="1"/>
      <c r="AI5853" s="1"/>
      <c r="AJ5853" s="1"/>
      <c r="AK5853" s="1"/>
      <c r="AL5853" s="1"/>
      <c r="AM5853" s="1"/>
      <c r="AN5853" s="1"/>
      <c r="AO5853" s="1"/>
      <c r="AP5853" s="1"/>
      <c r="AQ5853" s="1"/>
      <c r="AR5853" s="1"/>
      <c r="AS5853" s="1"/>
      <c r="AT5853" s="1"/>
      <c r="AU5853" s="1"/>
      <c r="AV5853" s="1"/>
      <c r="AW5853" s="1"/>
      <c r="AX5853" s="1"/>
      <c r="AY5853" s="1"/>
      <c r="AZ5853" s="1"/>
      <c r="BA5853" s="1"/>
      <c r="BB5853" s="1"/>
    </row>
    <row r="5854" ht="204.75" customHeight="1">
      <c r="A5854" s="1">
        <v>4952.0</v>
      </c>
      <c r="B5854" s="2" t="s">
        <v>15895</v>
      </c>
      <c r="C5854" s="2">
        <f>IFERROR(__xludf.DUMMYFUNCTION("split(B5854,""_"")"),1001.0)</f>
        <v>1001</v>
      </c>
      <c r="D5854" s="2" t="str">
        <f>IFERROR(__xludf.DUMMYFUNCTION("""COMPUTED_VALUE"""),"TBS")</f>
        <v>TBS</v>
      </c>
      <c r="E5854" s="2" t="str">
        <f>IFERROR(__xludf.DUMMYFUNCTION("""COMPUTED_VALUE"""),"金22")</f>
        <v>金22</v>
      </c>
      <c r="F5854" s="2" t="s">
        <v>15896</v>
      </c>
      <c r="G5854" s="2" t="s">
        <v>15897</v>
      </c>
      <c r="H5854" s="1">
        <v>9.0</v>
      </c>
      <c r="J5854" s="1" t="s">
        <v>86</v>
      </c>
      <c r="K5854" s="2" t="s">
        <v>15906</v>
      </c>
      <c r="L5854" s="2"/>
      <c r="M5854" s="2" t="str">
        <f>IFERROR(__xludf.DUMMYFUNCTION("split(split(K5854,""【"",false),""公式LINE"",false)"),"「親子にだけ見える物」再び母を入院させてしまった恭平は、皆を心配させないよう明るく振舞っていた。そんな中、蘭丸好みの女性になると、関係の修復に玉緒が下宿にやってくる。行き詰まった蘭丸は、実は、美音は妻だと嘘を言う。亡き夫、篤を大切に思う美音は許せず、激しい一撃を食らわすが…意識を取り戻した蘭丸に篤が乗り移っていた！一方、スナコは恭平の親子関係を何とか修復してあげたいと思い、病院に行くが、それが元で恭平と大喧嘩に…亀梨和也  手越祐也  大政絢  内博貴  宮尾俊太郎  加藤清史郎  神戸蘭子  志保  花"&amp;"形綾沙  麻生祐未  浅見れいな  中根徹  長谷川初範  大杉漣  高島礼子")</f>
        <v>「親子にだけ見える物」再び母を入院させてしまった恭平は、皆を心配させないよう明るく振舞っていた。そんな中、蘭丸好みの女性になると、関係の修復に玉緒が下宿にやってくる。行き詰まった蘭丸は、実は、美音は妻だと嘘を言う。亡き夫、篤を大切に思う美音は許せず、激しい一撃を食らわすが…意識を取り戻した蘭丸に篤が乗り移っていた！一方、スナコは恭平の親子関係を何とか修復してあげたいと思い、病院に行くが、それが元で恭平と大喧嘩に…亀梨和也  手越祐也  大政絢  内博貴  宮尾俊太郎  加藤清史郎  神戸蘭子  志保  花形綾沙  麻生祐未  浅見れいな  中根徹  長谷川初範  大杉漣  高島礼子</v>
      </c>
      <c r="N5854" s="2"/>
      <c r="O5854" s="2"/>
      <c r="P5854" s="1"/>
      <c r="Q5854" s="1"/>
      <c r="R5854" s="1"/>
      <c r="S5854" s="1"/>
      <c r="T5854" s="1"/>
      <c r="U5854" s="1"/>
      <c r="V5854" s="1"/>
      <c r="W5854" s="1"/>
      <c r="X5854" s="1"/>
      <c r="Y5854" s="1"/>
      <c r="Z5854" s="1"/>
      <c r="AA5854" s="1"/>
      <c r="AB5854" s="1"/>
      <c r="AC5854" s="1"/>
      <c r="AD5854" s="1"/>
      <c r="AE5854" s="1"/>
      <c r="AF5854" s="1"/>
      <c r="AG5854" s="1"/>
      <c r="AH5854" s="1"/>
      <c r="AI5854" s="1"/>
      <c r="AJ5854" s="1"/>
      <c r="AK5854" s="1"/>
      <c r="AL5854" s="1"/>
      <c r="AM5854" s="1"/>
      <c r="AN5854" s="1"/>
      <c r="AO5854" s="1"/>
      <c r="AP5854" s="1"/>
      <c r="AQ5854" s="1"/>
      <c r="AR5854" s="1"/>
      <c r="AS5854" s="1"/>
      <c r="AT5854" s="1"/>
      <c r="AU5854" s="1"/>
      <c r="AV5854" s="1"/>
      <c r="AW5854" s="1"/>
      <c r="AX5854" s="1"/>
      <c r="AY5854" s="1"/>
      <c r="AZ5854" s="1"/>
      <c r="BA5854" s="1"/>
      <c r="BB5854" s="1"/>
    </row>
    <row r="5855" ht="204.75" customHeight="1">
      <c r="A5855" s="1">
        <v>4953.0</v>
      </c>
      <c r="B5855" s="2" t="s">
        <v>15895</v>
      </c>
      <c r="C5855" s="2">
        <f>IFERROR(__xludf.DUMMYFUNCTION("split(B5855,""_"")"),1001.0)</f>
        <v>1001</v>
      </c>
      <c r="D5855" s="2" t="str">
        <f>IFERROR(__xludf.DUMMYFUNCTION("""COMPUTED_VALUE"""),"TBS")</f>
        <v>TBS</v>
      </c>
      <c r="E5855" s="2" t="str">
        <f>IFERROR(__xludf.DUMMYFUNCTION("""COMPUTED_VALUE"""),"金22")</f>
        <v>金22</v>
      </c>
      <c r="F5855" s="2" t="s">
        <v>15896</v>
      </c>
      <c r="G5855" s="2" t="s">
        <v>15897</v>
      </c>
      <c r="H5855" s="1">
        <v>10.0</v>
      </c>
      <c r="J5855" s="1" t="s">
        <v>86</v>
      </c>
      <c r="K5855" s="2" t="s">
        <v>15907</v>
      </c>
      <c r="L5855" s="2"/>
      <c r="M5855" s="2" t="str">
        <f>IFERROR(__xludf.DUMMYFUNCTION("split(split(K5855,""【"",false),""公式LINE"",false)"),"「君が嫌いな君が好き」行方不明になったスナコ…恭平は連日悪夢にうなされる。果たしてスナコは帰ってこないのか？謎の外国人から不気味な電話がかかってくる…亀梨和也  手越祐也  大政絢  内博貴  宮尾俊太郎  加藤清史郎  神戸蘭子  志保  花形綾沙  ダンテ・カーヴァー  大杉漣  高島礼子")</f>
        <v>「君が嫌いな君が好き」行方不明になったスナコ…恭平は連日悪夢にうなされる。果たしてスナコは帰ってこないのか？謎の外国人から不気味な電話がかかってくる…亀梨和也  手越祐也  大政絢  内博貴  宮尾俊太郎  加藤清史郎  神戸蘭子  志保  花形綾沙  ダンテ・カーヴァー  大杉漣  高島礼子</v>
      </c>
      <c r="N5855" s="2"/>
      <c r="O5855" s="2"/>
      <c r="P5855" s="1"/>
      <c r="Q5855" s="1"/>
      <c r="R5855" s="1"/>
      <c r="S5855" s="1"/>
      <c r="T5855" s="1"/>
      <c r="U5855" s="1"/>
      <c r="V5855" s="1"/>
      <c r="W5855" s="1"/>
      <c r="X5855" s="1"/>
      <c r="Y5855" s="1"/>
      <c r="Z5855" s="1"/>
      <c r="AA5855" s="1"/>
      <c r="AB5855" s="1"/>
      <c r="AC5855" s="1"/>
      <c r="AD5855" s="1"/>
      <c r="AE5855" s="1"/>
      <c r="AF5855" s="1"/>
      <c r="AG5855" s="1"/>
      <c r="AH5855" s="1"/>
      <c r="AI5855" s="1"/>
      <c r="AJ5855" s="1"/>
      <c r="AK5855" s="1"/>
      <c r="AL5855" s="1"/>
      <c r="AM5855" s="1"/>
      <c r="AN5855" s="1"/>
      <c r="AO5855" s="1"/>
      <c r="AP5855" s="1"/>
      <c r="AQ5855" s="1"/>
      <c r="AR5855" s="1"/>
      <c r="AS5855" s="1"/>
      <c r="AT5855" s="1"/>
      <c r="AU5855" s="1"/>
      <c r="AV5855" s="1"/>
      <c r="AW5855" s="1"/>
      <c r="AX5855" s="1"/>
      <c r="AY5855" s="1"/>
      <c r="AZ5855" s="1"/>
      <c r="BA5855" s="1"/>
      <c r="BB5855" s="1"/>
    </row>
    <row r="5856" ht="204.75" customHeight="1">
      <c r="A5856" s="1">
        <v>4972.0</v>
      </c>
      <c r="B5856" s="2" t="s">
        <v>15908</v>
      </c>
      <c r="C5856" s="2">
        <f>IFERROR(__xludf.DUMMYFUNCTION("split(B5856,""_"")"),1001.0)</f>
        <v>1001</v>
      </c>
      <c r="D5856" s="2" t="str">
        <f>IFERROR(__xludf.DUMMYFUNCTION("""COMPUTED_VALUE"""),"TBS")</f>
        <v>TBS</v>
      </c>
      <c r="E5856" s="2" t="str">
        <f>IFERROR(__xludf.DUMMYFUNCTION("""COMPUTED_VALUE"""),"日21")</f>
        <v>日21</v>
      </c>
      <c r="F5856" s="2" t="s">
        <v>15909</v>
      </c>
      <c r="G5856" s="2" t="s">
        <v>15910</v>
      </c>
      <c r="H5856" s="1">
        <v>1.0</v>
      </c>
      <c r="J5856" s="1" t="s">
        <v>11</v>
      </c>
      <c r="K5856" s="2" t="s">
        <v>15911</v>
      </c>
      <c r="L5856" s="2"/>
      <c r="M5856" s="2" t="str">
        <f>IFERROR(__xludf.DUMMYFUNCTION("split(split(K5856,""【"",false),""公式LINE"",false)"),"未定ある朝、大野行政書士事務所に田村(櫻井翔) の昔の仕事仲間である山田(三宅弘城)から電話が入った。事務所にやって来た山田の話を聞くと、家賃を一日滞納したら、突然部屋の鍵が替えられていて自分の部屋に入れなくなったのだと言う。翌朝、不動産屋に電話すると、家賃の他に鍵の取り替え代金と違約金を請求され困っている様子。不景気が続く昨今、敷金・礼金なしのいわゆる「ゼロゼロ物件」は社会的弱者の味方。しかし、ごく稀に悪徳不動産業者が関わっている事があるという。山田の場合が、まさにこれだった。  しかも今回の相手は、過"&amp;"去に美寿々 (堀北真希) と因縁のある阿功徳不動産の瀬古井 (田中哲司）。瀬古井は、2年前に美寿々が廃業に追い込んだ極悪非道なサラ金会社の社長で、今は悪徳追い出し屋とつるみ、不動産会社の社長になっていたのだった。田村と美寿々の二人は、山田の家族の絆を取り戻すために、阿功徳不動産に乗り込むが、相手は法の網をかいくぐる巧妙な手口で、契約書を作成しており、絶体絶命のピンチに陥る。櫻井翔  堀北真希  遠藤憲一  渡辺いっけい  田丸麻紀  菊里ひかり  浅野ゆう子 (特別出演)  上里亮太  伊郷アクン  高橋"&amp;"克実  中村雅俊  (他)田中哲司  三宅広城番組内で、出演者から、生電話とプレゼントがあたる特上クイズがあります！！  今週は、桜井翔　堀北真希　特上カバチ!!フォトブック  ")</f>
        <v>未定ある朝、大野行政書士事務所に田村(櫻井翔) の昔の仕事仲間である山田(三宅弘城)から電話が入った。事務所にやって来た山田の話を聞くと、家賃を一日滞納したら、突然部屋の鍵が替えられていて自分の部屋に入れなくなったのだと言う。翌朝、不動産屋に電話すると、家賃の他に鍵の取り替え代金と違約金を請求され困っている様子。不景気が続く昨今、敷金・礼金なしのいわゆる「ゼロゼロ物件」は社会的弱者の味方。しかし、ごく稀に悪徳不動産業者が関わっている事があるという。山田の場合が、まさにこれだった。  しかも今回の相手は、過去に美寿々 (堀北真希) と因縁のある阿功徳不動産の瀬古井 (田中哲司）。瀬古井は、2年前に美寿々が廃業に追い込んだ極悪非道なサラ金会社の社長で、今は悪徳追い出し屋とつるみ、不動産会社の社長になっていたのだった。田村と美寿々の二人は、山田の家族の絆を取り戻すために、阿功徳不動産に乗り込むが、相手は法の網をかいくぐる巧妙な手口で、契約書を作成しており、絶体絶命のピンチに陥る。櫻井翔  堀北真希  遠藤憲一  渡辺いっけい  田丸麻紀  菊里ひかり  浅野ゆう子 (特別出演)  上里亮太  伊郷アクン  高橋克実  中村雅俊  (他)田中哲司  三宅広城番組内で、出演者から、生電話とプレゼントがあたる特上クイズがあります！！  今週は、桜井翔　堀北真希　特上カバチ!!フォトブック  </v>
      </c>
      <c r="N5856" s="2"/>
      <c r="O5856" s="2"/>
      <c r="P5856" s="1"/>
      <c r="Q5856" s="1"/>
      <c r="R5856" s="1"/>
      <c r="S5856" s="1"/>
      <c r="T5856" s="1"/>
      <c r="U5856" s="1"/>
      <c r="V5856" s="1"/>
      <c r="W5856" s="1"/>
      <c r="X5856" s="1"/>
      <c r="Y5856" s="1"/>
      <c r="Z5856" s="1"/>
      <c r="AA5856" s="1"/>
      <c r="AB5856" s="1"/>
      <c r="AC5856" s="1"/>
      <c r="AD5856" s="1"/>
      <c r="AE5856" s="1"/>
      <c r="AF5856" s="1"/>
      <c r="AG5856" s="1"/>
      <c r="AH5856" s="1"/>
      <c r="AI5856" s="1"/>
      <c r="AJ5856" s="1"/>
      <c r="AK5856" s="1"/>
      <c r="AL5856" s="1"/>
      <c r="AM5856" s="1"/>
      <c r="AN5856" s="1"/>
      <c r="AO5856" s="1"/>
      <c r="AP5856" s="1"/>
      <c r="AQ5856" s="1"/>
      <c r="AR5856" s="1"/>
      <c r="AS5856" s="1"/>
      <c r="AT5856" s="1"/>
      <c r="AU5856" s="1"/>
      <c r="AV5856" s="1"/>
      <c r="AW5856" s="1"/>
      <c r="AX5856" s="1"/>
      <c r="AY5856" s="1"/>
      <c r="AZ5856" s="1"/>
      <c r="BA5856" s="1"/>
      <c r="BB5856" s="1"/>
    </row>
    <row r="5857" ht="204.75" customHeight="1">
      <c r="A5857" s="1">
        <v>4994.0</v>
      </c>
      <c r="B5857" s="2" t="s">
        <v>15912</v>
      </c>
      <c r="C5857" s="2">
        <f>IFERROR(__xludf.DUMMYFUNCTION("split(B5857,""_"")"),910.0)</f>
        <v>910</v>
      </c>
      <c r="D5857" s="2" t="str">
        <f>IFERROR(__xludf.DUMMYFUNCTION("""COMPUTED_VALUE"""),"TBS")</f>
        <v>TBS</v>
      </c>
      <c r="E5857" s="2" t="str">
        <f>IFERROR(__xludf.DUMMYFUNCTION("""COMPUTED_VALUE"""),"水21")</f>
        <v>水21</v>
      </c>
      <c r="F5857" s="2" t="s">
        <v>15913</v>
      </c>
      <c r="G5857" s="2" t="s">
        <v>15914</v>
      </c>
      <c r="H5857" s="1">
        <v>1.0</v>
      </c>
      <c r="J5857" s="1" t="s">
        <v>4</v>
      </c>
      <c r="K5857" s="2" t="s">
        <v>15915</v>
      </c>
      <c r="L5857" s="2"/>
      <c r="M5857" s="2" t="str">
        <f>IFERROR(__xludf.DUMMYFUNCTION("split(split(K5857,""【"",false),""公式LINE"",false)"),"「青森・恐山に渦巻く愛憎の悲劇…津軽三味線に秘められた50年前の驚愕の真実とは…」新鋭の料理人・藤波紹子が大きな日本料理コンクールで優勝をおさめ、十和田湖の和食レストランのオーナーになる権利を獲得する。後日そのコンクールの審査員が次々と殺され死体現場には古銭と凶器となった三味線の糸が残されていた。津軽三味線の宗家で紹子の伯父である憲夫の元を訪れる光彦。憲夫と、今は亡き紹子の母・真琴にはつらく悲しい過去があった。そしてねぷた祭り・真琴がかつて経営していた十和田湖の食堂に行った光彦と紹子は、そこで、さらに哀し"&amp;"い過去の真実を突きつけられることになるのだった。浅見光彦…沢村一樹  浅見陽一郎…風間杜夫  吉田須美子…原沙知絵  浅見和子…黒田知永子  桐山道夫…田中幸太朗  浅見雪江…佐久間良子  藤波紹子…片瀬那奈  藤波憲夫…前田吟  井出啓介…山本學  宮坂伸司…中山仁内田康夫石原武龍　川嶋澄乃　友澤晃一佐々木章光矢口久雄テレパック　TBS")</f>
        <v>「青森・恐山に渦巻く愛憎の悲劇…津軽三味線に秘められた50年前の驚愕の真実とは…」新鋭の料理人・藤波紹子が大きな日本料理コンクールで優勝をおさめ、十和田湖の和食レストランのオーナーになる権利を獲得する。後日そのコンクールの審査員が次々と殺され死体現場には古銭と凶器となった三味線の糸が残されていた。津軽三味線の宗家で紹子の伯父である憲夫の元を訪れる光彦。憲夫と、今は亡き紹子の母・真琴にはつらく悲しい過去があった。そしてねぷた祭り・真琴がかつて経営していた十和田湖の食堂に行った光彦と紹子は、そこで、さらに哀しい過去の真実を突きつけられることになるのだった。浅見光彦…沢村一樹  浅見陽一郎…風間杜夫  吉田須美子…原沙知絵  浅見和子…黒田知永子  桐山道夫…田中幸太朗  浅見雪江…佐久間良子  藤波紹子…片瀬那奈  藤波憲夫…前田吟  井出啓介…山本學  宮坂伸司…中山仁内田康夫石原武龍　川嶋澄乃　友澤晃一佐々木章光矢口久雄テレパック　TBS</v>
      </c>
      <c r="N5857" s="2"/>
      <c r="O5857" s="2"/>
      <c r="P5857" s="1"/>
      <c r="Q5857" s="1"/>
      <c r="R5857" s="1"/>
      <c r="S5857" s="1"/>
      <c r="T5857" s="1"/>
      <c r="U5857" s="1"/>
      <c r="V5857" s="1"/>
      <c r="W5857" s="1"/>
      <c r="X5857" s="1"/>
      <c r="Y5857" s="1"/>
      <c r="Z5857" s="1"/>
      <c r="AA5857" s="1"/>
      <c r="AB5857" s="1"/>
      <c r="AC5857" s="1"/>
      <c r="AD5857" s="1"/>
      <c r="AE5857" s="1"/>
      <c r="AF5857" s="1"/>
      <c r="AG5857" s="1"/>
      <c r="AH5857" s="1"/>
      <c r="AI5857" s="1"/>
      <c r="AJ5857" s="1"/>
      <c r="AK5857" s="1"/>
      <c r="AL5857" s="1"/>
      <c r="AM5857" s="1"/>
      <c r="AN5857" s="1"/>
      <c r="AO5857" s="1"/>
      <c r="AP5857" s="1"/>
      <c r="AQ5857" s="1"/>
      <c r="AR5857" s="1"/>
      <c r="AS5857" s="1"/>
      <c r="AT5857" s="1"/>
      <c r="AU5857" s="1"/>
      <c r="AV5857" s="1"/>
      <c r="AW5857" s="1"/>
      <c r="AX5857" s="1"/>
      <c r="AY5857" s="1"/>
      <c r="AZ5857" s="1"/>
      <c r="BA5857" s="1"/>
      <c r="BB5857" s="1"/>
    </row>
    <row r="5858" ht="204.75" customHeight="1">
      <c r="A5858" s="1">
        <v>4995.0</v>
      </c>
      <c r="B5858" s="2" t="s">
        <v>15912</v>
      </c>
      <c r="C5858" s="2">
        <f>IFERROR(__xludf.DUMMYFUNCTION("split(B5858,""_"")"),910.0)</f>
        <v>910</v>
      </c>
      <c r="D5858" s="2" t="str">
        <f>IFERROR(__xludf.DUMMYFUNCTION("""COMPUTED_VALUE"""),"TBS")</f>
        <v>TBS</v>
      </c>
      <c r="E5858" s="2" t="str">
        <f>IFERROR(__xludf.DUMMYFUNCTION("""COMPUTED_VALUE"""),"水21")</f>
        <v>水21</v>
      </c>
      <c r="F5858" s="2" t="s">
        <v>15913</v>
      </c>
      <c r="G5858" s="2" t="s">
        <v>15916</v>
      </c>
      <c r="H5858" s="1">
        <v>2.0</v>
      </c>
      <c r="J5858" s="1" t="s">
        <v>11</v>
      </c>
      <c r="K5858" s="2" t="s">
        <v>15917</v>
      </c>
      <c r="L5858" s="2"/>
      <c r="M5858" s="2" t="str">
        <f>IFERROR(__xludf.DUMMYFUNCTION("split(split(K5858,""【"",false),""公式LINE"",false)"),"「伊豆天城～松島…親子の絆」天城トンネルで男の悲鳴を聞いた光彦は直後に周囲を見回すがそこには何も異変が無かった。後日伊豆天城に旅行で出かけた光彦は、修善寺で「下司（げす）」と書かれた千社札を見つける。千社札とは元来自分の名前であるのが普通であるが、なぜ「下司」なのか…。そこで朝美という女性に出会い、彼女の亡き父がその札を貼った本人であることを知る光彦。父の死に疑問を持っていた朝美との千社札を巡る旅が始まった。天城の山道を歩いていく途中で女性の死体が発見され、出身地が松島であることに気づく光彦。朝美の父も今"&amp;"年の千社巡りは松島に行くと言っていたのだ。なぜ松島に行ったはずの人が伊豆天城で死体となって発見されたのか…。遠隔殺人に潜む謎にはあまりに哀しい過去があった。浅見光彦…沢村一樹  浅見陽一郎…風間杜夫  吉田須美子…原沙知絵  浅見和子…黒田知永子  桐山道夫…田中幸太朗  浅見雪江…佐久間良子  小林朝美…笛木優子  武上清作…綿引勝彦内田康夫川嶋澄乃村上牧人（テレパック）矢口久雄テレパック　TBS")</f>
        <v>「伊豆天城～松島…親子の絆」天城トンネルで男の悲鳴を聞いた光彦は直後に周囲を見回すがそこには何も異変が無かった。後日伊豆天城に旅行で出かけた光彦は、修善寺で「下司（げす）」と書かれた千社札を見つける。千社札とは元来自分の名前であるのが普通であるが、なぜ「下司」なのか…。そこで朝美という女性に出会い、彼女の亡き父がその札を貼った本人であることを知る光彦。父の死に疑問を持っていた朝美との千社札を巡る旅が始まった。天城の山道を歩いていく途中で女性の死体が発見され、出身地が松島であることに気づく光彦。朝美の父も今年の千社巡りは松島に行くと言っていたのだ。なぜ松島に行ったはずの人が伊豆天城で死体となって発見されたのか…。遠隔殺人に潜む謎にはあまりに哀しい過去があった。浅見光彦…沢村一樹  浅見陽一郎…風間杜夫  吉田須美子…原沙知絵  浅見和子…黒田知永子  桐山道夫…田中幸太朗  浅見雪江…佐久間良子  小林朝美…笛木優子  武上清作…綿引勝彦内田康夫川嶋澄乃村上牧人（テレパック）矢口久雄テレパック　TBS</v>
      </c>
      <c r="N5858" s="2"/>
      <c r="O5858" s="2"/>
      <c r="P5858" s="1"/>
      <c r="Q5858" s="1"/>
      <c r="R5858" s="1"/>
      <c r="S5858" s="1"/>
      <c r="T5858" s="1"/>
      <c r="U5858" s="1"/>
      <c r="V5858" s="1"/>
      <c r="W5858" s="1"/>
      <c r="X5858" s="1"/>
      <c r="Y5858" s="1"/>
      <c r="Z5858" s="1"/>
      <c r="AA5858" s="1"/>
      <c r="AB5858" s="1"/>
      <c r="AC5858" s="1"/>
      <c r="AD5858" s="1"/>
      <c r="AE5858" s="1"/>
      <c r="AF5858" s="1"/>
      <c r="AG5858" s="1"/>
      <c r="AH5858" s="1"/>
      <c r="AI5858" s="1"/>
      <c r="AJ5858" s="1"/>
      <c r="AK5858" s="1"/>
      <c r="AL5858" s="1"/>
      <c r="AM5858" s="1"/>
      <c r="AN5858" s="1"/>
      <c r="AO5858" s="1"/>
      <c r="AP5858" s="1"/>
      <c r="AQ5858" s="1"/>
      <c r="AR5858" s="1"/>
      <c r="AS5858" s="1"/>
      <c r="AT5858" s="1"/>
      <c r="AU5858" s="1"/>
      <c r="AV5858" s="1"/>
      <c r="AW5858" s="1"/>
      <c r="AX5858" s="1"/>
      <c r="AY5858" s="1"/>
      <c r="AZ5858" s="1"/>
      <c r="BA5858" s="1"/>
      <c r="BB5858" s="1"/>
    </row>
    <row r="5859" ht="204.75" customHeight="1">
      <c r="A5859" s="1">
        <v>4996.0</v>
      </c>
      <c r="B5859" s="2" t="s">
        <v>15912</v>
      </c>
      <c r="C5859" s="2">
        <f>IFERROR(__xludf.DUMMYFUNCTION("split(B5859,""_"")"),910.0)</f>
        <v>910</v>
      </c>
      <c r="D5859" s="2" t="str">
        <f>IFERROR(__xludf.DUMMYFUNCTION("""COMPUTED_VALUE"""),"TBS")</f>
        <v>TBS</v>
      </c>
      <c r="E5859" s="2" t="str">
        <f>IFERROR(__xludf.DUMMYFUNCTION("""COMPUTED_VALUE"""),"水21")</f>
        <v>水21</v>
      </c>
      <c r="F5859" s="2" t="s">
        <v>15913</v>
      </c>
      <c r="G5859" s="2" t="s">
        <v>15916</v>
      </c>
      <c r="H5859" s="1">
        <v>3.0</v>
      </c>
      <c r="J5859" s="1" t="s">
        <v>11</v>
      </c>
      <c r="K5859" s="2" t="s">
        <v>15918</v>
      </c>
      <c r="L5859" s="2"/>
      <c r="M5859" s="2" t="str">
        <f>IFERROR(__xludf.DUMMYFUNCTION("split(split(K5859,""【"",false),""公式LINE"",false)"),"「岩手遠野編～河童淵の少女」民話のふるさと・岩手県遠野で語りベの横居ナミが殺された。容疑者は二人で、一人はその息子・真二だった。光彦は疑いを晴らすために孫の詩織とともに事件の解明に走る。あるとき、真二の妻で詩織の母親であるマリ子から、10年前に真二が起こした傷害事件の話を聞く。相手側に重症を負わせ傷害罪に問われたが、ある刑事が上の人に逆らい調べ直して正当防衛を勝ち取ってくれたという。その刑事には直に会ったことがないというマリ子だったが、調べていくと、その刑事は今は警察を辞めていて、横居家によく野菜を届けに"&amp;"来る岩岡という男であることが発覚。なぜマリ子は知っていることを隠したのか…。岩岡が背負っている過去の真実とは一体何なのか…。浅見光彦…沢村一樹  浅見陽一郎…風間杜夫  吉田須美子…原沙知絵  浅見和子…黒田知永子  桐山道夫…田中幸太朗  浅見雪江…佐久間良子岡忠夫…森本レオ  横居マリ子…三浦理恵子  横居詩織…佐々木麻緒  岡崎光夫…梨本謙次郎内田康夫友澤晃一村上牧人（テレパック）矢口久雄テレパック　TBS")</f>
        <v>「岩手遠野編～河童淵の少女」民話のふるさと・岩手県遠野で語りベの横居ナミが殺された。容疑者は二人で、一人はその息子・真二だった。光彦は疑いを晴らすために孫の詩織とともに事件の解明に走る。あるとき、真二の妻で詩織の母親であるマリ子から、10年前に真二が起こした傷害事件の話を聞く。相手側に重症を負わせ傷害罪に問われたが、ある刑事が上の人に逆らい調べ直して正当防衛を勝ち取ってくれたという。その刑事には直に会ったことがないというマリ子だったが、調べていくと、その刑事は今は警察を辞めていて、横居家によく野菜を届けに来る岩岡という男であることが発覚。なぜマリ子は知っていることを隠したのか…。岩岡が背負っている過去の真実とは一体何なのか…。浅見光彦…沢村一樹  浅見陽一郎…風間杜夫  吉田須美子…原沙知絵  浅見和子…黒田知永子  桐山道夫…田中幸太朗  浅見雪江…佐久間良子岡忠夫…森本レオ  横居マリ子…三浦理恵子  横居詩織…佐々木麻緒  岡崎光夫…梨本謙次郎内田康夫友澤晃一村上牧人（テレパック）矢口久雄テレパック　TBS</v>
      </c>
      <c r="N5859" s="2"/>
      <c r="O5859" s="2"/>
      <c r="P5859" s="1"/>
      <c r="Q5859" s="1"/>
      <c r="R5859" s="1"/>
      <c r="S5859" s="1"/>
      <c r="T5859" s="1"/>
      <c r="U5859" s="1"/>
      <c r="V5859" s="1"/>
      <c r="W5859" s="1"/>
      <c r="X5859" s="1"/>
      <c r="Y5859" s="1"/>
      <c r="Z5859" s="1"/>
      <c r="AA5859" s="1"/>
      <c r="AB5859" s="1"/>
      <c r="AC5859" s="1"/>
      <c r="AD5859" s="1"/>
      <c r="AE5859" s="1"/>
      <c r="AF5859" s="1"/>
      <c r="AG5859" s="1"/>
      <c r="AH5859" s="1"/>
      <c r="AI5859" s="1"/>
      <c r="AJ5859" s="1"/>
      <c r="AK5859" s="1"/>
      <c r="AL5859" s="1"/>
      <c r="AM5859" s="1"/>
      <c r="AN5859" s="1"/>
      <c r="AO5859" s="1"/>
      <c r="AP5859" s="1"/>
      <c r="AQ5859" s="1"/>
      <c r="AR5859" s="1"/>
      <c r="AS5859" s="1"/>
      <c r="AT5859" s="1"/>
      <c r="AU5859" s="1"/>
      <c r="AV5859" s="1"/>
      <c r="AW5859" s="1"/>
      <c r="AX5859" s="1"/>
      <c r="AY5859" s="1"/>
      <c r="AZ5859" s="1"/>
      <c r="BA5859" s="1"/>
      <c r="BB5859" s="1"/>
    </row>
    <row r="5860" ht="204.75" customHeight="1">
      <c r="A5860" s="1">
        <v>4997.0</v>
      </c>
      <c r="B5860" s="2" t="s">
        <v>15912</v>
      </c>
      <c r="C5860" s="2">
        <f>IFERROR(__xludf.DUMMYFUNCTION("split(B5860,""_"")"),910.0)</f>
        <v>910</v>
      </c>
      <c r="D5860" s="2" t="str">
        <f>IFERROR(__xludf.DUMMYFUNCTION("""COMPUTED_VALUE"""),"TBS")</f>
        <v>TBS</v>
      </c>
      <c r="E5860" s="2" t="str">
        <f>IFERROR(__xludf.DUMMYFUNCTION("""COMPUTED_VALUE"""),"水21")</f>
        <v>水21</v>
      </c>
      <c r="F5860" s="2" t="s">
        <v>15913</v>
      </c>
      <c r="G5860" s="2" t="s">
        <v>15916</v>
      </c>
      <c r="H5860" s="1">
        <v>4.0</v>
      </c>
      <c r="J5860" s="1" t="s">
        <v>11</v>
      </c>
      <c r="K5860" s="2" t="s">
        <v>15919</v>
      </c>
      <c r="L5860" s="2"/>
      <c r="M5860" s="2" t="str">
        <f>IFERROR(__xludf.DUMMYFUNCTION("split(split(K5860,""【"",false),""公式LINE"",false)"),"「金沢編・家元の掟と母の愛」加賀百万石の金沢にある日本舞踊の一流派・桃陰流。取材で訪れた光彦に家元である川上トキが告げたのは次期家元をまだ30歳になる前の三之宮由佳に譲るということだった。桃陰流の中で蠢く欲望と権威への執着心。諸先輩たちの冷たい態度と母・志乃の強硬な反対に、逆に家元を継ぐ覚悟を決める由佳だった。そんな折、由佳に最も嫉妬していた桃陰流のナンバー2である大戸世志子が殺害される。本格的に調べ始めた光彦が行き着いたのは、22年前に起きた桃陰流の過去の惨劇だった。幼馴染で一緒に日本舞踊を習っていた志"&amp;"乃とトキの人生の明暗を知り、桃陰流を守ろうとする人々の思いがみえたとき、事件の線は一本に繋がっていくのだった。浅見光彦…沢村一樹  浅見陽一郎…風間杜夫  吉田須美子…原沙知絵  浅見和子…黒田知永子  桐山道夫…田中幸太朗  浅見雪江…佐久間良子三之宮由佳…京野ことみ  川上トキ…香山美子  高木部長刑事…石井正則内田康夫友澤晃一冨塚博司矢口久雄テレパック　TBS")</f>
        <v>「金沢編・家元の掟と母の愛」加賀百万石の金沢にある日本舞踊の一流派・桃陰流。取材で訪れた光彦に家元である川上トキが告げたのは次期家元をまだ30歳になる前の三之宮由佳に譲るということだった。桃陰流の中で蠢く欲望と権威への執着心。諸先輩たちの冷たい態度と母・志乃の強硬な反対に、逆に家元を継ぐ覚悟を決める由佳だった。そんな折、由佳に最も嫉妬していた桃陰流のナンバー2である大戸世志子が殺害される。本格的に調べ始めた光彦が行き着いたのは、22年前に起きた桃陰流の過去の惨劇だった。幼馴染で一緒に日本舞踊を習っていた志乃とトキの人生の明暗を知り、桃陰流を守ろうとする人々の思いがみえたとき、事件の線は一本に繋がっていくのだった。浅見光彦…沢村一樹  浅見陽一郎…風間杜夫  吉田須美子…原沙知絵  浅見和子…黒田知永子  桐山道夫…田中幸太朗  浅見雪江…佐久間良子三之宮由佳…京野ことみ  川上トキ…香山美子  高木部長刑事…石井正則内田康夫友澤晃一冨塚博司矢口久雄テレパック　TBS</v>
      </c>
      <c r="N5860" s="2"/>
      <c r="O5860" s="2"/>
      <c r="P5860" s="1"/>
      <c r="Q5860" s="1"/>
      <c r="R5860" s="1"/>
      <c r="S5860" s="1"/>
      <c r="T5860" s="1"/>
      <c r="U5860" s="1"/>
      <c r="V5860" s="1"/>
      <c r="W5860" s="1"/>
      <c r="X5860" s="1"/>
      <c r="Y5860" s="1"/>
      <c r="Z5860" s="1"/>
      <c r="AA5860" s="1"/>
      <c r="AB5860" s="1"/>
      <c r="AC5860" s="1"/>
      <c r="AD5860" s="1"/>
      <c r="AE5860" s="1"/>
      <c r="AF5860" s="1"/>
      <c r="AG5860" s="1"/>
      <c r="AH5860" s="1"/>
      <c r="AI5860" s="1"/>
      <c r="AJ5860" s="1"/>
      <c r="AK5860" s="1"/>
      <c r="AL5860" s="1"/>
      <c r="AM5860" s="1"/>
      <c r="AN5860" s="1"/>
      <c r="AO5860" s="1"/>
      <c r="AP5860" s="1"/>
      <c r="AQ5860" s="1"/>
      <c r="AR5860" s="1"/>
      <c r="AS5860" s="1"/>
      <c r="AT5860" s="1"/>
      <c r="AU5860" s="1"/>
      <c r="AV5860" s="1"/>
      <c r="AW5860" s="1"/>
      <c r="AX5860" s="1"/>
      <c r="AY5860" s="1"/>
      <c r="AZ5860" s="1"/>
      <c r="BA5860" s="1"/>
      <c r="BB5860" s="1"/>
    </row>
    <row r="5861" ht="204.75" customHeight="1">
      <c r="A5861" s="1">
        <v>4998.0</v>
      </c>
      <c r="B5861" s="2" t="s">
        <v>15912</v>
      </c>
      <c r="C5861" s="2">
        <f>IFERROR(__xludf.DUMMYFUNCTION("split(B5861,""_"")"),910.0)</f>
        <v>910</v>
      </c>
      <c r="D5861" s="2" t="str">
        <f>IFERROR(__xludf.DUMMYFUNCTION("""COMPUTED_VALUE"""),"TBS")</f>
        <v>TBS</v>
      </c>
      <c r="E5861" s="2" t="str">
        <f>IFERROR(__xludf.DUMMYFUNCTION("""COMPUTED_VALUE"""),"水21")</f>
        <v>水21</v>
      </c>
      <c r="F5861" s="2" t="s">
        <v>15913</v>
      </c>
      <c r="G5861" s="2" t="s">
        <v>15916</v>
      </c>
      <c r="H5861" s="1">
        <v>5.0</v>
      </c>
      <c r="J5861" s="1" t="s">
        <v>11</v>
      </c>
      <c r="K5861" s="2" t="s">
        <v>15920</v>
      </c>
      <c r="L5861" s="2"/>
      <c r="M5861" s="2" t="str">
        <f>IFERROR(__xludf.DUMMYFUNCTION("split(split(K5861,""【"",false),""公式LINE"",false)"),"「京都編・源氏物語の悲劇」京都・滋賀と、源氏物語ゆかりの地を訪ねて取材して回る光彦。ある日大雨が降り土砂が崩れ、ある山肌から白骨が発見される。その白骨死体は前田恭子という数年前から行方不明の女性のもので、その妹・由香里の悲しみを共有した光彦は事件を追及し始める。  恭子の手帳には「嘆きわび空に乱るる我がたまを結びとどめよしたがひのつま」という源氏物語で六条御息所が詠んだ歌が書いてあった。悲しみのあまりさ迷う私の魂をあなたの衣の褄を結んで繋ぎとめてくださいという光源氏に救いを求めたその歌は、まさに数年前かな"&amp;"わぬ恋に苦しんだ恭子の過去を物語っていた。吉村夫婦と恭子の三角関係を暴き事件を推理する光彦。そこには不倫の恋を越えた夫婦愛と、妻のまっすぐな思いがあった。浅見光彦…沢村一樹  浅見陽一郎…風間杜夫  吉田須美子…原沙知絵  浅見和子…黒田知永子  桐山道夫…田中幸太朗  浅見雪江…佐久間良子吉村奈美江…横山めぐみ  前田由香里…いとうあいこ  川上警部…渡辺正行  吉村春夫…鶴見辰吾内田康夫川嶋澄乃冨塚博司矢口久雄テレパック　TBS")</f>
        <v>「京都編・源氏物語の悲劇」京都・滋賀と、源氏物語ゆかりの地を訪ねて取材して回る光彦。ある日大雨が降り土砂が崩れ、ある山肌から白骨が発見される。その白骨死体は前田恭子という数年前から行方不明の女性のもので、その妹・由香里の悲しみを共有した光彦は事件を追及し始める。  恭子の手帳には「嘆きわび空に乱るる我がたまを結びとどめよしたがひのつま」という源氏物語で六条御息所が詠んだ歌が書いてあった。悲しみのあまりさ迷う私の魂をあなたの衣の褄を結んで繋ぎとめてくださいという光源氏に救いを求めたその歌は、まさに数年前かなわぬ恋に苦しんだ恭子の過去を物語っていた。吉村夫婦と恭子の三角関係を暴き事件を推理する光彦。そこには不倫の恋を越えた夫婦愛と、妻のまっすぐな思いがあった。浅見光彦…沢村一樹  浅見陽一郎…風間杜夫  吉田須美子…原沙知絵  浅見和子…黒田知永子  桐山道夫…田中幸太朗  浅見雪江…佐久間良子吉村奈美江…横山めぐみ  前田由香里…いとうあいこ  川上警部…渡辺正行  吉村春夫…鶴見辰吾内田康夫川嶋澄乃冨塚博司矢口久雄テレパック　TBS</v>
      </c>
      <c r="N5861" s="2"/>
      <c r="O5861" s="2"/>
      <c r="P5861" s="1"/>
      <c r="Q5861" s="1"/>
      <c r="R5861" s="1"/>
      <c r="S5861" s="1"/>
      <c r="T5861" s="1"/>
      <c r="U5861" s="1"/>
      <c r="V5861" s="1"/>
      <c r="W5861" s="1"/>
      <c r="X5861" s="1"/>
      <c r="Y5861" s="1"/>
      <c r="Z5861" s="1"/>
      <c r="AA5861" s="1"/>
      <c r="AB5861" s="1"/>
      <c r="AC5861" s="1"/>
      <c r="AD5861" s="1"/>
      <c r="AE5861" s="1"/>
      <c r="AF5861" s="1"/>
      <c r="AG5861" s="1"/>
      <c r="AH5861" s="1"/>
      <c r="AI5861" s="1"/>
      <c r="AJ5861" s="1"/>
      <c r="AK5861" s="1"/>
      <c r="AL5861" s="1"/>
      <c r="AM5861" s="1"/>
      <c r="AN5861" s="1"/>
      <c r="AO5861" s="1"/>
      <c r="AP5861" s="1"/>
      <c r="AQ5861" s="1"/>
      <c r="AR5861" s="1"/>
      <c r="AS5861" s="1"/>
      <c r="AT5861" s="1"/>
      <c r="AU5861" s="1"/>
      <c r="AV5861" s="1"/>
      <c r="AW5861" s="1"/>
      <c r="AX5861" s="1"/>
      <c r="AY5861" s="1"/>
      <c r="AZ5861" s="1"/>
      <c r="BA5861" s="1"/>
      <c r="BB5861" s="1"/>
    </row>
    <row r="5862" ht="204.75" customHeight="1">
      <c r="A5862" s="1">
        <v>4999.0</v>
      </c>
      <c r="B5862" s="2" t="s">
        <v>15912</v>
      </c>
      <c r="C5862" s="2">
        <f>IFERROR(__xludf.DUMMYFUNCTION("split(B5862,""_"")"),910.0)</f>
        <v>910</v>
      </c>
      <c r="D5862" s="2" t="str">
        <f>IFERROR(__xludf.DUMMYFUNCTION("""COMPUTED_VALUE"""),"TBS")</f>
        <v>TBS</v>
      </c>
      <c r="E5862" s="2" t="str">
        <f>IFERROR(__xludf.DUMMYFUNCTION("""COMPUTED_VALUE"""),"水21")</f>
        <v>水21</v>
      </c>
      <c r="F5862" s="2" t="s">
        <v>15913</v>
      </c>
      <c r="G5862" s="2" t="s">
        <v>15916</v>
      </c>
      <c r="H5862" s="1">
        <v>6.0</v>
      </c>
      <c r="J5862" s="1" t="s">
        <v>11</v>
      </c>
      <c r="K5862" s="2" t="s">
        <v>15921</v>
      </c>
      <c r="L5862" s="2"/>
      <c r="M5862" s="2" t="str">
        <f>IFERROR(__xludf.DUMMYFUNCTION("split(split(K5862,""【"",false),""公式LINE"",false)"),"「木曽編・浅見家最大の悲劇」7年前に木曽の山奥で遭難して亡くなった妹の供養で木曽路に向かう光彦と雪江。そこで、同じく木曽に来ていたかつての妹の友達である美也子が何者かに殺害される。殺害現場には皇女和宮下向の道という古めかしい本と、美也子と祐子と男2人が楽しそうに写っている写真が残っていた。事件を追いかけていくうちに次第に膨らんでいく祐子の死の謎。事故死とされていた祐子は実は殺害されたのでは…。2人の男に会いに行くと、1人は場末のスナックで、1人はある漆器店の工房で職人として働いていた。そこで工房の倉庫にあ"&amp;"った学生の頃の写真に驚愕する光彦。そこには光彦の兄・陽一郎の部下である桐山の姿があった。膨らむ疑念を抑えられない光彦。そこへ桐山がやって来た…。浅見光彦…沢村一樹  浅見陽一郎…風間杜夫  吉田須美子…原沙知絵  浅見和子…黒田知永子  桐山道夫…田中幸太朗  浅見雪江…佐久間良子野上刑事…柴俊夫  森村香菜…森脇英理子  木藤幸司…斉藤祥太  石川警部…千原せいじ  内田康夫石原武龍村上牧人矢口久雄テレパック　TBS")</f>
        <v>「木曽編・浅見家最大の悲劇」7年前に木曽の山奥で遭難して亡くなった妹の供養で木曽路に向かう光彦と雪江。そこで、同じく木曽に来ていたかつての妹の友達である美也子が何者かに殺害される。殺害現場には皇女和宮下向の道という古めかしい本と、美也子と祐子と男2人が楽しそうに写っている写真が残っていた。事件を追いかけていくうちに次第に膨らんでいく祐子の死の謎。事故死とされていた祐子は実は殺害されたのでは…。2人の男に会いに行くと、1人は場末のスナックで、1人はある漆器店の工房で職人として働いていた。そこで工房の倉庫にあった学生の頃の写真に驚愕する光彦。そこには光彦の兄・陽一郎の部下である桐山の姿があった。膨らむ疑念を抑えられない光彦。そこへ桐山がやって来た…。浅見光彦…沢村一樹  浅見陽一郎…風間杜夫  吉田須美子…原沙知絵  浅見和子…黒田知永子  桐山道夫…田中幸太朗  浅見雪江…佐久間良子野上刑事…柴俊夫  森村香菜…森脇英理子  木藤幸司…斉藤祥太  石川警部…千原せいじ  内田康夫石原武龍村上牧人矢口久雄テレパック　TBS</v>
      </c>
      <c r="N5862" s="2"/>
      <c r="O5862" s="2"/>
      <c r="P5862" s="1"/>
      <c r="Q5862" s="1"/>
      <c r="R5862" s="1"/>
      <c r="S5862" s="1"/>
      <c r="T5862" s="1"/>
      <c r="U5862" s="1"/>
      <c r="V5862" s="1"/>
      <c r="W5862" s="1"/>
      <c r="X5862" s="1"/>
      <c r="Y5862" s="1"/>
      <c r="Z5862" s="1"/>
      <c r="AA5862" s="1"/>
      <c r="AB5862" s="1"/>
      <c r="AC5862" s="1"/>
      <c r="AD5862" s="1"/>
      <c r="AE5862" s="1"/>
      <c r="AF5862" s="1"/>
      <c r="AG5862" s="1"/>
      <c r="AH5862" s="1"/>
      <c r="AI5862" s="1"/>
      <c r="AJ5862" s="1"/>
      <c r="AK5862" s="1"/>
      <c r="AL5862" s="1"/>
      <c r="AM5862" s="1"/>
      <c r="AN5862" s="1"/>
      <c r="AO5862" s="1"/>
      <c r="AP5862" s="1"/>
      <c r="AQ5862" s="1"/>
      <c r="AR5862" s="1"/>
      <c r="AS5862" s="1"/>
      <c r="AT5862" s="1"/>
      <c r="AU5862" s="1"/>
      <c r="AV5862" s="1"/>
      <c r="AW5862" s="1"/>
      <c r="AX5862" s="1"/>
      <c r="AY5862" s="1"/>
      <c r="AZ5862" s="1"/>
      <c r="BA5862" s="1"/>
      <c r="BB5862" s="1"/>
    </row>
    <row r="5863" ht="204.75" customHeight="1">
      <c r="A5863" s="1">
        <v>5000.0</v>
      </c>
      <c r="B5863" s="2" t="s">
        <v>15912</v>
      </c>
      <c r="C5863" s="2">
        <f>IFERROR(__xludf.DUMMYFUNCTION("split(B5863,""_"")"),910.0)</f>
        <v>910</v>
      </c>
      <c r="D5863" s="2" t="str">
        <f>IFERROR(__xludf.DUMMYFUNCTION("""COMPUTED_VALUE"""),"TBS")</f>
        <v>TBS</v>
      </c>
      <c r="E5863" s="2" t="str">
        <f>IFERROR(__xludf.DUMMYFUNCTION("""COMPUTED_VALUE"""),"水21")</f>
        <v>水21</v>
      </c>
      <c r="F5863" s="2" t="s">
        <v>15913</v>
      </c>
      <c r="G5863" s="2" t="s">
        <v>15916</v>
      </c>
      <c r="H5863" s="1">
        <v>7.0</v>
      </c>
      <c r="J5863" s="1" t="s">
        <v>11</v>
      </c>
      <c r="K5863" s="2" t="s">
        <v>15922</v>
      </c>
      <c r="L5863" s="2"/>
      <c r="M5863" s="2" t="str">
        <f>IFERROR(__xludf.DUMMYFUNCTION("split(split(K5863,""【"",false),""公式LINE"",false)"),"「裏切りの結末…悲劇完結!!」  浅見光彦…沢村一樹  浅見陽一郎…風間杜夫  吉田須美子…原沙知絵  浅見和子…黒田知永子  桐山道夫…田中幸太朗  浅見雪江…佐久間良子  藤波紹子…片瀬那奈  藤波憲夫…前田吟  井出啓介…山本學  宮坂伸司…中山仁内田康夫石原武龍　川嶋澄乃　友澤晃一佐々木章光矢口久雄テレパック　TBS")</f>
        <v>「裏切りの結末…悲劇完結!!」  浅見光彦…沢村一樹  浅見陽一郎…風間杜夫  吉田須美子…原沙知絵  浅見和子…黒田知永子  桐山道夫…田中幸太朗  浅見雪江…佐久間良子  藤波紹子…片瀬那奈  藤波憲夫…前田吟  井出啓介…山本學  宮坂伸司…中山仁内田康夫石原武龍　川嶋澄乃　友澤晃一佐々木章光矢口久雄テレパック　TBS</v>
      </c>
      <c r="N5863" s="2"/>
      <c r="O5863" s="2"/>
      <c r="P5863" s="1"/>
      <c r="Q5863" s="1"/>
      <c r="R5863" s="1"/>
      <c r="S5863" s="1"/>
      <c r="T5863" s="1"/>
      <c r="U5863" s="1"/>
      <c r="V5863" s="1"/>
      <c r="W5863" s="1"/>
      <c r="X5863" s="1"/>
      <c r="Y5863" s="1"/>
      <c r="Z5863" s="1"/>
      <c r="AA5863" s="1"/>
      <c r="AB5863" s="1"/>
      <c r="AC5863" s="1"/>
      <c r="AD5863" s="1"/>
      <c r="AE5863" s="1"/>
      <c r="AF5863" s="1"/>
      <c r="AG5863" s="1"/>
      <c r="AH5863" s="1"/>
      <c r="AI5863" s="1"/>
      <c r="AJ5863" s="1"/>
      <c r="AK5863" s="1"/>
      <c r="AL5863" s="1"/>
      <c r="AM5863" s="1"/>
      <c r="AN5863" s="1"/>
      <c r="AO5863" s="1"/>
      <c r="AP5863" s="1"/>
      <c r="AQ5863" s="1"/>
      <c r="AR5863" s="1"/>
      <c r="AS5863" s="1"/>
      <c r="AT5863" s="1"/>
      <c r="AU5863" s="1"/>
      <c r="AV5863" s="1"/>
      <c r="AW5863" s="1"/>
      <c r="AX5863" s="1"/>
      <c r="AY5863" s="1"/>
      <c r="AZ5863" s="1"/>
      <c r="BA5863" s="1"/>
      <c r="BB5863" s="1"/>
    </row>
    <row r="5864" ht="204.75" customHeight="1">
      <c r="A5864" s="1">
        <v>5001.0</v>
      </c>
      <c r="B5864" s="2" t="s">
        <v>15912</v>
      </c>
      <c r="C5864" s="2">
        <f>IFERROR(__xludf.DUMMYFUNCTION("split(B5864,""_"")"),910.0)</f>
        <v>910</v>
      </c>
      <c r="D5864" s="2" t="str">
        <f>IFERROR(__xludf.DUMMYFUNCTION("""COMPUTED_VALUE"""),"TBS")</f>
        <v>TBS</v>
      </c>
      <c r="E5864" s="2" t="str">
        <f>IFERROR(__xludf.DUMMYFUNCTION("""COMPUTED_VALUE"""),"水21")</f>
        <v>水21</v>
      </c>
      <c r="F5864" s="2" t="s">
        <v>15913</v>
      </c>
      <c r="G5864" s="2" t="s">
        <v>15916</v>
      </c>
      <c r="H5864" s="1">
        <v>8.0</v>
      </c>
      <c r="J5864" s="1" t="s">
        <v>11</v>
      </c>
      <c r="K5864" s="2" t="s">
        <v>15923</v>
      </c>
      <c r="L5864" s="2"/>
      <c r="M5864" s="2" t="str">
        <f>IFERROR(__xludf.DUMMYFUNCTION("split(split(K5864,""【"",false),""公式LINE"",false)"),"「蘇る赤い靴の伝説…横浜篇」  赤レンガ倉庫・波止場・桟橋・濡れた舗道・街灯等、異国情緒溢れるノスタルジックな横浜を描く。赤い靴を履いていた女の子はどこへ行ったのかー・ある日、横浜でケーブルTVのレポーター・山名めぐみが取材中に黒ずくめの男に襲われた。それに期を同じくして、めぐみの父の遺体が発見される。父は生前、勤めている会社の会長から青い目の人形を託されていた。赤い靴と青い目の人形ー。祖父・雄三、谷本会長など、人形に関わる多くの人々の思いが交錯したとき、52年前の一家惨殺事件が明るみになり、今回の事件の"&amp;"真相が明らかになる。光彦とめぐみは長い年月を経たそれぞれの人の思い・人生を知り、ただただ感慨に浸るのだった。浅見光彦…沢村一樹  浅見陽一郎…風間杜夫  吉田須美子…原沙知絵  浅見和子…黒田知永子  桐山道夫…田中幸太朗  浅見雪江…佐久間良子山名雄三…津川雅彦  谷本咲江枝…市毛良枝  山名めぐみ…前田愛  秀麗な紳士…東儀秀樹（特別出演）内田康夫友澤晃一藤尾隆矢口久雄テレパック　TBS")</f>
        <v>「蘇る赤い靴の伝説…横浜篇」  赤レンガ倉庫・波止場・桟橋・濡れた舗道・街灯等、異国情緒溢れるノスタルジックな横浜を描く。赤い靴を履いていた女の子はどこへ行ったのかー・ある日、横浜でケーブルTVのレポーター・山名めぐみが取材中に黒ずくめの男に襲われた。それに期を同じくして、めぐみの父の遺体が発見される。父は生前、勤めている会社の会長から青い目の人形を託されていた。赤い靴と青い目の人形ー。祖父・雄三、谷本会長など、人形に関わる多くの人々の思いが交錯したとき、52年前の一家惨殺事件が明るみになり、今回の事件の真相が明らかになる。光彦とめぐみは長い年月を経たそれぞれの人の思い・人生を知り、ただただ感慨に浸るのだった。浅見光彦…沢村一樹  浅見陽一郎…風間杜夫  吉田須美子…原沙知絵  浅見和子…黒田知永子  桐山道夫…田中幸太朗  浅見雪江…佐久間良子山名雄三…津川雅彦  谷本咲江枝…市毛良枝  山名めぐみ…前田愛  秀麗な紳士…東儀秀樹（特別出演）内田康夫友澤晃一藤尾隆矢口久雄テレパック　TBS</v>
      </c>
      <c r="N5864" s="2"/>
      <c r="O5864" s="2"/>
      <c r="P5864" s="1"/>
      <c r="Q5864" s="1"/>
      <c r="R5864" s="1"/>
      <c r="S5864" s="1"/>
      <c r="T5864" s="1"/>
      <c r="U5864" s="1"/>
      <c r="V5864" s="1"/>
      <c r="W5864" s="1"/>
      <c r="X5864" s="1"/>
      <c r="Y5864" s="1"/>
      <c r="Z5864" s="1"/>
      <c r="AA5864" s="1"/>
      <c r="AB5864" s="1"/>
      <c r="AC5864" s="1"/>
      <c r="AD5864" s="1"/>
      <c r="AE5864" s="1"/>
      <c r="AF5864" s="1"/>
      <c r="AG5864" s="1"/>
      <c r="AH5864" s="1"/>
      <c r="AI5864" s="1"/>
      <c r="AJ5864" s="1"/>
      <c r="AK5864" s="1"/>
      <c r="AL5864" s="1"/>
      <c r="AM5864" s="1"/>
      <c r="AN5864" s="1"/>
      <c r="AO5864" s="1"/>
      <c r="AP5864" s="1"/>
      <c r="AQ5864" s="1"/>
      <c r="AR5864" s="1"/>
      <c r="AS5864" s="1"/>
      <c r="AT5864" s="1"/>
      <c r="AU5864" s="1"/>
      <c r="AV5864" s="1"/>
      <c r="AW5864" s="1"/>
      <c r="AX5864" s="1"/>
      <c r="AY5864" s="1"/>
      <c r="AZ5864" s="1"/>
      <c r="BA5864" s="1"/>
      <c r="BB5864" s="1"/>
    </row>
    <row r="5865" ht="204.75" customHeight="1">
      <c r="A5865" s="1">
        <v>5002.0</v>
      </c>
      <c r="B5865" s="2" t="s">
        <v>15912</v>
      </c>
      <c r="C5865" s="2">
        <f>IFERROR(__xludf.DUMMYFUNCTION("split(B5865,""_"")"),910.0)</f>
        <v>910</v>
      </c>
      <c r="D5865" s="2" t="str">
        <f>IFERROR(__xludf.DUMMYFUNCTION("""COMPUTED_VALUE"""),"TBS")</f>
        <v>TBS</v>
      </c>
      <c r="E5865" s="2" t="str">
        <f>IFERROR(__xludf.DUMMYFUNCTION("""COMPUTED_VALUE"""),"水21")</f>
        <v>水21</v>
      </c>
      <c r="F5865" s="2" t="s">
        <v>15913</v>
      </c>
      <c r="G5865" s="2" t="s">
        <v>15916</v>
      </c>
      <c r="H5865" s="1">
        <v>9.0</v>
      </c>
      <c r="J5865" s="1" t="s">
        <v>11</v>
      </c>
      <c r="K5865" s="2" t="s">
        <v>15924</v>
      </c>
      <c r="L5865" s="2"/>
      <c r="M5865" s="2" t="str">
        <f>IFERROR(__xludf.DUMMYFUNCTION("split(split(K5865,""【"",false),""公式LINE"",false)"),"「さよなら光彦！最後の事件」光彦には軽井沢に2人の幼馴染がいた。野沢光子と宮田治夫である。夏になると毎年軽井沢の別荘地に遊びに行った浅見家とは家族ぐるみの付き合いで、現在は、光子は実家の牧場で、宮田はパン屋を経営している。久しぶりの再会を経て楽しい気分でいるころ、光子の父が殺害された。ギャラリーで高村光太郎の彫刻作品「蝉」を見て、「違う」という謎の一言を残していた光子の父であったが、そのズボンの裾にはパンくずが付着していた事から、治夫が容疑者に急浮上する。親友を疑うことと真実を追求することとの狭間で苦悩す"&amp;"る光彦、果たして事件の真相は何なのかー。3人の三角関係は？そして光子への光彦の恋心は成就するのかー。浅見光彦…沢村一樹  浅見陽一郎…風間杜夫  吉田須美子…原沙知絵  浅見和子…黒田知永子  桐山道夫…田中幸太朗  浅見雪江…佐久間良子野沢光子…星野真里  宮田治夫…吹越満  橋田亮介…山本龍二  山崎警部…天野ひろゆき内田康夫石原武龍村上牧人矢口久雄テレパック　TBS")</f>
        <v>「さよなら光彦！最後の事件」光彦には軽井沢に2人の幼馴染がいた。野沢光子と宮田治夫である。夏になると毎年軽井沢の別荘地に遊びに行った浅見家とは家族ぐるみの付き合いで、現在は、光子は実家の牧場で、宮田はパン屋を経営している。久しぶりの再会を経て楽しい気分でいるころ、光子の父が殺害された。ギャラリーで高村光太郎の彫刻作品「蝉」を見て、「違う」という謎の一言を残していた光子の父であったが、そのズボンの裾にはパンくずが付着していた事から、治夫が容疑者に急浮上する。親友を疑うことと真実を追求することとの狭間で苦悩する光彦、果たして事件の真相は何なのかー。3人の三角関係は？そして光子への光彦の恋心は成就するのかー。浅見光彦…沢村一樹  浅見陽一郎…風間杜夫  吉田須美子…原沙知絵  浅見和子…黒田知永子  桐山道夫…田中幸太朗  浅見雪江…佐久間良子野沢光子…星野真里  宮田治夫…吹越満  橋田亮介…山本龍二  山崎警部…天野ひろゆき内田康夫石原武龍村上牧人矢口久雄テレパック　TBS</v>
      </c>
      <c r="N5865" s="2"/>
      <c r="O5865" s="2"/>
      <c r="P5865" s="1"/>
      <c r="Q5865" s="1"/>
      <c r="R5865" s="1"/>
      <c r="S5865" s="1"/>
      <c r="T5865" s="1"/>
      <c r="U5865" s="1"/>
      <c r="V5865" s="1"/>
      <c r="W5865" s="1"/>
      <c r="X5865" s="1"/>
      <c r="Y5865" s="1"/>
      <c r="Z5865" s="1"/>
      <c r="AA5865" s="1"/>
      <c r="AB5865" s="1"/>
      <c r="AC5865" s="1"/>
      <c r="AD5865" s="1"/>
      <c r="AE5865" s="1"/>
      <c r="AF5865" s="1"/>
      <c r="AG5865" s="1"/>
      <c r="AH5865" s="1"/>
      <c r="AI5865" s="1"/>
      <c r="AJ5865" s="1"/>
      <c r="AK5865" s="1"/>
      <c r="AL5865" s="1"/>
      <c r="AM5865" s="1"/>
      <c r="AN5865" s="1"/>
      <c r="AO5865" s="1"/>
      <c r="AP5865" s="1"/>
      <c r="AQ5865" s="1"/>
      <c r="AR5865" s="1"/>
      <c r="AS5865" s="1"/>
      <c r="AT5865" s="1"/>
      <c r="AU5865" s="1"/>
      <c r="AV5865" s="1"/>
      <c r="AW5865" s="1"/>
      <c r="AX5865" s="1"/>
      <c r="AY5865" s="1"/>
      <c r="AZ5865" s="1"/>
      <c r="BA5865" s="1"/>
      <c r="BB5865" s="1"/>
    </row>
    <row r="5866" ht="204.75" customHeight="1">
      <c r="A5866" s="1">
        <v>5044.0</v>
      </c>
      <c r="B5866" s="2" t="s">
        <v>15925</v>
      </c>
      <c r="C5866" s="2">
        <f>IFERROR(__xludf.DUMMYFUNCTION("split(B5866,""_"")"),910.0)</f>
        <v>910</v>
      </c>
      <c r="D5866" s="2" t="str">
        <f>IFERROR(__xludf.DUMMYFUNCTION("""COMPUTED_VALUE"""),"TBS")</f>
        <v>TBS</v>
      </c>
      <c r="E5866" s="2" t="str">
        <f>IFERROR(__xludf.DUMMYFUNCTION("""COMPUTED_VALUE"""),"金22")</f>
        <v>金22</v>
      </c>
      <c r="F5866" s="2" t="s">
        <v>15926</v>
      </c>
      <c r="G5866" s="2" t="s">
        <v>15927</v>
      </c>
      <c r="H5866" s="1">
        <v>1.0</v>
      </c>
      <c r="J5866" s="1" t="s">
        <v>82</v>
      </c>
      <c r="K5866" s="2" t="s">
        <v>15928</v>
      </c>
      <c r="L5866" s="2"/>
      <c r="M5866" s="2" t="str">
        <f>IFERROR(__xludf.DUMMYFUNCTION("split(split(K5866,""【"",false),""公式LINE"",false)"),"「覚悟しなさい草食系男子！33歳独身女教師10歳年下と格差恋愛」秋山里美(観月ありさ)は33歳。名門私立の日本史教師。いわゆる歴女。そして誰もが認める才色兼備。性格は、妥協を許さない完璧主義。何でも一人でやってのけることから、“おひとりさま”の異名を持つ。ここしばらくは仕事が忙しく、彼氏を作る暇もない。そんな意味でも“おひとりさま”と言われている。  ある日、この女ばかりの園に、寿退社する教師の代わりとして神坂真一(小池徹平)がやって来る。彼は23歳で里美とは10歳違いの平成育ち。大学を卒業した後もアルバ"&amp;"イトを繰り返して、何の肩書きも持っていない。しかし、何故かこの学校に教師として派遣されることになり、真一自身も戸惑っていた。  後日、真一の歓迎会が行われ、日頃のストレスからか里美はついつい飲み過ぎてしまう。翌朝、里美が目を覚ますと、そこには真一の姿があり…!?    観月ありさ　小池徹平　松下奈緒　橘慶太　鈴木亜美　北川弘美　麻尋えりか　大谷澪 小林さり 石井美絵子 酒井若菜 デビット伊東　佐戸井けん太　真矢みき ")</f>
        <v>「覚悟しなさい草食系男子！33歳独身女教師10歳年下と格差恋愛」秋山里美(観月ありさ)は33歳。名門私立の日本史教師。いわゆる歴女。そして誰もが認める才色兼備。性格は、妥協を許さない完璧主義。何でも一人でやってのけることから、“おひとりさま”の異名を持つ。ここしばらくは仕事が忙しく、彼氏を作る暇もない。そんな意味でも“おひとりさま”と言われている。  ある日、この女ばかりの園に、寿退社する教師の代わりとして神坂真一(小池徹平)がやって来る。彼は23歳で里美とは10歳違いの平成育ち。大学を卒業した後もアルバイトを繰り返して、何の肩書きも持っていない。しかし、何故かこの学校に教師として派遣されることになり、真一自身も戸惑っていた。  後日、真一の歓迎会が行われ、日頃のストレスからか里美はついつい飲み過ぎてしまう。翌朝、里美が目を覚ますと、そこには真一の姿があり…!?    観月ありさ　小池徹平　松下奈緒　橘慶太　鈴木亜美　北川弘美　麻尋えりか　大谷澪 小林さり 石井美絵子 酒井若菜 デビット伊東　佐戸井けん太　真矢みき </v>
      </c>
      <c r="N5866" s="2"/>
      <c r="O5866" s="2"/>
      <c r="P5866" s="1"/>
      <c r="Q5866" s="1"/>
      <c r="R5866" s="1"/>
      <c r="S5866" s="1"/>
      <c r="T5866" s="1"/>
      <c r="U5866" s="1"/>
      <c r="V5866" s="1"/>
      <c r="W5866" s="1"/>
      <c r="X5866" s="1"/>
      <c r="Y5866" s="1"/>
      <c r="Z5866" s="1"/>
      <c r="AA5866" s="1"/>
      <c r="AB5866" s="1"/>
      <c r="AC5866" s="1"/>
      <c r="AD5866" s="1"/>
      <c r="AE5866" s="1"/>
      <c r="AF5866" s="1"/>
      <c r="AG5866" s="1"/>
      <c r="AH5866" s="1"/>
      <c r="AI5866" s="1"/>
      <c r="AJ5866" s="1"/>
      <c r="AK5866" s="1"/>
      <c r="AL5866" s="1"/>
      <c r="AM5866" s="1"/>
      <c r="AN5866" s="1"/>
      <c r="AO5866" s="1"/>
      <c r="AP5866" s="1"/>
      <c r="AQ5866" s="1"/>
      <c r="AR5866" s="1"/>
      <c r="AS5866" s="1"/>
      <c r="AT5866" s="1"/>
      <c r="AU5866" s="1"/>
      <c r="AV5866" s="1"/>
      <c r="AW5866" s="1"/>
      <c r="AX5866" s="1"/>
      <c r="AY5866" s="1"/>
      <c r="AZ5866" s="1"/>
      <c r="BA5866" s="1"/>
      <c r="BB5866" s="1"/>
    </row>
    <row r="5867" ht="204.75" customHeight="1">
      <c r="A5867" s="1">
        <v>5045.0</v>
      </c>
      <c r="B5867" s="2" t="s">
        <v>15925</v>
      </c>
      <c r="C5867" s="2">
        <f>IFERROR(__xludf.DUMMYFUNCTION("split(B5867,""_"")"),910.0)</f>
        <v>910</v>
      </c>
      <c r="D5867" s="2" t="str">
        <f>IFERROR(__xludf.DUMMYFUNCTION("""COMPUTED_VALUE"""),"TBS")</f>
        <v>TBS</v>
      </c>
      <c r="E5867" s="2" t="str">
        <f>IFERROR(__xludf.DUMMYFUNCTION("""COMPUTED_VALUE"""),"金22")</f>
        <v>金22</v>
      </c>
      <c r="F5867" s="2" t="s">
        <v>15926</v>
      </c>
      <c r="G5867" s="2" t="s">
        <v>15927</v>
      </c>
      <c r="H5867" s="1">
        <v>2.0</v>
      </c>
      <c r="J5867" s="1" t="s">
        <v>86</v>
      </c>
      <c r="K5867" s="2" t="s">
        <v>15929</v>
      </c>
      <c r="L5867" s="2"/>
      <c r="M5867" s="2" t="str">
        <f>IFERROR(__xludf.DUMMYFUNCTION("split(split(K5867,""【"",false),""公式LINE"",false)"),"「私だって守られたい不安な夜だってある」ある日、聖華女子学院高等学校で事件が起きる。ストーカーと思われる何者かが生徒の登下校時の様子を隠し撮りしていたのだ。何とかして犯人を捕まえようと、通学路の見回りをする里美と真一。  するとそこへ望遠レンズ付きのカメラを手にした怪しい男の姿が…。  「狙われているのは生徒だけとは限らない」という君香の言葉に不安になる里美。追い討ちをかけるように同じマンションの住人から怪しい男が里美のことを調べていたと教えられる。さらには無言の留守番電話が…。果たして怪しい男の姿とはい"&amp;"ったい!?  観月ありさ　小池徹平　松下奈緒　橘慶太　鈴木亜美　北川弘美　麻尋えりか　大谷澪 小林さり 石井美絵子 酒井若菜 デビット伊東　佐戸井けん太　真矢みき ")</f>
        <v>「私だって守られたい不安な夜だってある」ある日、聖華女子学院高等学校で事件が起きる。ストーカーと思われる何者かが生徒の登下校時の様子を隠し撮りしていたのだ。何とかして犯人を捕まえようと、通学路の見回りをする里美と真一。  するとそこへ望遠レンズ付きのカメラを手にした怪しい男の姿が…。  「狙われているのは生徒だけとは限らない」という君香の言葉に不安になる里美。追い討ちをかけるように同じマンションの住人から怪しい男が里美のことを調べていたと教えられる。さらには無言の留守番電話が…。果たして怪しい男の姿とはいったい!?  観月ありさ　小池徹平　松下奈緒　橘慶太　鈴木亜美　北川弘美　麻尋えりか　大谷澪 小林さり 石井美絵子 酒井若菜 デビット伊東　佐戸井けん太　真矢みき </v>
      </c>
      <c r="N5867" s="2"/>
      <c r="O5867" s="2"/>
      <c r="P5867" s="1"/>
      <c r="Q5867" s="1"/>
      <c r="R5867" s="1"/>
      <c r="S5867" s="1"/>
      <c r="T5867" s="1"/>
      <c r="U5867" s="1"/>
      <c r="V5867" s="1"/>
      <c r="W5867" s="1"/>
      <c r="X5867" s="1"/>
      <c r="Y5867" s="1"/>
      <c r="Z5867" s="1"/>
      <c r="AA5867" s="1"/>
      <c r="AB5867" s="1"/>
      <c r="AC5867" s="1"/>
      <c r="AD5867" s="1"/>
      <c r="AE5867" s="1"/>
      <c r="AF5867" s="1"/>
      <c r="AG5867" s="1"/>
      <c r="AH5867" s="1"/>
      <c r="AI5867" s="1"/>
      <c r="AJ5867" s="1"/>
      <c r="AK5867" s="1"/>
      <c r="AL5867" s="1"/>
      <c r="AM5867" s="1"/>
      <c r="AN5867" s="1"/>
      <c r="AO5867" s="1"/>
      <c r="AP5867" s="1"/>
      <c r="AQ5867" s="1"/>
      <c r="AR5867" s="1"/>
      <c r="AS5867" s="1"/>
      <c r="AT5867" s="1"/>
      <c r="AU5867" s="1"/>
      <c r="AV5867" s="1"/>
      <c r="AW5867" s="1"/>
      <c r="AX5867" s="1"/>
      <c r="AY5867" s="1"/>
      <c r="AZ5867" s="1"/>
      <c r="BA5867" s="1"/>
      <c r="BB5867" s="1"/>
    </row>
    <row r="5868" ht="204.75" customHeight="1">
      <c r="A5868" s="1">
        <v>5046.0</v>
      </c>
      <c r="B5868" s="2" t="s">
        <v>15925</v>
      </c>
      <c r="C5868" s="2">
        <f>IFERROR(__xludf.DUMMYFUNCTION("split(B5868,""_"")"),910.0)</f>
        <v>910</v>
      </c>
      <c r="D5868" s="2" t="str">
        <f>IFERROR(__xludf.DUMMYFUNCTION("""COMPUTED_VALUE"""),"TBS")</f>
        <v>TBS</v>
      </c>
      <c r="E5868" s="2" t="str">
        <f>IFERROR(__xludf.DUMMYFUNCTION("""COMPUTED_VALUE"""),"金22")</f>
        <v>金22</v>
      </c>
      <c r="F5868" s="2" t="s">
        <v>15926</v>
      </c>
      <c r="G5868" s="2" t="s">
        <v>15927</v>
      </c>
      <c r="H5868" s="1">
        <v>3.0</v>
      </c>
      <c r="J5868" s="1" t="s">
        <v>86</v>
      </c>
      <c r="K5868" s="2" t="s">
        <v>15930</v>
      </c>
      <c r="L5868" s="2"/>
      <c r="M5868" s="2" t="str">
        <f>IFERROR(__xludf.DUMMYFUNCTION("split(split(K5868,""【"",false),""公式LINE"",false)"),"「一人じゃないんだ！私の部屋に男がいる」悠々自適な""おひとりさま""生活を送っていた里美だが、ひょんなことから真一と同居することに。里美とは違って、料理が得意な真一は自分で作った一人分の手料理を美味しそうに食べる。それを横目に、出前の寿司を食べる里美。いつもとは違う生活にどこかぎこちない様子の里美であった。そんなある日、学校で問題が起きる。男女平等の時代に、なんで女が料理を学ばなくてはいけないのかと、生徒の宮本絵梨が家庭科の授業をボイコットしたのだ。  それを何とかしようとする里美は、自ら料理を披露すれ"&amp;"ば料理に興味を持つのではないかと考え、生徒たちの前でオリジナル料理を披露することになるのだが…。観月ありさ　小池徹平　松下奈緒　橘慶太　鈴木亜美　北川弘美　麻尋えりか　大谷澪 小林さり 石井美絵子 酒井若菜 デビット伊東　佐戸井けん太　真矢みき ")</f>
        <v>「一人じゃないんだ！私の部屋に男がいる」悠々自適な"おひとりさま"生活を送っていた里美だが、ひょんなことから真一と同居することに。里美とは違って、料理が得意な真一は自分で作った一人分の手料理を美味しそうに食べる。それを横目に、出前の寿司を食べる里美。いつもとは違う生活にどこかぎこちない様子の里美であった。そんなある日、学校で問題が起きる。男女平等の時代に、なんで女が料理を学ばなくてはいけないのかと、生徒の宮本絵梨が家庭科の授業をボイコットしたのだ。  それを何とかしようとする里美は、自ら料理を披露すれば料理に興味を持つのではないかと考え、生徒たちの前でオリジナル料理を披露することになるのだが…。観月ありさ　小池徹平　松下奈緒　橘慶太　鈴木亜美　北川弘美　麻尋えりか　大谷澪 小林さり 石井美絵子 酒井若菜 デビット伊東　佐戸井けん太　真矢みき </v>
      </c>
      <c r="N5868" s="2"/>
      <c r="O5868" s="2"/>
      <c r="P5868" s="1"/>
      <c r="Q5868" s="1"/>
      <c r="R5868" s="1"/>
      <c r="S5868" s="1"/>
      <c r="T5868" s="1"/>
      <c r="U5868" s="1"/>
      <c r="V5868" s="1"/>
      <c r="W5868" s="1"/>
      <c r="X5868" s="1"/>
      <c r="Y5868" s="1"/>
      <c r="Z5868" s="1"/>
      <c r="AA5868" s="1"/>
      <c r="AB5868" s="1"/>
      <c r="AC5868" s="1"/>
      <c r="AD5868" s="1"/>
      <c r="AE5868" s="1"/>
      <c r="AF5868" s="1"/>
      <c r="AG5868" s="1"/>
      <c r="AH5868" s="1"/>
      <c r="AI5868" s="1"/>
      <c r="AJ5868" s="1"/>
      <c r="AK5868" s="1"/>
      <c r="AL5868" s="1"/>
      <c r="AM5868" s="1"/>
      <c r="AN5868" s="1"/>
      <c r="AO5868" s="1"/>
      <c r="AP5868" s="1"/>
      <c r="AQ5868" s="1"/>
      <c r="AR5868" s="1"/>
      <c r="AS5868" s="1"/>
      <c r="AT5868" s="1"/>
      <c r="AU5868" s="1"/>
      <c r="AV5868" s="1"/>
      <c r="AW5868" s="1"/>
      <c r="AX5868" s="1"/>
      <c r="AY5868" s="1"/>
      <c r="AZ5868" s="1"/>
      <c r="BA5868" s="1"/>
      <c r="BB5868" s="1"/>
    </row>
    <row r="5869" ht="204.75" customHeight="1">
      <c r="A5869" s="1">
        <v>5047.0</v>
      </c>
      <c r="B5869" s="2" t="s">
        <v>15925</v>
      </c>
      <c r="C5869" s="2">
        <f>IFERROR(__xludf.DUMMYFUNCTION("split(B5869,""_"")"),910.0)</f>
        <v>910</v>
      </c>
      <c r="D5869" s="2" t="str">
        <f>IFERROR(__xludf.DUMMYFUNCTION("""COMPUTED_VALUE"""),"TBS")</f>
        <v>TBS</v>
      </c>
      <c r="E5869" s="2" t="str">
        <f>IFERROR(__xludf.DUMMYFUNCTION("""COMPUTED_VALUE"""),"金22")</f>
        <v>金22</v>
      </c>
      <c r="F5869" s="2" t="s">
        <v>15926</v>
      </c>
      <c r="G5869" s="2" t="s">
        <v>15927</v>
      </c>
      <c r="H5869" s="1">
        <v>4.0</v>
      </c>
      <c r="J5869" s="1" t="s">
        <v>86</v>
      </c>
      <c r="K5869" s="2" t="s">
        <v>15931</v>
      </c>
      <c r="L5869" s="2"/>
      <c r="M5869" s="2" t="str">
        <f>IFERROR(__xludf.DUMMYFUNCTION("split(split(K5869,""【"",false),""公式LINE"",false)"),"「あなたはこんな事で逃げ出す人じゃない」何かと無駄遣いが多い里美(観月ありさ)は真一(小池徹平)にたしなめられる。しかし、そんな里美は職員会議では真一から教わった節約術を得意気に語り、真一を呆れさせる。そんなある日、募金活動の集計係を任された君香(松下奈緒)が生徒から集めた寄付金が紛失したことに気づく。君香は学校に事実を報告し、募金を弁償しようとするが、淑恵(真矢みき)は学校内で盗難が起こった可能性もあるとして、里美に調査を指示する。観月ありさ　小池徹平　松下奈緒　橘慶太　鈴木亜美　北川弘美　麻尋えりか　"&amp;"大谷澪 小林さり 石井美絵子 酒井若菜 デビット伊東　佐戸井けん太　真矢みき ")</f>
        <v>「あなたはこんな事で逃げ出す人じゃない」何かと無駄遣いが多い里美(観月ありさ)は真一(小池徹平)にたしなめられる。しかし、そんな里美は職員会議では真一から教わった節約術を得意気に語り、真一を呆れさせる。そんなある日、募金活動の集計係を任された君香(松下奈緒)が生徒から集めた寄付金が紛失したことに気づく。君香は学校に事実を報告し、募金を弁償しようとするが、淑恵(真矢みき)は学校内で盗難が起こった可能性もあるとして、里美に調査を指示する。観月ありさ　小池徹平　松下奈緒　橘慶太　鈴木亜美　北川弘美　麻尋えりか　大谷澪 小林さり 石井美絵子 酒井若菜 デビット伊東　佐戸井けん太　真矢みき </v>
      </c>
      <c r="N5869" s="2"/>
      <c r="O5869" s="2"/>
      <c r="P5869" s="1"/>
      <c r="Q5869" s="1"/>
      <c r="R5869" s="1"/>
      <c r="S5869" s="1"/>
      <c r="T5869" s="1"/>
      <c r="U5869" s="1"/>
      <c r="V5869" s="1"/>
      <c r="W5869" s="1"/>
      <c r="X5869" s="1"/>
      <c r="Y5869" s="1"/>
      <c r="Z5869" s="1"/>
      <c r="AA5869" s="1"/>
      <c r="AB5869" s="1"/>
      <c r="AC5869" s="1"/>
      <c r="AD5869" s="1"/>
      <c r="AE5869" s="1"/>
      <c r="AF5869" s="1"/>
      <c r="AG5869" s="1"/>
      <c r="AH5869" s="1"/>
      <c r="AI5869" s="1"/>
      <c r="AJ5869" s="1"/>
      <c r="AK5869" s="1"/>
      <c r="AL5869" s="1"/>
      <c r="AM5869" s="1"/>
      <c r="AN5869" s="1"/>
      <c r="AO5869" s="1"/>
      <c r="AP5869" s="1"/>
      <c r="AQ5869" s="1"/>
      <c r="AR5869" s="1"/>
      <c r="AS5869" s="1"/>
      <c r="AT5869" s="1"/>
      <c r="AU5869" s="1"/>
      <c r="AV5869" s="1"/>
      <c r="AW5869" s="1"/>
      <c r="AX5869" s="1"/>
      <c r="AY5869" s="1"/>
      <c r="AZ5869" s="1"/>
      <c r="BA5869" s="1"/>
      <c r="BB5869" s="1"/>
    </row>
    <row r="5870" ht="204.75" customHeight="1">
      <c r="A5870" s="1">
        <v>5048.0</v>
      </c>
      <c r="B5870" s="2" t="s">
        <v>15925</v>
      </c>
      <c r="C5870" s="2">
        <f>IFERROR(__xludf.DUMMYFUNCTION("split(B5870,""_"")"),910.0)</f>
        <v>910</v>
      </c>
      <c r="D5870" s="2" t="str">
        <f>IFERROR(__xludf.DUMMYFUNCTION("""COMPUTED_VALUE"""),"TBS")</f>
        <v>TBS</v>
      </c>
      <c r="E5870" s="2" t="str">
        <f>IFERROR(__xludf.DUMMYFUNCTION("""COMPUTED_VALUE"""),"金22")</f>
        <v>金22</v>
      </c>
      <c r="F5870" s="2" t="s">
        <v>15926</v>
      </c>
      <c r="G5870" s="2" t="s">
        <v>15927</v>
      </c>
      <c r="H5870" s="1">
        <v>5.0</v>
      </c>
      <c r="J5870" s="1" t="s">
        <v>86</v>
      </c>
      <c r="K5870" s="2" t="s">
        <v>15932</v>
      </c>
      <c r="L5870" s="2"/>
      <c r="M5870" s="2" t="str">
        <f>IFERROR(__xludf.DUMMYFUNCTION("split(split(K5870,""【"",false),""公式LINE"",false)"),"「緊急お見合い！ダブルデート！プロポーズ」ある日、校長の淑恵(真矢みき)と教頭の井上(佐戸井けん太)が里美(観月ありさ)に見合い話しを持ってくる。学校の後援会の副会長からの頼みということもあり、戸惑う里美であったが、副会長の機嫌を損ねると来年度の寄付金にも影響があるのでは？と心配する井上の強い後押しもあり、里美は仕方なく見合いを引き受ける。その頃、真一(小池徹平)に興味を抱く君香(松下奈緒)は、一緒にカメラを買いに行って欲しいと半ば強引に真一とのデートの約束を取り付けて…。観月ありさ　小池徹平　松下奈緒　"&amp;"橘慶太　鈴木亜美　北川弘美　麻尋えりか　大谷澪 小林さり 石井美絵子 酒井若菜 デビット伊東　佐戸井けん太　真矢みき ")</f>
        <v>「緊急お見合い！ダブルデート！プロポーズ」ある日、校長の淑恵(真矢みき)と教頭の井上(佐戸井けん太)が里美(観月ありさ)に見合い話しを持ってくる。学校の後援会の副会長からの頼みということもあり、戸惑う里美であったが、副会長の機嫌を損ねると来年度の寄付金にも影響があるのでは？と心配する井上の強い後押しもあり、里美は仕方なく見合いを引き受ける。その頃、真一(小池徹平)に興味を抱く君香(松下奈緒)は、一緒にカメラを買いに行って欲しいと半ば強引に真一とのデートの約束を取り付けて…。観月ありさ　小池徹平　松下奈緒　橘慶太　鈴木亜美　北川弘美　麻尋えりか　大谷澪 小林さり 石井美絵子 酒井若菜 デビット伊東　佐戸井けん太　真矢みき </v>
      </c>
      <c r="N5870" s="2"/>
      <c r="O5870" s="2"/>
      <c r="P5870" s="1"/>
      <c r="Q5870" s="1"/>
      <c r="R5870" s="1"/>
      <c r="S5870" s="1"/>
      <c r="T5870" s="1"/>
      <c r="U5870" s="1"/>
      <c r="V5870" s="1"/>
      <c r="W5870" s="1"/>
      <c r="X5870" s="1"/>
      <c r="Y5870" s="1"/>
      <c r="Z5870" s="1"/>
      <c r="AA5870" s="1"/>
      <c r="AB5870" s="1"/>
      <c r="AC5870" s="1"/>
      <c r="AD5870" s="1"/>
      <c r="AE5870" s="1"/>
      <c r="AF5870" s="1"/>
      <c r="AG5870" s="1"/>
      <c r="AH5870" s="1"/>
      <c r="AI5870" s="1"/>
      <c r="AJ5870" s="1"/>
      <c r="AK5870" s="1"/>
      <c r="AL5870" s="1"/>
      <c r="AM5870" s="1"/>
      <c r="AN5870" s="1"/>
      <c r="AO5870" s="1"/>
      <c r="AP5870" s="1"/>
      <c r="AQ5870" s="1"/>
      <c r="AR5870" s="1"/>
      <c r="AS5870" s="1"/>
      <c r="AT5870" s="1"/>
      <c r="AU5870" s="1"/>
      <c r="AV5870" s="1"/>
      <c r="AW5870" s="1"/>
      <c r="AX5870" s="1"/>
      <c r="AY5870" s="1"/>
      <c r="AZ5870" s="1"/>
      <c r="BA5870" s="1"/>
      <c r="BB5870" s="1"/>
    </row>
    <row r="5871" ht="204.75" customHeight="1">
      <c r="A5871" s="1">
        <v>5049.0</v>
      </c>
      <c r="B5871" s="2" t="s">
        <v>15925</v>
      </c>
      <c r="C5871" s="2">
        <f>IFERROR(__xludf.DUMMYFUNCTION("split(B5871,""_"")"),910.0)</f>
        <v>910</v>
      </c>
      <c r="D5871" s="2" t="str">
        <f>IFERROR(__xludf.DUMMYFUNCTION("""COMPUTED_VALUE"""),"TBS")</f>
        <v>TBS</v>
      </c>
      <c r="E5871" s="2" t="str">
        <f>IFERROR(__xludf.DUMMYFUNCTION("""COMPUTED_VALUE"""),"金22")</f>
        <v>金22</v>
      </c>
      <c r="F5871" s="2" t="s">
        <v>15926</v>
      </c>
      <c r="G5871" s="2" t="s">
        <v>15927</v>
      </c>
      <c r="H5871" s="1">
        <v>6.0</v>
      </c>
      <c r="J5871" s="1" t="s">
        <v>86</v>
      </c>
      <c r="K5871" s="2" t="s">
        <v>15933</v>
      </c>
      <c r="L5871" s="2"/>
      <c r="M5871" s="2" t="str">
        <f>IFERROR(__xludf.DUMMYFUNCTION("split(split(K5871,""【"",false),""公式LINE"",false)"),"「わたし、好きな人ができたみたいなの！」以前お見合いをした二階堂(中村俊介)から言われたある言葉がきっかけで、真一(小池徹平)のことが気になり出した里美(観月ありさ)。そんな中、期末テストを間近に控え、里美は真一にテストの作成を命じるが、真一から勉強をすることの意味を問われ戸惑う。  一方、教頭の井上(佐戸井けん太)らは優等生の圭子(草刈麻有)を東京大学に合格させるため、受験に必要のない科目の授業を免除するなどのプロジェクトを立ち上げる。その時、真一が君香(松下奈緒)をデートに誘ったという噂が…。それを聞"&amp;"いた里美は心が落ち着かず保健室へ。するとそこには疲れた様子の圭子の姿があった。観月ありさ　小池徹平　松下奈緒　橘慶太　鈴木亜美　北川弘美　麻尋えりか　大谷澪 小林さり 石井美絵子 酒井若菜 デビット伊東　佐戸井けん太　真矢みき ")</f>
        <v>「わたし、好きな人ができたみたいなの！」以前お見合いをした二階堂(中村俊介)から言われたある言葉がきっかけで、真一(小池徹平)のことが気になり出した里美(観月ありさ)。そんな中、期末テストを間近に控え、里美は真一にテストの作成を命じるが、真一から勉強をすることの意味を問われ戸惑う。  一方、教頭の井上(佐戸井けん太)らは優等生の圭子(草刈麻有)を東京大学に合格させるため、受験に必要のない科目の授業を免除するなどのプロジェクトを立ち上げる。その時、真一が君香(松下奈緒)をデートに誘ったという噂が…。それを聞いた里美は心が落ち着かず保健室へ。するとそこには疲れた様子の圭子の姿があった。観月ありさ　小池徹平　松下奈緒　橘慶太　鈴木亜美　北川弘美　麻尋えりか　大谷澪 小林さり 石井美絵子 酒井若菜 デビット伊東　佐戸井けん太　真矢みき </v>
      </c>
      <c r="N5871" s="2"/>
      <c r="O5871" s="2"/>
      <c r="P5871" s="1"/>
      <c r="Q5871" s="1"/>
      <c r="R5871" s="1"/>
      <c r="S5871" s="1"/>
      <c r="T5871" s="1"/>
      <c r="U5871" s="1"/>
      <c r="V5871" s="1"/>
      <c r="W5871" s="1"/>
      <c r="X5871" s="1"/>
      <c r="Y5871" s="1"/>
      <c r="Z5871" s="1"/>
      <c r="AA5871" s="1"/>
      <c r="AB5871" s="1"/>
      <c r="AC5871" s="1"/>
      <c r="AD5871" s="1"/>
      <c r="AE5871" s="1"/>
      <c r="AF5871" s="1"/>
      <c r="AG5871" s="1"/>
      <c r="AH5871" s="1"/>
      <c r="AI5871" s="1"/>
      <c r="AJ5871" s="1"/>
      <c r="AK5871" s="1"/>
      <c r="AL5871" s="1"/>
      <c r="AM5871" s="1"/>
      <c r="AN5871" s="1"/>
      <c r="AO5871" s="1"/>
      <c r="AP5871" s="1"/>
      <c r="AQ5871" s="1"/>
      <c r="AR5871" s="1"/>
      <c r="AS5871" s="1"/>
      <c r="AT5871" s="1"/>
      <c r="AU5871" s="1"/>
      <c r="AV5871" s="1"/>
      <c r="AW5871" s="1"/>
      <c r="AX5871" s="1"/>
      <c r="AY5871" s="1"/>
      <c r="AZ5871" s="1"/>
      <c r="BA5871" s="1"/>
      <c r="BB5871" s="1"/>
    </row>
    <row r="5872" ht="204.75" customHeight="1">
      <c r="A5872" s="1">
        <v>5050.0</v>
      </c>
      <c r="B5872" s="2" t="s">
        <v>15925</v>
      </c>
      <c r="C5872" s="2">
        <f>IFERROR(__xludf.DUMMYFUNCTION("split(B5872,""_"")"),910.0)</f>
        <v>910</v>
      </c>
      <c r="D5872" s="2" t="str">
        <f>IFERROR(__xludf.DUMMYFUNCTION("""COMPUTED_VALUE"""),"TBS")</f>
        <v>TBS</v>
      </c>
      <c r="E5872" s="2" t="str">
        <f>IFERROR(__xludf.DUMMYFUNCTION("""COMPUTED_VALUE"""),"金22")</f>
        <v>金22</v>
      </c>
      <c r="F5872" s="2" t="s">
        <v>15926</v>
      </c>
      <c r="G5872" s="2" t="s">
        <v>15927</v>
      </c>
      <c r="H5872" s="1">
        <v>7.0</v>
      </c>
      <c r="J5872" s="1" t="s">
        <v>86</v>
      </c>
      <c r="K5872" s="2" t="s">
        <v>15934</v>
      </c>
      <c r="L5872" s="2"/>
      <c r="M5872" s="2" t="str">
        <f>IFERROR(__xludf.DUMMYFUNCTION("split(split(K5872,""【"",false),""公式LINE"",false)"),"「泣いて！抱きしめて！そして突然の告白！」  三者面談を実施することになったものの、みなみ(大谷澪)の両親の夫婦ゲンカ問題で日程が決まらず、里美(観月ありさ)は頭を悩ませる。そんな中、里美(観月ありさ)の母・文代(高林由紀子)が突然、上京してくる。里美が慌てて帰ると、すでに文代は真一(小池徹平)と家に。正直に事情を話したところ、住む家もない真一を追い出すのも可哀想だと、同居人として暮らすことを許す。観月ありさ　小池徹平　松下奈緒　橘慶太　鈴木亜美　北川弘美　麻尋えりか　大谷澪 小林さり 石井美絵子 酒井若"&amp;"菜 デビット伊東　佐戸井けん太　真矢みき ")</f>
        <v>「泣いて！抱きしめて！そして突然の告白！」  三者面談を実施することになったものの、みなみ(大谷澪)の両親の夫婦ゲンカ問題で日程が決まらず、里美(観月ありさ)は頭を悩ませる。そんな中、里美(観月ありさ)の母・文代(高林由紀子)が突然、上京してくる。里美が慌てて帰ると、すでに文代は真一(小池徹平)と家に。正直に事情を話したところ、住む家もない真一を追い出すのも可哀想だと、同居人として暮らすことを許す。観月ありさ　小池徹平　松下奈緒　橘慶太　鈴木亜美　北川弘美　麻尋えりか　大谷澪 小林さり 石井美絵子 酒井若菜 デビット伊東　佐戸井けん太　真矢みき </v>
      </c>
      <c r="N5872" s="2"/>
      <c r="O5872" s="2"/>
      <c r="P5872" s="1"/>
      <c r="Q5872" s="1"/>
      <c r="R5872" s="1"/>
      <c r="S5872" s="1"/>
      <c r="T5872" s="1"/>
      <c r="U5872" s="1"/>
      <c r="V5872" s="1"/>
      <c r="W5872" s="1"/>
      <c r="X5872" s="1"/>
      <c r="Y5872" s="1"/>
      <c r="Z5872" s="1"/>
      <c r="AA5872" s="1"/>
      <c r="AB5872" s="1"/>
      <c r="AC5872" s="1"/>
      <c r="AD5872" s="1"/>
      <c r="AE5872" s="1"/>
      <c r="AF5872" s="1"/>
      <c r="AG5872" s="1"/>
      <c r="AH5872" s="1"/>
      <c r="AI5872" s="1"/>
      <c r="AJ5872" s="1"/>
      <c r="AK5872" s="1"/>
      <c r="AL5872" s="1"/>
      <c r="AM5872" s="1"/>
      <c r="AN5872" s="1"/>
      <c r="AO5872" s="1"/>
      <c r="AP5872" s="1"/>
      <c r="AQ5872" s="1"/>
      <c r="AR5872" s="1"/>
      <c r="AS5872" s="1"/>
      <c r="AT5872" s="1"/>
      <c r="AU5872" s="1"/>
      <c r="AV5872" s="1"/>
      <c r="AW5872" s="1"/>
      <c r="AX5872" s="1"/>
      <c r="AY5872" s="1"/>
      <c r="AZ5872" s="1"/>
      <c r="BA5872" s="1"/>
      <c r="BB5872" s="1"/>
    </row>
    <row r="5873" ht="204.75" customHeight="1">
      <c r="A5873" s="1">
        <v>5051.0</v>
      </c>
      <c r="B5873" s="2" t="s">
        <v>15925</v>
      </c>
      <c r="C5873" s="2">
        <f>IFERROR(__xludf.DUMMYFUNCTION("split(B5873,""_"")"),910.0)</f>
        <v>910</v>
      </c>
      <c r="D5873" s="2" t="str">
        <f>IFERROR(__xludf.DUMMYFUNCTION("""COMPUTED_VALUE"""),"TBS")</f>
        <v>TBS</v>
      </c>
      <c r="E5873" s="2" t="str">
        <f>IFERROR(__xludf.DUMMYFUNCTION("""COMPUTED_VALUE"""),"金22")</f>
        <v>金22</v>
      </c>
      <c r="F5873" s="2" t="s">
        <v>15926</v>
      </c>
      <c r="G5873" s="2" t="s">
        <v>15927</v>
      </c>
      <c r="H5873" s="1">
        <v>8.0</v>
      </c>
      <c r="J5873" s="1" t="s">
        <v>86</v>
      </c>
      <c r="K5873" s="2" t="s">
        <v>15935</v>
      </c>
      <c r="L5873" s="2"/>
      <c r="M5873" s="2" t="str">
        <f>IFERROR(__xludf.DUMMYFUNCTION("split(split(K5873,""【"",false),""公式LINE"",false)"),"「ついにバレちゃった？そして突然のキス！」真一(小池徹平)からの突然の告白に里美(観月ありさ)は戸惑っていた。自分の気持ちを真剣に話そうとする真一に対し、里美は強がってしまいついごまかしてしまう。そしてお互いを意識するあまり、ふたりはギクシャクする。そんな中、真一は君香(松下奈緒)の積極的な誘いから、デートに出掛けることに。そこで君香は、車のキーを無くしたふりをして半ば強引に家の別荘へ連れて行く。一方、里美も連絡もなく帰ってこない真一に苛立ちを隠せないでいた。そして、翌朝帰ってきた真一に心にもない言葉をぶ"&amp;"つけてしまったことで真一は里美の部屋を出て行ってしまうことに…。観月ありさ　小池徹平　松下奈緒　橘慶太　鈴木亜美　北川弘美　麻尋えりか　大谷澪 小林さり 石井美絵子 酒井若菜 デビット伊東　佐戸井けん太　真矢みき ")</f>
        <v>「ついにバレちゃった？そして突然のキス！」真一(小池徹平)からの突然の告白に里美(観月ありさ)は戸惑っていた。自分の気持ちを真剣に話そうとする真一に対し、里美は強がってしまいついごまかしてしまう。そしてお互いを意識するあまり、ふたりはギクシャクする。そんな中、真一は君香(松下奈緒)の積極的な誘いから、デートに出掛けることに。そこで君香は、車のキーを無くしたふりをして半ば強引に家の別荘へ連れて行く。一方、里美も連絡もなく帰ってこない真一に苛立ちを隠せないでいた。そして、翌朝帰ってきた真一に心にもない言葉をぶつけてしまったことで真一は里美の部屋を出て行ってしまうことに…。観月ありさ　小池徹平　松下奈緒　橘慶太　鈴木亜美　北川弘美　麻尋えりか　大谷澪 小林さり 石井美絵子 酒井若菜 デビット伊東　佐戸井けん太　真矢みき </v>
      </c>
      <c r="N5873" s="2"/>
      <c r="O5873" s="2"/>
      <c r="P5873" s="1"/>
      <c r="Q5873" s="1"/>
      <c r="R5873" s="1"/>
      <c r="S5873" s="1"/>
      <c r="T5873" s="1"/>
      <c r="U5873" s="1"/>
      <c r="V5873" s="1"/>
      <c r="W5873" s="1"/>
      <c r="X5873" s="1"/>
      <c r="Y5873" s="1"/>
      <c r="Z5873" s="1"/>
      <c r="AA5873" s="1"/>
      <c r="AB5873" s="1"/>
      <c r="AC5873" s="1"/>
      <c r="AD5873" s="1"/>
      <c r="AE5873" s="1"/>
      <c r="AF5873" s="1"/>
      <c r="AG5873" s="1"/>
      <c r="AH5873" s="1"/>
      <c r="AI5873" s="1"/>
      <c r="AJ5873" s="1"/>
      <c r="AK5873" s="1"/>
      <c r="AL5873" s="1"/>
      <c r="AM5873" s="1"/>
      <c r="AN5873" s="1"/>
      <c r="AO5873" s="1"/>
      <c r="AP5873" s="1"/>
      <c r="AQ5873" s="1"/>
      <c r="AR5873" s="1"/>
      <c r="AS5873" s="1"/>
      <c r="AT5873" s="1"/>
      <c r="AU5873" s="1"/>
      <c r="AV5873" s="1"/>
      <c r="AW5873" s="1"/>
      <c r="AX5873" s="1"/>
      <c r="AY5873" s="1"/>
      <c r="AZ5873" s="1"/>
      <c r="BA5873" s="1"/>
      <c r="BB5873" s="1"/>
    </row>
    <row r="5874" ht="204.75" customHeight="1">
      <c r="A5874" s="1">
        <v>5052.0</v>
      </c>
      <c r="B5874" s="2" t="s">
        <v>15925</v>
      </c>
      <c r="C5874" s="2">
        <f>IFERROR(__xludf.DUMMYFUNCTION("split(B5874,""_"")"),910.0)</f>
        <v>910</v>
      </c>
      <c r="D5874" s="2" t="str">
        <f>IFERROR(__xludf.DUMMYFUNCTION("""COMPUTED_VALUE"""),"TBS")</f>
        <v>TBS</v>
      </c>
      <c r="E5874" s="2" t="str">
        <f>IFERROR(__xludf.DUMMYFUNCTION("""COMPUTED_VALUE"""),"金22")</f>
        <v>金22</v>
      </c>
      <c r="F5874" s="2" t="s">
        <v>15926</v>
      </c>
      <c r="G5874" s="2" t="s">
        <v>15927</v>
      </c>
      <c r="H5874" s="1">
        <v>9.0</v>
      </c>
      <c r="J5874" s="1" t="s">
        <v>86</v>
      </c>
      <c r="K5874" s="2" t="s">
        <v>15936</v>
      </c>
      <c r="L5874" s="2"/>
      <c r="M5874" s="2" t="str">
        <f>IFERROR(__xludf.DUMMYFUNCTION("split(split(K5874,""【"",false),""公式LINE"",false)"),"「元彼＆元見合い相手登場で年の差恋愛！ついに最終章」最近、真一(小池徹平)と君香(松下奈緒)の雰囲気がイイ感じに見え、妙に二人の仲が気になる里美(観月ありさ)。そんなある日、偶然にもかつての交際相手・省吾(袴田吉彦)と、見合い相手だった二階堂(中村俊介)と再会し、同時に二人からプロポーズされてしまう。突然の出来事に心が大きく揺れ動く里美であったが、やはりどこかで真一のことが気になる様子で…。そんな中、里美の家を出てしまったものの、なかなか新居が決まらず焦っていた真一は、君香から告白され、さらに両親に会わせ"&amp;"たいと言われ戸惑う。  そのことを知った里美は真一への想いを確信し、ある行動に出るが…。観月ありさ　小池徹平　松下奈緒　橘慶太　鈴木亜美　北川弘美　麻尋えりか　大谷澪 小林さり 石井美絵子 酒井若菜 デビット伊東　佐戸井けん太　真矢みき ")</f>
        <v>「元彼＆元見合い相手登場で年の差恋愛！ついに最終章」最近、真一(小池徹平)と君香(松下奈緒)の雰囲気がイイ感じに見え、妙に二人の仲が気になる里美(観月ありさ)。そんなある日、偶然にもかつての交際相手・省吾(袴田吉彦)と、見合い相手だった二階堂(中村俊介)と再会し、同時に二人からプロポーズされてしまう。突然の出来事に心が大きく揺れ動く里美であったが、やはりどこかで真一のことが気になる様子で…。そんな中、里美の家を出てしまったものの、なかなか新居が決まらず焦っていた真一は、君香から告白され、さらに両親に会わせたいと言われ戸惑う。  そのことを知った里美は真一への想いを確信し、ある行動に出るが…。観月ありさ　小池徹平　松下奈緒　橘慶太　鈴木亜美　北川弘美　麻尋えりか　大谷澪 小林さり 石井美絵子 酒井若菜 デビット伊東　佐戸井けん太　真矢みき </v>
      </c>
      <c r="N5874" s="2"/>
      <c r="O5874" s="2"/>
      <c r="P5874" s="1"/>
      <c r="Q5874" s="1"/>
      <c r="R5874" s="1"/>
      <c r="S5874" s="1"/>
      <c r="T5874" s="1"/>
      <c r="U5874" s="1"/>
      <c r="V5874" s="1"/>
      <c r="W5874" s="1"/>
      <c r="X5874" s="1"/>
      <c r="Y5874" s="1"/>
      <c r="Z5874" s="1"/>
      <c r="AA5874" s="1"/>
      <c r="AB5874" s="1"/>
      <c r="AC5874" s="1"/>
      <c r="AD5874" s="1"/>
      <c r="AE5874" s="1"/>
      <c r="AF5874" s="1"/>
      <c r="AG5874" s="1"/>
      <c r="AH5874" s="1"/>
      <c r="AI5874" s="1"/>
      <c r="AJ5874" s="1"/>
      <c r="AK5874" s="1"/>
      <c r="AL5874" s="1"/>
      <c r="AM5874" s="1"/>
      <c r="AN5874" s="1"/>
      <c r="AO5874" s="1"/>
      <c r="AP5874" s="1"/>
      <c r="AQ5874" s="1"/>
      <c r="AR5874" s="1"/>
      <c r="AS5874" s="1"/>
      <c r="AT5874" s="1"/>
      <c r="AU5874" s="1"/>
      <c r="AV5874" s="1"/>
      <c r="AW5874" s="1"/>
      <c r="AX5874" s="1"/>
      <c r="AY5874" s="1"/>
      <c r="AZ5874" s="1"/>
      <c r="BA5874" s="1"/>
      <c r="BB5874" s="1"/>
    </row>
    <row r="5875" ht="204.75" customHeight="1">
      <c r="A5875" s="1">
        <v>5053.0</v>
      </c>
      <c r="B5875" s="2" t="s">
        <v>15925</v>
      </c>
      <c r="C5875" s="2">
        <f>IFERROR(__xludf.DUMMYFUNCTION("split(B5875,""_"")"),910.0)</f>
        <v>910</v>
      </c>
      <c r="D5875" s="2" t="str">
        <f>IFERROR(__xludf.DUMMYFUNCTION("""COMPUTED_VALUE"""),"TBS")</f>
        <v>TBS</v>
      </c>
      <c r="E5875" s="2" t="str">
        <f>IFERROR(__xludf.DUMMYFUNCTION("""COMPUTED_VALUE"""),"金22")</f>
        <v>金22</v>
      </c>
      <c r="F5875" s="2" t="s">
        <v>15926</v>
      </c>
      <c r="G5875" s="2" t="s">
        <v>15927</v>
      </c>
      <c r="H5875" s="1">
        <v>10.0</v>
      </c>
      <c r="J5875" s="1" t="s">
        <v>86</v>
      </c>
      <c r="K5875" s="2" t="s">
        <v>15937</v>
      </c>
      <c r="L5875" s="2"/>
      <c r="M5875" s="2" t="str">
        <f>IFERROR(__xludf.DUMMYFUNCTION("split(split(K5875,""【"",false),""公式LINE"",false)"),"「感動の最終回のはずが思わぬ結末に！究極の格差恋愛の行方は」真一(小池徹平)に自分の気持ちを伝えた里美(観月ありさ)。しかし、淑恵(真矢みき)が「あなたたちのことを認めるわけにはいかない」と大反対。真一は「それなら、僕が教師を辞めれば済む話でしょう」と、初めて淑恵に反論する。真一は、淑恵がもし2人のことが認められないなら、いつでも教師を辞めるつもりだと息巻く。そんな中、真一に好意を持つ君香(松下奈緒)は、真剣に真一と付き合いたいと職員室で公開プロポーズに踏み切る。しかしその時、真一から「僕が交際しているの"&amp;"は、秋山先生です」との爆弾発言が…。  その後、仕事がやりづらくなってしまった里美は、生徒にからかわれながらも、イキイキと教壇に立つ真一の姿を目にする。  この時、やっぱり真一は教師に向いているのかもしれないと思う里美はある決意をする。観月ありさ　小池徹平　松下奈緒　橘慶太　鈴木亜美　北川弘美　麻尋えりか　大谷澪 小林さり 石井美絵子 酒井若菜 デビット伊東　佐戸井けん太　真矢みき ")</f>
        <v>「感動の最終回のはずが思わぬ結末に！究極の格差恋愛の行方は」真一(小池徹平)に自分の気持ちを伝えた里美(観月ありさ)。しかし、淑恵(真矢みき)が「あなたたちのことを認めるわけにはいかない」と大反対。真一は「それなら、僕が教師を辞めれば済む話でしょう」と、初めて淑恵に反論する。真一は、淑恵がもし2人のことが認められないなら、いつでも教師を辞めるつもりだと息巻く。そんな中、真一に好意を持つ君香(松下奈緒)は、真剣に真一と付き合いたいと職員室で公開プロポーズに踏み切る。しかしその時、真一から「僕が交際しているのは、秋山先生です」との爆弾発言が…。  その後、仕事がやりづらくなってしまった里美は、生徒にからかわれながらも、イキイキと教壇に立つ真一の姿を目にする。  この時、やっぱり真一は教師に向いているのかもしれないと思う里美はある決意をする。観月ありさ　小池徹平　松下奈緒　橘慶太　鈴木亜美　北川弘美　麻尋えりか　大谷澪 小林さり 石井美絵子 酒井若菜 デビット伊東　佐戸井けん太　真矢みき </v>
      </c>
      <c r="N5875" s="2"/>
      <c r="O5875" s="2"/>
      <c r="P5875" s="1"/>
      <c r="Q5875" s="1"/>
      <c r="R5875" s="1"/>
      <c r="S5875" s="1"/>
      <c r="T5875" s="1"/>
      <c r="U5875" s="1"/>
      <c r="V5875" s="1"/>
      <c r="W5875" s="1"/>
      <c r="X5875" s="1"/>
      <c r="Y5875" s="1"/>
      <c r="Z5875" s="1"/>
      <c r="AA5875" s="1"/>
      <c r="AB5875" s="1"/>
      <c r="AC5875" s="1"/>
      <c r="AD5875" s="1"/>
      <c r="AE5875" s="1"/>
      <c r="AF5875" s="1"/>
      <c r="AG5875" s="1"/>
      <c r="AH5875" s="1"/>
      <c r="AI5875" s="1"/>
      <c r="AJ5875" s="1"/>
      <c r="AK5875" s="1"/>
      <c r="AL5875" s="1"/>
      <c r="AM5875" s="1"/>
      <c r="AN5875" s="1"/>
      <c r="AO5875" s="1"/>
      <c r="AP5875" s="1"/>
      <c r="AQ5875" s="1"/>
      <c r="AR5875" s="1"/>
      <c r="AS5875" s="1"/>
      <c r="AT5875" s="1"/>
      <c r="AU5875" s="1"/>
      <c r="AV5875" s="1"/>
      <c r="AW5875" s="1"/>
      <c r="AX5875" s="1"/>
      <c r="AY5875" s="1"/>
      <c r="AZ5875" s="1"/>
      <c r="BA5875" s="1"/>
      <c r="BB5875" s="1"/>
    </row>
    <row r="5876" ht="204.75" customHeight="1">
      <c r="A5876" s="1">
        <v>5064.0</v>
      </c>
      <c r="B5876" s="2" t="s">
        <v>15938</v>
      </c>
      <c r="C5876" s="2">
        <f>IFERROR(__xludf.DUMMYFUNCTION("split(B5876,""_"")"),910.0)</f>
        <v>910</v>
      </c>
      <c r="D5876" s="2" t="str">
        <f>IFERROR(__xludf.DUMMYFUNCTION("""COMPUTED_VALUE"""),"TBS")</f>
        <v>TBS</v>
      </c>
      <c r="E5876" s="2" t="str">
        <f>IFERROR(__xludf.DUMMYFUNCTION("""COMPUTED_VALUE"""),"土20")</f>
        <v>土20</v>
      </c>
      <c r="F5876" s="2" t="s">
        <v>15939</v>
      </c>
      <c r="G5876" s="2" t="s">
        <v>15940</v>
      </c>
      <c r="H5876" s="1">
        <v>1.0</v>
      </c>
      <c r="J5876" s="1" t="s">
        <v>15851</v>
      </c>
      <c r="K5876" s="2" t="s">
        <v>15941</v>
      </c>
      <c r="L5876" s="2"/>
      <c r="M5876" s="2" t="str">
        <f>IFERROR(__xludf.DUMMYFUNCTION("split(split(K5876,""【"",false),""公式LINE"",false)"),"「みんなが涙した世界の名作！大金持ちのお嬢様が召使いに…泣いたりしない！だって女の子は誰でもプリセンスなんだから…どんな逆境にも強く正しい姿に家族揃って感動して下さい」幼い頃に母親を亡くした 黒田セイラ (志田未来) は、実業家の父親・黒田龍之介 (谷中敦) にインドで育てられた。  娘の教育のことを考えた父は、セイラが高校生になる際にひとりで日本に帰国させ、セイラの母が通っていた全寮制のミレニウス女学院に入学させることにした。  裕福な家庭を自慢することもなく、誰に対しても分け隔てなく優しく接するセイラ"&amp;"は、学院内でも多くの友達を得る。学院の使用人である 三浦カイト (林遣都) もそんなセイラに心を寄せる一人だった。  一方で学院長・三村千恵子 (樋口可南子) は、寄付金の額によって生徒の待遇を変えるような人間だった。  黒田家の莫大な財産を背景にしたセイラを入学当初から特別待遇で扱ったが、セイラの天真爛漫な態度に不愉快な思いをしていた。  そんなある日、セイラ16歳の誕生日を祝うパーティーの最中、セイラは院長から信じ難い報告を受ける志田未来　林 遣都　田辺誠一　岡本杏理　忽那汐里 小島藤子　谷中 敦　大"&amp;"和田伸也　黒川智花　広岡由里子　斉藤由貴　樋口可南子 ")</f>
        <v>「みんなが涙した世界の名作！大金持ちのお嬢様が召使いに…泣いたりしない！だって女の子は誰でもプリセンスなんだから…どんな逆境にも強く正しい姿に家族揃って感動して下さい」幼い頃に母親を亡くした 黒田セイラ (志田未来) は、実業家の父親・黒田龍之介 (谷中敦) にインドで育てられた。  娘の教育のことを考えた父は、セイラが高校生になる際にひとりで日本に帰国させ、セイラの母が通っていた全寮制のミレニウス女学院に入学させることにした。  裕福な家庭を自慢することもなく、誰に対しても分け隔てなく優しく接するセイラは、学院内でも多くの友達を得る。学院の使用人である 三浦カイト (林遣都) もそんなセイラに心を寄せる一人だった。  一方で学院長・三村千恵子 (樋口可南子) は、寄付金の額によって生徒の待遇を変えるような人間だった。  黒田家の莫大な財産を背景にしたセイラを入学当初から特別待遇で扱ったが、セイラの天真爛漫な態度に不愉快な思いをしていた。  そんなある日、セイラ16歳の誕生日を祝うパーティーの最中、セイラは院長から信じ難い報告を受ける志田未来　林 遣都　田辺誠一　岡本杏理　忽那汐里 小島藤子　谷中 敦　大和田伸也　黒川智花　広岡由里子　斉藤由貴　樋口可南子 </v>
      </c>
      <c r="N5876" s="2"/>
      <c r="O5876" s="2"/>
      <c r="P5876" s="1"/>
      <c r="Q5876" s="1"/>
      <c r="R5876" s="1"/>
      <c r="S5876" s="1"/>
      <c r="T5876" s="1"/>
      <c r="U5876" s="1"/>
      <c r="V5876" s="1"/>
      <c r="W5876" s="1"/>
      <c r="X5876" s="1"/>
      <c r="Y5876" s="1"/>
      <c r="Z5876" s="1"/>
      <c r="AA5876" s="1"/>
      <c r="AB5876" s="1"/>
      <c r="AC5876" s="1"/>
      <c r="AD5876" s="1"/>
      <c r="AE5876" s="1"/>
      <c r="AF5876" s="1"/>
      <c r="AG5876" s="1"/>
      <c r="AH5876" s="1"/>
      <c r="AI5876" s="1"/>
      <c r="AJ5876" s="1"/>
      <c r="AK5876" s="1"/>
      <c r="AL5876" s="1"/>
      <c r="AM5876" s="1"/>
      <c r="AN5876" s="1"/>
      <c r="AO5876" s="1"/>
      <c r="AP5876" s="1"/>
      <c r="AQ5876" s="1"/>
      <c r="AR5876" s="1"/>
      <c r="AS5876" s="1"/>
      <c r="AT5876" s="1"/>
      <c r="AU5876" s="1"/>
      <c r="AV5876" s="1"/>
      <c r="AW5876" s="1"/>
      <c r="AX5876" s="1"/>
      <c r="AY5876" s="1"/>
      <c r="AZ5876" s="1"/>
      <c r="BA5876" s="1"/>
      <c r="BB5876" s="1"/>
    </row>
    <row r="5877" ht="204.75" customHeight="1">
      <c r="A5877" s="1">
        <v>5065.0</v>
      </c>
      <c r="B5877" s="2" t="s">
        <v>15938</v>
      </c>
      <c r="C5877" s="2">
        <f>IFERROR(__xludf.DUMMYFUNCTION("split(B5877,""_"")"),910.0)</f>
        <v>910</v>
      </c>
      <c r="D5877" s="2" t="str">
        <f>IFERROR(__xludf.DUMMYFUNCTION("""COMPUTED_VALUE"""),"TBS")</f>
        <v>TBS</v>
      </c>
      <c r="E5877" s="2" t="str">
        <f>IFERROR(__xludf.DUMMYFUNCTION("""COMPUTED_VALUE"""),"土20")</f>
        <v>土20</v>
      </c>
      <c r="F5877" s="2" t="s">
        <v>15939</v>
      </c>
      <c r="G5877" s="2" t="s">
        <v>15940</v>
      </c>
      <c r="H5877" s="1">
        <v>2.0</v>
      </c>
      <c r="J5877" s="1" t="s">
        <v>2809</v>
      </c>
      <c r="K5877" s="2" t="s">
        <v>15942</v>
      </c>
      <c r="L5877" s="2"/>
      <c r="M5877" s="2" t="str">
        <f>IFERROR(__xludf.DUMMYFUNCTION("split(split(K5877,""【"",false),""公式LINE"",false)"),"「学院一自慢の生徒は使用人」フランス語教師の 亜蘭 (田辺誠一) が、フランス語教育を日本に広める仕事をしている友人から、学院のフランス語授業を見学したいという申し出がある旨を千恵子に伝える。亜蘭は、フランス語の得意なセイラが生徒でない今、真里亜を生徒代表としてフランス語スピーチをさせることに決めるが…。志田未来　林 遣都　田辺誠一　岡本杏理　忽那汐里 小島藤子　谷中 敦　大和田伸也　黒川智花　広岡由里子　斉藤由貴　樋口可南子 ミレニウス女学院の制服や校章が当たる！30分限定プレゼントクイズ！応募は携帯サ"&amp;"イト")</f>
        <v>「学院一自慢の生徒は使用人」フランス語教師の 亜蘭 (田辺誠一) が、フランス語教育を日本に広める仕事をしている友人から、学院のフランス語授業を見学したいという申し出がある旨を千恵子に伝える。亜蘭は、フランス語の得意なセイラが生徒でない今、真里亜を生徒代表としてフランス語スピーチをさせることに決めるが…。志田未来　林 遣都　田辺誠一　岡本杏理　忽那汐里 小島藤子　谷中 敦　大和田伸也　黒川智花　広岡由里子　斉藤由貴　樋口可南子 ミレニウス女学院の制服や校章が当たる！30分限定プレゼントクイズ！応募は携帯サイト</v>
      </c>
      <c r="N5877" s="2"/>
      <c r="O5877" s="2"/>
      <c r="P5877" s="1"/>
      <c r="Q5877" s="1"/>
      <c r="R5877" s="1"/>
      <c r="S5877" s="1"/>
      <c r="T5877" s="1"/>
      <c r="U5877" s="1"/>
      <c r="V5877" s="1"/>
      <c r="W5877" s="1"/>
      <c r="X5877" s="1"/>
      <c r="Y5877" s="1"/>
      <c r="Z5877" s="1"/>
      <c r="AA5877" s="1"/>
      <c r="AB5877" s="1"/>
      <c r="AC5877" s="1"/>
      <c r="AD5877" s="1"/>
      <c r="AE5877" s="1"/>
      <c r="AF5877" s="1"/>
      <c r="AG5877" s="1"/>
      <c r="AH5877" s="1"/>
      <c r="AI5877" s="1"/>
      <c r="AJ5877" s="1"/>
      <c r="AK5877" s="1"/>
      <c r="AL5877" s="1"/>
      <c r="AM5877" s="1"/>
      <c r="AN5877" s="1"/>
      <c r="AO5877" s="1"/>
      <c r="AP5877" s="1"/>
      <c r="AQ5877" s="1"/>
      <c r="AR5877" s="1"/>
      <c r="AS5877" s="1"/>
      <c r="AT5877" s="1"/>
      <c r="AU5877" s="1"/>
      <c r="AV5877" s="1"/>
      <c r="AW5877" s="1"/>
      <c r="AX5877" s="1"/>
      <c r="AY5877" s="1"/>
      <c r="AZ5877" s="1"/>
      <c r="BA5877" s="1"/>
      <c r="BB5877" s="1"/>
    </row>
    <row r="5878" ht="204.75" customHeight="1">
      <c r="A5878" s="1">
        <v>5066.0</v>
      </c>
      <c r="B5878" s="2" t="s">
        <v>15938</v>
      </c>
      <c r="C5878" s="2">
        <f>IFERROR(__xludf.DUMMYFUNCTION("split(B5878,""_"")"),910.0)</f>
        <v>910</v>
      </c>
      <c r="D5878" s="2" t="str">
        <f>IFERROR(__xludf.DUMMYFUNCTION("""COMPUTED_VALUE"""),"TBS")</f>
        <v>TBS</v>
      </c>
      <c r="E5878" s="2" t="str">
        <f>IFERROR(__xludf.DUMMYFUNCTION("""COMPUTED_VALUE"""),"土20")</f>
        <v>土20</v>
      </c>
      <c r="F5878" s="2" t="s">
        <v>15939</v>
      </c>
      <c r="G5878" s="2" t="s">
        <v>15940</v>
      </c>
      <c r="H5878" s="1">
        <v>3.0</v>
      </c>
      <c r="J5878" s="1" t="s">
        <v>2809</v>
      </c>
      <c r="K5878" s="2" t="s">
        <v>15943</v>
      </c>
      <c r="L5878" s="2"/>
      <c r="M5878" s="2" t="str">
        <f>IFERROR(__xludf.DUMMYFUNCTION("split(split(K5878,""【"",false),""公式LINE"",false)"),"「お姫様の友達はネズミだけ」  フランス語のクラス代表スピーチをセイラに奪われた真里亜は、学院長の千恵子に異議を申し立てに行くが、聞き入れてもらえない。しかし、美笑子との会話から、セイラの父親が多額の寄付をしたため、千恵子が特別にセイラを優遇したという事実を知ってしまう。そこで真里亜は、自分の父親に学院への多額の寄付を要求し、その多額の寄付の代わりに学院長に条件を提示。セイラが使用していた特別室を自分のものにし、セイラを召使いとしこき使う。  真里亜のセイラへのいじめはエスカレートし、しまいにはセイラの心"&amp;"も折れてしまう。志田未来　林 遣都　田辺誠一　岡本杏理　忽那汐里 小島藤子　谷中 敦　大和田伸也　黒川智花　広岡由里子　斉藤由貴　樋口可南子 今夜の「小公女セイラ」を見て、ミレニウス女学院の制服や校章を当てよう！放送後30分限定プレゼントクイズの詳細は、番組携帯サイト")</f>
        <v>「お姫様の友達はネズミだけ」  フランス語のクラス代表スピーチをセイラに奪われた真里亜は、学院長の千恵子に異議を申し立てに行くが、聞き入れてもらえない。しかし、美笑子との会話から、セイラの父親が多額の寄付をしたため、千恵子が特別にセイラを優遇したという事実を知ってしまう。そこで真里亜は、自分の父親に学院への多額の寄付を要求し、その多額の寄付の代わりに学院長に条件を提示。セイラが使用していた特別室を自分のものにし、セイラを召使いとしこき使う。  真里亜のセイラへのいじめはエスカレートし、しまいにはセイラの心も折れてしまう。志田未来　林 遣都　田辺誠一　岡本杏理　忽那汐里 小島藤子　谷中 敦　大和田伸也　黒川智花　広岡由里子　斉藤由貴　樋口可南子 今夜の「小公女セイラ」を見て、ミレニウス女学院の制服や校章を当てよう！放送後30分限定プレゼントクイズの詳細は、番組携帯サイト</v>
      </c>
      <c r="N5878" s="2"/>
      <c r="O5878" s="2"/>
      <c r="P5878" s="1"/>
      <c r="Q5878" s="1"/>
      <c r="R5878" s="1"/>
      <c r="S5878" s="1"/>
      <c r="T5878" s="1"/>
      <c r="U5878" s="1"/>
      <c r="V5878" s="1"/>
      <c r="W5878" s="1"/>
      <c r="X5878" s="1"/>
      <c r="Y5878" s="1"/>
      <c r="Z5878" s="1"/>
      <c r="AA5878" s="1"/>
      <c r="AB5878" s="1"/>
      <c r="AC5878" s="1"/>
      <c r="AD5878" s="1"/>
      <c r="AE5878" s="1"/>
      <c r="AF5878" s="1"/>
      <c r="AG5878" s="1"/>
      <c r="AH5878" s="1"/>
      <c r="AI5878" s="1"/>
      <c r="AJ5878" s="1"/>
      <c r="AK5878" s="1"/>
      <c r="AL5878" s="1"/>
      <c r="AM5878" s="1"/>
      <c r="AN5878" s="1"/>
      <c r="AO5878" s="1"/>
      <c r="AP5878" s="1"/>
      <c r="AQ5878" s="1"/>
      <c r="AR5878" s="1"/>
      <c r="AS5878" s="1"/>
      <c r="AT5878" s="1"/>
      <c r="AU5878" s="1"/>
      <c r="AV5878" s="1"/>
      <c r="AW5878" s="1"/>
      <c r="AX5878" s="1"/>
      <c r="AY5878" s="1"/>
      <c r="AZ5878" s="1"/>
      <c r="BA5878" s="1"/>
      <c r="BB5878" s="1"/>
    </row>
    <row r="5879" ht="204.75" customHeight="1">
      <c r="A5879" s="1">
        <v>5067.0</v>
      </c>
      <c r="B5879" s="2" t="s">
        <v>15938</v>
      </c>
      <c r="C5879" s="2">
        <f>IFERROR(__xludf.DUMMYFUNCTION("split(B5879,""_"")"),910.0)</f>
        <v>910</v>
      </c>
      <c r="D5879" s="2" t="str">
        <f>IFERROR(__xludf.DUMMYFUNCTION("""COMPUTED_VALUE"""),"TBS")</f>
        <v>TBS</v>
      </c>
      <c r="E5879" s="2" t="str">
        <f>IFERROR(__xludf.DUMMYFUNCTION("""COMPUTED_VALUE"""),"土20")</f>
        <v>土20</v>
      </c>
      <c r="F5879" s="2" t="s">
        <v>15939</v>
      </c>
      <c r="G5879" s="2" t="s">
        <v>15940</v>
      </c>
      <c r="H5879" s="1">
        <v>4.0</v>
      </c>
      <c r="J5879" s="1" t="s">
        <v>2809</v>
      </c>
      <c r="K5879" s="2" t="s">
        <v>15944</v>
      </c>
      <c r="L5879" s="2"/>
      <c r="M5879" s="2" t="str">
        <f>IFERROR(__xludf.DUMMYFUNCTION("split(split(K5879,""【"",false),""公式LINE"",false)"),"「主演女優は私よ！」ミレニウス女学院では、生徒たちが保護者を招いて「ロミオとジュリエット」の芝居を行う恒例行事が迫っていた。生徒たちの夢は、その舞台でジュリエット役を演じること。  学院一負けず嫌いの真里亜は、ジュリエット役を虎視眈々と狙い、見事クラス内の投票でその役を射止める。下働きをするセイラも、卒業生の母から伝え聞いていたジュリエット役を夢見ていた一人。何十回も本を読み、セリフは完璧に頭に入っているほどだ。毎夜、セイラの部屋に自主練習を求めてやってくる生徒たち。一方、真里亜は一人で練習を重ねていた。"&amp;"  そんな中、生徒たちの様子を見守る千恵子の脳裏に、ある過去がよみがえる。かつてジュリエットを演じた千恵子に、一体何があったのか？セイラの母・薫子との思い出の一部が明らかになる。志田未来　林 遣都　田辺誠一　岡本杏理　忽那汐里 小島藤子　谷中 敦　大和田伸也　黒川智花　広岡由里子　斉藤由貴　樋口可南子 ")</f>
        <v>「主演女優は私よ！」ミレニウス女学院では、生徒たちが保護者を招いて「ロミオとジュリエット」の芝居を行う恒例行事が迫っていた。生徒たちの夢は、その舞台でジュリエット役を演じること。  学院一負けず嫌いの真里亜は、ジュリエット役を虎視眈々と狙い、見事クラス内の投票でその役を射止める。下働きをするセイラも、卒業生の母から伝え聞いていたジュリエット役を夢見ていた一人。何十回も本を読み、セリフは完璧に頭に入っているほどだ。毎夜、セイラの部屋に自主練習を求めてやってくる生徒たち。一方、真里亜は一人で練習を重ねていた。  そんな中、生徒たちの様子を見守る千恵子の脳裏に、ある過去がよみがえる。かつてジュリエットを演じた千恵子に、一体何があったのか？セイラの母・薫子との思い出の一部が明らかになる。志田未来　林 遣都　田辺誠一　岡本杏理　忽那汐里 小島藤子　谷中 敦　大和田伸也　黒川智花　広岡由里子　斉藤由貴　樋口可南子 </v>
      </c>
      <c r="N5879" s="2"/>
      <c r="O5879" s="2"/>
      <c r="P5879" s="1"/>
      <c r="Q5879" s="1"/>
      <c r="R5879" s="1"/>
      <c r="S5879" s="1"/>
      <c r="T5879" s="1"/>
      <c r="U5879" s="1"/>
      <c r="V5879" s="1"/>
      <c r="W5879" s="1"/>
      <c r="X5879" s="1"/>
      <c r="Y5879" s="1"/>
      <c r="Z5879" s="1"/>
      <c r="AA5879" s="1"/>
      <c r="AB5879" s="1"/>
      <c r="AC5879" s="1"/>
      <c r="AD5879" s="1"/>
      <c r="AE5879" s="1"/>
      <c r="AF5879" s="1"/>
      <c r="AG5879" s="1"/>
      <c r="AH5879" s="1"/>
      <c r="AI5879" s="1"/>
      <c r="AJ5879" s="1"/>
      <c r="AK5879" s="1"/>
      <c r="AL5879" s="1"/>
      <c r="AM5879" s="1"/>
      <c r="AN5879" s="1"/>
      <c r="AO5879" s="1"/>
      <c r="AP5879" s="1"/>
      <c r="AQ5879" s="1"/>
      <c r="AR5879" s="1"/>
      <c r="AS5879" s="1"/>
      <c r="AT5879" s="1"/>
      <c r="AU5879" s="1"/>
      <c r="AV5879" s="1"/>
      <c r="AW5879" s="1"/>
      <c r="AX5879" s="1"/>
      <c r="AY5879" s="1"/>
      <c r="AZ5879" s="1"/>
      <c r="BA5879" s="1"/>
      <c r="BB5879" s="1"/>
    </row>
    <row r="5880" ht="204.75" customHeight="1">
      <c r="A5880" s="1">
        <v>5068.0</v>
      </c>
      <c r="B5880" s="2" t="s">
        <v>15938</v>
      </c>
      <c r="C5880" s="2">
        <f>IFERROR(__xludf.DUMMYFUNCTION("split(B5880,""_"")"),910.0)</f>
        <v>910</v>
      </c>
      <c r="D5880" s="2" t="str">
        <f>IFERROR(__xludf.DUMMYFUNCTION("""COMPUTED_VALUE"""),"TBS")</f>
        <v>TBS</v>
      </c>
      <c r="E5880" s="2" t="str">
        <f>IFERROR(__xludf.DUMMYFUNCTION("""COMPUTED_VALUE"""),"土20")</f>
        <v>土20</v>
      </c>
      <c r="F5880" s="2" t="s">
        <v>15939</v>
      </c>
      <c r="G5880" s="2" t="s">
        <v>15940</v>
      </c>
      <c r="H5880" s="1">
        <v>5.0</v>
      </c>
      <c r="J5880" s="1" t="s">
        <v>2809</v>
      </c>
      <c r="K5880" s="2" t="s">
        <v>15945</v>
      </c>
      <c r="L5880" s="2"/>
      <c r="M5880" s="2" t="str">
        <f>IFERROR(__xludf.DUMMYFUNCTION("split(split(K5880,""【"",false),""公式LINE"",false)"),"「二人だけの修学旅行の夜」    　ミレニウス女学院は、修学旅行の話題でもちきり。修学旅行中、休暇になる小沼夫妻も旅行、カイトは帰省の予定。しかし身寄りのないセイラは、一人学院に残るしかなかった。  修学旅行出発の朝、千恵子は学院に残るセイラに鍵を預け、留守を任せた。カイトもセイラを残して出発した。ところがどうしても一人ぼっちのセイラが気になるカイトは「俺の田舎に一緒に行こう！」と戻ってくる。ためらうセイラだが、みんなが帰ってくる前に戻れば、大丈夫だよというカイトの言葉にセイラも喜んでついていくことにする"&amp;"。  楽しい時間はあっという間に流れ、二人は急いで帰路につくが、その途中倒れた大木が二人の行く手を阻む…。志田未来　林 遣都　田辺誠一　岡本杏理　忽那汐里 小島藤子　谷中 敦　大和田伸也　黒川智花　広岡由里子　斉藤由貴　樋口可南子 ")</f>
        <v>「二人だけの修学旅行の夜」    　ミレニウス女学院は、修学旅行の話題でもちきり。修学旅行中、休暇になる小沼夫妻も旅行、カイトは帰省の予定。しかし身寄りのないセイラは、一人学院に残るしかなかった。  修学旅行出発の朝、千恵子は学院に残るセイラに鍵を預け、留守を任せた。カイトもセイラを残して出発した。ところがどうしても一人ぼっちのセイラが気になるカイトは「俺の田舎に一緒に行こう！」と戻ってくる。ためらうセイラだが、みんなが帰ってくる前に戻れば、大丈夫だよというカイトの言葉にセイラも喜んでついていくことにする。  楽しい時間はあっという間に流れ、二人は急いで帰路につくが、その途中倒れた大木が二人の行く手を阻む…。志田未来　林 遣都　田辺誠一　岡本杏理　忽那汐里 小島藤子　谷中 敦　大和田伸也　黒川智花　広岡由里子　斉藤由貴　樋口可南子 </v>
      </c>
      <c r="N5880" s="2"/>
      <c r="O5880" s="2"/>
      <c r="P5880" s="1"/>
      <c r="Q5880" s="1"/>
      <c r="R5880" s="1"/>
      <c r="S5880" s="1"/>
      <c r="T5880" s="1"/>
      <c r="U5880" s="1"/>
      <c r="V5880" s="1"/>
      <c r="W5880" s="1"/>
      <c r="X5880" s="1"/>
      <c r="Y5880" s="1"/>
      <c r="Z5880" s="1"/>
      <c r="AA5880" s="1"/>
      <c r="AB5880" s="1"/>
      <c r="AC5880" s="1"/>
      <c r="AD5880" s="1"/>
      <c r="AE5880" s="1"/>
      <c r="AF5880" s="1"/>
      <c r="AG5880" s="1"/>
      <c r="AH5880" s="1"/>
      <c r="AI5880" s="1"/>
      <c r="AJ5880" s="1"/>
      <c r="AK5880" s="1"/>
      <c r="AL5880" s="1"/>
      <c r="AM5880" s="1"/>
      <c r="AN5880" s="1"/>
      <c r="AO5880" s="1"/>
      <c r="AP5880" s="1"/>
      <c r="AQ5880" s="1"/>
      <c r="AR5880" s="1"/>
      <c r="AS5880" s="1"/>
      <c r="AT5880" s="1"/>
      <c r="AU5880" s="1"/>
      <c r="AV5880" s="1"/>
      <c r="AW5880" s="1"/>
      <c r="AX5880" s="1"/>
      <c r="AY5880" s="1"/>
      <c r="AZ5880" s="1"/>
      <c r="BA5880" s="1"/>
      <c r="BB5880" s="1"/>
    </row>
    <row r="5881" ht="204.75" customHeight="1">
      <c r="A5881" s="1">
        <v>5069.0</v>
      </c>
      <c r="B5881" s="2" t="s">
        <v>15938</v>
      </c>
      <c r="C5881" s="2">
        <f>IFERROR(__xludf.DUMMYFUNCTION("split(B5881,""_"")"),910.0)</f>
        <v>910</v>
      </c>
      <c r="D5881" s="2" t="str">
        <f>IFERROR(__xludf.DUMMYFUNCTION("""COMPUTED_VALUE"""),"TBS")</f>
        <v>TBS</v>
      </c>
      <c r="E5881" s="2" t="str">
        <f>IFERROR(__xludf.DUMMYFUNCTION("""COMPUTED_VALUE"""),"土20")</f>
        <v>土20</v>
      </c>
      <c r="F5881" s="2" t="s">
        <v>15939</v>
      </c>
      <c r="G5881" s="2" t="s">
        <v>15940</v>
      </c>
      <c r="H5881" s="1">
        <v>6.0</v>
      </c>
      <c r="J5881" s="1" t="s">
        <v>2809</v>
      </c>
      <c r="K5881" s="2" t="s">
        <v>15946</v>
      </c>
      <c r="L5881" s="2"/>
      <c r="M5881" s="2" t="str">
        <f>IFERROR(__xludf.DUMMYFUNCTION("split(split(K5881,""【"",false),""公式LINE"",false)"),"「小悪魔系天使あらわる！」ミレニウス学院を追い出されることになったセイラ（志田未来）。そんななか笑美子（斎藤由貴）の同級生だった女性の娘・路美とその父親・鈴村（安田顕）が学院を訪れる。院長（樋口可南子）は寄付金目当てで少女を預かることにする。おとなしかった路美だが、父親が去った途端、学院を揺るがすほどの絶叫で泣き叫んで手がつけられない。唯一なついたのはセイラだけ。笑美子は院長に頼んで、セイラの追放を猶予してもらうことに志田未来　林 遣都　田辺誠一　岡本杏理　忽那汐里 小島藤子　安田顕　大和田伸也　黒川智花"&amp;"　広岡由里子　斉藤由貴　樋口可南子 ")</f>
        <v>「小悪魔系天使あらわる！」ミレニウス学院を追い出されることになったセイラ（志田未来）。そんななか笑美子（斎藤由貴）の同級生だった女性の娘・路美とその父親・鈴村（安田顕）が学院を訪れる。院長（樋口可南子）は寄付金目当てで少女を預かることにする。おとなしかった路美だが、父親が去った途端、学院を揺るがすほどの絶叫で泣き叫んで手がつけられない。唯一なついたのはセイラだけ。笑美子は院長に頼んで、セイラの追放を猶予してもらうことに志田未来　林 遣都　田辺誠一　岡本杏理　忽那汐里 小島藤子　安田顕　大和田伸也　黒川智花　広岡由里子　斉藤由貴　樋口可南子 </v>
      </c>
      <c r="N5881" s="2"/>
      <c r="O5881" s="2"/>
      <c r="P5881" s="1"/>
      <c r="Q5881" s="1"/>
      <c r="R5881" s="1"/>
      <c r="S5881" s="1"/>
      <c r="T5881" s="1"/>
      <c r="U5881" s="1"/>
      <c r="V5881" s="1"/>
      <c r="W5881" s="1"/>
      <c r="X5881" s="1"/>
      <c r="Y5881" s="1"/>
      <c r="Z5881" s="1"/>
      <c r="AA5881" s="1"/>
      <c r="AB5881" s="1"/>
      <c r="AC5881" s="1"/>
      <c r="AD5881" s="1"/>
      <c r="AE5881" s="1"/>
      <c r="AF5881" s="1"/>
      <c r="AG5881" s="1"/>
      <c r="AH5881" s="1"/>
      <c r="AI5881" s="1"/>
      <c r="AJ5881" s="1"/>
      <c r="AK5881" s="1"/>
      <c r="AL5881" s="1"/>
      <c r="AM5881" s="1"/>
      <c r="AN5881" s="1"/>
      <c r="AO5881" s="1"/>
      <c r="AP5881" s="1"/>
      <c r="AQ5881" s="1"/>
      <c r="AR5881" s="1"/>
      <c r="AS5881" s="1"/>
      <c r="AT5881" s="1"/>
      <c r="AU5881" s="1"/>
      <c r="AV5881" s="1"/>
      <c r="AW5881" s="1"/>
      <c r="AX5881" s="1"/>
      <c r="AY5881" s="1"/>
      <c r="AZ5881" s="1"/>
      <c r="BA5881" s="1"/>
      <c r="BB5881" s="1"/>
    </row>
    <row r="5882" ht="204.75" customHeight="1">
      <c r="A5882" s="1">
        <v>5070.0</v>
      </c>
      <c r="B5882" s="2" t="s">
        <v>15938</v>
      </c>
      <c r="C5882" s="2">
        <f>IFERROR(__xludf.DUMMYFUNCTION("split(B5882,""_"")"),910.0)</f>
        <v>910</v>
      </c>
      <c r="D5882" s="2" t="str">
        <f>IFERROR(__xludf.DUMMYFUNCTION("""COMPUTED_VALUE"""),"TBS")</f>
        <v>TBS</v>
      </c>
      <c r="E5882" s="2" t="str">
        <f>IFERROR(__xludf.DUMMYFUNCTION("""COMPUTED_VALUE"""),"土20")</f>
        <v>土20</v>
      </c>
      <c r="F5882" s="2" t="s">
        <v>15939</v>
      </c>
      <c r="G5882" s="2" t="s">
        <v>15940</v>
      </c>
      <c r="H5882" s="1">
        <v>7.0</v>
      </c>
      <c r="J5882" s="1" t="s">
        <v>2809</v>
      </c>
      <c r="K5882" s="2" t="s">
        <v>15947</v>
      </c>
      <c r="L5882" s="2"/>
      <c r="M5882" s="2" t="str">
        <f>IFERROR(__xludf.DUMMYFUNCTION("split(split(K5882,""【"",false),""公式LINE"",false)"),"「誰も盗めない宝物」誰にも何も告げずに学院を去ったセイラ（志田未来）。院長（樋口可南子）はカイト（林遣都）にセイラを探して連れ戻すように命じる。雨も降りはじめた頃、足をくじいて歩くこともできずに途方に暮れていたセイラを見つけたカイトは、院長の許しを得たことを話し、「一緒に帰ろう」と誘う。二人が学院に帰ってみると、厨房になぜかカイトの幼なじみの田所ゆかり（日向千歩）が小沼夫妻（大和田伸也・広岡由里子）と一緒に働いていた志田未来　林 遣都　田辺誠一　岡本杏理　忽那汐里 小島藤子　谷中 敦　大和田伸也　黒川智花"&amp;"　広岡由里子　斉藤由貴　樋口可南子 ")</f>
        <v>「誰も盗めない宝物」誰にも何も告げずに学院を去ったセイラ（志田未来）。院長（樋口可南子）はカイト（林遣都）にセイラを探して連れ戻すように命じる。雨も降りはじめた頃、足をくじいて歩くこともできずに途方に暮れていたセイラを見つけたカイトは、院長の許しを得たことを話し、「一緒に帰ろう」と誘う。二人が学院に帰ってみると、厨房になぜかカイトの幼なじみの田所ゆかり（日向千歩）が小沼夫妻（大和田伸也・広岡由里子）と一緒に働いていた志田未来　林 遣都　田辺誠一　岡本杏理　忽那汐里 小島藤子　谷中 敦　大和田伸也　黒川智花　広岡由里子　斉藤由貴　樋口可南子 </v>
      </c>
      <c r="N5882" s="2"/>
      <c r="O5882" s="2"/>
      <c r="P5882" s="1"/>
      <c r="Q5882" s="1"/>
      <c r="R5882" s="1"/>
      <c r="S5882" s="1"/>
      <c r="T5882" s="1"/>
      <c r="U5882" s="1"/>
      <c r="V5882" s="1"/>
      <c r="W5882" s="1"/>
      <c r="X5882" s="1"/>
      <c r="Y5882" s="1"/>
      <c r="Z5882" s="1"/>
      <c r="AA5882" s="1"/>
      <c r="AB5882" s="1"/>
      <c r="AC5882" s="1"/>
      <c r="AD5882" s="1"/>
      <c r="AE5882" s="1"/>
      <c r="AF5882" s="1"/>
      <c r="AG5882" s="1"/>
      <c r="AH5882" s="1"/>
      <c r="AI5882" s="1"/>
      <c r="AJ5882" s="1"/>
      <c r="AK5882" s="1"/>
      <c r="AL5882" s="1"/>
      <c r="AM5882" s="1"/>
      <c r="AN5882" s="1"/>
      <c r="AO5882" s="1"/>
      <c r="AP5882" s="1"/>
      <c r="AQ5882" s="1"/>
      <c r="AR5882" s="1"/>
      <c r="AS5882" s="1"/>
      <c r="AT5882" s="1"/>
      <c r="AU5882" s="1"/>
      <c r="AV5882" s="1"/>
      <c r="AW5882" s="1"/>
      <c r="AX5882" s="1"/>
      <c r="AY5882" s="1"/>
      <c r="AZ5882" s="1"/>
      <c r="BA5882" s="1"/>
      <c r="BB5882" s="1"/>
    </row>
    <row r="5883" ht="204.75" customHeight="1">
      <c r="A5883" s="1">
        <v>5071.0</v>
      </c>
      <c r="B5883" s="2" t="s">
        <v>15938</v>
      </c>
      <c r="C5883" s="2">
        <f>IFERROR(__xludf.DUMMYFUNCTION("split(B5883,""_"")"),910.0)</f>
        <v>910</v>
      </c>
      <c r="D5883" s="2" t="str">
        <f>IFERROR(__xludf.DUMMYFUNCTION("""COMPUTED_VALUE"""),"TBS")</f>
        <v>TBS</v>
      </c>
      <c r="E5883" s="2" t="str">
        <f>IFERROR(__xludf.DUMMYFUNCTION("""COMPUTED_VALUE"""),"土20")</f>
        <v>土20</v>
      </c>
      <c r="F5883" s="2" t="s">
        <v>15939</v>
      </c>
      <c r="G5883" s="2" t="s">
        <v>15940</v>
      </c>
      <c r="H5883" s="1">
        <v>8.0</v>
      </c>
      <c r="J5883" s="1" t="s">
        <v>2809</v>
      </c>
      <c r="K5883" s="2" t="s">
        <v>15948</v>
      </c>
      <c r="L5883" s="2"/>
      <c r="M5883" s="2" t="str">
        <f>IFERROR(__xludf.DUMMYFUNCTION("split(split(K5883,""【"",false),""公式LINE"",false)"),"「魔法のようなプレゼント」セイラ（志田未来）は千恵子（樋口可南子）にもらった初めてのお給料で、カイト（林遣都）とまさみ（岡本杏理）にプレゼントを買う。いっぽう亜蘭（田辺誠一）は、勉強熱心なセイラとカイトのために宿題ノートを交換しようと提案してくれた。  学院では授業参観が催され、生徒たちが久しぶりの家族との再会を喜ぶなか、家庭が複雑なかをり（忽那汐里）と親を他人に見られたくない真里亜（小島藤子）は微妙な気持ちでいた。父兄との懇親パーティの準備に忙しくしているセイラたちの元に、「学院の庭に不審者がいる！」と"&amp;"日出子（広岡由里子）がやってくる。  小沼（大和田伸也）とカイトに捕らえられた男の正体は真里亜の父親・寛（不破万作）だった。真里亜からは絶対に授業参観に来ないように言われていたのだが、娘の姿を見たい一心でやって来たようで・・・志田未来　林 遣都　田辺誠一　岡本杏理　忽那汐里 小島藤子　要潤  大和田伸也　黒川智花　広岡由里子　斉藤由貴　樋口可南子 ")</f>
        <v>「魔法のようなプレゼント」セイラ（志田未来）は千恵子（樋口可南子）にもらった初めてのお給料で、カイト（林遣都）とまさみ（岡本杏理）にプレゼントを買う。いっぽう亜蘭（田辺誠一）は、勉強熱心なセイラとカイトのために宿題ノートを交換しようと提案してくれた。  学院では授業参観が催され、生徒たちが久しぶりの家族との再会を喜ぶなか、家庭が複雑なかをり（忽那汐里）と親を他人に見られたくない真里亜（小島藤子）は微妙な気持ちでいた。父兄との懇親パーティの準備に忙しくしているセイラたちの元に、「学院の庭に不審者がいる！」と日出子（広岡由里子）がやってくる。  小沼（大和田伸也）とカイトに捕らえられた男の正体は真里亜の父親・寛（不破万作）だった。真里亜からは絶対に授業参観に来ないように言われていたのだが、娘の姿を見たい一心でやって来たようで・・・志田未来　林 遣都　田辺誠一　岡本杏理　忽那汐里 小島藤子　要潤  大和田伸也　黒川智花　広岡由里子　斉藤由貴　樋口可南子 </v>
      </c>
      <c r="N5883" s="2"/>
      <c r="O5883" s="2"/>
      <c r="P5883" s="1"/>
      <c r="Q5883" s="1"/>
      <c r="R5883" s="1"/>
      <c r="S5883" s="1"/>
      <c r="T5883" s="1"/>
      <c r="U5883" s="1"/>
      <c r="V5883" s="1"/>
      <c r="W5883" s="1"/>
      <c r="X5883" s="1"/>
      <c r="Y5883" s="1"/>
      <c r="Z5883" s="1"/>
      <c r="AA5883" s="1"/>
      <c r="AB5883" s="1"/>
      <c r="AC5883" s="1"/>
      <c r="AD5883" s="1"/>
      <c r="AE5883" s="1"/>
      <c r="AF5883" s="1"/>
      <c r="AG5883" s="1"/>
      <c r="AH5883" s="1"/>
      <c r="AI5883" s="1"/>
      <c r="AJ5883" s="1"/>
      <c r="AK5883" s="1"/>
      <c r="AL5883" s="1"/>
      <c r="AM5883" s="1"/>
      <c r="AN5883" s="1"/>
      <c r="AO5883" s="1"/>
      <c r="AP5883" s="1"/>
      <c r="AQ5883" s="1"/>
      <c r="AR5883" s="1"/>
      <c r="AS5883" s="1"/>
      <c r="AT5883" s="1"/>
      <c r="AU5883" s="1"/>
      <c r="AV5883" s="1"/>
      <c r="AW5883" s="1"/>
      <c r="AX5883" s="1"/>
      <c r="AY5883" s="1"/>
      <c r="AZ5883" s="1"/>
      <c r="BA5883" s="1"/>
      <c r="BB5883" s="1"/>
    </row>
    <row r="5884" ht="204.75" customHeight="1">
      <c r="A5884" s="1">
        <v>5072.0</v>
      </c>
      <c r="B5884" s="2" t="s">
        <v>15938</v>
      </c>
      <c r="C5884" s="2">
        <f>IFERROR(__xludf.DUMMYFUNCTION("split(B5884,""_"")"),910.0)</f>
        <v>910</v>
      </c>
      <c r="D5884" s="2" t="str">
        <f>IFERROR(__xludf.DUMMYFUNCTION("""COMPUTED_VALUE"""),"TBS")</f>
        <v>TBS</v>
      </c>
      <c r="E5884" s="2" t="str">
        <f>IFERROR(__xludf.DUMMYFUNCTION("""COMPUTED_VALUE"""),"土20")</f>
        <v>土20</v>
      </c>
      <c r="F5884" s="2" t="s">
        <v>15939</v>
      </c>
      <c r="G5884" s="2" t="s">
        <v>15940</v>
      </c>
      <c r="H5884" s="1">
        <v>9.0</v>
      </c>
      <c r="J5884" s="1" t="s">
        <v>2809</v>
      </c>
      <c r="K5884" s="2" t="s">
        <v>15949</v>
      </c>
      <c r="L5884" s="2"/>
      <c r="M5884" s="2" t="str">
        <f>IFERROR(__xludf.DUMMYFUNCTION("split(split(K5884,""【"",false),""公式LINE"",false)"),"「彼女を救うのは誰だ？」セイラ（志田未来）とカイト（林遣都）に内緒で勉強を教えてくれた亜蘭先生（田辺誠一）は、千恵子（樋口可南子）から個人授業を止めるように厳しく言われる。セイラの母が薫子（黒川智花）であることを知った亜蘭は、その因縁を終結するように千恵子に諭すが、結局学院を辞めることになってしまう。セイラとカイトはその責任を重く感じる。  一方、学院の経営はついに破綻寸前となり、千恵子は金策に走り回る日々。一方、学院の隣のお屋敷に住む栗栖は、セイラの素性を調べるように部下に指示する。  ある日、千恵子の"&amp;"留守中に学院に不審な調査員が訪れる。何も知らないセイラは学院内を案内することになる。志田未来　林 遣都　田辺誠一　岡本杏理　忽那汐里 小島藤子　谷中 敦　大和田伸也　黒川智花　広岡由里子　斉藤由貴　樋口可南子 ")</f>
        <v>「彼女を救うのは誰だ？」セイラ（志田未来）とカイト（林遣都）に内緒で勉強を教えてくれた亜蘭先生（田辺誠一）は、千恵子（樋口可南子）から個人授業を止めるように厳しく言われる。セイラの母が薫子（黒川智花）であることを知った亜蘭は、その因縁を終結するように千恵子に諭すが、結局学院を辞めることになってしまう。セイラとカイトはその責任を重く感じる。  一方、学院の経営はついに破綻寸前となり、千恵子は金策に走り回る日々。一方、学院の隣のお屋敷に住む栗栖は、セイラの素性を調べるように部下に指示する。  ある日、千恵子の留守中に学院に不審な調査員が訪れる。何も知らないセイラは学院内を案内することになる。志田未来　林 遣都　田辺誠一　岡本杏理　忽那汐里 小島藤子　谷中 敦　大和田伸也　黒川智花　広岡由里子　斉藤由貴　樋口可南子 </v>
      </c>
      <c r="N5884" s="2"/>
      <c r="O5884" s="2"/>
      <c r="P5884" s="1"/>
      <c r="Q5884" s="1"/>
      <c r="R5884" s="1"/>
      <c r="S5884" s="1"/>
      <c r="T5884" s="1"/>
      <c r="U5884" s="1"/>
      <c r="V5884" s="1"/>
      <c r="W5884" s="1"/>
      <c r="X5884" s="1"/>
      <c r="Y5884" s="1"/>
      <c r="Z5884" s="1"/>
      <c r="AA5884" s="1"/>
      <c r="AB5884" s="1"/>
      <c r="AC5884" s="1"/>
      <c r="AD5884" s="1"/>
      <c r="AE5884" s="1"/>
      <c r="AF5884" s="1"/>
      <c r="AG5884" s="1"/>
      <c r="AH5884" s="1"/>
      <c r="AI5884" s="1"/>
      <c r="AJ5884" s="1"/>
      <c r="AK5884" s="1"/>
      <c r="AL5884" s="1"/>
      <c r="AM5884" s="1"/>
      <c r="AN5884" s="1"/>
      <c r="AO5884" s="1"/>
      <c r="AP5884" s="1"/>
      <c r="AQ5884" s="1"/>
      <c r="AR5884" s="1"/>
      <c r="AS5884" s="1"/>
      <c r="AT5884" s="1"/>
      <c r="AU5884" s="1"/>
      <c r="AV5884" s="1"/>
      <c r="AW5884" s="1"/>
      <c r="AX5884" s="1"/>
      <c r="AY5884" s="1"/>
      <c r="AZ5884" s="1"/>
      <c r="BA5884" s="1"/>
      <c r="BB5884" s="1"/>
    </row>
    <row r="5885" ht="204.75" customHeight="1">
      <c r="A5885" s="1">
        <v>5073.0</v>
      </c>
      <c r="B5885" s="2" t="s">
        <v>15938</v>
      </c>
      <c r="C5885" s="2">
        <f>IFERROR(__xludf.DUMMYFUNCTION("split(B5885,""_"")"),910.0)</f>
        <v>910</v>
      </c>
      <c r="D5885" s="2" t="str">
        <f>IFERROR(__xludf.DUMMYFUNCTION("""COMPUTED_VALUE"""),"TBS")</f>
        <v>TBS</v>
      </c>
      <c r="E5885" s="2" t="str">
        <f>IFERROR(__xludf.DUMMYFUNCTION("""COMPUTED_VALUE"""),"土20")</f>
        <v>土20</v>
      </c>
      <c r="F5885" s="2" t="s">
        <v>15939</v>
      </c>
      <c r="G5885" s="2" t="s">
        <v>15940</v>
      </c>
      <c r="H5885" s="1">
        <v>10.0</v>
      </c>
      <c r="J5885" s="1" t="s">
        <v>2809</v>
      </c>
      <c r="K5885" s="2" t="s">
        <v>15950</v>
      </c>
      <c r="L5885" s="2"/>
      <c r="M5885" s="2" t="str">
        <f>IFERROR(__xludf.DUMMYFUNCTION("split(split(K5885,""【"",false),""公式LINE"",false)"),"「奇跡の大逆転！美しき復讐が始まる」学院を出て行方不明になったセイラ（志田未来）は教会の一室で何日も眠り続けていた。  栗栖（要潤）は、セイラが自分の知り合いである黒田龍之介（谷中敦）の娘であることを知り、なんとか助け出したいと必死に探していた。一方、経営が破綻したミレ二ウス女学院では、学院を残してくれる買い取り手を探す千恵子（樋口可南子）と笑美子（斎藤由貴）の元に、亜欄（田辺誠一）が訪れ、意外な提案をする。  ある日、セイラを心配していたカイト（林遣都）の前に、見違えるような美しい姿でセイラが現れる。い"&amp;"ったい彼女に何が起こったのか？そして新しい姿に生まれ変わった彼女は美しい復讐を始めるのだった・・・。志田未来　林 遣都　田辺誠一　岡本杏理　忽那汐里 小島藤子　谷中 敦　要潤　大和田伸也　黒川智花　広岡由里子　斉藤由貴　樋口可南子 ")</f>
        <v>「奇跡の大逆転！美しき復讐が始まる」学院を出て行方不明になったセイラ（志田未来）は教会の一室で何日も眠り続けていた。  栗栖（要潤）は、セイラが自分の知り合いである黒田龍之介（谷中敦）の娘であることを知り、なんとか助け出したいと必死に探していた。一方、経営が破綻したミレ二ウス女学院では、学院を残してくれる買い取り手を探す千恵子（樋口可南子）と笑美子（斎藤由貴）の元に、亜欄（田辺誠一）が訪れ、意外な提案をする。  ある日、セイラを心配していたカイト（林遣都）の前に、見違えるような美しい姿でセイラが現れる。いったい彼女に何が起こったのか？そして新しい姿に生まれ変わった彼女は美しい復讐を始めるのだった・・・。志田未来　林 遣都　田辺誠一　岡本杏理　忽那汐里 小島藤子　谷中 敦　要潤　大和田伸也　黒川智花　広岡由里子　斉藤由貴　樋口可南子 </v>
      </c>
      <c r="N5885" s="2"/>
      <c r="O5885" s="2"/>
      <c r="P5885" s="1"/>
      <c r="Q5885" s="1"/>
      <c r="R5885" s="1"/>
      <c r="S5885" s="1"/>
      <c r="T5885" s="1"/>
      <c r="U5885" s="1"/>
      <c r="V5885" s="1"/>
      <c r="W5885" s="1"/>
      <c r="X5885" s="1"/>
      <c r="Y5885" s="1"/>
      <c r="Z5885" s="1"/>
      <c r="AA5885" s="1"/>
      <c r="AB5885" s="1"/>
      <c r="AC5885" s="1"/>
      <c r="AD5885" s="1"/>
      <c r="AE5885" s="1"/>
      <c r="AF5885" s="1"/>
      <c r="AG5885" s="1"/>
      <c r="AH5885" s="1"/>
      <c r="AI5885" s="1"/>
      <c r="AJ5885" s="1"/>
      <c r="AK5885" s="1"/>
      <c r="AL5885" s="1"/>
      <c r="AM5885" s="1"/>
      <c r="AN5885" s="1"/>
      <c r="AO5885" s="1"/>
      <c r="AP5885" s="1"/>
      <c r="AQ5885" s="1"/>
      <c r="AR5885" s="1"/>
      <c r="AS5885" s="1"/>
      <c r="AT5885" s="1"/>
      <c r="AU5885" s="1"/>
      <c r="AV5885" s="1"/>
      <c r="AW5885" s="1"/>
      <c r="AX5885" s="1"/>
      <c r="AY5885" s="1"/>
      <c r="AZ5885" s="1"/>
      <c r="BA5885" s="1"/>
      <c r="BB5885" s="1"/>
    </row>
    <row r="5886" ht="204.75" customHeight="1">
      <c r="A5886" s="1">
        <v>5110.0</v>
      </c>
      <c r="B5886" s="2" t="s">
        <v>15951</v>
      </c>
      <c r="C5886" s="2">
        <f>IFERROR(__xludf.DUMMYFUNCTION("split(B5886,""_"")"),907.0)</f>
        <v>907</v>
      </c>
      <c r="D5886" s="2" t="str">
        <f>IFERROR(__xludf.DUMMYFUNCTION("""COMPUTED_VALUE"""),"TBS")</f>
        <v>TBS</v>
      </c>
      <c r="E5886" s="2" t="str">
        <f>IFERROR(__xludf.DUMMYFUNCTION("""COMPUTED_VALUE"""),"水21")</f>
        <v>水21</v>
      </c>
      <c r="F5886" s="2" t="s">
        <v>15952</v>
      </c>
      <c r="G5886" s="2" t="s">
        <v>15953</v>
      </c>
      <c r="H5886" s="1">
        <v>1.0</v>
      </c>
      <c r="J5886" s="1" t="s">
        <v>4</v>
      </c>
      <c r="K5886" s="2" t="s">
        <v>15954</v>
      </c>
      <c r="L5886" s="2"/>
      <c r="M5886" s="2" t="str">
        <f>IFERROR(__xludf.DUMMYFUNCTION("split(split(K5886,""【"",false),""公式LINE"",false)"),"「不朽の名作が33年ぶりに完全復活…甦る嫁姑対決」新居を構えた知子は、夫の要から姑の志乃が泊まりに来る事になったと告げられる。  大阪からやって来た姑の志乃の面倒を甲斐甲斐しく見る知子だが直ぐに問題が。すっかり恐縮の知子だが、志乃のオカシな言動に不安が沸く。客間として作ったはずの部屋を志乃は我が物の様に使い始める。志乃がどの位東京に泊まるのかと知子は要に尋ねるが、長くないさと余裕の要。しかし数日後、大阪から志乃の大荷物が届き、愕然とする知子だった瀬戸朝香　大倉孝二　茅島成美　渋谷飛鳥　水町レイコ　原田龍二"&amp;"　泉ピン子番組の最後に流れる視聴者からの嫁姑川柳募集、詳しくは番組ホームページから！荒井光明荒井光明  遠藤正人ドリマックステレビジョンhttp://www.tbs.co.jp/tonarino09")</f>
        <v>「不朽の名作が33年ぶりに完全復活…甦る嫁姑対決」新居を構えた知子は、夫の要から姑の志乃が泊まりに来る事になったと告げられる。  大阪からやって来た姑の志乃の面倒を甲斐甲斐しく見る知子だが直ぐに問題が。すっかり恐縮の知子だが、志乃のオカシな言動に不安が沸く。客間として作ったはずの部屋を志乃は我が物の様に使い始める。志乃がどの位東京に泊まるのかと知子は要に尋ねるが、長くないさと余裕の要。しかし数日後、大阪から志乃の大荷物が届き、愕然とする知子だった瀬戸朝香　大倉孝二　茅島成美　渋谷飛鳥　水町レイコ　原田龍二　泉ピン子番組の最後に流れる視聴者からの嫁姑川柳募集、詳しくは番組ホームページから！荒井光明荒井光明  遠藤正人ドリマックステレビジョンhttp://www.tbs.co.jp/tonarino09</v>
      </c>
      <c r="N5886" s="2"/>
      <c r="O5886" s="2"/>
      <c r="P5886" s="1"/>
      <c r="Q5886" s="1"/>
      <c r="R5886" s="1"/>
      <c r="S5886" s="1"/>
      <c r="T5886" s="1"/>
      <c r="U5886" s="1"/>
      <c r="V5886" s="1"/>
      <c r="W5886" s="1"/>
      <c r="X5886" s="1"/>
      <c r="Y5886" s="1"/>
      <c r="Z5886" s="1"/>
      <c r="AA5886" s="1"/>
      <c r="AB5886" s="1"/>
      <c r="AC5886" s="1"/>
      <c r="AD5886" s="1"/>
      <c r="AE5886" s="1"/>
      <c r="AF5886" s="1"/>
      <c r="AG5886" s="1"/>
      <c r="AH5886" s="1"/>
      <c r="AI5886" s="1"/>
      <c r="AJ5886" s="1"/>
      <c r="AK5886" s="1"/>
      <c r="AL5886" s="1"/>
      <c r="AM5886" s="1"/>
      <c r="AN5886" s="1"/>
      <c r="AO5886" s="1"/>
      <c r="AP5886" s="1"/>
      <c r="AQ5886" s="1"/>
      <c r="AR5886" s="1"/>
      <c r="AS5886" s="1"/>
      <c r="AT5886" s="1"/>
      <c r="AU5886" s="1"/>
      <c r="AV5886" s="1"/>
      <c r="AW5886" s="1"/>
      <c r="AX5886" s="1"/>
      <c r="AY5886" s="1"/>
      <c r="AZ5886" s="1"/>
      <c r="BA5886" s="1"/>
      <c r="BB5886" s="1"/>
    </row>
    <row r="5887" ht="204.75" customHeight="1">
      <c r="A5887" s="1">
        <v>5111.0</v>
      </c>
      <c r="B5887" s="2" t="s">
        <v>15951</v>
      </c>
      <c r="C5887" s="2">
        <f>IFERROR(__xludf.DUMMYFUNCTION("split(B5887,""_"")"),907.0)</f>
        <v>907</v>
      </c>
      <c r="D5887" s="2" t="str">
        <f>IFERROR(__xludf.DUMMYFUNCTION("""COMPUTED_VALUE"""),"TBS")</f>
        <v>TBS</v>
      </c>
      <c r="E5887" s="2" t="str">
        <f>IFERROR(__xludf.DUMMYFUNCTION("""COMPUTED_VALUE"""),"水21")</f>
        <v>水21</v>
      </c>
      <c r="F5887" s="2" t="s">
        <v>15952</v>
      </c>
      <c r="G5887" s="2" t="s">
        <v>15953</v>
      </c>
      <c r="H5887" s="1">
        <v>2.0</v>
      </c>
      <c r="J5887" s="1" t="s">
        <v>11</v>
      </c>
      <c r="K5887" s="2" t="s">
        <v>15955</v>
      </c>
      <c r="L5887" s="2"/>
      <c r="M5887" s="2" t="str">
        <f>IFERROR(__xludf.DUMMYFUNCTION("split(split(K5887,""【"",false),""公式LINE"",false)"),"同居を始めた志乃に不満の太郎が「大阪の家を追い出されたの？」と、爆弾投下。  「どんな教育してるの！」と志乃の怒りの矛先は全て知子へ。必死に頭を下げ詫びる知子を要は家庭の調停は妻の仕事だと一括。  志乃に小言を言われるばかりで全てが上手くいかない知子、そんなある日、突然志乃はお茶の指導を家で始めると宣言。瀬戸朝香　大倉孝二　茅島成美　　泉ピン子  (他)番組の最後に流れる視聴者からの嫁姑川柳募集、詳しくは番組ホームページから！山崎統司荒井光明  遠藤正人ドリマックステレビジョンhttp://www.tbs"&amp;".co.jp/tonarino09")</f>
        <v>同居を始めた志乃に不満の太郎が「大阪の家を追い出されたの？」と、爆弾投下。  「どんな教育してるの！」と志乃の怒りの矛先は全て知子へ。必死に頭を下げ詫びる知子を要は家庭の調停は妻の仕事だと一括。  志乃に小言を言われるばかりで全てが上手くいかない知子、そんなある日、突然志乃はお茶の指導を家で始めると宣言。瀬戸朝香　大倉孝二　茅島成美　　泉ピン子  (他)番組の最後に流れる視聴者からの嫁姑川柳募集、詳しくは番組ホームページから！山崎統司荒井光明  遠藤正人ドリマックステレビジョンhttp://www.tbs.co.jp/tonarino09</v>
      </c>
      <c r="N5887" s="2"/>
      <c r="O5887" s="2"/>
      <c r="P5887" s="1"/>
      <c r="Q5887" s="1"/>
      <c r="R5887" s="1"/>
      <c r="S5887" s="1"/>
      <c r="T5887" s="1"/>
      <c r="U5887" s="1"/>
      <c r="V5887" s="1"/>
      <c r="W5887" s="1"/>
      <c r="X5887" s="1"/>
      <c r="Y5887" s="1"/>
      <c r="Z5887" s="1"/>
      <c r="AA5887" s="1"/>
      <c r="AB5887" s="1"/>
      <c r="AC5887" s="1"/>
      <c r="AD5887" s="1"/>
      <c r="AE5887" s="1"/>
      <c r="AF5887" s="1"/>
      <c r="AG5887" s="1"/>
      <c r="AH5887" s="1"/>
      <c r="AI5887" s="1"/>
      <c r="AJ5887" s="1"/>
      <c r="AK5887" s="1"/>
      <c r="AL5887" s="1"/>
      <c r="AM5887" s="1"/>
      <c r="AN5887" s="1"/>
      <c r="AO5887" s="1"/>
      <c r="AP5887" s="1"/>
      <c r="AQ5887" s="1"/>
      <c r="AR5887" s="1"/>
      <c r="AS5887" s="1"/>
      <c r="AT5887" s="1"/>
      <c r="AU5887" s="1"/>
      <c r="AV5887" s="1"/>
      <c r="AW5887" s="1"/>
      <c r="AX5887" s="1"/>
      <c r="AY5887" s="1"/>
      <c r="AZ5887" s="1"/>
      <c r="BA5887" s="1"/>
      <c r="BB5887" s="1"/>
    </row>
    <row r="5888" ht="204.75" customHeight="1">
      <c r="A5888" s="1">
        <v>5112.0</v>
      </c>
      <c r="B5888" s="2" t="s">
        <v>15951</v>
      </c>
      <c r="C5888" s="2">
        <f>IFERROR(__xludf.DUMMYFUNCTION("split(B5888,""_"")"),907.0)</f>
        <v>907</v>
      </c>
      <c r="D5888" s="2" t="str">
        <f>IFERROR(__xludf.DUMMYFUNCTION("""COMPUTED_VALUE"""),"TBS")</f>
        <v>TBS</v>
      </c>
      <c r="E5888" s="2" t="str">
        <f>IFERROR(__xludf.DUMMYFUNCTION("""COMPUTED_VALUE"""),"水21")</f>
        <v>水21</v>
      </c>
      <c r="F5888" s="2" t="s">
        <v>15952</v>
      </c>
      <c r="G5888" s="2" t="s">
        <v>15953</v>
      </c>
      <c r="H5888" s="1">
        <v>3.0</v>
      </c>
      <c r="J5888" s="1" t="s">
        <v>11</v>
      </c>
      <c r="K5888" s="2" t="s">
        <v>15956</v>
      </c>
      <c r="L5888" s="2"/>
      <c r="M5888" s="2" t="str">
        <f>IFERROR(__xludf.DUMMYFUNCTION("split(split(K5888,""【"",false),""公式LINE"",false)"),"お茶の指導を始めた志乃の、お菓子代、道具代、全てを肩代わりしていた知子は困り果てていた。知子は余裕のある家計ではないと要に泣きつくが、それ位も払えないのかと逆上されるだけ。さらに要は同僚を飲み食いさせに家に連れて来る。憤る知子は同僚の世話を拒否。要の同僚を粗末にしてはいけないと志乃は残り物を急拵えしお袋の味ですよと、要の同僚を接待。志乃を歓迎する同僚たち。徐々に志乃の天下となりつつある高平家。瀬戸朝香　大倉孝二　茅島成美　横山めぐみ　泉ピン子　(他)番組の最後に流れる視聴者からの嫁姑川柳募集、詳しくは番組"&amp;"ホームページから！山崎統司荒井光明  遠藤正人ドリマックステレビジョンhttp://www.tbs.co.jp/tonarino09")</f>
        <v>お茶の指導を始めた志乃の、お菓子代、道具代、全てを肩代わりしていた知子は困り果てていた。知子は余裕のある家計ではないと要に泣きつくが、それ位も払えないのかと逆上されるだけ。さらに要は同僚を飲み食いさせに家に連れて来る。憤る知子は同僚の世話を拒否。要の同僚を粗末にしてはいけないと志乃は残り物を急拵えしお袋の味ですよと、要の同僚を接待。志乃を歓迎する同僚たち。徐々に志乃の天下となりつつある高平家。瀬戸朝香　大倉孝二　茅島成美　横山めぐみ　泉ピン子　(他)番組の最後に流れる視聴者からの嫁姑川柳募集、詳しくは番組ホームページから！山崎統司荒井光明  遠藤正人ドリマックステレビジョンhttp://www.tbs.co.jp/tonarino09</v>
      </c>
      <c r="N5888" s="2"/>
      <c r="O5888" s="2"/>
      <c r="P5888" s="1"/>
      <c r="Q5888" s="1"/>
      <c r="R5888" s="1"/>
      <c r="S5888" s="1"/>
      <c r="T5888" s="1"/>
      <c r="U5888" s="1"/>
      <c r="V5888" s="1"/>
      <c r="W5888" s="1"/>
      <c r="X5888" s="1"/>
      <c r="Y5888" s="1"/>
      <c r="Z5888" s="1"/>
      <c r="AA5888" s="1"/>
      <c r="AB5888" s="1"/>
      <c r="AC5888" s="1"/>
      <c r="AD5888" s="1"/>
      <c r="AE5888" s="1"/>
      <c r="AF5888" s="1"/>
      <c r="AG5888" s="1"/>
      <c r="AH5888" s="1"/>
      <c r="AI5888" s="1"/>
      <c r="AJ5888" s="1"/>
      <c r="AK5888" s="1"/>
      <c r="AL5888" s="1"/>
      <c r="AM5888" s="1"/>
      <c r="AN5888" s="1"/>
      <c r="AO5888" s="1"/>
      <c r="AP5888" s="1"/>
      <c r="AQ5888" s="1"/>
      <c r="AR5888" s="1"/>
      <c r="AS5888" s="1"/>
      <c r="AT5888" s="1"/>
      <c r="AU5888" s="1"/>
      <c r="AV5888" s="1"/>
      <c r="AW5888" s="1"/>
      <c r="AX5888" s="1"/>
      <c r="AY5888" s="1"/>
      <c r="AZ5888" s="1"/>
      <c r="BA5888" s="1"/>
      <c r="BB5888" s="1"/>
    </row>
    <row r="5889" ht="204.75" customHeight="1">
      <c r="A5889" s="1">
        <v>5113.0</v>
      </c>
      <c r="B5889" s="2" t="s">
        <v>15951</v>
      </c>
      <c r="C5889" s="2">
        <f>IFERROR(__xludf.DUMMYFUNCTION("split(B5889,""_"")"),907.0)</f>
        <v>907</v>
      </c>
      <c r="D5889" s="2" t="str">
        <f>IFERROR(__xludf.DUMMYFUNCTION("""COMPUTED_VALUE"""),"TBS")</f>
        <v>TBS</v>
      </c>
      <c r="E5889" s="2" t="str">
        <f>IFERROR(__xludf.DUMMYFUNCTION("""COMPUTED_VALUE"""),"水21")</f>
        <v>水21</v>
      </c>
      <c r="F5889" s="2" t="s">
        <v>15952</v>
      </c>
      <c r="G5889" s="2" t="s">
        <v>15953</v>
      </c>
      <c r="H5889" s="1">
        <v>4.0</v>
      </c>
      <c r="J5889" s="1" t="s">
        <v>11</v>
      </c>
      <c r="K5889" s="2" t="s">
        <v>15957</v>
      </c>
      <c r="L5889" s="2"/>
      <c r="M5889" s="2" t="str">
        <f>IFERROR(__xludf.DUMMYFUNCTION("split(split(K5889,""【"",false),""公式LINE"",false)"),"知子は学生時代の同級生時枝に街で出会う。彼女は殿村というやり手の男の秘書をしていた。仕事に輝く時枝に知子は言われのないショックを覚える。息子太郎の成績が下降している事を知った知子は、太郎を塾へ通わせる為に仕事に出ようと考えるが、実母波江にも、要にも否定されてしまう。それならばと家でできるミシンの内職を始めるが、女房に内職されるなんて亭主要の働きが悪いとばかにされてると志乃の怒りをかう。瀬戸朝香　大倉孝二　茅島成美　三浦理恵子　大杉漣　泉ピン子番組の最後に流れる視聴者からの嫁姑川柳募集、詳しくは番組ホームペ"&amp;"ージから！荒井光明荒井光明  遠藤正人ドリマックステレビジョンhttp://www.tbs.co.jp/tonarino09")</f>
        <v>知子は学生時代の同級生時枝に街で出会う。彼女は殿村というやり手の男の秘書をしていた。仕事に輝く時枝に知子は言われのないショックを覚える。息子太郎の成績が下降している事を知った知子は、太郎を塾へ通わせる為に仕事に出ようと考えるが、実母波江にも、要にも否定されてしまう。それならばと家でできるミシンの内職を始めるが、女房に内職されるなんて亭主要の働きが悪いとばかにされてると志乃の怒りをかう。瀬戸朝香　大倉孝二　茅島成美　三浦理恵子　大杉漣　泉ピン子番組の最後に流れる視聴者からの嫁姑川柳募集、詳しくは番組ホームページから！荒井光明荒井光明  遠藤正人ドリマックステレビジョンhttp://www.tbs.co.jp/tonarino09</v>
      </c>
      <c r="N5889" s="2"/>
      <c r="O5889" s="2"/>
      <c r="P5889" s="1"/>
      <c r="Q5889" s="1"/>
      <c r="R5889" s="1"/>
      <c r="S5889" s="1"/>
      <c r="T5889" s="1"/>
      <c r="U5889" s="1"/>
      <c r="V5889" s="1"/>
      <c r="W5889" s="1"/>
      <c r="X5889" s="1"/>
      <c r="Y5889" s="1"/>
      <c r="Z5889" s="1"/>
      <c r="AA5889" s="1"/>
      <c r="AB5889" s="1"/>
      <c r="AC5889" s="1"/>
      <c r="AD5889" s="1"/>
      <c r="AE5889" s="1"/>
      <c r="AF5889" s="1"/>
      <c r="AG5889" s="1"/>
      <c r="AH5889" s="1"/>
      <c r="AI5889" s="1"/>
      <c r="AJ5889" s="1"/>
      <c r="AK5889" s="1"/>
      <c r="AL5889" s="1"/>
      <c r="AM5889" s="1"/>
      <c r="AN5889" s="1"/>
      <c r="AO5889" s="1"/>
      <c r="AP5889" s="1"/>
      <c r="AQ5889" s="1"/>
      <c r="AR5889" s="1"/>
      <c r="AS5889" s="1"/>
      <c r="AT5889" s="1"/>
      <c r="AU5889" s="1"/>
      <c r="AV5889" s="1"/>
      <c r="AW5889" s="1"/>
      <c r="AX5889" s="1"/>
      <c r="AY5889" s="1"/>
      <c r="AZ5889" s="1"/>
      <c r="BA5889" s="1"/>
      <c r="BB5889" s="1"/>
    </row>
    <row r="5890" ht="204.75" customHeight="1">
      <c r="A5890" s="1">
        <v>5114.0</v>
      </c>
      <c r="B5890" s="2" t="s">
        <v>15951</v>
      </c>
      <c r="C5890" s="2">
        <f>IFERROR(__xludf.DUMMYFUNCTION("split(B5890,""_"")"),907.0)</f>
        <v>907</v>
      </c>
      <c r="D5890" s="2" t="str">
        <f>IFERROR(__xludf.DUMMYFUNCTION("""COMPUTED_VALUE"""),"TBS")</f>
        <v>TBS</v>
      </c>
      <c r="E5890" s="2" t="str">
        <f>IFERROR(__xludf.DUMMYFUNCTION("""COMPUTED_VALUE"""),"水21")</f>
        <v>水21</v>
      </c>
      <c r="F5890" s="2" t="s">
        <v>15952</v>
      </c>
      <c r="G5890" s="2" t="s">
        <v>15953</v>
      </c>
      <c r="H5890" s="1">
        <v>5.0</v>
      </c>
      <c r="J5890" s="1" t="s">
        <v>11</v>
      </c>
      <c r="K5890" s="2" t="s">
        <v>15958</v>
      </c>
      <c r="L5890" s="2"/>
      <c r="M5890" s="2" t="str">
        <f>IFERROR(__xludf.DUMMYFUNCTION("split(split(K5890,""【"",false),""公式LINE"",false)"),"太郎の問題は事の他大事だった。学業についていけない太郎は学校を無断で休んでいた。知子は働きに出て太郎を塾に通わす事を決意し、友人時枝に就職口を頼ってゆく。知子の事情を知った時枝の社長殿村は、兼ねてから探していた会員制クラブでの責任者の仕事を知子に勧める。願ってもない申し出に知子は要に就職の同意を求めるが大激怒。それでも決意の揺るがぬ知子、それを知った志乃は家事を全て志乃が仕切る事を知子に提案する。瀬戸朝香　大倉孝二　茅島成美　三浦理恵子大杉漣　泉ピン子番組の最後に流れる視聴者からの嫁姑川柳募集、詳しくは番"&amp;"組ホームページから！荒井光明荒井光明  遠藤正人ドリマックステレビジョンhttp://www.tbs.co.jp/tonarino09")</f>
        <v>太郎の問題は事の他大事だった。学業についていけない太郎は学校を無断で休んでいた。知子は働きに出て太郎を塾に通わす事を決意し、友人時枝に就職口を頼ってゆく。知子の事情を知った時枝の社長殿村は、兼ねてから探していた会員制クラブでの責任者の仕事を知子に勧める。願ってもない申し出に知子は要に就職の同意を求めるが大激怒。それでも決意の揺るがぬ知子、それを知った志乃は家事を全て志乃が仕切る事を知子に提案する。瀬戸朝香　大倉孝二　茅島成美　三浦理恵子大杉漣　泉ピン子番組の最後に流れる視聴者からの嫁姑川柳募集、詳しくは番組ホームページから！荒井光明荒井光明  遠藤正人ドリマックステレビジョンhttp://www.tbs.co.jp/tonarino09</v>
      </c>
      <c r="N5890" s="2"/>
      <c r="O5890" s="2"/>
      <c r="P5890" s="1"/>
      <c r="Q5890" s="1"/>
      <c r="R5890" s="1"/>
      <c r="S5890" s="1"/>
      <c r="T5890" s="1"/>
      <c r="U5890" s="1"/>
      <c r="V5890" s="1"/>
      <c r="W5890" s="1"/>
      <c r="X5890" s="1"/>
      <c r="Y5890" s="1"/>
      <c r="Z5890" s="1"/>
      <c r="AA5890" s="1"/>
      <c r="AB5890" s="1"/>
      <c r="AC5890" s="1"/>
      <c r="AD5890" s="1"/>
      <c r="AE5890" s="1"/>
      <c r="AF5890" s="1"/>
      <c r="AG5890" s="1"/>
      <c r="AH5890" s="1"/>
      <c r="AI5890" s="1"/>
      <c r="AJ5890" s="1"/>
      <c r="AK5890" s="1"/>
      <c r="AL5890" s="1"/>
      <c r="AM5890" s="1"/>
      <c r="AN5890" s="1"/>
      <c r="AO5890" s="1"/>
      <c r="AP5890" s="1"/>
      <c r="AQ5890" s="1"/>
      <c r="AR5890" s="1"/>
      <c r="AS5890" s="1"/>
      <c r="AT5890" s="1"/>
      <c r="AU5890" s="1"/>
      <c r="AV5890" s="1"/>
      <c r="AW5890" s="1"/>
      <c r="AX5890" s="1"/>
      <c r="AY5890" s="1"/>
      <c r="AZ5890" s="1"/>
      <c r="BA5890" s="1"/>
      <c r="BB5890" s="1"/>
    </row>
    <row r="5891" ht="204.75" customHeight="1">
      <c r="A5891" s="1">
        <v>5115.0</v>
      </c>
      <c r="B5891" s="2" t="s">
        <v>15951</v>
      </c>
      <c r="C5891" s="2">
        <f>IFERROR(__xludf.DUMMYFUNCTION("split(B5891,""_"")"),907.0)</f>
        <v>907</v>
      </c>
      <c r="D5891" s="2" t="str">
        <f>IFERROR(__xludf.DUMMYFUNCTION("""COMPUTED_VALUE"""),"TBS")</f>
        <v>TBS</v>
      </c>
      <c r="E5891" s="2" t="str">
        <f>IFERROR(__xludf.DUMMYFUNCTION("""COMPUTED_VALUE"""),"水21")</f>
        <v>水21</v>
      </c>
      <c r="F5891" s="2" t="s">
        <v>15952</v>
      </c>
      <c r="G5891" s="2" t="s">
        <v>15953</v>
      </c>
      <c r="H5891" s="1">
        <v>6.0</v>
      </c>
      <c r="J5891" s="1" t="s">
        <v>11</v>
      </c>
      <c r="K5891" s="2" t="s">
        <v>15959</v>
      </c>
      <c r="L5891" s="2"/>
      <c r="M5891" s="2" t="str">
        <f>IFERROR(__xludf.DUMMYFUNCTION("split(split(K5891,""【"",false),""公式LINE"",false)"),"会員制クラブで働くことを決意した知子は要に就職の同意を求めるが要は大激怒。それを知った志乃は家事を全て志乃がする事を知子に提案。なんとか要は納得し知子は仕事に出る事に。家のことをまかされた志乃は得意になって家族の世話を始め、茶の生徒達と出前を取って嫁の悪口に花を咲かせる。会員制クラブで働き始めた知子は、行き届く世話で経済界の重鎮達の信頼を得ていく。妻の就職に同意をした要だが内心は怒りが積もるばかり瀬戸朝香　大倉孝二　茅島成美　渋谷飛鳥　水町レイコ　三浦理恵子　大杉漣　泉ピン子番組の最後に流れる視聴者からの"&amp;"嫁姑川柳募集、詳しくは番組ホームページから！山崎統司荒井光明  遠藤正人ドリマックステレビジョンhttp://www.tbs.co.jp/tonarino09")</f>
        <v>会員制クラブで働くことを決意した知子は要に就職の同意を求めるが要は大激怒。それを知った志乃は家事を全て志乃がする事を知子に提案。なんとか要は納得し知子は仕事に出る事に。家のことをまかされた志乃は得意になって家族の世話を始め、茶の生徒達と出前を取って嫁の悪口に花を咲かせる。会員制クラブで働き始めた知子は、行き届く世話で経済界の重鎮達の信頼を得ていく。妻の就職に同意をした要だが内心は怒りが積もるばかり瀬戸朝香　大倉孝二　茅島成美　渋谷飛鳥　水町レイコ　三浦理恵子　大杉漣　泉ピン子番組の最後に流れる視聴者からの嫁姑川柳募集、詳しくは番組ホームページから！山崎統司荒井光明  遠藤正人ドリマックステレビジョンhttp://www.tbs.co.jp/tonarino09</v>
      </c>
      <c r="N5891" s="2"/>
      <c r="O5891" s="2"/>
      <c r="P5891" s="1"/>
      <c r="Q5891" s="1"/>
      <c r="R5891" s="1"/>
      <c r="S5891" s="1"/>
      <c r="T5891" s="1"/>
      <c r="U5891" s="1"/>
      <c r="V5891" s="1"/>
      <c r="W5891" s="1"/>
      <c r="X5891" s="1"/>
      <c r="Y5891" s="1"/>
      <c r="Z5891" s="1"/>
      <c r="AA5891" s="1"/>
      <c r="AB5891" s="1"/>
      <c r="AC5891" s="1"/>
      <c r="AD5891" s="1"/>
      <c r="AE5891" s="1"/>
      <c r="AF5891" s="1"/>
      <c r="AG5891" s="1"/>
      <c r="AH5891" s="1"/>
      <c r="AI5891" s="1"/>
      <c r="AJ5891" s="1"/>
      <c r="AK5891" s="1"/>
      <c r="AL5891" s="1"/>
      <c r="AM5891" s="1"/>
      <c r="AN5891" s="1"/>
      <c r="AO5891" s="1"/>
      <c r="AP5891" s="1"/>
      <c r="AQ5891" s="1"/>
      <c r="AR5891" s="1"/>
      <c r="AS5891" s="1"/>
      <c r="AT5891" s="1"/>
      <c r="AU5891" s="1"/>
      <c r="AV5891" s="1"/>
      <c r="AW5891" s="1"/>
      <c r="AX5891" s="1"/>
      <c r="AY5891" s="1"/>
      <c r="AZ5891" s="1"/>
      <c r="BA5891" s="1"/>
      <c r="BB5891" s="1"/>
    </row>
    <row r="5892" ht="204.75" customHeight="1">
      <c r="A5892" s="1">
        <v>5116.0</v>
      </c>
      <c r="B5892" s="2" t="s">
        <v>15951</v>
      </c>
      <c r="C5892" s="2">
        <f>IFERROR(__xludf.DUMMYFUNCTION("split(B5892,""_"")"),907.0)</f>
        <v>907</v>
      </c>
      <c r="D5892" s="2" t="str">
        <f>IFERROR(__xludf.DUMMYFUNCTION("""COMPUTED_VALUE"""),"TBS")</f>
        <v>TBS</v>
      </c>
      <c r="E5892" s="2" t="str">
        <f>IFERROR(__xludf.DUMMYFUNCTION("""COMPUTED_VALUE"""),"水21")</f>
        <v>水21</v>
      </c>
      <c r="F5892" s="2" t="s">
        <v>15952</v>
      </c>
      <c r="G5892" s="2" t="s">
        <v>15953</v>
      </c>
      <c r="H5892" s="1">
        <v>7.0</v>
      </c>
      <c r="J5892" s="1" t="s">
        <v>11</v>
      </c>
      <c r="K5892" s="2" t="s">
        <v>15960</v>
      </c>
      <c r="L5892" s="2"/>
      <c r="M5892" s="2" t="str">
        <f>IFERROR(__xludf.DUMMYFUNCTION("split(split(K5892,""【"",false),""公式LINE"",false)"),"会員制クラブで働き始めた知子は誰からも重宝されるようになるが、家に帰れば邪魔者。そう感じると、知子は余計に仕事場に潤いを見出すように。知子の本音を知った殿村は、  「このまま仕事を続けさせていいのか」と知子に退職を促す、しかし知子は頑なに拒否をする。なんとか殿村を説得した知子だったが、クラブの会員川野と口論になってしまう。瀬戸朝香　大倉孝二　山下真司　鶴田忍　三浦理恵子　大杉漣　泉ピン子番組の最後に流れる視聴者からの嫁姑川柳募集、詳しくは番組ホームページから！山崎統司荒井光明  遠藤正人ドリマックステレビ"&amp;"ジョンhttp://www.tbs.co.jp/tonarino09")</f>
        <v>会員制クラブで働き始めた知子は誰からも重宝されるようになるが、家に帰れば邪魔者。そう感じると、知子は余計に仕事場に潤いを見出すように。知子の本音を知った殿村は、  「このまま仕事を続けさせていいのか」と知子に退職を促す、しかし知子は頑なに拒否をする。なんとか殿村を説得した知子だったが、クラブの会員川野と口論になってしまう。瀬戸朝香　大倉孝二　山下真司　鶴田忍　三浦理恵子　大杉漣　泉ピン子番組の最後に流れる視聴者からの嫁姑川柳募集、詳しくは番組ホームページから！山崎統司荒井光明  遠藤正人ドリマックステレビジョンhttp://www.tbs.co.jp/tonarino09</v>
      </c>
      <c r="N5892" s="2"/>
      <c r="O5892" s="2"/>
      <c r="P5892" s="1"/>
      <c r="Q5892" s="1"/>
      <c r="R5892" s="1"/>
      <c r="S5892" s="1"/>
      <c r="T5892" s="1"/>
      <c r="U5892" s="1"/>
      <c r="V5892" s="1"/>
      <c r="W5892" s="1"/>
      <c r="X5892" s="1"/>
      <c r="Y5892" s="1"/>
      <c r="Z5892" s="1"/>
      <c r="AA5892" s="1"/>
      <c r="AB5892" s="1"/>
      <c r="AC5892" s="1"/>
      <c r="AD5892" s="1"/>
      <c r="AE5892" s="1"/>
      <c r="AF5892" s="1"/>
      <c r="AG5892" s="1"/>
      <c r="AH5892" s="1"/>
      <c r="AI5892" s="1"/>
      <c r="AJ5892" s="1"/>
      <c r="AK5892" s="1"/>
      <c r="AL5892" s="1"/>
      <c r="AM5892" s="1"/>
      <c r="AN5892" s="1"/>
      <c r="AO5892" s="1"/>
      <c r="AP5892" s="1"/>
      <c r="AQ5892" s="1"/>
      <c r="AR5892" s="1"/>
      <c r="AS5892" s="1"/>
      <c r="AT5892" s="1"/>
      <c r="AU5892" s="1"/>
      <c r="AV5892" s="1"/>
      <c r="AW5892" s="1"/>
      <c r="AX5892" s="1"/>
      <c r="AY5892" s="1"/>
      <c r="AZ5892" s="1"/>
      <c r="BA5892" s="1"/>
      <c r="BB5892" s="1"/>
    </row>
    <row r="5893" ht="204.75" customHeight="1">
      <c r="A5893" s="1">
        <v>5117.0</v>
      </c>
      <c r="B5893" s="2" t="s">
        <v>15951</v>
      </c>
      <c r="C5893" s="2">
        <f>IFERROR(__xludf.DUMMYFUNCTION("split(B5893,""_"")"),907.0)</f>
        <v>907</v>
      </c>
      <c r="D5893" s="2" t="str">
        <f>IFERROR(__xludf.DUMMYFUNCTION("""COMPUTED_VALUE"""),"TBS")</f>
        <v>TBS</v>
      </c>
      <c r="E5893" s="2" t="str">
        <f>IFERROR(__xludf.DUMMYFUNCTION("""COMPUTED_VALUE"""),"水21")</f>
        <v>水21</v>
      </c>
      <c r="F5893" s="2" t="s">
        <v>15952</v>
      </c>
      <c r="G5893" s="2" t="s">
        <v>15953</v>
      </c>
      <c r="H5893" s="1">
        <v>8.0</v>
      </c>
      <c r="J5893" s="1" t="s">
        <v>11</v>
      </c>
      <c r="K5893" s="2" t="s">
        <v>15961</v>
      </c>
      <c r="L5893" s="2"/>
      <c r="M5893" s="2" t="str">
        <f>IFERROR(__xludf.DUMMYFUNCTION("split(split(K5893,""【"",false),""公式LINE"",false)"),"雨の日、帰りの遅い知子を駅まで迎えに行こうと家を出る要、そこで見たのは殿村に送られてくる知子の姿だった。知子は、初めての給料で要を喜ばせようとブランド物のネクタイを買うのだが、反感を買い大喧嘩へ。良かれと思いする事全てが上手くいかくなってしまう知子。そんな中、要は取引先の専務と打ち合わせで訪れた会員制クラブで、美しい姿で働く知子を見つけてしまう。それが、初めて知子の働く姿を見た要だった。瀬戸朝香　大倉孝二　茅島成美　山下真司　三浦理恵子　大杉漣　泉ピン子番組の最後に流れる視聴者からの嫁姑川柳募集、詳しくは"&amp;"番組ホームページから！荒井光明荒井光明  遠藤正人ドリマックステレビジョンhttp://www.tbs.co.jp/tonarino09")</f>
        <v>雨の日、帰りの遅い知子を駅まで迎えに行こうと家を出る要、そこで見たのは殿村に送られてくる知子の姿だった。知子は、初めての給料で要を喜ばせようとブランド物のネクタイを買うのだが、反感を買い大喧嘩へ。良かれと思いする事全てが上手くいかくなってしまう知子。そんな中、要は取引先の専務と打ち合わせで訪れた会員制クラブで、美しい姿で働く知子を見つけてしまう。それが、初めて知子の働く姿を見た要だった。瀬戸朝香　大倉孝二　茅島成美　山下真司　三浦理恵子　大杉漣　泉ピン子番組の最後に流れる視聴者からの嫁姑川柳募集、詳しくは番組ホームページから！荒井光明荒井光明  遠藤正人ドリマックステレビジョンhttp://www.tbs.co.jp/tonarino09</v>
      </c>
      <c r="N5893" s="2"/>
      <c r="O5893" s="2"/>
      <c r="P5893" s="1"/>
      <c r="Q5893" s="1"/>
      <c r="R5893" s="1"/>
      <c r="S5893" s="1"/>
      <c r="T5893" s="1"/>
      <c r="U5893" s="1"/>
      <c r="V5893" s="1"/>
      <c r="W5893" s="1"/>
      <c r="X5893" s="1"/>
      <c r="Y5893" s="1"/>
      <c r="Z5893" s="1"/>
      <c r="AA5893" s="1"/>
      <c r="AB5893" s="1"/>
      <c r="AC5893" s="1"/>
      <c r="AD5893" s="1"/>
      <c r="AE5893" s="1"/>
      <c r="AF5893" s="1"/>
      <c r="AG5893" s="1"/>
      <c r="AH5893" s="1"/>
      <c r="AI5893" s="1"/>
      <c r="AJ5893" s="1"/>
      <c r="AK5893" s="1"/>
      <c r="AL5893" s="1"/>
      <c r="AM5893" s="1"/>
      <c r="AN5893" s="1"/>
      <c r="AO5893" s="1"/>
      <c r="AP5893" s="1"/>
      <c r="AQ5893" s="1"/>
      <c r="AR5893" s="1"/>
      <c r="AS5893" s="1"/>
      <c r="AT5893" s="1"/>
      <c r="AU5893" s="1"/>
      <c r="AV5893" s="1"/>
      <c r="AW5893" s="1"/>
      <c r="AX5893" s="1"/>
      <c r="AY5893" s="1"/>
      <c r="AZ5893" s="1"/>
      <c r="BA5893" s="1"/>
      <c r="BB5893" s="1"/>
    </row>
    <row r="5894" ht="204.75" customHeight="1">
      <c r="A5894" s="1">
        <v>5118.0</v>
      </c>
      <c r="B5894" s="2" t="s">
        <v>15951</v>
      </c>
      <c r="C5894" s="2">
        <f>IFERROR(__xludf.DUMMYFUNCTION("split(B5894,""_"")"),907.0)</f>
        <v>907</v>
      </c>
      <c r="D5894" s="2" t="str">
        <f>IFERROR(__xludf.DUMMYFUNCTION("""COMPUTED_VALUE"""),"TBS")</f>
        <v>TBS</v>
      </c>
      <c r="E5894" s="2" t="str">
        <f>IFERROR(__xludf.DUMMYFUNCTION("""COMPUTED_VALUE"""),"水21")</f>
        <v>水21</v>
      </c>
      <c r="F5894" s="2" t="s">
        <v>15952</v>
      </c>
      <c r="G5894" s="2" t="s">
        <v>15953</v>
      </c>
      <c r="H5894" s="1">
        <v>9.0</v>
      </c>
      <c r="J5894" s="1" t="s">
        <v>11</v>
      </c>
      <c r="K5894" s="2" t="s">
        <v>15962</v>
      </c>
      <c r="L5894" s="2"/>
      <c r="M5894" s="2" t="str">
        <f>IFERROR(__xludf.DUMMYFUNCTION("split(split(K5894,""【"",false),""公式LINE"",false)"),"要は近くの喫茶店で出会った時枝と一緒に飲みに行く事に。知子は早々と帰宅して要の帰りを待つが、要は深夜泥酔で帰宅。翌朝、要と昨日のことを話し合う知子だが、また怒らせてしまう。志乃も要を心配に思うが邪険に扱われて不満。そこへ時枝から要宛に電話が掛かってくる。時枝は要をまた会いたいと誘う。二人のことを知らない知子と殿村は時枝に男ができたのではとそのことを嬉しく思っていたが…。瀬戸朝香　大倉孝二　山下真司　三浦理恵子　大杉漣　泉ピン子番組の最後に流れる視聴者からの嫁姑川柳募集、詳しくは番組ホームページから！荒井光"&amp;"明荒井光明  遠藤正人ドリマックステレビジョンhttp://www.tbs.co.jp/tonarino09")</f>
        <v>要は近くの喫茶店で出会った時枝と一緒に飲みに行く事に。知子は早々と帰宅して要の帰りを待つが、要は深夜泥酔で帰宅。翌朝、要と昨日のことを話し合う知子だが、また怒らせてしまう。志乃も要を心配に思うが邪険に扱われて不満。そこへ時枝から要宛に電話が掛かってくる。時枝は要をまた会いたいと誘う。二人のことを知らない知子と殿村は時枝に男ができたのではとそのことを嬉しく思っていたが…。瀬戸朝香　大倉孝二　山下真司　三浦理恵子　大杉漣　泉ピン子番組の最後に流れる視聴者からの嫁姑川柳募集、詳しくは番組ホームページから！荒井光明荒井光明  遠藤正人ドリマックステレビジョンhttp://www.tbs.co.jp/tonarino09</v>
      </c>
      <c r="N5894" s="2"/>
      <c r="O5894" s="2"/>
      <c r="P5894" s="1"/>
      <c r="Q5894" s="1"/>
      <c r="R5894" s="1"/>
      <c r="S5894" s="1"/>
      <c r="T5894" s="1"/>
      <c r="U5894" s="1"/>
      <c r="V5894" s="1"/>
      <c r="W5894" s="1"/>
      <c r="X5894" s="1"/>
      <c r="Y5894" s="1"/>
      <c r="Z5894" s="1"/>
      <c r="AA5894" s="1"/>
      <c r="AB5894" s="1"/>
      <c r="AC5894" s="1"/>
      <c r="AD5894" s="1"/>
      <c r="AE5894" s="1"/>
      <c r="AF5894" s="1"/>
      <c r="AG5894" s="1"/>
      <c r="AH5894" s="1"/>
      <c r="AI5894" s="1"/>
      <c r="AJ5894" s="1"/>
      <c r="AK5894" s="1"/>
      <c r="AL5894" s="1"/>
      <c r="AM5894" s="1"/>
      <c r="AN5894" s="1"/>
      <c r="AO5894" s="1"/>
      <c r="AP5894" s="1"/>
      <c r="AQ5894" s="1"/>
      <c r="AR5894" s="1"/>
      <c r="AS5894" s="1"/>
      <c r="AT5894" s="1"/>
      <c r="AU5894" s="1"/>
      <c r="AV5894" s="1"/>
      <c r="AW5894" s="1"/>
      <c r="AX5894" s="1"/>
      <c r="AY5894" s="1"/>
      <c r="AZ5894" s="1"/>
      <c r="BA5894" s="1"/>
      <c r="BB5894" s="1"/>
    </row>
    <row r="5895" ht="204.75" customHeight="1">
      <c r="A5895" s="1">
        <v>5119.0</v>
      </c>
      <c r="B5895" s="2" t="s">
        <v>15951</v>
      </c>
      <c r="C5895" s="2">
        <f>IFERROR(__xludf.DUMMYFUNCTION("split(B5895,""_"")"),907.0)</f>
        <v>907</v>
      </c>
      <c r="D5895" s="2" t="str">
        <f>IFERROR(__xludf.DUMMYFUNCTION("""COMPUTED_VALUE"""),"TBS")</f>
        <v>TBS</v>
      </c>
      <c r="E5895" s="2" t="str">
        <f>IFERROR(__xludf.DUMMYFUNCTION("""COMPUTED_VALUE"""),"水21")</f>
        <v>水21</v>
      </c>
      <c r="F5895" s="2" t="s">
        <v>15952</v>
      </c>
      <c r="G5895" s="2" t="s">
        <v>15953</v>
      </c>
      <c r="H5895" s="1">
        <v>10.0</v>
      </c>
      <c r="J5895" s="1" t="s">
        <v>11</v>
      </c>
      <c r="K5895" s="2" t="s">
        <v>15963</v>
      </c>
      <c r="L5895" s="2"/>
      <c r="M5895" s="2" t="str">
        <f>IFERROR(__xludf.DUMMYFUNCTION("split(split(K5895,""【"",false),""公式LINE"",false)"),"「傷ついた夫の反乱」家庭の危機を感じる知子は、殿村に退職を申し出る。家に戻ることになった知子は志乃からは邪魔者扱い、子供の心も掴みかね、実家に寄ろうとも早く姑の元へ戻れと母、波江に叱られる。知子の居場所は会員クラブだけだったのだ。そんな中、知子は馴染みの専務と要が進める企画のあらぬ話を聞く。知子は殿村に要が夫である事を告白。専務との企画を白紙に戻すよう動けないかと願い出る。瀬戸朝香　大倉孝二　茅島成美　山下真司　三浦理恵子　大杉漣　泉ピン子番組の最後に流れる視聴者からの嫁姑川柳募集、詳しくは番組ホームペー"&amp;"ジから！山崎統司荒井光明  遠藤正人ドリマックステレビジョンhttp://www.tbs.co.jp/tonarino09")</f>
        <v>「傷ついた夫の反乱」家庭の危機を感じる知子は、殿村に退職を申し出る。家に戻ることになった知子は志乃からは邪魔者扱い、子供の心も掴みかね、実家に寄ろうとも早く姑の元へ戻れと母、波江に叱られる。知子の居場所は会員クラブだけだったのだ。そんな中、知子は馴染みの専務と要が進める企画のあらぬ話を聞く。知子は殿村に要が夫である事を告白。専務との企画を白紙に戻すよう動けないかと願い出る。瀬戸朝香　大倉孝二　茅島成美　山下真司　三浦理恵子　大杉漣　泉ピン子番組の最後に流れる視聴者からの嫁姑川柳募集、詳しくは番組ホームページから！山崎統司荒井光明  遠藤正人ドリマックステレビジョンhttp://www.tbs.co.jp/tonarino09</v>
      </c>
      <c r="N5895" s="2"/>
      <c r="O5895" s="2"/>
      <c r="P5895" s="1"/>
      <c r="Q5895" s="1"/>
      <c r="R5895" s="1"/>
      <c r="S5895" s="1"/>
      <c r="T5895" s="1"/>
      <c r="U5895" s="1"/>
      <c r="V5895" s="1"/>
      <c r="W5895" s="1"/>
      <c r="X5895" s="1"/>
      <c r="Y5895" s="1"/>
      <c r="Z5895" s="1"/>
      <c r="AA5895" s="1"/>
      <c r="AB5895" s="1"/>
      <c r="AC5895" s="1"/>
      <c r="AD5895" s="1"/>
      <c r="AE5895" s="1"/>
      <c r="AF5895" s="1"/>
      <c r="AG5895" s="1"/>
      <c r="AH5895" s="1"/>
      <c r="AI5895" s="1"/>
      <c r="AJ5895" s="1"/>
      <c r="AK5895" s="1"/>
      <c r="AL5895" s="1"/>
      <c r="AM5895" s="1"/>
      <c r="AN5895" s="1"/>
      <c r="AO5895" s="1"/>
      <c r="AP5895" s="1"/>
      <c r="AQ5895" s="1"/>
      <c r="AR5895" s="1"/>
      <c r="AS5895" s="1"/>
      <c r="AT5895" s="1"/>
      <c r="AU5895" s="1"/>
      <c r="AV5895" s="1"/>
      <c r="AW5895" s="1"/>
      <c r="AX5895" s="1"/>
      <c r="AY5895" s="1"/>
      <c r="AZ5895" s="1"/>
      <c r="BA5895" s="1"/>
      <c r="BB5895" s="1"/>
    </row>
    <row r="5896" ht="204.75" customHeight="1">
      <c r="A5896" s="1">
        <v>5120.0</v>
      </c>
      <c r="B5896" s="2" t="s">
        <v>15951</v>
      </c>
      <c r="C5896" s="2">
        <f>IFERROR(__xludf.DUMMYFUNCTION("split(B5896,""_"")"),907.0)</f>
        <v>907</v>
      </c>
      <c r="D5896" s="2" t="str">
        <f>IFERROR(__xludf.DUMMYFUNCTION("""COMPUTED_VALUE"""),"TBS")</f>
        <v>TBS</v>
      </c>
      <c r="E5896" s="2" t="str">
        <f>IFERROR(__xludf.DUMMYFUNCTION("""COMPUTED_VALUE"""),"水21")</f>
        <v>水21</v>
      </c>
      <c r="F5896" s="2" t="s">
        <v>15952</v>
      </c>
      <c r="G5896" s="2" t="s">
        <v>15953</v>
      </c>
      <c r="H5896" s="1">
        <v>11.0</v>
      </c>
      <c r="J5896" s="1" t="s">
        <v>11</v>
      </c>
      <c r="K5896" s="2" t="s">
        <v>15964</v>
      </c>
      <c r="L5896" s="2"/>
      <c r="M5896" s="2" t="str">
        <f>IFERROR(__xludf.DUMMYFUNCTION("split(split(K5896,""【"",false),""公式LINE"",false)"),"「壊れた夫婦の行方」知子は仕事がうまくいかなかったことは要にとってよかったことだと説得するが、妨害したのが殿村だとわかり要は激怒する、そして、知子と殿村の関係までも疑う。夫を強く想う知子の気持ちは伝わらない。こんな、夫婦不仲への叱責を志乃からひたすらに浴びて数日が経ったある日、高平家に警察から思いがけない電話が入る…。瀬戸朝香　大倉孝二　岡本麗　大島蓉子　新井康弘　三浦理恵子　大杉漣　泉ピン子番組の最後に流れる視聴者からの嫁姑川柳募集、詳しくは番組ホームページから！荒井光明荒井光明  遠藤正人ドリマックス"&amp;"テレビジョンhttp://www.tbs.co.jp/tonarino09")</f>
        <v>「壊れた夫婦の行方」知子は仕事がうまくいかなかったことは要にとってよかったことだと説得するが、妨害したのが殿村だとわかり要は激怒する、そして、知子と殿村の関係までも疑う。夫を強く想う知子の気持ちは伝わらない。こんな、夫婦不仲への叱責を志乃からひたすらに浴びて数日が経ったある日、高平家に警察から思いがけない電話が入る…。瀬戸朝香　大倉孝二　岡本麗　大島蓉子　新井康弘　三浦理恵子　大杉漣　泉ピン子番組の最後に流れる視聴者からの嫁姑川柳募集、詳しくは番組ホームページから！荒井光明荒井光明  遠藤正人ドリマックステレビジョンhttp://www.tbs.co.jp/tonarino09</v>
      </c>
      <c r="N5896" s="2"/>
      <c r="O5896" s="2"/>
      <c r="P5896" s="1"/>
      <c r="Q5896" s="1"/>
      <c r="R5896" s="1"/>
      <c r="S5896" s="1"/>
      <c r="T5896" s="1"/>
      <c r="U5896" s="1"/>
      <c r="V5896" s="1"/>
      <c r="W5896" s="1"/>
      <c r="X5896" s="1"/>
      <c r="Y5896" s="1"/>
      <c r="Z5896" s="1"/>
      <c r="AA5896" s="1"/>
      <c r="AB5896" s="1"/>
      <c r="AC5896" s="1"/>
      <c r="AD5896" s="1"/>
      <c r="AE5896" s="1"/>
      <c r="AF5896" s="1"/>
      <c r="AG5896" s="1"/>
      <c r="AH5896" s="1"/>
      <c r="AI5896" s="1"/>
      <c r="AJ5896" s="1"/>
      <c r="AK5896" s="1"/>
      <c r="AL5896" s="1"/>
      <c r="AM5896" s="1"/>
      <c r="AN5896" s="1"/>
      <c r="AO5896" s="1"/>
      <c r="AP5896" s="1"/>
      <c r="AQ5896" s="1"/>
      <c r="AR5896" s="1"/>
      <c r="AS5896" s="1"/>
      <c r="AT5896" s="1"/>
      <c r="AU5896" s="1"/>
      <c r="AV5896" s="1"/>
      <c r="AW5896" s="1"/>
      <c r="AX5896" s="1"/>
      <c r="AY5896" s="1"/>
      <c r="AZ5896" s="1"/>
      <c r="BA5896" s="1"/>
      <c r="BB5896" s="1"/>
    </row>
    <row r="5897" ht="204.75" customHeight="1">
      <c r="A5897" s="1">
        <v>5121.0</v>
      </c>
      <c r="B5897" s="2" t="s">
        <v>15951</v>
      </c>
      <c r="C5897" s="2">
        <f>IFERROR(__xludf.DUMMYFUNCTION("split(B5897,""_"")"),907.0)</f>
        <v>907</v>
      </c>
      <c r="D5897" s="2" t="str">
        <f>IFERROR(__xludf.DUMMYFUNCTION("""COMPUTED_VALUE"""),"TBS")</f>
        <v>TBS</v>
      </c>
      <c r="E5897" s="2" t="str">
        <f>IFERROR(__xludf.DUMMYFUNCTION("""COMPUTED_VALUE"""),"水21")</f>
        <v>水21</v>
      </c>
      <c r="F5897" s="2" t="s">
        <v>15952</v>
      </c>
      <c r="G5897" s="2" t="s">
        <v>15953</v>
      </c>
      <c r="H5897" s="1">
        <v>12.0</v>
      </c>
      <c r="J5897" s="1" t="s">
        <v>11</v>
      </c>
      <c r="K5897" s="2" t="s">
        <v>15965</v>
      </c>
      <c r="L5897" s="2"/>
      <c r="M5897" s="2" t="str">
        <f>IFERROR(__xludf.DUMMYFUNCTION("split(split(K5897,""【"",false),""公式LINE"",false)"),"「嫁と姑の決断」高平の家を出て実家に戻った知子。波江からは戻るよう言われるが、今度こそは許せないと知子は抵抗する。ただ心配は、花子と太郎を残して飛び出してしまった事だった。志乃は要が大事を働いてしまったのは全て知子のせいだと、またしても知子を非難し、花子と太郎には知子は出張と誤魔化していた。そんな中、遂に知子と時枝が話し合う事になる。瀬戸朝香　大倉孝二　茅島成美　渋谷飛鳥　水町レイコ　三浦理恵子　大杉漣　泉ピン子荒井光明荒井光明  遠藤正人ドリマックステレビジョンhttp://www.tbs.co.jp/"&amp;"tonarino09")</f>
        <v>「嫁と姑の決断」高平の家を出て実家に戻った知子。波江からは戻るよう言われるが、今度こそは許せないと知子は抵抗する。ただ心配は、花子と太郎を残して飛び出してしまった事だった。志乃は要が大事を働いてしまったのは全て知子のせいだと、またしても知子を非難し、花子と太郎には知子は出張と誤魔化していた。そんな中、遂に知子と時枝が話し合う事になる。瀬戸朝香　大倉孝二　茅島成美　渋谷飛鳥　水町レイコ　三浦理恵子　大杉漣　泉ピン子荒井光明荒井光明  遠藤正人ドリマックステレビジョンhttp://www.tbs.co.jp/tonarino09</v>
      </c>
      <c r="N5897" s="2"/>
      <c r="O5897" s="2"/>
      <c r="P5897" s="1"/>
      <c r="Q5897" s="1"/>
      <c r="R5897" s="1"/>
      <c r="S5897" s="1"/>
      <c r="T5897" s="1"/>
      <c r="U5897" s="1"/>
      <c r="V5897" s="1"/>
      <c r="W5897" s="1"/>
      <c r="X5897" s="1"/>
      <c r="Y5897" s="1"/>
      <c r="Z5897" s="1"/>
      <c r="AA5897" s="1"/>
      <c r="AB5897" s="1"/>
      <c r="AC5897" s="1"/>
      <c r="AD5897" s="1"/>
      <c r="AE5897" s="1"/>
      <c r="AF5897" s="1"/>
      <c r="AG5897" s="1"/>
      <c r="AH5897" s="1"/>
      <c r="AI5897" s="1"/>
      <c r="AJ5897" s="1"/>
      <c r="AK5897" s="1"/>
      <c r="AL5897" s="1"/>
      <c r="AM5897" s="1"/>
      <c r="AN5897" s="1"/>
      <c r="AO5897" s="1"/>
      <c r="AP5897" s="1"/>
      <c r="AQ5897" s="1"/>
      <c r="AR5897" s="1"/>
      <c r="AS5897" s="1"/>
      <c r="AT5897" s="1"/>
      <c r="AU5897" s="1"/>
      <c r="AV5897" s="1"/>
      <c r="AW5897" s="1"/>
      <c r="AX5897" s="1"/>
      <c r="AY5897" s="1"/>
      <c r="AZ5897" s="1"/>
      <c r="BA5897" s="1"/>
      <c r="BB5897" s="1"/>
    </row>
    <row r="5898" ht="204.75" customHeight="1">
      <c r="A5898" s="1">
        <v>5171.0</v>
      </c>
      <c r="B5898" s="2" t="s">
        <v>15966</v>
      </c>
      <c r="C5898" s="2">
        <f>IFERROR(__xludf.DUMMYFUNCTION("split(B5898,""_"")"),907.0)</f>
        <v>907</v>
      </c>
      <c r="D5898" s="2" t="str">
        <f>IFERROR(__xludf.DUMMYFUNCTION("""COMPUTED_VALUE"""),"TBS")</f>
        <v>TBS</v>
      </c>
      <c r="E5898" s="2" t="str">
        <f>IFERROR(__xludf.DUMMYFUNCTION("""COMPUTED_VALUE"""),"金22")</f>
        <v>金22</v>
      </c>
      <c r="F5898" s="2" t="s">
        <v>15967</v>
      </c>
      <c r="G5898" s="2" t="s">
        <v>15968</v>
      </c>
      <c r="H5898" s="1">
        <v>1.0</v>
      </c>
      <c r="J5898" s="1" t="s">
        <v>82</v>
      </c>
      <c r="K5898" s="2" t="s">
        <v>15969</v>
      </c>
      <c r="L5898" s="2"/>
      <c r="M5898" s="2" t="str">
        <f>IFERROR(__xludf.DUMMYFUNCTION("split(split(K5898,""【"",false),""公式LINE"",false)"),"「神の手の悪魔VS悪魔の手の天使！No1スピードミステリー日本上陸」事件を追っていた女刑事、長谷部渚は犯人グループに捕われ、命の危機にさらされる。その時、彼女の目の前で信じられないことが…「神の手」を持つ竜崎臣司と「悪魔の手」を持つ碧井亮介の運命の戦いが始まる…滝沢秀明　錦戸亮　水川あさみ　八乙女光　  山本龍二　原田夏希　忍成修吾　六平直政　柴俊夫　波瑠　朝加真由美　中原丈雄　中丸新将　河北麻友子　大久保麻理子　熊田聖亜六角精児　佐々木蔵之介　高畑淳子初回は75分拡大スペシャルです。  ")</f>
        <v>「神の手の悪魔VS悪魔の手の天使！No1スピードミステリー日本上陸」事件を追っていた女刑事、長谷部渚は犯人グループに捕われ、命の危機にさらされる。その時、彼女の目の前で信じられないことが…「神の手」を持つ竜崎臣司と「悪魔の手」を持つ碧井亮介の運命の戦いが始まる…滝沢秀明　錦戸亮　水川あさみ　八乙女光　  山本龍二　原田夏希　忍成修吾　六平直政　柴俊夫　波瑠　朝加真由美　中原丈雄　中丸新将　河北麻友子　大久保麻理子　熊田聖亜六角精児　佐々木蔵之介　高畑淳子初回は75分拡大スペシャルです。  </v>
      </c>
      <c r="N5898" s="2"/>
      <c r="O5898" s="2"/>
      <c r="P5898" s="1"/>
      <c r="Q5898" s="1"/>
      <c r="R5898" s="1"/>
      <c r="S5898" s="1"/>
      <c r="T5898" s="1"/>
      <c r="U5898" s="1"/>
      <c r="V5898" s="1"/>
      <c r="W5898" s="1"/>
      <c r="X5898" s="1"/>
      <c r="Y5898" s="1"/>
      <c r="Z5898" s="1"/>
      <c r="AA5898" s="1"/>
      <c r="AB5898" s="1"/>
      <c r="AC5898" s="1"/>
      <c r="AD5898" s="1"/>
      <c r="AE5898" s="1"/>
      <c r="AF5898" s="1"/>
      <c r="AG5898" s="1"/>
      <c r="AH5898" s="1"/>
      <c r="AI5898" s="1"/>
      <c r="AJ5898" s="1"/>
      <c r="AK5898" s="1"/>
      <c r="AL5898" s="1"/>
      <c r="AM5898" s="1"/>
      <c r="AN5898" s="1"/>
      <c r="AO5898" s="1"/>
      <c r="AP5898" s="1"/>
      <c r="AQ5898" s="1"/>
      <c r="AR5898" s="1"/>
      <c r="AS5898" s="1"/>
      <c r="AT5898" s="1"/>
      <c r="AU5898" s="1"/>
      <c r="AV5898" s="1"/>
      <c r="AW5898" s="1"/>
      <c r="AX5898" s="1"/>
      <c r="AY5898" s="1"/>
      <c r="AZ5898" s="1"/>
      <c r="BA5898" s="1"/>
      <c r="BB5898" s="1"/>
    </row>
    <row r="5899" ht="204.75" customHeight="1">
      <c r="A5899" s="1">
        <v>5172.0</v>
      </c>
      <c r="B5899" s="2" t="s">
        <v>15966</v>
      </c>
      <c r="C5899" s="2">
        <f>IFERROR(__xludf.DUMMYFUNCTION("split(B5899,""_"")"),907.0)</f>
        <v>907</v>
      </c>
      <c r="D5899" s="2" t="str">
        <f>IFERROR(__xludf.DUMMYFUNCTION("""COMPUTED_VALUE"""),"TBS")</f>
        <v>TBS</v>
      </c>
      <c r="E5899" s="2" t="str">
        <f>IFERROR(__xludf.DUMMYFUNCTION("""COMPUTED_VALUE"""),"金22")</f>
        <v>金22</v>
      </c>
      <c r="F5899" s="2" t="s">
        <v>15967</v>
      </c>
      <c r="G5899" s="2" t="s">
        <v>15968</v>
      </c>
      <c r="H5899" s="1">
        <v>2.0</v>
      </c>
      <c r="J5899" s="1" t="s">
        <v>86</v>
      </c>
      <c r="K5899" s="2" t="s">
        <v>15970</v>
      </c>
      <c r="L5899" s="2"/>
      <c r="M5899" s="2" t="str">
        <f>IFERROR(__xludf.DUMMYFUNCTION("split(split(K5899,""【"",false),""公式LINE"",false)"),"「究極の！選択」10年の沈黙を破り、脱獄した竜崎の目論見は一体何なのか？「龍谷村」というキーワードを頼りに碧井が向かった先で見つけた謎の文様が意味するものは？運命の二人を取り巻く、様々な権力、欲望が動き出す！滝沢秀明　錦戸亮　水川あさみ　八乙女光　  山本龍二　原田夏希　忍成修吾　六平直政　柴俊夫　波瑠　朝加真由美　中原丈雄　池田成志　河北麻友子　大久保麻理子　熊田聖亜六角精児　佐々木蔵之介　高畑淳子")</f>
        <v>「究極の！選択」10年の沈黙を破り、脱獄した竜崎の目論見は一体何なのか？「龍谷村」というキーワードを頼りに碧井が向かった先で見つけた謎の文様が意味するものは？運命の二人を取り巻く、様々な権力、欲望が動き出す！滝沢秀明　錦戸亮　水川あさみ　八乙女光　  山本龍二　原田夏希　忍成修吾　六平直政　柴俊夫　波瑠　朝加真由美　中原丈雄　池田成志　河北麻友子　大久保麻理子　熊田聖亜六角精児　佐々木蔵之介　高畑淳子</v>
      </c>
      <c r="N5899" s="2"/>
      <c r="O5899" s="2"/>
      <c r="P5899" s="1"/>
      <c r="Q5899" s="1"/>
      <c r="R5899" s="1"/>
      <c r="S5899" s="1"/>
      <c r="T5899" s="1"/>
      <c r="U5899" s="1"/>
      <c r="V5899" s="1"/>
      <c r="W5899" s="1"/>
      <c r="X5899" s="1"/>
      <c r="Y5899" s="1"/>
      <c r="Z5899" s="1"/>
      <c r="AA5899" s="1"/>
      <c r="AB5899" s="1"/>
      <c r="AC5899" s="1"/>
      <c r="AD5899" s="1"/>
      <c r="AE5899" s="1"/>
      <c r="AF5899" s="1"/>
      <c r="AG5899" s="1"/>
      <c r="AH5899" s="1"/>
      <c r="AI5899" s="1"/>
      <c r="AJ5899" s="1"/>
      <c r="AK5899" s="1"/>
      <c r="AL5899" s="1"/>
      <c r="AM5899" s="1"/>
      <c r="AN5899" s="1"/>
      <c r="AO5899" s="1"/>
      <c r="AP5899" s="1"/>
      <c r="AQ5899" s="1"/>
      <c r="AR5899" s="1"/>
      <c r="AS5899" s="1"/>
      <c r="AT5899" s="1"/>
      <c r="AU5899" s="1"/>
      <c r="AV5899" s="1"/>
      <c r="AW5899" s="1"/>
      <c r="AX5899" s="1"/>
      <c r="AY5899" s="1"/>
      <c r="AZ5899" s="1"/>
      <c r="BA5899" s="1"/>
      <c r="BB5899" s="1"/>
    </row>
    <row r="5900" ht="204.75" customHeight="1">
      <c r="A5900" s="1">
        <v>5173.0</v>
      </c>
      <c r="B5900" s="2" t="s">
        <v>15966</v>
      </c>
      <c r="C5900" s="2">
        <f>IFERROR(__xludf.DUMMYFUNCTION("split(B5900,""_"")"),907.0)</f>
        <v>907</v>
      </c>
      <c r="D5900" s="2" t="str">
        <f>IFERROR(__xludf.DUMMYFUNCTION("""COMPUTED_VALUE"""),"TBS")</f>
        <v>TBS</v>
      </c>
      <c r="E5900" s="2" t="str">
        <f>IFERROR(__xludf.DUMMYFUNCTION("""COMPUTED_VALUE"""),"金22")</f>
        <v>金22</v>
      </c>
      <c r="F5900" s="2" t="s">
        <v>15967</v>
      </c>
      <c r="G5900" s="2" t="s">
        <v>15968</v>
      </c>
      <c r="H5900" s="1">
        <v>3.0</v>
      </c>
      <c r="J5900" s="1" t="s">
        <v>86</v>
      </c>
      <c r="K5900" s="2" t="s">
        <v>15971</v>
      </c>
      <c r="L5900" s="2"/>
      <c r="M5900" s="2" t="str">
        <f>IFERROR(__xludf.DUMMYFUNCTION("split(split(K5900,""【"",false),""公式LINE"",false)"),"「母か、刑事か」竜崎は力を認められ、榊大臣と引き合わされる。一方、日本のCIA沢村が碧井にコンタクトを取る。権力の中枢にいるものが二人に群がり始める中、証拠隠滅を図る熊切に加奈が襲われる、そこで渚が驚くべき行動に！滝沢秀明　錦戸亮　水川あさみ　八乙女光　  山本龍二　原田夏希　忍成修吾　中丸新将　柴俊夫　波瑠　朝加真由美　河北麻友子　　大久保麻理子　熊田聖亜　河野洋一郎　　　六角精児　佐々木蔵之介　高畑淳子")</f>
        <v>「母か、刑事か」竜崎は力を認められ、榊大臣と引き合わされる。一方、日本のCIA沢村が碧井にコンタクトを取る。権力の中枢にいるものが二人に群がり始める中、証拠隠滅を図る熊切に加奈が襲われる、そこで渚が驚くべき行動に！滝沢秀明　錦戸亮　水川あさみ　八乙女光　  山本龍二　原田夏希　忍成修吾　中丸新将　柴俊夫　波瑠　朝加真由美　河北麻友子　　大久保麻理子　熊田聖亜　河野洋一郎　　　六角精児　佐々木蔵之介　高畑淳子</v>
      </c>
      <c r="N5900" s="2"/>
      <c r="O5900" s="2"/>
      <c r="P5900" s="1"/>
      <c r="Q5900" s="1"/>
      <c r="R5900" s="1"/>
      <c r="S5900" s="1"/>
      <c r="T5900" s="1"/>
      <c r="U5900" s="1"/>
      <c r="V5900" s="1"/>
      <c r="W5900" s="1"/>
      <c r="X5900" s="1"/>
      <c r="Y5900" s="1"/>
      <c r="Z5900" s="1"/>
      <c r="AA5900" s="1"/>
      <c r="AB5900" s="1"/>
      <c r="AC5900" s="1"/>
      <c r="AD5900" s="1"/>
      <c r="AE5900" s="1"/>
      <c r="AF5900" s="1"/>
      <c r="AG5900" s="1"/>
      <c r="AH5900" s="1"/>
      <c r="AI5900" s="1"/>
      <c r="AJ5900" s="1"/>
      <c r="AK5900" s="1"/>
      <c r="AL5900" s="1"/>
      <c r="AM5900" s="1"/>
      <c r="AN5900" s="1"/>
      <c r="AO5900" s="1"/>
      <c r="AP5900" s="1"/>
      <c r="AQ5900" s="1"/>
      <c r="AR5900" s="1"/>
      <c r="AS5900" s="1"/>
      <c r="AT5900" s="1"/>
      <c r="AU5900" s="1"/>
      <c r="AV5900" s="1"/>
      <c r="AW5900" s="1"/>
      <c r="AX5900" s="1"/>
      <c r="AY5900" s="1"/>
      <c r="AZ5900" s="1"/>
      <c r="BA5900" s="1"/>
      <c r="BB5900" s="1"/>
    </row>
    <row r="5901" ht="204.75" customHeight="1">
      <c r="A5901" s="1">
        <v>5174.0</v>
      </c>
      <c r="B5901" s="2" t="s">
        <v>15966</v>
      </c>
      <c r="C5901" s="2">
        <f>IFERROR(__xludf.DUMMYFUNCTION("split(B5901,""_"")"),907.0)</f>
        <v>907</v>
      </c>
      <c r="D5901" s="2" t="str">
        <f>IFERROR(__xludf.DUMMYFUNCTION("""COMPUTED_VALUE"""),"TBS")</f>
        <v>TBS</v>
      </c>
      <c r="E5901" s="2" t="str">
        <f>IFERROR(__xludf.DUMMYFUNCTION("""COMPUTED_VALUE"""),"金22")</f>
        <v>金22</v>
      </c>
      <c r="F5901" s="2" t="s">
        <v>15967</v>
      </c>
      <c r="G5901" s="2" t="s">
        <v>15968</v>
      </c>
      <c r="H5901" s="1">
        <v>4.0</v>
      </c>
      <c r="J5901" s="1" t="s">
        <v>86</v>
      </c>
      <c r="K5901" s="2" t="s">
        <v>15972</v>
      </c>
      <c r="L5901" s="2"/>
      <c r="M5901" s="2" t="str">
        <f>IFERROR(__xludf.DUMMYFUNCTION("split(split(K5901,""【"",false),""公式LINE"",false)"),"逮捕！明かされる二人の衝撃の過去！熊切をわざと逃がし竜崎へのメッセージを託した渚。依頼のとおり娘・澪の病室に竜崎が現れる！その時、渚は驚くべき行動に！一方、実家の周りで二宮の姿を見つけた碧井、覆面男に突如襲われ、悪魔の手が…滝沢秀明　錦戸亮　水川あさみ　八乙女光　  山本龍二　原田夏希　忍成修吾　　柴俊夫　  波瑠　朝加真由美　中原丈雄　河北麻友子　黒坂真美　熊田聖亜　内倉憲二　六角精児　佐々木蔵之介　高畑淳子")</f>
        <v>逮捕！明かされる二人の衝撃の過去！熊切をわざと逃がし竜崎へのメッセージを託した渚。依頼のとおり娘・澪の病室に竜崎が現れる！その時、渚は驚くべき行動に！一方、実家の周りで二宮の姿を見つけた碧井、覆面男に突如襲われ、悪魔の手が…滝沢秀明　錦戸亮　水川あさみ　八乙女光　  山本龍二　原田夏希　忍成修吾　　柴俊夫　  波瑠　朝加真由美　中原丈雄　河北麻友子　黒坂真美　熊田聖亜　内倉憲二　六角精児　佐々木蔵之介　高畑淳子</v>
      </c>
      <c r="N5901" s="2"/>
      <c r="O5901" s="2"/>
      <c r="P5901" s="1"/>
      <c r="Q5901" s="1"/>
      <c r="R5901" s="1"/>
      <c r="S5901" s="1"/>
      <c r="T5901" s="1"/>
      <c r="U5901" s="1"/>
      <c r="V5901" s="1"/>
      <c r="W5901" s="1"/>
      <c r="X5901" s="1"/>
      <c r="Y5901" s="1"/>
      <c r="Z5901" s="1"/>
      <c r="AA5901" s="1"/>
      <c r="AB5901" s="1"/>
      <c r="AC5901" s="1"/>
      <c r="AD5901" s="1"/>
      <c r="AE5901" s="1"/>
      <c r="AF5901" s="1"/>
      <c r="AG5901" s="1"/>
      <c r="AH5901" s="1"/>
      <c r="AI5901" s="1"/>
      <c r="AJ5901" s="1"/>
      <c r="AK5901" s="1"/>
      <c r="AL5901" s="1"/>
      <c r="AM5901" s="1"/>
      <c r="AN5901" s="1"/>
      <c r="AO5901" s="1"/>
      <c r="AP5901" s="1"/>
      <c r="AQ5901" s="1"/>
      <c r="AR5901" s="1"/>
      <c r="AS5901" s="1"/>
      <c r="AT5901" s="1"/>
      <c r="AU5901" s="1"/>
      <c r="AV5901" s="1"/>
      <c r="AW5901" s="1"/>
      <c r="AX5901" s="1"/>
      <c r="AY5901" s="1"/>
      <c r="AZ5901" s="1"/>
      <c r="BA5901" s="1"/>
      <c r="BB5901" s="1"/>
    </row>
    <row r="5902" ht="204.75" customHeight="1">
      <c r="A5902" s="1">
        <v>5175.0</v>
      </c>
      <c r="B5902" s="2" t="s">
        <v>15966</v>
      </c>
      <c r="C5902" s="2">
        <f>IFERROR(__xludf.DUMMYFUNCTION("split(B5902,""_"")"),907.0)</f>
        <v>907</v>
      </c>
      <c r="D5902" s="2" t="str">
        <f>IFERROR(__xludf.DUMMYFUNCTION("""COMPUTED_VALUE"""),"TBS")</f>
        <v>TBS</v>
      </c>
      <c r="E5902" s="2" t="str">
        <f>IFERROR(__xludf.DUMMYFUNCTION("""COMPUTED_VALUE"""),"金22")</f>
        <v>金22</v>
      </c>
      <c r="F5902" s="2" t="s">
        <v>15967</v>
      </c>
      <c r="G5902" s="2" t="s">
        <v>15968</v>
      </c>
      <c r="H5902" s="1">
        <v>5.0</v>
      </c>
      <c r="J5902" s="1" t="s">
        <v>86</v>
      </c>
      <c r="K5902" s="2" t="s">
        <v>15973</v>
      </c>
      <c r="L5902" s="2"/>
      <c r="M5902" s="2" t="str">
        <f>IFERROR(__xludf.DUMMYFUNCTION("split(split(K5902,""【"",false),""公式LINE"",false)"),"「暗殺者」殺人を唯一正当化できる国家の為に手を組もうと碧井に提案した沢村は力のことを知っている熊切勝を殺すよう依頼する。一方、榊は総裁選を優位に運ぶ為、絶大な人気を誇る歌手・レイの癌を治すよう竜崎に命じるが…！滝沢秀明　錦戸亮　水川あさみ　八乙女光　  山本龍二　原田夏希　忍成修吾　　柴俊夫　波瑠　朝加真由美　中原丈雄　　熊田聖亜  平原綾香　六角精児　佐々木蔵之介　　　　高畑淳子")</f>
        <v>「暗殺者」殺人を唯一正当化できる国家の為に手を組もうと碧井に提案した沢村は力のことを知っている熊切勝を殺すよう依頼する。一方、榊は総裁選を優位に運ぶ為、絶大な人気を誇る歌手・レイの癌を治すよう竜崎に命じるが…！滝沢秀明　錦戸亮　水川あさみ　八乙女光　  山本龍二　原田夏希　忍成修吾　　柴俊夫　波瑠　朝加真由美　中原丈雄　　熊田聖亜  平原綾香　六角精児　佐々木蔵之介　　　　高畑淳子</v>
      </c>
      <c r="N5902" s="2"/>
      <c r="O5902" s="2"/>
      <c r="P5902" s="1"/>
      <c r="Q5902" s="1"/>
      <c r="R5902" s="1"/>
      <c r="S5902" s="1"/>
      <c r="T5902" s="1"/>
      <c r="U5902" s="1"/>
      <c r="V5902" s="1"/>
      <c r="W5902" s="1"/>
      <c r="X5902" s="1"/>
      <c r="Y5902" s="1"/>
      <c r="Z5902" s="1"/>
      <c r="AA5902" s="1"/>
      <c r="AB5902" s="1"/>
      <c r="AC5902" s="1"/>
      <c r="AD5902" s="1"/>
      <c r="AE5902" s="1"/>
      <c r="AF5902" s="1"/>
      <c r="AG5902" s="1"/>
      <c r="AH5902" s="1"/>
      <c r="AI5902" s="1"/>
      <c r="AJ5902" s="1"/>
      <c r="AK5902" s="1"/>
      <c r="AL5902" s="1"/>
      <c r="AM5902" s="1"/>
      <c r="AN5902" s="1"/>
      <c r="AO5902" s="1"/>
      <c r="AP5902" s="1"/>
      <c r="AQ5902" s="1"/>
      <c r="AR5902" s="1"/>
      <c r="AS5902" s="1"/>
      <c r="AT5902" s="1"/>
      <c r="AU5902" s="1"/>
      <c r="AV5902" s="1"/>
      <c r="AW5902" s="1"/>
      <c r="AX5902" s="1"/>
      <c r="AY5902" s="1"/>
      <c r="AZ5902" s="1"/>
      <c r="BA5902" s="1"/>
      <c r="BB5902" s="1"/>
    </row>
    <row r="5903" ht="204.75" customHeight="1">
      <c r="A5903" s="1">
        <v>5176.0</v>
      </c>
      <c r="B5903" s="2" t="s">
        <v>15966</v>
      </c>
      <c r="C5903" s="2">
        <f>IFERROR(__xludf.DUMMYFUNCTION("split(B5903,""_"")"),907.0)</f>
        <v>907</v>
      </c>
      <c r="D5903" s="2" t="str">
        <f>IFERROR(__xludf.DUMMYFUNCTION("""COMPUTED_VALUE"""),"TBS")</f>
        <v>TBS</v>
      </c>
      <c r="E5903" s="2" t="str">
        <f>IFERROR(__xludf.DUMMYFUNCTION("""COMPUTED_VALUE"""),"金22")</f>
        <v>金22</v>
      </c>
      <c r="F5903" s="2" t="s">
        <v>15967</v>
      </c>
      <c r="G5903" s="2" t="s">
        <v>15968</v>
      </c>
      <c r="H5903" s="1">
        <v>6.0</v>
      </c>
      <c r="J5903" s="1" t="s">
        <v>86</v>
      </c>
      <c r="K5903" s="2" t="s">
        <v>15974</v>
      </c>
      <c r="L5903" s="2"/>
      <c r="M5903" s="2" t="str">
        <f>IFERROR(__xludf.DUMMYFUNCTION("split(split(K5903,""【"",false),""公式LINE"",false)"),"「裏切者」沢村が動き始めた！渚を配置転換、直属の部下にし、竜崎マークにつける一方、榊の不正献金を暴露しようとする善三を、息子の勝、同様に碧井を使って消そうとする。そんな中、竜崎が何者かにラチされてしまう！滝沢秀明　錦戸亮　水川あさみ　八乙女光　  山本龍二　原田夏希　忍成修吾　柴俊夫　  波瑠　朝加真由美　中原丈雄　中丸新将　  河北麻友子　内倉憲二　熊田聖亜　六角精児佐々木蔵之介　高畑淳子")</f>
        <v>「裏切者」沢村が動き始めた！渚を配置転換、直属の部下にし、竜崎マークにつける一方、榊の不正献金を暴露しようとする善三を、息子の勝、同様に碧井を使って消そうとする。そんな中、竜崎が何者かにラチされてしまう！滝沢秀明　錦戸亮　水川あさみ　八乙女光　  山本龍二　原田夏希　忍成修吾　柴俊夫　  波瑠　朝加真由美　中原丈雄　中丸新将　  河北麻友子　内倉憲二　熊田聖亜　六角精児佐々木蔵之介　高畑淳子</v>
      </c>
      <c r="N5903" s="2"/>
      <c r="O5903" s="2"/>
      <c r="P5903" s="1"/>
      <c r="Q5903" s="1"/>
      <c r="R5903" s="1"/>
      <c r="S5903" s="1"/>
      <c r="T5903" s="1"/>
      <c r="U5903" s="1"/>
      <c r="V5903" s="1"/>
      <c r="W5903" s="1"/>
      <c r="X5903" s="1"/>
      <c r="Y5903" s="1"/>
      <c r="Z5903" s="1"/>
      <c r="AA5903" s="1"/>
      <c r="AB5903" s="1"/>
      <c r="AC5903" s="1"/>
      <c r="AD5903" s="1"/>
      <c r="AE5903" s="1"/>
      <c r="AF5903" s="1"/>
      <c r="AG5903" s="1"/>
      <c r="AH5903" s="1"/>
      <c r="AI5903" s="1"/>
      <c r="AJ5903" s="1"/>
      <c r="AK5903" s="1"/>
      <c r="AL5903" s="1"/>
      <c r="AM5903" s="1"/>
      <c r="AN5903" s="1"/>
      <c r="AO5903" s="1"/>
      <c r="AP5903" s="1"/>
      <c r="AQ5903" s="1"/>
      <c r="AR5903" s="1"/>
      <c r="AS5903" s="1"/>
      <c r="AT5903" s="1"/>
      <c r="AU5903" s="1"/>
      <c r="AV5903" s="1"/>
      <c r="AW5903" s="1"/>
      <c r="AX5903" s="1"/>
      <c r="AY5903" s="1"/>
      <c r="AZ5903" s="1"/>
      <c r="BA5903" s="1"/>
      <c r="BB5903" s="1"/>
    </row>
    <row r="5904" ht="204.75" customHeight="1">
      <c r="A5904" s="1">
        <v>5177.0</v>
      </c>
      <c r="B5904" s="2" t="s">
        <v>15966</v>
      </c>
      <c r="C5904" s="2">
        <f>IFERROR(__xludf.DUMMYFUNCTION("split(B5904,""_"")"),907.0)</f>
        <v>907</v>
      </c>
      <c r="D5904" s="2" t="str">
        <f>IFERROR(__xludf.DUMMYFUNCTION("""COMPUTED_VALUE"""),"TBS")</f>
        <v>TBS</v>
      </c>
      <c r="E5904" s="2" t="str">
        <f>IFERROR(__xludf.DUMMYFUNCTION("""COMPUTED_VALUE"""),"金22")</f>
        <v>金22</v>
      </c>
      <c r="F5904" s="2" t="s">
        <v>15967</v>
      </c>
      <c r="G5904" s="2" t="s">
        <v>15975</v>
      </c>
      <c r="H5904" s="1">
        <v>7.0</v>
      </c>
      <c r="J5904" s="1" t="s">
        <v>86</v>
      </c>
      <c r="K5904" s="2" t="s">
        <v>15976</v>
      </c>
      <c r="L5904" s="2"/>
      <c r="M5904" s="2" t="str">
        <f>IFERROR(__xludf.DUMMYFUNCTION("split(split(K5904,""【"",false),""公式LINE"",false)"),"滝沢秀明　錦戸亮　水川あさみ　佐々木蔵之介　八乙女光　高畑淳子TBSテレビ")</f>
        <v>滝沢秀明　錦戸亮　水川あさみ　佐々木蔵之介　八乙女光　高畑淳子TBSテレビ</v>
      </c>
      <c r="N5904" s="2"/>
      <c r="O5904" s="2"/>
      <c r="P5904" s="1"/>
      <c r="Q5904" s="1"/>
      <c r="R5904" s="1"/>
      <c r="S5904" s="1"/>
      <c r="T5904" s="1"/>
      <c r="U5904" s="1"/>
      <c r="V5904" s="1"/>
      <c r="W5904" s="1"/>
      <c r="X5904" s="1"/>
      <c r="Y5904" s="1"/>
      <c r="Z5904" s="1"/>
      <c r="AA5904" s="1"/>
      <c r="AB5904" s="1"/>
      <c r="AC5904" s="1"/>
      <c r="AD5904" s="1"/>
      <c r="AE5904" s="1"/>
      <c r="AF5904" s="1"/>
      <c r="AG5904" s="1"/>
      <c r="AH5904" s="1"/>
      <c r="AI5904" s="1"/>
      <c r="AJ5904" s="1"/>
      <c r="AK5904" s="1"/>
      <c r="AL5904" s="1"/>
      <c r="AM5904" s="1"/>
      <c r="AN5904" s="1"/>
      <c r="AO5904" s="1"/>
      <c r="AP5904" s="1"/>
      <c r="AQ5904" s="1"/>
      <c r="AR5904" s="1"/>
      <c r="AS5904" s="1"/>
      <c r="AT5904" s="1"/>
      <c r="AU5904" s="1"/>
      <c r="AV5904" s="1"/>
      <c r="AW5904" s="1"/>
      <c r="AX5904" s="1"/>
      <c r="AY5904" s="1"/>
      <c r="AZ5904" s="1"/>
      <c r="BA5904" s="1"/>
      <c r="BB5904" s="1"/>
    </row>
    <row r="5905" ht="204.75" customHeight="1">
      <c r="A5905" s="1">
        <v>5178.0</v>
      </c>
      <c r="B5905" s="2" t="s">
        <v>15966</v>
      </c>
      <c r="C5905" s="2">
        <f>IFERROR(__xludf.DUMMYFUNCTION("split(B5905,""_"")"),907.0)</f>
        <v>907</v>
      </c>
      <c r="D5905" s="2" t="str">
        <f>IFERROR(__xludf.DUMMYFUNCTION("""COMPUTED_VALUE"""),"TBS")</f>
        <v>TBS</v>
      </c>
      <c r="E5905" s="2" t="str">
        <f>IFERROR(__xludf.DUMMYFUNCTION("""COMPUTED_VALUE"""),"金22")</f>
        <v>金22</v>
      </c>
      <c r="F5905" s="2" t="s">
        <v>15967</v>
      </c>
      <c r="G5905" s="2" t="s">
        <v>15968</v>
      </c>
      <c r="H5905" s="1">
        <v>8.0</v>
      </c>
      <c r="J5905" s="1" t="s">
        <v>86</v>
      </c>
      <c r="K5905" s="2" t="s">
        <v>15977</v>
      </c>
      <c r="L5905" s="2"/>
      <c r="M5905" s="2" t="str">
        <f>IFERROR(__xludf.DUMMYFUNCTION("split(split(K5905,""【"",false),""公式LINE"",false)"),"「非常事態」世の中に広まった竜崎の力を目的に、碧井が訪れた病院に爆破予告事件が起きる。総理の座を狙う榊と竜崎に恨みを持つ沢村の誘いに乗る竜崎だが犯人の真の目的は別にあった。そして明らかになる竜崎の過去！滝沢秀明　錦戸亮　水川あさみ　八乙女光　  原田夏希　柴俊夫　波瑠　朝加真由美　　　中原丈雄　熊田聖亜　平田満　大和田伸也　北見敏之　布施博　金山一彦　六角精児　　佐々木蔵之介　高畑淳子")</f>
        <v>「非常事態」世の中に広まった竜崎の力を目的に、碧井が訪れた病院に爆破予告事件が起きる。総理の座を狙う榊と竜崎に恨みを持つ沢村の誘いに乗る竜崎だが犯人の真の目的は別にあった。そして明らかになる竜崎の過去！滝沢秀明　錦戸亮　水川あさみ　八乙女光　  原田夏希　柴俊夫　波瑠　朝加真由美　　　中原丈雄　熊田聖亜　平田満　大和田伸也　北見敏之　布施博　金山一彦　六角精児　　佐々木蔵之介　高畑淳子</v>
      </c>
      <c r="N5905" s="2"/>
      <c r="O5905" s="2"/>
      <c r="P5905" s="1"/>
      <c r="Q5905" s="1"/>
      <c r="R5905" s="1"/>
      <c r="S5905" s="1"/>
      <c r="T5905" s="1"/>
      <c r="U5905" s="1"/>
      <c r="V5905" s="1"/>
      <c r="W5905" s="1"/>
      <c r="X5905" s="1"/>
      <c r="Y5905" s="1"/>
      <c r="Z5905" s="1"/>
      <c r="AA5905" s="1"/>
      <c r="AB5905" s="1"/>
      <c r="AC5905" s="1"/>
      <c r="AD5905" s="1"/>
      <c r="AE5905" s="1"/>
      <c r="AF5905" s="1"/>
      <c r="AG5905" s="1"/>
      <c r="AH5905" s="1"/>
      <c r="AI5905" s="1"/>
      <c r="AJ5905" s="1"/>
      <c r="AK5905" s="1"/>
      <c r="AL5905" s="1"/>
      <c r="AM5905" s="1"/>
      <c r="AN5905" s="1"/>
      <c r="AO5905" s="1"/>
      <c r="AP5905" s="1"/>
      <c r="AQ5905" s="1"/>
      <c r="AR5905" s="1"/>
      <c r="AS5905" s="1"/>
      <c r="AT5905" s="1"/>
      <c r="AU5905" s="1"/>
      <c r="AV5905" s="1"/>
      <c r="AW5905" s="1"/>
      <c r="AX5905" s="1"/>
      <c r="AY5905" s="1"/>
      <c r="AZ5905" s="1"/>
      <c r="BA5905" s="1"/>
      <c r="BB5905" s="1"/>
    </row>
    <row r="5906" ht="204.75" customHeight="1">
      <c r="A5906" s="1">
        <v>5179.0</v>
      </c>
      <c r="B5906" s="2" t="s">
        <v>15966</v>
      </c>
      <c r="C5906" s="2">
        <f>IFERROR(__xludf.DUMMYFUNCTION("split(B5906,""_"")"),907.0)</f>
        <v>907</v>
      </c>
      <c r="D5906" s="2" t="str">
        <f>IFERROR(__xludf.DUMMYFUNCTION("""COMPUTED_VALUE"""),"TBS")</f>
        <v>TBS</v>
      </c>
      <c r="E5906" s="2" t="str">
        <f>IFERROR(__xludf.DUMMYFUNCTION("""COMPUTED_VALUE"""),"金22")</f>
        <v>金22</v>
      </c>
      <c r="F5906" s="2" t="s">
        <v>15967</v>
      </c>
      <c r="G5906" s="2" t="s">
        <v>15968</v>
      </c>
      <c r="H5906" s="1">
        <v>9.0</v>
      </c>
      <c r="J5906" s="1" t="s">
        <v>82</v>
      </c>
      <c r="K5906" s="2" t="s">
        <v>15978</v>
      </c>
      <c r="L5906" s="2"/>
      <c r="M5906" s="2" t="str">
        <f>IFERROR(__xludf.DUMMYFUNCTION("split(split(K5906,""【"",false),""公式LINE"",false)"),"「兄弟～感動の最終回SP！前編」再び独房に戻った竜崎。その力を管理しようと来訪者が…！一方碧井は自分の使命を果たすという神父・巽と出会う。その使命とは竜崎を殺すこと。病院爆破事件の犯人も巽だった。それを知らない碧井は竜崎と共に…滝沢秀明　錦戸亮　水川あさみ　八乙女光　  原田夏希　忍成修吾　柴俊夫　波瑠　  朝加真由美　中原丈雄　熊田聖亜　平田満　六角精児　佐々木蔵之介　高畑淳子")</f>
        <v>「兄弟～感動の最終回SP！前編」再び独房に戻った竜崎。その力を管理しようと来訪者が…！一方碧井は自分の使命を果たすという神父・巽と出会う。その使命とは竜崎を殺すこと。病院爆破事件の犯人も巽だった。それを知らない碧井は竜崎と共に…滝沢秀明　錦戸亮　水川あさみ　八乙女光　  原田夏希　忍成修吾　柴俊夫　波瑠　  朝加真由美　中原丈雄　熊田聖亜　平田満　六角精児　佐々木蔵之介　高畑淳子</v>
      </c>
      <c r="N5906" s="2"/>
      <c r="O5906" s="2"/>
      <c r="P5906" s="1"/>
      <c r="Q5906" s="1"/>
      <c r="R5906" s="1"/>
      <c r="S5906" s="1"/>
      <c r="T5906" s="1"/>
      <c r="U5906" s="1"/>
      <c r="V5906" s="1"/>
      <c r="W5906" s="1"/>
      <c r="X5906" s="1"/>
      <c r="Y5906" s="1"/>
      <c r="Z5906" s="1"/>
      <c r="AA5906" s="1"/>
      <c r="AB5906" s="1"/>
      <c r="AC5906" s="1"/>
      <c r="AD5906" s="1"/>
      <c r="AE5906" s="1"/>
      <c r="AF5906" s="1"/>
      <c r="AG5906" s="1"/>
      <c r="AH5906" s="1"/>
      <c r="AI5906" s="1"/>
      <c r="AJ5906" s="1"/>
      <c r="AK5906" s="1"/>
      <c r="AL5906" s="1"/>
      <c r="AM5906" s="1"/>
      <c r="AN5906" s="1"/>
      <c r="AO5906" s="1"/>
      <c r="AP5906" s="1"/>
      <c r="AQ5906" s="1"/>
      <c r="AR5906" s="1"/>
      <c r="AS5906" s="1"/>
      <c r="AT5906" s="1"/>
      <c r="AU5906" s="1"/>
      <c r="AV5906" s="1"/>
      <c r="AW5906" s="1"/>
      <c r="AX5906" s="1"/>
      <c r="AY5906" s="1"/>
      <c r="AZ5906" s="1"/>
      <c r="BA5906" s="1"/>
      <c r="BB5906" s="1"/>
    </row>
    <row r="5907" ht="204.75" customHeight="1">
      <c r="A5907" s="1">
        <v>5180.0</v>
      </c>
      <c r="B5907" s="2" t="s">
        <v>15966</v>
      </c>
      <c r="C5907" s="2">
        <f>IFERROR(__xludf.DUMMYFUNCTION("split(B5907,""_"")"),907.0)</f>
        <v>907</v>
      </c>
      <c r="D5907" s="2" t="str">
        <f>IFERROR(__xludf.DUMMYFUNCTION("""COMPUTED_VALUE"""),"TBS")</f>
        <v>TBS</v>
      </c>
      <c r="E5907" s="2" t="str">
        <f>IFERROR(__xludf.DUMMYFUNCTION("""COMPUTED_VALUE"""),"金22")</f>
        <v>金22</v>
      </c>
      <c r="F5907" s="2" t="s">
        <v>15967</v>
      </c>
      <c r="G5907" s="2" t="s">
        <v>15968</v>
      </c>
      <c r="H5907" s="1">
        <v>10.0</v>
      </c>
      <c r="J5907" s="1" t="s">
        <v>82</v>
      </c>
      <c r="K5907" s="2" t="s">
        <v>15979</v>
      </c>
      <c r="L5907" s="2"/>
      <c r="M5907" s="2" t="str">
        <f>IFERROR(__xludf.DUMMYFUNCTION("split(split(K5907,""【"",false),""公式LINE"",false)"),"「感動の最終回SP！生か死か！神と悪魔の真実…衝撃！涙のラスト」ついに明かされた碧井と竜崎の関係。それを知った上で沢村は碧井に竜崎の殺害を依頼。その頃、渚が爆発現場の遺留品から掴んだ事件の黒幕とは…！そして訪れる衝撃のラスト！碧井は渚の前で竜崎との決着をつける！滝沢秀明　錦戸亮　水川あさみ　八乙女光　  山本龍二　原田夏希　忍成修吾　柴俊夫　　波瑠　朝加真由美　中原丈雄　中丸新将　　河北麻友子　熊田聖亜　平田満　六角精児　佐々木蔵之介　高畑淳子")</f>
        <v>「感動の最終回SP！生か死か！神と悪魔の真実…衝撃！涙のラスト」ついに明かされた碧井と竜崎の関係。それを知った上で沢村は碧井に竜崎の殺害を依頼。その頃、渚が爆発現場の遺留品から掴んだ事件の黒幕とは…！そして訪れる衝撃のラスト！碧井は渚の前で竜崎との決着をつける！滝沢秀明　錦戸亮　水川あさみ　八乙女光　  山本龍二　原田夏希　忍成修吾　柴俊夫　　波瑠　朝加真由美　中原丈雄　中丸新将　　河北麻友子　熊田聖亜　平田満　六角精児　佐々木蔵之介　高畑淳子</v>
      </c>
      <c r="N5907" s="2"/>
      <c r="O5907" s="2"/>
      <c r="P5907" s="1"/>
      <c r="Q5907" s="1"/>
      <c r="R5907" s="1"/>
      <c r="S5907" s="1"/>
      <c r="T5907" s="1"/>
      <c r="U5907" s="1"/>
      <c r="V5907" s="1"/>
      <c r="W5907" s="1"/>
      <c r="X5907" s="1"/>
      <c r="Y5907" s="1"/>
      <c r="Z5907" s="1"/>
      <c r="AA5907" s="1"/>
      <c r="AB5907" s="1"/>
      <c r="AC5907" s="1"/>
      <c r="AD5907" s="1"/>
      <c r="AE5907" s="1"/>
      <c r="AF5907" s="1"/>
      <c r="AG5907" s="1"/>
      <c r="AH5907" s="1"/>
      <c r="AI5907" s="1"/>
      <c r="AJ5907" s="1"/>
      <c r="AK5907" s="1"/>
      <c r="AL5907" s="1"/>
      <c r="AM5907" s="1"/>
      <c r="AN5907" s="1"/>
      <c r="AO5907" s="1"/>
      <c r="AP5907" s="1"/>
      <c r="AQ5907" s="1"/>
      <c r="AR5907" s="1"/>
      <c r="AS5907" s="1"/>
      <c r="AT5907" s="1"/>
      <c r="AU5907" s="1"/>
      <c r="AV5907" s="1"/>
      <c r="AW5907" s="1"/>
      <c r="AX5907" s="1"/>
      <c r="AY5907" s="1"/>
      <c r="AZ5907" s="1"/>
      <c r="BA5907" s="1"/>
      <c r="BB5907" s="1"/>
    </row>
    <row r="5908" ht="204.75" customHeight="1">
      <c r="A5908" s="1">
        <v>5191.0</v>
      </c>
      <c r="B5908" s="2" t="s">
        <v>15980</v>
      </c>
      <c r="C5908" s="2">
        <f>IFERROR(__xludf.DUMMYFUNCTION("split(B5908,""_"")"),907.0)</f>
        <v>907</v>
      </c>
      <c r="D5908" s="2" t="str">
        <f>IFERROR(__xludf.DUMMYFUNCTION("""COMPUTED_VALUE"""),"TBS")</f>
        <v>TBS</v>
      </c>
      <c r="E5908" s="2" t="str">
        <f>IFERROR(__xludf.DUMMYFUNCTION("""COMPUTED_VALUE"""),"土20")</f>
        <v>土20</v>
      </c>
      <c r="F5908" s="2" t="s">
        <v>15981</v>
      </c>
      <c r="G5908" s="2" t="s">
        <v>15982</v>
      </c>
      <c r="H5908" s="1">
        <v>1.0</v>
      </c>
      <c r="J5908" s="1" t="s">
        <v>7778</v>
      </c>
      <c r="K5908" s="2" t="s">
        <v>15983</v>
      </c>
      <c r="L5908" s="2"/>
      <c r="M5908" s="2" t="str">
        <f>IFERROR(__xludf.DUMMYFUNCTION("split(split(K5908,""【"",false),""公式LINE"",false)"),"「笑って泣ける伝説の名作遂にドラマ化!!両さんが日本を明るくします」東京は下町葛飾・亀有公園前の派出所。ここに勤務する両津勘吉巡査長(香取慎吾)、通称・両さんは、破天荒で豪快で型破り、また傲慢で強引な性格で、“始末書の両さん”と呼ばれており、やることなすことすべてハチャメチャ。両さんが行く所にトラブルが絶えることはなかった。同じ派出所の後輩・秋本カトリーヌ麗子(香里奈)や中川圭一(速水もこみち)をヒヤヒヤさせたり、上司である大原部長(伊武雅刀)にカミナリを落とされる毎日を送りながら、日々怖いもの知らずのパ"&amp;"ワーを爆発させ続けている。  そんなある日、両さんのもとへおいしい話が舞い込んでくる。  今日も一般市民をも巻き込んで、警察官にあるまじき行動で大暴れする!!  香取慎吾　香里奈　速水もこみち　柴田理恵なぎら健壱　つまみ枝豆　福井博章　ラサール石井　伊武雅刀     ")</f>
        <v>「笑って泣ける伝説の名作遂にドラマ化!!両さんが日本を明るくします」東京は下町葛飾・亀有公園前の派出所。ここに勤務する両津勘吉巡査長(香取慎吾)、通称・両さんは、破天荒で豪快で型破り、また傲慢で強引な性格で、“始末書の両さん”と呼ばれており、やることなすことすべてハチャメチャ。両さんが行く所にトラブルが絶えることはなかった。同じ派出所の後輩・秋本カトリーヌ麗子(香里奈)や中川圭一(速水もこみち)をヒヤヒヤさせたり、上司である大原部長(伊武雅刀)にカミナリを落とされる毎日を送りながら、日々怖いもの知らずのパワーを爆発させ続けている。  そんなある日、両さんのもとへおいしい話が舞い込んでくる。  今日も一般市民をも巻き込んで、警察官にあるまじき行動で大暴れする!!  香取慎吾　香里奈　速水もこみち　柴田理恵なぎら健壱　つまみ枝豆　福井博章　ラサール石井　伊武雅刀     </v>
      </c>
      <c r="N5908" s="2"/>
      <c r="O5908" s="2"/>
      <c r="P5908" s="1"/>
      <c r="Q5908" s="1"/>
      <c r="R5908" s="1"/>
      <c r="S5908" s="1"/>
      <c r="T5908" s="1"/>
      <c r="U5908" s="1"/>
      <c r="V5908" s="1"/>
      <c r="W5908" s="1"/>
      <c r="X5908" s="1"/>
      <c r="Y5908" s="1"/>
      <c r="Z5908" s="1"/>
      <c r="AA5908" s="1"/>
      <c r="AB5908" s="1"/>
      <c r="AC5908" s="1"/>
      <c r="AD5908" s="1"/>
      <c r="AE5908" s="1"/>
      <c r="AF5908" s="1"/>
      <c r="AG5908" s="1"/>
      <c r="AH5908" s="1"/>
      <c r="AI5908" s="1"/>
      <c r="AJ5908" s="1"/>
      <c r="AK5908" s="1"/>
      <c r="AL5908" s="1"/>
      <c r="AM5908" s="1"/>
      <c r="AN5908" s="1"/>
      <c r="AO5908" s="1"/>
      <c r="AP5908" s="1"/>
      <c r="AQ5908" s="1"/>
      <c r="AR5908" s="1"/>
      <c r="AS5908" s="1"/>
      <c r="AT5908" s="1"/>
      <c r="AU5908" s="1"/>
      <c r="AV5908" s="1"/>
      <c r="AW5908" s="1"/>
      <c r="AX5908" s="1"/>
      <c r="AY5908" s="1"/>
      <c r="AZ5908" s="1"/>
      <c r="BA5908" s="1"/>
      <c r="BB5908" s="1"/>
    </row>
    <row r="5909" ht="204.75" customHeight="1">
      <c r="A5909" s="1">
        <v>5192.0</v>
      </c>
      <c r="B5909" s="2" t="s">
        <v>15980</v>
      </c>
      <c r="C5909" s="2">
        <f>IFERROR(__xludf.DUMMYFUNCTION("split(B5909,""_"")"),907.0)</f>
        <v>907</v>
      </c>
      <c r="D5909" s="2" t="str">
        <f>IFERROR(__xludf.DUMMYFUNCTION("""COMPUTED_VALUE"""),"TBS")</f>
        <v>TBS</v>
      </c>
      <c r="E5909" s="2" t="str">
        <f>IFERROR(__xludf.DUMMYFUNCTION("""COMPUTED_VALUE"""),"土20")</f>
        <v>土20</v>
      </c>
      <c r="F5909" s="2" t="s">
        <v>15981</v>
      </c>
      <c r="G5909" s="2" t="s">
        <v>15982</v>
      </c>
      <c r="H5909" s="1">
        <v>2.0</v>
      </c>
      <c r="J5909" s="1" t="s">
        <v>2809</v>
      </c>
      <c r="K5909" s="2" t="s">
        <v>15984</v>
      </c>
      <c r="L5909" s="2"/>
      <c r="M5909" s="2" t="str">
        <f>IFERROR(__xludf.DUMMYFUNCTION("split(split(K5909,""【"",false),""公式LINE"",false)"),"「昭和タイムスリップ!!運命の恋と別れ」ある日、地域住民との触れ合いを強化すると言い出した部長(伊武雅刀)。  早速、地域住民の話を聞きに行く麗子(香里奈)と中川(速水もこみち)。そこには面倒臭そうに話しを聞いている両津(香取慎吾)の姿もあった。  パトロールの途中、駄菓子屋に立ち寄る両津、麗子、中川。そこで店主のモエコ(渡辺えり)が開店以来一度も休んでいないということを知った麗子は、両津に“1日だけ店番をしてあげたら？”と提案する。はじめは面倒臭そうな顔をする両津であったが、何かおいしい思いが出来ると踏"&amp;"んだのか、突然店番をやらせてくれと言い出す。  儲け話に目がない両津は、早速、近所の小学生たちを誘って商売を始める。予想をはるかに超える売れ行きに、疲れて眠ってしまう両津であったが、目を覚ますとそこは昭和30年代にタイムスリップした店内であった。  その店内には若い女性(石原さとみ)の姿が…。なんとその女性は若き日のモエコであった香取慎吾　香里奈　速水もこみち　柴田理恵なぎら健壱　つまみ枝豆　福井博章　ラサール石井　伊武雅刀     ")</f>
        <v>「昭和タイムスリップ!!運命の恋と別れ」ある日、地域住民との触れ合いを強化すると言い出した部長(伊武雅刀)。  早速、地域住民の話を聞きに行く麗子(香里奈)と中川(速水もこみち)。そこには面倒臭そうに話しを聞いている両津(香取慎吾)の姿もあった。  パトロールの途中、駄菓子屋に立ち寄る両津、麗子、中川。そこで店主のモエコ(渡辺えり)が開店以来一度も休んでいないということを知った麗子は、両津に“1日だけ店番をしてあげたら？”と提案する。はじめは面倒臭そうな顔をする両津であったが、何かおいしい思いが出来ると踏んだのか、突然店番をやらせてくれと言い出す。  儲け話に目がない両津は、早速、近所の小学生たちを誘って商売を始める。予想をはるかに超える売れ行きに、疲れて眠ってしまう両津であったが、目を覚ますとそこは昭和30年代にタイムスリップした店内であった。  その店内には若い女性(石原さとみ)の姿が…。なんとその女性は若き日のモエコであった香取慎吾　香里奈　速水もこみち　柴田理恵なぎら健壱　つまみ枝豆　福井博章　ラサール石井　伊武雅刀     </v>
      </c>
      <c r="N5909" s="2"/>
      <c r="O5909" s="2"/>
      <c r="P5909" s="1"/>
      <c r="Q5909" s="1"/>
      <c r="R5909" s="1"/>
      <c r="S5909" s="1"/>
      <c r="T5909" s="1"/>
      <c r="U5909" s="1"/>
      <c r="V5909" s="1"/>
      <c r="W5909" s="1"/>
      <c r="X5909" s="1"/>
      <c r="Y5909" s="1"/>
      <c r="Z5909" s="1"/>
      <c r="AA5909" s="1"/>
      <c r="AB5909" s="1"/>
      <c r="AC5909" s="1"/>
      <c r="AD5909" s="1"/>
      <c r="AE5909" s="1"/>
      <c r="AF5909" s="1"/>
      <c r="AG5909" s="1"/>
      <c r="AH5909" s="1"/>
      <c r="AI5909" s="1"/>
      <c r="AJ5909" s="1"/>
      <c r="AK5909" s="1"/>
      <c r="AL5909" s="1"/>
      <c r="AM5909" s="1"/>
      <c r="AN5909" s="1"/>
      <c r="AO5909" s="1"/>
      <c r="AP5909" s="1"/>
      <c r="AQ5909" s="1"/>
      <c r="AR5909" s="1"/>
      <c r="AS5909" s="1"/>
      <c r="AT5909" s="1"/>
      <c r="AU5909" s="1"/>
      <c r="AV5909" s="1"/>
      <c r="AW5909" s="1"/>
      <c r="AX5909" s="1"/>
      <c r="AY5909" s="1"/>
      <c r="AZ5909" s="1"/>
      <c r="BA5909" s="1"/>
      <c r="BB5909" s="1"/>
    </row>
    <row r="5910" ht="204.75" customHeight="1">
      <c r="A5910" s="1">
        <v>5193.0</v>
      </c>
      <c r="B5910" s="2" t="s">
        <v>15980</v>
      </c>
      <c r="C5910" s="2">
        <f>IFERROR(__xludf.DUMMYFUNCTION("split(B5910,""_"")"),907.0)</f>
        <v>907</v>
      </c>
      <c r="D5910" s="2" t="str">
        <f>IFERROR(__xludf.DUMMYFUNCTION("""COMPUTED_VALUE"""),"TBS")</f>
        <v>TBS</v>
      </c>
      <c r="E5910" s="2" t="str">
        <f>IFERROR(__xludf.DUMMYFUNCTION("""COMPUTED_VALUE"""),"土20")</f>
        <v>土20</v>
      </c>
      <c r="F5910" s="2" t="s">
        <v>15981</v>
      </c>
      <c r="G5910" s="2" t="s">
        <v>15982</v>
      </c>
      <c r="H5910" s="1">
        <v>3.0</v>
      </c>
      <c r="J5910" s="1" t="s">
        <v>2809</v>
      </c>
      <c r="K5910" s="2" t="s">
        <v>15985</v>
      </c>
      <c r="L5910" s="2"/>
      <c r="M5910" s="2" t="str">
        <f>IFERROR(__xludf.DUMMYFUNCTION("split(split(K5910,""【"",false),""公式LINE"",false)"),"イケメン幽霊の悲しい秘密成仏(秘)作戦亀有でユーレイ騒ぎ！？  今回、両さんに課されたのは幽霊退治！  4年に1度しか起きない超能力警官・日暮熟睡男の力を借り、幽霊退治に向かうが・・・。  そこにいた幽霊には悲しい過去があったのだ。  話を聞くうちに、両さんはその幽霊を喜ばせ、成仏させてあげる作戦を思いつく！  亀有の住民を巻き込んだ両さんの作戦は、果たして成功するのか！？香取慎吾　香里奈　速水もこみち　柴田理恵なぎら健壱　つまみ枝豆　福井博章　ラサール石井　伊武雅刀     ")</f>
        <v>イケメン幽霊の悲しい秘密成仏(秘)作戦亀有でユーレイ騒ぎ！？  今回、両さんに課されたのは幽霊退治！  4年に1度しか起きない超能力警官・日暮熟睡男の力を借り、幽霊退治に向かうが・・・。  そこにいた幽霊には悲しい過去があったのだ。  話を聞くうちに、両さんはその幽霊を喜ばせ、成仏させてあげる作戦を思いつく！  亀有の住民を巻き込んだ両さんの作戦は、果たして成功するのか！？香取慎吾　香里奈　速水もこみち　柴田理恵なぎら健壱　つまみ枝豆　福井博章　ラサール石井　伊武雅刀     </v>
      </c>
      <c r="N5910" s="2"/>
      <c r="O5910" s="2"/>
      <c r="P5910" s="1"/>
      <c r="Q5910" s="1"/>
      <c r="R5910" s="1"/>
      <c r="S5910" s="1"/>
      <c r="T5910" s="1"/>
      <c r="U5910" s="1"/>
      <c r="V5910" s="1"/>
      <c r="W5910" s="1"/>
      <c r="X5910" s="1"/>
      <c r="Y5910" s="1"/>
      <c r="Z5910" s="1"/>
      <c r="AA5910" s="1"/>
      <c r="AB5910" s="1"/>
      <c r="AC5910" s="1"/>
      <c r="AD5910" s="1"/>
      <c r="AE5910" s="1"/>
      <c r="AF5910" s="1"/>
      <c r="AG5910" s="1"/>
      <c r="AH5910" s="1"/>
      <c r="AI5910" s="1"/>
      <c r="AJ5910" s="1"/>
      <c r="AK5910" s="1"/>
      <c r="AL5910" s="1"/>
      <c r="AM5910" s="1"/>
      <c r="AN5910" s="1"/>
      <c r="AO5910" s="1"/>
      <c r="AP5910" s="1"/>
      <c r="AQ5910" s="1"/>
      <c r="AR5910" s="1"/>
      <c r="AS5910" s="1"/>
      <c r="AT5910" s="1"/>
      <c r="AU5910" s="1"/>
      <c r="AV5910" s="1"/>
      <c r="AW5910" s="1"/>
      <c r="AX5910" s="1"/>
      <c r="AY5910" s="1"/>
      <c r="AZ5910" s="1"/>
      <c r="BA5910" s="1"/>
      <c r="BB5910" s="1"/>
    </row>
    <row r="5911" ht="204.75" customHeight="1">
      <c r="A5911" s="1">
        <v>5194.0</v>
      </c>
      <c r="B5911" s="2" t="s">
        <v>15980</v>
      </c>
      <c r="C5911" s="2">
        <f>IFERROR(__xludf.DUMMYFUNCTION("split(B5911,""_"")"),907.0)</f>
        <v>907</v>
      </c>
      <c r="D5911" s="2" t="str">
        <f>IFERROR(__xludf.DUMMYFUNCTION("""COMPUTED_VALUE"""),"TBS")</f>
        <v>TBS</v>
      </c>
      <c r="E5911" s="2" t="str">
        <f>IFERROR(__xludf.DUMMYFUNCTION("""COMPUTED_VALUE"""),"土20")</f>
        <v>土20</v>
      </c>
      <c r="F5911" s="2" t="s">
        <v>15981</v>
      </c>
      <c r="G5911" s="2" t="s">
        <v>15982</v>
      </c>
      <c r="H5911" s="1">
        <v>4.0</v>
      </c>
      <c r="J5911" s="1" t="s">
        <v>2809</v>
      </c>
      <c r="K5911" s="2" t="s">
        <v>15986</v>
      </c>
      <c r="L5911" s="2"/>
      <c r="M5911" s="2" t="str">
        <f>IFERROR(__xludf.DUMMYFUNCTION("split(split(K5911,""【"",false),""公式LINE"",false)"),"「すれ違う父娘…人情結婚式で涙の再会」俳句が趣味で泣き虫なちょっと変わったヤクザの組長・御所ヶ原。  町では恐れられている彼だが、実は大きな悩みがあった。  愛する娘に“ヤクザだから”という理由で嫌われてしまっているのだ。  父に出席して欲しくないから、と結婚式も挙げていない娘。  そんな父と娘の悲しい溝を埋めるため、両さんが立ち上がり、涙の結婚式をプロデュース！  果たして御所ヶ原親子は、関係を取り戻すことができるのか!?  香取慎吾　香里奈　速水もこみち　柴田理恵なぎら健壱　つまみ枝豆　福井博章　ラサ"&amp;"ール石井　伊武雅刀     ")</f>
        <v>「すれ違う父娘…人情結婚式で涙の再会」俳句が趣味で泣き虫なちょっと変わったヤクザの組長・御所ヶ原。  町では恐れられている彼だが、実は大きな悩みがあった。  愛する娘に“ヤクザだから”という理由で嫌われてしまっているのだ。  父に出席して欲しくないから、と結婚式も挙げていない娘。  そんな父と娘の悲しい溝を埋めるため、両さんが立ち上がり、涙の結婚式をプロデュース！  果たして御所ヶ原親子は、関係を取り戻すことができるのか!?  香取慎吾　香里奈　速水もこみち　柴田理恵なぎら健壱　つまみ枝豆　福井博章　ラサール石井　伊武雅刀     </v>
      </c>
      <c r="N5911" s="2"/>
      <c r="O5911" s="2"/>
      <c r="P5911" s="1"/>
      <c r="Q5911" s="1"/>
      <c r="R5911" s="1"/>
      <c r="S5911" s="1"/>
      <c r="T5911" s="1"/>
      <c r="U5911" s="1"/>
      <c r="V5911" s="1"/>
      <c r="W5911" s="1"/>
      <c r="X5911" s="1"/>
      <c r="Y5911" s="1"/>
      <c r="Z5911" s="1"/>
      <c r="AA5911" s="1"/>
      <c r="AB5911" s="1"/>
      <c r="AC5911" s="1"/>
      <c r="AD5911" s="1"/>
      <c r="AE5911" s="1"/>
      <c r="AF5911" s="1"/>
      <c r="AG5911" s="1"/>
      <c r="AH5911" s="1"/>
      <c r="AI5911" s="1"/>
      <c r="AJ5911" s="1"/>
      <c r="AK5911" s="1"/>
      <c r="AL5911" s="1"/>
      <c r="AM5911" s="1"/>
      <c r="AN5911" s="1"/>
      <c r="AO5911" s="1"/>
      <c r="AP5911" s="1"/>
      <c r="AQ5911" s="1"/>
      <c r="AR5911" s="1"/>
      <c r="AS5911" s="1"/>
      <c r="AT5911" s="1"/>
      <c r="AU5911" s="1"/>
      <c r="AV5911" s="1"/>
      <c r="AW5911" s="1"/>
      <c r="AX5911" s="1"/>
      <c r="AY5911" s="1"/>
      <c r="AZ5911" s="1"/>
      <c r="BA5911" s="1"/>
      <c r="BB5911" s="1"/>
    </row>
    <row r="5912" ht="204.75" customHeight="1">
      <c r="A5912" s="1">
        <v>5195.0</v>
      </c>
      <c r="B5912" s="2" t="s">
        <v>15980</v>
      </c>
      <c r="C5912" s="2">
        <f>IFERROR(__xludf.DUMMYFUNCTION("split(B5912,""_"")"),907.0)</f>
        <v>907</v>
      </c>
      <c r="D5912" s="2" t="str">
        <f>IFERROR(__xludf.DUMMYFUNCTION("""COMPUTED_VALUE"""),"TBS")</f>
        <v>TBS</v>
      </c>
      <c r="E5912" s="2" t="str">
        <f>IFERROR(__xludf.DUMMYFUNCTION("""COMPUTED_VALUE"""),"土20")</f>
        <v>土20</v>
      </c>
      <c r="F5912" s="2" t="s">
        <v>15981</v>
      </c>
      <c r="G5912" s="2" t="s">
        <v>15982</v>
      </c>
      <c r="H5912" s="1">
        <v>5.0</v>
      </c>
      <c r="J5912" s="1" t="s">
        <v>2809</v>
      </c>
      <c r="K5912" s="2" t="s">
        <v>15987</v>
      </c>
      <c r="L5912" s="2"/>
      <c r="M5912" s="2" t="str">
        <f>IFERROR(__xludf.DUMMYFUNCTION("split(split(K5912,""【"",false),""公式LINE"",false)"),"「恋の三角関係!!麗子はワシの宝物だ!!」  麗子の婚約者と名乗り、突如現れた自称スーパー金持ち・白鳥麗次。麗子に全く相手にしてもらえない白鳥の様子を見ていた“下町の恋のカリスマ”両さんが、恋のキューピッドを買って出る！  そしてついに迎えたお見合いの日…。  白鳥のプロポーズに麗子が答えを出そうとしたその時!!??  両さんが麗子を奪いに!?  果たして3人の恋の行方は!?  香取慎吾　香里奈　速水もこみち　柴田理恵なぎら健壱　つまみ枝豆　福井博章　ラサール石井　伊武雅刀     ")</f>
        <v>「恋の三角関係!!麗子はワシの宝物だ!!」  麗子の婚約者と名乗り、突如現れた自称スーパー金持ち・白鳥麗次。麗子に全く相手にしてもらえない白鳥の様子を見ていた“下町の恋のカリスマ”両さんが、恋のキューピッドを買って出る！  そしてついに迎えたお見合いの日…。  白鳥のプロポーズに麗子が答えを出そうとしたその時!!??  両さんが麗子を奪いに!?  果たして3人の恋の行方は!?  香取慎吾　香里奈　速水もこみち　柴田理恵なぎら健壱　つまみ枝豆　福井博章　ラサール石井　伊武雅刀     </v>
      </c>
      <c r="N5912" s="2"/>
      <c r="O5912" s="2"/>
      <c r="P5912" s="1"/>
      <c r="Q5912" s="1"/>
      <c r="R5912" s="1"/>
      <c r="S5912" s="1"/>
      <c r="T5912" s="1"/>
      <c r="U5912" s="1"/>
      <c r="V5912" s="1"/>
      <c r="W5912" s="1"/>
      <c r="X5912" s="1"/>
      <c r="Y5912" s="1"/>
      <c r="Z5912" s="1"/>
      <c r="AA5912" s="1"/>
      <c r="AB5912" s="1"/>
      <c r="AC5912" s="1"/>
      <c r="AD5912" s="1"/>
      <c r="AE5912" s="1"/>
      <c r="AF5912" s="1"/>
      <c r="AG5912" s="1"/>
      <c r="AH5912" s="1"/>
      <c r="AI5912" s="1"/>
      <c r="AJ5912" s="1"/>
      <c r="AK5912" s="1"/>
      <c r="AL5912" s="1"/>
      <c r="AM5912" s="1"/>
      <c r="AN5912" s="1"/>
      <c r="AO5912" s="1"/>
      <c r="AP5912" s="1"/>
      <c r="AQ5912" s="1"/>
      <c r="AR5912" s="1"/>
      <c r="AS5912" s="1"/>
      <c r="AT5912" s="1"/>
      <c r="AU5912" s="1"/>
      <c r="AV5912" s="1"/>
      <c r="AW5912" s="1"/>
      <c r="AX5912" s="1"/>
      <c r="AY5912" s="1"/>
      <c r="AZ5912" s="1"/>
      <c r="BA5912" s="1"/>
      <c r="BB5912" s="1"/>
    </row>
    <row r="5913" ht="204.75" customHeight="1">
      <c r="A5913" s="1">
        <v>5196.0</v>
      </c>
      <c r="B5913" s="2" t="s">
        <v>15980</v>
      </c>
      <c r="C5913" s="2">
        <f>IFERROR(__xludf.DUMMYFUNCTION("split(B5913,""_"")"),907.0)</f>
        <v>907</v>
      </c>
      <c r="D5913" s="2" t="str">
        <f>IFERROR(__xludf.DUMMYFUNCTION("""COMPUTED_VALUE"""),"TBS")</f>
        <v>TBS</v>
      </c>
      <c r="E5913" s="2" t="str">
        <f>IFERROR(__xludf.DUMMYFUNCTION("""COMPUTED_VALUE"""),"土20")</f>
        <v>土20</v>
      </c>
      <c r="F5913" s="2" t="s">
        <v>15981</v>
      </c>
      <c r="G5913" s="2" t="s">
        <v>15982</v>
      </c>
      <c r="H5913" s="1">
        <v>6.0</v>
      </c>
      <c r="J5913" s="1" t="s">
        <v>2809</v>
      </c>
      <c r="K5913" s="2" t="s">
        <v>15988</v>
      </c>
      <c r="L5913" s="2"/>
      <c r="M5913" s="2" t="str">
        <f>IFERROR(__xludf.DUMMYFUNCTION("split(split(K5913,""【"",false),""公式LINE"",false)"),"「両さんと中川が入れかわっちゃった!?」  謎の怪盗団からの犯行予告。そして両さんたちの前に現れた怪盗団。必死に追う中、事件が!!なんと、ぶつかった拍子に両さんと中川の中身が入れ替わってしまったのだ!!さらに、両さんが中川財閥社長と間違えられ、誘拐されてしまう。両さんを助けるため、中川が立ち上がる！香取慎吾　香里奈　速水もこみち　柴田理恵なぎら健壱　つまみ枝豆　福井博章　ラサール石井　伊武雅刀     ")</f>
        <v>「両さんと中川が入れかわっちゃった!?」  謎の怪盗団からの犯行予告。そして両さんたちの前に現れた怪盗団。必死に追う中、事件が!!なんと、ぶつかった拍子に両さんと中川の中身が入れ替わってしまったのだ!!さらに、両さんが中川財閥社長と間違えられ、誘拐されてしまう。両さんを助けるため、中川が立ち上がる！香取慎吾　香里奈　速水もこみち　柴田理恵なぎら健壱　つまみ枝豆　福井博章　ラサール石井　伊武雅刀     </v>
      </c>
      <c r="N5913" s="2"/>
      <c r="O5913" s="2"/>
      <c r="P5913" s="1"/>
      <c r="Q5913" s="1"/>
      <c r="R5913" s="1"/>
      <c r="S5913" s="1"/>
      <c r="T5913" s="1"/>
      <c r="U5913" s="1"/>
      <c r="V5913" s="1"/>
      <c r="W5913" s="1"/>
      <c r="X5913" s="1"/>
      <c r="Y5913" s="1"/>
      <c r="Z5913" s="1"/>
      <c r="AA5913" s="1"/>
      <c r="AB5913" s="1"/>
      <c r="AC5913" s="1"/>
      <c r="AD5913" s="1"/>
      <c r="AE5913" s="1"/>
      <c r="AF5913" s="1"/>
      <c r="AG5913" s="1"/>
      <c r="AH5913" s="1"/>
      <c r="AI5913" s="1"/>
      <c r="AJ5913" s="1"/>
      <c r="AK5913" s="1"/>
      <c r="AL5913" s="1"/>
      <c r="AM5913" s="1"/>
      <c r="AN5913" s="1"/>
      <c r="AO5913" s="1"/>
      <c r="AP5913" s="1"/>
      <c r="AQ5913" s="1"/>
      <c r="AR5913" s="1"/>
      <c r="AS5913" s="1"/>
      <c r="AT5913" s="1"/>
      <c r="AU5913" s="1"/>
      <c r="AV5913" s="1"/>
      <c r="AW5913" s="1"/>
      <c r="AX5913" s="1"/>
      <c r="AY5913" s="1"/>
      <c r="AZ5913" s="1"/>
      <c r="BA5913" s="1"/>
      <c r="BB5913" s="1"/>
    </row>
    <row r="5914" ht="204.75" customHeight="1">
      <c r="A5914" s="1">
        <v>5197.0</v>
      </c>
      <c r="B5914" s="2" t="s">
        <v>15980</v>
      </c>
      <c r="C5914" s="2">
        <f>IFERROR(__xludf.DUMMYFUNCTION("split(B5914,""_"")"),907.0)</f>
        <v>907</v>
      </c>
      <c r="D5914" s="2" t="str">
        <f>IFERROR(__xludf.DUMMYFUNCTION("""COMPUTED_VALUE"""),"TBS")</f>
        <v>TBS</v>
      </c>
      <c r="E5914" s="2" t="str">
        <f>IFERROR(__xludf.DUMMYFUNCTION("""COMPUTED_VALUE"""),"土20")</f>
        <v>土20</v>
      </c>
      <c r="F5914" s="2" t="s">
        <v>15981</v>
      </c>
      <c r="G5914" s="2" t="s">
        <v>15982</v>
      </c>
      <c r="H5914" s="1">
        <v>7.0</v>
      </c>
      <c r="J5914" s="1" t="s">
        <v>2809</v>
      </c>
      <c r="K5914" s="2" t="s">
        <v>15989</v>
      </c>
      <c r="L5914" s="2"/>
      <c r="M5914" s="2" t="str">
        <f>IFERROR(__xludf.DUMMYFUNCTION("split(split(K5914,""【"",false),""公式LINE"",false)"),"「2重人格!?純情白バイ警官珍デート!!」  凶暴だがバイクを降りるとなよなよキャラに変身する白バイ警官、本田。そんな本田が恋!?両さんが本田のために立ち上がる！両さんのおかげでうまくいきそうにみえた恋だったが…!?  香取慎吾　香里奈　速水もこみち　柴田理恵なぎら健壱　つまみ枝豆　福井博章　ラサール石井　伊武雅刀     ")</f>
        <v>「2重人格!?純情白バイ警官珍デート!!」  凶暴だがバイクを降りるとなよなよキャラに変身する白バイ警官、本田。そんな本田が恋!?両さんが本田のために立ち上がる！両さんのおかげでうまくいきそうにみえた恋だったが…!?  香取慎吾　香里奈　速水もこみち　柴田理恵なぎら健壱　つまみ枝豆　福井博章　ラサール石井　伊武雅刀     </v>
      </c>
      <c r="N5914" s="2"/>
      <c r="O5914" s="2"/>
      <c r="P5914" s="1"/>
      <c r="Q5914" s="1"/>
      <c r="R5914" s="1"/>
      <c r="S5914" s="1"/>
      <c r="T5914" s="1"/>
      <c r="U5914" s="1"/>
      <c r="V5914" s="1"/>
      <c r="W5914" s="1"/>
      <c r="X5914" s="1"/>
      <c r="Y5914" s="1"/>
      <c r="Z5914" s="1"/>
      <c r="AA5914" s="1"/>
      <c r="AB5914" s="1"/>
      <c r="AC5914" s="1"/>
      <c r="AD5914" s="1"/>
      <c r="AE5914" s="1"/>
      <c r="AF5914" s="1"/>
      <c r="AG5914" s="1"/>
      <c r="AH5914" s="1"/>
      <c r="AI5914" s="1"/>
      <c r="AJ5914" s="1"/>
      <c r="AK5914" s="1"/>
      <c r="AL5914" s="1"/>
      <c r="AM5914" s="1"/>
      <c r="AN5914" s="1"/>
      <c r="AO5914" s="1"/>
      <c r="AP5914" s="1"/>
      <c r="AQ5914" s="1"/>
      <c r="AR5914" s="1"/>
      <c r="AS5914" s="1"/>
      <c r="AT5914" s="1"/>
      <c r="AU5914" s="1"/>
      <c r="AV5914" s="1"/>
      <c r="AW5914" s="1"/>
      <c r="AX5914" s="1"/>
      <c r="AY5914" s="1"/>
      <c r="AZ5914" s="1"/>
      <c r="BA5914" s="1"/>
      <c r="BB5914" s="1"/>
    </row>
    <row r="5915" ht="204.75" customHeight="1">
      <c r="A5915" s="1">
        <v>5198.0</v>
      </c>
      <c r="B5915" s="2" t="s">
        <v>15980</v>
      </c>
      <c r="C5915" s="2">
        <f>IFERROR(__xludf.DUMMYFUNCTION("split(B5915,""_"")"),907.0)</f>
        <v>907</v>
      </c>
      <c r="D5915" s="2" t="str">
        <f>IFERROR(__xludf.DUMMYFUNCTION("""COMPUTED_VALUE"""),"TBS")</f>
        <v>TBS</v>
      </c>
      <c r="E5915" s="2" t="str">
        <f>IFERROR(__xludf.DUMMYFUNCTION("""COMPUTED_VALUE"""),"土20")</f>
        <v>土20</v>
      </c>
      <c r="F5915" s="2" t="s">
        <v>15981</v>
      </c>
      <c r="G5915" s="2" t="s">
        <v>15982</v>
      </c>
      <c r="H5915" s="1">
        <v>8.0</v>
      </c>
      <c r="J5915" s="1" t="s">
        <v>15851</v>
      </c>
      <c r="K5915" s="2" t="s">
        <v>15990</v>
      </c>
      <c r="L5915" s="2"/>
      <c r="M5915" s="2" t="str">
        <f>IFERROR(__xludf.DUMMYFUNCTION("split(split(K5915,""【"",false),""公式LINE"",false)"),"「さよなら、両さん!!読者が選ぶ“泣ける”エピソード不動のNo.1　20年の時を越え思い出の校庭で再会した2人　涙と友情と約束のタイムカプセル」連載33年、コミック166巻の歴史の中でファンが選ぶ“泣ける”エピソード人気No.1「浅草物語」がついに登場!!  20年ぶりに再会した両さんの親友がやくざになっていた。しかも、殺人容疑で指名手配されているという。親友を更正させるために立ち上がった両さん!!  しかし、本庁の命令を無視した行動がアダとなりクビを宣告されてしまう…  怒涛の最終回2時間スペシャル!!"&amp;"今夜は涙なくしては見れません!!  香取慎吾　香里奈　速水もこみち　柴田理恵なぎら健壱　つまみ枝豆　福井博章　ラサール石井　伊武雅刀     ")</f>
        <v>「さよなら、両さん!!読者が選ぶ“泣ける”エピソード不動のNo.1　20年の時を越え思い出の校庭で再会した2人　涙と友情と約束のタイムカプセル」連載33年、コミック166巻の歴史の中でファンが選ぶ“泣ける”エピソード人気No.1「浅草物語」がついに登場!!  20年ぶりに再会した両さんの親友がやくざになっていた。しかも、殺人容疑で指名手配されているという。親友を更正させるために立ち上がった両さん!!  しかし、本庁の命令を無視した行動がアダとなりクビを宣告されてしまう…  怒涛の最終回2時間スペシャル!!今夜は涙なくしては見れません!!  香取慎吾　香里奈　速水もこみち　柴田理恵なぎら健壱　つまみ枝豆　福井博章　ラサール石井　伊武雅刀     </v>
      </c>
      <c r="N5915" s="2"/>
      <c r="O5915" s="2"/>
      <c r="P5915" s="1"/>
      <c r="Q5915" s="1"/>
      <c r="R5915" s="1"/>
      <c r="S5915" s="1"/>
      <c r="T5915" s="1"/>
      <c r="U5915" s="1"/>
      <c r="V5915" s="1"/>
      <c r="W5915" s="1"/>
      <c r="X5915" s="1"/>
      <c r="Y5915" s="1"/>
      <c r="Z5915" s="1"/>
      <c r="AA5915" s="1"/>
      <c r="AB5915" s="1"/>
      <c r="AC5915" s="1"/>
      <c r="AD5915" s="1"/>
      <c r="AE5915" s="1"/>
      <c r="AF5915" s="1"/>
      <c r="AG5915" s="1"/>
      <c r="AH5915" s="1"/>
      <c r="AI5915" s="1"/>
      <c r="AJ5915" s="1"/>
      <c r="AK5915" s="1"/>
      <c r="AL5915" s="1"/>
      <c r="AM5915" s="1"/>
      <c r="AN5915" s="1"/>
      <c r="AO5915" s="1"/>
      <c r="AP5915" s="1"/>
      <c r="AQ5915" s="1"/>
      <c r="AR5915" s="1"/>
      <c r="AS5915" s="1"/>
      <c r="AT5915" s="1"/>
      <c r="AU5915" s="1"/>
      <c r="AV5915" s="1"/>
      <c r="AW5915" s="1"/>
      <c r="AX5915" s="1"/>
      <c r="AY5915" s="1"/>
      <c r="AZ5915" s="1"/>
      <c r="BA5915" s="1"/>
      <c r="BB5915" s="1"/>
    </row>
    <row r="5916" ht="204.75" customHeight="1">
      <c r="A5916" s="1">
        <v>5217.0</v>
      </c>
      <c r="B5916" s="2" t="s">
        <v>15991</v>
      </c>
      <c r="C5916" s="2">
        <f>IFERROR(__xludf.DUMMYFUNCTION("split(B5916,""_"")"),907.0)</f>
        <v>907</v>
      </c>
      <c r="D5916" s="2" t="str">
        <f>IFERROR(__xludf.DUMMYFUNCTION("""COMPUTED_VALUE"""),"TBS")</f>
        <v>TBS</v>
      </c>
      <c r="E5916" s="2" t="str">
        <f>IFERROR(__xludf.DUMMYFUNCTION("""COMPUTED_VALUE"""),"日21")</f>
        <v>日21</v>
      </c>
      <c r="F5916" s="2" t="s">
        <v>15992</v>
      </c>
      <c r="G5916" s="2" t="s">
        <v>15993</v>
      </c>
      <c r="H5916" s="1">
        <v>1.0</v>
      </c>
      <c r="J5916" s="1" t="s">
        <v>4</v>
      </c>
      <c r="K5916" s="2" t="s">
        <v>15994</v>
      </c>
      <c r="L5916" s="2"/>
      <c r="M5916" s="2" t="str">
        <f>IFERROR(__xludf.DUMMYFUNCTION("split(split(K5916,""【"",false),""公式LINE"",false)"),"「昭和三十年の夢」敗戦から10年経った、高度成長期元年といわれる昭和30年春（1955年）、日本の道路舗装率がまだ5％にも満たず、家一軒よりも車の値段のほうが高かったころ、日本国民みんなが買える国産車を作ろうとする動きがあった。その動きは、「通産省の国民車構想」という記事ですっぱ抜かれ、通産省には記者が殺到、職員は対応に追われる。通産省重工業局長の丸尾要（西村雅彦）は根回しもできていないこの計画を、同局自動車課長の風越信吾（佐藤浩市）が勝手に記事を書かせたと思い怒りを露にするが、風越に心酔する中小企業振興"&amp;"課長の鮎川光太郎（高橋克実）は あの人はいつも10年先を見据えている と弁護する。佐藤浩市　堺　雅人　高橋克実　佐野史郎　西村雅彦　杉本哲太　吹石一恵　田中圭　床嶋佳子　村川絵梨　国広富之　蟹江敬三　市毛良枝　加藤虎ノ介    高橋克典　船越英一郎　北大路欣也")</f>
        <v>「昭和三十年の夢」敗戦から10年経った、高度成長期元年といわれる昭和30年春（1955年）、日本の道路舗装率がまだ5％にも満たず、家一軒よりも車の値段のほうが高かったころ、日本国民みんなが買える国産車を作ろうとする動きがあった。その動きは、「通産省の国民車構想」という記事ですっぱ抜かれ、通産省には記者が殺到、職員は対応に追われる。通産省重工業局長の丸尾要（西村雅彦）は根回しもできていないこの計画を、同局自動車課長の風越信吾（佐藤浩市）が勝手に記事を書かせたと思い怒りを露にするが、風越に心酔する中小企業振興課長の鮎川光太郎（高橋克実）は あの人はいつも10年先を見据えている と弁護する。佐藤浩市　堺　雅人　高橋克実　佐野史郎　西村雅彦　杉本哲太　吹石一恵　田中圭　床嶋佳子　村川絵梨　国広富之　蟹江敬三　市毛良枝　加藤虎ノ介    高橋克典　船越英一郎　北大路欣也</v>
      </c>
      <c r="N5916" s="2"/>
      <c r="O5916" s="2"/>
      <c r="P5916" s="1"/>
      <c r="Q5916" s="1"/>
      <c r="R5916" s="1"/>
      <c r="S5916" s="1"/>
      <c r="T5916" s="1"/>
      <c r="U5916" s="1"/>
      <c r="V5916" s="1"/>
      <c r="W5916" s="1"/>
      <c r="X5916" s="1"/>
      <c r="Y5916" s="1"/>
      <c r="Z5916" s="1"/>
      <c r="AA5916" s="1"/>
      <c r="AB5916" s="1"/>
      <c r="AC5916" s="1"/>
      <c r="AD5916" s="1"/>
      <c r="AE5916" s="1"/>
      <c r="AF5916" s="1"/>
      <c r="AG5916" s="1"/>
      <c r="AH5916" s="1"/>
      <c r="AI5916" s="1"/>
      <c r="AJ5916" s="1"/>
      <c r="AK5916" s="1"/>
      <c r="AL5916" s="1"/>
      <c r="AM5916" s="1"/>
      <c r="AN5916" s="1"/>
      <c r="AO5916" s="1"/>
      <c r="AP5916" s="1"/>
      <c r="AQ5916" s="1"/>
      <c r="AR5916" s="1"/>
      <c r="AS5916" s="1"/>
      <c r="AT5916" s="1"/>
      <c r="AU5916" s="1"/>
      <c r="AV5916" s="1"/>
      <c r="AW5916" s="1"/>
      <c r="AX5916" s="1"/>
      <c r="AY5916" s="1"/>
      <c r="AZ5916" s="1"/>
      <c r="BA5916" s="1"/>
      <c r="BB5916" s="1"/>
    </row>
    <row r="5917" ht="204.75" customHeight="1">
      <c r="A5917" s="1">
        <v>5218.0</v>
      </c>
      <c r="B5917" s="2" t="s">
        <v>15991</v>
      </c>
      <c r="C5917" s="2">
        <f>IFERROR(__xludf.DUMMYFUNCTION("split(B5917,""_"")"),907.0)</f>
        <v>907</v>
      </c>
      <c r="D5917" s="2" t="str">
        <f>IFERROR(__xludf.DUMMYFUNCTION("""COMPUTED_VALUE"""),"TBS")</f>
        <v>TBS</v>
      </c>
      <c r="E5917" s="2" t="str">
        <f>IFERROR(__xludf.DUMMYFUNCTION("""COMPUTED_VALUE"""),"日21")</f>
        <v>日21</v>
      </c>
      <c r="F5917" s="2" t="s">
        <v>15992</v>
      </c>
      <c r="G5917" s="2" t="s">
        <v>15993</v>
      </c>
      <c r="H5917" s="1">
        <v>2.0</v>
      </c>
      <c r="J5917" s="1" t="s">
        <v>11</v>
      </c>
      <c r="K5917" s="2" t="s">
        <v>15995</v>
      </c>
      <c r="L5917" s="2"/>
      <c r="M5917" s="2" t="str">
        <f>IFERROR(__xludf.DUMMYFUNCTION("split(split(K5917,""【"",false),""公式LINE"",false)"),"「テレビの時代」テレビを普及させるためには、テレビの低価格化が必須だと考える官房秘書課長の風越信吾（佐藤浩市）は重工業局長の丸尾要（西村雅彦）に、家電メーカーの過当競争による共倒れを防ごうと参入業者を制限する案を提案し、了承される。  しかし、参入を制限された大沢無線は反発、電気通信課長の庭野貴久（堺雅人）は業種転換を提案するが、拒絶される。  一方、大沢無線に融資していた帝都銀行も反発、風越は窮地に追い込まれる。佐藤浩市　堺　雅人　高橋克実　佐野史郎　西村雅彦　杉本哲太　吹石一恵　田中圭　床嶋佳子　村川"&amp;"絵梨　国広富之　蟹江敬三　市毛良枝　加藤虎ノ介    高橋克典　船越英一郎　北大路欣也")</f>
        <v>「テレビの時代」テレビを普及させるためには、テレビの低価格化が必須だと考える官房秘書課長の風越信吾（佐藤浩市）は重工業局長の丸尾要（西村雅彦）に、家電メーカーの過当競争による共倒れを防ごうと参入業者を制限する案を提案し、了承される。  しかし、参入を制限された大沢無線は反発、電気通信課長の庭野貴久（堺雅人）は業種転換を提案するが、拒絶される。  一方、大沢無線に融資していた帝都銀行も反発、風越は窮地に追い込まれる。佐藤浩市　堺　雅人　高橋克実　佐野史郎　西村雅彦　杉本哲太　吹石一恵　田中圭　床嶋佳子　村川絵梨　国広富之　蟹江敬三　市毛良枝　加藤虎ノ介    高橋克典　船越英一郎　北大路欣也</v>
      </c>
      <c r="N5917" s="2"/>
      <c r="O5917" s="2"/>
      <c r="P5917" s="1"/>
      <c r="Q5917" s="1"/>
      <c r="R5917" s="1"/>
      <c r="S5917" s="1"/>
      <c r="T5917" s="1"/>
      <c r="U5917" s="1"/>
      <c r="V5917" s="1"/>
      <c r="W5917" s="1"/>
      <c r="X5917" s="1"/>
      <c r="Y5917" s="1"/>
      <c r="Z5917" s="1"/>
      <c r="AA5917" s="1"/>
      <c r="AB5917" s="1"/>
      <c r="AC5917" s="1"/>
      <c r="AD5917" s="1"/>
      <c r="AE5917" s="1"/>
      <c r="AF5917" s="1"/>
      <c r="AG5917" s="1"/>
      <c r="AH5917" s="1"/>
      <c r="AI5917" s="1"/>
      <c r="AJ5917" s="1"/>
      <c r="AK5917" s="1"/>
      <c r="AL5917" s="1"/>
      <c r="AM5917" s="1"/>
      <c r="AN5917" s="1"/>
      <c r="AO5917" s="1"/>
      <c r="AP5917" s="1"/>
      <c r="AQ5917" s="1"/>
      <c r="AR5917" s="1"/>
      <c r="AS5917" s="1"/>
      <c r="AT5917" s="1"/>
      <c r="AU5917" s="1"/>
      <c r="AV5917" s="1"/>
      <c r="AW5917" s="1"/>
      <c r="AX5917" s="1"/>
      <c r="AY5917" s="1"/>
      <c r="AZ5917" s="1"/>
      <c r="BA5917" s="1"/>
      <c r="BB5917" s="1"/>
    </row>
    <row r="5918" ht="204.75" customHeight="1">
      <c r="A5918" s="1">
        <v>5219.0</v>
      </c>
      <c r="B5918" s="2" t="s">
        <v>15991</v>
      </c>
      <c r="C5918" s="2">
        <f>IFERROR(__xludf.DUMMYFUNCTION("split(B5918,""_"")"),907.0)</f>
        <v>907</v>
      </c>
      <c r="D5918" s="2" t="str">
        <f>IFERROR(__xludf.DUMMYFUNCTION("""COMPUTED_VALUE"""),"TBS")</f>
        <v>TBS</v>
      </c>
      <c r="E5918" s="2" t="str">
        <f>IFERROR(__xludf.DUMMYFUNCTION("""COMPUTED_VALUE"""),"日21")</f>
        <v>日21</v>
      </c>
      <c r="F5918" s="2" t="s">
        <v>15992</v>
      </c>
      <c r="G5918" s="2" t="s">
        <v>15993</v>
      </c>
      <c r="H5918" s="1">
        <v>3.0</v>
      </c>
      <c r="J5918" s="1" t="s">
        <v>11</v>
      </c>
      <c r="K5918" s="2" t="s">
        <v>15996</v>
      </c>
      <c r="L5918" s="2"/>
      <c r="M5918" s="2" t="str">
        <f>IFERROR(__xludf.DUMMYFUNCTION("split(split(K5918,""【"",false),""公式LINE"",false)"),"「大臣との対立」昭和34年（1959年）、日本の繊維製品がアメリカ市場を席巻し、貿易摩擦を引き起こしていた。そんな中、アメリカ協調派の実力者 池内信人（北大路欣也）が通産大臣に就任する。焦点となる繊維局長には風越信吾（佐藤浩市）のライバルであり国際通商派の玉木博文(船越栄一郎)が任命され、同じ考えの片山泰介（高橋克典）も繊維局へ異動となった。  風越は重要ポストである重工業局長に昇進した。そこで風越は、池内の動向を把握するため国内産業保護派の庭野貴久（堺雅人）を大臣秘書官に、腹心の鮎川光太郎（高橋克実）を"&amp;"玉木や片山のいる繊維局へ送り込む。  そんな中、アメリカは日本政府に対し、正式に綿製品の輸出自主規制を強く要求。1年後に輸出自主規制が実施された場合、半数の企業が倒産するという。佐藤浩市　堺　雅人　高橋克実　佐野史郎　西村雅彦　杉本哲太　吹石一恵　田中圭　床嶋佳子　村川絵梨　国広富之　蟹江敬三　市毛良枝　加藤虎ノ介    高橋克典　船越英一郎　北大路欣也")</f>
        <v>「大臣との対立」昭和34年（1959年）、日本の繊維製品がアメリカ市場を席巻し、貿易摩擦を引き起こしていた。そんな中、アメリカ協調派の実力者 池内信人（北大路欣也）が通産大臣に就任する。焦点となる繊維局長には風越信吾（佐藤浩市）のライバルであり国際通商派の玉木博文(船越栄一郎)が任命され、同じ考えの片山泰介（高橋克典）も繊維局へ異動となった。  風越は重要ポストである重工業局長に昇進した。そこで風越は、池内の動向を把握するため国内産業保護派の庭野貴久（堺雅人）を大臣秘書官に、腹心の鮎川光太郎（高橋克実）を玉木や片山のいる繊維局へ送り込む。  そんな中、アメリカは日本政府に対し、正式に綿製品の輸出自主規制を強く要求。1年後に輸出自主規制が実施された場合、半数の企業が倒産するという。佐藤浩市　堺　雅人　高橋克実　佐野史郎　西村雅彦　杉本哲太　吹石一恵　田中圭　床嶋佳子　村川絵梨　国広富之　蟹江敬三　市毛良枝　加藤虎ノ介    高橋克典　船越英一郎　北大路欣也</v>
      </c>
      <c r="N5918" s="2"/>
      <c r="O5918" s="2"/>
      <c r="P5918" s="1"/>
      <c r="Q5918" s="1"/>
      <c r="R5918" s="1"/>
      <c r="S5918" s="1"/>
      <c r="T5918" s="1"/>
      <c r="U5918" s="1"/>
      <c r="V5918" s="1"/>
      <c r="W5918" s="1"/>
      <c r="X5918" s="1"/>
      <c r="Y5918" s="1"/>
      <c r="Z5918" s="1"/>
      <c r="AA5918" s="1"/>
      <c r="AB5918" s="1"/>
      <c r="AC5918" s="1"/>
      <c r="AD5918" s="1"/>
      <c r="AE5918" s="1"/>
      <c r="AF5918" s="1"/>
      <c r="AG5918" s="1"/>
      <c r="AH5918" s="1"/>
      <c r="AI5918" s="1"/>
      <c r="AJ5918" s="1"/>
      <c r="AK5918" s="1"/>
      <c r="AL5918" s="1"/>
      <c r="AM5918" s="1"/>
      <c r="AN5918" s="1"/>
      <c r="AO5918" s="1"/>
      <c r="AP5918" s="1"/>
      <c r="AQ5918" s="1"/>
      <c r="AR5918" s="1"/>
      <c r="AS5918" s="1"/>
      <c r="AT5918" s="1"/>
      <c r="AU5918" s="1"/>
      <c r="AV5918" s="1"/>
      <c r="AW5918" s="1"/>
      <c r="AX5918" s="1"/>
      <c r="AY5918" s="1"/>
      <c r="AZ5918" s="1"/>
      <c r="BA5918" s="1"/>
      <c r="BB5918" s="1"/>
    </row>
    <row r="5919" ht="204.75" customHeight="1">
      <c r="A5919" s="1">
        <v>5220.0</v>
      </c>
      <c r="B5919" s="2" t="s">
        <v>15991</v>
      </c>
      <c r="C5919" s="2">
        <f>IFERROR(__xludf.DUMMYFUNCTION("split(B5919,""_"")"),907.0)</f>
        <v>907</v>
      </c>
      <c r="D5919" s="2" t="str">
        <f>IFERROR(__xludf.DUMMYFUNCTION("""COMPUTED_VALUE"""),"TBS")</f>
        <v>TBS</v>
      </c>
      <c r="E5919" s="2" t="str">
        <f>IFERROR(__xludf.DUMMYFUNCTION("""COMPUTED_VALUE"""),"日21")</f>
        <v>日21</v>
      </c>
      <c r="F5919" s="2" t="s">
        <v>15992</v>
      </c>
      <c r="G5919" s="2" t="s">
        <v>15993</v>
      </c>
      <c r="H5919" s="1">
        <v>4.0</v>
      </c>
      <c r="J5919" s="1" t="s">
        <v>11</v>
      </c>
      <c r="K5919" s="2" t="s">
        <v>15997</v>
      </c>
      <c r="L5919" s="2"/>
      <c r="M5919" s="2" t="str">
        <f>IFERROR(__xludf.DUMMYFUNCTION("split(split(K5919,""【"",false),""公式LINE"",false)"),"「黒船来襲」昭和34年（1959年）アメリカの強硬な姿勢に屈し、綿製品の対米輸出自主規制を行ったことで、日本の繊維業界は深刻な不況に陥っていた。  通産省に対する繊維業界の怒りは高まる一方であったが、通産大臣の池内信人（北大路欣也）は国際貿易自由協定GATTの東京総会を乗り切ることで頭がいっぱいだった。  GATTの東京総会が開かれ、日本は各国から保護貿易主義を批判され、貿易自由化勧告を突きつけられた。自由化勧告は池内の予想を超えた厳しいものだった。池内は日米安保を鑑み、GATTを乗り切るために、繊維局長"&amp;"の玉木博文（船越英一郎）に繊維産業を自由化するよう求める。  GATT勧告を受け、通産省各局で貿易自由化に関する会議が開かれた。繊維局では局長の玉木が、反対する鮎川光太郎（高橋克実）、山本真（吹石一恵）らを強引に説得した。佐藤浩市　堺　雅人　高橋克実　佐野史郎　西村雅彦　杉本哲太　吹石一恵　田中圭　床嶋佳子　村川絵梨　国広富之　蟹江敬三　市毛良枝　加藤虎ノ介    高橋克典　船越英一郎　北大路欣也")</f>
        <v>「黒船来襲」昭和34年（1959年）アメリカの強硬な姿勢に屈し、綿製品の対米輸出自主規制を行ったことで、日本の繊維業界は深刻な不況に陥っていた。  通産省に対する繊維業界の怒りは高まる一方であったが、通産大臣の池内信人（北大路欣也）は国際貿易自由協定GATTの東京総会を乗り切ることで頭がいっぱいだった。  GATTの東京総会が開かれ、日本は各国から保護貿易主義を批判され、貿易自由化勧告を突きつけられた。自由化勧告は池内の予想を超えた厳しいものだった。池内は日米安保を鑑み、GATTを乗り切るために、繊維局長の玉木博文（船越英一郎）に繊維産業を自由化するよう求める。  GATT勧告を受け、通産省各局で貿易自由化に関する会議が開かれた。繊維局では局長の玉木が、反対する鮎川光太郎（高橋克実）、山本真（吹石一恵）らを強引に説得した。佐藤浩市　堺　雅人　高橋克実　佐野史郎　西村雅彦　杉本哲太　吹石一恵　田中圭　床嶋佳子　村川絵梨　国広富之　蟹江敬三　市毛良枝　加藤虎ノ介    高橋克典　船越英一郎　北大路欣也</v>
      </c>
      <c r="N5919" s="2"/>
      <c r="O5919" s="2"/>
      <c r="P5919" s="1"/>
      <c r="Q5919" s="1"/>
      <c r="R5919" s="1"/>
      <c r="S5919" s="1"/>
      <c r="T5919" s="1"/>
      <c r="U5919" s="1"/>
      <c r="V5919" s="1"/>
      <c r="W5919" s="1"/>
      <c r="X5919" s="1"/>
      <c r="Y5919" s="1"/>
      <c r="Z5919" s="1"/>
      <c r="AA5919" s="1"/>
      <c r="AB5919" s="1"/>
      <c r="AC5919" s="1"/>
      <c r="AD5919" s="1"/>
      <c r="AE5919" s="1"/>
      <c r="AF5919" s="1"/>
      <c r="AG5919" s="1"/>
      <c r="AH5919" s="1"/>
      <c r="AI5919" s="1"/>
      <c r="AJ5919" s="1"/>
      <c r="AK5919" s="1"/>
      <c r="AL5919" s="1"/>
      <c r="AM5919" s="1"/>
      <c r="AN5919" s="1"/>
      <c r="AO5919" s="1"/>
      <c r="AP5919" s="1"/>
      <c r="AQ5919" s="1"/>
      <c r="AR5919" s="1"/>
      <c r="AS5919" s="1"/>
      <c r="AT5919" s="1"/>
      <c r="AU5919" s="1"/>
      <c r="AV5919" s="1"/>
      <c r="AW5919" s="1"/>
      <c r="AX5919" s="1"/>
      <c r="AY5919" s="1"/>
      <c r="AZ5919" s="1"/>
      <c r="BA5919" s="1"/>
      <c r="BB5919" s="1"/>
    </row>
    <row r="5920" ht="204.75" customHeight="1">
      <c r="A5920" s="1">
        <v>5221.0</v>
      </c>
      <c r="B5920" s="2" t="s">
        <v>15991</v>
      </c>
      <c r="C5920" s="2">
        <f>IFERROR(__xludf.DUMMYFUNCTION("split(B5920,""_"")"),907.0)</f>
        <v>907</v>
      </c>
      <c r="D5920" s="2" t="str">
        <f>IFERROR(__xludf.DUMMYFUNCTION("""COMPUTED_VALUE"""),"TBS")</f>
        <v>TBS</v>
      </c>
      <c r="E5920" s="2" t="str">
        <f>IFERROR(__xludf.DUMMYFUNCTION("""COMPUTED_VALUE"""),"日21")</f>
        <v>日21</v>
      </c>
      <c r="F5920" s="2" t="s">
        <v>15992</v>
      </c>
      <c r="G5920" s="2" t="s">
        <v>15993</v>
      </c>
      <c r="H5920" s="1">
        <v>5.0</v>
      </c>
      <c r="J5920" s="1" t="s">
        <v>11</v>
      </c>
      <c r="K5920" s="2" t="s">
        <v>15998</v>
      </c>
      <c r="L5920" s="2"/>
      <c r="M5920" s="2" t="str">
        <f>IFERROR(__xludf.DUMMYFUNCTION("split(split(K5920,""【"",false),""公式LINE"",false)"),"「電算機を救え」アメリカの巨大コンピューター企業・IDNが日本進出に動き出した。開発費は日本の国家予算の半分、性能速度は日本製品の百倍。勝ち目のない戦いに思えたが、通産省・重工業局長の風越信吾（佐藤浩市）は日本の将来のために国内のコンピューター産業は絶対に必要と考えていた。  しかし、企業局産業資金課長の庭野貴久（堺雅人）の説得によりコンピューター産業に業種転換した大沢無線では資金難から開発は難航した。一方、総理大臣となった池内信人（北大路欣也）は所得倍増計画を掲げ、風越に委員会入りを要請するが、風越は国"&amp;"産コンピューターの資金集めを優先したい、と委員会入りを固辞。委員会は、繊維局長の玉木博文（船越英一郎）と大臣秘書官の片山恭介（高橋克典）によって引っ張られていく。  しかし、銀行は国産コンピューター構想に対して無理だと決め付け、国産コンピューターに対する逆風は強まるばかりだった。佐藤浩市　堺　雅人　高橋克実　佐野史郎　西村雅彦　杉本哲太　吹石一恵　田中圭　床嶋佳子　村川絵梨　国広富之　蟹江敬三　市毛良枝　加藤虎ノ介    高橋克典　船越英一郎　北大路欣也")</f>
        <v>「電算機を救え」アメリカの巨大コンピューター企業・IDNが日本進出に動き出した。開発費は日本の国家予算の半分、性能速度は日本製品の百倍。勝ち目のない戦いに思えたが、通産省・重工業局長の風越信吾（佐藤浩市）は日本の将来のために国内のコンピューター産業は絶対に必要と考えていた。  しかし、企業局産業資金課長の庭野貴久（堺雅人）の説得によりコンピューター産業に業種転換した大沢無線では資金難から開発は難航した。一方、総理大臣となった池内信人（北大路欣也）は所得倍増計画を掲げ、風越に委員会入りを要請するが、風越は国産コンピューターの資金集めを優先したい、と委員会入りを固辞。委員会は、繊維局長の玉木博文（船越英一郎）と大臣秘書官の片山恭介（高橋克典）によって引っ張られていく。  しかし、銀行は国産コンピューター構想に対して無理だと決め付け、国産コンピューターに対する逆風は強まるばかりだった。佐藤浩市　堺　雅人　高橋克実　佐野史郎　西村雅彦　杉本哲太　吹石一恵　田中圭　床嶋佳子　村川絵梨　国広富之　蟹江敬三　市毛良枝　加藤虎ノ介    高橋克典　船越英一郎　北大路欣也</v>
      </c>
      <c r="N5920" s="2"/>
      <c r="O5920" s="2"/>
      <c r="P5920" s="1"/>
      <c r="Q5920" s="1"/>
      <c r="R5920" s="1"/>
      <c r="S5920" s="1"/>
      <c r="T5920" s="1"/>
      <c r="U5920" s="1"/>
      <c r="V5920" s="1"/>
      <c r="W5920" s="1"/>
      <c r="X5920" s="1"/>
      <c r="Y5920" s="1"/>
      <c r="Z5920" s="1"/>
      <c r="AA5920" s="1"/>
      <c r="AB5920" s="1"/>
      <c r="AC5920" s="1"/>
      <c r="AD5920" s="1"/>
      <c r="AE5920" s="1"/>
      <c r="AF5920" s="1"/>
      <c r="AG5920" s="1"/>
      <c r="AH5920" s="1"/>
      <c r="AI5920" s="1"/>
      <c r="AJ5920" s="1"/>
      <c r="AK5920" s="1"/>
      <c r="AL5920" s="1"/>
      <c r="AM5920" s="1"/>
      <c r="AN5920" s="1"/>
      <c r="AO5920" s="1"/>
      <c r="AP5920" s="1"/>
      <c r="AQ5920" s="1"/>
      <c r="AR5920" s="1"/>
      <c r="AS5920" s="1"/>
      <c r="AT5920" s="1"/>
      <c r="AU5920" s="1"/>
      <c r="AV5920" s="1"/>
      <c r="AW5920" s="1"/>
      <c r="AX5920" s="1"/>
      <c r="AY5920" s="1"/>
      <c r="AZ5920" s="1"/>
      <c r="BA5920" s="1"/>
      <c r="BB5920" s="1"/>
    </row>
    <row r="5921" ht="204.75" customHeight="1">
      <c r="A5921" s="1">
        <v>5222.0</v>
      </c>
      <c r="B5921" s="2" t="s">
        <v>15991</v>
      </c>
      <c r="C5921" s="2">
        <f>IFERROR(__xludf.DUMMYFUNCTION("split(B5921,""_"")"),907.0)</f>
        <v>907</v>
      </c>
      <c r="D5921" s="2" t="str">
        <f>IFERROR(__xludf.DUMMYFUNCTION("""COMPUTED_VALUE"""),"TBS")</f>
        <v>TBS</v>
      </c>
      <c r="E5921" s="2" t="str">
        <f>IFERROR(__xludf.DUMMYFUNCTION("""COMPUTED_VALUE"""),"日21")</f>
        <v>日21</v>
      </c>
      <c r="F5921" s="2" t="s">
        <v>15992</v>
      </c>
      <c r="G5921" s="2" t="s">
        <v>15993</v>
      </c>
      <c r="H5921" s="1">
        <v>6.0</v>
      </c>
      <c r="J5921" s="1" t="s">
        <v>11</v>
      </c>
      <c r="K5921" s="2" t="s">
        <v>15999</v>
      </c>
      <c r="L5921" s="2"/>
      <c r="M5921" s="2" t="str">
        <f>IFERROR(__xludf.DUMMYFUNCTION("split(split(K5921,""【"",false),""公式LINE"",false)"),"「公害問題」企業局長に昇進した風越信吾（佐藤浩市）は、来るべき貿易自由化の防波堤とするため、国内産業保護法案の作成に奔走していた。法案は国際競争時代に備え、産業再編や企業合併を推進し、それを税制金融面から支援するというものだが、国際通商派の玉木博文（船越英一郎）は「役所主導で合併統合を進めれば、民間の自由な企業活動が保障されなくなる」と反対で、産業を強化するなら石油の安定確保に予算を使うべきだと主張する。池内信人（北大路欣也）総理大臣も成立を阻止する構えだ。  そんな中、東京経済新聞の西丸賢治（佐野史郎）"&amp;"が公害問題を取り上げる。風越は「日本をここまで豊かにした産業が、まるで悪者だ」と西丸に不満をぶつける。  また、同じ国内産業保護派の鮎川光太郎（高橋克実）は「公害対策には金がかかる」と、庭野貴久（堺雅人）は「今は企業が強くならなければならない非常時」と公害問題の深刻さを理解できない。一方、同じ記事を見ていた玉木ら国際通商派は「アメリカと違って日本は狭い。対策を急がないと日本は公害大国になる」と問題を深刻に捉えていた。佐藤浩市　堺　雅人　高橋克実　佐野史郎　西村雅彦　杉本哲太　吹石一恵　田中圭　床嶋佳子　村"&amp;"川絵梨    長塚京三    高橋克典　船越英一郎　北大路欣也")</f>
        <v>「公害問題」企業局長に昇進した風越信吾（佐藤浩市）は、来るべき貿易自由化の防波堤とするため、国内産業保護法案の作成に奔走していた。法案は国際競争時代に備え、産業再編や企業合併を推進し、それを税制金融面から支援するというものだが、国際通商派の玉木博文（船越英一郎）は「役所主導で合併統合を進めれば、民間の自由な企業活動が保障されなくなる」と反対で、産業を強化するなら石油の安定確保に予算を使うべきだと主張する。池内信人（北大路欣也）総理大臣も成立を阻止する構えだ。  そんな中、東京経済新聞の西丸賢治（佐野史郎）が公害問題を取り上げる。風越は「日本をここまで豊かにした産業が、まるで悪者だ」と西丸に不満をぶつける。  また、同じ国内産業保護派の鮎川光太郎（高橋克実）は「公害対策には金がかかる」と、庭野貴久（堺雅人）は「今は企業が強くならなければならない非常時」と公害問題の深刻さを理解できない。一方、同じ記事を見ていた玉木ら国際通商派は「アメリカと違って日本は狭い。対策を急がないと日本は公害大国になる」と問題を深刻に捉えていた。佐藤浩市　堺　雅人　高橋克実　佐野史郎　西村雅彦　杉本哲太　吹石一恵　田中圭　床嶋佳子　村川絵梨    長塚京三    高橋克典　船越英一郎　北大路欣也</v>
      </c>
      <c r="N5921" s="2"/>
      <c r="O5921" s="2"/>
      <c r="P5921" s="1"/>
      <c r="Q5921" s="1"/>
      <c r="R5921" s="1"/>
      <c r="S5921" s="1"/>
      <c r="T5921" s="1"/>
      <c r="U5921" s="1"/>
      <c r="V5921" s="1"/>
      <c r="W5921" s="1"/>
      <c r="X5921" s="1"/>
      <c r="Y5921" s="1"/>
      <c r="Z5921" s="1"/>
      <c r="AA5921" s="1"/>
      <c r="AB5921" s="1"/>
      <c r="AC5921" s="1"/>
      <c r="AD5921" s="1"/>
      <c r="AE5921" s="1"/>
      <c r="AF5921" s="1"/>
      <c r="AG5921" s="1"/>
      <c r="AH5921" s="1"/>
      <c r="AI5921" s="1"/>
      <c r="AJ5921" s="1"/>
      <c r="AK5921" s="1"/>
      <c r="AL5921" s="1"/>
      <c r="AM5921" s="1"/>
      <c r="AN5921" s="1"/>
      <c r="AO5921" s="1"/>
      <c r="AP5921" s="1"/>
      <c r="AQ5921" s="1"/>
      <c r="AR5921" s="1"/>
      <c r="AS5921" s="1"/>
      <c r="AT5921" s="1"/>
      <c r="AU5921" s="1"/>
      <c r="AV5921" s="1"/>
      <c r="AW5921" s="1"/>
      <c r="AX5921" s="1"/>
      <c r="AY5921" s="1"/>
      <c r="AZ5921" s="1"/>
      <c r="BA5921" s="1"/>
      <c r="BB5921" s="1"/>
    </row>
    <row r="5922" ht="204.75" customHeight="1">
      <c r="A5922" s="1">
        <v>5223.0</v>
      </c>
      <c r="B5922" s="2" t="s">
        <v>15991</v>
      </c>
      <c r="C5922" s="2">
        <f>IFERROR(__xludf.DUMMYFUNCTION("split(B5922,""_"")"),907.0)</f>
        <v>907</v>
      </c>
      <c r="D5922" s="2" t="str">
        <f>IFERROR(__xludf.DUMMYFUNCTION("""COMPUTED_VALUE"""),"TBS")</f>
        <v>TBS</v>
      </c>
      <c r="E5922" s="2" t="str">
        <f>IFERROR(__xludf.DUMMYFUNCTION("""COMPUTED_VALUE"""),"日21")</f>
        <v>日21</v>
      </c>
      <c r="F5922" s="2" t="s">
        <v>15992</v>
      </c>
      <c r="G5922" s="2" t="s">
        <v>15993</v>
      </c>
      <c r="H5922" s="1">
        <v>7.0</v>
      </c>
      <c r="J5922" s="1" t="s">
        <v>11</v>
      </c>
      <c r="K5922" s="2" t="s">
        <v>16000</v>
      </c>
      <c r="L5922" s="2"/>
      <c r="M5922" s="2" t="str">
        <f>IFERROR(__xludf.DUMMYFUNCTION("split(split(K5922,""【"",false),""公式LINE"",false)"),"敗北貿易自由化という戦後最大の試練を控えた昭和37年（1962年）、通産省企業局長の風越信吾（佐藤浩市）は外国企業の進出から国内産業を守るため、「国内産業保護法案」の成立を進めていた。法案が最も重視するのは自動車業界の再編で、過当競争を防ぐため普通自動車の量産メーカーを三社に絞るという「自動車三社構想」は、慎重な根回しが必要なため、極秘事項として検討されていた。そんな中、通産大臣の須藤恵作（長塚京三）は、「自分がいては貿易自由化を進めようとする総理大臣の池内信人（北大路欣也）から妨害を受ける」と大臣を辞任"&amp;"、後任に古畑晋介（佐藤B作）が就任した。  一方、公正取引委員会や金融界は、独占企業を作るおそれがあると、法案には徹底的に反対。風越は反対する幹部達に噛み付くが法案を創った牧順三（杉本哲太）は風越のやり方に不安を覚える。佐藤浩市　堺　雅人　高橋克実　佐野史郎　西村雅彦　杉本哲太　吹石一恵　田中圭　床嶋佳子　村川絵梨    長塚京三    高橋克典　船越英一郎　北大路欣也    ")</f>
        <v>敗北貿易自由化という戦後最大の試練を控えた昭和37年（1962年）、通産省企業局長の風越信吾（佐藤浩市）は外国企業の進出から国内産業を守るため、「国内産業保護法案」の成立を進めていた。法案が最も重視するのは自動車業界の再編で、過当競争を防ぐため普通自動車の量産メーカーを三社に絞るという「自動車三社構想」は、慎重な根回しが必要なため、極秘事項として検討されていた。そんな中、通産大臣の須藤恵作（長塚京三）は、「自分がいては貿易自由化を進めようとする総理大臣の池内信人（北大路欣也）から妨害を受ける」と大臣を辞任、後任に古畑晋介（佐藤B作）が就任した。  一方、公正取引委員会や金融界は、独占企業を作るおそれがあると、法案には徹底的に反対。風越は反対する幹部達に噛み付くが法案を創った牧順三（杉本哲太）は風越のやり方に不安を覚える。佐藤浩市　堺　雅人　高橋克実　佐野史郎　西村雅彦　杉本哲太　吹石一恵　田中圭　床嶋佳子　村川絵梨    長塚京三    高橋克典　船越英一郎　北大路欣也    </v>
      </c>
      <c r="N5922" s="2"/>
      <c r="O5922" s="2"/>
      <c r="P5922" s="1"/>
      <c r="Q5922" s="1"/>
      <c r="R5922" s="1"/>
      <c r="S5922" s="1"/>
      <c r="T5922" s="1"/>
      <c r="U5922" s="1"/>
      <c r="V5922" s="1"/>
      <c r="W5922" s="1"/>
      <c r="X5922" s="1"/>
      <c r="Y5922" s="1"/>
      <c r="Z5922" s="1"/>
      <c r="AA5922" s="1"/>
      <c r="AB5922" s="1"/>
      <c r="AC5922" s="1"/>
      <c r="AD5922" s="1"/>
      <c r="AE5922" s="1"/>
      <c r="AF5922" s="1"/>
      <c r="AG5922" s="1"/>
      <c r="AH5922" s="1"/>
      <c r="AI5922" s="1"/>
      <c r="AJ5922" s="1"/>
      <c r="AK5922" s="1"/>
      <c r="AL5922" s="1"/>
      <c r="AM5922" s="1"/>
      <c r="AN5922" s="1"/>
      <c r="AO5922" s="1"/>
      <c r="AP5922" s="1"/>
      <c r="AQ5922" s="1"/>
      <c r="AR5922" s="1"/>
      <c r="AS5922" s="1"/>
      <c r="AT5922" s="1"/>
      <c r="AU5922" s="1"/>
      <c r="AV5922" s="1"/>
      <c r="AW5922" s="1"/>
      <c r="AX5922" s="1"/>
      <c r="AY5922" s="1"/>
      <c r="AZ5922" s="1"/>
      <c r="BA5922" s="1"/>
      <c r="BB5922" s="1"/>
    </row>
    <row r="5923" ht="204.75" customHeight="1">
      <c r="A5923" s="1">
        <v>5224.0</v>
      </c>
      <c r="B5923" s="2" t="s">
        <v>15991</v>
      </c>
      <c r="C5923" s="2">
        <f>IFERROR(__xludf.DUMMYFUNCTION("split(B5923,""_"")"),907.0)</f>
        <v>907</v>
      </c>
      <c r="D5923" s="2" t="str">
        <f>IFERROR(__xludf.DUMMYFUNCTION("""COMPUTED_VALUE"""),"TBS")</f>
        <v>TBS</v>
      </c>
      <c r="E5923" s="2" t="str">
        <f>IFERROR(__xludf.DUMMYFUNCTION("""COMPUTED_VALUE"""),"日21")</f>
        <v>日21</v>
      </c>
      <c r="F5923" s="2" t="s">
        <v>15992</v>
      </c>
      <c r="G5923" s="2" t="s">
        <v>15993</v>
      </c>
      <c r="H5923" s="1">
        <v>8.0</v>
      </c>
      <c r="J5923" s="1" t="s">
        <v>11</v>
      </c>
      <c r="K5923" s="2" t="s">
        <v>16001</v>
      </c>
      <c r="L5923" s="2"/>
      <c r="M5923" s="2" t="str">
        <f>IFERROR(__xludf.DUMMYFUNCTION("split(split(K5923,""【"",false),""公式LINE"",false)"),"「総理の死」  東京オリンピックを1年後に控えた昭和38年（1963年）夏、国内産業保護法成立を目指す戦いに敗れた風越慎吾（佐藤浩市）は古畑晋介（佐藤B作）通産大臣による前代未聞の人事介入で次官内定を取り消され、通産省の外局である特許庁長官に異動となった。玉木博文（船越英一郎）前特許庁長官は異例の本省返り咲きを果たし、次官として通産省トップの座に就いた。玉木率いる通産省は片山泰介（高橋克則）ら「国際通商派」が主要ポストを占め、風越率いる「国内産業保護派」の鮎川光太郎（高橋克実）と庭野貴久（堺雅人）は冷遇さ"&amp;"れることに。  その通産省では、国産旅客機の開発支援が最重要課題となっていた。それは、池内信人（北大路欣也）総理大臣の「オリンピックの象徴である聖火を国産初の旅客機で運ぶ姿を全国民に披露し、先進国の仲間入りを果たす」という強い意向によるものだった佐藤浩市　堺　雅人　高橋克実　佐野史郎　西村雅彦　杉本哲太　吹石一恵　田中圭　床嶋佳子　村川絵梨    長塚京三  高橋克典　船越英一郎　北大路欣也    ")</f>
        <v>「総理の死」  東京オリンピックを1年後に控えた昭和38年（1963年）夏、国内産業保護法成立を目指す戦いに敗れた風越慎吾（佐藤浩市）は古畑晋介（佐藤B作）通産大臣による前代未聞の人事介入で次官内定を取り消され、通産省の外局である特許庁長官に異動となった。玉木博文（船越英一郎）前特許庁長官は異例の本省返り咲きを果たし、次官として通産省トップの座に就いた。玉木率いる通産省は片山泰介（高橋克則）ら「国際通商派」が主要ポストを占め、風越率いる「国内産業保護派」の鮎川光太郎（高橋克実）と庭野貴久（堺雅人）は冷遇されることに。  その通産省では、国産旅客機の開発支援が最重要課題となっていた。それは、池内信人（北大路欣也）総理大臣の「オリンピックの象徴である聖火を国産初の旅客機で運ぶ姿を全国民に披露し、先進国の仲間入りを果たす」という強い意向によるものだった佐藤浩市　堺　雅人　高橋克実　佐野史郎　西村雅彦　杉本哲太　吹石一恵　田中圭　床嶋佳子　村川絵梨    長塚京三  高橋克典　船越英一郎　北大路欣也    </v>
      </c>
      <c r="N5923" s="2"/>
      <c r="O5923" s="2"/>
      <c r="P5923" s="1"/>
      <c r="Q5923" s="1"/>
      <c r="R5923" s="1"/>
      <c r="S5923" s="1"/>
      <c r="T5923" s="1"/>
      <c r="U5923" s="1"/>
      <c r="V5923" s="1"/>
      <c r="W5923" s="1"/>
      <c r="X5923" s="1"/>
      <c r="Y5923" s="1"/>
      <c r="Z5923" s="1"/>
      <c r="AA5923" s="1"/>
      <c r="AB5923" s="1"/>
      <c r="AC5923" s="1"/>
      <c r="AD5923" s="1"/>
      <c r="AE5923" s="1"/>
      <c r="AF5923" s="1"/>
      <c r="AG5923" s="1"/>
      <c r="AH5923" s="1"/>
      <c r="AI5923" s="1"/>
      <c r="AJ5923" s="1"/>
      <c r="AK5923" s="1"/>
      <c r="AL5923" s="1"/>
      <c r="AM5923" s="1"/>
      <c r="AN5923" s="1"/>
      <c r="AO5923" s="1"/>
      <c r="AP5923" s="1"/>
      <c r="AQ5923" s="1"/>
      <c r="AR5923" s="1"/>
      <c r="AS5923" s="1"/>
      <c r="AT5923" s="1"/>
      <c r="AU5923" s="1"/>
      <c r="AV5923" s="1"/>
      <c r="AW5923" s="1"/>
      <c r="AX5923" s="1"/>
      <c r="AY5923" s="1"/>
      <c r="AZ5923" s="1"/>
      <c r="BA5923" s="1"/>
      <c r="BB5923" s="1"/>
    </row>
    <row r="5924" ht="204.75" customHeight="1">
      <c r="A5924" s="1">
        <v>5225.0</v>
      </c>
      <c r="B5924" s="2" t="s">
        <v>15991</v>
      </c>
      <c r="C5924" s="2">
        <f>IFERROR(__xludf.DUMMYFUNCTION("split(B5924,""_"")"),907.0)</f>
        <v>907</v>
      </c>
      <c r="D5924" s="2" t="str">
        <f>IFERROR(__xludf.DUMMYFUNCTION("""COMPUTED_VALUE"""),"TBS")</f>
        <v>TBS</v>
      </c>
      <c r="E5924" s="2" t="str">
        <f>IFERROR(__xludf.DUMMYFUNCTION("""COMPUTED_VALUE"""),"日21")</f>
        <v>日21</v>
      </c>
      <c r="F5924" s="2" t="s">
        <v>15992</v>
      </c>
      <c r="G5924" s="2" t="s">
        <v>15993</v>
      </c>
      <c r="H5924" s="1">
        <v>9.0</v>
      </c>
      <c r="J5924" s="1" t="s">
        <v>11</v>
      </c>
      <c r="K5924" s="2" t="s">
        <v>16002</v>
      </c>
      <c r="L5924" s="2"/>
      <c r="M5924" s="2" t="str">
        <f>IFERROR(__xludf.DUMMYFUNCTION("split(split(K5924,""【"",false),""公式LINE"",false)"),"「涙の叫び」昭和40年（1965年）、自動車、家電、コンピューターなど業績を伸ばす産業がある一方、長らく日本を支えてきた石炭産業は石油の輸入自由化の影響で虫の息となっていた。通産省次官に就任した風越は「弱者も一緒に豊かに暮らせる国創りを目指す」が、弱者救済が日本の経済発展の足枷になるのではないか、という問題に直面する。  その象徴として炭鉱での爆発事故が描かれる。風越と共に国内産業保護法を立案した牧であったが、今では風越の弱者救済策を「助かる見込みのない作業員を救おうとして多くの救助員を犠牲にした炭鉱事故"&amp;"と同じ」と批判する。  一方、風越と共に現在も国内産業保護に奔走する鮎川は、実際に炭鉱事故の現場に出向き、二次爆発を防ぐために注水措置を行うかどうかの選択を迫られる。それはまさに、弱者救済か全体の利益かの選択であり、当時の日本の縮図ともいえる。佐藤浩市　堺　雅人　高橋克実　佐野史郎　西村雅彦　杉本哲太　吹石一恵　田中圭　床嶋佳子　村川絵梨    長塚京三    高橋克典　船越英一郎　北大路欣也")</f>
        <v>「涙の叫び」昭和40年（1965年）、自動車、家電、コンピューターなど業績を伸ばす産業がある一方、長らく日本を支えてきた石炭産業は石油の輸入自由化の影響で虫の息となっていた。通産省次官に就任した風越は「弱者も一緒に豊かに暮らせる国創りを目指す」が、弱者救済が日本の経済発展の足枷になるのではないか、という問題に直面する。  その象徴として炭鉱での爆発事故が描かれる。風越と共に国内産業保護法を立案した牧であったが、今では風越の弱者救済策を「助かる見込みのない作業員を救おうとして多くの救助員を犠牲にした炭鉱事故と同じ」と批判する。  一方、風越と共に現在も国内産業保護に奔走する鮎川は、実際に炭鉱事故の現場に出向き、二次爆発を防ぐために注水措置を行うかどうかの選択を迫られる。それはまさに、弱者救済か全体の利益かの選択であり、当時の日本の縮図ともいえる。佐藤浩市　堺　雅人　高橋克実　佐野史郎　西村雅彦　杉本哲太　吹石一恵　田中圭　床嶋佳子　村川絵梨    長塚京三    高橋克典　船越英一郎　北大路欣也</v>
      </c>
      <c r="N5924" s="2"/>
      <c r="O5924" s="2"/>
      <c r="P5924" s="1"/>
      <c r="Q5924" s="1"/>
      <c r="R5924" s="1"/>
      <c r="S5924" s="1"/>
      <c r="T5924" s="1"/>
      <c r="U5924" s="1"/>
      <c r="V5924" s="1"/>
      <c r="W5924" s="1"/>
      <c r="X5924" s="1"/>
      <c r="Y5924" s="1"/>
      <c r="Z5924" s="1"/>
      <c r="AA5924" s="1"/>
      <c r="AB5924" s="1"/>
      <c r="AC5924" s="1"/>
      <c r="AD5924" s="1"/>
      <c r="AE5924" s="1"/>
      <c r="AF5924" s="1"/>
      <c r="AG5924" s="1"/>
      <c r="AH5924" s="1"/>
      <c r="AI5924" s="1"/>
      <c r="AJ5924" s="1"/>
      <c r="AK5924" s="1"/>
      <c r="AL5924" s="1"/>
      <c r="AM5924" s="1"/>
      <c r="AN5924" s="1"/>
      <c r="AO5924" s="1"/>
      <c r="AP5924" s="1"/>
      <c r="AQ5924" s="1"/>
      <c r="AR5924" s="1"/>
      <c r="AS5924" s="1"/>
      <c r="AT5924" s="1"/>
      <c r="AU5924" s="1"/>
      <c r="AV5924" s="1"/>
      <c r="AW5924" s="1"/>
      <c r="AX5924" s="1"/>
      <c r="AY5924" s="1"/>
      <c r="AZ5924" s="1"/>
      <c r="BA5924" s="1"/>
      <c r="BB5924" s="1"/>
    </row>
    <row r="5925" ht="204.75" customHeight="1">
      <c r="A5925" s="1">
        <v>5226.0</v>
      </c>
      <c r="B5925" s="2" t="s">
        <v>15991</v>
      </c>
      <c r="C5925" s="2">
        <f>IFERROR(__xludf.DUMMYFUNCTION("split(B5925,""_"")"),907.0)</f>
        <v>907</v>
      </c>
      <c r="D5925" s="2" t="str">
        <f>IFERROR(__xludf.DUMMYFUNCTION("""COMPUTED_VALUE"""),"TBS")</f>
        <v>TBS</v>
      </c>
      <c r="E5925" s="2" t="str">
        <f>IFERROR(__xludf.DUMMYFUNCTION("""COMPUTED_VALUE"""),"日21")</f>
        <v>日21</v>
      </c>
      <c r="F5925" s="2" t="s">
        <v>15992</v>
      </c>
      <c r="G5925" s="2" t="s">
        <v>15993</v>
      </c>
      <c r="H5925" s="1">
        <v>10.0</v>
      </c>
      <c r="J5925" s="1" t="s">
        <v>11</v>
      </c>
      <c r="K5925" s="2" t="s">
        <v>16003</v>
      </c>
      <c r="L5925" s="2"/>
      <c r="M5925" s="2" t="str">
        <f>IFERROR(__xludf.DUMMYFUNCTION("split(split(K5925,""【"",false),""公式LINE"",false)"),"「天下りせず」風越は須藤総理から、小笠原諸島返還交渉で、小笠原返還の見返りとして、アメリカのベトナム戦争参戦への支持と戦費調達に日本円で約1000億円を求められたことを明らかにされる。  須藤は「日本はアメリカに軍事依存している。それで防衛費負担が少ないからこそ高度経済成長を実現できた」「アメリカの立場も尊重しなければ何も動かない」と説明するが、風越は「それは尊重ではなく押し付けられただけだ」と非難する。同席していた庭野貴久（堺雅人）は「小笠原で1000億なら沖縄では何を要求されるかわからない」と警戒心を"&amp;"強める。佐藤浩市　堺　雅人　高橋克実　佐野史郎　西村雅彦　杉本哲太　吹石一恵　田中圭　床嶋佳子　村川絵梨    長塚京三    高橋克典　船越英一郎　北大路欣也")</f>
        <v>「天下りせず」風越は須藤総理から、小笠原諸島返還交渉で、小笠原返還の見返りとして、アメリカのベトナム戦争参戦への支持と戦費調達に日本円で約1000億円を求められたことを明らかにされる。  須藤は「日本はアメリカに軍事依存している。それで防衛費負担が少ないからこそ高度経済成長を実現できた」「アメリカの立場も尊重しなければ何も動かない」と説明するが、風越は「それは尊重ではなく押し付けられただけだ」と非難する。同席していた庭野貴久（堺雅人）は「小笠原で1000億なら沖縄では何を要求されるかわからない」と警戒心を強める。佐藤浩市　堺　雅人　高橋克実　佐野史郎　西村雅彦　杉本哲太　吹石一恵　田中圭　床嶋佳子　村川絵梨    長塚京三    高橋克典　船越英一郎　北大路欣也</v>
      </c>
      <c r="N5925" s="2"/>
      <c r="O5925" s="2"/>
      <c r="P5925" s="1"/>
      <c r="Q5925" s="1"/>
      <c r="R5925" s="1"/>
      <c r="S5925" s="1"/>
      <c r="T5925" s="1"/>
      <c r="U5925" s="1"/>
      <c r="V5925" s="1"/>
      <c r="W5925" s="1"/>
      <c r="X5925" s="1"/>
      <c r="Y5925" s="1"/>
      <c r="Z5925" s="1"/>
      <c r="AA5925" s="1"/>
      <c r="AB5925" s="1"/>
      <c r="AC5925" s="1"/>
      <c r="AD5925" s="1"/>
      <c r="AE5925" s="1"/>
      <c r="AF5925" s="1"/>
      <c r="AG5925" s="1"/>
      <c r="AH5925" s="1"/>
      <c r="AI5925" s="1"/>
      <c r="AJ5925" s="1"/>
      <c r="AK5925" s="1"/>
      <c r="AL5925" s="1"/>
      <c r="AM5925" s="1"/>
      <c r="AN5925" s="1"/>
      <c r="AO5925" s="1"/>
      <c r="AP5925" s="1"/>
      <c r="AQ5925" s="1"/>
      <c r="AR5925" s="1"/>
      <c r="AS5925" s="1"/>
      <c r="AT5925" s="1"/>
      <c r="AU5925" s="1"/>
      <c r="AV5925" s="1"/>
      <c r="AW5925" s="1"/>
      <c r="AX5925" s="1"/>
      <c r="AY5925" s="1"/>
      <c r="AZ5925" s="1"/>
      <c r="BA5925" s="1"/>
      <c r="BB5925" s="1"/>
    </row>
    <row r="5926" ht="204.75" customHeight="1">
      <c r="A5926" s="1">
        <v>5227.0</v>
      </c>
      <c r="B5926" s="2" t="s">
        <v>16004</v>
      </c>
      <c r="C5926" s="2">
        <f>IFERROR(__xludf.DUMMYFUNCTION("split(B5926,""_"")"),904.0)</f>
        <v>904</v>
      </c>
      <c r="D5926" s="2" t="str">
        <f>IFERROR(__xludf.DUMMYFUNCTION("""COMPUTED_VALUE"""),"TBS")</f>
        <v>TBS</v>
      </c>
      <c r="E5926" s="2" t="str">
        <f>IFERROR(__xludf.DUMMYFUNCTION("""COMPUTED_VALUE"""),"月20")</f>
        <v>月20</v>
      </c>
      <c r="F5926" s="2" t="s">
        <v>16005</v>
      </c>
      <c r="G5926" s="2" t="s">
        <v>16006</v>
      </c>
      <c r="H5926" s="1">
        <v>1.0</v>
      </c>
      <c r="J5926" s="1" t="s">
        <v>7151</v>
      </c>
      <c r="K5926" s="2" t="s">
        <v>16007</v>
      </c>
      <c r="L5926" s="2"/>
      <c r="M5926" s="2" t="str">
        <f>IFERROR(__xludf.DUMMYFUNCTION("split(split(K5926,""【"",false),""公式LINE"",false)"),"「自首」神南署内で早朝に死体が発見された。殺されたのは宝石店社長の横谷美津江。  強盗殺人事件かと思う反面、単なる事件では無いと呟く須田刑事（塚地武雅）。その時、近くから拡声器で叫ぶ女性の声が聞こえてきた。太田トヨ（市原悦子）が横谷家に向かって拡声器で叫んでいる安積班はトヨの身辺捜査にふみきる安積を待っていたのは横谷を殺したと自首してきたトヨだった。動機は何なのか？佐々木蔵之介・中村俊介・塚地武雅・黒谷友香・賀集利樹・山口翔悟・安めぐみ  渋谷飛鳥・近野成美・細川茂樹・奥貫薫・田山涼成    ＜第1話ゲス"&amp;"ト＞  市原悦子佐々木蔵之介さんのサイン入り  番組公認マスコット『神南くん』のぬいぐるみをプレゼント！  詳しくはホームページで  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f>
        <v>「自首」神南署内で早朝に死体が発見された。殺されたのは宝石店社長の横谷美津江。  強盗殺人事件かと思う反面、単なる事件では無いと呟く須田刑事（塚地武雅）。その時、近くから拡声器で叫ぶ女性の声が聞こえてきた。太田トヨ（市原悦子）が横谷家に向かって拡声器で叫んでいる安積班はトヨの身辺捜査にふみきる安積を待っていたのは横谷を殺したと自首してきたトヨだった。動機は何なのか？佐々木蔵之介・中村俊介・塚地武雅・黒谷友香・賀集利樹・山口翔悟・安めぐみ  渋谷飛鳥・近野成美・細川茂樹・奥貫薫・田山涼成    ＜第1話ゲスト＞  市原悦子佐々木蔵之介さんのサイン入り  番組公認マスコット『神南くん』のぬいぐるみをプレゼント！  詳しくはホームページで  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v>
      </c>
      <c r="N5926" s="2"/>
      <c r="O5926" s="2"/>
      <c r="P5926" s="1"/>
      <c r="Q5926" s="1"/>
      <c r="R5926" s="1"/>
      <c r="S5926" s="1"/>
      <c r="T5926" s="1"/>
      <c r="U5926" s="1"/>
      <c r="V5926" s="1"/>
      <c r="W5926" s="1"/>
      <c r="X5926" s="1"/>
      <c r="Y5926" s="1"/>
      <c r="Z5926" s="1"/>
      <c r="AA5926" s="1"/>
      <c r="AB5926" s="1"/>
      <c r="AC5926" s="1"/>
      <c r="AD5926" s="1"/>
      <c r="AE5926" s="1"/>
      <c r="AF5926" s="1"/>
      <c r="AG5926" s="1"/>
      <c r="AH5926" s="1"/>
      <c r="AI5926" s="1"/>
      <c r="AJ5926" s="1"/>
      <c r="AK5926" s="1"/>
      <c r="AL5926" s="1"/>
      <c r="AM5926" s="1"/>
      <c r="AN5926" s="1"/>
      <c r="AO5926" s="1"/>
      <c r="AP5926" s="1"/>
      <c r="AQ5926" s="1"/>
      <c r="AR5926" s="1"/>
      <c r="AS5926" s="1"/>
      <c r="AT5926" s="1"/>
      <c r="AU5926" s="1"/>
      <c r="AV5926" s="1"/>
      <c r="AW5926" s="1"/>
      <c r="AX5926" s="1"/>
      <c r="AY5926" s="1"/>
      <c r="AZ5926" s="1"/>
      <c r="BA5926" s="1"/>
      <c r="BB5926" s="1"/>
    </row>
    <row r="5927" ht="204.75" customHeight="1">
      <c r="A5927" s="1">
        <v>5228.0</v>
      </c>
      <c r="B5927" s="2" t="s">
        <v>16004</v>
      </c>
      <c r="C5927" s="2">
        <f>IFERROR(__xludf.DUMMYFUNCTION("split(B5927,""_"")"),904.0)</f>
        <v>904</v>
      </c>
      <c r="D5927" s="2" t="str">
        <f>IFERROR(__xludf.DUMMYFUNCTION("""COMPUTED_VALUE"""),"TBS")</f>
        <v>TBS</v>
      </c>
      <c r="E5927" s="2" t="str">
        <f>IFERROR(__xludf.DUMMYFUNCTION("""COMPUTED_VALUE"""),"月20")</f>
        <v>月20</v>
      </c>
      <c r="F5927" s="2" t="s">
        <v>16005</v>
      </c>
      <c r="G5927" s="2" t="s">
        <v>16006</v>
      </c>
      <c r="H5927" s="1">
        <v>2.0</v>
      </c>
      <c r="J5927" s="1" t="s">
        <v>7151</v>
      </c>
      <c r="K5927" s="2" t="s">
        <v>16008</v>
      </c>
      <c r="L5927" s="2"/>
      <c r="M5927" s="2" t="str">
        <f>IFERROR(__xludf.DUMMYFUNCTION("split(split(K5927,""【"",false),""公式LINE"",false)"),"「被害者」突然高野哲雄（松田悟志）に襲い掛かった初老の男、藤崎洋一（河原崎建三）。  高野は藤崎の息子を自殺に追いやったと思われている。  だが青山のバーで働いているリサ（星野真里）は無実だと証言をする。  須田（塚地武雅）は藤崎を検挙することに成功。  しかし、取調べの最中に高野とリサが心中事件を起こしたという連絡が入った。  何か引っかかりを感じた安積（佐々木蔵之介）は…。佐々木蔵之介・中村俊介・塚地武雅・黒谷友香・賀集利樹・山口翔悟・安めぐみ  渋谷飛鳥・近野成美・細川茂樹・奥貫薫・田山涼成  ＜第"&amp;"2話ゲスト＞  星野真里・河原崎建三・松田悟志今野　敏  「神南署安積班」他、安積班シリーズ  　　　　　　　　　　（ハルキ文庫刊）石原　武龍  奥村　俊雄  難波江由紀子  小澤　俊介  末安　正子酒井　聖博  和田　旭  竹之下寛次  竹村謙太郎  村田　忍橋本　孝  遠藤　正人ドリマックス・テレビジョンhttp://www.tbs.co.jp/hanchou2009/")</f>
        <v>「被害者」突然高野哲雄（松田悟志）に襲い掛かった初老の男、藤崎洋一（河原崎建三）。  高野は藤崎の息子を自殺に追いやったと思われている。  だが青山のバーで働いているリサ（星野真里）は無実だと証言をする。  須田（塚地武雅）は藤崎を検挙することに成功。  しかし、取調べの最中に高野とリサが心中事件を起こしたという連絡が入った。  何か引っかかりを感じた安積（佐々木蔵之介）は…。佐々木蔵之介・中村俊介・塚地武雅・黒谷友香・賀集利樹・山口翔悟・安めぐみ  渋谷飛鳥・近野成美・細川茂樹・奥貫薫・田山涼成  ＜第2話ゲスト＞  星野真里・河原崎建三・松田悟志今野　敏  「神南署安積班」他、安積班シリーズ  　　　　　　　　　　（ハルキ文庫刊）石原　武龍  奥村　俊雄  難波江由紀子  小澤　俊介  末安　正子酒井　聖博  和田　旭  竹之下寛次  竹村謙太郎  村田　忍橋本　孝  遠藤　正人ドリマックス・テレビジョンhttp://www.tbs.co.jp/hanchou2009/</v>
      </c>
      <c r="N5927" s="2"/>
      <c r="O5927" s="2"/>
      <c r="P5927" s="1"/>
      <c r="Q5927" s="1"/>
      <c r="R5927" s="1"/>
      <c r="S5927" s="1"/>
      <c r="T5927" s="1"/>
      <c r="U5927" s="1"/>
      <c r="V5927" s="1"/>
      <c r="W5927" s="1"/>
      <c r="X5927" s="1"/>
      <c r="Y5927" s="1"/>
      <c r="Z5927" s="1"/>
      <c r="AA5927" s="1"/>
      <c r="AB5927" s="1"/>
      <c r="AC5927" s="1"/>
      <c r="AD5927" s="1"/>
      <c r="AE5927" s="1"/>
      <c r="AF5927" s="1"/>
      <c r="AG5927" s="1"/>
      <c r="AH5927" s="1"/>
      <c r="AI5927" s="1"/>
      <c r="AJ5927" s="1"/>
      <c r="AK5927" s="1"/>
      <c r="AL5927" s="1"/>
      <c r="AM5927" s="1"/>
      <c r="AN5927" s="1"/>
      <c r="AO5927" s="1"/>
      <c r="AP5927" s="1"/>
      <c r="AQ5927" s="1"/>
      <c r="AR5927" s="1"/>
      <c r="AS5927" s="1"/>
      <c r="AT5927" s="1"/>
      <c r="AU5927" s="1"/>
      <c r="AV5927" s="1"/>
      <c r="AW5927" s="1"/>
      <c r="AX5927" s="1"/>
      <c r="AY5927" s="1"/>
      <c r="AZ5927" s="1"/>
      <c r="BA5927" s="1"/>
      <c r="BB5927" s="1"/>
    </row>
    <row r="5928" ht="204.75" customHeight="1">
      <c r="A5928" s="1">
        <v>5229.0</v>
      </c>
      <c r="B5928" s="2" t="s">
        <v>16004</v>
      </c>
      <c r="C5928" s="2">
        <f>IFERROR(__xludf.DUMMYFUNCTION("split(B5928,""_"")"),904.0)</f>
        <v>904</v>
      </c>
      <c r="D5928" s="2" t="str">
        <f>IFERROR(__xludf.DUMMYFUNCTION("""COMPUTED_VALUE"""),"TBS")</f>
        <v>TBS</v>
      </c>
      <c r="E5928" s="2" t="str">
        <f>IFERROR(__xludf.DUMMYFUNCTION("""COMPUTED_VALUE"""),"月20")</f>
        <v>月20</v>
      </c>
      <c r="F5928" s="2" t="s">
        <v>16005</v>
      </c>
      <c r="G5928" s="2" t="s">
        <v>16006</v>
      </c>
      <c r="H5928" s="1">
        <v>3.0</v>
      </c>
      <c r="J5928" s="1" t="s">
        <v>7151</v>
      </c>
      <c r="K5928" s="2" t="s">
        <v>16009</v>
      </c>
      <c r="L5928" s="2"/>
      <c r="M5928" s="2" t="str">
        <f>IFERROR(__xludf.DUMMYFUNCTION("split(split(K5928,""【"",false),""公式LINE"",false)"),"「黒木刑事撃たれる！」神南署で発砲事件発生。被害者は暴力団組長、狙撃犯は逃走中。  安積犯が早速捜査を開始すると監視カメラの映像から犯人が浮かび上がった岩城康作（徳井優）。安積（佐々木蔵之介）が以前更正させた暴力団員、しかし何故？  安積は失望感のなか岩城の身柄確保を部下に命じた。その矢先犯人から中園（堤大二郎）を庇った黒木（賀集利樹）が撃たれた。  安積班は…。佐々木蔵之介・中村俊介・塚地武雅・黒谷友香・賀集利樹・山口翔悟・安めぐみ  渋谷飛鳥・近野成美・細川茂樹・奥貫薫・田山涼成    ＜第3話ゲスト"&amp;"＞  徳井優・堤大二郎・山下容莉枝今野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f>
        <v>「黒木刑事撃たれる！」神南署で発砲事件発生。被害者は暴力団組長、狙撃犯は逃走中。  安積犯が早速捜査を開始すると監視カメラの映像から犯人が浮かび上がった岩城康作（徳井優）。安積（佐々木蔵之介）が以前更正させた暴力団員、しかし何故？  安積は失望感のなか岩城の身柄確保を部下に命じた。その矢先犯人から中園（堤大二郎）を庇った黒木（賀集利樹）が撃たれた。  安積班は…。佐々木蔵之介・中村俊介・塚地武雅・黒谷友香・賀集利樹・山口翔悟・安めぐみ  渋谷飛鳥・近野成美・細川茂樹・奥貫薫・田山涼成    ＜第3話ゲスト＞  徳井優・堤大二郎・山下容莉枝今野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v>
      </c>
      <c r="N5928" s="2"/>
      <c r="O5928" s="2"/>
      <c r="P5928" s="1"/>
      <c r="Q5928" s="1"/>
      <c r="R5928" s="1"/>
      <c r="S5928" s="1"/>
      <c r="T5928" s="1"/>
      <c r="U5928" s="1"/>
      <c r="V5928" s="1"/>
      <c r="W5928" s="1"/>
      <c r="X5928" s="1"/>
      <c r="Y5928" s="1"/>
      <c r="Z5928" s="1"/>
      <c r="AA5928" s="1"/>
      <c r="AB5928" s="1"/>
      <c r="AC5928" s="1"/>
      <c r="AD5928" s="1"/>
      <c r="AE5928" s="1"/>
      <c r="AF5928" s="1"/>
      <c r="AG5928" s="1"/>
      <c r="AH5928" s="1"/>
      <c r="AI5928" s="1"/>
      <c r="AJ5928" s="1"/>
      <c r="AK5928" s="1"/>
      <c r="AL5928" s="1"/>
      <c r="AM5928" s="1"/>
      <c r="AN5928" s="1"/>
      <c r="AO5928" s="1"/>
      <c r="AP5928" s="1"/>
      <c r="AQ5928" s="1"/>
      <c r="AR5928" s="1"/>
      <c r="AS5928" s="1"/>
      <c r="AT5928" s="1"/>
      <c r="AU5928" s="1"/>
      <c r="AV5928" s="1"/>
      <c r="AW5928" s="1"/>
      <c r="AX5928" s="1"/>
      <c r="AY5928" s="1"/>
      <c r="AZ5928" s="1"/>
      <c r="BA5928" s="1"/>
      <c r="BB5928" s="1"/>
    </row>
    <row r="5929" ht="204.75" customHeight="1">
      <c r="A5929" s="1">
        <v>5230.0</v>
      </c>
      <c r="B5929" s="2" t="s">
        <v>16004</v>
      </c>
      <c r="C5929" s="2">
        <f>IFERROR(__xludf.DUMMYFUNCTION("split(B5929,""_"")"),904.0)</f>
        <v>904</v>
      </c>
      <c r="D5929" s="2" t="str">
        <f>IFERROR(__xludf.DUMMYFUNCTION("""COMPUTED_VALUE"""),"TBS")</f>
        <v>TBS</v>
      </c>
      <c r="E5929" s="2" t="str">
        <f>IFERROR(__xludf.DUMMYFUNCTION("""COMPUTED_VALUE"""),"月20")</f>
        <v>月20</v>
      </c>
      <c r="F5929" s="2" t="s">
        <v>16005</v>
      </c>
      <c r="G5929" s="2" t="s">
        <v>16006</v>
      </c>
      <c r="H5929" s="1">
        <v>4.0</v>
      </c>
      <c r="J5929" s="1" t="s">
        <v>7151</v>
      </c>
      <c r="K5929" s="2" t="s">
        <v>16010</v>
      </c>
      <c r="L5929" s="2"/>
      <c r="M5929" s="2" t="str">
        <f>IFERROR(__xludf.DUMMYFUNCTION("split(split(K5929,""【"",false),""公式LINE"",false)"),"「通り魔に襲われた女」神南署で通り魔事件が発生した。被害者は長沢ゆかり（三浦理恵子）。  また数日後、今度は金丸美和（西尾まり）という女性が通り魔に襲われた。  美和は有名靴ブランド「ミラノ」のデザイナーで、盗まれたバックの中には新作デザインのデーターが入っていた。  なぜ今回だけバックが盗まれたのか？  ミラノに対する怨念か？  犯人の取調べが、進むにつれて事件は思わぬ展開を見せ始める佐々木蔵之介・中村俊介・塚地武雅・黒谷友香・賀集利樹・山口翔悟・安めぐみ  渋谷飛鳥・近野成美・細川茂樹・奥貫薫・田山涼"&amp;"成    ＜第4話ゲスト＞  三浦理恵子・西尾まり・前川泰之今野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f>
        <v>「通り魔に襲われた女」神南署で通り魔事件が発生した。被害者は長沢ゆかり（三浦理恵子）。  また数日後、今度は金丸美和（西尾まり）という女性が通り魔に襲われた。  美和は有名靴ブランド「ミラノ」のデザイナーで、盗まれたバックの中には新作デザインのデーターが入っていた。  なぜ今回だけバックが盗まれたのか？  ミラノに対する怨念か？  犯人の取調べが、進むにつれて事件は思わぬ展開を見せ始める佐々木蔵之介・中村俊介・塚地武雅・黒谷友香・賀集利樹・山口翔悟・安めぐみ  渋谷飛鳥・近野成美・細川茂樹・奥貫薫・田山涼成    ＜第4話ゲスト＞  三浦理恵子・西尾まり・前川泰之今野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v>
      </c>
      <c r="N5929" s="2"/>
      <c r="O5929" s="2"/>
      <c r="P5929" s="1"/>
      <c r="Q5929" s="1"/>
      <c r="R5929" s="1"/>
      <c r="S5929" s="1"/>
      <c r="T5929" s="1"/>
      <c r="U5929" s="1"/>
      <c r="V5929" s="1"/>
      <c r="W5929" s="1"/>
      <c r="X5929" s="1"/>
      <c r="Y5929" s="1"/>
      <c r="Z5929" s="1"/>
      <c r="AA5929" s="1"/>
      <c r="AB5929" s="1"/>
      <c r="AC5929" s="1"/>
      <c r="AD5929" s="1"/>
      <c r="AE5929" s="1"/>
      <c r="AF5929" s="1"/>
      <c r="AG5929" s="1"/>
      <c r="AH5929" s="1"/>
      <c r="AI5929" s="1"/>
      <c r="AJ5929" s="1"/>
      <c r="AK5929" s="1"/>
      <c r="AL5929" s="1"/>
      <c r="AM5929" s="1"/>
      <c r="AN5929" s="1"/>
      <c r="AO5929" s="1"/>
      <c r="AP5929" s="1"/>
      <c r="AQ5929" s="1"/>
      <c r="AR5929" s="1"/>
      <c r="AS5929" s="1"/>
      <c r="AT5929" s="1"/>
      <c r="AU5929" s="1"/>
      <c r="AV5929" s="1"/>
      <c r="AW5929" s="1"/>
      <c r="AX5929" s="1"/>
      <c r="AY5929" s="1"/>
      <c r="AZ5929" s="1"/>
      <c r="BA5929" s="1"/>
      <c r="BB5929" s="1"/>
    </row>
    <row r="5930" ht="204.75" customHeight="1">
      <c r="A5930" s="1">
        <v>5231.0</v>
      </c>
      <c r="B5930" s="2" t="s">
        <v>16004</v>
      </c>
      <c r="C5930" s="2">
        <f>IFERROR(__xludf.DUMMYFUNCTION("split(B5930,""_"")"),904.0)</f>
        <v>904</v>
      </c>
      <c r="D5930" s="2" t="str">
        <f>IFERROR(__xludf.DUMMYFUNCTION("""COMPUTED_VALUE"""),"TBS")</f>
        <v>TBS</v>
      </c>
      <c r="E5930" s="2" t="str">
        <f>IFERROR(__xludf.DUMMYFUNCTION("""COMPUTED_VALUE"""),"月20")</f>
        <v>月20</v>
      </c>
      <c r="F5930" s="2" t="s">
        <v>16005</v>
      </c>
      <c r="G5930" s="2" t="s">
        <v>16006</v>
      </c>
      <c r="H5930" s="1">
        <v>5.0</v>
      </c>
      <c r="J5930" s="1" t="s">
        <v>7151</v>
      </c>
      <c r="K5930" s="2" t="s">
        <v>16011</v>
      </c>
      <c r="L5930" s="2"/>
      <c r="M5930" s="2" t="str">
        <f>IFERROR(__xludf.DUMMYFUNCTION("split(split(K5930,""【"",false),""公式LINE"",false)"),"未定若者に因縁をつけられているところを、安積班に保護された勝江（岸本加代子）。  すると突然、自分は夫の清志（谷本一）を殺害したと自供した。  勝江の靴には清志の血液が付着しており、状況証拠は勝江の犯行を示していたが、殺害に至った理由・状況など不明。桜井（山口翔悟）は、店員の一人・啓太（内野謙太）が気になり、彼をマークする。  安積（佐々木蔵之介）は、勝江が誰かをかばっているのではないかと考え釈放する…。  事件は意外な方向に…。佐々木蔵之介・中村俊介・塚地武雅・黒谷友香・賀集利樹・山口翔悟・安めぐみ  "&amp;"渋谷飛鳥・近野成美・細川茂樹・奥貫薫・田山涼成    ＜第5話ゲスト＞  岸本加代子今野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f>
        <v>未定若者に因縁をつけられているところを、安積班に保護された勝江（岸本加代子）。  すると突然、自分は夫の清志（谷本一）を殺害したと自供した。  勝江の靴には清志の血液が付着しており、状況証拠は勝江の犯行を示していたが、殺害に至った理由・状況など不明。桜井（山口翔悟）は、店員の一人・啓太（内野謙太）が気になり、彼をマークする。  安積（佐々木蔵之介）は、勝江が誰かをかばっているのではないかと考え釈放する…。  事件は意外な方向に…。佐々木蔵之介・中村俊介・塚地武雅・黒谷友香・賀集利樹・山口翔悟・安めぐみ  渋谷飛鳥・近野成美・細川茂樹・奥貫薫・田山涼成    ＜第5話ゲスト＞  岸本加代子今野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v>
      </c>
      <c r="N5930" s="2"/>
      <c r="O5930" s="2"/>
      <c r="P5930" s="1"/>
      <c r="Q5930" s="1"/>
      <c r="R5930" s="1"/>
      <c r="S5930" s="1"/>
      <c r="T5930" s="1"/>
      <c r="U5930" s="1"/>
      <c r="V5930" s="1"/>
      <c r="W5930" s="1"/>
      <c r="X5930" s="1"/>
      <c r="Y5930" s="1"/>
      <c r="Z5930" s="1"/>
      <c r="AA5930" s="1"/>
      <c r="AB5930" s="1"/>
      <c r="AC5930" s="1"/>
      <c r="AD5930" s="1"/>
      <c r="AE5930" s="1"/>
      <c r="AF5930" s="1"/>
      <c r="AG5930" s="1"/>
      <c r="AH5930" s="1"/>
      <c r="AI5930" s="1"/>
      <c r="AJ5930" s="1"/>
      <c r="AK5930" s="1"/>
      <c r="AL5930" s="1"/>
      <c r="AM5930" s="1"/>
      <c r="AN5930" s="1"/>
      <c r="AO5930" s="1"/>
      <c r="AP5930" s="1"/>
      <c r="AQ5930" s="1"/>
      <c r="AR5930" s="1"/>
      <c r="AS5930" s="1"/>
      <c r="AT5930" s="1"/>
      <c r="AU5930" s="1"/>
      <c r="AV5930" s="1"/>
      <c r="AW5930" s="1"/>
      <c r="AX5930" s="1"/>
      <c r="AY5930" s="1"/>
      <c r="AZ5930" s="1"/>
      <c r="BA5930" s="1"/>
      <c r="BB5930" s="1"/>
    </row>
    <row r="5931" ht="204.75" customHeight="1">
      <c r="A5931" s="1">
        <v>5232.0</v>
      </c>
      <c r="B5931" s="2" t="s">
        <v>16004</v>
      </c>
      <c r="C5931" s="2">
        <f>IFERROR(__xludf.DUMMYFUNCTION("split(B5931,""_"")"),904.0)</f>
        <v>904</v>
      </c>
      <c r="D5931" s="2" t="str">
        <f>IFERROR(__xludf.DUMMYFUNCTION("""COMPUTED_VALUE"""),"TBS")</f>
        <v>TBS</v>
      </c>
      <c r="E5931" s="2" t="str">
        <f>IFERROR(__xludf.DUMMYFUNCTION("""COMPUTED_VALUE"""),"月20")</f>
        <v>月20</v>
      </c>
      <c r="F5931" s="2" t="s">
        <v>16005</v>
      </c>
      <c r="G5931" s="2" t="s">
        <v>16006</v>
      </c>
      <c r="H5931" s="1">
        <v>6.0</v>
      </c>
      <c r="J5931" s="1" t="s">
        <v>7151</v>
      </c>
      <c r="K5931" s="2" t="s">
        <v>16012</v>
      </c>
      <c r="L5931" s="2"/>
      <c r="M5931" s="2" t="str">
        <f>IFERROR(__xludf.DUMMYFUNCTION("split(split(K5931,""【"",false),""公式LINE"",false)"),"「存在しない男を愛した女…3650円の人生」神南署管内で殺人事件とドラッグストア強盗事件が相次いで発生。  強盗事件は店内に残っていた指紋から容疑者が特定され、犯人確保は時間の問題と…。  現場に居合わせた目撃証言から、社長殺害の容疑者として河原崎（由地慶伍）という男が浮上した。しかし、河原崎は犯行を否定。そんな時安積は須田から強盗事件の現場からもう一人野上（鶴見辰吾）という男の指紋が検出されたと報告を受ける。  しかし、野上は半年も前に電車に飛び込んで自殺していた。佐々木蔵之介・中村俊介・塚地武雅・黒谷"&amp;"友香・賀集利樹・山口翔悟・安めぐみ  渋谷飛鳥・近野成美・細川茂樹・奥貫薫・田山涼成    ＜第6話ゲスト＞  鶴見辰吾・由地慶伍・中村綾毎週放送終了後に、本編からクイズを出題。  正解者の中から抽選で番組オリジナルのグッズをプレゼントします。  詳しくは番組ホームページをご覧下さい。今野　敏  「神南署安積班」他、安積班シリーズ  　　　　　　　　　　（ハルキ文庫刊）石原　武龍  奥村　俊雄  難波江由紀子  小澤　俊介  末安　正子  (他)酒井　聖博  和田　旭  竹之下寛次  竹村謙太郎  村田　"&amp;"忍橋本　孝  遠藤　正人ドリマックス・テレビジョンhttp://www.tbs.co.jp/hanchou2009/")</f>
        <v>「存在しない男を愛した女…3650円の人生」神南署管内で殺人事件とドラッグストア強盗事件が相次いで発生。  強盗事件は店内に残っていた指紋から容疑者が特定され、犯人確保は時間の問題と…。  現場に居合わせた目撃証言から、社長殺害の容疑者として河原崎（由地慶伍）という男が浮上した。しかし、河原崎は犯行を否定。そんな時安積は須田から強盗事件の現場からもう一人野上（鶴見辰吾）という男の指紋が検出されたと報告を受ける。  しかし、野上は半年も前に電車に飛び込んで自殺していた。佐々木蔵之介・中村俊介・塚地武雅・黒谷友香・賀集利樹・山口翔悟・安めぐみ  渋谷飛鳥・近野成美・細川茂樹・奥貫薫・田山涼成    ＜第6話ゲスト＞  鶴見辰吾・由地慶伍・中村綾毎週放送終了後に、本編からクイズを出題。  正解者の中から抽選で番組オリジナルのグッズをプレゼントします。  詳しくは番組ホームページをご覧下さい。今野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v>
      </c>
      <c r="N5931" s="2"/>
      <c r="O5931" s="2"/>
      <c r="P5931" s="1"/>
      <c r="Q5931" s="1"/>
      <c r="R5931" s="1"/>
      <c r="S5931" s="1"/>
      <c r="T5931" s="1"/>
      <c r="U5931" s="1"/>
      <c r="V5931" s="1"/>
      <c r="W5931" s="1"/>
      <c r="X5931" s="1"/>
      <c r="Y5931" s="1"/>
      <c r="Z5931" s="1"/>
      <c r="AA5931" s="1"/>
      <c r="AB5931" s="1"/>
      <c r="AC5931" s="1"/>
      <c r="AD5931" s="1"/>
      <c r="AE5931" s="1"/>
      <c r="AF5931" s="1"/>
      <c r="AG5931" s="1"/>
      <c r="AH5931" s="1"/>
      <c r="AI5931" s="1"/>
      <c r="AJ5931" s="1"/>
      <c r="AK5931" s="1"/>
      <c r="AL5931" s="1"/>
      <c r="AM5931" s="1"/>
      <c r="AN5931" s="1"/>
      <c r="AO5931" s="1"/>
      <c r="AP5931" s="1"/>
      <c r="AQ5931" s="1"/>
      <c r="AR5931" s="1"/>
      <c r="AS5931" s="1"/>
      <c r="AT5931" s="1"/>
      <c r="AU5931" s="1"/>
      <c r="AV5931" s="1"/>
      <c r="AW5931" s="1"/>
      <c r="AX5931" s="1"/>
      <c r="AY5931" s="1"/>
      <c r="AZ5931" s="1"/>
      <c r="BA5931" s="1"/>
      <c r="BB5931" s="1"/>
    </row>
    <row r="5932" ht="204.75" customHeight="1">
      <c r="A5932" s="1">
        <v>5233.0</v>
      </c>
      <c r="B5932" s="2" t="s">
        <v>16004</v>
      </c>
      <c r="C5932" s="2">
        <f>IFERROR(__xludf.DUMMYFUNCTION("split(B5932,""_"")"),904.0)</f>
        <v>904</v>
      </c>
      <c r="D5932" s="2" t="str">
        <f>IFERROR(__xludf.DUMMYFUNCTION("""COMPUTED_VALUE"""),"TBS")</f>
        <v>TBS</v>
      </c>
      <c r="E5932" s="2" t="str">
        <f>IFERROR(__xludf.DUMMYFUNCTION("""COMPUTED_VALUE"""),"月20")</f>
        <v>月20</v>
      </c>
      <c r="F5932" s="2" t="s">
        <v>16005</v>
      </c>
      <c r="G5932" s="2" t="s">
        <v>16006</v>
      </c>
      <c r="H5932" s="1">
        <v>7.0</v>
      </c>
      <c r="J5932" s="1" t="s">
        <v>7151</v>
      </c>
      <c r="K5932" s="2" t="s">
        <v>16013</v>
      </c>
      <c r="L5932" s="2"/>
      <c r="M5932" s="2" t="str">
        <f>IFERROR(__xludf.DUMMYFUNCTION("split(split(K5932,""【"",false),""公式LINE"",false)"),"「鬼と呼ばれた家政婦…遺産を狙う老老介護」家政婦はつ子（泉ピン子）の不注意で車椅子の老女・菊乃（佐々木すみえ江）がケガをする事件が起きた。  事故として扱われようとしていたところに、菊乃の娘・早苗（朝加真由美）が怒鳴り込んできた。はつ子が、菊乃を殺害しようとしていると。  日ごろ菊乃は、はつ子から日常的に虐待も受けていたと言う。  菊乃の財産を狙っての犯行か？安積班たちは、はつ子が犯人と断定するが…。  違和感を覚える安積（佐々木蔵之介）は？佐々木蔵之介・中村俊介・塚地武雅・黒谷友香・賀集利樹・山口翔悟・"&amp;"安めぐみ  渋谷飛鳥・近野成美・細川茂樹・奥貫薫・田山涼成今野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f>
        <v>「鬼と呼ばれた家政婦…遺産を狙う老老介護」家政婦はつ子（泉ピン子）の不注意で車椅子の老女・菊乃（佐々木すみえ江）がケガをする事件が起きた。  事故として扱われようとしていたところに、菊乃の娘・早苗（朝加真由美）が怒鳴り込んできた。はつ子が、菊乃を殺害しようとしていると。  日ごろ菊乃は、はつ子から日常的に虐待も受けていたと言う。  菊乃の財産を狙っての犯行か？安積班たちは、はつ子が犯人と断定するが…。  違和感を覚える安積（佐々木蔵之介）は？佐々木蔵之介・中村俊介・塚地武雅・黒谷友香・賀集利樹・山口翔悟・安めぐみ  渋谷飛鳥・近野成美・細川茂樹・奥貫薫・田山涼成今野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v>
      </c>
      <c r="N5932" s="2"/>
      <c r="O5932" s="2"/>
      <c r="P5932" s="1"/>
      <c r="Q5932" s="1"/>
      <c r="R5932" s="1"/>
      <c r="S5932" s="1"/>
      <c r="T5932" s="1"/>
      <c r="U5932" s="1"/>
      <c r="V5932" s="1"/>
      <c r="W5932" s="1"/>
      <c r="X5932" s="1"/>
      <c r="Y5932" s="1"/>
      <c r="Z5932" s="1"/>
      <c r="AA5932" s="1"/>
      <c r="AB5932" s="1"/>
      <c r="AC5932" s="1"/>
      <c r="AD5932" s="1"/>
      <c r="AE5932" s="1"/>
      <c r="AF5932" s="1"/>
      <c r="AG5932" s="1"/>
      <c r="AH5932" s="1"/>
      <c r="AI5932" s="1"/>
      <c r="AJ5932" s="1"/>
      <c r="AK5932" s="1"/>
      <c r="AL5932" s="1"/>
      <c r="AM5932" s="1"/>
      <c r="AN5932" s="1"/>
      <c r="AO5932" s="1"/>
      <c r="AP5932" s="1"/>
      <c r="AQ5932" s="1"/>
      <c r="AR5932" s="1"/>
      <c r="AS5932" s="1"/>
      <c r="AT5932" s="1"/>
      <c r="AU5932" s="1"/>
      <c r="AV5932" s="1"/>
      <c r="AW5932" s="1"/>
      <c r="AX5932" s="1"/>
      <c r="AY5932" s="1"/>
      <c r="AZ5932" s="1"/>
      <c r="BA5932" s="1"/>
      <c r="BB5932" s="1"/>
    </row>
    <row r="5933" ht="204.75" customHeight="1">
      <c r="A5933" s="1">
        <v>5234.0</v>
      </c>
      <c r="B5933" s="2" t="s">
        <v>16004</v>
      </c>
      <c r="C5933" s="2">
        <f>IFERROR(__xludf.DUMMYFUNCTION("split(B5933,""_"")"),904.0)</f>
        <v>904</v>
      </c>
      <c r="D5933" s="2" t="str">
        <f>IFERROR(__xludf.DUMMYFUNCTION("""COMPUTED_VALUE"""),"TBS")</f>
        <v>TBS</v>
      </c>
      <c r="E5933" s="2" t="str">
        <f>IFERROR(__xludf.DUMMYFUNCTION("""COMPUTED_VALUE"""),"月20")</f>
        <v>月20</v>
      </c>
      <c r="F5933" s="2" t="s">
        <v>16005</v>
      </c>
      <c r="G5933" s="2" t="s">
        <v>16006</v>
      </c>
      <c r="H5933" s="1">
        <v>8.0</v>
      </c>
      <c r="J5933" s="1" t="s">
        <v>7151</v>
      </c>
      <c r="K5933" s="2" t="s">
        <v>16014</v>
      </c>
      <c r="L5933" s="2"/>
      <c r="M5933" s="2" t="str">
        <f>IFERROR(__xludf.DUMMYFUNCTION("split(split(K5933,""【"",false),""公式LINE"",false)"),"「品川東署から来た男…ベテラン刑事の殺人」神南署管内で殺人事件が発生した。被害者は貿易会社社長。  部屋の状況から被害者には愛人がいたと推測され、携帯電話のメモリから木本弥生（北川弘美）という女性が捜査線上に浮かぶ。  そこに日高美也子（白石まるみ）という女性が怒鳴り込んできた。  美也子は弥生と不倫関係にある自分の夫・英之（田中実）を返せと息巻く。  会議をする安積たちのもとに、三国（大杉漣）という品川署の刑事がやってきた。  三国の行動に疑問を感じる村雨（中村俊介）は…？佐々木蔵之介・中村俊介・塚地武"&amp;"雅・黒谷友香・賀集利樹・山口翔悟・安めぐみ  渋谷飛鳥・近野成美・細川茂樹・奥貫薫・田山涼成    ＜第8話ゲスト＞  大杉漣・北川弘美今野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f>
        <v>「品川東署から来た男…ベテラン刑事の殺人」神南署管内で殺人事件が発生した。被害者は貿易会社社長。  部屋の状況から被害者には愛人がいたと推測され、携帯電話のメモリから木本弥生（北川弘美）という女性が捜査線上に浮かぶ。  そこに日高美也子（白石まるみ）という女性が怒鳴り込んできた。  美也子は弥生と不倫関係にある自分の夫・英之（田中実）を返せと息巻く。  会議をする安積たちのもとに、三国（大杉漣）という品川署の刑事がやってきた。  三国の行動に疑問を感じる村雨（中村俊介）は…？佐々木蔵之介・中村俊介・塚地武雅・黒谷友香・賀集利樹・山口翔悟・安めぐみ  渋谷飛鳥・近野成美・細川茂樹・奥貫薫・田山涼成    ＜第8話ゲスト＞  大杉漣・北川弘美今野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v>
      </c>
      <c r="N5933" s="2"/>
      <c r="O5933" s="2"/>
      <c r="P5933" s="1"/>
      <c r="Q5933" s="1"/>
      <c r="R5933" s="1"/>
      <c r="S5933" s="1"/>
      <c r="T5933" s="1"/>
      <c r="U5933" s="1"/>
      <c r="V5933" s="1"/>
      <c r="W5933" s="1"/>
      <c r="X5933" s="1"/>
      <c r="Y5933" s="1"/>
      <c r="Z5933" s="1"/>
      <c r="AA5933" s="1"/>
      <c r="AB5933" s="1"/>
      <c r="AC5933" s="1"/>
      <c r="AD5933" s="1"/>
      <c r="AE5933" s="1"/>
      <c r="AF5933" s="1"/>
      <c r="AG5933" s="1"/>
      <c r="AH5933" s="1"/>
      <c r="AI5933" s="1"/>
      <c r="AJ5933" s="1"/>
      <c r="AK5933" s="1"/>
      <c r="AL5933" s="1"/>
      <c r="AM5933" s="1"/>
      <c r="AN5933" s="1"/>
      <c r="AO5933" s="1"/>
      <c r="AP5933" s="1"/>
      <c r="AQ5933" s="1"/>
      <c r="AR5933" s="1"/>
      <c r="AS5933" s="1"/>
      <c r="AT5933" s="1"/>
      <c r="AU5933" s="1"/>
      <c r="AV5933" s="1"/>
      <c r="AW5933" s="1"/>
      <c r="AX5933" s="1"/>
      <c r="AY5933" s="1"/>
      <c r="AZ5933" s="1"/>
      <c r="BA5933" s="1"/>
      <c r="BB5933" s="1"/>
    </row>
    <row r="5934" ht="204.75" customHeight="1">
      <c r="A5934" s="1">
        <v>5235.0</v>
      </c>
      <c r="B5934" s="2" t="s">
        <v>16004</v>
      </c>
      <c r="C5934" s="2">
        <f>IFERROR(__xludf.DUMMYFUNCTION("split(B5934,""_"")"),904.0)</f>
        <v>904</v>
      </c>
      <c r="D5934" s="2" t="str">
        <f>IFERROR(__xludf.DUMMYFUNCTION("""COMPUTED_VALUE"""),"TBS")</f>
        <v>TBS</v>
      </c>
      <c r="E5934" s="2" t="str">
        <f>IFERROR(__xludf.DUMMYFUNCTION("""COMPUTED_VALUE"""),"月20")</f>
        <v>月20</v>
      </c>
      <c r="F5934" s="2" t="s">
        <v>16005</v>
      </c>
      <c r="G5934" s="2" t="s">
        <v>16006</v>
      </c>
      <c r="H5934" s="1">
        <v>9.0</v>
      </c>
      <c r="J5934" s="1" t="s">
        <v>7151</v>
      </c>
      <c r="K5934" s="2" t="s">
        <v>16015</v>
      </c>
      <c r="L5934" s="2"/>
      <c r="M5934" s="2" t="str">
        <f>IFERROR(__xludf.DUMMYFUNCTION("split(split(K5934,""【"",false),""公式LINE"",false)"),"「たった一人の反乱…さようなら安積警部補」  冤罪？  無実なんです。私は…亭主を殺していません。泣き叫ぶ美佐子（川上麻衣子）  罪を犯した人間を捕まえるのが刑事なら…  無実の人間を救い出すのも刑事の仕事じゃないんですか。  すべてを敵にまわすのか安積？  犯人は別にいる？  どうする安積…。佐々木蔵之介・中村俊介・塚地武雅・黒谷友香・賀集利樹・山口翔悟・安めぐみ  渋谷飛鳥・近野成美・細川茂樹・奥貫薫・田山涼成    ＜第9話ゲスト＞  川上麻衣子・大河内浩今野　敏  「神南署安積班」他、安積班シリー"&amp;"ズ  　　　　　　　　　　（ハルキ文庫刊）石原　武龍  奥村　俊雄  難波江由紀子  小澤　俊介  末安　正子  (他)酒井　聖博  和田　旭  竹之下寛次  竹村謙太郎  村田　忍橋本　孝  遠藤　正人ドリマックス・テレビジョンhttp://www.tbs.co.jp/hanchou2009/")</f>
        <v>「たった一人の反乱…さようなら安積警部補」  冤罪？  無実なんです。私は…亭主を殺していません。泣き叫ぶ美佐子（川上麻衣子）  罪を犯した人間を捕まえるのが刑事なら…  無実の人間を救い出すのも刑事の仕事じゃないんですか。  すべてを敵にまわすのか安積？  犯人は別にいる？  どうする安積…。佐々木蔵之介・中村俊介・塚地武雅・黒谷友香・賀集利樹・山口翔悟・安めぐみ  渋谷飛鳥・近野成美・細川茂樹・奥貫薫・田山涼成    ＜第9話ゲスト＞  川上麻衣子・大河内浩今野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v>
      </c>
      <c r="N5934" s="2"/>
      <c r="O5934" s="2"/>
      <c r="P5934" s="1"/>
      <c r="Q5934" s="1"/>
      <c r="R5934" s="1"/>
      <c r="S5934" s="1"/>
      <c r="T5934" s="1"/>
      <c r="U5934" s="1"/>
      <c r="V5934" s="1"/>
      <c r="W5934" s="1"/>
      <c r="X5934" s="1"/>
      <c r="Y5934" s="1"/>
      <c r="Z5934" s="1"/>
      <c r="AA5934" s="1"/>
      <c r="AB5934" s="1"/>
      <c r="AC5934" s="1"/>
      <c r="AD5934" s="1"/>
      <c r="AE5934" s="1"/>
      <c r="AF5934" s="1"/>
      <c r="AG5934" s="1"/>
      <c r="AH5934" s="1"/>
      <c r="AI5934" s="1"/>
      <c r="AJ5934" s="1"/>
      <c r="AK5934" s="1"/>
      <c r="AL5934" s="1"/>
      <c r="AM5934" s="1"/>
      <c r="AN5934" s="1"/>
      <c r="AO5934" s="1"/>
      <c r="AP5934" s="1"/>
      <c r="AQ5934" s="1"/>
      <c r="AR5934" s="1"/>
      <c r="AS5934" s="1"/>
      <c r="AT5934" s="1"/>
      <c r="AU5934" s="1"/>
      <c r="AV5934" s="1"/>
      <c r="AW5934" s="1"/>
      <c r="AX5934" s="1"/>
      <c r="AY5934" s="1"/>
      <c r="AZ5934" s="1"/>
      <c r="BA5934" s="1"/>
      <c r="BB5934" s="1"/>
    </row>
    <row r="5935" ht="204.75" customHeight="1">
      <c r="A5935" s="1">
        <v>5236.0</v>
      </c>
      <c r="B5935" s="2" t="s">
        <v>16004</v>
      </c>
      <c r="C5935" s="2">
        <f>IFERROR(__xludf.DUMMYFUNCTION("split(B5935,""_"")"),904.0)</f>
        <v>904</v>
      </c>
      <c r="D5935" s="2" t="str">
        <f>IFERROR(__xludf.DUMMYFUNCTION("""COMPUTED_VALUE"""),"TBS")</f>
        <v>TBS</v>
      </c>
      <c r="E5935" s="2" t="str">
        <f>IFERROR(__xludf.DUMMYFUNCTION("""COMPUTED_VALUE"""),"月20")</f>
        <v>月20</v>
      </c>
      <c r="F5935" s="2" t="s">
        <v>16005</v>
      </c>
      <c r="G5935" s="2" t="s">
        <v>16006</v>
      </c>
      <c r="H5935" s="1">
        <v>10.0</v>
      </c>
      <c r="J5935" s="1" t="s">
        <v>7151</v>
      </c>
      <c r="K5935" s="2" t="s">
        <v>16016</v>
      </c>
      <c r="L5935" s="2"/>
      <c r="M5935" s="2" t="str">
        <f>IFERROR(__xludf.DUMMYFUNCTION("split(split(K5935,""【"",false),""公式LINE"",false)"),"「主婦を襲う恐怖の電話…消えた300万の謎」  人事異動？桜井（山口翔悟）は、自分が対称だという噂を聞き動揺する。  そこに殺人事件発生の知らせが入った。  殺人事件は頻発していた振り込め詐欺事件とリンクして捜査されることになった。  捜査の過程で老女、川本千穂（草村礼子）の名前が上がり桜井は驚く。  移動の噂が気になり、焦った桜井（山口翔悟）は、単独捜査を開始した。しかし逆に犯人グループに拉致されてしまった。  間に合うのか安積班？佐々木蔵之介・中村俊介・塚地武雅・黒谷友香・賀集利樹・山口翔悟・安めぐみ"&amp;"  渋谷飛鳥・近野成美・細川茂樹・奥貫薫・田山涼成    ＜第10話ゲスト＞  草村礼子・天田俊明毎週放送終了後に、本編からクイズを出題。  正解者の中から抽選で番組オリジナルのグッズをプレゼントします。  詳しくは番組ホームページを見てください。今野　敏  「神南署安積班」他、安積班シリーズ  　　　　　　　　　　（ハルキ文庫刊）石原　武龍  奥村　俊雄  難波江由紀子  小澤　俊介  末安　正子  たつみちか酒井　聖博  和田　旭  竹之下寛次  竹村謙太郎  村田　忍橋本　孝  遠藤　正人ドリマック"&amp;"ス・テレビジョンhttp://www.tbs.co.jp/hanchou2009/")</f>
        <v>「主婦を襲う恐怖の電話…消えた300万の謎」  人事異動？桜井（山口翔悟）は、自分が対称だという噂を聞き動揺する。  そこに殺人事件発生の知らせが入った。  殺人事件は頻発していた振り込め詐欺事件とリンクして捜査されることになった。  捜査の過程で老女、川本千穂（草村礼子）の名前が上がり桜井は驚く。  移動の噂が気になり、焦った桜井（山口翔悟）は、単独捜査を開始した。しかし逆に犯人グループに拉致されてしまった。  間に合うのか安積班？佐々木蔵之介・中村俊介・塚地武雅・黒谷友香・賀集利樹・山口翔悟・安めぐみ  渋谷飛鳥・近野成美・細川茂樹・奥貫薫・田山涼成    ＜第10話ゲスト＞  草村礼子・天田俊明毎週放送終了後に、本編からクイズを出題。  正解者の中から抽選で番組オリジナルのグッズをプレゼントします。  詳しくは番組ホームページを見てください。今野　敏  「神南署安積班」他、安積班シリーズ  　　　　　　　　　　（ハルキ文庫刊）石原　武龍  奥村　俊雄  難波江由紀子  小澤　俊介  末安　正子  たつみちか酒井　聖博  和田　旭  竹之下寛次  竹村謙太郎  村田　忍橋本　孝  遠藤　正人ドリマックス・テレビジョンhttp://www.tbs.co.jp/hanchou2009/</v>
      </c>
      <c r="N5935" s="2"/>
      <c r="O5935" s="2"/>
      <c r="P5935" s="1"/>
      <c r="Q5935" s="1"/>
      <c r="R5935" s="1"/>
      <c r="S5935" s="1"/>
      <c r="T5935" s="1"/>
      <c r="U5935" s="1"/>
      <c r="V5935" s="1"/>
      <c r="W5935" s="1"/>
      <c r="X5935" s="1"/>
      <c r="Y5935" s="1"/>
      <c r="Z5935" s="1"/>
      <c r="AA5935" s="1"/>
      <c r="AB5935" s="1"/>
      <c r="AC5935" s="1"/>
      <c r="AD5935" s="1"/>
      <c r="AE5935" s="1"/>
      <c r="AF5935" s="1"/>
      <c r="AG5935" s="1"/>
      <c r="AH5935" s="1"/>
      <c r="AI5935" s="1"/>
      <c r="AJ5935" s="1"/>
      <c r="AK5935" s="1"/>
      <c r="AL5935" s="1"/>
      <c r="AM5935" s="1"/>
      <c r="AN5935" s="1"/>
      <c r="AO5935" s="1"/>
      <c r="AP5935" s="1"/>
      <c r="AQ5935" s="1"/>
      <c r="AR5935" s="1"/>
      <c r="AS5935" s="1"/>
      <c r="AT5935" s="1"/>
      <c r="AU5935" s="1"/>
      <c r="AV5935" s="1"/>
      <c r="AW5935" s="1"/>
      <c r="AX5935" s="1"/>
      <c r="AY5935" s="1"/>
      <c r="AZ5935" s="1"/>
      <c r="BA5935" s="1"/>
      <c r="BB5935" s="1"/>
    </row>
    <row r="5936" ht="204.75" customHeight="1">
      <c r="A5936" s="1">
        <v>5237.0</v>
      </c>
      <c r="B5936" s="2" t="s">
        <v>16004</v>
      </c>
      <c r="C5936" s="2">
        <f>IFERROR(__xludf.DUMMYFUNCTION("split(B5936,""_"")"),904.0)</f>
        <v>904</v>
      </c>
      <c r="D5936" s="2" t="str">
        <f>IFERROR(__xludf.DUMMYFUNCTION("""COMPUTED_VALUE"""),"TBS")</f>
        <v>TBS</v>
      </c>
      <c r="E5936" s="2" t="str">
        <f>IFERROR(__xludf.DUMMYFUNCTION("""COMPUTED_VALUE"""),"月20")</f>
        <v>月20</v>
      </c>
      <c r="F5936" s="2" t="s">
        <v>16005</v>
      </c>
      <c r="G5936" s="2" t="s">
        <v>16006</v>
      </c>
      <c r="H5936" s="1">
        <v>11.0</v>
      </c>
      <c r="J5936" s="1" t="s">
        <v>7151</v>
      </c>
      <c r="K5936" s="2" t="s">
        <v>16017</v>
      </c>
      <c r="L5936" s="2"/>
      <c r="M5936" s="2" t="str">
        <f>IFERROR(__xludf.DUMMYFUNCTION("split(split(K5936,""【"",false),""公式LINE"",false)"),"「女子高生殺人事件…亡き妻に捧ぐ父の約束」女子高生、沙也加（逢沢りな）の死体が発見され、被害者の父親の高沢（布施博）が神南署に怒鳴り込んできた。  安積（佐々木蔵之介）は、高沢の前科に不可解な点を見つける。そんな中、被害者は半年前に出会い系サイトを利用し、ある男と連絡を取っていたことが判明した。  父と娘の間を阻む2年前の事件とは…。  憤りを感じる安積班の面々。佐々木蔵之介　中村俊介　塚地武雅　黒谷友香　賀集利樹　山口翔悟　安めぐみ  近野成　細川茂樹　奥貫薫　田山涼成    ＜第11話ゲスト＞  布施"&amp;"博　逢沢りな毎週放送終了後に、本編からクイズを出題。  正解者の中から抽選で番組オリジナルのグッズをプレゼントします。  詳しくは番組ホームページを見てください。今野　敏  「神南署安積班」他、安積班シリーズ  　　　　　　　　　　（ハルキ文庫刊）石原　武龍  奥村　俊雄  難波江由紀子  小澤　俊介  末安　正子  たつみちか酒井　聖博  和田　旭  竹之下寛次  竹村謙太郎  村田　忍橋本　孝  遠藤　正人ドリマックス・テレビジョンhttp://www.tbs.co.jp/hanchou2009/")</f>
        <v>「女子高生殺人事件…亡き妻に捧ぐ父の約束」女子高生、沙也加（逢沢りな）の死体が発見され、被害者の父親の高沢（布施博）が神南署に怒鳴り込んできた。  安積（佐々木蔵之介）は、高沢の前科に不可解な点を見つける。そんな中、被害者は半年前に出会い系サイトを利用し、ある男と連絡を取っていたことが判明した。  父と娘の間を阻む2年前の事件とは…。  憤りを感じる安積班の面々。佐々木蔵之介　中村俊介　塚地武雅　黒谷友香　賀集利樹　山口翔悟　安めぐみ  近野成　細川茂樹　奥貫薫　田山涼成    ＜第11話ゲスト＞  布施博　逢沢りな毎週放送終了後に、本編からクイズを出題。  正解者の中から抽選で番組オリジナルのグッズをプレゼントします。  詳しくは番組ホームページを見てください。今野　敏  「神南署安積班」他、安積班シリーズ  　　　　　　　　　　（ハルキ文庫刊）石原　武龍  奥村　俊雄  難波江由紀子  小澤　俊介  末安　正子  たつみちか酒井　聖博  和田　旭  竹之下寛次  竹村謙太郎  村田　忍橋本　孝  遠藤　正人ドリマックス・テレビジョンhttp://www.tbs.co.jp/hanchou2009/</v>
      </c>
      <c r="N5936" s="2"/>
      <c r="O5936" s="2"/>
      <c r="P5936" s="1"/>
      <c r="Q5936" s="1"/>
      <c r="R5936" s="1"/>
      <c r="S5936" s="1"/>
      <c r="T5936" s="1"/>
      <c r="U5936" s="1"/>
      <c r="V5936" s="1"/>
      <c r="W5936" s="1"/>
      <c r="X5936" s="1"/>
      <c r="Y5936" s="1"/>
      <c r="Z5936" s="1"/>
      <c r="AA5936" s="1"/>
      <c r="AB5936" s="1"/>
      <c r="AC5936" s="1"/>
      <c r="AD5936" s="1"/>
      <c r="AE5936" s="1"/>
      <c r="AF5936" s="1"/>
      <c r="AG5936" s="1"/>
      <c r="AH5936" s="1"/>
      <c r="AI5936" s="1"/>
      <c r="AJ5936" s="1"/>
      <c r="AK5936" s="1"/>
      <c r="AL5936" s="1"/>
      <c r="AM5936" s="1"/>
      <c r="AN5936" s="1"/>
      <c r="AO5936" s="1"/>
      <c r="AP5936" s="1"/>
      <c r="AQ5936" s="1"/>
      <c r="AR5936" s="1"/>
      <c r="AS5936" s="1"/>
      <c r="AT5936" s="1"/>
      <c r="AU5936" s="1"/>
      <c r="AV5936" s="1"/>
      <c r="AW5936" s="1"/>
      <c r="AX5936" s="1"/>
      <c r="AY5936" s="1"/>
      <c r="AZ5936" s="1"/>
      <c r="BA5936" s="1"/>
      <c r="BB5936" s="1"/>
    </row>
    <row r="5937" ht="204.75" customHeight="1">
      <c r="A5937" s="1">
        <v>5238.0</v>
      </c>
      <c r="B5937" s="2" t="s">
        <v>16004</v>
      </c>
      <c r="C5937" s="2">
        <f>IFERROR(__xludf.DUMMYFUNCTION("split(B5937,""_"")"),904.0)</f>
        <v>904</v>
      </c>
      <c r="D5937" s="2" t="str">
        <f>IFERROR(__xludf.DUMMYFUNCTION("""COMPUTED_VALUE"""),"TBS")</f>
        <v>TBS</v>
      </c>
      <c r="E5937" s="2" t="str">
        <f>IFERROR(__xludf.DUMMYFUNCTION("""COMPUTED_VALUE"""),"月20")</f>
        <v>月20</v>
      </c>
      <c r="F5937" s="2" t="s">
        <v>16005</v>
      </c>
      <c r="G5937" s="2" t="s">
        <v>16006</v>
      </c>
      <c r="H5937" s="1">
        <v>12.0</v>
      </c>
      <c r="J5937" s="1" t="s">
        <v>7151</v>
      </c>
      <c r="K5937" s="2" t="s">
        <v>16018</v>
      </c>
      <c r="L5937" s="2"/>
      <c r="M5937" s="2" t="str">
        <f>IFERROR(__xludf.DUMMYFUNCTION("split(split(K5937,""【"",false),""公式LINE"",false)"),"「殉職…刑事を狙う史上最悪の連続射殺犯！」神南所轄内の路地裏で身元不明の白人男性の射殺死体が発見された。  数日後ロサンゼルスからひとりの刑事がやってきた。その男の名前はアンディ（市川亀治郎）。被害者はロスを拠点とするマフィアの幹部だったことが明らかになる。  被害者はセメッカ（クリストピエトロ）という男と共謀して組織を裏切った罪で、ヒットマンに狙われていた。そしてヒットマンの次のターゲットはセメッカだと安積たちに言う。アンディは安積（佐々木蔵之介）とコンビを組んで捜査することに…。  アンディには意外な"&amp;"過去が…。佐々木蔵之介　中村俊介　塚地武雅　黒谷友香　賀集利樹　山口翔悟　安めぐみ　近野成　細川茂樹　奥貫薫　田山涼成    ＜第12話ゲスト＞  市川亀治郎毎週放送終了後に、本編からクイズを出題。  正解者の中から抽選で番組オリジナルのグッズをプレゼントします。  詳しくは番組ホームページを見てください。今野　敏  「神南署安積班」他、安積班シリーズ  　　　　　　　　　　（ハルキ文庫刊）石原　武龍  奥村　俊雄  難波江由紀子  小澤　俊介  末安　正子  たつみちか酒井　聖博  和田　旭  竹之下寛"&amp;"次  竹村謙太郎  村田　忍橋本　孝  遠藤　正人ドリマックス・テレビジョンhttp://www.tbs.co.jp/hanchou2009/")</f>
        <v>「殉職…刑事を狙う史上最悪の連続射殺犯！」神南所轄内の路地裏で身元不明の白人男性の射殺死体が発見された。  数日後ロサンゼルスからひとりの刑事がやってきた。その男の名前はアンディ（市川亀治郎）。被害者はロスを拠点とするマフィアの幹部だったことが明らかになる。  被害者はセメッカ（クリストピエトロ）という男と共謀して組織を裏切った罪で、ヒットマンに狙われていた。そしてヒットマンの次のターゲットはセメッカだと安積たちに言う。アンディは安積（佐々木蔵之介）とコンビを組んで捜査することに…。  アンディには意外な過去が…。佐々木蔵之介　中村俊介　塚地武雅　黒谷友香　賀集利樹　山口翔悟　安めぐみ　近野成　細川茂樹　奥貫薫　田山涼成    ＜第12話ゲスト＞  市川亀治郎毎週放送終了後に、本編からクイズを出題。  正解者の中から抽選で番組オリジナルのグッズをプレゼントします。  詳しくは番組ホームページを見てください。今野　敏  「神南署安積班」他、安積班シリーズ  　　　　　　　　　　（ハルキ文庫刊）石原　武龍  奥村　俊雄  難波江由紀子  小澤　俊介  末安　正子  たつみちか酒井　聖博  和田　旭  竹之下寛次  竹村謙太郎  村田　忍橋本　孝  遠藤　正人ドリマックス・テレビジョンhttp://www.tbs.co.jp/hanchou2009/</v>
      </c>
      <c r="N5937" s="2"/>
      <c r="O5937" s="2"/>
      <c r="P5937" s="1"/>
      <c r="Q5937" s="1"/>
      <c r="R5937" s="1"/>
      <c r="S5937" s="1"/>
      <c r="T5937" s="1"/>
      <c r="U5937" s="1"/>
      <c r="V5937" s="1"/>
      <c r="W5937" s="1"/>
      <c r="X5937" s="1"/>
      <c r="Y5937" s="1"/>
      <c r="Z5937" s="1"/>
      <c r="AA5937" s="1"/>
      <c r="AB5937" s="1"/>
      <c r="AC5937" s="1"/>
      <c r="AD5937" s="1"/>
      <c r="AE5937" s="1"/>
      <c r="AF5937" s="1"/>
      <c r="AG5937" s="1"/>
      <c r="AH5937" s="1"/>
      <c r="AI5937" s="1"/>
      <c r="AJ5937" s="1"/>
      <c r="AK5937" s="1"/>
      <c r="AL5937" s="1"/>
      <c r="AM5937" s="1"/>
      <c r="AN5937" s="1"/>
      <c r="AO5937" s="1"/>
      <c r="AP5937" s="1"/>
      <c r="AQ5937" s="1"/>
      <c r="AR5937" s="1"/>
      <c r="AS5937" s="1"/>
      <c r="AT5937" s="1"/>
      <c r="AU5937" s="1"/>
      <c r="AV5937" s="1"/>
      <c r="AW5937" s="1"/>
      <c r="AX5937" s="1"/>
      <c r="AY5937" s="1"/>
      <c r="AZ5937" s="1"/>
      <c r="BA5937" s="1"/>
      <c r="BB5937" s="1"/>
    </row>
    <row r="5938" ht="204.75" customHeight="1">
      <c r="A5938" s="1">
        <v>5272.0</v>
      </c>
      <c r="B5938" s="2" t="s">
        <v>16019</v>
      </c>
      <c r="C5938" s="2">
        <f>IFERROR(__xludf.DUMMYFUNCTION("split(B5938,""_"")"),904.0)</f>
        <v>904</v>
      </c>
      <c r="D5938" s="2" t="str">
        <f>IFERROR(__xludf.DUMMYFUNCTION("""COMPUTED_VALUE"""),"TBS")</f>
        <v>TBS</v>
      </c>
      <c r="E5938" s="2" t="str">
        <f>IFERROR(__xludf.DUMMYFUNCTION("""COMPUTED_VALUE"""),"水21")</f>
        <v>水21</v>
      </c>
      <c r="F5938" s="2" t="s">
        <v>16020</v>
      </c>
      <c r="G5938" s="2" t="s">
        <v>16021</v>
      </c>
      <c r="H5938" s="1">
        <v>1.0</v>
      </c>
      <c r="J5938" s="1" t="s">
        <v>4</v>
      </c>
      <c r="K5938" s="2" t="s">
        <v>16022</v>
      </c>
      <c r="L5938" s="2"/>
      <c r="M5938" s="2" t="str">
        <f>IFERROR(__xludf.DUMMYFUNCTION("split(split(K5938,""【"",false),""公式LINE"",false)"),"「春満開バトル満開」三人の娘たちを嫁がせた製茶業を営む高鍋康介（武田鉄矢）は新茶の茶摘みを待ちわび、妻の聡子（高畑淳子）は康介には内緒で喫茶コーナーを作るべく店の改装計画を進めていた。そんな中、高鍋園にTV番組出演の依頼がきた。はしゃぐ康介だがリポーターのトメさん（福留功男）は店に飾ってある長女・夏萌（山崎静代）の夫で世界的に有名な冬島画伯の絵にばかり関心をよせる。面白くない康介だが、そこに夏萌本人が帰郷して…武田鉄矢　高畑淳子　山崎静代　たくませいこ　本仮屋ユイカ　鈴木悠人　杉田かおる　田中幸太朗　山崎"&amp;"銀之丞　佐藤銀平　児玉絹世　石倉三郎　橋爪功「早春譜」海援隊城之内ミサ清水有生清弘誠  大岡進柳井満TBSテレビ")</f>
        <v>「春満開バトル満開」三人の娘たちを嫁がせた製茶業を営む高鍋康介（武田鉄矢）は新茶の茶摘みを待ちわび、妻の聡子（高畑淳子）は康介には内緒で喫茶コーナーを作るべく店の改装計画を進めていた。そんな中、高鍋園にTV番組出演の依頼がきた。はしゃぐ康介だがリポーターのトメさん（福留功男）は店に飾ってある長女・夏萌（山崎静代）の夫で世界的に有名な冬島画伯の絵にばかり関心をよせる。面白くない康介だが、そこに夏萌本人が帰郷して…武田鉄矢　高畑淳子　山崎静代　たくませいこ　本仮屋ユイカ　鈴木悠人　杉田かおる　田中幸太朗　山崎銀之丞　佐藤銀平　児玉絹世　石倉三郎　橋爪功「早春譜」海援隊城之内ミサ清水有生清弘誠  大岡進柳井満TBSテレビ</v>
      </c>
      <c r="N5938" s="2"/>
      <c r="O5938" s="2"/>
      <c r="P5938" s="1"/>
      <c r="Q5938" s="1"/>
      <c r="R5938" s="1"/>
      <c r="S5938" s="1"/>
      <c r="T5938" s="1"/>
      <c r="U5938" s="1"/>
      <c r="V5938" s="1"/>
      <c r="W5938" s="1"/>
      <c r="X5938" s="1"/>
      <c r="Y5938" s="1"/>
      <c r="Z5938" s="1"/>
      <c r="AA5938" s="1"/>
      <c r="AB5938" s="1"/>
      <c r="AC5938" s="1"/>
      <c r="AD5938" s="1"/>
      <c r="AE5938" s="1"/>
      <c r="AF5938" s="1"/>
      <c r="AG5938" s="1"/>
      <c r="AH5938" s="1"/>
      <c r="AI5938" s="1"/>
      <c r="AJ5938" s="1"/>
      <c r="AK5938" s="1"/>
      <c r="AL5938" s="1"/>
      <c r="AM5938" s="1"/>
      <c r="AN5938" s="1"/>
      <c r="AO5938" s="1"/>
      <c r="AP5938" s="1"/>
      <c r="AQ5938" s="1"/>
      <c r="AR5938" s="1"/>
      <c r="AS5938" s="1"/>
      <c r="AT5938" s="1"/>
      <c r="AU5938" s="1"/>
      <c r="AV5938" s="1"/>
      <c r="AW5938" s="1"/>
      <c r="AX5938" s="1"/>
      <c r="AY5938" s="1"/>
      <c r="AZ5938" s="1"/>
      <c r="BA5938" s="1"/>
      <c r="BB5938" s="1"/>
    </row>
    <row r="5939" ht="204.75" customHeight="1">
      <c r="A5939" s="1">
        <v>5273.0</v>
      </c>
      <c r="B5939" s="2" t="s">
        <v>16019</v>
      </c>
      <c r="C5939" s="2">
        <f>IFERROR(__xludf.DUMMYFUNCTION("split(B5939,""_"")"),904.0)</f>
        <v>904</v>
      </c>
      <c r="D5939" s="2" t="str">
        <f>IFERROR(__xludf.DUMMYFUNCTION("""COMPUTED_VALUE"""),"TBS")</f>
        <v>TBS</v>
      </c>
      <c r="E5939" s="2" t="str">
        <f>IFERROR(__xludf.DUMMYFUNCTION("""COMPUTED_VALUE"""),"水21")</f>
        <v>水21</v>
      </c>
      <c r="F5939" s="2" t="s">
        <v>16020</v>
      </c>
      <c r="G5939" s="2" t="s">
        <v>16021</v>
      </c>
      <c r="H5939" s="1">
        <v>2.0</v>
      </c>
      <c r="J5939" s="1" t="s">
        <v>11</v>
      </c>
      <c r="K5939" s="2" t="s">
        <v>16023</v>
      </c>
      <c r="L5939" s="2"/>
      <c r="M5939" s="2" t="str">
        <f>IFERROR(__xludf.DUMMYFUNCTION("split(split(K5939,""【"",false),""公式LINE"",false)"),"「娘三人全員出戻り？」天才画家・冬島との離婚が原因で戻ってきた長女・夏萌（山崎静代）。店に飾ってある冬島の絵が評判で、お客が急増した事に上機嫌な康介（武田鉄矢）には打明けられない…そんな中、臨月を迎えた次女の八夜子（たくませいこ）も帰郷してきた。康介と聡子（高畑淳子）の口喧嘩に乗じて夏萌はやっと康介に告白するのだが、夏萌に同情する女性陣とは反対に康介は、絶対に離婚は認めないと言い出すのだった…武田鉄矢　高畑淳子　山崎静代　たくませいこ　本仮屋ユイカ　鈴木悠人　杉田かおる　田中幸太朗　山崎銀之丞　佐藤銀平　"&amp;"児玉絹世　石倉三郎　橋爪功「早春譜」海援隊城之内ミサ清水有生清弘誠柳井満TBSテレビ")</f>
        <v>「娘三人全員出戻り？」天才画家・冬島との離婚が原因で戻ってきた長女・夏萌（山崎静代）。店に飾ってある冬島の絵が評判で、お客が急増した事に上機嫌な康介（武田鉄矢）には打明けられない…そんな中、臨月を迎えた次女の八夜子（たくませいこ）も帰郷してきた。康介と聡子（高畑淳子）の口喧嘩に乗じて夏萌はやっと康介に告白するのだが、夏萌に同情する女性陣とは反対に康介は、絶対に離婚は認めないと言い出すのだった…武田鉄矢　高畑淳子　山崎静代　たくませいこ　本仮屋ユイカ　鈴木悠人　杉田かおる　田中幸太朗　山崎銀之丞　佐藤銀平　児玉絹世　石倉三郎　橋爪功「早春譜」海援隊城之内ミサ清水有生清弘誠柳井満TBSテレビ</v>
      </c>
      <c r="N5939" s="2"/>
      <c r="O5939" s="2"/>
      <c r="P5939" s="1"/>
      <c r="Q5939" s="1"/>
      <c r="R5939" s="1"/>
      <c r="S5939" s="1"/>
      <c r="T5939" s="1"/>
      <c r="U5939" s="1"/>
      <c r="V5939" s="1"/>
      <c r="W5939" s="1"/>
      <c r="X5939" s="1"/>
      <c r="Y5939" s="1"/>
      <c r="Z5939" s="1"/>
      <c r="AA5939" s="1"/>
      <c r="AB5939" s="1"/>
      <c r="AC5939" s="1"/>
      <c r="AD5939" s="1"/>
      <c r="AE5939" s="1"/>
      <c r="AF5939" s="1"/>
      <c r="AG5939" s="1"/>
      <c r="AH5939" s="1"/>
      <c r="AI5939" s="1"/>
      <c r="AJ5939" s="1"/>
      <c r="AK5939" s="1"/>
      <c r="AL5939" s="1"/>
      <c r="AM5939" s="1"/>
      <c r="AN5939" s="1"/>
      <c r="AO5939" s="1"/>
      <c r="AP5939" s="1"/>
      <c r="AQ5939" s="1"/>
      <c r="AR5939" s="1"/>
      <c r="AS5939" s="1"/>
      <c r="AT5939" s="1"/>
      <c r="AU5939" s="1"/>
      <c r="AV5939" s="1"/>
      <c r="AW5939" s="1"/>
      <c r="AX5939" s="1"/>
      <c r="AY5939" s="1"/>
      <c r="AZ5939" s="1"/>
      <c r="BA5939" s="1"/>
      <c r="BB5939" s="1"/>
    </row>
    <row r="5940" ht="204.75" customHeight="1">
      <c r="A5940" s="1">
        <v>5274.0</v>
      </c>
      <c r="B5940" s="2" t="s">
        <v>16019</v>
      </c>
      <c r="C5940" s="2">
        <f>IFERROR(__xludf.DUMMYFUNCTION("split(B5940,""_"")"),904.0)</f>
        <v>904</v>
      </c>
      <c r="D5940" s="2" t="str">
        <f>IFERROR(__xludf.DUMMYFUNCTION("""COMPUTED_VALUE"""),"TBS")</f>
        <v>TBS</v>
      </c>
      <c r="E5940" s="2" t="str">
        <f>IFERROR(__xludf.DUMMYFUNCTION("""COMPUTED_VALUE"""),"水21")</f>
        <v>水21</v>
      </c>
      <c r="F5940" s="2" t="s">
        <v>16020</v>
      </c>
      <c r="G5940" s="2" t="s">
        <v>16021</v>
      </c>
      <c r="H5940" s="1">
        <v>3.0</v>
      </c>
      <c r="J5940" s="1" t="s">
        <v>11</v>
      </c>
      <c r="K5940" s="2" t="s">
        <v>16024</v>
      </c>
      <c r="L5940" s="2"/>
      <c r="M5940" s="2" t="str">
        <f>IFERROR(__xludf.DUMMYFUNCTION("split(split(K5940,""【"",false),""公式LINE"",false)"),"「夫婦円満の方程式！」夏萌（山崎静代）の離婚問題が収まり、ほっとしたのも束の間。今度は嫁ぎ先の高松から帰郷していた次女・八夜子（たくませいこ）が高松に戻りたくないと言い出し、康介（武田鉄矢）を悩ますことに！「嫁いだら簡単に実家を頼ってはいけない！」と事あるごとに言い放つ聡子（高畑淳子）を果たして康介は上手く説得できるのか？  一方、隣人・修造（橋爪功）も恋人の典子（杉田かおる）から詰め寄られ、周囲に紹介する事になるが…武田鉄矢　高畑淳子　山崎静代　たくませいこ　本仮屋ユイカ　鈴木悠人　杉田かおる　田中幸太"&amp;"朗　山崎銀之丞　佐藤銀平　児玉絹世　石倉三郎　橋爪功「早春譜」海援隊城之内ミサ清水有生清弘誠  大岡進柳井満TBSテレビ")</f>
        <v>「夫婦円満の方程式！」夏萌（山崎静代）の離婚問題が収まり、ほっとしたのも束の間。今度は嫁ぎ先の高松から帰郷していた次女・八夜子（たくませいこ）が高松に戻りたくないと言い出し、康介（武田鉄矢）を悩ますことに！「嫁いだら簡単に実家を頼ってはいけない！」と事あるごとに言い放つ聡子（高畑淳子）を果たして康介は上手く説得できるのか？  一方、隣人・修造（橋爪功）も恋人の典子（杉田かおる）から詰め寄られ、周囲に紹介する事になるが…武田鉄矢　高畑淳子　山崎静代　たくませいこ　本仮屋ユイカ　鈴木悠人　杉田かおる　田中幸太朗　山崎銀之丞　佐藤銀平　児玉絹世　石倉三郎　橋爪功「早春譜」海援隊城之内ミサ清水有生清弘誠  大岡進柳井満TBSテレビ</v>
      </c>
      <c r="N5940" s="2"/>
      <c r="O5940" s="2"/>
      <c r="P5940" s="1"/>
      <c r="Q5940" s="1"/>
      <c r="R5940" s="1"/>
      <c r="S5940" s="1"/>
      <c r="T5940" s="1"/>
      <c r="U5940" s="1"/>
      <c r="V5940" s="1"/>
      <c r="W5940" s="1"/>
      <c r="X5940" s="1"/>
      <c r="Y5940" s="1"/>
      <c r="Z5940" s="1"/>
      <c r="AA5940" s="1"/>
      <c r="AB5940" s="1"/>
      <c r="AC5940" s="1"/>
      <c r="AD5940" s="1"/>
      <c r="AE5940" s="1"/>
      <c r="AF5940" s="1"/>
      <c r="AG5940" s="1"/>
      <c r="AH5940" s="1"/>
      <c r="AI5940" s="1"/>
      <c r="AJ5940" s="1"/>
      <c r="AK5940" s="1"/>
      <c r="AL5940" s="1"/>
      <c r="AM5940" s="1"/>
      <c r="AN5940" s="1"/>
      <c r="AO5940" s="1"/>
      <c r="AP5940" s="1"/>
      <c r="AQ5940" s="1"/>
      <c r="AR5940" s="1"/>
      <c r="AS5940" s="1"/>
      <c r="AT5940" s="1"/>
      <c r="AU5940" s="1"/>
      <c r="AV5940" s="1"/>
      <c r="AW5940" s="1"/>
      <c r="AX5940" s="1"/>
      <c r="AY5940" s="1"/>
      <c r="AZ5940" s="1"/>
      <c r="BA5940" s="1"/>
      <c r="BB5940" s="1"/>
    </row>
    <row r="5941" ht="204.75" customHeight="1">
      <c r="A5941" s="1">
        <v>5275.0</v>
      </c>
      <c r="B5941" s="2" t="s">
        <v>16019</v>
      </c>
      <c r="C5941" s="2">
        <f>IFERROR(__xludf.DUMMYFUNCTION("split(B5941,""_"")"),904.0)</f>
        <v>904</v>
      </c>
      <c r="D5941" s="2" t="str">
        <f>IFERROR(__xludf.DUMMYFUNCTION("""COMPUTED_VALUE"""),"TBS")</f>
        <v>TBS</v>
      </c>
      <c r="E5941" s="2" t="str">
        <f>IFERROR(__xludf.DUMMYFUNCTION("""COMPUTED_VALUE"""),"水21")</f>
        <v>水21</v>
      </c>
      <c r="F5941" s="2" t="s">
        <v>16020</v>
      </c>
      <c r="G5941" s="2" t="s">
        <v>16021</v>
      </c>
      <c r="H5941" s="1">
        <v>4.0</v>
      </c>
      <c r="J5941" s="1" t="s">
        <v>11</v>
      </c>
      <c r="K5941" s="2" t="s">
        <v>16025</v>
      </c>
      <c r="L5941" s="2"/>
      <c r="M5941" s="2" t="str">
        <f>IFERROR(__xludf.DUMMYFUNCTION("split(split(K5941,""【"",false),""公式LINE"",false)"),"「初孫誕生の長い一日」嫁ぎ先の高松で出産することに納得した八夜子（たくませいこ）が産気づいて大騒ぎとなる高鍋家。ベテラン助産師の米山（佐々木すみ江）が駆けつけて康介（武田鉄矢）の存在をいぶかしがる。実は4人の子供達の出産時に只の一度も立ち会っていなかったのだ。聡子（高畑淳子）の出産にはいつも修造（橋爪功）が傍にいた。今度こそはと自ら陣頭指揮をとると張り切る康介だが、茶摘前の茶畑に害虫が発生したのだ…。武田鉄矢　高畑淳子　山崎静代　たくませいこ　本仮屋ユイカ　鈴木悠人　杉田かおる　田中幸太朗　山崎銀之丞　佐"&amp;"藤銀平　児玉絹世　石倉三郎　橋爪功「早春譜」海援隊城之内ミサ清水有生大岡進柳井満TBSテレビ")</f>
        <v>「初孫誕生の長い一日」嫁ぎ先の高松で出産することに納得した八夜子（たくませいこ）が産気づいて大騒ぎとなる高鍋家。ベテラン助産師の米山（佐々木すみ江）が駆けつけて康介（武田鉄矢）の存在をいぶかしがる。実は4人の子供達の出産時に只の一度も立ち会っていなかったのだ。聡子（高畑淳子）の出産にはいつも修造（橋爪功）が傍にいた。今度こそはと自ら陣頭指揮をとると張り切る康介だが、茶摘前の茶畑に害虫が発生したのだ…。武田鉄矢　高畑淳子　山崎静代　たくませいこ　本仮屋ユイカ　鈴木悠人　杉田かおる　田中幸太朗　山崎銀之丞　佐藤銀平　児玉絹世　石倉三郎　橋爪功「早春譜」海援隊城之内ミサ清水有生大岡進柳井満TBSテレビ</v>
      </c>
      <c r="N5941" s="2"/>
      <c r="O5941" s="2"/>
      <c r="P5941" s="1"/>
      <c r="Q5941" s="1"/>
      <c r="R5941" s="1"/>
      <c r="S5941" s="1"/>
      <c r="T5941" s="1"/>
      <c r="U5941" s="1"/>
      <c r="V5941" s="1"/>
      <c r="W5941" s="1"/>
      <c r="X5941" s="1"/>
      <c r="Y5941" s="1"/>
      <c r="Z5941" s="1"/>
      <c r="AA5941" s="1"/>
      <c r="AB5941" s="1"/>
      <c r="AC5941" s="1"/>
      <c r="AD5941" s="1"/>
      <c r="AE5941" s="1"/>
      <c r="AF5941" s="1"/>
      <c r="AG5941" s="1"/>
      <c r="AH5941" s="1"/>
      <c r="AI5941" s="1"/>
      <c r="AJ5941" s="1"/>
      <c r="AK5941" s="1"/>
      <c r="AL5941" s="1"/>
      <c r="AM5941" s="1"/>
      <c r="AN5941" s="1"/>
      <c r="AO5941" s="1"/>
      <c r="AP5941" s="1"/>
      <c r="AQ5941" s="1"/>
      <c r="AR5941" s="1"/>
      <c r="AS5941" s="1"/>
      <c r="AT5941" s="1"/>
      <c r="AU5941" s="1"/>
      <c r="AV5941" s="1"/>
      <c r="AW5941" s="1"/>
      <c r="AX5941" s="1"/>
      <c r="AY5941" s="1"/>
      <c r="AZ5941" s="1"/>
      <c r="BA5941" s="1"/>
      <c r="BB5941" s="1"/>
    </row>
    <row r="5942" ht="204.75" customHeight="1">
      <c r="A5942" s="1">
        <v>5276.0</v>
      </c>
      <c r="B5942" s="2" t="s">
        <v>16019</v>
      </c>
      <c r="C5942" s="2">
        <f>IFERROR(__xludf.DUMMYFUNCTION("split(B5942,""_"")"),904.0)</f>
        <v>904</v>
      </c>
      <c r="D5942" s="2" t="str">
        <f>IFERROR(__xludf.DUMMYFUNCTION("""COMPUTED_VALUE"""),"TBS")</f>
        <v>TBS</v>
      </c>
      <c r="E5942" s="2" t="str">
        <f>IFERROR(__xludf.DUMMYFUNCTION("""COMPUTED_VALUE"""),"水21")</f>
        <v>水21</v>
      </c>
      <c r="F5942" s="2" t="s">
        <v>16020</v>
      </c>
      <c r="G5942" s="2" t="s">
        <v>16021</v>
      </c>
      <c r="H5942" s="1">
        <v>5.0</v>
      </c>
      <c r="J5942" s="1" t="s">
        <v>11</v>
      </c>
      <c r="K5942" s="2" t="s">
        <v>16026</v>
      </c>
      <c r="L5942" s="2"/>
      <c r="M5942" s="2" t="str">
        <f>IFERROR(__xludf.DUMMYFUNCTION("split(split(K5942,""【"",false),""公式LINE"",false)"),"「現役インタイの危機？」次女・八夜子（たくませいこ）に無事、女の子が産まれ、初孫にデレデレする康介（武田鉄矢）だったが、同じ年の修造（橋爪功）と山崎（石倉三郎）から一人だけ年寄り扱いされ、憮然となる。  康介はそんな自分の気持ちを払拭しようと、評判になっているアイスクリーム店に聡子（高畑淳子）を誘って出かけようとするが、聡子は康介の誘いに乗ってこない。一人店へ出かけると茂（鈴木悠人）の家庭教師である胡桃沢華子と遭遇する…武田鉄矢　高畑淳子　山崎静代　たくませいこ　本仮屋ユイカ　鈴木悠人　杉田かおる　田中幸"&amp;"太朗　山崎銀之丞　佐藤銀平　児玉絹世　石倉三郎　橋爪功「早春譜」海援隊城之内ミサ清水有生清弘誠  大岡進柳井満TBSテレビ")</f>
        <v>「現役インタイの危機？」次女・八夜子（たくませいこ）に無事、女の子が産まれ、初孫にデレデレする康介（武田鉄矢）だったが、同じ年の修造（橋爪功）と山崎（石倉三郎）から一人だけ年寄り扱いされ、憮然となる。  康介はそんな自分の気持ちを払拭しようと、評判になっているアイスクリーム店に聡子（高畑淳子）を誘って出かけようとするが、聡子は康介の誘いに乗ってこない。一人店へ出かけると茂（鈴木悠人）の家庭教師である胡桃沢華子と遭遇する…武田鉄矢　高畑淳子　山崎静代　たくませいこ　本仮屋ユイカ　鈴木悠人　杉田かおる　田中幸太朗　山崎銀之丞　佐藤銀平　児玉絹世　石倉三郎　橋爪功「早春譜」海援隊城之内ミサ清水有生清弘誠  大岡進柳井満TBSテレビ</v>
      </c>
      <c r="N5942" s="2"/>
      <c r="O5942" s="2"/>
      <c r="P5942" s="1"/>
      <c r="Q5942" s="1"/>
      <c r="R5942" s="1"/>
      <c r="S5942" s="1"/>
      <c r="T5942" s="1"/>
      <c r="U5942" s="1"/>
      <c r="V5942" s="1"/>
      <c r="W5942" s="1"/>
      <c r="X5942" s="1"/>
      <c r="Y5942" s="1"/>
      <c r="Z5942" s="1"/>
      <c r="AA5942" s="1"/>
      <c r="AB5942" s="1"/>
      <c r="AC5942" s="1"/>
      <c r="AD5942" s="1"/>
      <c r="AE5942" s="1"/>
      <c r="AF5942" s="1"/>
      <c r="AG5942" s="1"/>
      <c r="AH5942" s="1"/>
      <c r="AI5942" s="1"/>
      <c r="AJ5942" s="1"/>
      <c r="AK5942" s="1"/>
      <c r="AL5942" s="1"/>
      <c r="AM5942" s="1"/>
      <c r="AN5942" s="1"/>
      <c r="AO5942" s="1"/>
      <c r="AP5942" s="1"/>
      <c r="AQ5942" s="1"/>
      <c r="AR5942" s="1"/>
      <c r="AS5942" s="1"/>
      <c r="AT5942" s="1"/>
      <c r="AU5942" s="1"/>
      <c r="AV5942" s="1"/>
      <c r="AW5942" s="1"/>
      <c r="AX5942" s="1"/>
      <c r="AY5942" s="1"/>
      <c r="AZ5942" s="1"/>
      <c r="BA5942" s="1"/>
      <c r="BB5942" s="1"/>
    </row>
    <row r="5943" ht="204.75" customHeight="1">
      <c r="A5943" s="1">
        <v>5277.0</v>
      </c>
      <c r="B5943" s="2" t="s">
        <v>16019</v>
      </c>
      <c r="C5943" s="2">
        <f>IFERROR(__xludf.DUMMYFUNCTION("split(B5943,""_"")"),904.0)</f>
        <v>904</v>
      </c>
      <c r="D5943" s="2" t="str">
        <f>IFERROR(__xludf.DUMMYFUNCTION("""COMPUTED_VALUE"""),"TBS")</f>
        <v>TBS</v>
      </c>
      <c r="E5943" s="2" t="str">
        <f>IFERROR(__xludf.DUMMYFUNCTION("""COMPUTED_VALUE"""),"水21")</f>
        <v>水21</v>
      </c>
      <c r="F5943" s="2" t="s">
        <v>16020</v>
      </c>
      <c r="G5943" s="2" t="s">
        <v>16021</v>
      </c>
      <c r="H5943" s="1">
        <v>6.0</v>
      </c>
      <c r="J5943" s="1" t="s">
        <v>11</v>
      </c>
      <c r="K5943" s="2" t="s">
        <v>16027</v>
      </c>
      <c r="L5943" s="2"/>
      <c r="M5943" s="2" t="str">
        <f>IFERROR(__xludf.DUMMYFUNCTION("split(split(K5943,""【"",false),""公式LINE"",false)"),"「鬼ババ来襲緊急事態」八夜子（たくませいこ）が鬼婆と恐れている兄嫁・多佳子（山口果林）がなんと高松から高鍋家にやって来る!!  八夜子の懸念通り綺麗で優雅な風貌とは裏腹に横暴な要求を突きつける多佳子に康介（武田鉄矢）＆聡子（高畑淳子）ら高鍋家の面々は果たして上手く攻防出来るのか？  一方、同じ頃、隣人・修造（橋詰功）を訪ねてきた若い女の子・千尋（ほしのあき）の出現が高鍋家に思わぬトラブルを巻き起こす!!  武田鉄矢　高畑淳子　山崎静代　たくませいこ　本仮屋ユイカ　鈴木悠人　杉田かおる　田中幸太朗　山崎銀之"&amp;"丞　佐藤銀平　児玉絹世　石倉三郎　橋爪功「早春譜」海援隊城之内ミサ清水有生清弘誠  大岡進柳井満TBSテレビ")</f>
        <v>「鬼ババ来襲緊急事態」八夜子（たくませいこ）が鬼婆と恐れている兄嫁・多佳子（山口果林）がなんと高松から高鍋家にやって来る!!  八夜子の懸念通り綺麗で優雅な風貌とは裏腹に横暴な要求を突きつける多佳子に康介（武田鉄矢）＆聡子（高畑淳子）ら高鍋家の面々は果たして上手く攻防出来るのか？  一方、同じ頃、隣人・修造（橋詰功）を訪ねてきた若い女の子・千尋（ほしのあき）の出現が高鍋家に思わぬトラブルを巻き起こす!!  武田鉄矢　高畑淳子　山崎静代　たくませいこ　本仮屋ユイカ　鈴木悠人　杉田かおる　田中幸太朗　山崎銀之丞　佐藤銀平　児玉絹世　石倉三郎　橋爪功「早春譜」海援隊城之内ミサ清水有生清弘誠  大岡進柳井満TBSテレビ</v>
      </c>
      <c r="N5943" s="2"/>
      <c r="O5943" s="2"/>
      <c r="P5943" s="1"/>
      <c r="Q5943" s="1"/>
      <c r="R5943" s="1"/>
      <c r="S5943" s="1"/>
      <c r="T5943" s="1"/>
      <c r="U5943" s="1"/>
      <c r="V5943" s="1"/>
      <c r="W5943" s="1"/>
      <c r="X5943" s="1"/>
      <c r="Y5943" s="1"/>
      <c r="Z5943" s="1"/>
      <c r="AA5943" s="1"/>
      <c r="AB5943" s="1"/>
      <c r="AC5943" s="1"/>
      <c r="AD5943" s="1"/>
      <c r="AE5943" s="1"/>
      <c r="AF5943" s="1"/>
      <c r="AG5943" s="1"/>
      <c r="AH5943" s="1"/>
      <c r="AI5943" s="1"/>
      <c r="AJ5943" s="1"/>
      <c r="AK5943" s="1"/>
      <c r="AL5943" s="1"/>
      <c r="AM5943" s="1"/>
      <c r="AN5943" s="1"/>
      <c r="AO5943" s="1"/>
      <c r="AP5943" s="1"/>
      <c r="AQ5943" s="1"/>
      <c r="AR5943" s="1"/>
      <c r="AS5943" s="1"/>
      <c r="AT5943" s="1"/>
      <c r="AU5943" s="1"/>
      <c r="AV5943" s="1"/>
      <c r="AW5943" s="1"/>
      <c r="AX5943" s="1"/>
      <c r="AY5943" s="1"/>
      <c r="AZ5943" s="1"/>
      <c r="BA5943" s="1"/>
      <c r="BB5943" s="1"/>
    </row>
    <row r="5944" ht="204.75" customHeight="1">
      <c r="A5944" s="1">
        <v>5278.0</v>
      </c>
      <c r="B5944" s="2" t="s">
        <v>16019</v>
      </c>
      <c r="C5944" s="2">
        <f>IFERROR(__xludf.DUMMYFUNCTION("split(B5944,""_"")"),904.0)</f>
        <v>904</v>
      </c>
      <c r="D5944" s="2" t="str">
        <f>IFERROR(__xludf.DUMMYFUNCTION("""COMPUTED_VALUE"""),"TBS")</f>
        <v>TBS</v>
      </c>
      <c r="E5944" s="2" t="str">
        <f>IFERROR(__xludf.DUMMYFUNCTION("""COMPUTED_VALUE"""),"水21")</f>
        <v>水21</v>
      </c>
      <c r="F5944" s="2" t="s">
        <v>16020</v>
      </c>
      <c r="G5944" s="2" t="s">
        <v>16021</v>
      </c>
      <c r="H5944" s="1">
        <v>7.0</v>
      </c>
      <c r="J5944" s="1" t="s">
        <v>4</v>
      </c>
      <c r="K5944" s="2" t="s">
        <v>16028</v>
      </c>
      <c r="L5944" s="2"/>
      <c r="M5944" s="2" t="str">
        <f>IFERROR(__xludf.DUMMYFUNCTION("split(split(K5944,""【"",false),""公式LINE"",false)"),"「茶畑に恋の花咲く…」妹・若葉（本仮屋ユイカ）の幼馴染で高鍋家に頻繁に出入りしている大輔（田中幸太朗）の大切な思い人が自分だと勘違いした夏萌（山崎静代）。夏萌はすっかり両思いだと思い込み、大輔からの告白を今か今かと待ちわびるのだが、肝心の大輔はどうやら人妻となった若葉に好意を抱いているようで……。果たして夏萌の切ない思いは大輔に通じるのか!!  武田鉄矢　高畑淳子　山崎静代　たくませいこ　本仮屋ユイカ　鈴木悠人　杉田かおる　田中幸太朗　山崎銀之丞　佐藤銀平　児玉絹世　石倉三郎　橋爪功「早春譜」海援隊城之内"&amp;"ミサ清水有生清弘誠  大岡進柳井満TBSテレビ")</f>
        <v>「茶畑に恋の花咲く…」妹・若葉（本仮屋ユイカ）の幼馴染で高鍋家に頻繁に出入りしている大輔（田中幸太朗）の大切な思い人が自分だと勘違いした夏萌（山崎静代）。夏萌はすっかり両思いだと思い込み、大輔からの告白を今か今かと待ちわびるのだが、肝心の大輔はどうやら人妻となった若葉に好意を抱いているようで……。果たして夏萌の切ない思いは大輔に通じるのか!!  武田鉄矢　高畑淳子　山崎静代　たくませいこ　本仮屋ユイカ　鈴木悠人　杉田かおる　田中幸太朗　山崎銀之丞　佐藤銀平　児玉絹世　石倉三郎　橋爪功「早春譜」海援隊城之内ミサ清水有生清弘誠  大岡進柳井満TBSテレビ</v>
      </c>
      <c r="N5944" s="2"/>
      <c r="O5944" s="2"/>
      <c r="P5944" s="1"/>
      <c r="Q5944" s="1"/>
      <c r="R5944" s="1"/>
      <c r="S5944" s="1"/>
      <c r="T5944" s="1"/>
      <c r="U5944" s="1"/>
      <c r="V5944" s="1"/>
      <c r="W5944" s="1"/>
      <c r="X5944" s="1"/>
      <c r="Y5944" s="1"/>
      <c r="Z5944" s="1"/>
      <c r="AA5944" s="1"/>
      <c r="AB5944" s="1"/>
      <c r="AC5944" s="1"/>
      <c r="AD5944" s="1"/>
      <c r="AE5944" s="1"/>
      <c r="AF5944" s="1"/>
      <c r="AG5944" s="1"/>
      <c r="AH5944" s="1"/>
      <c r="AI5944" s="1"/>
      <c r="AJ5944" s="1"/>
      <c r="AK5944" s="1"/>
      <c r="AL5944" s="1"/>
      <c r="AM5944" s="1"/>
      <c r="AN5944" s="1"/>
      <c r="AO5944" s="1"/>
      <c r="AP5944" s="1"/>
      <c r="AQ5944" s="1"/>
      <c r="AR5944" s="1"/>
      <c r="AS5944" s="1"/>
      <c r="AT5944" s="1"/>
      <c r="AU5944" s="1"/>
      <c r="AV5944" s="1"/>
      <c r="AW5944" s="1"/>
      <c r="AX5944" s="1"/>
      <c r="AY5944" s="1"/>
      <c r="AZ5944" s="1"/>
      <c r="BA5944" s="1"/>
      <c r="BB5944" s="1"/>
    </row>
    <row r="5945" ht="204.75" customHeight="1">
      <c r="A5945" s="1">
        <v>5279.0</v>
      </c>
      <c r="B5945" s="2" t="s">
        <v>16019</v>
      </c>
      <c r="C5945" s="2">
        <f>IFERROR(__xludf.DUMMYFUNCTION("split(B5945,""_"")"),904.0)</f>
        <v>904</v>
      </c>
      <c r="D5945" s="2" t="str">
        <f>IFERROR(__xludf.DUMMYFUNCTION("""COMPUTED_VALUE"""),"TBS")</f>
        <v>TBS</v>
      </c>
      <c r="E5945" s="2" t="str">
        <f>IFERROR(__xludf.DUMMYFUNCTION("""COMPUTED_VALUE"""),"水21")</f>
        <v>水21</v>
      </c>
      <c r="F5945" s="2" t="s">
        <v>16020</v>
      </c>
      <c r="G5945" s="2" t="s">
        <v>16021</v>
      </c>
      <c r="H5945" s="1">
        <v>8.0</v>
      </c>
      <c r="J5945" s="1" t="s">
        <v>11</v>
      </c>
      <c r="K5945" s="2" t="s">
        <v>16029</v>
      </c>
      <c r="L5945" s="2"/>
      <c r="M5945" s="2" t="str">
        <f>IFERROR(__xludf.DUMMYFUNCTION("split(split(K5945,""【"",false),""公式LINE"",false)"),"「遂にソノ時が来たか！」ある日近所に住む康介（武田鉄矢）と同じ年頃の同業者が癌で亡くなった。聡子（高畑淳子）から亡くなった同業者が数ヶ月前、お尻からの出血で癌に気が付いたらしいとの話を聞いた康介は葬儀から帰ってきた矢先、おもむいたトイレで自分にも同じような出血症状が現れ大慌てで病院へ駆け込む。診察を受けた康介は医師が他の患者の病状について電話で話しているのを耳にしてしまうのだが、自分の症状を話しているのだと勘違い!?  武田鉄矢　高畑淳子　山崎静代　たくませいこ　本仮屋ユイカ　鈴木悠人　杉田かおる　田中幸"&amp;"太朗　山崎銀之丞　佐藤銀平　児玉絹世　石倉三郎　橋爪功「早春譜」海援隊城之内ミサ清水有生清弘誠  大岡進柳井満TBSテレビ")</f>
        <v>「遂にソノ時が来たか！」ある日近所に住む康介（武田鉄矢）と同じ年頃の同業者が癌で亡くなった。聡子（高畑淳子）から亡くなった同業者が数ヶ月前、お尻からの出血で癌に気が付いたらしいとの話を聞いた康介は葬儀から帰ってきた矢先、おもむいたトイレで自分にも同じような出血症状が現れ大慌てで病院へ駆け込む。診察を受けた康介は医師が他の患者の病状について電話で話しているのを耳にしてしまうのだが、自分の症状を話しているのだと勘違い!?  武田鉄矢　高畑淳子　山崎静代　たくませいこ　本仮屋ユイカ　鈴木悠人　杉田かおる　田中幸太朗　山崎銀之丞　佐藤銀平　児玉絹世　石倉三郎　橋爪功「早春譜」海援隊城之内ミサ清水有生清弘誠  大岡進柳井満TBSテレビ</v>
      </c>
      <c r="N5945" s="2"/>
      <c r="O5945" s="2"/>
      <c r="P5945" s="1"/>
      <c r="Q5945" s="1"/>
      <c r="R5945" s="1"/>
      <c r="S5945" s="1"/>
      <c r="T5945" s="1"/>
      <c r="U5945" s="1"/>
      <c r="V5945" s="1"/>
      <c r="W5945" s="1"/>
      <c r="X5945" s="1"/>
      <c r="Y5945" s="1"/>
      <c r="Z5945" s="1"/>
      <c r="AA5945" s="1"/>
      <c r="AB5945" s="1"/>
      <c r="AC5945" s="1"/>
      <c r="AD5945" s="1"/>
      <c r="AE5945" s="1"/>
      <c r="AF5945" s="1"/>
      <c r="AG5945" s="1"/>
      <c r="AH5945" s="1"/>
      <c r="AI5945" s="1"/>
      <c r="AJ5945" s="1"/>
      <c r="AK5945" s="1"/>
      <c r="AL5945" s="1"/>
      <c r="AM5945" s="1"/>
      <c r="AN5945" s="1"/>
      <c r="AO5945" s="1"/>
      <c r="AP5945" s="1"/>
      <c r="AQ5945" s="1"/>
      <c r="AR5945" s="1"/>
      <c r="AS5945" s="1"/>
      <c r="AT5945" s="1"/>
      <c r="AU5945" s="1"/>
      <c r="AV5945" s="1"/>
      <c r="AW5945" s="1"/>
      <c r="AX5945" s="1"/>
      <c r="AY5945" s="1"/>
      <c r="AZ5945" s="1"/>
      <c r="BA5945" s="1"/>
      <c r="BB5945" s="1"/>
    </row>
    <row r="5946" ht="204.75" customHeight="1">
      <c r="A5946" s="1">
        <v>5280.0</v>
      </c>
      <c r="B5946" s="2" t="s">
        <v>16019</v>
      </c>
      <c r="C5946" s="2">
        <f>IFERROR(__xludf.DUMMYFUNCTION("split(B5946,""_"")"),904.0)</f>
        <v>904</v>
      </c>
      <c r="D5946" s="2" t="str">
        <f>IFERROR(__xludf.DUMMYFUNCTION("""COMPUTED_VALUE"""),"TBS")</f>
        <v>TBS</v>
      </c>
      <c r="E5946" s="2" t="str">
        <f>IFERROR(__xludf.DUMMYFUNCTION("""COMPUTED_VALUE"""),"水21")</f>
        <v>水21</v>
      </c>
      <c r="F5946" s="2" t="s">
        <v>16020</v>
      </c>
      <c r="G5946" s="2" t="s">
        <v>16021</v>
      </c>
      <c r="H5946" s="1">
        <v>9.0</v>
      </c>
      <c r="J5946" s="1" t="s">
        <v>11</v>
      </c>
      <c r="K5946" s="2" t="s">
        <v>16030</v>
      </c>
      <c r="L5946" s="2"/>
      <c r="M5946" s="2" t="str">
        <f>IFERROR(__xludf.DUMMYFUNCTION("split(split(K5946,""【"",false),""公式LINE"",false)"),"「妻の退職金で大騒動！」聡子（高畑淳子）が内緒で掛けていた保険の積み立て金500万円の存在が発覚！  骨董屋に勧められた茶器が欲しい康介（武田鉄矢）、大輔の営業ノルマを助けるためコピー機を買いたい夏萌（山崎静代）、夫の店の再建資金が借りたい八夜子（たくませいこ）、イギリスにいる夫に逢いに行く渡航費が欲しい若葉（本仮屋ユイカ）、家庭教師に誘われた海外旅行に行きたい茂（鈴木悠人）と、家族に500万円の用途を狙われる聡子だが…武田鉄矢　高畑淳子　山崎静代　たくませいこ　本仮屋ユイカ　鈴木悠人　杉田かおる　田中幸"&amp;"太朗　山崎銀之丞　佐藤銀平　児玉絹世　石倉三郎　橋爪功「早春譜」海援隊城之内ミサ清水有生清弘誠  大岡進柳井満TBSテレビ")</f>
        <v>「妻の退職金で大騒動！」聡子（高畑淳子）が内緒で掛けていた保険の積み立て金500万円の存在が発覚！  骨董屋に勧められた茶器が欲しい康介（武田鉄矢）、大輔の営業ノルマを助けるためコピー機を買いたい夏萌（山崎静代）、夫の店の再建資金が借りたい八夜子（たくませいこ）、イギリスにいる夫に逢いに行く渡航費が欲しい若葉（本仮屋ユイカ）、家庭教師に誘われた海外旅行に行きたい茂（鈴木悠人）と、家族に500万円の用途を狙われる聡子だが…武田鉄矢　高畑淳子　山崎静代　たくませいこ　本仮屋ユイカ　鈴木悠人　杉田かおる　田中幸太朗　山崎銀之丞　佐藤銀平　児玉絹世　石倉三郎　橋爪功「早春譜」海援隊城之内ミサ清水有生清弘誠  大岡進柳井満TBSテレビ</v>
      </c>
      <c r="N5946" s="2"/>
      <c r="O5946" s="2"/>
      <c r="P5946" s="1"/>
      <c r="Q5946" s="1"/>
      <c r="R5946" s="1"/>
      <c r="S5946" s="1"/>
      <c r="T5946" s="1"/>
      <c r="U5946" s="1"/>
      <c r="V5946" s="1"/>
      <c r="W5946" s="1"/>
      <c r="X5946" s="1"/>
      <c r="Y5946" s="1"/>
      <c r="Z5946" s="1"/>
      <c r="AA5946" s="1"/>
      <c r="AB5946" s="1"/>
      <c r="AC5946" s="1"/>
      <c r="AD5946" s="1"/>
      <c r="AE5946" s="1"/>
      <c r="AF5946" s="1"/>
      <c r="AG5946" s="1"/>
      <c r="AH5946" s="1"/>
      <c r="AI5946" s="1"/>
      <c r="AJ5946" s="1"/>
      <c r="AK5946" s="1"/>
      <c r="AL5946" s="1"/>
      <c r="AM5946" s="1"/>
      <c r="AN5946" s="1"/>
      <c r="AO5946" s="1"/>
      <c r="AP5946" s="1"/>
      <c r="AQ5946" s="1"/>
      <c r="AR5946" s="1"/>
      <c r="AS5946" s="1"/>
      <c r="AT5946" s="1"/>
      <c r="AU5946" s="1"/>
      <c r="AV5946" s="1"/>
      <c r="AW5946" s="1"/>
      <c r="AX5946" s="1"/>
      <c r="AY5946" s="1"/>
      <c r="AZ5946" s="1"/>
      <c r="BA5946" s="1"/>
      <c r="BB5946" s="1"/>
    </row>
    <row r="5947" ht="204.75" customHeight="1">
      <c r="A5947" s="1">
        <v>5281.0</v>
      </c>
      <c r="B5947" s="2" t="s">
        <v>16019</v>
      </c>
      <c r="C5947" s="2">
        <f>IFERROR(__xludf.DUMMYFUNCTION("split(B5947,""_"")"),904.0)</f>
        <v>904</v>
      </c>
      <c r="D5947" s="2" t="str">
        <f>IFERROR(__xludf.DUMMYFUNCTION("""COMPUTED_VALUE"""),"TBS")</f>
        <v>TBS</v>
      </c>
      <c r="E5947" s="2" t="str">
        <f>IFERROR(__xludf.DUMMYFUNCTION("""COMPUTED_VALUE"""),"水21")</f>
        <v>水21</v>
      </c>
      <c r="F5947" s="2" t="s">
        <v>16020</v>
      </c>
      <c r="G5947" s="2" t="s">
        <v>16021</v>
      </c>
      <c r="H5947" s="1">
        <v>10.0</v>
      </c>
      <c r="J5947" s="1" t="s">
        <v>11</v>
      </c>
      <c r="K5947" s="2" t="s">
        <v>16031</v>
      </c>
      <c r="L5947" s="2"/>
      <c r="M5947" s="2" t="str">
        <f>IFERROR(__xludf.DUMMYFUNCTION("split(split(K5947,""【"",false),""公式LINE"",false)"),"「ノンちゃんの娘出現！」康介（武田鉄矢）と幼い頃から腐れ縁の隣人・修造（橋爪功）がいよいよ恋人の典子（杉田かおる）と結婚を決意する！が、修造が典子にプロポーズした矢先、典子が昔、産み別れた娘のリカが突然、熊本から現れる!!  熊本からわざわざやってきたリカの真意とは??周囲に反抗的な態度を見せるリカに康介、聡子、そして修造、典子はどうするのか??  武田鉄矢　高畑淳子　山崎静代　たくませいこ　本仮屋ユイカ　鈴木悠人　杉田かおる　田中幸太朗　山崎銀之丞　佐藤銀平　児玉絹世　石倉三郎　橋爪功「早春譜」海援隊城"&amp;"之内ミサ清水有生清弘誠  大岡進柳井満TBSテレビ")</f>
        <v>「ノンちゃんの娘出現！」康介（武田鉄矢）と幼い頃から腐れ縁の隣人・修造（橋爪功）がいよいよ恋人の典子（杉田かおる）と結婚を決意する！が、修造が典子にプロポーズした矢先、典子が昔、産み別れた娘のリカが突然、熊本から現れる!!  熊本からわざわざやってきたリカの真意とは??周囲に反抗的な態度を見せるリカに康介、聡子、そして修造、典子はどうするのか??  武田鉄矢　高畑淳子　山崎静代　たくませいこ　本仮屋ユイカ　鈴木悠人　杉田かおる　田中幸太朗　山崎銀之丞　佐藤銀平　児玉絹世　石倉三郎　橋爪功「早春譜」海援隊城之内ミサ清水有生清弘誠  大岡進柳井満TBSテレビ</v>
      </c>
      <c r="N5947" s="2"/>
      <c r="O5947" s="2"/>
      <c r="P5947" s="1"/>
      <c r="Q5947" s="1"/>
      <c r="R5947" s="1"/>
      <c r="S5947" s="1"/>
      <c r="T5947" s="1"/>
      <c r="U5947" s="1"/>
      <c r="V5947" s="1"/>
      <c r="W5947" s="1"/>
      <c r="X5947" s="1"/>
      <c r="Y5947" s="1"/>
      <c r="Z5947" s="1"/>
      <c r="AA5947" s="1"/>
      <c r="AB5947" s="1"/>
      <c r="AC5947" s="1"/>
      <c r="AD5947" s="1"/>
      <c r="AE5947" s="1"/>
      <c r="AF5947" s="1"/>
      <c r="AG5947" s="1"/>
      <c r="AH5947" s="1"/>
      <c r="AI5947" s="1"/>
      <c r="AJ5947" s="1"/>
      <c r="AK5947" s="1"/>
      <c r="AL5947" s="1"/>
      <c r="AM5947" s="1"/>
      <c r="AN5947" s="1"/>
      <c r="AO5947" s="1"/>
      <c r="AP5947" s="1"/>
      <c r="AQ5947" s="1"/>
      <c r="AR5947" s="1"/>
      <c r="AS5947" s="1"/>
      <c r="AT5947" s="1"/>
      <c r="AU5947" s="1"/>
      <c r="AV5947" s="1"/>
      <c r="AW5947" s="1"/>
      <c r="AX5947" s="1"/>
      <c r="AY5947" s="1"/>
      <c r="AZ5947" s="1"/>
      <c r="BA5947" s="1"/>
      <c r="BB5947" s="1"/>
    </row>
    <row r="5948" ht="204.75" customHeight="1">
      <c r="A5948" s="1">
        <v>5282.0</v>
      </c>
      <c r="B5948" s="2" t="s">
        <v>16019</v>
      </c>
      <c r="C5948" s="2">
        <f>IFERROR(__xludf.DUMMYFUNCTION("split(B5948,""_"")"),904.0)</f>
        <v>904</v>
      </c>
      <c r="D5948" s="2" t="str">
        <f>IFERROR(__xludf.DUMMYFUNCTION("""COMPUTED_VALUE"""),"TBS")</f>
        <v>TBS</v>
      </c>
      <c r="E5948" s="2" t="str">
        <f>IFERROR(__xludf.DUMMYFUNCTION("""COMPUTED_VALUE"""),"水21")</f>
        <v>水21</v>
      </c>
      <c r="F5948" s="2" t="s">
        <v>16020</v>
      </c>
      <c r="G5948" s="2" t="s">
        <v>16021</v>
      </c>
      <c r="H5948" s="1">
        <v>11.0</v>
      </c>
      <c r="J5948" s="1" t="s">
        <v>11</v>
      </c>
      <c r="K5948" s="2" t="s">
        <v>16032</v>
      </c>
      <c r="L5948" s="2"/>
      <c r="M5948" s="2" t="str">
        <f>IFERROR(__xludf.DUMMYFUNCTION("split(split(K5948,""【"",false),""公式LINE"",false)"),"典子（杉田かおる）が産み別れた娘リカ（高畑充希）を預かることになった康介（武田鉄矢）と聡子（高畑淳子）。だが、リカは周囲の皆に終始反抗的な態度で康介たちは皆、リカの扱いに手を焼く。そんな中、リカが妊娠していることに気が付いた若葉（本仮屋ユイカ）はそのことを康介と聡子に相談しようとするのだが、その矢先康介がコンクールに出品した手揉み茶がなんと念願の金賞を受賞したとの連絡が入り、話す機会を逸してしまう武田鉄矢　高畑淳子　山崎静代　たくませいこ　本仮屋ユイカ　鈴木悠人　杉田かおる　田中幸太朗　山崎銀之丞　佐藤銀"&amp;"平　児玉絹世　石倉三郎　橋爪功「早春譜」海援隊城之内ミサ清水有生清弘誠  大岡進柳井満TBSテレビ")</f>
        <v>典子（杉田かおる）が産み別れた娘リカ（高畑充希）を預かることになった康介（武田鉄矢）と聡子（高畑淳子）。だが、リカは周囲の皆に終始反抗的な態度で康介たちは皆、リカの扱いに手を焼く。そんな中、リカが妊娠していることに気が付いた若葉（本仮屋ユイカ）はそのことを康介と聡子に相談しようとするのだが、その矢先康介がコンクールに出品した手揉み茶がなんと念願の金賞を受賞したとの連絡が入り、話す機会を逸してしまう武田鉄矢　高畑淳子　山崎静代　たくませいこ　本仮屋ユイカ　鈴木悠人　杉田かおる　田中幸太朗　山崎銀之丞　佐藤銀平　児玉絹世　石倉三郎　橋爪功「早春譜」海援隊城之内ミサ清水有生清弘誠  大岡進柳井満TBSテレビ</v>
      </c>
      <c r="N5948" s="2"/>
      <c r="O5948" s="2"/>
      <c r="P5948" s="1"/>
      <c r="Q5948" s="1"/>
      <c r="R5948" s="1"/>
      <c r="S5948" s="1"/>
      <c r="T5948" s="1"/>
      <c r="U5948" s="1"/>
      <c r="V5948" s="1"/>
      <c r="W5948" s="1"/>
      <c r="X5948" s="1"/>
      <c r="Y5948" s="1"/>
      <c r="Z5948" s="1"/>
      <c r="AA5948" s="1"/>
      <c r="AB5948" s="1"/>
      <c r="AC5948" s="1"/>
      <c r="AD5948" s="1"/>
      <c r="AE5948" s="1"/>
      <c r="AF5948" s="1"/>
      <c r="AG5948" s="1"/>
      <c r="AH5948" s="1"/>
      <c r="AI5948" s="1"/>
      <c r="AJ5948" s="1"/>
      <c r="AK5948" s="1"/>
      <c r="AL5948" s="1"/>
      <c r="AM5948" s="1"/>
      <c r="AN5948" s="1"/>
      <c r="AO5948" s="1"/>
      <c r="AP5948" s="1"/>
      <c r="AQ5948" s="1"/>
      <c r="AR5948" s="1"/>
      <c r="AS5948" s="1"/>
      <c r="AT5948" s="1"/>
      <c r="AU5948" s="1"/>
      <c r="AV5948" s="1"/>
      <c r="AW5948" s="1"/>
      <c r="AX5948" s="1"/>
      <c r="AY5948" s="1"/>
      <c r="AZ5948" s="1"/>
      <c r="BA5948" s="1"/>
      <c r="BB5948" s="1"/>
    </row>
    <row r="5949" ht="204.75" customHeight="1">
      <c r="A5949" s="1">
        <v>5335.0</v>
      </c>
      <c r="B5949" s="2" t="s">
        <v>16033</v>
      </c>
      <c r="C5949" s="2">
        <f>IFERROR(__xludf.DUMMYFUNCTION("split(B5949,""_"")"),904.0)</f>
        <v>904</v>
      </c>
      <c r="D5949" s="2" t="str">
        <f>IFERROR(__xludf.DUMMYFUNCTION("""COMPUTED_VALUE"""),"TBS")</f>
        <v>TBS</v>
      </c>
      <c r="E5949" s="2" t="str">
        <f>IFERROR(__xludf.DUMMYFUNCTION("""COMPUTED_VALUE"""),"金22")</f>
        <v>金22</v>
      </c>
      <c r="F5949" s="2" t="s">
        <v>16034</v>
      </c>
      <c r="G5949" s="2" t="s">
        <v>16035</v>
      </c>
      <c r="H5949" s="1">
        <v>1.0</v>
      </c>
      <c r="J5949" s="1" t="s">
        <v>82</v>
      </c>
      <c r="K5949" s="2" t="s">
        <v>16036</v>
      </c>
      <c r="L5949" s="2"/>
      <c r="M5949" s="2" t="str">
        <f>IFERROR(__xludf.DUMMYFUNCTION("split(split(K5949,""【"",false),""公式LINE"",false)"),"「未来を夢見た男の純愛と正義～笑顔に秘めた真実」早川ビト（松本潤）はフィリピン人と日本人のハーフ。町村宗助（前田吟）のもとレストランを開く夢に向かって仕事に励んでいる。ある日声を出せない少女、三島花（新垣結衣）が万引きを疑われたところを助け、その明るい笑顔に惹かれるビトだったが、その矢先アルバイト先で覚醒剤密売の濡れ衣を着せられる。宗助の娘で弁護士の卵、しおり（小池栄子）は先輩弁護士一馬（中井貴一）に何とかビトを助けるよう頼むのだが・・・。松本潤　新垣結衣　小池栄子　徳山秀典　鈴之助　小栗旬　勝村政信　前"&amp;"田吟　いしだあゆみ　中井貴一　(他)椎名林檎「ありあまる富」石井康晴瀬戸口克陽  高成麻畝子TBSテレビ")</f>
        <v>「未来を夢見た男の純愛と正義～笑顔に秘めた真実」早川ビト（松本潤）はフィリピン人と日本人のハーフ。町村宗助（前田吟）のもとレストランを開く夢に向かって仕事に励んでいる。ある日声を出せない少女、三島花（新垣結衣）が万引きを疑われたところを助け、その明るい笑顔に惹かれるビトだったが、その矢先アルバイト先で覚醒剤密売の濡れ衣を着せられる。宗助の娘で弁護士の卵、しおり（小池栄子）は先輩弁護士一馬（中井貴一）に何とかビトを助けるよう頼むのだが・・・。松本潤　新垣結衣　小池栄子　徳山秀典　鈴之助　小栗旬　勝村政信　前田吟　いしだあゆみ　中井貴一　(他)椎名林檎「ありあまる富」石井康晴瀬戸口克陽  高成麻畝子TBSテレビ</v>
      </c>
      <c r="N5949" s="2"/>
      <c r="O5949" s="2"/>
      <c r="P5949" s="1"/>
      <c r="Q5949" s="1"/>
      <c r="R5949" s="1"/>
      <c r="S5949" s="1"/>
      <c r="T5949" s="1"/>
      <c r="U5949" s="1"/>
      <c r="V5949" s="1"/>
      <c r="W5949" s="1"/>
      <c r="X5949" s="1"/>
      <c r="Y5949" s="1"/>
      <c r="Z5949" s="1"/>
      <c r="AA5949" s="1"/>
      <c r="AB5949" s="1"/>
      <c r="AC5949" s="1"/>
      <c r="AD5949" s="1"/>
      <c r="AE5949" s="1"/>
      <c r="AF5949" s="1"/>
      <c r="AG5949" s="1"/>
      <c r="AH5949" s="1"/>
      <c r="AI5949" s="1"/>
      <c r="AJ5949" s="1"/>
      <c r="AK5949" s="1"/>
      <c r="AL5949" s="1"/>
      <c r="AM5949" s="1"/>
      <c r="AN5949" s="1"/>
      <c r="AO5949" s="1"/>
      <c r="AP5949" s="1"/>
      <c r="AQ5949" s="1"/>
      <c r="AR5949" s="1"/>
      <c r="AS5949" s="1"/>
      <c r="AT5949" s="1"/>
      <c r="AU5949" s="1"/>
      <c r="AV5949" s="1"/>
      <c r="AW5949" s="1"/>
      <c r="AX5949" s="1"/>
      <c r="AY5949" s="1"/>
      <c r="AZ5949" s="1"/>
      <c r="BA5949" s="1"/>
      <c r="BB5949" s="1"/>
    </row>
    <row r="5950" ht="204.75" customHeight="1">
      <c r="A5950" s="1">
        <v>5336.0</v>
      </c>
      <c r="B5950" s="2" t="s">
        <v>16033</v>
      </c>
      <c r="C5950" s="2">
        <f>IFERROR(__xludf.DUMMYFUNCTION("split(B5950,""_"")"),904.0)</f>
        <v>904</v>
      </c>
      <c r="D5950" s="2" t="str">
        <f>IFERROR(__xludf.DUMMYFUNCTION("""COMPUTED_VALUE"""),"TBS")</f>
        <v>TBS</v>
      </c>
      <c r="E5950" s="2" t="str">
        <f>IFERROR(__xludf.DUMMYFUNCTION("""COMPUTED_VALUE"""),"金22")</f>
        <v>金22</v>
      </c>
      <c r="F5950" s="2" t="s">
        <v>16034</v>
      </c>
      <c r="G5950" s="2" t="s">
        <v>16035</v>
      </c>
      <c r="H5950" s="1">
        <v>2.0</v>
      </c>
      <c r="J5950" s="1" t="s">
        <v>86</v>
      </c>
      <c r="K5950" s="2" t="s">
        <v>16037</v>
      </c>
      <c r="L5950" s="2"/>
      <c r="M5950" s="2" t="str">
        <f>IFERROR(__xludf.DUMMYFUNCTION("split(split(K5950,""【"",false),""公式LINE"",false)"),"「アナタは私が救う!!」  覚せい剤所持の疑いをかけられたビトの裁判が始まった。やり手の検察官・北川に対し、ビトの弁護側は新人弁護士のしおりただ一人。町村フーズの家族たちは、一馬に弁護をお願いするが、一馬はなかなか首を縦に振らない。その裏に何か理由があるのではと思うしおりだが、近藤のウソの証言もあいまって、裁判はビトにとって不利な展開に。冤罪成立と思われた時、花が立ち上がる。松本潤　新垣結衣　小池栄子　徳山秀典　鈴之助　甲本雅裕　小栗旬　勝村政信　前田吟　いしだあゆみ　中井貴一　(他)椎名林檎「ありあまる"&amp;"富」石井康晴瀬戸口克陽  高成麻畝子TBSテレビ")</f>
        <v>「アナタは私が救う!!」  覚せい剤所持の疑いをかけられたビトの裁判が始まった。やり手の検察官・北川に対し、ビトの弁護側は新人弁護士のしおりただ一人。町村フーズの家族たちは、一馬に弁護をお願いするが、一馬はなかなか首を縦に振らない。その裏に何か理由があるのではと思うしおりだが、近藤のウソの証言もあいまって、裁判はビトにとって不利な展開に。冤罪成立と思われた時、花が立ち上がる。松本潤　新垣結衣　小池栄子　徳山秀典　鈴之助　甲本雅裕　小栗旬　勝村政信　前田吟　いしだあゆみ　中井貴一　(他)椎名林檎「ありあまる富」石井康晴瀬戸口克陽  高成麻畝子TBSテレビ</v>
      </c>
      <c r="N5950" s="2"/>
      <c r="O5950" s="2"/>
      <c r="P5950" s="1"/>
      <c r="Q5950" s="1"/>
      <c r="R5950" s="1"/>
      <c r="S5950" s="1"/>
      <c r="T5950" s="1"/>
      <c r="U5950" s="1"/>
      <c r="V5950" s="1"/>
      <c r="W5950" s="1"/>
      <c r="X5950" s="1"/>
      <c r="Y5950" s="1"/>
      <c r="Z5950" s="1"/>
      <c r="AA5950" s="1"/>
      <c r="AB5950" s="1"/>
      <c r="AC5950" s="1"/>
      <c r="AD5950" s="1"/>
      <c r="AE5950" s="1"/>
      <c r="AF5950" s="1"/>
      <c r="AG5950" s="1"/>
      <c r="AH5950" s="1"/>
      <c r="AI5950" s="1"/>
      <c r="AJ5950" s="1"/>
      <c r="AK5950" s="1"/>
      <c r="AL5950" s="1"/>
      <c r="AM5950" s="1"/>
      <c r="AN5950" s="1"/>
      <c r="AO5950" s="1"/>
      <c r="AP5950" s="1"/>
      <c r="AQ5950" s="1"/>
      <c r="AR5950" s="1"/>
      <c r="AS5950" s="1"/>
      <c r="AT5950" s="1"/>
      <c r="AU5950" s="1"/>
      <c r="AV5950" s="1"/>
      <c r="AW5950" s="1"/>
      <c r="AX5950" s="1"/>
      <c r="AY5950" s="1"/>
      <c r="AZ5950" s="1"/>
      <c r="BA5950" s="1"/>
      <c r="BB5950" s="1"/>
    </row>
    <row r="5951" ht="204.75" customHeight="1">
      <c r="A5951" s="1">
        <v>5337.0</v>
      </c>
      <c r="B5951" s="2" t="s">
        <v>16033</v>
      </c>
      <c r="C5951" s="2">
        <f>IFERROR(__xludf.DUMMYFUNCTION("split(B5951,""_"")"),904.0)</f>
        <v>904</v>
      </c>
      <c r="D5951" s="2" t="str">
        <f>IFERROR(__xludf.DUMMYFUNCTION("""COMPUTED_VALUE"""),"TBS")</f>
        <v>TBS</v>
      </c>
      <c r="E5951" s="2" t="str">
        <f>IFERROR(__xludf.DUMMYFUNCTION("""COMPUTED_VALUE"""),"金22")</f>
        <v>金22</v>
      </c>
      <c r="F5951" s="2" t="s">
        <v>16034</v>
      </c>
      <c r="G5951" s="2" t="s">
        <v>16035</v>
      </c>
      <c r="H5951" s="1">
        <v>3.0</v>
      </c>
      <c r="J5951" s="1" t="s">
        <v>86</v>
      </c>
      <c r="K5951" s="2" t="s">
        <v>16038</v>
      </c>
      <c r="L5951" s="2"/>
      <c r="M5951" s="2" t="str">
        <f>IFERROR(__xludf.DUMMYFUNCTION("split(split(K5951,""【"",false),""公式LINE"",false)"),"「君の笑顔を避ける理由」ビトの勤める町村フーズの納品先である小学校で集団食中毒事件が発生し、マスコミは大きく取り上げる。その報道番組に、一馬はコメンテーターとして、ついにテレビ番組出演を果たす。積極的に好意を表す花に対して、ビトは嬉しいと思いながらも、小さい頃のある出来事が心の傷となり、素直に気持ちを受け止めることが出来ない。ビトの複雑な気持ちを聞いた一馬は、ある事を告げようとするのだが・・・。松本潤　新垣結衣　小池栄子　徳山秀典　鈴之助　小栗旬　勝村政信　前田吟　いしだあゆみ　中井貴一　(他)椎名林檎「"&amp;"ありあまる富」石井康晴瀬戸口克陽  高成麻畝子TBSテレビ")</f>
        <v>「君の笑顔を避ける理由」ビトの勤める町村フーズの納品先である小学校で集団食中毒事件が発生し、マスコミは大きく取り上げる。その報道番組に、一馬はコメンテーターとして、ついにテレビ番組出演を果たす。積極的に好意を表す花に対して、ビトは嬉しいと思いながらも、小さい頃のある出来事が心の傷となり、素直に気持ちを受け止めることが出来ない。ビトの複雑な気持ちを聞いた一馬は、ある事を告げようとするのだが・・・。松本潤　新垣結衣　小池栄子　徳山秀典　鈴之助　小栗旬　勝村政信　前田吟　いしだあゆみ　中井貴一　(他)椎名林檎「ありあまる富」石井康晴瀬戸口克陽  高成麻畝子TBSテレビ</v>
      </c>
      <c r="N5951" s="2"/>
      <c r="O5951" s="2"/>
      <c r="P5951" s="1"/>
      <c r="Q5951" s="1"/>
      <c r="R5951" s="1"/>
      <c r="S5951" s="1"/>
      <c r="T5951" s="1"/>
      <c r="U5951" s="1"/>
      <c r="V5951" s="1"/>
      <c r="W5951" s="1"/>
      <c r="X5951" s="1"/>
      <c r="Y5951" s="1"/>
      <c r="Z5951" s="1"/>
      <c r="AA5951" s="1"/>
      <c r="AB5951" s="1"/>
      <c r="AC5951" s="1"/>
      <c r="AD5951" s="1"/>
      <c r="AE5951" s="1"/>
      <c r="AF5951" s="1"/>
      <c r="AG5951" s="1"/>
      <c r="AH5951" s="1"/>
      <c r="AI5951" s="1"/>
      <c r="AJ5951" s="1"/>
      <c r="AK5951" s="1"/>
      <c r="AL5951" s="1"/>
      <c r="AM5951" s="1"/>
      <c r="AN5951" s="1"/>
      <c r="AO5951" s="1"/>
      <c r="AP5951" s="1"/>
      <c r="AQ5951" s="1"/>
      <c r="AR5951" s="1"/>
      <c r="AS5951" s="1"/>
      <c r="AT5951" s="1"/>
      <c r="AU5951" s="1"/>
      <c r="AV5951" s="1"/>
      <c r="AW5951" s="1"/>
      <c r="AX5951" s="1"/>
      <c r="AY5951" s="1"/>
      <c r="AZ5951" s="1"/>
      <c r="BA5951" s="1"/>
      <c r="BB5951" s="1"/>
    </row>
    <row r="5952" ht="204.75" customHeight="1">
      <c r="A5952" s="1">
        <v>5338.0</v>
      </c>
      <c r="B5952" s="2" t="s">
        <v>16033</v>
      </c>
      <c r="C5952" s="2">
        <f>IFERROR(__xludf.DUMMYFUNCTION("split(B5952,""_"")"),904.0)</f>
        <v>904</v>
      </c>
      <c r="D5952" s="2" t="str">
        <f>IFERROR(__xludf.DUMMYFUNCTION("""COMPUTED_VALUE"""),"TBS")</f>
        <v>TBS</v>
      </c>
      <c r="E5952" s="2" t="str">
        <f>IFERROR(__xludf.DUMMYFUNCTION("""COMPUTED_VALUE"""),"金22")</f>
        <v>金22</v>
      </c>
      <c r="F5952" s="2" t="s">
        <v>16034</v>
      </c>
      <c r="G5952" s="2" t="s">
        <v>16035</v>
      </c>
      <c r="H5952" s="1">
        <v>4.0</v>
      </c>
      <c r="J5952" s="1" t="s">
        <v>86</v>
      </c>
      <c r="K5952" s="2" t="s">
        <v>16039</v>
      </c>
      <c r="L5952" s="2"/>
      <c r="M5952" s="2" t="str">
        <f>IFERROR(__xludf.DUMMYFUNCTION("split(split(K5952,""【"",false),""公式LINE"",false)"),"「僕が彼女を守る!!」  食中毒事件の原因が、町村フーズのお赤飯だった事が明らかになり、町村フーズに警察の強制捜査が入る。一馬と敵対している北川検事は、宗助を執拗に問い詰めるが、ビトたちを懸命にかばう宗助を見て、無実を確信した一馬が、町村フーズの潔白を晴らすべく立ち上がる。そんな中、報道陣に囲まれた花に異変が…。ビトは、花と親しいスーツの男・相模と直接会い、花の失声症の原因を知り、ある決意を一馬に明かすのだった。松本潤　新垣結衣　小池栄子　徳山秀典　鈴之助　小栗旬　勝村政信　前田吟　いしだあゆみ　中井貴一"&amp;"　(他)椎名林檎「ありあまる富」石井康晴瀬戸口克陽  高成麻畝子TBSテレビ")</f>
        <v>「僕が彼女を守る!!」  食中毒事件の原因が、町村フーズのお赤飯だった事が明らかになり、町村フーズに警察の強制捜査が入る。一馬と敵対している北川検事は、宗助を執拗に問い詰めるが、ビトたちを懸命にかばう宗助を見て、無実を確信した一馬が、町村フーズの潔白を晴らすべく立ち上がる。そんな中、報道陣に囲まれた花に異変が…。ビトは、花と親しいスーツの男・相模と直接会い、花の失声症の原因を知り、ある決意を一馬に明かすのだった。松本潤　新垣結衣　小池栄子　徳山秀典　鈴之助　小栗旬　勝村政信　前田吟　いしだあゆみ　中井貴一　(他)椎名林檎「ありあまる富」石井康晴瀬戸口克陽  高成麻畝子TBSテレビ</v>
      </c>
      <c r="N5952" s="2"/>
      <c r="O5952" s="2"/>
      <c r="P5952" s="1"/>
      <c r="Q5952" s="1"/>
      <c r="R5952" s="1"/>
      <c r="S5952" s="1"/>
      <c r="T5952" s="1"/>
      <c r="U5952" s="1"/>
      <c r="V5952" s="1"/>
      <c r="W5952" s="1"/>
      <c r="X5952" s="1"/>
      <c r="Y5952" s="1"/>
      <c r="Z5952" s="1"/>
      <c r="AA5952" s="1"/>
      <c r="AB5952" s="1"/>
      <c r="AC5952" s="1"/>
      <c r="AD5952" s="1"/>
      <c r="AE5952" s="1"/>
      <c r="AF5952" s="1"/>
      <c r="AG5952" s="1"/>
      <c r="AH5952" s="1"/>
      <c r="AI5952" s="1"/>
      <c r="AJ5952" s="1"/>
      <c r="AK5952" s="1"/>
      <c r="AL5952" s="1"/>
      <c r="AM5952" s="1"/>
      <c r="AN5952" s="1"/>
      <c r="AO5952" s="1"/>
      <c r="AP5952" s="1"/>
      <c r="AQ5952" s="1"/>
      <c r="AR5952" s="1"/>
      <c r="AS5952" s="1"/>
      <c r="AT5952" s="1"/>
      <c r="AU5952" s="1"/>
      <c r="AV5952" s="1"/>
      <c r="AW5952" s="1"/>
      <c r="AX5952" s="1"/>
      <c r="AY5952" s="1"/>
      <c r="AZ5952" s="1"/>
      <c r="BA5952" s="1"/>
      <c r="BB5952" s="1"/>
    </row>
    <row r="5953" ht="204.75" customHeight="1">
      <c r="A5953" s="1">
        <v>5339.0</v>
      </c>
      <c r="B5953" s="2" t="s">
        <v>16033</v>
      </c>
      <c r="C5953" s="2">
        <f>IFERROR(__xludf.DUMMYFUNCTION("split(B5953,""_"")"),904.0)</f>
        <v>904</v>
      </c>
      <c r="D5953" s="2" t="str">
        <f>IFERROR(__xludf.DUMMYFUNCTION("""COMPUTED_VALUE"""),"TBS")</f>
        <v>TBS</v>
      </c>
      <c r="E5953" s="2" t="str">
        <f>IFERROR(__xludf.DUMMYFUNCTION("""COMPUTED_VALUE"""),"金22")</f>
        <v>金22</v>
      </c>
      <c r="F5953" s="2" t="s">
        <v>16034</v>
      </c>
      <c r="G5953" s="2" t="s">
        <v>16035</v>
      </c>
      <c r="H5953" s="1">
        <v>5.0</v>
      </c>
      <c r="J5953" s="1" t="s">
        <v>86</v>
      </c>
      <c r="K5953" s="2" t="s">
        <v>16040</v>
      </c>
      <c r="L5953" s="2"/>
      <c r="M5953" s="2" t="str">
        <f>IFERROR(__xludf.DUMMYFUNCTION("split(split(K5953,""【"",false),""公式LINE"",false)"),"「誕生日にもらった一生の宝物」ビトと再会した林は、ビトを再び悪の道に引きずり込もうとする。そんな様子を見た一馬は、関係を断ち切るようにビトを諭す。一方で、週刊誌に宗助を中傷する記事が掲載され、町村フーズの評判も悪化。町村フーズ絶対絶命の時、宗助がある決意をする。そんな中、町村家ではビトの誕生日パーティが開かれ、つかの間の幸せな時間が訪れる。誕生日を知らなかった花は、翌日とっておきのプレゼントを用意する。そのプレゼントとは？松本潤　新垣結衣　小池栄子　徳山秀典　鈴之助　小栗旬　勝村政信　前田吟　いしだあゆみ"&amp;"　中井貴一　(他)椎名林檎「ありあまる富」石井康晴瀬戸口克陽  高成麻畝子TBSテレビ")</f>
        <v>「誕生日にもらった一生の宝物」ビトと再会した林は、ビトを再び悪の道に引きずり込もうとする。そんな様子を見た一馬は、関係を断ち切るようにビトを諭す。一方で、週刊誌に宗助を中傷する記事が掲載され、町村フーズの評判も悪化。町村フーズ絶対絶命の時、宗助がある決意をする。そんな中、町村家ではビトの誕生日パーティが開かれ、つかの間の幸せな時間が訪れる。誕生日を知らなかった花は、翌日とっておきのプレゼントを用意する。そのプレゼントとは？松本潤　新垣結衣　小池栄子　徳山秀典　鈴之助　小栗旬　勝村政信　前田吟　いしだあゆみ　中井貴一　(他)椎名林檎「ありあまる富」石井康晴瀬戸口克陽  高成麻畝子TBSテレビ</v>
      </c>
      <c r="N5953" s="2"/>
      <c r="O5953" s="2"/>
      <c r="P5953" s="1"/>
      <c r="Q5953" s="1"/>
      <c r="R5953" s="1"/>
      <c r="S5953" s="1"/>
      <c r="T5953" s="1"/>
      <c r="U5953" s="1"/>
      <c r="V5953" s="1"/>
      <c r="W5953" s="1"/>
      <c r="X5953" s="1"/>
      <c r="Y5953" s="1"/>
      <c r="Z5953" s="1"/>
      <c r="AA5953" s="1"/>
      <c r="AB5953" s="1"/>
      <c r="AC5953" s="1"/>
      <c r="AD5953" s="1"/>
      <c r="AE5953" s="1"/>
      <c r="AF5953" s="1"/>
      <c r="AG5953" s="1"/>
      <c r="AH5953" s="1"/>
      <c r="AI5953" s="1"/>
      <c r="AJ5953" s="1"/>
      <c r="AK5953" s="1"/>
      <c r="AL5953" s="1"/>
      <c r="AM5953" s="1"/>
      <c r="AN5953" s="1"/>
      <c r="AO5953" s="1"/>
      <c r="AP5953" s="1"/>
      <c r="AQ5953" s="1"/>
      <c r="AR5953" s="1"/>
      <c r="AS5953" s="1"/>
      <c r="AT5953" s="1"/>
      <c r="AU5953" s="1"/>
      <c r="AV5953" s="1"/>
      <c r="AW5953" s="1"/>
      <c r="AX5953" s="1"/>
      <c r="AY5953" s="1"/>
      <c r="AZ5953" s="1"/>
      <c r="BA5953" s="1"/>
      <c r="BB5953" s="1"/>
    </row>
    <row r="5954" ht="204.75" customHeight="1">
      <c r="A5954" s="1">
        <v>5340.0</v>
      </c>
      <c r="B5954" s="2" t="s">
        <v>16033</v>
      </c>
      <c r="C5954" s="2">
        <f>IFERROR(__xludf.DUMMYFUNCTION("split(B5954,""_"")"),904.0)</f>
        <v>904</v>
      </c>
      <c r="D5954" s="2" t="str">
        <f>IFERROR(__xludf.DUMMYFUNCTION("""COMPUTED_VALUE"""),"TBS")</f>
        <v>TBS</v>
      </c>
      <c r="E5954" s="2" t="str">
        <f>IFERROR(__xludf.DUMMYFUNCTION("""COMPUTED_VALUE"""),"金22")</f>
        <v>金22</v>
      </c>
      <c r="F5954" s="2" t="s">
        <v>16034</v>
      </c>
      <c r="G5954" s="2" t="s">
        <v>16035</v>
      </c>
      <c r="H5954" s="1">
        <v>6.0</v>
      </c>
      <c r="J5954" s="1" t="s">
        <v>86</v>
      </c>
      <c r="K5954" s="2" t="s">
        <v>16041</v>
      </c>
      <c r="L5954" s="2"/>
      <c r="M5954" s="2" t="str">
        <f>IFERROR(__xludf.DUMMYFUNCTION("split(split(K5954,""【"",false),""公式LINE"",false)"),"「僕が社長の無念を晴らす」死んだ宗助の無念を晴らそうと、町村フーズ潔白の証拠を探すビトたち。ビトと花は、宗助を中傷した証言をした、元従業員の美奈子に会いに行く。そこに待っていたのは、ビトが最も恐れている林誠司だった！林を前に動けなくなるビトだが、そこで花が思いもよらぬ行動に！？一馬としおりは、帝国食品に不正告発を考えていた社員・佐原との接触を図るが、なかなか口を割らない。そんな佐原にビトは、思い切って直接交渉に出る！！松本潤　新垣結衣　小池栄子　徳山秀典　鈴之助　小栗旬　勝村政信　前田吟　いしだあゆみ　中"&amp;"井貴一　(他)椎名林檎「ありあまる富」石井康晴瀬戸口克陽  高成麻畝子TBSテレビ")</f>
        <v>「僕が社長の無念を晴らす」死んだ宗助の無念を晴らそうと、町村フーズ潔白の証拠を探すビトたち。ビトと花は、宗助を中傷した証言をした、元従業員の美奈子に会いに行く。そこに待っていたのは、ビトが最も恐れている林誠司だった！林を前に動けなくなるビトだが、そこで花が思いもよらぬ行動に！？一馬としおりは、帝国食品に不正告発を考えていた社員・佐原との接触を図るが、なかなか口を割らない。そんな佐原にビトは、思い切って直接交渉に出る！！松本潤　新垣結衣　小池栄子　徳山秀典　鈴之助　小栗旬　勝村政信　前田吟　いしだあゆみ　中井貴一　(他)椎名林檎「ありあまる富」石井康晴瀬戸口克陽  高成麻畝子TBSテレビ</v>
      </c>
      <c r="N5954" s="2"/>
      <c r="O5954" s="2"/>
      <c r="P5954" s="1"/>
      <c r="Q5954" s="1"/>
      <c r="R5954" s="1"/>
      <c r="S5954" s="1"/>
      <c r="T5954" s="1"/>
      <c r="U5954" s="1"/>
      <c r="V5954" s="1"/>
      <c r="W5954" s="1"/>
      <c r="X5954" s="1"/>
      <c r="Y5954" s="1"/>
      <c r="Z5954" s="1"/>
      <c r="AA5954" s="1"/>
      <c r="AB5954" s="1"/>
      <c r="AC5954" s="1"/>
      <c r="AD5954" s="1"/>
      <c r="AE5954" s="1"/>
      <c r="AF5954" s="1"/>
      <c r="AG5954" s="1"/>
      <c r="AH5954" s="1"/>
      <c r="AI5954" s="1"/>
      <c r="AJ5954" s="1"/>
      <c r="AK5954" s="1"/>
      <c r="AL5954" s="1"/>
      <c r="AM5954" s="1"/>
      <c r="AN5954" s="1"/>
      <c r="AO5954" s="1"/>
      <c r="AP5954" s="1"/>
      <c r="AQ5954" s="1"/>
      <c r="AR5954" s="1"/>
      <c r="AS5954" s="1"/>
      <c r="AT5954" s="1"/>
      <c r="AU5954" s="1"/>
      <c r="AV5954" s="1"/>
      <c r="AW5954" s="1"/>
      <c r="AX5954" s="1"/>
      <c r="AY5954" s="1"/>
      <c r="AZ5954" s="1"/>
      <c r="BA5954" s="1"/>
      <c r="BB5954" s="1"/>
    </row>
    <row r="5955" ht="204.75" customHeight="1">
      <c r="A5955" s="1">
        <v>5341.0</v>
      </c>
      <c r="B5955" s="2" t="s">
        <v>16033</v>
      </c>
      <c r="C5955" s="2">
        <f>IFERROR(__xludf.DUMMYFUNCTION("split(B5955,""_"")"),904.0)</f>
        <v>904</v>
      </c>
      <c r="D5955" s="2" t="str">
        <f>IFERROR(__xludf.DUMMYFUNCTION("""COMPUTED_VALUE"""),"TBS")</f>
        <v>TBS</v>
      </c>
      <c r="E5955" s="2" t="str">
        <f>IFERROR(__xludf.DUMMYFUNCTION("""COMPUTED_VALUE"""),"金22")</f>
        <v>金22</v>
      </c>
      <c r="F5955" s="2" t="s">
        <v>16034</v>
      </c>
      <c r="G5955" s="2" t="s">
        <v>16035</v>
      </c>
      <c r="H5955" s="1">
        <v>7.0</v>
      </c>
      <c r="J5955" s="1" t="s">
        <v>86</v>
      </c>
      <c r="K5955" s="2" t="s">
        <v>16042</v>
      </c>
      <c r="L5955" s="2"/>
      <c r="M5955" s="2" t="str">
        <f>IFERROR(__xludf.DUMMYFUNCTION("split(split(K5955,""【"",false),""公式LINE"",false)"),"「はじめてのキス」林に連れ去られそうになった花だが、間一髪駆けつけたビトと共に逃走。林の危険な行動に、ビトは改めて花を守るために強くなることを決意する。デートの帰り道、帰りたくないという花に、ビトはあるものを見せたいと言う。そのあるものとは!?林と決別したビトたちの前に再び林が現れ、やり直したいと語る。そんな林を信じられない一馬はビトを止めるが、ビトは全てを終わらせるために、林と共に行くのだが…!?  松本潤　新垣結衣　小池栄子　徳山秀典　鈴之助　小栗旬　勝村政信　前田吟　いしだあゆみ　中井貴一　(他)椎"&amp;"名林檎「ありあまる富」石井康晴瀬戸口克陽  高成麻畝子TBSテレビ")</f>
        <v>「はじめてのキス」林に連れ去られそうになった花だが、間一髪駆けつけたビトと共に逃走。林の危険な行動に、ビトは改めて花を守るために強くなることを決意する。デートの帰り道、帰りたくないという花に、ビトはあるものを見せたいと言う。そのあるものとは!?林と決別したビトたちの前に再び林が現れ、やり直したいと語る。そんな林を信じられない一馬はビトを止めるが、ビトは全てを終わらせるために、林と共に行くのだが…!?  松本潤　新垣結衣　小池栄子　徳山秀典　鈴之助　小栗旬　勝村政信　前田吟　いしだあゆみ　中井貴一　(他)椎名林檎「ありあまる富」石井康晴瀬戸口克陽  高成麻畝子TBSテレビ</v>
      </c>
      <c r="N5955" s="2"/>
      <c r="O5955" s="2"/>
      <c r="P5955" s="1"/>
      <c r="Q5955" s="1"/>
      <c r="R5955" s="1"/>
      <c r="S5955" s="1"/>
      <c r="T5955" s="1"/>
      <c r="U5955" s="1"/>
      <c r="V5955" s="1"/>
      <c r="W5955" s="1"/>
      <c r="X5955" s="1"/>
      <c r="Y5955" s="1"/>
      <c r="Z5955" s="1"/>
      <c r="AA5955" s="1"/>
      <c r="AB5955" s="1"/>
      <c r="AC5955" s="1"/>
      <c r="AD5955" s="1"/>
      <c r="AE5955" s="1"/>
      <c r="AF5955" s="1"/>
      <c r="AG5955" s="1"/>
      <c r="AH5955" s="1"/>
      <c r="AI5955" s="1"/>
      <c r="AJ5955" s="1"/>
      <c r="AK5955" s="1"/>
      <c r="AL5955" s="1"/>
      <c r="AM5955" s="1"/>
      <c r="AN5955" s="1"/>
      <c r="AO5955" s="1"/>
      <c r="AP5955" s="1"/>
      <c r="AQ5955" s="1"/>
      <c r="AR5955" s="1"/>
      <c r="AS5955" s="1"/>
      <c r="AT5955" s="1"/>
      <c r="AU5955" s="1"/>
      <c r="AV5955" s="1"/>
      <c r="AW5955" s="1"/>
      <c r="AX5955" s="1"/>
      <c r="AY5955" s="1"/>
      <c r="AZ5955" s="1"/>
      <c r="BA5955" s="1"/>
      <c r="BB5955" s="1"/>
    </row>
    <row r="5956" ht="204.75" customHeight="1">
      <c r="A5956" s="1">
        <v>5342.0</v>
      </c>
      <c r="B5956" s="2" t="s">
        <v>16033</v>
      </c>
      <c r="C5956" s="2">
        <f>IFERROR(__xludf.DUMMYFUNCTION("split(B5956,""_"")"),904.0)</f>
        <v>904</v>
      </c>
      <c r="D5956" s="2" t="str">
        <f>IFERROR(__xludf.DUMMYFUNCTION("""COMPUTED_VALUE"""),"TBS")</f>
        <v>TBS</v>
      </c>
      <c r="E5956" s="2" t="str">
        <f>IFERROR(__xludf.DUMMYFUNCTION("""COMPUTED_VALUE"""),"金22")</f>
        <v>金22</v>
      </c>
      <c r="F5956" s="2" t="s">
        <v>16034</v>
      </c>
      <c r="G5956" s="2" t="s">
        <v>16035</v>
      </c>
      <c r="H5956" s="1">
        <v>8.0</v>
      </c>
      <c r="J5956" s="1" t="s">
        <v>86</v>
      </c>
      <c r="K5956" s="2" t="s">
        <v>16043</v>
      </c>
      <c r="L5956" s="2"/>
      <c r="M5956" s="2" t="str">
        <f>IFERROR(__xludf.DUMMYFUNCTION("split(split(K5956,""【"",false),""公式LINE"",false)"),"本当の笑顔を取り戻す戦い  花を守るため林を殺してしまったビトは、犯してしまった事実からもう元には戻れないと思い、花と共に逃走する。最後にある場所に行きたいと言うビトに、最後じゃないと訴える花。2人が目指す場所、それはビトが花と約束したあの場所だった…。そこに、ビトの行方を探していた一馬からの電話が入る。ビトの居場所が分かった一馬は、しおりと共にビトたちを追う。その後を、ビトを目の敵にしている古瀬刑事がつけていた。松本潤　新垣結衣　小池栄子　徳山秀典　鈴之助　小栗旬　勝村政信　前田吟　いしだあゆみ　中井貴"&amp;"一　(他)椎名林檎「ありあまる富」石井康晴瀬戸口克陽  高成麻畝子TBSテレビ")</f>
        <v>本当の笑顔を取り戻す戦い  花を守るため林を殺してしまったビトは、犯してしまった事実からもう元には戻れないと思い、花と共に逃走する。最後にある場所に行きたいと言うビトに、最後じゃないと訴える花。2人が目指す場所、それはビトが花と約束したあの場所だった…。そこに、ビトの行方を探していた一馬からの電話が入る。ビトの居場所が分かった一馬は、しおりと共にビトたちを追う。その後を、ビトを目の敵にしている古瀬刑事がつけていた。松本潤　新垣結衣　小池栄子　徳山秀典　鈴之助　小栗旬　勝村政信　前田吟　いしだあゆみ　中井貴一　(他)椎名林檎「ありあまる富」石井康晴瀬戸口克陽  高成麻畝子TBSテレビ</v>
      </c>
      <c r="N5956" s="2"/>
      <c r="O5956" s="2"/>
      <c r="P5956" s="1"/>
      <c r="Q5956" s="1"/>
      <c r="R5956" s="1"/>
      <c r="S5956" s="1"/>
      <c r="T5956" s="1"/>
      <c r="U5956" s="1"/>
      <c r="V5956" s="1"/>
      <c r="W5956" s="1"/>
      <c r="X5956" s="1"/>
      <c r="Y5956" s="1"/>
      <c r="Z5956" s="1"/>
      <c r="AA5956" s="1"/>
      <c r="AB5956" s="1"/>
      <c r="AC5956" s="1"/>
      <c r="AD5956" s="1"/>
      <c r="AE5956" s="1"/>
      <c r="AF5956" s="1"/>
      <c r="AG5956" s="1"/>
      <c r="AH5956" s="1"/>
      <c r="AI5956" s="1"/>
      <c r="AJ5956" s="1"/>
      <c r="AK5956" s="1"/>
      <c r="AL5956" s="1"/>
      <c r="AM5956" s="1"/>
      <c r="AN5956" s="1"/>
      <c r="AO5956" s="1"/>
      <c r="AP5956" s="1"/>
      <c r="AQ5956" s="1"/>
      <c r="AR5956" s="1"/>
      <c r="AS5956" s="1"/>
      <c r="AT5956" s="1"/>
      <c r="AU5956" s="1"/>
      <c r="AV5956" s="1"/>
      <c r="AW5956" s="1"/>
      <c r="AX5956" s="1"/>
      <c r="AY5956" s="1"/>
      <c r="AZ5956" s="1"/>
      <c r="BA5956" s="1"/>
      <c r="BB5956" s="1"/>
    </row>
    <row r="5957" ht="204.75" customHeight="1">
      <c r="A5957" s="1">
        <v>5343.0</v>
      </c>
      <c r="B5957" s="2" t="s">
        <v>16033</v>
      </c>
      <c r="C5957" s="2">
        <f>IFERROR(__xludf.DUMMYFUNCTION("split(B5957,""_"")"),904.0)</f>
        <v>904</v>
      </c>
      <c r="D5957" s="2" t="str">
        <f>IFERROR(__xludf.DUMMYFUNCTION("""COMPUTED_VALUE"""),"TBS")</f>
        <v>TBS</v>
      </c>
      <c r="E5957" s="2" t="str">
        <f>IFERROR(__xludf.DUMMYFUNCTION("""COMPUTED_VALUE"""),"金22")</f>
        <v>金22</v>
      </c>
      <c r="F5957" s="2" t="s">
        <v>16034</v>
      </c>
      <c r="G5957" s="2" t="s">
        <v>16035</v>
      </c>
      <c r="H5957" s="1">
        <v>9.0</v>
      </c>
      <c r="J5957" s="1" t="s">
        <v>86</v>
      </c>
      <c r="K5957" s="2" t="s">
        <v>16044</v>
      </c>
      <c r="L5957" s="2"/>
      <c r="M5957" s="2" t="str">
        <f>IFERROR(__xludf.DUMMYFUNCTION("split(split(K5957,""【"",false),""公式LINE"",false)"),"「運命の裁判員裁判はじまる！」極刑か否か。  裁判員制度の下、林殺害の罪に問われるビトの裁判が始まった。マスコミの報道により、裁判員たちにとってビトは残虐な犯罪者であったが、懸命な一馬の弁護により、ビトの人間性と真実が次第に明らかにされていく。そして最終日、花が遂に証言台に立つ。ビトを助けたい花は筆談で証言に望むが、検察官・北川によって歪められたビトの人物像に反論するため、思わぬ行動に出る！？その行動とは!?  松本潤　新垣結衣　小池栄子　徳山秀典　鈴之助　小栗旬　勝村政信　前田吟　いしだあゆみ　中井貴一"&amp;"　(他)椎名林檎「ありあまる富」石井康晴瀬戸口克陽  高成麻畝子TBSテレビ")</f>
        <v>「運命の裁判員裁判はじまる！」極刑か否か。  裁判員制度の下、林殺害の罪に問われるビトの裁判が始まった。マスコミの報道により、裁判員たちにとってビトは残虐な犯罪者であったが、懸命な一馬の弁護により、ビトの人間性と真実が次第に明らかにされていく。そして最終日、花が遂に証言台に立つ。ビトを助けたい花は筆談で証言に望むが、検察官・北川によって歪められたビトの人物像に反論するため、思わぬ行動に出る！？その行動とは!?  松本潤　新垣結衣　小池栄子　徳山秀典　鈴之助　小栗旬　勝村政信　前田吟　いしだあゆみ　中井貴一　(他)椎名林檎「ありあまる富」石井康晴瀬戸口克陽  高成麻畝子TBSテレビ</v>
      </c>
      <c r="N5957" s="2"/>
      <c r="O5957" s="2"/>
      <c r="P5957" s="1"/>
      <c r="Q5957" s="1"/>
      <c r="R5957" s="1"/>
      <c r="S5957" s="1"/>
      <c r="T5957" s="1"/>
      <c r="U5957" s="1"/>
      <c r="V5957" s="1"/>
      <c r="W5957" s="1"/>
      <c r="X5957" s="1"/>
      <c r="Y5957" s="1"/>
      <c r="Z5957" s="1"/>
      <c r="AA5957" s="1"/>
      <c r="AB5957" s="1"/>
      <c r="AC5957" s="1"/>
      <c r="AD5957" s="1"/>
      <c r="AE5957" s="1"/>
      <c r="AF5957" s="1"/>
      <c r="AG5957" s="1"/>
      <c r="AH5957" s="1"/>
      <c r="AI5957" s="1"/>
      <c r="AJ5957" s="1"/>
      <c r="AK5957" s="1"/>
      <c r="AL5957" s="1"/>
      <c r="AM5957" s="1"/>
      <c r="AN5957" s="1"/>
      <c r="AO5957" s="1"/>
      <c r="AP5957" s="1"/>
      <c r="AQ5957" s="1"/>
      <c r="AR5957" s="1"/>
      <c r="AS5957" s="1"/>
      <c r="AT5957" s="1"/>
      <c r="AU5957" s="1"/>
      <c r="AV5957" s="1"/>
      <c r="AW5957" s="1"/>
      <c r="AX5957" s="1"/>
      <c r="AY5957" s="1"/>
      <c r="AZ5957" s="1"/>
      <c r="BA5957" s="1"/>
      <c r="BB5957" s="1"/>
    </row>
    <row r="5958" ht="204.75" customHeight="1">
      <c r="A5958" s="1">
        <v>5344.0</v>
      </c>
      <c r="B5958" s="2" t="s">
        <v>16033</v>
      </c>
      <c r="C5958" s="2">
        <f>IFERROR(__xludf.DUMMYFUNCTION("split(B5958,""_"")"),904.0)</f>
        <v>904</v>
      </c>
      <c r="D5958" s="2" t="str">
        <f>IFERROR(__xludf.DUMMYFUNCTION("""COMPUTED_VALUE"""),"TBS")</f>
        <v>TBS</v>
      </c>
      <c r="E5958" s="2" t="str">
        <f>IFERROR(__xludf.DUMMYFUNCTION("""COMPUTED_VALUE"""),"金22")</f>
        <v>金22</v>
      </c>
      <c r="F5958" s="2" t="s">
        <v>16034</v>
      </c>
      <c r="G5958" s="2" t="s">
        <v>16035</v>
      </c>
      <c r="H5958" s="1">
        <v>10.0</v>
      </c>
      <c r="J5958" s="1" t="s">
        <v>86</v>
      </c>
      <c r="K5958" s="2" t="s">
        <v>16045</v>
      </c>
      <c r="L5958" s="2"/>
      <c r="M5958" s="2" t="str">
        <f>IFERROR(__xludf.DUMMYFUNCTION("split(split(K5958,""【"",false),""公式LINE"",false)"),"「運命が動き出す!!ー判決」北川検察官によって、花の素性が明かされた法廷では、ビトへの不信感が一気に高まる。さらに、林の母親が証人として現れる。殺された息子を思う母の証言は、裁判員たちの同情を誘い、ビト自身にも改めて殺人という重大な罪の意識を背負わせた。花は自分がビトの足を引っ張ったと自分を責める。一馬は最終弁論で事件の正当防衛性を再度訴えるが、分の悪い中、最終評議へ。果たして、ビトの疑いは晴らされるのか!?判決やいかに!?松本潤　新垣結衣　小池栄子　徳山秀典　鈴之助　小栗旬　勝村政信　前田吟　いしだあゆ"&amp;"み　中井貴一　(他)椎名林檎「ありあまる富」石井康晴瀬戸口克陽  高成麻畝子TBSテレビ")</f>
        <v>「運命が動き出す!!ー判決」北川検察官によって、花の素性が明かされた法廷では、ビトへの不信感が一気に高まる。さらに、林の母親が証人として現れる。殺された息子を思う母の証言は、裁判員たちの同情を誘い、ビト自身にも改めて殺人という重大な罪の意識を背負わせた。花は自分がビトの足を引っ張ったと自分を責める。一馬は最終弁論で事件の正当防衛性を再度訴えるが、分の悪い中、最終評議へ。果たして、ビトの疑いは晴らされるのか!?判決やいかに!?松本潤　新垣結衣　小池栄子　徳山秀典　鈴之助　小栗旬　勝村政信　前田吟　いしだあゆみ　中井貴一　(他)椎名林檎「ありあまる富」石井康晴瀬戸口克陽  高成麻畝子TBSテレビ</v>
      </c>
      <c r="N5958" s="2"/>
      <c r="O5958" s="2"/>
      <c r="P5958" s="1"/>
      <c r="Q5958" s="1"/>
      <c r="R5958" s="1"/>
      <c r="S5958" s="1"/>
      <c r="T5958" s="1"/>
      <c r="U5958" s="1"/>
      <c r="V5958" s="1"/>
      <c r="W5958" s="1"/>
      <c r="X5958" s="1"/>
      <c r="Y5958" s="1"/>
      <c r="Z5958" s="1"/>
      <c r="AA5958" s="1"/>
      <c r="AB5958" s="1"/>
      <c r="AC5958" s="1"/>
      <c r="AD5958" s="1"/>
      <c r="AE5958" s="1"/>
      <c r="AF5958" s="1"/>
      <c r="AG5958" s="1"/>
      <c r="AH5958" s="1"/>
      <c r="AI5958" s="1"/>
      <c r="AJ5958" s="1"/>
      <c r="AK5958" s="1"/>
      <c r="AL5958" s="1"/>
      <c r="AM5958" s="1"/>
      <c r="AN5958" s="1"/>
      <c r="AO5958" s="1"/>
      <c r="AP5958" s="1"/>
      <c r="AQ5958" s="1"/>
      <c r="AR5958" s="1"/>
      <c r="AS5958" s="1"/>
      <c r="AT5958" s="1"/>
      <c r="AU5958" s="1"/>
      <c r="AV5958" s="1"/>
      <c r="AW5958" s="1"/>
      <c r="AX5958" s="1"/>
      <c r="AY5958" s="1"/>
      <c r="AZ5958" s="1"/>
      <c r="BA5958" s="1"/>
      <c r="BB5958" s="1"/>
    </row>
    <row r="5959" ht="204.75" customHeight="1">
      <c r="A5959" s="1">
        <v>5345.0</v>
      </c>
      <c r="B5959" s="2" t="s">
        <v>16033</v>
      </c>
      <c r="C5959" s="2">
        <f>IFERROR(__xludf.DUMMYFUNCTION("split(B5959,""_"")"),904.0)</f>
        <v>904</v>
      </c>
      <c r="D5959" s="2" t="str">
        <f>IFERROR(__xludf.DUMMYFUNCTION("""COMPUTED_VALUE"""),"TBS")</f>
        <v>TBS</v>
      </c>
      <c r="E5959" s="2" t="str">
        <f>IFERROR(__xludf.DUMMYFUNCTION("""COMPUTED_VALUE"""),"金22")</f>
        <v>金22</v>
      </c>
      <c r="F5959" s="2" t="s">
        <v>16034</v>
      </c>
      <c r="G5959" s="2" t="s">
        <v>16035</v>
      </c>
      <c r="H5959" s="1">
        <v>11.0</v>
      </c>
      <c r="J5959" s="1" t="s">
        <v>86</v>
      </c>
      <c r="K5959" s="2" t="s">
        <v>16046</v>
      </c>
      <c r="L5959" s="2"/>
      <c r="M5959" s="2" t="str">
        <f>IFERROR(__xludf.DUMMYFUNCTION("split(split(K5959,""【"",false),""公式LINE"",false)"),"「僕らが最後に手にした笑顔」  ビトが死刑を受け入れてから6年後の2015年、いまだ一馬はビトの死刑を覆そうと奮闘していた。ビトを死刑から救うには、林の父親に2000年の事件を冤罪だったと証言させることだが、いまだ居場所は分からない。そこへ、柏木からビトの死刑執行の情報が入る。それを知った花は拘置所に向かう。柏木の機転で6年ぶりの再会を果たすビトと花。花を避けようとするビトに対し、花は二人の出会いの秘密を話す。その秘密とは!?  松本潤　新垣結衣　小池栄子　徳山秀典　鈴之助　小栗旬　勝村政信　前田吟　いし"&amp;"だあゆみ　中井貴一　(他)椎名林檎「ありあまる富」石井康晴瀬戸口克陽  高成麻畝子TBSテレビ")</f>
        <v>「僕らが最後に手にした笑顔」  ビトが死刑を受け入れてから6年後の2015年、いまだ一馬はビトの死刑を覆そうと奮闘していた。ビトを死刑から救うには、林の父親に2000年の事件を冤罪だったと証言させることだが、いまだ居場所は分からない。そこへ、柏木からビトの死刑執行の情報が入る。それを知った花は拘置所に向かう。柏木の機転で6年ぶりの再会を果たすビトと花。花を避けようとするビトに対し、花は二人の出会いの秘密を話す。その秘密とは!?  松本潤　新垣結衣　小池栄子　徳山秀典　鈴之助　小栗旬　勝村政信　前田吟　いしだあゆみ　中井貴一　(他)椎名林檎「ありあまる富」石井康晴瀬戸口克陽  高成麻畝子TBSテレビ</v>
      </c>
      <c r="N5959" s="2"/>
      <c r="O5959" s="2"/>
      <c r="P5959" s="1"/>
      <c r="Q5959" s="1"/>
      <c r="R5959" s="1"/>
      <c r="S5959" s="1"/>
      <c r="T5959" s="1"/>
      <c r="U5959" s="1"/>
      <c r="V5959" s="1"/>
      <c r="W5959" s="1"/>
      <c r="X5959" s="1"/>
      <c r="Y5959" s="1"/>
      <c r="Z5959" s="1"/>
      <c r="AA5959" s="1"/>
      <c r="AB5959" s="1"/>
      <c r="AC5959" s="1"/>
      <c r="AD5959" s="1"/>
      <c r="AE5959" s="1"/>
      <c r="AF5959" s="1"/>
      <c r="AG5959" s="1"/>
      <c r="AH5959" s="1"/>
      <c r="AI5959" s="1"/>
      <c r="AJ5959" s="1"/>
      <c r="AK5959" s="1"/>
      <c r="AL5959" s="1"/>
      <c r="AM5959" s="1"/>
      <c r="AN5959" s="1"/>
      <c r="AO5959" s="1"/>
      <c r="AP5959" s="1"/>
      <c r="AQ5959" s="1"/>
      <c r="AR5959" s="1"/>
      <c r="AS5959" s="1"/>
      <c r="AT5959" s="1"/>
      <c r="AU5959" s="1"/>
      <c r="AV5959" s="1"/>
      <c r="AW5959" s="1"/>
      <c r="AX5959" s="1"/>
      <c r="AY5959" s="1"/>
      <c r="AZ5959" s="1"/>
      <c r="BA5959" s="1"/>
      <c r="BB5959" s="1"/>
    </row>
    <row r="5960" ht="204.75" customHeight="1">
      <c r="A5960" s="1">
        <v>5356.0</v>
      </c>
      <c r="B5960" s="2" t="s">
        <v>16047</v>
      </c>
      <c r="C5960" s="2">
        <f>IFERROR(__xludf.DUMMYFUNCTION("split(B5960,""_"")"),904.0)</f>
        <v>904</v>
      </c>
      <c r="D5960" s="2" t="str">
        <f>IFERROR(__xludf.DUMMYFUNCTION("""COMPUTED_VALUE"""),"TBS")</f>
        <v>TBS</v>
      </c>
      <c r="E5960" s="2" t="str">
        <f>IFERROR(__xludf.DUMMYFUNCTION("""COMPUTED_VALUE"""),"土20")</f>
        <v>土20</v>
      </c>
      <c r="F5960" s="2" t="s">
        <v>16048</v>
      </c>
      <c r="G5960" s="2" t="s">
        <v>16049</v>
      </c>
      <c r="H5960" s="1">
        <v>1.0</v>
      </c>
      <c r="J5960" s="1" t="s">
        <v>2809</v>
      </c>
      <c r="K5960" s="2" t="s">
        <v>16050</v>
      </c>
      <c r="L5960" s="2"/>
      <c r="M5960" s="2" t="str">
        <f>IFERROR(__xludf.DUMMYFUNCTION("split(split(K5960,""【"",false),""公式LINE"",false)"),"「航空機墜落!!天才医師が挑む奇跡の大手術の物語が今、始まる」名医揃いの病院に赴任した新人外科医・真東輝。ドジぶりに周囲は手を焼く。  そんな中、鉄筋が刺さった少女を搬送されてきた！  生命の灯が消えようとしたとき、輝の胸が疼き、覚醒した！  「この生命、救ってみせる！」平岡祐太、水川あさみ、村川絵梨、荒木宏文、中林大樹、長谷川朝晴、宮地雅子、朝倉あき、林丹丹、八神蓮、大久保麻理子、綾那、寺脇康文（特別出演）、要潤（友情出演）、小林隆、別所哲也、渡部篤郎遠田孝一  清水真由美MMJ  TBS  http:"&amp;"//www.tbs.co.jp/god-teru/")</f>
        <v>「航空機墜落!!天才医師が挑む奇跡の大手術の物語が今、始まる」名医揃いの病院に赴任した新人外科医・真東輝。ドジぶりに周囲は手を焼く。  そんな中、鉄筋が刺さった少女を搬送されてきた！  生命の灯が消えようとしたとき、輝の胸が疼き、覚醒した！  「この生命、救ってみせる！」平岡祐太、水川あさみ、村川絵梨、荒木宏文、中林大樹、長谷川朝晴、宮地雅子、朝倉あき、林丹丹、八神蓮、大久保麻理子、綾那、寺脇康文（特別出演）、要潤（友情出演）、小林隆、別所哲也、渡部篤郎遠田孝一  清水真由美MMJ  TBS  http://www.tbs.co.jp/god-teru/</v>
      </c>
      <c r="N5960" s="2"/>
      <c r="O5960" s="2"/>
      <c r="P5960" s="1"/>
      <c r="Q5960" s="1"/>
      <c r="R5960" s="1"/>
      <c r="S5960" s="1"/>
      <c r="T5960" s="1"/>
      <c r="U5960" s="1"/>
      <c r="V5960" s="1"/>
      <c r="W5960" s="1"/>
      <c r="X5960" s="1"/>
      <c r="Y5960" s="1"/>
      <c r="Z5960" s="1"/>
      <c r="AA5960" s="1"/>
      <c r="AB5960" s="1"/>
      <c r="AC5960" s="1"/>
      <c r="AD5960" s="1"/>
      <c r="AE5960" s="1"/>
      <c r="AF5960" s="1"/>
      <c r="AG5960" s="1"/>
      <c r="AH5960" s="1"/>
      <c r="AI5960" s="1"/>
      <c r="AJ5960" s="1"/>
      <c r="AK5960" s="1"/>
      <c r="AL5960" s="1"/>
      <c r="AM5960" s="1"/>
      <c r="AN5960" s="1"/>
      <c r="AO5960" s="1"/>
      <c r="AP5960" s="1"/>
      <c r="AQ5960" s="1"/>
      <c r="AR5960" s="1"/>
      <c r="AS5960" s="1"/>
      <c r="AT5960" s="1"/>
      <c r="AU5960" s="1"/>
      <c r="AV5960" s="1"/>
      <c r="AW5960" s="1"/>
      <c r="AX5960" s="1"/>
      <c r="AY5960" s="1"/>
      <c r="AZ5960" s="1"/>
      <c r="BA5960" s="1"/>
      <c r="BB5960" s="1"/>
    </row>
    <row r="5961" ht="204.75" customHeight="1">
      <c r="A5961" s="1">
        <v>5357.0</v>
      </c>
      <c r="B5961" s="2" t="s">
        <v>16047</v>
      </c>
      <c r="C5961" s="2">
        <f>IFERROR(__xludf.DUMMYFUNCTION("split(B5961,""_"")"),904.0)</f>
        <v>904</v>
      </c>
      <c r="D5961" s="2" t="str">
        <f>IFERROR(__xludf.DUMMYFUNCTION("""COMPUTED_VALUE"""),"TBS")</f>
        <v>TBS</v>
      </c>
      <c r="E5961" s="2" t="str">
        <f>IFERROR(__xludf.DUMMYFUNCTION("""COMPUTED_VALUE"""),"土20")</f>
        <v>土20</v>
      </c>
      <c r="F5961" s="2" t="s">
        <v>16048</v>
      </c>
      <c r="G5961" s="2" t="s">
        <v>16049</v>
      </c>
      <c r="H5961" s="1">
        <v>2.0</v>
      </c>
      <c r="J5961" s="1" t="s">
        <v>2809</v>
      </c>
      <c r="K5961" s="2" t="s">
        <v>16051</v>
      </c>
      <c r="L5961" s="2"/>
      <c r="M5961" s="2" t="str">
        <f>IFERROR(__xludf.DUMMYFUNCTION("split(split(K5961,""【"",false),""公式LINE"",false)"),"「散弾銃暴発!!死までのリミット残り10分!!新米天才医師解雇!?」  新人外科医・真東輝。  一度みせた、神がかった手術の面影は全くみられず、指導医である北見の手術にも立ち会うチャンスをもらうが、ドジをしてばかり。  そんななか、バイクとの接触事故で高校生が急患で運ばれてきた！  だが、輝はその手術の途中、突然抜け出してしまう。誰もが唖然とした輝の行動に北見はクビを宣告する。  輝の取った行動に隠された真の思いは！？そして、患者の命は！？平岡祐太、水川あさみ、村川絵梨、荒木宏文、中林大樹、長谷川朝晴、宮"&amp;"地雅子、朝倉あき、林丹丹、八神蓮、大久保麻理子、綾那、寺脇康文（特別出演）、要潤（友情出演）、小林隆、別所哲也、渡部篤郎遠田孝一  清水真由美MMJ  TBS  http://www.tbs.co.jp/god-teru/")</f>
        <v>「散弾銃暴発!!死までのリミット残り10分!!新米天才医師解雇!?」  新人外科医・真東輝。  一度みせた、神がかった手術の面影は全くみられず、指導医である北見の手術にも立ち会うチャンスをもらうが、ドジをしてばかり。  そんななか、バイクとの接触事故で高校生が急患で運ばれてきた！  だが、輝はその手術の途中、突然抜け出してしまう。誰もが唖然とした輝の行動に北見はクビを宣告する。  輝の取った行動に隠された真の思いは！？そして、患者の命は！？平岡祐太、水川あさみ、村川絵梨、荒木宏文、中林大樹、長谷川朝晴、宮地雅子、朝倉あき、林丹丹、八神蓮、大久保麻理子、綾那、寺脇康文（特別出演）、要潤（友情出演）、小林隆、別所哲也、渡部篤郎遠田孝一  清水真由美MMJ  TBS  http://www.tbs.co.jp/god-teru/</v>
      </c>
      <c r="N5961" s="2"/>
      <c r="O5961" s="2"/>
      <c r="P5961" s="1"/>
      <c r="Q5961" s="1"/>
      <c r="R5961" s="1"/>
      <c r="S5961" s="1"/>
      <c r="T5961" s="1"/>
      <c r="U5961" s="1"/>
      <c r="V5961" s="1"/>
      <c r="W5961" s="1"/>
      <c r="X5961" s="1"/>
      <c r="Y5961" s="1"/>
      <c r="Z5961" s="1"/>
      <c r="AA5961" s="1"/>
      <c r="AB5961" s="1"/>
      <c r="AC5961" s="1"/>
      <c r="AD5961" s="1"/>
      <c r="AE5961" s="1"/>
      <c r="AF5961" s="1"/>
      <c r="AG5961" s="1"/>
      <c r="AH5961" s="1"/>
      <c r="AI5961" s="1"/>
      <c r="AJ5961" s="1"/>
      <c r="AK5961" s="1"/>
      <c r="AL5961" s="1"/>
      <c r="AM5961" s="1"/>
      <c r="AN5961" s="1"/>
      <c r="AO5961" s="1"/>
      <c r="AP5961" s="1"/>
      <c r="AQ5961" s="1"/>
      <c r="AR5961" s="1"/>
      <c r="AS5961" s="1"/>
      <c r="AT5961" s="1"/>
      <c r="AU5961" s="1"/>
      <c r="AV5961" s="1"/>
      <c r="AW5961" s="1"/>
      <c r="AX5961" s="1"/>
      <c r="AY5961" s="1"/>
      <c r="AZ5961" s="1"/>
      <c r="BA5961" s="1"/>
      <c r="BB5961" s="1"/>
    </row>
    <row r="5962" ht="204.75" customHeight="1">
      <c r="A5962" s="1">
        <v>5358.0</v>
      </c>
      <c r="B5962" s="2" t="s">
        <v>16047</v>
      </c>
      <c r="C5962" s="2">
        <f>IFERROR(__xludf.DUMMYFUNCTION("split(B5962,""_"")"),904.0)</f>
        <v>904</v>
      </c>
      <c r="D5962" s="2" t="str">
        <f>IFERROR(__xludf.DUMMYFUNCTION("""COMPUTED_VALUE"""),"TBS")</f>
        <v>TBS</v>
      </c>
      <c r="E5962" s="2" t="str">
        <f>IFERROR(__xludf.DUMMYFUNCTION("""COMPUTED_VALUE"""),"土20")</f>
        <v>土20</v>
      </c>
      <c r="F5962" s="2" t="s">
        <v>16048</v>
      </c>
      <c r="G5962" s="2" t="s">
        <v>16049</v>
      </c>
      <c r="H5962" s="1">
        <v>3.0</v>
      </c>
      <c r="J5962" s="1" t="s">
        <v>2809</v>
      </c>
      <c r="K5962" s="2" t="s">
        <v>16052</v>
      </c>
      <c r="L5962" s="2"/>
      <c r="M5962" s="2" t="str">
        <f>IFERROR(__xludf.DUMMYFUNCTION("split(split(K5962,""【"",false),""公式LINE"",false)"),"「手術室に暴漢乱入!!親指切断!?絶体絶命の天才球児に秘められた悲しい過去」ライバルの2人がついに直接対決！  外科医は技術がすべてと言い切る四宮梢（水川あさみ）に対し、患者さんとの2人3脚の医療をめざす真東輝（平岡祐太）。  甲子園のスター矢口稔彦選手（佐野和真）が右手親指に悪性腫瘍ができたため、ヴァルハラに入院してきた。担当になった梢は、“切断”という結論を下す。  それは矢口選手の選手生命がおわることを意味していた。納得がいかない輝だったが、助手として、梢のフォローにまわることになった。  そして手"&amp;"術当日。予想だにしない出来事がおこる。  覆面の男が手術室に乱入！梢を人質にとって、立てこもった！  騒然とする手術室。成す術がない輝。  はたして、矢口選手の運命は！？平岡祐太、水川あさみ、村川絵梨、荒木宏文、中林大樹、長谷川朝晴、宮地雅子、朝倉あき、林丹丹、八神蓮、大久保麻理子、綾那、寺脇康文（特別出演）、要潤（友情出演）、小林隆、別所哲也、渡部篤郎遠田孝一  清水真由美MMJ  TBS  http://www.tbs.co.jp/god-teru/")</f>
        <v>「手術室に暴漢乱入!!親指切断!?絶体絶命の天才球児に秘められた悲しい過去」ライバルの2人がついに直接対決！  外科医は技術がすべてと言い切る四宮梢（水川あさみ）に対し、患者さんとの2人3脚の医療をめざす真東輝（平岡祐太）。  甲子園のスター矢口稔彦選手（佐野和真）が右手親指に悪性腫瘍ができたため、ヴァルハラに入院してきた。担当になった梢は、“切断”という結論を下す。  それは矢口選手の選手生命がおわることを意味していた。納得がいかない輝だったが、助手として、梢のフォローにまわることになった。  そして手術当日。予想だにしない出来事がおこる。  覆面の男が手術室に乱入！梢を人質にとって、立てこもった！  騒然とする手術室。成す術がない輝。  はたして、矢口選手の運命は！？平岡祐太、水川あさみ、村川絵梨、荒木宏文、中林大樹、長谷川朝晴、宮地雅子、朝倉あき、林丹丹、八神蓮、大久保麻理子、綾那、寺脇康文（特別出演）、要潤（友情出演）、小林隆、別所哲也、渡部篤郎遠田孝一  清水真由美MMJ  TBS  http://www.tbs.co.jp/god-teru/</v>
      </c>
      <c r="N5962" s="2"/>
      <c r="O5962" s="2"/>
      <c r="P5962" s="1"/>
      <c r="Q5962" s="1"/>
      <c r="R5962" s="1"/>
      <c r="S5962" s="1"/>
      <c r="T5962" s="1"/>
      <c r="U5962" s="1"/>
      <c r="V5962" s="1"/>
      <c r="W5962" s="1"/>
      <c r="X5962" s="1"/>
      <c r="Y5962" s="1"/>
      <c r="Z5962" s="1"/>
      <c r="AA5962" s="1"/>
      <c r="AB5962" s="1"/>
      <c r="AC5962" s="1"/>
      <c r="AD5962" s="1"/>
      <c r="AE5962" s="1"/>
      <c r="AF5962" s="1"/>
      <c r="AG5962" s="1"/>
      <c r="AH5962" s="1"/>
      <c r="AI5962" s="1"/>
      <c r="AJ5962" s="1"/>
      <c r="AK5962" s="1"/>
      <c r="AL5962" s="1"/>
      <c r="AM5962" s="1"/>
      <c r="AN5962" s="1"/>
      <c r="AO5962" s="1"/>
      <c r="AP5962" s="1"/>
      <c r="AQ5962" s="1"/>
      <c r="AR5962" s="1"/>
      <c r="AS5962" s="1"/>
      <c r="AT5962" s="1"/>
      <c r="AU5962" s="1"/>
      <c r="AV5962" s="1"/>
      <c r="AW5962" s="1"/>
      <c r="AX5962" s="1"/>
      <c r="AY5962" s="1"/>
      <c r="AZ5962" s="1"/>
      <c r="BA5962" s="1"/>
      <c r="BB5962" s="1"/>
    </row>
    <row r="5963" ht="204.75" customHeight="1">
      <c r="A5963" s="1">
        <v>5359.0</v>
      </c>
      <c r="B5963" s="2" t="s">
        <v>16047</v>
      </c>
      <c r="C5963" s="2">
        <f>IFERROR(__xludf.DUMMYFUNCTION("split(B5963,""_"")"),904.0)</f>
        <v>904</v>
      </c>
      <c r="D5963" s="2" t="str">
        <f>IFERROR(__xludf.DUMMYFUNCTION("""COMPUTED_VALUE"""),"TBS")</f>
        <v>TBS</v>
      </c>
      <c r="E5963" s="2" t="str">
        <f>IFERROR(__xludf.DUMMYFUNCTION("""COMPUTED_VALUE"""),"土20")</f>
        <v>土20</v>
      </c>
      <c r="F5963" s="2" t="s">
        <v>16048</v>
      </c>
      <c r="G5963" s="2" t="s">
        <v>16049</v>
      </c>
      <c r="H5963" s="1">
        <v>4.0</v>
      </c>
      <c r="J5963" s="1" t="s">
        <v>2809</v>
      </c>
      <c r="K5963" s="2" t="s">
        <v>16053</v>
      </c>
      <c r="L5963" s="2"/>
      <c r="M5963" s="2" t="str">
        <f>IFERROR(__xludf.DUMMYFUNCTION("split(split(K5963,""【"",false),""公式LINE"",false)"),"「母と子の命を救え！前代未聞の難手術に挑むもう1人のゴッドハンド!!」  輝（平岡祐太）は通りがかりにお腹をおさえて痛がっている男の子を見つけ、異変を察知し、緊急手術を行った。  輝の予想通り内臓破裂をおこしていたが、梢（水川あさみ）や北見（別所哲也）の協力のもと、無事一命を取り留めた。  後日、その子の父親の有名ゲームクリエイター皇稜斗（高嶋政宏）のはからいで制作現場に招かれている時、妊娠中の皇の妻・聡子が倒れたとの連絡が入った。聡子は軽い貧血だけだったが、その後の検査で胎児の心臓の弁が閉じていることが"&amp;"判明する。このままでは生きて産まれてくることはない…。  打つ手がないと誰もが諦めたとき、輝は、突拍子もない提案をする！  ただ、難易度はあまりにも高く、母体、胎児とも助かるかどうかという際どい輝の提案だったが、安田院長（渡部篤郎）が自ら執刀することになった！  「黄金の左手」の異名をもつ安田の手に2つの生命の運命が委ねられた!高嶋政宏平岡祐太、水川あさみ、村川絵梨、荒木宏文、中林大樹、長谷川朝晴、宮地雅子、朝倉あき、林丹丹、八神蓮、大久保麻理子、綾那、寺脇康文（特別出演）、要潤（友情出演）、小林隆、別所"&amp;"哲也、渡部篤郎遠田孝一  清水真由美MMJ  TBS  http://www.tbs.co.jp/god-teru/")</f>
        <v>「母と子の命を救え！前代未聞の難手術に挑むもう1人のゴッドハンド!!」  輝（平岡祐太）は通りがかりにお腹をおさえて痛がっている男の子を見つけ、異変を察知し、緊急手術を行った。  輝の予想通り内臓破裂をおこしていたが、梢（水川あさみ）や北見（別所哲也）の協力のもと、無事一命を取り留めた。  後日、その子の父親の有名ゲームクリエイター皇稜斗（高嶋政宏）のはからいで制作現場に招かれている時、妊娠中の皇の妻・聡子が倒れたとの連絡が入った。聡子は軽い貧血だけだったが、その後の検査で胎児の心臓の弁が閉じていることが判明する。このままでは生きて産まれてくることはない…。  打つ手がないと誰もが諦めたとき、輝は、突拍子もない提案をする！  ただ、難易度はあまりにも高く、母体、胎児とも助かるかどうかという際どい輝の提案だったが、安田院長（渡部篤郎）が自ら執刀することになった！  「黄金の左手」の異名をもつ安田の手に2つの生命の運命が委ねられた!高嶋政宏平岡祐太、水川あさみ、村川絵梨、荒木宏文、中林大樹、長谷川朝晴、宮地雅子、朝倉あき、林丹丹、八神蓮、大久保麻理子、綾那、寺脇康文（特別出演）、要潤（友情出演）、小林隆、別所哲也、渡部篤郎遠田孝一  清水真由美MMJ  TBS  http://www.tbs.co.jp/god-teru/</v>
      </c>
      <c r="N5963" s="2"/>
      <c r="O5963" s="2"/>
      <c r="P5963" s="1"/>
      <c r="Q5963" s="1"/>
      <c r="R5963" s="1"/>
      <c r="S5963" s="1"/>
      <c r="T5963" s="1"/>
      <c r="U5963" s="1"/>
      <c r="V5963" s="1"/>
      <c r="W5963" s="1"/>
      <c r="X5963" s="1"/>
      <c r="Y5963" s="1"/>
      <c r="Z5963" s="1"/>
      <c r="AA5963" s="1"/>
      <c r="AB5963" s="1"/>
      <c r="AC5963" s="1"/>
      <c r="AD5963" s="1"/>
      <c r="AE5963" s="1"/>
      <c r="AF5963" s="1"/>
      <c r="AG5963" s="1"/>
      <c r="AH5963" s="1"/>
      <c r="AI5963" s="1"/>
      <c r="AJ5963" s="1"/>
      <c r="AK5963" s="1"/>
      <c r="AL5963" s="1"/>
      <c r="AM5963" s="1"/>
      <c r="AN5963" s="1"/>
      <c r="AO5963" s="1"/>
      <c r="AP5963" s="1"/>
      <c r="AQ5963" s="1"/>
      <c r="AR5963" s="1"/>
      <c r="AS5963" s="1"/>
      <c r="AT5963" s="1"/>
      <c r="AU5963" s="1"/>
      <c r="AV5963" s="1"/>
      <c r="AW5963" s="1"/>
      <c r="AX5963" s="1"/>
      <c r="AY5963" s="1"/>
      <c r="AZ5963" s="1"/>
      <c r="BA5963" s="1"/>
      <c r="BB5963" s="1"/>
    </row>
    <row r="5964" ht="204.75" customHeight="1">
      <c r="A5964" s="1">
        <v>5360.0</v>
      </c>
      <c r="B5964" s="2" t="s">
        <v>16047</v>
      </c>
      <c r="C5964" s="2">
        <f>IFERROR(__xludf.DUMMYFUNCTION("split(B5964,""_"")"),904.0)</f>
        <v>904</v>
      </c>
      <c r="D5964" s="2" t="str">
        <f>IFERROR(__xludf.DUMMYFUNCTION("""COMPUTED_VALUE"""),"TBS")</f>
        <v>TBS</v>
      </c>
      <c r="E5964" s="2" t="str">
        <f>IFERROR(__xludf.DUMMYFUNCTION("""COMPUTED_VALUE"""),"土20")</f>
        <v>土20</v>
      </c>
      <c r="F5964" s="2" t="s">
        <v>16048</v>
      </c>
      <c r="G5964" s="2" t="s">
        <v>16049</v>
      </c>
      <c r="H5964" s="1">
        <v>5.0</v>
      </c>
      <c r="J5964" s="1" t="s">
        <v>2809</v>
      </c>
      <c r="K5964" s="2" t="s">
        <v>16054</v>
      </c>
      <c r="L5964" s="2"/>
      <c r="M5964" s="2" t="str">
        <f>IFERROR(__xludf.DUMMYFUNCTION("split(split(K5964,""【"",false),""公式LINE"",false)"),"未定ヴァルハラと同地区に、KZ病院という新たな病院がオープンした。ここは、日本中から優秀な医師を集めた、富裕者限定の会員制の病院だった。輝（平岡祐太）は「命は金で買える」という考えを持った理事長ケビン（マイケル富岡）を目の当たりにして憤る。  ケビンと安田院長（渡部篤郎）とは旧知の因縁の仲で、ヴァルハラに異常な執着を見せており、金に物を言わせたヴァルハラ潰しをおこなってきた！弱みに付け込んだ医師の引き抜き、患者までも奪っていく。  圧倒的な人手不足で、病院内の士気も下がる一方。  ついには、病院の有力スポ"&amp;"ンサーがケビンによって買収され、いよいよヴァルハラ存続の危機に！  輝は、ヴァルハラのメンバーはこの危機を脱することができるのか!?  マイケル富岡　金子さやか平岡祐太、水川あさみ、村川絵梨、荒木宏文、中林大樹、長谷川朝晴、宮地雅子、朝倉あき、林丹丹、八神蓮、大久保麻理子、綾那、寺脇康文（特別出演）、要潤（友情出演）、小林隆、別所哲也、渡部篤郎  遠田孝一  清水真由美MMJ  TBS  http://www.tbs.co.jp/god-teru/")</f>
        <v>未定ヴァルハラと同地区に、KZ病院という新たな病院がオープンした。ここは、日本中から優秀な医師を集めた、富裕者限定の会員制の病院だった。輝（平岡祐太）は「命は金で買える」という考えを持った理事長ケビン（マイケル富岡）を目の当たりにして憤る。  ケビンと安田院長（渡部篤郎）とは旧知の因縁の仲で、ヴァルハラに異常な執着を見せており、金に物を言わせたヴァルハラ潰しをおこなってきた！弱みに付け込んだ医師の引き抜き、患者までも奪っていく。  圧倒的な人手不足で、病院内の士気も下がる一方。  ついには、病院の有力スポンサーがケビンによって買収され、いよいよヴァルハラ存続の危機に！  輝は、ヴァルハラのメンバーはこの危機を脱することができるのか!?  マイケル富岡　金子さやか平岡祐太、水川あさみ、村川絵梨、荒木宏文、中林大樹、長谷川朝晴、宮地雅子、朝倉あき、林丹丹、八神蓮、大久保麻理子、綾那、寺脇康文（特別出演）、要潤（友情出演）、小林隆、別所哲也、渡部篤郎  遠田孝一  清水真由美MMJ  TBS  http://www.tbs.co.jp/god-teru/</v>
      </c>
      <c r="N5964" s="2"/>
      <c r="O5964" s="2"/>
      <c r="P5964" s="1"/>
      <c r="Q5964" s="1"/>
      <c r="R5964" s="1"/>
      <c r="S5964" s="1"/>
      <c r="T5964" s="1"/>
      <c r="U5964" s="1"/>
      <c r="V5964" s="1"/>
      <c r="W5964" s="1"/>
      <c r="X5964" s="1"/>
      <c r="Y5964" s="1"/>
      <c r="Z5964" s="1"/>
      <c r="AA5964" s="1"/>
      <c r="AB5964" s="1"/>
      <c r="AC5964" s="1"/>
      <c r="AD5964" s="1"/>
      <c r="AE5964" s="1"/>
      <c r="AF5964" s="1"/>
      <c r="AG5964" s="1"/>
      <c r="AH5964" s="1"/>
      <c r="AI5964" s="1"/>
      <c r="AJ5964" s="1"/>
      <c r="AK5964" s="1"/>
      <c r="AL5964" s="1"/>
      <c r="AM5964" s="1"/>
      <c r="AN5964" s="1"/>
      <c r="AO5964" s="1"/>
      <c r="AP5964" s="1"/>
      <c r="AQ5964" s="1"/>
      <c r="AR5964" s="1"/>
      <c r="AS5964" s="1"/>
      <c r="AT5964" s="1"/>
      <c r="AU5964" s="1"/>
      <c r="AV5964" s="1"/>
      <c r="AW5964" s="1"/>
      <c r="AX5964" s="1"/>
      <c r="AY5964" s="1"/>
      <c r="AZ5964" s="1"/>
      <c r="BA5964" s="1"/>
      <c r="BB5964" s="1"/>
    </row>
    <row r="5965" ht="204.75" customHeight="1">
      <c r="A5965" s="1">
        <v>5361.0</v>
      </c>
      <c r="B5965" s="2" t="s">
        <v>16047</v>
      </c>
      <c r="C5965" s="2">
        <f>IFERROR(__xludf.DUMMYFUNCTION("split(B5965,""_"")"),904.0)</f>
        <v>904</v>
      </c>
      <c r="D5965" s="2" t="str">
        <f>IFERROR(__xludf.DUMMYFUNCTION("""COMPUTED_VALUE"""),"TBS")</f>
        <v>TBS</v>
      </c>
      <c r="E5965" s="2" t="str">
        <f>IFERROR(__xludf.DUMMYFUNCTION("""COMPUTED_VALUE"""),"土20")</f>
        <v>土20</v>
      </c>
      <c r="F5965" s="2" t="s">
        <v>16048</v>
      </c>
      <c r="G5965" s="2" t="s">
        <v>16049</v>
      </c>
      <c r="H5965" s="1">
        <v>6.0</v>
      </c>
      <c r="J5965" s="1" t="s">
        <v>2809</v>
      </c>
      <c r="K5965" s="2" t="s">
        <v>16055</v>
      </c>
      <c r="L5965" s="2"/>
      <c r="M5965" s="2" t="str">
        <f>IFERROR(__xludf.DUMMYFUNCTION("split(split(K5965,""【"",false),""公式LINE"",false)"),"「工場爆発!!病院経営者の悲惨な過去！病院崩壊を前に輝が決死のオペに挑む」ケビンによってスポンサーが買収され、  更には片岡（小林隆）や西村（荒木宏文）らも引き抜かれ絶体絶命のヴァルハラ。  KZ病院を動かしているのは実家の四瑛会であることを知った梢（水川あさみ）は乗っ取りを阻止するため四瑛会に戻ることを決意し退職届を提出する。患者の命の大切さに改めて気づいた輝（平岡祐太）たちだが、3億円の資金を用意できなかったヴァルハラはケビンの手に。その責任を取り、安田はヴァルハラを去ることになってしまった！  つい"&amp;"に訪れたヴァルハラ最後の日。  このままヴァルハラは終わってしまうのか!?  マイケル富岡　金子さやか平岡祐太、水川あさみ、村川絵梨、荒木宏文、中林大樹、長谷川朝晴、宮地雅子、朝倉あき、林丹丹、八神蓮、大久保麻理子、綾那、寺脇康文（特別出演）、要潤（友情出演）、小林隆、別所哲也、渡部篤郎遠田孝一  清水真由美MMJ  TBS  http://www.tbs.co.jp/god-teru/")</f>
        <v>「工場爆発!!病院経営者の悲惨な過去！病院崩壊を前に輝が決死のオペに挑む」ケビンによってスポンサーが買収され、  更には片岡（小林隆）や西村（荒木宏文）らも引き抜かれ絶体絶命のヴァルハラ。  KZ病院を動かしているのは実家の四瑛会であることを知った梢（水川あさみ）は乗っ取りを阻止するため四瑛会に戻ることを決意し退職届を提出する。患者の命の大切さに改めて気づいた輝（平岡祐太）たちだが、3億円の資金を用意できなかったヴァルハラはケビンの手に。その責任を取り、安田はヴァルハラを去ることになってしまった！  ついに訪れたヴァルハラ最後の日。  このままヴァルハラは終わってしまうのか!?  マイケル富岡　金子さやか平岡祐太、水川あさみ、村川絵梨、荒木宏文、中林大樹、長谷川朝晴、宮地雅子、朝倉あき、林丹丹、八神蓮、大久保麻理子、綾那、寺脇康文（特別出演）、要潤（友情出演）、小林隆、別所哲也、渡部篤郎遠田孝一  清水真由美MMJ  TBS  http://www.tbs.co.jp/god-teru/</v>
      </c>
      <c r="N5965" s="2"/>
      <c r="O5965" s="2"/>
      <c r="P5965" s="1"/>
      <c r="Q5965" s="1"/>
      <c r="R5965" s="1"/>
      <c r="S5965" s="1"/>
      <c r="T5965" s="1"/>
      <c r="U5965" s="1"/>
      <c r="V5965" s="1"/>
      <c r="W5965" s="1"/>
      <c r="X5965" s="1"/>
      <c r="Y5965" s="1"/>
      <c r="Z5965" s="1"/>
      <c r="AA5965" s="1"/>
      <c r="AB5965" s="1"/>
      <c r="AC5965" s="1"/>
      <c r="AD5965" s="1"/>
      <c r="AE5965" s="1"/>
      <c r="AF5965" s="1"/>
      <c r="AG5965" s="1"/>
      <c r="AH5965" s="1"/>
      <c r="AI5965" s="1"/>
      <c r="AJ5965" s="1"/>
      <c r="AK5965" s="1"/>
      <c r="AL5965" s="1"/>
      <c r="AM5965" s="1"/>
      <c r="AN5965" s="1"/>
      <c r="AO5965" s="1"/>
      <c r="AP5965" s="1"/>
      <c r="AQ5965" s="1"/>
      <c r="AR5965" s="1"/>
      <c r="AS5965" s="1"/>
      <c r="AT5965" s="1"/>
      <c r="AU5965" s="1"/>
      <c r="AV5965" s="1"/>
      <c r="AW5965" s="1"/>
      <c r="AX5965" s="1"/>
      <c r="AY5965" s="1"/>
      <c r="AZ5965" s="1"/>
      <c r="BA5965" s="1"/>
      <c r="BB5965" s="1"/>
    </row>
    <row r="5966" ht="204.75" customHeight="1">
      <c r="A5966" s="1">
        <v>5375.0</v>
      </c>
      <c r="B5966" s="2" t="s">
        <v>16056</v>
      </c>
      <c r="C5966" s="2">
        <f>IFERROR(__xludf.DUMMYFUNCTION("split(B5966,""_"")"),904.0)</f>
        <v>904</v>
      </c>
      <c r="D5966" s="2" t="str">
        <f>IFERROR(__xludf.DUMMYFUNCTION("""COMPUTED_VALUE"""),"TBS")</f>
        <v>TBS</v>
      </c>
      <c r="E5966" s="2" t="str">
        <f>IFERROR(__xludf.DUMMYFUNCTION("""COMPUTED_VALUE"""),"日21")</f>
        <v>日21</v>
      </c>
      <c r="F5966" s="2" t="s">
        <v>16057</v>
      </c>
      <c r="G5966" s="2" t="s">
        <v>16058</v>
      </c>
      <c r="H5966" s="1">
        <v>1.0</v>
      </c>
      <c r="J5966" s="1" t="s">
        <v>4</v>
      </c>
      <c r="K5966" s="2" t="s">
        <v>16059</v>
      </c>
      <c r="L5966" s="2"/>
      <c r="M5966" s="2" t="str">
        <f>IFERROR(__xludf.DUMMYFUNCTION("split(split(K5966,""【"",false),""公式LINE"",false)"),"「ただ一つの絆…僕が守る」カッコよくてエリートなのに、ちょっとトボけた外科医の兄・江上盟（オダギリジョー）。その妹・颯（長澤まさみ）はちゃっかりもので特技はお金儲けという超リアリストだが、宿命的な“だめんず”好き。正反対の二人は、会えばいつもケンカばかり。  ある日、颯が失踪した。盟は、ようやく探し当てた妹が、なんとキャバ嬢として働いているではないか。しかも、颯が付き合っている男・瀬川（田中哲司）には妻子がおり…。オダギリジョー・長澤まさみ    千原ジュニア・ともさかりえ・田中哲司・鈴木砂羽・山田明郷・"&amp;"佐戸井けん太・若林　豪・大滝秀治『ふたり』 　いきものがかり  　　　　　　(エピックレコードジャパン)   池端俊策金子文紀  清弘 誠  加藤 新  ")</f>
        <v>「ただ一つの絆…僕が守る」カッコよくてエリートなのに、ちょっとトボけた外科医の兄・江上盟（オダギリジョー）。その妹・颯（長澤まさみ）はちゃっかりもので特技はお金儲けという超リアリストだが、宿命的な“だめんず”好き。正反対の二人は、会えばいつもケンカばかり。  ある日、颯が失踪した。盟は、ようやく探し当てた妹が、なんとキャバ嬢として働いているではないか。しかも、颯が付き合っている男・瀬川（田中哲司）には妻子がおり…。オダギリジョー・長澤まさみ    千原ジュニア・ともさかりえ・田中哲司・鈴木砂羽・山田明郷・佐戸井けん太・若林　豪・大滝秀治『ふたり』 　いきものがかり  　　　　　　(エピックレコードジャパン)   池端俊策金子文紀  清弘 誠  加藤 新  </v>
      </c>
      <c r="N5966" s="2"/>
      <c r="O5966" s="2"/>
      <c r="P5966" s="1"/>
      <c r="Q5966" s="1"/>
      <c r="R5966" s="1"/>
      <c r="S5966" s="1"/>
      <c r="T5966" s="1"/>
      <c r="U5966" s="1"/>
      <c r="V5966" s="1"/>
      <c r="W5966" s="1"/>
      <c r="X5966" s="1"/>
      <c r="Y5966" s="1"/>
      <c r="Z5966" s="1"/>
      <c r="AA5966" s="1"/>
      <c r="AB5966" s="1"/>
      <c r="AC5966" s="1"/>
      <c r="AD5966" s="1"/>
      <c r="AE5966" s="1"/>
      <c r="AF5966" s="1"/>
      <c r="AG5966" s="1"/>
      <c r="AH5966" s="1"/>
      <c r="AI5966" s="1"/>
      <c r="AJ5966" s="1"/>
      <c r="AK5966" s="1"/>
      <c r="AL5966" s="1"/>
      <c r="AM5966" s="1"/>
      <c r="AN5966" s="1"/>
      <c r="AO5966" s="1"/>
      <c r="AP5966" s="1"/>
      <c r="AQ5966" s="1"/>
      <c r="AR5966" s="1"/>
      <c r="AS5966" s="1"/>
      <c r="AT5966" s="1"/>
      <c r="AU5966" s="1"/>
      <c r="AV5966" s="1"/>
      <c r="AW5966" s="1"/>
      <c r="AX5966" s="1"/>
      <c r="AY5966" s="1"/>
      <c r="AZ5966" s="1"/>
      <c r="BA5966" s="1"/>
      <c r="BB5966" s="1"/>
    </row>
    <row r="5967" ht="204.75" customHeight="1">
      <c r="A5967" s="1">
        <v>5376.0</v>
      </c>
      <c r="B5967" s="2" t="s">
        <v>16056</v>
      </c>
      <c r="C5967" s="2">
        <f>IFERROR(__xludf.DUMMYFUNCTION("split(B5967,""_"")"),904.0)</f>
        <v>904</v>
      </c>
      <c r="D5967" s="2" t="str">
        <f>IFERROR(__xludf.DUMMYFUNCTION("""COMPUTED_VALUE"""),"TBS")</f>
        <v>TBS</v>
      </c>
      <c r="E5967" s="2" t="str">
        <f>IFERROR(__xludf.DUMMYFUNCTION("""COMPUTED_VALUE"""),"日21")</f>
        <v>日21</v>
      </c>
      <c r="F5967" s="2" t="s">
        <v>16057</v>
      </c>
      <c r="G5967" s="2" t="s">
        <v>16058</v>
      </c>
      <c r="H5967" s="1">
        <v>2.0</v>
      </c>
      <c r="J5967" s="1" t="s">
        <v>11</v>
      </c>
      <c r="K5967" s="2" t="s">
        <v>16060</v>
      </c>
      <c r="L5967" s="2"/>
      <c r="M5967" s="2" t="str">
        <f>IFERROR(__xludf.DUMMYFUNCTION("split(split(K5967,""【"",false),""公式LINE"",false)"),"「犯人は妹…!!」  里子(ともさかりえ)が謎の死を遂げたことで、直前まで一緒にいた盟(オダギリジョー)は事情聴取される。帰宅した盟を待っていたのは、颯(長澤まさみ)だった。「300万貸さなくて良かった」と…颯に腹立たしさを覚えた盟だったが、本当は心から兄を心配して言ったことだった。  盟は里子のアパートを訪ねた。隣に住む櫻井(大滝秀治)と再会した盟は、話していくうちに颯が事件の前日に里子と会っていた事が分かった。何故…オダギリジョー・長澤まさみ    千原ジュニア・ともさかりえ・田中哲司・鈴木砂羽・山田"&amp;"明郷・佐戸井けん太・若林　豪・大滝秀治『ふたり』 　いきものがかり  　　　　　　(エピックレコードジャパン)   池端俊策金子文紀  清弘 誠  加藤 新  ")</f>
        <v>「犯人は妹…!!」  里子(ともさかりえ)が謎の死を遂げたことで、直前まで一緒にいた盟(オダギリジョー)は事情聴取される。帰宅した盟を待っていたのは、颯(長澤まさみ)だった。「300万貸さなくて良かった」と…颯に腹立たしさを覚えた盟だったが、本当は心から兄を心配して言ったことだった。  盟は里子のアパートを訪ねた。隣に住む櫻井(大滝秀治)と再会した盟は、話していくうちに颯が事件の前日に里子と会っていた事が分かった。何故…オダギリジョー・長澤まさみ    千原ジュニア・ともさかりえ・田中哲司・鈴木砂羽・山田明郷・佐戸井けん太・若林　豪・大滝秀治『ふたり』 　いきものがかり  　　　　　　(エピックレコードジャパン)   池端俊策金子文紀  清弘 誠  加藤 新  </v>
      </c>
      <c r="N5967" s="2"/>
      <c r="O5967" s="2"/>
      <c r="P5967" s="1"/>
      <c r="Q5967" s="1"/>
      <c r="R5967" s="1"/>
      <c r="S5967" s="1"/>
      <c r="T5967" s="1"/>
      <c r="U5967" s="1"/>
      <c r="V5967" s="1"/>
      <c r="W5967" s="1"/>
      <c r="X5967" s="1"/>
      <c r="Y5967" s="1"/>
      <c r="Z5967" s="1"/>
      <c r="AA5967" s="1"/>
      <c r="AB5967" s="1"/>
      <c r="AC5967" s="1"/>
      <c r="AD5967" s="1"/>
      <c r="AE5967" s="1"/>
      <c r="AF5967" s="1"/>
      <c r="AG5967" s="1"/>
      <c r="AH5967" s="1"/>
      <c r="AI5967" s="1"/>
      <c r="AJ5967" s="1"/>
      <c r="AK5967" s="1"/>
      <c r="AL5967" s="1"/>
      <c r="AM5967" s="1"/>
      <c r="AN5967" s="1"/>
      <c r="AO5967" s="1"/>
      <c r="AP5967" s="1"/>
      <c r="AQ5967" s="1"/>
      <c r="AR5967" s="1"/>
      <c r="AS5967" s="1"/>
      <c r="AT5967" s="1"/>
      <c r="AU5967" s="1"/>
      <c r="AV5967" s="1"/>
      <c r="AW5967" s="1"/>
      <c r="AX5967" s="1"/>
      <c r="AY5967" s="1"/>
      <c r="AZ5967" s="1"/>
      <c r="BA5967" s="1"/>
      <c r="BB5967" s="1"/>
    </row>
    <row r="5968" ht="204.75" customHeight="1">
      <c r="A5968" s="1">
        <v>5377.0</v>
      </c>
      <c r="B5968" s="2" t="s">
        <v>16056</v>
      </c>
      <c r="C5968" s="2">
        <f>IFERROR(__xludf.DUMMYFUNCTION("split(B5968,""_"")"),904.0)</f>
        <v>904</v>
      </c>
      <c r="D5968" s="2" t="str">
        <f>IFERROR(__xludf.DUMMYFUNCTION("""COMPUTED_VALUE"""),"TBS")</f>
        <v>TBS</v>
      </c>
      <c r="E5968" s="2" t="str">
        <f>IFERROR(__xludf.DUMMYFUNCTION("""COMPUTED_VALUE"""),"日21")</f>
        <v>日21</v>
      </c>
      <c r="F5968" s="2" t="s">
        <v>16057</v>
      </c>
      <c r="G5968" s="2" t="s">
        <v>16058</v>
      </c>
      <c r="H5968" s="1">
        <v>3.0</v>
      </c>
      <c r="J5968" s="1" t="s">
        <v>11</v>
      </c>
      <c r="K5968" s="2" t="s">
        <v>16061</v>
      </c>
      <c r="L5968" s="2"/>
      <c r="M5968" s="2" t="str">
        <f>IFERROR(__xludf.DUMMYFUNCTION("split(split(K5968,""【"",false),""公式LINE"",false)"),"「兄を守るウソ」颯(長澤まさみ)と暮らし始めた盟(オダギリジョー)のところに、大河原春奈(笹本玲奈)が訪ねてきた。里子(ともさかりえ)が転落死した事件の犯人が盟だと知らせがあったと言う。盟を追い出そうとしている塚本准教授(佐戸井けん太)が事件関係者から聞いたと理事長へ報告してきたのだ。春奈はこういうことが病院に広まるのは好ましくないし、塚本とよく話し合ったほうが良いと心配して来たのだった。盟は塚本に真意を聞くと、九鬼(千原ジュニア)から電話があったと告げる。被害者の恋人だったという人で、態度も立派で信用お"&amp;"ける人物だと思ったという塚本は、反論する盟に病院を辞めて田舎に帰ればこれ以上事を荒立てないという。誤解を解くため九鬼にもう一度会おうと里子のアパートを訪ねた盟。九鬼には会うことは出来なかったが、櫻井(大滝秀治)が九鬼のことをいろいろ教えてくれた。オダギリジョー・長澤まさみ    千原ジュニア・ともさかりえ・田中哲司・鈴木砂羽・山田明郷・佐戸井けん太・若林　豪・大滝秀治『ふたり』 　いきものがかり  　　　　　　(エピックレコードジャパン)   池端俊策金子文紀  清弘 誠  加藤 新  ")</f>
        <v>「兄を守るウソ」颯(長澤まさみ)と暮らし始めた盟(オダギリジョー)のところに、大河原春奈(笹本玲奈)が訪ねてきた。里子(ともさかりえ)が転落死した事件の犯人が盟だと知らせがあったと言う。盟を追い出そうとしている塚本准教授(佐戸井けん太)が事件関係者から聞いたと理事長へ報告してきたのだ。春奈はこういうことが病院に広まるのは好ましくないし、塚本とよく話し合ったほうが良いと心配して来たのだった。盟は塚本に真意を聞くと、九鬼(千原ジュニア)から電話があったと告げる。被害者の恋人だったという人で、態度も立派で信用おける人物だと思ったという塚本は、反論する盟に病院を辞めて田舎に帰ればこれ以上事を荒立てないという。誤解を解くため九鬼にもう一度会おうと里子のアパートを訪ねた盟。九鬼には会うことは出来なかったが、櫻井(大滝秀治)が九鬼のことをいろいろ教えてくれた。オダギリジョー・長澤まさみ    千原ジュニア・ともさかりえ・田中哲司・鈴木砂羽・山田明郷・佐戸井けん太・若林　豪・大滝秀治『ふたり』 　いきものがかり  　　　　　　(エピックレコードジャパン)   池端俊策金子文紀  清弘 誠  加藤 新  </v>
      </c>
      <c r="N5968" s="2"/>
      <c r="O5968" s="2"/>
      <c r="P5968" s="1"/>
      <c r="Q5968" s="1"/>
      <c r="R5968" s="1"/>
      <c r="S5968" s="1"/>
      <c r="T5968" s="1"/>
      <c r="U5968" s="1"/>
      <c r="V5968" s="1"/>
      <c r="W5968" s="1"/>
      <c r="X5968" s="1"/>
      <c r="Y5968" s="1"/>
      <c r="Z5968" s="1"/>
      <c r="AA5968" s="1"/>
      <c r="AB5968" s="1"/>
      <c r="AC5968" s="1"/>
      <c r="AD5968" s="1"/>
      <c r="AE5968" s="1"/>
      <c r="AF5968" s="1"/>
      <c r="AG5968" s="1"/>
      <c r="AH5968" s="1"/>
      <c r="AI5968" s="1"/>
      <c r="AJ5968" s="1"/>
      <c r="AK5968" s="1"/>
      <c r="AL5968" s="1"/>
      <c r="AM5968" s="1"/>
      <c r="AN5968" s="1"/>
      <c r="AO5968" s="1"/>
      <c r="AP5968" s="1"/>
      <c r="AQ5968" s="1"/>
      <c r="AR5968" s="1"/>
      <c r="AS5968" s="1"/>
      <c r="AT5968" s="1"/>
      <c r="AU5968" s="1"/>
      <c r="AV5968" s="1"/>
      <c r="AW5968" s="1"/>
      <c r="AX5968" s="1"/>
      <c r="AY5968" s="1"/>
      <c r="AZ5968" s="1"/>
      <c r="BA5968" s="1"/>
      <c r="BB5968" s="1"/>
    </row>
    <row r="5969" ht="204.75" customHeight="1">
      <c r="A5969" s="1">
        <v>5378.0</v>
      </c>
      <c r="B5969" s="2" t="s">
        <v>16056</v>
      </c>
      <c r="C5969" s="2">
        <f>IFERROR(__xludf.DUMMYFUNCTION("split(B5969,""_"")"),904.0)</f>
        <v>904</v>
      </c>
      <c r="D5969" s="2" t="str">
        <f>IFERROR(__xludf.DUMMYFUNCTION("""COMPUTED_VALUE"""),"TBS")</f>
        <v>TBS</v>
      </c>
      <c r="E5969" s="2" t="str">
        <f>IFERROR(__xludf.DUMMYFUNCTION("""COMPUTED_VALUE"""),"日21")</f>
        <v>日21</v>
      </c>
      <c r="F5969" s="2" t="s">
        <v>16057</v>
      </c>
      <c r="G5969" s="2" t="s">
        <v>16058</v>
      </c>
      <c r="H5969" s="1">
        <v>4.0</v>
      </c>
      <c r="J5969" s="1" t="s">
        <v>11</v>
      </c>
      <c r="K5969" s="2" t="s">
        <v>16062</v>
      </c>
      <c r="L5969" s="2"/>
      <c r="M5969" s="2" t="str">
        <f>IFERROR(__xludf.DUMMYFUNCTION("split(split(K5969,""【"",false),""公式LINE"",false)"),"「真実の告白…」病院に田刑事(小木茂光)が盟(オダギリジョー)を訪ねてきた。里子が亡くなった前後の話の確認を取るため、近日中に警察署まで来て欲しいと。  その日、盟は手術中にミスをしてしまう。大事には至らなかったが、准教授の塚本(佐戸井けん太)から休むよう言われる。  家に戻った盟は、颯(長澤まさみ)に手術でミスをしたことを告白した。  盟は九鬼に会うため彼を探し回っていたが、誰も知らず、盟は里子のアパートへ行くと…オダギリジョー・長澤まさみ    千原ジュニア・ともさかりえ・田中哲司・鈴木砂羽・山田明郷"&amp;"・佐戸井けん太・若林　豪・大滝秀治『ふたり』 　いきものがかり  　　　　　　(エピックレコードジャパン)   池端俊策金子文紀  清弘 誠  加藤 新  ")</f>
        <v>「真実の告白…」病院に田刑事(小木茂光)が盟(オダギリジョー)を訪ねてきた。里子が亡くなった前後の話の確認を取るため、近日中に警察署まで来て欲しいと。  その日、盟は手術中にミスをしてしまう。大事には至らなかったが、准教授の塚本(佐戸井けん太)から休むよう言われる。  家に戻った盟は、颯(長澤まさみ)に手術でミスをしたことを告白した。  盟は九鬼に会うため彼を探し回っていたが、誰も知らず、盟は里子のアパートへ行くと…オダギリジョー・長澤まさみ    千原ジュニア・ともさかりえ・田中哲司・鈴木砂羽・山田明郷・佐戸井けん太・若林　豪・大滝秀治『ふたり』 　いきものがかり  　　　　　　(エピックレコードジャパン)   池端俊策金子文紀  清弘 誠  加藤 新  </v>
      </c>
      <c r="N5969" s="2"/>
      <c r="O5969" s="2"/>
      <c r="P5969" s="1"/>
      <c r="Q5969" s="1"/>
      <c r="R5969" s="1"/>
      <c r="S5969" s="1"/>
      <c r="T5969" s="1"/>
      <c r="U5969" s="1"/>
      <c r="V5969" s="1"/>
      <c r="W5969" s="1"/>
      <c r="X5969" s="1"/>
      <c r="Y5969" s="1"/>
      <c r="Z5969" s="1"/>
      <c r="AA5969" s="1"/>
      <c r="AB5969" s="1"/>
      <c r="AC5969" s="1"/>
      <c r="AD5969" s="1"/>
      <c r="AE5969" s="1"/>
      <c r="AF5969" s="1"/>
      <c r="AG5969" s="1"/>
      <c r="AH5969" s="1"/>
      <c r="AI5969" s="1"/>
      <c r="AJ5969" s="1"/>
      <c r="AK5969" s="1"/>
      <c r="AL5969" s="1"/>
      <c r="AM5969" s="1"/>
      <c r="AN5969" s="1"/>
      <c r="AO5969" s="1"/>
      <c r="AP5969" s="1"/>
      <c r="AQ5969" s="1"/>
      <c r="AR5969" s="1"/>
      <c r="AS5969" s="1"/>
      <c r="AT5969" s="1"/>
      <c r="AU5969" s="1"/>
      <c r="AV5969" s="1"/>
      <c r="AW5969" s="1"/>
      <c r="AX5969" s="1"/>
      <c r="AY5969" s="1"/>
      <c r="AZ5969" s="1"/>
      <c r="BA5969" s="1"/>
      <c r="BB5969" s="1"/>
    </row>
    <row r="5970" ht="204.75" customHeight="1">
      <c r="A5970" s="1">
        <v>5379.0</v>
      </c>
      <c r="B5970" s="2" t="s">
        <v>16056</v>
      </c>
      <c r="C5970" s="2">
        <f>IFERROR(__xludf.DUMMYFUNCTION("split(B5970,""_"")"),904.0)</f>
        <v>904</v>
      </c>
      <c r="D5970" s="2" t="str">
        <f>IFERROR(__xludf.DUMMYFUNCTION("""COMPUTED_VALUE"""),"TBS")</f>
        <v>TBS</v>
      </c>
      <c r="E5970" s="2" t="str">
        <f>IFERROR(__xludf.DUMMYFUNCTION("""COMPUTED_VALUE"""),"日21")</f>
        <v>日21</v>
      </c>
      <c r="F5970" s="2" t="s">
        <v>16057</v>
      </c>
      <c r="G5970" s="2" t="s">
        <v>16058</v>
      </c>
      <c r="H5970" s="1">
        <v>5.0</v>
      </c>
      <c r="J5970" s="1" t="s">
        <v>11</v>
      </c>
      <c r="K5970" s="2" t="s">
        <v>16063</v>
      </c>
      <c r="L5970" s="2"/>
      <c r="M5970" s="2" t="str">
        <f>IFERROR(__xludf.DUMMYFUNCTION("split(split(K5970,""【"",false),""公式LINE"",false)"),"鬼に恋した妹盟(オダギリジョー)は、羽根田(小木茂光)の依頼を受け警察に行った。盟は、疑われる根拠は何もないのに九鬼(千原ジュニア)の目撃証言によって振り回されている自分に腹を立てていた。警察を出ると春奈(笹本玲奈)が車で待っていて、盟にカルテとフイルムを見せる。実はその患者は春奈の友人で、塚本がオペをする予定だったが体調不良で急遽別の先生がすることになった。しかし、難しい手術なので盟に執刀してほしいと…。オダギリジョー・長澤まさみ    千原ジュニア・ともさかりえ・田中哲司・鈴木砂羽・山田明郷・佐戸井け"&amp;"ん太・若林　豪・大滝秀治『ふたり』 　いきものがかり  　　　　　　(エピックレコードジャパン)   池端俊策金子文紀  清弘 誠  加藤 新  ")</f>
        <v>鬼に恋した妹盟(オダギリジョー)は、羽根田(小木茂光)の依頼を受け警察に行った。盟は、疑われる根拠は何もないのに九鬼(千原ジュニア)の目撃証言によって振り回されている自分に腹を立てていた。警察を出ると春奈(笹本玲奈)が車で待っていて、盟にカルテとフイルムを見せる。実はその患者は春奈の友人で、塚本がオペをする予定だったが体調不良で急遽別の先生がすることになった。しかし、難しい手術なので盟に執刀してほしいと…。オダギリジョー・長澤まさみ    千原ジュニア・ともさかりえ・田中哲司・鈴木砂羽・山田明郷・佐戸井けん太・若林　豪・大滝秀治『ふたり』 　いきものがかり  　　　　　　(エピックレコードジャパン)   池端俊策金子文紀  清弘 誠  加藤 新  </v>
      </c>
      <c r="N5970" s="2"/>
      <c r="O5970" s="2"/>
      <c r="P5970" s="1"/>
      <c r="Q5970" s="1"/>
      <c r="R5970" s="1"/>
      <c r="S5970" s="1"/>
      <c r="T5970" s="1"/>
      <c r="U5970" s="1"/>
      <c r="V5970" s="1"/>
      <c r="W5970" s="1"/>
      <c r="X5970" s="1"/>
      <c r="Y5970" s="1"/>
      <c r="Z5970" s="1"/>
      <c r="AA5970" s="1"/>
      <c r="AB5970" s="1"/>
      <c r="AC5970" s="1"/>
      <c r="AD5970" s="1"/>
      <c r="AE5970" s="1"/>
      <c r="AF5970" s="1"/>
      <c r="AG5970" s="1"/>
      <c r="AH5970" s="1"/>
      <c r="AI5970" s="1"/>
      <c r="AJ5970" s="1"/>
      <c r="AK5970" s="1"/>
      <c r="AL5970" s="1"/>
      <c r="AM5970" s="1"/>
      <c r="AN5970" s="1"/>
      <c r="AO5970" s="1"/>
      <c r="AP5970" s="1"/>
      <c r="AQ5970" s="1"/>
      <c r="AR5970" s="1"/>
      <c r="AS5970" s="1"/>
      <c r="AT5970" s="1"/>
      <c r="AU5970" s="1"/>
      <c r="AV5970" s="1"/>
      <c r="AW5970" s="1"/>
      <c r="AX5970" s="1"/>
      <c r="AY5970" s="1"/>
      <c r="AZ5970" s="1"/>
      <c r="BA5970" s="1"/>
      <c r="BB5970" s="1"/>
    </row>
    <row r="5971" ht="204.75" customHeight="1">
      <c r="A5971" s="1">
        <v>5380.0</v>
      </c>
      <c r="B5971" s="2" t="s">
        <v>16056</v>
      </c>
      <c r="C5971" s="2">
        <f>IFERROR(__xludf.DUMMYFUNCTION("split(B5971,""_"")"),904.0)</f>
        <v>904</v>
      </c>
      <c r="D5971" s="2" t="str">
        <f>IFERROR(__xludf.DUMMYFUNCTION("""COMPUTED_VALUE"""),"TBS")</f>
        <v>TBS</v>
      </c>
      <c r="E5971" s="2" t="str">
        <f>IFERROR(__xludf.DUMMYFUNCTION("""COMPUTED_VALUE"""),"日21")</f>
        <v>日21</v>
      </c>
      <c r="F5971" s="2" t="s">
        <v>16057</v>
      </c>
      <c r="G5971" s="2" t="s">
        <v>16058</v>
      </c>
      <c r="H5971" s="1">
        <v>6.0</v>
      </c>
      <c r="J5971" s="1" t="s">
        <v>11</v>
      </c>
      <c r="K5971" s="2" t="s">
        <v>16064</v>
      </c>
      <c r="L5971" s="2"/>
      <c r="M5971" s="2" t="str">
        <f>IFERROR(__xludf.DUMMYFUNCTION("split(split(K5971,""【"",false),""公式LINE"",false)"),"「だめんず好き」九鬼の生い立ちを知ってから、颯は九鬼が気になって仕方なかった。そして、九鬼を助けるため、自分の持っている300万円をすぐに900万円に増やせないかと瀬川に相談する。リスクは大きいが当たれば確実に増やせると競馬場へ向うが、結局お金を賭けることが出来なかった颯。九鬼に渡すためのお金を工面していると知った瀬川は、急いで盟に知らせに行く。だが、すでに颯とも九鬼とも連絡が取れず不安を募らせる盟だった。オダギリジョー・長澤まさみ    千原ジュニア・ともさかりえ・田中哲司・鈴木砂羽・山田明郷・佐戸井け"&amp;"ん太・若林　豪・大滝秀治『ふたり』 　いきものがかり  　　　　　　(エピックレコードジャパン)   池端俊策金子文紀  清弘 誠  加藤 新  ")</f>
        <v>「だめんず好き」九鬼の生い立ちを知ってから、颯は九鬼が気になって仕方なかった。そして、九鬼を助けるため、自分の持っている300万円をすぐに900万円に増やせないかと瀬川に相談する。リスクは大きいが当たれば確実に増やせると競馬場へ向うが、結局お金を賭けることが出来なかった颯。九鬼に渡すためのお金を工面していると知った瀬川は、急いで盟に知らせに行く。だが、すでに颯とも九鬼とも連絡が取れず不安を募らせる盟だった。オダギリジョー・長澤まさみ    千原ジュニア・ともさかりえ・田中哲司・鈴木砂羽・山田明郷・佐戸井けん太・若林　豪・大滝秀治『ふたり』 　いきものがかり  　　　　　　(エピックレコードジャパン)   池端俊策金子文紀  清弘 誠  加藤 新  </v>
      </c>
      <c r="N5971" s="2"/>
      <c r="O5971" s="2"/>
      <c r="P5971" s="1"/>
      <c r="Q5971" s="1"/>
      <c r="R5971" s="1"/>
      <c r="S5971" s="1"/>
      <c r="T5971" s="1"/>
      <c r="U5971" s="1"/>
      <c r="V5971" s="1"/>
      <c r="W5971" s="1"/>
      <c r="X5971" s="1"/>
      <c r="Y5971" s="1"/>
      <c r="Z5971" s="1"/>
      <c r="AA5971" s="1"/>
      <c r="AB5971" s="1"/>
      <c r="AC5971" s="1"/>
      <c r="AD5971" s="1"/>
      <c r="AE5971" s="1"/>
      <c r="AF5971" s="1"/>
      <c r="AG5971" s="1"/>
      <c r="AH5971" s="1"/>
      <c r="AI5971" s="1"/>
      <c r="AJ5971" s="1"/>
      <c r="AK5971" s="1"/>
      <c r="AL5971" s="1"/>
      <c r="AM5971" s="1"/>
      <c r="AN5971" s="1"/>
      <c r="AO5971" s="1"/>
      <c r="AP5971" s="1"/>
      <c r="AQ5971" s="1"/>
      <c r="AR5971" s="1"/>
      <c r="AS5971" s="1"/>
      <c r="AT5971" s="1"/>
      <c r="AU5971" s="1"/>
      <c r="AV5971" s="1"/>
      <c r="AW5971" s="1"/>
      <c r="AX5971" s="1"/>
      <c r="AY5971" s="1"/>
      <c r="AZ5971" s="1"/>
      <c r="BA5971" s="1"/>
      <c r="BB5971" s="1"/>
    </row>
    <row r="5972" ht="204.75" customHeight="1">
      <c r="A5972" s="1">
        <v>5381.0</v>
      </c>
      <c r="B5972" s="2" t="s">
        <v>16056</v>
      </c>
      <c r="C5972" s="2">
        <f>IFERROR(__xludf.DUMMYFUNCTION("split(B5972,""_"")"),904.0)</f>
        <v>904</v>
      </c>
      <c r="D5972" s="2" t="str">
        <f>IFERROR(__xludf.DUMMYFUNCTION("""COMPUTED_VALUE"""),"TBS")</f>
        <v>TBS</v>
      </c>
      <c r="E5972" s="2" t="str">
        <f>IFERROR(__xludf.DUMMYFUNCTION("""COMPUTED_VALUE"""),"日21")</f>
        <v>日21</v>
      </c>
      <c r="F5972" s="2" t="s">
        <v>16057</v>
      </c>
      <c r="G5972" s="2" t="s">
        <v>16058</v>
      </c>
      <c r="H5972" s="1">
        <v>7.0</v>
      </c>
      <c r="J5972" s="1" t="s">
        <v>11</v>
      </c>
      <c r="K5972" s="2" t="s">
        <v>16065</v>
      </c>
      <c r="L5972" s="2"/>
      <c r="M5972" s="2" t="str">
        <f>IFERROR(__xludf.DUMMYFUNCTION("split(split(K5972,""【"",false),""公式LINE"",false)"),"「最後のケンカ」ほんの一月前、盟が里子と知り合わなければ、こんなことに巻き込まれることはなかったはず。盟は櫻井の死に立会いいろいろなことを思い起こしていた。  亡くなる間際、櫻井は九鬼を盟と間違え自分の気持ちを伝えるが、事実を知らなかった九鬼はただ呆然とするばかり。父親とも知らず、櫻井を慕い花作りに夢を描いた九鬼は、自分の思いを整理出来ないでいた。  そんな様子を見た颯は、まるで吸い寄せられるように九鬼の元へ…。オダギリジョー・長澤まさみ    千原ジュニア・ともさかりえ・田中哲司・鈴木砂羽・山田明郷・佐"&amp;"戸井けん太・若林　豪・大滝秀治『ふたり』 　いきものがかり  　　　　　　(エピックレコードジャパン)   池端俊策金子文紀  清弘 誠  加藤 新  ")</f>
        <v>「最後のケンカ」ほんの一月前、盟が里子と知り合わなければ、こんなことに巻き込まれることはなかったはず。盟は櫻井の死に立会いいろいろなことを思い起こしていた。  亡くなる間際、櫻井は九鬼を盟と間違え自分の気持ちを伝えるが、事実を知らなかった九鬼はただ呆然とするばかり。父親とも知らず、櫻井を慕い花作りに夢を描いた九鬼は、自分の思いを整理出来ないでいた。  そんな様子を見た颯は、まるで吸い寄せられるように九鬼の元へ…。オダギリジョー・長澤まさみ    千原ジュニア・ともさかりえ・田中哲司・鈴木砂羽・山田明郷・佐戸井けん太・若林　豪・大滝秀治『ふたり』 　いきものがかり  　　　　　　(エピックレコードジャパン)   池端俊策金子文紀  清弘 誠  加藤 新  </v>
      </c>
      <c r="N5972" s="2"/>
      <c r="O5972" s="2"/>
      <c r="P5972" s="1"/>
      <c r="Q5972" s="1"/>
      <c r="R5972" s="1"/>
      <c r="S5972" s="1"/>
      <c r="T5972" s="1"/>
      <c r="U5972" s="1"/>
      <c r="V5972" s="1"/>
      <c r="W5972" s="1"/>
      <c r="X5972" s="1"/>
      <c r="Y5972" s="1"/>
      <c r="Z5972" s="1"/>
      <c r="AA5972" s="1"/>
      <c r="AB5972" s="1"/>
      <c r="AC5972" s="1"/>
      <c r="AD5972" s="1"/>
      <c r="AE5972" s="1"/>
      <c r="AF5972" s="1"/>
      <c r="AG5972" s="1"/>
      <c r="AH5972" s="1"/>
      <c r="AI5972" s="1"/>
      <c r="AJ5972" s="1"/>
      <c r="AK5972" s="1"/>
      <c r="AL5972" s="1"/>
      <c r="AM5972" s="1"/>
      <c r="AN5972" s="1"/>
      <c r="AO5972" s="1"/>
      <c r="AP5972" s="1"/>
      <c r="AQ5972" s="1"/>
      <c r="AR5972" s="1"/>
      <c r="AS5972" s="1"/>
      <c r="AT5972" s="1"/>
      <c r="AU5972" s="1"/>
      <c r="AV5972" s="1"/>
      <c r="AW5972" s="1"/>
      <c r="AX5972" s="1"/>
      <c r="AY5972" s="1"/>
      <c r="AZ5972" s="1"/>
      <c r="BA5972" s="1"/>
      <c r="BB5972" s="1"/>
    </row>
    <row r="5973" ht="204.75" customHeight="1">
      <c r="A5973" s="1">
        <v>5382.0</v>
      </c>
      <c r="B5973" s="2" t="s">
        <v>16056</v>
      </c>
      <c r="C5973" s="2">
        <f>IFERROR(__xludf.DUMMYFUNCTION("split(B5973,""_"")"),904.0)</f>
        <v>904</v>
      </c>
      <c r="D5973" s="2" t="str">
        <f>IFERROR(__xludf.DUMMYFUNCTION("""COMPUTED_VALUE"""),"TBS")</f>
        <v>TBS</v>
      </c>
      <c r="E5973" s="2" t="str">
        <f>IFERROR(__xludf.DUMMYFUNCTION("""COMPUTED_VALUE"""),"日21")</f>
        <v>日21</v>
      </c>
      <c r="F5973" s="2" t="s">
        <v>16057</v>
      </c>
      <c r="G5973" s="2" t="s">
        <v>16058</v>
      </c>
      <c r="H5973" s="1">
        <v>8.0</v>
      </c>
      <c r="J5973" s="1" t="s">
        <v>11</v>
      </c>
      <c r="K5973" s="2" t="s">
        <v>16066</v>
      </c>
      <c r="L5973" s="2"/>
      <c r="M5973" s="2" t="str">
        <f>IFERROR(__xludf.DUMMYFUNCTION("split(split(K5973,""【"",false),""公式LINE"",false)"),"「涙の別れ…忘れないよ」櫻井のお骨を届けた先で急病人に遭遇した盟は、診療所の看護師・機美という女性と出会う。過換気症候群で苦しむ女性の応急処置をしたことが縁で、老医師が続けられなくなった診療所に来て欲しいと、彼女が東京まで押しかけて来てしまうのだ。  一方、颯は、九鬼の元へ行くため盟のマンションを出て行ってしまう。初めて兄妹二人きりの生活を始めたばかりだったのに…。オダギリジョー・長澤まさみ    千原ジュニア・ともさかりえ・田中哲司・鈴木砂羽・山田明郷・佐戸井けん太・若林　豪・大滝秀治『ふたり』 　いき"&amp;"ものがかり  　　　　　　(エピックレコードジャパン)   池端俊策金子文紀  清弘 誠  加藤 新  ")</f>
        <v>「涙の別れ…忘れないよ」櫻井のお骨を届けた先で急病人に遭遇した盟は、診療所の看護師・機美という女性と出会う。過換気症候群で苦しむ女性の応急処置をしたことが縁で、老医師が続けられなくなった診療所に来て欲しいと、彼女が東京まで押しかけて来てしまうのだ。  一方、颯は、九鬼の元へ行くため盟のマンションを出て行ってしまう。初めて兄妹二人きりの生活を始めたばかりだったのに…。オダギリジョー・長澤まさみ    千原ジュニア・ともさかりえ・田中哲司・鈴木砂羽・山田明郷・佐戸井けん太・若林　豪・大滝秀治『ふたり』 　いきものがかり  　　　　　　(エピックレコードジャパン)   池端俊策金子文紀  清弘 誠  加藤 新  </v>
      </c>
      <c r="N5973" s="2"/>
      <c r="O5973" s="2"/>
      <c r="P5973" s="1"/>
      <c r="Q5973" s="1"/>
      <c r="R5973" s="1"/>
      <c r="S5973" s="1"/>
      <c r="T5973" s="1"/>
      <c r="U5973" s="1"/>
      <c r="V5973" s="1"/>
      <c r="W5973" s="1"/>
      <c r="X5973" s="1"/>
      <c r="Y5973" s="1"/>
      <c r="Z5973" s="1"/>
      <c r="AA5973" s="1"/>
      <c r="AB5973" s="1"/>
      <c r="AC5973" s="1"/>
      <c r="AD5973" s="1"/>
      <c r="AE5973" s="1"/>
      <c r="AF5973" s="1"/>
      <c r="AG5973" s="1"/>
      <c r="AH5973" s="1"/>
      <c r="AI5973" s="1"/>
      <c r="AJ5973" s="1"/>
      <c r="AK5973" s="1"/>
      <c r="AL5973" s="1"/>
      <c r="AM5973" s="1"/>
      <c r="AN5973" s="1"/>
      <c r="AO5973" s="1"/>
      <c r="AP5973" s="1"/>
      <c r="AQ5973" s="1"/>
      <c r="AR5973" s="1"/>
      <c r="AS5973" s="1"/>
      <c r="AT5973" s="1"/>
      <c r="AU5973" s="1"/>
      <c r="AV5973" s="1"/>
      <c r="AW5973" s="1"/>
      <c r="AX5973" s="1"/>
      <c r="AY5973" s="1"/>
      <c r="AZ5973" s="1"/>
      <c r="BA5973" s="1"/>
      <c r="BB5973" s="1"/>
    </row>
    <row r="5974" ht="204.75" customHeight="1">
      <c r="A5974" s="1">
        <v>5383.0</v>
      </c>
      <c r="B5974" s="2" t="s">
        <v>16056</v>
      </c>
      <c r="C5974" s="2">
        <f>IFERROR(__xludf.DUMMYFUNCTION("split(B5974,""_"")"),904.0)</f>
        <v>904</v>
      </c>
      <c r="D5974" s="2" t="str">
        <f>IFERROR(__xludf.DUMMYFUNCTION("""COMPUTED_VALUE"""),"TBS")</f>
        <v>TBS</v>
      </c>
      <c r="E5974" s="2" t="str">
        <f>IFERROR(__xludf.DUMMYFUNCTION("""COMPUTED_VALUE"""),"日21")</f>
        <v>日21</v>
      </c>
      <c r="F5974" s="2" t="s">
        <v>16057</v>
      </c>
      <c r="G5974" s="2" t="s">
        <v>16058</v>
      </c>
      <c r="H5974" s="1">
        <v>9.0</v>
      </c>
      <c r="J5974" s="1" t="s">
        <v>11</v>
      </c>
      <c r="K5974" s="2" t="s">
        <v>16067</v>
      </c>
      <c r="L5974" s="2"/>
      <c r="M5974" s="2" t="str">
        <f>IFERROR(__xludf.DUMMYFUNCTION("split(split(K5974,""【"",false),""公式LINE"",false)"),"「告白…離れたくない!!」  初めて兄妹二人きりで暮らすことが出来た盟と颯。だが、あまりにも早く颯は出て行ってしまった。しかも、猛反対していた九鬼の元へ…。颯の幸せを祈ることしか出来ない盟。だが、ひょんなことから九鬼が肺癌に侵されていると知ってしまった盟だが、どうしても颯に知らせることが出来ないでいた。ところが、颯が検査資料を持って盟を頼ってきたことで、隠し切れなくなり颯に病名を告げた盟だった。オダギリジョー・長澤まさみ    千原ジュニア・ともさかりえ・田中哲司・鈴木砂羽・山田明郷・佐戸井けん太・若林　"&amp;"豪・大滝秀治『ふたり』 　いきものがかり  　　　　　　(エピックレコードジャパン)   池端俊策金子文紀  清弘 誠  加藤 新  ")</f>
        <v>「告白…離れたくない!!」  初めて兄妹二人きりで暮らすことが出来た盟と颯。だが、あまりにも早く颯は出て行ってしまった。しかも、猛反対していた九鬼の元へ…。颯の幸せを祈ることしか出来ない盟。だが、ひょんなことから九鬼が肺癌に侵されていると知ってしまった盟だが、どうしても颯に知らせることが出来ないでいた。ところが、颯が検査資料を持って盟を頼ってきたことで、隠し切れなくなり颯に病名を告げた盟だった。オダギリジョー・長澤まさみ    千原ジュニア・ともさかりえ・田中哲司・鈴木砂羽・山田明郷・佐戸井けん太・若林　豪・大滝秀治『ふたり』 　いきものがかり  　　　　　　(エピックレコードジャパン)   池端俊策金子文紀  清弘 誠  加藤 新  </v>
      </c>
      <c r="N5974" s="2"/>
      <c r="O5974" s="2"/>
      <c r="P5974" s="1"/>
      <c r="Q5974" s="1"/>
      <c r="R5974" s="1"/>
      <c r="S5974" s="1"/>
      <c r="T5974" s="1"/>
      <c r="U5974" s="1"/>
      <c r="V5974" s="1"/>
      <c r="W5974" s="1"/>
      <c r="X5974" s="1"/>
      <c r="Y5974" s="1"/>
      <c r="Z5974" s="1"/>
      <c r="AA5974" s="1"/>
      <c r="AB5974" s="1"/>
      <c r="AC5974" s="1"/>
      <c r="AD5974" s="1"/>
      <c r="AE5974" s="1"/>
      <c r="AF5974" s="1"/>
      <c r="AG5974" s="1"/>
      <c r="AH5974" s="1"/>
      <c r="AI5974" s="1"/>
      <c r="AJ5974" s="1"/>
      <c r="AK5974" s="1"/>
      <c r="AL5974" s="1"/>
      <c r="AM5974" s="1"/>
      <c r="AN5974" s="1"/>
      <c r="AO5974" s="1"/>
      <c r="AP5974" s="1"/>
      <c r="AQ5974" s="1"/>
      <c r="AR5974" s="1"/>
      <c r="AS5974" s="1"/>
      <c r="AT5974" s="1"/>
      <c r="AU5974" s="1"/>
      <c r="AV5974" s="1"/>
      <c r="AW5974" s="1"/>
      <c r="AX5974" s="1"/>
      <c r="AY5974" s="1"/>
      <c r="AZ5974" s="1"/>
      <c r="BA5974" s="1"/>
      <c r="BB5974" s="1"/>
    </row>
    <row r="5975" ht="204.75" customHeight="1">
      <c r="A5975" s="1">
        <v>5384.0</v>
      </c>
      <c r="B5975" s="2" t="s">
        <v>16056</v>
      </c>
      <c r="C5975" s="2">
        <f>IFERROR(__xludf.DUMMYFUNCTION("split(B5975,""_"")"),904.0)</f>
        <v>904</v>
      </c>
      <c r="D5975" s="2" t="str">
        <f>IFERROR(__xludf.DUMMYFUNCTION("""COMPUTED_VALUE"""),"TBS")</f>
        <v>TBS</v>
      </c>
      <c r="E5975" s="2" t="str">
        <f>IFERROR(__xludf.DUMMYFUNCTION("""COMPUTED_VALUE"""),"日21")</f>
        <v>日21</v>
      </c>
      <c r="F5975" s="2" t="s">
        <v>16057</v>
      </c>
      <c r="G5975" s="2" t="s">
        <v>16058</v>
      </c>
      <c r="H5975" s="1">
        <v>10.0</v>
      </c>
      <c r="J5975" s="1" t="s">
        <v>11</v>
      </c>
      <c r="K5975" s="2" t="s">
        <v>16068</v>
      </c>
      <c r="L5975" s="2"/>
      <c r="M5975" s="2" t="str">
        <f>IFERROR(__xludf.DUMMYFUNCTION("split(split(K5975,""【"",false),""公式LINE"",false)"),"「手術開始…最期の闘い」九鬼から主治医として指名された盟は、それを受け彼の病気と向き合うことになった。それは、覚悟は出来ていたが、盟にとって皮肉な巡り合わせという他なかった。  妹のために最善を尽くす盟、愛する人を助けるため必死になる颯、そして、二人のおかげでもう一度人間らしい心を持った九鬼…。オダギリジョー・長澤まさみ    千原ジュニア・ともさかりえ・田中哲司・鈴木砂羽・山田明郷・佐戸井けん太・若林　豪・大滝秀治『ふたり』 　いきものがかり  　　　　　　(エピックレコードジャパン)   池端俊策金子"&amp;"文紀  清弘 誠  加藤 新  ")</f>
        <v>「手術開始…最期の闘い」九鬼から主治医として指名された盟は、それを受け彼の病気と向き合うことになった。それは、覚悟は出来ていたが、盟にとって皮肉な巡り合わせという他なかった。  妹のために最善を尽くす盟、愛する人を助けるため必死になる颯、そして、二人のおかげでもう一度人間らしい心を持った九鬼…。オダギリジョー・長澤まさみ    千原ジュニア・ともさかりえ・田中哲司・鈴木砂羽・山田明郷・佐戸井けん太・若林　豪・大滝秀治『ふたり』 　いきものがかり  　　　　　　(エピックレコードジャパン)   池端俊策金子文紀  清弘 誠  加藤 新  </v>
      </c>
      <c r="N5975" s="2"/>
      <c r="O5975" s="2"/>
      <c r="P5975" s="1"/>
      <c r="Q5975" s="1"/>
      <c r="R5975" s="1"/>
      <c r="S5975" s="1"/>
      <c r="T5975" s="1"/>
      <c r="U5975" s="1"/>
      <c r="V5975" s="1"/>
      <c r="W5975" s="1"/>
      <c r="X5975" s="1"/>
      <c r="Y5975" s="1"/>
      <c r="Z5975" s="1"/>
      <c r="AA5975" s="1"/>
      <c r="AB5975" s="1"/>
      <c r="AC5975" s="1"/>
      <c r="AD5975" s="1"/>
      <c r="AE5975" s="1"/>
      <c r="AF5975" s="1"/>
      <c r="AG5975" s="1"/>
      <c r="AH5975" s="1"/>
      <c r="AI5975" s="1"/>
      <c r="AJ5975" s="1"/>
      <c r="AK5975" s="1"/>
      <c r="AL5975" s="1"/>
      <c r="AM5975" s="1"/>
      <c r="AN5975" s="1"/>
      <c r="AO5975" s="1"/>
      <c r="AP5975" s="1"/>
      <c r="AQ5975" s="1"/>
      <c r="AR5975" s="1"/>
      <c r="AS5975" s="1"/>
      <c r="AT5975" s="1"/>
      <c r="AU5975" s="1"/>
      <c r="AV5975" s="1"/>
      <c r="AW5975" s="1"/>
      <c r="AX5975" s="1"/>
      <c r="AY5975" s="1"/>
      <c r="AZ5975" s="1"/>
      <c r="BA5975" s="1"/>
      <c r="BB5975" s="1"/>
    </row>
    <row r="5976" ht="204.75" customHeight="1">
      <c r="A5976" s="1">
        <v>5385.0</v>
      </c>
      <c r="B5976" s="2" t="s">
        <v>16056</v>
      </c>
      <c r="C5976" s="2">
        <f>IFERROR(__xludf.DUMMYFUNCTION("split(B5976,""_"")"),904.0)</f>
        <v>904</v>
      </c>
      <c r="D5976" s="2" t="str">
        <f>IFERROR(__xludf.DUMMYFUNCTION("""COMPUTED_VALUE"""),"TBS")</f>
        <v>TBS</v>
      </c>
      <c r="E5976" s="2" t="str">
        <f>IFERROR(__xludf.DUMMYFUNCTION("""COMPUTED_VALUE"""),"日21")</f>
        <v>日21</v>
      </c>
      <c r="F5976" s="2" t="s">
        <v>16057</v>
      </c>
      <c r="G5976" s="2" t="s">
        <v>16058</v>
      </c>
      <c r="H5976" s="1">
        <v>11.0</v>
      </c>
      <c r="J5976" s="1" t="s">
        <v>11</v>
      </c>
      <c r="K5976" s="2" t="s">
        <v>16069</v>
      </c>
      <c r="L5976" s="2"/>
      <c r="M5976" s="2" t="str">
        <f>IFERROR(__xludf.DUMMYFUNCTION("split(split(K5976,""【"",false),""公式LINE"",false)"),"「さよなら…妹の結婚」盟が里子という女性と知り合ったことから、盟と颯にいろいろな騒動が持ち上がり、二人は今まで以上に兄妹の絆を深めていた。盟は週末の二日、川端医院へ通い始めた。やっと幸せを掴みかけた颯は、また一人になってしまった。  だが、突然颯から結婚するから相手に会って欲しいと盟の元へ連絡が入った。まだまだ、ひと騒動持ち上がりそうな気配が…。オダギリジョー・長澤まさみ    千原ジュニア・ともさかりえ・田中哲司・鈴木砂羽・山田明郷・佐戸井けん太・若林　豪・大滝秀治『ふたり』 　いきものがかり  　　　"&amp;"　　　(エピックレコードジャパン)   池端俊策金子文紀  清弘 誠  加藤 新  ")</f>
        <v>「さよなら…妹の結婚」盟が里子という女性と知り合ったことから、盟と颯にいろいろな騒動が持ち上がり、二人は今まで以上に兄妹の絆を深めていた。盟は週末の二日、川端医院へ通い始めた。やっと幸せを掴みかけた颯は、また一人になってしまった。  だが、突然颯から結婚するから相手に会って欲しいと盟の元へ連絡が入った。まだまだ、ひと騒動持ち上がりそうな気配が…。オダギリジョー・長澤まさみ    千原ジュニア・ともさかりえ・田中哲司・鈴木砂羽・山田明郷・佐戸井けん太・若林　豪・大滝秀治『ふたり』 　いきものがかり  　　　　　　(エピックレコードジャパン)   池端俊策金子文紀  清弘 誠  加藤 新  </v>
      </c>
      <c r="N5976" s="2"/>
      <c r="O5976" s="2"/>
      <c r="P5976" s="1"/>
      <c r="Q5976" s="1"/>
      <c r="R5976" s="1"/>
      <c r="S5976" s="1"/>
      <c r="T5976" s="1"/>
      <c r="U5976" s="1"/>
      <c r="V5976" s="1"/>
      <c r="W5976" s="1"/>
      <c r="X5976" s="1"/>
      <c r="Y5976" s="1"/>
      <c r="Z5976" s="1"/>
      <c r="AA5976" s="1"/>
      <c r="AB5976" s="1"/>
      <c r="AC5976" s="1"/>
      <c r="AD5976" s="1"/>
      <c r="AE5976" s="1"/>
      <c r="AF5976" s="1"/>
      <c r="AG5976" s="1"/>
      <c r="AH5976" s="1"/>
      <c r="AI5976" s="1"/>
      <c r="AJ5976" s="1"/>
      <c r="AK5976" s="1"/>
      <c r="AL5976" s="1"/>
      <c r="AM5976" s="1"/>
      <c r="AN5976" s="1"/>
      <c r="AO5976" s="1"/>
      <c r="AP5976" s="1"/>
      <c r="AQ5976" s="1"/>
      <c r="AR5976" s="1"/>
      <c r="AS5976" s="1"/>
      <c r="AT5976" s="1"/>
      <c r="AU5976" s="1"/>
      <c r="AV5976" s="1"/>
      <c r="AW5976" s="1"/>
      <c r="AX5976" s="1"/>
      <c r="AY5976" s="1"/>
      <c r="AZ5976" s="1"/>
      <c r="BA5976" s="1"/>
      <c r="BB5976" s="1"/>
    </row>
    <row r="5977" ht="204.75" customHeight="1">
      <c r="A5977" s="1">
        <v>5465.0</v>
      </c>
      <c r="B5977" s="2" t="s">
        <v>16070</v>
      </c>
      <c r="C5977" s="2">
        <f>IFERROR(__xludf.DUMMYFUNCTION("split(B5977,""_"")"),901.0)</f>
        <v>901</v>
      </c>
      <c r="D5977" s="2" t="str">
        <f>IFERROR(__xludf.DUMMYFUNCTION("""COMPUTED_VALUE"""),"TBS")</f>
        <v>TBS</v>
      </c>
      <c r="E5977" s="2" t="str">
        <f>IFERROR(__xludf.DUMMYFUNCTION("""COMPUTED_VALUE"""),"金22")</f>
        <v>金22</v>
      </c>
      <c r="F5977" s="2" t="s">
        <v>16071</v>
      </c>
      <c r="G5977" s="2" t="s">
        <v>16072</v>
      </c>
      <c r="H5977" s="1">
        <v>1.0</v>
      </c>
      <c r="J5977" s="1" t="s">
        <v>82</v>
      </c>
      <c r="K5977" s="2" t="s">
        <v>16073</v>
      </c>
      <c r="L5977" s="2"/>
      <c r="M5977" s="2" t="str">
        <f>IFERROR(__xludf.DUMMYFUNCTION("split(split(K5977,""【"",false),""公式LINE"",false)"),"「恋人交換する？」29歳の若さで一流IT企業の課長の座にいる宇佐美啓宇佐美啓（玉木宏）。  啓は帰宅したマンションのエレベーターで偶然、同じフロアに住んでいるらしき三人、三ヶ国語を操る通訳の逢沢愛瑠（香里奈）、女性専門のプロカメラマン・世良旺次郎（松田翔太）、心療内科医の菊田正人（谷原章介）と乗り合わせるが、雷雨による停電でエレベーター内に閉じ込められてしまう。復旧を待つ間、正人の提案で啓たち四人は互いに自己紹介をする。  それぞれ何かしら問題を抱えている様子で、4人は急速に打ち解ける。宇佐美啓…玉木宏 "&amp;" 　   ○  逢沢愛瑠…香里奈  世良旺次郎…松田翔太  大石諭吉…DAIGO   早川海里…吉高由里子  上条玲子…小島　聖   　　　○  香川芽衣…貫地谷しほり  菊田正人…谷原章介   (他)")</f>
        <v>「恋人交換する？」29歳の若さで一流IT企業の課長の座にいる宇佐美啓宇佐美啓（玉木宏）。  啓は帰宅したマンションのエレベーターで偶然、同じフロアに住んでいるらしき三人、三ヶ国語を操る通訳の逢沢愛瑠（香里奈）、女性専門のプロカメラマン・世良旺次郎（松田翔太）、心療内科医の菊田正人（谷原章介）と乗り合わせるが、雷雨による停電でエレベーター内に閉じ込められてしまう。復旧を待つ間、正人の提案で啓たち四人は互いに自己紹介をする。  それぞれ何かしら問題を抱えている様子で、4人は急速に打ち解ける。宇佐美啓…玉木宏  　   ○  逢沢愛瑠…香里奈  世良旺次郎…松田翔太  大石諭吉…DAIGO   早川海里…吉高由里子  上条玲子…小島　聖   　　　○  香川芽衣…貫地谷しほり  菊田正人…谷原章介   (他)</v>
      </c>
      <c r="N5977" s="2"/>
      <c r="O5977" s="2"/>
      <c r="P5977" s="1"/>
      <c r="Q5977" s="1"/>
      <c r="R5977" s="1"/>
      <c r="S5977" s="1"/>
      <c r="T5977" s="1"/>
      <c r="U5977" s="1"/>
      <c r="V5977" s="1"/>
      <c r="W5977" s="1"/>
      <c r="X5977" s="1"/>
      <c r="Y5977" s="1"/>
      <c r="Z5977" s="1"/>
      <c r="AA5977" s="1"/>
      <c r="AB5977" s="1"/>
      <c r="AC5977" s="1"/>
      <c r="AD5977" s="1"/>
      <c r="AE5977" s="1"/>
      <c r="AF5977" s="1"/>
      <c r="AG5977" s="1"/>
      <c r="AH5977" s="1"/>
      <c r="AI5977" s="1"/>
      <c r="AJ5977" s="1"/>
      <c r="AK5977" s="1"/>
      <c r="AL5977" s="1"/>
      <c r="AM5977" s="1"/>
      <c r="AN5977" s="1"/>
      <c r="AO5977" s="1"/>
      <c r="AP5977" s="1"/>
      <c r="AQ5977" s="1"/>
      <c r="AR5977" s="1"/>
      <c r="AS5977" s="1"/>
      <c r="AT5977" s="1"/>
      <c r="AU5977" s="1"/>
      <c r="AV5977" s="1"/>
      <c r="AW5977" s="1"/>
      <c r="AX5977" s="1"/>
      <c r="AY5977" s="1"/>
      <c r="AZ5977" s="1"/>
      <c r="BA5977" s="1"/>
      <c r="BB5977" s="1"/>
    </row>
    <row r="5978" ht="204.75" customHeight="1">
      <c r="A5978" s="1">
        <v>5466.0</v>
      </c>
      <c r="B5978" s="2" t="s">
        <v>16070</v>
      </c>
      <c r="C5978" s="2">
        <f>IFERROR(__xludf.DUMMYFUNCTION("split(B5978,""_"")"),901.0)</f>
        <v>901</v>
      </c>
      <c r="D5978" s="2" t="str">
        <f>IFERROR(__xludf.DUMMYFUNCTION("""COMPUTED_VALUE"""),"TBS")</f>
        <v>TBS</v>
      </c>
      <c r="E5978" s="2" t="str">
        <f>IFERROR(__xludf.DUMMYFUNCTION("""COMPUTED_VALUE"""),"金22")</f>
        <v>金22</v>
      </c>
      <c r="F5978" s="2" t="s">
        <v>16071</v>
      </c>
      <c r="G5978" s="2" t="s">
        <v>16072</v>
      </c>
      <c r="H5978" s="1">
        <v>2.0</v>
      </c>
      <c r="J5978" s="1" t="s">
        <v>86</v>
      </c>
      <c r="K5978" s="2" t="s">
        <v>16074</v>
      </c>
      <c r="L5978" s="2"/>
      <c r="M5978" s="2" t="str">
        <f>IFERROR(__xludf.DUMMYFUNCTION("split(split(K5978,""【"",false),""公式LINE"",false)"),"「運命の人は一人だけですか？」ひょんなことから知り合いになった同じマンションに住む、啓（玉木 宏）、愛瑠（香里奈）、旺次郎（松田翔太）、正人（谷原章介）は、お互いのパートナーと共に“ラブシャッフル”をする事に…。1週間ごと相手をシャッフルするというルールのもと集まった8人。  芽衣に未練タラタラの啓は、芽衣の気持ちを取り戻せるのか不安を抱きつつも玲子とデートを始める。一方、愛瑠はカメラマンの旺次郎に写真撮影をしてもらうことに…。宇佐美啓…玉木宏  　   ○  逢沢愛瑠…香里奈  世良旺次郎…松田翔太  "&amp;"大石諭吉…DAIGO   早川海里…吉高由里子  上条玲子…小島　聖   　　　○  香川芽衣…貫地谷しほり  菊田正人…谷原章介   (他)")</f>
        <v>「運命の人は一人だけですか？」ひょんなことから知り合いになった同じマンションに住む、啓（玉木 宏）、愛瑠（香里奈）、旺次郎（松田翔太）、正人（谷原章介）は、お互いのパートナーと共に“ラブシャッフル”をする事に…。1週間ごと相手をシャッフルするというルールのもと集まった8人。  芽衣に未練タラタラの啓は、芽衣の気持ちを取り戻せるのか不安を抱きつつも玲子とデートを始める。一方、愛瑠はカメラマンの旺次郎に写真撮影をしてもらうことに…。宇佐美啓…玉木宏  　   ○  逢沢愛瑠…香里奈  世良旺次郎…松田翔太  大石諭吉…DAIGO   早川海里…吉高由里子  上条玲子…小島　聖   　　　○  香川芽衣…貫地谷しほり  菊田正人…谷原章介   (他)</v>
      </c>
      <c r="N5978" s="2"/>
      <c r="O5978" s="2"/>
      <c r="P5978" s="1"/>
      <c r="Q5978" s="1"/>
      <c r="R5978" s="1"/>
      <c r="S5978" s="1"/>
      <c r="T5978" s="1"/>
      <c r="U5978" s="1"/>
      <c r="V5978" s="1"/>
      <c r="W5978" s="1"/>
      <c r="X5978" s="1"/>
      <c r="Y5978" s="1"/>
      <c r="Z5978" s="1"/>
      <c r="AA5978" s="1"/>
      <c r="AB5978" s="1"/>
      <c r="AC5978" s="1"/>
      <c r="AD5978" s="1"/>
      <c r="AE5978" s="1"/>
      <c r="AF5978" s="1"/>
      <c r="AG5978" s="1"/>
      <c r="AH5978" s="1"/>
      <c r="AI5978" s="1"/>
      <c r="AJ5978" s="1"/>
      <c r="AK5978" s="1"/>
      <c r="AL5978" s="1"/>
      <c r="AM5978" s="1"/>
      <c r="AN5978" s="1"/>
      <c r="AO5978" s="1"/>
      <c r="AP5978" s="1"/>
      <c r="AQ5978" s="1"/>
      <c r="AR5978" s="1"/>
      <c r="AS5978" s="1"/>
      <c r="AT5978" s="1"/>
      <c r="AU5978" s="1"/>
      <c r="AV5978" s="1"/>
      <c r="AW5978" s="1"/>
      <c r="AX5978" s="1"/>
      <c r="AY5978" s="1"/>
      <c r="AZ5978" s="1"/>
      <c r="BA5978" s="1"/>
      <c r="BB5978" s="1"/>
    </row>
    <row r="5979" ht="204.75" customHeight="1">
      <c r="A5979" s="1">
        <v>5467.0</v>
      </c>
      <c r="B5979" s="2" t="s">
        <v>16070</v>
      </c>
      <c r="C5979" s="2">
        <f>IFERROR(__xludf.DUMMYFUNCTION("split(B5979,""_"")"),901.0)</f>
        <v>901</v>
      </c>
      <c r="D5979" s="2" t="str">
        <f>IFERROR(__xludf.DUMMYFUNCTION("""COMPUTED_VALUE"""),"TBS")</f>
        <v>TBS</v>
      </c>
      <c r="E5979" s="2" t="str">
        <f>IFERROR(__xludf.DUMMYFUNCTION("""COMPUTED_VALUE"""),"金22")</f>
        <v>金22</v>
      </c>
      <c r="F5979" s="2" t="s">
        <v>16071</v>
      </c>
      <c r="G5979" s="2" t="s">
        <v>16072</v>
      </c>
      <c r="H5979" s="1">
        <v>3.0</v>
      </c>
      <c r="J5979" s="1" t="s">
        <v>86</v>
      </c>
      <c r="K5979" s="2" t="s">
        <v>16075</v>
      </c>
      <c r="L5979" s="2"/>
      <c r="M5979" s="2" t="str">
        <f>IFERROR(__xludf.DUMMYFUNCTION("split(split(K5979,""【"",false),""公式LINE"",false)"),"「愛情なのか友情なのか」啓（玉木宏）は記憶にはないものの酔った勢いで最初のラブシャー相手・玲子（小島聖）と一夜を過ごしてしまった。啓は愛瑠（香里奈）・旺次郎（松田翔太）・正人（谷原章介）に玲子との事を芽衣（貫地谷しほり）に言わないで欲しいと口止めをする。しかし、そんな啓に2回目のラブシャー相手が芽衣である旺次郎は挑発的な態度を見せ、啓の不安を煽る。  一方、愛瑠はラブシャー相手の正人が、かつて恋人に自殺された過去を知る。宇佐美啓…玉木宏  　   ○  逢沢愛瑠…香里奈  世良旺次郎…松田翔太  大石諭吉"&amp;"…DAIGO   早川海里…吉高由里子  上条玲子…小島　聖   　　　○  香川芽衣…貫地谷しほり  菊田正人…谷原章介   (他)")</f>
        <v>「愛情なのか友情なのか」啓（玉木宏）は記憶にはないものの酔った勢いで最初のラブシャー相手・玲子（小島聖）と一夜を過ごしてしまった。啓は愛瑠（香里奈）・旺次郎（松田翔太）・正人（谷原章介）に玲子との事を芽衣（貫地谷しほり）に言わないで欲しいと口止めをする。しかし、そんな啓に2回目のラブシャー相手が芽衣である旺次郎は挑発的な態度を見せ、啓の不安を煽る。  一方、愛瑠はラブシャー相手の正人が、かつて恋人に自殺された過去を知る。宇佐美啓…玉木宏  　   ○  逢沢愛瑠…香里奈  世良旺次郎…松田翔太  大石諭吉…DAIGO   早川海里…吉高由里子  上条玲子…小島　聖   　　　○  香川芽衣…貫地谷しほり  菊田正人…谷原章介   (他)</v>
      </c>
      <c r="N5979" s="2"/>
      <c r="O5979" s="2"/>
      <c r="P5979" s="1"/>
      <c r="Q5979" s="1"/>
      <c r="R5979" s="1"/>
      <c r="S5979" s="1"/>
      <c r="T5979" s="1"/>
      <c r="U5979" s="1"/>
      <c r="V5979" s="1"/>
      <c r="W5979" s="1"/>
      <c r="X5979" s="1"/>
      <c r="Y5979" s="1"/>
      <c r="Z5979" s="1"/>
      <c r="AA5979" s="1"/>
      <c r="AB5979" s="1"/>
      <c r="AC5979" s="1"/>
      <c r="AD5979" s="1"/>
      <c r="AE5979" s="1"/>
      <c r="AF5979" s="1"/>
      <c r="AG5979" s="1"/>
      <c r="AH5979" s="1"/>
      <c r="AI5979" s="1"/>
      <c r="AJ5979" s="1"/>
      <c r="AK5979" s="1"/>
      <c r="AL5979" s="1"/>
      <c r="AM5979" s="1"/>
      <c r="AN5979" s="1"/>
      <c r="AO5979" s="1"/>
      <c r="AP5979" s="1"/>
      <c r="AQ5979" s="1"/>
      <c r="AR5979" s="1"/>
      <c r="AS5979" s="1"/>
      <c r="AT5979" s="1"/>
      <c r="AU5979" s="1"/>
      <c r="AV5979" s="1"/>
      <c r="AW5979" s="1"/>
      <c r="AX5979" s="1"/>
      <c r="AY5979" s="1"/>
      <c r="AZ5979" s="1"/>
      <c r="BA5979" s="1"/>
      <c r="BB5979" s="1"/>
    </row>
    <row r="5980" ht="204.75" customHeight="1">
      <c r="A5980" s="1">
        <v>5468.0</v>
      </c>
      <c r="B5980" s="2" t="s">
        <v>16070</v>
      </c>
      <c r="C5980" s="2">
        <f>IFERROR(__xludf.DUMMYFUNCTION("split(B5980,""_"")"),901.0)</f>
        <v>901</v>
      </c>
      <c r="D5980" s="2" t="str">
        <f>IFERROR(__xludf.DUMMYFUNCTION("""COMPUTED_VALUE"""),"TBS")</f>
        <v>TBS</v>
      </c>
      <c r="E5980" s="2" t="str">
        <f>IFERROR(__xludf.DUMMYFUNCTION("""COMPUTED_VALUE"""),"金22")</f>
        <v>金22</v>
      </c>
      <c r="F5980" s="2" t="s">
        <v>16071</v>
      </c>
      <c r="G5980" s="2" t="s">
        <v>16072</v>
      </c>
      <c r="H5980" s="1">
        <v>4.0</v>
      </c>
      <c r="J5980" s="1" t="s">
        <v>86</v>
      </c>
      <c r="K5980" s="2" t="s">
        <v>16076</v>
      </c>
      <c r="L5980" s="2"/>
      <c r="M5980" s="2" t="str">
        <f>IFERROR(__xludf.DUMMYFUNCTION("split(split(K5980,""【"",false),""公式LINE"",false)"),"「君を守るのは僕だ」3回目のラブシャッフルが始まり、啓（玉木宏）は愛瑠（香里奈）、旺次郎（松田翔太）は海里（吉高由里子）、正人（谷原章介）は玲子（小島聖）、そして諭吉（DAIGO）は芽衣（貫地谷しほり）と、カップルとして過ごすことに。  デートで海辺にドライブに出掛けた啓と愛瑠は偶然!?にも諭吉と芽衣に遭遇。四人は合流して砂浜で遊びに興じる。ところが、啓と諭吉が買い出し中に、愛瑠と芽衣は数人の男たちに絡まれ連れ去られる宇佐美啓…玉木宏  　   ○  逢沢愛瑠…香里奈  世良旺次郎…松田翔太  大石諭吉…"&amp;"DAIGO   早川海里…吉高由里子  上条玲子…小島　聖   　　　○  香川芽衣…貫地谷しほり  菊田正人…谷原章介   (他)")</f>
        <v>「君を守るのは僕だ」3回目のラブシャッフルが始まり、啓（玉木宏）は愛瑠（香里奈）、旺次郎（松田翔太）は海里（吉高由里子）、正人（谷原章介）は玲子（小島聖）、そして諭吉（DAIGO）は芽衣（貫地谷しほり）と、カップルとして過ごすことに。  デートで海辺にドライブに出掛けた啓と愛瑠は偶然!?にも諭吉と芽衣に遭遇。四人は合流して砂浜で遊びに興じる。ところが、啓と諭吉が買い出し中に、愛瑠と芽衣は数人の男たちに絡まれ連れ去られる宇佐美啓…玉木宏  　   ○  逢沢愛瑠…香里奈  世良旺次郎…松田翔太  大石諭吉…DAIGO   早川海里…吉高由里子  上条玲子…小島　聖   　　　○  香川芽衣…貫地谷しほり  菊田正人…谷原章介   (他)</v>
      </c>
      <c r="N5980" s="2"/>
      <c r="O5980" s="2"/>
      <c r="P5980" s="1"/>
      <c r="Q5980" s="1"/>
      <c r="R5980" s="1"/>
      <c r="S5980" s="1"/>
      <c r="T5980" s="1"/>
      <c r="U5980" s="1"/>
      <c r="V5980" s="1"/>
      <c r="W5980" s="1"/>
      <c r="X5980" s="1"/>
      <c r="Y5980" s="1"/>
      <c r="Z5980" s="1"/>
      <c r="AA5980" s="1"/>
      <c r="AB5980" s="1"/>
      <c r="AC5980" s="1"/>
      <c r="AD5980" s="1"/>
      <c r="AE5980" s="1"/>
      <c r="AF5980" s="1"/>
      <c r="AG5980" s="1"/>
      <c r="AH5980" s="1"/>
      <c r="AI5980" s="1"/>
      <c r="AJ5980" s="1"/>
      <c r="AK5980" s="1"/>
      <c r="AL5980" s="1"/>
      <c r="AM5980" s="1"/>
      <c r="AN5980" s="1"/>
      <c r="AO5980" s="1"/>
      <c r="AP5980" s="1"/>
      <c r="AQ5980" s="1"/>
      <c r="AR5980" s="1"/>
      <c r="AS5980" s="1"/>
      <c r="AT5980" s="1"/>
      <c r="AU5980" s="1"/>
      <c r="AV5980" s="1"/>
      <c r="AW5980" s="1"/>
      <c r="AX5980" s="1"/>
      <c r="AY5980" s="1"/>
      <c r="AZ5980" s="1"/>
      <c r="BA5980" s="1"/>
      <c r="BB5980" s="1"/>
    </row>
    <row r="5981" ht="204.75" customHeight="1">
      <c r="A5981" s="1">
        <v>5469.0</v>
      </c>
      <c r="B5981" s="2" t="s">
        <v>16070</v>
      </c>
      <c r="C5981" s="2">
        <f>IFERROR(__xludf.DUMMYFUNCTION("split(B5981,""_"")"),901.0)</f>
        <v>901</v>
      </c>
      <c r="D5981" s="2" t="str">
        <f>IFERROR(__xludf.DUMMYFUNCTION("""COMPUTED_VALUE"""),"TBS")</f>
        <v>TBS</v>
      </c>
      <c r="E5981" s="2" t="str">
        <f>IFERROR(__xludf.DUMMYFUNCTION("""COMPUTED_VALUE"""),"金22")</f>
        <v>金22</v>
      </c>
      <c r="F5981" s="2" t="s">
        <v>16071</v>
      </c>
      <c r="G5981" s="2" t="s">
        <v>16072</v>
      </c>
      <c r="H5981" s="1">
        <v>5.0</v>
      </c>
      <c r="J5981" s="1" t="s">
        <v>86</v>
      </c>
      <c r="K5981" s="2" t="s">
        <v>16077</v>
      </c>
      <c r="L5981" s="2"/>
      <c r="M5981" s="2" t="str">
        <f>IFERROR(__xludf.DUMMYFUNCTION("split(split(K5981,""【"",false),""公式LINE"",false)"),"「僕の就職とプールの告白」1週間ごとに行っていた「ラブシャッフル」が3回実行され、一通りのシャッフルが1巡り終了。正人（谷原章介）の提案で、とりあえず一度元のカップルに戻ってどんな変化が起きるのかを知る“元サヤシャッフル”が行われることになる。  愛瑠（香里奈）、芽衣（貫地谷しほり）、海里（吉高由里子）、玲子（小島聖）の4人は女だけでの集まりを行い、ラブシャッフルが2巡目に入った場合に備えて、男性4人の情報交換を行う。宇佐美啓…玉木宏  　   ○  逢沢愛瑠…香里奈  世良旺次郎…松田翔太  大石諭吉…"&amp;"DAIGO   早川海里…吉高由里子  上条玲子…小島　聖   　　　○  香川芽衣…貫地谷しほり  菊田正人…谷原章介   (他)")</f>
        <v>「僕の就職とプールの告白」1週間ごとに行っていた「ラブシャッフル」が3回実行され、一通りのシャッフルが1巡り終了。正人（谷原章介）の提案で、とりあえず一度元のカップルに戻ってどんな変化が起きるのかを知る“元サヤシャッフル”が行われることになる。  愛瑠（香里奈）、芽衣（貫地谷しほり）、海里（吉高由里子）、玲子（小島聖）の4人は女だけでの集まりを行い、ラブシャッフルが2巡目に入った場合に備えて、男性4人の情報交換を行う。宇佐美啓…玉木宏  　   ○  逢沢愛瑠…香里奈  世良旺次郎…松田翔太  大石諭吉…DAIGO   早川海里…吉高由里子  上条玲子…小島　聖   　　　○  香川芽衣…貫地谷しほり  菊田正人…谷原章介   (他)</v>
      </c>
      <c r="N5981" s="2"/>
      <c r="O5981" s="2"/>
      <c r="P5981" s="1"/>
      <c r="Q5981" s="1"/>
      <c r="R5981" s="1"/>
      <c r="S5981" s="1"/>
      <c r="T5981" s="1"/>
      <c r="U5981" s="1"/>
      <c r="V5981" s="1"/>
      <c r="W5981" s="1"/>
      <c r="X5981" s="1"/>
      <c r="Y5981" s="1"/>
      <c r="Z5981" s="1"/>
      <c r="AA5981" s="1"/>
      <c r="AB5981" s="1"/>
      <c r="AC5981" s="1"/>
      <c r="AD5981" s="1"/>
      <c r="AE5981" s="1"/>
      <c r="AF5981" s="1"/>
      <c r="AG5981" s="1"/>
      <c r="AH5981" s="1"/>
      <c r="AI5981" s="1"/>
      <c r="AJ5981" s="1"/>
      <c r="AK5981" s="1"/>
      <c r="AL5981" s="1"/>
      <c r="AM5981" s="1"/>
      <c r="AN5981" s="1"/>
      <c r="AO5981" s="1"/>
      <c r="AP5981" s="1"/>
      <c r="AQ5981" s="1"/>
      <c r="AR5981" s="1"/>
      <c r="AS5981" s="1"/>
      <c r="AT5981" s="1"/>
      <c r="AU5981" s="1"/>
      <c r="AV5981" s="1"/>
      <c r="AW5981" s="1"/>
      <c r="AX5981" s="1"/>
      <c r="AY5981" s="1"/>
      <c r="AZ5981" s="1"/>
      <c r="BA5981" s="1"/>
      <c r="BB5981" s="1"/>
    </row>
    <row r="5982" ht="204.75" customHeight="1">
      <c r="A5982" s="1">
        <v>5470.0</v>
      </c>
      <c r="B5982" s="2" t="s">
        <v>16070</v>
      </c>
      <c r="C5982" s="2">
        <f>IFERROR(__xludf.DUMMYFUNCTION("split(B5982,""_"")"),901.0)</f>
        <v>901</v>
      </c>
      <c r="D5982" s="2" t="str">
        <f>IFERROR(__xludf.DUMMYFUNCTION("""COMPUTED_VALUE"""),"TBS")</f>
        <v>TBS</v>
      </c>
      <c r="E5982" s="2" t="str">
        <f>IFERROR(__xludf.DUMMYFUNCTION("""COMPUTED_VALUE"""),"金22")</f>
        <v>金22</v>
      </c>
      <c r="F5982" s="2" t="s">
        <v>16071</v>
      </c>
      <c r="G5982" s="2" t="s">
        <v>16072</v>
      </c>
      <c r="H5982" s="1">
        <v>6.0</v>
      </c>
      <c r="J5982" s="1" t="s">
        <v>86</v>
      </c>
      <c r="K5982" s="2" t="s">
        <v>16078</v>
      </c>
      <c r="L5982" s="2"/>
      <c r="M5982" s="2" t="str">
        <f>IFERROR(__xludf.DUMMYFUNCTION("split(split(K5982,""【"",false),""公式LINE"",false)"),"「元カノに似てるのは君なんだ」芽衣（貫地谷しほり）と元サヤに戻り、“ラブシャッフル＝恋人交換”から卒業？しようとしていた啓（玉木宏）だったが、芽衣の「ラブシャッフルメンバーの中に気になる人がいる」という爆弾発言により、結局引き続きラブシャッフルの2巡目に参加することになる。  そんな中、啓は辞表を出したはずの会社からの呼び出しを受け、芽衣の兄・浩介（野村祐人）に課長から部長への昇進を言い渡され、仕事だけは元サヤに戻ることになる宇佐美啓…玉木宏  　   ○  逢沢愛瑠…香里奈  世良旺次郎…松田翔太  大"&amp;"石諭吉…DAIGO   早川海里…吉高由里子  上条玲子…小島　聖   　　　○  香川芽衣…貫地谷しほり  菊田正人…谷原章介   (他)")</f>
        <v>「元カノに似てるのは君なんだ」芽衣（貫地谷しほり）と元サヤに戻り、“ラブシャッフル＝恋人交換”から卒業？しようとしていた啓（玉木宏）だったが、芽衣の「ラブシャッフルメンバーの中に気になる人がいる」という爆弾発言により、結局引き続きラブシャッフルの2巡目に参加することになる。  そんな中、啓は辞表を出したはずの会社からの呼び出しを受け、芽衣の兄・浩介（野村祐人）に課長から部長への昇進を言い渡され、仕事だけは元サヤに戻ることになる宇佐美啓…玉木宏  　   ○  逢沢愛瑠…香里奈  世良旺次郎…松田翔太  大石諭吉…DAIGO   早川海里…吉高由里子  上条玲子…小島　聖   　　　○  香川芽衣…貫地谷しほり  菊田正人…谷原章介   (他)</v>
      </c>
      <c r="N5982" s="2"/>
      <c r="O5982" s="2"/>
      <c r="P5982" s="1"/>
      <c r="Q5982" s="1"/>
      <c r="R5982" s="1"/>
      <c r="S5982" s="1"/>
      <c r="T5982" s="1"/>
      <c r="U5982" s="1"/>
      <c r="V5982" s="1"/>
      <c r="W5982" s="1"/>
      <c r="X5982" s="1"/>
      <c r="Y5982" s="1"/>
      <c r="Z5982" s="1"/>
      <c r="AA5982" s="1"/>
      <c r="AB5982" s="1"/>
      <c r="AC5982" s="1"/>
      <c r="AD5982" s="1"/>
      <c r="AE5982" s="1"/>
      <c r="AF5982" s="1"/>
      <c r="AG5982" s="1"/>
      <c r="AH5982" s="1"/>
      <c r="AI5982" s="1"/>
      <c r="AJ5982" s="1"/>
      <c r="AK5982" s="1"/>
      <c r="AL5982" s="1"/>
      <c r="AM5982" s="1"/>
      <c r="AN5982" s="1"/>
      <c r="AO5982" s="1"/>
      <c r="AP5982" s="1"/>
      <c r="AQ5982" s="1"/>
      <c r="AR5982" s="1"/>
      <c r="AS5982" s="1"/>
      <c r="AT5982" s="1"/>
      <c r="AU5982" s="1"/>
      <c r="AV5982" s="1"/>
      <c r="AW5982" s="1"/>
      <c r="AX5982" s="1"/>
      <c r="AY5982" s="1"/>
      <c r="AZ5982" s="1"/>
      <c r="BA5982" s="1"/>
      <c r="BB5982" s="1"/>
    </row>
    <row r="5983" ht="204.75" customHeight="1">
      <c r="A5983" s="1">
        <v>5471.0</v>
      </c>
      <c r="B5983" s="2" t="s">
        <v>16070</v>
      </c>
      <c r="C5983" s="2">
        <f>IFERROR(__xludf.DUMMYFUNCTION("split(B5983,""_"")"),901.0)</f>
        <v>901</v>
      </c>
      <c r="D5983" s="2" t="str">
        <f>IFERROR(__xludf.DUMMYFUNCTION("""COMPUTED_VALUE"""),"TBS")</f>
        <v>TBS</v>
      </c>
      <c r="E5983" s="2" t="str">
        <f>IFERROR(__xludf.DUMMYFUNCTION("""COMPUTED_VALUE"""),"金22")</f>
        <v>金22</v>
      </c>
      <c r="F5983" s="2" t="s">
        <v>16071</v>
      </c>
      <c r="G5983" s="2" t="s">
        <v>16072</v>
      </c>
      <c r="H5983" s="1">
        <v>7.0</v>
      </c>
      <c r="J5983" s="1" t="s">
        <v>86</v>
      </c>
      <c r="K5983" s="2" t="s">
        <v>16079</v>
      </c>
      <c r="L5983" s="2"/>
      <c r="M5983" s="2" t="str">
        <f>IFERROR(__xludf.DUMMYFUNCTION("split(split(K5983,""【"",false),""公式LINE"",false)"),"「満月の夜の告白」旺次郎（松田翔太）や正人（谷原章介）と一緒にいたサウナから、間違えて正人の鍵を持ってきてしまった啓（玉木宏）。玄関先で遭遇した愛瑠（香里奈）にそそのかされ、正人の部屋に飾ってある元恋人の写真を見に行くことにする。正人が幸せそうな笑顔で写る2ショット写真を見るが、なんと正人と一緒に写っていたのは、旺次郎にそっくりな青年の姿だった。そんな二人の前に戻って来た正人は、自分がバイセクシュアルだと告白する。宇佐美啓…玉木宏  　   ○  逢沢愛瑠…香里奈  世良旺次郎…松田翔太  大石諭吉…DA"&amp;"IGO   早川海里…吉高由里子  上条玲子…小島　聖   　　　○  香川芽衣…貫地谷しほり  菊田正人…谷原章介   (他)")</f>
        <v>「満月の夜の告白」旺次郎（松田翔太）や正人（谷原章介）と一緒にいたサウナから、間違えて正人の鍵を持ってきてしまった啓（玉木宏）。玄関先で遭遇した愛瑠（香里奈）にそそのかされ、正人の部屋に飾ってある元恋人の写真を見に行くことにする。正人が幸せそうな笑顔で写る2ショット写真を見るが、なんと正人と一緒に写っていたのは、旺次郎にそっくりな青年の姿だった。そんな二人の前に戻って来た正人は、自分がバイセクシュアルだと告白する。宇佐美啓…玉木宏  　   ○  逢沢愛瑠…香里奈  世良旺次郎…松田翔太  大石諭吉…DAIGO   早川海里…吉高由里子  上条玲子…小島　聖   　　　○  香川芽衣…貫地谷しほり  菊田正人…谷原章介   (他)</v>
      </c>
      <c r="N5983" s="2"/>
      <c r="O5983" s="2"/>
      <c r="P5983" s="1"/>
      <c r="Q5983" s="1"/>
      <c r="R5983" s="1"/>
      <c r="S5983" s="1"/>
      <c r="T5983" s="1"/>
      <c r="U5983" s="1"/>
      <c r="V5983" s="1"/>
      <c r="W5983" s="1"/>
      <c r="X5983" s="1"/>
      <c r="Y5983" s="1"/>
      <c r="Z5983" s="1"/>
      <c r="AA5983" s="1"/>
      <c r="AB5983" s="1"/>
      <c r="AC5983" s="1"/>
      <c r="AD5983" s="1"/>
      <c r="AE5983" s="1"/>
      <c r="AF5983" s="1"/>
      <c r="AG5983" s="1"/>
      <c r="AH5983" s="1"/>
      <c r="AI5983" s="1"/>
      <c r="AJ5983" s="1"/>
      <c r="AK5983" s="1"/>
      <c r="AL5983" s="1"/>
      <c r="AM5983" s="1"/>
      <c r="AN5983" s="1"/>
      <c r="AO5983" s="1"/>
      <c r="AP5983" s="1"/>
      <c r="AQ5983" s="1"/>
      <c r="AR5983" s="1"/>
      <c r="AS5983" s="1"/>
      <c r="AT5983" s="1"/>
      <c r="AU5983" s="1"/>
      <c r="AV5983" s="1"/>
      <c r="AW5983" s="1"/>
      <c r="AX5983" s="1"/>
      <c r="AY5983" s="1"/>
      <c r="AZ5983" s="1"/>
      <c r="BA5983" s="1"/>
      <c r="BB5983" s="1"/>
    </row>
    <row r="5984" ht="204.75" customHeight="1">
      <c r="A5984" s="1">
        <v>5472.0</v>
      </c>
      <c r="B5984" s="2" t="s">
        <v>16070</v>
      </c>
      <c r="C5984" s="2">
        <f>IFERROR(__xludf.DUMMYFUNCTION("split(B5984,""_"")"),901.0)</f>
        <v>901</v>
      </c>
      <c r="D5984" s="2" t="str">
        <f>IFERROR(__xludf.DUMMYFUNCTION("""COMPUTED_VALUE"""),"TBS")</f>
        <v>TBS</v>
      </c>
      <c r="E5984" s="2" t="str">
        <f>IFERROR(__xludf.DUMMYFUNCTION("""COMPUTED_VALUE"""),"金22")</f>
        <v>金22</v>
      </c>
      <c r="F5984" s="2" t="s">
        <v>16071</v>
      </c>
      <c r="G5984" s="2" t="s">
        <v>16072</v>
      </c>
      <c r="H5984" s="1">
        <v>8.0</v>
      </c>
      <c r="J5984" s="1" t="s">
        <v>86</v>
      </c>
      <c r="K5984" s="2" t="s">
        <v>16080</v>
      </c>
      <c r="L5984" s="2"/>
      <c r="M5984" s="2" t="str">
        <f>IFERROR(__xludf.DUMMYFUNCTION("split(split(K5984,""【"",false),""公式LINE"",false)"),"「キスは突然炎のごとく」海里（吉高由里子）を父親の元から連れ出し、自分達のマンションに連れてきた啓（玉木宏）と旺次郎（松田翔太）。海里を加え、愛瑠（香里奈）、正人（谷原章介）らと恒例のパジャマパーティーを行う。そこで、啓たちは海里の誕生日をみんなで一緒に過ごし海里に自殺を思いとどまらせようと計画する。  そんな中、啓、旺次郎、諭吉の3人は正人から呼び出しを受け集まるのだが、そこで玲子（小島聖）から妊娠していると告げられる宇佐美啓…玉木宏  　   ○  逢沢愛瑠…香里奈  世良旺次郎…松田翔太  大石諭吉"&amp;"…DAIGO   早川海里…吉高由里子  上条玲子…小島　聖   　　　○  香川芽衣…貫地谷しほり  菊田正人…谷原章介   (他)")</f>
        <v>「キスは突然炎のごとく」海里（吉高由里子）を父親の元から連れ出し、自分達のマンションに連れてきた啓（玉木宏）と旺次郎（松田翔太）。海里を加え、愛瑠（香里奈）、正人（谷原章介）らと恒例のパジャマパーティーを行う。そこで、啓たちは海里の誕生日をみんなで一緒に過ごし海里に自殺を思いとどまらせようと計画する。  そんな中、啓、旺次郎、諭吉の3人は正人から呼び出しを受け集まるのだが、そこで玲子（小島聖）から妊娠していると告げられる宇佐美啓…玉木宏  　   ○  逢沢愛瑠…香里奈  世良旺次郎…松田翔太  大石諭吉…DAIGO   早川海里…吉高由里子  上条玲子…小島　聖   　　　○  香川芽衣…貫地谷しほり  菊田正人…谷原章介   (他)</v>
      </c>
      <c r="N5984" s="2"/>
      <c r="O5984" s="2"/>
      <c r="P5984" s="1"/>
      <c r="Q5984" s="1"/>
      <c r="R5984" s="1"/>
      <c r="S5984" s="1"/>
      <c r="T5984" s="1"/>
      <c r="U5984" s="1"/>
      <c r="V5984" s="1"/>
      <c r="W5984" s="1"/>
      <c r="X5984" s="1"/>
      <c r="Y5984" s="1"/>
      <c r="Z5984" s="1"/>
      <c r="AA5984" s="1"/>
      <c r="AB5984" s="1"/>
      <c r="AC5984" s="1"/>
      <c r="AD5984" s="1"/>
      <c r="AE5984" s="1"/>
      <c r="AF5984" s="1"/>
      <c r="AG5984" s="1"/>
      <c r="AH5984" s="1"/>
      <c r="AI5984" s="1"/>
      <c r="AJ5984" s="1"/>
      <c r="AK5984" s="1"/>
      <c r="AL5984" s="1"/>
      <c r="AM5984" s="1"/>
      <c r="AN5984" s="1"/>
      <c r="AO5984" s="1"/>
      <c r="AP5984" s="1"/>
      <c r="AQ5984" s="1"/>
      <c r="AR5984" s="1"/>
      <c r="AS5984" s="1"/>
      <c r="AT5984" s="1"/>
      <c r="AU5984" s="1"/>
      <c r="AV5984" s="1"/>
      <c r="AW5984" s="1"/>
      <c r="AX5984" s="1"/>
      <c r="AY5984" s="1"/>
      <c r="AZ5984" s="1"/>
      <c r="BA5984" s="1"/>
      <c r="BB5984" s="1"/>
    </row>
    <row r="5985" ht="204.75" customHeight="1">
      <c r="A5985" s="1">
        <v>5473.0</v>
      </c>
      <c r="B5985" s="2" t="s">
        <v>16070</v>
      </c>
      <c r="C5985" s="2">
        <f>IFERROR(__xludf.DUMMYFUNCTION("split(B5985,""_"")"),901.0)</f>
        <v>901</v>
      </c>
      <c r="D5985" s="2" t="str">
        <f>IFERROR(__xludf.DUMMYFUNCTION("""COMPUTED_VALUE"""),"TBS")</f>
        <v>TBS</v>
      </c>
      <c r="E5985" s="2" t="str">
        <f>IFERROR(__xludf.DUMMYFUNCTION("""COMPUTED_VALUE"""),"金22")</f>
        <v>金22</v>
      </c>
      <c r="F5985" s="2" t="s">
        <v>16071</v>
      </c>
      <c r="G5985" s="2" t="s">
        <v>16072</v>
      </c>
      <c r="H5985" s="1">
        <v>9.0</v>
      </c>
      <c r="J5985" s="1" t="s">
        <v>86</v>
      </c>
      <c r="K5985" s="2" t="s">
        <v>16081</v>
      </c>
      <c r="L5985" s="2"/>
      <c r="M5985" s="2" t="str">
        <f>IFERROR(__xludf.DUMMYFUNCTION("split(split(K5985,""【"",false),""公式LINE"",false)"),"「愛の裏返しは孤独だった」啓（玉木宏）と愛瑠（香里奈）は、海里の行方が分からず徐々に様子がおかしくなる旺次郎を心配する。しかし、正人（谷原章介）だけは冷静な態度で旺次郎に甲斐甲斐しく世話をしていた。そんな正人の態度に、愛瑠は「ワザと旺次郎の心を壊して付け入ろうとしているんじゃない？」と正人を非難する。信じがたい啓は愛瑠の発言を諌めるが、正人は愛瑠の糾弾発言を肯定。啓と愛瑠は正人の開き直った態度に愕然となる。宇佐美啓…玉木宏  　   ○  逢沢愛瑠…香里奈  世良旺次郎…松田翔太  大石諭吉…DAIGO "&amp;"  早川海里…吉高由里子  上条玲子…小島　聖   　　　○  香川芽衣…貫地谷しほり  菊田正人…谷原章介   (他)")</f>
        <v>「愛の裏返しは孤独だった」啓（玉木宏）と愛瑠（香里奈）は、海里の行方が分からず徐々に様子がおかしくなる旺次郎を心配する。しかし、正人（谷原章介）だけは冷静な態度で旺次郎に甲斐甲斐しく世話をしていた。そんな正人の態度に、愛瑠は「ワザと旺次郎の心を壊して付け入ろうとしているんじゃない？」と正人を非難する。信じがたい啓は愛瑠の発言を諌めるが、正人は愛瑠の糾弾発言を肯定。啓と愛瑠は正人の開き直った態度に愕然となる。宇佐美啓…玉木宏  　   ○  逢沢愛瑠…香里奈  世良旺次郎…松田翔太  大石諭吉…DAIGO   早川海里…吉高由里子  上条玲子…小島　聖   　　　○  香川芽衣…貫地谷しほり  菊田正人…谷原章介   (他)</v>
      </c>
      <c r="N5985" s="2"/>
      <c r="O5985" s="2"/>
      <c r="P5985" s="1"/>
      <c r="Q5985" s="1"/>
      <c r="R5985" s="1"/>
      <c r="S5985" s="1"/>
      <c r="T5985" s="1"/>
      <c r="U5985" s="1"/>
      <c r="V5985" s="1"/>
      <c r="W5985" s="1"/>
      <c r="X5985" s="1"/>
      <c r="Y5985" s="1"/>
      <c r="Z5985" s="1"/>
      <c r="AA5985" s="1"/>
      <c r="AB5985" s="1"/>
      <c r="AC5985" s="1"/>
      <c r="AD5985" s="1"/>
      <c r="AE5985" s="1"/>
      <c r="AF5985" s="1"/>
      <c r="AG5985" s="1"/>
      <c r="AH5985" s="1"/>
      <c r="AI5985" s="1"/>
      <c r="AJ5985" s="1"/>
      <c r="AK5985" s="1"/>
      <c r="AL5985" s="1"/>
      <c r="AM5985" s="1"/>
      <c r="AN5985" s="1"/>
      <c r="AO5985" s="1"/>
      <c r="AP5985" s="1"/>
      <c r="AQ5985" s="1"/>
      <c r="AR5985" s="1"/>
      <c r="AS5985" s="1"/>
      <c r="AT5985" s="1"/>
      <c r="AU5985" s="1"/>
      <c r="AV5985" s="1"/>
      <c r="AW5985" s="1"/>
      <c r="AX5985" s="1"/>
      <c r="AY5985" s="1"/>
      <c r="AZ5985" s="1"/>
      <c r="BA5985" s="1"/>
      <c r="BB5985" s="1"/>
    </row>
    <row r="5986" ht="204.75" customHeight="1">
      <c r="A5986" s="1">
        <v>5474.0</v>
      </c>
      <c r="B5986" s="2" t="s">
        <v>16070</v>
      </c>
      <c r="C5986" s="2">
        <f>IFERROR(__xludf.DUMMYFUNCTION("split(B5986,""_"")"),901.0)</f>
        <v>901</v>
      </c>
      <c r="D5986" s="2" t="str">
        <f>IFERROR(__xludf.DUMMYFUNCTION("""COMPUTED_VALUE"""),"TBS")</f>
        <v>TBS</v>
      </c>
      <c r="E5986" s="2" t="str">
        <f>IFERROR(__xludf.DUMMYFUNCTION("""COMPUTED_VALUE"""),"金22")</f>
        <v>金22</v>
      </c>
      <c r="F5986" s="2" t="s">
        <v>16071</v>
      </c>
      <c r="G5986" s="2" t="s">
        <v>16072</v>
      </c>
      <c r="H5986" s="1">
        <v>10.0</v>
      </c>
      <c r="J5986" s="1" t="s">
        <v>86</v>
      </c>
      <c r="K5986" s="2" t="s">
        <v>16082</v>
      </c>
      <c r="L5986" s="2"/>
      <c r="M5986" s="2" t="str">
        <f>IFERROR(__xludf.DUMMYFUNCTION("split(split(K5986,""【"",false),""公式LINE"",false)"),"「運命の人にめぐり逢うために」啓は恋人・芽衣からようやく元サヤに戻り予定通り結婚したいと言われ、無事結婚する運びとなる。  旺次郎の前から姿を消した海里（吉高由里子）が生きていた！しかし、今さら旺次郎には会えないと海里は言い…。  啓は芽衣と結婚し自分のキラキラを見出せるのか？  愛瑠は新恋人？・亀井（袴田吉彦）と結ばれるのか？  正人は…？  玲子（小島聖）は…？  「ラブシャッフル」というパンドラの箱を開けた彼らが迎える結末は!?宇佐美啓…玉木宏  　   ○  逢沢愛瑠…香里奈  世良旺次郎…松田翔"&amp;"太  大石諭吉…DAIGO   早川海里…吉高由里子  上条玲子…小島　聖   　　　○  香川芽衣…貫地谷しほり  菊田正人…谷原章介   (他)")</f>
        <v>「運命の人にめぐり逢うために」啓は恋人・芽衣からようやく元サヤに戻り予定通り結婚したいと言われ、無事結婚する運びとなる。  旺次郎の前から姿を消した海里（吉高由里子）が生きていた！しかし、今さら旺次郎には会えないと海里は言い…。  啓は芽衣と結婚し自分のキラキラを見出せるのか？  愛瑠は新恋人？・亀井（袴田吉彦）と結ばれるのか？  正人は…？  玲子（小島聖）は…？  「ラブシャッフル」というパンドラの箱を開けた彼らが迎える結末は!?宇佐美啓…玉木宏  　   ○  逢沢愛瑠…香里奈  世良旺次郎…松田翔太  大石諭吉…DAIGO   早川海里…吉高由里子  上条玲子…小島　聖   　　　○  香川芽衣…貫地谷しほり  菊田正人…谷原章介   (他)</v>
      </c>
      <c r="N5986" s="2"/>
      <c r="O5986" s="2"/>
      <c r="P5986" s="1"/>
      <c r="Q5986" s="1"/>
      <c r="R5986" s="1"/>
      <c r="S5986" s="1"/>
      <c r="T5986" s="1"/>
      <c r="U5986" s="1"/>
      <c r="V5986" s="1"/>
      <c r="W5986" s="1"/>
      <c r="X5986" s="1"/>
      <c r="Y5986" s="1"/>
      <c r="Z5986" s="1"/>
      <c r="AA5986" s="1"/>
      <c r="AB5986" s="1"/>
      <c r="AC5986" s="1"/>
      <c r="AD5986" s="1"/>
      <c r="AE5986" s="1"/>
      <c r="AF5986" s="1"/>
      <c r="AG5986" s="1"/>
      <c r="AH5986" s="1"/>
      <c r="AI5986" s="1"/>
      <c r="AJ5986" s="1"/>
      <c r="AK5986" s="1"/>
      <c r="AL5986" s="1"/>
      <c r="AM5986" s="1"/>
      <c r="AN5986" s="1"/>
      <c r="AO5986" s="1"/>
      <c r="AP5986" s="1"/>
      <c r="AQ5986" s="1"/>
      <c r="AR5986" s="1"/>
      <c r="AS5986" s="1"/>
      <c r="AT5986" s="1"/>
      <c r="AU5986" s="1"/>
      <c r="AV5986" s="1"/>
      <c r="AW5986" s="1"/>
      <c r="AX5986" s="1"/>
      <c r="AY5986" s="1"/>
      <c r="AZ5986" s="1"/>
      <c r="BA5986" s="1"/>
      <c r="BB5986" s="1"/>
    </row>
    <row r="5987" ht="204.75" customHeight="1">
      <c r="A5987" s="1">
        <v>5483.0</v>
      </c>
      <c r="B5987" s="2" t="s">
        <v>16083</v>
      </c>
      <c r="C5987" s="2">
        <f>IFERROR(__xludf.DUMMYFUNCTION("split(B5987,""_"")"),901.0)</f>
        <v>901</v>
      </c>
      <c r="D5987" s="2" t="str">
        <f>IFERROR(__xludf.DUMMYFUNCTION("""COMPUTED_VALUE"""),"TBS")</f>
        <v>TBS</v>
      </c>
      <c r="E5987" s="2" t="str">
        <f>IFERROR(__xludf.DUMMYFUNCTION("""COMPUTED_VALUE"""),"土20")</f>
        <v>土20</v>
      </c>
      <c r="F5987" s="2" t="s">
        <v>16084</v>
      </c>
      <c r="G5987" s="2" t="s">
        <v>16085</v>
      </c>
      <c r="H5987" s="1">
        <v>1.0</v>
      </c>
      <c r="J5987" s="1" t="s">
        <v>15851</v>
      </c>
      <c r="K5987" s="2" t="s">
        <v>16086</v>
      </c>
      <c r="L5987" s="2"/>
      <c r="M5987" s="2" t="str">
        <f>IFERROR(__xludf.DUMMYFUNCTION("split(split(K5987,""【"",false),""公式LINE"",false)"),"「365万人都市横浜を襲う今世紀最大の災害 命をかけて命を救う…全ての青春と人生を懸けた若者達の涙と感動の物語が今、始まる」横浜市安全管理局西消防署の 北島大地 (中丸雄一) は、消防隊として消火活動にあたった現場で、工場火災の炎と煙の中に取り残された女性を助けに行こうとする。しかし消防隊の隊員である大地にそんな資格も技術もなく、炎に阻まれてなす術もない。救急隊の 前園あおい (市川由衣) や 水野明日香 (笛木優子) らも見ていることしか出来ない。そんななか到着したのはオレンジの制服を纏った特別高度救助"&amp;"隊だった。中丸雄一(KAT-TUN)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八津"&amp;"弘幸倉貫健二郎  松田礼人加藤章一  佐藤敦司ドリマックス・テレビジョン  TBS")</f>
        <v>「365万人都市横浜を襲う今世紀最大の災害 命をかけて命を救う…全ての青春と人生を懸けた若者達の涙と感動の物語が今、始まる」横浜市安全管理局西消防署の 北島大地 (中丸雄一) は、消防隊として消火活動にあたった現場で、工場火災の炎と煙の中に取り残された女性を助けに行こうとする。しかし消防隊の隊員である大地にそんな資格も技術もなく、炎に阻まれてなす術もない。救急隊の 前園あおい (市川由衣) や 水野明日香 (笛木優子) らも見ていることしか出来ない。そんななか到着したのはオレンジの制服を纏った特別高度救助隊だった。中丸雄一(KAT-TUN)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v>
      </c>
      <c r="N5987" s="2"/>
      <c r="O5987" s="2"/>
      <c r="P5987" s="1"/>
      <c r="Q5987" s="1"/>
      <c r="R5987" s="1"/>
      <c r="S5987" s="1"/>
      <c r="T5987" s="1"/>
      <c r="U5987" s="1"/>
      <c r="V5987" s="1"/>
      <c r="W5987" s="1"/>
      <c r="X5987" s="1"/>
      <c r="Y5987" s="1"/>
      <c r="Z5987" s="1"/>
      <c r="AA5987" s="1"/>
      <c r="AB5987" s="1"/>
      <c r="AC5987" s="1"/>
      <c r="AD5987" s="1"/>
      <c r="AE5987" s="1"/>
      <c r="AF5987" s="1"/>
      <c r="AG5987" s="1"/>
      <c r="AH5987" s="1"/>
      <c r="AI5987" s="1"/>
      <c r="AJ5987" s="1"/>
      <c r="AK5987" s="1"/>
      <c r="AL5987" s="1"/>
      <c r="AM5987" s="1"/>
      <c r="AN5987" s="1"/>
      <c r="AO5987" s="1"/>
      <c r="AP5987" s="1"/>
      <c r="AQ5987" s="1"/>
      <c r="AR5987" s="1"/>
      <c r="AS5987" s="1"/>
      <c r="AT5987" s="1"/>
      <c r="AU5987" s="1"/>
      <c r="AV5987" s="1"/>
      <c r="AW5987" s="1"/>
      <c r="AX5987" s="1"/>
      <c r="AY5987" s="1"/>
      <c r="AZ5987" s="1"/>
      <c r="BA5987" s="1"/>
      <c r="BB5987" s="1"/>
    </row>
    <row r="5988" ht="204.75" customHeight="1">
      <c r="A5988" s="1">
        <v>5484.0</v>
      </c>
      <c r="B5988" s="2" t="s">
        <v>16083</v>
      </c>
      <c r="C5988" s="2">
        <f>IFERROR(__xludf.DUMMYFUNCTION("split(B5988,""_"")"),901.0)</f>
        <v>901</v>
      </c>
      <c r="D5988" s="2" t="str">
        <f>IFERROR(__xludf.DUMMYFUNCTION("""COMPUTED_VALUE"""),"TBS")</f>
        <v>TBS</v>
      </c>
      <c r="E5988" s="2" t="str">
        <f>IFERROR(__xludf.DUMMYFUNCTION("""COMPUTED_VALUE"""),"土20")</f>
        <v>土20</v>
      </c>
      <c r="F5988" s="2" t="s">
        <v>16084</v>
      </c>
      <c r="G5988" s="2" t="s">
        <v>16085</v>
      </c>
      <c r="H5988" s="1">
        <v>2.0</v>
      </c>
      <c r="J5988" s="1" t="s">
        <v>2809</v>
      </c>
      <c r="K5988" s="2" t="s">
        <v>16087</v>
      </c>
      <c r="L5988" s="2"/>
      <c r="M5988" s="2" t="str">
        <f>IFERROR(__xludf.DUMMYFUNCTION("split(split(K5988,""【"",false),""公式LINE"",false)"),"「横浜炎上！ビル崩壊絶体絶命の大パニック救え！要救助527名」大地 (中丸雄一) たち特別高度救助隊候補生の厳しい訓練は続き、自ら訓練所を去るものも出てきた。どうにか残っている大地、豊 (増田貴久)、不動 (山本裕典)、井川 (石黒英雄)、小日向 (大東俊介) らもふらふらだ。  さらに、落ちこぼれがちな同じ訓練生の 古賀 (浅利陽介) のために、同じ3班のメンバーである大地、井川、小日向はいつも連帯責任の罰を受けていた。  井川と小日向の我慢も限界に達したころ、大八木 (山下真司) は古賀に失格を伝える"&amp;"が、大地は古賀をかばう。  大八木はそんな大地に、不動とロープで勝負しろと命じる。中丸雄一(KAT-TUN)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『"&amp;" RESCUE 』  / J-One Records  山浦雅大  八津弘幸倉貫健二郎  松田礼人加藤章一  佐藤敦司ドリマックス・テレビジョン  TBS")</f>
        <v>「横浜炎上！ビル崩壊絶体絶命の大パニック救え！要救助527名」大地 (中丸雄一) たち特別高度救助隊候補生の厳しい訓練は続き、自ら訓練所を去るものも出てきた。どうにか残っている大地、豊 (増田貴久)、不動 (山本裕典)、井川 (石黒英雄)、小日向 (大東俊介) らもふらふらだ。  さらに、落ちこぼれがちな同じ訓練生の 古賀 (浅利陽介) のために、同じ3班のメンバーである大地、井川、小日向はいつも連帯責任の罰を受けていた。  井川と小日向の我慢も限界に達したころ、大八木 (山下真司) は古賀に失格を伝えるが、大地は古賀をかばう。  大八木はそんな大地に、不動とロープで勝負しろと命じる。中丸雄一(KAT-TUN)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v>
      </c>
      <c r="N5988" s="2"/>
      <c r="O5988" s="2"/>
      <c r="P5988" s="1"/>
      <c r="Q5988" s="1"/>
      <c r="R5988" s="1"/>
      <c r="S5988" s="1"/>
      <c r="T5988" s="1"/>
      <c r="U5988" s="1"/>
      <c r="V5988" s="1"/>
      <c r="W5988" s="1"/>
      <c r="X5988" s="1"/>
      <c r="Y5988" s="1"/>
      <c r="Z5988" s="1"/>
      <c r="AA5988" s="1"/>
      <c r="AB5988" s="1"/>
      <c r="AC5988" s="1"/>
      <c r="AD5988" s="1"/>
      <c r="AE5988" s="1"/>
      <c r="AF5988" s="1"/>
      <c r="AG5988" s="1"/>
      <c r="AH5988" s="1"/>
      <c r="AI5988" s="1"/>
      <c r="AJ5988" s="1"/>
      <c r="AK5988" s="1"/>
      <c r="AL5988" s="1"/>
      <c r="AM5988" s="1"/>
      <c r="AN5988" s="1"/>
      <c r="AO5988" s="1"/>
      <c r="AP5988" s="1"/>
      <c r="AQ5988" s="1"/>
      <c r="AR5988" s="1"/>
      <c r="AS5988" s="1"/>
      <c r="AT5988" s="1"/>
      <c r="AU5988" s="1"/>
      <c r="AV5988" s="1"/>
      <c r="AW5988" s="1"/>
      <c r="AX5988" s="1"/>
      <c r="AY5988" s="1"/>
      <c r="AZ5988" s="1"/>
      <c r="BA5988" s="1"/>
      <c r="BB5988" s="1"/>
    </row>
    <row r="5989" ht="204.75" customHeight="1">
      <c r="A5989" s="1">
        <v>5485.0</v>
      </c>
      <c r="B5989" s="2" t="s">
        <v>16083</v>
      </c>
      <c r="C5989" s="2">
        <f>IFERROR(__xludf.DUMMYFUNCTION("split(B5989,""_"")"),901.0)</f>
        <v>901</v>
      </c>
      <c r="D5989" s="2" t="str">
        <f>IFERROR(__xludf.DUMMYFUNCTION("""COMPUTED_VALUE"""),"TBS")</f>
        <v>TBS</v>
      </c>
      <c r="E5989" s="2" t="str">
        <f>IFERROR(__xludf.DUMMYFUNCTION("""COMPUTED_VALUE"""),"土20")</f>
        <v>土20</v>
      </c>
      <c r="F5989" s="2" t="s">
        <v>16084</v>
      </c>
      <c r="G5989" s="2" t="s">
        <v>16085</v>
      </c>
      <c r="H5989" s="1">
        <v>3.0</v>
      </c>
      <c r="J5989" s="1" t="s">
        <v>2809</v>
      </c>
      <c r="K5989" s="2" t="s">
        <v>16088</v>
      </c>
      <c r="L5989" s="2"/>
      <c r="M5989" s="2" t="str">
        <f>IFERROR(__xludf.DUMMYFUNCTION("split(split(K5989,""【"",false),""公式LINE"",false)"),"「壮絶な仲間の死…土砂崩落の中、心停止へ  命を懸ける意義とは」厳しい訓練は続き、24人いた候補生たちは次々と脱落していった。  残ったのは 大地 (中丸雄一)、豊 (増田貴久)、不動 (山本裕典)、省吾 (石黒英雄)、小日向 (大東俊介) ら8名のみ。  しかしスーパーレンジャーになるには、更に過酷な訓練が必要なのだ。  そして 大八木教官 (山下真司) から衝撃の事実が候補生たちに告げられる。  8人の中からスーパーレンジャーになれるのは2名だけだというのだ。中丸雄一(KAT-TUN)  増田貴久(N"&amp;"EWS)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佐藤敦司ドリマ"&amp;"ックス・テレビジョン  TBS")</f>
        <v>「壮絶な仲間の死…土砂崩落の中、心停止へ  命を懸ける意義とは」厳しい訓練は続き、24人いた候補生たちは次々と脱落していった。  残ったのは 大地 (中丸雄一)、豊 (増田貴久)、不動 (山本裕典)、省吾 (石黒英雄)、小日向 (大東俊介) ら8名のみ。  しかしスーパーレンジャーになるには、更に過酷な訓練が必要なのだ。  そして 大八木教官 (山下真司) から衝撃の事実が候補生たちに告げられる。  8人の中からスーパーレンジャーになれるのは2名だけだというのだ。中丸雄一(KAT-TUN)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v>
      </c>
      <c r="N5989" s="2"/>
      <c r="O5989" s="2"/>
      <c r="P5989" s="1"/>
      <c r="Q5989" s="1"/>
      <c r="R5989" s="1"/>
      <c r="S5989" s="1"/>
      <c r="T5989" s="1"/>
      <c r="U5989" s="1"/>
      <c r="V5989" s="1"/>
      <c r="W5989" s="1"/>
      <c r="X5989" s="1"/>
      <c r="Y5989" s="1"/>
      <c r="Z5989" s="1"/>
      <c r="AA5989" s="1"/>
      <c r="AB5989" s="1"/>
      <c r="AC5989" s="1"/>
      <c r="AD5989" s="1"/>
      <c r="AE5989" s="1"/>
      <c r="AF5989" s="1"/>
      <c r="AG5989" s="1"/>
      <c r="AH5989" s="1"/>
      <c r="AI5989" s="1"/>
      <c r="AJ5989" s="1"/>
      <c r="AK5989" s="1"/>
      <c r="AL5989" s="1"/>
      <c r="AM5989" s="1"/>
      <c r="AN5989" s="1"/>
      <c r="AO5989" s="1"/>
      <c r="AP5989" s="1"/>
      <c r="AQ5989" s="1"/>
      <c r="AR5989" s="1"/>
      <c r="AS5989" s="1"/>
      <c r="AT5989" s="1"/>
      <c r="AU5989" s="1"/>
      <c r="AV5989" s="1"/>
      <c r="AW5989" s="1"/>
      <c r="AX5989" s="1"/>
      <c r="AY5989" s="1"/>
      <c r="AZ5989" s="1"/>
      <c r="BA5989" s="1"/>
      <c r="BB5989" s="1"/>
    </row>
    <row r="5990" ht="204.75" customHeight="1">
      <c r="A5990" s="1">
        <v>5486.0</v>
      </c>
      <c r="B5990" s="2" t="s">
        <v>16083</v>
      </c>
      <c r="C5990" s="2">
        <f>IFERROR(__xludf.DUMMYFUNCTION("split(B5990,""_"")"),901.0)</f>
        <v>901</v>
      </c>
      <c r="D5990" s="2" t="str">
        <f>IFERROR(__xludf.DUMMYFUNCTION("""COMPUTED_VALUE"""),"TBS")</f>
        <v>TBS</v>
      </c>
      <c r="E5990" s="2" t="str">
        <f>IFERROR(__xludf.DUMMYFUNCTION("""COMPUTED_VALUE"""),"土20")</f>
        <v>土20</v>
      </c>
      <c r="F5990" s="2" t="s">
        <v>16084</v>
      </c>
      <c r="G5990" s="2" t="s">
        <v>16085</v>
      </c>
      <c r="H5990" s="1">
        <v>4.0</v>
      </c>
      <c r="J5990" s="1" t="s">
        <v>2809</v>
      </c>
      <c r="K5990" s="2" t="s">
        <v>16089</v>
      </c>
      <c r="L5990" s="2"/>
      <c r="M5990" s="2" t="str">
        <f>IFERROR(__xludf.DUMMYFUNCTION("split(split(K5990,""【"",false),""公式LINE"",false)"),"「発火ガス大量発生!!横浜地下、全焼か!?史上最大の救出劇」スーパーレンジャーの最終試験として現場に出動した大地 (中丸雄一) たち訓練生だったが、出動先の巨大水プラントでは異常は見つからず、誤通報として引き揚げようとした矢先、爆発が起きる。  噴出しては消える炎を見た大八木教官 (山下真司) は、特殊ガスと判断。大地、豊 (増田貴久)、不動 (山本裕典) らを指揮し要救助者を検索、社会科見学中の子供達と教師を保護するも警報で施設の出入り口は閉鎖されてしまう中丸雄一(KAT-TUN)  増田貴久(NEWS"&amp;")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佐藤敦司ドリマックス"&amp;"・テレビジョン  TBS")</f>
        <v>「発火ガス大量発生!!横浜地下、全焼か!?史上最大の救出劇」スーパーレンジャーの最終試験として現場に出動した大地 (中丸雄一) たち訓練生だったが、出動先の巨大水プラントでは異常は見つからず、誤通報として引き揚げようとした矢先、爆発が起きる。  噴出しては消える炎を見た大八木教官 (山下真司) は、特殊ガスと判断。大地、豊 (増田貴久)、不動 (山本裕典) らを指揮し要救助者を検索、社会科見学中の子供達と教師を保護するも警報で施設の出入り口は閉鎖されてしまう中丸雄一(KAT-TUN)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v>
      </c>
      <c r="N5990" s="2"/>
      <c r="O5990" s="2"/>
      <c r="P5990" s="1"/>
      <c r="Q5990" s="1"/>
      <c r="R5990" s="1"/>
      <c r="S5990" s="1"/>
      <c r="T5990" s="1"/>
      <c r="U5990" s="1"/>
      <c r="V5990" s="1"/>
      <c r="W5990" s="1"/>
      <c r="X5990" s="1"/>
      <c r="Y5990" s="1"/>
      <c r="Z5990" s="1"/>
      <c r="AA5990" s="1"/>
      <c r="AB5990" s="1"/>
      <c r="AC5990" s="1"/>
      <c r="AD5990" s="1"/>
      <c r="AE5990" s="1"/>
      <c r="AF5990" s="1"/>
      <c r="AG5990" s="1"/>
      <c r="AH5990" s="1"/>
      <c r="AI5990" s="1"/>
      <c r="AJ5990" s="1"/>
      <c r="AK5990" s="1"/>
      <c r="AL5990" s="1"/>
      <c r="AM5990" s="1"/>
      <c r="AN5990" s="1"/>
      <c r="AO5990" s="1"/>
      <c r="AP5990" s="1"/>
      <c r="AQ5990" s="1"/>
      <c r="AR5990" s="1"/>
      <c r="AS5990" s="1"/>
      <c r="AT5990" s="1"/>
      <c r="AU5990" s="1"/>
      <c r="AV5990" s="1"/>
      <c r="AW5990" s="1"/>
      <c r="AX5990" s="1"/>
      <c r="AY5990" s="1"/>
      <c r="AZ5990" s="1"/>
      <c r="BA5990" s="1"/>
      <c r="BB5990" s="1"/>
    </row>
    <row r="5991" ht="204.75" customHeight="1">
      <c r="A5991" s="1">
        <v>5487.0</v>
      </c>
      <c r="B5991" s="2" t="s">
        <v>16083</v>
      </c>
      <c r="C5991" s="2">
        <f>IFERROR(__xludf.DUMMYFUNCTION("split(B5991,""_"")"),901.0)</f>
        <v>901</v>
      </c>
      <c r="D5991" s="2" t="str">
        <f>IFERROR(__xludf.DUMMYFUNCTION("""COMPUTED_VALUE"""),"TBS")</f>
        <v>TBS</v>
      </c>
      <c r="E5991" s="2" t="str">
        <f>IFERROR(__xludf.DUMMYFUNCTION("""COMPUTED_VALUE"""),"土20")</f>
        <v>土20</v>
      </c>
      <c r="F5991" s="2" t="s">
        <v>16084</v>
      </c>
      <c r="G5991" s="2" t="s">
        <v>16085</v>
      </c>
      <c r="H5991" s="1">
        <v>5.0</v>
      </c>
      <c r="J5991" s="1" t="s">
        <v>2809</v>
      </c>
      <c r="K5991" s="2" t="s">
        <v>16090</v>
      </c>
      <c r="L5991" s="2"/>
      <c r="M5991" s="2" t="str">
        <f>IFERROR(__xludf.DUMMYFUNCTION("split(split(K5991,""【"",false),""公式LINE"",false)"),"「豪華客船炎上！脱出不能600名…史上最悪の水難事故発生」  憧れのスーパーレンジャーになった 大地 (中丸雄一)、豊 (増田貴久)、不動 (山本裕典) は、徳永隊長 (石黒賢) の隊に配属される。徳永の隊には 葛城 (要潤)、五十嵐 (田中要次)、加納 (照英)、佃 (高橋洋) がおり、3人は厳しく鍛えられる。  現場への出場を重ねるうちに、自分の持つスーパーレンジャーとしての理想と現実のギャップに気づく大地と豊。  そんな時、大型客船で火災が起こる。中丸雄一(KAT-TUN)  増田貴久(NEWS) "&amp;"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佐藤敦司ドリマックス・テ"&amp;"レビジョン  TBS")</f>
        <v>「豪華客船炎上！脱出不能600名…史上最悪の水難事故発生」  憧れのスーパーレンジャーになった 大地 (中丸雄一)、豊 (増田貴久)、不動 (山本裕典) は、徳永隊長 (石黒賢) の隊に配属される。徳永の隊には 葛城 (要潤)、五十嵐 (田中要次)、加納 (照英)、佃 (高橋洋) がおり、3人は厳しく鍛えられる。  現場への出場を重ねるうちに、自分の持つスーパーレンジャーとしての理想と現実のギャップに気づく大地と豊。  そんな時、大型客船で火災が起こる。中丸雄一(KAT-TUN)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v>
      </c>
      <c r="N5991" s="2"/>
      <c r="O5991" s="2"/>
      <c r="P5991" s="1"/>
      <c r="Q5991" s="1"/>
      <c r="R5991" s="1"/>
      <c r="S5991" s="1"/>
      <c r="T5991" s="1"/>
      <c r="U5991" s="1"/>
      <c r="V5991" s="1"/>
      <c r="W5991" s="1"/>
      <c r="X5991" s="1"/>
      <c r="Y5991" s="1"/>
      <c r="Z5991" s="1"/>
      <c r="AA5991" s="1"/>
      <c r="AB5991" s="1"/>
      <c r="AC5991" s="1"/>
      <c r="AD5991" s="1"/>
      <c r="AE5991" s="1"/>
      <c r="AF5991" s="1"/>
      <c r="AG5991" s="1"/>
      <c r="AH5991" s="1"/>
      <c r="AI5991" s="1"/>
      <c r="AJ5991" s="1"/>
      <c r="AK5991" s="1"/>
      <c r="AL5991" s="1"/>
      <c r="AM5991" s="1"/>
      <c r="AN5991" s="1"/>
      <c r="AO5991" s="1"/>
      <c r="AP5991" s="1"/>
      <c r="AQ5991" s="1"/>
      <c r="AR5991" s="1"/>
      <c r="AS5991" s="1"/>
      <c r="AT5991" s="1"/>
      <c r="AU5991" s="1"/>
      <c r="AV5991" s="1"/>
      <c r="AW5991" s="1"/>
      <c r="AX5991" s="1"/>
      <c r="AY5991" s="1"/>
      <c r="AZ5991" s="1"/>
      <c r="BA5991" s="1"/>
      <c r="BB5991" s="1"/>
    </row>
    <row r="5992" ht="204.75" customHeight="1">
      <c r="A5992" s="1">
        <v>5488.0</v>
      </c>
      <c r="B5992" s="2" t="s">
        <v>16083</v>
      </c>
      <c r="C5992" s="2">
        <f>IFERROR(__xludf.DUMMYFUNCTION("split(B5992,""_"")"),901.0)</f>
        <v>901</v>
      </c>
      <c r="D5992" s="2" t="str">
        <f>IFERROR(__xludf.DUMMYFUNCTION("""COMPUTED_VALUE"""),"TBS")</f>
        <v>TBS</v>
      </c>
      <c r="E5992" s="2" t="str">
        <f>IFERROR(__xludf.DUMMYFUNCTION("""COMPUTED_VALUE"""),"土20")</f>
        <v>土20</v>
      </c>
      <c r="F5992" s="2" t="s">
        <v>16084</v>
      </c>
      <c r="G5992" s="2" t="s">
        <v>16085</v>
      </c>
      <c r="H5992" s="1">
        <v>6.0</v>
      </c>
      <c r="J5992" s="1" t="s">
        <v>2809</v>
      </c>
      <c r="K5992" s="2" t="s">
        <v>16091</v>
      </c>
      <c r="L5992" s="2"/>
      <c r="M5992" s="2" t="str">
        <f>IFERROR(__xludf.DUMMYFUNCTION("split(split(K5992,""【"",false),""公式LINE"",false)"),"「横浜地下鉄パニック724名脱出不能!!ガス発生…絶対絶命」スーパーレンジャーとしての職務を全うしようと毎日努力を重ねる 大地 (中丸雄一)、豊 (増田貴久)、不動 (山本裕典)。  徳永隊長 (石黒賢) を始めとする隊員たちもそんな新人3人を温かく見守っていた。  しかし 葛城 (要潤) だけは3人のことを相手にもしない。  落ち込む大地たちに、先輩レンジャーの 五十嵐 (田中要次) たちは葛城の過去について口を開く。中丸雄一(KAT-TUN)  増田貴久(NEWS)  山本裕典  石黒英雄  大東俊介"&amp;"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f>
        <v>「横浜地下鉄パニック724名脱出不能!!ガス発生…絶対絶命」スーパーレンジャーとしての職務を全うしようと毎日努力を重ねる 大地 (中丸雄一)、豊 (増田貴久)、不動 (山本裕典)。  徳永隊長 (石黒賢) を始めとする隊員たちもそんな新人3人を温かく見守っていた。  しかし 葛城 (要潤) だけは3人のことを相手にもしない。  落ち込む大地たちに、先輩レンジャーの 五十嵐 (田中要次) たちは葛城の過去について口を開く。中丸雄一(KAT-TUN)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v>
      </c>
      <c r="N5992" s="2"/>
      <c r="O5992" s="2"/>
      <c r="P5992" s="1"/>
      <c r="Q5992" s="1"/>
      <c r="R5992" s="1"/>
      <c r="S5992" s="1"/>
      <c r="T5992" s="1"/>
      <c r="U5992" s="1"/>
      <c r="V5992" s="1"/>
      <c r="W5992" s="1"/>
      <c r="X5992" s="1"/>
      <c r="Y5992" s="1"/>
      <c r="Z5992" s="1"/>
      <c r="AA5992" s="1"/>
      <c r="AB5992" s="1"/>
      <c r="AC5992" s="1"/>
      <c r="AD5992" s="1"/>
      <c r="AE5992" s="1"/>
      <c r="AF5992" s="1"/>
      <c r="AG5992" s="1"/>
      <c r="AH5992" s="1"/>
      <c r="AI5992" s="1"/>
      <c r="AJ5992" s="1"/>
      <c r="AK5992" s="1"/>
      <c r="AL5992" s="1"/>
      <c r="AM5992" s="1"/>
      <c r="AN5992" s="1"/>
      <c r="AO5992" s="1"/>
      <c r="AP5992" s="1"/>
      <c r="AQ5992" s="1"/>
      <c r="AR5992" s="1"/>
      <c r="AS5992" s="1"/>
      <c r="AT5992" s="1"/>
      <c r="AU5992" s="1"/>
      <c r="AV5992" s="1"/>
      <c r="AW5992" s="1"/>
      <c r="AX5992" s="1"/>
      <c r="AY5992" s="1"/>
      <c r="AZ5992" s="1"/>
      <c r="BA5992" s="1"/>
      <c r="BB5992" s="1"/>
    </row>
    <row r="5993" ht="204.75" customHeight="1">
      <c r="A5993" s="1">
        <v>5489.0</v>
      </c>
      <c r="B5993" s="2" t="s">
        <v>16083</v>
      </c>
      <c r="C5993" s="2">
        <f>IFERROR(__xludf.DUMMYFUNCTION("split(B5993,""_"")"),901.0)</f>
        <v>901</v>
      </c>
      <c r="D5993" s="2" t="str">
        <f>IFERROR(__xludf.DUMMYFUNCTION("""COMPUTED_VALUE"""),"TBS")</f>
        <v>TBS</v>
      </c>
      <c r="E5993" s="2" t="str">
        <f>IFERROR(__xludf.DUMMYFUNCTION("""COMPUTED_VALUE"""),"土20")</f>
        <v>土20</v>
      </c>
      <c r="F5993" s="2" t="s">
        <v>16084</v>
      </c>
      <c r="G5993" s="2" t="s">
        <v>16085</v>
      </c>
      <c r="H5993" s="1">
        <v>7.0</v>
      </c>
      <c r="J5993" s="1" t="s">
        <v>2809</v>
      </c>
      <c r="K5993" s="2" t="s">
        <v>16092</v>
      </c>
      <c r="L5993" s="2"/>
      <c r="M5993" s="2" t="str">
        <f>IFERROR(__xludf.DUMMYFUNCTION("split(split(K5993,""【"",false),""公式LINE"",false)"),"「土砂崩落！生き埋め妊婦を襲う突然の陣痛 救え！新たな命」不動 (山本裕典) の兄・忠志 (柏原収史) と知り合った 大地 (中丸雄一) と 豊 (増田貴久)。不動の実家は代々医者の家系で、忠志も医師として YMAT (＝横浜市が独自に発足させた医師・看護師による救急医療チーム) で活躍していた。不動も医者を目指していたが、4年前にすべてを投げ出して家を飛び出したという。  そんな弟にスーパーレンジャーとして人を救うという仕事が務まるわけがないと言う兄。中丸雄一(KAT-TUN)  増田貴久(NEWS) "&amp;"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佐藤敦司ドリマックス・テ"&amp;"レビジョン  TBS")</f>
        <v>「土砂崩落！生き埋め妊婦を襲う突然の陣痛 救え！新たな命」不動 (山本裕典) の兄・忠志 (柏原収史) と知り合った 大地 (中丸雄一) と 豊 (増田貴久)。不動の実家は代々医者の家系で、忠志も医師として YMAT (＝横浜市が独自に発足させた医師・看護師による救急医療チーム) で活躍していた。不動も医者を目指していたが、4年前にすべてを投げ出して家を飛び出したという。  そんな弟にスーパーレンジャーとして人を救うという仕事が務まるわけがないと言う兄。中丸雄一(KAT-TUN)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v>
      </c>
      <c r="N5993" s="2"/>
      <c r="O5993" s="2"/>
      <c r="P5993" s="1"/>
      <c r="Q5993" s="1"/>
      <c r="R5993" s="1"/>
      <c r="S5993" s="1"/>
      <c r="T5993" s="1"/>
      <c r="U5993" s="1"/>
      <c r="V5993" s="1"/>
      <c r="W5993" s="1"/>
      <c r="X5993" s="1"/>
      <c r="Y5993" s="1"/>
      <c r="Z5993" s="1"/>
      <c r="AA5993" s="1"/>
      <c r="AB5993" s="1"/>
      <c r="AC5993" s="1"/>
      <c r="AD5993" s="1"/>
      <c r="AE5993" s="1"/>
      <c r="AF5993" s="1"/>
      <c r="AG5993" s="1"/>
      <c r="AH5993" s="1"/>
      <c r="AI5993" s="1"/>
      <c r="AJ5993" s="1"/>
      <c r="AK5993" s="1"/>
      <c r="AL5993" s="1"/>
      <c r="AM5993" s="1"/>
      <c r="AN5993" s="1"/>
      <c r="AO5993" s="1"/>
      <c r="AP5993" s="1"/>
      <c r="AQ5993" s="1"/>
      <c r="AR5993" s="1"/>
      <c r="AS5993" s="1"/>
      <c r="AT5993" s="1"/>
      <c r="AU5993" s="1"/>
      <c r="AV5993" s="1"/>
      <c r="AW5993" s="1"/>
      <c r="AX5993" s="1"/>
      <c r="AY5993" s="1"/>
      <c r="AZ5993" s="1"/>
      <c r="BA5993" s="1"/>
      <c r="BB5993" s="1"/>
    </row>
    <row r="5994" ht="204.75" customHeight="1">
      <c r="A5994" s="1">
        <v>5490.0</v>
      </c>
      <c r="B5994" s="2" t="s">
        <v>16083</v>
      </c>
      <c r="C5994" s="2">
        <f>IFERROR(__xludf.DUMMYFUNCTION("split(B5994,""_"")"),901.0)</f>
        <v>901</v>
      </c>
      <c r="D5994" s="2" t="str">
        <f>IFERROR(__xludf.DUMMYFUNCTION("""COMPUTED_VALUE"""),"TBS")</f>
        <v>TBS</v>
      </c>
      <c r="E5994" s="2" t="str">
        <f>IFERROR(__xludf.DUMMYFUNCTION("""COMPUTED_VALUE"""),"土20")</f>
        <v>土20</v>
      </c>
      <c r="F5994" s="2" t="s">
        <v>16084</v>
      </c>
      <c r="G5994" s="2" t="s">
        <v>16085</v>
      </c>
      <c r="H5994" s="1">
        <v>8.0</v>
      </c>
      <c r="J5994" s="1" t="s">
        <v>2809</v>
      </c>
      <c r="K5994" s="2" t="s">
        <v>16093</v>
      </c>
      <c r="L5994" s="2"/>
      <c r="M5994" s="2" t="str">
        <f>IFERROR(__xludf.DUMMYFUNCTION("split(split(K5994,""【"",false),""公式LINE"",false)"),"「死を覚悟した男たち  横浜を襲う最大の災害…最期の救出へ」救助中、トンネル崩落現場での爆発に巻き込まれた 五十嵐 (田中要次) は、瓦礫の中から脱出できずにいた。しかもトンネル内のガス濃度が上昇し、爆発の危険性が増していた。指令センターの 芹沢 (石橋凌) からは退避命令が出されるが、徳永隊長 (石黒賢) を始め、大地 (中丸雄一)、豊 (増田貴久)、不動 (山本裕典) たち隊員は五十嵐を見捨てることは出来ない、と必死で救出作業を続ける。中丸雄一(KAT-TUN)  増田貴久(NEWS)  山本裕典  "&amp;"石黒英雄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"&amp;"TBS")</f>
        <v>「死を覚悟した男たち  横浜を襲う最大の災害…最期の救出へ」救助中、トンネル崩落現場での爆発に巻き込まれた 五十嵐 (田中要次) は、瓦礫の中から脱出できずにいた。しかもトンネル内のガス濃度が上昇し、爆発の危険性が増していた。指令センターの 芹沢 (石橋凌) からは退避命令が出されるが、徳永隊長 (石黒賢) を始め、大地 (中丸雄一)、豊 (増田貴久)、不動 (山本裕典) たち隊員は五十嵐を見捨てることは出来ない、と必死で救出作業を続ける。中丸雄一(KAT-TUN)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v>
      </c>
      <c r="N5994" s="2"/>
      <c r="O5994" s="2"/>
      <c r="P5994" s="1"/>
      <c r="Q5994" s="1"/>
      <c r="R5994" s="1"/>
      <c r="S5994" s="1"/>
      <c r="T5994" s="1"/>
      <c r="U5994" s="1"/>
      <c r="V5994" s="1"/>
      <c r="W5994" s="1"/>
      <c r="X5994" s="1"/>
      <c r="Y5994" s="1"/>
      <c r="Z5994" s="1"/>
      <c r="AA5994" s="1"/>
      <c r="AB5994" s="1"/>
      <c r="AC5994" s="1"/>
      <c r="AD5994" s="1"/>
      <c r="AE5994" s="1"/>
      <c r="AF5994" s="1"/>
      <c r="AG5994" s="1"/>
      <c r="AH5994" s="1"/>
      <c r="AI5994" s="1"/>
      <c r="AJ5994" s="1"/>
      <c r="AK5994" s="1"/>
      <c r="AL5994" s="1"/>
      <c r="AM5994" s="1"/>
      <c r="AN5994" s="1"/>
      <c r="AO5994" s="1"/>
      <c r="AP5994" s="1"/>
      <c r="AQ5994" s="1"/>
      <c r="AR5994" s="1"/>
      <c r="AS5994" s="1"/>
      <c r="AT5994" s="1"/>
      <c r="AU5994" s="1"/>
      <c r="AV5994" s="1"/>
      <c r="AW5994" s="1"/>
      <c r="AX5994" s="1"/>
      <c r="AY5994" s="1"/>
      <c r="AZ5994" s="1"/>
      <c r="BA5994" s="1"/>
      <c r="BB5994" s="1"/>
    </row>
    <row r="5995" ht="204.75" customHeight="1">
      <c r="A5995" s="1">
        <v>5491.0</v>
      </c>
      <c r="B5995" s="2" t="s">
        <v>16083</v>
      </c>
      <c r="C5995" s="2">
        <f>IFERROR(__xludf.DUMMYFUNCTION("split(B5995,""_"")"),901.0)</f>
        <v>901</v>
      </c>
      <c r="D5995" s="2" t="str">
        <f>IFERROR(__xludf.DUMMYFUNCTION("""COMPUTED_VALUE"""),"TBS")</f>
        <v>TBS</v>
      </c>
      <c r="E5995" s="2" t="str">
        <f>IFERROR(__xludf.DUMMYFUNCTION("""COMPUTED_VALUE"""),"土20")</f>
        <v>土20</v>
      </c>
      <c r="F5995" s="2" t="s">
        <v>16084</v>
      </c>
      <c r="G5995" s="2" t="s">
        <v>16085</v>
      </c>
      <c r="H5995" s="1">
        <v>9.0</v>
      </c>
      <c r="J5995" s="1" t="s">
        <v>2809</v>
      </c>
      <c r="K5995" s="2" t="s">
        <v>16094</v>
      </c>
      <c r="L5995" s="2"/>
      <c r="M5995" s="2" t="str">
        <f>IFERROR(__xludf.DUMMYFUNCTION("split(split(K5995,""【"",false),""公式LINE"",false)"),"「ドラマ史上最悪の結末！ベイブリッジ完全封鎖へ！最終章」十嵐 (田中要次) の殉職の一件で解散となったSR・徳永隊。  葛城 (要潤)、加納 (照英)、佃 (高橋洋) は内勤に、豊 (増田貴久) と不動 (山本裕典) は消防隊へ…隊員たちは皆、SRの職を解かれバラバラに配属されていた。  一方、横浜市内の火力発電所で起きた火災は甚大な被害をもたらしつつあった。  火の勢いは収まらず、救助隊員やSRたちの負傷者も増え続ける。芹沢は徳永隊長に、ある命令を下す。中丸雄一(KAT-TUN)  増田貴久(NEWS)"&amp;"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佐藤敦司ドリマックス・"&amp;"テレビジョン  TBS")</f>
        <v>「ドラマ史上最悪の結末！ベイブリッジ完全封鎖へ！最終章」十嵐 (田中要次) の殉職の一件で解散となったSR・徳永隊。  葛城 (要潤)、加納 (照英)、佃 (高橋洋) は内勤に、豊 (増田貴久) と不動 (山本裕典) は消防隊へ…隊員たちは皆、SRの職を解かれバラバラに配属されていた。  一方、横浜市内の火力発電所で起きた火災は甚大な被害をもたらしつつあった。  火の勢いは収まらず、救助隊員やSRたちの負傷者も増え続ける。芹沢は徳永隊長に、ある命令を下す。中丸雄一(KAT-TUN)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v>
      </c>
      <c r="N5995" s="2"/>
      <c r="O5995" s="2"/>
      <c r="P5995" s="1"/>
      <c r="Q5995" s="1"/>
      <c r="R5995" s="1"/>
      <c r="S5995" s="1"/>
      <c r="T5995" s="1"/>
      <c r="U5995" s="1"/>
      <c r="V5995" s="1"/>
      <c r="W5995" s="1"/>
      <c r="X5995" s="1"/>
      <c r="Y5995" s="1"/>
      <c r="Z5995" s="1"/>
      <c r="AA5995" s="1"/>
      <c r="AB5995" s="1"/>
      <c r="AC5995" s="1"/>
      <c r="AD5995" s="1"/>
      <c r="AE5995" s="1"/>
      <c r="AF5995" s="1"/>
      <c r="AG5995" s="1"/>
      <c r="AH5995" s="1"/>
      <c r="AI5995" s="1"/>
      <c r="AJ5995" s="1"/>
      <c r="AK5995" s="1"/>
      <c r="AL5995" s="1"/>
      <c r="AM5995" s="1"/>
      <c r="AN5995" s="1"/>
      <c r="AO5995" s="1"/>
      <c r="AP5995" s="1"/>
      <c r="AQ5995" s="1"/>
      <c r="AR5995" s="1"/>
      <c r="AS5995" s="1"/>
      <c r="AT5995" s="1"/>
      <c r="AU5995" s="1"/>
      <c r="AV5995" s="1"/>
      <c r="AW5995" s="1"/>
      <c r="AX5995" s="1"/>
      <c r="AY5995" s="1"/>
      <c r="AZ5995" s="1"/>
      <c r="BA5995" s="1"/>
      <c r="BB5995" s="1"/>
    </row>
    <row r="5996" ht="204.75" customHeight="1">
      <c r="A5996" s="1">
        <v>5509.0</v>
      </c>
      <c r="B5996" s="2" t="s">
        <v>16095</v>
      </c>
      <c r="C5996" s="2">
        <f>IFERROR(__xludf.DUMMYFUNCTION("split(B5996,""_"")"),901.0)</f>
        <v>901</v>
      </c>
      <c r="D5996" s="2" t="str">
        <f>IFERROR(__xludf.DUMMYFUNCTION("""COMPUTED_VALUE"""),"TBS")</f>
        <v>TBS</v>
      </c>
      <c r="E5996" s="2" t="str">
        <f>IFERROR(__xludf.DUMMYFUNCTION("""COMPUTED_VALUE"""),"日21")</f>
        <v>日21</v>
      </c>
      <c r="F5996" s="2" t="s">
        <v>16096</v>
      </c>
      <c r="G5996" s="2" t="s">
        <v>16097</v>
      </c>
      <c r="H5996" s="1">
        <v>1.0</v>
      </c>
      <c r="J5996" s="1" t="s">
        <v>4</v>
      </c>
      <c r="K5996" s="2" t="s">
        <v>16098</v>
      </c>
      <c r="L5996" s="2"/>
      <c r="M5996" s="2" t="str">
        <f>IFERROR(__xludf.DUMMYFUNCTION("split(split(K5996,""【"",false),""公式LINE"",false)"),"「日本最南端の離島にやってきた駐在さんの熱血全力奮闘記」  南十字星が見える日本最南端の有人島、沖縄の波照間島をモデルにした架空の離島・那瑠美島（なるみじま）暴力事件はおろかささやかな窃盗事件などまったく起こらない平和なこの島にやってきた駐在さん。最初は必要ないとみんなに邪険に扱われるが、駐在さんは、その人柄と情熱で、貧困や過疎化、少子化や高齢化に悩み絶望し、あきらめていた人々の心を変え希望を灯していく。白瀬遼…坂口憲二  西門うらら…松下奈緒    前田美波里  夏未エレナ  宇梶剛士  近藤芳正  岡"&amp;"本麗  (他)秋川雅史「ねがい」藤本有紀加藤　新植田博樹  正木敦http://www.tbs.co.jp/hon-hare2009/TBSテレビ")</f>
        <v>「日本最南端の離島にやってきた駐在さんの熱血全力奮闘記」  南十字星が見える日本最南端の有人島、沖縄の波照間島をモデルにした架空の離島・那瑠美島（なるみじま）暴力事件はおろかささやかな窃盗事件などまったく起こらない平和なこの島にやってきた駐在さん。最初は必要ないとみんなに邪険に扱われるが、駐在さんは、その人柄と情熱で、貧困や過疎化、少子化や高齢化に悩み絶望し、あきらめていた人々の心を変え希望を灯していく。白瀬遼…坂口憲二  西門うらら…松下奈緒    前田美波里  夏未エレナ  宇梶剛士  近藤芳正  岡本麗  (他)秋川雅史「ねがい」藤本有紀加藤　新植田博樹  正木敦http://www.tbs.co.jp/hon-hare2009/TBSテレビ</v>
      </c>
      <c r="N5996" s="2"/>
      <c r="O5996" s="2"/>
      <c r="P5996" s="1"/>
      <c r="Q5996" s="1"/>
      <c r="R5996" s="1"/>
      <c r="S5996" s="1"/>
      <c r="T5996" s="1"/>
      <c r="U5996" s="1"/>
      <c r="V5996" s="1"/>
      <c r="W5996" s="1"/>
      <c r="X5996" s="1"/>
      <c r="Y5996" s="1"/>
      <c r="Z5996" s="1"/>
      <c r="AA5996" s="1"/>
      <c r="AB5996" s="1"/>
      <c r="AC5996" s="1"/>
      <c r="AD5996" s="1"/>
      <c r="AE5996" s="1"/>
      <c r="AF5996" s="1"/>
      <c r="AG5996" s="1"/>
      <c r="AH5996" s="1"/>
      <c r="AI5996" s="1"/>
      <c r="AJ5996" s="1"/>
      <c r="AK5996" s="1"/>
      <c r="AL5996" s="1"/>
      <c r="AM5996" s="1"/>
      <c r="AN5996" s="1"/>
      <c r="AO5996" s="1"/>
      <c r="AP5996" s="1"/>
      <c r="AQ5996" s="1"/>
      <c r="AR5996" s="1"/>
      <c r="AS5996" s="1"/>
      <c r="AT5996" s="1"/>
      <c r="AU5996" s="1"/>
      <c r="AV5996" s="1"/>
      <c r="AW5996" s="1"/>
      <c r="AX5996" s="1"/>
      <c r="AY5996" s="1"/>
      <c r="AZ5996" s="1"/>
      <c r="BA5996" s="1"/>
      <c r="BB5996" s="1"/>
    </row>
    <row r="5997" ht="204.75" customHeight="1">
      <c r="A5997" s="1">
        <v>5510.0</v>
      </c>
      <c r="B5997" s="2" t="s">
        <v>16095</v>
      </c>
      <c r="C5997" s="2">
        <f>IFERROR(__xludf.DUMMYFUNCTION("split(B5997,""_"")"),901.0)</f>
        <v>901</v>
      </c>
      <c r="D5997" s="2" t="str">
        <f>IFERROR(__xludf.DUMMYFUNCTION("""COMPUTED_VALUE"""),"TBS")</f>
        <v>TBS</v>
      </c>
      <c r="E5997" s="2" t="str">
        <f>IFERROR(__xludf.DUMMYFUNCTION("""COMPUTED_VALUE"""),"日21")</f>
        <v>日21</v>
      </c>
      <c r="F5997" s="2" t="s">
        <v>16096</v>
      </c>
      <c r="G5997" s="2" t="s">
        <v>16097</v>
      </c>
      <c r="H5997" s="1">
        <v>2.0</v>
      </c>
      <c r="J5997" s="1" t="s">
        <v>11</v>
      </c>
      <c r="K5997" s="2" t="s">
        <v>16099</v>
      </c>
      <c r="L5997" s="2"/>
      <c r="M5997" s="2" t="str">
        <f>IFERROR(__xludf.DUMMYFUNCTION("split(split(K5997,""【"",false),""公式LINE"",false)"),"「この島で医者よりも大切なもの…それは」高齢化がすすむこの島に、どうしても必要なのは医者だ。実際、美波や星太の母も、公民館長の妻も、もしかしたら助かっていたかもしれない発作で亡くなっている。  駐在さんの白瀬遼（坂口憲二）は、なんとか、島に医者を呼ぼうと奔走する。やっと見つけた医者はなんと、校長先生（近藤芳正）の実の弟、万作。駐在さんの遼の必死の説得に、心動かされ万作は島の医者になることを決意するが、校長先生はなぜか猛反対する。白瀬遼…坂口憲二  西門うらら…松下奈緒    前田美波里  夏未エレナ  宇"&amp;"梶剛士  近藤芳正  岡本麗  (他)秋川雅史「ねがい」藤本有紀加藤　新植田博樹  正木敦http://www.tbs.co.jp/hon-hare2009/TBSテレビ")</f>
        <v>「この島で医者よりも大切なもの…それは」高齢化がすすむこの島に、どうしても必要なのは医者だ。実際、美波や星太の母も、公民館長の妻も、もしかしたら助かっていたかもしれない発作で亡くなっている。  駐在さんの白瀬遼（坂口憲二）は、なんとか、島に医者を呼ぼうと奔走する。やっと見つけた医者はなんと、校長先生（近藤芳正）の実の弟、万作。駐在さんの遼の必死の説得に、心動かされ万作は島の医者になることを決意するが、校長先生はなぜか猛反対する。白瀬遼…坂口憲二  西門うらら…松下奈緒    前田美波里  夏未エレナ  宇梶剛士  近藤芳正  岡本麗  (他)秋川雅史「ねがい」藤本有紀加藤　新植田博樹  正木敦http://www.tbs.co.jp/hon-hare2009/TBSテレビ</v>
      </c>
      <c r="N5997" s="2"/>
      <c r="O5997" s="2"/>
      <c r="P5997" s="1"/>
      <c r="Q5997" s="1"/>
      <c r="R5997" s="1"/>
      <c r="S5997" s="1"/>
      <c r="T5997" s="1"/>
      <c r="U5997" s="1"/>
      <c r="V5997" s="1"/>
      <c r="W5997" s="1"/>
      <c r="X5997" s="1"/>
      <c r="Y5997" s="1"/>
      <c r="Z5997" s="1"/>
      <c r="AA5997" s="1"/>
      <c r="AB5997" s="1"/>
      <c r="AC5997" s="1"/>
      <c r="AD5997" s="1"/>
      <c r="AE5997" s="1"/>
      <c r="AF5997" s="1"/>
      <c r="AG5997" s="1"/>
      <c r="AH5997" s="1"/>
      <c r="AI5997" s="1"/>
      <c r="AJ5997" s="1"/>
      <c r="AK5997" s="1"/>
      <c r="AL5997" s="1"/>
      <c r="AM5997" s="1"/>
      <c r="AN5997" s="1"/>
      <c r="AO5997" s="1"/>
      <c r="AP5997" s="1"/>
      <c r="AQ5997" s="1"/>
      <c r="AR5997" s="1"/>
      <c r="AS5997" s="1"/>
      <c r="AT5997" s="1"/>
      <c r="AU5997" s="1"/>
      <c r="AV5997" s="1"/>
      <c r="AW5997" s="1"/>
      <c r="AX5997" s="1"/>
      <c r="AY5997" s="1"/>
      <c r="AZ5997" s="1"/>
      <c r="BA5997" s="1"/>
      <c r="BB5997" s="1"/>
    </row>
    <row r="5998" ht="204.75" customHeight="1">
      <c r="A5998" s="1">
        <v>5511.0</v>
      </c>
      <c r="B5998" s="2" t="s">
        <v>16095</v>
      </c>
      <c r="C5998" s="2">
        <f>IFERROR(__xludf.DUMMYFUNCTION("split(B5998,""_"")"),901.0)</f>
        <v>901</v>
      </c>
      <c r="D5998" s="2" t="str">
        <f>IFERROR(__xludf.DUMMYFUNCTION("""COMPUTED_VALUE"""),"TBS")</f>
        <v>TBS</v>
      </c>
      <c r="E5998" s="2" t="str">
        <f>IFERROR(__xludf.DUMMYFUNCTION("""COMPUTED_VALUE"""),"日21")</f>
        <v>日21</v>
      </c>
      <c r="F5998" s="2" t="s">
        <v>16096</v>
      </c>
      <c r="G5998" s="2" t="s">
        <v>16097</v>
      </c>
      <c r="H5998" s="1">
        <v>3.0</v>
      </c>
      <c r="J5998" s="1" t="s">
        <v>11</v>
      </c>
      <c r="K5998" s="2" t="s">
        <v>16100</v>
      </c>
      <c r="L5998" s="2"/>
      <c r="M5998" s="2" t="str">
        <f>IFERROR(__xludf.DUMMYFUNCTION("split(split(K5998,""【"",false),""公式LINE"",false)"),"「駐在さんの魂の授業 学校のピンチを救え」那瑠美島の駐在・遼（坂口憲二）は、いつものようにサトウキビ農家の光生（青木崇高）にある頼みをされた。実は光生は、うらら（松下奈緒）のことが大好きだが話しかけることもままならない純情青年だったのだ。それを知った遼は、うららと光生のデートを仲立ちすることになってしまう。しかしそのことでうららは先生を辞めて島を出ることになってしまう。島の唯一の小学校の教師がいなくなるピンチに遼は？白瀬遼…坂口憲二  西門うらら…松下奈緒    前田美波里  夏未エレナ  宇梶剛士  近"&amp;"藤芳正  岡本麗  (他)秋川雅史「ねがい」藤本有紀武藤淳植田博樹  正木敦http://www.tbs.co.jp/hon-hare2009/TBSテレビ")</f>
        <v>「駐在さんの魂の授業 学校のピンチを救え」那瑠美島の駐在・遼（坂口憲二）は、いつものようにサトウキビ農家の光生（青木崇高）にある頼みをされた。実は光生は、うらら（松下奈緒）のことが大好きだが話しかけることもままならない純情青年だったのだ。それを知った遼は、うららと光生のデートを仲立ちすることになってしまう。しかしそのことでうららは先生を辞めて島を出ることになってしまう。島の唯一の小学校の教師がいなくなるピンチに遼は？白瀬遼…坂口憲二  西門うらら…松下奈緒    前田美波里  夏未エレナ  宇梶剛士  近藤芳正  岡本麗  (他)秋川雅史「ねがい」藤本有紀武藤淳植田博樹  正木敦http://www.tbs.co.jp/hon-hare2009/TBSテレビ</v>
      </c>
      <c r="N5998" s="2"/>
      <c r="O5998" s="2"/>
      <c r="P5998" s="1"/>
      <c r="Q5998" s="1"/>
      <c r="R5998" s="1"/>
      <c r="S5998" s="1"/>
      <c r="T5998" s="1"/>
      <c r="U5998" s="1"/>
      <c r="V5998" s="1"/>
      <c r="W5998" s="1"/>
      <c r="X5998" s="1"/>
      <c r="Y5998" s="1"/>
      <c r="Z5998" s="1"/>
      <c r="AA5998" s="1"/>
      <c r="AB5998" s="1"/>
      <c r="AC5998" s="1"/>
      <c r="AD5998" s="1"/>
      <c r="AE5998" s="1"/>
      <c r="AF5998" s="1"/>
      <c r="AG5998" s="1"/>
      <c r="AH5998" s="1"/>
      <c r="AI5998" s="1"/>
      <c r="AJ5998" s="1"/>
      <c r="AK5998" s="1"/>
      <c r="AL5998" s="1"/>
      <c r="AM5998" s="1"/>
      <c r="AN5998" s="1"/>
      <c r="AO5998" s="1"/>
      <c r="AP5998" s="1"/>
      <c r="AQ5998" s="1"/>
      <c r="AR5998" s="1"/>
      <c r="AS5998" s="1"/>
      <c r="AT5998" s="1"/>
      <c r="AU5998" s="1"/>
      <c r="AV5998" s="1"/>
      <c r="AW5998" s="1"/>
      <c r="AX5998" s="1"/>
      <c r="AY5998" s="1"/>
      <c r="AZ5998" s="1"/>
      <c r="BA5998" s="1"/>
      <c r="BB5998" s="1"/>
    </row>
    <row r="5999" ht="204.75" customHeight="1">
      <c r="A5999" s="1">
        <v>5512.0</v>
      </c>
      <c r="B5999" s="2" t="s">
        <v>16095</v>
      </c>
      <c r="C5999" s="2">
        <f>IFERROR(__xludf.DUMMYFUNCTION("split(B5999,""_"")"),901.0)</f>
        <v>901</v>
      </c>
      <c r="D5999" s="2" t="str">
        <f>IFERROR(__xludf.DUMMYFUNCTION("""COMPUTED_VALUE"""),"TBS")</f>
        <v>TBS</v>
      </c>
      <c r="E5999" s="2" t="str">
        <f>IFERROR(__xludf.DUMMYFUNCTION("""COMPUTED_VALUE"""),"日21")</f>
        <v>日21</v>
      </c>
      <c r="F5999" s="2" t="s">
        <v>16096</v>
      </c>
      <c r="G5999" s="2" t="s">
        <v>16097</v>
      </c>
      <c r="H5999" s="1">
        <v>4.0</v>
      </c>
      <c r="J5999" s="1" t="s">
        <v>11</v>
      </c>
      <c r="K5999" s="2" t="s">
        <v>16101</v>
      </c>
      <c r="L5999" s="2"/>
      <c r="M5999" s="2" t="str">
        <f>IFERROR(__xludf.DUMMYFUNCTION("split(split(K5999,""【"",false),""公式LINE"",false)"),"「認知症の母を抱え…窃盗事件、涙の真相」ある朝、小学生の梨絵が駐在所にやってきた。通学路でがま口の財布を拾ったというのだ。遼はうれしさのあまり梨絵に「えらかったで賞」というバッジを作ってあげる。すると「えらかったで賞」バッジが子供たちに大人気に。子供たちはバッジ欲しさに、何かにつけて物を拾ったと駐在所にやってくる。しかし、落し物などそんなにあるわけもなく…  そんなある日、一郎、二郎兄弟は、バッジほしさにお金の入った封筒を盗んでしまう。白瀬遼…坂口憲二  西門うらら…松下奈緒    前田美波里  夏未エレ"&amp;"ナ  宇梶剛士  近藤芳正  岡本麗  (他)秋川雅史「ねがい」藤本有紀山本剛義植田博樹  正木敦http://www.tbs.co.jp/hon-hare2009/TBSテレビ")</f>
        <v>「認知症の母を抱え…窃盗事件、涙の真相」ある朝、小学生の梨絵が駐在所にやってきた。通学路でがま口の財布を拾ったというのだ。遼はうれしさのあまり梨絵に「えらかったで賞」というバッジを作ってあげる。すると「えらかったで賞」バッジが子供たちに大人気に。子供たちはバッジ欲しさに、何かにつけて物を拾ったと駐在所にやってくる。しかし、落し物などそんなにあるわけもなく…  そんなある日、一郎、二郎兄弟は、バッジほしさにお金の入った封筒を盗んでしまう。白瀬遼…坂口憲二  西門うらら…松下奈緒    前田美波里  夏未エレナ  宇梶剛士  近藤芳正  岡本麗  (他)秋川雅史「ねがい」藤本有紀山本剛義植田博樹  正木敦http://www.tbs.co.jp/hon-hare2009/TBSテレビ</v>
      </c>
      <c r="N5999" s="2"/>
      <c r="O5999" s="2"/>
      <c r="P5999" s="1"/>
      <c r="Q5999" s="1"/>
      <c r="R5999" s="1"/>
      <c r="S5999" s="1"/>
      <c r="T5999" s="1"/>
      <c r="U5999" s="1"/>
      <c r="V5999" s="1"/>
      <c r="W5999" s="1"/>
      <c r="X5999" s="1"/>
      <c r="Y5999" s="1"/>
      <c r="Z5999" s="1"/>
      <c r="AA5999" s="1"/>
      <c r="AB5999" s="1"/>
      <c r="AC5999" s="1"/>
      <c r="AD5999" s="1"/>
      <c r="AE5999" s="1"/>
      <c r="AF5999" s="1"/>
      <c r="AG5999" s="1"/>
      <c r="AH5999" s="1"/>
      <c r="AI5999" s="1"/>
      <c r="AJ5999" s="1"/>
      <c r="AK5999" s="1"/>
      <c r="AL5999" s="1"/>
      <c r="AM5999" s="1"/>
      <c r="AN5999" s="1"/>
      <c r="AO5999" s="1"/>
      <c r="AP5999" s="1"/>
      <c r="AQ5999" s="1"/>
      <c r="AR5999" s="1"/>
      <c r="AS5999" s="1"/>
      <c r="AT5999" s="1"/>
      <c r="AU5999" s="1"/>
      <c r="AV5999" s="1"/>
      <c r="AW5999" s="1"/>
      <c r="AX5999" s="1"/>
      <c r="AY5999" s="1"/>
      <c r="AZ5999" s="1"/>
      <c r="BA5999" s="1"/>
      <c r="BB5999" s="1"/>
    </row>
    <row r="6000" ht="204.75" customHeight="1">
      <c r="A6000" s="1">
        <v>5513.0</v>
      </c>
      <c r="B6000" s="2" t="s">
        <v>16095</v>
      </c>
      <c r="C6000" s="2">
        <f>IFERROR(__xludf.DUMMYFUNCTION("split(B6000,""_"")"),901.0)</f>
        <v>901</v>
      </c>
      <c r="D6000" s="2" t="str">
        <f>IFERROR(__xludf.DUMMYFUNCTION("""COMPUTED_VALUE"""),"TBS")</f>
        <v>TBS</v>
      </c>
      <c r="E6000" s="2" t="str">
        <f>IFERROR(__xludf.DUMMYFUNCTION("""COMPUTED_VALUE"""),"日21")</f>
        <v>日21</v>
      </c>
      <c r="F6000" s="2" t="s">
        <v>16096</v>
      </c>
      <c r="G6000" s="2" t="s">
        <v>16097</v>
      </c>
      <c r="H6000" s="1">
        <v>5.0</v>
      </c>
      <c r="J6000" s="1" t="s">
        <v>11</v>
      </c>
      <c r="K6000" s="2" t="s">
        <v>16102</v>
      </c>
      <c r="L6000" s="2"/>
      <c r="M6000" s="2" t="str">
        <f>IFERROR(__xludf.DUMMYFUNCTION("split(split(K6000,""【"",false),""公式LINE"",false)"),"「進学よりも大切なもの～15才の春の決断」遼がいつものようにパトロールをしていると、靖之とその母・ゆかりがやってきた。どうやら親子喧嘩をしているらしく、遼が事情を聞くと、靖之が進学せずに島で働くと言い出し、ゆかりは動揺して泣き出してしまう。一方の美波も中学をでたら就職すると遼に言い、父親代わりを自認する遼は困ってしまう。進学の悩みかとたかをくくっている大人たちだが、中学生の二人には他人にいえない事情があった…。白瀬遼…坂口憲二  西門うらら…松下奈緒    前田美波里  夏未エレナ  宇梶剛士  近藤芳正"&amp;"  岡本麗  (他)秋川雅史「ねがい」藤本有紀加藤　新植田博樹  正木敦http://www.tbs.co.jp/hon-hare2009/  TBSテレビ")</f>
        <v>「進学よりも大切なもの～15才の春の決断」遼がいつものようにパトロールをしていると、靖之とその母・ゆかりがやってきた。どうやら親子喧嘩をしているらしく、遼が事情を聞くと、靖之が進学せずに島で働くと言い出し、ゆかりは動揺して泣き出してしまう。一方の美波も中学をでたら就職すると遼に言い、父親代わりを自認する遼は困ってしまう。進学の悩みかとたかをくくっている大人たちだが、中学生の二人には他人にいえない事情があった…。白瀬遼…坂口憲二  西門うらら…松下奈緒    前田美波里  夏未エレナ  宇梶剛士  近藤芳正  岡本麗  (他)秋川雅史「ねがい」藤本有紀加藤　新植田博樹  正木敦http://www.tbs.co.jp/hon-hare2009/  TBSテレビ</v>
      </c>
      <c r="N6000" s="2"/>
      <c r="O6000" s="2"/>
      <c r="P6000" s="1"/>
      <c r="Q6000" s="1"/>
      <c r="R6000" s="1"/>
      <c r="S6000" s="1"/>
      <c r="T6000" s="1"/>
      <c r="U6000" s="1"/>
      <c r="V6000" s="1"/>
      <c r="W6000" s="1"/>
      <c r="X6000" s="1"/>
      <c r="Y6000" s="1"/>
      <c r="Z6000" s="1"/>
      <c r="AA6000" s="1"/>
      <c r="AB6000" s="1"/>
      <c r="AC6000" s="1"/>
      <c r="AD6000" s="1"/>
      <c r="AE6000" s="1"/>
      <c r="AF6000" s="1"/>
      <c r="AG6000" s="1"/>
      <c r="AH6000" s="1"/>
      <c r="AI6000" s="1"/>
      <c r="AJ6000" s="1"/>
      <c r="AK6000" s="1"/>
      <c r="AL6000" s="1"/>
      <c r="AM6000" s="1"/>
      <c r="AN6000" s="1"/>
      <c r="AO6000" s="1"/>
      <c r="AP6000" s="1"/>
      <c r="AQ6000" s="1"/>
      <c r="AR6000" s="1"/>
      <c r="AS6000" s="1"/>
      <c r="AT6000" s="1"/>
      <c r="AU6000" s="1"/>
      <c r="AV6000" s="1"/>
      <c r="AW6000" s="1"/>
      <c r="AX6000" s="1"/>
      <c r="AY6000" s="1"/>
      <c r="AZ6000" s="1"/>
      <c r="BA6000" s="1"/>
      <c r="BB6000" s="1"/>
    </row>
    <row r="6001" ht="204.75" customHeight="1">
      <c r="A6001" s="1">
        <v>5514.0</v>
      </c>
      <c r="B6001" s="2" t="s">
        <v>16095</v>
      </c>
      <c r="C6001" s="2">
        <f>IFERROR(__xludf.DUMMYFUNCTION("split(B6001,""_"")"),901.0)</f>
        <v>901</v>
      </c>
      <c r="D6001" s="2" t="str">
        <f>IFERROR(__xludf.DUMMYFUNCTION("""COMPUTED_VALUE"""),"TBS")</f>
        <v>TBS</v>
      </c>
      <c r="E6001" s="2" t="str">
        <f>IFERROR(__xludf.DUMMYFUNCTION("""COMPUTED_VALUE"""),"日21")</f>
        <v>日21</v>
      </c>
      <c r="F6001" s="2" t="s">
        <v>16096</v>
      </c>
      <c r="G6001" s="2" t="s">
        <v>16097</v>
      </c>
      <c r="H6001" s="1">
        <v>6.0</v>
      </c>
      <c r="J6001" s="1" t="s">
        <v>11</v>
      </c>
      <c r="K6001" s="2" t="s">
        <v>16103</v>
      </c>
      <c r="L6001" s="2"/>
      <c r="M6001" s="2" t="str">
        <f>IFERROR(__xludf.DUMMYFUNCTION("split(split(K6001,""【"",false),""公式LINE"",false)"),"「父ちゃんに会いたい。七歳の逃亡者、海へ」島で唯一のスナック「ナオミ」男たちは夜な夜なここにやってきては、美人ママ、ナオミにボラれて喜んで帰っていく。収まらないのは島の女たちだ。夫たちにもムカつくが、そもそもナオミが気に入らない。彼女の二人の息子も学校の問題児で、今日もやんちゃ三昧。ある日、学校でケンカが起こり、ナオミの息子がけがをさせてしまう。島の女たちは、この嫌われもの一家を追い出そうとするが、駐在さんはこの一家の複雑な事情に気づき…白瀬遼…坂口憲二  西門うらら…松下奈緒    前田美波里  夏未エ"&amp;"レナ  宇梶剛士  近藤芳正  岡本麗  (他)秋川雅史「ねがい」藤本有紀加藤　新植田博樹  正木敦http://www.tbs.co.jp/hon-hare2009/TBSテレビ")</f>
        <v>「父ちゃんに会いたい。七歳の逃亡者、海へ」島で唯一のスナック「ナオミ」男たちは夜な夜なここにやってきては、美人ママ、ナオミにボラれて喜んで帰っていく。収まらないのは島の女たちだ。夫たちにもムカつくが、そもそもナオミが気に入らない。彼女の二人の息子も学校の問題児で、今日もやんちゃ三昧。ある日、学校でケンカが起こり、ナオミの息子がけがをさせてしまう。島の女たちは、この嫌われもの一家を追い出そうとするが、駐在さんはこの一家の複雑な事情に気づき…白瀬遼…坂口憲二  西門うらら…松下奈緒    前田美波里  夏未エレナ  宇梶剛士  近藤芳正  岡本麗  (他)秋川雅史「ねがい」藤本有紀加藤　新植田博樹  正木敦http://www.tbs.co.jp/hon-hare2009/TBSテレビ</v>
      </c>
      <c r="N6001" s="2"/>
      <c r="O6001" s="2"/>
      <c r="P6001" s="1"/>
      <c r="Q6001" s="1"/>
      <c r="R6001" s="1"/>
      <c r="S6001" s="1"/>
      <c r="T6001" s="1"/>
      <c r="U6001" s="1"/>
      <c r="V6001" s="1"/>
      <c r="W6001" s="1"/>
      <c r="X6001" s="1"/>
      <c r="Y6001" s="1"/>
      <c r="Z6001" s="1"/>
      <c r="AA6001" s="1"/>
      <c r="AB6001" s="1"/>
      <c r="AC6001" s="1"/>
      <c r="AD6001" s="1"/>
      <c r="AE6001" s="1"/>
      <c r="AF6001" s="1"/>
      <c r="AG6001" s="1"/>
      <c r="AH6001" s="1"/>
      <c r="AI6001" s="1"/>
      <c r="AJ6001" s="1"/>
      <c r="AK6001" s="1"/>
      <c r="AL6001" s="1"/>
      <c r="AM6001" s="1"/>
      <c r="AN6001" s="1"/>
      <c r="AO6001" s="1"/>
      <c r="AP6001" s="1"/>
      <c r="AQ6001" s="1"/>
      <c r="AR6001" s="1"/>
      <c r="AS6001" s="1"/>
      <c r="AT6001" s="1"/>
      <c r="AU6001" s="1"/>
      <c r="AV6001" s="1"/>
      <c r="AW6001" s="1"/>
      <c r="AX6001" s="1"/>
      <c r="AY6001" s="1"/>
      <c r="AZ6001" s="1"/>
      <c r="BA6001" s="1"/>
      <c r="BB6001" s="1"/>
    </row>
    <row r="6002" ht="204.75" customHeight="1">
      <c r="A6002" s="1">
        <v>5515.0</v>
      </c>
      <c r="B6002" s="2" t="s">
        <v>16095</v>
      </c>
      <c r="C6002" s="2">
        <f>IFERROR(__xludf.DUMMYFUNCTION("split(B6002,""_"")"),901.0)</f>
        <v>901</v>
      </c>
      <c r="D6002" s="2" t="str">
        <f>IFERROR(__xludf.DUMMYFUNCTION("""COMPUTED_VALUE"""),"TBS")</f>
        <v>TBS</v>
      </c>
      <c r="E6002" s="2" t="str">
        <f>IFERROR(__xludf.DUMMYFUNCTION("""COMPUTED_VALUE"""),"日21")</f>
        <v>日21</v>
      </c>
      <c r="F6002" s="2" t="s">
        <v>16096</v>
      </c>
      <c r="G6002" s="2" t="s">
        <v>16097</v>
      </c>
      <c r="H6002" s="1">
        <v>7.0</v>
      </c>
      <c r="J6002" s="1" t="s">
        <v>11</v>
      </c>
      <c r="K6002" s="2" t="s">
        <v>16104</v>
      </c>
      <c r="L6002" s="2"/>
      <c r="M6002" s="2" t="str">
        <f>IFERROR(__xludf.DUMMYFUNCTION("split(split(K6002,""【"",false),""公式LINE"",false)"),"「恐怖のデカ長襲来!!マル暴に復職せよ!!」  ある日、突然、遼(坂口憲二)の新宿のマルボウ時代の上司、片岡(遠藤憲一)が、那瑠美島にやってくる。片岡は、自分がかわいがっていた若手のエース刑事が、こんな海の果ての孤島で島の人間たちに便利屋のごとく、どうでもいい雑用をやらされていることに我慢ならない。「新宿にもう一度帰って来い」尊敬する上司、片岡の涙ながらの説得に心揺れる遼だが、家族同然に暮らしている星太の身に、思いがけないトラブルが起こり…白瀬遼…坂口憲二  西門うらら…松下奈緒    前田美波里  夏未"&amp;"エレナ  宇梶剛士  近藤芳正  岡本麗  (他)秋川雅史「ねがい」藤本有紀加藤　新植田博樹  正木敦http://www.tbs.co.jp/hon-hare2009/TBSテレビ")</f>
        <v>「恐怖のデカ長襲来!!マル暴に復職せよ!!」  ある日、突然、遼(坂口憲二)の新宿のマルボウ時代の上司、片岡(遠藤憲一)が、那瑠美島にやってくる。片岡は、自分がかわいがっていた若手のエース刑事が、こんな海の果ての孤島で島の人間たちに便利屋のごとく、どうでもいい雑用をやらされていることに我慢ならない。「新宿にもう一度帰って来い」尊敬する上司、片岡の涙ながらの説得に心揺れる遼だが、家族同然に暮らしている星太の身に、思いがけないトラブルが起こり…白瀬遼…坂口憲二  西門うらら…松下奈緒    前田美波里  夏未エレナ  宇梶剛士  近藤芳正  岡本麗  (他)秋川雅史「ねがい」藤本有紀加藤　新植田博樹  正木敦http://www.tbs.co.jp/hon-hare2009/TBSテレビ</v>
      </c>
      <c r="N6002" s="2"/>
      <c r="O6002" s="2"/>
      <c r="P6002" s="1"/>
      <c r="Q6002" s="1"/>
      <c r="R6002" s="1"/>
      <c r="S6002" s="1"/>
      <c r="T6002" s="1"/>
      <c r="U6002" s="1"/>
      <c r="V6002" s="1"/>
      <c r="W6002" s="1"/>
      <c r="X6002" s="1"/>
      <c r="Y6002" s="1"/>
      <c r="Z6002" s="1"/>
      <c r="AA6002" s="1"/>
      <c r="AB6002" s="1"/>
      <c r="AC6002" s="1"/>
      <c r="AD6002" s="1"/>
      <c r="AE6002" s="1"/>
      <c r="AF6002" s="1"/>
      <c r="AG6002" s="1"/>
      <c r="AH6002" s="1"/>
      <c r="AI6002" s="1"/>
      <c r="AJ6002" s="1"/>
      <c r="AK6002" s="1"/>
      <c r="AL6002" s="1"/>
      <c r="AM6002" s="1"/>
      <c r="AN6002" s="1"/>
      <c r="AO6002" s="1"/>
      <c r="AP6002" s="1"/>
      <c r="AQ6002" s="1"/>
      <c r="AR6002" s="1"/>
      <c r="AS6002" s="1"/>
      <c r="AT6002" s="1"/>
      <c r="AU6002" s="1"/>
      <c r="AV6002" s="1"/>
      <c r="AW6002" s="1"/>
      <c r="AX6002" s="1"/>
      <c r="AY6002" s="1"/>
      <c r="AZ6002" s="1"/>
      <c r="BA6002" s="1"/>
      <c r="BB6002" s="1"/>
    </row>
    <row r="6003" ht="204.75" customHeight="1">
      <c r="A6003" s="1">
        <v>5516.0</v>
      </c>
      <c r="B6003" s="2" t="s">
        <v>16095</v>
      </c>
      <c r="C6003" s="2">
        <f>IFERROR(__xludf.DUMMYFUNCTION("split(B6003,""_"")"),901.0)</f>
        <v>901</v>
      </c>
      <c r="D6003" s="2" t="str">
        <f>IFERROR(__xludf.DUMMYFUNCTION("""COMPUTED_VALUE"""),"TBS")</f>
        <v>TBS</v>
      </c>
      <c r="E6003" s="2" t="str">
        <f>IFERROR(__xludf.DUMMYFUNCTION("""COMPUTED_VALUE"""),"日21")</f>
        <v>日21</v>
      </c>
      <c r="F6003" s="2" t="s">
        <v>16096</v>
      </c>
      <c r="G6003" s="2" t="s">
        <v>16097</v>
      </c>
      <c r="H6003" s="1">
        <v>8.0</v>
      </c>
      <c r="J6003" s="1" t="s">
        <v>11</v>
      </c>
      <c r="K6003" s="2" t="s">
        <v>16105</v>
      </c>
      <c r="L6003" s="2"/>
      <c r="M6003" s="2" t="str">
        <f>IFERROR(__xludf.DUMMYFUNCTION("split(split(K6003,""【"",false),""公式LINE"",false)"),"「島が死んでしまう！？最後の民宿、炎上！！」那瑠美島を生まれ変わらせようと活躍する島の若者たち。その甲斐あって、島の民宿、へちま荘に　数年ぶりの団体客の予約が入る。観光客は、島の貴重な収入源になるだけではなく、その印象によっては島の今後を左右していく大事な存在だ。現に観光に力を入れ成功した他の島は過疎化の波から生まれ変わっている。島の未来をかけ、全力で客の接待に奔走する島の人々だったがその大事なへちま荘が火事で焼けてしまう…。白瀬遼…坂口憲二  西門うらら…松下奈緒    前田美波里  夏未エレナ  宇梶"&amp;"剛士  近藤芳正  岡本麗  (他)秋川雅史「ねがい」藤本有紀山本剛義植田博樹  正木敦http://www.tbs.co.jp/hon-hare2009/TBSテレビ")</f>
        <v>「島が死んでしまう！？最後の民宿、炎上！！」那瑠美島を生まれ変わらせようと活躍する島の若者たち。その甲斐あって、島の民宿、へちま荘に　数年ぶりの団体客の予約が入る。観光客は、島の貴重な収入源になるだけではなく、その印象によっては島の今後を左右していく大事な存在だ。現に観光に力を入れ成功した他の島は過疎化の波から生まれ変わっている。島の未来をかけ、全力で客の接待に奔走する島の人々だったがその大事なへちま荘が火事で焼けてしまう…。白瀬遼…坂口憲二  西門うらら…松下奈緒    前田美波里  夏未エレナ  宇梶剛士  近藤芳正  岡本麗  (他)秋川雅史「ねがい」藤本有紀山本剛義植田博樹  正木敦http://www.tbs.co.jp/hon-hare2009/TBSテレビ</v>
      </c>
      <c r="N6003" s="2"/>
      <c r="O6003" s="2"/>
      <c r="P6003" s="1"/>
      <c r="Q6003" s="1"/>
      <c r="R6003" s="1"/>
      <c r="S6003" s="1"/>
      <c r="T6003" s="1"/>
      <c r="U6003" s="1"/>
      <c r="V6003" s="1"/>
      <c r="W6003" s="1"/>
      <c r="X6003" s="1"/>
      <c r="Y6003" s="1"/>
      <c r="Z6003" s="1"/>
      <c r="AA6003" s="1"/>
      <c r="AB6003" s="1"/>
      <c r="AC6003" s="1"/>
      <c r="AD6003" s="1"/>
      <c r="AE6003" s="1"/>
      <c r="AF6003" s="1"/>
      <c r="AG6003" s="1"/>
      <c r="AH6003" s="1"/>
      <c r="AI6003" s="1"/>
      <c r="AJ6003" s="1"/>
      <c r="AK6003" s="1"/>
      <c r="AL6003" s="1"/>
      <c r="AM6003" s="1"/>
      <c r="AN6003" s="1"/>
      <c r="AO6003" s="1"/>
      <c r="AP6003" s="1"/>
      <c r="AQ6003" s="1"/>
      <c r="AR6003" s="1"/>
      <c r="AS6003" s="1"/>
      <c r="AT6003" s="1"/>
      <c r="AU6003" s="1"/>
      <c r="AV6003" s="1"/>
      <c r="AW6003" s="1"/>
      <c r="AX6003" s="1"/>
      <c r="AY6003" s="1"/>
      <c r="AZ6003" s="1"/>
      <c r="BA6003" s="1"/>
      <c r="BB6003" s="1"/>
    </row>
    <row r="6004" ht="204.75" customHeight="1">
      <c r="A6004" s="1">
        <v>5517.0</v>
      </c>
      <c r="B6004" s="2" t="s">
        <v>16095</v>
      </c>
      <c r="C6004" s="2">
        <f>IFERROR(__xludf.DUMMYFUNCTION("split(B6004,""_"")"),901.0)</f>
        <v>901</v>
      </c>
      <c r="D6004" s="2" t="str">
        <f>IFERROR(__xludf.DUMMYFUNCTION("""COMPUTED_VALUE"""),"TBS")</f>
        <v>TBS</v>
      </c>
      <c r="E6004" s="2" t="str">
        <f>IFERROR(__xludf.DUMMYFUNCTION("""COMPUTED_VALUE"""),"日21")</f>
        <v>日21</v>
      </c>
      <c r="F6004" s="2" t="s">
        <v>16096</v>
      </c>
      <c r="G6004" s="2" t="s">
        <v>16097</v>
      </c>
      <c r="H6004" s="1">
        <v>9.0</v>
      </c>
      <c r="J6004" s="1" t="s">
        <v>11</v>
      </c>
      <c r="K6004" s="2" t="s">
        <v>16106</v>
      </c>
      <c r="L6004" s="2"/>
      <c r="M6004" s="2" t="str">
        <f>IFERROR(__xludf.DUMMYFUNCTION("split(split(K6004,""【"",false),""公式LINE"",false)"),"30年前の悲劇…そして輝く未来へ那瑠美島に、立花一美（布施博）が突然やってきた。ついに明かされる40年前の悲劇。  立花と駐在さんの過去。キヌがこの島に留まっている理由。そしてやってきた廃校の危機。  立花がこの島に来た目的は？？そして、この島初まって以来の凶悪事件が幕を開ける。  過去を乗り越え、悲劇を乗り越え、この島は、輝く未来をつかめるのか？  ついに感動の最終回。白瀬遼…坂口憲二  西門うらら…松下奈緒    前田美波里  夏未エレナ  宇梶剛士  近藤芳正  岡本麗  (他)秋川雅史「ねがい」藤"&amp;"本有紀加藤　新植田博樹  正木敦http://www.tbs.co.jp/hon-hare2009/TBSテレビ")</f>
        <v>30年前の悲劇…そして輝く未来へ那瑠美島に、立花一美（布施博）が突然やってきた。ついに明かされる40年前の悲劇。  立花と駐在さんの過去。キヌがこの島に留まっている理由。そしてやってきた廃校の危機。  立花がこの島に来た目的は？？そして、この島初まって以来の凶悪事件が幕を開ける。  過去を乗り越え、悲劇を乗り越え、この島は、輝く未来をつかめるのか？  ついに感動の最終回。白瀬遼…坂口憲二  西門うらら…松下奈緒    前田美波里  夏未エレナ  宇梶剛士  近藤芳正  岡本麗  (他)秋川雅史「ねがい」藤本有紀加藤　新植田博樹  正木敦http://www.tbs.co.jp/hon-hare2009/TBSテレビ</v>
      </c>
      <c r="N6004" s="2"/>
      <c r="O6004" s="2"/>
      <c r="P6004" s="1"/>
      <c r="Q6004" s="1"/>
      <c r="R6004" s="1"/>
      <c r="S6004" s="1"/>
      <c r="T6004" s="1"/>
      <c r="U6004" s="1"/>
      <c r="V6004" s="1"/>
      <c r="W6004" s="1"/>
      <c r="X6004" s="1"/>
      <c r="Y6004" s="1"/>
      <c r="Z6004" s="1"/>
      <c r="AA6004" s="1"/>
      <c r="AB6004" s="1"/>
      <c r="AC6004" s="1"/>
      <c r="AD6004" s="1"/>
      <c r="AE6004" s="1"/>
      <c r="AF6004" s="1"/>
      <c r="AG6004" s="1"/>
      <c r="AH6004" s="1"/>
      <c r="AI6004" s="1"/>
      <c r="AJ6004" s="1"/>
      <c r="AK6004" s="1"/>
      <c r="AL6004" s="1"/>
      <c r="AM6004" s="1"/>
      <c r="AN6004" s="1"/>
      <c r="AO6004" s="1"/>
      <c r="AP6004" s="1"/>
      <c r="AQ6004" s="1"/>
      <c r="AR6004" s="1"/>
      <c r="AS6004" s="1"/>
      <c r="AT6004" s="1"/>
      <c r="AU6004" s="1"/>
      <c r="AV6004" s="1"/>
      <c r="AW6004" s="1"/>
      <c r="AX6004" s="1"/>
      <c r="AY6004" s="1"/>
      <c r="AZ6004" s="1"/>
      <c r="BA6004" s="1"/>
      <c r="BB6004" s="1"/>
    </row>
    <row r="6005" ht="204.75" customHeight="1">
      <c r="A6005" s="1">
        <v>5593.0</v>
      </c>
      <c r="B6005" s="2" t="s">
        <v>16107</v>
      </c>
      <c r="C6005" s="2">
        <f>IFERROR(__xludf.DUMMYFUNCTION("split(B6005,""_"")"),810.0)</f>
        <v>810</v>
      </c>
      <c r="D6005" s="2" t="str">
        <f>IFERROR(__xludf.DUMMYFUNCTION("""COMPUTED_VALUE"""),"TBS")</f>
        <v>TBS</v>
      </c>
      <c r="E6005" s="2" t="str">
        <f>IFERROR(__xludf.DUMMYFUNCTION("""COMPUTED_VALUE"""),"金22")</f>
        <v>金22</v>
      </c>
      <c r="F6005" s="2" t="s">
        <v>16108</v>
      </c>
      <c r="G6005" s="2" t="s">
        <v>16109</v>
      </c>
      <c r="H6005" s="1">
        <v>1.0</v>
      </c>
      <c r="J6005" s="1" t="s">
        <v>82</v>
      </c>
      <c r="K6005" s="2" t="s">
        <v>16110</v>
      </c>
      <c r="L6005" s="2"/>
      <c r="M6005" s="2" t="str">
        <f>IFERROR(__xludf.DUMMYFUNCTION("split(split(K6005,""【"",false),""公式LINE"",false)"),"「東野圭吾×宮藤官九郎！涙のNo1ミステリ―感動大作」東野圭吾最新作ミステリ―を宮藤官九郎脚本、豪華出演者で最速ドラマ化！  「アリアケ」という洋食屋の3兄妹、功一・泰輔、静奈は、夜中に家を抜け出し、獅子座流星群を見に行った。帰ってきた3人を待っていたのは、惨殺された両親の姿だった。  大人になった3人は、生きるために共謀して詐欺を働くようになる。その中で、偶然見つけた両親を殺した犯人のてがかり。さらに、3兄妹の最大の落とし穴とは！？二宮和也　錦戸亮　戸田恵梨香　要潤　柄本明　りょう　寺島進　三浦友和東野"&amp;"圭吾宮藤官九郎金子文紀那須田淳  磯山晶TBSテレビ")</f>
        <v>「東野圭吾×宮藤官九郎！涙のNo1ミステリ―感動大作」東野圭吾最新作ミステリ―を宮藤官九郎脚本、豪華出演者で最速ドラマ化！  「アリアケ」という洋食屋の3兄妹、功一・泰輔、静奈は、夜中に家を抜け出し、獅子座流星群を見に行った。帰ってきた3人を待っていたのは、惨殺された両親の姿だった。  大人になった3人は、生きるために共謀して詐欺を働くようになる。その中で、偶然見つけた両親を殺した犯人のてがかり。さらに、3兄妹の最大の落とし穴とは！？二宮和也　錦戸亮　戸田恵梨香　要潤　柄本明　りょう　寺島進　三浦友和東野圭吾宮藤官九郎金子文紀那須田淳  磯山晶TBSテレビ</v>
      </c>
      <c r="N6005" s="2"/>
      <c r="O6005" s="2"/>
      <c r="P6005" s="1"/>
      <c r="Q6005" s="1"/>
      <c r="R6005" s="1"/>
      <c r="S6005" s="1"/>
      <c r="T6005" s="1"/>
      <c r="U6005" s="1"/>
      <c r="V6005" s="1"/>
      <c r="W6005" s="1"/>
      <c r="X6005" s="1"/>
      <c r="Y6005" s="1"/>
      <c r="Z6005" s="1"/>
      <c r="AA6005" s="1"/>
      <c r="AB6005" s="1"/>
      <c r="AC6005" s="1"/>
      <c r="AD6005" s="1"/>
      <c r="AE6005" s="1"/>
      <c r="AF6005" s="1"/>
      <c r="AG6005" s="1"/>
      <c r="AH6005" s="1"/>
      <c r="AI6005" s="1"/>
      <c r="AJ6005" s="1"/>
      <c r="AK6005" s="1"/>
      <c r="AL6005" s="1"/>
      <c r="AM6005" s="1"/>
      <c r="AN6005" s="1"/>
      <c r="AO6005" s="1"/>
      <c r="AP6005" s="1"/>
      <c r="AQ6005" s="1"/>
      <c r="AR6005" s="1"/>
      <c r="AS6005" s="1"/>
      <c r="AT6005" s="1"/>
      <c r="AU6005" s="1"/>
      <c r="AV6005" s="1"/>
      <c r="AW6005" s="1"/>
      <c r="AX6005" s="1"/>
      <c r="AY6005" s="1"/>
      <c r="AZ6005" s="1"/>
      <c r="BA6005" s="1"/>
      <c r="BB6005" s="1"/>
    </row>
    <row r="6006" ht="204.75" customHeight="1">
      <c r="A6006" s="1">
        <v>5594.0</v>
      </c>
      <c r="B6006" s="2" t="s">
        <v>16107</v>
      </c>
      <c r="C6006" s="2">
        <f>IFERROR(__xludf.DUMMYFUNCTION("split(B6006,""_"")"),810.0)</f>
        <v>810</v>
      </c>
      <c r="D6006" s="2" t="str">
        <f>IFERROR(__xludf.DUMMYFUNCTION("""COMPUTED_VALUE"""),"TBS")</f>
        <v>TBS</v>
      </c>
      <c r="E6006" s="2" t="str">
        <f>IFERROR(__xludf.DUMMYFUNCTION("""COMPUTED_VALUE"""),"金22")</f>
        <v>金22</v>
      </c>
      <c r="F6006" s="2" t="s">
        <v>16108</v>
      </c>
      <c r="G6006" s="2" t="s">
        <v>16109</v>
      </c>
      <c r="H6006" s="1">
        <v>2.0</v>
      </c>
      <c r="J6006" s="1" t="s">
        <v>86</v>
      </c>
      <c r="K6006" s="2" t="s">
        <v>16111</v>
      </c>
      <c r="L6006" s="2"/>
      <c r="M6006" s="2" t="str">
        <f>IFERROR(__xludf.DUMMYFUNCTION("split(split(K6006,""【"",false),""公式LINE"",false)"),"「傘と似顔絵と謎の女」両親を幼い頃に殺された兄妹、功一・泰輔・静奈。事件の翌日、現場には犯人の手がかりとなるものが残されていた。  大人になった彼らは、協力して詐欺を行うようになる。今度のターゲットは、かつての静奈の上司であるポストイット高山。顔を知られている静奈だが、功一はどんな作戦を用意しているのだろうか。  功一のバイトしているカレー屋に突如現れた謎の女・・・彼女の正体とは！？二宮和也　錦戸亮　戸田恵梨香　要潤　柄本明　りょう　寺島進　三浦友和東野圭吾宮藤官九郎金子文紀那須田淳  磯山晶TBSテレビ")</f>
        <v>「傘と似顔絵と謎の女」両親を幼い頃に殺された兄妹、功一・泰輔・静奈。事件の翌日、現場には犯人の手がかりとなるものが残されていた。  大人になった彼らは、協力して詐欺を行うようになる。今度のターゲットは、かつての静奈の上司であるポストイット高山。顔を知られている静奈だが、功一はどんな作戦を用意しているのだろうか。  功一のバイトしているカレー屋に突如現れた謎の女・・・彼女の正体とは！？二宮和也　錦戸亮　戸田恵梨香　要潤　柄本明　りょう　寺島進　三浦友和東野圭吾宮藤官九郎金子文紀那須田淳  磯山晶TBSテレビ</v>
      </c>
      <c r="N6006" s="2"/>
      <c r="O6006" s="2"/>
      <c r="P6006" s="1"/>
      <c r="Q6006" s="1"/>
      <c r="R6006" s="1"/>
      <c r="S6006" s="1"/>
      <c r="T6006" s="1"/>
      <c r="U6006" s="1"/>
      <c r="V6006" s="1"/>
      <c r="W6006" s="1"/>
      <c r="X6006" s="1"/>
      <c r="Y6006" s="1"/>
      <c r="Z6006" s="1"/>
      <c r="AA6006" s="1"/>
      <c r="AB6006" s="1"/>
      <c r="AC6006" s="1"/>
      <c r="AD6006" s="1"/>
      <c r="AE6006" s="1"/>
      <c r="AF6006" s="1"/>
      <c r="AG6006" s="1"/>
      <c r="AH6006" s="1"/>
      <c r="AI6006" s="1"/>
      <c r="AJ6006" s="1"/>
      <c r="AK6006" s="1"/>
      <c r="AL6006" s="1"/>
      <c r="AM6006" s="1"/>
      <c r="AN6006" s="1"/>
      <c r="AO6006" s="1"/>
      <c r="AP6006" s="1"/>
      <c r="AQ6006" s="1"/>
      <c r="AR6006" s="1"/>
      <c r="AS6006" s="1"/>
      <c r="AT6006" s="1"/>
      <c r="AU6006" s="1"/>
      <c r="AV6006" s="1"/>
      <c r="AW6006" s="1"/>
      <c r="AX6006" s="1"/>
      <c r="AY6006" s="1"/>
      <c r="AZ6006" s="1"/>
      <c r="BA6006" s="1"/>
      <c r="BB6006" s="1"/>
    </row>
    <row r="6007" ht="204.75" customHeight="1">
      <c r="A6007" s="1">
        <v>5595.0</v>
      </c>
      <c r="B6007" s="2" t="s">
        <v>16107</v>
      </c>
      <c r="C6007" s="2">
        <f>IFERROR(__xludf.DUMMYFUNCTION("split(B6007,""_"")"),810.0)</f>
        <v>810</v>
      </c>
      <c r="D6007" s="2" t="str">
        <f>IFERROR(__xludf.DUMMYFUNCTION("""COMPUTED_VALUE"""),"TBS")</f>
        <v>TBS</v>
      </c>
      <c r="E6007" s="2" t="str">
        <f>IFERROR(__xludf.DUMMYFUNCTION("""COMPUTED_VALUE"""),"金22")</f>
        <v>金22</v>
      </c>
      <c r="F6007" s="2" t="s">
        <v>16108</v>
      </c>
      <c r="G6007" s="2" t="s">
        <v>16109</v>
      </c>
      <c r="H6007" s="1">
        <v>3.0</v>
      </c>
      <c r="J6007" s="1" t="s">
        <v>86</v>
      </c>
      <c r="K6007" s="2" t="s">
        <v>16112</v>
      </c>
      <c r="L6007" s="2"/>
      <c r="M6007" s="2" t="str">
        <f>IFERROR(__xludf.DUMMYFUNCTION("split(split(K6007,""【"",false),""公式LINE"",false)"),"「親の秘密とハヤシの王子様」元上司・高山を見返したいという静奈の要望を受け、功一ら3人兄妹で詐欺をしかける。時効が迫る中、柏原たちは有明夫妻殺人事件に関する新たな情報を得て、ジョージクルーニーにやってくる。そこで功一は父親がばくち好きで借金を抱えていたことを知り、複雑な思いを抱く。一方、常連客の行成が有名洋食屋の御曹司だということを知る。功一は行成を新たなターゲットとして、詐欺をしかけるのだが・・・。二宮和也　錦戸亮　戸田恵梨香　要潤　柄本明　りょう　寺島進　三浦友和東野圭吾宮藤官九郎石井康晴那須田淳  "&amp;"磯山晶TBSテレビ")</f>
        <v>「親の秘密とハヤシの王子様」元上司・高山を見返したいという静奈の要望を受け、功一ら3人兄妹で詐欺をしかける。時効が迫る中、柏原たちは有明夫妻殺人事件に関する新たな情報を得て、ジョージクルーニーにやってくる。そこで功一は父親がばくち好きで借金を抱えていたことを知り、複雑な思いを抱く。一方、常連客の行成が有名洋食屋の御曹司だということを知る。功一は行成を新たなターゲットとして、詐欺をしかけるのだが・・・。二宮和也　錦戸亮　戸田恵梨香　要潤　柄本明　りょう　寺島進　三浦友和東野圭吾宮藤官九郎石井康晴那須田淳  磯山晶TBSテレビ</v>
      </c>
      <c r="N6007" s="2"/>
      <c r="O6007" s="2"/>
      <c r="P6007" s="1"/>
      <c r="Q6007" s="1"/>
      <c r="R6007" s="1"/>
      <c r="S6007" s="1"/>
      <c r="T6007" s="1"/>
      <c r="U6007" s="1"/>
      <c r="V6007" s="1"/>
      <c r="W6007" s="1"/>
      <c r="X6007" s="1"/>
      <c r="Y6007" s="1"/>
      <c r="Z6007" s="1"/>
      <c r="AA6007" s="1"/>
      <c r="AB6007" s="1"/>
      <c r="AC6007" s="1"/>
      <c r="AD6007" s="1"/>
      <c r="AE6007" s="1"/>
      <c r="AF6007" s="1"/>
      <c r="AG6007" s="1"/>
      <c r="AH6007" s="1"/>
      <c r="AI6007" s="1"/>
      <c r="AJ6007" s="1"/>
      <c r="AK6007" s="1"/>
      <c r="AL6007" s="1"/>
      <c r="AM6007" s="1"/>
      <c r="AN6007" s="1"/>
      <c r="AO6007" s="1"/>
      <c r="AP6007" s="1"/>
      <c r="AQ6007" s="1"/>
      <c r="AR6007" s="1"/>
      <c r="AS6007" s="1"/>
      <c r="AT6007" s="1"/>
      <c r="AU6007" s="1"/>
      <c r="AV6007" s="1"/>
      <c r="AW6007" s="1"/>
      <c r="AX6007" s="1"/>
      <c r="AY6007" s="1"/>
      <c r="AZ6007" s="1"/>
      <c r="BA6007" s="1"/>
      <c r="BB6007" s="1"/>
    </row>
    <row r="6008" ht="204.75" customHeight="1">
      <c r="A6008" s="1">
        <v>5596.0</v>
      </c>
      <c r="B6008" s="2" t="s">
        <v>16107</v>
      </c>
      <c r="C6008" s="2">
        <f>IFERROR(__xludf.DUMMYFUNCTION("split(B6008,""_"")"),810.0)</f>
        <v>810</v>
      </c>
      <c r="D6008" s="2" t="str">
        <f>IFERROR(__xludf.DUMMYFUNCTION("""COMPUTED_VALUE"""),"TBS")</f>
        <v>TBS</v>
      </c>
      <c r="E6008" s="2" t="str">
        <f>IFERROR(__xludf.DUMMYFUNCTION("""COMPUTED_VALUE"""),"金22")</f>
        <v>金22</v>
      </c>
      <c r="F6008" s="2" t="s">
        <v>16108</v>
      </c>
      <c r="G6008" s="2" t="s">
        <v>16109</v>
      </c>
      <c r="H6008" s="1">
        <v>4.0</v>
      </c>
      <c r="J6008" s="1" t="s">
        <v>86</v>
      </c>
      <c r="K6008" s="2" t="s">
        <v>16113</v>
      </c>
      <c r="L6008" s="2"/>
      <c r="M6008" s="2" t="str">
        <f>IFERROR(__xludf.DUMMYFUNCTION("split(split(K6008,""【"",false),""公式LINE"",false)"),"「真犯人と繋がった記憶」事件の時効が迫る中、柏原ら警察側の接近に危険を感じた功一は、次で最後という約束で泰輔と静奈に詐欺話を持ちかける。その標的となったのは、有名洋食屋チェーン店の御曹司戸神行成であった。功一は完璧な作戦で静奈を行成に接近させる。ある日、行成は自身の経営する店舗で出すハヤシライスの試食会に静奈を誘った。そこで食べたハヤシライスの味は、かつて父親が作ったものと同じであった。そしてそこに現れた人物とは！？二宮和也　錦戸亮　戸田恵梨香　要潤　柄本明　りょう　寺島進　三浦友和東野圭吾宮藤官九郎金子"&amp;"文紀那須田淳  磯山晶TBSテレビ")</f>
        <v>「真犯人と繋がった記憶」事件の時効が迫る中、柏原ら警察側の接近に危険を感じた功一は、次で最後という約束で泰輔と静奈に詐欺話を持ちかける。その標的となったのは、有名洋食屋チェーン店の御曹司戸神行成であった。功一は完璧な作戦で静奈を行成に接近させる。ある日、行成は自身の経営する店舗で出すハヤシライスの試食会に静奈を誘った。そこで食べたハヤシライスの味は、かつて父親が作ったものと同じであった。そしてそこに現れた人物とは！？二宮和也　錦戸亮　戸田恵梨香　要潤　柄本明　りょう　寺島進　三浦友和東野圭吾宮藤官九郎金子文紀那須田淳  磯山晶TBSテレビ</v>
      </c>
      <c r="N6008" s="2"/>
      <c r="O6008" s="2"/>
      <c r="P6008" s="1"/>
      <c r="Q6008" s="1"/>
      <c r="R6008" s="1"/>
      <c r="S6008" s="1"/>
      <c r="T6008" s="1"/>
      <c r="U6008" s="1"/>
      <c r="V6008" s="1"/>
      <c r="W6008" s="1"/>
      <c r="X6008" s="1"/>
      <c r="Y6008" s="1"/>
      <c r="Z6008" s="1"/>
      <c r="AA6008" s="1"/>
      <c r="AB6008" s="1"/>
      <c r="AC6008" s="1"/>
      <c r="AD6008" s="1"/>
      <c r="AE6008" s="1"/>
      <c r="AF6008" s="1"/>
      <c r="AG6008" s="1"/>
      <c r="AH6008" s="1"/>
      <c r="AI6008" s="1"/>
      <c r="AJ6008" s="1"/>
      <c r="AK6008" s="1"/>
      <c r="AL6008" s="1"/>
      <c r="AM6008" s="1"/>
      <c r="AN6008" s="1"/>
      <c r="AO6008" s="1"/>
      <c r="AP6008" s="1"/>
      <c r="AQ6008" s="1"/>
      <c r="AR6008" s="1"/>
      <c r="AS6008" s="1"/>
      <c r="AT6008" s="1"/>
      <c r="AU6008" s="1"/>
      <c r="AV6008" s="1"/>
      <c r="AW6008" s="1"/>
      <c r="AX6008" s="1"/>
      <c r="AY6008" s="1"/>
      <c r="AZ6008" s="1"/>
      <c r="BA6008" s="1"/>
      <c r="BB6008" s="1"/>
    </row>
    <row r="6009" ht="204.75" customHeight="1">
      <c r="A6009" s="1">
        <v>5597.0</v>
      </c>
      <c r="B6009" s="2" t="s">
        <v>16107</v>
      </c>
      <c r="C6009" s="2">
        <f>IFERROR(__xludf.DUMMYFUNCTION("split(B6009,""_"")"),810.0)</f>
        <v>810</v>
      </c>
      <c r="D6009" s="2" t="str">
        <f>IFERROR(__xludf.DUMMYFUNCTION("""COMPUTED_VALUE"""),"TBS")</f>
        <v>TBS</v>
      </c>
      <c r="E6009" s="2" t="str">
        <f>IFERROR(__xludf.DUMMYFUNCTION("""COMPUTED_VALUE"""),"金22")</f>
        <v>金22</v>
      </c>
      <c r="F6009" s="2" t="s">
        <v>16108</v>
      </c>
      <c r="G6009" s="2" t="s">
        <v>16109</v>
      </c>
      <c r="H6009" s="1">
        <v>5.0</v>
      </c>
      <c r="J6009" s="1" t="s">
        <v>86</v>
      </c>
      <c r="K6009" s="2" t="s">
        <v>16114</v>
      </c>
      <c r="L6009" s="2"/>
      <c r="M6009" s="2" t="str">
        <f>IFERROR(__xludf.DUMMYFUNCTION("split(split(K6009,""【"",false),""公式LINE"",false)"),"「仇の息子と盗まれた味」行成に招待され静奈が食べた「とがみ亭」の元祖ハヤシライスは、殺された父親・幸博が作っていたものと同じ味だった。さらに、泰輔が事件当日に見た男が、その行成の父親の政行であったことなどから、功一は戸神政行を両親の仇として、さらなる真実を追究していく。静奈は行成から幸博と政行の接点を探そうと逢瀬を交わし、泰輔は柏原ら警察と連絡をとり始める。標的の定まった3人の前に、静奈の本当の父親の妻が現れる。二宮和也　錦戸亮　戸田恵梨香　要潤　柄本明　りょう　寺島進　三浦友和東野圭吾宮藤官九郎金子文紀"&amp;"那須田淳  磯山晶TBSテレビ")</f>
        <v>「仇の息子と盗まれた味」行成に招待され静奈が食べた「とがみ亭」の元祖ハヤシライスは、殺された父親・幸博が作っていたものと同じ味だった。さらに、泰輔が事件当日に見た男が、その行成の父親の政行であったことなどから、功一は戸神政行を両親の仇として、さらなる真実を追究していく。静奈は行成から幸博と政行の接点を探そうと逢瀬を交わし、泰輔は柏原ら警察と連絡をとり始める。標的の定まった3人の前に、静奈の本当の父親の妻が現れる。二宮和也　錦戸亮　戸田恵梨香　要潤　柄本明　りょう　寺島進　三浦友和東野圭吾宮藤官九郎金子文紀那須田淳  磯山晶TBSテレビ</v>
      </c>
      <c r="N6009" s="2"/>
      <c r="O6009" s="2"/>
      <c r="P6009" s="1"/>
      <c r="Q6009" s="1"/>
      <c r="R6009" s="1"/>
      <c r="S6009" s="1"/>
      <c r="T6009" s="1"/>
      <c r="U6009" s="1"/>
      <c r="V6009" s="1"/>
      <c r="W6009" s="1"/>
      <c r="X6009" s="1"/>
      <c r="Y6009" s="1"/>
      <c r="Z6009" s="1"/>
      <c r="AA6009" s="1"/>
      <c r="AB6009" s="1"/>
      <c r="AC6009" s="1"/>
      <c r="AD6009" s="1"/>
      <c r="AE6009" s="1"/>
      <c r="AF6009" s="1"/>
      <c r="AG6009" s="1"/>
      <c r="AH6009" s="1"/>
      <c r="AI6009" s="1"/>
      <c r="AJ6009" s="1"/>
      <c r="AK6009" s="1"/>
      <c r="AL6009" s="1"/>
      <c r="AM6009" s="1"/>
      <c r="AN6009" s="1"/>
      <c r="AO6009" s="1"/>
      <c r="AP6009" s="1"/>
      <c r="AQ6009" s="1"/>
      <c r="AR6009" s="1"/>
      <c r="AS6009" s="1"/>
      <c r="AT6009" s="1"/>
      <c r="AU6009" s="1"/>
      <c r="AV6009" s="1"/>
      <c r="AW6009" s="1"/>
      <c r="AX6009" s="1"/>
      <c r="AY6009" s="1"/>
      <c r="AZ6009" s="1"/>
      <c r="BA6009" s="1"/>
      <c r="BB6009" s="1"/>
    </row>
    <row r="6010" ht="204.75" customHeight="1">
      <c r="A6010" s="1">
        <v>5598.0</v>
      </c>
      <c r="B6010" s="2" t="s">
        <v>16107</v>
      </c>
      <c r="C6010" s="2">
        <f>IFERROR(__xludf.DUMMYFUNCTION("split(B6010,""_"")"),810.0)</f>
        <v>810</v>
      </c>
      <c r="D6010" s="2" t="str">
        <f>IFERROR(__xludf.DUMMYFUNCTION("""COMPUTED_VALUE"""),"TBS")</f>
        <v>TBS</v>
      </c>
      <c r="E6010" s="2" t="str">
        <f>IFERROR(__xludf.DUMMYFUNCTION("""COMPUTED_VALUE"""),"金22")</f>
        <v>金22</v>
      </c>
      <c r="F6010" s="2" t="s">
        <v>16108</v>
      </c>
      <c r="G6010" s="2" t="s">
        <v>16109</v>
      </c>
      <c r="H6010" s="1">
        <v>6.0</v>
      </c>
      <c r="J6010" s="1" t="s">
        <v>86</v>
      </c>
      <c r="K6010" s="2" t="s">
        <v>16115</v>
      </c>
      <c r="L6010" s="2"/>
      <c r="M6010" s="2" t="str">
        <f>IFERROR(__xludf.DUMMYFUNCTION("split(split(K6010,""【"",false),""公式LINE"",false)"),"「本当の兄妹じゃない」静奈の実父である矢崎の妻・秀子は、自分の夫が有明夫妻を殺した犯人で、そのことを静奈に会って夫の代わりにお詫びがしたいと功一に伝える。一方で、妻である秀子が自分を疑っているこにと気づいた矢崎は、妻の証言はすべて妄想で、自分は犯人ではないと柏原に相談する。そんな2人が静奈に接近することに、危機感を覚えた功一と泰輔は、自分たちは本当の兄妹ではないということを自分達の口から静奈に伝えようと決意する。二宮和也　錦戸亮　戸田恵梨香　要潤　柄本明　りょう　寺島進　三浦友和東野圭吾宮藤官九郎金子文紀"&amp;"那須田淳  磯山晶TBSテレビ")</f>
        <v>「本当の兄妹じゃない」静奈の実父である矢崎の妻・秀子は、自分の夫が有明夫妻を殺した犯人で、そのことを静奈に会って夫の代わりにお詫びがしたいと功一に伝える。一方で、妻である秀子が自分を疑っているこにと気づいた矢崎は、妻の証言はすべて妄想で、自分は犯人ではないと柏原に相談する。そんな2人が静奈に接近することに、危機感を覚えた功一と泰輔は、自分たちは本当の兄妹ではないということを自分達の口から静奈に伝えようと決意する。二宮和也　錦戸亮　戸田恵梨香　要潤　柄本明　りょう　寺島進　三浦友和東野圭吾宮藤官九郎金子文紀那須田淳  磯山晶TBSテレビ</v>
      </c>
      <c r="N6010" s="2"/>
      <c r="O6010" s="2"/>
      <c r="P6010" s="1"/>
      <c r="Q6010" s="1"/>
      <c r="R6010" s="1"/>
      <c r="S6010" s="1"/>
      <c r="T6010" s="1"/>
      <c r="U6010" s="1"/>
      <c r="V6010" s="1"/>
      <c r="W6010" s="1"/>
      <c r="X6010" s="1"/>
      <c r="Y6010" s="1"/>
      <c r="Z6010" s="1"/>
      <c r="AA6010" s="1"/>
      <c r="AB6010" s="1"/>
      <c r="AC6010" s="1"/>
      <c r="AD6010" s="1"/>
      <c r="AE6010" s="1"/>
      <c r="AF6010" s="1"/>
      <c r="AG6010" s="1"/>
      <c r="AH6010" s="1"/>
      <c r="AI6010" s="1"/>
      <c r="AJ6010" s="1"/>
      <c r="AK6010" s="1"/>
      <c r="AL6010" s="1"/>
      <c r="AM6010" s="1"/>
      <c r="AN6010" s="1"/>
      <c r="AO6010" s="1"/>
      <c r="AP6010" s="1"/>
      <c r="AQ6010" s="1"/>
      <c r="AR6010" s="1"/>
      <c r="AS6010" s="1"/>
      <c r="AT6010" s="1"/>
      <c r="AU6010" s="1"/>
      <c r="AV6010" s="1"/>
      <c r="AW6010" s="1"/>
      <c r="AX6010" s="1"/>
      <c r="AY6010" s="1"/>
      <c r="AZ6010" s="1"/>
      <c r="BA6010" s="1"/>
      <c r="BB6010" s="1"/>
    </row>
    <row r="6011" ht="204.75" customHeight="1">
      <c r="A6011" s="1">
        <v>5599.0</v>
      </c>
      <c r="B6011" s="2" t="s">
        <v>16107</v>
      </c>
      <c r="C6011" s="2">
        <f>IFERROR(__xludf.DUMMYFUNCTION("split(B6011,""_"")"),810.0)</f>
        <v>810</v>
      </c>
      <c r="D6011" s="2" t="str">
        <f>IFERROR(__xludf.DUMMYFUNCTION("""COMPUTED_VALUE"""),"TBS")</f>
        <v>TBS</v>
      </c>
      <c r="E6011" s="2" t="str">
        <f>IFERROR(__xludf.DUMMYFUNCTION("""COMPUTED_VALUE"""),"金22")</f>
        <v>金22</v>
      </c>
      <c r="F6011" s="2" t="s">
        <v>16108</v>
      </c>
      <c r="G6011" s="2" t="s">
        <v>16109</v>
      </c>
      <c r="H6011" s="1">
        <v>7.0</v>
      </c>
      <c r="J6011" s="1" t="s">
        <v>86</v>
      </c>
      <c r="K6011" s="2" t="s">
        <v>16116</v>
      </c>
      <c r="L6011" s="2"/>
      <c r="M6011" s="2" t="str">
        <f>IFERROR(__xludf.DUMMYFUNCTION("split(split(K6011,""【"",false),""公式LINE"",false)"),"「妹は仇の息子に惚れてるよ」時効まであと3週間に迫った時、両親を殺した犯人は「とがみ亭」の社長・戸神政行だと確信した功一たちは、政行が警察に逮捕されるように、足りない証拠を自分たちででっち上げるという危険な作戦にでる。その一方で、静奈は功一からの指示もないのに、行成と逢瀬を交わしていた。そのことを兄たちに咎められるが、もう行成への気持ちを抑えきれなくなっていた。柏原たちも功一の仕掛けた証拠に誘導され、政行にたどり着く。二宮和也　錦戸亮　戸田恵梨香　要潤　柄本明　りょう　寺島進　三浦友和東野圭吾宮藤官九郎石"&amp;"井康晴那須田淳  磯山晶TBSテレビ")</f>
        <v>「妹は仇の息子に惚れてるよ」時効まであと3週間に迫った時、両親を殺した犯人は「とがみ亭」の社長・戸神政行だと確信した功一たちは、政行が警察に逮捕されるように、足りない証拠を自分たちででっち上げるという危険な作戦にでる。その一方で、静奈は功一からの指示もないのに、行成と逢瀬を交わしていた。そのことを兄たちに咎められるが、もう行成への気持ちを抑えきれなくなっていた。柏原たちも功一の仕掛けた証拠に誘導され、政行にたどり着く。二宮和也　錦戸亮　戸田恵梨香　要潤　柄本明　りょう　寺島進　三浦友和東野圭吾宮藤官九郎石井康晴那須田淳  磯山晶TBSテレビ</v>
      </c>
      <c r="N6011" s="2"/>
      <c r="O6011" s="2"/>
      <c r="P6011" s="1"/>
      <c r="Q6011" s="1"/>
      <c r="R6011" s="1"/>
      <c r="S6011" s="1"/>
      <c r="T6011" s="1"/>
      <c r="U6011" s="1"/>
      <c r="V6011" s="1"/>
      <c r="W6011" s="1"/>
      <c r="X6011" s="1"/>
      <c r="Y6011" s="1"/>
      <c r="Z6011" s="1"/>
      <c r="AA6011" s="1"/>
      <c r="AB6011" s="1"/>
      <c r="AC6011" s="1"/>
      <c r="AD6011" s="1"/>
      <c r="AE6011" s="1"/>
      <c r="AF6011" s="1"/>
      <c r="AG6011" s="1"/>
      <c r="AH6011" s="1"/>
      <c r="AI6011" s="1"/>
      <c r="AJ6011" s="1"/>
      <c r="AK6011" s="1"/>
      <c r="AL6011" s="1"/>
      <c r="AM6011" s="1"/>
      <c r="AN6011" s="1"/>
      <c r="AO6011" s="1"/>
      <c r="AP6011" s="1"/>
      <c r="AQ6011" s="1"/>
      <c r="AR6011" s="1"/>
      <c r="AS6011" s="1"/>
      <c r="AT6011" s="1"/>
      <c r="AU6011" s="1"/>
      <c r="AV6011" s="1"/>
      <c r="AW6011" s="1"/>
      <c r="AX6011" s="1"/>
      <c r="AY6011" s="1"/>
      <c r="AZ6011" s="1"/>
      <c r="BA6011" s="1"/>
      <c r="BB6011" s="1"/>
    </row>
    <row r="6012" ht="204.75" customHeight="1">
      <c r="A6012" s="1">
        <v>5600.0</v>
      </c>
      <c r="B6012" s="2" t="s">
        <v>16107</v>
      </c>
      <c r="C6012" s="2">
        <f>IFERROR(__xludf.DUMMYFUNCTION("split(B6012,""_"")"),810.0)</f>
        <v>810</v>
      </c>
      <c r="D6012" s="2" t="str">
        <f>IFERROR(__xludf.DUMMYFUNCTION("""COMPUTED_VALUE"""),"TBS")</f>
        <v>TBS</v>
      </c>
      <c r="E6012" s="2" t="str">
        <f>IFERROR(__xludf.DUMMYFUNCTION("""COMPUTED_VALUE"""),"金22")</f>
        <v>金22</v>
      </c>
      <c r="F6012" s="2" t="s">
        <v>16108</v>
      </c>
      <c r="G6012" s="2" t="s">
        <v>16109</v>
      </c>
      <c r="H6012" s="1">
        <v>8.0</v>
      </c>
      <c r="J6012" s="1" t="s">
        <v>86</v>
      </c>
      <c r="K6012" s="2" t="s">
        <v>16117</v>
      </c>
      <c r="L6012" s="2"/>
      <c r="M6012" s="2" t="str">
        <f>IFERROR(__xludf.DUMMYFUNCTION("split(split(K6012,""【"",false),""公式LINE"",false)"),"「妹の正体と追いつめられた真犯人」行成の家に招待された静奈は、政行を犯人に仕立て上げるための絶対的な証拠、アリアケのレシピノートを残してくる作戦を実行に移す。しかし、行成に思いを寄せている静奈は、戸神の母、貴美子に会い、気に入られた事に喜びを感じる。静奈の気持ちに気づいている功一・泰輔は、心配ながらも静奈を信じ、帰りを待つ。その時、柏原からこれから戸神家を家宅捜索するという連絡が入る。戸神家には静奈が。その時、功一と泰輔は！？二宮和也　錦戸亮　戸田恵梨香　要潤　柄本明　りょう　寺島進　三浦友和東野圭吾宮藤"&amp;"官九郎石井康晴那須田淳  磯山晶TBSテレビ")</f>
        <v>「妹の正体と追いつめられた真犯人」行成の家に招待された静奈は、政行を犯人に仕立て上げるための絶対的な証拠、アリアケのレシピノートを残してくる作戦を実行に移す。しかし、行成に思いを寄せている静奈は、戸神の母、貴美子に会い、気に入られた事に喜びを感じる。静奈の気持ちに気づいている功一・泰輔は、心配ながらも静奈を信じ、帰りを待つ。その時、柏原からこれから戸神家を家宅捜索するという連絡が入る。戸神家には静奈が。その時、功一と泰輔は！？二宮和也　錦戸亮　戸田恵梨香　要潤　柄本明　りょう　寺島進　三浦友和東野圭吾宮藤官九郎石井康晴那須田淳  磯山晶TBSテレビ</v>
      </c>
      <c r="N6012" s="2"/>
      <c r="O6012" s="2"/>
      <c r="P6012" s="1"/>
      <c r="Q6012" s="1"/>
      <c r="R6012" s="1"/>
      <c r="S6012" s="1"/>
      <c r="T6012" s="1"/>
      <c r="U6012" s="1"/>
      <c r="V6012" s="1"/>
      <c r="W6012" s="1"/>
      <c r="X6012" s="1"/>
      <c r="Y6012" s="1"/>
      <c r="Z6012" s="1"/>
      <c r="AA6012" s="1"/>
      <c r="AB6012" s="1"/>
      <c r="AC6012" s="1"/>
      <c r="AD6012" s="1"/>
      <c r="AE6012" s="1"/>
      <c r="AF6012" s="1"/>
      <c r="AG6012" s="1"/>
      <c r="AH6012" s="1"/>
      <c r="AI6012" s="1"/>
      <c r="AJ6012" s="1"/>
      <c r="AK6012" s="1"/>
      <c r="AL6012" s="1"/>
      <c r="AM6012" s="1"/>
      <c r="AN6012" s="1"/>
      <c r="AO6012" s="1"/>
      <c r="AP6012" s="1"/>
      <c r="AQ6012" s="1"/>
      <c r="AR6012" s="1"/>
      <c r="AS6012" s="1"/>
      <c r="AT6012" s="1"/>
      <c r="AU6012" s="1"/>
      <c r="AV6012" s="1"/>
      <c r="AW6012" s="1"/>
      <c r="AX6012" s="1"/>
      <c r="AY6012" s="1"/>
      <c r="AZ6012" s="1"/>
      <c r="BA6012" s="1"/>
      <c r="BB6012" s="1"/>
    </row>
    <row r="6013" ht="204.75" customHeight="1">
      <c r="A6013" s="1">
        <v>5601.0</v>
      </c>
      <c r="B6013" s="2" t="s">
        <v>16107</v>
      </c>
      <c r="C6013" s="2">
        <f>IFERROR(__xludf.DUMMYFUNCTION("split(B6013,""_"")"),810.0)</f>
        <v>810</v>
      </c>
      <c r="D6013" s="2" t="str">
        <f>IFERROR(__xludf.DUMMYFUNCTION("""COMPUTED_VALUE"""),"TBS")</f>
        <v>TBS</v>
      </c>
      <c r="E6013" s="2" t="str">
        <f>IFERROR(__xludf.DUMMYFUNCTION("""COMPUTED_VALUE"""),"金22")</f>
        <v>金22</v>
      </c>
      <c r="F6013" s="2" t="s">
        <v>16108</v>
      </c>
      <c r="G6013" s="2" t="s">
        <v>16109</v>
      </c>
      <c r="H6013" s="1">
        <v>9.0</v>
      </c>
      <c r="J6013" s="1" t="s">
        <v>86</v>
      </c>
      <c r="K6013" s="2" t="s">
        <v>16118</v>
      </c>
      <c r="L6013" s="2"/>
      <c r="M6013" s="2" t="str">
        <f>IFERROR(__xludf.DUMMYFUNCTION("split(split(K6013,""【"",false),""公式LINE"",false)"),"「時効当日最後の告白」行成にノートを戸神家に残してきたことがバレてしまった静奈は、本名を明かし、自分の両親を殺した犯人が政行だという疑いを話してしまう。時候まであと1週間と迫り、焦った功一は、柏原にすべてを打ち明け相談することに。柏原からの助言によって、行成の動きを封じようと直接対面するが、行成から発せられたのは、3兄妹に協力するという言葉だった。思いがけない味方をつけた3人は、時候当日ついに戸神家に乗り込む。二宮和也　錦戸亮　戸田恵梨香　要潤　柄本明　りょう　寺島進　三浦友和東野圭吾宮藤官九郎金子文紀那"&amp;"須田淳  磯山晶TBSテレビ")</f>
        <v>「時効当日最後の告白」行成にノートを戸神家に残してきたことがバレてしまった静奈は、本名を明かし、自分の両親を殺した犯人が政行だという疑いを話してしまう。時候まであと1週間と迫り、焦った功一は、柏原にすべてを打ち明け相談することに。柏原からの助言によって、行成の動きを封じようと直接対面するが、行成から発せられたのは、3兄妹に協力するという言葉だった。思いがけない味方をつけた3人は、時候当日ついに戸神家に乗り込む。二宮和也　錦戸亮　戸田恵梨香　要潤　柄本明　りょう　寺島進　三浦友和東野圭吾宮藤官九郎金子文紀那須田淳  磯山晶TBSテレビ</v>
      </c>
      <c r="N6013" s="2"/>
      <c r="O6013" s="2"/>
      <c r="P6013" s="1"/>
      <c r="Q6013" s="1"/>
      <c r="R6013" s="1"/>
      <c r="S6013" s="1"/>
      <c r="T6013" s="1"/>
      <c r="U6013" s="1"/>
      <c r="V6013" s="1"/>
      <c r="W6013" s="1"/>
      <c r="X6013" s="1"/>
      <c r="Y6013" s="1"/>
      <c r="Z6013" s="1"/>
      <c r="AA6013" s="1"/>
      <c r="AB6013" s="1"/>
      <c r="AC6013" s="1"/>
      <c r="AD6013" s="1"/>
      <c r="AE6013" s="1"/>
      <c r="AF6013" s="1"/>
      <c r="AG6013" s="1"/>
      <c r="AH6013" s="1"/>
      <c r="AI6013" s="1"/>
      <c r="AJ6013" s="1"/>
      <c r="AK6013" s="1"/>
      <c r="AL6013" s="1"/>
      <c r="AM6013" s="1"/>
      <c r="AN6013" s="1"/>
      <c r="AO6013" s="1"/>
      <c r="AP6013" s="1"/>
      <c r="AQ6013" s="1"/>
      <c r="AR6013" s="1"/>
      <c r="AS6013" s="1"/>
      <c r="AT6013" s="1"/>
      <c r="AU6013" s="1"/>
      <c r="AV6013" s="1"/>
      <c r="AW6013" s="1"/>
      <c r="AX6013" s="1"/>
      <c r="AY6013" s="1"/>
      <c r="AZ6013" s="1"/>
      <c r="BA6013" s="1"/>
      <c r="BB6013" s="1"/>
    </row>
    <row r="6014" ht="204.75" customHeight="1">
      <c r="A6014" s="1">
        <v>5602.0</v>
      </c>
      <c r="B6014" s="2" t="s">
        <v>16107</v>
      </c>
      <c r="C6014" s="2">
        <f>IFERROR(__xludf.DUMMYFUNCTION("split(B6014,""_"")"),810.0)</f>
        <v>810</v>
      </c>
      <c r="D6014" s="2" t="str">
        <f>IFERROR(__xludf.DUMMYFUNCTION("""COMPUTED_VALUE"""),"TBS")</f>
        <v>TBS</v>
      </c>
      <c r="E6014" s="2" t="str">
        <f>IFERROR(__xludf.DUMMYFUNCTION("""COMPUTED_VALUE"""),"金22")</f>
        <v>金22</v>
      </c>
      <c r="F6014" s="2" t="s">
        <v>16108</v>
      </c>
      <c r="G6014" s="2" t="s">
        <v>16109</v>
      </c>
      <c r="H6014" s="1">
        <v>10.0</v>
      </c>
      <c r="J6014" s="1" t="s">
        <v>82</v>
      </c>
      <c r="K6014" s="2" t="s">
        <v>16119</v>
      </c>
      <c r="L6014" s="2"/>
      <c r="M6014" s="2" t="str">
        <f>IFERROR(__xludf.DUMMYFUNCTION("split(split(K6014,""【"",false),""公式LINE"",false)"),"「犯人はお前だ！3兄妹の運命は…涙と感動の最終回！」時効当日、3兄妹は戸神家に乗り込み、両親を殺した容疑者として政行を問い詰める。しかし、政行は14年前の有明夫妻とのやり取りを話し、自分が犯人ではないと言う。その証言を信じることのできない功一たち、さらに警察側の柏原も、作り話だと言い、認めない。そこで、政行は自分が犯人ではないと言える決定的証拠を持ってくる。  真犯人は一体誰なのか？そして3兄妹の取った行動とは！？涙が止まらない衝撃の最終回！！二宮和也　錦戸亮　戸田恵梨香　要潤　柄本明　りょう　寺島進　三"&amp;"浦友和東野圭吾宮藤官九郎金子文紀那須田淳  磯山晶TBSテレビ")</f>
        <v>「犯人はお前だ！3兄妹の運命は…涙と感動の最終回！」時効当日、3兄妹は戸神家に乗り込み、両親を殺した容疑者として政行を問い詰める。しかし、政行は14年前の有明夫妻とのやり取りを話し、自分が犯人ではないと言う。その証言を信じることのできない功一たち、さらに警察側の柏原も、作り話だと言い、認めない。そこで、政行は自分が犯人ではないと言える決定的証拠を持ってくる。  真犯人は一体誰なのか？そして3兄妹の取った行動とは！？涙が止まらない衝撃の最終回！！二宮和也　錦戸亮　戸田恵梨香　要潤　柄本明　りょう　寺島進　三浦友和東野圭吾宮藤官九郎金子文紀那須田淳  磯山晶TBSテレビ</v>
      </c>
      <c r="N6014" s="2"/>
      <c r="O6014" s="2"/>
      <c r="P6014" s="1"/>
      <c r="Q6014" s="1"/>
      <c r="R6014" s="1"/>
      <c r="S6014" s="1"/>
      <c r="T6014" s="1"/>
      <c r="U6014" s="1"/>
      <c r="V6014" s="1"/>
      <c r="W6014" s="1"/>
      <c r="X6014" s="1"/>
      <c r="Y6014" s="1"/>
      <c r="Z6014" s="1"/>
      <c r="AA6014" s="1"/>
      <c r="AB6014" s="1"/>
      <c r="AC6014" s="1"/>
      <c r="AD6014" s="1"/>
      <c r="AE6014" s="1"/>
      <c r="AF6014" s="1"/>
      <c r="AG6014" s="1"/>
      <c r="AH6014" s="1"/>
      <c r="AI6014" s="1"/>
      <c r="AJ6014" s="1"/>
      <c r="AK6014" s="1"/>
      <c r="AL6014" s="1"/>
      <c r="AM6014" s="1"/>
      <c r="AN6014" s="1"/>
      <c r="AO6014" s="1"/>
      <c r="AP6014" s="1"/>
      <c r="AQ6014" s="1"/>
      <c r="AR6014" s="1"/>
      <c r="AS6014" s="1"/>
      <c r="AT6014" s="1"/>
      <c r="AU6014" s="1"/>
      <c r="AV6014" s="1"/>
      <c r="AW6014" s="1"/>
      <c r="AX6014" s="1"/>
      <c r="AY6014" s="1"/>
      <c r="AZ6014" s="1"/>
      <c r="BA6014" s="1"/>
      <c r="BB6014" s="1"/>
    </row>
    <row r="6015" ht="204.75" customHeight="1">
      <c r="A6015" s="1">
        <v>5613.0</v>
      </c>
      <c r="B6015" s="2" t="s">
        <v>16120</v>
      </c>
      <c r="C6015" s="2">
        <f>IFERROR(__xludf.DUMMYFUNCTION("split(B6015,""_"")"),810.0)</f>
        <v>810</v>
      </c>
      <c r="D6015" s="2" t="str">
        <f>IFERROR(__xludf.DUMMYFUNCTION("""COMPUTED_VALUE"""),"TBS")</f>
        <v>TBS</v>
      </c>
      <c r="E6015" s="2" t="str">
        <f>IFERROR(__xludf.DUMMYFUNCTION("""COMPUTED_VALUE"""),"土20")</f>
        <v>土20</v>
      </c>
      <c r="F6015" s="2" t="s">
        <v>16121</v>
      </c>
      <c r="G6015" s="2" t="s">
        <v>16122</v>
      </c>
      <c r="H6015" s="1">
        <v>1.0</v>
      </c>
      <c r="J6015" s="1" t="s">
        <v>2809</v>
      </c>
      <c r="K6015" s="2" t="s">
        <v>16123</v>
      </c>
      <c r="L6015" s="2"/>
      <c r="M6015" s="2" t="str">
        <f>IFERROR(__xludf.DUMMYFUNCTION("split(split(K6015,""【"",false),""公式LINE"",false)"),"「日本最後の日！1人の命か!?千万人の命か!?最凶ウイルステロの陰謀と伝説の天才ハッカ―の闘いがいよいよ今夜はじまる!!」  ロシアの密売組織から殺人ウイルスを手に入れた謎の女・マヤが、諜報員を殺し、行方をくらませた。彼女の目的はウイルステロを起こし、日本を壊滅させることだった。捜査に乗り出した公安の特殊部隊・サ―ドアイは、殺された諜報員が残した暗号解析を、天才高校生ハッカ―・藤丸に依頼。しかし、藤丸の通う高校に、マヤが新任教師として姿を現し…。三浦春馬  吉瀬美智子  佐藤　健  松重　豊  片瀬那奈 "&amp;"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f>
        <v>「日本最後の日！1人の命か!?千万人の命か!?最凶ウイルステロの陰謀と伝説の天才ハッカ―の闘いがいよいよ今夜はじまる!!」  ロシアの密売組織から殺人ウイルスを手に入れた謎の女・マヤが、諜報員を殺し、行方をくらませた。彼女の目的はウイルステロを起こし、日本を壊滅させることだった。捜査に乗り出した公安の特殊部隊・サ―ドアイは、殺された諜報員が残した暗号解析を、天才高校生ハッカ―・藤丸に依頼。しかし、藤丸の通う高校に、マヤが新任教師として姿を現し…。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v>
      </c>
      <c r="N6015" s="2"/>
      <c r="O6015" s="2"/>
      <c r="P6015" s="1"/>
      <c r="Q6015" s="1"/>
      <c r="R6015" s="1"/>
      <c r="S6015" s="1"/>
      <c r="T6015" s="1"/>
      <c r="U6015" s="1"/>
      <c r="V6015" s="1"/>
      <c r="W6015" s="1"/>
      <c r="X6015" s="1"/>
      <c r="Y6015" s="1"/>
      <c r="Z6015" s="1"/>
      <c r="AA6015" s="1"/>
      <c r="AB6015" s="1"/>
      <c r="AC6015" s="1"/>
      <c r="AD6015" s="1"/>
      <c r="AE6015" s="1"/>
      <c r="AF6015" s="1"/>
      <c r="AG6015" s="1"/>
      <c r="AH6015" s="1"/>
      <c r="AI6015" s="1"/>
      <c r="AJ6015" s="1"/>
      <c r="AK6015" s="1"/>
      <c r="AL6015" s="1"/>
      <c r="AM6015" s="1"/>
      <c r="AN6015" s="1"/>
      <c r="AO6015" s="1"/>
      <c r="AP6015" s="1"/>
      <c r="AQ6015" s="1"/>
      <c r="AR6015" s="1"/>
      <c r="AS6015" s="1"/>
      <c r="AT6015" s="1"/>
      <c r="AU6015" s="1"/>
      <c r="AV6015" s="1"/>
      <c r="AW6015" s="1"/>
      <c r="AX6015" s="1"/>
      <c r="AY6015" s="1"/>
      <c r="AZ6015" s="1"/>
      <c r="BA6015" s="1"/>
      <c r="BB6015" s="1"/>
    </row>
    <row r="6016" ht="204.75" customHeight="1">
      <c r="A6016" s="1">
        <v>5614.0</v>
      </c>
      <c r="B6016" s="2" t="s">
        <v>16120</v>
      </c>
      <c r="C6016" s="2">
        <f>IFERROR(__xludf.DUMMYFUNCTION("split(B6016,""_"")"),810.0)</f>
        <v>810</v>
      </c>
      <c r="D6016" s="2" t="str">
        <f>IFERROR(__xludf.DUMMYFUNCTION("""COMPUTED_VALUE"""),"TBS")</f>
        <v>TBS</v>
      </c>
      <c r="E6016" s="2" t="str">
        <f>IFERROR(__xludf.DUMMYFUNCTION("""COMPUTED_VALUE"""),"土20")</f>
        <v>土20</v>
      </c>
      <c r="F6016" s="2" t="s">
        <v>16121</v>
      </c>
      <c r="G6016" s="2" t="s">
        <v>16122</v>
      </c>
      <c r="H6016" s="1">
        <v>2.0</v>
      </c>
      <c r="J6016" s="1" t="s">
        <v>2809</v>
      </c>
      <c r="K6016" s="2" t="s">
        <v>16124</v>
      </c>
      <c r="L6016" s="2"/>
      <c r="M6016" s="2" t="str">
        <f>IFERROR(__xludf.DUMMYFUNCTION("split(split(K6016,""【"",false),""公式LINE"",false)"),"「殺人ウイルステロついに勃発!!迫り来る日本最後の日！」ショッピングモ―ルに撒かれたウィルスは偽物だった。しかし、テロリストによって藤丸（三浦春馬）の妹・遥（川島海荷）が誘拐され、命と引き換えに、公安秘密部隊・サ―ドアイのメインコンピュ―タ―へのハッキングし、「クリスマスの虐殺」の映像ファイルの消去するよう脅迫される。一方、ある一般女性にウィルスを送りつけたと、テロリストからサ―ドアイに連絡が入り…。三浦春馬  吉瀬美智子  佐藤　健  松重　豊  片瀬那奈  芦名　星  藤井美菜  川島海荷  徳永えり"&amp;"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f>
        <v>「殺人ウイルステロついに勃発!!迫り来る日本最後の日！」ショッピングモ―ルに撒かれたウィルスは偽物だった。しかし、テロリストによって藤丸（三浦春馬）の妹・遥（川島海荷）が誘拐され、命と引き換えに、公安秘密部隊・サ―ドアイのメインコンピュ―タ―へのハッキングし、「クリスマスの虐殺」の映像ファイルの消去するよう脅迫される。一方、ある一般女性にウィルスを送りつけたと、テロリストからサ―ドアイに連絡が入り…。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v>
      </c>
      <c r="N6016" s="2"/>
      <c r="O6016" s="2"/>
      <c r="P6016" s="1"/>
      <c r="Q6016" s="1"/>
      <c r="R6016" s="1"/>
      <c r="S6016" s="1"/>
      <c r="T6016" s="1"/>
      <c r="U6016" s="1"/>
      <c r="V6016" s="1"/>
      <c r="W6016" s="1"/>
      <c r="X6016" s="1"/>
      <c r="Y6016" s="1"/>
      <c r="Z6016" s="1"/>
      <c r="AA6016" s="1"/>
      <c r="AB6016" s="1"/>
      <c r="AC6016" s="1"/>
      <c r="AD6016" s="1"/>
      <c r="AE6016" s="1"/>
      <c r="AF6016" s="1"/>
      <c r="AG6016" s="1"/>
      <c r="AH6016" s="1"/>
      <c r="AI6016" s="1"/>
      <c r="AJ6016" s="1"/>
      <c r="AK6016" s="1"/>
      <c r="AL6016" s="1"/>
      <c r="AM6016" s="1"/>
      <c r="AN6016" s="1"/>
      <c r="AO6016" s="1"/>
      <c r="AP6016" s="1"/>
      <c r="AQ6016" s="1"/>
      <c r="AR6016" s="1"/>
      <c r="AS6016" s="1"/>
      <c r="AT6016" s="1"/>
      <c r="AU6016" s="1"/>
      <c r="AV6016" s="1"/>
      <c r="AW6016" s="1"/>
      <c r="AX6016" s="1"/>
      <c r="AY6016" s="1"/>
      <c r="AZ6016" s="1"/>
      <c r="BA6016" s="1"/>
      <c r="BB6016" s="1"/>
    </row>
    <row r="6017" ht="204.75" customHeight="1">
      <c r="A6017" s="1">
        <v>5615.0</v>
      </c>
      <c r="B6017" s="2" t="s">
        <v>16120</v>
      </c>
      <c r="C6017" s="2">
        <f>IFERROR(__xludf.DUMMYFUNCTION("split(B6017,""_"")"),810.0)</f>
        <v>810</v>
      </c>
      <c r="D6017" s="2" t="str">
        <f>IFERROR(__xludf.DUMMYFUNCTION("""COMPUTED_VALUE"""),"TBS")</f>
        <v>TBS</v>
      </c>
      <c r="E6017" s="2" t="str">
        <f>IFERROR(__xludf.DUMMYFUNCTION("""COMPUTED_VALUE"""),"土20")</f>
        <v>土20</v>
      </c>
      <c r="F6017" s="2" t="s">
        <v>16121</v>
      </c>
      <c r="G6017" s="2" t="s">
        <v>16122</v>
      </c>
      <c r="H6017" s="1">
        <v>3.0</v>
      </c>
      <c r="J6017" s="1" t="s">
        <v>2809</v>
      </c>
      <c r="K6017" s="2" t="s">
        <v>16125</v>
      </c>
      <c r="L6017" s="2"/>
      <c r="M6017" s="2" t="str">
        <f>IFERROR(__xludf.DUMMYFUNCTION("split(split(K6017,""【"",false),""公式LINE"",false)"),"「裏切り者は誰だ!?味方に潜む敵の影!!テロ首謀者・現る」藤丸（三浦春馬）は、ロシアのウイルステロ「クリスマスの虐殺」の映像から、折原マヤ（吉瀬美智子）がテロリストだと気付く。が、正体を知られたマヤは、藤丸に銃を向ける。絶体絶命の藤丸だったが、藤丸の機転を利かせたSOSにサードアイが駆けつけ、救出される。逮捕したマヤからテロ組織の詳細を聞き出そうと拷問するサードアイだったが・・・。  三浦春馬  吉瀬美智子  佐藤　健  松重　豊  片瀬那奈  芦名　星  藤井美菜  川島海荷  徳永えり    成宮寛貴"&amp;"（特別出演）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f>
        <v>「裏切り者は誰だ!?味方に潜む敵の影!!テロ首謀者・現る」藤丸（三浦春馬）は、ロシアのウイルステロ「クリスマスの虐殺」の映像から、折原マヤ（吉瀬美智子）がテロリストだと気付く。が、正体を知られたマヤは、藤丸に銃を向ける。絶体絶命の藤丸だったが、藤丸の機転を利かせたSOSにサードアイが駆けつけ、救出される。逮捕したマヤからテロ組織の詳細を聞き出そうと拷問するサードアイだったが・・・。  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v>
      </c>
      <c r="N6017" s="2"/>
      <c r="O6017" s="2"/>
      <c r="P6017" s="1"/>
      <c r="Q6017" s="1"/>
      <c r="R6017" s="1"/>
      <c r="S6017" s="1"/>
      <c r="T6017" s="1"/>
      <c r="U6017" s="1"/>
      <c r="V6017" s="1"/>
      <c r="W6017" s="1"/>
      <c r="X6017" s="1"/>
      <c r="Y6017" s="1"/>
      <c r="Z6017" s="1"/>
      <c r="AA6017" s="1"/>
      <c r="AB6017" s="1"/>
      <c r="AC6017" s="1"/>
      <c r="AD6017" s="1"/>
      <c r="AE6017" s="1"/>
      <c r="AF6017" s="1"/>
      <c r="AG6017" s="1"/>
      <c r="AH6017" s="1"/>
      <c r="AI6017" s="1"/>
      <c r="AJ6017" s="1"/>
      <c r="AK6017" s="1"/>
      <c r="AL6017" s="1"/>
      <c r="AM6017" s="1"/>
      <c r="AN6017" s="1"/>
      <c r="AO6017" s="1"/>
      <c r="AP6017" s="1"/>
      <c r="AQ6017" s="1"/>
      <c r="AR6017" s="1"/>
      <c r="AS6017" s="1"/>
      <c r="AT6017" s="1"/>
      <c r="AU6017" s="1"/>
      <c r="AV6017" s="1"/>
      <c r="AW6017" s="1"/>
      <c r="AX6017" s="1"/>
      <c r="AY6017" s="1"/>
      <c r="AZ6017" s="1"/>
      <c r="BA6017" s="1"/>
      <c r="BB6017" s="1"/>
    </row>
    <row r="6018" ht="204.75" customHeight="1">
      <c r="A6018" s="1">
        <v>5616.0</v>
      </c>
      <c r="B6018" s="2" t="s">
        <v>16120</v>
      </c>
      <c r="C6018" s="2">
        <f>IFERROR(__xludf.DUMMYFUNCTION("split(B6018,""_"")"),810.0)</f>
        <v>810</v>
      </c>
      <c r="D6018" s="2" t="str">
        <f>IFERROR(__xludf.DUMMYFUNCTION("""COMPUTED_VALUE"""),"TBS")</f>
        <v>TBS</v>
      </c>
      <c r="E6018" s="2" t="str">
        <f>IFERROR(__xludf.DUMMYFUNCTION("""COMPUTED_VALUE"""),"土20")</f>
        <v>土20</v>
      </c>
      <c r="F6018" s="2" t="s">
        <v>16121</v>
      </c>
      <c r="G6018" s="2" t="s">
        <v>16122</v>
      </c>
      <c r="H6018" s="1">
        <v>4.0</v>
      </c>
      <c r="J6018" s="1" t="s">
        <v>2809</v>
      </c>
      <c r="K6018" s="2" t="s">
        <v>16126</v>
      </c>
      <c r="L6018" s="2"/>
      <c r="M6018" s="2" t="str">
        <f>IFERROR(__xludf.DUMMYFUNCTION("split(split(K6018,""【"",false),""公式LINE"",false)"),"「裏切りと悲劇の女!!明らかになる日本壊滅テロの真相!?」  人気のない倉庫に案内され、マヤ（吉瀬美智子）からサードアイ捜査官の加納（松重豊）と宝生（片瀬那奈）のどちらかはスパイだと言われた藤丸（三浦春馬）。二人の様子から、宝生がスパイだとわかった藤丸だったが、どうすることもできず、加納が撃たれ、彼がスパイだと本部に嘘を言うように強制される。内部からまたスパイが出たことに混乱するサードアイ本部だったが、さらにサードアイの空調室に奇妙な仕掛けが見つかり…。三浦春馬  吉瀬美智子  佐藤　健  松重　豊  片"&amp;"瀬那奈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f>
        <v>「裏切りと悲劇の女!!明らかになる日本壊滅テロの真相!?」  人気のない倉庫に案内され、マヤ（吉瀬美智子）からサードアイ捜査官の加納（松重豊）と宝生（片瀬那奈）のどちらかはスパイだと言われた藤丸（三浦春馬）。二人の様子から、宝生がスパイだとわかった藤丸だったが、どうすることもできず、加納が撃たれ、彼がスパイだと本部に嘘を言うように強制される。内部からまたスパイが出たことに混乱するサードアイ本部だったが、さらにサードアイの空調室に奇妙な仕掛けが見つかり…。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v>
      </c>
      <c r="N6018" s="2"/>
      <c r="O6018" s="2"/>
      <c r="P6018" s="1"/>
      <c r="Q6018" s="1"/>
      <c r="R6018" s="1"/>
      <c r="S6018" s="1"/>
      <c r="T6018" s="1"/>
      <c r="U6018" s="1"/>
      <c r="V6018" s="1"/>
      <c r="W6018" s="1"/>
      <c r="X6018" s="1"/>
      <c r="Y6018" s="1"/>
      <c r="Z6018" s="1"/>
      <c r="AA6018" s="1"/>
      <c r="AB6018" s="1"/>
      <c r="AC6018" s="1"/>
      <c r="AD6018" s="1"/>
      <c r="AE6018" s="1"/>
      <c r="AF6018" s="1"/>
      <c r="AG6018" s="1"/>
      <c r="AH6018" s="1"/>
      <c r="AI6018" s="1"/>
      <c r="AJ6018" s="1"/>
      <c r="AK6018" s="1"/>
      <c r="AL6018" s="1"/>
      <c r="AM6018" s="1"/>
      <c r="AN6018" s="1"/>
      <c r="AO6018" s="1"/>
      <c r="AP6018" s="1"/>
      <c r="AQ6018" s="1"/>
      <c r="AR6018" s="1"/>
      <c r="AS6018" s="1"/>
      <c r="AT6018" s="1"/>
      <c r="AU6018" s="1"/>
      <c r="AV6018" s="1"/>
      <c r="AW6018" s="1"/>
      <c r="AX6018" s="1"/>
      <c r="AY6018" s="1"/>
      <c r="AZ6018" s="1"/>
      <c r="BA6018" s="1"/>
      <c r="BB6018" s="1"/>
    </row>
    <row r="6019" ht="204.75" customHeight="1">
      <c r="A6019" s="1">
        <v>5617.0</v>
      </c>
      <c r="B6019" s="2" t="s">
        <v>16120</v>
      </c>
      <c r="C6019" s="2">
        <f>IFERROR(__xludf.DUMMYFUNCTION("split(B6019,""_"")"),810.0)</f>
        <v>810</v>
      </c>
      <c r="D6019" s="2" t="str">
        <f>IFERROR(__xludf.DUMMYFUNCTION("""COMPUTED_VALUE"""),"TBS")</f>
        <v>TBS</v>
      </c>
      <c r="E6019" s="2" t="str">
        <f>IFERROR(__xludf.DUMMYFUNCTION("""COMPUTED_VALUE"""),"土20")</f>
        <v>土20</v>
      </c>
      <c r="F6019" s="2" t="s">
        <v>16121</v>
      </c>
      <c r="G6019" s="2" t="s">
        <v>16122</v>
      </c>
      <c r="H6019" s="1">
        <v>5.0</v>
      </c>
      <c r="J6019" s="1" t="s">
        <v>2809</v>
      </c>
      <c r="K6019" s="2" t="s">
        <v>16127</v>
      </c>
      <c r="L6019" s="2"/>
      <c r="M6019" s="2" t="str">
        <f>IFERROR(__xludf.DUMMYFUNCTION("split(split(K6019,""【"",false),""公式LINE"",false)"),"「東京壊滅!?現れたテロ首謀者との生死を懸けた対決!!」  藤丸（三浦春馬）が目隠しされてマヤ（吉瀬美智子）に連れて行かれた先は、とあるファミリーレストラン。そこで、テロリスト集団のリーダー・J（成宮寛貴）に会う。Jから仲間に入るように誘われる藤丸だったが、きっぱりと断る。店の周囲はすでにサードアイが包囲していた。しかし、Jの「僕たちは神になれる」という一言とともに、周囲の客たちが血を吐いて倒れ始めた。婚約者の発病で心が揺れる霧島（吉沢悠）が下した決断は…三浦春馬  吉瀬美智子  佐藤　健  松重　豊  "&amp;"片瀬那奈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f>
        <v>「東京壊滅!?現れたテロ首謀者との生死を懸けた対決!!」  藤丸（三浦春馬）が目隠しされてマヤ（吉瀬美智子）に連れて行かれた先は、とあるファミリーレストラン。そこで、テロリスト集団のリーダー・J（成宮寛貴）に会う。Jから仲間に入るように誘われる藤丸だったが、きっぱりと断る。店の周囲はすでにサードアイが包囲していた。しかし、Jの「僕たちは神になれる」という一言とともに、周囲の客たちが血を吐いて倒れ始めた。婚約者の発病で心が揺れる霧島（吉沢悠）が下した決断は…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v>
      </c>
      <c r="N6019" s="2"/>
      <c r="O6019" s="2"/>
      <c r="P6019" s="1"/>
      <c r="Q6019" s="1"/>
      <c r="R6019" s="1"/>
      <c r="S6019" s="1"/>
      <c r="T6019" s="1"/>
      <c r="U6019" s="1"/>
      <c r="V6019" s="1"/>
      <c r="W6019" s="1"/>
      <c r="X6019" s="1"/>
      <c r="Y6019" s="1"/>
      <c r="Z6019" s="1"/>
      <c r="AA6019" s="1"/>
      <c r="AB6019" s="1"/>
      <c r="AC6019" s="1"/>
      <c r="AD6019" s="1"/>
      <c r="AE6019" s="1"/>
      <c r="AF6019" s="1"/>
      <c r="AG6019" s="1"/>
      <c r="AH6019" s="1"/>
      <c r="AI6019" s="1"/>
      <c r="AJ6019" s="1"/>
      <c r="AK6019" s="1"/>
      <c r="AL6019" s="1"/>
      <c r="AM6019" s="1"/>
      <c r="AN6019" s="1"/>
      <c r="AO6019" s="1"/>
      <c r="AP6019" s="1"/>
      <c r="AQ6019" s="1"/>
      <c r="AR6019" s="1"/>
      <c r="AS6019" s="1"/>
      <c r="AT6019" s="1"/>
      <c r="AU6019" s="1"/>
      <c r="AV6019" s="1"/>
      <c r="AW6019" s="1"/>
      <c r="AX6019" s="1"/>
      <c r="AY6019" s="1"/>
      <c r="AZ6019" s="1"/>
      <c r="BA6019" s="1"/>
      <c r="BB6019" s="1"/>
    </row>
    <row r="6020" ht="204.75" customHeight="1">
      <c r="A6020" s="1">
        <v>5618.0</v>
      </c>
      <c r="B6020" s="2" t="s">
        <v>16120</v>
      </c>
      <c r="C6020" s="2">
        <f>IFERROR(__xludf.DUMMYFUNCTION("split(B6020,""_"")"),810.0)</f>
        <v>810</v>
      </c>
      <c r="D6020" s="2" t="str">
        <f>IFERROR(__xludf.DUMMYFUNCTION("""COMPUTED_VALUE"""),"TBS")</f>
        <v>TBS</v>
      </c>
      <c r="E6020" s="2" t="str">
        <f>IFERROR(__xludf.DUMMYFUNCTION("""COMPUTED_VALUE"""),"土20")</f>
        <v>土20</v>
      </c>
      <c r="F6020" s="2" t="s">
        <v>16121</v>
      </c>
      <c r="G6020" s="2" t="s">
        <v>16122</v>
      </c>
      <c r="H6020" s="1">
        <v>6.0</v>
      </c>
      <c r="J6020" s="1" t="s">
        <v>2809</v>
      </c>
      <c r="K6020" s="2" t="s">
        <v>16128</v>
      </c>
      <c r="L6020" s="2"/>
      <c r="M6020" s="2" t="str">
        <f>IFERROR(__xludf.DUMMYFUNCTION("split(split(K6020,""【"",false),""公式LINE"",false)"),"「日本最後の日!?破壊と滅亡、そして父の真相が明らかに」抗ウイルス剤を探して、音弥（佐藤健）、あおい（藤井美菜）と生物化学研究所に向かった藤丸（三浦春馬）。そこにはすでにテロリストの出門（TET）が待ち伏せしていた。狙われる3人だったが、研究所のセキュリティネットワークをハッキングし、監視カメラ映像をモバイルPCで確認していると、敷村教授（神保悟志）の姿とマヤ（吉瀬美智子）の姿を発見する・・・。三浦春馬  吉瀬美智子  佐藤　健  松重　豊  片瀬那奈  芦名　星  藤井美菜  川島海荷  徳永えり   "&amp;"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f>
        <v>「日本最後の日!?破壊と滅亡、そして父の真相が明らかに」抗ウイルス剤を探して、音弥（佐藤健）、あおい（藤井美菜）と生物化学研究所に向かった藤丸（三浦春馬）。そこにはすでにテロリストの出門（TET）が待ち伏せしていた。狙われる3人だったが、研究所のセキュリティネットワークをハッキングし、監視カメラ映像をモバイルPCで確認していると、敷村教授（神保悟志）の姿とマヤ（吉瀬美智子）の姿を発見する・・・。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v>
      </c>
      <c r="N6020" s="2"/>
      <c r="O6020" s="2"/>
      <c r="P6020" s="1"/>
      <c r="Q6020" s="1"/>
      <c r="R6020" s="1"/>
      <c r="S6020" s="1"/>
      <c r="T6020" s="1"/>
      <c r="U6020" s="1"/>
      <c r="V6020" s="1"/>
      <c r="W6020" s="1"/>
      <c r="X6020" s="1"/>
      <c r="Y6020" s="1"/>
      <c r="Z6020" s="1"/>
      <c r="AA6020" s="1"/>
      <c r="AB6020" s="1"/>
      <c r="AC6020" s="1"/>
      <c r="AD6020" s="1"/>
      <c r="AE6020" s="1"/>
      <c r="AF6020" s="1"/>
      <c r="AG6020" s="1"/>
      <c r="AH6020" s="1"/>
      <c r="AI6020" s="1"/>
      <c r="AJ6020" s="1"/>
      <c r="AK6020" s="1"/>
      <c r="AL6020" s="1"/>
      <c r="AM6020" s="1"/>
      <c r="AN6020" s="1"/>
      <c r="AO6020" s="1"/>
      <c r="AP6020" s="1"/>
      <c r="AQ6020" s="1"/>
      <c r="AR6020" s="1"/>
      <c r="AS6020" s="1"/>
      <c r="AT6020" s="1"/>
      <c r="AU6020" s="1"/>
      <c r="AV6020" s="1"/>
      <c r="AW6020" s="1"/>
      <c r="AX6020" s="1"/>
      <c r="AY6020" s="1"/>
      <c r="AZ6020" s="1"/>
      <c r="BA6020" s="1"/>
      <c r="BB6020" s="1"/>
    </row>
    <row r="6021" ht="204.75" customHeight="1">
      <c r="A6021" s="1">
        <v>5619.0</v>
      </c>
      <c r="B6021" s="2" t="s">
        <v>16120</v>
      </c>
      <c r="C6021" s="2">
        <f>IFERROR(__xludf.DUMMYFUNCTION("split(B6021,""_"")"),810.0)</f>
        <v>810</v>
      </c>
      <c r="D6021" s="2" t="str">
        <f>IFERROR(__xludf.DUMMYFUNCTION("""COMPUTED_VALUE"""),"TBS")</f>
        <v>TBS</v>
      </c>
      <c r="E6021" s="2" t="str">
        <f>IFERROR(__xludf.DUMMYFUNCTION("""COMPUTED_VALUE"""),"土20")</f>
        <v>土20</v>
      </c>
      <c r="F6021" s="2" t="s">
        <v>16121</v>
      </c>
      <c r="G6021" s="2" t="s">
        <v>16122</v>
      </c>
      <c r="H6021" s="1">
        <v>7.0</v>
      </c>
      <c r="J6021" s="1" t="s">
        <v>2809</v>
      </c>
      <c r="K6021" s="2" t="s">
        <v>16129</v>
      </c>
      <c r="L6021" s="2"/>
      <c r="M6021" s="2" t="str">
        <f>IFERROR(__xludf.DUMMYFUNCTION("split(split(K6021,""【"",false),""公式LINE"",false)"),"「テロ全貌が今夜明らかに!!非情な計画が日本を襲う!!」  殺害された敷村教授（神保悟志）が残した手がかりをヒントに、藤丸（三浦春馬）は抗ウイルス剤のありかに、サードアイ捜査官の加納（松重豊）と南海（芦名星）らとたどりつく。そこは、敷村に研究所として貸していた、山奥にある高木家のコテージだった。早速抗ウイルス剤を探す一行。藤丸たちは誰にも知られずに行動していたはずが、なぜかマヤ（吉瀬美智子）をはじめとするテロリストたちがコテージを取り囲み・・・  　三浦春馬  吉瀬美智子  佐藤　健  松重　豊  片瀬那"&amp;"奈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f>
        <v>「テロ全貌が今夜明らかに!!非情な計画が日本を襲う!!」  殺害された敷村教授（神保悟志）が残した手がかりをヒントに、藤丸（三浦春馬）は抗ウイルス剤のありかに、サードアイ捜査官の加納（松重豊）と南海（芦名星）らとたどりつく。そこは、敷村に研究所として貸していた、山奥にある高木家のコテージだった。早速抗ウイルス剤を探す一行。藤丸たちは誰にも知られずに行動していたはずが、なぜかマヤ（吉瀬美智子）をはじめとするテロリストたちがコテージを取り囲み・・・  　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v>
      </c>
      <c r="N6021" s="2"/>
      <c r="O6021" s="2"/>
      <c r="P6021" s="1"/>
      <c r="Q6021" s="1"/>
      <c r="R6021" s="1"/>
      <c r="S6021" s="1"/>
      <c r="T6021" s="1"/>
      <c r="U6021" s="1"/>
      <c r="V6021" s="1"/>
      <c r="W6021" s="1"/>
      <c r="X6021" s="1"/>
      <c r="Y6021" s="1"/>
      <c r="Z6021" s="1"/>
      <c r="AA6021" s="1"/>
      <c r="AB6021" s="1"/>
      <c r="AC6021" s="1"/>
      <c r="AD6021" s="1"/>
      <c r="AE6021" s="1"/>
      <c r="AF6021" s="1"/>
      <c r="AG6021" s="1"/>
      <c r="AH6021" s="1"/>
      <c r="AI6021" s="1"/>
      <c r="AJ6021" s="1"/>
      <c r="AK6021" s="1"/>
      <c r="AL6021" s="1"/>
      <c r="AM6021" s="1"/>
      <c r="AN6021" s="1"/>
      <c r="AO6021" s="1"/>
      <c r="AP6021" s="1"/>
      <c r="AQ6021" s="1"/>
      <c r="AR6021" s="1"/>
      <c r="AS6021" s="1"/>
      <c r="AT6021" s="1"/>
      <c r="AU6021" s="1"/>
      <c r="AV6021" s="1"/>
      <c r="AW6021" s="1"/>
      <c r="AX6021" s="1"/>
      <c r="AY6021" s="1"/>
      <c r="AZ6021" s="1"/>
      <c r="BA6021" s="1"/>
      <c r="BB6021" s="1"/>
    </row>
    <row r="6022" ht="204.75" customHeight="1">
      <c r="A6022" s="1">
        <v>5620.0</v>
      </c>
      <c r="B6022" s="2" t="s">
        <v>16120</v>
      </c>
      <c r="C6022" s="2">
        <f>IFERROR(__xludf.DUMMYFUNCTION("split(B6022,""_"")"),810.0)</f>
        <v>810</v>
      </c>
      <c r="D6022" s="2" t="str">
        <f>IFERROR(__xludf.DUMMYFUNCTION("""COMPUTED_VALUE"""),"TBS")</f>
        <v>TBS</v>
      </c>
      <c r="E6022" s="2" t="str">
        <f>IFERROR(__xludf.DUMMYFUNCTION("""COMPUTED_VALUE"""),"土20")</f>
        <v>土20</v>
      </c>
      <c r="F6022" s="2" t="s">
        <v>16121</v>
      </c>
      <c r="G6022" s="2" t="s">
        <v>16122</v>
      </c>
      <c r="H6022" s="1">
        <v>8.0</v>
      </c>
      <c r="J6022" s="1" t="s">
        <v>2809</v>
      </c>
      <c r="K6022" s="2" t="s">
        <v>16130</v>
      </c>
      <c r="L6022" s="2"/>
      <c r="M6022" s="2" t="str">
        <f>IFERROR(__xludf.DUMMYFUNCTION("split(split(K6022,""【"",false),""公式LINE"",false)"),"「遂に大量感染!?拘置所に眠る犯罪者の大脱走計画の全貌」刑事殺害の罪を着せられた藤丸（三浦春馬）は新指揮官・鎌田（斎藤歩）の就任で命令系統の狂ったサードアイを信じることができず、音弥（佐藤健）たち新聞部の部員と共に、休日の学校に忍び込む。しかし、そこには既にテロリスト達が侵入しており、藤丸達はテロリストによって撒かれたブラッディXに感染してしまった。J（成宮寛貴）は、サードアイに、部員分の抗ウイルス剤と引換えに拘置所の神島紫門（嶋田久作）解放を要求する三浦春馬  吉瀬美智子  佐藤　健  松重　豊  片瀬"&amp;"那奈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f>
        <v>「遂に大量感染!?拘置所に眠る犯罪者の大脱走計画の全貌」刑事殺害の罪を着せられた藤丸（三浦春馬）は新指揮官・鎌田（斎藤歩）の就任で命令系統の狂ったサードアイを信じることができず、音弥（佐藤健）たち新聞部の部員と共に、休日の学校に忍び込む。しかし、そこには既にテロリスト達が侵入しており、藤丸達はテロリストによって撒かれたブラッディXに感染してしまった。J（成宮寛貴）は、サードアイに、部員分の抗ウイルス剤と引換えに拘置所の神島紫門（嶋田久作）解放を要求する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v>
      </c>
      <c r="N6022" s="2"/>
      <c r="O6022" s="2"/>
      <c r="P6022" s="1"/>
      <c r="Q6022" s="1"/>
      <c r="R6022" s="1"/>
      <c r="S6022" s="1"/>
      <c r="T6022" s="1"/>
      <c r="U6022" s="1"/>
      <c r="V6022" s="1"/>
      <c r="W6022" s="1"/>
      <c r="X6022" s="1"/>
      <c r="Y6022" s="1"/>
      <c r="Z6022" s="1"/>
      <c r="AA6022" s="1"/>
      <c r="AB6022" s="1"/>
      <c r="AC6022" s="1"/>
      <c r="AD6022" s="1"/>
      <c r="AE6022" s="1"/>
      <c r="AF6022" s="1"/>
      <c r="AG6022" s="1"/>
      <c r="AH6022" s="1"/>
      <c r="AI6022" s="1"/>
      <c r="AJ6022" s="1"/>
      <c r="AK6022" s="1"/>
      <c r="AL6022" s="1"/>
      <c r="AM6022" s="1"/>
      <c r="AN6022" s="1"/>
      <c r="AO6022" s="1"/>
      <c r="AP6022" s="1"/>
      <c r="AQ6022" s="1"/>
      <c r="AR6022" s="1"/>
      <c r="AS6022" s="1"/>
      <c r="AT6022" s="1"/>
      <c r="AU6022" s="1"/>
      <c r="AV6022" s="1"/>
      <c r="AW6022" s="1"/>
      <c r="AX6022" s="1"/>
      <c r="AY6022" s="1"/>
      <c r="AZ6022" s="1"/>
      <c r="BA6022" s="1"/>
      <c r="BB6022" s="1"/>
    </row>
    <row r="6023" ht="204.75" customHeight="1">
      <c r="A6023" s="1">
        <v>5621.0</v>
      </c>
      <c r="B6023" s="2" t="s">
        <v>16120</v>
      </c>
      <c r="C6023" s="2">
        <f>IFERROR(__xludf.DUMMYFUNCTION("split(B6023,""_"")"),810.0)</f>
        <v>810</v>
      </c>
      <c r="D6023" s="2" t="str">
        <f>IFERROR(__xludf.DUMMYFUNCTION("""COMPUTED_VALUE"""),"TBS")</f>
        <v>TBS</v>
      </c>
      <c r="E6023" s="2" t="str">
        <f>IFERROR(__xludf.DUMMYFUNCTION("""COMPUTED_VALUE"""),"土20")</f>
        <v>土20</v>
      </c>
      <c r="F6023" s="2" t="s">
        <v>16121</v>
      </c>
      <c r="G6023" s="2" t="s">
        <v>16122</v>
      </c>
      <c r="H6023" s="1">
        <v>9.0</v>
      </c>
      <c r="J6023" s="1" t="s">
        <v>2809</v>
      </c>
      <c r="K6023" s="2" t="s">
        <v>16131</v>
      </c>
      <c r="L6023" s="2"/>
      <c r="M6023" s="2" t="str">
        <f>IFERROR(__xludf.DUMMYFUNCTION("split(split(K6023,""【"",false),""公式LINE"",false)"),"「テロ最終章!!神が与えし教祖の死、そして最後の月曜へ」学校に潜んでいたテロリストたちとの対決の末、ブラッディXに感染した藤丸（三浦春馬）たちは抗ウイルス剤を入手するが、感染が早かった英（久野雅弘）は間に合わず死んでしまう。同じ頃、拘置所を襲撃し教祖・神島紫門（嶋田久作）を奪還したJ（成宮寛貴）たちは、「ブラッディ・マンデイ」計画を進めるべく、動き始める。英の死で戦う決意がより強くなった藤丸は、サードアイと協力してテロリストたちを追い詰めようとするが…三浦春馬  吉瀬美智子  佐藤　健  松重　豊  片瀬"&amp;"那奈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f>
        <v>「テロ最終章!!神が与えし教祖の死、そして最後の月曜へ」学校に潜んでいたテロリストたちとの対決の末、ブラッディXに感染した藤丸（三浦春馬）たちは抗ウイルス剤を入手するが、感染が早かった英（久野雅弘）は間に合わず死んでしまう。同じ頃、拘置所を襲撃し教祖・神島紫門（嶋田久作）を奪還したJ（成宮寛貴）たちは、「ブラッディ・マンデイ」計画を進めるべく、動き始める。英の死で戦う決意がより強くなった藤丸は、サードアイと協力してテロリストたちを追い詰めようとするが…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v>
      </c>
      <c r="N6023" s="2"/>
      <c r="O6023" s="2"/>
      <c r="P6023" s="1"/>
      <c r="Q6023" s="1"/>
      <c r="R6023" s="1"/>
      <c r="S6023" s="1"/>
      <c r="T6023" s="1"/>
      <c r="U6023" s="1"/>
      <c r="V6023" s="1"/>
      <c r="W6023" s="1"/>
      <c r="X6023" s="1"/>
      <c r="Y6023" s="1"/>
      <c r="Z6023" s="1"/>
      <c r="AA6023" s="1"/>
      <c r="AB6023" s="1"/>
      <c r="AC6023" s="1"/>
      <c r="AD6023" s="1"/>
      <c r="AE6023" s="1"/>
      <c r="AF6023" s="1"/>
      <c r="AG6023" s="1"/>
      <c r="AH6023" s="1"/>
      <c r="AI6023" s="1"/>
      <c r="AJ6023" s="1"/>
      <c r="AK6023" s="1"/>
      <c r="AL6023" s="1"/>
      <c r="AM6023" s="1"/>
      <c r="AN6023" s="1"/>
      <c r="AO6023" s="1"/>
      <c r="AP6023" s="1"/>
      <c r="AQ6023" s="1"/>
      <c r="AR6023" s="1"/>
      <c r="AS6023" s="1"/>
      <c r="AT6023" s="1"/>
      <c r="AU6023" s="1"/>
      <c r="AV6023" s="1"/>
      <c r="AW6023" s="1"/>
      <c r="AX6023" s="1"/>
      <c r="AY6023" s="1"/>
      <c r="AZ6023" s="1"/>
      <c r="BA6023" s="1"/>
      <c r="BB6023" s="1"/>
    </row>
    <row r="6024" ht="204.75" customHeight="1">
      <c r="A6024" s="1">
        <v>5622.0</v>
      </c>
      <c r="B6024" s="2" t="s">
        <v>16120</v>
      </c>
      <c r="C6024" s="2">
        <f>IFERROR(__xludf.DUMMYFUNCTION("split(B6024,""_"")"),810.0)</f>
        <v>810</v>
      </c>
      <c r="D6024" s="2" t="str">
        <f>IFERROR(__xludf.DUMMYFUNCTION("""COMPUTED_VALUE"""),"TBS")</f>
        <v>TBS</v>
      </c>
      <c r="E6024" s="2" t="str">
        <f>IFERROR(__xludf.DUMMYFUNCTION("""COMPUTED_VALUE"""),"土20")</f>
        <v>土20</v>
      </c>
      <c r="F6024" s="2" t="s">
        <v>16121</v>
      </c>
      <c r="G6024" s="2" t="s">
        <v>16122</v>
      </c>
      <c r="H6024" s="1">
        <v>10.0</v>
      </c>
      <c r="J6024" s="1" t="s">
        <v>2809</v>
      </c>
      <c r="K6024" s="2" t="s">
        <v>16132</v>
      </c>
      <c r="L6024" s="2"/>
      <c r="M6024" s="2" t="str">
        <f>IFERROR(__xludf.DUMMYFUNCTION("split(split(K6024,""【"",false),""公式LINE"",false)"),"「東京炎上!?死と裏切りと絶叫の中、遂にテロ最終舞台へ」ずうずうしくも藤丸（三浦春馬）の自宅へと上がりこんでいたJ（成宮寛貴）。  Jは、「僕は音弥（佐藤健）と血の繋がった兄弟なんだ」と藤丸に言い残してどこかへ去っていく。心の底から信用していた音弥にも裏切り者である可能性があると知った藤丸は、動揺を隠せない。  そんな中、「THIRD-i（サード・アイ）」に、教祖・神島（嶋田久作）を撃ったマヤ（吉瀬美智子）が「BLOODY-X」を持って出頭。ウイルステロ『ブラッディ・マンデイ』の奥に隠された「宝石箱を開け"&amp;"る」という謎の目的をほのめかす。  そして、ついに正体を明かしたKが藤丸の前に立ちはだかって…。三浦春馬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http://www.tbs.co.jp/bloody-m"&amp;"onday/")</f>
        <v>「東京炎上!?死と裏切りと絶叫の中、遂にテロ最終舞台へ」ずうずうしくも藤丸（三浦春馬）の自宅へと上がりこんでいたJ（成宮寛貴）。  Jは、「僕は音弥（佐藤健）と血の繋がった兄弟なんだ」と藤丸に言い残してどこかへ去っていく。心の底から信用していた音弥にも裏切り者である可能性があると知った藤丸は、動揺を隠せない。  そんな中、「THIRD-i（サード・アイ）」に、教祖・神島（嶋田久作）を撃ったマヤ（吉瀬美智子）が「BLOODY-X」を持って出頭。ウイルステロ『ブラッディ・マンデイ』の奥に隠された「宝石箱を開ける」という謎の目的をほのめかす。  そして、ついに正体を明かしたKが藤丸の前に立ちはだかって…。三浦春馬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v>
      </c>
      <c r="N6024" s="2"/>
      <c r="O6024" s="2"/>
      <c r="P6024" s="1"/>
      <c r="Q6024" s="1"/>
      <c r="R6024" s="1"/>
      <c r="S6024" s="1"/>
      <c r="T6024" s="1"/>
      <c r="U6024" s="1"/>
      <c r="V6024" s="1"/>
      <c r="W6024" s="1"/>
      <c r="X6024" s="1"/>
      <c r="Y6024" s="1"/>
      <c r="Z6024" s="1"/>
      <c r="AA6024" s="1"/>
      <c r="AB6024" s="1"/>
      <c r="AC6024" s="1"/>
      <c r="AD6024" s="1"/>
      <c r="AE6024" s="1"/>
      <c r="AF6024" s="1"/>
      <c r="AG6024" s="1"/>
      <c r="AH6024" s="1"/>
      <c r="AI6024" s="1"/>
      <c r="AJ6024" s="1"/>
      <c r="AK6024" s="1"/>
      <c r="AL6024" s="1"/>
      <c r="AM6024" s="1"/>
      <c r="AN6024" s="1"/>
      <c r="AO6024" s="1"/>
      <c r="AP6024" s="1"/>
      <c r="AQ6024" s="1"/>
      <c r="AR6024" s="1"/>
      <c r="AS6024" s="1"/>
      <c r="AT6024" s="1"/>
      <c r="AU6024" s="1"/>
      <c r="AV6024" s="1"/>
      <c r="AW6024" s="1"/>
      <c r="AX6024" s="1"/>
      <c r="AY6024" s="1"/>
      <c r="AZ6024" s="1"/>
      <c r="BA6024" s="1"/>
      <c r="BB6024" s="1"/>
    </row>
    <row r="6025" ht="204.75" customHeight="1">
      <c r="A6025" s="1">
        <v>5623.0</v>
      </c>
      <c r="B6025" s="2" t="s">
        <v>16120</v>
      </c>
      <c r="C6025" s="2">
        <f>IFERROR(__xludf.DUMMYFUNCTION("split(B6025,""_"")"),810.0)</f>
        <v>810</v>
      </c>
      <c r="D6025" s="2" t="str">
        <f>IFERROR(__xludf.DUMMYFUNCTION("""COMPUTED_VALUE"""),"TBS")</f>
        <v>TBS</v>
      </c>
      <c r="E6025" s="2" t="str">
        <f>IFERROR(__xludf.DUMMYFUNCTION("""COMPUTED_VALUE"""),"土20")</f>
        <v>土20</v>
      </c>
      <c r="F6025" s="2" t="s">
        <v>16121</v>
      </c>
      <c r="G6025" s="2" t="s">
        <v>16122</v>
      </c>
      <c r="H6025" s="1">
        <v>11.0</v>
      </c>
      <c r="J6025" s="1" t="s">
        <v>2809</v>
      </c>
      <c r="K6025" s="2" t="s">
        <v>16133</v>
      </c>
      <c r="L6025" s="2"/>
      <c r="M6025" s="2" t="str">
        <f>IFERROR(__xludf.DUMMYFUNCTION("split(split(K6025,""【"",false),""公式LINE"",false)"),"「今夜0時東京破滅テロ宣言へ!!生死を懸けた終幕へ」テロリストの首謀者Kは、藤丸（三浦春馬）の同級生・真子（徳永えり）だった。真子を救いに来たつもりでいた藤丸に、ためらいもなく真子は銃弾を放った。しかし、銃弾は藤丸を庇った父・竜之介（田中哲司）の胸を貫いた。Kとマヤ(吉瀬美智子)は再び街へと消え、真の目的…“宝石箱”をあける計画のカウントダウンが始まった。藤丸とサードアイはKの計画を阻止すべく、東京の街を奔走する。天才ハッカー藤丸は地球を救えるのか三浦春馬  吉瀬美智子  佐藤　健  松重　豊  片瀬那奈"&amp;"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f>
        <v>「今夜0時東京破滅テロ宣言へ!!生死を懸けた終幕へ」テロリストの首謀者Kは、藤丸（三浦春馬）の同級生・真子（徳永えり）だった。真子を救いに来たつもりでいた藤丸に、ためらいもなく真子は銃弾を放った。しかし、銃弾は藤丸を庇った父・竜之介（田中哲司）の胸を貫いた。Kとマヤ(吉瀬美智子)は再び街へと消え、真の目的…“宝石箱”をあける計画のカウントダウンが始まった。藤丸とサードアイはKの計画を阻止すべく、東京の街を奔走する。天才ハッカー藤丸は地球を救えるのか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v>
      </c>
      <c r="N6025" s="2"/>
      <c r="O6025" s="2"/>
      <c r="P6025" s="1"/>
      <c r="Q6025" s="1"/>
      <c r="R6025" s="1"/>
      <c r="S6025" s="1"/>
      <c r="T6025" s="1"/>
      <c r="U6025" s="1"/>
      <c r="V6025" s="1"/>
      <c r="W6025" s="1"/>
      <c r="X6025" s="1"/>
      <c r="Y6025" s="1"/>
      <c r="Z6025" s="1"/>
      <c r="AA6025" s="1"/>
      <c r="AB6025" s="1"/>
      <c r="AC6025" s="1"/>
      <c r="AD6025" s="1"/>
      <c r="AE6025" s="1"/>
      <c r="AF6025" s="1"/>
      <c r="AG6025" s="1"/>
      <c r="AH6025" s="1"/>
      <c r="AI6025" s="1"/>
      <c r="AJ6025" s="1"/>
      <c r="AK6025" s="1"/>
      <c r="AL6025" s="1"/>
      <c r="AM6025" s="1"/>
      <c r="AN6025" s="1"/>
      <c r="AO6025" s="1"/>
      <c r="AP6025" s="1"/>
      <c r="AQ6025" s="1"/>
      <c r="AR6025" s="1"/>
      <c r="AS6025" s="1"/>
      <c r="AT6025" s="1"/>
      <c r="AU6025" s="1"/>
      <c r="AV6025" s="1"/>
      <c r="AW6025" s="1"/>
      <c r="AX6025" s="1"/>
      <c r="AY6025" s="1"/>
      <c r="AZ6025" s="1"/>
      <c r="BA6025" s="1"/>
      <c r="BB6025" s="1"/>
    </row>
    <row r="6026" ht="204.75" customHeight="1">
      <c r="A6026" s="1">
        <v>5633.0</v>
      </c>
      <c r="B6026" s="2" t="s">
        <v>16134</v>
      </c>
      <c r="C6026" s="2">
        <f>IFERROR(__xludf.DUMMYFUNCTION("split(B6026,""_"")"),810.0)</f>
        <v>810</v>
      </c>
      <c r="D6026" s="2" t="str">
        <f>IFERROR(__xludf.DUMMYFUNCTION("""COMPUTED_VALUE"""),"TBS")</f>
        <v>TBS</v>
      </c>
      <c r="E6026" s="2" t="str">
        <f>IFERROR(__xludf.DUMMYFUNCTION("""COMPUTED_VALUE"""),"日21")</f>
        <v>日21</v>
      </c>
      <c r="F6026" s="2" t="s">
        <v>16135</v>
      </c>
      <c r="G6026" s="2" t="s">
        <v>16136</v>
      </c>
      <c r="H6026" s="1">
        <v>1.0</v>
      </c>
      <c r="J6026" s="1" t="s">
        <v>4</v>
      </c>
      <c r="K6026" s="2" t="s">
        <v>16137</v>
      </c>
      <c r="L6026" s="2"/>
      <c r="M6026" s="2" t="str">
        <f>IFERROR(__xludf.DUMMYFUNCTION("split(split(K6026,""【"",false),""公式LINE"",false)"),"「今夜発覚！女の本音はスキャンダル!!」  高柳貴子（鈴木京香）は40歳の専業主婦。  大手広告代理店勤務の夫と中学生の娘と暮らしている。家事も育児も完璧にこなす貴子だが、娘は反抗期、夫は浮気の疑いありと、家族との溝を感じる日々だ。ある日、昔の同僚・白石理佐子（戸田菜穂）の結婚式で、3人の主婦に出会った。財務省公務員の夫と2人の幼い子供を持つ河合ひとみ（長谷川京子）32歳、美容整形外科クリニックの院長夫人でセレブ。財務省公務員の夫と2人の幼い子供を持つ河合ひとみ（長谷川京子）32歳、美容整形外科クリニック"&amp;"の院長夫人でセレブな生活を送る鮫島真由子（吹石一恵）25歳、8歳年下の弁護士を夫にもつキャリアウ―マンの新藤たまき（桃井かおり）52歳だ。その夜、貴子は年齢も夫の職業も何もかも違うこの3人と、理佐子のお祝いをすることに。すると理佐子が「ねえ、ゲ―ムしない？」と言い出した。そのゲ―ムとは、夜の街で男を逆ナンして店まで連れてくるということ。一番遅かった人が店の支払いを全額負担するというのだ。  猛反対の貴子をよそに、街へ出て行く4人。  しかしそのゲ―ムが、思いもよらないスキャンダルへ貴子を巻き込んでいく……"&amp;"。鈴木京香　長谷川京子　吹石一恵　桃井かおり　沢村一樹　光石　研　遠藤憲一　石原良純　滝沢沙織　小浜正寛　荒井萌　平野心暖　松本春姫　植田浩望　細田よしひこ　加藤虎ノ介　戸田菜穂　小日向文世「LOVE～winter song～」　福原美穂  （ソニ―・ミュ―ジックレコ―ズ）井上由美子生野慈朗  高成麻畝子  山本剛義生野慈朗  植田博樹TBSテレビ")</f>
        <v>「今夜発覚！女の本音はスキャンダル!!」  高柳貴子（鈴木京香）は40歳の専業主婦。  大手広告代理店勤務の夫と中学生の娘と暮らしている。家事も育児も完璧にこなす貴子だが、娘は反抗期、夫は浮気の疑いありと、家族との溝を感じる日々だ。ある日、昔の同僚・白石理佐子（戸田菜穂）の結婚式で、3人の主婦に出会った。財務省公務員の夫と2人の幼い子供を持つ河合ひとみ（長谷川京子）32歳、美容整形外科クリニックの院長夫人でセレブ。財務省公務員の夫と2人の幼い子供を持つ河合ひとみ（長谷川京子）32歳、美容整形外科クリニックの院長夫人でセレブな生活を送る鮫島真由子（吹石一恵）25歳、8歳年下の弁護士を夫にもつキャリアウ―マンの新藤たまき（桃井かおり）52歳だ。その夜、貴子は年齢も夫の職業も何もかも違うこの3人と、理佐子のお祝いをすることに。すると理佐子が「ねえ、ゲ―ムしない？」と言い出した。そのゲ―ムとは、夜の街で男を逆ナンして店まで連れてくるということ。一番遅かった人が店の支払いを全額負担するというのだ。  猛反対の貴子をよそに、街へ出て行く4人。  しかしそのゲ―ムが、思いもよらないスキャンダルへ貴子を巻き込んでいく……。鈴木京香　長谷川京子　吹石一恵　桃井かおり　沢村一樹　光石　研　遠藤憲一　石原良純　滝沢沙織　小浜正寛　荒井萌　平野心暖　松本春姫　植田浩望　細田よしひこ　加藤虎ノ介　戸田菜穂　小日向文世「LOVE～winter song～」　福原美穂  （ソニ―・ミュ―ジックレコ―ズ）井上由美子生野慈朗  高成麻畝子  山本剛義生野慈朗  植田博樹TBSテレビ</v>
      </c>
      <c r="N6026" s="2"/>
      <c r="O6026" s="2"/>
      <c r="P6026" s="1"/>
      <c r="Q6026" s="1"/>
      <c r="R6026" s="1"/>
      <c r="S6026" s="1"/>
      <c r="T6026" s="1"/>
      <c r="U6026" s="1"/>
      <c r="V6026" s="1"/>
      <c r="W6026" s="1"/>
      <c r="X6026" s="1"/>
      <c r="Y6026" s="1"/>
      <c r="Z6026" s="1"/>
      <c r="AA6026" s="1"/>
      <c r="AB6026" s="1"/>
      <c r="AC6026" s="1"/>
      <c r="AD6026" s="1"/>
      <c r="AE6026" s="1"/>
      <c r="AF6026" s="1"/>
      <c r="AG6026" s="1"/>
      <c r="AH6026" s="1"/>
      <c r="AI6026" s="1"/>
      <c r="AJ6026" s="1"/>
      <c r="AK6026" s="1"/>
      <c r="AL6026" s="1"/>
      <c r="AM6026" s="1"/>
      <c r="AN6026" s="1"/>
      <c r="AO6026" s="1"/>
      <c r="AP6026" s="1"/>
      <c r="AQ6026" s="1"/>
      <c r="AR6026" s="1"/>
      <c r="AS6026" s="1"/>
      <c r="AT6026" s="1"/>
      <c r="AU6026" s="1"/>
      <c r="AV6026" s="1"/>
      <c r="AW6026" s="1"/>
      <c r="AX6026" s="1"/>
      <c r="AY6026" s="1"/>
      <c r="AZ6026" s="1"/>
      <c r="BA6026" s="1"/>
      <c r="BB6026" s="1"/>
    </row>
    <row r="6027" ht="204.75" customHeight="1">
      <c r="A6027" s="1">
        <v>5634.0</v>
      </c>
      <c r="B6027" s="2" t="s">
        <v>16134</v>
      </c>
      <c r="C6027" s="2">
        <f>IFERROR(__xludf.DUMMYFUNCTION("split(B6027,""_"")"),810.0)</f>
        <v>810</v>
      </c>
      <c r="D6027" s="2" t="str">
        <f>IFERROR(__xludf.DUMMYFUNCTION("""COMPUTED_VALUE"""),"TBS")</f>
        <v>TBS</v>
      </c>
      <c r="E6027" s="2" t="str">
        <f>IFERROR(__xludf.DUMMYFUNCTION("""COMPUTED_VALUE"""),"日21")</f>
        <v>日21</v>
      </c>
      <c r="F6027" s="2" t="s">
        <v>16135</v>
      </c>
      <c r="G6027" s="2" t="s">
        <v>16136</v>
      </c>
      <c r="H6027" s="1">
        <v>2.0</v>
      </c>
      <c r="J6027" s="1" t="s">
        <v>11</v>
      </c>
      <c r="K6027" s="2" t="s">
        <v>16138</v>
      </c>
      <c r="L6027" s="2"/>
      <c r="M6027" s="2" t="str">
        <f>IFERROR(__xludf.DUMMYFUNCTION("split(split(K6027,""【"",false),""公式LINE"",false)"),"「女友達の不幸は密の味」  理佐子（戸田菜穂）の失踪で、貴子（鈴木京香）・ひとみ（長谷川京子）・真由子（吹石一恵）・たまき（桃井かおり）の4人に突然ふりかかったスキャンダル…。  警察で勝沼から4人の責任だと言われたことから、知り合ったばかりの貴子たちは、力を合わせて理佐子を探すことになった。だが、年齢も性格も家庭環境も違う主婦4人が、顔を突き合わせて考えても、話が脱線するばかりで進展はない。一方、妻の捜索願いを出した久木田のところでは警察の捜査が入り慌しい状況になっていた。理佐子が披露宴に呼んだのは貴子"&amp;"たち4人のみ。貴子たちと会ったのを最後にいなくなってしまったのは、偶然とは思えないと…勝沼は4人の主婦たちを徹底的に調べることにした。翌日、事情聴取のため警察を再び訪れた4人は、同じく警察を訪れていた久木田から、知っていることは残酷なことでも何でも教えて欲しいと頼まれる。さらに、警察では、別室で個別に理佐子との関係を聞きたいと言われ戸惑う4人。だが、そのことで意外な事実が明らかになっていく。そんな時、警察から帰ろうとしている久木田を追いかけた貴子は、自分が夫・秀典と結婚した時の経緯などを話す。実はCA時代"&amp;"に秀典を巡り、理佐子が好意を持っていたことを知りながら自分が抜けがけした様な形になり、今でも申し訳ないと思っている事を…。しかし、貴子は久木田から反対に信じられない事実を知らされる事に…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山本"&amp;"剛義生野慈朗  (他)TBSテレビ  http://www.tbs.co.jp/scandal2008/")</f>
        <v>「女友達の不幸は密の味」  理佐子（戸田菜穂）の失踪で、貴子（鈴木京香）・ひとみ（長谷川京子）・真由子（吹石一恵）・たまき（桃井かおり）の4人に突然ふりかかったスキャンダル…。  警察で勝沼から4人の責任だと言われたことから、知り合ったばかりの貴子たちは、力を合わせて理佐子を探すことになった。だが、年齢も性格も家庭環境も違う主婦4人が、顔を突き合わせて考えても、話が脱線するばかりで進展はない。一方、妻の捜索願いを出した久木田のところでは警察の捜査が入り慌しい状況になっていた。理佐子が披露宴に呼んだのは貴子たち4人のみ。貴子たちと会ったのを最後にいなくなってしまったのは、偶然とは思えないと…勝沼は4人の主婦たちを徹底的に調べることにした。翌日、事情聴取のため警察を再び訪れた4人は、同じく警察を訪れていた久木田から、知っていることは残酷なことでも何でも教えて欲しいと頼まれる。さらに、警察では、別室で個別に理佐子との関係を聞きたいと言われ戸惑う4人。だが、そのことで意外な事実が明らかになっていく。そんな時、警察から帰ろうとしている久木田を追いかけた貴子は、自分が夫・秀典と結婚した時の経緯などを話す。実はCA時代に秀典を巡り、理佐子が好意を持っていたことを知りながら自分が抜けがけした様な形になり、今でも申し訳ないと思っている事を…。しかし、貴子は久木田から反対に信じられない事実を知らされる事に…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v>
      </c>
      <c r="N6027" s="2"/>
      <c r="O6027" s="2"/>
      <c r="P6027" s="1"/>
      <c r="Q6027" s="1"/>
      <c r="R6027" s="1"/>
      <c r="S6027" s="1"/>
      <c r="T6027" s="1"/>
      <c r="U6027" s="1"/>
      <c r="V6027" s="1"/>
      <c r="W6027" s="1"/>
      <c r="X6027" s="1"/>
      <c r="Y6027" s="1"/>
      <c r="Z6027" s="1"/>
      <c r="AA6027" s="1"/>
      <c r="AB6027" s="1"/>
      <c r="AC6027" s="1"/>
      <c r="AD6027" s="1"/>
      <c r="AE6027" s="1"/>
      <c r="AF6027" s="1"/>
      <c r="AG6027" s="1"/>
      <c r="AH6027" s="1"/>
      <c r="AI6027" s="1"/>
      <c r="AJ6027" s="1"/>
      <c r="AK6027" s="1"/>
      <c r="AL6027" s="1"/>
      <c r="AM6027" s="1"/>
      <c r="AN6027" s="1"/>
      <c r="AO6027" s="1"/>
      <c r="AP6027" s="1"/>
      <c r="AQ6027" s="1"/>
      <c r="AR6027" s="1"/>
      <c r="AS6027" s="1"/>
      <c r="AT6027" s="1"/>
      <c r="AU6027" s="1"/>
      <c r="AV6027" s="1"/>
      <c r="AW6027" s="1"/>
      <c r="AX6027" s="1"/>
      <c r="AY6027" s="1"/>
      <c r="AZ6027" s="1"/>
      <c r="BA6027" s="1"/>
      <c r="BB6027" s="1"/>
    </row>
    <row r="6028" ht="204.75" customHeight="1">
      <c r="A6028" s="1">
        <v>5635.0</v>
      </c>
      <c r="B6028" s="2" t="s">
        <v>16134</v>
      </c>
      <c r="C6028" s="2">
        <f>IFERROR(__xludf.DUMMYFUNCTION("split(B6028,""_"")"),810.0)</f>
        <v>810</v>
      </c>
      <c r="D6028" s="2" t="str">
        <f>IFERROR(__xludf.DUMMYFUNCTION("""COMPUTED_VALUE"""),"TBS")</f>
        <v>TBS</v>
      </c>
      <c r="E6028" s="2" t="str">
        <f>IFERROR(__xludf.DUMMYFUNCTION("""COMPUTED_VALUE"""),"日21")</f>
        <v>日21</v>
      </c>
      <c r="F6028" s="2" t="s">
        <v>16135</v>
      </c>
      <c r="G6028" s="2" t="s">
        <v>16136</v>
      </c>
      <c r="H6028" s="1">
        <v>3.0</v>
      </c>
      <c r="J6028" s="1" t="s">
        <v>11</v>
      </c>
      <c r="K6028" s="2" t="s">
        <v>16139</v>
      </c>
      <c r="L6028" s="2"/>
      <c r="M6028" s="2" t="str">
        <f>IFERROR(__xludf.DUMMYFUNCTION("split(split(K6028,""【"",false),""公式LINE"",false)"),"「夫たちにお仕置き」夫の会社を訪ねた貴子（鈴木京香）は、秀典からプレゼントされたペンダントと同じものをしている夏子（滝沢沙織）と秀典（沢村一樹）が一緒にいるところに遭遇してしまう。その時、理佐子から貴子の携帯に着信があり慌てて出ると、理佐子の携帯から聞こえてきたのは男の人の声だった。驚いた貴子は、急いで久木田（加藤虎ノ介）に会い事情を話すと、久木田は警察には知らせず誰にも言わないで欲しいと言うのだ。困った貴子は、ひとみ（長谷川京子）の意見を聞こうと電話を掛けた。久木田から口止めされてはいるが、早く警察に知"&amp;"らせたほうがいいのか迷っていたのだ。だが、真由子（吹石一恵）・たまき（桃井かおり）にも話が広がり、理佐子は誘拐事件に巻き込まれたなどという話に発展していた。  その夜、高柳家に集合した4人だが、話せば話すほど話が飛躍してしまい、とりあえず明朝久木田のホテルを貴子が訪ねることになった。翌朝、貴子がホテルに行くと、心配したひとみ・真由子・たまきもホテルに駆けつけていた。とりあえず、貴子が久木田の部屋を訪ねると「信じていたのに何故約束を守ってくれなかったのか」と怒る久木田。さらに、部屋には、勝沼（小日向文世）は"&amp;"じめ数人の捜査員が来ていて、公開捜査が決まったと言うのだ。  誰が警察に知らせたのか疑う間もなく、貴子たち4人はホテルを出たところで大勢の取材陣に囲まれてしまう。そのことが報道されたことで、それぞれの家庭は大揉めになり、不満を爆発させてしまった貴子・ひとみ・真由子は、偶然にもみんな家を飛び出してしまう。鈴木京香　長谷川京子　吹石一恵　桃井かおり   沢村一樹　光石　研　遠藤憲一　石原良純  滝沢沙織  小浜正寛  荒井　萌  平野心暖  松本春姫   植田浩望　細田よしひこ　加藤虎ノ介   戸田菜穂「LO"&amp;"VE～winter song～」　福原美穂  （ソニー・ミュージックレコーズ）井上由美子生野慈朗  高成麻畝子  山本剛義生野慈朗  (他)TBSテレビ  http://www.tbs.co.jp/scandal2008/")</f>
        <v>「夫たちにお仕置き」夫の会社を訪ねた貴子（鈴木京香）は、秀典からプレゼントされたペンダントと同じものをしている夏子（滝沢沙織）と秀典（沢村一樹）が一緒にいるところに遭遇してしまう。その時、理佐子から貴子の携帯に着信があり慌てて出ると、理佐子の携帯から聞こえてきたのは男の人の声だった。驚いた貴子は、急いで久木田（加藤虎ノ介）に会い事情を話すと、久木田は警察には知らせず誰にも言わないで欲しいと言うのだ。困った貴子は、ひとみ（長谷川京子）の意見を聞こうと電話を掛けた。久木田から口止めされてはいるが、早く警察に知らせたほうがいいのか迷っていたのだ。だが、真由子（吹石一恵）・たまき（桃井かおり）にも話が広がり、理佐子は誘拐事件に巻き込まれたなどという話に発展していた。  その夜、高柳家に集合した4人だが、話せば話すほど話が飛躍してしまい、とりあえず明朝久木田のホテルを貴子が訪ねることになった。翌朝、貴子がホテルに行くと、心配したひとみ・真由子・たまきもホテルに駆けつけていた。とりあえず、貴子が久木田の部屋を訪ねると「信じていたのに何故約束を守ってくれなかったのか」と怒る久木田。さらに、部屋には、勝沼（小日向文世）はじめ数人の捜査員が来ていて、公開捜査が決まったと言うのだ。  誰が警察に知らせたのか疑う間もなく、貴子たち4人はホテルを出たところで大勢の取材陣に囲まれてしまう。そのことが報道されたことで、それぞれの家庭は大揉めになり、不満を爆発させてしまった貴子・ひとみ・真由子は、偶然にもみんな家を飛び出してしまう。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v>
      </c>
      <c r="N6028" s="2"/>
      <c r="O6028" s="2"/>
      <c r="P6028" s="1"/>
      <c r="Q6028" s="1"/>
      <c r="R6028" s="1"/>
      <c r="S6028" s="1"/>
      <c r="T6028" s="1"/>
      <c r="U6028" s="1"/>
      <c r="V6028" s="1"/>
      <c r="W6028" s="1"/>
      <c r="X6028" s="1"/>
      <c r="Y6028" s="1"/>
      <c r="Z6028" s="1"/>
      <c r="AA6028" s="1"/>
      <c r="AB6028" s="1"/>
      <c r="AC6028" s="1"/>
      <c r="AD6028" s="1"/>
      <c r="AE6028" s="1"/>
      <c r="AF6028" s="1"/>
      <c r="AG6028" s="1"/>
      <c r="AH6028" s="1"/>
      <c r="AI6028" s="1"/>
      <c r="AJ6028" s="1"/>
      <c r="AK6028" s="1"/>
      <c r="AL6028" s="1"/>
      <c r="AM6028" s="1"/>
      <c r="AN6028" s="1"/>
      <c r="AO6028" s="1"/>
      <c r="AP6028" s="1"/>
      <c r="AQ6028" s="1"/>
      <c r="AR6028" s="1"/>
      <c r="AS6028" s="1"/>
      <c r="AT6028" s="1"/>
      <c r="AU6028" s="1"/>
      <c r="AV6028" s="1"/>
      <c r="AW6028" s="1"/>
      <c r="AX6028" s="1"/>
      <c r="AY6028" s="1"/>
      <c r="AZ6028" s="1"/>
      <c r="BA6028" s="1"/>
      <c r="BB6028" s="1"/>
    </row>
    <row r="6029" ht="204.75" customHeight="1">
      <c r="A6029" s="1">
        <v>5636.0</v>
      </c>
      <c r="B6029" s="2" t="s">
        <v>16134</v>
      </c>
      <c r="C6029" s="2">
        <f>IFERROR(__xludf.DUMMYFUNCTION("split(B6029,""_"")"),810.0)</f>
        <v>810</v>
      </c>
      <c r="D6029" s="2" t="str">
        <f>IFERROR(__xludf.DUMMYFUNCTION("""COMPUTED_VALUE"""),"TBS")</f>
        <v>TBS</v>
      </c>
      <c r="E6029" s="2" t="str">
        <f>IFERROR(__xludf.DUMMYFUNCTION("""COMPUTED_VALUE"""),"日21")</f>
        <v>日21</v>
      </c>
      <c r="F6029" s="2" t="s">
        <v>16135</v>
      </c>
      <c r="G6029" s="2" t="s">
        <v>16136</v>
      </c>
      <c r="H6029" s="1">
        <v>4.0</v>
      </c>
      <c r="J6029" s="1" t="s">
        <v>11</v>
      </c>
      <c r="K6029" s="2" t="s">
        <v>16140</v>
      </c>
      <c r="L6029" s="2"/>
      <c r="M6029" s="2" t="str">
        <f>IFERROR(__xludf.DUMMYFUNCTION("split(split(K6029,""【"",false),""公式LINE"",false)"),"「衝撃!!夫が逮捕される」ワイドショーのインタビューを受けてしまったことで、貴子（鈴木京香）たち4人の家庭では、それぞれ大問題になっていく。世間体を気にするだけの夫たちに反発する妻たち。  理佐子（戸田菜穂）を心配するあまり独自に調査を始めた貴子は、理佐子と最後に会ったワインバーに出かけてみる。偶然、美容院帰りのひとみ（長谷川京子）が、礼二（植田浩望）を伴ない同じ店にやって来た。同じ頃、行き先が分からなくなった真由子（吹石一恵）を探すため賢治（遠藤憲一）が高柳家を訪れていた。状況も分からず困った秀典（沢村"&amp;"一樹）からの電話を取った貴子は、何気なく言った秀典の言葉に腹を立て電話を切ってしまう。  そんな時、呑気にクラブで遊んでいる真由子の写メが隼人（細田よしひこ）から礼二に送られてきた。  クラブで真由子と合流した貴子は、あまりにもお気楽にしているひとみや真由子に呆れてしまう。夫が必死になって探していることを知った真由子は、一晩泊めて欲しいとたまきを頼って電話すると、たまき（桃井かおり）は警察にいて「自首したの」と言いみんなを驚かせる。鈴木京香　長谷川京子　吹石一恵　桃井かおり   沢村一樹　光石　研　遠藤憲"&amp;"一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f>
        <v>「衝撃!!夫が逮捕される」ワイドショーのインタビューを受けてしまったことで、貴子（鈴木京香）たち4人の家庭では、それぞれ大問題になっていく。世間体を気にするだけの夫たちに反発する妻たち。  理佐子（戸田菜穂）を心配するあまり独自に調査を始めた貴子は、理佐子と最後に会ったワインバーに出かけてみる。偶然、美容院帰りのひとみ（長谷川京子）が、礼二（植田浩望）を伴ない同じ店にやって来た。同じ頃、行き先が分からなくなった真由子（吹石一恵）を探すため賢治（遠藤憲一）が高柳家を訪れていた。状況も分からず困った秀典（沢村一樹）からの電話を取った貴子は、何気なく言った秀典の言葉に腹を立て電話を切ってしまう。  そんな時、呑気にクラブで遊んでいる真由子の写メが隼人（細田よしひこ）から礼二に送られてきた。  クラブで真由子と合流した貴子は、あまりにもお気楽にしているひとみや真由子に呆れてしまう。夫が必死になって探していることを知った真由子は、一晩泊めて欲しいとたまきを頼って電話すると、たまき（桃井かおり）は警察にいて「自首したの」と言いみんなを驚かせる。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v>
      </c>
      <c r="N6029" s="2"/>
      <c r="O6029" s="2"/>
      <c r="P6029" s="1"/>
      <c r="Q6029" s="1"/>
      <c r="R6029" s="1"/>
      <c r="S6029" s="1"/>
      <c r="T6029" s="1"/>
      <c r="U6029" s="1"/>
      <c r="V6029" s="1"/>
      <c r="W6029" s="1"/>
      <c r="X6029" s="1"/>
      <c r="Y6029" s="1"/>
      <c r="Z6029" s="1"/>
      <c r="AA6029" s="1"/>
      <c r="AB6029" s="1"/>
      <c r="AC6029" s="1"/>
      <c r="AD6029" s="1"/>
      <c r="AE6029" s="1"/>
      <c r="AF6029" s="1"/>
      <c r="AG6029" s="1"/>
      <c r="AH6029" s="1"/>
      <c r="AI6029" s="1"/>
      <c r="AJ6029" s="1"/>
      <c r="AK6029" s="1"/>
      <c r="AL6029" s="1"/>
      <c r="AM6029" s="1"/>
      <c r="AN6029" s="1"/>
      <c r="AO6029" s="1"/>
      <c r="AP6029" s="1"/>
      <c r="AQ6029" s="1"/>
      <c r="AR6029" s="1"/>
      <c r="AS6029" s="1"/>
      <c r="AT6029" s="1"/>
      <c r="AU6029" s="1"/>
      <c r="AV6029" s="1"/>
      <c r="AW6029" s="1"/>
      <c r="AX6029" s="1"/>
      <c r="AY6029" s="1"/>
      <c r="AZ6029" s="1"/>
      <c r="BA6029" s="1"/>
      <c r="BB6029" s="1"/>
    </row>
    <row r="6030" ht="204.75" customHeight="1">
      <c r="A6030" s="1">
        <v>5637.0</v>
      </c>
      <c r="B6030" s="2" t="s">
        <v>16134</v>
      </c>
      <c r="C6030" s="2">
        <f>IFERROR(__xludf.DUMMYFUNCTION("split(B6030,""_"")"),810.0)</f>
        <v>810</v>
      </c>
      <c r="D6030" s="2" t="str">
        <f>IFERROR(__xludf.DUMMYFUNCTION("""COMPUTED_VALUE"""),"TBS")</f>
        <v>TBS</v>
      </c>
      <c r="E6030" s="2" t="str">
        <f>IFERROR(__xludf.DUMMYFUNCTION("""COMPUTED_VALUE"""),"日21")</f>
        <v>日21</v>
      </c>
      <c r="F6030" s="2" t="s">
        <v>16135</v>
      </c>
      <c r="G6030" s="2" t="s">
        <v>16136</v>
      </c>
      <c r="H6030" s="1">
        <v>5.0</v>
      </c>
      <c r="J6030" s="1" t="s">
        <v>11</v>
      </c>
      <c r="K6030" s="2" t="s">
        <v>16141</v>
      </c>
      <c r="L6030" s="2"/>
      <c r="M6030" s="2" t="str">
        <f>IFERROR(__xludf.DUMMYFUNCTION("split(split(K6030,""【"",false),""公式LINE"",false)"),"「真相!!全てがつながる」貴子（鈴木京香）たちの目の前で、勝沼（小日向文世）から任意同行を求められた河合雄一（光石研）。驚くひとみ（長谷川京子）は、弁護士の哲夫（石原良純）や秀典（沢村一樹）と共に警察に行ったが状況が分からず心配を募らせていた。勝沼は、以前久木田（加藤虎ノ介）が起こした事件調書の中に雄一の名前が出てきたと言うのだ。雄一は黙秘を主張、調書のことも偶然居合わせた単なる目撃者だと言い張る。そして妻には絶対に言わないと約束をして欲しいと勝沼に言った。そこに、面会要求をするため哲夫が顔を出した。驚く"&amp;"雄一・・・実は二人は以前に知り合っていたのだった。  同じ頃、貴子は久木田から呼び出されホテルのラウンジで会っていた。今夜ニューヨークに帰る、もう理佐子（戸田菜穂）は探さないと言うのだ。さらに、心配する貴子に、理佐子は無事だといい、理佐子から届いたメールを見せた。その夜、久木田は報道陣の前で騒がせたことを詫びNYへ…。  あっけない幕切れで、ぽっかり穴が開いた様になってしまった貴子は、ひとみ、たまき（桃井かおり）、真由子（吹石一恵）と最後に食事をする事にした。最高におしゃれをして集まった4人だったが、いろ"&amp;"いろ話をしていく内に言い合いになってしまう。実は、真由子は貴子が久木田と会うことを知り尾行していたのだった。その頃、夫たちも妻たちの知らないところで秘密の会合をもとうとしていた・・・。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山本剛"&amp;"義生野慈朗  (他)TBSテレビ  http://www.tbs.co.jp/scandal2008/")</f>
        <v>「真相!!全てがつながる」貴子（鈴木京香）たちの目の前で、勝沼（小日向文世）から任意同行を求められた河合雄一（光石研）。驚くひとみ（長谷川京子）は、弁護士の哲夫（石原良純）や秀典（沢村一樹）と共に警察に行ったが状況が分からず心配を募らせていた。勝沼は、以前久木田（加藤虎ノ介）が起こした事件調書の中に雄一の名前が出てきたと言うのだ。雄一は黙秘を主張、調書のことも偶然居合わせた単なる目撃者だと言い張る。そして妻には絶対に言わないと約束をして欲しいと勝沼に言った。そこに、面会要求をするため哲夫が顔を出した。驚く雄一・・・実は二人は以前に知り合っていたのだった。  同じ頃、貴子は久木田から呼び出されホテルのラウンジで会っていた。今夜ニューヨークに帰る、もう理佐子（戸田菜穂）は探さないと言うのだ。さらに、心配する貴子に、理佐子は無事だといい、理佐子から届いたメールを見せた。その夜、久木田は報道陣の前で騒がせたことを詫びNYへ…。  あっけない幕切れで、ぽっかり穴が開いた様になってしまった貴子は、ひとみ、たまき（桃井かおり）、真由子（吹石一恵）と最後に食事をする事にした。最高におしゃれをして集まった4人だったが、いろいろ話をしていく内に言い合いになってしまう。実は、真由子は貴子が久木田と会うことを知り尾行していたのだった。その頃、夫たちも妻たちの知らないところで秘密の会合をもとうとしていた・・・。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v>
      </c>
      <c r="N6030" s="2"/>
      <c r="O6030" s="2"/>
      <c r="P6030" s="1"/>
      <c r="Q6030" s="1"/>
      <c r="R6030" s="1"/>
      <c r="S6030" s="1"/>
      <c r="T6030" s="1"/>
      <c r="U6030" s="1"/>
      <c r="V6030" s="1"/>
      <c r="W6030" s="1"/>
      <c r="X6030" s="1"/>
      <c r="Y6030" s="1"/>
      <c r="Z6030" s="1"/>
      <c r="AA6030" s="1"/>
      <c r="AB6030" s="1"/>
      <c r="AC6030" s="1"/>
      <c r="AD6030" s="1"/>
      <c r="AE6030" s="1"/>
      <c r="AF6030" s="1"/>
      <c r="AG6030" s="1"/>
      <c r="AH6030" s="1"/>
      <c r="AI6030" s="1"/>
      <c r="AJ6030" s="1"/>
      <c r="AK6030" s="1"/>
      <c r="AL6030" s="1"/>
      <c r="AM6030" s="1"/>
      <c r="AN6030" s="1"/>
      <c r="AO6030" s="1"/>
      <c r="AP6030" s="1"/>
      <c r="AQ6030" s="1"/>
      <c r="AR6030" s="1"/>
      <c r="AS6030" s="1"/>
      <c r="AT6030" s="1"/>
      <c r="AU6030" s="1"/>
      <c r="AV6030" s="1"/>
      <c r="AW6030" s="1"/>
      <c r="AX6030" s="1"/>
      <c r="AY6030" s="1"/>
      <c r="AZ6030" s="1"/>
      <c r="BA6030" s="1"/>
      <c r="BB6030" s="1"/>
    </row>
    <row r="6031" ht="204.75" customHeight="1">
      <c r="A6031" s="1">
        <v>5638.0</v>
      </c>
      <c r="B6031" s="2" t="s">
        <v>16134</v>
      </c>
      <c r="C6031" s="2">
        <f>IFERROR(__xludf.DUMMYFUNCTION("split(B6031,""_"")"),810.0)</f>
        <v>810</v>
      </c>
      <c r="D6031" s="2" t="str">
        <f>IFERROR(__xludf.DUMMYFUNCTION("""COMPUTED_VALUE"""),"TBS")</f>
        <v>TBS</v>
      </c>
      <c r="E6031" s="2" t="str">
        <f>IFERROR(__xludf.DUMMYFUNCTION("""COMPUTED_VALUE"""),"日21")</f>
        <v>日21</v>
      </c>
      <c r="F6031" s="2" t="s">
        <v>16135</v>
      </c>
      <c r="G6031" s="2" t="s">
        <v>16136</v>
      </c>
      <c r="H6031" s="1">
        <v>6.0</v>
      </c>
      <c r="J6031" s="1" t="s">
        <v>11</v>
      </c>
      <c r="K6031" s="2" t="s">
        <v>16142</v>
      </c>
      <c r="L6031" s="2"/>
      <c r="M6031" s="2" t="str">
        <f>IFERROR(__xludf.DUMMYFUNCTION("split(split(K6031,""【"",false),""公式LINE"",false)"),"「新展開!!女たちの逆襲」ニューヨークから戻った久木田（加藤虎ノ介）と会った貴子（鈴木京香）は、結婚式の夜、理佐子（戸田菜穂）が別の男性といるところを見たと告白する。理佐子を庇おうとする貴子を、久木田は一緒にいた男がどんな人だったか教える義務があると責め、出て行く。あわてて追いかけた貴子に、久木田は8年前に起こした傷害事件の話を始めた。理佐子がたまき（桃井かおり）の夫・哲夫（石原良純）に弁護を頼み、示談にしてもらい、留学中の久木田に代わり1000万円という高額の示談金をほとんど払ってくれたというのだ。さら"&amp;"に、理佐子は貴子の夫・秀典（沢村一樹）からもお金を借りていたと言い残し、もう一度振り出しに戻って理佐子の足跡をたどると行ってしまった。  その夜、帰宅した貴子は、理佐子にお金を貸したことを秀典に問い詰め言い争いになる。翌日、貴子はひとみ（長谷川京子）を訪ねた。警察の事情聴取を受けたひとみの夫・雄一（光石研）と理佐子との関係を聞くためだった。だが、ひとみはなんと美容師・礼二とキスしたと夢ごごちで話し出し貴子を驚かす。一方、たまきは真由子（吹石一恵）を訪ねていた。出かけようとしていた賢治（遠藤憲一）から「真由"&amp;"子をよろしく」と頼まれ、真由子がたまきの名前を使って出かけようとしていたことを知る。問い詰めると、証券マンの隼人（細田よしひこ）とデートするとあっさり言う真由子にたまきは呆れてしまう。  そんな中、礼二に無視されショックを受けたひとみが貴子を訪ねてきた。そんなことを娘に悟られないようごまかす貴子に、咲希は昨夜家の前で理佐子を見たと告げる。この新事実に、再び高柳家に集合した4人だったが・・・。鈴木京香　長谷川京子　吹石一恵　桃井かおり   沢村一樹　光石　研　遠藤憲一　石原良純  滝沢沙織  小浜正寛  荒"&amp;"井　萌  平野心暖  松本春姫   植田浩望　細田よしひこ　加藤虎ノ介   戸田菜穂「LOVE～winter song～」　福原美穂  （ソニー・ミュージックレコーズ）井上由美子生野慈朗  高成麻畝子  山本剛義生野慈朗  (他)TBSテレビ  http://www.tbs.co.jp/scandal2008/")</f>
        <v>「新展開!!女たちの逆襲」ニューヨークから戻った久木田（加藤虎ノ介）と会った貴子（鈴木京香）は、結婚式の夜、理佐子（戸田菜穂）が別の男性といるところを見たと告白する。理佐子を庇おうとする貴子を、久木田は一緒にいた男がどんな人だったか教える義務があると責め、出て行く。あわてて追いかけた貴子に、久木田は8年前に起こした傷害事件の話を始めた。理佐子がたまき（桃井かおり）の夫・哲夫（石原良純）に弁護を頼み、示談にしてもらい、留学中の久木田に代わり1000万円という高額の示談金をほとんど払ってくれたというのだ。さらに、理佐子は貴子の夫・秀典（沢村一樹）からもお金を借りていたと言い残し、もう一度振り出しに戻って理佐子の足跡をたどると行ってしまった。  その夜、帰宅した貴子は、理佐子にお金を貸したことを秀典に問い詰め言い争いになる。翌日、貴子はひとみ（長谷川京子）を訪ねた。警察の事情聴取を受けたひとみの夫・雄一（光石研）と理佐子との関係を聞くためだった。だが、ひとみはなんと美容師・礼二とキスしたと夢ごごちで話し出し貴子を驚かす。一方、たまきは真由子（吹石一恵）を訪ねていた。出かけようとしていた賢治（遠藤憲一）から「真由子をよろしく」と頼まれ、真由子がたまきの名前を使って出かけようとしていたことを知る。問い詰めると、証券マンの隼人（細田よしひこ）とデートするとあっさり言う真由子にたまきは呆れてしまう。  そんな中、礼二に無視されショックを受けたひとみが貴子を訪ねてきた。そんなことを娘に悟られないようごまかす貴子に、咲希は昨夜家の前で理佐子を見たと告げる。この新事実に、再び高柳家に集合した4人だったが・・・。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v>
      </c>
      <c r="N6031" s="2"/>
      <c r="O6031" s="2"/>
      <c r="P6031" s="1"/>
      <c r="Q6031" s="1"/>
      <c r="R6031" s="1"/>
      <c r="S6031" s="1"/>
      <c r="T6031" s="1"/>
      <c r="U6031" s="1"/>
      <c r="V6031" s="1"/>
      <c r="W6031" s="1"/>
      <c r="X6031" s="1"/>
      <c r="Y6031" s="1"/>
      <c r="Z6031" s="1"/>
      <c r="AA6031" s="1"/>
      <c r="AB6031" s="1"/>
      <c r="AC6031" s="1"/>
      <c r="AD6031" s="1"/>
      <c r="AE6031" s="1"/>
      <c r="AF6031" s="1"/>
      <c r="AG6031" s="1"/>
      <c r="AH6031" s="1"/>
      <c r="AI6031" s="1"/>
      <c r="AJ6031" s="1"/>
      <c r="AK6031" s="1"/>
      <c r="AL6031" s="1"/>
      <c r="AM6031" s="1"/>
      <c r="AN6031" s="1"/>
      <c r="AO6031" s="1"/>
      <c r="AP6031" s="1"/>
      <c r="AQ6031" s="1"/>
      <c r="AR6031" s="1"/>
      <c r="AS6031" s="1"/>
      <c r="AT6031" s="1"/>
      <c r="AU6031" s="1"/>
      <c r="AV6031" s="1"/>
      <c r="AW6031" s="1"/>
      <c r="AX6031" s="1"/>
      <c r="AY6031" s="1"/>
      <c r="AZ6031" s="1"/>
      <c r="BA6031" s="1"/>
      <c r="BB6031" s="1"/>
    </row>
    <row r="6032" ht="204.75" customHeight="1">
      <c r="A6032" s="1">
        <v>5639.0</v>
      </c>
      <c r="B6032" s="2" t="s">
        <v>16134</v>
      </c>
      <c r="C6032" s="2">
        <f>IFERROR(__xludf.DUMMYFUNCTION("split(B6032,""_"")"),810.0)</f>
        <v>810</v>
      </c>
      <c r="D6032" s="2" t="str">
        <f>IFERROR(__xludf.DUMMYFUNCTION("""COMPUTED_VALUE"""),"TBS")</f>
        <v>TBS</v>
      </c>
      <c r="E6032" s="2" t="str">
        <f>IFERROR(__xludf.DUMMYFUNCTION("""COMPUTED_VALUE"""),"日21")</f>
        <v>日21</v>
      </c>
      <c r="F6032" s="2" t="s">
        <v>16135</v>
      </c>
      <c r="G6032" s="2" t="s">
        <v>16136</v>
      </c>
      <c r="H6032" s="1">
        <v>7.0</v>
      </c>
      <c r="J6032" s="1" t="s">
        <v>11</v>
      </c>
      <c r="K6032" s="2" t="s">
        <v>16143</v>
      </c>
      <c r="L6032" s="2"/>
      <c r="M6032" s="2" t="str">
        <f>IFERROR(__xludf.DUMMYFUNCTION("split(split(K6032,""【"",false),""公式LINE"",false)"),"「秘密の部屋」結婚式の夜、理佐子（戸田菜穂）が一緒にホテルに行った男は、ひとみ（長谷川京子）の仲人で夫・雄一（光石研）の上司・金沢（春田純一）だった。実は8年前、久木田（加藤虎ノ介）が傷害事件を起こした相手なのだ。久木田からすべてを聞いた貴子（鈴木京香）は、たまき（桃井かおり）たちにそのことを伝えた。河合家に集まった4人は、家に戻った雄一に金沢のことを尋ねると「みんながおかしな騒ぎ方をしなければ、警察もマスコミも騒ぐことはなかった。つまらない出来事をスキャンダルにしてしまったことを自覚したほうがいい」とピ"&amp;"シャリと言われ、貴子たちは何も言い返すことが出来なかった。貴子、ひとみ、真由子、たまき…それぞれの家庭で、夫との不協和音が響き始めてきた。  ひとみは金沢に会うため、雄一に内緒で財務省に向かう…理佐子との関係を聞こうとしたが、雄一に見つかり家庭が壊れてもいいのかとひっぱたかれる。どうして雄一がそこまで金沢を庇うのか、どうして何も言ってくれないのか不安に駆られるひとみ。一方、様子のおかしい哲夫（石原良純）を尾行したたまきは、あるホテルに夫が入ったのを知り確認を取ろうとしたが、そこへ勝沼（小日向文世）から電話"&amp;"が入り…。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f>
        <v>「秘密の部屋」結婚式の夜、理佐子（戸田菜穂）が一緒にホテルに行った男は、ひとみ（長谷川京子）の仲人で夫・雄一（光石研）の上司・金沢（春田純一）だった。実は8年前、久木田（加藤虎ノ介）が傷害事件を起こした相手なのだ。久木田からすべてを聞いた貴子（鈴木京香）は、たまき（桃井かおり）たちにそのことを伝えた。河合家に集まった4人は、家に戻った雄一に金沢のことを尋ねると「みんながおかしな騒ぎ方をしなければ、警察もマスコミも騒ぐことはなかった。つまらない出来事をスキャンダルにしてしまったことを自覚したほうがいい」とピシャリと言われ、貴子たちは何も言い返すことが出来なかった。貴子、ひとみ、真由子、たまき…それぞれの家庭で、夫との不協和音が響き始めてきた。  ひとみは金沢に会うため、雄一に内緒で財務省に向かう…理佐子との関係を聞こうとしたが、雄一に見つかり家庭が壊れてもいいのかとひっぱたかれる。どうして雄一がそこまで金沢を庇うのか、どうして何も言ってくれないのか不安に駆られるひとみ。一方、様子のおかしい哲夫（石原良純）を尾行したたまきは、あるホテルに夫が入ったのを知り確認を取ろうとしたが、そこへ勝沼（小日向文世）から電話が入り…。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v>
      </c>
      <c r="N6032" s="2"/>
      <c r="O6032" s="2"/>
      <c r="P6032" s="1"/>
      <c r="Q6032" s="1"/>
      <c r="R6032" s="1"/>
      <c r="S6032" s="1"/>
      <c r="T6032" s="1"/>
      <c r="U6032" s="1"/>
      <c r="V6032" s="1"/>
      <c r="W6032" s="1"/>
      <c r="X6032" s="1"/>
      <c r="Y6032" s="1"/>
      <c r="Z6032" s="1"/>
      <c r="AA6032" s="1"/>
      <c r="AB6032" s="1"/>
      <c r="AC6032" s="1"/>
      <c r="AD6032" s="1"/>
      <c r="AE6032" s="1"/>
      <c r="AF6032" s="1"/>
      <c r="AG6032" s="1"/>
      <c r="AH6032" s="1"/>
      <c r="AI6032" s="1"/>
      <c r="AJ6032" s="1"/>
      <c r="AK6032" s="1"/>
      <c r="AL6032" s="1"/>
      <c r="AM6032" s="1"/>
      <c r="AN6032" s="1"/>
      <c r="AO6032" s="1"/>
      <c r="AP6032" s="1"/>
      <c r="AQ6032" s="1"/>
      <c r="AR6032" s="1"/>
      <c r="AS6032" s="1"/>
      <c r="AT6032" s="1"/>
      <c r="AU6032" s="1"/>
      <c r="AV6032" s="1"/>
      <c r="AW6032" s="1"/>
      <c r="AX6032" s="1"/>
      <c r="AY6032" s="1"/>
      <c r="AZ6032" s="1"/>
      <c r="BA6032" s="1"/>
      <c r="BB6032" s="1"/>
    </row>
    <row r="6033" ht="204.75" customHeight="1">
      <c r="A6033" s="1">
        <v>5640.0</v>
      </c>
      <c r="B6033" s="2" t="s">
        <v>16134</v>
      </c>
      <c r="C6033" s="2">
        <f>IFERROR(__xludf.DUMMYFUNCTION("split(B6033,""_"")"),810.0)</f>
        <v>810</v>
      </c>
      <c r="D6033" s="2" t="str">
        <f>IFERROR(__xludf.DUMMYFUNCTION("""COMPUTED_VALUE"""),"TBS")</f>
        <v>TBS</v>
      </c>
      <c r="E6033" s="2" t="str">
        <f>IFERROR(__xludf.DUMMYFUNCTION("""COMPUTED_VALUE"""),"日21")</f>
        <v>日21</v>
      </c>
      <c r="F6033" s="2" t="s">
        <v>16135</v>
      </c>
      <c r="G6033" s="2" t="s">
        <v>16136</v>
      </c>
      <c r="H6033" s="1">
        <v>8.0</v>
      </c>
      <c r="J6033" s="1" t="s">
        <v>11</v>
      </c>
      <c r="K6033" s="2" t="s">
        <v>16144</v>
      </c>
      <c r="L6033" s="2"/>
      <c r="M6033" s="2" t="str">
        <f>IFERROR(__xludf.DUMMYFUNCTION("split(split(K6033,""【"",false),""公式LINE"",false)"),"「妻の涙、母の涙」哲夫が理佐子を匿っていたことが分かり、たまきの元へ勝沼がやってきた。息子の部屋に入ろうとする勝沼を、必死に止めるたまきの様子は尋常ではなかった。心配する貴子たちに「ずーと部屋には誰もいない」と告白したたまき。勝沼の気遣いで貴子たちを帰らせるが、その時たまきは、もう二度と会わないし電話もしないで欲しいと貴子たちを突き放した。  そして帰り道、ひとみ、真由子も貴子に別れを言う。もう少しで、理佐子を探すことが出来そうなときに、手を引いてしまうなんて…やっと何でも話し合える友達になったと思ってい"&amp;"た貴子は納得できなかった。  その夜、貴子が帰宅すると咲希が体調を崩し寝込んでいた。両親がケンカばかりしていたこと、貴子は浮気しているのではと、咲希はいろいろ心配していたのだ。久しぶりに自分を心配してくれる貴子に触れ、咲希の心は癒され、母を思う素直な子供に戻っていた。翌朝、たまきは勝沼に呼ばれ警察にいた。駿介の部屋から血痕のついたナイフが見つかり、取調べを受けていたのだ。そのナイフには、理佐子の指紋が…!?  このことから勝沼は、8年前の傷害事件のこと、理佐子との関係について調べるため財務省を訪れていた。"&amp;"金沢に会い質問をぶつけていると、そこに雄一が現れ勝沼たちを追い返した。別れを決意した4人の主婦たち。  ひとみは、雄一が言った言葉が気になり恐怖さえ感じるようになっていた。真由子は、賢治に子供がいないからハブられたと自分の寂しさを遠まわしに言う。そこに、隼人から告白の電話が…。  そして、貴子は家族3人で食卓を囲み、久しぶりに和やかな雰囲気を満喫していた。ところが・・・・鈴木京香　長谷川京子　吹石一恵　桃井かおり   沢村一樹　光石　研　遠藤憲一　石原良純  滝沢沙織  小浜正寛  荒井　萌  平野心暖 "&amp;" 松本春姫   植田浩望　細田よしひこ　加藤虎ノ介   戸田菜穂「LOVE～winter song～」　福原美穂  （ソニー・ミュージックレコーズ）井上由美子生野慈朗  高成麻畝子  山本剛義生野慈朗  (他)TBSテレビ  http://www.tbs.co.jp/scandal2008/")</f>
        <v>「妻の涙、母の涙」哲夫が理佐子を匿っていたことが分かり、たまきの元へ勝沼がやってきた。息子の部屋に入ろうとする勝沼を、必死に止めるたまきの様子は尋常ではなかった。心配する貴子たちに「ずーと部屋には誰もいない」と告白したたまき。勝沼の気遣いで貴子たちを帰らせるが、その時たまきは、もう二度と会わないし電話もしないで欲しいと貴子たちを突き放した。  そして帰り道、ひとみ、真由子も貴子に別れを言う。もう少しで、理佐子を探すことが出来そうなときに、手を引いてしまうなんて…やっと何でも話し合える友達になったと思っていた貴子は納得できなかった。  その夜、貴子が帰宅すると咲希が体調を崩し寝込んでいた。両親がケンカばかりしていたこと、貴子は浮気しているのではと、咲希はいろいろ心配していたのだ。久しぶりに自分を心配してくれる貴子に触れ、咲希の心は癒され、母を思う素直な子供に戻っていた。翌朝、たまきは勝沼に呼ばれ警察にいた。駿介の部屋から血痕のついたナイフが見つかり、取調べを受けていたのだ。そのナイフには、理佐子の指紋が…!?  このことから勝沼は、8年前の傷害事件のこと、理佐子との関係について調べるため財務省を訪れていた。金沢に会い質問をぶつけていると、そこに雄一が現れ勝沼たちを追い返した。別れを決意した4人の主婦たち。  ひとみは、雄一が言った言葉が気になり恐怖さえ感じるようになっていた。真由子は、賢治に子供がいないからハブられたと自分の寂しさを遠まわしに言う。そこに、隼人から告白の電話が…。  そして、貴子は家族3人で食卓を囲み、久しぶりに和やかな雰囲気を満喫していた。ところが・・・・鈴木京香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v>
      </c>
      <c r="N6033" s="2"/>
      <c r="O6033" s="2"/>
      <c r="P6033" s="1"/>
      <c r="Q6033" s="1"/>
      <c r="R6033" s="1"/>
      <c r="S6033" s="1"/>
      <c r="T6033" s="1"/>
      <c r="U6033" s="1"/>
      <c r="V6033" s="1"/>
      <c r="W6033" s="1"/>
      <c r="X6033" s="1"/>
      <c r="Y6033" s="1"/>
      <c r="Z6033" s="1"/>
      <c r="AA6033" s="1"/>
      <c r="AB6033" s="1"/>
      <c r="AC6033" s="1"/>
      <c r="AD6033" s="1"/>
      <c r="AE6033" s="1"/>
      <c r="AF6033" s="1"/>
      <c r="AG6033" s="1"/>
      <c r="AH6033" s="1"/>
      <c r="AI6033" s="1"/>
      <c r="AJ6033" s="1"/>
      <c r="AK6033" s="1"/>
      <c r="AL6033" s="1"/>
      <c r="AM6033" s="1"/>
      <c r="AN6033" s="1"/>
      <c r="AO6033" s="1"/>
      <c r="AP6033" s="1"/>
      <c r="AQ6033" s="1"/>
      <c r="AR6033" s="1"/>
      <c r="AS6033" s="1"/>
      <c r="AT6033" s="1"/>
      <c r="AU6033" s="1"/>
      <c r="AV6033" s="1"/>
      <c r="AW6033" s="1"/>
      <c r="AX6033" s="1"/>
      <c r="AY6033" s="1"/>
      <c r="AZ6033" s="1"/>
      <c r="BA6033" s="1"/>
      <c r="BB6033" s="1"/>
    </row>
    <row r="6034" ht="204.75" customHeight="1">
      <c r="A6034" s="1">
        <v>5641.0</v>
      </c>
      <c r="B6034" s="2" t="s">
        <v>16134</v>
      </c>
      <c r="C6034" s="2">
        <f>IFERROR(__xludf.DUMMYFUNCTION("split(B6034,""_"")"),810.0)</f>
        <v>810</v>
      </c>
      <c r="D6034" s="2" t="str">
        <f>IFERROR(__xludf.DUMMYFUNCTION("""COMPUTED_VALUE"""),"TBS")</f>
        <v>TBS</v>
      </c>
      <c r="E6034" s="2" t="str">
        <f>IFERROR(__xludf.DUMMYFUNCTION("""COMPUTED_VALUE"""),"日21")</f>
        <v>日21</v>
      </c>
      <c r="F6034" s="2" t="s">
        <v>16135</v>
      </c>
      <c r="G6034" s="2" t="s">
        <v>16136</v>
      </c>
      <c r="H6034" s="1">
        <v>9.0</v>
      </c>
      <c r="J6034" s="1" t="s">
        <v>11</v>
      </c>
      <c r="K6034" s="2" t="s">
        <v>16145</v>
      </c>
      <c r="L6034" s="2"/>
      <c r="M6034" s="2" t="str">
        <f>IFERROR(__xludf.DUMMYFUNCTION("split(split(K6034,""【"",false),""公式LINE"",false)"),"「妻が夫を捨てる日」予告動画 哲夫（石原良純）から、理佐子（戸田菜穂）からの手紙を受け取った貴子（鈴木京香）たち。だが、哲夫からも理佐子は逃げてしまい、居場所が分からなくなってしまった。  手がかりは「真実を知りたければ、日曜日に結婚式を挙げた教会に来て」という、理佐子から手紙だけ。事件のナゾ解きをする貴子たちだが、つじつまが合わないことばかり…警察に知らせたほうがいいというみんなに貴子は、何があったのか本人に会って聞くしかない、日曜まで警察に知らせるのは待って欲しいと頼む。  一方、勝沼（小日向文世）は"&amp;"、たまき（桃井かおり）の家から凶器と見られるナイフを発見したことから、再捜査のための会議をしていた。  財務省の金沢（春田純一）と雄一（光石研）が何らかのかかわりがある事、8年前の傷害事件に関しての事など、明らかになってきた事を報告した。貴子と秀典（沢村一樹）、ひとみ（長谷川京子）と雄一、真由子（吹石一恵）と賢治（遠藤憲一）、たまきと哲夫…4組の夫婦が、それぞれ解決しなければならない事に直面する。そして、ひとみ・真由子には新しい愛が!鈴木京香　長谷川京子　吹石一恵　桃井かおり   沢村一樹　光石　研　遠藤"&amp;"憲一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f>
        <v>「妻が夫を捨てる日」予告動画 哲夫（石原良純）から、理佐子（戸田菜穂）からの手紙を受け取った貴子（鈴木京香）たち。だが、哲夫からも理佐子は逃げてしまい、居場所が分からなくなってしまった。  手がかりは「真実を知りたければ、日曜日に結婚式を挙げた教会に来て」という、理佐子から手紙だけ。事件のナゾ解きをする貴子たちだが、つじつまが合わないことばかり…警察に知らせたほうがいいというみんなに貴子は、何があったのか本人に会って聞くしかない、日曜まで警察に知らせるのは待って欲しいと頼む。  一方、勝沼（小日向文世）は、たまき（桃井かおり）の家から凶器と見られるナイフを発見したことから、再捜査のための会議をしていた。  財務省の金沢（春田純一）と雄一（光石研）が何らかのかかわりがある事、8年前の傷害事件に関しての事など、明らかになってきた事を報告した。貴子と秀典（沢村一樹）、ひとみ（長谷川京子）と雄一、真由子（吹石一恵）と賢治（遠藤憲一）、たまきと哲夫…4組の夫婦が、それぞれ解決しなければならない事に直面する。そして、ひとみ・真由子には新しい愛が!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v>
      </c>
      <c r="N6034" s="2"/>
      <c r="O6034" s="2"/>
      <c r="P6034" s="1"/>
      <c r="Q6034" s="1"/>
      <c r="R6034" s="1"/>
      <c r="S6034" s="1"/>
      <c r="T6034" s="1"/>
      <c r="U6034" s="1"/>
      <c r="V6034" s="1"/>
      <c r="W6034" s="1"/>
      <c r="X6034" s="1"/>
      <c r="Y6034" s="1"/>
      <c r="Z6034" s="1"/>
      <c r="AA6034" s="1"/>
      <c r="AB6034" s="1"/>
      <c r="AC6034" s="1"/>
      <c r="AD6034" s="1"/>
      <c r="AE6034" s="1"/>
      <c r="AF6034" s="1"/>
      <c r="AG6034" s="1"/>
      <c r="AH6034" s="1"/>
      <c r="AI6034" s="1"/>
      <c r="AJ6034" s="1"/>
      <c r="AK6034" s="1"/>
      <c r="AL6034" s="1"/>
      <c r="AM6034" s="1"/>
      <c r="AN6034" s="1"/>
      <c r="AO6034" s="1"/>
      <c r="AP6034" s="1"/>
      <c r="AQ6034" s="1"/>
      <c r="AR6034" s="1"/>
      <c r="AS6034" s="1"/>
      <c r="AT6034" s="1"/>
      <c r="AU6034" s="1"/>
      <c r="AV6034" s="1"/>
      <c r="AW6034" s="1"/>
      <c r="AX6034" s="1"/>
      <c r="AY6034" s="1"/>
      <c r="AZ6034" s="1"/>
      <c r="BA6034" s="1"/>
      <c r="BB6034" s="1"/>
    </row>
    <row r="6035" ht="204.75" customHeight="1">
      <c r="A6035" s="1">
        <v>5642.0</v>
      </c>
      <c r="B6035" s="2" t="s">
        <v>16134</v>
      </c>
      <c r="C6035" s="2">
        <f>IFERROR(__xludf.DUMMYFUNCTION("split(B6035,""_"")"),810.0)</f>
        <v>810</v>
      </c>
      <c r="D6035" s="2" t="str">
        <f>IFERROR(__xludf.DUMMYFUNCTION("""COMPUTED_VALUE"""),"TBS")</f>
        <v>TBS</v>
      </c>
      <c r="E6035" s="2" t="str">
        <f>IFERROR(__xludf.DUMMYFUNCTION("""COMPUTED_VALUE"""),"日21")</f>
        <v>日21</v>
      </c>
      <c r="F6035" s="2" t="s">
        <v>16135</v>
      </c>
      <c r="G6035" s="2" t="s">
        <v>16136</v>
      </c>
      <c r="H6035" s="1">
        <v>10.0</v>
      </c>
      <c r="J6035" s="1" t="s">
        <v>11</v>
      </c>
      <c r="K6035" s="2" t="s">
        <v>16146</v>
      </c>
      <c r="L6035" s="2"/>
      <c r="M6035" s="2" t="str">
        <f>IFERROR(__xludf.DUMMYFUNCTION("split(split(K6035,""【"",false),""公式LINE"",false)"),"「友よ!大切な人よ」教会で、理佐子（戸田菜穂）と再会出来た貴子（鈴木京香）・真由子（吹石一恵）・たまき（桃井かおり）。  今まで理佐子がみんなのことをどのように思ってきたか、結婚式に何故みんなを招待したのか、理佐子から真相が語られ貴子たちは驚きを隠せなかった。  そこへ、夫・雄一からすべてを聞き出したひとみ（長谷川京子）が駆けつけ、理佐子がこんなことになったのは夫のせいだったと詫びる。理佐子は、今まで歩んできた自分の生い立ち、久木田（加藤虎ノ介）との出会い、殺人を計画したことなどすべてを語った。  そして"&amp;"、貴子たちは、改めて理佐子の純粋な愛情を知ることに…。  だが、その5人の前に、勝沼（小日向文世）率いる捜査員が踏み込んできた。傷害容疑で理佐子に、犯人隠避の容疑で貴子たち4人に逮捕状が出ていたのだった。  警察に連行され、留置されてしまった貴子たちは…。鈴木京香　長谷川京子　吹石一恵　桃井かおり   沢村一樹　光石　研　遠藤憲一　石原良純  滝沢沙織  小浜正寛  荒井　萌  平野心暖  松本春姫   植田浩望　細田よしひこ　加藤虎ノ介   戸田菜穂「LOVE～winter song～」　福原美穂  （"&amp;"ソニー・ミュージックレコーズ）井上由美子生野慈朗  高成麻畝子  山本剛義生野慈朗  (他)TBSテレビ  http://www.tbs.co.jp/scandal2008/")</f>
        <v>「友よ!大切な人よ」教会で、理佐子（戸田菜穂）と再会出来た貴子（鈴木京香）・真由子（吹石一恵）・たまき（桃井かおり）。  今まで理佐子がみんなのことをどのように思ってきたか、結婚式に何故みんなを招待したのか、理佐子から真相が語られ貴子たちは驚きを隠せなかった。  そこへ、夫・雄一からすべてを聞き出したひとみ（長谷川京子）が駆けつけ、理佐子がこんなことになったのは夫のせいだったと詫びる。理佐子は、今まで歩んできた自分の生い立ち、久木田（加藤虎ノ介）との出会い、殺人を計画したことなどすべてを語った。  そして、貴子たちは、改めて理佐子の純粋な愛情を知ることに…。  だが、その5人の前に、勝沼（小日向文世）率いる捜査員が踏み込んできた。傷害容疑で理佐子に、犯人隠避の容疑で貴子たち4人に逮捕状が出ていたのだった。  警察に連行され、留置されてしまった貴子たちは…。鈴木京香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v>
      </c>
      <c r="N6035" s="2"/>
      <c r="O6035" s="2"/>
      <c r="P6035" s="1"/>
      <c r="Q6035" s="1"/>
      <c r="R6035" s="1"/>
      <c r="S6035" s="1"/>
      <c r="T6035" s="1"/>
      <c r="U6035" s="1"/>
      <c r="V6035" s="1"/>
      <c r="W6035" s="1"/>
      <c r="X6035" s="1"/>
      <c r="Y6035" s="1"/>
      <c r="Z6035" s="1"/>
      <c r="AA6035" s="1"/>
      <c r="AB6035" s="1"/>
      <c r="AC6035" s="1"/>
      <c r="AD6035" s="1"/>
      <c r="AE6035" s="1"/>
      <c r="AF6035" s="1"/>
      <c r="AG6035" s="1"/>
      <c r="AH6035" s="1"/>
      <c r="AI6035" s="1"/>
      <c r="AJ6035" s="1"/>
      <c r="AK6035" s="1"/>
      <c r="AL6035" s="1"/>
      <c r="AM6035" s="1"/>
      <c r="AN6035" s="1"/>
      <c r="AO6035" s="1"/>
      <c r="AP6035" s="1"/>
      <c r="AQ6035" s="1"/>
      <c r="AR6035" s="1"/>
      <c r="AS6035" s="1"/>
      <c r="AT6035" s="1"/>
      <c r="AU6035" s="1"/>
      <c r="AV6035" s="1"/>
      <c r="AW6035" s="1"/>
      <c r="AX6035" s="1"/>
      <c r="AY6035" s="1"/>
      <c r="AZ6035" s="1"/>
      <c r="BA6035" s="1"/>
      <c r="BB6035" s="1"/>
    </row>
    <row r="6036" ht="204.75" customHeight="1">
      <c r="A6036" s="1">
        <v>5703.0</v>
      </c>
      <c r="B6036" s="2" t="s">
        <v>16147</v>
      </c>
      <c r="C6036" s="2">
        <f>IFERROR(__xludf.DUMMYFUNCTION("split(B6036,""_"")"),807.0)</f>
        <v>807</v>
      </c>
      <c r="D6036" s="2" t="str">
        <f>IFERROR(__xludf.DUMMYFUNCTION("""COMPUTED_VALUE"""),"TBS")</f>
        <v>TBS</v>
      </c>
      <c r="E6036" s="2" t="str">
        <f>IFERROR(__xludf.DUMMYFUNCTION("""COMPUTED_VALUE"""),"金22")</f>
        <v>金22</v>
      </c>
      <c r="F6036" s="2" t="s">
        <v>16148</v>
      </c>
      <c r="G6036" s="2" t="s">
        <v>16149</v>
      </c>
      <c r="H6036" s="1">
        <v>1.0</v>
      </c>
      <c r="J6036" s="1" t="s">
        <v>82</v>
      </c>
      <c r="K6036" s="2" t="s">
        <v>16150</v>
      </c>
      <c r="L6036" s="2"/>
      <c r="M6036" s="2" t="str">
        <f>IFERROR(__xludf.DUMMYFUNCTION("split(split(K6036,""【"",false),""公式LINE"",false)"),"「愛を捨てた復讐鬼－哀しき魔王」それは差出人不明の一枚のタロットカ―ドから始まった…。対峙する二人の男。一人は悪の限りをつくした過去への贖罪の為、正義の為に生きてきた。一人は心優しい少年期の記憶を捨て、復讐の鬼と化していた…　神が与えた運命は“愛”と引き換えの“復讐”。同じ過去、痛みを共有する者たちの再会が運命の歯車を回し始める…。大野智　生田斗真　小林涼子　田中圭　忍成修吾　脇知弘　上原美佐　吉瀬美智子　劇団ひとり　三宅裕司　石坂浩二　(他)前川洋一加藤　新高橋　正尚  ")</f>
        <v>「愛を捨てた復讐鬼－哀しき魔王」それは差出人不明の一枚のタロットカ―ドから始まった…。対峙する二人の男。一人は悪の限りをつくした過去への贖罪の為、正義の為に生きてきた。一人は心優しい少年期の記憶を捨て、復讐の鬼と化していた…　神が与えた運命は“愛”と引き換えの“復讐”。同じ過去、痛みを共有する者たちの再会が運命の歯車を回し始める…。大野智　生田斗真　小林涼子　田中圭　忍成修吾　脇知弘　上原美佐　吉瀬美智子　劇団ひとり　三宅裕司　石坂浩二　(他)前川洋一加藤　新高橋　正尚  </v>
      </c>
      <c r="N6036" s="2"/>
      <c r="O6036" s="2"/>
      <c r="P6036" s="1"/>
      <c r="Q6036" s="1"/>
      <c r="R6036" s="1"/>
      <c r="S6036" s="1"/>
      <c r="T6036" s="1"/>
      <c r="U6036" s="1"/>
      <c r="V6036" s="1"/>
      <c r="W6036" s="1"/>
      <c r="X6036" s="1"/>
      <c r="Y6036" s="1"/>
      <c r="Z6036" s="1"/>
      <c r="AA6036" s="1"/>
      <c r="AB6036" s="1"/>
      <c r="AC6036" s="1"/>
      <c r="AD6036" s="1"/>
      <c r="AE6036" s="1"/>
      <c r="AF6036" s="1"/>
      <c r="AG6036" s="1"/>
      <c r="AH6036" s="1"/>
      <c r="AI6036" s="1"/>
      <c r="AJ6036" s="1"/>
      <c r="AK6036" s="1"/>
      <c r="AL6036" s="1"/>
      <c r="AM6036" s="1"/>
      <c r="AN6036" s="1"/>
      <c r="AO6036" s="1"/>
      <c r="AP6036" s="1"/>
      <c r="AQ6036" s="1"/>
      <c r="AR6036" s="1"/>
      <c r="AS6036" s="1"/>
      <c r="AT6036" s="1"/>
      <c r="AU6036" s="1"/>
      <c r="AV6036" s="1"/>
      <c r="AW6036" s="1"/>
      <c r="AX6036" s="1"/>
      <c r="AY6036" s="1"/>
      <c r="AZ6036" s="1"/>
      <c r="BA6036" s="1"/>
      <c r="BB6036" s="1"/>
    </row>
    <row r="6037" ht="204.75" customHeight="1">
      <c r="A6037" s="1">
        <v>5704.0</v>
      </c>
      <c r="B6037" s="2" t="s">
        <v>16147</v>
      </c>
      <c r="C6037" s="2">
        <f>IFERROR(__xludf.DUMMYFUNCTION("split(B6037,""_"")"),807.0)</f>
        <v>807</v>
      </c>
      <c r="D6037" s="2" t="str">
        <f>IFERROR(__xludf.DUMMYFUNCTION("""COMPUTED_VALUE"""),"TBS")</f>
        <v>TBS</v>
      </c>
      <c r="E6037" s="2" t="str">
        <f>IFERROR(__xludf.DUMMYFUNCTION("""COMPUTED_VALUE"""),"金22")</f>
        <v>金22</v>
      </c>
      <c r="F6037" s="2" t="s">
        <v>16148</v>
      </c>
      <c r="G6037" s="2" t="s">
        <v>16149</v>
      </c>
      <c r="H6037" s="1">
        <v>2.0</v>
      </c>
      <c r="J6037" s="1" t="s">
        <v>86</v>
      </c>
      <c r="K6037" s="2" t="s">
        <v>16151</v>
      </c>
      <c r="L6037" s="2"/>
      <c r="M6037" s="2" t="str">
        <f>IFERROR(__xludf.DUMMYFUNCTION("split(split(K6037,""【"",false),""公式LINE"",false)"),"「裏切りの罠…引き裂かれた親子!!」  熊田の通夜の席で直人の前に現れる領。その後、再会した直人、葛西、宗田、石本の4人。久しぶりの顔合わせに喜び合う4人だったが、またもやそこに領が姿を見せる。そして、次のタ―ゲットへの復讐が始まる…。大野智　生田斗真　小林涼子　田中圭　忍成修吾　脇知弘　上原美佐　吉瀬美智子　きたろう　奥貫薫　劇団ひとり　三宅裕司　石坂浩二　(他)前川洋一加藤　新高橋　正尚  ")</f>
        <v>「裏切りの罠…引き裂かれた親子!!」  熊田の通夜の席で直人の前に現れる領。その後、再会した直人、葛西、宗田、石本の4人。久しぶりの顔合わせに喜び合う4人だったが、またもやそこに領が姿を見せる。そして、次のタ―ゲットへの復讐が始まる…。大野智　生田斗真　小林涼子　田中圭　忍成修吾　脇知弘　上原美佐　吉瀬美智子　きたろう　奥貫薫　劇団ひとり　三宅裕司　石坂浩二　(他)前川洋一加藤　新高橋　正尚  </v>
      </c>
      <c r="N6037" s="2"/>
      <c r="O6037" s="2"/>
      <c r="P6037" s="1"/>
      <c r="Q6037" s="1"/>
      <c r="R6037" s="1"/>
      <c r="S6037" s="1"/>
      <c r="T6037" s="1"/>
      <c r="U6037" s="1"/>
      <c r="V6037" s="1"/>
      <c r="W6037" s="1"/>
      <c r="X6037" s="1"/>
      <c r="Y6037" s="1"/>
      <c r="Z6037" s="1"/>
      <c r="AA6037" s="1"/>
      <c r="AB6037" s="1"/>
      <c r="AC6037" s="1"/>
      <c r="AD6037" s="1"/>
      <c r="AE6037" s="1"/>
      <c r="AF6037" s="1"/>
      <c r="AG6037" s="1"/>
      <c r="AH6037" s="1"/>
      <c r="AI6037" s="1"/>
      <c r="AJ6037" s="1"/>
      <c r="AK6037" s="1"/>
      <c r="AL6037" s="1"/>
      <c r="AM6037" s="1"/>
      <c r="AN6037" s="1"/>
      <c r="AO6037" s="1"/>
      <c r="AP6037" s="1"/>
      <c r="AQ6037" s="1"/>
      <c r="AR6037" s="1"/>
      <c r="AS6037" s="1"/>
      <c r="AT6037" s="1"/>
      <c r="AU6037" s="1"/>
      <c r="AV6037" s="1"/>
      <c r="AW6037" s="1"/>
      <c r="AX6037" s="1"/>
      <c r="AY6037" s="1"/>
      <c r="AZ6037" s="1"/>
      <c r="BA6037" s="1"/>
      <c r="BB6037" s="1"/>
    </row>
    <row r="6038" ht="204.75" customHeight="1">
      <c r="A6038" s="1">
        <v>5705.0</v>
      </c>
      <c r="B6038" s="2" t="s">
        <v>16147</v>
      </c>
      <c r="C6038" s="2">
        <f>IFERROR(__xludf.DUMMYFUNCTION("split(B6038,""_"")"),807.0)</f>
        <v>807</v>
      </c>
      <c r="D6038" s="2" t="str">
        <f>IFERROR(__xludf.DUMMYFUNCTION("""COMPUTED_VALUE"""),"TBS")</f>
        <v>TBS</v>
      </c>
      <c r="E6038" s="2" t="str">
        <f>IFERROR(__xludf.DUMMYFUNCTION("""COMPUTED_VALUE"""),"金22")</f>
        <v>金22</v>
      </c>
      <c r="F6038" s="2" t="s">
        <v>16148</v>
      </c>
      <c r="G6038" s="2" t="s">
        <v>16149</v>
      </c>
      <c r="H6038" s="1">
        <v>3.0</v>
      </c>
      <c r="J6038" s="1" t="s">
        <v>86</v>
      </c>
      <c r="K6038" s="2" t="s">
        <v>16152</v>
      </c>
      <c r="L6038" s="2"/>
      <c r="M6038" s="2" t="str">
        <f>IFERROR(__xludf.DUMMYFUNCTION("split(split(K6038,""【"",false),""公式LINE"",false)"),"「暴かれる素顔　愛とひきかえの復讐」石本の死が殺害されたものだと確信する直人。守れなかった自分を責めながら犯人に近づこうとする。一方、領は事件の鍵を握る多恵（奥貫薫）に急接近する。やがて直人は多恵に自白させようとするが、領がだした答は…大野智　生田斗真　小林涼子　田中圭　忍成修吾　脇知弘　上原美佐　吉瀬美智子　奥貫薫　劇団ひとり　三宅裕司　石坂浩二　(他)前川洋一坪井　敏雄高橋　正尚  ")</f>
        <v>「暴かれる素顔　愛とひきかえの復讐」石本の死が殺害されたものだと確信する直人。守れなかった自分を責めながら犯人に近づこうとする。一方、領は事件の鍵を握る多恵（奥貫薫）に急接近する。やがて直人は多恵に自白させようとするが、領がだした答は…大野智　生田斗真　小林涼子　田中圭　忍成修吾　脇知弘　上原美佐　吉瀬美智子　奥貫薫　劇団ひとり　三宅裕司　石坂浩二　(他)前川洋一坪井　敏雄高橋　正尚  </v>
      </c>
      <c r="N6038" s="2"/>
      <c r="O6038" s="2"/>
      <c r="P6038" s="1"/>
      <c r="Q6038" s="1"/>
      <c r="R6038" s="1"/>
      <c r="S6038" s="1"/>
      <c r="T6038" s="1"/>
      <c r="U6038" s="1"/>
      <c r="V6038" s="1"/>
      <c r="W6038" s="1"/>
      <c r="X6038" s="1"/>
      <c r="Y6038" s="1"/>
      <c r="Z6038" s="1"/>
      <c r="AA6038" s="1"/>
      <c r="AB6038" s="1"/>
      <c r="AC6038" s="1"/>
      <c r="AD6038" s="1"/>
      <c r="AE6038" s="1"/>
      <c r="AF6038" s="1"/>
      <c r="AG6038" s="1"/>
      <c r="AH6038" s="1"/>
      <c r="AI6038" s="1"/>
      <c r="AJ6038" s="1"/>
      <c r="AK6038" s="1"/>
      <c r="AL6038" s="1"/>
      <c r="AM6038" s="1"/>
      <c r="AN6038" s="1"/>
      <c r="AO6038" s="1"/>
      <c r="AP6038" s="1"/>
      <c r="AQ6038" s="1"/>
      <c r="AR6038" s="1"/>
      <c r="AS6038" s="1"/>
      <c r="AT6038" s="1"/>
      <c r="AU6038" s="1"/>
      <c r="AV6038" s="1"/>
      <c r="AW6038" s="1"/>
      <c r="AX6038" s="1"/>
      <c r="AY6038" s="1"/>
      <c r="AZ6038" s="1"/>
      <c r="BA6038" s="1"/>
      <c r="BB6038" s="1"/>
    </row>
    <row r="6039" ht="204.75" customHeight="1">
      <c r="A6039" s="1">
        <v>5706.0</v>
      </c>
      <c r="B6039" s="2" t="s">
        <v>16147</v>
      </c>
      <c r="C6039" s="2">
        <f>IFERROR(__xludf.DUMMYFUNCTION("split(B6039,""_"")"),807.0)</f>
        <v>807</v>
      </c>
      <c r="D6039" s="2" t="str">
        <f>IFERROR(__xludf.DUMMYFUNCTION("""COMPUTED_VALUE"""),"TBS")</f>
        <v>TBS</v>
      </c>
      <c r="E6039" s="2" t="str">
        <f>IFERROR(__xludf.DUMMYFUNCTION("""COMPUTED_VALUE"""),"金22")</f>
        <v>金22</v>
      </c>
      <c r="F6039" s="2" t="s">
        <v>16148</v>
      </c>
      <c r="G6039" s="2" t="s">
        <v>16149</v>
      </c>
      <c r="H6039" s="1">
        <v>4.0</v>
      </c>
      <c r="J6039" s="1" t="s">
        <v>86</v>
      </c>
      <c r="K6039" s="2" t="s">
        <v>16153</v>
      </c>
      <c r="L6039" s="2"/>
      <c r="M6039" s="2" t="str">
        <f>IFERROR(__xludf.DUMMYFUNCTION("split(split(K6039,""【"",false),""公式LINE"",false)"),"「狙われた魔王　地獄の門は開かれた」自分の消せない過去と石本の死を真に受けて、意気消沈する直人。一方、家族の墓に出向き、改めて復讐の決意を固めた領。その前に池畑と名乗る記者が現れる。「あなた悪魔じゃないですか…」と告げる池畑に領は動揺する。大野智　生田斗真　小林涼子　田中圭　忍成修吾　脇知弘　上原美佐　吉瀬美智子　奥貫薫　優香　六平直政　劇団ひとり　三宅裕司　石坂浩二　(他)西田　征史坪井　敏雄  高橋　正尚  ")</f>
        <v>「狙われた魔王　地獄の門は開かれた」自分の消せない過去と石本の死を真に受けて、意気消沈する直人。一方、家族の墓に出向き、改めて復讐の決意を固めた領。その前に池畑と名乗る記者が現れる。「あなた悪魔じゃないですか…」と告げる池畑に領は動揺する。大野智　生田斗真　小林涼子　田中圭　忍成修吾　脇知弘　上原美佐　吉瀬美智子　奥貫薫　優香　六平直政　劇団ひとり　三宅裕司　石坂浩二　(他)西田　征史坪井　敏雄  高橋　正尚  </v>
      </c>
      <c r="N6039" s="2"/>
      <c r="O6039" s="2"/>
      <c r="P6039" s="1"/>
      <c r="Q6039" s="1"/>
      <c r="R6039" s="1"/>
      <c r="S6039" s="1"/>
      <c r="T6039" s="1"/>
      <c r="U6039" s="1"/>
      <c r="V6039" s="1"/>
      <c r="W6039" s="1"/>
      <c r="X6039" s="1"/>
      <c r="Y6039" s="1"/>
      <c r="Z6039" s="1"/>
      <c r="AA6039" s="1"/>
      <c r="AB6039" s="1"/>
      <c r="AC6039" s="1"/>
      <c r="AD6039" s="1"/>
      <c r="AE6039" s="1"/>
      <c r="AF6039" s="1"/>
      <c r="AG6039" s="1"/>
      <c r="AH6039" s="1"/>
      <c r="AI6039" s="1"/>
      <c r="AJ6039" s="1"/>
      <c r="AK6039" s="1"/>
      <c r="AL6039" s="1"/>
      <c r="AM6039" s="1"/>
      <c r="AN6039" s="1"/>
      <c r="AO6039" s="1"/>
      <c r="AP6039" s="1"/>
      <c r="AQ6039" s="1"/>
      <c r="AR6039" s="1"/>
      <c r="AS6039" s="1"/>
      <c r="AT6039" s="1"/>
      <c r="AU6039" s="1"/>
      <c r="AV6039" s="1"/>
      <c r="AW6039" s="1"/>
      <c r="AX6039" s="1"/>
      <c r="AY6039" s="1"/>
      <c r="AZ6039" s="1"/>
      <c r="BA6039" s="1"/>
      <c r="BB6039" s="1"/>
    </row>
    <row r="6040" ht="204.75" customHeight="1">
      <c r="A6040" s="1">
        <v>5707.0</v>
      </c>
      <c r="B6040" s="2" t="s">
        <v>16147</v>
      </c>
      <c r="C6040" s="2">
        <f>IFERROR(__xludf.DUMMYFUNCTION("split(B6040,""_"")"),807.0)</f>
        <v>807</v>
      </c>
      <c r="D6040" s="2" t="str">
        <f>IFERROR(__xludf.DUMMYFUNCTION("""COMPUTED_VALUE"""),"TBS")</f>
        <v>TBS</v>
      </c>
      <c r="E6040" s="2" t="str">
        <f>IFERROR(__xludf.DUMMYFUNCTION("""COMPUTED_VALUE"""),"金22")</f>
        <v>金22</v>
      </c>
      <c r="F6040" s="2" t="s">
        <v>16148</v>
      </c>
      <c r="G6040" s="2" t="s">
        <v>16149</v>
      </c>
      <c r="H6040" s="1">
        <v>5.0</v>
      </c>
      <c r="J6040" s="1" t="s">
        <v>86</v>
      </c>
      <c r="K6040" s="2" t="s">
        <v>16154</v>
      </c>
      <c r="L6040" s="2"/>
      <c r="M6040" s="2" t="str">
        <f>IFERROR(__xludf.DUMMYFUNCTION("split(split(K6040,""【"",false),""公式LINE"",false)"),"「殺人予告…!?魔王に届く赤い封筒」直人宛に届いた赤い封筒。しおりのサイコメトり―によりそこから山野の姿を確認した  直人は本人の元へ。一方、重大な情報を手に入れた池畑は領の元へ。それぞれがそれぞれを追い詰めていくのだが…。大野智　生田斗真　小林涼子　田中圭　忍成修吾　脇知弘　上原美佐　吉瀬美智子　優香　六平直政　嶋田久作　劇団ひとり　三宅裕司　石坂浩二　(他)西田　征史片山　剛高橋　正尚  ")</f>
        <v>「殺人予告…!?魔王に届く赤い封筒」直人宛に届いた赤い封筒。しおりのサイコメトり―によりそこから山野の姿を確認した  直人は本人の元へ。一方、重大な情報を手に入れた池畑は領の元へ。それぞれがそれぞれを追い詰めていくのだが…。大野智　生田斗真　小林涼子　田中圭　忍成修吾　脇知弘　上原美佐　吉瀬美智子　優香　六平直政　嶋田久作　劇団ひとり　三宅裕司　石坂浩二　(他)西田　征史片山　剛高橋　正尚  </v>
      </c>
      <c r="N6040" s="2"/>
      <c r="O6040" s="2"/>
      <c r="P6040" s="1"/>
      <c r="Q6040" s="1"/>
      <c r="R6040" s="1"/>
      <c r="S6040" s="1"/>
      <c r="T6040" s="1"/>
      <c r="U6040" s="1"/>
      <c r="V6040" s="1"/>
      <c r="W6040" s="1"/>
      <c r="X6040" s="1"/>
      <c r="Y6040" s="1"/>
      <c r="Z6040" s="1"/>
      <c r="AA6040" s="1"/>
      <c r="AB6040" s="1"/>
      <c r="AC6040" s="1"/>
      <c r="AD6040" s="1"/>
      <c r="AE6040" s="1"/>
      <c r="AF6040" s="1"/>
      <c r="AG6040" s="1"/>
      <c r="AH6040" s="1"/>
      <c r="AI6040" s="1"/>
      <c r="AJ6040" s="1"/>
      <c r="AK6040" s="1"/>
      <c r="AL6040" s="1"/>
      <c r="AM6040" s="1"/>
      <c r="AN6040" s="1"/>
      <c r="AO6040" s="1"/>
      <c r="AP6040" s="1"/>
      <c r="AQ6040" s="1"/>
      <c r="AR6040" s="1"/>
      <c r="AS6040" s="1"/>
      <c r="AT6040" s="1"/>
      <c r="AU6040" s="1"/>
      <c r="AV6040" s="1"/>
      <c r="AW6040" s="1"/>
      <c r="AX6040" s="1"/>
      <c r="AY6040" s="1"/>
      <c r="AZ6040" s="1"/>
      <c r="BA6040" s="1"/>
      <c r="BB6040" s="1"/>
    </row>
    <row r="6041" ht="204.75" customHeight="1">
      <c r="A6041" s="1">
        <v>5708.0</v>
      </c>
      <c r="B6041" s="2" t="s">
        <v>16147</v>
      </c>
      <c r="C6041" s="2">
        <f>IFERROR(__xludf.DUMMYFUNCTION("split(B6041,""_"")"),807.0)</f>
        <v>807</v>
      </c>
      <c r="D6041" s="2" t="str">
        <f>IFERROR(__xludf.DUMMYFUNCTION("""COMPUTED_VALUE"""),"TBS")</f>
        <v>TBS</v>
      </c>
      <c r="E6041" s="2" t="str">
        <f>IFERROR(__xludf.DUMMYFUNCTION("""COMPUTED_VALUE"""),"金22")</f>
        <v>金22</v>
      </c>
      <c r="F6041" s="2" t="s">
        <v>16148</v>
      </c>
      <c r="G6041" s="2" t="s">
        <v>16149</v>
      </c>
      <c r="H6041" s="1">
        <v>6.0</v>
      </c>
      <c r="J6041" s="1" t="s">
        <v>86</v>
      </c>
      <c r="K6041" s="2" t="s">
        <v>16155</v>
      </c>
      <c r="L6041" s="2"/>
      <c r="M6041" s="2" t="str">
        <f>IFERROR(__xludf.DUMMYFUNCTION("split(split(K6041,""【"",false),""公式LINE"",false)"),"「教えてやるよ…真犯人の正体を!!」  執拗に領を追いかける記者、池畑。とうとう領の秘密を握り、脅しにかかる。しかしそれに屈しない領。それならばと、池畑は姉、真紀子に忍び寄る。それを知った領は怒り、逆に池畑を追い詰めて行く。大野智　生田斗真　小林涼子　田中圭　忍成修吾　上原美佐　吉瀬美智子　優香　六平直政　嶋田久作　劇団ひとり　三宅裕司　石坂浩二　(他)西田　征史加藤　新高橋　正尚  ")</f>
        <v>「教えてやるよ…真犯人の正体を!!」  執拗に領を追いかける記者、池畑。とうとう領の秘密を握り、脅しにかかる。しかしそれに屈しない領。それならばと、池畑は姉、真紀子に忍び寄る。それを知った領は怒り、逆に池畑を追い詰めて行く。大野智　生田斗真　小林涼子　田中圭　忍成修吾　上原美佐　吉瀬美智子　優香　六平直政　嶋田久作　劇団ひとり　三宅裕司　石坂浩二　(他)西田　征史加藤　新高橋　正尚  </v>
      </c>
      <c r="N6041" s="2"/>
      <c r="O6041" s="2"/>
      <c r="P6041" s="1"/>
      <c r="Q6041" s="1"/>
      <c r="R6041" s="1"/>
      <c r="S6041" s="1"/>
      <c r="T6041" s="1"/>
      <c r="U6041" s="1"/>
      <c r="V6041" s="1"/>
      <c r="W6041" s="1"/>
      <c r="X6041" s="1"/>
      <c r="Y6041" s="1"/>
      <c r="Z6041" s="1"/>
      <c r="AA6041" s="1"/>
      <c r="AB6041" s="1"/>
      <c r="AC6041" s="1"/>
      <c r="AD6041" s="1"/>
      <c r="AE6041" s="1"/>
      <c r="AF6041" s="1"/>
      <c r="AG6041" s="1"/>
      <c r="AH6041" s="1"/>
      <c r="AI6041" s="1"/>
      <c r="AJ6041" s="1"/>
      <c r="AK6041" s="1"/>
      <c r="AL6041" s="1"/>
      <c r="AM6041" s="1"/>
      <c r="AN6041" s="1"/>
      <c r="AO6041" s="1"/>
      <c r="AP6041" s="1"/>
      <c r="AQ6041" s="1"/>
      <c r="AR6041" s="1"/>
      <c r="AS6041" s="1"/>
      <c r="AT6041" s="1"/>
      <c r="AU6041" s="1"/>
      <c r="AV6041" s="1"/>
      <c r="AW6041" s="1"/>
      <c r="AX6041" s="1"/>
      <c r="AY6041" s="1"/>
      <c r="AZ6041" s="1"/>
      <c r="BA6041" s="1"/>
      <c r="BB6041" s="1"/>
    </row>
    <row r="6042" ht="204.75" customHeight="1">
      <c r="A6042" s="1">
        <v>5709.0</v>
      </c>
      <c r="B6042" s="2" t="s">
        <v>16147</v>
      </c>
      <c r="C6042" s="2">
        <f>IFERROR(__xludf.DUMMYFUNCTION("split(B6042,""_"")"),807.0)</f>
        <v>807</v>
      </c>
      <c r="D6042" s="2" t="str">
        <f>IFERROR(__xludf.DUMMYFUNCTION("""COMPUTED_VALUE"""),"TBS")</f>
        <v>TBS</v>
      </c>
      <c r="E6042" s="2" t="str">
        <f>IFERROR(__xludf.DUMMYFUNCTION("""COMPUTED_VALUE"""),"金22")</f>
        <v>金22</v>
      </c>
      <c r="F6042" s="2" t="s">
        <v>16148</v>
      </c>
      <c r="G6042" s="2" t="s">
        <v>16149</v>
      </c>
      <c r="H6042" s="1">
        <v>7.0</v>
      </c>
      <c r="J6042" s="1" t="s">
        <v>86</v>
      </c>
      <c r="K6042" s="2" t="s">
        <v>16156</v>
      </c>
      <c r="L6042" s="2"/>
      <c r="M6042" s="2" t="str">
        <f>IFERROR(__xludf.DUMMYFUNCTION("split(split(K6042,""【"",false),""公式LINE"",false)"),"偽りの姉弟…優しい嘘が死を招く池畑が生前持っていた領の秘密が吹き込まれたCD-Rが真紀子の元へ。領に直接会ってその事を切り出そうとした時、現れたのは直人だった。動揺する領。絶体絶命の中、真紀子はCD-Rの再生ボタンを押してしまう。大野智　生田斗真　小林涼子　田中圭　忍成修吾　上原美佐　吉瀬美智子　優香　六平直政　嶋田久作　劇団ひとり　三宅裕司　石坂浩二　(他)西田　征史坪井　敏雄高橋　正尚  ")</f>
        <v>偽りの姉弟…優しい嘘が死を招く池畑が生前持っていた領の秘密が吹き込まれたCD-Rが真紀子の元へ。領に直接会ってその事を切り出そうとした時、現れたのは直人だった。動揺する領。絶体絶命の中、真紀子はCD-Rの再生ボタンを押してしまう。大野智　生田斗真　小林涼子　田中圭　忍成修吾　上原美佐　吉瀬美智子　優香　六平直政　嶋田久作　劇団ひとり　三宅裕司　石坂浩二　(他)西田　征史坪井　敏雄高橋　正尚  </v>
      </c>
      <c r="N6042" s="2"/>
      <c r="O6042" s="2"/>
      <c r="P6042" s="1"/>
      <c r="Q6042" s="1"/>
      <c r="R6042" s="1"/>
      <c r="S6042" s="1"/>
      <c r="T6042" s="1"/>
      <c r="U6042" s="1"/>
      <c r="V6042" s="1"/>
      <c r="W6042" s="1"/>
      <c r="X6042" s="1"/>
      <c r="Y6042" s="1"/>
      <c r="Z6042" s="1"/>
      <c r="AA6042" s="1"/>
      <c r="AB6042" s="1"/>
      <c r="AC6042" s="1"/>
      <c r="AD6042" s="1"/>
      <c r="AE6042" s="1"/>
      <c r="AF6042" s="1"/>
      <c r="AG6042" s="1"/>
      <c r="AH6042" s="1"/>
      <c r="AI6042" s="1"/>
      <c r="AJ6042" s="1"/>
      <c r="AK6042" s="1"/>
      <c r="AL6042" s="1"/>
      <c r="AM6042" s="1"/>
      <c r="AN6042" s="1"/>
      <c r="AO6042" s="1"/>
      <c r="AP6042" s="1"/>
      <c r="AQ6042" s="1"/>
      <c r="AR6042" s="1"/>
      <c r="AS6042" s="1"/>
      <c r="AT6042" s="1"/>
      <c r="AU6042" s="1"/>
      <c r="AV6042" s="1"/>
      <c r="AW6042" s="1"/>
      <c r="AX6042" s="1"/>
      <c r="AY6042" s="1"/>
      <c r="AZ6042" s="1"/>
      <c r="BA6042" s="1"/>
      <c r="BB6042" s="1"/>
    </row>
    <row r="6043" ht="204.75" customHeight="1">
      <c r="A6043" s="1">
        <v>5710.0</v>
      </c>
      <c r="B6043" s="2" t="s">
        <v>16147</v>
      </c>
      <c r="C6043" s="2">
        <f>IFERROR(__xludf.DUMMYFUNCTION("split(B6043,""_"")"),807.0)</f>
        <v>807</v>
      </c>
      <c r="D6043" s="2" t="str">
        <f>IFERROR(__xludf.DUMMYFUNCTION("""COMPUTED_VALUE"""),"TBS")</f>
        <v>TBS</v>
      </c>
      <c r="E6043" s="2" t="str">
        <f>IFERROR(__xludf.DUMMYFUNCTION("""COMPUTED_VALUE"""),"金22")</f>
        <v>金22</v>
      </c>
      <c r="F6043" s="2" t="s">
        <v>16148</v>
      </c>
      <c r="G6043" s="2" t="s">
        <v>16149</v>
      </c>
      <c r="H6043" s="1">
        <v>8.0</v>
      </c>
      <c r="J6043" s="1" t="s">
        <v>86</v>
      </c>
      <c r="K6043" s="2" t="s">
        <v>16157</v>
      </c>
      <c r="L6043" s="2"/>
      <c r="M6043" s="2" t="str">
        <f>IFERROR(__xludf.DUMMYFUNCTION("split(split(K6043,""【"",false),""公式LINE"",false)"),"「許されぬ愛の終わり…復讐、再び」しおりの事がどうしても気になる領。直人への復讐心としおりへの気持ちとの間で葛藤していく。その間に直人は徐々に真実に近づいていく。一方、不倫を盾に麻里を追い込む宗田に対し、葛西は殺意を抱いていく…。大野智　生田斗真　小林涼子　田中圭　忍成修吾　上原美佐　吉瀬美智子　榊英雄　劇団ひとり　三宅裕司　石坂浩二　(他)番組の最後にCDプレゼントの告知があります！西田　征史片山　剛  高橋　正尚  ")</f>
        <v>「許されぬ愛の終わり…復讐、再び」しおりの事がどうしても気になる領。直人への復讐心としおりへの気持ちとの間で葛藤していく。その間に直人は徐々に真実に近づいていく。一方、不倫を盾に麻里を追い込む宗田に対し、葛西は殺意を抱いていく…。大野智　生田斗真　小林涼子　田中圭　忍成修吾　上原美佐　吉瀬美智子　榊英雄　劇団ひとり　三宅裕司　石坂浩二　(他)番組の最後にCDプレゼントの告知があります！西田　征史片山　剛  高橋　正尚  </v>
      </c>
      <c r="N6043" s="2"/>
      <c r="O6043" s="2"/>
      <c r="P6043" s="1"/>
      <c r="Q6043" s="1"/>
      <c r="R6043" s="1"/>
      <c r="S6043" s="1"/>
      <c r="T6043" s="1"/>
      <c r="U6043" s="1"/>
      <c r="V6043" s="1"/>
      <c r="W6043" s="1"/>
      <c r="X6043" s="1"/>
      <c r="Y6043" s="1"/>
      <c r="Z6043" s="1"/>
      <c r="AA6043" s="1"/>
      <c r="AB6043" s="1"/>
      <c r="AC6043" s="1"/>
      <c r="AD6043" s="1"/>
      <c r="AE6043" s="1"/>
      <c r="AF6043" s="1"/>
      <c r="AG6043" s="1"/>
      <c r="AH6043" s="1"/>
      <c r="AI6043" s="1"/>
      <c r="AJ6043" s="1"/>
      <c r="AK6043" s="1"/>
      <c r="AL6043" s="1"/>
      <c r="AM6043" s="1"/>
      <c r="AN6043" s="1"/>
      <c r="AO6043" s="1"/>
      <c r="AP6043" s="1"/>
      <c r="AQ6043" s="1"/>
      <c r="AR6043" s="1"/>
      <c r="AS6043" s="1"/>
      <c r="AT6043" s="1"/>
      <c r="AU6043" s="1"/>
      <c r="AV6043" s="1"/>
      <c r="AW6043" s="1"/>
      <c r="AX6043" s="1"/>
      <c r="AY6043" s="1"/>
      <c r="AZ6043" s="1"/>
      <c r="BA6043" s="1"/>
      <c r="BB6043" s="1"/>
    </row>
    <row r="6044" ht="204.75" customHeight="1">
      <c r="A6044" s="1">
        <v>5711.0</v>
      </c>
      <c r="B6044" s="2" t="s">
        <v>16147</v>
      </c>
      <c r="C6044" s="2">
        <f>IFERROR(__xludf.DUMMYFUNCTION("split(B6044,""_"")"),807.0)</f>
        <v>807</v>
      </c>
      <c r="D6044" s="2" t="str">
        <f>IFERROR(__xludf.DUMMYFUNCTION("""COMPUTED_VALUE"""),"TBS")</f>
        <v>TBS</v>
      </c>
      <c r="E6044" s="2" t="str">
        <f>IFERROR(__xludf.DUMMYFUNCTION("""COMPUTED_VALUE"""),"金22")</f>
        <v>金22</v>
      </c>
      <c r="F6044" s="2" t="s">
        <v>16148</v>
      </c>
      <c r="G6044" s="2" t="s">
        <v>16149</v>
      </c>
      <c r="H6044" s="1">
        <v>9.0</v>
      </c>
      <c r="J6044" s="1" t="s">
        <v>86</v>
      </c>
      <c r="K6044" s="2" t="s">
        <v>16158</v>
      </c>
      <c r="L6044" s="2"/>
      <c r="M6044" s="2" t="str">
        <f>IFERROR(__xludf.DUMMYFUNCTION("split(split(K6044,""【"",false),""公式LINE"",false)"),"「真犯人は俺だ 知りすぎた男の悲劇」何者かに捕まった宗田が連れてこられたのは、とある廃ビルだった。そこに現れたのは、意外な人物だった。やがて拉致事件の犯人として葛西は直人に捕まってしまう。そこで領は葛西の弁護を名乗り出るのだった。大野智　生田斗真　小林涼子　田中圭　忍成修吾　上原美佐　吉瀬美智子　嶋田久作　榊英雄　劇団ひとり　三宅裕司　石坂浩二　(他)  西田　征史加藤　新高橋　正尚  ")</f>
        <v>「真犯人は俺だ 知りすぎた男の悲劇」何者かに捕まった宗田が連れてこられたのは、とある廃ビルだった。そこに現れたのは、意外な人物だった。やがて拉致事件の犯人として葛西は直人に捕まってしまう。そこで領は葛西の弁護を名乗り出るのだった。大野智　生田斗真　小林涼子　田中圭　忍成修吾　上原美佐　吉瀬美智子　嶋田久作　榊英雄　劇団ひとり　三宅裕司　石坂浩二　(他)  西田　征史加藤　新高橋　正尚  </v>
      </c>
      <c r="N6044" s="2"/>
      <c r="O6044" s="2"/>
      <c r="P6044" s="1"/>
      <c r="Q6044" s="1"/>
      <c r="R6044" s="1"/>
      <c r="S6044" s="1"/>
      <c r="T6044" s="1"/>
      <c r="U6044" s="1"/>
      <c r="V6044" s="1"/>
      <c r="W6044" s="1"/>
      <c r="X6044" s="1"/>
      <c r="Y6044" s="1"/>
      <c r="Z6044" s="1"/>
      <c r="AA6044" s="1"/>
      <c r="AB6044" s="1"/>
      <c r="AC6044" s="1"/>
      <c r="AD6044" s="1"/>
      <c r="AE6044" s="1"/>
      <c r="AF6044" s="1"/>
      <c r="AG6044" s="1"/>
      <c r="AH6044" s="1"/>
      <c r="AI6044" s="1"/>
      <c r="AJ6044" s="1"/>
      <c r="AK6044" s="1"/>
      <c r="AL6044" s="1"/>
      <c r="AM6044" s="1"/>
      <c r="AN6044" s="1"/>
      <c r="AO6044" s="1"/>
      <c r="AP6044" s="1"/>
      <c r="AQ6044" s="1"/>
      <c r="AR6044" s="1"/>
      <c r="AS6044" s="1"/>
      <c r="AT6044" s="1"/>
      <c r="AU6044" s="1"/>
      <c r="AV6044" s="1"/>
      <c r="AW6044" s="1"/>
      <c r="AX6044" s="1"/>
      <c r="AY6044" s="1"/>
      <c r="AZ6044" s="1"/>
      <c r="BA6044" s="1"/>
      <c r="BB6044" s="1"/>
    </row>
    <row r="6045" ht="204.75" customHeight="1">
      <c r="A6045" s="1">
        <v>5712.0</v>
      </c>
      <c r="B6045" s="2" t="s">
        <v>16147</v>
      </c>
      <c r="C6045" s="2">
        <f>IFERROR(__xludf.DUMMYFUNCTION("split(B6045,""_"")"),807.0)</f>
        <v>807</v>
      </c>
      <c r="D6045" s="2" t="str">
        <f>IFERROR(__xludf.DUMMYFUNCTION("""COMPUTED_VALUE"""),"TBS")</f>
        <v>TBS</v>
      </c>
      <c r="E6045" s="2" t="str">
        <f>IFERROR(__xludf.DUMMYFUNCTION("""COMPUTED_VALUE"""),"金22")</f>
        <v>金22</v>
      </c>
      <c r="F6045" s="2" t="s">
        <v>16148</v>
      </c>
      <c r="G6045" s="2" t="s">
        <v>16149</v>
      </c>
      <c r="H6045" s="1">
        <v>10.0</v>
      </c>
      <c r="J6045" s="1" t="s">
        <v>86</v>
      </c>
      <c r="K6045" s="2" t="s">
        <v>16159</v>
      </c>
      <c r="L6045" s="2"/>
      <c r="M6045" s="2" t="str">
        <f>IFERROR(__xludf.DUMMYFUNCTION("split(split(K6045,""【"",false),""公式LINE"",false)"),"「一族の崩壊…死のラストカ―ド!!」  宗田殺しが自分であると主張する葛西に困惑する直人、しかし真実を知る事も直人にとっては辛い事だった…。そして領もまた、栄作から11年前の事件の真実をしらされ、激しく動揺する。更にしおりに再び出会い、心が揺らいでしまう。しかしそんな思いを断ち切り、最後の復讐に向かうのだった…。大野智　生田斗真　小林涼子　田中圭　忍成修吾　脇知弘　上原美佐　吉瀬美智子　劇団ひとり　三宅裕司　石坂浩二　(他)西田　征史坪井　敏雄高橋　正尚  ")</f>
        <v>「一族の崩壊…死のラストカ―ド!!」  宗田殺しが自分であると主張する葛西に困惑する直人、しかし真実を知る事も直人にとっては辛い事だった…。そして領もまた、栄作から11年前の事件の真実をしらされ、激しく動揺する。更にしおりに再び出会い、心が揺らいでしまう。しかしそんな思いを断ち切り、最後の復讐に向かうのだった…。大野智　生田斗真　小林涼子　田中圭　忍成修吾　脇知弘　上原美佐　吉瀬美智子　劇団ひとり　三宅裕司　石坂浩二　(他)西田　征史坪井　敏雄高橋　正尚  </v>
      </c>
      <c r="N6045" s="2"/>
      <c r="O6045" s="2"/>
      <c r="P6045" s="1"/>
      <c r="Q6045" s="1"/>
      <c r="R6045" s="1"/>
      <c r="S6045" s="1"/>
      <c r="T6045" s="1"/>
      <c r="U6045" s="1"/>
      <c r="V6045" s="1"/>
      <c r="W6045" s="1"/>
      <c r="X6045" s="1"/>
      <c r="Y6045" s="1"/>
      <c r="Z6045" s="1"/>
      <c r="AA6045" s="1"/>
      <c r="AB6045" s="1"/>
      <c r="AC6045" s="1"/>
      <c r="AD6045" s="1"/>
      <c r="AE6045" s="1"/>
      <c r="AF6045" s="1"/>
      <c r="AG6045" s="1"/>
      <c r="AH6045" s="1"/>
      <c r="AI6045" s="1"/>
      <c r="AJ6045" s="1"/>
      <c r="AK6045" s="1"/>
      <c r="AL6045" s="1"/>
      <c r="AM6045" s="1"/>
      <c r="AN6045" s="1"/>
      <c r="AO6045" s="1"/>
      <c r="AP6045" s="1"/>
      <c r="AQ6045" s="1"/>
      <c r="AR6045" s="1"/>
      <c r="AS6045" s="1"/>
      <c r="AT6045" s="1"/>
      <c r="AU6045" s="1"/>
      <c r="AV6045" s="1"/>
      <c r="AW6045" s="1"/>
      <c r="AX6045" s="1"/>
      <c r="AY6045" s="1"/>
      <c r="AZ6045" s="1"/>
      <c r="BA6045" s="1"/>
      <c r="BB6045" s="1"/>
    </row>
    <row r="6046" ht="204.75" customHeight="1">
      <c r="A6046" s="1">
        <v>5713.0</v>
      </c>
      <c r="B6046" s="2" t="s">
        <v>16147</v>
      </c>
      <c r="C6046" s="2">
        <f>IFERROR(__xludf.DUMMYFUNCTION("split(B6046,""_"")"),807.0)</f>
        <v>807</v>
      </c>
      <c r="D6046" s="2" t="str">
        <f>IFERROR(__xludf.DUMMYFUNCTION("""COMPUTED_VALUE"""),"TBS")</f>
        <v>TBS</v>
      </c>
      <c r="E6046" s="2" t="str">
        <f>IFERROR(__xludf.DUMMYFUNCTION("""COMPUTED_VALUE"""),"金22")</f>
        <v>金22</v>
      </c>
      <c r="F6046" s="2" t="s">
        <v>16148</v>
      </c>
      <c r="G6046" s="2" t="s">
        <v>16149</v>
      </c>
      <c r="H6046" s="1">
        <v>11.0</v>
      </c>
      <c r="J6046" s="1" t="s">
        <v>86</v>
      </c>
      <c r="K6046" s="2" t="s">
        <v>16160</v>
      </c>
      <c r="L6046" s="2"/>
      <c r="M6046" s="2" t="str">
        <f>IFERROR(__xludf.DUMMYFUNCTION("split(split(K6046,""【"",false),""公式LINE"",false)"),"「最後の対決 死が絆を引き裂く!!」  直人の元に最後のタロットカ―ドが届く。それと同時に次々と復讐の連鎖が直人を中心に加速していく。そして……運命に導かれるかのように領、直人、しおりの三人が終焉の地に向かっていく…。大野智　生田斗真　小林涼子　田中圭　上原美佐　吉瀬美智子　劇団ひとり　三宅裕司　石坂浩二　(他)西田　征史加藤　新高橋　正尚  ")</f>
        <v>「最後の対決 死が絆を引き裂く!!」  直人の元に最後のタロットカ―ドが届く。それと同時に次々と復讐の連鎖が直人を中心に加速していく。そして……運命に導かれるかのように領、直人、しおりの三人が終焉の地に向かっていく…。大野智　生田斗真　小林涼子　田中圭　上原美佐　吉瀬美智子　劇団ひとり　三宅裕司　石坂浩二　(他)西田　征史加藤　新高橋　正尚  </v>
      </c>
      <c r="N6046" s="2"/>
      <c r="O6046" s="2"/>
      <c r="P6046" s="1"/>
      <c r="Q6046" s="1"/>
      <c r="R6046" s="1"/>
      <c r="S6046" s="1"/>
      <c r="T6046" s="1"/>
      <c r="U6046" s="1"/>
      <c r="V6046" s="1"/>
      <c r="W6046" s="1"/>
      <c r="X6046" s="1"/>
      <c r="Y6046" s="1"/>
      <c r="Z6046" s="1"/>
      <c r="AA6046" s="1"/>
      <c r="AB6046" s="1"/>
      <c r="AC6046" s="1"/>
      <c r="AD6046" s="1"/>
      <c r="AE6046" s="1"/>
      <c r="AF6046" s="1"/>
      <c r="AG6046" s="1"/>
      <c r="AH6046" s="1"/>
      <c r="AI6046" s="1"/>
      <c r="AJ6046" s="1"/>
      <c r="AK6046" s="1"/>
      <c r="AL6046" s="1"/>
      <c r="AM6046" s="1"/>
      <c r="AN6046" s="1"/>
      <c r="AO6046" s="1"/>
      <c r="AP6046" s="1"/>
      <c r="AQ6046" s="1"/>
      <c r="AR6046" s="1"/>
      <c r="AS6046" s="1"/>
      <c r="AT6046" s="1"/>
      <c r="AU6046" s="1"/>
      <c r="AV6046" s="1"/>
      <c r="AW6046" s="1"/>
      <c r="AX6046" s="1"/>
      <c r="AY6046" s="1"/>
      <c r="AZ6046" s="1"/>
      <c r="BA6046" s="1"/>
      <c r="BB6046" s="1"/>
    </row>
    <row r="6047" ht="204.75" customHeight="1">
      <c r="A6047" s="1">
        <v>5721.0</v>
      </c>
      <c r="B6047" s="2" t="s">
        <v>16161</v>
      </c>
      <c r="C6047" s="2">
        <f>IFERROR(__xludf.DUMMYFUNCTION("split(B6047,""_"")"),807.0)</f>
        <v>807</v>
      </c>
      <c r="D6047" s="2" t="str">
        <f>IFERROR(__xludf.DUMMYFUNCTION("""COMPUTED_VALUE"""),"TBS")</f>
        <v>TBS</v>
      </c>
      <c r="E6047" s="2" t="str">
        <f>IFERROR(__xludf.DUMMYFUNCTION("""COMPUTED_VALUE"""),"土20")</f>
        <v>土20</v>
      </c>
      <c r="F6047" s="2" t="s">
        <v>16162</v>
      </c>
      <c r="G6047" s="2" t="s">
        <v>16163</v>
      </c>
      <c r="H6047" s="1">
        <v>1.0</v>
      </c>
      <c r="J6047" s="1" t="s">
        <v>2809</v>
      </c>
      <c r="K6047" s="2" t="s">
        <v>16164</v>
      </c>
      <c r="L6047" s="2"/>
      <c r="M6047" s="2" t="str">
        <f>IFERROR(__xludf.DUMMYFUNCTION("split(split(K6047,""【"",false),""公式LINE"",false)"),"「2500万人が涙した真実のラブストリ―！切ない純愛…感動の名作ドラマ化」ごく普通の女子高生・美嘉（水沢エレナ）は、放課後の学校で、銀髪にピアスが特徴的なヒロ（瀬戸康史）に突然キスをされる。  ファ―ストキスだったのに…。  そしてヒロには彼女がいると聞き、さらにヒロが彼女とキスしている姿を目撃してしまう。水沢エレナ　瀬戸康史　葵　三浦翔平  波瑠　永山絢斗　  松下奈緒  羽田美智子　岸谷五朗  (他)今井夏木渡邉睦月ファイン　エンタ―テイメントドリマックス・テレビジョンhttp://www.tbs.c"&amp;"o.jp/koi-zora/")</f>
        <v>「2500万人が涙した真実のラブストリ―！切ない純愛…感動の名作ドラマ化」ごく普通の女子高生・美嘉（水沢エレナ）は、放課後の学校で、銀髪にピアスが特徴的なヒロ（瀬戸康史）に突然キスをされる。  ファ―ストキスだったのに…。  そしてヒロには彼女がいると聞き、さらにヒロが彼女とキスしている姿を目撃してしまう。水沢エレナ　瀬戸康史　葵　三浦翔平  波瑠　永山絢斗　  松下奈緒  羽田美智子　岸谷五朗  (他)今井夏木渡邉睦月ファイン　エンタ―テイメントドリマックス・テレビジョンhttp://www.tbs.co.jp/koi-zora/</v>
      </c>
      <c r="N6047" s="2"/>
      <c r="O6047" s="2"/>
      <c r="P6047" s="1"/>
      <c r="Q6047" s="1"/>
      <c r="R6047" s="1"/>
      <c r="S6047" s="1"/>
      <c r="T6047" s="1"/>
      <c r="U6047" s="1"/>
      <c r="V6047" s="1"/>
      <c r="W6047" s="1"/>
      <c r="X6047" s="1"/>
      <c r="Y6047" s="1"/>
      <c r="Z6047" s="1"/>
      <c r="AA6047" s="1"/>
      <c r="AB6047" s="1"/>
      <c r="AC6047" s="1"/>
      <c r="AD6047" s="1"/>
      <c r="AE6047" s="1"/>
      <c r="AF6047" s="1"/>
      <c r="AG6047" s="1"/>
      <c r="AH6047" s="1"/>
      <c r="AI6047" s="1"/>
      <c r="AJ6047" s="1"/>
      <c r="AK6047" s="1"/>
      <c r="AL6047" s="1"/>
      <c r="AM6047" s="1"/>
      <c r="AN6047" s="1"/>
      <c r="AO6047" s="1"/>
      <c r="AP6047" s="1"/>
      <c r="AQ6047" s="1"/>
      <c r="AR6047" s="1"/>
      <c r="AS6047" s="1"/>
      <c r="AT6047" s="1"/>
      <c r="AU6047" s="1"/>
      <c r="AV6047" s="1"/>
      <c r="AW6047" s="1"/>
      <c r="AX6047" s="1"/>
      <c r="AY6047" s="1"/>
      <c r="AZ6047" s="1"/>
      <c r="BA6047" s="1"/>
      <c r="BB6047" s="1"/>
    </row>
    <row r="6048" ht="204.75" customHeight="1">
      <c r="A6048" s="1">
        <v>5722.0</v>
      </c>
      <c r="B6048" s="2" t="s">
        <v>16161</v>
      </c>
      <c r="C6048" s="2">
        <f>IFERROR(__xludf.DUMMYFUNCTION("split(B6048,""_"")"),807.0)</f>
        <v>807</v>
      </c>
      <c r="D6048" s="2" t="str">
        <f>IFERROR(__xludf.DUMMYFUNCTION("""COMPUTED_VALUE"""),"TBS")</f>
        <v>TBS</v>
      </c>
      <c r="E6048" s="2" t="str">
        <f>IFERROR(__xludf.DUMMYFUNCTION("""COMPUTED_VALUE"""),"土20")</f>
        <v>土20</v>
      </c>
      <c r="F6048" s="2" t="s">
        <v>16162</v>
      </c>
      <c r="G6048" s="2" t="s">
        <v>16163</v>
      </c>
      <c r="H6048" s="1">
        <v>2.0</v>
      </c>
      <c r="J6048" s="1" t="s">
        <v>2809</v>
      </c>
      <c r="K6048" s="2" t="s">
        <v>16165</v>
      </c>
      <c r="L6048" s="2"/>
      <c r="M6048" s="2" t="str">
        <f>IFERROR(__xludf.DUMMYFUNCTION("split(split(K6048,""【"",false),""公式LINE"",false)"),"「ずっと好きだったよ…せつない初恋のゆくえ～純愛スト―リ―急展開の第2話」ヒロと付き合うことになった美嘉。  しかし、ヒロの元カノ・咲の執拗な嫌がらせが続く。  ヒロに相談できない美嘉は、タツヤに…。  そして、新しい命が…。水沢エレナ　瀬戸康史　葵　三浦翔平  波瑠　永山絢斗　  松下奈緒  羽田美智子　岸谷五朗  (他)今井夏木渡邉睦月ファイン　エンタ―テイメントドリマックス・テレビジョンhttp://www.tbs.co.jp/koi-zora/")</f>
        <v>「ずっと好きだったよ…せつない初恋のゆくえ～純愛スト―リ―急展開の第2話」ヒロと付き合うことになった美嘉。  しかし、ヒロの元カノ・咲の執拗な嫌がらせが続く。  ヒロに相談できない美嘉は、タツヤに…。  そして、新しい命が…。水沢エレナ　瀬戸康史　葵　三浦翔平  波瑠　永山絢斗　  松下奈緒  羽田美智子　岸谷五朗  (他)今井夏木渡邉睦月ファイン　エンタ―テイメントドリマックス・テレビジョンhttp://www.tbs.co.jp/koi-zora/</v>
      </c>
      <c r="N6048" s="2"/>
      <c r="O6048" s="2"/>
      <c r="P6048" s="1"/>
      <c r="Q6048" s="1"/>
      <c r="R6048" s="1"/>
      <c r="S6048" s="1"/>
      <c r="T6048" s="1"/>
      <c r="U6048" s="1"/>
      <c r="V6048" s="1"/>
      <c r="W6048" s="1"/>
      <c r="X6048" s="1"/>
      <c r="Y6048" s="1"/>
      <c r="Z6048" s="1"/>
      <c r="AA6048" s="1"/>
      <c r="AB6048" s="1"/>
      <c r="AC6048" s="1"/>
      <c r="AD6048" s="1"/>
      <c r="AE6048" s="1"/>
      <c r="AF6048" s="1"/>
      <c r="AG6048" s="1"/>
      <c r="AH6048" s="1"/>
      <c r="AI6048" s="1"/>
      <c r="AJ6048" s="1"/>
      <c r="AK6048" s="1"/>
      <c r="AL6048" s="1"/>
      <c r="AM6048" s="1"/>
      <c r="AN6048" s="1"/>
      <c r="AO6048" s="1"/>
      <c r="AP6048" s="1"/>
      <c r="AQ6048" s="1"/>
      <c r="AR6048" s="1"/>
      <c r="AS6048" s="1"/>
      <c r="AT6048" s="1"/>
      <c r="AU6048" s="1"/>
      <c r="AV6048" s="1"/>
      <c r="AW6048" s="1"/>
      <c r="AX6048" s="1"/>
      <c r="AY6048" s="1"/>
      <c r="AZ6048" s="1"/>
      <c r="BA6048" s="1"/>
      <c r="BB6048" s="1"/>
    </row>
    <row r="6049" ht="204.75" customHeight="1">
      <c r="A6049" s="1">
        <v>5723.0</v>
      </c>
      <c r="B6049" s="2" t="s">
        <v>16161</v>
      </c>
      <c r="C6049" s="2">
        <f>IFERROR(__xludf.DUMMYFUNCTION("split(B6049,""_"")"),807.0)</f>
        <v>807</v>
      </c>
      <c r="D6049" s="2" t="str">
        <f>IFERROR(__xludf.DUMMYFUNCTION("""COMPUTED_VALUE"""),"TBS")</f>
        <v>TBS</v>
      </c>
      <c r="E6049" s="2" t="str">
        <f>IFERROR(__xludf.DUMMYFUNCTION("""COMPUTED_VALUE"""),"土20")</f>
        <v>土20</v>
      </c>
      <c r="F6049" s="2" t="s">
        <v>16162</v>
      </c>
      <c r="G6049" s="2" t="s">
        <v>16163</v>
      </c>
      <c r="H6049" s="1">
        <v>3.0</v>
      </c>
      <c r="J6049" s="1" t="s">
        <v>2809</v>
      </c>
      <c r="K6049" s="2" t="s">
        <v>16166</v>
      </c>
      <c r="L6049" s="2"/>
      <c r="M6049" s="2" t="str">
        <f>IFERROR(__xludf.DUMMYFUNCTION("split(split(K6049,""【"",false),""公式LINE"",false)"),"「ぜって―幸せにするから！新しい命に父は母は…突然ヒロをおそう驚愕の真実」美嘉の妊娠が発覚。ヒロは、学校を辞めて働き、2人で子供を育てたいと言うが、  勝治は最後まで反対する。  秋、文化祭。  ヒロはみんなの前で美嘉を絶対に幸せにすると誓うが…。水沢エレナ　瀬戸康史　葵　三浦翔平  波瑠  松下奈緒  羽田美智子　岸谷五朗  (他)松田礼人渡邉睦月ファイン　エンタ―テイメントドリマックス・テレビジョンhttp://www.tbs.co.jp/koi-zora/")</f>
        <v>「ぜって―幸せにするから！新しい命に父は母は…突然ヒロをおそう驚愕の真実」美嘉の妊娠が発覚。ヒロは、学校を辞めて働き、2人で子供を育てたいと言うが、  勝治は最後まで反対する。  秋、文化祭。  ヒロはみんなの前で美嘉を絶対に幸せにすると誓うが…。水沢エレナ　瀬戸康史　葵　三浦翔平  波瑠  松下奈緒  羽田美智子　岸谷五朗  (他)松田礼人渡邉睦月ファイン　エンタ―テイメントドリマックス・テレビジョンhttp://www.tbs.co.jp/koi-zora/</v>
      </c>
      <c r="N6049" s="2"/>
      <c r="O6049" s="2"/>
      <c r="P6049" s="1"/>
      <c r="Q6049" s="1"/>
      <c r="R6049" s="1"/>
      <c r="S6049" s="1"/>
      <c r="T6049" s="1"/>
      <c r="U6049" s="1"/>
      <c r="V6049" s="1"/>
      <c r="W6049" s="1"/>
      <c r="X6049" s="1"/>
      <c r="Y6049" s="1"/>
      <c r="Z6049" s="1"/>
      <c r="AA6049" s="1"/>
      <c r="AB6049" s="1"/>
      <c r="AC6049" s="1"/>
      <c r="AD6049" s="1"/>
      <c r="AE6049" s="1"/>
      <c r="AF6049" s="1"/>
      <c r="AG6049" s="1"/>
      <c r="AH6049" s="1"/>
      <c r="AI6049" s="1"/>
      <c r="AJ6049" s="1"/>
      <c r="AK6049" s="1"/>
      <c r="AL6049" s="1"/>
      <c r="AM6049" s="1"/>
      <c r="AN6049" s="1"/>
      <c r="AO6049" s="1"/>
      <c r="AP6049" s="1"/>
      <c r="AQ6049" s="1"/>
      <c r="AR6049" s="1"/>
      <c r="AS6049" s="1"/>
      <c r="AT6049" s="1"/>
      <c r="AU6049" s="1"/>
      <c r="AV6049" s="1"/>
      <c r="AW6049" s="1"/>
      <c r="AX6049" s="1"/>
      <c r="AY6049" s="1"/>
      <c r="AZ6049" s="1"/>
      <c r="BA6049" s="1"/>
      <c r="BB6049" s="1"/>
    </row>
    <row r="6050" ht="204.75" customHeight="1">
      <c r="A6050" s="1">
        <v>5724.0</v>
      </c>
      <c r="B6050" s="2" t="s">
        <v>16161</v>
      </c>
      <c r="C6050" s="2">
        <f>IFERROR(__xludf.DUMMYFUNCTION("split(B6050,""_"")"),807.0)</f>
        <v>807</v>
      </c>
      <c r="D6050" s="2" t="str">
        <f>IFERROR(__xludf.DUMMYFUNCTION("""COMPUTED_VALUE"""),"TBS")</f>
        <v>TBS</v>
      </c>
      <c r="E6050" s="2" t="str">
        <f>IFERROR(__xludf.DUMMYFUNCTION("""COMPUTED_VALUE"""),"土20")</f>
        <v>土20</v>
      </c>
      <c r="F6050" s="2" t="s">
        <v>16162</v>
      </c>
      <c r="G6050" s="2" t="s">
        <v>16163</v>
      </c>
      <c r="H6050" s="1">
        <v>4.0</v>
      </c>
      <c r="J6050" s="1" t="s">
        <v>2809</v>
      </c>
      <c r="K6050" s="2" t="s">
        <v>16167</v>
      </c>
      <c r="L6050" s="2"/>
      <c r="M6050" s="2" t="str">
        <f>IFERROR(__xludf.DUMMYFUNCTION("split(split(K6050,""【"",false),""公式LINE"",false)"),"「もう、お前の涙ふいてやれないから！ヒロ悲しみの決意…新しい恋」ヒロの誕生日。  美嘉のプレゼントの帽子を川へ投げるヒロ。  急に冷たい態度をとるヒロに美嘉は戸惑い、傷つく。  さらに美嘉は、ヒロが別の女性とキスしている姿を見てしまう。水沢エレナ　瀬戸康史　葵　三浦翔平  波瑠  阿部力　松下奈緒  羽田美智子　岸谷五朗  (他)松田礼人渡邉睦月ファイン　エンタ―テイメントドリマックス・テレビジョンhttp://www.tbs.co.jp/koi-zora/")</f>
        <v>「もう、お前の涙ふいてやれないから！ヒロ悲しみの決意…新しい恋」ヒロの誕生日。  美嘉のプレゼントの帽子を川へ投げるヒロ。  急に冷たい態度をとるヒロに美嘉は戸惑い、傷つく。  さらに美嘉は、ヒロが別の女性とキスしている姿を見てしまう。水沢エレナ　瀬戸康史　葵　三浦翔平  波瑠  阿部力　松下奈緒  羽田美智子　岸谷五朗  (他)松田礼人渡邉睦月ファイン　エンタ―テイメントドリマックス・テレビジョンhttp://www.tbs.co.jp/koi-zora/</v>
      </c>
      <c r="N6050" s="2"/>
      <c r="O6050" s="2"/>
      <c r="P6050" s="1"/>
      <c r="Q6050" s="1"/>
      <c r="R6050" s="1"/>
      <c r="S6050" s="1"/>
      <c r="T6050" s="1"/>
      <c r="U6050" s="1"/>
      <c r="V6050" s="1"/>
      <c r="W6050" s="1"/>
      <c r="X6050" s="1"/>
      <c r="Y6050" s="1"/>
      <c r="Z6050" s="1"/>
      <c r="AA6050" s="1"/>
      <c r="AB6050" s="1"/>
      <c r="AC6050" s="1"/>
      <c r="AD6050" s="1"/>
      <c r="AE6050" s="1"/>
      <c r="AF6050" s="1"/>
      <c r="AG6050" s="1"/>
      <c r="AH6050" s="1"/>
      <c r="AI6050" s="1"/>
      <c r="AJ6050" s="1"/>
      <c r="AK6050" s="1"/>
      <c r="AL6050" s="1"/>
      <c r="AM6050" s="1"/>
      <c r="AN6050" s="1"/>
      <c r="AO6050" s="1"/>
      <c r="AP6050" s="1"/>
      <c r="AQ6050" s="1"/>
      <c r="AR6050" s="1"/>
      <c r="AS6050" s="1"/>
      <c r="AT6050" s="1"/>
      <c r="AU6050" s="1"/>
      <c r="AV6050" s="1"/>
      <c r="AW6050" s="1"/>
      <c r="AX6050" s="1"/>
      <c r="AY6050" s="1"/>
      <c r="AZ6050" s="1"/>
      <c r="BA6050" s="1"/>
      <c r="BB6050" s="1"/>
    </row>
    <row r="6051" ht="204.75" customHeight="1">
      <c r="A6051" s="1">
        <v>5725.0</v>
      </c>
      <c r="B6051" s="2" t="s">
        <v>16161</v>
      </c>
      <c r="C6051" s="2">
        <f>IFERROR(__xludf.DUMMYFUNCTION("split(B6051,""_"")"),807.0)</f>
        <v>807</v>
      </c>
      <c r="D6051" s="2" t="str">
        <f>IFERROR(__xludf.DUMMYFUNCTION("""COMPUTED_VALUE"""),"TBS")</f>
        <v>TBS</v>
      </c>
      <c r="E6051" s="2" t="str">
        <f>IFERROR(__xludf.DUMMYFUNCTION("""COMPUTED_VALUE"""),"土20")</f>
        <v>土20</v>
      </c>
      <c r="F6051" s="2" t="s">
        <v>16162</v>
      </c>
      <c r="G6051" s="2" t="s">
        <v>16163</v>
      </c>
      <c r="H6051" s="1">
        <v>5.0</v>
      </c>
      <c r="J6051" s="1" t="s">
        <v>2809</v>
      </c>
      <c r="K6051" s="2" t="s">
        <v>16168</v>
      </c>
      <c r="L6051" s="2"/>
      <c r="M6051" s="2" t="str">
        <f>IFERROR(__xludf.DUMMYFUNCTION("split(split(K6051,""【"",false),""公式LINE"",false)"),"「ずっとずっと、好きだったよ！ふたりだけの結婚式…涙の最終章前編」優との新しい恋に、心穏やかな美嘉。  しかし、とうとうヒロの病気のことを知ってしまう。  忘れていた想いがあふれ出す。水沢エレナ　瀬戸康史　葵　三浦翔平  波瑠  阿部力　松下奈緒  羽田美智子　岸谷五朗　(他)今井夏木渡邉睦月ファイン　エンタ―テイメントドリマックス・テレビジョンhttp://www.tbs.co.jp/koi-zora/")</f>
        <v>「ずっとずっと、好きだったよ！ふたりだけの結婚式…涙の最終章前編」優との新しい恋に、心穏やかな美嘉。  しかし、とうとうヒロの病気のことを知ってしまう。  忘れていた想いがあふれ出す。水沢エレナ　瀬戸康史　葵　三浦翔平  波瑠  阿部力　松下奈緒  羽田美智子　岸谷五朗　(他)今井夏木渡邉睦月ファイン　エンタ―テイメントドリマックス・テレビジョンhttp://www.tbs.co.jp/koi-zora/</v>
      </c>
      <c r="N6051" s="2"/>
      <c r="O6051" s="2"/>
      <c r="P6051" s="1"/>
      <c r="Q6051" s="1"/>
      <c r="R6051" s="1"/>
      <c r="S6051" s="1"/>
      <c r="T6051" s="1"/>
      <c r="U6051" s="1"/>
      <c r="V6051" s="1"/>
      <c r="W6051" s="1"/>
      <c r="X6051" s="1"/>
      <c r="Y6051" s="1"/>
      <c r="Z6051" s="1"/>
      <c r="AA6051" s="1"/>
      <c r="AB6051" s="1"/>
      <c r="AC6051" s="1"/>
      <c r="AD6051" s="1"/>
      <c r="AE6051" s="1"/>
      <c r="AF6051" s="1"/>
      <c r="AG6051" s="1"/>
      <c r="AH6051" s="1"/>
      <c r="AI6051" s="1"/>
      <c r="AJ6051" s="1"/>
      <c r="AK6051" s="1"/>
      <c r="AL6051" s="1"/>
      <c r="AM6051" s="1"/>
      <c r="AN6051" s="1"/>
      <c r="AO6051" s="1"/>
      <c r="AP6051" s="1"/>
      <c r="AQ6051" s="1"/>
      <c r="AR6051" s="1"/>
      <c r="AS6051" s="1"/>
      <c r="AT6051" s="1"/>
      <c r="AU6051" s="1"/>
      <c r="AV6051" s="1"/>
      <c r="AW6051" s="1"/>
      <c r="AX6051" s="1"/>
      <c r="AY6051" s="1"/>
      <c r="AZ6051" s="1"/>
      <c r="BA6051" s="1"/>
      <c r="BB6051" s="1"/>
    </row>
    <row r="6052" ht="204.75" customHeight="1">
      <c r="A6052" s="1">
        <v>5726.0</v>
      </c>
      <c r="B6052" s="2" t="s">
        <v>16161</v>
      </c>
      <c r="C6052" s="2">
        <f>IFERROR(__xludf.DUMMYFUNCTION("split(B6052,""_"")"),807.0)</f>
        <v>807</v>
      </c>
      <c r="D6052" s="2" t="str">
        <f>IFERROR(__xludf.DUMMYFUNCTION("""COMPUTED_VALUE"""),"TBS")</f>
        <v>TBS</v>
      </c>
      <c r="E6052" s="2" t="str">
        <f>IFERROR(__xludf.DUMMYFUNCTION("""COMPUTED_VALUE"""),"土20")</f>
        <v>土20</v>
      </c>
      <c r="F6052" s="2" t="s">
        <v>16162</v>
      </c>
      <c r="G6052" s="2" t="s">
        <v>16163</v>
      </c>
      <c r="H6052" s="1">
        <v>6.0</v>
      </c>
      <c r="J6052" s="1" t="s">
        <v>2809</v>
      </c>
      <c r="K6052" s="2" t="s">
        <v>16169</v>
      </c>
      <c r="L6052" s="2"/>
      <c r="M6052" s="2" t="str">
        <f>IFERROR(__xludf.DUMMYFUNCTION("split(split(K6052,""【"",false),""公式LINE"",false)"),"「私は今でも空に恋をしています…号泣の最終章後編　純愛を貫いた衝撃の結末」再会した美嘉とヒロ。  ふたりだけの結婚式。  しかし、病魔は確実にヒロの体を…。    衝撃の最終章。水沢エレナ　瀬戸康史　葵　三浦翔平  波瑠　永山絢斗　  松下奈緒  羽田美智子　岸谷五朗  (他)今井夏木渡邉睦月ファイン　エンタ―テイメントドリマックス・テレビジョンhttp://www.tbs.co.jp/koi-zora/")</f>
        <v>「私は今でも空に恋をしています…号泣の最終章後編　純愛を貫いた衝撃の結末」再会した美嘉とヒロ。  ふたりだけの結婚式。  しかし、病魔は確実にヒロの体を…。    衝撃の最終章。水沢エレナ　瀬戸康史　葵　三浦翔平  波瑠　永山絢斗　  松下奈緒  羽田美智子　岸谷五朗  (他)今井夏木渡邉睦月ファイン　エンタ―テイメントドリマックス・テレビジョンhttp://www.tbs.co.jp/koi-zora/</v>
      </c>
      <c r="N6052" s="2"/>
      <c r="O6052" s="2"/>
      <c r="P6052" s="1"/>
      <c r="Q6052" s="1"/>
      <c r="R6052" s="1"/>
      <c r="S6052" s="1"/>
      <c r="T6052" s="1"/>
      <c r="U6052" s="1"/>
      <c r="V6052" s="1"/>
      <c r="W6052" s="1"/>
      <c r="X6052" s="1"/>
      <c r="Y6052" s="1"/>
      <c r="Z6052" s="1"/>
      <c r="AA6052" s="1"/>
      <c r="AB6052" s="1"/>
      <c r="AC6052" s="1"/>
      <c r="AD6052" s="1"/>
      <c r="AE6052" s="1"/>
      <c r="AF6052" s="1"/>
      <c r="AG6052" s="1"/>
      <c r="AH6052" s="1"/>
      <c r="AI6052" s="1"/>
      <c r="AJ6052" s="1"/>
      <c r="AK6052" s="1"/>
      <c r="AL6052" s="1"/>
      <c r="AM6052" s="1"/>
      <c r="AN6052" s="1"/>
      <c r="AO6052" s="1"/>
      <c r="AP6052" s="1"/>
      <c r="AQ6052" s="1"/>
      <c r="AR6052" s="1"/>
      <c r="AS6052" s="1"/>
      <c r="AT6052" s="1"/>
      <c r="AU6052" s="1"/>
      <c r="AV6052" s="1"/>
      <c r="AW6052" s="1"/>
      <c r="AX6052" s="1"/>
      <c r="AY6052" s="1"/>
      <c r="AZ6052" s="1"/>
      <c r="BA6052" s="1"/>
      <c r="BB6052" s="1"/>
    </row>
    <row r="6053" ht="204.75" customHeight="1">
      <c r="A6053" s="1">
        <v>5746.0</v>
      </c>
      <c r="B6053" s="2" t="s">
        <v>16170</v>
      </c>
      <c r="C6053" s="2">
        <f>IFERROR(__xludf.DUMMYFUNCTION("split(B6053,""_"")"),807.0)</f>
        <v>807</v>
      </c>
      <c r="D6053" s="2" t="str">
        <f>IFERROR(__xludf.DUMMYFUNCTION("""COMPUTED_VALUE"""),"TBS")</f>
        <v>TBS</v>
      </c>
      <c r="E6053" s="2" t="str">
        <f>IFERROR(__xludf.DUMMYFUNCTION("""COMPUTED_VALUE"""),"日21")</f>
        <v>日21</v>
      </c>
      <c r="F6053" s="2" t="s">
        <v>16171</v>
      </c>
      <c r="G6053" s="2" t="s">
        <v>16172</v>
      </c>
      <c r="H6053" s="1">
        <v>1.0</v>
      </c>
      <c r="J6053" s="1" t="s">
        <v>4</v>
      </c>
      <c r="K6053" s="2" t="s">
        <v>16173</v>
      </c>
      <c r="L6053" s="2"/>
      <c r="M6053" s="2" t="str">
        <f>IFERROR(__xludf.DUMMYFUNCTION("split(split(K6053,""【"",false),""公式LINE"",false)"),"「医療は人か金か!?」  元外科医・航平が暮らす街の市民病院は、赤字30億を抱え潰れる寸前だった。避けてきた病院に関わることになってしまう航平。そんな時爆発事故が起き、大勢のケガ人が担ぎ込まれる。彼らを救うことができるのか!?  竹野内豊　菅野美穂　緒川たまき　黒川智花　エド・はるみ　永田彬　橋本真実　田中実  志賀廣太郎　陣内孝則（特別出演）　岸部一徳　(他)    星村麻衣「ひかり」（SMEレコ―ズ）篠崎絵里子伊與田英徳  正木敦TBSテレビ  http://www.tbs.co.jp/Tomorro"&amp;"w2008/")</f>
        <v>「医療は人か金か!?」  元外科医・航平が暮らす街の市民病院は、赤字30億を抱え潰れる寸前だった。避けてきた病院に関わることになってしまう航平。そんな時爆発事故が起き、大勢のケガ人が担ぎ込まれる。彼らを救うことができるのか!?  竹野内豊　菅野美穂　緒川たまき　黒川智花　エド・はるみ　永田彬　橋本真実　田中実  志賀廣太郎　陣内孝則（特別出演）　岸部一徳　(他)    星村麻衣「ひかり」（SMEレコ―ズ）篠崎絵里子伊與田英徳  正木敦TBSテレビ  http://www.tbs.co.jp/Tomorrow2008/</v>
      </c>
      <c r="N6053" s="2"/>
      <c r="O6053" s="2"/>
      <c r="P6053" s="1"/>
      <c r="Q6053" s="1"/>
      <c r="R6053" s="1"/>
      <c r="S6053" s="1"/>
      <c r="T6053" s="1"/>
      <c r="U6053" s="1"/>
      <c r="V6053" s="1"/>
      <c r="W6053" s="1"/>
      <c r="X6053" s="1"/>
      <c r="Y6053" s="1"/>
      <c r="Z6053" s="1"/>
      <c r="AA6053" s="1"/>
      <c r="AB6053" s="1"/>
      <c r="AC6053" s="1"/>
      <c r="AD6053" s="1"/>
      <c r="AE6053" s="1"/>
      <c r="AF6053" s="1"/>
      <c r="AG6053" s="1"/>
      <c r="AH6053" s="1"/>
      <c r="AI6053" s="1"/>
      <c r="AJ6053" s="1"/>
      <c r="AK6053" s="1"/>
      <c r="AL6053" s="1"/>
      <c r="AM6053" s="1"/>
      <c r="AN6053" s="1"/>
      <c r="AO6053" s="1"/>
      <c r="AP6053" s="1"/>
      <c r="AQ6053" s="1"/>
      <c r="AR6053" s="1"/>
      <c r="AS6053" s="1"/>
      <c r="AT6053" s="1"/>
      <c r="AU6053" s="1"/>
      <c r="AV6053" s="1"/>
      <c r="AW6053" s="1"/>
      <c r="AX6053" s="1"/>
      <c r="AY6053" s="1"/>
      <c r="AZ6053" s="1"/>
      <c r="BA6053" s="1"/>
      <c r="BB6053" s="1"/>
    </row>
    <row r="6054" ht="204.75" customHeight="1">
      <c r="A6054" s="1">
        <v>5747.0</v>
      </c>
      <c r="B6054" s="2" t="s">
        <v>16170</v>
      </c>
      <c r="C6054" s="2">
        <f>IFERROR(__xludf.DUMMYFUNCTION("split(B6054,""_"")"),807.0)</f>
        <v>807</v>
      </c>
      <c r="D6054" s="2" t="str">
        <f>IFERROR(__xludf.DUMMYFUNCTION("""COMPUTED_VALUE"""),"TBS")</f>
        <v>TBS</v>
      </c>
      <c r="E6054" s="2" t="str">
        <f>IFERROR(__xludf.DUMMYFUNCTION("""COMPUTED_VALUE"""),"日21")</f>
        <v>日21</v>
      </c>
      <c r="F6054" s="2" t="s">
        <v>16171</v>
      </c>
      <c r="G6054" s="2" t="s">
        <v>16172</v>
      </c>
      <c r="H6054" s="1">
        <v>2.0</v>
      </c>
      <c r="J6054" s="1" t="s">
        <v>11</v>
      </c>
      <c r="K6054" s="2" t="s">
        <v>16174</v>
      </c>
      <c r="L6054" s="2"/>
      <c r="M6054" s="2" t="str">
        <f>IFERROR(__xludf.DUMMYFUNCTION("split(split(K6054,""【"",false),""公式LINE"",false)"),"「命を金で買うとき」愛子の妹・七海の脳に疾患が発見される。市民病院では手に負えず、七海を助けるには紗綾の「命を金で買う」という考えを受け入れざるをえない。妹の為、信念を曲げるのか・・・。その矢先、七海は倒れてしまう。竹野内豊　菅野美穂　緒川たまき　黒川智花　エド・はるみ　永田彬　橋本真実　田中実  志賀廣太郎　陣内孝則（特別出演）　岸部一徳　(他)    星村麻衣「ひかり」（SMEレコ―ズ）篠崎絵里子伊與田英徳  正木敦TBSテレビ  http://www.tbs.co.jp/Tomorrow2008/")</f>
        <v>「命を金で買うとき」愛子の妹・七海の脳に疾患が発見される。市民病院では手に負えず、七海を助けるには紗綾の「命を金で買う」という考えを受け入れざるをえない。妹の為、信念を曲げるのか・・・。その矢先、七海は倒れてしまう。竹野内豊　菅野美穂　緒川たまき　黒川智花　エド・はるみ　永田彬　橋本真実　田中実  志賀廣太郎　陣内孝則（特別出演）　岸部一徳　(他)    星村麻衣「ひかり」（SMEレコ―ズ）篠崎絵里子伊與田英徳  正木敦TBSテレビ  http://www.tbs.co.jp/Tomorrow2008/</v>
      </c>
      <c r="N6054" s="2"/>
      <c r="O6054" s="2"/>
      <c r="P6054" s="1"/>
      <c r="Q6054" s="1"/>
      <c r="R6054" s="1"/>
      <c r="S6054" s="1"/>
      <c r="T6054" s="1"/>
      <c r="U6054" s="1"/>
      <c r="V6054" s="1"/>
      <c r="W6054" s="1"/>
      <c r="X6054" s="1"/>
      <c r="Y6054" s="1"/>
      <c r="Z6054" s="1"/>
      <c r="AA6054" s="1"/>
      <c r="AB6054" s="1"/>
      <c r="AC6054" s="1"/>
      <c r="AD6054" s="1"/>
      <c r="AE6054" s="1"/>
      <c r="AF6054" s="1"/>
      <c r="AG6054" s="1"/>
      <c r="AH6054" s="1"/>
      <c r="AI6054" s="1"/>
      <c r="AJ6054" s="1"/>
      <c r="AK6054" s="1"/>
      <c r="AL6054" s="1"/>
      <c r="AM6054" s="1"/>
      <c r="AN6054" s="1"/>
      <c r="AO6054" s="1"/>
      <c r="AP6054" s="1"/>
      <c r="AQ6054" s="1"/>
      <c r="AR6054" s="1"/>
      <c r="AS6054" s="1"/>
      <c r="AT6054" s="1"/>
      <c r="AU6054" s="1"/>
      <c r="AV6054" s="1"/>
      <c r="AW6054" s="1"/>
      <c r="AX6054" s="1"/>
      <c r="AY6054" s="1"/>
      <c r="AZ6054" s="1"/>
      <c r="BA6054" s="1"/>
      <c r="BB6054" s="1"/>
    </row>
    <row r="6055" ht="204.75" customHeight="1">
      <c r="A6055" s="1">
        <v>5748.0</v>
      </c>
      <c r="B6055" s="2" t="s">
        <v>16170</v>
      </c>
      <c r="C6055" s="2">
        <f>IFERROR(__xludf.DUMMYFUNCTION("split(B6055,""_"")"),807.0)</f>
        <v>807</v>
      </c>
      <c r="D6055" s="2" t="str">
        <f>IFERROR(__xludf.DUMMYFUNCTION("""COMPUTED_VALUE"""),"TBS")</f>
        <v>TBS</v>
      </c>
      <c r="E6055" s="2" t="str">
        <f>IFERROR(__xludf.DUMMYFUNCTION("""COMPUTED_VALUE"""),"日21")</f>
        <v>日21</v>
      </c>
      <c r="F6055" s="2" t="s">
        <v>16171</v>
      </c>
      <c r="G6055" s="2" t="s">
        <v>16172</v>
      </c>
      <c r="H6055" s="1">
        <v>3.0</v>
      </c>
      <c r="J6055" s="1" t="s">
        <v>11</v>
      </c>
      <c r="K6055" s="2" t="s">
        <v>16175</v>
      </c>
      <c r="L6055" s="2"/>
      <c r="M6055" s="2" t="str">
        <f>IFERROR(__xludf.DUMMYFUNCTION("split(split(K6055,""【"",false),""公式LINE"",false)"),"「暴かれた医療ミス」航平は医者として、病院再建を手伝うことにし、新設した透析センタ―の担当になる。そこに村上という患者が訪れるが、移植が必要で、彼の息子は臓器提供を拒む。  さらに紗綾は衝撃の事実を航平に伝える・・・。竹野内豊　菅野美穂　緒川たまき　黒川智花　エド・はるみ　永田彬　橋本真実　田中実  志賀廣太郎　陣内孝則（特別出演）　岸部一徳    星村麻衣「ひかり」（SMEレコ―ズ）八津弘幸  篠崎絵里子  川嶋龍太郎伊與田英徳  正木敦TBSテレビ  http://www.tbs.co.jp/Tomo"&amp;"rrow2008/")</f>
        <v>「暴かれた医療ミス」航平は医者として、病院再建を手伝うことにし、新設した透析センタ―の担当になる。そこに村上という患者が訪れるが、移植が必要で、彼の息子は臓器提供を拒む。  さらに紗綾は衝撃の事実を航平に伝える・・・。竹野内豊　菅野美穂　緒川たまき　黒川智花　エド・はるみ　永田彬　橋本真実　田中実  志賀廣太郎　陣内孝則（特別出演）　岸部一徳    星村麻衣「ひかり」（SMEレコ―ズ）八津弘幸  篠崎絵里子  川嶋龍太郎伊與田英徳  正木敦TBSテレビ  http://www.tbs.co.jp/Tomorrow2008/</v>
      </c>
      <c r="N6055" s="2"/>
      <c r="O6055" s="2"/>
      <c r="P6055" s="1"/>
      <c r="Q6055" s="1"/>
      <c r="R6055" s="1"/>
      <c r="S6055" s="1"/>
      <c r="T6055" s="1"/>
      <c r="U6055" s="1"/>
      <c r="V6055" s="1"/>
      <c r="W6055" s="1"/>
      <c r="X6055" s="1"/>
      <c r="Y6055" s="1"/>
      <c r="Z6055" s="1"/>
      <c r="AA6055" s="1"/>
      <c r="AB6055" s="1"/>
      <c r="AC6055" s="1"/>
      <c r="AD6055" s="1"/>
      <c r="AE6055" s="1"/>
      <c r="AF6055" s="1"/>
      <c r="AG6055" s="1"/>
      <c r="AH6055" s="1"/>
      <c r="AI6055" s="1"/>
      <c r="AJ6055" s="1"/>
      <c r="AK6055" s="1"/>
      <c r="AL6055" s="1"/>
      <c r="AM6055" s="1"/>
      <c r="AN6055" s="1"/>
      <c r="AO6055" s="1"/>
      <c r="AP6055" s="1"/>
      <c r="AQ6055" s="1"/>
      <c r="AR6055" s="1"/>
      <c r="AS6055" s="1"/>
      <c r="AT6055" s="1"/>
      <c r="AU6055" s="1"/>
      <c r="AV6055" s="1"/>
      <c r="AW6055" s="1"/>
      <c r="AX6055" s="1"/>
      <c r="AY6055" s="1"/>
      <c r="AZ6055" s="1"/>
      <c r="BA6055" s="1"/>
      <c r="BB6055" s="1"/>
    </row>
    <row r="6056" ht="204.75" customHeight="1">
      <c r="A6056" s="1">
        <v>5749.0</v>
      </c>
      <c r="B6056" s="2" t="s">
        <v>16170</v>
      </c>
      <c r="C6056" s="2">
        <f>IFERROR(__xludf.DUMMYFUNCTION("split(B6056,""_"")"),807.0)</f>
        <v>807</v>
      </c>
      <c r="D6056" s="2" t="str">
        <f>IFERROR(__xludf.DUMMYFUNCTION("""COMPUTED_VALUE"""),"TBS")</f>
        <v>TBS</v>
      </c>
      <c r="E6056" s="2" t="str">
        <f>IFERROR(__xludf.DUMMYFUNCTION("""COMPUTED_VALUE"""),"日21")</f>
        <v>日21</v>
      </c>
      <c r="F6056" s="2" t="s">
        <v>16171</v>
      </c>
      <c r="G6056" s="2" t="s">
        <v>16172</v>
      </c>
      <c r="H6056" s="1">
        <v>4.0</v>
      </c>
      <c r="J6056" s="1" t="s">
        <v>11</v>
      </c>
      <c r="K6056" s="2" t="s">
        <v>16176</v>
      </c>
      <c r="L6056" s="2"/>
      <c r="M6056" s="2" t="str">
        <f>IFERROR(__xludf.DUMMYFUNCTION("split(split(K6056,""【"",false),""公式LINE"",false)"),"「加害者と被害者」自分が死なせたのが愛子の母親だと知った航平は、病院を辞めるべきか悩む。  紗綾は入院患者を強引に退院させ始める。退院した患者・のぶ子が行方不明になり、必死に探す航平と愛子。のぶ子はどこに！？竹野内豊　菅野美穂　緒川たまき　黒川智花　エド・はるみ　永田彬　橋本真実　田中実  志賀廣太郎　陣内孝則（特別出演）　岸部一徳  星村麻衣「ひかり」（SMEレコ―ズ）篠崎絵里子伊與田英徳  正木敦韓哲TBSテレビ  http://www.tbs.co.jp/Tomorrow2008/")</f>
        <v>「加害者と被害者」自分が死なせたのが愛子の母親だと知った航平は、病院を辞めるべきか悩む。  紗綾は入院患者を強引に退院させ始める。退院した患者・のぶ子が行方不明になり、必死に探す航平と愛子。のぶ子はどこに！？竹野内豊　菅野美穂　緒川たまき　黒川智花　エド・はるみ　永田彬　橋本真実　田中実  志賀廣太郎　陣内孝則（特別出演）　岸部一徳  星村麻衣「ひかり」（SMEレコ―ズ）篠崎絵里子伊與田英徳  正木敦韓哲TBSテレビ  http://www.tbs.co.jp/Tomorrow2008/</v>
      </c>
      <c r="N6056" s="2"/>
      <c r="O6056" s="2"/>
      <c r="P6056" s="1"/>
      <c r="Q6056" s="1"/>
      <c r="R6056" s="1"/>
      <c r="S6056" s="1"/>
      <c r="T6056" s="1"/>
      <c r="U6056" s="1"/>
      <c r="V6056" s="1"/>
      <c r="W6056" s="1"/>
      <c r="X6056" s="1"/>
      <c r="Y6056" s="1"/>
      <c r="Z6056" s="1"/>
      <c r="AA6056" s="1"/>
      <c r="AB6056" s="1"/>
      <c r="AC6056" s="1"/>
      <c r="AD6056" s="1"/>
      <c r="AE6056" s="1"/>
      <c r="AF6056" s="1"/>
      <c r="AG6056" s="1"/>
      <c r="AH6056" s="1"/>
      <c r="AI6056" s="1"/>
      <c r="AJ6056" s="1"/>
      <c r="AK6056" s="1"/>
      <c r="AL6056" s="1"/>
      <c r="AM6056" s="1"/>
      <c r="AN6056" s="1"/>
      <c r="AO6056" s="1"/>
      <c r="AP6056" s="1"/>
      <c r="AQ6056" s="1"/>
      <c r="AR6056" s="1"/>
      <c r="AS6056" s="1"/>
      <c r="AT6056" s="1"/>
      <c r="AU6056" s="1"/>
      <c r="AV6056" s="1"/>
      <c r="AW6056" s="1"/>
      <c r="AX6056" s="1"/>
      <c r="AY6056" s="1"/>
      <c r="AZ6056" s="1"/>
      <c r="BA6056" s="1"/>
      <c r="BB6056" s="1"/>
    </row>
    <row r="6057" ht="204.75" customHeight="1">
      <c r="A6057" s="1">
        <v>5750.0</v>
      </c>
      <c r="B6057" s="2" t="s">
        <v>16170</v>
      </c>
      <c r="C6057" s="2">
        <f>IFERROR(__xludf.DUMMYFUNCTION("split(B6057,""_"")"),807.0)</f>
        <v>807</v>
      </c>
      <c r="D6057" s="2" t="str">
        <f>IFERROR(__xludf.DUMMYFUNCTION("""COMPUTED_VALUE"""),"TBS")</f>
        <v>TBS</v>
      </c>
      <c r="E6057" s="2" t="str">
        <f>IFERROR(__xludf.DUMMYFUNCTION("""COMPUTED_VALUE"""),"日21")</f>
        <v>日21</v>
      </c>
      <c r="F6057" s="2" t="s">
        <v>16171</v>
      </c>
      <c r="G6057" s="2" t="s">
        <v>16172</v>
      </c>
      <c r="H6057" s="1">
        <v>5.0</v>
      </c>
      <c r="J6057" s="1" t="s">
        <v>11</v>
      </c>
      <c r="K6057" s="2" t="s">
        <v>16177</v>
      </c>
      <c r="L6057" s="2"/>
      <c r="M6057" s="2" t="str">
        <f>IFERROR(__xludf.DUMMYFUNCTION("split(split(K6057,""【"",false),""公式LINE"",false)"),"「涙の告白～笑顔」愛子の母を医療ミスで死なせたことを告白した航平は、病院を辞めるべきか悩んでいた。そこへ昔の同僚・安達がやってくる。  そんな時航平は蓮見の娘をかばい怪我してしまうが、安達はメスが握れない状態だった。竹野内豊　菅野美穂　緒川たまき　黒川智花　エド・はるみ　永田彬　橋本真実　田中実  志賀廣太郎　陣内孝則（特別出演）　岸部一徳  星村麻衣「ひかり」（SMEレコ―ズ）篠崎絵里子伊與田英徳  正木敦山室大輔TBSテレビ  http://www.tbs.co.jp/Tomorrow2008/")</f>
        <v>「涙の告白～笑顔」愛子の母を医療ミスで死なせたことを告白した航平は、病院を辞めるべきか悩んでいた。そこへ昔の同僚・安達がやってくる。  そんな時航平は蓮見の娘をかばい怪我してしまうが、安達はメスが握れない状態だった。竹野内豊　菅野美穂　緒川たまき　黒川智花　エド・はるみ　永田彬　橋本真実　田中実  志賀廣太郎　陣内孝則（特別出演）　岸部一徳  星村麻衣「ひかり」（SMEレコ―ズ）篠崎絵里子伊與田英徳  正木敦山室大輔TBSテレビ  http://www.tbs.co.jp/Tomorrow2008/</v>
      </c>
      <c r="N6057" s="2"/>
      <c r="O6057" s="2"/>
      <c r="P6057" s="1"/>
      <c r="Q6057" s="1"/>
      <c r="R6057" s="1"/>
      <c r="S6057" s="1"/>
      <c r="T6057" s="1"/>
      <c r="U6057" s="1"/>
      <c r="V6057" s="1"/>
      <c r="W6057" s="1"/>
      <c r="X6057" s="1"/>
      <c r="Y6057" s="1"/>
      <c r="Z6057" s="1"/>
      <c r="AA6057" s="1"/>
      <c r="AB6057" s="1"/>
      <c r="AC6057" s="1"/>
      <c r="AD6057" s="1"/>
      <c r="AE6057" s="1"/>
      <c r="AF6057" s="1"/>
      <c r="AG6057" s="1"/>
      <c r="AH6057" s="1"/>
      <c r="AI6057" s="1"/>
      <c r="AJ6057" s="1"/>
      <c r="AK6057" s="1"/>
      <c r="AL6057" s="1"/>
      <c r="AM6057" s="1"/>
      <c r="AN6057" s="1"/>
      <c r="AO6057" s="1"/>
      <c r="AP6057" s="1"/>
      <c r="AQ6057" s="1"/>
      <c r="AR6057" s="1"/>
      <c r="AS6057" s="1"/>
      <c r="AT6057" s="1"/>
      <c r="AU6057" s="1"/>
      <c r="AV6057" s="1"/>
      <c r="AW6057" s="1"/>
      <c r="AX6057" s="1"/>
      <c r="AY6057" s="1"/>
      <c r="AZ6057" s="1"/>
      <c r="BA6057" s="1"/>
      <c r="BB6057" s="1"/>
    </row>
    <row r="6058" ht="204.75" customHeight="1">
      <c r="A6058" s="1">
        <v>5751.0</v>
      </c>
      <c r="B6058" s="2" t="s">
        <v>16170</v>
      </c>
      <c r="C6058" s="2">
        <f>IFERROR(__xludf.DUMMYFUNCTION("split(B6058,""_"")"),807.0)</f>
        <v>807</v>
      </c>
      <c r="D6058" s="2" t="str">
        <f>IFERROR(__xludf.DUMMYFUNCTION("""COMPUTED_VALUE"""),"TBS")</f>
        <v>TBS</v>
      </c>
      <c r="E6058" s="2" t="str">
        <f>IFERROR(__xludf.DUMMYFUNCTION("""COMPUTED_VALUE"""),"日21")</f>
        <v>日21</v>
      </c>
      <c r="F6058" s="2" t="s">
        <v>16171</v>
      </c>
      <c r="G6058" s="2" t="s">
        <v>16172</v>
      </c>
      <c r="H6058" s="1">
        <v>6.0</v>
      </c>
      <c r="J6058" s="1" t="s">
        <v>11</v>
      </c>
      <c r="K6058" s="2" t="s">
        <v>16178</v>
      </c>
      <c r="L6058" s="2"/>
      <c r="M6058" s="2" t="str">
        <f>IFERROR(__xludf.DUMMYFUNCTION("split(split(K6058,""【"",false),""公式LINE"",false)"),"「訴えられた病院」共に病院再建をすることに決めた愛子と航平。しかし妹・七海はその事実を受け入れられずにいた。  作家・二階堂志保に、薬の量を間違えて投与し、市民病院が訴えられることに。しかもその担当は愛子だった・・・。竹野内豊　菅野美穂　緒川たまき　黒川智花　エド・はるみ　永田彬　橋本真実　田中実  志賀廣太郎　陣内孝則（特別出演）　岸部一徳  星村麻衣「ひかり」（SMEレコ―ズ）八津弘幸  篠崎絵里子川嶋龍太郎伊與田英徳  正木敦TBSテレビ  http://www.tbs.co.jp/Tomorrow"&amp;"2008/")</f>
        <v>「訴えられた病院」共に病院再建をすることに決めた愛子と航平。しかし妹・七海はその事実を受け入れられずにいた。  作家・二階堂志保に、薬の量を間違えて投与し、市民病院が訴えられることに。しかもその担当は愛子だった・・・。竹野内豊　菅野美穂　緒川たまき　黒川智花　エド・はるみ　永田彬　橋本真実　田中実  志賀廣太郎　陣内孝則（特別出演）　岸部一徳  星村麻衣「ひかり」（SMEレコ―ズ）八津弘幸  篠崎絵里子川嶋龍太郎伊與田英徳  正木敦TBSテレビ  http://www.tbs.co.jp/Tomorrow2008/</v>
      </c>
      <c r="N6058" s="2"/>
      <c r="O6058" s="2"/>
      <c r="P6058" s="1"/>
      <c r="Q6058" s="1"/>
      <c r="R6058" s="1"/>
      <c r="S6058" s="1"/>
      <c r="T6058" s="1"/>
      <c r="U6058" s="1"/>
      <c r="V6058" s="1"/>
      <c r="W6058" s="1"/>
      <c r="X6058" s="1"/>
      <c r="Y6058" s="1"/>
      <c r="Z6058" s="1"/>
      <c r="AA6058" s="1"/>
      <c r="AB6058" s="1"/>
      <c r="AC6058" s="1"/>
      <c r="AD6058" s="1"/>
      <c r="AE6058" s="1"/>
      <c r="AF6058" s="1"/>
      <c r="AG6058" s="1"/>
      <c r="AH6058" s="1"/>
      <c r="AI6058" s="1"/>
      <c r="AJ6058" s="1"/>
      <c r="AK6058" s="1"/>
      <c r="AL6058" s="1"/>
      <c r="AM6058" s="1"/>
      <c r="AN6058" s="1"/>
      <c r="AO6058" s="1"/>
      <c r="AP6058" s="1"/>
      <c r="AQ6058" s="1"/>
      <c r="AR6058" s="1"/>
      <c r="AS6058" s="1"/>
      <c r="AT6058" s="1"/>
      <c r="AU6058" s="1"/>
      <c r="AV6058" s="1"/>
      <c r="AW6058" s="1"/>
      <c r="AX6058" s="1"/>
      <c r="AY6058" s="1"/>
      <c r="AZ6058" s="1"/>
      <c r="BA6058" s="1"/>
      <c r="BB6058" s="1"/>
    </row>
    <row r="6059" ht="204.75" customHeight="1">
      <c r="A6059" s="1">
        <v>5752.0</v>
      </c>
      <c r="B6059" s="2" t="s">
        <v>16170</v>
      </c>
      <c r="C6059" s="2">
        <f>IFERROR(__xludf.DUMMYFUNCTION("split(B6059,""_"")"),807.0)</f>
        <v>807</v>
      </c>
      <c r="D6059" s="2" t="str">
        <f>IFERROR(__xludf.DUMMYFUNCTION("""COMPUTED_VALUE"""),"TBS")</f>
        <v>TBS</v>
      </c>
      <c r="E6059" s="2" t="str">
        <f>IFERROR(__xludf.DUMMYFUNCTION("""COMPUTED_VALUE"""),"日21")</f>
        <v>日21</v>
      </c>
      <c r="F6059" s="2" t="s">
        <v>16171</v>
      </c>
      <c r="G6059" s="2" t="s">
        <v>16172</v>
      </c>
      <c r="H6059" s="1">
        <v>7.0</v>
      </c>
      <c r="J6059" s="1" t="s">
        <v>11</v>
      </c>
      <c r="K6059" s="2" t="s">
        <v>16179</v>
      </c>
      <c r="L6059" s="2"/>
      <c r="M6059" s="2" t="str">
        <f>IFERROR(__xludf.DUMMYFUNCTION("split(split(K6059,""【"",false),""公式LINE"",false)"),"見捨てられた患者竹野内豊　菅野美穂　緒川たまき　黒川智花　エド・はるみ　永田彬　橋本真実　田中実  志賀廣太郎　陣内孝則（特別出演）　岸部一徳  星村麻衣「ひかり」（SMEレコ―ズ）韓哲篠崎絵里子伊與田英徳  正木敦TBSテレビ  http://www.tbs.co.jp/Tomorrow2008/  それぞれのやり方で再建へ動き出した、航平と紗綾。しかし強行な紗綾のやり方に、スタッフは反発する。  そんな中、あやまって階段から落ちてしまう紗綾。だが、市民病院は彼女の受け入れを拒否する。")</f>
        <v>見捨てられた患者竹野内豊　菅野美穂　緒川たまき　黒川智花　エド・はるみ　永田彬　橋本真実　田中実  志賀廣太郎　陣内孝則（特別出演）　岸部一徳  星村麻衣「ひかり」（SMEレコ―ズ）韓哲篠崎絵里子伊與田英徳  正木敦TBSテレビ  http://www.tbs.co.jp/Tomorrow2008/  それぞれのやり方で再建へ動き出した、航平と紗綾。しかし強行な紗綾のやり方に、スタッフは反発する。  そんな中、あやまって階段から落ちてしまう紗綾。だが、市民病院は彼女の受け入れを拒否する。</v>
      </c>
      <c r="N6059" s="2"/>
      <c r="O6059" s="2"/>
      <c r="P6059" s="1"/>
      <c r="Q6059" s="1"/>
      <c r="R6059" s="1"/>
      <c r="S6059" s="1"/>
      <c r="T6059" s="1"/>
      <c r="U6059" s="1"/>
      <c r="V6059" s="1"/>
      <c r="W6059" s="1"/>
      <c r="X6059" s="1"/>
      <c r="Y6059" s="1"/>
      <c r="Z6059" s="1"/>
      <c r="AA6059" s="1"/>
      <c r="AB6059" s="1"/>
      <c r="AC6059" s="1"/>
      <c r="AD6059" s="1"/>
      <c r="AE6059" s="1"/>
      <c r="AF6059" s="1"/>
      <c r="AG6059" s="1"/>
      <c r="AH6059" s="1"/>
      <c r="AI6059" s="1"/>
      <c r="AJ6059" s="1"/>
      <c r="AK6059" s="1"/>
      <c r="AL6059" s="1"/>
      <c r="AM6059" s="1"/>
      <c r="AN6059" s="1"/>
      <c r="AO6059" s="1"/>
      <c r="AP6059" s="1"/>
      <c r="AQ6059" s="1"/>
      <c r="AR6059" s="1"/>
      <c r="AS6059" s="1"/>
      <c r="AT6059" s="1"/>
      <c r="AU6059" s="1"/>
      <c r="AV6059" s="1"/>
      <c r="AW6059" s="1"/>
      <c r="AX6059" s="1"/>
      <c r="AY6059" s="1"/>
      <c r="AZ6059" s="1"/>
      <c r="BA6059" s="1"/>
      <c r="BB6059" s="1"/>
    </row>
    <row r="6060" ht="204.75" customHeight="1">
      <c r="A6060" s="1">
        <v>5753.0</v>
      </c>
      <c r="B6060" s="2" t="s">
        <v>16170</v>
      </c>
      <c r="C6060" s="2">
        <f>IFERROR(__xludf.DUMMYFUNCTION("split(B6060,""_"")"),807.0)</f>
        <v>807</v>
      </c>
      <c r="D6060" s="2" t="str">
        <f>IFERROR(__xludf.DUMMYFUNCTION("""COMPUTED_VALUE"""),"TBS")</f>
        <v>TBS</v>
      </c>
      <c r="E6060" s="2" t="str">
        <f>IFERROR(__xludf.DUMMYFUNCTION("""COMPUTED_VALUE"""),"日21")</f>
        <v>日21</v>
      </c>
      <c r="F6060" s="2" t="s">
        <v>16171</v>
      </c>
      <c r="G6060" s="2" t="s">
        <v>16172</v>
      </c>
      <c r="H6060" s="1">
        <v>8.0</v>
      </c>
      <c r="J6060" s="1" t="s">
        <v>11</v>
      </c>
      <c r="K6060" s="2" t="s">
        <v>16180</v>
      </c>
      <c r="L6060" s="2"/>
      <c r="M6060" s="2" t="str">
        <f>IFERROR(__xludf.DUMMYFUNCTION("split(split(K6060,""【"",false),""公式LINE"",false)"),"「看護師長、倒れる」回復した紗綾は再建計画を断行する。看護師達の間には動揺が広がり、師長の和子は彼らを叱責する。しかし和子自身も病を抱え、手術するか悩んでいた。  病気を隠し働いていた和子だったが、ついに倒れてしまう！竹野内豊　菅野美穂　緒川たまき　黒川智花　エド・はるみ　永田彬　橋本真実　田中実  志賀廣太郎　陣内孝則（特別出演）　岸部一徳星村麻衣「ひかり」（SMEレコ―ズ）篠崎絵里子  八津弘幸山室大輔伊與田英徳  正木敦TBSテレビ  http://www.tbs.co.jp/Tomorrow200"&amp;"8/")</f>
        <v>「看護師長、倒れる」回復した紗綾は再建計画を断行する。看護師達の間には動揺が広がり、師長の和子は彼らを叱責する。しかし和子自身も病を抱え、手術するか悩んでいた。  病気を隠し働いていた和子だったが、ついに倒れてしまう！竹野内豊　菅野美穂　緒川たまき　黒川智花　エド・はるみ　永田彬　橋本真実　田中実  志賀廣太郎　陣内孝則（特別出演）　岸部一徳星村麻衣「ひかり」（SMEレコ―ズ）篠崎絵里子  八津弘幸山室大輔伊與田英徳  正木敦TBSテレビ  http://www.tbs.co.jp/Tomorrow2008/</v>
      </c>
      <c r="N6060" s="2"/>
      <c r="O6060" s="2"/>
      <c r="P6060" s="1"/>
      <c r="Q6060" s="1"/>
      <c r="R6060" s="1"/>
      <c r="S6060" s="1"/>
      <c r="T6060" s="1"/>
      <c r="U6060" s="1"/>
      <c r="V6060" s="1"/>
      <c r="W6060" s="1"/>
      <c r="X6060" s="1"/>
      <c r="Y6060" s="1"/>
      <c r="Z6060" s="1"/>
      <c r="AA6060" s="1"/>
      <c r="AB6060" s="1"/>
      <c r="AC6060" s="1"/>
      <c r="AD6060" s="1"/>
      <c r="AE6060" s="1"/>
      <c r="AF6060" s="1"/>
      <c r="AG6060" s="1"/>
      <c r="AH6060" s="1"/>
      <c r="AI6060" s="1"/>
      <c r="AJ6060" s="1"/>
      <c r="AK6060" s="1"/>
      <c r="AL6060" s="1"/>
      <c r="AM6060" s="1"/>
      <c r="AN6060" s="1"/>
      <c r="AO6060" s="1"/>
      <c r="AP6060" s="1"/>
      <c r="AQ6060" s="1"/>
      <c r="AR6060" s="1"/>
      <c r="AS6060" s="1"/>
      <c r="AT6060" s="1"/>
      <c r="AU6060" s="1"/>
      <c r="AV6060" s="1"/>
      <c r="AW6060" s="1"/>
      <c r="AX6060" s="1"/>
      <c r="AY6060" s="1"/>
      <c r="AZ6060" s="1"/>
      <c r="BA6060" s="1"/>
      <c r="BB6060" s="1"/>
    </row>
    <row r="6061" ht="204.75" customHeight="1">
      <c r="A6061" s="1">
        <v>5754.0</v>
      </c>
      <c r="B6061" s="2" t="s">
        <v>16170</v>
      </c>
      <c r="C6061" s="2">
        <f>IFERROR(__xludf.DUMMYFUNCTION("split(B6061,""_"")"),807.0)</f>
        <v>807</v>
      </c>
      <c r="D6061" s="2" t="str">
        <f>IFERROR(__xludf.DUMMYFUNCTION("""COMPUTED_VALUE"""),"TBS")</f>
        <v>TBS</v>
      </c>
      <c r="E6061" s="2" t="str">
        <f>IFERROR(__xludf.DUMMYFUNCTION("""COMPUTED_VALUE"""),"日21")</f>
        <v>日21</v>
      </c>
      <c r="F6061" s="2" t="s">
        <v>16171</v>
      </c>
      <c r="G6061" s="2" t="s">
        <v>16172</v>
      </c>
      <c r="H6061" s="1">
        <v>9.0</v>
      </c>
      <c r="J6061" s="1" t="s">
        <v>11</v>
      </c>
      <c r="K6061" s="2" t="s">
        <v>16181</v>
      </c>
      <c r="L6061" s="2"/>
      <c r="M6061" s="2" t="str">
        <f>IFERROR(__xludf.DUMMYFUNCTION("split(split(K6061,""【"",false),""公式LINE"",false)"),"「妻の死と病院閉鎖」開業医をしている仙道の妻・昌江が倒れ、植物状態になってしまう。仙道はこのまま彼女を生かし続けるべきか苦悩する。  そんなある日、蓮見が全面的に病院を閉鎖すると発表し、スタッフたちは衝撃を受ける。竹野内豊　菅野美穂　緒川たまき　黒川智花　エド・はるみ　永田彬　橋本真実　田中実  志賀廣太郎　陣内孝則（特別出演）　岸部一徳  星村麻衣「ひかり」（SMEレコ―ズ）篠崎絵里子川嶋龍太郎伊與田英徳  正木敦TBSテレビ  http://www.tbs.co.jp/Tomorrow2008/")</f>
        <v>「妻の死と病院閉鎖」開業医をしている仙道の妻・昌江が倒れ、植物状態になってしまう。仙道はこのまま彼女を生かし続けるべきか苦悩する。  そんなある日、蓮見が全面的に病院を閉鎖すると発表し、スタッフたちは衝撃を受ける。竹野内豊　菅野美穂　緒川たまき　黒川智花　エド・はるみ　永田彬　橋本真実　田中実  志賀廣太郎　陣内孝則（特別出演）　岸部一徳  星村麻衣「ひかり」（SMEレコ―ズ）篠崎絵里子川嶋龍太郎伊與田英徳  正木敦TBSテレビ  http://www.tbs.co.jp/Tomorrow2008/</v>
      </c>
      <c r="N6061" s="2"/>
      <c r="O6061" s="2"/>
      <c r="P6061" s="1"/>
      <c r="Q6061" s="1"/>
      <c r="R6061" s="1"/>
      <c r="S6061" s="1"/>
      <c r="T6061" s="1"/>
      <c r="U6061" s="1"/>
      <c r="V6061" s="1"/>
      <c r="W6061" s="1"/>
      <c r="X6061" s="1"/>
      <c r="Y6061" s="1"/>
      <c r="Z6061" s="1"/>
      <c r="AA6061" s="1"/>
      <c r="AB6061" s="1"/>
      <c r="AC6061" s="1"/>
      <c r="AD6061" s="1"/>
      <c r="AE6061" s="1"/>
      <c r="AF6061" s="1"/>
      <c r="AG6061" s="1"/>
      <c r="AH6061" s="1"/>
      <c r="AI6061" s="1"/>
      <c r="AJ6061" s="1"/>
      <c r="AK6061" s="1"/>
      <c r="AL6061" s="1"/>
      <c r="AM6061" s="1"/>
      <c r="AN6061" s="1"/>
      <c r="AO6061" s="1"/>
      <c r="AP6061" s="1"/>
      <c r="AQ6061" s="1"/>
      <c r="AR6061" s="1"/>
      <c r="AS6061" s="1"/>
      <c r="AT6061" s="1"/>
      <c r="AU6061" s="1"/>
      <c r="AV6061" s="1"/>
      <c r="AW6061" s="1"/>
      <c r="AX6061" s="1"/>
      <c r="AY6061" s="1"/>
      <c r="AZ6061" s="1"/>
      <c r="BA6061" s="1"/>
      <c r="BB6061" s="1"/>
    </row>
    <row r="6062" ht="204.75" customHeight="1">
      <c r="A6062" s="1">
        <v>5755.0</v>
      </c>
      <c r="B6062" s="2" t="s">
        <v>16170</v>
      </c>
      <c r="C6062" s="2">
        <f>IFERROR(__xludf.DUMMYFUNCTION("split(B6062,""_"")"),807.0)</f>
        <v>807</v>
      </c>
      <c r="D6062" s="2" t="str">
        <f>IFERROR(__xludf.DUMMYFUNCTION("""COMPUTED_VALUE"""),"TBS")</f>
        <v>TBS</v>
      </c>
      <c r="E6062" s="2" t="str">
        <f>IFERROR(__xludf.DUMMYFUNCTION("""COMPUTED_VALUE"""),"日21")</f>
        <v>日21</v>
      </c>
      <c r="F6062" s="2" t="s">
        <v>16171</v>
      </c>
      <c r="G6062" s="2" t="s">
        <v>16172</v>
      </c>
      <c r="H6062" s="1">
        <v>10.0</v>
      </c>
      <c r="J6062" s="1" t="s">
        <v>11</v>
      </c>
      <c r="K6062" s="2" t="s">
        <v>16182</v>
      </c>
      <c r="L6062" s="2"/>
      <c r="M6062" s="2" t="str">
        <f>IFERROR(__xludf.DUMMYFUNCTION("split(split(K6062,""【"",false),""公式LINE"",false)"),"「死ぬな！病院…!!」  病院閉鎖が決定し、スタッフはそれぞれの道へ進むが、航平と愛子は再建を諦めない。  そんな中、愛子は閉鎖反対の署名活動中に事故に遭い、重体になってしまう・・・。  愛子の命は！？そして市民病院の運命は！？竹野内豊　菅野美穂　緒川たまき　黒川智花　エド・はるみ　永田彬　橋本真実　田中実  志賀廣太郎　陣内孝則（特別出演）　岸部一徳  星村麻衣「ひかり」（SMEレコ―ズ）篠崎絵里子山室大輔伊與田英徳  正木敦TBSテレビ  http://www.tbs.co.jp/Tomorrow20"&amp;"08/")</f>
        <v>「死ぬな！病院…!!」  病院閉鎖が決定し、スタッフはそれぞれの道へ進むが、航平と愛子は再建を諦めない。  そんな中、愛子は閉鎖反対の署名活動中に事故に遭い、重体になってしまう・・・。  愛子の命は！？そして市民病院の運命は！？竹野内豊　菅野美穂　緒川たまき　黒川智花　エド・はるみ　永田彬　橋本真実　田中実  志賀廣太郎　陣内孝則（特別出演）　岸部一徳  星村麻衣「ひかり」（SMEレコ―ズ）篠崎絵里子山室大輔伊與田英徳  正木敦TBSテレビ  http://www.tbs.co.jp/Tomorrow2008/</v>
      </c>
      <c r="N6062" s="2"/>
      <c r="O6062" s="2"/>
      <c r="P6062" s="1"/>
      <c r="Q6062" s="1"/>
      <c r="R6062" s="1"/>
      <c r="S6062" s="1"/>
      <c r="T6062" s="1"/>
      <c r="U6062" s="1"/>
      <c r="V6062" s="1"/>
      <c r="W6062" s="1"/>
      <c r="X6062" s="1"/>
      <c r="Y6062" s="1"/>
      <c r="Z6062" s="1"/>
      <c r="AA6062" s="1"/>
      <c r="AB6062" s="1"/>
      <c r="AC6062" s="1"/>
      <c r="AD6062" s="1"/>
      <c r="AE6062" s="1"/>
      <c r="AF6062" s="1"/>
      <c r="AG6062" s="1"/>
      <c r="AH6062" s="1"/>
      <c r="AI6062" s="1"/>
      <c r="AJ6062" s="1"/>
      <c r="AK6062" s="1"/>
      <c r="AL6062" s="1"/>
      <c r="AM6062" s="1"/>
      <c r="AN6062" s="1"/>
      <c r="AO6062" s="1"/>
      <c r="AP6062" s="1"/>
      <c r="AQ6062" s="1"/>
      <c r="AR6062" s="1"/>
      <c r="AS6062" s="1"/>
      <c r="AT6062" s="1"/>
      <c r="AU6062" s="1"/>
      <c r="AV6062" s="1"/>
      <c r="AW6062" s="1"/>
      <c r="AX6062" s="1"/>
      <c r="AY6062" s="1"/>
      <c r="AZ6062" s="1"/>
      <c r="BA6062" s="1"/>
      <c r="BB6062" s="1"/>
    </row>
    <row r="6063" ht="204.75" customHeight="1">
      <c r="A6063" s="1">
        <v>5838.0</v>
      </c>
      <c r="B6063" s="2" t="s">
        <v>16183</v>
      </c>
      <c r="C6063" s="2">
        <f>IFERROR(__xludf.DUMMYFUNCTION("split(B6063,""_"")"),804.0)</f>
        <v>804</v>
      </c>
      <c r="D6063" s="2" t="str">
        <f>IFERROR(__xludf.DUMMYFUNCTION("""COMPUTED_VALUE"""),"TBS")</f>
        <v>TBS</v>
      </c>
      <c r="E6063" s="2" t="str">
        <f>IFERROR(__xludf.DUMMYFUNCTION("""COMPUTED_VALUE"""),"金22")</f>
        <v>金22</v>
      </c>
      <c r="F6063" s="2" t="s">
        <v>16184</v>
      </c>
      <c r="G6063" s="2" t="s">
        <v>16185</v>
      </c>
      <c r="H6063" s="1">
        <v>1.0</v>
      </c>
      <c r="J6063" s="1" t="s">
        <v>82</v>
      </c>
      <c r="K6063" s="2" t="s">
        <v>16186</v>
      </c>
      <c r="L6063" s="2"/>
      <c r="M6063" s="2" t="str">
        <f>IFERROR(__xludf.DUMMYFUNCTION("split(split(K6063,""【"",false),""公式LINE"",false)"),"かわいそうなの私!?注文の多いオンナ達  聡子（天海祐希）は39歳独身精神科医。雑誌編集者の奈央（大塚寧々）や洋食屋経営のマ―君（筒井道隆）ら、独身仲間と楽しく「おひとりさま」ライフを謳歌しているが、同窓会でかつての親友で主婦の瑞恵（松下由樹）に久しぶりに会い、出産年齢の限界、つまり「女のタイムリミット」を説かれ動揺する。そんな折仕事で失敗したという奈央を慰めに行った温泉旅館で「ケチじゃなくてエコ」と説教する不思議な男（藤木直人）と出会い・・・天海祐希　藤木直人　大塚寧々　筒井道隆　松下由樹　／　AKIR"&amp;"A（EXILE）　さくら　松尾貴史　松本若菜　大場久美子　吉瀬美智子　片桐はいり　丸山智己　神保悟志　／　加賀まりこ　林隆三　(他)竹内まりや「幸せのものさし」（ワ―ナ―ミュ―ジック）橋部敦子瀬戸口克陽　高成麻畝子  TBSテレビ  http://www.tbs.co.jp/around40")</f>
        <v>かわいそうなの私!?注文の多いオンナ達  聡子（天海祐希）は39歳独身精神科医。雑誌編集者の奈央（大塚寧々）や洋食屋経営のマ―君（筒井道隆）ら、独身仲間と楽しく「おひとりさま」ライフを謳歌しているが、同窓会でかつての親友で主婦の瑞恵（松下由樹）に久しぶりに会い、出産年齢の限界、つまり「女のタイムリミット」を説かれ動揺する。そんな折仕事で失敗したという奈央を慰めに行った温泉旅館で「ケチじゃなくてエコ」と説教する不思議な男（藤木直人）と出会い・・・天海祐希　藤木直人　大塚寧々　筒井道隆　松下由樹　／　AKIRA（EXILE）　さくら　松尾貴史　松本若菜　大場久美子　吉瀬美智子　片桐はいり　丸山智己　神保悟志　／　加賀まりこ　林隆三　(他)竹内まりや「幸せのものさし」（ワ―ナ―ミュ―ジック）橋部敦子瀬戸口克陽　高成麻畝子  TBSテレビ  http://www.tbs.co.jp/around40</v>
      </c>
      <c r="N6063" s="2"/>
      <c r="O6063" s="2"/>
      <c r="P6063" s="1"/>
      <c r="Q6063" s="1"/>
      <c r="R6063" s="1"/>
      <c r="S6063" s="1"/>
      <c r="T6063" s="1"/>
      <c r="U6063" s="1"/>
      <c r="V6063" s="1"/>
      <c r="W6063" s="1"/>
      <c r="X6063" s="1"/>
      <c r="Y6063" s="1"/>
      <c r="Z6063" s="1"/>
      <c r="AA6063" s="1"/>
      <c r="AB6063" s="1"/>
      <c r="AC6063" s="1"/>
      <c r="AD6063" s="1"/>
      <c r="AE6063" s="1"/>
      <c r="AF6063" s="1"/>
      <c r="AG6063" s="1"/>
      <c r="AH6063" s="1"/>
      <c r="AI6063" s="1"/>
      <c r="AJ6063" s="1"/>
      <c r="AK6063" s="1"/>
      <c r="AL6063" s="1"/>
      <c r="AM6063" s="1"/>
      <c r="AN6063" s="1"/>
      <c r="AO6063" s="1"/>
      <c r="AP6063" s="1"/>
      <c r="AQ6063" s="1"/>
      <c r="AR6063" s="1"/>
      <c r="AS6063" s="1"/>
      <c r="AT6063" s="1"/>
      <c r="AU6063" s="1"/>
      <c r="AV6063" s="1"/>
      <c r="AW6063" s="1"/>
      <c r="AX6063" s="1"/>
      <c r="AY6063" s="1"/>
      <c r="AZ6063" s="1"/>
      <c r="BA6063" s="1"/>
      <c r="BB6063" s="1"/>
    </row>
    <row r="6064" ht="204.75" customHeight="1">
      <c r="A6064" s="1">
        <v>5839.0</v>
      </c>
      <c r="B6064" s="2" t="s">
        <v>16183</v>
      </c>
      <c r="C6064" s="2">
        <f>IFERROR(__xludf.DUMMYFUNCTION("split(B6064,""_"")"),804.0)</f>
        <v>804</v>
      </c>
      <c r="D6064" s="2" t="str">
        <f>IFERROR(__xludf.DUMMYFUNCTION("""COMPUTED_VALUE"""),"TBS")</f>
        <v>TBS</v>
      </c>
      <c r="E6064" s="2" t="str">
        <f>IFERROR(__xludf.DUMMYFUNCTION("""COMPUTED_VALUE"""),"金22")</f>
        <v>金22</v>
      </c>
      <c r="F6064" s="2" t="s">
        <v>16184</v>
      </c>
      <c r="G6064" s="2" t="s">
        <v>16185</v>
      </c>
      <c r="H6064" s="1">
        <v>2.0</v>
      </c>
      <c r="J6064" s="1" t="s">
        <v>86</v>
      </c>
      <c r="K6064" s="2" t="s">
        <v>16187</v>
      </c>
      <c r="L6064" s="2"/>
      <c r="M6064" s="2" t="str">
        <f>IFERROR(__xludf.DUMMYFUNCTION("split(split(K6064,""【"",false),""公式LINE"",false)"),"「39歳のプライドと偏見」聡子（天海祐希）の働く職場に、臨床心理士の恵太朗（藤木直人）がやってきた。が、次第にその変人ぶりが明らかになり周囲を驚かせる。しかもある患者の治療方針をめぐり聡子と恵太朗は対立し…。プライドを捨てて結婚相談所に入った聡子だったが、紹介される男性は聡子のプライドを満足させるものではなく…。そんな折、奈央（大塚寧々）に紹介された男性、大島（寺脇康文）に会う。大島は結婚相手として理想的な男性だったが…。天海祐希　藤木直人　大塚寧々　筒井道隆　松下由樹　  大場久美子　吉瀬美智子　松本若"&amp;"菜　片桐はいり　寺脇康文　  松尾貴史　丸山智己　神保悟志　林隆三　加賀まりこ  竹内まりや「幸せのものさし」（ワ―ナ―ミュ―ジック）橋部敦子瀬戸口克陽　高成麻畝子TBSテレビ  http://www.tbs.co.jp/around40")</f>
        <v>「39歳のプライドと偏見」聡子（天海祐希）の働く職場に、臨床心理士の恵太朗（藤木直人）がやってきた。が、次第にその変人ぶりが明らかになり周囲を驚かせる。しかもある患者の治療方針をめぐり聡子と恵太朗は対立し…。プライドを捨てて結婚相談所に入った聡子だったが、紹介される男性は聡子のプライドを満足させるものではなく…。そんな折、奈央（大塚寧々）に紹介された男性、大島（寺脇康文）に会う。大島は結婚相手として理想的な男性だったが…。天海祐希　藤木直人　大塚寧々　筒井道隆　松下由樹　  大場久美子　吉瀬美智子　松本若菜　片桐はいり　寺脇康文　  松尾貴史　丸山智己　神保悟志　林隆三　加賀まりこ  竹内まりや「幸せのものさし」（ワ―ナ―ミュ―ジック）橋部敦子瀬戸口克陽　高成麻畝子TBSテレビ  http://www.tbs.co.jp/around40</v>
      </c>
      <c r="N6064" s="2"/>
      <c r="O6064" s="2"/>
      <c r="P6064" s="1"/>
      <c r="Q6064" s="1"/>
      <c r="R6064" s="1"/>
      <c r="S6064" s="1"/>
      <c r="T6064" s="1"/>
      <c r="U6064" s="1"/>
      <c r="V6064" s="1"/>
      <c r="W6064" s="1"/>
      <c r="X6064" s="1"/>
      <c r="Y6064" s="1"/>
      <c r="Z6064" s="1"/>
      <c r="AA6064" s="1"/>
      <c r="AB6064" s="1"/>
      <c r="AC6064" s="1"/>
      <c r="AD6064" s="1"/>
      <c r="AE6064" s="1"/>
      <c r="AF6064" s="1"/>
      <c r="AG6064" s="1"/>
      <c r="AH6064" s="1"/>
      <c r="AI6064" s="1"/>
      <c r="AJ6064" s="1"/>
      <c r="AK6064" s="1"/>
      <c r="AL6064" s="1"/>
      <c r="AM6064" s="1"/>
      <c r="AN6064" s="1"/>
      <c r="AO6064" s="1"/>
      <c r="AP6064" s="1"/>
      <c r="AQ6064" s="1"/>
      <c r="AR6064" s="1"/>
      <c r="AS6064" s="1"/>
      <c r="AT6064" s="1"/>
      <c r="AU6064" s="1"/>
      <c r="AV6064" s="1"/>
      <c r="AW6064" s="1"/>
      <c r="AX6064" s="1"/>
      <c r="AY6064" s="1"/>
      <c r="AZ6064" s="1"/>
      <c r="BA6064" s="1"/>
      <c r="BB6064" s="1"/>
    </row>
    <row r="6065" ht="204.75" customHeight="1">
      <c r="A6065" s="1">
        <v>5840.0</v>
      </c>
      <c r="B6065" s="2" t="s">
        <v>16183</v>
      </c>
      <c r="C6065" s="2">
        <f>IFERROR(__xludf.DUMMYFUNCTION("split(B6065,""_"")"),804.0)</f>
        <v>804</v>
      </c>
      <c r="D6065" s="2" t="str">
        <f>IFERROR(__xludf.DUMMYFUNCTION("""COMPUTED_VALUE"""),"TBS")</f>
        <v>TBS</v>
      </c>
      <c r="E6065" s="2" t="str">
        <f>IFERROR(__xludf.DUMMYFUNCTION("""COMPUTED_VALUE"""),"金22")</f>
        <v>金22</v>
      </c>
      <c r="F6065" s="2" t="s">
        <v>16184</v>
      </c>
      <c r="G6065" s="2" t="s">
        <v>16185</v>
      </c>
      <c r="H6065" s="1">
        <v>3.0</v>
      </c>
      <c r="J6065" s="1" t="s">
        <v>86</v>
      </c>
      <c r="K6065" s="2" t="s">
        <v>16188</v>
      </c>
      <c r="L6065" s="2"/>
      <c r="M6065" s="2" t="str">
        <f>IFERROR(__xludf.DUMMYFUNCTION("split(split(K6065,""【"",false),""公式LINE"",false)"),"「思い込み女vs非常識男」  聡子（天海祐希）の働く職場に臨床心理士の恵太朗（藤木直人）がやってきた。が、次第にその変人ぶりが明らかになり周囲を驚かせる。しかもある患者の治療方針をめぐり聡子と恵太朗は対立し…。プライドを捨てて結婚相談所に入った聡子だったが、紹介される男性は聡子のプライドを満足させるものではなく…。そんな折、奈央（大塚寧々）に紹介された男性、大島（寺脇康文）に会う。大島は結婚相手として理想的な男性だったが…天海祐希　藤木直人　大塚寧々　筒井道隆　松下由樹  大場久美子　吉瀬美智子　松本若菜"&amp;"　片桐はいり　寺脇康文　  松尾貴史　丸山智己　神保悟志　林隆三　加賀まりこ  竹内まりや「幸せのものさし」（ワ―ナ―ミュ―ジック）橋部敦子瀬戸口克陽　高成麻畝子TBSテレビ  http://www.tbs.co.jp/around40")</f>
        <v>「思い込み女vs非常識男」  聡子（天海祐希）の働く職場に臨床心理士の恵太朗（藤木直人）がやってきた。が、次第にその変人ぶりが明らかになり周囲を驚かせる。しかもある患者の治療方針をめぐり聡子と恵太朗は対立し…。プライドを捨てて結婚相談所に入った聡子だったが、紹介される男性は聡子のプライドを満足させるものではなく…。そんな折、奈央（大塚寧々）に紹介された男性、大島（寺脇康文）に会う。大島は結婚相手として理想的な男性だったが…天海祐希　藤木直人　大塚寧々　筒井道隆　松下由樹  大場久美子　吉瀬美智子　松本若菜　片桐はいり　寺脇康文　  松尾貴史　丸山智己　神保悟志　林隆三　加賀まりこ  竹内まりや「幸せのものさし」（ワ―ナ―ミュ―ジック）橋部敦子瀬戸口克陽　高成麻畝子TBSテレビ  http://www.tbs.co.jp/around40</v>
      </c>
      <c r="N6065" s="2"/>
      <c r="O6065" s="2"/>
      <c r="P6065" s="1"/>
      <c r="Q6065" s="1"/>
      <c r="R6065" s="1"/>
      <c r="S6065" s="1"/>
      <c r="T6065" s="1"/>
      <c r="U6065" s="1"/>
      <c r="V6065" s="1"/>
      <c r="W6065" s="1"/>
      <c r="X6065" s="1"/>
      <c r="Y6065" s="1"/>
      <c r="Z6065" s="1"/>
      <c r="AA6065" s="1"/>
      <c r="AB6065" s="1"/>
      <c r="AC6065" s="1"/>
      <c r="AD6065" s="1"/>
      <c r="AE6065" s="1"/>
      <c r="AF6065" s="1"/>
      <c r="AG6065" s="1"/>
      <c r="AH6065" s="1"/>
      <c r="AI6065" s="1"/>
      <c r="AJ6065" s="1"/>
      <c r="AK6065" s="1"/>
      <c r="AL6065" s="1"/>
      <c r="AM6065" s="1"/>
      <c r="AN6065" s="1"/>
      <c r="AO6065" s="1"/>
      <c r="AP6065" s="1"/>
      <c r="AQ6065" s="1"/>
      <c r="AR6065" s="1"/>
      <c r="AS6065" s="1"/>
      <c r="AT6065" s="1"/>
      <c r="AU6065" s="1"/>
      <c r="AV6065" s="1"/>
      <c r="AW6065" s="1"/>
      <c r="AX6065" s="1"/>
      <c r="AY6065" s="1"/>
      <c r="AZ6065" s="1"/>
      <c r="BA6065" s="1"/>
      <c r="BB6065" s="1"/>
    </row>
    <row r="6066" ht="204.75" customHeight="1">
      <c r="A6066" s="1">
        <v>5841.0</v>
      </c>
      <c r="B6066" s="2" t="s">
        <v>16183</v>
      </c>
      <c r="C6066" s="2">
        <f>IFERROR(__xludf.DUMMYFUNCTION("split(B6066,""_"")"),804.0)</f>
        <v>804</v>
      </c>
      <c r="D6066" s="2" t="str">
        <f>IFERROR(__xludf.DUMMYFUNCTION("""COMPUTED_VALUE"""),"TBS")</f>
        <v>TBS</v>
      </c>
      <c r="E6066" s="2" t="str">
        <f>IFERROR(__xludf.DUMMYFUNCTION("""COMPUTED_VALUE"""),"金22")</f>
        <v>金22</v>
      </c>
      <c r="F6066" s="2" t="s">
        <v>16184</v>
      </c>
      <c r="G6066" s="2" t="s">
        <v>16185</v>
      </c>
      <c r="H6066" s="1">
        <v>4.0</v>
      </c>
      <c r="J6066" s="1" t="s">
        <v>86</v>
      </c>
      <c r="K6066" s="2" t="s">
        <v>16189</v>
      </c>
      <c r="L6066" s="2"/>
      <c r="M6066" s="2" t="str">
        <f>IFERROR(__xludf.DUMMYFUNCTION("split(split(K6066,""【"",false),""公式LINE"",false)"),"「気の合う男vs昔の男」天海祐希　藤木直人　大塚寧々　筒井道隆　松下由樹　(他)竹内まりや「幸せのものさし」（ワ―ナ―ミュ―ジック）橋部敦子瀬戸口克陽　高成麻畝子  TBSテレビ  http://www.tbs.co.jp/around40")</f>
        <v>「気の合う男vs昔の男」天海祐希　藤木直人　大塚寧々　筒井道隆　松下由樹　(他)竹内まりや「幸せのものさし」（ワ―ナ―ミュ―ジック）橋部敦子瀬戸口克陽　高成麻畝子  TBSテレビ  http://www.tbs.co.jp/around40</v>
      </c>
      <c r="N6066" s="2"/>
      <c r="O6066" s="2"/>
      <c r="P6066" s="1"/>
      <c r="Q6066" s="1"/>
      <c r="R6066" s="1"/>
      <c r="S6066" s="1"/>
      <c r="T6066" s="1"/>
      <c r="U6066" s="1"/>
      <c r="V6066" s="1"/>
      <c r="W6066" s="1"/>
      <c r="X6066" s="1"/>
      <c r="Y6066" s="1"/>
      <c r="Z6066" s="1"/>
      <c r="AA6066" s="1"/>
      <c r="AB6066" s="1"/>
      <c r="AC6066" s="1"/>
      <c r="AD6066" s="1"/>
      <c r="AE6066" s="1"/>
      <c r="AF6066" s="1"/>
      <c r="AG6066" s="1"/>
      <c r="AH6066" s="1"/>
      <c r="AI6066" s="1"/>
      <c r="AJ6066" s="1"/>
      <c r="AK6066" s="1"/>
      <c r="AL6066" s="1"/>
      <c r="AM6066" s="1"/>
      <c r="AN6066" s="1"/>
      <c r="AO6066" s="1"/>
      <c r="AP6066" s="1"/>
      <c r="AQ6066" s="1"/>
      <c r="AR6066" s="1"/>
      <c r="AS6066" s="1"/>
      <c r="AT6066" s="1"/>
      <c r="AU6066" s="1"/>
      <c r="AV6066" s="1"/>
      <c r="AW6066" s="1"/>
      <c r="AX6066" s="1"/>
      <c r="AY6066" s="1"/>
      <c r="AZ6066" s="1"/>
      <c r="BA6066" s="1"/>
      <c r="BB6066" s="1"/>
    </row>
    <row r="6067" ht="204.75" customHeight="1">
      <c r="A6067" s="1">
        <v>5842.0</v>
      </c>
      <c r="B6067" s="2" t="s">
        <v>16183</v>
      </c>
      <c r="C6067" s="2">
        <f>IFERROR(__xludf.DUMMYFUNCTION("split(B6067,""_"")"),804.0)</f>
        <v>804</v>
      </c>
      <c r="D6067" s="2" t="str">
        <f>IFERROR(__xludf.DUMMYFUNCTION("""COMPUTED_VALUE"""),"TBS")</f>
        <v>TBS</v>
      </c>
      <c r="E6067" s="2" t="str">
        <f>IFERROR(__xludf.DUMMYFUNCTION("""COMPUTED_VALUE"""),"金22")</f>
        <v>金22</v>
      </c>
      <c r="F6067" s="2" t="s">
        <v>16184</v>
      </c>
      <c r="G6067" s="2" t="s">
        <v>16185</v>
      </c>
      <c r="H6067" s="1">
        <v>5.0</v>
      </c>
      <c r="J6067" s="1" t="s">
        <v>86</v>
      </c>
      <c r="K6067" s="2" t="s">
        <v>16190</v>
      </c>
      <c r="L6067" s="2"/>
      <c r="M6067" s="2" t="str">
        <f>IFERROR(__xludf.DUMMYFUNCTION("split(split(K6067,""【"",false),""公式LINE"",false)"),"「39歳、人生最後の恋」和哉（加藤雅也）にプロポ―ズされた聡子（天海祐希）は嬉しさを隠せない。奈央（大塚寧々）は新雑誌の編集長を任され、瑞江（松下由樹）は家族の反対を押し切って働きに出ると宣言した。動きだしたアラフォ―達だが…そんな折、貞夫の店を訪れた和哉は突然倒れてしまうのだった。恵太朗（藤木直人）は、聡子に内緒で和哉のカウンセリングを始める。やがて、衝撃的な過去が明かされるのだが…果たして、聡子は！天海祐希　藤木直人　大塚寧々　筒井道隆　松下由樹　(他)竹内まりや「幸せのものさし」（ワ―ナ―ミュ―ジッ"&amp;"ク）橋部敦子瀬戸口克陽　高成麻畝子吉田　健TBSテレビ  http://www.tbs.co.jp/around40")</f>
        <v>「39歳、人生最後の恋」和哉（加藤雅也）にプロポ―ズされた聡子（天海祐希）は嬉しさを隠せない。奈央（大塚寧々）は新雑誌の編集長を任され、瑞江（松下由樹）は家族の反対を押し切って働きに出ると宣言した。動きだしたアラフォ―達だが…そんな折、貞夫の店を訪れた和哉は突然倒れてしまうのだった。恵太朗（藤木直人）は、聡子に内緒で和哉のカウンセリングを始める。やがて、衝撃的な過去が明かされるのだが…果たして、聡子は！天海祐希　藤木直人　大塚寧々　筒井道隆　松下由樹　(他)竹内まりや「幸せのものさし」（ワ―ナ―ミュ―ジック）橋部敦子瀬戸口克陽　高成麻畝子吉田　健TBSテレビ  http://www.tbs.co.jp/around40</v>
      </c>
      <c r="N6067" s="2"/>
      <c r="O6067" s="2"/>
      <c r="P6067" s="1"/>
      <c r="Q6067" s="1"/>
      <c r="R6067" s="1"/>
      <c r="S6067" s="1"/>
      <c r="T6067" s="1"/>
      <c r="U6067" s="1"/>
      <c r="V6067" s="1"/>
      <c r="W6067" s="1"/>
      <c r="X6067" s="1"/>
      <c r="Y6067" s="1"/>
      <c r="Z6067" s="1"/>
      <c r="AA6067" s="1"/>
      <c r="AB6067" s="1"/>
      <c r="AC6067" s="1"/>
      <c r="AD6067" s="1"/>
      <c r="AE6067" s="1"/>
      <c r="AF6067" s="1"/>
      <c r="AG6067" s="1"/>
      <c r="AH6067" s="1"/>
      <c r="AI6067" s="1"/>
      <c r="AJ6067" s="1"/>
      <c r="AK6067" s="1"/>
      <c r="AL6067" s="1"/>
      <c r="AM6067" s="1"/>
      <c r="AN6067" s="1"/>
      <c r="AO6067" s="1"/>
      <c r="AP6067" s="1"/>
      <c r="AQ6067" s="1"/>
      <c r="AR6067" s="1"/>
      <c r="AS6067" s="1"/>
      <c r="AT6067" s="1"/>
      <c r="AU6067" s="1"/>
      <c r="AV6067" s="1"/>
      <c r="AW6067" s="1"/>
      <c r="AX6067" s="1"/>
      <c r="AY6067" s="1"/>
      <c r="AZ6067" s="1"/>
      <c r="BA6067" s="1"/>
      <c r="BB6067" s="1"/>
    </row>
    <row r="6068" ht="204.75" customHeight="1">
      <c r="A6068" s="1">
        <v>5843.0</v>
      </c>
      <c r="B6068" s="2" t="s">
        <v>16183</v>
      </c>
      <c r="C6068" s="2">
        <f>IFERROR(__xludf.DUMMYFUNCTION("split(B6068,""_"")"),804.0)</f>
        <v>804</v>
      </c>
      <c r="D6068" s="2" t="str">
        <f>IFERROR(__xludf.DUMMYFUNCTION("""COMPUTED_VALUE"""),"TBS")</f>
        <v>TBS</v>
      </c>
      <c r="E6068" s="2" t="str">
        <f>IFERROR(__xludf.DUMMYFUNCTION("""COMPUTED_VALUE"""),"金22")</f>
        <v>金22</v>
      </c>
      <c r="F6068" s="2" t="s">
        <v>16184</v>
      </c>
      <c r="G6068" s="2" t="s">
        <v>16185</v>
      </c>
      <c r="H6068" s="1">
        <v>6.0</v>
      </c>
      <c r="J6068" s="1" t="s">
        <v>86</v>
      </c>
      <c r="K6068" s="2" t="s">
        <v>16191</v>
      </c>
      <c r="L6068" s="2"/>
      <c r="M6068" s="2" t="str">
        <f>IFERROR(__xludf.DUMMYFUNCTION("split(split(K6068,""【"",false),""公式LINE"",false)"),"「格差恋愛の建前と本音」距離が近づく聡子（天海祐希）と恵太朗（藤木直人）だが、付き合うと公言も出来ず、年の差や医師と心理士という立場や経済力から気疲れして互いにギクシャクし始める…そんななか経済界の大物の子息を内々に精神科でカウンセリングしてほしいと依頼される。医師でない恵太朗に担当は無理だと断られるが聡子は…一方、奈央（大塚寧々）は子作りに夫の協力を得られず、仕事がうまく行かぬ瑞江（松下由樹）は恵太朗を頼ろうとするが…天海祐希　藤木直人　大塚寧々　筒井道隆　松下由樹　(他)竹内まりや「幸せのものさし」（"&amp;"ワ―ナ―ミュ―ジック）橋部敦子瀬戸口克陽　高成麻畝子  川嶋龍太郎TBSテレビ  http://www.tbs.co.jp/around40")</f>
        <v>「格差恋愛の建前と本音」距離が近づく聡子（天海祐希）と恵太朗（藤木直人）だが、付き合うと公言も出来ず、年の差や医師と心理士という立場や経済力から気疲れして互いにギクシャクし始める…そんななか経済界の大物の子息を内々に精神科でカウンセリングしてほしいと依頼される。医師でない恵太朗に担当は無理だと断られるが聡子は…一方、奈央（大塚寧々）は子作りに夫の協力を得られず、仕事がうまく行かぬ瑞江（松下由樹）は恵太朗を頼ろうとするが…天海祐希　藤木直人　大塚寧々　筒井道隆　松下由樹　(他)竹内まりや「幸せのものさし」（ワ―ナ―ミュ―ジック）橋部敦子瀬戸口克陽　高成麻畝子  川嶋龍太郎TBSテレビ  http://www.tbs.co.jp/around40</v>
      </c>
      <c r="N6068" s="2"/>
      <c r="O6068" s="2"/>
      <c r="P6068" s="1"/>
      <c r="Q6068" s="1"/>
      <c r="R6068" s="1"/>
      <c r="S6068" s="1"/>
      <c r="T6068" s="1"/>
      <c r="U6068" s="1"/>
      <c r="V6068" s="1"/>
      <c r="W6068" s="1"/>
      <c r="X6068" s="1"/>
      <c r="Y6068" s="1"/>
      <c r="Z6068" s="1"/>
      <c r="AA6068" s="1"/>
      <c r="AB6068" s="1"/>
      <c r="AC6068" s="1"/>
      <c r="AD6068" s="1"/>
      <c r="AE6068" s="1"/>
      <c r="AF6068" s="1"/>
      <c r="AG6068" s="1"/>
      <c r="AH6068" s="1"/>
      <c r="AI6068" s="1"/>
      <c r="AJ6068" s="1"/>
      <c r="AK6068" s="1"/>
      <c r="AL6068" s="1"/>
      <c r="AM6068" s="1"/>
      <c r="AN6068" s="1"/>
      <c r="AO6068" s="1"/>
      <c r="AP6068" s="1"/>
      <c r="AQ6068" s="1"/>
      <c r="AR6068" s="1"/>
      <c r="AS6068" s="1"/>
      <c r="AT6068" s="1"/>
      <c r="AU6068" s="1"/>
      <c r="AV6068" s="1"/>
      <c r="AW6068" s="1"/>
      <c r="AX6068" s="1"/>
      <c r="AY6068" s="1"/>
      <c r="AZ6068" s="1"/>
      <c r="BA6068" s="1"/>
      <c r="BB6068" s="1"/>
    </row>
    <row r="6069" ht="204.75" customHeight="1">
      <c r="A6069" s="1">
        <v>5844.0</v>
      </c>
      <c r="B6069" s="2" t="s">
        <v>16183</v>
      </c>
      <c r="C6069" s="2">
        <f>IFERROR(__xludf.DUMMYFUNCTION("split(B6069,""_"")"),804.0)</f>
        <v>804</v>
      </c>
      <c r="D6069" s="2" t="str">
        <f>IFERROR(__xludf.DUMMYFUNCTION("""COMPUTED_VALUE"""),"TBS")</f>
        <v>TBS</v>
      </c>
      <c r="E6069" s="2" t="str">
        <f>IFERROR(__xludf.DUMMYFUNCTION("""COMPUTED_VALUE"""),"金22")</f>
        <v>金22</v>
      </c>
      <c r="F6069" s="2" t="s">
        <v>16184</v>
      </c>
      <c r="G6069" s="2" t="s">
        <v>16185</v>
      </c>
      <c r="H6069" s="1">
        <v>7.0</v>
      </c>
      <c r="J6069" s="1" t="s">
        <v>86</v>
      </c>
      <c r="K6069" s="2" t="s">
        <v>16192</v>
      </c>
      <c r="L6069" s="2"/>
      <c r="M6069" s="2" t="str">
        <f>IFERROR(__xludf.DUMMYFUNCTION("split(split(K6069,""【"",false),""公式LINE"",false)"),"4人目のアラフォ―!?    晴れて互いの想いを確かめた聡子（天海祐希）と恵太朗（藤木直人）だったが、恵太朗に「結婚して」と迫る怪しい女（片桐はいり）が現れる。一方、聡子は二人の付き合いを皆に発表しようと貞夫（筒井道隆）の店に奈央（大塚寧々）と瑞江（松下由樹）を呼ぶ。しかし瑞江の恵太朗への想いは止まる処を知らず…さらに恵太朗を追って女もやってくる！しかもその場で恵太朗は「誰とも結婚しない」宣言をするのだった。果たして聡子は…天海祐希　藤木直人　大塚寧々　筒井道隆　松下由樹　(他)竹内まりや「幸せのものさし"&amp;"」（ワ―ナ―ミュ―ジック）橋部敦子瀬戸口克陽　高成麻畝子坪井敏雄TBSテレビ  http://www.tbs.co.jp/around40")</f>
        <v>4人目のアラフォ―!?    晴れて互いの想いを確かめた聡子（天海祐希）と恵太朗（藤木直人）だったが、恵太朗に「結婚して」と迫る怪しい女（片桐はいり）が現れる。一方、聡子は二人の付き合いを皆に発表しようと貞夫（筒井道隆）の店に奈央（大塚寧々）と瑞江（松下由樹）を呼ぶ。しかし瑞江の恵太朗への想いは止まる処を知らず…さらに恵太朗を追って女もやってくる！しかもその場で恵太朗は「誰とも結婚しない」宣言をするのだった。果たして聡子は…天海祐希　藤木直人　大塚寧々　筒井道隆　松下由樹　(他)竹内まりや「幸せのものさし」（ワ―ナ―ミュ―ジック）橋部敦子瀬戸口克陽　高成麻畝子坪井敏雄TBSテレビ  http://www.tbs.co.jp/around40</v>
      </c>
      <c r="N6069" s="2"/>
      <c r="O6069" s="2"/>
      <c r="P6069" s="1"/>
      <c r="Q6069" s="1"/>
      <c r="R6069" s="1"/>
      <c r="S6069" s="1"/>
      <c r="T6069" s="1"/>
      <c r="U6069" s="1"/>
      <c r="V6069" s="1"/>
      <c r="W6069" s="1"/>
      <c r="X6069" s="1"/>
      <c r="Y6069" s="1"/>
      <c r="Z6069" s="1"/>
      <c r="AA6069" s="1"/>
      <c r="AB6069" s="1"/>
      <c r="AC6069" s="1"/>
      <c r="AD6069" s="1"/>
      <c r="AE6069" s="1"/>
      <c r="AF6069" s="1"/>
      <c r="AG6069" s="1"/>
      <c r="AH6069" s="1"/>
      <c r="AI6069" s="1"/>
      <c r="AJ6069" s="1"/>
      <c r="AK6069" s="1"/>
      <c r="AL6069" s="1"/>
      <c r="AM6069" s="1"/>
      <c r="AN6069" s="1"/>
      <c r="AO6069" s="1"/>
      <c r="AP6069" s="1"/>
      <c r="AQ6069" s="1"/>
      <c r="AR6069" s="1"/>
      <c r="AS6069" s="1"/>
      <c r="AT6069" s="1"/>
      <c r="AU6069" s="1"/>
      <c r="AV6069" s="1"/>
      <c r="AW6069" s="1"/>
      <c r="AX6069" s="1"/>
      <c r="AY6069" s="1"/>
      <c r="AZ6069" s="1"/>
      <c r="BA6069" s="1"/>
      <c r="BB6069" s="1"/>
    </row>
    <row r="6070" ht="204.75" customHeight="1">
      <c r="A6070" s="1">
        <v>5845.0</v>
      </c>
      <c r="B6070" s="2" t="s">
        <v>16183</v>
      </c>
      <c r="C6070" s="2">
        <f>IFERROR(__xludf.DUMMYFUNCTION("split(B6070,""_"")"),804.0)</f>
        <v>804</v>
      </c>
      <c r="D6070" s="2" t="str">
        <f>IFERROR(__xludf.DUMMYFUNCTION("""COMPUTED_VALUE"""),"TBS")</f>
        <v>TBS</v>
      </c>
      <c r="E6070" s="2" t="str">
        <f>IFERROR(__xludf.DUMMYFUNCTION("""COMPUTED_VALUE"""),"金22")</f>
        <v>金22</v>
      </c>
      <c r="F6070" s="2" t="s">
        <v>16184</v>
      </c>
      <c r="G6070" s="2" t="s">
        <v>16185</v>
      </c>
      <c r="H6070" s="1">
        <v>8.0</v>
      </c>
      <c r="J6070" s="1" t="s">
        <v>86</v>
      </c>
      <c r="K6070" s="2" t="s">
        <v>16193</v>
      </c>
      <c r="L6070" s="2"/>
      <c r="M6070" s="2" t="str">
        <f>IFERROR(__xludf.DUMMYFUNCTION("split(split(K6070,""【"",false),""公式LINE"",false)"),"「彼が結婚しない理由」一夜を共にした聡子（天海祐希）と恵太朗（藤木直人）。そこに恵太朗の姉・和子（片桐はいり）が乗り込んできて思わぬ過去が明らかになる。聡子は恵太朗の心の傷を癒そうとある計画をたてるのだが…一方、仕事が順調になってきた瑞江（松下由樹）は逆に夫とうまく行かず、奈央（大塚寧々）も冷えた夫婦関係に苛立ちを隠せない。ついに、奈央を想う貞夫（筒井道隆）も高文（丸山智己）の会社に乗り込んでしまうのだった…。天海祐希　藤木直人　大塚寧々　筒井道隆　松下由樹　(他)竹内まりや「幸せのものさし」（ワ―ナ―ミ"&amp;"ュ―ジック）橋部敦子瀬戸口克陽　高成麻畝子吉田　健TBSテレビ  http://www.tbs.co.jp/around40")</f>
        <v>「彼が結婚しない理由」一夜を共にした聡子（天海祐希）と恵太朗（藤木直人）。そこに恵太朗の姉・和子（片桐はいり）が乗り込んできて思わぬ過去が明らかになる。聡子は恵太朗の心の傷を癒そうとある計画をたてるのだが…一方、仕事が順調になってきた瑞江（松下由樹）は逆に夫とうまく行かず、奈央（大塚寧々）も冷えた夫婦関係に苛立ちを隠せない。ついに、奈央を想う貞夫（筒井道隆）も高文（丸山智己）の会社に乗り込んでしまうのだった…。天海祐希　藤木直人　大塚寧々　筒井道隆　松下由樹　(他)竹内まりや「幸せのものさし」（ワ―ナ―ミュ―ジック）橋部敦子瀬戸口克陽　高成麻畝子吉田　健TBSテレビ  http://www.tbs.co.jp/around40</v>
      </c>
      <c r="N6070" s="2"/>
      <c r="O6070" s="2"/>
      <c r="P6070" s="1"/>
      <c r="Q6070" s="1"/>
      <c r="R6070" s="1"/>
      <c r="S6070" s="1"/>
      <c r="T6070" s="1"/>
      <c r="U6070" s="1"/>
      <c r="V6070" s="1"/>
      <c r="W6070" s="1"/>
      <c r="X6070" s="1"/>
      <c r="Y6070" s="1"/>
      <c r="Z6070" s="1"/>
      <c r="AA6070" s="1"/>
      <c r="AB6070" s="1"/>
      <c r="AC6070" s="1"/>
      <c r="AD6070" s="1"/>
      <c r="AE6070" s="1"/>
      <c r="AF6070" s="1"/>
      <c r="AG6070" s="1"/>
      <c r="AH6070" s="1"/>
      <c r="AI6070" s="1"/>
      <c r="AJ6070" s="1"/>
      <c r="AK6070" s="1"/>
      <c r="AL6070" s="1"/>
      <c r="AM6070" s="1"/>
      <c r="AN6070" s="1"/>
      <c r="AO6070" s="1"/>
      <c r="AP6070" s="1"/>
      <c r="AQ6070" s="1"/>
      <c r="AR6070" s="1"/>
      <c r="AS6070" s="1"/>
      <c r="AT6070" s="1"/>
      <c r="AU6070" s="1"/>
      <c r="AV6070" s="1"/>
      <c r="AW6070" s="1"/>
      <c r="AX6070" s="1"/>
      <c r="AY6070" s="1"/>
      <c r="AZ6070" s="1"/>
      <c r="BA6070" s="1"/>
      <c r="BB6070" s="1"/>
    </row>
    <row r="6071" ht="204.75" customHeight="1">
      <c r="A6071" s="1">
        <v>5846.0</v>
      </c>
      <c r="B6071" s="2" t="s">
        <v>16183</v>
      </c>
      <c r="C6071" s="2">
        <f>IFERROR(__xludf.DUMMYFUNCTION("split(B6071,""_"")"),804.0)</f>
        <v>804</v>
      </c>
      <c r="D6071" s="2" t="str">
        <f>IFERROR(__xludf.DUMMYFUNCTION("""COMPUTED_VALUE"""),"TBS")</f>
        <v>TBS</v>
      </c>
      <c r="E6071" s="2" t="str">
        <f>IFERROR(__xludf.DUMMYFUNCTION("""COMPUTED_VALUE"""),"金22")</f>
        <v>金22</v>
      </c>
      <c r="F6071" s="2" t="s">
        <v>16184</v>
      </c>
      <c r="G6071" s="2" t="s">
        <v>16185</v>
      </c>
      <c r="H6071" s="1">
        <v>9.0</v>
      </c>
      <c r="J6071" s="1" t="s">
        <v>86</v>
      </c>
      <c r="K6071" s="2" t="s">
        <v>16194</v>
      </c>
      <c r="L6071" s="2"/>
      <c r="M6071" s="2" t="str">
        <f>IFERROR(__xludf.DUMMYFUNCTION("split(split(K6071,""【"",false),""公式LINE"",false)"),"「誕生日にプロポ―ズ!?」  聡子（天海祐希）の部屋に転がり込んできた  奈央（大塚寧々）と瑞恵（松下由樹）は夫への不満から離婚へのステップだと息巻いている。急な講演依頼で多忙な聡子は恵太朗（藤木直人）との約束を後回しにしてしまい「できない約束はしないでほしい」と怒りをあらわにされる…そんな時、瑞恵の息子・洋介（木村遼希）が救急車で運ばれてくる。自らガラスで怪我をしたというのだ。洋介の異変に気づいた聡子と恵太朗は…天海祐希　藤木直人　大塚寧々　筒井道隆　松下由樹　(他)竹内まりや「幸せのものさし」（ワ―ナ"&amp;"―ミュ―ジック）橋部敦子瀬戸口克陽　高成麻畝子坪井敏雄TBSテレビ  http://www.tbs.co.jp/around40")</f>
        <v>「誕生日にプロポ―ズ!?」  聡子（天海祐希）の部屋に転がり込んできた  奈央（大塚寧々）と瑞恵（松下由樹）は夫への不満から離婚へのステップだと息巻いている。急な講演依頼で多忙な聡子は恵太朗（藤木直人）との約束を後回しにしてしまい「できない約束はしないでほしい」と怒りをあらわにされる…そんな時、瑞恵の息子・洋介（木村遼希）が救急車で運ばれてくる。自らガラスで怪我をしたというのだ。洋介の異変に気づいた聡子と恵太朗は…天海祐希　藤木直人　大塚寧々　筒井道隆　松下由樹　(他)竹内まりや「幸せのものさし」（ワ―ナ―ミュ―ジック）橋部敦子瀬戸口克陽　高成麻畝子坪井敏雄TBSテレビ  http://www.tbs.co.jp/around40</v>
      </c>
      <c r="N6071" s="2"/>
      <c r="O6071" s="2"/>
      <c r="P6071" s="1"/>
      <c r="Q6071" s="1"/>
      <c r="R6071" s="1"/>
      <c r="S6071" s="1"/>
      <c r="T6071" s="1"/>
      <c r="U6071" s="1"/>
      <c r="V6071" s="1"/>
      <c r="W6071" s="1"/>
      <c r="X6071" s="1"/>
      <c r="Y6071" s="1"/>
      <c r="Z6071" s="1"/>
      <c r="AA6071" s="1"/>
      <c r="AB6071" s="1"/>
      <c r="AC6071" s="1"/>
      <c r="AD6071" s="1"/>
      <c r="AE6071" s="1"/>
      <c r="AF6071" s="1"/>
      <c r="AG6071" s="1"/>
      <c r="AH6071" s="1"/>
      <c r="AI6071" s="1"/>
      <c r="AJ6071" s="1"/>
      <c r="AK6071" s="1"/>
      <c r="AL6071" s="1"/>
      <c r="AM6071" s="1"/>
      <c r="AN6071" s="1"/>
      <c r="AO6071" s="1"/>
      <c r="AP6071" s="1"/>
      <c r="AQ6071" s="1"/>
      <c r="AR6071" s="1"/>
      <c r="AS6071" s="1"/>
      <c r="AT6071" s="1"/>
      <c r="AU6071" s="1"/>
      <c r="AV6071" s="1"/>
      <c r="AW6071" s="1"/>
      <c r="AX6071" s="1"/>
      <c r="AY6071" s="1"/>
      <c r="AZ6071" s="1"/>
      <c r="BA6071" s="1"/>
      <c r="BB6071" s="1"/>
    </row>
    <row r="6072" ht="204.75" customHeight="1">
      <c r="A6072" s="1">
        <v>5847.0</v>
      </c>
      <c r="B6072" s="2" t="s">
        <v>16183</v>
      </c>
      <c r="C6072" s="2">
        <f>IFERROR(__xludf.DUMMYFUNCTION("split(B6072,""_"")"),804.0)</f>
        <v>804</v>
      </c>
      <c r="D6072" s="2" t="str">
        <f>IFERROR(__xludf.DUMMYFUNCTION("""COMPUTED_VALUE"""),"TBS")</f>
        <v>TBS</v>
      </c>
      <c r="E6072" s="2" t="str">
        <f>IFERROR(__xludf.DUMMYFUNCTION("""COMPUTED_VALUE"""),"金22")</f>
        <v>金22</v>
      </c>
      <c r="F6072" s="2" t="s">
        <v>16184</v>
      </c>
      <c r="G6072" s="2" t="s">
        <v>16185</v>
      </c>
      <c r="H6072" s="1">
        <v>10.0</v>
      </c>
      <c r="J6072" s="1" t="s">
        <v>86</v>
      </c>
      <c r="K6072" s="2" t="s">
        <v>16195</v>
      </c>
      <c r="L6072" s="2"/>
      <c r="M6072" s="2" t="str">
        <f>IFERROR(__xludf.DUMMYFUNCTION("split(split(K6072,""【"",false),""公式LINE"",false)"),"「事実婚のウソと真実」聡子（天海祐希）の父・友康（林隆三）が意識不明で倒れて家族全員駆けつけるのだが、保険証から友康と晴子（加賀まりこ）は入籍していない事が判明する！奈央（大塚寧々）は高文（丸山智己）との離婚を夫婦で出席するパ―ティ―の席上でついに…！そして夫婦仲を修復した瑞江（松下由樹）と彰夫（神保悟志）だが、彰夫から「離婚してくれ」と逆の告白をされる！そして恵太朗（藤木直人）がついに求婚するのだが…天海祐希　藤木直人　大塚寧々　筒井道隆　松下由樹　(他)竹内まりや「幸せのものさし」（ワ―ナ―ミュ―ジッ"&amp;"ク）橋部敦子瀬戸口克陽　高成麻畝子川嶋龍太郎TBSテレビ  http://www.tbs.co.jp/around40")</f>
        <v>「事実婚のウソと真実」聡子（天海祐希）の父・友康（林隆三）が意識不明で倒れて家族全員駆けつけるのだが、保険証から友康と晴子（加賀まりこ）は入籍していない事が判明する！奈央（大塚寧々）は高文（丸山智己）との離婚を夫婦で出席するパ―ティ―の席上でついに…！そして夫婦仲を修復した瑞江（松下由樹）と彰夫（神保悟志）だが、彰夫から「離婚してくれ」と逆の告白をされる！そして恵太朗（藤木直人）がついに求婚するのだが…天海祐希　藤木直人　大塚寧々　筒井道隆　松下由樹　(他)竹内まりや「幸せのものさし」（ワ―ナ―ミュ―ジック）橋部敦子瀬戸口克陽　高成麻畝子川嶋龍太郎TBSテレビ  http://www.tbs.co.jp/around40</v>
      </c>
      <c r="N6072" s="2"/>
      <c r="O6072" s="2"/>
      <c r="P6072" s="1"/>
      <c r="Q6072" s="1"/>
      <c r="R6072" s="1"/>
      <c r="S6072" s="1"/>
      <c r="T6072" s="1"/>
      <c r="U6072" s="1"/>
      <c r="V6072" s="1"/>
      <c r="W6072" s="1"/>
      <c r="X6072" s="1"/>
      <c r="Y6072" s="1"/>
      <c r="Z6072" s="1"/>
      <c r="AA6072" s="1"/>
      <c r="AB6072" s="1"/>
      <c r="AC6072" s="1"/>
      <c r="AD6072" s="1"/>
      <c r="AE6072" s="1"/>
      <c r="AF6072" s="1"/>
      <c r="AG6072" s="1"/>
      <c r="AH6072" s="1"/>
      <c r="AI6072" s="1"/>
      <c r="AJ6072" s="1"/>
      <c r="AK6072" s="1"/>
      <c r="AL6072" s="1"/>
      <c r="AM6072" s="1"/>
      <c r="AN6072" s="1"/>
      <c r="AO6072" s="1"/>
      <c r="AP6072" s="1"/>
      <c r="AQ6072" s="1"/>
      <c r="AR6072" s="1"/>
      <c r="AS6072" s="1"/>
      <c r="AT6072" s="1"/>
      <c r="AU6072" s="1"/>
      <c r="AV6072" s="1"/>
      <c r="AW6072" s="1"/>
      <c r="AX6072" s="1"/>
      <c r="AY6072" s="1"/>
      <c r="AZ6072" s="1"/>
      <c r="BA6072" s="1"/>
      <c r="BB6072" s="1"/>
    </row>
    <row r="6073" ht="204.75" customHeight="1">
      <c r="A6073" s="1">
        <v>5848.0</v>
      </c>
      <c r="B6073" s="2" t="s">
        <v>16183</v>
      </c>
      <c r="C6073" s="2">
        <f>IFERROR(__xludf.DUMMYFUNCTION("split(B6073,""_"")"),804.0)</f>
        <v>804</v>
      </c>
      <c r="D6073" s="2" t="str">
        <f>IFERROR(__xludf.DUMMYFUNCTION("""COMPUTED_VALUE"""),"TBS")</f>
        <v>TBS</v>
      </c>
      <c r="E6073" s="2" t="str">
        <f>IFERROR(__xludf.DUMMYFUNCTION("""COMPUTED_VALUE"""),"金22")</f>
        <v>金22</v>
      </c>
      <c r="F6073" s="2" t="s">
        <v>16184</v>
      </c>
      <c r="G6073" s="2" t="s">
        <v>16185</v>
      </c>
      <c r="H6073" s="1">
        <v>11.0</v>
      </c>
      <c r="J6073" s="1" t="s">
        <v>86</v>
      </c>
      <c r="K6073" s="2" t="s">
        <v>16196</v>
      </c>
      <c r="L6073" s="2"/>
      <c r="M6073" s="2" t="str">
        <f>IFERROR(__xludf.DUMMYFUNCTION("split(split(K6073,""【"",false),""公式LINE"",false)"),"「40歳、幸せの決断」結婚を約束した聡子（天海祐希）と恵太朗（藤木直人）だが、二人が勤める病院が閉鎖になるという。患者やナ―ス達も不安を抱くなか、恵太朗に北海道の施設から二人で来てほしいとの依頼がくる。そんななか、聡子に病院再建の話が…離婚した奈央（大塚寧々）に妊娠発覚の大事件が！そして、瑞恵（松下由樹）に離婚を切り出した彰夫（神保悟志）は家をでたまま帰ってこなくなった…果たしそれぞれが選ぶ幸せのカタチとは！！天海祐希　藤木直人　大塚寧々　筒井道隆　松下由樹　(他)竹内まりや「幸せのものさし」（ワ―ナ―ミ"&amp;"ュ―ジック）橋部敦子瀬戸口克陽　高成麻畝子吉田　健TBSテレビ  http://www.tbs.co.jp/around40")</f>
        <v>「40歳、幸せの決断」結婚を約束した聡子（天海祐希）と恵太朗（藤木直人）だが、二人が勤める病院が閉鎖になるという。患者やナ―ス達も不安を抱くなか、恵太朗に北海道の施設から二人で来てほしいとの依頼がくる。そんななか、聡子に病院再建の話が…離婚した奈央（大塚寧々）に妊娠発覚の大事件が！そして、瑞恵（松下由樹）に離婚を切り出した彰夫（神保悟志）は家をでたまま帰ってこなくなった…果たしそれぞれが選ぶ幸せのカタチとは！！天海祐希　藤木直人　大塚寧々　筒井道隆　松下由樹　(他)竹内まりや「幸せのものさし」（ワ―ナ―ミュ―ジック）橋部敦子瀬戸口克陽　高成麻畝子吉田　健TBSテレビ  http://www.tbs.co.jp/around40</v>
      </c>
      <c r="N6073" s="2"/>
      <c r="O6073" s="2"/>
      <c r="P6073" s="1"/>
      <c r="Q6073" s="1"/>
      <c r="R6073" s="1"/>
      <c r="S6073" s="1"/>
      <c r="T6073" s="1"/>
      <c r="U6073" s="1"/>
      <c r="V6073" s="1"/>
      <c r="W6073" s="1"/>
      <c r="X6073" s="1"/>
      <c r="Y6073" s="1"/>
      <c r="Z6073" s="1"/>
      <c r="AA6073" s="1"/>
      <c r="AB6073" s="1"/>
      <c r="AC6073" s="1"/>
      <c r="AD6073" s="1"/>
      <c r="AE6073" s="1"/>
      <c r="AF6073" s="1"/>
      <c r="AG6073" s="1"/>
      <c r="AH6073" s="1"/>
      <c r="AI6073" s="1"/>
      <c r="AJ6073" s="1"/>
      <c r="AK6073" s="1"/>
      <c r="AL6073" s="1"/>
      <c r="AM6073" s="1"/>
      <c r="AN6073" s="1"/>
      <c r="AO6073" s="1"/>
      <c r="AP6073" s="1"/>
      <c r="AQ6073" s="1"/>
      <c r="AR6073" s="1"/>
      <c r="AS6073" s="1"/>
      <c r="AT6073" s="1"/>
      <c r="AU6073" s="1"/>
      <c r="AV6073" s="1"/>
      <c r="AW6073" s="1"/>
      <c r="AX6073" s="1"/>
      <c r="AY6073" s="1"/>
      <c r="AZ6073" s="1"/>
      <c r="BA6073" s="1"/>
      <c r="BB6073" s="1"/>
    </row>
    <row r="6074" ht="204.75" customHeight="1">
      <c r="A6074" s="1">
        <v>5859.0</v>
      </c>
      <c r="B6074" s="2" t="s">
        <v>16197</v>
      </c>
      <c r="C6074" s="2">
        <f>IFERROR(__xludf.DUMMYFUNCTION("split(B6074,""_"")"),804.0)</f>
        <v>804</v>
      </c>
      <c r="D6074" s="2" t="str">
        <f>IFERROR(__xludf.DUMMYFUNCTION("""COMPUTED_VALUE"""),"TBS")</f>
        <v>TBS</v>
      </c>
      <c r="E6074" s="2" t="str">
        <f>IFERROR(__xludf.DUMMYFUNCTION("""COMPUTED_VALUE"""),"土20")</f>
        <v>土20</v>
      </c>
      <c r="F6074" s="2" t="s">
        <v>16198</v>
      </c>
      <c r="G6074" s="2" t="s">
        <v>16199</v>
      </c>
      <c r="H6074" s="1">
        <v>1.0</v>
      </c>
      <c r="J6074" s="1" t="s">
        <v>2809</v>
      </c>
      <c r="K6074" s="2" t="s">
        <v>16200</v>
      </c>
      <c r="L6074" s="2"/>
      <c r="M6074" s="2" t="str">
        <f>IFERROR(__xludf.DUMMYFUNCTION("split(split(K6074,""【"",false),""公式LINE"",false)"),"総売上げ1200万部!!伝説の名作ドラマ化!!新人教師と不良たちの熱き闘いが今始まる私立二子玉川学園に赴任した新人高校教師・川藤幸一。前任高である事件から辞職した過去を持つ彼は、決意も新たに再出発を目指すが、新任高の“ニコガク”では前年暴力事件を起こし、活動休止状態となった野球部の不良たちの存在が問題となっていた。彼らを更生させようと、川藤は夢の大切さを説き、活動再開を促すが、教師への不信感から頑なに反発する彼らと衝突を繰り返す。果たして彼らは再び夢を取り戻せるのか？佐藤隆太　市原隼人　小出恵介　城田優　"&amp;"中尾明慶　高岡蒼甫　桐谷健太　佐藤健　五十嵐隼士　川村陽介　尾上寛之　村川絵梨　浅野和之　石橋杏奈　高梨臨　川藤幸三　上地雄輔　天野ひろゆき　能世あんな　平山広行　やべきょうすけ　森山米次　升田尚宏（TBSアナウンサ―）　綾瀬はるか　森山未來　吹石一恵　伊武雅刀　(他)  ")</f>
        <v>総売上げ1200万部!!伝説の名作ドラマ化!!新人教師と不良たちの熱き闘いが今始まる私立二子玉川学園に赴任した新人高校教師・川藤幸一。前任高である事件から辞職した過去を持つ彼は、決意も新たに再出発を目指すが、新任高の“ニコガク”では前年暴力事件を起こし、活動休止状態となった野球部の不良たちの存在が問題となっていた。彼らを更生させようと、川藤は夢の大切さを説き、活動再開を促すが、教師への不信感から頑なに反発する彼らと衝突を繰り返す。果たして彼らは再び夢を取り戻せるのか？佐藤隆太　市原隼人　小出恵介　城田優　中尾明慶　高岡蒼甫　桐谷健太　佐藤健　五十嵐隼士　川村陽介　尾上寛之　村川絵梨　浅野和之　石橋杏奈　高梨臨　川藤幸三　上地雄輔　天野ひろゆき　能世あんな　平山広行　やべきょうすけ　森山米次　升田尚宏（TBSアナウンサ―）　綾瀬はるか　森山未來　吹石一恵　伊武雅刀　(他)  </v>
      </c>
      <c r="N6074" s="2"/>
      <c r="O6074" s="2"/>
      <c r="P6074" s="1"/>
      <c r="Q6074" s="1"/>
      <c r="R6074" s="1"/>
      <c r="S6074" s="1"/>
      <c r="T6074" s="1"/>
      <c r="U6074" s="1"/>
      <c r="V6074" s="1"/>
      <c r="W6074" s="1"/>
      <c r="X6074" s="1"/>
      <c r="Y6074" s="1"/>
      <c r="Z6074" s="1"/>
      <c r="AA6074" s="1"/>
      <c r="AB6074" s="1"/>
      <c r="AC6074" s="1"/>
      <c r="AD6074" s="1"/>
      <c r="AE6074" s="1"/>
      <c r="AF6074" s="1"/>
      <c r="AG6074" s="1"/>
      <c r="AH6074" s="1"/>
      <c r="AI6074" s="1"/>
      <c r="AJ6074" s="1"/>
      <c r="AK6074" s="1"/>
      <c r="AL6074" s="1"/>
      <c r="AM6074" s="1"/>
      <c r="AN6074" s="1"/>
      <c r="AO6074" s="1"/>
      <c r="AP6074" s="1"/>
      <c r="AQ6074" s="1"/>
      <c r="AR6074" s="1"/>
      <c r="AS6074" s="1"/>
      <c r="AT6074" s="1"/>
      <c r="AU6074" s="1"/>
      <c r="AV6074" s="1"/>
      <c r="AW6074" s="1"/>
      <c r="AX6074" s="1"/>
      <c r="AY6074" s="1"/>
      <c r="AZ6074" s="1"/>
      <c r="BA6074" s="1"/>
      <c r="BB6074" s="1"/>
    </row>
    <row r="6075" ht="204.75" customHeight="1">
      <c r="A6075" s="1">
        <v>5860.0</v>
      </c>
      <c r="B6075" s="2" t="s">
        <v>16197</v>
      </c>
      <c r="C6075" s="2">
        <f>IFERROR(__xludf.DUMMYFUNCTION("split(B6075,""_"")"),804.0)</f>
        <v>804</v>
      </c>
      <c r="D6075" s="2" t="str">
        <f>IFERROR(__xludf.DUMMYFUNCTION("""COMPUTED_VALUE"""),"TBS")</f>
        <v>TBS</v>
      </c>
      <c r="E6075" s="2" t="str">
        <f>IFERROR(__xludf.DUMMYFUNCTION("""COMPUTED_VALUE"""),"土20")</f>
        <v>土20</v>
      </c>
      <c r="F6075" s="2" t="s">
        <v>16198</v>
      </c>
      <c r="G6075" s="2" t="s">
        <v>16199</v>
      </c>
      <c r="H6075" s="1">
        <v>2.0</v>
      </c>
      <c r="J6075" s="1" t="s">
        <v>2809</v>
      </c>
      <c r="K6075" s="2" t="s">
        <v>16201</v>
      </c>
      <c r="L6075" s="2"/>
      <c r="M6075" s="2" t="str">
        <f>IFERROR(__xludf.DUMMYFUNCTION("split(split(K6075,""【"",false),""公式LINE"",false)"),"「夢を、どこまでも信じる！」川藤 (佐藤隆太) が二子玉川学園高校へ着任すると、「みんなともう一度、野球がしたかった」という 御子柴 (小出恵介) の想いを叶えるために、野球部の監督を務めることに。安仁屋 (市原隼人) たち、野球部の不良グル―プは川藤に反発するが、「笑って高校を卒業したい」という 関川 (中尾明慶) は、御子柴とともに部活を再開する。  そんなある日、用賀第一高校から、練習試合の申し込みがあった。          練習試合は一ヵ月後。村山校長 (伊武雅刀)から試合ができなかったら辞表を"&amp;"出せと約束させられる。佐藤隆太　市原隼人　小出恵介　城田優　中尾明慶　高岡蒼甫　桐谷健太　佐藤健　五十嵐隼士　川村陽介　尾上寛之　浅野和之　天野ひろゆき　森山未來　吹石一恵　伊武雅刀　(他)    ")</f>
        <v>「夢を、どこまでも信じる！」川藤 (佐藤隆太) が二子玉川学園高校へ着任すると、「みんなともう一度、野球がしたかった」という 御子柴 (小出恵介) の想いを叶えるために、野球部の監督を務めることに。安仁屋 (市原隼人) たち、野球部の不良グル―プは川藤に反発するが、「笑って高校を卒業したい」という 関川 (中尾明慶) は、御子柴とともに部活を再開する。  そんなある日、用賀第一高校から、練習試合の申し込みがあった。          練習試合は一ヵ月後。村山校長 (伊武雅刀)から試合ができなかったら辞表を出せと約束させられる。佐藤隆太　市原隼人　小出恵介　城田優　中尾明慶　高岡蒼甫　桐谷健太　佐藤健　五十嵐隼士　川村陽介　尾上寛之　浅野和之　天野ひろゆき　森山未來　吹石一恵　伊武雅刀　(他)    </v>
      </c>
      <c r="N6075" s="2"/>
      <c r="O6075" s="2"/>
      <c r="P6075" s="1"/>
      <c r="Q6075" s="1"/>
      <c r="R6075" s="1"/>
      <c r="S6075" s="1"/>
      <c r="T6075" s="1"/>
      <c r="U6075" s="1"/>
      <c r="V6075" s="1"/>
      <c r="W6075" s="1"/>
      <c r="X6075" s="1"/>
      <c r="Y6075" s="1"/>
      <c r="Z6075" s="1"/>
      <c r="AA6075" s="1"/>
      <c r="AB6075" s="1"/>
      <c r="AC6075" s="1"/>
      <c r="AD6075" s="1"/>
      <c r="AE6075" s="1"/>
      <c r="AF6075" s="1"/>
      <c r="AG6075" s="1"/>
      <c r="AH6075" s="1"/>
      <c r="AI6075" s="1"/>
      <c r="AJ6075" s="1"/>
      <c r="AK6075" s="1"/>
      <c r="AL6075" s="1"/>
      <c r="AM6075" s="1"/>
      <c r="AN6075" s="1"/>
      <c r="AO6075" s="1"/>
      <c r="AP6075" s="1"/>
      <c r="AQ6075" s="1"/>
      <c r="AR6075" s="1"/>
      <c r="AS6075" s="1"/>
      <c r="AT6075" s="1"/>
      <c r="AU6075" s="1"/>
      <c r="AV6075" s="1"/>
      <c r="AW6075" s="1"/>
      <c r="AX6075" s="1"/>
      <c r="AY6075" s="1"/>
      <c r="AZ6075" s="1"/>
      <c r="BA6075" s="1"/>
      <c r="BB6075" s="1"/>
    </row>
    <row r="6076" ht="204.75" customHeight="1">
      <c r="A6076" s="1">
        <v>5861.0</v>
      </c>
      <c r="B6076" s="2" t="s">
        <v>16197</v>
      </c>
      <c r="C6076" s="2">
        <f>IFERROR(__xludf.DUMMYFUNCTION("split(B6076,""_"")"),804.0)</f>
        <v>804</v>
      </c>
      <c r="D6076" s="2" t="str">
        <f>IFERROR(__xludf.DUMMYFUNCTION("""COMPUTED_VALUE"""),"TBS")</f>
        <v>TBS</v>
      </c>
      <c r="E6076" s="2" t="str">
        <f>IFERROR(__xludf.DUMMYFUNCTION("""COMPUTED_VALUE"""),"土20")</f>
        <v>土20</v>
      </c>
      <c r="F6076" s="2" t="s">
        <v>16198</v>
      </c>
      <c r="G6076" s="2" t="s">
        <v>16199</v>
      </c>
      <c r="H6076" s="1">
        <v>3.0</v>
      </c>
      <c r="J6076" s="1" t="s">
        <v>2809</v>
      </c>
      <c r="K6076" s="2" t="s">
        <v>16202</v>
      </c>
      <c r="L6076" s="2"/>
      <c r="M6076" s="2" t="str">
        <f>IFERROR(__xludf.DUMMYFUNCTION("split(split(K6076,""【"",false),""公式LINE"",false)"),"「守り抜きたいもの」川藤 (佐藤隆太) が野球部の監督になってから、御子柴 (小出恵介) と 関川 (中尾明慶) に続き、若菜 (高岡蒼甫) と 岡田 (佐藤健)、湯舟 (五十嵐隼士)、桧山 (川村陽介) らも部活に合流した。練習試合に向けて、メンバ―が集まりつつあった野球部だが、そんなとき事件が起こる。元野球部の 坪井 (松本寛也) らが何者かに襲われ、部室が荒らされたのだ。その事件は、野球部に恨みを持つ不良グル―プの仕業で、野球部が部活を再開したことで、安仁屋 (市原隼人) たち野球部が、今までのよう"&amp;"に暴力ができなくなると思い、報復を始めたのだ。犯人を捜す若菜たちは3年生の 国枝 (鈴之助) に詰め寄るが、そのとき川藤が止めに入る。「また後戻りしたいのか！」という川藤の言葉に、「舐められたまま野球なんかやってられるか！」と言い残して…  佐藤隆太　市原隼人　小出恵介　城田優　中尾明慶　高岡蒼甫　桐谷健太　佐藤健　五十嵐隼士　川村陽介　尾上寛之　浅野和之　天野ひろゆき　吹石一恵　伊武雅刀　(他)    ")</f>
        <v>「守り抜きたいもの」川藤 (佐藤隆太) が野球部の監督になってから、御子柴 (小出恵介) と 関川 (中尾明慶) に続き、若菜 (高岡蒼甫) と 岡田 (佐藤健)、湯舟 (五十嵐隼士)、桧山 (川村陽介) らも部活に合流した。練習試合に向けて、メンバ―が集まりつつあった野球部だが、そんなとき事件が起こる。元野球部の 坪井 (松本寛也) らが何者かに襲われ、部室が荒らされたのだ。その事件は、野球部に恨みを持つ不良グル―プの仕業で、野球部が部活を再開したことで、安仁屋 (市原隼人) たち野球部が、今までのように暴力ができなくなると思い、報復を始めたのだ。犯人を捜す若菜たちは3年生の 国枝 (鈴之助) に詰め寄るが、そのとき川藤が止めに入る。「また後戻りしたいのか！」という川藤の言葉に、「舐められたまま野球なんかやってられるか！」と言い残して…  佐藤隆太　市原隼人　小出恵介　城田優　中尾明慶　高岡蒼甫　桐谷健太　佐藤健　五十嵐隼士　川村陽介　尾上寛之　浅野和之　天野ひろゆき　吹石一恵　伊武雅刀　(他)    </v>
      </c>
      <c r="N6076" s="2"/>
      <c r="O6076" s="2"/>
      <c r="P6076" s="1"/>
      <c r="Q6076" s="1"/>
      <c r="R6076" s="1"/>
      <c r="S6076" s="1"/>
      <c r="T6076" s="1"/>
      <c r="U6076" s="1"/>
      <c r="V6076" s="1"/>
      <c r="W6076" s="1"/>
      <c r="X6076" s="1"/>
      <c r="Y6076" s="1"/>
      <c r="Z6076" s="1"/>
      <c r="AA6076" s="1"/>
      <c r="AB6076" s="1"/>
      <c r="AC6076" s="1"/>
      <c r="AD6076" s="1"/>
      <c r="AE6076" s="1"/>
      <c r="AF6076" s="1"/>
      <c r="AG6076" s="1"/>
      <c r="AH6076" s="1"/>
      <c r="AI6076" s="1"/>
      <c r="AJ6076" s="1"/>
      <c r="AK6076" s="1"/>
      <c r="AL6076" s="1"/>
      <c r="AM6076" s="1"/>
      <c r="AN6076" s="1"/>
      <c r="AO6076" s="1"/>
      <c r="AP6076" s="1"/>
      <c r="AQ6076" s="1"/>
      <c r="AR6076" s="1"/>
      <c r="AS6076" s="1"/>
      <c r="AT6076" s="1"/>
      <c r="AU6076" s="1"/>
      <c r="AV6076" s="1"/>
      <c r="AW6076" s="1"/>
      <c r="AX6076" s="1"/>
      <c r="AY6076" s="1"/>
      <c r="AZ6076" s="1"/>
      <c r="BA6076" s="1"/>
      <c r="BB6076" s="1"/>
    </row>
    <row r="6077" ht="204.75" customHeight="1">
      <c r="A6077" s="1">
        <v>5862.0</v>
      </c>
      <c r="B6077" s="2" t="s">
        <v>16197</v>
      </c>
      <c r="C6077" s="2">
        <f>IFERROR(__xludf.DUMMYFUNCTION("split(B6077,""_"")"),804.0)</f>
        <v>804</v>
      </c>
      <c r="D6077" s="2" t="str">
        <f>IFERROR(__xludf.DUMMYFUNCTION("""COMPUTED_VALUE"""),"TBS")</f>
        <v>TBS</v>
      </c>
      <c r="E6077" s="2" t="str">
        <f>IFERROR(__xludf.DUMMYFUNCTION("""COMPUTED_VALUE"""),"土20")</f>
        <v>土20</v>
      </c>
      <c r="F6077" s="2" t="s">
        <v>16198</v>
      </c>
      <c r="G6077" s="2" t="s">
        <v>16199</v>
      </c>
      <c r="H6077" s="1">
        <v>4.0</v>
      </c>
      <c r="J6077" s="1" t="s">
        <v>2809</v>
      </c>
      <c r="K6077" s="2" t="s">
        <v>16203</v>
      </c>
      <c r="L6077" s="2"/>
      <c r="M6077" s="2" t="str">
        <f>IFERROR(__xludf.DUMMYFUNCTION("split(split(K6077,""【"",false),""公式LINE"",false)"),"用賀第一高校との練習試合まで、あと残すところ一週間というとき、ついに 安仁屋 (市原隼人) もニコガク野球部へと合流。グラウンドで誰がピッチャ―になるかでもめていたニコガクナインを見て、笑顔をこぼす 川藤 (佐藤隆太) だった。その言い争いの中、「誰かキャッチャ―をやれ」と、安仁屋がピッチャ―へ名乗りを上げる。それを受けて「納得できるような球を投げられなかったら、俺たちに女を紹介しろ」と 若菜 (高岡蒼甫) がキャッチャ―を買って出た。一方、野球部のメンバ―とケンカ別れの状態となってしまった 新庄 (城田"&amp;"優) が、チンピラ風の連中に因縁をつけられてボコボコに殴られていた。と、ちょうどその時、川藤がそばを通りかかり、倒れている新庄を発見。「もう許してやってくれ」と、ケンカを止めに入るが…。  佐藤隆太　市原隼人　小出恵介　城田優　中尾明慶　高岡蒼甫　桐谷健太　佐藤健　五十嵐隼士　川村陽介　尾上寛之　浅野和之　天野ひろゆき　吹石一恵　伊武雅刀　(他)    ")</f>
        <v>用賀第一高校との練習試合まで、あと残すところ一週間というとき、ついに 安仁屋 (市原隼人) もニコガク野球部へと合流。グラウンドで誰がピッチャ―になるかでもめていたニコガクナインを見て、笑顔をこぼす 川藤 (佐藤隆太) だった。その言い争いの中、「誰かキャッチャ―をやれ」と、安仁屋がピッチャ―へ名乗りを上げる。それを受けて「納得できるような球を投げられなかったら、俺たちに女を紹介しろ」と 若菜 (高岡蒼甫) がキャッチャ―を買って出た。一方、野球部のメンバ―とケンカ別れの状態となってしまった 新庄 (城田優) が、チンピラ風の連中に因縁をつけられてボコボコに殴られていた。と、ちょうどその時、川藤がそばを通りかかり、倒れている新庄を発見。「もう許してやってくれ」と、ケンカを止めに入るが…。  佐藤隆太　市原隼人　小出恵介　城田優　中尾明慶　高岡蒼甫　桐谷健太　佐藤健　五十嵐隼士　川村陽介　尾上寛之　浅野和之　天野ひろゆき　吹石一恵　伊武雅刀　(他)    </v>
      </c>
      <c r="N6077" s="2"/>
      <c r="O6077" s="2"/>
      <c r="P6077" s="1"/>
      <c r="Q6077" s="1"/>
      <c r="R6077" s="1"/>
      <c r="S6077" s="1"/>
      <c r="T6077" s="1"/>
      <c r="U6077" s="1"/>
      <c r="V6077" s="1"/>
      <c r="W6077" s="1"/>
      <c r="X6077" s="1"/>
      <c r="Y6077" s="1"/>
      <c r="Z6077" s="1"/>
      <c r="AA6077" s="1"/>
      <c r="AB6077" s="1"/>
      <c r="AC6077" s="1"/>
      <c r="AD6077" s="1"/>
      <c r="AE6077" s="1"/>
      <c r="AF6077" s="1"/>
      <c r="AG6077" s="1"/>
      <c r="AH6077" s="1"/>
      <c r="AI6077" s="1"/>
      <c r="AJ6077" s="1"/>
      <c r="AK6077" s="1"/>
      <c r="AL6077" s="1"/>
      <c r="AM6077" s="1"/>
      <c r="AN6077" s="1"/>
      <c r="AO6077" s="1"/>
      <c r="AP6077" s="1"/>
      <c r="AQ6077" s="1"/>
      <c r="AR6077" s="1"/>
      <c r="AS6077" s="1"/>
      <c r="AT6077" s="1"/>
      <c r="AU6077" s="1"/>
      <c r="AV6077" s="1"/>
      <c r="AW6077" s="1"/>
      <c r="AX6077" s="1"/>
      <c r="AY6077" s="1"/>
      <c r="AZ6077" s="1"/>
      <c r="BA6077" s="1"/>
      <c r="BB6077" s="1"/>
    </row>
    <row r="6078" ht="204.75" customHeight="1">
      <c r="A6078" s="1">
        <v>5863.0</v>
      </c>
      <c r="B6078" s="2" t="s">
        <v>16197</v>
      </c>
      <c r="C6078" s="2">
        <f>IFERROR(__xludf.DUMMYFUNCTION("split(B6078,""_"")"),804.0)</f>
        <v>804</v>
      </c>
      <c r="D6078" s="2" t="str">
        <f>IFERROR(__xludf.DUMMYFUNCTION("""COMPUTED_VALUE"""),"TBS")</f>
        <v>TBS</v>
      </c>
      <c r="E6078" s="2" t="str">
        <f>IFERROR(__xludf.DUMMYFUNCTION("""COMPUTED_VALUE"""),"土20")</f>
        <v>土20</v>
      </c>
      <c r="F6078" s="2" t="s">
        <v>16198</v>
      </c>
      <c r="G6078" s="2" t="s">
        <v>16199</v>
      </c>
      <c r="H6078" s="1">
        <v>5.0</v>
      </c>
      <c r="J6078" s="1" t="s">
        <v>2809</v>
      </c>
      <c r="K6078" s="2" t="s">
        <v>16204</v>
      </c>
      <c r="L6078" s="2"/>
      <c r="M6078" s="2" t="str">
        <f>IFERROR(__xludf.DUMMYFUNCTION("split(split(K6078,""【"",false),""公式LINE"",false)"),"負けたら解散…その時、最後の男！ついに練習試合の日がやってきた。川藤 (佐藤隆太) は「自信を持って戦ってくれ！」と部室で檄を飛ばし、ニコガクナインをグラウンドへと送り出す。感慨深げにグラウンドを見つめる、安仁屋 (市原隼人) たちニコガクナイン。その後、川藤は校長室で用賀第一高校の野球部副顧問をしている 国松 (田口浩正) と、あいさつを交わしていた。  「試合を中止するなら今のうちだ」と 村山校長 (伊武雅刀) は忠告するが、「あいつらの本当の姿をお見せします」と川藤は自信に満ちていた。プレイボ―ルの"&amp;"コ―ルで、ピッチャ―マウンドに立つ安仁屋が、大きく振りかぶって第1球を投げた。空を切り伸びる剛速球！初回からフルパワ―で飛ばす安仁屋は、三者連続で三振を取る。ベンチへ戻ってくる安仁屋はみんなと離れて一人ベンチに座る…。      佐藤隆太　市原隼人　小出恵介　城田優　中尾明慶　高岡蒼甫　桐谷健太　佐藤健　五十嵐隼士　川村陽介　尾上寛之　浅野和之　天野ひろゆき　吹石一恵　伊武雅刀　(他)    ")</f>
        <v>負けたら解散…その時、最後の男！ついに練習試合の日がやってきた。川藤 (佐藤隆太) は「自信を持って戦ってくれ！」と部室で檄を飛ばし、ニコガクナインをグラウンドへと送り出す。感慨深げにグラウンドを見つめる、安仁屋 (市原隼人) たちニコガクナイン。その後、川藤は校長室で用賀第一高校の野球部副顧問をしている 国松 (田口浩正) と、あいさつを交わしていた。  「試合を中止するなら今のうちだ」と 村山校長 (伊武雅刀) は忠告するが、「あいつらの本当の姿をお見せします」と川藤は自信に満ちていた。プレイボ―ルのコ―ルで、ピッチャ―マウンドに立つ安仁屋が、大きく振りかぶって第1球を投げた。空を切り伸びる剛速球！初回からフルパワ―で飛ばす安仁屋は、三者連続で三振を取る。ベンチへ戻ってくる安仁屋はみんなと離れて一人ベンチに座る…。      佐藤隆太　市原隼人　小出恵介　城田優　中尾明慶　高岡蒼甫　桐谷健太　佐藤健　五十嵐隼士　川村陽介　尾上寛之　浅野和之　天野ひろゆき　吹石一恵　伊武雅刀　(他)    </v>
      </c>
      <c r="N6078" s="2"/>
      <c r="O6078" s="2"/>
      <c r="P6078" s="1"/>
      <c r="Q6078" s="1"/>
      <c r="R6078" s="1"/>
      <c r="S6078" s="1"/>
      <c r="T6078" s="1"/>
      <c r="U6078" s="1"/>
      <c r="V6078" s="1"/>
      <c r="W6078" s="1"/>
      <c r="X6078" s="1"/>
      <c r="Y6078" s="1"/>
      <c r="Z6078" s="1"/>
      <c r="AA6078" s="1"/>
      <c r="AB6078" s="1"/>
      <c r="AC6078" s="1"/>
      <c r="AD6078" s="1"/>
      <c r="AE6078" s="1"/>
      <c r="AF6078" s="1"/>
      <c r="AG6078" s="1"/>
      <c r="AH6078" s="1"/>
      <c r="AI6078" s="1"/>
      <c r="AJ6078" s="1"/>
      <c r="AK6078" s="1"/>
      <c r="AL6078" s="1"/>
      <c r="AM6078" s="1"/>
      <c r="AN6078" s="1"/>
      <c r="AO6078" s="1"/>
      <c r="AP6078" s="1"/>
      <c r="AQ6078" s="1"/>
      <c r="AR6078" s="1"/>
      <c r="AS6078" s="1"/>
      <c r="AT6078" s="1"/>
      <c r="AU6078" s="1"/>
      <c r="AV6078" s="1"/>
      <c r="AW6078" s="1"/>
      <c r="AX6078" s="1"/>
      <c r="AY6078" s="1"/>
      <c r="AZ6078" s="1"/>
      <c r="BA6078" s="1"/>
      <c r="BB6078" s="1"/>
    </row>
    <row r="6079" ht="204.75" customHeight="1">
      <c r="A6079" s="1">
        <v>5864.0</v>
      </c>
      <c r="B6079" s="2" t="s">
        <v>16197</v>
      </c>
      <c r="C6079" s="2">
        <f>IFERROR(__xludf.DUMMYFUNCTION("split(B6079,""_"")"),804.0)</f>
        <v>804</v>
      </c>
      <c r="D6079" s="2" t="str">
        <f>IFERROR(__xludf.DUMMYFUNCTION("""COMPUTED_VALUE"""),"TBS")</f>
        <v>TBS</v>
      </c>
      <c r="E6079" s="2" t="str">
        <f>IFERROR(__xludf.DUMMYFUNCTION("""COMPUTED_VALUE"""),"土20")</f>
        <v>土20</v>
      </c>
      <c r="F6079" s="2" t="s">
        <v>16198</v>
      </c>
      <c r="G6079" s="2" t="s">
        <v>16199</v>
      </c>
      <c r="H6079" s="1">
        <v>6.0</v>
      </c>
      <c r="J6079" s="1" t="s">
        <v>2809</v>
      </c>
      <c r="K6079" s="2" t="s">
        <v>16205</v>
      </c>
      <c r="L6079" s="2"/>
      <c r="M6079" s="2" t="str">
        <f>IFERROR(__xludf.DUMMYFUNCTION("split(split(K6079,""【"",false),""公式LINE"",false)"),"「今夜第2章スタ―ト　奇跡の初勝利なるか!?そして涙の別離が…」用賀第一高校との練習試合も9回裏を迎え、1点差を追うニコガクの攻撃。関川 (中尾明慶) を一塁において2アウトの状況でバッタ―は 若菜 (高岡蒼甫) だったが、若菜は 安仁屋 (市原隼人) の剛速球を受けすぎて左手の感覚がなくなり、バットが握れない… そんなとき、ユニフォ―ムを着た新庄 (城田優) がグラウンドに現れた！握り締めた拳を川藤に開いて見せた新庄が、ニコガクナインの想いを背負ってバッタ―ボックスに立つ。静かに闘志を燃やしバットを構え"&amp;"る新庄。ピッチャ―が投げた3球目、新庄が渾身の力を込めてスイングすると、快音とともにボ―ルがライト方向へとはじけ飛んだ。果たして新庄は期待に応えることができるのか !?    佐藤隆太　市原隼人　小出恵介　城田優　中尾明慶　高岡蒼甫　桐谷健太　佐藤健　五十嵐隼士　川村陽介　尾上寛之　浅野和之　天野ひろゆき　吹石一恵　伊武雅刀　(他)    ")</f>
        <v>「今夜第2章スタ―ト　奇跡の初勝利なるか!?そして涙の別離が…」用賀第一高校との練習試合も9回裏を迎え、1点差を追うニコガクの攻撃。関川 (中尾明慶) を一塁において2アウトの状況でバッタ―は 若菜 (高岡蒼甫) だったが、若菜は 安仁屋 (市原隼人) の剛速球を受けすぎて左手の感覚がなくなり、バットが握れない… そんなとき、ユニフォ―ムを着た新庄 (城田優) がグラウンドに現れた！握り締めた拳を川藤に開いて見せた新庄が、ニコガクナインの想いを背負ってバッタ―ボックスに立つ。静かに闘志を燃やしバットを構える新庄。ピッチャ―が投げた3球目、新庄が渾身の力を込めてスイングすると、快音とともにボ―ルがライト方向へとはじけ飛んだ。果たして新庄は期待に応えることができるのか !?    佐藤隆太　市原隼人　小出恵介　城田優　中尾明慶　高岡蒼甫　桐谷健太　佐藤健　五十嵐隼士　川村陽介　尾上寛之　浅野和之　天野ひろゆき　吹石一恵　伊武雅刀　(他)    </v>
      </c>
      <c r="N6079" s="2"/>
      <c r="O6079" s="2"/>
      <c r="P6079" s="1"/>
      <c r="Q6079" s="1"/>
      <c r="R6079" s="1"/>
      <c r="S6079" s="1"/>
      <c r="T6079" s="1"/>
      <c r="U6079" s="1"/>
      <c r="V6079" s="1"/>
      <c r="W6079" s="1"/>
      <c r="X6079" s="1"/>
      <c r="Y6079" s="1"/>
      <c r="Z6079" s="1"/>
      <c r="AA6079" s="1"/>
      <c r="AB6079" s="1"/>
      <c r="AC6079" s="1"/>
      <c r="AD6079" s="1"/>
      <c r="AE6079" s="1"/>
      <c r="AF6079" s="1"/>
      <c r="AG6079" s="1"/>
      <c r="AH6079" s="1"/>
      <c r="AI6079" s="1"/>
      <c r="AJ6079" s="1"/>
      <c r="AK6079" s="1"/>
      <c r="AL6079" s="1"/>
      <c r="AM6079" s="1"/>
      <c r="AN6079" s="1"/>
      <c r="AO6079" s="1"/>
      <c r="AP6079" s="1"/>
      <c r="AQ6079" s="1"/>
      <c r="AR6079" s="1"/>
      <c r="AS6079" s="1"/>
      <c r="AT6079" s="1"/>
      <c r="AU6079" s="1"/>
      <c r="AV6079" s="1"/>
      <c r="AW6079" s="1"/>
      <c r="AX6079" s="1"/>
      <c r="AY6079" s="1"/>
      <c r="AZ6079" s="1"/>
      <c r="BA6079" s="1"/>
      <c r="BB6079" s="1"/>
    </row>
    <row r="6080" ht="204.75" customHeight="1">
      <c r="A6080" s="1">
        <v>5865.0</v>
      </c>
      <c r="B6080" s="2" t="s">
        <v>16197</v>
      </c>
      <c r="C6080" s="2">
        <f>IFERROR(__xludf.DUMMYFUNCTION("split(B6080,""_"")"),804.0)</f>
        <v>804</v>
      </c>
      <c r="D6080" s="2" t="str">
        <f>IFERROR(__xludf.DUMMYFUNCTION("""COMPUTED_VALUE"""),"TBS")</f>
        <v>TBS</v>
      </c>
      <c r="E6080" s="2" t="str">
        <f>IFERROR(__xludf.DUMMYFUNCTION("""COMPUTED_VALUE"""),"土20")</f>
        <v>土20</v>
      </c>
      <c r="F6080" s="2" t="s">
        <v>16198</v>
      </c>
      <c r="G6080" s="2" t="s">
        <v>16199</v>
      </c>
      <c r="H6080" s="1">
        <v>7.0</v>
      </c>
      <c r="J6080" s="1" t="s">
        <v>2809</v>
      </c>
      <c r="K6080" s="2" t="s">
        <v>16206</v>
      </c>
      <c r="L6080" s="2"/>
      <c r="M6080" s="2" t="str">
        <f>IFERROR(__xludf.DUMMYFUNCTION("split(split(K6080,""【"",false),""公式LINE"",false)"),"「許されざる敗北」一人、バッティングセンタ―で練習をしていた 桧山 (川村陽介) が、不良高校生に因縁をつけられた。暴行事件を起こすと甲子園への道が閉ざされてしまうと、桧山は握り締めた拳を納めグッとこらえたが、不良たちは容赦なく桧山に暴行を加える。そのとき、元ニコガク野球部で暴行事件を起こして退学した江夏 (上地雄輔) が現れた。江夏は桧山の携帯を使って 安仁屋 (市原隼人) を呼び出す。安仁屋たちニコガクナインは、ボロボロになった桧山の姿を見て愕然とする。そんな安仁屋たちに向かって、ニコガク野球部を侮辱"&amp;"する言葉を吐く江夏。グッとこらえていた安仁屋だが、ガマンも限界に達しぶち切れ、江夏に殴りかかろうとする。そのとき、「手を出すんじゃねぇ！」と、桧山が安仁屋を制止した。御子柴 (小出恵介) から連絡をもらっていた川藤 (佐藤隆太) が駆け、野球の試合でケリをつけようと提案する。佐藤隆太　市原隼人　小出恵介　城田優　中尾明慶　高岡蒼甫　桐谷健太　佐藤健　五十嵐隼士　川村陽介　尾上寛之　浅野和之　天野ひろゆき　吹石一恵　(他)    ")</f>
        <v>「許されざる敗北」一人、バッティングセンタ―で練習をしていた 桧山 (川村陽介) が、不良高校生に因縁をつけられた。暴行事件を起こすと甲子園への道が閉ざされてしまうと、桧山は握り締めた拳を納めグッとこらえたが、不良たちは容赦なく桧山に暴行を加える。そのとき、元ニコガク野球部で暴行事件を起こして退学した江夏 (上地雄輔) が現れた。江夏は桧山の携帯を使って 安仁屋 (市原隼人) を呼び出す。安仁屋たちニコガクナインは、ボロボロになった桧山の姿を見て愕然とする。そんな安仁屋たちに向かって、ニコガク野球部を侮辱する言葉を吐く江夏。グッとこらえていた安仁屋だが、ガマンも限界に達しぶち切れ、江夏に殴りかかろうとする。そのとき、「手を出すんじゃねぇ！」と、桧山が安仁屋を制止した。御子柴 (小出恵介) から連絡をもらっていた川藤 (佐藤隆太) が駆け、野球の試合でケリをつけようと提案する。佐藤隆太　市原隼人　小出恵介　城田優　中尾明慶　高岡蒼甫　桐谷健太　佐藤健　五十嵐隼士　川村陽介　尾上寛之　浅野和之　天野ひろゆき　吹石一恵　(他)    </v>
      </c>
      <c r="N6080" s="2"/>
      <c r="O6080" s="2"/>
      <c r="P6080" s="1"/>
      <c r="Q6080" s="1"/>
      <c r="R6080" s="1"/>
      <c r="S6080" s="1"/>
      <c r="T6080" s="1"/>
      <c r="U6080" s="1"/>
      <c r="V6080" s="1"/>
      <c r="W6080" s="1"/>
      <c r="X6080" s="1"/>
      <c r="Y6080" s="1"/>
      <c r="Z6080" s="1"/>
      <c r="AA6080" s="1"/>
      <c r="AB6080" s="1"/>
      <c r="AC6080" s="1"/>
      <c r="AD6080" s="1"/>
      <c r="AE6080" s="1"/>
      <c r="AF6080" s="1"/>
      <c r="AG6080" s="1"/>
      <c r="AH6080" s="1"/>
      <c r="AI6080" s="1"/>
      <c r="AJ6080" s="1"/>
      <c r="AK6080" s="1"/>
      <c r="AL6080" s="1"/>
      <c r="AM6080" s="1"/>
      <c r="AN6080" s="1"/>
      <c r="AO6080" s="1"/>
      <c r="AP6080" s="1"/>
      <c r="AQ6080" s="1"/>
      <c r="AR6080" s="1"/>
      <c r="AS6080" s="1"/>
      <c r="AT6080" s="1"/>
      <c r="AU6080" s="1"/>
      <c r="AV6080" s="1"/>
      <c r="AW6080" s="1"/>
      <c r="AX6080" s="1"/>
      <c r="AY6080" s="1"/>
      <c r="AZ6080" s="1"/>
      <c r="BA6080" s="1"/>
      <c r="BB6080" s="1"/>
    </row>
    <row r="6081" ht="204.75" customHeight="1">
      <c r="A6081" s="1">
        <v>5866.0</v>
      </c>
      <c r="B6081" s="2" t="s">
        <v>16197</v>
      </c>
      <c r="C6081" s="2">
        <f>IFERROR(__xludf.DUMMYFUNCTION("split(B6081,""_"")"),804.0)</f>
        <v>804</v>
      </c>
      <c r="D6081" s="2" t="str">
        <f>IFERROR(__xludf.DUMMYFUNCTION("""COMPUTED_VALUE"""),"TBS")</f>
        <v>TBS</v>
      </c>
      <c r="E6081" s="2" t="str">
        <f>IFERROR(__xludf.DUMMYFUNCTION("""COMPUTED_VALUE"""),"土20")</f>
        <v>土20</v>
      </c>
      <c r="F6081" s="2" t="s">
        <v>16198</v>
      </c>
      <c r="G6081" s="2" t="s">
        <v>16199</v>
      </c>
      <c r="H6081" s="1">
        <v>8.0</v>
      </c>
      <c r="J6081" s="1" t="s">
        <v>2809</v>
      </c>
      <c r="K6081" s="2" t="s">
        <v>16207</v>
      </c>
      <c r="L6081" s="2"/>
      <c r="M6081" s="2" t="str">
        <f>IFERROR(__xludf.DUMMYFUNCTION("split(split(K6081,""【"",false),""公式LINE"",false)"),"「はるかなる夢…明日への勝利」ついに始まった目黒川高校との練習試合。1回表、先攻のニコガクはノ―アウト満塁で安仁屋 (市原隼人) が打席に立つが、江夏 (上地雄輔) は三球三振で安仁屋を仕留める。江夏の力を目の当たりにしたニコガクナインは意気消沈するが、川藤 (佐藤隆太) の笑顔と安仁屋のゲキで戦う気力を取り戻すと、それぞれのポジションに散っていく。試合の行方を見守る川藤は、「目黒川高校はニコガク野球部の亡霊…」だと…。「最初はカ―ブでいくぞ」と、マウンドの安仁屋にサインを出す 若菜 (高岡蒼甫) だった"&amp;"が、安仁屋はランナ―に目もくれず大きく振りかぶると、渾身の力を込めてストレ―トを江夏に投げた。それをフルスイングで打ち返す江夏だが、打球はファ―ルに。サインを無視した投球に怒る若菜たちニコガクナインだが、安仁屋は第2球目も大きく振りかぶりストレ―トを投げた！それを見た川藤がタイムを取ると…。佐藤隆太　市原隼人　小出恵介　城田優　中尾明慶　高岡蒼甫　桐谷健太　佐藤健　五十嵐隼士　川村陽介　尾上寛之　浅野和之　天野ひろゆき　吹石一恵　大杉漣　(他)    ")</f>
        <v>「はるかなる夢…明日への勝利」ついに始まった目黒川高校との練習試合。1回表、先攻のニコガクはノ―アウト満塁で安仁屋 (市原隼人) が打席に立つが、江夏 (上地雄輔) は三球三振で安仁屋を仕留める。江夏の力を目の当たりにしたニコガクナインは意気消沈するが、川藤 (佐藤隆太) の笑顔と安仁屋のゲキで戦う気力を取り戻すと、それぞれのポジションに散っていく。試合の行方を見守る川藤は、「目黒川高校はニコガク野球部の亡霊…」だと…。「最初はカ―ブでいくぞ」と、マウンドの安仁屋にサインを出す 若菜 (高岡蒼甫) だったが、安仁屋はランナ―に目もくれず大きく振りかぶると、渾身の力を込めてストレ―トを江夏に投げた。それをフルスイングで打ち返す江夏だが、打球はファ―ルに。サインを無視した投球に怒る若菜たちニコガクナインだが、安仁屋は第2球目も大きく振りかぶりストレ―トを投げた！それを見た川藤がタイムを取ると…。佐藤隆太　市原隼人　小出恵介　城田優　中尾明慶　高岡蒼甫　桐谷健太　佐藤健　五十嵐隼士　川村陽介　尾上寛之　浅野和之　天野ひろゆき　吹石一恵　大杉漣　(他)    </v>
      </c>
      <c r="N6081" s="2"/>
      <c r="O6081" s="2"/>
      <c r="P6081" s="1"/>
      <c r="Q6081" s="1"/>
      <c r="R6081" s="1"/>
      <c r="S6081" s="1"/>
      <c r="T6081" s="1"/>
      <c r="U6081" s="1"/>
      <c r="V6081" s="1"/>
      <c r="W6081" s="1"/>
      <c r="X6081" s="1"/>
      <c r="Y6081" s="1"/>
      <c r="Z6081" s="1"/>
      <c r="AA6081" s="1"/>
      <c r="AB6081" s="1"/>
      <c r="AC6081" s="1"/>
      <c r="AD6081" s="1"/>
      <c r="AE6081" s="1"/>
      <c r="AF6081" s="1"/>
      <c r="AG6081" s="1"/>
      <c r="AH6081" s="1"/>
      <c r="AI6081" s="1"/>
      <c r="AJ6081" s="1"/>
      <c r="AK6081" s="1"/>
      <c r="AL6081" s="1"/>
      <c r="AM6081" s="1"/>
      <c r="AN6081" s="1"/>
      <c r="AO6081" s="1"/>
      <c r="AP6081" s="1"/>
      <c r="AQ6081" s="1"/>
      <c r="AR6081" s="1"/>
      <c r="AS6081" s="1"/>
      <c r="AT6081" s="1"/>
      <c r="AU6081" s="1"/>
      <c r="AV6081" s="1"/>
      <c r="AW6081" s="1"/>
      <c r="AX6081" s="1"/>
      <c r="AY6081" s="1"/>
      <c r="AZ6081" s="1"/>
      <c r="BA6081" s="1"/>
      <c r="BB6081" s="1"/>
    </row>
    <row r="6082" ht="204.75" customHeight="1">
      <c r="A6082" s="1">
        <v>5886.0</v>
      </c>
      <c r="B6082" s="2" t="s">
        <v>16208</v>
      </c>
      <c r="C6082" s="2">
        <f>IFERROR(__xludf.DUMMYFUNCTION("split(B6082,""_"")"),804.0)</f>
        <v>804</v>
      </c>
      <c r="D6082" s="2" t="str">
        <f>IFERROR(__xludf.DUMMYFUNCTION("""COMPUTED_VALUE"""),"TBS")</f>
        <v>TBS</v>
      </c>
      <c r="E6082" s="2" t="str">
        <f>IFERROR(__xludf.DUMMYFUNCTION("""COMPUTED_VALUE"""),"日21")</f>
        <v>日21</v>
      </c>
      <c r="F6082" s="2" t="s">
        <v>16209</v>
      </c>
      <c r="G6082" s="2" t="s">
        <v>16210</v>
      </c>
      <c r="H6082" s="1">
        <v>1.0</v>
      </c>
      <c r="J6082" s="1" t="s">
        <v>4</v>
      </c>
      <c r="K6082" s="2" t="s">
        <v>16211</v>
      </c>
      <c r="L6082" s="2"/>
      <c r="M6082" s="2" t="str">
        <f>IFERROR(__xludf.DUMMYFUNCTION("split(split(K6082,""【"",false),""公式LINE"",false)"),"「史上最凶の純愛」大学の海洋生物学科講師の眞崎三朗は、ごく普通の男。恋人にフラれた帰り道、駅のホ―ムでよろめく女性・たか見凛子の姿を目にする。今にも線路に落ちそうな彼女を咄嗟に引き寄せる三朗。しかし、この小さな親切が仇となる。彼女はキュ―トでかわいらしい外見とは裏腹に、生意気で恐ろしく凶暴。そんな彼女の口癖は「ぶっ殺す！」。凛子との出会いで三朗の人生が一変する…。草彅剛　田中麗奈　松嶋奈緒　鈴木えみ　松嶋尚美　市毛良枝　谷原章介　上川隆也　山田親太朗　大石参月　脚本：坂元裕二演出：土井裕泰伊與田英徳TBS"&amp;"テレビ")</f>
        <v>「史上最凶の純愛」大学の海洋生物学科講師の眞崎三朗は、ごく普通の男。恋人にフラれた帰り道、駅のホ―ムでよろめく女性・たか見凛子の姿を目にする。今にも線路に落ちそうな彼女を咄嗟に引き寄せる三朗。しかし、この小さな親切が仇となる。彼女はキュ―トでかわいらしい外見とは裏腹に、生意気で恐ろしく凶暴。そんな彼女の口癖は「ぶっ殺す！」。凛子との出会いで三朗の人生が一変する…。草彅剛　田中麗奈　松嶋奈緒　鈴木えみ　松嶋尚美　市毛良枝　谷原章介　上川隆也　山田親太朗　大石参月　脚本：坂元裕二演出：土井裕泰伊與田英徳TBSテレビ</v>
      </c>
      <c r="N6082" s="2"/>
      <c r="O6082" s="2"/>
      <c r="P6082" s="1"/>
      <c r="Q6082" s="1"/>
      <c r="R6082" s="1"/>
      <c r="S6082" s="1"/>
      <c r="T6082" s="1"/>
      <c r="U6082" s="1"/>
      <c r="V6082" s="1"/>
      <c r="W6082" s="1"/>
      <c r="X6082" s="1"/>
      <c r="Y6082" s="1"/>
      <c r="Z6082" s="1"/>
      <c r="AA6082" s="1"/>
      <c r="AB6082" s="1"/>
      <c r="AC6082" s="1"/>
      <c r="AD6082" s="1"/>
      <c r="AE6082" s="1"/>
      <c r="AF6082" s="1"/>
      <c r="AG6082" s="1"/>
      <c r="AH6082" s="1"/>
      <c r="AI6082" s="1"/>
      <c r="AJ6082" s="1"/>
      <c r="AK6082" s="1"/>
      <c r="AL6082" s="1"/>
      <c r="AM6082" s="1"/>
      <c r="AN6082" s="1"/>
      <c r="AO6082" s="1"/>
      <c r="AP6082" s="1"/>
      <c r="AQ6082" s="1"/>
      <c r="AR6082" s="1"/>
      <c r="AS6082" s="1"/>
      <c r="AT6082" s="1"/>
      <c r="AU6082" s="1"/>
      <c r="AV6082" s="1"/>
      <c r="AW6082" s="1"/>
      <c r="AX6082" s="1"/>
      <c r="AY6082" s="1"/>
      <c r="AZ6082" s="1"/>
      <c r="BA6082" s="1"/>
      <c r="BB6082" s="1"/>
    </row>
    <row r="6083" ht="204.75" customHeight="1">
      <c r="A6083" s="1">
        <v>5887.0</v>
      </c>
      <c r="B6083" s="2" t="s">
        <v>16208</v>
      </c>
      <c r="C6083" s="2">
        <f>IFERROR(__xludf.DUMMYFUNCTION("split(B6083,""_"")"),804.0)</f>
        <v>804</v>
      </c>
      <c r="D6083" s="2" t="str">
        <f>IFERROR(__xludf.DUMMYFUNCTION("""COMPUTED_VALUE"""),"TBS")</f>
        <v>TBS</v>
      </c>
      <c r="E6083" s="2" t="str">
        <f>IFERROR(__xludf.DUMMYFUNCTION("""COMPUTED_VALUE"""),"日21")</f>
        <v>日21</v>
      </c>
      <c r="F6083" s="2" t="s">
        <v>16209</v>
      </c>
      <c r="G6083" s="2" t="s">
        <v>16210</v>
      </c>
      <c r="H6083" s="1">
        <v>2.0</v>
      </c>
      <c r="J6083" s="1" t="s">
        <v>11</v>
      </c>
      <c r="K6083" s="2" t="s">
        <v>16212</v>
      </c>
      <c r="L6083" s="2"/>
      <c r="M6083" s="2" t="str">
        <f>IFERROR(__xludf.DUMMYFUNCTION("split(split(K6083,""【"",false),""公式LINE"",false)"),"「恋は、タイミング」凛子とホテルから出てきたところを南に見られてしまった三朗。さらに凛子が三朗の隣の部屋に引っ越してくる。南が三朗の家を訪れるタイミングに、何かとちょっかいを出してくる凛子。そのたびに南に誤り、次なるチャンスを作る三朗。そんな時、三朗は南の誤解を解くため、凛子に一目惚れした健作とダブルデ―トに繰り出す。草彅剛　田中麗奈　松下奈緒　鈴木えみ　松嶋尚美　市毛良枝　谷原章介　上川隆也　山田親太朗　大石参月　脚本：坂元裕二演出：土井裕泰伊與田英徳TBSテレビ")</f>
        <v>「恋は、タイミング」凛子とホテルから出てきたところを南に見られてしまった三朗。さらに凛子が三朗の隣の部屋に引っ越してくる。南が三朗の家を訪れるタイミングに、何かとちょっかいを出してくる凛子。そのたびに南に誤り、次なるチャンスを作る三朗。そんな時、三朗は南の誤解を解くため、凛子に一目惚れした健作とダブルデ―トに繰り出す。草彅剛　田中麗奈　松下奈緒　鈴木えみ　松嶋尚美　市毛良枝　谷原章介　上川隆也　山田親太朗　大石参月　脚本：坂元裕二演出：土井裕泰伊與田英徳TBSテレビ</v>
      </c>
      <c r="N6083" s="2"/>
      <c r="O6083" s="2"/>
      <c r="P6083" s="1"/>
      <c r="Q6083" s="1"/>
      <c r="R6083" s="1"/>
      <c r="S6083" s="1"/>
      <c r="T6083" s="1"/>
      <c r="U6083" s="1"/>
      <c r="V6083" s="1"/>
      <c r="W6083" s="1"/>
      <c r="X6083" s="1"/>
      <c r="Y6083" s="1"/>
      <c r="Z6083" s="1"/>
      <c r="AA6083" s="1"/>
      <c r="AB6083" s="1"/>
      <c r="AC6083" s="1"/>
      <c r="AD6083" s="1"/>
      <c r="AE6083" s="1"/>
      <c r="AF6083" s="1"/>
      <c r="AG6083" s="1"/>
      <c r="AH6083" s="1"/>
      <c r="AI6083" s="1"/>
      <c r="AJ6083" s="1"/>
      <c r="AK6083" s="1"/>
      <c r="AL6083" s="1"/>
      <c r="AM6083" s="1"/>
      <c r="AN6083" s="1"/>
      <c r="AO6083" s="1"/>
      <c r="AP6083" s="1"/>
      <c r="AQ6083" s="1"/>
      <c r="AR6083" s="1"/>
      <c r="AS6083" s="1"/>
      <c r="AT6083" s="1"/>
      <c r="AU6083" s="1"/>
      <c r="AV6083" s="1"/>
      <c r="AW6083" s="1"/>
      <c r="AX6083" s="1"/>
      <c r="AY6083" s="1"/>
      <c r="AZ6083" s="1"/>
      <c r="BA6083" s="1"/>
      <c r="BB6083" s="1"/>
    </row>
    <row r="6084" ht="204.75" customHeight="1">
      <c r="A6084" s="1">
        <v>5888.0</v>
      </c>
      <c r="B6084" s="2" t="s">
        <v>16208</v>
      </c>
      <c r="C6084" s="2">
        <f>IFERROR(__xludf.DUMMYFUNCTION("split(B6084,""_"")"),804.0)</f>
        <v>804</v>
      </c>
      <c r="D6084" s="2" t="str">
        <f>IFERROR(__xludf.DUMMYFUNCTION("""COMPUTED_VALUE"""),"TBS")</f>
        <v>TBS</v>
      </c>
      <c r="E6084" s="2" t="str">
        <f>IFERROR(__xludf.DUMMYFUNCTION("""COMPUTED_VALUE"""),"日21")</f>
        <v>日21</v>
      </c>
      <c r="F6084" s="2" t="s">
        <v>16209</v>
      </c>
      <c r="G6084" s="2" t="s">
        <v>16210</v>
      </c>
      <c r="H6084" s="1">
        <v>3.0</v>
      </c>
      <c r="J6084" s="1" t="s">
        <v>11</v>
      </c>
      <c r="K6084" s="2" t="s">
        <v>16213</v>
      </c>
      <c r="L6084" s="2"/>
      <c r="M6084" s="2" t="str">
        <f>IFERROR(__xludf.DUMMYFUNCTION("split(split(K6084,""【"",false),""公式LINE"",false)"),"「帰る場所はどこ？」ついに三朗は「アパ―トから出ていって欲しい」と凛子に告げる。反発する凛子だが、三朗の決定的な一言で「出て行けばいいんでしょ！」と荷物を持って出て行ってしまう。しかしその後、凛子が隣の部屋に引っ越してきた理由を知った三朗は複雑な気持ちになり…。草彅剛　田中麗奈　松下奈緒　鈴木えみ　松嶋尚美　市毛良枝　谷原章介　上川隆也　山田親太朗　大石参月　脚本：坂元裕二演出：山室大輔伊與田英徳TBSテレビ")</f>
        <v>「帰る場所はどこ？」ついに三朗は「アパ―トから出ていって欲しい」と凛子に告げる。反発する凛子だが、三朗の決定的な一言で「出て行けばいいんでしょ！」と荷物を持って出て行ってしまう。しかしその後、凛子が隣の部屋に引っ越してきた理由を知った三朗は複雑な気持ちになり…。草彅剛　田中麗奈　松下奈緒　鈴木えみ　松嶋尚美　市毛良枝　谷原章介　上川隆也　山田親太朗　大石参月　脚本：坂元裕二演出：山室大輔伊與田英徳TBSテレビ</v>
      </c>
      <c r="N6084" s="2"/>
      <c r="O6084" s="2"/>
      <c r="P6084" s="1"/>
      <c r="Q6084" s="1"/>
      <c r="R6084" s="1"/>
      <c r="S6084" s="1"/>
      <c r="T6084" s="1"/>
      <c r="U6084" s="1"/>
      <c r="V6084" s="1"/>
      <c r="W6084" s="1"/>
      <c r="X6084" s="1"/>
      <c r="Y6084" s="1"/>
      <c r="Z6084" s="1"/>
      <c r="AA6084" s="1"/>
      <c r="AB6084" s="1"/>
      <c r="AC6084" s="1"/>
      <c r="AD6084" s="1"/>
      <c r="AE6084" s="1"/>
      <c r="AF6084" s="1"/>
      <c r="AG6084" s="1"/>
      <c r="AH6084" s="1"/>
      <c r="AI6084" s="1"/>
      <c r="AJ6084" s="1"/>
      <c r="AK6084" s="1"/>
      <c r="AL6084" s="1"/>
      <c r="AM6084" s="1"/>
      <c r="AN6084" s="1"/>
      <c r="AO6084" s="1"/>
      <c r="AP6084" s="1"/>
      <c r="AQ6084" s="1"/>
      <c r="AR6084" s="1"/>
      <c r="AS6084" s="1"/>
      <c r="AT6084" s="1"/>
      <c r="AU6084" s="1"/>
      <c r="AV6084" s="1"/>
      <c r="AW6084" s="1"/>
      <c r="AX6084" s="1"/>
      <c r="AY6084" s="1"/>
      <c r="AZ6084" s="1"/>
      <c r="BA6084" s="1"/>
      <c r="BB6084" s="1"/>
    </row>
    <row r="6085" ht="204.75" customHeight="1">
      <c r="A6085" s="1">
        <v>5889.0</v>
      </c>
      <c r="B6085" s="2" t="s">
        <v>16208</v>
      </c>
      <c r="C6085" s="2">
        <f>IFERROR(__xludf.DUMMYFUNCTION("split(B6085,""_"")"),804.0)</f>
        <v>804</v>
      </c>
      <c r="D6085" s="2" t="str">
        <f>IFERROR(__xludf.DUMMYFUNCTION("""COMPUTED_VALUE"""),"TBS")</f>
        <v>TBS</v>
      </c>
      <c r="E6085" s="2" t="str">
        <f>IFERROR(__xludf.DUMMYFUNCTION("""COMPUTED_VALUE"""),"日21")</f>
        <v>日21</v>
      </c>
      <c r="F6085" s="2" t="s">
        <v>16209</v>
      </c>
      <c r="G6085" s="2" t="s">
        <v>16210</v>
      </c>
      <c r="H6085" s="1">
        <v>4.0</v>
      </c>
      <c r="J6085" s="1" t="s">
        <v>11</v>
      </c>
      <c r="K6085" s="2" t="s">
        <v>16214</v>
      </c>
      <c r="L6085" s="2"/>
      <c r="M6085" s="2" t="str">
        <f>IFERROR(__xludf.DUMMYFUNCTION("split(split(K6085,""【"",false),""公式LINE"",false)"),"三朗と凛子の”彼”探す旅が始まる。知人や友人などを訪ね歩く二人だが、なかなか有力な手がかりにまで辿り着かない。そんな中、凛子が”彼”の実家がある場所を思い出したことから急展開する。なぜ”彼”は凛子の前から姿を消したのか。驚愕の事実が明らかになる。草彅剛　田中麗奈　松下奈緒　鈴木えみ　松嶋尚美　市毛良枝　谷原章介　上川隆也　山田親太朗　大石参月　佐々木蔵之介　貫地谷しほり　市川染五郎脚本：坂元裕二演出：川嶋龍太郎伊與田英徳TBSテレビ")</f>
        <v>三朗と凛子の”彼”探す旅が始まる。知人や友人などを訪ね歩く二人だが、なかなか有力な手がかりにまで辿り着かない。そんな中、凛子が”彼”の実家がある場所を思い出したことから急展開する。なぜ”彼”は凛子の前から姿を消したのか。驚愕の事実が明らかになる。草彅剛　田中麗奈　松下奈緒　鈴木えみ　松嶋尚美　市毛良枝　谷原章介　上川隆也　山田親太朗　大石参月　佐々木蔵之介　貫地谷しほり　市川染五郎脚本：坂元裕二演出：川嶋龍太郎伊與田英徳TBSテレビ</v>
      </c>
      <c r="N6085" s="2"/>
      <c r="O6085" s="2"/>
      <c r="P6085" s="1"/>
      <c r="Q6085" s="1"/>
      <c r="R6085" s="1"/>
      <c r="S6085" s="1"/>
      <c r="T6085" s="1"/>
      <c r="U6085" s="1"/>
      <c r="V6085" s="1"/>
      <c r="W6085" s="1"/>
      <c r="X6085" s="1"/>
      <c r="Y6085" s="1"/>
      <c r="Z6085" s="1"/>
      <c r="AA6085" s="1"/>
      <c r="AB6085" s="1"/>
      <c r="AC6085" s="1"/>
      <c r="AD6085" s="1"/>
      <c r="AE6085" s="1"/>
      <c r="AF6085" s="1"/>
      <c r="AG6085" s="1"/>
      <c r="AH6085" s="1"/>
      <c r="AI6085" s="1"/>
      <c r="AJ6085" s="1"/>
      <c r="AK6085" s="1"/>
      <c r="AL6085" s="1"/>
      <c r="AM6085" s="1"/>
      <c r="AN6085" s="1"/>
      <c r="AO6085" s="1"/>
      <c r="AP6085" s="1"/>
      <c r="AQ6085" s="1"/>
      <c r="AR6085" s="1"/>
      <c r="AS6085" s="1"/>
      <c r="AT6085" s="1"/>
      <c r="AU6085" s="1"/>
      <c r="AV6085" s="1"/>
      <c r="AW6085" s="1"/>
      <c r="AX6085" s="1"/>
      <c r="AY6085" s="1"/>
      <c r="AZ6085" s="1"/>
      <c r="BA6085" s="1"/>
      <c r="BB6085" s="1"/>
    </row>
    <row r="6086" ht="204.75" customHeight="1">
      <c r="A6086" s="1">
        <v>5890.0</v>
      </c>
      <c r="B6086" s="2" t="s">
        <v>16208</v>
      </c>
      <c r="C6086" s="2">
        <f>IFERROR(__xludf.DUMMYFUNCTION("split(B6086,""_"")"),804.0)</f>
        <v>804</v>
      </c>
      <c r="D6086" s="2" t="str">
        <f>IFERROR(__xludf.DUMMYFUNCTION("""COMPUTED_VALUE"""),"TBS")</f>
        <v>TBS</v>
      </c>
      <c r="E6086" s="2" t="str">
        <f>IFERROR(__xludf.DUMMYFUNCTION("""COMPUTED_VALUE"""),"日21")</f>
        <v>日21</v>
      </c>
      <c r="F6086" s="2" t="s">
        <v>16209</v>
      </c>
      <c r="G6086" s="2" t="s">
        <v>16210</v>
      </c>
      <c r="H6086" s="1">
        <v>5.0</v>
      </c>
      <c r="J6086" s="1" t="s">
        <v>11</v>
      </c>
      <c r="K6086" s="2" t="s">
        <v>16215</v>
      </c>
      <c r="L6086" s="2"/>
      <c r="M6086" s="2" t="str">
        <f>IFERROR(__xludf.DUMMYFUNCTION("split(split(K6086,""【"",false),""公式LINE"",false)"),"「命をかけた恋」三朗は、野々村が凛子の前から姿を消した理由を知ってしまう。凛子も知らない事実に戸惑う三朗。凛子は三朗に心の奥に留めていた野々村との思い出を打ち明けるようになる。強がる凛子の言葉とは裏腹な気持ちを察した三朗は、凛子に本当のことを伝えるべきか葛藤する。三朗が凛子のためにしてあげられることはあるのか？草彅剛　田中麗奈　松下奈緒　鈴木えみ　松嶋尚美　谷原章介　上川隆也　山田親太朗　佐々木蔵之介　貫地谷しほり　市川染五郎　脚本：坂元裕二演出：土井裕泰伊與田英徳TBSテレビ")</f>
        <v>「命をかけた恋」三朗は、野々村が凛子の前から姿を消した理由を知ってしまう。凛子も知らない事実に戸惑う三朗。凛子は三朗に心の奥に留めていた野々村との思い出を打ち明けるようになる。強がる凛子の言葉とは裏腹な気持ちを察した三朗は、凛子に本当のことを伝えるべきか葛藤する。三朗が凛子のためにしてあげられることはあるのか？草彅剛　田中麗奈　松下奈緒　鈴木えみ　松嶋尚美　谷原章介　上川隆也　山田親太朗　佐々木蔵之介　貫地谷しほり　市川染五郎　脚本：坂元裕二演出：土井裕泰伊與田英徳TBSテレビ</v>
      </c>
      <c r="N6086" s="2"/>
      <c r="O6086" s="2"/>
      <c r="P6086" s="1"/>
      <c r="Q6086" s="1"/>
      <c r="R6086" s="1"/>
      <c r="S6086" s="1"/>
      <c r="T6086" s="1"/>
      <c r="U6086" s="1"/>
      <c r="V6086" s="1"/>
      <c r="W6086" s="1"/>
      <c r="X6086" s="1"/>
      <c r="Y6086" s="1"/>
      <c r="Z6086" s="1"/>
      <c r="AA6086" s="1"/>
      <c r="AB6086" s="1"/>
      <c r="AC6086" s="1"/>
      <c r="AD6086" s="1"/>
      <c r="AE6086" s="1"/>
      <c r="AF6086" s="1"/>
      <c r="AG6086" s="1"/>
      <c r="AH6086" s="1"/>
      <c r="AI6086" s="1"/>
      <c r="AJ6086" s="1"/>
      <c r="AK6086" s="1"/>
      <c r="AL6086" s="1"/>
      <c r="AM6086" s="1"/>
      <c r="AN6086" s="1"/>
      <c r="AO6086" s="1"/>
      <c r="AP6086" s="1"/>
      <c r="AQ6086" s="1"/>
      <c r="AR6086" s="1"/>
      <c r="AS6086" s="1"/>
      <c r="AT6086" s="1"/>
      <c r="AU6086" s="1"/>
      <c r="AV6086" s="1"/>
      <c r="AW6086" s="1"/>
      <c r="AX6086" s="1"/>
      <c r="AY6086" s="1"/>
      <c r="AZ6086" s="1"/>
      <c r="BA6086" s="1"/>
      <c r="BB6086" s="1"/>
    </row>
    <row r="6087" ht="204.75" customHeight="1">
      <c r="A6087" s="1">
        <v>5891.0</v>
      </c>
      <c r="B6087" s="2" t="s">
        <v>16208</v>
      </c>
      <c r="C6087" s="2">
        <f>IFERROR(__xludf.DUMMYFUNCTION("split(B6087,""_"")"),804.0)</f>
        <v>804</v>
      </c>
      <c r="D6087" s="2" t="str">
        <f>IFERROR(__xludf.DUMMYFUNCTION("""COMPUTED_VALUE"""),"TBS")</f>
        <v>TBS</v>
      </c>
      <c r="E6087" s="2" t="str">
        <f>IFERROR(__xludf.DUMMYFUNCTION("""COMPUTED_VALUE"""),"日21")</f>
        <v>日21</v>
      </c>
      <c r="F6087" s="2" t="s">
        <v>16209</v>
      </c>
      <c r="G6087" s="2" t="s">
        <v>16210</v>
      </c>
      <c r="H6087" s="1">
        <v>6.0</v>
      </c>
      <c r="J6087" s="1" t="s">
        <v>11</v>
      </c>
      <c r="K6087" s="2" t="s">
        <v>16216</v>
      </c>
      <c r="L6087" s="2"/>
      <c r="M6087" s="2" t="str">
        <f>IFERROR(__xludf.DUMMYFUNCTION("split(split(K6087,""【"",false),""公式LINE"",false)"),"「未来への贈り物」野々村に再会することが出来なかった凛子は部屋に閉じこもってしまう。すべてを凛子に話したことを後悔する三朗は、凛子にどう声を掛けていいのかわからないでいた。そんな三朗に気付いた凛子が三朗をデ―トに誘う。いつもと変わらない凛子の様子に、三朗はホッとするが、翌日、五月から凛子がいなくなったこと告げられる。そんなある日、三朗は雪乃が残しておいたという無数の紙片の山を手渡される。そこにはあるメッセ―ジが。草彅剛　田中麗奈　松下奈緒　鈴木えみ　松嶋尚美　市毛良枝　谷原章介　上川隆也　山田親太朗　大石"&amp;"参月　貫地谷しほり　　脚本：坂元裕二演出：山室大輔伊與田英徳TBSテレビ")</f>
        <v>「未来への贈り物」野々村に再会することが出来なかった凛子は部屋に閉じこもってしまう。すべてを凛子に話したことを後悔する三朗は、凛子にどう声を掛けていいのかわからないでいた。そんな三朗に気付いた凛子が三朗をデ―トに誘う。いつもと変わらない凛子の様子に、三朗はホッとするが、翌日、五月から凛子がいなくなったこと告げられる。そんなある日、三朗は雪乃が残しておいたという無数の紙片の山を手渡される。そこにはあるメッセ―ジが。草彅剛　田中麗奈　松下奈緒　鈴木えみ　松嶋尚美　市毛良枝　谷原章介　上川隆也　山田親太朗　大石参月　貫地谷しほり　　脚本：坂元裕二演出：山室大輔伊與田英徳TBSテレビ</v>
      </c>
      <c r="N6087" s="2"/>
      <c r="O6087" s="2"/>
      <c r="P6087" s="1"/>
      <c r="Q6087" s="1"/>
      <c r="R6087" s="1"/>
      <c r="S6087" s="1"/>
      <c r="T6087" s="1"/>
      <c r="U6087" s="1"/>
      <c r="V6087" s="1"/>
      <c r="W6087" s="1"/>
      <c r="X6087" s="1"/>
      <c r="Y6087" s="1"/>
      <c r="Z6087" s="1"/>
      <c r="AA6087" s="1"/>
      <c r="AB6087" s="1"/>
      <c r="AC6087" s="1"/>
      <c r="AD6087" s="1"/>
      <c r="AE6087" s="1"/>
      <c r="AF6087" s="1"/>
      <c r="AG6087" s="1"/>
      <c r="AH6087" s="1"/>
      <c r="AI6087" s="1"/>
      <c r="AJ6087" s="1"/>
      <c r="AK6087" s="1"/>
      <c r="AL6087" s="1"/>
      <c r="AM6087" s="1"/>
      <c r="AN6087" s="1"/>
      <c r="AO6087" s="1"/>
      <c r="AP6087" s="1"/>
      <c r="AQ6087" s="1"/>
      <c r="AR6087" s="1"/>
      <c r="AS6087" s="1"/>
      <c r="AT6087" s="1"/>
      <c r="AU6087" s="1"/>
      <c r="AV6087" s="1"/>
      <c r="AW6087" s="1"/>
      <c r="AX6087" s="1"/>
      <c r="AY6087" s="1"/>
      <c r="AZ6087" s="1"/>
      <c r="BA6087" s="1"/>
      <c r="BB6087" s="1"/>
    </row>
    <row r="6088" ht="204.75" customHeight="1">
      <c r="A6088" s="1">
        <v>5892.0</v>
      </c>
      <c r="B6088" s="2" t="s">
        <v>16208</v>
      </c>
      <c r="C6088" s="2">
        <f>IFERROR(__xludf.DUMMYFUNCTION("split(B6088,""_"")"),804.0)</f>
        <v>804</v>
      </c>
      <c r="D6088" s="2" t="str">
        <f>IFERROR(__xludf.DUMMYFUNCTION("""COMPUTED_VALUE"""),"TBS")</f>
        <v>TBS</v>
      </c>
      <c r="E6088" s="2" t="str">
        <f>IFERROR(__xludf.DUMMYFUNCTION("""COMPUTED_VALUE"""),"日21")</f>
        <v>日21</v>
      </c>
      <c r="F6088" s="2" t="s">
        <v>16209</v>
      </c>
      <c r="G6088" s="2" t="s">
        <v>16210</v>
      </c>
      <c r="H6088" s="1">
        <v>7.0</v>
      </c>
      <c r="J6088" s="1" t="s">
        <v>11</v>
      </c>
      <c r="K6088" s="2" t="s">
        <v>16217</v>
      </c>
      <c r="L6088" s="2"/>
      <c r="M6088" s="2" t="str">
        <f>IFERROR(__xludf.DUMMYFUNCTION("split(split(K6088,""【"",false),""公式LINE"",false)"),"「愛の旋律～君は宝もの」凛子に告白をした三朗。しかし、久しぶりにアパ―トへ戻ってきた凛子は三朗のことなどほったらかし全く相手にしようとしなかった。しかも、そんな凛子に腹を立てる三朗に「ピアノを弾けるようになって」と言う。一切ピアノを弾けない三朗は、南に協力してもらい練習をする。しかし三朗の努力は、ある出来事がきっかけで台無しにされそうになる。果たして凛子の要求に三朗は応えることができるのか・・・草彅剛　田中麗奈　松下奈緒　鈴木えみ　松嶋尚美　市毛良枝　谷原章介　上川隆也　山田親太朗　大石参月　大東俊介　脚"&amp;"本：坂元裕二演出：土井裕泰伊與田英徳TBSテレビ")</f>
        <v>「愛の旋律～君は宝もの」凛子に告白をした三朗。しかし、久しぶりにアパ―トへ戻ってきた凛子は三朗のことなどほったらかし全く相手にしようとしなかった。しかも、そんな凛子に腹を立てる三朗に「ピアノを弾けるようになって」と言う。一切ピアノを弾けない三朗は、南に協力してもらい練習をする。しかし三朗の努力は、ある出来事がきっかけで台無しにされそうになる。果たして凛子の要求に三朗は応えることができるのか・・・草彅剛　田中麗奈　松下奈緒　鈴木えみ　松嶋尚美　市毛良枝　谷原章介　上川隆也　山田親太朗　大石参月　大東俊介　脚本：坂元裕二演出：土井裕泰伊與田英徳TBSテレビ</v>
      </c>
      <c r="N6088" s="2"/>
      <c r="O6088" s="2"/>
      <c r="P6088" s="1"/>
      <c r="Q6088" s="1"/>
      <c r="R6088" s="1"/>
      <c r="S6088" s="1"/>
      <c r="T6088" s="1"/>
      <c r="U6088" s="1"/>
      <c r="V6088" s="1"/>
      <c r="W6088" s="1"/>
      <c r="X6088" s="1"/>
      <c r="Y6088" s="1"/>
      <c r="Z6088" s="1"/>
      <c r="AA6088" s="1"/>
      <c r="AB6088" s="1"/>
      <c r="AC6088" s="1"/>
      <c r="AD6088" s="1"/>
      <c r="AE6088" s="1"/>
      <c r="AF6088" s="1"/>
      <c r="AG6088" s="1"/>
      <c r="AH6088" s="1"/>
      <c r="AI6088" s="1"/>
      <c r="AJ6088" s="1"/>
      <c r="AK6088" s="1"/>
      <c r="AL6088" s="1"/>
      <c r="AM6088" s="1"/>
      <c r="AN6088" s="1"/>
      <c r="AO6088" s="1"/>
      <c r="AP6088" s="1"/>
      <c r="AQ6088" s="1"/>
      <c r="AR6088" s="1"/>
      <c r="AS6088" s="1"/>
      <c r="AT6088" s="1"/>
      <c r="AU6088" s="1"/>
      <c r="AV6088" s="1"/>
      <c r="AW6088" s="1"/>
      <c r="AX6088" s="1"/>
      <c r="AY6088" s="1"/>
      <c r="AZ6088" s="1"/>
      <c r="BA6088" s="1"/>
      <c r="BB6088" s="1"/>
    </row>
    <row r="6089" ht="204.75" customHeight="1">
      <c r="A6089" s="1">
        <v>5893.0</v>
      </c>
      <c r="B6089" s="2" t="s">
        <v>16208</v>
      </c>
      <c r="C6089" s="2">
        <f>IFERROR(__xludf.DUMMYFUNCTION("split(B6089,""_"")"),804.0)</f>
        <v>804</v>
      </c>
      <c r="D6089" s="2" t="str">
        <f>IFERROR(__xludf.DUMMYFUNCTION("""COMPUTED_VALUE"""),"TBS")</f>
        <v>TBS</v>
      </c>
      <c r="E6089" s="2" t="str">
        <f>IFERROR(__xludf.DUMMYFUNCTION("""COMPUTED_VALUE"""),"日21")</f>
        <v>日21</v>
      </c>
      <c r="F6089" s="2" t="s">
        <v>16209</v>
      </c>
      <c r="G6089" s="2" t="s">
        <v>16210</v>
      </c>
      <c r="H6089" s="1">
        <v>8.0</v>
      </c>
      <c r="J6089" s="1" t="s">
        <v>11</v>
      </c>
      <c r="K6089" s="2" t="s">
        <v>16218</v>
      </c>
      <c r="L6089" s="2"/>
      <c r="M6089" s="2" t="str">
        <f>IFERROR(__xludf.DUMMYFUNCTION("split(split(K6089,""【"",false),""公式LINE"",false)"),"「予想外のライバル」ある日突然、「私、結婚する！」と言い出す凛子。というのも、凛子の父・誠司が勝手にすすめている縁談を断れないといのだ。三朗は「彼氏なんだから断って」と凛子に言われ、何とか話を無かったことにしてもらおうと誠司に話を切り出そうとするが出来ない。そんな三朗に誠司が婚約者・祖父江の写真を見せる。イケメン！しかも金持ち！勝ち目は無いと意気消沈する三朗。誠司に認めてもらうには・・・草彅剛　田中麗奈　松下奈緒　鈴木えみ　松嶋尚美　市毛良枝　谷原章介　上川隆也　山田親太朗　大石参月　脚本：坂元裕二演出："&amp;"川嶋龍太郎伊與田英徳TBSテレビ")</f>
        <v>「予想外のライバル」ある日突然、「私、結婚する！」と言い出す凛子。というのも、凛子の父・誠司が勝手にすすめている縁談を断れないといのだ。三朗は「彼氏なんだから断って」と凛子に言われ、何とか話を無かったことにしてもらおうと誠司に話を切り出そうとするが出来ない。そんな三朗に誠司が婚約者・祖父江の写真を見せる。イケメン！しかも金持ち！勝ち目は無いと意気消沈する三朗。誠司に認めてもらうには・・・草彅剛　田中麗奈　松下奈緒　鈴木えみ　松嶋尚美　市毛良枝　谷原章介　上川隆也　山田親太朗　大石参月　脚本：坂元裕二演出：川嶋龍太郎伊與田英徳TBSテレビ</v>
      </c>
      <c r="N6089" s="2"/>
      <c r="O6089" s="2"/>
      <c r="P6089" s="1"/>
      <c r="Q6089" s="1"/>
      <c r="R6089" s="1"/>
      <c r="S6089" s="1"/>
      <c r="T6089" s="1"/>
      <c r="U6089" s="1"/>
      <c r="V6089" s="1"/>
      <c r="W6089" s="1"/>
      <c r="X6089" s="1"/>
      <c r="Y6089" s="1"/>
      <c r="Z6089" s="1"/>
      <c r="AA6089" s="1"/>
      <c r="AB6089" s="1"/>
      <c r="AC6089" s="1"/>
      <c r="AD6089" s="1"/>
      <c r="AE6089" s="1"/>
      <c r="AF6089" s="1"/>
      <c r="AG6089" s="1"/>
      <c r="AH6089" s="1"/>
      <c r="AI6089" s="1"/>
      <c r="AJ6089" s="1"/>
      <c r="AK6089" s="1"/>
      <c r="AL6089" s="1"/>
      <c r="AM6089" s="1"/>
      <c r="AN6089" s="1"/>
      <c r="AO6089" s="1"/>
      <c r="AP6089" s="1"/>
      <c r="AQ6089" s="1"/>
      <c r="AR6089" s="1"/>
      <c r="AS6089" s="1"/>
      <c r="AT6089" s="1"/>
      <c r="AU6089" s="1"/>
      <c r="AV6089" s="1"/>
      <c r="AW6089" s="1"/>
      <c r="AX6089" s="1"/>
      <c r="AY6089" s="1"/>
      <c r="AZ6089" s="1"/>
      <c r="BA6089" s="1"/>
      <c r="BB6089" s="1"/>
    </row>
    <row r="6090" ht="204.75" customHeight="1">
      <c r="A6090" s="1">
        <v>5894.0</v>
      </c>
      <c r="B6090" s="2" t="s">
        <v>16208</v>
      </c>
      <c r="C6090" s="2">
        <f>IFERROR(__xludf.DUMMYFUNCTION("split(B6090,""_"")"),804.0)</f>
        <v>804</v>
      </c>
      <c r="D6090" s="2" t="str">
        <f>IFERROR(__xludf.DUMMYFUNCTION("""COMPUTED_VALUE"""),"TBS")</f>
        <v>TBS</v>
      </c>
      <c r="E6090" s="2" t="str">
        <f>IFERROR(__xludf.DUMMYFUNCTION("""COMPUTED_VALUE"""),"日21")</f>
        <v>日21</v>
      </c>
      <c r="F6090" s="2" t="s">
        <v>16209</v>
      </c>
      <c r="G6090" s="2" t="s">
        <v>16210</v>
      </c>
      <c r="H6090" s="1">
        <v>9.0</v>
      </c>
      <c r="J6090" s="1" t="s">
        <v>11</v>
      </c>
      <c r="K6090" s="2" t="s">
        <v>16219</v>
      </c>
      <c r="L6090" s="2"/>
      <c r="M6090" s="2" t="str">
        <f>IFERROR(__xludf.DUMMYFUNCTION("split(split(K6090,""【"",false),""公式LINE"",false)"),"「言えない気持ち」ようやく凛子との交際を認めてもらった三朗。ホッとしたのも束の間、凛子が祖父江と結婚すると言い出す。全く理解出来ないでいる三朗に「祖父江に一目惚れしてしまったからしょうがない」という凛子。実は、凛子は誠司が作った借金を祖父江に肩代わりしてもらうために結婚することを三朗に言えないでいた。草彅剛　田中麗奈　松下奈緒　鈴木えみ　松嶋尚美　市毛良枝　谷原章介　上川隆也　山田親太朗　大石参月　脚本：坂元裕二演出：山室大輔伊與田英徳TBSテレビ")</f>
        <v>「言えない気持ち」ようやく凛子との交際を認めてもらった三朗。ホッとしたのも束の間、凛子が祖父江と結婚すると言い出す。全く理解出来ないでいる三朗に「祖父江に一目惚れしてしまったからしょうがない」という凛子。実は、凛子は誠司が作った借金を祖父江に肩代わりしてもらうために結婚することを三朗に言えないでいた。草彅剛　田中麗奈　松下奈緒　鈴木えみ　松嶋尚美　市毛良枝　谷原章介　上川隆也　山田親太朗　大石参月　脚本：坂元裕二演出：山室大輔伊與田英徳TBSテレビ</v>
      </c>
      <c r="N6090" s="2"/>
      <c r="O6090" s="2"/>
      <c r="P6090" s="1"/>
      <c r="Q6090" s="1"/>
      <c r="R6090" s="1"/>
      <c r="S6090" s="1"/>
      <c r="T6090" s="1"/>
      <c r="U6090" s="1"/>
      <c r="V6090" s="1"/>
      <c r="W6090" s="1"/>
      <c r="X6090" s="1"/>
      <c r="Y6090" s="1"/>
      <c r="Z6090" s="1"/>
      <c r="AA6090" s="1"/>
      <c r="AB6090" s="1"/>
      <c r="AC6090" s="1"/>
      <c r="AD6090" s="1"/>
      <c r="AE6090" s="1"/>
      <c r="AF6090" s="1"/>
      <c r="AG6090" s="1"/>
      <c r="AH6090" s="1"/>
      <c r="AI6090" s="1"/>
      <c r="AJ6090" s="1"/>
      <c r="AK6090" s="1"/>
      <c r="AL6090" s="1"/>
      <c r="AM6090" s="1"/>
      <c r="AN6090" s="1"/>
      <c r="AO6090" s="1"/>
      <c r="AP6090" s="1"/>
      <c r="AQ6090" s="1"/>
      <c r="AR6090" s="1"/>
      <c r="AS6090" s="1"/>
      <c r="AT6090" s="1"/>
      <c r="AU6090" s="1"/>
      <c r="AV6090" s="1"/>
      <c r="AW6090" s="1"/>
      <c r="AX6090" s="1"/>
      <c r="AY6090" s="1"/>
      <c r="AZ6090" s="1"/>
      <c r="BA6090" s="1"/>
      <c r="BB6090" s="1"/>
    </row>
    <row r="6091" ht="204.75" customHeight="1">
      <c r="A6091" s="1">
        <v>5895.0</v>
      </c>
      <c r="B6091" s="2" t="s">
        <v>16208</v>
      </c>
      <c r="C6091" s="2">
        <f>IFERROR(__xludf.DUMMYFUNCTION("split(B6091,""_"")"),804.0)</f>
        <v>804</v>
      </c>
      <c r="D6091" s="2" t="str">
        <f>IFERROR(__xludf.DUMMYFUNCTION("""COMPUTED_VALUE"""),"TBS")</f>
        <v>TBS</v>
      </c>
      <c r="E6091" s="2" t="str">
        <f>IFERROR(__xludf.DUMMYFUNCTION("""COMPUTED_VALUE"""),"日21")</f>
        <v>日21</v>
      </c>
      <c r="F6091" s="2" t="s">
        <v>16209</v>
      </c>
      <c r="G6091" s="2" t="s">
        <v>16210</v>
      </c>
      <c r="H6091" s="1">
        <v>10.0</v>
      </c>
      <c r="J6091" s="1" t="s">
        <v>11</v>
      </c>
      <c r="K6091" s="2" t="s">
        <v>16220</v>
      </c>
      <c r="L6091" s="2"/>
      <c r="M6091" s="2" t="str">
        <f>IFERROR(__xludf.DUMMYFUNCTION("split(split(K6091,""【"",false),""公式LINE"",false)"),"「届かぬ想い」南が何者かに襲われ、後遺症が残る可能性がある程のケガを負ってしまう。南の体が元に戻るにはリハビリを1年やらなければならないという検査結果を聞き、三朗は愕然とする。同じくして、凛子は出版社から、1年かけてアフリカ全土を旅してその様子をルポしないか、という誘いを受けていた。嬉しい話だが、1年という期間に複雑な気持ちになる。南を心配する三朗、ルポライタ―として夢を追うべきか悩む凛子。草彅剛　田中麗奈　松下奈緒　鈴木えみ　松嶋尚美　市毛良枝　谷原章介　上川隆也　山田親太朗　大石参月　脚本：坂元裕二演"&amp;"出：土井裕泰伊與田英徳TBSテレビ")</f>
        <v>「届かぬ想い」南が何者かに襲われ、後遺症が残る可能性がある程のケガを負ってしまう。南の体が元に戻るにはリハビリを1年やらなければならないという検査結果を聞き、三朗は愕然とする。同じくして、凛子は出版社から、1年かけてアフリカ全土を旅してその様子をルポしないか、という誘いを受けていた。嬉しい話だが、1年という期間に複雑な気持ちになる。南を心配する三朗、ルポライタ―として夢を追うべきか悩む凛子。草彅剛　田中麗奈　松下奈緒　鈴木えみ　松嶋尚美　市毛良枝　谷原章介　上川隆也　山田親太朗　大石参月　脚本：坂元裕二演出：土井裕泰伊與田英徳TBSテレビ</v>
      </c>
      <c r="N6091" s="2"/>
      <c r="O6091" s="2"/>
      <c r="P6091" s="1"/>
      <c r="Q6091" s="1"/>
      <c r="R6091" s="1"/>
      <c r="S6091" s="1"/>
      <c r="T6091" s="1"/>
      <c r="U6091" s="1"/>
      <c r="V6091" s="1"/>
      <c r="W6091" s="1"/>
      <c r="X6091" s="1"/>
      <c r="Y6091" s="1"/>
      <c r="Z6091" s="1"/>
      <c r="AA6091" s="1"/>
      <c r="AB6091" s="1"/>
      <c r="AC6091" s="1"/>
      <c r="AD6091" s="1"/>
      <c r="AE6091" s="1"/>
      <c r="AF6091" s="1"/>
      <c r="AG6091" s="1"/>
      <c r="AH6091" s="1"/>
      <c r="AI6091" s="1"/>
      <c r="AJ6091" s="1"/>
      <c r="AK6091" s="1"/>
      <c r="AL6091" s="1"/>
      <c r="AM6091" s="1"/>
      <c r="AN6091" s="1"/>
      <c r="AO6091" s="1"/>
      <c r="AP6091" s="1"/>
      <c r="AQ6091" s="1"/>
      <c r="AR6091" s="1"/>
      <c r="AS6091" s="1"/>
      <c r="AT6091" s="1"/>
      <c r="AU6091" s="1"/>
      <c r="AV6091" s="1"/>
      <c r="AW6091" s="1"/>
      <c r="AX6091" s="1"/>
      <c r="AY6091" s="1"/>
      <c r="AZ6091" s="1"/>
      <c r="BA6091" s="1"/>
      <c r="BB6091" s="1"/>
    </row>
    <row r="6092" ht="204.75" customHeight="1">
      <c r="A6092" s="1">
        <v>5896.0</v>
      </c>
      <c r="B6092" s="2" t="s">
        <v>16208</v>
      </c>
      <c r="C6092" s="2">
        <f>IFERROR(__xludf.DUMMYFUNCTION("split(B6092,""_"")"),804.0)</f>
        <v>804</v>
      </c>
      <c r="D6092" s="2" t="str">
        <f>IFERROR(__xludf.DUMMYFUNCTION("""COMPUTED_VALUE"""),"TBS")</f>
        <v>TBS</v>
      </c>
      <c r="E6092" s="2" t="str">
        <f>IFERROR(__xludf.DUMMYFUNCTION("""COMPUTED_VALUE"""),"日21")</f>
        <v>日21</v>
      </c>
      <c r="F6092" s="2" t="s">
        <v>16209</v>
      </c>
      <c r="G6092" s="2" t="s">
        <v>16210</v>
      </c>
      <c r="H6092" s="1">
        <v>11.0</v>
      </c>
      <c r="J6092" s="1" t="s">
        <v>11</v>
      </c>
      <c r="K6092" s="2" t="s">
        <v>16221</v>
      </c>
      <c r="L6092" s="2"/>
      <c r="M6092" s="2" t="str">
        <f>IFERROR(__xludf.DUMMYFUNCTION("split(split(K6092,""【"",false),""公式LINE"",false)"),"「涙の最終回～運命の告白」一年後、約束した場所で凛子を待つ三朗。しかし、そこに凛子が現れることはなかった。  三朗が大学へ行くと、夏目から”凛子と結婚する”ことを聞かされる。あまりにも突然のことに落ち込む三朗。そして結婚式当日。久々に再会した凛子はウエディング姿だった！  三朗と凛子の運命はいったい・・・！？草彅剛　田中麗奈　松下奈緒　鈴木えみ　山田親太朗　大石参月　市毛良枝　谷原章介　上川隆也　蟹江敬三　谷啓　香里奈　(他)  脚本：坂元裕二演出：土井裕泰伊與田英徳TBSテレビ")</f>
        <v>「涙の最終回～運命の告白」一年後、約束した場所で凛子を待つ三朗。しかし、そこに凛子が現れることはなかった。  三朗が大学へ行くと、夏目から”凛子と結婚する”ことを聞かされる。あまりにも突然のことに落ち込む三朗。そして結婚式当日。久々に再会した凛子はウエディング姿だった！  三朗と凛子の運命はいったい・・・！？草彅剛　田中麗奈　松下奈緒　鈴木えみ　山田親太朗　大石参月　市毛良枝　谷原章介　上川隆也　蟹江敬三　谷啓　香里奈　(他)  脚本：坂元裕二演出：土井裕泰伊與田英徳TBSテレビ</v>
      </c>
      <c r="N6092" s="2"/>
      <c r="O6092" s="2"/>
      <c r="P6092" s="1"/>
      <c r="Q6092" s="1"/>
      <c r="R6092" s="1"/>
      <c r="S6092" s="1"/>
      <c r="T6092" s="1"/>
      <c r="U6092" s="1"/>
      <c r="V6092" s="1"/>
      <c r="W6092" s="1"/>
      <c r="X6092" s="1"/>
      <c r="Y6092" s="1"/>
      <c r="Z6092" s="1"/>
      <c r="AA6092" s="1"/>
      <c r="AB6092" s="1"/>
      <c r="AC6092" s="1"/>
      <c r="AD6092" s="1"/>
      <c r="AE6092" s="1"/>
      <c r="AF6092" s="1"/>
      <c r="AG6092" s="1"/>
      <c r="AH6092" s="1"/>
      <c r="AI6092" s="1"/>
      <c r="AJ6092" s="1"/>
      <c r="AK6092" s="1"/>
      <c r="AL6092" s="1"/>
      <c r="AM6092" s="1"/>
      <c r="AN6092" s="1"/>
      <c r="AO6092" s="1"/>
      <c r="AP6092" s="1"/>
      <c r="AQ6092" s="1"/>
      <c r="AR6092" s="1"/>
      <c r="AS6092" s="1"/>
      <c r="AT6092" s="1"/>
      <c r="AU6092" s="1"/>
      <c r="AV6092" s="1"/>
      <c r="AW6092" s="1"/>
      <c r="AX6092" s="1"/>
      <c r="AY6092" s="1"/>
      <c r="AZ6092" s="1"/>
      <c r="BA6092" s="1"/>
      <c r="BB6092" s="1"/>
    </row>
    <row r="6093" ht="204.75" customHeight="1">
      <c r="A6093" s="1">
        <v>5947.0</v>
      </c>
      <c r="B6093" s="2" t="s">
        <v>16222</v>
      </c>
      <c r="C6093" s="2">
        <f>IFERROR(__xludf.DUMMYFUNCTION("split(B6093,""_"")"),801.0)</f>
        <v>801</v>
      </c>
      <c r="D6093" s="2" t="str">
        <f>IFERROR(__xludf.DUMMYFUNCTION("""COMPUTED_VALUE"""),"TBS")</f>
        <v>TBS</v>
      </c>
      <c r="E6093" s="2" t="str">
        <f>IFERROR(__xludf.DUMMYFUNCTION("""COMPUTED_VALUE"""),"木21")</f>
        <v>木21</v>
      </c>
      <c r="F6093" s="2" t="s">
        <v>16223</v>
      </c>
      <c r="G6093" s="2" t="s">
        <v>16224</v>
      </c>
      <c r="H6093" s="1">
        <v>1.0</v>
      </c>
      <c r="J6093" s="1" t="s">
        <v>11</v>
      </c>
      <c r="K6093" s="2" t="s">
        <v>16225</v>
      </c>
      <c r="L6093" s="2"/>
      <c r="M6093" s="2" t="str">
        <f>IFERROR(__xludf.DUMMYFUNCTION("split(split(K6093,""【"",false),""公式LINE"",false)"),"やっと見つけた私の居場所  高校受験も大詰め、合否を待つ金八（武田鉄矢）のもとに3Bの面々が報告にやってくる。そして、二名を除き進路が決定するのだが、そのうちの一人美香（草刈麻有）は未だ父の文郎（宅麻伸）の理解を得られず、金八の家を訪ねた…3Bにようやく自分の居場所を見つけ、皆と卒業したいと泣き出す美香に金八は文郎を説得することを約束し、帰宅を促すが美香は家に帰りたくないと言い出した…そして、金八に…！武田鉄矢　星野真理　藤澤恵麻　浅野和之　金田明夫　森田順平　高畑敦子(他)城乃内ミサ「いつか見た青い空」"&amp;"海援隊　　　　　　　　作詞・武田鉄矢　作曲・千葉和臣小山内美江子清水有生大岡　進今井夏木  柳井満TBSテレビ")</f>
        <v>やっと見つけた私の居場所  高校受験も大詰め、合否を待つ金八（武田鉄矢）のもとに3Bの面々が報告にやってくる。そして、二名を除き進路が決定するのだが、そのうちの一人美香（草刈麻有）は未だ父の文郎（宅麻伸）の理解を得られず、金八の家を訪ねた…3Bにようやく自分の居場所を見つけ、皆と卒業したいと泣き出す美香に金八は文郎を説得することを約束し、帰宅を促すが美香は家に帰りたくないと言い出した…そして、金八に…！武田鉄矢　星野真理　藤澤恵麻　浅野和之　金田明夫　森田順平　高畑敦子(他)城乃内ミサ「いつか見た青い空」海援隊　　　　　　　　作詞・武田鉄矢　作曲・千葉和臣小山内美江子清水有生大岡　進今井夏木  柳井満TBSテレビ</v>
      </c>
      <c r="N6093" s="2"/>
      <c r="O6093" s="2"/>
      <c r="P6093" s="1"/>
      <c r="Q6093" s="1"/>
      <c r="R6093" s="1"/>
      <c r="S6093" s="1"/>
      <c r="T6093" s="1"/>
      <c r="U6093" s="1"/>
      <c r="V6093" s="1"/>
      <c r="W6093" s="1"/>
      <c r="X6093" s="1"/>
      <c r="Y6093" s="1"/>
      <c r="Z6093" s="1"/>
      <c r="AA6093" s="1"/>
      <c r="AB6093" s="1"/>
      <c r="AC6093" s="1"/>
      <c r="AD6093" s="1"/>
      <c r="AE6093" s="1"/>
      <c r="AF6093" s="1"/>
      <c r="AG6093" s="1"/>
      <c r="AH6093" s="1"/>
      <c r="AI6093" s="1"/>
      <c r="AJ6093" s="1"/>
      <c r="AK6093" s="1"/>
      <c r="AL6093" s="1"/>
      <c r="AM6093" s="1"/>
      <c r="AN6093" s="1"/>
      <c r="AO6093" s="1"/>
      <c r="AP6093" s="1"/>
      <c r="AQ6093" s="1"/>
      <c r="AR6093" s="1"/>
      <c r="AS6093" s="1"/>
      <c r="AT6093" s="1"/>
      <c r="AU6093" s="1"/>
      <c r="AV6093" s="1"/>
      <c r="AW6093" s="1"/>
      <c r="AX6093" s="1"/>
      <c r="AY6093" s="1"/>
      <c r="AZ6093" s="1"/>
      <c r="BA6093" s="1"/>
      <c r="BB6093" s="1"/>
    </row>
    <row r="6094" ht="204.75" customHeight="1">
      <c r="A6094" s="1">
        <v>5948.0</v>
      </c>
      <c r="B6094" s="2" t="s">
        <v>16222</v>
      </c>
      <c r="C6094" s="2">
        <f>IFERROR(__xludf.DUMMYFUNCTION("split(B6094,""_"")"),801.0)</f>
        <v>801</v>
      </c>
      <c r="D6094" s="2" t="str">
        <f>IFERROR(__xludf.DUMMYFUNCTION("""COMPUTED_VALUE"""),"TBS")</f>
        <v>TBS</v>
      </c>
      <c r="E6094" s="2" t="str">
        <f>IFERROR(__xludf.DUMMYFUNCTION("""COMPUTED_VALUE"""),"木21")</f>
        <v>木21</v>
      </c>
      <c r="F6094" s="2" t="s">
        <v>16223</v>
      </c>
      <c r="G6094" s="2" t="s">
        <v>16224</v>
      </c>
      <c r="H6094" s="1">
        <v>2.0</v>
      </c>
      <c r="J6094" s="1" t="s">
        <v>11</v>
      </c>
      <c r="K6094" s="2" t="s">
        <v>16226</v>
      </c>
      <c r="L6094" s="2"/>
      <c r="M6094" s="2" t="str">
        <f>IFERROR(__xludf.DUMMYFUNCTION("split(split(K6094,""【"",false),""公式LINE"",false)"),"裏サイトの暴力金八を窮地に金八（武田鉄矢）が美香（草刈麻有）を自宅に泊めたことが、裏サイトからマスコミに知れ事態は最悪に。校長（浅野和之）は卒業を目前にして金八を3Bの担任から外してしまう！裏サイトを運営していた祐樹（植草裕太）が情報源かも知れないと知り金八は愕然となる…議員でもある美香の父（宅麻伸）がマスコミへの記事を押さえたが、金八は3Bのみんなに担任を外れることを報告した…武田鉄矢　星野真理　藤澤恵麻　浅野和之　金田明夫　森田順平　高畑敦子(他)小山内美江子清水有生城乃内ミサ「いつか見た青い空」海援"&amp;"隊　　　　　　　　作詞・武田鉄矢　作曲・千葉和臣今井夏木  柳井満生野慈朗TBSテレビ")</f>
        <v>裏サイトの暴力金八を窮地に金八（武田鉄矢）が美香（草刈麻有）を自宅に泊めたことが、裏サイトからマスコミに知れ事態は最悪に。校長（浅野和之）は卒業を目前にして金八を3Bの担任から外してしまう！裏サイトを運営していた祐樹（植草裕太）が情報源かも知れないと知り金八は愕然となる…議員でもある美香の父（宅麻伸）がマスコミへの記事を押さえたが、金八は3Bのみんなに担任を外れることを報告した…武田鉄矢　星野真理　藤澤恵麻　浅野和之　金田明夫　森田順平　高畑敦子(他)小山内美江子清水有生城乃内ミサ「いつか見た青い空」海援隊　　　　　　　　作詞・武田鉄矢　作曲・千葉和臣今井夏木  柳井満生野慈朗TBSテレビ</v>
      </c>
      <c r="N6094" s="2"/>
      <c r="O6094" s="2"/>
      <c r="P6094" s="1"/>
      <c r="Q6094" s="1"/>
      <c r="R6094" s="1"/>
      <c r="S6094" s="1"/>
      <c r="T6094" s="1"/>
      <c r="U6094" s="1"/>
      <c r="V6094" s="1"/>
      <c r="W6094" s="1"/>
      <c r="X6094" s="1"/>
      <c r="Y6094" s="1"/>
      <c r="Z6094" s="1"/>
      <c r="AA6094" s="1"/>
      <c r="AB6094" s="1"/>
      <c r="AC6094" s="1"/>
      <c r="AD6094" s="1"/>
      <c r="AE6094" s="1"/>
      <c r="AF6094" s="1"/>
      <c r="AG6094" s="1"/>
      <c r="AH6094" s="1"/>
      <c r="AI6094" s="1"/>
      <c r="AJ6094" s="1"/>
      <c r="AK6094" s="1"/>
      <c r="AL6094" s="1"/>
      <c r="AM6094" s="1"/>
      <c r="AN6094" s="1"/>
      <c r="AO6094" s="1"/>
      <c r="AP6094" s="1"/>
      <c r="AQ6094" s="1"/>
      <c r="AR6094" s="1"/>
      <c r="AS6094" s="1"/>
      <c r="AT6094" s="1"/>
      <c r="AU6094" s="1"/>
      <c r="AV6094" s="1"/>
      <c r="AW6094" s="1"/>
      <c r="AX6094" s="1"/>
      <c r="AY6094" s="1"/>
      <c r="AZ6094" s="1"/>
      <c r="BA6094" s="1"/>
      <c r="BB6094" s="1"/>
    </row>
    <row r="6095" ht="204.75" customHeight="1">
      <c r="A6095" s="1">
        <v>5949.0</v>
      </c>
      <c r="B6095" s="2" t="s">
        <v>16222</v>
      </c>
      <c r="C6095" s="2">
        <f>IFERROR(__xludf.DUMMYFUNCTION("split(B6095,""_"")"),801.0)</f>
        <v>801</v>
      </c>
      <c r="D6095" s="2" t="str">
        <f>IFERROR(__xludf.DUMMYFUNCTION("""COMPUTED_VALUE"""),"TBS")</f>
        <v>TBS</v>
      </c>
      <c r="E6095" s="2" t="str">
        <f>IFERROR(__xludf.DUMMYFUNCTION("""COMPUTED_VALUE"""),"木21")</f>
        <v>木21</v>
      </c>
      <c r="F6095" s="2" t="s">
        <v>16223</v>
      </c>
      <c r="G6095" s="2" t="s">
        <v>16224</v>
      </c>
      <c r="H6095" s="1">
        <v>3.0</v>
      </c>
      <c r="J6095" s="1" t="s">
        <v>11</v>
      </c>
      <c r="K6095" s="2" t="s">
        <v>16227</v>
      </c>
      <c r="L6095" s="2"/>
      <c r="M6095" s="2" t="str">
        <f>IFERROR(__xludf.DUMMYFUNCTION("split(split(K6095,""【"",false),""公式LINE"",false)"),"卒業式前夜3B全員体育館に立てこもり担任を外された金八（武田鉄矢）だが、美香（草刈麻有）とニコラス（岩方時郎）の二次試験の合格発表を前日に3Bで最後の国語の授業を行う。しかし、醜聞から騒ぎが大きくならないよう卒業式の列席を見合すように校長（浅野和之）から言い渡される。金八が卒業式に出ないことを知った3Bは、卒業式前日に、ついに体育館に立てこもりを決行した！！果たして、金八は…武田鉄矢　星野真理　藤澤恵麻　浅野和之　金田明夫　森田順平　高畑敦子(他)小山内美江子清水有生城乃内ミサ「いつか見た青い空」海援隊　"&amp;"　　　　　　　作詞・武田鉄矢　作曲・千葉和臣加藤　新今井夏木  柳井満TBSテレビ")</f>
        <v>卒業式前夜3B全員体育館に立てこもり担任を外された金八（武田鉄矢）だが、美香（草刈麻有）とニコラス（岩方時郎）の二次試験の合格発表を前日に3Bで最後の国語の授業を行う。しかし、醜聞から騒ぎが大きくならないよう卒業式の列席を見合すように校長（浅野和之）から言い渡される。金八が卒業式に出ないことを知った3Bは、卒業式前日に、ついに体育館に立てこもりを決行した！！果たして、金八は…武田鉄矢　星野真理　藤澤恵麻　浅野和之　金田明夫　森田順平　高畑敦子(他)小山内美江子清水有生城乃内ミサ「いつか見た青い空」海援隊　　　　　　　　作詞・武田鉄矢　作曲・千葉和臣加藤　新今井夏木  柳井満TBSテレビ</v>
      </c>
      <c r="N6095" s="2"/>
      <c r="O6095" s="2"/>
      <c r="P6095" s="1"/>
      <c r="Q6095" s="1"/>
      <c r="R6095" s="1"/>
      <c r="S6095" s="1"/>
      <c r="T6095" s="1"/>
      <c r="U6095" s="1"/>
      <c r="V6095" s="1"/>
      <c r="W6095" s="1"/>
      <c r="X6095" s="1"/>
      <c r="Y6095" s="1"/>
      <c r="Z6095" s="1"/>
      <c r="AA6095" s="1"/>
      <c r="AB6095" s="1"/>
      <c r="AC6095" s="1"/>
      <c r="AD6095" s="1"/>
      <c r="AE6095" s="1"/>
      <c r="AF6095" s="1"/>
      <c r="AG6095" s="1"/>
      <c r="AH6095" s="1"/>
      <c r="AI6095" s="1"/>
      <c r="AJ6095" s="1"/>
      <c r="AK6095" s="1"/>
      <c r="AL6095" s="1"/>
      <c r="AM6095" s="1"/>
      <c r="AN6095" s="1"/>
      <c r="AO6095" s="1"/>
      <c r="AP6095" s="1"/>
      <c r="AQ6095" s="1"/>
      <c r="AR6095" s="1"/>
      <c r="AS6095" s="1"/>
      <c r="AT6095" s="1"/>
      <c r="AU6095" s="1"/>
      <c r="AV6095" s="1"/>
      <c r="AW6095" s="1"/>
      <c r="AX6095" s="1"/>
      <c r="AY6095" s="1"/>
      <c r="AZ6095" s="1"/>
      <c r="BA6095" s="1"/>
      <c r="BB6095" s="1"/>
    </row>
    <row r="6096" ht="204.75" customHeight="1">
      <c r="A6096" s="1">
        <v>5950.0</v>
      </c>
      <c r="B6096" s="2" t="s">
        <v>16222</v>
      </c>
      <c r="C6096" s="2">
        <f>IFERROR(__xludf.DUMMYFUNCTION("split(B6096,""_"")"),801.0)</f>
        <v>801</v>
      </c>
      <c r="D6096" s="2" t="str">
        <f>IFERROR(__xludf.DUMMYFUNCTION("""COMPUTED_VALUE"""),"TBS")</f>
        <v>TBS</v>
      </c>
      <c r="E6096" s="2" t="str">
        <f>IFERROR(__xludf.DUMMYFUNCTION("""COMPUTED_VALUE"""),"木21")</f>
        <v>木21</v>
      </c>
      <c r="F6096" s="2" t="s">
        <v>16223</v>
      </c>
      <c r="G6096" s="2" t="s">
        <v>16224</v>
      </c>
      <c r="H6096" s="1">
        <v>4.0</v>
      </c>
      <c r="J6096" s="1" t="s">
        <v>11</v>
      </c>
      <c r="K6096" s="2" t="s">
        <v>16228</v>
      </c>
      <c r="L6096" s="2"/>
      <c r="M6096" s="2" t="str">
        <f>IFERROR(__xludf.DUMMYFUNCTION("split(split(K6096,""【"",false),""公式LINE"",false)"),"サヨナラ金八先生  担任を金八（武田鉄矢）に戻して卒業式を迎えたいとの要求をもって体育館にたてこもった3Bだが、自ら担任を放棄しないと宣言した金八を迎い入れた。議員の力で金八はずしに圧力をかけた美香の父・文雄（宅麻伸）を呼び、美香（草刈麻有）が直接話すのだが…聞き入れない文雄や校長たちを前に金八は熱く美香と3Bの友達のことを訴えるのだった…　果たして、無事卒業式を迎えらるのか！  そして、涙の贈る言葉…武田鉄矢　星野真理　藤澤恵麻　浅野和之　金田明夫　森田順平　高畑敦子(他)小山内美江子清水有生城乃内ミサ"&amp;"「いつか見た青い空」海援隊　　　　　　　　作詞・武田鉄矢　作曲・千葉和臣今井夏木　今井夏木  柳井満TBSテレビ")</f>
        <v>サヨナラ金八先生  担任を金八（武田鉄矢）に戻して卒業式を迎えたいとの要求をもって体育館にたてこもった3Bだが、自ら担任を放棄しないと宣言した金八を迎い入れた。議員の力で金八はずしに圧力をかけた美香の父・文雄（宅麻伸）を呼び、美香（草刈麻有）が直接話すのだが…聞き入れない文雄や校長たちを前に金八は熱く美香と3Bの友達のことを訴えるのだった…　果たして、無事卒業式を迎えらるのか！  そして、涙の贈る言葉…武田鉄矢　星野真理　藤澤恵麻　浅野和之　金田明夫　森田順平　高畑敦子(他)小山内美江子清水有生城乃内ミサ「いつか見た青い空」海援隊　　　　　　　　作詞・武田鉄矢　作曲・千葉和臣今井夏木　今井夏木  柳井満TBSテレビ</v>
      </c>
      <c r="N6096" s="2"/>
      <c r="O6096" s="2"/>
      <c r="P6096" s="1"/>
      <c r="Q6096" s="1"/>
      <c r="R6096" s="1"/>
      <c r="S6096" s="1"/>
      <c r="T6096" s="1"/>
      <c r="U6096" s="1"/>
      <c r="V6096" s="1"/>
      <c r="W6096" s="1"/>
      <c r="X6096" s="1"/>
      <c r="Y6096" s="1"/>
      <c r="Z6096" s="1"/>
      <c r="AA6096" s="1"/>
      <c r="AB6096" s="1"/>
      <c r="AC6096" s="1"/>
      <c r="AD6096" s="1"/>
      <c r="AE6096" s="1"/>
      <c r="AF6096" s="1"/>
      <c r="AG6096" s="1"/>
      <c r="AH6096" s="1"/>
      <c r="AI6096" s="1"/>
      <c r="AJ6096" s="1"/>
      <c r="AK6096" s="1"/>
      <c r="AL6096" s="1"/>
      <c r="AM6096" s="1"/>
      <c r="AN6096" s="1"/>
      <c r="AO6096" s="1"/>
      <c r="AP6096" s="1"/>
      <c r="AQ6096" s="1"/>
      <c r="AR6096" s="1"/>
      <c r="AS6096" s="1"/>
      <c r="AT6096" s="1"/>
      <c r="AU6096" s="1"/>
      <c r="AV6096" s="1"/>
      <c r="AW6096" s="1"/>
      <c r="AX6096" s="1"/>
      <c r="AY6096" s="1"/>
      <c r="AZ6096" s="1"/>
      <c r="BA6096" s="1"/>
      <c r="BB6096" s="1"/>
    </row>
    <row r="6097" ht="204.75" customHeight="1">
      <c r="A6097" s="1">
        <v>5959.0</v>
      </c>
      <c r="B6097" s="2" t="s">
        <v>16229</v>
      </c>
      <c r="C6097" s="2">
        <f>IFERROR(__xludf.DUMMYFUNCTION("split(B6097,""_"")"),801.0)</f>
        <v>801</v>
      </c>
      <c r="D6097" s="2" t="str">
        <f>IFERROR(__xludf.DUMMYFUNCTION("""COMPUTED_VALUE"""),"TBS")</f>
        <v>TBS</v>
      </c>
      <c r="E6097" s="2" t="str">
        <f>IFERROR(__xludf.DUMMYFUNCTION("""COMPUTED_VALUE"""),"木22")</f>
        <v>木22</v>
      </c>
      <c r="F6097" s="2" t="s">
        <v>16230</v>
      </c>
      <c r="G6097" s="2" t="s">
        <v>16231</v>
      </c>
      <c r="H6097" s="1">
        <v>1.0</v>
      </c>
      <c r="J6097" s="1" t="s">
        <v>86</v>
      </c>
      <c r="K6097" s="2" t="s">
        <v>16232</v>
      </c>
      <c r="L6097" s="2"/>
      <c r="M6097" s="2" t="str">
        <f>IFERROR(__xludf.DUMMYFUNCTION("split(split(K6097,""【"",false),""公式LINE"",false)"),"だいすき!!◇卒園式の演奏会でひまわり（佐々木麻緒）は小太鼓を担当することになった。そんなある日、保育園で友達の父親に遊んでもらったことがきっかけで、帰宅後ひまわりは柚子（香里奈）に父親に会いたいと詰め寄る。美代子（岸本加世子）が父親が亡くなったことをいくら説明しても、ひまわりにはそれが理解できない。翌日からひまわりは保育園に行かなくなってしまう。柚子から事情を聴いた笹岡（田中幸太朗）は、墓参りに行ったことがあるのか尋ねる。柚子はひまわりを喜ばせようと墓参りに行くことを決めるが、肝心の墓の場所を教えてもら"&amp;"えない。一方、蓮（平岡祐太）に淡い恋心を抱く琴音（福田沙紀）は、蓮の会社の近くのパチンコ店で住み込みで働いていた。そんな中、琴音が行きつけの喫茶店でもめ事を起こし、警察から美代子に知らせが入る。")</f>
        <v>だいすき!!◇卒園式の演奏会でひまわり（佐々木麻緒）は小太鼓を担当することになった。そんなある日、保育園で友達の父親に遊んでもらったことがきっかけで、帰宅後ひまわりは柚子（香里奈）に父親に会いたいと詰め寄る。美代子（岸本加世子）が父親が亡くなったことをいくら説明しても、ひまわりにはそれが理解できない。翌日からひまわりは保育園に行かなくなってしまう。柚子から事情を聴いた笹岡（田中幸太朗）は、墓参りに行ったことがあるのか尋ねる。柚子はひまわりを喜ばせようと墓参りに行くことを決めるが、肝心の墓の場所を教えてもらえない。一方、蓮（平岡祐太）に淡い恋心を抱く琴音（福田沙紀）は、蓮の会社の近くのパチンコ店で住み込みで働いていた。そんな中、琴音が行きつけの喫茶店でもめ事を起こし、警察から美代子に知らせが入る。</v>
      </c>
      <c r="N6097" s="2"/>
      <c r="O6097" s="2"/>
      <c r="P6097" s="1"/>
      <c r="Q6097" s="1"/>
      <c r="R6097" s="1"/>
      <c r="S6097" s="1"/>
      <c r="T6097" s="1"/>
      <c r="U6097" s="1"/>
      <c r="V6097" s="1"/>
      <c r="W6097" s="1"/>
      <c r="X6097" s="1"/>
      <c r="Y6097" s="1"/>
      <c r="Z6097" s="1"/>
      <c r="AA6097" s="1"/>
      <c r="AB6097" s="1"/>
      <c r="AC6097" s="1"/>
      <c r="AD6097" s="1"/>
      <c r="AE6097" s="1"/>
      <c r="AF6097" s="1"/>
      <c r="AG6097" s="1"/>
      <c r="AH6097" s="1"/>
      <c r="AI6097" s="1"/>
      <c r="AJ6097" s="1"/>
      <c r="AK6097" s="1"/>
      <c r="AL6097" s="1"/>
      <c r="AM6097" s="1"/>
      <c r="AN6097" s="1"/>
      <c r="AO6097" s="1"/>
      <c r="AP6097" s="1"/>
      <c r="AQ6097" s="1"/>
      <c r="AR6097" s="1"/>
      <c r="AS6097" s="1"/>
      <c r="AT6097" s="1"/>
      <c r="AU6097" s="1"/>
      <c r="AV6097" s="1"/>
      <c r="AW6097" s="1"/>
      <c r="AX6097" s="1"/>
      <c r="AY6097" s="1"/>
      <c r="AZ6097" s="1"/>
      <c r="BA6097" s="1"/>
      <c r="BB6097" s="1"/>
    </row>
    <row r="6098" ht="204.75" customHeight="1">
      <c r="A6098" s="1">
        <v>5978.0</v>
      </c>
      <c r="B6098" s="2" t="s">
        <v>16233</v>
      </c>
      <c r="C6098" s="2">
        <f>IFERROR(__xludf.DUMMYFUNCTION("split(B6098,""_"")"),801.0)</f>
        <v>801</v>
      </c>
      <c r="D6098" s="2" t="str">
        <f>IFERROR(__xludf.DUMMYFUNCTION("""COMPUTED_VALUE"""),"TBS")</f>
        <v>TBS</v>
      </c>
      <c r="E6098" s="2" t="str">
        <f>IFERROR(__xludf.DUMMYFUNCTION("""COMPUTED_VALUE"""),"金22")</f>
        <v>金22</v>
      </c>
      <c r="F6098" s="2" t="s">
        <v>16234</v>
      </c>
      <c r="G6098" s="2" t="s">
        <v>16235</v>
      </c>
      <c r="H6098" s="1">
        <v>1.0</v>
      </c>
      <c r="J6098" s="1" t="s">
        <v>82</v>
      </c>
      <c r="K6098" s="2" t="s">
        <v>16236</v>
      </c>
      <c r="L6098" s="2"/>
      <c r="M6098" s="2" t="str">
        <f>IFERROR(__xludf.DUMMYFUNCTION("split(split(K6098,""【"",false),""公式LINE"",false)"),"小学校の女性教師が、問題児とされる好奇心旺盛な児童に振り回されながらも、その才能に気付き、周囲と格闘する姿を描く。原案・山口雅俊、脚本・大森美香、演出・武藤淳ほか。　小学校教師・鮎川規子(伊東美咲)は、婚約者の大学准教授・美浦(谷原章介)から別れを切り出された。規子が落ち込む中、彼女のクラスに転校生の賢人(清水優哉)がやって来る。賢人は前の学校では、問題児として扱われていたらしい。好奇心旺盛な賢人は、算数の授業で「なぜ1＋1は2なの」と言いだし、児童たちは大騒ぎに。翌日も学校で問題を起こしたため、学年主任"&amp;"の加賀見(松下由樹)が激怒。加賀見は規子に、賢人の母・あおい(坂井真紀)を呼び出して話をするよう命じる。")</f>
        <v>小学校の女性教師が、問題児とされる好奇心旺盛な児童に振り回されながらも、その才能に気付き、周囲と格闘する姿を描く。原案・山口雅俊、脚本・大森美香、演出・武藤淳ほか。　小学校教師・鮎川規子(伊東美咲)は、婚約者の大学准教授・美浦(谷原章介)から別れを切り出された。規子が落ち込む中、彼女のクラスに転校生の賢人(清水優哉)がやって来る。賢人は前の学校では、問題児として扱われていたらしい。好奇心旺盛な賢人は、算数の授業で「なぜ1＋1は2なの」と言いだし、児童たちは大騒ぎに。翌日も学校で問題を起こしたため、学年主任の加賀見(松下由樹)が激怒。加賀見は規子に、賢人の母・あおい(坂井真紀)を呼び出して話をするよう命じる。</v>
      </c>
      <c r="N6098" s="2"/>
      <c r="O6098" s="2"/>
      <c r="P6098" s="1"/>
      <c r="Q6098" s="1"/>
      <c r="R6098" s="1"/>
      <c r="S6098" s="1"/>
      <c r="T6098" s="1"/>
      <c r="U6098" s="1"/>
      <c r="V6098" s="1"/>
      <c r="W6098" s="1"/>
      <c r="X6098" s="1"/>
      <c r="Y6098" s="1"/>
      <c r="Z6098" s="1"/>
      <c r="AA6098" s="1"/>
      <c r="AB6098" s="1"/>
      <c r="AC6098" s="1"/>
      <c r="AD6098" s="1"/>
      <c r="AE6098" s="1"/>
      <c r="AF6098" s="1"/>
      <c r="AG6098" s="1"/>
      <c r="AH6098" s="1"/>
      <c r="AI6098" s="1"/>
      <c r="AJ6098" s="1"/>
      <c r="AK6098" s="1"/>
      <c r="AL6098" s="1"/>
      <c r="AM6098" s="1"/>
      <c r="AN6098" s="1"/>
      <c r="AO6098" s="1"/>
      <c r="AP6098" s="1"/>
      <c r="AQ6098" s="1"/>
      <c r="AR6098" s="1"/>
      <c r="AS6098" s="1"/>
      <c r="AT6098" s="1"/>
      <c r="AU6098" s="1"/>
      <c r="AV6098" s="1"/>
      <c r="AW6098" s="1"/>
      <c r="AX6098" s="1"/>
      <c r="AY6098" s="1"/>
      <c r="AZ6098" s="1"/>
      <c r="BA6098" s="1"/>
      <c r="BB6098" s="1"/>
    </row>
    <row r="6099" ht="204.75" customHeight="1">
      <c r="A6099" s="1">
        <v>5979.0</v>
      </c>
      <c r="B6099" s="2" t="s">
        <v>16233</v>
      </c>
      <c r="C6099" s="2">
        <f>IFERROR(__xludf.DUMMYFUNCTION("split(B6099,""_"")"),801.0)</f>
        <v>801</v>
      </c>
      <c r="D6099" s="2" t="str">
        <f>IFERROR(__xludf.DUMMYFUNCTION("""COMPUTED_VALUE"""),"TBS")</f>
        <v>TBS</v>
      </c>
      <c r="E6099" s="2" t="str">
        <f>IFERROR(__xludf.DUMMYFUNCTION("""COMPUTED_VALUE"""),"金22")</f>
        <v>金22</v>
      </c>
      <c r="F6099" s="2" t="s">
        <v>16234</v>
      </c>
      <c r="G6099" s="2" t="s">
        <v>16237</v>
      </c>
      <c r="H6099" s="1">
        <v>2.0</v>
      </c>
      <c r="J6099" s="1" t="s">
        <v>86</v>
      </c>
      <c r="K6099" s="2" t="s">
        <v>16238</v>
      </c>
      <c r="L6099" s="2"/>
      <c r="M6099" s="2" t="str">
        <f>IFERROR(__xludf.DUMMYFUNCTION("split(split(K6099,""【"",false),""公式LINE"",false)"),"規子(伊東美咲)は、変わり者の転校生・賢人(清水優哉)に振り回されっ放し。賢人は、空を飛ぶことに興味を持っていた。ガスを吸ったら気球のように飛べるのではないかと考えた賢人は、友達と一緒に試そうとする。保護者たちから抗議を受けた学年主任の加賀見(松下由樹)は、賢人を転校させるよう岩井校長(田中要次)に迫る。そんな折、規子は路上で、賢人とその母・あおい(坂井真紀)、美浦(谷原章介)の三人が話をしている場面に出くわす。")</f>
        <v>規子(伊東美咲)は、変わり者の転校生・賢人(清水優哉)に振り回されっ放し。賢人は、空を飛ぶことに興味を持っていた。ガスを吸ったら気球のように飛べるのではないかと考えた賢人は、友達と一緒に試そうとする。保護者たちから抗議を受けた学年主任の加賀見(松下由樹)は、賢人を転校させるよう岩井校長(田中要次)に迫る。そんな折、規子は路上で、賢人とその母・あおい(坂井真紀)、美浦(谷原章介)の三人が話をしている場面に出くわす。</v>
      </c>
      <c r="N6099" s="2"/>
      <c r="O6099" s="2"/>
      <c r="P6099" s="1"/>
      <c r="Q6099" s="1"/>
      <c r="R6099" s="1"/>
      <c r="S6099" s="1"/>
      <c r="T6099" s="1"/>
      <c r="U6099" s="1"/>
      <c r="V6099" s="1"/>
      <c r="W6099" s="1"/>
      <c r="X6099" s="1"/>
      <c r="Y6099" s="1"/>
      <c r="Z6099" s="1"/>
      <c r="AA6099" s="1"/>
      <c r="AB6099" s="1"/>
      <c r="AC6099" s="1"/>
      <c r="AD6099" s="1"/>
      <c r="AE6099" s="1"/>
      <c r="AF6099" s="1"/>
      <c r="AG6099" s="1"/>
      <c r="AH6099" s="1"/>
      <c r="AI6099" s="1"/>
      <c r="AJ6099" s="1"/>
      <c r="AK6099" s="1"/>
      <c r="AL6099" s="1"/>
      <c r="AM6099" s="1"/>
      <c r="AN6099" s="1"/>
      <c r="AO6099" s="1"/>
      <c r="AP6099" s="1"/>
      <c r="AQ6099" s="1"/>
      <c r="AR6099" s="1"/>
      <c r="AS6099" s="1"/>
      <c r="AT6099" s="1"/>
      <c r="AU6099" s="1"/>
      <c r="AV6099" s="1"/>
      <c r="AW6099" s="1"/>
      <c r="AX6099" s="1"/>
      <c r="AY6099" s="1"/>
      <c r="AZ6099" s="1"/>
      <c r="BA6099" s="1"/>
      <c r="BB6099" s="1"/>
    </row>
    <row r="6100" ht="204.75" customHeight="1">
      <c r="A6100" s="1">
        <v>5980.0</v>
      </c>
      <c r="B6100" s="2" t="s">
        <v>16233</v>
      </c>
      <c r="C6100" s="2">
        <f>IFERROR(__xludf.DUMMYFUNCTION("split(B6100,""_"")"),801.0)</f>
        <v>801</v>
      </c>
      <c r="D6100" s="2" t="str">
        <f>IFERROR(__xludf.DUMMYFUNCTION("""COMPUTED_VALUE"""),"TBS")</f>
        <v>TBS</v>
      </c>
      <c r="E6100" s="2" t="str">
        <f>IFERROR(__xludf.DUMMYFUNCTION("""COMPUTED_VALUE"""),"金22")</f>
        <v>金22</v>
      </c>
      <c r="F6100" s="2" t="s">
        <v>16234</v>
      </c>
      <c r="G6100" s="2" t="s">
        <v>16239</v>
      </c>
      <c r="H6100" s="1">
        <v>3.0</v>
      </c>
      <c r="J6100" s="1" t="s">
        <v>86</v>
      </c>
      <c r="K6100" s="2" t="s">
        <v>16240</v>
      </c>
      <c r="L6100" s="2"/>
      <c r="M6100" s="2" t="str">
        <f>IFERROR(__xludf.DUMMYFUNCTION("split(split(K6100,""【"",false),""公式LINE"",false)"),"規子(伊東美咲)は久保(細田よしひこ)と一緒に参加した研修で、他校の教師・佐々木(安田顕)と教育問題について語り合い、親しくなる。授業参観の日、規子は美月(杉田かおる)ら保護者たちの前で、道徳の授業を行う。規子は、意地悪なオオカミが心を入れ替えて小さい者に優しくするという話を題材に、子供たちに”思いやり”を教えようとする。ところが、自然の摂理に興味を抱く賢人(清水優哉)が、規子の狙いに反して「オオカミはウサギを食べる」と言いだす。一方、あおい(坂井真紀)は、なかなか仕事を切り上げられず、授業参観に間に合い"&amp;"そうもなかった。")</f>
        <v>規子(伊東美咲)は久保(細田よしひこ)と一緒に参加した研修で、他校の教師・佐々木(安田顕)と教育問題について語り合い、親しくなる。授業参観の日、規子は美月(杉田かおる)ら保護者たちの前で、道徳の授業を行う。規子は、意地悪なオオカミが心を入れ替えて小さい者に優しくするという話を題材に、子供たちに”思いやり”を教えようとする。ところが、自然の摂理に興味を抱く賢人(清水優哉)が、規子の狙いに反して「オオカミはウサギを食べる」と言いだす。一方、あおい(坂井真紀)は、なかなか仕事を切り上げられず、授業参観に間に合いそうもなかった。</v>
      </c>
      <c r="N6100" s="2"/>
      <c r="O6100" s="2"/>
      <c r="P6100" s="1"/>
      <c r="Q6100" s="1"/>
      <c r="R6100" s="1"/>
      <c r="S6100" s="1"/>
      <c r="T6100" s="1"/>
      <c r="U6100" s="1"/>
      <c r="V6100" s="1"/>
      <c r="W6100" s="1"/>
      <c r="X6100" s="1"/>
      <c r="Y6100" s="1"/>
      <c r="Z6100" s="1"/>
      <c r="AA6100" s="1"/>
      <c r="AB6100" s="1"/>
      <c r="AC6100" s="1"/>
      <c r="AD6100" s="1"/>
      <c r="AE6100" s="1"/>
      <c r="AF6100" s="1"/>
      <c r="AG6100" s="1"/>
      <c r="AH6100" s="1"/>
      <c r="AI6100" s="1"/>
      <c r="AJ6100" s="1"/>
      <c r="AK6100" s="1"/>
      <c r="AL6100" s="1"/>
      <c r="AM6100" s="1"/>
      <c r="AN6100" s="1"/>
      <c r="AO6100" s="1"/>
      <c r="AP6100" s="1"/>
      <c r="AQ6100" s="1"/>
      <c r="AR6100" s="1"/>
      <c r="AS6100" s="1"/>
      <c r="AT6100" s="1"/>
      <c r="AU6100" s="1"/>
      <c r="AV6100" s="1"/>
      <c r="AW6100" s="1"/>
      <c r="AX6100" s="1"/>
      <c r="AY6100" s="1"/>
      <c r="AZ6100" s="1"/>
      <c r="BA6100" s="1"/>
      <c r="BB6100" s="1"/>
    </row>
    <row r="6101" ht="204.75" customHeight="1">
      <c r="A6101" s="1">
        <v>5981.0</v>
      </c>
      <c r="B6101" s="2" t="s">
        <v>16233</v>
      </c>
      <c r="C6101" s="2">
        <f>IFERROR(__xludf.DUMMYFUNCTION("split(B6101,""_"")"),801.0)</f>
        <v>801</v>
      </c>
      <c r="D6101" s="2" t="str">
        <f>IFERROR(__xludf.DUMMYFUNCTION("""COMPUTED_VALUE"""),"TBS")</f>
        <v>TBS</v>
      </c>
      <c r="E6101" s="2" t="str">
        <f>IFERROR(__xludf.DUMMYFUNCTION("""COMPUTED_VALUE"""),"金22")</f>
        <v>金22</v>
      </c>
      <c r="F6101" s="2" t="s">
        <v>16234</v>
      </c>
      <c r="G6101" s="2" t="s">
        <v>16241</v>
      </c>
      <c r="H6101" s="1">
        <v>4.0</v>
      </c>
      <c r="J6101" s="1" t="s">
        <v>86</v>
      </c>
      <c r="K6101" s="2" t="s">
        <v>16242</v>
      </c>
      <c r="L6101" s="2"/>
      <c r="M6101" s="2" t="str">
        <f>IFERROR(__xludf.DUMMYFUNCTION("split(split(K6101,""【"",false),""公式LINE"",false)"),"賢人(清水優哉)が授業参観を混乱させたことが、職員会議で問題になった。加賀見(松下由樹)は、賢人を転校させるよう主張。賢人のことで悩む規子(伊東美咲)だが、賢人の母・あおい(坂井真紀)に転校を勧めることをためらう。そんな折、規子は生徒たちを鉛筆工場へ社会科見学に連れていく。製造工程を見学した後、賢人は質問を連発。話はあらぬ方向に進み、なぜ世の中には金持ちと貧乏な人がいるのかという話題に。日ごろから生徒たちに”人間は平等”だと教えている加賀見と規子は、言葉に詰まってしまう。")</f>
        <v>賢人(清水優哉)が授業参観を混乱させたことが、職員会議で問題になった。加賀見(松下由樹)は、賢人を転校させるよう主張。賢人のことで悩む規子(伊東美咲)だが、賢人の母・あおい(坂井真紀)に転校を勧めることをためらう。そんな折、規子は生徒たちを鉛筆工場へ社会科見学に連れていく。製造工程を見学した後、賢人は質問を連発。話はあらぬ方向に進み、なぜ世の中には金持ちと貧乏な人がいるのかという話題に。日ごろから生徒たちに”人間は平等”だと教えている加賀見と規子は、言葉に詰まってしまう。</v>
      </c>
      <c r="N6101" s="2"/>
      <c r="O6101" s="2"/>
      <c r="P6101" s="1"/>
      <c r="Q6101" s="1"/>
      <c r="R6101" s="1"/>
      <c r="S6101" s="1"/>
      <c r="T6101" s="1"/>
      <c r="U6101" s="1"/>
      <c r="V6101" s="1"/>
      <c r="W6101" s="1"/>
      <c r="X6101" s="1"/>
      <c r="Y6101" s="1"/>
      <c r="Z6101" s="1"/>
      <c r="AA6101" s="1"/>
      <c r="AB6101" s="1"/>
      <c r="AC6101" s="1"/>
      <c r="AD6101" s="1"/>
      <c r="AE6101" s="1"/>
      <c r="AF6101" s="1"/>
      <c r="AG6101" s="1"/>
      <c r="AH6101" s="1"/>
      <c r="AI6101" s="1"/>
      <c r="AJ6101" s="1"/>
      <c r="AK6101" s="1"/>
      <c r="AL6101" s="1"/>
      <c r="AM6101" s="1"/>
      <c r="AN6101" s="1"/>
      <c r="AO6101" s="1"/>
      <c r="AP6101" s="1"/>
      <c r="AQ6101" s="1"/>
      <c r="AR6101" s="1"/>
      <c r="AS6101" s="1"/>
      <c r="AT6101" s="1"/>
      <c r="AU6101" s="1"/>
      <c r="AV6101" s="1"/>
      <c r="AW6101" s="1"/>
      <c r="AX6101" s="1"/>
      <c r="AY6101" s="1"/>
      <c r="AZ6101" s="1"/>
      <c r="BA6101" s="1"/>
      <c r="BB6101" s="1"/>
    </row>
    <row r="6102" ht="204.75" customHeight="1">
      <c r="A6102" s="1">
        <v>5982.0</v>
      </c>
      <c r="B6102" s="2" t="s">
        <v>16233</v>
      </c>
      <c r="C6102" s="2">
        <f>IFERROR(__xludf.DUMMYFUNCTION("split(B6102,""_"")"),801.0)</f>
        <v>801</v>
      </c>
      <c r="D6102" s="2" t="str">
        <f>IFERROR(__xludf.DUMMYFUNCTION("""COMPUTED_VALUE"""),"TBS")</f>
        <v>TBS</v>
      </c>
      <c r="E6102" s="2" t="str">
        <f>IFERROR(__xludf.DUMMYFUNCTION("""COMPUTED_VALUE"""),"金22")</f>
        <v>金22</v>
      </c>
      <c r="F6102" s="2" t="s">
        <v>16234</v>
      </c>
      <c r="G6102" s="2" t="s">
        <v>16243</v>
      </c>
      <c r="H6102" s="1">
        <v>5.0</v>
      </c>
      <c r="J6102" s="1" t="s">
        <v>86</v>
      </c>
      <c r="K6102" s="2" t="s">
        <v>16244</v>
      </c>
      <c r="L6102" s="2"/>
      <c r="M6102" s="2" t="str">
        <f>IFERROR(__xludf.DUMMYFUNCTION("split(split(K6102,""【"",false),""公式LINE"",false)"),"規子(伊東美咲)は、児童たちに「楽しかったこと」をテーマに絵を描かせた。美術評論家・松平(片桐はいり)に、その絵を見ながら授業をしてもらうことに。松平は”いい絵”と”悪い絵”に分けて、子供たちの絵を批評し始める。そこで、賢人(清水優哉)が「どうして、いい絵と悪い絵があるの」と疑問を投げ掛ける。松平の授業は波紋を呼び、美月(杉田かおる)ら保護者たちは抗議のため、学校に押し掛ける。")</f>
        <v>規子(伊東美咲)は、児童たちに「楽しかったこと」をテーマに絵を描かせた。美術評論家・松平(片桐はいり)に、その絵を見ながら授業をしてもらうことに。松平は”いい絵”と”悪い絵”に分けて、子供たちの絵を批評し始める。そこで、賢人(清水優哉)が「どうして、いい絵と悪い絵があるの」と疑問を投げ掛ける。松平の授業は波紋を呼び、美月(杉田かおる)ら保護者たちは抗議のため、学校に押し掛ける。</v>
      </c>
      <c r="N6102" s="2"/>
      <c r="O6102" s="2"/>
      <c r="P6102" s="1"/>
      <c r="Q6102" s="1"/>
      <c r="R6102" s="1"/>
      <c r="S6102" s="1"/>
      <c r="T6102" s="1"/>
      <c r="U6102" s="1"/>
      <c r="V6102" s="1"/>
      <c r="W6102" s="1"/>
      <c r="X6102" s="1"/>
      <c r="Y6102" s="1"/>
      <c r="Z6102" s="1"/>
      <c r="AA6102" s="1"/>
      <c r="AB6102" s="1"/>
      <c r="AC6102" s="1"/>
      <c r="AD6102" s="1"/>
      <c r="AE6102" s="1"/>
      <c r="AF6102" s="1"/>
      <c r="AG6102" s="1"/>
      <c r="AH6102" s="1"/>
      <c r="AI6102" s="1"/>
      <c r="AJ6102" s="1"/>
      <c r="AK6102" s="1"/>
      <c r="AL6102" s="1"/>
      <c r="AM6102" s="1"/>
      <c r="AN6102" s="1"/>
      <c r="AO6102" s="1"/>
      <c r="AP6102" s="1"/>
      <c r="AQ6102" s="1"/>
      <c r="AR6102" s="1"/>
      <c r="AS6102" s="1"/>
      <c r="AT6102" s="1"/>
      <c r="AU6102" s="1"/>
      <c r="AV6102" s="1"/>
      <c r="AW6102" s="1"/>
      <c r="AX6102" s="1"/>
      <c r="AY6102" s="1"/>
      <c r="AZ6102" s="1"/>
      <c r="BA6102" s="1"/>
      <c r="BB6102" s="1"/>
    </row>
    <row r="6103" ht="204.75" customHeight="1">
      <c r="A6103" s="1">
        <v>5983.0</v>
      </c>
      <c r="B6103" s="2" t="s">
        <v>16233</v>
      </c>
      <c r="C6103" s="2">
        <f>IFERROR(__xludf.DUMMYFUNCTION("split(B6103,""_"")"),801.0)</f>
        <v>801</v>
      </c>
      <c r="D6103" s="2" t="str">
        <f>IFERROR(__xludf.DUMMYFUNCTION("""COMPUTED_VALUE"""),"TBS")</f>
        <v>TBS</v>
      </c>
      <c r="E6103" s="2" t="str">
        <f>IFERROR(__xludf.DUMMYFUNCTION("""COMPUTED_VALUE"""),"金22")</f>
        <v>金22</v>
      </c>
      <c r="F6103" s="2" t="s">
        <v>16234</v>
      </c>
      <c r="G6103" s="2" t="s">
        <v>16245</v>
      </c>
      <c r="H6103" s="1">
        <v>6.0</v>
      </c>
      <c r="J6103" s="1" t="s">
        <v>86</v>
      </c>
      <c r="K6103" s="2" t="s">
        <v>16246</v>
      </c>
      <c r="L6103" s="2"/>
      <c r="M6103" s="2" t="str">
        <f>IFERROR(__xludf.DUMMYFUNCTION("split(split(K6103,""【"",false),""公式LINE"",false)"),"規子(伊東美咲)は、教師を辞めることを考え始めていた。賢人(清水優哉)が巻き起こす騒動や美月(杉田かおる)ら保護者たちからの苦情に加え、不運な出来事が起こったことにより、すっかり自信をなくしてしまったのだ。一方、賢人は約五十億年後に太陽の寿命が尽き、地球も滅亡するという説を知る。賢人は、クラスメートたちと一緒に”地球を救う方法”を必死に考える。")</f>
        <v>規子(伊東美咲)は、教師を辞めることを考え始めていた。賢人(清水優哉)が巻き起こす騒動や美月(杉田かおる)ら保護者たちからの苦情に加え、不運な出来事が起こったことにより、すっかり自信をなくしてしまったのだ。一方、賢人は約五十億年後に太陽の寿命が尽き、地球も滅亡するという説を知る。賢人は、クラスメートたちと一緒に”地球を救う方法”を必死に考える。</v>
      </c>
      <c r="N6103" s="2"/>
      <c r="O6103" s="2"/>
      <c r="P6103" s="1"/>
      <c r="Q6103" s="1"/>
      <c r="R6103" s="1"/>
      <c r="S6103" s="1"/>
      <c r="T6103" s="1"/>
      <c r="U6103" s="1"/>
      <c r="V6103" s="1"/>
      <c r="W6103" s="1"/>
      <c r="X6103" s="1"/>
      <c r="Y6103" s="1"/>
      <c r="Z6103" s="1"/>
      <c r="AA6103" s="1"/>
      <c r="AB6103" s="1"/>
      <c r="AC6103" s="1"/>
      <c r="AD6103" s="1"/>
      <c r="AE6103" s="1"/>
      <c r="AF6103" s="1"/>
      <c r="AG6103" s="1"/>
      <c r="AH6103" s="1"/>
      <c r="AI6103" s="1"/>
      <c r="AJ6103" s="1"/>
      <c r="AK6103" s="1"/>
      <c r="AL6103" s="1"/>
      <c r="AM6103" s="1"/>
      <c r="AN6103" s="1"/>
      <c r="AO6103" s="1"/>
      <c r="AP6103" s="1"/>
      <c r="AQ6103" s="1"/>
      <c r="AR6103" s="1"/>
      <c r="AS6103" s="1"/>
      <c r="AT6103" s="1"/>
      <c r="AU6103" s="1"/>
      <c r="AV6103" s="1"/>
      <c r="AW6103" s="1"/>
      <c r="AX6103" s="1"/>
      <c r="AY6103" s="1"/>
      <c r="AZ6103" s="1"/>
      <c r="BA6103" s="1"/>
      <c r="BB6103" s="1"/>
    </row>
    <row r="6104" ht="204.75" customHeight="1">
      <c r="A6104" s="1">
        <v>5984.0</v>
      </c>
      <c r="B6104" s="2" t="s">
        <v>16233</v>
      </c>
      <c r="C6104" s="2">
        <f>IFERROR(__xludf.DUMMYFUNCTION("split(B6104,""_"")"),801.0)</f>
        <v>801</v>
      </c>
      <c r="D6104" s="2" t="str">
        <f>IFERROR(__xludf.DUMMYFUNCTION("""COMPUTED_VALUE"""),"TBS")</f>
        <v>TBS</v>
      </c>
      <c r="E6104" s="2" t="str">
        <f>IFERROR(__xludf.DUMMYFUNCTION("""COMPUTED_VALUE"""),"金22")</f>
        <v>金22</v>
      </c>
      <c r="F6104" s="2" t="s">
        <v>16234</v>
      </c>
      <c r="G6104" s="2" t="s">
        <v>16247</v>
      </c>
      <c r="H6104" s="1">
        <v>7.0</v>
      </c>
      <c r="J6104" s="1" t="s">
        <v>86</v>
      </c>
      <c r="K6104" s="2" t="s">
        <v>16248</v>
      </c>
      <c r="L6104" s="2"/>
      <c r="M6104" s="2" t="str">
        <f>IFERROR(__xludf.DUMMYFUNCTION("split(split(K6104,""【"",false),""公式LINE"",false)"),"エジソンの母◇規子（伊東美咲）の小学校の学習発表会で、規子のクラスの児童たちは「赤ずきんちゃん」の劇をやりたがる。しかし、以前保護者から内容が残酷過ぎるとクレームがあったため規子はためらっていた。ところが児童たちは自分たちで”残酷でない”赤ずきんちゃんの話を考え、規子に見せる。教育委員会の織田（森口瑤子）から賢人（清水優哉）についての苦情の数が多いことを聞いた規子と加賀見（松下由樹）は、あおい（坂井真紀）を学校に呼び再度話し合いを試みる。あおいは先生やクラスメートとずっと一緒にいたいのなら、みんなのことを"&amp;"大事にするよう賢人を諭す。")</f>
        <v>エジソンの母◇規子（伊東美咲）の小学校の学習発表会で、規子のクラスの児童たちは「赤ずきんちゃん」の劇をやりたがる。しかし、以前保護者から内容が残酷過ぎるとクレームがあったため規子はためらっていた。ところが児童たちは自分たちで”残酷でない”赤ずきんちゃんの話を考え、規子に見せる。教育委員会の織田（森口瑤子）から賢人（清水優哉）についての苦情の数が多いことを聞いた規子と加賀見（松下由樹）は、あおい（坂井真紀）を学校に呼び再度話し合いを試みる。あおいは先生やクラスメートとずっと一緒にいたいのなら、みんなのことを大事にするよう賢人を諭す。</v>
      </c>
      <c r="N6104" s="2"/>
      <c r="O6104" s="2"/>
      <c r="P6104" s="1"/>
      <c r="Q6104" s="1"/>
      <c r="R6104" s="1"/>
      <c r="S6104" s="1"/>
      <c r="T6104" s="1"/>
      <c r="U6104" s="1"/>
      <c r="V6104" s="1"/>
      <c r="W6104" s="1"/>
      <c r="X6104" s="1"/>
      <c r="Y6104" s="1"/>
      <c r="Z6104" s="1"/>
      <c r="AA6104" s="1"/>
      <c r="AB6104" s="1"/>
      <c r="AC6104" s="1"/>
      <c r="AD6104" s="1"/>
      <c r="AE6104" s="1"/>
      <c r="AF6104" s="1"/>
      <c r="AG6104" s="1"/>
      <c r="AH6104" s="1"/>
      <c r="AI6104" s="1"/>
      <c r="AJ6104" s="1"/>
      <c r="AK6104" s="1"/>
      <c r="AL6104" s="1"/>
      <c r="AM6104" s="1"/>
      <c r="AN6104" s="1"/>
      <c r="AO6104" s="1"/>
      <c r="AP6104" s="1"/>
      <c r="AQ6104" s="1"/>
      <c r="AR6104" s="1"/>
      <c r="AS6104" s="1"/>
      <c r="AT6104" s="1"/>
      <c r="AU6104" s="1"/>
      <c r="AV6104" s="1"/>
      <c r="AW6104" s="1"/>
      <c r="AX6104" s="1"/>
      <c r="AY6104" s="1"/>
      <c r="AZ6104" s="1"/>
      <c r="BA6104" s="1"/>
      <c r="BB6104" s="1"/>
    </row>
    <row r="6105" ht="204.75" customHeight="1">
      <c r="A6105" s="1">
        <v>5985.0</v>
      </c>
      <c r="B6105" s="2" t="s">
        <v>16233</v>
      </c>
      <c r="C6105" s="2">
        <f>IFERROR(__xludf.DUMMYFUNCTION("split(B6105,""_"")"),801.0)</f>
        <v>801</v>
      </c>
      <c r="D6105" s="2" t="str">
        <f>IFERROR(__xludf.DUMMYFUNCTION("""COMPUTED_VALUE"""),"TBS")</f>
        <v>TBS</v>
      </c>
      <c r="E6105" s="2" t="str">
        <f>IFERROR(__xludf.DUMMYFUNCTION("""COMPUTED_VALUE"""),"金22")</f>
        <v>金22</v>
      </c>
      <c r="F6105" s="2" t="s">
        <v>16234</v>
      </c>
      <c r="G6105" s="2" t="s">
        <v>16249</v>
      </c>
      <c r="H6105" s="1">
        <v>8.0</v>
      </c>
      <c r="J6105" s="1" t="s">
        <v>86</v>
      </c>
      <c r="K6105" s="2" t="s">
        <v>16250</v>
      </c>
      <c r="L6105" s="2"/>
      <c r="M6105" s="2" t="str">
        <f>IFERROR(__xludf.DUMMYFUNCTION("split(split(K6105,""【"",false),""公式LINE"",false)"),"体育の授業でなわとびがうまく飛べない賢人（清水優哉）。担任の規子（伊東美咲）は指導にはげむ。 なわとびの練習をする賢人に、学年主任・加賀見（松下由樹）の夫、天才数学者・加賀見博（大杉漣）が接近。一緒に飛ぶ。 静電気に興味を持った賢人は教室でまた波乱。教育委員会の実力者・織田（森口瑤子）があおい（坂井真紀）に接近し……。 賢人に恨みつのる美月（杉田かおる）がついに暴走。   伊東美咲　坂井真紀　谷原章介　細田よしひこ　安田　顕　田中要次　梅垣義明　モロ師岡　森口瑤子　大杉漣　杉田かおる　松下由樹番組の最後に"&amp;"主題化CDプレゼントの告知があります！！「愛をこめて花束を」Superfly（ワ—ナ—ミュ—ジック・ジャパン）原案：山口雅俊脚本：大森美香演出：波多野貴文加藤章一ドリマックス・テレビジョン  TBS  http://www.tbs.co.jp/edison-mama/")</f>
        <v>体育の授業でなわとびがうまく飛べない賢人（清水優哉）。担任の規子（伊東美咲）は指導にはげむ。 なわとびの練習をする賢人に、学年主任・加賀見（松下由樹）の夫、天才数学者・加賀見博（大杉漣）が接近。一緒に飛ぶ。 静電気に興味を持った賢人は教室でまた波乱。教育委員会の実力者・織田（森口瑤子）があおい（坂井真紀）に接近し……。 賢人に恨みつのる美月（杉田かおる）がついに暴走。   伊東美咲　坂井真紀　谷原章介　細田よしひこ　安田　顕　田中要次　梅垣義明　モロ師岡　森口瑤子　大杉漣　杉田かおる　松下由樹番組の最後に主題化CDプレゼントの告知があります！！「愛をこめて花束を」Superfly（ワ—ナ—ミュ—ジック・ジャパン）原案：山口雅俊脚本：大森美香演出：波多野貴文加藤章一ドリマックス・テレビジョン  TBS  http://www.tbs.co.jp/edison-mama/</v>
      </c>
      <c r="N6105" s="2"/>
      <c r="O6105" s="2"/>
      <c r="P6105" s="1"/>
      <c r="Q6105" s="1"/>
      <c r="R6105" s="1"/>
      <c r="S6105" s="1"/>
      <c r="T6105" s="1"/>
      <c r="U6105" s="1"/>
      <c r="V6105" s="1"/>
      <c r="W6105" s="1"/>
      <c r="X6105" s="1"/>
      <c r="Y6105" s="1"/>
      <c r="Z6105" s="1"/>
      <c r="AA6105" s="1"/>
      <c r="AB6105" s="1"/>
      <c r="AC6105" s="1"/>
      <c r="AD6105" s="1"/>
      <c r="AE6105" s="1"/>
      <c r="AF6105" s="1"/>
      <c r="AG6105" s="1"/>
      <c r="AH6105" s="1"/>
      <c r="AI6105" s="1"/>
      <c r="AJ6105" s="1"/>
      <c r="AK6105" s="1"/>
      <c r="AL6105" s="1"/>
      <c r="AM6105" s="1"/>
      <c r="AN6105" s="1"/>
      <c r="AO6105" s="1"/>
      <c r="AP6105" s="1"/>
      <c r="AQ6105" s="1"/>
      <c r="AR6105" s="1"/>
      <c r="AS6105" s="1"/>
      <c r="AT6105" s="1"/>
      <c r="AU6105" s="1"/>
      <c r="AV6105" s="1"/>
      <c r="AW6105" s="1"/>
      <c r="AX6105" s="1"/>
      <c r="AY6105" s="1"/>
      <c r="AZ6105" s="1"/>
      <c r="BA6105" s="1"/>
      <c r="BB6105" s="1"/>
    </row>
    <row r="6106" ht="204.75" customHeight="1">
      <c r="A6106" s="1">
        <v>5986.0</v>
      </c>
      <c r="B6106" s="2" t="s">
        <v>16233</v>
      </c>
      <c r="C6106" s="2">
        <f>IFERROR(__xludf.DUMMYFUNCTION("split(B6106,""_"")"),801.0)</f>
        <v>801</v>
      </c>
      <c r="D6106" s="2" t="str">
        <f>IFERROR(__xludf.DUMMYFUNCTION("""COMPUTED_VALUE"""),"TBS")</f>
        <v>TBS</v>
      </c>
      <c r="E6106" s="2" t="str">
        <f>IFERROR(__xludf.DUMMYFUNCTION("""COMPUTED_VALUE"""),"金22")</f>
        <v>金22</v>
      </c>
      <c r="F6106" s="2" t="s">
        <v>16234</v>
      </c>
      <c r="G6106" s="2" t="s">
        <v>16249</v>
      </c>
      <c r="H6106" s="1">
        <v>9.0</v>
      </c>
      <c r="J6106" s="1" t="s">
        <v>86</v>
      </c>
      <c r="K6106" s="2" t="s">
        <v>16251</v>
      </c>
      <c r="L6106" s="2"/>
      <c r="M6106" s="2" t="str">
        <f>IFERROR(__xludf.DUMMYFUNCTION("split(split(K6106,""【"",false),""公式LINE"",false)"),"歯にも格差がある！ポ—クカレ—もね学校に歯磨き指導の先生がやってきた。賢人（清水優哉）たち1年2組の皆は正しい歯磨きの仕方を教わるが……。 生活科の授業で保護者たちを交えた『カレ—パ—ティ—』が開催されることに。だが、出来上がったカレ—に美月（杉田かおる）の怒り爆発!!　規子（伊東美咲）、加賀見（松下由樹）と美月の対決は決定的となる。 男の子たちが秘密基地でタイムマシ—ンに夢中のなか、美月は賢人追放の署名活動に夢中……。伊東美咲  坂井真紀  谷原章介  細田よしひこ  安田　顕  田中要次  篠原麻衣 "&amp;" モロ師岡  森口瑤子  杉田かおる  松下由樹「愛をこめて花束を」Superfly（ワ—ナ—ミュ—ジック・ジャパン）番組の最後に主題化DVDプレゼントの告知があります！！原案：山口雅俊脚本：大森美香加藤章一ドリマックス  TBS  http://www.tbs.co.jp/edison-mama/")</f>
        <v>歯にも格差がある！ポ—クカレ—もね学校に歯磨き指導の先生がやってきた。賢人（清水優哉）たち1年2組の皆は正しい歯磨きの仕方を教わるが……。 生活科の授業で保護者たちを交えた『カレ—パ—ティ—』が開催されることに。だが、出来上がったカレ—に美月（杉田かおる）の怒り爆発!!　規子（伊東美咲）、加賀見（松下由樹）と美月の対決は決定的となる。 男の子たちが秘密基地でタイムマシ—ンに夢中のなか、美月は賢人追放の署名活動に夢中……。伊東美咲  坂井真紀  谷原章介  細田よしひこ  安田　顕  田中要次  篠原麻衣  モロ師岡  森口瑤子  杉田かおる  松下由樹「愛をこめて花束を」Superfly（ワ—ナ—ミュ—ジック・ジャパン）番組の最後に主題化DVDプレゼントの告知があります！！原案：山口雅俊脚本：大森美香加藤章一ドリマックス  TBS  http://www.tbs.co.jp/edison-mama/</v>
      </c>
      <c r="N6106" s="2"/>
      <c r="O6106" s="2"/>
      <c r="P6106" s="1"/>
      <c r="Q6106" s="1"/>
      <c r="R6106" s="1"/>
      <c r="S6106" s="1"/>
      <c r="T6106" s="1"/>
      <c r="U6106" s="1"/>
      <c r="V6106" s="1"/>
      <c r="W6106" s="1"/>
      <c r="X6106" s="1"/>
      <c r="Y6106" s="1"/>
      <c r="Z6106" s="1"/>
      <c r="AA6106" s="1"/>
      <c r="AB6106" s="1"/>
      <c r="AC6106" s="1"/>
      <c r="AD6106" s="1"/>
      <c r="AE6106" s="1"/>
      <c r="AF6106" s="1"/>
      <c r="AG6106" s="1"/>
      <c r="AH6106" s="1"/>
      <c r="AI6106" s="1"/>
      <c r="AJ6106" s="1"/>
      <c r="AK6106" s="1"/>
      <c r="AL6106" s="1"/>
      <c r="AM6106" s="1"/>
      <c r="AN6106" s="1"/>
      <c r="AO6106" s="1"/>
      <c r="AP6106" s="1"/>
      <c r="AQ6106" s="1"/>
      <c r="AR6106" s="1"/>
      <c r="AS6106" s="1"/>
      <c r="AT6106" s="1"/>
      <c r="AU6106" s="1"/>
      <c r="AV6106" s="1"/>
      <c r="AW6106" s="1"/>
      <c r="AX6106" s="1"/>
      <c r="AY6106" s="1"/>
      <c r="AZ6106" s="1"/>
      <c r="BA6106" s="1"/>
      <c r="BB6106" s="1"/>
    </row>
    <row r="6107" ht="204.75" customHeight="1">
      <c r="A6107" s="1">
        <v>5987.0</v>
      </c>
      <c r="B6107" s="2" t="s">
        <v>16233</v>
      </c>
      <c r="C6107" s="2">
        <f>IFERROR(__xludf.DUMMYFUNCTION("split(B6107,""_"")"),801.0)</f>
        <v>801</v>
      </c>
      <c r="D6107" s="2" t="str">
        <f>IFERROR(__xludf.DUMMYFUNCTION("""COMPUTED_VALUE"""),"TBS")</f>
        <v>TBS</v>
      </c>
      <c r="E6107" s="2" t="str">
        <f>IFERROR(__xludf.DUMMYFUNCTION("""COMPUTED_VALUE"""),"金22")</f>
        <v>金22</v>
      </c>
      <c r="F6107" s="2" t="s">
        <v>16234</v>
      </c>
      <c r="G6107" s="2" t="s">
        <v>16249</v>
      </c>
      <c r="H6107" s="1">
        <v>10.0</v>
      </c>
      <c r="J6107" s="1" t="s">
        <v>86</v>
      </c>
      <c r="K6107" s="2" t="s">
        <v>16252</v>
      </c>
      <c r="L6107" s="2"/>
      <c r="M6107" s="2" t="str">
        <f>IFERROR(__xludf.DUMMYFUNCTION("split(split(K6107,""【"",false),""公式LINE"",false)"),"「エジソン追放！涙と怒りの全校集会」賢人（清水優哉）、堵馬（太田力斗）、速太（吉田翔）、玲実（村中暖奈）、修斗（鈴木裕大）、永久（山田果琳）の5人は秘密基地の外にタイムカプセルを埋めようと、それぞれの宝物を持ち寄る。 が、秘密基地が火事に!! 火事の一件が原因で、賢人は学校を去ることを余儀なくされ、あおい（坂井真紀）も賢人の転校を決意する。何とか賢人を学校に残したい規子（伊東美咲）だが、それは規子の力ではどうにもならず……。 伊東美咲  坂井真紀  谷原章介  細田よしひこ  安田　顕  田中要次  森口"&amp;"瑤子  片桐はいり  大杉漣  杉田かおる  松下由樹「愛をこめて花束を」Superfly（ワ—ナ—ミュ—ジック・ジャパン）原案：山口雅俊脚本：大森美香武藤 淳加藤章一ドリマックス・テレビジョン　TBS  http://www.tbs.co.jp/edison-mama/")</f>
        <v>「エジソン追放！涙と怒りの全校集会」賢人（清水優哉）、堵馬（太田力斗）、速太（吉田翔）、玲実（村中暖奈）、修斗（鈴木裕大）、永久（山田果琳）の5人は秘密基地の外にタイムカプセルを埋めようと、それぞれの宝物を持ち寄る。 が、秘密基地が火事に!! 火事の一件が原因で、賢人は学校を去ることを余儀なくされ、あおい（坂井真紀）も賢人の転校を決意する。何とか賢人を学校に残したい規子（伊東美咲）だが、それは規子の力ではどうにもならず……。 伊東美咲  坂井真紀  谷原章介  細田よしひこ  安田　顕  田中要次  森口瑤子  片桐はいり  大杉漣  杉田かおる  松下由樹「愛をこめて花束を」Superfly（ワ—ナ—ミュ—ジック・ジャパン）原案：山口雅俊脚本：大森美香武藤 淳加藤章一ドリマックス・テレビジョン　TBS  http://www.tbs.co.jp/edison-mama/</v>
      </c>
      <c r="N6107" s="2"/>
      <c r="O6107" s="2"/>
      <c r="P6107" s="1"/>
      <c r="Q6107" s="1"/>
      <c r="R6107" s="1"/>
      <c r="S6107" s="1"/>
      <c r="T6107" s="1"/>
      <c r="U6107" s="1"/>
      <c r="V6107" s="1"/>
      <c r="W6107" s="1"/>
      <c r="X6107" s="1"/>
      <c r="Y6107" s="1"/>
      <c r="Z6107" s="1"/>
      <c r="AA6107" s="1"/>
      <c r="AB6107" s="1"/>
      <c r="AC6107" s="1"/>
      <c r="AD6107" s="1"/>
      <c r="AE6107" s="1"/>
      <c r="AF6107" s="1"/>
      <c r="AG6107" s="1"/>
      <c r="AH6107" s="1"/>
      <c r="AI6107" s="1"/>
      <c r="AJ6107" s="1"/>
      <c r="AK6107" s="1"/>
      <c r="AL6107" s="1"/>
      <c r="AM6107" s="1"/>
      <c r="AN6107" s="1"/>
      <c r="AO6107" s="1"/>
      <c r="AP6107" s="1"/>
      <c r="AQ6107" s="1"/>
      <c r="AR6107" s="1"/>
      <c r="AS6107" s="1"/>
      <c r="AT6107" s="1"/>
      <c r="AU6107" s="1"/>
      <c r="AV6107" s="1"/>
      <c r="AW6107" s="1"/>
      <c r="AX6107" s="1"/>
      <c r="AY6107" s="1"/>
      <c r="AZ6107" s="1"/>
      <c r="BA6107" s="1"/>
      <c r="BB6107" s="1"/>
    </row>
    <row r="6108" ht="204.75" customHeight="1">
      <c r="A6108" s="1">
        <v>6010.0</v>
      </c>
      <c r="B6108" s="2" t="s">
        <v>16253</v>
      </c>
      <c r="C6108" s="2">
        <f>IFERROR(__xludf.DUMMYFUNCTION("split(B6108,""_"")"),801.0)</f>
        <v>801</v>
      </c>
      <c r="D6108" s="2" t="str">
        <f>IFERROR(__xludf.DUMMYFUNCTION("""COMPUTED_VALUE"""),"TBS")</f>
        <v>TBS</v>
      </c>
      <c r="E6108" s="2" t="str">
        <f>IFERROR(__xludf.DUMMYFUNCTION("""COMPUTED_VALUE"""),"日21")</f>
        <v>日21</v>
      </c>
      <c r="F6108" s="2" t="s">
        <v>16254</v>
      </c>
      <c r="G6108" s="2" t="s">
        <v>16255</v>
      </c>
      <c r="H6108" s="1">
        <v>1.0</v>
      </c>
      <c r="J6108" s="1" t="s">
        <v>4</v>
      </c>
      <c r="K6108" s="2" t="s">
        <v>16256</v>
      </c>
      <c r="L6108" s="2"/>
      <c r="M6108" s="2" t="str">
        <f>IFERROR(__xludf.DUMMYFUNCTION("split(split(K6108,""【"",false),""公式LINE"",false)"),"性格が正反対の弁護士夫婦が繰り広げるバトルを、コメディータッチで描く。脚本・森下佳子、演出・平川雄一朗ほか。　佐々木法倫(稲垣吾郎)と律子(小雪)は、結婚三年目の弁護士夫婦。二人で事務所を構えているが、結婚生活は崩壊寸前だ。律子が、苦手だという理由で家事を放棄してしまったのだ。法倫は、彼女が問題を自覚するまで、自分も家事はやらないと決心。そのため、家の中は散らかり放題になっていた。そんな折、小鹿(小堺一機)という男性が、相談をしに事務所にやって来る。自宅前のごみ集積所を移転させたいが、近隣住民とトラブルを"&amp;"起こさないよう話を進めたいという。法倫は彼に同情し、依頼を引き受ける。")</f>
        <v>性格が正反対の弁護士夫婦が繰り広げるバトルを、コメディータッチで描く。脚本・森下佳子、演出・平川雄一朗ほか。　佐々木法倫(稲垣吾郎)と律子(小雪)は、結婚三年目の弁護士夫婦。二人で事務所を構えているが、結婚生活は崩壊寸前だ。律子が、苦手だという理由で家事を放棄してしまったのだ。法倫は、彼女が問題を自覚するまで、自分も家事はやらないと決心。そのため、家の中は散らかり放題になっていた。そんな折、小鹿(小堺一機)という男性が、相談をしに事務所にやって来る。自宅前のごみ集積所を移転させたいが、近隣住民とトラブルを起こさないよう話を進めたいという。法倫は彼に同情し、依頼を引き受ける。</v>
      </c>
      <c r="N6108" s="2"/>
      <c r="O6108" s="2"/>
      <c r="P6108" s="1"/>
      <c r="Q6108" s="1"/>
      <c r="R6108" s="1"/>
      <c r="S6108" s="1"/>
      <c r="T6108" s="1"/>
      <c r="U6108" s="1"/>
      <c r="V6108" s="1"/>
      <c r="W6108" s="1"/>
      <c r="X6108" s="1"/>
      <c r="Y6108" s="1"/>
      <c r="Z6108" s="1"/>
      <c r="AA6108" s="1"/>
      <c r="AB6108" s="1"/>
      <c r="AC6108" s="1"/>
      <c r="AD6108" s="1"/>
      <c r="AE6108" s="1"/>
      <c r="AF6108" s="1"/>
      <c r="AG6108" s="1"/>
      <c r="AH6108" s="1"/>
      <c r="AI6108" s="1"/>
      <c r="AJ6108" s="1"/>
      <c r="AK6108" s="1"/>
      <c r="AL6108" s="1"/>
      <c r="AM6108" s="1"/>
      <c r="AN6108" s="1"/>
      <c r="AO6108" s="1"/>
      <c r="AP6108" s="1"/>
      <c r="AQ6108" s="1"/>
      <c r="AR6108" s="1"/>
      <c r="AS6108" s="1"/>
      <c r="AT6108" s="1"/>
      <c r="AU6108" s="1"/>
      <c r="AV6108" s="1"/>
      <c r="AW6108" s="1"/>
      <c r="AX6108" s="1"/>
      <c r="AY6108" s="1"/>
      <c r="AZ6108" s="1"/>
      <c r="BA6108" s="1"/>
      <c r="BB6108" s="1"/>
    </row>
    <row r="6109" ht="204.75" customHeight="1">
      <c r="A6109" s="1">
        <v>6011.0</v>
      </c>
      <c r="B6109" s="2" t="s">
        <v>16253</v>
      </c>
      <c r="C6109" s="2">
        <f>IFERROR(__xludf.DUMMYFUNCTION("split(B6109,""_"")"),801.0)</f>
        <v>801</v>
      </c>
      <c r="D6109" s="2" t="str">
        <f>IFERROR(__xludf.DUMMYFUNCTION("""COMPUTED_VALUE"""),"TBS")</f>
        <v>TBS</v>
      </c>
      <c r="E6109" s="2" t="str">
        <f>IFERROR(__xludf.DUMMYFUNCTION("""COMPUTED_VALUE"""),"日21")</f>
        <v>日21</v>
      </c>
      <c r="F6109" s="2" t="s">
        <v>16254</v>
      </c>
      <c r="G6109" s="2" t="s">
        <v>16257</v>
      </c>
      <c r="H6109" s="1">
        <v>2.0</v>
      </c>
      <c r="J6109" s="1" t="s">
        <v>11</v>
      </c>
      <c r="K6109" s="2" t="s">
        <v>16258</v>
      </c>
      <c r="L6109" s="2"/>
      <c r="M6109" s="2" t="str">
        <f>IFERROR(__xludf.DUMMYFUNCTION("split(split(K6109,""【"",false),""公式LINE"",false)"),"律子(小雪)は、猪木(古田新太)の知人で不動産業を営む前田(泉谷しげる)から相談を受ける。十年間別居している妻・奈津子(朝加真由美)と離婚したいという。律子は、内縁関係にある女性との間に子供ができたことを機に妻と別れたいと話す前田に賛同し、依頼を引き受ける。そのころ、法倫(稲垣吾郎)は母・ゆと子(江波杏子)から、奈津子のことを相談されていた。ゆと子と奈津子は、知り合いだったのだ。奈津子の言葉に同情した法倫は、彼女の力になることを決意する。数日後、法倫は律子が前田の依頼を引き受けていたことを知る。")</f>
        <v>律子(小雪)は、猪木(古田新太)の知人で不動産業を営む前田(泉谷しげる)から相談を受ける。十年間別居している妻・奈津子(朝加真由美)と離婚したいという。律子は、内縁関係にある女性との間に子供ができたことを機に妻と別れたいと話す前田に賛同し、依頼を引き受ける。そのころ、法倫(稲垣吾郎)は母・ゆと子(江波杏子)から、奈津子のことを相談されていた。ゆと子と奈津子は、知り合いだったのだ。奈津子の言葉に同情した法倫は、彼女の力になることを決意する。数日後、法倫は律子が前田の依頼を引き受けていたことを知る。</v>
      </c>
      <c r="N6109" s="2"/>
      <c r="O6109" s="2"/>
      <c r="P6109" s="1"/>
      <c r="Q6109" s="1"/>
      <c r="R6109" s="1"/>
      <c r="S6109" s="1"/>
      <c r="T6109" s="1"/>
      <c r="U6109" s="1"/>
      <c r="V6109" s="1"/>
      <c r="W6109" s="1"/>
      <c r="X6109" s="1"/>
      <c r="Y6109" s="1"/>
      <c r="Z6109" s="1"/>
      <c r="AA6109" s="1"/>
      <c r="AB6109" s="1"/>
      <c r="AC6109" s="1"/>
      <c r="AD6109" s="1"/>
      <c r="AE6109" s="1"/>
      <c r="AF6109" s="1"/>
      <c r="AG6109" s="1"/>
      <c r="AH6109" s="1"/>
      <c r="AI6109" s="1"/>
      <c r="AJ6109" s="1"/>
      <c r="AK6109" s="1"/>
      <c r="AL6109" s="1"/>
      <c r="AM6109" s="1"/>
      <c r="AN6109" s="1"/>
      <c r="AO6109" s="1"/>
      <c r="AP6109" s="1"/>
      <c r="AQ6109" s="1"/>
      <c r="AR6109" s="1"/>
      <c r="AS6109" s="1"/>
      <c r="AT6109" s="1"/>
      <c r="AU6109" s="1"/>
      <c r="AV6109" s="1"/>
      <c r="AW6109" s="1"/>
      <c r="AX6109" s="1"/>
      <c r="AY6109" s="1"/>
      <c r="AZ6109" s="1"/>
      <c r="BA6109" s="1"/>
      <c r="BB6109" s="1"/>
    </row>
    <row r="6110" ht="204.75" customHeight="1">
      <c r="A6110" s="1">
        <v>6012.0</v>
      </c>
      <c r="B6110" s="2" t="s">
        <v>16253</v>
      </c>
      <c r="C6110" s="2">
        <f>IFERROR(__xludf.DUMMYFUNCTION("split(B6110,""_"")"),801.0)</f>
        <v>801</v>
      </c>
      <c r="D6110" s="2" t="str">
        <f>IFERROR(__xludf.DUMMYFUNCTION("""COMPUTED_VALUE"""),"TBS")</f>
        <v>TBS</v>
      </c>
      <c r="E6110" s="2" t="str">
        <f>IFERROR(__xludf.DUMMYFUNCTION("""COMPUTED_VALUE"""),"日21")</f>
        <v>日21</v>
      </c>
      <c r="F6110" s="2" t="s">
        <v>16254</v>
      </c>
      <c r="G6110" s="2" t="s">
        <v>16259</v>
      </c>
      <c r="H6110" s="1">
        <v>3.0</v>
      </c>
      <c r="J6110" s="1" t="s">
        <v>11</v>
      </c>
      <c r="K6110" s="2" t="s">
        <v>16260</v>
      </c>
      <c r="L6110" s="2"/>
      <c r="M6110" s="2" t="str">
        <f>IFERROR(__xludf.DUMMYFUNCTION("split(split(K6110,""【"",false),""公式LINE"",false)"),"律子(小雪)は法倫(稲垣吾郎)から、離婚を切り出される。律子から「私の人生を返して」と言われた法倫は、その言葉について、ずっと考えていたらしい。法倫は、これまで夫婦げんかに費やした時間を振り返り、「もっと君を幸せにできる人がいる」と話す。それを聞いた律子は「だったら別れた方がいい」と言い、マンションから出ていく。そんな折、山本(石橋保)とその妻・幸恵(長谷川真弓)が事務所に相談に来る。今まで育ててきた息子が、十四年前に病院で取り違えられた別の夫婦の子供だと分かったという。本当の息子だと思われる子供がいるの"&amp;"で、交換したいと言うのだ。")</f>
        <v>律子(小雪)は法倫(稲垣吾郎)から、離婚を切り出される。律子から「私の人生を返して」と言われた法倫は、その言葉について、ずっと考えていたらしい。法倫は、これまで夫婦げんかに費やした時間を振り返り、「もっと君を幸せにできる人がいる」と話す。それを聞いた律子は「だったら別れた方がいい」と言い、マンションから出ていく。そんな折、山本(石橋保)とその妻・幸恵(長谷川真弓)が事務所に相談に来る。今まで育ててきた息子が、十四年前に病院で取り違えられた別の夫婦の子供だと分かったという。本当の息子だと思われる子供がいるので、交換したいと言うのだ。</v>
      </c>
      <c r="N6110" s="2"/>
      <c r="O6110" s="2"/>
      <c r="P6110" s="1"/>
      <c r="Q6110" s="1"/>
      <c r="R6110" s="1"/>
      <c r="S6110" s="1"/>
      <c r="T6110" s="1"/>
      <c r="U6110" s="1"/>
      <c r="V6110" s="1"/>
      <c r="W6110" s="1"/>
      <c r="X6110" s="1"/>
      <c r="Y6110" s="1"/>
      <c r="Z6110" s="1"/>
      <c r="AA6110" s="1"/>
      <c r="AB6110" s="1"/>
      <c r="AC6110" s="1"/>
      <c r="AD6110" s="1"/>
      <c r="AE6110" s="1"/>
      <c r="AF6110" s="1"/>
      <c r="AG6110" s="1"/>
      <c r="AH6110" s="1"/>
      <c r="AI6110" s="1"/>
      <c r="AJ6110" s="1"/>
      <c r="AK6110" s="1"/>
      <c r="AL6110" s="1"/>
      <c r="AM6110" s="1"/>
      <c r="AN6110" s="1"/>
      <c r="AO6110" s="1"/>
      <c r="AP6110" s="1"/>
      <c r="AQ6110" s="1"/>
      <c r="AR6110" s="1"/>
      <c r="AS6110" s="1"/>
      <c r="AT6110" s="1"/>
      <c r="AU6110" s="1"/>
      <c r="AV6110" s="1"/>
      <c r="AW6110" s="1"/>
      <c r="AX6110" s="1"/>
      <c r="AY6110" s="1"/>
      <c r="AZ6110" s="1"/>
      <c r="BA6110" s="1"/>
      <c r="BB6110" s="1"/>
    </row>
    <row r="6111" ht="204.75" customHeight="1">
      <c r="A6111" s="1">
        <v>6013.0</v>
      </c>
      <c r="B6111" s="2" t="s">
        <v>16253</v>
      </c>
      <c r="C6111" s="2">
        <f>IFERROR(__xludf.DUMMYFUNCTION("split(B6111,""_"")"),801.0)</f>
        <v>801</v>
      </c>
      <c r="D6111" s="2" t="str">
        <f>IFERROR(__xludf.DUMMYFUNCTION("""COMPUTED_VALUE"""),"TBS")</f>
        <v>TBS</v>
      </c>
      <c r="E6111" s="2" t="str">
        <f>IFERROR(__xludf.DUMMYFUNCTION("""COMPUTED_VALUE"""),"日21")</f>
        <v>日21</v>
      </c>
      <c r="F6111" s="2" t="s">
        <v>16254</v>
      </c>
      <c r="G6111" s="2" t="s">
        <v>16261</v>
      </c>
      <c r="H6111" s="1">
        <v>4.0</v>
      </c>
      <c r="J6111" s="1" t="s">
        <v>11</v>
      </c>
      <c r="K6111" s="2" t="s">
        <v>16262</v>
      </c>
      <c r="L6111" s="2"/>
      <c r="M6111" s="2" t="str">
        <f>IFERROR(__xludf.DUMMYFUNCTION("split(split(K6111,""【"",false),""公式LINE"",false)"),"法倫(稲垣吾郎)は、通勤ラッシュで混雑する電車に乗っていた。目的の駅に着いて降車した法倫は、そこで智美(京野ことみ)という女性に手をつかまれる。法倫が、彼女に痴漢行為をしたというのだ。一方、昼すぎに事務所に出勤した律子(小雪)は、桜庭(小出恵介)から法倫が行方不明だと聞かされる。そこへ、電話が入り、法倫が痴漢の容疑を掛けられて警察署にいることが分かる。法倫と接見した律子は、面倒くさいから示談にしようと言いだす。それを聞いた法倫は「君は痴漢の妻になってもいいのか」と言い返す。")</f>
        <v>法倫(稲垣吾郎)は、通勤ラッシュで混雑する電車に乗っていた。目的の駅に着いて降車した法倫は、そこで智美(京野ことみ)という女性に手をつかまれる。法倫が、彼女に痴漢行為をしたというのだ。一方、昼すぎに事務所に出勤した律子(小雪)は、桜庭(小出恵介)から法倫が行方不明だと聞かされる。そこへ、電話が入り、法倫が痴漢の容疑を掛けられて警察署にいることが分かる。法倫と接見した律子は、面倒くさいから示談にしようと言いだす。それを聞いた法倫は「君は痴漢の妻になってもいいのか」と言い返す。</v>
      </c>
      <c r="N6111" s="2"/>
      <c r="O6111" s="2"/>
      <c r="P6111" s="1"/>
      <c r="Q6111" s="1"/>
      <c r="R6111" s="1"/>
      <c r="S6111" s="1"/>
      <c r="T6111" s="1"/>
      <c r="U6111" s="1"/>
      <c r="V6111" s="1"/>
      <c r="W6111" s="1"/>
      <c r="X6111" s="1"/>
      <c r="Y6111" s="1"/>
      <c r="Z6111" s="1"/>
      <c r="AA6111" s="1"/>
      <c r="AB6111" s="1"/>
      <c r="AC6111" s="1"/>
      <c r="AD6111" s="1"/>
      <c r="AE6111" s="1"/>
      <c r="AF6111" s="1"/>
      <c r="AG6111" s="1"/>
      <c r="AH6111" s="1"/>
      <c r="AI6111" s="1"/>
      <c r="AJ6111" s="1"/>
      <c r="AK6111" s="1"/>
      <c r="AL6111" s="1"/>
      <c r="AM6111" s="1"/>
      <c r="AN6111" s="1"/>
      <c r="AO6111" s="1"/>
      <c r="AP6111" s="1"/>
      <c r="AQ6111" s="1"/>
      <c r="AR6111" s="1"/>
      <c r="AS6111" s="1"/>
      <c r="AT6111" s="1"/>
      <c r="AU6111" s="1"/>
      <c r="AV6111" s="1"/>
      <c r="AW6111" s="1"/>
      <c r="AX6111" s="1"/>
      <c r="AY6111" s="1"/>
      <c r="AZ6111" s="1"/>
      <c r="BA6111" s="1"/>
      <c r="BB6111" s="1"/>
    </row>
    <row r="6112" ht="204.75" customHeight="1">
      <c r="A6112" s="1">
        <v>6014.0</v>
      </c>
      <c r="B6112" s="2" t="s">
        <v>16253</v>
      </c>
      <c r="C6112" s="2">
        <f>IFERROR(__xludf.DUMMYFUNCTION("split(B6112,""_"")"),801.0)</f>
        <v>801</v>
      </c>
      <c r="D6112" s="2" t="str">
        <f>IFERROR(__xludf.DUMMYFUNCTION("""COMPUTED_VALUE"""),"TBS")</f>
        <v>TBS</v>
      </c>
      <c r="E6112" s="2" t="str">
        <f>IFERROR(__xludf.DUMMYFUNCTION("""COMPUTED_VALUE"""),"日21")</f>
        <v>日21</v>
      </c>
      <c r="F6112" s="2" t="s">
        <v>16254</v>
      </c>
      <c r="G6112" s="2" t="s">
        <v>16263</v>
      </c>
      <c r="H6112" s="1">
        <v>5.0</v>
      </c>
      <c r="J6112" s="1" t="s">
        <v>4</v>
      </c>
      <c r="K6112" s="2" t="s">
        <v>16264</v>
      </c>
      <c r="L6112" s="2"/>
      <c r="M6112" s="2" t="str">
        <f>IFERROR(__xludf.DUMMYFUNCTION("split(split(K6112,""【"",false),""公式LINE"",false)"),"法倫(稲垣吾郎)の事務所に、大学時代の同級生・紗枝(桜井幸子)がやって来た。法倫は、かつて好意を抱いていた紗枝の登場に動揺しながらも、相談があるという彼女と翌日に会う約束をする。翌日、法倫は紗枝から「植物状態の人間の延命装置を止めたら、殺人になるのか」と聞かれる。驚いた法倫は、その理由を尋ねる。しかし、紗枝は自分の相談に対する法倫の意見だけを聞き、その場から立ち去ってしまう。そんな折、猪木(古田新太)の元妻・聡子(松田美由紀)が事務所に現れた。猪木が、息子・鉄博(小清水一揮)を連れ出したまま、姿を消したら"&amp;"しい。聡子は、今日中に息子が戻らなければ誘拐で被害届を出すと言いだす。それを聞いた律子(小雪)は、猪木と連絡を取ろうとする。")</f>
        <v>法倫(稲垣吾郎)の事務所に、大学時代の同級生・紗枝(桜井幸子)がやって来た。法倫は、かつて好意を抱いていた紗枝の登場に動揺しながらも、相談があるという彼女と翌日に会う約束をする。翌日、法倫は紗枝から「植物状態の人間の延命装置を止めたら、殺人になるのか」と聞かれる。驚いた法倫は、その理由を尋ねる。しかし、紗枝は自分の相談に対する法倫の意見だけを聞き、その場から立ち去ってしまう。そんな折、猪木(古田新太)の元妻・聡子(松田美由紀)が事務所に現れた。猪木が、息子・鉄博(小清水一揮)を連れ出したまま、姿を消したらしい。聡子は、今日中に息子が戻らなければ誘拐で被害届を出すと言いだす。それを聞いた律子(小雪)は、猪木と連絡を取ろうとする。</v>
      </c>
      <c r="N6112" s="2"/>
      <c r="O6112" s="2"/>
      <c r="P6112" s="1"/>
      <c r="Q6112" s="1"/>
      <c r="R6112" s="1"/>
      <c r="S6112" s="1"/>
      <c r="T6112" s="1"/>
      <c r="U6112" s="1"/>
      <c r="V6112" s="1"/>
      <c r="W6112" s="1"/>
      <c r="X6112" s="1"/>
      <c r="Y6112" s="1"/>
      <c r="Z6112" s="1"/>
      <c r="AA6112" s="1"/>
      <c r="AB6112" s="1"/>
      <c r="AC6112" s="1"/>
      <c r="AD6112" s="1"/>
      <c r="AE6112" s="1"/>
      <c r="AF6112" s="1"/>
      <c r="AG6112" s="1"/>
      <c r="AH6112" s="1"/>
      <c r="AI6112" s="1"/>
      <c r="AJ6112" s="1"/>
      <c r="AK6112" s="1"/>
      <c r="AL6112" s="1"/>
      <c r="AM6112" s="1"/>
      <c r="AN6112" s="1"/>
      <c r="AO6112" s="1"/>
      <c r="AP6112" s="1"/>
      <c r="AQ6112" s="1"/>
      <c r="AR6112" s="1"/>
      <c r="AS6112" s="1"/>
      <c r="AT6112" s="1"/>
      <c r="AU6112" s="1"/>
      <c r="AV6112" s="1"/>
      <c r="AW6112" s="1"/>
      <c r="AX6112" s="1"/>
      <c r="AY6112" s="1"/>
      <c r="AZ6112" s="1"/>
      <c r="BA6112" s="1"/>
      <c r="BB6112" s="1"/>
    </row>
    <row r="6113" ht="204.75" customHeight="1">
      <c r="A6113" s="1">
        <v>6015.0</v>
      </c>
      <c r="B6113" s="2" t="s">
        <v>16253</v>
      </c>
      <c r="C6113" s="2">
        <f>IFERROR(__xludf.DUMMYFUNCTION("split(B6113,""_"")"),801.0)</f>
        <v>801</v>
      </c>
      <c r="D6113" s="2" t="str">
        <f>IFERROR(__xludf.DUMMYFUNCTION("""COMPUTED_VALUE"""),"TBS")</f>
        <v>TBS</v>
      </c>
      <c r="E6113" s="2" t="str">
        <f>IFERROR(__xludf.DUMMYFUNCTION("""COMPUTED_VALUE"""),"日21")</f>
        <v>日21</v>
      </c>
      <c r="F6113" s="2" t="s">
        <v>16254</v>
      </c>
      <c r="G6113" s="2" t="s">
        <v>16265</v>
      </c>
      <c r="H6113" s="1">
        <v>6.0</v>
      </c>
      <c r="J6113" s="1" t="s">
        <v>11</v>
      </c>
      <c r="K6113" s="2" t="s">
        <v>16266</v>
      </c>
      <c r="L6113" s="2"/>
      <c r="M6113" s="2" t="str">
        <f>IFERROR(__xludf.DUMMYFUNCTION("split(split(K6113,""【"",false),""公式LINE"",false)"),"佐々木夫妻の仁義なき戦い◇法倫（稲垣吾郎）は大学時代に思いを寄せていた紗枝（桜井幸子）から突然キスされた。２人のやりとりを、猪木（古田新太）が偶然に目撃する。一方、法倫はこの日の出来事を律子（小雪）にどう説明するか自問自答していた。結局、法倫は友人の父親の見舞いに行ったと報告する。後日、相続問題の件で紗枝が事務所を訪ねてくる。律子に同席を求める紗枝に戦々恐々の法倫と、疑いと戸惑いが交錯する律子。しかし、実情を聞いた２人は仕事へ頭を切り替える。遺産相続を争っている叔母の梅子（根岸季衣）との経緯を語る紗枝に、"&amp;"律子は裁判ではなく調停に持ち込んだ方がいいと言う。一方、梅子の主張に憤りを感じる法倫は律子の意見に反対する。")</f>
        <v>佐々木夫妻の仁義なき戦い◇法倫（稲垣吾郎）は大学時代に思いを寄せていた紗枝（桜井幸子）から突然キスされた。２人のやりとりを、猪木（古田新太）が偶然に目撃する。一方、法倫はこの日の出来事を律子（小雪）にどう説明するか自問自答していた。結局、法倫は友人の父親の見舞いに行ったと報告する。後日、相続問題の件で紗枝が事務所を訪ねてくる。律子に同席を求める紗枝に戦々恐々の法倫と、疑いと戸惑いが交錯する律子。しかし、実情を聞いた２人は仕事へ頭を切り替える。遺産相続を争っている叔母の梅子（根岸季衣）との経緯を語る紗枝に、律子は裁判ではなく調停に持ち込んだ方がいいと言う。一方、梅子の主張に憤りを感じる法倫は律子の意見に反対する。</v>
      </c>
      <c r="N6113" s="2"/>
      <c r="O6113" s="2"/>
      <c r="P6113" s="1"/>
      <c r="Q6113" s="1"/>
      <c r="R6113" s="1"/>
      <c r="S6113" s="1"/>
      <c r="T6113" s="1"/>
      <c r="U6113" s="1"/>
      <c r="V6113" s="1"/>
      <c r="W6113" s="1"/>
      <c r="X6113" s="1"/>
      <c r="Y6113" s="1"/>
      <c r="Z6113" s="1"/>
      <c r="AA6113" s="1"/>
      <c r="AB6113" s="1"/>
      <c r="AC6113" s="1"/>
      <c r="AD6113" s="1"/>
      <c r="AE6113" s="1"/>
      <c r="AF6113" s="1"/>
      <c r="AG6113" s="1"/>
      <c r="AH6113" s="1"/>
      <c r="AI6113" s="1"/>
      <c r="AJ6113" s="1"/>
      <c r="AK6113" s="1"/>
      <c r="AL6113" s="1"/>
      <c r="AM6113" s="1"/>
      <c r="AN6113" s="1"/>
      <c r="AO6113" s="1"/>
      <c r="AP6113" s="1"/>
      <c r="AQ6113" s="1"/>
      <c r="AR6113" s="1"/>
      <c r="AS6113" s="1"/>
      <c r="AT6113" s="1"/>
      <c r="AU6113" s="1"/>
      <c r="AV6113" s="1"/>
      <c r="AW6113" s="1"/>
      <c r="AX6113" s="1"/>
      <c r="AY6113" s="1"/>
      <c r="AZ6113" s="1"/>
      <c r="BA6113" s="1"/>
      <c r="BB6113" s="1"/>
    </row>
    <row r="6114" ht="204.75" customHeight="1">
      <c r="A6114" s="1">
        <v>6016.0</v>
      </c>
      <c r="B6114" s="2" t="s">
        <v>16253</v>
      </c>
      <c r="C6114" s="2">
        <f>IFERROR(__xludf.DUMMYFUNCTION("split(B6114,""_"")"),801.0)</f>
        <v>801</v>
      </c>
      <c r="D6114" s="2" t="str">
        <f>IFERROR(__xludf.DUMMYFUNCTION("""COMPUTED_VALUE"""),"TBS")</f>
        <v>TBS</v>
      </c>
      <c r="E6114" s="2" t="str">
        <f>IFERROR(__xludf.DUMMYFUNCTION("""COMPUTED_VALUE"""),"日21")</f>
        <v>日21</v>
      </c>
      <c r="F6114" s="2" t="s">
        <v>16254</v>
      </c>
      <c r="G6114" s="2" t="s">
        <v>16267</v>
      </c>
      <c r="H6114" s="1">
        <v>7.0</v>
      </c>
      <c r="J6114" s="1" t="s">
        <v>11</v>
      </c>
      <c r="K6114" s="2" t="s">
        <v>16268</v>
      </c>
      <c r="L6114" s="2"/>
      <c r="M6114" s="2" t="str">
        <f>IFERROR(__xludf.DUMMYFUNCTION("split(split(K6114,""【"",false),""公式LINE"",false)"),"まさかの妊娠慰謝料何と一億円!?  法倫（稲垣吾郎）と紗枝（桜井幸子）がキスをしていたと、猪木（古田新太）と小川（山本耕史）の話を偶然聞いてしまった律子（小雪）。「浮気というレベルの話ではないので許してあげてくれ」と法倫をかばう小川だが、律子は心が揺らいでいた…。リビングで対峙する法倫と律子。紗枝とのことを正直に法倫が話をすると、夫婦関係を侵害した紗枝に損害賠償請求をしてと律子がまくし立てる。稲垣 吾郎  小雪  小出 恵介  酒井 若菜 古田 新太　山本 耕史 　江波 杏子  西村 雅彦  藤田 まこと"&amp;"　桜井幸子  ゲスト  岡本麗、島田順治、野元学二、天野浩成、古本新乃輔、桜庭和志そのまま  SMAP  （ビクタ—エンタテインメント）高橋正尚製作  TBS   制作  TBSテレビ   http://www.tbs.co.jp/sasaki-fusai/")</f>
        <v>まさかの妊娠慰謝料何と一億円!?  法倫（稲垣吾郎）と紗枝（桜井幸子）がキスをしていたと、猪木（古田新太）と小川（山本耕史）の話を偶然聞いてしまった律子（小雪）。「浮気というレベルの話ではないので許してあげてくれ」と法倫をかばう小川だが、律子は心が揺らいでいた…。リビングで対峙する法倫と律子。紗枝とのことを正直に法倫が話をすると、夫婦関係を侵害した紗枝に損害賠償請求をしてと律子がまくし立てる。稲垣 吾郎  小雪  小出 恵介  酒井 若菜 古田 新太　山本 耕史 　江波 杏子  西村 雅彦  藤田 まこと　桜井幸子  ゲスト  岡本麗、島田順治、野元学二、天野浩成、古本新乃輔、桜庭和志そのまま  SMAP  （ビクタ—エンタテインメント）高橋正尚製作  TBS   制作  TBSテレビ   http://www.tbs.co.jp/sasaki-fusai/</v>
      </c>
      <c r="N6114" s="2"/>
      <c r="O6114" s="2"/>
      <c r="P6114" s="1"/>
      <c r="Q6114" s="1"/>
      <c r="R6114" s="1"/>
      <c r="S6114" s="1"/>
      <c r="T6114" s="1"/>
      <c r="U6114" s="1"/>
      <c r="V6114" s="1"/>
      <c r="W6114" s="1"/>
      <c r="X6114" s="1"/>
      <c r="Y6114" s="1"/>
      <c r="Z6114" s="1"/>
      <c r="AA6114" s="1"/>
      <c r="AB6114" s="1"/>
      <c r="AC6114" s="1"/>
      <c r="AD6114" s="1"/>
      <c r="AE6114" s="1"/>
      <c r="AF6114" s="1"/>
      <c r="AG6114" s="1"/>
      <c r="AH6114" s="1"/>
      <c r="AI6114" s="1"/>
      <c r="AJ6114" s="1"/>
      <c r="AK6114" s="1"/>
      <c r="AL6114" s="1"/>
      <c r="AM6114" s="1"/>
      <c r="AN6114" s="1"/>
      <c r="AO6114" s="1"/>
      <c r="AP6114" s="1"/>
      <c r="AQ6114" s="1"/>
      <c r="AR6114" s="1"/>
      <c r="AS6114" s="1"/>
      <c r="AT6114" s="1"/>
      <c r="AU6114" s="1"/>
      <c r="AV6114" s="1"/>
      <c r="AW6114" s="1"/>
      <c r="AX6114" s="1"/>
      <c r="AY6114" s="1"/>
      <c r="AZ6114" s="1"/>
      <c r="BA6114" s="1"/>
      <c r="BB6114" s="1"/>
    </row>
    <row r="6115" ht="204.75" customHeight="1">
      <c r="A6115" s="1">
        <v>6017.0</v>
      </c>
      <c r="B6115" s="2" t="s">
        <v>16253</v>
      </c>
      <c r="C6115" s="2">
        <f>IFERROR(__xludf.DUMMYFUNCTION("split(B6115,""_"")"),801.0)</f>
        <v>801</v>
      </c>
      <c r="D6115" s="2" t="str">
        <f>IFERROR(__xludf.DUMMYFUNCTION("""COMPUTED_VALUE"""),"TBS")</f>
        <v>TBS</v>
      </c>
      <c r="E6115" s="2" t="str">
        <f>IFERROR(__xludf.DUMMYFUNCTION("""COMPUTED_VALUE"""),"日21")</f>
        <v>日21</v>
      </c>
      <c r="F6115" s="2" t="s">
        <v>16254</v>
      </c>
      <c r="G6115" s="2" t="s">
        <v>16267</v>
      </c>
      <c r="H6115" s="1">
        <v>8.0</v>
      </c>
      <c r="J6115" s="1" t="s">
        <v>11</v>
      </c>
      <c r="K6115" s="2" t="s">
        <v>16269</v>
      </c>
      <c r="L6115" s="2"/>
      <c r="M6115" s="2" t="str">
        <f>IFERROR(__xludf.DUMMYFUNCTION("split(split(K6115,""【"",false),""公式LINE"",false)"),"出産せまる！！明日という新しい命離婚調停の場で「もう一度チャンスをくれないか？」という法倫（稲垣吾郎）の言葉に、涙する律子（小雪）。その日からの法倫は、律子と生まれてくる子どものために世話を焼くようになる。優しくされるほどに疑心暗鬼になる律子は、ある日、「本当は私のことを許していないんじゃない？」と法倫に切り出した。戸惑う法倫だが、僕だって必死なんだという法倫の言葉を聞いて「ごめんね」と謝る律子。ほどなく、寝室で眠る律子の傍ら、法倫は何かを想っていた…。 稲垣 吾郎  小雪  小出 恵介  酒井 若菜 古"&amp;"田 新太　山本 耕史 　江波 杏子  西村 雅彦  藤田 まこと　桜井幸子  ゲスト  井上佳子、伊藤昌一、木村優介、野元学二、松本じゅん、津田聖子、武藤敬司そのまま  SMAP  （ビクタ—エンタテインメント）森下佳子  平川悠一朗高橋正尚TBSテレビ  http://www.tbs.co.jp/sasaki-fusai/")</f>
        <v>出産せまる！！明日という新しい命離婚調停の場で「もう一度チャンスをくれないか？」という法倫（稲垣吾郎）の言葉に、涙する律子（小雪）。その日からの法倫は、律子と生まれてくる子どものために世話を焼くようになる。優しくされるほどに疑心暗鬼になる律子は、ある日、「本当は私のことを許していないんじゃない？」と法倫に切り出した。戸惑う法倫だが、僕だって必死なんだという法倫の言葉を聞いて「ごめんね」と謝る律子。ほどなく、寝室で眠る律子の傍ら、法倫は何かを想っていた…。 稲垣 吾郎  小雪  小出 恵介  酒井 若菜 古田 新太　山本 耕史 　江波 杏子  西村 雅彦  藤田 まこと　桜井幸子  ゲスト  井上佳子、伊藤昌一、木村優介、野元学二、松本じゅん、津田聖子、武藤敬司そのまま  SMAP  （ビクタ—エンタテインメント）森下佳子  平川悠一朗高橋正尚TBSテレビ  http://www.tbs.co.jp/sasaki-fusai/</v>
      </c>
      <c r="N6115" s="2"/>
      <c r="O6115" s="2"/>
      <c r="P6115" s="1"/>
      <c r="Q6115" s="1"/>
      <c r="R6115" s="1"/>
      <c r="S6115" s="1"/>
      <c r="T6115" s="1"/>
      <c r="U6115" s="1"/>
      <c r="V6115" s="1"/>
      <c r="W6115" s="1"/>
      <c r="X6115" s="1"/>
      <c r="Y6115" s="1"/>
      <c r="Z6115" s="1"/>
      <c r="AA6115" s="1"/>
      <c r="AB6115" s="1"/>
      <c r="AC6115" s="1"/>
      <c r="AD6115" s="1"/>
      <c r="AE6115" s="1"/>
      <c r="AF6115" s="1"/>
      <c r="AG6115" s="1"/>
      <c r="AH6115" s="1"/>
      <c r="AI6115" s="1"/>
      <c r="AJ6115" s="1"/>
      <c r="AK6115" s="1"/>
      <c r="AL6115" s="1"/>
      <c r="AM6115" s="1"/>
      <c r="AN6115" s="1"/>
      <c r="AO6115" s="1"/>
      <c r="AP6115" s="1"/>
      <c r="AQ6115" s="1"/>
      <c r="AR6115" s="1"/>
      <c r="AS6115" s="1"/>
      <c r="AT6115" s="1"/>
      <c r="AU6115" s="1"/>
      <c r="AV6115" s="1"/>
      <c r="AW6115" s="1"/>
      <c r="AX6115" s="1"/>
      <c r="AY6115" s="1"/>
      <c r="AZ6115" s="1"/>
      <c r="BA6115" s="1"/>
      <c r="BB6115" s="1"/>
    </row>
    <row r="6116" ht="204.75" customHeight="1">
      <c r="A6116" s="1">
        <v>6018.0</v>
      </c>
      <c r="B6116" s="2" t="s">
        <v>16253</v>
      </c>
      <c r="C6116" s="2">
        <f>IFERROR(__xludf.DUMMYFUNCTION("split(B6116,""_"")"),801.0)</f>
        <v>801</v>
      </c>
      <c r="D6116" s="2" t="str">
        <f>IFERROR(__xludf.DUMMYFUNCTION("""COMPUTED_VALUE"""),"TBS")</f>
        <v>TBS</v>
      </c>
      <c r="E6116" s="2" t="str">
        <f>IFERROR(__xludf.DUMMYFUNCTION("""COMPUTED_VALUE"""),"日21")</f>
        <v>日21</v>
      </c>
      <c r="F6116" s="2" t="s">
        <v>16254</v>
      </c>
      <c r="G6116" s="2" t="s">
        <v>16267</v>
      </c>
      <c r="H6116" s="1">
        <v>9.0</v>
      </c>
      <c r="J6116" s="1" t="s">
        <v>11</v>
      </c>
      <c r="K6116" s="2" t="s">
        <v>16270</v>
      </c>
      <c r="L6116" s="2"/>
      <c r="M6116" s="2" t="str">
        <f>IFERROR(__xludf.DUMMYFUNCTION("split(split(K6116,""【"",false),""公式LINE"",false)"),"最後の審判!!子供はボクが守る!!  律子（小雪）の出産に立ち会った法倫（稲垣吾郎）は、元気な男の子が生まれると、法倫は“明日”と書いてアキラと名づける。離婚騒動は収まったかに見えた。が、そこに刑事が現れ、スト—カ—の現行犯だとして法倫に手錠をかける。「法廷で白黒つけてやる」という言葉を残して連行されてしまった法倫。律子は「法廷で白黒をつけましょう」と言って去ってゆく。ついに二人の戦いは法廷へと突き進んでいく。稲垣 吾郎  小雪  小出 恵介  酒井 若菜 古田 新太　山本 耕史 　江波 杏子  西村 雅"&amp;"彦  藤田 まこと　銀粉蝶　小杉茂一郎、安西壱哉、石井毅、大関遼太、瀬戸涼雅  ゲスト  伊藤昌一、木村優介、沼崎悠、所里沙子、井上佳子、菊池隆則、遠藤たつお、高杉航大、小清水一揮、中島怜、高橋佑輔、そのまま  SMAP  （ビクタ—エンタテインメント）高橋正尚TBSテレビ     http://www.tbs.co.jp/sasaki-fusai/")</f>
        <v>最後の審判!!子供はボクが守る!!  律子（小雪）の出産に立ち会った法倫（稲垣吾郎）は、元気な男の子が生まれると、法倫は“明日”と書いてアキラと名づける。離婚騒動は収まったかに見えた。が、そこに刑事が現れ、スト—カ—の現行犯だとして法倫に手錠をかける。「法廷で白黒つけてやる」という言葉を残して連行されてしまった法倫。律子は「法廷で白黒をつけましょう」と言って去ってゆく。ついに二人の戦いは法廷へと突き進んでいく。稲垣 吾郎  小雪  小出 恵介  酒井 若菜 古田 新太　山本 耕史 　江波 杏子  西村 雅彦  藤田 まこと　銀粉蝶　小杉茂一郎、安西壱哉、石井毅、大関遼太、瀬戸涼雅  ゲスト  伊藤昌一、木村優介、沼崎悠、所里沙子、井上佳子、菊池隆則、遠藤たつお、高杉航大、小清水一揮、中島怜、高橋佑輔、そのまま  SMAP  （ビクタ—エンタテインメント）高橋正尚TBSテレビ     http://www.tbs.co.jp/sasaki-fusai/</v>
      </c>
      <c r="N6116" s="2"/>
      <c r="O6116" s="2"/>
      <c r="P6116" s="1"/>
      <c r="Q6116" s="1"/>
      <c r="R6116" s="1"/>
      <c r="S6116" s="1"/>
      <c r="T6116" s="1"/>
      <c r="U6116" s="1"/>
      <c r="V6116" s="1"/>
      <c r="W6116" s="1"/>
      <c r="X6116" s="1"/>
      <c r="Y6116" s="1"/>
      <c r="Z6116" s="1"/>
      <c r="AA6116" s="1"/>
      <c r="AB6116" s="1"/>
      <c r="AC6116" s="1"/>
      <c r="AD6116" s="1"/>
      <c r="AE6116" s="1"/>
      <c r="AF6116" s="1"/>
      <c r="AG6116" s="1"/>
      <c r="AH6116" s="1"/>
      <c r="AI6116" s="1"/>
      <c r="AJ6116" s="1"/>
      <c r="AK6116" s="1"/>
      <c r="AL6116" s="1"/>
      <c r="AM6116" s="1"/>
      <c r="AN6116" s="1"/>
      <c r="AO6116" s="1"/>
      <c r="AP6116" s="1"/>
      <c r="AQ6116" s="1"/>
      <c r="AR6116" s="1"/>
      <c r="AS6116" s="1"/>
      <c r="AT6116" s="1"/>
      <c r="AU6116" s="1"/>
      <c r="AV6116" s="1"/>
      <c r="AW6116" s="1"/>
      <c r="AX6116" s="1"/>
      <c r="AY6116" s="1"/>
      <c r="AZ6116" s="1"/>
      <c r="BA6116" s="1"/>
      <c r="BB6116" s="1"/>
    </row>
    <row r="6117" ht="204.75" customHeight="1">
      <c r="A6117" s="1">
        <v>6019.0</v>
      </c>
      <c r="B6117" s="2" t="s">
        <v>16253</v>
      </c>
      <c r="C6117" s="2">
        <f>IFERROR(__xludf.DUMMYFUNCTION("split(B6117,""_"")"),801.0)</f>
        <v>801</v>
      </c>
      <c r="D6117" s="2" t="str">
        <f>IFERROR(__xludf.DUMMYFUNCTION("""COMPUTED_VALUE"""),"TBS")</f>
        <v>TBS</v>
      </c>
      <c r="E6117" s="2" t="str">
        <f>IFERROR(__xludf.DUMMYFUNCTION("""COMPUTED_VALUE"""),"日21")</f>
        <v>日21</v>
      </c>
      <c r="F6117" s="2" t="s">
        <v>16254</v>
      </c>
      <c r="G6117" s="2" t="s">
        <v>16267</v>
      </c>
      <c r="H6117" s="1">
        <v>10.0</v>
      </c>
      <c r="J6117" s="1" t="s">
        <v>11</v>
      </c>
      <c r="K6117" s="2" t="s">
        <v>16271</v>
      </c>
      <c r="L6117" s="2"/>
      <c r="M6117" s="2" t="str">
        <f>IFERROR(__xludf.DUMMYFUNCTION("split(split(K6117,""【"",false),""公式LINE"",false)"),"涙の法廷!!夫婦の愛よ永遠に…いつしか「授乳弁護士」といわれ世間で話題となっていた律子だが、ある日の法廷で、「明日は父親が育てたほうがいい」と猪木が証言したことから、徐々に律子の形勢が危うくなってきていた。今まで律子がしてきた破天荒な行動について週刊誌が目をつけ、そのことを悪く書き立て始めたのだ。それら記事の影響でクライアントが離れ始め、窮地に立たされた律子…。仕事も育児も破綻寸前という記事を見て「こういう記事を証拠で出せば裁判官の心証を左右するでしょうね」との、ゆと子の言葉に、それを聞いていた法倫はなぜ"&amp;"だか複雑な表情を見せる…。稲垣 吾郎  小雪  小出 恵介  酒井 若菜 古田 新太　山本 耕史  桜井 幸子　江波 杏子  西村 雅彦  藤田 まこと そのまま  SMAP  （ビクタ—エンタテインメント）高橋正尚製作  TBS   制作  TBSテレビ")</f>
        <v>涙の法廷!!夫婦の愛よ永遠に…いつしか「授乳弁護士」といわれ世間で話題となっていた律子だが、ある日の法廷で、「明日は父親が育てたほうがいい」と猪木が証言したことから、徐々に律子の形勢が危うくなってきていた。今まで律子がしてきた破天荒な行動について週刊誌が目をつけ、そのことを悪く書き立て始めたのだ。それら記事の影響でクライアントが離れ始め、窮地に立たされた律子…。仕事も育児も破綻寸前という記事を見て「こういう記事を証拠で出せば裁判官の心証を左右するでしょうね」との、ゆと子の言葉に、それを聞いていた法倫はなぜだか複雑な表情を見せる…。稲垣 吾郎  小雪  小出 恵介  酒井 若菜 古田 新太　山本 耕史  桜井 幸子　江波 杏子  西村 雅彦  藤田 まこと そのまま  SMAP  （ビクタ—エンタテインメント）高橋正尚製作  TBS   制作  TBSテレビ</v>
      </c>
      <c r="N6117" s="2"/>
      <c r="O6117" s="2"/>
      <c r="P6117" s="1"/>
      <c r="Q6117" s="1"/>
      <c r="R6117" s="1"/>
      <c r="S6117" s="1"/>
      <c r="T6117" s="1"/>
      <c r="U6117" s="1"/>
      <c r="V6117" s="1"/>
      <c r="W6117" s="1"/>
      <c r="X6117" s="1"/>
      <c r="Y6117" s="1"/>
      <c r="Z6117" s="1"/>
      <c r="AA6117" s="1"/>
      <c r="AB6117" s="1"/>
      <c r="AC6117" s="1"/>
      <c r="AD6117" s="1"/>
      <c r="AE6117" s="1"/>
      <c r="AF6117" s="1"/>
      <c r="AG6117" s="1"/>
      <c r="AH6117" s="1"/>
      <c r="AI6117" s="1"/>
      <c r="AJ6117" s="1"/>
      <c r="AK6117" s="1"/>
      <c r="AL6117" s="1"/>
      <c r="AM6117" s="1"/>
      <c r="AN6117" s="1"/>
      <c r="AO6117" s="1"/>
      <c r="AP6117" s="1"/>
      <c r="AQ6117" s="1"/>
      <c r="AR6117" s="1"/>
      <c r="AS6117" s="1"/>
      <c r="AT6117" s="1"/>
      <c r="AU6117" s="1"/>
      <c r="AV6117" s="1"/>
      <c r="AW6117" s="1"/>
      <c r="AX6117" s="1"/>
      <c r="AY6117" s="1"/>
      <c r="AZ6117" s="1"/>
      <c r="BA6117" s="1"/>
      <c r="BB6117" s="1"/>
    </row>
    <row r="6118" ht="204.75" customHeight="1">
      <c r="A6118" s="1">
        <v>6079.0</v>
      </c>
      <c r="B6118" s="2" t="s">
        <v>16272</v>
      </c>
      <c r="C6118" s="2">
        <f>IFERROR(__xludf.DUMMYFUNCTION("split(B6118,""_"")"),710.0)</f>
        <v>710</v>
      </c>
      <c r="D6118" s="2" t="str">
        <f>IFERROR(__xludf.DUMMYFUNCTION("""COMPUTED_VALUE"""),"TBS")</f>
        <v>TBS</v>
      </c>
      <c r="E6118" s="2" t="str">
        <f>IFERROR(__xludf.DUMMYFUNCTION("""COMPUTED_VALUE"""),"木22")</f>
        <v>木22</v>
      </c>
      <c r="F6118" s="2" t="s">
        <v>16273</v>
      </c>
      <c r="G6118" s="2" t="s">
        <v>16274</v>
      </c>
      <c r="H6118" s="1">
        <v>1.0</v>
      </c>
      <c r="J6118" s="1" t="s">
        <v>82</v>
      </c>
      <c r="K6118" s="2" t="s">
        <v>16275</v>
      </c>
      <c r="L6118" s="2"/>
      <c r="M6118" s="2" t="str">
        <f>IFERROR(__xludf.DUMMYFUNCTION("split(split(K6118,""【"",false),""公式LINE"",false)"),"性格も年齢も違う女性刑事コンビが、対立しながらも友情をはぐくみ、事件を解決していく。脚本・秦建日子、演出・平野俊一ほか。　警察官の来実(仲間由紀恵)は、射撃の腕は一流だが、それ以外のことはすべて人並み以下。そんな来実が、日暮署の刑事課に着任。検挙率はナンバーワンだが、相棒を”つぶす”ことで有名なベテラン刑事・華子(泉ピン子)とコンビを組むことになる。")</f>
        <v>性格も年齢も違う女性刑事コンビが、対立しながらも友情をはぐくみ、事件を解決していく。脚本・秦建日子、演出・平野俊一ほか。　警察官の来実(仲間由紀恵)は、射撃の腕は一流だが、それ以外のことはすべて人並み以下。そんな来実が、日暮署の刑事課に着任。検挙率はナンバーワンだが、相棒を”つぶす”ことで有名なベテラン刑事・華子(泉ピン子)とコンビを組むことになる。</v>
      </c>
      <c r="N6118" s="2"/>
      <c r="O6118" s="2"/>
      <c r="P6118" s="1"/>
      <c r="Q6118" s="1"/>
      <c r="R6118" s="1"/>
      <c r="S6118" s="1"/>
      <c r="T6118" s="1"/>
      <c r="U6118" s="1"/>
      <c r="V6118" s="1"/>
      <c r="W6118" s="1"/>
      <c r="X6118" s="1"/>
      <c r="Y6118" s="1"/>
      <c r="Z6118" s="1"/>
      <c r="AA6118" s="1"/>
      <c r="AB6118" s="1"/>
      <c r="AC6118" s="1"/>
      <c r="AD6118" s="1"/>
      <c r="AE6118" s="1"/>
      <c r="AF6118" s="1"/>
      <c r="AG6118" s="1"/>
      <c r="AH6118" s="1"/>
      <c r="AI6118" s="1"/>
      <c r="AJ6118" s="1"/>
      <c r="AK6118" s="1"/>
      <c r="AL6118" s="1"/>
      <c r="AM6118" s="1"/>
      <c r="AN6118" s="1"/>
      <c r="AO6118" s="1"/>
      <c r="AP6118" s="1"/>
      <c r="AQ6118" s="1"/>
      <c r="AR6118" s="1"/>
      <c r="AS6118" s="1"/>
      <c r="AT6118" s="1"/>
      <c r="AU6118" s="1"/>
      <c r="AV6118" s="1"/>
      <c r="AW6118" s="1"/>
      <c r="AX6118" s="1"/>
      <c r="AY6118" s="1"/>
      <c r="AZ6118" s="1"/>
      <c r="BA6118" s="1"/>
      <c r="BB6118" s="1"/>
    </row>
    <row r="6119" ht="204.75" customHeight="1">
      <c r="A6119" s="1">
        <v>6080.0</v>
      </c>
      <c r="B6119" s="2" t="s">
        <v>16272</v>
      </c>
      <c r="C6119" s="2">
        <f>IFERROR(__xludf.DUMMYFUNCTION("split(B6119,""_"")"),710.0)</f>
        <v>710</v>
      </c>
      <c r="D6119" s="2" t="str">
        <f>IFERROR(__xludf.DUMMYFUNCTION("""COMPUTED_VALUE"""),"TBS")</f>
        <v>TBS</v>
      </c>
      <c r="E6119" s="2" t="str">
        <f>IFERROR(__xludf.DUMMYFUNCTION("""COMPUTED_VALUE"""),"木22")</f>
        <v>木22</v>
      </c>
      <c r="F6119" s="2" t="s">
        <v>16273</v>
      </c>
      <c r="G6119" s="2" t="s">
        <v>16276</v>
      </c>
      <c r="H6119" s="1">
        <v>2.0</v>
      </c>
      <c r="J6119" s="1" t="s">
        <v>86</v>
      </c>
      <c r="K6119" s="2" t="s">
        <v>16277</v>
      </c>
      <c r="L6119" s="2"/>
      <c r="M6119" s="2" t="str">
        <f>IFERROR(__xludf.DUMMYFUNCTION("split(split(K6119,""【"",false),""公式LINE"",false)"),"来実(仲間由紀恵)と華子(泉ピン子)が前の事件で助けた有希(入山法子)が殺害された。来実はショックを隠し切れない。そんな中、二人は、来実が街中で発砲したことを理由に連続殺人事件の捜査から外され、連続ひったくり事件を担当することに。そこへ華子の家に居候するパク(リュ・シウォン)が、ひったくり事件の被害者として現れた。パクは、父親の形見のカメラを取られたと話す。彼を自分の息子のようにかわいがる華子は、激怒する。")</f>
        <v>来実(仲間由紀恵)と華子(泉ピン子)が前の事件で助けた有希(入山法子)が殺害された。来実はショックを隠し切れない。そんな中、二人は、来実が街中で発砲したことを理由に連続殺人事件の捜査から外され、連続ひったくり事件を担当することに。そこへ華子の家に居候するパク(リュ・シウォン)が、ひったくり事件の被害者として現れた。パクは、父親の形見のカメラを取られたと話す。彼を自分の息子のようにかわいがる華子は、激怒する。</v>
      </c>
      <c r="N6119" s="2"/>
      <c r="O6119" s="2"/>
      <c r="P6119" s="1"/>
      <c r="Q6119" s="1"/>
      <c r="R6119" s="1"/>
      <c r="S6119" s="1"/>
      <c r="T6119" s="1"/>
      <c r="U6119" s="1"/>
      <c r="V6119" s="1"/>
      <c r="W6119" s="1"/>
      <c r="X6119" s="1"/>
      <c r="Y6119" s="1"/>
      <c r="Z6119" s="1"/>
      <c r="AA6119" s="1"/>
      <c r="AB6119" s="1"/>
      <c r="AC6119" s="1"/>
      <c r="AD6119" s="1"/>
      <c r="AE6119" s="1"/>
      <c r="AF6119" s="1"/>
      <c r="AG6119" s="1"/>
      <c r="AH6119" s="1"/>
      <c r="AI6119" s="1"/>
      <c r="AJ6119" s="1"/>
      <c r="AK6119" s="1"/>
      <c r="AL6119" s="1"/>
      <c r="AM6119" s="1"/>
      <c r="AN6119" s="1"/>
      <c r="AO6119" s="1"/>
      <c r="AP6119" s="1"/>
      <c r="AQ6119" s="1"/>
      <c r="AR6119" s="1"/>
      <c r="AS6119" s="1"/>
      <c r="AT6119" s="1"/>
      <c r="AU6119" s="1"/>
      <c r="AV6119" s="1"/>
      <c r="AW6119" s="1"/>
      <c r="AX6119" s="1"/>
      <c r="AY6119" s="1"/>
      <c r="AZ6119" s="1"/>
      <c r="BA6119" s="1"/>
      <c r="BB6119" s="1"/>
    </row>
    <row r="6120" ht="204.75" customHeight="1">
      <c r="A6120" s="1">
        <v>6081.0</v>
      </c>
      <c r="B6120" s="2" t="s">
        <v>16272</v>
      </c>
      <c r="C6120" s="2">
        <f>IFERROR(__xludf.DUMMYFUNCTION("split(B6120,""_"")"),710.0)</f>
        <v>710</v>
      </c>
      <c r="D6120" s="2" t="str">
        <f>IFERROR(__xludf.DUMMYFUNCTION("""COMPUTED_VALUE"""),"TBS")</f>
        <v>TBS</v>
      </c>
      <c r="E6120" s="2" t="str">
        <f>IFERROR(__xludf.DUMMYFUNCTION("""COMPUTED_VALUE"""),"木22")</f>
        <v>木22</v>
      </c>
      <c r="F6120" s="2" t="s">
        <v>16273</v>
      </c>
      <c r="G6120" s="2" t="s">
        <v>16278</v>
      </c>
      <c r="H6120" s="1">
        <v>3.0</v>
      </c>
      <c r="J6120" s="1" t="s">
        <v>86</v>
      </c>
      <c r="K6120" s="2" t="s">
        <v>16279</v>
      </c>
      <c r="L6120" s="2"/>
      <c r="M6120" s="2" t="str">
        <f>IFERROR(__xludf.DUMMYFUNCTION("split(split(K6120,""【"",false),""公式LINE"",false)"),"華子(泉ピン子)は、パク(リュ・シウォン)が偶然に撮った連続殺人事件の重要な証拠となる写真を柳田(田中哲司)との取引材料に使い、捜査本部に復帰する。一方、来実(仲間由紀恵)は吉井(大倉孝二)と組んで、車上荒らしの捜査をしていた。そんな折、来実は殺人事件があった現場付近の駐車場で、車上荒らしがあったことを知る。その被害届が出ていないことを不審に思った来実は、現場に駆け付ける。")</f>
        <v>華子(泉ピン子)は、パク(リュ・シウォン)が偶然に撮った連続殺人事件の重要な証拠となる写真を柳田(田中哲司)との取引材料に使い、捜査本部に復帰する。一方、来実(仲間由紀恵)は吉井(大倉孝二)と組んで、車上荒らしの捜査をしていた。そんな折、来実は殺人事件があった現場付近の駐車場で、車上荒らしがあったことを知る。その被害届が出ていないことを不審に思った来実は、現場に駆け付ける。</v>
      </c>
      <c r="N6120" s="2"/>
      <c r="O6120" s="2"/>
      <c r="P6120" s="1"/>
      <c r="Q6120" s="1"/>
      <c r="R6120" s="1"/>
      <c r="S6120" s="1"/>
      <c r="T6120" s="1"/>
      <c r="U6120" s="1"/>
      <c r="V6120" s="1"/>
      <c r="W6120" s="1"/>
      <c r="X6120" s="1"/>
      <c r="Y6120" s="1"/>
      <c r="Z6120" s="1"/>
      <c r="AA6120" s="1"/>
      <c r="AB6120" s="1"/>
      <c r="AC6120" s="1"/>
      <c r="AD6120" s="1"/>
      <c r="AE6120" s="1"/>
      <c r="AF6120" s="1"/>
      <c r="AG6120" s="1"/>
      <c r="AH6120" s="1"/>
      <c r="AI6120" s="1"/>
      <c r="AJ6120" s="1"/>
      <c r="AK6120" s="1"/>
      <c r="AL6120" s="1"/>
      <c r="AM6120" s="1"/>
      <c r="AN6120" s="1"/>
      <c r="AO6120" s="1"/>
      <c r="AP6120" s="1"/>
      <c r="AQ6120" s="1"/>
      <c r="AR6120" s="1"/>
      <c r="AS6120" s="1"/>
      <c r="AT6120" s="1"/>
      <c r="AU6120" s="1"/>
      <c r="AV6120" s="1"/>
      <c r="AW6120" s="1"/>
      <c r="AX6120" s="1"/>
      <c r="AY6120" s="1"/>
      <c r="AZ6120" s="1"/>
      <c r="BA6120" s="1"/>
      <c r="BB6120" s="1"/>
    </row>
    <row r="6121" ht="204.75" customHeight="1">
      <c r="A6121" s="1">
        <v>6082.0</v>
      </c>
      <c r="B6121" s="2" t="s">
        <v>16272</v>
      </c>
      <c r="C6121" s="2">
        <f>IFERROR(__xludf.DUMMYFUNCTION("split(B6121,""_"")"),710.0)</f>
        <v>710</v>
      </c>
      <c r="D6121" s="2" t="str">
        <f>IFERROR(__xludf.DUMMYFUNCTION("""COMPUTED_VALUE"""),"TBS")</f>
        <v>TBS</v>
      </c>
      <c r="E6121" s="2" t="str">
        <f>IFERROR(__xludf.DUMMYFUNCTION("""COMPUTED_VALUE"""),"木22")</f>
        <v>木22</v>
      </c>
      <c r="F6121" s="2" t="s">
        <v>16273</v>
      </c>
      <c r="G6121" s="2" t="s">
        <v>16280</v>
      </c>
      <c r="H6121" s="1">
        <v>4.0</v>
      </c>
      <c r="J6121" s="1" t="s">
        <v>86</v>
      </c>
      <c r="K6121" s="2" t="s">
        <v>16281</v>
      </c>
      <c r="L6121" s="2"/>
      <c r="M6121" s="2" t="str">
        <f>IFERROR(__xludf.DUMMYFUNCTION("split(split(K6121,""【"",false),""公式LINE"",false)"),"来実(仲間由紀恵)の失態で、連続殺人事件の手掛かりを持っていたと思われる人物が殺された。激怒する柳田(田中哲司)は来実に、辞表を書けと言い放つ。一方、柳田の信用を失った華子(泉ピン子)は、捜査本部から外されてしまう。そんな中、パク(リュ・シウォン)は落ち込む来実を遊園地に誘う。パクの優しい言葉に励まされた来実は、また一から出直そうと決心する。後日、来実と華子は、小学生向けの交通安全教室を任される。話を聞こうとしない児童たちを相手に奮闘する来実たちは、その中に連続殺人事件の最初の被害者の娘・美帆(鈴木理子)"&amp;"がいることを知る。")</f>
        <v>来実(仲間由紀恵)の失態で、連続殺人事件の手掛かりを持っていたと思われる人物が殺された。激怒する柳田(田中哲司)は来実に、辞表を書けと言い放つ。一方、柳田の信用を失った華子(泉ピン子)は、捜査本部から外されてしまう。そんな中、パク(リュ・シウォン)は落ち込む来実を遊園地に誘う。パクの優しい言葉に励まされた来実は、また一から出直そうと決心する。後日、来実と華子は、小学生向けの交通安全教室を任される。話を聞こうとしない児童たちを相手に奮闘する来実たちは、その中に連続殺人事件の最初の被害者の娘・美帆(鈴木理子)がいることを知る。</v>
      </c>
      <c r="N6121" s="2"/>
      <c r="O6121" s="2"/>
      <c r="P6121" s="1"/>
      <c r="Q6121" s="1"/>
      <c r="R6121" s="1"/>
      <c r="S6121" s="1"/>
      <c r="T6121" s="1"/>
      <c r="U6121" s="1"/>
      <c r="V6121" s="1"/>
      <c r="W6121" s="1"/>
      <c r="X6121" s="1"/>
      <c r="Y6121" s="1"/>
      <c r="Z6121" s="1"/>
      <c r="AA6121" s="1"/>
      <c r="AB6121" s="1"/>
      <c r="AC6121" s="1"/>
      <c r="AD6121" s="1"/>
      <c r="AE6121" s="1"/>
      <c r="AF6121" s="1"/>
      <c r="AG6121" s="1"/>
      <c r="AH6121" s="1"/>
      <c r="AI6121" s="1"/>
      <c r="AJ6121" s="1"/>
      <c r="AK6121" s="1"/>
      <c r="AL6121" s="1"/>
      <c r="AM6121" s="1"/>
      <c r="AN6121" s="1"/>
      <c r="AO6121" s="1"/>
      <c r="AP6121" s="1"/>
      <c r="AQ6121" s="1"/>
      <c r="AR6121" s="1"/>
      <c r="AS6121" s="1"/>
      <c r="AT6121" s="1"/>
      <c r="AU6121" s="1"/>
      <c r="AV6121" s="1"/>
      <c r="AW6121" s="1"/>
      <c r="AX6121" s="1"/>
      <c r="AY6121" s="1"/>
      <c r="AZ6121" s="1"/>
      <c r="BA6121" s="1"/>
      <c r="BB6121" s="1"/>
    </row>
    <row r="6122" ht="204.75" customHeight="1">
      <c r="A6122" s="1">
        <v>6083.0</v>
      </c>
      <c r="B6122" s="2" t="s">
        <v>16272</v>
      </c>
      <c r="C6122" s="2">
        <f>IFERROR(__xludf.DUMMYFUNCTION("split(B6122,""_"")"),710.0)</f>
        <v>710</v>
      </c>
      <c r="D6122" s="2" t="str">
        <f>IFERROR(__xludf.DUMMYFUNCTION("""COMPUTED_VALUE"""),"TBS")</f>
        <v>TBS</v>
      </c>
      <c r="E6122" s="2" t="str">
        <f>IFERROR(__xludf.DUMMYFUNCTION("""COMPUTED_VALUE"""),"木22")</f>
        <v>木22</v>
      </c>
      <c r="F6122" s="2" t="s">
        <v>16273</v>
      </c>
      <c r="G6122" s="2" t="s">
        <v>16282</v>
      </c>
      <c r="H6122" s="1">
        <v>5.0</v>
      </c>
      <c r="J6122" s="1" t="s">
        <v>86</v>
      </c>
      <c r="K6122" s="2" t="s">
        <v>16283</v>
      </c>
      <c r="L6122" s="2"/>
      <c r="M6122" s="2" t="str">
        <f>IFERROR(__xludf.DUMMYFUNCTION("split(split(K6122,""【"",false),""公式LINE"",false)"),"連続殺人事件の最初の被害者の娘・美帆(鈴木理子)が行方不明になった。同じころ、捜査本部には連続殺人犯からと思われる犯行予告が届く。美帆の捜索に応援が欲しい来実(仲間由紀恵)だが、連続殺人事件の解決を第一に考える柳田(田中哲司)から、人手は回せないと告げられる。そこで、来実は華子(泉ピン子)とともに百枝(片平なぎさ)を訪ね、警察学校の生徒たちに協力してもらえないかと相談する。")</f>
        <v>連続殺人事件の最初の被害者の娘・美帆(鈴木理子)が行方不明になった。同じころ、捜査本部には連続殺人犯からと思われる犯行予告が届く。美帆の捜索に応援が欲しい来実(仲間由紀恵)だが、連続殺人事件の解決を第一に考える柳田(田中哲司)から、人手は回せないと告げられる。そこで、来実は華子(泉ピン子)とともに百枝(片平なぎさ)を訪ね、警察学校の生徒たちに協力してもらえないかと相談する。</v>
      </c>
      <c r="N6122" s="2"/>
      <c r="O6122" s="2"/>
      <c r="P6122" s="1"/>
      <c r="Q6122" s="1"/>
      <c r="R6122" s="1"/>
      <c r="S6122" s="1"/>
      <c r="T6122" s="1"/>
      <c r="U6122" s="1"/>
      <c r="V6122" s="1"/>
      <c r="W6122" s="1"/>
      <c r="X6122" s="1"/>
      <c r="Y6122" s="1"/>
      <c r="Z6122" s="1"/>
      <c r="AA6122" s="1"/>
      <c r="AB6122" s="1"/>
      <c r="AC6122" s="1"/>
      <c r="AD6122" s="1"/>
      <c r="AE6122" s="1"/>
      <c r="AF6122" s="1"/>
      <c r="AG6122" s="1"/>
      <c r="AH6122" s="1"/>
      <c r="AI6122" s="1"/>
      <c r="AJ6122" s="1"/>
      <c r="AK6122" s="1"/>
      <c r="AL6122" s="1"/>
      <c r="AM6122" s="1"/>
      <c r="AN6122" s="1"/>
      <c r="AO6122" s="1"/>
      <c r="AP6122" s="1"/>
      <c r="AQ6122" s="1"/>
      <c r="AR6122" s="1"/>
      <c r="AS6122" s="1"/>
      <c r="AT6122" s="1"/>
      <c r="AU6122" s="1"/>
      <c r="AV6122" s="1"/>
      <c r="AW6122" s="1"/>
      <c r="AX6122" s="1"/>
      <c r="AY6122" s="1"/>
      <c r="AZ6122" s="1"/>
      <c r="BA6122" s="1"/>
      <c r="BB6122" s="1"/>
    </row>
    <row r="6123" ht="204.75" customHeight="1">
      <c r="A6123" s="1">
        <v>6084.0</v>
      </c>
      <c r="B6123" s="2" t="s">
        <v>16272</v>
      </c>
      <c r="C6123" s="2">
        <f>IFERROR(__xludf.DUMMYFUNCTION("split(B6123,""_"")"),710.0)</f>
        <v>710</v>
      </c>
      <c r="D6123" s="2" t="str">
        <f>IFERROR(__xludf.DUMMYFUNCTION("""COMPUTED_VALUE"""),"TBS")</f>
        <v>TBS</v>
      </c>
      <c r="E6123" s="2" t="str">
        <f>IFERROR(__xludf.DUMMYFUNCTION("""COMPUTED_VALUE"""),"木22")</f>
        <v>木22</v>
      </c>
      <c r="F6123" s="2" t="s">
        <v>16273</v>
      </c>
      <c r="G6123" s="2" t="s">
        <v>16284</v>
      </c>
      <c r="H6123" s="1">
        <v>6.0</v>
      </c>
      <c r="J6123" s="1" t="s">
        <v>86</v>
      </c>
      <c r="K6123" s="2" t="s">
        <v>16285</v>
      </c>
      <c r="L6123" s="2"/>
      <c r="M6123" s="2" t="str">
        <f>IFERROR(__xludf.DUMMYFUNCTION("split(split(K6123,""【"",false),""公式LINE"",false)"),"パク(リュ・シウォン)は、連続殺人事件の被害者の父・時田(名高達男)の屋敷へ。写真を使って時田と取引をしようとしたパクだが、二人はもみ合いになる。そこへ、パクを連続殺人事件の容疑者だとにらむ木崎(大浦龍宇一)らが現れ、彼は逮捕されてしまう。手錠を掛けられたパクを見た来実(仲間由紀恵)は、何が起こったのか理解できない。一方、世間ではいたずらと思われる連続殺人の予告状が出回っていた。そんな中、吉井(大倉孝二)の妻・明子(麻生祐未)にも予告状が届く。")</f>
        <v>パク(リュ・シウォン)は、連続殺人事件の被害者の父・時田(名高達男)の屋敷へ。写真を使って時田と取引をしようとしたパクだが、二人はもみ合いになる。そこへ、パクを連続殺人事件の容疑者だとにらむ木崎(大浦龍宇一)らが現れ、彼は逮捕されてしまう。手錠を掛けられたパクを見た来実(仲間由紀恵)は、何が起こったのか理解できない。一方、世間ではいたずらと思われる連続殺人の予告状が出回っていた。そんな中、吉井(大倉孝二)の妻・明子(麻生祐未)にも予告状が届く。</v>
      </c>
      <c r="N6123" s="2"/>
      <c r="O6123" s="2"/>
      <c r="P6123" s="1"/>
      <c r="Q6123" s="1"/>
      <c r="R6123" s="1"/>
      <c r="S6123" s="1"/>
      <c r="T6123" s="1"/>
      <c r="U6123" s="1"/>
      <c r="V6123" s="1"/>
      <c r="W6123" s="1"/>
      <c r="X6123" s="1"/>
      <c r="Y6123" s="1"/>
      <c r="Z6123" s="1"/>
      <c r="AA6123" s="1"/>
      <c r="AB6123" s="1"/>
      <c r="AC6123" s="1"/>
      <c r="AD6123" s="1"/>
      <c r="AE6123" s="1"/>
      <c r="AF6123" s="1"/>
      <c r="AG6123" s="1"/>
      <c r="AH6123" s="1"/>
      <c r="AI6123" s="1"/>
      <c r="AJ6123" s="1"/>
      <c r="AK6123" s="1"/>
      <c r="AL6123" s="1"/>
      <c r="AM6123" s="1"/>
      <c r="AN6123" s="1"/>
      <c r="AO6123" s="1"/>
      <c r="AP6123" s="1"/>
      <c r="AQ6123" s="1"/>
      <c r="AR6123" s="1"/>
      <c r="AS6123" s="1"/>
      <c r="AT6123" s="1"/>
      <c r="AU6123" s="1"/>
      <c r="AV6123" s="1"/>
      <c r="AW6123" s="1"/>
      <c r="AX6123" s="1"/>
      <c r="AY6123" s="1"/>
      <c r="AZ6123" s="1"/>
      <c r="BA6123" s="1"/>
      <c r="BB6123" s="1"/>
    </row>
    <row r="6124" ht="204.75" customHeight="1">
      <c r="A6124" s="1">
        <v>6085.0</v>
      </c>
      <c r="B6124" s="2" t="s">
        <v>16272</v>
      </c>
      <c r="C6124" s="2">
        <f>IFERROR(__xludf.DUMMYFUNCTION("split(B6124,""_"")"),710.0)</f>
        <v>710</v>
      </c>
      <c r="D6124" s="2" t="str">
        <f>IFERROR(__xludf.DUMMYFUNCTION("""COMPUTED_VALUE"""),"TBS")</f>
        <v>TBS</v>
      </c>
      <c r="E6124" s="2" t="str">
        <f>IFERROR(__xludf.DUMMYFUNCTION("""COMPUTED_VALUE"""),"木22")</f>
        <v>木22</v>
      </c>
      <c r="F6124" s="2" t="s">
        <v>16273</v>
      </c>
      <c r="G6124" s="2" t="s">
        <v>16286</v>
      </c>
      <c r="H6124" s="1">
        <v>7.0</v>
      </c>
      <c r="J6124" s="1" t="s">
        <v>86</v>
      </c>
      <c r="K6124" s="2" t="s">
        <v>16287</v>
      </c>
      <c r="L6124" s="2"/>
      <c r="M6124" s="2" t="str">
        <f>IFERROR(__xludf.DUMMYFUNCTION("split(split(K6124,""【"",false),""公式LINE"",false)"),"日暮署の刑事たちは、連続殺人事件を再検証し、警察内部に犯人がいる可能性が高いことに気付く。それが信じられない来実(仲間由紀恵)は、捜査本部から外された柳田(田中哲司)を訪ね、一緒に捜査をしてほしいと頼む。捜査本部に内緒で動き始めた二人は、新たな手掛かりをつかむ。一方、華子(泉ピン子)は時田(名高達男)の周辺を調べていた。時田は、パク(リュ・シウォン)の父親を自殺に追い込んだ人物だった。")</f>
        <v>日暮署の刑事たちは、連続殺人事件を再検証し、警察内部に犯人がいる可能性が高いことに気付く。それが信じられない来実(仲間由紀恵)は、捜査本部から外された柳田(田中哲司)を訪ね、一緒に捜査をしてほしいと頼む。捜査本部に内緒で動き始めた二人は、新たな手掛かりをつかむ。一方、華子(泉ピン子)は時田(名高達男)の周辺を調べていた。時田は、パク(リュ・シウォン)の父親を自殺に追い込んだ人物だった。</v>
      </c>
      <c r="N6124" s="2"/>
      <c r="O6124" s="2"/>
      <c r="P6124" s="1"/>
      <c r="Q6124" s="1"/>
      <c r="R6124" s="1"/>
      <c r="S6124" s="1"/>
      <c r="T6124" s="1"/>
      <c r="U6124" s="1"/>
      <c r="V6124" s="1"/>
      <c r="W6124" s="1"/>
      <c r="X6124" s="1"/>
      <c r="Y6124" s="1"/>
      <c r="Z6124" s="1"/>
      <c r="AA6124" s="1"/>
      <c r="AB6124" s="1"/>
      <c r="AC6124" s="1"/>
      <c r="AD6124" s="1"/>
      <c r="AE6124" s="1"/>
      <c r="AF6124" s="1"/>
      <c r="AG6124" s="1"/>
      <c r="AH6124" s="1"/>
      <c r="AI6124" s="1"/>
      <c r="AJ6124" s="1"/>
      <c r="AK6124" s="1"/>
      <c r="AL6124" s="1"/>
      <c r="AM6124" s="1"/>
      <c r="AN6124" s="1"/>
      <c r="AO6124" s="1"/>
      <c r="AP6124" s="1"/>
      <c r="AQ6124" s="1"/>
      <c r="AR6124" s="1"/>
      <c r="AS6124" s="1"/>
      <c r="AT6124" s="1"/>
      <c r="AU6124" s="1"/>
      <c r="AV6124" s="1"/>
      <c r="AW6124" s="1"/>
      <c r="AX6124" s="1"/>
      <c r="AY6124" s="1"/>
      <c r="AZ6124" s="1"/>
      <c r="BA6124" s="1"/>
      <c r="BB6124" s="1"/>
    </row>
    <row r="6125" ht="204.75" customHeight="1">
      <c r="A6125" s="1">
        <v>6086.0</v>
      </c>
      <c r="B6125" s="2" t="s">
        <v>16272</v>
      </c>
      <c r="C6125" s="2">
        <f>IFERROR(__xludf.DUMMYFUNCTION("split(B6125,""_"")"),710.0)</f>
        <v>710</v>
      </c>
      <c r="D6125" s="2" t="str">
        <f>IFERROR(__xludf.DUMMYFUNCTION("""COMPUTED_VALUE"""),"TBS")</f>
        <v>TBS</v>
      </c>
      <c r="E6125" s="2" t="str">
        <f>IFERROR(__xludf.DUMMYFUNCTION("""COMPUTED_VALUE"""),"木22")</f>
        <v>木22</v>
      </c>
      <c r="F6125" s="2" t="s">
        <v>16273</v>
      </c>
      <c r="G6125" s="2" t="s">
        <v>16288</v>
      </c>
      <c r="H6125" s="1">
        <v>8.0</v>
      </c>
      <c r="J6125" s="1" t="s">
        <v>86</v>
      </c>
      <c r="K6125" s="2" t="s">
        <v>16289</v>
      </c>
      <c r="L6125" s="2"/>
      <c r="M6125" s="2" t="str">
        <f>IFERROR(__xludf.DUMMYFUNCTION("split(split(K6125,""【"",false),""公式LINE"",false)"),"連続殺人事件の犯人を名乗り、鎌谷(宮川一朗太)という男が自首してきた。鎌谷は来実(仲間由紀恵)たちの取り調べに対し、二人目の被害者の殺害は認めたが、ほかの事件については犯行を否認。遺体の手のひらに書かれた数字にも覚えがないと主張する。その後、あらためて取り調べを行うと「山木早代」という女性が事件にかかわっている可能性が出てきた。日暮署の刑事たちは、その女性の身元を探ろうとする。")</f>
        <v>連続殺人事件の犯人を名乗り、鎌谷(宮川一朗太)という男が自首してきた。鎌谷は来実(仲間由紀恵)たちの取り調べに対し、二人目の被害者の殺害は認めたが、ほかの事件については犯行を否認。遺体の手のひらに書かれた数字にも覚えがないと主張する。その後、あらためて取り調べを行うと「山木早代」という女性が事件にかかわっている可能性が出てきた。日暮署の刑事たちは、その女性の身元を探ろうとする。</v>
      </c>
      <c r="N6125" s="2"/>
      <c r="O6125" s="2"/>
      <c r="P6125" s="1"/>
      <c r="Q6125" s="1"/>
      <c r="R6125" s="1"/>
      <c r="S6125" s="1"/>
      <c r="T6125" s="1"/>
      <c r="U6125" s="1"/>
      <c r="V6125" s="1"/>
      <c r="W6125" s="1"/>
      <c r="X6125" s="1"/>
      <c r="Y6125" s="1"/>
      <c r="Z6125" s="1"/>
      <c r="AA6125" s="1"/>
      <c r="AB6125" s="1"/>
      <c r="AC6125" s="1"/>
      <c r="AD6125" s="1"/>
      <c r="AE6125" s="1"/>
      <c r="AF6125" s="1"/>
      <c r="AG6125" s="1"/>
      <c r="AH6125" s="1"/>
      <c r="AI6125" s="1"/>
      <c r="AJ6125" s="1"/>
      <c r="AK6125" s="1"/>
      <c r="AL6125" s="1"/>
      <c r="AM6125" s="1"/>
      <c r="AN6125" s="1"/>
      <c r="AO6125" s="1"/>
      <c r="AP6125" s="1"/>
      <c r="AQ6125" s="1"/>
      <c r="AR6125" s="1"/>
      <c r="AS6125" s="1"/>
      <c r="AT6125" s="1"/>
      <c r="AU6125" s="1"/>
      <c r="AV6125" s="1"/>
      <c r="AW6125" s="1"/>
      <c r="AX6125" s="1"/>
      <c r="AY6125" s="1"/>
      <c r="AZ6125" s="1"/>
      <c r="BA6125" s="1"/>
      <c r="BB6125" s="1"/>
    </row>
    <row r="6126" ht="204.75" customHeight="1">
      <c r="A6126" s="1">
        <v>6087.0</v>
      </c>
      <c r="B6126" s="2" t="s">
        <v>16272</v>
      </c>
      <c r="C6126" s="2">
        <f>IFERROR(__xludf.DUMMYFUNCTION("split(B6126,""_"")"),710.0)</f>
        <v>710</v>
      </c>
      <c r="D6126" s="2" t="str">
        <f>IFERROR(__xludf.DUMMYFUNCTION("""COMPUTED_VALUE"""),"TBS")</f>
        <v>TBS</v>
      </c>
      <c r="E6126" s="2" t="str">
        <f>IFERROR(__xludf.DUMMYFUNCTION("""COMPUTED_VALUE"""),"木22")</f>
        <v>木22</v>
      </c>
      <c r="F6126" s="2" t="s">
        <v>16273</v>
      </c>
      <c r="G6126" s="2" t="s">
        <v>16290</v>
      </c>
      <c r="H6126" s="1">
        <v>9.0</v>
      </c>
      <c r="J6126" s="1" t="s">
        <v>86</v>
      </c>
      <c r="K6126" s="2" t="s">
        <v>16291</v>
      </c>
      <c r="L6126" s="2"/>
      <c r="M6126" s="2" t="str">
        <f>IFERROR(__xludf.DUMMYFUNCTION("split(split(K6126,""【"",false),""公式LINE"",false)"),"鎌谷(宮川一朗太)が、日暮署の中で謎の女性「山木早代」を見たと話し、刑事たちは署内を捜索する。鎌谷を連れて署内を歩いていた来実(仲間由紀恵)は、撃鉄を起こすかすかな音を耳にする。とっさに鎌谷をかばった来実は、銃弾を受けて倒れる。病院に運ばれた来実は、しばらくして意識を取り戻す。来実は自分を撃った拳銃が、警察官が使用するものと同じで、犯人が警察内部にいる可能性が高いことを知る。")</f>
        <v>鎌谷(宮川一朗太)が、日暮署の中で謎の女性「山木早代」を見たと話し、刑事たちは署内を捜索する。鎌谷を連れて署内を歩いていた来実(仲間由紀恵)は、撃鉄を起こすかすかな音を耳にする。とっさに鎌谷をかばった来実は、銃弾を受けて倒れる。病院に運ばれた来実は、しばらくして意識を取り戻す。来実は自分を撃った拳銃が、警察官が使用するものと同じで、犯人が警察内部にいる可能性が高いことを知る。</v>
      </c>
      <c r="N6126" s="2"/>
      <c r="O6126" s="2"/>
      <c r="P6126" s="1"/>
      <c r="Q6126" s="1"/>
      <c r="R6126" s="1"/>
      <c r="S6126" s="1"/>
      <c r="T6126" s="1"/>
      <c r="U6126" s="1"/>
      <c r="V6126" s="1"/>
      <c r="W6126" s="1"/>
      <c r="X6126" s="1"/>
      <c r="Y6126" s="1"/>
      <c r="Z6126" s="1"/>
      <c r="AA6126" s="1"/>
      <c r="AB6126" s="1"/>
      <c r="AC6126" s="1"/>
      <c r="AD6126" s="1"/>
      <c r="AE6126" s="1"/>
      <c r="AF6126" s="1"/>
      <c r="AG6126" s="1"/>
      <c r="AH6126" s="1"/>
      <c r="AI6126" s="1"/>
      <c r="AJ6126" s="1"/>
      <c r="AK6126" s="1"/>
      <c r="AL6126" s="1"/>
      <c r="AM6126" s="1"/>
      <c r="AN6126" s="1"/>
      <c r="AO6126" s="1"/>
      <c r="AP6126" s="1"/>
      <c r="AQ6126" s="1"/>
      <c r="AR6126" s="1"/>
      <c r="AS6126" s="1"/>
      <c r="AT6126" s="1"/>
      <c r="AU6126" s="1"/>
      <c r="AV6126" s="1"/>
      <c r="AW6126" s="1"/>
      <c r="AX6126" s="1"/>
      <c r="AY6126" s="1"/>
      <c r="AZ6126" s="1"/>
      <c r="BA6126" s="1"/>
      <c r="BB6126" s="1"/>
    </row>
    <row r="6127" ht="204.75" customHeight="1">
      <c r="A6127" s="1">
        <v>6088.0</v>
      </c>
      <c r="B6127" s="2" t="s">
        <v>16272</v>
      </c>
      <c r="C6127" s="2">
        <f>IFERROR(__xludf.DUMMYFUNCTION("split(B6127,""_"")"),710.0)</f>
        <v>710</v>
      </c>
      <c r="D6127" s="2" t="str">
        <f>IFERROR(__xludf.DUMMYFUNCTION("""COMPUTED_VALUE"""),"TBS")</f>
        <v>TBS</v>
      </c>
      <c r="E6127" s="2" t="str">
        <f>IFERROR(__xludf.DUMMYFUNCTION("""COMPUTED_VALUE"""),"木22")</f>
        <v>木22</v>
      </c>
      <c r="F6127" s="2" t="s">
        <v>16273</v>
      </c>
      <c r="G6127" s="2" t="s">
        <v>16292</v>
      </c>
      <c r="H6127" s="1">
        <v>10.0</v>
      </c>
      <c r="J6127" s="1" t="s">
        <v>86</v>
      </c>
      <c r="K6127" s="2" t="s">
        <v>16293</v>
      </c>
      <c r="L6127" s="2"/>
      <c r="M6127" s="2" t="str">
        <f>IFERROR(__xludf.DUMMYFUNCTION("split(split(K6127,""【"",false),""公式LINE"",false)"),"連続殺人事件の捜査線上に、百枝(片平なぎさ)が浮かんだ。来実(仲間由紀恵)は、パク(リュ・シウォン)を人質に取った百枝から、指定した場所に一人で来るよう命じられる。自分のせいで捜査情報が漏れたことに責任を痛感した来実は、止める華子(泉ピン子)を振り切り、指定された場所に向かう。そこでは、百枝が、けがをしたパクに銃口を向けていた。")</f>
        <v>連続殺人事件の捜査線上に、百枝(片平なぎさ)が浮かんだ。来実(仲間由紀恵)は、パク(リュ・シウォン)を人質に取った百枝から、指定した場所に一人で来るよう命じられる。自分のせいで捜査情報が漏れたことに責任を痛感した来実は、止める華子(泉ピン子)を振り切り、指定された場所に向かう。そこでは、百枝が、けがをしたパクに銃口を向けていた。</v>
      </c>
      <c r="N6127" s="2"/>
      <c r="O6127" s="2"/>
      <c r="P6127" s="1"/>
      <c r="Q6127" s="1"/>
      <c r="R6127" s="1"/>
      <c r="S6127" s="1"/>
      <c r="T6127" s="1"/>
      <c r="U6127" s="1"/>
      <c r="V6127" s="1"/>
      <c r="W6127" s="1"/>
      <c r="X6127" s="1"/>
      <c r="Y6127" s="1"/>
      <c r="Z6127" s="1"/>
      <c r="AA6127" s="1"/>
      <c r="AB6127" s="1"/>
      <c r="AC6127" s="1"/>
      <c r="AD6127" s="1"/>
      <c r="AE6127" s="1"/>
      <c r="AF6127" s="1"/>
      <c r="AG6127" s="1"/>
      <c r="AH6127" s="1"/>
      <c r="AI6127" s="1"/>
      <c r="AJ6127" s="1"/>
      <c r="AK6127" s="1"/>
      <c r="AL6127" s="1"/>
      <c r="AM6127" s="1"/>
      <c r="AN6127" s="1"/>
      <c r="AO6127" s="1"/>
      <c r="AP6127" s="1"/>
      <c r="AQ6127" s="1"/>
      <c r="AR6127" s="1"/>
      <c r="AS6127" s="1"/>
      <c r="AT6127" s="1"/>
      <c r="AU6127" s="1"/>
      <c r="AV6127" s="1"/>
      <c r="AW6127" s="1"/>
      <c r="AX6127" s="1"/>
      <c r="AY6127" s="1"/>
      <c r="AZ6127" s="1"/>
      <c r="BA6127" s="1"/>
      <c r="BB6127" s="1"/>
    </row>
    <row r="6128" ht="204.75" customHeight="1">
      <c r="A6128" s="1">
        <v>6108.0</v>
      </c>
      <c r="B6128" s="2" t="s">
        <v>16294</v>
      </c>
      <c r="C6128" s="2">
        <f>IFERROR(__xludf.DUMMYFUNCTION("split(B6128,""_"")"),710.0)</f>
        <v>710</v>
      </c>
      <c r="D6128" s="2" t="str">
        <f>IFERROR(__xludf.DUMMYFUNCTION("""COMPUTED_VALUE"""),"TBS")</f>
        <v>TBS</v>
      </c>
      <c r="E6128" s="2" t="str">
        <f>IFERROR(__xludf.DUMMYFUNCTION("""COMPUTED_VALUE"""),"金22")</f>
        <v>金22</v>
      </c>
      <c r="F6128" s="2" t="s">
        <v>16295</v>
      </c>
      <c r="G6128" s="2" t="s">
        <v>16296</v>
      </c>
      <c r="H6128" s="1">
        <v>1.0</v>
      </c>
      <c r="J6128" s="1" t="s">
        <v>82</v>
      </c>
      <c r="K6128" s="2" t="s">
        <v>16297</v>
      </c>
      <c r="L6128" s="2"/>
      <c r="M6128" s="2" t="str">
        <f>IFERROR(__xludf.DUMMYFUNCTION("split(split(K6128,""【"",false),""公式LINE"",false)"),"昭和三十年代の高知県を舞台に、戦争で記憶を失った男性と彼を愛する女性の純愛を描く。劇団・東京セレソンデラックスの同名舞台劇をドラマ化。脚本・サタケミキオ、演出・坪井敏雄ほか。　二〇〇七年、旭(長瀬智也)は母親で歌手のさくら(ジュディ・オング)の言いつけで、高知県土佐清水市にやって来た。閉館が決まった映画館で最後に上映される映画「歌姫」を見てこいという。　昭和三十年代、映画館「オリオン座」の映写技師・太郎(長瀬＝二役)は、オリオン座の主人・勝男(高田純次)一家の世話になって暮らしていた。太郎は十年前、記憶を"&amp;"失って海岸に倒れていたところを勝男に助けられたのだ。ある日、町を仕切る山之内一家の横暴に腹を立てた太郎は、彼らに逆らってしまう。")</f>
        <v>昭和三十年代の高知県を舞台に、戦争で記憶を失った男性と彼を愛する女性の純愛を描く。劇団・東京セレソンデラックスの同名舞台劇をドラマ化。脚本・サタケミキオ、演出・坪井敏雄ほか。　二〇〇七年、旭(長瀬智也)は母親で歌手のさくら(ジュディ・オング)の言いつけで、高知県土佐清水市にやって来た。閉館が決まった映画館で最後に上映される映画「歌姫」を見てこいという。　昭和三十年代、映画館「オリオン座」の映写技師・太郎(長瀬＝二役)は、オリオン座の主人・勝男(高田純次)一家の世話になって暮らしていた。太郎は十年前、記憶を失って海岸に倒れていたところを勝男に助けられたのだ。ある日、町を仕切る山之内一家の横暴に腹を立てた太郎は、彼らに逆らってしまう。</v>
      </c>
      <c r="N6128" s="2"/>
      <c r="O6128" s="2"/>
      <c r="P6128" s="1"/>
      <c r="Q6128" s="1"/>
      <c r="R6128" s="1"/>
      <c r="S6128" s="1"/>
      <c r="T6128" s="1"/>
      <c r="U6128" s="1"/>
      <c r="V6128" s="1"/>
      <c r="W6128" s="1"/>
      <c r="X6128" s="1"/>
      <c r="Y6128" s="1"/>
      <c r="Z6128" s="1"/>
      <c r="AA6128" s="1"/>
      <c r="AB6128" s="1"/>
      <c r="AC6128" s="1"/>
      <c r="AD6128" s="1"/>
      <c r="AE6128" s="1"/>
      <c r="AF6128" s="1"/>
      <c r="AG6128" s="1"/>
      <c r="AH6128" s="1"/>
      <c r="AI6128" s="1"/>
      <c r="AJ6128" s="1"/>
      <c r="AK6128" s="1"/>
      <c r="AL6128" s="1"/>
      <c r="AM6128" s="1"/>
      <c r="AN6128" s="1"/>
      <c r="AO6128" s="1"/>
      <c r="AP6128" s="1"/>
      <c r="AQ6128" s="1"/>
      <c r="AR6128" s="1"/>
      <c r="AS6128" s="1"/>
      <c r="AT6128" s="1"/>
      <c r="AU6128" s="1"/>
      <c r="AV6128" s="1"/>
      <c r="AW6128" s="1"/>
      <c r="AX6128" s="1"/>
      <c r="AY6128" s="1"/>
      <c r="AZ6128" s="1"/>
      <c r="BA6128" s="1"/>
      <c r="BB6128" s="1"/>
    </row>
    <row r="6129" ht="204.75" customHeight="1">
      <c r="A6129" s="1">
        <v>6109.0</v>
      </c>
      <c r="B6129" s="2" t="s">
        <v>16294</v>
      </c>
      <c r="C6129" s="2">
        <f>IFERROR(__xludf.DUMMYFUNCTION("split(B6129,""_"")"),710.0)</f>
        <v>710</v>
      </c>
      <c r="D6129" s="2" t="str">
        <f>IFERROR(__xludf.DUMMYFUNCTION("""COMPUTED_VALUE"""),"TBS")</f>
        <v>TBS</v>
      </c>
      <c r="E6129" s="2" t="str">
        <f>IFERROR(__xludf.DUMMYFUNCTION("""COMPUTED_VALUE"""),"金22")</f>
        <v>金22</v>
      </c>
      <c r="F6129" s="2" t="s">
        <v>16295</v>
      </c>
      <c r="G6129" s="2" t="s">
        <v>16298</v>
      </c>
      <c r="H6129" s="1">
        <v>2.0</v>
      </c>
      <c r="J6129" s="1" t="s">
        <v>86</v>
      </c>
      <c r="K6129" s="2" t="s">
        <v>16299</v>
      </c>
      <c r="L6129" s="2"/>
      <c r="M6129" s="2" t="str">
        <f>IFERROR(__xludf.DUMMYFUNCTION("split(split(K6129,""【"",false),""公式LINE"",false)"),"鈴(相武紗季)は、太郎(長瀬智也)に優勝賞品のオート三輪をプレゼントしようと、のど自慢大会に出場する。しかし、クロワッサンの松(佐藤隆太)が送り込んだ芥川(秋山竜次)らの妨害によって緊張してしまい、満足に歌えなかった。その汚い手口に怒った太郎は、大会に飛び入り参加し、芥川と歌で勝負をすることに。だが、芥川の歌を聞いた太郎は、彼の美声に驚いてしまう。")</f>
        <v>鈴(相武紗季)は、太郎(長瀬智也)に優勝賞品のオート三輪をプレゼントしようと、のど自慢大会に出場する。しかし、クロワッサンの松(佐藤隆太)が送り込んだ芥川(秋山竜次)らの妨害によって緊張してしまい、満足に歌えなかった。その汚い手口に怒った太郎は、大会に飛び入り参加し、芥川と歌で勝負をすることに。だが、芥川の歌を聞いた太郎は、彼の美声に驚いてしまう。</v>
      </c>
      <c r="N6129" s="2"/>
      <c r="O6129" s="2"/>
      <c r="P6129" s="1"/>
      <c r="Q6129" s="1"/>
      <c r="R6129" s="1"/>
      <c r="S6129" s="1"/>
      <c r="T6129" s="1"/>
      <c r="U6129" s="1"/>
      <c r="V6129" s="1"/>
      <c r="W6129" s="1"/>
      <c r="X6129" s="1"/>
      <c r="Y6129" s="1"/>
      <c r="Z6129" s="1"/>
      <c r="AA6129" s="1"/>
      <c r="AB6129" s="1"/>
      <c r="AC6129" s="1"/>
      <c r="AD6129" s="1"/>
      <c r="AE6129" s="1"/>
      <c r="AF6129" s="1"/>
      <c r="AG6129" s="1"/>
      <c r="AH6129" s="1"/>
      <c r="AI6129" s="1"/>
      <c r="AJ6129" s="1"/>
      <c r="AK6129" s="1"/>
      <c r="AL6129" s="1"/>
      <c r="AM6129" s="1"/>
      <c r="AN6129" s="1"/>
      <c r="AO6129" s="1"/>
      <c r="AP6129" s="1"/>
      <c r="AQ6129" s="1"/>
      <c r="AR6129" s="1"/>
      <c r="AS6129" s="1"/>
      <c r="AT6129" s="1"/>
      <c r="AU6129" s="1"/>
      <c r="AV6129" s="1"/>
      <c r="AW6129" s="1"/>
      <c r="AX6129" s="1"/>
      <c r="AY6129" s="1"/>
      <c r="AZ6129" s="1"/>
      <c r="BA6129" s="1"/>
      <c r="BB6129" s="1"/>
    </row>
    <row r="6130" ht="204.75" customHeight="1">
      <c r="A6130" s="1">
        <v>6110.0</v>
      </c>
      <c r="B6130" s="2" t="s">
        <v>16294</v>
      </c>
      <c r="C6130" s="2">
        <f>IFERROR(__xludf.DUMMYFUNCTION("split(B6130,""_"")"),710.0)</f>
        <v>710</v>
      </c>
      <c r="D6130" s="2" t="str">
        <f>IFERROR(__xludf.DUMMYFUNCTION("""COMPUTED_VALUE"""),"TBS")</f>
        <v>TBS</v>
      </c>
      <c r="E6130" s="2" t="str">
        <f>IFERROR(__xludf.DUMMYFUNCTION("""COMPUTED_VALUE"""),"金22")</f>
        <v>金22</v>
      </c>
      <c r="F6130" s="2" t="s">
        <v>16295</v>
      </c>
      <c r="G6130" s="2" t="s">
        <v>16300</v>
      </c>
      <c r="H6130" s="1">
        <v>3.0</v>
      </c>
      <c r="J6130" s="1" t="s">
        <v>86</v>
      </c>
      <c r="K6130" s="2" t="s">
        <v>16301</v>
      </c>
      <c r="L6130" s="2"/>
      <c r="M6130" s="2" t="str">
        <f>IFERROR(__xludf.DUMMYFUNCTION("split(split(K6130,""【"",false),""公式LINE"",false)"),"太郎(長瀬智也)は、ゲルマン(飯島ぼぼぼ)が山之内一家に拉致されたと聞き、助けに向かった。同じころ、オリオン座にクロワッサンの松(佐藤隆太)が現れ、毎月三十万円の用心棒代を山之内一家に納めるよう要求する。それは、オリオン座の一カ月分の売り上げとほぼ同額だった。勝男(高田純次)は頭を悩ませるが、太郎は無視すればいいと言い放つ。")</f>
        <v>太郎(長瀬智也)は、ゲルマン(飯島ぼぼぼ)が山之内一家に拉致されたと聞き、助けに向かった。同じころ、オリオン座にクロワッサンの松(佐藤隆太)が現れ、毎月三十万円の用心棒代を山之内一家に納めるよう要求する。それは、オリオン座の一カ月分の売り上げとほぼ同額だった。勝男(高田純次)は頭を悩ませるが、太郎は無視すればいいと言い放つ。</v>
      </c>
      <c r="N6130" s="2"/>
      <c r="O6130" s="2"/>
      <c r="P6130" s="1"/>
      <c r="Q6130" s="1"/>
      <c r="R6130" s="1"/>
      <c r="S6130" s="1"/>
      <c r="T6130" s="1"/>
      <c r="U6130" s="1"/>
      <c r="V6130" s="1"/>
      <c r="W6130" s="1"/>
      <c r="X6130" s="1"/>
      <c r="Y6130" s="1"/>
      <c r="Z6130" s="1"/>
      <c r="AA6130" s="1"/>
      <c r="AB6130" s="1"/>
      <c r="AC6130" s="1"/>
      <c r="AD6130" s="1"/>
      <c r="AE6130" s="1"/>
      <c r="AF6130" s="1"/>
      <c r="AG6130" s="1"/>
      <c r="AH6130" s="1"/>
      <c r="AI6130" s="1"/>
      <c r="AJ6130" s="1"/>
      <c r="AK6130" s="1"/>
      <c r="AL6130" s="1"/>
      <c r="AM6130" s="1"/>
      <c r="AN6130" s="1"/>
      <c r="AO6130" s="1"/>
      <c r="AP6130" s="1"/>
      <c r="AQ6130" s="1"/>
      <c r="AR6130" s="1"/>
      <c r="AS6130" s="1"/>
      <c r="AT6130" s="1"/>
      <c r="AU6130" s="1"/>
      <c r="AV6130" s="1"/>
      <c r="AW6130" s="1"/>
      <c r="AX6130" s="1"/>
      <c r="AY6130" s="1"/>
      <c r="AZ6130" s="1"/>
      <c r="BA6130" s="1"/>
      <c r="BB6130" s="1"/>
    </row>
    <row r="6131" ht="204.75" customHeight="1">
      <c r="A6131" s="1">
        <v>6111.0</v>
      </c>
      <c r="B6131" s="2" t="s">
        <v>16294</v>
      </c>
      <c r="C6131" s="2">
        <f>IFERROR(__xludf.DUMMYFUNCTION("split(B6131,""_"")"),710.0)</f>
        <v>710</v>
      </c>
      <c r="D6131" s="2" t="str">
        <f>IFERROR(__xludf.DUMMYFUNCTION("""COMPUTED_VALUE"""),"TBS")</f>
        <v>TBS</v>
      </c>
      <c r="E6131" s="2" t="str">
        <f>IFERROR(__xludf.DUMMYFUNCTION("""COMPUTED_VALUE"""),"金22")</f>
        <v>金22</v>
      </c>
      <c r="F6131" s="2" t="s">
        <v>16295</v>
      </c>
      <c r="G6131" s="2" t="s">
        <v>16302</v>
      </c>
      <c r="H6131" s="1">
        <v>4.0</v>
      </c>
      <c r="J6131" s="1" t="s">
        <v>86</v>
      </c>
      <c r="K6131" s="2" t="s">
        <v>16303</v>
      </c>
      <c r="L6131" s="2"/>
      <c r="M6131" s="2" t="str">
        <f>IFERROR(__xludf.DUMMYFUNCTION("split(split(K6131,""【"",false),""公式LINE"",false)"),"クロワッサンの松(佐藤隆太)が、鈴(相武紗季)に一目ぼれした。毎日のようにオリオン座を訪れては鈴に贈り物をする松に、勝男(高田純次)たちは困惑する。泉(大河内奈々子)やメリー(遠山景織子)は、盛んに松の積極的なアプローチを話題にし、太郎(長瀬智也)をあおる。しかし、太郎は素っ気ない態度しか見せず、鈴はそれを不満に思う。そんな折、松からデートを申し込まれた鈴は、あまりのしつこさに根負けし、承諾してしまう。")</f>
        <v>クロワッサンの松(佐藤隆太)が、鈴(相武紗季)に一目ぼれした。毎日のようにオリオン座を訪れては鈴に贈り物をする松に、勝男(高田純次)たちは困惑する。泉(大河内奈々子)やメリー(遠山景織子)は、盛んに松の積極的なアプローチを話題にし、太郎(長瀬智也)をあおる。しかし、太郎は素っ気ない態度しか見せず、鈴はそれを不満に思う。そんな折、松からデートを申し込まれた鈴は、あまりのしつこさに根負けし、承諾してしまう。</v>
      </c>
      <c r="N6131" s="2"/>
      <c r="O6131" s="2"/>
      <c r="P6131" s="1"/>
      <c r="Q6131" s="1"/>
      <c r="R6131" s="1"/>
      <c r="S6131" s="1"/>
      <c r="T6131" s="1"/>
      <c r="U6131" s="1"/>
      <c r="V6131" s="1"/>
      <c r="W6131" s="1"/>
      <c r="X6131" s="1"/>
      <c r="Y6131" s="1"/>
      <c r="Z6131" s="1"/>
      <c r="AA6131" s="1"/>
      <c r="AB6131" s="1"/>
      <c r="AC6131" s="1"/>
      <c r="AD6131" s="1"/>
      <c r="AE6131" s="1"/>
      <c r="AF6131" s="1"/>
      <c r="AG6131" s="1"/>
      <c r="AH6131" s="1"/>
      <c r="AI6131" s="1"/>
      <c r="AJ6131" s="1"/>
      <c r="AK6131" s="1"/>
      <c r="AL6131" s="1"/>
      <c r="AM6131" s="1"/>
      <c r="AN6131" s="1"/>
      <c r="AO6131" s="1"/>
      <c r="AP6131" s="1"/>
      <c r="AQ6131" s="1"/>
      <c r="AR6131" s="1"/>
      <c r="AS6131" s="1"/>
      <c r="AT6131" s="1"/>
      <c r="AU6131" s="1"/>
      <c r="AV6131" s="1"/>
      <c r="AW6131" s="1"/>
      <c r="AX6131" s="1"/>
      <c r="AY6131" s="1"/>
      <c r="AZ6131" s="1"/>
      <c r="BA6131" s="1"/>
      <c r="BB6131" s="1"/>
    </row>
    <row r="6132" ht="204.75" customHeight="1">
      <c r="A6132" s="1">
        <v>6112.0</v>
      </c>
      <c r="B6132" s="2" t="s">
        <v>16294</v>
      </c>
      <c r="C6132" s="2">
        <f>IFERROR(__xludf.DUMMYFUNCTION("split(B6132,""_"")"),710.0)</f>
        <v>710</v>
      </c>
      <c r="D6132" s="2" t="str">
        <f>IFERROR(__xludf.DUMMYFUNCTION("""COMPUTED_VALUE"""),"TBS")</f>
        <v>TBS</v>
      </c>
      <c r="E6132" s="2" t="str">
        <f>IFERROR(__xludf.DUMMYFUNCTION("""COMPUTED_VALUE"""),"金22")</f>
        <v>金22</v>
      </c>
      <c r="F6132" s="2" t="s">
        <v>16295</v>
      </c>
      <c r="G6132" s="2" t="s">
        <v>16304</v>
      </c>
      <c r="H6132" s="1">
        <v>5.0</v>
      </c>
      <c r="J6132" s="1" t="s">
        <v>86</v>
      </c>
      <c r="K6132" s="2" t="s">
        <v>16305</v>
      </c>
      <c r="L6132" s="2"/>
      <c r="M6132" s="2" t="str">
        <f>IFERROR(__xludf.DUMMYFUNCTION("split(split(K6132,""【"",false),""公式LINE"",false)"),"太郎(長瀬智也)は、鈴(相武紗季)に会おうとオリオン座に忍び込んだクロワッサンの松(佐藤隆太)に激怒。思わず、鈴は自分の恋人だと言ってしまう。それを聞いた鈴は、喜びを隠せない。泉(大河内奈々子)や勝男(高田純次)らは、太郎に本心を聞こうとする。そんな折、太郎と一緒に町へ出掛けた鈴は、美和子(小池栄子)という女性に出会う。")</f>
        <v>太郎(長瀬智也)は、鈴(相武紗季)に会おうとオリオン座に忍び込んだクロワッサンの松(佐藤隆太)に激怒。思わず、鈴は自分の恋人だと言ってしまう。それを聞いた鈴は、喜びを隠せない。泉(大河内奈々子)や勝男(高田純次)らは、太郎に本心を聞こうとする。そんな折、太郎と一緒に町へ出掛けた鈴は、美和子(小池栄子)という女性に出会う。</v>
      </c>
      <c r="N6132" s="2"/>
      <c r="O6132" s="2"/>
      <c r="P6132" s="1"/>
      <c r="Q6132" s="1"/>
      <c r="R6132" s="1"/>
      <c r="S6132" s="1"/>
      <c r="T6132" s="1"/>
      <c r="U6132" s="1"/>
      <c r="V6132" s="1"/>
      <c r="W6132" s="1"/>
      <c r="X6132" s="1"/>
      <c r="Y6132" s="1"/>
      <c r="Z6132" s="1"/>
      <c r="AA6132" s="1"/>
      <c r="AB6132" s="1"/>
      <c r="AC6132" s="1"/>
      <c r="AD6132" s="1"/>
      <c r="AE6132" s="1"/>
      <c r="AF6132" s="1"/>
      <c r="AG6132" s="1"/>
      <c r="AH6132" s="1"/>
      <c r="AI6132" s="1"/>
      <c r="AJ6132" s="1"/>
      <c r="AK6132" s="1"/>
      <c r="AL6132" s="1"/>
      <c r="AM6132" s="1"/>
      <c r="AN6132" s="1"/>
      <c r="AO6132" s="1"/>
      <c r="AP6132" s="1"/>
      <c r="AQ6132" s="1"/>
      <c r="AR6132" s="1"/>
      <c r="AS6132" s="1"/>
      <c r="AT6132" s="1"/>
      <c r="AU6132" s="1"/>
      <c r="AV6132" s="1"/>
      <c r="AW6132" s="1"/>
      <c r="AX6132" s="1"/>
      <c r="AY6132" s="1"/>
      <c r="AZ6132" s="1"/>
      <c r="BA6132" s="1"/>
      <c r="BB6132" s="1"/>
    </row>
    <row r="6133" ht="204.75" customHeight="1">
      <c r="A6133" s="1">
        <v>6113.0</v>
      </c>
      <c r="B6133" s="2" t="s">
        <v>16294</v>
      </c>
      <c r="C6133" s="2">
        <f>IFERROR(__xludf.DUMMYFUNCTION("split(B6133,""_"")"),710.0)</f>
        <v>710</v>
      </c>
      <c r="D6133" s="2" t="str">
        <f>IFERROR(__xludf.DUMMYFUNCTION("""COMPUTED_VALUE"""),"TBS")</f>
        <v>TBS</v>
      </c>
      <c r="E6133" s="2" t="str">
        <f>IFERROR(__xludf.DUMMYFUNCTION("""COMPUTED_VALUE"""),"金22")</f>
        <v>金22</v>
      </c>
      <c r="F6133" s="2" t="s">
        <v>16295</v>
      </c>
      <c r="G6133" s="2" t="s">
        <v>16306</v>
      </c>
      <c r="H6133" s="1">
        <v>6.0</v>
      </c>
      <c r="J6133" s="1" t="s">
        <v>86</v>
      </c>
      <c r="K6133" s="2" t="s">
        <v>16307</v>
      </c>
      <c r="L6133" s="2"/>
      <c r="M6133" s="2" t="str">
        <f>IFERROR(__xludf.DUMMYFUNCTION("split(split(K6133,""【"",false),""公式LINE"",false)"),"太郎(長瀬智也)は町の喫茶店で偶然、山之内(古谷一行)とクロワッサンの松(佐藤隆太)に出くわした。太郎は山之内に「オリオン座だけは山之内一家の好きにはさせない」と宣言する。一方、美和子(小池栄子)と知り合った鈴(相武紗季)は、彼女に鯖子(斉藤由貴)の旅館を紹介する。しばらく町に滞在することになった美和子は、やがてオリオン座に顔を出すようになる。")</f>
        <v>太郎(長瀬智也)は町の喫茶店で偶然、山之内(古谷一行)とクロワッサンの松(佐藤隆太)に出くわした。太郎は山之内に「オリオン座だけは山之内一家の好きにはさせない」と宣言する。一方、美和子(小池栄子)と知り合った鈴(相武紗季)は、彼女に鯖子(斉藤由貴)の旅館を紹介する。しばらく町に滞在することになった美和子は、やがてオリオン座に顔を出すようになる。</v>
      </c>
      <c r="N6133" s="2"/>
      <c r="O6133" s="2"/>
      <c r="P6133" s="1"/>
      <c r="Q6133" s="1"/>
      <c r="R6133" s="1"/>
      <c r="S6133" s="1"/>
      <c r="T6133" s="1"/>
      <c r="U6133" s="1"/>
      <c r="V6133" s="1"/>
      <c r="W6133" s="1"/>
      <c r="X6133" s="1"/>
      <c r="Y6133" s="1"/>
      <c r="Z6133" s="1"/>
      <c r="AA6133" s="1"/>
      <c r="AB6133" s="1"/>
      <c r="AC6133" s="1"/>
      <c r="AD6133" s="1"/>
      <c r="AE6133" s="1"/>
      <c r="AF6133" s="1"/>
      <c r="AG6133" s="1"/>
      <c r="AH6133" s="1"/>
      <c r="AI6133" s="1"/>
      <c r="AJ6133" s="1"/>
      <c r="AK6133" s="1"/>
      <c r="AL6133" s="1"/>
      <c r="AM6133" s="1"/>
      <c r="AN6133" s="1"/>
      <c r="AO6133" s="1"/>
      <c r="AP6133" s="1"/>
      <c r="AQ6133" s="1"/>
      <c r="AR6133" s="1"/>
      <c r="AS6133" s="1"/>
      <c r="AT6133" s="1"/>
      <c r="AU6133" s="1"/>
      <c r="AV6133" s="1"/>
      <c r="AW6133" s="1"/>
      <c r="AX6133" s="1"/>
      <c r="AY6133" s="1"/>
      <c r="AZ6133" s="1"/>
      <c r="BA6133" s="1"/>
      <c r="BB6133" s="1"/>
    </row>
    <row r="6134" ht="204.75" customHeight="1">
      <c r="A6134" s="1">
        <v>6114.0</v>
      </c>
      <c r="B6134" s="2" t="s">
        <v>16294</v>
      </c>
      <c r="C6134" s="2">
        <f>IFERROR(__xludf.DUMMYFUNCTION("split(B6134,""_"")"),710.0)</f>
        <v>710</v>
      </c>
      <c r="D6134" s="2" t="str">
        <f>IFERROR(__xludf.DUMMYFUNCTION("""COMPUTED_VALUE"""),"TBS")</f>
        <v>TBS</v>
      </c>
      <c r="E6134" s="2" t="str">
        <f>IFERROR(__xludf.DUMMYFUNCTION("""COMPUTED_VALUE"""),"金22")</f>
        <v>金22</v>
      </c>
      <c r="F6134" s="2" t="s">
        <v>16295</v>
      </c>
      <c r="G6134" s="2" t="s">
        <v>16308</v>
      </c>
      <c r="H6134" s="1">
        <v>7.0</v>
      </c>
      <c r="J6134" s="1" t="s">
        <v>2809</v>
      </c>
      <c r="K6134" s="2" t="s">
        <v>16309</v>
      </c>
      <c r="L6134" s="2"/>
      <c r="M6134" s="2" t="str">
        <f>IFERROR(__xludf.DUMMYFUNCTION("split(split(K6134,""【"",false),""公式LINE"",false)"),"静岡県浜松市から、コンサートの趣旨に賛同した歌手たちの熱唱をフルオーケストラアレンジでおくる。ゴスペラーズが、今年のＮＨＫ全国学校音楽コンクール・高等学校の部で課題曲となった「言葉にすれば」を、秋川雅史が「千の風になって」を歌う。また、オペラ歌手・森麻季の出演など、バラエティーに富んだステージを繰り広げる。出演はほかに、五木ひろし、加藤登紀子、冠二郎、小金沢昇司、坂本冬美、島津亜矢、徳永英明、長山洋子、原田真二、前川清＆クールファイブ。")</f>
        <v>静岡県浜松市から、コンサートの趣旨に賛同した歌手たちの熱唱をフルオーケストラアレンジでおくる。ゴスペラーズが、今年のＮＨＫ全国学校音楽コンクール・高等学校の部で課題曲となった「言葉にすれば」を、秋川雅史が「千の風になって」を歌う。また、オペラ歌手・森麻季の出演など、バラエティーに富んだステージを繰り広げる。出演はほかに、五木ひろし、加藤登紀子、冠二郎、小金沢昇司、坂本冬美、島津亜矢、徳永英明、長山洋子、原田真二、前川清＆クールファイブ。</v>
      </c>
      <c r="N6134" s="2"/>
      <c r="O6134" s="2"/>
      <c r="P6134" s="1"/>
      <c r="Q6134" s="1"/>
      <c r="R6134" s="1"/>
      <c r="S6134" s="1"/>
      <c r="T6134" s="1"/>
      <c r="U6134" s="1"/>
      <c r="V6134" s="1"/>
      <c r="W6134" s="1"/>
      <c r="X6134" s="1"/>
      <c r="Y6134" s="1"/>
      <c r="Z6134" s="1"/>
      <c r="AA6134" s="1"/>
      <c r="AB6134" s="1"/>
      <c r="AC6134" s="1"/>
      <c r="AD6134" s="1"/>
      <c r="AE6134" s="1"/>
      <c r="AF6134" s="1"/>
      <c r="AG6134" s="1"/>
      <c r="AH6134" s="1"/>
      <c r="AI6134" s="1"/>
      <c r="AJ6134" s="1"/>
      <c r="AK6134" s="1"/>
      <c r="AL6134" s="1"/>
      <c r="AM6134" s="1"/>
      <c r="AN6134" s="1"/>
      <c r="AO6134" s="1"/>
      <c r="AP6134" s="1"/>
      <c r="AQ6134" s="1"/>
      <c r="AR6134" s="1"/>
      <c r="AS6134" s="1"/>
      <c r="AT6134" s="1"/>
      <c r="AU6134" s="1"/>
      <c r="AV6134" s="1"/>
      <c r="AW6134" s="1"/>
      <c r="AX6134" s="1"/>
      <c r="AY6134" s="1"/>
      <c r="AZ6134" s="1"/>
      <c r="BA6134" s="1"/>
      <c r="BB6134" s="1"/>
    </row>
    <row r="6135" ht="204.75" customHeight="1">
      <c r="A6135" s="1">
        <v>6115.0</v>
      </c>
      <c r="B6135" s="2" t="s">
        <v>16294</v>
      </c>
      <c r="C6135" s="2">
        <f>IFERROR(__xludf.DUMMYFUNCTION("split(B6135,""_"")"),710.0)</f>
        <v>710</v>
      </c>
      <c r="D6135" s="2" t="str">
        <f>IFERROR(__xludf.DUMMYFUNCTION("""COMPUTED_VALUE"""),"TBS")</f>
        <v>TBS</v>
      </c>
      <c r="E6135" s="2" t="str">
        <f>IFERROR(__xludf.DUMMYFUNCTION("""COMPUTED_VALUE"""),"金22")</f>
        <v>金22</v>
      </c>
      <c r="F6135" s="2" t="s">
        <v>16295</v>
      </c>
      <c r="G6135" s="2" t="s">
        <v>16310</v>
      </c>
      <c r="H6135" s="1">
        <v>8.0</v>
      </c>
      <c r="J6135" s="1" t="s">
        <v>86</v>
      </c>
      <c r="K6135" s="2" t="s">
        <v>16311</v>
      </c>
      <c r="L6135" s="2"/>
      <c r="M6135" s="2" t="str">
        <f>IFERROR(__xludf.DUMMYFUNCTION("split(split(K6135,""【"",false),""公式LINE"",false)"),"鈴(相武紗季)は、太郎(長瀬智也)の姿を見て涙を流した美和子(小池栄子)のことが頭から離れない。美和子が太郎の過去を知っているのではないかと思うと、不安になるのだった。一方、太郎と美和子が夫婦だったと知った浜子(風吹ジュン)は、勝男(高田純次)に相談。二人は、それを鈴に話すことができず、頭を悩ませる。ところが、鯖子(斉藤由貴)が太郎と美和子の関係を言いふらしていることが判明。勝男は、鯖子に抗議をしに行く。")</f>
        <v>鈴(相武紗季)は、太郎(長瀬智也)の姿を見て涙を流した美和子(小池栄子)のことが頭から離れない。美和子が太郎の過去を知っているのではないかと思うと、不安になるのだった。一方、太郎と美和子が夫婦だったと知った浜子(風吹ジュン)は、勝男(高田純次)に相談。二人は、それを鈴に話すことができず、頭を悩ませる。ところが、鯖子(斉藤由貴)が太郎と美和子の関係を言いふらしていることが判明。勝男は、鯖子に抗議をしに行く。</v>
      </c>
      <c r="N6135" s="2"/>
      <c r="O6135" s="2"/>
      <c r="P6135" s="1"/>
      <c r="Q6135" s="1"/>
      <c r="R6135" s="1"/>
      <c r="S6135" s="1"/>
      <c r="T6135" s="1"/>
      <c r="U6135" s="1"/>
      <c r="V6135" s="1"/>
      <c r="W6135" s="1"/>
      <c r="X6135" s="1"/>
      <c r="Y6135" s="1"/>
      <c r="Z6135" s="1"/>
      <c r="AA6135" s="1"/>
      <c r="AB6135" s="1"/>
      <c r="AC6135" s="1"/>
      <c r="AD6135" s="1"/>
      <c r="AE6135" s="1"/>
      <c r="AF6135" s="1"/>
      <c r="AG6135" s="1"/>
      <c r="AH6135" s="1"/>
      <c r="AI6135" s="1"/>
      <c r="AJ6135" s="1"/>
      <c r="AK6135" s="1"/>
      <c r="AL6135" s="1"/>
      <c r="AM6135" s="1"/>
      <c r="AN6135" s="1"/>
      <c r="AO6135" s="1"/>
      <c r="AP6135" s="1"/>
      <c r="AQ6135" s="1"/>
      <c r="AR6135" s="1"/>
      <c r="AS6135" s="1"/>
      <c r="AT6135" s="1"/>
      <c r="AU6135" s="1"/>
      <c r="AV6135" s="1"/>
      <c r="AW6135" s="1"/>
      <c r="AX6135" s="1"/>
      <c r="AY6135" s="1"/>
      <c r="AZ6135" s="1"/>
      <c r="BA6135" s="1"/>
      <c r="BB6135" s="1"/>
    </row>
    <row r="6136" ht="204.75" customHeight="1">
      <c r="A6136" s="1">
        <v>6116.0</v>
      </c>
      <c r="B6136" s="2" t="s">
        <v>16294</v>
      </c>
      <c r="C6136" s="2">
        <f>IFERROR(__xludf.DUMMYFUNCTION("split(B6136,""_"")"),710.0)</f>
        <v>710</v>
      </c>
      <c r="D6136" s="2" t="str">
        <f>IFERROR(__xludf.DUMMYFUNCTION("""COMPUTED_VALUE"""),"TBS")</f>
        <v>TBS</v>
      </c>
      <c r="E6136" s="2" t="str">
        <f>IFERROR(__xludf.DUMMYFUNCTION("""COMPUTED_VALUE"""),"金22")</f>
        <v>金22</v>
      </c>
      <c r="F6136" s="2" t="s">
        <v>16295</v>
      </c>
      <c r="G6136" s="2" t="s">
        <v>16312</v>
      </c>
      <c r="H6136" s="1">
        <v>9.0</v>
      </c>
      <c r="J6136" s="1" t="s">
        <v>86</v>
      </c>
      <c r="K6136" s="2" t="s">
        <v>16313</v>
      </c>
      <c r="L6136" s="2"/>
      <c r="M6136" s="2" t="str">
        <f>IFERROR(__xludf.DUMMYFUNCTION("split(split(K6136,""【"",false),""公式LINE"",false)"),"太郎(長瀬智也)は美和子(小池栄子)から、自分が彼女の夫だったことを聞かされた。突然のことに、太郎は言葉も出ない。太郎の本当の名前は「及川勇一」。東京の市会議員の息子で、東京帝国大学(現・東京大学)出身だという。それを知った太郎の周囲の人々は、現在の彼とのあまりの違いに「人違いではないか」と言いだす。そんな中、鈴(相武紗季)は美和子に、記憶をなくす前の太郎のことを尋ねる。")</f>
        <v>太郎(長瀬智也)は美和子(小池栄子)から、自分が彼女の夫だったことを聞かされた。突然のことに、太郎は言葉も出ない。太郎の本当の名前は「及川勇一」。東京の市会議員の息子で、東京帝国大学(現・東京大学)出身だという。それを知った太郎の周囲の人々は、現在の彼とのあまりの違いに「人違いではないか」と言いだす。そんな中、鈴(相武紗季)は美和子に、記憶をなくす前の太郎のことを尋ねる。</v>
      </c>
      <c r="N6136" s="2"/>
      <c r="O6136" s="2"/>
      <c r="P6136" s="1"/>
      <c r="Q6136" s="1"/>
      <c r="R6136" s="1"/>
      <c r="S6136" s="1"/>
      <c r="T6136" s="1"/>
      <c r="U6136" s="1"/>
      <c r="V6136" s="1"/>
      <c r="W6136" s="1"/>
      <c r="X6136" s="1"/>
      <c r="Y6136" s="1"/>
      <c r="Z6136" s="1"/>
      <c r="AA6136" s="1"/>
      <c r="AB6136" s="1"/>
      <c r="AC6136" s="1"/>
      <c r="AD6136" s="1"/>
      <c r="AE6136" s="1"/>
      <c r="AF6136" s="1"/>
      <c r="AG6136" s="1"/>
      <c r="AH6136" s="1"/>
      <c r="AI6136" s="1"/>
      <c r="AJ6136" s="1"/>
      <c r="AK6136" s="1"/>
      <c r="AL6136" s="1"/>
      <c r="AM6136" s="1"/>
      <c r="AN6136" s="1"/>
      <c r="AO6136" s="1"/>
      <c r="AP6136" s="1"/>
      <c r="AQ6136" s="1"/>
      <c r="AR6136" s="1"/>
      <c r="AS6136" s="1"/>
      <c r="AT6136" s="1"/>
      <c r="AU6136" s="1"/>
      <c r="AV6136" s="1"/>
      <c r="AW6136" s="1"/>
      <c r="AX6136" s="1"/>
      <c r="AY6136" s="1"/>
      <c r="AZ6136" s="1"/>
      <c r="BA6136" s="1"/>
      <c r="BB6136" s="1"/>
    </row>
    <row r="6137" ht="204.75" customHeight="1">
      <c r="A6137" s="1">
        <v>6117.0</v>
      </c>
      <c r="B6137" s="2" t="s">
        <v>16294</v>
      </c>
      <c r="C6137" s="2">
        <f>IFERROR(__xludf.DUMMYFUNCTION("split(B6137,""_"")"),710.0)</f>
        <v>710</v>
      </c>
      <c r="D6137" s="2" t="str">
        <f>IFERROR(__xludf.DUMMYFUNCTION("""COMPUTED_VALUE"""),"TBS")</f>
        <v>TBS</v>
      </c>
      <c r="E6137" s="2" t="str">
        <f>IFERROR(__xludf.DUMMYFUNCTION("""COMPUTED_VALUE"""),"金22")</f>
        <v>金22</v>
      </c>
      <c r="F6137" s="2" t="s">
        <v>16295</v>
      </c>
      <c r="G6137" s="2" t="s">
        <v>16314</v>
      </c>
      <c r="H6137" s="1">
        <v>10.0</v>
      </c>
      <c r="J6137" s="1" t="s">
        <v>86</v>
      </c>
      <c r="K6137" s="2" t="s">
        <v>16315</v>
      </c>
      <c r="L6137" s="2"/>
      <c r="M6137" s="2" t="str">
        <f>IFERROR(__xludf.DUMMYFUNCTION("split(split(K6137,""【"",false),""公式LINE"",false)"),"太郎(長瀬智也)とじっくり話がしたい美和子(小池栄子)は毎晩、メリー(遠山景織子)の店で彼を待っていた。しかし、太郎は姿を見せない。太郎は美和子と話をして記憶が戻ると、現在のことを忘れてしまうのではないかと不安になっていた。一方、太郎とキスをした鈴(相武紗季)は、彼と恋人同士になりたいと願う。")</f>
        <v>太郎(長瀬智也)とじっくり話がしたい美和子(小池栄子)は毎晩、メリー(遠山景織子)の店で彼を待っていた。しかし、太郎は姿を見せない。太郎は美和子と話をして記憶が戻ると、現在のことを忘れてしまうのではないかと不安になっていた。一方、太郎とキスをした鈴(相武紗季)は、彼と恋人同士になりたいと願う。</v>
      </c>
      <c r="N6137" s="2"/>
      <c r="O6137" s="2"/>
      <c r="P6137" s="1"/>
      <c r="Q6137" s="1"/>
      <c r="R6137" s="1"/>
      <c r="S6137" s="1"/>
      <c r="T6137" s="1"/>
      <c r="U6137" s="1"/>
      <c r="V6137" s="1"/>
      <c r="W6137" s="1"/>
      <c r="X6137" s="1"/>
      <c r="Y6137" s="1"/>
      <c r="Z6137" s="1"/>
      <c r="AA6137" s="1"/>
      <c r="AB6137" s="1"/>
      <c r="AC6137" s="1"/>
      <c r="AD6137" s="1"/>
      <c r="AE6137" s="1"/>
      <c r="AF6137" s="1"/>
      <c r="AG6137" s="1"/>
      <c r="AH6137" s="1"/>
      <c r="AI6137" s="1"/>
      <c r="AJ6137" s="1"/>
      <c r="AK6137" s="1"/>
      <c r="AL6137" s="1"/>
      <c r="AM6137" s="1"/>
      <c r="AN6137" s="1"/>
      <c r="AO6137" s="1"/>
      <c r="AP6137" s="1"/>
      <c r="AQ6137" s="1"/>
      <c r="AR6137" s="1"/>
      <c r="AS6137" s="1"/>
      <c r="AT6137" s="1"/>
      <c r="AU6137" s="1"/>
      <c r="AV6137" s="1"/>
      <c r="AW6137" s="1"/>
      <c r="AX6137" s="1"/>
      <c r="AY6137" s="1"/>
      <c r="AZ6137" s="1"/>
      <c r="BA6137" s="1"/>
      <c r="BB6137" s="1"/>
    </row>
    <row r="6138" ht="204.75" customHeight="1">
      <c r="A6138" s="1">
        <v>6118.0</v>
      </c>
      <c r="B6138" s="2" t="s">
        <v>16294</v>
      </c>
      <c r="C6138" s="2">
        <f>IFERROR(__xludf.DUMMYFUNCTION("split(B6138,""_"")"),710.0)</f>
        <v>710</v>
      </c>
      <c r="D6138" s="2" t="str">
        <f>IFERROR(__xludf.DUMMYFUNCTION("""COMPUTED_VALUE"""),"TBS")</f>
        <v>TBS</v>
      </c>
      <c r="E6138" s="2" t="str">
        <f>IFERROR(__xludf.DUMMYFUNCTION("""COMPUTED_VALUE"""),"金22")</f>
        <v>金22</v>
      </c>
      <c r="F6138" s="2" t="s">
        <v>16295</v>
      </c>
      <c r="G6138" s="2" t="s">
        <v>16316</v>
      </c>
      <c r="H6138" s="1">
        <v>11.0</v>
      </c>
      <c r="J6138" s="1" t="s">
        <v>86</v>
      </c>
      <c r="K6138" s="2" t="s">
        <v>16317</v>
      </c>
      <c r="L6138" s="2"/>
      <c r="M6138" s="2" t="str">
        <f>IFERROR(__xludf.DUMMYFUNCTION("split(split(K6138,""【"",false),""公式LINE"",false)"),"太郎(長瀬智也)と鈴(相武紗季)が思い合っていることに気付いた美和子(小池栄子)は、東京に帰ることを決意。自分を引き留めようとするクロワッサンの松(佐藤隆太)に対し、自分の夫は「及川勇一」であって「四万十太郎」ではないと言い切る。そんな折、鈴に告白するきっかけがつかめない太郎は、ある計画を立てる。")</f>
        <v>太郎(長瀬智也)と鈴(相武紗季)が思い合っていることに気付いた美和子(小池栄子)は、東京に帰ることを決意。自分を引き留めようとするクロワッサンの松(佐藤隆太)に対し、自分の夫は「及川勇一」であって「四万十太郎」ではないと言い切る。そんな折、鈴に告白するきっかけがつかめない太郎は、ある計画を立てる。</v>
      </c>
      <c r="N6138" s="2"/>
      <c r="O6138" s="2"/>
      <c r="P6138" s="1"/>
      <c r="Q6138" s="1"/>
      <c r="R6138" s="1"/>
      <c r="S6138" s="1"/>
      <c r="T6138" s="1"/>
      <c r="U6138" s="1"/>
      <c r="V6138" s="1"/>
      <c r="W6138" s="1"/>
      <c r="X6138" s="1"/>
      <c r="Y6138" s="1"/>
      <c r="Z6138" s="1"/>
      <c r="AA6138" s="1"/>
      <c r="AB6138" s="1"/>
      <c r="AC6138" s="1"/>
      <c r="AD6138" s="1"/>
      <c r="AE6138" s="1"/>
      <c r="AF6138" s="1"/>
      <c r="AG6138" s="1"/>
      <c r="AH6138" s="1"/>
      <c r="AI6138" s="1"/>
      <c r="AJ6138" s="1"/>
      <c r="AK6138" s="1"/>
      <c r="AL6138" s="1"/>
      <c r="AM6138" s="1"/>
      <c r="AN6138" s="1"/>
      <c r="AO6138" s="1"/>
      <c r="AP6138" s="1"/>
      <c r="AQ6138" s="1"/>
      <c r="AR6138" s="1"/>
      <c r="AS6138" s="1"/>
      <c r="AT6138" s="1"/>
      <c r="AU6138" s="1"/>
      <c r="AV6138" s="1"/>
      <c r="AW6138" s="1"/>
      <c r="AX6138" s="1"/>
      <c r="AY6138" s="1"/>
      <c r="AZ6138" s="1"/>
      <c r="BA6138" s="1"/>
      <c r="BB6138" s="1"/>
    </row>
    <row r="6139" ht="204.75" customHeight="1">
      <c r="A6139" s="1">
        <v>6119.0</v>
      </c>
      <c r="B6139" s="2" t="s">
        <v>16294</v>
      </c>
      <c r="C6139" s="2">
        <f>IFERROR(__xludf.DUMMYFUNCTION("split(B6139,""_"")"),710.0)</f>
        <v>710</v>
      </c>
      <c r="D6139" s="2" t="str">
        <f>IFERROR(__xludf.DUMMYFUNCTION("""COMPUTED_VALUE"""),"TBS")</f>
        <v>TBS</v>
      </c>
      <c r="E6139" s="2" t="str">
        <f>IFERROR(__xludf.DUMMYFUNCTION("""COMPUTED_VALUE"""),"金22")</f>
        <v>金22</v>
      </c>
      <c r="F6139" s="2" t="s">
        <v>16295</v>
      </c>
      <c r="G6139" s="2" t="s">
        <v>16318</v>
      </c>
      <c r="H6139" s="1">
        <v>12.0</v>
      </c>
      <c r="J6139" s="1" t="s">
        <v>86</v>
      </c>
      <c r="K6139" s="2" t="s">
        <v>16319</v>
      </c>
      <c r="L6139" s="2"/>
      <c r="M6139" s="2" t="str">
        <f>IFERROR(__xludf.DUMMYFUNCTION("split(split(K6139,""【"",false),""公式LINE"",false)"),"がけから落ちて意識を失った太郎(長瀬智也)が、オリオン座に運び込まれた。鈴(相武紗季)たちは医師から、意識が戻った時に過去の記憶がよみがえり、現在のことを忘れてしまう可能性があると告げられる。意識が戻らない太郎を看病する鈴は、彼に大好きな映画を見せようと考える。鈴はクロワッサンの松(佐藤隆太)の力を借り、太郎を映画館の客席へ連れていく。")</f>
        <v>がけから落ちて意識を失った太郎(長瀬智也)が、オリオン座に運び込まれた。鈴(相武紗季)たちは医師から、意識が戻った時に過去の記憶がよみがえり、現在のことを忘れてしまう可能性があると告げられる。意識が戻らない太郎を看病する鈴は、彼に大好きな映画を見せようと考える。鈴はクロワッサンの松(佐藤隆太)の力を借り、太郎を映画館の客席へ連れていく。</v>
      </c>
      <c r="N6139" s="2"/>
      <c r="O6139" s="2"/>
      <c r="P6139" s="1"/>
      <c r="Q6139" s="1"/>
      <c r="R6139" s="1"/>
      <c r="S6139" s="1"/>
      <c r="T6139" s="1"/>
      <c r="U6139" s="1"/>
      <c r="V6139" s="1"/>
      <c r="W6139" s="1"/>
      <c r="X6139" s="1"/>
      <c r="Y6139" s="1"/>
      <c r="Z6139" s="1"/>
      <c r="AA6139" s="1"/>
      <c r="AB6139" s="1"/>
      <c r="AC6139" s="1"/>
      <c r="AD6139" s="1"/>
      <c r="AE6139" s="1"/>
      <c r="AF6139" s="1"/>
      <c r="AG6139" s="1"/>
      <c r="AH6139" s="1"/>
      <c r="AI6139" s="1"/>
      <c r="AJ6139" s="1"/>
      <c r="AK6139" s="1"/>
      <c r="AL6139" s="1"/>
      <c r="AM6139" s="1"/>
      <c r="AN6139" s="1"/>
      <c r="AO6139" s="1"/>
      <c r="AP6139" s="1"/>
      <c r="AQ6139" s="1"/>
      <c r="AR6139" s="1"/>
      <c r="AS6139" s="1"/>
      <c r="AT6139" s="1"/>
      <c r="AU6139" s="1"/>
      <c r="AV6139" s="1"/>
      <c r="AW6139" s="1"/>
      <c r="AX6139" s="1"/>
      <c r="AY6139" s="1"/>
      <c r="AZ6139" s="1"/>
      <c r="BA6139" s="1"/>
      <c r="BB6139" s="1"/>
    </row>
    <row r="6140" ht="204.75" customHeight="1">
      <c r="A6140" s="1">
        <v>6140.0</v>
      </c>
      <c r="B6140" s="2" t="s">
        <v>16320</v>
      </c>
      <c r="C6140" s="2">
        <f>IFERROR(__xludf.DUMMYFUNCTION("split(B6140,""_"")"),710.0)</f>
        <v>710</v>
      </c>
      <c r="D6140" s="2" t="str">
        <f>IFERROR(__xludf.DUMMYFUNCTION("""COMPUTED_VALUE"""),"TBS")</f>
        <v>TBS</v>
      </c>
      <c r="E6140" s="2" t="str">
        <f>IFERROR(__xludf.DUMMYFUNCTION("""COMPUTED_VALUE"""),"日21")</f>
        <v>日21</v>
      </c>
      <c r="F6140" s="2" t="s">
        <v>16321</v>
      </c>
      <c r="G6140" s="2" t="s">
        <v>16322</v>
      </c>
      <c r="H6140" s="1">
        <v>1.0</v>
      </c>
      <c r="J6140" s="1" t="s">
        <v>4</v>
      </c>
      <c r="K6140" s="2" t="s">
        <v>16323</v>
      </c>
      <c r="L6140" s="2"/>
      <c r="M6140" s="2" t="str">
        <f>IFERROR(__xludf.DUMMYFUNCTION("split(split(K6140,""【"",false),""公式LINE"",false)"),"人生の先が見え始めた中年男性が、昔の恋人にそっくりな二十歳の女性と出会い、失いかけていた生きがいを見つけていく。脚本・吉田紀子、演出・清弘誠ほか。　井上圭祐(明石家さんま)は、食品会社の大阪支社で働く五十歳のサラリーマン。東京に出張した圭祐は、宿泊先のホテルで旧友の風太(市村正親)と偶然、再会する。風太は「森山リュウ」というペンネームのベストセラー作家になり、スイートルームで執筆をしていた。出張のたびに風太の部屋を訪れるようになった圭祐は、ホテルでアルバイトをしている専門学校生・ユリ(長沢まさみ)に出会う"&amp;"。彼女は圭祐の昔の恋人にそっくりだった。")</f>
        <v>人生の先が見え始めた中年男性が、昔の恋人にそっくりな二十歳の女性と出会い、失いかけていた生きがいを見つけていく。脚本・吉田紀子、演出・清弘誠ほか。　井上圭祐(明石家さんま)は、食品会社の大阪支社で働く五十歳のサラリーマン。東京に出張した圭祐は、宿泊先のホテルで旧友の風太(市村正親)と偶然、再会する。風太は「森山リュウ」というペンネームのベストセラー作家になり、スイートルームで執筆をしていた。出張のたびに風太の部屋を訪れるようになった圭祐は、ホテルでアルバイトをしている専門学校生・ユリ(長沢まさみ)に出会う。彼女は圭祐の昔の恋人にそっくりだった。</v>
      </c>
      <c r="N6140" s="2"/>
      <c r="O6140" s="2"/>
      <c r="P6140" s="1"/>
      <c r="Q6140" s="1"/>
      <c r="R6140" s="1"/>
      <c r="S6140" s="1"/>
      <c r="T6140" s="1"/>
      <c r="U6140" s="1"/>
      <c r="V6140" s="1"/>
      <c r="W6140" s="1"/>
      <c r="X6140" s="1"/>
      <c r="Y6140" s="1"/>
      <c r="Z6140" s="1"/>
      <c r="AA6140" s="1"/>
      <c r="AB6140" s="1"/>
      <c r="AC6140" s="1"/>
      <c r="AD6140" s="1"/>
      <c r="AE6140" s="1"/>
      <c r="AF6140" s="1"/>
      <c r="AG6140" s="1"/>
      <c r="AH6140" s="1"/>
      <c r="AI6140" s="1"/>
      <c r="AJ6140" s="1"/>
      <c r="AK6140" s="1"/>
      <c r="AL6140" s="1"/>
      <c r="AM6140" s="1"/>
      <c r="AN6140" s="1"/>
      <c r="AO6140" s="1"/>
      <c r="AP6140" s="1"/>
      <c r="AQ6140" s="1"/>
      <c r="AR6140" s="1"/>
      <c r="AS6140" s="1"/>
      <c r="AT6140" s="1"/>
      <c r="AU6140" s="1"/>
      <c r="AV6140" s="1"/>
      <c r="AW6140" s="1"/>
      <c r="AX6140" s="1"/>
      <c r="AY6140" s="1"/>
      <c r="AZ6140" s="1"/>
      <c r="BA6140" s="1"/>
      <c r="BB6140" s="1"/>
    </row>
    <row r="6141" ht="204.75" customHeight="1">
      <c r="A6141" s="1">
        <v>6141.0</v>
      </c>
      <c r="B6141" s="2" t="s">
        <v>16320</v>
      </c>
      <c r="C6141" s="2">
        <f>IFERROR(__xludf.DUMMYFUNCTION("split(B6141,""_"")"),710.0)</f>
        <v>710</v>
      </c>
      <c r="D6141" s="2" t="str">
        <f>IFERROR(__xludf.DUMMYFUNCTION("""COMPUTED_VALUE"""),"TBS")</f>
        <v>TBS</v>
      </c>
      <c r="E6141" s="2" t="str">
        <f>IFERROR(__xludf.DUMMYFUNCTION("""COMPUTED_VALUE"""),"日21")</f>
        <v>日21</v>
      </c>
      <c r="F6141" s="2" t="s">
        <v>16321</v>
      </c>
      <c r="G6141" s="2" t="s">
        <v>16324</v>
      </c>
      <c r="H6141" s="1">
        <v>2.0</v>
      </c>
      <c r="J6141" s="1" t="s">
        <v>11</v>
      </c>
      <c r="K6141" s="2" t="s">
        <v>16325</v>
      </c>
      <c r="L6141" s="2"/>
      <c r="M6141" s="2" t="str">
        <f>IFERROR(__xludf.DUMMYFUNCTION("split(split(K6141,""【"",false),""公式LINE"",false)"),"東京に出張した圭祐(明石家さんま)は、ホテルの風太(市村正親)の部屋で、思わぬことから昔の恋人に似たユリ(長沢まさみ)に再会。圭祐が人気作家の「森山リュウ」だと思い込んでいるユリは、彼を就職に利用しようと考え、二人きりで話がしたいと誘う。そうとは知らない圭祐は、次の出張に合わせて映画を見に行く約束をし、心躍らせる。約束の日、ユリは自分の作品を持って、待ち合わせ場所に向かう。")</f>
        <v>東京に出張した圭祐(明石家さんま)は、ホテルの風太(市村正親)の部屋で、思わぬことから昔の恋人に似たユリ(長沢まさみ)に再会。圭祐が人気作家の「森山リュウ」だと思い込んでいるユリは、彼を就職に利用しようと考え、二人きりで話がしたいと誘う。そうとは知らない圭祐は、次の出張に合わせて映画を見に行く約束をし、心躍らせる。約束の日、ユリは自分の作品を持って、待ち合わせ場所に向かう。</v>
      </c>
      <c r="N6141" s="2"/>
      <c r="O6141" s="2"/>
      <c r="P6141" s="1"/>
      <c r="Q6141" s="1"/>
      <c r="R6141" s="1"/>
      <c r="S6141" s="1"/>
      <c r="T6141" s="1"/>
      <c r="U6141" s="1"/>
      <c r="V6141" s="1"/>
      <c r="W6141" s="1"/>
      <c r="X6141" s="1"/>
      <c r="Y6141" s="1"/>
      <c r="Z6141" s="1"/>
      <c r="AA6141" s="1"/>
      <c r="AB6141" s="1"/>
      <c r="AC6141" s="1"/>
      <c r="AD6141" s="1"/>
      <c r="AE6141" s="1"/>
      <c r="AF6141" s="1"/>
      <c r="AG6141" s="1"/>
      <c r="AH6141" s="1"/>
      <c r="AI6141" s="1"/>
      <c r="AJ6141" s="1"/>
      <c r="AK6141" s="1"/>
      <c r="AL6141" s="1"/>
      <c r="AM6141" s="1"/>
      <c r="AN6141" s="1"/>
      <c r="AO6141" s="1"/>
      <c r="AP6141" s="1"/>
      <c r="AQ6141" s="1"/>
      <c r="AR6141" s="1"/>
      <c r="AS6141" s="1"/>
      <c r="AT6141" s="1"/>
      <c r="AU6141" s="1"/>
      <c r="AV6141" s="1"/>
      <c r="AW6141" s="1"/>
      <c r="AX6141" s="1"/>
      <c r="AY6141" s="1"/>
      <c r="AZ6141" s="1"/>
      <c r="BA6141" s="1"/>
      <c r="BB6141" s="1"/>
    </row>
    <row r="6142" ht="204.75" customHeight="1">
      <c r="A6142" s="1">
        <v>6142.0</v>
      </c>
      <c r="B6142" s="2" t="s">
        <v>16320</v>
      </c>
      <c r="C6142" s="2">
        <f>IFERROR(__xludf.DUMMYFUNCTION("split(B6142,""_"")"),710.0)</f>
        <v>710</v>
      </c>
      <c r="D6142" s="2" t="str">
        <f>IFERROR(__xludf.DUMMYFUNCTION("""COMPUTED_VALUE"""),"TBS")</f>
        <v>TBS</v>
      </c>
      <c r="E6142" s="2" t="str">
        <f>IFERROR(__xludf.DUMMYFUNCTION("""COMPUTED_VALUE"""),"日21")</f>
        <v>日21</v>
      </c>
      <c r="F6142" s="2" t="s">
        <v>16321</v>
      </c>
      <c r="G6142" s="2" t="s">
        <v>16326</v>
      </c>
      <c r="H6142" s="1">
        <v>3.0</v>
      </c>
      <c r="J6142" s="1" t="s">
        <v>11</v>
      </c>
      <c r="K6142" s="2" t="s">
        <v>16327</v>
      </c>
      <c r="L6142" s="2"/>
      <c r="M6142" s="2" t="str">
        <f>IFERROR(__xludf.DUMMYFUNCTION("split(split(K6142,""【"",false),""公式LINE"",false)"),"圭祐(明石家さんま)は、ユリ(長沢まさみ)が自分のことを「森山リュウ」だと勘違いしていることに気付いた。本物の森山リュウである風太(市村正親)は圭祐に、ユリが真実を知ったら圭祐はあっさりと振られてしまうと断言。ユリの前では森山リュウのふりをするよう忠告する。思い悩む圭祐だが、本当のことを言おうと決め、ユリと会う約束をする。だが、ユリを目の前にした圭祐は、胸が高鳴ってしまい、なかなか打ち明けられない。")</f>
        <v>圭祐(明石家さんま)は、ユリ(長沢まさみ)が自分のことを「森山リュウ」だと勘違いしていることに気付いた。本物の森山リュウである風太(市村正親)は圭祐に、ユリが真実を知ったら圭祐はあっさりと振られてしまうと断言。ユリの前では森山リュウのふりをするよう忠告する。思い悩む圭祐だが、本当のことを言おうと決め、ユリと会う約束をする。だが、ユリを目の前にした圭祐は、胸が高鳴ってしまい、なかなか打ち明けられない。</v>
      </c>
      <c r="N6142" s="2"/>
      <c r="O6142" s="2"/>
      <c r="P6142" s="1"/>
      <c r="Q6142" s="1"/>
      <c r="R6142" s="1"/>
      <c r="S6142" s="1"/>
      <c r="T6142" s="1"/>
      <c r="U6142" s="1"/>
      <c r="V6142" s="1"/>
      <c r="W6142" s="1"/>
      <c r="X6142" s="1"/>
      <c r="Y6142" s="1"/>
      <c r="Z6142" s="1"/>
      <c r="AA6142" s="1"/>
      <c r="AB6142" s="1"/>
      <c r="AC6142" s="1"/>
      <c r="AD6142" s="1"/>
      <c r="AE6142" s="1"/>
      <c r="AF6142" s="1"/>
      <c r="AG6142" s="1"/>
      <c r="AH6142" s="1"/>
      <c r="AI6142" s="1"/>
      <c r="AJ6142" s="1"/>
      <c r="AK6142" s="1"/>
      <c r="AL6142" s="1"/>
      <c r="AM6142" s="1"/>
      <c r="AN6142" s="1"/>
      <c r="AO6142" s="1"/>
      <c r="AP6142" s="1"/>
      <c r="AQ6142" s="1"/>
      <c r="AR6142" s="1"/>
      <c r="AS6142" s="1"/>
      <c r="AT6142" s="1"/>
      <c r="AU6142" s="1"/>
      <c r="AV6142" s="1"/>
      <c r="AW6142" s="1"/>
      <c r="AX6142" s="1"/>
      <c r="AY6142" s="1"/>
      <c r="AZ6142" s="1"/>
      <c r="BA6142" s="1"/>
      <c r="BB6142" s="1"/>
    </row>
    <row r="6143" ht="204.75" customHeight="1">
      <c r="A6143" s="1">
        <v>6143.0</v>
      </c>
      <c r="B6143" s="2" t="s">
        <v>16320</v>
      </c>
      <c r="C6143" s="2">
        <f>IFERROR(__xludf.DUMMYFUNCTION("split(B6143,""_"")"),710.0)</f>
        <v>710</v>
      </c>
      <c r="D6143" s="2" t="str">
        <f>IFERROR(__xludf.DUMMYFUNCTION("""COMPUTED_VALUE"""),"TBS")</f>
        <v>TBS</v>
      </c>
      <c r="E6143" s="2" t="str">
        <f>IFERROR(__xludf.DUMMYFUNCTION("""COMPUTED_VALUE"""),"日21")</f>
        <v>日21</v>
      </c>
      <c r="F6143" s="2" t="s">
        <v>16321</v>
      </c>
      <c r="G6143" s="2" t="s">
        <v>16328</v>
      </c>
      <c r="H6143" s="1">
        <v>4.0</v>
      </c>
      <c r="J6143" s="1" t="s">
        <v>11</v>
      </c>
      <c r="K6143" s="2" t="s">
        <v>16329</v>
      </c>
      <c r="L6143" s="2"/>
      <c r="M6143" s="2" t="str">
        <f>IFERROR(__xludf.DUMMYFUNCTION("split(split(K6143,""【"",false),""公式LINE"",false)"),"圭祐(明石家さんま)は、もう少しの間、ユリ(長沢まさみ)の前で「森山リュウ」を装っていることにした。そんな折、圭祐はユリから、就職試験のアドバイスをしてほしいと頼まれる。圭祐は、編集者を装った風太(市村正親)とともに、ホテルでユリと会うことに。そこで風太が、部屋で圭祐から実技指導を受ければいいと言いだす。圭祐とユリを二人きりにするため、風太が部屋を出ていこうとした時、圭祐の妻・小百合(森下愛子)が突然、現れる。")</f>
        <v>圭祐(明石家さんま)は、もう少しの間、ユリ(長沢まさみ)の前で「森山リュウ」を装っていることにした。そんな折、圭祐はユリから、就職試験のアドバイスをしてほしいと頼まれる。圭祐は、編集者を装った風太(市村正親)とともに、ホテルでユリと会うことに。そこで風太が、部屋で圭祐から実技指導を受ければいいと言いだす。圭祐とユリを二人きりにするため、風太が部屋を出ていこうとした時、圭祐の妻・小百合(森下愛子)が突然、現れる。</v>
      </c>
      <c r="N6143" s="2"/>
      <c r="O6143" s="2"/>
      <c r="P6143" s="1"/>
      <c r="Q6143" s="1"/>
      <c r="R6143" s="1"/>
      <c r="S6143" s="1"/>
      <c r="T6143" s="1"/>
      <c r="U6143" s="1"/>
      <c r="V6143" s="1"/>
      <c r="W6143" s="1"/>
      <c r="X6143" s="1"/>
      <c r="Y6143" s="1"/>
      <c r="Z6143" s="1"/>
      <c r="AA6143" s="1"/>
      <c r="AB6143" s="1"/>
      <c r="AC6143" s="1"/>
      <c r="AD6143" s="1"/>
      <c r="AE6143" s="1"/>
      <c r="AF6143" s="1"/>
      <c r="AG6143" s="1"/>
      <c r="AH6143" s="1"/>
      <c r="AI6143" s="1"/>
      <c r="AJ6143" s="1"/>
      <c r="AK6143" s="1"/>
      <c r="AL6143" s="1"/>
      <c r="AM6143" s="1"/>
      <c r="AN6143" s="1"/>
      <c r="AO6143" s="1"/>
      <c r="AP6143" s="1"/>
      <c r="AQ6143" s="1"/>
      <c r="AR6143" s="1"/>
      <c r="AS6143" s="1"/>
      <c r="AT6143" s="1"/>
      <c r="AU6143" s="1"/>
      <c r="AV6143" s="1"/>
      <c r="AW6143" s="1"/>
      <c r="AX6143" s="1"/>
      <c r="AY6143" s="1"/>
      <c r="AZ6143" s="1"/>
      <c r="BA6143" s="1"/>
      <c r="BB6143" s="1"/>
    </row>
    <row r="6144" ht="204.75" customHeight="1">
      <c r="A6144" s="1">
        <v>6144.0</v>
      </c>
      <c r="B6144" s="2" t="s">
        <v>16320</v>
      </c>
      <c r="C6144" s="2">
        <f>IFERROR(__xludf.DUMMYFUNCTION("split(B6144,""_"")"),710.0)</f>
        <v>710</v>
      </c>
      <c r="D6144" s="2" t="str">
        <f>IFERROR(__xludf.DUMMYFUNCTION("""COMPUTED_VALUE"""),"TBS")</f>
        <v>TBS</v>
      </c>
      <c r="E6144" s="2" t="str">
        <f>IFERROR(__xludf.DUMMYFUNCTION("""COMPUTED_VALUE"""),"日21")</f>
        <v>日21</v>
      </c>
      <c r="F6144" s="2" t="s">
        <v>16321</v>
      </c>
      <c r="G6144" s="2" t="s">
        <v>16330</v>
      </c>
      <c r="H6144" s="1">
        <v>5.0</v>
      </c>
      <c r="J6144" s="1" t="s">
        <v>11</v>
      </c>
      <c r="K6144" s="2" t="s">
        <v>16331</v>
      </c>
      <c r="L6144" s="2"/>
      <c r="M6144" s="2" t="str">
        <f>IFERROR(__xludf.DUMMYFUNCTION("split(split(K6144,""【"",false),""公式LINE"",false)"),"圭祐(明石家さんま)が虫垂炎で入院した。病院へ駆け付けたユリ(長沢まさみ)は、圭祐に付き添う小百合(森下愛子)と入れ違いに病室に入ってくる。それを見た圭祐は、二人が鉢合わせしないかと慌てるが、小百合が大阪へ帰ることになり、胸をなで下ろす。ユリは毎日、圭祐を見舞うため、病院を訪れるようになる。そんなユリを心配する由紀夫(塚本高史)は、風太(市村正親)に相談する。")</f>
        <v>圭祐(明石家さんま)が虫垂炎で入院した。病院へ駆け付けたユリ(長沢まさみ)は、圭祐に付き添う小百合(森下愛子)と入れ違いに病室に入ってくる。それを見た圭祐は、二人が鉢合わせしないかと慌てるが、小百合が大阪へ帰ることになり、胸をなで下ろす。ユリは毎日、圭祐を見舞うため、病院を訪れるようになる。そんなユリを心配する由紀夫(塚本高史)は、風太(市村正親)に相談する。</v>
      </c>
      <c r="N6144" s="2"/>
      <c r="O6144" s="2"/>
      <c r="P6144" s="1"/>
      <c r="Q6144" s="1"/>
      <c r="R6144" s="1"/>
      <c r="S6144" s="1"/>
      <c r="T6144" s="1"/>
      <c r="U6144" s="1"/>
      <c r="V6144" s="1"/>
      <c r="W6144" s="1"/>
      <c r="X6144" s="1"/>
      <c r="Y6144" s="1"/>
      <c r="Z6144" s="1"/>
      <c r="AA6144" s="1"/>
      <c r="AB6144" s="1"/>
      <c r="AC6144" s="1"/>
      <c r="AD6144" s="1"/>
      <c r="AE6144" s="1"/>
      <c r="AF6144" s="1"/>
      <c r="AG6144" s="1"/>
      <c r="AH6144" s="1"/>
      <c r="AI6144" s="1"/>
      <c r="AJ6144" s="1"/>
      <c r="AK6144" s="1"/>
      <c r="AL6144" s="1"/>
      <c r="AM6144" s="1"/>
      <c r="AN6144" s="1"/>
      <c r="AO6144" s="1"/>
      <c r="AP6144" s="1"/>
      <c r="AQ6144" s="1"/>
      <c r="AR6144" s="1"/>
      <c r="AS6144" s="1"/>
      <c r="AT6144" s="1"/>
      <c r="AU6144" s="1"/>
      <c r="AV6144" s="1"/>
      <c r="AW6144" s="1"/>
      <c r="AX6144" s="1"/>
      <c r="AY6144" s="1"/>
      <c r="AZ6144" s="1"/>
      <c r="BA6144" s="1"/>
      <c r="BB6144" s="1"/>
    </row>
    <row r="6145" ht="204.75" customHeight="1">
      <c r="A6145" s="1">
        <v>6145.0</v>
      </c>
      <c r="B6145" s="2" t="s">
        <v>16320</v>
      </c>
      <c r="C6145" s="2">
        <f>IFERROR(__xludf.DUMMYFUNCTION("split(B6145,""_"")"),710.0)</f>
        <v>710</v>
      </c>
      <c r="D6145" s="2" t="str">
        <f>IFERROR(__xludf.DUMMYFUNCTION("""COMPUTED_VALUE"""),"TBS")</f>
        <v>TBS</v>
      </c>
      <c r="E6145" s="2" t="str">
        <f>IFERROR(__xludf.DUMMYFUNCTION("""COMPUTED_VALUE"""),"日21")</f>
        <v>日21</v>
      </c>
      <c r="F6145" s="2" t="s">
        <v>16321</v>
      </c>
      <c r="G6145" s="2" t="s">
        <v>16332</v>
      </c>
      <c r="H6145" s="1">
        <v>6.0</v>
      </c>
      <c r="J6145" s="1" t="s">
        <v>11</v>
      </c>
      <c r="K6145" s="2" t="s">
        <v>16333</v>
      </c>
      <c r="L6145" s="2"/>
      <c r="M6145" s="2" t="str">
        <f>IFERROR(__xludf.DUMMYFUNCTION("split(split(K6145,""【"",false),""公式LINE"",false)"),"圭祐(明石家さんま)がユリ(長沢まさみ)を抱き締めると、激しい雨が降ってきた。ユリは圭祐に、自分の部屋で雨宿りしないかと誘う。ユリのアパートの前まで行った圭祐だが、結局はホテルに帰ってしまう。それを聞いた風太(市村正親)は、チャンスを逃した圭祐をばかにする。後日、圭祐は再びユリと会う約束をする。待ち合わせ場所に向かおうとすると、また雨が降ってきた。圭祐は、ユリに促されて彼女の部屋へ。二人がベッドに腰掛けた瞬間、停電に。")</f>
        <v>圭祐(明石家さんま)がユリ(長沢まさみ)を抱き締めると、激しい雨が降ってきた。ユリは圭祐に、自分の部屋で雨宿りしないかと誘う。ユリのアパートの前まで行った圭祐だが、結局はホテルに帰ってしまう。それを聞いた風太(市村正親)は、チャンスを逃した圭祐をばかにする。後日、圭祐は再びユリと会う約束をする。待ち合わせ場所に向かおうとすると、また雨が降ってきた。圭祐は、ユリに促されて彼女の部屋へ。二人がベッドに腰掛けた瞬間、停電に。</v>
      </c>
      <c r="N6145" s="2"/>
      <c r="O6145" s="2"/>
      <c r="P6145" s="1"/>
      <c r="Q6145" s="1"/>
      <c r="R6145" s="1"/>
      <c r="S6145" s="1"/>
      <c r="T6145" s="1"/>
      <c r="U6145" s="1"/>
      <c r="V6145" s="1"/>
      <c r="W6145" s="1"/>
      <c r="X6145" s="1"/>
      <c r="Y6145" s="1"/>
      <c r="Z6145" s="1"/>
      <c r="AA6145" s="1"/>
      <c r="AB6145" s="1"/>
      <c r="AC6145" s="1"/>
      <c r="AD6145" s="1"/>
      <c r="AE6145" s="1"/>
      <c r="AF6145" s="1"/>
      <c r="AG6145" s="1"/>
      <c r="AH6145" s="1"/>
      <c r="AI6145" s="1"/>
      <c r="AJ6145" s="1"/>
      <c r="AK6145" s="1"/>
      <c r="AL6145" s="1"/>
      <c r="AM6145" s="1"/>
      <c r="AN6145" s="1"/>
      <c r="AO6145" s="1"/>
      <c r="AP6145" s="1"/>
      <c r="AQ6145" s="1"/>
      <c r="AR6145" s="1"/>
      <c r="AS6145" s="1"/>
      <c r="AT6145" s="1"/>
      <c r="AU6145" s="1"/>
      <c r="AV6145" s="1"/>
      <c r="AW6145" s="1"/>
      <c r="AX6145" s="1"/>
      <c r="AY6145" s="1"/>
      <c r="AZ6145" s="1"/>
      <c r="BA6145" s="1"/>
      <c r="BB6145" s="1"/>
    </row>
    <row r="6146" ht="204.75" customHeight="1">
      <c r="A6146" s="1">
        <v>6146.0</v>
      </c>
      <c r="B6146" s="2" t="s">
        <v>16320</v>
      </c>
      <c r="C6146" s="2">
        <f>IFERROR(__xludf.DUMMYFUNCTION("split(B6146,""_"")"),710.0)</f>
        <v>710</v>
      </c>
      <c r="D6146" s="2" t="str">
        <f>IFERROR(__xludf.DUMMYFUNCTION("""COMPUTED_VALUE"""),"TBS")</f>
        <v>TBS</v>
      </c>
      <c r="E6146" s="2" t="str">
        <f>IFERROR(__xludf.DUMMYFUNCTION("""COMPUTED_VALUE"""),"日21")</f>
        <v>日21</v>
      </c>
      <c r="F6146" s="2" t="s">
        <v>16321</v>
      </c>
      <c r="G6146" s="2" t="s">
        <v>16334</v>
      </c>
      <c r="H6146" s="1">
        <v>7.0</v>
      </c>
      <c r="J6146" s="1" t="s">
        <v>11</v>
      </c>
      <c r="K6146" s="2" t="s">
        <v>16335</v>
      </c>
      <c r="L6146" s="2"/>
      <c r="M6146" s="2" t="str">
        <f>IFERROR(__xludf.DUMMYFUNCTION("split(split(K6146,""【"",false),""公式LINE"",false)"),"圭祐(明石家さんま)は、自分が「森山リュウ」ではないことをユリ(長沢まさみ)に知られてしまった。圭祐はうそをついていたことを謝るが、ユリは怒って部屋を飛び出す。大阪に戻った圭祐は謝罪のメールを送り続けるが、ユリからは何の反応もない。彼女に会いたい圭祐は有給休暇を取り、妻・小百合(森下愛子)に出張だとうそをついて東京へ。由紀夫(塚本高史)を見つけた圭祐は、彼からユリのことを聞き出そうとする。由紀夫によると、ユリは学校に来ておらず、アルバイトも休んでいるらしい。")</f>
        <v>圭祐(明石家さんま)は、自分が「森山リュウ」ではないことをユリ(長沢まさみ)に知られてしまった。圭祐はうそをついていたことを謝るが、ユリは怒って部屋を飛び出す。大阪に戻った圭祐は謝罪のメールを送り続けるが、ユリからは何の反応もない。彼女に会いたい圭祐は有給休暇を取り、妻・小百合(森下愛子)に出張だとうそをついて東京へ。由紀夫(塚本高史)を見つけた圭祐は、彼からユリのことを聞き出そうとする。由紀夫によると、ユリは学校に来ておらず、アルバイトも休んでいるらしい。</v>
      </c>
      <c r="N6146" s="2"/>
      <c r="O6146" s="2"/>
      <c r="P6146" s="1"/>
      <c r="Q6146" s="1"/>
      <c r="R6146" s="1"/>
      <c r="S6146" s="1"/>
      <c r="T6146" s="1"/>
      <c r="U6146" s="1"/>
      <c r="V6146" s="1"/>
      <c r="W6146" s="1"/>
      <c r="X6146" s="1"/>
      <c r="Y6146" s="1"/>
      <c r="Z6146" s="1"/>
      <c r="AA6146" s="1"/>
      <c r="AB6146" s="1"/>
      <c r="AC6146" s="1"/>
      <c r="AD6146" s="1"/>
      <c r="AE6146" s="1"/>
      <c r="AF6146" s="1"/>
      <c r="AG6146" s="1"/>
      <c r="AH6146" s="1"/>
      <c r="AI6146" s="1"/>
      <c r="AJ6146" s="1"/>
      <c r="AK6146" s="1"/>
      <c r="AL6146" s="1"/>
      <c r="AM6146" s="1"/>
      <c r="AN6146" s="1"/>
      <c r="AO6146" s="1"/>
      <c r="AP6146" s="1"/>
      <c r="AQ6146" s="1"/>
      <c r="AR6146" s="1"/>
      <c r="AS6146" s="1"/>
      <c r="AT6146" s="1"/>
      <c r="AU6146" s="1"/>
      <c r="AV6146" s="1"/>
      <c r="AW6146" s="1"/>
      <c r="AX6146" s="1"/>
      <c r="AY6146" s="1"/>
      <c r="AZ6146" s="1"/>
      <c r="BA6146" s="1"/>
      <c r="BB6146" s="1"/>
    </row>
    <row r="6147" ht="204.75" customHeight="1">
      <c r="A6147" s="1">
        <v>6147.0</v>
      </c>
      <c r="B6147" s="2" t="s">
        <v>16320</v>
      </c>
      <c r="C6147" s="2">
        <f>IFERROR(__xludf.DUMMYFUNCTION("split(B6147,""_"")"),710.0)</f>
        <v>710</v>
      </c>
      <c r="D6147" s="2" t="str">
        <f>IFERROR(__xludf.DUMMYFUNCTION("""COMPUTED_VALUE"""),"TBS")</f>
        <v>TBS</v>
      </c>
      <c r="E6147" s="2" t="str">
        <f>IFERROR(__xludf.DUMMYFUNCTION("""COMPUTED_VALUE"""),"日21")</f>
        <v>日21</v>
      </c>
      <c r="F6147" s="2" t="s">
        <v>16321</v>
      </c>
      <c r="G6147" s="2" t="s">
        <v>16336</v>
      </c>
      <c r="H6147" s="1">
        <v>8.0</v>
      </c>
      <c r="J6147" s="1" t="s">
        <v>11</v>
      </c>
      <c r="K6147" s="2" t="s">
        <v>16337</v>
      </c>
      <c r="L6147" s="2"/>
      <c r="M6147" s="2" t="str">
        <f>IFERROR(__xludf.DUMMYFUNCTION("split(split(K6147,""【"",false),""公式LINE"",false)"),"圭祐(明石家さんま)に別れを告げたユリ(長沢まさみ)だが、彼と母・絵里(小泉今日子)が恋人だったのではないかと疑う。圭祐も、ユリが自分の娘ではないかと不安になり、風太(市村正親)に相談する。風太は「家庭崩壊につながる問題だから、はっきりさせるための作戦が必要だ」と話す。実家に帰ったユリは絵里と一緒に夕飯の支度をする。そこへ、由紀夫(塚本高史)が訪れる。彼は、風太の作戦を実行するために来たのだ。")</f>
        <v>圭祐(明石家さんま)に別れを告げたユリ(長沢まさみ)だが、彼と母・絵里(小泉今日子)が恋人だったのではないかと疑う。圭祐も、ユリが自分の娘ではないかと不安になり、風太(市村正親)に相談する。風太は「家庭崩壊につながる問題だから、はっきりさせるための作戦が必要だ」と話す。実家に帰ったユリは絵里と一緒に夕飯の支度をする。そこへ、由紀夫(塚本高史)が訪れる。彼は、風太の作戦を実行するために来たのだ。</v>
      </c>
      <c r="N6147" s="2"/>
      <c r="O6147" s="2"/>
      <c r="P6147" s="1"/>
      <c r="Q6147" s="1"/>
      <c r="R6147" s="1"/>
      <c r="S6147" s="1"/>
      <c r="T6147" s="1"/>
      <c r="U6147" s="1"/>
      <c r="V6147" s="1"/>
      <c r="W6147" s="1"/>
      <c r="X6147" s="1"/>
      <c r="Y6147" s="1"/>
      <c r="Z6147" s="1"/>
      <c r="AA6147" s="1"/>
      <c r="AB6147" s="1"/>
      <c r="AC6147" s="1"/>
      <c r="AD6147" s="1"/>
      <c r="AE6147" s="1"/>
      <c r="AF6147" s="1"/>
      <c r="AG6147" s="1"/>
      <c r="AH6147" s="1"/>
      <c r="AI6147" s="1"/>
      <c r="AJ6147" s="1"/>
      <c r="AK6147" s="1"/>
      <c r="AL6147" s="1"/>
      <c r="AM6147" s="1"/>
      <c r="AN6147" s="1"/>
      <c r="AO6147" s="1"/>
      <c r="AP6147" s="1"/>
      <c r="AQ6147" s="1"/>
      <c r="AR6147" s="1"/>
      <c r="AS6147" s="1"/>
      <c r="AT6147" s="1"/>
      <c r="AU6147" s="1"/>
      <c r="AV6147" s="1"/>
      <c r="AW6147" s="1"/>
      <c r="AX6147" s="1"/>
      <c r="AY6147" s="1"/>
      <c r="AZ6147" s="1"/>
      <c r="BA6147" s="1"/>
      <c r="BB6147" s="1"/>
    </row>
    <row r="6148" ht="204.75" customHeight="1">
      <c r="A6148" s="1">
        <v>6148.0</v>
      </c>
      <c r="B6148" s="2" t="s">
        <v>16320</v>
      </c>
      <c r="C6148" s="2">
        <f>IFERROR(__xludf.DUMMYFUNCTION("split(B6148,""_"")"),710.0)</f>
        <v>710</v>
      </c>
      <c r="D6148" s="2" t="str">
        <f>IFERROR(__xludf.DUMMYFUNCTION("""COMPUTED_VALUE"""),"TBS")</f>
        <v>TBS</v>
      </c>
      <c r="E6148" s="2" t="str">
        <f>IFERROR(__xludf.DUMMYFUNCTION("""COMPUTED_VALUE"""),"日21")</f>
        <v>日21</v>
      </c>
      <c r="F6148" s="2" t="s">
        <v>16321</v>
      </c>
      <c r="G6148" s="2" t="s">
        <v>16338</v>
      </c>
      <c r="H6148" s="1">
        <v>9.0</v>
      </c>
      <c r="J6148" s="1" t="s">
        <v>11</v>
      </c>
      <c r="K6148" s="2" t="s">
        <v>16339</v>
      </c>
      <c r="L6148" s="2"/>
      <c r="M6148" s="2" t="str">
        <f>IFERROR(__xludf.DUMMYFUNCTION("split(split(K6148,""【"",false),""公式LINE"",false)"),"レストランに向かった圭祐(明石家さんま)は、かつて交際していた絵里(小泉今日子)と再会。絵里は圭祐に、二人の過去はユリ(長沢まさみ)には内緒にし、今後は娘に近づかないでほしいと頼む。偶然、その場にいた風太(市村正親)は、小説の題材にしようと二人の会話を盗み聞きする。そこへ中島(キムラ緑子)が現れ、圭祐らは風太の存在に気付く。翌日、ユリは中島から、母・絵里と圭祐が会っていたことを聞く。")</f>
        <v>レストランに向かった圭祐(明石家さんま)は、かつて交際していた絵里(小泉今日子)と再会。絵里は圭祐に、二人の過去はユリ(長沢まさみ)には内緒にし、今後は娘に近づかないでほしいと頼む。偶然、その場にいた風太(市村正親)は、小説の題材にしようと二人の会話を盗み聞きする。そこへ中島(キムラ緑子)が現れ、圭祐らは風太の存在に気付く。翌日、ユリは中島から、母・絵里と圭祐が会っていたことを聞く。</v>
      </c>
      <c r="N6148" s="2"/>
      <c r="O6148" s="2"/>
      <c r="P6148" s="1"/>
      <c r="Q6148" s="1"/>
      <c r="R6148" s="1"/>
      <c r="S6148" s="1"/>
      <c r="T6148" s="1"/>
      <c r="U6148" s="1"/>
      <c r="V6148" s="1"/>
      <c r="W6148" s="1"/>
      <c r="X6148" s="1"/>
      <c r="Y6148" s="1"/>
      <c r="Z6148" s="1"/>
      <c r="AA6148" s="1"/>
      <c r="AB6148" s="1"/>
      <c r="AC6148" s="1"/>
      <c r="AD6148" s="1"/>
      <c r="AE6148" s="1"/>
      <c r="AF6148" s="1"/>
      <c r="AG6148" s="1"/>
      <c r="AH6148" s="1"/>
      <c r="AI6148" s="1"/>
      <c r="AJ6148" s="1"/>
      <c r="AK6148" s="1"/>
      <c r="AL6148" s="1"/>
      <c r="AM6148" s="1"/>
      <c r="AN6148" s="1"/>
      <c r="AO6148" s="1"/>
      <c r="AP6148" s="1"/>
      <c r="AQ6148" s="1"/>
      <c r="AR6148" s="1"/>
      <c r="AS6148" s="1"/>
      <c r="AT6148" s="1"/>
      <c r="AU6148" s="1"/>
      <c r="AV6148" s="1"/>
      <c r="AW6148" s="1"/>
      <c r="AX6148" s="1"/>
      <c r="AY6148" s="1"/>
      <c r="AZ6148" s="1"/>
      <c r="BA6148" s="1"/>
      <c r="BB6148" s="1"/>
    </row>
    <row r="6149" ht="204.75" customHeight="1">
      <c r="A6149" s="1">
        <v>6149.0</v>
      </c>
      <c r="B6149" s="2" t="s">
        <v>16320</v>
      </c>
      <c r="C6149" s="2">
        <f>IFERROR(__xludf.DUMMYFUNCTION("split(B6149,""_"")"),710.0)</f>
        <v>710</v>
      </c>
      <c r="D6149" s="2" t="str">
        <f>IFERROR(__xludf.DUMMYFUNCTION("""COMPUTED_VALUE"""),"TBS")</f>
        <v>TBS</v>
      </c>
      <c r="E6149" s="2" t="str">
        <f>IFERROR(__xludf.DUMMYFUNCTION("""COMPUTED_VALUE"""),"日21")</f>
        <v>日21</v>
      </c>
      <c r="F6149" s="2" t="s">
        <v>16321</v>
      </c>
      <c r="G6149" s="2" t="s">
        <v>16340</v>
      </c>
      <c r="H6149" s="1">
        <v>10.0</v>
      </c>
      <c r="J6149" s="1" t="s">
        <v>11</v>
      </c>
      <c r="K6149" s="2" t="s">
        <v>16341</v>
      </c>
      <c r="L6149" s="2"/>
      <c r="M6149" s="2" t="str">
        <f>IFERROR(__xludf.DUMMYFUNCTION("split(split(K6149,""【"",false),""公式LINE"",false)"),"ユリ(長沢まさみ)は、由紀夫(塚本高史)の父親に会うと約束した日に、圭祐(明石家さんま)と一緒に大阪へ来てしまった。ユリが泊まるホテルの手続きをした圭祐は、由紀夫に連絡を入れるよう彼女に告げる。その夜、ユリは由紀夫に電話で謝るが、冷たく突き放されてしまう。翌朝、一晩中眠れないでいたユリの元に、圭祐が現れた。圭祐は「今日は楽しいことだけを考えよう」と提案し、大阪の名所を案内する。")</f>
        <v>ユリ(長沢まさみ)は、由紀夫(塚本高史)の父親に会うと約束した日に、圭祐(明石家さんま)と一緒に大阪へ来てしまった。ユリが泊まるホテルの手続きをした圭祐は、由紀夫に連絡を入れるよう彼女に告げる。その夜、ユリは由紀夫に電話で謝るが、冷たく突き放されてしまう。翌朝、一晩中眠れないでいたユリの元に、圭祐が現れた。圭祐は「今日は楽しいことだけを考えよう」と提案し、大阪の名所を案内する。</v>
      </c>
      <c r="N6149" s="2"/>
      <c r="O6149" s="2"/>
      <c r="P6149" s="1"/>
      <c r="Q6149" s="1"/>
      <c r="R6149" s="1"/>
      <c r="S6149" s="1"/>
      <c r="T6149" s="1"/>
      <c r="U6149" s="1"/>
      <c r="V6149" s="1"/>
      <c r="W6149" s="1"/>
      <c r="X6149" s="1"/>
      <c r="Y6149" s="1"/>
      <c r="Z6149" s="1"/>
      <c r="AA6149" s="1"/>
      <c r="AB6149" s="1"/>
      <c r="AC6149" s="1"/>
      <c r="AD6149" s="1"/>
      <c r="AE6149" s="1"/>
      <c r="AF6149" s="1"/>
      <c r="AG6149" s="1"/>
      <c r="AH6149" s="1"/>
      <c r="AI6149" s="1"/>
      <c r="AJ6149" s="1"/>
      <c r="AK6149" s="1"/>
      <c r="AL6149" s="1"/>
      <c r="AM6149" s="1"/>
      <c r="AN6149" s="1"/>
      <c r="AO6149" s="1"/>
      <c r="AP6149" s="1"/>
      <c r="AQ6149" s="1"/>
      <c r="AR6149" s="1"/>
      <c r="AS6149" s="1"/>
      <c r="AT6149" s="1"/>
      <c r="AU6149" s="1"/>
      <c r="AV6149" s="1"/>
      <c r="AW6149" s="1"/>
      <c r="AX6149" s="1"/>
      <c r="AY6149" s="1"/>
      <c r="AZ6149" s="1"/>
      <c r="BA6149" s="1"/>
      <c r="BB6149" s="1"/>
    </row>
    <row r="6150" ht="204.75" customHeight="1">
      <c r="B6150" s="2" t="s">
        <v>16342</v>
      </c>
      <c r="C6150" s="2"/>
      <c r="D6150" s="2"/>
      <c r="E6150" s="2"/>
      <c r="F6150" s="2" t="s">
        <v>16343</v>
      </c>
      <c r="G6150" s="2" t="s">
        <v>16344</v>
      </c>
      <c r="H6150" s="1" t="s">
        <v>16345</v>
      </c>
      <c r="I6150" s="1" t="s">
        <v>16346</v>
      </c>
      <c r="J6150" s="1" t="s">
        <v>16347</v>
      </c>
      <c r="K6150" s="2" t="s">
        <v>16348</v>
      </c>
      <c r="L6150" s="2"/>
      <c r="M6150" s="2" t="str">
        <f>IFERROR(__xludf.DUMMYFUNCTION("split(split(K6150,""【"",false),""公式LINE"",false)"),"sharp_detail_epg")</f>
        <v>sharp_detail_epg</v>
      </c>
      <c r="N6150" s="2"/>
      <c r="O6150" s="2"/>
      <c r="P6150" s="2"/>
      <c r="Q6150" s="2"/>
      <c r="R6150" s="2"/>
      <c r="S6150" s="2"/>
      <c r="T6150" s="2"/>
      <c r="U6150" s="2"/>
      <c r="V6150" s="2"/>
      <c r="W6150" s="2"/>
      <c r="X6150" s="2"/>
      <c r="Y6150" s="2"/>
      <c r="Z6150" s="2"/>
      <c r="AA6150" s="2"/>
      <c r="AB6150" s="2"/>
      <c r="AC6150" s="2"/>
      <c r="AD6150" s="2"/>
      <c r="AE6150" s="2"/>
      <c r="AF6150" s="2"/>
      <c r="AG6150" s="2"/>
      <c r="AH6150" s="2"/>
      <c r="AI6150" s="2"/>
      <c r="AJ6150" s="2"/>
      <c r="AK6150" s="2"/>
      <c r="AL6150" s="2"/>
      <c r="AM6150" s="2"/>
      <c r="AN6150" s="2"/>
      <c r="AO6150" s="2"/>
      <c r="AP6150" s="2"/>
      <c r="AQ6150" s="2"/>
      <c r="AR6150" s="2"/>
      <c r="AS6150" s="2"/>
      <c r="AT6150" s="2"/>
      <c r="AU6150" s="2"/>
      <c r="AV6150" s="2"/>
      <c r="AW6150" s="2"/>
      <c r="AX6150" s="2"/>
      <c r="AY6150" s="2"/>
      <c r="AZ6150" s="2"/>
      <c r="BA6150" s="2"/>
      <c r="BB6150" s="2"/>
    </row>
    <row r="6151" ht="204.75" customHeight="1">
      <c r="A6151" s="1">
        <v>2967.0</v>
      </c>
      <c r="B6151" s="2"/>
      <c r="C6151" s="2" t="str">
        <f>IFERROR(__xludf.DUMMYFUNCTION("split(B6151,""_"")"),"#VALUE!")</f>
        <v>#VALUE!</v>
      </c>
      <c r="D6151" s="2"/>
      <c r="E6151" s="2"/>
      <c r="F6151" s="2"/>
      <c r="G6151" s="2"/>
      <c r="H6151" s="1">
        <v>5.0</v>
      </c>
      <c r="J6151" s="1"/>
      <c r="K6151" s="2"/>
      <c r="L6151" s="2"/>
      <c r="M6151" s="2" t="str">
        <f>IFERROR(__xludf.DUMMYFUNCTION("split(split(K6151,""【"",false),""公式LINE"",false)"),"#VALUE!")</f>
        <v>#VALUE!</v>
      </c>
      <c r="N6151" s="2"/>
      <c r="O6151" s="2"/>
      <c r="P6151" s="1"/>
      <c r="Q6151" s="1"/>
      <c r="R6151" s="1"/>
      <c r="S6151" s="1"/>
      <c r="T6151" s="1"/>
      <c r="U6151" s="1"/>
      <c r="V6151" s="1"/>
      <c r="W6151" s="1"/>
      <c r="X6151" s="1"/>
      <c r="Y6151" s="1"/>
      <c r="Z6151" s="1"/>
      <c r="AA6151" s="1"/>
      <c r="AB6151" s="1"/>
      <c r="AC6151" s="1"/>
      <c r="AD6151" s="1"/>
      <c r="AE6151" s="1"/>
      <c r="AF6151" s="1"/>
      <c r="AG6151" s="1"/>
      <c r="AH6151" s="1"/>
      <c r="AI6151" s="1"/>
      <c r="AJ6151" s="1"/>
      <c r="AK6151" s="1"/>
      <c r="AL6151" s="1"/>
      <c r="AM6151" s="1"/>
      <c r="AN6151" s="1"/>
      <c r="AO6151" s="1"/>
      <c r="AP6151" s="1"/>
      <c r="AQ6151" s="1"/>
      <c r="AR6151" s="1"/>
      <c r="AS6151" s="1"/>
      <c r="AT6151" s="1"/>
      <c r="AU6151" s="1"/>
      <c r="AV6151" s="1"/>
      <c r="AW6151" s="1"/>
      <c r="AX6151" s="1"/>
      <c r="AY6151" s="1"/>
      <c r="AZ6151" s="1"/>
      <c r="BA6151" s="1"/>
      <c r="BB6151" s="1"/>
    </row>
    <row r="6152" ht="204.75" customHeight="1">
      <c r="A6152" s="1">
        <v>2968.0</v>
      </c>
      <c r="B6152" s="2"/>
      <c r="C6152" s="2" t="str">
        <f>IFERROR(__xludf.DUMMYFUNCTION("split(B6152,""_"")"),"#VALUE!")</f>
        <v>#VALUE!</v>
      </c>
      <c r="D6152" s="2"/>
      <c r="E6152" s="2"/>
      <c r="F6152" s="2"/>
      <c r="G6152" s="2"/>
      <c r="H6152" s="1">
        <v>6.0</v>
      </c>
      <c r="J6152" s="1"/>
      <c r="K6152" s="2"/>
      <c r="L6152" s="2"/>
      <c r="M6152" s="2" t="str">
        <f>IFERROR(__xludf.DUMMYFUNCTION("split(split(K6152,""【"",false),""公式LINE"",false)"),"#VALUE!")</f>
        <v>#VALUE!</v>
      </c>
      <c r="N6152" s="2"/>
      <c r="O6152" s="2"/>
      <c r="P6152" s="1"/>
      <c r="Q6152" s="1"/>
      <c r="R6152" s="1"/>
      <c r="S6152" s="1"/>
      <c r="T6152" s="1"/>
      <c r="U6152" s="1"/>
      <c r="V6152" s="1"/>
      <c r="W6152" s="1"/>
      <c r="X6152" s="1"/>
      <c r="Y6152" s="1"/>
      <c r="Z6152" s="1"/>
      <c r="AA6152" s="1"/>
      <c r="AB6152" s="1"/>
      <c r="AC6152" s="1"/>
      <c r="AD6152" s="1"/>
      <c r="AE6152" s="1"/>
      <c r="AF6152" s="1"/>
      <c r="AG6152" s="1"/>
      <c r="AH6152" s="1"/>
      <c r="AI6152" s="1"/>
      <c r="AJ6152" s="1"/>
      <c r="AK6152" s="1"/>
      <c r="AL6152" s="1"/>
      <c r="AM6152" s="1"/>
      <c r="AN6152" s="1"/>
      <c r="AO6152" s="1"/>
      <c r="AP6152" s="1"/>
      <c r="AQ6152" s="1"/>
      <c r="AR6152" s="1"/>
      <c r="AS6152" s="1"/>
      <c r="AT6152" s="1"/>
      <c r="AU6152" s="1"/>
      <c r="AV6152" s="1"/>
      <c r="AW6152" s="1"/>
      <c r="AX6152" s="1"/>
      <c r="AY6152" s="1"/>
      <c r="AZ6152" s="1"/>
      <c r="BA6152" s="1"/>
      <c r="BB6152" s="1"/>
    </row>
    <row r="6153" ht="204.75" customHeight="1">
      <c r="A6153" s="1">
        <v>2969.0</v>
      </c>
      <c r="B6153" s="2"/>
      <c r="C6153" s="2" t="str">
        <f>IFERROR(__xludf.DUMMYFUNCTION("split(B6153,""_"")"),"#VALUE!")</f>
        <v>#VALUE!</v>
      </c>
      <c r="D6153" s="2"/>
      <c r="E6153" s="2"/>
      <c r="F6153" s="2"/>
      <c r="G6153" s="2"/>
      <c r="H6153" s="1">
        <v>7.0</v>
      </c>
      <c r="J6153" s="1"/>
      <c r="K6153" s="2"/>
      <c r="L6153" s="2"/>
      <c r="M6153" s="2" t="str">
        <f>IFERROR(__xludf.DUMMYFUNCTION("split(split(K6153,""【"",false),""公式LINE"",false)"),"#VALUE!")</f>
        <v>#VALUE!</v>
      </c>
      <c r="N6153" s="2"/>
      <c r="O6153" s="2"/>
      <c r="P6153" s="1"/>
      <c r="Q6153" s="1"/>
      <c r="R6153" s="1"/>
      <c r="S6153" s="1"/>
      <c r="T6153" s="1"/>
      <c r="U6153" s="1"/>
      <c r="V6153" s="1"/>
      <c r="W6153" s="1"/>
      <c r="X6153" s="1"/>
      <c r="Y6153" s="1"/>
      <c r="Z6153" s="1"/>
      <c r="AA6153" s="1"/>
      <c r="AB6153" s="1"/>
      <c r="AC6153" s="1"/>
      <c r="AD6153" s="1"/>
      <c r="AE6153" s="1"/>
      <c r="AF6153" s="1"/>
      <c r="AG6153" s="1"/>
      <c r="AH6153" s="1"/>
      <c r="AI6153" s="1"/>
      <c r="AJ6153" s="1"/>
      <c r="AK6153" s="1"/>
      <c r="AL6153" s="1"/>
      <c r="AM6153" s="1"/>
      <c r="AN6153" s="1"/>
      <c r="AO6153" s="1"/>
      <c r="AP6153" s="1"/>
      <c r="AQ6153" s="1"/>
      <c r="AR6153" s="1"/>
      <c r="AS6153" s="1"/>
      <c r="AT6153" s="1"/>
      <c r="AU6153" s="1"/>
      <c r="AV6153" s="1"/>
      <c r="AW6153" s="1"/>
      <c r="AX6153" s="1"/>
      <c r="AY6153" s="1"/>
      <c r="AZ6153" s="1"/>
      <c r="BA6153" s="1"/>
      <c r="BB6153" s="1"/>
    </row>
    <row r="6154" ht="204.75" customHeight="1">
      <c r="A6154" s="1">
        <v>3114.0</v>
      </c>
      <c r="B6154" s="2"/>
      <c r="C6154" s="2" t="str">
        <f>IFERROR(__xludf.DUMMYFUNCTION("split(B6154,""_"")"),"#VALUE!")</f>
        <v>#VALUE!</v>
      </c>
      <c r="D6154" s="2"/>
      <c r="E6154" s="2"/>
      <c r="F6154" s="2"/>
      <c r="G6154" s="2"/>
      <c r="H6154" s="1">
        <v>1.0</v>
      </c>
      <c r="I6154" s="1"/>
      <c r="J6154" s="1"/>
      <c r="K6154" s="2"/>
      <c r="L6154" s="2"/>
      <c r="M6154" s="2" t="str">
        <f>IFERROR(__xludf.DUMMYFUNCTION("split(split(K6154,""【"",false),""公式LINE"",false)"),"#VALUE!")</f>
        <v>#VALUE!</v>
      </c>
      <c r="N6154" s="2"/>
      <c r="O6154" s="2"/>
      <c r="P6154" s="1"/>
      <c r="Q6154" s="1"/>
      <c r="R6154" s="1"/>
      <c r="S6154" s="1"/>
      <c r="T6154" s="1"/>
      <c r="U6154" s="1"/>
      <c r="V6154" s="1"/>
      <c r="W6154" s="1"/>
      <c r="X6154" s="1"/>
      <c r="Y6154" s="1"/>
      <c r="Z6154" s="1"/>
      <c r="AA6154" s="1"/>
      <c r="AB6154" s="1"/>
      <c r="AC6154" s="1"/>
      <c r="AD6154" s="1"/>
      <c r="AE6154" s="1"/>
      <c r="AF6154" s="1"/>
      <c r="AG6154" s="1"/>
      <c r="AH6154" s="1"/>
      <c r="AI6154" s="1"/>
      <c r="AJ6154" s="1"/>
      <c r="AK6154" s="1"/>
      <c r="AL6154" s="1"/>
      <c r="AM6154" s="1"/>
      <c r="AN6154" s="1"/>
      <c r="AO6154" s="1"/>
      <c r="AP6154" s="1"/>
      <c r="AQ6154" s="1"/>
      <c r="AR6154" s="1"/>
      <c r="AS6154" s="1"/>
      <c r="AT6154" s="1"/>
      <c r="AU6154" s="1"/>
      <c r="AV6154" s="1"/>
      <c r="AW6154" s="1"/>
      <c r="AX6154" s="1"/>
      <c r="AY6154" s="1"/>
      <c r="AZ6154" s="1"/>
      <c r="BA6154" s="1"/>
      <c r="BB6154" s="1"/>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